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arat\Desktop\ЖК остров\01_ПИР_ЭОМ\"/>
    </mc:Choice>
  </mc:AlternateContent>
  <xr:revisionPtr revIDLastSave="0" documentId="13_ncr:1_{0C709C07-6CF9-4761-BAF5-19379DD6DC1C}" xr6:coauthVersionLast="47" xr6:coauthVersionMax="47" xr10:uidLastSave="{00000000-0000-0000-0000-000000000000}"/>
  <bookViews>
    <workbookView xWindow="-108" yWindow="-108" windowWidth="23256" windowHeight="13896" activeTab="5" xr2:uid="{6F064ABD-BBF2-4C61-AEC3-7F7A262BA80C}"/>
  </bookViews>
  <sheets>
    <sheet name="Краткое руководство" sheetId="17" r:id="rId1"/>
    <sheet name="Справочная" sheetId="10" r:id="rId2"/>
    <sheet name="Каталог" sheetId="42" r:id="rId18"/>
    <sheet name="Исходные данные" sheetId="9" r:id="rId3"/>
    <sheet name="Разбивка_по_щитам" sheetId="11" r:id="rId4"/>
    <sheet name="Однолинейка" sheetId="40" r:id="rId5"/>
    <sheet name="Нагрузка_щитов" sheetId="13" r:id="rId7"/>
    <sheet name="ТКЗ" sheetId="18" r:id="rId8"/>
    <sheet name="Кабельный_журнал" sheetId="15" r:id="rId10"/>
    <sheet name="Спецификация" sheetId="44" r:id="rId20"/>
    <sheet name="Спецификация_авто" sheetId="16" r:id="rId9"/>
    <sheet name="Бирки" sheetId="43" r:id="rId19"/>
    <sheet name="В Акад" sheetId="14" r:id="rId12"/>
    <sheet name="Диапазоны" sheetId="12" r:id="rId11"/>
    <sheet name="Справочная_потребители" sheetId="19" r:id="rId13" state="hidden"/>
  </sheets>
  <definedNames>
    <definedName name="_xlnm._FilterDatabase" localSheetId="3" hidden="1">'Исходные данные'!$A$1:$AT$1000</definedName>
    <definedName name="_xlnm._FilterDatabase" localSheetId="5" hidden="1">Однолинейка!$A$2:$AD$1000</definedName>
    <definedName name="_xlnm._FilterDatabase" localSheetId="2" hidden="1">Каталог!$A$3:$P$500</definedName>
    <definedName name="Автомат_номиналы">Справочная!$F$4:$G$13</definedName>
    <definedName name="гофра_пвх">Справочная_потребители!$Z$4:$AB$9</definedName>
    <definedName name="гофра_пнд">Справочная_потребители!$AD$4:$AF$9</definedName>
    <definedName name="Для_диапазонов">'В Акад'!$B$3:$M$4000</definedName>
    <definedName name="Для_расчета_кабелей">Кабельный_журнал!$I$5:$W$1000</definedName>
    <definedName name="Исходные_данные">'Исходные данные'!$A$3:$AT$1000</definedName>
    <definedName name="Итог_щит_1">'В Акад'!$P$2:$U$6</definedName>
    <definedName name="Итог_щит_2">'В Акад'!$P$9:$U$13</definedName>
    <definedName name="Кабель_диаметр">Справочная_потребители!$T$4:$X$503</definedName>
    <definedName name="Кабель_номиналы">Справочная!$I$4:$J$19</definedName>
    <definedName name="Кабель_обозначение">Справочная!$L$4:$N$51</definedName>
    <definedName name="Кабель_сопротивление">Справочная!$B$4:$D$19</definedName>
    <definedName name="Кабельный_журнал">Кабельный_журнал!$P$5:$AB$1000</definedName>
    <definedName name="Мин_автомат_БП">Справочная!$BF$5</definedName>
    <definedName name="Модели_список">OFFSET(Каталог!$AB$3,0,0,1+MAX(Каталог!$AA$4:$AA$500),1)</definedName>
    <definedName name="Модули_спр">Каталог!$C$4:$F$500</definedName>
    <definedName name="Нагрузка_диапазон_1">Нагрузка_щитов!$D$2:$I$1000</definedName>
    <definedName name="Нумерация_щитов_1">Разбивка_по_щитам!$A$3:$A$1000</definedName>
    <definedName name="Нумерация_щитов_2">Разбивка_по_щитам!$B$3:$B$1000</definedName>
    <definedName name="Потребители_обозначение">Справочная!$P$4:$Y$51</definedName>
    <definedName name="Разбивка_нумерация_1">Разбивка_по_щитам!$A$3:$U$1000</definedName>
    <definedName name="Разбивка_нумерация_2">Разбивка_по_щитам!$B$3:$U$1000</definedName>
    <definedName name="Разбивка_нумерация_4">Разбивка_по_щитам!$D$2:$U$1000</definedName>
    <definedName name="Разбивка_нумерация_5">Разбивка_по_щитам!$E$2:$U$1000</definedName>
    <definedName name="Спецификация">Спецификация!$B$3:$J$60</definedName>
    <definedName name="Список_автоматов">OFFSET(Каталог!$X$3,0,0,1+MAX(Каталог!$W$4:$W$500),1)</definedName>
    <definedName name="Список_аппаратов">OFFSET(Каталог!$Z$4,0,0,MAX(1,MAX(Каталог!$Y$4:$Y$500)),1)</definedName>
    <definedName name="Список_модулей">OFFSET(Каталог!$AB$3,0,0,1+MAX(Каталог!$AA$4:$AA$500),1)</definedName>
    <definedName name="Список_произв">OFFSET(Каталог!$AD$3,0,0,1+MAX(Каталог!$AC$4:$AC$500),1)</definedName>
    <definedName name="Справочная_двигатели">Справочная_потребители!$B$4:$K$37</definedName>
    <definedName name="Справочная_ЛЭД">Справочная_потребители!$M$4:$O$19</definedName>
    <definedName name="Справочная_ПТО">Справочная!$AJ$4:$AK$200</definedName>
    <definedName name="Столбцов_на_лист">Справочная!$BF$4</definedName>
    <definedName name="УГО_блоки">Справочная!$BA$4:$BC$30</definedName>
    <definedName name="УГО_спр">Справочная!$AU$4:$AY$72</definedName>
    <definedName name="Управление_цвета">Справочная!$AQ$4:$AS$10</definedName>
    <definedName name="Щит_1">INDIRECT(Диапазоны!$C$4):INDIRECT(Диапазоны!$F$4)</definedName>
    <definedName name="Щит_2">INDIRECT(Диапазоны!$C$5):INDIRECT(Диапазоны!$F$5)</definedName>
    <definedName name="Этаж_обозначение">Справочная!$AD$4:$AG$19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<sst xmlns="http://schemas.openxmlformats.org/spreadsheetml/2006/main" count="8495" uniqueCount="1046">
  <si>
    <t>Номер линии</t>
  </si>
  <si>
    <t>Мощность, кВт</t>
  </si>
  <si>
    <t>Кол-во фаз</t>
  </si>
  <si>
    <t>Марку кабеля</t>
  </si>
  <si>
    <t>Косинус</t>
  </si>
  <si>
    <t>Синус</t>
  </si>
  <si>
    <t>Сечение</t>
  </si>
  <si>
    <t>Активное сопротивление</t>
  </si>
  <si>
    <t>Индуктивное сопротивление</t>
  </si>
  <si>
    <t>Коэффициент фазности</t>
  </si>
  <si>
    <t>Потери, В</t>
  </si>
  <si>
    <t>Потери, %</t>
  </si>
  <si>
    <t>Щит</t>
  </si>
  <si>
    <t>Ток</t>
  </si>
  <si>
    <t>Наименование</t>
  </si>
  <si>
    <t>фаза</t>
  </si>
  <si>
    <t>Автомат</t>
  </si>
  <si>
    <t>Не исп</t>
  </si>
  <si>
    <t>Кабель</t>
  </si>
  <si>
    <t>Обознач</t>
  </si>
  <si>
    <t>мс</t>
  </si>
  <si>
    <t>ВВГнг(А)-LS</t>
  </si>
  <si>
    <t>мфр</t>
  </si>
  <si>
    <t>Кол-во жил</t>
  </si>
  <si>
    <t>Индуктивное, Ом/км</t>
  </si>
  <si>
    <t>Активное, Ом/км</t>
  </si>
  <si>
    <t>ток</t>
  </si>
  <si>
    <t>мощность</t>
  </si>
  <si>
    <t>номер линии</t>
  </si>
  <si>
    <t>УГО (заполняется в двг!)</t>
  </si>
  <si>
    <t>Кабель проиежуточный</t>
  </si>
  <si>
    <t>Сечение (ручное)</t>
  </si>
  <si>
    <t>автомат (ручное)</t>
  </si>
  <si>
    <t>Начало диапазона</t>
  </si>
  <si>
    <t>высота</t>
  </si>
  <si>
    <t>ширина</t>
  </si>
  <si>
    <t>окончание диапазона</t>
  </si>
  <si>
    <t>Нумерация 1</t>
  </si>
  <si>
    <t>Нумерация 2</t>
  </si>
  <si>
    <t>Нумерация 3</t>
  </si>
  <si>
    <t>Мощность</t>
  </si>
  <si>
    <t>Итог</t>
  </si>
  <si>
    <t>P</t>
  </si>
  <si>
    <t>кВт</t>
  </si>
  <si>
    <t>L1</t>
  </si>
  <si>
    <t>L2</t>
  </si>
  <si>
    <t>L3</t>
  </si>
  <si>
    <t>P(L)</t>
  </si>
  <si>
    <t>%</t>
  </si>
  <si>
    <t>ΔP(L)</t>
  </si>
  <si>
    <t>Фаза (Ручная)</t>
  </si>
  <si>
    <t>Фаза (автоматическая)</t>
  </si>
  <si>
    <t>Фазность</t>
  </si>
  <si>
    <t>Фаза (Итог)</t>
  </si>
  <si>
    <t>Рр=</t>
  </si>
  <si>
    <t>Руст=</t>
  </si>
  <si>
    <t>Iр=</t>
  </si>
  <si>
    <t>Cos(ф)=</t>
  </si>
  <si>
    <t>Кс=</t>
  </si>
  <si>
    <t>L1р=</t>
  </si>
  <si>
    <t>L2р=</t>
  </si>
  <si>
    <t>L3р=</t>
  </si>
  <si>
    <t>А</t>
  </si>
  <si>
    <t>Нумерация 4</t>
  </si>
  <si>
    <t>Маркировка кабеля</t>
  </si>
  <si>
    <t>Трасса</t>
  </si>
  <si>
    <t>Испытания</t>
  </si>
  <si>
    <t>Начало</t>
  </si>
  <si>
    <t>Конец</t>
  </si>
  <si>
    <t>По проекту</t>
  </si>
  <si>
    <t>Проложено</t>
  </si>
  <si>
    <t>Длина трассы, м</t>
  </si>
  <si>
    <t>Марка</t>
  </si>
  <si>
    <t>Количество кабелей и сечение жил</t>
  </si>
  <si>
    <t>Длина, м</t>
  </si>
  <si>
    <t>Дата прокладки</t>
  </si>
  <si>
    <t>Промежуточное значение 1</t>
  </si>
  <si>
    <t>Промежуточное значение 2</t>
  </si>
  <si>
    <t>Промежуточное значение 3</t>
  </si>
  <si>
    <t>Промежуточное значение 4</t>
  </si>
  <si>
    <t>R</t>
  </si>
  <si>
    <t>Розеточная группа</t>
  </si>
  <si>
    <t>Потребитель</t>
  </si>
  <si>
    <t>L</t>
  </si>
  <si>
    <t>Группа освещения</t>
  </si>
  <si>
    <t>Этаж</t>
  </si>
  <si>
    <t>Третий этаж</t>
  </si>
  <si>
    <t>Цокольный этаж</t>
  </si>
  <si>
    <t>0</t>
  </si>
  <si>
    <t>1</t>
  </si>
  <si>
    <t>2</t>
  </si>
  <si>
    <t>3</t>
  </si>
  <si>
    <t>Подъем</t>
  </si>
  <si>
    <t>По другим этажам</t>
  </si>
  <si>
    <t>Опуск</t>
  </si>
  <si>
    <t>1 - этаж/2 - шлейф</t>
  </si>
  <si>
    <t>Длина линии (по плану)</t>
  </si>
  <si>
    <t>ютп</t>
  </si>
  <si>
    <t>Сечение (1-да; 2 -нет)</t>
  </si>
  <si>
    <t>Длина линии (Итог)</t>
  </si>
  <si>
    <t>КЖ</t>
  </si>
  <si>
    <t>Поз</t>
  </si>
  <si>
    <t>Наименование и техническая характеристика</t>
  </si>
  <si>
    <t>Тип, марка, обозначение документа</t>
  </si>
  <si>
    <t>Код оборудования, изделия, материала</t>
  </si>
  <si>
    <t>Завод изготовитель</t>
  </si>
  <si>
    <t>Кол-во</t>
  </si>
  <si>
    <t>Масса</t>
  </si>
  <si>
    <t>Примечание</t>
  </si>
  <si>
    <t>Ед. измерения</t>
  </si>
  <si>
    <t>Длина</t>
  </si>
  <si>
    <t>На листе "Кабельный журнал" есть сводная таблица кабелей</t>
  </si>
  <si>
    <t>НЕЛЬЗЯ трогать ячейки выделенные синим цветом!!!</t>
  </si>
  <si>
    <t>НЕЛЬЗЯ вставлять столбцы</t>
  </si>
  <si>
    <t>Заполнить!!!</t>
  </si>
  <si>
    <t>Номинал автомата нужен для расчета сечения кабеля, для других целей не используется</t>
  </si>
  <si>
    <t>Уровень напряжения</t>
  </si>
  <si>
    <t>Наименование (ручное)</t>
  </si>
  <si>
    <t>Помещение</t>
  </si>
  <si>
    <t>Для потерь</t>
  </si>
  <si>
    <t>Для наименования</t>
  </si>
  <si>
    <t>Этаж/Шлейф</t>
  </si>
  <si>
    <t>Кол-во потребителей (для длины)</t>
  </si>
  <si>
    <t>Запас</t>
  </si>
  <si>
    <t>Ввод</t>
  </si>
  <si>
    <t>Ввод питающей линии</t>
  </si>
  <si>
    <t>B</t>
  </si>
  <si>
    <t>Вытяжной вентилятор</t>
  </si>
  <si>
    <t>Нумерация 5</t>
  </si>
  <si>
    <t>ре</t>
  </si>
  <si>
    <t>ПУГВ</t>
  </si>
  <si>
    <t>Начало линии</t>
  </si>
  <si>
    <t>Нельзя вырезать данные (ctrl+x)</t>
  </si>
  <si>
    <t>Потолок - 1/Пол - 2</t>
  </si>
  <si>
    <t>Потолок/пол</t>
  </si>
  <si>
    <t>ПТО</t>
  </si>
  <si>
    <t>Артикул</t>
  </si>
  <si>
    <t>МСК001</t>
  </si>
  <si>
    <t>МСК002</t>
  </si>
  <si>
    <t>МСК003</t>
  </si>
  <si>
    <t>МСК004</t>
  </si>
  <si>
    <t>МСК005</t>
  </si>
  <si>
    <t>МСК006</t>
  </si>
  <si>
    <t>МСК007</t>
  </si>
  <si>
    <t>МСК008</t>
  </si>
  <si>
    <t>МСК009</t>
  </si>
  <si>
    <t>МСК010</t>
  </si>
  <si>
    <t>МСК011</t>
  </si>
  <si>
    <t>МСК012</t>
  </si>
  <si>
    <t>МСК013</t>
  </si>
  <si>
    <t>МСК014</t>
  </si>
  <si>
    <t>МСК015</t>
  </si>
  <si>
    <t>МСК016</t>
  </si>
  <si>
    <t>МСК017</t>
  </si>
  <si>
    <t>МСК018</t>
  </si>
  <si>
    <t>МСК019</t>
  </si>
  <si>
    <t>МСК020</t>
  </si>
  <si>
    <t>МСК021</t>
  </si>
  <si>
    <t>МСК022</t>
  </si>
  <si>
    <t>МСК023</t>
  </si>
  <si>
    <t>МСК024</t>
  </si>
  <si>
    <t>МСК025</t>
  </si>
  <si>
    <t>МСК026</t>
  </si>
  <si>
    <t>МСК027</t>
  </si>
  <si>
    <t>МСК028</t>
  </si>
  <si>
    <t>МСК029</t>
  </si>
  <si>
    <t>МСК030</t>
  </si>
  <si>
    <t>МСК031</t>
  </si>
  <si>
    <t>МСК032</t>
  </si>
  <si>
    <t>МСК033</t>
  </si>
  <si>
    <t>МСК034</t>
  </si>
  <si>
    <t>МСК035</t>
  </si>
  <si>
    <t>МСК036</t>
  </si>
  <si>
    <t>МСК037</t>
  </si>
  <si>
    <t>МСК038</t>
  </si>
  <si>
    <t>МСК041</t>
  </si>
  <si>
    <t>МСК042</t>
  </si>
  <si>
    <t>МСК043</t>
  </si>
  <si>
    <t>МСК044</t>
  </si>
  <si>
    <t>МСК045</t>
  </si>
  <si>
    <t>МСК046</t>
  </si>
  <si>
    <t>МСК047</t>
  </si>
  <si>
    <t>МСК048</t>
  </si>
  <si>
    <t>МСК049</t>
  </si>
  <si>
    <t>МСК050</t>
  </si>
  <si>
    <t>МСК051</t>
  </si>
  <si>
    <t>МСК052</t>
  </si>
  <si>
    <t>МСК053</t>
  </si>
  <si>
    <t>МСК054</t>
  </si>
  <si>
    <t>МСК055</t>
  </si>
  <si>
    <t>МСК056</t>
  </si>
  <si>
    <t>МСК057</t>
  </si>
  <si>
    <t>МСК058</t>
  </si>
  <si>
    <t>МСК059</t>
  </si>
  <si>
    <t>МСК060</t>
  </si>
  <si>
    <t>МСК061</t>
  </si>
  <si>
    <t>МСК062</t>
  </si>
  <si>
    <t>МСК063</t>
  </si>
  <si>
    <t>МСК064</t>
  </si>
  <si>
    <t>МСК065</t>
  </si>
  <si>
    <t>МСК066</t>
  </si>
  <si>
    <t>МСК067</t>
  </si>
  <si>
    <t>МСК068</t>
  </si>
  <si>
    <t>МСК069</t>
  </si>
  <si>
    <t>МСК070</t>
  </si>
  <si>
    <t>МСК071</t>
  </si>
  <si>
    <t>МСК072</t>
  </si>
  <si>
    <t>МСК073</t>
  </si>
  <si>
    <t>МСК074</t>
  </si>
  <si>
    <t>МСК075</t>
  </si>
  <si>
    <t>мб</t>
  </si>
  <si>
    <t>ВБШвнг(А)-LS</t>
  </si>
  <si>
    <t>МСК040</t>
  </si>
  <si>
    <t>КГВВнг(А)-LS</t>
  </si>
  <si>
    <t>кмб</t>
  </si>
  <si>
    <t>кмс</t>
  </si>
  <si>
    <t>КВБбШвнг(А)-LS 14x2.5</t>
  </si>
  <si>
    <t>ППГнг(А)-FRHF</t>
  </si>
  <si>
    <t>мшф</t>
  </si>
  <si>
    <t>ППГнг(А)-HF</t>
  </si>
  <si>
    <t>Артикул ПТО</t>
  </si>
  <si>
    <t>Кабель (1-потолок/2-пол)</t>
  </si>
  <si>
    <t>Все ячейки, кроме нужных - заблокированы</t>
  </si>
  <si>
    <t>На листе "Кабельный журнал" есть сводная таблица артикулов прокладки</t>
  </si>
  <si>
    <t>Промежуточный расчет</t>
  </si>
  <si>
    <r>
      <t xml:space="preserve">Если какая-то ячейка выделилась </t>
    </r>
    <r>
      <rPr>
        <sz val="11"/>
        <color rgb="FFFF0000"/>
        <rFont val="Calibri"/>
        <family val="2"/>
        <charset val="204"/>
        <scheme val="minor"/>
      </rPr>
      <t>красным</t>
    </r>
    <r>
      <rPr>
        <sz val="11"/>
        <color theme="1"/>
        <rFont val="Calibri"/>
        <family val="2"/>
        <scheme val="minor"/>
      </rPr>
      <t xml:space="preserve"> - значит есть нарушение (ГОСТа, расчета или иное), меняй значения во вводимых данных. Выделенная ячейка как-то связана с ошибкой</t>
    </r>
  </si>
  <si>
    <t>Ведомость изменений</t>
  </si>
  <si>
    <t>1.01 Демо</t>
  </si>
  <si>
    <t>Создание таблицы</t>
  </si>
  <si>
    <t>1.02 Демо</t>
  </si>
  <si>
    <t>Исправлены некоторые ошибки в расчетах</t>
  </si>
  <si>
    <t>1.03 Демо</t>
  </si>
  <si>
    <t>Добавлено выделение ячеек красным при нарушении потерь напряжения, добавлено выделение ячейки с кол-вом электроприемников</t>
  </si>
  <si>
    <t>Нельзя добавлять строки</t>
  </si>
  <si>
    <t>Тип кабеля</t>
  </si>
  <si>
    <t>Пол/Потолок</t>
  </si>
  <si>
    <t>1.04а Демо</t>
  </si>
  <si>
    <t>ВВГнг(А)-FRLS</t>
  </si>
  <si>
    <t>1.Исправлена ошибка автоназвания потребителя, если нет порядкового номера.
2.Добавлена возможность корректировки Кс и косинуса на листе "Нагрузка_Щитов" (ошибка защиты листа).
3.Начато исправление ошибки ненахождение артикулов на ПК с разделительным знаком "," в таблице ПТО в справочной.</t>
  </si>
  <si>
    <t>ВБШВнг(А)-LS</t>
  </si>
  <si>
    <t>1.04.2а Демо</t>
  </si>
  <si>
    <t>Ведомость неисправляемых ошибок</t>
  </si>
  <si>
    <t>Все резервы идут под одинаковой фазой, нет возможности задать в ручную</t>
  </si>
  <si>
    <t>КВБбШвнг(А)-LS</t>
  </si>
  <si>
    <t>Наименование предыдущего участка</t>
  </si>
  <si>
    <t>Наименование конечного участка</t>
  </si>
  <si>
    <t>Длина
уч-ка, м</t>
  </si>
  <si>
    <t>I а.в., А</t>
  </si>
  <si>
    <r>
      <t>Сеч. пров-ка, мм</t>
    </r>
    <r>
      <rPr>
        <vertAlign val="superscript"/>
        <sz val="10"/>
        <rFont val="Arial"/>
        <family val="2"/>
        <charset val="204"/>
      </rPr>
      <t>2</t>
    </r>
  </si>
  <si>
    <r>
      <t>r</t>
    </r>
    <r>
      <rPr>
        <b/>
        <sz val="10"/>
        <rFont val="Arial Cyr"/>
        <family val="2"/>
        <charset val="204"/>
      </rPr>
      <t xml:space="preserve"> , </t>
    </r>
    <r>
      <rPr>
        <sz val="10"/>
        <rFont val="Arial Cyr"/>
        <charset val="204"/>
      </rPr>
      <t xml:space="preserve">
ом*мм/м</t>
    </r>
  </si>
  <si>
    <t>Сопротивление, Ом</t>
  </si>
  <si>
    <t>Ток к.з.</t>
  </si>
  <si>
    <t>Фазного</t>
  </si>
  <si>
    <t>Нулевого</t>
  </si>
  <si>
    <t>Уч-ка</t>
  </si>
  <si>
    <t>Пред. уч.</t>
  </si>
  <si>
    <t>Общее</t>
  </si>
  <si>
    <t>I окз, А</t>
  </si>
  <si>
    <t>I окз/In</t>
  </si>
  <si>
    <t>Номинал трансформатора, кВа</t>
  </si>
  <si>
    <t>ТП</t>
  </si>
  <si>
    <t>ВРУ</t>
  </si>
  <si>
    <t>Наименование линии</t>
  </si>
  <si>
    <t>Материал проводника</t>
  </si>
  <si>
    <t>Алюм</t>
  </si>
  <si>
    <t>Медь</t>
  </si>
  <si>
    <t>Хар-ка автомата</t>
  </si>
  <si>
    <t>C</t>
  </si>
  <si>
    <t>D</t>
  </si>
  <si>
    <t>Хар-ка</t>
  </si>
  <si>
    <t>Предельная отключающая способность</t>
  </si>
  <si>
    <t>Icu</t>
  </si>
  <si>
    <t>с</t>
  </si>
  <si>
    <t>С</t>
  </si>
  <si>
    <t>В</t>
  </si>
  <si>
    <t>Д</t>
  </si>
  <si>
    <t>алюм</t>
  </si>
  <si>
    <t>Тип потребителя:
щит/потреб</t>
  </si>
  <si>
    <t>щит</t>
  </si>
  <si>
    <t>потреб</t>
  </si>
  <si>
    <t>медь</t>
  </si>
  <si>
    <t>1.04.2б Демо</t>
  </si>
  <si>
    <t>КПД</t>
  </si>
  <si>
    <t>Cos(ф) 3ф</t>
  </si>
  <si>
    <t>Cos(ф) 1ф</t>
  </si>
  <si>
    <t>Двигатели</t>
  </si>
  <si>
    <t>Светодиоды</t>
  </si>
  <si>
    <t>Iп/Iн, 1ф</t>
  </si>
  <si>
    <t>Iп/Iн, 3ф</t>
  </si>
  <si>
    <t>Iп, А</t>
  </si>
  <si>
    <t>Iн 220, А</t>
  </si>
  <si>
    <t>Iн 380</t>
  </si>
  <si>
    <t>Iп 380</t>
  </si>
  <si>
    <t>Iн 220</t>
  </si>
  <si>
    <t>Iп 220</t>
  </si>
  <si>
    <t>Добавлен лист токов КЗ для тестирования, добавлена справочная с Iп (не внедрен в расчеты)</t>
  </si>
  <si>
    <t>1.04.2в Демо</t>
  </si>
  <si>
    <t>Исправлены некоторые ошибки в диапазонах</t>
  </si>
  <si>
    <t>Iпуск</t>
  </si>
  <si>
    <t>Iпуск 1</t>
  </si>
  <si>
    <t>Iпуск 2</t>
  </si>
  <si>
    <t>Пусковой ток 1 - нет/2 - двигатель/3-свет</t>
  </si>
  <si>
    <t>Iпуск (1ф)</t>
  </si>
  <si>
    <t>Iпуск (3ф)</t>
  </si>
  <si>
    <t>1.05 Демо</t>
  </si>
  <si>
    <t>Листы расставлены в порядке заполнения (Справочная&gt;Исходные данные&gt;Разбивка по щитам&gt;ТКЗ&gt;Нагрузка щитов&gt;Спецификация), прочие листы - системные</t>
  </si>
  <si>
    <t>Версия таблицы 1.05 Демо</t>
  </si>
  <si>
    <t>Cos(фи)</t>
  </si>
  <si>
    <t>Pполн</t>
  </si>
  <si>
    <t>кВАр</t>
  </si>
  <si>
    <t>Добавлен расчет пусковых токов, добавлен авто Cos(фи) (Нагрузка_щитов)
Добавлен расчет КРМ + рекомндация по установке КРМ (Нагрузка_щитов)</t>
  </si>
  <si>
    <t>КРМ</t>
  </si>
  <si>
    <r>
      <t>t</t>
    </r>
    <r>
      <rPr>
        <vertAlign val="subscript"/>
        <sz val="10"/>
        <color theme="1"/>
        <rFont val="Arial"/>
        <family val="2"/>
        <charset val="204"/>
      </rPr>
      <t>max</t>
    </r>
    <r>
      <rPr>
        <sz val="10"/>
        <color theme="1"/>
        <rFont val="Arial"/>
        <family val="2"/>
        <charset val="204"/>
      </rPr>
      <t xml:space="preserve"> сраб., с</t>
    </r>
  </si>
  <si>
    <t>Iкз min</t>
  </si>
  <si>
    <t>Кабель_диаметр</t>
  </si>
  <si>
    <t>кол-во жил</t>
  </si>
  <si>
    <t>наружный диаметр</t>
  </si>
  <si>
    <t>ПуГВ</t>
  </si>
  <si>
    <t>Дн</t>
  </si>
  <si>
    <t>Дв</t>
  </si>
  <si>
    <t>гофра_ПНД</t>
  </si>
  <si>
    <t>гофра_ПВХ</t>
  </si>
  <si>
    <t>(Серая)</t>
  </si>
  <si>
    <t>(Черная)</t>
  </si>
  <si>
    <t>Расшифровка</t>
  </si>
  <si>
    <t>тпв</t>
  </si>
  <si>
    <t>тпн</t>
  </si>
  <si>
    <t>Труба жесткая ПВХ</t>
  </si>
  <si>
    <t>Труба жесткая ПНД</t>
  </si>
  <si>
    <t>гпв</t>
  </si>
  <si>
    <t>Труба гофрированная ПВХ</t>
  </si>
  <si>
    <t>гпн</t>
  </si>
  <si>
    <t>Труба гофрированная ПНД</t>
  </si>
  <si>
    <t>Напряжение</t>
  </si>
  <si>
    <t>Мин.диам. Трубы</t>
  </si>
  <si>
    <t>Лоток</t>
  </si>
  <si>
    <t>КПСнг?</t>
  </si>
  <si>
    <t>DAXX</t>
  </si>
  <si>
    <t>КСПВГ 4х0.35</t>
  </si>
  <si>
    <t>REXANT (акустика)</t>
  </si>
  <si>
    <t>МКЭШ 2х0.35</t>
  </si>
  <si>
    <t>МКЭШ 4х0.35</t>
  </si>
  <si>
    <t>Гофра ПНД</t>
  </si>
  <si>
    <t>Гофра ПВХ</t>
  </si>
  <si>
    <t>ПВХ</t>
  </si>
  <si>
    <t>ПНД</t>
  </si>
  <si>
    <t>не исп</t>
  </si>
  <si>
    <t>ПВН</t>
  </si>
  <si>
    <t>Ø16</t>
  </si>
  <si>
    <t>Ø20</t>
  </si>
  <si>
    <t>Ø25</t>
  </si>
  <si>
    <t>Ø32</t>
  </si>
  <si>
    <t>Ø40</t>
  </si>
  <si>
    <t>Ø50</t>
  </si>
  <si>
    <t>АСУ</t>
  </si>
  <si>
    <t>ЩР</t>
  </si>
  <si>
    <t>кн</t>
  </si>
  <si>
    <t>SH</t>
  </si>
  <si>
    <t>J-Y(St)Y 2х2х0.8</t>
  </si>
  <si>
    <t>кф</t>
  </si>
  <si>
    <t>КИПЭВ 2х2х0.6</t>
  </si>
  <si>
    <t>кс</t>
  </si>
  <si>
    <t xml:space="preserve"> </t>
  </si>
  <si>
    <t>На ИБП</t>
  </si>
  <si>
    <t>От ИБП</t>
  </si>
  <si>
    <t>Питание на ИБП</t>
  </si>
  <si>
    <t>Питание от ИБП</t>
  </si>
  <si>
    <t>LED</t>
  </si>
  <si>
    <t>Светодиодное освещение</t>
  </si>
  <si>
    <t>R.ШТК</t>
  </si>
  <si>
    <t>Шкаф слаботочных систем</t>
  </si>
  <si>
    <t>R.ЩОПС</t>
  </si>
  <si>
    <t>Щит охранно-пожарной сигнализации</t>
  </si>
  <si>
    <t>Питание системы автоматизации</t>
  </si>
  <si>
    <t>PS-KNX</t>
  </si>
  <si>
    <t>Блок питания шины KNX</t>
  </si>
  <si>
    <t>Шаровый электрокран</t>
  </si>
  <si>
    <t xml:space="preserve">Управление сервоприводом отопления </t>
  </si>
  <si>
    <t xml:space="preserve">Моторзированная нагрузка </t>
  </si>
  <si>
    <t>FTP-Cat.6-4х2х0.52</t>
  </si>
  <si>
    <t>КГВВнг(А)-LS (5х1)</t>
  </si>
  <si>
    <t>кмс1</t>
  </si>
  <si>
    <t>DALI</t>
  </si>
  <si>
    <t>Контролер DALI</t>
  </si>
  <si>
    <t>Группа светодиодного освещения</t>
  </si>
  <si>
    <t>АПС</t>
  </si>
  <si>
    <t>Реле АПС</t>
  </si>
  <si>
    <t>Внутренний блок кондиционера</t>
  </si>
  <si>
    <t>ПВ</t>
  </si>
  <si>
    <t>Приточно-вытяжная установка</t>
  </si>
  <si>
    <t>УВ</t>
  </si>
  <si>
    <t>Увлажнитель</t>
  </si>
  <si>
    <t>ПН</t>
  </si>
  <si>
    <t>Проточный водонагреватель</t>
  </si>
  <si>
    <t>WD</t>
  </si>
  <si>
    <t>Датчик протечки</t>
  </si>
  <si>
    <t>VK</t>
  </si>
  <si>
    <t>Выключатель нажимной</t>
  </si>
  <si>
    <t>КУП</t>
  </si>
  <si>
    <t>Коробка уравнивания потенциалов</t>
  </si>
  <si>
    <t>Заземляющая шина</t>
  </si>
  <si>
    <t>R.GSM</t>
  </si>
  <si>
    <t>Щит усиления соловой связи</t>
  </si>
  <si>
    <t>Теплый пол</t>
  </si>
  <si>
    <t>Управление сервоприводом теплого пола</t>
  </si>
  <si>
    <t>TE-ТП</t>
  </si>
  <si>
    <t>TE-O</t>
  </si>
  <si>
    <t>ЭK</t>
  </si>
  <si>
    <t>K</t>
  </si>
  <si>
    <t>ПУ</t>
  </si>
  <si>
    <t>Приточная установка</t>
  </si>
  <si>
    <t>PE</t>
  </si>
  <si>
    <t>Управление сервоприводом отопления   Пом. №07</t>
  </si>
  <si>
    <t>Управление сервоприводом отопления   Пом. №012</t>
  </si>
  <si>
    <t>Управление сервоприводом отопления   Пом. №14</t>
  </si>
  <si>
    <t xml:space="preserve">Управление сервоприводом отопления   Пом. №19 </t>
  </si>
  <si>
    <t xml:space="preserve">Управление сервоприводом отопления   Пом. №20 </t>
  </si>
  <si>
    <t>Управление сервоприводом теплого пола  Пом. №05</t>
  </si>
  <si>
    <t>Управление сервоприводом теплого пола  Пом. №4</t>
  </si>
  <si>
    <t>Управление сервоприводом теплого пола  Пом. №01</t>
  </si>
  <si>
    <t>Управление сервоприводом теплого пола  Пом. №14</t>
  </si>
  <si>
    <t>Управление сервоприводом теплого пола  Пом. №17</t>
  </si>
  <si>
    <t>Управление сервоприводом теплого пола  Пом. №18</t>
  </si>
  <si>
    <t>Управление сервоприводом отопления   Пом. №08 (2 сервопривода)</t>
  </si>
  <si>
    <t>Управление сервоприводом отопления   Пом. №14(3 сервопривода)</t>
  </si>
  <si>
    <t>Управление сервоприводом теплого пола  Пом. №11 (2 сервопривода)</t>
  </si>
  <si>
    <t>Управление сервоприводом теплого пола  Пом. №14 (2 сервопривода)</t>
  </si>
  <si>
    <t>Вводнораспределительное оборудование ЩР</t>
  </si>
  <si>
    <t>Крыша и основание RAL9005 с направляющими для корпусов CQE N, ШхГ 800х400 мм, комплект RAM block</t>
  </si>
  <si>
    <t>Стойки вертикальные RAL7035 для корпусов CQE N, В=1800 мм, комплект - 4 шт. RAM block</t>
  </si>
  <si>
    <t>Панель задняя для корпусов CQE N, ВхШ 1800х800 мм RAM block</t>
  </si>
  <si>
    <t>Углы цоколя с пластиковыми заглушками для корпусов CQE &amp; CQE N, В=200 мм, RAL9005, комплект - 4 шт. RAM block</t>
  </si>
  <si>
    <t>Панели цоколя для корпусов CQE &amp; CQE N, ШхГ 800 мм, В=200 мм, RAL9005, комплект - 2 шт. RAM block</t>
  </si>
  <si>
    <t>Фиксатор панели цоколя R5NFP, R5NFPB для корпусов CQE &amp; CQE N, комплект - 4 шт. RAM block</t>
  </si>
  <si>
    <t>Комплект</t>
  </si>
  <si>
    <t>Рейка широкая поперечная для корпусов CQE &amp; CQE N, Ш=800 мм, упаковка - 4 шт. RAM block</t>
  </si>
  <si>
    <t>Рейка для фиксации кабеля для корпусов CQE N, Ш=800 мм, упаковка - 2 шт. RAM block</t>
  </si>
  <si>
    <t>Комплект кабелей заземления CQE RAM block</t>
  </si>
  <si>
    <t>П-образный профиль для защиты кромок, для дверей и панелей RAM block</t>
  </si>
  <si>
    <t>Упаковка</t>
  </si>
  <si>
    <t>Метр</t>
  </si>
  <si>
    <t>1.1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</si>
  <si>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</si>
  <si>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</si>
  <si>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</si>
  <si>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</si>
  <si>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</si>
  <si>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</si>
  <si>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</si>
  <si>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</si>
  <si>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</si>
  <si>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</si>
  <si>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</si>
  <si>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</si>
  <si>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1.14</t>
  </si>
  <si>
    <t>1.15</t>
  </si>
  <si>
    <t>1.16</t>
  </si>
  <si>
    <t>1.17</t>
  </si>
  <si>
    <t>Рейки широкие вертикальные для корпусов CQE N, В=1800 мм, упаковка - 2 шт. RAM block</t>
  </si>
  <si>
    <t>R5NPDV18</t>
  </si>
  <si>
    <t>R5NKTB84</t>
  </si>
  <si>
    <t>R5NKMN18</t>
  </si>
  <si>
    <t>R5NCRE1880</t>
  </si>
  <si>
    <t>R5NBP02B</t>
  </si>
  <si>
    <t>R5NFPB82</t>
  </si>
  <si>
    <t>R5NKFP02</t>
  </si>
  <si>
    <t>R5NPDF800</t>
  </si>
  <si>
    <t>R5NPAC800</t>
  </si>
  <si>
    <t>R5ES01</t>
  </si>
  <si>
    <t>R5PP01</t>
  </si>
  <si>
    <t>DKC</t>
  </si>
  <si>
    <t>Концевой выключатель с двумя контактами, нормально открытый + нормально закрытый (NO+NC). С поворотным регулируемым рычажным роликом</t>
  </si>
  <si>
    <t>R5MC131</t>
  </si>
  <si>
    <t>шт.</t>
  </si>
  <si>
    <t>Светодиодная лента COB-X480-4mm 24V Day4000 (4 W/m, IP20, CSP, 5m) (Arlight, -) 042031</t>
  </si>
  <si>
    <t>042031</t>
  </si>
  <si>
    <t>arlight</t>
  </si>
  <si>
    <t>Chint</t>
  </si>
  <si>
    <t>EKF</t>
  </si>
  <si>
    <t>Контактор модульный NCH8-63/40 63А 4НО AC220/230В, 50Гц ®</t>
  </si>
  <si>
    <t>256101</t>
  </si>
  <si>
    <t>Модульный переключатель NZK1-32 2P 32А 3 положения ®</t>
  </si>
  <si>
    <t>643001</t>
  </si>
  <si>
    <t>4</t>
  </si>
  <si>
    <t>Автоматические выключатели серии NB1-63 1P 16А 6кА х-ка C (DB) (R)</t>
  </si>
  <si>
    <t>179616</t>
  </si>
  <si>
    <t>Автоматические выключатели серии NB1-63 1P 10А 6кА х-ка C (DB) ®</t>
  </si>
  <si>
    <t>179614</t>
  </si>
  <si>
    <t>20</t>
  </si>
  <si>
    <t>982114</t>
  </si>
  <si>
    <t>Дифавтоматы (АВДТ) серии NB1L 1P+N C16 30мА тип A 6кА, электромеханический ®</t>
  </si>
  <si>
    <t>203019</t>
  </si>
  <si>
    <t>Контактор модульный NCH8-40/40 40А 4НО AC220/230В, 50Гц ®</t>
  </si>
  <si>
    <t>256099</t>
  </si>
  <si>
    <t>Arlight</t>
  </si>
  <si>
    <t xml:space="preserve">Диммер SMART-DALI-104-62-ADDR-DIM-DT6-DIN White (12-24V, 4x5A) </t>
  </si>
  <si>
    <t>028422</t>
  </si>
  <si>
    <t>Модуль защиты контактов MK-5-1</t>
  </si>
  <si>
    <t>EA06.002.001</t>
  </si>
  <si>
    <t>Россия</t>
  </si>
  <si>
    <t>5</t>
  </si>
  <si>
    <t xml:space="preserve">Универсальный источник питания KNX </t>
  </si>
  <si>
    <t>ZPSU640</t>
  </si>
  <si>
    <t>Zennio</t>
  </si>
  <si>
    <t>Многофункциональный актуатор KNX</t>
  </si>
  <si>
    <t>ZIOMB24V2</t>
  </si>
  <si>
    <t>Универсальный 4х-канальный диммер 220V</t>
  </si>
  <si>
    <t>ZDINDX4</t>
  </si>
  <si>
    <t>Интерфейс KNX-DALI</t>
  </si>
  <si>
    <t>ZDID64X2</t>
  </si>
  <si>
    <t>Модуль входов с 8 аналогово-цифровыми входами</t>
  </si>
  <si>
    <t>ZIO-RQUAD8</t>
  </si>
  <si>
    <t>Клемма проходная, зажим push-in, 2 точки подключения, 4 кв.мм, серая</t>
  </si>
  <si>
    <t>VPR-4-GY</t>
  </si>
  <si>
    <t>15</t>
  </si>
  <si>
    <t>Клемма проходная, зажим push-in, 2 точки подключения, 4 кв.мм, синяя</t>
  </si>
  <si>
    <t>VPR-4-BU</t>
  </si>
  <si>
    <t>Клемма заземления, зажим push-in, 2 точки подключения, 4 кв.мм</t>
  </si>
  <si>
    <t>VPR-4-PE-YG</t>
  </si>
  <si>
    <t>Изолятор торцевой для клеммы VPR-4</t>
  </si>
  <si>
    <t>D-VPR-4</t>
  </si>
  <si>
    <t>Клемма трехуровневая, зажим push-in, 6 точек подключения, 2.5 кв.мм, серая</t>
  </si>
  <si>
    <t>VPR-2.5-3L-GY</t>
  </si>
  <si>
    <t>100</t>
  </si>
  <si>
    <t>Изолятор торцевой для клеммы VPR-2.5-3L</t>
  </si>
  <si>
    <t>D-VPR-2.5-3L</t>
  </si>
  <si>
    <t>Перемычка вставная, для клемм на 2.5 кв.мм, 10-и полюсная</t>
  </si>
  <si>
    <t>SBF-10-5</t>
  </si>
  <si>
    <t>Торцевой фиксатор на рейку 35мм, ширина 9,5 мм</t>
  </si>
  <si>
    <t>UK-E</t>
  </si>
  <si>
    <t xml:space="preserve">Провод ПуГВ 1,5 кв. мм красный, многопроволочный </t>
  </si>
  <si>
    <t>ПуГВ 1.5</t>
  </si>
  <si>
    <t>РЭК</t>
  </si>
  <si>
    <t>м.</t>
  </si>
  <si>
    <t>Провод ПуГВ 1,5 кв. мм белый, многопроволочный</t>
  </si>
  <si>
    <t xml:space="preserve">Провод ПуГВ 1,5 кв. мм черный, многопроволочный </t>
  </si>
  <si>
    <t xml:space="preserve">Провод ПуГВ 1,5 кв. мм синий, многопроволочный </t>
  </si>
  <si>
    <t xml:space="preserve">Провод ПуГВ 2,5 кв. мм красный, многопроволочный </t>
  </si>
  <si>
    <t>ПуГВ 2.5</t>
  </si>
  <si>
    <t>Провод ПуГВ 2,5 кв. мм белый, многопроволочный</t>
  </si>
  <si>
    <t xml:space="preserve">Провод ПуГВ 2,5 кв. мм черный, многопроволочный </t>
  </si>
  <si>
    <t xml:space="preserve">Провод ПуГВ 2,5 кв. мм синий, многопроволочный </t>
  </si>
  <si>
    <t xml:space="preserve">Провод ПуГВ 4 кв. мм красный, многопроволочный </t>
  </si>
  <si>
    <t>ПуГВ 4</t>
  </si>
  <si>
    <t>30</t>
  </si>
  <si>
    <t>Провод ПуГВ 4 кв. мм белый, многопроволочный</t>
  </si>
  <si>
    <t xml:space="preserve">Провод ПуГВ 4 кв. мм черный, многопроволочный </t>
  </si>
  <si>
    <t xml:space="preserve">Провод ПуГВ 4 кв. мм синий, многопроволочный </t>
  </si>
  <si>
    <t>Наконечник НШВИ 1.5-12 (100шт)</t>
  </si>
  <si>
    <t>79441</t>
  </si>
  <si>
    <t>КВТ</t>
  </si>
  <si>
    <t>упак.</t>
  </si>
  <si>
    <t>Наконечник НШВИ(2) 1.5-12 (100шт)</t>
  </si>
  <si>
    <t>Наконечник НШВИ 2.5-12 (100шт)</t>
  </si>
  <si>
    <t>Наконечник НШВИ(2) 2.5-13 (100шт)</t>
  </si>
  <si>
    <t>79469</t>
  </si>
  <si>
    <t>Наконечник НШВИ 4.0–12 (100шт)</t>
  </si>
  <si>
    <t>79447</t>
  </si>
  <si>
    <t>Наконечник НШВИ(2) 4.0-12 (100шт)</t>
  </si>
  <si>
    <t>79470</t>
  </si>
  <si>
    <t>Огнетушитель порошковый самосрабатывающий</t>
  </si>
  <si>
    <t>ОСП-1</t>
  </si>
  <si>
    <t>Термостат модульный с регулируемым диапазоном температуры -10…+80°C, NO-контакт</t>
  </si>
  <si>
    <t>R5MTHNO</t>
  </si>
  <si>
    <t>Вентилятор с фильтром RV 44/46 м3/ч, 230 В, 150x150 мм, IP54</t>
  </si>
  <si>
    <t>R5RV12230</t>
  </si>
  <si>
    <t>Вентиляционная решетка с фильтром RF 150x150 мм, IP54</t>
  </si>
  <si>
    <t>R5RF12</t>
  </si>
  <si>
    <t xml:space="preserve">Расходные материалы (наконечники для кабелей ПуГВ, бирки, термоусадка 4-х цветов (Б,Ч,К,С)стяжки, изолента и т. д.) </t>
  </si>
  <si>
    <t>комп.</t>
  </si>
  <si>
    <t>6</t>
  </si>
  <si>
    <t xml:space="preserve">Блок питания ARV-DRP480-PFC-24 (24V, 20A, 480W) </t>
  </si>
  <si>
    <t>040231</t>
  </si>
  <si>
    <t>9</t>
  </si>
  <si>
    <t>Реле контроля напряжения и тока NJVA1-100 3P+N 100А</t>
  </si>
  <si>
    <t>508572</t>
  </si>
  <si>
    <t>LD</t>
  </si>
  <si>
    <t>Питание подсветок</t>
  </si>
  <si>
    <t>L1,L2,L3</t>
  </si>
  <si>
    <t>37</t>
  </si>
  <si>
    <t>816139</t>
  </si>
  <si>
    <t>Автоматические выключатель CHINT NXB-125 3P C80 10кА х-ка C ®</t>
  </si>
  <si>
    <t>Автоматические выключатели серии NB1-63 4P 50А 6кА х-ка C (DB) ®</t>
  </si>
  <si>
    <t>34</t>
  </si>
  <si>
    <t>Шина нулевая в корпусе (4x15)</t>
  </si>
  <si>
    <t>sn0-4x15</t>
  </si>
  <si>
    <t>Шина нулевая в корпусе (4x7)</t>
  </si>
  <si>
    <t>sn0-4x7</t>
  </si>
  <si>
    <t>Дифавтоматы (АВДТ) серии  NB1L 1P+N C32 30мА тип A 6кА, электромеханический (R)</t>
  </si>
  <si>
    <t xml:space="preserve">Провод ПуГВ 1,5 кв. мм Ж/З, многопроволочный </t>
  </si>
  <si>
    <t>150</t>
  </si>
  <si>
    <t>50</t>
  </si>
  <si>
    <t xml:space="preserve">Провод ПуГВ 2,5 кв. мм Ж/З, многопроволочный </t>
  </si>
  <si>
    <t xml:space="preserve">Провод ПуГВ 4 кв. мм Ж/З, многопроволочный </t>
  </si>
  <si>
    <t>10</t>
  </si>
  <si>
    <t xml:space="preserve">Провод ПуГВ 16 кв. мм красный, многопроволочный </t>
  </si>
  <si>
    <t>Провод ПуГВ 16 кв. мм белый, многопроволочный</t>
  </si>
  <si>
    <t xml:space="preserve">Провод ПуГВ 16 кв. мм черный, многопроволочный </t>
  </si>
  <si>
    <t xml:space="preserve">Провод ПуГВ 16 кв. мм синий, многопроволочный </t>
  </si>
  <si>
    <t xml:space="preserve">Провод ПуГВ 16 кв. мм Ж/З, многопроволочный </t>
  </si>
  <si>
    <t>12</t>
  </si>
  <si>
    <t>8</t>
  </si>
  <si>
    <t>ПуГВ 16</t>
  </si>
  <si>
    <t>Наконечник НШВИ 16–12 (100шт)</t>
  </si>
  <si>
    <t>Наконечник НШВИ(2) 16–14 (100шт)</t>
  </si>
  <si>
    <t>40</t>
  </si>
  <si>
    <t>Автоматические выключатели серии NB1-63 3P 20А 6кА х-ка C (DB)</t>
  </si>
  <si>
    <t>Дифавтоматы (АВДТ) серии NB1L 1P+N C20 30мА тип A 6кА, электромеханический ®</t>
  </si>
  <si>
    <t>203296</t>
  </si>
  <si>
    <t>Клемма проходная, зажим push-in, 2 точки подключения, 6 кв.мм, серая</t>
  </si>
  <si>
    <t>VPR-6-GY</t>
  </si>
  <si>
    <t>Клемма проходная, зажим push-in, 2 точки подключения, 6 кв.мм, синяя</t>
  </si>
  <si>
    <t>VPR-6-BU</t>
  </si>
  <si>
    <t>Клемма заземления, зажим push-in, 2 точки подключения, 6 кв.мм</t>
  </si>
  <si>
    <t>VPR-6-PE-YG</t>
  </si>
  <si>
    <t>Изолятор торцевой для клеммы VPR-6</t>
  </si>
  <si>
    <t>D-VPR-6</t>
  </si>
  <si>
    <t>220</t>
  </si>
  <si>
    <t>Клемма проходная, зажим push-in, 2 точки подключения, 16 кв.мм, серая</t>
  </si>
  <si>
    <t>VPR-16-GY</t>
  </si>
  <si>
    <t>Клемма проходная, зажим push-in, 2 точки подключения, 16 кв.мм, синяя</t>
  </si>
  <si>
    <t>VPR-16-BU</t>
  </si>
  <si>
    <t>Клемма заземления, зажим push-in, 2 точки подключения, 16 кв.мм</t>
  </si>
  <si>
    <t>VPR-16-PE-YG</t>
  </si>
  <si>
    <t>Изолятор торцевой для клемм VPR-16</t>
  </si>
  <si>
    <t>D-VPR-16</t>
  </si>
  <si>
    <t>Клемма проходная, зажим push-in, 4 точки подключения, 2.5 кв.мм, серая</t>
  </si>
  <si>
    <t>VPR-2.5-QUATTRO-GY</t>
  </si>
  <si>
    <t>Дверь стеклянная для корпусов CQE N, ВхШ 1800x800 мм RAM block</t>
  </si>
  <si>
    <t>R5NCPTE1880</t>
  </si>
  <si>
    <t>Профиль: Arlight MIC-M-2000 ANOD, алюминий, накладной, 2 м</t>
  </si>
  <si>
    <t>Рассеиватель: Arlight Экран матовый для PDS, MIC, 2 м</t>
  </si>
  <si>
    <t>044541</t>
  </si>
  <si>
    <t>012037</t>
  </si>
  <si>
    <t>1.18</t>
  </si>
  <si>
    <t>1.19</t>
  </si>
  <si>
    <t>1.20</t>
  </si>
  <si>
    <t>1.21</t>
  </si>
  <si>
    <t>1.22</t>
  </si>
  <si>
    <t>1.23</t>
  </si>
  <si>
    <t>1.24</t>
  </si>
  <si>
    <t>1.25</t>
  </si>
  <si>
    <t>1.26</t>
  </si>
  <si>
    <t>1.27</t>
  </si>
  <si>
    <t>1.28</t>
  </si>
  <si>
    <t>1.29</t>
  </si>
  <si>
    <t>1.30</t>
  </si>
  <si>
    <t>1.31</t>
  </si>
  <si>
    <t>1.32</t>
  </si>
  <si>
    <t>1.33</t>
  </si>
  <si>
    <t>1.34</t>
  </si>
  <si>
    <t>1.35</t>
  </si>
  <si>
    <t>1.36</t>
  </si>
  <si>
    <t>1.37</t>
  </si>
  <si>
    <t>1.38</t>
  </si>
  <si>
    <t>1.39</t>
  </si>
  <si>
    <t>1.40</t>
  </si>
  <si>
    <t>1.41</t>
  </si>
  <si>
    <t>1.42</t>
  </si>
  <si>
    <t>1.43</t>
  </si>
  <si>
    <t>1.44</t>
  </si>
  <si>
    <t>1.45</t>
  </si>
  <si>
    <t>1.46</t>
  </si>
  <si>
    <t>1.47</t>
  </si>
  <si>
    <t>1.48</t>
  </si>
  <si>
    <t>1.49</t>
  </si>
  <si>
    <t>1.50</t>
  </si>
  <si>
    <t>1.51</t>
  </si>
  <si>
    <t>1.52</t>
  </si>
  <si>
    <t>1.53</t>
  </si>
  <si>
    <t>1.54</t>
  </si>
  <si>
    <t>1.55</t>
  </si>
  <si>
    <t>1.56</t>
  </si>
  <si>
    <t>1.57</t>
  </si>
  <si>
    <t>1.58</t>
  </si>
  <si>
    <t>1.59</t>
  </si>
  <si>
    <t>1.60</t>
  </si>
  <si>
    <t>1.61</t>
  </si>
  <si>
    <t>1.62</t>
  </si>
  <si>
    <t>1.63</t>
  </si>
  <si>
    <t>1.64</t>
  </si>
  <si>
    <t>1.65</t>
  </si>
  <si>
    <t>1.66</t>
  </si>
  <si>
    <t>1.67</t>
  </si>
  <si>
    <t>1.68</t>
  </si>
  <si>
    <t>1.69</t>
  </si>
  <si>
    <t>1.70</t>
  </si>
  <si>
    <t>1.71</t>
  </si>
  <si>
    <t>1.72</t>
  </si>
  <si>
    <t>1.73</t>
  </si>
  <si>
    <t>1.74</t>
  </si>
  <si>
    <t>1.75</t>
  </si>
  <si>
    <t>1.76</t>
  </si>
  <si>
    <t>1.77</t>
  </si>
  <si>
    <t>1.78</t>
  </si>
  <si>
    <t>1.79</t>
  </si>
  <si>
    <t>1.80</t>
  </si>
  <si>
    <t>1.81</t>
  </si>
  <si>
    <t>1.82</t>
  </si>
  <si>
    <t>1.83</t>
  </si>
  <si>
    <t>1.84</t>
  </si>
  <si>
    <t>1.85</t>
  </si>
  <si>
    <t>1.86</t>
  </si>
  <si>
    <t>1.87</t>
  </si>
  <si>
    <t>1.88</t>
  </si>
  <si>
    <t>1.89</t>
  </si>
  <si>
    <t>Блок питания ARV-DRP75-24 (24V, 3.15A, 75W)</t>
  </si>
  <si>
    <t>040232</t>
  </si>
  <si>
    <t>Блок питания ARV-DR135-12 (12V, 11.3A, 135W)</t>
  </si>
  <si>
    <t>035699</t>
  </si>
  <si>
    <t>Блок питания ARV-DR15-12 (12V, 1.25A, 15W)</t>
  </si>
  <si>
    <t>034670</t>
  </si>
  <si>
    <t>1.90</t>
  </si>
  <si>
    <t>1.91</t>
  </si>
  <si>
    <t>КМН</t>
  </si>
  <si>
    <t>Электрокамин</t>
  </si>
  <si>
    <t>МЕСТО</t>
  </si>
  <si>
    <t>ШИНА</t>
  </si>
  <si>
    <t>АВТОМАТ</t>
  </si>
  <si>
    <t>АППАРАТЫ (по порядку после автомата)</t>
  </si>
  <si>
    <t>МОДУЛЬ / КАНАЛ</t>
  </si>
  <si>
    <t>КЛЕММА</t>
  </si>
  <si>
    <t>КАБЕЛЬ</t>
  </si>
  <si>
    <t>ОТХОДЯЩАЯ ЛИНИЯ</t>
  </si>
  <si>
    <t>ПРОВЕРКИ</t>
  </si>
  <si>
    <t>СЛУЖЕБНОЕ — сюда можно не смотреть</t>
  </si>
  <si>
    <t>расчётные (скрыты, «+» над столбцами)</t>
  </si>
  <si>
    <t>SX_DATA</t>
  </si>
  <si>
    <t>№
места</t>
  </si>
  <si>
    <t>Лист
схемы</t>
  </si>
  <si>
    <t>Шина
(пусто =
основная)</t>
  </si>
  <si>
    <t>Автомат
«авто» или текст
(1-я строка группы)</t>
  </si>
  <si>
    <t>30 мА
да / нет
(пусто = авто)</t>
  </si>
  <si>
    <t>QF</t>
  </si>
  <si>
    <t>Аппарат 1
(МК-5-1, КМ,
T 24V 100W, БП…)</t>
  </si>
  <si>
    <t>Аппарат 2</t>
  </si>
  <si>
    <t>Аппарат 3</t>
  </si>
  <si>
    <t>Модуль
(модель в начале,
«-» = конец)</t>
  </si>
  <si>
    <t>Модуль</t>
  </si>
  <si>
    <t>Канал
(пусто = авто,
№, + = р б/к)</t>
  </si>
  <si>
    <t>Канал</t>
  </si>
  <si>
    <t>Клемма</t>
  </si>
  <si>
    <t>Линия</t>
  </si>
  <si>
    <t>Р, кВт</t>
  </si>
  <si>
    <t>Ток, А</t>
  </si>
  <si>
    <t>Фаза</t>
  </si>
  <si>
    <t>Режим
(«вручную» —
не рисовать)</t>
  </si>
  <si>
    <t>Ток
группы, А</t>
  </si>
  <si>
    <t>Номинал
по току, А</t>
  </si>
  <si>
    <t>Модель
модуля</t>
  </si>
  <si>
    <t>Цепь одной строкой</t>
  </si>
  <si>
    <t>гр.</t>
  </si>
  <si>
    <t>QF гр.</t>
  </si>
  <si>
    <t>модуль гр.</t>
  </si>
  <si>
    <t>модель гр.</t>
  </si>
  <si>
    <t>QF нач.</t>
  </si>
  <si>
    <t>фаз</t>
  </si>
  <si>
    <t>код</t>
  </si>
  <si>
    <t>30мА лин.</t>
  </si>
  <si>
    <t>в кабель выше</t>
  </si>
  <si>
    <t>по току</t>
  </si>
  <si>
    <t>мин. по кабелям</t>
  </si>
  <si>
    <t>номинал</t>
  </si>
  <si>
    <t>фаз гр.</t>
  </si>
  <si>
    <t>30мА гр.</t>
  </si>
  <si>
    <t>полюса</t>
  </si>
  <si>
    <t>номинал итог</t>
  </si>
  <si>
    <t>префикс</t>
  </si>
  <si>
    <t>модуль нач.</t>
  </si>
  <si>
    <t>посл. канал</t>
  </si>
  <si>
    <t>клемма</t>
  </si>
  <si>
    <t>аппараты гр.</t>
  </si>
  <si>
    <t>БП/тр-р</t>
  </si>
  <si>
    <t>draw</t>
  </si>
  <si>
    <t>bus2</t>
  </si>
  <si>
    <t>rcd</t>
  </si>
  <si>
    <t>chtype</t>
  </si>
  <si>
    <t>dev1</t>
  </si>
  <si>
    <t>dev2</t>
  </si>
  <si>
    <t>dev3</t>
  </si>
  <si>
    <t>sym</t>
  </si>
  <si>
    <t>hasline</t>
  </si>
  <si>
    <t>вручную</t>
  </si>
  <si>
    <t>ZIO-MB24</t>
  </si>
  <si>
    <t>ZIOMB8V3</t>
  </si>
  <si>
    <t>уточнить-Z</t>
  </si>
  <si>
    <t>уточнить-R</t>
  </si>
  <si>
    <t>Модули умного дома (дополняйте)</t>
  </si>
  <si>
    <t>Код потребителя → УГО и 30 мА по умолчанию</t>
  </si>
  <si>
    <t>Настройки</t>
  </si>
  <si>
    <t>Модель</t>
  </si>
  <si>
    <t>Префикс</t>
  </si>
  <si>
    <t>Каналов</t>
  </si>
  <si>
    <t>Тип</t>
  </si>
  <si>
    <t>В проекте</t>
  </si>
  <si>
    <t>Код</t>
  </si>
  <si>
    <t>УГО</t>
  </si>
  <si>
    <t>30 мА</t>
  </si>
  <si>
    <t>Столбцов схемы на лист A3</t>
  </si>
  <si>
    <t>реле 16А</t>
  </si>
  <si>
    <t>SOCKET</t>
  </si>
  <si>
    <t>нет</t>
  </si>
  <si>
    <t>Мин. автомат перед БП / трансформатором, А</t>
  </si>
  <si>
    <t>ZIOMB16V3</t>
  </si>
  <si>
    <t>реле</t>
  </si>
  <si>
    <t>Итоги по однолинейке</t>
  </si>
  <si>
    <t>да</t>
  </si>
  <si>
    <t>Автоматов всего</t>
  </si>
  <si>
    <t>ZCL-8HT230</t>
  </si>
  <si>
    <t>клапаны 230В</t>
  </si>
  <si>
    <t>LAMP</t>
  </si>
  <si>
    <t xml:space="preserve">  из них с 30 мА (QFD)</t>
  </si>
  <si>
    <t>Di</t>
  </si>
  <si>
    <t>диммер</t>
  </si>
  <si>
    <t>Клемм XT (3-уровн.)</t>
  </si>
  <si>
    <t>DA</t>
  </si>
  <si>
    <t>шлюз DALI</t>
  </si>
  <si>
    <t>Перемычек «в один кабель»</t>
  </si>
  <si>
    <t>реле — МОДЕЛЬ УТОЧНИТЬ (R6 в DWG)</t>
  </si>
  <si>
    <t>Перемычек «тот же канал»</t>
  </si>
  <si>
    <t>Z</t>
  </si>
  <si>
    <t>датчики протечки — МОДЕЛЬ УТОЧНИТЬ (Z.1 в DWG)</t>
  </si>
  <si>
    <t>MOTOR</t>
  </si>
  <si>
    <t>Модулей всего</t>
  </si>
  <si>
    <t>Ошибок по автоматам</t>
  </si>
  <si>
    <t>Ошибок по каналам</t>
  </si>
  <si>
    <t>К</t>
  </si>
  <si>
    <t>Как подбирается автомат («авто»)</t>
  </si>
  <si>
    <t>HEAT</t>
  </si>
  <si>
    <t>1. Ток группы = сумма токов линий группы (линия в нескольких строках считается один раз).</t>
  </si>
  <si>
    <t>2. Номинал по току — по вашей таблице «Автомат_номиналы» (Справочная F:G).</t>
  </si>
  <si>
    <t>VALVE</t>
  </si>
  <si>
    <t>ЭК</t>
  </si>
  <si>
    <t>TE</t>
  </si>
  <si>
    <t>SERVO</t>
  </si>
  <si>
    <t xml:space="preserve">   Если в цепочке аппаратов есть БП/трансформатор — кабели вторички им не защищаются: берётся ток и мин. номинал (K4).</t>
  </si>
  <si>
    <t>ТЕ</t>
  </si>
  <si>
    <t>5. Полюса: 3 фазы → 3P (4P с 30 мА), 1 фаза → 1P (2P с 30 мА).</t>
  </si>
  <si>
    <t>BOX</t>
  </si>
  <si>
    <t>6. 30 мА: столбец «30 мА» (да/нет) или по коду потребителя из таблицы слева (R, ТП, ПН = да).</t>
  </si>
  <si>
    <t>7. Свой текст в «Автомат» (например «2P С20А 30мА») — используется как есть и проверяется.</t>
  </si>
  <si>
    <t>DWG: гофра ПВХ по плану, м</t>
  </si>
  <si>
    <t>DWG: гофра ПНД по плану, м</t>
  </si>
  <si>
    <t>DWG: хэндлы полилиний</t>
  </si>
  <si>
    <t>DWG: примечание</t>
  </si>
  <si>
    <t xml:space="preserve">830A6F </t>
  </si>
  <si>
    <t xml:space="preserve">830D88 </t>
  </si>
  <si>
    <t xml:space="preserve">830D86 </t>
  </si>
  <si>
    <t xml:space="preserve">830D8A </t>
  </si>
  <si>
    <t xml:space="preserve">830AB6 </t>
  </si>
  <si>
    <t xml:space="preserve">83114A </t>
  </si>
  <si>
    <t xml:space="preserve">830B92 </t>
  </si>
  <si>
    <t xml:space="preserve">830B94 </t>
  </si>
  <si>
    <t xml:space="preserve">830B91 </t>
  </si>
  <si>
    <t xml:space="preserve">830B4A </t>
  </si>
  <si>
    <t xml:space="preserve">830AB9 </t>
  </si>
  <si>
    <t xml:space="preserve">830D89 </t>
  </si>
  <si>
    <t xml:space="preserve">830AB8 </t>
  </si>
  <si>
    <t xml:space="preserve">830C22 </t>
  </si>
  <si>
    <t xml:space="preserve">830ABA </t>
  </si>
  <si>
    <t>авто</t>
  </si>
  <si>
    <t>XT1</t>
  </si>
  <si>
    <t>XT2</t>
  </si>
  <si>
    <t>XT3</t>
  </si>
  <si>
    <t>XT4</t>
  </si>
  <si>
    <t>XT5</t>
  </si>
  <si>
    <t>XT6</t>
  </si>
  <si>
    <t>XT7</t>
  </si>
  <si>
    <t>XT8</t>
  </si>
  <si>
    <t>XT9</t>
  </si>
  <si>
    <t>XT10</t>
  </si>
  <si>
    <t>XT11</t>
  </si>
  <si>
    <t>XT12</t>
  </si>
  <si>
    <t>XT13</t>
  </si>
  <si>
    <t>XT14</t>
  </si>
  <si>
    <t>XT15</t>
  </si>
  <si>
    <t>XT16</t>
  </si>
  <si>
    <t>XT17</t>
  </si>
  <si>
    <t>XT18</t>
  </si>
  <si>
    <t>XT19</t>
  </si>
  <si>
    <t>XT20</t>
  </si>
  <si>
    <t>XT21</t>
  </si>
  <si>
    <t>XT22</t>
  </si>
  <si>
    <t>XT23</t>
  </si>
  <si>
    <t>XT24</t>
  </si>
  <si>
    <t xml:space="preserve">8321B3 </t>
  </si>
  <si>
    <t xml:space="preserve">830ABB </t>
  </si>
  <si>
    <t xml:space="preserve">83459D </t>
  </si>
  <si>
    <t>Доп информация из выноски</t>
  </si>
  <si>
    <t>830ABA</t>
  </si>
  <si>
    <t>H=550</t>
  </si>
  <si>
    <t>830A6F</t>
  </si>
  <si>
    <t>светильник в одном блоке с розетками H=1200; H=200; H=1200</t>
  </si>
  <si>
    <t>8321B3</t>
  </si>
  <si>
    <t>полотенцесушители H=300</t>
  </si>
  <si>
    <t>830D88</t>
  </si>
  <si>
    <t>H=670 стиральная машина</t>
  </si>
  <si>
    <t>830D86</t>
  </si>
  <si>
    <t>H=670 сушильная машина</t>
  </si>
  <si>
    <t>830D89</t>
  </si>
  <si>
    <t>H=350</t>
  </si>
  <si>
    <t>830D8A</t>
  </si>
  <si>
    <t>H=1000</t>
  </si>
  <si>
    <t>830AB6</t>
  </si>
  <si>
    <t>83114A</t>
  </si>
  <si>
    <t>H=1450; H=350</t>
  </si>
  <si>
    <t>830B92</t>
  </si>
  <si>
    <t>H=1300</t>
  </si>
  <si>
    <t>830B94</t>
  </si>
  <si>
    <t>H=1050</t>
  </si>
  <si>
    <t>830B4A</t>
  </si>
  <si>
    <t>H=150; H=200</t>
  </si>
  <si>
    <t>830B91</t>
  </si>
  <si>
    <t>H=150; H=650</t>
  </si>
  <si>
    <t>830AB8</t>
  </si>
  <si>
    <t>H=760 вывод из пола; H=1000</t>
  </si>
  <si>
    <t>830AB9</t>
  </si>
  <si>
    <t>H=50 холодильник</t>
  </si>
  <si>
    <t>830ABB</t>
  </si>
  <si>
    <t>H=550 Духовой шкаф</t>
  </si>
  <si>
    <t>83459D</t>
  </si>
  <si>
    <t>H=550 СВЧ</t>
  </si>
  <si>
    <t>830C22</t>
  </si>
  <si>
    <t>H=700 ПММ, измельчитель</t>
  </si>
  <si>
    <t>830B48</t>
  </si>
  <si>
    <t>H=1800 вытяжка</t>
  </si>
  <si>
    <t>830B49</t>
  </si>
  <si>
    <t>запас 5 метров вывод H=550мм для варочной поверхности ВЫВОДЫ ПО КУХНЕ СМ. ПО ТЗ. ПОСТАВЩИКА</t>
  </si>
  <si>
    <t>830C23</t>
  </si>
  <si>
    <t>H=1012; H=1300; H=200</t>
  </si>
  <si>
    <t>830C24</t>
  </si>
  <si>
    <t>830A6D</t>
  </si>
  <si>
    <t>H=250; H=1600</t>
  </si>
  <si>
    <t>830A6C</t>
  </si>
  <si>
    <t>830C6C</t>
  </si>
  <si>
    <t>H=350; H=1500</t>
  </si>
  <si>
    <t>830C6D</t>
  </si>
  <si>
    <t>H=950; H=1250</t>
  </si>
  <si>
    <t>830A6E</t>
  </si>
  <si>
    <t>H=200; H=200 2 розетки H=850</t>
  </si>
  <si>
    <t>830A73</t>
  </si>
  <si>
    <t>H=200 2 розетки H=850; H=1200</t>
  </si>
  <si>
    <t>830A74</t>
  </si>
  <si>
    <t>H=200; H=1000</t>
  </si>
  <si>
    <t>R.1.05.11</t>
  </si>
  <si>
    <t>R.1.09.1</t>
  </si>
  <si>
    <t>R.1.07.3</t>
  </si>
  <si>
    <t>R.1.03.4</t>
  </si>
  <si>
    <t>R.1.03.3</t>
  </si>
  <si>
    <t>R.1.03.2</t>
  </si>
  <si>
    <t>R.1.03.1</t>
  </si>
  <si>
    <t>R.1.01.1</t>
  </si>
  <si>
    <t>R.1.02.1</t>
  </si>
  <si>
    <t>R.1.07.1</t>
  </si>
  <si>
    <t>R.1.07.2</t>
  </si>
  <si>
    <t>R.1.06.1</t>
  </si>
  <si>
    <t>R.1.06.2</t>
  </si>
  <si>
    <t>R.1.05.10</t>
  </si>
  <si>
    <t>R.1.05.7</t>
  </si>
  <si>
    <t>R.1.05.9</t>
  </si>
  <si>
    <t>R.1.05.8</t>
  </si>
  <si>
    <t>R.1.05.6</t>
  </si>
  <si>
    <t>R.1.05.5</t>
  </si>
  <si>
    <t>R.1.05.4</t>
  </si>
  <si>
    <t>R.1.05.3</t>
  </si>
  <si>
    <t>R.1.05.2</t>
  </si>
  <si>
    <t>R.1.05.1</t>
  </si>
  <si>
    <t>R.1.14.1</t>
  </si>
  <si>
    <t>R.1.10.1</t>
  </si>
  <si>
    <t>R.1.10.2</t>
  </si>
  <si>
    <t>R.1.09.2</t>
  </si>
  <si>
    <t>R.1.08.2</t>
  </si>
  <si>
    <t>R.1.08.1</t>
  </si>
  <si>
    <t>L.1.06.1</t>
  </si>
  <si>
    <t>L.1.10.2</t>
  </si>
  <si>
    <t>83249D</t>
  </si>
  <si>
    <t>Relay</t>
  </si>
  <si>
    <t>L.1.04.2</t>
  </si>
  <si>
    <t>83249E</t>
  </si>
  <si>
    <t>L.1.01.1</t>
  </si>
  <si>
    <t>83249F</t>
  </si>
  <si>
    <t>L.1.04.1</t>
  </si>
  <si>
    <t>8324C8</t>
  </si>
  <si>
    <t>L.1.08.1</t>
  </si>
  <si>
    <t>L.1.14.2</t>
  </si>
  <si>
    <t>831C17</t>
  </si>
  <si>
    <t>L.1.14.1</t>
  </si>
  <si>
    <t>831C18</t>
  </si>
  <si>
    <t>L.1.10.1</t>
  </si>
  <si>
    <t>831BEE 831BCC</t>
  </si>
  <si>
    <t>L.1.02.1</t>
  </si>
  <si>
    <t>831AEF</t>
  </si>
  <si>
    <t>L.2.13.1</t>
  </si>
  <si>
    <t>83184F</t>
  </si>
  <si>
    <t>L.2.08.1</t>
  </si>
  <si>
    <t>L.2.01.1</t>
  </si>
  <si>
    <t>L.2.05.2</t>
  </si>
  <si>
    <t>8319BD</t>
  </si>
  <si>
    <t>L.2.05.1</t>
  </si>
  <si>
    <t>8318DA</t>
  </si>
  <si>
    <t>L.2.12.1</t>
  </si>
  <si>
    <t>83184D</t>
  </si>
  <si>
    <t>L.2.12.2</t>
  </si>
  <si>
    <t>83188F</t>
  </si>
  <si>
    <t>с кнопки H=3650</t>
  </si>
  <si>
    <t>L.2.13.2</t>
  </si>
  <si>
    <t>Relay H=4000 H=3750</t>
  </si>
  <si>
    <t>L.2.09.1</t>
  </si>
  <si>
    <t>Relay H=4000</t>
  </si>
  <si>
    <t>L.1.06.2</t>
  </si>
  <si>
    <t>8324F1</t>
  </si>
  <si>
    <t>L.1.08.2</t>
  </si>
  <si>
    <t>83249C</t>
  </si>
  <si>
    <t>831C1B 831C19</t>
  </si>
  <si>
    <t>831AF0</t>
  </si>
  <si>
    <t>L.2.11.1</t>
  </si>
  <si>
    <t>Марка кабеля</t>
  </si>
  <si>
    <t>Рабочее напряжение</t>
  </si>
  <si>
    <t>L.2.09.2</t>
  </si>
  <si>
    <t>83184E</t>
  </si>
  <si>
    <t>Группы не в щите</t>
  </si>
  <si>
    <t>Нет в ст. H</t>
  </si>
  <si>
    <t>Розеточная группа  Пом. №03 Сушильная машина</t>
  </si>
  <si>
    <t>Розеточная группа  Пом. №03 Стиральная машина</t>
  </si>
  <si>
    <t>Розеточная группа  Пом. №05 Варочная поверхность</t>
  </si>
  <si>
    <t>Розеточная группа  Пом. №05 Вытяжка</t>
  </si>
  <si>
    <t>Розеточная группа  Пом. №05 ПММ, измельчитель</t>
  </si>
  <si>
    <t>Розеточная группа  Пом. №05 Холодильник</t>
  </si>
  <si>
    <t>Розеточная группа  Пом. №05 СВЧ</t>
  </si>
  <si>
    <t>Розеточная группа  Пом. №05 Духовой шкаф</t>
  </si>
  <si>
    <t>Розеточная группа  Пом. №07 Полотенцесушители</t>
  </si>
  <si>
    <t>Макс. автомат
по кабелю, А</t>
  </si>
  <si>
    <t>мин. по типу</t>
  </si>
  <si>
    <t>Мин. автомат, А</t>
  </si>
  <si>
    <t>3. Итоговый номинал = наибольший из: по току и «Мин. автомат» по коду потребителя (столбец I слева: розетки R — 16 А, свет L/LD/LED/DALI — 10 А) и ручного автомата из «Исходных данных».</t>
  </si>
  <si>
    <t xml:space="preserve">    Для группы берётся наибольший минимум среди её линий. Пустая ячейка I = только по току.</t>
  </si>
  <si>
    <t>4. «Макс. автомат по кабелю» = наибольший номинал, который выдерживает сечение линии (по таблице Справочная I:J). Если итоговый номинал больше — «КАБЕЛЬ НЕ ЗАЩИЩЁН».</t>
  </si>
  <si>
    <t>Способ управления</t>
  </si>
  <si>
    <t>Ключ в выноске</t>
  </si>
  <si>
    <t>Цвет номера группы</t>
  </si>
  <si>
    <t>Реле</t>
  </si>
  <si>
    <t>кнопк</t>
  </si>
  <si>
    <t>С кнопки</t>
  </si>
  <si>
    <t>Ключ из AQ ищется в AY. Цвет AS — образец для номера в D.</t>
  </si>
  <si>
    <t>-</t>
  </si>
  <si>
    <t>МК-5-1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</si>
</sst>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204"/>
    </font>
    <font>
      <sz val="11"/>
      <color theme="1"/>
      <name val="GOST 2.304 type A"/>
      <family val="2"/>
      <charset val="204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charset val="204"/>
      <scheme val="minor"/>
    </font>
    <font>
      <b/>
      <sz val="10"/>
      <name val="Arial Cyr"/>
      <family val="2"/>
      <charset val="204"/>
    </font>
    <font>
      <sz val="10"/>
      <color theme="1"/>
      <name val="Arial"/>
      <family val="2"/>
      <charset val="204"/>
    </font>
    <font>
      <vertAlign val="superscript"/>
      <sz val="10"/>
      <name val="Arial"/>
      <family val="2"/>
      <charset val="204"/>
    </font>
    <font>
      <b/>
      <sz val="10"/>
      <name val="GreekS"/>
      <charset val="204"/>
    </font>
    <font>
      <sz val="10"/>
      <name val="Arial Cyr"/>
      <charset val="204"/>
    </font>
    <font>
      <vertAlign val="subscript"/>
      <sz val="10"/>
      <color theme="1"/>
      <name val="Arial"/>
      <family val="2"/>
      <charset val="204"/>
    </font>
    <font>
      <sz val="11"/>
      <color rgb="FF1A1C1F"/>
      <name val="Segoe UI"/>
      <family val="2"/>
      <charset val="204"/>
    </font>
    <font>
      <b/>
      <sz val="11"/>
      <color theme="1"/>
      <name val="GOST 2.304 type A"/>
      <family val="2"/>
      <charset val="204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9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rgb="FFFFFFFF"/>
      <name val="Calibri"/>
      <family val="2"/>
      <scheme val="minor"/>
    </font>
    <font>
      <sz val="11"/>
      <color rgb="FF0000FF"/>
      <name val="Calibri"/>
      <family val="2"/>
      <scheme val="minor"/>
    </font>
    <font>
      <i/>
      <sz val="9"/>
      <color rgb="FF0000FF"/>
      <name val="Calibri"/>
      <family val="2"/>
      <scheme val="minor"/>
    </font>
    <font>
      <i/>
      <sz val="9"/>
      <color rgb="FF666666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EB9C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DE7F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E6F0FA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C6EFCE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rgb="FF7F7F7F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indexed="64"/>
      </left>
      <right/>
      <top/>
      <bottom/>
      <diagonal/>
    </border>
  </borders>
  <cellStyleXfs count="5">
    <xf numFmtId="0" fontId="0" fillId="0" borderId="0"/>
    <xf numFmtId="0" fontId="2" fillId="0" borderId="0"/>
    <xf numFmtId="0" fontId="10" fillId="8" borderId="0" applyNumberFormat="0" applyBorder="0" applyAlignment="0" applyProtection="0"/>
    <xf numFmtId="0" fontId="9" fillId="0" borderId="0"/>
    <xf numFmtId="0" fontId="1" fillId="0" borderId="0"/>
  </cellStyleXfs>
  <cellXfs count="26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2" borderId="3" xfId="0" applyFill="1" applyBorder="1"/>
    <xf numFmtId="0" fontId="0" fillId="0" borderId="3" xfId="0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5" xfId="0" applyBorder="1" applyAlignment="1">
      <alignment horizontal="center" vertical="center"/>
    </xf>
    <xf numFmtId="0" fontId="0" fillId="0" borderId="4" xfId="0" applyBorder="1"/>
    <xf numFmtId="0" fontId="0" fillId="0" borderId="6" xfId="0" applyBorder="1" applyAlignment="1">
      <alignment horizontal="center" vertical="center"/>
    </xf>
    <xf numFmtId="0" fontId="0" fillId="0" borderId="3" xfId="0" applyBorder="1"/>
    <xf numFmtId="0" fontId="0" fillId="4" borderId="3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0" fontId="0" fillId="4" borderId="3" xfId="0" applyNumberFormat="1" applyFill="1" applyBorder="1" applyAlignment="1">
      <alignment horizontal="center" vertical="center"/>
    </xf>
    <xf numFmtId="0" fontId="4" fillId="0" borderId="3" xfId="0" applyFont="1" applyBorder="1"/>
    <xf numFmtId="0" fontId="0" fillId="0" borderId="1" xfId="0" applyBorder="1" applyAlignment="1">
      <alignment horizontal="center" vertical="center" wrapText="1"/>
    </xf>
    <xf numFmtId="2" fontId="0" fillId="0" borderId="0" xfId="0" applyNumberFormat="1"/>
    <xf numFmtId="2" fontId="0" fillId="0" borderId="5" xfId="0" applyNumberForma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/>
    <xf numFmtId="2" fontId="5" fillId="0" borderId="5" xfId="0" applyNumberFormat="1" applyFont="1" applyBorder="1" applyAlignment="1">
      <alignment horizontal="center" vertical="center"/>
    </xf>
    <xf numFmtId="0" fontId="0" fillId="0" borderId="3" xfId="0" quotePrefix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1" fontId="0" fillId="0" borderId="0" xfId="0" applyNumberFormat="1"/>
    <xf numFmtId="1" fontId="0" fillId="0" borderId="3" xfId="0" applyNumberFormat="1" applyBorder="1" applyAlignment="1">
      <alignment horizontal="center" vertical="center"/>
    </xf>
    <xf numFmtId="0" fontId="0" fillId="0" borderId="5" xfId="0" applyBorder="1"/>
    <xf numFmtId="2" fontId="0" fillId="0" borderId="1" xfId="0" applyNumberForma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2" fontId="0" fillId="0" borderId="3" xfId="0" applyNumberFormat="1" applyBorder="1" applyAlignment="1">
      <alignment horizontal="left" vertical="center"/>
    </xf>
    <xf numFmtId="0" fontId="6" fillId="6" borderId="0" xfId="0" applyFont="1" applyFill="1"/>
    <xf numFmtId="0" fontId="0" fillId="2" borderId="5" xfId="0" applyFill="1" applyBorder="1"/>
    <xf numFmtId="0" fontId="0" fillId="2" borderId="5" xfId="0" applyFill="1" applyBorder="1" applyAlignment="1">
      <alignment wrapText="1"/>
    </xf>
    <xf numFmtId="0" fontId="7" fillId="0" borderId="0" xfId="0" applyFont="1"/>
    <xf numFmtId="9" fontId="0" fillId="2" borderId="3" xfId="0" quotePrefix="1" applyNumberForma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2" fontId="0" fillId="0" borderId="19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2" fontId="0" fillId="0" borderId="24" xfId="0" applyNumberForma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2" fontId="0" fillId="0" borderId="25" xfId="0" applyNumberForma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2" fontId="0" fillId="0" borderId="28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2" fontId="0" fillId="0" borderId="27" xfId="0" applyNumberFormat="1" applyBorder="1" applyAlignment="1">
      <alignment horizontal="center" vertical="center"/>
    </xf>
    <xf numFmtId="0" fontId="0" fillId="0" borderId="4" xfId="0" applyBorder="1" applyAlignment="1">
      <alignment wrapText="1"/>
    </xf>
    <xf numFmtId="0" fontId="0" fillId="0" borderId="0" xfId="0" quotePrefix="1" applyAlignment="1">
      <alignment horizontal="center" vertical="center" wrapText="1"/>
    </xf>
    <xf numFmtId="2" fontId="0" fillId="0" borderId="0" xfId="0" applyNumberFormat="1" applyAlignment="1">
      <alignment horizontal="left" vertical="center"/>
    </xf>
    <xf numFmtId="0" fontId="0" fillId="7" borderId="3" xfId="0" applyFill="1" applyBorder="1" applyAlignment="1">
      <alignment horizontal="left" vertical="center"/>
    </xf>
    <xf numFmtId="0" fontId="0" fillId="7" borderId="3" xfId="0" applyFill="1" applyBorder="1" applyAlignment="1">
      <alignment horizontal="center" vertical="center"/>
    </xf>
    <xf numFmtId="0" fontId="0" fillId="7" borderId="3" xfId="0" applyFill="1" applyBorder="1"/>
    <xf numFmtId="0" fontId="0" fillId="0" borderId="3" xfId="0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49" fontId="0" fillId="0" borderId="3" xfId="0" applyNumberFormat="1" applyBorder="1" applyAlignment="1" applyProtection="1">
      <alignment horizontal="center" vertical="center"/>
      <protection locked="0"/>
    </xf>
    <xf numFmtId="0" fontId="0" fillId="0" borderId="18" xfId="0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vertical="center"/>
      <protection locked="0"/>
    </xf>
    <xf numFmtId="0" fontId="0" fillId="0" borderId="25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2" fontId="0" fillId="0" borderId="3" xfId="0" applyNumberFormat="1" applyBorder="1" applyAlignment="1" applyProtection="1">
      <alignment horizontal="center" vertical="center"/>
      <protection locked="0"/>
    </xf>
    <xf numFmtId="0" fontId="0" fillId="5" borderId="0" xfId="0" applyFill="1"/>
    <xf numFmtId="0" fontId="0" fillId="5" borderId="0" xfId="0" applyFill="1" applyAlignment="1">
      <alignment wrapText="1"/>
    </xf>
    <xf numFmtId="0" fontId="0" fillId="0" borderId="0" xfId="0" applyAlignment="1">
      <alignment horizontal="center"/>
    </xf>
    <xf numFmtId="0" fontId="12" fillId="0" borderId="3" xfId="0" applyFont="1" applyBorder="1" applyAlignment="1">
      <alignment horizontal="center" vertical="center" wrapText="1"/>
    </xf>
    <xf numFmtId="0" fontId="12" fillId="0" borderId="3" xfId="1" applyFont="1" applyBorder="1" applyAlignment="1">
      <alignment horizontal="center" vertical="center" wrapText="1"/>
    </xf>
    <xf numFmtId="0" fontId="12" fillId="2" borderId="3" xfId="1" applyFont="1" applyFill="1" applyBorder="1" applyAlignment="1">
      <alignment horizontal="center" vertical="center" wrapText="1"/>
    </xf>
    <xf numFmtId="0" fontId="0" fillId="9" borderId="3" xfId="0" applyFill="1" applyBorder="1"/>
    <xf numFmtId="2" fontId="12" fillId="0" borderId="3" xfId="0" applyNumberFormat="1" applyFont="1" applyBorder="1" applyAlignment="1">
      <alignment horizontal="center" vertical="center" wrapText="1"/>
    </xf>
    <xf numFmtId="0" fontId="12" fillId="2" borderId="3" xfId="1" applyFont="1" applyFill="1" applyBorder="1" applyAlignment="1" applyProtection="1">
      <alignment horizontal="center" vertical="center" wrapText="1"/>
      <protection locked="0"/>
    </xf>
    <xf numFmtId="0" fontId="12" fillId="0" borderId="3" xfId="0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center"/>
    </xf>
    <xf numFmtId="0" fontId="5" fillId="0" borderId="0" xfId="0" applyFont="1" applyProtection="1">
      <protection locked="0"/>
    </xf>
    <xf numFmtId="0" fontId="5" fillId="0" borderId="3" xfId="0" quotePrefix="1" applyFont="1" applyBorder="1" applyAlignment="1" applyProtection="1">
      <alignment horizontal="center" vertical="center"/>
      <protection locked="0"/>
    </xf>
    <xf numFmtId="0" fontId="5" fillId="0" borderId="13" xfId="0" quotePrefix="1" applyFont="1" applyBorder="1" applyAlignment="1">
      <alignment horizontal="center" vertical="center" wrapText="1"/>
    </xf>
    <xf numFmtId="0" fontId="5" fillId="0" borderId="3" xfId="0" quotePrefix="1" applyFont="1" applyBorder="1" applyAlignment="1" applyProtection="1">
      <alignment horizontal="center" vertical="center" wrapText="1"/>
      <protection locked="0"/>
    </xf>
    <xf numFmtId="2" fontId="5" fillId="0" borderId="3" xfId="0" applyNumberFormat="1" applyFont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/>
    </xf>
    <xf numFmtId="2" fontId="5" fillId="0" borderId="3" xfId="0" applyNumberFormat="1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0" borderId="3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 applyProtection="1">
      <alignment horizontal="center" vertical="center"/>
      <protection locked="0"/>
    </xf>
    <xf numFmtId="0" fontId="0" fillId="2" borderId="5" xfId="0" applyFill="1" applyBorder="1" applyAlignment="1">
      <alignment horizontal="center" vertical="center"/>
    </xf>
    <xf numFmtId="2" fontId="0" fillId="10" borderId="3" xfId="0" applyNumberFormat="1" applyFill="1" applyBorder="1" applyAlignment="1" applyProtection="1">
      <alignment horizontal="center" vertical="center"/>
      <protection locked="0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25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2" fontId="0" fillId="4" borderId="3" xfId="0" applyNumberFormat="1" applyFill="1" applyBorder="1" applyAlignment="1" applyProtection="1">
      <alignment horizontal="center" vertical="center"/>
      <protection locked="0"/>
    </xf>
    <xf numFmtId="2" fontId="0" fillId="6" borderId="3" xfId="0" applyNumberFormat="1" applyFill="1" applyBorder="1" applyAlignment="1" applyProtection="1">
      <alignment horizontal="center" vertical="center"/>
      <protection locked="0"/>
    </xf>
    <xf numFmtId="2" fontId="0" fillId="0" borderId="3" xfId="0" applyNumberFormat="1" applyFill="1" applyBorder="1" applyAlignment="1" applyProtection="1">
      <alignment horizontal="center" vertical="center"/>
      <protection locked="0"/>
    </xf>
    <xf numFmtId="2" fontId="0" fillId="2" borderId="3" xfId="0" applyNumberFormat="1" applyFill="1" applyBorder="1" applyAlignment="1" applyProtection="1">
      <alignment horizontal="center" vertical="center"/>
      <protection locked="0"/>
    </xf>
    <xf numFmtId="2" fontId="0" fillId="9" borderId="3" xfId="0" applyNumberFormat="1" applyFill="1" applyBorder="1" applyAlignment="1" applyProtection="1">
      <alignment horizontal="center" vertical="center"/>
      <protection locked="0"/>
    </xf>
    <xf numFmtId="0" fontId="0" fillId="0" borderId="33" xfId="0" applyBorder="1" applyAlignment="1">
      <alignment horizontal="center" vertical="center"/>
    </xf>
    <xf numFmtId="0" fontId="18" fillId="0" borderId="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49" fontId="18" fillId="0" borderId="5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left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2" fontId="0" fillId="0" borderId="3" xfId="0" applyNumberFormat="1" applyBorder="1" applyAlignment="1">
      <alignment horizontal="center" vertical="center"/>
    </xf>
    <xf numFmtId="164" fontId="0" fillId="0" borderId="5" xfId="0" applyNumberFormat="1" applyBorder="1" applyAlignment="1" applyProtection="1">
      <alignment horizontal="center" vertical="center"/>
      <protection locked="0"/>
    </xf>
    <xf numFmtId="0" fontId="0" fillId="0" borderId="3" xfId="0" applyFill="1" applyBorder="1" applyAlignment="1" applyProtection="1">
      <alignment horizontal="center" vertical="center"/>
      <protection locked="0"/>
    </xf>
    <xf numFmtId="49" fontId="5" fillId="0" borderId="32" xfId="0" applyNumberFormat="1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left" vertical="center" wrapText="1"/>
    </xf>
    <xf numFmtId="49" fontId="5" fillId="0" borderId="5" xfId="0" applyNumberFormat="1" applyFont="1" applyFill="1" applyBorder="1" applyAlignment="1">
      <alignment horizontal="center" vertical="center"/>
    </xf>
    <xf numFmtId="49" fontId="5" fillId="0" borderId="3" xfId="0" applyNumberFormat="1" applyFont="1" applyFill="1" applyBorder="1" applyAlignment="1">
      <alignment horizontal="center" vertical="center"/>
    </xf>
    <xf numFmtId="0" fontId="0" fillId="0" borderId="3" xfId="0" applyFill="1" applyBorder="1"/>
    <xf numFmtId="49" fontId="5" fillId="0" borderId="3" xfId="0" applyNumberFormat="1" applyFont="1" applyFill="1" applyBorder="1" applyAlignment="1">
      <alignment horizontal="left" vertical="center" wrapText="1"/>
    </xf>
    <xf numFmtId="0" fontId="0" fillId="11" borderId="0" xfId="0" applyFill="1"/>
    <xf numFmtId="2" fontId="0" fillId="0" borderId="3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22" fillId="15" borderId="34" xfId="0" applyNumberFormat="1" applyFont="1" applyFill="1" applyBorder="1" applyAlignment="1">
      <alignment horizontal="center" vertical="center"/>
    </xf>
    <xf numFmtId="0" fontId="20" fillId="14" borderId="34" xfId="0" applyNumberFormat="1" applyFont="1" applyFill="1" applyBorder="1" applyAlignment="1">
      <alignment horizontal="center" vertical="center" wrapText="1"/>
    </xf>
    <xf numFmtId="0" fontId="21" fillId="0" borderId="0" xfId="0" applyFont="1"/>
    <xf numFmtId="0" fontId="19" fillId="0" borderId="34" xfId="0" applyNumberFormat="1" applyFont="1" applyFill="1" applyBorder="1" applyAlignment="1">
      <alignment vertical="center"/>
    </xf>
    <xf numFmtId="0" fontId="19" fillId="12" borderId="34" xfId="0" applyNumberFormat="1" applyFont="1" applyFill="1" applyBorder="1" applyAlignment="1">
      <alignment vertical="center"/>
    </xf>
    <xf numFmtId="0" fontId="19" fillId="13" borderId="34" xfId="0" applyNumberFormat="1" applyFont="1" applyFill="1" applyBorder="1" applyAlignment="1">
      <alignment horizontal="center" vertical="center"/>
    </xf>
    <xf numFmtId="0" fontId="19" fillId="16" borderId="35" xfId="0" applyNumberFormat="1" applyFont="1" applyFill="1" applyBorder="1" applyAlignment="1">
      <alignment horizontal="center" vertical="center"/>
    </xf>
    <xf numFmtId="0" fontId="20" fillId="16" borderId="35" xfId="0" applyNumberFormat="1" applyFont="1" applyFill="1" applyBorder="1" applyAlignment="1">
      <alignment horizontal="center" vertical="center" wrapText="1"/>
    </xf>
    <xf numFmtId="0" fontId="21" fillId="16" borderId="35" xfId="0" applyNumberFormat="1" applyFont="1" applyFill="1" applyBorder="1" applyAlignment="1">
      <alignment horizontal="center" vertical="center"/>
    </xf>
    <xf numFmtId="0" fontId="19" fillId="16" borderId="34" xfId="0" applyNumberFormat="1" applyFont="1" applyFill="1" applyBorder="1" applyAlignment="1">
      <alignment horizontal="center" vertical="center"/>
    </xf>
    <xf numFmtId="0" fontId="20" fillId="16" borderId="34" xfId="0" applyNumberFormat="1" applyFont="1" applyFill="1" applyBorder="1" applyAlignment="1">
      <alignment horizontal="center" vertical="center" wrapText="1"/>
    </xf>
    <xf numFmtId="0" fontId="19" fillId="12" borderId="35" xfId="0" applyNumberFormat="1" applyFont="1" applyFill="1" applyBorder="1" applyAlignment="1">
      <alignment horizontal="center" vertical="center"/>
    </xf>
    <xf numFmtId="0" fontId="20" fillId="12" borderId="35" xfId="0" applyNumberFormat="1" applyFont="1" applyFill="1" applyBorder="1" applyAlignment="1">
      <alignment horizontal="center" vertical="center" wrapText="1"/>
    </xf>
    <xf numFmtId="0" fontId="21" fillId="17" borderId="35" xfId="0" applyNumberFormat="1" applyFont="1" applyFill="1" applyBorder="1" applyAlignment="1">
      <alignment horizontal="center" vertical="center"/>
    </xf>
    <xf numFmtId="0" fontId="19" fillId="12" borderId="34" xfId="0" applyNumberFormat="1" applyFont="1" applyFill="1" applyBorder="1" applyAlignment="1">
      <alignment horizontal="center" vertical="center"/>
    </xf>
    <xf numFmtId="0" fontId="20" fillId="12" borderId="34" xfId="0" applyNumberFormat="1" applyFont="1" applyFill="1" applyBorder="1" applyAlignment="1">
      <alignment horizontal="center" vertical="center" wrapText="1"/>
    </xf>
    <xf numFmtId="0" fontId="20" fillId="18" borderId="34" xfId="0" applyNumberFormat="1" applyFont="1" applyFill="1" applyBorder="1" applyAlignment="1">
      <alignment horizontal="center" vertical="center"/>
    </xf>
    <xf numFmtId="0" fontId="20" fillId="18" borderId="34" xfId="0" applyNumberFormat="1" applyFont="1" applyFill="1" applyBorder="1" applyAlignment="1">
      <alignment horizontal="center" vertical="center" wrapText="1"/>
    </xf>
    <xf numFmtId="0" fontId="19" fillId="20" borderId="34" xfId="0" applyNumberFormat="1" applyFont="1" applyFill="1" applyBorder="1" applyAlignment="1">
      <alignment horizontal="center" vertical="center"/>
    </xf>
    <xf numFmtId="0" fontId="20" fillId="20" borderId="34" xfId="0" applyNumberFormat="1" applyFont="1" applyFill="1" applyBorder="1" applyAlignment="1">
      <alignment horizontal="center" vertical="center" wrapText="1"/>
    </xf>
    <xf numFmtId="0" fontId="19" fillId="21" borderId="35" xfId="0" applyNumberFormat="1" applyFont="1" applyFill="1" applyBorder="1" applyAlignment="1">
      <alignment horizontal="center" vertical="center"/>
    </xf>
    <xf numFmtId="0" fontId="20" fillId="21" borderId="35" xfId="0" applyNumberFormat="1" applyFont="1" applyFill="1" applyBorder="1" applyAlignment="1">
      <alignment horizontal="center" vertical="center" wrapText="1"/>
    </xf>
    <xf numFmtId="0" fontId="21" fillId="21" borderId="35" xfId="0" applyNumberFormat="1" applyFont="1" applyFill="1" applyBorder="1" applyAlignment="1">
      <alignment horizontal="center" vertical="center"/>
    </xf>
    <xf numFmtId="0" fontId="19" fillId="16" borderId="35" xfId="0" applyNumberFormat="1" applyFont="1" applyFill="1" applyBorder="1" applyAlignment="1">
      <alignment vertical="center"/>
    </xf>
    <xf numFmtId="0" fontId="20" fillId="16" borderId="35" xfId="0" applyNumberFormat="1" applyFont="1" applyFill="1" applyBorder="1" applyAlignment="1">
      <alignment horizontal="center" vertical="center"/>
    </xf>
    <xf numFmtId="0" fontId="19" fillId="16" borderId="34" xfId="0" applyNumberFormat="1" applyFont="1" applyFill="1" applyBorder="1" applyAlignment="1">
      <alignment vertical="center"/>
    </xf>
    <xf numFmtId="2" fontId="19" fillId="16" borderId="34" xfId="0" applyNumberFormat="1" applyFont="1" applyFill="1" applyBorder="1" applyAlignment="1">
      <alignment horizontal="center" vertical="center"/>
    </xf>
    <xf numFmtId="0" fontId="19" fillId="0" borderId="35" xfId="0" applyNumberFormat="1" applyFont="1" applyFill="1" applyBorder="1" applyAlignment="1">
      <alignment horizontal="center" vertical="center"/>
    </xf>
    <xf numFmtId="0" fontId="19" fillId="0" borderId="34" xfId="0" applyNumberFormat="1" applyFont="1" applyFill="1" applyBorder="1" applyAlignment="1">
      <alignment horizontal="center" vertical="center"/>
    </xf>
    <xf numFmtId="2" fontId="19" fillId="22" borderId="34" xfId="0" applyNumberFormat="1" applyFont="1" applyFill="1" applyBorder="1" applyAlignment="1">
      <alignment horizontal="center" vertical="center"/>
    </xf>
    <xf numFmtId="0" fontId="20" fillId="22" borderId="34" xfId="0" applyNumberFormat="1" applyFont="1" applyFill="1" applyBorder="1" applyAlignment="1">
      <alignment horizontal="center" vertical="center" wrapText="1"/>
    </xf>
    <xf numFmtId="0" fontId="19" fillId="22" borderId="34" xfId="0" applyNumberFormat="1" applyFont="1" applyFill="1" applyBorder="1" applyAlignment="1">
      <alignment horizontal="center" vertical="center"/>
    </xf>
    <xf numFmtId="0" fontId="19" fillId="22" borderId="34" xfId="0" applyNumberFormat="1" applyFont="1" applyFill="1" applyBorder="1" applyAlignment="1">
      <alignment vertical="center"/>
    </xf>
    <xf numFmtId="2" fontId="0" fillId="0" borderId="3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1" fontId="0" fillId="0" borderId="3" xfId="0" applyNumberFormat="1" applyBorder="1" applyAlignment="1" applyProtection="1">
      <alignment horizontal="center" vertical="center"/>
      <protection locked="0"/>
    </xf>
    <xf numFmtId="164" fontId="0" fillId="0" borderId="3" xfId="0" applyNumberFormat="1" applyBorder="1" applyAlignment="1" applyProtection="1">
      <alignment horizontal="center" vertical="center"/>
      <protection locked="0"/>
    </xf>
    <xf numFmtId="1" fontId="0" fillId="0" borderId="25" xfId="0" applyNumberFormat="1" applyBorder="1" applyAlignment="1" applyProtection="1">
      <alignment horizontal="center" vertical="center"/>
      <protection locked="0"/>
    </xf>
    <xf numFmtId="1" fontId="0" fillId="0" borderId="20" xfId="0" applyNumberFormat="1" applyBorder="1" applyAlignment="1" applyProtection="1">
      <alignment horizontal="center" vertical="center"/>
      <protection locked="0"/>
    </xf>
    <xf numFmtId="1" fontId="0" fillId="0" borderId="5" xfId="0" applyNumberFormat="1" applyBorder="1" applyAlignment="1" applyProtection="1">
      <alignment horizontal="center" vertical="center"/>
      <protection locked="0"/>
    </xf>
    <xf numFmtId="164" fontId="0" fillId="0" borderId="20" xfId="0" applyNumberFormat="1" applyBorder="1" applyAlignment="1" applyProtection="1">
      <alignment horizontal="center" vertical="center"/>
      <protection locked="0"/>
    </xf>
    <xf numFmtId="164" fontId="0" fillId="0" borderId="25" xfId="0" applyNumberFormat="1" applyBorder="1" applyAlignment="1" applyProtection="1">
      <alignment horizontal="center" vertical="center"/>
      <protection locked="0"/>
    </xf>
    <xf numFmtId="164" fontId="0" fillId="0" borderId="13" xfId="0" applyNumberFormat="1" applyBorder="1" applyAlignment="1" applyProtection="1">
      <alignment horizontal="center" vertical="center"/>
      <protection locked="0"/>
    </xf>
    <xf numFmtId="0" fontId="0" fillId="0" borderId="20" xfId="0" applyFill="1" applyBorder="1" applyAlignment="1" applyProtection="1">
      <alignment horizontal="center" vertical="center"/>
      <protection locked="0"/>
    </xf>
    <xf numFmtId="1" fontId="0" fillId="0" borderId="3" xfId="0" applyNumberFormat="1" applyFill="1" applyBorder="1" applyAlignment="1" applyProtection="1">
      <alignment horizontal="center" vertical="center"/>
      <protection locked="0"/>
    </xf>
    <xf numFmtId="2" fontId="0" fillId="0" borderId="20" xfId="0" applyNumberFormat="1" applyFill="1" applyBorder="1" applyAlignment="1" applyProtection="1">
      <alignment horizontal="center" vertical="center"/>
      <protection locked="0"/>
    </xf>
    <xf numFmtId="0" fontId="0" fillId="0" borderId="25" xfId="0" applyFill="1" applyBorder="1" applyAlignment="1" applyProtection="1">
      <alignment horizontal="center" vertical="center"/>
      <protection locked="0"/>
    </xf>
    <xf numFmtId="2" fontId="0" fillId="0" borderId="25" xfId="0" applyNumberFormat="1" applyFill="1" applyBorder="1" applyAlignment="1" applyProtection="1">
      <alignment horizontal="center" vertical="center"/>
      <protection locked="0"/>
    </xf>
    <xf numFmtId="0" fontId="0" fillId="0" borderId="5" xfId="0" applyFill="1" applyBorder="1" applyAlignment="1" applyProtection="1">
      <alignment horizontal="center" vertical="center"/>
      <protection locked="0"/>
    </xf>
    <xf numFmtId="1" fontId="0" fillId="0" borderId="25" xfId="0" applyNumberFormat="1" applyFill="1" applyBorder="1" applyAlignment="1" applyProtection="1">
      <alignment horizontal="center" vertical="center"/>
      <protection locked="0"/>
    </xf>
    <xf numFmtId="2" fontId="0" fillId="0" borderId="5" xfId="0" applyNumberFormat="1" applyFill="1" applyBorder="1" applyAlignment="1" applyProtection="1">
      <alignment horizontal="center" vertical="center"/>
      <protection locked="0"/>
    </xf>
    <xf numFmtId="2" fontId="0" fillId="0" borderId="0" xfId="0" applyNumberFormat="1" applyFill="1" applyProtection="1">
      <protection locked="0"/>
    </xf>
    <xf numFmtId="0" fontId="0" fillId="0" borderId="3" xfId="0" applyFill="1" applyBorder="1" applyAlignment="1" applyProtection="1">
      <alignment horizontal="center" vertical="center" wrapText="1"/>
      <protection locked="0"/>
    </xf>
    <xf numFmtId="1" fontId="0" fillId="0" borderId="5" xfId="0" applyNumberFormat="1" applyFill="1" applyBorder="1" applyAlignment="1" applyProtection="1">
      <alignment horizontal="center" vertical="center"/>
      <protection locked="0"/>
    </xf>
    <xf numFmtId="1" fontId="0" fillId="0" borderId="20" xfId="0" applyNumberFormat="1" applyFill="1" applyBorder="1" applyAlignment="1" applyProtection="1">
      <alignment horizontal="center" vertical="center"/>
      <protection locked="0"/>
    </xf>
    <xf numFmtId="2" fontId="17" fillId="0" borderId="3" xfId="0" applyNumberFormat="1" applyFont="1" applyFill="1" applyBorder="1" applyAlignment="1">
      <alignment vertical="top" wrapText="1"/>
    </xf>
    <xf numFmtId="2" fontId="17" fillId="0" borderId="3" xfId="0" applyNumberFormat="1" applyFont="1" applyFill="1" applyBorder="1"/>
    <xf numFmtId="2" fontId="0" fillId="0" borderId="13" xfId="0" applyNumberFormat="1" applyFill="1" applyBorder="1" applyAlignment="1" applyProtection="1">
      <alignment horizontal="center" vertical="center"/>
      <protection locked="0"/>
    </xf>
    <xf numFmtId="2" fontId="17" fillId="0" borderId="0" xfId="0" applyNumberFormat="1" applyFont="1" applyFill="1"/>
    <xf numFmtId="164" fontId="0" fillId="0" borderId="3" xfId="0" applyNumberFormat="1" applyFill="1" applyBorder="1" applyAlignment="1" applyProtection="1">
      <alignment horizontal="center" vertical="center"/>
      <protection locked="0"/>
    </xf>
    <xf numFmtId="164" fontId="0" fillId="0" borderId="25" xfId="0" applyNumberFormat="1" applyFill="1" applyBorder="1" applyAlignment="1" applyProtection="1">
      <alignment horizontal="center" vertical="center"/>
      <protection locked="0"/>
    </xf>
    <xf numFmtId="164" fontId="0" fillId="0" borderId="5" xfId="0" applyNumberFormat="1" applyFill="1" applyBorder="1" applyAlignment="1" applyProtection="1">
      <alignment horizontal="center" vertical="center"/>
      <protection locked="0"/>
    </xf>
    <xf numFmtId="0" fontId="0" fillId="0" borderId="3" xfId="0" applyFill="1" applyBorder="1" applyProtection="1">
      <protection locked="0"/>
    </xf>
    <xf numFmtId="2" fontId="0" fillId="0" borderId="3" xfId="0" applyNumberFormat="1" applyFill="1" applyBorder="1" applyProtection="1">
      <protection locked="0"/>
    </xf>
    <xf numFmtId="0" fontId="0" fillId="0" borderId="13" xfId="0" applyFill="1" applyBorder="1" applyAlignment="1" applyProtection="1">
      <alignment horizontal="center" vertical="center"/>
      <protection locked="0"/>
    </xf>
    <xf numFmtId="0" fontId="0" fillId="0" borderId="32" xfId="0" applyFill="1" applyBorder="1" applyAlignment="1" applyProtection="1">
      <alignment horizontal="center" vertical="center"/>
      <protection locked="0"/>
    </xf>
    <xf numFmtId="0" fontId="0" fillId="0" borderId="7" xfId="0" applyFill="1" applyBorder="1" applyAlignment="1" applyProtection="1">
      <alignment horizontal="center" vertical="center"/>
      <protection locked="0"/>
    </xf>
    <xf numFmtId="0" fontId="0" fillId="0" borderId="27" xfId="0" applyFill="1" applyBorder="1" applyAlignment="1" applyProtection="1">
      <alignment horizontal="center" vertical="center"/>
      <protection locked="0"/>
    </xf>
    <xf numFmtId="3" fontId="0" fillId="0" borderId="0" xfId="0" applyNumberFormat="1"/>
    <xf numFmtId="0" fontId="24" fillId="2" borderId="0" xfId="0" applyFont="1" applyFill="1" applyBorder="1" applyAlignment="1">
      <alignment horizontal="center" wrapText="1"/>
    </xf>
    <xf numFmtId="0" fontId="0" fillId="2" borderId="32" xfId="0" applyFill="1" applyBorder="1"/>
    <xf numFmtId="0" fontId="0" fillId="2" borderId="32" xfId="0" applyFill="1" applyBorder="1" applyAlignment="1">
      <alignment wrapText="1"/>
    </xf>
    <xf numFmtId="0" fontId="0" fillId="23" borderId="0" xfId="0" applyFill="1"/>
    <xf numFmtId="0" fontId="25" fillId="23" borderId="0" xfId="0" applyFont="1" applyFill="1"/>
    <xf numFmtId="0" fontId="0" fillId="24" borderId="36" xfId="0" applyFill="1" applyBorder="1" applyAlignment="1">
      <alignment horizontal="center" vertical="center" wrapText="1"/>
    </xf>
    <xf numFmtId="0" fontId="0" fillId="24" borderId="0" xfId="0" applyFill="1"/>
    <xf numFmtId="0" fontId="23" fillId="24" borderId="0" xfId="0" applyFont="1" applyFill="1"/>
    <xf numFmtId="0" fontId="0" fillId="0" borderId="0" xfId="0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21" fillId="16" borderId="35" xfId="0" applyNumberFormat="1" applyFont="1" applyFill="1" applyBorder="1" applyAlignment="1">
      <alignment horizontal="center" vertical="center"/>
    </xf>
    <xf numFmtId="0" fontId="21" fillId="16" borderId="34" xfId="0" applyNumberFormat="1" applyFont="1" applyFill="1" applyBorder="1" applyAlignment="1">
      <alignment horizontal="center" vertical="center"/>
    </xf>
    <xf numFmtId="0" fontId="21" fillId="22" borderId="35" xfId="0" applyNumberFormat="1" applyFont="1" applyFill="1" applyBorder="1" applyAlignment="1">
      <alignment horizontal="center" vertical="center"/>
    </xf>
    <xf numFmtId="0" fontId="21" fillId="22" borderId="34" xfId="0" applyNumberFormat="1" applyFont="1" applyFill="1" applyBorder="1" applyAlignment="1">
      <alignment horizontal="center" vertical="center"/>
    </xf>
    <xf numFmtId="0" fontId="21" fillId="18" borderId="35" xfId="0" applyNumberFormat="1" applyFont="1" applyFill="1" applyBorder="1" applyAlignment="1">
      <alignment horizontal="center" vertical="center"/>
    </xf>
    <xf numFmtId="0" fontId="21" fillId="18" borderId="34" xfId="0" applyNumberFormat="1" applyFont="1" applyFill="1" applyBorder="1" applyAlignment="1">
      <alignment horizontal="center" vertical="center"/>
    </xf>
    <xf numFmtId="0" fontId="21" fillId="19" borderId="35" xfId="0" applyNumberFormat="1" applyFont="1" applyFill="1" applyBorder="1" applyAlignment="1">
      <alignment horizontal="center" vertical="center"/>
    </xf>
    <xf numFmtId="0" fontId="21" fillId="19" borderId="34" xfId="0" applyNumberFormat="1" applyFont="1" applyFill="1" applyBorder="1" applyAlignment="1">
      <alignment horizontal="center" vertical="center"/>
    </xf>
    <xf numFmtId="0" fontId="21" fillId="20" borderId="35" xfId="0" applyNumberFormat="1" applyFont="1" applyFill="1" applyBorder="1" applyAlignment="1">
      <alignment horizontal="center" vertical="center"/>
    </xf>
    <xf numFmtId="0" fontId="21" fillId="20" borderId="34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2" fontId="0" fillId="0" borderId="7" xfId="0" applyNumberFormat="1" applyBorder="1" applyAlignment="1" applyProtection="1">
      <alignment horizontal="center" vertical="center"/>
      <protection locked="0"/>
    </xf>
    <xf numFmtId="2" fontId="0" fillId="0" borderId="8" xfId="0" applyNumberFormat="1" applyBorder="1" applyAlignment="1" applyProtection="1">
      <alignment horizontal="center" vertical="center"/>
      <protection locked="0"/>
    </xf>
    <xf numFmtId="2" fontId="0" fillId="0" borderId="9" xfId="0" applyNumberFormat="1" applyBorder="1" applyAlignment="1" applyProtection="1">
      <alignment horizontal="center" vertical="center"/>
      <protection locked="0"/>
    </xf>
    <xf numFmtId="0" fontId="0" fillId="0" borderId="3" xfId="0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wrapText="1"/>
    </xf>
    <xf numFmtId="0" fontId="12" fillId="0" borderId="13" xfId="1" applyFont="1" applyBorder="1" applyAlignment="1">
      <alignment horizontal="center" vertical="center" wrapText="1"/>
    </xf>
    <xf numFmtId="0" fontId="12" fillId="0" borderId="5" xfId="1" applyFont="1" applyBorder="1" applyAlignment="1">
      <alignment horizontal="center" vertical="center" wrapText="1"/>
    </xf>
    <xf numFmtId="0" fontId="12" fillId="0" borderId="31" xfId="1" applyFont="1" applyBorder="1" applyAlignment="1">
      <alignment horizontal="center" vertical="center" wrapText="1"/>
    </xf>
    <xf numFmtId="0" fontId="12" fillId="0" borderId="8" xfId="1" applyFont="1" applyBorder="1" applyAlignment="1">
      <alignment horizontal="center" vertical="center" wrapText="1"/>
    </xf>
    <xf numFmtId="0" fontId="12" fillId="0" borderId="9" xfId="1" applyFont="1" applyBorder="1" applyAlignment="1">
      <alignment horizontal="center" vertical="center" wrapText="1"/>
    </xf>
    <xf numFmtId="0" fontId="12" fillId="0" borderId="7" xfId="1" applyFont="1" applyBorder="1" applyAlignment="1">
      <alignment horizontal="center" vertical="center" wrapText="1"/>
    </xf>
    <xf numFmtId="0" fontId="14" fillId="0" borderId="30" xfId="1" applyFont="1" applyBorder="1" applyAlignment="1">
      <alignment horizontal="center" vertical="center" wrapText="1"/>
    </xf>
    <xf numFmtId="0" fontId="5" fillId="0" borderId="3" xfId="0" quotePrefix="1" applyFont="1" applyBorder="1" applyAlignment="1" applyProtection="1">
      <alignment horizontal="center" vertical="center" textRotation="90"/>
      <protection locked="0"/>
    </xf>
    <xf numFmtId="0" fontId="5" fillId="0" borderId="3" xfId="0" quotePrefix="1" applyFont="1" applyBorder="1" applyAlignment="1">
      <alignment horizontal="center" vertical="center"/>
    </xf>
    <xf numFmtId="0" fontId="5" fillId="0" borderId="3" xfId="0" quotePrefix="1" applyFont="1" applyBorder="1" applyAlignment="1" applyProtection="1">
      <alignment horizontal="center" vertical="center"/>
      <protection locked="0"/>
    </xf>
    <xf numFmtId="0" fontId="5" fillId="0" borderId="10" xfId="0" quotePrefix="1" applyFont="1" applyBorder="1" applyAlignment="1" applyProtection="1">
      <alignment horizontal="center" vertical="center"/>
      <protection locked="0"/>
    </xf>
    <xf numFmtId="0" fontId="5" fillId="0" borderId="11" xfId="0" quotePrefix="1" applyFont="1" applyBorder="1" applyAlignment="1" applyProtection="1">
      <alignment horizontal="center" vertical="center"/>
      <protection locked="0"/>
    </xf>
    <xf numFmtId="0" fontId="5" fillId="0" borderId="12" xfId="0" quotePrefix="1" applyFont="1" applyBorder="1" applyAlignment="1" applyProtection="1">
      <alignment horizontal="center" vertical="center"/>
      <protection locked="0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25" fillId="25" borderId="0" xfId="0" applyFont="1" applyFill="1" applyAlignment="1">
      <alignment horizontal="center" wrapText="1"/>
    </xf>
    <xf numFmtId="0" fontId="26" fillId="26" borderId="0" xfId="0" applyFont="1" applyFill="1" applyAlignment="1">
      <alignment horizontal="center"/>
    </xf>
    <xf numFmtId="0" fontId="0" fillId="24" borderId="0" xfId="0" applyFill="1" applyAlignment="1">
      <alignment horizontal="center"/>
    </xf>
    <xf numFmtId="0" fontId="0" fillId="27" borderId="0" xfId="0" applyFill="1" applyAlignment="1">
      <alignment horizontal="center"/>
    </xf>
    <xf numFmtId="0" fontId="0" fillId="28" borderId="0" xfId="0" applyFill="1" applyAlignment="1">
      <alignment horizontal="center"/>
    </xf>
    <xf numFmtId="0" fontId="27" fillId="26" borderId="0" xfId="0" applyFont="1" applyFill="1" applyAlignment="1">
      <alignment horizontal="center" wrapText="1"/>
    </xf>
    <xf numFmtId="0" fontId="25" fillId="25" borderId="0" xfId="0" applyFont="1" applyFill="1" applyAlignment="1">
      <alignment horizontal="center"/>
    </xf>
    <xf numFmtId="0" fontId="0" fillId="24" borderId="3" xfId="0" applyFill="1" applyBorder="1" applyAlignment="1" applyProtection="1">
      <alignment horizontal="center" vertical="center"/>
      <protection locked="0"/>
    </xf>
    <xf numFmtId="0" fontId="0" fillId="24" borderId="5" xfId="0" applyFill="1" applyBorder="1" applyAlignment="1" applyProtection="1">
      <alignment horizontal="center" vertical="center"/>
      <protection locked="0"/>
    </xf>
    <xf numFmtId="0" fontId="0" fillId="27" borderId="3" xfId="0" applyFill="1" applyBorder="1" applyAlignment="1" applyProtection="1">
      <alignment horizontal="center" vertical="center"/>
      <protection locked="0"/>
    </xf>
    <xf numFmtId="0" fontId="0" fillId="28" borderId="3" xfId="0" applyFill="1" applyBorder="1" applyAlignment="1" applyProtection="1">
      <alignment horizontal="center" vertical="center"/>
      <protection locked="0"/>
    </xf>
    <xf numFmtId="0" fontId="28" fillId="0" borderId="0" xfId="0" applyFont="1" applyFill="1" applyAlignment="1">
      <alignment horizontal="left" wrapText="1"/>
    </xf>
    <xf numFmtId="0" fontId="0" fillId="24" borderId="5" xfId="0" applyFill="1" applyBorder="1" applyAlignment="1">
      <alignment horizontal="center" vertical="center"/>
    </xf>
    <xf numFmtId="0" fontId="0" fillId="27" borderId="5" xfId="0" applyFill="1" applyBorder="1" applyAlignment="1">
      <alignment horizontal="center" vertical="center"/>
    </xf>
    <xf numFmtId="0" fontId="0" fillId="28" borderId="5" xfId="0" applyFill="1" applyBorder="1" applyAlignment="1">
      <alignment horizontal="center" vertical="center"/>
    </xf>
    <xf numFmtId="0" fontId="0" fillId="27" borderId="5" xfId="0" applyFill="1" applyBorder="1" applyAlignment="1" applyProtection="1">
      <alignment horizontal="center" vertical="center"/>
      <protection locked="0"/>
    </xf>
    <xf applyProtection="1" numFmtId="0" fontId="19" fillId="12" borderId="34" xfId="0" applyNumberFormat="1" applyFont="1" applyFill="1" applyBorder="1" applyAlignment="1">
      <alignment vertical="center"/>
      <protection locked="0"/>
    </xf>
    <xf applyProtection="1" numFmtId="0" fontId="19" fillId="12" borderId="35" xfId="0" applyNumberFormat="1" applyFont="1" applyFill="1" applyBorder="1" applyAlignment="1">
      <alignment horizontal="center" vertical="center"/>
      <protection locked="0"/>
    </xf>
    <xf applyProtection="1" numFmtId="0" fontId="19" fillId="12" borderId="34" xfId="0" applyNumberFormat="1" applyFont="1" applyFill="1" applyBorder="1" applyAlignment="1">
      <alignment horizontal="center" vertical="center"/>
      <protection locked="0"/>
    </xf>
    <xf applyProtection="1" numFmtId="0" fontId="19" fillId="21" borderId="35" xfId="0" applyNumberFormat="1" applyFont="1" applyFill="1" applyBorder="1" applyAlignment="1">
      <alignment horizontal="center" vertical="center"/>
      <protection locked="0"/>
    </xf>
  </cellXfs>
  <cellStyles count="5">
    <cellStyle name="Нейтральный 2" xfId="2" xr:uid="{35B9662B-4EF6-455F-A153-998AF8988465}"/>
    <cellStyle name="Обычный" xfId="0" builtinId="0"/>
    <cellStyle name="Обычный 2" xfId="3" xr:uid="{E2F4D3BA-771E-461C-AB7D-7903C0A10092}"/>
    <cellStyle name="Обычный 3" xfId="1" xr:uid="{2CCFBF6A-55A0-40CD-AD47-3F0AAF8CDCFB}"/>
    <cellStyle name="Обычный 3 2" xfId="4" xr:uid="{BF7B6DDC-276E-4454-9BAA-41291326E95A}"/>
  </cellStyles>
  <dxfs count="9799"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9DC3E6"/>
        </patternFill>
      </fill>
    </dxf>
    <dxf>
      <fill>
        <patternFill patternType="solid">
          <fgColor indexed="64"/>
          <bgColor rgb="FFF4B183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9DC3E6"/>
        </patternFill>
      </fill>
    </dxf>
    <dxf>
      <fill>
        <patternFill patternType="solid">
          <fgColor indexed="64"/>
          <bgColor rgb="FFF4B183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9DC3E6"/>
        </patternFill>
      </fill>
    </dxf>
    <dxf>
      <fill>
        <patternFill patternType="solid">
          <fgColor indexed="64"/>
          <bgColor rgb="FFF4B183"/>
        </patternFill>
      </fill>
    </dxf>
    <dxf>
      <font>
        <color rgb="FFFFFFFF"/>
      </font>
      <fill>
        <patternFill patternType="solid">
          <fgColor indexed="64"/>
          <bgColor rgb="FF0D3769"/>
        </patternFill>
      </fill>
      <border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color rgb="FFFFFFFF"/>
      </font>
      <fill>
        <patternFill patternType="solid">
          <fgColor indexed="64"/>
          <bgColor rgb="FF0D3769"/>
        </patternFill>
      </fill>
      <border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color rgb="FFFFFFFF"/>
      </font>
      <fill>
        <patternFill patternType="solid">
          <fgColor indexed="64"/>
          <bgColor rgb="FF0D3769"/>
        </patternFill>
      </fill>
      <border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color rgb="FFFFFFFF"/>
      </font>
      <fill>
        <patternFill patternType="solid">
          <fgColor indexed="64"/>
          <bgColor rgb="FF0D3769"/>
        </patternFill>
      </fill>
      <border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lor rgb="FFFFFFFF"/>
      </font>
      <fill>
        <patternFill patternType="solid">
          <fgColor indexed="64"/>
          <bgColor rgb="FF0D3769"/>
        </patternFill>
      </fill>
      <border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FFFF"/>
      </font>
      <fill>
        <patternFill patternType="solid">
          <fgColor indexed="64"/>
          <bgColor rgb="FF0D3769"/>
        </patternFill>
      </fill>
      <border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00B0F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 patternType="solid">
          <fgColor indexed="64"/>
          <bgColor rgb="FF0D3769"/>
        </patternFill>
      </fill>
      <border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color rgb="FFFFFFFF"/>
      </font>
      <fill>
        <patternFill patternType="solid">
          <fgColor indexed="64"/>
          <bgColor rgb="FF0D3769"/>
        </patternFill>
      </fill>
      <border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color rgb="FFFFFFFF"/>
      </font>
      <fill>
        <patternFill patternType="solid">
          <fgColor indexed="64"/>
          <bgColor rgb="FF0D3769"/>
        </patternFill>
      </fill>
      <border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color rgb="FFFFFFFF"/>
      </font>
      <fill>
        <patternFill patternType="solid">
          <fgColor indexed="64"/>
          <bgColor rgb="FF0D3769"/>
        </patternFill>
      </fill>
      <border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ont>
        <color rgb="FFFFFFFF"/>
      </font>
      <fill>
        <patternFill patternType="solid">
          <fgColor indexed="64"/>
          <bgColor rgb="FF0D3769"/>
        </patternFill>
      </fill>
      <border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color rgb="FFFFFFFF"/>
      </font>
      <fill>
        <patternFill patternType="solid">
          <fgColor indexed="64"/>
          <bgColor rgb="FF0D3769"/>
        </patternFill>
      </fill>
      <border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color rgb="FFFFFFFF"/>
      </font>
      <fill>
        <patternFill patternType="solid">
          <fgColor indexed="64"/>
          <bgColor rgb="FF0D3769"/>
        </patternFill>
      </fill>
      <border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color rgb="FFFFFFFF"/>
      </font>
      <fill>
        <patternFill patternType="solid">
          <fgColor indexed="64"/>
          <bgColor rgb="FF0D3769"/>
        </patternFill>
      </fill>
      <border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ont>
        <color rgb="FFFFFFFF"/>
      </font>
      <fill>
        <patternFill patternType="solid">
          <fgColor indexed="64"/>
          <bgColor rgb="FF0D3769"/>
        </patternFill>
      </fill>
      <border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ill>
        <patternFill>
          <bgColor theme="3" tint="0.39994506668294322"/>
        </patternFill>
      </fill>
    </dxf>
    <dxf>
      <font>
        <color rgb="FFFFFFFF"/>
      </font>
      <fill>
        <patternFill patternType="solid">
          <fgColor indexed="64"/>
          <bgColor rgb="FF0D3769"/>
        </patternFill>
      </fill>
      <border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ill>
        <patternFill>
          <bgColor theme="3" tint="0.39994506668294322"/>
        </patternFill>
      </fill>
    </dxf>
    <dxf>
      <font>
        <color rgb="FFFFFFFF"/>
      </font>
      <fill>
        <patternFill patternType="solid">
          <fgColor indexed="64"/>
          <bgColor rgb="FF0D3769"/>
        </patternFill>
      </fill>
      <border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color rgb="FFFFFFFF"/>
      </font>
      <fill>
        <patternFill patternType="solid">
          <fgColor indexed="64"/>
          <bgColor rgb="FF0D3769"/>
        </patternFill>
      </fill>
      <border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ont>
        <color rgb="FFFFFFFF"/>
      </font>
      <fill>
        <patternFill patternType="solid">
          <fgColor indexed="64"/>
          <bgColor rgb="FF0D3769"/>
        </patternFill>
      </fill>
      <border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FFFF"/>
      </font>
      <fill>
        <patternFill patternType="solid">
          <fgColor indexed="64"/>
          <bgColor rgb="FF0D3769"/>
        </patternFill>
      </fill>
      <border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3" tint="0.39994506668294322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FFFFFF"/>
      </font>
      <fill>
        <patternFill patternType="solid">
          <fgColor indexed="64"/>
          <bgColor rgb="FF0D3769"/>
        </patternFill>
      </fill>
      <border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color rgb="FFFFFFFF"/>
      </font>
      <fill>
        <patternFill patternType="solid">
          <fgColor indexed="64"/>
          <bgColor rgb="FF0D3769"/>
        </patternFill>
      </fill>
      <border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color rgb="FFFFFFFF"/>
      </font>
      <fill>
        <patternFill patternType="solid">
          <fgColor indexed="64"/>
          <bgColor rgb="FF0D3769"/>
        </patternFill>
      </fill>
      <border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ill>
        <patternFill>
          <bgColor theme="3" tint="0.39994506668294322"/>
        </patternFill>
      </fill>
    </dxf>
    <dxf>
      <font>
        <color rgb="FFFFFFFF"/>
      </font>
      <fill>
        <patternFill patternType="solid">
          <fgColor indexed="64"/>
          <bgColor rgb="FF0D3769"/>
        </patternFill>
      </fill>
      <border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rgb="FF2DA5FF"/>
        </patternFill>
      </fill>
    </dxf>
    <dxf>
      <fill>
        <patternFill>
          <bgColor theme="3" tint="0.39994506668294322"/>
        </patternFill>
      </fill>
    </dxf>
    <dxf>
      <fill>
        <patternFill>
          <bgColor rgb="FF2DA5FF"/>
        </patternFill>
      </fill>
    </dxf>
    <dxf>
      <fill>
        <patternFill>
          <bgColor rgb="FF2DA5FF"/>
        </patternFill>
      </fill>
    </dxf>
    <dxf>
      <fill>
        <patternFill>
          <bgColor rgb="FF2DA5FF"/>
        </patternFill>
      </fill>
    </dxf>
    <dxf>
      <fill>
        <patternFill>
          <bgColor rgb="FF2DA5FF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2DA5FF"/>
        </patternFill>
      </fill>
    </dxf>
    <dxf>
      <fill>
        <patternFill>
          <bgColor theme="3" tint="0.39994506668294322"/>
        </patternFill>
      </fill>
    </dxf>
    <dxf>
      <fill>
        <patternFill>
          <bgColor rgb="FF2DA5FF"/>
        </patternFill>
      </fill>
    </dxf>
    <dxf>
      <fill>
        <patternFill>
          <bgColor rgb="FF2DA5FF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C000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color rgb="FF006100"/>
      </font>
    </dxf>
    <dxf>
      <font>
        <b/>
        <color rgb="FF9C0006"/>
      </font>
      <fill>
        <patternFill>
          <bgColor rgb="FFFFC7CE"/>
        </patternFill>
      </fill>
    </dxf>
    <dxf>
      <fill>
        <patternFill>
          <bgColor rgb="FFEAF2FB"/>
        </patternFill>
      </fill>
    </dxf>
    <dxf>
      <font>
        <b/>
      </font>
      <border>
        <top style="medium">
          <color rgb="FF2F5597"/>
        </top>
      </border>
    </dxf>
    <dxf>
      <font>
        <i/>
        <color rgb="FF808080"/>
      </font>
    </dxf>
    <dxf>
      <font>
        <b/>
        <color rgb="FF9C0006"/>
      </font>
      <fill>
        <patternFill>
          <bgColor rgb="FFFFC7CE"/>
        </patternFill>
      </fill>
    </dxf>
    <dxf>
      <font>
        <color rgb="FF7F60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color rgb="FF7F60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18" Type="http://schemas.openxmlformats.org/officeDocument/2006/relationships/worksheet" Target="worksheets/sheet14.xml"/><Relationship Id="rId19" Type="http://schemas.openxmlformats.org/officeDocument/2006/relationships/worksheet" Target="worksheets/sheet15.xml"/><Relationship Id="rId20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  <wetp:taskpane dockstate="right" visibility="0" width="438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FC8D8BBB-A61B-4833-8A81-CF3C57B8DBE8}">
  <we:reference id="wa200010215" version="1.0.0.0" store="ru-RU" storeType="OMEX"/>
  <we:alternateReferences>
    <we:reference id="WA200010215" version="1.0.0.0" store="WA200010215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37647E81-A4C7-4E54-8491-8428F71A8707}">
  <we:reference id="wa200011214" version="1.0.0.1" store="ru-RU" storeType="OMEX"/>
  <we:alternateReferences>
    <we:reference id="wa200011214" version="1.0.0.1" store="WA200011214" storeType="OMEX"/>
  </we:alternateReferences>
  <we:properties>
    <we:property name="grokConversationBinding" value="{&quot;responseId&quot;:&quot;1ff32469-886e-495e-8399-4d0ef0c9e676&quot;,&quot;title&quot;:&quot;Relay vs Dali управление&quot;,&quot;transport&quot;:&quot;gateway&quot;}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6C06C-A583-48A4-8508-ABB49B31D18E}">
  <dimension ref="B1:H18"/>
  <sheetViews>
    <sheetView topLeftCell="F1" workbookViewId="0"/>
  </sheetViews>
  <sheetFormatPr defaultRowHeight="14.4" x14ac:dyDescent="0.3"/>
  <cols>
    <col min="3" max="3" width="143.33203125" customWidth="1"/>
    <col min="5" max="5" width="12" customWidth="1"/>
    <col min="6" max="6" width="153.5546875" bestFit="1" customWidth="1"/>
    <col min="8" max="8" width="69.44140625" customWidth="1"/>
  </cols>
  <sheetData>
    <row r="1" spans="2:8" x14ac:dyDescent="0.3">
      <c r="C1" s="31" t="inlineStr">
        <is>
          <t xml:space="preserve">ШАБЛОН однолинейки v3.8 — копируйте на каждый объект/щит (имя файла без номера версии). Пример заполнения — «Однолинейка_пример_ЖК-Остров.xlsx».</t>
        </is>
      </c>
      <c r="E1" s="206" t="s">
        <v>226</v>
      </c>
      <c r="F1" s="206"/>
      <c r="H1" s="73" t="s">
        <v>241</v>
      </c>
    </row>
    <row r="2" spans="2:8" x14ac:dyDescent="0.3">
      <c r="B2" s="31">
        <v>1</v>
      </c>
      <c r="C2" s="31" t="s">
        <v>233</v>
      </c>
      <c r="E2" t="s">
        <v>227</v>
      </c>
      <c r="F2" t="s">
        <v>228</v>
      </c>
      <c r="H2" t="s">
        <v>242</v>
      </c>
    </row>
    <row r="3" spans="2:8" x14ac:dyDescent="0.3">
      <c r="B3" s="31">
        <v>2</v>
      </c>
      <c r="C3" s="31" t="s">
        <v>112</v>
      </c>
      <c r="E3" t="s">
        <v>229</v>
      </c>
      <c r="F3" t="s">
        <v>230</v>
      </c>
    </row>
    <row r="4" spans="2:8" x14ac:dyDescent="0.3">
      <c r="B4" s="31">
        <v>3</v>
      </c>
      <c r="C4" s="31" t="s">
        <v>113</v>
      </c>
      <c r="E4" t="s">
        <v>231</v>
      </c>
      <c r="F4" t="s">
        <v>232</v>
      </c>
    </row>
    <row r="5" spans="2:8" ht="43.2" x14ac:dyDescent="0.3">
      <c r="B5" s="31">
        <v>4</v>
      </c>
      <c r="C5" s="31" t="s">
        <v>132</v>
      </c>
      <c r="E5" t="s">
        <v>236</v>
      </c>
      <c r="F5" s="6" t="s">
        <v>238</v>
      </c>
    </row>
    <row r="6" spans="2:8" x14ac:dyDescent="0.3">
      <c r="B6" s="71" t="inlineStr">
        <is>
          <t xml:space="preserve">5</t>
        </is>
      </c>
      <c r="C6" s="72" t="inlineStr">
        <is>
          <t xml:space="preserve">Листы: синие — справочники (Справочная, Каталог), зелёные — ввод (Исходные данные &gt; Разбивка по щитам &gt; Однолинейка), оранжевые — результаты, серые — служебные. «В Акад» и «Диапазоны» — для старого способа (Data Link в AutoCAD): НЕ удалять, НЕ скрывать и НЕ переименовывать. Скрыт только лист «Справочная_потребители» (правая кнопка по ярлыку → Показать).</t>
        </is>
      </c>
      <c r="E6" t="s">
        <v>240</v>
      </c>
      <c r="F6" t="s">
        <v>230</v>
      </c>
    </row>
    <row r="7" spans="2:8" x14ac:dyDescent="0.3">
      <c r="B7">
        <v>6</v>
      </c>
      <c r="C7" t="s">
        <v>111</v>
      </c>
      <c r="E7" t="s">
        <v>281</v>
      </c>
      <c r="F7" t="s">
        <v>295</v>
      </c>
    </row>
    <row r="8" spans="2:8" x14ac:dyDescent="0.3">
      <c r="B8">
        <v>7</v>
      </c>
      <c r="C8" t="s">
        <v>223</v>
      </c>
      <c r="E8" t="s">
        <v>296</v>
      </c>
      <c r="F8" t="s">
        <v>297</v>
      </c>
    </row>
    <row r="9" spans="2:8" ht="28.8" x14ac:dyDescent="0.3">
      <c r="B9">
        <v>8</v>
      </c>
      <c r="C9" t="s">
        <v>115</v>
      </c>
      <c r="E9" t="s">
        <v>304</v>
      </c>
      <c r="F9" s="6" t="s">
        <v>310</v>
      </c>
    </row>
    <row r="10" spans="2:8" x14ac:dyDescent="0.3">
      <c r="B10">
        <v>9</v>
      </c>
      <c r="C10" t="s">
        <v>222</v>
      </c>
      <c r="E10" t="inlineStr">
        <is>
          <t xml:space="preserve">v3.5 (схема)</t>
        </is>
      </c>
      <c r="F10" s="6" t="inlineStr">
        <is>
          <t xml:space="preserve">Лист «Однолинейка» + программа AutoCAD SX_Schema (SXDRAW/SXUPDATE). Каталог оборудования с выпадающими списками, светофор (AE), защита паролем sx, лист «Бирки», подсчёт и артикулы в «Спецификации».</t>
        </is>
      </c>
    </row>
    <row r="11" spans="2:8" ht="28.8" x14ac:dyDescent="0.3">
      <c r="B11" s="71">
        <v>10</v>
      </c>
      <c r="C11" s="72" t="s">
        <v>225</v>
      </c>
      <c r="E11" t="inlineStr">
        <is>
          <t xml:space="preserve">v3.6 (схема)</t>
        </is>
      </c>
      <c r="F11" s="6" t="inlineStr">
        <is>
          <t xml:space="preserve">В «Спецификации» автоматы, аппараты, модули и клеммы 3L считаются по однолинейке (по артикулу), остальное вручную. Каталог показывает «в проекте, шт.». ТКЗ больше не пересчитывается при каждой правке. Коды → УГО перенесены в «Справочную» AU:AX. Служебные столбцы однолинейки свёрнуты.</t>
        </is>
      </c>
    </row>
    <row r="12">
      <c r="B12" s="71" t="inlineStr">
        <is>
          <t xml:space="preserve">11</t>
        </is>
      </c>
      <c r="C12" s="72" t="inlineStr">
        <is>
          <t xml:space="preserve">ОДНОЛИНЕЙКА: вводить только в белые столбцы D, E, F, I–L, N, P, Y. Остальное считается само (лист защищён, пароль sx).</t>
        </is>
      </c>
      <c r="E12" t="inlineStr">
        <is>
          <t xml:space="preserve">v3.7 (схема)</t>
        </is>
      </c>
      <c r="F12" s="6" t="inlineStr">
        <is>
          <t xml:space="preserve">Спецификация собирается сама из «Каталога» (без пустых строк, по разделам). Понятный «Справочник_схемы». УГО по-русски + свои блоки. Клеммы 3L на линию по коду (шторы SH = 2). Старая ручная спецификация — скрытый лист «Спецификация_до_v3.7».</t>
        </is>
      </c>
    </row>
    <row r="13">
      <c r="B13" s="71" t="inlineStr">
        <is>
          <t xml:space="preserve">12</t>
        </is>
      </c>
      <c r="C13" s="72" t="inlineStr">
        <is>
          <t xml:space="preserve">Столбец AE «Статус»: красный — ошибка (дубль клеммы, нет фазы, автомат/канал), жёлтый — проверить (нет мощности, 5 жил на 1 фазе, розетка без 30 мА, потери &gt; 4%).</t>
        </is>
      </c>
      <c r="E13" t="inlineStr">
        <is>
          <t xml:space="preserve">v3.8 (схема)</t>
        </is>
      </c>
      <c r="F13" s="6" t="inlineStr">
        <is>
          <t xml:space="preserve">Лист «Справочник_схемы» убран: настройки, итоги и свободные каналы — «Справочная» BE:BN; сводка ошибок — «Однолинейка» AE1. Спецификация: «Спецификация» — ваша (значения, правьте как хотите), «Спецификация_авто» — черновик (формулы). Листы по цветам: синий — справочники, зелёный — ввод, оранжевый — результаты, серый — служебные (часть скрыта).</t>
        </is>
      </c>
    </row>
    <row r="14">
      <c r="B14" s="71" t="inlineStr">
        <is>
          <t xml:space="preserve">13</t>
        </is>
      </c>
      <c r="C14" s="72" t="inlineStr">
        <is>
          <t xml:space="preserve">Канал (N): пусто — следующий по порядку, № — вручную, «=» — параллельно предыдущей, «+» — новый канал, «р» — резерв, «б»/«к» — без канала модуля.</t>
        </is>
      </c>
    </row>
    <row r="15">
      <c r="B15" s="71" t="inlineStr">
        <is>
          <t xml:space="preserve">14</t>
        </is>
      </c>
      <c r="C15" s="72" t="inlineStr">
        <is>
          <t xml:space="preserve">СПЕЦИФИКАЦИЯ: «Спецификация_авто» считается сама (Каталог: N — по однолинейке, O — вручную/запас). Когда схема готова — выделить «Спецификация_авто» B4:J160 → Копировать → «Спецификация» B4 → Вставить → Значения. Дальше «Спецификацию» правьте как обычно.</t>
        </is>
      </c>
    </row>
    <row r="16">
      <c r="B16" s="71" t="inlineStr">
        <is>
          <t xml:space="preserve">15</t>
        </is>
      </c>
      <c r="C16" s="72" t="inlineStr">
        <is>
          <t xml:space="preserve">AutoCAD: APPLOAD → SX_Schema.lsp. SXDRAW — построить (окно), SXUPDATE — перестроить без окна, SXCLEAR — удалить схему.</t>
        </is>
      </c>
    </row>
    <row r="17">
      <c r="B17" s="71" t="inlineStr">
        <is>
          <t xml:space="preserve">16</t>
        </is>
      </c>
      <c r="C17" s="72" t="inlineStr">
        <is>
          <t xml:space="preserve">Новый код потребителя: строка в «Справочной» (P…Y) + в той же строке УГО (список), 30 мА, мин. автомат, клемм 3L на линию (AU:AY). Настройки однолинейки (мест на лист, мин. автомат перед БП) — «Справочная» BF4:BF5.</t>
        </is>
      </c>
    </row>
    <row r="18" spans="3:3" x14ac:dyDescent="0.3">
      <c r="B18" s="71" t="inlineStr">
        <is>
          <t xml:space="preserve">17</t>
        </is>
      </c>
      <c r="C18" s="72" t="inlineStr">
        <is>
          <t xml:space="preserve">Свой значок УГО: «Справочная» BA:BB — название + имя блока из 02_Однолинейка.dwg. Лист «В Акад» — старый способ (Data Link), оставлен для коллег.</t>
        </is>
      </c>
    </row>
  </sheetData>
  <mergeCells count="1">
    <mergeCell ref="E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A4DD2-CE3E-49FC-9737-C2896BBDF5F2}">
  <sheetPr>
    <tabColor rgb="FF4472C4"/>
  </sheetPr>
  <dimension ref="B1:AS193"/>
  <sheetViews>
    <sheetView topLeftCell="Z1" zoomScale="70" zoomScaleNormal="70" workbookViewId="0">
      <selection activeCell="AE6" sqref="AE6"/>
    </sheetView>
  </sheetViews>
  <sheetFormatPr defaultRowHeight="14.4" x14ac:dyDescent="0.3"/>
  <cols>
    <col min="13" max="13" width="22" style="81" bestFit="1" customWidth="1"/>
    <col min="14" max="14" width="14" customWidth="1"/>
    <col min="17" max="17" width="38.109375" bestFit="1" customWidth="1"/>
    <col min="18" max="18" width="8.109375" customWidth="1"/>
    <col min="19" max="27" width="17.44140625" customWidth="1"/>
    <col min="28" max="28" width="25.6640625" bestFit="1" customWidth="1"/>
    <col min="31" max="31" width="17.88671875" customWidth="1"/>
    <col min="33" max="33" width="12.6640625" customWidth="1"/>
    <col min="36" max="36" width="28.44140625" customWidth="1"/>
    <col min="43" max="43" width="25.88671875" customWidth="1"/>
    <col min="44" max="44" width="20.33203125" customWidth="1"/>
    <col min="45" max="45" width="24.109375" customWidth="1"/>
    <col min="46" max="46" width="3" customWidth="1"/>
    <col min="47" max="47" width="12" customWidth="1"/>
    <col min="48" max="48" width="26" customWidth="1"/>
    <col min="49" max="49" width="7" customWidth="1"/>
    <col min="50" max="50" width="10" customWidth="1"/>
    <col min="51" max="51" width="12" customWidth="1"/>
    <col min="52" max="52" width="3" customWidth="1"/>
    <col min="53" max="53" width="28" customWidth="1"/>
    <col min="54" max="54" width="30" customWidth="1"/>
    <col min="55" max="55" width="14" customWidth="1"/>
    <col min="56" max="56" width="3" customWidth="1"/>
    <col min="57" max="57" width="48" customWidth="1"/>
    <col min="58" max="58" width="10" customWidth="1"/>
    <col min="59" max="59" width="3" customWidth="1"/>
    <col min="60" max="60" width="8" customWidth="1"/>
    <col min="61" max="61" width="9" customWidth="1"/>
    <col min="62" max="62" width="14" customWidth="1"/>
    <col min="63" max="63" width="9" customWidth="1"/>
    <col min="64" max="64" width="11" customWidth="1"/>
    <col min="65" max="65" width="10" customWidth="1"/>
    <col min="66" max="66" width="10" customWidth="1"/>
  </cols>
  <sheetData>
    <row r="1" spans="2:45" ht="15" thickBot="1" x14ac:dyDescent="0.35"/>
    <row r="2" spans="2:45" ht="15" thickBot="1" x14ac:dyDescent="0.35">
      <c r="L2" s="207" t="s">
        <v>114</v>
      </c>
      <c r="M2" s="208"/>
      <c r="N2" s="208"/>
      <c r="O2" s="208"/>
      <c r="P2" s="208"/>
      <c r="Q2" s="208"/>
      <c r="R2" s="208"/>
      <c r="S2" s="208"/>
      <c r="T2" s="208"/>
      <c r="U2" s="208"/>
      <c r="V2" s="208"/>
      <c r="W2" s="208"/>
      <c r="X2" s="208"/>
      <c r="Y2" s="208"/>
      <c r="Z2" s="208"/>
      <c r="AA2" s="208"/>
      <c r="AB2" s="208"/>
      <c r="AC2" s="208"/>
      <c r="AD2" s="208"/>
      <c r="AE2" s="208"/>
      <c r="AF2" s="208"/>
      <c r="AG2" s="209"/>
      <c r="AJ2" s="58" t="s">
        <v>135</v>
      </c>
      <c r="AK2" s="58"/>
      <c r="AQ2" s="255" t="s">
        <v>1037</v>
      </c>
      <c r="AR2" s="255"/>
      <c r="AS2" s="255"/>
      <c r="AU2" s="255" t="inlineStr">
        <is>
          <t xml:space="preserve">УГО на однолинейке (по коду)</t>
        </is>
      </c>
      <c r="BA2" s="255" t="inlineStr">
        <is>
          <t xml:space="preserve">ЗНАЧКИ УГО ДЛЯ ОДНОЛИНЕЙКИ</t>
        </is>
      </c>
      <c r="BE2" s="131" t="inlineStr">
        <is>
          <t xml:space="preserve">НАСТРОЙКИ ОДНОЛИНЕЙКИ И СВОДКА (перенесено с листа «Справочник_схемы»)</t>
        </is>
      </c>
    </row>
    <row r="3" spans="2:45" ht="28.05" customHeight="1" x14ac:dyDescent="0.3">
      <c r="B3" s="3" t="s">
        <v>6</v>
      </c>
      <c r="C3" s="3" t="s">
        <v>24</v>
      </c>
      <c r="D3" s="3" t="s">
        <v>25</v>
      </c>
      <c r="F3" s="3" t="s">
        <v>13</v>
      </c>
      <c r="G3" s="3" t="s">
        <v>16</v>
      </c>
      <c r="I3" s="3" t="s">
        <v>13</v>
      </c>
      <c r="J3" s="3" t="s">
        <v>18</v>
      </c>
      <c r="L3" s="32" t="s">
        <v>19</v>
      </c>
      <c r="M3" s="93" t="s">
        <v>18</v>
      </c>
      <c r="N3" s="33" t="s">
        <v>98</v>
      </c>
      <c r="P3" s="199" t="s">
        <v>19</v>
      </c>
      <c r="Q3" s="199" t="s">
        <v>82</v>
      </c>
      <c r="R3" s="199" t="s">
        <v>94</v>
      </c>
      <c r="S3" s="199" t="s">
        <v>95</v>
      </c>
      <c r="T3" s="200" t="s">
        <v>301</v>
      </c>
      <c r="U3" s="198" t="s">
        <v>1016</v>
      </c>
      <c r="V3" s="198" t="s">
        <v>23</v>
      </c>
      <c r="W3" s="198" t="s">
        <v>1017</v>
      </c>
      <c r="X3" s="198" t="s">
        <v>2</v>
      </c>
      <c r="Y3" s="198" t="s">
        <v>6</v>
      </c>
      <c r="AA3" s="32" t="s">
        <v>19</v>
      </c>
      <c r="AB3" s="32" t="s">
        <v>324</v>
      </c>
      <c r="AD3" s="32" t="s">
        <v>19</v>
      </c>
      <c r="AE3" s="32" t="s">
        <v>85</v>
      </c>
      <c r="AF3" s="32" t="s">
        <v>92</v>
      </c>
      <c r="AG3" s="33" t="s">
        <v>93</v>
      </c>
      <c r="AJ3" s="58" t="s">
        <v>18</v>
      </c>
      <c r="AK3" s="58" t="s">
        <v>136</v>
      </c>
      <c r="AL3" t="s">
        <v>234</v>
      </c>
      <c r="AM3" t="s">
        <v>23</v>
      </c>
      <c r="AN3" t="s">
        <v>6</v>
      </c>
      <c r="AO3" t="s">
        <v>235</v>
      </c>
      <c r="AQ3" s="249" t="s">
        <v>1038</v>
      </c>
      <c r="AR3" s="249" t="s">
        <v>14</v>
      </c>
      <c r="AS3" s="249" t="s">
        <v>1039</v>
      </c>
      <c r="AU3" s="199" t="inlineStr">
        <is>
          <t xml:space="preserve">Код (из P)</t>
        </is>
      </c>
      <c r="AV3" s="199" t="inlineStr">
        <is>
          <t xml:space="preserve">УГО</t>
        </is>
      </c>
      <c r="AW3" s="199" t="inlineStr">
        <is>
          <t xml:space="preserve">30 мА</t>
        </is>
      </c>
      <c r="AX3" s="199" t="inlineStr">
        <is>
          <t xml:space="preserve">Мин. автомат, А</t>
        </is>
      </c>
      <c r="AY3" s="199" t="inlineStr">
        <is>
          <t xml:space="preserve">Трёхуровн. клемм на линию</t>
        </is>
      </c>
      <c r="BA3" s="199" t="inlineStr">
        <is>
          <t xml:space="preserve">УГО (выбирается в AV)</t>
        </is>
      </c>
      <c r="BB3" s="199" t="inlineStr">
        <is>
          <t xml:space="preserve">Блок AutoCAD (из 02_Однолинейка.dwg)</t>
        </is>
      </c>
      <c r="BC3" s="199" t="inlineStr">
        <is>
          <t xml:space="preserve">Код программы (не менять)</t>
        </is>
      </c>
      <c r="BE3" s="130" t="inlineStr">
        <is>
          <t xml:space="preserve">НАСТРОЙКИ (жёлтые — можно менять)</t>
        </is>
      </c>
      <c r="BF3" s="130"/>
      <c r="BH3" s="130" t="inlineStr">
        <is>
          <t xml:space="preserve">МОДУЛИ В ПРОЕКТЕ — СВОБОДНЫЕ КАНАЛЫ</t>
        </is>
      </c>
      <c r="BI3" s="130"/>
      <c r="BJ3" s="130"/>
      <c r="BK3" s="130"/>
      <c r="BL3" s="130"/>
      <c r="BM3" s="130"/>
      <c r="BN3" s="130"/>
    </row>
    <row r="4" spans="2:45" x14ac:dyDescent="0.3">
      <c r="B4" s="57">
        <v>0.75</v>
      </c>
      <c r="C4" s="57">
        <v>0.13</v>
      </c>
      <c r="D4" s="57">
        <v>1.7500000000000002E-2</v>
      </c>
      <c r="F4" s="57">
        <v>0</v>
      </c>
      <c r="G4" s="57">
        <v>6</v>
      </c>
      <c r="I4" s="57">
        <v>0</v>
      </c>
      <c r="J4" s="57">
        <v>1.5</v>
      </c>
      <c r="L4" s="59" t="s">
        <v>20</v>
      </c>
      <c r="M4" s="59" t="s">
        <v>21</v>
      </c>
      <c r="N4" s="59">
        <v>1</v>
      </c>
      <c r="O4" s="60"/>
      <c r="P4" s="100" t="s">
        <v>124</v>
      </c>
      <c r="Q4" s="100" t="s">
        <v>125</v>
      </c>
      <c r="R4" s="100">
        <v>5</v>
      </c>
      <c r="S4" s="100">
        <v>1</v>
      </c>
      <c r="T4" s="100">
        <v>1</v>
      </c>
      <c r="U4" s="100"/>
      <c r="V4" s="100"/>
      <c r="W4" s="100"/>
      <c r="X4" s="100"/>
      <c r="Y4" s="100"/>
      <c r="Z4" s="92"/>
      <c r="AA4" s="59" t="s">
        <v>325</v>
      </c>
      <c r="AB4" s="59" t="s">
        <v>327</v>
      </c>
      <c r="AC4" s="60"/>
      <c r="AD4" s="61" t="s">
        <v>88</v>
      </c>
      <c r="AE4" s="59" t="s">
        <v>87</v>
      </c>
      <c r="AF4" s="59"/>
      <c r="AG4" s="59"/>
      <c r="AJ4" s="56">
        <f>AL4&amp;" ("&amp;AM4&amp;"х"&amp;AN4&amp;") "&amp;AO4</f>
      </c>
      <c r="AK4" s="57" t="s">
        <v>137</v>
      </c>
      <c r="AL4" t="s">
        <v>21</v>
      </c>
      <c r="AM4">
        <v>2</v>
      </c>
      <c r="AN4">
        <v>1.5</v>
      </c>
      <c r="AO4">
        <v>1</v>
      </c>
      <c r="AQ4" s="250" t="s">
        <v>976</v>
      </c>
      <c r="AR4" s="250" t="s">
        <v>1040</v>
      </c>
      <c r="AS4" s="251"/>
      <c r="AU4" s="100">
        <f>IF(P4="","",P4)</f>
      </c>
      <c r="AY4" s="100"/>
      <c r="BA4" s="100" t="inlineStr">
        <is>
          <t xml:space="preserve">Розетка</t>
        </is>
      </c>
      <c r="BB4" s="100" t="inlineStr">
        <is>
          <t xml:space="preserve">Розетка1</t>
        </is>
      </c>
      <c r="BC4" s="100" t="inlineStr">
        <is>
          <t xml:space="preserve">SOCKET</t>
        </is>
      </c>
      <c r="BE4" s="132" t="inlineStr">
        <is>
          <t xml:space="preserve">Мест (столбцов схемы) на лист A3</t>
        </is>
      </c>
      <c r="BF4" s="265">
        <v>17</v>
      </c>
      <c r="BH4" s="130" t="inlineStr">
        <is>
          <t xml:space="preserve">Щит</t>
        </is>
      </c>
      <c r="BI4" s="130" t="inlineStr">
        <is>
          <t xml:space="preserve">Модуль</t>
        </is>
      </c>
      <c r="BJ4" s="130" t="inlineStr">
        <is>
          <t xml:space="preserve">Модель</t>
        </is>
      </c>
      <c r="BK4" s="130" t="inlineStr">
        <is>
          <t xml:space="preserve">Каналов</t>
        </is>
      </c>
      <c r="BL4" s="130" t="inlineStr">
        <is>
          <t xml:space="preserve">Занято (посл. №)</t>
        </is>
      </c>
      <c r="BM4" s="130" t="inlineStr">
        <is>
          <t xml:space="preserve">Резерв «р»</t>
        </is>
      </c>
      <c r="BN4" s="130" t="inlineStr">
        <is>
          <t xml:space="preserve">Свободно</t>
        </is>
      </c>
    </row>
    <row r="5" spans="2:45" x14ac:dyDescent="0.3">
      <c r="B5" s="57">
        <v>1</v>
      </c>
      <c r="C5" s="57">
        <v>0.11</v>
      </c>
      <c r="D5" s="57">
        <v>1.7500000000000002E-2</v>
      </c>
      <c r="F5" s="57">
        <v>5.4</v>
      </c>
      <c r="G5" s="57">
        <v>10</v>
      </c>
      <c r="I5" s="57">
        <v>19</v>
      </c>
      <c r="J5" s="57">
        <v>2.5</v>
      </c>
      <c r="L5" s="59" t="s">
        <v>22</v>
      </c>
      <c r="M5" s="59" t="s">
        <v>237</v>
      </c>
      <c r="N5" s="59">
        <v>1</v>
      </c>
      <c r="O5" s="60"/>
      <c r="P5" s="100" t="s">
        <v>363</v>
      </c>
      <c r="Q5" s="100" t="s">
        <v>365</v>
      </c>
      <c r="R5" s="100">
        <v>5</v>
      </c>
      <c r="S5" s="100">
        <v>1</v>
      </c>
      <c r="T5" s="100">
        <v>1</v>
      </c>
      <c r="U5" s="100"/>
      <c r="V5" s="100"/>
      <c r="W5" s="100"/>
      <c r="X5" s="100"/>
      <c r="Y5" s="100"/>
      <c r="Z5" s="92"/>
      <c r="AA5" s="59" t="s">
        <v>326</v>
      </c>
      <c r="AB5" s="59" t="s">
        <v>328</v>
      </c>
      <c r="AC5" s="60"/>
      <c r="AD5" s="61" t="s">
        <v>89</v>
      </c>
      <c r="AE5" s="59"/>
      <c r="AF5" s="59"/>
      <c r="AG5" s="59"/>
      <c r="AJ5" s="56">
        <f t="shared" ref="AJ5:AJ68" si="0">AL5&amp;" ("&amp;AM5&amp;"х"&amp;AN5&amp;") "&amp;AO5</f>
      </c>
      <c r="AK5" s="57" t="s">
        <v>138</v>
      </c>
      <c r="AL5" t="s">
        <v>21</v>
      </c>
      <c r="AM5">
        <v>2</v>
      </c>
      <c r="AN5">
        <v>1.5</v>
      </c>
      <c r="AO5">
        <v>2</v>
      </c>
      <c r="AQ5" s="250" t="s">
        <v>382</v>
      </c>
      <c r="AR5" s="250" t="s">
        <v>382</v>
      </c>
      <c r="AS5" s="252"/>
      <c r="AU5" s="100">
        <f>IF(P5="","",P5)</f>
      </c>
      <c r="AY5" s="100"/>
      <c r="BA5" s="100" t="inlineStr">
        <is>
          <t xml:space="preserve">Светильник</t>
        </is>
      </c>
      <c r="BB5" s="100" t="inlineStr">
        <is>
          <t xml:space="preserve">$RECOVER_230831092053-0</t>
        </is>
      </c>
      <c r="BC5" s="100" t="inlineStr">
        <is>
          <t xml:space="preserve">LAMP</t>
        </is>
      </c>
      <c r="BE5" s="132" t="inlineStr">
        <is>
          <t xml:space="preserve">Мин. автомат перед БП / трансформатором, А</t>
        </is>
      </c>
      <c r="BF5" s="265">
        <v>10</v>
      </c>
      <c r="BH5" s="133">
        <f>IFERROR(INDEX(Однолинейка!$A$1:$A$1000,(MATCH(1,Однолинейка!$BS$1:$BS$1000,0))),"")</f>
      </c>
      <c r="BI5" s="133">
        <f>IFERROR(INDEX(Однолинейка!$AW$1:$AW$1000,(MATCH(1,Однолинейка!$BS$1:$BS$1000,0))),"")</f>
      </c>
      <c r="BJ5" s="133">
        <f>IF(BI5="","",INDEX(Однолинейка!$AI$1:$AI$1000,(MATCH(1,Однолинейка!$BS$1:$BS$1000,0))))</f>
      </c>
      <c r="BK5" s="133">
        <f>IF(BI5="","",IFERROR(VLOOKUP(BJ5,Модули_спр,3,FALSE),""))</f>
      </c>
      <c r="BL5" s="133">
        <f>IF(BI5="","",_xlfn.MAXIFS(Однолинейка!$O$3:$O$1000,Однолинейка!$AH$3:$AH$1000,BI5,Однолинейка!$A$3:$A$1000,BH5))</f>
      </c>
      <c r="BM5" s="133">
        <f>IF(BI5="","",COUNTIFS(Однолинейка!$AH$3:$AH$1000,BI5,Однолинейка!$A$3:$A$1000,BH5,Однолинейка!$N$3:$N$1000,"р"))</f>
      </c>
      <c r="BN5" s="133">
        <f>IF(OR(BI5="",BK5=""),"",BK5-BL5)</f>
      </c>
    </row>
    <row r="6" spans="2:45" x14ac:dyDescent="0.3">
      <c r="B6" s="57">
        <v>1.5</v>
      </c>
      <c r="C6" s="57">
        <v>0.11</v>
      </c>
      <c r="D6" s="57">
        <v>1.7500000000000002E-2</v>
      </c>
      <c r="F6" s="57">
        <v>9</v>
      </c>
      <c r="G6" s="57">
        <v>16</v>
      </c>
      <c r="I6" s="57">
        <v>25</v>
      </c>
      <c r="J6" s="57">
        <v>4</v>
      </c>
      <c r="L6" s="59" t="s">
        <v>97</v>
      </c>
      <c r="M6" s="59" t="s">
        <v>379</v>
      </c>
      <c r="N6" s="59">
        <v>2</v>
      </c>
      <c r="O6" s="60"/>
      <c r="P6" s="100" t="s">
        <v>364</v>
      </c>
      <c r="Q6" s="100" t="s">
        <v>366</v>
      </c>
      <c r="R6" s="100">
        <v>5</v>
      </c>
      <c r="S6" s="100">
        <v>1</v>
      </c>
      <c r="T6" s="100">
        <v>1</v>
      </c>
      <c r="U6" s="100"/>
      <c r="V6" s="100"/>
      <c r="W6" s="100"/>
      <c r="X6" s="100"/>
      <c r="Y6" s="100"/>
      <c r="Z6" s="92"/>
      <c r="AA6" s="59" t="s">
        <v>329</v>
      </c>
      <c r="AB6" s="59" t="s">
        <v>330</v>
      </c>
      <c r="AC6" s="60"/>
      <c r="AD6" s="61" t="s">
        <v>90</v>
      </c>
      <c r="AE6" s="59"/>
      <c r="AF6" s="59"/>
      <c r="AG6" s="59"/>
      <c r="AJ6" s="56">
        <f t="shared" si="0"/>
      </c>
      <c r="AK6" s="57" t="s">
        <v>139</v>
      </c>
      <c r="AL6" t="s">
        <v>21</v>
      </c>
      <c r="AM6">
        <v>2</v>
      </c>
      <c r="AN6">
        <v>2.5</v>
      </c>
      <c r="AO6">
        <v>1</v>
      </c>
      <c r="AQ6" s="250" t="s">
        <v>1041</v>
      </c>
      <c r="AR6" s="250" t="s">
        <v>1042</v>
      </c>
      <c r="AS6" s="253"/>
      <c r="AU6" s="100">
        <f>IF(P6="","",P6)</f>
      </c>
      <c r="AY6" s="100"/>
      <c r="BA6" s="100" t="inlineStr">
        <is>
          <t xml:space="preserve">Сервопривод</t>
        </is>
      </c>
      <c r="BB6" s="100" t="inlineStr">
        <is>
          <t xml:space="preserve">Сервопривод-1</t>
        </is>
      </c>
      <c r="BC6" s="100" t="inlineStr">
        <is>
          <t xml:space="preserve">SERVO</t>
        </is>
      </c>
      <c r="BH6" s="133">
        <f>IFERROR(INDEX(Однолинейка!$A$1:$A$1000,(MATCH(2,Однолинейка!$BS$1:$BS$1000,0))),"")</f>
      </c>
      <c r="BI6" s="133">
        <f>IFERROR(INDEX(Однолинейка!$AW$1:$AW$1000,(MATCH(2,Однолинейка!$BS$1:$BS$1000,0))),"")</f>
      </c>
      <c r="BJ6" s="133">
        <f>IF(BI6="","",INDEX(Однолинейка!$AI$1:$AI$1000,(MATCH(2,Однолинейка!$BS$1:$BS$1000,0))))</f>
      </c>
      <c r="BK6" s="133">
        <f>IF(BI6="","",IFERROR(VLOOKUP(BJ6,Модули_спр,3,FALSE),""))</f>
      </c>
      <c r="BL6" s="133">
        <f>IF(BI6="","",_xlfn.MAXIFS(Однолинейка!$O$3:$O$1000,Однолинейка!$AH$3:$AH$1000,BI6,Однолинейка!$A$3:$A$1000,BH6))</f>
      </c>
      <c r="BM6" s="133">
        <f>IF(BI6="","",COUNTIFS(Однолинейка!$AH$3:$AH$1000,BI6,Однолинейка!$A$3:$A$1000,BH6,Однолинейка!$N$3:$N$1000,"р"))</f>
      </c>
      <c r="BN6" s="133">
        <f>IF(OR(BI6="",BK6=""),"",BK6-BL6)</f>
      </c>
    </row>
    <row r="7" spans="2:45" ht="31.2" customHeight="1" x14ac:dyDescent="0.3">
      <c r="B7" s="57">
        <v>2.5</v>
      </c>
      <c r="C7" s="57">
        <v>0.1</v>
      </c>
      <c r="D7" s="57">
        <v>1.7500000000000002E-2</v>
      </c>
      <c r="F7" s="57">
        <v>14.4</v>
      </c>
      <c r="G7" s="57">
        <v>20</v>
      </c>
      <c r="I7" s="57">
        <v>33</v>
      </c>
      <c r="J7" s="57">
        <v>6</v>
      </c>
      <c r="L7" s="59" t="s">
        <v>129</v>
      </c>
      <c r="M7" s="59" t="s">
        <v>317</v>
      </c>
      <c r="N7" s="59">
        <v>1</v>
      </c>
      <c r="O7" s="60"/>
      <c r="P7" s="100" t="s">
        <v>80</v>
      </c>
      <c r="Q7" s="100" t="s">
        <v>81</v>
      </c>
      <c r="R7" s="100">
        <v>2</v>
      </c>
      <c r="S7" s="100">
        <v>1</v>
      </c>
      <c r="T7" s="100">
        <v>1</v>
      </c>
      <c r="U7" s="100" t="s">
        <v>20</v>
      </c>
      <c r="V7" s="100">
        <v>3</v>
      </c>
      <c r="W7" s="100">
        <v>230</v>
      </c>
      <c r="X7" s="100">
        <v>1</v>
      </c>
      <c r="Y7" s="100">
        <v>2.5</v>
      </c>
      <c r="Z7" s="92"/>
      <c r="AA7" s="59" t="s">
        <v>331</v>
      </c>
      <c r="AB7" s="59" t="s">
        <v>332</v>
      </c>
      <c r="AC7" s="60"/>
      <c r="AD7" s="61" t="s">
        <v>91</v>
      </c>
      <c r="AE7" s="59" t="s">
        <v>86</v>
      </c>
      <c r="AF7" s="59"/>
      <c r="AG7" s="59"/>
      <c r="AJ7" s="56">
        <f t="shared" si="0"/>
      </c>
      <c r="AK7" s="57" t="s">
        <v>140</v>
      </c>
      <c r="AL7" t="s">
        <v>21</v>
      </c>
      <c r="AM7">
        <v>2</v>
      </c>
      <c r="AN7">
        <v>2.5</v>
      </c>
      <c r="AO7">
        <v>2</v>
      </c>
      <c r="AQ7" s="260" t="s">
        <v>1043</v>
      </c>
      <c r="AR7" s="260"/>
      <c r="AS7" s="260"/>
      <c r="AU7" s="100">
        <f>IF(P7="","",P7)</f>
      </c>
      <c r="AV7" s="100" t="inlineStr">
        <is>
          <t xml:space="preserve">Розетка</t>
        </is>
      </c>
      <c r="AW7" s="100" t="inlineStr">
        <is>
          <t xml:space="preserve">да</t>
        </is>
      </c>
      <c r="AX7" s="100">
        <v>16</v>
      </c>
      <c r="AY7" s="100"/>
      <c r="BA7" s="100" t="inlineStr">
        <is>
          <t xml:space="preserve">Клапан</t>
        </is>
      </c>
      <c r="BB7" s="100" t="inlineStr">
        <is>
          <t xml:space="preserve">EK.1</t>
        </is>
      </c>
      <c r="BC7" s="100" t="inlineStr">
        <is>
          <t xml:space="preserve">VALVE</t>
        </is>
      </c>
      <c r="BE7" s="130" t="inlineStr">
        <is>
          <t xml:space="preserve">ИТОГИ ПО ОДНОЛИНЕЙКЕ</t>
        </is>
      </c>
      <c r="BF7" s="130"/>
      <c r="BH7" s="133">
        <f>IFERROR(INDEX(Однолинейка!$A$1:$A$1000,(MATCH(3,Однолинейка!$BS$1:$BS$1000,0))),"")</f>
      </c>
      <c r="BI7" s="133">
        <f>IFERROR(INDEX(Однолинейка!$AW$1:$AW$1000,(MATCH(3,Однолинейка!$BS$1:$BS$1000,0))),"")</f>
      </c>
      <c r="BJ7" s="133">
        <f>IF(BI7="","",INDEX(Однолинейка!$AI$1:$AI$1000,(MATCH(3,Однолинейка!$BS$1:$BS$1000,0))))</f>
      </c>
      <c r="BK7" s="133">
        <f>IF(BI7="","",IFERROR(VLOOKUP(BJ7,Модули_спр,3,FALSE),""))</f>
      </c>
      <c r="BL7" s="133">
        <f>IF(BI7="","",_xlfn.MAXIFS(Однолинейка!$O$3:$O$1000,Однолинейка!$AH$3:$AH$1000,BI7,Однолинейка!$A$3:$A$1000,BH7))</f>
      </c>
      <c r="BM7" s="133">
        <f>IF(BI7="","",COUNTIFS(Однолинейка!$AH$3:$AH$1000,BI7,Однолинейка!$A$3:$A$1000,BH7,Однолинейка!$N$3:$N$1000,"р"))</f>
      </c>
      <c r="BN7" s="133">
        <f>IF(OR(BI7="",BK7=""),"",BK7-BL7)</f>
      </c>
    </row>
    <row r="8" spans="2:45" x14ac:dyDescent="0.3">
      <c r="B8" s="57">
        <v>4</v>
      </c>
      <c r="C8" s="57">
        <v>9.5000000000000001E-2</v>
      </c>
      <c r="D8" s="57">
        <v>1.7500000000000002E-2</v>
      </c>
      <c r="F8" s="57">
        <v>18</v>
      </c>
      <c r="G8" s="57">
        <v>25</v>
      </c>
      <c r="I8" s="57">
        <v>42</v>
      </c>
      <c r="J8" s="57">
        <v>10</v>
      </c>
      <c r="L8" s="59" t="s">
        <v>210</v>
      </c>
      <c r="M8" s="59" t="s">
        <v>211</v>
      </c>
      <c r="N8" s="59">
        <v>1</v>
      </c>
      <c r="O8" s="60"/>
      <c r="P8" s="100" t="s">
        <v>83</v>
      </c>
      <c r="Q8" s="100" t="s">
        <v>84</v>
      </c>
      <c r="R8" s="100">
        <v>1</v>
      </c>
      <c r="S8" s="100">
        <v>1</v>
      </c>
      <c r="T8" s="100">
        <v>1</v>
      </c>
      <c r="U8" s="100" t="s">
        <v>20</v>
      </c>
      <c r="V8" s="100">
        <v>3</v>
      </c>
      <c r="W8" s="100">
        <v>230</v>
      </c>
      <c r="X8" s="100">
        <v>1</v>
      </c>
      <c r="Y8" s="100">
        <v>1.5</v>
      </c>
      <c r="Z8" s="92"/>
      <c r="AA8" s="59"/>
      <c r="AB8" s="59"/>
      <c r="AC8" s="60"/>
      <c r="AD8" s="61"/>
      <c r="AE8" s="59"/>
      <c r="AF8" s="59"/>
      <c r="AG8" s="59"/>
      <c r="AJ8" s="56">
        <f t="shared" si="0"/>
      </c>
      <c r="AK8" s="57" t="s">
        <v>141</v>
      </c>
      <c r="AL8" t="s">
        <v>21</v>
      </c>
      <c r="AM8">
        <v>3</v>
      </c>
      <c r="AN8">
        <v>1.5</v>
      </c>
      <c r="AO8">
        <v>1</v>
      </c>
      <c r="AQ8" s="254"/>
      <c r="AR8" s="254"/>
      <c r="AS8" s="254"/>
      <c r="AU8" s="100">
        <f>IF(P8="","",P8)</f>
      </c>
      <c r="AV8" s="100" t="inlineStr">
        <is>
          <t xml:space="preserve">Светильник</t>
        </is>
      </c>
      <c r="AW8" s="100" t="inlineStr">
        <is>
          <t xml:space="preserve">нет</t>
        </is>
      </c>
      <c r="AX8" s="100">
        <v>10</v>
      </c>
      <c r="AY8" s="100"/>
      <c r="BA8" s="100" t="inlineStr">
        <is>
          <t xml:space="preserve">Привод (двигатель)</t>
        </is>
      </c>
      <c r="BB8" s="100" t="inlineStr">
        <is>
          <t xml:space="preserve">Привод</t>
        </is>
      </c>
      <c r="BC8" s="100" t="inlineStr">
        <is>
          <t xml:space="preserve">MOTOR</t>
        </is>
      </c>
      <c r="BE8" s="132" t="inlineStr">
        <is>
          <t xml:space="preserve">Автоматов всего</t>
        </is>
      </c>
      <c r="BF8" s="133">
        <f>COUNTIF(Однолинейка!$E$3:$E$1000,"?*")</f>
      </c>
      <c r="BH8" s="133">
        <f>IFERROR(INDEX(Однолинейка!$A$1:$A$1000,(MATCH(4,Однолинейка!$BS$1:$BS$1000,0))),"")</f>
      </c>
      <c r="BI8" s="133">
        <f>IFERROR(INDEX(Однолинейка!$AW$1:$AW$1000,(MATCH(4,Однолинейка!$BS$1:$BS$1000,0))),"")</f>
      </c>
      <c r="BJ8" s="133">
        <f>IF(BI8="","",INDEX(Однолинейка!$AI$1:$AI$1000,(MATCH(4,Однолинейка!$BS$1:$BS$1000,0))))</f>
      </c>
      <c r="BK8" s="133">
        <f>IF(BI8="","",IFERROR(VLOOKUP(BJ8,Модули_спр,3,FALSE),""))</f>
      </c>
      <c r="BL8" s="133">
        <f>IF(BI8="","",_xlfn.MAXIFS(Однолинейка!$O$3:$O$1000,Однолинейка!$AH$3:$AH$1000,BI8,Однолинейка!$A$3:$A$1000,BH8))</f>
      </c>
      <c r="BM8" s="133">
        <f>IF(BI8="","",COUNTIFS(Однолинейка!$AH$3:$AH$1000,BI8,Однолинейка!$A$3:$A$1000,BH8,Однолинейка!$N$3:$N$1000,"р"))</f>
      </c>
      <c r="BN8" s="133">
        <f>IF(OR(BI8="",BK8=""),"",BK8-BL8)</f>
      </c>
    </row>
    <row r="9" spans="2:45" x14ac:dyDescent="0.3">
      <c r="B9" s="57">
        <v>6</v>
      </c>
      <c r="C9" s="57">
        <v>0.09</v>
      </c>
      <c r="D9" s="57">
        <v>1.7500000000000002E-2</v>
      </c>
      <c r="F9" s="57">
        <v>22.5</v>
      </c>
      <c r="G9" s="57">
        <v>32</v>
      </c>
      <c r="I9" s="57">
        <v>58</v>
      </c>
      <c r="J9" s="57">
        <v>16</v>
      </c>
      <c r="L9" s="59" t="s">
        <v>215</v>
      </c>
      <c r="M9" s="59" t="s">
        <v>213</v>
      </c>
      <c r="N9" s="59">
        <v>1</v>
      </c>
      <c r="O9" s="60"/>
      <c r="P9" s="100" t="s">
        <v>367</v>
      </c>
      <c r="Q9" s="100" t="s">
        <v>368</v>
      </c>
      <c r="R9" s="100">
        <v>1</v>
      </c>
      <c r="S9" s="100">
        <v>1</v>
      </c>
      <c r="T9" s="100">
        <v>1</v>
      </c>
      <c r="U9" s="100"/>
      <c r="V9" s="100"/>
      <c r="W9" s="100"/>
      <c r="X9" s="100"/>
      <c r="Y9" s="100"/>
      <c r="Z9" s="92"/>
      <c r="AA9" s="59"/>
      <c r="AB9" s="59"/>
      <c r="AC9" s="60"/>
      <c r="AD9" s="61"/>
      <c r="AE9" s="59"/>
      <c r="AF9" s="59"/>
      <c r="AG9" s="59"/>
      <c r="AJ9" s="56">
        <f t="shared" si="0"/>
      </c>
      <c r="AK9" s="57" t="s">
        <v>142</v>
      </c>
      <c r="AL9" t="s">
        <v>21</v>
      </c>
      <c r="AM9">
        <v>3</v>
      </c>
      <c r="AN9">
        <v>1.5</v>
      </c>
      <c r="AO9">
        <v>2</v>
      </c>
      <c r="AQ9" s="254"/>
      <c r="AR9" s="254"/>
      <c r="AS9" s="254"/>
      <c r="AU9" s="100">
        <f>IF(P9="","",P9)</f>
      </c>
      <c r="AV9" s="100" t="inlineStr">
        <is>
          <t xml:space="preserve">Светильник</t>
        </is>
      </c>
      <c r="AW9" s="100" t="inlineStr">
        <is>
          <t xml:space="preserve">нет</t>
        </is>
      </c>
      <c r="AX9" s="100">
        <v>10</v>
      </c>
      <c r="AY9" s="100"/>
      <c r="BA9" s="100" t="inlineStr">
        <is>
          <t xml:space="preserve">Нагреватель</t>
        </is>
      </c>
      <c r="BB9" s="100" t="inlineStr">
        <is>
          <t xml:space="preserve">(условный значок программы)</t>
        </is>
      </c>
      <c r="BC9" s="100" t="inlineStr">
        <is>
          <t xml:space="preserve">HEAT</t>
        </is>
      </c>
      <c r="BE9" s="132" t="inlineStr">
        <is>
          <t xml:space="preserve">  из них с 30 мА (QFD)</t>
        </is>
      </c>
      <c r="BF9" s="133">
        <f>COUNTIF(Однолинейка!$AJ$3:$AJ$1000,"QFD*")</f>
      </c>
      <c r="BH9" s="133">
        <f>IFERROR(INDEX(Однолинейка!$A$1:$A$1000,(MATCH(5,Однолинейка!$BS$1:$BS$1000,0))),"")</f>
      </c>
      <c r="BI9" s="133">
        <f>IFERROR(INDEX(Однолинейка!$AW$1:$AW$1000,(MATCH(5,Однолинейка!$BS$1:$BS$1000,0))),"")</f>
      </c>
      <c r="BJ9" s="133">
        <f>IF(BI9="","",INDEX(Однолинейка!$AI$1:$AI$1000,(MATCH(5,Однолинейка!$BS$1:$BS$1000,0))))</f>
      </c>
      <c r="BK9" s="133">
        <f>IF(BI9="","",IFERROR(VLOOKUP(BJ9,Модули_спр,3,FALSE),""))</f>
      </c>
      <c r="BL9" s="133">
        <f>IF(BI9="","",_xlfn.MAXIFS(Однолинейка!$O$3:$O$1000,Однолинейка!$AH$3:$AH$1000,BI9,Однолинейка!$A$3:$A$1000,BH9))</f>
      </c>
      <c r="BM9" s="133">
        <f>IF(BI9="","",COUNTIFS(Однолинейка!$AH$3:$AH$1000,BI9,Однолинейка!$A$3:$A$1000,BH9,Однолинейка!$N$3:$N$1000,"р"))</f>
      </c>
      <c r="BN9" s="133">
        <f>IF(OR(BI9="",BK9=""),"",BK9-BL9)</f>
      </c>
    </row>
    <row r="10" spans="2:45" x14ac:dyDescent="0.3">
      <c r="B10" s="57">
        <v>10</v>
      </c>
      <c r="C10" s="57">
        <v>7.2999999999999995E-2</v>
      </c>
      <c r="D10" s="57">
        <v>1.7500000000000002E-2</v>
      </c>
      <c r="F10" s="57">
        <v>28.8</v>
      </c>
      <c r="G10" s="57">
        <v>40</v>
      </c>
      <c r="I10" s="57">
        <v>78</v>
      </c>
      <c r="J10" s="57">
        <v>25</v>
      </c>
      <c r="L10" s="59" t="s">
        <v>214</v>
      </c>
      <c r="M10" s="59" t="s">
        <v>216</v>
      </c>
      <c r="N10" s="59">
        <v>2</v>
      </c>
      <c r="O10" s="60"/>
      <c r="P10" s="100" t="s">
        <v>369</v>
      </c>
      <c r="Q10" s="100" t="s">
        <v>370</v>
      </c>
      <c r="R10" s="100">
        <v>2</v>
      </c>
      <c r="S10" s="100">
        <v>1</v>
      </c>
      <c r="T10" s="100">
        <v>1</v>
      </c>
      <c r="U10" s="100"/>
      <c r="V10" s="100"/>
      <c r="W10" s="100"/>
      <c r="X10" s="100"/>
      <c r="Y10" s="100"/>
      <c r="Z10" s="92"/>
      <c r="AA10" s="59"/>
      <c r="AB10" s="59"/>
      <c r="AC10" s="60"/>
      <c r="AD10" s="61"/>
      <c r="AE10" s="59"/>
      <c r="AF10" s="59"/>
      <c r="AG10" s="59"/>
      <c r="AJ10" s="56">
        <f t="shared" si="0"/>
      </c>
      <c r="AK10" s="57" t="s">
        <v>143</v>
      </c>
      <c r="AL10" t="s">
        <v>21</v>
      </c>
      <c r="AM10">
        <v>3</v>
      </c>
      <c r="AN10">
        <v>2.5</v>
      </c>
      <c r="AO10">
        <v>1</v>
      </c>
      <c r="AU10" s="100">
        <f>IF(P10="","",P10)</f>
      </c>
      <c r="AV10" s="100" t="inlineStr">
        <is>
          <t xml:space="preserve">Розетка</t>
        </is>
      </c>
      <c r="AW10" s="100" t="inlineStr">
        <is>
          <t xml:space="preserve">нет</t>
        </is>
      </c>
      <c r="AX10" s="100">
        <v>16</v>
      </c>
      <c r="AY10" s="100"/>
      <c r="BA10" s="100" t="inlineStr">
        <is>
          <t xml:space="preserve">Прочее (прямоуг. с подписью)</t>
        </is>
      </c>
      <c r="BB10" s="100" t="inlineStr">
        <is>
          <t xml:space="preserve">(условный значок программы)</t>
        </is>
      </c>
      <c r="BC10" s="100" t="inlineStr">
        <is>
          <t xml:space="preserve">BOX</t>
        </is>
      </c>
      <c r="BE10" s="132" t="inlineStr">
        <is>
          <t xml:space="preserve">Клемм XT (номеров)</t>
        </is>
      </c>
      <c r="BF10" s="133">
        <f>COUNTIF(Однолинейка!$AY$3:$AY$1000,1)</f>
      </c>
      <c r="BH10" s="133">
        <f>IFERROR(INDEX(Однолинейка!$A$1:$A$1000,(MATCH(6,Однолинейка!$BS$1:$BS$1000,0))),"")</f>
      </c>
      <c r="BI10" s="133">
        <f>IFERROR(INDEX(Однолинейка!$AW$1:$AW$1000,(MATCH(6,Однолинейка!$BS$1:$BS$1000,0))),"")</f>
      </c>
      <c r="BJ10" s="133">
        <f>IF(BI10="","",INDEX(Однолинейка!$AI$1:$AI$1000,(MATCH(6,Однолинейка!$BS$1:$BS$1000,0))))</f>
      </c>
      <c r="BK10" s="133">
        <f>IF(BI10="","",IFERROR(VLOOKUP(BJ10,Модули_спр,3,FALSE),""))</f>
      </c>
      <c r="BL10" s="133">
        <f>IF(BI10="","",_xlfn.MAXIFS(Однолинейка!$O$3:$O$1000,Однолинейка!$AH$3:$AH$1000,BI10,Однолинейка!$A$3:$A$1000,BH10))</f>
      </c>
      <c r="BM10" s="133">
        <f>IF(BI10="","",COUNTIFS(Однолинейка!$AH$3:$AH$1000,BI10,Однолинейка!$A$3:$A$1000,BH10,Однолинейка!$N$3:$N$1000,"р"))</f>
      </c>
      <c r="BN10" s="133">
        <f>IF(OR(BI10="",BK10=""),"",BK10-BL10)</f>
      </c>
    </row>
    <row r="11" spans="2:45" x14ac:dyDescent="0.3">
      <c r="B11" s="57">
        <v>16</v>
      </c>
      <c r="C11" s="57">
        <v>6.7500000000000004E-2</v>
      </c>
      <c r="D11" s="57">
        <v>1.7500000000000002E-2</v>
      </c>
      <c r="F11" s="57">
        <v>36</v>
      </c>
      <c r="G11" s="57">
        <v>50</v>
      </c>
      <c r="I11" s="57">
        <v>104</v>
      </c>
      <c r="J11" s="57">
        <v>35</v>
      </c>
      <c r="L11" s="59" t="s">
        <v>22</v>
      </c>
      <c r="M11" s="59" t="s">
        <v>217</v>
      </c>
      <c r="N11" s="59">
        <v>1</v>
      </c>
      <c r="O11" s="60"/>
      <c r="P11" s="100" t="s">
        <v>371</v>
      </c>
      <c r="Q11" s="100" t="s">
        <v>372</v>
      </c>
      <c r="R11" s="100">
        <v>2</v>
      </c>
      <c r="S11" s="100">
        <v>1</v>
      </c>
      <c r="T11" s="100">
        <v>1</v>
      </c>
      <c r="U11" s="100"/>
      <c r="V11" s="100"/>
      <c r="W11" s="100"/>
      <c r="X11" s="100"/>
      <c r="Y11" s="100"/>
      <c r="Z11" s="92"/>
      <c r="AA11" s="59"/>
      <c r="AB11" s="59"/>
      <c r="AC11" s="60"/>
      <c r="AD11" s="61"/>
      <c r="AE11" s="59"/>
      <c r="AF11" s="59"/>
      <c r="AG11" s="59"/>
      <c r="AJ11" s="56">
        <f t="shared" si="0"/>
      </c>
      <c r="AK11" s="57" t="s">
        <v>144</v>
      </c>
      <c r="AL11" t="s">
        <v>21</v>
      </c>
      <c r="AM11">
        <v>3</v>
      </c>
      <c r="AN11">
        <v>2.5</v>
      </c>
      <c r="AO11">
        <v>2</v>
      </c>
      <c r="AU11" s="100">
        <f>IF(P11="","",P11)</f>
      </c>
      <c r="AV11" s="100" t="inlineStr">
        <is>
          <t xml:space="preserve">Розетка</t>
        </is>
      </c>
      <c r="AW11" s="100" t="inlineStr">
        <is>
          <t xml:space="preserve">нет</t>
        </is>
      </c>
      <c r="AX11" s="100">
        <v>16</v>
      </c>
      <c r="AY11" s="100"/>
      <c r="BA11" s="100"/>
      <c r="BB11" s="100"/>
      <c r="BC11" s="100"/>
      <c r="BE11" s="132" t="inlineStr">
        <is>
          <t xml:space="preserve">  трёхуровневых блоков</t>
        </is>
      </c>
      <c r="BF11" s="133">
        <f>SUM(Однолинейка!$BW$3:$BW$1000)</f>
      </c>
      <c r="BH11" s="133">
        <f>IFERROR(INDEX(Однолинейка!$A$1:$A$1000,(MATCH(7,Однолинейка!$BS$1:$BS$1000,0))),"")</f>
      </c>
      <c r="BI11" s="133">
        <f>IFERROR(INDEX(Однолинейка!$AW$1:$AW$1000,(MATCH(7,Однолинейка!$BS$1:$BS$1000,0))),"")</f>
      </c>
      <c r="BJ11" s="133">
        <f>IF(BI11="","",INDEX(Однолинейка!$AI$1:$AI$1000,(MATCH(7,Однолинейка!$BS$1:$BS$1000,0))))</f>
      </c>
      <c r="BK11" s="133">
        <f>IF(BI11="","",IFERROR(VLOOKUP(BJ11,Модули_спр,3,FALSE),""))</f>
      </c>
      <c r="BL11" s="133">
        <f>IF(BI11="","",_xlfn.MAXIFS(Однолинейка!$O$3:$O$1000,Однолинейка!$AH$3:$AH$1000,BI11,Однолинейка!$A$3:$A$1000,BH11))</f>
      </c>
      <c r="BM11" s="133">
        <f>IF(BI11="","",COUNTIFS(Однолинейка!$AH$3:$AH$1000,BI11,Однолинейка!$A$3:$A$1000,BH11,Однолинейка!$N$3:$N$1000,"р"))</f>
      </c>
      <c r="BN11" s="133">
        <f>IF(OR(BI11="",BK11=""),"",BK11-BL11)</f>
      </c>
    </row>
    <row r="12" spans="2:45" x14ac:dyDescent="0.3">
      <c r="B12" s="57">
        <v>25</v>
      </c>
      <c r="C12" s="57">
        <v>6.6199999999999995E-2</v>
      </c>
      <c r="D12" s="57">
        <v>1.7500000000000002E-2</v>
      </c>
      <c r="F12" s="57">
        <v>45</v>
      </c>
      <c r="G12" s="57">
        <v>63</v>
      </c>
      <c r="I12" s="57">
        <v>127</v>
      </c>
      <c r="J12" s="57">
        <v>50</v>
      </c>
      <c r="L12" s="59" t="s">
        <v>218</v>
      </c>
      <c r="M12" s="59" t="s">
        <v>219</v>
      </c>
      <c r="N12" s="59">
        <v>1</v>
      </c>
      <c r="O12" s="60"/>
      <c r="P12" s="100" t="s">
        <v>354</v>
      </c>
      <c r="Q12" s="100" t="s">
        <v>373</v>
      </c>
      <c r="R12" s="100">
        <v>1</v>
      </c>
      <c r="S12" s="100">
        <v>1</v>
      </c>
      <c r="T12" s="100">
        <v>1</v>
      </c>
      <c r="U12" s="100"/>
      <c r="V12" s="100"/>
      <c r="W12" s="100"/>
      <c r="X12" s="100"/>
      <c r="Y12" s="100"/>
      <c r="Z12" s="92"/>
      <c r="AA12" s="59"/>
      <c r="AB12" s="59"/>
      <c r="AC12" s="60"/>
      <c r="AD12" s="61"/>
      <c r="AE12" s="59"/>
      <c r="AF12" s="59"/>
      <c r="AG12" s="59"/>
      <c r="AJ12" s="56">
        <f t="shared" si="0"/>
      </c>
      <c r="AK12" s="57" t="s">
        <v>145</v>
      </c>
      <c r="AL12" t="s">
        <v>21</v>
      </c>
      <c r="AM12">
        <v>3</v>
      </c>
      <c r="AN12">
        <v>4</v>
      </c>
      <c r="AO12">
        <v>1</v>
      </c>
      <c r="AU12" s="100">
        <f>IF(P12="","",P12)</f>
      </c>
      <c r="AV12" s="100" t="inlineStr">
        <is>
          <t xml:space="preserve">Прочее (прямоуг. с подписью)</t>
        </is>
      </c>
      <c r="AW12" s="100" t="inlineStr">
        <is>
          <t xml:space="preserve">нет</t>
        </is>
      </c>
      <c r="AY12" s="100"/>
      <c r="BA12" s="100"/>
      <c r="BB12" s="100"/>
      <c r="BC12" s="100"/>
      <c r="BE12" s="132" t="inlineStr">
        <is>
          <t xml:space="preserve">  доп. проходных</t>
        </is>
      </c>
      <c r="BF12" s="133">
        <f>SUM(Однолинейка!$BX$3:$BX$1000)</f>
      </c>
      <c r="BH12" s="133">
        <f>IFERROR(INDEX(Однолинейка!$A$1:$A$1000,(MATCH(8,Однолинейка!$BS$1:$BS$1000,0))),"")</f>
      </c>
      <c r="BI12" s="133">
        <f>IFERROR(INDEX(Однолинейка!$AW$1:$AW$1000,(MATCH(8,Однолинейка!$BS$1:$BS$1000,0))),"")</f>
      </c>
      <c r="BJ12" s="133">
        <f>IF(BI12="","",INDEX(Однолинейка!$AI$1:$AI$1000,(MATCH(8,Однолинейка!$BS$1:$BS$1000,0))))</f>
      </c>
      <c r="BK12" s="133">
        <f>IF(BI12="","",IFERROR(VLOOKUP(BJ12,Модули_спр,3,FALSE),""))</f>
      </c>
      <c r="BL12" s="133">
        <f>IF(BI12="","",_xlfn.MAXIFS(Однолинейка!$O$3:$O$1000,Однолинейка!$AH$3:$AH$1000,BI12,Однолинейка!$A$3:$A$1000,BH12))</f>
      </c>
      <c r="BM12" s="133">
        <f>IF(BI12="","",COUNTIFS(Однолинейка!$AH$3:$AH$1000,BI12,Однолинейка!$A$3:$A$1000,BH12,Однолинейка!$N$3:$N$1000,"р"))</f>
      </c>
      <c r="BN12" s="133">
        <f>IF(OR(BI12="",BK12=""),"",BK12-BL12)</f>
      </c>
    </row>
    <row r="13" spans="2:45" x14ac:dyDescent="0.3">
      <c r="B13" s="57">
        <v>35</v>
      </c>
      <c r="C13" s="57">
        <v>6.3700000000000007E-2</v>
      </c>
      <c r="D13" s="57">
        <v>1.7500000000000002E-2</v>
      </c>
      <c r="F13" s="57">
        <v>56.7</v>
      </c>
      <c r="G13" s="57" t="s">
        <v>17</v>
      </c>
      <c r="I13" s="57">
        <v>155</v>
      </c>
      <c r="J13" s="57">
        <v>70</v>
      </c>
      <c r="L13" s="59" t="s">
        <v>356</v>
      </c>
      <c r="M13" s="4" t="s">
        <v>358</v>
      </c>
      <c r="N13" s="59">
        <v>2</v>
      </c>
      <c r="O13" s="60"/>
      <c r="P13" s="100" t="s">
        <v>374</v>
      </c>
      <c r="Q13" s="66" t="s">
        <v>375</v>
      </c>
      <c r="R13" s="100">
        <v>1</v>
      </c>
      <c r="S13" s="100">
        <v>1</v>
      </c>
      <c r="T13" s="100">
        <v>1</v>
      </c>
      <c r="U13" s="100"/>
      <c r="V13" s="100"/>
      <c r="W13" s="100"/>
      <c r="X13" s="100"/>
      <c r="Y13" s="100"/>
      <c r="Z13" s="92"/>
      <c r="AA13" s="59"/>
      <c r="AB13" s="59"/>
      <c r="AC13" s="60"/>
      <c r="AD13" s="61"/>
      <c r="AE13" s="59"/>
      <c r="AF13" s="59"/>
      <c r="AG13" s="59"/>
      <c r="AJ13" s="56">
        <f t="shared" si="0"/>
      </c>
      <c r="AK13" s="57" t="s">
        <v>146</v>
      </c>
      <c r="AL13" t="s">
        <v>21</v>
      </c>
      <c r="AM13">
        <v>3</v>
      </c>
      <c r="AN13">
        <v>4</v>
      </c>
      <c r="AO13">
        <v>2</v>
      </c>
      <c r="AU13" s="100">
        <f>IF(P13="","",P13)</f>
      </c>
      <c r="AY13" s="100"/>
      <c r="BA13" s="100"/>
      <c r="BB13" s="100"/>
      <c r="BC13" s="100"/>
      <c r="BE13" s="132" t="inlineStr">
        <is>
          <t xml:space="preserve">Модулей всего</t>
        </is>
      </c>
      <c r="BF13" s="133">
        <f>COUNTIF(Однолинейка!$AW$3:$AW$1000,"?*")</f>
      </c>
      <c r="BH13" s="133">
        <f>IFERROR(INDEX(Однолинейка!$A$1:$A$1000,(MATCH(9,Однолинейка!$BS$1:$BS$1000,0))),"")</f>
      </c>
      <c r="BI13" s="133">
        <f>IFERROR(INDEX(Однолинейка!$AW$1:$AW$1000,(MATCH(9,Однолинейка!$BS$1:$BS$1000,0))),"")</f>
      </c>
      <c r="BJ13" s="133">
        <f>IF(BI13="","",INDEX(Однолинейка!$AI$1:$AI$1000,(MATCH(9,Однолинейка!$BS$1:$BS$1000,0))))</f>
      </c>
      <c r="BK13" s="133">
        <f>IF(BI13="","",IFERROR(VLOOKUP(BJ13,Модули_спр,3,FALSE),""))</f>
      </c>
      <c r="BL13" s="133">
        <f>IF(BI13="","",_xlfn.MAXIFS(Однолинейка!$O$3:$O$1000,Однолинейка!$AH$3:$AH$1000,BI13,Однолинейка!$A$3:$A$1000,BH13))</f>
      </c>
      <c r="BM13" s="133">
        <f>IF(BI13="","",COUNTIFS(Однолинейка!$AH$3:$AH$1000,BI13,Однолинейка!$A$3:$A$1000,BH13,Однолинейка!$N$3:$N$1000,"р"))</f>
      </c>
      <c r="BN13" s="133">
        <f>IF(OR(BI13="",BK13=""),"",BK13-BL13)</f>
      </c>
    </row>
    <row r="14" spans="2:45" x14ac:dyDescent="0.3">
      <c r="B14" s="57">
        <v>50</v>
      </c>
      <c r="C14" s="57">
        <v>6.25E-2</v>
      </c>
      <c r="D14" s="57">
        <v>1.7500000000000002E-2</v>
      </c>
      <c r="I14" s="57">
        <v>196</v>
      </c>
      <c r="J14" s="57">
        <v>95</v>
      </c>
      <c r="L14" s="59" t="s">
        <v>359</v>
      </c>
      <c r="M14" s="59" t="s">
        <v>360</v>
      </c>
      <c r="N14" s="59">
        <v>2</v>
      </c>
      <c r="O14" s="60"/>
      <c r="P14" s="100" t="s">
        <v>274</v>
      </c>
      <c r="Q14" s="100" t="s">
        <v>127</v>
      </c>
      <c r="R14" s="100">
        <v>1</v>
      </c>
      <c r="S14" s="100">
        <v>1</v>
      </c>
      <c r="T14" s="100">
        <v>1</v>
      </c>
      <c r="U14" s="100"/>
      <c r="V14" s="100"/>
      <c r="W14" s="100"/>
      <c r="X14" s="100"/>
      <c r="Y14" s="100"/>
      <c r="Z14" s="92"/>
      <c r="AA14" s="59"/>
      <c r="AB14" s="59"/>
      <c r="AC14" s="60"/>
      <c r="AD14" s="61"/>
      <c r="AE14" s="59"/>
      <c r="AF14" s="59"/>
      <c r="AG14" s="59"/>
      <c r="AJ14" s="56">
        <f t="shared" si="0"/>
      </c>
      <c r="AK14" s="57" t="s">
        <v>147</v>
      </c>
      <c r="AL14" t="s">
        <v>21</v>
      </c>
      <c r="AM14">
        <v>3</v>
      </c>
      <c r="AN14">
        <v>6</v>
      </c>
      <c r="AO14">
        <v>1</v>
      </c>
      <c r="AU14" s="100">
        <f>IF(P14="","",P14)</f>
      </c>
      <c r="AV14" s="100" t="inlineStr">
        <is>
          <t xml:space="preserve">Привод (двигатель)</t>
        </is>
      </c>
      <c r="AW14" s="100" t="inlineStr">
        <is>
          <t xml:space="preserve">нет</t>
        </is>
      </c>
      <c r="AY14" s="100"/>
      <c r="BA14" s="100"/>
      <c r="BB14" s="100"/>
      <c r="BC14" s="100"/>
      <c r="BE14" s="132" t="inlineStr">
        <is>
          <t xml:space="preserve">Строк с ошибками (красные в AE)</t>
        </is>
      </c>
      <c r="BF14" s="133">
        <f>COUNTIF(Однолинейка!$BU$3:$BU$1000,2)</f>
      </c>
      <c r="BH14" s="133">
        <f>IFERROR(INDEX(Однолинейка!$A$1:$A$1000,(MATCH(10,Однолинейка!$BS$1:$BS$1000,0))),"")</f>
      </c>
      <c r="BI14" s="133">
        <f>IFERROR(INDEX(Однолинейка!$AW$1:$AW$1000,(MATCH(10,Однолинейка!$BS$1:$BS$1000,0))),"")</f>
      </c>
      <c r="BJ14" s="133">
        <f>IF(BI14="","",INDEX(Однолинейка!$AI$1:$AI$1000,(MATCH(10,Однолинейка!$BS$1:$BS$1000,0))))</f>
      </c>
      <c r="BK14" s="133">
        <f>IF(BI14="","",IFERROR(VLOOKUP(BJ14,Модули_спр,3,FALSE),""))</f>
      </c>
      <c r="BL14" s="133">
        <f>IF(BI14="","",_xlfn.MAXIFS(Однолинейка!$O$3:$O$1000,Однолинейка!$AH$3:$AH$1000,BI14,Однолинейка!$A$3:$A$1000,BH14))</f>
      </c>
      <c r="BM14" s="133">
        <f>IF(BI14="","",COUNTIFS(Однолинейка!$AH$3:$AH$1000,BI14,Однолинейка!$A$3:$A$1000,BH14,Однолинейка!$N$3:$N$1000,"р"))</f>
      </c>
      <c r="BN14" s="133">
        <f>IF(OR(BI14="",BK14=""),"",BK14-BL14)</f>
      </c>
    </row>
    <row r="15" spans="2:45" x14ac:dyDescent="0.3">
      <c r="B15" s="57">
        <v>70</v>
      </c>
      <c r="C15" s="57">
        <v>6.1199999999999997E-2</v>
      </c>
      <c r="D15" s="57">
        <v>1.7500000000000002E-2</v>
      </c>
      <c r="I15" s="57">
        <v>242</v>
      </c>
      <c r="J15" s="57">
        <v>120</v>
      </c>
      <c r="L15" s="59" t="s">
        <v>361</v>
      </c>
      <c r="M15" s="59" t="s">
        <v>338</v>
      </c>
      <c r="N15" s="59">
        <v>2</v>
      </c>
      <c r="O15" s="60"/>
      <c r="P15" s="100" t="s">
        <v>260</v>
      </c>
      <c r="Q15" s="100" t="s">
        <v>403</v>
      </c>
      <c r="R15" s="100">
        <v>2</v>
      </c>
      <c r="S15" s="100">
        <v>1</v>
      </c>
      <c r="T15" s="100">
        <v>1</v>
      </c>
      <c r="U15" s="100"/>
      <c r="V15" s="100"/>
      <c r="W15" s="100"/>
      <c r="X15" s="100"/>
      <c r="Y15" s="100"/>
      <c r="Z15" s="92"/>
      <c r="AA15" s="59"/>
      <c r="AB15" s="59"/>
      <c r="AC15" s="60"/>
      <c r="AD15" s="61"/>
      <c r="AE15" s="59"/>
      <c r="AF15" s="59"/>
      <c r="AG15" s="59"/>
      <c r="AJ15" s="56">
        <f t="shared" si="0"/>
      </c>
      <c r="AK15" s="57" t="s">
        <v>148</v>
      </c>
      <c r="AL15" t="s">
        <v>21</v>
      </c>
      <c r="AM15">
        <v>3</v>
      </c>
      <c r="AN15">
        <v>6</v>
      </c>
      <c r="AO15">
        <v>2</v>
      </c>
      <c r="AU15" s="100">
        <f>IF(P15="","",P15)</f>
      </c>
      <c r="AV15" s="100" t="inlineStr">
        <is>
          <t xml:space="preserve">Нагреватель</t>
        </is>
      </c>
      <c r="AW15" s="100" t="inlineStr">
        <is>
          <t xml:space="preserve">да</t>
        </is>
      </c>
      <c r="AY15" s="100"/>
      <c r="BA15" s="100"/>
      <c r="BB15" s="100"/>
      <c r="BC15" s="100"/>
      <c r="BE15" s="132" t="inlineStr">
        <is>
          <t xml:space="preserve">Строк с предупреждениями (жёлтые в AE)</t>
        </is>
      </c>
      <c r="BF15" s="133">
        <f>COUNTIF(Однолинейка!$BU$3:$BU$1000,1)</f>
      </c>
      <c r="BH15" s="133">
        <f>IFERROR(INDEX(Однолинейка!$A$1:$A$1000,(MATCH(11,Однолинейка!$BS$1:$BS$1000,0))),"")</f>
      </c>
      <c r="BI15" s="133">
        <f>IFERROR(INDEX(Однолинейка!$AW$1:$AW$1000,(MATCH(11,Однолинейка!$BS$1:$BS$1000,0))),"")</f>
      </c>
      <c r="BJ15" s="133">
        <f>IF(BI15="","",INDEX(Однолинейка!$AI$1:$AI$1000,(MATCH(11,Однолинейка!$BS$1:$BS$1000,0))))</f>
      </c>
      <c r="BK15" s="133">
        <f>IF(BI15="","",IFERROR(VLOOKUP(BJ15,Модули_спр,3,FALSE),""))</f>
      </c>
      <c r="BL15" s="133">
        <f>IF(BI15="","",_xlfn.MAXIFS(Однолинейка!$O$3:$O$1000,Однолинейка!$AH$3:$AH$1000,BI15,Однолинейка!$A$3:$A$1000,BH15))</f>
      </c>
      <c r="BM15" s="133">
        <f>IF(BI15="","",COUNTIFS(Однолинейка!$AH$3:$AH$1000,BI15,Однолинейка!$A$3:$A$1000,BH15,Однолинейка!$N$3:$N$1000,"р"))</f>
      </c>
      <c r="BN15" s="133">
        <f>IF(OR(BI15="",BK15=""),"",BK15-BL15)</f>
      </c>
    </row>
    <row r="16" spans="2:45" x14ac:dyDescent="0.3">
      <c r="B16" s="57">
        <v>95</v>
      </c>
      <c r="C16" s="57">
        <v>6.0199999999999997E-2</v>
      </c>
      <c r="D16" s="57">
        <v>1.7500000000000002E-2</v>
      </c>
      <c r="I16" s="57">
        <v>280</v>
      </c>
      <c r="J16" s="57">
        <v>150</v>
      </c>
      <c r="L16" s="59" t="s">
        <v>381</v>
      </c>
      <c r="M16" s="90" t="s">
        <v>380</v>
      </c>
      <c r="N16" s="59"/>
      <c r="O16" s="60"/>
      <c r="P16" s="100" t="s">
        <v>407</v>
      </c>
      <c r="Q16" s="100" t="s">
        <v>376</v>
      </c>
      <c r="R16" s="100">
        <v>1</v>
      </c>
      <c r="S16" s="100">
        <v>1</v>
      </c>
      <c r="T16" s="100">
        <v>1</v>
      </c>
      <c r="U16" s="100"/>
      <c r="V16" s="100"/>
      <c r="W16" s="100"/>
      <c r="X16" s="100"/>
      <c r="Y16" s="100"/>
      <c r="Z16" s="92"/>
      <c r="AA16" s="59"/>
      <c r="AB16" s="59"/>
      <c r="AC16" s="60"/>
      <c r="AD16" s="61"/>
      <c r="AE16" s="59"/>
      <c r="AF16" s="59"/>
      <c r="AG16" s="59"/>
      <c r="AJ16" s="56">
        <f t="shared" si="0"/>
      </c>
      <c r="AK16" s="57" t="s">
        <v>149</v>
      </c>
      <c r="AL16" t="s">
        <v>21</v>
      </c>
      <c r="AM16">
        <v>5</v>
      </c>
      <c r="AN16">
        <v>1.5</v>
      </c>
      <c r="AO16">
        <v>1</v>
      </c>
      <c r="AU16" s="100">
        <f>IF(P16="","",P16)</f>
      </c>
      <c r="AV16" s="100" t="inlineStr">
        <is>
          <t xml:space="preserve">Клапан</t>
        </is>
      </c>
      <c r="AW16" s="100" t="inlineStr">
        <is>
          <t xml:space="preserve">нет</t>
        </is>
      </c>
      <c r="AY16" s="100"/>
      <c r="BA16" s="100"/>
      <c r="BB16" s="100"/>
      <c r="BC16" s="100"/>
      <c r="BH16" s="133">
        <f>IFERROR(INDEX(Однолинейка!$A$1:$A$1000,(MATCH(12,Однолинейка!$BS$1:$BS$1000,0))),"")</f>
      </c>
      <c r="BI16" s="133">
        <f>IFERROR(INDEX(Однолинейка!$AW$1:$AW$1000,(MATCH(12,Однолинейка!$BS$1:$BS$1000,0))),"")</f>
      </c>
      <c r="BJ16" s="133">
        <f>IF(BI16="","",INDEX(Однолинейка!$AI$1:$AI$1000,(MATCH(12,Однолинейка!$BS$1:$BS$1000,0))))</f>
      </c>
      <c r="BK16" s="133">
        <f>IF(BI16="","",IFERROR(VLOOKUP(BJ16,Модули_спр,3,FALSE),""))</f>
      </c>
      <c r="BL16" s="133">
        <f>IF(BI16="","",_xlfn.MAXIFS(Однолинейка!$O$3:$O$1000,Однолинейка!$AH$3:$AH$1000,BI16,Однолинейка!$A$3:$A$1000,BH16))</f>
      </c>
      <c r="BM16" s="133">
        <f>IF(BI16="","",COUNTIFS(Однолинейка!$AH$3:$AH$1000,BI16,Однолинейка!$A$3:$A$1000,BH16,Однолинейка!$N$3:$N$1000,"р"))</f>
      </c>
      <c r="BN16" s="133">
        <f>IF(OR(BI16="",BK16=""),"",BK16-BL16)</f>
      </c>
    </row>
    <row r="17" spans="2:41" x14ac:dyDescent="0.3">
      <c r="B17" s="57">
        <v>150</v>
      </c>
      <c r="C17" s="57">
        <v>5.96E-2</v>
      </c>
      <c r="D17" s="57">
        <v>1.7500000000000002E-2</v>
      </c>
      <c r="I17" s="57">
        <v>321</v>
      </c>
      <c r="J17" s="57">
        <v>185</v>
      </c>
      <c r="L17" s="59"/>
      <c r="M17" s="59"/>
      <c r="N17" s="59"/>
      <c r="O17" s="60"/>
      <c r="P17" s="100" t="s">
        <v>406</v>
      </c>
      <c r="Q17" s="100" t="s">
        <v>377</v>
      </c>
      <c r="R17" s="100">
        <v>1</v>
      </c>
      <c r="S17" s="100">
        <v>1</v>
      </c>
      <c r="T17" s="100">
        <v>1</v>
      </c>
      <c r="U17" s="100"/>
      <c r="V17" s="100"/>
      <c r="W17" s="100"/>
      <c r="X17" s="100"/>
      <c r="Y17" s="100"/>
      <c r="Z17" s="92"/>
      <c r="AA17" s="92"/>
      <c r="AB17" s="92"/>
      <c r="AC17" s="60"/>
      <c r="AD17" s="61"/>
      <c r="AE17" s="59"/>
      <c r="AF17" s="59"/>
      <c r="AG17" s="59"/>
      <c r="AJ17" s="56">
        <f t="shared" si="0"/>
      </c>
      <c r="AK17" s="57" t="s">
        <v>150</v>
      </c>
      <c r="AL17" t="s">
        <v>21</v>
      </c>
      <c r="AM17">
        <v>5</v>
      </c>
      <c r="AN17">
        <v>1.5</v>
      </c>
      <c r="AO17">
        <v>2</v>
      </c>
      <c r="AU17" s="100">
        <f>IF(P17="","",P17)</f>
      </c>
      <c r="AY17" s="100"/>
      <c r="BA17" s="100"/>
      <c r="BB17" s="100"/>
      <c r="BC17" s="100"/>
      <c r="BH17" s="133">
        <f>IFERROR(INDEX(Однолинейка!$A$1:$A$1000,(MATCH(13,Однолинейка!$BS$1:$BS$1000,0))),"")</f>
      </c>
      <c r="BI17" s="133">
        <f>IFERROR(INDEX(Однолинейка!$AW$1:$AW$1000,(MATCH(13,Однолинейка!$BS$1:$BS$1000,0))),"")</f>
      </c>
      <c r="BJ17" s="133">
        <f>IF(BI17="","",INDEX(Однолинейка!$AI$1:$AI$1000,(MATCH(13,Однолинейка!$BS$1:$BS$1000,0))))</f>
      </c>
      <c r="BK17" s="133">
        <f>IF(BI17="","",IFERROR(VLOOKUP(BJ17,Модули_спр,3,FALSE),""))</f>
      </c>
      <c r="BL17" s="133">
        <f>IF(BI17="","",_xlfn.MAXIFS(Однолинейка!$O$3:$O$1000,Однолинейка!$AH$3:$AH$1000,BI17,Однолинейка!$A$3:$A$1000,BH17))</f>
      </c>
      <c r="BM17" s="133">
        <f>IF(BI17="","",COUNTIFS(Однолинейка!$AH$3:$AH$1000,BI17,Однолинейка!$A$3:$A$1000,BH17,Однолинейка!$N$3:$N$1000,"р"))</f>
      </c>
      <c r="BN17" s="133">
        <f>IF(OR(BI17="",BK17=""),"",BK17-BL17)</f>
      </c>
    </row>
    <row r="18" spans="2:41" x14ac:dyDescent="0.3">
      <c r="B18" s="57">
        <v>185</v>
      </c>
      <c r="C18" s="57">
        <v>5.96E-2</v>
      </c>
      <c r="D18" s="57">
        <v>1.7500000000000002E-2</v>
      </c>
      <c r="I18" s="57">
        <v>369</v>
      </c>
      <c r="J18" s="57">
        <v>240</v>
      </c>
      <c r="L18" s="59"/>
      <c r="M18" s="59"/>
      <c r="N18" s="59"/>
      <c r="O18" s="60"/>
      <c r="P18" s="100" t="s">
        <v>357</v>
      </c>
      <c r="Q18" s="100" t="s">
        <v>378</v>
      </c>
      <c r="R18" s="100">
        <v>1</v>
      </c>
      <c r="S18" s="100">
        <v>1</v>
      </c>
      <c r="T18" s="100">
        <v>1</v>
      </c>
      <c r="U18" s="100"/>
      <c r="V18" s="100"/>
      <c r="W18" s="100"/>
      <c r="X18" s="100"/>
      <c r="Y18" s="100"/>
      <c r="Z18" s="92"/>
      <c r="AA18" s="92"/>
      <c r="AB18" s="92"/>
      <c r="AC18" s="60"/>
      <c r="AD18" s="61"/>
      <c r="AE18" s="59"/>
      <c r="AF18" s="59"/>
      <c r="AG18" s="59"/>
      <c r="AJ18" s="56">
        <f t="shared" si="0"/>
      </c>
      <c r="AK18" s="57" t="s">
        <v>151</v>
      </c>
      <c r="AL18" t="s">
        <v>21</v>
      </c>
      <c r="AM18">
        <v>5</v>
      </c>
      <c r="AN18">
        <v>2.5</v>
      </c>
      <c r="AO18">
        <v>1</v>
      </c>
      <c r="AU18" s="100">
        <f>IF(P18="","",P18)</f>
      </c>
      <c r="AV18" s="100" t="inlineStr">
        <is>
          <t xml:space="preserve">Привод (двигатель)</t>
        </is>
      </c>
      <c r="AW18" s="100" t="inlineStr">
        <is>
          <t xml:space="preserve">нет</t>
        </is>
      </c>
      <c r="AY18" s="100">
        <v>2</v>
      </c>
      <c r="BA18" s="100"/>
      <c r="BB18" s="100"/>
      <c r="BC18" s="100"/>
      <c r="BE18" s="130" t="inlineStr">
        <is>
          <t xml:space="preserve">КАК ПОДБИРАЕТСЯ АВТОМАТ («авто»)</t>
        </is>
      </c>
      <c r="BF18" s="130"/>
      <c r="BH18" s="133">
        <f>IFERROR(INDEX(Однолинейка!$A$1:$A$1000,(MATCH(14,Однолинейка!$BS$1:$BS$1000,0))),"")</f>
      </c>
      <c r="BI18" s="133">
        <f>IFERROR(INDEX(Однолинейка!$AW$1:$AW$1000,(MATCH(14,Однолинейка!$BS$1:$BS$1000,0))),"")</f>
      </c>
      <c r="BJ18" s="133">
        <f>IF(BI18="","",INDEX(Однолинейка!$AI$1:$AI$1000,(MATCH(14,Однолинейка!$BS$1:$BS$1000,0))))</f>
      </c>
      <c r="BK18" s="133">
        <f>IF(BI18="","",IFERROR(VLOOKUP(BJ18,Модули_спр,3,FALSE),""))</f>
      </c>
      <c r="BL18" s="133">
        <f>IF(BI18="","",_xlfn.MAXIFS(Однолинейка!$O$3:$O$1000,Однолинейка!$AH$3:$AH$1000,BI18,Однолинейка!$A$3:$A$1000,BH18))</f>
      </c>
      <c r="BM18" s="133">
        <f>IF(BI18="","",COUNTIFS(Однолинейка!$AH$3:$AH$1000,BI18,Однолинейка!$A$3:$A$1000,BH18,Однолинейка!$N$3:$N$1000,"р"))</f>
      </c>
      <c r="BN18" s="133">
        <f>IF(OR(BI18="",BK18=""),"",BK18-BL18)</f>
      </c>
    </row>
    <row r="19" spans="2:41" x14ac:dyDescent="0.3">
      <c r="B19" s="57">
        <v>240</v>
      </c>
      <c r="C19" s="57">
        <v>5.8700000000000002E-2</v>
      </c>
      <c r="D19" s="57">
        <v>1.7500000000000002E-2</v>
      </c>
      <c r="I19" s="57">
        <v>438</v>
      </c>
      <c r="J19" s="57" t="s">
        <v>17</v>
      </c>
      <c r="L19" s="59"/>
      <c r="M19" s="59"/>
      <c r="N19" s="59"/>
      <c r="O19" s="60"/>
      <c r="P19" s="100" t="s">
        <v>382</v>
      </c>
      <c r="Q19" s="100" t="s">
        <v>383</v>
      </c>
      <c r="R19" s="100">
        <v>1</v>
      </c>
      <c r="S19" s="100">
        <v>2</v>
      </c>
      <c r="T19" s="100">
        <v>1</v>
      </c>
      <c r="U19" s="100"/>
      <c r="V19" s="100"/>
      <c r="W19" s="100"/>
      <c r="X19" s="100"/>
      <c r="Y19" s="100"/>
      <c r="Z19" s="92"/>
      <c r="AA19" s="92"/>
      <c r="AB19" s="92"/>
      <c r="AC19" s="60"/>
      <c r="AD19" s="61"/>
      <c r="AE19" s="59"/>
      <c r="AF19" s="59"/>
      <c r="AG19" s="59"/>
      <c r="AJ19" s="56">
        <f t="shared" si="0"/>
      </c>
      <c r="AK19" s="57" t="s">
        <v>152</v>
      </c>
      <c r="AL19" t="s">
        <v>21</v>
      </c>
      <c r="AM19">
        <v>5</v>
      </c>
      <c r="AN19">
        <v>2.5</v>
      </c>
      <c r="AO19">
        <v>2</v>
      </c>
      <c r="AU19" s="100">
        <f>IF(P19="","",P19)</f>
      </c>
      <c r="AV19" s="100" t="inlineStr">
        <is>
          <t xml:space="preserve">Светильник</t>
        </is>
      </c>
      <c r="AW19" s="100" t="inlineStr">
        <is>
          <t xml:space="preserve">нет</t>
        </is>
      </c>
      <c r="AX19" s="100">
        <v>10</v>
      </c>
      <c r="AY19" s="100"/>
      <c r="BA19" s="100"/>
      <c r="BB19" s="100"/>
      <c r="BC19" s="100"/>
      <c r="BE19" s="132" t="inlineStr">
        <is>
          <t xml:space="preserve">1. Ток группы = сумма токов линий группы (линия в нескольких строках считается один раз).</t>
        </is>
      </c>
      <c r="BH19" s="133">
        <f>IFERROR(INDEX(Однолинейка!$A$1:$A$1000,(MATCH(15,Однолинейка!$BS$1:$BS$1000,0))),"")</f>
      </c>
      <c r="BI19" s="133">
        <f>IFERROR(INDEX(Однолинейка!$AW$1:$AW$1000,(MATCH(15,Однолинейка!$BS$1:$BS$1000,0))),"")</f>
      </c>
      <c r="BJ19" s="133">
        <f>IF(BI19="","",INDEX(Однолинейка!$AI$1:$AI$1000,(MATCH(15,Однолинейка!$BS$1:$BS$1000,0))))</f>
      </c>
      <c r="BK19" s="133">
        <f>IF(BI19="","",IFERROR(VLOOKUP(BJ19,Модули_спр,3,FALSE),""))</f>
      </c>
      <c r="BL19" s="133">
        <f>IF(BI19="","",_xlfn.MAXIFS(Однолинейка!$O$3:$O$1000,Однолинейка!$AH$3:$AH$1000,BI19,Однолинейка!$A$3:$A$1000,BH19))</f>
      </c>
      <c r="BM19" s="133">
        <f>IF(BI19="","",COUNTIFS(Однолинейка!$AH$3:$AH$1000,BI19,Однолинейка!$A$3:$A$1000,BH19,Однолинейка!$N$3:$N$1000,"р"))</f>
      </c>
      <c r="BN19" s="133">
        <f>IF(OR(BI19="",BK19=""),"",BK19-BL19)</f>
      </c>
    </row>
    <row r="20" spans="2:41" x14ac:dyDescent="0.3">
      <c r="L20" s="59"/>
      <c r="M20" s="59"/>
      <c r="N20" s="59"/>
      <c r="O20" s="60"/>
      <c r="P20" s="100" t="s">
        <v>367</v>
      </c>
      <c r="Q20" s="100" t="s">
        <v>384</v>
      </c>
      <c r="R20" s="100">
        <v>1</v>
      </c>
      <c r="S20" s="100">
        <v>1</v>
      </c>
      <c r="T20" s="100">
        <v>3</v>
      </c>
      <c r="U20" s="100"/>
      <c r="V20" s="100"/>
      <c r="W20" s="100"/>
      <c r="X20" s="100"/>
      <c r="Y20" s="100"/>
      <c r="Z20" s="92"/>
      <c r="AA20" s="92"/>
      <c r="AB20" s="92"/>
      <c r="AC20" s="60"/>
      <c r="AD20" s="61"/>
      <c r="AE20" s="59"/>
      <c r="AF20" s="59"/>
      <c r="AG20" s="59"/>
      <c r="AJ20" s="56">
        <f t="shared" si="0"/>
      </c>
      <c r="AK20" s="57" t="s">
        <v>153</v>
      </c>
      <c r="AL20" t="s">
        <v>21</v>
      </c>
      <c r="AM20">
        <v>5</v>
      </c>
      <c r="AN20">
        <v>4</v>
      </c>
      <c r="AO20">
        <v>1</v>
      </c>
      <c r="AU20" s="100">
        <f>IF(P20="","",P20)</f>
      </c>
      <c r="AV20" s="100" t="inlineStr">
        <is>
          <t xml:space="preserve">Светильник</t>
        </is>
      </c>
      <c r="AW20" s="100" t="inlineStr">
        <is>
          <t xml:space="preserve">нет</t>
        </is>
      </c>
      <c r="AX20" s="100">
        <v>10</v>
      </c>
      <c r="AY20" s="100"/>
      <c r="BA20" s="100"/>
      <c r="BB20" s="100"/>
      <c r="BC20" s="100"/>
      <c r="BE20" s="132" t="inlineStr">
        <is>
          <t xml:space="preserve">2. Номинал по току — по таблице «Автомат_номиналы» (эта страница, F:G).</t>
        </is>
      </c>
      <c r="BH20" s="133">
        <f>IFERROR(INDEX(Однолинейка!$A$1:$A$1000,(MATCH(16,Однолинейка!$BS$1:$BS$1000,0))),"")</f>
      </c>
      <c r="BI20" s="133">
        <f>IFERROR(INDEX(Однолинейка!$AW$1:$AW$1000,(MATCH(16,Однолинейка!$BS$1:$BS$1000,0))),"")</f>
      </c>
      <c r="BJ20" s="133">
        <f>IF(BI20="","",INDEX(Однолинейка!$AI$1:$AI$1000,(MATCH(16,Однолинейка!$BS$1:$BS$1000,0))))</f>
      </c>
      <c r="BK20" s="133">
        <f>IF(BI20="","",IFERROR(VLOOKUP(BJ20,Модули_спр,3,FALSE),""))</f>
      </c>
      <c r="BL20" s="133">
        <f>IF(BI20="","",_xlfn.MAXIFS(Однолинейка!$O$3:$O$1000,Однолинейка!$AH$3:$AH$1000,BI20,Однолинейка!$A$3:$A$1000,BH20))</f>
      </c>
      <c r="BM20" s="133">
        <f>IF(BI20="","",COUNTIFS(Однолинейка!$AH$3:$AH$1000,BI20,Однолинейка!$A$3:$A$1000,BH20,Однолинейка!$N$3:$N$1000,"р"))</f>
      </c>
      <c r="BN20" s="133">
        <f>IF(OR(BI20="",BK20=""),"",BK20-BL20)</f>
      </c>
    </row>
    <row r="21" spans="2:41" x14ac:dyDescent="0.3">
      <c r="L21" s="59"/>
      <c r="M21" s="59"/>
      <c r="N21" s="59"/>
      <c r="O21" s="60"/>
      <c r="P21" s="100" t="s">
        <v>385</v>
      </c>
      <c r="Q21" s="100" t="s">
        <v>386</v>
      </c>
      <c r="R21" s="100">
        <v>1</v>
      </c>
      <c r="S21" s="100">
        <v>1</v>
      </c>
      <c r="T21" s="100">
        <v>1</v>
      </c>
      <c r="U21" s="100"/>
      <c r="V21" s="100"/>
      <c r="W21" s="100"/>
      <c r="X21" s="100"/>
      <c r="Y21" s="100"/>
      <c r="Z21" s="92"/>
      <c r="AA21" s="92"/>
      <c r="AB21" s="92"/>
      <c r="AC21" s="60"/>
      <c r="AD21" s="61"/>
      <c r="AE21" s="59"/>
      <c r="AF21" s="59"/>
      <c r="AG21" s="59"/>
      <c r="AJ21" s="56">
        <f t="shared" si="0"/>
      </c>
      <c r="AK21" s="57" t="s">
        <v>154</v>
      </c>
      <c r="AL21" t="s">
        <v>21</v>
      </c>
      <c r="AM21">
        <v>5</v>
      </c>
      <c r="AN21">
        <v>4</v>
      </c>
      <c r="AO21">
        <v>2</v>
      </c>
      <c r="AU21" s="100">
        <f>IF(P21="","",P21)</f>
      </c>
      <c r="AY21" s="100"/>
      <c r="BA21" s="100"/>
      <c r="BB21" s="100"/>
      <c r="BC21" s="100"/>
      <c r="BE21" s="132" t="inlineStr">
        <is>
          <t xml:space="preserve">3. Итог = наибольший из: по току, «Мин. автомат» по коду (AX: розетки 16 А, свет 10 А) и ручного автомата из «Исходных данных».</t>
        </is>
      </c>
      <c r="BH21" s="133">
        <f>IFERROR(INDEX(Однолинейка!$A$1:$A$1000,(MATCH(17,Однолинейка!$BS$1:$BS$1000,0))),"")</f>
      </c>
      <c r="BI21" s="133">
        <f>IFERROR(INDEX(Однолинейка!$AW$1:$AW$1000,(MATCH(17,Однолинейка!$BS$1:$BS$1000,0))),"")</f>
      </c>
      <c r="BJ21" s="133">
        <f>IF(BI21="","",INDEX(Однолинейка!$AI$1:$AI$1000,(MATCH(17,Однолинейка!$BS$1:$BS$1000,0))))</f>
      </c>
      <c r="BK21" s="133">
        <f>IF(BI21="","",IFERROR(VLOOKUP(BJ21,Модули_спр,3,FALSE),""))</f>
      </c>
      <c r="BL21" s="133">
        <f>IF(BI21="","",_xlfn.MAXIFS(Однолинейка!$O$3:$O$1000,Однолинейка!$AH$3:$AH$1000,BI21,Однолинейка!$A$3:$A$1000,BH21))</f>
      </c>
      <c r="BM21" s="133">
        <f>IF(BI21="","",COUNTIFS(Однолинейка!$AH$3:$AH$1000,BI21,Однолинейка!$A$3:$A$1000,BH21,Однолинейка!$N$3:$N$1000,"р"))</f>
      </c>
      <c r="BN21" s="133">
        <f>IF(OR(BI21="",BK21=""),"",BK21-BL21)</f>
      </c>
    </row>
    <row r="22" spans="2:41" x14ac:dyDescent="0.3">
      <c r="L22" s="59"/>
      <c r="M22" s="59"/>
      <c r="N22" s="59"/>
      <c r="O22" s="60"/>
      <c r="P22" s="100" t="s">
        <v>408</v>
      </c>
      <c r="Q22" s="100" t="s">
        <v>387</v>
      </c>
      <c r="R22" s="100">
        <v>1</v>
      </c>
      <c r="S22" s="100">
        <v>1</v>
      </c>
      <c r="T22" s="100">
        <v>1</v>
      </c>
      <c r="U22" s="100"/>
      <c r="V22" s="100"/>
      <c r="W22" s="100"/>
      <c r="X22" s="100"/>
      <c r="Y22" s="100"/>
      <c r="Z22" s="92"/>
      <c r="AA22" s="92"/>
      <c r="AB22" s="92"/>
      <c r="AC22" s="60"/>
      <c r="AD22" s="61"/>
      <c r="AE22" s="59"/>
      <c r="AF22" s="59"/>
      <c r="AG22" s="59"/>
      <c r="AJ22" s="56">
        <f t="shared" si="0"/>
      </c>
      <c r="AK22" s="57" t="s">
        <v>155</v>
      </c>
      <c r="AL22" t="s">
        <v>21</v>
      </c>
      <c r="AM22">
        <v>5</v>
      </c>
      <c r="AN22">
        <v>6</v>
      </c>
      <c r="AO22">
        <v>1</v>
      </c>
      <c r="AU22" s="100">
        <f>IF(P22="","",P22)</f>
      </c>
      <c r="AV22" s="100" t="inlineStr">
        <is>
          <t xml:space="preserve">Привод (двигатель)</t>
        </is>
      </c>
      <c r="AW22" s="100" t="inlineStr">
        <is>
          <t xml:space="preserve">нет</t>
        </is>
      </c>
      <c r="AY22" s="100"/>
      <c r="BA22" s="100"/>
      <c r="BB22" s="100"/>
      <c r="BC22" s="100"/>
      <c r="BE22" s="132" t="inlineStr">
        <is>
          <t xml:space="preserve">4. «Макс. автомат по кабелю» — по сечению (I:J). Если итог больше — «КАБЕЛЬ НЕ ЗАЩИЩЁН».</t>
        </is>
      </c>
      <c r="BH22" s="133">
        <f>IFERROR(INDEX(Однолинейка!$A$1:$A$1000,(MATCH(18,Однолинейка!$BS$1:$BS$1000,0))),"")</f>
      </c>
      <c r="BI22" s="133">
        <f>IFERROR(INDEX(Однолинейка!$AW$1:$AW$1000,(MATCH(18,Однолинейка!$BS$1:$BS$1000,0))),"")</f>
      </c>
      <c r="BJ22" s="133">
        <f>IF(BI22="","",INDEX(Однолинейка!$AI$1:$AI$1000,(MATCH(18,Однолинейка!$BS$1:$BS$1000,0))))</f>
      </c>
      <c r="BK22" s="133">
        <f>IF(BI22="","",IFERROR(VLOOKUP(BJ22,Модули_спр,3,FALSE),""))</f>
      </c>
      <c r="BL22" s="133">
        <f>IF(BI22="","",_xlfn.MAXIFS(Однолинейка!$O$3:$O$1000,Однолинейка!$AH$3:$AH$1000,BI22,Однолинейка!$A$3:$A$1000,BH22))</f>
      </c>
      <c r="BM22" s="133">
        <f>IF(BI22="","",COUNTIFS(Однолинейка!$AH$3:$AH$1000,BI22,Однолинейка!$A$3:$A$1000,BH22,Однолинейка!$N$3:$N$1000,"р"))</f>
      </c>
      <c r="BN22" s="133">
        <f>IF(OR(BI22="",BK22=""),"",BK22-BL22)</f>
      </c>
    </row>
    <row r="23" spans="2:41" x14ac:dyDescent="0.3">
      <c r="L23" s="59"/>
      <c r="M23" s="59"/>
      <c r="N23" s="59"/>
      <c r="O23" s="60"/>
      <c r="P23" s="100" t="s">
        <v>388</v>
      </c>
      <c r="Q23" s="100" t="s">
        <v>389</v>
      </c>
      <c r="R23" s="100">
        <v>1</v>
      </c>
      <c r="S23" s="100">
        <v>1</v>
      </c>
      <c r="T23" s="100">
        <v>1</v>
      </c>
      <c r="U23" s="100"/>
      <c r="V23" s="100"/>
      <c r="W23" s="100"/>
      <c r="X23" s="100"/>
      <c r="Y23" s="100"/>
      <c r="Z23" s="92"/>
      <c r="AA23" s="92"/>
      <c r="AB23" s="92"/>
      <c r="AC23" s="60"/>
      <c r="AD23" s="61"/>
      <c r="AE23" s="59"/>
      <c r="AF23" s="59"/>
      <c r="AG23" s="59"/>
      <c r="AJ23" s="56">
        <f t="shared" si="0"/>
      </c>
      <c r="AK23" s="57" t="s">
        <v>156</v>
      </c>
      <c r="AL23" t="s">
        <v>21</v>
      </c>
      <c r="AM23">
        <v>5</v>
      </c>
      <c r="AN23">
        <v>6</v>
      </c>
      <c r="AO23">
        <v>2</v>
      </c>
      <c r="AU23" s="100">
        <f>IF(P23="","",P23)</f>
      </c>
      <c r="AY23" s="100"/>
      <c r="BA23" s="100"/>
      <c r="BB23" s="100"/>
      <c r="BC23" s="100"/>
      <c r="BE23" s="132" t="inlineStr">
        <is>
          <t xml:space="preserve">5. Если после автомата БП/трансформатор — берётся ток и мин. номинал BF5.</t>
        </is>
      </c>
      <c r="BH23" s="133">
        <f>IFERROR(INDEX(Однолинейка!$A$1:$A$1000,(MATCH(19,Однолинейка!$BS$1:$BS$1000,0))),"")</f>
      </c>
      <c r="BI23" s="133">
        <f>IFERROR(INDEX(Однолинейка!$AW$1:$AW$1000,(MATCH(19,Однолинейка!$BS$1:$BS$1000,0))),"")</f>
      </c>
      <c r="BJ23" s="133">
        <f>IF(BI23="","",INDEX(Однолинейка!$AI$1:$AI$1000,(MATCH(19,Однолинейка!$BS$1:$BS$1000,0))))</f>
      </c>
      <c r="BK23" s="133">
        <f>IF(BI23="","",IFERROR(VLOOKUP(BJ23,Модули_спр,3,FALSE),""))</f>
      </c>
      <c r="BL23" s="133">
        <f>IF(BI23="","",_xlfn.MAXIFS(Однолинейка!$O$3:$O$1000,Однолинейка!$AH$3:$AH$1000,BI23,Однолинейка!$A$3:$A$1000,BH23))</f>
      </c>
      <c r="BM23" s="133">
        <f>IF(BI23="","",COUNTIFS(Однолинейка!$AH$3:$AH$1000,BI23,Однолинейка!$A$3:$A$1000,BH23,Однолинейка!$N$3:$N$1000,"р"))</f>
      </c>
      <c r="BN23" s="133">
        <f>IF(OR(BI23="",BK23=""),"",BK23-BL23)</f>
      </c>
    </row>
    <row r="24" spans="2:41" x14ac:dyDescent="0.3">
      <c r="L24" s="59"/>
      <c r="M24" s="59"/>
      <c r="N24" s="59"/>
      <c r="O24" s="60"/>
      <c r="P24" s="100" t="s">
        <v>390</v>
      </c>
      <c r="Q24" s="100" t="s">
        <v>391</v>
      </c>
      <c r="R24" s="100">
        <v>1</v>
      </c>
      <c r="S24" s="100">
        <v>1</v>
      </c>
      <c r="T24" s="100">
        <v>1</v>
      </c>
      <c r="U24" s="100"/>
      <c r="V24" s="100"/>
      <c r="W24" s="100"/>
      <c r="X24" s="100"/>
      <c r="Y24" s="100"/>
      <c r="Z24" s="92"/>
      <c r="AA24" s="92"/>
      <c r="AB24" s="92"/>
      <c r="AC24" s="60"/>
      <c r="AD24" s="61"/>
      <c r="AE24" s="59"/>
      <c r="AF24" s="59"/>
      <c r="AG24" s="59"/>
      <c r="AJ24" s="56">
        <f t="shared" si="0"/>
      </c>
      <c r="AK24" s="57" t="s">
        <v>157</v>
      </c>
      <c r="AL24" t="s">
        <v>21</v>
      </c>
      <c r="AM24">
        <v>5</v>
      </c>
      <c r="AN24">
        <v>10</v>
      </c>
      <c r="AO24">
        <v>1</v>
      </c>
      <c r="AU24" s="100">
        <f>IF(P24="","",P24)</f>
      </c>
      <c r="AV24" s="100" t="inlineStr">
        <is>
          <t xml:space="preserve">Привод (двигатель)</t>
        </is>
      </c>
      <c r="AW24" s="100" t="inlineStr">
        <is>
          <t xml:space="preserve">нет</t>
        </is>
      </c>
      <c r="AY24" s="100"/>
      <c r="BA24" s="100"/>
      <c r="BB24" s="100"/>
      <c r="BC24" s="100"/>
      <c r="BE24" s="132" t="inlineStr">
        <is>
          <t xml:space="preserve">6. Полюса: 3 фазы → 3P (4P с 30 мА), 1 фаза → 1P (2P с 30 мА).</t>
        </is>
      </c>
      <c r="BH24" s="133">
        <f>IFERROR(INDEX(Однолинейка!$A$1:$A$1000,(MATCH(20,Однолинейка!$BS$1:$BS$1000,0))),"")</f>
      </c>
      <c r="BI24" s="133">
        <f>IFERROR(INDEX(Однолинейка!$AW$1:$AW$1000,(MATCH(20,Однолинейка!$BS$1:$BS$1000,0))),"")</f>
      </c>
      <c r="BJ24" s="133">
        <f>IF(BI24="","",INDEX(Однолинейка!$AI$1:$AI$1000,(MATCH(20,Однолинейка!$BS$1:$BS$1000,0))))</f>
      </c>
      <c r="BK24" s="133">
        <f>IF(BI24="","",IFERROR(VLOOKUP(BJ24,Модули_спр,3,FALSE),""))</f>
      </c>
      <c r="BL24" s="133">
        <f>IF(BI24="","",_xlfn.MAXIFS(Однолинейка!$O$3:$O$1000,Однолинейка!$AH$3:$AH$1000,BI24,Однолинейка!$A$3:$A$1000,BH24))</f>
      </c>
      <c r="BM24" s="133">
        <f>IF(BI24="","",COUNTIFS(Однолинейка!$AH$3:$AH$1000,BI24,Однолинейка!$A$3:$A$1000,BH24,Однолинейка!$N$3:$N$1000,"р"))</f>
      </c>
      <c r="BN24" s="133">
        <f>IF(OR(BI24="",BK24=""),"",BK24-BL24)</f>
      </c>
    </row>
    <row r="25" spans="2:41" x14ac:dyDescent="0.3">
      <c r="L25" s="59"/>
      <c r="M25" s="59"/>
      <c r="N25" s="59"/>
      <c r="O25" s="60"/>
      <c r="P25" s="100" t="s">
        <v>392</v>
      </c>
      <c r="Q25" s="100" t="s">
        <v>393</v>
      </c>
      <c r="R25" s="100">
        <v>1</v>
      </c>
      <c r="S25" s="100">
        <v>1</v>
      </c>
      <c r="T25" s="100">
        <v>1</v>
      </c>
      <c r="U25" s="100"/>
      <c r="V25" s="100"/>
      <c r="W25" s="100"/>
      <c r="X25" s="100"/>
      <c r="Y25" s="100"/>
      <c r="Z25" s="92"/>
      <c r="AA25" s="92"/>
      <c r="AB25" s="92"/>
      <c r="AC25" s="60"/>
      <c r="AD25" s="61"/>
      <c r="AE25" s="59"/>
      <c r="AF25" s="59"/>
      <c r="AG25" s="59"/>
      <c r="AJ25" s="56">
        <f t="shared" si="0"/>
      </c>
      <c r="AK25" s="57" t="s">
        <v>158</v>
      </c>
      <c r="AL25" t="s">
        <v>21</v>
      </c>
      <c r="AM25">
        <v>5</v>
      </c>
      <c r="AN25">
        <v>10</v>
      </c>
      <c r="AO25">
        <v>2</v>
      </c>
      <c r="AU25" s="100">
        <f>IF(P25="","",P25)</f>
      </c>
      <c r="AV25" s="100" t="inlineStr">
        <is>
          <t xml:space="preserve">Нагреватель</t>
        </is>
      </c>
      <c r="AW25" s="100" t="inlineStr">
        <is>
          <t xml:space="preserve">да</t>
        </is>
      </c>
      <c r="AY25" s="100"/>
      <c r="BA25" s="100"/>
      <c r="BB25" s="100"/>
      <c r="BC25" s="100"/>
      <c r="BE25" s="132" t="inlineStr">
        <is>
          <t xml:space="preserve">7. 30 мА: столбец F «Однолинейки» или по коду (AW).</t>
        </is>
      </c>
      <c r="BH25" s="133">
        <f>IFERROR(INDEX(Однолинейка!$A$1:$A$1000,(MATCH(21,Однолинейка!$BS$1:$BS$1000,0))),"")</f>
      </c>
      <c r="BI25" s="133">
        <f>IFERROR(INDEX(Однолинейка!$AW$1:$AW$1000,(MATCH(21,Однолинейка!$BS$1:$BS$1000,0))),"")</f>
      </c>
      <c r="BJ25" s="133">
        <f>IF(BI25="","",INDEX(Однолинейка!$AI$1:$AI$1000,(MATCH(21,Однолинейка!$BS$1:$BS$1000,0))))</f>
      </c>
      <c r="BK25" s="133">
        <f>IF(BI25="","",IFERROR(VLOOKUP(BJ25,Модули_спр,3,FALSE),""))</f>
      </c>
      <c r="BL25" s="133">
        <f>IF(BI25="","",_xlfn.MAXIFS(Однолинейка!$O$3:$O$1000,Однолинейка!$AH$3:$AH$1000,BI25,Однолинейка!$A$3:$A$1000,BH25))</f>
      </c>
      <c r="BM25" s="133">
        <f>IF(BI25="","",COUNTIFS(Однолинейка!$AH$3:$AH$1000,BI25,Однолинейка!$A$3:$A$1000,BH25,Однолинейка!$N$3:$N$1000,"р"))</f>
      </c>
      <c r="BN25" s="133">
        <f>IF(OR(BI25="",BK25=""),"",BK25-BL25)</f>
      </c>
    </row>
    <row r="26" spans="2:41" x14ac:dyDescent="0.3">
      <c r="L26" s="59"/>
      <c r="M26" s="59"/>
      <c r="N26" s="59"/>
      <c r="O26" s="60"/>
      <c r="P26" s="100" t="s">
        <v>394</v>
      </c>
      <c r="Q26" s="100" t="s">
        <v>395</v>
      </c>
      <c r="R26" s="100">
        <v>0</v>
      </c>
      <c r="S26" s="100">
        <v>1</v>
      </c>
      <c r="T26" s="100">
        <v>1</v>
      </c>
      <c r="U26" s="100"/>
      <c r="V26" s="100"/>
      <c r="W26" s="100"/>
      <c r="X26" s="100"/>
      <c r="Y26" s="100"/>
      <c r="Z26" s="92"/>
      <c r="AA26" s="92"/>
      <c r="AB26" s="92"/>
      <c r="AC26" s="60"/>
      <c r="AD26" s="60"/>
      <c r="AE26" s="60"/>
      <c r="AF26" s="60"/>
      <c r="AG26" s="60"/>
      <c r="AJ26" s="56">
        <f t="shared" si="0"/>
      </c>
      <c r="AK26" s="57" t="s">
        <v>159</v>
      </c>
      <c r="AL26" t="s">
        <v>21</v>
      </c>
      <c r="AM26">
        <v>5</v>
      </c>
      <c r="AN26">
        <v>16</v>
      </c>
      <c r="AO26">
        <v>1</v>
      </c>
      <c r="AU26" s="100">
        <f>IF(P26="","",P26)</f>
      </c>
      <c r="AY26" s="100"/>
      <c r="BA26" s="100"/>
      <c r="BB26" s="100"/>
      <c r="BC26" s="100"/>
      <c r="BE26" s="132" t="inlineStr">
        <is>
          <t xml:space="preserve">8. Свой текст в «Автомат» (например «2P С20А 30мА») — используется как есть и проверяется.</t>
        </is>
      </c>
      <c r="BH26" s="133">
        <f>IFERROR(INDEX(Однолинейка!$A$1:$A$1000,(MATCH(22,Однолинейка!$BS$1:$BS$1000,0))),"")</f>
      </c>
      <c r="BI26" s="133">
        <f>IFERROR(INDEX(Однолинейка!$AW$1:$AW$1000,(MATCH(22,Однолинейка!$BS$1:$BS$1000,0))),"")</f>
      </c>
      <c r="BJ26" s="133">
        <f>IF(BI26="","",INDEX(Однолинейка!$AI$1:$AI$1000,(MATCH(22,Однолинейка!$BS$1:$BS$1000,0))))</f>
      </c>
      <c r="BK26" s="133">
        <f>IF(BI26="","",IFERROR(VLOOKUP(BJ26,Модули_спр,3,FALSE),""))</f>
      </c>
      <c r="BL26" s="133">
        <f>IF(BI26="","",_xlfn.MAXIFS(Однолинейка!$O$3:$O$1000,Однолинейка!$AH$3:$AH$1000,BI26,Однолинейка!$A$3:$A$1000,BH26))</f>
      </c>
      <c r="BM26" s="133">
        <f>IF(BI26="","",COUNTIFS(Однолинейка!$AH$3:$AH$1000,BI26,Однолинейка!$A$3:$A$1000,BH26,Однолинейка!$N$3:$N$1000,"р"))</f>
      </c>
      <c r="BN26" s="133">
        <f>IF(OR(BI26="",BK26=""),"",BK26-BL26)</f>
      </c>
    </row>
    <row r="27" spans="2:41" x14ac:dyDescent="0.3">
      <c r="L27" s="59"/>
      <c r="M27" s="59"/>
      <c r="N27" s="59"/>
      <c r="O27" s="60"/>
      <c r="P27" s="100" t="s">
        <v>396</v>
      </c>
      <c r="Q27" s="100" t="s">
        <v>397</v>
      </c>
      <c r="R27" s="100">
        <v>0</v>
      </c>
      <c r="S27" s="100">
        <v>1</v>
      </c>
      <c r="T27" s="100">
        <v>1</v>
      </c>
      <c r="U27" s="100"/>
      <c r="V27" s="100"/>
      <c r="W27" s="100"/>
      <c r="X27" s="100"/>
      <c r="Y27" s="100"/>
      <c r="Z27" s="92"/>
      <c r="AA27" s="92"/>
      <c r="AB27" s="92"/>
      <c r="AC27" s="60"/>
      <c r="AD27" s="60"/>
      <c r="AE27" s="60"/>
      <c r="AF27" s="60"/>
      <c r="AG27" s="60"/>
      <c r="AJ27" s="56">
        <f t="shared" si="0"/>
      </c>
      <c r="AK27" s="57" t="s">
        <v>160</v>
      </c>
      <c r="AL27" t="s">
        <v>21</v>
      </c>
      <c r="AM27">
        <v>5</v>
      </c>
      <c r="AN27">
        <v>16</v>
      </c>
      <c r="AO27">
        <v>2</v>
      </c>
      <c r="AU27" s="100">
        <f>IF(P27="","",P27)</f>
      </c>
      <c r="AY27" s="100"/>
      <c r="BA27" s="100"/>
      <c r="BB27" s="100"/>
      <c r="BC27" s="100"/>
      <c r="BH27" s="133">
        <f>IFERROR(INDEX(Однолинейка!$A$1:$A$1000,(MATCH(23,Однолинейка!$BS$1:$BS$1000,0))),"")</f>
      </c>
      <c r="BI27" s="133">
        <f>IFERROR(INDEX(Однолинейка!$AW$1:$AW$1000,(MATCH(23,Однолинейка!$BS$1:$BS$1000,0))),"")</f>
      </c>
      <c r="BJ27" s="133">
        <f>IF(BI27="","",INDEX(Однолинейка!$AI$1:$AI$1000,(MATCH(23,Однолинейка!$BS$1:$BS$1000,0))))</f>
      </c>
      <c r="BK27" s="133">
        <f>IF(BI27="","",IFERROR(VLOOKUP(BJ27,Модули_спр,3,FALSE),""))</f>
      </c>
      <c r="BL27" s="133">
        <f>IF(BI27="","",_xlfn.MAXIFS(Однолинейка!$O$3:$O$1000,Однолинейка!$AH$3:$AH$1000,BI27,Однолинейка!$A$3:$A$1000,BH27))</f>
      </c>
      <c r="BM27" s="133">
        <f>IF(BI27="","",COUNTIFS(Однолинейка!$AH$3:$AH$1000,BI27,Однолинейка!$A$3:$A$1000,BH27,Однолинейка!$N$3:$N$1000,"р"))</f>
      </c>
      <c r="BN27" s="133">
        <f>IF(OR(BI27="",BK27=""),"",BK27-BL27)</f>
      </c>
    </row>
    <row r="28" spans="2:41" x14ac:dyDescent="0.3">
      <c r="L28" s="59"/>
      <c r="M28" s="59"/>
      <c r="N28" s="59"/>
      <c r="O28" s="60"/>
      <c r="P28" s="100" t="s">
        <v>398</v>
      </c>
      <c r="Q28" s="100" t="s">
        <v>399</v>
      </c>
      <c r="R28" s="100">
        <v>1</v>
      </c>
      <c r="S28" s="100">
        <v>1</v>
      </c>
      <c r="T28" s="100">
        <v>1</v>
      </c>
      <c r="U28" s="100"/>
      <c r="V28" s="100"/>
      <c r="W28" s="100"/>
      <c r="X28" s="100"/>
      <c r="Y28" s="100"/>
      <c r="Z28" s="92"/>
      <c r="AA28" s="92"/>
      <c r="AB28" s="92"/>
      <c r="AC28" s="60"/>
      <c r="AD28" s="60"/>
      <c r="AE28" s="60"/>
      <c r="AF28" s="60"/>
      <c r="AG28" s="60"/>
      <c r="AJ28" s="56">
        <f t="shared" si="0"/>
      </c>
      <c r="AK28" s="57" t="s">
        <v>161</v>
      </c>
      <c r="AL28" t="s">
        <v>21</v>
      </c>
      <c r="AM28">
        <v>5</v>
      </c>
      <c r="AN28">
        <v>25</v>
      </c>
      <c r="AO28">
        <v>1</v>
      </c>
      <c r="AU28" s="100">
        <f>IF(P28="","",P28)</f>
      </c>
      <c r="AY28" s="100"/>
      <c r="BA28" s="100"/>
      <c r="BB28" s="100"/>
      <c r="BC28" s="100"/>
      <c r="BH28" s="133">
        <f>IFERROR(INDEX(Однолинейка!$A$1:$A$1000,(MATCH(24,Однолинейка!$BS$1:$BS$1000,0))),"")</f>
      </c>
      <c r="BI28" s="133">
        <f>IFERROR(INDEX(Однолинейка!$AW$1:$AW$1000,(MATCH(24,Однолинейка!$BS$1:$BS$1000,0))),"")</f>
      </c>
      <c r="BJ28" s="133">
        <f>IF(BI28="","",INDEX(Однолинейка!$AI$1:$AI$1000,(MATCH(24,Однолинейка!$BS$1:$BS$1000,0))))</f>
      </c>
      <c r="BK28" s="133">
        <f>IF(BI28="","",IFERROR(VLOOKUP(BJ28,Модули_спр,3,FALSE),""))</f>
      </c>
      <c r="BL28" s="133">
        <f>IF(BI28="","",_xlfn.MAXIFS(Однолинейка!$O$3:$O$1000,Однолинейка!$AH$3:$AH$1000,BI28,Однолинейка!$A$3:$A$1000,BH28))</f>
      </c>
      <c r="BM28" s="133">
        <f>IF(BI28="","",COUNTIFS(Однолинейка!$AH$3:$AH$1000,BI28,Однолинейка!$A$3:$A$1000,BH28,Однолинейка!$N$3:$N$1000,"р"))</f>
      </c>
      <c r="BN28" s="133">
        <f>IF(OR(BI28="",BK28=""),"",BK28-BL28)</f>
      </c>
    </row>
    <row r="29" spans="2:41" x14ac:dyDescent="0.3">
      <c r="L29" s="59"/>
      <c r="M29" s="59"/>
      <c r="N29" s="59"/>
      <c r="O29" s="60"/>
      <c r="P29" s="100" t="s">
        <v>411</v>
      </c>
      <c r="Q29" s="100" t="s">
        <v>400</v>
      </c>
      <c r="R29" s="100">
        <v>1</v>
      </c>
      <c r="S29" s="100">
        <v>1</v>
      </c>
      <c r="T29" s="100">
        <v>1</v>
      </c>
      <c r="U29" s="100"/>
      <c r="V29" s="100"/>
      <c r="W29" s="100"/>
      <c r="X29" s="100"/>
      <c r="Y29" s="100"/>
      <c r="Z29" s="92"/>
      <c r="AA29" s="92"/>
      <c r="AB29" s="92"/>
      <c r="AC29" s="60"/>
      <c r="AD29" s="60"/>
      <c r="AE29" s="60"/>
      <c r="AF29" s="60"/>
      <c r="AG29" s="60"/>
      <c r="AJ29" s="56">
        <f t="shared" si="0"/>
      </c>
      <c r="AK29" s="57" t="s">
        <v>162</v>
      </c>
      <c r="AL29" t="s">
        <v>21</v>
      </c>
      <c r="AM29">
        <v>5</v>
      </c>
      <c r="AN29">
        <v>25</v>
      </c>
      <c r="AO29">
        <v>2</v>
      </c>
      <c r="AU29" s="100">
        <f>IF(P29="","",P29)</f>
      </c>
      <c r="AY29" s="100"/>
      <c r="BA29" s="100"/>
      <c r="BB29" s="100"/>
      <c r="BC29" s="100"/>
      <c r="BH29" s="133">
        <f>IFERROR(INDEX(Однолинейка!$A$1:$A$1000,(MATCH(25,Однолинейка!$BS$1:$BS$1000,0))),"")</f>
      </c>
      <c r="BI29" s="133">
        <f>IFERROR(INDEX(Однолинейка!$AW$1:$AW$1000,(MATCH(25,Однолинейка!$BS$1:$BS$1000,0))),"")</f>
      </c>
      <c r="BJ29" s="133">
        <f>IF(BI29="","",INDEX(Однолинейка!$AI$1:$AI$1000,(MATCH(25,Однолинейка!$BS$1:$BS$1000,0))))</f>
      </c>
      <c r="BK29" s="133">
        <f>IF(BI29="","",IFERROR(VLOOKUP(BJ29,Модули_спр,3,FALSE),""))</f>
      </c>
      <c r="BL29" s="133">
        <f>IF(BI29="","",_xlfn.MAXIFS(Однолинейка!$O$3:$O$1000,Однолинейка!$AH$3:$AH$1000,BI29,Однолинейка!$A$3:$A$1000,BH29))</f>
      </c>
      <c r="BM29" s="133">
        <f>IF(BI29="","",COUNTIFS(Однолинейка!$AH$3:$AH$1000,BI29,Однолинейка!$A$3:$A$1000,BH29,Однолинейка!$N$3:$N$1000,"р"))</f>
      </c>
      <c r="BN29" s="133">
        <f>IF(OR(BI29="",BK29=""),"",BK29-BL29)</f>
      </c>
    </row>
    <row r="30" spans="2:41" x14ac:dyDescent="0.3">
      <c r="L30" s="59"/>
      <c r="M30" s="59"/>
      <c r="N30" s="59"/>
      <c r="O30" s="60"/>
      <c r="P30" s="100" t="s">
        <v>401</v>
      </c>
      <c r="Q30" s="100" t="s">
        <v>402</v>
      </c>
      <c r="R30" s="100">
        <v>1</v>
      </c>
      <c r="S30" s="100">
        <v>1</v>
      </c>
      <c r="T30" s="100">
        <v>1</v>
      </c>
      <c r="U30" s="100"/>
      <c r="V30" s="100"/>
      <c r="W30" s="100"/>
      <c r="X30" s="100"/>
      <c r="Y30" s="100"/>
      <c r="Z30" s="92"/>
      <c r="AA30" s="92"/>
      <c r="AB30" s="92"/>
      <c r="AC30" s="60"/>
      <c r="AD30" s="60"/>
      <c r="AE30" s="60"/>
      <c r="AF30" s="60"/>
      <c r="AG30" s="60"/>
      <c r="AJ30" s="56">
        <f t="shared" si="0"/>
      </c>
      <c r="AK30" s="57" t="s">
        <v>163</v>
      </c>
      <c r="AL30" t="s">
        <v>21</v>
      </c>
      <c r="AM30">
        <v>5</v>
      </c>
      <c r="AN30">
        <v>35</v>
      </c>
      <c r="AO30">
        <v>1</v>
      </c>
      <c r="AU30" s="100">
        <f>IF(P30="","",P30)</f>
      </c>
      <c r="AV30" s="100" t="inlineStr">
        <is>
          <t xml:space="preserve">Розетка</t>
        </is>
      </c>
      <c r="AW30" s="100" t="inlineStr">
        <is>
          <t xml:space="preserve">нет</t>
        </is>
      </c>
      <c r="AX30" s="100">
        <v>16</v>
      </c>
      <c r="AY30" s="100"/>
      <c r="BA30" s="100"/>
      <c r="BB30" s="100"/>
      <c r="BC30" s="100"/>
      <c r="BH30" s="133">
        <f>IFERROR(INDEX(Однолинейка!$A$1:$A$1000,(MATCH(26,Однолинейка!$BS$1:$BS$1000,0))),"")</f>
      </c>
      <c r="BI30" s="133">
        <f>IFERROR(INDEX(Однолинейка!$AW$1:$AW$1000,(MATCH(26,Однолинейка!$BS$1:$BS$1000,0))),"")</f>
      </c>
      <c r="BJ30" s="133">
        <f>IF(BI30="","",INDEX(Однолинейка!$AI$1:$AI$1000,(MATCH(26,Однолинейка!$BS$1:$BS$1000,0))))</f>
      </c>
      <c r="BK30" s="133">
        <f>IF(BI30="","",IFERROR(VLOOKUP(BJ30,Модули_спр,3,FALSE),""))</f>
      </c>
      <c r="BL30" s="133">
        <f>IF(BI30="","",_xlfn.MAXIFS(Однолинейка!$O$3:$O$1000,Однолинейка!$AH$3:$AH$1000,BI30,Однолинейка!$A$3:$A$1000,BH30))</f>
      </c>
      <c r="BM30" s="133">
        <f>IF(BI30="","",COUNTIFS(Однолинейка!$AH$3:$AH$1000,BI30,Однолинейка!$A$3:$A$1000,BH30,Однолинейка!$N$3:$N$1000,"р"))</f>
      </c>
      <c r="BN30" s="133">
        <f>IF(OR(BI30="",BK30=""),"",BK30-BL30)</f>
      </c>
    </row>
    <row r="31" spans="2:41" x14ac:dyDescent="0.3">
      <c r="L31" s="59"/>
      <c r="M31" s="59"/>
      <c r="N31" s="59"/>
      <c r="O31" s="60"/>
      <c r="P31" s="100" t="s">
        <v>405</v>
      </c>
      <c r="Q31" s="100" t="s">
        <v>404</v>
      </c>
      <c r="R31" s="100">
        <v>1</v>
      </c>
      <c r="S31" s="100">
        <v>1</v>
      </c>
      <c r="T31" s="100">
        <v>1</v>
      </c>
      <c r="U31" s="100"/>
      <c r="V31" s="100"/>
      <c r="W31" s="100"/>
      <c r="X31" s="100"/>
      <c r="Y31" s="100"/>
      <c r="Z31" s="92"/>
      <c r="AA31" s="92"/>
      <c r="AB31" s="92"/>
      <c r="AC31" s="60"/>
      <c r="AD31" s="60"/>
      <c r="AE31" s="60"/>
      <c r="AF31" s="60"/>
      <c r="AG31" s="60"/>
      <c r="AJ31" s="56">
        <f t="shared" si="0"/>
      </c>
      <c r="AK31" s="57" t="s">
        <v>164</v>
      </c>
      <c r="AL31" t="s">
        <v>21</v>
      </c>
      <c r="AM31">
        <v>5</v>
      </c>
      <c r="AN31">
        <v>35</v>
      </c>
      <c r="AO31">
        <v>2</v>
      </c>
      <c r="AU31" s="100">
        <f>IF(P31="","",P31)</f>
      </c>
      <c r="AY31" s="100"/>
      <c r="BH31" s="133">
        <f>IFERROR(INDEX(Однолинейка!$A$1:$A$1000,(MATCH(27,Однолинейка!$BS$1:$BS$1000,0))),"")</f>
      </c>
      <c r="BI31" s="133">
        <f>IFERROR(INDEX(Однолинейка!$AW$1:$AW$1000,(MATCH(27,Однолинейка!$BS$1:$BS$1000,0))),"")</f>
      </c>
      <c r="BJ31" s="133">
        <f>IF(BI31="","",INDEX(Однолинейка!$AI$1:$AI$1000,(MATCH(27,Однолинейка!$BS$1:$BS$1000,0))))</f>
      </c>
      <c r="BK31" s="133">
        <f>IF(BI31="","",IFERROR(VLOOKUP(BJ31,Модули_спр,3,FALSE),""))</f>
      </c>
      <c r="BL31" s="133">
        <f>IF(BI31="","",_xlfn.MAXIFS(Однолинейка!$O$3:$O$1000,Однолинейка!$AH$3:$AH$1000,BI31,Однолинейка!$A$3:$A$1000,BH31))</f>
      </c>
      <c r="BM31" s="133">
        <f>IF(BI31="","",COUNTIFS(Однолинейка!$AH$3:$AH$1000,BI31,Однолинейка!$A$3:$A$1000,BH31,Однолинейка!$N$3:$N$1000,"р"))</f>
      </c>
      <c r="BN31" s="133">
        <f>IF(OR(BI31="",BK31=""),"",BK31-BL31)</f>
      </c>
    </row>
    <row r="32" spans="2:41" x14ac:dyDescent="0.3">
      <c r="L32" s="59"/>
      <c r="M32" s="59"/>
      <c r="N32" s="59"/>
      <c r="O32" s="60"/>
      <c r="P32" s="100" t="s">
        <v>409</v>
      </c>
      <c r="Q32" s="100" t="s">
        <v>410</v>
      </c>
      <c r="R32" s="100">
        <v>1</v>
      </c>
      <c r="S32" s="100">
        <v>1</v>
      </c>
      <c r="T32" s="100">
        <v>1</v>
      </c>
      <c r="U32" s="100"/>
      <c r="V32" s="100"/>
      <c r="W32" s="100"/>
      <c r="X32" s="100"/>
      <c r="Y32" s="100"/>
      <c r="Z32" s="92"/>
      <c r="AA32" s="92"/>
      <c r="AB32" s="92"/>
      <c r="AC32" s="60"/>
      <c r="AD32" s="60"/>
      <c r="AE32" s="60"/>
      <c r="AF32" s="60"/>
      <c r="AG32" s="60"/>
      <c r="AJ32" s="56">
        <f t="shared" si="0"/>
      </c>
      <c r="AK32" s="57" t="s">
        <v>165</v>
      </c>
      <c r="AL32" t="s">
        <v>21</v>
      </c>
      <c r="AM32">
        <v>5</v>
      </c>
      <c r="AN32">
        <v>50</v>
      </c>
      <c r="AO32">
        <v>1</v>
      </c>
      <c r="AU32" s="100">
        <f>IF(P32="","",P32)</f>
      </c>
      <c r="AV32" s="100" t="inlineStr">
        <is>
          <t xml:space="preserve">Привод (двигатель)</t>
        </is>
      </c>
      <c r="AW32" s="100" t="inlineStr">
        <is>
          <t xml:space="preserve">нет</t>
        </is>
      </c>
      <c r="AY32" s="100"/>
      <c r="BA32" s="100" t="inlineStr">
        <is>
          <t xml:space="preserve">Свой значок: впишите название в BA и точное имя блока в BB (код оставьте пустым) — блок возьмётся из библиотеки DWG.</t>
        </is>
      </c>
      <c r="BH32" s="133">
        <f>IFERROR(INDEX(Однолинейка!$A$1:$A$1000,(MATCH(28,Однолинейка!$BS$1:$BS$1000,0))),"")</f>
      </c>
      <c r="BI32" s="133">
        <f>IFERROR(INDEX(Однолинейка!$AW$1:$AW$1000,(MATCH(28,Однолинейка!$BS$1:$BS$1000,0))),"")</f>
      </c>
      <c r="BJ32" s="133">
        <f>IF(BI32="","",INDEX(Однолинейка!$AI$1:$AI$1000,(MATCH(28,Однолинейка!$BS$1:$BS$1000,0))))</f>
      </c>
      <c r="BK32" s="133">
        <f>IF(BI32="","",IFERROR(VLOOKUP(BJ32,Модули_спр,3,FALSE),""))</f>
      </c>
      <c r="BL32" s="133">
        <f>IF(BI32="","",_xlfn.MAXIFS(Однолинейка!$O$3:$O$1000,Однолинейка!$AH$3:$AH$1000,BI32,Однолинейка!$A$3:$A$1000,BH32))</f>
      </c>
      <c r="BM32" s="133">
        <f>IF(BI32="","",COUNTIFS(Однолинейка!$AH$3:$AH$1000,BI32,Однолинейка!$A$3:$A$1000,BH32,Однолинейка!$N$3:$N$1000,"р"))</f>
      </c>
      <c r="BN32" s="133">
        <f>IF(OR(BI32="",BK32=""),"",BK32-BL32)</f>
      </c>
    </row>
    <row r="33" spans="12:41" x14ac:dyDescent="0.3">
      <c r="L33" s="59"/>
      <c r="M33" s="59"/>
      <c r="N33" s="59"/>
      <c r="O33" s="60"/>
      <c r="P33" s="100" t="s">
        <v>576</v>
      </c>
      <c r="Q33" s="100" t="s">
        <v>577</v>
      </c>
      <c r="R33" s="100">
        <v>3</v>
      </c>
      <c r="S33" s="100">
        <v>1</v>
      </c>
      <c r="T33" s="100">
        <v>1</v>
      </c>
      <c r="U33" s="100"/>
      <c r="V33" s="100"/>
      <c r="W33" s="100"/>
      <c r="X33" s="100"/>
      <c r="Y33" s="100"/>
      <c r="Z33" s="92"/>
      <c r="AA33" s="92"/>
      <c r="AB33" s="92"/>
      <c r="AC33" s="60"/>
      <c r="AD33" s="60"/>
      <c r="AE33" s="60"/>
      <c r="AF33" s="60"/>
      <c r="AG33" s="60"/>
      <c r="AJ33" s="56">
        <f t="shared" si="0"/>
      </c>
      <c r="AK33" s="57" t="s">
        <v>166</v>
      </c>
      <c r="AL33" t="s">
        <v>21</v>
      </c>
      <c r="AM33">
        <v>5</v>
      </c>
      <c r="AN33">
        <v>50</v>
      </c>
      <c r="AO33">
        <v>2</v>
      </c>
      <c r="AU33" s="100">
        <f>IF(P33="","",P33)</f>
      </c>
      <c r="AV33" s="100" t="inlineStr">
        <is>
          <t xml:space="preserve">Светильник</t>
        </is>
      </c>
      <c r="AW33" s="100" t="inlineStr">
        <is>
          <t xml:space="preserve">нет</t>
        </is>
      </c>
      <c r="AX33" s="100">
        <v>10</v>
      </c>
      <c r="AY33" s="100"/>
      <c r="BH33" s="133">
        <f>IFERROR(INDEX(Однолинейка!$A$1:$A$1000,(MATCH(29,Однолинейка!$BS$1:$BS$1000,0))),"")</f>
      </c>
      <c r="BI33" s="133">
        <f>IFERROR(INDEX(Однолинейка!$AW$1:$AW$1000,(MATCH(29,Однолинейка!$BS$1:$BS$1000,0))),"")</f>
      </c>
      <c r="BJ33" s="133">
        <f>IF(BI33="","",INDEX(Однолинейка!$AI$1:$AI$1000,(MATCH(29,Однолинейка!$BS$1:$BS$1000,0))))</f>
      </c>
      <c r="BK33" s="133">
        <f>IF(BI33="","",IFERROR(VLOOKUP(BJ33,Модули_спр,3,FALSE),""))</f>
      </c>
      <c r="BL33" s="133">
        <f>IF(BI33="","",_xlfn.MAXIFS(Однолинейка!$O$3:$O$1000,Однолинейка!$AH$3:$AH$1000,BI33,Однолинейка!$A$3:$A$1000,BH33))</f>
      </c>
      <c r="BM33" s="133">
        <f>IF(BI33="","",COUNTIFS(Однолинейка!$AH$3:$AH$1000,BI33,Однолинейка!$A$3:$A$1000,BH33,Однолинейка!$N$3:$N$1000,"р"))</f>
      </c>
      <c r="BN33" s="133">
        <f>IF(OR(BI33="",BK33=""),"",BK33-BL33)</f>
      </c>
    </row>
    <row r="34" spans="12:41" x14ac:dyDescent="0.3">
      <c r="L34" s="59"/>
      <c r="M34" s="59"/>
      <c r="N34" s="59"/>
      <c r="O34" s="60"/>
      <c r="P34" s="100" t="s">
        <v>714</v>
      </c>
      <c r="Q34" s="100" t="s">
        <v>715</v>
      </c>
      <c r="R34" s="100">
        <v>1</v>
      </c>
      <c r="S34" s="100">
        <v>1</v>
      </c>
      <c r="T34" s="100">
        <v>1</v>
      </c>
      <c r="U34" s="100"/>
      <c r="V34" s="100"/>
      <c r="W34" s="100"/>
      <c r="X34" s="100"/>
      <c r="Y34" s="100"/>
      <c r="Z34" s="92"/>
      <c r="AA34" s="92"/>
      <c r="AB34" s="92"/>
      <c r="AC34" s="60"/>
      <c r="AD34" s="60"/>
      <c r="AE34" s="60"/>
      <c r="AF34" s="60"/>
      <c r="AG34" s="60"/>
      <c r="AJ34" s="56">
        <f t="shared" si="0"/>
      </c>
      <c r="AK34" s="57" t="s">
        <v>167</v>
      </c>
      <c r="AL34" t="s">
        <v>21</v>
      </c>
      <c r="AM34">
        <v>5</v>
      </c>
      <c r="AN34">
        <v>95</v>
      </c>
      <c r="AO34">
        <v>1</v>
      </c>
      <c r="AU34" s="100">
        <f>IF(P34="","",P34)</f>
      </c>
      <c r="AV34" s="100" t="inlineStr">
        <is>
          <t xml:space="preserve">Нагреватель</t>
        </is>
      </c>
      <c r="AW34" s="100" t="inlineStr">
        <is>
          <t xml:space="preserve">нет</t>
        </is>
      </c>
      <c r="AY34" s="100"/>
      <c r="BH34" s="133">
        <f>IFERROR(INDEX(Однолинейка!$A$1:$A$1000,(MATCH(30,Однолинейка!$BS$1:$BS$1000,0))),"")</f>
      </c>
      <c r="BI34" s="133">
        <f>IFERROR(INDEX(Однолинейка!$AW$1:$AW$1000,(MATCH(30,Однолинейка!$BS$1:$BS$1000,0))),"")</f>
      </c>
      <c r="BJ34" s="133">
        <f>IF(BI34="","",INDEX(Однолинейка!$AI$1:$AI$1000,(MATCH(30,Однолинейка!$BS$1:$BS$1000,0))))</f>
      </c>
      <c r="BK34" s="133">
        <f>IF(BI34="","",IFERROR(VLOOKUP(BJ34,Модули_спр,3,FALSE),""))</f>
      </c>
      <c r="BL34" s="133">
        <f>IF(BI34="","",_xlfn.MAXIFS(Однолинейка!$O$3:$O$1000,Однолинейка!$AH$3:$AH$1000,BI34,Однолинейка!$A$3:$A$1000,BH34))</f>
      </c>
      <c r="BM34" s="133">
        <f>IF(BI34="","",COUNTIFS(Однолинейка!$AH$3:$AH$1000,BI34,Однолинейка!$A$3:$A$1000,BH34,Однолинейка!$N$3:$N$1000,"р"))</f>
      </c>
      <c r="BN34" s="133">
        <f>IF(OR(BI34="",BK34=""),"",BK34-BL34)</f>
      </c>
    </row>
    <row r="35" spans="12:41" x14ac:dyDescent="0.3">
      <c r="L35" s="59"/>
      <c r="M35" s="59"/>
      <c r="N35" s="59"/>
      <c r="O35" s="6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92"/>
      <c r="AA35" s="92"/>
      <c r="AB35" s="92"/>
      <c r="AC35" s="60"/>
      <c r="AD35" s="60"/>
      <c r="AE35" s="60"/>
      <c r="AF35" s="60"/>
      <c r="AG35" s="60"/>
      <c r="AJ35" s="56">
        <f t="shared" si="0"/>
      </c>
      <c r="AK35" s="57" t="s">
        <v>168</v>
      </c>
      <c r="AL35" t="s">
        <v>21</v>
      </c>
      <c r="AM35">
        <v>5</v>
      </c>
      <c r="AN35">
        <v>95</v>
      </c>
      <c r="AO35">
        <v>2</v>
      </c>
      <c r="AU35" s="100">
        <f>IF(P35="","",P35)</f>
      </c>
      <c r="AY35" s="100"/>
      <c r="BH35" s="133">
        <f>IFERROR(INDEX(Однолинейка!$A$1:$A$1000,(MATCH(31,Однолинейка!$BS$1:$BS$1000,0))),"")</f>
      </c>
      <c r="BI35" s="133">
        <f>IFERROR(INDEX(Однолинейка!$AW$1:$AW$1000,(MATCH(31,Однолинейка!$BS$1:$BS$1000,0))),"")</f>
      </c>
      <c r="BJ35" s="133">
        <f>IF(BI35="","",INDEX(Однолинейка!$AI$1:$AI$1000,(MATCH(31,Однолинейка!$BS$1:$BS$1000,0))))</f>
      </c>
      <c r="BK35" s="133">
        <f>IF(BI35="","",IFERROR(VLOOKUP(BJ35,Модули_спр,3,FALSE),""))</f>
      </c>
      <c r="BL35" s="133">
        <f>IF(BI35="","",_xlfn.MAXIFS(Однолинейка!$O$3:$O$1000,Однолинейка!$AH$3:$AH$1000,BI35,Однолинейка!$A$3:$A$1000,BH35))</f>
      </c>
      <c r="BM35" s="133">
        <f>IF(BI35="","",COUNTIFS(Однолинейка!$AH$3:$AH$1000,BI35,Однолинейка!$A$3:$A$1000,BH35,Однолинейка!$N$3:$N$1000,"р"))</f>
      </c>
      <c r="BN35" s="133">
        <f>IF(OR(BI35="",BK35=""),"",BK35-BL35)</f>
      </c>
    </row>
    <row r="36" spans="12:41" x14ac:dyDescent="0.3">
      <c r="L36" s="59"/>
      <c r="M36" s="59"/>
      <c r="N36" s="59"/>
      <c r="O36" s="6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92"/>
      <c r="AA36" s="92"/>
      <c r="AB36" s="92"/>
      <c r="AC36" s="60"/>
      <c r="AD36" s="60"/>
      <c r="AE36" s="60"/>
      <c r="AF36" s="60"/>
      <c r="AG36" s="60"/>
      <c r="AJ36" s="56">
        <f t="shared" si="0"/>
      </c>
      <c r="AK36" s="57" t="s">
        <v>169</v>
      </c>
      <c r="AL36" t="s">
        <v>21</v>
      </c>
      <c r="AM36">
        <v>5</v>
      </c>
      <c r="AN36">
        <v>120</v>
      </c>
      <c r="AO36">
        <v>1</v>
      </c>
      <c r="AU36" s="100">
        <f>IF(P36="","",P36)</f>
      </c>
      <c r="AY36" s="100"/>
      <c r="BH36" s="133">
        <f>IFERROR(INDEX(Однолинейка!$A$1:$A$1000,(MATCH(32,Однолинейка!$BS$1:$BS$1000,0))),"")</f>
      </c>
      <c r="BI36" s="133">
        <f>IFERROR(INDEX(Однолинейка!$AW$1:$AW$1000,(MATCH(32,Однолинейка!$BS$1:$BS$1000,0))),"")</f>
      </c>
      <c r="BJ36" s="133">
        <f>IF(BI36="","",INDEX(Однолинейка!$AI$1:$AI$1000,(MATCH(32,Однолинейка!$BS$1:$BS$1000,0))))</f>
      </c>
      <c r="BK36" s="133">
        <f>IF(BI36="","",IFERROR(VLOOKUP(BJ36,Модули_спр,3,FALSE),""))</f>
      </c>
      <c r="BL36" s="133">
        <f>IF(BI36="","",_xlfn.MAXIFS(Однолинейка!$O$3:$O$1000,Однолинейка!$AH$3:$AH$1000,BI36,Однолинейка!$A$3:$A$1000,BH36))</f>
      </c>
      <c r="BM36" s="133">
        <f>IF(BI36="","",COUNTIFS(Однолинейка!$AH$3:$AH$1000,BI36,Однолинейка!$A$3:$A$1000,BH36,Однолинейка!$N$3:$N$1000,"р"))</f>
      </c>
      <c r="BN36" s="133">
        <f>IF(OR(BI36="",BK36=""),"",BK36-BL36)</f>
      </c>
    </row>
    <row r="37" spans="12:41" x14ac:dyDescent="0.3">
      <c r="L37" s="59"/>
      <c r="M37" s="59"/>
      <c r="N37" s="59"/>
      <c r="O37" s="6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92"/>
      <c r="AA37" s="92"/>
      <c r="AB37" s="92"/>
      <c r="AC37" s="60"/>
      <c r="AD37" s="60"/>
      <c r="AE37" s="60"/>
      <c r="AF37" s="60"/>
      <c r="AG37" s="60"/>
      <c r="AJ37" s="56">
        <f t="shared" si="0"/>
      </c>
      <c r="AK37" s="57" t="s">
        <v>170</v>
      </c>
      <c r="AL37" t="s">
        <v>21</v>
      </c>
      <c r="AM37">
        <v>5</v>
      </c>
      <c r="AN37">
        <v>120</v>
      </c>
      <c r="AO37">
        <v>2</v>
      </c>
      <c r="AU37" s="100">
        <f>IF(P37="","",P37)</f>
      </c>
      <c r="AY37" s="100"/>
      <c r="BH37" s="133">
        <f>IFERROR(INDEX(Однолинейка!$A$1:$A$1000,(MATCH(33,Однолинейка!$BS$1:$BS$1000,0))),"")</f>
      </c>
      <c r="BI37" s="133">
        <f>IFERROR(INDEX(Однолинейка!$AW$1:$AW$1000,(MATCH(33,Однолинейка!$BS$1:$BS$1000,0))),"")</f>
      </c>
      <c r="BJ37" s="133">
        <f>IF(BI37="","",INDEX(Однолинейка!$AI$1:$AI$1000,(MATCH(33,Однолинейка!$BS$1:$BS$1000,0))))</f>
      </c>
      <c r="BK37" s="133">
        <f>IF(BI37="","",IFERROR(VLOOKUP(BJ37,Модули_спр,3,FALSE),""))</f>
      </c>
      <c r="BL37" s="133">
        <f>IF(BI37="","",_xlfn.MAXIFS(Однолинейка!$O$3:$O$1000,Однолинейка!$AH$3:$AH$1000,BI37,Однолинейка!$A$3:$A$1000,BH37))</f>
      </c>
      <c r="BM37" s="133">
        <f>IF(BI37="","",COUNTIFS(Однолинейка!$AH$3:$AH$1000,BI37,Однолинейка!$A$3:$A$1000,BH37,Однолинейка!$N$3:$N$1000,"р"))</f>
      </c>
      <c r="BN37" s="133">
        <f>IF(OR(BI37="",BK37=""),"",BK37-BL37)</f>
      </c>
    </row>
    <row r="38" spans="12:41" x14ac:dyDescent="0.3">
      <c r="L38" s="59"/>
      <c r="M38" s="59"/>
      <c r="N38" s="59"/>
      <c r="O38" s="6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92"/>
      <c r="AA38" s="92"/>
      <c r="AB38" s="92"/>
      <c r="AC38" s="60"/>
      <c r="AD38" s="60"/>
      <c r="AE38" s="60"/>
      <c r="AF38" s="60"/>
      <c r="AG38" s="60"/>
      <c r="AJ38" s="56">
        <f t="shared" si="0"/>
      </c>
      <c r="AK38" s="57" t="s">
        <v>171</v>
      </c>
      <c r="AL38" t="s">
        <v>21</v>
      </c>
      <c r="AM38">
        <v>5</v>
      </c>
      <c r="AN38">
        <v>95</v>
      </c>
      <c r="AO38">
        <v>1</v>
      </c>
      <c r="AU38" s="100">
        <f>IF(P38="","",P38)</f>
      </c>
      <c r="AY38" s="100"/>
      <c r="BH38" s="133">
        <f>IFERROR(INDEX(Однолинейка!$A$1:$A$1000,(MATCH(34,Однолинейка!$BS$1:$BS$1000,0))),"")</f>
      </c>
      <c r="BI38" s="133">
        <f>IFERROR(INDEX(Однолинейка!$AW$1:$AW$1000,(MATCH(34,Однолинейка!$BS$1:$BS$1000,0))),"")</f>
      </c>
      <c r="BJ38" s="133">
        <f>IF(BI38="","",INDEX(Однолинейка!$AI$1:$AI$1000,(MATCH(34,Однолинейка!$BS$1:$BS$1000,0))))</f>
      </c>
      <c r="BK38" s="133">
        <f>IF(BI38="","",IFERROR(VLOOKUP(BJ38,Модули_спр,3,FALSE),""))</f>
      </c>
      <c r="BL38" s="133">
        <f>IF(BI38="","",_xlfn.MAXIFS(Однолинейка!$O$3:$O$1000,Однолинейка!$AH$3:$AH$1000,BI38,Однолинейка!$A$3:$A$1000,BH38))</f>
      </c>
      <c r="BM38" s="133">
        <f>IF(BI38="","",COUNTIFS(Однолинейка!$AH$3:$AH$1000,BI38,Однолинейка!$A$3:$A$1000,BH38,Однолинейка!$N$3:$N$1000,"р"))</f>
      </c>
      <c r="BN38" s="133">
        <f>IF(OR(BI38="",BK38=""),"",BK38-BL38)</f>
      </c>
    </row>
    <row r="39" spans="12:41" x14ac:dyDescent="0.3">
      <c r="L39" s="59"/>
      <c r="M39" s="59"/>
      <c r="N39" s="59"/>
      <c r="O39" s="6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92"/>
      <c r="AA39" s="92"/>
      <c r="AB39" s="92"/>
      <c r="AC39" s="60"/>
      <c r="AD39" s="60"/>
      <c r="AE39" s="60"/>
      <c r="AF39" s="60"/>
      <c r="AG39" s="60"/>
      <c r="AJ39" s="56">
        <f t="shared" si="0"/>
      </c>
      <c r="AK39" s="57" t="s">
        <v>172</v>
      </c>
      <c r="AL39" t="s">
        <v>21</v>
      </c>
      <c r="AM39">
        <v>5</v>
      </c>
      <c r="AN39">
        <v>95</v>
      </c>
      <c r="AO39">
        <v>2</v>
      </c>
      <c r="AU39" s="100">
        <f>IF(P39="","",P39)</f>
      </c>
      <c r="AY39" s="100"/>
      <c r="BH39" s="133">
        <f>IFERROR(INDEX(Однолинейка!$A$1:$A$1000,(MATCH(35,Однолинейка!$BS$1:$BS$1000,0))),"")</f>
      </c>
      <c r="BI39" s="133">
        <f>IFERROR(INDEX(Однолинейка!$AW$1:$AW$1000,(MATCH(35,Однолинейка!$BS$1:$BS$1000,0))),"")</f>
      </c>
      <c r="BJ39" s="133">
        <f>IF(BI39="","",INDEX(Однолинейка!$AI$1:$AI$1000,(MATCH(35,Однолинейка!$BS$1:$BS$1000,0))))</f>
      </c>
      <c r="BK39" s="133">
        <f>IF(BI39="","",IFERROR(VLOOKUP(BJ39,Модули_спр,3,FALSE),""))</f>
      </c>
      <c r="BL39" s="133">
        <f>IF(BI39="","",_xlfn.MAXIFS(Однолинейка!$O$3:$O$1000,Однолинейка!$AH$3:$AH$1000,BI39,Однолинейка!$A$3:$A$1000,BH39))</f>
      </c>
      <c r="BM39" s="133">
        <f>IF(BI39="","",COUNTIFS(Однолинейка!$AH$3:$AH$1000,BI39,Однолинейка!$A$3:$A$1000,BH39,Однолинейка!$N$3:$N$1000,"р"))</f>
      </c>
      <c r="BN39" s="133">
        <f>IF(OR(BI39="",BK39=""),"",BK39-BL39)</f>
      </c>
    </row>
    <row r="40" spans="12:41" x14ac:dyDescent="0.3">
      <c r="L40" s="59"/>
      <c r="M40" s="59"/>
      <c r="N40" s="59"/>
      <c r="O40" s="6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92"/>
      <c r="AA40" s="92"/>
      <c r="AB40" s="92"/>
      <c r="AC40" s="60"/>
      <c r="AD40" s="60"/>
      <c r="AE40" s="60"/>
      <c r="AF40" s="60"/>
      <c r="AG40" s="60"/>
      <c r="AJ40" s="56">
        <f t="shared" si="0"/>
      </c>
      <c r="AK40" s="57" t="s">
        <v>173</v>
      </c>
      <c r="AL40" t="s">
        <v>21</v>
      </c>
      <c r="AM40">
        <v>5</v>
      </c>
      <c r="AN40">
        <v>120</v>
      </c>
      <c r="AO40">
        <v>1</v>
      </c>
      <c r="AU40" s="100">
        <f>IF(P40="","",P40)</f>
      </c>
      <c r="AY40" s="100"/>
    </row>
    <row r="41" spans="12:41" x14ac:dyDescent="0.3">
      <c r="L41" s="59"/>
      <c r="M41" s="59"/>
      <c r="N41" s="59"/>
      <c r="O41" s="6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92"/>
      <c r="AA41" s="92"/>
      <c r="AB41" s="92"/>
      <c r="AC41" s="60"/>
      <c r="AD41" s="60"/>
      <c r="AE41" s="60"/>
      <c r="AF41" s="60"/>
      <c r="AG41" s="60"/>
      <c r="AJ41" s="56">
        <f t="shared" si="0"/>
      </c>
      <c r="AK41" s="57" t="s">
        <v>174</v>
      </c>
      <c r="AL41" t="s">
        <v>21</v>
      </c>
      <c r="AM41">
        <v>5</v>
      </c>
      <c r="AN41">
        <v>120</v>
      </c>
      <c r="AO41">
        <v>2</v>
      </c>
      <c r="AU41" s="100">
        <f>IF(P41="","",P41)</f>
      </c>
      <c r="AY41" s="100"/>
      <c r="BH41" s="130" t="inlineStr">
        <is>
          <t xml:space="preserve">Свободных каналов всего</t>
        </is>
      </c>
      <c r="BI41" s="130"/>
      <c r="BJ41" s="130"/>
      <c r="BK41" s="130"/>
      <c r="BL41" s="130"/>
      <c r="BM41" s="130"/>
      <c r="BN41" s="130">
        <f>SUM(BN5:BN39)</f>
      </c>
    </row>
    <row r="42" spans="12:41" x14ac:dyDescent="0.3">
      <c r="L42" s="59"/>
      <c r="M42" s="59"/>
      <c r="N42" s="59"/>
      <c r="O42" s="6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92"/>
      <c r="AA42" s="92"/>
      <c r="AB42" s="92"/>
      <c r="AC42" s="60"/>
      <c r="AD42" s="60"/>
      <c r="AE42" s="60"/>
      <c r="AF42" s="60"/>
      <c r="AG42" s="60"/>
      <c r="AJ42" s="56">
        <f t="shared" si="0"/>
      </c>
      <c r="AK42" s="57" t="s">
        <v>212</v>
      </c>
      <c r="AL42" t="s">
        <v>239</v>
      </c>
      <c r="AM42">
        <v>5</v>
      </c>
      <c r="AN42">
        <v>10</v>
      </c>
      <c r="AO42">
        <v>1</v>
      </c>
      <c r="AU42" s="100">
        <f>IF(P42="","",P42)</f>
      </c>
      <c r="AY42" s="100"/>
    </row>
    <row r="43" spans="12:41" x14ac:dyDescent="0.3">
      <c r="L43" s="59"/>
      <c r="M43" s="59"/>
      <c r="N43" s="59"/>
      <c r="O43" s="6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92"/>
      <c r="AA43" s="92"/>
      <c r="AB43" s="92"/>
      <c r="AC43" s="60"/>
      <c r="AD43" s="60"/>
      <c r="AE43" s="60"/>
      <c r="AF43" s="60"/>
      <c r="AG43" s="60"/>
      <c r="AJ43" s="56">
        <f t="shared" si="0"/>
      </c>
      <c r="AK43" s="57" t="s">
        <v>175</v>
      </c>
      <c r="AL43" t="s">
        <v>239</v>
      </c>
      <c r="AM43">
        <v>5</v>
      </c>
      <c r="AN43">
        <v>10</v>
      </c>
      <c r="AO43">
        <v>2</v>
      </c>
      <c r="AU43" s="100">
        <f>IF(P43="","",P43)</f>
      </c>
      <c r="AY43" s="100"/>
    </row>
    <row r="44" spans="12:41" x14ac:dyDescent="0.3">
      <c r="L44" s="59"/>
      <c r="M44" s="59"/>
      <c r="N44" s="59"/>
      <c r="O44" s="6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92"/>
      <c r="AA44" s="92"/>
      <c r="AB44" s="92"/>
      <c r="AC44" s="60"/>
      <c r="AD44" s="60"/>
      <c r="AE44" s="60"/>
      <c r="AF44" s="60"/>
      <c r="AG44" s="60"/>
      <c r="AJ44" s="56">
        <f t="shared" si="0"/>
      </c>
      <c r="AK44" s="57" t="s">
        <v>176</v>
      </c>
      <c r="AL44" t="s">
        <v>239</v>
      </c>
      <c r="AM44">
        <v>5</v>
      </c>
      <c r="AN44">
        <v>16</v>
      </c>
      <c r="AO44">
        <v>1</v>
      </c>
      <c r="AU44" s="100">
        <f>IF(P44="","",P44)</f>
      </c>
      <c r="AY44" s="100"/>
    </row>
    <row r="45" spans="12:41" x14ac:dyDescent="0.3">
      <c r="L45" s="59"/>
      <c r="M45" s="59"/>
      <c r="N45" s="59"/>
      <c r="O45" s="6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92"/>
      <c r="AA45" s="92"/>
      <c r="AB45" s="92"/>
      <c r="AC45" s="60"/>
      <c r="AD45" s="60"/>
      <c r="AE45" s="60"/>
      <c r="AF45" s="60"/>
      <c r="AG45" s="60"/>
      <c r="AJ45" s="56">
        <f t="shared" si="0"/>
      </c>
      <c r="AK45" s="57" t="s">
        <v>177</v>
      </c>
      <c r="AL45" t="s">
        <v>239</v>
      </c>
      <c r="AM45">
        <v>5</v>
      </c>
      <c r="AN45">
        <v>16</v>
      </c>
      <c r="AO45">
        <v>2</v>
      </c>
      <c r="AU45" s="100">
        <f>IF(P45="","",P45)</f>
      </c>
      <c r="AY45" s="100"/>
    </row>
    <row r="46" spans="12:41" x14ac:dyDescent="0.3">
      <c r="L46" s="59"/>
      <c r="M46" s="59"/>
      <c r="N46" s="59"/>
      <c r="O46" s="6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92"/>
      <c r="AA46" s="92"/>
      <c r="AB46" s="92"/>
      <c r="AC46" s="60"/>
      <c r="AD46" s="60"/>
      <c r="AE46" s="60"/>
      <c r="AF46" s="60"/>
      <c r="AG46" s="60"/>
      <c r="AJ46" s="56">
        <f t="shared" si="0"/>
      </c>
      <c r="AK46" s="57" t="s">
        <v>178</v>
      </c>
      <c r="AL46" t="s">
        <v>239</v>
      </c>
      <c r="AM46">
        <v>5</v>
      </c>
      <c r="AN46">
        <v>25</v>
      </c>
      <c r="AO46">
        <v>1</v>
      </c>
      <c r="AU46" s="100">
        <f>IF(P46="","",P46)</f>
      </c>
      <c r="AY46" s="100"/>
    </row>
    <row r="47" spans="12:41" x14ac:dyDescent="0.3">
      <c r="L47" s="59"/>
      <c r="M47" s="59"/>
      <c r="N47" s="59"/>
      <c r="O47" s="6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92"/>
      <c r="AA47" s="92"/>
      <c r="AB47" s="92"/>
      <c r="AC47" s="60"/>
      <c r="AD47" s="60"/>
      <c r="AE47" s="60"/>
      <c r="AF47" s="60"/>
      <c r="AG47" s="60"/>
      <c r="AJ47" s="56">
        <f t="shared" si="0"/>
      </c>
      <c r="AK47" s="57" t="s">
        <v>179</v>
      </c>
      <c r="AL47" t="s">
        <v>239</v>
      </c>
      <c r="AM47">
        <v>5</v>
      </c>
      <c r="AN47">
        <v>25</v>
      </c>
      <c r="AO47">
        <v>2</v>
      </c>
      <c r="AU47" s="100">
        <f>IF(P47="","",P47)</f>
      </c>
      <c r="AY47" s="100"/>
    </row>
    <row r="48" spans="12:41" x14ac:dyDescent="0.3">
      <c r="L48" s="59"/>
      <c r="M48" s="59"/>
      <c r="N48" s="59"/>
      <c r="O48" s="6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92"/>
      <c r="AA48" s="92"/>
      <c r="AB48" s="92"/>
      <c r="AC48" s="60"/>
      <c r="AD48" s="60"/>
      <c r="AE48" s="60"/>
      <c r="AF48" s="60"/>
      <c r="AG48" s="60"/>
      <c r="AJ48" s="56">
        <f t="shared" si="0"/>
      </c>
      <c r="AK48" s="57" t="s">
        <v>180</v>
      </c>
      <c r="AL48" t="s">
        <v>239</v>
      </c>
      <c r="AM48">
        <v>5</v>
      </c>
      <c r="AN48">
        <v>35</v>
      </c>
      <c r="AO48">
        <v>1</v>
      </c>
      <c r="AU48" s="100">
        <f>IF(P48="","",P48)</f>
      </c>
      <c r="AY48" s="100"/>
    </row>
    <row r="49" spans="12:41" x14ac:dyDescent="0.3">
      <c r="L49" s="59"/>
      <c r="M49" s="59"/>
      <c r="N49" s="59"/>
      <c r="O49" s="6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92"/>
      <c r="AA49" s="92"/>
      <c r="AB49" s="92"/>
      <c r="AC49" s="60"/>
      <c r="AD49" s="60"/>
      <c r="AE49" s="60"/>
      <c r="AF49" s="60"/>
      <c r="AG49" s="60"/>
      <c r="AJ49" s="56">
        <f t="shared" si="0"/>
      </c>
      <c r="AK49" s="57" t="s">
        <v>181</v>
      </c>
      <c r="AL49" t="s">
        <v>239</v>
      </c>
      <c r="AM49">
        <v>5</v>
      </c>
      <c r="AN49">
        <v>35</v>
      </c>
      <c r="AO49">
        <v>2</v>
      </c>
      <c r="AU49" s="100">
        <f>IF(P49="","",P49)</f>
      </c>
      <c r="AY49" s="100"/>
    </row>
    <row r="50" spans="12:41" x14ac:dyDescent="0.3">
      <c r="L50" s="59"/>
      <c r="M50" s="59"/>
      <c r="N50" s="59"/>
      <c r="O50" s="6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92"/>
      <c r="AA50" s="92"/>
      <c r="AB50" s="92"/>
      <c r="AC50" s="60"/>
      <c r="AD50" s="60"/>
      <c r="AE50" s="60"/>
      <c r="AF50" s="60"/>
      <c r="AG50" s="60"/>
      <c r="AJ50" s="56">
        <f t="shared" si="0"/>
      </c>
      <c r="AK50" s="57" t="s">
        <v>182</v>
      </c>
      <c r="AL50" t="s">
        <v>239</v>
      </c>
      <c r="AM50">
        <v>5</v>
      </c>
      <c r="AN50">
        <v>50</v>
      </c>
      <c r="AO50">
        <v>1</v>
      </c>
      <c r="AU50" s="100">
        <f>IF(P50="","",P50)</f>
      </c>
      <c r="AY50" s="100"/>
    </row>
    <row r="51" spans="12:41" x14ac:dyDescent="0.3">
      <c r="L51" s="59"/>
      <c r="M51" s="59"/>
      <c r="N51" s="59"/>
      <c r="O51" s="6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92"/>
      <c r="AA51" s="92"/>
      <c r="AB51" s="92"/>
      <c r="AC51" s="60"/>
      <c r="AD51" s="60"/>
      <c r="AE51" s="60"/>
      <c r="AF51" s="60"/>
      <c r="AG51" s="60"/>
      <c r="AJ51" s="56">
        <f t="shared" si="0"/>
      </c>
      <c r="AK51" s="57" t="s">
        <v>183</v>
      </c>
      <c r="AL51" t="s">
        <v>239</v>
      </c>
      <c r="AM51">
        <v>5</v>
      </c>
      <c r="AN51">
        <v>50</v>
      </c>
      <c r="AO51">
        <v>2</v>
      </c>
      <c r="AU51" s="100">
        <f>IF(P51="","",P51)</f>
      </c>
      <c r="AY51" s="100"/>
    </row>
    <row r="52" spans="12:41" x14ac:dyDescent="0.3">
      <c r="AJ52" s="56">
        <f t="shared" si="0"/>
      </c>
      <c r="AK52" s="57" t="s">
        <v>184</v>
      </c>
      <c r="AL52" t="s">
        <v>239</v>
      </c>
      <c r="AM52">
        <v>5</v>
      </c>
      <c r="AN52">
        <v>95</v>
      </c>
      <c r="AO52">
        <v>1</v>
      </c>
      <c r="AY52" s="100"/>
    </row>
    <row r="53" spans="12:41" x14ac:dyDescent="0.3">
      <c r="AJ53" s="56">
        <f t="shared" si="0"/>
      </c>
      <c r="AK53" s="57" t="s">
        <v>185</v>
      </c>
      <c r="AL53" t="s">
        <v>239</v>
      </c>
      <c r="AM53">
        <v>5</v>
      </c>
      <c r="AN53">
        <v>95</v>
      </c>
      <c r="AO53">
        <v>2</v>
      </c>
      <c r="AU53" s="199" t="inlineStr">
        <is>
          <t xml:space="preserve">Доп. коды (нет в списке P — латиница/кириллица и т.п.)</t>
        </is>
      </c>
    </row>
    <row r="54" spans="12:41" x14ac:dyDescent="0.3">
      <c r="AJ54" s="56">
        <f t="shared" si="0"/>
      </c>
      <c r="AK54" s="57" t="s">
        <v>186</v>
      </c>
      <c r="AL54" t="s">
        <v>239</v>
      </c>
      <c r="AM54">
        <v>5</v>
      </c>
      <c r="AN54">
        <v>120</v>
      </c>
      <c r="AO54">
        <v>1</v>
      </c>
      <c r="AU54" s="100" t="inlineStr">
        <is>
          <t xml:space="preserve">К</t>
        </is>
      </c>
      <c r="AV54" s="100" t="inlineStr">
        <is>
          <t xml:space="preserve">Привод (двигатель)</t>
        </is>
      </c>
      <c r="AW54" s="100" t="inlineStr">
        <is>
          <t xml:space="preserve">нет</t>
        </is>
      </c>
      <c r="AY54" s="100"/>
    </row>
    <row r="55" spans="12:41" x14ac:dyDescent="0.3">
      <c r="AJ55" s="56">
        <f t="shared" si="0"/>
      </c>
      <c r="AK55" s="57" t="s">
        <v>187</v>
      </c>
      <c r="AL55" t="s">
        <v>239</v>
      </c>
      <c r="AM55">
        <v>5</v>
      </c>
      <c r="AN55">
        <v>120</v>
      </c>
      <c r="AO55">
        <v>2</v>
      </c>
      <c r="AU55" s="100" t="inlineStr">
        <is>
          <t xml:space="preserve">ЭК</t>
        </is>
      </c>
      <c r="AV55" s="100" t="inlineStr">
        <is>
          <t xml:space="preserve">Клапан</t>
        </is>
      </c>
      <c r="AW55" s="100" t="inlineStr">
        <is>
          <t xml:space="preserve">нет</t>
        </is>
      </c>
      <c r="AY55" s="100"/>
    </row>
    <row r="56" spans="12:41" x14ac:dyDescent="0.3">
      <c r="AJ56" s="56">
        <f t="shared" si="0"/>
      </c>
      <c r="AK56" s="57" t="s">
        <v>188</v>
      </c>
      <c r="AL56" t="s">
        <v>213</v>
      </c>
      <c r="AM56">
        <v>2</v>
      </c>
      <c r="AN56">
        <v>0.75</v>
      </c>
      <c r="AO56">
        <v>1</v>
      </c>
      <c r="AU56" s="100" t="inlineStr">
        <is>
          <t xml:space="preserve">TE</t>
        </is>
      </c>
      <c r="AV56" s="100" t="inlineStr">
        <is>
          <t xml:space="preserve">Сервопривод</t>
        </is>
      </c>
      <c r="AW56" s="100" t="inlineStr">
        <is>
          <t xml:space="preserve">нет</t>
        </is>
      </c>
      <c r="AY56" s="100"/>
    </row>
    <row r="57" spans="12:41" x14ac:dyDescent="0.3">
      <c r="AJ57" s="56">
        <f t="shared" si="0"/>
      </c>
      <c r="AK57" s="57" t="s">
        <v>189</v>
      </c>
      <c r="AL57" t="s">
        <v>213</v>
      </c>
      <c r="AM57">
        <v>2</v>
      </c>
      <c r="AN57">
        <v>0.75</v>
      </c>
      <c r="AO57">
        <v>2</v>
      </c>
      <c r="AU57" s="100" t="inlineStr">
        <is>
          <t xml:space="preserve">ТЕ</t>
        </is>
      </c>
      <c r="AV57" s="100" t="inlineStr">
        <is>
          <t xml:space="preserve">Сервопривод</t>
        </is>
      </c>
      <c r="AW57" s="100" t="inlineStr">
        <is>
          <t xml:space="preserve">нет</t>
        </is>
      </c>
      <c r="AY57" s="100"/>
    </row>
    <row r="58" spans="12:41" x14ac:dyDescent="0.3">
      <c r="AJ58" s="56">
        <f t="shared" si="0"/>
      </c>
      <c r="AK58" s="57" t="s">
        <v>188</v>
      </c>
      <c r="AL58" t="s">
        <v>213</v>
      </c>
      <c r="AM58">
        <v>2</v>
      </c>
      <c r="AN58">
        <v>1.5</v>
      </c>
      <c r="AO58">
        <v>1</v>
      </c>
      <c r="AY58" s="100"/>
    </row>
    <row r="59" spans="12:41" x14ac:dyDescent="0.3">
      <c r="AJ59" s="56">
        <f t="shared" si="0"/>
      </c>
      <c r="AK59" s="57" t="s">
        <v>189</v>
      </c>
      <c r="AL59" t="s">
        <v>213</v>
      </c>
      <c r="AM59">
        <v>2</v>
      </c>
      <c r="AN59">
        <v>1.5</v>
      </c>
      <c r="AO59">
        <v>2</v>
      </c>
      <c r="AY59" s="100"/>
    </row>
    <row r="60" spans="12:41" x14ac:dyDescent="0.3">
      <c r="AJ60" s="56">
        <f t="shared" si="0"/>
      </c>
      <c r="AK60" s="57" t="s">
        <v>190</v>
      </c>
      <c r="AL60" t="s">
        <v>213</v>
      </c>
      <c r="AM60">
        <v>2</v>
      </c>
      <c r="AN60">
        <v>2.5</v>
      </c>
      <c r="AO60">
        <v>1</v>
      </c>
      <c r="AY60" s="100"/>
    </row>
    <row r="61" spans="12:41" x14ac:dyDescent="0.3">
      <c r="AJ61" s="56">
        <f t="shared" si="0"/>
      </c>
      <c r="AK61" s="57" t="s">
        <v>191</v>
      </c>
      <c r="AL61" t="s">
        <v>213</v>
      </c>
      <c r="AM61">
        <v>2</v>
      </c>
      <c r="AN61">
        <v>2.5</v>
      </c>
      <c r="AO61">
        <v>2</v>
      </c>
      <c r="AY61" s="100"/>
    </row>
    <row r="62" spans="12:41" x14ac:dyDescent="0.3">
      <c r="AJ62" s="56">
        <f t="shared" si="0"/>
      </c>
      <c r="AK62" s="57" t="s">
        <v>192</v>
      </c>
      <c r="AL62" t="s">
        <v>213</v>
      </c>
      <c r="AM62">
        <v>3</v>
      </c>
      <c r="AN62">
        <v>1.5</v>
      </c>
      <c r="AO62">
        <v>1</v>
      </c>
      <c r="AY62" s="100"/>
    </row>
    <row r="63" spans="12:41" x14ac:dyDescent="0.3">
      <c r="AJ63" s="56">
        <f t="shared" si="0"/>
      </c>
      <c r="AK63" s="57" t="s">
        <v>193</v>
      </c>
      <c r="AL63" t="s">
        <v>213</v>
      </c>
      <c r="AM63">
        <v>3</v>
      </c>
      <c r="AN63">
        <v>1.5</v>
      </c>
      <c r="AO63">
        <v>2</v>
      </c>
      <c r="AY63" s="100"/>
    </row>
    <row r="64" spans="12:41" x14ac:dyDescent="0.3">
      <c r="AJ64" s="56">
        <f t="shared" si="0"/>
      </c>
      <c r="AK64" s="57" t="s">
        <v>194</v>
      </c>
      <c r="AL64" t="s">
        <v>213</v>
      </c>
      <c r="AM64">
        <v>3</v>
      </c>
      <c r="AN64">
        <v>2.5</v>
      </c>
      <c r="AO64">
        <v>1</v>
      </c>
      <c r="AY64" s="100"/>
    </row>
    <row r="65" spans="36:41" x14ac:dyDescent="0.3">
      <c r="AJ65" s="56">
        <f t="shared" si="0"/>
      </c>
      <c r="AK65" s="57" t="s">
        <v>195</v>
      </c>
      <c r="AL65" t="s">
        <v>213</v>
      </c>
      <c r="AM65">
        <v>3</v>
      </c>
      <c r="AN65">
        <v>2.5</v>
      </c>
      <c r="AO65">
        <v>2</v>
      </c>
      <c r="AY65" s="100"/>
    </row>
    <row r="66" spans="36:41" x14ac:dyDescent="0.3">
      <c r="AJ66" s="56">
        <f t="shared" si="0"/>
      </c>
      <c r="AK66" s="57" t="s">
        <v>196</v>
      </c>
      <c r="AL66" t="s">
        <v>213</v>
      </c>
      <c r="AM66">
        <v>5</v>
      </c>
      <c r="AN66">
        <v>1.5</v>
      </c>
      <c r="AO66">
        <v>1</v>
      </c>
      <c r="AY66" s="100"/>
    </row>
    <row r="67" spans="36:41" x14ac:dyDescent="0.3">
      <c r="AJ67" s="56">
        <f t="shared" si="0"/>
      </c>
      <c r="AK67" s="57" t="s">
        <v>197</v>
      </c>
      <c r="AL67" t="s">
        <v>213</v>
      </c>
      <c r="AM67">
        <v>5</v>
      </c>
      <c r="AN67">
        <v>1.5</v>
      </c>
      <c r="AO67">
        <v>2</v>
      </c>
      <c r="AY67" s="100"/>
    </row>
    <row r="68" spans="36:41" x14ac:dyDescent="0.3">
      <c r="AJ68" s="56">
        <f t="shared" si="0"/>
      </c>
      <c r="AK68" s="57" t="s">
        <v>198</v>
      </c>
      <c r="AL68" t="s">
        <v>213</v>
      </c>
      <c r="AM68">
        <v>5</v>
      </c>
      <c r="AN68">
        <v>2.5</v>
      </c>
      <c r="AO68">
        <v>1</v>
      </c>
      <c r="AY68" s="100"/>
    </row>
    <row r="69" spans="36:41" x14ac:dyDescent="0.3">
      <c r="AJ69" s="56">
        <f t="shared" ref="AJ69:AJ132" si="1">AL69&amp;" ("&amp;AM69&amp;"х"&amp;AN69&amp;") "&amp;AO69</f>
      </c>
      <c r="AK69" s="57" t="s">
        <v>199</v>
      </c>
      <c r="AL69" t="s">
        <v>213</v>
      </c>
      <c r="AM69">
        <v>5</v>
      </c>
      <c r="AN69">
        <v>2.5</v>
      </c>
      <c r="AO69">
        <v>2</v>
      </c>
      <c r="AY69" s="100"/>
    </row>
    <row r="70" spans="36:41" x14ac:dyDescent="0.3">
      <c r="AJ70" s="56">
        <f t="shared" si="1"/>
      </c>
      <c r="AK70" s="57" t="s">
        <v>200</v>
      </c>
      <c r="AL70" t="s">
        <v>213</v>
      </c>
      <c r="AM70">
        <v>5</v>
      </c>
      <c r="AN70">
        <v>4</v>
      </c>
      <c r="AO70">
        <v>1</v>
      </c>
      <c r="AY70" s="100"/>
    </row>
    <row r="71" spans="36:41" x14ac:dyDescent="0.3">
      <c r="AJ71" s="56">
        <f t="shared" si="1"/>
      </c>
      <c r="AK71" s="57" t="s">
        <v>201</v>
      </c>
      <c r="AL71" t="s">
        <v>213</v>
      </c>
      <c r="AM71">
        <v>5</v>
      </c>
      <c r="AN71">
        <v>4</v>
      </c>
      <c r="AO71">
        <v>2</v>
      </c>
      <c r="AY71" s="100"/>
    </row>
    <row r="72" spans="36:41" x14ac:dyDescent="0.3">
      <c r="AJ72" s="56">
        <f t="shared" si="1"/>
      </c>
      <c r="AK72" s="57" t="s">
        <v>202</v>
      </c>
      <c r="AL72" t="s">
        <v>213</v>
      </c>
      <c r="AM72">
        <v>5</v>
      </c>
      <c r="AN72">
        <v>6</v>
      </c>
      <c r="AO72">
        <v>1</v>
      </c>
      <c r="AY72" s="100"/>
    </row>
    <row r="73" spans="36:41" x14ac:dyDescent="0.3">
      <c r="AJ73" s="56">
        <f t="shared" si="1"/>
      </c>
      <c r="AK73" s="57" t="s">
        <v>203</v>
      </c>
      <c r="AL73" t="s">
        <v>213</v>
      </c>
      <c r="AM73">
        <v>5</v>
      </c>
      <c r="AN73">
        <v>6</v>
      </c>
      <c r="AO73">
        <v>2</v>
      </c>
    </row>
    <row r="74" spans="36:41" x14ac:dyDescent="0.3">
      <c r="AJ74" s="56">
        <f t="shared" si="1"/>
      </c>
      <c r="AK74" s="57" t="s">
        <v>204</v>
      </c>
      <c r="AL74" t="s">
        <v>213</v>
      </c>
      <c r="AM74">
        <v>4</v>
      </c>
      <c r="AN74">
        <v>0.75</v>
      </c>
      <c r="AO74">
        <v>1</v>
      </c>
    </row>
    <row r="75" spans="36:41" x14ac:dyDescent="0.3">
      <c r="AJ75" s="56">
        <f t="shared" si="1"/>
      </c>
      <c r="AK75" s="57" t="s">
        <v>205</v>
      </c>
      <c r="AL75" t="s">
        <v>213</v>
      </c>
      <c r="AM75">
        <v>4</v>
      </c>
      <c r="AN75">
        <v>0.75</v>
      </c>
      <c r="AO75">
        <v>2</v>
      </c>
      <c r="AU75" s="100" t="inlineStr">
        <is>
          <t xml:space="preserve">УГО — выбирается из списка (таблица значков BA:BC). Пустое УГО (красное) — у линии нет значка. AY: сколько трёхуровневых клемм занимает одна линия (шторы SH = 2); пусто — по жильности кабеля.</t>
        </is>
      </c>
    </row>
    <row r="76" spans="36:41" x14ac:dyDescent="0.3">
      <c r="AJ76" s="56">
        <f t="shared" si="1"/>
      </c>
      <c r="AK76" s="57" t="s">
        <v>206</v>
      </c>
      <c r="AL76" t="s">
        <v>130</v>
      </c>
      <c r="AM76">
        <v>1</v>
      </c>
      <c r="AN76">
        <v>2.5</v>
      </c>
      <c r="AO76">
        <v>1</v>
      </c>
    </row>
    <row r="77" spans="36:41" x14ac:dyDescent="0.3">
      <c r="AJ77" s="56">
        <f t="shared" si="1"/>
      </c>
      <c r="AK77" s="57" t="s">
        <v>207</v>
      </c>
      <c r="AL77" t="s">
        <v>130</v>
      </c>
      <c r="AM77">
        <v>1</v>
      </c>
      <c r="AN77">
        <v>2.5</v>
      </c>
      <c r="AO77">
        <v>2</v>
      </c>
    </row>
    <row r="78" spans="36:41" x14ac:dyDescent="0.3">
      <c r="AJ78" s="56">
        <f t="shared" si="1"/>
      </c>
      <c r="AK78" s="57" t="s">
        <v>206</v>
      </c>
      <c r="AL78" t="s">
        <v>130</v>
      </c>
      <c r="AM78">
        <v>1</v>
      </c>
      <c r="AN78">
        <v>4</v>
      </c>
      <c r="AO78">
        <v>1</v>
      </c>
    </row>
    <row r="79" spans="36:41" x14ac:dyDescent="0.3">
      <c r="AJ79" s="56">
        <f t="shared" si="1"/>
      </c>
      <c r="AK79" s="57" t="s">
        <v>207</v>
      </c>
      <c r="AL79" t="s">
        <v>130</v>
      </c>
      <c r="AM79">
        <v>1</v>
      </c>
      <c r="AN79">
        <v>4</v>
      </c>
      <c r="AO79">
        <v>2</v>
      </c>
    </row>
    <row r="80" spans="36:41" x14ac:dyDescent="0.3">
      <c r="AJ80" s="56">
        <f t="shared" si="1"/>
      </c>
      <c r="AK80" s="57" t="s">
        <v>206</v>
      </c>
      <c r="AL80" t="s">
        <v>130</v>
      </c>
      <c r="AM80">
        <v>1</v>
      </c>
      <c r="AN80">
        <v>6</v>
      </c>
      <c r="AO80">
        <v>1</v>
      </c>
    </row>
    <row r="81" spans="36:41" x14ac:dyDescent="0.3">
      <c r="AJ81" s="56">
        <f t="shared" si="1"/>
      </c>
      <c r="AK81" s="57" t="s">
        <v>207</v>
      </c>
      <c r="AL81" t="s">
        <v>130</v>
      </c>
      <c r="AM81">
        <v>1</v>
      </c>
      <c r="AN81">
        <v>6</v>
      </c>
      <c r="AO81">
        <v>2</v>
      </c>
    </row>
    <row r="82" spans="36:41" x14ac:dyDescent="0.3">
      <c r="AJ82" s="56">
        <f t="shared" si="1"/>
      </c>
      <c r="AK82" s="57" t="s">
        <v>208</v>
      </c>
      <c r="AL82" t="s">
        <v>130</v>
      </c>
      <c r="AM82">
        <v>1</v>
      </c>
      <c r="AN82">
        <v>10</v>
      </c>
      <c r="AO82">
        <v>1</v>
      </c>
    </row>
    <row r="83" spans="36:41" x14ac:dyDescent="0.3">
      <c r="AJ83" s="56">
        <f t="shared" si="1"/>
      </c>
      <c r="AK83" s="57" t="s">
        <v>209</v>
      </c>
      <c r="AL83" t="s">
        <v>130</v>
      </c>
      <c r="AM83">
        <v>1</v>
      </c>
      <c r="AN83">
        <v>10</v>
      </c>
      <c r="AO83">
        <v>2</v>
      </c>
    </row>
    <row r="84" spans="36:41" x14ac:dyDescent="0.3">
      <c r="AJ84" s="56">
        <f t="shared" si="1"/>
      </c>
      <c r="AK84" s="57" t="s">
        <v>208</v>
      </c>
      <c r="AL84" t="s">
        <v>130</v>
      </c>
      <c r="AM84">
        <v>1</v>
      </c>
      <c r="AN84">
        <v>25</v>
      </c>
      <c r="AO84">
        <v>1</v>
      </c>
    </row>
    <row r="85" spans="36:41" x14ac:dyDescent="0.3">
      <c r="AJ85" s="56">
        <f t="shared" si="1"/>
      </c>
      <c r="AK85" s="57" t="s">
        <v>209</v>
      </c>
      <c r="AL85" t="s">
        <v>130</v>
      </c>
      <c r="AM85">
        <v>1</v>
      </c>
      <c r="AN85">
        <v>25</v>
      </c>
      <c r="AO85">
        <v>2</v>
      </c>
    </row>
    <row r="86" spans="36:41" x14ac:dyDescent="0.3">
      <c r="AJ86" s="56">
        <f t="shared" si="1"/>
      </c>
      <c r="AK86" s="57" t="s">
        <v>139</v>
      </c>
      <c r="AL86" t="s">
        <v>243</v>
      </c>
      <c r="AM86">
        <v>14</v>
      </c>
      <c r="AN86">
        <v>2.5</v>
      </c>
      <c r="AO86">
        <v>1</v>
      </c>
    </row>
    <row r="87" spans="36:41" x14ac:dyDescent="0.3">
      <c r="AJ87" s="56">
        <f t="shared" si="1"/>
      </c>
      <c r="AK87" s="57" t="s">
        <v>140</v>
      </c>
      <c r="AL87" t="s">
        <v>243</v>
      </c>
      <c r="AM87">
        <v>14</v>
      </c>
      <c r="AN87">
        <v>2.5</v>
      </c>
      <c r="AO87">
        <v>2</v>
      </c>
    </row>
    <row r="88" spans="36:41" x14ac:dyDescent="0.3">
      <c r="AJ88" s="56">
        <f t="shared" si="1"/>
      </c>
      <c r="AK88" s="57" t="s">
        <v>137</v>
      </c>
      <c r="AL88" t="s">
        <v>217</v>
      </c>
      <c r="AM88">
        <v>2</v>
      </c>
      <c r="AN88">
        <v>1.5</v>
      </c>
      <c r="AO88">
        <v>1</v>
      </c>
    </row>
    <row r="89" spans="36:41" x14ac:dyDescent="0.3">
      <c r="AJ89" s="56">
        <f t="shared" si="1"/>
      </c>
      <c r="AK89" s="57" t="s">
        <v>138</v>
      </c>
      <c r="AL89" t="s">
        <v>217</v>
      </c>
      <c r="AM89">
        <v>2</v>
      </c>
      <c r="AN89">
        <v>1.5</v>
      </c>
      <c r="AO89">
        <v>2</v>
      </c>
    </row>
    <row r="90" spans="36:41" x14ac:dyDescent="0.3">
      <c r="AJ90" s="56">
        <f t="shared" si="1"/>
      </c>
      <c r="AK90" s="57" t="s">
        <v>139</v>
      </c>
      <c r="AL90" t="s">
        <v>217</v>
      </c>
      <c r="AM90">
        <v>2</v>
      </c>
      <c r="AN90">
        <v>2.5</v>
      </c>
      <c r="AO90">
        <v>1</v>
      </c>
    </row>
    <row r="91" spans="36:41" x14ac:dyDescent="0.3">
      <c r="AJ91" s="56">
        <f t="shared" si="1"/>
      </c>
      <c r="AK91" s="57" t="s">
        <v>140</v>
      </c>
      <c r="AL91" t="s">
        <v>217</v>
      </c>
      <c r="AM91">
        <v>2</v>
      </c>
      <c r="AN91">
        <v>2.5</v>
      </c>
      <c r="AO91">
        <v>2</v>
      </c>
    </row>
    <row r="92" spans="36:41" x14ac:dyDescent="0.3">
      <c r="AJ92" s="56">
        <f t="shared" si="1"/>
      </c>
      <c r="AK92" s="57" t="s">
        <v>141</v>
      </c>
      <c r="AL92" t="s">
        <v>217</v>
      </c>
      <c r="AM92">
        <v>3</v>
      </c>
      <c r="AN92">
        <v>1.5</v>
      </c>
      <c r="AO92">
        <v>1</v>
      </c>
    </row>
    <row r="93" spans="36:41" x14ac:dyDescent="0.3">
      <c r="AJ93" s="56">
        <f t="shared" si="1"/>
      </c>
      <c r="AK93" s="57" t="s">
        <v>142</v>
      </c>
      <c r="AL93" t="s">
        <v>217</v>
      </c>
      <c r="AM93">
        <v>3</v>
      </c>
      <c r="AN93">
        <v>1.5</v>
      </c>
      <c r="AO93">
        <v>2</v>
      </c>
    </row>
    <row r="94" spans="36:41" x14ac:dyDescent="0.3">
      <c r="AJ94" s="56">
        <f t="shared" si="1"/>
      </c>
      <c r="AK94" s="57" t="s">
        <v>143</v>
      </c>
      <c r="AL94" t="s">
        <v>217</v>
      </c>
      <c r="AM94">
        <v>3</v>
      </c>
      <c r="AN94">
        <v>2.5</v>
      </c>
      <c r="AO94">
        <v>1</v>
      </c>
    </row>
    <row r="95" spans="36:41" x14ac:dyDescent="0.3">
      <c r="AJ95" s="56">
        <f t="shared" si="1"/>
      </c>
      <c r="AK95" s="57" t="s">
        <v>144</v>
      </c>
      <c r="AL95" t="s">
        <v>217</v>
      </c>
      <c r="AM95">
        <v>3</v>
      </c>
      <c r="AN95">
        <v>2.5</v>
      </c>
      <c r="AO95">
        <v>2</v>
      </c>
    </row>
    <row r="96" spans="36:41" x14ac:dyDescent="0.3">
      <c r="AJ96" s="56">
        <f t="shared" si="1"/>
      </c>
      <c r="AK96" s="57" t="s">
        <v>145</v>
      </c>
      <c r="AL96" t="s">
        <v>217</v>
      </c>
      <c r="AM96">
        <v>3</v>
      </c>
      <c r="AN96">
        <v>4</v>
      </c>
      <c r="AO96">
        <v>1</v>
      </c>
    </row>
    <row r="97" spans="36:41" x14ac:dyDescent="0.3">
      <c r="AJ97" s="56">
        <f t="shared" si="1"/>
      </c>
      <c r="AK97" s="57" t="s">
        <v>146</v>
      </c>
      <c r="AL97" t="s">
        <v>217</v>
      </c>
      <c r="AM97">
        <v>3</v>
      </c>
      <c r="AN97">
        <v>4</v>
      </c>
      <c r="AO97">
        <v>2</v>
      </c>
    </row>
    <row r="98" spans="36:41" x14ac:dyDescent="0.3">
      <c r="AJ98" s="56">
        <f t="shared" si="1"/>
      </c>
      <c r="AK98" s="57" t="s">
        <v>147</v>
      </c>
      <c r="AL98" t="s">
        <v>217</v>
      </c>
      <c r="AM98">
        <v>3</v>
      </c>
      <c r="AN98">
        <v>6</v>
      </c>
      <c r="AO98">
        <v>1</v>
      </c>
    </row>
    <row r="99" spans="36:41" x14ac:dyDescent="0.3">
      <c r="AJ99" s="56">
        <f t="shared" si="1"/>
      </c>
      <c r="AK99" s="57" t="s">
        <v>148</v>
      </c>
      <c r="AL99" t="s">
        <v>217</v>
      </c>
      <c r="AM99">
        <v>3</v>
      </c>
      <c r="AN99">
        <v>6</v>
      </c>
      <c r="AO99">
        <v>2</v>
      </c>
    </row>
    <row r="100" spans="36:41" x14ac:dyDescent="0.3">
      <c r="AJ100" s="56">
        <f t="shared" si="1"/>
      </c>
      <c r="AK100" s="57" t="s">
        <v>149</v>
      </c>
      <c r="AL100" t="s">
        <v>217</v>
      </c>
      <c r="AM100">
        <v>5</v>
      </c>
      <c r="AN100">
        <v>1.5</v>
      </c>
      <c r="AO100">
        <v>1</v>
      </c>
    </row>
    <row r="101" spans="36:41" x14ac:dyDescent="0.3">
      <c r="AJ101" s="56">
        <f t="shared" si="1"/>
      </c>
      <c r="AK101" s="57" t="s">
        <v>150</v>
      </c>
      <c r="AL101" t="s">
        <v>217</v>
      </c>
      <c r="AM101">
        <v>5</v>
      </c>
      <c r="AN101">
        <v>1.5</v>
      </c>
      <c r="AO101">
        <v>2</v>
      </c>
    </row>
    <row r="102" spans="36:41" x14ac:dyDescent="0.3">
      <c r="AJ102" s="56">
        <f t="shared" si="1"/>
      </c>
      <c r="AK102" s="57" t="s">
        <v>151</v>
      </c>
      <c r="AL102" t="s">
        <v>217</v>
      </c>
      <c r="AM102">
        <v>5</v>
      </c>
      <c r="AN102">
        <v>2.5</v>
      </c>
      <c r="AO102">
        <v>1</v>
      </c>
    </row>
    <row r="103" spans="36:41" x14ac:dyDescent="0.3">
      <c r="AJ103" s="56">
        <f t="shared" si="1"/>
      </c>
      <c r="AK103" s="57" t="s">
        <v>152</v>
      </c>
      <c r="AL103" t="s">
        <v>217</v>
      </c>
      <c r="AM103">
        <v>5</v>
      </c>
      <c r="AN103">
        <v>2.5</v>
      </c>
      <c r="AO103">
        <v>2</v>
      </c>
    </row>
    <row r="104" spans="36:41" x14ac:dyDescent="0.3">
      <c r="AJ104" s="56">
        <f t="shared" si="1"/>
      </c>
      <c r="AK104" s="57" t="s">
        <v>153</v>
      </c>
      <c r="AL104" t="s">
        <v>217</v>
      </c>
      <c r="AM104">
        <v>5</v>
      </c>
      <c r="AN104">
        <v>4</v>
      </c>
      <c r="AO104">
        <v>1</v>
      </c>
    </row>
    <row r="105" spans="36:41" x14ac:dyDescent="0.3">
      <c r="AJ105" s="56">
        <f t="shared" si="1"/>
      </c>
      <c r="AK105" s="57" t="s">
        <v>154</v>
      </c>
      <c r="AL105" t="s">
        <v>217</v>
      </c>
      <c r="AM105">
        <v>5</v>
      </c>
      <c r="AN105">
        <v>4</v>
      </c>
      <c r="AO105">
        <v>2</v>
      </c>
    </row>
    <row r="106" spans="36:41" x14ac:dyDescent="0.3">
      <c r="AJ106" s="56">
        <f t="shared" si="1"/>
      </c>
      <c r="AK106" s="57" t="s">
        <v>155</v>
      </c>
      <c r="AL106" t="s">
        <v>217</v>
      </c>
      <c r="AM106">
        <v>5</v>
      </c>
      <c r="AN106">
        <v>6</v>
      </c>
      <c r="AO106">
        <v>1</v>
      </c>
    </row>
    <row r="107" spans="36:41" x14ac:dyDescent="0.3">
      <c r="AJ107" s="56">
        <f t="shared" si="1"/>
      </c>
      <c r="AK107" s="57" t="s">
        <v>156</v>
      </c>
      <c r="AL107" t="s">
        <v>217</v>
      </c>
      <c r="AM107">
        <v>5</v>
      </c>
      <c r="AN107">
        <v>6</v>
      </c>
      <c r="AO107">
        <v>2</v>
      </c>
    </row>
    <row r="108" spans="36:41" x14ac:dyDescent="0.3">
      <c r="AJ108" s="56">
        <f t="shared" si="1"/>
      </c>
      <c r="AK108" s="57" t="s">
        <v>157</v>
      </c>
      <c r="AL108" t="s">
        <v>217</v>
      </c>
      <c r="AM108">
        <v>5</v>
      </c>
      <c r="AN108">
        <v>10</v>
      </c>
      <c r="AO108">
        <v>1</v>
      </c>
    </row>
    <row r="109" spans="36:41" x14ac:dyDescent="0.3">
      <c r="AJ109" s="56">
        <f t="shared" si="1"/>
      </c>
      <c r="AK109" s="57" t="s">
        <v>158</v>
      </c>
      <c r="AL109" t="s">
        <v>217</v>
      </c>
      <c r="AM109">
        <v>5</v>
      </c>
      <c r="AN109">
        <v>10</v>
      </c>
      <c r="AO109">
        <v>2</v>
      </c>
    </row>
    <row r="110" spans="36:41" x14ac:dyDescent="0.3">
      <c r="AJ110" s="56">
        <f t="shared" si="1"/>
      </c>
      <c r="AK110" s="57" t="s">
        <v>159</v>
      </c>
      <c r="AL110" t="s">
        <v>217</v>
      </c>
      <c r="AM110">
        <v>5</v>
      </c>
      <c r="AN110">
        <v>16</v>
      </c>
      <c r="AO110">
        <v>1</v>
      </c>
    </row>
    <row r="111" spans="36:41" x14ac:dyDescent="0.3">
      <c r="AJ111" s="56">
        <f t="shared" si="1"/>
      </c>
      <c r="AK111" s="57" t="s">
        <v>160</v>
      </c>
      <c r="AL111" t="s">
        <v>217</v>
      </c>
      <c r="AM111">
        <v>5</v>
      </c>
      <c r="AN111">
        <v>16</v>
      </c>
      <c r="AO111">
        <v>2</v>
      </c>
    </row>
    <row r="112" spans="36:41" x14ac:dyDescent="0.3">
      <c r="AJ112" s="56">
        <f t="shared" si="1"/>
      </c>
      <c r="AK112" s="57" t="s">
        <v>161</v>
      </c>
      <c r="AL112" t="s">
        <v>217</v>
      </c>
      <c r="AM112">
        <v>5</v>
      </c>
      <c r="AN112">
        <v>25</v>
      </c>
      <c r="AO112">
        <v>1</v>
      </c>
    </row>
    <row r="113" spans="36:41" x14ac:dyDescent="0.3">
      <c r="AJ113" s="56">
        <f t="shared" si="1"/>
      </c>
      <c r="AK113" s="57" t="s">
        <v>162</v>
      </c>
      <c r="AL113" t="s">
        <v>217</v>
      </c>
      <c r="AM113">
        <v>5</v>
      </c>
      <c r="AN113">
        <v>25</v>
      </c>
      <c r="AO113">
        <v>2</v>
      </c>
    </row>
    <row r="114" spans="36:41" x14ac:dyDescent="0.3">
      <c r="AJ114" s="56">
        <f t="shared" si="1"/>
      </c>
      <c r="AK114" s="57" t="s">
        <v>163</v>
      </c>
      <c r="AL114" t="s">
        <v>217</v>
      </c>
      <c r="AM114">
        <v>5</v>
      </c>
      <c r="AN114">
        <v>35</v>
      </c>
      <c r="AO114">
        <v>1</v>
      </c>
    </row>
    <row r="115" spans="36:41" x14ac:dyDescent="0.3">
      <c r="AJ115" s="56">
        <f t="shared" si="1"/>
      </c>
      <c r="AK115" s="57" t="s">
        <v>164</v>
      </c>
      <c r="AL115" t="s">
        <v>217</v>
      </c>
      <c r="AM115">
        <v>5</v>
      </c>
      <c r="AN115">
        <v>35</v>
      </c>
      <c r="AO115">
        <v>1</v>
      </c>
    </row>
    <row r="116" spans="36:41" x14ac:dyDescent="0.3">
      <c r="AJ116" s="56">
        <f t="shared" si="1"/>
      </c>
      <c r="AK116" s="57" t="s">
        <v>165</v>
      </c>
      <c r="AL116" t="s">
        <v>217</v>
      </c>
      <c r="AM116">
        <v>5</v>
      </c>
      <c r="AN116">
        <v>50</v>
      </c>
      <c r="AO116">
        <v>1</v>
      </c>
    </row>
    <row r="117" spans="36:41" x14ac:dyDescent="0.3">
      <c r="AJ117" s="56">
        <f t="shared" si="1"/>
      </c>
      <c r="AK117" s="57" t="s">
        <v>166</v>
      </c>
      <c r="AL117" t="s">
        <v>217</v>
      </c>
      <c r="AM117">
        <v>5</v>
      </c>
      <c r="AN117">
        <v>50</v>
      </c>
      <c r="AO117">
        <v>2</v>
      </c>
    </row>
    <row r="118" spans="36:41" x14ac:dyDescent="0.3">
      <c r="AJ118" s="56">
        <f t="shared" si="1"/>
      </c>
      <c r="AK118" s="57" t="s">
        <v>167</v>
      </c>
      <c r="AL118" t="s">
        <v>217</v>
      </c>
      <c r="AM118">
        <v>5</v>
      </c>
      <c r="AN118">
        <v>95</v>
      </c>
      <c r="AO118">
        <v>1</v>
      </c>
    </row>
    <row r="119" spans="36:41" x14ac:dyDescent="0.3">
      <c r="AJ119" s="56">
        <f t="shared" si="1"/>
      </c>
      <c r="AK119" s="57" t="s">
        <v>168</v>
      </c>
      <c r="AL119" t="s">
        <v>217</v>
      </c>
      <c r="AM119">
        <v>5</v>
      </c>
      <c r="AN119">
        <v>95</v>
      </c>
      <c r="AO119">
        <v>2</v>
      </c>
    </row>
    <row r="120" spans="36:41" x14ac:dyDescent="0.3">
      <c r="AJ120" s="56">
        <f t="shared" si="1"/>
      </c>
      <c r="AK120" s="57" t="s">
        <v>169</v>
      </c>
      <c r="AL120" t="s">
        <v>217</v>
      </c>
      <c r="AM120">
        <v>5</v>
      </c>
      <c r="AN120">
        <v>120</v>
      </c>
      <c r="AO120">
        <v>1</v>
      </c>
    </row>
    <row r="121" spans="36:41" x14ac:dyDescent="0.3">
      <c r="AJ121" s="56">
        <f t="shared" si="1"/>
      </c>
      <c r="AK121" s="57" t="s">
        <v>170</v>
      </c>
      <c r="AL121" t="s">
        <v>217</v>
      </c>
      <c r="AM121">
        <v>5</v>
      </c>
      <c r="AN121">
        <v>120</v>
      </c>
      <c r="AO121">
        <v>2</v>
      </c>
    </row>
    <row r="122" spans="36:41" x14ac:dyDescent="0.3">
      <c r="AJ122" s="56">
        <f t="shared" si="1"/>
      </c>
      <c r="AK122" s="57" t="s">
        <v>137</v>
      </c>
      <c r="AL122" t="s">
        <v>219</v>
      </c>
      <c r="AM122">
        <v>2</v>
      </c>
      <c r="AN122">
        <v>1.5</v>
      </c>
      <c r="AO122">
        <v>1</v>
      </c>
    </row>
    <row r="123" spans="36:41" x14ac:dyDescent="0.3">
      <c r="AJ123" s="56">
        <f t="shared" si="1"/>
      </c>
      <c r="AK123" s="57" t="s">
        <v>138</v>
      </c>
      <c r="AL123" t="s">
        <v>219</v>
      </c>
      <c r="AM123">
        <v>2</v>
      </c>
      <c r="AN123">
        <v>1.5</v>
      </c>
      <c r="AO123">
        <v>2</v>
      </c>
    </row>
    <row r="124" spans="36:41" x14ac:dyDescent="0.3">
      <c r="AJ124" s="56">
        <f t="shared" si="1"/>
      </c>
      <c r="AK124" s="57" t="s">
        <v>139</v>
      </c>
      <c r="AL124" t="s">
        <v>219</v>
      </c>
      <c r="AM124">
        <v>2</v>
      </c>
      <c r="AN124">
        <v>2.5</v>
      </c>
      <c r="AO124">
        <v>1</v>
      </c>
    </row>
    <row r="125" spans="36:41" x14ac:dyDescent="0.3">
      <c r="AJ125" s="56">
        <f t="shared" si="1"/>
      </c>
      <c r="AK125" s="57" t="s">
        <v>140</v>
      </c>
      <c r="AL125" t="s">
        <v>219</v>
      </c>
      <c r="AM125">
        <v>2</v>
      </c>
      <c r="AN125">
        <v>2.5</v>
      </c>
      <c r="AO125">
        <v>2</v>
      </c>
    </row>
    <row r="126" spans="36:41" x14ac:dyDescent="0.3">
      <c r="AJ126" s="56">
        <f t="shared" si="1"/>
      </c>
      <c r="AK126" s="57" t="s">
        <v>141</v>
      </c>
      <c r="AL126" t="s">
        <v>219</v>
      </c>
      <c r="AM126">
        <v>3</v>
      </c>
      <c r="AN126">
        <v>1.5</v>
      </c>
      <c r="AO126">
        <v>1</v>
      </c>
    </row>
    <row r="127" spans="36:41" x14ac:dyDescent="0.3">
      <c r="AJ127" s="56">
        <f t="shared" si="1"/>
      </c>
      <c r="AK127" s="57" t="s">
        <v>142</v>
      </c>
      <c r="AL127" t="s">
        <v>219</v>
      </c>
      <c r="AM127">
        <v>3</v>
      </c>
      <c r="AN127">
        <v>1.5</v>
      </c>
      <c r="AO127">
        <v>2</v>
      </c>
    </row>
    <row r="128" spans="36:41" x14ac:dyDescent="0.3">
      <c r="AJ128" s="56">
        <f t="shared" si="1"/>
      </c>
      <c r="AK128" s="57" t="s">
        <v>143</v>
      </c>
      <c r="AL128" t="s">
        <v>219</v>
      </c>
      <c r="AM128">
        <v>3</v>
      </c>
      <c r="AN128">
        <v>2.5</v>
      </c>
      <c r="AO128">
        <v>1</v>
      </c>
    </row>
    <row r="129" spans="36:41" x14ac:dyDescent="0.3">
      <c r="AJ129" s="56">
        <f t="shared" si="1"/>
      </c>
      <c r="AK129" s="57" t="s">
        <v>144</v>
      </c>
      <c r="AL129" t="s">
        <v>219</v>
      </c>
      <c r="AM129">
        <v>3</v>
      </c>
      <c r="AN129">
        <v>2.5</v>
      </c>
      <c r="AO129">
        <v>2</v>
      </c>
    </row>
    <row r="130" spans="36:41" x14ac:dyDescent="0.3">
      <c r="AJ130" s="56">
        <f t="shared" si="1"/>
      </c>
      <c r="AK130" s="57" t="s">
        <v>145</v>
      </c>
      <c r="AL130" t="s">
        <v>219</v>
      </c>
      <c r="AM130">
        <v>3</v>
      </c>
      <c r="AN130">
        <v>4</v>
      </c>
      <c r="AO130">
        <v>1</v>
      </c>
    </row>
    <row r="131" spans="36:41" x14ac:dyDescent="0.3">
      <c r="AJ131" s="56">
        <f t="shared" si="1"/>
      </c>
      <c r="AK131" s="57" t="s">
        <v>146</v>
      </c>
      <c r="AL131" t="s">
        <v>219</v>
      </c>
      <c r="AM131">
        <v>3</v>
      </c>
      <c r="AN131">
        <v>4</v>
      </c>
      <c r="AO131">
        <v>2</v>
      </c>
    </row>
    <row r="132" spans="36:41" x14ac:dyDescent="0.3">
      <c r="AJ132" s="56">
        <f t="shared" si="1"/>
      </c>
      <c r="AK132" s="57" t="s">
        <v>147</v>
      </c>
      <c r="AL132" t="s">
        <v>219</v>
      </c>
      <c r="AM132">
        <v>3</v>
      </c>
      <c r="AN132">
        <v>6</v>
      </c>
      <c r="AO132">
        <v>1</v>
      </c>
    </row>
    <row r="133" spans="36:41" x14ac:dyDescent="0.3">
      <c r="AJ133" s="56">
        <f t="shared" ref="AJ133:AJ193" si="2">AL133&amp;" ("&amp;AM133&amp;"х"&amp;AN133&amp;") "&amp;AO133</f>
      </c>
      <c r="AK133" s="57" t="s">
        <v>148</v>
      </c>
      <c r="AL133" t="s">
        <v>219</v>
      </c>
      <c r="AM133">
        <v>3</v>
      </c>
      <c r="AN133">
        <v>6</v>
      </c>
      <c r="AO133">
        <v>2</v>
      </c>
    </row>
    <row r="134" spans="36:41" x14ac:dyDescent="0.3">
      <c r="AJ134" s="56">
        <f t="shared" si="2"/>
      </c>
      <c r="AK134" s="57" t="s">
        <v>149</v>
      </c>
      <c r="AL134" t="s">
        <v>219</v>
      </c>
      <c r="AM134">
        <v>5</v>
      </c>
      <c r="AN134">
        <v>1.5</v>
      </c>
      <c r="AO134">
        <v>1</v>
      </c>
    </row>
    <row r="135" spans="36:41" x14ac:dyDescent="0.3">
      <c r="AJ135" s="56">
        <f t="shared" si="2"/>
      </c>
      <c r="AK135" s="57" t="s">
        <v>150</v>
      </c>
      <c r="AL135" t="s">
        <v>219</v>
      </c>
      <c r="AM135">
        <v>5</v>
      </c>
      <c r="AN135">
        <v>1.5</v>
      </c>
      <c r="AO135">
        <v>2</v>
      </c>
    </row>
    <row r="136" spans="36:41" x14ac:dyDescent="0.3">
      <c r="AJ136" s="56">
        <f t="shared" si="2"/>
      </c>
      <c r="AK136" s="57" t="s">
        <v>151</v>
      </c>
      <c r="AL136" t="s">
        <v>219</v>
      </c>
      <c r="AM136">
        <v>5</v>
      </c>
      <c r="AN136">
        <v>2.5</v>
      </c>
      <c r="AO136">
        <v>1</v>
      </c>
    </row>
    <row r="137" spans="36:41" x14ac:dyDescent="0.3">
      <c r="AJ137" s="56">
        <f t="shared" si="2"/>
      </c>
      <c r="AK137" s="57" t="s">
        <v>152</v>
      </c>
      <c r="AL137" t="s">
        <v>219</v>
      </c>
      <c r="AM137">
        <v>5</v>
      </c>
      <c r="AN137">
        <v>2.5</v>
      </c>
      <c r="AO137">
        <v>2</v>
      </c>
    </row>
    <row r="138" spans="36:41" x14ac:dyDescent="0.3">
      <c r="AJ138" s="56">
        <f t="shared" si="2"/>
      </c>
      <c r="AK138" s="57" t="s">
        <v>153</v>
      </c>
      <c r="AL138" t="s">
        <v>219</v>
      </c>
      <c r="AM138">
        <v>5</v>
      </c>
      <c r="AN138">
        <v>4</v>
      </c>
      <c r="AO138">
        <v>1</v>
      </c>
    </row>
    <row r="139" spans="36:41" x14ac:dyDescent="0.3">
      <c r="AJ139" s="56">
        <f t="shared" si="2"/>
      </c>
      <c r="AK139" s="57" t="s">
        <v>154</v>
      </c>
      <c r="AL139" t="s">
        <v>219</v>
      </c>
      <c r="AM139">
        <v>5</v>
      </c>
      <c r="AN139">
        <v>4</v>
      </c>
      <c r="AO139">
        <v>2</v>
      </c>
    </row>
    <row r="140" spans="36:41" x14ac:dyDescent="0.3">
      <c r="AJ140" s="56">
        <f t="shared" si="2"/>
      </c>
      <c r="AK140" s="57" t="s">
        <v>155</v>
      </c>
      <c r="AL140" t="s">
        <v>219</v>
      </c>
      <c r="AM140">
        <v>5</v>
      </c>
      <c r="AN140">
        <v>6</v>
      </c>
      <c r="AO140">
        <v>1</v>
      </c>
    </row>
    <row r="141" spans="36:41" x14ac:dyDescent="0.3">
      <c r="AJ141" s="56">
        <f t="shared" si="2"/>
      </c>
      <c r="AK141" s="57" t="s">
        <v>156</v>
      </c>
      <c r="AL141" t="s">
        <v>219</v>
      </c>
      <c r="AM141">
        <v>5</v>
      </c>
      <c r="AN141">
        <v>6</v>
      </c>
      <c r="AO141">
        <v>2</v>
      </c>
    </row>
    <row r="142" spans="36:41" x14ac:dyDescent="0.3">
      <c r="AJ142" s="56">
        <f t="shared" si="2"/>
      </c>
      <c r="AK142" s="57" t="s">
        <v>157</v>
      </c>
      <c r="AL142" t="s">
        <v>219</v>
      </c>
      <c r="AM142">
        <v>5</v>
      </c>
      <c r="AN142">
        <v>10</v>
      </c>
      <c r="AO142">
        <v>1</v>
      </c>
    </row>
    <row r="143" spans="36:41" x14ac:dyDescent="0.3">
      <c r="AJ143" s="56">
        <f t="shared" si="2"/>
      </c>
      <c r="AK143" s="57" t="s">
        <v>158</v>
      </c>
      <c r="AL143" t="s">
        <v>219</v>
      </c>
      <c r="AM143">
        <v>5</v>
      </c>
      <c r="AN143">
        <v>10</v>
      </c>
      <c r="AO143">
        <v>2</v>
      </c>
    </row>
    <row r="144" spans="36:41" x14ac:dyDescent="0.3">
      <c r="AJ144" s="56">
        <f t="shared" si="2"/>
      </c>
      <c r="AK144" s="57" t="s">
        <v>159</v>
      </c>
      <c r="AL144" t="s">
        <v>219</v>
      </c>
      <c r="AM144">
        <v>5</v>
      </c>
      <c r="AN144">
        <v>16</v>
      </c>
      <c r="AO144">
        <v>1</v>
      </c>
    </row>
    <row r="145" spans="36:41" x14ac:dyDescent="0.3">
      <c r="AJ145" s="56">
        <f t="shared" si="2"/>
      </c>
      <c r="AK145" s="57" t="s">
        <v>160</v>
      </c>
      <c r="AL145" t="s">
        <v>219</v>
      </c>
      <c r="AM145">
        <v>5</v>
      </c>
      <c r="AN145">
        <v>16</v>
      </c>
      <c r="AO145">
        <v>2</v>
      </c>
    </row>
    <row r="146" spans="36:41" x14ac:dyDescent="0.3">
      <c r="AJ146" s="56">
        <f t="shared" si="2"/>
      </c>
      <c r="AK146" s="57" t="s">
        <v>161</v>
      </c>
      <c r="AL146" t="s">
        <v>219</v>
      </c>
      <c r="AM146">
        <v>5</v>
      </c>
      <c r="AN146">
        <v>25</v>
      </c>
      <c r="AO146">
        <v>1</v>
      </c>
    </row>
    <row r="147" spans="36:41" x14ac:dyDescent="0.3">
      <c r="AJ147" s="56">
        <f t="shared" si="2"/>
      </c>
      <c r="AK147" s="57" t="s">
        <v>162</v>
      </c>
      <c r="AL147" t="s">
        <v>219</v>
      </c>
      <c r="AM147">
        <v>5</v>
      </c>
      <c r="AN147">
        <v>25</v>
      </c>
      <c r="AO147">
        <v>2</v>
      </c>
    </row>
    <row r="148" spans="36:41" x14ac:dyDescent="0.3">
      <c r="AJ148" s="56">
        <f t="shared" si="2"/>
      </c>
      <c r="AK148" s="57" t="s">
        <v>163</v>
      </c>
      <c r="AL148" t="s">
        <v>219</v>
      </c>
      <c r="AM148">
        <v>5</v>
      </c>
      <c r="AN148">
        <v>35</v>
      </c>
      <c r="AO148">
        <v>1</v>
      </c>
    </row>
    <row r="149" spans="36:41" x14ac:dyDescent="0.3">
      <c r="AJ149" s="56">
        <f t="shared" si="2"/>
      </c>
      <c r="AK149" s="57" t="s">
        <v>164</v>
      </c>
      <c r="AL149" t="s">
        <v>219</v>
      </c>
      <c r="AM149">
        <v>5</v>
      </c>
      <c r="AN149">
        <v>35</v>
      </c>
      <c r="AO149">
        <v>2</v>
      </c>
    </row>
    <row r="150" spans="36:41" x14ac:dyDescent="0.3">
      <c r="AJ150" s="56">
        <f t="shared" si="2"/>
      </c>
      <c r="AK150" s="57" t="s">
        <v>165</v>
      </c>
      <c r="AL150" t="s">
        <v>219</v>
      </c>
      <c r="AM150">
        <v>5</v>
      </c>
      <c r="AN150">
        <v>50</v>
      </c>
      <c r="AO150">
        <v>1</v>
      </c>
    </row>
    <row r="151" spans="36:41" x14ac:dyDescent="0.3">
      <c r="AJ151" s="56">
        <f t="shared" si="2"/>
      </c>
      <c r="AK151" s="57" t="s">
        <v>166</v>
      </c>
      <c r="AL151" t="s">
        <v>219</v>
      </c>
      <c r="AM151">
        <v>5</v>
      </c>
      <c r="AN151">
        <v>50</v>
      </c>
      <c r="AO151">
        <v>2</v>
      </c>
    </row>
    <row r="152" spans="36:41" x14ac:dyDescent="0.3">
      <c r="AJ152" s="56">
        <f t="shared" si="2"/>
      </c>
      <c r="AK152" s="57" t="s">
        <v>167</v>
      </c>
      <c r="AL152" t="s">
        <v>219</v>
      </c>
      <c r="AM152">
        <v>5</v>
      </c>
      <c r="AN152">
        <v>95</v>
      </c>
      <c r="AO152">
        <v>1</v>
      </c>
    </row>
    <row r="153" spans="36:41" x14ac:dyDescent="0.3">
      <c r="AJ153" s="56">
        <f t="shared" si="2"/>
      </c>
      <c r="AK153" s="57" t="s">
        <v>168</v>
      </c>
      <c r="AL153" t="s">
        <v>219</v>
      </c>
      <c r="AM153">
        <v>5</v>
      </c>
      <c r="AN153">
        <v>95</v>
      </c>
      <c r="AO153">
        <v>2</v>
      </c>
    </row>
    <row r="154" spans="36:41" x14ac:dyDescent="0.3">
      <c r="AJ154" s="56">
        <f t="shared" si="2"/>
      </c>
      <c r="AK154" s="57" t="s">
        <v>169</v>
      </c>
      <c r="AL154" t="s">
        <v>219</v>
      </c>
      <c r="AM154">
        <v>5</v>
      </c>
      <c r="AN154">
        <v>120</v>
      </c>
      <c r="AO154">
        <v>1</v>
      </c>
    </row>
    <row r="155" spans="36:41" x14ac:dyDescent="0.3">
      <c r="AJ155" s="56">
        <f t="shared" si="2"/>
      </c>
      <c r="AK155" s="57" t="s">
        <v>170</v>
      </c>
      <c r="AL155" t="s">
        <v>219</v>
      </c>
      <c r="AM155">
        <v>5</v>
      </c>
      <c r="AN155">
        <v>120</v>
      </c>
      <c r="AO155">
        <v>2</v>
      </c>
    </row>
    <row r="156" spans="36:41" x14ac:dyDescent="0.3">
      <c r="AJ156" s="56">
        <f t="shared" si="2"/>
      </c>
      <c r="AK156" s="57" t="s">
        <v>137</v>
      </c>
      <c r="AL156" t="s">
        <v>237</v>
      </c>
      <c r="AM156">
        <v>2</v>
      </c>
      <c r="AN156">
        <v>1.5</v>
      </c>
      <c r="AO156">
        <v>1</v>
      </c>
    </row>
    <row r="157" spans="36:41" x14ac:dyDescent="0.3">
      <c r="AJ157" s="56">
        <f t="shared" si="2"/>
      </c>
      <c r="AK157" s="57" t="s">
        <v>138</v>
      </c>
      <c r="AL157" t="s">
        <v>237</v>
      </c>
      <c r="AM157">
        <v>2</v>
      </c>
      <c r="AN157">
        <v>1.5</v>
      </c>
      <c r="AO157">
        <v>2</v>
      </c>
    </row>
    <row r="158" spans="36:41" x14ac:dyDescent="0.3">
      <c r="AJ158" s="56">
        <f t="shared" si="2"/>
      </c>
      <c r="AK158" s="57" t="s">
        <v>139</v>
      </c>
      <c r="AL158" t="s">
        <v>237</v>
      </c>
      <c r="AM158">
        <v>2</v>
      </c>
      <c r="AN158">
        <v>2.5</v>
      </c>
      <c r="AO158">
        <v>1</v>
      </c>
    </row>
    <row r="159" spans="36:41" x14ac:dyDescent="0.3">
      <c r="AJ159" s="56">
        <f t="shared" si="2"/>
      </c>
      <c r="AK159" s="57" t="s">
        <v>140</v>
      </c>
      <c r="AL159" t="s">
        <v>237</v>
      </c>
      <c r="AM159">
        <v>2</v>
      </c>
      <c r="AN159">
        <v>2.5</v>
      </c>
      <c r="AO159">
        <v>2</v>
      </c>
    </row>
    <row r="160" spans="36:41" x14ac:dyDescent="0.3">
      <c r="AJ160" s="56">
        <f t="shared" si="2"/>
      </c>
      <c r="AK160" s="57" t="s">
        <v>141</v>
      </c>
      <c r="AL160" t="s">
        <v>237</v>
      </c>
      <c r="AM160">
        <v>3</v>
      </c>
      <c r="AN160">
        <v>1.5</v>
      </c>
      <c r="AO160">
        <v>1</v>
      </c>
    </row>
    <row r="161" spans="36:41" x14ac:dyDescent="0.3">
      <c r="AJ161" s="56">
        <f t="shared" si="2"/>
      </c>
      <c r="AK161" s="57" t="s">
        <v>142</v>
      </c>
      <c r="AL161" t="s">
        <v>237</v>
      </c>
      <c r="AM161">
        <v>3</v>
      </c>
      <c r="AN161">
        <v>1.5</v>
      </c>
      <c r="AO161">
        <v>2</v>
      </c>
    </row>
    <row r="162" spans="36:41" x14ac:dyDescent="0.3">
      <c r="AJ162" s="56">
        <f t="shared" si="2"/>
      </c>
      <c r="AK162" s="57" t="s">
        <v>143</v>
      </c>
      <c r="AL162" t="s">
        <v>237</v>
      </c>
      <c r="AM162">
        <v>3</v>
      </c>
      <c r="AN162">
        <v>2.5</v>
      </c>
      <c r="AO162">
        <v>1</v>
      </c>
    </row>
    <row r="163" spans="36:41" x14ac:dyDescent="0.3">
      <c r="AJ163" s="56">
        <f t="shared" si="2"/>
      </c>
      <c r="AK163" s="57" t="s">
        <v>144</v>
      </c>
      <c r="AL163" t="s">
        <v>237</v>
      </c>
      <c r="AM163">
        <v>3</v>
      </c>
      <c r="AN163">
        <v>2.5</v>
      </c>
      <c r="AO163">
        <v>2</v>
      </c>
    </row>
    <row r="164" spans="36:41" x14ac:dyDescent="0.3">
      <c r="AJ164" s="56">
        <f t="shared" si="2"/>
      </c>
      <c r="AK164" s="57" t="s">
        <v>145</v>
      </c>
      <c r="AL164" t="s">
        <v>237</v>
      </c>
      <c r="AM164">
        <v>3</v>
      </c>
      <c r="AN164">
        <v>4</v>
      </c>
      <c r="AO164">
        <v>1</v>
      </c>
    </row>
    <row r="165" spans="36:41" x14ac:dyDescent="0.3">
      <c r="AJ165" s="56">
        <f t="shared" si="2"/>
      </c>
      <c r="AK165" s="57" t="s">
        <v>146</v>
      </c>
      <c r="AL165" t="s">
        <v>237</v>
      </c>
      <c r="AM165">
        <v>3</v>
      </c>
      <c r="AN165">
        <v>4</v>
      </c>
      <c r="AO165">
        <v>2</v>
      </c>
    </row>
    <row r="166" spans="36:41" x14ac:dyDescent="0.3">
      <c r="AJ166" s="56">
        <f t="shared" si="2"/>
      </c>
      <c r="AK166" s="57" t="s">
        <v>147</v>
      </c>
      <c r="AL166" t="s">
        <v>237</v>
      </c>
      <c r="AM166">
        <v>3</v>
      </c>
      <c r="AN166">
        <v>6</v>
      </c>
      <c r="AO166">
        <v>1</v>
      </c>
    </row>
    <row r="167" spans="36:41" x14ac:dyDescent="0.3">
      <c r="AJ167" s="56">
        <f t="shared" si="2"/>
      </c>
      <c r="AK167" s="57" t="s">
        <v>148</v>
      </c>
      <c r="AL167" t="s">
        <v>237</v>
      </c>
      <c r="AM167">
        <v>3</v>
      </c>
      <c r="AN167">
        <v>6</v>
      </c>
      <c r="AO167">
        <v>2</v>
      </c>
    </row>
    <row r="168" spans="36:41" x14ac:dyDescent="0.3">
      <c r="AJ168" s="56">
        <f t="shared" si="2"/>
      </c>
      <c r="AK168" s="57" t="s">
        <v>149</v>
      </c>
      <c r="AL168" t="s">
        <v>237</v>
      </c>
      <c r="AM168">
        <v>5</v>
      </c>
      <c r="AN168">
        <v>1.5</v>
      </c>
      <c r="AO168">
        <v>1</v>
      </c>
    </row>
    <row r="169" spans="36:41" x14ac:dyDescent="0.3">
      <c r="AJ169" s="56">
        <f t="shared" si="2"/>
      </c>
      <c r="AK169" s="57" t="s">
        <v>150</v>
      </c>
      <c r="AL169" t="s">
        <v>237</v>
      </c>
      <c r="AM169">
        <v>5</v>
      </c>
      <c r="AN169">
        <v>1.5</v>
      </c>
      <c r="AO169">
        <v>2</v>
      </c>
    </row>
    <row r="170" spans="36:41" x14ac:dyDescent="0.3">
      <c r="AJ170" s="56">
        <f t="shared" si="2"/>
      </c>
      <c r="AK170" s="57" t="s">
        <v>151</v>
      </c>
      <c r="AL170" t="s">
        <v>237</v>
      </c>
      <c r="AM170">
        <v>5</v>
      </c>
      <c r="AN170">
        <v>2.5</v>
      </c>
      <c r="AO170">
        <v>1</v>
      </c>
    </row>
    <row r="171" spans="36:41" x14ac:dyDescent="0.3">
      <c r="AJ171" s="56">
        <f t="shared" si="2"/>
      </c>
      <c r="AK171" s="57" t="s">
        <v>152</v>
      </c>
      <c r="AL171" t="s">
        <v>237</v>
      </c>
      <c r="AM171">
        <v>5</v>
      </c>
      <c r="AN171">
        <v>2.5</v>
      </c>
      <c r="AO171">
        <v>2</v>
      </c>
    </row>
    <row r="172" spans="36:41" x14ac:dyDescent="0.3">
      <c r="AJ172" s="56">
        <f t="shared" si="2"/>
      </c>
      <c r="AK172" s="57" t="s">
        <v>153</v>
      </c>
      <c r="AL172" t="s">
        <v>237</v>
      </c>
      <c r="AM172">
        <v>5</v>
      </c>
      <c r="AN172">
        <v>4</v>
      </c>
      <c r="AO172">
        <v>1</v>
      </c>
    </row>
    <row r="173" spans="36:41" x14ac:dyDescent="0.3">
      <c r="AJ173" s="56">
        <f t="shared" si="2"/>
      </c>
      <c r="AK173" s="57" t="s">
        <v>154</v>
      </c>
      <c r="AL173" t="s">
        <v>237</v>
      </c>
      <c r="AM173">
        <v>5</v>
      </c>
      <c r="AN173">
        <v>4</v>
      </c>
      <c r="AO173">
        <v>1</v>
      </c>
    </row>
    <row r="174" spans="36:41" x14ac:dyDescent="0.3">
      <c r="AJ174" s="56">
        <f t="shared" si="2"/>
      </c>
      <c r="AK174" s="57" t="s">
        <v>155</v>
      </c>
      <c r="AL174" t="s">
        <v>237</v>
      </c>
      <c r="AM174">
        <v>5</v>
      </c>
      <c r="AN174">
        <v>6</v>
      </c>
      <c r="AO174">
        <v>1</v>
      </c>
    </row>
    <row r="175" spans="36:41" x14ac:dyDescent="0.3">
      <c r="AJ175" s="56">
        <f t="shared" si="2"/>
      </c>
      <c r="AK175" s="57" t="s">
        <v>156</v>
      </c>
      <c r="AL175" t="s">
        <v>237</v>
      </c>
      <c r="AM175">
        <v>5</v>
      </c>
      <c r="AN175">
        <v>6</v>
      </c>
      <c r="AO175">
        <v>2</v>
      </c>
    </row>
    <row r="176" spans="36:41" x14ac:dyDescent="0.3">
      <c r="AJ176" s="56">
        <f t="shared" si="2"/>
      </c>
      <c r="AK176" s="57" t="s">
        <v>157</v>
      </c>
      <c r="AL176" t="s">
        <v>237</v>
      </c>
      <c r="AM176">
        <v>5</v>
      </c>
      <c r="AN176">
        <v>10</v>
      </c>
      <c r="AO176">
        <v>1</v>
      </c>
    </row>
    <row r="177" spans="36:41" x14ac:dyDescent="0.3">
      <c r="AJ177" s="56">
        <f t="shared" si="2"/>
      </c>
      <c r="AK177" s="57" t="s">
        <v>158</v>
      </c>
      <c r="AL177" t="s">
        <v>237</v>
      </c>
      <c r="AM177">
        <v>5</v>
      </c>
      <c r="AN177">
        <v>10</v>
      </c>
      <c r="AO177">
        <v>2</v>
      </c>
    </row>
    <row r="178" spans="36:41" x14ac:dyDescent="0.3">
      <c r="AJ178" s="56">
        <f t="shared" si="2"/>
      </c>
      <c r="AK178" s="57" t="s">
        <v>159</v>
      </c>
      <c r="AL178" t="s">
        <v>237</v>
      </c>
      <c r="AM178">
        <v>5</v>
      </c>
      <c r="AN178">
        <v>16</v>
      </c>
      <c r="AO178">
        <v>1</v>
      </c>
    </row>
    <row r="179" spans="36:41" x14ac:dyDescent="0.3">
      <c r="AJ179" s="56">
        <f t="shared" si="2"/>
      </c>
      <c r="AK179" s="57" t="s">
        <v>160</v>
      </c>
      <c r="AL179" t="s">
        <v>237</v>
      </c>
      <c r="AM179">
        <v>5</v>
      </c>
      <c r="AN179">
        <v>16</v>
      </c>
      <c r="AO179">
        <v>2</v>
      </c>
    </row>
    <row r="180" spans="36:41" x14ac:dyDescent="0.3">
      <c r="AJ180" s="56">
        <f t="shared" si="2"/>
      </c>
      <c r="AK180" s="57" t="s">
        <v>161</v>
      </c>
      <c r="AL180" t="s">
        <v>237</v>
      </c>
      <c r="AM180">
        <v>5</v>
      </c>
      <c r="AN180">
        <v>25</v>
      </c>
      <c r="AO180">
        <v>1</v>
      </c>
    </row>
    <row r="181" spans="36:41" x14ac:dyDescent="0.3">
      <c r="AJ181" s="56">
        <f t="shared" si="2"/>
      </c>
      <c r="AK181" s="57" t="s">
        <v>162</v>
      </c>
      <c r="AL181" t="s">
        <v>237</v>
      </c>
      <c r="AM181">
        <v>5</v>
      </c>
      <c r="AN181">
        <v>25</v>
      </c>
      <c r="AO181">
        <v>2</v>
      </c>
    </row>
    <row r="182" spans="36:41" x14ac:dyDescent="0.3">
      <c r="AJ182" s="56">
        <f t="shared" si="2"/>
      </c>
      <c r="AK182" s="57" t="s">
        <v>163</v>
      </c>
      <c r="AL182" t="s">
        <v>237</v>
      </c>
      <c r="AM182">
        <v>5</v>
      </c>
      <c r="AN182">
        <v>35</v>
      </c>
      <c r="AO182">
        <v>1</v>
      </c>
    </row>
    <row r="183" spans="36:41" x14ac:dyDescent="0.3">
      <c r="AJ183" s="56">
        <f t="shared" si="2"/>
      </c>
      <c r="AK183" s="57" t="s">
        <v>164</v>
      </c>
      <c r="AL183" t="s">
        <v>237</v>
      </c>
      <c r="AM183">
        <v>5</v>
      </c>
      <c r="AN183">
        <v>35</v>
      </c>
      <c r="AO183">
        <v>2</v>
      </c>
    </row>
    <row r="184" spans="36:41" x14ac:dyDescent="0.3">
      <c r="AJ184" s="56">
        <f t="shared" si="2"/>
      </c>
      <c r="AK184" s="57" t="s">
        <v>165</v>
      </c>
      <c r="AL184" t="s">
        <v>237</v>
      </c>
      <c r="AM184">
        <v>5</v>
      </c>
      <c r="AN184">
        <v>50</v>
      </c>
      <c r="AO184">
        <v>1</v>
      </c>
    </row>
    <row r="185" spans="36:41" x14ac:dyDescent="0.3">
      <c r="AJ185" s="56">
        <f t="shared" si="2"/>
      </c>
      <c r="AK185" s="57" t="s">
        <v>166</v>
      </c>
      <c r="AL185" t="s">
        <v>237</v>
      </c>
      <c r="AM185">
        <v>5</v>
      </c>
      <c r="AN185">
        <v>50</v>
      </c>
      <c r="AO185">
        <v>2</v>
      </c>
    </row>
    <row r="186" spans="36:41" x14ac:dyDescent="0.3">
      <c r="AJ186" s="56">
        <f t="shared" si="2"/>
      </c>
      <c r="AK186" s="57" t="s">
        <v>167</v>
      </c>
      <c r="AL186" t="s">
        <v>237</v>
      </c>
      <c r="AM186">
        <v>5</v>
      </c>
      <c r="AN186">
        <v>95</v>
      </c>
      <c r="AO186">
        <v>1</v>
      </c>
    </row>
    <row r="187" spans="36:41" x14ac:dyDescent="0.3">
      <c r="AJ187" s="56">
        <f t="shared" si="2"/>
      </c>
      <c r="AK187" s="57" t="s">
        <v>168</v>
      </c>
      <c r="AL187" t="s">
        <v>237</v>
      </c>
      <c r="AM187">
        <v>5</v>
      </c>
      <c r="AN187">
        <v>95</v>
      </c>
      <c r="AO187">
        <v>2</v>
      </c>
    </row>
    <row r="188" spans="36:41" x14ac:dyDescent="0.3">
      <c r="AJ188" s="56">
        <f t="shared" si="2"/>
      </c>
      <c r="AK188" s="57" t="s">
        <v>169</v>
      </c>
      <c r="AL188" t="s">
        <v>237</v>
      </c>
      <c r="AM188">
        <v>5</v>
      </c>
      <c r="AN188">
        <v>120</v>
      </c>
      <c r="AO188">
        <v>1</v>
      </c>
    </row>
    <row r="189" spans="36:41" x14ac:dyDescent="0.3">
      <c r="AJ189" s="56">
        <f t="shared" si="2"/>
      </c>
      <c r="AK189" s="57" t="s">
        <v>170</v>
      </c>
      <c r="AL189" t="s">
        <v>237</v>
      </c>
      <c r="AM189">
        <v>5</v>
      </c>
      <c r="AN189">
        <v>120</v>
      </c>
      <c r="AO189">
        <v>2</v>
      </c>
    </row>
    <row r="190" spans="36:41" x14ac:dyDescent="0.3">
      <c r="AJ190" s="56">
        <f t="shared" si="2"/>
      </c>
      <c r="AK190" s="57" t="s">
        <v>171</v>
      </c>
      <c r="AL190" t="s">
        <v>237</v>
      </c>
      <c r="AM190">
        <v>5</v>
      </c>
      <c r="AN190">
        <v>95</v>
      </c>
      <c r="AO190">
        <v>1</v>
      </c>
    </row>
    <row r="191" spans="36:41" x14ac:dyDescent="0.3">
      <c r="AJ191" s="56">
        <f t="shared" si="2"/>
      </c>
      <c r="AK191" s="57" t="s">
        <v>172</v>
      </c>
      <c r="AL191" t="s">
        <v>237</v>
      </c>
      <c r="AM191">
        <v>5</v>
      </c>
      <c r="AN191">
        <v>95</v>
      </c>
      <c r="AO191">
        <v>2</v>
      </c>
    </row>
    <row r="192" spans="36:41" x14ac:dyDescent="0.3">
      <c r="AJ192" s="56">
        <f t="shared" si="2"/>
      </c>
      <c r="AK192" s="57" t="s">
        <v>173</v>
      </c>
      <c r="AL192" t="s">
        <v>237</v>
      </c>
      <c r="AM192">
        <v>5</v>
      </c>
      <c r="AN192">
        <v>120</v>
      </c>
      <c r="AO192">
        <v>1</v>
      </c>
    </row>
    <row r="193" spans="36:41" x14ac:dyDescent="0.3">
      <c r="AJ193" s="56">
        <f t="shared" si="2"/>
      </c>
      <c r="AK193" s="57" t="s">
        <v>174</v>
      </c>
      <c r="AL193" t="s">
        <v>237</v>
      </c>
      <c r="AM193">
        <v>5</v>
      </c>
      <c r="AN193">
        <v>120</v>
      </c>
      <c r="AO193">
        <v>2</v>
      </c>
    </row>
  </sheetData>
  <sheetProtection formatCells="0" formatColumns="0" formatRows="0"/>
  <mergeCells count="3">
    <mergeCell ref="L2:AG2"/>
    <mergeCell ref="AQ2:AS2"/>
    <mergeCell ref="AQ7:AS7"/>
  </mergeCells>
  <conditionalFormatting sqref="P9">
    <cfRule type="duplicateValues" dxfId="9745" priority="23"/>
    <cfRule type="expression" dxfId="9744" priority="24">
      <formula>_xlfn.ISFORMULA(P9)=TRUE</formula>
    </cfRule>
    <cfRule type="duplicateValues" dxfId="9743" priority="25"/>
    <cfRule type="expression" dxfId="9742" priority="26">
      <formula>_xlfn.ISFORMULA(P9)=TRUE</formula>
    </cfRule>
  </conditionalFormatting>
  <conditionalFormatting sqref="P12">
    <cfRule type="duplicateValues" dxfId="9741" priority="18"/>
    <cfRule type="duplicateValues" dxfId="9740" priority="19"/>
    <cfRule type="duplicateValues" dxfId="9739" priority="20"/>
    <cfRule type="duplicateValues" dxfId="9738" priority="21"/>
    <cfRule type="expression" dxfId="9737" priority="22">
      <formula>_xlfn.ISFORMULA(P12)=TRUE</formula>
    </cfRule>
  </conditionalFormatting>
  <conditionalFormatting sqref="P14">
    <cfRule type="duplicateValues" dxfId="9736" priority="14"/>
    <cfRule type="duplicateValues" dxfId="9735" priority="15"/>
    <cfRule type="duplicateValues" dxfId="9734" priority="16"/>
    <cfRule type="expression" dxfId="9733" priority="17">
      <formula>_xlfn.ISFORMULA(P14)=TRUE</formula>
    </cfRule>
  </conditionalFormatting>
  <conditionalFormatting sqref="P18">
    <cfRule type="duplicateValues" dxfId="9732" priority="6"/>
    <cfRule type="duplicateValues" dxfId="9731" priority="7"/>
    <cfRule type="duplicateValues" dxfId="9730" priority="8"/>
    <cfRule type="expression" dxfId="9729" priority="9">
      <formula>_xlfn.ISFORMULA(P18)=TRUE</formula>
    </cfRule>
  </conditionalFormatting>
  <conditionalFormatting sqref="P45">
    <cfRule type="duplicateValues" dxfId="9728" priority="31"/>
    <cfRule type="duplicateValues" dxfId="9727" priority="32"/>
    <cfRule type="duplicateValues" dxfId="9726" priority="33"/>
    <cfRule type="expression" dxfId="9725" priority="34">
      <formula>_xlfn.ISFORMULA(P45)=TRUE</formula>
    </cfRule>
  </conditionalFormatting>
  <conditionalFormatting sqref="Q14">
    <cfRule type="duplicateValues" dxfId="9724" priority="10"/>
    <cfRule type="duplicateValues" dxfId="9723" priority="11"/>
    <cfRule type="duplicateValues" dxfId="9722" priority="12"/>
    <cfRule type="expression" dxfId="9721" priority="13">
      <formula>_xlfn.ISFORMULA(Q14)=TRUE</formula>
    </cfRule>
  </conditionalFormatting>
  <conditionalFormatting sqref="Q22:Q25">
    <cfRule type="expression" dxfId="9720" priority="2">
      <formula>_xlfn.ISFORMULA(Q22)=TRUE</formula>
    </cfRule>
  </conditionalFormatting>
  <conditionalFormatting sqref="Q28">
    <cfRule type="expression" dxfId="9719" priority="1">
      <formula>_xlfn.ISFORMULA(Q28)=TRUE</formula>
    </cfRule>
  </conditionalFormatting>
  <conditionalFormatting sqref="AV4:AV51">
    <cfRule type="expression" dxfId="9794" priority="35">
      <formula>AND($AU4&lt;&gt;"",$AV4="")</formula>
    </cfRule>
  </conditionalFormatting>
  <dataValidations count="2">
    <dataValidation type="list" allowBlank="1" showErrorMessage="0" sqref="AV4:AV72">
      <formula1>$BA$4:$BA$30</formula1>
    </dataValidation>
    <dataValidation type="list" allowBlank="1" showErrorMessage="0" sqref="AW4:AW72">
      <formula1>"да,нет"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54167-9E28-4852-B1D6-D3B2959E4E4B}">
  <sheetPr>
    <tabColor rgb="FF70AD47"/>
  </sheetPr>
  <dimension ref="A1:AY1000"/>
  <sheetViews>
    <sheetView topLeftCell="A41" zoomScale="70" zoomScaleNormal="70" workbookViewId="0">
      <selection activeCell="I67" sqref="I67"/>
    </sheetView>
  </sheetViews>
  <sheetFormatPr defaultRowHeight="14.4" x14ac:dyDescent="0.3"/>
  <cols>
    <col min="2" max="2" width="20.44140625" customWidth="1"/>
    <col min="3" max="3" width="20.109375" style="60" customWidth="1"/>
    <col min="4" max="4" width="15.6640625" style="60" bestFit="1" customWidth="1"/>
    <col min="5" max="5" width="9.109375" style="60" customWidth="1"/>
    <col min="6" max="6" width="8.88671875" style="60" customWidth="1"/>
    <col min="7" max="9" width="9.109375" style="60" customWidth="1"/>
    <col min="10" max="10" width="9.109375" style="92" customWidth="1"/>
    <col min="11" max="12" width="9.109375" style="60" customWidth="1"/>
    <col min="13" max="13" width="9.109375" customWidth="1"/>
    <col min="14" max="15" width="9.109375" style="60" customWidth="1"/>
    <col min="16" max="16" width="8.109375" style="60" bestFit="1" customWidth="1"/>
    <col min="17" max="19" width="9.109375" style="60" customWidth="1"/>
    <col min="20" max="20" width="15.6640625" bestFit="1" customWidth="1"/>
    <col min="21" max="21" width="15.6640625" customWidth="1"/>
    <col min="23" max="23" width="15.33203125" customWidth="1"/>
    <col min="24" max="24" width="15.44140625" customWidth="1"/>
    <col min="25" max="25" width="16.5546875" customWidth="1"/>
    <col min="27" max="27" width="13" customWidth="1"/>
    <col min="28" max="28" width="8.33203125" bestFit="1" customWidth="1"/>
    <col min="29" max="29" width="12.33203125" bestFit="1" customWidth="1"/>
    <col min="30" max="30" width="16" customWidth="1"/>
    <col min="31" max="31" width="18" bestFit="1" customWidth="1"/>
    <col min="36" max="36" width="46" customWidth="1"/>
    <col min="37" max="38" width="10.33203125" bestFit="1" customWidth="1"/>
    <col min="39" max="39" width="12.109375" bestFit="1" customWidth="1"/>
    <col min="40" max="40" width="22.33203125" customWidth="1"/>
    <col min="41" max="41" width="27.88671875" bestFit="1" customWidth="1"/>
    <col min="42" max="42" width="15.6640625" customWidth="1"/>
    <col min="43" max="43" width="14.88671875" customWidth="1"/>
    <col min="51" max="51" width="97.5546875" bestFit="1" customWidth="1"/>
  </cols>
  <sheetData>
    <row r="1" spans="1:51" ht="15" thickBot="1" x14ac:dyDescent="0.3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 s="8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  <c r="AJ1">
        <v>36</v>
      </c>
      <c r="AK1">
        <v>37</v>
      </c>
      <c r="AL1">
        <v>38</v>
      </c>
      <c r="AM1">
        <v>39</v>
      </c>
      <c r="AN1">
        <v>40</v>
      </c>
      <c r="AO1">
        <v>41</v>
      </c>
      <c r="AP1">
        <v>42</v>
      </c>
      <c r="AQ1">
        <v>43</v>
      </c>
      <c r="AR1">
        <v>44</v>
      </c>
      <c r="AS1">
        <v>45</v>
      </c>
      <c r="AT1">
        <v>46</v>
      </c>
    </row>
    <row r="2" spans="1:51" s="6" customFormat="1" ht="72.599999999999994" thickBot="1" x14ac:dyDescent="0.35">
      <c r="B2" s="36" t="s">
        <v>14</v>
      </c>
      <c r="C2" s="62" t="s">
        <v>117</v>
      </c>
      <c r="D2" s="62" t="s">
        <v>0</v>
      </c>
      <c r="E2" s="62" t="s">
        <v>1</v>
      </c>
      <c r="F2" s="62" t="s">
        <v>333</v>
      </c>
      <c r="G2" s="62" t="s">
        <v>122</v>
      </c>
      <c r="H2" s="62" t="s">
        <v>2</v>
      </c>
      <c r="I2" s="62" t="s">
        <v>96</v>
      </c>
      <c r="J2" s="62" t="s">
        <v>335</v>
      </c>
      <c r="K2" s="62" t="s">
        <v>343</v>
      </c>
      <c r="L2" s="62" t="s">
        <v>342</v>
      </c>
      <c r="M2" s="36" t="s">
        <v>99</v>
      </c>
      <c r="N2" s="62" t="s">
        <v>3</v>
      </c>
      <c r="O2" s="62" t="s">
        <v>23</v>
      </c>
      <c r="P2" s="62" t="s">
        <v>4</v>
      </c>
      <c r="Q2" s="62" t="s">
        <v>31</v>
      </c>
      <c r="R2" s="62" t="s">
        <v>32</v>
      </c>
      <c r="S2" s="62" t="s">
        <v>133</v>
      </c>
      <c r="T2" s="36" t="s">
        <v>13</v>
      </c>
      <c r="U2" s="36" t="s">
        <v>16</v>
      </c>
      <c r="V2" s="36" t="s">
        <v>6</v>
      </c>
      <c r="W2" s="36" t="s">
        <v>7</v>
      </c>
      <c r="X2" s="36" t="s">
        <v>8</v>
      </c>
      <c r="Y2" s="36" t="s">
        <v>9</v>
      </c>
      <c r="Z2" s="36" t="s">
        <v>5</v>
      </c>
      <c r="AA2" s="36" t="s">
        <v>10</v>
      </c>
      <c r="AB2" s="36" t="s">
        <v>11</v>
      </c>
      <c r="AC2" s="36" t="s">
        <v>116</v>
      </c>
      <c r="AD2" s="36" t="s">
        <v>18</v>
      </c>
      <c r="AE2" s="36" t="s">
        <v>30</v>
      </c>
      <c r="AF2" s="36" t="s">
        <v>119</v>
      </c>
      <c r="AG2" s="36" t="s">
        <v>118</v>
      </c>
      <c r="AH2" s="36" t="s">
        <v>82</v>
      </c>
      <c r="AI2" s="36" t="s">
        <v>121</v>
      </c>
      <c r="AJ2" s="36" t="s">
        <v>14</v>
      </c>
      <c r="AK2" s="36" t="s">
        <v>26</v>
      </c>
      <c r="AL2" s="36" t="s">
        <v>27</v>
      </c>
      <c r="AM2" s="36" t="s">
        <v>28</v>
      </c>
      <c r="AN2" s="36" t="s">
        <v>29</v>
      </c>
      <c r="AO2" s="36" t="s">
        <v>18</v>
      </c>
      <c r="AP2" s="36" t="s">
        <v>120</v>
      </c>
      <c r="AQ2" s="36" t="s">
        <v>120</v>
      </c>
      <c r="AR2" s="36" t="s">
        <v>299</v>
      </c>
      <c r="AS2" s="36" t="s">
        <v>300</v>
      </c>
      <c r="AT2" s="36" t="s">
        <v>298</v>
      </c>
      <c r="AU2" s="6" t="s">
        <v>841</v>
      </c>
      <c r="AV2" s="6" t="s">
        <v>842</v>
      </c>
      <c r="AW2" s="6" t="s">
        <v>843</v>
      </c>
      <c r="AX2" s="6" t="s">
        <v>844</v>
      </c>
      <c r="AY2" s="6" t="s">
        <v>888</v>
      </c>
    </row>
    <row r="3" spans="1:51" x14ac:dyDescent="0.3">
      <c r="A3" s="37">
        <f>D3</f>
      </c>
      <c r="B3" s="38">
        <f t="shared" ref="B3:B56" si="0">IFERROR(IF(VLOOKUP(AH3,Потребители_обозначение,4,FALSE)=1,VLOOKUP(AH3,Потребители_обозначение,2,FALSE)&amp;" "&amp;VLOOKUP(AI3,Этаж_обозначение,2,FALSE)&amp;" Пом. №"&amp;AG3,VLOOKUP(AH3,Потребители_обозначение,2,FALSE)&amp;" Шлейф №"&amp;AI3),VLOOKUP(D3,Потребители_обозначение,2,FALSE))</f>
      </c>
      <c r="C3" s="172"/>
      <c r="D3" s="172"/>
      <c r="E3" s="105"/>
      <c r="F3" s="173"/>
      <c r="G3" s="173"/>
      <c r="H3" s="173"/>
      <c r="I3" s="174"/>
      <c r="J3" s="174"/>
      <c r="K3" s="174"/>
      <c r="L3" s="174"/>
      <c r="M3" s="49">
        <f t="shared" ref="M3:M25" si="1">IFERROR(IF(VLOOKUP(AH3,Потребители_обозначение,4,FALSE)=1,VLOOKUP(AH3,Потребители_обозначение,3,FALSE)*(G3*2-1)+I3+VLOOKUP(AI3,Этаж_обозначение,3,FALSE)+VLOOKUP(AI3,Этаж_обозначение,4,FALSE),VLOOKUP(AH3,Потребители_обозначение,3,FALSE)*(G3*2-1)+I3),I3)</f>
      </c>
      <c r="N3" s="100"/>
      <c r="O3" s="164"/>
      <c r="P3" s="59">
        <f t="shared" ref="P3:P25" si="2">IF(VLOOKUP(AH3,Потребители_обозначение,5,FALSE)=2,_xlfn.IFS(H3=3,VLOOKUP(E3,Справочная_двигатели,8,FALSE),H3=1,VLOOKUP(E3,Справочная_двигатели,10,TRUE)),0.95)</f>
      </c>
      <c r="Q3" s="165"/>
      <c r="R3" s="100"/>
      <c r="S3" s="164"/>
      <c r="T3" s="39">
        <f t="shared" ref="T3:T56" si="3">_xlfn.IFS(H3=1,E3*1000/220,H3=3,E3/0.38/1.732)</f>
      </c>
      <c r="U3" s="38">
        <f t="shared" ref="U3:U25" si="4">IF(R3=0,VLOOKUP(T3,Автомат_номиналы,2,TRUE),R3)</f>
      </c>
      <c r="V3" s="38">
        <f>IF(VLOOKUP(N3,Кабель_обозначение,3,FALSE)=1,IF(Q3=0,VLOOKUP(U3,Кабель_номиналы,2,TRUE),Q3),0)</f>
      </c>
      <c r="W3" s="38">
        <f t="shared" ref="W3:W25" si="5">VLOOKUP(V3,Кабель_сопротивление,3,FALSE)</f>
      </c>
      <c r="X3" s="38">
        <f t="shared" ref="X3:X25" si="6">VLOOKUP(V3,Кабель_сопротивление,2,FALSE)</f>
      </c>
      <c r="Y3" s="38" cm="1">
        <f t="array" ref="Y3">_xlfn.IFS(H3=1,2,H3=3,1)</f>
      </c>
      <c r="Z3" s="38">
        <f>ROUND(SIN(ACOS(P3)),2)</f>
      </c>
      <c r="AA3" s="38">
        <f t="shared" ref="AA3:AA56" si="7">Y3*(W3*I3/V3+X3*I3*Z3/1000)*T3</f>
      </c>
      <c r="AB3" s="38">
        <f>ROUNDUP(AA3/220*100,2)</f>
      </c>
      <c r="AC3" s="38">
        <f t="shared" ref="AC3:AC56" si="8">_xlfn.IFS(H3=3,380,H3=1,220)</f>
      </c>
      <c r="AD3" s="38">
        <f t="shared" ref="AD3:AD25" si="9">VLOOKUP(N3,Кабель_обозначение,2,FALSE)</f>
      </c>
      <c r="AE3" s="38">
        <f t="shared" ref="AE3:AE56" si="10">IF(VLOOKUP(N3,Кабель_обозначение,3,FALSE)=1,AD3&amp;" ("&amp;O3&amp;"х"&amp;V3&amp;")",AD3)</f>
      </c>
      <c r="AF3" s="38">
        <f>IFERROR(IF(AB3&gt;4.5,1,2),0)</f>
      </c>
      <c r="AG3" s="38">
        <f>IFERROR(LEFT(AQ3,SEARCH(".",AQ3)-1),AQ3)</f>
        <v/>
      </c>
      <c r="AH3" s="38">
        <f t="shared" ref="AH3:AH56" si="11">IFERROR(LEFT(A3,SEARCH(".",A3)-1),A3)</f>
      </c>
      <c r="AI3" s="38">
        <f>IFERROR(LEFT(AP3,SEARCH(".",AP3)-1),AP3)</f>
      </c>
      <c r="AJ3" s="38">
        <f t="shared" ref="AJ3:AJ56" si="12">IF(C3=0,B3,C3)</f>
      </c>
      <c r="AK3" s="38">
        <f>ROUNDUP(T3,2)</f>
      </c>
      <c r="AL3" s="38">
        <f t="shared" ref="AL3:AL56" si="13">E3</f>
      </c>
      <c r="AM3" s="38">
        <f t="shared" ref="AM3:AM56" si="14">D3</f>
      </c>
      <c r="AN3" s="38"/>
      <c r="AO3" s="4">
        <f>IF(V3=0,AD3,AE3&amp;"
L="&amp;M3&amp;"-"&amp;AB3&amp;"%")</f>
      </c>
      <c r="AP3" s="38">
        <f t="shared" ref="AP3:AP56" si="15">RIGHT(A3,LEN(A3)-SEARCH(".",A3))</f>
      </c>
      <c r="AQ3" s="40">
        <f>IFERROR(RIGHT(AP3,LEN(AP3)-SEARCH(".",AP3)),"")</f>
        <v/>
      </c>
      <c r="AR3" s="38">
        <f t="shared" ref="AR3:AR56" si="16">IFERROR(IF(VLOOKUP(AH3,Потребители_обозначение,5,FALSE)=2,_xlfn.IFS(H3=3,VLOOKUP(E3,Справочная_двигатели,3,FALSE),H3=1,VLOOKUP(E3,Справочная_двигатели,5,TRUE)),0),0)</f>
      </c>
      <c r="AS3" s="38">
        <f t="shared" ref="AS3:AS56" si="17">IFERROR(IF(VLOOKUP(AH3,Потребители_обозначение,5,FALSE)=3,VLOOKUP(E3,Справочная_ЛЭД,2,TRUE),0),0)</f>
      </c>
      <c r="AT3" s="38">
        <f>IF(AR3=0,AS3,AR3)</f>
      </c>
      <c r="AV3"/>
      <c r="AW3"/>
    </row>
    <row r="4" spans="1:51" x14ac:dyDescent="0.3">
      <c r="A4" s="41">
        <f t="shared" ref="A4:A6" si="18">D4</f>
      </c>
      <c r="B4" s="4">
        <f t="shared" si="0"/>
      </c>
      <c r="C4" s="119"/>
      <c r="D4" s="119"/>
      <c r="E4" s="119"/>
      <c r="F4" s="173"/>
      <c r="G4" s="119"/>
      <c r="H4" s="173"/>
      <c r="I4" s="119"/>
      <c r="J4" s="119"/>
      <c r="K4" s="119"/>
      <c r="L4" s="119"/>
      <c r="M4" s="49">
        <f t="shared" si="1"/>
      </c>
      <c r="N4" s="100"/>
      <c r="O4" s="164"/>
      <c r="P4" s="100">
        <f t="shared" si="2"/>
      </c>
      <c r="Q4" s="100"/>
      <c r="R4" s="100"/>
      <c r="S4" s="100"/>
      <c r="T4" s="5">
        <f t="shared" si="3"/>
      </c>
      <c r="U4" s="4">
        <f t="shared" ref="U4:U6" si="19">IF(R4=0,VLOOKUP(T4,Автомат_номиналы,2,TRUE),R4)</f>
      </c>
      <c r="V4" s="4">
        <f>IF(VLOOKUP(N4,Кабель_обозначение,3,FALSE)=1,IF(Q4=0,VLOOKUP(U4,Кабель_номиналы,2,TRUE),Q4),0)</f>
      </c>
      <c r="W4" s="4">
        <f t="shared" ref="W4:W6" si="20">VLOOKUP(V4,Кабель_сопротивление,3,FALSE)</f>
      </c>
      <c r="X4" s="4">
        <f t="shared" ref="X4:X6" si="21">VLOOKUP(V4,Кабель_сопротивление,2,FALSE)</f>
      </c>
      <c r="Y4" s="4" cm="1">
        <f t="array" ref="Y4">_xlfn.IFS(H4=1,2,H4=3,1)</f>
      </c>
      <c r="Z4" s="4">
        <f t="shared" ref="Z4:Z6" si="22">ROUND(SIN(ACOS(P4)),2)</f>
      </c>
      <c r="AA4" s="4">
        <f t="shared" si="7"/>
      </c>
      <c r="AB4" s="4">
        <f t="shared" ref="AB4:AB6" si="23">ROUNDUP(AA4/220*100,2)</f>
      </c>
      <c r="AC4" s="4">
        <f t="shared" si="8"/>
      </c>
      <c r="AD4" s="4">
        <f t="shared" ref="AD4:AD6" si="24">VLOOKUP(N4,Кабель_обозначение,2,FALSE)</f>
      </c>
      <c r="AE4" s="4">
        <f>IF(VLOOKUP(N4,Кабель_обозначение,3,FALSE)=1,AD4&amp;" ("&amp;O4&amp;"х"&amp;V4&amp;")",AD4)</f>
      </c>
      <c r="AF4" s="4">
        <f t="shared" ref="AF4:AF6" si="25">IFERROR(IF(AB4&gt;4.5,1,2),0)</f>
      </c>
      <c r="AG4" s="4">
        <f t="shared" ref="AG4:AG6" si="26">IFERROR(LEFT(AQ4,SEARCH(".",AQ4)-1),AQ4)</f>
        <v/>
      </c>
      <c r="AH4" s="4">
        <f t="shared" si="11"/>
      </c>
      <c r="AI4" s="4">
        <f t="shared" ref="AI4:AI6" si="27">IFERROR(LEFT(AP4,SEARCH(".",AP4)-1),AP4)</f>
      </c>
      <c r="AJ4" s="4">
        <f t="shared" si="12"/>
      </c>
      <c r="AK4" s="4">
        <f t="shared" ref="AK4:AK6" si="28">ROUNDUP(T4,2)</f>
      </c>
      <c r="AL4" s="4">
        <f t="shared" si="13"/>
      </c>
      <c r="AM4" s="4">
        <f t="shared" si="14"/>
      </c>
      <c r="AN4" s="4"/>
      <c r="AO4" s="4">
        <f>IF(V4=0,AD4,AE4&amp;"
L="&amp;M4&amp;"-"&amp;AB4&amp;"%")</f>
      </c>
      <c r="AP4" s="4">
        <f t="shared" si="15"/>
      </c>
      <c r="AQ4" s="42">
        <f>IFERROR(RIGHT(AP4,LEN(AP4)-SEARCH(".",AP4)),"")</f>
        <v/>
      </c>
      <c r="AR4" s="4">
        <f t="shared" si="16"/>
      </c>
      <c r="AS4" s="4">
        <f t="shared" si="17"/>
      </c>
      <c r="AT4" s="4">
        <f t="shared" ref="AT4:AT10" si="29">IF(AR4=0,AS4,AR4)</f>
      </c>
      <c r="AV4"/>
      <c r="AW4"/>
    </row>
    <row r="5" spans="1:51" x14ac:dyDescent="0.3">
      <c r="A5" s="41">
        <f t="shared" si="18"/>
      </c>
      <c r="B5" s="4">
        <f t="shared" si="0"/>
      </c>
      <c r="C5" s="119"/>
      <c r="D5" s="119"/>
      <c r="E5" s="119"/>
      <c r="F5" s="173"/>
      <c r="G5" s="119"/>
      <c r="H5" s="173"/>
      <c r="I5" s="119"/>
      <c r="J5" s="119"/>
      <c r="K5" s="119"/>
      <c r="L5" s="119"/>
      <c r="M5" s="49">
        <f t="shared" si="1"/>
      </c>
      <c r="N5" s="100"/>
      <c r="O5" s="164"/>
      <c r="P5" s="100">
        <f t="shared" si="2"/>
      </c>
      <c r="Q5" s="100"/>
      <c r="R5" s="100"/>
      <c r="S5" s="100"/>
      <c r="T5" s="5">
        <f t="shared" si="3"/>
      </c>
      <c r="U5" s="4">
        <f t="shared" si="19"/>
      </c>
      <c r="V5" s="4">
        <f>IF(VLOOKUP(N5,Кабель_обозначение,3,FALSE)=1,IF(Q5=0,VLOOKUP(U5,Кабель_номиналы,2,TRUE),Q5),0)</f>
      </c>
      <c r="W5" s="4">
        <f t="shared" si="20"/>
      </c>
      <c r="X5" s="4">
        <f t="shared" si="21"/>
      </c>
      <c r="Y5" s="4" cm="1">
        <f t="array" ref="Y5">_xlfn.IFS(H5=1,2,H5=3,1)</f>
      </c>
      <c r="Z5" s="4">
        <f t="shared" si="22"/>
      </c>
      <c r="AA5" s="4">
        <f t="shared" si="7"/>
      </c>
      <c r="AB5" s="4">
        <f t="shared" si="23"/>
      </c>
      <c r="AC5" s="4">
        <f t="shared" si="8"/>
      </c>
      <c r="AD5" s="4">
        <f t="shared" si="24"/>
      </c>
      <c r="AE5" s="4">
        <f t="shared" ref="AE5:AE6" si="30">IF(VLOOKUP(N5,Кабель_обозначение,3,FALSE)=1,AD5&amp;" ("&amp;O5&amp;"х"&amp;V5&amp;")",AD5)</f>
      </c>
      <c r="AF5" s="4">
        <f t="shared" si="25"/>
      </c>
      <c r="AG5" s="4">
        <f t="shared" si="26"/>
        <v/>
      </c>
      <c r="AH5" s="4">
        <f t="shared" si="11"/>
      </c>
      <c r="AI5" s="4">
        <f t="shared" si="27"/>
      </c>
      <c r="AJ5" s="4">
        <f t="shared" si="12"/>
      </c>
      <c r="AK5" s="4">
        <f t="shared" si="28"/>
      </c>
      <c r="AL5" s="4">
        <f t="shared" si="13"/>
      </c>
      <c r="AM5" s="4">
        <f t="shared" si="14"/>
      </c>
      <c r="AN5" s="4"/>
      <c r="AO5" s="4">
        <f t="shared" ref="AO5:AO56" si="31">IF(V5=0,AD5,AE5&amp;"
L="&amp;M5&amp;"-"&amp;AB5&amp;"%")</f>
      </c>
      <c r="AP5" s="4">
        <f t="shared" si="15"/>
      </c>
      <c r="AQ5" s="42">
        <f t="shared" ref="AQ5:AQ56" si="32">IFERROR(RIGHT(AP5,LEN(AP5)-SEARCH(".",AP5)),"")</f>
        <v/>
      </c>
      <c r="AR5" s="4">
        <f t="shared" si="16"/>
      </c>
      <c r="AS5" s="4">
        <f t="shared" si="17"/>
      </c>
      <c r="AT5" s="4">
        <f t="shared" si="29"/>
      </c>
      <c r="AV5"/>
      <c r="AW5"/>
    </row>
    <row r="6" spans="1:51" x14ac:dyDescent="0.3">
      <c r="A6" s="41">
        <f t="shared" si="18"/>
      </c>
      <c r="B6" s="4">
        <f t="shared" si="0"/>
      </c>
      <c r="C6" s="119"/>
      <c r="D6" s="119"/>
      <c r="E6" s="119"/>
      <c r="F6" s="173"/>
      <c r="G6" s="119"/>
      <c r="H6" s="173"/>
      <c r="I6" s="119"/>
      <c r="J6" s="119"/>
      <c r="K6" s="119"/>
      <c r="L6" s="119"/>
      <c r="M6" s="49">
        <f t="shared" si="1"/>
      </c>
      <c r="N6" s="100"/>
      <c r="O6" s="164"/>
      <c r="P6" s="100">
        <f t="shared" si="2"/>
      </c>
      <c r="Q6" s="100"/>
      <c r="R6" s="100"/>
      <c r="S6" s="100"/>
      <c r="T6" s="5">
        <f t="shared" si="3"/>
      </c>
      <c r="U6" s="4">
        <f t="shared" si="19"/>
      </c>
      <c r="V6" s="4">
        <f>IF(VLOOKUP(N6,Кабель_обозначение,3,FALSE)=1,IF(Q6=0,VLOOKUP(U6,Кабель_номиналы,2,TRUE),Q6),0)</f>
      </c>
      <c r="W6" s="4">
        <f t="shared" si="20"/>
      </c>
      <c r="X6" s="4">
        <f t="shared" si="21"/>
      </c>
      <c r="Y6" s="4" cm="1">
        <f t="array" ref="Y6">_xlfn.IFS(H6=1,2,H6=3,1)</f>
      </c>
      <c r="Z6" s="4">
        <f t="shared" si="22"/>
      </c>
      <c r="AA6" s="4">
        <f t="shared" si="7"/>
      </c>
      <c r="AB6" s="4">
        <f t="shared" si="23"/>
      </c>
      <c r="AC6" s="4">
        <f t="shared" si="8"/>
      </c>
      <c r="AD6" s="4">
        <f t="shared" si="24"/>
      </c>
      <c r="AE6" s="4">
        <f t="shared" si="30"/>
      </c>
      <c r="AF6" s="4">
        <f t="shared" si="25"/>
      </c>
      <c r="AG6" s="4">
        <f t="shared" si="26"/>
        <v/>
      </c>
      <c r="AH6" s="4">
        <f t="shared" si="11"/>
      </c>
      <c r="AI6" s="4">
        <f t="shared" si="27"/>
      </c>
      <c r="AJ6" s="4">
        <f t="shared" si="12"/>
      </c>
      <c r="AK6" s="4">
        <f t="shared" si="28"/>
      </c>
      <c r="AL6" s="4">
        <f t="shared" si="13"/>
      </c>
      <c r="AM6" s="4">
        <f t="shared" si="14"/>
      </c>
      <c r="AN6" s="4"/>
      <c r="AO6" s="4">
        <f t="shared" si="31"/>
      </c>
      <c r="AP6" s="4">
        <f t="shared" si="15"/>
      </c>
      <c r="AQ6" s="42">
        <f t="shared" si="32"/>
        <v/>
      </c>
      <c r="AR6" s="4">
        <f t="shared" si="16"/>
      </c>
      <c r="AS6" s="4">
        <f t="shared" si="17"/>
      </c>
      <c r="AT6" s="4">
        <f t="shared" si="29"/>
      </c>
      <c r="AV6"/>
      <c r="AW6"/>
    </row>
    <row r="7" spans="1:51" x14ac:dyDescent="0.3">
      <c r="A7" s="41">
        <f t="shared" ref="A7:A9" si="33">D7</f>
      </c>
      <c r="B7" s="4">
        <f t="shared" si="0"/>
      </c>
      <c r="C7" s="119"/>
      <c r="D7" s="119"/>
      <c r="E7" s="119"/>
      <c r="F7" s="173"/>
      <c r="G7" s="119"/>
      <c r="H7" s="173"/>
      <c r="I7" s="119"/>
      <c r="J7" s="119"/>
      <c r="K7" s="119"/>
      <c r="L7" s="119"/>
      <c r="M7" s="49">
        <f t="shared" si="1"/>
      </c>
      <c r="N7" s="100"/>
      <c r="O7" s="164"/>
      <c r="P7" s="100">
        <f t="shared" si="2"/>
      </c>
      <c r="Q7" s="100"/>
      <c r="R7" s="100"/>
      <c r="S7" s="100"/>
      <c r="T7" s="5">
        <f t="shared" si="3"/>
      </c>
      <c r="U7" s="4">
        <f t="shared" si="4"/>
      </c>
      <c r="V7" s="4">
        <f t="shared" ref="V7:V25" si="34">IF(Q7=0,VLOOKUP(U7,Кабель_номиналы,2,TRUE),Q7)</f>
      </c>
      <c r="W7" s="4">
        <f t="shared" si="5"/>
      </c>
      <c r="X7" s="4">
        <f t="shared" si="6"/>
      </c>
      <c r="Y7" s="4" cm="1">
        <f t="array" ref="Y7">_xlfn.IFS(H7=1,2,H7=3,1)</f>
      </c>
      <c r="Z7" s="4">
        <f>ROUND(SIN(ACOS(P7)),2)</f>
      </c>
      <c r="AA7" s="4">
        <f t="shared" si="7"/>
      </c>
      <c r="AB7" s="4">
        <f>ROUNDUP(AA7/220*100,2)</f>
      </c>
      <c r="AC7" s="4">
        <f t="shared" si="8"/>
      </c>
      <c r="AD7" s="4">
        <f t="shared" si="9"/>
      </c>
      <c r="AE7" s="4">
        <f t="shared" si="10"/>
      </c>
      <c r="AF7" s="4">
        <f t="shared" ref="AF7:AF56" si="35">IFERROR(IF(AB7&gt;4.5,1,2),0)</f>
      </c>
      <c r="AG7" s="4">
        <f t="shared" ref="AG7:AG56" si="36">IFERROR(LEFT(AQ7,SEARCH(".",AQ7)-1),AQ7)</f>
        <v/>
      </c>
      <c r="AH7" s="4">
        <f t="shared" si="11"/>
      </c>
      <c r="AI7" s="4">
        <f>IFERROR(LEFT(AP7,SEARCH(".",AP7)-1),AP7)</f>
      </c>
      <c r="AJ7" s="4">
        <f t="shared" si="12"/>
      </c>
      <c r="AK7" s="4">
        <f t="shared" ref="AK7:AK9" si="37">ROUNDUP(T7,2)</f>
      </c>
      <c r="AL7" s="4">
        <f t="shared" si="13"/>
      </c>
      <c r="AM7" s="4">
        <f t="shared" si="14"/>
      </c>
      <c r="AN7" s="4"/>
      <c r="AO7" s="4">
        <f t="shared" si="31"/>
      </c>
      <c r="AP7" s="4">
        <f t="shared" si="15"/>
      </c>
      <c r="AQ7" s="42">
        <f t="shared" si="32"/>
        <v/>
      </c>
      <c r="AR7" s="4">
        <f t="shared" si="16"/>
      </c>
      <c r="AS7" s="4">
        <f t="shared" si="17"/>
      </c>
      <c r="AT7" s="4">
        <f t="shared" si="29"/>
      </c>
      <c r="AV7"/>
      <c r="AW7"/>
    </row>
    <row r="8" spans="1:51" x14ac:dyDescent="0.3">
      <c r="A8" s="41">
        <f t="shared" si="33"/>
      </c>
      <c r="B8" s="4">
        <f t="shared" si="0"/>
      </c>
      <c r="C8" s="119"/>
      <c r="D8" s="119"/>
      <c r="E8" s="119"/>
      <c r="F8" s="173"/>
      <c r="G8" s="119"/>
      <c r="H8" s="173"/>
      <c r="I8" s="119"/>
      <c r="J8" s="119"/>
      <c r="K8" s="119"/>
      <c r="L8" s="119"/>
      <c r="M8" s="49">
        <f t="shared" si="1"/>
      </c>
      <c r="N8" s="100"/>
      <c r="O8" s="164"/>
      <c r="P8" s="100">
        <f t="shared" si="2"/>
      </c>
      <c r="Q8" s="100"/>
      <c r="R8" s="100"/>
      <c r="S8" s="100"/>
      <c r="T8" s="5">
        <f t="shared" si="3"/>
      </c>
      <c r="U8" s="4">
        <f t="shared" si="4"/>
      </c>
      <c r="V8" s="4">
        <f t="shared" si="34"/>
      </c>
      <c r="W8" s="4">
        <f t="shared" si="5"/>
      </c>
      <c r="X8" s="4">
        <f t="shared" si="6"/>
      </c>
      <c r="Y8" s="4" cm="1">
        <f t="array" ref="Y8">_xlfn.IFS(H8=1,2,H8=3,1)</f>
      </c>
      <c r="Z8" s="4">
        <f>ROUND(SIN(ACOS(P8)),2)</f>
      </c>
      <c r="AA8" s="4">
        <f t="shared" si="7"/>
      </c>
      <c r="AB8" s="4">
        <f>ROUNDUP(AA8/220*100,2)</f>
      </c>
      <c r="AC8" s="4">
        <f t="shared" si="8"/>
      </c>
      <c r="AD8" s="4">
        <f t="shared" si="9"/>
      </c>
      <c r="AE8" s="4">
        <f t="shared" si="10"/>
      </c>
      <c r="AF8" s="4">
        <f t="shared" si="35"/>
      </c>
      <c r="AG8" s="4">
        <f t="shared" si="36"/>
        <v/>
      </c>
      <c r="AH8" s="4">
        <f t="shared" si="11"/>
      </c>
      <c r="AI8" s="4">
        <f t="shared" ref="AI8:AI56" si="38">IFERROR(LEFT(AP8,SEARCH(".",AP8)-1),AP8)</f>
      </c>
      <c r="AJ8" s="4">
        <f t="shared" si="12"/>
      </c>
      <c r="AK8" s="4">
        <f t="shared" si="37"/>
      </c>
      <c r="AL8" s="4">
        <f t="shared" si="13"/>
      </c>
      <c r="AM8" s="4">
        <f t="shared" si="14"/>
      </c>
      <c r="AN8" s="4"/>
      <c r="AO8" s="4">
        <f t="shared" si="31"/>
      </c>
      <c r="AP8" s="4">
        <f t="shared" si="15"/>
      </c>
      <c r="AQ8" s="42">
        <f t="shared" si="32"/>
        <v/>
      </c>
      <c r="AR8" s="4">
        <f t="shared" si="16"/>
      </c>
      <c r="AS8" s="4">
        <f t="shared" si="17"/>
      </c>
      <c r="AT8" s="4">
        <f t="shared" si="29"/>
      </c>
      <c r="AV8"/>
      <c r="AW8"/>
    </row>
    <row r="9" spans="1:51" x14ac:dyDescent="0.3">
      <c r="A9" s="41">
        <f t="shared" si="33"/>
      </c>
      <c r="B9" s="4">
        <f t="shared" si="0"/>
      </c>
      <c r="C9" s="119"/>
      <c r="D9" s="119"/>
      <c r="E9" s="119"/>
      <c r="F9" s="173"/>
      <c r="G9" s="119"/>
      <c r="H9" s="173"/>
      <c r="I9" s="119"/>
      <c r="J9" s="119"/>
      <c r="K9" s="119"/>
      <c r="L9" s="119"/>
      <c r="M9" s="49">
        <f t="shared" si="1"/>
      </c>
      <c r="N9" s="100"/>
      <c r="O9" s="164"/>
      <c r="P9" s="100">
        <f t="shared" si="2"/>
      </c>
      <c r="Q9" s="100"/>
      <c r="R9" s="100"/>
      <c r="S9" s="100"/>
      <c r="T9" s="5">
        <f t="shared" si="3"/>
      </c>
      <c r="U9" s="4">
        <f t="shared" si="4"/>
      </c>
      <c r="V9" s="4">
        <f t="shared" si="34"/>
      </c>
      <c r="W9" s="4">
        <f t="shared" si="5"/>
      </c>
      <c r="X9" s="4">
        <f t="shared" si="6"/>
      </c>
      <c r="Y9" s="4" cm="1">
        <f t="array" ref="Y9">_xlfn.IFS(H9=1,2,H9=3,1)</f>
      </c>
      <c r="Z9" s="4">
        <f t="shared" ref="Z9:Z56" si="39">ROUND(SIN(ACOS(P9)),2)</f>
      </c>
      <c r="AA9" s="4">
        <f t="shared" si="7"/>
      </c>
      <c r="AB9" s="4">
        <f t="shared" ref="AB9:AB56" si="40">ROUNDUP(AA9/220*100,2)</f>
      </c>
      <c r="AC9" s="4">
        <f t="shared" si="8"/>
      </c>
      <c r="AD9" s="4">
        <f t="shared" si="9"/>
      </c>
      <c r="AE9" s="4">
        <f t="shared" si="10"/>
      </c>
      <c r="AF9" s="4">
        <f t="shared" si="35"/>
      </c>
      <c r="AG9" s="4">
        <f t="shared" si="36"/>
        <v/>
      </c>
      <c r="AH9" s="4">
        <f t="shared" si="11"/>
      </c>
      <c r="AI9" s="4">
        <f t="shared" si="38"/>
      </c>
      <c r="AJ9" s="4">
        <f t="shared" si="12"/>
      </c>
      <c r="AK9" s="4">
        <f t="shared" si="37"/>
      </c>
      <c r="AL9" s="4">
        <f t="shared" si="13"/>
      </c>
      <c r="AM9" s="4">
        <f t="shared" si="14"/>
      </c>
      <c r="AN9" s="4"/>
      <c r="AO9" s="4">
        <f t="shared" si="31"/>
      </c>
      <c r="AP9" s="4">
        <f t="shared" si="15"/>
      </c>
      <c r="AQ9" s="42">
        <f t="shared" si="32"/>
        <v/>
      </c>
      <c r="AR9" s="4">
        <f t="shared" si="16"/>
      </c>
      <c r="AS9" s="4">
        <f t="shared" si="17"/>
      </c>
      <c r="AT9" s="4">
        <f t="shared" si="29"/>
      </c>
      <c r="AV9"/>
      <c r="AW9"/>
    </row>
    <row r="10" spans="1:51" x14ac:dyDescent="0.3">
      <c r="A10" s="41">
        <f t="shared" ref="A10:A56" si="41">D10</f>
      </c>
      <c r="B10" s="4">
        <f t="shared" si="0"/>
      </c>
      <c r="C10" s="119"/>
      <c r="D10" s="119"/>
      <c r="E10" s="119"/>
      <c r="F10" s="173"/>
      <c r="G10" s="119"/>
      <c r="H10" s="173"/>
      <c r="I10" s="119"/>
      <c r="J10" s="119"/>
      <c r="K10" s="119"/>
      <c r="L10" s="119"/>
      <c r="M10" s="49">
        <f t="shared" si="1"/>
      </c>
      <c r="N10" s="100"/>
      <c r="O10" s="164"/>
      <c r="P10" s="100">
        <f t="shared" si="2"/>
      </c>
      <c r="Q10" s="100"/>
      <c r="R10" s="100"/>
      <c r="S10" s="100"/>
      <c r="T10" s="5">
        <f t="shared" si="3"/>
      </c>
      <c r="U10" s="4">
        <f t="shared" si="4"/>
      </c>
      <c r="V10" s="4">
        <f t="shared" si="34"/>
      </c>
      <c r="W10" s="4">
        <f t="shared" si="5"/>
      </c>
      <c r="X10" s="4">
        <f t="shared" si="6"/>
      </c>
      <c r="Y10" s="4" cm="1">
        <f t="array" ref="Y10">_xlfn.IFS(H10=1,2,H10=3,1)</f>
      </c>
      <c r="Z10" s="4">
        <f t="shared" si="39"/>
      </c>
      <c r="AA10" s="4">
        <f t="shared" si="7"/>
      </c>
      <c r="AB10" s="4">
        <f t="shared" si="40"/>
      </c>
      <c r="AC10" s="4">
        <f t="shared" si="8"/>
      </c>
      <c r="AD10" s="4">
        <f t="shared" si="9"/>
      </c>
      <c r="AE10" s="4">
        <f t="shared" si="10"/>
      </c>
      <c r="AF10" s="4">
        <f t="shared" si="35"/>
      </c>
      <c r="AG10" s="4">
        <f t="shared" si="36"/>
        <v/>
      </c>
      <c r="AH10" s="4">
        <f t="shared" si="11"/>
      </c>
      <c r="AI10" s="4">
        <f t="shared" si="38"/>
      </c>
      <c r="AJ10" s="4">
        <f t="shared" si="12"/>
      </c>
      <c r="AK10" s="4">
        <f t="shared" ref="AK10:AK56" si="42">ROUNDUP(T10,2)</f>
      </c>
      <c r="AL10" s="4">
        <f t="shared" si="13"/>
      </c>
      <c r="AM10" s="4">
        <f t="shared" si="14"/>
      </c>
      <c r="AN10" s="4"/>
      <c r="AO10" s="4">
        <f t="shared" si="31"/>
      </c>
      <c r="AP10" s="4">
        <f t="shared" si="15"/>
      </c>
      <c r="AQ10" s="42">
        <f t="shared" si="32"/>
        <v/>
      </c>
      <c r="AR10" s="4">
        <f t="shared" si="16"/>
      </c>
      <c r="AS10" s="4">
        <f t="shared" si="17"/>
      </c>
      <c r="AT10" s="4">
        <f t="shared" si="29"/>
      </c>
      <c r="AV10"/>
      <c r="AW10"/>
    </row>
    <row r="11" spans="1:51" x14ac:dyDescent="0.3">
      <c r="A11" s="41">
        <f t="shared" si="41"/>
      </c>
      <c r="B11" s="4">
        <f t="shared" si="0"/>
      </c>
      <c r="C11" s="119"/>
      <c r="D11" s="119"/>
      <c r="E11" s="119"/>
      <c r="F11" s="173"/>
      <c r="G11" s="119"/>
      <c r="H11" s="173"/>
      <c r="I11" s="119"/>
      <c r="J11" s="119"/>
      <c r="K11" s="119"/>
      <c r="L11" s="119"/>
      <c r="M11" s="49">
        <f t="shared" si="1"/>
      </c>
      <c r="N11" s="100"/>
      <c r="O11" s="164"/>
      <c r="P11" s="100">
        <f t="shared" si="2"/>
      </c>
      <c r="Q11" s="100"/>
      <c r="R11" s="100"/>
      <c r="S11" s="100"/>
      <c r="T11" s="5">
        <f t="shared" si="3"/>
      </c>
      <c r="U11" s="4">
        <f t="shared" si="4"/>
      </c>
      <c r="V11" s="4">
        <f t="shared" si="34"/>
      </c>
      <c r="W11" s="4">
        <f t="shared" si="5"/>
      </c>
      <c r="X11" s="4">
        <f t="shared" si="6"/>
      </c>
      <c r="Y11" s="4" cm="1">
        <f t="array" ref="Y11">_xlfn.IFS(H11=1,2,H11=3,1)</f>
      </c>
      <c r="Z11" s="4">
        <f t="shared" si="39"/>
      </c>
      <c r="AA11" s="4">
        <f t="shared" si="7"/>
      </c>
      <c r="AB11" s="4">
        <f t="shared" si="40"/>
      </c>
      <c r="AC11" s="4">
        <f t="shared" si="8"/>
      </c>
      <c r="AD11" s="4">
        <f t="shared" si="9"/>
      </c>
      <c r="AE11" s="4">
        <f t="shared" si="10"/>
      </c>
      <c r="AF11" s="4">
        <f t="shared" si="35"/>
      </c>
      <c r="AG11" s="4">
        <f t="shared" si="36"/>
        <v/>
      </c>
      <c r="AH11" s="4">
        <f t="shared" si="11"/>
      </c>
      <c r="AI11" s="4">
        <f t="shared" si="38"/>
      </c>
      <c r="AJ11" s="4">
        <f t="shared" si="12"/>
      </c>
      <c r="AK11" s="4">
        <f t="shared" si="42"/>
      </c>
      <c r="AL11" s="4">
        <f t="shared" si="13"/>
      </c>
      <c r="AM11" s="4">
        <f t="shared" si="14"/>
      </c>
      <c r="AN11" s="4"/>
      <c r="AO11" s="4">
        <f t="shared" si="31"/>
      </c>
      <c r="AP11" s="4">
        <f t="shared" si="15"/>
      </c>
      <c r="AQ11" s="42">
        <f t="shared" si="32"/>
        <v/>
      </c>
      <c r="AR11" s="4">
        <f t="shared" si="16"/>
      </c>
      <c r="AS11" s="4">
        <f t="shared" si="17"/>
      </c>
      <c r="AT11" s="4">
        <f t="shared" ref="AT11:AT56" si="43">IF(AR11=0,AS11,AR11)</f>
      </c>
      <c r="AV11"/>
      <c r="AW11"/>
    </row>
    <row r="12" spans="1:51" x14ac:dyDescent="0.3">
      <c r="A12" s="41">
        <f t="shared" si="41"/>
      </c>
      <c r="B12" s="4">
        <f t="shared" si="0"/>
      </c>
      <c r="C12" s="119"/>
      <c r="D12" s="119"/>
      <c r="E12" s="119"/>
      <c r="F12" s="173"/>
      <c r="G12" s="119"/>
      <c r="H12" s="173"/>
      <c r="I12" s="119"/>
      <c r="J12" s="119"/>
      <c r="K12" s="119"/>
      <c r="L12" s="119"/>
      <c r="M12" s="49">
        <f t="shared" si="1"/>
      </c>
      <c r="N12" s="100"/>
      <c r="O12" s="164"/>
      <c r="P12" s="100">
        <f t="shared" si="2"/>
      </c>
      <c r="Q12" s="100"/>
      <c r="R12" s="100"/>
      <c r="S12" s="100"/>
      <c r="T12" s="5">
        <f t="shared" si="3"/>
      </c>
      <c r="U12" s="4">
        <f t="shared" si="4"/>
      </c>
      <c r="V12" s="4">
        <f t="shared" si="34"/>
      </c>
      <c r="W12" s="4">
        <f t="shared" si="5"/>
      </c>
      <c r="X12" s="4">
        <f t="shared" si="6"/>
      </c>
      <c r="Y12" s="4" cm="1">
        <f t="array" ref="Y12">_xlfn.IFS(H12=1,2,H12=3,1)</f>
      </c>
      <c r="Z12" s="4">
        <f t="shared" si="39"/>
      </c>
      <c r="AA12" s="4">
        <f t="shared" si="7"/>
      </c>
      <c r="AB12" s="4">
        <f t="shared" si="40"/>
      </c>
      <c r="AC12" s="4">
        <f t="shared" si="8"/>
      </c>
      <c r="AD12" s="4">
        <f t="shared" si="9"/>
      </c>
      <c r="AE12" s="4">
        <f t="shared" si="10"/>
      </c>
      <c r="AF12" s="4">
        <f t="shared" si="35"/>
      </c>
      <c r="AG12" s="4">
        <f t="shared" si="36"/>
        <v/>
      </c>
      <c r="AH12" s="4">
        <f t="shared" si="11"/>
      </c>
      <c r="AI12" s="4">
        <f t="shared" si="38"/>
      </c>
      <c r="AJ12" s="4">
        <f t="shared" si="12"/>
      </c>
      <c r="AK12" s="4">
        <f t="shared" si="42"/>
      </c>
      <c r="AL12" s="4">
        <f t="shared" si="13"/>
      </c>
      <c r="AM12" s="4">
        <f t="shared" si="14"/>
      </c>
      <c r="AN12" s="4"/>
      <c r="AO12" s="4">
        <f t="shared" si="31"/>
      </c>
      <c r="AP12" s="4">
        <f t="shared" si="15"/>
      </c>
      <c r="AQ12" s="42">
        <f t="shared" si="32"/>
        <v/>
      </c>
      <c r="AR12" s="4">
        <f t="shared" si="16"/>
      </c>
      <c r="AS12" s="4">
        <f t="shared" si="17"/>
      </c>
      <c r="AT12" s="4">
        <f t="shared" si="43"/>
      </c>
      <c r="AV12"/>
      <c r="AW12"/>
    </row>
    <row r="13" spans="1:51" x14ac:dyDescent="0.3">
      <c r="A13" s="41">
        <f t="shared" si="41"/>
      </c>
      <c r="B13" s="4">
        <f t="shared" si="0"/>
      </c>
      <c r="C13" s="119"/>
      <c r="D13" s="119"/>
      <c r="E13" s="119"/>
      <c r="F13" s="173"/>
      <c r="G13" s="119"/>
      <c r="H13" s="173"/>
      <c r="I13" s="119"/>
      <c r="J13" s="119"/>
      <c r="K13" s="119"/>
      <c r="L13" s="119"/>
      <c r="M13" s="49">
        <f t="shared" si="1"/>
      </c>
      <c r="N13" s="100"/>
      <c r="O13" s="164"/>
      <c r="P13" s="100">
        <f t="shared" si="2"/>
      </c>
      <c r="Q13" s="100"/>
      <c r="R13" s="100"/>
      <c r="S13" s="100"/>
      <c r="T13" s="5">
        <f t="shared" si="3"/>
      </c>
      <c r="U13" s="4">
        <f t="shared" si="4"/>
      </c>
      <c r="V13" s="4">
        <f t="shared" si="34"/>
      </c>
      <c r="W13" s="4">
        <f t="shared" si="5"/>
      </c>
      <c r="X13" s="4">
        <f t="shared" si="6"/>
      </c>
      <c r="Y13" s="4" cm="1">
        <f t="array" ref="Y13">_xlfn.IFS(H13=1,2,H13=3,1)</f>
      </c>
      <c r="Z13" s="4">
        <f t="shared" si="39"/>
      </c>
      <c r="AA13" s="4">
        <f t="shared" si="7"/>
      </c>
      <c r="AB13" s="4">
        <f t="shared" si="40"/>
      </c>
      <c r="AC13" s="4">
        <f t="shared" si="8"/>
      </c>
      <c r="AD13" s="4">
        <f t="shared" si="9"/>
      </c>
      <c r="AE13" s="4">
        <f t="shared" si="10"/>
      </c>
      <c r="AF13" s="4">
        <f t="shared" si="35"/>
      </c>
      <c r="AG13" s="4">
        <f t="shared" si="36"/>
        <v/>
      </c>
      <c r="AH13" s="4">
        <f t="shared" si="11"/>
      </c>
      <c r="AI13" s="4">
        <f t="shared" si="38"/>
      </c>
      <c r="AJ13" s="4">
        <f t="shared" si="12"/>
      </c>
      <c r="AK13" s="4">
        <f t="shared" si="42"/>
      </c>
      <c r="AL13" s="4">
        <f t="shared" si="13"/>
      </c>
      <c r="AM13" s="4">
        <f t="shared" si="14"/>
      </c>
      <c r="AN13" s="4"/>
      <c r="AO13" s="4">
        <f t="shared" si="31"/>
      </c>
      <c r="AP13" s="4">
        <f t="shared" si="15"/>
      </c>
      <c r="AQ13" s="42">
        <f t="shared" si="32"/>
        <v/>
      </c>
      <c r="AR13" s="4">
        <f t="shared" si="16"/>
      </c>
      <c r="AS13" s="4">
        <f t="shared" si="17"/>
      </c>
      <c r="AT13" s="4">
        <f t="shared" si="43"/>
      </c>
      <c r="AV13"/>
      <c r="AW13"/>
    </row>
    <row r="14" spans="1:51" x14ac:dyDescent="0.3">
      <c r="A14" s="41">
        <f t="shared" si="41"/>
      </c>
      <c r="B14" s="4">
        <f t="shared" si="0"/>
      </c>
      <c r="C14" s="119"/>
      <c r="D14" s="119"/>
      <c r="E14" s="119"/>
      <c r="F14" s="173"/>
      <c r="G14" s="119"/>
      <c r="H14" s="173"/>
      <c r="I14" s="119"/>
      <c r="J14" s="119"/>
      <c r="K14" s="119"/>
      <c r="L14" s="119"/>
      <c r="M14" s="49">
        <f t="shared" si="1"/>
      </c>
      <c r="N14" s="100"/>
      <c r="O14" s="164"/>
      <c r="P14" s="100">
        <f t="shared" si="2"/>
      </c>
      <c r="Q14" s="100"/>
      <c r="R14" s="100"/>
      <c r="S14" s="100"/>
      <c r="T14" s="5">
        <f t="shared" si="3"/>
      </c>
      <c r="U14" s="4">
        <f t="shared" si="4"/>
      </c>
      <c r="V14" s="4">
        <f t="shared" si="34"/>
      </c>
      <c r="W14" s="4">
        <f t="shared" si="5"/>
      </c>
      <c r="X14" s="4">
        <f t="shared" si="6"/>
      </c>
      <c r="Y14" s="4" cm="1">
        <f t="array" ref="Y14">_xlfn.IFS(H14=1,2,H14=3,1)</f>
      </c>
      <c r="Z14" s="4">
        <f t="shared" si="39"/>
      </c>
      <c r="AA14" s="4">
        <f t="shared" si="7"/>
      </c>
      <c r="AB14" s="4">
        <f t="shared" si="40"/>
      </c>
      <c r="AC14" s="4">
        <f t="shared" si="8"/>
      </c>
      <c r="AD14" s="4">
        <f t="shared" si="9"/>
      </c>
      <c r="AE14" s="4">
        <f t="shared" si="10"/>
      </c>
      <c r="AF14" s="4">
        <f t="shared" si="35"/>
      </c>
      <c r="AG14" s="4">
        <f t="shared" si="36"/>
        <v/>
      </c>
      <c r="AH14" s="4">
        <f t="shared" si="11"/>
      </c>
      <c r="AI14" s="4">
        <f t="shared" si="38"/>
      </c>
      <c r="AJ14" s="4">
        <f t="shared" si="12"/>
      </c>
      <c r="AK14" s="4">
        <f t="shared" si="42"/>
      </c>
      <c r="AL14" s="4">
        <f t="shared" si="13"/>
      </c>
      <c r="AM14" s="4">
        <f t="shared" si="14"/>
      </c>
      <c r="AN14" s="4"/>
      <c r="AO14" s="4">
        <f t="shared" si="31"/>
      </c>
      <c r="AP14" s="4">
        <f t="shared" si="15"/>
      </c>
      <c r="AQ14" s="42">
        <f t="shared" si="32"/>
        <v/>
      </c>
      <c r="AR14" s="4">
        <f t="shared" si="16"/>
      </c>
      <c r="AS14" s="4">
        <f t="shared" si="17"/>
      </c>
      <c r="AT14" s="4">
        <f t="shared" si="43"/>
      </c>
      <c r="AV14"/>
      <c r="AW14"/>
    </row>
    <row r="15" spans="1:51" x14ac:dyDescent="0.3">
      <c r="A15" s="41">
        <f t="shared" si="41"/>
      </c>
      <c r="B15" s="4">
        <f t="shared" si="0"/>
      </c>
      <c r="C15" s="119"/>
      <c r="D15" s="119"/>
      <c r="E15" s="119"/>
      <c r="F15" s="173"/>
      <c r="G15" s="119"/>
      <c r="H15" s="173"/>
      <c r="I15" s="119"/>
      <c r="J15" s="119"/>
      <c r="K15" s="119"/>
      <c r="L15" s="119"/>
      <c r="M15" s="49">
        <f t="shared" si="1"/>
      </c>
      <c r="N15" s="100"/>
      <c r="O15" s="164"/>
      <c r="P15" s="100">
        <f t="shared" si="2"/>
      </c>
      <c r="Q15" s="100"/>
      <c r="R15" s="100"/>
      <c r="S15" s="100"/>
      <c r="T15" s="5">
        <f t="shared" si="3"/>
      </c>
      <c r="U15" s="4">
        <f t="shared" si="4"/>
      </c>
      <c r="V15" s="4">
        <f t="shared" si="34"/>
      </c>
      <c r="W15" s="4">
        <f t="shared" si="5"/>
      </c>
      <c r="X15" s="4">
        <f t="shared" si="6"/>
      </c>
      <c r="Y15" s="4" cm="1">
        <f t="array" ref="Y15">_xlfn.IFS(H15=1,2,H15=3,1)</f>
      </c>
      <c r="Z15" s="4">
        <f t="shared" si="39"/>
      </c>
      <c r="AA15" s="4">
        <f t="shared" si="7"/>
      </c>
      <c r="AB15" s="4">
        <f t="shared" si="40"/>
      </c>
      <c r="AC15" s="4">
        <f t="shared" si="8"/>
      </c>
      <c r="AD15" s="4">
        <f t="shared" si="9"/>
      </c>
      <c r="AE15" s="4">
        <f t="shared" si="10"/>
      </c>
      <c r="AF15" s="4">
        <f t="shared" si="35"/>
      </c>
      <c r="AG15" s="4">
        <f t="shared" si="36"/>
        <v/>
      </c>
      <c r="AH15" s="4">
        <f t="shared" si="11"/>
      </c>
      <c r="AI15" s="4">
        <f t="shared" si="38"/>
      </c>
      <c r="AJ15" s="4">
        <f t="shared" si="12"/>
      </c>
      <c r="AK15" s="4">
        <f t="shared" si="42"/>
      </c>
      <c r="AL15" s="4">
        <f t="shared" si="13"/>
      </c>
      <c r="AM15" s="4">
        <f t="shared" si="14"/>
      </c>
      <c r="AN15" s="4"/>
      <c r="AO15" s="4">
        <f t="shared" si="31"/>
      </c>
      <c r="AP15" s="4">
        <f t="shared" si="15"/>
      </c>
      <c r="AQ15" s="42">
        <f t="shared" si="32"/>
        <v/>
      </c>
      <c r="AR15" s="4">
        <f t="shared" si="16"/>
      </c>
      <c r="AS15" s="4">
        <f t="shared" si="17"/>
      </c>
      <c r="AT15" s="4">
        <f t="shared" si="43"/>
      </c>
      <c r="AV15"/>
      <c r="AW15"/>
    </row>
    <row r="16" spans="1:51" x14ac:dyDescent="0.3">
      <c r="A16" s="41">
        <f t="shared" si="41"/>
      </c>
      <c r="B16" s="4">
        <f t="shared" si="0"/>
      </c>
      <c r="C16" s="119"/>
      <c r="D16" s="119"/>
      <c r="E16" s="119"/>
      <c r="F16" s="173"/>
      <c r="G16" s="119"/>
      <c r="H16" s="173"/>
      <c r="I16" s="119"/>
      <c r="J16" s="119"/>
      <c r="K16" s="119"/>
      <c r="L16" s="119"/>
      <c r="M16" s="49">
        <f t="shared" si="1"/>
      </c>
      <c r="N16" s="100"/>
      <c r="O16" s="164"/>
      <c r="P16" s="100">
        <f t="shared" si="2"/>
      </c>
      <c r="Q16" s="100"/>
      <c r="R16" s="100"/>
      <c r="S16" s="100"/>
      <c r="T16" s="5">
        <f t="shared" si="3"/>
      </c>
      <c r="U16" s="4">
        <f t="shared" si="4"/>
      </c>
      <c r="V16" s="4">
        <f t="shared" si="34"/>
      </c>
      <c r="W16" s="4">
        <f t="shared" si="5"/>
      </c>
      <c r="X16" s="4">
        <f t="shared" si="6"/>
      </c>
      <c r="Y16" s="4" cm="1">
        <f t="array" ref="Y16">_xlfn.IFS(H16=1,2,H16=3,1)</f>
      </c>
      <c r="Z16" s="4">
        <f t="shared" si="39"/>
      </c>
      <c r="AA16" s="4">
        <f t="shared" si="7"/>
      </c>
      <c r="AB16" s="4">
        <f t="shared" si="40"/>
      </c>
      <c r="AC16" s="4">
        <f t="shared" si="8"/>
      </c>
      <c r="AD16" s="4">
        <f t="shared" si="9"/>
      </c>
      <c r="AE16" s="4">
        <f t="shared" si="10"/>
      </c>
      <c r="AF16" s="4">
        <f t="shared" si="35"/>
      </c>
      <c r="AG16" s="4">
        <f t="shared" si="36"/>
        <v/>
      </c>
      <c r="AH16" s="4">
        <f t="shared" si="11"/>
      </c>
      <c r="AI16" s="4">
        <f t="shared" si="38"/>
      </c>
      <c r="AJ16" s="4">
        <f t="shared" si="12"/>
      </c>
      <c r="AK16" s="4">
        <f t="shared" si="42"/>
      </c>
      <c r="AL16" s="4">
        <f t="shared" si="13"/>
      </c>
      <c r="AM16" s="4">
        <f t="shared" si="14"/>
      </c>
      <c r="AN16" s="4"/>
      <c r="AO16" s="4">
        <f t="shared" si="31"/>
      </c>
      <c r="AP16" s="4">
        <f t="shared" si="15"/>
      </c>
      <c r="AQ16" s="42">
        <f t="shared" si="32"/>
        <v/>
      </c>
      <c r="AR16" s="4">
        <f t="shared" si="16"/>
      </c>
      <c r="AS16" s="4">
        <f t="shared" si="17"/>
      </c>
      <c r="AT16" s="4">
        <f t="shared" si="43"/>
      </c>
      <c r="AV16"/>
      <c r="AW16"/>
    </row>
    <row r="17" spans="1:51" x14ac:dyDescent="0.3">
      <c r="A17" s="41">
        <f t="shared" si="41"/>
      </c>
      <c r="B17" s="4">
        <f t="shared" si="0"/>
      </c>
      <c r="C17" s="119"/>
      <c r="D17" s="119"/>
      <c r="E17" s="119"/>
      <c r="F17" s="173"/>
      <c r="G17" s="119"/>
      <c r="H17" s="173"/>
      <c r="I17" s="119"/>
      <c r="J17" s="119"/>
      <c r="K17" s="119"/>
      <c r="L17" s="119"/>
      <c r="M17" s="49">
        <f t="shared" si="1"/>
      </c>
      <c r="N17" s="100"/>
      <c r="O17" s="164"/>
      <c r="P17" s="100">
        <f t="shared" si="2"/>
      </c>
      <c r="Q17" s="100"/>
      <c r="R17" s="100"/>
      <c r="S17" s="100"/>
      <c r="T17" s="5">
        <f t="shared" si="3"/>
      </c>
      <c r="U17" s="4">
        <f t="shared" si="4"/>
      </c>
      <c r="V17" s="4">
        <f t="shared" si="34"/>
      </c>
      <c r="W17" s="4">
        <f t="shared" si="5"/>
      </c>
      <c r="X17" s="4">
        <f t="shared" si="6"/>
      </c>
      <c r="Y17" s="4" cm="1">
        <f t="array" ref="Y17">_xlfn.IFS(H17=1,2,H17=3,1)</f>
      </c>
      <c r="Z17" s="4">
        <f t="shared" si="39"/>
      </c>
      <c r="AA17" s="4">
        <f t="shared" si="7"/>
      </c>
      <c r="AB17" s="4">
        <f t="shared" si="40"/>
      </c>
      <c r="AC17" s="4">
        <f t="shared" si="8"/>
      </c>
      <c r="AD17" s="4">
        <f t="shared" si="9"/>
      </c>
      <c r="AE17" s="4">
        <f t="shared" si="10"/>
      </c>
      <c r="AF17" s="4">
        <f t="shared" si="35"/>
      </c>
      <c r="AG17" s="4">
        <f t="shared" si="36"/>
        <v/>
      </c>
      <c r="AH17" s="4">
        <f t="shared" si="11"/>
      </c>
      <c r="AI17" s="4">
        <f t="shared" si="38"/>
      </c>
      <c r="AJ17" s="4">
        <f t="shared" si="12"/>
      </c>
      <c r="AK17" s="4">
        <f t="shared" si="42"/>
      </c>
      <c r="AL17" s="4">
        <f t="shared" si="13"/>
      </c>
      <c r="AM17" s="4">
        <f t="shared" si="14"/>
      </c>
      <c r="AN17" s="4"/>
      <c r="AO17" s="4">
        <f t="shared" si="31"/>
      </c>
      <c r="AP17" s="4">
        <f t="shared" si="15"/>
      </c>
      <c r="AQ17" s="42">
        <f t="shared" si="32"/>
        <v/>
      </c>
      <c r="AR17" s="4">
        <f t="shared" si="16"/>
      </c>
      <c r="AS17" s="4">
        <f t="shared" si="17"/>
      </c>
      <c r="AT17" s="4">
        <f t="shared" si="43"/>
      </c>
      <c r="AV17"/>
      <c r="AW17"/>
    </row>
    <row r="18" spans="1:51" x14ac:dyDescent="0.3">
      <c r="A18" s="41">
        <f t="shared" si="41"/>
      </c>
      <c r="B18" s="4">
        <f t="shared" si="0"/>
      </c>
      <c r="C18" s="119"/>
      <c r="D18" s="119"/>
      <c r="E18" s="119"/>
      <c r="F18" s="173"/>
      <c r="G18" s="119"/>
      <c r="H18" s="173"/>
      <c r="I18" s="119"/>
      <c r="J18" s="119"/>
      <c r="K18" s="119"/>
      <c r="L18" s="119"/>
      <c r="M18" s="49">
        <f t="shared" si="1"/>
      </c>
      <c r="N18" s="100"/>
      <c r="O18" s="164"/>
      <c r="P18" s="100">
        <f t="shared" si="2"/>
      </c>
      <c r="Q18" s="100"/>
      <c r="R18" s="100"/>
      <c r="S18" s="100"/>
      <c r="T18" s="5">
        <f t="shared" si="3"/>
      </c>
      <c r="U18" s="4">
        <f t="shared" si="4"/>
      </c>
      <c r="V18" s="4">
        <f t="shared" si="34"/>
      </c>
      <c r="W18" s="4">
        <f t="shared" si="5"/>
      </c>
      <c r="X18" s="4">
        <f t="shared" si="6"/>
      </c>
      <c r="Y18" s="4" cm="1">
        <f t="array" ref="Y18">_xlfn.IFS(H18=1,2,H18=3,1)</f>
      </c>
      <c r="Z18" s="4">
        <f t="shared" si="39"/>
      </c>
      <c r="AA18" s="4">
        <f t="shared" si="7"/>
      </c>
      <c r="AB18" s="4">
        <f t="shared" si="40"/>
      </c>
      <c r="AC18" s="4">
        <f t="shared" si="8"/>
      </c>
      <c r="AD18" s="4">
        <f t="shared" si="9"/>
      </c>
      <c r="AE18" s="4">
        <f t="shared" si="10"/>
      </c>
      <c r="AF18" s="4">
        <f t="shared" si="35"/>
      </c>
      <c r="AG18" s="4">
        <f t="shared" si="36"/>
        <v/>
      </c>
      <c r="AH18" s="4">
        <f t="shared" si="11"/>
      </c>
      <c r="AI18" s="4">
        <f t="shared" si="38"/>
      </c>
      <c r="AJ18" s="4">
        <f t="shared" si="12"/>
      </c>
      <c r="AK18" s="4">
        <f t="shared" si="42"/>
      </c>
      <c r="AL18" s="4">
        <f t="shared" si="13"/>
      </c>
      <c r="AM18" s="4">
        <f t="shared" si="14"/>
      </c>
      <c r="AN18" s="4"/>
      <c r="AO18" s="4">
        <f t="shared" si="31"/>
      </c>
      <c r="AP18" s="4">
        <f t="shared" si="15"/>
      </c>
      <c r="AQ18" s="42">
        <f t="shared" si="32"/>
        <v/>
      </c>
      <c r="AR18" s="4">
        <f t="shared" si="16"/>
      </c>
      <c r="AS18" s="4">
        <f t="shared" si="17"/>
      </c>
      <c r="AT18" s="4">
        <f t="shared" si="43"/>
      </c>
      <c r="AV18"/>
      <c r="AW18"/>
    </row>
    <row r="19" spans="1:51" ht="15" thickBot="1" x14ac:dyDescent="0.35">
      <c r="A19" s="43">
        <f t="shared" si="41"/>
      </c>
      <c r="B19" s="44">
        <f t="shared" si="0"/>
      </c>
      <c r="C19" s="175"/>
      <c r="D19" s="175"/>
      <c r="E19" s="105"/>
      <c r="F19" s="173"/>
      <c r="G19" s="173"/>
      <c r="H19" s="173"/>
      <c r="I19" s="105"/>
      <c r="J19" s="105"/>
      <c r="K19" s="176"/>
      <c r="L19" s="176"/>
      <c r="M19" s="49">
        <f t="shared" si="1"/>
      </c>
      <c r="N19" s="100"/>
      <c r="O19" s="164"/>
      <c r="P19" s="100">
        <f t="shared" si="2"/>
      </c>
      <c r="Q19" s="165"/>
      <c r="R19" s="100"/>
      <c r="S19" s="164"/>
      <c r="T19" s="45">
        <f t="shared" si="3"/>
      </c>
      <c r="U19" s="44">
        <f t="shared" si="4"/>
      </c>
      <c r="V19" s="44">
        <f t="shared" si="34"/>
      </c>
      <c r="W19" s="44">
        <f t="shared" si="5"/>
      </c>
      <c r="X19" s="44">
        <f t="shared" si="6"/>
      </c>
      <c r="Y19" s="44" cm="1">
        <f t="array" ref="Y19">_xlfn.IFS(H19=1,2,H19=3,1)</f>
      </c>
      <c r="Z19" s="44">
        <f t="shared" si="39"/>
      </c>
      <c r="AA19" s="44">
        <f t="shared" si="7"/>
      </c>
      <c r="AB19" s="44">
        <f t="shared" si="40"/>
      </c>
      <c r="AC19" s="44">
        <f t="shared" si="8"/>
      </c>
      <c r="AD19" s="44">
        <f t="shared" si="9"/>
      </c>
      <c r="AE19" s="44">
        <f t="shared" si="10"/>
      </c>
      <c r="AF19" s="44">
        <f t="shared" si="35"/>
      </c>
      <c r="AG19" s="44">
        <f t="shared" si="36"/>
        <v/>
      </c>
      <c r="AH19" s="44">
        <f t="shared" si="11"/>
      </c>
      <c r="AI19" s="44">
        <f t="shared" si="38"/>
      </c>
      <c r="AJ19" s="44">
        <f t="shared" si="12"/>
      </c>
      <c r="AK19" s="44">
        <f t="shared" si="42"/>
      </c>
      <c r="AL19" s="44">
        <f t="shared" si="13"/>
      </c>
      <c r="AM19" s="44">
        <f t="shared" si="14"/>
      </c>
      <c r="AN19" s="44"/>
      <c r="AO19" s="4">
        <f t="shared" si="31"/>
      </c>
      <c r="AP19" s="44">
        <f t="shared" si="15"/>
      </c>
      <c r="AQ19" s="46">
        <f t="shared" si="32"/>
        <v/>
      </c>
      <c r="AR19" s="44">
        <f t="shared" si="16"/>
      </c>
      <c r="AS19" s="44">
        <f t="shared" si="17"/>
      </c>
      <c r="AT19" s="44">
        <f t="shared" si="43"/>
      </c>
      <c r="AV19"/>
      <c r="AW19"/>
    </row>
    <row r="20" spans="1:51" x14ac:dyDescent="0.3">
      <c r="A20" s="37">
        <f t="shared" si="41"/>
      </c>
      <c r="B20" s="38">
        <f t="shared" si="0"/>
      </c>
      <c r="C20" s="172"/>
      <c r="D20" s="172"/>
      <c r="E20" s="105"/>
      <c r="F20" s="173"/>
      <c r="G20" s="173"/>
      <c r="H20" s="173"/>
      <c r="I20" s="174"/>
      <c r="J20" s="174"/>
      <c r="K20" s="174"/>
      <c r="L20" s="174"/>
      <c r="M20" s="49">
        <f t="shared" si="1"/>
      </c>
      <c r="N20" s="100"/>
      <c r="O20" s="164"/>
      <c r="P20" s="100">
        <f t="shared" si="2"/>
      </c>
      <c r="Q20" s="165"/>
      <c r="R20" s="100"/>
      <c r="S20" s="164"/>
      <c r="T20" s="39">
        <f t="shared" si="3"/>
      </c>
      <c r="U20" s="38">
        <f t="shared" si="4"/>
      </c>
      <c r="V20" s="38">
        <f t="shared" si="34"/>
      </c>
      <c r="W20" s="38">
        <f t="shared" si="5"/>
      </c>
      <c r="X20" s="38">
        <f t="shared" si="6"/>
      </c>
      <c r="Y20" s="38" cm="1">
        <f t="array" ref="Y20">_xlfn.IFS(H20=1,2,H20=3,1)</f>
      </c>
      <c r="Z20" s="38">
        <f t="shared" si="39"/>
      </c>
      <c r="AA20" s="38">
        <f t="shared" si="7"/>
      </c>
      <c r="AB20" s="38">
        <f t="shared" si="40"/>
      </c>
      <c r="AC20" s="38">
        <f t="shared" si="8"/>
      </c>
      <c r="AD20" s="38">
        <f t="shared" si="9"/>
      </c>
      <c r="AE20" s="38">
        <f t="shared" si="10"/>
      </c>
      <c r="AF20" s="38">
        <f t="shared" si="35"/>
      </c>
      <c r="AG20" s="38">
        <f t="shared" si="36"/>
        <v/>
      </c>
      <c r="AH20" s="38">
        <f t="shared" si="11"/>
      </c>
      <c r="AI20" s="38">
        <f t="shared" si="38"/>
      </c>
      <c r="AJ20" s="38">
        <f t="shared" si="12"/>
      </c>
      <c r="AK20" s="38">
        <f t="shared" si="42"/>
      </c>
      <c r="AL20" s="38">
        <f t="shared" si="13"/>
      </c>
      <c r="AM20" s="38">
        <f t="shared" si="14"/>
      </c>
      <c r="AN20" s="38"/>
      <c r="AO20" s="4">
        <f t="shared" si="31"/>
      </c>
      <c r="AP20" s="38">
        <f t="shared" si="15"/>
      </c>
      <c r="AQ20" s="40">
        <f t="shared" si="32"/>
        <v/>
      </c>
      <c r="AR20" s="38">
        <f t="shared" si="16"/>
      </c>
      <c r="AS20" s="38">
        <f t="shared" si="17"/>
      </c>
      <c r="AT20" s="38">
        <f t="shared" si="43"/>
      </c>
      <c r="AV20"/>
      <c r="AW20"/>
    </row>
    <row r="21" spans="1:51" x14ac:dyDescent="0.3">
      <c r="A21" s="41">
        <f>D21</f>
      </c>
      <c r="B21" s="4">
        <f>IFERROR(IF(VLOOKUP(AH21,Потребители_обозначение,4,FALSE)=1,VLOOKUP(AH21,Потребители_обозначение,2,FALSE)&amp;" "&amp;VLOOKUP(AI21,Этаж_обозначение,2,FALSE)&amp;" Пом. №"&amp;AG21,VLOOKUP(AH21,Потребители_обозначение,2,FALSE)&amp;" Шлейф №"&amp;AI21),VLOOKUP(D21,Потребители_обозначение,2,FALSE))</f>
      </c>
      <c r="C21" s="119"/>
      <c r="D21" s="119"/>
      <c r="E21" s="119">
        <f>0.06*G21</f>
      </c>
      <c r="F21" s="173">
        <f>IF(D21="","",IFERROR(IF(VLOOKUP(AH21,Потребители_обозначение,8,FALSE)=0,"",VLOOKUP(AH21,Потребители_обозначение,8,FALSE)),""))</f>
      </c>
      <c r="G21" s="119"/>
      <c r="H21" s="173">
        <f>IF(D21="","",IFERROR(IF(VLOOKUP(AH21,Потребители_обозначение,9,FALSE)=0,"",VLOOKUP(AH21,Потребители_обозначение,9,FALSE)),""))</f>
      </c>
      <c r="I21" s="119">
        <f t="shared" ref="I21:I35" si="44">IF(COUNT(AU21,AV21)=0,"",ROUNDUP(SUM(AU21,AV21),0))</f>
      </c>
      <c r="J21" s="119"/>
      <c r="K21" s="119">
        <f t="shared" ref="K21:K35" si="45">IF(OR(I21="",S21=""),"",IF(S21=1,MAX(0,M21-ROUNDUP(N(AV21),0)-4),ROUNDUP(N(AU21),0)))</f>
      </c>
      <c r="L21" s="119">
        <f t="shared" ref="L21:L35" si="46">IF(OR(I21="",S21=""),"",IF(S21=2,MAX(0,M21-ROUNDUP(N(AU21),0)-4),ROUNDUP(N(AV21),0)))</f>
      </c>
      <c r="M21" s="49">
        <f>IFERROR(IF(VLOOKUP(AH21,Потребители_обозначение,4,FALSE)=1,VLOOKUP(AH21,Потребители_обозначение,3,FALSE)*(G21*2-1)+I21+VLOOKUP(AI21,Этаж_обозначение,3,FALSE)+VLOOKUP(AI21,Этаж_обозначение,4,FALSE),VLOOKUP(AH21,Потребители_обозначение,3,FALSE)*(G21*2-1)+I21),I21)</f>
      </c>
      <c r="N21" s="100">
        <f t="shared" ref="N21:N35" si="47">IF(D21="","",IFERROR(IF(VLOOKUP(AH21,Потребители_обозначение,6,FALSE)=0,"",VLOOKUP(AH21,Потребители_обозначение,6,FALSE)),""))</f>
      </c>
      <c r="O21" s="164">
        <f>IF(D21="","",IFERROR(IF(VLOOKUP(AH21,Потребители_обозначение,7,FALSE)=0,"",VLOOKUP(AH21,Потребители_обозначение,7,FALSE)),""))</f>
      </c>
      <c r="P21" s="100">
        <f>IF(VLOOKUP(AH21,Потребители_обозначение,5,FALSE)=2,_xlfn.IFS(H21=3,VLOOKUP(E21,Справочная_двигатели,8,FALSE),H21=1,VLOOKUP(E21,Справочная_двигатели,10,TRUE)),0.95)</f>
      </c>
      <c r="Q21" s="100">
        <f t="shared" ref="Q21:Q35" si="48">IF(D21="","",IFERROR(IF(VLOOKUP(AH21,Потребители_обозначение,10,FALSE)=0,"",VLOOKUP(AH21,Потребители_обозначение,10,FALSE)),""))</f>
      </c>
      <c r="R21" s="100"/>
      <c r="S21" s="100"/>
      <c r="T21" s="5">
        <f>_xlfn.IFS(H21=1,E21*1000/220,H21=3,E21/0.38/1.732)</f>
      </c>
      <c r="U21" s="4">
        <f>IF(R21=0,VLOOKUP(T21,Автомат_номиналы,2,TRUE),R21)</f>
      </c>
      <c r="V21" s="4">
        <f>IF(Q21=0,VLOOKUP(U21,Кабель_номиналы,2,TRUE),Q21)</f>
      </c>
      <c r="W21" s="4">
        <f>VLOOKUP(V21,Кабель_сопротивление,3,FALSE)</f>
      </c>
      <c r="X21" s="4">
        <f>VLOOKUP(V21,Кабель_сопротивление,2,FALSE)</f>
      </c>
      <c r="Y21" s="4">
        <f>_xlfn.IFS(H21=1,2,H21=3,1)</f>
      </c>
      <c r="Z21" s="4">
        <f>ROUND(SIN(ACOS(P21)),2)</f>
      </c>
      <c r="AA21" s="4">
        <f>Y21*(W21*I21/V21+X21*I21*Z21/1000)*T21</f>
      </c>
      <c r="AB21" s="4">
        <f>ROUNDUP(AA21/220*100,2)</f>
      </c>
      <c r="AC21" s="4">
        <f>_xlfn.IFS(H21=3,380,H21=1,220)</f>
      </c>
      <c r="AD21" s="4">
        <f>VLOOKUP(N21,Кабель_обозначение,2,FALSE)</f>
      </c>
      <c r="AE21" s="4">
        <f>IF(VLOOKUP(N21,Кабель_обозначение,3,FALSE)=1,AD21&amp;" ("&amp;O21&amp;"х"&amp;V21&amp;")",AD21)</f>
      </c>
      <c r="AF21" s="4">
        <f>IFERROR(IF(AB21&gt;4.5,1,2),0)</f>
      </c>
      <c r="AG21" s="4">
        <f>IFERROR(LEFT(AQ21,SEARCH(".",AQ21)-1),AQ21)</f>
      </c>
      <c r="AH21" s="4">
        <f>IFERROR(LEFT(A21,SEARCH(".",A21)-1),A21)</f>
      </c>
      <c r="AI21" s="4">
        <f>IFERROR(LEFT(AP21,SEARCH(".",AP21)-1),AP21)</f>
      </c>
      <c r="AJ21" s="4">
        <f>IF(C21=0,B21,C21)</f>
      </c>
      <c r="AK21" s="162">
        <f>ROUNDUP(T21,2)</f>
      </c>
      <c r="AL21" s="4">
        <f>E21</f>
      </c>
      <c r="AM21" s="4">
        <f>D21</f>
      </c>
      <c r="AN21" s="4"/>
      <c r="AO21" s="4">
        <f>IF(V21=0,AD21,AE21&amp;"
L="&amp;M21&amp;"-"&amp;AB21&amp;"%")</f>
      </c>
      <c r="AP21" s="4">
        <f>RIGHT(A21,LEN(A21)-SEARCH(".",A21))</f>
      </c>
      <c r="AQ21" s="42">
        <f>IFERROR(RIGHT(AP21,LEN(AP21)-SEARCH(".",AP21)),"")</f>
      </c>
      <c r="AR21" s="4">
        <f>IFERROR(IF(VLOOKUP(AH21,Потребители_обозначение,5,FALSE)=2,_xlfn.IFS(H21=3,VLOOKUP(E21,Справочная_двигатели,3,FALSE),H21=1,VLOOKUP(E21,Справочная_двигатели,5,TRUE)),0),0)</f>
      </c>
      <c r="AS21" s="4">
        <f>IFERROR(IF(VLOOKUP(AH21,Потребители_обозначение,5,FALSE)=3,VLOOKUP(E21,Справочная_ЛЭД,2,TRUE),0),0)</f>
      </c>
      <c r="AT21" s="4">
        <f>IF(AR21=0,AS21,AR21)</f>
      </c>
      <c r="AV21"/>
      <c r="AW21"/>
      <c r="AY21"/>
    </row>
    <row r="22" spans="1:51" x14ac:dyDescent="0.3">
      <c r="A22" s="41">
        <f>D22</f>
      </c>
      <c r="B22" s="4">
        <f>IFERROR(IF(VLOOKUP(AH22,Потребители_обозначение,4,FALSE)=1,VLOOKUP(AH22,Потребители_обозначение,2,FALSE)&amp;" "&amp;VLOOKUP(AI22,Этаж_обозначение,2,FALSE)&amp;" Пом. №"&amp;AG22,VLOOKUP(AH22,Потребители_обозначение,2,FALSE)&amp;" Шлейф №"&amp;AI22),VLOOKUP(D22,Потребители_обозначение,2,FALSE))</f>
      </c>
      <c r="C22" s="119"/>
      <c r="D22" s="119"/>
      <c r="E22" s="119">
        <f t="shared" ref="E22:E51" si="49">0.06*G22</f>
      </c>
      <c r="F22" s="173">
        <f>IF(D22="","",IFERROR(IF(VLOOKUP(AH22,Потребители_обозначение,8,FALSE)=0,"",VLOOKUP(AH22,Потребители_обозначение,8,FALSE)),""))</f>
      </c>
      <c r="G22" s="119"/>
      <c r="H22" s="173">
        <f>IF(D22="","",IFERROR(IF(VLOOKUP(AH22,Потребители_обозначение,9,FALSE)=0,"",VLOOKUP(AH22,Потребители_обозначение,9,FALSE)),""))</f>
      </c>
      <c r="I22" s="119">
        <f t="shared" si="44"/>
      </c>
      <c r="J22" s="119"/>
      <c r="K22" s="119">
        <f t="shared" si="45"/>
      </c>
      <c r="L22" s="119">
        <f t="shared" si="46"/>
      </c>
      <c r="M22" s="49">
        <f>IFERROR(IF(VLOOKUP(AH22,Потребители_обозначение,4,FALSE)=1,VLOOKUP(AH22,Потребители_обозначение,3,FALSE)*(G22*2-1)+I22+VLOOKUP(AI22,Этаж_обозначение,3,FALSE)+VLOOKUP(AI22,Этаж_обозначение,4,FALSE),VLOOKUP(AH22,Потребители_обозначение,3,FALSE)*(G22*2-1)+I22),I22)</f>
      </c>
      <c r="N22" s="100">
        <f t="shared" si="47"/>
      </c>
      <c r="O22" s="164">
        <f>IF(D22="","",IFERROR(IF(VLOOKUP(AH22,Потребители_обозначение,7,FALSE)=0,"",VLOOKUP(AH22,Потребители_обозначение,7,FALSE)),""))</f>
      </c>
      <c r="P22" s="100">
        <f>IF(VLOOKUP(AH22,Потребители_обозначение,5,FALSE)=2,_xlfn.IFS(H22=3,VLOOKUP(E22,Справочная_двигатели,8,FALSE),H22=1,VLOOKUP(E22,Справочная_двигатели,10,TRUE)),0.95)</f>
      </c>
      <c r="Q22" s="100">
        <f t="shared" si="48"/>
      </c>
      <c r="R22" s="100"/>
      <c r="S22" s="100"/>
      <c r="T22" s="5">
        <f>_xlfn.IFS(H22=1,E22*1000/220,H22=3,E22/0.38/1.732)</f>
      </c>
      <c r="U22" s="4">
        <f>IF(R22=0,VLOOKUP(T22,Автомат_номиналы,2,TRUE),R22)</f>
      </c>
      <c r="V22" s="4">
        <f>IF(Q22=0,VLOOKUP(U22,Кабель_номиналы,2,TRUE),Q22)</f>
      </c>
      <c r="W22" s="4">
        <f>VLOOKUP(V22,Кабель_сопротивление,3,FALSE)</f>
      </c>
      <c r="X22" s="4">
        <f>VLOOKUP(V22,Кабель_сопротивление,2,FALSE)</f>
      </c>
      <c r="Y22" s="4">
        <f>_xlfn.IFS(H22=1,2,H22=3,1)</f>
      </c>
      <c r="Z22" s="4">
        <f>ROUND(SIN(ACOS(P22)),2)</f>
      </c>
      <c r="AA22" s="4">
        <f>Y22*(W22*I22/V22+X22*I22*Z22/1000)*T22</f>
      </c>
      <c r="AB22" s="4">
        <f>ROUNDUP(AA22/220*100,2)</f>
      </c>
      <c r="AC22" s="4">
        <f>_xlfn.IFS(H22=3,380,H22=1,220)</f>
      </c>
      <c r="AD22" s="4">
        <f>VLOOKUP(N22,Кабель_обозначение,2,FALSE)</f>
      </c>
      <c r="AE22" s="4">
        <f>IF(VLOOKUP(N22,Кабель_обозначение,3,FALSE)=1,AD22&amp;" ("&amp;O22&amp;"х"&amp;V22&amp;")",AD22)</f>
      </c>
      <c r="AF22" s="4">
        <f>IFERROR(IF(AB22&gt;4.5,1,2),0)</f>
      </c>
      <c r="AG22" s="4">
        <f>IFERROR(LEFT(AQ22,SEARCH(".",AQ22)-1),AQ22)</f>
      </c>
      <c r="AH22" s="4">
        <f>IFERROR(LEFT(A22,SEARCH(".",A22)-1),A22)</f>
      </c>
      <c r="AI22" s="4">
        <f>IFERROR(LEFT(AP22,SEARCH(".",AP22)-1),AP22)</f>
      </c>
      <c r="AJ22" s="4">
        <f>IF(C22=0,B22,C22)</f>
      </c>
      <c r="AK22" s="162">
        <f>ROUNDUP(T22,2)</f>
      </c>
      <c r="AL22" s="4">
        <f>E22</f>
      </c>
      <c r="AM22" s="4">
        <f>D22</f>
      </c>
      <c r="AN22" s="4"/>
      <c r="AO22" s="4">
        <f>IF(V22=0,AD22,AE22&amp;"
L="&amp;M22&amp;"-"&amp;AB22&amp;"%")</f>
      </c>
      <c r="AP22" s="4">
        <f>RIGHT(A22,LEN(A22)-SEARCH(".",A22))</f>
      </c>
      <c r="AQ22" s="42">
        <f>IFERROR(RIGHT(AP22,LEN(AP22)-SEARCH(".",AP22)),"")</f>
      </c>
      <c r="AR22" s="4">
        <f>IFERROR(IF(VLOOKUP(AH22,Потребители_обозначение,5,FALSE)=2,_xlfn.IFS(H22=3,VLOOKUP(E22,Справочная_двигатели,3,FALSE),H22=1,VLOOKUP(E22,Справочная_двигатели,5,TRUE)),0),0)</f>
      </c>
      <c r="AS22" s="4">
        <f>IFERROR(IF(VLOOKUP(AH22,Потребители_обозначение,5,FALSE)=3,VLOOKUP(E22,Справочная_ЛЭД,2,TRUE),0),0)</f>
      </c>
      <c r="AT22" s="4">
        <f>IF(AR22=0,AS22,AR22)</f>
      </c>
      <c r="AV22"/>
      <c r="AW22"/>
      <c r="AY22"/>
    </row>
    <row r="23" spans="1:51" x14ac:dyDescent="0.3">
      <c r="A23" s="41">
        <f>D23</f>
      </c>
      <c r="B23" s="4">
        <f>IFERROR(IF(VLOOKUP(AH23,Потребители_обозначение,4,FALSE)=1,VLOOKUP(AH23,Потребители_обозначение,2,FALSE)&amp;" "&amp;VLOOKUP(AI23,Этаж_обозначение,2,FALSE)&amp;" Пом. №"&amp;AG23,VLOOKUP(AH23,Потребители_обозначение,2,FALSE)&amp;" Шлейф №"&amp;AI23),VLOOKUP(D23,Потребители_обозначение,2,FALSE))</f>
      </c>
      <c r="C23" s="119"/>
      <c r="D23" s="119"/>
      <c r="E23" s="119">
        <f t="shared" si="49"/>
      </c>
      <c r="F23" s="173">
        <f>IF(D23="","",IFERROR(IF(VLOOKUP(AH23,Потребители_обозначение,8,FALSE)=0,"",VLOOKUP(AH23,Потребители_обозначение,8,FALSE)),""))</f>
      </c>
      <c r="G23" s="119"/>
      <c r="H23" s="173">
        <f>IF(D23="","",IFERROR(IF(VLOOKUP(AH23,Потребители_обозначение,9,FALSE)=0,"",VLOOKUP(AH23,Потребители_обозначение,9,FALSE)),""))</f>
      </c>
      <c r="I23" s="119">
        <f t="shared" si="44"/>
      </c>
      <c r="J23" s="119"/>
      <c r="K23" s="119">
        <f t="shared" si="45"/>
      </c>
      <c r="L23" s="119">
        <f t="shared" si="46"/>
      </c>
      <c r="M23" s="49">
        <f>IFERROR(IF(VLOOKUP(AH23,Потребители_обозначение,4,FALSE)=1,VLOOKUP(AH23,Потребители_обозначение,3,FALSE)*(G23*2-1)+I23+VLOOKUP(AI23,Этаж_обозначение,3,FALSE)+VLOOKUP(AI23,Этаж_обозначение,4,FALSE),VLOOKUP(AH23,Потребители_обозначение,3,FALSE)*(G23*2-1)+I23),I23)</f>
      </c>
      <c r="N23" s="100">
        <f t="shared" si="47"/>
      </c>
      <c r="O23" s="164">
        <f>IF(D23="","",IFERROR(IF(VLOOKUP(AH23,Потребители_обозначение,7,FALSE)=0,"",VLOOKUP(AH23,Потребители_обозначение,7,FALSE)),""))</f>
      </c>
      <c r="P23" s="100">
        <f>IF(VLOOKUP(AH23,Потребители_обозначение,5,FALSE)=2,_xlfn.IFS(H23=3,VLOOKUP(E23,Справочная_двигатели,8,FALSE),H23=1,VLOOKUP(E23,Справочная_двигатели,10,TRUE)),0.95)</f>
      </c>
      <c r="Q23" s="100">
        <f t="shared" si="48"/>
      </c>
      <c r="R23" s="100"/>
      <c r="S23" s="100"/>
      <c r="T23" s="5">
        <f>_xlfn.IFS(H23=1,E23*1000/220,H23=3,E23/0.38/1.732)</f>
      </c>
      <c r="U23" s="4">
        <f>IF(R23=0,VLOOKUP(T23,Автомат_номиналы,2,TRUE),R23)</f>
      </c>
      <c r="V23" s="4">
        <f>IF(Q23=0,VLOOKUP(U23,Кабель_номиналы,2,TRUE),Q23)</f>
      </c>
      <c r="W23" s="4">
        <f>VLOOKUP(V23,Кабель_сопротивление,3,FALSE)</f>
      </c>
      <c r="X23" s="4">
        <f>VLOOKUP(V23,Кабель_сопротивление,2,FALSE)</f>
      </c>
      <c r="Y23" s="4">
        <f>_xlfn.IFS(H23=1,2,H23=3,1)</f>
      </c>
      <c r="Z23" s="4">
        <f>ROUND(SIN(ACOS(P23)),2)</f>
      </c>
      <c r="AA23" s="4">
        <f>Y23*(W23*I23/V23+X23*I23*Z23/1000)*T23</f>
      </c>
      <c r="AB23" s="4">
        <f>ROUNDUP(AA23/220*100,2)</f>
      </c>
      <c r="AC23" s="4">
        <f>_xlfn.IFS(H23=3,380,H23=1,220)</f>
      </c>
      <c r="AD23" s="4">
        <f>VLOOKUP(N23,Кабель_обозначение,2,FALSE)</f>
      </c>
      <c r="AE23" s="4">
        <f>IF(VLOOKUP(N23,Кабель_обозначение,3,FALSE)=1,AD23&amp;" ("&amp;O23&amp;"х"&amp;V23&amp;")",AD23)</f>
      </c>
      <c r="AF23" s="4">
        <f>IFERROR(IF(AB23&gt;4.5,1,2),0)</f>
      </c>
      <c r="AG23" s="4">
        <f>IFERROR(LEFT(AQ23,SEARCH(".",AQ23)-1),AQ23)</f>
      </c>
      <c r="AH23" s="4">
        <f>IFERROR(LEFT(A23,SEARCH(".",A23)-1),A23)</f>
      </c>
      <c r="AI23" s="4">
        <f>IFERROR(LEFT(AP23,SEARCH(".",AP23)-1),AP23)</f>
      </c>
      <c r="AJ23" s="4">
        <f>IF(C23=0,B23,C23)</f>
      </c>
      <c r="AK23" s="162">
        <f>ROUNDUP(T23,2)</f>
      </c>
      <c r="AL23" s="4">
        <f>E23</f>
      </c>
      <c r="AM23" s="4">
        <f>D23</f>
      </c>
      <c r="AN23" s="4"/>
      <c r="AO23" s="4">
        <f>IF(V23=0,AD23,AE23&amp;"
L="&amp;M23&amp;"-"&amp;AB23&amp;"%")</f>
      </c>
      <c r="AP23" s="4">
        <f>RIGHT(A23,LEN(A23)-SEARCH(".",A23))</f>
      </c>
      <c r="AQ23" s="42">
        <f>IFERROR(RIGHT(AP23,LEN(AP23)-SEARCH(".",AP23)),"")</f>
      </c>
      <c r="AR23" s="4">
        <f>IFERROR(IF(VLOOKUP(AH23,Потребители_обозначение,5,FALSE)=2,_xlfn.IFS(H23=3,VLOOKUP(E23,Справочная_двигатели,3,FALSE),H23=1,VLOOKUP(E23,Справочная_двигатели,5,TRUE)),0),0)</f>
      </c>
      <c r="AS23" s="4">
        <f>IFERROR(IF(VLOOKUP(AH23,Потребители_обозначение,5,FALSE)=3,VLOOKUP(E23,Справочная_ЛЭД,2,TRUE),0),0)</f>
      </c>
      <c r="AT23" s="4">
        <f>IF(AR23=0,AS23,AR23)</f>
      </c>
      <c r="AV23"/>
      <c r="AW23"/>
      <c r="AY23"/>
    </row>
    <row r="24" spans="1:51" x14ac:dyDescent="0.3">
      <c r="A24" s="41">
        <f>D24</f>
      </c>
      <c r="B24" s="4">
        <f>IFERROR(IF(VLOOKUP(AH24,Потребители_обозначение,4,FALSE)=1,VLOOKUP(AH24,Потребители_обозначение,2,FALSE)&amp;" "&amp;VLOOKUP(AI24,Этаж_обозначение,2,FALSE)&amp;" Пом. №"&amp;AG24,VLOOKUP(AH24,Потребители_обозначение,2,FALSE)&amp;" Шлейф №"&amp;AI24),VLOOKUP(D24,Потребители_обозначение,2,FALSE))</f>
      </c>
      <c r="C24" s="119"/>
      <c r="D24" s="119"/>
      <c r="E24" s="119">
        <f t="shared" si="49"/>
      </c>
      <c r="F24" s="173">
        <f>IF(D24="","",IFERROR(IF(VLOOKUP(AH24,Потребители_обозначение,8,FALSE)=0,"",VLOOKUP(AH24,Потребители_обозначение,8,FALSE)),""))</f>
      </c>
      <c r="G24" s="119"/>
      <c r="H24" s="173">
        <f>IF(D24="","",IFERROR(IF(VLOOKUP(AH24,Потребители_обозначение,9,FALSE)=0,"",VLOOKUP(AH24,Потребители_обозначение,9,FALSE)),""))</f>
      </c>
      <c r="I24" s="119">
        <f t="shared" si="44"/>
      </c>
      <c r="J24" s="119"/>
      <c r="K24" s="119">
        <f t="shared" si="45"/>
      </c>
      <c r="L24" s="119">
        <f t="shared" si="46"/>
      </c>
      <c r="M24" s="49">
        <f>IFERROR(IF(VLOOKUP(AH24,Потребители_обозначение,4,FALSE)=1,VLOOKUP(AH24,Потребители_обозначение,3,FALSE)*(G24*2-1)+I24+VLOOKUP(AI24,Этаж_обозначение,3,FALSE)+VLOOKUP(AI24,Этаж_обозначение,4,FALSE),VLOOKUP(AH24,Потребители_обозначение,3,FALSE)*(G24*2-1)+I24),I24)</f>
      </c>
      <c r="N24" s="100">
        <f t="shared" si="47"/>
      </c>
      <c r="O24" s="164">
        <f>IF(D24="","",IFERROR(IF(VLOOKUP(AH24,Потребители_обозначение,7,FALSE)=0,"",VLOOKUP(AH24,Потребители_обозначение,7,FALSE)),""))</f>
      </c>
      <c r="P24" s="100">
        <f>IF(VLOOKUP(AH24,Потребители_обозначение,5,FALSE)=2,_xlfn.IFS(H24=3,VLOOKUP(E24,Справочная_двигатели,8,FALSE),H24=1,VLOOKUP(E24,Справочная_двигатели,10,TRUE)),0.95)</f>
      </c>
      <c r="Q24" s="100">
        <f t="shared" si="48"/>
      </c>
      <c r="R24" s="100"/>
      <c r="S24" s="100"/>
      <c r="T24" s="5">
        <f>_xlfn.IFS(H24=1,E24*1000/220,H24=3,E24/0.38/1.732)</f>
      </c>
      <c r="U24" s="4">
        <f>IF(R24=0,VLOOKUP(T24,Автомат_номиналы,2,TRUE),R24)</f>
      </c>
      <c r="V24" s="4">
        <f>IF(Q24=0,VLOOKUP(U24,Кабель_номиналы,2,TRUE),Q24)</f>
      </c>
      <c r="W24" s="4">
        <f>VLOOKUP(V24,Кабель_сопротивление,3,FALSE)</f>
      </c>
      <c r="X24" s="4">
        <f>VLOOKUP(V24,Кабель_сопротивление,2,FALSE)</f>
      </c>
      <c r="Y24" s="4">
        <f>_xlfn.IFS(H24=1,2,H24=3,1)</f>
      </c>
      <c r="Z24" s="4">
        <f>ROUND(SIN(ACOS(P24)),2)</f>
      </c>
      <c r="AA24" s="4">
        <f>Y24*(W24*I24/V24+X24*I24*Z24/1000)*T24</f>
      </c>
      <c r="AB24" s="4">
        <f>ROUNDUP(AA24/220*100,2)</f>
      </c>
      <c r="AC24" s="4">
        <f>_xlfn.IFS(H24=3,380,H24=1,220)</f>
      </c>
      <c r="AD24" s="4">
        <f>VLOOKUP(N24,Кабель_обозначение,2,FALSE)</f>
      </c>
      <c r="AE24" s="4">
        <f>IF(VLOOKUP(N24,Кабель_обозначение,3,FALSE)=1,AD24&amp;" ("&amp;O24&amp;"х"&amp;V24&amp;")",AD24)</f>
      </c>
      <c r="AF24" s="4">
        <f>IFERROR(IF(AB24&gt;4.5,1,2),0)</f>
      </c>
      <c r="AG24" s="4">
        <f>IFERROR(LEFT(AQ24,SEARCH(".",AQ24)-1),AQ24)</f>
      </c>
      <c r="AH24" s="4">
        <f>IFERROR(LEFT(A24,SEARCH(".",A24)-1),A24)</f>
      </c>
      <c r="AI24" s="4">
        <f>IFERROR(LEFT(AP24,SEARCH(".",AP24)-1),AP24)</f>
      </c>
      <c r="AJ24" s="4">
        <f>IF(C24=0,B24,C24)</f>
      </c>
      <c r="AK24" s="162">
        <f>ROUNDUP(T24,2)</f>
      </c>
      <c r="AL24" s="4">
        <f>E24</f>
      </c>
      <c r="AM24" s="4">
        <f>D24</f>
      </c>
      <c r="AN24" s="4"/>
      <c r="AO24" s="4">
        <f>IF(V24=0,AD24,AE24&amp;"
L="&amp;M24&amp;"-"&amp;AB24&amp;"%")</f>
      </c>
      <c r="AP24" s="4">
        <f>RIGHT(A24,LEN(A24)-SEARCH(".",A24))</f>
      </c>
      <c r="AQ24" s="42">
        <f>IFERROR(RIGHT(AP24,LEN(AP24)-SEARCH(".",AP24)),"")</f>
      </c>
      <c r="AR24" s="4">
        <f>IFERROR(IF(VLOOKUP(AH24,Потребители_обозначение,5,FALSE)=2,_xlfn.IFS(H24=3,VLOOKUP(E24,Справочная_двигатели,3,FALSE),H24=1,VLOOKUP(E24,Справочная_двигатели,5,TRUE)),0),0)</f>
      </c>
      <c r="AS24" s="4">
        <f>IFERROR(IF(VLOOKUP(AH24,Потребители_обозначение,5,FALSE)=3,VLOOKUP(E24,Справочная_ЛЭД,2,TRUE),0),0)</f>
      </c>
      <c r="AT24" s="4">
        <f>IF(AR24=0,AS24,AR24)</f>
      </c>
      <c r="AV24"/>
      <c r="AW24"/>
      <c r="AY24"/>
    </row>
    <row r="25" spans="1:51" x14ac:dyDescent="0.3">
      <c r="A25" s="41">
        <f t="shared" si="41"/>
      </c>
      <c r="B25" s="4">
        <f t="shared" si="0"/>
      </c>
      <c r="C25" s="119"/>
      <c r="D25" s="119"/>
      <c r="E25" s="119">
        <f t="shared" si="49"/>
      </c>
      <c r="F25" s="173">
        <f>IF(D25="","",IFERROR(IF(VLOOKUP(AH25,Потребители_обозначение,8,FALSE)=0,"",VLOOKUP(AH25,Потребители_обозначение,8,FALSE)),""))</f>
      </c>
      <c r="G25" s="119"/>
      <c r="H25" s="173">
        <f>IF(D25="","",IFERROR(IF(VLOOKUP(AH25,Потребители_обозначение,9,FALSE)=0,"",VLOOKUP(AH25,Потребители_обозначение,9,FALSE)),""))</f>
      </c>
      <c r="I25" s="119">
        <f t="shared" si="44"/>
      </c>
      <c r="J25" s="119"/>
      <c r="K25" s="119">
        <f t="shared" si="45"/>
      </c>
      <c r="L25" s="119">
        <f t="shared" si="46"/>
      </c>
      <c r="M25" s="49">
        <f t="shared" si="1"/>
      </c>
      <c r="N25" s="100">
        <f t="shared" si="47"/>
      </c>
      <c r="O25" s="164">
        <f>IF(D25="","",IFERROR(IF(VLOOKUP(AH25,Потребители_обозначение,7,FALSE)=0,"",VLOOKUP(AH25,Потребители_обозначение,7,FALSE)),""))</f>
      </c>
      <c r="P25" s="100">
        <f t="shared" si="2"/>
      </c>
      <c r="Q25" s="100">
        <f t="shared" si="48"/>
      </c>
      <c r="R25" s="100"/>
      <c r="S25" s="100"/>
      <c r="T25" s="5">
        <f t="shared" si="3"/>
      </c>
      <c r="U25" s="4">
        <f t="shared" si="4"/>
      </c>
      <c r="V25" s="4">
        <f t="shared" si="34"/>
      </c>
      <c r="W25" s="4">
        <f t="shared" si="5"/>
      </c>
      <c r="X25" s="4">
        <f t="shared" si="6"/>
      </c>
      <c r="Y25" s="4" cm="1">
        <f t="array" ref="Y25">_xlfn.IFS(H25=1,2,H25=3,1)</f>
      </c>
      <c r="Z25" s="4">
        <f t="shared" si="39"/>
      </c>
      <c r="AA25" s="4">
        <f t="shared" si="7"/>
      </c>
      <c r="AB25" s="4">
        <f t="shared" si="40"/>
      </c>
      <c r="AC25" s="4">
        <f t="shared" si="8"/>
      </c>
      <c r="AD25" s="4">
        <f t="shared" si="9"/>
      </c>
      <c r="AE25" s="4">
        <f t="shared" si="10"/>
      </c>
      <c r="AF25" s="4">
        <f t="shared" si="35"/>
      </c>
      <c r="AG25" s="4">
        <f t="shared" si="36"/>
      </c>
      <c r="AH25" s="4">
        <f t="shared" si="11"/>
      </c>
      <c r="AI25" s="4">
        <f t="shared" si="38"/>
      </c>
      <c r="AJ25" s="4">
        <f t="shared" si="12"/>
      </c>
      <c r="AK25" s="4">
        <f t="shared" si="42"/>
      </c>
      <c r="AL25" s="4">
        <f t="shared" si="13"/>
      </c>
      <c r="AM25" s="4">
        <f t="shared" si="14"/>
      </c>
      <c r="AN25" s="4"/>
      <c r="AO25" s="4">
        <f t="shared" si="31"/>
      </c>
      <c r="AP25" s="4">
        <f t="shared" si="15"/>
      </c>
      <c r="AQ25" s="42">
        <f t="shared" si="32"/>
      </c>
      <c r="AR25" s="4">
        <f t="shared" si="16"/>
      </c>
      <c r="AS25" s="4">
        <f t="shared" si="17"/>
      </c>
      <c r="AT25" s="4">
        <f t="shared" si="43"/>
      </c>
      <c r="AV25"/>
      <c r="AW25"/>
      <c r="AY25"/>
    </row>
    <row r="26" spans="1:51" x14ac:dyDescent="0.3">
      <c r="A26" s="41">
        <f t="shared" ref="A26:A55" si="50">D26</f>
      </c>
      <c r="B26" s="4">
        <f t="shared" ref="B26:B55" si="51">IFERROR(IF(VLOOKUP(AH26,Потребители_обозначение,4,FALSE)=1,VLOOKUP(AH26,Потребители_обозначение,2,FALSE)&amp;" "&amp;VLOOKUP(AI26,Этаж_обозначение,2,FALSE)&amp;" Пом. №"&amp;AG26,VLOOKUP(AH26,Потребители_обозначение,2,FALSE)&amp;" Шлейф №"&amp;AI26),VLOOKUP(D26,Потребители_обозначение,2,FALSE))</f>
      </c>
      <c r="C26" s="119"/>
      <c r="D26" s="119"/>
      <c r="E26" s="119">
        <f t="shared" si="49"/>
      </c>
      <c r="F26" s="173"/>
      <c r="G26" s="119"/>
      <c r="H26" s="173"/>
      <c r="I26" s="119">
        <f t="shared" si="44"/>
      </c>
      <c r="J26" s="119"/>
      <c r="K26" s="119">
        <f t="shared" si="45"/>
      </c>
      <c r="L26" s="119">
        <f t="shared" si="46"/>
      </c>
      <c r="M26" s="49">
        <f t="shared" ref="M26:M55" si="52">IFERROR(IF(VLOOKUP(AH26,Потребители_обозначение,4,FALSE)=1,VLOOKUP(AH26,Потребители_обозначение,3,FALSE)*(G26*2-1)+I26+VLOOKUP(AI26,Этаж_обозначение,3,FALSE)+VLOOKUP(AI26,Этаж_обозначение,4,FALSE),VLOOKUP(AH26,Потребители_обозначение,3,FALSE)*(G26*2-1)+I26),I26)</f>
      </c>
      <c r="N26" s="100">
        <f t="shared" si="47"/>
      </c>
      <c r="O26" s="164"/>
      <c r="P26" s="100">
        <f t="shared" ref="P26:P55" si="53">IF(VLOOKUP(AH26,Потребители_обозначение,5,FALSE)=2,_xlfn.IFS(H26=3,VLOOKUP(E26,Справочная_двигатели,8,FALSE),H26=1,VLOOKUP(E26,Справочная_двигатели,10,TRUE)),0.95)</f>
      </c>
      <c r="Q26" s="100">
        <f t="shared" si="48"/>
      </c>
      <c r="R26" s="100"/>
      <c r="S26" s="100"/>
      <c r="T26" s="5">
        <f t="shared" ref="T26:T55" si="54">_xlfn.IFS(H26=1,E26*1000/220,H26=3,E26/0.38/1.732)</f>
      </c>
      <c r="U26" s="4">
        <f t="shared" ref="U26:U55" si="55">IF(R26=0,VLOOKUP(T26,Автомат_номиналы,2,TRUE),R26)</f>
      </c>
      <c r="V26" s="4">
        <f t="shared" ref="V26:V55" si="56">IF(Q26=0,VLOOKUP(U26,Кабель_номиналы,2,TRUE),Q26)</f>
      </c>
      <c r="W26" s="4">
        <f t="shared" ref="W26:W55" si="57">VLOOKUP(V26,Кабель_сопротивление,3,FALSE)</f>
      </c>
      <c r="X26" s="4">
        <f t="shared" ref="X26:X55" si="58">VLOOKUP(V26,Кабель_сопротивление,2,FALSE)</f>
      </c>
      <c r="Y26" s="4">
        <f t="shared" ref="Y26:Y55" si="59">_xlfn.IFS(H26=1,2,H26=3,1)</f>
      </c>
      <c r="Z26" s="4">
        <f t="shared" ref="Z26:Z55" si="60">ROUND(SIN(ACOS(P26)),2)</f>
      </c>
      <c r="AA26" s="4">
        <f t="shared" ref="AA26:AA55" si="61">Y26*(W26*I26/V26+X26*I26*Z26/1000)*T26</f>
      </c>
      <c r="AB26" s="4">
        <f t="shared" ref="AB26:AB55" si="62">ROUNDUP(AA26/220*100,2)</f>
      </c>
      <c r="AC26" s="4">
        <f t="shared" ref="AC26:AC55" si="63">_xlfn.IFS(H26=3,380,H26=1,220)</f>
      </c>
      <c r="AD26" s="4">
        <f t="shared" ref="AD26:AD55" si="64">VLOOKUP(N26,Кабель_обозначение,2,FALSE)</f>
      </c>
      <c r="AE26" s="4">
        <f t="shared" ref="AE26:AE55" si="65">IF(VLOOKUP(N26,Кабель_обозначение,3,FALSE)=1,AD26&amp;" ("&amp;O26&amp;"х"&amp;V26&amp;")",AD26)</f>
      </c>
      <c r="AF26" s="4">
        <f t="shared" ref="AF26:AF55" si="66">IFERROR(IF(AB26&gt;4.5,1,2),0)</f>
      </c>
      <c r="AG26" s="4">
        <f t="shared" ref="AG26:AG55" si="67">IFERROR(LEFT(AQ26,SEARCH(".",AQ26)-1),AQ26)</f>
      </c>
      <c r="AH26" s="4">
        <f t="shared" ref="AH26:AH55" si="68">IFERROR(LEFT(A26,SEARCH(".",A26)-1),A26)</f>
      </c>
      <c r="AI26" s="4">
        <f t="shared" ref="AI26:AI55" si="69">IFERROR(LEFT(AP26,SEARCH(".",AP26)-1),AP26)</f>
      </c>
      <c r="AJ26" s="4">
        <f t="shared" ref="AJ26:AJ55" si="70">IF(C26=0,B26,C26)</f>
      </c>
      <c r="AK26" s="162">
        <f t="shared" ref="AK26:AK55" si="71">ROUNDUP(T26,2)</f>
      </c>
      <c r="AL26" s="4">
        <f t="shared" ref="AL26:AL55" si="72">E26</f>
      </c>
      <c r="AM26" s="4">
        <f t="shared" ref="AM26:AM55" si="73">D26</f>
      </c>
      <c r="AN26" s="4"/>
      <c r="AO26" s="4">
        <f t="shared" ref="AO26:AO55" si="74">IF(V26=0,AD26,AE26&amp;"
L="&amp;M26&amp;"-"&amp;AB26&amp;"%")</f>
      </c>
      <c r="AP26" s="4">
        <f t="shared" ref="AP26:AP55" si="75">RIGHT(A26,LEN(A26)-SEARCH(".",A26))</f>
      </c>
      <c r="AQ26" s="42">
        <f t="shared" ref="AQ26:AQ55" si="76">IFERROR(RIGHT(AP26,LEN(AP26)-SEARCH(".",AP26)),"")</f>
      </c>
      <c r="AR26" s="4">
        <f t="shared" ref="AR26:AR55" si="77">IFERROR(IF(VLOOKUP(AH26,Потребители_обозначение,5,FALSE)=2,_xlfn.IFS(H26=3,VLOOKUP(E26,Справочная_двигатели,3,FALSE),H26=1,VLOOKUP(E26,Справочная_двигатели,5,TRUE)),0),0)</f>
      </c>
      <c r="AS26" s="4">
        <f t="shared" ref="AS26:AS55" si="78">IFERROR(IF(VLOOKUP(AH26,Потребители_обозначение,5,FALSE)=3,VLOOKUP(E26,Справочная_ЛЭД,2,TRUE),0),0)</f>
      </c>
      <c r="AT26" s="4">
        <f t="shared" ref="AT26:AT55" si="79">IF(AR26=0,AS26,AR26)</f>
      </c>
      <c r="AV26"/>
      <c r="AW26"/>
      <c r="AY26"/>
    </row>
    <row r="27" spans="1:51" x14ac:dyDescent="0.3">
      <c r="A27" s="41">
        <f t="shared" si="50"/>
      </c>
      <c r="B27" s="4">
        <f t="shared" si="51"/>
      </c>
      <c r="C27" s="119"/>
      <c r="D27" s="119"/>
      <c r="E27" s="119">
        <f t="shared" si="49"/>
      </c>
      <c r="F27" s="173">
        <f t="shared" ref="F27:F35" si="80">IF(D27="","",IFERROR(IF(VLOOKUP(AH27,Потребители_обозначение,8,FALSE)=0,"",VLOOKUP(AH27,Потребители_обозначение,8,FALSE)),""))</f>
      </c>
      <c r="G27" s="119"/>
      <c r="H27" s="173">
        <f t="shared" ref="H27:H35" si="81">IF(D27="","",IFERROR(IF(VLOOKUP(AH27,Потребители_обозначение,9,FALSE)=0,"",VLOOKUP(AH27,Потребители_обозначение,9,FALSE)),""))</f>
      </c>
      <c r="I27" s="119">
        <f t="shared" si="44"/>
      </c>
      <c r="J27" s="119"/>
      <c r="K27" s="119">
        <f t="shared" si="45"/>
      </c>
      <c r="L27" s="119">
        <f t="shared" si="46"/>
      </c>
      <c r="M27" s="49">
        <f t="shared" si="52"/>
      </c>
      <c r="N27" s="100">
        <f t="shared" si="47"/>
      </c>
      <c r="O27" s="164">
        <f t="shared" ref="O27:O35" si="82">IF(D27="","",IFERROR(IF(VLOOKUP(AH27,Потребители_обозначение,7,FALSE)=0,"",VLOOKUP(AH27,Потребители_обозначение,7,FALSE)),""))</f>
      </c>
      <c r="P27" s="100">
        <f t="shared" si="53"/>
      </c>
      <c r="Q27" s="100">
        <f t="shared" si="48"/>
      </c>
      <c r="R27" s="100"/>
      <c r="S27" s="100"/>
      <c r="T27" s="5">
        <f t="shared" si="54"/>
      </c>
      <c r="U27" s="4">
        <f t="shared" si="55"/>
      </c>
      <c r="V27" s="4">
        <f t="shared" si="56"/>
      </c>
      <c r="W27" s="4">
        <f t="shared" si="57"/>
      </c>
      <c r="X27" s="4">
        <f t="shared" si="58"/>
      </c>
      <c r="Y27" s="4">
        <f t="shared" si="59"/>
      </c>
      <c r="Z27" s="4">
        <f t="shared" si="60"/>
      </c>
      <c r="AA27" s="4">
        <f t="shared" si="61"/>
      </c>
      <c r="AB27" s="4">
        <f t="shared" si="62"/>
      </c>
      <c r="AC27" s="4">
        <f t="shared" si="63"/>
      </c>
      <c r="AD27" s="4">
        <f t="shared" si="64"/>
      </c>
      <c r="AE27" s="4">
        <f t="shared" si="65"/>
      </c>
      <c r="AF27" s="4">
        <f t="shared" si="66"/>
      </c>
      <c r="AG27" s="4">
        <f t="shared" si="67"/>
      </c>
      <c r="AH27" s="4">
        <f t="shared" si="68"/>
      </c>
      <c r="AI27" s="4">
        <f t="shared" si="69"/>
      </c>
      <c r="AJ27" s="4">
        <f t="shared" si="70"/>
      </c>
      <c r="AK27" s="162">
        <f t="shared" si="71"/>
      </c>
      <c r="AL27" s="4">
        <f t="shared" si="72"/>
      </c>
      <c r="AM27" s="4">
        <f t="shared" si="73"/>
      </c>
      <c r="AN27" s="4"/>
      <c r="AO27" s="4">
        <f t="shared" si="74"/>
      </c>
      <c r="AP27" s="4">
        <f t="shared" si="75"/>
      </c>
      <c r="AQ27" s="42">
        <f t="shared" si="76"/>
      </c>
      <c r="AR27" s="4">
        <f t="shared" si="77"/>
      </c>
      <c r="AS27" s="4">
        <f t="shared" si="78"/>
      </c>
      <c r="AT27" s="4">
        <f t="shared" si="79"/>
      </c>
      <c r="AV27"/>
      <c r="AW27"/>
      <c r="AY27"/>
    </row>
    <row r="28" spans="1:51" x14ac:dyDescent="0.3">
      <c r="A28" s="41">
        <f t="shared" si="50"/>
      </c>
      <c r="B28" s="4">
        <f t="shared" si="51"/>
      </c>
      <c r="C28" s="119"/>
      <c r="D28" s="119"/>
      <c r="E28" s="119">
        <f t="shared" si="49"/>
      </c>
      <c r="F28" s="173">
        <f t="shared" si="80"/>
      </c>
      <c r="G28" s="119"/>
      <c r="H28" s="173">
        <f t="shared" si="81"/>
      </c>
      <c r="I28" s="119">
        <f t="shared" si="44"/>
      </c>
      <c r="J28" s="119"/>
      <c r="K28" s="119">
        <f t="shared" si="45"/>
      </c>
      <c r="L28" s="119">
        <f t="shared" si="46"/>
      </c>
      <c r="M28" s="49">
        <f t="shared" si="52"/>
      </c>
      <c r="N28" s="100">
        <f t="shared" si="47"/>
      </c>
      <c r="O28" s="164">
        <f t="shared" si="82"/>
      </c>
      <c r="P28" s="100">
        <f t="shared" si="53"/>
      </c>
      <c r="Q28" s="100">
        <f t="shared" si="48"/>
      </c>
      <c r="R28" s="100"/>
      <c r="S28" s="100"/>
      <c r="T28" s="5">
        <f t="shared" si="54"/>
      </c>
      <c r="U28" s="4">
        <f t="shared" si="55"/>
      </c>
      <c r="V28" s="4">
        <f t="shared" si="56"/>
      </c>
      <c r="W28" s="4">
        <f t="shared" si="57"/>
      </c>
      <c r="X28" s="4">
        <f t="shared" si="58"/>
      </c>
      <c r="Y28" s="4">
        <f t="shared" si="59"/>
      </c>
      <c r="Z28" s="4">
        <f t="shared" si="60"/>
      </c>
      <c r="AA28" s="4">
        <f t="shared" si="61"/>
      </c>
      <c r="AB28" s="4">
        <f t="shared" si="62"/>
      </c>
      <c r="AC28" s="4">
        <f t="shared" si="63"/>
      </c>
      <c r="AD28" s="4">
        <f t="shared" si="64"/>
      </c>
      <c r="AE28" s="4">
        <f t="shared" si="65"/>
      </c>
      <c r="AF28" s="4">
        <f t="shared" si="66"/>
      </c>
      <c r="AG28" s="4">
        <f t="shared" si="67"/>
      </c>
      <c r="AH28" s="4">
        <f t="shared" si="68"/>
      </c>
      <c r="AI28" s="4">
        <f t="shared" si="69"/>
      </c>
      <c r="AJ28" s="4">
        <f t="shared" si="70"/>
      </c>
      <c r="AK28" s="162">
        <f t="shared" si="71"/>
      </c>
      <c r="AL28" s="4">
        <f t="shared" si="72"/>
      </c>
      <c r="AM28" s="4">
        <f t="shared" si="73"/>
      </c>
      <c r="AN28" s="4"/>
      <c r="AO28" s="4">
        <f t="shared" si="74"/>
      </c>
      <c r="AP28" s="4">
        <f t="shared" si="75"/>
      </c>
      <c r="AQ28" s="42">
        <f t="shared" si="76"/>
      </c>
      <c r="AR28" s="4">
        <f t="shared" si="77"/>
      </c>
      <c r="AS28" s="4">
        <f t="shared" si="78"/>
      </c>
      <c r="AT28" s="4">
        <f t="shared" si="79"/>
      </c>
      <c r="AV28"/>
      <c r="AW28"/>
    </row>
    <row r="29" spans="1:51" x14ac:dyDescent="0.3">
      <c r="A29" s="41">
        <f t="shared" si="50"/>
      </c>
      <c r="B29" s="4">
        <f t="shared" si="51"/>
      </c>
      <c r="C29" s="119"/>
      <c r="D29" s="119"/>
      <c r="E29" s="119">
        <f t="shared" si="49"/>
      </c>
      <c r="F29" s="173">
        <f t="shared" si="80"/>
      </c>
      <c r="G29" s="119"/>
      <c r="H29" s="173">
        <f t="shared" si="81"/>
      </c>
      <c r="I29" s="119">
        <f t="shared" si="44"/>
      </c>
      <c r="J29" s="119"/>
      <c r="K29" s="119">
        <f t="shared" si="45"/>
      </c>
      <c r="L29" s="119">
        <f t="shared" si="46"/>
      </c>
      <c r="M29" s="49">
        <f t="shared" si="52"/>
      </c>
      <c r="N29" s="100">
        <f t="shared" si="47"/>
      </c>
      <c r="O29" s="164">
        <f t="shared" si="82"/>
      </c>
      <c r="P29" s="100">
        <f t="shared" si="53"/>
      </c>
      <c r="Q29" s="100">
        <f t="shared" si="48"/>
      </c>
      <c r="R29" s="100"/>
      <c r="S29" s="100"/>
      <c r="T29" s="5">
        <f t="shared" si="54"/>
      </c>
      <c r="U29" s="4">
        <f t="shared" si="55"/>
      </c>
      <c r="V29" s="4">
        <f t="shared" si="56"/>
      </c>
      <c r="W29" s="4">
        <f t="shared" si="57"/>
      </c>
      <c r="X29" s="4">
        <f t="shared" si="58"/>
      </c>
      <c r="Y29" s="4">
        <f t="shared" si="59"/>
      </c>
      <c r="Z29" s="4">
        <f t="shared" si="60"/>
      </c>
      <c r="AA29" s="4">
        <f t="shared" si="61"/>
      </c>
      <c r="AB29" s="4">
        <f t="shared" si="62"/>
      </c>
      <c r="AC29" s="4">
        <f t="shared" si="63"/>
      </c>
      <c r="AD29" s="4">
        <f t="shared" si="64"/>
      </c>
      <c r="AE29" s="4">
        <f t="shared" si="65"/>
      </c>
      <c r="AF29" s="4">
        <f t="shared" si="66"/>
      </c>
      <c r="AG29" s="4">
        <f t="shared" si="67"/>
      </c>
      <c r="AH29" s="4">
        <f t="shared" si="68"/>
      </c>
      <c r="AI29" s="4">
        <f t="shared" si="69"/>
      </c>
      <c r="AJ29" s="4">
        <f t="shared" si="70"/>
      </c>
      <c r="AK29" s="162">
        <f t="shared" si="71"/>
      </c>
      <c r="AL29" s="4">
        <f t="shared" si="72"/>
      </c>
      <c r="AM29" s="4">
        <f t="shared" si="73"/>
      </c>
      <c r="AN29" s="4"/>
      <c r="AO29" s="4">
        <f t="shared" si="74"/>
      </c>
      <c r="AP29" s="4">
        <f t="shared" si="75"/>
      </c>
      <c r="AQ29" s="42">
        <f t="shared" si="76"/>
      </c>
      <c r="AR29" s="4">
        <f t="shared" si="77"/>
      </c>
      <c r="AS29" s="4">
        <f t="shared" si="78"/>
      </c>
      <c r="AT29" s="4">
        <f t="shared" si="79"/>
      </c>
      <c r="AV29"/>
      <c r="AW29"/>
      <c r="AY29"/>
    </row>
    <row r="30" spans="1:51" x14ac:dyDescent="0.3">
      <c r="A30" s="41">
        <f t="shared" si="50"/>
      </c>
      <c r="B30" s="4">
        <f t="shared" si="51"/>
      </c>
      <c r="C30" s="119"/>
      <c r="D30" s="119"/>
      <c r="E30" s="119">
        <f t="shared" si="49"/>
      </c>
      <c r="F30" s="173">
        <f t="shared" si="80"/>
      </c>
      <c r="G30" s="119"/>
      <c r="H30" s="173">
        <f t="shared" si="81"/>
      </c>
      <c r="I30" s="119">
        <f t="shared" si="44"/>
      </c>
      <c r="J30" s="119"/>
      <c r="K30" s="119">
        <f t="shared" si="45"/>
      </c>
      <c r="L30" s="119">
        <f t="shared" si="46"/>
      </c>
      <c r="M30" s="49">
        <f t="shared" si="52"/>
      </c>
      <c r="N30" s="100">
        <f t="shared" si="47"/>
      </c>
      <c r="O30" s="164">
        <f t="shared" si="82"/>
      </c>
      <c r="P30" s="100">
        <f t="shared" si="53"/>
      </c>
      <c r="Q30" s="100">
        <f t="shared" si="48"/>
      </c>
      <c r="R30" s="100"/>
      <c r="S30" s="100"/>
      <c r="T30" s="5">
        <f t="shared" si="54"/>
      </c>
      <c r="U30" s="4">
        <f t="shared" si="55"/>
      </c>
      <c r="V30" s="4">
        <f t="shared" si="56"/>
      </c>
      <c r="W30" s="4">
        <f t="shared" si="57"/>
      </c>
      <c r="X30" s="4">
        <f t="shared" si="58"/>
      </c>
      <c r="Y30" s="4">
        <f t="shared" si="59"/>
      </c>
      <c r="Z30" s="4">
        <f t="shared" si="60"/>
      </c>
      <c r="AA30" s="4">
        <f t="shared" si="61"/>
      </c>
      <c r="AB30" s="4">
        <f t="shared" si="62"/>
      </c>
      <c r="AC30" s="4">
        <f t="shared" si="63"/>
      </c>
      <c r="AD30" s="4">
        <f t="shared" si="64"/>
      </c>
      <c r="AE30" s="4">
        <f t="shared" si="65"/>
      </c>
      <c r="AF30" s="4">
        <f t="shared" si="66"/>
      </c>
      <c r="AG30" s="4">
        <f t="shared" si="67"/>
      </c>
      <c r="AH30" s="4">
        <f t="shared" si="68"/>
      </c>
      <c r="AI30" s="4">
        <f t="shared" si="69"/>
      </c>
      <c r="AJ30" s="4">
        <f t="shared" si="70"/>
      </c>
      <c r="AK30" s="162">
        <f t="shared" si="71"/>
      </c>
      <c r="AL30" s="4">
        <f t="shared" si="72"/>
      </c>
      <c r="AM30" s="4">
        <f t="shared" si="73"/>
      </c>
      <c r="AN30" s="4"/>
      <c r="AO30" s="4">
        <f t="shared" si="74"/>
      </c>
      <c r="AP30" s="4">
        <f t="shared" si="75"/>
      </c>
      <c r="AQ30" s="42">
        <f t="shared" si="76"/>
      </c>
      <c r="AR30" s="4">
        <f t="shared" si="77"/>
      </c>
      <c r="AS30" s="4">
        <f t="shared" si="78"/>
      </c>
      <c r="AT30" s="4">
        <f t="shared" si="79"/>
      </c>
      <c r="AV30"/>
      <c r="AW30"/>
      <c r="AY30"/>
    </row>
    <row r="31" spans="1:51" x14ac:dyDescent="0.3">
      <c r="A31" s="41">
        <f t="shared" si="50"/>
      </c>
      <c r="B31" s="4">
        <f t="shared" si="51"/>
      </c>
      <c r="C31" s="119"/>
      <c r="D31" s="119"/>
      <c r="E31" s="119">
        <f t="shared" si="49"/>
      </c>
      <c r="F31" s="182">
        <f t="shared" si="80"/>
      </c>
      <c r="G31" s="177"/>
      <c r="H31" s="182">
        <f t="shared" si="81"/>
      </c>
      <c r="I31" s="119">
        <f t="shared" si="44"/>
      </c>
      <c r="J31" s="119"/>
      <c r="K31" s="119">
        <f t="shared" si="45"/>
      </c>
      <c r="L31" s="119">
        <f t="shared" si="46"/>
      </c>
      <c r="M31" s="49">
        <f t="shared" si="52"/>
      </c>
      <c r="N31" s="100">
        <f t="shared" si="47"/>
      </c>
      <c r="O31" s="164">
        <f t="shared" si="82"/>
      </c>
      <c r="P31" s="100">
        <f t="shared" si="53"/>
      </c>
      <c r="Q31" s="100">
        <f t="shared" si="48"/>
      </c>
      <c r="R31" s="100"/>
      <c r="S31" s="100"/>
      <c r="T31" s="5">
        <f t="shared" si="54"/>
      </c>
      <c r="U31" s="4">
        <f t="shared" si="55"/>
      </c>
      <c r="V31" s="4">
        <f t="shared" si="56"/>
      </c>
      <c r="W31" s="4">
        <f t="shared" si="57"/>
      </c>
      <c r="X31" s="4">
        <f t="shared" si="58"/>
      </c>
      <c r="Y31" s="4">
        <f t="shared" si="59"/>
      </c>
      <c r="Z31" s="4">
        <f t="shared" si="60"/>
      </c>
      <c r="AA31" s="4">
        <f t="shared" si="61"/>
      </c>
      <c r="AB31" s="4">
        <f t="shared" si="62"/>
      </c>
      <c r="AC31" s="4">
        <f t="shared" si="63"/>
      </c>
      <c r="AD31" s="4">
        <f t="shared" si="64"/>
      </c>
      <c r="AE31" s="4">
        <f t="shared" si="65"/>
      </c>
      <c r="AF31" s="4">
        <f t="shared" si="66"/>
      </c>
      <c r="AG31" s="4">
        <f t="shared" si="67"/>
      </c>
      <c r="AH31" s="4">
        <f t="shared" si="68"/>
      </c>
      <c r="AI31" s="4">
        <f t="shared" si="69"/>
      </c>
      <c r="AJ31" s="4">
        <f t="shared" si="70"/>
      </c>
      <c r="AK31" s="162">
        <f t="shared" si="71"/>
      </c>
      <c r="AL31" s="4">
        <f t="shared" si="72"/>
      </c>
      <c r="AM31" s="4">
        <f t="shared" si="73"/>
      </c>
      <c r="AN31" s="4"/>
      <c r="AO31" s="4">
        <f t="shared" si="74"/>
      </c>
      <c r="AP31" s="4">
        <f t="shared" si="75"/>
      </c>
      <c r="AQ31" s="42">
        <f t="shared" si="76"/>
      </c>
      <c r="AR31" s="4">
        <f t="shared" si="77"/>
      </c>
      <c r="AS31" s="4">
        <f t="shared" si="78"/>
      </c>
      <c r="AT31" s="4">
        <f t="shared" si="79"/>
      </c>
      <c r="AV31"/>
      <c r="AW31"/>
      <c r="AY31"/>
    </row>
    <row r="32" spans="1:51" x14ac:dyDescent="0.3">
      <c r="A32" s="41">
        <f t="shared" si="50"/>
      </c>
      <c r="B32" s="4">
        <f t="shared" si="51"/>
      </c>
      <c r="C32" s="119"/>
      <c r="D32" s="119"/>
      <c r="E32" s="119">
        <f t="shared" si="49"/>
      </c>
      <c r="F32" s="173">
        <f t="shared" si="80"/>
      </c>
      <c r="G32" s="119"/>
      <c r="H32" s="173">
        <f t="shared" si="81"/>
      </c>
      <c r="I32" s="119">
        <f t="shared" si="44"/>
      </c>
      <c r="J32" s="119"/>
      <c r="K32" s="119">
        <f t="shared" si="45"/>
      </c>
      <c r="L32" s="119">
        <f t="shared" si="46"/>
      </c>
      <c r="M32" s="49">
        <f t="shared" si="52"/>
      </c>
      <c r="N32" s="100">
        <f t="shared" si="47"/>
      </c>
      <c r="O32" s="164">
        <f t="shared" si="82"/>
      </c>
      <c r="P32" s="59">
        <f t="shared" si="53"/>
      </c>
      <c r="Q32" s="59">
        <f t="shared" si="48"/>
      </c>
      <c r="R32" s="59"/>
      <c r="S32" s="59"/>
      <c r="T32" s="5">
        <f t="shared" si="54"/>
      </c>
      <c r="U32" s="4">
        <f t="shared" si="55"/>
      </c>
      <c r="V32" s="4">
        <f t="shared" si="56"/>
      </c>
      <c r="W32" s="4">
        <f t="shared" si="57"/>
      </c>
      <c r="X32" s="4">
        <f t="shared" si="58"/>
      </c>
      <c r="Y32" s="4">
        <f t="shared" si="59"/>
      </c>
      <c r="Z32" s="4">
        <f t="shared" si="60"/>
      </c>
      <c r="AA32" s="4">
        <f t="shared" si="61"/>
      </c>
      <c r="AB32" s="4">
        <f t="shared" si="62"/>
      </c>
      <c r="AC32" s="4">
        <f t="shared" si="63"/>
      </c>
      <c r="AD32" s="4">
        <f t="shared" si="64"/>
      </c>
      <c r="AE32" s="4">
        <f t="shared" si="65"/>
      </c>
      <c r="AF32" s="4">
        <f t="shared" si="66"/>
      </c>
      <c r="AG32" s="4">
        <f t="shared" si="67"/>
      </c>
      <c r="AH32" s="4">
        <f t="shared" si="68"/>
      </c>
      <c r="AI32" s="4">
        <f t="shared" si="69"/>
      </c>
      <c r="AJ32" s="4">
        <f t="shared" si="70"/>
      </c>
      <c r="AK32" s="162">
        <f t="shared" si="71"/>
      </c>
      <c r="AL32" s="4">
        <f t="shared" si="72"/>
      </c>
      <c r="AM32" s="4">
        <f t="shared" si="73"/>
      </c>
      <c r="AN32" s="4"/>
      <c r="AO32" s="4">
        <f t="shared" si="74"/>
      </c>
      <c r="AP32" s="4">
        <f t="shared" si="75"/>
      </c>
      <c r="AQ32" s="42">
        <f t="shared" si="76"/>
      </c>
      <c r="AR32" s="4">
        <f t="shared" si="77"/>
      </c>
      <c r="AS32" s="4">
        <f t="shared" si="78"/>
      </c>
      <c r="AT32" s="4">
        <f t="shared" si="79"/>
      </c>
      <c r="AV32"/>
      <c r="AW32"/>
      <c r="AY32"/>
    </row>
    <row r="33" spans="1:51" x14ac:dyDescent="0.3">
      <c r="A33" s="41">
        <f t="shared" si="50"/>
      </c>
      <c r="B33" s="4">
        <f t="shared" si="51"/>
      </c>
      <c r="C33" s="119"/>
      <c r="D33" s="119"/>
      <c r="E33" s="119">
        <f t="shared" si="49"/>
      </c>
      <c r="F33" s="173">
        <f t="shared" si="80"/>
      </c>
      <c r="G33" s="119"/>
      <c r="H33" s="173">
        <f t="shared" si="81"/>
      </c>
      <c r="I33" s="119">
        <f t="shared" si="44"/>
      </c>
      <c r="J33" s="119"/>
      <c r="K33" s="119">
        <f t="shared" si="45"/>
      </c>
      <c r="L33" s="119">
        <f t="shared" si="46"/>
      </c>
      <c r="M33" s="49">
        <f t="shared" si="52"/>
      </c>
      <c r="N33" s="59">
        <f t="shared" si="47"/>
      </c>
      <c r="O33" s="164">
        <f t="shared" si="82"/>
      </c>
      <c r="P33" s="59">
        <f t="shared" si="53"/>
      </c>
      <c r="Q33" s="59">
        <f t="shared" si="48"/>
      </c>
      <c r="R33" s="59"/>
      <c r="S33" s="59"/>
      <c r="T33" s="5">
        <f t="shared" si="54"/>
      </c>
      <c r="U33" s="4">
        <f t="shared" si="55"/>
      </c>
      <c r="V33" s="4">
        <f t="shared" si="56"/>
      </c>
      <c r="W33" s="4">
        <f t="shared" si="57"/>
      </c>
      <c r="X33" s="4">
        <f t="shared" si="58"/>
      </c>
      <c r="Y33" s="4">
        <f t="shared" si="59"/>
      </c>
      <c r="Z33" s="4">
        <f t="shared" si="60"/>
      </c>
      <c r="AA33" s="4">
        <f t="shared" si="61"/>
      </c>
      <c r="AB33" s="4">
        <f t="shared" si="62"/>
      </c>
      <c r="AC33" s="4">
        <f t="shared" si="63"/>
      </c>
      <c r="AD33" s="4">
        <f t="shared" si="64"/>
      </c>
      <c r="AE33" s="4">
        <f t="shared" si="65"/>
      </c>
      <c r="AF33" s="4">
        <f t="shared" si="66"/>
      </c>
      <c r="AG33" s="4">
        <f t="shared" si="67"/>
      </c>
      <c r="AH33" s="4">
        <f t="shared" si="68"/>
      </c>
      <c r="AI33" s="4">
        <f t="shared" si="69"/>
      </c>
      <c r="AJ33" s="4">
        <f t="shared" si="70"/>
      </c>
      <c r="AK33" s="162">
        <f t="shared" si="71"/>
      </c>
      <c r="AL33" s="4">
        <f t="shared" si="72"/>
      </c>
      <c r="AM33" s="4">
        <f t="shared" si="73"/>
      </c>
      <c r="AN33" s="4"/>
      <c r="AO33" s="4">
        <f t="shared" si="74"/>
      </c>
      <c r="AP33" s="4">
        <f t="shared" si="75"/>
      </c>
      <c r="AQ33" s="42">
        <f t="shared" si="76"/>
      </c>
      <c r="AR33" s="4">
        <f t="shared" si="77"/>
      </c>
      <c r="AS33" s="4">
        <f t="shared" si="78"/>
      </c>
      <c r="AT33" s="4">
        <f t="shared" si="79"/>
      </c>
      <c r="AV33"/>
      <c r="AW33"/>
      <c r="AY33"/>
    </row>
    <row r="34" spans="1:51" x14ac:dyDescent="0.3">
      <c r="A34" s="41">
        <f t="shared" si="50"/>
      </c>
      <c r="B34" s="4">
        <f t="shared" si="51"/>
      </c>
      <c r="C34" s="119"/>
      <c r="D34" s="119"/>
      <c r="E34" s="119">
        <f t="shared" si="49"/>
      </c>
      <c r="F34" s="173">
        <f t="shared" si="80"/>
      </c>
      <c r="G34" s="119"/>
      <c r="H34" s="173">
        <f t="shared" si="81"/>
      </c>
      <c r="I34" s="119">
        <f t="shared" si="44"/>
      </c>
      <c r="J34" s="119"/>
      <c r="K34" s="119">
        <f t="shared" si="45"/>
      </c>
      <c r="L34" s="119">
        <f t="shared" si="46"/>
      </c>
      <c r="M34" s="49">
        <f t="shared" si="52"/>
      </c>
      <c r="N34" s="59">
        <f t="shared" si="47"/>
      </c>
      <c r="O34" s="164">
        <f t="shared" si="82"/>
      </c>
      <c r="P34" s="59">
        <f t="shared" si="53"/>
      </c>
      <c r="Q34" s="59">
        <f t="shared" si="48"/>
      </c>
      <c r="R34" s="59"/>
      <c r="S34" s="59"/>
      <c r="T34" s="5">
        <f t="shared" si="54"/>
      </c>
      <c r="U34" s="4">
        <f t="shared" si="55"/>
      </c>
      <c r="V34" s="4">
        <f t="shared" si="56"/>
      </c>
      <c r="W34" s="4">
        <f t="shared" si="57"/>
      </c>
      <c r="X34" s="4">
        <f t="shared" si="58"/>
      </c>
      <c r="Y34" s="4">
        <f t="shared" si="59"/>
      </c>
      <c r="Z34" s="4">
        <f t="shared" si="60"/>
      </c>
      <c r="AA34" s="4">
        <f t="shared" si="61"/>
      </c>
      <c r="AB34" s="4">
        <f t="shared" si="62"/>
      </c>
      <c r="AC34" s="4">
        <f t="shared" si="63"/>
      </c>
      <c r="AD34" s="4">
        <f t="shared" si="64"/>
      </c>
      <c r="AE34" s="4">
        <f t="shared" si="65"/>
      </c>
      <c r="AF34" s="4">
        <f t="shared" si="66"/>
      </c>
      <c r="AG34" s="4">
        <f t="shared" si="67"/>
      </c>
      <c r="AH34" s="4">
        <f t="shared" si="68"/>
      </c>
      <c r="AI34" s="4">
        <f t="shared" si="69"/>
      </c>
      <c r="AJ34" s="4">
        <f t="shared" si="70"/>
      </c>
      <c r="AK34" s="162">
        <f t="shared" si="71"/>
      </c>
      <c r="AL34" s="4">
        <f t="shared" si="72"/>
      </c>
      <c r="AM34" s="4">
        <f t="shared" si="73"/>
      </c>
      <c r="AN34" s="4"/>
      <c r="AO34" s="4">
        <f t="shared" si="74"/>
      </c>
      <c r="AP34" s="4">
        <f t="shared" si="75"/>
      </c>
      <c r="AQ34" s="42">
        <f t="shared" si="76"/>
      </c>
      <c r="AR34" s="4">
        <f t="shared" si="77"/>
      </c>
      <c r="AS34" s="4">
        <f t="shared" si="78"/>
      </c>
      <c r="AT34" s="4">
        <f t="shared" si="79"/>
      </c>
      <c r="AV34"/>
      <c r="AW34"/>
      <c r="AY34"/>
    </row>
    <row r="35" spans="1:51" x14ac:dyDescent="0.3">
      <c r="A35" s="41">
        <f t="shared" si="50"/>
      </c>
      <c r="B35" s="4">
        <f t="shared" si="51"/>
      </c>
      <c r="C35" s="119"/>
      <c r="D35" s="119"/>
      <c r="E35" s="119">
        <f t="shared" si="49"/>
      </c>
      <c r="F35" s="173">
        <f t="shared" si="80"/>
      </c>
      <c r="G35" s="119"/>
      <c r="H35" s="173">
        <f t="shared" si="81"/>
      </c>
      <c r="I35" s="119">
        <f t="shared" si="44"/>
      </c>
      <c r="J35" s="119"/>
      <c r="K35" s="119">
        <f t="shared" si="45"/>
      </c>
      <c r="L35" s="119">
        <f t="shared" si="46"/>
      </c>
      <c r="M35" s="49">
        <f t="shared" si="52"/>
      </c>
      <c r="N35" s="59">
        <f t="shared" si="47"/>
      </c>
      <c r="O35" s="164">
        <f t="shared" si="82"/>
      </c>
      <c r="P35" s="59">
        <f t="shared" si="53"/>
      </c>
      <c r="Q35" s="59">
        <f t="shared" si="48"/>
      </c>
      <c r="R35" s="59"/>
      <c r="S35" s="59"/>
      <c r="T35" s="5">
        <f t="shared" si="54"/>
      </c>
      <c r="U35" s="4">
        <f t="shared" si="55"/>
      </c>
      <c r="V35" s="4">
        <f t="shared" si="56"/>
      </c>
      <c r="W35" s="4">
        <f t="shared" si="57"/>
      </c>
      <c r="X35" s="4">
        <f t="shared" si="58"/>
      </c>
      <c r="Y35" s="4">
        <f t="shared" si="59"/>
      </c>
      <c r="Z35" s="4">
        <f t="shared" si="60"/>
      </c>
      <c r="AA35" s="4">
        <f t="shared" si="61"/>
      </c>
      <c r="AB35" s="4">
        <f t="shared" si="62"/>
      </c>
      <c r="AC35" s="4">
        <f t="shared" si="63"/>
      </c>
      <c r="AD35" s="4">
        <f t="shared" si="64"/>
      </c>
      <c r="AE35" s="4">
        <f t="shared" si="65"/>
      </c>
      <c r="AF35" s="4">
        <f t="shared" si="66"/>
      </c>
      <c r="AG35" s="4">
        <f t="shared" si="67"/>
      </c>
      <c r="AH35" s="4">
        <f t="shared" si="68"/>
      </c>
      <c r="AI35" s="4">
        <f t="shared" si="69"/>
      </c>
      <c r="AJ35" s="4">
        <f t="shared" si="70"/>
      </c>
      <c r="AK35" s="162">
        <f t="shared" si="71"/>
      </c>
      <c r="AL35" s="4">
        <f t="shared" si="72"/>
      </c>
      <c r="AM35" s="4">
        <f t="shared" si="73"/>
      </c>
      <c r="AN35" s="4"/>
      <c r="AO35" s="4">
        <f t="shared" si="74"/>
      </c>
      <c r="AP35" s="4">
        <f t="shared" si="75"/>
      </c>
      <c r="AQ35" s="42">
        <f t="shared" si="76"/>
      </c>
      <c r="AR35" s="4">
        <f t="shared" si="77"/>
      </c>
      <c r="AS35" s="4">
        <f t="shared" si="78"/>
      </c>
      <c r="AT35" s="4">
        <f t="shared" si="79"/>
      </c>
      <c r="AV35"/>
      <c r="AW35"/>
      <c r="AY35"/>
    </row>
    <row r="36" spans="1:51" ht="15" thickBot="1" x14ac:dyDescent="0.35">
      <c r="A36" s="43">
        <f t="shared" si="50"/>
      </c>
      <c r="B36" s="44">
        <f t="shared" si="51"/>
      </c>
      <c r="C36" s="119"/>
      <c r="D36" s="175"/>
      <c r="E36" s="175"/>
      <c r="F36" s="178"/>
      <c r="G36" s="173"/>
      <c r="H36" s="173"/>
      <c r="I36" s="105"/>
      <c r="J36" s="105"/>
      <c r="K36" s="105"/>
      <c r="L36" s="176"/>
      <c r="M36" s="49">
        <f t="shared" si="52"/>
      </c>
      <c r="N36" s="59"/>
      <c r="O36" s="164"/>
      <c r="P36" s="59">
        <f t="shared" si="53"/>
      </c>
      <c r="Q36" s="165"/>
      <c r="R36" s="59"/>
      <c r="S36" s="164"/>
      <c r="T36" s="45">
        <f t="shared" si="54"/>
      </c>
      <c r="U36" s="44">
        <f t="shared" si="55"/>
      </c>
      <c r="V36" s="44">
        <f t="shared" si="56"/>
      </c>
      <c r="W36" s="44">
        <f t="shared" si="57"/>
      </c>
      <c r="X36" s="44">
        <f t="shared" si="58"/>
      </c>
      <c r="Y36" s="44">
        <f t="shared" si="59"/>
      </c>
      <c r="Z36" s="44">
        <f t="shared" si="60"/>
      </c>
      <c r="AA36" s="44">
        <f t="shared" si="61"/>
      </c>
      <c r="AB36" s="44">
        <f t="shared" si="62"/>
      </c>
      <c r="AC36" s="44">
        <f t="shared" si="63"/>
      </c>
      <c r="AD36" s="44">
        <f t="shared" si="64"/>
      </c>
      <c r="AE36" s="44">
        <f t="shared" si="65"/>
      </c>
      <c r="AF36" s="44">
        <f t="shared" si="66"/>
      </c>
      <c r="AG36" s="44">
        <f t="shared" si="67"/>
        <v/>
      </c>
      <c r="AH36" s="44">
        <f t="shared" si="68"/>
      </c>
      <c r="AI36" s="44">
        <f t="shared" si="69"/>
      </c>
      <c r="AJ36" s="44">
        <f t="shared" si="70"/>
      </c>
      <c r="AK36" s="45">
        <f t="shared" si="71"/>
      </c>
      <c r="AL36" s="45">
        <f t="shared" si="72"/>
      </c>
      <c r="AM36" s="44">
        <f t="shared" si="73"/>
      </c>
      <c r="AN36" s="44"/>
      <c r="AO36" s="4">
        <f t="shared" si="74"/>
      </c>
      <c r="AP36" s="44">
        <f t="shared" si="75"/>
      </c>
      <c r="AQ36" s="46">
        <f t="shared" si="76"/>
        <v/>
      </c>
      <c r="AR36" s="44">
        <f t="shared" si="77"/>
      </c>
      <c r="AS36" s="44">
        <f t="shared" si="78"/>
      </c>
      <c r="AT36" s="44">
        <f t="shared" si="79"/>
      </c>
      <c r="AV36"/>
      <c r="AW36"/>
      <c r="AY36"/>
    </row>
    <row r="37" spans="1:51" ht="15" thickBot="1" x14ac:dyDescent="0.35">
      <c r="A37" s="37">
        <f t="shared" si="50"/>
      </c>
      <c r="B37" s="38">
        <f t="shared" si="51"/>
      </c>
      <c r="C37" s="172"/>
      <c r="D37" s="119"/>
      <c r="E37" s="175"/>
      <c r="F37" s="173"/>
      <c r="G37" s="173"/>
      <c r="H37" s="173"/>
      <c r="I37" s="180"/>
      <c r="J37" s="179"/>
      <c r="K37" s="179"/>
      <c r="L37" s="179"/>
      <c r="M37" s="49">
        <f t="shared" si="52"/>
      </c>
      <c r="N37" s="100"/>
      <c r="O37" s="164"/>
      <c r="P37" s="59">
        <f t="shared" si="53"/>
      </c>
      <c r="Q37" s="165"/>
      <c r="R37" s="100"/>
      <c r="S37" s="164"/>
      <c r="T37" s="39">
        <f t="shared" si="54"/>
      </c>
      <c r="U37" s="38">
        <f t="shared" si="55"/>
      </c>
      <c r="V37" s="38">
        <f t="shared" si="56"/>
      </c>
      <c r="W37" s="38">
        <f t="shared" si="57"/>
      </c>
      <c r="X37" s="38">
        <f t="shared" si="58"/>
      </c>
      <c r="Y37" s="38">
        <f t="shared" si="59"/>
      </c>
      <c r="Z37" s="38">
        <f t="shared" si="60"/>
      </c>
      <c r="AA37" s="38">
        <f t="shared" si="61"/>
      </c>
      <c r="AB37" s="38">
        <f t="shared" si="62"/>
      </c>
      <c r="AC37" s="38">
        <f t="shared" si="63"/>
      </c>
      <c r="AD37" s="38">
        <f t="shared" si="64"/>
      </c>
      <c r="AE37" s="38">
        <f t="shared" si="65"/>
      </c>
      <c r="AF37" s="38">
        <f t="shared" si="66"/>
      </c>
      <c r="AG37" s="38">
        <f t="shared" si="67"/>
        <v/>
      </c>
      <c r="AH37" s="38">
        <f t="shared" si="68"/>
      </c>
      <c r="AI37" s="38">
        <f t="shared" si="69"/>
      </c>
      <c r="AJ37" s="38">
        <f t="shared" si="70"/>
      </c>
      <c r="AK37" s="39">
        <f t="shared" si="71"/>
      </c>
      <c r="AL37" s="39">
        <f t="shared" si="72"/>
      </c>
      <c r="AM37" s="38">
        <f t="shared" si="73"/>
      </c>
      <c r="AN37" s="38"/>
      <c r="AO37" s="4">
        <f t="shared" si="74"/>
      </c>
      <c r="AP37" s="38">
        <f t="shared" si="75"/>
      </c>
      <c r="AQ37" s="40">
        <f t="shared" si="76"/>
        <v/>
      </c>
      <c r="AR37" s="38">
        <f t="shared" si="77"/>
      </c>
      <c r="AS37" s="38">
        <f t="shared" si="78"/>
      </c>
      <c r="AT37" s="38">
        <f t="shared" si="79"/>
      </c>
      <c r="AV37"/>
      <c r="AW37"/>
      <c r="AY37"/>
    </row>
    <row r="38" spans="1:51" x14ac:dyDescent="0.3">
      <c r="A38" s="41">
        <f t="shared" si="50"/>
      </c>
      <c r="B38" s="4">
        <f t="shared" si="51"/>
      </c>
      <c r="C38" s="119"/>
      <c r="D38" s="119"/>
      <c r="E38" s="119">
        <f t="shared" si="49"/>
      </c>
      <c r="F38" s="173">
        <f t="shared" ref="F38:F52" si="83">IF(D38="","",IFERROR(IF(VLOOKUP(AH38,Потребители_обозначение,8,FALSE)=0,"",VLOOKUP(AH38,Потребители_обозначение,8,FALSE)),""))</f>
      </c>
      <c r="G38" s="119"/>
      <c r="H38" s="173">
        <f t="shared" ref="H38:H52" si="84">IF(D38="","",IFERROR(IF(VLOOKUP(AH38,Потребители_обозначение,9,FALSE)=0,"",VLOOKUP(AH38,Потребители_обозначение,9,FALSE)),""))</f>
      </c>
      <c r="I38" s="191">
        <f t="shared" ref="I38:I52" si="85">IF(COUNT(AU38,AV38)=0,"",ROUNDUP(SUM(AU38,AV38),0))</f>
      </c>
      <c r="J38" s="177"/>
      <c r="K38" s="177">
        <f t="shared" ref="K38:K52" si="86">IF(OR(I38="",S38=""),"",IF(S38=1,MAX(0,M38-ROUNDUP(N(AV38),0)-4),ROUNDUP(N(AU38),0)))</f>
      </c>
      <c r="L38" s="119">
        <f t="shared" ref="L38:L52" si="87">IF(OR(I38="",S38=""),"",IF(S38=2,MAX(0,M38-ROUNDUP(N(AU38),0)-4),ROUNDUP(N(AV38),0)))</f>
      </c>
      <c r="M38" s="49">
        <f t="shared" si="52"/>
      </c>
      <c r="N38" s="59">
        <f t="shared" ref="N38:N52" si="88">IF(D38="","",IFERROR(IF(VLOOKUP(AH38,Потребители_обозначение,6,FALSE)=0,"",VLOOKUP(AH38,Потребители_обозначение,6,FALSE)),""))</f>
      </c>
      <c r="O38" s="164">
        <f t="shared" ref="O38:O51" si="89">IF(D38="","",IFERROR(IF(VLOOKUP(AH38,Потребители_обозначение,7,FALSE)=0,"",VLOOKUP(AH38,Потребители_обозначение,7,FALSE)),""))</f>
      </c>
      <c r="P38" s="67">
        <f t="shared" si="53"/>
      </c>
      <c r="Q38" s="100">
        <f t="shared" ref="Q38:Q52" si="90">IF(D38="","",IFERROR(IF(VLOOKUP(AH38,Потребители_обозначение,10,FALSE)=0,"",VLOOKUP(AH38,Потребители_обозначение,10,FALSE)),""))</f>
      </c>
      <c r="R38" s="59"/>
      <c r="S38" s="59"/>
      <c r="T38" s="5">
        <f t="shared" si="54"/>
      </c>
      <c r="U38" s="4">
        <f t="shared" si="55"/>
      </c>
      <c r="V38" s="4">
        <f t="shared" si="56"/>
      </c>
      <c r="W38" s="4">
        <f t="shared" si="57"/>
      </c>
      <c r="X38" s="4">
        <f t="shared" si="58"/>
      </c>
      <c r="Y38" s="4">
        <f t="shared" si="59"/>
      </c>
      <c r="Z38" s="4">
        <f t="shared" si="60"/>
      </c>
      <c r="AA38" s="4">
        <f t="shared" si="61"/>
      </c>
      <c r="AB38" s="4">
        <f t="shared" si="62"/>
      </c>
      <c r="AC38" s="4">
        <f t="shared" si="63"/>
      </c>
      <c r="AD38" s="4">
        <f t="shared" si="64"/>
      </c>
      <c r="AE38" s="4">
        <f t="shared" si="65"/>
      </c>
      <c r="AF38" s="4">
        <f t="shared" si="66"/>
      </c>
      <c r="AG38" s="4">
        <f t="shared" si="67"/>
      </c>
      <c r="AH38" s="4">
        <f t="shared" si="68"/>
      </c>
      <c r="AI38" s="4">
        <f t="shared" si="69"/>
      </c>
      <c r="AJ38" s="4">
        <f t="shared" si="70"/>
      </c>
      <c r="AK38" s="162">
        <f t="shared" si="71"/>
      </c>
      <c r="AL38" s="4">
        <f t="shared" si="72"/>
      </c>
      <c r="AM38" s="4">
        <f t="shared" si="73"/>
      </c>
      <c r="AN38" s="4"/>
      <c r="AO38" s="4">
        <f t="shared" si="74"/>
      </c>
      <c r="AP38" s="4">
        <f t="shared" si="75"/>
      </c>
      <c r="AQ38" s="42">
        <f t="shared" si="76"/>
      </c>
      <c r="AR38" s="4">
        <f t="shared" si="77"/>
      </c>
      <c r="AS38" s="4">
        <f t="shared" si="78"/>
      </c>
      <c r="AT38" s="4">
        <f t="shared" si="79"/>
      </c>
      <c r="AV38"/>
      <c r="AW38"/>
      <c r="AY38"/>
    </row>
    <row r="39" spans="1:51" x14ac:dyDescent="0.3">
      <c r="A39" s="41">
        <f t="shared" si="50"/>
      </c>
      <c r="B39" s="4">
        <f t="shared" si="51"/>
      </c>
      <c r="C39" s="119"/>
      <c r="D39" s="119"/>
      <c r="E39" s="119">
        <f t="shared" si="49"/>
      </c>
      <c r="F39" s="173">
        <f t="shared" si="83"/>
      </c>
      <c r="G39" s="119"/>
      <c r="H39" s="173">
        <f t="shared" si="84"/>
      </c>
      <c r="I39" s="191">
        <f t="shared" si="85"/>
      </c>
      <c r="J39" s="119"/>
      <c r="K39" s="119">
        <f t="shared" si="86"/>
      </c>
      <c r="L39" s="119">
        <f t="shared" si="87"/>
      </c>
      <c r="M39" s="7">
        <f t="shared" si="52"/>
      </c>
      <c r="N39" s="59">
        <f t="shared" si="88"/>
      </c>
      <c r="O39" s="164">
        <f t="shared" si="89"/>
      </c>
      <c r="P39" s="65">
        <f t="shared" si="53"/>
      </c>
      <c r="Q39" s="100">
        <f t="shared" si="90"/>
      </c>
      <c r="R39" s="100"/>
      <c r="S39" s="59"/>
      <c r="T39" s="5">
        <f t="shared" si="54"/>
      </c>
      <c r="U39" s="4">
        <f t="shared" si="55"/>
      </c>
      <c r="V39" s="4">
        <f t="shared" si="56"/>
      </c>
      <c r="W39" s="4">
        <f t="shared" si="57"/>
      </c>
      <c r="X39" s="4">
        <f t="shared" si="58"/>
      </c>
      <c r="Y39" s="4">
        <f t="shared" si="59"/>
      </c>
      <c r="Z39" s="4">
        <f t="shared" si="60"/>
      </c>
      <c r="AA39" s="4">
        <f t="shared" si="61"/>
      </c>
      <c r="AB39" s="4">
        <f t="shared" si="62"/>
      </c>
      <c r="AC39" s="4">
        <f t="shared" si="63"/>
      </c>
      <c r="AD39" s="4">
        <f t="shared" si="64"/>
      </c>
      <c r="AE39" s="4">
        <f t="shared" si="65"/>
      </c>
      <c r="AF39" s="4">
        <f t="shared" si="66"/>
      </c>
      <c r="AG39" s="4">
        <f t="shared" si="67"/>
      </c>
      <c r="AH39" s="4">
        <f t="shared" si="68"/>
      </c>
      <c r="AI39" s="4">
        <f t="shared" si="69"/>
      </c>
      <c r="AJ39" s="4">
        <f t="shared" si="70"/>
      </c>
      <c r="AK39" s="162">
        <f t="shared" si="71"/>
      </c>
      <c r="AL39" s="4">
        <f t="shared" si="72"/>
      </c>
      <c r="AM39" s="4">
        <f t="shared" si="73"/>
      </c>
      <c r="AN39" s="4"/>
      <c r="AO39" s="4">
        <f t="shared" si="74"/>
      </c>
      <c r="AP39" s="4">
        <f t="shared" si="75"/>
      </c>
      <c r="AQ39" s="42">
        <f t="shared" si="76"/>
      </c>
      <c r="AR39" s="4">
        <f t="shared" si="77"/>
      </c>
      <c r="AS39" s="4">
        <f t="shared" si="78"/>
      </c>
      <c r="AT39" s="4">
        <f t="shared" si="79"/>
      </c>
      <c r="AV39"/>
      <c r="AW39"/>
      <c r="AY39"/>
    </row>
    <row r="40" spans="1:51" x14ac:dyDescent="0.3">
      <c r="A40" s="41">
        <f t="shared" si="50"/>
      </c>
      <c r="B40" s="4">
        <f t="shared" si="51"/>
      </c>
      <c r="C40" s="119"/>
      <c r="D40" s="119"/>
      <c r="E40" s="119">
        <f t="shared" si="49"/>
      </c>
      <c r="F40" s="173">
        <f t="shared" si="83"/>
      </c>
      <c r="G40" s="119"/>
      <c r="H40" s="173">
        <f t="shared" si="84"/>
      </c>
      <c r="I40" s="191">
        <f t="shared" si="85"/>
      </c>
      <c r="J40" s="119"/>
      <c r="K40" s="119">
        <f t="shared" si="86"/>
      </c>
      <c r="L40" s="119">
        <f t="shared" si="87"/>
      </c>
      <c r="M40" s="95">
        <f t="shared" si="52"/>
      </c>
      <c r="N40" s="100">
        <f t="shared" si="88"/>
      </c>
      <c r="O40" s="164">
        <f t="shared" si="89"/>
      </c>
      <c r="P40" s="59">
        <f t="shared" si="53"/>
      </c>
      <c r="Q40" s="59">
        <f t="shared" si="90"/>
      </c>
      <c r="R40" s="100"/>
      <c r="S40" s="100"/>
      <c r="T40" s="5">
        <f t="shared" si="54"/>
      </c>
      <c r="U40" s="4">
        <f t="shared" si="55"/>
      </c>
      <c r="V40" s="4">
        <f t="shared" si="56"/>
      </c>
      <c r="W40" s="4">
        <f t="shared" si="57"/>
      </c>
      <c r="X40" s="4">
        <f t="shared" si="58"/>
      </c>
      <c r="Y40" s="4">
        <f t="shared" si="59"/>
      </c>
      <c r="Z40" s="4">
        <f t="shared" si="60"/>
      </c>
      <c r="AA40" s="4">
        <f t="shared" si="61"/>
      </c>
      <c r="AB40" s="4">
        <f t="shared" si="62"/>
      </c>
      <c r="AC40" s="4">
        <f t="shared" si="63"/>
      </c>
      <c r="AD40" s="4">
        <f t="shared" si="64"/>
      </c>
      <c r="AE40" s="4">
        <f t="shared" si="65"/>
      </c>
      <c r="AF40" s="4">
        <f t="shared" si="66"/>
      </c>
      <c r="AG40" s="4">
        <f t="shared" si="67"/>
      </c>
      <c r="AH40" s="4">
        <f t="shared" si="68"/>
      </c>
      <c r="AI40" s="4">
        <f t="shared" si="69"/>
      </c>
      <c r="AJ40" s="4">
        <f t="shared" si="70"/>
      </c>
      <c r="AK40" s="162">
        <f t="shared" si="71"/>
      </c>
      <c r="AL40" s="4">
        <f t="shared" si="72"/>
      </c>
      <c r="AM40" s="4">
        <f t="shared" si="73"/>
      </c>
      <c r="AN40" s="4"/>
      <c r="AO40" s="4">
        <f t="shared" si="74"/>
      </c>
      <c r="AP40" s="4">
        <f t="shared" si="75"/>
      </c>
      <c r="AQ40" s="42">
        <f t="shared" si="76"/>
      </c>
      <c r="AR40" s="4">
        <f t="shared" si="77"/>
      </c>
      <c r="AS40" s="4">
        <f t="shared" si="78"/>
      </c>
      <c r="AT40" s="4">
        <f t="shared" si="79"/>
      </c>
      <c r="AV40"/>
      <c r="AW40"/>
      <c r="AY40"/>
    </row>
    <row r="41" spans="1:51" x14ac:dyDescent="0.3">
      <c r="A41" s="41">
        <f t="shared" si="50"/>
      </c>
      <c r="B41" s="4">
        <f t="shared" si="51"/>
      </c>
      <c r="C41" s="119"/>
      <c r="D41" s="119"/>
      <c r="E41" s="119">
        <f t="shared" si="49"/>
      </c>
      <c r="F41" s="173">
        <f t="shared" si="83"/>
      </c>
      <c r="G41" s="119"/>
      <c r="H41" s="173">
        <f t="shared" si="84"/>
      </c>
      <c r="I41" s="191">
        <f t="shared" si="85"/>
      </c>
      <c r="J41" s="119"/>
      <c r="K41" s="119">
        <f t="shared" si="86"/>
      </c>
      <c r="L41" s="119">
        <f t="shared" si="87"/>
      </c>
      <c r="M41" s="4">
        <f t="shared" si="52"/>
      </c>
      <c r="N41" s="100">
        <f t="shared" si="88"/>
      </c>
      <c r="O41" s="164">
        <f t="shared" si="89"/>
      </c>
      <c r="P41" s="59">
        <f t="shared" si="53"/>
      </c>
      <c r="Q41" s="100">
        <f t="shared" si="90"/>
      </c>
      <c r="R41" s="100"/>
      <c r="S41" s="100"/>
      <c r="T41" s="5">
        <f t="shared" si="54"/>
      </c>
      <c r="U41" s="4">
        <f t="shared" si="55"/>
      </c>
      <c r="V41" s="4">
        <f t="shared" si="56"/>
      </c>
      <c r="W41" s="4">
        <f t="shared" si="57"/>
      </c>
      <c r="X41" s="4">
        <f t="shared" si="58"/>
      </c>
      <c r="Y41" s="4">
        <f t="shared" si="59"/>
      </c>
      <c r="Z41" s="4">
        <f t="shared" si="60"/>
      </c>
      <c r="AA41" s="4">
        <f t="shared" si="61"/>
      </c>
      <c r="AB41" s="4">
        <f t="shared" si="62"/>
      </c>
      <c r="AC41" s="4">
        <f t="shared" si="63"/>
      </c>
      <c r="AD41" s="4">
        <f t="shared" si="64"/>
      </c>
      <c r="AE41" s="4">
        <f t="shared" si="65"/>
      </c>
      <c r="AF41" s="4">
        <f t="shared" si="66"/>
      </c>
      <c r="AG41" s="4">
        <f t="shared" si="67"/>
      </c>
      <c r="AH41" s="4">
        <f t="shared" si="68"/>
      </c>
      <c r="AI41" s="4">
        <f t="shared" si="69"/>
      </c>
      <c r="AJ41" s="4">
        <f t="shared" si="70"/>
      </c>
      <c r="AK41" s="162">
        <f t="shared" si="71"/>
      </c>
      <c r="AL41" s="4">
        <f t="shared" si="72"/>
      </c>
      <c r="AM41" s="4">
        <f t="shared" si="73"/>
      </c>
      <c r="AN41" s="4"/>
      <c r="AO41" s="4">
        <f t="shared" si="74"/>
      </c>
      <c r="AP41" s="4">
        <f t="shared" si="75"/>
      </c>
      <c r="AQ41" s="42">
        <f t="shared" si="76"/>
      </c>
      <c r="AR41" s="4">
        <f t="shared" si="77"/>
      </c>
      <c r="AS41" s="4">
        <f t="shared" si="78"/>
      </c>
      <c r="AT41" s="4">
        <f t="shared" si="79"/>
      </c>
      <c r="AV41"/>
      <c r="AW41"/>
      <c r="AY41"/>
    </row>
    <row r="42" spans="1:51" x14ac:dyDescent="0.3">
      <c r="A42" s="41">
        <f t="shared" si="50"/>
      </c>
      <c r="B42" s="4">
        <f t="shared" si="51"/>
      </c>
      <c r="C42" s="181"/>
      <c r="D42" s="119"/>
      <c r="E42" s="119">
        <f t="shared" si="49"/>
      </c>
      <c r="F42" s="173">
        <f t="shared" si="83"/>
      </c>
      <c r="G42" s="119"/>
      <c r="H42" s="173">
        <f t="shared" si="84"/>
      </c>
      <c r="I42" s="191">
        <f t="shared" si="85"/>
      </c>
      <c r="J42" s="119"/>
      <c r="K42" s="119">
        <f t="shared" si="86"/>
      </c>
      <c r="L42" s="119">
        <f t="shared" si="87"/>
      </c>
      <c r="M42" s="95">
        <f t="shared" si="52"/>
      </c>
      <c r="N42" s="100">
        <f t="shared" si="88"/>
      </c>
      <c r="O42" s="164">
        <f t="shared" si="89"/>
      </c>
      <c r="P42" s="59">
        <f t="shared" si="53"/>
      </c>
      <c r="Q42" s="100">
        <f t="shared" si="90"/>
      </c>
      <c r="R42" s="100"/>
      <c r="S42" s="100"/>
      <c r="T42" s="5">
        <f t="shared" si="54"/>
      </c>
      <c r="U42" s="4">
        <f t="shared" si="55"/>
      </c>
      <c r="V42" s="4">
        <f t="shared" si="56"/>
      </c>
      <c r="W42" s="4">
        <f t="shared" si="57"/>
      </c>
      <c r="X42" s="4">
        <f t="shared" si="58"/>
      </c>
      <c r="Y42" s="4">
        <f t="shared" si="59"/>
      </c>
      <c r="Z42" s="4">
        <f t="shared" si="60"/>
      </c>
      <c r="AA42" s="4">
        <f t="shared" si="61"/>
      </c>
      <c r="AB42" s="4">
        <f t="shared" si="62"/>
      </c>
      <c r="AC42" s="4">
        <f t="shared" si="63"/>
      </c>
      <c r="AD42" s="4">
        <f t="shared" si="64"/>
      </c>
      <c r="AE42" s="4">
        <f t="shared" si="65"/>
      </c>
      <c r="AF42" s="4">
        <f t="shared" si="66"/>
      </c>
      <c r="AG42" s="4">
        <f t="shared" si="67"/>
      </c>
      <c r="AH42" s="4">
        <f t="shared" si="68"/>
      </c>
      <c r="AI42" s="4">
        <f t="shared" si="69"/>
      </c>
      <c r="AJ42" s="4">
        <f t="shared" si="70"/>
      </c>
      <c r="AK42" s="162">
        <f t="shared" si="71"/>
      </c>
      <c r="AL42" s="4">
        <f t="shared" si="72"/>
      </c>
      <c r="AM42" s="4">
        <f t="shared" si="73"/>
      </c>
      <c r="AN42" s="4"/>
      <c r="AO42" s="4">
        <f t="shared" si="74"/>
      </c>
      <c r="AP42" s="4">
        <f t="shared" si="75"/>
      </c>
      <c r="AQ42" s="42">
        <f t="shared" si="76"/>
      </c>
      <c r="AR42" s="4">
        <f t="shared" si="77"/>
      </c>
      <c r="AS42" s="4">
        <f t="shared" si="78"/>
      </c>
      <c r="AT42" s="4">
        <f t="shared" si="79"/>
      </c>
      <c r="AV42"/>
      <c r="AW42"/>
      <c r="AY42"/>
    </row>
    <row r="43" spans="1:51" x14ac:dyDescent="0.3">
      <c r="A43" s="41">
        <f t="shared" si="50"/>
      </c>
      <c r="B43" s="4">
        <f t="shared" si="51"/>
      </c>
      <c r="C43" s="119"/>
      <c r="D43" s="119"/>
      <c r="E43" s="119">
        <f t="shared" si="49"/>
      </c>
      <c r="F43" s="173">
        <f t="shared" si="83"/>
      </c>
      <c r="G43" s="119"/>
      <c r="H43" s="173">
        <f t="shared" si="84"/>
      </c>
      <c r="I43" s="191">
        <f t="shared" si="85"/>
      </c>
      <c r="J43" s="119"/>
      <c r="K43" s="119">
        <f t="shared" si="86"/>
      </c>
      <c r="L43" s="119">
        <f t="shared" si="87"/>
      </c>
      <c r="M43" s="4">
        <f t="shared" si="52"/>
      </c>
      <c r="N43" s="100">
        <f t="shared" si="88"/>
      </c>
      <c r="O43" s="164">
        <f t="shared" si="89"/>
      </c>
      <c r="P43" s="59">
        <f t="shared" si="53"/>
      </c>
      <c r="Q43" s="100">
        <f t="shared" si="90"/>
      </c>
      <c r="R43" s="100"/>
      <c r="S43" s="100"/>
      <c r="T43" s="5">
        <f t="shared" si="54"/>
      </c>
      <c r="U43" s="4">
        <f t="shared" si="55"/>
      </c>
      <c r="V43" s="4">
        <f t="shared" si="56"/>
      </c>
      <c r="W43" s="4">
        <f t="shared" si="57"/>
      </c>
      <c r="X43" s="4">
        <f t="shared" si="58"/>
      </c>
      <c r="Y43" s="4">
        <f t="shared" si="59"/>
      </c>
      <c r="Z43" s="4">
        <f t="shared" si="60"/>
      </c>
      <c r="AA43" s="4">
        <f t="shared" si="61"/>
      </c>
      <c r="AB43" s="4">
        <f t="shared" si="62"/>
      </c>
      <c r="AC43" s="4">
        <f t="shared" si="63"/>
      </c>
      <c r="AD43" s="4">
        <f t="shared" si="64"/>
      </c>
      <c r="AE43" s="4">
        <f t="shared" si="65"/>
      </c>
      <c r="AF43" s="4">
        <f t="shared" si="66"/>
      </c>
      <c r="AG43" s="4">
        <f t="shared" si="67"/>
      </c>
      <c r="AH43" s="4">
        <f t="shared" si="68"/>
      </c>
      <c r="AI43" s="4">
        <f t="shared" si="69"/>
      </c>
      <c r="AJ43" s="4">
        <f t="shared" si="70"/>
      </c>
      <c r="AK43" s="162">
        <f t="shared" si="71"/>
      </c>
      <c r="AL43" s="4">
        <f t="shared" si="72"/>
      </c>
      <c r="AM43" s="4">
        <f t="shared" si="73"/>
      </c>
      <c r="AN43" s="4"/>
      <c r="AO43" s="4">
        <f t="shared" si="74"/>
      </c>
      <c r="AP43" s="4">
        <f t="shared" si="75"/>
      </c>
      <c r="AQ43" s="42">
        <f t="shared" si="76"/>
      </c>
      <c r="AR43" s="4">
        <f t="shared" si="77"/>
      </c>
      <c r="AS43" s="4">
        <f t="shared" si="78"/>
      </c>
      <c r="AT43" s="4">
        <f t="shared" si="79"/>
      </c>
      <c r="AV43"/>
      <c r="AW43"/>
      <c r="AY43"/>
    </row>
    <row r="44" spans="1:51" ht="43.2" x14ac:dyDescent="0.3">
      <c r="A44" s="41">
        <f t="shared" si="50"/>
      </c>
      <c r="B44" s="4">
        <f t="shared" si="51"/>
      </c>
      <c r="C44" s="181"/>
      <c r="D44" s="119"/>
      <c r="E44" s="119">
        <f t="shared" si="49"/>
      </c>
      <c r="F44" s="173">
        <f t="shared" si="83"/>
      </c>
      <c r="G44" s="119"/>
      <c r="H44" s="173">
        <f t="shared" si="84"/>
      </c>
      <c r="I44" s="191">
        <f t="shared" si="85"/>
      </c>
      <c r="J44" s="119"/>
      <c r="K44" s="119">
        <f t="shared" si="86"/>
      </c>
      <c r="L44" s="119">
        <f t="shared" si="87"/>
      </c>
      <c r="M44" s="95">
        <f t="shared" si="52"/>
      </c>
      <c r="N44" s="100">
        <f t="shared" si="88"/>
      </c>
      <c r="O44" s="164">
        <f t="shared" si="89"/>
      </c>
      <c r="P44" s="59">
        <f t="shared" si="53"/>
      </c>
      <c r="Q44" s="100">
        <f t="shared" si="90"/>
      </c>
      <c r="R44" s="100"/>
      <c r="S44" s="100"/>
      <c r="T44" s="5">
        <f t="shared" si="54"/>
      </c>
      <c r="U44" s="4">
        <f t="shared" si="55"/>
      </c>
      <c r="V44" s="4">
        <f t="shared" si="56"/>
      </c>
      <c r="W44" s="4">
        <f t="shared" si="57"/>
      </c>
      <c r="X44" s="4">
        <f t="shared" si="58"/>
      </c>
      <c r="Y44" s="4">
        <f t="shared" si="59"/>
      </c>
      <c r="Z44" s="4">
        <f t="shared" si="60"/>
      </c>
      <c r="AA44" s="4">
        <f t="shared" si="61"/>
      </c>
      <c r="AB44" s="4">
        <f t="shared" si="62"/>
      </c>
      <c r="AC44" s="4">
        <f t="shared" si="63"/>
      </c>
      <c r="AD44" s="4">
        <f t="shared" si="64"/>
      </c>
      <c r="AE44" s="4">
        <f t="shared" si="65"/>
      </c>
      <c r="AF44" s="4">
        <f t="shared" si="66"/>
      </c>
      <c r="AG44" s="4">
        <f t="shared" si="67"/>
      </c>
      <c r="AH44" s="4">
        <f t="shared" si="68"/>
      </c>
      <c r="AI44" s="4">
        <f t="shared" si="69"/>
      </c>
      <c r="AJ44" s="4">
        <f t="shared" si="70"/>
      </c>
      <c r="AK44" s="162">
        <f t="shared" si="71"/>
      </c>
      <c r="AL44" s="4">
        <f t="shared" si="72"/>
      </c>
      <c r="AM44" s="4">
        <f t="shared" si="73"/>
      </c>
      <c r="AN44" s="4"/>
      <c r="AO44" s="4">
        <f t="shared" si="74"/>
      </c>
      <c r="AP44" s="4">
        <f t="shared" si="75"/>
      </c>
      <c r="AQ44" s="42">
        <f t="shared" si="76"/>
      </c>
      <c r="AR44" s="4">
        <f t="shared" si="77"/>
      </c>
      <c r="AS44" s="4">
        <f t="shared" si="78"/>
      </c>
      <c r="AT44" s="4">
        <f t="shared" si="79"/>
      </c>
      <c r="AV44"/>
      <c r="AW44"/>
      <c r="AY44"/>
    </row>
    <row r="45" spans="1:51" x14ac:dyDescent="0.3">
      <c r="A45" s="41">
        <f t="shared" si="50"/>
      </c>
      <c r="B45" s="4">
        <f t="shared" si="51"/>
      </c>
      <c r="C45" s="119"/>
      <c r="D45" s="119"/>
      <c r="E45" s="119">
        <f t="shared" si="49"/>
      </c>
      <c r="F45" s="173">
        <f t="shared" si="83"/>
      </c>
      <c r="G45" s="119"/>
      <c r="H45" s="173">
        <f t="shared" si="84"/>
      </c>
      <c r="I45" s="191">
        <f t="shared" si="85"/>
      </c>
      <c r="J45" s="119"/>
      <c r="K45" s="119">
        <f t="shared" si="86"/>
      </c>
      <c r="L45" s="119">
        <f t="shared" si="87"/>
      </c>
      <c r="M45" s="4">
        <f t="shared" si="52"/>
      </c>
      <c r="N45" s="100">
        <f t="shared" si="88"/>
      </c>
      <c r="O45" s="164">
        <f t="shared" si="89"/>
      </c>
      <c r="P45" s="59">
        <f t="shared" si="53"/>
      </c>
      <c r="Q45" s="100">
        <f t="shared" si="90"/>
      </c>
      <c r="R45" s="100"/>
      <c r="S45" s="100"/>
      <c r="T45" s="5">
        <f t="shared" si="54"/>
      </c>
      <c r="U45" s="4">
        <f t="shared" si="55"/>
      </c>
      <c r="V45" s="4">
        <f t="shared" si="56"/>
      </c>
      <c r="W45" s="4">
        <f t="shared" si="57"/>
      </c>
      <c r="X45" s="4">
        <f t="shared" si="58"/>
      </c>
      <c r="Y45" s="4">
        <f t="shared" si="59"/>
      </c>
      <c r="Z45" s="4">
        <f t="shared" si="60"/>
      </c>
      <c r="AA45" s="4">
        <f t="shared" si="61"/>
      </c>
      <c r="AB45" s="4">
        <f t="shared" si="62"/>
      </c>
      <c r="AC45" s="4">
        <f t="shared" si="63"/>
      </c>
      <c r="AD45" s="4">
        <f t="shared" si="64"/>
      </c>
      <c r="AE45" s="4">
        <f t="shared" si="65"/>
      </c>
      <c r="AF45" s="4">
        <f t="shared" si="66"/>
      </c>
      <c r="AG45" s="4">
        <f t="shared" si="67"/>
      </c>
      <c r="AH45" s="4">
        <f t="shared" si="68"/>
      </c>
      <c r="AI45" s="4">
        <f t="shared" si="69"/>
      </c>
      <c r="AJ45" s="4">
        <f t="shared" si="70"/>
      </c>
      <c r="AK45" s="162">
        <f t="shared" si="71"/>
      </c>
      <c r="AL45" s="4">
        <f t="shared" si="72"/>
      </c>
      <c r="AM45" s="4">
        <f t="shared" si="73"/>
      </c>
      <c r="AN45" s="4"/>
      <c r="AO45" s="4">
        <f t="shared" si="74"/>
      </c>
      <c r="AP45" s="4">
        <f t="shared" si="75"/>
      </c>
      <c r="AQ45" s="42">
        <f t="shared" si="76"/>
      </c>
      <c r="AR45" s="4">
        <f t="shared" si="77"/>
      </c>
      <c r="AS45" s="4">
        <f t="shared" si="78"/>
      </c>
      <c r="AT45" s="4">
        <f t="shared" si="79"/>
      </c>
      <c r="AV45"/>
      <c r="AW45"/>
      <c r="AY45"/>
    </row>
    <row r="46" spans="1:51" x14ac:dyDescent="0.3">
      <c r="A46" s="41">
        <f t="shared" si="50"/>
      </c>
      <c r="B46" s="4">
        <f t="shared" si="51"/>
      </c>
      <c r="C46" s="181"/>
      <c r="D46" s="119"/>
      <c r="E46" s="119">
        <f t="shared" si="49"/>
      </c>
      <c r="F46" s="173">
        <f t="shared" si="83"/>
      </c>
      <c r="G46" s="119"/>
      <c r="H46" s="173">
        <f t="shared" si="84"/>
      </c>
      <c r="I46" s="191">
        <f t="shared" si="85"/>
      </c>
      <c r="J46" s="119"/>
      <c r="K46" s="119">
        <f t="shared" si="86"/>
      </c>
      <c r="L46" s="119">
        <f t="shared" si="87"/>
      </c>
      <c r="M46" s="95">
        <f t="shared" si="52"/>
      </c>
      <c r="N46" s="100">
        <f t="shared" si="88"/>
      </c>
      <c r="O46" s="164">
        <f t="shared" si="89"/>
      </c>
      <c r="P46" s="59">
        <f t="shared" si="53"/>
      </c>
      <c r="Q46" s="100">
        <f t="shared" si="90"/>
      </c>
      <c r="R46" s="100"/>
      <c r="S46" s="100"/>
      <c r="T46" s="5">
        <f t="shared" si="54"/>
      </c>
      <c r="U46" s="4">
        <f t="shared" si="55"/>
      </c>
      <c r="V46" s="4">
        <f t="shared" si="56"/>
      </c>
      <c r="W46" s="4">
        <f t="shared" si="57"/>
      </c>
      <c r="X46" s="4">
        <f t="shared" si="58"/>
      </c>
      <c r="Y46" s="4">
        <f t="shared" si="59"/>
      </c>
      <c r="Z46" s="4">
        <f t="shared" si="60"/>
      </c>
      <c r="AA46" s="4">
        <f t="shared" si="61"/>
      </c>
      <c r="AB46" s="4">
        <f t="shared" si="62"/>
      </c>
      <c r="AC46" s="4">
        <f t="shared" si="63"/>
      </c>
      <c r="AD46" s="4">
        <f t="shared" si="64"/>
      </c>
      <c r="AE46" s="4">
        <f t="shared" si="65"/>
      </c>
      <c r="AF46" s="4">
        <f t="shared" si="66"/>
      </c>
      <c r="AG46" s="4">
        <f t="shared" si="67"/>
      </c>
      <c r="AH46" s="4">
        <f t="shared" si="68"/>
      </c>
      <c r="AI46" s="4">
        <f t="shared" si="69"/>
      </c>
      <c r="AJ46" s="4">
        <f t="shared" si="70"/>
      </c>
      <c r="AK46" s="162">
        <f t="shared" si="71"/>
      </c>
      <c r="AL46" s="4">
        <f t="shared" si="72"/>
      </c>
      <c r="AM46" s="4">
        <f t="shared" si="73"/>
      </c>
      <c r="AN46" s="4"/>
      <c r="AO46" s="4">
        <f t="shared" si="74"/>
      </c>
      <c r="AP46" s="4">
        <f t="shared" si="75"/>
      </c>
      <c r="AQ46" s="42">
        <f t="shared" si="76"/>
      </c>
      <c r="AR46" s="4">
        <f t="shared" si="77"/>
      </c>
      <c r="AS46" s="4">
        <f t="shared" si="78"/>
      </c>
      <c r="AT46" s="4">
        <f t="shared" si="79"/>
      </c>
      <c r="AV46"/>
      <c r="AW46"/>
      <c r="AY46"/>
    </row>
    <row r="47" spans="1:51" x14ac:dyDescent="0.3">
      <c r="A47" s="41">
        <f t="shared" si="50"/>
      </c>
      <c r="B47" s="4">
        <f t="shared" si="51"/>
      </c>
      <c r="C47" s="119"/>
      <c r="D47" s="119"/>
      <c r="E47" s="119">
        <f t="shared" si="49"/>
      </c>
      <c r="F47" s="173">
        <f t="shared" si="83"/>
      </c>
      <c r="G47" s="119"/>
      <c r="H47" s="173">
        <f t="shared" si="84"/>
      </c>
      <c r="I47" s="191">
        <f t="shared" si="85"/>
      </c>
      <c r="J47" s="119"/>
      <c r="K47" s="119">
        <f t="shared" si="86"/>
      </c>
      <c r="L47" s="119">
        <f t="shared" si="87"/>
      </c>
      <c r="M47" s="95">
        <f t="shared" si="52"/>
      </c>
      <c r="N47" s="59">
        <f t="shared" si="88"/>
      </c>
      <c r="O47" s="164">
        <f t="shared" si="89"/>
      </c>
      <c r="P47" s="59">
        <f t="shared" si="53"/>
      </c>
      <c r="Q47" s="100">
        <f t="shared" si="90"/>
      </c>
      <c r="R47" s="100"/>
      <c r="S47" s="100"/>
      <c r="T47" s="5">
        <f t="shared" si="54"/>
      </c>
      <c r="U47" s="4">
        <f t="shared" si="55"/>
      </c>
      <c r="V47" s="4">
        <f t="shared" si="56"/>
      </c>
      <c r="W47" s="4">
        <f t="shared" si="57"/>
      </c>
      <c r="X47" s="4">
        <f t="shared" si="58"/>
      </c>
      <c r="Y47" s="4">
        <f t="shared" si="59"/>
      </c>
      <c r="Z47" s="4">
        <f t="shared" si="60"/>
      </c>
      <c r="AA47" s="4">
        <f t="shared" si="61"/>
      </c>
      <c r="AB47" s="4">
        <f t="shared" si="62"/>
      </c>
      <c r="AC47" s="4">
        <f t="shared" si="63"/>
      </c>
      <c r="AD47" s="4">
        <f t="shared" si="64"/>
      </c>
      <c r="AE47" s="4">
        <f t="shared" si="65"/>
      </c>
      <c r="AF47" s="4">
        <f t="shared" si="66"/>
      </c>
      <c r="AG47" s="4">
        <f t="shared" si="67"/>
      </c>
      <c r="AH47" s="4">
        <f t="shared" si="68"/>
      </c>
      <c r="AI47" s="4">
        <f t="shared" si="69"/>
      </c>
      <c r="AJ47" s="4">
        <f t="shared" si="70"/>
      </c>
      <c r="AK47" s="162">
        <f t="shared" si="71"/>
      </c>
      <c r="AL47" s="4">
        <f t="shared" si="72"/>
      </c>
      <c r="AM47" s="4">
        <f t="shared" si="73"/>
      </c>
      <c r="AN47" s="4"/>
      <c r="AO47" s="4">
        <f t="shared" si="74"/>
      </c>
      <c r="AP47" s="4">
        <f t="shared" si="75"/>
      </c>
      <c r="AQ47" s="42">
        <f t="shared" si="76"/>
      </c>
      <c r="AR47" s="4">
        <f t="shared" si="77"/>
      </c>
      <c r="AS47" s="4">
        <f t="shared" si="78"/>
      </c>
      <c r="AT47" s="4">
        <f t="shared" si="79"/>
      </c>
      <c r="AV47"/>
      <c r="AW47"/>
      <c r="AY47"/>
    </row>
    <row r="48" spans="1:51" x14ac:dyDescent="0.3">
      <c r="A48" s="41">
        <f t="shared" si="50"/>
      </c>
      <c r="B48" s="4">
        <f t="shared" si="51"/>
      </c>
      <c r="C48" s="119"/>
      <c r="D48" s="119"/>
      <c r="E48" s="119">
        <f t="shared" si="49"/>
      </c>
      <c r="F48" s="173">
        <f t="shared" si="83"/>
      </c>
      <c r="G48" s="119"/>
      <c r="H48" s="173">
        <f t="shared" si="84"/>
      </c>
      <c r="I48" s="191">
        <f t="shared" si="85"/>
      </c>
      <c r="J48" s="119"/>
      <c r="K48" s="119">
        <f t="shared" si="86"/>
      </c>
      <c r="L48" s="119">
        <f t="shared" si="87"/>
      </c>
      <c r="M48" s="95">
        <f t="shared" si="52"/>
      </c>
      <c r="N48" s="59">
        <f t="shared" si="88"/>
      </c>
      <c r="O48" s="164">
        <f t="shared" si="89"/>
      </c>
      <c r="P48" s="59">
        <f t="shared" si="53"/>
      </c>
      <c r="Q48" s="100">
        <f t="shared" si="90"/>
      </c>
      <c r="R48" s="100"/>
      <c r="S48" s="100"/>
      <c r="T48" s="5">
        <f t="shared" si="54"/>
      </c>
      <c r="U48" s="4">
        <f t="shared" si="55"/>
      </c>
      <c r="V48" s="4">
        <f t="shared" si="56"/>
      </c>
      <c r="W48" s="4">
        <f t="shared" si="57"/>
      </c>
      <c r="X48" s="4">
        <f t="shared" si="58"/>
      </c>
      <c r="Y48" s="4">
        <f t="shared" si="59"/>
      </c>
      <c r="Z48" s="4">
        <f t="shared" si="60"/>
      </c>
      <c r="AA48" s="4">
        <f t="shared" si="61"/>
      </c>
      <c r="AB48" s="4">
        <f t="shared" si="62"/>
      </c>
      <c r="AC48" s="4">
        <f t="shared" si="63"/>
      </c>
      <c r="AD48" s="4">
        <f t="shared" si="64"/>
      </c>
      <c r="AE48" s="4">
        <f t="shared" si="65"/>
      </c>
      <c r="AF48" s="4">
        <f t="shared" si="66"/>
      </c>
      <c r="AG48" s="4">
        <f t="shared" si="67"/>
      </c>
      <c r="AH48" s="4">
        <f t="shared" si="68"/>
      </c>
      <c r="AI48" s="4">
        <f t="shared" si="69"/>
      </c>
      <c r="AJ48" s="4">
        <f t="shared" si="70"/>
      </c>
      <c r="AK48" s="162">
        <f t="shared" si="71"/>
      </c>
      <c r="AL48" s="4">
        <f t="shared" si="72"/>
      </c>
      <c r="AM48" s="4">
        <f t="shared" si="73"/>
      </c>
      <c r="AN48" s="4"/>
      <c r="AO48" s="4">
        <f t="shared" si="74"/>
      </c>
      <c r="AP48" s="4">
        <f t="shared" si="75"/>
      </c>
      <c r="AQ48" s="42">
        <f t="shared" si="76"/>
      </c>
      <c r="AR48" s="4">
        <f t="shared" si="77"/>
      </c>
      <c r="AS48" s="4">
        <f t="shared" si="78"/>
      </c>
      <c r="AT48" s="4">
        <f t="shared" si="79"/>
      </c>
      <c r="AV48"/>
      <c r="AW48"/>
      <c r="AY48"/>
    </row>
    <row r="49" spans="1:51" x14ac:dyDescent="0.3">
      <c r="A49" s="41">
        <f t="shared" si="50"/>
      </c>
      <c r="B49" s="4">
        <f t="shared" si="51"/>
      </c>
      <c r="C49" s="119"/>
      <c r="D49" s="119"/>
      <c r="E49" s="119">
        <f t="shared" si="49"/>
      </c>
      <c r="F49" s="173">
        <f t="shared" si="83"/>
      </c>
      <c r="G49" s="119"/>
      <c r="H49" s="173">
        <f t="shared" si="84"/>
      </c>
      <c r="I49" s="191">
        <f t="shared" si="85"/>
      </c>
      <c r="J49" s="119"/>
      <c r="K49" s="119">
        <f t="shared" si="86"/>
      </c>
      <c r="L49" s="119">
        <f t="shared" si="87"/>
      </c>
      <c r="M49" s="95">
        <f t="shared" si="52"/>
      </c>
      <c r="N49" s="59">
        <f t="shared" si="88"/>
      </c>
      <c r="O49" s="164">
        <f t="shared" si="89"/>
      </c>
      <c r="P49" s="59">
        <f t="shared" si="53"/>
      </c>
      <c r="Q49" s="100">
        <f t="shared" si="90"/>
      </c>
      <c r="R49" s="100"/>
      <c r="S49" s="100"/>
      <c r="T49" s="5">
        <f t="shared" si="54"/>
      </c>
      <c r="U49" s="4">
        <f t="shared" si="55"/>
      </c>
      <c r="V49" s="4">
        <f t="shared" si="56"/>
      </c>
      <c r="W49" s="4">
        <f t="shared" si="57"/>
      </c>
      <c r="X49" s="4">
        <f t="shared" si="58"/>
      </c>
      <c r="Y49" s="4">
        <f t="shared" si="59"/>
      </c>
      <c r="Z49" s="4">
        <f t="shared" si="60"/>
      </c>
      <c r="AA49" s="4">
        <f t="shared" si="61"/>
      </c>
      <c r="AB49" s="4">
        <f t="shared" si="62"/>
      </c>
      <c r="AC49" s="4">
        <f t="shared" si="63"/>
      </c>
      <c r="AD49" s="4">
        <f t="shared" si="64"/>
      </c>
      <c r="AE49" s="4">
        <f t="shared" si="65"/>
      </c>
      <c r="AF49" s="4">
        <f t="shared" si="66"/>
      </c>
      <c r="AG49" s="4">
        <f t="shared" si="67"/>
      </c>
      <c r="AH49" s="4">
        <f t="shared" si="68"/>
      </c>
      <c r="AI49" s="4">
        <f t="shared" si="69"/>
      </c>
      <c r="AJ49" s="4">
        <f t="shared" si="70"/>
      </c>
      <c r="AK49" s="162">
        <f t="shared" si="71"/>
      </c>
      <c r="AL49" s="4">
        <f t="shared" si="72"/>
      </c>
      <c r="AM49" s="4">
        <f t="shared" si="73"/>
      </c>
      <c r="AN49" s="4"/>
      <c r="AO49" s="4">
        <f t="shared" si="74"/>
      </c>
      <c r="AP49" s="4">
        <f t="shared" si="75"/>
      </c>
      <c r="AQ49" s="42">
        <f t="shared" si="76"/>
      </c>
      <c r="AR49" s="4">
        <f t="shared" si="77"/>
      </c>
      <c r="AS49" s="4">
        <f t="shared" si="78"/>
      </c>
      <c r="AT49" s="4">
        <f t="shared" si="79"/>
      </c>
      <c r="AV49"/>
      <c r="AW49"/>
      <c r="AY49"/>
    </row>
    <row r="50" spans="1:51" x14ac:dyDescent="0.3">
      <c r="A50" s="41">
        <f t="shared" si="50"/>
      </c>
      <c r="B50" s="4">
        <f t="shared" si="51"/>
      </c>
      <c r="C50" s="119"/>
      <c r="D50" s="119"/>
      <c r="E50" s="119">
        <f t="shared" si="49"/>
      </c>
      <c r="F50" s="173">
        <f t="shared" si="83"/>
      </c>
      <c r="G50" s="119"/>
      <c r="H50" s="173">
        <f t="shared" si="84"/>
      </c>
      <c r="I50" s="191">
        <f t="shared" si="85"/>
      </c>
      <c r="J50" s="119"/>
      <c r="K50" s="119">
        <f t="shared" si="86"/>
      </c>
      <c r="L50" s="119">
        <f t="shared" si="87"/>
      </c>
      <c r="M50" s="95">
        <f t="shared" si="52"/>
      </c>
      <c r="N50" s="59">
        <f t="shared" si="88"/>
      </c>
      <c r="O50" s="164">
        <f t="shared" si="89"/>
      </c>
      <c r="P50" s="59">
        <f t="shared" si="53"/>
      </c>
      <c r="Q50" s="100">
        <f t="shared" si="90"/>
      </c>
      <c r="R50" s="100"/>
      <c r="S50" s="100"/>
      <c r="T50" s="5">
        <f t="shared" si="54"/>
      </c>
      <c r="U50" s="4">
        <f t="shared" si="55"/>
      </c>
      <c r="V50" s="4">
        <f t="shared" si="56"/>
      </c>
      <c r="W50" s="4">
        <f t="shared" si="57"/>
      </c>
      <c r="X50" s="4">
        <f t="shared" si="58"/>
      </c>
      <c r="Y50" s="4">
        <f t="shared" si="59"/>
      </c>
      <c r="Z50" s="4">
        <f t="shared" si="60"/>
      </c>
      <c r="AA50" s="4">
        <f t="shared" si="61"/>
      </c>
      <c r="AB50" s="4">
        <f t="shared" si="62"/>
      </c>
      <c r="AC50" s="4">
        <f t="shared" si="63"/>
      </c>
      <c r="AD50" s="4">
        <f t="shared" si="64"/>
      </c>
      <c r="AE50" s="4">
        <f t="shared" si="65"/>
      </c>
      <c r="AF50" s="4">
        <f t="shared" si="66"/>
      </c>
      <c r="AG50" s="4">
        <f t="shared" si="67"/>
      </c>
      <c r="AH50" s="4">
        <f t="shared" si="68"/>
      </c>
      <c r="AI50" s="4">
        <f t="shared" si="69"/>
      </c>
      <c r="AJ50" s="4">
        <f t="shared" si="70"/>
      </c>
      <c r="AK50" s="162">
        <f t="shared" si="71"/>
      </c>
      <c r="AL50" s="4">
        <f t="shared" si="72"/>
      </c>
      <c r="AM50" s="4">
        <f t="shared" si="73"/>
      </c>
      <c r="AN50" s="4"/>
      <c r="AO50" s="4">
        <f t="shared" si="74"/>
      </c>
      <c r="AP50" s="4">
        <f t="shared" si="75"/>
      </c>
      <c r="AQ50" s="42">
        <f t="shared" si="76"/>
      </c>
      <c r="AR50" s="4">
        <f t="shared" si="77"/>
      </c>
      <c r="AS50" s="4">
        <f t="shared" si="78"/>
      </c>
      <c r="AT50" s="4">
        <f t="shared" si="79"/>
      </c>
      <c r="AV50"/>
      <c r="AW50"/>
      <c r="AY50"/>
    </row>
    <row r="51" spans="1:51" x14ac:dyDescent="0.3">
      <c r="A51" s="41">
        <f t="shared" si="50"/>
      </c>
      <c r="B51" s="4">
        <f t="shared" si="51"/>
      </c>
      <c r="C51" s="119"/>
      <c r="D51" s="119"/>
      <c r="E51" s="119">
        <f t="shared" si="49"/>
      </c>
      <c r="F51" s="173">
        <f t="shared" si="83"/>
      </c>
      <c r="G51" s="119"/>
      <c r="H51" s="173">
        <f t="shared" si="84"/>
      </c>
      <c r="I51" s="191">
        <f t="shared" si="85"/>
      </c>
      <c r="J51" s="119"/>
      <c r="K51" s="119">
        <f t="shared" si="86"/>
      </c>
      <c r="L51" s="119">
        <f t="shared" si="87"/>
      </c>
      <c r="M51" s="95">
        <f t="shared" si="52"/>
      </c>
      <c r="N51" s="59">
        <f t="shared" si="88"/>
      </c>
      <c r="O51" s="164">
        <f t="shared" si="89"/>
      </c>
      <c r="P51" s="59">
        <f t="shared" si="53"/>
      </c>
      <c r="Q51" s="100">
        <f t="shared" si="90"/>
      </c>
      <c r="R51" s="100"/>
      <c r="S51" s="100"/>
      <c r="T51" s="5">
        <f t="shared" si="54"/>
      </c>
      <c r="U51" s="4">
        <f t="shared" si="55"/>
      </c>
      <c r="V51" s="4">
        <f t="shared" si="56"/>
      </c>
      <c r="W51" s="4">
        <f t="shared" si="57"/>
      </c>
      <c r="X51" s="4">
        <f t="shared" si="58"/>
      </c>
      <c r="Y51" s="4">
        <f t="shared" si="59"/>
      </c>
      <c r="Z51" s="4">
        <f t="shared" si="60"/>
      </c>
      <c r="AA51" s="4">
        <f t="shared" si="61"/>
      </c>
      <c r="AB51" s="4">
        <f t="shared" si="62"/>
      </c>
      <c r="AC51" s="4">
        <f t="shared" si="63"/>
      </c>
      <c r="AD51" s="4">
        <f t="shared" si="64"/>
      </c>
      <c r="AE51" s="4">
        <f t="shared" si="65"/>
      </c>
      <c r="AF51" s="4">
        <f t="shared" si="66"/>
      </c>
      <c r="AG51" s="4">
        <f t="shared" si="67"/>
      </c>
      <c r="AH51" s="4">
        <f t="shared" si="68"/>
      </c>
      <c r="AI51" s="4">
        <f t="shared" si="69"/>
      </c>
      <c r="AJ51" s="4">
        <f t="shared" si="70"/>
      </c>
      <c r="AK51" s="162">
        <f t="shared" si="71"/>
      </c>
      <c r="AL51" s="4">
        <f t="shared" si="72"/>
      </c>
      <c r="AM51" s="4">
        <f t="shared" si="73"/>
      </c>
      <c r="AN51" s="4"/>
      <c r="AO51" s="4">
        <f t="shared" si="74"/>
      </c>
      <c r="AP51" s="4">
        <f t="shared" si="75"/>
      </c>
      <c r="AQ51" s="42">
        <f t="shared" si="76"/>
      </c>
      <c r="AR51" s="4">
        <f t="shared" si="77"/>
      </c>
      <c r="AS51" s="4">
        <f t="shared" si="78"/>
      </c>
      <c r="AT51" s="4">
        <f t="shared" si="79"/>
      </c>
      <c r="AV51"/>
      <c r="AW51"/>
      <c r="AY51"/>
    </row>
    <row r="52" spans="1:51" x14ac:dyDescent="0.3">
      <c r="A52" s="41">
        <f t="shared" si="50"/>
      </c>
      <c r="B52" s="4">
        <f t="shared" si="51"/>
      </c>
      <c r="C52" s="119"/>
      <c r="D52" s="256"/>
      <c r="E52" s="119"/>
      <c r="F52" s="173">
        <f t="shared" si="83"/>
      </c>
      <c r="G52" s="119"/>
      <c r="H52" s="173">
        <f t="shared" si="84"/>
      </c>
      <c r="I52" s="191">
        <f t="shared" si="85"/>
      </c>
      <c r="J52" s="119"/>
      <c r="K52" s="119">
        <f t="shared" si="86"/>
      </c>
      <c r="L52" s="119">
        <f t="shared" si="87"/>
      </c>
      <c r="M52" s="95">
        <f t="shared" si="52"/>
      </c>
      <c r="N52" s="59">
        <f t="shared" si="88"/>
      </c>
      <c r="O52" s="164"/>
      <c r="P52" s="59">
        <f t="shared" si="53"/>
      </c>
      <c r="Q52" s="100">
        <f t="shared" si="90"/>
      </c>
      <c r="R52" s="100"/>
      <c r="S52" s="100"/>
      <c r="T52" s="5">
        <f t="shared" si="54"/>
      </c>
      <c r="U52" s="4">
        <f t="shared" si="55"/>
      </c>
      <c r="V52" s="4">
        <f t="shared" si="56"/>
      </c>
      <c r="W52" s="4">
        <f t="shared" si="57"/>
      </c>
      <c r="X52" s="4">
        <f t="shared" si="58"/>
      </c>
      <c r="Y52" s="4">
        <f t="shared" si="59"/>
      </c>
      <c r="Z52" s="4">
        <f t="shared" si="60"/>
      </c>
      <c r="AA52" s="4">
        <f t="shared" si="61"/>
      </c>
      <c r="AB52" s="4">
        <f t="shared" si="62"/>
      </c>
      <c r="AC52" s="4">
        <f t="shared" si="63"/>
      </c>
      <c r="AD52" s="4">
        <f t="shared" si="64"/>
      </c>
      <c r="AE52" s="4">
        <f t="shared" si="65"/>
      </c>
      <c r="AF52" s="4">
        <f t="shared" si="66"/>
      </c>
      <c r="AG52" s="4">
        <f t="shared" si="67"/>
      </c>
      <c r="AH52" s="4">
        <f t="shared" si="68"/>
      </c>
      <c r="AI52" s="4">
        <f t="shared" si="69"/>
      </c>
      <c r="AJ52" s="4">
        <f t="shared" si="70"/>
      </c>
      <c r="AK52" s="163">
        <f t="shared" si="71"/>
      </c>
      <c r="AL52" s="4">
        <f t="shared" si="72"/>
      </c>
      <c r="AM52" s="4">
        <f t="shared" si="73"/>
      </c>
      <c r="AN52" s="4"/>
      <c r="AO52" s="4">
        <f t="shared" si="74"/>
      </c>
      <c r="AP52" s="4">
        <f t="shared" si="75"/>
      </c>
      <c r="AQ52" s="42">
        <f t="shared" si="76"/>
      </c>
      <c r="AR52" s="4">
        <f t="shared" si="77"/>
      </c>
      <c r="AS52" s="4">
        <f t="shared" si="78"/>
      </c>
      <c r="AT52" s="4">
        <f t="shared" si="79"/>
      </c>
      <c r="AV52"/>
      <c r="AW52"/>
      <c r="AY52"/>
    </row>
    <row r="53" spans="1:51" ht="15" thickBot="1" x14ac:dyDescent="0.35">
      <c r="A53" s="43">
        <f t="shared" si="50"/>
      </c>
      <c r="B53" s="44">
        <f t="shared" si="51"/>
      </c>
      <c r="C53" s="175"/>
      <c r="D53" s="175"/>
      <c r="E53" s="176"/>
      <c r="F53" s="178"/>
      <c r="G53" s="173"/>
      <c r="H53" s="173"/>
      <c r="I53" s="192"/>
      <c r="J53" s="105"/>
      <c r="K53" s="105"/>
      <c r="L53" s="105"/>
      <c r="M53" s="95">
        <f t="shared" si="52"/>
      </c>
      <c r="N53" s="100"/>
      <c r="O53" s="164"/>
      <c r="P53" s="59">
        <f t="shared" si="53"/>
      </c>
      <c r="Q53" s="165"/>
      <c r="R53" s="100"/>
      <c r="S53" s="164"/>
      <c r="T53" s="45">
        <f t="shared" si="54"/>
      </c>
      <c r="U53" s="44">
        <f t="shared" si="55"/>
      </c>
      <c r="V53" s="44">
        <f t="shared" si="56"/>
      </c>
      <c r="W53" s="44">
        <f t="shared" si="57"/>
      </c>
      <c r="X53" s="44">
        <f t="shared" si="58"/>
      </c>
      <c r="Y53" s="44">
        <f t="shared" si="59"/>
      </c>
      <c r="Z53" s="44">
        <f t="shared" si="60"/>
      </c>
      <c r="AA53" s="44">
        <f t="shared" si="61"/>
      </c>
      <c r="AB53" s="44">
        <f t="shared" si="62"/>
      </c>
      <c r="AC53" s="44">
        <f t="shared" si="63"/>
      </c>
      <c r="AD53" s="44">
        <f t="shared" si="64"/>
      </c>
      <c r="AE53" s="44">
        <f t="shared" si="65"/>
      </c>
      <c r="AF53" s="44">
        <f t="shared" si="66"/>
      </c>
      <c r="AG53" s="44">
        <f t="shared" si="67"/>
        <v/>
      </c>
      <c r="AH53" s="44">
        <f t="shared" si="68"/>
      </c>
      <c r="AI53" s="44">
        <f t="shared" si="69"/>
      </c>
      <c r="AJ53" s="44">
        <f t="shared" si="70"/>
      </c>
      <c r="AK53" s="45">
        <f t="shared" si="71"/>
      </c>
      <c r="AL53" s="45">
        <f t="shared" si="72"/>
      </c>
      <c r="AM53" s="44">
        <f t="shared" si="73"/>
      </c>
      <c r="AN53" s="44"/>
      <c r="AO53" s="4">
        <f t="shared" si="74"/>
      </c>
      <c r="AP53" s="44">
        <f t="shared" si="75"/>
      </c>
      <c r="AQ53" s="46">
        <f t="shared" si="76"/>
        <v/>
      </c>
      <c r="AR53" s="44">
        <f t="shared" si="77"/>
      </c>
      <c r="AS53" s="44">
        <f t="shared" si="78"/>
      </c>
      <c r="AT53" s="44">
        <f t="shared" si="79"/>
      </c>
    </row>
    <row r="54" spans="1:51" x14ac:dyDescent="0.3">
      <c r="A54" s="37">
        <f t="shared" si="50"/>
      </c>
      <c r="B54" s="38">
        <f t="shared" si="51"/>
      </c>
      <c r="C54" s="172"/>
      <c r="D54" s="119"/>
      <c r="E54" s="179"/>
      <c r="F54" s="173"/>
      <c r="G54" s="182"/>
      <c r="H54" s="182"/>
      <c r="I54" s="192"/>
      <c r="J54" s="174"/>
      <c r="K54" s="174"/>
      <c r="L54" s="105"/>
      <c r="M54" s="7">
        <f t="shared" si="52"/>
      </c>
      <c r="N54" s="100"/>
      <c r="O54" s="167"/>
      <c r="P54" s="59">
        <f t="shared" si="53"/>
      </c>
      <c r="Q54" s="169"/>
      <c r="R54" s="100"/>
      <c r="S54" s="164"/>
      <c r="T54" s="39">
        <f t="shared" si="54"/>
      </c>
      <c r="U54" s="38">
        <f t="shared" si="55"/>
      </c>
      <c r="V54" s="38">
        <f t="shared" si="56"/>
      </c>
      <c r="W54" s="38">
        <f t="shared" si="57"/>
      </c>
      <c r="X54" s="38">
        <f t="shared" si="58"/>
      </c>
      <c r="Y54" s="38">
        <f t="shared" si="59"/>
      </c>
      <c r="Z54" s="38">
        <f t="shared" si="60"/>
      </c>
      <c r="AA54" s="38">
        <f t="shared" si="61"/>
      </c>
      <c r="AB54" s="38">
        <f t="shared" si="62"/>
      </c>
      <c r="AC54" s="38">
        <f t="shared" si="63"/>
      </c>
      <c r="AD54" s="38">
        <f t="shared" si="64"/>
      </c>
      <c r="AE54" s="38">
        <f t="shared" si="65"/>
      </c>
      <c r="AF54" s="38">
        <f t="shared" si="66"/>
      </c>
      <c r="AG54" s="38">
        <f t="shared" si="67"/>
        <v/>
      </c>
      <c r="AH54" s="38">
        <f t="shared" si="68"/>
      </c>
      <c r="AI54" s="38">
        <f t="shared" si="69"/>
      </c>
      <c r="AJ54" s="38">
        <f t="shared" si="70"/>
      </c>
      <c r="AK54" s="39">
        <f t="shared" si="71"/>
      </c>
      <c r="AL54" s="39">
        <f t="shared" si="72"/>
      </c>
      <c r="AM54" s="38">
        <f t="shared" si="73"/>
      </c>
      <c r="AN54" s="38"/>
      <c r="AO54" s="4">
        <f t="shared" si="74"/>
      </c>
      <c r="AP54" s="38">
        <f t="shared" si="75"/>
      </c>
      <c r="AQ54" s="40">
        <f t="shared" si="76"/>
        <v/>
      </c>
      <c r="AR54" s="38">
        <f t="shared" si="77"/>
      </c>
      <c r="AS54" s="38">
        <f t="shared" si="78"/>
      </c>
      <c r="AT54" s="38">
        <f t="shared" si="79"/>
      </c>
    </row>
    <row r="55" spans="1:51" x14ac:dyDescent="0.3">
      <c r="A55" s="41">
        <f t="shared" si="50"/>
      </c>
      <c r="B55" s="4">
        <f t="shared" si="51"/>
      </c>
      <c r="C55" s="119"/>
      <c r="D55" s="258"/>
      <c r="E55" s="179"/>
      <c r="F55" s="173">
        <f t="shared" ref="F55:F69" si="91">IF(D55="","",IFERROR(IF(VLOOKUP(AH55,Потребители_обозначение,8,FALSE)=0,"",VLOOKUP(AH55,Потребители_обозначение,8,FALSE)),""))</f>
      </c>
      <c r="G55" s="173"/>
      <c r="H55" s="173">
        <f t="shared" ref="H55:H69" si="92">IF(D55="","",IFERROR(IF(VLOOKUP(AH55,Потребители_обозначение,9,FALSE)=0,"",VLOOKUP(AH55,Потребители_обозначение,9,FALSE)),""))</f>
      </c>
      <c r="I55" s="192">
        <f t="shared" ref="I55:I69" si="93">IF(COUNT(AU55,AV55)=0,"",ROUNDUP(SUM(AU55,AV55),0))</f>
      </c>
      <c r="J55" s="105"/>
      <c r="K55" s="105">
        <f t="shared" ref="K55:K69" si="94">IF(OR(I55="",S55=""),"",IF(S55=1,MAX(0,M55-ROUNDUP(N(AV55),0)-4),ROUNDUP(N(AU55),0)))</f>
      </c>
      <c r="L55" s="105">
        <f t="shared" ref="L55:L69" si="95">IF(OR(I55="",S55=""),"",IF(S55=2,MAX(0,M55-ROUNDUP(N(AU55),0)-4),ROUNDUP(N(AV55),0)))</f>
      </c>
      <c r="M55" s="95">
        <f t="shared" si="52"/>
      </c>
      <c r="N55" s="100">
        <f t="shared" ref="N55:N69" si="96">IF(D55="","",IFERROR(IF(VLOOKUP(AH55,Потребители_обозначение,6,FALSE)=0,"",VLOOKUP(AH55,Потребители_обозначение,6,FALSE)),""))</f>
      </c>
      <c r="O55" s="164"/>
      <c r="P55" s="59">
        <f t="shared" si="53"/>
      </c>
      <c r="Q55" s="165">
        <f t="shared" ref="Q55:Q69" si="97">IF(D55="","",IFERROR(IF(VLOOKUP(AH55,Потребители_обозначение,10,FALSE)=0,"",VLOOKUP(AH55,Потребители_обозначение,10,FALSE)),""))</f>
      </c>
      <c r="R55" s="100"/>
      <c r="S55" s="164"/>
      <c r="T55" s="5">
        <f t="shared" si="54"/>
      </c>
      <c r="U55" s="4">
        <f t="shared" si="55"/>
      </c>
      <c r="V55" s="4">
        <f t="shared" si="56"/>
      </c>
      <c r="W55" s="4">
        <f t="shared" si="57"/>
      </c>
      <c r="X55" s="4">
        <f t="shared" si="58"/>
      </c>
      <c r="Y55" s="4">
        <f t="shared" si="59"/>
      </c>
      <c r="Z55" s="4">
        <f t="shared" si="60"/>
      </c>
      <c r="AA55" s="4">
        <f t="shared" si="61"/>
      </c>
      <c r="AB55" s="4">
        <f t="shared" si="62"/>
      </c>
      <c r="AC55" s="4">
        <f t="shared" si="63"/>
      </c>
      <c r="AD55" s="4">
        <f t="shared" si="64"/>
      </c>
      <c r="AE55" s="4">
        <f t="shared" si="65"/>
      </c>
      <c r="AF55" s="4">
        <f t="shared" si="66"/>
      </c>
      <c r="AG55" s="4">
        <f t="shared" si="67"/>
      </c>
      <c r="AH55" s="4">
        <f t="shared" si="68"/>
      </c>
      <c r="AI55" s="4">
        <f t="shared" si="69"/>
      </c>
      <c r="AJ55" s="4">
        <f t="shared" si="70"/>
      </c>
      <c r="AK55" s="163">
        <f t="shared" si="71"/>
      </c>
      <c r="AL55" s="163">
        <f t="shared" si="72"/>
      </c>
      <c r="AM55" s="4">
        <f t="shared" si="73"/>
      </c>
      <c r="AN55" s="4"/>
      <c r="AO55" s="4">
        <f t="shared" si="74"/>
      </c>
      <c r="AP55" s="4">
        <f t="shared" si="75"/>
      </c>
      <c r="AQ55" s="42">
        <f t="shared" si="76"/>
      </c>
      <c r="AR55" s="4">
        <f t="shared" si="77"/>
      </c>
      <c r="AS55" s="4">
        <f t="shared" si="78"/>
      </c>
      <c r="AT55" s="4">
        <f t="shared" si="79"/>
      </c>
      <c r="AU55"/>
      <c r="AW55"/>
      <c r="AY55"/>
    </row>
    <row r="56" spans="1:51" x14ac:dyDescent="0.3">
      <c r="A56" s="41">
        <f t="shared" si="41"/>
      </c>
      <c r="B56" s="4">
        <f t="shared" si="0"/>
      </c>
      <c r="C56" s="181"/>
      <c r="D56" s="256"/>
      <c r="E56" s="179"/>
      <c r="F56" s="173">
        <f t="shared" si="91"/>
      </c>
      <c r="G56" s="173"/>
      <c r="H56" s="173">
        <f t="shared" si="92"/>
      </c>
      <c r="I56" s="192">
        <f t="shared" si="93"/>
      </c>
      <c r="J56" s="105"/>
      <c r="K56" s="105">
        <f t="shared" si="94"/>
      </c>
      <c r="L56" s="105">
        <f t="shared" si="95"/>
      </c>
      <c r="M56" s="95">
        <f t="shared" ref="M56" si="98">IFERROR(IF(VLOOKUP(AH56,Потребители_обозначение,4,FALSE)=1,VLOOKUP(AH56,Потребители_обозначение,3,FALSE)*(G56*2-1)+I56+VLOOKUP(AI56,Этаж_обозначение,3,FALSE)+VLOOKUP(AI56,Этаж_обозначение,4,FALSE),VLOOKUP(AH56,Потребители_обозначение,3,FALSE)*(G56*2-1)+I56),I56)</f>
      </c>
      <c r="N56" s="100">
        <f t="shared" si="96"/>
      </c>
      <c r="O56" s="164"/>
      <c r="P56" s="59">
        <f t="shared" ref="P56" si="99">IF(VLOOKUP(AH56,Потребители_обозначение,5,FALSE)=2,_xlfn.IFS(H56=3,VLOOKUP(E56,Справочная_двигатели,8,FALSE),H56=1,VLOOKUP(E56,Справочная_двигатели,10,TRUE)),0.95)</f>
      </c>
      <c r="Q56" s="165">
        <f t="shared" si="97"/>
      </c>
      <c r="R56" s="100"/>
      <c r="S56" s="164"/>
      <c r="T56" s="5">
        <f t="shared" si="3"/>
      </c>
      <c r="U56" s="4">
        <f t="shared" ref="U56" si="100">IF(R56=0,VLOOKUP(T56,Автомат_номиналы,2,TRUE),R56)</f>
      </c>
      <c r="V56" s="4">
        <f t="shared" ref="V56" si="101">IF(Q56=0,VLOOKUP(U56,Кабель_номиналы,2,TRUE),Q56)</f>
      </c>
      <c r="W56" s="4">
        <f t="shared" ref="W56" si="102">VLOOKUP(V56,Кабель_сопротивление,3,FALSE)</f>
      </c>
      <c r="X56" s="4">
        <f t="shared" ref="X56" si="103">VLOOKUP(V56,Кабель_сопротивление,2,FALSE)</f>
      </c>
      <c r="Y56" s="4" cm="1">
        <f t="array" ref="Y56">_xlfn.IFS(H56=1,2,H56=3,1)</f>
      </c>
      <c r="Z56" s="4">
        <f t="shared" si="39"/>
      </c>
      <c r="AA56" s="4">
        <f t="shared" si="7"/>
      </c>
      <c r="AB56" s="4">
        <f t="shared" si="40"/>
      </c>
      <c r="AC56" s="4">
        <f t="shared" si="8"/>
      </c>
      <c r="AD56" s="4">
        <f t="shared" ref="AD56" si="104">VLOOKUP(N56,Кабель_обозначение,2,FALSE)</f>
      </c>
      <c r="AE56" s="4">
        <f t="shared" si="10"/>
      </c>
      <c r="AF56" s="4">
        <f t="shared" si="35"/>
      </c>
      <c r="AG56" s="4">
        <f t="shared" si="36"/>
      </c>
      <c r="AH56" s="4">
        <f t="shared" si="11"/>
      </c>
      <c r="AI56" s="4">
        <f t="shared" si="38"/>
      </c>
      <c r="AJ56" s="4">
        <f t="shared" si="12"/>
      </c>
      <c r="AK56" s="4">
        <f t="shared" si="42"/>
      </c>
      <c r="AL56" s="4">
        <f t="shared" si="13"/>
      </c>
      <c r="AM56" s="4">
        <f t="shared" si="14"/>
      </c>
      <c r="AN56" s="4"/>
      <c r="AO56" s="4">
        <f t="shared" si="31"/>
      </c>
      <c r="AP56" s="4">
        <f t="shared" si="15"/>
      </c>
      <c r="AQ56" s="42">
        <f t="shared" si="32"/>
      </c>
      <c r="AR56" s="4">
        <f t="shared" si="16"/>
      </c>
      <c r="AS56" s="4">
        <f t="shared" si="17"/>
      </c>
      <c r="AT56" s="4">
        <f t="shared" si="43"/>
      </c>
      <c r="AV56"/>
      <c r="AW56"/>
      <c r="AY56"/>
    </row>
    <row r="57" spans="1:51" x14ac:dyDescent="0.3">
      <c r="A57" s="41">
        <f t="shared" ref="A57:A78" si="105">D57</f>
      </c>
      <c r="B57" s="4">
        <f t="shared" ref="B57:B78" si="106">IFERROR(IF(VLOOKUP(AH57,Потребители_обозначение,4,FALSE)=1,VLOOKUP(AH57,Потребители_обозначение,2,FALSE)&amp;" "&amp;VLOOKUP(AI57,Этаж_обозначение,2,FALSE)&amp;" Пом. №"&amp;AG57,VLOOKUP(AH57,Потребители_обозначение,2,FALSE)&amp;" Шлейф №"&amp;AI57),VLOOKUP(D57,Потребители_обозначение,2,FALSE))</f>
      </c>
      <c r="C57" s="181"/>
      <c r="D57" s="256"/>
      <c r="E57" s="179"/>
      <c r="F57" s="173">
        <f t="shared" si="91"/>
      </c>
      <c r="G57" s="173"/>
      <c r="H57" s="173">
        <f t="shared" si="92"/>
      </c>
      <c r="I57" s="192">
        <f t="shared" si="93"/>
      </c>
      <c r="J57" s="105"/>
      <c r="K57" s="105">
        <f t="shared" si="94"/>
      </c>
      <c r="L57" s="105">
        <f t="shared" si="95"/>
      </c>
      <c r="M57" s="95">
        <f t="shared" ref="M57:M78" si="107">IFERROR(IF(VLOOKUP(AH57,Потребители_обозначение,4,FALSE)=1,VLOOKUP(AH57,Потребители_обозначение,3,FALSE)*(G57*2-1)+I57+VLOOKUP(AI57,Этаж_обозначение,3,FALSE)+VLOOKUP(AI57,Этаж_обозначение,4,FALSE),VLOOKUP(AH57,Потребители_обозначение,3,FALSE)*(G57*2-1)+I57),I57)</f>
      </c>
      <c r="N57" s="100">
        <f t="shared" si="96"/>
      </c>
      <c r="O57" s="164"/>
      <c r="P57" s="59">
        <f t="shared" ref="P57:P78" si="108">IF(VLOOKUP(AH57,Потребители_обозначение,5,FALSE)=2,_xlfn.IFS(H57=3,VLOOKUP(E57,Справочная_двигатели,8,FALSE),H57=1,VLOOKUP(E57,Справочная_двигатели,10,TRUE)),0.95)</f>
      </c>
      <c r="Q57" s="165">
        <f t="shared" si="97"/>
      </c>
      <c r="R57" s="100"/>
      <c r="S57" s="164"/>
      <c r="T57" s="5">
        <f t="shared" ref="T57:T78" si="109">_xlfn.IFS(H57=1,E57*1000/220,H57=3,E57/0.38/1.732)</f>
      </c>
      <c r="U57" s="4">
        <f t="shared" ref="U57:U78" si="110">IF(R57=0,VLOOKUP(T57,Автомат_номиналы,2,TRUE),R57)</f>
      </c>
      <c r="V57" s="4">
        <f t="shared" ref="V57:V78" si="111">IF(Q57=0,VLOOKUP(U57,Кабель_номиналы,2,TRUE),Q57)</f>
      </c>
      <c r="W57" s="4">
        <f t="shared" ref="W57:W78" si="112">VLOOKUP(V57,Кабель_сопротивление,3,FALSE)</f>
      </c>
      <c r="X57" s="4">
        <f t="shared" ref="X57:X78" si="113">VLOOKUP(V57,Кабель_сопротивление,2,FALSE)</f>
      </c>
      <c r="Y57" s="4">
        <f t="shared" ref="Y57:Y78" si="114">_xlfn.IFS(H57=1,2,H57=3,1)</f>
      </c>
      <c r="Z57" s="4">
        <f t="shared" ref="Z57:Z78" si="115">ROUND(SIN(ACOS(P57)),2)</f>
      </c>
      <c r="AA57" s="4">
        <f t="shared" ref="AA57:AA78" si="116">Y57*(W57*I57/V57+X57*I57*Z57/1000)*T57</f>
      </c>
      <c r="AB57" s="4">
        <f t="shared" ref="AB57:AB78" si="117">ROUNDUP(AA57/220*100,2)</f>
      </c>
      <c r="AC57" s="4">
        <f t="shared" ref="AC57:AC78" si="118">_xlfn.IFS(H57=3,380,H57=1,220)</f>
      </c>
      <c r="AD57" s="4">
        <f t="shared" ref="AD57:AD78" si="119">VLOOKUP(N57,Кабель_обозначение,2,FALSE)</f>
      </c>
      <c r="AE57" s="4">
        <f t="shared" ref="AE57:AE78" si="120">IF(VLOOKUP(N57,Кабель_обозначение,3,FALSE)=1,AD57&amp;" ("&amp;O57&amp;"х"&amp;V57&amp;")",AD57)</f>
      </c>
      <c r="AF57" s="4">
        <f t="shared" ref="AF57:AF78" si="121">IFERROR(IF(AB57&gt;4.5,1,2),0)</f>
      </c>
      <c r="AG57" s="4">
        <f t="shared" ref="AG57:AG78" si="122">IFERROR(LEFT(AQ57,SEARCH(".",AQ57)-1),AQ57)</f>
      </c>
      <c r="AH57" s="4">
        <f t="shared" ref="AH57:AH78" si="123">IFERROR(LEFT(A57,SEARCH(".",A57)-1),A57)</f>
      </c>
      <c r="AI57" s="4">
        <f t="shared" ref="AI57:AI78" si="124">IFERROR(LEFT(AP57,SEARCH(".",AP57)-1),AP57)</f>
      </c>
      <c r="AJ57" s="4">
        <f t="shared" ref="AJ57:AJ78" si="125">IF(C57=0,B57,C57)</f>
      </c>
      <c r="AK57" s="163">
        <f t="shared" ref="AK57:AK78" si="126">ROUNDUP(T57,2)</f>
      </c>
      <c r="AL57" s="163">
        <f t="shared" ref="AL57:AL78" si="127">E57</f>
      </c>
      <c r="AM57" s="4">
        <f t="shared" ref="AM57:AM78" si="128">D57</f>
      </c>
      <c r="AN57" s="4"/>
      <c r="AO57" s="4">
        <f t="shared" ref="AO57:AO78" si="129">IF(V57=0,AD57,AE57&amp;"
L="&amp;M57&amp;"-"&amp;AB57&amp;"%")</f>
      </c>
      <c r="AP57" s="4">
        <f t="shared" ref="AP57:AP78" si="130">RIGHT(A57,LEN(A57)-SEARCH(".",A57))</f>
      </c>
      <c r="AQ57" s="42">
        <f t="shared" ref="AQ57:AQ78" si="131">IFERROR(RIGHT(AP57,LEN(AP57)-SEARCH(".",AP57)),"")</f>
      </c>
      <c r="AR57" s="4">
        <f t="shared" ref="AR57:AR78" si="132">IFERROR(IF(VLOOKUP(AH57,Потребители_обозначение,5,FALSE)=2,_xlfn.IFS(H57=3,VLOOKUP(E57,Справочная_двигатели,3,FALSE),H57=1,VLOOKUP(E57,Справочная_двигатели,5,TRUE)),0),0)</f>
      </c>
      <c r="AS57" s="4">
        <f t="shared" ref="AS57:AS78" si="133">IFERROR(IF(VLOOKUP(AH57,Потребители_обозначение,5,FALSE)=3,VLOOKUP(E57,Справочная_ЛЭД,2,TRUE),0),0)</f>
      </c>
      <c r="AT57" s="4">
        <f t="shared" ref="AT57:AT78" si="134">IF(AR57=0,AS57,AR57)</f>
      </c>
      <c r="AV57"/>
      <c r="AW57"/>
      <c r="AY57"/>
    </row>
    <row r="58" spans="1:51" x14ac:dyDescent="0.3">
      <c r="A58" s="41">
        <f t="shared" si="105"/>
      </c>
      <c r="B58" s="4">
        <f t="shared" si="106"/>
      </c>
      <c r="C58" s="181"/>
      <c r="D58" s="258"/>
      <c r="E58" s="179"/>
      <c r="F58" s="173">
        <f t="shared" si="91"/>
      </c>
      <c r="G58" s="173"/>
      <c r="H58" s="173">
        <f t="shared" si="92"/>
      </c>
      <c r="I58" s="192">
        <f t="shared" si="93"/>
      </c>
      <c r="J58" s="105"/>
      <c r="K58" s="105">
        <f t="shared" si="94"/>
      </c>
      <c r="L58" s="105">
        <f t="shared" si="95"/>
      </c>
      <c r="M58" s="95">
        <f t="shared" si="107"/>
      </c>
      <c r="N58" s="100">
        <f t="shared" si="96"/>
      </c>
      <c r="O58" s="164"/>
      <c r="P58" s="59">
        <f t="shared" si="108"/>
      </c>
      <c r="Q58" s="165">
        <f t="shared" si="97"/>
      </c>
      <c r="R58" s="100"/>
      <c r="S58" s="164"/>
      <c r="T58" s="5">
        <f t="shared" si="109"/>
      </c>
      <c r="U58" s="4">
        <f t="shared" si="110"/>
      </c>
      <c r="V58" s="4">
        <f t="shared" si="111"/>
      </c>
      <c r="W58" s="4">
        <f t="shared" si="112"/>
      </c>
      <c r="X58" s="4">
        <f t="shared" si="113"/>
      </c>
      <c r="Y58" s="4">
        <f t="shared" si="114"/>
      </c>
      <c r="Z58" s="4">
        <f t="shared" si="115"/>
      </c>
      <c r="AA58" s="4">
        <f t="shared" si="116"/>
      </c>
      <c r="AB58" s="4">
        <f t="shared" si="117"/>
      </c>
      <c r="AC58" s="4">
        <f t="shared" si="118"/>
      </c>
      <c r="AD58" s="4">
        <f t="shared" si="119"/>
      </c>
      <c r="AE58" s="4">
        <f t="shared" si="120"/>
      </c>
      <c r="AF58" s="4">
        <f t="shared" si="121"/>
      </c>
      <c r="AG58" s="4">
        <f t="shared" si="122"/>
      </c>
      <c r="AH58" s="4">
        <f t="shared" si="123"/>
      </c>
      <c r="AI58" s="4">
        <f t="shared" si="124"/>
      </c>
      <c r="AJ58" s="4">
        <f t="shared" si="125"/>
      </c>
      <c r="AK58" s="163">
        <f t="shared" si="126"/>
      </c>
      <c r="AL58" s="163">
        <f t="shared" si="127"/>
      </c>
      <c r="AM58" s="4">
        <f t="shared" si="128"/>
      </c>
      <c r="AN58" s="4"/>
      <c r="AO58" s="4">
        <f t="shared" si="129"/>
      </c>
      <c r="AP58" s="4">
        <f t="shared" si="130"/>
      </c>
      <c r="AQ58" s="42">
        <f t="shared" si="131"/>
      </c>
      <c r="AR58" s="4">
        <f t="shared" si="132"/>
      </c>
      <c r="AS58" s="4">
        <f t="shared" si="133"/>
      </c>
      <c r="AT58" s="4">
        <f t="shared" si="134"/>
      </c>
      <c r="AU58"/>
      <c r="AV58"/>
      <c r="AW58"/>
      <c r="AY58"/>
    </row>
    <row r="59" spans="1:51" x14ac:dyDescent="0.3">
      <c r="A59" s="41">
        <f t="shared" si="105"/>
      </c>
      <c r="B59" s="4">
        <f t="shared" si="106"/>
      </c>
      <c r="C59" s="181"/>
      <c r="D59" s="256"/>
      <c r="E59" s="179"/>
      <c r="F59" s="173">
        <f t="shared" si="91"/>
      </c>
      <c r="G59" s="173"/>
      <c r="H59" s="173">
        <f t="shared" si="92"/>
      </c>
      <c r="I59" s="192">
        <f t="shared" si="93"/>
      </c>
      <c r="J59" s="105"/>
      <c r="K59" s="105">
        <f t="shared" si="94"/>
      </c>
      <c r="L59" s="105">
        <f t="shared" si="95"/>
      </c>
      <c r="M59" s="95">
        <f t="shared" si="107"/>
      </c>
      <c r="N59" s="100">
        <f t="shared" si="96"/>
      </c>
      <c r="O59" s="164"/>
      <c r="P59" s="59">
        <f t="shared" si="108"/>
      </c>
      <c r="Q59" s="165">
        <f t="shared" si="97"/>
      </c>
      <c r="R59" s="100"/>
      <c r="S59" s="164"/>
      <c r="T59" s="5">
        <f t="shared" si="109"/>
      </c>
      <c r="U59" s="4">
        <f t="shared" si="110"/>
      </c>
      <c r="V59" s="4">
        <f t="shared" si="111"/>
      </c>
      <c r="W59" s="4">
        <f t="shared" si="112"/>
      </c>
      <c r="X59" s="4">
        <f t="shared" si="113"/>
      </c>
      <c r="Y59" s="4">
        <f t="shared" si="114"/>
      </c>
      <c r="Z59" s="4">
        <f t="shared" si="115"/>
      </c>
      <c r="AA59" s="4">
        <f t="shared" si="116"/>
      </c>
      <c r="AB59" s="4">
        <f t="shared" si="117"/>
      </c>
      <c r="AC59" s="4">
        <f t="shared" si="118"/>
      </c>
      <c r="AD59" s="4">
        <f t="shared" si="119"/>
      </c>
      <c r="AE59" s="4">
        <f t="shared" si="120"/>
      </c>
      <c r="AF59" s="4">
        <f t="shared" si="121"/>
      </c>
      <c r="AG59" s="4">
        <f t="shared" si="122"/>
      </c>
      <c r="AH59" s="4">
        <f t="shared" si="123"/>
      </c>
      <c r="AI59" s="4">
        <f t="shared" si="124"/>
      </c>
      <c r="AJ59" s="4">
        <f t="shared" si="125"/>
      </c>
      <c r="AK59" s="163">
        <f t="shared" si="126"/>
      </c>
      <c r="AL59" s="163">
        <f t="shared" si="127"/>
      </c>
      <c r="AM59" s="4">
        <f t="shared" si="128"/>
      </c>
      <c r="AN59" s="4"/>
      <c r="AO59" s="4">
        <f t="shared" si="129"/>
      </c>
      <c r="AP59" s="4">
        <f t="shared" si="130"/>
      </c>
      <c r="AQ59" s="42">
        <f t="shared" si="131"/>
      </c>
      <c r="AR59" s="4">
        <f t="shared" si="132"/>
      </c>
      <c r="AS59" s="4">
        <f t="shared" si="133"/>
      </c>
      <c r="AT59" s="4">
        <f t="shared" si="134"/>
      </c>
      <c r="AV59"/>
      <c r="AW59"/>
      <c r="AY59"/>
    </row>
    <row r="60" spans="1:51" x14ac:dyDescent="0.3">
      <c r="A60" s="41">
        <f t="shared" si="105"/>
      </c>
      <c r="B60" s="4">
        <f t="shared" si="106"/>
      </c>
      <c r="C60" s="181"/>
      <c r="D60" s="258"/>
      <c r="E60" s="179"/>
      <c r="F60" s="173">
        <f t="shared" si="91"/>
      </c>
      <c r="G60" s="173"/>
      <c r="H60" s="173">
        <f t="shared" si="92"/>
      </c>
      <c r="I60" s="192">
        <f t="shared" si="93"/>
      </c>
      <c r="J60" s="105"/>
      <c r="K60" s="105">
        <f t="shared" si="94"/>
      </c>
      <c r="L60" s="105">
        <f t="shared" si="95"/>
      </c>
      <c r="M60" s="95">
        <f t="shared" si="107"/>
      </c>
      <c r="N60" s="100">
        <f t="shared" si="96"/>
      </c>
      <c r="O60" s="164"/>
      <c r="P60" s="59">
        <f t="shared" si="108"/>
      </c>
      <c r="Q60" s="165">
        <f t="shared" si="97"/>
      </c>
      <c r="R60" s="100"/>
      <c r="S60" s="164"/>
      <c r="T60" s="5">
        <f t="shared" si="109"/>
      </c>
      <c r="U60" s="4">
        <f t="shared" si="110"/>
      </c>
      <c r="V60" s="4">
        <f t="shared" si="111"/>
      </c>
      <c r="W60" s="4">
        <f t="shared" si="112"/>
      </c>
      <c r="X60" s="4">
        <f t="shared" si="113"/>
      </c>
      <c r="Y60" s="4">
        <f t="shared" si="114"/>
      </c>
      <c r="Z60" s="4">
        <f t="shared" si="115"/>
      </c>
      <c r="AA60" s="4">
        <f t="shared" si="116"/>
      </c>
      <c r="AB60" s="4">
        <f t="shared" si="117"/>
      </c>
      <c r="AC60" s="4">
        <f t="shared" si="118"/>
      </c>
      <c r="AD60" s="4">
        <f t="shared" si="119"/>
      </c>
      <c r="AE60" s="4">
        <f t="shared" si="120"/>
      </c>
      <c r="AF60" s="4">
        <f t="shared" si="121"/>
      </c>
      <c r="AG60" s="4">
        <f t="shared" si="122"/>
      </c>
      <c r="AH60" s="4">
        <f t="shared" si="123"/>
      </c>
      <c r="AI60" s="4">
        <f t="shared" si="124"/>
      </c>
      <c r="AJ60" s="4">
        <f t="shared" si="125"/>
      </c>
      <c r="AK60" s="163">
        <f t="shared" si="126"/>
      </c>
      <c r="AL60" s="163">
        <f t="shared" si="127"/>
      </c>
      <c r="AM60" s="4">
        <f t="shared" si="128"/>
      </c>
      <c r="AN60" s="4"/>
      <c r="AO60" s="4">
        <f t="shared" si="129"/>
      </c>
      <c r="AP60" s="4">
        <f t="shared" si="130"/>
      </c>
      <c r="AQ60" s="42">
        <f t="shared" si="131"/>
      </c>
      <c r="AR60" s="4">
        <f t="shared" si="132"/>
      </c>
      <c r="AS60" s="4">
        <f t="shared" si="133"/>
      </c>
      <c r="AT60" s="4">
        <f t="shared" si="134"/>
      </c>
      <c r="AU60"/>
      <c r="AW60"/>
      <c r="AY60"/>
    </row>
    <row r="61" spans="1:51" x14ac:dyDescent="0.3">
      <c r="A61" s="41">
        <f t="shared" si="105"/>
      </c>
      <c r="B61" s="4">
        <f t="shared" si="106"/>
      </c>
      <c r="C61" s="181"/>
      <c r="D61" s="256"/>
      <c r="E61" s="179"/>
      <c r="F61" s="173">
        <f t="shared" si="91"/>
      </c>
      <c r="G61" s="173"/>
      <c r="H61" s="173">
        <f t="shared" si="92"/>
      </c>
      <c r="I61" s="192">
        <f t="shared" si="93"/>
      </c>
      <c r="J61" s="105"/>
      <c r="K61" s="105">
        <f t="shared" si="94"/>
      </c>
      <c r="L61" s="105">
        <f t="shared" si="95"/>
      </c>
      <c r="M61" s="95">
        <f t="shared" si="107"/>
      </c>
      <c r="N61" s="100">
        <f t="shared" si="96"/>
      </c>
      <c r="O61" s="164"/>
      <c r="P61" s="59">
        <f t="shared" si="108"/>
      </c>
      <c r="Q61" s="165">
        <f t="shared" si="97"/>
      </c>
      <c r="R61" s="100"/>
      <c r="S61" s="164"/>
      <c r="T61" s="5">
        <f t="shared" si="109"/>
      </c>
      <c r="U61" s="4">
        <f t="shared" si="110"/>
      </c>
      <c r="V61" s="4">
        <f t="shared" si="111"/>
      </c>
      <c r="W61" s="4">
        <f t="shared" si="112"/>
      </c>
      <c r="X61" s="4">
        <f t="shared" si="113"/>
      </c>
      <c r="Y61" s="4">
        <f t="shared" si="114"/>
      </c>
      <c r="Z61" s="4">
        <f t="shared" si="115"/>
      </c>
      <c r="AA61" s="4">
        <f t="shared" si="116"/>
      </c>
      <c r="AB61" s="4">
        <f t="shared" si="117"/>
      </c>
      <c r="AC61" s="4">
        <f t="shared" si="118"/>
      </c>
      <c r="AD61" s="4">
        <f t="shared" si="119"/>
      </c>
      <c r="AE61" s="4">
        <f t="shared" si="120"/>
      </c>
      <c r="AF61" s="4">
        <f t="shared" si="121"/>
      </c>
      <c r="AG61" s="4">
        <f t="shared" si="122"/>
      </c>
      <c r="AH61" s="4">
        <f t="shared" si="123"/>
      </c>
      <c r="AI61" s="4">
        <f t="shared" si="124"/>
      </c>
      <c r="AJ61" s="4">
        <f t="shared" si="125"/>
      </c>
      <c r="AK61" s="163">
        <f t="shared" si="126"/>
      </c>
      <c r="AL61" s="163">
        <f t="shared" si="127"/>
      </c>
      <c r="AM61" s="4">
        <f t="shared" si="128"/>
      </c>
      <c r="AN61" s="4"/>
      <c r="AO61" s="4">
        <f t="shared" si="129"/>
      </c>
      <c r="AP61" s="4">
        <f t="shared" si="130"/>
      </c>
      <c r="AQ61" s="42">
        <f t="shared" si="131"/>
      </c>
      <c r="AR61" s="4">
        <f t="shared" si="132"/>
      </c>
      <c r="AS61" s="4">
        <f t="shared" si="133"/>
      </c>
      <c r="AT61" s="4">
        <f t="shared" si="134"/>
      </c>
      <c r="AV61"/>
      <c r="AW61"/>
      <c r="AY61"/>
    </row>
    <row r="62" spans="1:51" x14ac:dyDescent="0.3">
      <c r="A62" s="41">
        <f t="shared" si="105"/>
      </c>
      <c r="B62" s="4">
        <f t="shared" si="106"/>
      </c>
      <c r="C62" s="119"/>
      <c r="D62" s="258"/>
      <c r="E62" s="179"/>
      <c r="F62" s="173">
        <f t="shared" si="91"/>
      </c>
      <c r="G62" s="173"/>
      <c r="H62" s="173">
        <f t="shared" si="92"/>
      </c>
      <c r="I62" s="192">
        <f t="shared" si="93"/>
      </c>
      <c r="J62" s="105"/>
      <c r="K62" s="105">
        <f t="shared" si="94"/>
      </c>
      <c r="L62" s="105">
        <f t="shared" si="95"/>
      </c>
      <c r="M62" s="4">
        <f t="shared" si="107"/>
      </c>
      <c r="N62" s="100">
        <f t="shared" si="96"/>
      </c>
      <c r="O62" s="164"/>
      <c r="P62" s="59">
        <f t="shared" si="108"/>
      </c>
      <c r="Q62" s="165">
        <f t="shared" si="97"/>
      </c>
      <c r="R62" s="100"/>
      <c r="S62" s="164"/>
      <c r="T62" s="5">
        <f t="shared" si="109"/>
      </c>
      <c r="U62" s="4">
        <f t="shared" si="110"/>
      </c>
      <c r="V62" s="4">
        <f t="shared" si="111"/>
      </c>
      <c r="W62" s="4">
        <f t="shared" si="112"/>
      </c>
      <c r="X62" s="4">
        <f t="shared" si="113"/>
      </c>
      <c r="Y62" s="4">
        <f t="shared" si="114"/>
      </c>
      <c r="Z62" s="4">
        <f t="shared" si="115"/>
      </c>
      <c r="AA62" s="4">
        <f t="shared" si="116"/>
      </c>
      <c r="AB62" s="4">
        <f t="shared" si="117"/>
      </c>
      <c r="AC62" s="4">
        <f t="shared" si="118"/>
      </c>
      <c r="AD62" s="4">
        <f t="shared" si="119"/>
      </c>
      <c r="AE62" s="4">
        <f t="shared" si="120"/>
      </c>
      <c r="AF62" s="4">
        <f t="shared" si="121"/>
      </c>
      <c r="AG62" s="4">
        <f t="shared" si="122"/>
      </c>
      <c r="AH62" s="4">
        <f t="shared" si="123"/>
      </c>
      <c r="AI62" s="4">
        <f t="shared" si="124"/>
      </c>
      <c r="AJ62" s="4">
        <f t="shared" si="125"/>
      </c>
      <c r="AK62" s="163">
        <f t="shared" si="126"/>
      </c>
      <c r="AL62" s="163">
        <f t="shared" si="127"/>
      </c>
      <c r="AM62" s="4">
        <f t="shared" si="128"/>
      </c>
      <c r="AN62" s="4"/>
      <c r="AO62" s="4">
        <f t="shared" si="129"/>
      </c>
      <c r="AP62" s="4">
        <f t="shared" si="130"/>
      </c>
      <c r="AQ62" s="42">
        <f t="shared" si="131"/>
      </c>
      <c r="AR62" s="4">
        <f t="shared" si="132"/>
      </c>
      <c r="AS62" s="4">
        <f t="shared" si="133"/>
      </c>
      <c r="AT62" s="4">
        <f t="shared" si="134"/>
      </c>
      <c r="AU62"/>
      <c r="AV62"/>
      <c r="AW62"/>
      <c r="AY62"/>
    </row>
    <row r="63" spans="1:51" x14ac:dyDescent="0.3">
      <c r="A63" s="41">
        <f t="shared" si="105"/>
      </c>
      <c r="B63" s="4">
        <f t="shared" si="106"/>
      </c>
      <c r="C63" s="119"/>
      <c r="D63" s="256"/>
      <c r="E63" s="179"/>
      <c r="F63" s="173">
        <f t="shared" si="91"/>
      </c>
      <c r="G63" s="173"/>
      <c r="H63" s="173">
        <f t="shared" si="92"/>
      </c>
      <c r="I63" s="192">
        <f t="shared" si="93"/>
      </c>
      <c r="J63" s="105"/>
      <c r="K63" s="105">
        <f t="shared" si="94"/>
      </c>
      <c r="L63" s="105">
        <f t="shared" si="95"/>
      </c>
      <c r="M63" s="95">
        <f t="shared" si="107"/>
      </c>
      <c r="N63" s="100">
        <f t="shared" si="96"/>
      </c>
      <c r="O63" s="164"/>
      <c r="P63" s="59">
        <f t="shared" si="108"/>
      </c>
      <c r="Q63" s="165">
        <f t="shared" si="97"/>
      </c>
      <c r="R63" s="100"/>
      <c r="S63" s="164"/>
      <c r="T63" s="5">
        <f t="shared" si="109"/>
      </c>
      <c r="U63" s="4">
        <f t="shared" si="110"/>
      </c>
      <c r="V63" s="4">
        <f t="shared" si="111"/>
      </c>
      <c r="W63" s="4">
        <f t="shared" si="112"/>
      </c>
      <c r="X63" s="4">
        <f t="shared" si="113"/>
      </c>
      <c r="Y63" s="4">
        <f t="shared" si="114"/>
      </c>
      <c r="Z63" s="4">
        <f t="shared" si="115"/>
      </c>
      <c r="AA63" s="4">
        <f t="shared" si="116"/>
      </c>
      <c r="AB63" s="4">
        <f t="shared" si="117"/>
      </c>
      <c r="AC63" s="4">
        <f t="shared" si="118"/>
      </c>
      <c r="AD63" s="4">
        <f t="shared" si="119"/>
      </c>
      <c r="AE63" s="4">
        <f t="shared" si="120"/>
      </c>
      <c r="AF63" s="4">
        <f t="shared" si="121"/>
      </c>
      <c r="AG63" s="4">
        <f t="shared" si="122"/>
      </c>
      <c r="AH63" s="4">
        <f t="shared" si="123"/>
      </c>
      <c r="AI63" s="4">
        <f t="shared" si="124"/>
      </c>
      <c r="AJ63" s="4">
        <f t="shared" si="125"/>
      </c>
      <c r="AK63" s="163">
        <f t="shared" si="126"/>
      </c>
      <c r="AL63" s="163">
        <f t="shared" si="127"/>
      </c>
      <c r="AM63" s="4">
        <f t="shared" si="128"/>
      </c>
      <c r="AN63" s="4"/>
      <c r="AO63" s="4">
        <f t="shared" si="129"/>
      </c>
      <c r="AP63" s="4">
        <f t="shared" si="130"/>
      </c>
      <c r="AQ63" s="42">
        <f t="shared" si="131"/>
      </c>
      <c r="AR63" s="4">
        <f t="shared" si="132"/>
      </c>
      <c r="AS63" s="4">
        <f t="shared" si="133"/>
      </c>
      <c r="AT63" s="4">
        <f t="shared" si="134"/>
      </c>
      <c r="AV63"/>
      <c r="AW63"/>
      <c r="AY63"/>
    </row>
    <row r="64" spans="1:51" x14ac:dyDescent="0.3">
      <c r="A64" s="41">
        <f t="shared" si="105"/>
      </c>
      <c r="B64" s="4">
        <f t="shared" si="106"/>
      </c>
      <c r="C64" s="119"/>
      <c r="D64" s="256"/>
      <c r="E64" s="179"/>
      <c r="F64" s="173">
        <f t="shared" si="91"/>
      </c>
      <c r="G64" s="173"/>
      <c r="H64" s="173">
        <f t="shared" si="92"/>
      </c>
      <c r="I64" s="192">
        <f t="shared" si="93"/>
      </c>
      <c r="J64" s="105"/>
      <c r="K64" s="105">
        <f t="shared" si="94"/>
      </c>
      <c r="L64" s="105">
        <f t="shared" si="95"/>
      </c>
      <c r="M64" s="4">
        <f t="shared" si="107"/>
      </c>
      <c r="N64" s="100">
        <f t="shared" si="96"/>
      </c>
      <c r="O64" s="164"/>
      <c r="P64" s="59">
        <f t="shared" si="108"/>
      </c>
      <c r="Q64" s="165">
        <f t="shared" si="97"/>
      </c>
      <c r="R64" s="100"/>
      <c r="S64" s="164"/>
      <c r="T64" s="5">
        <f t="shared" si="109"/>
      </c>
      <c r="U64" s="4">
        <f t="shared" si="110"/>
      </c>
      <c r="V64" s="4">
        <f t="shared" si="111"/>
      </c>
      <c r="W64" s="4">
        <f t="shared" si="112"/>
      </c>
      <c r="X64" s="4">
        <f t="shared" si="113"/>
      </c>
      <c r="Y64" s="4">
        <f t="shared" si="114"/>
      </c>
      <c r="Z64" s="4">
        <f t="shared" si="115"/>
      </c>
      <c r="AA64" s="4">
        <f t="shared" si="116"/>
      </c>
      <c r="AB64" s="4">
        <f t="shared" si="117"/>
      </c>
      <c r="AC64" s="4">
        <f t="shared" si="118"/>
      </c>
      <c r="AD64" s="4">
        <f t="shared" si="119"/>
      </c>
      <c r="AE64" s="4">
        <f t="shared" si="120"/>
      </c>
      <c r="AF64" s="4">
        <f t="shared" si="121"/>
      </c>
      <c r="AG64" s="4">
        <f t="shared" si="122"/>
      </c>
      <c r="AH64" s="4">
        <f t="shared" si="123"/>
      </c>
      <c r="AI64" s="4">
        <f t="shared" si="124"/>
      </c>
      <c r="AJ64" s="4">
        <f t="shared" si="125"/>
      </c>
      <c r="AK64" s="163">
        <f t="shared" si="126"/>
      </c>
      <c r="AL64" s="163">
        <f t="shared" si="127"/>
      </c>
      <c r="AM64" s="4">
        <f t="shared" si="128"/>
      </c>
      <c r="AN64" s="4"/>
      <c r="AO64" s="4">
        <f t="shared" si="129"/>
      </c>
      <c r="AP64" s="4">
        <f t="shared" si="130"/>
      </c>
      <c r="AQ64" s="42">
        <f t="shared" si="131"/>
      </c>
      <c r="AR64" s="4">
        <f t="shared" si="132"/>
      </c>
      <c r="AS64" s="4">
        <f t="shared" si="133"/>
      </c>
      <c r="AT64" s="4">
        <f t="shared" si="134"/>
      </c>
      <c r="AV64"/>
      <c r="AW64"/>
      <c r="AY64"/>
    </row>
    <row r="65" spans="1:51" x14ac:dyDescent="0.3">
      <c r="A65" s="41">
        <f t="shared" si="105"/>
      </c>
      <c r="B65" s="4">
        <f t="shared" si="106"/>
      </c>
      <c r="C65" s="119"/>
      <c r="D65" s="256"/>
      <c r="E65" s="179"/>
      <c r="F65" s="173">
        <f t="shared" si="91"/>
      </c>
      <c r="G65" s="173"/>
      <c r="H65" s="173">
        <f t="shared" si="92"/>
      </c>
      <c r="I65" s="192">
        <f t="shared" si="93"/>
      </c>
      <c r="J65" s="105"/>
      <c r="K65" s="105">
        <f t="shared" si="94"/>
      </c>
      <c r="L65" s="105">
        <f t="shared" si="95"/>
      </c>
      <c r="M65" s="95">
        <f t="shared" si="107"/>
      </c>
      <c r="N65" s="100">
        <f t="shared" si="96"/>
      </c>
      <c r="O65" s="164"/>
      <c r="P65" s="59">
        <f t="shared" si="108"/>
      </c>
      <c r="Q65" s="165">
        <f t="shared" si="97"/>
      </c>
      <c r="R65" s="100"/>
      <c r="S65" s="164"/>
      <c r="T65" s="5">
        <f t="shared" si="109"/>
      </c>
      <c r="U65" s="4">
        <f t="shared" si="110"/>
      </c>
      <c r="V65" s="4">
        <f t="shared" si="111"/>
      </c>
      <c r="W65" s="4">
        <f t="shared" si="112"/>
      </c>
      <c r="X65" s="4">
        <f t="shared" si="113"/>
      </c>
      <c r="Y65" s="4">
        <f t="shared" si="114"/>
      </c>
      <c r="Z65" s="4">
        <f t="shared" si="115"/>
      </c>
      <c r="AA65" s="4">
        <f t="shared" si="116"/>
      </c>
      <c r="AB65" s="4">
        <f t="shared" si="117"/>
      </c>
      <c r="AC65" s="4">
        <f t="shared" si="118"/>
      </c>
      <c r="AD65" s="4">
        <f t="shared" si="119"/>
      </c>
      <c r="AE65" s="4">
        <f t="shared" si="120"/>
      </c>
      <c r="AF65" s="4">
        <f t="shared" si="121"/>
      </c>
      <c r="AG65" s="4">
        <f t="shared" si="122"/>
      </c>
      <c r="AH65" s="4">
        <f t="shared" si="123"/>
      </c>
      <c r="AI65" s="4">
        <f t="shared" si="124"/>
      </c>
      <c r="AJ65" s="4">
        <f t="shared" si="125"/>
      </c>
      <c r="AK65" s="163">
        <f t="shared" si="126"/>
      </c>
      <c r="AL65" s="163">
        <f t="shared" si="127"/>
      </c>
      <c r="AM65" s="4">
        <f t="shared" si="128"/>
      </c>
      <c r="AN65" s="4"/>
      <c r="AO65" s="4">
        <f t="shared" si="129"/>
      </c>
      <c r="AP65" s="4">
        <f t="shared" si="130"/>
      </c>
      <c r="AQ65" s="42">
        <f t="shared" si="131"/>
      </c>
      <c r="AR65" s="4">
        <f t="shared" si="132"/>
      </c>
      <c r="AS65" s="4">
        <f t="shared" si="133"/>
      </c>
      <c r="AT65" s="4">
        <f t="shared" si="134"/>
      </c>
      <c r="AV65"/>
      <c r="AW65"/>
      <c r="AY65"/>
    </row>
    <row r="66" spans="1:51" x14ac:dyDescent="0.3">
      <c r="A66" s="41">
        <f t="shared" si="105"/>
      </c>
      <c r="B66" s="4">
        <f t="shared" si="106"/>
      </c>
      <c r="C66" s="119"/>
      <c r="D66" s="258"/>
      <c r="E66" s="179"/>
      <c r="F66" s="173">
        <f t="shared" si="91"/>
      </c>
      <c r="G66" s="173"/>
      <c r="H66" s="173">
        <f t="shared" si="92"/>
      </c>
      <c r="I66" s="192">
        <f t="shared" si="93"/>
      </c>
      <c r="J66" s="105"/>
      <c r="K66" s="105">
        <f t="shared" si="94"/>
      </c>
      <c r="L66" s="105">
        <f t="shared" si="95"/>
      </c>
      <c r="M66" s="4">
        <f t="shared" si="107"/>
      </c>
      <c r="N66" s="100">
        <f t="shared" si="96"/>
      </c>
      <c r="O66" s="164"/>
      <c r="P66" s="59">
        <f t="shared" si="108"/>
      </c>
      <c r="Q66" s="165">
        <f t="shared" si="97"/>
      </c>
      <c r="R66" s="100"/>
      <c r="S66" s="164"/>
      <c r="T66" s="5">
        <f t="shared" si="109"/>
      </c>
      <c r="U66" s="4">
        <f t="shared" si="110"/>
      </c>
      <c r="V66" s="4">
        <f t="shared" si="111"/>
      </c>
      <c r="W66" s="4">
        <f t="shared" si="112"/>
      </c>
      <c r="X66" s="4">
        <f t="shared" si="113"/>
      </c>
      <c r="Y66" s="4">
        <f t="shared" si="114"/>
      </c>
      <c r="Z66" s="4">
        <f t="shared" si="115"/>
      </c>
      <c r="AA66" s="4">
        <f t="shared" si="116"/>
      </c>
      <c r="AB66" s="4">
        <f t="shared" si="117"/>
      </c>
      <c r="AC66" s="4">
        <f t="shared" si="118"/>
      </c>
      <c r="AD66" s="4">
        <f t="shared" si="119"/>
      </c>
      <c r="AE66" s="4">
        <f t="shared" si="120"/>
      </c>
      <c r="AF66" s="4">
        <f t="shared" si="121"/>
      </c>
      <c r="AG66" s="4">
        <f t="shared" si="122"/>
      </c>
      <c r="AH66" s="4">
        <f t="shared" si="123"/>
      </c>
      <c r="AI66" s="4">
        <f t="shared" si="124"/>
      </c>
      <c r="AJ66" s="4">
        <f t="shared" si="125"/>
      </c>
      <c r="AK66" s="163">
        <f t="shared" si="126"/>
      </c>
      <c r="AL66" s="163">
        <f t="shared" si="127"/>
      </c>
      <c r="AM66" s="4">
        <f t="shared" si="128"/>
      </c>
      <c r="AN66" s="4"/>
      <c r="AO66" s="4">
        <f t="shared" si="129"/>
      </c>
      <c r="AP66" s="4">
        <f t="shared" si="130"/>
      </c>
      <c r="AQ66" s="42">
        <f t="shared" si="131"/>
      </c>
      <c r="AR66" s="4">
        <f t="shared" si="132"/>
      </c>
      <c r="AS66" s="4">
        <f t="shared" si="133"/>
      </c>
      <c r="AT66" s="4">
        <f t="shared" si="134"/>
      </c>
      <c r="AU66"/>
      <c r="AW66" s="197"/>
      <c r="AY66"/>
    </row>
    <row r="67" spans="1:51" x14ac:dyDescent="0.3">
      <c r="A67" s="41">
        <f t="shared" si="105"/>
      </c>
      <c r="B67" s="4">
        <f t="shared" si="106"/>
      </c>
      <c r="C67" s="119"/>
      <c r="D67" s="258"/>
      <c r="E67" s="179"/>
      <c r="F67" s="173">
        <f t="shared" si="91"/>
      </c>
      <c r="G67" s="173"/>
      <c r="H67" s="173">
        <f t="shared" si="92"/>
      </c>
      <c r="I67" s="192">
        <f t="shared" si="93"/>
      </c>
      <c r="J67" s="105"/>
      <c r="K67" s="105">
        <f t="shared" si="94"/>
      </c>
      <c r="L67" s="105">
        <f t="shared" si="95"/>
      </c>
      <c r="M67" s="96">
        <f t="shared" si="107"/>
      </c>
      <c r="N67" s="100">
        <f t="shared" si="96"/>
      </c>
      <c r="O67" s="164"/>
      <c r="P67" s="59">
        <f t="shared" si="108"/>
      </c>
      <c r="Q67" s="165">
        <f t="shared" si="97"/>
      </c>
      <c r="R67" s="100"/>
      <c r="S67" s="164"/>
      <c r="T67" s="5">
        <f t="shared" si="109"/>
      </c>
      <c r="U67" s="4">
        <f t="shared" si="110"/>
      </c>
      <c r="V67" s="4">
        <f t="shared" si="111"/>
      </c>
      <c r="W67" s="4">
        <f t="shared" si="112"/>
      </c>
      <c r="X67" s="4">
        <f t="shared" si="113"/>
      </c>
      <c r="Y67" s="4">
        <f t="shared" si="114"/>
      </c>
      <c r="Z67" s="4">
        <f t="shared" si="115"/>
      </c>
      <c r="AA67" s="4">
        <f t="shared" si="116"/>
      </c>
      <c r="AB67" s="4">
        <f t="shared" si="117"/>
      </c>
      <c r="AC67" s="4">
        <f t="shared" si="118"/>
      </c>
      <c r="AD67" s="4">
        <f t="shared" si="119"/>
      </c>
      <c r="AE67" s="4">
        <f t="shared" si="120"/>
      </c>
      <c r="AF67" s="4">
        <f t="shared" si="121"/>
      </c>
      <c r="AG67" s="4">
        <f t="shared" si="122"/>
      </c>
      <c r="AH67" s="4">
        <f t="shared" si="123"/>
      </c>
      <c r="AI67" s="4">
        <f t="shared" si="124"/>
      </c>
      <c r="AJ67" s="4">
        <f t="shared" si="125"/>
      </c>
      <c r="AK67" s="163">
        <f t="shared" si="126"/>
      </c>
      <c r="AL67" s="163">
        <f t="shared" si="127"/>
      </c>
      <c r="AM67" s="4">
        <f t="shared" si="128"/>
      </c>
      <c r="AN67" s="4"/>
      <c r="AO67" s="4">
        <f t="shared" si="129"/>
      </c>
      <c r="AP67" s="4">
        <f t="shared" si="130"/>
      </c>
      <c r="AQ67" s="42">
        <f t="shared" si="131"/>
      </c>
      <c r="AR67" s="4">
        <f t="shared" si="132"/>
      </c>
      <c r="AS67" s="4">
        <f t="shared" si="133"/>
      </c>
      <c r="AT67" s="4">
        <f t="shared" si="134"/>
      </c>
      <c r="AU67"/>
      <c r="AW67"/>
      <c r="AY67"/>
    </row>
    <row r="68" spans="1:51" x14ac:dyDescent="0.3">
      <c r="A68" s="41">
        <f t="shared" si="105"/>
      </c>
      <c r="B68" s="4">
        <f t="shared" si="106"/>
      </c>
      <c r="C68" s="119"/>
      <c r="D68" s="256"/>
      <c r="E68" s="179"/>
      <c r="F68" s="173">
        <f t="shared" si="91"/>
      </c>
      <c r="G68" s="173"/>
      <c r="H68" s="173">
        <f t="shared" si="92"/>
      </c>
      <c r="I68" s="192">
        <f t="shared" si="93"/>
      </c>
      <c r="J68" s="105"/>
      <c r="K68" s="105">
        <f t="shared" si="94"/>
      </c>
      <c r="L68" s="105">
        <f t="shared" si="95"/>
      </c>
      <c r="M68" s="96">
        <f t="shared" si="107"/>
      </c>
      <c r="N68" s="100">
        <f t="shared" si="96"/>
      </c>
      <c r="O68" s="164"/>
      <c r="P68" s="59">
        <f t="shared" si="108"/>
      </c>
      <c r="Q68" s="165">
        <f t="shared" si="97"/>
      </c>
      <c r="R68" s="100"/>
      <c r="S68" s="164"/>
      <c r="T68" s="5">
        <f t="shared" si="109"/>
      </c>
      <c r="U68" s="4">
        <f t="shared" si="110"/>
      </c>
      <c r="V68" s="4">
        <f t="shared" si="111"/>
      </c>
      <c r="W68" s="4">
        <f t="shared" si="112"/>
      </c>
      <c r="X68" s="4">
        <f t="shared" si="113"/>
      </c>
      <c r="Y68" s="4">
        <f t="shared" si="114"/>
      </c>
      <c r="Z68" s="4">
        <f t="shared" si="115"/>
      </c>
      <c r="AA68" s="4">
        <f t="shared" si="116"/>
      </c>
      <c r="AB68" s="4">
        <f t="shared" si="117"/>
      </c>
      <c r="AC68" s="4">
        <f t="shared" si="118"/>
      </c>
      <c r="AD68" s="4">
        <f t="shared" si="119"/>
      </c>
      <c r="AE68" s="4">
        <f t="shared" si="120"/>
      </c>
      <c r="AF68" s="4">
        <f t="shared" si="121"/>
      </c>
      <c r="AG68" s="4">
        <f t="shared" si="122"/>
      </c>
      <c r="AH68" s="4">
        <f t="shared" si="123"/>
      </c>
      <c r="AI68" s="4">
        <f t="shared" si="124"/>
      </c>
      <c r="AJ68" s="4">
        <f t="shared" si="125"/>
      </c>
      <c r="AK68" s="163">
        <f t="shared" si="126"/>
      </c>
      <c r="AL68" s="163">
        <f t="shared" si="127"/>
      </c>
      <c r="AM68" s="4">
        <f t="shared" si="128"/>
      </c>
      <c r="AN68" s="4"/>
      <c r="AO68" s="4">
        <f t="shared" si="129"/>
      </c>
      <c r="AP68" s="4">
        <f t="shared" si="130"/>
      </c>
      <c r="AQ68" s="42">
        <f t="shared" si="131"/>
      </c>
      <c r="AR68" s="4">
        <f t="shared" si="132"/>
      </c>
      <c r="AS68" s="4">
        <f t="shared" si="133"/>
      </c>
      <c r="AT68" s="4">
        <f t="shared" si="134"/>
      </c>
      <c r="AU68"/>
      <c r="AW68"/>
      <c r="AY68"/>
    </row>
    <row r="69" spans="1:51" x14ac:dyDescent="0.3">
      <c r="A69" s="41">
        <f t="shared" si="105"/>
      </c>
      <c r="B69" s="4">
        <f t="shared" si="106"/>
      </c>
      <c r="C69" s="119"/>
      <c r="D69" s="258"/>
      <c r="E69" s="179"/>
      <c r="F69" s="173">
        <f t="shared" si="91"/>
      </c>
      <c r="G69" s="173"/>
      <c r="H69" s="173">
        <f t="shared" si="92"/>
      </c>
      <c r="I69" s="192">
        <f t="shared" si="93"/>
      </c>
      <c r="J69" s="105"/>
      <c r="K69" s="105">
        <f t="shared" si="94"/>
      </c>
      <c r="L69" s="105">
        <f t="shared" si="95"/>
      </c>
      <c r="M69" s="96">
        <f t="shared" si="107"/>
      </c>
      <c r="N69" s="100">
        <f t="shared" si="96"/>
      </c>
      <c r="O69" s="164"/>
      <c r="P69" s="59">
        <f t="shared" si="108"/>
      </c>
      <c r="Q69" s="165">
        <f t="shared" si="97"/>
      </c>
      <c r="R69" s="100"/>
      <c r="S69" s="164"/>
      <c r="T69" s="5">
        <f t="shared" si="109"/>
      </c>
      <c r="U69" s="4">
        <f t="shared" si="110"/>
      </c>
      <c r="V69" s="4">
        <f t="shared" si="111"/>
      </c>
      <c r="W69" s="4">
        <f t="shared" si="112"/>
      </c>
      <c r="X69" s="4">
        <f t="shared" si="113"/>
      </c>
      <c r="Y69" s="4">
        <f t="shared" si="114"/>
      </c>
      <c r="Z69" s="4">
        <f t="shared" si="115"/>
      </c>
      <c r="AA69" s="4">
        <f t="shared" si="116"/>
      </c>
      <c r="AB69" s="4">
        <f t="shared" si="117"/>
      </c>
      <c r="AC69" s="4">
        <f t="shared" si="118"/>
      </c>
      <c r="AD69" s="4">
        <f t="shared" si="119"/>
      </c>
      <c r="AE69" s="4">
        <f t="shared" si="120"/>
      </c>
      <c r="AF69" s="4">
        <f t="shared" si="121"/>
      </c>
      <c r="AG69" s="4">
        <f t="shared" si="122"/>
      </c>
      <c r="AH69" s="4">
        <f t="shared" si="123"/>
      </c>
      <c r="AI69" s="4">
        <f t="shared" si="124"/>
      </c>
      <c r="AJ69" s="4">
        <f t="shared" si="125"/>
      </c>
      <c r="AK69" s="163">
        <f t="shared" si="126"/>
      </c>
      <c r="AL69" s="163">
        <f t="shared" si="127"/>
      </c>
      <c r="AM69" s="4">
        <f t="shared" si="128"/>
      </c>
      <c r="AN69" s="4"/>
      <c r="AO69" s="4">
        <f t="shared" si="129"/>
      </c>
      <c r="AP69" s="4">
        <f t="shared" si="130"/>
      </c>
      <c r="AQ69" s="42">
        <f t="shared" si="131"/>
      </c>
      <c r="AR69" s="4">
        <f t="shared" si="132"/>
      </c>
      <c r="AS69" s="4">
        <f t="shared" si="133"/>
      </c>
      <c r="AT69" s="4">
        <f t="shared" si="134"/>
      </c>
      <c r="AU69"/>
      <c r="AW69"/>
      <c r="AY69"/>
    </row>
    <row r="70" spans="1:51" ht="15" thickBot="1" x14ac:dyDescent="0.35">
      <c r="A70" s="43">
        <f t="shared" si="105"/>
      </c>
      <c r="B70" s="44">
        <f t="shared" si="106"/>
      </c>
      <c r="C70" s="175"/>
      <c r="D70" s="119"/>
      <c r="E70" s="105"/>
      <c r="F70" s="173"/>
      <c r="G70" s="173"/>
      <c r="H70" s="173"/>
      <c r="I70" s="192"/>
      <c r="J70" s="105"/>
      <c r="K70" s="105"/>
      <c r="L70" s="105"/>
      <c r="M70" s="96">
        <f t="shared" si="107"/>
      </c>
      <c r="N70" s="100"/>
      <c r="O70" s="164"/>
      <c r="P70" s="59">
        <f t="shared" si="108"/>
      </c>
      <c r="Q70" s="165"/>
      <c r="R70" s="100"/>
      <c r="S70" s="164"/>
      <c r="T70" s="45">
        <f t="shared" si="109"/>
      </c>
      <c r="U70" s="44">
        <f t="shared" si="110"/>
      </c>
      <c r="V70" s="44">
        <f t="shared" si="111"/>
      </c>
      <c r="W70" s="44">
        <f t="shared" si="112"/>
      </c>
      <c r="X70" s="44">
        <f t="shared" si="113"/>
      </c>
      <c r="Y70" s="44">
        <f t="shared" si="114"/>
      </c>
      <c r="Z70" s="44">
        <f t="shared" si="115"/>
      </c>
      <c r="AA70" s="44">
        <f t="shared" si="116"/>
      </c>
      <c r="AB70" s="44">
        <f t="shared" si="117"/>
      </c>
      <c r="AC70" s="44">
        <f t="shared" si="118"/>
      </c>
      <c r="AD70" s="44">
        <f t="shared" si="119"/>
      </c>
      <c r="AE70" s="44">
        <f t="shared" si="120"/>
      </c>
      <c r="AF70" s="44">
        <f t="shared" si="121"/>
      </c>
      <c r="AG70" s="44">
        <f t="shared" si="122"/>
        <v/>
      </c>
      <c r="AH70" s="44">
        <f t="shared" si="123"/>
      </c>
      <c r="AI70" s="44">
        <f t="shared" si="124"/>
      </c>
      <c r="AJ70" s="44">
        <f t="shared" si="125"/>
      </c>
      <c r="AK70" s="45">
        <f t="shared" si="126"/>
      </c>
      <c r="AL70" s="45">
        <f t="shared" si="127"/>
      </c>
      <c r="AM70" s="44">
        <f t="shared" si="128"/>
      </c>
      <c r="AN70" s="44"/>
      <c r="AO70" s="4">
        <f t="shared" si="129"/>
      </c>
      <c r="AP70" s="44">
        <f t="shared" si="130"/>
      </c>
      <c r="AQ70" s="46">
        <f t="shared" si="131"/>
        <v/>
      </c>
      <c r="AR70" s="44">
        <f t="shared" si="132"/>
      </c>
      <c r="AS70" s="44">
        <f t="shared" si="133"/>
      </c>
      <c r="AT70" s="44">
        <f t="shared" si="134"/>
      </c>
    </row>
    <row r="71" spans="1:51" x14ac:dyDescent="0.3">
      <c r="A71" s="37">
        <f t="shared" si="105"/>
      </c>
      <c r="B71" s="38">
        <f t="shared" si="106"/>
      </c>
      <c r="C71" s="172"/>
      <c r="D71" s="172"/>
      <c r="E71" s="174"/>
      <c r="F71" s="183"/>
      <c r="G71" s="183"/>
      <c r="H71" s="183"/>
      <c r="I71" s="192"/>
      <c r="J71" s="174"/>
      <c r="K71" s="174"/>
      <c r="L71" s="174"/>
      <c r="M71" s="38">
        <f t="shared" si="107"/>
      </c>
      <c r="N71" s="63"/>
      <c r="O71" s="167"/>
      <c r="P71" s="59">
        <f t="shared" si="108"/>
      </c>
      <c r="Q71" s="169"/>
      <c r="R71" s="63"/>
      <c r="S71" s="167"/>
      <c r="T71" s="39">
        <f t="shared" si="109"/>
      </c>
      <c r="U71" s="38">
        <f t="shared" si="110"/>
      </c>
      <c r="V71" s="38">
        <f t="shared" si="111"/>
      </c>
      <c r="W71" s="38">
        <f t="shared" si="112"/>
      </c>
      <c r="X71" s="38">
        <f t="shared" si="113"/>
      </c>
      <c r="Y71" s="38">
        <f t="shared" si="114"/>
      </c>
      <c r="Z71" s="38">
        <f t="shared" si="115"/>
      </c>
      <c r="AA71" s="38">
        <f t="shared" si="116"/>
      </c>
      <c r="AB71" s="38">
        <f t="shared" si="117"/>
      </c>
      <c r="AC71" s="38">
        <f t="shared" si="118"/>
      </c>
      <c r="AD71" s="38">
        <f t="shared" si="119"/>
      </c>
      <c r="AE71" s="38">
        <f t="shared" si="120"/>
      </c>
      <c r="AF71" s="38">
        <f t="shared" si="121"/>
      </c>
      <c r="AG71" s="38">
        <f t="shared" si="122"/>
        <v/>
      </c>
      <c r="AH71" s="38">
        <f t="shared" si="123"/>
      </c>
      <c r="AI71" s="38">
        <f t="shared" si="124"/>
      </c>
      <c r="AJ71" s="38">
        <f t="shared" si="125"/>
      </c>
      <c r="AK71" s="39">
        <f t="shared" si="126"/>
      </c>
      <c r="AL71" s="39">
        <f t="shared" si="127"/>
      </c>
      <c r="AM71" s="38">
        <f t="shared" si="128"/>
      </c>
      <c r="AN71" s="38"/>
      <c r="AO71" s="4">
        <f t="shared" si="129"/>
      </c>
      <c r="AP71" s="38">
        <f t="shared" si="130"/>
      </c>
      <c r="AQ71" s="40">
        <f t="shared" si="131"/>
        <v/>
      </c>
      <c r="AR71" s="38">
        <f t="shared" si="132"/>
      </c>
      <c r="AS71" s="38">
        <f t="shared" si="133"/>
      </c>
      <c r="AT71" s="38">
        <f t="shared" si="134"/>
      </c>
    </row>
    <row r="72" spans="1:51" x14ac:dyDescent="0.3">
      <c r="A72" s="41">
        <f t="shared" si="105"/>
      </c>
      <c r="B72" s="4">
        <f t="shared" si="106"/>
      </c>
      <c r="C72" s="119"/>
      <c r="D72" s="257"/>
      <c r="E72" s="179"/>
      <c r="F72" s="173">
        <f t="shared" ref="F72:F78" si="135">IF(D72="","",IFERROR(IF(VLOOKUP(AH72,Потребители_обозначение,8,FALSE)=0,"",VLOOKUP(AH72,Потребители_обозначение,8,FALSE)),""))</f>
      </c>
      <c r="G72" s="182"/>
      <c r="H72" s="182">
        <f t="shared" ref="H72:H78" si="136">IF(D72="","",IFERROR(IF(VLOOKUP(AH72,Потребители_обозначение,9,FALSE)=0,"",VLOOKUP(AH72,Потребители_обозначение,9,FALSE)),""))</f>
      </c>
      <c r="I72" s="192">
        <f t="shared" ref="I72:I78" si="137">IF(COUNT(AU72,AV72)=0,"",ROUNDUP(SUM(AU72,AV72),0))</f>
      </c>
      <c r="J72" s="105"/>
      <c r="K72" s="105">
        <f t="shared" ref="K72:K78" si="138">IF(OR(I72="",S72=""),"",IF(S72=1,MAX(0,M72-ROUNDUP(N(AV72),0)-4),ROUNDUP(N(AU72),0)))</f>
      </c>
      <c r="L72" s="105">
        <f t="shared" ref="L72:L78" si="139">IF(OR(I72="",S72=""),"",IF(S72=2,MAX(0,M72-ROUNDUP(N(AU72),0)-4),ROUNDUP(N(AV72),0)))</f>
      </c>
      <c r="M72" s="95">
        <f t="shared" si="107"/>
      </c>
      <c r="N72" s="100">
        <f t="shared" ref="N72:N78" si="140">IF(D72="","",IFERROR(IF(VLOOKUP(AH72,Потребители_обозначение,6,FALSE)=0,"",VLOOKUP(AH72,Потребители_обозначение,6,FALSE)),""))</f>
      </c>
      <c r="O72" s="164"/>
      <c r="P72" s="59">
        <f t="shared" si="108"/>
      </c>
      <c r="Q72" s="165">
        <f t="shared" ref="Q72:Q78" si="141">IF(D72="","",IFERROR(IF(VLOOKUP(AH72,Потребители_обозначение,10,FALSE)=0,"",VLOOKUP(AH72,Потребители_обозначение,10,FALSE)),""))</f>
      </c>
      <c r="R72" s="100"/>
      <c r="S72" s="164"/>
      <c r="T72" s="5">
        <f t="shared" si="109"/>
      </c>
      <c r="U72" s="4">
        <f t="shared" si="110"/>
      </c>
      <c r="V72" s="4">
        <f t="shared" si="111"/>
      </c>
      <c r="W72" s="4">
        <f t="shared" si="112"/>
      </c>
      <c r="X72" s="4">
        <f t="shared" si="113"/>
      </c>
      <c r="Y72" s="4">
        <f t="shared" si="114"/>
      </c>
      <c r="Z72" s="4">
        <f t="shared" si="115"/>
      </c>
      <c r="AA72" s="4">
        <f t="shared" si="116"/>
      </c>
      <c r="AB72" s="4">
        <f t="shared" si="117"/>
      </c>
      <c r="AC72" s="4">
        <f t="shared" si="118"/>
      </c>
      <c r="AD72" s="4">
        <f t="shared" si="119"/>
      </c>
      <c r="AE72" s="4">
        <f t="shared" si="120"/>
      </c>
      <c r="AF72" s="4">
        <f t="shared" si="121"/>
      </c>
      <c r="AG72" s="4">
        <f t="shared" si="122"/>
      </c>
      <c r="AH72" s="4">
        <f t="shared" si="123"/>
      </c>
      <c r="AI72" s="4">
        <f t="shared" si="124"/>
      </c>
      <c r="AJ72" s="4">
        <f t="shared" si="125"/>
      </c>
      <c r="AK72" s="163">
        <f t="shared" si="126"/>
      </c>
      <c r="AL72" s="163">
        <f t="shared" si="127"/>
      </c>
      <c r="AM72" s="4">
        <f t="shared" si="128"/>
      </c>
      <c r="AN72" s="4"/>
      <c r="AO72" s="4">
        <f t="shared" si="129"/>
      </c>
      <c r="AP72" s="4">
        <f t="shared" si="130"/>
      </c>
      <c r="AQ72" s="42">
        <f t="shared" si="131"/>
      </c>
      <c r="AR72" s="4">
        <f t="shared" si="132"/>
      </c>
      <c r="AS72" s="4">
        <f t="shared" si="133"/>
      </c>
      <c r="AT72" s="4">
        <f t="shared" si="134"/>
      </c>
      <c r="AU72"/>
      <c r="AW72"/>
      <c r="AY72"/>
    </row>
    <row r="73" spans="1:51" x14ac:dyDescent="0.3">
      <c r="A73" s="41">
        <f t="shared" si="105"/>
      </c>
      <c r="B73" s="4">
        <f t="shared" si="106"/>
      </c>
      <c r="C73" s="119"/>
      <c r="D73" s="258"/>
      <c r="E73" s="179"/>
      <c r="F73" s="173">
        <f t="shared" si="135"/>
      </c>
      <c r="G73" s="173"/>
      <c r="H73" s="182">
        <f t="shared" si="136"/>
      </c>
      <c r="I73" s="192">
        <f t="shared" si="137"/>
      </c>
      <c r="J73" s="105"/>
      <c r="K73" s="105">
        <f t="shared" si="138"/>
      </c>
      <c r="L73" s="105">
        <f t="shared" si="139"/>
      </c>
      <c r="M73" s="95">
        <f t="shared" si="107"/>
      </c>
      <c r="N73" s="100">
        <f t="shared" si="140"/>
      </c>
      <c r="O73" s="164"/>
      <c r="P73" s="59">
        <f t="shared" si="108"/>
      </c>
      <c r="Q73" s="165">
        <f t="shared" si="141"/>
      </c>
      <c r="R73" s="100"/>
      <c r="S73" s="164"/>
      <c r="T73" s="5">
        <f t="shared" si="109"/>
      </c>
      <c r="U73" s="4">
        <f t="shared" si="110"/>
      </c>
      <c r="V73" s="4">
        <f t="shared" si="111"/>
      </c>
      <c r="W73" s="4">
        <f t="shared" si="112"/>
      </c>
      <c r="X73" s="4">
        <f t="shared" si="113"/>
      </c>
      <c r="Y73" s="4">
        <f t="shared" si="114"/>
      </c>
      <c r="Z73" s="4">
        <f t="shared" si="115"/>
      </c>
      <c r="AA73" s="4">
        <f t="shared" si="116"/>
      </c>
      <c r="AB73" s="4">
        <f t="shared" si="117"/>
      </c>
      <c r="AC73" s="4">
        <f t="shared" si="118"/>
      </c>
      <c r="AD73" s="4">
        <f t="shared" si="119"/>
      </c>
      <c r="AE73" s="4">
        <f t="shared" si="120"/>
      </c>
      <c r="AF73" s="4">
        <f t="shared" si="121"/>
      </c>
      <c r="AG73" s="4">
        <f t="shared" si="122"/>
      </c>
      <c r="AH73" s="4">
        <f t="shared" si="123"/>
      </c>
      <c r="AI73" s="4">
        <f t="shared" si="124"/>
      </c>
      <c r="AJ73" s="4">
        <f t="shared" si="125"/>
      </c>
      <c r="AK73" s="163">
        <f t="shared" si="126"/>
      </c>
      <c r="AL73" s="163">
        <f t="shared" si="127"/>
      </c>
      <c r="AM73" s="4">
        <f t="shared" si="128"/>
      </c>
      <c r="AN73" s="4"/>
      <c r="AO73" s="4">
        <f t="shared" si="129"/>
      </c>
      <c r="AP73" s="4">
        <f t="shared" si="130"/>
      </c>
      <c r="AQ73" s="42">
        <f t="shared" si="131"/>
      </c>
      <c r="AR73" s="4">
        <f t="shared" si="132"/>
      </c>
      <c r="AS73" s="4">
        <f t="shared" si="133"/>
      </c>
      <c r="AT73" s="4">
        <f t="shared" si="134"/>
      </c>
      <c r="AU73"/>
      <c r="AW73"/>
      <c r="AY73"/>
    </row>
    <row r="74" spans="1:51" x14ac:dyDescent="0.3">
      <c r="A74" s="41">
        <f t="shared" si="105"/>
      </c>
      <c r="B74" s="4">
        <f t="shared" si="106"/>
      </c>
      <c r="C74" s="119"/>
      <c r="D74" s="258"/>
      <c r="E74" s="105"/>
      <c r="F74" s="173">
        <f t="shared" si="135"/>
      </c>
      <c r="G74" s="173"/>
      <c r="H74" s="173">
        <f t="shared" si="136"/>
      </c>
      <c r="I74" s="192">
        <f t="shared" si="137"/>
      </c>
      <c r="J74" s="105"/>
      <c r="K74" s="105">
        <f t="shared" si="138"/>
      </c>
      <c r="L74" s="105">
        <f t="shared" si="139"/>
      </c>
      <c r="M74" s="95">
        <f t="shared" si="107"/>
      </c>
      <c r="N74" s="100">
        <f t="shared" si="140"/>
      </c>
      <c r="O74" s="164"/>
      <c r="P74" s="59">
        <f t="shared" si="108"/>
      </c>
      <c r="Q74" s="165">
        <f t="shared" si="141"/>
      </c>
      <c r="R74" s="100"/>
      <c r="S74" s="164"/>
      <c r="T74" s="5">
        <f t="shared" si="109"/>
      </c>
      <c r="U74" s="4">
        <f t="shared" si="110"/>
      </c>
      <c r="V74" s="4">
        <f t="shared" si="111"/>
      </c>
      <c r="W74" s="4">
        <f t="shared" si="112"/>
      </c>
      <c r="X74" s="4">
        <f t="shared" si="113"/>
      </c>
      <c r="Y74" s="4">
        <f t="shared" si="114"/>
      </c>
      <c r="Z74" s="4">
        <f t="shared" si="115"/>
      </c>
      <c r="AA74" s="4">
        <f t="shared" si="116"/>
      </c>
      <c r="AB74" s="4">
        <f t="shared" si="117"/>
      </c>
      <c r="AC74" s="4">
        <f t="shared" si="118"/>
      </c>
      <c r="AD74" s="4">
        <f t="shared" si="119"/>
      </c>
      <c r="AE74" s="4">
        <f t="shared" si="120"/>
      </c>
      <c r="AF74" s="4">
        <f t="shared" si="121"/>
      </c>
      <c r="AG74" s="4">
        <f t="shared" si="122"/>
      </c>
      <c r="AH74" s="4">
        <f t="shared" si="123"/>
      </c>
      <c r="AI74" s="4">
        <f t="shared" si="124"/>
      </c>
      <c r="AJ74" s="4">
        <f t="shared" si="125"/>
      </c>
      <c r="AK74" s="163">
        <f t="shared" si="126"/>
      </c>
      <c r="AL74" s="163">
        <f t="shared" si="127"/>
      </c>
      <c r="AM74" s="4">
        <f t="shared" si="128"/>
      </c>
      <c r="AN74" s="4"/>
      <c r="AO74" s="4">
        <f t="shared" si="129"/>
      </c>
      <c r="AP74" s="4">
        <f t="shared" si="130"/>
      </c>
      <c r="AQ74" s="42">
        <f t="shared" si="131"/>
      </c>
      <c r="AR74" s="4">
        <f t="shared" si="132"/>
      </c>
      <c r="AS74" s="4">
        <f t="shared" si="133"/>
      </c>
      <c r="AT74" s="4">
        <f t="shared" si="134"/>
      </c>
      <c r="AU74"/>
      <c r="AW74"/>
      <c r="AY74"/>
    </row>
    <row r="75" spans="1:51" x14ac:dyDescent="0.3">
      <c r="A75" s="41">
        <f t="shared" si="105"/>
      </c>
      <c r="B75" s="4">
        <f t="shared" si="106"/>
      </c>
      <c r="C75" s="119"/>
      <c r="D75" s="258"/>
      <c r="E75" s="105"/>
      <c r="F75" s="173">
        <f t="shared" si="135"/>
      </c>
      <c r="G75" s="173"/>
      <c r="H75" s="173">
        <f t="shared" si="136"/>
      </c>
      <c r="I75" s="192">
        <f t="shared" si="137"/>
      </c>
      <c r="J75" s="105"/>
      <c r="K75" s="105">
        <f t="shared" si="138"/>
      </c>
      <c r="L75" s="105">
        <f t="shared" si="139"/>
      </c>
      <c r="M75" s="95">
        <f t="shared" si="107"/>
      </c>
      <c r="N75" s="100">
        <f t="shared" si="140"/>
      </c>
      <c r="O75" s="164"/>
      <c r="P75" s="59">
        <f t="shared" si="108"/>
      </c>
      <c r="Q75" s="165">
        <f t="shared" si="141"/>
      </c>
      <c r="R75" s="100"/>
      <c r="S75" s="164"/>
      <c r="T75" s="5">
        <f t="shared" si="109"/>
      </c>
      <c r="U75" s="4">
        <f t="shared" si="110"/>
      </c>
      <c r="V75" s="4">
        <f t="shared" si="111"/>
      </c>
      <c r="W75" s="4">
        <f t="shared" si="112"/>
      </c>
      <c r="X75" s="4">
        <f t="shared" si="113"/>
      </c>
      <c r="Y75" s="4">
        <f t="shared" si="114"/>
      </c>
      <c r="Z75" s="4">
        <f t="shared" si="115"/>
      </c>
      <c r="AA75" s="4">
        <f t="shared" si="116"/>
      </c>
      <c r="AB75" s="4">
        <f t="shared" si="117"/>
      </c>
      <c r="AC75" s="4">
        <f t="shared" si="118"/>
      </c>
      <c r="AD75" s="4">
        <f t="shared" si="119"/>
      </c>
      <c r="AE75" s="4">
        <f t="shared" si="120"/>
      </c>
      <c r="AF75" s="4">
        <f t="shared" si="121"/>
      </c>
      <c r="AG75" s="4">
        <f t="shared" si="122"/>
      </c>
      <c r="AH75" s="4">
        <f t="shared" si="123"/>
      </c>
      <c r="AI75" s="4">
        <f t="shared" si="124"/>
      </c>
      <c r="AJ75" s="4">
        <f t="shared" si="125"/>
      </c>
      <c r="AK75" s="163">
        <f t="shared" si="126"/>
      </c>
      <c r="AL75" s="163">
        <f t="shared" si="127"/>
      </c>
      <c r="AM75" s="4">
        <f t="shared" si="128"/>
      </c>
      <c r="AN75" s="4"/>
      <c r="AO75" s="4">
        <f t="shared" si="129"/>
      </c>
      <c r="AP75" s="4">
        <f t="shared" si="130"/>
      </c>
      <c r="AQ75" s="42">
        <f t="shared" si="131"/>
      </c>
      <c r="AR75" s="4">
        <f t="shared" si="132"/>
      </c>
      <c r="AS75" s="4">
        <f t="shared" si="133"/>
      </c>
      <c r="AT75" s="4">
        <f t="shared" si="134"/>
      </c>
      <c r="AU75"/>
      <c r="AW75"/>
      <c r="AY75"/>
    </row>
    <row r="76" spans="1:51" x14ac:dyDescent="0.3">
      <c r="A76" s="41">
        <f t="shared" si="105"/>
      </c>
      <c r="B76" s="4">
        <f t="shared" si="106"/>
      </c>
      <c r="C76" s="119"/>
      <c r="D76" s="259"/>
      <c r="E76" s="105"/>
      <c r="F76" s="173">
        <f t="shared" si="135"/>
      </c>
      <c r="G76" s="173"/>
      <c r="H76" s="173">
        <f t="shared" si="136"/>
      </c>
      <c r="I76" s="192">
        <f t="shared" si="137"/>
      </c>
      <c r="J76" s="105"/>
      <c r="K76" s="105">
        <f t="shared" si="138"/>
      </c>
      <c r="L76" s="105">
        <f t="shared" si="139"/>
      </c>
      <c r="M76" s="95">
        <f t="shared" si="107"/>
      </c>
      <c r="N76" s="100">
        <f t="shared" si="140"/>
      </c>
      <c r="O76" s="164"/>
      <c r="P76" s="59">
        <f t="shared" si="108"/>
      </c>
      <c r="Q76" s="165">
        <f t="shared" si="141"/>
      </c>
      <c r="R76" s="59"/>
      <c r="S76" s="164"/>
      <c r="T76" s="5">
        <f t="shared" si="109"/>
      </c>
      <c r="U76" s="4">
        <f t="shared" si="110"/>
      </c>
      <c r="V76" s="4">
        <f t="shared" si="111"/>
      </c>
      <c r="W76" s="4">
        <f t="shared" si="112"/>
      </c>
      <c r="X76" s="4">
        <f t="shared" si="113"/>
      </c>
      <c r="Y76" s="4">
        <f t="shared" si="114"/>
      </c>
      <c r="Z76" s="4">
        <f t="shared" si="115"/>
      </c>
      <c r="AA76" s="4">
        <f t="shared" si="116"/>
      </c>
      <c r="AB76" s="4">
        <f t="shared" si="117"/>
      </c>
      <c r="AC76" s="4">
        <f t="shared" si="118"/>
      </c>
      <c r="AD76" s="4">
        <f t="shared" si="119"/>
      </c>
      <c r="AE76" s="4">
        <f t="shared" si="120"/>
      </c>
      <c r="AF76" s="4">
        <f t="shared" si="121"/>
      </c>
      <c r="AG76" s="4">
        <f t="shared" si="122"/>
      </c>
      <c r="AH76" s="4">
        <f t="shared" si="123"/>
      </c>
      <c r="AI76" s="4">
        <f t="shared" si="124"/>
      </c>
      <c r="AJ76" s="4">
        <f t="shared" si="125"/>
      </c>
      <c r="AK76" s="163">
        <f t="shared" si="126"/>
      </c>
      <c r="AL76" s="163">
        <f t="shared" si="127"/>
      </c>
      <c r="AM76" s="4">
        <f t="shared" si="128"/>
      </c>
      <c r="AN76" s="4"/>
      <c r="AO76" s="4">
        <f t="shared" si="129"/>
      </c>
      <c r="AP76" s="4">
        <f t="shared" si="130"/>
      </c>
      <c r="AQ76" s="42">
        <f t="shared" si="131"/>
      </c>
      <c r="AR76" s="4">
        <f t="shared" si="132"/>
      </c>
      <c r="AS76" s="4">
        <f t="shared" si="133"/>
      </c>
      <c r="AT76" s="4">
        <f t="shared" si="134"/>
      </c>
      <c r="AU76"/>
      <c r="AW76"/>
      <c r="AY76"/>
    </row>
    <row r="77" spans="1:51" x14ac:dyDescent="0.3">
      <c r="A77" s="41">
        <f t="shared" si="105"/>
      </c>
      <c r="B77" s="4">
        <f t="shared" si="106"/>
      </c>
      <c r="C77" s="181"/>
      <c r="D77" s="258"/>
      <c r="E77" s="105"/>
      <c r="F77" s="173">
        <f t="shared" si="135"/>
      </c>
      <c r="G77" s="173"/>
      <c r="H77" s="173">
        <f t="shared" si="136"/>
      </c>
      <c r="I77" s="192">
        <f t="shared" si="137"/>
      </c>
      <c r="J77" s="105"/>
      <c r="K77" s="105">
        <f t="shared" si="138"/>
      </c>
      <c r="L77" s="105">
        <f t="shared" si="139"/>
      </c>
      <c r="M77" s="95">
        <f t="shared" si="107"/>
      </c>
      <c r="N77" s="100">
        <f t="shared" si="140"/>
      </c>
      <c r="O77" s="164"/>
      <c r="P77" s="59">
        <f t="shared" si="108"/>
      </c>
      <c r="Q77" s="165">
        <f t="shared" si="141"/>
      </c>
      <c r="R77" s="59"/>
      <c r="S77" s="164"/>
      <c r="T77" s="5">
        <f t="shared" si="109"/>
      </c>
      <c r="U77" s="4">
        <f t="shared" si="110"/>
      </c>
      <c r="V77" s="4">
        <f t="shared" si="111"/>
      </c>
      <c r="W77" s="4">
        <f t="shared" si="112"/>
      </c>
      <c r="X77" s="4">
        <f t="shared" si="113"/>
      </c>
      <c r="Y77" s="4">
        <f t="shared" si="114"/>
      </c>
      <c r="Z77" s="4">
        <f t="shared" si="115"/>
      </c>
      <c r="AA77" s="4">
        <f t="shared" si="116"/>
      </c>
      <c r="AB77" s="4">
        <f t="shared" si="117"/>
      </c>
      <c r="AC77" s="4">
        <f t="shared" si="118"/>
      </c>
      <c r="AD77" s="4">
        <f t="shared" si="119"/>
      </c>
      <c r="AE77" s="4">
        <f t="shared" si="120"/>
      </c>
      <c r="AF77" s="4">
        <f t="shared" si="121"/>
      </c>
      <c r="AG77" s="4">
        <f t="shared" si="122"/>
      </c>
      <c r="AH77" s="4">
        <f t="shared" si="123"/>
      </c>
      <c r="AI77" s="4">
        <f t="shared" si="124"/>
      </c>
      <c r="AJ77" s="4">
        <f t="shared" si="125"/>
      </c>
      <c r="AK77" s="163">
        <f t="shared" si="126"/>
      </c>
      <c r="AL77" s="163">
        <f t="shared" si="127"/>
      </c>
      <c r="AM77" s="4">
        <f t="shared" si="128"/>
      </c>
      <c r="AN77" s="4"/>
      <c r="AO77" s="4">
        <f t="shared" si="129"/>
      </c>
      <c r="AP77" s="4">
        <f t="shared" si="130"/>
      </c>
      <c r="AQ77" s="42">
        <f t="shared" si="131"/>
      </c>
      <c r="AR77" s="4">
        <f t="shared" si="132"/>
      </c>
      <c r="AS77" s="4">
        <f t="shared" si="133"/>
      </c>
      <c r="AT77" s="4">
        <f t="shared" si="134"/>
      </c>
      <c r="AU77"/>
      <c r="AW77"/>
      <c r="AY77"/>
    </row>
    <row r="78" spans="1:51" x14ac:dyDescent="0.3">
      <c r="A78" s="41">
        <f t="shared" si="105"/>
      </c>
      <c r="B78" s="4">
        <f t="shared" si="106"/>
      </c>
      <c r="C78" s="119"/>
      <c r="D78" s="256"/>
      <c r="E78" s="105"/>
      <c r="F78" s="173">
        <f t="shared" si="135"/>
      </c>
      <c r="G78" s="173"/>
      <c r="H78" s="173">
        <f t="shared" si="136"/>
      </c>
      <c r="I78" s="192">
        <f t="shared" si="137"/>
      </c>
      <c r="J78" s="105"/>
      <c r="K78" s="105">
        <f t="shared" si="138"/>
      </c>
      <c r="L78" s="105">
        <f t="shared" si="139"/>
      </c>
      <c r="M78" s="95">
        <f t="shared" si="107"/>
      </c>
      <c r="N78" s="100">
        <f t="shared" si="140"/>
      </c>
      <c r="O78" s="164"/>
      <c r="P78" s="59">
        <f t="shared" si="108"/>
      </c>
      <c r="Q78" s="165">
        <f t="shared" si="141"/>
      </c>
      <c r="R78" s="59"/>
      <c r="S78" s="164"/>
      <c r="T78" s="5">
        <f t="shared" si="109"/>
      </c>
      <c r="U78" s="4">
        <f t="shared" si="110"/>
      </c>
      <c r="V78" s="4">
        <f t="shared" si="111"/>
      </c>
      <c r="W78" s="4">
        <f t="shared" si="112"/>
      </c>
      <c r="X78" s="4">
        <f t="shared" si="113"/>
      </c>
      <c r="Y78" s="4">
        <f t="shared" si="114"/>
      </c>
      <c r="Z78" s="4">
        <f t="shared" si="115"/>
      </c>
      <c r="AA78" s="4">
        <f t="shared" si="116"/>
      </c>
      <c r="AB78" s="4">
        <f t="shared" si="117"/>
      </c>
      <c r="AC78" s="4">
        <f t="shared" si="118"/>
      </c>
      <c r="AD78" s="4">
        <f t="shared" si="119"/>
      </c>
      <c r="AE78" s="4">
        <f t="shared" si="120"/>
      </c>
      <c r="AF78" s="4">
        <f t="shared" si="121"/>
      </c>
      <c r="AG78" s="4">
        <f t="shared" si="122"/>
      </c>
      <c r="AH78" s="4">
        <f t="shared" si="123"/>
      </c>
      <c r="AI78" s="4">
        <f t="shared" si="124"/>
      </c>
      <c r="AJ78" s="4">
        <f t="shared" si="125"/>
      </c>
      <c r="AK78" s="163">
        <f t="shared" si="126"/>
      </c>
      <c r="AL78" s="163">
        <f t="shared" si="127"/>
      </c>
      <c r="AM78" s="4">
        <f t="shared" si="128"/>
      </c>
      <c r="AN78" s="4"/>
      <c r="AO78" s="4">
        <f t="shared" si="129"/>
      </c>
      <c r="AP78" s="4">
        <f t="shared" si="130"/>
      </c>
      <c r="AQ78" s="42">
        <f t="shared" si="131"/>
      </c>
      <c r="AR78" s="4">
        <f t="shared" si="132"/>
      </c>
      <c r="AS78" s="4">
        <f t="shared" si="133"/>
      </c>
      <c r="AT78" s="4">
        <f t="shared" si="134"/>
      </c>
      <c r="AU78"/>
      <c r="AW78"/>
      <c r="AY78"/>
    </row>
    <row r="79" spans="1:51" x14ac:dyDescent="0.3">
      <c r="A79" s="41">
        <f t="shared" ref="A79:A127" si="142">D79</f>
      </c>
      <c r="B79" s="4">
        <f t="shared" ref="B79:B130" si="143">IFERROR(IF(VLOOKUP(AH79,Потребители_обозначение,4,FALSE)=1,VLOOKUP(AH79,Потребители_обозначение,2,FALSE)&amp;" "&amp;VLOOKUP(AI79,Этаж_обозначение,2,FALSE)&amp;" Пом. №"&amp;AG79,VLOOKUP(AH79,Потребители_обозначение,2,FALSE)&amp;" Шлейф №"&amp;AI79),VLOOKUP(D79,Потребители_обозначение,2,FALSE))</f>
      </c>
      <c r="C79" s="181"/>
      <c r="D79" s="119"/>
      <c r="E79" s="105"/>
      <c r="F79" s="173"/>
      <c r="G79" s="173"/>
      <c r="H79" s="173"/>
      <c r="I79" s="192"/>
      <c r="J79" s="105"/>
      <c r="K79" s="105"/>
      <c r="L79" s="105"/>
      <c r="M79" s="95">
        <f t="shared" ref="M79:M81" si="144">IFERROR(IF(VLOOKUP(AH79,Потребители_обозначение,4,FALSE)=1,VLOOKUP(AH79,Потребители_обозначение,3,FALSE)*(G79*2-1)+I79+VLOOKUP(AI79,Этаж_обозначение,3,FALSE)+VLOOKUP(AI79,Этаж_обозначение,4,FALSE),VLOOKUP(AH79,Потребители_обозначение,3,FALSE)*(G79*2-1)+I79),I79)</f>
      </c>
      <c r="N79" s="59"/>
      <c r="O79" s="164"/>
      <c r="P79" s="59">
        <f t="shared" ref="P79:P80" si="145">IF(VLOOKUP(AH79,Потребители_обозначение,5,FALSE)=2,_xlfn.IFS(H79=3,VLOOKUP(E79,Справочная_двигатели,8,FALSE),H79=1,VLOOKUP(E79,Справочная_двигатели,10,TRUE)),0.95)</f>
      </c>
      <c r="Q79" s="165"/>
      <c r="R79" s="59"/>
      <c r="S79" s="164"/>
      <c r="T79" s="5">
        <f t="shared" ref="T79:T130" si="146">_xlfn.IFS(H79=1,E79*1000/220,H79=3,E79/0.38/1.732)</f>
      </c>
      <c r="U79" s="4">
        <f t="shared" ref="U79:U86" si="147">IF(R79=0,VLOOKUP(T79,Автомат_номиналы,2,TRUE),R79)</f>
      </c>
      <c r="V79" s="4">
        <f t="shared" ref="V79:V86" si="148">IF(Q79=0,VLOOKUP(U79,Кабель_номиналы,2,TRUE),Q79)</f>
      </c>
      <c r="W79" s="4">
        <f t="shared" ref="W79:W86" si="149">VLOOKUP(V79,Кабель_сопротивление,3,FALSE)</f>
      </c>
      <c r="X79" s="4">
        <f t="shared" ref="X79:X86" si="150">VLOOKUP(V79,Кабель_сопротивление,2,FALSE)</f>
      </c>
      <c r="Y79" s="4" cm="1">
        <f t="array" ref="Y79">_xlfn.IFS(H79=1,2,H79=3,1)</f>
      </c>
      <c r="Z79" s="4">
        <f t="shared" ref="Z79:Z86" si="151">ROUND(SIN(ACOS(P79)),2)</f>
      </c>
      <c r="AA79" s="4">
        <f t="shared" ref="AA79:AA130" si="152">Y79*(W79*I79/V79+X79*I79*Z79/1000)*T79</f>
      </c>
      <c r="AB79" s="4">
        <f t="shared" ref="AB79:AB86" si="153">ROUNDUP(AA79/220*100,2)</f>
      </c>
      <c r="AC79" s="4">
        <f t="shared" ref="AC79:AC130" si="154">_xlfn.IFS(H79=3,380,H79=1,220)</f>
      </c>
      <c r="AD79" s="4">
        <f t="shared" ref="AD79:AD86" si="155">VLOOKUP(N79,Кабель_обозначение,2,FALSE)</f>
      </c>
      <c r="AE79" s="4">
        <f t="shared" ref="AE79:AE86" si="156">IF(VLOOKUP(N79,Кабель_обозначение,3,FALSE)=1,AD79&amp;" ("&amp;O79&amp;"х"&amp;V79&amp;")",AD79)</f>
      </c>
      <c r="AF79" s="4">
        <f t="shared" ref="AF79:AF86" si="157">IFERROR(IF(AB79&gt;4.5,1,2),0)</f>
      </c>
      <c r="AG79" s="4">
        <f t="shared" ref="AG79:AG86" si="158">IFERROR(LEFT(AQ79,SEARCH(".",AQ79)-1),AQ79)</f>
        <v/>
      </c>
      <c r="AH79" s="4">
        <f t="shared" ref="AH79:AH130" si="159">IFERROR(LEFT(A79,SEARCH(".",A79)-1),A79)</f>
      </c>
      <c r="AI79" s="4">
        <f t="shared" ref="AI79:AI86" si="160">IFERROR(LEFT(AP79,SEARCH(".",AP79)-1),AP79)</f>
      </c>
      <c r="AJ79" s="4">
        <f t="shared" ref="AJ79:AJ130" si="161">IF(C79=0,B79,C79)</f>
      </c>
      <c r="AK79" s="4">
        <f t="shared" ref="AK79:AK86" si="162">ROUNDUP(T79,2)</f>
      </c>
      <c r="AL79" s="4">
        <f t="shared" ref="AL79:AL130" si="163">E79</f>
      </c>
      <c r="AM79" s="4">
        <f t="shared" ref="AM79:AM130" si="164">D79</f>
      </c>
      <c r="AN79" s="4"/>
      <c r="AO79" s="4">
        <f t="shared" ref="AO79:AO86" si="165">IF(V79=0,AD79,AE79&amp;"
L="&amp;M79&amp;"-"&amp;AB79&amp;"%")</f>
      </c>
      <c r="AP79" s="4">
        <f t="shared" ref="AP79:AP130" si="166">RIGHT(A79,LEN(A79)-SEARCH(".",A79))</f>
      </c>
      <c r="AQ79" s="42">
        <f t="shared" ref="AQ79:AQ86" si="167">IFERROR(RIGHT(AP79,LEN(AP79)-SEARCH(".",AP79)),"")</f>
        <v/>
      </c>
      <c r="AR79" s="4">
        <f t="shared" ref="AR79:AR130" si="168">IFERROR(IF(VLOOKUP(AH79,Потребители_обозначение,5,FALSE)=2,_xlfn.IFS(H79=3,VLOOKUP(E79,Справочная_двигатели,3,FALSE),H79=1,VLOOKUP(E79,Справочная_двигатели,5,TRUE)),0),0)</f>
      </c>
      <c r="AS79" s="4">
        <f t="shared" ref="AS79:AS130" si="169">IFERROR(IF(VLOOKUP(AH79,Потребители_обозначение,5,FALSE)=3,VLOOKUP(E79,Справочная_ЛЭД,2,TRUE),0),0)</f>
      </c>
      <c r="AT79" s="4">
        <f t="shared" ref="AT79:AT138" si="170">IF(AR79=0,AS79,AR79)</f>
      </c>
    </row>
    <row r="80" spans="1:51" x14ac:dyDescent="0.3">
      <c r="A80" s="41">
        <f t="shared" si="142"/>
      </c>
      <c r="B80" s="4">
        <f t="shared" si="143"/>
      </c>
      <c r="C80" s="119"/>
      <c r="D80" s="119"/>
      <c r="E80" s="105"/>
      <c r="F80" s="173"/>
      <c r="G80" s="173"/>
      <c r="H80" s="173"/>
      <c r="I80" s="192"/>
      <c r="J80" s="105"/>
      <c r="K80" s="105"/>
      <c r="L80" s="105"/>
      <c r="M80" s="95">
        <f t="shared" si="144"/>
      </c>
      <c r="N80" s="59"/>
      <c r="O80" s="164"/>
      <c r="P80" s="59">
        <f t="shared" si="145"/>
      </c>
      <c r="Q80" s="165"/>
      <c r="R80" s="59"/>
      <c r="S80" s="164"/>
      <c r="T80" s="5">
        <f t="shared" si="146"/>
      </c>
      <c r="U80" s="4">
        <f t="shared" si="147"/>
      </c>
      <c r="V80" s="4">
        <f t="shared" si="148"/>
      </c>
      <c r="W80" s="4">
        <f t="shared" si="149"/>
      </c>
      <c r="X80" s="4">
        <f t="shared" si="150"/>
      </c>
      <c r="Y80" s="4" cm="1">
        <f t="array" ref="Y80">_xlfn.IFS(H80=1,2,H80=3,1)</f>
      </c>
      <c r="Z80" s="4">
        <f t="shared" si="151"/>
      </c>
      <c r="AA80" s="4">
        <f t="shared" si="152"/>
      </c>
      <c r="AB80" s="4">
        <f t="shared" si="153"/>
      </c>
      <c r="AC80" s="4">
        <f t="shared" si="154"/>
      </c>
      <c r="AD80" s="4">
        <f t="shared" si="155"/>
      </c>
      <c r="AE80" s="4">
        <f t="shared" si="156"/>
      </c>
      <c r="AF80" s="4">
        <f t="shared" si="157"/>
      </c>
      <c r="AG80" s="4">
        <f t="shared" si="158"/>
        <v/>
      </c>
      <c r="AH80" s="4">
        <f t="shared" si="159"/>
      </c>
      <c r="AI80" s="4">
        <f t="shared" si="160"/>
      </c>
      <c r="AJ80" s="4">
        <f t="shared" si="161"/>
      </c>
      <c r="AK80" s="4">
        <f t="shared" si="162"/>
      </c>
      <c r="AL80" s="4">
        <f t="shared" si="163"/>
      </c>
      <c r="AM80" s="4">
        <f t="shared" si="164"/>
      </c>
      <c r="AN80" s="4"/>
      <c r="AO80" s="4">
        <f t="shared" si="165"/>
      </c>
      <c r="AP80" s="4">
        <f t="shared" si="166"/>
      </c>
      <c r="AQ80" s="42">
        <f t="shared" si="167"/>
        <v/>
      </c>
      <c r="AR80" s="4">
        <f t="shared" si="168"/>
      </c>
      <c r="AS80" s="4">
        <f t="shared" si="169"/>
      </c>
      <c r="AT80" s="4">
        <f t="shared" si="170"/>
      </c>
    </row>
    <row r="81" spans="1:46" ht="16.8" x14ac:dyDescent="0.3">
      <c r="A81" s="41">
        <f t="shared" si="142"/>
      </c>
      <c r="B81" s="4">
        <f t="shared" si="143"/>
      </c>
      <c r="C81" s="119"/>
      <c r="D81" s="119"/>
      <c r="E81" s="184"/>
      <c r="F81" s="173"/>
      <c r="G81" s="173"/>
      <c r="H81" s="173"/>
      <c r="I81" s="192"/>
      <c r="J81" s="105"/>
      <c r="K81" s="105"/>
      <c r="L81" s="105"/>
      <c r="M81" s="95">
        <f t="shared" si="144"/>
      </c>
      <c r="N81" s="100"/>
      <c r="O81" s="164"/>
      <c r="P81" s="59">
        <f t="shared" ref="P81:P86" si="171">IF(VLOOKUP(AH81,Потребители_обозначение,5,FALSE)=2,_xlfn.IFS(H81=3,VLOOKUP(E81,Справочная_двигатели,8,FALSE),H81=1,VLOOKUP(E81,Справочная_двигатели,10,TRUE)),0.95)</f>
      </c>
      <c r="Q81" s="165"/>
      <c r="R81" s="100"/>
      <c r="S81" s="164"/>
      <c r="T81" s="5">
        <f t="shared" ref="T81:T86" si="172">_xlfn.IFS(H81=1,E81*1000/220,H81=3,E81/0.38/1.732)</f>
      </c>
      <c r="U81" s="4">
        <f t="shared" si="147"/>
      </c>
      <c r="V81" s="4">
        <f t="shared" si="148"/>
      </c>
      <c r="W81" s="4">
        <f t="shared" si="149"/>
      </c>
      <c r="X81" s="4">
        <f t="shared" si="150"/>
      </c>
      <c r="Y81" s="4" cm="1">
        <f t="array" ref="Y81">_xlfn.IFS(H81=1,2,H81=3,1)</f>
      </c>
      <c r="Z81" s="4">
        <f t="shared" si="151"/>
      </c>
      <c r="AA81" s="4">
        <f t="shared" si="152"/>
      </c>
      <c r="AB81" s="4">
        <f t="shared" si="153"/>
      </c>
      <c r="AC81" s="4">
        <f t="shared" ref="AC81:AC86" si="173">_xlfn.IFS(H81=3,380,H81=1,220)</f>
      </c>
      <c r="AD81" s="4">
        <f t="shared" si="155"/>
      </c>
      <c r="AE81" s="4">
        <f t="shared" si="156"/>
      </c>
      <c r="AF81" s="4">
        <f t="shared" si="157"/>
      </c>
      <c r="AG81" s="4">
        <f t="shared" si="158"/>
        <v/>
      </c>
      <c r="AH81" s="4">
        <f t="shared" si="159"/>
      </c>
      <c r="AI81" s="4">
        <f t="shared" si="160"/>
      </c>
      <c r="AJ81" s="4">
        <f t="shared" si="161"/>
      </c>
      <c r="AK81" s="4">
        <f t="shared" si="162"/>
      </c>
      <c r="AL81" s="4">
        <f t="shared" si="163"/>
      </c>
      <c r="AM81" s="4">
        <f t="shared" si="164"/>
      </c>
      <c r="AN81" s="4"/>
      <c r="AO81" s="4">
        <f t="shared" si="165"/>
      </c>
      <c r="AP81" s="4">
        <f t="shared" si="166"/>
      </c>
      <c r="AQ81" s="42">
        <f t="shared" si="167"/>
        <v/>
      </c>
      <c r="AR81" s="4">
        <f t="shared" ref="AR81:AR86" si="174">IFERROR(IF(VLOOKUP(AH81,Потребители_обозначение,5,FALSE)=2,_xlfn.IFS(H81=3,VLOOKUP(E81,Справочная_двигатели,3,FALSE),H81=1,VLOOKUP(E81,Справочная_двигатели,5,TRUE)),0),0)</f>
      </c>
      <c r="AS81" s="4">
        <f t="shared" si="169"/>
      </c>
      <c r="AT81" s="4">
        <f t="shared" si="170"/>
      </c>
    </row>
    <row r="82" spans="1:46" ht="16.8" x14ac:dyDescent="0.3">
      <c r="A82" s="41">
        <f t="shared" si="142"/>
      </c>
      <c r="B82" s="4">
        <f t="shared" si="143"/>
      </c>
      <c r="C82" s="119"/>
      <c r="D82" s="119"/>
      <c r="E82" s="184"/>
      <c r="F82" s="173"/>
      <c r="G82" s="173"/>
      <c r="H82" s="173"/>
      <c r="I82" s="192"/>
      <c r="J82" s="105"/>
      <c r="K82" s="105"/>
      <c r="L82" s="105"/>
      <c r="M82" s="95">
        <f t="shared" ref="M82:M85" si="175">IFERROR(IF(VLOOKUP(AH82,Потребители_обозначение,4,FALSE)=1,VLOOKUP(AH82,Потребители_обозначение,3,FALSE)*(G82*2-1)+I82+VLOOKUP(AI82,Этаж_обозначение,3,FALSE)+VLOOKUP(AI82,Этаж_обозначение,4,FALSE),VLOOKUP(AH82,Потребители_обозначение,3,FALSE)*(G82*2-1)+I82),I82)</f>
      </c>
      <c r="N82" s="100"/>
      <c r="O82" s="164"/>
      <c r="P82" s="59">
        <f t="shared" si="171"/>
      </c>
      <c r="Q82" s="165"/>
      <c r="R82" s="100"/>
      <c r="S82" s="164"/>
      <c r="T82" s="5">
        <f t="shared" si="172"/>
      </c>
      <c r="U82" s="4">
        <f t="shared" si="147"/>
      </c>
      <c r="V82" s="4">
        <f t="shared" si="148"/>
      </c>
      <c r="W82" s="4">
        <f t="shared" si="149"/>
      </c>
      <c r="X82" s="4">
        <f t="shared" si="150"/>
      </c>
      <c r="Y82" s="4" cm="1">
        <f t="array" ref="Y82">_xlfn.IFS(H82=1,2,H82=3,1)</f>
      </c>
      <c r="Z82" s="4">
        <f t="shared" si="151"/>
      </c>
      <c r="AA82" s="4">
        <f t="shared" si="152"/>
      </c>
      <c r="AB82" s="4">
        <f t="shared" si="153"/>
      </c>
      <c r="AC82" s="4">
        <f t="shared" si="173"/>
      </c>
      <c r="AD82" s="4">
        <f t="shared" si="155"/>
      </c>
      <c r="AE82" s="4">
        <f t="shared" si="156"/>
      </c>
      <c r="AF82" s="4">
        <f t="shared" si="157"/>
      </c>
      <c r="AG82" s="4">
        <f t="shared" si="158"/>
        <v/>
      </c>
      <c r="AH82" s="4">
        <f t="shared" si="159"/>
      </c>
      <c r="AI82" s="4">
        <f t="shared" si="160"/>
      </c>
      <c r="AJ82" s="4">
        <f t="shared" si="161"/>
      </c>
      <c r="AK82" s="4">
        <f t="shared" si="162"/>
      </c>
      <c r="AL82" s="4">
        <f t="shared" si="163"/>
      </c>
      <c r="AM82" s="4">
        <f t="shared" si="164"/>
      </c>
      <c r="AN82" s="4"/>
      <c r="AO82" s="4">
        <f t="shared" si="165"/>
      </c>
      <c r="AP82" s="4">
        <f t="shared" si="166"/>
      </c>
      <c r="AQ82" s="42">
        <f t="shared" si="167"/>
        <v/>
      </c>
      <c r="AR82" s="4">
        <f t="shared" si="174"/>
      </c>
      <c r="AS82" s="4">
        <f t="shared" si="169"/>
      </c>
      <c r="AT82" s="4">
        <f t="shared" si="170"/>
      </c>
    </row>
    <row r="83" spans="1:46" ht="16.8" x14ac:dyDescent="0.3">
      <c r="A83" s="41">
        <f t="shared" si="142"/>
      </c>
      <c r="B83" s="4">
        <f t="shared" si="143"/>
      </c>
      <c r="C83" s="119"/>
      <c r="D83" s="119"/>
      <c r="E83" s="184"/>
      <c r="F83" s="173"/>
      <c r="G83" s="173"/>
      <c r="H83" s="173"/>
      <c r="I83" s="192"/>
      <c r="J83" s="105"/>
      <c r="K83" s="105"/>
      <c r="L83" s="105"/>
      <c r="M83" s="95">
        <f t="shared" si="175"/>
      </c>
      <c r="N83" s="100"/>
      <c r="O83" s="164"/>
      <c r="P83" s="59">
        <f t="shared" si="171"/>
      </c>
      <c r="Q83" s="165"/>
      <c r="R83" s="100"/>
      <c r="S83" s="164"/>
      <c r="T83" s="5">
        <f t="shared" si="172"/>
      </c>
      <c r="U83" s="4">
        <f t="shared" si="147"/>
      </c>
      <c r="V83" s="4">
        <f t="shared" si="148"/>
      </c>
      <c r="W83" s="4">
        <f t="shared" si="149"/>
      </c>
      <c r="X83" s="4">
        <f t="shared" si="150"/>
      </c>
      <c r="Y83" s="4" cm="1">
        <f t="array" ref="Y83">_xlfn.IFS(H83=1,2,H83=3,1)</f>
      </c>
      <c r="Z83" s="4">
        <f t="shared" si="151"/>
      </c>
      <c r="AA83" s="4">
        <f t="shared" si="152"/>
      </c>
      <c r="AB83" s="4">
        <f t="shared" si="153"/>
      </c>
      <c r="AC83" s="4">
        <f t="shared" si="173"/>
      </c>
      <c r="AD83" s="4">
        <f t="shared" si="155"/>
      </c>
      <c r="AE83" s="4">
        <f t="shared" si="156"/>
      </c>
      <c r="AF83" s="4">
        <f t="shared" si="157"/>
      </c>
      <c r="AG83" s="4">
        <f t="shared" si="158"/>
        <v/>
      </c>
      <c r="AH83" s="4">
        <f t="shared" si="159"/>
      </c>
      <c r="AI83" s="4">
        <f t="shared" si="160"/>
      </c>
      <c r="AJ83" s="4">
        <f t="shared" si="161"/>
      </c>
      <c r="AK83" s="4">
        <f t="shared" si="162"/>
      </c>
      <c r="AL83" s="4">
        <f t="shared" si="163"/>
      </c>
      <c r="AM83" s="4">
        <f t="shared" si="164"/>
      </c>
      <c r="AN83" s="4"/>
      <c r="AO83" s="4">
        <f t="shared" si="165"/>
      </c>
      <c r="AP83" s="4">
        <f t="shared" si="166"/>
      </c>
      <c r="AQ83" s="42">
        <f t="shared" si="167"/>
        <v/>
      </c>
      <c r="AR83" s="4">
        <f t="shared" si="174"/>
      </c>
      <c r="AS83" s="4">
        <f t="shared" si="169"/>
      </c>
      <c r="AT83" s="4">
        <f t="shared" si="170"/>
      </c>
    </row>
    <row r="84" spans="1:46" ht="16.8" x14ac:dyDescent="0.4">
      <c r="A84" s="41">
        <f t="shared" si="142"/>
      </c>
      <c r="B84" s="4">
        <f t="shared" si="143"/>
      </c>
      <c r="C84" s="119"/>
      <c r="D84" s="119"/>
      <c r="E84" s="185"/>
      <c r="F84" s="173"/>
      <c r="G84" s="173"/>
      <c r="H84" s="173"/>
      <c r="I84" s="192"/>
      <c r="J84" s="105"/>
      <c r="K84" s="105"/>
      <c r="L84" s="105"/>
      <c r="M84" s="95">
        <f t="shared" si="175"/>
      </c>
      <c r="N84" s="100"/>
      <c r="O84" s="164"/>
      <c r="P84" s="59">
        <f t="shared" si="171"/>
      </c>
      <c r="Q84" s="165"/>
      <c r="R84" s="100"/>
      <c r="S84" s="164"/>
      <c r="T84" s="5">
        <f t="shared" si="172"/>
      </c>
      <c r="U84" s="4">
        <f t="shared" si="147"/>
      </c>
      <c r="V84" s="4">
        <f t="shared" si="148"/>
      </c>
      <c r="W84" s="4">
        <f t="shared" si="149"/>
      </c>
      <c r="X84" s="4">
        <f t="shared" si="150"/>
      </c>
      <c r="Y84" s="4" cm="1">
        <f t="array" ref="Y84">_xlfn.IFS(H84=1,2,H84=3,1)</f>
      </c>
      <c r="Z84" s="4">
        <f t="shared" si="151"/>
      </c>
      <c r="AA84" s="4">
        <f t="shared" si="152"/>
      </c>
      <c r="AB84" s="4">
        <f t="shared" si="153"/>
      </c>
      <c r="AC84" s="4">
        <f t="shared" si="173"/>
      </c>
      <c r="AD84" s="4">
        <f t="shared" si="155"/>
      </c>
      <c r="AE84" s="4">
        <f t="shared" si="156"/>
      </c>
      <c r="AF84" s="4">
        <f t="shared" si="157"/>
      </c>
      <c r="AG84" s="4">
        <f t="shared" si="158"/>
        <v/>
      </c>
      <c r="AH84" s="4">
        <f t="shared" si="159"/>
      </c>
      <c r="AI84" s="4">
        <f t="shared" si="160"/>
      </c>
      <c r="AJ84" s="4">
        <f t="shared" si="161"/>
      </c>
      <c r="AK84" s="4">
        <f t="shared" si="162"/>
      </c>
      <c r="AL84" s="4">
        <f t="shared" si="163"/>
      </c>
      <c r="AM84" s="4">
        <f t="shared" si="164"/>
      </c>
      <c r="AN84" s="4"/>
      <c r="AO84" s="4">
        <f t="shared" si="165"/>
      </c>
      <c r="AP84" s="4">
        <f t="shared" si="166"/>
      </c>
      <c r="AQ84" s="42">
        <f t="shared" si="167"/>
        <v/>
      </c>
      <c r="AR84" s="4">
        <f t="shared" si="174"/>
      </c>
      <c r="AS84" s="4">
        <f t="shared" si="169"/>
      </c>
      <c r="AT84" s="4">
        <f t="shared" si="170"/>
      </c>
    </row>
    <row r="85" spans="1:46" ht="16.8" x14ac:dyDescent="0.4">
      <c r="A85" s="41">
        <f t="shared" si="142"/>
      </c>
      <c r="B85" s="4">
        <f t="shared" si="143"/>
      </c>
      <c r="C85" s="119"/>
      <c r="D85" s="119"/>
      <c r="E85" s="185"/>
      <c r="F85" s="173"/>
      <c r="G85" s="173"/>
      <c r="H85" s="173"/>
      <c r="I85" s="192"/>
      <c r="J85" s="105"/>
      <c r="K85" s="105"/>
      <c r="L85" s="105"/>
      <c r="M85" s="95">
        <f t="shared" si="175"/>
      </c>
      <c r="N85" s="100"/>
      <c r="O85" s="164"/>
      <c r="P85" s="59">
        <f t="shared" si="171"/>
      </c>
      <c r="Q85" s="165"/>
      <c r="R85" s="100"/>
      <c r="S85" s="164"/>
      <c r="T85" s="5">
        <f t="shared" si="172"/>
      </c>
      <c r="U85" s="4">
        <f t="shared" si="147"/>
      </c>
      <c r="V85" s="4">
        <f t="shared" si="148"/>
      </c>
      <c r="W85" s="4">
        <f t="shared" si="149"/>
      </c>
      <c r="X85" s="4">
        <f t="shared" si="150"/>
      </c>
      <c r="Y85" s="4" cm="1">
        <f t="array" ref="Y85">_xlfn.IFS(H85=1,2,H85=3,1)</f>
      </c>
      <c r="Z85" s="4">
        <f t="shared" si="151"/>
      </c>
      <c r="AA85" s="4">
        <f t="shared" si="152"/>
      </c>
      <c r="AB85" s="4">
        <f t="shared" si="153"/>
      </c>
      <c r="AC85" s="4">
        <f t="shared" si="173"/>
      </c>
      <c r="AD85" s="4">
        <f t="shared" si="155"/>
      </c>
      <c r="AE85" s="4">
        <f t="shared" si="156"/>
      </c>
      <c r="AF85" s="4">
        <f t="shared" si="157"/>
      </c>
      <c r="AG85" s="4">
        <f t="shared" si="158"/>
        <v/>
      </c>
      <c r="AH85" s="4">
        <f t="shared" si="159"/>
      </c>
      <c r="AI85" s="4">
        <f t="shared" si="160"/>
      </c>
      <c r="AJ85" s="4">
        <f t="shared" si="161"/>
      </c>
      <c r="AK85" s="4">
        <f t="shared" si="162"/>
      </c>
      <c r="AL85" s="4">
        <f t="shared" si="163"/>
      </c>
      <c r="AM85" s="4">
        <f t="shared" si="164"/>
      </c>
      <c r="AN85" s="4"/>
      <c r="AO85" s="4">
        <f t="shared" si="165"/>
      </c>
      <c r="AP85" s="4">
        <f t="shared" si="166"/>
      </c>
      <c r="AQ85" s="42">
        <f t="shared" si="167"/>
        <v/>
      </c>
      <c r="AR85" s="4">
        <f t="shared" si="174"/>
      </c>
      <c r="AS85" s="4">
        <f t="shared" si="169"/>
      </c>
      <c r="AT85" s="4">
        <f t="shared" si="170"/>
      </c>
    </row>
    <row r="86" spans="1:46" x14ac:dyDescent="0.3">
      <c r="A86" s="41">
        <f t="shared" si="142"/>
      </c>
      <c r="B86" s="4">
        <f t="shared" si="143"/>
      </c>
      <c r="C86" s="119"/>
      <c r="D86" s="119"/>
      <c r="E86" s="105"/>
      <c r="F86" s="173"/>
      <c r="G86" s="173"/>
      <c r="H86" s="173"/>
      <c r="I86" s="192"/>
      <c r="J86" s="105"/>
      <c r="K86" s="105"/>
      <c r="L86" s="105"/>
      <c r="M86" s="95">
        <f t="shared" ref="M86:M87" si="176">IFERROR(IF(VLOOKUP(AH86,Потребители_обозначение,4,FALSE)=1,VLOOKUP(AH86,Потребители_обозначение,3,FALSE)*(G86*2-1)+I86+VLOOKUP(AI86,Этаж_обозначение,3,FALSE)+VLOOKUP(AI86,Этаж_обозначение,4,FALSE),VLOOKUP(AH86,Потребители_обозначение,3,FALSE)*(G86*2-1)+I86),I86)</f>
      </c>
      <c r="N86" s="100"/>
      <c r="O86" s="164"/>
      <c r="P86" s="59">
        <f t="shared" si="171"/>
      </c>
      <c r="Q86" s="165"/>
      <c r="R86" s="100"/>
      <c r="S86" s="164"/>
      <c r="T86" s="5">
        <f t="shared" si="172"/>
      </c>
      <c r="U86" s="4">
        <f t="shared" si="147"/>
      </c>
      <c r="V86" s="4">
        <f t="shared" si="148"/>
      </c>
      <c r="W86" s="4">
        <f t="shared" si="149"/>
      </c>
      <c r="X86" s="4">
        <f t="shared" si="150"/>
      </c>
      <c r="Y86" s="4" cm="1">
        <f t="array" ref="Y86">_xlfn.IFS(H86=1,2,H86=3,1)</f>
      </c>
      <c r="Z86" s="4">
        <f t="shared" si="151"/>
      </c>
      <c r="AA86" s="4">
        <f t="shared" si="152"/>
      </c>
      <c r="AB86" s="4">
        <f t="shared" si="153"/>
      </c>
      <c r="AC86" s="4">
        <f t="shared" si="173"/>
      </c>
      <c r="AD86" s="4">
        <f t="shared" si="155"/>
      </c>
      <c r="AE86" s="4">
        <f t="shared" si="156"/>
      </c>
      <c r="AF86" s="4">
        <f t="shared" si="157"/>
      </c>
      <c r="AG86" s="4">
        <f t="shared" si="158"/>
        <v/>
      </c>
      <c r="AH86" s="4">
        <f t="shared" si="159"/>
      </c>
      <c r="AI86" s="4">
        <f t="shared" si="160"/>
      </c>
      <c r="AJ86" s="4">
        <f t="shared" si="161"/>
      </c>
      <c r="AK86" s="4">
        <f t="shared" si="162"/>
      </c>
      <c r="AL86" s="4">
        <f t="shared" si="163"/>
      </c>
      <c r="AM86" s="4">
        <f t="shared" si="164"/>
      </c>
      <c r="AN86" s="4"/>
      <c r="AO86" s="4">
        <f t="shared" si="165"/>
      </c>
      <c r="AP86" s="4">
        <f t="shared" si="166"/>
      </c>
      <c r="AQ86" s="42">
        <f t="shared" si="167"/>
        <v/>
      </c>
      <c r="AR86" s="4">
        <f t="shared" si="174"/>
      </c>
      <c r="AS86" s="4">
        <f t="shared" si="169"/>
      </c>
      <c r="AT86" s="4">
        <f t="shared" si="170"/>
      </c>
    </row>
    <row r="87" spans="1:46" ht="15" thickBot="1" x14ac:dyDescent="0.35">
      <c r="A87" s="43">
        <f t="shared" si="142"/>
      </c>
      <c r="B87" s="44">
        <f t="shared" si="143"/>
      </c>
      <c r="C87" s="119"/>
      <c r="D87" s="119"/>
      <c r="E87" s="105"/>
      <c r="F87" s="173"/>
      <c r="G87" s="173"/>
      <c r="H87" s="173"/>
      <c r="I87" s="192"/>
      <c r="J87" s="105"/>
      <c r="K87" s="105"/>
      <c r="L87" s="105"/>
      <c r="M87" s="95">
        <f t="shared" si="176"/>
      </c>
      <c r="N87" s="59"/>
      <c r="O87" s="164"/>
      <c r="P87" s="59">
        <f t="shared" ref="P87" si="177">IF(VLOOKUP(AH87,Потребители_обозначение,5,FALSE)=2,_xlfn.IFS(H87=3,VLOOKUP(E87,Справочная_двигатели,8,FALSE),H87=1,VLOOKUP(E87,Справочная_двигатели,10,TRUE)),0.95)</f>
      </c>
      <c r="Q87" s="165"/>
      <c r="R87" s="59"/>
      <c r="S87" s="164"/>
      <c r="T87" s="45">
        <f t="shared" si="146"/>
      </c>
      <c r="U87" s="44">
        <f t="shared" ref="U87:U127" si="178">IF(R87=0,VLOOKUP(T87,Автомат_номиналы,2,TRUE),R87)</f>
      </c>
      <c r="V87" s="44">
        <f t="shared" ref="V87:V127" si="179">IF(Q87=0,VLOOKUP(U87,Кабель_номиналы,2,TRUE),Q87)</f>
      </c>
      <c r="W87" s="44">
        <f t="shared" ref="W87:W127" si="180">VLOOKUP(V87,Кабель_сопротивление,3,FALSE)</f>
      </c>
      <c r="X87" s="44">
        <f t="shared" ref="X87:X127" si="181">VLOOKUP(V87,Кабель_сопротивление,2,FALSE)</f>
      </c>
      <c r="Y87" s="44" cm="1">
        <f t="array" ref="Y87">_xlfn.IFS(H87=1,2,H87=3,1)</f>
      </c>
      <c r="Z87" s="44">
        <f t="shared" ref="Z87:Z127" si="182">ROUND(SIN(ACOS(P87)),2)</f>
      </c>
      <c r="AA87" s="44">
        <f t="shared" si="152"/>
      </c>
      <c r="AB87" s="44">
        <f t="shared" ref="AB87:AB127" si="183">ROUNDUP(AA87/220*100,2)</f>
      </c>
      <c r="AC87" s="44">
        <f t="shared" si="154"/>
      </c>
      <c r="AD87" s="44">
        <f t="shared" ref="AD87:AD127" si="184">VLOOKUP(N87,Кабель_обозначение,2,FALSE)</f>
      </c>
      <c r="AE87" s="44">
        <f t="shared" ref="AE87:AE133" si="185">IF(VLOOKUP(N87,Кабель_обозначение,3,FALSE)=1,AD87&amp;" ("&amp;O87&amp;"х"&amp;V87&amp;")",AD87)</f>
      </c>
      <c r="AF87" s="44">
        <f t="shared" ref="AF87:AF134" si="186">IFERROR(IF(AB87&gt;4.5,1,2),0)</f>
      </c>
      <c r="AG87" s="44">
        <f t="shared" ref="AG87:AG134" si="187">IFERROR(LEFT(AQ87,SEARCH(".",AQ87)-1),AQ87)</f>
        <v/>
      </c>
      <c r="AH87" s="44">
        <f t="shared" si="159"/>
      </c>
      <c r="AI87" s="44">
        <f t="shared" ref="AI87:AI135" si="188">IFERROR(LEFT(AP87,SEARCH(".",AP87)-1),AP87)</f>
      </c>
      <c r="AJ87" s="44">
        <f t="shared" si="161"/>
      </c>
      <c r="AK87" s="44">
        <f t="shared" ref="AK87:AK127" si="189">ROUNDUP(T87,2)</f>
      </c>
      <c r="AL87" s="44">
        <f t="shared" si="163"/>
      </c>
      <c r="AM87" s="44">
        <f t="shared" si="164"/>
      </c>
      <c r="AN87" s="44"/>
      <c r="AO87" s="4">
        <f t="shared" ref="AO87:AO132" si="190">IF(V87=0,AD87,AE87&amp;"
L="&amp;M87&amp;"-"&amp;AB87&amp;"%")</f>
      </c>
      <c r="AP87" s="44">
        <f t="shared" si="166"/>
      </c>
      <c r="AQ87" s="46">
        <f t="shared" ref="AQ87:AQ132" si="191">IFERROR(RIGHT(AP87,LEN(AP87)-SEARCH(".",AP87)),"")</f>
        <v/>
      </c>
      <c r="AR87" s="44">
        <f t="shared" si="168"/>
      </c>
      <c r="AS87" s="44">
        <f t="shared" si="169"/>
      </c>
      <c r="AT87" s="44">
        <f t="shared" si="170"/>
      </c>
    </row>
    <row r="88" spans="1:46" x14ac:dyDescent="0.3">
      <c r="A88" s="37">
        <f t="shared" si="142"/>
      </c>
      <c r="B88" s="38">
        <f t="shared" si="143"/>
      </c>
      <c r="C88" s="172"/>
      <c r="D88" s="172"/>
      <c r="E88" s="174"/>
      <c r="F88" s="183"/>
      <c r="G88" s="183"/>
      <c r="H88" s="183"/>
      <c r="I88" s="192"/>
      <c r="J88" s="174"/>
      <c r="K88" s="174"/>
      <c r="L88" s="174"/>
      <c r="M88" s="38">
        <f t="shared" ref="M88:M130" si="192">IFERROR(IF(VLOOKUP(AH88,Потребители_обозначение,4,FALSE)=1,VLOOKUP(AH88,Потребители_обозначение,3,FALSE)*(G88*2-1)+I88+VLOOKUP(AI88,Этаж_обозначение,3,FALSE)+VLOOKUP(AI88,Этаж_обозначение,4,FALSE),VLOOKUP(AH88,Потребители_обозначение,3,FALSE)*(G88*2-1)+I88),I88)</f>
      </c>
      <c r="N88" s="63"/>
      <c r="O88" s="167"/>
      <c r="P88" s="59">
        <f t="shared" ref="P88:P148" si="193">IF(VLOOKUP(AH88,Потребители_обозначение,5,FALSE)=2,_xlfn.IFS(H88=3,VLOOKUP(E88,Справочная_двигатели,8,FALSE),H88=1,VLOOKUP(E88,Справочная_двигатели,10,TRUE)),0.95)</f>
      </c>
      <c r="Q88" s="169"/>
      <c r="R88" s="63"/>
      <c r="S88" s="167"/>
      <c r="T88" s="39">
        <f t="shared" si="146"/>
      </c>
      <c r="U88" s="38">
        <f t="shared" si="178"/>
      </c>
      <c r="V88" s="38">
        <f t="shared" si="179"/>
      </c>
      <c r="W88" s="38">
        <f t="shared" si="180"/>
      </c>
      <c r="X88" s="38">
        <f t="shared" si="181"/>
      </c>
      <c r="Y88" s="38" cm="1">
        <f t="array" ref="Y88">_xlfn.IFS(H88=1,2,H88=3,1)</f>
      </c>
      <c r="Z88" s="38">
        <f t="shared" si="182"/>
      </c>
      <c r="AA88" s="38">
        <f t="shared" si="152"/>
      </c>
      <c r="AB88" s="38">
        <f t="shared" si="183"/>
      </c>
      <c r="AC88" s="38">
        <f t="shared" si="154"/>
      </c>
      <c r="AD88" s="38">
        <f t="shared" si="184"/>
      </c>
      <c r="AE88" s="38">
        <f t="shared" si="185"/>
      </c>
      <c r="AF88" s="38">
        <f t="shared" si="186"/>
      </c>
      <c r="AG88" s="38">
        <f t="shared" si="187"/>
        <v/>
      </c>
      <c r="AH88" s="38">
        <f t="shared" si="159"/>
      </c>
      <c r="AI88" s="38">
        <f t="shared" si="188"/>
      </c>
      <c r="AJ88" s="38">
        <f t="shared" si="161"/>
      </c>
      <c r="AK88" s="38">
        <f t="shared" si="189"/>
      </c>
      <c r="AL88" s="38">
        <f t="shared" si="163"/>
      </c>
      <c r="AM88" s="38">
        <f t="shared" si="164"/>
      </c>
      <c r="AN88" s="38"/>
      <c r="AO88" s="4">
        <f t="shared" si="190"/>
      </c>
      <c r="AP88" s="38">
        <f t="shared" si="166"/>
      </c>
      <c r="AQ88" s="40">
        <f t="shared" si="191"/>
        <v/>
      </c>
      <c r="AR88" s="38">
        <f t="shared" si="168"/>
      </c>
      <c r="AS88" s="38">
        <f t="shared" si="169"/>
      </c>
      <c r="AT88" s="38">
        <f t="shared" si="170"/>
      </c>
    </row>
    <row r="89" spans="1:46" ht="16.8" x14ac:dyDescent="0.3">
      <c r="A89" s="41">
        <f t="shared" si="142"/>
      </c>
      <c r="B89" s="4">
        <f t="shared" si="143"/>
      </c>
      <c r="C89" s="119"/>
      <c r="D89" s="119"/>
      <c r="E89" s="184"/>
      <c r="F89" s="173"/>
      <c r="G89" s="173"/>
      <c r="H89" s="173"/>
      <c r="I89" s="192"/>
      <c r="J89" s="105"/>
      <c r="K89" s="105"/>
      <c r="L89" s="105"/>
      <c r="M89" s="96">
        <f t="shared" si="192"/>
      </c>
      <c r="N89" s="100"/>
      <c r="O89" s="164"/>
      <c r="P89" s="59">
        <f t="shared" si="193"/>
      </c>
      <c r="Q89" s="165"/>
      <c r="R89" s="100"/>
      <c r="S89" s="164"/>
      <c r="T89" s="5">
        <f t="shared" si="146"/>
      </c>
      <c r="U89" s="4">
        <f t="shared" si="178"/>
      </c>
      <c r="V89" s="4">
        <f t="shared" si="179"/>
      </c>
      <c r="W89" s="4">
        <f t="shared" si="180"/>
      </c>
      <c r="X89" s="4">
        <f t="shared" si="181"/>
      </c>
      <c r="Y89" s="4" cm="1">
        <f t="array" ref="Y89">_xlfn.IFS(H89=1,2,H89=3,1)</f>
      </c>
      <c r="Z89" s="4">
        <f t="shared" si="182"/>
      </c>
      <c r="AA89" s="4">
        <f t="shared" si="152"/>
      </c>
      <c r="AB89" s="4">
        <f t="shared" si="183"/>
      </c>
      <c r="AC89" s="4">
        <f t="shared" si="154"/>
      </c>
      <c r="AD89" s="4">
        <f t="shared" si="184"/>
      </c>
      <c r="AE89" s="4">
        <f t="shared" si="185"/>
      </c>
      <c r="AF89" s="4">
        <f t="shared" si="186"/>
      </c>
      <c r="AG89" s="4">
        <f t="shared" si="187"/>
        <v/>
      </c>
      <c r="AH89" s="4">
        <f t="shared" si="159"/>
      </c>
      <c r="AI89" s="4">
        <f t="shared" si="188"/>
      </c>
      <c r="AJ89" s="4">
        <f t="shared" si="161"/>
      </c>
      <c r="AK89" s="4">
        <f t="shared" si="189"/>
      </c>
      <c r="AL89" s="4">
        <f t="shared" si="163"/>
      </c>
      <c r="AM89" s="4">
        <f t="shared" si="164"/>
      </c>
      <c r="AN89" s="4"/>
      <c r="AO89" s="4">
        <f t="shared" si="190"/>
      </c>
      <c r="AP89" s="4">
        <f t="shared" si="166"/>
      </c>
      <c r="AQ89" s="42">
        <f t="shared" si="191"/>
        <v/>
      </c>
      <c r="AR89" s="4">
        <f t="shared" si="168"/>
      </c>
      <c r="AS89" s="4">
        <f t="shared" si="169"/>
      </c>
      <c r="AT89" s="4">
        <f t="shared" si="170"/>
      </c>
    </row>
    <row r="90" spans="1:46" ht="16.8" x14ac:dyDescent="0.3">
      <c r="A90" s="41">
        <f t="shared" si="142"/>
      </c>
      <c r="B90" s="4">
        <f t="shared" si="143"/>
      </c>
      <c r="C90" s="119"/>
      <c r="D90" s="119"/>
      <c r="E90" s="184"/>
      <c r="F90" s="173"/>
      <c r="G90" s="173"/>
      <c r="H90" s="173"/>
      <c r="I90" s="192"/>
      <c r="J90" s="105"/>
      <c r="K90" s="105"/>
      <c r="L90" s="105"/>
      <c r="M90" s="96">
        <f t="shared" si="192"/>
      </c>
      <c r="N90" s="100"/>
      <c r="O90" s="164"/>
      <c r="P90" s="59">
        <f t="shared" si="193"/>
      </c>
      <c r="Q90" s="165"/>
      <c r="R90" s="100"/>
      <c r="S90" s="164"/>
      <c r="T90" s="5">
        <f t="shared" si="146"/>
      </c>
      <c r="U90" s="4">
        <f t="shared" si="178"/>
      </c>
      <c r="V90" s="4">
        <f t="shared" si="179"/>
      </c>
      <c r="W90" s="4">
        <f t="shared" si="180"/>
      </c>
      <c r="X90" s="4">
        <f t="shared" si="181"/>
      </c>
      <c r="Y90" s="4" cm="1">
        <f t="array" ref="Y90">_xlfn.IFS(H90=1,2,H90=3,1)</f>
      </c>
      <c r="Z90" s="4">
        <f t="shared" si="182"/>
      </c>
      <c r="AA90" s="4">
        <f t="shared" si="152"/>
      </c>
      <c r="AB90" s="4">
        <f t="shared" si="183"/>
      </c>
      <c r="AC90" s="4">
        <f t="shared" si="154"/>
      </c>
      <c r="AD90" s="4">
        <f t="shared" si="184"/>
      </c>
      <c r="AE90" s="4">
        <f t="shared" si="185"/>
      </c>
      <c r="AF90" s="4">
        <f t="shared" si="186"/>
      </c>
      <c r="AG90" s="4">
        <f t="shared" si="187"/>
        <v/>
      </c>
      <c r="AH90" s="4">
        <f t="shared" si="159"/>
      </c>
      <c r="AI90" s="4">
        <f t="shared" si="188"/>
      </c>
      <c r="AJ90" s="4">
        <f t="shared" si="161"/>
      </c>
      <c r="AK90" s="4">
        <f t="shared" si="189"/>
      </c>
      <c r="AL90" s="4">
        <f t="shared" si="163"/>
      </c>
      <c r="AM90" s="4">
        <f t="shared" si="164"/>
      </c>
      <c r="AN90" s="4"/>
      <c r="AO90" s="4">
        <f t="shared" si="190"/>
      </c>
      <c r="AP90" s="4">
        <f t="shared" si="166"/>
      </c>
      <c r="AQ90" s="42">
        <f t="shared" si="191"/>
        <v/>
      </c>
      <c r="AR90" s="4">
        <f t="shared" si="168"/>
      </c>
      <c r="AS90" s="4">
        <f t="shared" si="169"/>
      </c>
      <c r="AT90" s="4">
        <f t="shared" si="170"/>
      </c>
    </row>
    <row r="91" spans="1:46" ht="16.8" x14ac:dyDescent="0.4">
      <c r="A91" s="41">
        <f t="shared" si="142"/>
      </c>
      <c r="B91" s="4">
        <f t="shared" si="143"/>
      </c>
      <c r="C91" s="119"/>
      <c r="D91" s="119"/>
      <c r="E91" s="185"/>
      <c r="F91" s="173"/>
      <c r="G91" s="173"/>
      <c r="H91" s="173"/>
      <c r="I91" s="192"/>
      <c r="J91" s="105"/>
      <c r="K91" s="105"/>
      <c r="L91" s="105"/>
      <c r="M91" s="96">
        <f t="shared" ref="M91:M96" si="194">IFERROR(IF(VLOOKUP(AH91,Потребители_обозначение,4,FALSE)=1,VLOOKUP(AH91,Потребители_обозначение,3,FALSE)*(G91*2-1)+I91+VLOOKUP(AI91,Этаж_обозначение,3,FALSE)+VLOOKUP(AI91,Этаж_обозначение,4,FALSE),VLOOKUP(AH91,Потребители_обозначение,3,FALSE)*(G91*2-1)+I91),I91)</f>
      </c>
      <c r="N91" s="100"/>
      <c r="O91" s="164"/>
      <c r="P91" s="59">
        <f t="shared" ref="P91:P96" si="195">IF(VLOOKUP(AH91,Потребители_обозначение,5,FALSE)=2,_xlfn.IFS(H91=3,VLOOKUP(E91,Справочная_двигатели,8,FALSE),H91=1,VLOOKUP(E91,Справочная_двигатели,10,TRUE)),0.95)</f>
      </c>
      <c r="Q91" s="165"/>
      <c r="R91" s="100"/>
      <c r="S91" s="164"/>
      <c r="T91" s="5">
        <f t="shared" si="146"/>
      </c>
      <c r="U91" s="4">
        <f t="shared" si="178"/>
      </c>
      <c r="V91" s="4">
        <f t="shared" si="179"/>
      </c>
      <c r="W91" s="4">
        <f t="shared" si="180"/>
      </c>
      <c r="X91" s="4">
        <f t="shared" si="181"/>
      </c>
      <c r="Y91" s="4" cm="1">
        <f t="array" ref="Y91">_xlfn.IFS(H91=1,2,H91=3,1)</f>
      </c>
      <c r="Z91" s="4">
        <f t="shared" si="182"/>
      </c>
      <c r="AA91" s="4">
        <f t="shared" si="152"/>
      </c>
      <c r="AB91" s="4">
        <f t="shared" si="183"/>
      </c>
      <c r="AC91" s="4">
        <f t="shared" si="154"/>
      </c>
      <c r="AD91" s="4">
        <f t="shared" si="184"/>
      </c>
      <c r="AE91" s="4">
        <f t="shared" si="185"/>
      </c>
      <c r="AF91" s="4">
        <f t="shared" si="186"/>
      </c>
      <c r="AG91" s="4">
        <f t="shared" si="187"/>
        <v/>
      </c>
      <c r="AH91" s="4">
        <f t="shared" si="159"/>
      </c>
      <c r="AI91" s="4">
        <f t="shared" si="188"/>
      </c>
      <c r="AJ91" s="4">
        <f t="shared" si="161"/>
      </c>
      <c r="AK91" s="4">
        <f t="shared" si="189"/>
      </c>
      <c r="AL91" s="4">
        <f t="shared" si="163"/>
      </c>
      <c r="AM91" s="4">
        <f t="shared" si="164"/>
      </c>
      <c r="AN91" s="4"/>
      <c r="AO91" s="4">
        <f t="shared" si="190"/>
      </c>
      <c r="AP91" s="4">
        <f t="shared" si="166"/>
      </c>
      <c r="AQ91" s="42">
        <f t="shared" si="191"/>
        <v/>
      </c>
      <c r="AR91" s="4">
        <f t="shared" si="168"/>
      </c>
      <c r="AS91" s="4">
        <f t="shared" si="169"/>
      </c>
      <c r="AT91" s="4">
        <f t="shared" si="170"/>
      </c>
    </row>
    <row r="92" spans="1:46" ht="16.8" x14ac:dyDescent="0.3">
      <c r="A92" s="41">
        <f t="shared" si="142"/>
      </c>
      <c r="B92" s="4">
        <f t="shared" si="143"/>
      </c>
      <c r="C92" s="119"/>
      <c r="D92" s="119"/>
      <c r="E92" s="184"/>
      <c r="F92" s="173"/>
      <c r="G92" s="173"/>
      <c r="H92" s="173"/>
      <c r="I92" s="192"/>
      <c r="J92" s="105"/>
      <c r="K92" s="105"/>
      <c r="L92" s="105"/>
      <c r="M92" s="96">
        <f t="shared" si="194"/>
      </c>
      <c r="N92" s="100"/>
      <c r="O92" s="164"/>
      <c r="P92" s="59">
        <f t="shared" si="195"/>
      </c>
      <c r="Q92" s="165"/>
      <c r="R92" s="100"/>
      <c r="S92" s="164"/>
      <c r="T92" s="5">
        <f t="shared" si="146"/>
      </c>
      <c r="U92" s="4">
        <f t="shared" si="178"/>
      </c>
      <c r="V92" s="4">
        <f t="shared" si="179"/>
      </c>
      <c r="W92" s="4">
        <f t="shared" si="180"/>
      </c>
      <c r="X92" s="4">
        <f t="shared" si="181"/>
      </c>
      <c r="Y92" s="4" cm="1">
        <f t="array" ref="Y92">_xlfn.IFS(H92=1,2,H92=3,1)</f>
      </c>
      <c r="Z92" s="4">
        <f t="shared" si="182"/>
      </c>
      <c r="AA92" s="4">
        <f t="shared" si="152"/>
      </c>
      <c r="AB92" s="4">
        <f t="shared" si="183"/>
      </c>
      <c r="AC92" s="4">
        <f t="shared" si="154"/>
      </c>
      <c r="AD92" s="4">
        <f t="shared" si="184"/>
      </c>
      <c r="AE92" s="4">
        <f t="shared" si="185"/>
      </c>
      <c r="AF92" s="4">
        <f t="shared" si="186"/>
      </c>
      <c r="AG92" s="4">
        <f t="shared" si="187"/>
        <v/>
      </c>
      <c r="AH92" s="4">
        <f t="shared" si="159"/>
      </c>
      <c r="AI92" s="4">
        <f t="shared" si="188"/>
      </c>
      <c r="AJ92" s="4">
        <f t="shared" si="161"/>
      </c>
      <c r="AK92" s="4">
        <f t="shared" si="189"/>
      </c>
      <c r="AL92" s="4">
        <f t="shared" si="163"/>
      </c>
      <c r="AM92" s="4">
        <f t="shared" si="164"/>
      </c>
      <c r="AN92" s="4"/>
      <c r="AO92" s="4">
        <f t="shared" si="190"/>
      </c>
      <c r="AP92" s="4">
        <f t="shared" si="166"/>
      </c>
      <c r="AQ92" s="42">
        <f t="shared" si="191"/>
        <v/>
      </c>
      <c r="AR92" s="4">
        <f t="shared" si="168"/>
      </c>
      <c r="AS92" s="4">
        <f t="shared" si="169"/>
      </c>
      <c r="AT92" s="4">
        <f t="shared" si="170"/>
      </c>
    </row>
    <row r="93" spans="1:46" ht="16.8" x14ac:dyDescent="0.3">
      <c r="A93" s="41">
        <f t="shared" si="142"/>
      </c>
      <c r="B93" s="4">
        <f t="shared" si="143"/>
      </c>
      <c r="C93" s="119"/>
      <c r="D93" s="119"/>
      <c r="E93" s="184"/>
      <c r="F93" s="173"/>
      <c r="G93" s="173"/>
      <c r="H93" s="173"/>
      <c r="I93" s="192"/>
      <c r="J93" s="105"/>
      <c r="K93" s="105"/>
      <c r="L93" s="105"/>
      <c r="M93" s="96">
        <f t="shared" si="194"/>
      </c>
      <c r="N93" s="100"/>
      <c r="O93" s="164"/>
      <c r="P93" s="59">
        <f t="shared" si="195"/>
      </c>
      <c r="Q93" s="165"/>
      <c r="R93" s="100"/>
      <c r="S93" s="164"/>
      <c r="T93" s="5">
        <f t="shared" si="146"/>
      </c>
      <c r="U93" s="4">
        <f t="shared" si="178"/>
      </c>
      <c r="V93" s="4">
        <f t="shared" si="179"/>
      </c>
      <c r="W93" s="4">
        <f t="shared" si="180"/>
      </c>
      <c r="X93" s="4">
        <f t="shared" si="181"/>
      </c>
      <c r="Y93" s="4" cm="1">
        <f t="array" ref="Y93">_xlfn.IFS(H93=1,2,H93=3,1)</f>
      </c>
      <c r="Z93" s="4">
        <f t="shared" si="182"/>
      </c>
      <c r="AA93" s="4">
        <f t="shared" si="152"/>
      </c>
      <c r="AB93" s="4">
        <f t="shared" si="183"/>
      </c>
      <c r="AC93" s="4">
        <f t="shared" si="154"/>
      </c>
      <c r="AD93" s="4">
        <f t="shared" si="184"/>
      </c>
      <c r="AE93" s="4">
        <f t="shared" si="185"/>
      </c>
      <c r="AF93" s="4">
        <f t="shared" si="186"/>
      </c>
      <c r="AG93" s="4">
        <f t="shared" si="187"/>
        <v/>
      </c>
      <c r="AH93" s="4">
        <f t="shared" si="159"/>
      </c>
      <c r="AI93" s="4">
        <f t="shared" si="188"/>
      </c>
      <c r="AJ93" s="4">
        <f t="shared" si="161"/>
      </c>
      <c r="AK93" s="4">
        <f t="shared" si="189"/>
      </c>
      <c r="AL93" s="4">
        <f t="shared" si="163"/>
      </c>
      <c r="AM93" s="4">
        <f t="shared" si="164"/>
      </c>
      <c r="AN93" s="4"/>
      <c r="AO93" s="4">
        <f t="shared" si="190"/>
      </c>
      <c r="AP93" s="4">
        <f t="shared" si="166"/>
      </c>
      <c r="AQ93" s="42">
        <f t="shared" si="191"/>
        <v/>
      </c>
      <c r="AR93" s="4">
        <f t="shared" si="168"/>
      </c>
      <c r="AS93" s="4">
        <f t="shared" si="169"/>
      </c>
      <c r="AT93" s="4">
        <f t="shared" si="170"/>
      </c>
    </row>
    <row r="94" spans="1:46" x14ac:dyDescent="0.3">
      <c r="A94" s="41">
        <f t="shared" si="142"/>
      </c>
      <c r="B94" s="4">
        <f t="shared" si="143"/>
      </c>
      <c r="C94" s="119"/>
      <c r="D94" s="119"/>
      <c r="E94" s="105"/>
      <c r="F94" s="173"/>
      <c r="G94" s="173"/>
      <c r="H94" s="173"/>
      <c r="I94" s="192"/>
      <c r="J94" s="105"/>
      <c r="K94" s="105"/>
      <c r="L94" s="105"/>
      <c r="M94" s="96">
        <f t="shared" si="194"/>
      </c>
      <c r="N94" s="59"/>
      <c r="O94" s="164"/>
      <c r="P94" s="59">
        <f t="shared" si="195"/>
      </c>
      <c r="Q94" s="165"/>
      <c r="R94" s="59"/>
      <c r="S94" s="164"/>
      <c r="T94" s="5">
        <f t="shared" si="146"/>
      </c>
      <c r="U94" s="4">
        <f t="shared" si="178"/>
      </c>
      <c r="V94" s="4">
        <f t="shared" si="179"/>
      </c>
      <c r="W94" s="4">
        <f t="shared" si="180"/>
      </c>
      <c r="X94" s="4">
        <f t="shared" si="181"/>
      </c>
      <c r="Y94" s="4" cm="1">
        <f t="array" ref="Y94">_xlfn.IFS(H94=1,2,H94=3,1)</f>
      </c>
      <c r="Z94" s="4">
        <f t="shared" si="182"/>
      </c>
      <c r="AA94" s="4">
        <f t="shared" si="152"/>
      </c>
      <c r="AB94" s="4">
        <f t="shared" si="183"/>
      </c>
      <c r="AC94" s="4">
        <f t="shared" si="154"/>
      </c>
      <c r="AD94" s="4">
        <f t="shared" si="184"/>
      </c>
      <c r="AE94" s="4">
        <f t="shared" si="185"/>
      </c>
      <c r="AF94" s="4">
        <f t="shared" si="186"/>
      </c>
      <c r="AG94" s="4">
        <f t="shared" si="187"/>
        <v/>
      </c>
      <c r="AH94" s="4">
        <f t="shared" si="159"/>
      </c>
      <c r="AI94" s="4">
        <f t="shared" si="188"/>
      </c>
      <c r="AJ94" s="4">
        <f t="shared" si="161"/>
      </c>
      <c r="AK94" s="4">
        <f t="shared" si="189"/>
      </c>
      <c r="AL94" s="4">
        <f t="shared" si="163"/>
      </c>
      <c r="AM94" s="4">
        <f t="shared" si="164"/>
      </c>
      <c r="AN94" s="4"/>
      <c r="AO94" s="4">
        <f t="shared" si="190"/>
      </c>
      <c r="AP94" s="4">
        <f t="shared" si="166"/>
      </c>
      <c r="AQ94" s="42">
        <f t="shared" si="191"/>
        <v/>
      </c>
      <c r="AR94" s="4">
        <f t="shared" si="168"/>
      </c>
      <c r="AS94" s="4">
        <f t="shared" si="169"/>
      </c>
      <c r="AT94" s="4">
        <f t="shared" si="170"/>
      </c>
    </row>
    <row r="95" spans="1:46" x14ac:dyDescent="0.3">
      <c r="A95" s="41">
        <f t="shared" si="142"/>
      </c>
      <c r="B95" s="4">
        <f t="shared" si="143"/>
      </c>
      <c r="C95" s="119"/>
      <c r="D95" s="119"/>
      <c r="E95" s="105"/>
      <c r="F95" s="173"/>
      <c r="G95" s="173"/>
      <c r="H95" s="173"/>
      <c r="I95" s="192"/>
      <c r="J95" s="105"/>
      <c r="K95" s="105"/>
      <c r="L95" s="105"/>
      <c r="M95" s="96">
        <f t="shared" si="194"/>
      </c>
      <c r="N95" s="100"/>
      <c r="O95" s="164"/>
      <c r="P95" s="59">
        <f t="shared" si="195"/>
      </c>
      <c r="Q95" s="165"/>
      <c r="R95" s="100"/>
      <c r="S95" s="164"/>
      <c r="T95" s="5">
        <f t="shared" si="146"/>
      </c>
      <c r="U95" s="4">
        <f t="shared" si="178"/>
      </c>
      <c r="V95" s="4">
        <f t="shared" si="179"/>
      </c>
      <c r="W95" s="4">
        <f t="shared" si="180"/>
      </c>
      <c r="X95" s="4">
        <f t="shared" si="181"/>
      </c>
      <c r="Y95" s="4" cm="1">
        <f t="array" ref="Y95">_xlfn.IFS(H95=1,2,H95=3,1)</f>
      </c>
      <c r="Z95" s="4">
        <f t="shared" si="182"/>
      </c>
      <c r="AA95" s="4">
        <f t="shared" si="152"/>
      </c>
      <c r="AB95" s="4">
        <f t="shared" si="183"/>
      </c>
      <c r="AC95" s="4">
        <f t="shared" si="154"/>
      </c>
      <c r="AD95" s="4">
        <f t="shared" si="184"/>
      </c>
      <c r="AE95" s="4">
        <f t="shared" si="185"/>
      </c>
      <c r="AF95" s="4">
        <f t="shared" si="186"/>
      </c>
      <c r="AG95" s="4">
        <f t="shared" si="187"/>
        <v/>
      </c>
      <c r="AH95" s="4">
        <f t="shared" si="159"/>
      </c>
      <c r="AI95" s="4">
        <f t="shared" si="188"/>
      </c>
      <c r="AJ95" s="4">
        <f t="shared" si="161"/>
      </c>
      <c r="AK95" s="4">
        <f t="shared" si="189"/>
      </c>
      <c r="AL95" s="4">
        <f t="shared" si="163"/>
      </c>
      <c r="AM95" s="4">
        <f t="shared" si="164"/>
      </c>
      <c r="AN95" s="4"/>
      <c r="AO95" s="4">
        <f t="shared" si="190"/>
      </c>
      <c r="AP95" s="4">
        <f t="shared" si="166"/>
      </c>
      <c r="AQ95" s="42">
        <f t="shared" si="191"/>
        <v/>
      </c>
      <c r="AR95" s="4">
        <f t="shared" si="168"/>
      </c>
      <c r="AS95" s="4">
        <f t="shared" si="169"/>
      </c>
      <c r="AT95" s="4">
        <f t="shared" si="170"/>
      </c>
    </row>
    <row r="96" spans="1:46" x14ac:dyDescent="0.3">
      <c r="A96" s="41">
        <f t="shared" si="142"/>
      </c>
      <c r="B96" s="4">
        <f t="shared" si="143"/>
      </c>
      <c r="C96" s="119"/>
      <c r="D96" s="119"/>
      <c r="E96" s="105"/>
      <c r="F96" s="173"/>
      <c r="G96" s="173"/>
      <c r="H96" s="173"/>
      <c r="I96" s="192"/>
      <c r="J96" s="105"/>
      <c r="K96" s="105"/>
      <c r="L96" s="105"/>
      <c r="M96" s="96">
        <f t="shared" si="194"/>
      </c>
      <c r="N96" s="100"/>
      <c r="O96" s="164"/>
      <c r="P96" s="59">
        <f t="shared" si="195"/>
      </c>
      <c r="Q96" s="165"/>
      <c r="R96" s="100"/>
      <c r="S96" s="164"/>
      <c r="T96" s="5">
        <f t="shared" si="146"/>
      </c>
      <c r="U96" s="4">
        <f t="shared" si="178"/>
      </c>
      <c r="V96" s="4">
        <f t="shared" si="179"/>
      </c>
      <c r="W96" s="4">
        <f t="shared" si="180"/>
      </c>
      <c r="X96" s="4">
        <f t="shared" si="181"/>
      </c>
      <c r="Y96" s="4" cm="1">
        <f t="array" ref="Y96">_xlfn.IFS(H96=1,2,H96=3,1)</f>
      </c>
      <c r="Z96" s="4">
        <f t="shared" si="182"/>
      </c>
      <c r="AA96" s="4">
        <f t="shared" si="152"/>
      </c>
      <c r="AB96" s="4">
        <f t="shared" si="183"/>
      </c>
      <c r="AC96" s="4">
        <f t="shared" si="154"/>
      </c>
      <c r="AD96" s="4">
        <f t="shared" si="184"/>
      </c>
      <c r="AE96" s="4">
        <f t="shared" si="185"/>
      </c>
      <c r="AF96" s="4">
        <f t="shared" si="186"/>
      </c>
      <c r="AG96" s="4">
        <f t="shared" si="187"/>
        <v/>
      </c>
      <c r="AH96" s="4">
        <f t="shared" si="159"/>
      </c>
      <c r="AI96" s="4">
        <f t="shared" si="188"/>
      </c>
      <c r="AJ96" s="4">
        <f t="shared" si="161"/>
      </c>
      <c r="AK96" s="4">
        <f t="shared" si="189"/>
      </c>
      <c r="AL96" s="4">
        <f t="shared" si="163"/>
      </c>
      <c r="AM96" s="4">
        <f t="shared" si="164"/>
      </c>
      <c r="AN96" s="4"/>
      <c r="AO96" s="4">
        <f t="shared" si="190"/>
      </c>
      <c r="AP96" s="4">
        <f t="shared" si="166"/>
      </c>
      <c r="AQ96" s="42">
        <f t="shared" si="191"/>
        <v/>
      </c>
      <c r="AR96" s="4">
        <f t="shared" si="168"/>
      </c>
      <c r="AS96" s="4">
        <f t="shared" si="169"/>
      </c>
      <c r="AT96" s="4">
        <f t="shared" si="170"/>
      </c>
    </row>
    <row r="97" spans="1:46" x14ac:dyDescent="0.3">
      <c r="A97" s="41">
        <f t="shared" si="142"/>
      </c>
      <c r="B97" s="4">
        <f t="shared" si="143"/>
      </c>
      <c r="C97" s="119"/>
      <c r="D97" s="119"/>
      <c r="E97" s="105"/>
      <c r="F97" s="173"/>
      <c r="G97" s="173"/>
      <c r="H97" s="173"/>
      <c r="I97" s="192"/>
      <c r="J97" s="105"/>
      <c r="K97" s="105"/>
      <c r="L97" s="105"/>
      <c r="M97" s="96">
        <f t="shared" ref="M97" si="196">IFERROR(IF(VLOOKUP(AH97,Потребители_обозначение,4,FALSE)=1,VLOOKUP(AH97,Потребители_обозначение,3,FALSE)*(G97*2-1)+I97+VLOOKUP(AI97,Этаж_обозначение,3,FALSE)+VLOOKUP(AI97,Этаж_обозначение,4,FALSE),VLOOKUP(AH97,Потребители_обозначение,3,FALSE)*(G97*2-1)+I97),I97)</f>
      </c>
      <c r="N97" s="100"/>
      <c r="O97" s="164"/>
      <c r="P97" s="59">
        <f t="shared" ref="P97" si="197">IF(VLOOKUP(AH97,Потребители_обозначение,5,FALSE)=2,_xlfn.IFS(H97=3,VLOOKUP(E97,Справочная_двигатели,8,FALSE),H97=1,VLOOKUP(E97,Справочная_двигатели,10,TRUE)),0.95)</f>
      </c>
      <c r="Q97" s="165"/>
      <c r="R97" s="100"/>
      <c r="S97" s="164"/>
      <c r="T97" s="5">
        <f t="shared" si="146"/>
      </c>
      <c r="U97" s="4">
        <f t="shared" si="178"/>
      </c>
      <c r="V97" s="4">
        <f t="shared" si="179"/>
      </c>
      <c r="W97" s="4">
        <f t="shared" si="180"/>
      </c>
      <c r="X97" s="4">
        <f t="shared" si="181"/>
      </c>
      <c r="Y97" s="4" cm="1">
        <f t="array" ref="Y97">_xlfn.IFS(H97=1,2,H97=3,1)</f>
      </c>
      <c r="Z97" s="4">
        <f t="shared" si="182"/>
      </c>
      <c r="AA97" s="4">
        <f t="shared" si="152"/>
      </c>
      <c r="AB97" s="4">
        <f t="shared" si="183"/>
      </c>
      <c r="AC97" s="4">
        <f t="shared" si="154"/>
      </c>
      <c r="AD97" s="4">
        <f t="shared" si="184"/>
      </c>
      <c r="AE97" s="4">
        <f t="shared" si="185"/>
      </c>
      <c r="AF97" s="4">
        <f t="shared" si="186"/>
      </c>
      <c r="AG97" s="4">
        <f t="shared" si="187"/>
        <v/>
      </c>
      <c r="AH97" s="4">
        <f t="shared" si="159"/>
      </c>
      <c r="AI97" s="4">
        <f t="shared" si="188"/>
      </c>
      <c r="AJ97" s="4">
        <f t="shared" si="161"/>
      </c>
      <c r="AK97" s="4">
        <f t="shared" si="189"/>
      </c>
      <c r="AL97" s="4">
        <f t="shared" si="163"/>
      </c>
      <c r="AM97" s="4">
        <f t="shared" si="164"/>
      </c>
      <c r="AN97" s="4"/>
      <c r="AO97" s="4">
        <f t="shared" si="190"/>
      </c>
      <c r="AP97" s="4">
        <f t="shared" si="166"/>
      </c>
      <c r="AQ97" s="42">
        <f t="shared" si="191"/>
        <v/>
      </c>
      <c r="AR97" s="4">
        <f t="shared" si="168"/>
      </c>
      <c r="AS97" s="4">
        <f t="shared" si="169"/>
      </c>
      <c r="AT97" s="4">
        <f t="shared" si="170"/>
      </c>
    </row>
    <row r="98" spans="1:46" x14ac:dyDescent="0.3">
      <c r="A98" s="41">
        <f t="shared" si="142"/>
      </c>
      <c r="B98" s="4">
        <f t="shared" si="143"/>
      </c>
      <c r="C98" s="119"/>
      <c r="D98" s="119"/>
      <c r="E98" s="105"/>
      <c r="F98" s="173"/>
      <c r="G98" s="173"/>
      <c r="H98" s="173"/>
      <c r="I98" s="192"/>
      <c r="J98" s="105"/>
      <c r="K98" s="105"/>
      <c r="L98" s="105"/>
      <c r="M98" s="96">
        <f t="shared" ref="M98:M99" si="198">IFERROR(IF(VLOOKUP(AH98,Потребители_обозначение,4,FALSE)=1,VLOOKUP(AH98,Потребители_обозначение,3,FALSE)*(G98*2-1)+I98+VLOOKUP(AI98,Этаж_обозначение,3,FALSE)+VLOOKUP(AI98,Этаж_обозначение,4,FALSE),VLOOKUP(AH98,Потребители_обозначение,3,FALSE)*(G98*2-1)+I98),I98)</f>
      </c>
      <c r="N98" s="100"/>
      <c r="O98" s="164"/>
      <c r="P98" s="59">
        <f t="shared" ref="P98:P99" si="199">IF(VLOOKUP(AH98,Потребители_обозначение,5,FALSE)=2,_xlfn.IFS(H98=3,VLOOKUP(E98,Справочная_двигатели,8,FALSE),H98=1,VLOOKUP(E98,Справочная_двигатели,10,TRUE)),0.95)</f>
      </c>
      <c r="Q98" s="165"/>
      <c r="R98" s="100"/>
      <c r="S98" s="164"/>
      <c r="T98" s="5">
        <f t="shared" si="146"/>
      </c>
      <c r="U98" s="4">
        <f t="shared" si="178"/>
      </c>
      <c r="V98" s="4">
        <f t="shared" si="179"/>
      </c>
      <c r="W98" s="4">
        <f t="shared" si="180"/>
      </c>
      <c r="X98" s="4">
        <f t="shared" si="181"/>
      </c>
      <c r="Y98" s="4" cm="1">
        <f t="array" ref="Y98">_xlfn.IFS(H98=1,2,H98=3,1)</f>
      </c>
      <c r="Z98" s="4">
        <f t="shared" si="182"/>
      </c>
      <c r="AA98" s="4">
        <f t="shared" si="152"/>
      </c>
      <c r="AB98" s="4">
        <f t="shared" si="183"/>
      </c>
      <c r="AC98" s="4">
        <f t="shared" si="154"/>
      </c>
      <c r="AD98" s="4">
        <f t="shared" si="184"/>
      </c>
      <c r="AE98" s="4">
        <f t="shared" si="185"/>
      </c>
      <c r="AF98" s="4">
        <f t="shared" si="186"/>
      </c>
      <c r="AG98" s="4">
        <f t="shared" si="187"/>
        <v/>
      </c>
      <c r="AH98" s="4">
        <f t="shared" si="159"/>
      </c>
      <c r="AI98" s="4">
        <f t="shared" si="188"/>
      </c>
      <c r="AJ98" s="4">
        <f t="shared" si="161"/>
      </c>
      <c r="AK98" s="4">
        <f t="shared" si="189"/>
      </c>
      <c r="AL98" s="4">
        <f t="shared" si="163"/>
      </c>
      <c r="AM98" s="4">
        <f t="shared" si="164"/>
      </c>
      <c r="AN98" s="4"/>
      <c r="AO98" s="4">
        <f t="shared" si="190"/>
      </c>
      <c r="AP98" s="4">
        <f t="shared" si="166"/>
      </c>
      <c r="AQ98" s="42">
        <f t="shared" si="191"/>
        <v/>
      </c>
      <c r="AR98" s="4">
        <f t="shared" si="168"/>
      </c>
      <c r="AS98" s="4">
        <f t="shared" si="169"/>
      </c>
      <c r="AT98" s="4">
        <f t="shared" si="170"/>
      </c>
    </row>
    <row r="99" spans="1:46" x14ac:dyDescent="0.3">
      <c r="A99" s="41">
        <f t="shared" si="142"/>
      </c>
      <c r="B99" s="4">
        <f t="shared" si="143"/>
      </c>
      <c r="C99" s="181"/>
      <c r="D99" s="119"/>
      <c r="E99" s="105"/>
      <c r="F99" s="173"/>
      <c r="G99" s="173"/>
      <c r="H99" s="173"/>
      <c r="I99" s="192"/>
      <c r="J99" s="105"/>
      <c r="K99" s="105"/>
      <c r="L99" s="105"/>
      <c r="M99" s="96">
        <f t="shared" si="198"/>
      </c>
      <c r="N99" s="59"/>
      <c r="O99" s="164"/>
      <c r="P99" s="59">
        <f t="shared" si="199"/>
      </c>
      <c r="Q99" s="165"/>
      <c r="R99" s="59"/>
      <c r="S99" s="164"/>
      <c r="T99" s="5">
        <f t="shared" si="146"/>
      </c>
      <c r="U99" s="4">
        <f t="shared" si="178"/>
      </c>
      <c r="V99" s="4">
        <f t="shared" si="179"/>
      </c>
      <c r="W99" s="4">
        <f t="shared" si="180"/>
      </c>
      <c r="X99" s="4">
        <f t="shared" si="181"/>
      </c>
      <c r="Y99" s="4" cm="1">
        <f t="array" ref="Y99">_xlfn.IFS(H99=1,2,H99=3,1)</f>
      </c>
      <c r="Z99" s="4">
        <f t="shared" si="182"/>
      </c>
      <c r="AA99" s="4">
        <f t="shared" si="152"/>
      </c>
      <c r="AB99" s="4">
        <f t="shared" si="183"/>
      </c>
      <c r="AC99" s="4">
        <f t="shared" si="154"/>
      </c>
      <c r="AD99" s="4">
        <f t="shared" si="184"/>
      </c>
      <c r="AE99" s="4">
        <f t="shared" si="185"/>
      </c>
      <c r="AF99" s="4">
        <f t="shared" si="186"/>
      </c>
      <c r="AG99" s="4">
        <f t="shared" si="187"/>
        <v/>
      </c>
      <c r="AH99" s="4">
        <f t="shared" si="159"/>
      </c>
      <c r="AI99" s="4">
        <f t="shared" si="188"/>
      </c>
      <c r="AJ99" s="4">
        <f t="shared" si="161"/>
      </c>
      <c r="AK99" s="4">
        <f t="shared" si="189"/>
      </c>
      <c r="AL99" s="4">
        <f t="shared" si="163"/>
      </c>
      <c r="AM99" s="4">
        <f t="shared" si="164"/>
      </c>
      <c r="AN99" s="4"/>
      <c r="AO99" s="4">
        <f t="shared" si="190"/>
      </c>
      <c r="AP99" s="4">
        <f t="shared" si="166"/>
      </c>
      <c r="AQ99" s="42">
        <f t="shared" si="191"/>
        <v/>
      </c>
      <c r="AR99" s="4">
        <f t="shared" si="168"/>
      </c>
      <c r="AS99" s="4">
        <f t="shared" si="169"/>
      </c>
      <c r="AT99" s="4">
        <f t="shared" si="170"/>
      </c>
    </row>
    <row r="100" spans="1:46" x14ac:dyDescent="0.3">
      <c r="A100" s="41">
        <f t="shared" si="142"/>
      </c>
      <c r="B100" s="4">
        <f t="shared" si="143"/>
      </c>
      <c r="C100" s="119"/>
      <c r="D100" s="119"/>
      <c r="E100" s="105"/>
      <c r="F100" s="173"/>
      <c r="G100" s="173"/>
      <c r="H100" s="173"/>
      <c r="I100" s="192"/>
      <c r="J100" s="105"/>
      <c r="K100" s="105"/>
      <c r="L100" s="105"/>
      <c r="M100" s="4">
        <f t="shared" si="192"/>
      </c>
      <c r="N100" s="100"/>
      <c r="O100" s="164"/>
      <c r="P100" s="59">
        <f t="shared" si="193"/>
      </c>
      <c r="Q100" s="165"/>
      <c r="R100" s="100"/>
      <c r="S100" s="164"/>
      <c r="T100" s="5">
        <f t="shared" si="146"/>
      </c>
      <c r="U100" s="4">
        <f t="shared" si="178"/>
      </c>
      <c r="V100" s="4">
        <f t="shared" si="179"/>
      </c>
      <c r="W100" s="4">
        <f t="shared" si="180"/>
      </c>
      <c r="X100" s="4">
        <f t="shared" si="181"/>
      </c>
      <c r="Y100" s="4" cm="1">
        <f t="array" ref="Y100">_xlfn.IFS(H100=1,2,H100=3,1)</f>
      </c>
      <c r="Z100" s="4">
        <f t="shared" si="182"/>
      </c>
      <c r="AA100" s="4">
        <f t="shared" si="152"/>
      </c>
      <c r="AB100" s="4">
        <f t="shared" si="183"/>
      </c>
      <c r="AC100" s="4">
        <f t="shared" si="154"/>
      </c>
      <c r="AD100" s="4">
        <f t="shared" si="184"/>
      </c>
      <c r="AE100" s="4">
        <f t="shared" si="185"/>
      </c>
      <c r="AF100" s="4">
        <f t="shared" si="186"/>
      </c>
      <c r="AG100" s="4">
        <f t="shared" si="187"/>
        <v/>
      </c>
      <c r="AH100" s="4">
        <f t="shared" si="159"/>
      </c>
      <c r="AI100" s="4">
        <f t="shared" si="188"/>
      </c>
      <c r="AJ100" s="4">
        <f t="shared" si="161"/>
      </c>
      <c r="AK100" s="4">
        <f t="shared" si="189"/>
      </c>
      <c r="AL100" s="4">
        <f t="shared" si="163"/>
      </c>
      <c r="AM100" s="4">
        <f t="shared" si="164"/>
      </c>
      <c r="AN100" s="4"/>
      <c r="AO100" s="4">
        <f t="shared" si="190"/>
      </c>
      <c r="AP100" s="4">
        <f t="shared" si="166"/>
      </c>
      <c r="AQ100" s="42">
        <f t="shared" si="191"/>
        <v/>
      </c>
      <c r="AR100" s="4">
        <f t="shared" si="168"/>
      </c>
      <c r="AS100" s="4">
        <f t="shared" si="169"/>
      </c>
      <c r="AT100" s="4">
        <f t="shared" si="170"/>
      </c>
    </row>
    <row r="101" spans="1:46" x14ac:dyDescent="0.3">
      <c r="A101" s="41">
        <f t="shared" si="142"/>
      </c>
      <c r="B101" s="4">
        <f t="shared" si="143"/>
      </c>
      <c r="C101" s="119"/>
      <c r="D101" s="119"/>
      <c r="E101" s="105"/>
      <c r="F101" s="173"/>
      <c r="G101" s="173"/>
      <c r="H101" s="173"/>
      <c r="I101" s="192"/>
      <c r="J101" s="105"/>
      <c r="K101" s="105"/>
      <c r="L101" s="105"/>
      <c r="M101" s="96">
        <f t="shared" si="192"/>
      </c>
      <c r="N101" s="59"/>
      <c r="O101" s="164"/>
      <c r="P101" s="59">
        <f t="shared" si="193"/>
      </c>
      <c r="Q101" s="165"/>
      <c r="R101" s="59"/>
      <c r="S101" s="164"/>
      <c r="T101" s="5">
        <f t="shared" si="146"/>
      </c>
      <c r="U101" s="4">
        <f t="shared" si="178"/>
      </c>
      <c r="V101" s="4">
        <f t="shared" si="179"/>
      </c>
      <c r="W101" s="4">
        <f t="shared" si="180"/>
      </c>
      <c r="X101" s="4">
        <f t="shared" si="181"/>
      </c>
      <c r="Y101" s="4" cm="1">
        <f t="array" ref="Y101">_xlfn.IFS(H101=1,2,H101=3,1)</f>
      </c>
      <c r="Z101" s="4">
        <f t="shared" si="182"/>
      </c>
      <c r="AA101" s="4">
        <f t="shared" si="152"/>
      </c>
      <c r="AB101" s="4">
        <f t="shared" si="183"/>
      </c>
      <c r="AC101" s="4">
        <f t="shared" si="154"/>
      </c>
      <c r="AD101" s="4">
        <f t="shared" si="184"/>
      </c>
      <c r="AE101" s="4">
        <f t="shared" si="185"/>
      </c>
      <c r="AF101" s="4">
        <f t="shared" si="186"/>
      </c>
      <c r="AG101" s="4">
        <f t="shared" si="187"/>
        <v/>
      </c>
      <c r="AH101" s="4">
        <f t="shared" si="159"/>
      </c>
      <c r="AI101" s="4">
        <f t="shared" si="188"/>
      </c>
      <c r="AJ101" s="4">
        <f t="shared" si="161"/>
      </c>
      <c r="AK101" s="4">
        <f t="shared" si="189"/>
      </c>
      <c r="AL101" s="4">
        <f t="shared" si="163"/>
      </c>
      <c r="AM101" s="4">
        <f t="shared" si="164"/>
      </c>
      <c r="AN101" s="4"/>
      <c r="AO101" s="4">
        <f t="shared" si="190"/>
      </c>
      <c r="AP101" s="4">
        <f t="shared" si="166"/>
      </c>
      <c r="AQ101" s="42">
        <f t="shared" si="191"/>
        <v/>
      </c>
      <c r="AR101" s="4">
        <f t="shared" si="168"/>
      </c>
      <c r="AS101" s="4">
        <f t="shared" si="169"/>
      </c>
      <c r="AT101" s="4">
        <f t="shared" si="170"/>
      </c>
    </row>
    <row r="102" spans="1:46" x14ac:dyDescent="0.3">
      <c r="A102" s="41">
        <f t="shared" si="142"/>
      </c>
      <c r="B102" s="4">
        <f t="shared" si="143"/>
      </c>
      <c r="C102" s="119"/>
      <c r="D102" s="119"/>
      <c r="E102" s="105"/>
      <c r="F102" s="173"/>
      <c r="G102" s="173"/>
      <c r="H102" s="173"/>
      <c r="I102" s="192"/>
      <c r="J102" s="105"/>
      <c r="K102" s="105"/>
      <c r="L102" s="105"/>
      <c r="M102" s="96">
        <f t="shared" si="192"/>
      </c>
      <c r="N102" s="100"/>
      <c r="O102" s="164"/>
      <c r="P102" s="59">
        <f t="shared" si="193"/>
      </c>
      <c r="Q102" s="165"/>
      <c r="R102" s="100"/>
      <c r="S102" s="164"/>
      <c r="T102" s="5">
        <f t="shared" si="146"/>
      </c>
      <c r="U102" s="4">
        <f t="shared" si="178"/>
      </c>
      <c r="V102" s="4">
        <f t="shared" si="179"/>
      </c>
      <c r="W102" s="4">
        <f t="shared" si="180"/>
      </c>
      <c r="X102" s="4">
        <f t="shared" si="181"/>
      </c>
      <c r="Y102" s="4" cm="1">
        <f t="array" ref="Y102">_xlfn.IFS(H102=1,2,H102=3,1)</f>
      </c>
      <c r="Z102" s="4">
        <f t="shared" si="182"/>
      </c>
      <c r="AA102" s="4">
        <f t="shared" si="152"/>
      </c>
      <c r="AB102" s="4">
        <f t="shared" si="183"/>
      </c>
      <c r="AC102" s="4">
        <f t="shared" si="154"/>
      </c>
      <c r="AD102" s="4">
        <f t="shared" si="184"/>
      </c>
      <c r="AE102" s="4">
        <f t="shared" si="185"/>
      </c>
      <c r="AF102" s="4">
        <f t="shared" si="186"/>
      </c>
      <c r="AG102" s="4">
        <f t="shared" si="187"/>
        <v/>
      </c>
      <c r="AH102" s="4">
        <f t="shared" si="159"/>
      </c>
      <c r="AI102" s="4">
        <f t="shared" si="188"/>
      </c>
      <c r="AJ102" s="4">
        <f t="shared" si="161"/>
      </c>
      <c r="AK102" s="4">
        <f t="shared" si="189"/>
      </c>
      <c r="AL102" s="4">
        <f t="shared" si="163"/>
      </c>
      <c r="AM102" s="4">
        <f t="shared" si="164"/>
      </c>
      <c r="AN102" s="4"/>
      <c r="AO102" s="4">
        <f t="shared" si="190"/>
      </c>
      <c r="AP102" s="4">
        <f t="shared" si="166"/>
      </c>
      <c r="AQ102" s="42">
        <f t="shared" si="191"/>
        <v/>
      </c>
      <c r="AR102" s="4">
        <f t="shared" si="168"/>
      </c>
      <c r="AS102" s="4">
        <f t="shared" si="169"/>
      </c>
      <c r="AT102" s="4">
        <f t="shared" si="170"/>
      </c>
    </row>
    <row r="103" spans="1:46" x14ac:dyDescent="0.3">
      <c r="A103" s="41">
        <f t="shared" si="142"/>
      </c>
      <c r="B103" s="4">
        <f t="shared" si="143"/>
      </c>
      <c r="C103" s="119"/>
      <c r="D103" s="119"/>
      <c r="E103" s="105"/>
      <c r="F103" s="173"/>
      <c r="G103" s="173"/>
      <c r="H103" s="173"/>
      <c r="I103" s="192"/>
      <c r="J103" s="105"/>
      <c r="K103" s="105"/>
      <c r="L103" s="105"/>
      <c r="M103" s="96">
        <f t="shared" si="192"/>
      </c>
      <c r="N103" s="59"/>
      <c r="O103" s="164"/>
      <c r="P103" s="59">
        <f t="shared" si="193"/>
      </c>
      <c r="Q103" s="165"/>
      <c r="R103" s="59"/>
      <c r="S103" s="164"/>
      <c r="T103" s="5">
        <f t="shared" si="146"/>
      </c>
      <c r="U103" s="4">
        <f t="shared" si="178"/>
      </c>
      <c r="V103" s="4">
        <f t="shared" si="179"/>
      </c>
      <c r="W103" s="4">
        <f t="shared" si="180"/>
      </c>
      <c r="X103" s="4">
        <f t="shared" si="181"/>
      </c>
      <c r="Y103" s="4" cm="1">
        <f t="array" ref="Y103">_xlfn.IFS(H103=1,2,H103=3,1)</f>
      </c>
      <c r="Z103" s="4">
        <f t="shared" si="182"/>
      </c>
      <c r="AA103" s="4">
        <f t="shared" si="152"/>
      </c>
      <c r="AB103" s="4">
        <f t="shared" si="183"/>
      </c>
      <c r="AC103" s="4">
        <f t="shared" si="154"/>
      </c>
      <c r="AD103" s="4">
        <f t="shared" si="184"/>
      </c>
      <c r="AE103" s="4">
        <f t="shared" si="185"/>
      </c>
      <c r="AF103" s="4">
        <f t="shared" si="186"/>
      </c>
      <c r="AG103" s="4">
        <f t="shared" si="187"/>
        <v/>
      </c>
      <c r="AH103" s="4">
        <f t="shared" si="159"/>
      </c>
      <c r="AI103" s="4">
        <f t="shared" si="188"/>
      </c>
      <c r="AJ103" s="4">
        <f t="shared" si="161"/>
      </c>
      <c r="AK103" s="4">
        <f t="shared" si="189"/>
      </c>
      <c r="AL103" s="4">
        <f t="shared" si="163"/>
      </c>
      <c r="AM103" s="4">
        <f t="shared" si="164"/>
      </c>
      <c r="AN103" s="4"/>
      <c r="AO103" s="4">
        <f t="shared" si="190"/>
      </c>
      <c r="AP103" s="4">
        <f t="shared" si="166"/>
      </c>
      <c r="AQ103" s="42">
        <f t="shared" si="191"/>
        <v/>
      </c>
      <c r="AR103" s="4">
        <f t="shared" si="168"/>
      </c>
      <c r="AS103" s="4">
        <f t="shared" si="169"/>
      </c>
      <c r="AT103" s="4">
        <f t="shared" si="170"/>
      </c>
    </row>
    <row r="104" spans="1:46" ht="15" thickBot="1" x14ac:dyDescent="0.35">
      <c r="A104" s="48">
        <f t="shared" si="142"/>
      </c>
      <c r="B104" s="49">
        <f t="shared" si="143"/>
      </c>
      <c r="C104" s="119"/>
      <c r="D104" s="119"/>
      <c r="E104" s="105"/>
      <c r="F104" s="173"/>
      <c r="G104" s="173"/>
      <c r="H104" s="173"/>
      <c r="I104" s="192"/>
      <c r="J104" s="186"/>
      <c r="K104" s="105"/>
      <c r="L104" s="186"/>
      <c r="M104" s="44">
        <f t="shared" si="192"/>
      </c>
      <c r="N104" s="100"/>
      <c r="O104" s="164"/>
      <c r="P104" s="59">
        <f t="shared" si="193"/>
      </c>
      <c r="Q104" s="165"/>
      <c r="R104" s="100"/>
      <c r="S104" s="164"/>
      <c r="T104" s="50">
        <f t="shared" si="146"/>
      </c>
      <c r="U104" s="49">
        <f t="shared" si="178"/>
      </c>
      <c r="V104" s="49">
        <f t="shared" si="179"/>
      </c>
      <c r="W104" s="49">
        <f t="shared" si="180"/>
      </c>
      <c r="X104" s="49">
        <f t="shared" si="181"/>
      </c>
      <c r="Y104" s="49" cm="1">
        <f t="array" ref="Y104">_xlfn.IFS(H104=1,2,H104=3,1)</f>
      </c>
      <c r="Z104" s="49">
        <f t="shared" si="182"/>
      </c>
      <c r="AA104" s="49">
        <f t="shared" si="152"/>
      </c>
      <c r="AB104" s="49">
        <f t="shared" si="183"/>
      </c>
      <c r="AC104" s="49">
        <f t="shared" si="154"/>
      </c>
      <c r="AD104" s="49">
        <f t="shared" si="184"/>
      </c>
      <c r="AE104" s="49">
        <f t="shared" si="185"/>
      </c>
      <c r="AF104" s="49">
        <f t="shared" si="186"/>
      </c>
      <c r="AG104" s="49">
        <f t="shared" si="187"/>
        <v/>
      </c>
      <c r="AH104" s="49">
        <f t="shared" si="159"/>
      </c>
      <c r="AI104" s="49">
        <f t="shared" si="188"/>
      </c>
      <c r="AJ104" s="49">
        <f t="shared" si="161"/>
      </c>
      <c r="AK104" s="49">
        <f t="shared" si="189"/>
      </c>
      <c r="AL104" s="49">
        <f t="shared" si="163"/>
      </c>
      <c r="AM104" s="49">
        <f t="shared" si="164"/>
      </c>
      <c r="AN104" s="49"/>
      <c r="AO104" s="49">
        <f t="shared" si="190"/>
      </c>
      <c r="AP104" s="49">
        <f t="shared" si="166"/>
      </c>
      <c r="AQ104" s="51">
        <f t="shared" si="191"/>
        <v/>
      </c>
      <c r="AR104" s="44">
        <f t="shared" si="168"/>
      </c>
      <c r="AS104" s="44">
        <f t="shared" si="169"/>
      </c>
      <c r="AT104" s="44">
        <f t="shared" si="170"/>
      </c>
    </row>
    <row r="105" spans="1:46" x14ac:dyDescent="0.3">
      <c r="A105" s="37">
        <f t="shared" si="142"/>
      </c>
      <c r="B105" s="38">
        <f t="shared" si="143"/>
      </c>
      <c r="C105" s="172"/>
      <c r="D105" s="172"/>
      <c r="E105" s="174"/>
      <c r="F105" s="183"/>
      <c r="G105" s="183"/>
      <c r="H105" s="183"/>
      <c r="I105" s="192"/>
      <c r="J105" s="174"/>
      <c r="K105" s="174"/>
      <c r="L105" s="174"/>
      <c r="M105" s="38">
        <f t="shared" si="192"/>
      </c>
      <c r="N105" s="63"/>
      <c r="O105" s="167"/>
      <c r="P105" s="59">
        <f t="shared" si="193"/>
      </c>
      <c r="Q105" s="169"/>
      <c r="R105" s="63"/>
      <c r="S105" s="167"/>
      <c r="T105" s="39">
        <f t="shared" si="146"/>
      </c>
      <c r="U105" s="38">
        <f t="shared" si="178"/>
      </c>
      <c r="V105" s="38">
        <f t="shared" si="179"/>
      </c>
      <c r="W105" s="38">
        <f t="shared" si="180"/>
      </c>
      <c r="X105" s="38">
        <f t="shared" si="181"/>
      </c>
      <c r="Y105" s="38" cm="1">
        <f t="array" ref="Y105">_xlfn.IFS(H105=1,2,H105=3,1)</f>
      </c>
      <c r="Z105" s="38">
        <f t="shared" si="182"/>
      </c>
      <c r="AA105" s="38">
        <f t="shared" si="152"/>
      </c>
      <c r="AB105" s="38">
        <f t="shared" si="183"/>
      </c>
      <c r="AC105" s="38">
        <f t="shared" si="154"/>
      </c>
      <c r="AD105" s="38">
        <f t="shared" si="184"/>
      </c>
      <c r="AE105" s="38">
        <f t="shared" si="185"/>
      </c>
      <c r="AF105" s="38">
        <f t="shared" si="186"/>
      </c>
      <c r="AG105" s="38">
        <f t="shared" si="187"/>
        <v/>
      </c>
      <c r="AH105" s="38">
        <f t="shared" si="159"/>
      </c>
      <c r="AI105" s="38">
        <f t="shared" si="188"/>
      </c>
      <c r="AJ105" s="38">
        <f t="shared" si="161"/>
      </c>
      <c r="AK105" s="38">
        <f t="shared" si="189"/>
      </c>
      <c r="AL105" s="38">
        <f t="shared" si="163"/>
      </c>
      <c r="AM105" s="38">
        <f t="shared" si="164"/>
      </c>
      <c r="AN105" s="38"/>
      <c r="AO105" s="38">
        <f t="shared" si="190"/>
      </c>
      <c r="AP105" s="38">
        <f t="shared" si="166"/>
      </c>
      <c r="AQ105" s="40">
        <f t="shared" si="191"/>
        <v/>
      </c>
      <c r="AR105" s="38">
        <f t="shared" si="168"/>
      </c>
      <c r="AS105" s="38">
        <f t="shared" si="169"/>
      </c>
      <c r="AT105" s="38">
        <f t="shared" si="170"/>
      </c>
    </row>
    <row r="106" spans="1:46" x14ac:dyDescent="0.3">
      <c r="A106" s="41">
        <f t="shared" si="142"/>
      </c>
      <c r="B106" s="4">
        <f t="shared" si="143"/>
      </c>
      <c r="C106" s="119"/>
      <c r="D106" s="119"/>
      <c r="E106" s="105"/>
      <c r="F106" s="173"/>
      <c r="G106" s="173"/>
      <c r="H106" s="173"/>
      <c r="I106" s="192"/>
      <c r="J106" s="105"/>
      <c r="K106" s="105"/>
      <c r="L106" s="105"/>
      <c r="M106" s="96">
        <f t="shared" ref="M106:M108" si="200">IFERROR(IF(VLOOKUP(AH106,Потребители_обозначение,4,FALSE)=1,VLOOKUP(AH106,Потребители_обозначение,3,FALSE)*(G106*2-1)+I106+VLOOKUP(AI106,Этаж_обозначение,3,FALSE)+VLOOKUP(AI106,Этаж_обозначение,4,FALSE),VLOOKUP(AH106,Потребители_обозначение,3,FALSE)*(G106*2-1)+I106),I106)</f>
      </c>
      <c r="N106" s="100"/>
      <c r="O106" s="164"/>
      <c r="P106" s="59">
        <f t="shared" ref="P106:P108" si="201">IF(VLOOKUP(AH106,Потребители_обозначение,5,FALSE)=2,_xlfn.IFS(H106=3,VLOOKUP(E106,Справочная_двигатели,8,FALSE),H106=1,VLOOKUP(E106,Справочная_двигатели,10,TRUE)),0.95)</f>
      </c>
      <c r="Q106" s="165"/>
      <c r="R106" s="100"/>
      <c r="S106" s="164"/>
      <c r="T106" s="5">
        <f t="shared" si="146"/>
      </c>
      <c r="U106" s="4">
        <f t="shared" si="178"/>
      </c>
      <c r="V106" s="4">
        <f t="shared" si="179"/>
      </c>
      <c r="W106" s="4">
        <f t="shared" si="180"/>
      </c>
      <c r="X106" s="4">
        <f t="shared" si="181"/>
      </c>
      <c r="Y106" s="4" cm="1">
        <f t="array" ref="Y106">_xlfn.IFS(H106=1,2,H106=3,1)</f>
      </c>
      <c r="Z106" s="4">
        <f t="shared" si="182"/>
      </c>
      <c r="AA106" s="4">
        <f t="shared" si="152"/>
      </c>
      <c r="AB106" s="4">
        <f t="shared" si="183"/>
      </c>
      <c r="AC106" s="4">
        <f t="shared" si="154"/>
      </c>
      <c r="AD106" s="4">
        <f t="shared" si="184"/>
      </c>
      <c r="AE106" s="4">
        <f t="shared" si="185"/>
      </c>
      <c r="AF106" s="4">
        <f t="shared" si="186"/>
      </c>
      <c r="AG106" s="4">
        <f t="shared" si="187"/>
        <v/>
      </c>
      <c r="AH106" s="4">
        <f t="shared" si="159"/>
      </c>
      <c r="AI106" s="4">
        <f t="shared" si="188"/>
      </c>
      <c r="AJ106" s="4">
        <f t="shared" si="161"/>
      </c>
      <c r="AK106" s="4">
        <f t="shared" si="189"/>
      </c>
      <c r="AL106" s="4">
        <f t="shared" si="163"/>
      </c>
      <c r="AM106" s="4">
        <f t="shared" si="164"/>
      </c>
      <c r="AN106" s="4"/>
      <c r="AO106" s="4">
        <f t="shared" si="190"/>
      </c>
      <c r="AP106" s="4">
        <f t="shared" si="166"/>
      </c>
      <c r="AQ106" s="42">
        <f t="shared" si="191"/>
        <v/>
      </c>
      <c r="AR106" s="4">
        <f t="shared" si="168"/>
      </c>
      <c r="AS106" s="4">
        <f t="shared" si="169"/>
      </c>
      <c r="AT106" s="4">
        <f t="shared" si="170"/>
      </c>
    </row>
    <row r="107" spans="1:46" x14ac:dyDescent="0.3">
      <c r="A107" s="41">
        <f t="shared" si="142"/>
      </c>
      <c r="B107" s="4">
        <f t="shared" si="143"/>
      </c>
      <c r="C107" s="119"/>
      <c r="D107" s="119"/>
      <c r="E107" s="105"/>
      <c r="F107" s="173"/>
      <c r="G107" s="173"/>
      <c r="H107" s="173"/>
      <c r="I107" s="192"/>
      <c r="J107" s="105"/>
      <c r="K107" s="105"/>
      <c r="L107" s="105"/>
      <c r="M107" s="96">
        <f t="shared" si="200"/>
      </c>
      <c r="N107" s="59"/>
      <c r="O107" s="164"/>
      <c r="P107" s="59">
        <f t="shared" si="201"/>
      </c>
      <c r="Q107" s="165"/>
      <c r="R107" s="59"/>
      <c r="S107" s="164"/>
      <c r="T107" s="5">
        <f t="shared" si="146"/>
      </c>
      <c r="U107" s="4">
        <f t="shared" si="178"/>
      </c>
      <c r="V107" s="4">
        <f t="shared" si="179"/>
      </c>
      <c r="W107" s="4">
        <f t="shared" si="180"/>
      </c>
      <c r="X107" s="4">
        <f t="shared" si="181"/>
      </c>
      <c r="Y107" s="4" cm="1">
        <f t="array" ref="Y107">_xlfn.IFS(H107=1,2,H107=3,1)</f>
      </c>
      <c r="Z107" s="4">
        <f t="shared" si="182"/>
      </c>
      <c r="AA107" s="4">
        <f t="shared" si="152"/>
      </c>
      <c r="AB107" s="4">
        <f t="shared" si="183"/>
      </c>
      <c r="AC107" s="4">
        <f t="shared" si="154"/>
      </c>
      <c r="AD107" s="4">
        <f t="shared" si="184"/>
      </c>
      <c r="AE107" s="4">
        <f t="shared" si="185"/>
      </c>
      <c r="AF107" s="4">
        <f t="shared" si="186"/>
      </c>
      <c r="AG107" s="4">
        <f t="shared" si="187"/>
        <v/>
      </c>
      <c r="AH107" s="4">
        <f t="shared" si="159"/>
      </c>
      <c r="AI107" s="4">
        <f t="shared" si="188"/>
      </c>
      <c r="AJ107" s="4">
        <f t="shared" si="161"/>
      </c>
      <c r="AK107" s="4">
        <f t="shared" si="189"/>
      </c>
      <c r="AL107" s="4">
        <f t="shared" si="163"/>
      </c>
      <c r="AM107" s="4">
        <f t="shared" si="164"/>
      </c>
      <c r="AN107" s="4"/>
      <c r="AO107" s="4">
        <f t="shared" si="190"/>
      </c>
      <c r="AP107" s="4">
        <f t="shared" si="166"/>
      </c>
      <c r="AQ107" s="42">
        <f t="shared" si="191"/>
        <v/>
      </c>
      <c r="AR107" s="4">
        <f t="shared" si="168"/>
      </c>
      <c r="AS107" s="4">
        <f t="shared" si="169"/>
      </c>
      <c r="AT107" s="4">
        <f t="shared" si="170"/>
      </c>
    </row>
    <row r="108" spans="1:46" x14ac:dyDescent="0.3">
      <c r="A108" s="41">
        <f t="shared" si="142"/>
      </c>
      <c r="B108" s="4">
        <f t="shared" si="143"/>
      </c>
      <c r="C108" s="119"/>
      <c r="D108" s="119"/>
      <c r="E108" s="105"/>
      <c r="F108" s="173"/>
      <c r="G108" s="173"/>
      <c r="H108" s="173"/>
      <c r="I108" s="192"/>
      <c r="J108" s="105"/>
      <c r="K108" s="105"/>
      <c r="L108" s="105"/>
      <c r="M108" s="96">
        <f t="shared" si="200"/>
      </c>
      <c r="N108" s="100"/>
      <c r="O108" s="164"/>
      <c r="P108" s="59">
        <f t="shared" si="201"/>
      </c>
      <c r="Q108" s="165"/>
      <c r="R108" s="100"/>
      <c r="S108" s="164"/>
      <c r="T108" s="5">
        <f t="shared" si="146"/>
      </c>
      <c r="U108" s="4">
        <f t="shared" si="178"/>
      </c>
      <c r="V108" s="4">
        <f t="shared" si="179"/>
      </c>
      <c r="W108" s="4">
        <f t="shared" si="180"/>
      </c>
      <c r="X108" s="4">
        <f t="shared" si="181"/>
      </c>
      <c r="Y108" s="4" cm="1">
        <f t="array" ref="Y108">_xlfn.IFS(H108=1,2,H108=3,1)</f>
      </c>
      <c r="Z108" s="4">
        <f t="shared" si="182"/>
      </c>
      <c r="AA108" s="4">
        <f t="shared" si="152"/>
      </c>
      <c r="AB108" s="4">
        <f t="shared" si="183"/>
      </c>
      <c r="AC108" s="4">
        <f t="shared" si="154"/>
      </c>
      <c r="AD108" s="4">
        <f t="shared" si="184"/>
      </c>
      <c r="AE108" s="4">
        <f t="shared" si="185"/>
      </c>
      <c r="AF108" s="4">
        <f t="shared" si="186"/>
      </c>
      <c r="AG108" s="4">
        <f t="shared" si="187"/>
        <v/>
      </c>
      <c r="AH108" s="4">
        <f t="shared" si="159"/>
      </c>
      <c r="AI108" s="4">
        <f t="shared" si="188"/>
      </c>
      <c r="AJ108" s="4">
        <f t="shared" si="161"/>
      </c>
      <c r="AK108" s="4">
        <f t="shared" si="189"/>
      </c>
      <c r="AL108" s="4">
        <f t="shared" si="163"/>
      </c>
      <c r="AM108" s="4">
        <f t="shared" si="164"/>
      </c>
      <c r="AN108" s="4"/>
      <c r="AO108" s="4">
        <f t="shared" si="190"/>
      </c>
      <c r="AP108" s="4">
        <f t="shared" si="166"/>
      </c>
      <c r="AQ108" s="42">
        <f t="shared" si="191"/>
        <v/>
      </c>
      <c r="AR108" s="4">
        <f t="shared" si="168"/>
      </c>
      <c r="AS108" s="4">
        <f t="shared" si="169"/>
      </c>
      <c r="AT108" s="4">
        <f t="shared" si="170"/>
      </c>
    </row>
    <row r="109" spans="1:46" x14ac:dyDescent="0.3">
      <c r="A109" s="41">
        <f t="shared" si="142"/>
      </c>
      <c r="B109" s="4">
        <f t="shared" si="143"/>
      </c>
      <c r="C109" s="119"/>
      <c r="D109" s="119"/>
      <c r="E109" s="105"/>
      <c r="F109" s="173"/>
      <c r="G109" s="173"/>
      <c r="H109" s="173"/>
      <c r="I109" s="192"/>
      <c r="J109" s="105"/>
      <c r="K109" s="105"/>
      <c r="L109" s="105"/>
      <c r="M109" s="96">
        <f t="shared" ref="M109:M110" si="202">IFERROR(IF(VLOOKUP(AH109,Потребители_обозначение,4,FALSE)=1,VLOOKUP(AH109,Потребители_обозначение,3,FALSE)*(G109*2-1)+I109+VLOOKUP(AI109,Этаж_обозначение,3,FALSE)+VLOOKUP(AI109,Этаж_обозначение,4,FALSE),VLOOKUP(AH109,Потребители_обозначение,3,FALSE)*(G109*2-1)+I109),I109)</f>
      </c>
      <c r="N109" s="59"/>
      <c r="O109" s="164"/>
      <c r="P109" s="59">
        <f t="shared" ref="P109:P110" si="203">IF(VLOOKUP(AH109,Потребители_обозначение,5,FALSE)=2,_xlfn.IFS(H109=3,VLOOKUP(E109,Справочная_двигатели,8,FALSE),H109=1,VLOOKUP(E109,Справочная_двигатели,10,TRUE)),0.95)</f>
      </c>
      <c r="Q109" s="165"/>
      <c r="R109" s="59"/>
      <c r="S109" s="164"/>
      <c r="T109" s="5">
        <f t="shared" si="146"/>
      </c>
      <c r="U109" s="4">
        <f t="shared" si="178"/>
      </c>
      <c r="V109" s="4">
        <f t="shared" si="179"/>
      </c>
      <c r="W109" s="4">
        <f t="shared" si="180"/>
      </c>
      <c r="X109" s="4">
        <f t="shared" si="181"/>
      </c>
      <c r="Y109" s="4" cm="1">
        <f t="array" ref="Y109">_xlfn.IFS(H109=1,2,H109=3,1)</f>
      </c>
      <c r="Z109" s="4">
        <f t="shared" si="182"/>
      </c>
      <c r="AA109" s="4">
        <f t="shared" si="152"/>
      </c>
      <c r="AB109" s="4">
        <f t="shared" si="183"/>
      </c>
      <c r="AC109" s="4">
        <f t="shared" si="154"/>
      </c>
      <c r="AD109" s="4">
        <f t="shared" si="184"/>
      </c>
      <c r="AE109" s="4">
        <f t="shared" si="185"/>
      </c>
      <c r="AF109" s="4">
        <f t="shared" si="186"/>
      </c>
      <c r="AG109" s="4">
        <f t="shared" si="187"/>
        <v/>
      </c>
      <c r="AH109" s="4">
        <f t="shared" si="159"/>
      </c>
      <c r="AI109" s="4">
        <f t="shared" si="188"/>
      </c>
      <c r="AJ109" s="4">
        <f t="shared" si="161"/>
      </c>
      <c r="AK109" s="4">
        <f t="shared" si="189"/>
      </c>
      <c r="AL109" s="4">
        <f t="shared" si="163"/>
      </c>
      <c r="AM109" s="4">
        <f t="shared" si="164"/>
      </c>
      <c r="AN109" s="4"/>
      <c r="AO109" s="4">
        <f t="shared" si="190"/>
      </c>
      <c r="AP109" s="4">
        <f t="shared" si="166"/>
      </c>
      <c r="AQ109" s="42">
        <f t="shared" si="191"/>
        <v/>
      </c>
      <c r="AR109" s="4">
        <f t="shared" si="168"/>
      </c>
      <c r="AS109" s="4">
        <f t="shared" si="169"/>
      </c>
      <c r="AT109" s="4">
        <f t="shared" si="170"/>
      </c>
    </row>
    <row r="110" spans="1:46" x14ac:dyDescent="0.3">
      <c r="A110" s="41">
        <f>D110</f>
      </c>
      <c r="B110" s="4">
        <f t="shared" si="143"/>
      </c>
      <c r="C110" s="119"/>
      <c r="D110" s="119"/>
      <c r="E110" s="105"/>
      <c r="F110" s="173"/>
      <c r="G110" s="173"/>
      <c r="H110" s="173"/>
      <c r="I110" s="192"/>
      <c r="J110" s="105"/>
      <c r="K110" s="105"/>
      <c r="L110" s="105"/>
      <c r="M110" s="96">
        <f t="shared" si="202"/>
      </c>
      <c r="N110" s="100"/>
      <c r="O110" s="164"/>
      <c r="P110" s="59">
        <f t="shared" si="203"/>
      </c>
      <c r="Q110" s="165"/>
      <c r="R110" s="59"/>
      <c r="S110" s="164"/>
      <c r="T110" s="5">
        <f t="shared" si="146"/>
      </c>
      <c r="U110" s="4">
        <f t="shared" si="178"/>
      </c>
      <c r="V110" s="4">
        <f t="shared" si="179"/>
      </c>
      <c r="W110" s="4">
        <f t="shared" si="180"/>
      </c>
      <c r="X110" s="4">
        <f t="shared" si="181"/>
      </c>
      <c r="Y110" s="4" cm="1">
        <f t="array" ref="Y110">_xlfn.IFS(H110=1,2,H110=3,1)</f>
      </c>
      <c r="Z110" s="4">
        <f t="shared" si="182"/>
      </c>
      <c r="AA110" s="4">
        <f t="shared" si="152"/>
      </c>
      <c r="AB110" s="4">
        <f t="shared" si="183"/>
      </c>
      <c r="AC110" s="4">
        <f t="shared" si="154"/>
      </c>
      <c r="AD110" s="4">
        <f t="shared" si="184"/>
      </c>
      <c r="AE110" s="4">
        <f t="shared" si="185"/>
      </c>
      <c r="AF110" s="4">
        <f t="shared" si="186"/>
      </c>
      <c r="AG110" s="4">
        <f t="shared" si="187"/>
        <v/>
      </c>
      <c r="AH110" s="4">
        <f t="shared" si="159"/>
      </c>
      <c r="AI110" s="4">
        <f t="shared" si="188"/>
      </c>
      <c r="AJ110" s="4">
        <f t="shared" si="161"/>
      </c>
      <c r="AK110" s="4">
        <f t="shared" si="189"/>
      </c>
      <c r="AL110" s="4">
        <f t="shared" si="163"/>
      </c>
      <c r="AM110" s="4">
        <f t="shared" si="164"/>
      </c>
      <c r="AN110" s="4"/>
      <c r="AO110" s="4">
        <f t="shared" si="190"/>
      </c>
      <c r="AP110" s="4">
        <f t="shared" si="166"/>
      </c>
      <c r="AQ110" s="42">
        <f t="shared" si="191"/>
        <v/>
      </c>
      <c r="AR110" s="4">
        <f t="shared" si="168"/>
      </c>
      <c r="AS110" s="4">
        <f t="shared" si="169"/>
      </c>
      <c r="AT110" s="4">
        <f t="shared" si="170"/>
      </c>
    </row>
    <row r="111" spans="1:46" x14ac:dyDescent="0.3">
      <c r="A111" s="41">
        <f>D111</f>
      </c>
      <c r="B111" s="4">
        <f t="shared" si="143"/>
      </c>
      <c r="C111" s="119"/>
      <c r="D111" s="119"/>
      <c r="E111" s="105"/>
      <c r="F111" s="173"/>
      <c r="G111" s="173"/>
      <c r="H111" s="173"/>
      <c r="I111" s="192"/>
      <c r="J111" s="105"/>
      <c r="K111" s="105"/>
      <c r="L111" s="105"/>
      <c r="M111" s="96">
        <f t="shared" ref="M111:M114" si="204">IFERROR(IF(VLOOKUP(AH111,Потребители_обозначение,4,FALSE)=1,VLOOKUP(AH111,Потребители_обозначение,3,FALSE)*(G111*2-1)+I111+VLOOKUP(AI111,Этаж_обозначение,3,FALSE)+VLOOKUP(AI111,Этаж_обозначение,4,FALSE),VLOOKUP(AH111,Потребители_обозначение,3,FALSE)*(G111*2-1)+I111),I111)</f>
      </c>
      <c r="N111" s="100"/>
      <c r="O111" s="164"/>
      <c r="P111" s="59">
        <f t="shared" ref="P111:P114" si="205">IF(VLOOKUP(AH111,Потребители_обозначение,5,FALSE)=2,_xlfn.IFS(H111=3,VLOOKUP(E111,Справочная_двигатели,8,FALSE),H111=1,VLOOKUP(E111,Справочная_двигатели,10,TRUE)),0.95)</f>
      </c>
      <c r="Q111" s="165"/>
      <c r="R111" s="59"/>
      <c r="S111" s="164"/>
      <c r="T111" s="5">
        <f t="shared" si="146"/>
      </c>
      <c r="U111" s="4">
        <f t="shared" si="178"/>
      </c>
      <c r="V111" s="4">
        <f t="shared" si="179"/>
      </c>
      <c r="W111" s="4">
        <f t="shared" si="180"/>
      </c>
      <c r="X111" s="4">
        <f t="shared" si="181"/>
      </c>
      <c r="Y111" s="4" cm="1">
        <f t="array" ref="Y111">_xlfn.IFS(H111=1,2,H111=3,1)</f>
      </c>
      <c r="Z111" s="4">
        <f t="shared" si="182"/>
      </c>
      <c r="AA111" s="4">
        <f t="shared" si="152"/>
      </c>
      <c r="AB111" s="4">
        <f t="shared" si="183"/>
      </c>
      <c r="AC111" s="4">
        <f t="shared" si="154"/>
      </c>
      <c r="AD111" s="4">
        <f t="shared" si="184"/>
      </c>
      <c r="AE111" s="4">
        <f t="shared" si="185"/>
      </c>
      <c r="AF111" s="4">
        <f t="shared" si="186"/>
      </c>
      <c r="AG111" s="4">
        <f t="shared" si="187"/>
        <v/>
      </c>
      <c r="AH111" s="4">
        <f t="shared" si="159"/>
      </c>
      <c r="AI111" s="4">
        <f t="shared" si="188"/>
      </c>
      <c r="AJ111" s="4">
        <f t="shared" si="161"/>
      </c>
      <c r="AK111" s="4">
        <f t="shared" si="189"/>
      </c>
      <c r="AL111" s="4">
        <f t="shared" si="163"/>
      </c>
      <c r="AM111" s="4">
        <f t="shared" si="164"/>
      </c>
      <c r="AN111" s="4"/>
      <c r="AO111" s="4">
        <f t="shared" si="190"/>
      </c>
      <c r="AP111" s="4">
        <f t="shared" si="166"/>
      </c>
      <c r="AQ111" s="42">
        <f t="shared" si="191"/>
        <v/>
      </c>
      <c r="AR111" s="4">
        <f t="shared" si="168"/>
      </c>
      <c r="AS111" s="4">
        <f t="shared" si="169"/>
      </c>
      <c r="AT111" s="4">
        <f t="shared" si="170"/>
      </c>
    </row>
    <row r="112" spans="1:46" x14ac:dyDescent="0.3">
      <c r="A112" s="41">
        <f>D112</f>
      </c>
      <c r="B112" s="4">
        <f t="shared" si="143"/>
      </c>
      <c r="C112" s="119"/>
      <c r="D112" s="119"/>
      <c r="E112" s="105"/>
      <c r="F112" s="173"/>
      <c r="G112" s="173"/>
      <c r="H112" s="173"/>
      <c r="I112" s="192"/>
      <c r="J112" s="105"/>
      <c r="K112" s="105"/>
      <c r="L112" s="105"/>
      <c r="M112" s="96">
        <f t="shared" si="204"/>
      </c>
      <c r="N112" s="59"/>
      <c r="O112" s="164"/>
      <c r="P112" s="59">
        <f t="shared" si="205"/>
      </c>
      <c r="Q112" s="165"/>
      <c r="R112" s="59"/>
      <c r="S112" s="164"/>
      <c r="T112" s="5">
        <f t="shared" si="146"/>
      </c>
      <c r="U112" s="4">
        <f t="shared" si="178"/>
      </c>
      <c r="V112" s="4">
        <f t="shared" si="179"/>
      </c>
      <c r="W112" s="4">
        <f t="shared" si="180"/>
      </c>
      <c r="X112" s="4">
        <f t="shared" si="181"/>
      </c>
      <c r="Y112" s="4" cm="1">
        <f t="array" ref="Y112">_xlfn.IFS(H112=1,2,H112=3,1)</f>
      </c>
      <c r="Z112" s="4">
        <f t="shared" si="182"/>
      </c>
      <c r="AA112" s="4">
        <f t="shared" si="152"/>
      </c>
      <c r="AB112" s="4">
        <f t="shared" si="183"/>
      </c>
      <c r="AC112" s="4">
        <f t="shared" si="154"/>
      </c>
      <c r="AD112" s="4">
        <f t="shared" si="184"/>
      </c>
      <c r="AE112" s="4">
        <f t="shared" si="185"/>
      </c>
      <c r="AF112" s="4">
        <f t="shared" si="186"/>
      </c>
      <c r="AG112" s="4">
        <f t="shared" si="187"/>
        <v/>
      </c>
      <c r="AH112" s="4">
        <f t="shared" si="159"/>
      </c>
      <c r="AI112" s="4">
        <f t="shared" si="188"/>
      </c>
      <c r="AJ112" s="4">
        <f t="shared" si="161"/>
      </c>
      <c r="AK112" s="4">
        <f t="shared" si="189"/>
      </c>
      <c r="AL112" s="4">
        <f t="shared" si="163"/>
      </c>
      <c r="AM112" s="4">
        <f t="shared" si="164"/>
      </c>
      <c r="AN112" s="4"/>
      <c r="AO112" s="4">
        <f t="shared" si="190"/>
      </c>
      <c r="AP112" s="4">
        <f t="shared" si="166"/>
      </c>
      <c r="AQ112" s="42">
        <f t="shared" si="191"/>
        <v/>
      </c>
      <c r="AR112" s="4">
        <f t="shared" si="168"/>
      </c>
      <c r="AS112" s="4">
        <f t="shared" si="169"/>
      </c>
      <c r="AT112" s="4">
        <f t="shared" si="170"/>
      </c>
    </row>
    <row r="113" spans="1:46" x14ac:dyDescent="0.3">
      <c r="A113" s="41">
        <f>D113</f>
      </c>
      <c r="B113" s="4">
        <f t="shared" si="143"/>
      </c>
      <c r="C113" s="119"/>
      <c r="D113" s="119"/>
      <c r="E113" s="105"/>
      <c r="F113" s="173"/>
      <c r="G113" s="173"/>
      <c r="H113" s="173"/>
      <c r="I113" s="192"/>
      <c r="J113" s="105"/>
      <c r="K113" s="105"/>
      <c r="L113" s="105"/>
      <c r="M113" s="96">
        <f t="shared" si="204"/>
      </c>
      <c r="N113" s="100"/>
      <c r="O113" s="164"/>
      <c r="P113" s="59">
        <f t="shared" si="205"/>
      </c>
      <c r="Q113" s="165"/>
      <c r="R113" s="100"/>
      <c r="S113" s="164"/>
      <c r="T113" s="5">
        <f t="shared" si="146"/>
      </c>
      <c r="U113" s="4">
        <f t="shared" si="178"/>
      </c>
      <c r="V113" s="4">
        <f t="shared" si="179"/>
      </c>
      <c r="W113" s="4">
        <f t="shared" si="180"/>
      </c>
      <c r="X113" s="4">
        <f t="shared" si="181"/>
      </c>
      <c r="Y113" s="4" cm="1">
        <f t="array" ref="Y113">_xlfn.IFS(H113=1,2,H113=3,1)</f>
      </c>
      <c r="Z113" s="4">
        <f t="shared" si="182"/>
      </c>
      <c r="AA113" s="4">
        <f t="shared" si="152"/>
      </c>
      <c r="AB113" s="4">
        <f t="shared" si="183"/>
      </c>
      <c r="AC113" s="4">
        <f t="shared" si="154"/>
      </c>
      <c r="AD113" s="4">
        <f t="shared" si="184"/>
      </c>
      <c r="AE113" s="4">
        <f t="shared" si="185"/>
      </c>
      <c r="AF113" s="4">
        <f t="shared" si="186"/>
      </c>
      <c r="AG113" s="4">
        <f t="shared" si="187"/>
        <v/>
      </c>
      <c r="AH113" s="4">
        <f t="shared" si="159"/>
      </c>
      <c r="AI113" s="4">
        <f t="shared" si="188"/>
      </c>
      <c r="AJ113" s="4">
        <f t="shared" si="161"/>
      </c>
      <c r="AK113" s="4">
        <f t="shared" si="189"/>
      </c>
      <c r="AL113" s="4">
        <f t="shared" si="163"/>
      </c>
      <c r="AM113" s="4">
        <f t="shared" si="164"/>
      </c>
      <c r="AN113" s="4"/>
      <c r="AO113" s="4">
        <f t="shared" si="190"/>
      </c>
      <c r="AP113" s="4">
        <f t="shared" si="166"/>
      </c>
      <c r="AQ113" s="42">
        <f t="shared" si="191"/>
        <v/>
      </c>
      <c r="AR113" s="4">
        <f t="shared" si="168"/>
      </c>
      <c r="AS113" s="4">
        <f t="shared" si="169"/>
      </c>
      <c r="AT113" s="4">
        <f t="shared" si="170"/>
      </c>
    </row>
    <row r="114" spans="1:46" x14ac:dyDescent="0.3">
      <c r="A114" s="41">
        <f t="shared" si="142"/>
      </c>
      <c r="B114" s="4">
        <f t="shared" si="143"/>
      </c>
      <c r="C114" s="119"/>
      <c r="D114" s="119"/>
      <c r="E114" s="105"/>
      <c r="F114" s="173"/>
      <c r="G114" s="173"/>
      <c r="H114" s="173"/>
      <c r="I114" s="192"/>
      <c r="J114" s="105"/>
      <c r="K114" s="105"/>
      <c r="L114" s="105"/>
      <c r="M114" s="96">
        <f t="shared" si="204"/>
      </c>
      <c r="N114" s="100"/>
      <c r="O114" s="164"/>
      <c r="P114" s="59">
        <f t="shared" si="205"/>
      </c>
      <c r="Q114" s="165"/>
      <c r="R114" s="100"/>
      <c r="S114" s="164"/>
      <c r="T114" s="5">
        <f t="shared" si="146"/>
      </c>
      <c r="U114" s="4">
        <f t="shared" si="178"/>
      </c>
      <c r="V114" s="4">
        <f t="shared" si="179"/>
      </c>
      <c r="W114" s="4">
        <f t="shared" si="180"/>
      </c>
      <c r="X114" s="4">
        <f t="shared" si="181"/>
      </c>
      <c r="Y114" s="4" cm="1">
        <f t="array" ref="Y114">_xlfn.IFS(H114=1,2,H114=3,1)</f>
      </c>
      <c r="Z114" s="4">
        <f t="shared" si="182"/>
      </c>
      <c r="AA114" s="4">
        <f t="shared" si="152"/>
      </c>
      <c r="AB114" s="4">
        <f t="shared" si="183"/>
      </c>
      <c r="AC114" s="4">
        <f t="shared" si="154"/>
      </c>
      <c r="AD114" s="4">
        <f t="shared" si="184"/>
      </c>
      <c r="AE114" s="4">
        <f t="shared" si="185"/>
      </c>
      <c r="AF114" s="4">
        <f t="shared" si="186"/>
      </c>
      <c r="AG114" s="4">
        <f t="shared" si="187"/>
        <v/>
      </c>
      <c r="AH114" s="4">
        <f t="shared" si="159"/>
      </c>
      <c r="AI114" s="4">
        <f t="shared" si="188"/>
      </c>
      <c r="AJ114" s="4">
        <f t="shared" si="161"/>
      </c>
      <c r="AK114" s="4">
        <f t="shared" si="189"/>
      </c>
      <c r="AL114" s="4">
        <f t="shared" si="163"/>
      </c>
      <c r="AM114" s="4">
        <f t="shared" si="164"/>
      </c>
      <c r="AN114" s="4"/>
      <c r="AO114" s="4">
        <f t="shared" si="190"/>
      </c>
      <c r="AP114" s="4">
        <f t="shared" si="166"/>
      </c>
      <c r="AQ114" s="42">
        <f t="shared" si="191"/>
        <v/>
      </c>
      <c r="AR114" s="4">
        <f t="shared" si="168"/>
      </c>
      <c r="AS114" s="4">
        <f t="shared" si="169"/>
      </c>
      <c r="AT114" s="4">
        <f t="shared" si="170"/>
      </c>
    </row>
    <row r="115" spans="1:46" x14ac:dyDescent="0.3">
      <c r="A115" s="41">
        <f t="shared" si="142"/>
      </c>
      <c r="B115" s="4">
        <f t="shared" si="143"/>
      </c>
      <c r="C115" s="119"/>
      <c r="D115" s="119"/>
      <c r="E115" s="105"/>
      <c r="F115" s="173"/>
      <c r="G115" s="173"/>
      <c r="H115" s="173"/>
      <c r="I115" s="192"/>
      <c r="J115" s="105"/>
      <c r="K115" s="105"/>
      <c r="L115" s="105"/>
      <c r="M115" s="96">
        <f t="shared" ref="M115" si="206">IFERROR(IF(VLOOKUP(AH115,Потребители_обозначение,4,FALSE)=1,VLOOKUP(AH115,Потребители_обозначение,3,FALSE)*(G115*2-1)+I115+VLOOKUP(AI115,Этаж_обозначение,3,FALSE)+VLOOKUP(AI115,Этаж_обозначение,4,FALSE),VLOOKUP(AH115,Потребители_обозначение,3,FALSE)*(G115*2-1)+I115),I115)</f>
      </c>
      <c r="N115" s="100"/>
      <c r="O115" s="164"/>
      <c r="P115" s="59">
        <f t="shared" ref="P115" si="207">IF(VLOOKUP(AH115,Потребители_обозначение,5,FALSE)=2,_xlfn.IFS(H115=3,VLOOKUP(E115,Справочная_двигатели,8,FALSE),H115=1,VLOOKUP(E115,Справочная_двигатели,10,TRUE)),0.95)</f>
      </c>
      <c r="Q115" s="165"/>
      <c r="R115" s="100"/>
      <c r="S115" s="164"/>
      <c r="T115" s="5">
        <f t="shared" si="146"/>
      </c>
      <c r="U115" s="4">
        <f t="shared" si="178"/>
      </c>
      <c r="V115" s="4">
        <f t="shared" si="179"/>
      </c>
      <c r="W115" s="4">
        <f t="shared" si="180"/>
      </c>
      <c r="X115" s="4">
        <f t="shared" si="181"/>
      </c>
      <c r="Y115" s="4" cm="1">
        <f t="array" ref="Y115">_xlfn.IFS(H115=1,2,H115=3,1)</f>
      </c>
      <c r="Z115" s="4">
        <f t="shared" si="182"/>
      </c>
      <c r="AA115" s="4">
        <f t="shared" si="152"/>
      </c>
      <c r="AB115" s="4">
        <f t="shared" si="183"/>
      </c>
      <c r="AC115" s="4">
        <f t="shared" si="154"/>
      </c>
      <c r="AD115" s="4">
        <f t="shared" si="184"/>
      </c>
      <c r="AE115" s="4">
        <f t="shared" si="185"/>
      </c>
      <c r="AF115" s="4">
        <f t="shared" si="186"/>
      </c>
      <c r="AG115" s="4">
        <f t="shared" si="187"/>
        <v/>
      </c>
      <c r="AH115" s="4">
        <f t="shared" si="159"/>
      </c>
      <c r="AI115" s="4">
        <f t="shared" si="188"/>
      </c>
      <c r="AJ115" s="4">
        <f t="shared" si="161"/>
      </c>
      <c r="AK115" s="4">
        <f t="shared" si="189"/>
      </c>
      <c r="AL115" s="4">
        <f t="shared" si="163"/>
      </c>
      <c r="AM115" s="4">
        <f t="shared" si="164"/>
      </c>
      <c r="AN115" s="4"/>
      <c r="AO115" s="4">
        <f t="shared" si="190"/>
      </c>
      <c r="AP115" s="4">
        <f t="shared" si="166"/>
      </c>
      <c r="AQ115" s="42">
        <f t="shared" si="191"/>
        <v/>
      </c>
      <c r="AR115" s="4">
        <f t="shared" si="168"/>
      </c>
      <c r="AS115" s="4">
        <f t="shared" si="169"/>
      </c>
      <c r="AT115" s="4">
        <f t="shared" si="170"/>
      </c>
    </row>
    <row r="116" spans="1:46" x14ac:dyDescent="0.3">
      <c r="A116" s="41">
        <f t="shared" si="142"/>
      </c>
      <c r="B116" s="4">
        <f t="shared" si="143"/>
      </c>
      <c r="C116" s="119"/>
      <c r="D116" s="119"/>
      <c r="E116" s="105"/>
      <c r="F116" s="173"/>
      <c r="G116" s="173"/>
      <c r="H116" s="173"/>
      <c r="I116" s="192"/>
      <c r="J116" s="105"/>
      <c r="K116" s="105"/>
      <c r="L116" s="105"/>
      <c r="M116" s="96">
        <f t="shared" ref="M116:M117" si="208">IFERROR(IF(VLOOKUP(AH116,Потребители_обозначение,4,FALSE)=1,VLOOKUP(AH116,Потребители_обозначение,3,FALSE)*(G116*2-1)+I116+VLOOKUP(AI116,Этаж_обозначение,3,FALSE)+VLOOKUP(AI116,Этаж_обозначение,4,FALSE),VLOOKUP(AH116,Потребители_обозначение,3,FALSE)*(G116*2-1)+I116),I116)</f>
      </c>
      <c r="N116" s="59"/>
      <c r="O116" s="164"/>
      <c r="P116" s="59">
        <f t="shared" ref="P116:P117" si="209">IF(VLOOKUP(AH116,Потребители_обозначение,5,FALSE)=2,_xlfn.IFS(H116=3,VLOOKUP(E116,Справочная_двигатели,8,FALSE),H116=1,VLOOKUP(E116,Справочная_двигатели,10,TRUE)),0.95)</f>
      </c>
      <c r="Q116" s="165"/>
      <c r="R116" s="59"/>
      <c r="S116" s="164"/>
      <c r="T116" s="5">
        <f t="shared" si="146"/>
      </c>
      <c r="U116" s="4">
        <f t="shared" si="178"/>
      </c>
      <c r="V116" s="4">
        <f t="shared" si="179"/>
      </c>
      <c r="W116" s="4">
        <f t="shared" si="180"/>
      </c>
      <c r="X116" s="4">
        <f t="shared" si="181"/>
      </c>
      <c r="Y116" s="4" cm="1">
        <f t="array" ref="Y116">_xlfn.IFS(H116=1,2,H116=3,1)</f>
      </c>
      <c r="Z116" s="4">
        <f t="shared" si="182"/>
      </c>
      <c r="AA116" s="4">
        <f t="shared" si="152"/>
      </c>
      <c r="AB116" s="4">
        <f t="shared" si="183"/>
      </c>
      <c r="AC116" s="4">
        <f t="shared" si="154"/>
      </c>
      <c r="AD116" s="4">
        <f t="shared" si="184"/>
      </c>
      <c r="AE116" s="4">
        <f t="shared" si="185"/>
      </c>
      <c r="AF116" s="4">
        <f t="shared" si="186"/>
      </c>
      <c r="AG116" s="4">
        <f t="shared" si="187"/>
        <v/>
      </c>
      <c r="AH116" s="4">
        <f t="shared" si="159"/>
      </c>
      <c r="AI116" s="4">
        <f t="shared" si="188"/>
      </c>
      <c r="AJ116" s="4">
        <f t="shared" si="161"/>
      </c>
      <c r="AK116" s="4">
        <f t="shared" si="189"/>
      </c>
      <c r="AL116" s="4">
        <f t="shared" si="163"/>
      </c>
      <c r="AM116" s="4">
        <f t="shared" si="164"/>
      </c>
      <c r="AN116" s="4"/>
      <c r="AO116" s="4">
        <f t="shared" si="190"/>
      </c>
      <c r="AP116" s="4">
        <f t="shared" si="166"/>
      </c>
      <c r="AQ116" s="42">
        <f t="shared" si="191"/>
        <v/>
      </c>
      <c r="AR116" s="4">
        <f t="shared" si="168"/>
      </c>
      <c r="AS116" s="4">
        <f t="shared" si="169"/>
      </c>
      <c r="AT116" s="4">
        <f t="shared" si="170"/>
      </c>
    </row>
    <row r="117" spans="1:46" x14ac:dyDescent="0.3">
      <c r="A117" s="41">
        <f t="shared" si="142"/>
      </c>
      <c r="B117" s="4">
        <f t="shared" si="143"/>
      </c>
      <c r="C117" s="119"/>
      <c r="D117" s="119"/>
      <c r="E117" s="105"/>
      <c r="F117" s="173"/>
      <c r="G117" s="173"/>
      <c r="H117" s="173"/>
      <c r="I117" s="192"/>
      <c r="J117" s="105"/>
      <c r="K117" s="105"/>
      <c r="L117" s="105"/>
      <c r="M117" s="96">
        <f t="shared" si="208"/>
      </c>
      <c r="N117" s="100"/>
      <c r="O117" s="164"/>
      <c r="P117" s="59">
        <f t="shared" si="209"/>
      </c>
      <c r="Q117" s="165"/>
      <c r="R117" s="59"/>
      <c r="S117" s="164"/>
      <c r="T117" s="5">
        <f t="shared" si="146"/>
      </c>
      <c r="U117" s="4">
        <f t="shared" si="178"/>
      </c>
      <c r="V117" s="4">
        <f t="shared" si="179"/>
      </c>
      <c r="W117" s="4">
        <f t="shared" si="180"/>
      </c>
      <c r="X117" s="4">
        <f t="shared" si="181"/>
      </c>
      <c r="Y117" s="4" cm="1">
        <f t="array" ref="Y117">_xlfn.IFS(H117=1,2,H117=3,1)</f>
      </c>
      <c r="Z117" s="4">
        <f t="shared" si="182"/>
      </c>
      <c r="AA117" s="4">
        <f t="shared" si="152"/>
      </c>
      <c r="AB117" s="4">
        <f t="shared" si="183"/>
      </c>
      <c r="AC117" s="4">
        <f t="shared" si="154"/>
      </c>
      <c r="AD117" s="4">
        <f t="shared" si="184"/>
      </c>
      <c r="AE117" s="4">
        <f t="shared" si="185"/>
      </c>
      <c r="AF117" s="4">
        <f t="shared" si="186"/>
      </c>
      <c r="AG117" s="4">
        <f t="shared" si="187"/>
        <v/>
      </c>
      <c r="AH117" s="4">
        <f t="shared" si="159"/>
      </c>
      <c r="AI117" s="4">
        <f t="shared" si="188"/>
      </c>
      <c r="AJ117" s="4">
        <f t="shared" si="161"/>
      </c>
      <c r="AK117" s="4">
        <f t="shared" si="189"/>
      </c>
      <c r="AL117" s="4">
        <f t="shared" si="163"/>
      </c>
      <c r="AM117" s="4">
        <f t="shared" si="164"/>
      </c>
      <c r="AN117" s="4"/>
      <c r="AO117" s="4">
        <f t="shared" si="190"/>
      </c>
      <c r="AP117" s="4">
        <f t="shared" si="166"/>
      </c>
      <c r="AQ117" s="42">
        <f t="shared" si="191"/>
        <v/>
      </c>
      <c r="AR117" s="4">
        <f t="shared" si="168"/>
      </c>
      <c r="AS117" s="4">
        <f t="shared" si="169"/>
      </c>
      <c r="AT117" s="4">
        <f t="shared" si="170"/>
      </c>
    </row>
    <row r="118" spans="1:46" x14ac:dyDescent="0.3">
      <c r="A118" s="41">
        <f t="shared" si="142"/>
      </c>
      <c r="B118" s="4">
        <f t="shared" si="143"/>
      </c>
      <c r="C118" s="119"/>
      <c r="D118" s="119"/>
      <c r="E118" s="105"/>
      <c r="F118" s="173"/>
      <c r="G118" s="173"/>
      <c r="H118" s="173"/>
      <c r="I118" s="192"/>
      <c r="J118" s="105"/>
      <c r="K118" s="105"/>
      <c r="L118" s="105"/>
      <c r="M118" s="96">
        <f t="shared" ref="M118" si="210">IFERROR(IF(VLOOKUP(AH118,Потребители_обозначение,4,FALSE)=1,VLOOKUP(AH118,Потребители_обозначение,3,FALSE)*(G118*2-1)+I118+VLOOKUP(AI118,Этаж_обозначение,3,FALSE)+VLOOKUP(AI118,Этаж_обозначение,4,FALSE),VLOOKUP(AH118,Потребители_обозначение,3,FALSE)*(G118*2-1)+I118),I118)</f>
      </c>
      <c r="N118" s="100"/>
      <c r="O118" s="164"/>
      <c r="P118" s="59">
        <f t="shared" ref="P118" si="211">IF(VLOOKUP(AH118,Потребители_обозначение,5,FALSE)=2,_xlfn.IFS(H118=3,VLOOKUP(E118,Справочная_двигатели,8,FALSE),H118=1,VLOOKUP(E118,Справочная_двигатели,10,TRUE)),0.95)</f>
      </c>
      <c r="Q118" s="165"/>
      <c r="R118" s="100"/>
      <c r="S118" s="164"/>
      <c r="T118" s="5">
        <f t="shared" si="146"/>
      </c>
      <c r="U118" s="4">
        <f t="shared" si="178"/>
      </c>
      <c r="V118" s="4">
        <f t="shared" si="179"/>
      </c>
      <c r="W118" s="4">
        <f t="shared" si="180"/>
      </c>
      <c r="X118" s="4">
        <f t="shared" si="181"/>
      </c>
      <c r="Y118" s="4" cm="1">
        <f t="array" ref="Y118">_xlfn.IFS(H118=1,2,H118=3,1)</f>
      </c>
      <c r="Z118" s="4">
        <f t="shared" si="182"/>
      </c>
      <c r="AA118" s="4">
        <f t="shared" si="152"/>
      </c>
      <c r="AB118" s="4">
        <f t="shared" si="183"/>
      </c>
      <c r="AC118" s="4">
        <f t="shared" si="154"/>
      </c>
      <c r="AD118" s="4">
        <f t="shared" si="184"/>
      </c>
      <c r="AE118" s="4">
        <f t="shared" si="185"/>
      </c>
      <c r="AF118" s="4">
        <f t="shared" si="186"/>
      </c>
      <c r="AG118" s="4">
        <f t="shared" si="187"/>
        <v/>
      </c>
      <c r="AH118" s="4">
        <f t="shared" si="159"/>
      </c>
      <c r="AI118" s="4">
        <f t="shared" si="188"/>
      </c>
      <c r="AJ118" s="4">
        <f t="shared" si="161"/>
      </c>
      <c r="AK118" s="4">
        <f t="shared" si="189"/>
      </c>
      <c r="AL118" s="4">
        <f t="shared" si="163"/>
      </c>
      <c r="AM118" s="4">
        <f t="shared" si="164"/>
      </c>
      <c r="AN118" s="4"/>
      <c r="AO118" s="4">
        <f t="shared" si="190"/>
      </c>
      <c r="AP118" s="4">
        <f t="shared" si="166"/>
      </c>
      <c r="AQ118" s="42">
        <f t="shared" si="191"/>
        <v/>
      </c>
      <c r="AR118" s="4">
        <f t="shared" si="168"/>
      </c>
      <c r="AS118" s="4">
        <f t="shared" si="169"/>
      </c>
      <c r="AT118" s="4">
        <f t="shared" si="170"/>
      </c>
    </row>
    <row r="119" spans="1:46" x14ac:dyDescent="0.3">
      <c r="A119" s="41">
        <f t="shared" si="142"/>
      </c>
      <c r="B119" s="4">
        <f t="shared" si="143"/>
      </c>
      <c r="C119" s="119"/>
      <c r="D119" s="119"/>
      <c r="E119" s="105"/>
      <c r="F119" s="173"/>
      <c r="G119" s="173"/>
      <c r="H119" s="173"/>
      <c r="I119" s="192"/>
      <c r="J119" s="105"/>
      <c r="K119" s="105"/>
      <c r="L119" s="105"/>
      <c r="M119" s="96">
        <f t="shared" ref="M119:M125" si="212">IFERROR(IF(VLOOKUP(AH119,Потребители_обозначение,4,FALSE)=1,VLOOKUP(AH119,Потребители_обозначение,3,FALSE)*(G119*2-1)+I119+VLOOKUP(AI119,Этаж_обозначение,3,FALSE)+VLOOKUP(AI119,Этаж_обозначение,4,FALSE),VLOOKUP(AH119,Потребители_обозначение,3,FALSE)*(G119*2-1)+I119),I119)</f>
      </c>
      <c r="N119" s="100"/>
      <c r="O119" s="164"/>
      <c r="P119" s="59">
        <f t="shared" ref="P119:P125" si="213">IF(VLOOKUP(AH119,Потребители_обозначение,5,FALSE)=2,_xlfn.IFS(H119=3,VLOOKUP(E119,Справочная_двигатели,8,FALSE),H119=1,VLOOKUP(E119,Справочная_двигатели,10,TRUE)),0.95)</f>
      </c>
      <c r="Q119" s="165"/>
      <c r="R119" s="100"/>
      <c r="S119" s="164"/>
      <c r="T119" s="5">
        <f t="shared" si="146"/>
      </c>
      <c r="U119" s="4">
        <f t="shared" si="178"/>
      </c>
      <c r="V119" s="4">
        <f t="shared" si="179"/>
      </c>
      <c r="W119" s="4">
        <f t="shared" si="180"/>
      </c>
      <c r="X119" s="4">
        <f t="shared" si="181"/>
      </c>
      <c r="Y119" s="4" cm="1">
        <f t="array" ref="Y119">_xlfn.IFS(H119=1,2,H119=3,1)</f>
      </c>
      <c r="Z119" s="4">
        <f t="shared" si="182"/>
      </c>
      <c r="AA119" s="4">
        <f t="shared" si="152"/>
      </c>
      <c r="AB119" s="4">
        <f t="shared" si="183"/>
      </c>
      <c r="AC119" s="4">
        <f t="shared" si="154"/>
      </c>
      <c r="AD119" s="4">
        <f t="shared" si="184"/>
      </c>
      <c r="AE119" s="4">
        <f t="shared" si="185"/>
      </c>
      <c r="AF119" s="4">
        <f t="shared" si="186"/>
      </c>
      <c r="AG119" s="4">
        <f t="shared" si="187"/>
        <v/>
      </c>
      <c r="AH119" s="4">
        <f t="shared" si="159"/>
      </c>
      <c r="AI119" s="4">
        <f t="shared" si="188"/>
      </c>
      <c r="AJ119" s="4">
        <f t="shared" si="161"/>
      </c>
      <c r="AK119" s="4">
        <f t="shared" si="189"/>
      </c>
      <c r="AL119" s="4">
        <f t="shared" si="163"/>
      </c>
      <c r="AM119" s="4">
        <f t="shared" si="164"/>
      </c>
      <c r="AN119" s="4"/>
      <c r="AO119" s="4">
        <f t="shared" si="190"/>
      </c>
      <c r="AP119" s="4">
        <f t="shared" si="166"/>
      </c>
      <c r="AQ119" s="42">
        <f t="shared" si="191"/>
        <v/>
      </c>
      <c r="AR119" s="4">
        <f t="shared" si="168"/>
      </c>
      <c r="AS119" s="4">
        <f t="shared" si="169"/>
      </c>
      <c r="AT119" s="4">
        <f t="shared" si="170"/>
      </c>
    </row>
    <row r="120" spans="1:46" x14ac:dyDescent="0.3">
      <c r="A120" s="41">
        <f t="shared" si="142"/>
      </c>
      <c r="B120" s="4">
        <f t="shared" si="143"/>
      </c>
      <c r="C120" s="119"/>
      <c r="D120" s="119"/>
      <c r="E120" s="105"/>
      <c r="F120" s="173"/>
      <c r="G120" s="173"/>
      <c r="H120" s="173"/>
      <c r="I120" s="192"/>
      <c r="J120" s="105"/>
      <c r="K120" s="105"/>
      <c r="L120" s="105"/>
      <c r="M120" s="96">
        <f t="shared" si="212"/>
      </c>
      <c r="N120" s="100"/>
      <c r="O120" s="164"/>
      <c r="P120" s="59">
        <f t="shared" si="213"/>
      </c>
      <c r="Q120" s="165"/>
      <c r="R120" s="100"/>
      <c r="S120" s="164"/>
      <c r="T120" s="5">
        <f t="shared" si="146"/>
      </c>
      <c r="U120" s="4">
        <f t="shared" si="178"/>
      </c>
      <c r="V120" s="4">
        <f t="shared" si="179"/>
      </c>
      <c r="W120" s="4">
        <f t="shared" si="180"/>
      </c>
      <c r="X120" s="4">
        <f t="shared" si="181"/>
      </c>
      <c r="Y120" s="4" cm="1">
        <f t="array" ref="Y120">_xlfn.IFS(H120=1,2,H120=3,1)</f>
      </c>
      <c r="Z120" s="4">
        <f t="shared" si="182"/>
      </c>
      <c r="AA120" s="4">
        <f t="shared" si="152"/>
      </c>
      <c r="AB120" s="4">
        <f t="shared" si="183"/>
      </c>
      <c r="AC120" s="4">
        <f t="shared" si="154"/>
      </c>
      <c r="AD120" s="4">
        <f t="shared" si="184"/>
      </c>
      <c r="AE120" s="4">
        <f t="shared" si="185"/>
      </c>
      <c r="AF120" s="4">
        <f t="shared" si="186"/>
      </c>
      <c r="AG120" s="4">
        <f t="shared" si="187"/>
        <v/>
      </c>
      <c r="AH120" s="4">
        <f t="shared" si="159"/>
      </c>
      <c r="AI120" s="4">
        <f t="shared" si="188"/>
      </c>
      <c r="AJ120" s="4">
        <f t="shared" si="161"/>
      </c>
      <c r="AK120" s="4">
        <f t="shared" si="189"/>
      </c>
      <c r="AL120" s="4">
        <f t="shared" si="163"/>
      </c>
      <c r="AM120" s="4">
        <f t="shared" si="164"/>
      </c>
      <c r="AN120" s="4"/>
      <c r="AO120" s="4">
        <f t="shared" si="190"/>
      </c>
      <c r="AP120" s="4">
        <f t="shared" si="166"/>
      </c>
      <c r="AQ120" s="42">
        <f t="shared" si="191"/>
        <v/>
      </c>
      <c r="AR120" s="4">
        <f t="shared" si="168"/>
      </c>
      <c r="AS120" s="4">
        <f t="shared" si="169"/>
      </c>
      <c r="AT120" s="4">
        <f t="shared" si="170"/>
      </c>
    </row>
    <row r="121" spans="1:46" ht="15" thickBot="1" x14ac:dyDescent="0.35">
      <c r="A121" s="43">
        <f t="shared" si="142"/>
      </c>
      <c r="B121" s="44">
        <f t="shared" si="143"/>
      </c>
      <c r="C121" s="175"/>
      <c r="D121" s="175"/>
      <c r="E121" s="176"/>
      <c r="F121" s="178"/>
      <c r="G121" s="178"/>
      <c r="H121" s="178"/>
      <c r="I121" s="192"/>
      <c r="J121" s="176"/>
      <c r="K121" s="176"/>
      <c r="L121" s="176"/>
      <c r="M121" s="44">
        <f t="shared" si="212"/>
      </c>
      <c r="N121" s="64"/>
      <c r="O121" s="166"/>
      <c r="P121" s="64">
        <f t="shared" si="213"/>
      </c>
      <c r="Q121" s="170"/>
      <c r="R121" s="64"/>
      <c r="S121" s="166"/>
      <c r="T121" s="45">
        <f t="shared" si="146"/>
      </c>
      <c r="U121" s="44">
        <f t="shared" si="178"/>
      </c>
      <c r="V121" s="44">
        <f t="shared" si="179"/>
      </c>
      <c r="W121" s="44">
        <f t="shared" si="180"/>
      </c>
      <c r="X121" s="44">
        <f t="shared" si="181"/>
      </c>
      <c r="Y121" s="44" cm="1">
        <f t="array" ref="Y121">_xlfn.IFS(H121=1,2,H121=3,1)</f>
      </c>
      <c r="Z121" s="44">
        <f t="shared" si="182"/>
      </c>
      <c r="AA121" s="44">
        <f t="shared" si="152"/>
      </c>
      <c r="AB121" s="44">
        <f t="shared" si="183"/>
      </c>
      <c r="AC121" s="44">
        <f t="shared" si="154"/>
      </c>
      <c r="AD121" s="44">
        <f t="shared" si="184"/>
      </c>
      <c r="AE121" s="44">
        <f t="shared" si="185"/>
      </c>
      <c r="AF121" s="44">
        <f t="shared" si="186"/>
      </c>
      <c r="AG121" s="44">
        <f t="shared" si="187"/>
        <v/>
      </c>
      <c r="AH121" s="44">
        <f t="shared" si="159"/>
      </c>
      <c r="AI121" s="44">
        <f t="shared" si="188"/>
      </c>
      <c r="AJ121" s="44">
        <f t="shared" si="161"/>
      </c>
      <c r="AK121" s="44">
        <f t="shared" si="189"/>
      </c>
      <c r="AL121" s="44">
        <f t="shared" si="163"/>
      </c>
      <c r="AM121" s="44">
        <f t="shared" si="164"/>
      </c>
      <c r="AN121" s="44"/>
      <c r="AO121" s="44">
        <f t="shared" si="190"/>
      </c>
      <c r="AP121" s="44">
        <f t="shared" si="166"/>
      </c>
      <c r="AQ121" s="46">
        <f t="shared" si="191"/>
        <v/>
      </c>
      <c r="AR121" s="44">
        <f t="shared" si="168"/>
      </c>
      <c r="AS121" s="44">
        <f t="shared" si="169"/>
      </c>
      <c r="AT121" s="44">
        <f t="shared" si="170"/>
      </c>
    </row>
    <row r="122" spans="1:46" x14ac:dyDescent="0.3">
      <c r="A122" s="19">
        <f t="shared" si="142"/>
      </c>
      <c r="B122" s="7">
        <f t="shared" si="143"/>
      </c>
      <c r="C122" s="177"/>
      <c r="D122" s="119"/>
      <c r="E122" s="105"/>
      <c r="F122" s="173"/>
      <c r="G122" s="173"/>
      <c r="H122" s="173"/>
      <c r="I122" s="192"/>
      <c r="J122" s="105"/>
      <c r="K122" s="105"/>
      <c r="L122" s="105"/>
      <c r="M122" s="96">
        <f t="shared" si="212"/>
      </c>
      <c r="N122" s="59"/>
      <c r="O122" s="164"/>
      <c r="P122" s="59">
        <f t="shared" si="213"/>
      </c>
      <c r="Q122" s="165"/>
      <c r="R122" s="59"/>
      <c r="S122" s="164"/>
      <c r="T122" s="19">
        <f t="shared" si="146"/>
      </c>
      <c r="U122" s="7">
        <f t="shared" si="178"/>
      </c>
      <c r="V122" s="7">
        <f t="shared" si="179"/>
      </c>
      <c r="W122" s="7">
        <f t="shared" si="180"/>
      </c>
      <c r="X122" s="7">
        <f t="shared" si="181"/>
      </c>
      <c r="Y122" s="7" cm="1">
        <f t="array" ref="Y122">_xlfn.IFS(H122=1,2,H122=3,1)</f>
      </c>
      <c r="Z122" s="7">
        <f t="shared" si="182"/>
      </c>
      <c r="AA122" s="7">
        <f t="shared" si="152"/>
      </c>
      <c r="AB122" s="7">
        <f t="shared" si="183"/>
      </c>
      <c r="AC122" s="7">
        <f t="shared" si="154"/>
      </c>
      <c r="AD122" s="7">
        <f t="shared" si="184"/>
      </c>
      <c r="AE122" s="7">
        <f t="shared" si="185"/>
      </c>
      <c r="AF122" s="7">
        <f t="shared" si="186"/>
      </c>
      <c r="AG122" s="7">
        <f t="shared" si="187"/>
        <v/>
      </c>
      <c r="AH122" s="7">
        <f t="shared" si="159"/>
      </c>
      <c r="AI122" s="7">
        <f t="shared" si="188"/>
      </c>
      <c r="AJ122" s="7">
        <f t="shared" si="161"/>
      </c>
      <c r="AK122" s="7">
        <f t="shared" si="189"/>
      </c>
      <c r="AL122" s="7">
        <f t="shared" si="163"/>
      </c>
      <c r="AM122" s="7">
        <f t="shared" si="164"/>
      </c>
      <c r="AN122" s="7"/>
      <c r="AO122" s="7">
        <f t="shared" si="190"/>
      </c>
      <c r="AP122" s="7">
        <f t="shared" si="166"/>
      </c>
      <c r="AQ122" s="7">
        <f t="shared" si="191"/>
        <v/>
      </c>
      <c r="AR122" s="38">
        <f t="shared" si="168"/>
      </c>
      <c r="AS122" s="38">
        <f t="shared" si="169"/>
      </c>
      <c r="AT122" s="38">
        <f t="shared" si="170"/>
      </c>
    </row>
    <row r="123" spans="1:46" x14ac:dyDescent="0.3">
      <c r="A123" s="5">
        <f t="shared" si="142"/>
      </c>
      <c r="B123" s="4">
        <f t="shared" si="143"/>
      </c>
      <c r="C123" s="119"/>
      <c r="D123" s="119"/>
      <c r="E123" s="105"/>
      <c r="F123" s="173"/>
      <c r="G123" s="173"/>
      <c r="H123" s="173"/>
      <c r="I123" s="192"/>
      <c r="J123" s="105"/>
      <c r="K123" s="105"/>
      <c r="L123" s="105"/>
      <c r="M123" s="96">
        <f t="shared" si="212"/>
      </c>
      <c r="N123" s="100"/>
      <c r="O123" s="164"/>
      <c r="P123" s="59">
        <f t="shared" si="213"/>
      </c>
      <c r="Q123" s="165"/>
      <c r="R123" s="100"/>
      <c r="S123" s="164"/>
      <c r="T123" s="5">
        <f t="shared" si="146"/>
      </c>
      <c r="U123" s="4">
        <f t="shared" si="178"/>
      </c>
      <c r="V123" s="4">
        <f t="shared" si="179"/>
      </c>
      <c r="W123" s="4">
        <f t="shared" si="180"/>
      </c>
      <c r="X123" s="4">
        <f t="shared" si="181"/>
      </c>
      <c r="Y123" s="4" cm="1">
        <f t="array" ref="Y123">_xlfn.IFS(H123=1,2,H123=3,1)</f>
      </c>
      <c r="Z123" s="4">
        <f t="shared" si="182"/>
      </c>
      <c r="AA123" s="4">
        <f t="shared" si="152"/>
      </c>
      <c r="AB123" s="4">
        <f t="shared" si="183"/>
      </c>
      <c r="AC123" s="4">
        <f t="shared" si="154"/>
      </c>
      <c r="AD123" s="4">
        <f t="shared" si="184"/>
      </c>
      <c r="AE123" s="4">
        <f t="shared" si="185"/>
      </c>
      <c r="AF123" s="4">
        <f t="shared" si="186"/>
      </c>
      <c r="AG123" s="4">
        <f t="shared" si="187"/>
        <v/>
      </c>
      <c r="AH123" s="4">
        <f t="shared" si="159"/>
      </c>
      <c r="AI123" s="4">
        <f t="shared" si="188"/>
      </c>
      <c r="AJ123" s="4">
        <f t="shared" si="161"/>
      </c>
      <c r="AK123" s="4">
        <f t="shared" si="189"/>
      </c>
      <c r="AL123" s="4">
        <f t="shared" si="163"/>
      </c>
      <c r="AM123" s="4">
        <f t="shared" si="164"/>
      </c>
      <c r="AN123" s="4"/>
      <c r="AO123" s="4">
        <f t="shared" si="190"/>
      </c>
      <c r="AP123" s="4">
        <f t="shared" si="166"/>
      </c>
      <c r="AQ123" s="4">
        <f t="shared" si="191"/>
        <v/>
      </c>
      <c r="AR123" s="4">
        <f t="shared" si="168"/>
      </c>
      <c r="AS123" s="4">
        <f t="shared" si="169"/>
      </c>
      <c r="AT123" s="4">
        <f t="shared" si="170"/>
      </c>
    </row>
    <row r="124" spans="1:46" x14ac:dyDescent="0.3">
      <c r="A124" s="5">
        <f t="shared" si="142"/>
      </c>
      <c r="B124" s="4">
        <f t="shared" si="143"/>
      </c>
      <c r="C124" s="119"/>
      <c r="D124" s="119"/>
      <c r="E124" s="105"/>
      <c r="F124" s="173"/>
      <c r="G124" s="173"/>
      <c r="H124" s="173"/>
      <c r="I124" s="192"/>
      <c r="J124" s="105"/>
      <c r="K124" s="105"/>
      <c r="L124" s="105"/>
      <c r="M124" s="96">
        <f t="shared" si="212"/>
      </c>
      <c r="N124" s="100"/>
      <c r="O124" s="164"/>
      <c r="P124" s="59">
        <f t="shared" si="213"/>
      </c>
      <c r="Q124" s="165"/>
      <c r="R124" s="100"/>
      <c r="S124" s="164"/>
      <c r="T124" s="5">
        <f t="shared" si="146"/>
      </c>
      <c r="U124" s="4">
        <f t="shared" si="178"/>
      </c>
      <c r="V124" s="4">
        <f t="shared" si="179"/>
      </c>
      <c r="W124" s="4">
        <f t="shared" si="180"/>
      </c>
      <c r="X124" s="4">
        <f t="shared" si="181"/>
      </c>
      <c r="Y124" s="4" cm="1">
        <f t="array" ref="Y124">_xlfn.IFS(H124=1,2,H124=3,1)</f>
      </c>
      <c r="Z124" s="4">
        <f t="shared" si="182"/>
      </c>
      <c r="AA124" s="4">
        <f t="shared" si="152"/>
      </c>
      <c r="AB124" s="4">
        <f t="shared" si="183"/>
      </c>
      <c r="AC124" s="4">
        <f t="shared" si="154"/>
      </c>
      <c r="AD124" s="4">
        <f t="shared" si="184"/>
      </c>
      <c r="AE124" s="4">
        <f t="shared" si="185"/>
      </c>
      <c r="AF124" s="4">
        <f t="shared" si="186"/>
      </c>
      <c r="AG124" s="4">
        <f t="shared" si="187"/>
        <v/>
      </c>
      <c r="AH124" s="4">
        <f t="shared" si="159"/>
      </c>
      <c r="AI124" s="4">
        <f t="shared" si="188"/>
      </c>
      <c r="AJ124" s="4">
        <f t="shared" si="161"/>
      </c>
      <c r="AK124" s="4">
        <f t="shared" si="189"/>
      </c>
      <c r="AL124" s="4">
        <f t="shared" si="163"/>
      </c>
      <c r="AM124" s="4">
        <f t="shared" si="164"/>
      </c>
      <c r="AN124" s="4"/>
      <c r="AO124" s="4">
        <f t="shared" si="190"/>
      </c>
      <c r="AP124" s="4">
        <f t="shared" si="166"/>
      </c>
      <c r="AQ124" s="4">
        <f t="shared" si="191"/>
        <v/>
      </c>
      <c r="AR124" s="4">
        <f t="shared" si="168"/>
      </c>
      <c r="AS124" s="4">
        <f t="shared" si="169"/>
      </c>
      <c r="AT124" s="4">
        <f t="shared" si="170"/>
      </c>
    </row>
    <row r="125" spans="1:46" x14ac:dyDescent="0.3">
      <c r="A125" s="5">
        <f t="shared" si="142"/>
      </c>
      <c r="B125" s="4">
        <f t="shared" si="143"/>
      </c>
      <c r="C125" s="119"/>
      <c r="D125" s="119"/>
      <c r="E125" s="105"/>
      <c r="F125" s="173"/>
      <c r="G125" s="173"/>
      <c r="H125" s="173"/>
      <c r="I125" s="192"/>
      <c r="J125" s="105"/>
      <c r="K125" s="105"/>
      <c r="L125" s="105"/>
      <c r="M125" s="96">
        <f t="shared" si="212"/>
      </c>
      <c r="N125" s="100"/>
      <c r="O125" s="164"/>
      <c r="P125" s="59">
        <f t="shared" si="213"/>
      </c>
      <c r="Q125" s="165"/>
      <c r="R125" s="100"/>
      <c r="S125" s="164"/>
      <c r="T125" s="5">
        <f t="shared" si="146"/>
      </c>
      <c r="U125" s="4">
        <f t="shared" si="178"/>
      </c>
      <c r="V125" s="4">
        <f t="shared" si="179"/>
      </c>
      <c r="W125" s="4">
        <f t="shared" si="180"/>
      </c>
      <c r="X125" s="4">
        <f t="shared" si="181"/>
      </c>
      <c r="Y125" s="4" cm="1">
        <f t="array" ref="Y125">_xlfn.IFS(H125=1,2,H125=3,1)</f>
      </c>
      <c r="Z125" s="4">
        <f t="shared" si="182"/>
      </c>
      <c r="AA125" s="4">
        <f t="shared" si="152"/>
      </c>
      <c r="AB125" s="4">
        <f t="shared" si="183"/>
      </c>
      <c r="AC125" s="4">
        <f t="shared" si="154"/>
      </c>
      <c r="AD125" s="4">
        <f t="shared" si="184"/>
      </c>
      <c r="AE125" s="4">
        <f t="shared" si="185"/>
      </c>
      <c r="AF125" s="4">
        <f t="shared" si="186"/>
      </c>
      <c r="AG125" s="4">
        <f t="shared" si="187"/>
        <v/>
      </c>
      <c r="AH125" s="4">
        <f t="shared" si="159"/>
      </c>
      <c r="AI125" s="4">
        <f t="shared" si="188"/>
      </c>
      <c r="AJ125" s="4">
        <f t="shared" si="161"/>
      </c>
      <c r="AK125" s="4">
        <f t="shared" si="189"/>
      </c>
      <c r="AL125" s="4">
        <f t="shared" si="163"/>
      </c>
      <c r="AM125" s="4">
        <f t="shared" si="164"/>
      </c>
      <c r="AN125" s="4"/>
      <c r="AO125" s="4">
        <f t="shared" si="190"/>
      </c>
      <c r="AP125" s="4">
        <f t="shared" si="166"/>
      </c>
      <c r="AQ125" s="4">
        <f t="shared" si="191"/>
        <v/>
      </c>
      <c r="AR125" s="4">
        <f t="shared" si="168"/>
      </c>
      <c r="AS125" s="4">
        <f t="shared" si="169"/>
      </c>
      <c r="AT125" s="4">
        <f t="shared" si="170"/>
      </c>
    </row>
    <row r="126" spans="1:46" x14ac:dyDescent="0.3">
      <c r="A126" s="5">
        <f t="shared" si="142"/>
      </c>
      <c r="B126" s="4">
        <f t="shared" si="143"/>
      </c>
      <c r="C126" s="119"/>
      <c r="D126" s="119"/>
      <c r="E126" s="105"/>
      <c r="F126" s="173"/>
      <c r="G126" s="173"/>
      <c r="H126" s="173"/>
      <c r="I126" s="192"/>
      <c r="J126" s="105"/>
      <c r="K126" s="105"/>
      <c r="L126" s="105"/>
      <c r="M126" s="96">
        <f t="shared" si="192"/>
      </c>
      <c r="N126" s="100"/>
      <c r="O126" s="164"/>
      <c r="P126" s="59">
        <f t="shared" si="193"/>
      </c>
      <c r="Q126" s="165"/>
      <c r="R126" s="100"/>
      <c r="S126" s="164"/>
      <c r="T126" s="5">
        <f t="shared" si="146"/>
      </c>
      <c r="U126" s="4">
        <f t="shared" si="178"/>
      </c>
      <c r="V126" s="4">
        <f t="shared" si="179"/>
      </c>
      <c r="W126" s="4">
        <f t="shared" si="180"/>
      </c>
      <c r="X126" s="4">
        <f t="shared" si="181"/>
      </c>
      <c r="Y126" s="4" cm="1">
        <f t="array" ref="Y126">_xlfn.IFS(H126=1,2,H126=3,1)</f>
      </c>
      <c r="Z126" s="4">
        <f t="shared" si="182"/>
      </c>
      <c r="AA126" s="4">
        <f t="shared" si="152"/>
      </c>
      <c r="AB126" s="4">
        <f t="shared" si="183"/>
      </c>
      <c r="AC126" s="4">
        <f t="shared" si="154"/>
      </c>
      <c r="AD126" s="4">
        <f t="shared" si="184"/>
      </c>
      <c r="AE126" s="4">
        <f t="shared" si="185"/>
      </c>
      <c r="AF126" s="4">
        <f t="shared" si="186"/>
      </c>
      <c r="AG126" s="4">
        <f t="shared" si="187"/>
        <v/>
      </c>
      <c r="AH126" s="4">
        <f t="shared" si="159"/>
      </c>
      <c r="AI126" s="4">
        <f t="shared" si="188"/>
      </c>
      <c r="AJ126" s="4">
        <f t="shared" si="161"/>
      </c>
      <c r="AK126" s="4">
        <f t="shared" si="189"/>
      </c>
      <c r="AL126" s="4">
        <f t="shared" si="163"/>
      </c>
      <c r="AM126" s="4">
        <f t="shared" si="164"/>
      </c>
      <c r="AN126" s="4"/>
      <c r="AO126" s="4">
        <f t="shared" si="190"/>
      </c>
      <c r="AP126" s="4">
        <f t="shared" si="166"/>
      </c>
      <c r="AQ126" s="4">
        <f t="shared" si="191"/>
        <v/>
      </c>
      <c r="AR126" s="4">
        <f t="shared" si="168"/>
      </c>
      <c r="AS126" s="4">
        <f t="shared" si="169"/>
      </c>
      <c r="AT126" s="4">
        <f t="shared" si="170"/>
      </c>
    </row>
    <row r="127" spans="1:46" x14ac:dyDescent="0.3">
      <c r="A127" s="5">
        <f t="shared" si="142"/>
      </c>
      <c r="B127" s="4">
        <f t="shared" si="143"/>
      </c>
      <c r="C127" s="119"/>
      <c r="D127" s="119"/>
      <c r="E127" s="105"/>
      <c r="F127" s="173"/>
      <c r="G127" s="173"/>
      <c r="H127" s="173"/>
      <c r="I127" s="192"/>
      <c r="J127" s="105"/>
      <c r="K127" s="105"/>
      <c r="L127" s="105"/>
      <c r="M127" s="98">
        <f t="shared" ref="M127" si="214">IFERROR(IF(VLOOKUP(AH127,Потребители_обозначение,4,FALSE)=1,VLOOKUP(AH127,Потребители_обозначение,3,FALSE)*(G127*2-1)+I127+VLOOKUP(AI127,Этаж_обозначение,3,FALSE)+VLOOKUP(AI127,Этаж_обозначение,4,FALSE),VLOOKUP(AH127,Потребители_обозначение,3,FALSE)*(G127*2-1)+I127),I127)</f>
      </c>
      <c r="N127" s="100"/>
      <c r="O127" s="164"/>
      <c r="P127" s="100">
        <f t="shared" ref="P127" si="215">IF(VLOOKUP(AH127,Потребители_обозначение,5,FALSE)=2,_xlfn.IFS(H127=3,VLOOKUP(E127,Справочная_двигатели,8,FALSE),H127=1,VLOOKUP(E127,Справочная_двигатели,10,TRUE)),0.95)</f>
      </c>
      <c r="Q127" s="165"/>
      <c r="R127" s="100"/>
      <c r="S127" s="164"/>
      <c r="T127" s="5">
        <f t="shared" si="146"/>
      </c>
      <c r="U127" s="4">
        <f t="shared" si="178"/>
      </c>
      <c r="V127" s="4">
        <f t="shared" si="179"/>
      </c>
      <c r="W127" s="4">
        <f t="shared" si="180"/>
      </c>
      <c r="X127" s="4">
        <f t="shared" si="181"/>
      </c>
      <c r="Y127" s="4" cm="1">
        <f t="array" ref="Y127">_xlfn.IFS(H127=1,2,H127=3,1)</f>
      </c>
      <c r="Z127" s="4">
        <f t="shared" si="182"/>
      </c>
      <c r="AA127" s="4">
        <f t="shared" si="152"/>
      </c>
      <c r="AB127" s="4">
        <f t="shared" si="183"/>
      </c>
      <c r="AC127" s="4">
        <f t="shared" si="154"/>
      </c>
      <c r="AD127" s="4">
        <f t="shared" si="184"/>
      </c>
      <c r="AE127" s="4">
        <f t="shared" si="185"/>
      </c>
      <c r="AF127" s="4">
        <f t="shared" si="186"/>
      </c>
      <c r="AG127" s="4">
        <f t="shared" si="187"/>
        <v/>
      </c>
      <c r="AH127" s="4">
        <f t="shared" si="159"/>
      </c>
      <c r="AI127" s="4">
        <f t="shared" si="188"/>
      </c>
      <c r="AJ127" s="4">
        <f t="shared" si="161"/>
      </c>
      <c r="AK127" s="4">
        <f t="shared" si="189"/>
      </c>
      <c r="AL127" s="4">
        <f t="shared" si="163"/>
      </c>
      <c r="AM127" s="4">
        <f t="shared" si="164"/>
      </c>
      <c r="AN127" s="4"/>
      <c r="AO127" s="4">
        <f t="shared" si="190"/>
      </c>
      <c r="AP127" s="4">
        <f t="shared" si="166"/>
      </c>
      <c r="AQ127" s="4">
        <f t="shared" si="191"/>
        <v/>
      </c>
      <c r="AR127" s="4">
        <f t="shared" si="168"/>
      </c>
      <c r="AS127" s="4">
        <f t="shared" si="169"/>
      </c>
      <c r="AT127" s="4">
        <f t="shared" si="170"/>
      </c>
    </row>
    <row r="128" spans="1:46" x14ac:dyDescent="0.3">
      <c r="A128" s="5">
        <f t="shared" ref="A128:A191" si="216">D128</f>
      </c>
      <c r="B128" s="4">
        <f t="shared" si="143"/>
      </c>
      <c r="C128" s="119"/>
      <c r="D128" s="119"/>
      <c r="E128" s="105"/>
      <c r="F128" s="173"/>
      <c r="G128" s="173"/>
      <c r="H128" s="173"/>
      <c r="I128" s="192"/>
      <c r="J128" s="105"/>
      <c r="K128" s="105"/>
      <c r="L128" s="105"/>
      <c r="M128" s="4">
        <f t="shared" si="192"/>
      </c>
      <c r="N128" s="100"/>
      <c r="O128" s="164"/>
      <c r="P128" s="59">
        <f t="shared" si="193"/>
      </c>
      <c r="Q128" s="165"/>
      <c r="R128" s="100"/>
      <c r="S128" s="164"/>
      <c r="T128" s="5">
        <f t="shared" si="146"/>
      </c>
      <c r="U128" s="4">
        <f t="shared" ref="U128:U191" si="217">IF(R128=0,VLOOKUP(T128,Автомат_номиналы,2,TRUE),R128)</f>
      </c>
      <c r="V128" s="4">
        <f t="shared" ref="V128:V191" si="218">IF(Q128=0,VLOOKUP(U128,Кабель_номиналы,2,TRUE),Q128)</f>
      </c>
      <c r="W128" s="4">
        <f t="shared" ref="W128:W191" si="219">VLOOKUP(V128,Кабель_сопротивление,3,FALSE)</f>
      </c>
      <c r="X128" s="4">
        <f t="shared" ref="X128:X191" si="220">VLOOKUP(V128,Кабель_сопротивление,2,FALSE)</f>
      </c>
      <c r="Y128" s="4" cm="1">
        <f t="array" ref="Y128">_xlfn.IFS(H128=1,2,H128=3,1)</f>
      </c>
      <c r="Z128" s="4">
        <f t="shared" ref="Z128:Z191" si="221">ROUND(SIN(ACOS(P128)),2)</f>
      </c>
      <c r="AA128" s="4">
        <f t="shared" si="152"/>
      </c>
      <c r="AB128" s="4">
        <f t="shared" ref="AB128:AB191" si="222">ROUNDUP(AA128/220*100,2)</f>
      </c>
      <c r="AC128" s="4">
        <f t="shared" si="154"/>
      </c>
      <c r="AD128" s="4">
        <f t="shared" ref="AD128:AD191" si="223">VLOOKUP(N128,Кабель_обозначение,2,FALSE)</f>
      </c>
      <c r="AE128" s="4">
        <f t="shared" si="185"/>
      </c>
      <c r="AF128" s="4">
        <f t="shared" si="186"/>
      </c>
      <c r="AG128" s="4">
        <f t="shared" si="187"/>
        <v/>
      </c>
      <c r="AH128" s="4">
        <f t="shared" si="159"/>
      </c>
      <c r="AI128" s="4">
        <f t="shared" si="188"/>
      </c>
      <c r="AJ128" s="4">
        <f t="shared" si="161"/>
      </c>
      <c r="AK128" s="4">
        <f t="shared" ref="AK128:AK191" si="224">ROUNDUP(T128,2)</f>
      </c>
      <c r="AL128" s="4">
        <f t="shared" si="163"/>
      </c>
      <c r="AM128" s="4">
        <f t="shared" si="164"/>
      </c>
      <c r="AN128" s="4"/>
      <c r="AO128" s="4">
        <f t="shared" si="190"/>
      </c>
      <c r="AP128" s="4">
        <f t="shared" si="166"/>
      </c>
      <c r="AQ128" s="4">
        <f t="shared" si="191"/>
        <v/>
      </c>
      <c r="AR128" s="4">
        <f t="shared" si="168"/>
      </c>
      <c r="AS128" s="4">
        <f t="shared" si="169"/>
      </c>
      <c r="AT128" s="4">
        <f t="shared" si="170"/>
      </c>
    </row>
    <row r="129" spans="1:46" x14ac:dyDescent="0.3">
      <c r="A129" s="5">
        <f t="shared" si="216"/>
      </c>
      <c r="B129" s="4">
        <f t="shared" si="143"/>
      </c>
      <c r="C129" s="119"/>
      <c r="D129" s="119"/>
      <c r="E129" s="105"/>
      <c r="F129" s="173"/>
      <c r="G129" s="173"/>
      <c r="H129" s="173"/>
      <c r="I129" s="192"/>
      <c r="J129" s="105"/>
      <c r="K129" s="105"/>
      <c r="L129" s="105"/>
      <c r="M129" s="98">
        <f t="shared" ref="M129" si="225">IFERROR(IF(VLOOKUP(AH129,Потребители_обозначение,4,FALSE)=1,VLOOKUP(AH129,Потребители_обозначение,3,FALSE)*(G129*2-1)+I129+VLOOKUP(AI129,Этаж_обозначение,3,FALSE)+VLOOKUP(AI129,Этаж_обозначение,4,FALSE),VLOOKUP(AH129,Потребители_обозначение,3,FALSE)*(G129*2-1)+I129),I129)</f>
      </c>
      <c r="N129" s="100"/>
      <c r="O129" s="164"/>
      <c r="P129" s="100">
        <f t="shared" ref="P129" si="226">IF(VLOOKUP(AH129,Потребители_обозначение,5,FALSE)=2,_xlfn.IFS(H129=3,VLOOKUP(E129,Справочная_двигатели,8,FALSE),H129=1,VLOOKUP(E129,Справочная_двигатели,10,TRUE)),0.95)</f>
      </c>
      <c r="Q129" s="188"/>
      <c r="R129" s="119"/>
      <c r="S129" s="173"/>
      <c r="T129" s="5">
        <f t="shared" si="146"/>
      </c>
      <c r="U129" s="4">
        <f t="shared" si="217"/>
      </c>
      <c r="V129" s="4">
        <f t="shared" si="218"/>
      </c>
      <c r="W129" s="4">
        <f t="shared" si="219"/>
      </c>
      <c r="X129" s="4">
        <f t="shared" si="220"/>
      </c>
      <c r="Y129" s="4" cm="1">
        <f t="array" ref="Y129">_xlfn.IFS(H129=1,2,H129=3,1)</f>
      </c>
      <c r="Z129" s="4">
        <f t="shared" si="221"/>
      </c>
      <c r="AA129" s="4">
        <f t="shared" si="152"/>
      </c>
      <c r="AB129" s="4">
        <f t="shared" si="222"/>
      </c>
      <c r="AC129" s="4">
        <f t="shared" si="154"/>
      </c>
      <c r="AD129" s="4">
        <f t="shared" si="223"/>
      </c>
      <c r="AE129" s="4">
        <f t="shared" si="185"/>
      </c>
      <c r="AF129" s="4">
        <f t="shared" si="186"/>
      </c>
      <c r="AG129" s="4">
        <f t="shared" si="187"/>
        <v/>
      </c>
      <c r="AH129" s="4">
        <f t="shared" si="159"/>
      </c>
      <c r="AI129" s="4">
        <f t="shared" si="188"/>
      </c>
      <c r="AJ129" s="4">
        <f t="shared" si="161"/>
      </c>
      <c r="AK129" s="4">
        <f t="shared" si="224"/>
      </c>
      <c r="AL129" s="4">
        <f t="shared" si="163"/>
      </c>
      <c r="AM129" s="4">
        <f t="shared" si="164"/>
      </c>
      <c r="AN129" s="4"/>
      <c r="AO129" s="4">
        <f t="shared" si="190"/>
      </c>
      <c r="AP129" s="4">
        <f t="shared" si="166"/>
      </c>
      <c r="AQ129" s="4">
        <f t="shared" si="191"/>
        <v/>
      </c>
      <c r="AR129" s="4">
        <f t="shared" si="168"/>
      </c>
      <c r="AS129" s="4">
        <f t="shared" si="169"/>
      </c>
      <c r="AT129" s="4">
        <f t="shared" si="170"/>
      </c>
    </row>
    <row r="130" spans="1:46" x14ac:dyDescent="0.3">
      <c r="A130" s="5">
        <f t="shared" si="216"/>
      </c>
      <c r="B130" s="4">
        <f t="shared" si="143"/>
      </c>
      <c r="C130" s="119"/>
      <c r="D130" s="119"/>
      <c r="E130" s="105"/>
      <c r="F130" s="173"/>
      <c r="G130" s="173"/>
      <c r="H130" s="173"/>
      <c r="I130" s="192"/>
      <c r="J130" s="105"/>
      <c r="K130" s="105"/>
      <c r="L130" s="105"/>
      <c r="M130" s="4">
        <f t="shared" si="192"/>
      </c>
      <c r="N130" s="100"/>
      <c r="O130" s="164"/>
      <c r="P130" s="59">
        <f t="shared" si="193"/>
      </c>
      <c r="Q130" s="188"/>
      <c r="R130" s="119"/>
      <c r="S130" s="173"/>
      <c r="T130" s="5">
        <f t="shared" si="146"/>
      </c>
      <c r="U130" s="4">
        <f t="shared" si="217"/>
      </c>
      <c r="V130" s="4">
        <f t="shared" si="218"/>
      </c>
      <c r="W130" s="4">
        <f t="shared" si="219"/>
      </c>
      <c r="X130" s="4">
        <f t="shared" si="220"/>
      </c>
      <c r="Y130" s="4" cm="1">
        <f t="array" ref="Y130">_xlfn.IFS(H130=1,2,H130=3,1)</f>
      </c>
      <c r="Z130" s="4">
        <f t="shared" si="221"/>
      </c>
      <c r="AA130" s="4">
        <f t="shared" si="152"/>
      </c>
      <c r="AB130" s="4">
        <f t="shared" si="222"/>
      </c>
      <c r="AC130" s="4">
        <f t="shared" si="154"/>
      </c>
      <c r="AD130" s="4">
        <f t="shared" si="223"/>
      </c>
      <c r="AE130" s="4">
        <f t="shared" si="185"/>
      </c>
      <c r="AF130" s="4">
        <f t="shared" si="186"/>
      </c>
      <c r="AG130" s="4">
        <f t="shared" si="187"/>
        <v/>
      </c>
      <c r="AH130" s="4">
        <f t="shared" si="159"/>
      </c>
      <c r="AI130" s="4">
        <f t="shared" si="188"/>
      </c>
      <c r="AJ130" s="4">
        <f t="shared" si="161"/>
      </c>
      <c r="AK130" s="4">
        <f t="shared" si="224"/>
      </c>
      <c r="AL130" s="4">
        <f t="shared" si="163"/>
      </c>
      <c r="AM130" s="4">
        <f t="shared" si="164"/>
      </c>
      <c r="AN130" s="4"/>
      <c r="AO130" s="4">
        <f t="shared" si="190"/>
      </c>
      <c r="AP130" s="4">
        <f t="shared" si="166"/>
      </c>
      <c r="AQ130" s="4">
        <f t="shared" si="191"/>
        <v/>
      </c>
      <c r="AR130" s="4">
        <f t="shared" si="168"/>
      </c>
      <c r="AS130" s="4">
        <f t="shared" si="169"/>
      </c>
      <c r="AT130" s="4">
        <f t="shared" si="170"/>
      </c>
    </row>
    <row r="131" spans="1:46" x14ac:dyDescent="0.3">
      <c r="A131" s="5">
        <f t="shared" si="216"/>
      </c>
      <c r="B131" s="4">
        <f t="shared" ref="B131:B194" si="227">IFERROR(IF(VLOOKUP(AH131,Потребители_обозначение,4,FALSE)=1,VLOOKUP(AH131,Потребители_обозначение,2,FALSE)&amp;" "&amp;VLOOKUP(AI131,Этаж_обозначение,2,FALSE)&amp;" Пом. №"&amp;AG131,VLOOKUP(AH131,Потребители_обозначение,2,FALSE)&amp;" Шлейф №"&amp;AI131),VLOOKUP(D131,Потребители_обозначение,2,FALSE))</f>
      </c>
      <c r="C131" s="119"/>
      <c r="D131" s="119"/>
      <c r="E131" s="105"/>
      <c r="F131" s="173"/>
      <c r="G131" s="173"/>
      <c r="H131" s="173"/>
      <c r="I131" s="192"/>
      <c r="J131" s="105"/>
      <c r="K131" s="105"/>
      <c r="L131" s="105"/>
      <c r="M131" s="97">
        <f t="shared" ref="M131" si="228">IFERROR(IF(VLOOKUP(AH131,Потребители_обозначение,4,FALSE)=1,VLOOKUP(AH131,Потребители_обозначение,3,FALSE)*(G131*2-1)+I131+VLOOKUP(AI131,Этаж_обозначение,3,FALSE)+VLOOKUP(AI131,Этаж_обозначение,4,FALSE),VLOOKUP(AH131,Потребители_обозначение,3,FALSE)*(G131*2-1)+I131),I131)</f>
      </c>
      <c r="N131" s="100"/>
      <c r="O131" s="164"/>
      <c r="P131" s="100">
        <f t="shared" ref="P131" si="229">IF(VLOOKUP(AH131,Потребители_обозначение,5,FALSE)=2,_xlfn.IFS(H131=3,VLOOKUP(E131,Справочная_двигатели,8,FALSE),H131=1,VLOOKUP(E131,Справочная_двигатели,10,TRUE)),0.95)</f>
      </c>
      <c r="Q131" s="188"/>
      <c r="R131" s="119"/>
      <c r="S131" s="173"/>
      <c r="T131" s="5">
        <f t="shared" ref="T131:T194" si="230">_xlfn.IFS(H131=1,E131*1000/220,H131=3,E131/0.38/1.732)</f>
      </c>
      <c r="U131" s="4">
        <f t="shared" si="217"/>
      </c>
      <c r="V131" s="4">
        <f t="shared" si="218"/>
      </c>
      <c r="W131" s="4">
        <f t="shared" si="219"/>
      </c>
      <c r="X131" s="4">
        <f t="shared" si="220"/>
      </c>
      <c r="Y131" s="4" cm="1">
        <f t="array" ref="Y131">_xlfn.IFS(H131=1,2,H131=3,1)</f>
      </c>
      <c r="Z131" s="4">
        <f t="shared" si="221"/>
      </c>
      <c r="AA131" s="4">
        <f t="shared" ref="AA131:AA194" si="231">Y131*(W131*I131/V131+X131*I131*Z131/1000)*T131</f>
      </c>
      <c r="AB131" s="4">
        <f t="shared" si="222"/>
      </c>
      <c r="AC131" s="4">
        <f t="shared" ref="AC131:AC194" si="232">_xlfn.IFS(H131=3,380,H131=1,220)</f>
      </c>
      <c r="AD131" s="4">
        <f t="shared" si="223"/>
      </c>
      <c r="AE131" s="4">
        <f t="shared" si="185"/>
      </c>
      <c r="AF131" s="4">
        <f t="shared" si="186"/>
      </c>
      <c r="AG131" s="4">
        <f t="shared" si="187"/>
        <v/>
      </c>
      <c r="AH131" s="4">
        <f t="shared" ref="AH131:AH194" si="233">IFERROR(LEFT(A131,SEARCH(".",A131)-1),A131)</f>
      </c>
      <c r="AI131" s="4">
        <f t="shared" si="188"/>
      </c>
      <c r="AJ131" s="4">
        <f t="shared" ref="AJ131:AJ194" si="234">IF(C131=0,B131,C131)</f>
      </c>
      <c r="AK131" s="4">
        <f t="shared" si="224"/>
      </c>
      <c r="AL131" s="4">
        <f t="shared" ref="AL131:AL194" si="235">E131</f>
      </c>
      <c r="AM131" s="4">
        <f t="shared" ref="AM131:AM194" si="236">D131</f>
      </c>
      <c r="AN131" s="4"/>
      <c r="AO131" s="4">
        <f t="shared" si="190"/>
      </c>
      <c r="AP131" s="4">
        <f t="shared" ref="AP131:AP194" si="237">RIGHT(A131,LEN(A131)-SEARCH(".",A131))</f>
      </c>
      <c r="AQ131" s="4">
        <f t="shared" si="191"/>
        <v/>
      </c>
      <c r="AR131" s="4">
        <f t="shared" ref="AR131:AR194" si="238">IFERROR(IF(VLOOKUP(AH131,Потребители_обозначение,5,FALSE)=2,_xlfn.IFS(H131=3,VLOOKUP(E131,Справочная_двигатели,3,FALSE),H131=1,VLOOKUP(E131,Справочная_двигатели,5,TRUE)),0),0)</f>
      </c>
      <c r="AS131" s="4">
        <f t="shared" ref="AS131:AS194" si="239">IFERROR(IF(VLOOKUP(AH131,Потребители_обозначение,5,FALSE)=3,VLOOKUP(E131,Справочная_ЛЭД,2,TRUE),0),0)</f>
      </c>
      <c r="AT131" s="4">
        <f t="shared" si="170"/>
      </c>
    </row>
    <row r="132" spans="1:46" x14ac:dyDescent="0.3">
      <c r="A132" s="5">
        <f t="shared" si="216"/>
      </c>
      <c r="B132" s="4">
        <f t="shared" si="227"/>
      </c>
      <c r="C132" s="119"/>
      <c r="D132" s="119"/>
      <c r="E132" s="105"/>
      <c r="F132" s="173"/>
      <c r="G132" s="173"/>
      <c r="H132" s="173"/>
      <c r="I132" s="192"/>
      <c r="J132" s="105"/>
      <c r="K132" s="105"/>
      <c r="L132" s="105"/>
      <c r="M132" s="4">
        <f t="shared" ref="M132:M194" si="240">IFERROR(IF(VLOOKUP(AH132,Потребители_обозначение,4,FALSE)=1,VLOOKUP(AH132,Потребители_обозначение,3,FALSE)*(G132*2-1)+I132+VLOOKUP(AI132,Этаж_обозначение,3,FALSE)+VLOOKUP(AI132,Этаж_обозначение,4,FALSE),VLOOKUP(AH132,Потребители_обозначение,3,FALSE)*(G132*2-1)+I132),I132)</f>
      </c>
      <c r="N132" s="100"/>
      <c r="O132" s="164"/>
      <c r="P132" s="59">
        <f t="shared" si="193"/>
      </c>
      <c r="Q132" s="188"/>
      <c r="R132" s="119"/>
      <c r="S132" s="173"/>
      <c r="T132" s="5">
        <f t="shared" si="230"/>
      </c>
      <c r="U132" s="4">
        <f t="shared" si="217"/>
      </c>
      <c r="V132" s="4">
        <f t="shared" si="218"/>
      </c>
      <c r="W132" s="4">
        <f t="shared" si="219"/>
      </c>
      <c r="X132" s="4">
        <f t="shared" si="220"/>
      </c>
      <c r="Y132" s="4" cm="1">
        <f t="array" ref="Y132">_xlfn.IFS(H132=1,2,H132=3,1)</f>
      </c>
      <c r="Z132" s="4">
        <f t="shared" si="221"/>
      </c>
      <c r="AA132" s="4">
        <f t="shared" si="231"/>
      </c>
      <c r="AB132" s="4">
        <f t="shared" si="222"/>
      </c>
      <c r="AC132" s="4">
        <f t="shared" si="232"/>
      </c>
      <c r="AD132" s="4">
        <f t="shared" si="223"/>
      </c>
      <c r="AE132" s="4">
        <f t="shared" si="185"/>
      </c>
      <c r="AF132" s="4">
        <f t="shared" si="186"/>
      </c>
      <c r="AG132" s="4">
        <f t="shared" si="187"/>
        <v/>
      </c>
      <c r="AH132" s="4">
        <f t="shared" si="233"/>
      </c>
      <c r="AI132" s="4">
        <f t="shared" si="188"/>
      </c>
      <c r="AJ132" s="4">
        <f t="shared" si="234"/>
      </c>
      <c r="AK132" s="4">
        <f t="shared" si="224"/>
      </c>
      <c r="AL132" s="4">
        <f t="shared" si="235"/>
      </c>
      <c r="AM132" s="4">
        <f t="shared" si="236"/>
      </c>
      <c r="AN132" s="4"/>
      <c r="AO132" s="4">
        <f t="shared" si="190"/>
      </c>
      <c r="AP132" s="4">
        <f t="shared" si="237"/>
      </c>
      <c r="AQ132" s="4">
        <f t="shared" si="191"/>
        <v/>
      </c>
      <c r="AR132" s="4">
        <f t="shared" si="238"/>
      </c>
      <c r="AS132" s="4">
        <f t="shared" si="239"/>
      </c>
      <c r="AT132" s="4">
        <f t="shared" si="170"/>
      </c>
    </row>
    <row r="133" spans="1:46" x14ac:dyDescent="0.3">
      <c r="A133" s="5">
        <f t="shared" si="216"/>
      </c>
      <c r="B133" s="4">
        <f t="shared" si="227"/>
      </c>
      <c r="C133" s="119"/>
      <c r="D133" s="119"/>
      <c r="E133" s="105"/>
      <c r="F133" s="173"/>
      <c r="G133" s="173"/>
      <c r="H133" s="173"/>
      <c r="I133" s="192"/>
      <c r="J133" s="105"/>
      <c r="K133" s="105"/>
      <c r="L133" s="105"/>
      <c r="M133" s="4">
        <f t="shared" si="240"/>
      </c>
      <c r="N133" s="100"/>
      <c r="O133" s="164"/>
      <c r="P133" s="59">
        <f t="shared" si="193"/>
      </c>
      <c r="Q133" s="188"/>
      <c r="R133" s="119"/>
      <c r="S133" s="173"/>
      <c r="T133" s="5">
        <f t="shared" si="230"/>
      </c>
      <c r="U133" s="4">
        <f t="shared" si="217"/>
      </c>
      <c r="V133" s="4">
        <f t="shared" si="218"/>
      </c>
      <c r="W133" s="4">
        <f t="shared" si="219"/>
      </c>
      <c r="X133" s="4">
        <f t="shared" si="220"/>
      </c>
      <c r="Y133" s="4" cm="1">
        <f t="array" ref="Y133">_xlfn.IFS(H133=1,2,H133=3,1)</f>
      </c>
      <c r="Z133" s="4">
        <f t="shared" si="221"/>
      </c>
      <c r="AA133" s="4">
        <f t="shared" si="231"/>
      </c>
      <c r="AB133" s="4">
        <f t="shared" si="222"/>
      </c>
      <c r="AC133" s="4">
        <f t="shared" si="232"/>
      </c>
      <c r="AD133" s="4">
        <f t="shared" si="223"/>
      </c>
      <c r="AE133" s="4">
        <f t="shared" si="185"/>
      </c>
      <c r="AF133" s="4">
        <f t="shared" si="186"/>
      </c>
      <c r="AG133" s="4">
        <f t="shared" si="187"/>
        <v/>
      </c>
      <c r="AH133" s="4">
        <f t="shared" si="233"/>
      </c>
      <c r="AI133" s="4">
        <f t="shared" si="188"/>
      </c>
      <c r="AJ133" s="4">
        <f t="shared" si="234"/>
      </c>
      <c r="AK133" s="4">
        <f t="shared" si="224"/>
      </c>
      <c r="AL133" s="4">
        <f t="shared" si="235"/>
      </c>
      <c r="AM133" s="4">
        <f t="shared" si="236"/>
      </c>
      <c r="AN133" s="4"/>
      <c r="AO133" s="4">
        <f t="shared" ref="AO133:AO196" si="241">IF(V133=0,AD133,AE133&amp;"
L="&amp;M133&amp;"-"&amp;AB133&amp;"%")</f>
      </c>
      <c r="AP133" s="4">
        <f t="shared" si="237"/>
      </c>
      <c r="AQ133" s="4">
        <f t="shared" ref="AQ133:AQ196" si="242">IFERROR(RIGHT(AP133,LEN(AP133)-SEARCH(".",AP133)),"")</f>
        <v/>
      </c>
      <c r="AR133" s="4">
        <f t="shared" si="238"/>
      </c>
      <c r="AS133" s="4">
        <f t="shared" si="239"/>
      </c>
      <c r="AT133" s="4">
        <f t="shared" si="170"/>
      </c>
    </row>
    <row r="134" spans="1:46" x14ac:dyDescent="0.3">
      <c r="A134" s="5">
        <f t="shared" si="216"/>
      </c>
      <c r="B134" s="4">
        <f t="shared" si="227"/>
      </c>
      <c r="C134" s="119"/>
      <c r="D134" s="119"/>
      <c r="E134" s="105"/>
      <c r="F134" s="173"/>
      <c r="G134" s="173"/>
      <c r="H134" s="173"/>
      <c r="I134" s="192"/>
      <c r="J134" s="105"/>
      <c r="K134" s="105"/>
      <c r="L134" s="105"/>
      <c r="M134" s="4">
        <f t="shared" si="240"/>
      </c>
      <c r="N134" s="100"/>
      <c r="O134" s="164"/>
      <c r="P134" s="59">
        <f t="shared" si="193"/>
      </c>
      <c r="Q134" s="188"/>
      <c r="R134" s="119"/>
      <c r="S134" s="173"/>
      <c r="T134" s="5">
        <f t="shared" si="230"/>
      </c>
      <c r="U134" s="4">
        <f t="shared" si="217"/>
      </c>
      <c r="V134" s="4">
        <f t="shared" si="218"/>
      </c>
      <c r="W134" s="4">
        <f t="shared" si="219"/>
      </c>
      <c r="X134" s="4">
        <f t="shared" si="220"/>
      </c>
      <c r="Y134" s="4" cm="1">
        <f t="array" ref="Y134">_xlfn.IFS(H134=1,2,H134=3,1)</f>
      </c>
      <c r="Z134" s="4">
        <f t="shared" si="221"/>
      </c>
      <c r="AA134" s="4">
        <f t="shared" si="231"/>
      </c>
      <c r="AB134" s="4">
        <f t="shared" si="222"/>
      </c>
      <c r="AC134" s="4">
        <f t="shared" si="232"/>
      </c>
      <c r="AD134" s="4">
        <f t="shared" si="223"/>
      </c>
      <c r="AE134" s="4">
        <f t="shared" ref="AE134:AE197" si="243">IF(VLOOKUP(N134,Кабель_обозначение,3,FALSE)=1,AD134&amp;" ("&amp;O134&amp;"х"&amp;V134&amp;")",AD134)</f>
      </c>
      <c r="AF134" s="4">
        <f t="shared" si="186"/>
      </c>
      <c r="AG134" s="4">
        <f t="shared" si="187"/>
        <v/>
      </c>
      <c r="AH134" s="4">
        <f t="shared" si="233"/>
      </c>
      <c r="AI134" s="4">
        <f t="shared" si="188"/>
      </c>
      <c r="AJ134" s="4">
        <f t="shared" si="234"/>
      </c>
      <c r="AK134" s="4">
        <f t="shared" si="224"/>
      </c>
      <c r="AL134" s="4">
        <f t="shared" si="235"/>
      </c>
      <c r="AM134" s="4">
        <f t="shared" si="236"/>
      </c>
      <c r="AN134" s="4"/>
      <c r="AO134" s="4">
        <f t="shared" si="241"/>
      </c>
      <c r="AP134" s="4">
        <f t="shared" si="237"/>
      </c>
      <c r="AQ134" s="4">
        <f t="shared" si="242"/>
        <v/>
      </c>
      <c r="AR134" s="4">
        <f t="shared" si="238"/>
      </c>
      <c r="AS134" s="4">
        <f t="shared" si="239"/>
      </c>
      <c r="AT134" s="4">
        <f t="shared" si="170"/>
      </c>
    </row>
    <row r="135" spans="1:46" x14ac:dyDescent="0.3">
      <c r="A135" s="5">
        <f t="shared" si="216"/>
      </c>
      <c r="B135" s="4">
        <f t="shared" si="227"/>
      </c>
      <c r="C135" s="119"/>
      <c r="D135" s="119"/>
      <c r="E135" s="105"/>
      <c r="F135" s="173"/>
      <c r="G135" s="173"/>
      <c r="H135" s="173"/>
      <c r="I135" s="192"/>
      <c r="J135" s="105"/>
      <c r="K135" s="105"/>
      <c r="L135" s="105"/>
      <c r="M135" s="97">
        <f t="shared" ref="M135:M138" si="244">IFERROR(IF(VLOOKUP(AH135,Потребители_обозначение,4,FALSE)=1,VLOOKUP(AH135,Потребители_обозначение,3,FALSE)*(G135*2-1)+I135+VLOOKUP(AI135,Этаж_обозначение,3,FALSE)+VLOOKUP(AI135,Этаж_обозначение,4,FALSE),VLOOKUP(AH135,Потребители_обозначение,3,FALSE)*(G135*2-1)+I135),I135)</f>
      </c>
      <c r="N135" s="100"/>
      <c r="O135" s="164"/>
      <c r="P135" s="100">
        <f t="shared" ref="P135:P138" si="245">IF(VLOOKUP(AH135,Потребители_обозначение,5,FALSE)=2,_xlfn.IFS(H135=3,VLOOKUP(E135,Справочная_двигатели,8,FALSE),H135=1,VLOOKUP(E135,Справочная_двигатели,10,TRUE)),0.95)</f>
      </c>
      <c r="Q135" s="188"/>
      <c r="R135" s="119"/>
      <c r="S135" s="173"/>
      <c r="T135" s="5">
        <f t="shared" si="230"/>
      </c>
      <c r="U135" s="4">
        <f t="shared" si="217"/>
      </c>
      <c r="V135" s="4">
        <f t="shared" si="218"/>
      </c>
      <c r="W135" s="4">
        <f t="shared" si="219"/>
      </c>
      <c r="X135" s="4">
        <f t="shared" si="220"/>
      </c>
      <c r="Y135" s="4" cm="1">
        <f t="array" ref="Y135">_xlfn.IFS(H135=1,2,H135=3,1)</f>
      </c>
      <c r="Z135" s="4">
        <f t="shared" si="221"/>
      </c>
      <c r="AA135" s="4">
        <f t="shared" si="231"/>
      </c>
      <c r="AB135" s="4">
        <f t="shared" si="222"/>
      </c>
      <c r="AC135" s="4">
        <f t="shared" si="232"/>
      </c>
      <c r="AD135" s="4">
        <f t="shared" si="223"/>
      </c>
      <c r="AE135" s="4">
        <f t="shared" si="243"/>
      </c>
      <c r="AF135" s="4">
        <f t="shared" ref="AF135:AF198" si="246">IFERROR(IF(AB135&gt;4.5,1,2),0)</f>
      </c>
      <c r="AG135" s="4">
        <f t="shared" ref="AG135:AG198" si="247">IFERROR(LEFT(AQ135,SEARCH(".",AQ135)-1),AQ135)</f>
        <v/>
      </c>
      <c r="AH135" s="4">
        <f t="shared" si="233"/>
      </c>
      <c r="AI135" s="4">
        <f t="shared" si="188"/>
      </c>
      <c r="AJ135" s="4">
        <f t="shared" si="234"/>
      </c>
      <c r="AK135" s="4">
        <f t="shared" si="224"/>
      </c>
      <c r="AL135" s="4">
        <f t="shared" si="235"/>
      </c>
      <c r="AM135" s="4">
        <f t="shared" si="236"/>
      </c>
      <c r="AN135" s="4"/>
      <c r="AO135" s="4">
        <f t="shared" si="241"/>
      </c>
      <c r="AP135" s="4">
        <f t="shared" si="237"/>
      </c>
      <c r="AQ135" s="4">
        <f t="shared" si="242"/>
        <v/>
      </c>
      <c r="AR135" s="4">
        <f t="shared" si="238"/>
      </c>
      <c r="AS135" s="4">
        <f t="shared" si="239"/>
      </c>
      <c r="AT135" s="4">
        <f t="shared" si="170"/>
      </c>
    </row>
    <row r="136" spans="1:46" x14ac:dyDescent="0.3">
      <c r="A136" s="5">
        <f t="shared" si="216"/>
      </c>
      <c r="B136" s="4">
        <f t="shared" si="227"/>
      </c>
      <c r="C136" s="119"/>
      <c r="D136" s="119"/>
      <c r="E136" s="105"/>
      <c r="F136" s="173"/>
      <c r="G136" s="173"/>
      <c r="H136" s="173"/>
      <c r="I136" s="192"/>
      <c r="J136" s="105"/>
      <c r="K136" s="105"/>
      <c r="L136" s="105"/>
      <c r="M136" s="97">
        <f t="shared" si="244"/>
      </c>
      <c r="N136" s="100"/>
      <c r="O136" s="164"/>
      <c r="P136" s="100">
        <f t="shared" si="245"/>
      </c>
      <c r="Q136" s="188"/>
      <c r="R136" s="119"/>
      <c r="S136" s="173"/>
      <c r="T136" s="5">
        <f t="shared" si="230"/>
      </c>
      <c r="U136" s="4">
        <f t="shared" si="217"/>
      </c>
      <c r="V136" s="4">
        <f t="shared" si="218"/>
      </c>
      <c r="W136" s="4">
        <f t="shared" si="219"/>
      </c>
      <c r="X136" s="4">
        <f t="shared" si="220"/>
      </c>
      <c r="Y136" s="4" cm="1">
        <f t="array" ref="Y136">_xlfn.IFS(H136=1,2,H136=3,1)</f>
      </c>
      <c r="Z136" s="4">
        <f t="shared" si="221"/>
      </c>
      <c r="AA136" s="4">
        <f t="shared" si="231"/>
      </c>
      <c r="AB136" s="4">
        <f t="shared" si="222"/>
      </c>
      <c r="AC136" s="4">
        <f t="shared" si="232"/>
      </c>
      <c r="AD136" s="4">
        <f t="shared" si="223"/>
      </c>
      <c r="AE136" s="4">
        <f t="shared" si="243"/>
      </c>
      <c r="AF136" s="4">
        <f t="shared" si="246"/>
      </c>
      <c r="AG136" s="4">
        <f t="shared" si="247"/>
        <v/>
      </c>
      <c r="AH136" s="4">
        <f t="shared" si="233"/>
      </c>
      <c r="AI136" s="4">
        <f t="shared" ref="AI136:AI199" si="248">IFERROR(LEFT(AP136,SEARCH(".",AP136)-1),AP136)</f>
      </c>
      <c r="AJ136" s="4">
        <f t="shared" si="234"/>
      </c>
      <c r="AK136" s="4">
        <f t="shared" si="224"/>
      </c>
      <c r="AL136" s="4">
        <f t="shared" si="235"/>
      </c>
      <c r="AM136" s="4">
        <f t="shared" si="236"/>
      </c>
      <c r="AN136" s="4"/>
      <c r="AO136" s="4">
        <f t="shared" si="241"/>
      </c>
      <c r="AP136" s="4">
        <f t="shared" si="237"/>
      </c>
      <c r="AQ136" s="4">
        <f t="shared" si="242"/>
        <v/>
      </c>
      <c r="AR136" s="4">
        <f t="shared" si="238"/>
      </c>
      <c r="AS136" s="4">
        <f t="shared" si="239"/>
      </c>
      <c r="AT136" s="4">
        <f t="shared" si="170"/>
      </c>
    </row>
    <row r="137" spans="1:46" x14ac:dyDescent="0.3">
      <c r="A137" s="5">
        <f t="shared" si="216"/>
      </c>
      <c r="B137" s="4">
        <f t="shared" si="227"/>
      </c>
      <c r="C137" s="119"/>
      <c r="D137" s="119"/>
      <c r="E137" s="105"/>
      <c r="F137" s="173"/>
      <c r="G137" s="173"/>
      <c r="H137" s="173"/>
      <c r="I137" s="192"/>
      <c r="J137" s="105"/>
      <c r="K137" s="105"/>
      <c r="L137" s="105"/>
      <c r="M137" s="97">
        <f t="shared" si="244"/>
      </c>
      <c r="N137" s="100"/>
      <c r="O137" s="164"/>
      <c r="P137" s="100">
        <f t="shared" si="245"/>
      </c>
      <c r="Q137" s="188"/>
      <c r="R137" s="119"/>
      <c r="S137" s="173"/>
      <c r="T137" s="5">
        <f t="shared" si="230"/>
      </c>
      <c r="U137" s="4">
        <f t="shared" si="217"/>
      </c>
      <c r="V137" s="4">
        <f t="shared" si="218"/>
      </c>
      <c r="W137" s="4">
        <f t="shared" si="219"/>
      </c>
      <c r="X137" s="4">
        <f t="shared" si="220"/>
      </c>
      <c r="Y137" s="4" cm="1">
        <f t="array" ref="Y137">_xlfn.IFS(H137=1,2,H137=3,1)</f>
      </c>
      <c r="Z137" s="4">
        <f t="shared" si="221"/>
      </c>
      <c r="AA137" s="4">
        <f t="shared" si="231"/>
      </c>
      <c r="AB137" s="4">
        <f t="shared" si="222"/>
      </c>
      <c r="AC137" s="4">
        <f t="shared" si="232"/>
      </c>
      <c r="AD137" s="4">
        <f t="shared" si="223"/>
      </c>
      <c r="AE137" s="4">
        <f t="shared" si="243"/>
      </c>
      <c r="AF137" s="4">
        <f t="shared" si="246"/>
      </c>
      <c r="AG137" s="4">
        <f t="shared" si="247"/>
        <v/>
      </c>
      <c r="AH137" s="4">
        <f t="shared" si="233"/>
      </c>
      <c r="AI137" s="4">
        <f t="shared" si="248"/>
      </c>
      <c r="AJ137" s="4">
        <f t="shared" si="234"/>
      </c>
      <c r="AK137" s="4">
        <f t="shared" si="224"/>
      </c>
      <c r="AL137" s="4">
        <f t="shared" si="235"/>
      </c>
      <c r="AM137" s="4">
        <f t="shared" si="236"/>
      </c>
      <c r="AN137" s="4"/>
      <c r="AO137" s="4">
        <f t="shared" si="241"/>
      </c>
      <c r="AP137" s="4">
        <f t="shared" si="237"/>
      </c>
      <c r="AQ137" s="4">
        <f t="shared" si="242"/>
        <v/>
      </c>
      <c r="AR137" s="4">
        <f t="shared" si="238"/>
      </c>
      <c r="AS137" s="4">
        <f t="shared" si="239"/>
      </c>
      <c r="AT137" s="4">
        <f t="shared" si="170"/>
      </c>
    </row>
    <row r="138" spans="1:46" ht="15" thickBot="1" x14ac:dyDescent="0.35">
      <c r="A138" s="45">
        <f t="shared" si="216"/>
      </c>
      <c r="B138" s="44">
        <f t="shared" si="227"/>
      </c>
      <c r="C138" s="175"/>
      <c r="D138" s="175"/>
      <c r="E138" s="176"/>
      <c r="F138" s="178"/>
      <c r="G138" s="178"/>
      <c r="H138" s="178"/>
      <c r="I138" s="192"/>
      <c r="J138" s="176"/>
      <c r="K138" s="176"/>
      <c r="L138" s="176"/>
      <c r="M138" s="99">
        <f t="shared" si="244"/>
      </c>
      <c r="N138" s="101"/>
      <c r="O138" s="166"/>
      <c r="P138" s="101">
        <f t="shared" si="245"/>
      </c>
      <c r="Q138" s="189"/>
      <c r="R138" s="175"/>
      <c r="S138" s="178"/>
      <c r="T138" s="45">
        <f t="shared" si="230"/>
      </c>
      <c r="U138" s="44">
        <f t="shared" si="217"/>
      </c>
      <c r="V138" s="44">
        <f t="shared" si="218"/>
      </c>
      <c r="W138" s="44">
        <f t="shared" si="219"/>
      </c>
      <c r="X138" s="44">
        <f t="shared" si="220"/>
      </c>
      <c r="Y138" s="44" cm="1">
        <f t="array" ref="Y138">_xlfn.IFS(H138=1,2,H138=3,1)</f>
      </c>
      <c r="Z138" s="44">
        <f t="shared" si="221"/>
      </c>
      <c r="AA138" s="44">
        <f t="shared" si="231"/>
      </c>
      <c r="AB138" s="44">
        <f t="shared" si="222"/>
      </c>
      <c r="AC138" s="44">
        <f t="shared" si="232"/>
      </c>
      <c r="AD138" s="44">
        <f t="shared" si="223"/>
      </c>
      <c r="AE138" s="44">
        <f t="shared" si="243"/>
      </c>
      <c r="AF138" s="44">
        <f t="shared" si="246"/>
      </c>
      <c r="AG138" s="44">
        <f t="shared" si="247"/>
        <v/>
      </c>
      <c r="AH138" s="44">
        <f t="shared" si="233"/>
      </c>
      <c r="AI138" s="44">
        <f t="shared" si="248"/>
      </c>
      <c r="AJ138" s="44">
        <f t="shared" si="234"/>
      </c>
      <c r="AK138" s="44">
        <f t="shared" si="224"/>
      </c>
      <c r="AL138" s="44">
        <f t="shared" si="235"/>
      </c>
      <c r="AM138" s="44">
        <f t="shared" si="236"/>
      </c>
      <c r="AN138" s="44"/>
      <c r="AO138" s="44">
        <f t="shared" si="241"/>
      </c>
      <c r="AP138" s="44">
        <f t="shared" si="237"/>
      </c>
      <c r="AQ138" s="44">
        <f t="shared" si="242"/>
        <v/>
      </c>
      <c r="AR138" s="44">
        <f t="shared" si="238"/>
      </c>
      <c r="AS138" s="44">
        <f t="shared" si="239"/>
      </c>
      <c r="AT138" s="44">
        <f t="shared" si="170"/>
      </c>
    </row>
    <row r="139" spans="1:46" x14ac:dyDescent="0.3">
      <c r="A139" s="19">
        <f t="shared" si="216"/>
      </c>
      <c r="B139" s="7">
        <f t="shared" si="227"/>
      </c>
      <c r="C139" s="177"/>
      <c r="D139" s="177"/>
      <c r="E139" s="179"/>
      <c r="F139" s="182"/>
      <c r="G139" s="182"/>
      <c r="H139" s="182"/>
      <c r="I139" s="192"/>
      <c r="J139" s="179"/>
      <c r="K139" s="179"/>
      <c r="L139" s="179"/>
      <c r="M139" s="7">
        <f t="shared" si="240"/>
      </c>
      <c r="N139" s="65"/>
      <c r="O139" s="168"/>
      <c r="P139" s="102">
        <f t="shared" si="193"/>
      </c>
      <c r="Q139" s="190"/>
      <c r="R139" s="177"/>
      <c r="S139" s="182"/>
      <c r="T139" s="19">
        <f t="shared" si="230"/>
      </c>
      <c r="U139" s="7">
        <f t="shared" si="217"/>
      </c>
      <c r="V139" s="7">
        <f t="shared" si="218"/>
      </c>
      <c r="W139" s="7">
        <f t="shared" si="219"/>
      </c>
      <c r="X139" s="7">
        <f t="shared" si="220"/>
      </c>
      <c r="Y139" s="7" cm="1">
        <f t="array" ref="Y139">_xlfn.IFS(H139=1,2,H139=3,1)</f>
      </c>
      <c r="Z139" s="7">
        <f t="shared" si="221"/>
      </c>
      <c r="AA139" s="7">
        <f t="shared" si="231"/>
      </c>
      <c r="AB139" s="7">
        <f t="shared" si="222"/>
      </c>
      <c r="AC139" s="7">
        <f t="shared" si="232"/>
      </c>
      <c r="AD139" s="7">
        <f t="shared" si="223"/>
      </c>
      <c r="AE139" s="7">
        <f t="shared" si="243"/>
      </c>
      <c r="AF139" s="7">
        <f t="shared" si="246"/>
      </c>
      <c r="AG139" s="7">
        <f t="shared" si="247"/>
        <v/>
      </c>
      <c r="AH139" s="7">
        <f t="shared" si="233"/>
      </c>
      <c r="AI139" s="7">
        <f t="shared" si="248"/>
      </c>
      <c r="AJ139" s="7">
        <f t="shared" si="234"/>
      </c>
      <c r="AK139" s="7">
        <f t="shared" si="224"/>
      </c>
      <c r="AL139" s="7">
        <f t="shared" si="235"/>
      </c>
      <c r="AM139" s="7">
        <f t="shared" si="236"/>
      </c>
      <c r="AN139" s="7"/>
      <c r="AO139" s="7">
        <f t="shared" si="241"/>
      </c>
      <c r="AP139" s="7">
        <f t="shared" si="237"/>
      </c>
      <c r="AQ139" s="7">
        <f t="shared" si="242"/>
        <v/>
      </c>
      <c r="AR139" s="7">
        <f t="shared" si="238"/>
      </c>
      <c r="AS139" s="7">
        <f t="shared" si="239"/>
      </c>
      <c r="AT139" s="7">
        <f t="shared" ref="AT139:AT202" si="249">IF(AR139=0,AS139,AR139)</f>
      </c>
    </row>
    <row r="140" spans="1:46" x14ac:dyDescent="0.3">
      <c r="A140" s="5">
        <f t="shared" si="216"/>
      </c>
      <c r="B140" s="4">
        <f t="shared" si="227"/>
      </c>
      <c r="C140" s="119"/>
      <c r="D140" s="119"/>
      <c r="E140" s="105"/>
      <c r="F140" s="173"/>
      <c r="G140" s="173"/>
      <c r="H140" s="173"/>
      <c r="I140" s="192"/>
      <c r="J140" s="105"/>
      <c r="K140" s="105"/>
      <c r="L140" s="105"/>
      <c r="M140" s="97">
        <f t="shared" si="240"/>
      </c>
      <c r="N140" s="100"/>
      <c r="O140" s="164"/>
      <c r="P140" s="100">
        <f t="shared" si="193"/>
      </c>
      <c r="Q140" s="188"/>
      <c r="R140" s="119"/>
      <c r="S140" s="173"/>
      <c r="T140" s="5">
        <f t="shared" si="230"/>
      </c>
      <c r="U140" s="4">
        <f t="shared" si="217"/>
      </c>
      <c r="V140" s="4">
        <f t="shared" si="218"/>
      </c>
      <c r="W140" s="4">
        <f t="shared" si="219"/>
      </c>
      <c r="X140" s="4">
        <f t="shared" si="220"/>
      </c>
      <c r="Y140" s="4" cm="1">
        <f t="array" ref="Y140">_xlfn.IFS(H140=1,2,H140=3,1)</f>
      </c>
      <c r="Z140" s="4">
        <f t="shared" si="221"/>
      </c>
      <c r="AA140" s="4">
        <f t="shared" si="231"/>
      </c>
      <c r="AB140" s="4">
        <f t="shared" si="222"/>
      </c>
      <c r="AC140" s="4">
        <f t="shared" si="232"/>
      </c>
      <c r="AD140" s="4">
        <f t="shared" si="223"/>
      </c>
      <c r="AE140" s="4">
        <f t="shared" si="243"/>
      </c>
      <c r="AF140" s="4">
        <f t="shared" si="246"/>
      </c>
      <c r="AG140" s="4">
        <f t="shared" si="247"/>
        <v/>
      </c>
      <c r="AH140" s="4">
        <f t="shared" si="233"/>
      </c>
      <c r="AI140" s="4">
        <f t="shared" si="248"/>
      </c>
      <c r="AJ140" s="4">
        <f t="shared" si="234"/>
      </c>
      <c r="AK140" s="4">
        <f t="shared" si="224"/>
      </c>
      <c r="AL140" s="4">
        <f t="shared" si="235"/>
      </c>
      <c r="AM140" s="4">
        <f t="shared" si="236"/>
      </c>
      <c r="AN140" s="4"/>
      <c r="AO140" s="4">
        <f t="shared" si="241"/>
      </c>
      <c r="AP140" s="4">
        <f t="shared" si="237"/>
      </c>
      <c r="AQ140" s="4">
        <f t="shared" si="242"/>
        <v/>
      </c>
      <c r="AR140" s="4">
        <f t="shared" si="238"/>
      </c>
      <c r="AS140" s="4">
        <f t="shared" si="239"/>
      </c>
      <c r="AT140" s="4">
        <f t="shared" si="249"/>
      </c>
    </row>
    <row r="141" spans="1:46" x14ac:dyDescent="0.3">
      <c r="A141" s="5">
        <f t="shared" si="216"/>
      </c>
      <c r="B141" s="4">
        <f t="shared" si="227"/>
      </c>
      <c r="C141" s="119"/>
      <c r="D141" s="119"/>
      <c r="E141" s="105"/>
      <c r="F141" s="173"/>
      <c r="G141" s="173"/>
      <c r="H141" s="173"/>
      <c r="I141" s="192"/>
      <c r="J141" s="105"/>
      <c r="K141" s="105"/>
      <c r="L141" s="105"/>
      <c r="M141" s="97">
        <f t="shared" ref="M141:M144" si="250">IFERROR(IF(VLOOKUP(AH141,Потребители_обозначение,4,FALSE)=1,VLOOKUP(AH141,Потребители_обозначение,3,FALSE)*(G141*2-1)+I141+VLOOKUP(AI141,Этаж_обозначение,3,FALSE)+VLOOKUP(AI141,Этаж_обозначение,4,FALSE),VLOOKUP(AH141,Потребители_обозначение,3,FALSE)*(G141*2-1)+I141),I141)</f>
      </c>
      <c r="N141" s="100"/>
      <c r="O141" s="164"/>
      <c r="P141" s="100">
        <f t="shared" ref="P141:P144" si="251">IF(VLOOKUP(AH141,Потребители_обозначение,5,FALSE)=2,_xlfn.IFS(H141=3,VLOOKUP(E141,Справочная_двигатели,8,FALSE),H141=1,VLOOKUP(E141,Справочная_двигатели,10,TRUE)),0.95)</f>
      </c>
      <c r="Q141" s="188"/>
      <c r="R141" s="119"/>
      <c r="S141" s="173"/>
      <c r="T141" s="5">
        <f t="shared" si="230"/>
      </c>
      <c r="U141" s="4">
        <f t="shared" si="217"/>
      </c>
      <c r="V141" s="4">
        <f t="shared" si="218"/>
      </c>
      <c r="W141" s="4">
        <f t="shared" si="219"/>
      </c>
      <c r="X141" s="4">
        <f t="shared" si="220"/>
      </c>
      <c r="Y141" s="4" cm="1">
        <f t="array" ref="Y141">_xlfn.IFS(H141=1,2,H141=3,1)</f>
      </c>
      <c r="Z141" s="4">
        <f t="shared" si="221"/>
      </c>
      <c r="AA141" s="4">
        <f t="shared" si="231"/>
      </c>
      <c r="AB141" s="4">
        <f t="shared" si="222"/>
      </c>
      <c r="AC141" s="4">
        <f t="shared" si="232"/>
      </c>
      <c r="AD141" s="4">
        <f t="shared" si="223"/>
      </c>
      <c r="AE141" s="4">
        <f t="shared" si="243"/>
      </c>
      <c r="AF141" s="4">
        <f t="shared" si="246"/>
      </c>
      <c r="AG141" s="4">
        <f t="shared" si="247"/>
        <v/>
      </c>
      <c r="AH141" s="4">
        <f t="shared" si="233"/>
      </c>
      <c r="AI141" s="4">
        <f t="shared" si="248"/>
      </c>
      <c r="AJ141" s="4">
        <f t="shared" si="234"/>
      </c>
      <c r="AK141" s="4">
        <f t="shared" si="224"/>
      </c>
      <c r="AL141" s="4">
        <f t="shared" si="235"/>
      </c>
      <c r="AM141" s="4">
        <f t="shared" si="236"/>
      </c>
      <c r="AN141" s="4"/>
      <c r="AO141" s="4">
        <f t="shared" si="241"/>
      </c>
      <c r="AP141" s="4">
        <f t="shared" si="237"/>
      </c>
      <c r="AQ141" s="4">
        <f t="shared" si="242"/>
        <v/>
      </c>
      <c r="AR141" s="4">
        <f t="shared" si="238"/>
      </c>
      <c r="AS141" s="4">
        <f t="shared" si="239"/>
      </c>
      <c r="AT141" s="4">
        <f t="shared" si="249"/>
      </c>
    </row>
    <row r="142" spans="1:46" x14ac:dyDescent="0.3">
      <c r="A142" s="5">
        <f t="shared" si="216"/>
      </c>
      <c r="B142" s="4">
        <f t="shared" si="227"/>
      </c>
      <c r="C142" s="119"/>
      <c r="D142" s="119"/>
      <c r="E142" s="105"/>
      <c r="F142" s="173"/>
      <c r="G142" s="173"/>
      <c r="H142" s="173"/>
      <c r="I142" s="192"/>
      <c r="J142" s="105"/>
      <c r="K142" s="105"/>
      <c r="L142" s="105"/>
      <c r="M142" s="97">
        <f t="shared" si="250"/>
      </c>
      <c r="N142" s="100"/>
      <c r="O142" s="164"/>
      <c r="P142" s="100">
        <f t="shared" si="251"/>
      </c>
      <c r="Q142" s="188"/>
      <c r="R142" s="119"/>
      <c r="S142" s="173"/>
      <c r="T142" s="5">
        <f t="shared" si="230"/>
      </c>
      <c r="U142" s="4">
        <f t="shared" si="217"/>
      </c>
      <c r="V142" s="4">
        <f t="shared" si="218"/>
      </c>
      <c r="W142" s="4">
        <f t="shared" si="219"/>
      </c>
      <c r="X142" s="4">
        <f t="shared" si="220"/>
      </c>
      <c r="Y142" s="4" cm="1">
        <f t="array" ref="Y142">_xlfn.IFS(H142=1,2,H142=3,1)</f>
      </c>
      <c r="Z142" s="4">
        <f t="shared" si="221"/>
      </c>
      <c r="AA142" s="4">
        <f t="shared" si="231"/>
      </c>
      <c r="AB142" s="4">
        <f t="shared" si="222"/>
      </c>
      <c r="AC142" s="4">
        <f t="shared" si="232"/>
      </c>
      <c r="AD142" s="4">
        <f t="shared" si="223"/>
      </c>
      <c r="AE142" s="4">
        <f t="shared" si="243"/>
      </c>
      <c r="AF142" s="4">
        <f t="shared" si="246"/>
      </c>
      <c r="AG142" s="4">
        <f t="shared" si="247"/>
        <v/>
      </c>
      <c r="AH142" s="4">
        <f t="shared" si="233"/>
      </c>
      <c r="AI142" s="4">
        <f t="shared" si="248"/>
      </c>
      <c r="AJ142" s="4">
        <f t="shared" si="234"/>
      </c>
      <c r="AK142" s="4">
        <f t="shared" si="224"/>
      </c>
      <c r="AL142" s="4">
        <f t="shared" si="235"/>
      </c>
      <c r="AM142" s="4">
        <f t="shared" si="236"/>
      </c>
      <c r="AN142" s="4"/>
      <c r="AO142" s="4">
        <f t="shared" si="241"/>
      </c>
      <c r="AP142" s="4">
        <f t="shared" si="237"/>
      </c>
      <c r="AQ142" s="4">
        <f t="shared" si="242"/>
        <v/>
      </c>
      <c r="AR142" s="4">
        <f t="shared" si="238"/>
      </c>
      <c r="AS142" s="4">
        <f t="shared" si="239"/>
      </c>
      <c r="AT142" s="4">
        <f t="shared" si="249"/>
      </c>
    </row>
    <row r="143" spans="1:46" x14ac:dyDescent="0.3">
      <c r="A143" s="5">
        <f t="shared" si="216"/>
      </c>
      <c r="B143" s="4">
        <f t="shared" si="227"/>
      </c>
      <c r="C143" s="119"/>
      <c r="D143" s="119"/>
      <c r="E143" s="105"/>
      <c r="F143" s="173"/>
      <c r="G143" s="173"/>
      <c r="H143" s="173"/>
      <c r="I143" s="192"/>
      <c r="J143" s="105"/>
      <c r="K143" s="105"/>
      <c r="L143" s="105"/>
      <c r="M143" s="97">
        <f t="shared" si="250"/>
      </c>
      <c r="N143" s="100"/>
      <c r="O143" s="164"/>
      <c r="P143" s="100">
        <f t="shared" si="251"/>
      </c>
      <c r="Q143" s="188"/>
      <c r="R143" s="119"/>
      <c r="S143" s="173"/>
      <c r="T143" s="5">
        <f t="shared" si="230"/>
      </c>
      <c r="U143" s="4">
        <f t="shared" si="217"/>
      </c>
      <c r="V143" s="4">
        <f t="shared" si="218"/>
      </c>
      <c r="W143" s="4">
        <f t="shared" si="219"/>
      </c>
      <c r="X143" s="4">
        <f t="shared" si="220"/>
      </c>
      <c r="Y143" s="4" cm="1">
        <f t="array" ref="Y143">_xlfn.IFS(H143=1,2,H143=3,1)</f>
      </c>
      <c r="Z143" s="4">
        <f t="shared" si="221"/>
      </c>
      <c r="AA143" s="4">
        <f t="shared" si="231"/>
      </c>
      <c r="AB143" s="4">
        <f t="shared" si="222"/>
      </c>
      <c r="AC143" s="4">
        <f t="shared" si="232"/>
      </c>
      <c r="AD143" s="4">
        <f t="shared" si="223"/>
      </c>
      <c r="AE143" s="4">
        <f t="shared" si="243"/>
      </c>
      <c r="AF143" s="4">
        <f t="shared" si="246"/>
      </c>
      <c r="AG143" s="4">
        <f t="shared" si="247"/>
        <v/>
      </c>
      <c r="AH143" s="4">
        <f t="shared" si="233"/>
      </c>
      <c r="AI143" s="4">
        <f t="shared" si="248"/>
      </c>
      <c r="AJ143" s="4">
        <f t="shared" si="234"/>
      </c>
      <c r="AK143" s="4">
        <f t="shared" si="224"/>
      </c>
      <c r="AL143" s="4">
        <f t="shared" si="235"/>
      </c>
      <c r="AM143" s="4">
        <f t="shared" si="236"/>
      </c>
      <c r="AN143" s="4"/>
      <c r="AO143" s="4">
        <f t="shared" si="241"/>
      </c>
      <c r="AP143" s="4">
        <f t="shared" si="237"/>
      </c>
      <c r="AQ143" s="4">
        <f t="shared" si="242"/>
        <v/>
      </c>
      <c r="AR143" s="4">
        <f t="shared" si="238"/>
      </c>
      <c r="AS143" s="4">
        <f t="shared" si="239"/>
      </c>
      <c r="AT143" s="4">
        <f t="shared" si="249"/>
      </c>
    </row>
    <row r="144" spans="1:46" x14ac:dyDescent="0.3">
      <c r="A144" s="5">
        <f t="shared" si="216"/>
      </c>
      <c r="B144" s="4">
        <f t="shared" si="227"/>
      </c>
      <c r="C144" s="119"/>
      <c r="D144" s="119"/>
      <c r="E144" s="105"/>
      <c r="F144" s="173"/>
      <c r="G144" s="173"/>
      <c r="H144" s="173"/>
      <c r="I144" s="192"/>
      <c r="J144" s="105"/>
      <c r="K144" s="105"/>
      <c r="L144" s="105"/>
      <c r="M144" s="97">
        <f t="shared" si="250"/>
      </c>
      <c r="N144" s="100"/>
      <c r="O144" s="164"/>
      <c r="P144" s="100">
        <f t="shared" si="251"/>
      </c>
      <c r="Q144" s="188"/>
      <c r="R144" s="119"/>
      <c r="S144" s="173"/>
      <c r="T144" s="5">
        <f t="shared" si="230"/>
      </c>
      <c r="U144" s="4">
        <f t="shared" si="217"/>
      </c>
      <c r="V144" s="4">
        <f t="shared" si="218"/>
      </c>
      <c r="W144" s="4">
        <f t="shared" si="219"/>
      </c>
      <c r="X144" s="4">
        <f t="shared" si="220"/>
      </c>
      <c r="Y144" s="4" cm="1">
        <f t="array" ref="Y144">_xlfn.IFS(H144=1,2,H144=3,1)</f>
      </c>
      <c r="Z144" s="4">
        <f t="shared" si="221"/>
      </c>
      <c r="AA144" s="4">
        <f t="shared" si="231"/>
      </c>
      <c r="AB144" s="4">
        <f t="shared" si="222"/>
      </c>
      <c r="AC144" s="4">
        <f t="shared" si="232"/>
      </c>
      <c r="AD144" s="4">
        <f t="shared" si="223"/>
      </c>
      <c r="AE144" s="4">
        <f t="shared" si="243"/>
      </c>
      <c r="AF144" s="4">
        <f t="shared" si="246"/>
      </c>
      <c r="AG144" s="4">
        <f t="shared" si="247"/>
        <v/>
      </c>
      <c r="AH144" s="4">
        <f t="shared" si="233"/>
      </c>
      <c r="AI144" s="4">
        <f t="shared" si="248"/>
      </c>
      <c r="AJ144" s="4">
        <f t="shared" si="234"/>
      </c>
      <c r="AK144" s="4">
        <f t="shared" si="224"/>
      </c>
      <c r="AL144" s="4">
        <f t="shared" si="235"/>
      </c>
      <c r="AM144" s="4">
        <f t="shared" si="236"/>
      </c>
      <c r="AN144" s="4"/>
      <c r="AO144" s="4">
        <f t="shared" si="241"/>
      </c>
      <c r="AP144" s="4">
        <f t="shared" si="237"/>
      </c>
      <c r="AQ144" s="4">
        <f t="shared" si="242"/>
        <v/>
      </c>
      <c r="AR144" s="4">
        <f t="shared" si="238"/>
      </c>
      <c r="AS144" s="4">
        <f t="shared" si="239"/>
      </c>
      <c r="AT144" s="4">
        <f t="shared" si="249"/>
      </c>
    </row>
    <row r="145" spans="1:46" x14ac:dyDescent="0.3">
      <c r="A145" s="5">
        <f t="shared" si="216"/>
      </c>
      <c r="B145" s="4">
        <f t="shared" si="227"/>
      </c>
      <c r="C145" s="119"/>
      <c r="D145" s="119"/>
      <c r="E145" s="105"/>
      <c r="F145" s="173"/>
      <c r="G145" s="173"/>
      <c r="H145" s="173"/>
      <c r="I145" s="192"/>
      <c r="J145" s="105"/>
      <c r="K145" s="105"/>
      <c r="L145" s="105"/>
      <c r="M145" s="97">
        <f t="shared" ref="M145:M147" si="252">IFERROR(IF(VLOOKUP(AH145,Потребители_обозначение,4,FALSE)=1,VLOOKUP(AH145,Потребители_обозначение,3,FALSE)*(G145*2-1)+I145+VLOOKUP(AI145,Этаж_обозначение,3,FALSE)+VLOOKUP(AI145,Этаж_обозначение,4,FALSE),VLOOKUP(AH145,Потребители_обозначение,3,FALSE)*(G145*2-1)+I145),I145)</f>
      </c>
      <c r="N145" s="100"/>
      <c r="O145" s="164"/>
      <c r="P145" s="100">
        <f t="shared" ref="P145:P147" si="253">IF(VLOOKUP(AH145,Потребители_обозначение,5,FALSE)=2,_xlfn.IFS(H145=3,VLOOKUP(E145,Справочная_двигатели,8,FALSE),H145=1,VLOOKUP(E145,Справочная_двигатели,10,TRUE)),0.95)</f>
      </c>
      <c r="Q145" s="188"/>
      <c r="R145" s="119"/>
      <c r="S145" s="173"/>
      <c r="T145" s="5">
        <f t="shared" si="230"/>
      </c>
      <c r="U145" s="4">
        <f t="shared" si="217"/>
      </c>
      <c r="V145" s="4">
        <f t="shared" si="218"/>
      </c>
      <c r="W145" s="4">
        <f t="shared" si="219"/>
      </c>
      <c r="X145" s="4">
        <f t="shared" si="220"/>
      </c>
      <c r="Y145" s="4" cm="1">
        <f t="array" ref="Y145">_xlfn.IFS(H145=1,2,H145=3,1)</f>
      </c>
      <c r="Z145" s="4">
        <f t="shared" si="221"/>
      </c>
      <c r="AA145" s="4">
        <f t="shared" si="231"/>
      </c>
      <c r="AB145" s="4">
        <f t="shared" si="222"/>
      </c>
      <c r="AC145" s="4">
        <f t="shared" si="232"/>
      </c>
      <c r="AD145" s="4">
        <f t="shared" si="223"/>
      </c>
      <c r="AE145" s="4">
        <f t="shared" si="243"/>
      </c>
      <c r="AF145" s="4">
        <f t="shared" si="246"/>
      </c>
      <c r="AG145" s="4">
        <f t="shared" si="247"/>
        <v/>
      </c>
      <c r="AH145" s="4">
        <f t="shared" si="233"/>
      </c>
      <c r="AI145" s="4">
        <f t="shared" si="248"/>
      </c>
      <c r="AJ145" s="4">
        <f t="shared" si="234"/>
      </c>
      <c r="AK145" s="4">
        <f t="shared" si="224"/>
      </c>
      <c r="AL145" s="4">
        <f t="shared" si="235"/>
      </c>
      <c r="AM145" s="4">
        <f t="shared" si="236"/>
      </c>
      <c r="AN145" s="4"/>
      <c r="AO145" s="4">
        <f t="shared" si="241"/>
      </c>
      <c r="AP145" s="4">
        <f t="shared" si="237"/>
      </c>
      <c r="AQ145" s="4">
        <f t="shared" si="242"/>
        <v/>
      </c>
      <c r="AR145" s="4">
        <f t="shared" si="238"/>
      </c>
      <c r="AS145" s="4">
        <f t="shared" si="239"/>
      </c>
      <c r="AT145" s="4">
        <f t="shared" si="249"/>
      </c>
    </row>
    <row r="146" spans="1:46" x14ac:dyDescent="0.3">
      <c r="A146" s="5">
        <f t="shared" si="216"/>
      </c>
      <c r="B146" s="4">
        <f t="shared" si="227"/>
      </c>
      <c r="C146" s="119"/>
      <c r="D146" s="119"/>
      <c r="E146" s="105"/>
      <c r="F146" s="173"/>
      <c r="G146" s="173"/>
      <c r="H146" s="173"/>
      <c r="I146" s="192"/>
      <c r="J146" s="105"/>
      <c r="K146" s="105"/>
      <c r="L146" s="105"/>
      <c r="M146" s="97">
        <f t="shared" si="252"/>
      </c>
      <c r="N146" s="100"/>
      <c r="O146" s="164"/>
      <c r="P146" s="100">
        <f t="shared" si="253"/>
      </c>
      <c r="Q146" s="188"/>
      <c r="R146" s="119"/>
      <c r="S146" s="173"/>
      <c r="T146" s="5">
        <f t="shared" si="230"/>
      </c>
      <c r="U146" s="4">
        <f t="shared" si="217"/>
      </c>
      <c r="V146" s="4">
        <f t="shared" si="218"/>
      </c>
      <c r="W146" s="4">
        <f t="shared" si="219"/>
      </c>
      <c r="X146" s="4">
        <f t="shared" si="220"/>
      </c>
      <c r="Y146" s="4" cm="1">
        <f t="array" ref="Y146">_xlfn.IFS(H146=1,2,H146=3,1)</f>
      </c>
      <c r="Z146" s="4">
        <f t="shared" si="221"/>
      </c>
      <c r="AA146" s="4">
        <f t="shared" si="231"/>
      </c>
      <c r="AB146" s="4">
        <f t="shared" si="222"/>
      </c>
      <c r="AC146" s="4">
        <f t="shared" si="232"/>
      </c>
      <c r="AD146" s="4">
        <f t="shared" si="223"/>
      </c>
      <c r="AE146" s="4">
        <f t="shared" si="243"/>
      </c>
      <c r="AF146" s="4">
        <f t="shared" si="246"/>
      </c>
      <c r="AG146" s="4">
        <f t="shared" si="247"/>
        <v/>
      </c>
      <c r="AH146" s="4">
        <f t="shared" si="233"/>
      </c>
      <c r="AI146" s="4">
        <f t="shared" si="248"/>
      </c>
      <c r="AJ146" s="4">
        <f t="shared" si="234"/>
      </c>
      <c r="AK146" s="4">
        <f t="shared" si="224"/>
      </c>
      <c r="AL146" s="4">
        <f t="shared" si="235"/>
      </c>
      <c r="AM146" s="4">
        <f t="shared" si="236"/>
      </c>
      <c r="AN146" s="4"/>
      <c r="AO146" s="4">
        <f t="shared" si="241"/>
      </c>
      <c r="AP146" s="4">
        <f t="shared" si="237"/>
      </c>
      <c r="AQ146" s="4">
        <f t="shared" si="242"/>
        <v/>
      </c>
      <c r="AR146" s="4">
        <f t="shared" si="238"/>
      </c>
      <c r="AS146" s="4">
        <f t="shared" si="239"/>
      </c>
      <c r="AT146" s="4">
        <f t="shared" si="249"/>
      </c>
    </row>
    <row r="147" spans="1:46" x14ac:dyDescent="0.3">
      <c r="A147" s="5">
        <f t="shared" si="216"/>
      </c>
      <c r="B147" s="4">
        <f t="shared" si="227"/>
      </c>
      <c r="C147" s="119"/>
      <c r="D147" s="119"/>
      <c r="E147" s="105"/>
      <c r="F147" s="173"/>
      <c r="G147" s="173"/>
      <c r="H147" s="173"/>
      <c r="I147" s="192"/>
      <c r="J147" s="105"/>
      <c r="K147" s="105"/>
      <c r="L147" s="105"/>
      <c r="M147" s="97">
        <f t="shared" si="252"/>
      </c>
      <c r="N147" s="100"/>
      <c r="O147" s="164"/>
      <c r="P147" s="100">
        <f t="shared" si="253"/>
      </c>
      <c r="Q147" s="188"/>
      <c r="R147" s="119"/>
      <c r="S147" s="173"/>
      <c r="T147" s="5">
        <f t="shared" si="230"/>
      </c>
      <c r="U147" s="4">
        <f t="shared" si="217"/>
      </c>
      <c r="V147" s="4">
        <f t="shared" si="218"/>
      </c>
      <c r="W147" s="4">
        <f t="shared" si="219"/>
      </c>
      <c r="X147" s="4">
        <f t="shared" si="220"/>
      </c>
      <c r="Y147" s="4" cm="1">
        <f t="array" ref="Y147">_xlfn.IFS(H147=1,2,H147=3,1)</f>
      </c>
      <c r="Z147" s="4">
        <f t="shared" si="221"/>
      </c>
      <c r="AA147" s="4">
        <f t="shared" si="231"/>
      </c>
      <c r="AB147" s="4">
        <f t="shared" si="222"/>
      </c>
      <c r="AC147" s="4">
        <f t="shared" si="232"/>
      </c>
      <c r="AD147" s="4">
        <f t="shared" si="223"/>
      </c>
      <c r="AE147" s="4">
        <f t="shared" si="243"/>
      </c>
      <c r="AF147" s="4">
        <f t="shared" si="246"/>
      </c>
      <c r="AG147" s="4">
        <f t="shared" si="247"/>
        <v/>
      </c>
      <c r="AH147" s="4">
        <f t="shared" si="233"/>
      </c>
      <c r="AI147" s="4">
        <f t="shared" si="248"/>
      </c>
      <c r="AJ147" s="4">
        <f t="shared" si="234"/>
      </c>
      <c r="AK147" s="4">
        <f t="shared" si="224"/>
      </c>
      <c r="AL147" s="4">
        <f t="shared" si="235"/>
      </c>
      <c r="AM147" s="4">
        <f t="shared" si="236"/>
      </c>
      <c r="AN147" s="4"/>
      <c r="AO147" s="4">
        <f t="shared" si="241"/>
      </c>
      <c r="AP147" s="4">
        <f t="shared" si="237"/>
      </c>
      <c r="AQ147" s="4">
        <f t="shared" si="242"/>
        <v/>
      </c>
      <c r="AR147" s="4">
        <f t="shared" si="238"/>
      </c>
      <c r="AS147" s="4">
        <f t="shared" si="239"/>
      </c>
      <c r="AT147" s="4">
        <f t="shared" si="249"/>
      </c>
    </row>
    <row r="148" spans="1:46" x14ac:dyDescent="0.3">
      <c r="A148" s="5">
        <f t="shared" si="216"/>
      </c>
      <c r="B148" s="4">
        <f t="shared" si="227"/>
      </c>
      <c r="C148" s="119"/>
      <c r="D148" s="119"/>
      <c r="E148" s="105"/>
      <c r="F148" s="173"/>
      <c r="G148" s="173"/>
      <c r="H148" s="173"/>
      <c r="I148" s="192"/>
      <c r="J148" s="105"/>
      <c r="K148" s="105"/>
      <c r="L148" s="105"/>
      <c r="M148" s="4">
        <f t="shared" si="240"/>
      </c>
      <c r="N148" s="100"/>
      <c r="O148" s="164"/>
      <c r="P148" s="59">
        <f t="shared" si="193"/>
      </c>
      <c r="Q148" s="188"/>
      <c r="R148" s="119"/>
      <c r="S148" s="173"/>
      <c r="T148" s="5">
        <f t="shared" si="230"/>
      </c>
      <c r="U148" s="4">
        <f t="shared" si="217"/>
      </c>
      <c r="V148" s="4">
        <f t="shared" si="218"/>
      </c>
      <c r="W148" s="4">
        <f t="shared" si="219"/>
      </c>
      <c r="X148" s="4">
        <f t="shared" si="220"/>
      </c>
      <c r="Y148" s="4" cm="1">
        <f t="array" ref="Y148">_xlfn.IFS(H148=1,2,H148=3,1)</f>
      </c>
      <c r="Z148" s="4">
        <f t="shared" si="221"/>
      </c>
      <c r="AA148" s="4">
        <f t="shared" si="231"/>
      </c>
      <c r="AB148" s="4">
        <f t="shared" si="222"/>
      </c>
      <c r="AC148" s="4">
        <f t="shared" si="232"/>
      </c>
      <c r="AD148" s="4">
        <f t="shared" si="223"/>
      </c>
      <c r="AE148" s="4">
        <f t="shared" si="243"/>
      </c>
      <c r="AF148" s="4">
        <f t="shared" si="246"/>
      </c>
      <c r="AG148" s="4">
        <f t="shared" si="247"/>
        <v/>
      </c>
      <c r="AH148" s="4">
        <f t="shared" si="233"/>
      </c>
      <c r="AI148" s="4">
        <f t="shared" si="248"/>
      </c>
      <c r="AJ148" s="4">
        <f t="shared" si="234"/>
      </c>
      <c r="AK148" s="4">
        <f t="shared" si="224"/>
      </c>
      <c r="AL148" s="4">
        <f t="shared" si="235"/>
      </c>
      <c r="AM148" s="4">
        <f t="shared" si="236"/>
      </c>
      <c r="AN148" s="4"/>
      <c r="AO148" s="4">
        <f t="shared" si="241"/>
      </c>
      <c r="AP148" s="4">
        <f t="shared" si="237"/>
      </c>
      <c r="AQ148" s="4">
        <f t="shared" si="242"/>
        <v/>
      </c>
      <c r="AR148" s="4">
        <f t="shared" si="238"/>
      </c>
      <c r="AS148" s="4">
        <f t="shared" si="239"/>
      </c>
      <c r="AT148" s="4">
        <f t="shared" si="249"/>
      </c>
    </row>
    <row r="149" spans="1:46" x14ac:dyDescent="0.3">
      <c r="A149" s="5">
        <f t="shared" si="216"/>
      </c>
      <c r="B149" s="4">
        <f t="shared" si="227"/>
      </c>
      <c r="C149" s="119"/>
      <c r="D149" s="119"/>
      <c r="E149" s="105"/>
      <c r="F149" s="173"/>
      <c r="G149" s="173"/>
      <c r="H149" s="173"/>
      <c r="I149" s="192"/>
      <c r="J149" s="105"/>
      <c r="K149" s="105"/>
      <c r="L149" s="105"/>
      <c r="M149" s="97">
        <f t="shared" ref="M149" si="254">IFERROR(IF(VLOOKUP(AH149,Потребители_обозначение,4,FALSE)=1,VLOOKUP(AH149,Потребители_обозначение,3,FALSE)*(G149*2-1)+I149+VLOOKUP(AI149,Этаж_обозначение,3,FALSE)+VLOOKUP(AI149,Этаж_обозначение,4,FALSE),VLOOKUP(AH149,Потребители_обозначение,3,FALSE)*(G149*2-1)+I149),I149)</f>
      </c>
      <c r="N149" s="100"/>
      <c r="O149" s="164"/>
      <c r="P149" s="100">
        <f t="shared" ref="P149" si="255">IF(VLOOKUP(AH149,Потребители_обозначение,5,FALSE)=2,_xlfn.IFS(H149=3,VLOOKUP(E149,Справочная_двигатели,8,FALSE),H149=1,VLOOKUP(E149,Справочная_двигатели,10,TRUE)),0.95)</f>
      </c>
      <c r="Q149" s="188"/>
      <c r="R149" s="119"/>
      <c r="S149" s="173"/>
      <c r="T149" s="5">
        <f t="shared" si="230"/>
      </c>
      <c r="U149" s="4">
        <f t="shared" si="217"/>
      </c>
      <c r="V149" s="4">
        <f t="shared" si="218"/>
      </c>
      <c r="W149" s="4">
        <f t="shared" si="219"/>
      </c>
      <c r="X149" s="4">
        <f t="shared" si="220"/>
      </c>
      <c r="Y149" s="4" cm="1">
        <f t="array" ref="Y149">_xlfn.IFS(H149=1,2,H149=3,1)</f>
      </c>
      <c r="Z149" s="4">
        <f t="shared" si="221"/>
      </c>
      <c r="AA149" s="4">
        <f t="shared" si="231"/>
      </c>
      <c r="AB149" s="4">
        <f t="shared" si="222"/>
      </c>
      <c r="AC149" s="4">
        <f t="shared" si="232"/>
      </c>
      <c r="AD149" s="4">
        <f t="shared" si="223"/>
      </c>
      <c r="AE149" s="4">
        <f t="shared" si="243"/>
      </c>
      <c r="AF149" s="4">
        <f t="shared" si="246"/>
      </c>
      <c r="AG149" s="4">
        <f t="shared" si="247"/>
        <v/>
      </c>
      <c r="AH149" s="4">
        <f t="shared" si="233"/>
      </c>
      <c r="AI149" s="4">
        <f t="shared" si="248"/>
      </c>
      <c r="AJ149" s="4">
        <f t="shared" si="234"/>
      </c>
      <c r="AK149" s="4">
        <f t="shared" si="224"/>
      </c>
      <c r="AL149" s="4">
        <f t="shared" si="235"/>
      </c>
      <c r="AM149" s="4">
        <f t="shared" si="236"/>
      </c>
      <c r="AN149" s="4"/>
      <c r="AO149" s="4">
        <f t="shared" si="241"/>
      </c>
      <c r="AP149" s="4">
        <f t="shared" si="237"/>
      </c>
      <c r="AQ149" s="4">
        <f t="shared" si="242"/>
        <v/>
      </c>
      <c r="AR149" s="4">
        <f t="shared" si="238"/>
      </c>
      <c r="AS149" s="4">
        <f t="shared" si="239"/>
      </c>
      <c r="AT149" s="4">
        <f t="shared" si="249"/>
      </c>
    </row>
    <row r="150" spans="1:46" x14ac:dyDescent="0.3">
      <c r="A150" s="5">
        <f t="shared" si="216"/>
      </c>
      <c r="B150" s="4">
        <f t="shared" si="227"/>
      </c>
      <c r="C150" s="181"/>
      <c r="D150" s="119"/>
      <c r="E150" s="105"/>
      <c r="F150" s="173"/>
      <c r="G150" s="173"/>
      <c r="H150" s="173"/>
      <c r="I150" s="192"/>
      <c r="J150" s="105"/>
      <c r="K150" s="105"/>
      <c r="L150" s="105"/>
      <c r="M150" s="97">
        <f t="shared" ref="M150" si="256">IFERROR(IF(VLOOKUP(AH150,Потребители_обозначение,4,FALSE)=1,VLOOKUP(AH150,Потребители_обозначение,3,FALSE)*(G150*2-1)+I150+VLOOKUP(AI150,Этаж_обозначение,3,FALSE)+VLOOKUP(AI150,Этаж_обозначение,4,FALSE),VLOOKUP(AH150,Потребители_обозначение,3,FALSE)*(G150*2-1)+I150),I150)</f>
      </c>
      <c r="N150" s="100"/>
      <c r="O150" s="164"/>
      <c r="P150" s="100">
        <f t="shared" ref="P150" si="257">IF(VLOOKUP(AH150,Потребители_обозначение,5,FALSE)=2,_xlfn.IFS(H150=3,VLOOKUP(E150,Справочная_двигатели,8,FALSE),H150=1,VLOOKUP(E150,Справочная_двигатели,10,TRUE)),0.95)</f>
      </c>
      <c r="Q150" s="188"/>
      <c r="R150" s="119"/>
      <c r="S150" s="173"/>
      <c r="T150" s="5">
        <f t="shared" si="230"/>
      </c>
      <c r="U150" s="4">
        <f t="shared" si="217"/>
      </c>
      <c r="V150" s="4">
        <f t="shared" si="218"/>
      </c>
      <c r="W150" s="4">
        <f t="shared" si="219"/>
      </c>
      <c r="X150" s="4">
        <f t="shared" si="220"/>
      </c>
      <c r="Y150" s="4" cm="1">
        <f t="array" ref="Y150">_xlfn.IFS(H150=1,2,H150=3,1)</f>
      </c>
      <c r="Z150" s="4">
        <f t="shared" si="221"/>
      </c>
      <c r="AA150" s="4">
        <f t="shared" si="231"/>
      </c>
      <c r="AB150" s="4">
        <f t="shared" si="222"/>
      </c>
      <c r="AC150" s="4">
        <f t="shared" si="232"/>
      </c>
      <c r="AD150" s="4">
        <f t="shared" si="223"/>
      </c>
      <c r="AE150" s="4">
        <f t="shared" si="243"/>
      </c>
      <c r="AF150" s="4">
        <f t="shared" si="246"/>
      </c>
      <c r="AG150" s="4">
        <f t="shared" si="247"/>
        <v/>
      </c>
      <c r="AH150" s="4">
        <f t="shared" si="233"/>
      </c>
      <c r="AI150" s="4">
        <f t="shared" si="248"/>
      </c>
      <c r="AJ150" s="4">
        <f t="shared" si="234"/>
      </c>
      <c r="AK150" s="4">
        <f t="shared" si="224"/>
      </c>
      <c r="AL150" s="4">
        <f t="shared" si="235"/>
      </c>
      <c r="AM150" s="4">
        <f t="shared" si="236"/>
      </c>
      <c r="AN150" s="4"/>
      <c r="AO150" s="4">
        <f t="shared" si="241"/>
      </c>
      <c r="AP150" s="4">
        <f t="shared" si="237"/>
      </c>
      <c r="AQ150" s="4">
        <f t="shared" si="242"/>
        <v/>
      </c>
      <c r="AR150" s="4">
        <f t="shared" si="238"/>
      </c>
      <c r="AS150" s="4">
        <f t="shared" si="239"/>
      </c>
      <c r="AT150" s="4">
        <f t="shared" si="249"/>
      </c>
    </row>
    <row r="151" spans="1:46" x14ac:dyDescent="0.3">
      <c r="A151" s="5">
        <f t="shared" si="216"/>
      </c>
      <c r="B151" s="4">
        <f t="shared" si="227"/>
      </c>
      <c r="C151" s="181"/>
      <c r="D151" s="119"/>
      <c r="E151" s="105"/>
      <c r="F151" s="173"/>
      <c r="G151" s="173"/>
      <c r="H151" s="173"/>
      <c r="I151" s="192"/>
      <c r="J151" s="105"/>
      <c r="K151" s="105"/>
      <c r="L151" s="105"/>
      <c r="M151" s="97">
        <f t="shared" ref="M151" si="258">IFERROR(IF(VLOOKUP(AH151,Потребители_обозначение,4,FALSE)=1,VLOOKUP(AH151,Потребители_обозначение,3,FALSE)*(G151*2-1)+I151+VLOOKUP(AI151,Этаж_обозначение,3,FALSE)+VLOOKUP(AI151,Этаж_обозначение,4,FALSE),VLOOKUP(AH151,Потребители_обозначение,3,FALSE)*(G151*2-1)+I151),I151)</f>
      </c>
      <c r="N151" s="100"/>
      <c r="O151" s="164"/>
      <c r="P151" s="100">
        <f t="shared" ref="P151" si="259">IF(VLOOKUP(AH151,Потребители_обозначение,5,FALSE)=2,_xlfn.IFS(H151=3,VLOOKUP(E151,Справочная_двигатели,8,FALSE),H151=1,VLOOKUP(E151,Справочная_двигатели,10,TRUE)),0.95)</f>
      </c>
      <c r="Q151" s="188"/>
      <c r="R151" s="119"/>
      <c r="S151" s="173"/>
      <c r="T151" s="5">
        <f t="shared" si="230"/>
      </c>
      <c r="U151" s="4">
        <f t="shared" si="217"/>
      </c>
      <c r="V151" s="4">
        <f t="shared" si="218"/>
      </c>
      <c r="W151" s="4">
        <f t="shared" si="219"/>
      </c>
      <c r="X151" s="4">
        <f t="shared" si="220"/>
      </c>
      <c r="Y151" s="4" cm="1">
        <f t="array" ref="Y151">_xlfn.IFS(H151=1,2,H151=3,1)</f>
      </c>
      <c r="Z151" s="4">
        <f t="shared" si="221"/>
      </c>
      <c r="AA151" s="4">
        <f t="shared" si="231"/>
      </c>
      <c r="AB151" s="4">
        <f t="shared" si="222"/>
      </c>
      <c r="AC151" s="4">
        <f t="shared" si="232"/>
      </c>
      <c r="AD151" s="4">
        <f t="shared" si="223"/>
      </c>
      <c r="AE151" s="4">
        <f t="shared" si="243"/>
      </c>
      <c r="AF151" s="4">
        <f t="shared" si="246"/>
      </c>
      <c r="AG151" s="4">
        <f t="shared" si="247"/>
        <v/>
      </c>
      <c r="AH151" s="4">
        <f t="shared" si="233"/>
      </c>
      <c r="AI151" s="4">
        <f t="shared" si="248"/>
      </c>
      <c r="AJ151" s="4">
        <f t="shared" si="234"/>
      </c>
      <c r="AK151" s="4">
        <f t="shared" si="224"/>
      </c>
      <c r="AL151" s="4">
        <f t="shared" si="235"/>
      </c>
      <c r="AM151" s="4">
        <f t="shared" si="236"/>
      </c>
      <c r="AN151" s="4"/>
      <c r="AO151" s="4">
        <f t="shared" si="241"/>
      </c>
      <c r="AP151" s="4">
        <f t="shared" si="237"/>
      </c>
      <c r="AQ151" s="4">
        <f t="shared" si="242"/>
        <v/>
      </c>
      <c r="AR151" s="4">
        <f t="shared" si="238"/>
      </c>
      <c r="AS151" s="4">
        <f t="shared" si="239"/>
      </c>
      <c r="AT151" s="4">
        <f t="shared" si="249"/>
      </c>
    </row>
    <row r="152" spans="1:46" x14ac:dyDescent="0.3">
      <c r="A152" s="5">
        <f t="shared" si="216"/>
      </c>
      <c r="B152" s="4">
        <f t="shared" si="227"/>
      </c>
      <c r="C152" s="119"/>
      <c r="D152" s="119"/>
      <c r="E152" s="105"/>
      <c r="F152" s="173"/>
      <c r="G152" s="173"/>
      <c r="H152" s="173"/>
      <c r="I152" s="192"/>
      <c r="J152" s="105"/>
      <c r="K152" s="105"/>
      <c r="L152" s="105"/>
      <c r="M152" s="4">
        <f t="shared" si="240"/>
      </c>
      <c r="N152" s="100"/>
      <c r="O152" s="164"/>
      <c r="P152" s="59">
        <f t="shared" ref="P152:P212" si="260">IF(VLOOKUP(AH152,Потребители_обозначение,5,FALSE)=2,_xlfn.IFS(H152=3,VLOOKUP(E152,Справочная_двигатели,8,FALSE),H152=1,VLOOKUP(E152,Справочная_двигатели,10,TRUE)),0.95)</f>
      </c>
      <c r="Q152" s="188"/>
      <c r="R152" s="119"/>
      <c r="S152" s="173"/>
      <c r="T152" s="5">
        <f t="shared" si="230"/>
      </c>
      <c r="U152" s="4">
        <f t="shared" si="217"/>
      </c>
      <c r="V152" s="4">
        <f t="shared" si="218"/>
      </c>
      <c r="W152" s="4">
        <f t="shared" si="219"/>
      </c>
      <c r="X152" s="4">
        <f t="shared" si="220"/>
      </c>
      <c r="Y152" s="4" cm="1">
        <f t="array" ref="Y152">_xlfn.IFS(H152=1,2,H152=3,1)</f>
      </c>
      <c r="Z152" s="4">
        <f t="shared" si="221"/>
      </c>
      <c r="AA152" s="4">
        <f t="shared" si="231"/>
      </c>
      <c r="AB152" s="4">
        <f t="shared" si="222"/>
      </c>
      <c r="AC152" s="4">
        <f t="shared" si="232"/>
      </c>
      <c r="AD152" s="4">
        <f t="shared" si="223"/>
      </c>
      <c r="AE152" s="4">
        <f t="shared" si="243"/>
      </c>
      <c r="AF152" s="4">
        <f t="shared" si="246"/>
      </c>
      <c r="AG152" s="4">
        <f t="shared" si="247"/>
        <v/>
      </c>
      <c r="AH152" s="4">
        <f t="shared" si="233"/>
      </c>
      <c r="AI152" s="4">
        <f t="shared" si="248"/>
      </c>
      <c r="AJ152" s="4">
        <f t="shared" si="234"/>
      </c>
      <c r="AK152" s="4">
        <f t="shared" si="224"/>
      </c>
      <c r="AL152" s="4">
        <f t="shared" si="235"/>
      </c>
      <c r="AM152" s="4">
        <f t="shared" si="236"/>
      </c>
      <c r="AN152" s="4"/>
      <c r="AO152" s="4">
        <f t="shared" si="241"/>
      </c>
      <c r="AP152" s="4">
        <f t="shared" si="237"/>
      </c>
      <c r="AQ152" s="4">
        <f t="shared" si="242"/>
        <v/>
      </c>
      <c r="AR152" s="4">
        <f t="shared" si="238"/>
      </c>
      <c r="AS152" s="4">
        <f t="shared" si="239"/>
      </c>
      <c r="AT152" s="4">
        <f t="shared" si="249"/>
      </c>
    </row>
    <row r="153" spans="1:46" x14ac:dyDescent="0.3">
      <c r="A153" s="5">
        <f t="shared" si="216"/>
      </c>
      <c r="B153" s="4">
        <f t="shared" si="227"/>
      </c>
      <c r="C153" s="119"/>
      <c r="D153" s="119"/>
      <c r="E153" s="105"/>
      <c r="F153" s="173"/>
      <c r="G153" s="173"/>
      <c r="H153" s="173"/>
      <c r="I153" s="192"/>
      <c r="J153" s="105"/>
      <c r="K153" s="105"/>
      <c r="L153" s="105"/>
      <c r="M153" s="97">
        <f t="shared" ref="M153" si="261">IFERROR(IF(VLOOKUP(AH153,Потребители_обозначение,4,FALSE)=1,VLOOKUP(AH153,Потребители_обозначение,3,FALSE)*(G153*2-1)+I153+VLOOKUP(AI153,Этаж_обозначение,3,FALSE)+VLOOKUP(AI153,Этаж_обозначение,4,FALSE),VLOOKUP(AH153,Потребители_обозначение,3,FALSE)*(G153*2-1)+I153),I153)</f>
      </c>
      <c r="N153" s="100"/>
      <c r="O153" s="164"/>
      <c r="P153" s="100">
        <f t="shared" ref="P153" si="262">IF(VLOOKUP(AH153,Потребители_обозначение,5,FALSE)=2,_xlfn.IFS(H153=3,VLOOKUP(E153,Справочная_двигатели,8,FALSE),H153=1,VLOOKUP(E153,Справочная_двигатели,10,TRUE)),0.95)</f>
      </c>
      <c r="Q153" s="188"/>
      <c r="R153" s="119"/>
      <c r="S153" s="173"/>
      <c r="T153" s="5">
        <f t="shared" si="230"/>
      </c>
      <c r="U153" s="4">
        <f t="shared" si="217"/>
      </c>
      <c r="V153" s="4">
        <f t="shared" si="218"/>
      </c>
      <c r="W153" s="4">
        <f t="shared" si="219"/>
      </c>
      <c r="X153" s="4">
        <f t="shared" si="220"/>
      </c>
      <c r="Y153" s="4" cm="1">
        <f t="array" ref="Y153">_xlfn.IFS(H153=1,2,H153=3,1)</f>
      </c>
      <c r="Z153" s="4">
        <f t="shared" si="221"/>
      </c>
      <c r="AA153" s="4">
        <f t="shared" si="231"/>
      </c>
      <c r="AB153" s="4">
        <f t="shared" si="222"/>
      </c>
      <c r="AC153" s="4">
        <f t="shared" si="232"/>
      </c>
      <c r="AD153" s="4">
        <f t="shared" si="223"/>
      </c>
      <c r="AE153" s="4">
        <f t="shared" si="243"/>
      </c>
      <c r="AF153" s="4">
        <f t="shared" si="246"/>
      </c>
      <c r="AG153" s="4">
        <f t="shared" si="247"/>
        <v/>
      </c>
      <c r="AH153" s="4">
        <f t="shared" si="233"/>
      </c>
      <c r="AI153" s="4">
        <f t="shared" si="248"/>
      </c>
      <c r="AJ153" s="4">
        <f t="shared" si="234"/>
      </c>
      <c r="AK153" s="4">
        <f t="shared" si="224"/>
      </c>
      <c r="AL153" s="4">
        <f t="shared" si="235"/>
      </c>
      <c r="AM153" s="4">
        <f t="shared" si="236"/>
      </c>
      <c r="AN153" s="4"/>
      <c r="AO153" s="4">
        <f t="shared" si="241"/>
      </c>
      <c r="AP153" s="4">
        <f t="shared" si="237"/>
      </c>
      <c r="AQ153" s="4">
        <f t="shared" si="242"/>
        <v/>
      </c>
      <c r="AR153" s="4">
        <f t="shared" si="238"/>
      </c>
      <c r="AS153" s="4">
        <f t="shared" si="239"/>
      </c>
      <c r="AT153" s="4">
        <f t="shared" si="249"/>
      </c>
    </row>
    <row r="154" spans="1:46" x14ac:dyDescent="0.3">
      <c r="A154" s="5">
        <f t="shared" si="216"/>
      </c>
      <c r="B154" s="4">
        <f t="shared" si="227"/>
      </c>
      <c r="C154" s="119"/>
      <c r="D154" s="119"/>
      <c r="E154" s="105"/>
      <c r="F154" s="173"/>
      <c r="G154" s="173"/>
      <c r="H154" s="173"/>
      <c r="I154" s="192"/>
      <c r="J154" s="105"/>
      <c r="K154" s="105"/>
      <c r="L154" s="105"/>
      <c r="M154" s="97">
        <f t="shared" ref="M154:M155" si="263">IFERROR(IF(VLOOKUP(AH154,Потребители_обозначение,4,FALSE)=1,VLOOKUP(AH154,Потребители_обозначение,3,FALSE)*(G154*2-1)+I154+VLOOKUP(AI154,Этаж_обозначение,3,FALSE)+VLOOKUP(AI154,Этаж_обозначение,4,FALSE),VLOOKUP(AH154,Потребители_обозначение,3,FALSE)*(G154*2-1)+I154),I154)</f>
      </c>
      <c r="N154" s="100"/>
      <c r="O154" s="164"/>
      <c r="P154" s="100">
        <f t="shared" ref="P154:P155" si="264">IF(VLOOKUP(AH154,Потребители_обозначение,5,FALSE)=2,_xlfn.IFS(H154=3,VLOOKUP(E154,Справочная_двигатели,8,FALSE),H154=1,VLOOKUP(E154,Справочная_двигатели,10,TRUE)),0.95)</f>
      </c>
      <c r="Q154" s="188"/>
      <c r="R154" s="119"/>
      <c r="S154" s="173"/>
      <c r="T154" s="5">
        <f t="shared" si="230"/>
      </c>
      <c r="U154" s="4">
        <f t="shared" si="217"/>
      </c>
      <c r="V154" s="4">
        <f t="shared" si="218"/>
      </c>
      <c r="W154" s="4">
        <f t="shared" si="219"/>
      </c>
      <c r="X154" s="4">
        <f t="shared" si="220"/>
      </c>
      <c r="Y154" s="4" cm="1">
        <f t="array" ref="Y154">_xlfn.IFS(H154=1,2,H154=3,1)</f>
      </c>
      <c r="Z154" s="4">
        <f t="shared" si="221"/>
      </c>
      <c r="AA154" s="4">
        <f t="shared" si="231"/>
      </c>
      <c r="AB154" s="4">
        <f t="shared" si="222"/>
      </c>
      <c r="AC154" s="4">
        <f t="shared" si="232"/>
      </c>
      <c r="AD154" s="4">
        <f t="shared" si="223"/>
      </c>
      <c r="AE154" s="4">
        <f t="shared" si="243"/>
      </c>
      <c r="AF154" s="4">
        <f t="shared" si="246"/>
      </c>
      <c r="AG154" s="4">
        <f t="shared" si="247"/>
        <v/>
      </c>
      <c r="AH154" s="4">
        <f t="shared" si="233"/>
      </c>
      <c r="AI154" s="4">
        <f t="shared" si="248"/>
      </c>
      <c r="AJ154" s="4">
        <f t="shared" si="234"/>
      </c>
      <c r="AK154" s="4">
        <f t="shared" si="224"/>
      </c>
      <c r="AL154" s="4">
        <f t="shared" si="235"/>
      </c>
      <c r="AM154" s="4">
        <f t="shared" si="236"/>
      </c>
      <c r="AN154" s="4"/>
      <c r="AO154" s="4">
        <f t="shared" si="241"/>
      </c>
      <c r="AP154" s="4">
        <f t="shared" si="237"/>
      </c>
      <c r="AQ154" s="4">
        <f t="shared" si="242"/>
        <v/>
      </c>
      <c r="AR154" s="4">
        <f t="shared" si="238"/>
      </c>
      <c r="AS154" s="4">
        <f t="shared" si="239"/>
      </c>
      <c r="AT154" s="4">
        <f t="shared" si="249"/>
      </c>
    </row>
    <row r="155" spans="1:46" ht="15" thickBot="1" x14ac:dyDescent="0.35">
      <c r="A155" s="45">
        <f t="shared" si="216"/>
      </c>
      <c r="B155" s="44">
        <f t="shared" si="227"/>
      </c>
      <c r="C155" s="175"/>
      <c r="D155" s="175"/>
      <c r="E155" s="176"/>
      <c r="F155" s="178"/>
      <c r="G155" s="178"/>
      <c r="H155" s="178"/>
      <c r="I155" s="192"/>
      <c r="J155" s="176"/>
      <c r="K155" s="176"/>
      <c r="L155" s="176"/>
      <c r="M155" s="99">
        <f t="shared" si="263"/>
      </c>
      <c r="N155" s="101"/>
      <c r="O155" s="166"/>
      <c r="P155" s="101">
        <f t="shared" si="264"/>
      </c>
      <c r="Q155" s="189"/>
      <c r="R155" s="175"/>
      <c r="S155" s="178"/>
      <c r="T155" s="45">
        <f t="shared" si="230"/>
      </c>
      <c r="U155" s="44">
        <f t="shared" si="217"/>
      </c>
      <c r="V155" s="44">
        <f t="shared" si="218"/>
      </c>
      <c r="W155" s="44">
        <f t="shared" si="219"/>
      </c>
      <c r="X155" s="44">
        <f t="shared" si="220"/>
      </c>
      <c r="Y155" s="44" cm="1">
        <f t="array" ref="Y155">_xlfn.IFS(H155=1,2,H155=3,1)</f>
      </c>
      <c r="Z155" s="44">
        <f t="shared" si="221"/>
      </c>
      <c r="AA155" s="44">
        <f t="shared" si="231"/>
      </c>
      <c r="AB155" s="44">
        <f t="shared" si="222"/>
      </c>
      <c r="AC155" s="44">
        <f t="shared" si="232"/>
      </c>
      <c r="AD155" s="44">
        <f t="shared" si="223"/>
      </c>
      <c r="AE155" s="44">
        <f t="shared" si="243"/>
      </c>
      <c r="AF155" s="44">
        <f t="shared" si="246"/>
      </c>
      <c r="AG155" s="44">
        <f t="shared" si="247"/>
        <v/>
      </c>
      <c r="AH155" s="44">
        <f t="shared" si="233"/>
      </c>
      <c r="AI155" s="44">
        <f t="shared" si="248"/>
      </c>
      <c r="AJ155" s="44">
        <f t="shared" si="234"/>
      </c>
      <c r="AK155" s="44">
        <f t="shared" si="224"/>
      </c>
      <c r="AL155" s="44">
        <f t="shared" si="235"/>
      </c>
      <c r="AM155" s="44">
        <f t="shared" si="236"/>
      </c>
      <c r="AN155" s="44"/>
      <c r="AO155" s="44">
        <f t="shared" si="241"/>
      </c>
      <c r="AP155" s="44">
        <f t="shared" si="237"/>
      </c>
      <c r="AQ155" s="44">
        <f t="shared" si="242"/>
        <v/>
      </c>
      <c r="AR155" s="44">
        <f t="shared" si="238"/>
      </c>
      <c r="AS155" s="44">
        <f t="shared" si="239"/>
      </c>
      <c r="AT155" s="44">
        <f t="shared" si="249"/>
      </c>
    </row>
    <row r="156" spans="1:46" x14ac:dyDescent="0.3">
      <c r="A156" s="19">
        <f t="shared" si="216"/>
      </c>
      <c r="B156" s="7">
        <f t="shared" si="227"/>
      </c>
      <c r="C156" s="177"/>
      <c r="D156" s="177"/>
      <c r="E156" s="179"/>
      <c r="F156" s="182"/>
      <c r="G156" s="182"/>
      <c r="H156" s="182"/>
      <c r="I156" s="192"/>
      <c r="J156" s="179"/>
      <c r="K156" s="179"/>
      <c r="L156" s="179"/>
      <c r="M156" s="7">
        <f t="shared" si="240"/>
      </c>
      <c r="N156" s="65"/>
      <c r="O156" s="168"/>
      <c r="P156" s="102">
        <f t="shared" si="260"/>
      </c>
      <c r="Q156" s="190"/>
      <c r="R156" s="177"/>
      <c r="S156" s="182"/>
      <c r="T156" s="19">
        <f t="shared" si="230"/>
      </c>
      <c r="U156" s="7">
        <f t="shared" si="217"/>
      </c>
      <c r="V156" s="7">
        <f t="shared" si="218"/>
      </c>
      <c r="W156" s="7">
        <f t="shared" si="219"/>
      </c>
      <c r="X156" s="7">
        <f t="shared" si="220"/>
      </c>
      <c r="Y156" s="7" cm="1">
        <f t="array" ref="Y156">_xlfn.IFS(H156=1,2,H156=3,1)</f>
      </c>
      <c r="Z156" s="7">
        <f t="shared" si="221"/>
      </c>
      <c r="AA156" s="7">
        <f t="shared" si="231"/>
      </c>
      <c r="AB156" s="7">
        <f t="shared" si="222"/>
      </c>
      <c r="AC156" s="7">
        <f t="shared" si="232"/>
      </c>
      <c r="AD156" s="7">
        <f t="shared" si="223"/>
      </c>
      <c r="AE156" s="7">
        <f t="shared" si="243"/>
      </c>
      <c r="AF156" s="7">
        <f t="shared" si="246"/>
      </c>
      <c r="AG156" s="7">
        <f t="shared" si="247"/>
        <v/>
      </c>
      <c r="AH156" s="7">
        <f t="shared" si="233"/>
      </c>
      <c r="AI156" s="7">
        <f t="shared" si="248"/>
      </c>
      <c r="AJ156" s="7">
        <f t="shared" si="234"/>
      </c>
      <c r="AK156" s="7">
        <f t="shared" si="224"/>
      </c>
      <c r="AL156" s="7">
        <f t="shared" si="235"/>
      </c>
      <c r="AM156" s="7">
        <f t="shared" si="236"/>
      </c>
      <c r="AN156" s="7"/>
      <c r="AO156" s="7">
        <f t="shared" si="241"/>
      </c>
      <c r="AP156" s="7">
        <f t="shared" si="237"/>
      </c>
      <c r="AQ156" s="7">
        <f t="shared" si="242"/>
        <v/>
      </c>
      <c r="AR156" s="7">
        <f t="shared" si="238"/>
      </c>
      <c r="AS156" s="7">
        <f t="shared" si="239"/>
      </c>
      <c r="AT156" s="7">
        <f t="shared" si="249"/>
      </c>
    </row>
    <row r="157" spans="1:46" x14ac:dyDescent="0.3">
      <c r="A157" s="5">
        <f t="shared" si="216"/>
      </c>
      <c r="B157" s="4">
        <f t="shared" si="227"/>
      </c>
      <c r="C157" s="119"/>
      <c r="D157" s="119"/>
      <c r="E157" s="105"/>
      <c r="F157" s="173"/>
      <c r="G157" s="173"/>
      <c r="H157" s="173"/>
      <c r="I157" s="192"/>
      <c r="J157" s="105"/>
      <c r="K157" s="105"/>
      <c r="L157" s="105"/>
      <c r="M157" s="97">
        <f t="shared" si="240"/>
      </c>
      <c r="N157" s="100"/>
      <c r="O157" s="164"/>
      <c r="P157" s="100">
        <f t="shared" si="260"/>
      </c>
      <c r="Q157" s="188"/>
      <c r="R157" s="119"/>
      <c r="S157" s="173"/>
      <c r="T157" s="5">
        <f t="shared" si="230"/>
      </c>
      <c r="U157" s="4">
        <f t="shared" si="217"/>
      </c>
      <c r="V157" s="4">
        <f t="shared" si="218"/>
      </c>
      <c r="W157" s="4">
        <f t="shared" si="219"/>
      </c>
      <c r="X157" s="4">
        <f t="shared" si="220"/>
      </c>
      <c r="Y157" s="4" cm="1">
        <f t="array" ref="Y157">_xlfn.IFS(H157=1,2,H157=3,1)</f>
      </c>
      <c r="Z157" s="4">
        <f t="shared" si="221"/>
      </c>
      <c r="AA157" s="4">
        <f t="shared" si="231"/>
      </c>
      <c r="AB157" s="4">
        <f t="shared" si="222"/>
      </c>
      <c r="AC157" s="4">
        <f t="shared" si="232"/>
      </c>
      <c r="AD157" s="4">
        <f t="shared" si="223"/>
      </c>
      <c r="AE157" s="4">
        <f t="shared" si="243"/>
      </c>
      <c r="AF157" s="4">
        <f t="shared" si="246"/>
      </c>
      <c r="AG157" s="4">
        <f t="shared" si="247"/>
        <v/>
      </c>
      <c r="AH157" s="4">
        <f t="shared" si="233"/>
      </c>
      <c r="AI157" s="4">
        <f t="shared" si="248"/>
      </c>
      <c r="AJ157" s="4">
        <f t="shared" si="234"/>
      </c>
      <c r="AK157" s="4">
        <f t="shared" si="224"/>
      </c>
      <c r="AL157" s="4">
        <f t="shared" si="235"/>
      </c>
      <c r="AM157" s="4">
        <f t="shared" si="236"/>
      </c>
      <c r="AN157" s="4"/>
      <c r="AO157" s="4">
        <f t="shared" si="241"/>
      </c>
      <c r="AP157" s="4">
        <f t="shared" si="237"/>
      </c>
      <c r="AQ157" s="4">
        <f t="shared" si="242"/>
        <v/>
      </c>
      <c r="AR157" s="4">
        <f t="shared" si="238"/>
      </c>
      <c r="AS157" s="4">
        <f t="shared" si="239"/>
      </c>
      <c r="AT157" s="4">
        <f t="shared" si="249"/>
      </c>
    </row>
    <row r="158" spans="1:46" x14ac:dyDescent="0.3">
      <c r="A158" s="5">
        <f t="shared" si="216"/>
      </c>
      <c r="B158" s="4">
        <f t="shared" si="227"/>
      </c>
      <c r="C158" s="119"/>
      <c r="D158" s="119"/>
      <c r="E158" s="105"/>
      <c r="F158" s="173"/>
      <c r="G158" s="173"/>
      <c r="H158" s="173"/>
      <c r="I158" s="192"/>
      <c r="J158" s="105"/>
      <c r="K158" s="105"/>
      <c r="L158" s="105"/>
      <c r="M158" s="97">
        <f t="shared" si="240"/>
      </c>
      <c r="N158" s="100"/>
      <c r="O158" s="164"/>
      <c r="P158" s="100">
        <f t="shared" si="260"/>
      </c>
      <c r="Q158" s="188"/>
      <c r="R158" s="119"/>
      <c r="S158" s="173"/>
      <c r="T158" s="5">
        <f t="shared" si="230"/>
      </c>
      <c r="U158" s="4">
        <f t="shared" si="217"/>
      </c>
      <c r="V158" s="4">
        <f t="shared" si="218"/>
      </c>
      <c r="W158" s="4">
        <f t="shared" si="219"/>
      </c>
      <c r="X158" s="4">
        <f t="shared" si="220"/>
      </c>
      <c r="Y158" s="4" cm="1">
        <f t="array" ref="Y158">_xlfn.IFS(H158=1,2,H158=3,1)</f>
      </c>
      <c r="Z158" s="4">
        <f t="shared" si="221"/>
      </c>
      <c r="AA158" s="4">
        <f t="shared" si="231"/>
      </c>
      <c r="AB158" s="4">
        <f t="shared" si="222"/>
      </c>
      <c r="AC158" s="4">
        <f t="shared" si="232"/>
      </c>
      <c r="AD158" s="4">
        <f t="shared" si="223"/>
      </c>
      <c r="AE158" s="4">
        <f t="shared" si="243"/>
      </c>
      <c r="AF158" s="4">
        <f t="shared" si="246"/>
      </c>
      <c r="AG158" s="4">
        <f t="shared" si="247"/>
        <v/>
      </c>
      <c r="AH158" s="4">
        <f t="shared" si="233"/>
      </c>
      <c r="AI158" s="4">
        <f t="shared" si="248"/>
      </c>
      <c r="AJ158" s="4">
        <f t="shared" si="234"/>
      </c>
      <c r="AK158" s="4">
        <f t="shared" si="224"/>
      </c>
      <c r="AL158" s="4">
        <f t="shared" si="235"/>
      </c>
      <c r="AM158" s="4">
        <f t="shared" si="236"/>
      </c>
      <c r="AN158" s="4"/>
      <c r="AO158" s="4">
        <f t="shared" si="241"/>
      </c>
      <c r="AP158" s="4">
        <f t="shared" si="237"/>
      </c>
      <c r="AQ158" s="4">
        <f t="shared" si="242"/>
        <v/>
      </c>
      <c r="AR158" s="4">
        <f t="shared" si="238"/>
      </c>
      <c r="AS158" s="4">
        <f t="shared" si="239"/>
      </c>
      <c r="AT158" s="4">
        <f t="shared" si="249"/>
      </c>
    </row>
    <row r="159" spans="1:46" x14ac:dyDescent="0.3">
      <c r="A159" s="5">
        <f t="shared" si="216"/>
      </c>
      <c r="B159" s="4">
        <f t="shared" si="227"/>
      </c>
      <c r="C159" s="119"/>
      <c r="D159" s="119"/>
      <c r="E159" s="105"/>
      <c r="F159" s="173"/>
      <c r="G159" s="173"/>
      <c r="H159" s="173"/>
      <c r="I159" s="192"/>
      <c r="J159" s="105"/>
      <c r="K159" s="105"/>
      <c r="L159" s="105"/>
      <c r="M159" s="97">
        <f t="shared" ref="M159" si="265">IFERROR(IF(VLOOKUP(AH159,Потребители_обозначение,4,FALSE)=1,VLOOKUP(AH159,Потребители_обозначение,3,FALSE)*(G159*2-1)+I159+VLOOKUP(AI159,Этаж_обозначение,3,FALSE)+VLOOKUP(AI159,Этаж_обозначение,4,FALSE),VLOOKUP(AH159,Потребители_обозначение,3,FALSE)*(G159*2-1)+I159),I159)</f>
      </c>
      <c r="N159" s="100"/>
      <c r="O159" s="164"/>
      <c r="P159" s="100">
        <f t="shared" ref="P159" si="266">IF(VLOOKUP(AH159,Потребители_обозначение,5,FALSE)=2,_xlfn.IFS(H159=3,VLOOKUP(E159,Справочная_двигатели,8,FALSE),H159=1,VLOOKUP(E159,Справочная_двигатели,10,TRUE)),0.95)</f>
      </c>
      <c r="Q159" s="188"/>
      <c r="R159" s="119"/>
      <c r="S159" s="173"/>
      <c r="T159" s="5">
        <f t="shared" si="230"/>
      </c>
      <c r="U159" s="4">
        <f t="shared" si="217"/>
      </c>
      <c r="V159" s="4">
        <f t="shared" si="218"/>
      </c>
      <c r="W159" s="4">
        <f t="shared" si="219"/>
      </c>
      <c r="X159" s="4">
        <f t="shared" si="220"/>
      </c>
      <c r="Y159" s="4" cm="1">
        <f t="array" ref="Y159">_xlfn.IFS(H159=1,2,H159=3,1)</f>
      </c>
      <c r="Z159" s="4">
        <f t="shared" si="221"/>
      </c>
      <c r="AA159" s="4">
        <f t="shared" si="231"/>
      </c>
      <c r="AB159" s="4">
        <f t="shared" si="222"/>
      </c>
      <c r="AC159" s="4">
        <f t="shared" si="232"/>
      </c>
      <c r="AD159" s="4">
        <f t="shared" si="223"/>
      </c>
      <c r="AE159" s="4">
        <f t="shared" si="243"/>
      </c>
      <c r="AF159" s="4">
        <f t="shared" si="246"/>
      </c>
      <c r="AG159" s="4">
        <f t="shared" si="247"/>
        <v/>
      </c>
      <c r="AH159" s="4">
        <f t="shared" si="233"/>
      </c>
      <c r="AI159" s="4">
        <f t="shared" si="248"/>
      </c>
      <c r="AJ159" s="4">
        <f t="shared" si="234"/>
      </c>
      <c r="AK159" s="4">
        <f t="shared" si="224"/>
      </c>
      <c r="AL159" s="4">
        <f t="shared" si="235"/>
      </c>
      <c r="AM159" s="4">
        <f t="shared" si="236"/>
      </c>
      <c r="AN159" s="4"/>
      <c r="AO159" s="4">
        <f t="shared" si="241"/>
      </c>
      <c r="AP159" s="4">
        <f t="shared" si="237"/>
      </c>
      <c r="AQ159" s="4">
        <f t="shared" si="242"/>
        <v/>
      </c>
      <c r="AR159" s="4">
        <f t="shared" si="238"/>
      </c>
      <c r="AS159" s="4">
        <f t="shared" si="239"/>
      </c>
      <c r="AT159" s="4">
        <f t="shared" si="249"/>
      </c>
    </row>
    <row r="160" spans="1:46" x14ac:dyDescent="0.3">
      <c r="A160" s="5">
        <f t="shared" si="216"/>
      </c>
      <c r="B160" s="4">
        <f t="shared" si="227"/>
      </c>
      <c r="C160" s="119"/>
      <c r="D160" s="119"/>
      <c r="E160" s="105"/>
      <c r="F160" s="173"/>
      <c r="G160" s="173"/>
      <c r="H160" s="173"/>
      <c r="I160" s="192"/>
      <c r="J160" s="105"/>
      <c r="K160" s="105"/>
      <c r="L160" s="105"/>
      <c r="M160" s="97">
        <f t="shared" ref="M160" si="267">IFERROR(IF(VLOOKUP(AH160,Потребители_обозначение,4,FALSE)=1,VLOOKUP(AH160,Потребители_обозначение,3,FALSE)*(G160*2-1)+I160+VLOOKUP(AI160,Этаж_обозначение,3,FALSE)+VLOOKUP(AI160,Этаж_обозначение,4,FALSE),VLOOKUP(AH160,Потребители_обозначение,3,FALSE)*(G160*2-1)+I160),I160)</f>
      </c>
      <c r="N160" s="100"/>
      <c r="O160" s="164"/>
      <c r="P160" s="100">
        <f t="shared" ref="P160" si="268">IF(VLOOKUP(AH160,Потребители_обозначение,5,FALSE)=2,_xlfn.IFS(H160=3,VLOOKUP(E160,Справочная_двигатели,8,FALSE),H160=1,VLOOKUP(E160,Справочная_двигатели,10,TRUE)),0.95)</f>
      </c>
      <c r="Q160" s="188"/>
      <c r="R160" s="119"/>
      <c r="S160" s="173"/>
      <c r="T160" s="5">
        <f t="shared" si="230"/>
      </c>
      <c r="U160" s="4">
        <f t="shared" si="217"/>
      </c>
      <c r="V160" s="4">
        <f t="shared" si="218"/>
      </c>
      <c r="W160" s="4">
        <f t="shared" si="219"/>
      </c>
      <c r="X160" s="4">
        <f t="shared" si="220"/>
      </c>
      <c r="Y160" s="4" cm="1">
        <f t="array" ref="Y160">_xlfn.IFS(H160=1,2,H160=3,1)</f>
      </c>
      <c r="Z160" s="4">
        <f t="shared" si="221"/>
      </c>
      <c r="AA160" s="4">
        <f t="shared" si="231"/>
      </c>
      <c r="AB160" s="4">
        <f t="shared" si="222"/>
      </c>
      <c r="AC160" s="4">
        <f t="shared" si="232"/>
      </c>
      <c r="AD160" s="4">
        <f t="shared" si="223"/>
      </c>
      <c r="AE160" s="4">
        <f t="shared" si="243"/>
      </c>
      <c r="AF160" s="4">
        <f t="shared" si="246"/>
      </c>
      <c r="AG160" s="4">
        <f t="shared" si="247"/>
        <v/>
      </c>
      <c r="AH160" s="4">
        <f t="shared" si="233"/>
      </c>
      <c r="AI160" s="4">
        <f t="shared" si="248"/>
      </c>
      <c r="AJ160" s="4">
        <f t="shared" si="234"/>
      </c>
      <c r="AK160" s="4">
        <f t="shared" si="224"/>
      </c>
      <c r="AL160" s="4">
        <f t="shared" si="235"/>
      </c>
      <c r="AM160" s="4">
        <f t="shared" si="236"/>
      </c>
      <c r="AN160" s="4"/>
      <c r="AO160" s="4">
        <f t="shared" si="241"/>
      </c>
      <c r="AP160" s="4">
        <f t="shared" si="237"/>
      </c>
      <c r="AQ160" s="4">
        <f t="shared" si="242"/>
        <v/>
      </c>
      <c r="AR160" s="4">
        <f t="shared" si="238"/>
      </c>
      <c r="AS160" s="4">
        <f t="shared" si="239"/>
      </c>
      <c r="AT160" s="4">
        <f t="shared" si="249"/>
      </c>
    </row>
    <row r="161" spans="1:46" x14ac:dyDescent="0.3">
      <c r="A161" s="5">
        <f t="shared" si="216"/>
      </c>
      <c r="B161" s="4">
        <f t="shared" si="227"/>
      </c>
      <c r="C161" s="119"/>
      <c r="D161" s="119"/>
      <c r="E161" s="105"/>
      <c r="F161" s="173"/>
      <c r="G161" s="173"/>
      <c r="H161" s="173"/>
      <c r="I161" s="192"/>
      <c r="J161" s="105"/>
      <c r="K161" s="105"/>
      <c r="L161" s="105"/>
      <c r="M161" s="97">
        <f t="shared" si="240"/>
      </c>
      <c r="N161" s="100"/>
      <c r="O161" s="164"/>
      <c r="P161" s="100">
        <f t="shared" si="260"/>
      </c>
      <c r="Q161" s="188"/>
      <c r="R161" s="119"/>
      <c r="S161" s="173"/>
      <c r="T161" s="5">
        <f t="shared" si="230"/>
      </c>
      <c r="U161" s="4">
        <f t="shared" si="217"/>
      </c>
      <c r="V161" s="4">
        <f t="shared" si="218"/>
      </c>
      <c r="W161" s="4">
        <f t="shared" si="219"/>
      </c>
      <c r="X161" s="4">
        <f t="shared" si="220"/>
      </c>
      <c r="Y161" s="4" cm="1">
        <f t="array" ref="Y161">_xlfn.IFS(H161=1,2,H161=3,1)</f>
      </c>
      <c r="Z161" s="4">
        <f t="shared" si="221"/>
      </c>
      <c r="AA161" s="4">
        <f t="shared" si="231"/>
      </c>
      <c r="AB161" s="4">
        <f t="shared" si="222"/>
      </c>
      <c r="AC161" s="4">
        <f t="shared" si="232"/>
      </c>
      <c r="AD161" s="4">
        <f t="shared" si="223"/>
      </c>
      <c r="AE161" s="4">
        <f t="shared" si="243"/>
      </c>
      <c r="AF161" s="4">
        <f t="shared" si="246"/>
      </c>
      <c r="AG161" s="4">
        <f t="shared" si="247"/>
        <v/>
      </c>
      <c r="AH161" s="4">
        <f t="shared" si="233"/>
      </c>
      <c r="AI161" s="4">
        <f t="shared" si="248"/>
      </c>
      <c r="AJ161" s="4">
        <f t="shared" si="234"/>
      </c>
      <c r="AK161" s="4">
        <f t="shared" si="224"/>
      </c>
      <c r="AL161" s="4">
        <f t="shared" si="235"/>
      </c>
      <c r="AM161" s="4">
        <f t="shared" si="236"/>
      </c>
      <c r="AN161" s="4"/>
      <c r="AO161" s="4">
        <f t="shared" si="241"/>
      </c>
      <c r="AP161" s="4">
        <f t="shared" si="237"/>
      </c>
      <c r="AQ161" s="4">
        <f t="shared" si="242"/>
        <v/>
      </c>
      <c r="AR161" s="4">
        <f t="shared" si="238"/>
      </c>
      <c r="AS161" s="4">
        <f t="shared" si="239"/>
      </c>
      <c r="AT161" s="4">
        <f t="shared" si="249"/>
      </c>
    </row>
    <row r="162" spans="1:46" x14ac:dyDescent="0.3">
      <c r="A162" s="5">
        <f t="shared" si="216"/>
      </c>
      <c r="B162" s="4">
        <f t="shared" si="227"/>
      </c>
      <c r="C162" s="119"/>
      <c r="D162" s="119"/>
      <c r="E162" s="105"/>
      <c r="F162" s="173"/>
      <c r="G162" s="173"/>
      <c r="H162" s="173"/>
      <c r="I162" s="192"/>
      <c r="J162" s="105"/>
      <c r="K162" s="105"/>
      <c r="L162" s="105"/>
      <c r="M162" s="97">
        <f t="shared" ref="M162" si="269">IFERROR(IF(VLOOKUP(AH162,Потребители_обозначение,4,FALSE)=1,VLOOKUP(AH162,Потребители_обозначение,3,FALSE)*(G162*2-1)+I162+VLOOKUP(AI162,Этаж_обозначение,3,FALSE)+VLOOKUP(AI162,Этаж_обозначение,4,FALSE),VLOOKUP(AH162,Потребители_обозначение,3,FALSE)*(G162*2-1)+I162),I162)</f>
      </c>
      <c r="N162" s="100"/>
      <c r="O162" s="164"/>
      <c r="P162" s="100">
        <f t="shared" ref="P162" si="270">IF(VLOOKUP(AH162,Потребители_обозначение,5,FALSE)=2,_xlfn.IFS(H162=3,VLOOKUP(E162,Справочная_двигатели,8,FALSE),H162=1,VLOOKUP(E162,Справочная_двигатели,10,TRUE)),0.95)</f>
      </c>
      <c r="Q162" s="188"/>
      <c r="R162" s="119"/>
      <c r="S162" s="173"/>
      <c r="T162" s="5">
        <f t="shared" si="230"/>
      </c>
      <c r="U162" s="4">
        <f t="shared" si="217"/>
      </c>
      <c r="V162" s="4">
        <f t="shared" si="218"/>
      </c>
      <c r="W162" s="4">
        <f t="shared" si="219"/>
      </c>
      <c r="X162" s="4">
        <f t="shared" si="220"/>
      </c>
      <c r="Y162" s="4" cm="1">
        <f t="array" ref="Y162">_xlfn.IFS(H162=1,2,H162=3,1)</f>
      </c>
      <c r="Z162" s="4">
        <f t="shared" si="221"/>
      </c>
      <c r="AA162" s="4">
        <f t="shared" si="231"/>
      </c>
      <c r="AB162" s="4">
        <f t="shared" si="222"/>
      </c>
      <c r="AC162" s="4">
        <f t="shared" si="232"/>
      </c>
      <c r="AD162" s="4">
        <f t="shared" si="223"/>
      </c>
      <c r="AE162" s="4">
        <f t="shared" si="243"/>
      </c>
      <c r="AF162" s="4">
        <f t="shared" si="246"/>
      </c>
      <c r="AG162" s="4">
        <f t="shared" si="247"/>
        <v/>
      </c>
      <c r="AH162" s="4">
        <f t="shared" si="233"/>
      </c>
      <c r="AI162" s="4">
        <f t="shared" si="248"/>
      </c>
      <c r="AJ162" s="4">
        <f t="shared" si="234"/>
      </c>
      <c r="AK162" s="4">
        <f t="shared" si="224"/>
      </c>
      <c r="AL162" s="4">
        <f t="shared" si="235"/>
      </c>
      <c r="AM162" s="4">
        <f t="shared" si="236"/>
      </c>
      <c r="AN162" s="4"/>
      <c r="AO162" s="4">
        <f t="shared" si="241"/>
      </c>
      <c r="AP162" s="4">
        <f t="shared" si="237"/>
      </c>
      <c r="AQ162" s="4">
        <f t="shared" si="242"/>
        <v/>
      </c>
      <c r="AR162" s="4">
        <f t="shared" si="238"/>
      </c>
      <c r="AS162" s="4">
        <f t="shared" si="239"/>
      </c>
      <c r="AT162" s="4">
        <f t="shared" si="249"/>
      </c>
    </row>
    <row r="163" spans="1:46" x14ac:dyDescent="0.3">
      <c r="A163" s="5">
        <f t="shared" si="216"/>
      </c>
      <c r="B163" s="4">
        <f t="shared" si="227"/>
      </c>
      <c r="C163" s="119"/>
      <c r="D163" s="119"/>
      <c r="E163" s="105"/>
      <c r="F163" s="173"/>
      <c r="G163" s="173"/>
      <c r="H163" s="173"/>
      <c r="I163" s="192"/>
      <c r="J163" s="105"/>
      <c r="K163" s="105"/>
      <c r="L163" s="105"/>
      <c r="M163" s="97">
        <f t="shared" ref="M163" si="271">IFERROR(IF(VLOOKUP(AH163,Потребители_обозначение,4,FALSE)=1,VLOOKUP(AH163,Потребители_обозначение,3,FALSE)*(G163*2-1)+I163+VLOOKUP(AI163,Этаж_обозначение,3,FALSE)+VLOOKUP(AI163,Этаж_обозначение,4,FALSE),VLOOKUP(AH163,Потребители_обозначение,3,FALSE)*(G163*2-1)+I163),I163)</f>
      </c>
      <c r="N163" s="100"/>
      <c r="O163" s="164"/>
      <c r="P163" s="100">
        <f t="shared" ref="P163" si="272">IF(VLOOKUP(AH163,Потребители_обозначение,5,FALSE)=2,_xlfn.IFS(H163=3,VLOOKUP(E163,Справочная_двигатели,8,FALSE),H163=1,VLOOKUP(E163,Справочная_двигатели,10,TRUE)),0.95)</f>
      </c>
      <c r="Q163" s="188"/>
      <c r="R163" s="119"/>
      <c r="S163" s="173"/>
      <c r="T163" s="5">
        <f t="shared" si="230"/>
      </c>
      <c r="U163" s="4">
        <f t="shared" si="217"/>
      </c>
      <c r="V163" s="4">
        <f t="shared" si="218"/>
      </c>
      <c r="W163" s="4">
        <f t="shared" si="219"/>
      </c>
      <c r="X163" s="4">
        <f t="shared" si="220"/>
      </c>
      <c r="Y163" s="4" cm="1">
        <f t="array" ref="Y163">_xlfn.IFS(H163=1,2,H163=3,1)</f>
      </c>
      <c r="Z163" s="4">
        <f t="shared" si="221"/>
      </c>
      <c r="AA163" s="4">
        <f t="shared" si="231"/>
      </c>
      <c r="AB163" s="4">
        <f t="shared" si="222"/>
      </c>
      <c r="AC163" s="4">
        <f t="shared" si="232"/>
      </c>
      <c r="AD163" s="4">
        <f t="shared" si="223"/>
      </c>
      <c r="AE163" s="4">
        <f t="shared" si="243"/>
      </c>
      <c r="AF163" s="4">
        <f t="shared" si="246"/>
      </c>
      <c r="AG163" s="4">
        <f t="shared" si="247"/>
        <v/>
      </c>
      <c r="AH163" s="4">
        <f t="shared" si="233"/>
      </c>
      <c r="AI163" s="4">
        <f t="shared" si="248"/>
      </c>
      <c r="AJ163" s="4">
        <f t="shared" si="234"/>
      </c>
      <c r="AK163" s="4">
        <f t="shared" si="224"/>
      </c>
      <c r="AL163" s="4">
        <f t="shared" si="235"/>
      </c>
      <c r="AM163" s="4">
        <f t="shared" si="236"/>
      </c>
      <c r="AN163" s="4"/>
      <c r="AO163" s="4">
        <f t="shared" si="241"/>
      </c>
      <c r="AP163" s="4">
        <f t="shared" si="237"/>
      </c>
      <c r="AQ163" s="4">
        <f t="shared" si="242"/>
        <v/>
      </c>
      <c r="AR163" s="4">
        <f t="shared" si="238"/>
      </c>
      <c r="AS163" s="4">
        <f t="shared" si="239"/>
      </c>
      <c r="AT163" s="4">
        <f t="shared" si="249"/>
      </c>
    </row>
    <row r="164" spans="1:46" x14ac:dyDescent="0.3">
      <c r="A164" s="5">
        <f t="shared" si="216"/>
      </c>
      <c r="B164" s="4">
        <f t="shared" si="227"/>
      </c>
      <c r="C164" s="119"/>
      <c r="D164" s="119"/>
      <c r="E164" s="105"/>
      <c r="F164" s="173"/>
      <c r="G164" s="173"/>
      <c r="H164" s="173"/>
      <c r="I164" s="192"/>
      <c r="J164" s="105"/>
      <c r="K164" s="105"/>
      <c r="L164" s="105"/>
      <c r="M164" s="4">
        <f t="shared" si="240"/>
      </c>
      <c r="N164" s="100"/>
      <c r="O164" s="164"/>
      <c r="P164" s="59">
        <f t="shared" si="260"/>
      </c>
      <c r="Q164" s="188"/>
      <c r="R164" s="119"/>
      <c r="S164" s="173"/>
      <c r="T164" s="5">
        <f t="shared" si="230"/>
      </c>
      <c r="U164" s="4">
        <f t="shared" si="217"/>
      </c>
      <c r="V164" s="4">
        <f t="shared" si="218"/>
      </c>
      <c r="W164" s="4">
        <f t="shared" si="219"/>
      </c>
      <c r="X164" s="4">
        <f t="shared" si="220"/>
      </c>
      <c r="Y164" s="4" cm="1">
        <f t="array" ref="Y164">_xlfn.IFS(H164=1,2,H164=3,1)</f>
      </c>
      <c r="Z164" s="4">
        <f t="shared" si="221"/>
      </c>
      <c r="AA164" s="4">
        <f t="shared" si="231"/>
      </c>
      <c r="AB164" s="4">
        <f t="shared" si="222"/>
      </c>
      <c r="AC164" s="4">
        <f t="shared" si="232"/>
      </c>
      <c r="AD164" s="4">
        <f t="shared" si="223"/>
      </c>
      <c r="AE164" s="4">
        <f t="shared" si="243"/>
      </c>
      <c r="AF164" s="4">
        <f t="shared" si="246"/>
      </c>
      <c r="AG164" s="4">
        <f t="shared" si="247"/>
        <v/>
      </c>
      <c r="AH164" s="4">
        <f t="shared" si="233"/>
      </c>
      <c r="AI164" s="4">
        <f t="shared" si="248"/>
      </c>
      <c r="AJ164" s="4">
        <f t="shared" si="234"/>
      </c>
      <c r="AK164" s="4">
        <f t="shared" si="224"/>
      </c>
      <c r="AL164" s="4">
        <f t="shared" si="235"/>
      </c>
      <c r="AM164" s="4">
        <f t="shared" si="236"/>
      </c>
      <c r="AN164" s="4"/>
      <c r="AO164" s="4">
        <f t="shared" si="241"/>
      </c>
      <c r="AP164" s="4">
        <f t="shared" si="237"/>
      </c>
      <c r="AQ164" s="4">
        <f t="shared" si="242"/>
        <v/>
      </c>
      <c r="AR164" s="4">
        <f t="shared" si="238"/>
      </c>
      <c r="AS164" s="4">
        <f t="shared" si="239"/>
      </c>
      <c r="AT164" s="4">
        <f t="shared" si="249"/>
      </c>
    </row>
    <row r="165" spans="1:46" x14ac:dyDescent="0.3">
      <c r="A165" s="5">
        <f t="shared" si="216"/>
      </c>
      <c r="B165" s="4">
        <f t="shared" si="227"/>
      </c>
      <c r="C165" s="119"/>
      <c r="D165" s="119"/>
      <c r="E165" s="105"/>
      <c r="F165" s="173"/>
      <c r="G165" s="173"/>
      <c r="H165" s="173"/>
      <c r="I165" s="192"/>
      <c r="J165" s="105"/>
      <c r="K165" s="105"/>
      <c r="L165" s="105"/>
      <c r="M165" s="4">
        <f t="shared" si="240"/>
      </c>
      <c r="N165" s="100"/>
      <c r="O165" s="164"/>
      <c r="P165" s="59">
        <f t="shared" si="260"/>
      </c>
      <c r="Q165" s="188"/>
      <c r="R165" s="119"/>
      <c r="S165" s="173"/>
      <c r="T165" s="5">
        <f t="shared" si="230"/>
      </c>
      <c r="U165" s="4">
        <f t="shared" si="217"/>
      </c>
      <c r="V165" s="4">
        <f t="shared" si="218"/>
      </c>
      <c r="W165" s="4">
        <f t="shared" si="219"/>
      </c>
      <c r="X165" s="4">
        <f t="shared" si="220"/>
      </c>
      <c r="Y165" s="4" cm="1">
        <f t="array" ref="Y165">_xlfn.IFS(H165=1,2,H165=3,1)</f>
      </c>
      <c r="Z165" s="4">
        <f t="shared" si="221"/>
      </c>
      <c r="AA165" s="4">
        <f t="shared" si="231"/>
      </c>
      <c r="AB165" s="4">
        <f t="shared" si="222"/>
      </c>
      <c r="AC165" s="4">
        <f t="shared" si="232"/>
      </c>
      <c r="AD165" s="4">
        <f t="shared" si="223"/>
      </c>
      <c r="AE165" s="4">
        <f t="shared" si="243"/>
      </c>
      <c r="AF165" s="4">
        <f t="shared" si="246"/>
      </c>
      <c r="AG165" s="4">
        <f t="shared" si="247"/>
        <v/>
      </c>
      <c r="AH165" s="4">
        <f t="shared" si="233"/>
      </c>
      <c r="AI165" s="4">
        <f t="shared" si="248"/>
      </c>
      <c r="AJ165" s="4">
        <f t="shared" si="234"/>
      </c>
      <c r="AK165" s="4">
        <f t="shared" si="224"/>
      </c>
      <c r="AL165" s="4">
        <f t="shared" si="235"/>
      </c>
      <c r="AM165" s="4">
        <f t="shared" si="236"/>
      </c>
      <c r="AN165" s="4"/>
      <c r="AO165" s="4">
        <f t="shared" si="241"/>
      </c>
      <c r="AP165" s="4">
        <f t="shared" si="237"/>
      </c>
      <c r="AQ165" s="4">
        <f t="shared" si="242"/>
        <v/>
      </c>
      <c r="AR165" s="4">
        <f t="shared" si="238"/>
      </c>
      <c r="AS165" s="4">
        <f t="shared" si="239"/>
      </c>
      <c r="AT165" s="4">
        <f t="shared" si="249"/>
      </c>
    </row>
    <row r="166" spans="1:46" x14ac:dyDescent="0.3">
      <c r="A166" s="5">
        <f t="shared" si="216"/>
      </c>
      <c r="B166" s="4">
        <f t="shared" si="227"/>
      </c>
      <c r="C166" s="119"/>
      <c r="D166" s="119"/>
      <c r="E166" s="105"/>
      <c r="F166" s="173"/>
      <c r="G166" s="173"/>
      <c r="H166" s="173"/>
      <c r="I166" s="192"/>
      <c r="J166" s="105"/>
      <c r="K166" s="105"/>
      <c r="L166" s="105"/>
      <c r="M166" s="4">
        <f t="shared" si="240"/>
      </c>
      <c r="N166" s="100"/>
      <c r="O166" s="164"/>
      <c r="P166" s="59">
        <f t="shared" si="260"/>
      </c>
      <c r="Q166" s="188"/>
      <c r="R166" s="119"/>
      <c r="S166" s="173"/>
      <c r="T166" s="5">
        <f t="shared" si="230"/>
      </c>
      <c r="U166" s="4">
        <f t="shared" si="217"/>
      </c>
      <c r="V166" s="4">
        <f t="shared" si="218"/>
      </c>
      <c r="W166" s="4">
        <f t="shared" si="219"/>
      </c>
      <c r="X166" s="4">
        <f t="shared" si="220"/>
      </c>
      <c r="Y166" s="4" cm="1">
        <f t="array" ref="Y166">_xlfn.IFS(H166=1,2,H166=3,1)</f>
      </c>
      <c r="Z166" s="4">
        <f t="shared" si="221"/>
      </c>
      <c r="AA166" s="4">
        <f t="shared" si="231"/>
      </c>
      <c r="AB166" s="4">
        <f t="shared" si="222"/>
      </c>
      <c r="AC166" s="4">
        <f t="shared" si="232"/>
      </c>
      <c r="AD166" s="4">
        <f t="shared" si="223"/>
      </c>
      <c r="AE166" s="4">
        <f t="shared" si="243"/>
      </c>
      <c r="AF166" s="4">
        <f t="shared" si="246"/>
      </c>
      <c r="AG166" s="4">
        <f t="shared" si="247"/>
        <v/>
      </c>
      <c r="AH166" s="4">
        <f t="shared" si="233"/>
      </c>
      <c r="AI166" s="4">
        <f t="shared" si="248"/>
      </c>
      <c r="AJ166" s="4">
        <f t="shared" si="234"/>
      </c>
      <c r="AK166" s="4">
        <f t="shared" si="224"/>
      </c>
      <c r="AL166" s="4">
        <f t="shared" si="235"/>
      </c>
      <c r="AM166" s="4">
        <f t="shared" si="236"/>
      </c>
      <c r="AN166" s="4"/>
      <c r="AO166" s="4">
        <f t="shared" si="241"/>
      </c>
      <c r="AP166" s="4">
        <f t="shared" si="237"/>
      </c>
      <c r="AQ166" s="4">
        <f t="shared" si="242"/>
        <v/>
      </c>
      <c r="AR166" s="4">
        <f t="shared" si="238"/>
      </c>
      <c r="AS166" s="4">
        <f t="shared" si="239"/>
      </c>
      <c r="AT166" s="4">
        <f t="shared" si="249"/>
      </c>
    </row>
    <row r="167" spans="1:46" x14ac:dyDescent="0.3">
      <c r="A167" s="5">
        <f t="shared" si="216"/>
      </c>
      <c r="B167" s="4">
        <f t="shared" si="227"/>
      </c>
      <c r="C167" s="119"/>
      <c r="D167" s="119"/>
      <c r="E167" s="105"/>
      <c r="F167" s="173"/>
      <c r="G167" s="173"/>
      <c r="H167" s="173"/>
      <c r="I167" s="192"/>
      <c r="J167" s="105"/>
      <c r="K167" s="105"/>
      <c r="L167" s="105"/>
      <c r="M167" s="4">
        <f t="shared" si="240"/>
      </c>
      <c r="N167" s="100"/>
      <c r="O167" s="164"/>
      <c r="P167" s="59">
        <f t="shared" si="260"/>
      </c>
      <c r="Q167" s="188"/>
      <c r="R167" s="119"/>
      <c r="S167" s="173"/>
      <c r="T167" s="5">
        <f t="shared" si="230"/>
      </c>
      <c r="U167" s="4">
        <f t="shared" si="217"/>
      </c>
      <c r="V167" s="4">
        <f t="shared" si="218"/>
      </c>
      <c r="W167" s="4">
        <f t="shared" si="219"/>
      </c>
      <c r="X167" s="4">
        <f t="shared" si="220"/>
      </c>
      <c r="Y167" s="4" cm="1">
        <f t="array" ref="Y167">_xlfn.IFS(H167=1,2,H167=3,1)</f>
      </c>
      <c r="Z167" s="4">
        <f t="shared" si="221"/>
      </c>
      <c r="AA167" s="4">
        <f t="shared" si="231"/>
      </c>
      <c r="AB167" s="4">
        <f t="shared" si="222"/>
      </c>
      <c r="AC167" s="4">
        <f t="shared" si="232"/>
      </c>
      <c r="AD167" s="4">
        <f t="shared" si="223"/>
      </c>
      <c r="AE167" s="4">
        <f t="shared" si="243"/>
      </c>
      <c r="AF167" s="4">
        <f t="shared" si="246"/>
      </c>
      <c r="AG167" s="4">
        <f t="shared" si="247"/>
        <v/>
      </c>
      <c r="AH167" s="4">
        <f t="shared" si="233"/>
      </c>
      <c r="AI167" s="4">
        <f t="shared" si="248"/>
      </c>
      <c r="AJ167" s="4">
        <f t="shared" si="234"/>
      </c>
      <c r="AK167" s="4">
        <f t="shared" si="224"/>
      </c>
      <c r="AL167" s="4">
        <f t="shared" si="235"/>
      </c>
      <c r="AM167" s="4">
        <f t="shared" si="236"/>
      </c>
      <c r="AN167" s="4"/>
      <c r="AO167" s="4">
        <f t="shared" si="241"/>
      </c>
      <c r="AP167" s="4">
        <f t="shared" si="237"/>
      </c>
      <c r="AQ167" s="4">
        <f t="shared" si="242"/>
        <v/>
      </c>
      <c r="AR167" s="4">
        <f t="shared" si="238"/>
      </c>
      <c r="AS167" s="4">
        <f t="shared" si="239"/>
      </c>
      <c r="AT167" s="4">
        <f t="shared" si="249"/>
      </c>
    </row>
    <row r="168" spans="1:46" x14ac:dyDescent="0.3">
      <c r="A168" s="5">
        <f t="shared" si="216"/>
      </c>
      <c r="B168" s="4">
        <f t="shared" si="227"/>
      </c>
      <c r="C168" s="119"/>
      <c r="D168" s="119"/>
      <c r="E168" s="105"/>
      <c r="F168" s="173"/>
      <c r="G168" s="173"/>
      <c r="H168" s="173"/>
      <c r="I168" s="192"/>
      <c r="J168" s="105"/>
      <c r="K168" s="105"/>
      <c r="L168" s="105"/>
      <c r="M168" s="4">
        <f t="shared" si="240"/>
      </c>
      <c r="N168" s="100"/>
      <c r="O168" s="164"/>
      <c r="P168" s="59">
        <f t="shared" si="260"/>
      </c>
      <c r="Q168" s="188"/>
      <c r="R168" s="119"/>
      <c r="S168" s="173"/>
      <c r="T168" s="5">
        <f t="shared" si="230"/>
      </c>
      <c r="U168" s="4">
        <f t="shared" si="217"/>
      </c>
      <c r="V168" s="4">
        <f t="shared" si="218"/>
      </c>
      <c r="W168" s="4">
        <f t="shared" si="219"/>
      </c>
      <c r="X168" s="4">
        <f t="shared" si="220"/>
      </c>
      <c r="Y168" s="4" cm="1">
        <f t="array" ref="Y168">_xlfn.IFS(H168=1,2,H168=3,1)</f>
      </c>
      <c r="Z168" s="4">
        <f t="shared" si="221"/>
      </c>
      <c r="AA168" s="4">
        <f t="shared" si="231"/>
      </c>
      <c r="AB168" s="4">
        <f t="shared" si="222"/>
      </c>
      <c r="AC168" s="4">
        <f t="shared" si="232"/>
      </c>
      <c r="AD168" s="4">
        <f t="shared" si="223"/>
      </c>
      <c r="AE168" s="4">
        <f t="shared" si="243"/>
      </c>
      <c r="AF168" s="4">
        <f t="shared" si="246"/>
      </c>
      <c r="AG168" s="4">
        <f t="shared" si="247"/>
        <v/>
      </c>
      <c r="AH168" s="4">
        <f t="shared" si="233"/>
      </c>
      <c r="AI168" s="4">
        <f t="shared" si="248"/>
      </c>
      <c r="AJ168" s="4">
        <f t="shared" si="234"/>
      </c>
      <c r="AK168" s="4">
        <f t="shared" si="224"/>
      </c>
      <c r="AL168" s="4">
        <f t="shared" si="235"/>
      </c>
      <c r="AM168" s="4">
        <f t="shared" si="236"/>
      </c>
      <c r="AN168" s="4"/>
      <c r="AO168" s="4">
        <f t="shared" si="241"/>
      </c>
      <c r="AP168" s="4">
        <f t="shared" si="237"/>
      </c>
      <c r="AQ168" s="4">
        <f t="shared" si="242"/>
        <v/>
      </c>
      <c r="AR168" s="4">
        <f t="shared" si="238"/>
      </c>
      <c r="AS168" s="4">
        <f t="shared" si="239"/>
      </c>
      <c r="AT168" s="4">
        <f t="shared" si="249"/>
      </c>
    </row>
    <row r="169" spans="1:46" x14ac:dyDescent="0.3">
      <c r="A169" s="5">
        <f t="shared" si="216"/>
      </c>
      <c r="B169" s="4">
        <f t="shared" si="227"/>
      </c>
      <c r="C169" s="119"/>
      <c r="D169" s="119"/>
      <c r="E169" s="105"/>
      <c r="F169" s="173"/>
      <c r="G169" s="173"/>
      <c r="H169" s="173"/>
      <c r="I169" s="192"/>
      <c r="J169" s="105"/>
      <c r="K169" s="105"/>
      <c r="L169" s="105"/>
      <c r="M169" s="4">
        <f t="shared" si="240"/>
      </c>
      <c r="N169" s="100"/>
      <c r="O169" s="164"/>
      <c r="P169" s="59">
        <f t="shared" si="260"/>
      </c>
      <c r="Q169" s="188"/>
      <c r="R169" s="119"/>
      <c r="S169" s="173"/>
      <c r="T169" s="5">
        <f t="shared" si="230"/>
      </c>
      <c r="U169" s="4">
        <f t="shared" si="217"/>
      </c>
      <c r="V169" s="4">
        <f t="shared" si="218"/>
      </c>
      <c r="W169" s="4">
        <f t="shared" si="219"/>
      </c>
      <c r="X169" s="4">
        <f t="shared" si="220"/>
      </c>
      <c r="Y169" s="4" cm="1">
        <f t="array" ref="Y169">_xlfn.IFS(H169=1,2,H169=3,1)</f>
      </c>
      <c r="Z169" s="4">
        <f t="shared" si="221"/>
      </c>
      <c r="AA169" s="4">
        <f t="shared" si="231"/>
      </c>
      <c r="AB169" s="4">
        <f t="shared" si="222"/>
      </c>
      <c r="AC169" s="4">
        <f t="shared" si="232"/>
      </c>
      <c r="AD169" s="4">
        <f t="shared" si="223"/>
      </c>
      <c r="AE169" s="4">
        <f t="shared" si="243"/>
      </c>
      <c r="AF169" s="4">
        <f t="shared" si="246"/>
      </c>
      <c r="AG169" s="4">
        <f t="shared" si="247"/>
        <v/>
      </c>
      <c r="AH169" s="4">
        <f t="shared" si="233"/>
      </c>
      <c r="AI169" s="4">
        <f t="shared" si="248"/>
      </c>
      <c r="AJ169" s="4">
        <f t="shared" si="234"/>
      </c>
      <c r="AK169" s="4">
        <f t="shared" si="224"/>
      </c>
      <c r="AL169" s="4">
        <f t="shared" si="235"/>
      </c>
      <c r="AM169" s="4">
        <f t="shared" si="236"/>
      </c>
      <c r="AN169" s="4"/>
      <c r="AO169" s="4">
        <f t="shared" si="241"/>
      </c>
      <c r="AP169" s="4">
        <f t="shared" si="237"/>
      </c>
      <c r="AQ169" s="4">
        <f t="shared" si="242"/>
        <v/>
      </c>
      <c r="AR169" s="4">
        <f t="shared" si="238"/>
      </c>
      <c r="AS169" s="4">
        <f t="shared" si="239"/>
      </c>
      <c r="AT169" s="4">
        <f t="shared" si="249"/>
      </c>
    </row>
    <row r="170" spans="1:46" x14ac:dyDescent="0.3">
      <c r="A170" s="5">
        <f t="shared" si="216"/>
      </c>
      <c r="B170" s="4">
        <f t="shared" si="227"/>
      </c>
      <c r="C170" s="119"/>
      <c r="D170" s="119"/>
      <c r="E170" s="105"/>
      <c r="F170" s="173"/>
      <c r="G170" s="173"/>
      <c r="H170" s="173"/>
      <c r="I170" s="192"/>
      <c r="J170" s="105"/>
      <c r="K170" s="105"/>
      <c r="L170" s="105"/>
      <c r="M170" s="4">
        <f t="shared" si="240"/>
      </c>
      <c r="N170" s="100"/>
      <c r="O170" s="164"/>
      <c r="P170" s="59">
        <f t="shared" si="260"/>
      </c>
      <c r="Q170" s="188"/>
      <c r="R170" s="119"/>
      <c r="S170" s="173"/>
      <c r="T170" s="5">
        <f t="shared" si="230"/>
      </c>
      <c r="U170" s="4">
        <f t="shared" si="217"/>
      </c>
      <c r="V170" s="4">
        <f t="shared" si="218"/>
      </c>
      <c r="W170" s="4">
        <f t="shared" si="219"/>
      </c>
      <c r="X170" s="4">
        <f t="shared" si="220"/>
      </c>
      <c r="Y170" s="4" cm="1">
        <f t="array" ref="Y170">_xlfn.IFS(H170=1,2,H170=3,1)</f>
      </c>
      <c r="Z170" s="4">
        <f t="shared" si="221"/>
      </c>
      <c r="AA170" s="4">
        <f t="shared" si="231"/>
      </c>
      <c r="AB170" s="4">
        <f t="shared" si="222"/>
      </c>
      <c r="AC170" s="4">
        <f t="shared" si="232"/>
      </c>
      <c r="AD170" s="4">
        <f t="shared" si="223"/>
      </c>
      <c r="AE170" s="4">
        <f t="shared" si="243"/>
      </c>
      <c r="AF170" s="4">
        <f t="shared" si="246"/>
      </c>
      <c r="AG170" s="4">
        <f t="shared" si="247"/>
        <v/>
      </c>
      <c r="AH170" s="4">
        <f t="shared" si="233"/>
      </c>
      <c r="AI170" s="4">
        <f t="shared" si="248"/>
      </c>
      <c r="AJ170" s="4">
        <f t="shared" si="234"/>
      </c>
      <c r="AK170" s="4">
        <f t="shared" si="224"/>
      </c>
      <c r="AL170" s="4">
        <f t="shared" si="235"/>
      </c>
      <c r="AM170" s="4">
        <f t="shared" si="236"/>
      </c>
      <c r="AN170" s="4"/>
      <c r="AO170" s="4">
        <f t="shared" si="241"/>
      </c>
      <c r="AP170" s="4">
        <f t="shared" si="237"/>
      </c>
      <c r="AQ170" s="4">
        <f t="shared" si="242"/>
        <v/>
      </c>
      <c r="AR170" s="4">
        <f t="shared" si="238"/>
      </c>
      <c r="AS170" s="4">
        <f t="shared" si="239"/>
      </c>
      <c r="AT170" s="4">
        <f t="shared" si="249"/>
      </c>
    </row>
    <row r="171" spans="1:46" x14ac:dyDescent="0.3">
      <c r="A171" s="5">
        <f t="shared" si="216"/>
      </c>
      <c r="B171" s="4">
        <f t="shared" si="227"/>
      </c>
      <c r="C171" s="119"/>
      <c r="D171" s="119"/>
      <c r="E171" s="105"/>
      <c r="F171" s="173"/>
      <c r="G171" s="173"/>
      <c r="H171" s="173"/>
      <c r="I171" s="192"/>
      <c r="J171" s="105"/>
      <c r="K171" s="105"/>
      <c r="L171" s="105"/>
      <c r="M171" s="4">
        <f t="shared" si="240"/>
      </c>
      <c r="N171" s="100"/>
      <c r="O171" s="164"/>
      <c r="P171" s="59">
        <f t="shared" si="260"/>
      </c>
      <c r="Q171" s="188"/>
      <c r="R171" s="119"/>
      <c r="S171" s="173"/>
      <c r="T171" s="5">
        <f t="shared" si="230"/>
      </c>
      <c r="U171" s="4">
        <f t="shared" si="217"/>
      </c>
      <c r="V171" s="4">
        <f t="shared" si="218"/>
      </c>
      <c r="W171" s="4">
        <f t="shared" si="219"/>
      </c>
      <c r="X171" s="4">
        <f t="shared" si="220"/>
      </c>
      <c r="Y171" s="4" cm="1">
        <f t="array" ref="Y171">_xlfn.IFS(H171=1,2,H171=3,1)</f>
      </c>
      <c r="Z171" s="4">
        <f t="shared" si="221"/>
      </c>
      <c r="AA171" s="4">
        <f t="shared" si="231"/>
      </c>
      <c r="AB171" s="4">
        <f t="shared" si="222"/>
      </c>
      <c r="AC171" s="4">
        <f t="shared" si="232"/>
      </c>
      <c r="AD171" s="4">
        <f t="shared" si="223"/>
      </c>
      <c r="AE171" s="4">
        <f t="shared" si="243"/>
      </c>
      <c r="AF171" s="4">
        <f t="shared" si="246"/>
      </c>
      <c r="AG171" s="4">
        <f t="shared" si="247"/>
        <v/>
      </c>
      <c r="AH171" s="4">
        <f t="shared" si="233"/>
      </c>
      <c r="AI171" s="4">
        <f t="shared" si="248"/>
      </c>
      <c r="AJ171" s="4">
        <f t="shared" si="234"/>
      </c>
      <c r="AK171" s="4">
        <f t="shared" si="224"/>
      </c>
      <c r="AL171" s="4">
        <f t="shared" si="235"/>
      </c>
      <c r="AM171" s="4">
        <f t="shared" si="236"/>
      </c>
      <c r="AN171" s="4"/>
      <c r="AO171" s="4">
        <f t="shared" si="241"/>
      </c>
      <c r="AP171" s="4">
        <f t="shared" si="237"/>
      </c>
      <c r="AQ171" s="4">
        <f t="shared" si="242"/>
        <v/>
      </c>
      <c r="AR171" s="4">
        <f t="shared" si="238"/>
      </c>
      <c r="AS171" s="4">
        <f t="shared" si="239"/>
      </c>
      <c r="AT171" s="4">
        <f t="shared" si="249"/>
      </c>
    </row>
    <row r="172" spans="1:46" ht="15" thickBot="1" x14ac:dyDescent="0.35">
      <c r="A172" s="45">
        <f t="shared" si="216"/>
      </c>
      <c r="B172" s="44">
        <f t="shared" si="227"/>
      </c>
      <c r="C172" s="175"/>
      <c r="D172" s="175"/>
      <c r="E172" s="176"/>
      <c r="F172" s="178"/>
      <c r="G172" s="178"/>
      <c r="H172" s="178"/>
      <c r="I172" s="192"/>
      <c r="J172" s="176"/>
      <c r="K172" s="176"/>
      <c r="L172" s="176"/>
      <c r="M172" s="44">
        <f t="shared" si="240"/>
      </c>
      <c r="N172" s="64"/>
      <c r="O172" s="166"/>
      <c r="P172" s="59">
        <f t="shared" si="260"/>
      </c>
      <c r="Q172" s="189"/>
      <c r="R172" s="175"/>
      <c r="S172" s="178"/>
      <c r="T172" s="45">
        <f t="shared" si="230"/>
      </c>
      <c r="U172" s="44">
        <f t="shared" si="217"/>
      </c>
      <c r="V172" s="44">
        <f t="shared" si="218"/>
      </c>
      <c r="W172" s="44">
        <f t="shared" si="219"/>
      </c>
      <c r="X172" s="44">
        <f t="shared" si="220"/>
      </c>
      <c r="Y172" s="44" cm="1">
        <f t="array" ref="Y172">_xlfn.IFS(H172=1,2,H172=3,1)</f>
      </c>
      <c r="Z172" s="44">
        <f t="shared" si="221"/>
      </c>
      <c r="AA172" s="44">
        <f t="shared" si="231"/>
      </c>
      <c r="AB172" s="44">
        <f t="shared" si="222"/>
      </c>
      <c r="AC172" s="44">
        <f t="shared" si="232"/>
      </c>
      <c r="AD172" s="44">
        <f t="shared" si="223"/>
      </c>
      <c r="AE172" s="44">
        <f t="shared" si="243"/>
      </c>
      <c r="AF172" s="44">
        <f t="shared" si="246"/>
      </c>
      <c r="AG172" s="44">
        <f t="shared" si="247"/>
        <v/>
      </c>
      <c r="AH172" s="44">
        <f t="shared" si="233"/>
      </c>
      <c r="AI172" s="44">
        <f t="shared" si="248"/>
      </c>
      <c r="AJ172" s="44">
        <f t="shared" si="234"/>
      </c>
      <c r="AK172" s="44">
        <f t="shared" si="224"/>
      </c>
      <c r="AL172" s="44">
        <f t="shared" si="235"/>
      </c>
      <c r="AM172" s="44">
        <f t="shared" si="236"/>
      </c>
      <c r="AN172" s="44"/>
      <c r="AO172" s="44">
        <f t="shared" si="241"/>
      </c>
      <c r="AP172" s="44">
        <f t="shared" si="237"/>
      </c>
      <c r="AQ172" s="44">
        <f t="shared" si="242"/>
        <v/>
      </c>
      <c r="AR172" s="44">
        <f t="shared" si="238"/>
      </c>
      <c r="AS172" s="44">
        <f t="shared" si="239"/>
      </c>
      <c r="AT172" s="44">
        <f t="shared" si="249"/>
      </c>
    </row>
    <row r="173" spans="1:46" x14ac:dyDescent="0.3">
      <c r="A173" s="19">
        <f t="shared" si="216"/>
      </c>
      <c r="B173" s="7">
        <f t="shared" si="227"/>
      </c>
      <c r="C173" s="177"/>
      <c r="D173" s="177"/>
      <c r="E173" s="179"/>
      <c r="F173" s="182"/>
      <c r="G173" s="182"/>
      <c r="H173" s="182"/>
      <c r="I173" s="192"/>
      <c r="J173" s="179"/>
      <c r="K173" s="179"/>
      <c r="L173" s="179"/>
      <c r="M173" s="7">
        <f t="shared" si="240"/>
      </c>
      <c r="N173" s="65"/>
      <c r="O173" s="168"/>
      <c r="P173" s="59">
        <f t="shared" si="260"/>
      </c>
      <c r="Q173" s="190"/>
      <c r="R173" s="177"/>
      <c r="S173" s="182"/>
      <c r="T173" s="19">
        <f t="shared" si="230"/>
      </c>
      <c r="U173" s="7">
        <f t="shared" si="217"/>
      </c>
      <c r="V173" s="7">
        <f t="shared" si="218"/>
      </c>
      <c r="W173" s="7">
        <f t="shared" si="219"/>
      </c>
      <c r="X173" s="7">
        <f t="shared" si="220"/>
      </c>
      <c r="Y173" s="7" cm="1">
        <f t="array" ref="Y173">_xlfn.IFS(H173=1,2,H173=3,1)</f>
      </c>
      <c r="Z173" s="7">
        <f t="shared" si="221"/>
      </c>
      <c r="AA173" s="7">
        <f t="shared" si="231"/>
      </c>
      <c r="AB173" s="7">
        <f t="shared" si="222"/>
      </c>
      <c r="AC173" s="7">
        <f t="shared" si="232"/>
      </c>
      <c r="AD173" s="7">
        <f t="shared" si="223"/>
      </c>
      <c r="AE173" s="7">
        <f t="shared" si="243"/>
      </c>
      <c r="AF173" s="7">
        <f t="shared" si="246"/>
      </c>
      <c r="AG173" s="7">
        <f t="shared" si="247"/>
        <v/>
      </c>
      <c r="AH173" s="7">
        <f t="shared" si="233"/>
      </c>
      <c r="AI173" s="7">
        <f t="shared" si="248"/>
      </c>
      <c r="AJ173" s="7">
        <f t="shared" si="234"/>
      </c>
      <c r="AK173" s="7">
        <f t="shared" si="224"/>
      </c>
      <c r="AL173" s="7">
        <f t="shared" si="235"/>
      </c>
      <c r="AM173" s="7">
        <f t="shared" si="236"/>
      </c>
      <c r="AN173" s="7"/>
      <c r="AO173" s="7">
        <f t="shared" si="241"/>
      </c>
      <c r="AP173" s="7">
        <f t="shared" si="237"/>
      </c>
      <c r="AQ173" s="7">
        <f t="shared" si="242"/>
        <v/>
      </c>
      <c r="AR173" s="7">
        <f t="shared" si="238"/>
      </c>
      <c r="AS173" s="7">
        <f t="shared" si="239"/>
      </c>
      <c r="AT173" s="7">
        <f t="shared" si="249"/>
      </c>
    </row>
    <row r="174" spans="1:46" x14ac:dyDescent="0.3">
      <c r="A174" s="5">
        <f t="shared" si="216"/>
      </c>
      <c r="B174" s="4">
        <f t="shared" si="227"/>
      </c>
      <c r="C174" s="119"/>
      <c r="D174" s="119"/>
      <c r="E174" s="105"/>
      <c r="F174" s="173"/>
      <c r="G174" s="173"/>
      <c r="H174" s="173"/>
      <c r="I174" s="192"/>
      <c r="J174" s="186"/>
      <c r="K174" s="105"/>
      <c r="L174" s="105"/>
      <c r="M174" s="97">
        <f t="shared" ref="M174" si="273">IFERROR(IF(VLOOKUP(AH174,Потребители_обозначение,4,FALSE)=1,VLOOKUP(AH174,Потребители_обозначение,3,FALSE)*(G174*2-1)+I174+VLOOKUP(AI174,Этаж_обозначение,3,FALSE)+VLOOKUP(AI174,Этаж_обозначение,4,FALSE),VLOOKUP(AH174,Потребители_обозначение,3,FALSE)*(G174*2-1)+I174),I174)</f>
      </c>
      <c r="N174" s="100"/>
      <c r="O174" s="164"/>
      <c r="P174" s="100">
        <f t="shared" ref="P174" si="274">IF(VLOOKUP(AH174,Потребители_обозначение,5,FALSE)=2,_xlfn.IFS(H174=3,VLOOKUP(E174,Справочная_двигатели,8,FALSE),H174=1,VLOOKUP(E174,Справочная_двигатели,10,TRUE)),0.95)</f>
      </c>
      <c r="Q174" s="188"/>
      <c r="R174" s="119"/>
      <c r="S174" s="173"/>
      <c r="T174" s="5">
        <f t="shared" si="230"/>
      </c>
      <c r="U174" s="4">
        <f t="shared" si="217"/>
      </c>
      <c r="V174" s="4">
        <f t="shared" si="218"/>
      </c>
      <c r="W174" s="4">
        <f t="shared" si="219"/>
      </c>
      <c r="X174" s="4">
        <f t="shared" si="220"/>
      </c>
      <c r="Y174" s="4" cm="1">
        <f t="array" ref="Y174">_xlfn.IFS(H174=1,2,H174=3,1)</f>
      </c>
      <c r="Z174" s="4">
        <f t="shared" si="221"/>
      </c>
      <c r="AA174" s="4">
        <f t="shared" si="231"/>
      </c>
      <c r="AB174" s="4">
        <f t="shared" si="222"/>
      </c>
      <c r="AC174" s="4">
        <f t="shared" si="232"/>
      </c>
      <c r="AD174" s="4">
        <f t="shared" si="223"/>
      </c>
      <c r="AE174" s="4">
        <f t="shared" si="243"/>
      </c>
      <c r="AF174" s="4">
        <f t="shared" si="246"/>
      </c>
      <c r="AG174" s="4">
        <f t="shared" si="247"/>
        <v/>
      </c>
      <c r="AH174" s="4">
        <f t="shared" si="233"/>
      </c>
      <c r="AI174" s="4">
        <f t="shared" si="248"/>
      </c>
      <c r="AJ174" s="4">
        <f t="shared" si="234"/>
      </c>
      <c r="AK174" s="4">
        <f t="shared" si="224"/>
      </c>
      <c r="AL174" s="4">
        <f t="shared" si="235"/>
      </c>
      <c r="AM174" s="4">
        <f t="shared" si="236"/>
      </c>
      <c r="AN174" s="4"/>
      <c r="AO174" s="4">
        <f t="shared" si="241"/>
      </c>
      <c r="AP174" s="4">
        <f t="shared" si="237"/>
      </c>
      <c r="AQ174" s="4">
        <f t="shared" si="242"/>
        <v/>
      </c>
      <c r="AR174" s="4">
        <f t="shared" si="238"/>
      </c>
      <c r="AS174" s="4">
        <f t="shared" si="239"/>
      </c>
      <c r="AT174" s="4">
        <f t="shared" si="249"/>
      </c>
    </row>
    <row r="175" spans="1:46" x14ac:dyDescent="0.3">
      <c r="A175" s="5">
        <f t="shared" si="216"/>
      </c>
      <c r="B175" s="4">
        <f t="shared" si="227"/>
      </c>
      <c r="C175" s="119"/>
      <c r="D175" s="119"/>
      <c r="E175" s="105"/>
      <c r="F175" s="173"/>
      <c r="G175" s="173"/>
      <c r="H175" s="173"/>
      <c r="I175" s="192"/>
      <c r="J175" s="186"/>
      <c r="K175" s="105"/>
      <c r="L175" s="105"/>
      <c r="M175" s="97">
        <f t="shared" ref="M175:M176" si="275">IFERROR(IF(VLOOKUP(AH175,Потребители_обозначение,4,FALSE)=1,VLOOKUP(AH175,Потребители_обозначение,3,FALSE)*(G175*2-1)+I175+VLOOKUP(AI175,Этаж_обозначение,3,FALSE)+VLOOKUP(AI175,Этаж_обозначение,4,FALSE),VLOOKUP(AH175,Потребители_обозначение,3,FALSE)*(G175*2-1)+I175),I175)</f>
      </c>
      <c r="N175" s="100"/>
      <c r="O175" s="164"/>
      <c r="P175" s="100">
        <f t="shared" ref="P175:P176" si="276">IF(VLOOKUP(AH175,Потребители_обозначение,5,FALSE)=2,_xlfn.IFS(H175=3,VLOOKUP(E175,Справочная_двигатели,8,FALSE),H175=1,VLOOKUP(E175,Справочная_двигатели,10,TRUE)),0.95)</f>
      </c>
      <c r="Q175" s="188"/>
      <c r="R175" s="119"/>
      <c r="S175" s="173"/>
      <c r="T175" s="5">
        <f t="shared" si="230"/>
      </c>
      <c r="U175" s="4">
        <f t="shared" si="217"/>
      </c>
      <c r="V175" s="4">
        <f t="shared" si="218"/>
      </c>
      <c r="W175" s="4">
        <f t="shared" si="219"/>
      </c>
      <c r="X175" s="4">
        <f t="shared" si="220"/>
      </c>
      <c r="Y175" s="4" cm="1">
        <f t="array" ref="Y175">_xlfn.IFS(H175=1,2,H175=3,1)</f>
      </c>
      <c r="Z175" s="4">
        <f t="shared" si="221"/>
      </c>
      <c r="AA175" s="4">
        <f t="shared" si="231"/>
      </c>
      <c r="AB175" s="4">
        <f t="shared" si="222"/>
      </c>
      <c r="AC175" s="4">
        <f t="shared" si="232"/>
      </c>
      <c r="AD175" s="4">
        <f t="shared" si="223"/>
      </c>
      <c r="AE175" s="4">
        <f t="shared" si="243"/>
      </c>
      <c r="AF175" s="4">
        <f t="shared" si="246"/>
      </c>
      <c r="AG175" s="4">
        <f t="shared" si="247"/>
        <v/>
      </c>
      <c r="AH175" s="4">
        <f t="shared" si="233"/>
      </c>
      <c r="AI175" s="4">
        <f t="shared" si="248"/>
      </c>
      <c r="AJ175" s="4">
        <f t="shared" si="234"/>
      </c>
      <c r="AK175" s="4">
        <f t="shared" si="224"/>
      </c>
      <c r="AL175" s="4">
        <f t="shared" si="235"/>
      </c>
      <c r="AM175" s="4">
        <f t="shared" si="236"/>
      </c>
      <c r="AN175" s="4"/>
      <c r="AO175" s="4">
        <f t="shared" si="241"/>
      </c>
      <c r="AP175" s="4">
        <f t="shared" si="237"/>
      </c>
      <c r="AQ175" s="4">
        <f t="shared" si="242"/>
        <v/>
      </c>
      <c r="AR175" s="4">
        <f t="shared" si="238"/>
      </c>
      <c r="AS175" s="4">
        <f t="shared" si="239"/>
      </c>
      <c r="AT175" s="4">
        <f t="shared" si="249"/>
      </c>
    </row>
    <row r="176" spans="1:46" x14ac:dyDescent="0.3">
      <c r="A176" s="5">
        <f t="shared" si="216"/>
      </c>
      <c r="B176" s="4">
        <f t="shared" si="227"/>
      </c>
      <c r="C176" s="119"/>
      <c r="D176" s="119"/>
      <c r="E176" s="105"/>
      <c r="F176" s="173"/>
      <c r="G176" s="173"/>
      <c r="H176" s="173"/>
      <c r="I176" s="192"/>
      <c r="J176" s="186"/>
      <c r="K176" s="105"/>
      <c r="L176" s="105"/>
      <c r="M176" s="97">
        <f t="shared" si="275"/>
      </c>
      <c r="N176" s="100"/>
      <c r="O176" s="164"/>
      <c r="P176" s="100">
        <f t="shared" si="276"/>
      </c>
      <c r="Q176" s="188"/>
      <c r="R176" s="119"/>
      <c r="S176" s="173"/>
      <c r="T176" s="5">
        <f t="shared" si="230"/>
      </c>
      <c r="U176" s="4">
        <f t="shared" si="217"/>
      </c>
      <c r="V176" s="4">
        <f t="shared" si="218"/>
      </c>
      <c r="W176" s="4">
        <f t="shared" si="219"/>
      </c>
      <c r="X176" s="4">
        <f t="shared" si="220"/>
      </c>
      <c r="Y176" s="4" cm="1">
        <f t="array" ref="Y176">_xlfn.IFS(H176=1,2,H176=3,1)</f>
      </c>
      <c r="Z176" s="4">
        <f t="shared" si="221"/>
      </c>
      <c r="AA176" s="4">
        <f t="shared" si="231"/>
      </c>
      <c r="AB176" s="4">
        <f t="shared" si="222"/>
      </c>
      <c r="AC176" s="4">
        <f t="shared" si="232"/>
      </c>
      <c r="AD176" s="4">
        <f t="shared" si="223"/>
      </c>
      <c r="AE176" s="4">
        <f t="shared" si="243"/>
      </c>
      <c r="AF176" s="4">
        <f t="shared" si="246"/>
      </c>
      <c r="AG176" s="4">
        <f t="shared" si="247"/>
        <v/>
      </c>
      <c r="AH176" s="4">
        <f t="shared" si="233"/>
      </c>
      <c r="AI176" s="4">
        <f t="shared" si="248"/>
      </c>
      <c r="AJ176" s="4">
        <f t="shared" si="234"/>
      </c>
      <c r="AK176" s="4">
        <f t="shared" si="224"/>
      </c>
      <c r="AL176" s="4">
        <f t="shared" si="235"/>
      </c>
      <c r="AM176" s="4">
        <f t="shared" si="236"/>
      </c>
      <c r="AN176" s="4"/>
      <c r="AO176" s="4">
        <f t="shared" si="241"/>
      </c>
      <c r="AP176" s="4">
        <f t="shared" si="237"/>
      </c>
      <c r="AQ176" s="4">
        <f t="shared" si="242"/>
        <v/>
      </c>
      <c r="AR176" s="4">
        <f t="shared" si="238"/>
      </c>
      <c r="AS176" s="4">
        <f t="shared" si="239"/>
      </c>
      <c r="AT176" s="4">
        <f t="shared" si="249"/>
      </c>
    </row>
    <row r="177" spans="1:46" x14ac:dyDescent="0.3">
      <c r="A177" s="5">
        <f t="shared" si="216"/>
      </c>
      <c r="B177" s="4">
        <f t="shared" si="227"/>
      </c>
      <c r="C177" s="119"/>
      <c r="D177" s="119"/>
      <c r="E177" s="105"/>
      <c r="F177" s="173"/>
      <c r="G177" s="173"/>
      <c r="H177" s="173"/>
      <c r="I177" s="192"/>
      <c r="J177" s="186"/>
      <c r="K177" s="105"/>
      <c r="L177" s="105"/>
      <c r="M177" s="97">
        <f t="shared" ref="M177:M179" si="277">IFERROR(IF(VLOOKUP(AH177,Потребители_обозначение,4,FALSE)=1,VLOOKUP(AH177,Потребители_обозначение,3,FALSE)*(G177*2-1)+I177+VLOOKUP(AI177,Этаж_обозначение,3,FALSE)+VLOOKUP(AI177,Этаж_обозначение,4,FALSE),VLOOKUP(AH177,Потребители_обозначение,3,FALSE)*(G177*2-1)+I177),I177)</f>
      </c>
      <c r="N177" s="100"/>
      <c r="O177" s="164"/>
      <c r="P177" s="100">
        <f t="shared" ref="P177:P179" si="278">IF(VLOOKUP(AH177,Потребители_обозначение,5,FALSE)=2,_xlfn.IFS(H177=3,VLOOKUP(E177,Справочная_двигатели,8,FALSE),H177=1,VLOOKUP(E177,Справочная_двигатели,10,TRUE)),0.95)</f>
      </c>
      <c r="Q177" s="188"/>
      <c r="R177" s="119"/>
      <c r="S177" s="173"/>
      <c r="T177" s="5">
        <f t="shared" si="230"/>
      </c>
      <c r="U177" s="4">
        <f t="shared" si="217"/>
      </c>
      <c r="V177" s="4">
        <f t="shared" si="218"/>
      </c>
      <c r="W177" s="4">
        <f t="shared" si="219"/>
      </c>
      <c r="X177" s="4">
        <f t="shared" si="220"/>
      </c>
      <c r="Y177" s="4" cm="1">
        <f t="array" ref="Y177">_xlfn.IFS(H177=1,2,H177=3,1)</f>
      </c>
      <c r="Z177" s="4">
        <f t="shared" si="221"/>
      </c>
      <c r="AA177" s="4">
        <f t="shared" si="231"/>
      </c>
      <c r="AB177" s="4">
        <f t="shared" si="222"/>
      </c>
      <c r="AC177" s="4">
        <f t="shared" si="232"/>
      </c>
      <c r="AD177" s="4">
        <f t="shared" si="223"/>
      </c>
      <c r="AE177" s="4">
        <f t="shared" si="243"/>
      </c>
      <c r="AF177" s="4">
        <f t="shared" si="246"/>
      </c>
      <c r="AG177" s="4">
        <f t="shared" si="247"/>
        <v/>
      </c>
      <c r="AH177" s="4">
        <f t="shared" si="233"/>
      </c>
      <c r="AI177" s="4">
        <f t="shared" si="248"/>
      </c>
      <c r="AJ177" s="4">
        <f t="shared" si="234"/>
      </c>
      <c r="AK177" s="4">
        <f t="shared" si="224"/>
      </c>
      <c r="AL177" s="4">
        <f t="shared" si="235"/>
      </c>
      <c r="AM177" s="4">
        <f t="shared" si="236"/>
      </c>
      <c r="AN177" s="4"/>
      <c r="AO177" s="4">
        <f t="shared" si="241"/>
      </c>
      <c r="AP177" s="4">
        <f t="shared" si="237"/>
      </c>
      <c r="AQ177" s="4">
        <f t="shared" si="242"/>
        <v/>
      </c>
      <c r="AR177" s="4">
        <f t="shared" si="238"/>
      </c>
      <c r="AS177" s="4">
        <f t="shared" si="239"/>
      </c>
      <c r="AT177" s="4">
        <f t="shared" si="249"/>
      </c>
    </row>
    <row r="178" spans="1:46" x14ac:dyDescent="0.3">
      <c r="A178" s="5">
        <f t="shared" si="216"/>
      </c>
      <c r="B178" s="4">
        <f t="shared" si="227"/>
      </c>
      <c r="C178" s="119"/>
      <c r="D178" s="119"/>
      <c r="E178" s="105"/>
      <c r="F178" s="173"/>
      <c r="G178" s="173"/>
      <c r="H178" s="173"/>
      <c r="I178" s="192"/>
      <c r="J178" s="186"/>
      <c r="K178" s="105"/>
      <c r="L178" s="105"/>
      <c r="M178" s="97">
        <f t="shared" si="277"/>
      </c>
      <c r="N178" s="100"/>
      <c r="O178" s="164"/>
      <c r="P178" s="100">
        <f t="shared" si="278"/>
      </c>
      <c r="Q178" s="188"/>
      <c r="R178" s="119"/>
      <c r="S178" s="173"/>
      <c r="T178" s="5">
        <f t="shared" si="230"/>
      </c>
      <c r="U178" s="4">
        <f t="shared" si="217"/>
      </c>
      <c r="V178" s="4">
        <f t="shared" si="218"/>
      </c>
      <c r="W178" s="4">
        <f t="shared" si="219"/>
      </c>
      <c r="X178" s="4">
        <f t="shared" si="220"/>
      </c>
      <c r="Y178" s="4" cm="1">
        <f t="array" ref="Y178">_xlfn.IFS(H178=1,2,H178=3,1)</f>
      </c>
      <c r="Z178" s="4">
        <f t="shared" si="221"/>
      </c>
      <c r="AA178" s="4">
        <f t="shared" si="231"/>
      </c>
      <c r="AB178" s="4">
        <f t="shared" si="222"/>
      </c>
      <c r="AC178" s="4">
        <f t="shared" si="232"/>
      </c>
      <c r="AD178" s="4">
        <f t="shared" si="223"/>
      </c>
      <c r="AE178" s="4">
        <f t="shared" si="243"/>
      </c>
      <c r="AF178" s="4">
        <f t="shared" si="246"/>
      </c>
      <c r="AG178" s="4">
        <f t="shared" si="247"/>
        <v/>
      </c>
      <c r="AH178" s="4">
        <f t="shared" si="233"/>
      </c>
      <c r="AI178" s="4">
        <f t="shared" si="248"/>
      </c>
      <c r="AJ178" s="4">
        <f t="shared" si="234"/>
      </c>
      <c r="AK178" s="4">
        <f t="shared" si="224"/>
      </c>
      <c r="AL178" s="4">
        <f t="shared" si="235"/>
      </c>
      <c r="AM178" s="4">
        <f t="shared" si="236"/>
      </c>
      <c r="AN178" s="4"/>
      <c r="AO178" s="4">
        <f t="shared" si="241"/>
      </c>
      <c r="AP178" s="4">
        <f t="shared" si="237"/>
      </c>
      <c r="AQ178" s="4">
        <f t="shared" si="242"/>
        <v/>
      </c>
      <c r="AR178" s="4">
        <f t="shared" si="238"/>
      </c>
      <c r="AS178" s="4">
        <f t="shared" si="239"/>
      </c>
      <c r="AT178" s="4">
        <f t="shared" si="249"/>
      </c>
    </row>
    <row r="179" spans="1:46" x14ac:dyDescent="0.3">
      <c r="A179" s="5">
        <f t="shared" si="216"/>
      </c>
      <c r="B179" s="4">
        <f t="shared" si="227"/>
      </c>
      <c r="C179" s="119"/>
      <c r="D179" s="119"/>
      <c r="E179" s="105"/>
      <c r="F179" s="173"/>
      <c r="G179" s="173"/>
      <c r="H179" s="173"/>
      <c r="I179" s="192"/>
      <c r="J179" s="186"/>
      <c r="K179" s="105"/>
      <c r="L179" s="105"/>
      <c r="M179" s="97">
        <f t="shared" si="277"/>
      </c>
      <c r="N179" s="100"/>
      <c r="O179" s="164"/>
      <c r="P179" s="100">
        <f t="shared" si="278"/>
      </c>
      <c r="Q179" s="188"/>
      <c r="R179" s="119"/>
      <c r="S179" s="173"/>
      <c r="T179" s="5">
        <f t="shared" si="230"/>
      </c>
      <c r="U179" s="4">
        <f t="shared" si="217"/>
      </c>
      <c r="V179" s="4">
        <f t="shared" si="218"/>
      </c>
      <c r="W179" s="4">
        <f t="shared" si="219"/>
      </c>
      <c r="X179" s="4">
        <f t="shared" si="220"/>
      </c>
      <c r="Y179" s="4" cm="1">
        <f t="array" ref="Y179">_xlfn.IFS(H179=1,2,H179=3,1)</f>
      </c>
      <c r="Z179" s="4">
        <f t="shared" si="221"/>
      </c>
      <c r="AA179" s="4">
        <f t="shared" si="231"/>
      </c>
      <c r="AB179" s="4">
        <f t="shared" si="222"/>
      </c>
      <c r="AC179" s="4">
        <f t="shared" si="232"/>
      </c>
      <c r="AD179" s="4">
        <f t="shared" si="223"/>
      </c>
      <c r="AE179" s="4">
        <f t="shared" si="243"/>
      </c>
      <c r="AF179" s="4">
        <f t="shared" si="246"/>
      </c>
      <c r="AG179" s="4">
        <f t="shared" si="247"/>
        <v/>
      </c>
      <c r="AH179" s="4">
        <f t="shared" si="233"/>
      </c>
      <c r="AI179" s="4">
        <f t="shared" si="248"/>
      </c>
      <c r="AJ179" s="4">
        <f t="shared" si="234"/>
      </c>
      <c r="AK179" s="4">
        <f t="shared" si="224"/>
      </c>
      <c r="AL179" s="4">
        <f t="shared" si="235"/>
      </c>
      <c r="AM179" s="4">
        <f t="shared" si="236"/>
      </c>
      <c r="AN179" s="4"/>
      <c r="AO179" s="4">
        <f t="shared" si="241"/>
      </c>
      <c r="AP179" s="4">
        <f t="shared" si="237"/>
      </c>
      <c r="AQ179" s="4">
        <f t="shared" si="242"/>
        <v/>
      </c>
      <c r="AR179" s="4">
        <f t="shared" si="238"/>
      </c>
      <c r="AS179" s="4">
        <f t="shared" si="239"/>
      </c>
      <c r="AT179" s="4">
        <f t="shared" si="249"/>
      </c>
    </row>
    <row r="180" spans="1:46" x14ac:dyDescent="0.3">
      <c r="A180" s="5">
        <f t="shared" si="216"/>
      </c>
      <c r="B180" s="4">
        <f t="shared" si="227"/>
      </c>
      <c r="C180" s="119"/>
      <c r="D180" s="119"/>
      <c r="E180" s="105"/>
      <c r="F180" s="173"/>
      <c r="G180" s="173"/>
      <c r="H180" s="173"/>
      <c r="I180" s="192"/>
      <c r="J180" s="186"/>
      <c r="K180" s="105"/>
      <c r="L180" s="105"/>
      <c r="M180" s="97">
        <f t="shared" ref="M180:M185" si="279">IFERROR(IF(VLOOKUP(AH180,Потребители_обозначение,4,FALSE)=1,VLOOKUP(AH180,Потребители_обозначение,3,FALSE)*(G180*2-1)+I180+VLOOKUP(AI180,Этаж_обозначение,3,FALSE)+VLOOKUP(AI180,Этаж_обозначение,4,FALSE),VLOOKUP(AH180,Потребители_обозначение,3,FALSE)*(G180*2-1)+I180),I180)</f>
      </c>
      <c r="N180" s="100"/>
      <c r="O180" s="164"/>
      <c r="P180" s="100">
        <f t="shared" ref="P180:P185" si="280">IF(VLOOKUP(AH180,Потребители_обозначение,5,FALSE)=2,_xlfn.IFS(H180=3,VLOOKUP(E180,Справочная_двигатели,8,FALSE),H180=1,VLOOKUP(E180,Справочная_двигатели,10,TRUE)),0.95)</f>
      </c>
      <c r="Q180" s="188"/>
      <c r="R180" s="119"/>
      <c r="S180" s="173"/>
      <c r="T180" s="5">
        <f t="shared" si="230"/>
      </c>
      <c r="U180" s="4">
        <f t="shared" si="217"/>
      </c>
      <c r="V180" s="4">
        <f t="shared" si="218"/>
      </c>
      <c r="W180" s="4">
        <f t="shared" si="219"/>
      </c>
      <c r="X180" s="4">
        <f t="shared" si="220"/>
      </c>
      <c r="Y180" s="4" cm="1">
        <f t="array" ref="Y180">_xlfn.IFS(H180=1,2,H180=3,1)</f>
      </c>
      <c r="Z180" s="4">
        <f t="shared" si="221"/>
      </c>
      <c r="AA180" s="4">
        <f t="shared" si="231"/>
      </c>
      <c r="AB180" s="4">
        <f t="shared" si="222"/>
      </c>
      <c r="AC180" s="4">
        <f t="shared" si="232"/>
      </c>
      <c r="AD180" s="4">
        <f t="shared" si="223"/>
      </c>
      <c r="AE180" s="4">
        <f t="shared" si="243"/>
      </c>
      <c r="AF180" s="4">
        <f t="shared" si="246"/>
      </c>
      <c r="AG180" s="4">
        <f t="shared" si="247"/>
        <v/>
      </c>
      <c r="AH180" s="4">
        <f t="shared" si="233"/>
      </c>
      <c r="AI180" s="4">
        <f t="shared" si="248"/>
      </c>
      <c r="AJ180" s="4">
        <f t="shared" si="234"/>
      </c>
      <c r="AK180" s="4">
        <f t="shared" si="224"/>
      </c>
      <c r="AL180" s="4">
        <f t="shared" si="235"/>
      </c>
      <c r="AM180" s="4">
        <f t="shared" si="236"/>
      </c>
      <c r="AN180" s="4"/>
      <c r="AO180" s="4">
        <f t="shared" si="241"/>
      </c>
      <c r="AP180" s="4">
        <f t="shared" si="237"/>
      </c>
      <c r="AQ180" s="4">
        <f t="shared" si="242"/>
        <v/>
      </c>
      <c r="AR180" s="4">
        <f t="shared" si="238"/>
      </c>
      <c r="AS180" s="4">
        <f t="shared" si="239"/>
      </c>
      <c r="AT180" s="4">
        <f t="shared" si="249"/>
      </c>
    </row>
    <row r="181" spans="1:46" x14ac:dyDescent="0.3">
      <c r="A181" s="5">
        <f t="shared" si="216"/>
      </c>
      <c r="B181" s="4">
        <f t="shared" si="227"/>
      </c>
      <c r="C181" s="119"/>
      <c r="D181" s="119"/>
      <c r="E181" s="105"/>
      <c r="F181" s="173"/>
      <c r="G181" s="173"/>
      <c r="H181" s="173"/>
      <c r="I181" s="192"/>
      <c r="J181" s="186"/>
      <c r="K181" s="105"/>
      <c r="L181" s="105"/>
      <c r="M181" s="97">
        <f t="shared" si="279"/>
      </c>
      <c r="N181" s="100"/>
      <c r="O181" s="164"/>
      <c r="P181" s="100">
        <f t="shared" si="280"/>
      </c>
      <c r="Q181" s="188"/>
      <c r="R181" s="119"/>
      <c r="S181" s="173"/>
      <c r="T181" s="5">
        <f t="shared" si="230"/>
      </c>
      <c r="U181" s="4">
        <f t="shared" si="217"/>
      </c>
      <c r="V181" s="4">
        <f t="shared" si="218"/>
      </c>
      <c r="W181" s="4">
        <f t="shared" si="219"/>
      </c>
      <c r="X181" s="4">
        <f t="shared" si="220"/>
      </c>
      <c r="Y181" s="4" cm="1">
        <f t="array" ref="Y181">_xlfn.IFS(H181=1,2,H181=3,1)</f>
      </c>
      <c r="Z181" s="4">
        <f t="shared" si="221"/>
      </c>
      <c r="AA181" s="4">
        <f t="shared" si="231"/>
      </c>
      <c r="AB181" s="4">
        <f t="shared" si="222"/>
      </c>
      <c r="AC181" s="4">
        <f t="shared" si="232"/>
      </c>
      <c r="AD181" s="4">
        <f t="shared" si="223"/>
      </c>
      <c r="AE181" s="4">
        <f t="shared" si="243"/>
      </c>
      <c r="AF181" s="4">
        <f t="shared" si="246"/>
      </c>
      <c r="AG181" s="4">
        <f t="shared" si="247"/>
        <v/>
      </c>
      <c r="AH181" s="4">
        <f t="shared" si="233"/>
      </c>
      <c r="AI181" s="4">
        <f t="shared" si="248"/>
      </c>
      <c r="AJ181" s="4">
        <f t="shared" si="234"/>
      </c>
      <c r="AK181" s="4">
        <f t="shared" si="224"/>
      </c>
      <c r="AL181" s="4">
        <f t="shared" si="235"/>
      </c>
      <c r="AM181" s="4">
        <f t="shared" si="236"/>
      </c>
      <c r="AN181" s="4"/>
      <c r="AO181" s="4">
        <f t="shared" si="241"/>
      </c>
      <c r="AP181" s="4">
        <f t="shared" si="237"/>
      </c>
      <c r="AQ181" s="4">
        <f t="shared" si="242"/>
        <v/>
      </c>
      <c r="AR181" s="4">
        <f t="shared" si="238"/>
      </c>
      <c r="AS181" s="4">
        <f t="shared" si="239"/>
      </c>
      <c r="AT181" s="4">
        <f t="shared" si="249"/>
      </c>
    </row>
    <row r="182" spans="1:46" x14ac:dyDescent="0.3">
      <c r="A182" s="5">
        <f t="shared" si="216"/>
      </c>
      <c r="B182" s="4">
        <f t="shared" si="227"/>
      </c>
      <c r="C182" s="119"/>
      <c r="D182" s="119"/>
      <c r="E182" s="105"/>
      <c r="F182" s="173"/>
      <c r="G182" s="173"/>
      <c r="H182" s="173"/>
      <c r="I182" s="192"/>
      <c r="J182" s="186"/>
      <c r="K182" s="105"/>
      <c r="L182" s="105"/>
      <c r="M182" s="97">
        <f t="shared" si="279"/>
      </c>
      <c r="N182" s="100"/>
      <c r="O182" s="164"/>
      <c r="P182" s="100">
        <f t="shared" si="280"/>
      </c>
      <c r="Q182" s="188"/>
      <c r="R182" s="119"/>
      <c r="S182" s="173"/>
      <c r="T182" s="5">
        <f t="shared" si="230"/>
      </c>
      <c r="U182" s="4">
        <f t="shared" si="217"/>
      </c>
      <c r="V182" s="4">
        <f t="shared" si="218"/>
      </c>
      <c r="W182" s="4">
        <f t="shared" si="219"/>
      </c>
      <c r="X182" s="4">
        <f t="shared" si="220"/>
      </c>
      <c r="Y182" s="4" cm="1">
        <f t="array" ref="Y182">_xlfn.IFS(H182=1,2,H182=3,1)</f>
      </c>
      <c r="Z182" s="4">
        <f t="shared" si="221"/>
      </c>
      <c r="AA182" s="4">
        <f t="shared" si="231"/>
      </c>
      <c r="AB182" s="4">
        <f t="shared" si="222"/>
      </c>
      <c r="AC182" s="4">
        <f t="shared" si="232"/>
      </c>
      <c r="AD182" s="4">
        <f t="shared" si="223"/>
      </c>
      <c r="AE182" s="4">
        <f t="shared" si="243"/>
      </c>
      <c r="AF182" s="4">
        <f t="shared" si="246"/>
      </c>
      <c r="AG182" s="4">
        <f t="shared" si="247"/>
        <v/>
      </c>
      <c r="AH182" s="4">
        <f t="shared" si="233"/>
      </c>
      <c r="AI182" s="4">
        <f t="shared" si="248"/>
      </c>
      <c r="AJ182" s="4">
        <f t="shared" si="234"/>
      </c>
      <c r="AK182" s="4">
        <f t="shared" si="224"/>
      </c>
      <c r="AL182" s="4">
        <f t="shared" si="235"/>
      </c>
      <c r="AM182" s="4">
        <f t="shared" si="236"/>
      </c>
      <c r="AN182" s="4"/>
      <c r="AO182" s="4">
        <f t="shared" si="241"/>
      </c>
      <c r="AP182" s="4">
        <f t="shared" si="237"/>
      </c>
      <c r="AQ182" s="4">
        <f t="shared" si="242"/>
        <v/>
      </c>
      <c r="AR182" s="4">
        <f t="shared" si="238"/>
      </c>
      <c r="AS182" s="4">
        <f t="shared" si="239"/>
      </c>
      <c r="AT182" s="4">
        <f t="shared" si="249"/>
      </c>
    </row>
    <row r="183" spans="1:46" x14ac:dyDescent="0.3">
      <c r="A183" s="5">
        <f t="shared" si="216"/>
      </c>
      <c r="B183" s="4">
        <f t="shared" si="227"/>
      </c>
      <c r="C183" s="119"/>
      <c r="D183" s="119"/>
      <c r="E183" s="105"/>
      <c r="F183" s="173"/>
      <c r="G183" s="173"/>
      <c r="H183" s="173"/>
      <c r="I183" s="192"/>
      <c r="J183" s="186"/>
      <c r="K183" s="105"/>
      <c r="L183" s="105"/>
      <c r="M183" s="97">
        <f t="shared" si="279"/>
      </c>
      <c r="N183" s="100"/>
      <c r="O183" s="164"/>
      <c r="P183" s="100">
        <f t="shared" si="280"/>
      </c>
      <c r="Q183" s="188"/>
      <c r="R183" s="119"/>
      <c r="S183" s="173"/>
      <c r="T183" s="5">
        <f t="shared" si="230"/>
      </c>
      <c r="U183" s="4">
        <f t="shared" si="217"/>
      </c>
      <c r="V183" s="4">
        <f t="shared" si="218"/>
      </c>
      <c r="W183" s="4">
        <f t="shared" si="219"/>
      </c>
      <c r="X183" s="4">
        <f t="shared" si="220"/>
      </c>
      <c r="Y183" s="4" cm="1">
        <f t="array" ref="Y183">_xlfn.IFS(H183=1,2,H183=3,1)</f>
      </c>
      <c r="Z183" s="4">
        <f t="shared" si="221"/>
      </c>
      <c r="AA183" s="4">
        <f t="shared" si="231"/>
      </c>
      <c r="AB183" s="4">
        <f t="shared" si="222"/>
      </c>
      <c r="AC183" s="4">
        <f t="shared" si="232"/>
      </c>
      <c r="AD183" s="4">
        <f t="shared" si="223"/>
      </c>
      <c r="AE183" s="4">
        <f t="shared" si="243"/>
      </c>
      <c r="AF183" s="4">
        <f t="shared" si="246"/>
      </c>
      <c r="AG183" s="4">
        <f t="shared" si="247"/>
        <v/>
      </c>
      <c r="AH183" s="4">
        <f t="shared" si="233"/>
      </c>
      <c r="AI183" s="4">
        <f t="shared" si="248"/>
      </c>
      <c r="AJ183" s="4">
        <f t="shared" si="234"/>
      </c>
      <c r="AK183" s="4">
        <f t="shared" si="224"/>
      </c>
      <c r="AL183" s="4">
        <f t="shared" si="235"/>
      </c>
      <c r="AM183" s="4">
        <f t="shared" si="236"/>
      </c>
      <c r="AN183" s="4"/>
      <c r="AO183" s="4">
        <f t="shared" si="241"/>
      </c>
      <c r="AP183" s="4">
        <f t="shared" si="237"/>
      </c>
      <c r="AQ183" s="4">
        <f t="shared" si="242"/>
        <v/>
      </c>
      <c r="AR183" s="4">
        <f t="shared" si="238"/>
      </c>
      <c r="AS183" s="4">
        <f t="shared" si="239"/>
      </c>
      <c r="AT183" s="4">
        <f t="shared" si="249"/>
      </c>
    </row>
    <row r="184" spans="1:46" x14ac:dyDescent="0.3">
      <c r="A184" s="5">
        <f t="shared" si="216"/>
      </c>
      <c r="B184" s="4">
        <f t="shared" si="227"/>
      </c>
      <c r="C184" s="119"/>
      <c r="D184" s="119"/>
      <c r="E184" s="105"/>
      <c r="F184" s="173"/>
      <c r="G184" s="173"/>
      <c r="H184" s="173"/>
      <c r="I184" s="192"/>
      <c r="J184" s="186"/>
      <c r="K184" s="105"/>
      <c r="L184" s="105"/>
      <c r="M184" s="97">
        <f t="shared" si="279"/>
      </c>
      <c r="N184" s="100"/>
      <c r="O184" s="164"/>
      <c r="P184" s="100">
        <f t="shared" si="280"/>
      </c>
      <c r="Q184" s="188"/>
      <c r="R184" s="119"/>
      <c r="S184" s="173"/>
      <c r="T184" s="5">
        <f t="shared" si="230"/>
      </c>
      <c r="U184" s="4">
        <f t="shared" si="217"/>
      </c>
      <c r="V184" s="4">
        <f t="shared" si="218"/>
      </c>
      <c r="W184" s="4">
        <f t="shared" si="219"/>
      </c>
      <c r="X184" s="4">
        <f t="shared" si="220"/>
      </c>
      <c r="Y184" s="4" cm="1">
        <f t="array" ref="Y184">_xlfn.IFS(H184=1,2,H184=3,1)</f>
      </c>
      <c r="Z184" s="4">
        <f t="shared" si="221"/>
      </c>
      <c r="AA184" s="4">
        <f t="shared" si="231"/>
      </c>
      <c r="AB184" s="4">
        <f t="shared" si="222"/>
      </c>
      <c r="AC184" s="4">
        <f t="shared" si="232"/>
      </c>
      <c r="AD184" s="4">
        <f t="shared" si="223"/>
      </c>
      <c r="AE184" s="4">
        <f t="shared" si="243"/>
      </c>
      <c r="AF184" s="4">
        <f t="shared" si="246"/>
      </c>
      <c r="AG184" s="4">
        <f t="shared" si="247"/>
        <v/>
      </c>
      <c r="AH184" s="4">
        <f t="shared" si="233"/>
      </c>
      <c r="AI184" s="4">
        <f t="shared" si="248"/>
      </c>
      <c r="AJ184" s="4">
        <f t="shared" si="234"/>
      </c>
      <c r="AK184" s="4">
        <f t="shared" si="224"/>
      </c>
      <c r="AL184" s="4">
        <f t="shared" si="235"/>
      </c>
      <c r="AM184" s="4">
        <f t="shared" si="236"/>
      </c>
      <c r="AN184" s="4"/>
      <c r="AO184" s="4">
        <f t="shared" si="241"/>
      </c>
      <c r="AP184" s="4">
        <f t="shared" si="237"/>
      </c>
      <c r="AQ184" s="4">
        <f t="shared" si="242"/>
        <v/>
      </c>
      <c r="AR184" s="4">
        <f t="shared" si="238"/>
      </c>
      <c r="AS184" s="4">
        <f t="shared" si="239"/>
      </c>
      <c r="AT184" s="4">
        <f t="shared" si="249"/>
      </c>
    </row>
    <row r="185" spans="1:46" x14ac:dyDescent="0.3">
      <c r="A185" s="5">
        <f t="shared" si="216"/>
      </c>
      <c r="B185" s="4">
        <f t="shared" si="227"/>
      </c>
      <c r="C185" s="119"/>
      <c r="D185" s="119"/>
      <c r="E185" s="105"/>
      <c r="F185" s="173"/>
      <c r="G185" s="173"/>
      <c r="H185" s="173"/>
      <c r="I185" s="192"/>
      <c r="J185" s="186"/>
      <c r="K185" s="105"/>
      <c r="L185" s="105"/>
      <c r="M185" s="97">
        <f t="shared" si="279"/>
      </c>
      <c r="N185" s="100"/>
      <c r="O185" s="164"/>
      <c r="P185" s="100">
        <f t="shared" si="280"/>
      </c>
      <c r="Q185" s="188"/>
      <c r="R185" s="119"/>
      <c r="S185" s="173"/>
      <c r="T185" s="5">
        <f t="shared" si="230"/>
      </c>
      <c r="U185" s="4">
        <f t="shared" si="217"/>
      </c>
      <c r="V185" s="4">
        <f t="shared" si="218"/>
      </c>
      <c r="W185" s="4">
        <f t="shared" si="219"/>
      </c>
      <c r="X185" s="4">
        <f t="shared" si="220"/>
      </c>
      <c r="Y185" s="4" cm="1">
        <f t="array" ref="Y185">_xlfn.IFS(H185=1,2,H185=3,1)</f>
      </c>
      <c r="Z185" s="4">
        <f t="shared" si="221"/>
      </c>
      <c r="AA185" s="4">
        <f t="shared" si="231"/>
      </c>
      <c r="AB185" s="4">
        <f t="shared" si="222"/>
      </c>
      <c r="AC185" s="4">
        <f t="shared" si="232"/>
      </c>
      <c r="AD185" s="4">
        <f t="shared" si="223"/>
      </c>
      <c r="AE185" s="4">
        <f t="shared" si="243"/>
      </c>
      <c r="AF185" s="4">
        <f t="shared" si="246"/>
      </c>
      <c r="AG185" s="4">
        <f t="shared" si="247"/>
        <v/>
      </c>
      <c r="AH185" s="4">
        <f t="shared" si="233"/>
      </c>
      <c r="AI185" s="4">
        <f t="shared" si="248"/>
      </c>
      <c r="AJ185" s="4">
        <f t="shared" si="234"/>
      </c>
      <c r="AK185" s="4">
        <f t="shared" si="224"/>
      </c>
      <c r="AL185" s="4">
        <f t="shared" si="235"/>
      </c>
      <c r="AM185" s="4">
        <f t="shared" si="236"/>
      </c>
      <c r="AN185" s="4"/>
      <c r="AO185" s="4">
        <f t="shared" si="241"/>
      </c>
      <c r="AP185" s="4">
        <f t="shared" si="237"/>
      </c>
      <c r="AQ185" s="4">
        <f t="shared" si="242"/>
        <v/>
      </c>
      <c r="AR185" s="4">
        <f t="shared" si="238"/>
      </c>
      <c r="AS185" s="4">
        <f t="shared" si="239"/>
      </c>
      <c r="AT185" s="4">
        <f t="shared" si="249"/>
      </c>
    </row>
    <row r="186" spans="1:46" x14ac:dyDescent="0.3">
      <c r="A186" s="5">
        <f t="shared" si="216"/>
      </c>
      <c r="B186" s="4">
        <f t="shared" si="227"/>
      </c>
      <c r="C186" s="119"/>
      <c r="D186" s="119"/>
      <c r="E186" s="105"/>
      <c r="F186" s="173"/>
      <c r="G186" s="173"/>
      <c r="H186" s="173"/>
      <c r="I186" s="192"/>
      <c r="J186" s="186"/>
      <c r="K186" s="105"/>
      <c r="L186" s="105"/>
      <c r="M186" s="4">
        <f t="shared" si="240"/>
      </c>
      <c r="N186" s="100"/>
      <c r="O186" s="164"/>
      <c r="P186" s="59">
        <f t="shared" si="260"/>
      </c>
      <c r="Q186" s="188"/>
      <c r="R186" s="119"/>
      <c r="S186" s="173"/>
      <c r="T186" s="5">
        <f t="shared" si="230"/>
      </c>
      <c r="U186" s="4">
        <f t="shared" si="217"/>
      </c>
      <c r="V186" s="4">
        <f t="shared" si="218"/>
      </c>
      <c r="W186" s="4">
        <f t="shared" si="219"/>
      </c>
      <c r="X186" s="4">
        <f t="shared" si="220"/>
      </c>
      <c r="Y186" s="4" cm="1">
        <f t="array" ref="Y186">_xlfn.IFS(H186=1,2,H186=3,1)</f>
      </c>
      <c r="Z186" s="4">
        <f t="shared" si="221"/>
      </c>
      <c r="AA186" s="4">
        <f t="shared" si="231"/>
      </c>
      <c r="AB186" s="4">
        <f t="shared" si="222"/>
      </c>
      <c r="AC186" s="4">
        <f t="shared" si="232"/>
      </c>
      <c r="AD186" s="4">
        <f t="shared" si="223"/>
      </c>
      <c r="AE186" s="4">
        <f t="shared" si="243"/>
      </c>
      <c r="AF186" s="4">
        <f t="shared" si="246"/>
      </c>
      <c r="AG186" s="4">
        <f t="shared" si="247"/>
        <v/>
      </c>
      <c r="AH186" s="4">
        <f t="shared" si="233"/>
      </c>
      <c r="AI186" s="4">
        <f t="shared" si="248"/>
      </c>
      <c r="AJ186" s="4">
        <f t="shared" si="234"/>
      </c>
      <c r="AK186" s="4">
        <f t="shared" si="224"/>
      </c>
      <c r="AL186" s="4">
        <f t="shared" si="235"/>
      </c>
      <c r="AM186" s="4">
        <f t="shared" si="236"/>
      </c>
      <c r="AN186" s="4"/>
      <c r="AO186" s="4">
        <f t="shared" si="241"/>
      </c>
      <c r="AP186" s="4">
        <f t="shared" si="237"/>
      </c>
      <c r="AQ186" s="4">
        <f t="shared" si="242"/>
        <v/>
      </c>
      <c r="AR186" s="4">
        <f t="shared" si="238"/>
      </c>
      <c r="AS186" s="4">
        <f t="shared" si="239"/>
      </c>
      <c r="AT186" s="4">
        <f t="shared" si="249"/>
      </c>
    </row>
    <row r="187" spans="1:46" x14ac:dyDescent="0.3">
      <c r="A187" s="5">
        <f t="shared" si="216"/>
      </c>
      <c r="B187" s="4">
        <f t="shared" si="227"/>
      </c>
      <c r="C187" s="119"/>
      <c r="D187" s="119"/>
      <c r="E187" s="105"/>
      <c r="F187" s="173"/>
      <c r="G187" s="173"/>
      <c r="H187" s="173"/>
      <c r="I187" s="192"/>
      <c r="J187" s="186"/>
      <c r="K187" s="105"/>
      <c r="L187" s="105"/>
      <c r="M187" s="4">
        <f t="shared" si="240"/>
      </c>
      <c r="N187" s="100"/>
      <c r="O187" s="164"/>
      <c r="P187" s="59">
        <f t="shared" si="260"/>
      </c>
      <c r="Q187" s="188"/>
      <c r="R187" s="119"/>
      <c r="S187" s="173"/>
      <c r="T187" s="5">
        <f t="shared" si="230"/>
      </c>
      <c r="U187" s="4">
        <f t="shared" si="217"/>
      </c>
      <c r="V187" s="4">
        <f t="shared" si="218"/>
      </c>
      <c r="W187" s="4">
        <f t="shared" si="219"/>
      </c>
      <c r="X187" s="4">
        <f t="shared" si="220"/>
      </c>
      <c r="Y187" s="4" cm="1">
        <f t="array" ref="Y187">_xlfn.IFS(H187=1,2,H187=3,1)</f>
      </c>
      <c r="Z187" s="4">
        <f t="shared" si="221"/>
      </c>
      <c r="AA187" s="4">
        <f t="shared" si="231"/>
      </c>
      <c r="AB187" s="4">
        <f t="shared" si="222"/>
      </c>
      <c r="AC187" s="4">
        <f t="shared" si="232"/>
      </c>
      <c r="AD187" s="4">
        <f t="shared" si="223"/>
      </c>
      <c r="AE187" s="4">
        <f t="shared" si="243"/>
      </c>
      <c r="AF187" s="4">
        <f t="shared" si="246"/>
      </c>
      <c r="AG187" s="4">
        <f t="shared" si="247"/>
        <v/>
      </c>
      <c r="AH187" s="4">
        <f t="shared" si="233"/>
      </c>
      <c r="AI187" s="4">
        <f t="shared" si="248"/>
      </c>
      <c r="AJ187" s="4">
        <f t="shared" si="234"/>
      </c>
      <c r="AK187" s="4">
        <f t="shared" si="224"/>
      </c>
      <c r="AL187" s="4">
        <f t="shared" si="235"/>
      </c>
      <c r="AM187" s="4">
        <f t="shared" si="236"/>
      </c>
      <c r="AN187" s="4"/>
      <c r="AO187" s="4">
        <f t="shared" si="241"/>
      </c>
      <c r="AP187" s="4">
        <f t="shared" si="237"/>
      </c>
      <c r="AQ187" s="4">
        <f t="shared" si="242"/>
        <v/>
      </c>
      <c r="AR187" s="4">
        <f t="shared" si="238"/>
      </c>
      <c r="AS187" s="4">
        <f t="shared" si="239"/>
      </c>
      <c r="AT187" s="4">
        <f t="shared" si="249"/>
      </c>
    </row>
    <row r="188" spans="1:46" x14ac:dyDescent="0.3">
      <c r="A188" s="5">
        <f t="shared" si="216"/>
      </c>
      <c r="B188" s="4">
        <f t="shared" si="227"/>
      </c>
      <c r="C188" s="119"/>
      <c r="D188" s="119"/>
      <c r="E188" s="105"/>
      <c r="F188" s="173"/>
      <c r="G188" s="173"/>
      <c r="H188" s="173"/>
      <c r="I188" s="192"/>
      <c r="J188" s="186"/>
      <c r="K188" s="105"/>
      <c r="L188" s="105"/>
      <c r="M188" s="4">
        <f t="shared" si="240"/>
      </c>
      <c r="N188" s="100"/>
      <c r="O188" s="164"/>
      <c r="P188" s="59">
        <f t="shared" si="260"/>
      </c>
      <c r="Q188" s="188"/>
      <c r="R188" s="119"/>
      <c r="S188" s="173"/>
      <c r="T188" s="5">
        <f t="shared" si="230"/>
      </c>
      <c r="U188" s="4">
        <f t="shared" si="217"/>
      </c>
      <c r="V188" s="4">
        <f t="shared" si="218"/>
      </c>
      <c r="W188" s="4">
        <f t="shared" si="219"/>
      </c>
      <c r="X188" s="4">
        <f t="shared" si="220"/>
      </c>
      <c r="Y188" s="4" cm="1">
        <f t="array" ref="Y188">_xlfn.IFS(H188=1,2,H188=3,1)</f>
      </c>
      <c r="Z188" s="4">
        <f t="shared" si="221"/>
      </c>
      <c r="AA188" s="4">
        <f t="shared" si="231"/>
      </c>
      <c r="AB188" s="4">
        <f t="shared" si="222"/>
      </c>
      <c r="AC188" s="4">
        <f t="shared" si="232"/>
      </c>
      <c r="AD188" s="4">
        <f t="shared" si="223"/>
      </c>
      <c r="AE188" s="4">
        <f t="shared" si="243"/>
      </c>
      <c r="AF188" s="4">
        <f t="shared" si="246"/>
      </c>
      <c r="AG188" s="4">
        <f t="shared" si="247"/>
        <v/>
      </c>
      <c r="AH188" s="4">
        <f t="shared" si="233"/>
      </c>
      <c r="AI188" s="4">
        <f t="shared" si="248"/>
      </c>
      <c r="AJ188" s="4">
        <f t="shared" si="234"/>
      </c>
      <c r="AK188" s="4">
        <f t="shared" si="224"/>
      </c>
      <c r="AL188" s="4">
        <f t="shared" si="235"/>
      </c>
      <c r="AM188" s="4">
        <f t="shared" si="236"/>
      </c>
      <c r="AN188" s="4"/>
      <c r="AO188" s="4">
        <f t="shared" si="241"/>
      </c>
      <c r="AP188" s="4">
        <f t="shared" si="237"/>
      </c>
      <c r="AQ188" s="4">
        <f t="shared" si="242"/>
        <v/>
      </c>
      <c r="AR188" s="4">
        <f t="shared" si="238"/>
      </c>
      <c r="AS188" s="4">
        <f t="shared" si="239"/>
      </c>
      <c r="AT188" s="4">
        <f t="shared" si="249"/>
      </c>
    </row>
    <row r="189" spans="1:46" ht="15" thickBot="1" x14ac:dyDescent="0.35">
      <c r="A189" s="45">
        <f t="shared" si="216"/>
      </c>
      <c r="B189" s="44">
        <f t="shared" si="227"/>
      </c>
      <c r="C189" s="175"/>
      <c r="D189" s="175"/>
      <c r="E189" s="176"/>
      <c r="F189" s="178"/>
      <c r="G189" s="178"/>
      <c r="H189" s="178"/>
      <c r="I189" s="192"/>
      <c r="J189" s="176"/>
      <c r="K189" s="176"/>
      <c r="L189" s="176"/>
      <c r="M189" s="44">
        <f t="shared" si="240"/>
      </c>
      <c r="N189" s="64"/>
      <c r="O189" s="166"/>
      <c r="P189" s="64">
        <f t="shared" si="260"/>
      </c>
      <c r="Q189" s="189"/>
      <c r="R189" s="175"/>
      <c r="S189" s="178"/>
      <c r="T189" s="45">
        <f t="shared" si="230"/>
      </c>
      <c r="U189" s="44">
        <f t="shared" si="217"/>
      </c>
      <c r="V189" s="44">
        <f t="shared" si="218"/>
      </c>
      <c r="W189" s="44">
        <f t="shared" si="219"/>
      </c>
      <c r="X189" s="44">
        <f t="shared" si="220"/>
      </c>
      <c r="Y189" s="44" cm="1">
        <f t="array" ref="Y189">_xlfn.IFS(H189=1,2,H189=3,1)</f>
      </c>
      <c r="Z189" s="44">
        <f t="shared" si="221"/>
      </c>
      <c r="AA189" s="44">
        <f t="shared" si="231"/>
      </c>
      <c r="AB189" s="44">
        <f t="shared" si="222"/>
      </c>
      <c r="AC189" s="44">
        <f t="shared" si="232"/>
      </c>
      <c r="AD189" s="44">
        <f t="shared" si="223"/>
      </c>
      <c r="AE189" s="44">
        <f t="shared" si="243"/>
      </c>
      <c r="AF189" s="44">
        <f t="shared" si="246"/>
      </c>
      <c r="AG189" s="44">
        <f t="shared" si="247"/>
        <v/>
      </c>
      <c r="AH189" s="44">
        <f t="shared" si="233"/>
      </c>
      <c r="AI189" s="44">
        <f t="shared" si="248"/>
      </c>
      <c r="AJ189" s="44">
        <f t="shared" si="234"/>
      </c>
      <c r="AK189" s="44">
        <f t="shared" si="224"/>
      </c>
      <c r="AL189" s="44">
        <f t="shared" si="235"/>
      </c>
      <c r="AM189" s="44">
        <f t="shared" si="236"/>
      </c>
      <c r="AN189" s="44"/>
      <c r="AO189" s="44">
        <f t="shared" si="241"/>
      </c>
      <c r="AP189" s="44">
        <f t="shared" si="237"/>
      </c>
      <c r="AQ189" s="44">
        <f t="shared" si="242"/>
        <v/>
      </c>
      <c r="AR189" s="44">
        <f t="shared" si="238"/>
      </c>
      <c r="AS189" s="44">
        <f t="shared" si="239"/>
      </c>
      <c r="AT189" s="44">
        <f t="shared" si="249"/>
      </c>
    </row>
    <row r="190" spans="1:46" x14ac:dyDescent="0.3">
      <c r="A190" s="19">
        <f t="shared" si="216"/>
      </c>
      <c r="B190" s="7">
        <f t="shared" si="227"/>
      </c>
      <c r="C190" s="177"/>
      <c r="D190" s="177"/>
      <c r="E190" s="179"/>
      <c r="F190" s="182"/>
      <c r="G190" s="182"/>
      <c r="H190" s="182"/>
      <c r="I190" s="192"/>
      <c r="J190" s="179"/>
      <c r="K190" s="179"/>
      <c r="L190" s="179"/>
      <c r="M190" s="7">
        <f t="shared" si="240"/>
      </c>
      <c r="N190" s="65"/>
      <c r="O190" s="168"/>
      <c r="P190" s="65">
        <f t="shared" si="260"/>
      </c>
      <c r="Q190" s="190"/>
      <c r="R190" s="177"/>
      <c r="S190" s="182"/>
      <c r="T190" s="19">
        <f t="shared" si="230"/>
      </c>
      <c r="U190" s="7">
        <f t="shared" si="217"/>
      </c>
      <c r="V190" s="7">
        <f t="shared" si="218"/>
      </c>
      <c r="W190" s="7">
        <f t="shared" si="219"/>
      </c>
      <c r="X190" s="7">
        <f t="shared" si="220"/>
      </c>
      <c r="Y190" s="7" cm="1">
        <f t="array" ref="Y190">_xlfn.IFS(H190=1,2,H190=3,1)</f>
      </c>
      <c r="Z190" s="7">
        <f t="shared" si="221"/>
      </c>
      <c r="AA190" s="7">
        <f t="shared" si="231"/>
      </c>
      <c r="AB190" s="7">
        <f t="shared" si="222"/>
      </c>
      <c r="AC190" s="7">
        <f t="shared" si="232"/>
      </c>
      <c r="AD190" s="7">
        <f t="shared" si="223"/>
      </c>
      <c r="AE190" s="7">
        <f t="shared" si="243"/>
      </c>
      <c r="AF190" s="7">
        <f t="shared" si="246"/>
      </c>
      <c r="AG190" s="7">
        <f t="shared" si="247"/>
        <v/>
      </c>
      <c r="AH190" s="7">
        <f t="shared" si="233"/>
      </c>
      <c r="AI190" s="7">
        <f t="shared" si="248"/>
      </c>
      <c r="AJ190" s="7">
        <f t="shared" si="234"/>
      </c>
      <c r="AK190" s="7">
        <f t="shared" si="224"/>
      </c>
      <c r="AL190" s="7">
        <f t="shared" si="235"/>
      </c>
      <c r="AM190" s="7">
        <f t="shared" si="236"/>
      </c>
      <c r="AN190" s="7"/>
      <c r="AO190" s="7">
        <f t="shared" si="241"/>
      </c>
      <c r="AP190" s="7">
        <f t="shared" si="237"/>
      </c>
      <c r="AQ190" s="7">
        <f t="shared" si="242"/>
        <v/>
      </c>
      <c r="AR190" s="7">
        <f t="shared" si="238"/>
      </c>
      <c r="AS190" s="7">
        <f t="shared" si="239"/>
      </c>
      <c r="AT190" s="7">
        <f t="shared" si="249"/>
      </c>
    </row>
    <row r="191" spans="1:46" x14ac:dyDescent="0.3">
      <c r="A191" s="5">
        <f t="shared" si="216"/>
      </c>
      <c r="B191" s="4">
        <f t="shared" si="227"/>
      </c>
      <c r="C191" s="119"/>
      <c r="D191" s="119"/>
      <c r="E191" s="105"/>
      <c r="F191" s="173"/>
      <c r="G191" s="173"/>
      <c r="H191" s="173"/>
      <c r="I191" s="192"/>
      <c r="J191" s="105"/>
      <c r="K191" s="105"/>
      <c r="L191" s="105"/>
      <c r="M191" s="4">
        <f t="shared" si="240"/>
      </c>
      <c r="N191" s="100"/>
      <c r="O191" s="164"/>
      <c r="P191" s="59">
        <f t="shared" si="260"/>
      </c>
      <c r="Q191" s="188"/>
      <c r="R191" s="119"/>
      <c r="S191" s="173"/>
      <c r="T191" s="5">
        <f t="shared" si="230"/>
      </c>
      <c r="U191" s="4">
        <f t="shared" si="217"/>
      </c>
      <c r="V191" s="4">
        <f t="shared" si="218"/>
      </c>
      <c r="W191" s="4">
        <f t="shared" si="219"/>
      </c>
      <c r="X191" s="4">
        <f t="shared" si="220"/>
      </c>
      <c r="Y191" s="4" cm="1">
        <f t="array" ref="Y191">_xlfn.IFS(H191=1,2,H191=3,1)</f>
      </c>
      <c r="Z191" s="4">
        <f t="shared" si="221"/>
      </c>
      <c r="AA191" s="4">
        <f t="shared" si="231"/>
      </c>
      <c r="AB191" s="4">
        <f t="shared" si="222"/>
      </c>
      <c r="AC191" s="4">
        <f t="shared" si="232"/>
      </c>
      <c r="AD191" s="4">
        <f t="shared" si="223"/>
      </c>
      <c r="AE191" s="4">
        <f t="shared" si="243"/>
      </c>
      <c r="AF191" s="4">
        <f t="shared" si="246"/>
      </c>
      <c r="AG191" s="4">
        <f t="shared" si="247"/>
        <v/>
      </c>
      <c r="AH191" s="4">
        <f t="shared" si="233"/>
      </c>
      <c r="AI191" s="4">
        <f t="shared" si="248"/>
      </c>
      <c r="AJ191" s="4">
        <f t="shared" si="234"/>
      </c>
      <c r="AK191" s="4">
        <f t="shared" si="224"/>
      </c>
      <c r="AL191" s="4">
        <f t="shared" si="235"/>
      </c>
      <c r="AM191" s="4">
        <f t="shared" si="236"/>
      </c>
      <c r="AN191" s="4"/>
      <c r="AO191" s="4">
        <f t="shared" si="241"/>
      </c>
      <c r="AP191" s="4">
        <f t="shared" si="237"/>
      </c>
      <c r="AQ191" s="4">
        <f t="shared" si="242"/>
        <v/>
      </c>
      <c r="AR191" s="4">
        <f t="shared" si="238"/>
      </c>
      <c r="AS191" s="4">
        <f t="shared" si="239"/>
      </c>
      <c r="AT191" s="4">
        <f t="shared" si="249"/>
      </c>
    </row>
    <row r="192" spans="1:46" x14ac:dyDescent="0.3">
      <c r="A192" s="5">
        <f t="shared" ref="A192:A255" si="281">D192</f>
      </c>
      <c r="B192" s="4">
        <f t="shared" si="227"/>
      </c>
      <c r="C192" s="119"/>
      <c r="D192" s="119"/>
      <c r="E192" s="105"/>
      <c r="F192" s="173"/>
      <c r="G192" s="173"/>
      <c r="H192" s="173"/>
      <c r="I192" s="192"/>
      <c r="J192" s="105"/>
      <c r="K192" s="105"/>
      <c r="L192" s="105"/>
      <c r="M192" s="4">
        <f t="shared" si="240"/>
      </c>
      <c r="N192" s="100"/>
      <c r="O192" s="164"/>
      <c r="P192" s="59">
        <f t="shared" si="260"/>
      </c>
      <c r="Q192" s="188"/>
      <c r="R192" s="119"/>
      <c r="S192" s="173"/>
      <c r="T192" s="5">
        <f t="shared" si="230"/>
      </c>
      <c r="U192" s="4">
        <f t="shared" ref="U192:U255" si="282">IF(R192=0,VLOOKUP(T192,Автомат_номиналы,2,TRUE),R192)</f>
      </c>
      <c r="V192" s="4">
        <f t="shared" ref="V192:V255" si="283">IF(Q192=0,VLOOKUP(U192,Кабель_номиналы,2,TRUE),Q192)</f>
      </c>
      <c r="W192" s="4">
        <f t="shared" ref="W192:W255" si="284">VLOOKUP(V192,Кабель_сопротивление,3,FALSE)</f>
      </c>
      <c r="X192" s="4">
        <f t="shared" ref="X192:X255" si="285">VLOOKUP(V192,Кабель_сопротивление,2,FALSE)</f>
      </c>
      <c r="Y192" s="4" cm="1">
        <f t="array" ref="Y192">_xlfn.IFS(H192=1,2,H192=3,1)</f>
      </c>
      <c r="Z192" s="4">
        <f t="shared" ref="Z192:Z255" si="286">ROUND(SIN(ACOS(P192)),2)</f>
      </c>
      <c r="AA192" s="4">
        <f t="shared" si="231"/>
      </c>
      <c r="AB192" s="4">
        <f t="shared" ref="AB192:AB255" si="287">ROUNDUP(AA192/220*100,2)</f>
      </c>
      <c r="AC192" s="4">
        <f t="shared" si="232"/>
      </c>
      <c r="AD192" s="4">
        <f t="shared" ref="AD192:AD255" si="288">VLOOKUP(N192,Кабель_обозначение,2,FALSE)</f>
      </c>
      <c r="AE192" s="4">
        <f t="shared" si="243"/>
      </c>
      <c r="AF192" s="4">
        <f t="shared" si="246"/>
      </c>
      <c r="AG192" s="4">
        <f t="shared" si="247"/>
        <v/>
      </c>
      <c r="AH192" s="4">
        <f t="shared" si="233"/>
      </c>
      <c r="AI192" s="4">
        <f t="shared" si="248"/>
      </c>
      <c r="AJ192" s="4">
        <f t="shared" si="234"/>
      </c>
      <c r="AK192" s="4">
        <f t="shared" ref="AK192:AK255" si="289">ROUNDUP(T192,2)</f>
      </c>
      <c r="AL192" s="4">
        <f t="shared" si="235"/>
      </c>
      <c r="AM192" s="4">
        <f t="shared" si="236"/>
      </c>
      <c r="AN192" s="4"/>
      <c r="AO192" s="4">
        <f t="shared" si="241"/>
      </c>
      <c r="AP192" s="4">
        <f t="shared" si="237"/>
      </c>
      <c r="AQ192" s="4">
        <f t="shared" si="242"/>
        <v/>
      </c>
      <c r="AR192" s="4">
        <f t="shared" si="238"/>
      </c>
      <c r="AS192" s="4">
        <f t="shared" si="239"/>
      </c>
      <c r="AT192" s="4">
        <f t="shared" si="249"/>
      </c>
    </row>
    <row r="193" spans="1:46" x14ac:dyDescent="0.3">
      <c r="A193" s="5">
        <f t="shared" si="281"/>
      </c>
      <c r="B193" s="4">
        <f t="shared" si="227"/>
      </c>
      <c r="C193" s="119"/>
      <c r="D193" s="119"/>
      <c r="E193" s="105"/>
      <c r="F193" s="173"/>
      <c r="G193" s="173"/>
      <c r="H193" s="173"/>
      <c r="I193" s="192"/>
      <c r="J193" s="105"/>
      <c r="K193" s="105"/>
      <c r="L193" s="105"/>
      <c r="M193" s="4">
        <f t="shared" si="240"/>
      </c>
      <c r="N193" s="100"/>
      <c r="O193" s="164"/>
      <c r="P193" s="59">
        <f t="shared" si="260"/>
      </c>
      <c r="Q193" s="188"/>
      <c r="R193" s="119"/>
      <c r="S193" s="173"/>
      <c r="T193" s="5">
        <f t="shared" si="230"/>
      </c>
      <c r="U193" s="4">
        <f t="shared" si="282"/>
      </c>
      <c r="V193" s="4">
        <f t="shared" si="283"/>
      </c>
      <c r="W193" s="4">
        <f t="shared" si="284"/>
      </c>
      <c r="X193" s="4">
        <f t="shared" si="285"/>
      </c>
      <c r="Y193" s="4" cm="1">
        <f t="array" ref="Y193">_xlfn.IFS(H193=1,2,H193=3,1)</f>
      </c>
      <c r="Z193" s="4">
        <f t="shared" si="286"/>
      </c>
      <c r="AA193" s="4">
        <f t="shared" si="231"/>
      </c>
      <c r="AB193" s="4">
        <f t="shared" si="287"/>
      </c>
      <c r="AC193" s="4">
        <f t="shared" si="232"/>
      </c>
      <c r="AD193" s="4">
        <f t="shared" si="288"/>
      </c>
      <c r="AE193" s="4">
        <f t="shared" si="243"/>
      </c>
      <c r="AF193" s="4">
        <f t="shared" si="246"/>
      </c>
      <c r="AG193" s="4">
        <f t="shared" si="247"/>
        <v/>
      </c>
      <c r="AH193" s="4">
        <f t="shared" si="233"/>
      </c>
      <c r="AI193" s="4">
        <f t="shared" si="248"/>
      </c>
      <c r="AJ193" s="4">
        <f t="shared" si="234"/>
      </c>
      <c r="AK193" s="4">
        <f t="shared" si="289"/>
      </c>
      <c r="AL193" s="4">
        <f t="shared" si="235"/>
      </c>
      <c r="AM193" s="4">
        <f t="shared" si="236"/>
      </c>
      <c r="AN193" s="4"/>
      <c r="AO193" s="4">
        <f t="shared" si="241"/>
      </c>
      <c r="AP193" s="4">
        <f t="shared" si="237"/>
      </c>
      <c r="AQ193" s="4">
        <f t="shared" si="242"/>
        <v/>
      </c>
      <c r="AR193" s="4">
        <f t="shared" si="238"/>
      </c>
      <c r="AS193" s="4">
        <f t="shared" si="239"/>
      </c>
      <c r="AT193" s="4">
        <f t="shared" si="249"/>
      </c>
    </row>
    <row r="194" spans="1:46" x14ac:dyDescent="0.3">
      <c r="A194" s="5">
        <f t="shared" si="281"/>
      </c>
      <c r="B194" s="4">
        <f t="shared" si="227"/>
      </c>
      <c r="C194" s="119"/>
      <c r="D194" s="119"/>
      <c r="E194" s="105"/>
      <c r="F194" s="173"/>
      <c r="G194" s="173"/>
      <c r="H194" s="173"/>
      <c r="I194" s="192"/>
      <c r="J194" s="105"/>
      <c r="K194" s="105"/>
      <c r="L194" s="105"/>
      <c r="M194" s="4">
        <f t="shared" si="240"/>
      </c>
      <c r="N194" s="100"/>
      <c r="O194" s="164"/>
      <c r="P194" s="59">
        <f t="shared" si="260"/>
      </c>
      <c r="Q194" s="188"/>
      <c r="R194" s="119"/>
      <c r="S194" s="173"/>
      <c r="T194" s="5">
        <f t="shared" si="230"/>
      </c>
      <c r="U194" s="4">
        <f t="shared" si="282"/>
      </c>
      <c r="V194" s="4">
        <f t="shared" si="283"/>
      </c>
      <c r="W194" s="4">
        <f t="shared" si="284"/>
      </c>
      <c r="X194" s="4">
        <f t="shared" si="285"/>
      </c>
      <c r="Y194" s="4" cm="1">
        <f t="array" ref="Y194">_xlfn.IFS(H194=1,2,H194=3,1)</f>
      </c>
      <c r="Z194" s="4">
        <f t="shared" si="286"/>
      </c>
      <c r="AA194" s="4">
        <f t="shared" si="231"/>
      </c>
      <c r="AB194" s="4">
        <f t="shared" si="287"/>
      </c>
      <c r="AC194" s="4">
        <f t="shared" si="232"/>
      </c>
      <c r="AD194" s="4">
        <f t="shared" si="288"/>
      </c>
      <c r="AE194" s="4">
        <f t="shared" si="243"/>
      </c>
      <c r="AF194" s="4">
        <f t="shared" si="246"/>
      </c>
      <c r="AG194" s="4">
        <f t="shared" si="247"/>
        <v/>
      </c>
      <c r="AH194" s="4">
        <f t="shared" si="233"/>
      </c>
      <c r="AI194" s="4">
        <f t="shared" si="248"/>
      </c>
      <c r="AJ194" s="4">
        <f t="shared" si="234"/>
      </c>
      <c r="AK194" s="4">
        <f t="shared" si="289"/>
      </c>
      <c r="AL194" s="4">
        <f t="shared" si="235"/>
      </c>
      <c r="AM194" s="4">
        <f t="shared" si="236"/>
      </c>
      <c r="AN194" s="4"/>
      <c r="AO194" s="4">
        <f t="shared" si="241"/>
      </c>
      <c r="AP194" s="4">
        <f t="shared" si="237"/>
      </c>
      <c r="AQ194" s="4">
        <f t="shared" si="242"/>
        <v/>
      </c>
      <c r="AR194" s="4">
        <f t="shared" si="238"/>
      </c>
      <c r="AS194" s="4">
        <f t="shared" si="239"/>
      </c>
      <c r="AT194" s="4">
        <f t="shared" si="249"/>
      </c>
    </row>
    <row r="195" spans="1:46" x14ac:dyDescent="0.3">
      <c r="A195" s="5">
        <f t="shared" si="281"/>
      </c>
      <c r="B195" s="4">
        <f t="shared" ref="B195:B258" si="290">IFERROR(IF(VLOOKUP(AH195,Потребители_обозначение,4,FALSE)=1,VLOOKUP(AH195,Потребители_обозначение,2,FALSE)&amp;" "&amp;VLOOKUP(AI195,Этаж_обозначение,2,FALSE)&amp;" Пом. №"&amp;AG195,VLOOKUP(AH195,Потребители_обозначение,2,FALSE)&amp;" Шлейф №"&amp;AI195),VLOOKUP(D195,Потребители_обозначение,2,FALSE))</f>
      </c>
      <c r="C195" s="119"/>
      <c r="D195" s="119"/>
      <c r="E195" s="105"/>
      <c r="F195" s="173"/>
      <c r="G195" s="173"/>
      <c r="H195" s="173"/>
      <c r="I195" s="192"/>
      <c r="J195" s="105"/>
      <c r="K195" s="105"/>
      <c r="L195" s="105"/>
      <c r="M195" s="4">
        <f t="shared" ref="M195:M258" si="291">IFERROR(IF(VLOOKUP(AH195,Потребители_обозначение,4,FALSE)=1,VLOOKUP(AH195,Потребители_обозначение,3,FALSE)*(G195*2-1)+I195+VLOOKUP(AI195,Этаж_обозначение,3,FALSE)+VLOOKUP(AI195,Этаж_обозначение,4,FALSE),VLOOKUP(AH195,Потребители_обозначение,3,FALSE)*(G195*2-1)+I195),I195)</f>
      </c>
      <c r="N195" s="100"/>
      <c r="O195" s="164"/>
      <c r="P195" s="59">
        <f t="shared" si="260"/>
      </c>
      <c r="Q195" s="188"/>
      <c r="R195" s="119"/>
      <c r="S195" s="173"/>
      <c r="T195" s="5">
        <f t="shared" ref="T195:T258" si="292">_xlfn.IFS(H195=1,E195*1000/220,H195=3,E195/0.38/1.732)</f>
      </c>
      <c r="U195" s="4">
        <f t="shared" si="282"/>
      </c>
      <c r="V195" s="4">
        <f t="shared" si="283"/>
      </c>
      <c r="W195" s="4">
        <f t="shared" si="284"/>
      </c>
      <c r="X195" s="4">
        <f t="shared" si="285"/>
      </c>
      <c r="Y195" s="4" cm="1">
        <f t="array" ref="Y195">_xlfn.IFS(H195=1,2,H195=3,1)</f>
      </c>
      <c r="Z195" s="4">
        <f t="shared" si="286"/>
      </c>
      <c r="AA195" s="4">
        <f t="shared" ref="AA195:AA258" si="293">Y195*(W195*I195/V195+X195*I195*Z195/1000)*T195</f>
      </c>
      <c r="AB195" s="4">
        <f t="shared" si="287"/>
      </c>
      <c r="AC195" s="4">
        <f t="shared" ref="AC195:AC258" si="294">_xlfn.IFS(H195=3,380,H195=1,220)</f>
      </c>
      <c r="AD195" s="4">
        <f t="shared" si="288"/>
      </c>
      <c r="AE195" s="4">
        <f t="shared" si="243"/>
      </c>
      <c r="AF195" s="4">
        <f t="shared" si="246"/>
      </c>
      <c r="AG195" s="4">
        <f t="shared" si="247"/>
        <v/>
      </c>
      <c r="AH195" s="4">
        <f t="shared" ref="AH195:AH258" si="295">IFERROR(LEFT(A195,SEARCH(".",A195)-1),A195)</f>
      </c>
      <c r="AI195" s="4">
        <f t="shared" si="248"/>
      </c>
      <c r="AJ195" s="4">
        <f t="shared" ref="AJ195:AJ258" si="296">IF(C195=0,B195,C195)</f>
      </c>
      <c r="AK195" s="4">
        <f t="shared" si="289"/>
      </c>
      <c r="AL195" s="4">
        <f t="shared" ref="AL195:AL258" si="297">E195</f>
      </c>
      <c r="AM195" s="4">
        <f t="shared" ref="AM195:AM258" si="298">D195</f>
      </c>
      <c r="AN195" s="4"/>
      <c r="AO195" s="4">
        <f t="shared" si="241"/>
      </c>
      <c r="AP195" s="4">
        <f t="shared" ref="AP195:AP258" si="299">RIGHT(A195,LEN(A195)-SEARCH(".",A195))</f>
      </c>
      <c r="AQ195" s="4">
        <f t="shared" si="242"/>
        <v/>
      </c>
      <c r="AR195" s="4">
        <f t="shared" ref="AR195:AR258" si="300">IFERROR(IF(VLOOKUP(AH195,Потребители_обозначение,5,FALSE)=2,_xlfn.IFS(H195=3,VLOOKUP(E195,Справочная_двигатели,3,FALSE),H195=1,VLOOKUP(E195,Справочная_двигатели,5,TRUE)),0),0)</f>
      </c>
      <c r="AS195" s="4">
        <f t="shared" ref="AS195:AS258" si="301">IFERROR(IF(VLOOKUP(AH195,Потребители_обозначение,5,FALSE)=3,VLOOKUP(E195,Справочная_ЛЭД,2,TRUE),0),0)</f>
      </c>
      <c r="AT195" s="4">
        <f t="shared" si="249"/>
      </c>
    </row>
    <row r="196" spans="1:46" x14ac:dyDescent="0.3">
      <c r="A196" s="5">
        <f t="shared" si="281"/>
      </c>
      <c r="B196" s="4">
        <f t="shared" si="290"/>
      </c>
      <c r="C196" s="119"/>
      <c r="D196" s="119"/>
      <c r="E196" s="105"/>
      <c r="F196" s="173"/>
      <c r="G196" s="173"/>
      <c r="H196" s="173"/>
      <c r="I196" s="192"/>
      <c r="J196" s="105"/>
      <c r="K196" s="105"/>
      <c r="L196" s="105"/>
      <c r="M196" s="4">
        <f t="shared" si="291"/>
      </c>
      <c r="N196" s="100"/>
      <c r="O196" s="164"/>
      <c r="P196" s="59">
        <f t="shared" si="260"/>
      </c>
      <c r="Q196" s="188"/>
      <c r="R196" s="119"/>
      <c r="S196" s="173"/>
      <c r="T196" s="5">
        <f t="shared" si="292"/>
      </c>
      <c r="U196" s="4">
        <f t="shared" si="282"/>
      </c>
      <c r="V196" s="4">
        <f t="shared" si="283"/>
      </c>
      <c r="W196" s="4">
        <f t="shared" si="284"/>
      </c>
      <c r="X196" s="4">
        <f t="shared" si="285"/>
      </c>
      <c r="Y196" s="4" cm="1">
        <f t="array" ref="Y196">_xlfn.IFS(H196=1,2,H196=3,1)</f>
      </c>
      <c r="Z196" s="4">
        <f t="shared" si="286"/>
      </c>
      <c r="AA196" s="4">
        <f t="shared" si="293"/>
      </c>
      <c r="AB196" s="4">
        <f t="shared" si="287"/>
      </c>
      <c r="AC196" s="4">
        <f t="shared" si="294"/>
      </c>
      <c r="AD196" s="4">
        <f t="shared" si="288"/>
      </c>
      <c r="AE196" s="4">
        <f t="shared" si="243"/>
      </c>
      <c r="AF196" s="4">
        <f t="shared" si="246"/>
      </c>
      <c r="AG196" s="4">
        <f t="shared" si="247"/>
        <v/>
      </c>
      <c r="AH196" s="4">
        <f t="shared" si="295"/>
      </c>
      <c r="AI196" s="4">
        <f t="shared" si="248"/>
      </c>
      <c r="AJ196" s="4">
        <f t="shared" si="296"/>
      </c>
      <c r="AK196" s="4">
        <f t="shared" si="289"/>
      </c>
      <c r="AL196" s="4">
        <f t="shared" si="297"/>
      </c>
      <c r="AM196" s="4">
        <f t="shared" si="298"/>
      </c>
      <c r="AN196" s="4"/>
      <c r="AO196" s="4">
        <f t="shared" si="241"/>
      </c>
      <c r="AP196" s="4">
        <f t="shared" si="299"/>
      </c>
      <c r="AQ196" s="4">
        <f t="shared" si="242"/>
        <v/>
      </c>
      <c r="AR196" s="4">
        <f t="shared" si="300"/>
      </c>
      <c r="AS196" s="4">
        <f t="shared" si="301"/>
      </c>
      <c r="AT196" s="4">
        <f t="shared" si="249"/>
      </c>
    </row>
    <row r="197" spans="1:46" x14ac:dyDescent="0.3">
      <c r="A197" s="5">
        <f t="shared" si="281"/>
      </c>
      <c r="B197" s="4">
        <f t="shared" si="290"/>
      </c>
      <c r="C197" s="119"/>
      <c r="D197" s="119"/>
      <c r="E197" s="105"/>
      <c r="F197" s="173"/>
      <c r="G197" s="173"/>
      <c r="H197" s="173"/>
      <c r="I197" s="192"/>
      <c r="J197" s="105"/>
      <c r="K197" s="105"/>
      <c r="L197" s="105"/>
      <c r="M197" s="4">
        <f t="shared" si="291"/>
      </c>
      <c r="N197" s="100"/>
      <c r="O197" s="164"/>
      <c r="P197" s="59">
        <f t="shared" si="260"/>
      </c>
      <c r="Q197" s="188"/>
      <c r="R197" s="119"/>
      <c r="S197" s="173"/>
      <c r="T197" s="5">
        <f t="shared" si="292"/>
      </c>
      <c r="U197" s="4">
        <f t="shared" si="282"/>
      </c>
      <c r="V197" s="4">
        <f t="shared" si="283"/>
      </c>
      <c r="W197" s="4">
        <f t="shared" si="284"/>
      </c>
      <c r="X197" s="4">
        <f t="shared" si="285"/>
      </c>
      <c r="Y197" s="4" cm="1">
        <f t="array" ref="Y197">_xlfn.IFS(H197=1,2,H197=3,1)</f>
      </c>
      <c r="Z197" s="4">
        <f t="shared" si="286"/>
      </c>
      <c r="AA197" s="4">
        <f t="shared" si="293"/>
      </c>
      <c r="AB197" s="4">
        <f t="shared" si="287"/>
      </c>
      <c r="AC197" s="4">
        <f t="shared" si="294"/>
      </c>
      <c r="AD197" s="4">
        <f t="shared" si="288"/>
      </c>
      <c r="AE197" s="4">
        <f t="shared" si="243"/>
      </c>
      <c r="AF197" s="4">
        <f t="shared" si="246"/>
      </c>
      <c r="AG197" s="4">
        <f t="shared" si="247"/>
        <v/>
      </c>
      <c r="AH197" s="4">
        <f t="shared" si="295"/>
      </c>
      <c r="AI197" s="4">
        <f t="shared" si="248"/>
      </c>
      <c r="AJ197" s="4">
        <f t="shared" si="296"/>
      </c>
      <c r="AK197" s="4">
        <f t="shared" si="289"/>
      </c>
      <c r="AL197" s="4">
        <f t="shared" si="297"/>
      </c>
      <c r="AM197" s="4">
        <f t="shared" si="298"/>
      </c>
      <c r="AN197" s="4"/>
      <c r="AO197" s="4">
        <f t="shared" ref="AO197:AO260" si="302">IF(V197=0,AD197,AE197&amp;"
L="&amp;M197&amp;"-"&amp;AB197&amp;"%")</f>
      </c>
      <c r="AP197" s="4">
        <f t="shared" si="299"/>
      </c>
      <c r="AQ197" s="4">
        <f t="shared" ref="AQ197:AQ260" si="303">IFERROR(RIGHT(AP197,LEN(AP197)-SEARCH(".",AP197)),"")</f>
        <v/>
      </c>
      <c r="AR197" s="4">
        <f t="shared" si="300"/>
      </c>
      <c r="AS197" s="4">
        <f t="shared" si="301"/>
      </c>
      <c r="AT197" s="4">
        <f t="shared" si="249"/>
      </c>
    </row>
    <row r="198" spans="1:46" x14ac:dyDescent="0.3">
      <c r="A198" s="5">
        <f t="shared" si="281"/>
      </c>
      <c r="B198" s="4">
        <f t="shared" si="290"/>
      </c>
      <c r="C198" s="119"/>
      <c r="D198" s="119"/>
      <c r="E198" s="105"/>
      <c r="F198" s="173"/>
      <c r="G198" s="173"/>
      <c r="H198" s="173"/>
      <c r="I198" s="192"/>
      <c r="J198" s="105"/>
      <c r="K198" s="105"/>
      <c r="L198" s="105"/>
      <c r="M198" s="4">
        <f t="shared" si="291"/>
      </c>
      <c r="N198" s="100"/>
      <c r="O198" s="164"/>
      <c r="P198" s="59">
        <f t="shared" si="260"/>
      </c>
      <c r="Q198" s="188"/>
      <c r="R198" s="119"/>
      <c r="S198" s="173"/>
      <c r="T198" s="5">
        <f t="shared" si="292"/>
      </c>
      <c r="U198" s="4">
        <f t="shared" si="282"/>
      </c>
      <c r="V198" s="4">
        <f t="shared" si="283"/>
      </c>
      <c r="W198" s="4">
        <f t="shared" si="284"/>
      </c>
      <c r="X198" s="4">
        <f t="shared" si="285"/>
      </c>
      <c r="Y198" s="4" cm="1">
        <f t="array" ref="Y198">_xlfn.IFS(H198=1,2,H198=3,1)</f>
      </c>
      <c r="Z198" s="4">
        <f t="shared" si="286"/>
      </c>
      <c r="AA198" s="4">
        <f t="shared" si="293"/>
      </c>
      <c r="AB198" s="4">
        <f t="shared" si="287"/>
      </c>
      <c r="AC198" s="4">
        <f t="shared" si="294"/>
      </c>
      <c r="AD198" s="4">
        <f t="shared" si="288"/>
      </c>
      <c r="AE198" s="4">
        <f t="shared" ref="AE198:AE261" si="304">IF(VLOOKUP(N198,Кабель_обозначение,3,FALSE)=1,AD198&amp;" ("&amp;O198&amp;"х"&amp;V198&amp;")",AD198)</f>
      </c>
      <c r="AF198" s="4">
        <f t="shared" si="246"/>
      </c>
      <c r="AG198" s="4">
        <f t="shared" si="247"/>
        <v/>
      </c>
      <c r="AH198" s="4">
        <f t="shared" si="295"/>
      </c>
      <c r="AI198" s="4">
        <f t="shared" si="248"/>
      </c>
      <c r="AJ198" s="4">
        <f t="shared" si="296"/>
      </c>
      <c r="AK198" s="4">
        <f t="shared" si="289"/>
      </c>
      <c r="AL198" s="4">
        <f t="shared" si="297"/>
      </c>
      <c r="AM198" s="4">
        <f t="shared" si="298"/>
      </c>
      <c r="AN198" s="4"/>
      <c r="AO198" s="4">
        <f t="shared" si="302"/>
      </c>
      <c r="AP198" s="4">
        <f t="shared" si="299"/>
      </c>
      <c r="AQ198" s="4">
        <f t="shared" si="303"/>
        <v/>
      </c>
      <c r="AR198" s="4">
        <f t="shared" si="300"/>
      </c>
      <c r="AS198" s="4">
        <f t="shared" si="301"/>
      </c>
      <c r="AT198" s="4">
        <f t="shared" si="249"/>
      </c>
    </row>
    <row r="199" spans="1:46" x14ac:dyDescent="0.3">
      <c r="A199" s="5">
        <f t="shared" si="281"/>
      </c>
      <c r="B199" s="4">
        <f t="shared" si="290"/>
      </c>
      <c r="C199" s="119"/>
      <c r="D199" s="119"/>
      <c r="E199" s="105"/>
      <c r="F199" s="173"/>
      <c r="G199" s="173"/>
      <c r="H199" s="173"/>
      <c r="I199" s="192"/>
      <c r="J199" s="105"/>
      <c r="K199" s="105"/>
      <c r="L199" s="105"/>
      <c r="M199" s="4">
        <f t="shared" si="291"/>
      </c>
      <c r="N199" s="100"/>
      <c r="O199" s="164"/>
      <c r="P199" s="59">
        <f t="shared" si="260"/>
      </c>
      <c r="Q199" s="188"/>
      <c r="R199" s="119"/>
      <c r="S199" s="173"/>
      <c r="T199" s="5">
        <f t="shared" si="292"/>
      </c>
      <c r="U199" s="4">
        <f t="shared" si="282"/>
      </c>
      <c r="V199" s="4">
        <f t="shared" si="283"/>
      </c>
      <c r="W199" s="4">
        <f t="shared" si="284"/>
      </c>
      <c r="X199" s="4">
        <f t="shared" si="285"/>
      </c>
      <c r="Y199" s="4" cm="1">
        <f t="array" ref="Y199">_xlfn.IFS(H199=1,2,H199=3,1)</f>
      </c>
      <c r="Z199" s="4">
        <f t="shared" si="286"/>
      </c>
      <c r="AA199" s="4">
        <f t="shared" si="293"/>
      </c>
      <c r="AB199" s="4">
        <f t="shared" si="287"/>
      </c>
      <c r="AC199" s="4">
        <f t="shared" si="294"/>
      </c>
      <c r="AD199" s="4">
        <f t="shared" si="288"/>
      </c>
      <c r="AE199" s="4">
        <f t="shared" si="304"/>
      </c>
      <c r="AF199" s="4">
        <f t="shared" ref="AF199:AF262" si="305">IFERROR(IF(AB199&gt;4.5,1,2),0)</f>
      </c>
      <c r="AG199" s="4">
        <f t="shared" ref="AG199:AG262" si="306">IFERROR(LEFT(AQ199,SEARCH(".",AQ199)-1),AQ199)</f>
        <v/>
      </c>
      <c r="AH199" s="4">
        <f t="shared" si="295"/>
      </c>
      <c r="AI199" s="4">
        <f t="shared" si="248"/>
      </c>
      <c r="AJ199" s="4">
        <f t="shared" si="296"/>
      </c>
      <c r="AK199" s="4">
        <f t="shared" si="289"/>
      </c>
      <c r="AL199" s="4">
        <f t="shared" si="297"/>
      </c>
      <c r="AM199" s="4">
        <f t="shared" si="298"/>
      </c>
      <c r="AN199" s="4"/>
      <c r="AO199" s="4">
        <f t="shared" si="302"/>
      </c>
      <c r="AP199" s="4">
        <f t="shared" si="299"/>
      </c>
      <c r="AQ199" s="4">
        <f t="shared" si="303"/>
        <v/>
      </c>
      <c r="AR199" s="4">
        <f t="shared" si="300"/>
      </c>
      <c r="AS199" s="4">
        <f t="shared" si="301"/>
      </c>
      <c r="AT199" s="4">
        <f t="shared" si="249"/>
      </c>
    </row>
    <row r="200" spans="1:46" x14ac:dyDescent="0.3">
      <c r="A200" s="5">
        <f t="shared" si="281"/>
      </c>
      <c r="B200" s="4">
        <f t="shared" si="290"/>
      </c>
      <c r="C200" s="119"/>
      <c r="D200" s="119"/>
      <c r="E200" s="105"/>
      <c r="F200" s="173"/>
      <c r="G200" s="173"/>
      <c r="H200" s="173"/>
      <c r="I200" s="192"/>
      <c r="J200" s="105"/>
      <c r="K200" s="105"/>
      <c r="L200" s="105"/>
      <c r="M200" s="4">
        <f t="shared" si="291"/>
      </c>
      <c r="N200" s="100"/>
      <c r="O200" s="164"/>
      <c r="P200" s="59">
        <f t="shared" si="260"/>
      </c>
      <c r="Q200" s="188"/>
      <c r="R200" s="119"/>
      <c r="S200" s="173"/>
      <c r="T200" s="5">
        <f t="shared" si="292"/>
      </c>
      <c r="U200" s="4">
        <f t="shared" si="282"/>
      </c>
      <c r="V200" s="4">
        <f t="shared" si="283"/>
      </c>
      <c r="W200" s="4">
        <f t="shared" si="284"/>
      </c>
      <c r="X200" s="4">
        <f t="shared" si="285"/>
      </c>
      <c r="Y200" s="4" cm="1">
        <f t="array" ref="Y200">_xlfn.IFS(H200=1,2,H200=3,1)</f>
      </c>
      <c r="Z200" s="4">
        <f t="shared" si="286"/>
      </c>
      <c r="AA200" s="4">
        <f t="shared" si="293"/>
      </c>
      <c r="AB200" s="4">
        <f t="shared" si="287"/>
      </c>
      <c r="AC200" s="4">
        <f t="shared" si="294"/>
      </c>
      <c r="AD200" s="4">
        <f t="shared" si="288"/>
      </c>
      <c r="AE200" s="4">
        <f t="shared" si="304"/>
      </c>
      <c r="AF200" s="4">
        <f t="shared" si="305"/>
      </c>
      <c r="AG200" s="4">
        <f t="shared" si="306"/>
        <v/>
      </c>
      <c r="AH200" s="4">
        <f t="shared" si="295"/>
      </c>
      <c r="AI200" s="4">
        <f t="shared" ref="AI200:AI263" si="307">IFERROR(LEFT(AP200,SEARCH(".",AP200)-1),AP200)</f>
      </c>
      <c r="AJ200" s="4">
        <f t="shared" si="296"/>
      </c>
      <c r="AK200" s="4">
        <f t="shared" si="289"/>
      </c>
      <c r="AL200" s="4">
        <f t="shared" si="297"/>
      </c>
      <c r="AM200" s="4">
        <f t="shared" si="298"/>
      </c>
      <c r="AN200" s="4"/>
      <c r="AO200" s="4">
        <f t="shared" si="302"/>
      </c>
      <c r="AP200" s="4">
        <f t="shared" si="299"/>
      </c>
      <c r="AQ200" s="4">
        <f t="shared" si="303"/>
        <v/>
      </c>
      <c r="AR200" s="4">
        <f t="shared" si="300"/>
      </c>
      <c r="AS200" s="4">
        <f t="shared" si="301"/>
      </c>
      <c r="AT200" s="4">
        <f t="shared" si="249"/>
      </c>
    </row>
    <row r="201" spans="1:46" x14ac:dyDescent="0.3">
      <c r="A201" s="5">
        <f t="shared" si="281"/>
      </c>
      <c r="B201" s="4">
        <f t="shared" si="290"/>
      </c>
      <c r="C201" s="119"/>
      <c r="D201" s="119"/>
      <c r="E201" s="105"/>
      <c r="F201" s="173"/>
      <c r="G201" s="173"/>
      <c r="H201" s="173"/>
      <c r="I201" s="192"/>
      <c r="J201" s="105"/>
      <c r="K201" s="105"/>
      <c r="L201" s="105"/>
      <c r="M201" s="4">
        <f t="shared" si="291"/>
      </c>
      <c r="N201" s="100"/>
      <c r="O201" s="164"/>
      <c r="P201" s="59">
        <f t="shared" si="260"/>
      </c>
      <c r="Q201" s="188"/>
      <c r="R201" s="119"/>
      <c r="S201" s="173"/>
      <c r="T201" s="5">
        <f t="shared" si="292"/>
      </c>
      <c r="U201" s="4">
        <f t="shared" si="282"/>
      </c>
      <c r="V201" s="4">
        <f t="shared" si="283"/>
      </c>
      <c r="W201" s="4">
        <f t="shared" si="284"/>
      </c>
      <c r="X201" s="4">
        <f t="shared" si="285"/>
      </c>
      <c r="Y201" s="4" cm="1">
        <f t="array" ref="Y201">_xlfn.IFS(H201=1,2,H201=3,1)</f>
      </c>
      <c r="Z201" s="4">
        <f t="shared" si="286"/>
      </c>
      <c r="AA201" s="4">
        <f t="shared" si="293"/>
      </c>
      <c r="AB201" s="4">
        <f t="shared" si="287"/>
      </c>
      <c r="AC201" s="4">
        <f t="shared" si="294"/>
      </c>
      <c r="AD201" s="4">
        <f t="shared" si="288"/>
      </c>
      <c r="AE201" s="4">
        <f t="shared" si="304"/>
      </c>
      <c r="AF201" s="4">
        <f t="shared" si="305"/>
      </c>
      <c r="AG201" s="4">
        <f t="shared" si="306"/>
        <v/>
      </c>
      <c r="AH201" s="4">
        <f t="shared" si="295"/>
      </c>
      <c r="AI201" s="4">
        <f t="shared" si="307"/>
      </c>
      <c r="AJ201" s="4">
        <f t="shared" si="296"/>
      </c>
      <c r="AK201" s="4">
        <f t="shared" si="289"/>
      </c>
      <c r="AL201" s="4">
        <f t="shared" si="297"/>
      </c>
      <c r="AM201" s="4">
        <f t="shared" si="298"/>
      </c>
      <c r="AN201" s="4"/>
      <c r="AO201" s="4">
        <f t="shared" si="302"/>
      </c>
      <c r="AP201" s="4">
        <f t="shared" si="299"/>
      </c>
      <c r="AQ201" s="4">
        <f t="shared" si="303"/>
        <v/>
      </c>
      <c r="AR201" s="4">
        <f t="shared" si="300"/>
      </c>
      <c r="AS201" s="4">
        <f t="shared" si="301"/>
      </c>
      <c r="AT201" s="4">
        <f t="shared" si="249"/>
      </c>
    </row>
    <row r="202" spans="1:46" x14ac:dyDescent="0.3">
      <c r="A202" s="5">
        <f t="shared" si="281"/>
      </c>
      <c r="B202" s="4">
        <f t="shared" si="290"/>
      </c>
      <c r="C202" s="119"/>
      <c r="D202" s="119"/>
      <c r="E202" s="105"/>
      <c r="F202" s="173"/>
      <c r="G202" s="173"/>
      <c r="H202" s="173"/>
      <c r="I202" s="192"/>
      <c r="J202" s="105"/>
      <c r="K202" s="105"/>
      <c r="L202" s="105"/>
      <c r="M202" s="4">
        <f t="shared" si="291"/>
      </c>
      <c r="N202" s="59"/>
      <c r="O202" s="164"/>
      <c r="P202" s="59">
        <f t="shared" si="260"/>
      </c>
      <c r="Q202" s="188"/>
      <c r="R202" s="119"/>
      <c r="S202" s="173"/>
      <c r="T202" s="5">
        <f t="shared" si="292"/>
      </c>
      <c r="U202" s="4">
        <f t="shared" si="282"/>
      </c>
      <c r="V202" s="4">
        <f t="shared" si="283"/>
      </c>
      <c r="W202" s="4">
        <f t="shared" si="284"/>
      </c>
      <c r="X202" s="4">
        <f t="shared" si="285"/>
      </c>
      <c r="Y202" s="4" cm="1">
        <f t="array" ref="Y202">_xlfn.IFS(H202=1,2,H202=3,1)</f>
      </c>
      <c r="Z202" s="4">
        <f t="shared" si="286"/>
      </c>
      <c r="AA202" s="4">
        <f t="shared" si="293"/>
      </c>
      <c r="AB202" s="4">
        <f t="shared" si="287"/>
      </c>
      <c r="AC202" s="4">
        <f t="shared" si="294"/>
      </c>
      <c r="AD202" s="4">
        <f t="shared" si="288"/>
      </c>
      <c r="AE202" s="4">
        <f t="shared" si="304"/>
      </c>
      <c r="AF202" s="4">
        <f t="shared" si="305"/>
      </c>
      <c r="AG202" s="4">
        <f t="shared" si="306"/>
        <v/>
      </c>
      <c r="AH202" s="4">
        <f t="shared" si="295"/>
      </c>
      <c r="AI202" s="4">
        <f t="shared" si="307"/>
      </c>
      <c r="AJ202" s="4">
        <f t="shared" si="296"/>
      </c>
      <c r="AK202" s="4">
        <f t="shared" si="289"/>
      </c>
      <c r="AL202" s="4">
        <f t="shared" si="297"/>
      </c>
      <c r="AM202" s="4">
        <f t="shared" si="298"/>
      </c>
      <c r="AN202" s="4"/>
      <c r="AO202" s="4">
        <f t="shared" si="302"/>
      </c>
      <c r="AP202" s="4">
        <f t="shared" si="299"/>
      </c>
      <c r="AQ202" s="4">
        <f t="shared" si="303"/>
        <v/>
      </c>
      <c r="AR202" s="4">
        <f t="shared" si="300"/>
      </c>
      <c r="AS202" s="4">
        <f t="shared" si="301"/>
      </c>
      <c r="AT202" s="4">
        <f t="shared" si="249"/>
      </c>
    </row>
    <row r="203" spans="1:46" x14ac:dyDescent="0.3">
      <c r="A203" s="5">
        <f t="shared" si="281"/>
      </c>
      <c r="B203" s="4">
        <f t="shared" si="290"/>
      </c>
      <c r="C203" s="119"/>
      <c r="D203" s="119"/>
      <c r="E203" s="105"/>
      <c r="F203" s="173"/>
      <c r="G203" s="173"/>
      <c r="H203" s="173"/>
      <c r="I203" s="192"/>
      <c r="J203" s="105"/>
      <c r="K203" s="105"/>
      <c r="L203" s="105"/>
      <c r="M203" s="4">
        <f t="shared" si="291"/>
      </c>
      <c r="N203" s="100"/>
      <c r="O203" s="164"/>
      <c r="P203" s="59">
        <f t="shared" si="260"/>
      </c>
      <c r="Q203" s="188"/>
      <c r="R203" s="119"/>
      <c r="S203" s="173"/>
      <c r="T203" s="5">
        <f t="shared" si="292"/>
      </c>
      <c r="U203" s="4">
        <f t="shared" si="282"/>
      </c>
      <c r="V203" s="4">
        <f t="shared" si="283"/>
      </c>
      <c r="W203" s="4">
        <f t="shared" si="284"/>
      </c>
      <c r="X203" s="4">
        <f t="shared" si="285"/>
      </c>
      <c r="Y203" s="4" cm="1">
        <f t="array" ref="Y203">_xlfn.IFS(H203=1,2,H203=3,1)</f>
      </c>
      <c r="Z203" s="4">
        <f t="shared" si="286"/>
      </c>
      <c r="AA203" s="4">
        <f t="shared" si="293"/>
      </c>
      <c r="AB203" s="4">
        <f t="shared" si="287"/>
      </c>
      <c r="AC203" s="4">
        <f t="shared" si="294"/>
      </c>
      <c r="AD203" s="4">
        <f t="shared" si="288"/>
      </c>
      <c r="AE203" s="4">
        <f t="shared" si="304"/>
      </c>
      <c r="AF203" s="4">
        <f t="shared" si="305"/>
      </c>
      <c r="AG203" s="4">
        <f t="shared" si="306"/>
        <v/>
      </c>
      <c r="AH203" s="4">
        <f t="shared" si="295"/>
      </c>
      <c r="AI203" s="4">
        <f t="shared" si="307"/>
      </c>
      <c r="AJ203" s="4">
        <f t="shared" si="296"/>
      </c>
      <c r="AK203" s="4">
        <f t="shared" si="289"/>
      </c>
      <c r="AL203" s="4">
        <f t="shared" si="297"/>
      </c>
      <c r="AM203" s="4">
        <f t="shared" si="298"/>
      </c>
      <c r="AN203" s="4"/>
      <c r="AO203" s="4">
        <f t="shared" si="302"/>
      </c>
      <c r="AP203" s="4">
        <f t="shared" si="299"/>
      </c>
      <c r="AQ203" s="4">
        <f t="shared" si="303"/>
        <v/>
      </c>
      <c r="AR203" s="4">
        <f t="shared" si="300"/>
      </c>
      <c r="AS203" s="4">
        <f t="shared" si="301"/>
      </c>
      <c r="AT203" s="4">
        <f t="shared" ref="AT203:AT266" si="308">IF(AR203=0,AS203,AR203)</f>
      </c>
    </row>
    <row r="204" spans="1:46" x14ac:dyDescent="0.3">
      <c r="A204" s="5">
        <f t="shared" si="281"/>
      </c>
      <c r="B204" s="4">
        <f t="shared" si="290"/>
      </c>
      <c r="C204" s="119"/>
      <c r="D204" s="119"/>
      <c r="E204" s="105"/>
      <c r="F204" s="173"/>
      <c r="G204" s="173"/>
      <c r="H204" s="173"/>
      <c r="I204" s="192"/>
      <c r="J204" s="105"/>
      <c r="K204" s="105"/>
      <c r="L204" s="105"/>
      <c r="M204" s="4">
        <f t="shared" si="291"/>
      </c>
      <c r="N204" s="100"/>
      <c r="O204" s="164"/>
      <c r="P204" s="59">
        <f t="shared" si="260"/>
      </c>
      <c r="Q204" s="188"/>
      <c r="R204" s="119"/>
      <c r="S204" s="173"/>
      <c r="T204" s="5">
        <f t="shared" si="292"/>
      </c>
      <c r="U204" s="4">
        <f t="shared" si="282"/>
      </c>
      <c r="V204" s="4">
        <f t="shared" si="283"/>
      </c>
      <c r="W204" s="4">
        <f t="shared" si="284"/>
      </c>
      <c r="X204" s="4">
        <f t="shared" si="285"/>
      </c>
      <c r="Y204" s="4" cm="1">
        <f t="array" ref="Y204">_xlfn.IFS(H204=1,2,H204=3,1)</f>
      </c>
      <c r="Z204" s="4">
        <f t="shared" si="286"/>
      </c>
      <c r="AA204" s="4">
        <f t="shared" si="293"/>
      </c>
      <c r="AB204" s="4">
        <f t="shared" si="287"/>
      </c>
      <c r="AC204" s="4">
        <f t="shared" si="294"/>
      </c>
      <c r="AD204" s="4">
        <f t="shared" si="288"/>
      </c>
      <c r="AE204" s="4">
        <f t="shared" si="304"/>
      </c>
      <c r="AF204" s="4">
        <f t="shared" si="305"/>
      </c>
      <c r="AG204" s="4">
        <f t="shared" si="306"/>
        <v/>
      </c>
      <c r="AH204" s="4">
        <f t="shared" si="295"/>
      </c>
      <c r="AI204" s="4">
        <f t="shared" si="307"/>
      </c>
      <c r="AJ204" s="4">
        <f t="shared" si="296"/>
      </c>
      <c r="AK204" s="4">
        <f t="shared" si="289"/>
      </c>
      <c r="AL204" s="4">
        <f t="shared" si="297"/>
      </c>
      <c r="AM204" s="4">
        <f t="shared" si="298"/>
      </c>
      <c r="AN204" s="4"/>
      <c r="AO204" s="4">
        <f t="shared" si="302"/>
      </c>
      <c r="AP204" s="4">
        <f t="shared" si="299"/>
      </c>
      <c r="AQ204" s="4">
        <f t="shared" si="303"/>
        <v/>
      </c>
      <c r="AR204" s="4">
        <f t="shared" si="300"/>
      </c>
      <c r="AS204" s="4">
        <f t="shared" si="301"/>
      </c>
      <c r="AT204" s="4">
        <f t="shared" si="308"/>
      </c>
    </row>
    <row r="205" spans="1:46" x14ac:dyDescent="0.3">
      <c r="A205" s="5">
        <f t="shared" si="281"/>
      </c>
      <c r="B205" s="4">
        <f t="shared" si="290"/>
      </c>
      <c r="C205" s="119"/>
      <c r="D205" s="119"/>
      <c r="E205" s="105"/>
      <c r="F205" s="173"/>
      <c r="G205" s="173"/>
      <c r="H205" s="173"/>
      <c r="I205" s="192"/>
      <c r="J205" s="105"/>
      <c r="K205" s="105"/>
      <c r="L205" s="105"/>
      <c r="M205" s="4">
        <f t="shared" si="291"/>
      </c>
      <c r="N205" s="100"/>
      <c r="O205" s="164"/>
      <c r="P205" s="59">
        <f t="shared" si="260"/>
      </c>
      <c r="Q205" s="188"/>
      <c r="R205" s="119"/>
      <c r="S205" s="173"/>
      <c r="T205" s="5">
        <f t="shared" si="292"/>
      </c>
      <c r="U205" s="4">
        <f t="shared" si="282"/>
      </c>
      <c r="V205" s="4">
        <f t="shared" si="283"/>
      </c>
      <c r="W205" s="4">
        <f t="shared" si="284"/>
      </c>
      <c r="X205" s="4">
        <f t="shared" si="285"/>
      </c>
      <c r="Y205" s="4" cm="1">
        <f t="array" ref="Y205">_xlfn.IFS(H205=1,2,H205=3,1)</f>
      </c>
      <c r="Z205" s="4">
        <f t="shared" si="286"/>
      </c>
      <c r="AA205" s="4">
        <f t="shared" si="293"/>
      </c>
      <c r="AB205" s="4">
        <f t="shared" si="287"/>
      </c>
      <c r="AC205" s="4">
        <f t="shared" si="294"/>
      </c>
      <c r="AD205" s="4">
        <f t="shared" si="288"/>
      </c>
      <c r="AE205" s="4">
        <f t="shared" si="304"/>
      </c>
      <c r="AF205" s="4">
        <f t="shared" si="305"/>
      </c>
      <c r="AG205" s="4">
        <f t="shared" si="306"/>
        <v/>
      </c>
      <c r="AH205" s="4">
        <f t="shared" si="295"/>
      </c>
      <c r="AI205" s="4">
        <f t="shared" si="307"/>
      </c>
      <c r="AJ205" s="4">
        <f t="shared" si="296"/>
      </c>
      <c r="AK205" s="4">
        <f t="shared" si="289"/>
      </c>
      <c r="AL205" s="4">
        <f t="shared" si="297"/>
      </c>
      <c r="AM205" s="4">
        <f t="shared" si="298"/>
      </c>
      <c r="AN205" s="4"/>
      <c r="AO205" s="4">
        <f t="shared" si="302"/>
      </c>
      <c r="AP205" s="4">
        <f t="shared" si="299"/>
      </c>
      <c r="AQ205" s="4">
        <f t="shared" si="303"/>
        <v/>
      </c>
      <c r="AR205" s="4">
        <f t="shared" si="300"/>
      </c>
      <c r="AS205" s="4">
        <f t="shared" si="301"/>
      </c>
      <c r="AT205" s="4">
        <f t="shared" si="308"/>
      </c>
    </row>
    <row r="206" spans="1:46" ht="15" thickBot="1" x14ac:dyDescent="0.35">
      <c r="A206" s="45">
        <f t="shared" si="281"/>
      </c>
      <c r="B206" s="44">
        <f t="shared" si="290"/>
      </c>
      <c r="C206" s="175"/>
      <c r="D206" s="175"/>
      <c r="E206" s="176"/>
      <c r="F206" s="178"/>
      <c r="G206" s="178"/>
      <c r="H206" s="178"/>
      <c r="I206" s="192"/>
      <c r="J206" s="176"/>
      <c r="K206" s="176"/>
      <c r="L206" s="176"/>
      <c r="M206" s="44">
        <f t="shared" si="291"/>
      </c>
      <c r="N206" s="64"/>
      <c r="O206" s="166"/>
      <c r="P206" s="64">
        <f t="shared" si="260"/>
      </c>
      <c r="Q206" s="189"/>
      <c r="R206" s="175"/>
      <c r="S206" s="178"/>
      <c r="T206" s="45">
        <f t="shared" si="292"/>
      </c>
      <c r="U206" s="44">
        <f t="shared" si="282"/>
      </c>
      <c r="V206" s="44">
        <f t="shared" si="283"/>
      </c>
      <c r="W206" s="44">
        <f t="shared" si="284"/>
      </c>
      <c r="X206" s="44">
        <f t="shared" si="285"/>
      </c>
      <c r="Y206" s="44" cm="1">
        <f t="array" ref="Y206">_xlfn.IFS(H206=1,2,H206=3,1)</f>
      </c>
      <c r="Z206" s="44">
        <f t="shared" si="286"/>
      </c>
      <c r="AA206" s="44">
        <f t="shared" si="293"/>
      </c>
      <c r="AB206" s="44">
        <f t="shared" si="287"/>
      </c>
      <c r="AC206" s="44">
        <f t="shared" si="294"/>
      </c>
      <c r="AD206" s="44">
        <f t="shared" si="288"/>
      </c>
      <c r="AE206" s="44">
        <f t="shared" si="304"/>
      </c>
      <c r="AF206" s="44">
        <f t="shared" si="305"/>
      </c>
      <c r="AG206" s="44">
        <f t="shared" si="306"/>
        <v/>
      </c>
      <c r="AH206" s="44">
        <f t="shared" si="295"/>
      </c>
      <c r="AI206" s="44">
        <f t="shared" si="307"/>
      </c>
      <c r="AJ206" s="44">
        <f t="shared" si="296"/>
      </c>
      <c r="AK206" s="44">
        <f t="shared" si="289"/>
      </c>
      <c r="AL206" s="44">
        <f t="shared" si="297"/>
      </c>
      <c r="AM206" s="44">
        <f t="shared" si="298"/>
      </c>
      <c r="AN206" s="44"/>
      <c r="AO206" s="44">
        <f t="shared" si="302"/>
      </c>
      <c r="AP206" s="44">
        <f t="shared" si="299"/>
      </c>
      <c r="AQ206" s="44">
        <f t="shared" si="303"/>
        <v/>
      </c>
      <c r="AR206" s="44">
        <f t="shared" si="300"/>
      </c>
      <c r="AS206" s="44">
        <f t="shared" si="301"/>
      </c>
      <c r="AT206" s="44">
        <f t="shared" si="308"/>
      </c>
    </row>
    <row r="207" spans="1:46" x14ac:dyDescent="0.3">
      <c r="A207" s="19">
        <f t="shared" si="281"/>
      </c>
      <c r="B207" s="7">
        <f t="shared" si="290"/>
      </c>
      <c r="C207" s="177"/>
      <c r="D207" s="177"/>
      <c r="E207" s="179"/>
      <c r="F207" s="173"/>
      <c r="G207" s="173"/>
      <c r="H207" s="173"/>
      <c r="I207" s="192"/>
      <c r="J207" s="105"/>
      <c r="K207" s="105"/>
      <c r="L207" s="179"/>
      <c r="M207" s="7">
        <f t="shared" si="291"/>
      </c>
      <c r="N207" s="59"/>
      <c r="O207" s="164"/>
      <c r="P207" s="65">
        <f t="shared" si="260"/>
      </c>
      <c r="Q207" s="188"/>
      <c r="R207" s="119"/>
      <c r="S207" s="173"/>
      <c r="T207" s="19">
        <f t="shared" si="292"/>
      </c>
      <c r="U207" s="7">
        <f t="shared" si="282"/>
      </c>
      <c r="V207" s="7">
        <f t="shared" si="283"/>
      </c>
      <c r="W207" s="7">
        <f t="shared" si="284"/>
      </c>
      <c r="X207" s="7">
        <f t="shared" si="285"/>
      </c>
      <c r="Y207" s="7" cm="1">
        <f t="array" ref="Y207">_xlfn.IFS(H207=1,2,H207=3,1)</f>
      </c>
      <c r="Z207" s="7">
        <f t="shared" si="286"/>
      </c>
      <c r="AA207" s="7">
        <f t="shared" si="293"/>
      </c>
      <c r="AB207" s="7">
        <f t="shared" si="287"/>
      </c>
      <c r="AC207" s="7">
        <f t="shared" si="294"/>
      </c>
      <c r="AD207" s="7">
        <f t="shared" si="288"/>
      </c>
      <c r="AE207" s="7">
        <f t="shared" si="304"/>
      </c>
      <c r="AF207" s="7">
        <f t="shared" si="305"/>
      </c>
      <c r="AG207" s="7">
        <f t="shared" si="306"/>
        <v/>
      </c>
      <c r="AH207" s="7">
        <f t="shared" si="295"/>
      </c>
      <c r="AI207" s="7">
        <f t="shared" si="307"/>
      </c>
      <c r="AJ207" s="7">
        <f t="shared" si="296"/>
      </c>
      <c r="AK207" s="7">
        <f t="shared" si="289"/>
      </c>
      <c r="AL207" s="7">
        <f t="shared" si="297"/>
      </c>
      <c r="AM207" s="7">
        <f t="shared" si="298"/>
      </c>
      <c r="AN207" s="7"/>
      <c r="AO207" s="7">
        <f t="shared" si="302"/>
      </c>
      <c r="AP207" s="7">
        <f t="shared" si="299"/>
      </c>
      <c r="AQ207" s="7">
        <f t="shared" si="303"/>
        <v/>
      </c>
      <c r="AR207" s="7">
        <f t="shared" si="300"/>
      </c>
      <c r="AS207" s="7">
        <f t="shared" si="301"/>
      </c>
      <c r="AT207" s="7">
        <f t="shared" si="308"/>
      </c>
    </row>
    <row r="208" spans="1:46" x14ac:dyDescent="0.3">
      <c r="A208" s="5">
        <f t="shared" si="281"/>
      </c>
      <c r="B208" s="4">
        <f t="shared" si="290"/>
      </c>
      <c r="C208" s="119"/>
      <c r="D208" s="119"/>
      <c r="E208" s="105"/>
      <c r="F208" s="173"/>
      <c r="G208" s="173"/>
      <c r="H208" s="173"/>
      <c r="I208" s="192"/>
      <c r="J208" s="105"/>
      <c r="K208" s="105"/>
      <c r="L208" s="105"/>
      <c r="M208" s="4">
        <f t="shared" si="291"/>
      </c>
      <c r="N208" s="100"/>
      <c r="O208" s="164"/>
      <c r="P208" s="59">
        <f t="shared" si="260"/>
      </c>
      <c r="Q208" s="188"/>
      <c r="R208" s="119"/>
      <c r="S208" s="173"/>
      <c r="T208" s="5">
        <f t="shared" si="292"/>
      </c>
      <c r="U208" s="4">
        <f t="shared" si="282"/>
      </c>
      <c r="V208" s="4">
        <f t="shared" si="283"/>
      </c>
      <c r="W208" s="4">
        <f t="shared" si="284"/>
      </c>
      <c r="X208" s="4">
        <f t="shared" si="285"/>
      </c>
      <c r="Y208" s="4" cm="1">
        <f t="array" ref="Y208">_xlfn.IFS(H208=1,2,H208=3,1)</f>
      </c>
      <c r="Z208" s="4">
        <f t="shared" si="286"/>
      </c>
      <c r="AA208" s="4">
        <f t="shared" si="293"/>
      </c>
      <c r="AB208" s="4">
        <f t="shared" si="287"/>
      </c>
      <c r="AC208" s="4">
        <f t="shared" si="294"/>
      </c>
      <c r="AD208" s="4">
        <f t="shared" si="288"/>
      </c>
      <c r="AE208" s="4">
        <f t="shared" si="304"/>
      </c>
      <c r="AF208" s="4">
        <f t="shared" si="305"/>
      </c>
      <c r="AG208" s="4">
        <f t="shared" si="306"/>
        <v/>
      </c>
      <c r="AH208" s="4">
        <f t="shared" si="295"/>
      </c>
      <c r="AI208" s="4">
        <f t="shared" si="307"/>
      </c>
      <c r="AJ208" s="4">
        <f t="shared" si="296"/>
      </c>
      <c r="AK208" s="4">
        <f t="shared" si="289"/>
      </c>
      <c r="AL208" s="4">
        <f t="shared" si="297"/>
      </c>
      <c r="AM208" s="4">
        <f t="shared" si="298"/>
      </c>
      <c r="AN208" s="4"/>
      <c r="AO208" s="4">
        <f t="shared" si="302"/>
      </c>
      <c r="AP208" s="4">
        <f t="shared" si="299"/>
      </c>
      <c r="AQ208" s="4">
        <f t="shared" si="303"/>
        <v/>
      </c>
      <c r="AR208" s="4">
        <f t="shared" si="300"/>
      </c>
      <c r="AS208" s="4">
        <f t="shared" si="301"/>
      </c>
      <c r="AT208" s="4">
        <f t="shared" si="308"/>
      </c>
    </row>
    <row r="209" spans="1:46" x14ac:dyDescent="0.3">
      <c r="A209" s="5">
        <f t="shared" si="281"/>
      </c>
      <c r="B209" s="4">
        <f t="shared" si="290"/>
      </c>
      <c r="C209" s="119"/>
      <c r="D209" s="119"/>
      <c r="E209" s="105"/>
      <c r="F209" s="173"/>
      <c r="G209" s="173"/>
      <c r="H209" s="173"/>
      <c r="I209" s="192"/>
      <c r="J209" s="105"/>
      <c r="K209" s="105"/>
      <c r="L209" s="105"/>
      <c r="M209" s="4">
        <f t="shared" si="291"/>
      </c>
      <c r="N209" s="100"/>
      <c r="O209" s="164"/>
      <c r="P209" s="59">
        <f t="shared" si="260"/>
      </c>
      <c r="Q209" s="188"/>
      <c r="R209" s="119"/>
      <c r="S209" s="173"/>
      <c r="T209" s="5">
        <f t="shared" si="292"/>
      </c>
      <c r="U209" s="4">
        <f t="shared" si="282"/>
      </c>
      <c r="V209" s="4">
        <f t="shared" si="283"/>
      </c>
      <c r="W209" s="4">
        <f t="shared" si="284"/>
      </c>
      <c r="X209" s="4">
        <f t="shared" si="285"/>
      </c>
      <c r="Y209" s="4" cm="1">
        <f t="array" ref="Y209">_xlfn.IFS(H209=1,2,H209=3,1)</f>
      </c>
      <c r="Z209" s="4">
        <f t="shared" si="286"/>
      </c>
      <c r="AA209" s="4">
        <f t="shared" si="293"/>
      </c>
      <c r="AB209" s="4">
        <f t="shared" si="287"/>
      </c>
      <c r="AC209" s="4">
        <f t="shared" si="294"/>
      </c>
      <c r="AD209" s="4">
        <f t="shared" si="288"/>
      </c>
      <c r="AE209" s="4">
        <f t="shared" si="304"/>
      </c>
      <c r="AF209" s="4">
        <f t="shared" si="305"/>
      </c>
      <c r="AG209" s="4">
        <f t="shared" si="306"/>
        <v/>
      </c>
      <c r="AH209" s="4">
        <f t="shared" si="295"/>
      </c>
      <c r="AI209" s="4">
        <f t="shared" si="307"/>
      </c>
      <c r="AJ209" s="4">
        <f t="shared" si="296"/>
      </c>
      <c r="AK209" s="4">
        <f t="shared" si="289"/>
      </c>
      <c r="AL209" s="4">
        <f t="shared" si="297"/>
      </c>
      <c r="AM209" s="4">
        <f t="shared" si="298"/>
      </c>
      <c r="AN209" s="4"/>
      <c r="AO209" s="4">
        <f t="shared" si="302"/>
      </c>
      <c r="AP209" s="4">
        <f t="shared" si="299"/>
      </c>
      <c r="AQ209" s="4">
        <f t="shared" si="303"/>
        <v/>
      </c>
      <c r="AR209" s="4">
        <f t="shared" si="300"/>
      </c>
      <c r="AS209" s="4">
        <f t="shared" si="301"/>
      </c>
      <c r="AT209" s="4">
        <f t="shared" si="308"/>
      </c>
    </row>
    <row r="210" spans="1:46" x14ac:dyDescent="0.3">
      <c r="A210" s="5">
        <f t="shared" si="281"/>
      </c>
      <c r="B210" s="4">
        <f t="shared" si="290"/>
      </c>
      <c r="C210" s="119"/>
      <c r="D210" s="119"/>
      <c r="E210" s="105"/>
      <c r="F210" s="173"/>
      <c r="G210" s="173"/>
      <c r="H210" s="173"/>
      <c r="I210" s="192"/>
      <c r="J210" s="105"/>
      <c r="K210" s="105"/>
      <c r="L210" s="105"/>
      <c r="M210" s="4">
        <f t="shared" si="291"/>
      </c>
      <c r="N210" s="100"/>
      <c r="O210" s="164"/>
      <c r="P210" s="59">
        <f t="shared" si="260"/>
      </c>
      <c r="Q210" s="188"/>
      <c r="R210" s="119"/>
      <c r="S210" s="173"/>
      <c r="T210" s="5">
        <f t="shared" si="292"/>
      </c>
      <c r="U210" s="4">
        <f t="shared" si="282"/>
      </c>
      <c r="V210" s="4">
        <f t="shared" si="283"/>
      </c>
      <c r="W210" s="4">
        <f t="shared" si="284"/>
      </c>
      <c r="X210" s="4">
        <f t="shared" si="285"/>
      </c>
      <c r="Y210" s="4" cm="1">
        <f t="array" ref="Y210">_xlfn.IFS(H210=1,2,H210=3,1)</f>
      </c>
      <c r="Z210" s="4">
        <f t="shared" si="286"/>
      </c>
      <c r="AA210" s="4">
        <f t="shared" si="293"/>
      </c>
      <c r="AB210" s="4">
        <f t="shared" si="287"/>
      </c>
      <c r="AC210" s="4">
        <f t="shared" si="294"/>
      </c>
      <c r="AD210" s="4">
        <f t="shared" si="288"/>
      </c>
      <c r="AE210" s="4">
        <f t="shared" si="304"/>
      </c>
      <c r="AF210" s="4">
        <f t="shared" si="305"/>
      </c>
      <c r="AG210" s="4">
        <f t="shared" si="306"/>
        <v/>
      </c>
      <c r="AH210" s="4">
        <f t="shared" si="295"/>
      </c>
      <c r="AI210" s="4">
        <f t="shared" si="307"/>
      </c>
      <c r="AJ210" s="4">
        <f t="shared" si="296"/>
      </c>
      <c r="AK210" s="4">
        <f t="shared" si="289"/>
      </c>
      <c r="AL210" s="4">
        <f t="shared" si="297"/>
      </c>
      <c r="AM210" s="4">
        <f t="shared" si="298"/>
      </c>
      <c r="AN210" s="4"/>
      <c r="AO210" s="4">
        <f t="shared" si="302"/>
      </c>
      <c r="AP210" s="4">
        <f t="shared" si="299"/>
      </c>
      <c r="AQ210" s="4">
        <f t="shared" si="303"/>
        <v/>
      </c>
      <c r="AR210" s="4">
        <f t="shared" si="300"/>
      </c>
      <c r="AS210" s="4">
        <f t="shared" si="301"/>
      </c>
      <c r="AT210" s="4">
        <f t="shared" si="308"/>
      </c>
    </row>
    <row r="211" spans="1:46" x14ac:dyDescent="0.3">
      <c r="A211" s="5">
        <f t="shared" si="281"/>
      </c>
      <c r="B211" s="4">
        <f t="shared" si="290"/>
      </c>
      <c r="C211" s="119"/>
      <c r="D211" s="119"/>
      <c r="E211" s="105"/>
      <c r="F211" s="173"/>
      <c r="G211" s="173"/>
      <c r="H211" s="173"/>
      <c r="I211" s="192"/>
      <c r="J211" s="105"/>
      <c r="K211" s="105"/>
      <c r="L211" s="105"/>
      <c r="M211" s="4">
        <f t="shared" si="291"/>
      </c>
      <c r="N211" s="100"/>
      <c r="O211" s="164"/>
      <c r="P211" s="59">
        <f t="shared" si="260"/>
      </c>
      <c r="Q211" s="188"/>
      <c r="R211" s="119"/>
      <c r="S211" s="173"/>
      <c r="T211" s="5">
        <f t="shared" si="292"/>
      </c>
      <c r="U211" s="4">
        <f t="shared" si="282"/>
      </c>
      <c r="V211" s="4">
        <f t="shared" si="283"/>
      </c>
      <c r="W211" s="4">
        <f t="shared" si="284"/>
      </c>
      <c r="X211" s="4">
        <f t="shared" si="285"/>
      </c>
      <c r="Y211" s="4" cm="1">
        <f t="array" ref="Y211">_xlfn.IFS(H211=1,2,H211=3,1)</f>
      </c>
      <c r="Z211" s="4">
        <f t="shared" si="286"/>
      </c>
      <c r="AA211" s="4">
        <f t="shared" si="293"/>
      </c>
      <c r="AB211" s="4">
        <f t="shared" si="287"/>
      </c>
      <c r="AC211" s="4">
        <f t="shared" si="294"/>
      </c>
      <c r="AD211" s="4">
        <f t="shared" si="288"/>
      </c>
      <c r="AE211" s="4">
        <f t="shared" si="304"/>
      </c>
      <c r="AF211" s="4">
        <f t="shared" si="305"/>
      </c>
      <c r="AG211" s="4">
        <f t="shared" si="306"/>
        <v/>
      </c>
      <c r="AH211" s="4">
        <f t="shared" si="295"/>
      </c>
      <c r="AI211" s="4">
        <f t="shared" si="307"/>
      </c>
      <c r="AJ211" s="4">
        <f t="shared" si="296"/>
      </c>
      <c r="AK211" s="4">
        <f t="shared" si="289"/>
      </c>
      <c r="AL211" s="4">
        <f t="shared" si="297"/>
      </c>
      <c r="AM211" s="4">
        <f t="shared" si="298"/>
      </c>
      <c r="AN211" s="4"/>
      <c r="AO211" s="4">
        <f t="shared" si="302"/>
      </c>
      <c r="AP211" s="4">
        <f t="shared" si="299"/>
      </c>
      <c r="AQ211" s="4">
        <f t="shared" si="303"/>
        <v/>
      </c>
      <c r="AR211" s="4">
        <f t="shared" si="300"/>
      </c>
      <c r="AS211" s="4">
        <f t="shared" si="301"/>
      </c>
      <c r="AT211" s="4">
        <f t="shared" si="308"/>
      </c>
    </row>
    <row r="212" spans="1:46" x14ac:dyDescent="0.3">
      <c r="A212" s="5">
        <f t="shared" si="281"/>
      </c>
      <c r="B212" s="4">
        <f t="shared" si="290"/>
      </c>
      <c r="C212" s="119"/>
      <c r="D212" s="119"/>
      <c r="E212" s="105"/>
      <c r="F212" s="173"/>
      <c r="G212" s="173"/>
      <c r="H212" s="173"/>
      <c r="I212" s="192"/>
      <c r="J212" s="105"/>
      <c r="K212" s="105"/>
      <c r="L212" s="105"/>
      <c r="M212" s="4">
        <f t="shared" si="291"/>
      </c>
      <c r="N212" s="100"/>
      <c r="O212" s="164"/>
      <c r="P212" s="59">
        <f t="shared" si="260"/>
      </c>
      <c r="Q212" s="188"/>
      <c r="R212" s="119"/>
      <c r="S212" s="173"/>
      <c r="T212" s="5">
        <f t="shared" si="292"/>
      </c>
      <c r="U212" s="4">
        <f t="shared" si="282"/>
      </c>
      <c r="V212" s="4">
        <f t="shared" si="283"/>
      </c>
      <c r="W212" s="4">
        <f t="shared" si="284"/>
      </c>
      <c r="X212" s="4">
        <f t="shared" si="285"/>
      </c>
      <c r="Y212" s="4" cm="1">
        <f t="array" ref="Y212">_xlfn.IFS(H212=1,2,H212=3,1)</f>
      </c>
      <c r="Z212" s="4">
        <f t="shared" si="286"/>
      </c>
      <c r="AA212" s="4">
        <f t="shared" si="293"/>
      </c>
      <c r="AB212" s="4">
        <f t="shared" si="287"/>
      </c>
      <c r="AC212" s="4">
        <f t="shared" si="294"/>
      </c>
      <c r="AD212" s="4">
        <f t="shared" si="288"/>
      </c>
      <c r="AE212" s="4">
        <f t="shared" si="304"/>
      </c>
      <c r="AF212" s="4">
        <f t="shared" si="305"/>
      </c>
      <c r="AG212" s="4">
        <f t="shared" si="306"/>
        <v/>
      </c>
      <c r="AH212" s="4">
        <f t="shared" si="295"/>
      </c>
      <c r="AI212" s="4">
        <f t="shared" si="307"/>
      </c>
      <c r="AJ212" s="4">
        <f t="shared" si="296"/>
      </c>
      <c r="AK212" s="4">
        <f t="shared" si="289"/>
      </c>
      <c r="AL212" s="4">
        <f t="shared" si="297"/>
      </c>
      <c r="AM212" s="4">
        <f t="shared" si="298"/>
      </c>
      <c r="AN212" s="4"/>
      <c r="AO212" s="4">
        <f t="shared" si="302"/>
      </c>
      <c r="AP212" s="4">
        <f t="shared" si="299"/>
      </c>
      <c r="AQ212" s="4">
        <f t="shared" si="303"/>
        <v/>
      </c>
      <c r="AR212" s="4">
        <f t="shared" si="300"/>
      </c>
      <c r="AS212" s="4">
        <f t="shared" si="301"/>
      </c>
      <c r="AT212" s="4">
        <f t="shared" si="308"/>
      </c>
    </row>
    <row r="213" spans="1:46" x14ac:dyDescent="0.3">
      <c r="A213" s="5">
        <f t="shared" si="281"/>
      </c>
      <c r="B213" s="4">
        <f t="shared" si="290"/>
      </c>
      <c r="C213" s="119"/>
      <c r="D213" s="119"/>
      <c r="E213" s="105"/>
      <c r="F213" s="173"/>
      <c r="G213" s="173"/>
      <c r="H213" s="173"/>
      <c r="I213" s="192"/>
      <c r="J213" s="105"/>
      <c r="K213" s="105"/>
      <c r="L213" s="105"/>
      <c r="M213" s="4">
        <f t="shared" si="291"/>
      </c>
      <c r="N213" s="100"/>
      <c r="O213" s="164"/>
      <c r="P213" s="59">
        <f t="shared" ref="P213:P276" si="309">IF(VLOOKUP(AH213,Потребители_обозначение,5,FALSE)=2,_xlfn.IFS(H213=3,VLOOKUP(E213,Справочная_двигатели,8,FALSE),H213=1,VLOOKUP(E213,Справочная_двигатели,10,TRUE)),0.95)</f>
      </c>
      <c r="Q213" s="188"/>
      <c r="R213" s="119"/>
      <c r="S213" s="173"/>
      <c r="T213" s="5">
        <f t="shared" si="292"/>
      </c>
      <c r="U213" s="4">
        <f t="shared" si="282"/>
      </c>
      <c r="V213" s="4">
        <f t="shared" si="283"/>
      </c>
      <c r="W213" s="4">
        <f t="shared" si="284"/>
      </c>
      <c r="X213" s="4">
        <f t="shared" si="285"/>
      </c>
      <c r="Y213" s="4" cm="1">
        <f t="array" ref="Y213">_xlfn.IFS(H213=1,2,H213=3,1)</f>
      </c>
      <c r="Z213" s="4">
        <f t="shared" si="286"/>
      </c>
      <c r="AA213" s="4">
        <f t="shared" si="293"/>
      </c>
      <c r="AB213" s="4">
        <f t="shared" si="287"/>
      </c>
      <c r="AC213" s="4">
        <f t="shared" si="294"/>
      </c>
      <c r="AD213" s="4">
        <f t="shared" si="288"/>
      </c>
      <c r="AE213" s="4">
        <f t="shared" si="304"/>
      </c>
      <c r="AF213" s="4">
        <f t="shared" si="305"/>
      </c>
      <c r="AG213" s="4">
        <f t="shared" si="306"/>
        <v/>
      </c>
      <c r="AH213" s="4">
        <f t="shared" si="295"/>
      </c>
      <c r="AI213" s="4">
        <f t="shared" si="307"/>
      </c>
      <c r="AJ213" s="4">
        <f t="shared" si="296"/>
      </c>
      <c r="AK213" s="4">
        <f t="shared" si="289"/>
      </c>
      <c r="AL213" s="4">
        <f t="shared" si="297"/>
      </c>
      <c r="AM213" s="4">
        <f t="shared" si="298"/>
      </c>
      <c r="AN213" s="4"/>
      <c r="AO213" s="4">
        <f t="shared" si="302"/>
      </c>
      <c r="AP213" s="4">
        <f t="shared" si="299"/>
      </c>
      <c r="AQ213" s="4">
        <f t="shared" si="303"/>
        <v/>
      </c>
      <c r="AR213" s="4">
        <f t="shared" si="300"/>
      </c>
      <c r="AS213" s="4">
        <f t="shared" si="301"/>
      </c>
      <c r="AT213" s="4">
        <f t="shared" si="308"/>
      </c>
    </row>
    <row r="214" spans="1:46" x14ac:dyDescent="0.3">
      <c r="A214" s="5">
        <f t="shared" si="281"/>
      </c>
      <c r="B214" s="4">
        <f t="shared" si="290"/>
      </c>
      <c r="C214" s="119"/>
      <c r="D214" s="119"/>
      <c r="E214" s="105"/>
      <c r="F214" s="173"/>
      <c r="G214" s="173"/>
      <c r="H214" s="173"/>
      <c r="I214" s="192"/>
      <c r="J214" s="105"/>
      <c r="K214" s="105"/>
      <c r="L214" s="105"/>
      <c r="M214" s="4">
        <f t="shared" si="291"/>
      </c>
      <c r="N214" s="100"/>
      <c r="O214" s="164"/>
      <c r="P214" s="59">
        <f t="shared" si="309"/>
      </c>
      <c r="Q214" s="188"/>
      <c r="R214" s="119"/>
      <c r="S214" s="173"/>
      <c r="T214" s="5">
        <f t="shared" si="292"/>
      </c>
      <c r="U214" s="4">
        <f t="shared" si="282"/>
      </c>
      <c r="V214" s="4">
        <f t="shared" si="283"/>
      </c>
      <c r="W214" s="4">
        <f t="shared" si="284"/>
      </c>
      <c r="X214" s="4">
        <f t="shared" si="285"/>
      </c>
      <c r="Y214" s="4" cm="1">
        <f t="array" ref="Y214">_xlfn.IFS(H214=1,2,H214=3,1)</f>
      </c>
      <c r="Z214" s="4">
        <f t="shared" si="286"/>
      </c>
      <c r="AA214" s="4">
        <f t="shared" si="293"/>
      </c>
      <c r="AB214" s="4">
        <f t="shared" si="287"/>
      </c>
      <c r="AC214" s="4">
        <f t="shared" si="294"/>
      </c>
      <c r="AD214" s="4">
        <f t="shared" si="288"/>
      </c>
      <c r="AE214" s="4">
        <f t="shared" si="304"/>
      </c>
      <c r="AF214" s="4">
        <f t="shared" si="305"/>
      </c>
      <c r="AG214" s="4">
        <f t="shared" si="306"/>
        <v/>
      </c>
      <c r="AH214" s="4">
        <f t="shared" si="295"/>
      </c>
      <c r="AI214" s="4">
        <f t="shared" si="307"/>
      </c>
      <c r="AJ214" s="4">
        <f t="shared" si="296"/>
      </c>
      <c r="AK214" s="4">
        <f t="shared" si="289"/>
      </c>
      <c r="AL214" s="4">
        <f t="shared" si="297"/>
      </c>
      <c r="AM214" s="4">
        <f t="shared" si="298"/>
      </c>
      <c r="AN214" s="4"/>
      <c r="AO214" s="4">
        <f t="shared" si="302"/>
      </c>
      <c r="AP214" s="4">
        <f t="shared" si="299"/>
      </c>
      <c r="AQ214" s="4">
        <f t="shared" si="303"/>
        <v/>
      </c>
      <c r="AR214" s="4">
        <f t="shared" si="300"/>
      </c>
      <c r="AS214" s="4">
        <f t="shared" si="301"/>
      </c>
      <c r="AT214" s="4">
        <f t="shared" si="308"/>
      </c>
    </row>
    <row r="215" spans="1:46" x14ac:dyDescent="0.3">
      <c r="A215" s="5">
        <f t="shared" si="281"/>
      </c>
      <c r="B215" s="4">
        <f t="shared" si="290"/>
      </c>
      <c r="C215" s="119"/>
      <c r="D215" s="119"/>
      <c r="E215" s="105"/>
      <c r="F215" s="173"/>
      <c r="G215" s="173"/>
      <c r="H215" s="173"/>
      <c r="I215" s="192"/>
      <c r="J215" s="105"/>
      <c r="K215" s="105"/>
      <c r="L215" s="105"/>
      <c r="M215" s="4">
        <f t="shared" si="291"/>
      </c>
      <c r="N215" s="100"/>
      <c r="O215" s="164"/>
      <c r="P215" s="59">
        <f t="shared" si="309"/>
      </c>
      <c r="Q215" s="188"/>
      <c r="R215" s="119"/>
      <c r="S215" s="173"/>
      <c r="T215" s="5">
        <f t="shared" si="292"/>
      </c>
      <c r="U215" s="4">
        <f t="shared" si="282"/>
      </c>
      <c r="V215" s="4">
        <f t="shared" si="283"/>
      </c>
      <c r="W215" s="4">
        <f t="shared" si="284"/>
      </c>
      <c r="X215" s="4">
        <f t="shared" si="285"/>
      </c>
      <c r="Y215" s="4" cm="1">
        <f t="array" ref="Y215">_xlfn.IFS(H215=1,2,H215=3,1)</f>
      </c>
      <c r="Z215" s="4">
        <f t="shared" si="286"/>
      </c>
      <c r="AA215" s="4">
        <f t="shared" si="293"/>
      </c>
      <c r="AB215" s="4">
        <f t="shared" si="287"/>
      </c>
      <c r="AC215" s="4">
        <f t="shared" si="294"/>
      </c>
      <c r="AD215" s="4">
        <f t="shared" si="288"/>
      </c>
      <c r="AE215" s="4">
        <f t="shared" si="304"/>
      </c>
      <c r="AF215" s="4">
        <f t="shared" si="305"/>
      </c>
      <c r="AG215" s="4">
        <f t="shared" si="306"/>
        <v/>
      </c>
      <c r="AH215" s="4">
        <f t="shared" si="295"/>
      </c>
      <c r="AI215" s="4">
        <f t="shared" si="307"/>
      </c>
      <c r="AJ215" s="4">
        <f t="shared" si="296"/>
      </c>
      <c r="AK215" s="4">
        <f t="shared" si="289"/>
      </c>
      <c r="AL215" s="4">
        <f t="shared" si="297"/>
      </c>
      <c r="AM215" s="4">
        <f t="shared" si="298"/>
      </c>
      <c r="AN215" s="4"/>
      <c r="AO215" s="4">
        <f t="shared" si="302"/>
      </c>
      <c r="AP215" s="4">
        <f t="shared" si="299"/>
      </c>
      <c r="AQ215" s="4">
        <f t="shared" si="303"/>
        <v/>
      </c>
      <c r="AR215" s="4">
        <f t="shared" si="300"/>
      </c>
      <c r="AS215" s="4">
        <f t="shared" si="301"/>
      </c>
      <c r="AT215" s="4">
        <f t="shared" si="308"/>
      </c>
    </row>
    <row r="216" spans="1:46" x14ac:dyDescent="0.3">
      <c r="A216" s="5">
        <f t="shared" si="281"/>
      </c>
      <c r="B216" s="4">
        <f t="shared" si="290"/>
      </c>
      <c r="C216" s="119"/>
      <c r="D216" s="119"/>
      <c r="E216" s="105"/>
      <c r="F216" s="173"/>
      <c r="G216" s="173"/>
      <c r="H216" s="173"/>
      <c r="I216" s="192"/>
      <c r="J216" s="105"/>
      <c r="K216" s="105"/>
      <c r="L216" s="105"/>
      <c r="M216" s="4">
        <f t="shared" si="291"/>
      </c>
      <c r="N216" s="100"/>
      <c r="O216" s="164"/>
      <c r="P216" s="59">
        <f t="shared" si="309"/>
      </c>
      <c r="Q216" s="188"/>
      <c r="R216" s="119"/>
      <c r="S216" s="173"/>
      <c r="T216" s="5">
        <f t="shared" si="292"/>
      </c>
      <c r="U216" s="4">
        <f t="shared" si="282"/>
      </c>
      <c r="V216" s="4">
        <f t="shared" si="283"/>
      </c>
      <c r="W216" s="4">
        <f t="shared" si="284"/>
      </c>
      <c r="X216" s="4">
        <f t="shared" si="285"/>
      </c>
      <c r="Y216" s="4" cm="1">
        <f t="array" ref="Y216">_xlfn.IFS(H216=1,2,H216=3,1)</f>
      </c>
      <c r="Z216" s="4">
        <f t="shared" si="286"/>
      </c>
      <c r="AA216" s="4">
        <f t="shared" si="293"/>
      </c>
      <c r="AB216" s="4">
        <f t="shared" si="287"/>
      </c>
      <c r="AC216" s="4">
        <f t="shared" si="294"/>
      </c>
      <c r="AD216" s="4">
        <f t="shared" si="288"/>
      </c>
      <c r="AE216" s="4">
        <f t="shared" si="304"/>
      </c>
      <c r="AF216" s="4">
        <f t="shared" si="305"/>
      </c>
      <c r="AG216" s="4">
        <f t="shared" si="306"/>
        <v/>
      </c>
      <c r="AH216" s="4">
        <f t="shared" si="295"/>
      </c>
      <c r="AI216" s="4">
        <f t="shared" si="307"/>
      </c>
      <c r="AJ216" s="4">
        <f t="shared" si="296"/>
      </c>
      <c r="AK216" s="4">
        <f t="shared" si="289"/>
      </c>
      <c r="AL216" s="4">
        <f t="shared" si="297"/>
      </c>
      <c r="AM216" s="4">
        <f t="shared" si="298"/>
      </c>
      <c r="AN216" s="4"/>
      <c r="AO216" s="4">
        <f t="shared" si="302"/>
      </c>
      <c r="AP216" s="4">
        <f t="shared" si="299"/>
      </c>
      <c r="AQ216" s="4">
        <f t="shared" si="303"/>
        <v/>
      </c>
      <c r="AR216" s="4">
        <f t="shared" si="300"/>
      </c>
      <c r="AS216" s="4">
        <f t="shared" si="301"/>
      </c>
      <c r="AT216" s="4">
        <f t="shared" si="308"/>
      </c>
    </row>
    <row r="217" spans="1:46" x14ac:dyDescent="0.3">
      <c r="A217" s="5">
        <f t="shared" si="281"/>
      </c>
      <c r="B217" s="4">
        <f t="shared" si="290"/>
      </c>
      <c r="C217" s="119"/>
      <c r="D217" s="119"/>
      <c r="E217" s="105"/>
      <c r="F217" s="173"/>
      <c r="G217" s="173"/>
      <c r="H217" s="173"/>
      <c r="I217" s="192"/>
      <c r="J217" s="105"/>
      <c r="K217" s="105"/>
      <c r="L217" s="105"/>
      <c r="M217" s="4">
        <f t="shared" si="291"/>
      </c>
      <c r="N217" s="100"/>
      <c r="O217" s="164"/>
      <c r="P217" s="59">
        <f t="shared" si="309"/>
      </c>
      <c r="Q217" s="188"/>
      <c r="R217" s="119"/>
      <c r="S217" s="173"/>
      <c r="T217" s="5">
        <f t="shared" si="292"/>
      </c>
      <c r="U217" s="4">
        <f t="shared" si="282"/>
      </c>
      <c r="V217" s="4">
        <f t="shared" si="283"/>
      </c>
      <c r="W217" s="4">
        <f t="shared" si="284"/>
      </c>
      <c r="X217" s="4">
        <f t="shared" si="285"/>
      </c>
      <c r="Y217" s="4" cm="1">
        <f t="array" ref="Y217">_xlfn.IFS(H217=1,2,H217=3,1)</f>
      </c>
      <c r="Z217" s="4">
        <f t="shared" si="286"/>
      </c>
      <c r="AA217" s="4">
        <f t="shared" si="293"/>
      </c>
      <c r="AB217" s="4">
        <f t="shared" si="287"/>
      </c>
      <c r="AC217" s="4">
        <f t="shared" si="294"/>
      </c>
      <c r="AD217" s="4">
        <f t="shared" si="288"/>
      </c>
      <c r="AE217" s="4">
        <f t="shared" si="304"/>
      </c>
      <c r="AF217" s="4">
        <f t="shared" si="305"/>
      </c>
      <c r="AG217" s="4">
        <f t="shared" si="306"/>
        <v/>
      </c>
      <c r="AH217" s="4">
        <f t="shared" si="295"/>
      </c>
      <c r="AI217" s="4">
        <f t="shared" si="307"/>
      </c>
      <c r="AJ217" s="4">
        <f t="shared" si="296"/>
      </c>
      <c r="AK217" s="4">
        <f t="shared" si="289"/>
      </c>
      <c r="AL217" s="4">
        <f t="shared" si="297"/>
      </c>
      <c r="AM217" s="4">
        <f t="shared" si="298"/>
      </c>
      <c r="AN217" s="4"/>
      <c r="AO217" s="4">
        <f t="shared" si="302"/>
      </c>
      <c r="AP217" s="4">
        <f t="shared" si="299"/>
      </c>
      <c r="AQ217" s="4">
        <f t="shared" si="303"/>
        <v/>
      </c>
      <c r="AR217" s="4">
        <f t="shared" si="300"/>
      </c>
      <c r="AS217" s="4">
        <f t="shared" si="301"/>
      </c>
      <c r="AT217" s="4">
        <f t="shared" si="308"/>
      </c>
    </row>
    <row r="218" spans="1:46" x14ac:dyDescent="0.3">
      <c r="A218" s="5">
        <f t="shared" si="281"/>
      </c>
      <c r="B218" s="4">
        <f t="shared" si="290"/>
      </c>
      <c r="C218" s="119"/>
      <c r="D218" s="119"/>
      <c r="E218" s="105"/>
      <c r="F218" s="173"/>
      <c r="G218" s="173"/>
      <c r="H218" s="173"/>
      <c r="I218" s="192"/>
      <c r="J218" s="105"/>
      <c r="K218" s="105"/>
      <c r="L218" s="105"/>
      <c r="M218" s="4">
        <f t="shared" si="291"/>
      </c>
      <c r="N218" s="100"/>
      <c r="O218" s="164"/>
      <c r="P218" s="59">
        <f t="shared" si="309"/>
      </c>
      <c r="Q218" s="188"/>
      <c r="R218" s="119"/>
      <c r="S218" s="173"/>
      <c r="T218" s="5">
        <f t="shared" si="292"/>
      </c>
      <c r="U218" s="4">
        <f t="shared" si="282"/>
      </c>
      <c r="V218" s="4">
        <f t="shared" si="283"/>
      </c>
      <c r="W218" s="4">
        <f t="shared" si="284"/>
      </c>
      <c r="X218" s="4">
        <f t="shared" si="285"/>
      </c>
      <c r="Y218" s="4" cm="1">
        <f t="array" ref="Y218">_xlfn.IFS(H218=1,2,H218=3,1)</f>
      </c>
      <c r="Z218" s="4">
        <f t="shared" si="286"/>
      </c>
      <c r="AA218" s="4">
        <f t="shared" si="293"/>
      </c>
      <c r="AB218" s="4">
        <f t="shared" si="287"/>
      </c>
      <c r="AC218" s="4">
        <f t="shared" si="294"/>
      </c>
      <c r="AD218" s="4">
        <f t="shared" si="288"/>
      </c>
      <c r="AE218" s="4">
        <f t="shared" si="304"/>
      </c>
      <c r="AF218" s="4">
        <f t="shared" si="305"/>
      </c>
      <c r="AG218" s="4">
        <f t="shared" si="306"/>
        <v/>
      </c>
      <c r="AH218" s="4">
        <f t="shared" si="295"/>
      </c>
      <c r="AI218" s="4">
        <f t="shared" si="307"/>
      </c>
      <c r="AJ218" s="4">
        <f t="shared" si="296"/>
      </c>
      <c r="AK218" s="4">
        <f t="shared" si="289"/>
      </c>
      <c r="AL218" s="4">
        <f t="shared" si="297"/>
      </c>
      <c r="AM218" s="4">
        <f t="shared" si="298"/>
      </c>
      <c r="AN218" s="4"/>
      <c r="AO218" s="4">
        <f t="shared" si="302"/>
      </c>
      <c r="AP218" s="4">
        <f t="shared" si="299"/>
      </c>
      <c r="AQ218" s="4">
        <f t="shared" si="303"/>
        <v/>
      </c>
      <c r="AR218" s="4">
        <f t="shared" si="300"/>
      </c>
      <c r="AS218" s="4">
        <f t="shared" si="301"/>
      </c>
      <c r="AT218" s="4">
        <f t="shared" si="308"/>
      </c>
    </row>
    <row r="219" spans="1:46" x14ac:dyDescent="0.3">
      <c r="A219" s="5">
        <f t="shared" si="281"/>
      </c>
      <c r="B219" s="4">
        <f t="shared" si="290"/>
      </c>
      <c r="C219" s="119"/>
      <c r="D219" s="119"/>
      <c r="E219" s="105"/>
      <c r="F219" s="173"/>
      <c r="G219" s="173"/>
      <c r="H219" s="173"/>
      <c r="I219" s="192"/>
      <c r="J219" s="105"/>
      <c r="K219" s="105"/>
      <c r="L219" s="105"/>
      <c r="M219" s="4">
        <f t="shared" si="291"/>
      </c>
      <c r="N219" s="100"/>
      <c r="O219" s="164"/>
      <c r="P219" s="59">
        <f t="shared" si="309"/>
      </c>
      <c r="Q219" s="188"/>
      <c r="R219" s="119"/>
      <c r="S219" s="173"/>
      <c r="T219" s="5">
        <f t="shared" si="292"/>
      </c>
      <c r="U219" s="4">
        <f t="shared" si="282"/>
      </c>
      <c r="V219" s="4">
        <f t="shared" si="283"/>
      </c>
      <c r="W219" s="4">
        <f t="shared" si="284"/>
      </c>
      <c r="X219" s="4">
        <f t="shared" si="285"/>
      </c>
      <c r="Y219" s="4" cm="1">
        <f t="array" ref="Y219">_xlfn.IFS(H219=1,2,H219=3,1)</f>
      </c>
      <c r="Z219" s="4">
        <f t="shared" si="286"/>
      </c>
      <c r="AA219" s="4">
        <f t="shared" si="293"/>
      </c>
      <c r="AB219" s="4">
        <f t="shared" si="287"/>
      </c>
      <c r="AC219" s="4">
        <f t="shared" si="294"/>
      </c>
      <c r="AD219" s="4">
        <f t="shared" si="288"/>
      </c>
      <c r="AE219" s="4">
        <f t="shared" si="304"/>
      </c>
      <c r="AF219" s="4">
        <f t="shared" si="305"/>
      </c>
      <c r="AG219" s="4">
        <f t="shared" si="306"/>
        <v/>
      </c>
      <c r="AH219" s="4">
        <f t="shared" si="295"/>
      </c>
      <c r="AI219" s="4">
        <f t="shared" si="307"/>
      </c>
      <c r="AJ219" s="4">
        <f t="shared" si="296"/>
      </c>
      <c r="AK219" s="4">
        <f t="shared" si="289"/>
      </c>
      <c r="AL219" s="4">
        <f t="shared" si="297"/>
      </c>
      <c r="AM219" s="4">
        <f t="shared" si="298"/>
      </c>
      <c r="AN219" s="4"/>
      <c r="AO219" s="4">
        <f t="shared" si="302"/>
      </c>
      <c r="AP219" s="4">
        <f t="shared" si="299"/>
      </c>
      <c r="AQ219" s="4">
        <f t="shared" si="303"/>
        <v/>
      </c>
      <c r="AR219" s="4">
        <f t="shared" si="300"/>
      </c>
      <c r="AS219" s="4">
        <f t="shared" si="301"/>
      </c>
      <c r="AT219" s="4">
        <f t="shared" si="308"/>
      </c>
    </row>
    <row r="220" spans="1:46" x14ac:dyDescent="0.3">
      <c r="A220" s="5">
        <f t="shared" si="281"/>
      </c>
      <c r="B220" s="4">
        <f t="shared" si="290"/>
      </c>
      <c r="C220" s="119"/>
      <c r="D220" s="119"/>
      <c r="E220" s="105"/>
      <c r="F220" s="173"/>
      <c r="G220" s="173"/>
      <c r="H220" s="173"/>
      <c r="I220" s="192"/>
      <c r="J220" s="105"/>
      <c r="K220" s="105"/>
      <c r="L220" s="105"/>
      <c r="M220" s="4">
        <f t="shared" si="291"/>
      </c>
      <c r="N220" s="100"/>
      <c r="O220" s="164"/>
      <c r="P220" s="59">
        <f t="shared" si="309"/>
      </c>
      <c r="Q220" s="188"/>
      <c r="R220" s="119"/>
      <c r="S220" s="173"/>
      <c r="T220" s="5">
        <f t="shared" si="292"/>
      </c>
      <c r="U220" s="4">
        <f t="shared" si="282"/>
      </c>
      <c r="V220" s="4">
        <f t="shared" si="283"/>
      </c>
      <c r="W220" s="4">
        <f t="shared" si="284"/>
      </c>
      <c r="X220" s="4">
        <f t="shared" si="285"/>
      </c>
      <c r="Y220" s="4" cm="1">
        <f t="array" ref="Y220">_xlfn.IFS(H220=1,2,H220=3,1)</f>
      </c>
      <c r="Z220" s="4">
        <f t="shared" si="286"/>
      </c>
      <c r="AA220" s="4">
        <f t="shared" si="293"/>
      </c>
      <c r="AB220" s="4">
        <f t="shared" si="287"/>
      </c>
      <c r="AC220" s="4">
        <f t="shared" si="294"/>
      </c>
      <c r="AD220" s="4">
        <f t="shared" si="288"/>
      </c>
      <c r="AE220" s="4">
        <f t="shared" si="304"/>
      </c>
      <c r="AF220" s="4">
        <f t="shared" si="305"/>
      </c>
      <c r="AG220" s="4">
        <f t="shared" si="306"/>
        <v/>
      </c>
      <c r="AH220" s="4">
        <f t="shared" si="295"/>
      </c>
      <c r="AI220" s="4">
        <f t="shared" si="307"/>
      </c>
      <c r="AJ220" s="4">
        <f t="shared" si="296"/>
      </c>
      <c r="AK220" s="4">
        <f t="shared" si="289"/>
      </c>
      <c r="AL220" s="4">
        <f t="shared" si="297"/>
      </c>
      <c r="AM220" s="4">
        <f t="shared" si="298"/>
      </c>
      <c r="AN220" s="4"/>
      <c r="AO220" s="4">
        <f t="shared" si="302"/>
      </c>
      <c r="AP220" s="4">
        <f t="shared" si="299"/>
      </c>
      <c r="AQ220" s="4">
        <f t="shared" si="303"/>
        <v/>
      </c>
      <c r="AR220" s="4">
        <f t="shared" si="300"/>
      </c>
      <c r="AS220" s="4">
        <f t="shared" si="301"/>
      </c>
      <c r="AT220" s="4">
        <f t="shared" si="308"/>
      </c>
    </row>
    <row r="221" spans="1:46" x14ac:dyDescent="0.3">
      <c r="A221" s="5">
        <f t="shared" si="281"/>
      </c>
      <c r="B221" s="4">
        <f t="shared" si="290"/>
      </c>
      <c r="C221" s="119"/>
      <c r="D221" s="119"/>
      <c r="E221" s="105"/>
      <c r="F221" s="173"/>
      <c r="G221" s="173"/>
      <c r="H221" s="173"/>
      <c r="I221" s="192"/>
      <c r="J221" s="105"/>
      <c r="K221" s="105"/>
      <c r="L221" s="105"/>
      <c r="M221" s="4">
        <f t="shared" si="291"/>
      </c>
      <c r="N221" s="100"/>
      <c r="O221" s="164"/>
      <c r="P221" s="59">
        <f t="shared" si="309"/>
      </c>
      <c r="Q221" s="188"/>
      <c r="R221" s="119"/>
      <c r="S221" s="173"/>
      <c r="T221" s="5">
        <f t="shared" si="292"/>
      </c>
      <c r="U221" s="4">
        <f t="shared" si="282"/>
      </c>
      <c r="V221" s="4">
        <f t="shared" si="283"/>
      </c>
      <c r="W221" s="4">
        <f t="shared" si="284"/>
      </c>
      <c r="X221" s="4">
        <f t="shared" si="285"/>
      </c>
      <c r="Y221" s="4" cm="1">
        <f t="array" ref="Y221">_xlfn.IFS(H221=1,2,H221=3,1)</f>
      </c>
      <c r="Z221" s="4">
        <f t="shared" si="286"/>
      </c>
      <c r="AA221" s="4">
        <f t="shared" si="293"/>
      </c>
      <c r="AB221" s="4">
        <f t="shared" si="287"/>
      </c>
      <c r="AC221" s="4">
        <f t="shared" si="294"/>
      </c>
      <c r="AD221" s="4">
        <f t="shared" si="288"/>
      </c>
      <c r="AE221" s="4">
        <f t="shared" si="304"/>
      </c>
      <c r="AF221" s="4">
        <f t="shared" si="305"/>
      </c>
      <c r="AG221" s="4">
        <f t="shared" si="306"/>
        <v/>
      </c>
      <c r="AH221" s="4">
        <f t="shared" si="295"/>
      </c>
      <c r="AI221" s="4">
        <f t="shared" si="307"/>
      </c>
      <c r="AJ221" s="4">
        <f t="shared" si="296"/>
      </c>
      <c r="AK221" s="4">
        <f t="shared" si="289"/>
      </c>
      <c r="AL221" s="4">
        <f t="shared" si="297"/>
      </c>
      <c r="AM221" s="4">
        <f t="shared" si="298"/>
      </c>
      <c r="AN221" s="4"/>
      <c r="AO221" s="4">
        <f t="shared" si="302"/>
      </c>
      <c r="AP221" s="4">
        <f t="shared" si="299"/>
      </c>
      <c r="AQ221" s="4">
        <f t="shared" si="303"/>
        <v/>
      </c>
      <c r="AR221" s="4">
        <f t="shared" si="300"/>
      </c>
      <c r="AS221" s="4">
        <f t="shared" si="301"/>
      </c>
      <c r="AT221" s="4">
        <f t="shared" si="308"/>
      </c>
    </row>
    <row r="222" spans="1:46" x14ac:dyDescent="0.3">
      <c r="A222" s="5">
        <f t="shared" si="281"/>
      </c>
      <c r="B222" s="4">
        <f t="shared" si="290"/>
      </c>
      <c r="C222" s="119"/>
      <c r="D222" s="119"/>
      <c r="E222" s="105"/>
      <c r="F222" s="173"/>
      <c r="G222" s="173"/>
      <c r="H222" s="173"/>
      <c r="I222" s="192"/>
      <c r="J222" s="105"/>
      <c r="K222" s="105"/>
      <c r="L222" s="105"/>
      <c r="M222" s="4">
        <f t="shared" si="291"/>
      </c>
      <c r="N222" s="100"/>
      <c r="O222" s="164"/>
      <c r="P222" s="59">
        <f t="shared" si="309"/>
      </c>
      <c r="Q222" s="188"/>
      <c r="R222" s="119"/>
      <c r="S222" s="173"/>
      <c r="T222" s="5">
        <f t="shared" si="292"/>
      </c>
      <c r="U222" s="4">
        <f t="shared" si="282"/>
      </c>
      <c r="V222" s="4">
        <f t="shared" si="283"/>
      </c>
      <c r="W222" s="4">
        <f t="shared" si="284"/>
      </c>
      <c r="X222" s="4">
        <f t="shared" si="285"/>
      </c>
      <c r="Y222" s="4" cm="1">
        <f t="array" ref="Y222">_xlfn.IFS(H222=1,2,H222=3,1)</f>
      </c>
      <c r="Z222" s="4">
        <f t="shared" si="286"/>
      </c>
      <c r="AA222" s="4">
        <f t="shared" si="293"/>
      </c>
      <c r="AB222" s="4">
        <f t="shared" si="287"/>
      </c>
      <c r="AC222" s="4">
        <f t="shared" si="294"/>
      </c>
      <c r="AD222" s="4">
        <f t="shared" si="288"/>
      </c>
      <c r="AE222" s="4">
        <f t="shared" si="304"/>
      </c>
      <c r="AF222" s="4">
        <f t="shared" si="305"/>
      </c>
      <c r="AG222" s="4">
        <f t="shared" si="306"/>
        <v/>
      </c>
      <c r="AH222" s="4">
        <f t="shared" si="295"/>
      </c>
      <c r="AI222" s="4">
        <f t="shared" si="307"/>
      </c>
      <c r="AJ222" s="4">
        <f t="shared" si="296"/>
      </c>
      <c r="AK222" s="4">
        <f t="shared" si="289"/>
      </c>
      <c r="AL222" s="4">
        <f t="shared" si="297"/>
      </c>
      <c r="AM222" s="4">
        <f t="shared" si="298"/>
      </c>
      <c r="AN222" s="4"/>
      <c r="AO222" s="4">
        <f t="shared" si="302"/>
      </c>
      <c r="AP222" s="4">
        <f t="shared" si="299"/>
      </c>
      <c r="AQ222" s="4">
        <f t="shared" si="303"/>
        <v/>
      </c>
      <c r="AR222" s="4">
        <f t="shared" si="300"/>
      </c>
      <c r="AS222" s="4">
        <f t="shared" si="301"/>
      </c>
      <c r="AT222" s="4">
        <f t="shared" si="308"/>
      </c>
    </row>
    <row r="223" spans="1:46" ht="15" thickBot="1" x14ac:dyDescent="0.35">
      <c r="A223" s="45">
        <f t="shared" si="281"/>
      </c>
      <c r="B223" s="44">
        <f t="shared" si="290"/>
      </c>
      <c r="C223" s="175"/>
      <c r="D223" s="175"/>
      <c r="E223" s="105"/>
      <c r="F223" s="173"/>
      <c r="G223" s="178"/>
      <c r="H223" s="178"/>
      <c r="I223" s="192"/>
      <c r="J223" s="176"/>
      <c r="K223" s="105"/>
      <c r="L223" s="176"/>
      <c r="M223" s="44">
        <f t="shared" si="291"/>
      </c>
      <c r="N223" s="100"/>
      <c r="O223" s="164"/>
      <c r="P223" s="64">
        <f t="shared" si="309"/>
      </c>
      <c r="Q223" s="188"/>
      <c r="R223" s="119"/>
      <c r="S223" s="173"/>
      <c r="T223" s="45">
        <f t="shared" si="292"/>
      </c>
      <c r="U223" s="44">
        <f t="shared" si="282"/>
      </c>
      <c r="V223" s="44">
        <f t="shared" si="283"/>
      </c>
      <c r="W223" s="44">
        <f t="shared" si="284"/>
      </c>
      <c r="X223" s="44">
        <f t="shared" si="285"/>
      </c>
      <c r="Y223" s="44" cm="1">
        <f t="array" ref="Y223">_xlfn.IFS(H223=1,2,H223=3,1)</f>
      </c>
      <c r="Z223" s="44">
        <f t="shared" si="286"/>
      </c>
      <c r="AA223" s="44">
        <f t="shared" si="293"/>
      </c>
      <c r="AB223" s="44">
        <f t="shared" si="287"/>
      </c>
      <c r="AC223" s="44">
        <f t="shared" si="294"/>
      </c>
      <c r="AD223" s="44">
        <f t="shared" si="288"/>
      </c>
      <c r="AE223" s="44">
        <f t="shared" si="304"/>
      </c>
      <c r="AF223" s="44">
        <f t="shared" si="305"/>
      </c>
      <c r="AG223" s="44">
        <f t="shared" si="306"/>
        <v/>
      </c>
      <c r="AH223" s="44">
        <f t="shared" si="295"/>
      </c>
      <c r="AI223" s="44">
        <f t="shared" si="307"/>
      </c>
      <c r="AJ223" s="44">
        <f t="shared" si="296"/>
      </c>
      <c r="AK223" s="44">
        <f t="shared" si="289"/>
      </c>
      <c r="AL223" s="44">
        <f t="shared" si="297"/>
      </c>
      <c r="AM223" s="44">
        <f t="shared" si="298"/>
      </c>
      <c r="AN223" s="44"/>
      <c r="AO223" s="44">
        <f t="shared" si="302"/>
      </c>
      <c r="AP223" s="44">
        <f t="shared" si="299"/>
      </c>
      <c r="AQ223" s="44">
        <f t="shared" si="303"/>
        <v/>
      </c>
      <c r="AR223" s="44">
        <f t="shared" si="300"/>
      </c>
      <c r="AS223" s="44">
        <f t="shared" si="301"/>
      </c>
      <c r="AT223" s="44">
        <f t="shared" si="308"/>
      </c>
    </row>
    <row r="224" spans="1:46" ht="15" thickBot="1" x14ac:dyDescent="0.35">
      <c r="A224" s="19">
        <f t="shared" si="281"/>
      </c>
      <c r="B224" s="7">
        <f t="shared" si="290"/>
      </c>
      <c r="C224" s="177"/>
      <c r="D224" s="177"/>
      <c r="E224" s="105"/>
      <c r="F224" s="178"/>
      <c r="G224" s="178"/>
      <c r="H224" s="178"/>
      <c r="I224" s="192"/>
      <c r="J224" s="176"/>
      <c r="K224" s="105"/>
      <c r="L224" s="179"/>
      <c r="M224" s="7">
        <f t="shared" si="291"/>
      </c>
      <c r="N224" s="100"/>
      <c r="O224" s="164"/>
      <c r="P224" s="65">
        <f t="shared" si="309"/>
      </c>
      <c r="Q224" s="188"/>
      <c r="R224" s="119"/>
      <c r="S224" s="173"/>
      <c r="T224" s="19">
        <f t="shared" si="292"/>
      </c>
      <c r="U224" s="7">
        <f t="shared" si="282"/>
      </c>
      <c r="V224" s="7">
        <f t="shared" si="283"/>
      </c>
      <c r="W224" s="7">
        <f t="shared" si="284"/>
      </c>
      <c r="X224" s="7">
        <f t="shared" si="285"/>
      </c>
      <c r="Y224" s="7" cm="1">
        <f t="array" ref="Y224">_xlfn.IFS(H224=1,2,H224=3,1)</f>
      </c>
      <c r="Z224" s="7">
        <f t="shared" si="286"/>
      </c>
      <c r="AA224" s="7">
        <f t="shared" si="293"/>
      </c>
      <c r="AB224" s="7">
        <f t="shared" si="287"/>
      </c>
      <c r="AC224" s="7">
        <f t="shared" si="294"/>
      </c>
      <c r="AD224" s="7">
        <f t="shared" si="288"/>
      </c>
      <c r="AE224" s="7">
        <f t="shared" si="304"/>
      </c>
      <c r="AF224" s="7">
        <f t="shared" si="305"/>
      </c>
      <c r="AG224" s="7">
        <f t="shared" si="306"/>
        <v/>
      </c>
      <c r="AH224" s="7">
        <f t="shared" si="295"/>
      </c>
      <c r="AI224" s="7">
        <f t="shared" si="307"/>
      </c>
      <c r="AJ224" s="7">
        <f t="shared" si="296"/>
      </c>
      <c r="AK224" s="7">
        <f t="shared" si="289"/>
      </c>
      <c r="AL224" s="7">
        <f t="shared" si="297"/>
      </c>
      <c r="AM224" s="7">
        <f t="shared" si="298"/>
      </c>
      <c r="AN224" s="7"/>
      <c r="AO224" s="7">
        <f t="shared" si="302"/>
      </c>
      <c r="AP224" s="7">
        <f t="shared" si="299"/>
      </c>
      <c r="AQ224" s="7">
        <f t="shared" si="303"/>
        <v/>
      </c>
      <c r="AR224" s="7">
        <f t="shared" si="300"/>
      </c>
      <c r="AS224" s="7">
        <f t="shared" si="301"/>
      </c>
      <c r="AT224" s="7">
        <f t="shared" si="308"/>
      </c>
    </row>
    <row r="225" spans="1:46" x14ac:dyDescent="0.3">
      <c r="A225" s="5">
        <f t="shared" si="281"/>
      </c>
      <c r="B225" s="4">
        <f t="shared" si="290"/>
      </c>
      <c r="C225" s="119"/>
      <c r="D225" s="119"/>
      <c r="E225" s="105"/>
      <c r="F225" s="173"/>
      <c r="G225" s="173"/>
      <c r="H225" s="173"/>
      <c r="I225" s="192"/>
      <c r="J225" s="105"/>
      <c r="K225" s="105"/>
      <c r="L225" s="105"/>
      <c r="M225" s="4">
        <f t="shared" si="291"/>
      </c>
      <c r="N225" s="100"/>
      <c r="O225" s="164"/>
      <c r="P225" s="59">
        <f>IF(VLOOKUP(AH225,Потребители_обозначение,5,FALSE)=2,_xlfn.IFS(H225=3,VLOOKUP(E225,Справочная_двигатели,8,FALSE),H225=1,VLOOKUP(E225,Справочная_двигатели,10,TRUE)),0.95)</f>
      </c>
      <c r="Q225" s="188"/>
      <c r="R225" s="119"/>
      <c r="S225" s="173"/>
      <c r="T225" s="5">
        <f t="shared" si="292"/>
      </c>
      <c r="U225" s="4">
        <f t="shared" si="282"/>
      </c>
      <c r="V225" s="4">
        <f t="shared" si="283"/>
      </c>
      <c r="W225" s="4">
        <f t="shared" si="284"/>
      </c>
      <c r="X225" s="4">
        <f t="shared" si="285"/>
      </c>
      <c r="Y225" s="4" cm="1">
        <f t="array" ref="Y225">_xlfn.IFS(H225=1,2,H225=3,1)</f>
      </c>
      <c r="Z225" s="4">
        <f t="shared" si="286"/>
      </c>
      <c r="AA225" s="4">
        <f t="shared" si="293"/>
      </c>
      <c r="AB225" s="4">
        <f t="shared" si="287"/>
      </c>
      <c r="AC225" s="4">
        <f t="shared" si="294"/>
      </c>
      <c r="AD225" s="4">
        <f t="shared" si="288"/>
      </c>
      <c r="AE225" s="4">
        <f t="shared" si="304"/>
      </c>
      <c r="AF225" s="4">
        <f t="shared" si="305"/>
      </c>
      <c r="AG225" s="4">
        <f t="shared" si="306"/>
        <v/>
      </c>
      <c r="AH225" s="4">
        <f t="shared" si="295"/>
      </c>
      <c r="AI225" s="4">
        <f t="shared" si="307"/>
      </c>
      <c r="AJ225" s="4">
        <f t="shared" si="296"/>
      </c>
      <c r="AK225" s="4">
        <f t="shared" si="289"/>
      </c>
      <c r="AL225" s="4">
        <f t="shared" si="297"/>
      </c>
      <c r="AM225" s="4">
        <f t="shared" si="298"/>
      </c>
      <c r="AN225" s="4"/>
      <c r="AO225" s="4">
        <f t="shared" si="302"/>
      </c>
      <c r="AP225" s="4">
        <f t="shared" si="299"/>
      </c>
      <c r="AQ225" s="4">
        <f t="shared" si="303"/>
        <v/>
      </c>
      <c r="AR225" s="4">
        <f t="shared" si="300"/>
      </c>
      <c r="AS225" s="4">
        <f t="shared" si="301"/>
      </c>
      <c r="AT225" s="4">
        <f t="shared" si="308"/>
      </c>
    </row>
    <row r="226" spans="1:46" x14ac:dyDescent="0.3">
      <c r="A226" s="5">
        <f t="shared" si="281"/>
      </c>
      <c r="B226" s="4">
        <f t="shared" si="290"/>
      </c>
      <c r="C226" s="181"/>
      <c r="D226" s="119"/>
      <c r="E226" s="105"/>
      <c r="F226" s="173"/>
      <c r="G226" s="173"/>
      <c r="H226" s="173"/>
      <c r="I226" s="192"/>
      <c r="J226" s="105"/>
      <c r="K226" s="105"/>
      <c r="L226" s="105"/>
      <c r="M226" s="4">
        <f t="shared" si="291"/>
      </c>
      <c r="N226" s="100"/>
      <c r="O226" s="164"/>
      <c r="P226" s="59">
        <f t="shared" si="309"/>
      </c>
      <c r="Q226" s="188"/>
      <c r="R226" s="119"/>
      <c r="S226" s="173"/>
      <c r="T226" s="5">
        <f t="shared" si="292"/>
      </c>
      <c r="U226" s="4">
        <f t="shared" si="282"/>
      </c>
      <c r="V226" s="4">
        <f t="shared" si="283"/>
      </c>
      <c r="W226" s="4">
        <f t="shared" si="284"/>
      </c>
      <c r="X226" s="4">
        <f t="shared" si="285"/>
      </c>
      <c r="Y226" s="4" cm="1">
        <f t="array" ref="Y226">_xlfn.IFS(H226=1,2,H226=3,1)</f>
      </c>
      <c r="Z226" s="4">
        <f t="shared" si="286"/>
      </c>
      <c r="AA226" s="4">
        <f t="shared" si="293"/>
      </c>
      <c r="AB226" s="4">
        <f t="shared" si="287"/>
      </c>
      <c r="AC226" s="4">
        <f t="shared" si="294"/>
      </c>
      <c r="AD226" s="4">
        <f t="shared" si="288"/>
      </c>
      <c r="AE226" s="4">
        <f t="shared" si="304"/>
      </c>
      <c r="AF226" s="4">
        <f t="shared" si="305"/>
      </c>
      <c r="AG226" s="4">
        <f t="shared" si="306"/>
        <v/>
      </c>
      <c r="AH226" s="4">
        <f t="shared" si="295"/>
      </c>
      <c r="AI226" s="4">
        <f t="shared" si="307"/>
      </c>
      <c r="AJ226" s="4">
        <f t="shared" si="296"/>
      </c>
      <c r="AK226" s="4">
        <f t="shared" si="289"/>
      </c>
      <c r="AL226" s="4">
        <f t="shared" si="297"/>
      </c>
      <c r="AM226" s="4">
        <f t="shared" si="298"/>
      </c>
      <c r="AN226" s="4"/>
      <c r="AO226" s="4">
        <f t="shared" si="302"/>
      </c>
      <c r="AP226" s="4">
        <f t="shared" si="299"/>
      </c>
      <c r="AQ226" s="4">
        <f t="shared" si="303"/>
        <v/>
      </c>
      <c r="AR226" s="4">
        <f t="shared" si="300"/>
      </c>
      <c r="AS226" s="4">
        <f t="shared" si="301"/>
      </c>
      <c r="AT226" s="4">
        <f t="shared" si="308"/>
      </c>
    </row>
    <row r="227" spans="1:46" x14ac:dyDescent="0.3">
      <c r="A227" s="5">
        <f t="shared" si="281"/>
      </c>
      <c r="B227" s="4">
        <f t="shared" si="290"/>
      </c>
      <c r="C227" s="181"/>
      <c r="D227" s="119"/>
      <c r="E227" s="105"/>
      <c r="F227" s="173"/>
      <c r="G227" s="173"/>
      <c r="H227" s="173"/>
      <c r="I227" s="192"/>
      <c r="J227" s="105"/>
      <c r="K227" s="105"/>
      <c r="L227" s="105"/>
      <c r="M227" s="4">
        <f t="shared" si="291"/>
      </c>
      <c r="N227" s="100"/>
      <c r="O227" s="164"/>
      <c r="P227" s="59">
        <f t="shared" si="309"/>
      </c>
      <c r="Q227" s="188"/>
      <c r="R227" s="119"/>
      <c r="S227" s="173"/>
      <c r="T227" s="5">
        <f t="shared" si="292"/>
      </c>
      <c r="U227" s="4">
        <f t="shared" si="282"/>
      </c>
      <c r="V227" s="4">
        <f t="shared" si="283"/>
      </c>
      <c r="W227" s="4">
        <f t="shared" si="284"/>
      </c>
      <c r="X227" s="4">
        <f t="shared" si="285"/>
      </c>
      <c r="Y227" s="4" cm="1">
        <f t="array" ref="Y227">_xlfn.IFS(H227=1,2,H227=3,1)</f>
      </c>
      <c r="Z227" s="4">
        <f>ROUND(SIN(ACOS(P227)),2)</f>
      </c>
      <c r="AA227" s="4">
        <f t="shared" si="293"/>
      </c>
      <c r="AB227" s="4">
        <f t="shared" si="287"/>
      </c>
      <c r="AC227" s="4">
        <f t="shared" si="294"/>
      </c>
      <c r="AD227" s="4">
        <f t="shared" si="288"/>
      </c>
      <c r="AE227" s="4">
        <f t="shared" si="304"/>
      </c>
      <c r="AF227" s="4">
        <f t="shared" si="305"/>
      </c>
      <c r="AG227" s="4">
        <f t="shared" si="306"/>
        <v/>
      </c>
      <c r="AH227" s="4">
        <f t="shared" si="295"/>
      </c>
      <c r="AI227" s="4">
        <f t="shared" si="307"/>
      </c>
      <c r="AJ227" s="4">
        <f t="shared" si="296"/>
      </c>
      <c r="AK227" s="4">
        <f t="shared" si="289"/>
      </c>
      <c r="AL227" s="4">
        <f t="shared" si="297"/>
      </c>
      <c r="AM227" s="4">
        <f t="shared" si="298"/>
      </c>
      <c r="AN227" s="4"/>
      <c r="AO227" s="4">
        <f t="shared" si="302"/>
      </c>
      <c r="AP227" s="4">
        <f t="shared" si="299"/>
      </c>
      <c r="AQ227" s="4">
        <f t="shared" si="303"/>
        <v/>
      </c>
      <c r="AR227" s="4">
        <f t="shared" si="300"/>
      </c>
      <c r="AS227" s="4">
        <f t="shared" si="301"/>
      </c>
      <c r="AT227" s="4">
        <f t="shared" si="308"/>
      </c>
    </row>
    <row r="228" spans="1:46" x14ac:dyDescent="0.3">
      <c r="A228" s="5">
        <f t="shared" si="281"/>
      </c>
      <c r="B228" s="4">
        <f t="shared" si="290"/>
      </c>
      <c r="C228" s="119"/>
      <c r="D228" s="119"/>
      <c r="E228" s="105"/>
      <c r="F228" s="173"/>
      <c r="G228" s="173"/>
      <c r="H228" s="173"/>
      <c r="I228" s="192"/>
      <c r="J228" s="105"/>
      <c r="K228" s="105"/>
      <c r="L228" s="105"/>
      <c r="M228" s="4">
        <f t="shared" si="291"/>
      </c>
      <c r="N228" s="100"/>
      <c r="O228" s="164"/>
      <c r="P228" s="59">
        <f t="shared" si="309"/>
      </c>
      <c r="Q228" s="188"/>
      <c r="R228" s="119"/>
      <c r="S228" s="173"/>
      <c r="T228" s="5">
        <f t="shared" si="292"/>
      </c>
      <c r="U228" s="4">
        <f t="shared" si="282"/>
      </c>
      <c r="V228" s="4">
        <f t="shared" si="283"/>
      </c>
      <c r="W228" s="4">
        <f t="shared" si="284"/>
      </c>
      <c r="X228" s="4">
        <f t="shared" si="285"/>
      </c>
      <c r="Y228" s="4" cm="1">
        <f t="array" ref="Y228">_xlfn.IFS(H228=1,2,H228=3,1)</f>
      </c>
      <c r="Z228" s="4">
        <f t="shared" ref="Z228:Z233" si="310">ROUND(SIN(ACOS(P228)),2)</f>
      </c>
      <c r="AA228" s="4">
        <f t="shared" si="293"/>
      </c>
      <c r="AB228" s="4">
        <f t="shared" si="287"/>
      </c>
      <c r="AC228" s="4">
        <f t="shared" si="294"/>
      </c>
      <c r="AD228" s="4">
        <f t="shared" si="288"/>
      </c>
      <c r="AE228" s="4">
        <f t="shared" si="304"/>
      </c>
      <c r="AF228" s="4">
        <f t="shared" si="305"/>
      </c>
      <c r="AG228" s="4">
        <f t="shared" si="306"/>
        <v/>
      </c>
      <c r="AH228" s="4">
        <f t="shared" si="295"/>
      </c>
      <c r="AI228" s="4">
        <f t="shared" si="307"/>
      </c>
      <c r="AJ228" s="4">
        <f t="shared" si="296"/>
      </c>
      <c r="AK228" s="4">
        <f t="shared" si="289"/>
      </c>
      <c r="AL228" s="4">
        <f t="shared" si="297"/>
      </c>
      <c r="AM228" s="4">
        <f t="shared" si="298"/>
      </c>
      <c r="AN228" s="4"/>
      <c r="AO228" s="4">
        <f t="shared" si="302"/>
      </c>
      <c r="AP228" s="4">
        <f t="shared" si="299"/>
      </c>
      <c r="AQ228" s="4">
        <f t="shared" si="303"/>
        <v/>
      </c>
      <c r="AR228" s="4">
        <f t="shared" si="300"/>
      </c>
      <c r="AS228" s="4">
        <f t="shared" si="301"/>
      </c>
      <c r="AT228" s="4">
        <f t="shared" si="308"/>
      </c>
    </row>
    <row r="229" spans="1:46" x14ac:dyDescent="0.3">
      <c r="A229" s="5">
        <f t="shared" si="281"/>
      </c>
      <c r="B229" s="4">
        <f t="shared" si="290"/>
      </c>
      <c r="C229" s="119"/>
      <c r="D229" s="119"/>
      <c r="E229" s="105"/>
      <c r="F229" s="173"/>
      <c r="G229" s="173"/>
      <c r="H229" s="173"/>
      <c r="I229" s="192"/>
      <c r="J229" s="105"/>
      <c r="K229" s="105"/>
      <c r="L229" s="105"/>
      <c r="M229" s="4">
        <f t="shared" si="291"/>
      </c>
      <c r="N229" s="100"/>
      <c r="O229" s="164"/>
      <c r="P229" s="59">
        <f t="shared" si="309"/>
      </c>
      <c r="Q229" s="188"/>
      <c r="R229" s="119"/>
      <c r="S229" s="173"/>
      <c r="T229" s="5">
        <f t="shared" si="292"/>
      </c>
      <c r="U229" s="4">
        <f t="shared" si="282"/>
      </c>
      <c r="V229" s="4">
        <f t="shared" si="283"/>
      </c>
      <c r="W229" s="4">
        <f t="shared" si="284"/>
      </c>
      <c r="X229" s="4">
        <f t="shared" si="285"/>
      </c>
      <c r="Y229" s="4" cm="1">
        <f t="array" ref="Y229">_xlfn.IFS(H229=1,2,H229=3,1)</f>
      </c>
      <c r="Z229" s="4">
        <f t="shared" si="310"/>
      </c>
      <c r="AA229" s="4">
        <f t="shared" si="293"/>
      </c>
      <c r="AB229" s="4">
        <f t="shared" si="287"/>
      </c>
      <c r="AC229" s="4">
        <f t="shared" si="294"/>
      </c>
      <c r="AD229" s="4">
        <f t="shared" si="288"/>
      </c>
      <c r="AE229" s="4">
        <f t="shared" si="304"/>
      </c>
      <c r="AF229" s="4">
        <f t="shared" si="305"/>
      </c>
      <c r="AG229" s="4">
        <f t="shared" si="306"/>
        <v/>
      </c>
      <c r="AH229" s="4">
        <f t="shared" si="295"/>
      </c>
      <c r="AI229" s="4">
        <f t="shared" si="307"/>
      </c>
      <c r="AJ229" s="4">
        <f t="shared" si="296"/>
      </c>
      <c r="AK229" s="4">
        <f t="shared" si="289"/>
      </c>
      <c r="AL229" s="4">
        <f t="shared" si="297"/>
      </c>
      <c r="AM229" s="4">
        <f t="shared" si="298"/>
      </c>
      <c r="AN229" s="4"/>
      <c r="AO229" s="4">
        <f t="shared" si="302"/>
      </c>
      <c r="AP229" s="4">
        <f t="shared" si="299"/>
      </c>
      <c r="AQ229" s="4">
        <f t="shared" si="303"/>
        <v/>
      </c>
      <c r="AR229" s="4">
        <f t="shared" si="300"/>
      </c>
      <c r="AS229" s="4">
        <f t="shared" si="301"/>
      </c>
      <c r="AT229" s="4">
        <f t="shared" si="308"/>
      </c>
    </row>
    <row r="230" spans="1:46" x14ac:dyDescent="0.3">
      <c r="A230" s="5">
        <f t="shared" si="281"/>
      </c>
      <c r="B230" s="4">
        <f t="shared" si="290"/>
      </c>
      <c r="C230" s="119"/>
      <c r="D230" s="119"/>
      <c r="E230" s="105"/>
      <c r="F230" s="173"/>
      <c r="G230" s="173"/>
      <c r="H230" s="173"/>
      <c r="I230" s="192"/>
      <c r="J230" s="105"/>
      <c r="K230" s="105"/>
      <c r="L230" s="105"/>
      <c r="M230" s="4">
        <f t="shared" si="291"/>
      </c>
      <c r="N230" s="100"/>
      <c r="O230" s="164"/>
      <c r="P230" s="59">
        <f>IF(VLOOKUP(AH230,Потребители_обозначение,5,FALSE)=2,_xlfn.IFS(H230=3,VLOOKUP(E230,Справочная_двигатели,8,FALSE),H230=1,VLOOKUP(E230,Справочная_двигатели,10,TRUE)),0.95)</f>
      </c>
      <c r="Q230" s="188"/>
      <c r="R230" s="119"/>
      <c r="S230" s="173"/>
      <c r="T230" s="5">
        <f t="shared" si="292"/>
      </c>
      <c r="U230" s="4">
        <f t="shared" si="282"/>
      </c>
      <c r="V230" s="4">
        <f t="shared" si="283"/>
      </c>
      <c r="W230" s="4">
        <f t="shared" si="284"/>
      </c>
      <c r="X230" s="4">
        <f t="shared" si="285"/>
      </c>
      <c r="Y230" s="4" cm="1">
        <f t="array" ref="Y230">_xlfn.IFS(H230=1,2,H230=3,1)</f>
      </c>
      <c r="Z230" s="4">
        <f t="shared" si="310"/>
      </c>
      <c r="AA230" s="4">
        <f t="shared" si="293"/>
      </c>
      <c r="AB230" s="4">
        <f t="shared" si="287"/>
      </c>
      <c r="AC230" s="4">
        <f t="shared" si="294"/>
      </c>
      <c r="AD230" s="4">
        <f t="shared" si="288"/>
      </c>
      <c r="AE230" s="4">
        <f t="shared" si="304"/>
      </c>
      <c r="AF230" s="4">
        <f t="shared" si="305"/>
      </c>
      <c r="AG230" s="4">
        <f t="shared" si="306"/>
        <v/>
      </c>
      <c r="AH230" s="4">
        <f t="shared" si="295"/>
      </c>
      <c r="AI230" s="4">
        <f t="shared" si="307"/>
      </c>
      <c r="AJ230" s="4">
        <f t="shared" si="296"/>
      </c>
      <c r="AK230" s="4">
        <f t="shared" si="289"/>
      </c>
      <c r="AL230" s="4">
        <f t="shared" si="297"/>
      </c>
      <c r="AM230" s="4">
        <f t="shared" si="298"/>
      </c>
      <c r="AN230" s="4"/>
      <c r="AO230" s="4">
        <f t="shared" si="302"/>
      </c>
      <c r="AP230" s="4">
        <f t="shared" si="299"/>
      </c>
      <c r="AQ230" s="4">
        <f t="shared" si="303"/>
        <v/>
      </c>
      <c r="AR230" s="4">
        <f t="shared" si="300"/>
      </c>
      <c r="AS230" s="4">
        <f t="shared" si="301"/>
      </c>
      <c r="AT230" s="4">
        <f t="shared" si="308"/>
      </c>
    </row>
    <row r="231" spans="1:46" x14ac:dyDescent="0.3">
      <c r="A231" s="5">
        <f t="shared" si="281"/>
      </c>
      <c r="B231" s="4">
        <f t="shared" si="290"/>
      </c>
      <c r="C231" s="119"/>
      <c r="D231" s="119"/>
      <c r="E231" s="105"/>
      <c r="F231" s="173"/>
      <c r="G231" s="173"/>
      <c r="H231" s="173"/>
      <c r="I231" s="192"/>
      <c r="J231" s="105"/>
      <c r="K231" s="105"/>
      <c r="L231" s="105"/>
      <c r="M231" s="4">
        <f t="shared" si="291"/>
      </c>
      <c r="N231" s="100"/>
      <c r="O231" s="164"/>
      <c r="P231" s="59">
        <f t="shared" si="309"/>
      </c>
      <c r="Q231" s="188"/>
      <c r="R231" s="119"/>
      <c r="S231" s="173"/>
      <c r="T231" s="5">
        <f t="shared" si="292"/>
      </c>
      <c r="U231" s="4">
        <f t="shared" si="282"/>
      </c>
      <c r="V231" s="4">
        <f t="shared" si="283"/>
      </c>
      <c r="W231" s="4">
        <f t="shared" si="284"/>
      </c>
      <c r="X231" s="4">
        <f t="shared" si="285"/>
      </c>
      <c r="Y231" s="4" cm="1">
        <f t="array" ref="Y231">_xlfn.IFS(H231=1,2,H231=3,1)</f>
      </c>
      <c r="Z231" s="4">
        <f t="shared" si="310"/>
      </c>
      <c r="AA231" s="4">
        <f t="shared" si="293"/>
      </c>
      <c r="AB231" s="4">
        <f t="shared" si="287"/>
      </c>
      <c r="AC231" s="4">
        <f t="shared" si="294"/>
      </c>
      <c r="AD231" s="4">
        <f t="shared" si="288"/>
      </c>
      <c r="AE231" s="4">
        <f t="shared" si="304"/>
      </c>
      <c r="AF231" s="4">
        <f t="shared" si="305"/>
      </c>
      <c r="AG231" s="4">
        <f t="shared" si="306"/>
        <v/>
      </c>
      <c r="AH231" s="4">
        <f t="shared" si="295"/>
      </c>
      <c r="AI231" s="4">
        <f t="shared" si="307"/>
      </c>
      <c r="AJ231" s="4">
        <f t="shared" si="296"/>
      </c>
      <c r="AK231" s="4">
        <f t="shared" si="289"/>
      </c>
      <c r="AL231" s="4">
        <f t="shared" si="297"/>
      </c>
      <c r="AM231" s="4">
        <f t="shared" si="298"/>
      </c>
      <c r="AN231" s="4"/>
      <c r="AO231" s="4">
        <f t="shared" si="302"/>
      </c>
      <c r="AP231" s="4">
        <f t="shared" si="299"/>
      </c>
      <c r="AQ231" s="4">
        <f t="shared" si="303"/>
        <v/>
      </c>
      <c r="AR231" s="4">
        <f t="shared" si="300"/>
      </c>
      <c r="AS231" s="4">
        <f t="shared" si="301"/>
      </c>
      <c r="AT231" s="4">
        <f t="shared" si="308"/>
      </c>
    </row>
    <row r="232" spans="1:46" x14ac:dyDescent="0.3">
      <c r="A232" s="5">
        <f t="shared" si="281"/>
      </c>
      <c r="B232" s="4">
        <f t="shared" si="290"/>
      </c>
      <c r="C232" s="119"/>
      <c r="D232" s="119"/>
      <c r="E232" s="105"/>
      <c r="F232" s="173"/>
      <c r="G232" s="173"/>
      <c r="H232" s="173"/>
      <c r="I232" s="192"/>
      <c r="J232" s="105"/>
      <c r="K232" s="105"/>
      <c r="L232" s="105"/>
      <c r="M232" s="4">
        <f t="shared" si="291"/>
      </c>
      <c r="N232" s="59"/>
      <c r="O232" s="164"/>
      <c r="P232" s="59">
        <f t="shared" si="309"/>
      </c>
      <c r="Q232" s="188"/>
      <c r="R232" s="119"/>
      <c r="S232" s="173"/>
      <c r="T232" s="5">
        <f t="shared" si="292"/>
      </c>
      <c r="U232" s="4">
        <f t="shared" si="282"/>
      </c>
      <c r="V232" s="4">
        <f t="shared" si="283"/>
      </c>
      <c r="W232" s="4">
        <f t="shared" si="284"/>
      </c>
      <c r="X232" s="4">
        <f t="shared" si="285"/>
      </c>
      <c r="Y232" s="4" cm="1">
        <f t="array" ref="Y232">_xlfn.IFS(H232=1,2,H232=3,1)</f>
      </c>
      <c r="Z232" s="4">
        <f t="shared" si="310"/>
      </c>
      <c r="AA232" s="4">
        <f t="shared" si="293"/>
      </c>
      <c r="AB232" s="4">
        <f t="shared" si="287"/>
      </c>
      <c r="AC232" s="4">
        <f t="shared" si="294"/>
      </c>
      <c r="AD232" s="4">
        <f t="shared" si="288"/>
      </c>
      <c r="AE232" s="4">
        <f t="shared" si="304"/>
      </c>
      <c r="AF232" s="4">
        <f t="shared" si="305"/>
      </c>
      <c r="AG232" s="4">
        <f t="shared" si="306"/>
        <v/>
      </c>
      <c r="AH232" s="4">
        <f t="shared" si="295"/>
      </c>
      <c r="AI232" s="4">
        <f t="shared" si="307"/>
      </c>
      <c r="AJ232" s="4">
        <f t="shared" si="296"/>
      </c>
      <c r="AK232" s="4">
        <f t="shared" si="289"/>
      </c>
      <c r="AL232" s="4">
        <f t="shared" si="297"/>
      </c>
      <c r="AM232" s="4">
        <f t="shared" si="298"/>
      </c>
      <c r="AN232" s="4"/>
      <c r="AO232" s="4">
        <f t="shared" si="302"/>
      </c>
      <c r="AP232" s="4">
        <f t="shared" si="299"/>
      </c>
      <c r="AQ232" s="4">
        <f t="shared" si="303"/>
        <v/>
      </c>
      <c r="AR232" s="4">
        <f t="shared" si="300"/>
      </c>
      <c r="AS232" s="4">
        <f t="shared" si="301"/>
      </c>
      <c r="AT232" s="4">
        <f t="shared" si="308"/>
      </c>
    </row>
    <row r="233" spans="1:46" x14ac:dyDescent="0.3">
      <c r="A233" s="5">
        <f t="shared" si="281"/>
      </c>
      <c r="B233" s="4">
        <f t="shared" si="290"/>
      </c>
      <c r="C233" s="119"/>
      <c r="D233" s="119"/>
      <c r="E233" s="105"/>
      <c r="F233" s="173"/>
      <c r="G233" s="173"/>
      <c r="H233" s="173"/>
      <c r="I233" s="192"/>
      <c r="J233" s="105"/>
      <c r="K233" s="105"/>
      <c r="L233" s="105"/>
      <c r="M233" s="4">
        <f t="shared" si="291"/>
      </c>
      <c r="N233" s="100"/>
      <c r="O233" s="164"/>
      <c r="P233" s="59">
        <f t="shared" si="309"/>
      </c>
      <c r="Q233" s="188"/>
      <c r="R233" s="119"/>
      <c r="S233" s="173"/>
      <c r="T233" s="5">
        <f t="shared" si="292"/>
      </c>
      <c r="U233" s="4">
        <f t="shared" si="282"/>
      </c>
      <c r="V233" s="4">
        <f t="shared" si="283"/>
      </c>
      <c r="W233" s="4">
        <f t="shared" si="284"/>
      </c>
      <c r="X233" s="4">
        <f t="shared" si="285"/>
      </c>
      <c r="Y233" s="4" cm="1">
        <f t="array" ref="Y233">_xlfn.IFS(H233=1,2,H233=3,1)</f>
      </c>
      <c r="Z233" s="4">
        <f t="shared" si="310"/>
      </c>
      <c r="AA233" s="4">
        <f t="shared" si="293"/>
      </c>
      <c r="AB233" s="4">
        <f t="shared" si="287"/>
      </c>
      <c r="AC233" s="4">
        <f t="shared" si="294"/>
      </c>
      <c r="AD233" s="4">
        <f t="shared" si="288"/>
      </c>
      <c r="AE233" s="4">
        <f t="shared" si="304"/>
      </c>
      <c r="AF233" s="4">
        <f t="shared" si="305"/>
      </c>
      <c r="AG233" s="4">
        <f t="shared" si="306"/>
        <v/>
      </c>
      <c r="AH233" s="4">
        <f t="shared" si="295"/>
      </c>
      <c r="AI233" s="4">
        <f t="shared" si="307"/>
      </c>
      <c r="AJ233" s="4">
        <f t="shared" si="296"/>
      </c>
      <c r="AK233" s="4">
        <f t="shared" si="289"/>
      </c>
      <c r="AL233" s="4">
        <f t="shared" si="297"/>
      </c>
      <c r="AM233" s="4">
        <f t="shared" si="298"/>
      </c>
      <c r="AN233" s="4"/>
      <c r="AO233" s="4">
        <f t="shared" si="302"/>
      </c>
      <c r="AP233" s="4">
        <f t="shared" si="299"/>
      </c>
      <c r="AQ233" s="4">
        <f t="shared" si="303"/>
        <v/>
      </c>
      <c r="AR233" s="4">
        <f t="shared" si="300"/>
      </c>
      <c r="AS233" s="4">
        <f t="shared" si="301"/>
      </c>
      <c r="AT233" s="4">
        <f t="shared" si="308"/>
      </c>
    </row>
    <row r="234" spans="1:46" x14ac:dyDescent="0.3">
      <c r="A234" s="5">
        <f t="shared" si="281"/>
      </c>
      <c r="B234" s="4">
        <f t="shared" si="290"/>
      </c>
      <c r="C234" s="181"/>
      <c r="D234" s="119"/>
      <c r="E234" s="105"/>
      <c r="F234" s="173"/>
      <c r="G234" s="173"/>
      <c r="H234" s="173"/>
      <c r="I234" s="192"/>
      <c r="J234" s="105"/>
      <c r="K234" s="105"/>
      <c r="L234" s="105"/>
      <c r="M234" s="4">
        <f t="shared" si="291"/>
      </c>
      <c r="N234" s="59"/>
      <c r="O234" s="164"/>
      <c r="P234" s="59">
        <f t="shared" si="309"/>
      </c>
      <c r="Q234" s="188"/>
      <c r="R234" s="119"/>
      <c r="S234" s="173"/>
      <c r="T234" s="5">
        <f t="shared" si="292"/>
      </c>
      <c r="U234" s="4">
        <f t="shared" si="282"/>
      </c>
      <c r="V234" s="4">
        <f t="shared" si="283"/>
      </c>
      <c r="W234" s="4">
        <f t="shared" si="284"/>
      </c>
      <c r="X234" s="4">
        <f t="shared" si="285"/>
      </c>
      <c r="Y234" s="4" cm="1">
        <f t="array" ref="Y234">_xlfn.IFS(H234=1,2,H234=3,1)</f>
      </c>
      <c r="Z234" s="4">
        <f t="shared" si="286"/>
      </c>
      <c r="AA234" s="4">
        <f t="shared" si="293"/>
      </c>
      <c r="AB234" s="4">
        <f t="shared" si="287"/>
      </c>
      <c r="AC234" s="4">
        <f t="shared" si="294"/>
      </c>
      <c r="AD234" s="4">
        <f t="shared" si="288"/>
      </c>
      <c r="AE234" s="4">
        <f t="shared" si="304"/>
      </c>
      <c r="AF234" s="4">
        <f t="shared" si="305"/>
      </c>
      <c r="AG234" s="4">
        <f t="shared" si="306"/>
        <v/>
      </c>
      <c r="AH234" s="4">
        <f t="shared" si="295"/>
      </c>
      <c r="AI234" s="4">
        <f t="shared" si="307"/>
      </c>
      <c r="AJ234" s="4">
        <f t="shared" si="296"/>
      </c>
      <c r="AK234" s="4">
        <f t="shared" si="289"/>
      </c>
      <c r="AL234" s="4">
        <f t="shared" si="297"/>
      </c>
      <c r="AM234" s="4">
        <f t="shared" si="298"/>
      </c>
      <c r="AN234" s="4"/>
      <c r="AO234" s="4">
        <f t="shared" si="302"/>
      </c>
      <c r="AP234" s="4">
        <f t="shared" si="299"/>
      </c>
      <c r="AQ234" s="4">
        <f t="shared" si="303"/>
        <v/>
      </c>
      <c r="AR234" s="4">
        <f t="shared" si="300"/>
      </c>
      <c r="AS234" s="4">
        <f t="shared" si="301"/>
      </c>
      <c r="AT234" s="4">
        <f t="shared" si="308"/>
      </c>
    </row>
    <row r="235" spans="1:46" x14ac:dyDescent="0.3">
      <c r="A235" s="5">
        <f t="shared" si="281"/>
      </c>
      <c r="B235" s="4">
        <f t="shared" si="290"/>
      </c>
      <c r="C235" s="181"/>
      <c r="D235" s="119"/>
      <c r="E235" s="105"/>
      <c r="F235" s="173"/>
      <c r="G235" s="173"/>
      <c r="H235" s="173"/>
      <c r="I235" s="192"/>
      <c r="J235" s="105"/>
      <c r="K235" s="105"/>
      <c r="L235" s="105"/>
      <c r="M235" s="4">
        <f t="shared" si="291"/>
      </c>
      <c r="N235" s="59"/>
      <c r="O235" s="164"/>
      <c r="P235" s="59">
        <f t="shared" si="309"/>
      </c>
      <c r="Q235" s="188"/>
      <c r="R235" s="119"/>
      <c r="S235" s="173"/>
      <c r="T235" s="5">
        <f t="shared" si="292"/>
      </c>
      <c r="U235" s="4">
        <f t="shared" si="282"/>
      </c>
      <c r="V235" s="4">
        <f t="shared" si="283"/>
      </c>
      <c r="W235" s="4">
        <f t="shared" si="284"/>
      </c>
      <c r="X235" s="4">
        <f t="shared" si="285"/>
      </c>
      <c r="Y235" s="4" cm="1">
        <f t="array" ref="Y235">_xlfn.IFS(H235=1,2,H235=3,1)</f>
      </c>
      <c r="Z235" s="4">
        <f t="shared" si="286"/>
      </c>
      <c r="AA235" s="4">
        <f t="shared" si="293"/>
      </c>
      <c r="AB235" s="4">
        <f t="shared" si="287"/>
      </c>
      <c r="AC235" s="4">
        <f t="shared" si="294"/>
      </c>
      <c r="AD235" s="4">
        <f t="shared" si="288"/>
      </c>
      <c r="AE235" s="4">
        <f t="shared" si="304"/>
      </c>
      <c r="AF235" s="4">
        <f t="shared" si="305"/>
      </c>
      <c r="AG235" s="4">
        <f t="shared" si="306"/>
        <v/>
      </c>
      <c r="AH235" s="4">
        <f t="shared" si="295"/>
      </c>
      <c r="AI235" s="4">
        <f t="shared" si="307"/>
      </c>
      <c r="AJ235" s="4">
        <f t="shared" si="296"/>
      </c>
      <c r="AK235" s="4">
        <f t="shared" si="289"/>
      </c>
      <c r="AL235" s="4">
        <f t="shared" si="297"/>
      </c>
      <c r="AM235" s="4">
        <f t="shared" si="298"/>
      </c>
      <c r="AN235" s="4"/>
      <c r="AO235" s="4">
        <f t="shared" si="302"/>
      </c>
      <c r="AP235" s="4">
        <f t="shared" si="299"/>
      </c>
      <c r="AQ235" s="4">
        <f t="shared" si="303"/>
        <v/>
      </c>
      <c r="AR235" s="4">
        <f t="shared" si="300"/>
      </c>
      <c r="AS235" s="4">
        <f t="shared" si="301"/>
      </c>
      <c r="AT235" s="4">
        <f t="shared" si="308"/>
      </c>
    </row>
    <row r="236" spans="1:46" x14ac:dyDescent="0.3">
      <c r="A236" s="5">
        <f t="shared" si="281"/>
      </c>
      <c r="B236" s="4">
        <f t="shared" si="290"/>
      </c>
      <c r="C236" s="119"/>
      <c r="D236" s="119"/>
      <c r="E236" s="105"/>
      <c r="F236" s="173"/>
      <c r="G236" s="173"/>
      <c r="H236" s="173"/>
      <c r="I236" s="192"/>
      <c r="J236" s="105"/>
      <c r="K236" s="105"/>
      <c r="L236" s="105"/>
      <c r="M236" s="4">
        <f t="shared" si="291"/>
      </c>
      <c r="N236" s="59"/>
      <c r="O236" s="164"/>
      <c r="P236" s="59">
        <f t="shared" si="309"/>
      </c>
      <c r="Q236" s="165"/>
      <c r="R236" s="59"/>
      <c r="S236" s="164"/>
      <c r="T236" s="5">
        <f t="shared" si="292"/>
      </c>
      <c r="U236" s="4">
        <f t="shared" si="282"/>
      </c>
      <c r="V236" s="4">
        <f t="shared" si="283"/>
      </c>
      <c r="W236" s="4">
        <f t="shared" si="284"/>
      </c>
      <c r="X236" s="4">
        <f t="shared" si="285"/>
      </c>
      <c r="Y236" s="4" cm="1">
        <f t="array" ref="Y236">_xlfn.IFS(H236=1,2,H236=3,1)</f>
      </c>
      <c r="Z236" s="4">
        <f t="shared" si="286"/>
      </c>
      <c r="AA236" s="4">
        <f t="shared" si="293"/>
      </c>
      <c r="AB236" s="4">
        <f t="shared" si="287"/>
      </c>
      <c r="AC236" s="4">
        <f t="shared" si="294"/>
      </c>
      <c r="AD236" s="4">
        <f t="shared" si="288"/>
      </c>
      <c r="AE236" s="4">
        <f t="shared" si="304"/>
      </c>
      <c r="AF236" s="4">
        <f t="shared" si="305"/>
      </c>
      <c r="AG236" s="4">
        <f t="shared" si="306"/>
        <v/>
      </c>
      <c r="AH236" s="4">
        <f t="shared" si="295"/>
      </c>
      <c r="AI236" s="4">
        <f t="shared" si="307"/>
      </c>
      <c r="AJ236" s="4">
        <f t="shared" si="296"/>
      </c>
      <c r="AK236" s="4">
        <f t="shared" si="289"/>
      </c>
      <c r="AL236" s="4">
        <f t="shared" si="297"/>
      </c>
      <c r="AM236" s="4">
        <f t="shared" si="298"/>
      </c>
      <c r="AN236" s="4"/>
      <c r="AO236" s="4">
        <f t="shared" si="302"/>
      </c>
      <c r="AP236" s="4">
        <f t="shared" si="299"/>
      </c>
      <c r="AQ236" s="4">
        <f t="shared" si="303"/>
        <v/>
      </c>
      <c r="AR236" s="4">
        <f t="shared" si="300"/>
      </c>
      <c r="AS236" s="4">
        <f t="shared" si="301"/>
      </c>
      <c r="AT236" s="4">
        <f t="shared" si="308"/>
      </c>
    </row>
    <row r="237" spans="1:46" ht="16.8" x14ac:dyDescent="0.4">
      <c r="A237" s="5">
        <f t="shared" si="281"/>
      </c>
      <c r="B237" s="4">
        <f t="shared" si="290"/>
      </c>
      <c r="C237" s="119"/>
      <c r="D237" s="119"/>
      <c r="E237" s="187"/>
      <c r="F237" s="173"/>
      <c r="G237" s="173"/>
      <c r="H237" s="173"/>
      <c r="I237" s="192"/>
      <c r="J237" s="105"/>
      <c r="K237" s="105"/>
      <c r="L237" s="105"/>
      <c r="M237" s="4">
        <f t="shared" si="291"/>
      </c>
      <c r="N237" s="100"/>
      <c r="O237" s="164"/>
      <c r="P237" s="59">
        <f t="shared" si="309"/>
      </c>
      <c r="Q237" s="171"/>
      <c r="R237" s="100"/>
      <c r="S237" s="164"/>
      <c r="T237" s="5">
        <f t="shared" si="292"/>
      </c>
      <c r="U237" s="4">
        <f t="shared" si="282"/>
      </c>
      <c r="V237" s="4">
        <f t="shared" si="283"/>
      </c>
      <c r="W237" s="4">
        <f t="shared" si="284"/>
      </c>
      <c r="X237" s="4">
        <f t="shared" si="285"/>
      </c>
      <c r="Y237" s="4" cm="1">
        <f t="array" ref="Y237">_xlfn.IFS(H237=1,2,H237=3,1)</f>
      </c>
      <c r="Z237" s="4">
        <f t="shared" si="286"/>
      </c>
      <c r="AA237" s="4">
        <f t="shared" si="293"/>
      </c>
      <c r="AB237" s="4">
        <f t="shared" si="287"/>
      </c>
      <c r="AC237" s="4">
        <f t="shared" si="294"/>
      </c>
      <c r="AD237" s="4">
        <f t="shared" si="288"/>
      </c>
      <c r="AE237" s="4">
        <f t="shared" si="304"/>
      </c>
      <c r="AF237" s="4">
        <f t="shared" si="305"/>
      </c>
      <c r="AG237" s="4">
        <f t="shared" si="306"/>
        <v/>
      </c>
      <c r="AH237" s="4">
        <f t="shared" si="295"/>
      </c>
      <c r="AI237" s="4">
        <f t="shared" si="307"/>
      </c>
      <c r="AJ237" s="4">
        <f t="shared" si="296"/>
      </c>
      <c r="AK237" s="4">
        <f t="shared" si="289"/>
      </c>
      <c r="AL237" s="4">
        <f t="shared" si="297"/>
      </c>
      <c r="AM237" s="4">
        <f t="shared" si="298"/>
      </c>
      <c r="AN237" s="4"/>
      <c r="AO237" s="4">
        <f t="shared" si="302"/>
      </c>
      <c r="AP237" s="4">
        <f t="shared" si="299"/>
      </c>
      <c r="AQ237" s="4">
        <f t="shared" si="303"/>
        <v/>
      </c>
      <c r="AR237" s="4">
        <f t="shared" si="300"/>
      </c>
      <c r="AS237" s="4">
        <f t="shared" si="301"/>
      </c>
      <c r="AT237" s="4">
        <f t="shared" si="308"/>
      </c>
    </row>
    <row r="238" spans="1:46" x14ac:dyDescent="0.3">
      <c r="A238" s="5">
        <f t="shared" si="281"/>
      </c>
      <c r="B238" s="4">
        <f t="shared" si="290"/>
      </c>
      <c r="C238" s="119"/>
      <c r="D238" s="119"/>
      <c r="E238" s="105"/>
      <c r="F238" s="173"/>
      <c r="G238" s="173"/>
      <c r="H238" s="173"/>
      <c r="I238" s="192"/>
      <c r="J238" s="105"/>
      <c r="K238" s="105"/>
      <c r="L238" s="105"/>
      <c r="M238" s="4">
        <f t="shared" si="291"/>
      </c>
      <c r="N238" s="100"/>
      <c r="O238" s="164"/>
      <c r="P238" s="59">
        <f t="shared" si="309"/>
      </c>
      <c r="Q238" s="171"/>
      <c r="R238" s="100"/>
      <c r="S238" s="164"/>
      <c r="T238" s="5">
        <f t="shared" si="292"/>
      </c>
      <c r="U238" s="4">
        <f t="shared" si="282"/>
      </c>
      <c r="V238" s="4">
        <f t="shared" si="283"/>
      </c>
      <c r="W238" s="4">
        <f t="shared" si="284"/>
      </c>
      <c r="X238" s="4">
        <f t="shared" si="285"/>
      </c>
      <c r="Y238" s="4" cm="1">
        <f t="array" ref="Y238">_xlfn.IFS(H238=1,2,H238=3,1)</f>
      </c>
      <c r="Z238" s="4">
        <f t="shared" si="286"/>
      </c>
      <c r="AA238" s="4">
        <f t="shared" si="293"/>
      </c>
      <c r="AB238" s="4">
        <f t="shared" si="287"/>
      </c>
      <c r="AC238" s="4">
        <f t="shared" si="294"/>
      </c>
      <c r="AD238" s="4">
        <f t="shared" si="288"/>
      </c>
      <c r="AE238" s="4">
        <f t="shared" si="304"/>
      </c>
      <c r="AF238" s="4">
        <f t="shared" si="305"/>
      </c>
      <c r="AG238" s="4">
        <f t="shared" si="306"/>
        <v/>
      </c>
      <c r="AH238" s="4">
        <f t="shared" si="295"/>
      </c>
      <c r="AI238" s="4">
        <f t="shared" si="307"/>
      </c>
      <c r="AJ238" s="4">
        <f t="shared" si="296"/>
      </c>
      <c r="AK238" s="4">
        <f t="shared" si="289"/>
      </c>
      <c r="AL238" s="4">
        <f t="shared" si="297"/>
      </c>
      <c r="AM238" s="4">
        <f t="shared" si="298"/>
      </c>
      <c r="AN238" s="4"/>
      <c r="AO238" s="4">
        <f t="shared" si="302"/>
      </c>
      <c r="AP238" s="4">
        <f t="shared" si="299"/>
      </c>
      <c r="AQ238" s="4">
        <f t="shared" si="303"/>
        <v/>
      </c>
      <c r="AR238" s="4">
        <f t="shared" si="300"/>
      </c>
      <c r="AS238" s="4">
        <f t="shared" si="301"/>
      </c>
      <c r="AT238" s="4">
        <f t="shared" si="308"/>
      </c>
    </row>
    <row r="239" spans="1:46" x14ac:dyDescent="0.3">
      <c r="A239" s="5">
        <f t="shared" si="281"/>
      </c>
      <c r="B239" s="4">
        <f t="shared" si="290"/>
      </c>
      <c r="C239" s="119"/>
      <c r="D239" s="119"/>
      <c r="E239" s="105"/>
      <c r="F239" s="173"/>
      <c r="G239" s="173"/>
      <c r="H239" s="173"/>
      <c r="I239" s="192"/>
      <c r="J239" s="105"/>
      <c r="K239" s="105"/>
      <c r="L239" s="105"/>
      <c r="M239" s="4">
        <f t="shared" si="291"/>
      </c>
      <c r="N239" s="100"/>
      <c r="O239" s="164"/>
      <c r="P239" s="59">
        <f t="shared" si="309"/>
      </c>
      <c r="Q239" s="171"/>
      <c r="R239" s="100"/>
      <c r="S239" s="164"/>
      <c r="T239" s="5">
        <f t="shared" si="292"/>
      </c>
      <c r="U239" s="4">
        <f t="shared" si="282"/>
      </c>
      <c r="V239" s="4">
        <f t="shared" si="283"/>
      </c>
      <c r="W239" s="4">
        <f t="shared" si="284"/>
      </c>
      <c r="X239" s="4">
        <f t="shared" si="285"/>
      </c>
      <c r="Y239" s="4" cm="1">
        <f t="array" ref="Y239">_xlfn.IFS(H239=1,2,H239=3,1)</f>
      </c>
      <c r="Z239" s="4">
        <f t="shared" si="286"/>
      </c>
      <c r="AA239" s="4">
        <f t="shared" si="293"/>
      </c>
      <c r="AB239" s="4">
        <f t="shared" si="287"/>
      </c>
      <c r="AC239" s="4">
        <f t="shared" si="294"/>
      </c>
      <c r="AD239" s="4">
        <f t="shared" si="288"/>
      </c>
      <c r="AE239" s="4">
        <f t="shared" si="304"/>
      </c>
      <c r="AF239" s="4">
        <f t="shared" si="305"/>
      </c>
      <c r="AG239" s="4">
        <f t="shared" si="306"/>
        <v/>
      </c>
      <c r="AH239" s="4">
        <f t="shared" si="295"/>
      </c>
      <c r="AI239" s="4">
        <f t="shared" si="307"/>
      </c>
      <c r="AJ239" s="4">
        <f t="shared" si="296"/>
      </c>
      <c r="AK239" s="4">
        <f t="shared" si="289"/>
      </c>
      <c r="AL239" s="4">
        <f t="shared" si="297"/>
      </c>
      <c r="AM239" s="4">
        <f t="shared" si="298"/>
      </c>
      <c r="AN239" s="4"/>
      <c r="AO239" s="4">
        <f t="shared" si="302"/>
      </c>
      <c r="AP239" s="4">
        <f t="shared" si="299"/>
      </c>
      <c r="AQ239" s="4">
        <f t="shared" si="303"/>
        <v/>
      </c>
      <c r="AR239" s="4">
        <f t="shared" si="300"/>
      </c>
      <c r="AS239" s="4">
        <f t="shared" si="301"/>
      </c>
      <c r="AT239" s="4">
        <f t="shared" si="308"/>
      </c>
    </row>
    <row r="240" spans="1:46" ht="15" thickBot="1" x14ac:dyDescent="0.35">
      <c r="A240" s="45">
        <f t="shared" si="281"/>
      </c>
      <c r="B240" s="44">
        <f t="shared" si="290"/>
      </c>
      <c r="C240" s="175"/>
      <c r="D240" s="175"/>
      <c r="E240" s="176"/>
      <c r="F240" s="178"/>
      <c r="G240" s="178"/>
      <c r="H240" s="178"/>
      <c r="I240" s="192"/>
      <c r="J240" s="176"/>
      <c r="K240" s="176"/>
      <c r="L240" s="176"/>
      <c r="M240" s="44">
        <f t="shared" si="291"/>
      </c>
      <c r="N240" s="64"/>
      <c r="O240" s="166"/>
      <c r="P240" s="64">
        <f t="shared" si="309"/>
      </c>
      <c r="Q240" s="170"/>
      <c r="R240" s="64"/>
      <c r="S240" s="166"/>
      <c r="T240" s="45">
        <f t="shared" si="292"/>
      </c>
      <c r="U240" s="44">
        <f t="shared" si="282"/>
      </c>
      <c r="V240" s="44">
        <f t="shared" si="283"/>
      </c>
      <c r="W240" s="44">
        <f t="shared" si="284"/>
      </c>
      <c r="X240" s="44">
        <f t="shared" si="285"/>
      </c>
      <c r="Y240" s="44" cm="1">
        <f t="array" ref="Y240">_xlfn.IFS(H240=1,2,H240=3,1)</f>
      </c>
      <c r="Z240" s="44">
        <f t="shared" si="286"/>
      </c>
      <c r="AA240" s="44">
        <f t="shared" si="293"/>
      </c>
      <c r="AB240" s="44">
        <f t="shared" si="287"/>
      </c>
      <c r="AC240" s="44">
        <f t="shared" si="294"/>
      </c>
      <c r="AD240" s="44">
        <f t="shared" si="288"/>
      </c>
      <c r="AE240" s="44">
        <f t="shared" si="304"/>
      </c>
      <c r="AF240" s="44">
        <f t="shared" si="305"/>
      </c>
      <c r="AG240" s="44">
        <f t="shared" si="306"/>
        <v/>
      </c>
      <c r="AH240" s="44">
        <f t="shared" si="295"/>
      </c>
      <c r="AI240" s="44">
        <f t="shared" si="307"/>
      </c>
      <c r="AJ240" s="44">
        <f t="shared" si="296"/>
      </c>
      <c r="AK240" s="44">
        <f t="shared" si="289"/>
      </c>
      <c r="AL240" s="44">
        <f t="shared" si="297"/>
      </c>
      <c r="AM240" s="44">
        <f t="shared" si="298"/>
      </c>
      <c r="AN240" s="44"/>
      <c r="AO240" s="44">
        <f t="shared" si="302"/>
      </c>
      <c r="AP240" s="44">
        <f t="shared" si="299"/>
      </c>
      <c r="AQ240" s="44">
        <f t="shared" si="303"/>
        <v/>
      </c>
      <c r="AR240" s="44">
        <f t="shared" si="300"/>
      </c>
      <c r="AS240" s="44">
        <f t="shared" si="301"/>
      </c>
      <c r="AT240" s="44">
        <f t="shared" si="308"/>
      </c>
    </row>
    <row r="241" spans="1:46" x14ac:dyDescent="0.3">
      <c r="A241" s="19">
        <f t="shared" si="281"/>
      </c>
      <c r="B241" s="7">
        <f t="shared" si="290"/>
      </c>
      <c r="C241" s="177"/>
      <c r="D241" s="177"/>
      <c r="E241" s="179"/>
      <c r="F241" s="182"/>
      <c r="G241" s="182"/>
      <c r="H241" s="182"/>
      <c r="I241" s="192"/>
      <c r="J241" s="179"/>
      <c r="K241" s="179"/>
      <c r="L241" s="179"/>
      <c r="M241" s="7">
        <f t="shared" si="291"/>
      </c>
      <c r="N241" s="65"/>
      <c r="O241" s="168"/>
      <c r="P241" s="65">
        <f t="shared" si="309"/>
      </c>
      <c r="Q241" s="118"/>
      <c r="R241" s="65"/>
      <c r="S241" s="168"/>
      <c r="T241" s="19">
        <f t="shared" si="292"/>
      </c>
      <c r="U241" s="7">
        <f t="shared" si="282"/>
      </c>
      <c r="V241" s="7">
        <f t="shared" si="283"/>
      </c>
      <c r="W241" s="7">
        <f t="shared" si="284"/>
      </c>
      <c r="X241" s="7">
        <f t="shared" si="285"/>
      </c>
      <c r="Y241" s="7" cm="1">
        <f t="array" ref="Y241">_xlfn.IFS(H241=1,2,H241=3,1)</f>
      </c>
      <c r="Z241" s="7">
        <f t="shared" si="286"/>
      </c>
      <c r="AA241" s="7">
        <f t="shared" si="293"/>
      </c>
      <c r="AB241" s="7">
        <f t="shared" si="287"/>
      </c>
      <c r="AC241" s="7">
        <f t="shared" si="294"/>
      </c>
      <c r="AD241" s="7">
        <f t="shared" si="288"/>
      </c>
      <c r="AE241" s="7">
        <f t="shared" si="304"/>
      </c>
      <c r="AF241" s="7">
        <f t="shared" si="305"/>
      </c>
      <c r="AG241" s="7">
        <f t="shared" si="306"/>
        <v/>
      </c>
      <c r="AH241" s="7">
        <f t="shared" si="295"/>
      </c>
      <c r="AI241" s="7">
        <f t="shared" si="307"/>
      </c>
      <c r="AJ241" s="7">
        <f t="shared" si="296"/>
      </c>
      <c r="AK241" s="7">
        <f t="shared" si="289"/>
      </c>
      <c r="AL241" s="7">
        <f t="shared" si="297"/>
      </c>
      <c r="AM241" s="7">
        <f t="shared" si="298"/>
      </c>
      <c r="AN241" s="7"/>
      <c r="AO241" s="7">
        <f t="shared" si="302"/>
      </c>
      <c r="AP241" s="7">
        <f t="shared" si="299"/>
      </c>
      <c r="AQ241" s="7">
        <f t="shared" si="303"/>
        <v/>
      </c>
      <c r="AR241" s="7">
        <f t="shared" si="300"/>
      </c>
      <c r="AS241" s="7">
        <f t="shared" si="301"/>
      </c>
      <c r="AT241" s="7">
        <f t="shared" si="308"/>
      </c>
    </row>
    <row r="242" spans="1:46" x14ac:dyDescent="0.3">
      <c r="A242" s="5">
        <f t="shared" si="281"/>
      </c>
      <c r="B242" s="4">
        <f t="shared" si="290"/>
      </c>
      <c r="C242" s="119"/>
      <c r="D242" s="119"/>
      <c r="E242" s="105"/>
      <c r="F242" s="173"/>
      <c r="G242" s="173"/>
      <c r="H242" s="173"/>
      <c r="I242" s="192"/>
      <c r="J242" s="105"/>
      <c r="K242" s="105"/>
      <c r="L242" s="105"/>
      <c r="M242" s="4">
        <f t="shared" si="291"/>
      </c>
      <c r="N242" s="100"/>
      <c r="O242" s="164"/>
      <c r="P242" s="59">
        <f t="shared" si="309"/>
      </c>
      <c r="Q242" s="171"/>
      <c r="R242" s="100"/>
      <c r="S242" s="164"/>
      <c r="T242" s="5">
        <f t="shared" si="292"/>
      </c>
      <c r="U242" s="4">
        <f t="shared" si="282"/>
      </c>
      <c r="V242" s="4">
        <f t="shared" si="283"/>
      </c>
      <c r="W242" s="4">
        <f t="shared" si="284"/>
      </c>
      <c r="X242" s="4">
        <f t="shared" si="285"/>
      </c>
      <c r="Y242" s="4" cm="1">
        <f t="array" ref="Y242">_xlfn.IFS(H242=1,2,H242=3,1)</f>
      </c>
      <c r="Z242" s="4">
        <f t="shared" si="286"/>
      </c>
      <c r="AA242" s="4">
        <f t="shared" si="293"/>
      </c>
      <c r="AB242" s="4">
        <f t="shared" si="287"/>
      </c>
      <c r="AC242" s="4">
        <f t="shared" si="294"/>
      </c>
      <c r="AD242" s="4">
        <f t="shared" si="288"/>
      </c>
      <c r="AE242" s="4">
        <f t="shared" si="304"/>
      </c>
      <c r="AF242" s="4">
        <f t="shared" si="305"/>
      </c>
      <c r="AG242" s="4">
        <f t="shared" si="306"/>
        <v/>
      </c>
      <c r="AH242" s="4">
        <f t="shared" si="295"/>
      </c>
      <c r="AI242" s="4">
        <f t="shared" si="307"/>
      </c>
      <c r="AJ242" s="4">
        <f t="shared" si="296"/>
      </c>
      <c r="AK242" s="4">
        <f t="shared" si="289"/>
      </c>
      <c r="AL242" s="4">
        <f t="shared" si="297"/>
      </c>
      <c r="AM242" s="4">
        <f t="shared" si="298"/>
      </c>
      <c r="AN242" s="4"/>
      <c r="AO242" s="4">
        <f t="shared" si="302"/>
      </c>
      <c r="AP242" s="4">
        <f t="shared" si="299"/>
      </c>
      <c r="AQ242" s="4">
        <f t="shared" si="303"/>
        <v/>
      </c>
      <c r="AR242" s="4">
        <f t="shared" si="300"/>
      </c>
      <c r="AS242" s="4">
        <f t="shared" si="301"/>
      </c>
      <c r="AT242" s="4">
        <f t="shared" si="308"/>
      </c>
    </row>
    <row r="243" spans="1:46" x14ac:dyDescent="0.3">
      <c r="A243" s="5">
        <f t="shared" si="281"/>
      </c>
      <c r="B243" s="4">
        <f t="shared" si="290"/>
      </c>
      <c r="C243" s="119"/>
      <c r="D243" s="119"/>
      <c r="E243" s="105"/>
      <c r="F243" s="173"/>
      <c r="G243" s="173"/>
      <c r="H243" s="173"/>
      <c r="I243" s="192"/>
      <c r="J243" s="105"/>
      <c r="K243" s="105"/>
      <c r="L243" s="105"/>
      <c r="M243" s="4">
        <f t="shared" si="291"/>
      </c>
      <c r="N243" s="100"/>
      <c r="O243" s="164"/>
      <c r="P243" s="59">
        <f t="shared" si="309"/>
      </c>
      <c r="Q243" s="171"/>
      <c r="R243" s="100"/>
      <c r="S243" s="164"/>
      <c r="T243" s="5">
        <f t="shared" si="292"/>
      </c>
      <c r="U243" s="4">
        <f t="shared" si="282"/>
      </c>
      <c r="V243" s="4">
        <f t="shared" si="283"/>
      </c>
      <c r="W243" s="4">
        <f t="shared" si="284"/>
      </c>
      <c r="X243" s="4">
        <f t="shared" si="285"/>
      </c>
      <c r="Y243" s="4" cm="1">
        <f t="array" ref="Y243">_xlfn.IFS(H243=1,2,H243=3,1)</f>
      </c>
      <c r="Z243" s="4">
        <f t="shared" si="286"/>
      </c>
      <c r="AA243" s="4">
        <f t="shared" si="293"/>
      </c>
      <c r="AB243" s="4">
        <f t="shared" si="287"/>
      </c>
      <c r="AC243" s="4">
        <f t="shared" si="294"/>
      </c>
      <c r="AD243" s="4">
        <f t="shared" si="288"/>
      </c>
      <c r="AE243" s="4">
        <f t="shared" si="304"/>
      </c>
      <c r="AF243" s="4">
        <f t="shared" si="305"/>
      </c>
      <c r="AG243" s="4">
        <f t="shared" si="306"/>
        <v/>
      </c>
      <c r="AH243" s="4">
        <f t="shared" si="295"/>
      </c>
      <c r="AI243" s="4">
        <f t="shared" si="307"/>
      </c>
      <c r="AJ243" s="4">
        <f t="shared" si="296"/>
      </c>
      <c r="AK243" s="4">
        <f t="shared" si="289"/>
      </c>
      <c r="AL243" s="4">
        <f t="shared" si="297"/>
      </c>
      <c r="AM243" s="4">
        <f t="shared" si="298"/>
      </c>
      <c r="AN243" s="4"/>
      <c r="AO243" s="4">
        <f t="shared" si="302"/>
      </c>
      <c r="AP243" s="4">
        <f t="shared" si="299"/>
      </c>
      <c r="AQ243" s="4">
        <f t="shared" si="303"/>
        <v/>
      </c>
      <c r="AR243" s="4">
        <f t="shared" si="300"/>
      </c>
      <c r="AS243" s="4">
        <f t="shared" si="301"/>
      </c>
      <c r="AT243" s="4">
        <f t="shared" si="308"/>
      </c>
    </row>
    <row r="244" spans="1:46" x14ac:dyDescent="0.3">
      <c r="A244" s="5">
        <f t="shared" si="281"/>
      </c>
      <c r="B244" s="4">
        <f t="shared" si="290"/>
      </c>
      <c r="C244" s="119"/>
      <c r="D244" s="119"/>
      <c r="E244" s="105"/>
      <c r="F244" s="173"/>
      <c r="G244" s="173"/>
      <c r="H244" s="173"/>
      <c r="I244" s="192"/>
      <c r="J244" s="105"/>
      <c r="K244" s="105"/>
      <c r="L244" s="105"/>
      <c r="M244" s="4">
        <f t="shared" si="291"/>
      </c>
      <c r="N244" s="100"/>
      <c r="O244" s="164"/>
      <c r="P244" s="59">
        <f t="shared" si="309"/>
      </c>
      <c r="Q244" s="171"/>
      <c r="R244" s="100"/>
      <c r="S244" s="164"/>
      <c r="T244" s="5">
        <f t="shared" si="292"/>
      </c>
      <c r="U244" s="4">
        <f t="shared" si="282"/>
      </c>
      <c r="V244" s="4">
        <f t="shared" si="283"/>
      </c>
      <c r="W244" s="4">
        <f t="shared" si="284"/>
      </c>
      <c r="X244" s="4">
        <f t="shared" si="285"/>
      </c>
      <c r="Y244" s="4" cm="1">
        <f t="array" ref="Y244">_xlfn.IFS(H244=1,2,H244=3,1)</f>
      </c>
      <c r="Z244" s="4">
        <f t="shared" si="286"/>
      </c>
      <c r="AA244" s="4">
        <f t="shared" si="293"/>
      </c>
      <c r="AB244" s="4">
        <f t="shared" si="287"/>
      </c>
      <c r="AC244" s="4">
        <f t="shared" si="294"/>
      </c>
      <c r="AD244" s="4">
        <f t="shared" si="288"/>
      </c>
      <c r="AE244" s="4">
        <f t="shared" si="304"/>
      </c>
      <c r="AF244" s="4">
        <f t="shared" si="305"/>
      </c>
      <c r="AG244" s="4">
        <f t="shared" si="306"/>
        <v/>
      </c>
      <c r="AH244" s="4">
        <f t="shared" si="295"/>
      </c>
      <c r="AI244" s="4">
        <f t="shared" si="307"/>
      </c>
      <c r="AJ244" s="4">
        <f t="shared" si="296"/>
      </c>
      <c r="AK244" s="4">
        <f t="shared" si="289"/>
      </c>
      <c r="AL244" s="4">
        <f t="shared" si="297"/>
      </c>
      <c r="AM244" s="4">
        <f t="shared" si="298"/>
      </c>
      <c r="AN244" s="4"/>
      <c r="AO244" s="4">
        <f t="shared" si="302"/>
      </c>
      <c r="AP244" s="4">
        <f t="shared" si="299"/>
      </c>
      <c r="AQ244" s="4">
        <f t="shared" si="303"/>
        <v/>
      </c>
      <c r="AR244" s="4">
        <f t="shared" si="300"/>
      </c>
      <c r="AS244" s="4">
        <f t="shared" si="301"/>
      </c>
      <c r="AT244" s="4">
        <f t="shared" si="308"/>
      </c>
    </row>
    <row r="245" spans="1:46" x14ac:dyDescent="0.3">
      <c r="A245" s="5">
        <f t="shared" si="281"/>
      </c>
      <c r="B245" s="4">
        <f t="shared" si="290"/>
      </c>
      <c r="C245" s="119"/>
      <c r="D245" s="119"/>
      <c r="E245" s="105"/>
      <c r="F245" s="173"/>
      <c r="G245" s="173"/>
      <c r="H245" s="173"/>
      <c r="I245" s="192"/>
      <c r="J245" s="105"/>
      <c r="K245" s="105"/>
      <c r="L245" s="105"/>
      <c r="M245" s="4">
        <f t="shared" si="291"/>
      </c>
      <c r="N245" s="100"/>
      <c r="O245" s="164"/>
      <c r="P245" s="59">
        <f t="shared" si="309"/>
      </c>
      <c r="Q245" s="171"/>
      <c r="R245" s="100"/>
      <c r="S245" s="164"/>
      <c r="T245" s="5">
        <f t="shared" si="292"/>
      </c>
      <c r="U245" s="4">
        <f t="shared" si="282"/>
      </c>
      <c r="V245" s="4">
        <f t="shared" si="283"/>
      </c>
      <c r="W245" s="4">
        <f t="shared" si="284"/>
      </c>
      <c r="X245" s="4">
        <f t="shared" si="285"/>
      </c>
      <c r="Y245" s="4" cm="1">
        <f t="array" ref="Y245">_xlfn.IFS(H245=1,2,H245=3,1)</f>
      </c>
      <c r="Z245" s="4">
        <f t="shared" si="286"/>
      </c>
      <c r="AA245" s="4">
        <f t="shared" si="293"/>
      </c>
      <c r="AB245" s="4">
        <f t="shared" si="287"/>
      </c>
      <c r="AC245" s="4">
        <f t="shared" si="294"/>
      </c>
      <c r="AD245" s="4">
        <f t="shared" si="288"/>
      </c>
      <c r="AE245" s="4">
        <f t="shared" si="304"/>
      </c>
      <c r="AF245" s="4">
        <f t="shared" si="305"/>
      </c>
      <c r="AG245" s="4">
        <f t="shared" si="306"/>
        <v/>
      </c>
      <c r="AH245" s="4">
        <f t="shared" si="295"/>
      </c>
      <c r="AI245" s="4">
        <f t="shared" si="307"/>
      </c>
      <c r="AJ245" s="4">
        <f t="shared" si="296"/>
      </c>
      <c r="AK245" s="4">
        <f t="shared" si="289"/>
      </c>
      <c r="AL245" s="4">
        <f t="shared" si="297"/>
      </c>
      <c r="AM245" s="4">
        <f t="shared" si="298"/>
      </c>
      <c r="AN245" s="4"/>
      <c r="AO245" s="4">
        <f t="shared" si="302"/>
      </c>
      <c r="AP245" s="4">
        <f t="shared" si="299"/>
      </c>
      <c r="AQ245" s="4">
        <f t="shared" si="303"/>
        <v/>
      </c>
      <c r="AR245" s="4">
        <f t="shared" si="300"/>
      </c>
      <c r="AS245" s="4">
        <f t="shared" si="301"/>
      </c>
      <c r="AT245" s="4">
        <f t="shared" si="308"/>
      </c>
    </row>
    <row r="246" spans="1:46" x14ac:dyDescent="0.3">
      <c r="A246" s="5">
        <f t="shared" si="281"/>
      </c>
      <c r="B246" s="4">
        <f t="shared" si="290"/>
      </c>
      <c r="C246" s="119"/>
      <c r="D246" s="119"/>
      <c r="E246" s="105"/>
      <c r="F246" s="173"/>
      <c r="G246" s="173"/>
      <c r="H246" s="173"/>
      <c r="I246" s="192"/>
      <c r="J246" s="105"/>
      <c r="K246" s="105"/>
      <c r="L246" s="105"/>
      <c r="M246" s="4">
        <f t="shared" si="291"/>
      </c>
      <c r="N246" s="100"/>
      <c r="O246" s="164"/>
      <c r="P246" s="59">
        <f t="shared" si="309"/>
      </c>
      <c r="Q246" s="171"/>
      <c r="R246" s="100"/>
      <c r="S246" s="164"/>
      <c r="T246" s="5">
        <f t="shared" si="292"/>
      </c>
      <c r="U246" s="4">
        <f t="shared" si="282"/>
      </c>
      <c r="V246" s="4">
        <f t="shared" si="283"/>
      </c>
      <c r="W246" s="4">
        <f t="shared" si="284"/>
      </c>
      <c r="X246" s="4">
        <f t="shared" si="285"/>
      </c>
      <c r="Y246" s="4" cm="1">
        <f t="array" ref="Y246">_xlfn.IFS(H246=1,2,H246=3,1)</f>
      </c>
      <c r="Z246" s="4">
        <f t="shared" si="286"/>
      </c>
      <c r="AA246" s="4">
        <f t="shared" si="293"/>
      </c>
      <c r="AB246" s="4">
        <f t="shared" si="287"/>
      </c>
      <c r="AC246" s="4">
        <f t="shared" si="294"/>
      </c>
      <c r="AD246" s="4">
        <f t="shared" si="288"/>
      </c>
      <c r="AE246" s="4">
        <f t="shared" si="304"/>
      </c>
      <c r="AF246" s="4">
        <f t="shared" si="305"/>
      </c>
      <c r="AG246" s="4">
        <f t="shared" si="306"/>
        <v/>
      </c>
      <c r="AH246" s="4">
        <f t="shared" si="295"/>
      </c>
      <c r="AI246" s="4">
        <f t="shared" si="307"/>
      </c>
      <c r="AJ246" s="4">
        <f t="shared" si="296"/>
      </c>
      <c r="AK246" s="4">
        <f t="shared" si="289"/>
      </c>
      <c r="AL246" s="4">
        <f t="shared" si="297"/>
      </c>
      <c r="AM246" s="4">
        <f t="shared" si="298"/>
      </c>
      <c r="AN246" s="4"/>
      <c r="AO246" s="4">
        <f t="shared" si="302"/>
      </c>
      <c r="AP246" s="4">
        <f t="shared" si="299"/>
      </c>
      <c r="AQ246" s="4">
        <f t="shared" si="303"/>
        <v/>
      </c>
      <c r="AR246" s="4">
        <f t="shared" si="300"/>
      </c>
      <c r="AS246" s="4">
        <f t="shared" si="301"/>
      </c>
      <c r="AT246" s="4">
        <f t="shared" si="308"/>
      </c>
    </row>
    <row r="247" spans="1:46" x14ac:dyDescent="0.3">
      <c r="A247" s="5">
        <f t="shared" si="281"/>
      </c>
      <c r="B247" s="4">
        <f t="shared" si="290"/>
      </c>
      <c r="C247" s="119"/>
      <c r="D247" s="119"/>
      <c r="E247" s="105"/>
      <c r="F247" s="173"/>
      <c r="G247" s="173"/>
      <c r="H247" s="173"/>
      <c r="I247" s="192"/>
      <c r="J247" s="105"/>
      <c r="K247" s="105"/>
      <c r="L247" s="105"/>
      <c r="M247" s="4">
        <f t="shared" si="291"/>
      </c>
      <c r="N247" s="100"/>
      <c r="O247" s="164"/>
      <c r="P247" s="59">
        <f t="shared" si="309"/>
      </c>
      <c r="Q247" s="165"/>
      <c r="R247" s="59"/>
      <c r="S247" s="164"/>
      <c r="T247" s="5">
        <f t="shared" si="292"/>
      </c>
      <c r="U247" s="4">
        <f t="shared" si="282"/>
      </c>
      <c r="V247" s="4">
        <f t="shared" si="283"/>
      </c>
      <c r="W247" s="4">
        <f t="shared" si="284"/>
      </c>
      <c r="X247" s="4">
        <f t="shared" si="285"/>
      </c>
      <c r="Y247" s="4" cm="1">
        <f t="array" ref="Y247">_xlfn.IFS(H247=1,2,H247=3,1)</f>
      </c>
      <c r="Z247" s="4">
        <f t="shared" si="286"/>
      </c>
      <c r="AA247" s="4">
        <f t="shared" si="293"/>
      </c>
      <c r="AB247" s="4">
        <f t="shared" si="287"/>
      </c>
      <c r="AC247" s="4">
        <f t="shared" si="294"/>
      </c>
      <c r="AD247" s="4">
        <f t="shared" si="288"/>
      </c>
      <c r="AE247" s="4">
        <f t="shared" si="304"/>
      </c>
      <c r="AF247" s="4">
        <f t="shared" si="305"/>
      </c>
      <c r="AG247" s="4">
        <f t="shared" si="306"/>
        <v/>
      </c>
      <c r="AH247" s="4">
        <f t="shared" si="295"/>
      </c>
      <c r="AI247" s="4">
        <f t="shared" si="307"/>
      </c>
      <c r="AJ247" s="4">
        <f t="shared" si="296"/>
      </c>
      <c r="AK247" s="4">
        <f t="shared" si="289"/>
      </c>
      <c r="AL247" s="4">
        <f t="shared" si="297"/>
      </c>
      <c r="AM247" s="4">
        <f t="shared" si="298"/>
      </c>
      <c r="AN247" s="4"/>
      <c r="AO247" s="4">
        <f t="shared" si="302"/>
      </c>
      <c r="AP247" s="4">
        <f t="shared" si="299"/>
      </c>
      <c r="AQ247" s="4">
        <f t="shared" si="303"/>
        <v/>
      </c>
      <c r="AR247" s="4">
        <f t="shared" si="300"/>
      </c>
      <c r="AS247" s="4">
        <f t="shared" si="301"/>
      </c>
      <c r="AT247" s="4">
        <f t="shared" si="308"/>
      </c>
    </row>
    <row r="248" spans="1:46" x14ac:dyDescent="0.3">
      <c r="A248" s="5">
        <f t="shared" si="281"/>
      </c>
      <c r="B248" s="4">
        <f t="shared" si="290"/>
      </c>
      <c r="C248" s="119"/>
      <c r="D248" s="119"/>
      <c r="E248" s="105"/>
      <c r="F248" s="173"/>
      <c r="G248" s="173"/>
      <c r="H248" s="173"/>
      <c r="I248" s="192"/>
      <c r="J248" s="105"/>
      <c r="K248" s="105"/>
      <c r="L248" s="105"/>
      <c r="M248" s="4">
        <f t="shared" si="291"/>
      </c>
      <c r="N248" s="59"/>
      <c r="O248" s="164"/>
      <c r="P248" s="59">
        <f t="shared" si="309"/>
      </c>
      <c r="Q248" s="171"/>
      <c r="R248" s="100"/>
      <c r="S248" s="164"/>
      <c r="T248" s="5">
        <f t="shared" si="292"/>
      </c>
      <c r="U248" s="4">
        <f t="shared" si="282"/>
      </c>
      <c r="V248" s="4">
        <f t="shared" si="283"/>
      </c>
      <c r="W248" s="4">
        <f t="shared" si="284"/>
      </c>
      <c r="X248" s="4">
        <f t="shared" si="285"/>
      </c>
      <c r="Y248" s="4" cm="1">
        <f t="array" ref="Y248">_xlfn.IFS(H248=1,2,H248=3,1)</f>
      </c>
      <c r="Z248" s="4">
        <f t="shared" si="286"/>
      </c>
      <c r="AA248" s="4">
        <f t="shared" si="293"/>
      </c>
      <c r="AB248" s="4">
        <f t="shared" si="287"/>
      </c>
      <c r="AC248" s="4">
        <f t="shared" si="294"/>
      </c>
      <c r="AD248" s="4">
        <f t="shared" si="288"/>
      </c>
      <c r="AE248" s="4">
        <f t="shared" si="304"/>
      </c>
      <c r="AF248" s="4">
        <f t="shared" si="305"/>
      </c>
      <c r="AG248" s="4">
        <f t="shared" si="306"/>
        <v/>
      </c>
      <c r="AH248" s="4">
        <f t="shared" si="295"/>
      </c>
      <c r="AI248" s="4">
        <f t="shared" si="307"/>
      </c>
      <c r="AJ248" s="4">
        <f t="shared" si="296"/>
      </c>
      <c r="AK248" s="4">
        <f t="shared" si="289"/>
      </c>
      <c r="AL248" s="4">
        <f t="shared" si="297"/>
      </c>
      <c r="AM248" s="4">
        <f t="shared" si="298"/>
      </c>
      <c r="AN248" s="4"/>
      <c r="AO248" s="4">
        <f t="shared" si="302"/>
      </c>
      <c r="AP248" s="4">
        <f t="shared" si="299"/>
      </c>
      <c r="AQ248" s="4">
        <f t="shared" si="303"/>
        <v/>
      </c>
      <c r="AR248" s="4">
        <f t="shared" si="300"/>
      </c>
      <c r="AS248" s="4">
        <f t="shared" si="301"/>
      </c>
      <c r="AT248" s="4">
        <f t="shared" si="308"/>
      </c>
    </row>
    <row r="249" spans="1:46" x14ac:dyDescent="0.3">
      <c r="A249" s="5">
        <f t="shared" si="281"/>
      </c>
      <c r="B249" s="4">
        <f t="shared" si="290"/>
      </c>
      <c r="C249" s="119"/>
      <c r="D249" s="119"/>
      <c r="E249" s="105"/>
      <c r="F249" s="173"/>
      <c r="G249" s="173"/>
      <c r="H249" s="173"/>
      <c r="I249" s="192"/>
      <c r="J249" s="105"/>
      <c r="K249" s="105"/>
      <c r="L249" s="105"/>
      <c r="M249" s="4">
        <f t="shared" si="291"/>
      </c>
      <c r="N249" s="59"/>
      <c r="O249" s="164"/>
      <c r="P249" s="59">
        <f t="shared" si="309"/>
      </c>
      <c r="Q249" s="165"/>
      <c r="R249" s="59"/>
      <c r="S249" s="164"/>
      <c r="T249" s="5">
        <f t="shared" si="292"/>
      </c>
      <c r="U249" s="4">
        <f t="shared" si="282"/>
      </c>
      <c r="V249" s="4">
        <f t="shared" si="283"/>
      </c>
      <c r="W249" s="4">
        <f t="shared" si="284"/>
      </c>
      <c r="X249" s="4">
        <f t="shared" si="285"/>
      </c>
      <c r="Y249" s="4" cm="1">
        <f t="array" ref="Y249">_xlfn.IFS(H249=1,2,H249=3,1)</f>
      </c>
      <c r="Z249" s="4">
        <f t="shared" si="286"/>
      </c>
      <c r="AA249" s="4">
        <f t="shared" si="293"/>
      </c>
      <c r="AB249" s="4">
        <f t="shared" si="287"/>
      </c>
      <c r="AC249" s="4">
        <f t="shared" si="294"/>
      </c>
      <c r="AD249" s="4">
        <f t="shared" si="288"/>
      </c>
      <c r="AE249" s="4">
        <f t="shared" si="304"/>
      </c>
      <c r="AF249" s="4">
        <f t="shared" si="305"/>
      </c>
      <c r="AG249" s="4">
        <f t="shared" si="306"/>
        <v/>
      </c>
      <c r="AH249" s="4">
        <f t="shared" si="295"/>
      </c>
      <c r="AI249" s="4">
        <f t="shared" si="307"/>
      </c>
      <c r="AJ249" s="4">
        <f t="shared" si="296"/>
      </c>
      <c r="AK249" s="4">
        <f t="shared" si="289"/>
      </c>
      <c r="AL249" s="4">
        <f t="shared" si="297"/>
      </c>
      <c r="AM249" s="4">
        <f t="shared" si="298"/>
      </c>
      <c r="AN249" s="4"/>
      <c r="AO249" s="4">
        <f t="shared" si="302"/>
      </c>
      <c r="AP249" s="4">
        <f t="shared" si="299"/>
      </c>
      <c r="AQ249" s="4">
        <f t="shared" si="303"/>
        <v/>
      </c>
      <c r="AR249" s="4">
        <f t="shared" si="300"/>
      </c>
      <c r="AS249" s="4">
        <f t="shared" si="301"/>
      </c>
      <c r="AT249" s="4">
        <f t="shared" si="308"/>
      </c>
    </row>
    <row r="250" spans="1:46" x14ac:dyDescent="0.3">
      <c r="A250" s="5">
        <f t="shared" si="281"/>
      </c>
      <c r="B250" s="4">
        <f t="shared" si="290"/>
      </c>
      <c r="C250" s="119"/>
      <c r="D250" s="119"/>
      <c r="E250" s="105"/>
      <c r="F250" s="173"/>
      <c r="G250" s="173"/>
      <c r="H250" s="173"/>
      <c r="I250" s="192"/>
      <c r="J250" s="105"/>
      <c r="K250" s="105"/>
      <c r="L250" s="105"/>
      <c r="M250" s="4">
        <f t="shared" si="291"/>
      </c>
      <c r="N250" s="100"/>
      <c r="O250" s="164"/>
      <c r="P250" s="59">
        <f t="shared" si="309"/>
      </c>
      <c r="Q250" s="165"/>
      <c r="R250" s="100"/>
      <c r="S250" s="164"/>
      <c r="T250" s="5">
        <f t="shared" si="292"/>
      </c>
      <c r="U250" s="4">
        <f t="shared" si="282"/>
      </c>
      <c r="V250" s="4">
        <f t="shared" si="283"/>
      </c>
      <c r="W250" s="4">
        <f t="shared" si="284"/>
      </c>
      <c r="X250" s="4">
        <f t="shared" si="285"/>
      </c>
      <c r="Y250" s="4" cm="1">
        <f t="array" ref="Y250">_xlfn.IFS(H250=1,2,H250=3,1)</f>
      </c>
      <c r="Z250" s="4">
        <f t="shared" si="286"/>
      </c>
      <c r="AA250" s="4">
        <f t="shared" si="293"/>
      </c>
      <c r="AB250" s="4">
        <f t="shared" si="287"/>
      </c>
      <c r="AC250" s="4">
        <f>_xlfn.IFS(H250=3,380,H250=1,220)</f>
      </c>
      <c r="AD250" s="4">
        <f t="shared" si="288"/>
      </c>
      <c r="AE250" s="4">
        <f t="shared" si="304"/>
      </c>
      <c r="AF250" s="4">
        <f t="shared" si="305"/>
      </c>
      <c r="AG250" s="4">
        <f t="shared" si="306"/>
        <v/>
      </c>
      <c r="AH250" s="4">
        <f t="shared" si="295"/>
      </c>
      <c r="AI250" s="4">
        <f t="shared" si="307"/>
      </c>
      <c r="AJ250" s="4">
        <f t="shared" si="296"/>
      </c>
      <c r="AK250" s="4">
        <f t="shared" si="289"/>
      </c>
      <c r="AL250" s="4">
        <f t="shared" si="297"/>
      </c>
      <c r="AM250" s="4">
        <f t="shared" si="298"/>
      </c>
      <c r="AN250" s="4"/>
      <c r="AO250" s="4">
        <f t="shared" si="302"/>
      </c>
      <c r="AP250" s="4">
        <f t="shared" si="299"/>
      </c>
      <c r="AQ250" s="4">
        <f t="shared" si="303"/>
        <v/>
      </c>
      <c r="AR250" s="4">
        <f t="shared" si="300"/>
      </c>
      <c r="AS250" s="4">
        <f t="shared" si="301"/>
      </c>
      <c r="AT250" s="4">
        <f t="shared" si="308"/>
      </c>
    </row>
    <row r="251" spans="1:46" x14ac:dyDescent="0.3">
      <c r="A251" s="5">
        <f t="shared" si="281"/>
      </c>
      <c r="B251" s="4">
        <f t="shared" si="290"/>
      </c>
      <c r="C251" s="119"/>
      <c r="D251" s="119"/>
      <c r="E251" s="105"/>
      <c r="F251" s="173"/>
      <c r="G251" s="173"/>
      <c r="H251" s="173"/>
      <c r="I251" s="192"/>
      <c r="J251" s="105"/>
      <c r="K251" s="105"/>
      <c r="L251" s="105"/>
      <c r="M251" s="4">
        <f t="shared" si="291"/>
      </c>
      <c r="N251" s="100"/>
      <c r="O251" s="164"/>
      <c r="P251" s="59">
        <f t="shared" si="309"/>
      </c>
      <c r="Q251" s="165"/>
      <c r="R251" s="100"/>
      <c r="S251" s="164"/>
      <c r="T251" s="5">
        <f t="shared" si="292"/>
      </c>
      <c r="U251" s="4">
        <f t="shared" si="282"/>
      </c>
      <c r="V251" s="4">
        <f t="shared" si="283"/>
      </c>
      <c r="W251" s="4">
        <f t="shared" si="284"/>
      </c>
      <c r="X251" s="4">
        <f t="shared" si="285"/>
      </c>
      <c r="Y251" s="4" cm="1">
        <f t="array" ref="Y251">_xlfn.IFS(H251=1,2,H251=3,1)</f>
      </c>
      <c r="Z251" s="4">
        <f t="shared" si="286"/>
      </c>
      <c r="AA251" s="4">
        <f t="shared" si="293"/>
      </c>
      <c r="AB251" s="4">
        <f t="shared" si="287"/>
      </c>
      <c r="AC251" s="4">
        <f t="shared" si="294"/>
      </c>
      <c r="AD251" s="4">
        <f t="shared" si="288"/>
      </c>
      <c r="AE251" s="4">
        <f t="shared" si="304"/>
      </c>
      <c r="AF251" s="4">
        <f t="shared" si="305"/>
      </c>
      <c r="AG251" s="4">
        <f t="shared" si="306"/>
        <v/>
      </c>
      <c r="AH251" s="4">
        <f t="shared" si="295"/>
      </c>
      <c r="AI251" s="4">
        <f t="shared" si="307"/>
      </c>
      <c r="AJ251" s="4">
        <f t="shared" si="296"/>
      </c>
      <c r="AK251" s="4">
        <f t="shared" si="289"/>
      </c>
      <c r="AL251" s="4">
        <f t="shared" si="297"/>
      </c>
      <c r="AM251" s="4">
        <f t="shared" si="298"/>
      </c>
      <c r="AN251" s="4"/>
      <c r="AO251" s="4">
        <f t="shared" si="302"/>
      </c>
      <c r="AP251" s="4">
        <f t="shared" si="299"/>
      </c>
      <c r="AQ251" s="4">
        <f t="shared" si="303"/>
        <v/>
      </c>
      <c r="AR251" s="4">
        <f t="shared" si="300"/>
      </c>
      <c r="AS251" s="4">
        <f t="shared" si="301"/>
      </c>
      <c r="AT251" s="4">
        <f t="shared" si="308"/>
      </c>
    </row>
    <row r="252" spans="1:46" x14ac:dyDescent="0.3">
      <c r="A252" s="5">
        <f t="shared" si="281"/>
      </c>
      <c r="B252" s="4">
        <f t="shared" si="290"/>
      </c>
      <c r="C252" s="119"/>
      <c r="D252" s="119"/>
      <c r="E252" s="105"/>
      <c r="F252" s="173"/>
      <c r="G252" s="173"/>
      <c r="H252" s="173"/>
      <c r="I252" s="192"/>
      <c r="J252" s="105"/>
      <c r="K252" s="105"/>
      <c r="L252" s="105"/>
      <c r="M252" s="4">
        <f t="shared" si="291"/>
      </c>
      <c r="N252" s="100"/>
      <c r="O252" s="164"/>
      <c r="P252" s="59">
        <f t="shared" si="309"/>
      </c>
      <c r="Q252" s="165"/>
      <c r="R252" s="100"/>
      <c r="S252" s="164"/>
      <c r="T252" s="5">
        <f t="shared" si="292"/>
      </c>
      <c r="U252" s="4">
        <f t="shared" si="282"/>
      </c>
      <c r="V252" s="4">
        <f t="shared" si="283"/>
      </c>
      <c r="W252" s="4">
        <f t="shared" si="284"/>
      </c>
      <c r="X252" s="4">
        <f t="shared" si="285"/>
      </c>
      <c r="Y252" s="4" cm="1">
        <f t="array" ref="Y252">_xlfn.IFS(H252=1,2,H252=3,1)</f>
      </c>
      <c r="Z252" s="4">
        <f t="shared" si="286"/>
      </c>
      <c r="AA252" s="4">
        <f t="shared" si="293"/>
      </c>
      <c r="AB252" s="4">
        <f t="shared" si="287"/>
      </c>
      <c r="AC252" s="4">
        <f t="shared" si="294"/>
      </c>
      <c r="AD252" s="4">
        <f t="shared" si="288"/>
      </c>
      <c r="AE252" s="4">
        <f t="shared" si="304"/>
      </c>
      <c r="AF252" s="4">
        <f t="shared" si="305"/>
      </c>
      <c r="AG252" s="4">
        <f t="shared" si="306"/>
        <v/>
      </c>
      <c r="AH252" s="4">
        <f t="shared" si="295"/>
      </c>
      <c r="AI252" s="4">
        <f t="shared" si="307"/>
      </c>
      <c r="AJ252" s="4">
        <f t="shared" si="296"/>
      </c>
      <c r="AK252" s="4">
        <f t="shared" si="289"/>
      </c>
      <c r="AL252" s="4">
        <f t="shared" si="297"/>
      </c>
      <c r="AM252" s="4">
        <f t="shared" si="298"/>
      </c>
      <c r="AN252" s="4"/>
      <c r="AO252" s="4">
        <f t="shared" si="302"/>
      </c>
      <c r="AP252" s="4">
        <f t="shared" si="299"/>
      </c>
      <c r="AQ252" s="4">
        <f t="shared" si="303"/>
        <v/>
      </c>
      <c r="AR252" s="4">
        <f t="shared" si="300"/>
      </c>
      <c r="AS252" s="4">
        <f t="shared" si="301"/>
      </c>
      <c r="AT252" s="4">
        <f t="shared" si="308"/>
      </c>
    </row>
    <row r="253" spans="1:46" x14ac:dyDescent="0.3">
      <c r="A253" s="5">
        <f t="shared" si="281"/>
      </c>
      <c r="B253" s="4">
        <f t="shared" si="290"/>
      </c>
      <c r="C253" s="119"/>
      <c r="D253" s="119"/>
      <c r="E253" s="105"/>
      <c r="F253" s="173"/>
      <c r="G253" s="173"/>
      <c r="H253" s="173"/>
      <c r="I253" s="192"/>
      <c r="J253" s="105"/>
      <c r="K253" s="105"/>
      <c r="L253" s="105"/>
      <c r="M253" s="4">
        <f t="shared" si="291"/>
      </c>
      <c r="N253" s="100"/>
      <c r="O253" s="164"/>
      <c r="P253" s="59">
        <f t="shared" si="309"/>
      </c>
      <c r="Q253" s="165"/>
      <c r="R253" s="100"/>
      <c r="S253" s="164"/>
      <c r="T253" s="5">
        <f t="shared" si="292"/>
      </c>
      <c r="U253" s="4">
        <f t="shared" si="282"/>
      </c>
      <c r="V253" s="4">
        <f t="shared" si="283"/>
      </c>
      <c r="W253" s="4">
        <f t="shared" si="284"/>
      </c>
      <c r="X253" s="4">
        <f t="shared" si="285"/>
      </c>
      <c r="Y253" s="4" cm="1">
        <f t="array" ref="Y253">_xlfn.IFS(H253=1,2,H253=3,1)</f>
      </c>
      <c r="Z253" s="4">
        <f t="shared" si="286"/>
      </c>
      <c r="AA253" s="4">
        <f t="shared" si="293"/>
      </c>
      <c r="AB253" s="4">
        <f t="shared" si="287"/>
      </c>
      <c r="AC253" s="4">
        <f t="shared" si="294"/>
      </c>
      <c r="AD253" s="4">
        <f t="shared" si="288"/>
      </c>
      <c r="AE253" s="4">
        <f t="shared" si="304"/>
      </c>
      <c r="AF253" s="4">
        <f t="shared" si="305"/>
      </c>
      <c r="AG253" s="4">
        <f t="shared" si="306"/>
        <v/>
      </c>
      <c r="AH253" s="4">
        <f t="shared" si="295"/>
      </c>
      <c r="AI253" s="4">
        <f t="shared" si="307"/>
      </c>
      <c r="AJ253" s="4">
        <f t="shared" si="296"/>
      </c>
      <c r="AK253" s="4">
        <f t="shared" si="289"/>
      </c>
      <c r="AL253" s="4">
        <f t="shared" si="297"/>
      </c>
      <c r="AM253" s="4">
        <f t="shared" si="298"/>
      </c>
      <c r="AN253" s="4"/>
      <c r="AO253" s="4">
        <f t="shared" si="302"/>
      </c>
      <c r="AP253" s="4">
        <f t="shared" si="299"/>
      </c>
      <c r="AQ253" s="4">
        <f t="shared" si="303"/>
        <v/>
      </c>
      <c r="AR253" s="4">
        <f t="shared" si="300"/>
      </c>
      <c r="AS253" s="4">
        <f t="shared" si="301"/>
      </c>
      <c r="AT253" s="4">
        <f t="shared" si="308"/>
      </c>
    </row>
    <row r="254" spans="1:46" x14ac:dyDescent="0.3">
      <c r="A254" s="5">
        <f t="shared" si="281"/>
      </c>
      <c r="B254" s="4">
        <f t="shared" si="290"/>
      </c>
      <c r="C254" s="119"/>
      <c r="D254" s="119"/>
      <c r="E254" s="105"/>
      <c r="F254" s="173"/>
      <c r="G254" s="173"/>
      <c r="H254" s="173"/>
      <c r="I254" s="192"/>
      <c r="J254" s="105"/>
      <c r="K254" s="105"/>
      <c r="L254" s="105"/>
      <c r="M254" s="4">
        <f t="shared" si="291"/>
      </c>
      <c r="N254" s="100"/>
      <c r="O254" s="164"/>
      <c r="P254" s="59">
        <f t="shared" si="309"/>
      </c>
      <c r="Q254" s="165"/>
      <c r="R254" s="100"/>
      <c r="S254" s="164"/>
      <c r="T254" s="5">
        <f t="shared" si="292"/>
      </c>
      <c r="U254" s="4">
        <f t="shared" si="282"/>
      </c>
      <c r="V254" s="4">
        <f t="shared" si="283"/>
      </c>
      <c r="W254" s="4">
        <f t="shared" si="284"/>
      </c>
      <c r="X254" s="4">
        <f t="shared" si="285"/>
      </c>
      <c r="Y254" s="4" cm="1">
        <f t="array" ref="Y254">_xlfn.IFS(H254=1,2,H254=3,1)</f>
      </c>
      <c r="Z254" s="4">
        <f t="shared" si="286"/>
      </c>
      <c r="AA254" s="4">
        <f t="shared" si="293"/>
      </c>
      <c r="AB254" s="4">
        <f t="shared" si="287"/>
      </c>
      <c r="AC254" s="4">
        <f t="shared" si="294"/>
      </c>
      <c r="AD254" s="4">
        <f t="shared" si="288"/>
      </c>
      <c r="AE254" s="4">
        <f t="shared" si="304"/>
      </c>
      <c r="AF254" s="4">
        <f t="shared" si="305"/>
      </c>
      <c r="AG254" s="4">
        <f t="shared" si="306"/>
        <v/>
      </c>
      <c r="AH254" s="4">
        <f t="shared" si="295"/>
      </c>
      <c r="AI254" s="4">
        <f t="shared" si="307"/>
      </c>
      <c r="AJ254" s="4">
        <f t="shared" si="296"/>
      </c>
      <c r="AK254" s="4">
        <f t="shared" si="289"/>
      </c>
      <c r="AL254" s="4">
        <f t="shared" si="297"/>
      </c>
      <c r="AM254" s="4">
        <f t="shared" si="298"/>
      </c>
      <c r="AN254" s="4"/>
      <c r="AO254" s="4">
        <f t="shared" si="302"/>
      </c>
      <c r="AP254" s="4">
        <f t="shared" si="299"/>
      </c>
      <c r="AQ254" s="4">
        <f t="shared" si="303"/>
        <v/>
      </c>
      <c r="AR254" s="4">
        <f t="shared" si="300"/>
      </c>
      <c r="AS254" s="4">
        <f t="shared" si="301"/>
      </c>
      <c r="AT254" s="4">
        <f t="shared" si="308"/>
      </c>
    </row>
    <row r="255" spans="1:46" x14ac:dyDescent="0.3">
      <c r="A255" s="5">
        <f t="shared" si="281"/>
      </c>
      <c r="B255" s="4">
        <f t="shared" si="290"/>
      </c>
      <c r="C255" s="119"/>
      <c r="D255" s="119"/>
      <c r="E255" s="105"/>
      <c r="F255" s="173"/>
      <c r="G255" s="173"/>
      <c r="H255" s="173"/>
      <c r="I255" s="192"/>
      <c r="J255" s="105"/>
      <c r="K255" s="105"/>
      <c r="L255" s="105"/>
      <c r="M255" s="4">
        <f t="shared" si="291"/>
      </c>
      <c r="N255" s="100"/>
      <c r="O255" s="164"/>
      <c r="P255" s="59">
        <f t="shared" si="309"/>
      </c>
      <c r="Q255" s="165"/>
      <c r="R255" s="100"/>
      <c r="S255" s="164"/>
      <c r="T255" s="5">
        <f t="shared" si="292"/>
      </c>
      <c r="U255" s="4">
        <f t="shared" si="282"/>
      </c>
      <c r="V255" s="4">
        <f t="shared" si="283"/>
      </c>
      <c r="W255" s="4">
        <f t="shared" si="284"/>
      </c>
      <c r="X255" s="4">
        <f t="shared" si="285"/>
      </c>
      <c r="Y255" s="4" cm="1">
        <f t="array" ref="Y255">_xlfn.IFS(H255=1,2,H255=3,1)</f>
      </c>
      <c r="Z255" s="4">
        <f t="shared" si="286"/>
      </c>
      <c r="AA255" s="4">
        <f t="shared" si="293"/>
      </c>
      <c r="AB255" s="4">
        <f t="shared" si="287"/>
      </c>
      <c r="AC255" s="4">
        <f t="shared" si="294"/>
      </c>
      <c r="AD255" s="4">
        <f t="shared" si="288"/>
      </c>
      <c r="AE255" s="4">
        <f t="shared" si="304"/>
      </c>
      <c r="AF255" s="4">
        <f t="shared" si="305"/>
      </c>
      <c r="AG255" s="4">
        <f t="shared" si="306"/>
        <v/>
      </c>
      <c r="AH255" s="4">
        <f t="shared" si="295"/>
      </c>
      <c r="AI255" s="4">
        <f t="shared" si="307"/>
      </c>
      <c r="AJ255" s="4">
        <f t="shared" si="296"/>
      </c>
      <c r="AK255" s="4">
        <f t="shared" si="289"/>
      </c>
      <c r="AL255" s="4">
        <f t="shared" si="297"/>
      </c>
      <c r="AM255" s="4">
        <f t="shared" si="298"/>
      </c>
      <c r="AN255" s="4"/>
      <c r="AO255" s="4">
        <f t="shared" si="302"/>
      </c>
      <c r="AP255" s="4">
        <f t="shared" si="299"/>
      </c>
      <c r="AQ255" s="4">
        <f t="shared" si="303"/>
        <v/>
      </c>
      <c r="AR255" s="4">
        <f t="shared" si="300"/>
      </c>
      <c r="AS255" s="4">
        <f t="shared" si="301"/>
      </c>
      <c r="AT255" s="4">
        <f t="shared" si="308"/>
      </c>
    </row>
    <row r="256" spans="1:46" x14ac:dyDescent="0.3">
      <c r="A256" s="5">
        <f t="shared" ref="A256:A319" si="311">D256</f>
      </c>
      <c r="B256" s="4">
        <f t="shared" si="290"/>
      </c>
      <c r="C256" s="119"/>
      <c r="D256" s="119"/>
      <c r="E256" s="105"/>
      <c r="F256" s="173"/>
      <c r="G256" s="173"/>
      <c r="H256" s="173"/>
      <c r="I256" s="105"/>
      <c r="J256" s="105"/>
      <c r="K256" s="105"/>
      <c r="L256" s="105"/>
      <c r="M256" s="4">
        <f t="shared" si="291"/>
      </c>
      <c r="N256" s="59"/>
      <c r="O256" s="164"/>
      <c r="P256" s="59">
        <f t="shared" si="309"/>
      </c>
      <c r="Q256" s="165"/>
      <c r="R256" s="59"/>
      <c r="S256" s="164"/>
      <c r="T256" s="5">
        <f t="shared" si="292"/>
      </c>
      <c r="U256" s="4">
        <f t="shared" ref="U256:U319" si="312">IF(R256=0,VLOOKUP(T256,Автомат_номиналы,2,TRUE),R256)</f>
      </c>
      <c r="V256" s="4">
        <f t="shared" ref="V256:V319" si="313">IF(Q256=0,VLOOKUP(U256,Кабель_номиналы,2,TRUE),Q256)</f>
      </c>
      <c r="W256" s="4">
        <f t="shared" ref="W256:W319" si="314">VLOOKUP(V256,Кабель_сопротивление,3,FALSE)</f>
      </c>
      <c r="X256" s="4">
        <f t="shared" ref="X256:X319" si="315">VLOOKUP(V256,Кабель_сопротивление,2,FALSE)</f>
      </c>
      <c r="Y256" s="4" cm="1">
        <f t="array" ref="Y256">_xlfn.IFS(H256=1,2,H256=3,1)</f>
      </c>
      <c r="Z256" s="4">
        <f t="shared" ref="Z256:Z319" si="316">ROUND(SIN(ACOS(P256)),2)</f>
      </c>
      <c r="AA256" s="4">
        <f t="shared" si="293"/>
      </c>
      <c r="AB256" s="4">
        <f t="shared" ref="AB256:AB319" si="317">ROUNDUP(AA256/220*100,2)</f>
      </c>
      <c r="AC256" s="4">
        <f t="shared" si="294"/>
      </c>
      <c r="AD256" s="4">
        <f t="shared" ref="AD256:AD319" si="318">VLOOKUP(N256,Кабель_обозначение,2,FALSE)</f>
      </c>
      <c r="AE256" s="4">
        <f t="shared" si="304"/>
      </c>
      <c r="AF256" s="4">
        <f t="shared" si="305"/>
      </c>
      <c r="AG256" s="4">
        <f t="shared" si="306"/>
        <v/>
      </c>
      <c r="AH256" s="4">
        <f t="shared" si="295"/>
      </c>
      <c r="AI256" s="4">
        <f t="shared" si="307"/>
      </c>
      <c r="AJ256" s="4">
        <f t="shared" si="296"/>
      </c>
      <c r="AK256" s="4">
        <f t="shared" ref="AK256:AK319" si="319">ROUNDUP(T256,2)</f>
      </c>
      <c r="AL256" s="4">
        <f t="shared" si="297"/>
      </c>
      <c r="AM256" s="4">
        <f t="shared" si="298"/>
      </c>
      <c r="AN256" s="4"/>
      <c r="AO256" s="4">
        <f t="shared" si="302"/>
      </c>
      <c r="AP256" s="4">
        <f t="shared" si="299"/>
      </c>
      <c r="AQ256" s="4">
        <f t="shared" si="303"/>
        <v/>
      </c>
      <c r="AR256" s="4">
        <f t="shared" si="300"/>
      </c>
      <c r="AS256" s="4">
        <f t="shared" si="301"/>
      </c>
      <c r="AT256" s="4">
        <f t="shared" si="308"/>
      </c>
    </row>
    <row r="257" spans="1:46" ht="15" thickBot="1" x14ac:dyDescent="0.35">
      <c r="A257" s="45">
        <f t="shared" si="311"/>
      </c>
      <c r="B257" s="44">
        <f t="shared" si="290"/>
      </c>
      <c r="C257" s="175"/>
      <c r="D257" s="175"/>
      <c r="E257" s="176"/>
      <c r="F257" s="178"/>
      <c r="G257" s="178"/>
      <c r="H257" s="178"/>
      <c r="I257" s="105"/>
      <c r="J257" s="176"/>
      <c r="K257" s="176"/>
      <c r="L257" s="176"/>
      <c r="M257" s="44">
        <f t="shared" si="291"/>
      </c>
      <c r="N257" s="64"/>
      <c r="O257" s="166"/>
      <c r="P257" s="64">
        <f t="shared" si="309"/>
      </c>
      <c r="Q257" s="170"/>
      <c r="R257" s="64"/>
      <c r="S257" s="166"/>
      <c r="T257" s="45">
        <f t="shared" si="292"/>
      </c>
      <c r="U257" s="44">
        <f t="shared" si="312"/>
      </c>
      <c r="V257" s="44">
        <f t="shared" si="313"/>
      </c>
      <c r="W257" s="44">
        <f t="shared" si="314"/>
      </c>
      <c r="X257" s="44">
        <f t="shared" si="315"/>
      </c>
      <c r="Y257" s="44" cm="1">
        <f t="array" ref="Y257">_xlfn.IFS(H257=1,2,H257=3,1)</f>
      </c>
      <c r="Z257" s="44">
        <f t="shared" si="316"/>
      </c>
      <c r="AA257" s="44">
        <f t="shared" si="293"/>
      </c>
      <c r="AB257" s="44">
        <f t="shared" si="317"/>
      </c>
      <c r="AC257" s="44">
        <f t="shared" si="294"/>
      </c>
      <c r="AD257" s="44">
        <f t="shared" si="318"/>
      </c>
      <c r="AE257" s="44">
        <f t="shared" si="304"/>
      </c>
      <c r="AF257" s="44">
        <f t="shared" si="305"/>
      </c>
      <c r="AG257" s="44">
        <f t="shared" si="306"/>
        <v/>
      </c>
      <c r="AH257" s="44">
        <f t="shared" si="295"/>
      </c>
      <c r="AI257" s="44">
        <f t="shared" si="307"/>
      </c>
      <c r="AJ257" s="44">
        <f t="shared" si="296"/>
      </c>
      <c r="AK257" s="44">
        <f t="shared" si="319"/>
      </c>
      <c r="AL257" s="44">
        <f t="shared" si="297"/>
      </c>
      <c r="AM257" s="44">
        <f t="shared" si="298"/>
      </c>
      <c r="AN257" s="44"/>
      <c r="AO257" s="44">
        <f t="shared" si="302"/>
      </c>
      <c r="AP257" s="44">
        <f t="shared" si="299"/>
      </c>
      <c r="AQ257" s="44">
        <f t="shared" si="303"/>
        <v/>
      </c>
      <c r="AR257" s="44">
        <f t="shared" si="300"/>
      </c>
      <c r="AS257" s="44">
        <f t="shared" si="301"/>
      </c>
      <c r="AT257" s="44">
        <f t="shared" si="308"/>
      </c>
    </row>
    <row r="258" spans="1:46" x14ac:dyDescent="0.3">
      <c r="A258" s="19">
        <f t="shared" si="311"/>
      </c>
      <c r="B258" s="7">
        <f t="shared" si="290"/>
      </c>
      <c r="C258" s="177"/>
      <c r="D258" s="177"/>
      <c r="E258" s="179"/>
      <c r="F258" s="182"/>
      <c r="G258" s="182"/>
      <c r="H258" s="182"/>
      <c r="I258" s="105"/>
      <c r="J258" s="179"/>
      <c r="K258" s="179"/>
      <c r="L258" s="179"/>
      <c r="M258" s="7">
        <f t="shared" si="291"/>
      </c>
      <c r="N258" s="65"/>
      <c r="O258" s="168"/>
      <c r="P258" s="65">
        <f t="shared" si="309"/>
      </c>
      <c r="Q258" s="118"/>
      <c r="R258" s="65"/>
      <c r="S258" s="168"/>
      <c r="T258" s="19">
        <f t="shared" si="292"/>
      </c>
      <c r="U258" s="7">
        <f t="shared" si="312"/>
      </c>
      <c r="V258" s="7">
        <f t="shared" si="313"/>
      </c>
      <c r="W258" s="7">
        <f t="shared" si="314"/>
      </c>
      <c r="X258" s="7">
        <f t="shared" si="315"/>
      </c>
      <c r="Y258" s="7" cm="1">
        <f t="array" ref="Y258">_xlfn.IFS(H258=1,2,H258=3,1)</f>
      </c>
      <c r="Z258" s="7">
        <f t="shared" si="316"/>
      </c>
      <c r="AA258" s="7">
        <f t="shared" si="293"/>
      </c>
      <c r="AB258" s="7">
        <f t="shared" si="317"/>
      </c>
      <c r="AC258" s="7">
        <f t="shared" si="294"/>
      </c>
      <c r="AD258" s="7">
        <f t="shared" si="318"/>
      </c>
      <c r="AE258" s="7">
        <f t="shared" si="304"/>
      </c>
      <c r="AF258" s="7">
        <f t="shared" si="305"/>
      </c>
      <c r="AG258" s="7">
        <f t="shared" si="306"/>
        <v/>
      </c>
      <c r="AH258" s="7">
        <f t="shared" si="295"/>
      </c>
      <c r="AI258" s="7">
        <f t="shared" si="307"/>
      </c>
      <c r="AJ258" s="7">
        <f t="shared" si="296"/>
      </c>
      <c r="AK258" s="7">
        <f t="shared" si="319"/>
      </c>
      <c r="AL258" s="7">
        <f t="shared" si="297"/>
      </c>
      <c r="AM258" s="7">
        <f t="shared" si="298"/>
      </c>
      <c r="AN258" s="7"/>
      <c r="AO258" s="7">
        <f t="shared" si="302"/>
      </c>
      <c r="AP258" s="7">
        <f t="shared" si="299"/>
      </c>
      <c r="AQ258" s="7">
        <f t="shared" si="303"/>
        <v/>
      </c>
      <c r="AR258" s="7">
        <f t="shared" si="300"/>
      </c>
      <c r="AS258" s="7">
        <f t="shared" si="301"/>
      </c>
      <c r="AT258" s="7">
        <f t="shared" si="308"/>
      </c>
    </row>
    <row r="259" spans="1:46" x14ac:dyDescent="0.3">
      <c r="A259" s="5">
        <f t="shared" si="311"/>
      </c>
      <c r="B259" s="4">
        <f t="shared" ref="B259:B322" si="320">IFERROR(IF(VLOOKUP(AH259,Потребители_обозначение,4,FALSE)=1,VLOOKUP(AH259,Потребители_обозначение,2,FALSE)&amp;" "&amp;VLOOKUP(AI259,Этаж_обозначение,2,FALSE)&amp;" Пом. №"&amp;AG259,VLOOKUP(AH259,Потребители_обозначение,2,FALSE)&amp;" Шлейф №"&amp;AI259),VLOOKUP(D259,Потребители_обозначение,2,FALSE))</f>
      </c>
      <c r="C259" s="119"/>
      <c r="D259" s="119"/>
      <c r="E259" s="105"/>
      <c r="F259" s="173"/>
      <c r="G259" s="173"/>
      <c r="H259" s="173"/>
      <c r="I259" s="105"/>
      <c r="J259" s="105"/>
      <c r="K259" s="105"/>
      <c r="L259" s="105"/>
      <c r="M259" s="4">
        <f t="shared" ref="M259:M322" si="321">IFERROR(IF(VLOOKUP(AH259,Потребители_обозначение,4,FALSE)=1,VLOOKUP(AH259,Потребители_обозначение,3,FALSE)*(G259*2-1)+I259+VLOOKUP(AI259,Этаж_обозначение,3,FALSE)+VLOOKUP(AI259,Этаж_обозначение,4,FALSE),VLOOKUP(AH259,Потребители_обозначение,3,FALSE)*(G259*2-1)+I259),I259)</f>
      </c>
      <c r="N259" s="65"/>
      <c r="O259" s="168"/>
      <c r="P259" s="59">
        <f t="shared" si="309"/>
      </c>
      <c r="Q259" s="118"/>
      <c r="R259" s="65"/>
      <c r="S259" s="168"/>
      <c r="T259" s="5">
        <f t="shared" ref="T259:T322" si="322">_xlfn.IFS(H259=1,E259*1000/220,H259=3,E259/0.38/1.732)</f>
      </c>
      <c r="U259" s="4">
        <f t="shared" si="312"/>
      </c>
      <c r="V259" s="4">
        <f t="shared" si="313"/>
      </c>
      <c r="W259" s="4">
        <f t="shared" si="314"/>
      </c>
      <c r="X259" s="4">
        <f t="shared" si="315"/>
      </c>
      <c r="Y259" s="4" cm="1">
        <f t="array" ref="Y259">_xlfn.IFS(H259=1,2,H259=3,1)</f>
      </c>
      <c r="Z259" s="4">
        <f t="shared" si="316"/>
      </c>
      <c r="AA259" s="4">
        <f t="shared" ref="AA259:AA322" si="323">Y259*(W259*I259/V259+X259*I259*Z259/1000)*T259</f>
      </c>
      <c r="AB259" s="4">
        <f t="shared" si="317"/>
      </c>
      <c r="AC259" s="4">
        <f t="shared" ref="AC259:AC322" si="324">_xlfn.IFS(H259=3,380,H259=1,220)</f>
      </c>
      <c r="AD259" s="4">
        <f t="shared" si="318"/>
      </c>
      <c r="AE259" s="4">
        <f t="shared" si="304"/>
      </c>
      <c r="AF259" s="4">
        <f t="shared" si="305"/>
      </c>
      <c r="AG259" s="4">
        <f t="shared" si="306"/>
        <v/>
      </c>
      <c r="AH259" s="4">
        <f t="shared" ref="AH259:AH322" si="325">IFERROR(LEFT(A259,SEARCH(".",A259)-1),A259)</f>
      </c>
      <c r="AI259" s="4">
        <f t="shared" si="307"/>
      </c>
      <c r="AJ259" s="4">
        <f t="shared" ref="AJ259:AJ322" si="326">IF(C259=0,B259,C259)</f>
      </c>
      <c r="AK259" s="4">
        <f t="shared" si="319"/>
      </c>
      <c r="AL259" s="4">
        <f t="shared" ref="AL259:AL322" si="327">E259</f>
      </c>
      <c r="AM259" s="4">
        <f t="shared" ref="AM259:AM322" si="328">D259</f>
      </c>
      <c r="AN259" s="4"/>
      <c r="AO259" s="4">
        <f t="shared" si="302"/>
      </c>
      <c r="AP259" s="4">
        <f t="shared" ref="AP259:AP322" si="329">RIGHT(A259,LEN(A259)-SEARCH(".",A259))</f>
      </c>
      <c r="AQ259" s="4">
        <f t="shared" si="303"/>
        <v/>
      </c>
      <c r="AR259" s="4">
        <f t="shared" ref="AR259:AR322" si="330">IFERROR(IF(VLOOKUP(AH259,Потребители_обозначение,5,FALSE)=2,_xlfn.IFS(H259=3,VLOOKUP(E259,Справочная_двигатели,3,FALSE),H259=1,VLOOKUP(E259,Справочная_двигатели,5,TRUE)),0),0)</f>
      </c>
      <c r="AS259" s="4">
        <f t="shared" ref="AS259:AS322" si="331">IFERROR(IF(VLOOKUP(AH259,Потребители_обозначение,5,FALSE)=3,VLOOKUP(E259,Справочная_ЛЭД,2,TRUE),0),0)</f>
      </c>
      <c r="AT259" s="4">
        <f t="shared" si="308"/>
      </c>
    </row>
    <row r="260" spans="1:46" x14ac:dyDescent="0.3">
      <c r="A260" s="5">
        <f t="shared" si="311"/>
      </c>
      <c r="B260" s="4">
        <f t="shared" si="320"/>
      </c>
      <c r="C260" s="119"/>
      <c r="D260" s="119"/>
      <c r="E260" s="105"/>
      <c r="F260" s="173"/>
      <c r="G260" s="173"/>
      <c r="H260" s="173"/>
      <c r="I260" s="105"/>
      <c r="J260" s="105"/>
      <c r="K260" s="105"/>
      <c r="L260" s="105"/>
      <c r="M260" s="4">
        <f t="shared" si="321"/>
      </c>
      <c r="N260" s="65"/>
      <c r="O260" s="168"/>
      <c r="P260" s="59">
        <f t="shared" si="309"/>
      </c>
      <c r="Q260" s="118"/>
      <c r="R260" s="65"/>
      <c r="S260" s="168"/>
      <c r="T260" s="5">
        <f t="shared" si="322"/>
      </c>
      <c r="U260" s="4">
        <f t="shared" si="312"/>
      </c>
      <c r="V260" s="4">
        <f t="shared" si="313"/>
      </c>
      <c r="W260" s="4">
        <f t="shared" si="314"/>
      </c>
      <c r="X260" s="4">
        <f t="shared" si="315"/>
      </c>
      <c r="Y260" s="4" cm="1">
        <f t="array" ref="Y260">_xlfn.IFS(H260=1,2,H260=3,1)</f>
      </c>
      <c r="Z260" s="4">
        <f t="shared" si="316"/>
      </c>
      <c r="AA260" s="4">
        <f t="shared" si="323"/>
      </c>
      <c r="AB260" s="4">
        <f t="shared" si="317"/>
      </c>
      <c r="AC260" s="4">
        <f t="shared" si="324"/>
      </c>
      <c r="AD260" s="4">
        <f t="shared" si="318"/>
      </c>
      <c r="AE260" s="4">
        <f t="shared" si="304"/>
      </c>
      <c r="AF260" s="4">
        <f t="shared" si="305"/>
      </c>
      <c r="AG260" s="4">
        <f t="shared" si="306"/>
        <v/>
      </c>
      <c r="AH260" s="4">
        <f t="shared" si="325"/>
      </c>
      <c r="AI260" s="4">
        <f t="shared" si="307"/>
      </c>
      <c r="AJ260" s="4">
        <f t="shared" si="326"/>
      </c>
      <c r="AK260" s="4">
        <f t="shared" si="319"/>
      </c>
      <c r="AL260" s="4">
        <f t="shared" si="327"/>
      </c>
      <c r="AM260" s="4">
        <f t="shared" si="328"/>
      </c>
      <c r="AN260" s="4"/>
      <c r="AO260" s="4">
        <f t="shared" si="302"/>
      </c>
      <c r="AP260" s="4">
        <f t="shared" si="329"/>
      </c>
      <c r="AQ260" s="4">
        <f t="shared" si="303"/>
        <v/>
      </c>
      <c r="AR260" s="4">
        <f t="shared" si="330"/>
      </c>
      <c r="AS260" s="4">
        <f t="shared" si="331"/>
      </c>
      <c r="AT260" s="4">
        <f t="shared" si="308"/>
      </c>
    </row>
    <row r="261" spans="1:46" x14ac:dyDescent="0.3">
      <c r="A261" s="5">
        <f t="shared" si="311"/>
      </c>
      <c r="B261" s="4">
        <f t="shared" si="320"/>
      </c>
      <c r="C261" s="119"/>
      <c r="D261" s="119"/>
      <c r="E261" s="105"/>
      <c r="F261" s="173"/>
      <c r="G261" s="173"/>
      <c r="H261" s="173"/>
      <c r="I261" s="105"/>
      <c r="J261" s="105"/>
      <c r="K261" s="105"/>
      <c r="L261" s="105"/>
      <c r="M261" s="4">
        <f t="shared" si="321"/>
      </c>
      <c r="N261" s="65"/>
      <c r="O261" s="168"/>
      <c r="P261" s="59">
        <f t="shared" si="309"/>
      </c>
      <c r="Q261" s="118"/>
      <c r="R261" s="65"/>
      <c r="S261" s="168"/>
      <c r="T261" s="5">
        <f t="shared" si="322"/>
      </c>
      <c r="U261" s="4">
        <f t="shared" si="312"/>
      </c>
      <c r="V261" s="4">
        <f t="shared" si="313"/>
      </c>
      <c r="W261" s="4">
        <f t="shared" si="314"/>
      </c>
      <c r="X261" s="4">
        <f t="shared" si="315"/>
      </c>
      <c r="Y261" s="4" cm="1">
        <f t="array" ref="Y261">_xlfn.IFS(H261=1,2,H261=3,1)</f>
      </c>
      <c r="Z261" s="4">
        <f t="shared" si="316"/>
      </c>
      <c r="AA261" s="4">
        <f t="shared" si="323"/>
      </c>
      <c r="AB261" s="4">
        <f t="shared" si="317"/>
      </c>
      <c r="AC261" s="4">
        <f t="shared" si="324"/>
      </c>
      <c r="AD261" s="4">
        <f t="shared" si="318"/>
      </c>
      <c r="AE261" s="4">
        <f t="shared" si="304"/>
      </c>
      <c r="AF261" s="4">
        <f t="shared" si="305"/>
      </c>
      <c r="AG261" s="4">
        <f t="shared" si="306"/>
        <v/>
      </c>
      <c r="AH261" s="4">
        <f t="shared" si="325"/>
      </c>
      <c r="AI261" s="4">
        <f t="shared" si="307"/>
      </c>
      <c r="AJ261" s="4">
        <f t="shared" si="326"/>
      </c>
      <c r="AK261" s="4">
        <f t="shared" si="319"/>
      </c>
      <c r="AL261" s="4">
        <f t="shared" si="327"/>
      </c>
      <c r="AM261" s="4">
        <f t="shared" si="328"/>
      </c>
      <c r="AN261" s="4"/>
      <c r="AO261" s="4">
        <f t="shared" ref="AO261:AO324" si="332">IF(V261=0,AD261,AE261&amp;"
L="&amp;M261&amp;"-"&amp;AB261&amp;"%")</f>
      </c>
      <c r="AP261" s="4">
        <f t="shared" si="329"/>
      </c>
      <c r="AQ261" s="4">
        <f t="shared" ref="AQ261:AQ324" si="333">IFERROR(RIGHT(AP261,LEN(AP261)-SEARCH(".",AP261)),"")</f>
        <v/>
      </c>
      <c r="AR261" s="4">
        <f t="shared" si="330"/>
      </c>
      <c r="AS261" s="4">
        <f t="shared" si="331"/>
      </c>
      <c r="AT261" s="4">
        <f t="shared" si="308"/>
      </c>
    </row>
    <row r="262" spans="1:46" x14ac:dyDescent="0.3">
      <c r="A262" s="5">
        <f t="shared" si="311"/>
      </c>
      <c r="B262" s="4">
        <f t="shared" si="320"/>
      </c>
      <c r="C262" s="119"/>
      <c r="D262" s="119"/>
      <c r="E262" s="105"/>
      <c r="F262" s="173"/>
      <c r="G262" s="173"/>
      <c r="H262" s="173"/>
      <c r="I262" s="105"/>
      <c r="J262" s="105"/>
      <c r="K262" s="105"/>
      <c r="L262" s="105"/>
      <c r="M262" s="4">
        <f t="shared" si="321"/>
      </c>
      <c r="N262" s="65"/>
      <c r="O262" s="168"/>
      <c r="P262" s="59">
        <f t="shared" si="309"/>
      </c>
      <c r="Q262" s="118"/>
      <c r="R262" s="65"/>
      <c r="S262" s="168"/>
      <c r="T262" s="5">
        <f t="shared" si="322"/>
      </c>
      <c r="U262" s="4">
        <f t="shared" si="312"/>
      </c>
      <c r="V262" s="4">
        <f t="shared" si="313"/>
      </c>
      <c r="W262" s="4">
        <f t="shared" si="314"/>
      </c>
      <c r="X262" s="4">
        <f t="shared" si="315"/>
      </c>
      <c r="Y262" s="4" cm="1">
        <f t="array" ref="Y262">_xlfn.IFS(H262=1,2,H262=3,1)</f>
      </c>
      <c r="Z262" s="4">
        <f t="shared" si="316"/>
      </c>
      <c r="AA262" s="4">
        <f t="shared" si="323"/>
      </c>
      <c r="AB262" s="4">
        <f t="shared" si="317"/>
      </c>
      <c r="AC262" s="4">
        <f t="shared" si="324"/>
      </c>
      <c r="AD262" s="4">
        <f t="shared" si="318"/>
      </c>
      <c r="AE262" s="4">
        <f t="shared" ref="AE262:AE325" si="334">IF(VLOOKUP(N262,Кабель_обозначение,3,FALSE)=1,AD262&amp;" ("&amp;O262&amp;"х"&amp;V262&amp;")",AD262)</f>
      </c>
      <c r="AF262" s="4">
        <f t="shared" si="305"/>
      </c>
      <c r="AG262" s="4">
        <f t="shared" si="306"/>
        <v/>
      </c>
      <c r="AH262" s="4">
        <f t="shared" si="325"/>
      </c>
      <c r="AI262" s="4">
        <f t="shared" si="307"/>
      </c>
      <c r="AJ262" s="4">
        <f t="shared" si="326"/>
      </c>
      <c r="AK262" s="4">
        <f t="shared" si="319"/>
      </c>
      <c r="AL262" s="4">
        <f t="shared" si="327"/>
      </c>
      <c r="AM262" s="4">
        <f t="shared" si="328"/>
      </c>
      <c r="AN262" s="4"/>
      <c r="AO262" s="4">
        <f t="shared" si="332"/>
      </c>
      <c r="AP262" s="4">
        <f t="shared" si="329"/>
      </c>
      <c r="AQ262" s="4">
        <f t="shared" si="333"/>
        <v/>
      </c>
      <c r="AR262" s="4">
        <f t="shared" si="330"/>
      </c>
      <c r="AS262" s="4">
        <f t="shared" si="331"/>
      </c>
      <c r="AT262" s="4">
        <f t="shared" si="308"/>
      </c>
    </row>
    <row r="263" spans="1:46" x14ac:dyDescent="0.3">
      <c r="A263" s="5">
        <f t="shared" si="311"/>
      </c>
      <c r="B263" s="4">
        <f t="shared" si="320"/>
      </c>
      <c r="C263" s="119"/>
      <c r="D263" s="119"/>
      <c r="E263" s="105"/>
      <c r="F263" s="173"/>
      <c r="G263" s="173"/>
      <c r="H263" s="173"/>
      <c r="I263" s="105"/>
      <c r="J263" s="105"/>
      <c r="K263" s="105"/>
      <c r="L263" s="105"/>
      <c r="M263" s="4">
        <f t="shared" si="321"/>
      </c>
      <c r="N263" s="65"/>
      <c r="O263" s="168"/>
      <c r="P263" s="59">
        <f t="shared" si="309"/>
      </c>
      <c r="Q263" s="118"/>
      <c r="R263" s="65"/>
      <c r="S263" s="168"/>
      <c r="T263" s="5">
        <f t="shared" si="322"/>
      </c>
      <c r="U263" s="4">
        <f t="shared" si="312"/>
      </c>
      <c r="V263" s="4">
        <f t="shared" si="313"/>
      </c>
      <c r="W263" s="4">
        <f t="shared" si="314"/>
      </c>
      <c r="X263" s="4">
        <f t="shared" si="315"/>
      </c>
      <c r="Y263" s="4" cm="1">
        <f t="array" ref="Y263">_xlfn.IFS(H263=1,2,H263=3,1)</f>
      </c>
      <c r="Z263" s="4">
        <f t="shared" si="316"/>
      </c>
      <c r="AA263" s="4">
        <f t="shared" si="323"/>
      </c>
      <c r="AB263" s="4">
        <f t="shared" si="317"/>
      </c>
      <c r="AC263" s="4">
        <f t="shared" si="324"/>
      </c>
      <c r="AD263" s="4">
        <f t="shared" si="318"/>
      </c>
      <c r="AE263" s="4">
        <f t="shared" si="334"/>
      </c>
      <c r="AF263" s="4">
        <f t="shared" ref="AF263:AF326" si="335">IFERROR(IF(AB263&gt;4.5,1,2),0)</f>
      </c>
      <c r="AG263" s="4">
        <f t="shared" ref="AG263:AG326" si="336">IFERROR(LEFT(AQ263,SEARCH(".",AQ263)-1),AQ263)</f>
        <v/>
      </c>
      <c r="AH263" s="4">
        <f t="shared" si="325"/>
      </c>
      <c r="AI263" s="4">
        <f t="shared" si="307"/>
      </c>
      <c r="AJ263" s="4">
        <f t="shared" si="326"/>
      </c>
      <c r="AK263" s="4">
        <f t="shared" si="319"/>
      </c>
      <c r="AL263" s="4">
        <f t="shared" si="327"/>
      </c>
      <c r="AM263" s="4">
        <f t="shared" si="328"/>
      </c>
      <c r="AN263" s="4"/>
      <c r="AO263" s="4">
        <f t="shared" si="332"/>
      </c>
      <c r="AP263" s="4">
        <f t="shared" si="329"/>
      </c>
      <c r="AQ263" s="4">
        <f t="shared" si="333"/>
        <v/>
      </c>
      <c r="AR263" s="4">
        <f t="shared" si="330"/>
      </c>
      <c r="AS263" s="4">
        <f t="shared" si="331"/>
      </c>
      <c r="AT263" s="4">
        <f t="shared" si="308"/>
      </c>
    </row>
    <row r="264" spans="1:46" x14ac:dyDescent="0.3">
      <c r="A264" s="5">
        <f t="shared" si="311"/>
      </c>
      <c r="B264" s="4">
        <f t="shared" si="320"/>
      </c>
      <c r="C264" s="119"/>
      <c r="D264" s="119"/>
      <c r="E264" s="105"/>
      <c r="F264" s="173"/>
      <c r="G264" s="173"/>
      <c r="H264" s="173"/>
      <c r="I264" s="105"/>
      <c r="J264" s="105"/>
      <c r="K264" s="105"/>
      <c r="L264" s="105"/>
      <c r="M264" s="4">
        <f t="shared" si="321"/>
      </c>
      <c r="N264" s="65"/>
      <c r="O264" s="168"/>
      <c r="P264" s="59">
        <f t="shared" si="309"/>
      </c>
      <c r="Q264" s="118"/>
      <c r="R264" s="65"/>
      <c r="S264" s="168"/>
      <c r="T264" s="5">
        <f t="shared" si="322"/>
      </c>
      <c r="U264" s="4">
        <f t="shared" si="312"/>
      </c>
      <c r="V264" s="4">
        <f t="shared" si="313"/>
      </c>
      <c r="W264" s="4">
        <f t="shared" si="314"/>
      </c>
      <c r="X264" s="4">
        <f t="shared" si="315"/>
      </c>
      <c r="Y264" s="4" cm="1">
        <f t="array" ref="Y264">_xlfn.IFS(H264=1,2,H264=3,1)</f>
      </c>
      <c r="Z264" s="4">
        <f t="shared" si="316"/>
      </c>
      <c r="AA264" s="4">
        <f t="shared" si="323"/>
      </c>
      <c r="AB264" s="4">
        <f t="shared" si="317"/>
      </c>
      <c r="AC264" s="4">
        <f t="shared" si="324"/>
      </c>
      <c r="AD264" s="4">
        <f t="shared" si="318"/>
      </c>
      <c r="AE264" s="4">
        <f t="shared" si="334"/>
      </c>
      <c r="AF264" s="4">
        <f t="shared" si="335"/>
      </c>
      <c r="AG264" s="4">
        <f t="shared" si="336"/>
        <v/>
      </c>
      <c r="AH264" s="4">
        <f t="shared" si="325"/>
      </c>
      <c r="AI264" s="4">
        <f t="shared" ref="AI264:AI327" si="337">IFERROR(LEFT(AP264,SEARCH(".",AP264)-1),AP264)</f>
      </c>
      <c r="AJ264" s="4">
        <f t="shared" si="326"/>
      </c>
      <c r="AK264" s="4">
        <f t="shared" si="319"/>
      </c>
      <c r="AL264" s="4">
        <f t="shared" si="327"/>
      </c>
      <c r="AM264" s="4">
        <f t="shared" si="328"/>
      </c>
      <c r="AN264" s="4"/>
      <c r="AO264" s="4">
        <f t="shared" si="332"/>
      </c>
      <c r="AP264" s="4">
        <f t="shared" si="329"/>
      </c>
      <c r="AQ264" s="4">
        <f t="shared" si="333"/>
        <v/>
      </c>
      <c r="AR264" s="4">
        <f t="shared" si="330"/>
      </c>
      <c r="AS264" s="4">
        <f t="shared" si="331"/>
      </c>
      <c r="AT264" s="4">
        <f t="shared" si="308"/>
      </c>
    </row>
    <row r="265" spans="1:46" x14ac:dyDescent="0.3">
      <c r="A265" s="5">
        <f t="shared" si="311"/>
      </c>
      <c r="B265" s="4">
        <f t="shared" si="320"/>
      </c>
      <c r="C265" s="119"/>
      <c r="D265" s="119"/>
      <c r="E265" s="105"/>
      <c r="F265" s="173"/>
      <c r="G265" s="173"/>
      <c r="H265" s="173"/>
      <c r="I265" s="105"/>
      <c r="J265" s="105"/>
      <c r="K265" s="105"/>
      <c r="L265" s="105"/>
      <c r="M265" s="4">
        <f t="shared" si="321"/>
      </c>
      <c r="N265" s="65"/>
      <c r="O265" s="168"/>
      <c r="P265" s="59">
        <f t="shared" si="309"/>
      </c>
      <c r="Q265" s="118"/>
      <c r="R265" s="65"/>
      <c r="S265" s="168"/>
      <c r="T265" s="5">
        <f t="shared" si="322"/>
      </c>
      <c r="U265" s="4">
        <f t="shared" si="312"/>
      </c>
      <c r="V265" s="4">
        <f t="shared" si="313"/>
      </c>
      <c r="W265" s="4">
        <f t="shared" si="314"/>
      </c>
      <c r="X265" s="4">
        <f t="shared" si="315"/>
      </c>
      <c r="Y265" s="4" cm="1">
        <f t="array" ref="Y265">_xlfn.IFS(H265=1,2,H265=3,1)</f>
      </c>
      <c r="Z265" s="4">
        <f t="shared" si="316"/>
      </c>
      <c r="AA265" s="4">
        <f t="shared" si="323"/>
      </c>
      <c r="AB265" s="4">
        <f t="shared" si="317"/>
      </c>
      <c r="AC265" s="4">
        <f t="shared" si="324"/>
      </c>
      <c r="AD265" s="4">
        <f t="shared" si="318"/>
      </c>
      <c r="AE265" s="4">
        <f t="shared" si="334"/>
      </c>
      <c r="AF265" s="4">
        <f t="shared" si="335"/>
      </c>
      <c r="AG265" s="4">
        <f t="shared" si="336"/>
        <v/>
      </c>
      <c r="AH265" s="4">
        <f t="shared" si="325"/>
      </c>
      <c r="AI265" s="4">
        <f t="shared" si="337"/>
      </c>
      <c r="AJ265" s="4">
        <f t="shared" si="326"/>
      </c>
      <c r="AK265" s="4">
        <f t="shared" si="319"/>
      </c>
      <c r="AL265" s="4">
        <f t="shared" si="327"/>
      </c>
      <c r="AM265" s="4">
        <f t="shared" si="328"/>
      </c>
      <c r="AN265" s="4"/>
      <c r="AO265" s="4">
        <f t="shared" si="332"/>
      </c>
      <c r="AP265" s="4">
        <f t="shared" si="329"/>
      </c>
      <c r="AQ265" s="4">
        <f t="shared" si="333"/>
        <v/>
      </c>
      <c r="AR265" s="4">
        <f t="shared" si="330"/>
      </c>
      <c r="AS265" s="4">
        <f t="shared" si="331"/>
      </c>
      <c r="AT265" s="4">
        <f t="shared" si="308"/>
      </c>
    </row>
    <row r="266" spans="1:46" x14ac:dyDescent="0.3">
      <c r="A266" s="5">
        <f t="shared" si="311"/>
      </c>
      <c r="B266" s="4">
        <f t="shared" si="320"/>
      </c>
      <c r="C266" s="119"/>
      <c r="D266" s="119"/>
      <c r="E266" s="105"/>
      <c r="F266" s="173"/>
      <c r="G266" s="173"/>
      <c r="H266" s="173"/>
      <c r="I266" s="105"/>
      <c r="J266" s="105"/>
      <c r="K266" s="105"/>
      <c r="L266" s="105"/>
      <c r="M266" s="4">
        <f t="shared" si="321"/>
      </c>
      <c r="N266" s="65"/>
      <c r="O266" s="168"/>
      <c r="P266" s="59">
        <f t="shared" si="309"/>
      </c>
      <c r="Q266" s="118"/>
      <c r="R266" s="65"/>
      <c r="S266" s="168"/>
      <c r="T266" s="5">
        <f t="shared" si="322"/>
      </c>
      <c r="U266" s="4">
        <f t="shared" si="312"/>
      </c>
      <c r="V266" s="4">
        <f t="shared" si="313"/>
      </c>
      <c r="W266" s="4">
        <f t="shared" si="314"/>
      </c>
      <c r="X266" s="4">
        <f t="shared" si="315"/>
      </c>
      <c r="Y266" s="4" cm="1">
        <f t="array" ref="Y266">_xlfn.IFS(H266=1,2,H266=3,1)</f>
      </c>
      <c r="Z266" s="4">
        <f t="shared" si="316"/>
      </c>
      <c r="AA266" s="4">
        <f t="shared" si="323"/>
      </c>
      <c r="AB266" s="4">
        <f t="shared" si="317"/>
      </c>
      <c r="AC266" s="4">
        <f t="shared" si="324"/>
      </c>
      <c r="AD266" s="4">
        <f t="shared" si="318"/>
      </c>
      <c r="AE266" s="4">
        <f t="shared" si="334"/>
      </c>
      <c r="AF266" s="4">
        <f t="shared" si="335"/>
      </c>
      <c r="AG266" s="4">
        <f t="shared" si="336"/>
        <v/>
      </c>
      <c r="AH266" s="4">
        <f t="shared" si="325"/>
      </c>
      <c r="AI266" s="4">
        <f t="shared" si="337"/>
      </c>
      <c r="AJ266" s="4">
        <f t="shared" si="326"/>
      </c>
      <c r="AK266" s="4">
        <f t="shared" si="319"/>
      </c>
      <c r="AL266" s="4">
        <f t="shared" si="327"/>
      </c>
      <c r="AM266" s="4">
        <f t="shared" si="328"/>
      </c>
      <c r="AN266" s="4"/>
      <c r="AO266" s="4">
        <f t="shared" si="332"/>
      </c>
      <c r="AP266" s="4">
        <f t="shared" si="329"/>
      </c>
      <c r="AQ266" s="4">
        <f t="shared" si="333"/>
        <v/>
      </c>
      <c r="AR266" s="4">
        <f t="shared" si="330"/>
      </c>
      <c r="AS266" s="4">
        <f t="shared" si="331"/>
      </c>
      <c r="AT266" s="4">
        <f t="shared" si="308"/>
      </c>
    </row>
    <row r="267" spans="1:46" x14ac:dyDescent="0.3">
      <c r="A267" s="5">
        <f t="shared" si="311"/>
      </c>
      <c r="B267" s="4">
        <f t="shared" si="320"/>
      </c>
      <c r="C267" s="119"/>
      <c r="D267" s="119"/>
      <c r="E267" s="105"/>
      <c r="F267" s="173"/>
      <c r="G267" s="173"/>
      <c r="H267" s="173"/>
      <c r="I267" s="105"/>
      <c r="J267" s="105"/>
      <c r="K267" s="105"/>
      <c r="L267" s="105"/>
      <c r="M267" s="4">
        <f t="shared" si="321"/>
      </c>
      <c r="N267" s="65"/>
      <c r="O267" s="168"/>
      <c r="P267" s="59">
        <f t="shared" si="309"/>
      </c>
      <c r="Q267" s="118"/>
      <c r="R267" s="65"/>
      <c r="S267" s="168"/>
      <c r="T267" s="5">
        <f t="shared" si="322"/>
      </c>
      <c r="U267" s="4">
        <f t="shared" si="312"/>
      </c>
      <c r="V267" s="4">
        <f t="shared" si="313"/>
      </c>
      <c r="W267" s="4">
        <f t="shared" si="314"/>
      </c>
      <c r="X267" s="4">
        <f t="shared" si="315"/>
      </c>
      <c r="Y267" s="4" cm="1">
        <f t="array" ref="Y267">_xlfn.IFS(H267=1,2,H267=3,1)</f>
      </c>
      <c r="Z267" s="4">
        <f t="shared" si="316"/>
      </c>
      <c r="AA267" s="4">
        <f t="shared" si="323"/>
      </c>
      <c r="AB267" s="4">
        <f t="shared" si="317"/>
      </c>
      <c r="AC267" s="4">
        <f t="shared" si="324"/>
      </c>
      <c r="AD267" s="4">
        <f t="shared" si="318"/>
      </c>
      <c r="AE267" s="4">
        <f t="shared" si="334"/>
      </c>
      <c r="AF267" s="4">
        <f t="shared" si="335"/>
      </c>
      <c r="AG267" s="4">
        <f t="shared" si="336"/>
        <v/>
      </c>
      <c r="AH267" s="4">
        <f t="shared" si="325"/>
      </c>
      <c r="AI267" s="4">
        <f t="shared" si="337"/>
      </c>
      <c r="AJ267" s="4">
        <f t="shared" si="326"/>
      </c>
      <c r="AK267" s="4">
        <f t="shared" si="319"/>
      </c>
      <c r="AL267" s="4">
        <f t="shared" si="327"/>
      </c>
      <c r="AM267" s="4">
        <f t="shared" si="328"/>
      </c>
      <c r="AN267" s="4"/>
      <c r="AO267" s="4">
        <f t="shared" si="332"/>
      </c>
      <c r="AP267" s="4">
        <f t="shared" si="329"/>
      </c>
      <c r="AQ267" s="4">
        <f t="shared" si="333"/>
        <v/>
      </c>
      <c r="AR267" s="4">
        <f t="shared" si="330"/>
      </c>
      <c r="AS267" s="4">
        <f t="shared" si="331"/>
      </c>
      <c r="AT267" s="4">
        <f t="shared" ref="AT267:AT330" si="338">IF(AR267=0,AS267,AR267)</f>
      </c>
    </row>
    <row r="268" spans="1:46" x14ac:dyDescent="0.3">
      <c r="A268" s="5">
        <f t="shared" si="311"/>
      </c>
      <c r="B268" s="4">
        <f t="shared" si="320"/>
      </c>
      <c r="C268" s="119"/>
      <c r="D268" s="119"/>
      <c r="E268" s="105"/>
      <c r="F268" s="173"/>
      <c r="G268" s="173"/>
      <c r="H268" s="173"/>
      <c r="I268" s="105"/>
      <c r="J268" s="105"/>
      <c r="K268" s="105"/>
      <c r="L268" s="105"/>
      <c r="M268" s="4">
        <f t="shared" si="321"/>
      </c>
      <c r="N268" s="65"/>
      <c r="O268" s="168"/>
      <c r="P268" s="59">
        <f t="shared" si="309"/>
      </c>
      <c r="Q268" s="118"/>
      <c r="R268" s="65"/>
      <c r="S268" s="168"/>
      <c r="T268" s="5">
        <f t="shared" si="322"/>
      </c>
      <c r="U268" s="4">
        <f t="shared" si="312"/>
      </c>
      <c r="V268" s="4">
        <f t="shared" si="313"/>
      </c>
      <c r="W268" s="4">
        <f t="shared" si="314"/>
      </c>
      <c r="X268" s="4">
        <f t="shared" si="315"/>
      </c>
      <c r="Y268" s="4" cm="1">
        <f t="array" ref="Y268">_xlfn.IFS(H268=1,2,H268=3,1)</f>
      </c>
      <c r="Z268" s="4">
        <f t="shared" si="316"/>
      </c>
      <c r="AA268" s="4">
        <f t="shared" si="323"/>
      </c>
      <c r="AB268" s="4">
        <f t="shared" si="317"/>
      </c>
      <c r="AC268" s="4">
        <f t="shared" si="324"/>
      </c>
      <c r="AD268" s="4">
        <f t="shared" si="318"/>
      </c>
      <c r="AE268" s="4">
        <f t="shared" si="334"/>
      </c>
      <c r="AF268" s="4">
        <f t="shared" si="335"/>
      </c>
      <c r="AG268" s="4">
        <f t="shared" si="336"/>
        <v/>
      </c>
      <c r="AH268" s="4">
        <f t="shared" si="325"/>
      </c>
      <c r="AI268" s="4">
        <f t="shared" si="337"/>
      </c>
      <c r="AJ268" s="4">
        <f t="shared" si="326"/>
      </c>
      <c r="AK268" s="4">
        <f t="shared" si="319"/>
      </c>
      <c r="AL268" s="4">
        <f t="shared" si="327"/>
      </c>
      <c r="AM268" s="4">
        <f t="shared" si="328"/>
      </c>
      <c r="AN268" s="4"/>
      <c r="AO268" s="4">
        <f t="shared" si="332"/>
      </c>
      <c r="AP268" s="4">
        <f t="shared" si="329"/>
      </c>
      <c r="AQ268" s="4">
        <f t="shared" si="333"/>
        <v/>
      </c>
      <c r="AR268" s="4">
        <f t="shared" si="330"/>
      </c>
      <c r="AS268" s="4">
        <f t="shared" si="331"/>
      </c>
      <c r="AT268" s="4">
        <f t="shared" si="338"/>
      </c>
    </row>
    <row r="269" spans="1:46" x14ac:dyDescent="0.3">
      <c r="A269" s="5">
        <f t="shared" si="311"/>
      </c>
      <c r="B269" s="4">
        <f t="shared" si="320"/>
      </c>
      <c r="C269" s="119"/>
      <c r="D269" s="119"/>
      <c r="E269" s="105"/>
      <c r="F269" s="173"/>
      <c r="G269" s="173"/>
      <c r="H269" s="173"/>
      <c r="I269" s="105"/>
      <c r="J269" s="105"/>
      <c r="K269" s="105"/>
      <c r="L269" s="105"/>
      <c r="M269" s="4">
        <f t="shared" si="321"/>
      </c>
      <c r="N269" s="65"/>
      <c r="O269" s="168"/>
      <c r="P269" s="59">
        <f t="shared" si="309"/>
      </c>
      <c r="Q269" s="118"/>
      <c r="R269" s="65"/>
      <c r="S269" s="168"/>
      <c r="T269" s="5">
        <f t="shared" si="322"/>
      </c>
      <c r="U269" s="4">
        <f t="shared" si="312"/>
      </c>
      <c r="V269" s="4">
        <f t="shared" si="313"/>
      </c>
      <c r="W269" s="4">
        <f t="shared" si="314"/>
      </c>
      <c r="X269" s="4">
        <f t="shared" si="315"/>
      </c>
      <c r="Y269" s="4" cm="1">
        <f t="array" ref="Y269">_xlfn.IFS(H269=1,2,H269=3,1)</f>
      </c>
      <c r="Z269" s="4">
        <f t="shared" si="316"/>
      </c>
      <c r="AA269" s="4">
        <f t="shared" si="323"/>
      </c>
      <c r="AB269" s="4">
        <f t="shared" si="317"/>
      </c>
      <c r="AC269" s="4">
        <f t="shared" si="324"/>
      </c>
      <c r="AD269" s="4">
        <f t="shared" si="318"/>
      </c>
      <c r="AE269" s="4">
        <f t="shared" si="334"/>
      </c>
      <c r="AF269" s="4">
        <f t="shared" si="335"/>
      </c>
      <c r="AG269" s="4">
        <f t="shared" si="336"/>
        <v/>
      </c>
      <c r="AH269" s="4">
        <f t="shared" si="325"/>
      </c>
      <c r="AI269" s="4">
        <f t="shared" si="337"/>
      </c>
      <c r="AJ269" s="4">
        <f t="shared" si="326"/>
      </c>
      <c r="AK269" s="4">
        <f t="shared" si="319"/>
      </c>
      <c r="AL269" s="4">
        <f t="shared" si="327"/>
      </c>
      <c r="AM269" s="4">
        <f t="shared" si="328"/>
      </c>
      <c r="AN269" s="4"/>
      <c r="AO269" s="4">
        <f t="shared" si="332"/>
      </c>
      <c r="AP269" s="4">
        <f t="shared" si="329"/>
      </c>
      <c r="AQ269" s="4">
        <f t="shared" si="333"/>
        <v/>
      </c>
      <c r="AR269" s="4">
        <f t="shared" si="330"/>
      </c>
      <c r="AS269" s="4">
        <f t="shared" si="331"/>
      </c>
      <c r="AT269" s="4">
        <f t="shared" si="338"/>
      </c>
    </row>
    <row r="270" spans="1:46" x14ac:dyDescent="0.3">
      <c r="A270" s="5">
        <f t="shared" si="311"/>
      </c>
      <c r="B270" s="4">
        <f t="shared" si="320"/>
      </c>
      <c r="C270" s="119"/>
      <c r="D270" s="119"/>
      <c r="E270" s="105"/>
      <c r="F270" s="173"/>
      <c r="G270" s="173"/>
      <c r="H270" s="173"/>
      <c r="I270" s="105"/>
      <c r="J270" s="105"/>
      <c r="K270" s="105"/>
      <c r="L270" s="105"/>
      <c r="M270" s="4">
        <f t="shared" si="321"/>
      </c>
      <c r="N270" s="65"/>
      <c r="O270" s="168"/>
      <c r="P270" s="59">
        <f t="shared" si="309"/>
      </c>
      <c r="Q270" s="118"/>
      <c r="R270" s="65"/>
      <c r="S270" s="168"/>
      <c r="T270" s="5">
        <f t="shared" si="322"/>
      </c>
      <c r="U270" s="4">
        <f t="shared" si="312"/>
      </c>
      <c r="V270" s="4">
        <f t="shared" si="313"/>
      </c>
      <c r="W270" s="4">
        <f t="shared" si="314"/>
      </c>
      <c r="X270" s="4">
        <f t="shared" si="315"/>
      </c>
      <c r="Y270" s="4" cm="1">
        <f t="array" ref="Y270">_xlfn.IFS(H270=1,2,H270=3,1)</f>
      </c>
      <c r="Z270" s="4">
        <f t="shared" si="316"/>
      </c>
      <c r="AA270" s="4">
        <f t="shared" si="323"/>
      </c>
      <c r="AB270" s="4">
        <f t="shared" si="317"/>
      </c>
      <c r="AC270" s="4">
        <f t="shared" si="324"/>
      </c>
      <c r="AD270" s="4">
        <f t="shared" si="318"/>
      </c>
      <c r="AE270" s="4">
        <f t="shared" si="334"/>
      </c>
      <c r="AF270" s="4">
        <f t="shared" si="335"/>
      </c>
      <c r="AG270" s="4">
        <f t="shared" si="336"/>
        <v/>
      </c>
      <c r="AH270" s="4">
        <f t="shared" si="325"/>
      </c>
      <c r="AI270" s="4">
        <f t="shared" si="337"/>
      </c>
      <c r="AJ270" s="4">
        <f t="shared" si="326"/>
      </c>
      <c r="AK270" s="4">
        <f t="shared" si="319"/>
      </c>
      <c r="AL270" s="4">
        <f t="shared" si="327"/>
      </c>
      <c r="AM270" s="4">
        <f t="shared" si="328"/>
      </c>
      <c r="AN270" s="4"/>
      <c r="AO270" s="4">
        <f t="shared" si="332"/>
      </c>
      <c r="AP270" s="4">
        <f t="shared" si="329"/>
      </c>
      <c r="AQ270" s="4">
        <f t="shared" si="333"/>
        <v/>
      </c>
      <c r="AR270" s="4">
        <f t="shared" si="330"/>
      </c>
      <c r="AS270" s="4">
        <f t="shared" si="331"/>
      </c>
      <c r="AT270" s="4">
        <f t="shared" si="338"/>
      </c>
    </row>
    <row r="271" spans="1:46" x14ac:dyDescent="0.3">
      <c r="A271" s="5">
        <f t="shared" si="311"/>
      </c>
      <c r="B271" s="4">
        <f t="shared" si="320"/>
      </c>
      <c r="C271" s="119"/>
      <c r="D271" s="119"/>
      <c r="E271" s="105"/>
      <c r="F271" s="173"/>
      <c r="G271" s="173"/>
      <c r="H271" s="173"/>
      <c r="I271" s="105"/>
      <c r="J271" s="105"/>
      <c r="K271" s="105"/>
      <c r="L271" s="105"/>
      <c r="M271" s="4">
        <f t="shared" si="321"/>
      </c>
      <c r="N271" s="65"/>
      <c r="O271" s="168"/>
      <c r="P271" s="59">
        <f t="shared" si="309"/>
      </c>
      <c r="Q271" s="118"/>
      <c r="R271" s="65"/>
      <c r="S271" s="168"/>
      <c r="T271" s="5">
        <f t="shared" si="322"/>
      </c>
      <c r="U271" s="4">
        <f t="shared" si="312"/>
      </c>
      <c r="V271" s="4">
        <f t="shared" si="313"/>
      </c>
      <c r="W271" s="4">
        <f t="shared" si="314"/>
      </c>
      <c r="X271" s="4">
        <f t="shared" si="315"/>
      </c>
      <c r="Y271" s="4" cm="1">
        <f t="array" ref="Y271">_xlfn.IFS(H271=1,2,H271=3,1)</f>
      </c>
      <c r="Z271" s="4">
        <f t="shared" si="316"/>
      </c>
      <c r="AA271" s="4">
        <f t="shared" si="323"/>
      </c>
      <c r="AB271" s="4">
        <f t="shared" si="317"/>
      </c>
      <c r="AC271" s="4">
        <f t="shared" si="324"/>
      </c>
      <c r="AD271" s="4">
        <f t="shared" si="318"/>
      </c>
      <c r="AE271" s="4">
        <f t="shared" si="334"/>
      </c>
      <c r="AF271" s="4">
        <f t="shared" si="335"/>
      </c>
      <c r="AG271" s="4">
        <f t="shared" si="336"/>
        <v/>
      </c>
      <c r="AH271" s="4">
        <f t="shared" si="325"/>
      </c>
      <c r="AI271" s="4">
        <f t="shared" si="337"/>
      </c>
      <c r="AJ271" s="4">
        <f t="shared" si="326"/>
      </c>
      <c r="AK271" s="4">
        <f t="shared" si="319"/>
      </c>
      <c r="AL271" s="4">
        <f t="shared" si="327"/>
      </c>
      <c r="AM271" s="4">
        <f t="shared" si="328"/>
      </c>
      <c r="AN271" s="4"/>
      <c r="AO271" s="4">
        <f t="shared" si="332"/>
      </c>
      <c r="AP271" s="4">
        <f t="shared" si="329"/>
      </c>
      <c r="AQ271" s="4">
        <f t="shared" si="333"/>
        <v/>
      </c>
      <c r="AR271" s="4">
        <f t="shared" si="330"/>
      </c>
      <c r="AS271" s="4">
        <f t="shared" si="331"/>
      </c>
      <c r="AT271" s="4">
        <f t="shared" si="338"/>
      </c>
    </row>
    <row r="272" spans="1:46" x14ac:dyDescent="0.3">
      <c r="A272" s="5">
        <f t="shared" si="311"/>
      </c>
      <c r="B272" s="4">
        <f t="shared" si="320"/>
      </c>
      <c r="C272" s="119"/>
      <c r="D272" s="119"/>
      <c r="E272" s="105"/>
      <c r="F272" s="173"/>
      <c r="G272" s="173"/>
      <c r="H272" s="173"/>
      <c r="I272" s="105"/>
      <c r="J272" s="105"/>
      <c r="K272" s="105"/>
      <c r="L272" s="105"/>
      <c r="M272" s="4">
        <f t="shared" si="321"/>
      </c>
      <c r="N272" s="65"/>
      <c r="O272" s="168"/>
      <c r="P272" s="59">
        <f t="shared" si="309"/>
      </c>
      <c r="Q272" s="118"/>
      <c r="R272" s="65"/>
      <c r="S272" s="168"/>
      <c r="T272" s="5">
        <f t="shared" si="322"/>
      </c>
      <c r="U272" s="4">
        <f t="shared" si="312"/>
      </c>
      <c r="V272" s="4">
        <f t="shared" si="313"/>
      </c>
      <c r="W272" s="4">
        <f t="shared" si="314"/>
      </c>
      <c r="X272" s="4">
        <f t="shared" si="315"/>
      </c>
      <c r="Y272" s="4" cm="1">
        <f t="array" ref="Y272">_xlfn.IFS(H272=1,2,H272=3,1)</f>
      </c>
      <c r="Z272" s="4">
        <f t="shared" si="316"/>
      </c>
      <c r="AA272" s="4">
        <f t="shared" si="323"/>
      </c>
      <c r="AB272" s="4">
        <f t="shared" si="317"/>
      </c>
      <c r="AC272" s="4">
        <f t="shared" si="324"/>
      </c>
      <c r="AD272" s="4">
        <f t="shared" si="318"/>
      </c>
      <c r="AE272" s="4">
        <f t="shared" si="334"/>
      </c>
      <c r="AF272" s="4">
        <f t="shared" si="335"/>
      </c>
      <c r="AG272" s="4">
        <f t="shared" si="336"/>
        <v/>
      </c>
      <c r="AH272" s="4">
        <f t="shared" si="325"/>
      </c>
      <c r="AI272" s="4">
        <f t="shared" si="337"/>
      </c>
      <c r="AJ272" s="4">
        <f t="shared" si="326"/>
      </c>
      <c r="AK272" s="4">
        <f t="shared" si="319"/>
      </c>
      <c r="AL272" s="4">
        <f t="shared" si="327"/>
      </c>
      <c r="AM272" s="4">
        <f t="shared" si="328"/>
      </c>
      <c r="AN272" s="4"/>
      <c r="AO272" s="4">
        <f t="shared" si="332"/>
      </c>
      <c r="AP272" s="4">
        <f t="shared" si="329"/>
      </c>
      <c r="AQ272" s="4">
        <f t="shared" si="333"/>
        <v/>
      </c>
      <c r="AR272" s="4">
        <f t="shared" si="330"/>
      </c>
      <c r="AS272" s="4">
        <f t="shared" si="331"/>
      </c>
      <c r="AT272" s="4">
        <f t="shared" si="338"/>
      </c>
    </row>
    <row r="273" spans="1:46" x14ac:dyDescent="0.3">
      <c r="A273" s="5">
        <f t="shared" si="311"/>
      </c>
      <c r="B273" s="4">
        <f t="shared" si="320"/>
      </c>
      <c r="C273" s="119"/>
      <c r="D273" s="119"/>
      <c r="E273" s="105"/>
      <c r="F273" s="173"/>
      <c r="G273" s="173"/>
      <c r="H273" s="173"/>
      <c r="I273" s="105"/>
      <c r="J273" s="105"/>
      <c r="K273" s="105"/>
      <c r="L273" s="105"/>
      <c r="M273" s="4">
        <f t="shared" si="321"/>
      </c>
      <c r="N273" s="65"/>
      <c r="O273" s="168"/>
      <c r="P273" s="59">
        <f t="shared" si="309"/>
      </c>
      <c r="Q273" s="118"/>
      <c r="R273" s="65"/>
      <c r="S273" s="168"/>
      <c r="T273" s="5">
        <f t="shared" si="322"/>
      </c>
      <c r="U273" s="4">
        <f t="shared" si="312"/>
      </c>
      <c r="V273" s="4">
        <f t="shared" si="313"/>
      </c>
      <c r="W273" s="4">
        <f t="shared" si="314"/>
      </c>
      <c r="X273" s="4">
        <f t="shared" si="315"/>
      </c>
      <c r="Y273" s="4" cm="1">
        <f t="array" ref="Y273">_xlfn.IFS(H273=1,2,H273=3,1)</f>
      </c>
      <c r="Z273" s="4">
        <f t="shared" si="316"/>
      </c>
      <c r="AA273" s="4">
        <f t="shared" si="323"/>
      </c>
      <c r="AB273" s="4">
        <f t="shared" si="317"/>
      </c>
      <c r="AC273" s="4">
        <f t="shared" si="324"/>
      </c>
      <c r="AD273" s="4">
        <f t="shared" si="318"/>
      </c>
      <c r="AE273" s="4">
        <f t="shared" si="334"/>
      </c>
      <c r="AF273" s="4">
        <f t="shared" si="335"/>
      </c>
      <c r="AG273" s="4">
        <f t="shared" si="336"/>
        <v/>
      </c>
      <c r="AH273" s="4">
        <f t="shared" si="325"/>
      </c>
      <c r="AI273" s="4">
        <f t="shared" si="337"/>
      </c>
      <c r="AJ273" s="4">
        <f t="shared" si="326"/>
      </c>
      <c r="AK273" s="4">
        <f t="shared" si="319"/>
      </c>
      <c r="AL273" s="4">
        <f t="shared" si="327"/>
      </c>
      <c r="AM273" s="4">
        <f t="shared" si="328"/>
      </c>
      <c r="AN273" s="4"/>
      <c r="AO273" s="4">
        <f t="shared" si="332"/>
      </c>
      <c r="AP273" s="4">
        <f t="shared" si="329"/>
      </c>
      <c r="AQ273" s="4">
        <f t="shared" si="333"/>
        <v/>
      </c>
      <c r="AR273" s="4">
        <f t="shared" si="330"/>
      </c>
      <c r="AS273" s="4">
        <f t="shared" si="331"/>
      </c>
      <c r="AT273" s="4">
        <f t="shared" si="338"/>
      </c>
    </row>
    <row r="274" spans="1:46" ht="15" thickBot="1" x14ac:dyDescent="0.35">
      <c r="A274" s="45">
        <f t="shared" si="311"/>
      </c>
      <c r="B274" s="44">
        <f t="shared" si="320"/>
      </c>
      <c r="C274" s="175"/>
      <c r="D274" s="175"/>
      <c r="E274" s="176"/>
      <c r="F274" s="178"/>
      <c r="G274" s="178"/>
      <c r="H274" s="178"/>
      <c r="I274" s="105"/>
      <c r="J274" s="176"/>
      <c r="K274" s="176"/>
      <c r="L274" s="176"/>
      <c r="M274" s="44">
        <f t="shared" si="321"/>
      </c>
      <c r="N274" s="64"/>
      <c r="O274" s="166"/>
      <c r="P274" s="64">
        <f t="shared" si="309"/>
      </c>
      <c r="Q274" s="170"/>
      <c r="R274" s="64"/>
      <c r="S274" s="166"/>
      <c r="T274" s="45">
        <f t="shared" si="322"/>
      </c>
      <c r="U274" s="44">
        <f t="shared" si="312"/>
      </c>
      <c r="V274" s="44">
        <f t="shared" si="313"/>
      </c>
      <c r="W274" s="44">
        <f t="shared" si="314"/>
      </c>
      <c r="X274" s="44">
        <f t="shared" si="315"/>
      </c>
      <c r="Y274" s="44" cm="1">
        <f t="array" ref="Y274">_xlfn.IFS(H274=1,2,H274=3,1)</f>
      </c>
      <c r="Z274" s="44">
        <f t="shared" si="316"/>
      </c>
      <c r="AA274" s="44">
        <f t="shared" si="323"/>
      </c>
      <c r="AB274" s="44">
        <f t="shared" si="317"/>
      </c>
      <c r="AC274" s="44">
        <f t="shared" si="324"/>
      </c>
      <c r="AD274" s="44">
        <f t="shared" si="318"/>
      </c>
      <c r="AE274" s="44">
        <f t="shared" si="334"/>
      </c>
      <c r="AF274" s="44">
        <f t="shared" si="335"/>
      </c>
      <c r="AG274" s="44">
        <f t="shared" si="336"/>
        <v/>
      </c>
      <c r="AH274" s="44">
        <f t="shared" si="325"/>
      </c>
      <c r="AI274" s="44">
        <f t="shared" si="337"/>
      </c>
      <c r="AJ274" s="44">
        <f t="shared" si="326"/>
      </c>
      <c r="AK274" s="44">
        <f t="shared" si="319"/>
      </c>
      <c r="AL274" s="44">
        <f t="shared" si="327"/>
      </c>
      <c r="AM274" s="44">
        <f t="shared" si="328"/>
      </c>
      <c r="AN274" s="44"/>
      <c r="AO274" s="44">
        <f t="shared" si="332"/>
      </c>
      <c r="AP274" s="44">
        <f t="shared" si="329"/>
      </c>
      <c r="AQ274" s="44">
        <f t="shared" si="333"/>
        <v/>
      </c>
      <c r="AR274" s="44">
        <f t="shared" si="330"/>
      </c>
      <c r="AS274" s="44">
        <f t="shared" si="331"/>
      </c>
      <c r="AT274" s="44">
        <f t="shared" si="338"/>
      </c>
    </row>
    <row r="275" spans="1:46" x14ac:dyDescent="0.3">
      <c r="A275" s="19">
        <f t="shared" si="311"/>
      </c>
      <c r="B275" s="7">
        <f t="shared" si="320"/>
      </c>
      <c r="C275" s="177"/>
      <c r="D275" s="177"/>
      <c r="E275" s="179"/>
      <c r="F275" s="182"/>
      <c r="G275" s="182"/>
      <c r="H275" s="182"/>
      <c r="I275" s="105"/>
      <c r="J275" s="179"/>
      <c r="K275" s="179"/>
      <c r="L275" s="179"/>
      <c r="M275" s="7">
        <f t="shared" si="321"/>
      </c>
      <c r="N275" s="65"/>
      <c r="O275" s="168"/>
      <c r="P275" s="65">
        <f t="shared" si="309"/>
      </c>
      <c r="Q275" s="118"/>
      <c r="R275" s="65"/>
      <c r="S275" s="168"/>
      <c r="T275" s="19">
        <f t="shared" si="322"/>
      </c>
      <c r="U275" s="7">
        <f t="shared" si="312"/>
      </c>
      <c r="V275" s="7">
        <f t="shared" si="313"/>
      </c>
      <c r="W275" s="7">
        <f t="shared" si="314"/>
      </c>
      <c r="X275" s="7">
        <f t="shared" si="315"/>
      </c>
      <c r="Y275" s="7" cm="1">
        <f t="array" ref="Y275">_xlfn.IFS(H275=1,2,H275=3,1)</f>
      </c>
      <c r="Z275" s="7">
        <f t="shared" si="316"/>
      </c>
      <c r="AA275" s="7">
        <f t="shared" si="323"/>
      </c>
      <c r="AB275" s="7">
        <f t="shared" si="317"/>
      </c>
      <c r="AC275" s="7">
        <f t="shared" si="324"/>
      </c>
      <c r="AD275" s="7">
        <f t="shared" si="318"/>
      </c>
      <c r="AE275" s="7">
        <f t="shared" si="334"/>
      </c>
      <c r="AF275" s="7">
        <f t="shared" si="335"/>
      </c>
      <c r="AG275" s="7">
        <f t="shared" si="336"/>
        <v/>
      </c>
      <c r="AH275" s="7">
        <f t="shared" si="325"/>
      </c>
      <c r="AI275" s="7">
        <f t="shared" si="337"/>
      </c>
      <c r="AJ275" s="7">
        <f t="shared" si="326"/>
      </c>
      <c r="AK275" s="7">
        <f t="shared" si="319"/>
      </c>
      <c r="AL275" s="7">
        <f t="shared" si="327"/>
      </c>
      <c r="AM275" s="7">
        <f t="shared" si="328"/>
      </c>
      <c r="AN275" s="7"/>
      <c r="AO275" s="7">
        <f t="shared" si="332"/>
      </c>
      <c r="AP275" s="7">
        <f t="shared" si="329"/>
      </c>
      <c r="AQ275" s="7">
        <f t="shared" si="333"/>
        <v/>
      </c>
      <c r="AR275" s="7">
        <f t="shared" si="330"/>
      </c>
      <c r="AS275" s="7">
        <f t="shared" si="331"/>
      </c>
      <c r="AT275" s="7">
        <f t="shared" si="338"/>
      </c>
    </row>
    <row r="276" spans="1:46" x14ac:dyDescent="0.3">
      <c r="A276" s="5">
        <f t="shared" si="311"/>
      </c>
      <c r="B276" s="4">
        <f t="shared" si="320"/>
      </c>
      <c r="C276" s="119"/>
      <c r="D276" s="119"/>
      <c r="E276" s="105"/>
      <c r="F276" s="173"/>
      <c r="G276" s="173"/>
      <c r="H276" s="173"/>
      <c r="I276" s="192"/>
      <c r="J276" s="105"/>
      <c r="K276" s="105"/>
      <c r="L276" s="105"/>
      <c r="M276" s="4">
        <f t="shared" si="321"/>
      </c>
      <c r="N276" s="100"/>
      <c r="O276" s="164"/>
      <c r="P276" s="59">
        <f t="shared" si="309"/>
      </c>
      <c r="Q276" s="118"/>
      <c r="R276" s="100"/>
      <c r="S276" s="168"/>
      <c r="T276" s="5">
        <f t="shared" si="322"/>
      </c>
      <c r="U276" s="4">
        <f t="shared" si="312"/>
      </c>
      <c r="V276" s="4">
        <f t="shared" si="313"/>
      </c>
      <c r="W276" s="4">
        <f t="shared" si="314"/>
      </c>
      <c r="X276" s="4">
        <f t="shared" si="315"/>
      </c>
      <c r="Y276" s="4" cm="1">
        <f t="array" ref="Y276">_xlfn.IFS(H276=1,2,H276=3,1)</f>
      </c>
      <c r="Z276" s="4">
        <f t="shared" si="316"/>
      </c>
      <c r="AA276" s="4">
        <f t="shared" si="323"/>
      </c>
      <c r="AB276" s="4">
        <f t="shared" si="317"/>
      </c>
      <c r="AC276" s="4">
        <f t="shared" si="324"/>
      </c>
      <c r="AD276" s="4">
        <f t="shared" si="318"/>
      </c>
      <c r="AE276" s="4">
        <f t="shared" si="334"/>
      </c>
      <c r="AF276" s="4">
        <f t="shared" si="335"/>
      </c>
      <c r="AG276" s="4">
        <f t="shared" si="336"/>
        <v/>
      </c>
      <c r="AH276" s="4">
        <f t="shared" si="325"/>
      </c>
      <c r="AI276" s="4">
        <f t="shared" si="337"/>
      </c>
      <c r="AJ276" s="4">
        <f t="shared" si="326"/>
      </c>
      <c r="AK276" s="4">
        <f t="shared" si="319"/>
      </c>
      <c r="AL276" s="4">
        <f t="shared" si="327"/>
      </c>
      <c r="AM276" s="4">
        <f t="shared" si="328"/>
      </c>
      <c r="AN276" s="4"/>
      <c r="AO276" s="4">
        <f t="shared" si="332"/>
      </c>
      <c r="AP276" s="4">
        <f t="shared" si="329"/>
      </c>
      <c r="AQ276" s="4">
        <f t="shared" si="333"/>
        <v/>
      </c>
      <c r="AR276" s="4">
        <f t="shared" si="330"/>
      </c>
      <c r="AS276" s="4">
        <f t="shared" si="331"/>
      </c>
      <c r="AT276" s="4">
        <f t="shared" si="338"/>
      </c>
    </row>
    <row r="277" spans="1:46" x14ac:dyDescent="0.3">
      <c r="A277" s="5">
        <f t="shared" si="311"/>
      </c>
      <c r="B277" s="4">
        <f t="shared" si="320"/>
      </c>
      <c r="C277" s="119"/>
      <c r="D277" s="119"/>
      <c r="E277" s="105"/>
      <c r="F277" s="173"/>
      <c r="G277" s="173"/>
      <c r="H277" s="173"/>
      <c r="I277" s="105"/>
      <c r="J277" s="105"/>
      <c r="K277" s="105"/>
      <c r="L277" s="105"/>
      <c r="M277" s="4">
        <f t="shared" si="321"/>
      </c>
      <c r="N277" s="100"/>
      <c r="O277" s="164"/>
      <c r="P277" s="59">
        <f t="shared" ref="P277:P340" si="339">IF(VLOOKUP(AH277,Потребители_обозначение,5,FALSE)=2,_xlfn.IFS(H277=3,VLOOKUP(E277,Справочная_двигатели,8,FALSE),H277=1,VLOOKUP(E277,Справочная_двигатели,10,TRUE)),0.95)</f>
      </c>
      <c r="Q277" s="165"/>
      <c r="R277" s="100"/>
      <c r="S277" s="168"/>
      <c r="T277" s="5">
        <f t="shared" si="322"/>
      </c>
      <c r="U277" s="4">
        <f t="shared" si="312"/>
      </c>
      <c r="V277" s="4">
        <f t="shared" si="313"/>
      </c>
      <c r="W277" s="4">
        <f t="shared" si="314"/>
      </c>
      <c r="X277" s="4">
        <f t="shared" si="315"/>
      </c>
      <c r="Y277" s="4" cm="1">
        <f t="array" ref="Y277">_xlfn.IFS(H277=1,2,H277=3,1)</f>
      </c>
      <c r="Z277" s="4">
        <f t="shared" si="316"/>
      </c>
      <c r="AA277" s="4">
        <f t="shared" si="323"/>
      </c>
      <c r="AB277" s="4">
        <f t="shared" si="317"/>
      </c>
      <c r="AC277" s="4">
        <f t="shared" si="324"/>
      </c>
      <c r="AD277" s="4">
        <f t="shared" si="318"/>
      </c>
      <c r="AE277" s="4">
        <f t="shared" si="334"/>
      </c>
      <c r="AF277" s="4">
        <f t="shared" si="335"/>
      </c>
      <c r="AG277" s="4">
        <f t="shared" si="336"/>
        <v/>
      </c>
      <c r="AH277" s="4">
        <f t="shared" si="325"/>
      </c>
      <c r="AI277" s="4">
        <f t="shared" si="337"/>
      </c>
      <c r="AJ277" s="4">
        <f t="shared" si="326"/>
      </c>
      <c r="AK277" s="4">
        <f t="shared" si="319"/>
      </c>
      <c r="AL277" s="4">
        <f t="shared" si="327"/>
      </c>
      <c r="AM277" s="4">
        <f t="shared" si="328"/>
      </c>
      <c r="AN277" s="4"/>
      <c r="AO277" s="4">
        <f t="shared" si="332"/>
      </c>
      <c r="AP277" s="4">
        <f t="shared" si="329"/>
      </c>
      <c r="AQ277" s="4">
        <f t="shared" si="333"/>
        <v/>
      </c>
      <c r="AR277" s="4">
        <f t="shared" si="330"/>
      </c>
      <c r="AS277" s="4">
        <f t="shared" si="331"/>
      </c>
      <c r="AT277" s="4">
        <f t="shared" si="338"/>
      </c>
    </row>
    <row r="278" spans="1:46" x14ac:dyDescent="0.3">
      <c r="A278" s="5">
        <f t="shared" si="311"/>
      </c>
      <c r="B278" s="4">
        <f t="shared" si="320"/>
      </c>
      <c r="C278" s="119"/>
      <c r="D278" s="119"/>
      <c r="E278" s="105"/>
      <c r="F278" s="173"/>
      <c r="G278" s="173"/>
      <c r="H278" s="173"/>
      <c r="I278" s="105"/>
      <c r="J278" s="105"/>
      <c r="K278" s="105"/>
      <c r="L278" s="105"/>
      <c r="M278" s="4">
        <f t="shared" si="321"/>
      </c>
      <c r="N278" s="100"/>
      <c r="O278" s="164"/>
      <c r="P278" s="59">
        <f t="shared" si="339"/>
      </c>
      <c r="Q278" s="165"/>
      <c r="R278" s="100"/>
      <c r="S278" s="168"/>
      <c r="T278" s="5">
        <f t="shared" si="322"/>
      </c>
      <c r="U278" s="4">
        <f t="shared" si="312"/>
      </c>
      <c r="V278" s="4">
        <f t="shared" si="313"/>
      </c>
      <c r="W278" s="4">
        <f t="shared" si="314"/>
      </c>
      <c r="X278" s="4">
        <f t="shared" si="315"/>
      </c>
      <c r="Y278" s="4" cm="1">
        <f t="array" ref="Y278">_xlfn.IFS(H278=1,2,H278=3,1)</f>
      </c>
      <c r="Z278" s="4">
        <f t="shared" si="316"/>
      </c>
      <c r="AA278" s="4">
        <f t="shared" si="323"/>
      </c>
      <c r="AB278" s="4">
        <f t="shared" si="317"/>
      </c>
      <c r="AC278" s="4">
        <f t="shared" si="324"/>
      </c>
      <c r="AD278" s="4">
        <f t="shared" si="318"/>
      </c>
      <c r="AE278" s="4">
        <f t="shared" si="334"/>
      </c>
      <c r="AF278" s="4">
        <f t="shared" si="335"/>
      </c>
      <c r="AG278" s="4">
        <f t="shared" si="336"/>
        <v/>
      </c>
      <c r="AH278" s="4">
        <f t="shared" si="325"/>
      </c>
      <c r="AI278" s="4">
        <f t="shared" si="337"/>
      </c>
      <c r="AJ278" s="4">
        <f t="shared" si="326"/>
      </c>
      <c r="AK278" s="4">
        <f t="shared" si="319"/>
      </c>
      <c r="AL278" s="4">
        <f t="shared" si="327"/>
      </c>
      <c r="AM278" s="4">
        <f t="shared" si="328"/>
      </c>
      <c r="AN278" s="4"/>
      <c r="AO278" s="4">
        <f t="shared" si="332"/>
      </c>
      <c r="AP278" s="4">
        <f t="shared" si="329"/>
      </c>
      <c r="AQ278" s="4">
        <f t="shared" si="333"/>
        <v/>
      </c>
      <c r="AR278" s="4">
        <f t="shared" si="330"/>
      </c>
      <c r="AS278" s="4">
        <f t="shared" si="331"/>
      </c>
      <c r="AT278" s="4">
        <f t="shared" si="338"/>
      </c>
    </row>
    <row r="279" spans="1:46" x14ac:dyDescent="0.3">
      <c r="A279" s="5">
        <f t="shared" si="311"/>
      </c>
      <c r="B279" s="4">
        <f t="shared" si="320"/>
      </c>
      <c r="C279" s="119"/>
      <c r="D279" s="119"/>
      <c r="E279" s="105"/>
      <c r="F279" s="173"/>
      <c r="G279" s="173"/>
      <c r="H279" s="173"/>
      <c r="I279" s="105"/>
      <c r="J279" s="105"/>
      <c r="K279" s="105"/>
      <c r="L279" s="105"/>
      <c r="M279" s="4">
        <f t="shared" si="321"/>
      </c>
      <c r="N279" s="100"/>
      <c r="O279" s="164"/>
      <c r="P279" s="59">
        <f t="shared" si="339"/>
      </c>
      <c r="Q279" s="165"/>
      <c r="R279" s="100"/>
      <c r="S279" s="168"/>
      <c r="T279" s="5">
        <f t="shared" si="322"/>
      </c>
      <c r="U279" s="4">
        <f t="shared" si="312"/>
      </c>
      <c r="V279" s="4">
        <f t="shared" si="313"/>
      </c>
      <c r="W279" s="4">
        <f t="shared" si="314"/>
      </c>
      <c r="X279" s="4">
        <f t="shared" si="315"/>
      </c>
      <c r="Y279" s="4" cm="1">
        <f t="array" ref="Y279">_xlfn.IFS(H279=1,2,H279=3,1)</f>
      </c>
      <c r="Z279" s="4">
        <f t="shared" si="316"/>
      </c>
      <c r="AA279" s="4">
        <f t="shared" si="323"/>
      </c>
      <c r="AB279" s="4">
        <f t="shared" si="317"/>
      </c>
      <c r="AC279" s="4">
        <f t="shared" si="324"/>
      </c>
      <c r="AD279" s="4">
        <f t="shared" si="318"/>
      </c>
      <c r="AE279" s="4">
        <f t="shared" si="334"/>
      </c>
      <c r="AF279" s="4">
        <f t="shared" si="335"/>
      </c>
      <c r="AG279" s="4">
        <f t="shared" si="336"/>
        <v/>
      </c>
      <c r="AH279" s="4">
        <f t="shared" si="325"/>
      </c>
      <c r="AI279" s="4">
        <f t="shared" si="337"/>
      </c>
      <c r="AJ279" s="4">
        <f t="shared" si="326"/>
      </c>
      <c r="AK279" s="4">
        <f t="shared" si="319"/>
      </c>
      <c r="AL279" s="4">
        <f t="shared" si="327"/>
      </c>
      <c r="AM279" s="4">
        <f t="shared" si="328"/>
      </c>
      <c r="AN279" s="4"/>
      <c r="AO279" s="4">
        <f t="shared" si="332"/>
      </c>
      <c r="AP279" s="4">
        <f t="shared" si="329"/>
      </c>
      <c r="AQ279" s="4">
        <f t="shared" si="333"/>
        <v/>
      </c>
      <c r="AR279" s="4">
        <f t="shared" si="330"/>
      </c>
      <c r="AS279" s="4">
        <f t="shared" si="331"/>
      </c>
      <c r="AT279" s="4">
        <f t="shared" si="338"/>
      </c>
    </row>
    <row r="280" spans="1:46" x14ac:dyDescent="0.3">
      <c r="A280" s="5">
        <f t="shared" si="311"/>
      </c>
      <c r="B280" s="4">
        <f t="shared" si="320"/>
      </c>
      <c r="C280" s="119"/>
      <c r="D280" s="119"/>
      <c r="E280" s="105"/>
      <c r="F280" s="173"/>
      <c r="G280" s="173"/>
      <c r="H280" s="173"/>
      <c r="I280" s="105"/>
      <c r="J280" s="105"/>
      <c r="K280" s="105"/>
      <c r="L280" s="105"/>
      <c r="M280" s="4">
        <f t="shared" si="321"/>
      </c>
      <c r="N280" s="100"/>
      <c r="O280" s="164"/>
      <c r="P280" s="59">
        <f t="shared" si="339"/>
      </c>
      <c r="Q280" s="165"/>
      <c r="R280" s="100"/>
      <c r="S280" s="168"/>
      <c r="T280" s="5">
        <f t="shared" si="322"/>
      </c>
      <c r="U280" s="4">
        <f t="shared" si="312"/>
      </c>
      <c r="V280" s="4">
        <f t="shared" si="313"/>
      </c>
      <c r="W280" s="4">
        <f t="shared" si="314"/>
      </c>
      <c r="X280" s="4">
        <f t="shared" si="315"/>
      </c>
      <c r="Y280" s="4" cm="1">
        <f t="array" ref="Y280">_xlfn.IFS(H280=1,2,H280=3,1)</f>
      </c>
      <c r="Z280" s="4">
        <f t="shared" si="316"/>
      </c>
      <c r="AA280" s="4">
        <f t="shared" si="323"/>
      </c>
      <c r="AB280" s="4">
        <f t="shared" si="317"/>
      </c>
      <c r="AC280" s="4">
        <f t="shared" si="324"/>
      </c>
      <c r="AD280" s="4">
        <f t="shared" si="318"/>
      </c>
      <c r="AE280" s="4">
        <f t="shared" si="334"/>
      </c>
      <c r="AF280" s="4">
        <f t="shared" si="335"/>
      </c>
      <c r="AG280" s="4">
        <f t="shared" si="336"/>
        <v/>
      </c>
      <c r="AH280" s="4">
        <f t="shared" si="325"/>
      </c>
      <c r="AI280" s="4">
        <f t="shared" si="337"/>
      </c>
      <c r="AJ280" s="4">
        <f t="shared" si="326"/>
      </c>
      <c r="AK280" s="4">
        <f t="shared" si="319"/>
      </c>
      <c r="AL280" s="4">
        <f t="shared" si="327"/>
      </c>
      <c r="AM280" s="4">
        <f t="shared" si="328"/>
      </c>
      <c r="AN280" s="4"/>
      <c r="AO280" s="4">
        <f t="shared" si="332"/>
      </c>
      <c r="AP280" s="4">
        <f t="shared" si="329"/>
      </c>
      <c r="AQ280" s="4">
        <f t="shared" si="333"/>
        <v/>
      </c>
      <c r="AR280" s="4">
        <f t="shared" si="330"/>
      </c>
      <c r="AS280" s="4">
        <f t="shared" si="331"/>
      </c>
      <c r="AT280" s="4">
        <f t="shared" si="338"/>
      </c>
    </row>
    <row r="281" spans="1:46" x14ac:dyDescent="0.3">
      <c r="A281" s="5">
        <f t="shared" si="311"/>
      </c>
      <c r="B281" s="4">
        <f t="shared" si="320"/>
      </c>
      <c r="C281" s="119"/>
      <c r="D281" s="119"/>
      <c r="E281" s="105"/>
      <c r="F281" s="173"/>
      <c r="G281" s="173"/>
      <c r="H281" s="173"/>
      <c r="I281" s="192"/>
      <c r="J281" s="105"/>
      <c r="K281" s="105"/>
      <c r="L281" s="105"/>
      <c r="M281" s="4">
        <f t="shared" si="321"/>
      </c>
      <c r="N281" s="100"/>
      <c r="O281" s="164"/>
      <c r="P281" s="59">
        <f t="shared" si="339"/>
      </c>
      <c r="Q281" s="118"/>
      <c r="R281" s="100"/>
      <c r="S281" s="168"/>
      <c r="T281" s="5">
        <f t="shared" si="322"/>
      </c>
      <c r="U281" s="4">
        <f t="shared" si="312"/>
      </c>
      <c r="V281" s="4">
        <f t="shared" si="313"/>
      </c>
      <c r="W281" s="4">
        <f t="shared" si="314"/>
      </c>
      <c r="X281" s="4">
        <f t="shared" si="315"/>
      </c>
      <c r="Y281" s="4" cm="1">
        <f t="array" ref="Y281">_xlfn.IFS(H281=1,2,H281=3,1)</f>
      </c>
      <c r="Z281" s="4">
        <f t="shared" si="316"/>
      </c>
      <c r="AA281" s="4">
        <f t="shared" si="323"/>
      </c>
      <c r="AB281" s="4">
        <f t="shared" si="317"/>
      </c>
      <c r="AC281" s="4">
        <f t="shared" si="324"/>
      </c>
      <c r="AD281" s="4">
        <f t="shared" si="318"/>
      </c>
      <c r="AE281" s="4">
        <f t="shared" si="334"/>
      </c>
      <c r="AF281" s="4">
        <f t="shared" si="335"/>
      </c>
      <c r="AG281" s="4">
        <f t="shared" si="336"/>
        <v/>
      </c>
      <c r="AH281" s="4">
        <f t="shared" si="325"/>
      </c>
      <c r="AI281" s="4">
        <f t="shared" si="337"/>
      </c>
      <c r="AJ281" s="4">
        <f t="shared" si="326"/>
      </c>
      <c r="AK281" s="4">
        <f t="shared" si="319"/>
      </c>
      <c r="AL281" s="4">
        <f t="shared" si="327"/>
      </c>
      <c r="AM281" s="4">
        <f t="shared" si="328"/>
      </c>
      <c r="AN281" s="4"/>
      <c r="AO281" s="4">
        <f t="shared" si="332"/>
      </c>
      <c r="AP281" s="4">
        <f t="shared" si="329"/>
      </c>
      <c r="AQ281" s="4">
        <f t="shared" si="333"/>
        <v/>
      </c>
      <c r="AR281" s="4">
        <f t="shared" si="330"/>
      </c>
      <c r="AS281" s="4">
        <f t="shared" si="331"/>
      </c>
      <c r="AT281" s="4">
        <f t="shared" si="338"/>
      </c>
    </row>
    <row r="282" spans="1:46" x14ac:dyDescent="0.3">
      <c r="A282" s="5">
        <f t="shared" si="311"/>
      </c>
      <c r="B282" s="4">
        <f t="shared" si="320"/>
      </c>
      <c r="C282" s="119"/>
      <c r="D282" s="119"/>
      <c r="E282" s="105"/>
      <c r="F282" s="173"/>
      <c r="G282" s="173"/>
      <c r="H282" s="173"/>
      <c r="I282" s="105"/>
      <c r="J282" s="105"/>
      <c r="K282" s="105"/>
      <c r="L282" s="105"/>
      <c r="M282" s="4">
        <f t="shared" si="321"/>
      </c>
      <c r="N282" s="100"/>
      <c r="O282" s="164"/>
      <c r="P282" s="59">
        <f t="shared" si="339"/>
      </c>
      <c r="Q282" s="165"/>
      <c r="R282" s="100"/>
      <c r="S282" s="168"/>
      <c r="T282" s="5">
        <f t="shared" si="322"/>
      </c>
      <c r="U282" s="4">
        <f t="shared" si="312"/>
      </c>
      <c r="V282" s="4">
        <f t="shared" si="313"/>
      </c>
      <c r="W282" s="4">
        <f t="shared" si="314"/>
      </c>
      <c r="X282" s="4">
        <f t="shared" si="315"/>
      </c>
      <c r="Y282" s="4" cm="1">
        <f t="array" ref="Y282">_xlfn.IFS(H282=1,2,H282=3,1)</f>
      </c>
      <c r="Z282" s="4">
        <f t="shared" si="316"/>
      </c>
      <c r="AA282" s="4">
        <f t="shared" si="323"/>
      </c>
      <c r="AB282" s="4">
        <f t="shared" si="317"/>
      </c>
      <c r="AC282" s="4">
        <f t="shared" si="324"/>
      </c>
      <c r="AD282" s="4">
        <f t="shared" si="318"/>
      </c>
      <c r="AE282" s="4">
        <f t="shared" si="334"/>
      </c>
      <c r="AF282" s="4">
        <f t="shared" si="335"/>
      </c>
      <c r="AG282" s="4">
        <f t="shared" si="336"/>
        <v/>
      </c>
      <c r="AH282" s="4">
        <f t="shared" si="325"/>
      </c>
      <c r="AI282" s="4">
        <f t="shared" si="337"/>
      </c>
      <c r="AJ282" s="4">
        <f t="shared" si="326"/>
      </c>
      <c r="AK282" s="4">
        <f t="shared" si="319"/>
      </c>
      <c r="AL282" s="4">
        <f t="shared" si="327"/>
      </c>
      <c r="AM282" s="4">
        <f t="shared" si="328"/>
      </c>
      <c r="AN282" s="4"/>
      <c r="AO282" s="4">
        <f t="shared" si="332"/>
      </c>
      <c r="AP282" s="4">
        <f t="shared" si="329"/>
      </c>
      <c r="AQ282" s="4">
        <f t="shared" si="333"/>
        <v/>
      </c>
      <c r="AR282" s="4">
        <f t="shared" si="330"/>
      </c>
      <c r="AS282" s="4">
        <f t="shared" si="331"/>
      </c>
      <c r="AT282" s="4">
        <f t="shared" si="338"/>
      </c>
    </row>
    <row r="283" spans="1:46" x14ac:dyDescent="0.3">
      <c r="A283" s="5">
        <f t="shared" si="311"/>
      </c>
      <c r="B283" s="4">
        <f t="shared" si="320"/>
      </c>
      <c r="C283" s="119"/>
      <c r="D283" s="119"/>
      <c r="E283" s="105"/>
      <c r="F283" s="173"/>
      <c r="G283" s="173"/>
      <c r="H283" s="173"/>
      <c r="I283" s="105"/>
      <c r="J283" s="105"/>
      <c r="K283" s="105"/>
      <c r="L283" s="105"/>
      <c r="M283" s="4">
        <f t="shared" si="321"/>
      </c>
      <c r="N283" s="100"/>
      <c r="O283" s="164"/>
      <c r="P283" s="59">
        <f t="shared" si="339"/>
      </c>
      <c r="Q283" s="165"/>
      <c r="R283" s="100"/>
      <c r="S283" s="168"/>
      <c r="T283" s="5">
        <f t="shared" si="322"/>
      </c>
      <c r="U283" s="4">
        <f t="shared" si="312"/>
      </c>
      <c r="V283" s="4">
        <f t="shared" si="313"/>
      </c>
      <c r="W283" s="4">
        <f t="shared" si="314"/>
      </c>
      <c r="X283" s="4">
        <f t="shared" si="315"/>
      </c>
      <c r="Y283" s="4" cm="1">
        <f t="array" ref="Y283">_xlfn.IFS(H283=1,2,H283=3,1)</f>
      </c>
      <c r="Z283" s="4">
        <f t="shared" si="316"/>
      </c>
      <c r="AA283" s="4">
        <f t="shared" si="323"/>
      </c>
      <c r="AB283" s="4">
        <f t="shared" si="317"/>
      </c>
      <c r="AC283" s="4">
        <f t="shared" si="324"/>
      </c>
      <c r="AD283" s="4">
        <f t="shared" si="318"/>
      </c>
      <c r="AE283" s="4">
        <f t="shared" si="334"/>
      </c>
      <c r="AF283" s="4">
        <f t="shared" si="335"/>
      </c>
      <c r="AG283" s="4">
        <f t="shared" si="336"/>
        <v/>
      </c>
      <c r="AH283" s="4">
        <f t="shared" si="325"/>
      </c>
      <c r="AI283" s="4">
        <f t="shared" si="337"/>
      </c>
      <c r="AJ283" s="4">
        <f t="shared" si="326"/>
      </c>
      <c r="AK283" s="4">
        <f t="shared" si="319"/>
      </c>
      <c r="AL283" s="4">
        <f t="shared" si="327"/>
      </c>
      <c r="AM283" s="4">
        <f t="shared" si="328"/>
      </c>
      <c r="AN283" s="4"/>
      <c r="AO283" s="4">
        <f t="shared" si="332"/>
      </c>
      <c r="AP283" s="4">
        <f t="shared" si="329"/>
      </c>
      <c r="AQ283" s="4">
        <f t="shared" si="333"/>
        <v/>
      </c>
      <c r="AR283" s="4">
        <f t="shared" si="330"/>
      </c>
      <c r="AS283" s="4">
        <f t="shared" si="331"/>
      </c>
      <c r="AT283" s="4">
        <f t="shared" si="338"/>
      </c>
    </row>
    <row r="284" spans="1:46" x14ac:dyDescent="0.3">
      <c r="A284" s="5">
        <f t="shared" si="311"/>
      </c>
      <c r="B284" s="4">
        <f t="shared" si="320"/>
      </c>
      <c r="C284" s="119"/>
      <c r="D284" s="119"/>
      <c r="E284" s="105"/>
      <c r="F284" s="173"/>
      <c r="G284" s="173"/>
      <c r="H284" s="173"/>
      <c r="I284" s="105"/>
      <c r="J284" s="105"/>
      <c r="K284" s="105"/>
      <c r="L284" s="105"/>
      <c r="M284" s="4">
        <f t="shared" si="321"/>
      </c>
      <c r="N284" s="100"/>
      <c r="O284" s="164"/>
      <c r="P284" s="59">
        <f t="shared" si="339"/>
      </c>
      <c r="Q284" s="165"/>
      <c r="R284" s="100"/>
      <c r="S284" s="168"/>
      <c r="T284" s="5">
        <f t="shared" si="322"/>
      </c>
      <c r="U284" s="4">
        <f t="shared" si="312"/>
      </c>
      <c r="V284" s="4">
        <f t="shared" si="313"/>
      </c>
      <c r="W284" s="4">
        <f t="shared" si="314"/>
      </c>
      <c r="X284" s="4">
        <f t="shared" si="315"/>
      </c>
      <c r="Y284" s="4" cm="1">
        <f t="array" ref="Y284">_xlfn.IFS(H284=1,2,H284=3,1)</f>
      </c>
      <c r="Z284" s="4">
        <f t="shared" si="316"/>
      </c>
      <c r="AA284" s="4">
        <f t="shared" si="323"/>
      </c>
      <c r="AB284" s="4">
        <f t="shared" si="317"/>
      </c>
      <c r="AC284" s="4">
        <f t="shared" si="324"/>
      </c>
      <c r="AD284" s="4">
        <f t="shared" si="318"/>
      </c>
      <c r="AE284" s="4">
        <f t="shared" si="334"/>
      </c>
      <c r="AF284" s="4">
        <f t="shared" si="335"/>
      </c>
      <c r="AG284" s="4">
        <f t="shared" si="336"/>
        <v/>
      </c>
      <c r="AH284" s="4">
        <f t="shared" si="325"/>
      </c>
      <c r="AI284" s="4">
        <f t="shared" si="337"/>
      </c>
      <c r="AJ284" s="4">
        <f t="shared" si="326"/>
      </c>
      <c r="AK284" s="4">
        <f t="shared" si="319"/>
      </c>
      <c r="AL284" s="4">
        <f t="shared" si="327"/>
      </c>
      <c r="AM284" s="4">
        <f t="shared" si="328"/>
      </c>
      <c r="AN284" s="4"/>
      <c r="AO284" s="4">
        <f t="shared" si="332"/>
      </c>
      <c r="AP284" s="4">
        <f t="shared" si="329"/>
      </c>
      <c r="AQ284" s="4">
        <f t="shared" si="333"/>
        <v/>
      </c>
      <c r="AR284" s="4">
        <f t="shared" si="330"/>
      </c>
      <c r="AS284" s="4">
        <f t="shared" si="331"/>
      </c>
      <c r="AT284" s="4">
        <f t="shared" si="338"/>
      </c>
    </row>
    <row r="285" spans="1:46" x14ac:dyDescent="0.3">
      <c r="A285" s="5">
        <f t="shared" si="311"/>
      </c>
      <c r="B285" s="4">
        <f t="shared" si="320"/>
      </c>
      <c r="C285" s="119"/>
      <c r="D285" s="119"/>
      <c r="E285" s="105"/>
      <c r="F285" s="173"/>
      <c r="G285" s="173"/>
      <c r="H285" s="173"/>
      <c r="I285" s="105"/>
      <c r="J285" s="105"/>
      <c r="K285" s="105"/>
      <c r="L285" s="105"/>
      <c r="M285" s="4">
        <f t="shared" si="321"/>
      </c>
      <c r="N285" s="100"/>
      <c r="O285" s="164"/>
      <c r="P285" s="59">
        <f t="shared" si="339"/>
      </c>
      <c r="Q285" s="165"/>
      <c r="R285" s="100"/>
      <c r="S285" s="168"/>
      <c r="T285" s="5">
        <f t="shared" si="322"/>
      </c>
      <c r="U285" s="4">
        <f t="shared" si="312"/>
      </c>
      <c r="V285" s="4">
        <f t="shared" si="313"/>
      </c>
      <c r="W285" s="4">
        <f t="shared" si="314"/>
      </c>
      <c r="X285" s="4">
        <f t="shared" si="315"/>
      </c>
      <c r="Y285" s="4" cm="1">
        <f t="array" ref="Y285">_xlfn.IFS(H285=1,2,H285=3,1)</f>
      </c>
      <c r="Z285" s="4">
        <f t="shared" si="316"/>
      </c>
      <c r="AA285" s="4">
        <f t="shared" si="323"/>
      </c>
      <c r="AB285" s="4">
        <f t="shared" si="317"/>
      </c>
      <c r="AC285" s="4">
        <f t="shared" si="324"/>
      </c>
      <c r="AD285" s="4">
        <f t="shared" si="318"/>
      </c>
      <c r="AE285" s="4">
        <f t="shared" si="334"/>
      </c>
      <c r="AF285" s="4">
        <f t="shared" si="335"/>
      </c>
      <c r="AG285" s="4">
        <f t="shared" si="336"/>
        <v/>
      </c>
      <c r="AH285" s="4">
        <f t="shared" si="325"/>
      </c>
      <c r="AI285" s="4">
        <f t="shared" si="337"/>
      </c>
      <c r="AJ285" s="4">
        <f t="shared" si="326"/>
      </c>
      <c r="AK285" s="4">
        <f t="shared" si="319"/>
      </c>
      <c r="AL285" s="4">
        <f t="shared" si="327"/>
      </c>
      <c r="AM285" s="4">
        <f t="shared" si="328"/>
      </c>
      <c r="AN285" s="4"/>
      <c r="AO285" s="4">
        <f t="shared" si="332"/>
      </c>
      <c r="AP285" s="4">
        <f t="shared" si="329"/>
      </c>
      <c r="AQ285" s="4">
        <f t="shared" si="333"/>
        <v/>
      </c>
      <c r="AR285" s="4">
        <f t="shared" si="330"/>
      </c>
      <c r="AS285" s="4">
        <f t="shared" si="331"/>
      </c>
      <c r="AT285" s="4">
        <f t="shared" si="338"/>
      </c>
    </row>
    <row r="286" spans="1:46" x14ac:dyDescent="0.3">
      <c r="A286" s="5">
        <f t="shared" si="311"/>
      </c>
      <c r="B286" s="4">
        <f t="shared" si="320"/>
      </c>
      <c r="C286" s="119"/>
      <c r="D286" s="119"/>
      <c r="E286" s="105"/>
      <c r="F286" s="173"/>
      <c r="G286" s="173"/>
      <c r="H286" s="173"/>
      <c r="I286" s="192"/>
      <c r="J286" s="105"/>
      <c r="K286" s="105"/>
      <c r="L286" s="105"/>
      <c r="M286" s="4">
        <f t="shared" si="321"/>
      </c>
      <c r="N286" s="100"/>
      <c r="O286" s="164"/>
      <c r="P286" s="59">
        <f t="shared" si="339"/>
      </c>
      <c r="Q286" s="118"/>
      <c r="R286" s="100"/>
      <c r="S286" s="168"/>
      <c r="T286" s="5">
        <f t="shared" si="322"/>
      </c>
      <c r="U286" s="4">
        <f t="shared" si="312"/>
      </c>
      <c r="V286" s="4">
        <f t="shared" si="313"/>
      </c>
      <c r="W286" s="4">
        <f t="shared" si="314"/>
      </c>
      <c r="X286" s="4">
        <f t="shared" si="315"/>
      </c>
      <c r="Y286" s="4" cm="1">
        <f t="array" ref="Y286">_xlfn.IFS(H286=1,2,H286=3,1)</f>
      </c>
      <c r="Z286" s="4">
        <f t="shared" si="316"/>
      </c>
      <c r="AA286" s="4">
        <f t="shared" si="323"/>
      </c>
      <c r="AB286" s="4">
        <f t="shared" si="317"/>
      </c>
      <c r="AC286" s="4">
        <f t="shared" si="324"/>
      </c>
      <c r="AD286" s="4">
        <f t="shared" si="318"/>
      </c>
      <c r="AE286" s="4">
        <f t="shared" si="334"/>
      </c>
      <c r="AF286" s="4">
        <f t="shared" si="335"/>
      </c>
      <c r="AG286" s="4">
        <f t="shared" si="336"/>
        <v/>
      </c>
      <c r="AH286" s="4">
        <f t="shared" si="325"/>
      </c>
      <c r="AI286" s="4">
        <f t="shared" si="337"/>
      </c>
      <c r="AJ286" s="4">
        <f t="shared" si="326"/>
      </c>
      <c r="AK286" s="4">
        <f t="shared" si="319"/>
      </c>
      <c r="AL286" s="4">
        <f t="shared" si="327"/>
      </c>
      <c r="AM286" s="4">
        <f t="shared" si="328"/>
      </c>
      <c r="AN286" s="4"/>
      <c r="AO286" s="4">
        <f t="shared" si="332"/>
      </c>
      <c r="AP286" s="4">
        <f t="shared" si="329"/>
      </c>
      <c r="AQ286" s="4">
        <f t="shared" si="333"/>
        <v/>
      </c>
      <c r="AR286" s="4">
        <f t="shared" si="330"/>
      </c>
      <c r="AS286" s="4">
        <f t="shared" si="331"/>
      </c>
      <c r="AT286" s="4">
        <f t="shared" si="338"/>
      </c>
    </row>
    <row r="287" spans="1:46" x14ac:dyDescent="0.3">
      <c r="A287" s="5">
        <f t="shared" si="311"/>
      </c>
      <c r="B287" s="4">
        <f t="shared" si="320"/>
      </c>
      <c r="C287" s="119"/>
      <c r="D287" s="119"/>
      <c r="E287" s="105"/>
      <c r="F287" s="173"/>
      <c r="G287" s="173"/>
      <c r="H287" s="173"/>
      <c r="I287" s="105"/>
      <c r="J287" s="105"/>
      <c r="K287" s="105"/>
      <c r="L287" s="105"/>
      <c r="M287" s="4">
        <f t="shared" si="321"/>
      </c>
      <c r="N287" s="100"/>
      <c r="O287" s="164"/>
      <c r="P287" s="59">
        <f t="shared" si="339"/>
      </c>
      <c r="Q287" s="165"/>
      <c r="R287" s="100"/>
      <c r="S287" s="168"/>
      <c r="T287" s="5">
        <f t="shared" si="322"/>
      </c>
      <c r="U287" s="4">
        <f t="shared" si="312"/>
      </c>
      <c r="V287" s="4">
        <f t="shared" si="313"/>
      </c>
      <c r="W287" s="4">
        <f t="shared" si="314"/>
      </c>
      <c r="X287" s="4">
        <f t="shared" si="315"/>
      </c>
      <c r="Y287" s="4" cm="1">
        <f t="array" ref="Y287">_xlfn.IFS(H287=1,2,H287=3,1)</f>
      </c>
      <c r="Z287" s="4">
        <f t="shared" si="316"/>
      </c>
      <c r="AA287" s="4">
        <f t="shared" si="323"/>
      </c>
      <c r="AB287" s="4">
        <f t="shared" si="317"/>
      </c>
      <c r="AC287" s="4">
        <f t="shared" si="324"/>
      </c>
      <c r="AD287" s="4">
        <f t="shared" si="318"/>
      </c>
      <c r="AE287" s="4">
        <f t="shared" si="334"/>
      </c>
      <c r="AF287" s="4">
        <f t="shared" si="335"/>
      </c>
      <c r="AG287" s="4">
        <f t="shared" si="336"/>
        <v/>
      </c>
      <c r="AH287" s="4">
        <f t="shared" si="325"/>
      </c>
      <c r="AI287" s="4">
        <f t="shared" si="337"/>
      </c>
      <c r="AJ287" s="4">
        <f t="shared" si="326"/>
      </c>
      <c r="AK287" s="4">
        <f t="shared" si="319"/>
      </c>
      <c r="AL287" s="4">
        <f t="shared" si="327"/>
      </c>
      <c r="AM287" s="4">
        <f t="shared" si="328"/>
      </c>
      <c r="AN287" s="4"/>
      <c r="AO287" s="4">
        <f t="shared" si="332"/>
      </c>
      <c r="AP287" s="4">
        <f t="shared" si="329"/>
      </c>
      <c r="AQ287" s="4">
        <f t="shared" si="333"/>
        <v/>
      </c>
      <c r="AR287" s="4">
        <f t="shared" si="330"/>
      </c>
      <c r="AS287" s="4">
        <f t="shared" si="331"/>
      </c>
      <c r="AT287" s="4">
        <f t="shared" si="338"/>
      </c>
    </row>
    <row r="288" spans="1:46" x14ac:dyDescent="0.3">
      <c r="A288" s="5">
        <f t="shared" si="311"/>
      </c>
      <c r="B288" s="4">
        <f t="shared" si="320"/>
      </c>
      <c r="C288" s="119"/>
      <c r="D288" s="119"/>
      <c r="E288" s="105"/>
      <c r="F288" s="173"/>
      <c r="G288" s="173"/>
      <c r="H288" s="173"/>
      <c r="I288" s="105"/>
      <c r="J288" s="105"/>
      <c r="K288" s="105"/>
      <c r="L288" s="105"/>
      <c r="M288" s="4">
        <f t="shared" si="321"/>
      </c>
      <c r="N288" s="100"/>
      <c r="O288" s="164"/>
      <c r="P288" s="59">
        <f t="shared" si="339"/>
      </c>
      <c r="Q288" s="165"/>
      <c r="R288" s="100"/>
      <c r="S288" s="168"/>
      <c r="T288" s="5">
        <f t="shared" si="322"/>
      </c>
      <c r="U288" s="4">
        <f t="shared" si="312"/>
      </c>
      <c r="V288" s="4">
        <f t="shared" si="313"/>
      </c>
      <c r="W288" s="4">
        <f t="shared" si="314"/>
      </c>
      <c r="X288" s="4">
        <f t="shared" si="315"/>
      </c>
      <c r="Y288" s="4" cm="1">
        <f t="array" ref="Y288">_xlfn.IFS(H288=1,2,H288=3,1)</f>
      </c>
      <c r="Z288" s="4">
        <f t="shared" si="316"/>
      </c>
      <c r="AA288" s="4">
        <f t="shared" si="323"/>
      </c>
      <c r="AB288" s="4">
        <f t="shared" si="317"/>
      </c>
      <c r="AC288" s="4">
        <f t="shared" si="324"/>
      </c>
      <c r="AD288" s="4">
        <f t="shared" si="318"/>
      </c>
      <c r="AE288" s="4">
        <f t="shared" si="334"/>
      </c>
      <c r="AF288" s="4">
        <f t="shared" si="335"/>
      </c>
      <c r="AG288" s="4">
        <f t="shared" si="336"/>
        <v/>
      </c>
      <c r="AH288" s="4">
        <f t="shared" si="325"/>
      </c>
      <c r="AI288" s="4">
        <f t="shared" si="337"/>
      </c>
      <c r="AJ288" s="4">
        <f t="shared" si="326"/>
      </c>
      <c r="AK288" s="4">
        <f t="shared" si="319"/>
      </c>
      <c r="AL288" s="4">
        <f t="shared" si="327"/>
      </c>
      <c r="AM288" s="4">
        <f t="shared" si="328"/>
      </c>
      <c r="AN288" s="4"/>
      <c r="AO288" s="4">
        <f t="shared" si="332"/>
      </c>
      <c r="AP288" s="4">
        <f t="shared" si="329"/>
      </c>
      <c r="AQ288" s="4">
        <f t="shared" si="333"/>
        <v/>
      </c>
      <c r="AR288" s="4">
        <f t="shared" si="330"/>
      </c>
      <c r="AS288" s="4">
        <f t="shared" si="331"/>
      </c>
      <c r="AT288" s="4">
        <f t="shared" si="338"/>
      </c>
    </row>
    <row r="289" spans="1:46" x14ac:dyDescent="0.3">
      <c r="A289" s="5">
        <f t="shared" si="311"/>
      </c>
      <c r="B289" s="4">
        <f t="shared" si="320"/>
      </c>
      <c r="C289" s="119"/>
      <c r="D289" s="119"/>
      <c r="E289" s="105"/>
      <c r="F289" s="173"/>
      <c r="G289" s="173"/>
      <c r="H289" s="173"/>
      <c r="I289" s="105"/>
      <c r="J289" s="105"/>
      <c r="K289" s="105"/>
      <c r="L289" s="105"/>
      <c r="M289" s="4">
        <f t="shared" si="321"/>
      </c>
      <c r="N289" s="100"/>
      <c r="O289" s="164"/>
      <c r="P289" s="59">
        <f t="shared" si="339"/>
      </c>
      <c r="Q289" s="165"/>
      <c r="R289" s="100"/>
      <c r="S289" s="168"/>
      <c r="T289" s="5">
        <f t="shared" si="322"/>
      </c>
      <c r="U289" s="4">
        <f t="shared" si="312"/>
      </c>
      <c r="V289" s="4">
        <f t="shared" si="313"/>
      </c>
      <c r="W289" s="4">
        <f t="shared" si="314"/>
      </c>
      <c r="X289" s="4">
        <f t="shared" si="315"/>
      </c>
      <c r="Y289" s="4" cm="1">
        <f t="array" ref="Y289">_xlfn.IFS(H289=1,2,H289=3,1)</f>
      </c>
      <c r="Z289" s="4">
        <f t="shared" si="316"/>
      </c>
      <c r="AA289" s="4">
        <f t="shared" si="323"/>
      </c>
      <c r="AB289" s="4">
        <f t="shared" si="317"/>
      </c>
      <c r="AC289" s="4">
        <f t="shared" si="324"/>
      </c>
      <c r="AD289" s="4">
        <f t="shared" si="318"/>
      </c>
      <c r="AE289" s="4">
        <f t="shared" si="334"/>
      </c>
      <c r="AF289" s="4">
        <f t="shared" si="335"/>
      </c>
      <c r="AG289" s="4">
        <f t="shared" si="336"/>
        <v/>
      </c>
      <c r="AH289" s="4">
        <f t="shared" si="325"/>
      </c>
      <c r="AI289" s="4">
        <f t="shared" si="337"/>
      </c>
      <c r="AJ289" s="4">
        <f t="shared" si="326"/>
      </c>
      <c r="AK289" s="4">
        <f t="shared" si="319"/>
      </c>
      <c r="AL289" s="4">
        <f t="shared" si="327"/>
      </c>
      <c r="AM289" s="4">
        <f t="shared" si="328"/>
      </c>
      <c r="AN289" s="4"/>
      <c r="AO289" s="4">
        <f t="shared" si="332"/>
      </c>
      <c r="AP289" s="4">
        <f t="shared" si="329"/>
      </c>
      <c r="AQ289" s="4">
        <f t="shared" si="333"/>
        <v/>
      </c>
      <c r="AR289" s="4">
        <f t="shared" si="330"/>
      </c>
      <c r="AS289" s="4">
        <f t="shared" si="331"/>
      </c>
      <c r="AT289" s="4">
        <f t="shared" si="338"/>
      </c>
    </row>
    <row r="290" spans="1:46" x14ac:dyDescent="0.3">
      <c r="A290" s="5">
        <f t="shared" si="311"/>
      </c>
      <c r="B290" s="4">
        <f t="shared" si="320"/>
      </c>
      <c r="C290" s="119"/>
      <c r="D290" s="119"/>
      <c r="E290" s="105"/>
      <c r="F290" s="173"/>
      <c r="G290" s="173"/>
      <c r="H290" s="173"/>
      <c r="I290" s="105"/>
      <c r="J290" s="105"/>
      <c r="K290" s="105"/>
      <c r="L290" s="105"/>
      <c r="M290" s="4">
        <f t="shared" si="321"/>
      </c>
      <c r="N290" s="100"/>
      <c r="O290" s="164"/>
      <c r="P290" s="59">
        <f t="shared" si="339"/>
      </c>
      <c r="Q290" s="165"/>
      <c r="R290" s="100"/>
      <c r="S290" s="168"/>
      <c r="T290" s="5">
        <f t="shared" si="322"/>
      </c>
      <c r="U290" s="4">
        <f t="shared" si="312"/>
      </c>
      <c r="V290" s="4">
        <f t="shared" si="313"/>
      </c>
      <c r="W290" s="4">
        <f t="shared" si="314"/>
      </c>
      <c r="X290" s="4">
        <f t="shared" si="315"/>
      </c>
      <c r="Y290" s="4" cm="1">
        <f t="array" ref="Y290">_xlfn.IFS(H290=1,2,H290=3,1)</f>
      </c>
      <c r="Z290" s="4">
        <f t="shared" si="316"/>
      </c>
      <c r="AA290" s="4">
        <f t="shared" si="323"/>
      </c>
      <c r="AB290" s="4">
        <f t="shared" si="317"/>
      </c>
      <c r="AC290" s="4">
        <f t="shared" si="324"/>
      </c>
      <c r="AD290" s="4">
        <f t="shared" si="318"/>
      </c>
      <c r="AE290" s="4">
        <f t="shared" si="334"/>
      </c>
      <c r="AF290" s="4">
        <f t="shared" si="335"/>
      </c>
      <c r="AG290" s="4">
        <f t="shared" si="336"/>
        <v/>
      </c>
      <c r="AH290" s="4">
        <f t="shared" si="325"/>
      </c>
      <c r="AI290" s="4">
        <f t="shared" si="337"/>
      </c>
      <c r="AJ290" s="4">
        <f t="shared" si="326"/>
      </c>
      <c r="AK290" s="4">
        <f t="shared" si="319"/>
      </c>
      <c r="AL290" s="4">
        <f t="shared" si="327"/>
      </c>
      <c r="AM290" s="4">
        <f t="shared" si="328"/>
      </c>
      <c r="AN290" s="4"/>
      <c r="AO290" s="4">
        <f t="shared" si="332"/>
      </c>
      <c r="AP290" s="4">
        <f t="shared" si="329"/>
      </c>
      <c r="AQ290" s="4">
        <f t="shared" si="333"/>
        <v/>
      </c>
      <c r="AR290" s="4">
        <f t="shared" si="330"/>
      </c>
      <c r="AS290" s="4">
        <f t="shared" si="331"/>
      </c>
      <c r="AT290" s="4">
        <f t="shared" si="338"/>
      </c>
    </row>
    <row r="291" spans="1:46" ht="15" thickBot="1" x14ac:dyDescent="0.35">
      <c r="A291" s="45">
        <f t="shared" si="311"/>
      </c>
      <c r="B291" s="44">
        <f t="shared" si="320"/>
      </c>
      <c r="C291" s="175"/>
      <c r="D291" s="175"/>
      <c r="E291" s="176"/>
      <c r="F291" s="178"/>
      <c r="G291" s="178"/>
      <c r="H291" s="178"/>
      <c r="I291" s="105"/>
      <c r="J291" s="176"/>
      <c r="K291" s="176"/>
      <c r="L291" s="176"/>
      <c r="M291" s="44">
        <f t="shared" si="321"/>
      </c>
      <c r="N291" s="64"/>
      <c r="O291" s="166"/>
      <c r="P291" s="64">
        <f t="shared" si="339"/>
      </c>
      <c r="Q291" s="170"/>
      <c r="R291" s="64"/>
      <c r="S291" s="166"/>
      <c r="T291" s="45">
        <f t="shared" si="322"/>
      </c>
      <c r="U291" s="44">
        <f t="shared" si="312"/>
      </c>
      <c r="V291" s="44">
        <f t="shared" si="313"/>
      </c>
      <c r="W291" s="44">
        <f t="shared" si="314"/>
      </c>
      <c r="X291" s="44">
        <f t="shared" si="315"/>
      </c>
      <c r="Y291" s="44" cm="1">
        <f t="array" ref="Y291">_xlfn.IFS(H291=1,2,H291=3,1)</f>
      </c>
      <c r="Z291" s="44">
        <f t="shared" si="316"/>
      </c>
      <c r="AA291" s="44">
        <f t="shared" si="323"/>
      </c>
      <c r="AB291" s="44">
        <f t="shared" si="317"/>
      </c>
      <c r="AC291" s="44">
        <f t="shared" si="324"/>
      </c>
      <c r="AD291" s="44">
        <f t="shared" si="318"/>
      </c>
      <c r="AE291" s="44">
        <f t="shared" si="334"/>
      </c>
      <c r="AF291" s="44">
        <f t="shared" si="335"/>
      </c>
      <c r="AG291" s="44">
        <f t="shared" si="336"/>
        <v/>
      </c>
      <c r="AH291" s="44">
        <f t="shared" si="325"/>
      </c>
      <c r="AI291" s="44">
        <f t="shared" si="337"/>
      </c>
      <c r="AJ291" s="44">
        <f t="shared" si="326"/>
      </c>
      <c r="AK291" s="44">
        <f t="shared" si="319"/>
      </c>
      <c r="AL291" s="44">
        <f t="shared" si="327"/>
      </c>
      <c r="AM291" s="44">
        <f t="shared" si="328"/>
      </c>
      <c r="AN291" s="44"/>
      <c r="AO291" s="44">
        <f t="shared" si="332"/>
      </c>
      <c r="AP291" s="44">
        <f t="shared" si="329"/>
      </c>
      <c r="AQ291" s="44">
        <f t="shared" si="333"/>
        <v/>
      </c>
      <c r="AR291" s="44">
        <f t="shared" si="330"/>
      </c>
      <c r="AS291" s="44">
        <f t="shared" si="331"/>
      </c>
      <c r="AT291" s="44">
        <f t="shared" si="338"/>
      </c>
    </row>
    <row r="292" spans="1:46" x14ac:dyDescent="0.3">
      <c r="A292" s="19">
        <f t="shared" si="311"/>
      </c>
      <c r="B292" s="7">
        <f t="shared" si="320"/>
      </c>
      <c r="C292" s="177"/>
      <c r="D292" s="177"/>
      <c r="E292" s="179"/>
      <c r="F292" s="182"/>
      <c r="G292" s="182"/>
      <c r="H292" s="182"/>
      <c r="I292" s="105"/>
      <c r="J292" s="179"/>
      <c r="K292" s="179"/>
      <c r="L292" s="179"/>
      <c r="M292" s="7">
        <f t="shared" si="321"/>
      </c>
      <c r="N292" s="65"/>
      <c r="O292" s="168"/>
      <c r="P292" s="65">
        <f t="shared" si="339"/>
      </c>
      <c r="Q292" s="118"/>
      <c r="R292" s="65"/>
      <c r="S292" s="168"/>
      <c r="T292" s="19">
        <f t="shared" si="322"/>
      </c>
      <c r="U292" s="7">
        <f t="shared" si="312"/>
      </c>
      <c r="V292" s="7">
        <f t="shared" si="313"/>
      </c>
      <c r="W292" s="7">
        <f t="shared" si="314"/>
      </c>
      <c r="X292" s="7">
        <f t="shared" si="315"/>
      </c>
      <c r="Y292" s="7" cm="1">
        <f t="array" ref="Y292">_xlfn.IFS(H292=1,2,H292=3,1)</f>
      </c>
      <c r="Z292" s="7">
        <f t="shared" si="316"/>
      </c>
      <c r="AA292" s="7">
        <f t="shared" si="323"/>
      </c>
      <c r="AB292" s="7">
        <f t="shared" si="317"/>
      </c>
      <c r="AC292" s="7">
        <f t="shared" si="324"/>
      </c>
      <c r="AD292" s="7">
        <f t="shared" si="318"/>
      </c>
      <c r="AE292" s="7">
        <f t="shared" si="334"/>
      </c>
      <c r="AF292" s="7">
        <f t="shared" si="335"/>
      </c>
      <c r="AG292" s="7">
        <f t="shared" si="336"/>
        <v/>
      </c>
      <c r="AH292" s="7">
        <f t="shared" si="325"/>
      </c>
      <c r="AI292" s="7">
        <f t="shared" si="337"/>
      </c>
      <c r="AJ292" s="7">
        <f t="shared" si="326"/>
      </c>
      <c r="AK292" s="7">
        <f t="shared" si="319"/>
      </c>
      <c r="AL292" s="7">
        <f t="shared" si="327"/>
      </c>
      <c r="AM292" s="7">
        <f t="shared" si="328"/>
      </c>
      <c r="AN292" s="7"/>
      <c r="AO292" s="7">
        <f t="shared" si="332"/>
      </c>
      <c r="AP292" s="7">
        <f t="shared" si="329"/>
      </c>
      <c r="AQ292" s="7">
        <f t="shared" si="333"/>
        <v/>
      </c>
      <c r="AR292" s="7">
        <f t="shared" si="330"/>
      </c>
      <c r="AS292" s="7">
        <f t="shared" si="331"/>
      </c>
      <c r="AT292" s="7">
        <f t="shared" si="338"/>
      </c>
    </row>
    <row r="293" spans="1:46" x14ac:dyDescent="0.3">
      <c r="A293" s="5">
        <f t="shared" si="311"/>
      </c>
      <c r="B293" s="4">
        <f t="shared" si="320"/>
      </c>
      <c r="C293" s="119"/>
      <c r="D293" s="119"/>
      <c r="E293" s="105"/>
      <c r="F293" s="173"/>
      <c r="G293" s="173"/>
      <c r="H293" s="173"/>
      <c r="I293" s="105"/>
      <c r="J293" s="105"/>
      <c r="K293" s="105"/>
      <c r="L293" s="105"/>
      <c r="M293" s="4">
        <f t="shared" si="321"/>
      </c>
      <c r="N293" s="100"/>
      <c r="O293" s="164"/>
      <c r="P293" s="59">
        <f t="shared" si="339"/>
      </c>
      <c r="Q293" s="165"/>
      <c r="R293" s="100"/>
      <c r="S293" s="168"/>
      <c r="T293" s="5">
        <f t="shared" si="322"/>
      </c>
      <c r="U293" s="4">
        <f t="shared" si="312"/>
      </c>
      <c r="V293" s="4">
        <f t="shared" si="313"/>
      </c>
      <c r="W293" s="4">
        <f t="shared" si="314"/>
      </c>
      <c r="X293" s="4">
        <f t="shared" si="315"/>
      </c>
      <c r="Y293" s="4" cm="1">
        <f t="array" ref="Y293">_xlfn.IFS(H293=1,2,H293=3,1)</f>
      </c>
      <c r="Z293" s="4">
        <f t="shared" si="316"/>
      </c>
      <c r="AA293" s="4">
        <f t="shared" si="323"/>
      </c>
      <c r="AB293" s="4">
        <f t="shared" si="317"/>
      </c>
      <c r="AC293" s="4">
        <f t="shared" si="324"/>
      </c>
      <c r="AD293" s="4">
        <f t="shared" si="318"/>
      </c>
      <c r="AE293" s="4">
        <f t="shared" si="334"/>
      </c>
      <c r="AF293" s="4">
        <f t="shared" si="335"/>
      </c>
      <c r="AG293" s="4">
        <f t="shared" si="336"/>
        <v/>
      </c>
      <c r="AH293" s="4">
        <f t="shared" si="325"/>
      </c>
      <c r="AI293" s="4">
        <f t="shared" si="337"/>
      </c>
      <c r="AJ293" s="4">
        <f t="shared" si="326"/>
      </c>
      <c r="AK293" s="4">
        <f t="shared" si="319"/>
      </c>
      <c r="AL293" s="4">
        <f t="shared" si="327"/>
      </c>
      <c r="AM293" s="4">
        <f t="shared" si="328"/>
      </c>
      <c r="AN293" s="4"/>
      <c r="AO293" s="4">
        <f t="shared" si="332"/>
      </c>
      <c r="AP293" s="4">
        <f t="shared" si="329"/>
      </c>
      <c r="AQ293" s="4">
        <f t="shared" si="333"/>
        <v/>
      </c>
      <c r="AR293" s="4">
        <f t="shared" si="330"/>
      </c>
      <c r="AS293" s="4">
        <f t="shared" si="331"/>
      </c>
      <c r="AT293" s="4">
        <f t="shared" si="338"/>
      </c>
    </row>
    <row r="294" spans="1:46" x14ac:dyDescent="0.3">
      <c r="A294" s="5">
        <f t="shared" si="311"/>
      </c>
      <c r="B294" s="4">
        <f t="shared" si="320"/>
      </c>
      <c r="C294" s="119"/>
      <c r="D294" s="119"/>
      <c r="E294" s="105"/>
      <c r="F294" s="173"/>
      <c r="G294" s="173"/>
      <c r="H294" s="173"/>
      <c r="I294" s="105"/>
      <c r="J294" s="105"/>
      <c r="K294" s="105"/>
      <c r="L294" s="105"/>
      <c r="M294" s="4">
        <f t="shared" si="321"/>
      </c>
      <c r="N294" s="100"/>
      <c r="O294" s="164"/>
      <c r="P294" s="59">
        <f t="shared" si="339"/>
      </c>
      <c r="Q294" s="165"/>
      <c r="R294" s="100"/>
      <c r="S294" s="168"/>
      <c r="T294" s="5">
        <f t="shared" si="322"/>
      </c>
      <c r="U294" s="4">
        <f t="shared" si="312"/>
      </c>
      <c r="V294" s="4">
        <f t="shared" si="313"/>
      </c>
      <c r="W294" s="4">
        <f t="shared" si="314"/>
      </c>
      <c r="X294" s="4">
        <f t="shared" si="315"/>
      </c>
      <c r="Y294" s="4" cm="1">
        <f t="array" ref="Y294">_xlfn.IFS(H294=1,2,H294=3,1)</f>
      </c>
      <c r="Z294" s="4">
        <f t="shared" si="316"/>
      </c>
      <c r="AA294" s="4">
        <f t="shared" si="323"/>
      </c>
      <c r="AB294" s="4">
        <f t="shared" si="317"/>
      </c>
      <c r="AC294" s="4">
        <f t="shared" si="324"/>
      </c>
      <c r="AD294" s="4">
        <f t="shared" si="318"/>
      </c>
      <c r="AE294" s="4">
        <f t="shared" si="334"/>
      </c>
      <c r="AF294" s="4">
        <f t="shared" si="335"/>
      </c>
      <c r="AG294" s="4">
        <f t="shared" si="336"/>
        <v/>
      </c>
      <c r="AH294" s="4">
        <f t="shared" si="325"/>
      </c>
      <c r="AI294" s="4">
        <f t="shared" si="337"/>
      </c>
      <c r="AJ294" s="4">
        <f t="shared" si="326"/>
      </c>
      <c r="AK294" s="4">
        <f t="shared" si="319"/>
      </c>
      <c r="AL294" s="4">
        <f t="shared" si="327"/>
      </c>
      <c r="AM294" s="4">
        <f t="shared" si="328"/>
      </c>
      <c r="AN294" s="4"/>
      <c r="AO294" s="4">
        <f t="shared" si="332"/>
      </c>
      <c r="AP294" s="4">
        <f t="shared" si="329"/>
      </c>
      <c r="AQ294" s="4">
        <f t="shared" si="333"/>
        <v/>
      </c>
      <c r="AR294" s="4">
        <f t="shared" si="330"/>
      </c>
      <c r="AS294" s="4">
        <f t="shared" si="331"/>
      </c>
      <c r="AT294" s="4">
        <f t="shared" si="338"/>
      </c>
    </row>
    <row r="295" spans="1:46" x14ac:dyDescent="0.3">
      <c r="A295" s="5">
        <f t="shared" si="311"/>
      </c>
      <c r="B295" s="4">
        <f t="shared" si="320"/>
      </c>
      <c r="C295" s="119"/>
      <c r="D295" s="119"/>
      <c r="E295" s="105"/>
      <c r="F295" s="173"/>
      <c r="G295" s="173"/>
      <c r="H295" s="173"/>
      <c r="I295" s="105"/>
      <c r="J295" s="105"/>
      <c r="K295" s="105"/>
      <c r="L295" s="105"/>
      <c r="M295" s="4">
        <f t="shared" si="321"/>
      </c>
      <c r="N295" s="100"/>
      <c r="O295" s="164"/>
      <c r="P295" s="59">
        <f t="shared" si="339"/>
      </c>
      <c r="Q295" s="165"/>
      <c r="R295" s="100"/>
      <c r="S295" s="168"/>
      <c r="T295" s="5">
        <f t="shared" si="322"/>
      </c>
      <c r="U295" s="4">
        <f t="shared" si="312"/>
      </c>
      <c r="V295" s="4">
        <f t="shared" si="313"/>
      </c>
      <c r="W295" s="4">
        <f t="shared" si="314"/>
      </c>
      <c r="X295" s="4">
        <f t="shared" si="315"/>
      </c>
      <c r="Y295" s="4" cm="1">
        <f t="array" ref="Y295">_xlfn.IFS(H295=1,2,H295=3,1)</f>
      </c>
      <c r="Z295" s="4">
        <f t="shared" si="316"/>
      </c>
      <c r="AA295" s="4">
        <f t="shared" si="323"/>
      </c>
      <c r="AB295" s="4">
        <f t="shared" si="317"/>
      </c>
      <c r="AC295" s="4">
        <f t="shared" si="324"/>
      </c>
      <c r="AD295" s="4">
        <f t="shared" si="318"/>
      </c>
      <c r="AE295" s="4">
        <f t="shared" si="334"/>
      </c>
      <c r="AF295" s="4">
        <f t="shared" si="335"/>
      </c>
      <c r="AG295" s="4">
        <f t="shared" si="336"/>
        <v/>
      </c>
      <c r="AH295" s="4">
        <f t="shared" si="325"/>
      </c>
      <c r="AI295" s="4">
        <f t="shared" si="337"/>
      </c>
      <c r="AJ295" s="4">
        <f t="shared" si="326"/>
      </c>
      <c r="AK295" s="4">
        <f t="shared" si="319"/>
      </c>
      <c r="AL295" s="4">
        <f t="shared" si="327"/>
      </c>
      <c r="AM295" s="4">
        <f t="shared" si="328"/>
      </c>
      <c r="AN295" s="4"/>
      <c r="AO295" s="4">
        <f t="shared" si="332"/>
      </c>
      <c r="AP295" s="4">
        <f t="shared" si="329"/>
      </c>
      <c r="AQ295" s="4">
        <f t="shared" si="333"/>
        <v/>
      </c>
      <c r="AR295" s="4">
        <f t="shared" si="330"/>
      </c>
      <c r="AS295" s="4">
        <f t="shared" si="331"/>
      </c>
      <c r="AT295" s="4">
        <f t="shared" si="338"/>
      </c>
    </row>
    <row r="296" spans="1:46" x14ac:dyDescent="0.3">
      <c r="A296" s="5">
        <f t="shared" si="311"/>
      </c>
      <c r="B296" s="4">
        <f t="shared" si="320"/>
      </c>
      <c r="C296" s="119"/>
      <c r="D296" s="119"/>
      <c r="E296" s="105"/>
      <c r="F296" s="173"/>
      <c r="G296" s="173"/>
      <c r="H296" s="173"/>
      <c r="I296" s="105"/>
      <c r="J296" s="105"/>
      <c r="K296" s="105"/>
      <c r="L296" s="105"/>
      <c r="M296" s="4">
        <f t="shared" si="321"/>
      </c>
      <c r="N296" s="100"/>
      <c r="O296" s="164"/>
      <c r="P296" s="59">
        <f t="shared" si="339"/>
      </c>
      <c r="Q296" s="165"/>
      <c r="R296" s="100"/>
      <c r="S296" s="168"/>
      <c r="T296" s="5">
        <f t="shared" si="322"/>
      </c>
      <c r="U296" s="4">
        <f t="shared" si="312"/>
      </c>
      <c r="V296" s="4">
        <f t="shared" si="313"/>
      </c>
      <c r="W296" s="4">
        <f t="shared" si="314"/>
      </c>
      <c r="X296" s="4">
        <f t="shared" si="315"/>
      </c>
      <c r="Y296" s="4" cm="1">
        <f t="array" ref="Y296">_xlfn.IFS(H296=1,2,H296=3,1)</f>
      </c>
      <c r="Z296" s="4">
        <f t="shared" si="316"/>
      </c>
      <c r="AA296" s="4">
        <f t="shared" si="323"/>
      </c>
      <c r="AB296" s="4">
        <f t="shared" si="317"/>
      </c>
      <c r="AC296" s="4">
        <f t="shared" si="324"/>
      </c>
      <c r="AD296" s="4">
        <f t="shared" si="318"/>
      </c>
      <c r="AE296" s="4">
        <f t="shared" si="334"/>
      </c>
      <c r="AF296" s="4">
        <f t="shared" si="335"/>
      </c>
      <c r="AG296" s="4">
        <f t="shared" si="336"/>
        <v/>
      </c>
      <c r="AH296" s="4">
        <f t="shared" si="325"/>
      </c>
      <c r="AI296" s="4">
        <f t="shared" si="337"/>
      </c>
      <c r="AJ296" s="4">
        <f t="shared" si="326"/>
      </c>
      <c r="AK296" s="4">
        <f t="shared" si="319"/>
      </c>
      <c r="AL296" s="4">
        <f t="shared" si="327"/>
      </c>
      <c r="AM296" s="4">
        <f t="shared" si="328"/>
      </c>
      <c r="AN296" s="4"/>
      <c r="AO296" s="4">
        <f t="shared" si="332"/>
      </c>
      <c r="AP296" s="4">
        <f t="shared" si="329"/>
      </c>
      <c r="AQ296" s="4">
        <f t="shared" si="333"/>
        <v/>
      </c>
      <c r="AR296" s="4">
        <f t="shared" si="330"/>
      </c>
      <c r="AS296" s="4">
        <f t="shared" si="331"/>
      </c>
      <c r="AT296" s="4">
        <f t="shared" si="338"/>
      </c>
    </row>
    <row r="297" spans="1:46" x14ac:dyDescent="0.3">
      <c r="A297" s="5">
        <f t="shared" si="311"/>
      </c>
      <c r="B297" s="4">
        <f t="shared" si="320"/>
      </c>
      <c r="C297" s="119"/>
      <c r="D297" s="119"/>
      <c r="E297" s="105"/>
      <c r="F297" s="173"/>
      <c r="G297" s="173"/>
      <c r="H297" s="173"/>
      <c r="I297" s="192"/>
      <c r="J297" s="105"/>
      <c r="K297" s="105"/>
      <c r="L297" s="105"/>
      <c r="M297" s="4">
        <f t="shared" si="321"/>
      </c>
      <c r="N297" s="100"/>
      <c r="O297" s="164"/>
      <c r="P297" s="59">
        <f t="shared" si="339"/>
      </c>
      <c r="Q297" s="118"/>
      <c r="R297" s="100"/>
      <c r="S297" s="168"/>
      <c r="T297" s="5">
        <f t="shared" si="322"/>
      </c>
      <c r="U297" s="4">
        <f t="shared" si="312"/>
      </c>
      <c r="V297" s="4">
        <f t="shared" si="313"/>
      </c>
      <c r="W297" s="4">
        <f t="shared" si="314"/>
      </c>
      <c r="X297" s="4">
        <f t="shared" si="315"/>
      </c>
      <c r="Y297" s="4" cm="1">
        <f t="array" ref="Y297">_xlfn.IFS(H297=1,2,H297=3,1)</f>
      </c>
      <c r="Z297" s="4">
        <f t="shared" si="316"/>
      </c>
      <c r="AA297" s="4">
        <f t="shared" si="323"/>
      </c>
      <c r="AB297" s="4">
        <f t="shared" si="317"/>
      </c>
      <c r="AC297" s="4">
        <f t="shared" si="324"/>
      </c>
      <c r="AD297" s="4">
        <f t="shared" si="318"/>
      </c>
      <c r="AE297" s="4">
        <f t="shared" si="334"/>
      </c>
      <c r="AF297" s="4">
        <f t="shared" si="335"/>
      </c>
      <c r="AG297" s="4">
        <f t="shared" si="336"/>
        <v/>
      </c>
      <c r="AH297" s="4">
        <f t="shared" si="325"/>
      </c>
      <c r="AI297" s="4">
        <f t="shared" si="337"/>
      </c>
      <c r="AJ297" s="4">
        <f t="shared" si="326"/>
      </c>
      <c r="AK297" s="4">
        <f t="shared" si="319"/>
      </c>
      <c r="AL297" s="4">
        <f t="shared" si="327"/>
      </c>
      <c r="AM297" s="4">
        <f t="shared" si="328"/>
      </c>
      <c r="AN297" s="4"/>
      <c r="AO297" s="4">
        <f t="shared" si="332"/>
      </c>
      <c r="AP297" s="4">
        <f t="shared" si="329"/>
      </c>
      <c r="AQ297" s="4">
        <f t="shared" si="333"/>
        <v/>
      </c>
      <c r="AR297" s="4">
        <f t="shared" si="330"/>
      </c>
      <c r="AS297" s="4">
        <f t="shared" si="331"/>
      </c>
      <c r="AT297" s="4">
        <f t="shared" si="338"/>
      </c>
    </row>
    <row r="298" spans="1:46" x14ac:dyDescent="0.3">
      <c r="A298" s="5">
        <f t="shared" si="311"/>
      </c>
      <c r="B298" s="4">
        <f t="shared" si="320"/>
      </c>
      <c r="C298" s="119"/>
      <c r="D298" s="119"/>
      <c r="E298" s="105"/>
      <c r="F298" s="173"/>
      <c r="G298" s="173"/>
      <c r="H298" s="173"/>
      <c r="I298" s="105"/>
      <c r="J298" s="105"/>
      <c r="K298" s="105"/>
      <c r="L298" s="105"/>
      <c r="M298" s="4">
        <f t="shared" si="321"/>
      </c>
      <c r="N298" s="100"/>
      <c r="O298" s="164"/>
      <c r="P298" s="59">
        <f t="shared" si="339"/>
      </c>
      <c r="Q298" s="165"/>
      <c r="R298" s="100"/>
      <c r="S298" s="168"/>
      <c r="T298" s="5">
        <f t="shared" si="322"/>
      </c>
      <c r="U298" s="4">
        <f t="shared" si="312"/>
      </c>
      <c r="V298" s="4">
        <f t="shared" si="313"/>
      </c>
      <c r="W298" s="4">
        <f t="shared" si="314"/>
      </c>
      <c r="X298" s="4">
        <f t="shared" si="315"/>
      </c>
      <c r="Y298" s="4" cm="1">
        <f t="array" ref="Y298">_xlfn.IFS(H298=1,2,H298=3,1)</f>
      </c>
      <c r="Z298" s="4">
        <f t="shared" si="316"/>
      </c>
      <c r="AA298" s="4">
        <f t="shared" si="323"/>
      </c>
      <c r="AB298" s="4">
        <f t="shared" si="317"/>
      </c>
      <c r="AC298" s="4">
        <f t="shared" si="324"/>
      </c>
      <c r="AD298" s="4">
        <f t="shared" si="318"/>
      </c>
      <c r="AE298" s="4">
        <f t="shared" si="334"/>
      </c>
      <c r="AF298" s="4">
        <f t="shared" si="335"/>
      </c>
      <c r="AG298" s="4">
        <f t="shared" si="336"/>
        <v/>
      </c>
      <c r="AH298" s="4">
        <f t="shared" si="325"/>
      </c>
      <c r="AI298" s="4">
        <f t="shared" si="337"/>
      </c>
      <c r="AJ298" s="4">
        <f t="shared" si="326"/>
      </c>
      <c r="AK298" s="4">
        <f t="shared" si="319"/>
      </c>
      <c r="AL298" s="4">
        <f t="shared" si="327"/>
      </c>
      <c r="AM298" s="4">
        <f t="shared" si="328"/>
      </c>
      <c r="AN298" s="4"/>
      <c r="AO298" s="4">
        <f t="shared" si="332"/>
      </c>
      <c r="AP298" s="4">
        <f t="shared" si="329"/>
      </c>
      <c r="AQ298" s="4">
        <f t="shared" si="333"/>
        <v/>
      </c>
      <c r="AR298" s="4">
        <f t="shared" si="330"/>
      </c>
      <c r="AS298" s="4">
        <f t="shared" si="331"/>
      </c>
      <c r="AT298" s="4">
        <f t="shared" si="338"/>
      </c>
    </row>
    <row r="299" spans="1:46" x14ac:dyDescent="0.3">
      <c r="A299" s="5">
        <f t="shared" si="311"/>
      </c>
      <c r="B299" s="4">
        <f t="shared" si="320"/>
      </c>
      <c r="C299" s="119"/>
      <c r="D299" s="119"/>
      <c r="E299" s="105"/>
      <c r="F299" s="173"/>
      <c r="G299" s="173"/>
      <c r="H299" s="173"/>
      <c r="I299" s="105"/>
      <c r="J299" s="105"/>
      <c r="K299" s="105"/>
      <c r="L299" s="105"/>
      <c r="M299" s="4">
        <f t="shared" si="321"/>
      </c>
      <c r="N299" s="100"/>
      <c r="O299" s="164"/>
      <c r="P299" s="59">
        <f t="shared" si="339"/>
      </c>
      <c r="Q299" s="165"/>
      <c r="R299" s="100"/>
      <c r="S299" s="168"/>
      <c r="T299" s="5">
        <f t="shared" si="322"/>
      </c>
      <c r="U299" s="4">
        <f t="shared" si="312"/>
      </c>
      <c r="V299" s="4">
        <f t="shared" si="313"/>
      </c>
      <c r="W299" s="4">
        <f t="shared" si="314"/>
      </c>
      <c r="X299" s="4">
        <f t="shared" si="315"/>
      </c>
      <c r="Y299" s="4" cm="1">
        <f t="array" ref="Y299">_xlfn.IFS(H299=1,2,H299=3,1)</f>
      </c>
      <c r="Z299" s="4">
        <f t="shared" si="316"/>
      </c>
      <c r="AA299" s="4">
        <f t="shared" si="323"/>
      </c>
      <c r="AB299" s="4">
        <f t="shared" si="317"/>
      </c>
      <c r="AC299" s="4">
        <f t="shared" si="324"/>
      </c>
      <c r="AD299" s="4">
        <f t="shared" si="318"/>
      </c>
      <c r="AE299" s="4">
        <f t="shared" si="334"/>
      </c>
      <c r="AF299" s="4">
        <f t="shared" si="335"/>
      </c>
      <c r="AG299" s="4">
        <f t="shared" si="336"/>
        <v/>
      </c>
      <c r="AH299" s="4">
        <f t="shared" si="325"/>
      </c>
      <c r="AI299" s="4">
        <f t="shared" si="337"/>
      </c>
      <c r="AJ299" s="4">
        <f t="shared" si="326"/>
      </c>
      <c r="AK299" s="4">
        <f t="shared" si="319"/>
      </c>
      <c r="AL299" s="4">
        <f t="shared" si="327"/>
      </c>
      <c r="AM299" s="4">
        <f t="shared" si="328"/>
      </c>
      <c r="AN299" s="4"/>
      <c r="AO299" s="4">
        <f t="shared" si="332"/>
      </c>
      <c r="AP299" s="4">
        <f t="shared" si="329"/>
      </c>
      <c r="AQ299" s="4">
        <f t="shared" si="333"/>
        <v/>
      </c>
      <c r="AR299" s="4">
        <f t="shared" si="330"/>
      </c>
      <c r="AS299" s="4">
        <f t="shared" si="331"/>
      </c>
      <c r="AT299" s="4">
        <f t="shared" si="338"/>
      </c>
    </row>
    <row r="300" spans="1:46" x14ac:dyDescent="0.3">
      <c r="A300" s="5">
        <f t="shared" si="311"/>
      </c>
      <c r="B300" s="4">
        <f t="shared" si="320"/>
      </c>
      <c r="C300" s="119"/>
      <c r="D300" s="119"/>
      <c r="E300" s="105"/>
      <c r="F300" s="173"/>
      <c r="G300" s="173"/>
      <c r="H300" s="173"/>
      <c r="I300" s="105"/>
      <c r="J300" s="105"/>
      <c r="K300" s="105"/>
      <c r="L300" s="105"/>
      <c r="M300" s="4">
        <f t="shared" si="321"/>
      </c>
      <c r="N300" s="100"/>
      <c r="O300" s="164"/>
      <c r="P300" s="59">
        <f t="shared" si="339"/>
      </c>
      <c r="Q300" s="165"/>
      <c r="R300" s="100"/>
      <c r="S300" s="168"/>
      <c r="T300" s="5">
        <f t="shared" si="322"/>
      </c>
      <c r="U300" s="4">
        <f t="shared" si="312"/>
      </c>
      <c r="V300" s="4">
        <f t="shared" si="313"/>
      </c>
      <c r="W300" s="4">
        <f t="shared" si="314"/>
      </c>
      <c r="X300" s="4">
        <f t="shared" si="315"/>
      </c>
      <c r="Y300" s="4" cm="1">
        <f t="array" ref="Y300">_xlfn.IFS(H300=1,2,H300=3,1)</f>
      </c>
      <c r="Z300" s="4">
        <f t="shared" si="316"/>
      </c>
      <c r="AA300" s="4">
        <f t="shared" si="323"/>
      </c>
      <c r="AB300" s="4">
        <f t="shared" si="317"/>
      </c>
      <c r="AC300" s="4">
        <f t="shared" si="324"/>
      </c>
      <c r="AD300" s="4">
        <f t="shared" si="318"/>
      </c>
      <c r="AE300" s="4">
        <f t="shared" si="334"/>
      </c>
      <c r="AF300" s="4">
        <f t="shared" si="335"/>
      </c>
      <c r="AG300" s="4">
        <f t="shared" si="336"/>
        <v/>
      </c>
      <c r="AH300" s="4">
        <f t="shared" si="325"/>
      </c>
      <c r="AI300" s="4">
        <f t="shared" si="337"/>
      </c>
      <c r="AJ300" s="4">
        <f t="shared" si="326"/>
      </c>
      <c r="AK300" s="4">
        <f t="shared" si="319"/>
      </c>
      <c r="AL300" s="4">
        <f t="shared" si="327"/>
      </c>
      <c r="AM300" s="4">
        <f t="shared" si="328"/>
      </c>
      <c r="AN300" s="4"/>
      <c r="AO300" s="4">
        <f t="shared" si="332"/>
      </c>
      <c r="AP300" s="4">
        <f t="shared" si="329"/>
      </c>
      <c r="AQ300" s="4">
        <f t="shared" si="333"/>
        <v/>
      </c>
      <c r="AR300" s="4">
        <f t="shared" si="330"/>
      </c>
      <c r="AS300" s="4">
        <f t="shared" si="331"/>
      </c>
      <c r="AT300" s="4">
        <f t="shared" si="338"/>
      </c>
    </row>
    <row r="301" spans="1:46" x14ac:dyDescent="0.3">
      <c r="A301" s="5">
        <f t="shared" si="311"/>
      </c>
      <c r="B301" s="4">
        <f t="shared" si="320"/>
      </c>
      <c r="C301" s="119"/>
      <c r="D301" s="119"/>
      <c r="E301" s="105"/>
      <c r="F301" s="173"/>
      <c r="G301" s="173"/>
      <c r="H301" s="173"/>
      <c r="I301" s="105"/>
      <c r="J301" s="105"/>
      <c r="K301" s="105"/>
      <c r="L301" s="105"/>
      <c r="M301" s="4">
        <f t="shared" si="321"/>
      </c>
      <c r="N301" s="100"/>
      <c r="O301" s="164"/>
      <c r="P301" s="59">
        <f t="shared" si="339"/>
      </c>
      <c r="Q301" s="165"/>
      <c r="R301" s="100"/>
      <c r="S301" s="168"/>
      <c r="T301" s="5">
        <f t="shared" si="322"/>
      </c>
      <c r="U301" s="4">
        <f t="shared" si="312"/>
      </c>
      <c r="V301" s="4">
        <f t="shared" si="313"/>
      </c>
      <c r="W301" s="4">
        <f t="shared" si="314"/>
      </c>
      <c r="X301" s="4">
        <f t="shared" si="315"/>
      </c>
      <c r="Y301" s="4" cm="1">
        <f t="array" ref="Y301">_xlfn.IFS(H301=1,2,H301=3,1)</f>
      </c>
      <c r="Z301" s="4">
        <f t="shared" si="316"/>
      </c>
      <c r="AA301" s="4">
        <f t="shared" si="323"/>
      </c>
      <c r="AB301" s="4">
        <f t="shared" si="317"/>
      </c>
      <c r="AC301" s="4">
        <f t="shared" si="324"/>
      </c>
      <c r="AD301" s="4">
        <f t="shared" si="318"/>
      </c>
      <c r="AE301" s="4">
        <f t="shared" si="334"/>
      </c>
      <c r="AF301" s="4">
        <f t="shared" si="335"/>
      </c>
      <c r="AG301" s="4">
        <f t="shared" si="336"/>
        <v/>
      </c>
      <c r="AH301" s="4">
        <f t="shared" si="325"/>
      </c>
      <c r="AI301" s="4">
        <f t="shared" si="337"/>
      </c>
      <c r="AJ301" s="4">
        <f t="shared" si="326"/>
      </c>
      <c r="AK301" s="4">
        <f t="shared" si="319"/>
      </c>
      <c r="AL301" s="4">
        <f t="shared" si="327"/>
      </c>
      <c r="AM301" s="4">
        <f t="shared" si="328"/>
      </c>
      <c r="AN301" s="4"/>
      <c r="AO301" s="4">
        <f t="shared" si="332"/>
      </c>
      <c r="AP301" s="4">
        <f t="shared" si="329"/>
      </c>
      <c r="AQ301" s="4">
        <f t="shared" si="333"/>
        <v/>
      </c>
      <c r="AR301" s="4">
        <f t="shared" si="330"/>
      </c>
      <c r="AS301" s="4">
        <f t="shared" si="331"/>
      </c>
      <c r="AT301" s="4">
        <f t="shared" si="338"/>
      </c>
    </row>
    <row r="302" spans="1:46" x14ac:dyDescent="0.3">
      <c r="A302" s="5">
        <f t="shared" si="311"/>
      </c>
      <c r="B302" s="4">
        <f t="shared" si="320"/>
      </c>
      <c r="C302" s="119"/>
      <c r="D302" s="119"/>
      <c r="E302" s="105"/>
      <c r="F302" s="173"/>
      <c r="G302" s="173"/>
      <c r="H302" s="173"/>
      <c r="I302" s="105"/>
      <c r="J302" s="105"/>
      <c r="K302" s="105"/>
      <c r="L302" s="105"/>
      <c r="M302" s="4">
        <f t="shared" si="321"/>
      </c>
      <c r="N302" s="100"/>
      <c r="O302" s="164"/>
      <c r="P302" s="59">
        <f t="shared" si="339"/>
      </c>
      <c r="Q302" s="165"/>
      <c r="R302" s="100"/>
      <c r="S302" s="168"/>
      <c r="T302" s="5">
        <f t="shared" si="322"/>
      </c>
      <c r="U302" s="4">
        <f t="shared" si="312"/>
      </c>
      <c r="V302" s="4">
        <f t="shared" si="313"/>
      </c>
      <c r="W302" s="4">
        <f t="shared" si="314"/>
      </c>
      <c r="X302" s="4">
        <f t="shared" si="315"/>
      </c>
      <c r="Y302" s="4" cm="1">
        <f t="array" ref="Y302">_xlfn.IFS(H302=1,2,H302=3,1)</f>
      </c>
      <c r="Z302" s="4">
        <f t="shared" si="316"/>
      </c>
      <c r="AA302" s="4">
        <f t="shared" si="323"/>
      </c>
      <c r="AB302" s="4">
        <f t="shared" si="317"/>
      </c>
      <c r="AC302" s="4">
        <f t="shared" si="324"/>
      </c>
      <c r="AD302" s="4">
        <f t="shared" si="318"/>
      </c>
      <c r="AE302" s="4">
        <f t="shared" si="334"/>
      </c>
      <c r="AF302" s="4">
        <f t="shared" si="335"/>
      </c>
      <c r="AG302" s="4">
        <f t="shared" si="336"/>
        <v/>
      </c>
      <c r="AH302" s="4">
        <f t="shared" si="325"/>
      </c>
      <c r="AI302" s="4">
        <f t="shared" si="337"/>
      </c>
      <c r="AJ302" s="4">
        <f t="shared" si="326"/>
      </c>
      <c r="AK302" s="4">
        <f t="shared" si="319"/>
      </c>
      <c r="AL302" s="4">
        <f t="shared" si="327"/>
      </c>
      <c r="AM302" s="4">
        <f t="shared" si="328"/>
      </c>
      <c r="AN302" s="4"/>
      <c r="AO302" s="4">
        <f t="shared" si="332"/>
      </c>
      <c r="AP302" s="4">
        <f t="shared" si="329"/>
      </c>
      <c r="AQ302" s="4">
        <f t="shared" si="333"/>
        <v/>
      </c>
      <c r="AR302" s="4">
        <f t="shared" si="330"/>
      </c>
      <c r="AS302" s="4">
        <f t="shared" si="331"/>
      </c>
      <c r="AT302" s="4">
        <f t="shared" si="338"/>
      </c>
    </row>
    <row r="303" spans="1:46" x14ac:dyDescent="0.3">
      <c r="A303" s="5">
        <f t="shared" si="311"/>
      </c>
      <c r="B303" s="4">
        <f t="shared" si="320"/>
      </c>
      <c r="C303" s="119"/>
      <c r="D303" s="119"/>
      <c r="E303" s="105"/>
      <c r="F303" s="173"/>
      <c r="G303" s="173"/>
      <c r="H303" s="173"/>
      <c r="I303" s="192"/>
      <c r="J303" s="105"/>
      <c r="K303" s="105"/>
      <c r="L303" s="105"/>
      <c r="M303" s="4">
        <f t="shared" si="321"/>
      </c>
      <c r="N303" s="100"/>
      <c r="O303" s="164"/>
      <c r="P303" s="59">
        <f t="shared" si="339"/>
      </c>
      <c r="Q303" s="118"/>
      <c r="R303" s="100"/>
      <c r="S303" s="168"/>
      <c r="T303" s="5">
        <f t="shared" si="322"/>
      </c>
      <c r="U303" s="4">
        <f t="shared" si="312"/>
      </c>
      <c r="V303" s="4">
        <f t="shared" si="313"/>
      </c>
      <c r="W303" s="4">
        <f t="shared" si="314"/>
      </c>
      <c r="X303" s="4">
        <f t="shared" si="315"/>
      </c>
      <c r="Y303" s="4" cm="1">
        <f t="array" ref="Y303">_xlfn.IFS(H303=1,2,H303=3,1)</f>
      </c>
      <c r="Z303" s="4">
        <f t="shared" si="316"/>
      </c>
      <c r="AA303" s="4">
        <f t="shared" si="323"/>
      </c>
      <c r="AB303" s="4">
        <f t="shared" si="317"/>
      </c>
      <c r="AC303" s="4">
        <f t="shared" si="324"/>
      </c>
      <c r="AD303" s="4">
        <f t="shared" si="318"/>
      </c>
      <c r="AE303" s="4">
        <f t="shared" si="334"/>
      </c>
      <c r="AF303" s="4">
        <f t="shared" si="335"/>
      </c>
      <c r="AG303" s="4">
        <f t="shared" si="336"/>
        <v/>
      </c>
      <c r="AH303" s="4">
        <f t="shared" si="325"/>
      </c>
      <c r="AI303" s="4">
        <f t="shared" si="337"/>
      </c>
      <c r="AJ303" s="4">
        <f t="shared" si="326"/>
      </c>
      <c r="AK303" s="4">
        <f t="shared" si="319"/>
      </c>
      <c r="AL303" s="4">
        <f t="shared" si="327"/>
      </c>
      <c r="AM303" s="4">
        <f t="shared" si="328"/>
      </c>
      <c r="AN303" s="4"/>
      <c r="AO303" s="4">
        <f t="shared" si="332"/>
      </c>
      <c r="AP303" s="4">
        <f t="shared" si="329"/>
      </c>
      <c r="AQ303" s="4">
        <f t="shared" si="333"/>
        <v/>
      </c>
      <c r="AR303" s="4">
        <f t="shared" si="330"/>
      </c>
      <c r="AS303" s="4">
        <f t="shared" si="331"/>
      </c>
      <c r="AT303" s="4">
        <f t="shared" si="338"/>
      </c>
    </row>
    <row r="304" spans="1:46" x14ac:dyDescent="0.3">
      <c r="A304" s="5">
        <f t="shared" si="311"/>
      </c>
      <c r="B304" s="4">
        <f t="shared" si="320"/>
      </c>
      <c r="C304" s="119"/>
      <c r="D304" s="119"/>
      <c r="E304" s="105"/>
      <c r="F304" s="173"/>
      <c r="G304" s="173"/>
      <c r="H304" s="173"/>
      <c r="I304" s="105"/>
      <c r="J304" s="105"/>
      <c r="K304" s="105"/>
      <c r="L304" s="105"/>
      <c r="M304" s="4">
        <f t="shared" si="321"/>
      </c>
      <c r="N304" s="100"/>
      <c r="O304" s="164"/>
      <c r="P304" s="59">
        <f t="shared" si="339"/>
      </c>
      <c r="Q304" s="165"/>
      <c r="R304" s="100"/>
      <c r="S304" s="168"/>
      <c r="T304" s="5">
        <f t="shared" si="322"/>
      </c>
      <c r="U304" s="4">
        <f t="shared" si="312"/>
      </c>
      <c r="V304" s="4">
        <f t="shared" si="313"/>
      </c>
      <c r="W304" s="4">
        <f t="shared" si="314"/>
      </c>
      <c r="X304" s="4">
        <f t="shared" si="315"/>
      </c>
      <c r="Y304" s="4" cm="1">
        <f t="array" ref="Y304">_xlfn.IFS(H304=1,2,H304=3,1)</f>
      </c>
      <c r="Z304" s="4">
        <f t="shared" si="316"/>
      </c>
      <c r="AA304" s="4">
        <f t="shared" si="323"/>
      </c>
      <c r="AB304" s="4">
        <f t="shared" si="317"/>
      </c>
      <c r="AC304" s="4">
        <f t="shared" si="324"/>
      </c>
      <c r="AD304" s="4">
        <f t="shared" si="318"/>
      </c>
      <c r="AE304" s="4">
        <f t="shared" si="334"/>
      </c>
      <c r="AF304" s="4">
        <f t="shared" si="335"/>
      </c>
      <c r="AG304" s="4">
        <f t="shared" si="336"/>
        <v/>
      </c>
      <c r="AH304" s="4">
        <f t="shared" si="325"/>
      </c>
      <c r="AI304" s="4">
        <f t="shared" si="337"/>
      </c>
      <c r="AJ304" s="4">
        <f t="shared" si="326"/>
      </c>
      <c r="AK304" s="4">
        <f t="shared" si="319"/>
      </c>
      <c r="AL304" s="4">
        <f t="shared" si="327"/>
      </c>
      <c r="AM304" s="4">
        <f t="shared" si="328"/>
      </c>
      <c r="AN304" s="4"/>
      <c r="AO304" s="4">
        <f t="shared" si="332"/>
      </c>
      <c r="AP304" s="4">
        <f t="shared" si="329"/>
      </c>
      <c r="AQ304" s="4">
        <f t="shared" si="333"/>
        <v/>
      </c>
      <c r="AR304" s="4">
        <f t="shared" si="330"/>
      </c>
      <c r="AS304" s="4">
        <f t="shared" si="331"/>
      </c>
      <c r="AT304" s="4">
        <f t="shared" si="338"/>
      </c>
    </row>
    <row r="305" spans="1:46" x14ac:dyDescent="0.3">
      <c r="A305" s="5">
        <f t="shared" si="311"/>
      </c>
      <c r="B305" s="4">
        <f t="shared" si="320"/>
      </c>
      <c r="C305" s="119"/>
      <c r="D305" s="119"/>
      <c r="E305" s="105"/>
      <c r="F305" s="173"/>
      <c r="G305" s="173"/>
      <c r="H305" s="173"/>
      <c r="I305" s="105"/>
      <c r="J305" s="105"/>
      <c r="K305" s="105"/>
      <c r="L305" s="105"/>
      <c r="M305" s="4">
        <f t="shared" si="321"/>
      </c>
      <c r="N305" s="100"/>
      <c r="O305" s="164"/>
      <c r="P305" s="59">
        <f t="shared" si="339"/>
      </c>
      <c r="Q305" s="165"/>
      <c r="R305" s="100"/>
      <c r="S305" s="168"/>
      <c r="T305" s="5">
        <f t="shared" si="322"/>
      </c>
      <c r="U305" s="4">
        <f t="shared" si="312"/>
      </c>
      <c r="V305" s="4">
        <f t="shared" si="313"/>
      </c>
      <c r="W305" s="4">
        <f t="shared" si="314"/>
      </c>
      <c r="X305" s="4">
        <f t="shared" si="315"/>
      </c>
      <c r="Y305" s="4" cm="1">
        <f t="array" ref="Y305">_xlfn.IFS(H305=1,2,H305=3,1)</f>
      </c>
      <c r="Z305" s="4">
        <f t="shared" si="316"/>
      </c>
      <c r="AA305" s="4">
        <f t="shared" si="323"/>
      </c>
      <c r="AB305" s="4">
        <f t="shared" si="317"/>
      </c>
      <c r="AC305" s="4">
        <f t="shared" si="324"/>
      </c>
      <c r="AD305" s="4">
        <f t="shared" si="318"/>
      </c>
      <c r="AE305" s="4">
        <f t="shared" si="334"/>
      </c>
      <c r="AF305" s="4">
        <f t="shared" si="335"/>
      </c>
      <c r="AG305" s="4">
        <f t="shared" si="336"/>
        <v/>
      </c>
      <c r="AH305" s="4">
        <f t="shared" si="325"/>
      </c>
      <c r="AI305" s="4">
        <f t="shared" si="337"/>
      </c>
      <c r="AJ305" s="4">
        <f t="shared" si="326"/>
      </c>
      <c r="AK305" s="4">
        <f t="shared" si="319"/>
      </c>
      <c r="AL305" s="4">
        <f t="shared" si="327"/>
      </c>
      <c r="AM305" s="4">
        <f t="shared" si="328"/>
      </c>
      <c r="AN305" s="4"/>
      <c r="AO305" s="4">
        <f t="shared" si="332"/>
      </c>
      <c r="AP305" s="4">
        <f t="shared" si="329"/>
      </c>
      <c r="AQ305" s="4">
        <f t="shared" si="333"/>
        <v/>
      </c>
      <c r="AR305" s="4">
        <f t="shared" si="330"/>
      </c>
      <c r="AS305" s="4">
        <f t="shared" si="331"/>
      </c>
      <c r="AT305" s="4">
        <f t="shared" si="338"/>
      </c>
    </row>
    <row r="306" spans="1:46" x14ac:dyDescent="0.3">
      <c r="A306" s="5">
        <f t="shared" si="311"/>
      </c>
      <c r="B306" s="4">
        <f t="shared" si="320"/>
      </c>
      <c r="C306" s="119"/>
      <c r="D306" s="119"/>
      <c r="E306" s="105"/>
      <c r="F306" s="173"/>
      <c r="G306" s="173"/>
      <c r="H306" s="173"/>
      <c r="I306" s="105"/>
      <c r="J306" s="105"/>
      <c r="K306" s="105"/>
      <c r="L306" s="105"/>
      <c r="M306" s="4">
        <f t="shared" si="321"/>
      </c>
      <c r="N306" s="100"/>
      <c r="O306" s="164"/>
      <c r="P306" s="59">
        <f t="shared" si="339"/>
      </c>
      <c r="Q306" s="165"/>
      <c r="R306" s="100"/>
      <c r="S306" s="168"/>
      <c r="T306" s="5">
        <f t="shared" si="322"/>
      </c>
      <c r="U306" s="4">
        <f t="shared" si="312"/>
      </c>
      <c r="V306" s="4">
        <f t="shared" si="313"/>
      </c>
      <c r="W306" s="4">
        <f t="shared" si="314"/>
      </c>
      <c r="X306" s="4">
        <f t="shared" si="315"/>
      </c>
      <c r="Y306" s="4" cm="1">
        <f t="array" ref="Y306">_xlfn.IFS(H306=1,2,H306=3,1)</f>
      </c>
      <c r="Z306" s="4">
        <f t="shared" si="316"/>
      </c>
      <c r="AA306" s="4">
        <f t="shared" si="323"/>
      </c>
      <c r="AB306" s="4">
        <f t="shared" si="317"/>
      </c>
      <c r="AC306" s="4">
        <f t="shared" si="324"/>
      </c>
      <c r="AD306" s="4">
        <f t="shared" si="318"/>
      </c>
      <c r="AE306" s="4">
        <f t="shared" si="334"/>
      </c>
      <c r="AF306" s="4">
        <f t="shared" si="335"/>
      </c>
      <c r="AG306" s="4">
        <f t="shared" si="336"/>
        <v/>
      </c>
      <c r="AH306" s="4">
        <f t="shared" si="325"/>
      </c>
      <c r="AI306" s="4">
        <f t="shared" si="337"/>
      </c>
      <c r="AJ306" s="4">
        <f t="shared" si="326"/>
      </c>
      <c r="AK306" s="4">
        <f t="shared" si="319"/>
      </c>
      <c r="AL306" s="4">
        <f t="shared" si="327"/>
      </c>
      <c r="AM306" s="4">
        <f t="shared" si="328"/>
      </c>
      <c r="AN306" s="4"/>
      <c r="AO306" s="4">
        <f t="shared" si="332"/>
      </c>
      <c r="AP306" s="4">
        <f t="shared" si="329"/>
      </c>
      <c r="AQ306" s="4">
        <f t="shared" si="333"/>
        <v/>
      </c>
      <c r="AR306" s="4">
        <f t="shared" si="330"/>
      </c>
      <c r="AS306" s="4">
        <f t="shared" si="331"/>
      </c>
      <c r="AT306" s="4">
        <f t="shared" si="338"/>
      </c>
    </row>
    <row r="307" spans="1:46" x14ac:dyDescent="0.3">
      <c r="A307" s="5">
        <f t="shared" si="311"/>
      </c>
      <c r="B307" s="4">
        <f t="shared" si="320"/>
      </c>
      <c r="C307" s="119"/>
      <c r="D307" s="119"/>
      <c r="E307" s="105"/>
      <c r="F307" s="173"/>
      <c r="G307" s="173"/>
      <c r="H307" s="173"/>
      <c r="I307" s="105"/>
      <c r="J307" s="105"/>
      <c r="K307" s="105"/>
      <c r="L307" s="105"/>
      <c r="M307" s="4">
        <f t="shared" si="321"/>
      </c>
      <c r="N307" s="100"/>
      <c r="O307" s="164"/>
      <c r="P307" s="59">
        <f t="shared" si="339"/>
      </c>
      <c r="Q307" s="165"/>
      <c r="R307" s="100"/>
      <c r="S307" s="168"/>
      <c r="T307" s="5">
        <f t="shared" si="322"/>
      </c>
      <c r="U307" s="4">
        <f t="shared" si="312"/>
      </c>
      <c r="V307" s="4">
        <f t="shared" si="313"/>
      </c>
      <c r="W307" s="4">
        <f t="shared" si="314"/>
      </c>
      <c r="X307" s="4">
        <f t="shared" si="315"/>
      </c>
      <c r="Y307" s="4" cm="1">
        <f t="array" ref="Y307">_xlfn.IFS(H307=1,2,H307=3,1)</f>
      </c>
      <c r="Z307" s="4">
        <f t="shared" si="316"/>
      </c>
      <c r="AA307" s="4">
        <f t="shared" si="323"/>
      </c>
      <c r="AB307" s="4">
        <f t="shared" si="317"/>
      </c>
      <c r="AC307" s="4">
        <f t="shared" si="324"/>
      </c>
      <c r="AD307" s="4">
        <f t="shared" si="318"/>
      </c>
      <c r="AE307" s="4">
        <f t="shared" si="334"/>
      </c>
      <c r="AF307" s="4">
        <f t="shared" si="335"/>
      </c>
      <c r="AG307" s="4">
        <f t="shared" si="336"/>
        <v/>
      </c>
      <c r="AH307" s="4">
        <f t="shared" si="325"/>
      </c>
      <c r="AI307" s="4">
        <f t="shared" si="337"/>
      </c>
      <c r="AJ307" s="4">
        <f t="shared" si="326"/>
      </c>
      <c r="AK307" s="4">
        <f t="shared" si="319"/>
      </c>
      <c r="AL307" s="4">
        <f t="shared" si="327"/>
      </c>
      <c r="AM307" s="4">
        <f t="shared" si="328"/>
      </c>
      <c r="AN307" s="4"/>
      <c r="AO307" s="4">
        <f t="shared" si="332"/>
      </c>
      <c r="AP307" s="4">
        <f t="shared" si="329"/>
      </c>
      <c r="AQ307" s="4">
        <f t="shared" si="333"/>
        <v/>
      </c>
      <c r="AR307" s="4">
        <f t="shared" si="330"/>
      </c>
      <c r="AS307" s="4">
        <f t="shared" si="331"/>
      </c>
      <c r="AT307" s="4">
        <f t="shared" si="338"/>
      </c>
    </row>
    <row r="308" spans="1:46" ht="15" thickBot="1" x14ac:dyDescent="0.35">
      <c r="A308" s="45">
        <f t="shared" si="311"/>
      </c>
      <c r="B308" s="44">
        <f t="shared" si="320"/>
      </c>
      <c r="C308" s="175"/>
      <c r="D308" s="175"/>
      <c r="E308" s="176"/>
      <c r="F308" s="178"/>
      <c r="G308" s="178"/>
      <c r="H308" s="178"/>
      <c r="I308" s="105"/>
      <c r="J308" s="176"/>
      <c r="K308" s="176"/>
      <c r="L308" s="176"/>
      <c r="M308" s="44">
        <f t="shared" si="321"/>
      </c>
      <c r="N308" s="64"/>
      <c r="O308" s="166"/>
      <c r="P308" s="64">
        <f t="shared" si="339"/>
      </c>
      <c r="Q308" s="170"/>
      <c r="R308" s="64"/>
      <c r="S308" s="166"/>
      <c r="T308" s="45">
        <f t="shared" si="322"/>
      </c>
      <c r="U308" s="44">
        <f t="shared" si="312"/>
      </c>
      <c r="V308" s="44">
        <f t="shared" si="313"/>
      </c>
      <c r="W308" s="44">
        <f t="shared" si="314"/>
      </c>
      <c r="X308" s="44">
        <f t="shared" si="315"/>
      </c>
      <c r="Y308" s="44" cm="1">
        <f t="array" ref="Y308">_xlfn.IFS(H308=1,2,H308=3,1)</f>
      </c>
      <c r="Z308" s="44">
        <f t="shared" si="316"/>
      </c>
      <c r="AA308" s="44">
        <f t="shared" si="323"/>
      </c>
      <c r="AB308" s="44">
        <f t="shared" si="317"/>
      </c>
      <c r="AC308" s="44">
        <f t="shared" si="324"/>
      </c>
      <c r="AD308" s="44">
        <f t="shared" si="318"/>
      </c>
      <c r="AE308" s="44">
        <f t="shared" si="334"/>
      </c>
      <c r="AF308" s="44">
        <f t="shared" si="335"/>
      </c>
      <c r="AG308" s="44">
        <f t="shared" si="336"/>
        <v/>
      </c>
      <c r="AH308" s="44">
        <f t="shared" si="325"/>
      </c>
      <c r="AI308" s="44">
        <f t="shared" si="337"/>
      </c>
      <c r="AJ308" s="44">
        <f t="shared" si="326"/>
      </c>
      <c r="AK308" s="44">
        <f t="shared" si="319"/>
      </c>
      <c r="AL308" s="44">
        <f t="shared" si="327"/>
      </c>
      <c r="AM308" s="44">
        <f t="shared" si="328"/>
      </c>
      <c r="AN308" s="44"/>
      <c r="AO308" s="44">
        <f t="shared" si="332"/>
      </c>
      <c r="AP308" s="44">
        <f t="shared" si="329"/>
      </c>
      <c r="AQ308" s="44">
        <f t="shared" si="333"/>
        <v/>
      </c>
      <c r="AR308" s="44">
        <f t="shared" si="330"/>
      </c>
      <c r="AS308" s="44">
        <f t="shared" si="331"/>
      </c>
      <c r="AT308" s="44">
        <f t="shared" si="338"/>
      </c>
    </row>
    <row r="309" spans="1:46" x14ac:dyDescent="0.3">
      <c r="A309" s="19">
        <f t="shared" si="311"/>
      </c>
      <c r="B309" s="7">
        <f t="shared" si="320"/>
      </c>
      <c r="C309" s="177"/>
      <c r="D309" s="177"/>
      <c r="E309" s="179"/>
      <c r="F309" s="182"/>
      <c r="G309" s="182"/>
      <c r="H309" s="182"/>
      <c r="I309" s="105"/>
      <c r="J309" s="179"/>
      <c r="K309" s="179"/>
      <c r="L309" s="179"/>
      <c r="M309" s="7">
        <f t="shared" si="321"/>
      </c>
      <c r="N309" s="65"/>
      <c r="O309" s="168"/>
      <c r="P309" s="65">
        <f t="shared" si="339"/>
      </c>
      <c r="Q309" s="118"/>
      <c r="R309" s="65"/>
      <c r="S309" s="168"/>
      <c r="T309" s="19">
        <f t="shared" si="322"/>
      </c>
      <c r="U309" s="7">
        <f t="shared" si="312"/>
      </c>
      <c r="V309" s="7">
        <f t="shared" si="313"/>
      </c>
      <c r="W309" s="7">
        <f t="shared" si="314"/>
      </c>
      <c r="X309" s="7">
        <f t="shared" si="315"/>
      </c>
      <c r="Y309" s="7" cm="1">
        <f t="array" ref="Y309">_xlfn.IFS(H309=1,2,H309=3,1)</f>
      </c>
      <c r="Z309" s="7">
        <f t="shared" si="316"/>
      </c>
      <c r="AA309" s="7">
        <f t="shared" si="323"/>
      </c>
      <c r="AB309" s="7">
        <f t="shared" si="317"/>
      </c>
      <c r="AC309" s="7">
        <f t="shared" si="324"/>
      </c>
      <c r="AD309" s="7">
        <f t="shared" si="318"/>
      </c>
      <c r="AE309" s="7">
        <f t="shared" si="334"/>
      </c>
      <c r="AF309" s="7">
        <f t="shared" si="335"/>
      </c>
      <c r="AG309" s="7">
        <f t="shared" si="336"/>
        <v/>
      </c>
      <c r="AH309" s="7">
        <f t="shared" si="325"/>
      </c>
      <c r="AI309" s="7">
        <f t="shared" si="337"/>
      </c>
      <c r="AJ309" s="7">
        <f t="shared" si="326"/>
      </c>
      <c r="AK309" s="7">
        <f t="shared" si="319"/>
      </c>
      <c r="AL309" s="7">
        <f t="shared" si="327"/>
      </c>
      <c r="AM309" s="7">
        <f t="shared" si="328"/>
      </c>
      <c r="AN309" s="7"/>
      <c r="AO309" s="7">
        <f t="shared" si="332"/>
      </c>
      <c r="AP309" s="7">
        <f t="shared" si="329"/>
      </c>
      <c r="AQ309" s="7">
        <f t="shared" si="333"/>
        <v/>
      </c>
      <c r="AR309" s="7">
        <f t="shared" si="330"/>
      </c>
      <c r="AS309" s="7">
        <f t="shared" si="331"/>
      </c>
      <c r="AT309" s="7">
        <f t="shared" si="338"/>
      </c>
    </row>
    <row r="310" spans="1:46" x14ac:dyDescent="0.3">
      <c r="A310" s="5">
        <f t="shared" si="311"/>
      </c>
      <c r="B310" s="4">
        <f t="shared" si="320"/>
      </c>
      <c r="C310" s="119"/>
      <c r="D310" s="119"/>
      <c r="E310" s="105"/>
      <c r="F310" s="173"/>
      <c r="G310" s="173"/>
      <c r="H310" s="173"/>
      <c r="I310" s="105"/>
      <c r="J310" s="105"/>
      <c r="K310" s="105"/>
      <c r="L310" s="105"/>
      <c r="M310" s="4">
        <f t="shared" si="321"/>
      </c>
      <c r="N310" s="100"/>
      <c r="O310" s="164"/>
      <c r="P310" s="59">
        <f t="shared" si="339"/>
      </c>
      <c r="Q310" s="165"/>
      <c r="R310" s="100"/>
      <c r="S310" s="168"/>
      <c r="T310" s="5">
        <f t="shared" si="322"/>
      </c>
      <c r="U310" s="4">
        <f t="shared" si="312"/>
      </c>
      <c r="V310" s="4">
        <f t="shared" si="313"/>
      </c>
      <c r="W310" s="4">
        <f t="shared" si="314"/>
      </c>
      <c r="X310" s="4">
        <f t="shared" si="315"/>
      </c>
      <c r="Y310" s="4" cm="1">
        <f t="array" ref="Y310">_xlfn.IFS(H310=1,2,H310=3,1)</f>
      </c>
      <c r="Z310" s="4">
        <f t="shared" si="316"/>
      </c>
      <c r="AA310" s="4">
        <f t="shared" si="323"/>
      </c>
      <c r="AB310" s="4">
        <f t="shared" si="317"/>
      </c>
      <c r="AC310" s="4">
        <f t="shared" si="324"/>
      </c>
      <c r="AD310" s="4">
        <f t="shared" si="318"/>
      </c>
      <c r="AE310" s="4">
        <f t="shared" si="334"/>
      </c>
      <c r="AF310" s="4">
        <f t="shared" si="335"/>
      </c>
      <c r="AG310" s="4">
        <f t="shared" si="336"/>
        <v/>
      </c>
      <c r="AH310" s="4">
        <f t="shared" si="325"/>
      </c>
      <c r="AI310" s="4">
        <f t="shared" si="337"/>
      </c>
      <c r="AJ310" s="4">
        <f t="shared" si="326"/>
      </c>
      <c r="AK310" s="4">
        <f t="shared" si="319"/>
      </c>
      <c r="AL310" s="4">
        <f t="shared" si="327"/>
      </c>
      <c r="AM310" s="4">
        <f t="shared" si="328"/>
      </c>
      <c r="AN310" s="4"/>
      <c r="AO310" s="4">
        <f t="shared" si="332"/>
      </c>
      <c r="AP310" s="4">
        <f t="shared" si="329"/>
      </c>
      <c r="AQ310" s="4">
        <f t="shared" si="333"/>
        <v/>
      </c>
      <c r="AR310" s="4">
        <f t="shared" si="330"/>
      </c>
      <c r="AS310" s="4">
        <f t="shared" si="331"/>
      </c>
      <c r="AT310" s="4">
        <f t="shared" si="338"/>
      </c>
    </row>
    <row r="311" spans="1:46" x14ac:dyDescent="0.3">
      <c r="A311" s="5">
        <f t="shared" si="311"/>
      </c>
      <c r="B311" s="4">
        <f t="shared" si="320"/>
      </c>
      <c r="C311" s="119"/>
      <c r="D311" s="119"/>
      <c r="E311" s="105"/>
      <c r="F311" s="173"/>
      <c r="G311" s="173"/>
      <c r="H311" s="173"/>
      <c r="I311" s="105"/>
      <c r="J311" s="105"/>
      <c r="K311" s="105"/>
      <c r="L311" s="105"/>
      <c r="M311" s="4">
        <f t="shared" si="321"/>
      </c>
      <c r="N311" s="100"/>
      <c r="O311" s="164"/>
      <c r="P311" s="59">
        <f t="shared" si="339"/>
      </c>
      <c r="Q311" s="165"/>
      <c r="R311" s="100"/>
      <c r="S311" s="168"/>
      <c r="T311" s="5">
        <f t="shared" si="322"/>
      </c>
      <c r="U311" s="4">
        <f t="shared" si="312"/>
      </c>
      <c r="V311" s="4">
        <f t="shared" si="313"/>
      </c>
      <c r="W311" s="4">
        <f t="shared" si="314"/>
      </c>
      <c r="X311" s="4">
        <f t="shared" si="315"/>
      </c>
      <c r="Y311" s="4" cm="1">
        <f t="array" ref="Y311">_xlfn.IFS(H311=1,2,H311=3,1)</f>
      </c>
      <c r="Z311" s="4">
        <f t="shared" si="316"/>
      </c>
      <c r="AA311" s="4">
        <f t="shared" si="323"/>
      </c>
      <c r="AB311" s="4">
        <f t="shared" si="317"/>
      </c>
      <c r="AC311" s="4">
        <f t="shared" si="324"/>
      </c>
      <c r="AD311" s="4">
        <f t="shared" si="318"/>
      </c>
      <c r="AE311" s="4">
        <f t="shared" si="334"/>
      </c>
      <c r="AF311" s="4">
        <f t="shared" si="335"/>
      </c>
      <c r="AG311" s="4">
        <f t="shared" si="336"/>
        <v/>
      </c>
      <c r="AH311" s="4">
        <f t="shared" si="325"/>
      </c>
      <c r="AI311" s="4">
        <f t="shared" si="337"/>
      </c>
      <c r="AJ311" s="4">
        <f t="shared" si="326"/>
      </c>
      <c r="AK311" s="4">
        <f t="shared" si="319"/>
      </c>
      <c r="AL311" s="4">
        <f t="shared" si="327"/>
      </c>
      <c r="AM311" s="4">
        <f t="shared" si="328"/>
      </c>
      <c r="AN311" s="4"/>
      <c r="AO311" s="4">
        <f t="shared" si="332"/>
      </c>
      <c r="AP311" s="4">
        <f t="shared" si="329"/>
      </c>
      <c r="AQ311" s="4">
        <f t="shared" si="333"/>
        <v/>
      </c>
      <c r="AR311" s="4">
        <f t="shared" si="330"/>
      </c>
      <c r="AS311" s="4">
        <f t="shared" si="331"/>
      </c>
      <c r="AT311" s="4">
        <f t="shared" si="338"/>
      </c>
    </row>
    <row r="312" spans="1:46" x14ac:dyDescent="0.3">
      <c r="A312" s="5">
        <f t="shared" si="311"/>
      </c>
      <c r="B312" s="4">
        <f t="shared" si="320"/>
      </c>
      <c r="C312" s="119"/>
      <c r="D312" s="119"/>
      <c r="E312" s="105"/>
      <c r="F312" s="173"/>
      <c r="G312" s="173"/>
      <c r="H312" s="173"/>
      <c r="I312" s="192"/>
      <c r="J312" s="105"/>
      <c r="K312" s="105"/>
      <c r="L312" s="105"/>
      <c r="M312" s="4">
        <f t="shared" si="321"/>
      </c>
      <c r="N312" s="100"/>
      <c r="O312" s="164"/>
      <c r="P312" s="59">
        <f t="shared" si="339"/>
      </c>
      <c r="Q312" s="165"/>
      <c r="R312" s="100"/>
      <c r="S312" s="168"/>
      <c r="T312" s="5">
        <f t="shared" si="322"/>
      </c>
      <c r="U312" s="4">
        <f t="shared" si="312"/>
      </c>
      <c r="V312" s="4">
        <f t="shared" si="313"/>
      </c>
      <c r="W312" s="4">
        <f t="shared" si="314"/>
      </c>
      <c r="X312" s="4">
        <f t="shared" si="315"/>
      </c>
      <c r="Y312" s="4" cm="1">
        <f t="array" ref="Y312">_xlfn.IFS(H312=1,2,H312=3,1)</f>
      </c>
      <c r="Z312" s="4">
        <f t="shared" si="316"/>
      </c>
      <c r="AA312" s="4">
        <f t="shared" si="323"/>
      </c>
      <c r="AB312" s="4">
        <f t="shared" si="317"/>
      </c>
      <c r="AC312" s="4">
        <f t="shared" si="324"/>
      </c>
      <c r="AD312" s="4">
        <f t="shared" si="318"/>
      </c>
      <c r="AE312" s="4">
        <f t="shared" si="334"/>
      </c>
      <c r="AF312" s="4">
        <f t="shared" si="335"/>
      </c>
      <c r="AG312" s="4">
        <f t="shared" si="336"/>
        <v/>
      </c>
      <c r="AH312" s="4">
        <f t="shared" si="325"/>
      </c>
      <c r="AI312" s="4">
        <f t="shared" si="337"/>
      </c>
      <c r="AJ312" s="4">
        <f t="shared" si="326"/>
      </c>
      <c r="AK312" s="4">
        <f t="shared" si="319"/>
      </c>
      <c r="AL312" s="4">
        <f t="shared" si="327"/>
      </c>
      <c r="AM312" s="4">
        <f t="shared" si="328"/>
      </c>
      <c r="AN312" s="4"/>
      <c r="AO312" s="4">
        <f t="shared" si="332"/>
      </c>
      <c r="AP312" s="4">
        <f t="shared" si="329"/>
      </c>
      <c r="AQ312" s="4">
        <f t="shared" si="333"/>
        <v/>
      </c>
      <c r="AR312" s="4">
        <f t="shared" si="330"/>
      </c>
      <c r="AS312" s="4">
        <f t="shared" si="331"/>
      </c>
      <c r="AT312" s="4">
        <f t="shared" si="338"/>
      </c>
    </row>
    <row r="313" spans="1:46" x14ac:dyDescent="0.3">
      <c r="A313" s="5">
        <f t="shared" si="311"/>
      </c>
      <c r="B313" s="4">
        <f t="shared" si="320"/>
      </c>
      <c r="C313" s="119"/>
      <c r="D313" s="119"/>
      <c r="E313" s="105"/>
      <c r="F313" s="173"/>
      <c r="G313" s="173"/>
      <c r="H313" s="173"/>
      <c r="I313" s="105"/>
      <c r="J313" s="105"/>
      <c r="K313" s="105"/>
      <c r="L313" s="105"/>
      <c r="M313" s="4">
        <f t="shared" si="321"/>
      </c>
      <c r="N313" s="100"/>
      <c r="O313" s="164"/>
      <c r="P313" s="59">
        <f t="shared" si="339"/>
      </c>
      <c r="Q313" s="165"/>
      <c r="R313" s="100"/>
      <c r="S313" s="168"/>
      <c r="T313" s="5">
        <f t="shared" si="322"/>
      </c>
      <c r="U313" s="4">
        <f t="shared" si="312"/>
      </c>
      <c r="V313" s="4">
        <f t="shared" si="313"/>
      </c>
      <c r="W313" s="4">
        <f t="shared" si="314"/>
      </c>
      <c r="X313" s="4">
        <f t="shared" si="315"/>
      </c>
      <c r="Y313" s="4" cm="1">
        <f t="array" ref="Y313">_xlfn.IFS(H313=1,2,H313=3,1)</f>
      </c>
      <c r="Z313" s="4">
        <f t="shared" si="316"/>
      </c>
      <c r="AA313" s="4">
        <f t="shared" si="323"/>
      </c>
      <c r="AB313" s="4">
        <f t="shared" si="317"/>
      </c>
      <c r="AC313" s="4">
        <f t="shared" si="324"/>
      </c>
      <c r="AD313" s="4">
        <f t="shared" si="318"/>
      </c>
      <c r="AE313" s="4">
        <f t="shared" si="334"/>
      </c>
      <c r="AF313" s="4">
        <f t="shared" si="335"/>
      </c>
      <c r="AG313" s="4">
        <f t="shared" si="336"/>
        <v/>
      </c>
      <c r="AH313" s="4">
        <f t="shared" si="325"/>
      </c>
      <c r="AI313" s="4">
        <f t="shared" si="337"/>
      </c>
      <c r="AJ313" s="4">
        <f t="shared" si="326"/>
      </c>
      <c r="AK313" s="4">
        <f t="shared" si="319"/>
      </c>
      <c r="AL313" s="4">
        <f t="shared" si="327"/>
      </c>
      <c r="AM313" s="4">
        <f t="shared" si="328"/>
      </c>
      <c r="AN313" s="4"/>
      <c r="AO313" s="4">
        <f t="shared" si="332"/>
      </c>
      <c r="AP313" s="4">
        <f t="shared" si="329"/>
      </c>
      <c r="AQ313" s="4">
        <f t="shared" si="333"/>
        <v/>
      </c>
      <c r="AR313" s="4">
        <f t="shared" si="330"/>
      </c>
      <c r="AS313" s="4">
        <f t="shared" si="331"/>
      </c>
      <c r="AT313" s="4">
        <f t="shared" si="338"/>
      </c>
    </row>
    <row r="314" spans="1:46" x14ac:dyDescent="0.3">
      <c r="A314" s="5">
        <f t="shared" si="311"/>
      </c>
      <c r="B314" s="4">
        <f t="shared" si="320"/>
      </c>
      <c r="C314" s="119"/>
      <c r="D314" s="119"/>
      <c r="E314" s="105"/>
      <c r="F314" s="173"/>
      <c r="G314" s="173"/>
      <c r="H314" s="173"/>
      <c r="I314" s="105"/>
      <c r="J314" s="105"/>
      <c r="K314" s="105"/>
      <c r="L314" s="105"/>
      <c r="M314" s="4">
        <f t="shared" si="321"/>
      </c>
      <c r="N314" s="100"/>
      <c r="O314" s="164"/>
      <c r="P314" s="59">
        <f>IF(VLOOKUP(AH314,Потребители_обозначение,5,FALSE)=2,_xlfn.IFS(H314=3,VLOOKUP(E314,Справочная_двигатели,8,FALSE),H314=1,VLOOKUP(E314,Справочная_двигатели,10,TRUE)),0.95)</f>
      </c>
      <c r="Q314" s="165"/>
      <c r="R314" s="100"/>
      <c r="S314" s="168"/>
      <c r="T314" s="5">
        <f t="shared" si="322"/>
      </c>
      <c r="U314" s="4">
        <f t="shared" si="312"/>
      </c>
      <c r="V314" s="4">
        <f t="shared" si="313"/>
      </c>
      <c r="W314" s="4">
        <f t="shared" si="314"/>
      </c>
      <c r="X314" s="4">
        <f t="shared" si="315"/>
      </c>
      <c r="Y314" s="4" cm="1">
        <f t="array" ref="Y314">_xlfn.IFS(H314=1,2,H314=3,1)</f>
      </c>
      <c r="Z314" s="4">
        <f t="shared" si="316"/>
      </c>
      <c r="AA314" s="4">
        <f t="shared" si="323"/>
      </c>
      <c r="AB314" s="4">
        <f t="shared" si="317"/>
      </c>
      <c r="AC314" s="4">
        <f t="shared" si="324"/>
      </c>
      <c r="AD314" s="4">
        <f t="shared" si="318"/>
      </c>
      <c r="AE314" s="4">
        <f t="shared" si="334"/>
      </c>
      <c r="AF314" s="4">
        <f t="shared" si="335"/>
      </c>
      <c r="AG314" s="4">
        <f t="shared" si="336"/>
        <v/>
      </c>
      <c r="AH314" s="4">
        <f t="shared" si="325"/>
      </c>
      <c r="AI314" s="4">
        <f t="shared" si="337"/>
      </c>
      <c r="AJ314" s="4">
        <f t="shared" si="326"/>
      </c>
      <c r="AK314" s="4">
        <f t="shared" si="319"/>
      </c>
      <c r="AL314" s="4">
        <f t="shared" si="327"/>
      </c>
      <c r="AM314" s="4">
        <f t="shared" si="328"/>
      </c>
      <c r="AN314" s="4"/>
      <c r="AO314" s="4">
        <f t="shared" si="332"/>
      </c>
      <c r="AP314" s="4">
        <f t="shared" si="329"/>
      </c>
      <c r="AQ314" s="4">
        <f t="shared" si="333"/>
        <v/>
      </c>
      <c r="AR314" s="4">
        <f t="shared" si="330"/>
      </c>
      <c r="AS314" s="4">
        <f t="shared" si="331"/>
      </c>
      <c r="AT314" s="4">
        <f t="shared" si="338"/>
      </c>
    </row>
    <row r="315" spans="1:46" x14ac:dyDescent="0.3">
      <c r="A315" s="5">
        <f t="shared" si="311"/>
      </c>
      <c r="B315" s="4">
        <f t="shared" si="320"/>
      </c>
      <c r="C315" s="119"/>
      <c r="D315" s="119"/>
      <c r="E315" s="105"/>
      <c r="F315" s="173"/>
      <c r="G315" s="173"/>
      <c r="H315" s="173"/>
      <c r="I315" s="105"/>
      <c r="J315" s="105"/>
      <c r="K315" s="105"/>
      <c r="L315" s="105"/>
      <c r="M315" s="4">
        <f t="shared" si="321"/>
      </c>
      <c r="N315" s="100"/>
      <c r="O315" s="164"/>
      <c r="P315" s="59">
        <f t="shared" si="339"/>
      </c>
      <c r="Q315" s="165"/>
      <c r="R315" s="100"/>
      <c r="S315" s="168"/>
      <c r="T315" s="5">
        <f t="shared" si="322"/>
      </c>
      <c r="U315" s="4">
        <f t="shared" si="312"/>
      </c>
      <c r="V315" s="4">
        <f t="shared" si="313"/>
      </c>
      <c r="W315" s="4">
        <f t="shared" si="314"/>
      </c>
      <c r="X315" s="4">
        <f t="shared" si="315"/>
      </c>
      <c r="Y315" s="4" cm="1">
        <f t="array" ref="Y315">_xlfn.IFS(H315=1,2,H315=3,1)</f>
      </c>
      <c r="Z315" s="4">
        <f t="shared" si="316"/>
      </c>
      <c r="AA315" s="4">
        <f t="shared" si="323"/>
      </c>
      <c r="AB315" s="4">
        <f t="shared" si="317"/>
      </c>
      <c r="AC315" s="4">
        <f t="shared" si="324"/>
      </c>
      <c r="AD315" s="4">
        <f t="shared" si="318"/>
      </c>
      <c r="AE315" s="4">
        <f t="shared" si="334"/>
      </c>
      <c r="AF315" s="4">
        <f t="shared" si="335"/>
      </c>
      <c r="AG315" s="4">
        <f t="shared" si="336"/>
        <v/>
      </c>
      <c r="AH315" s="4">
        <f t="shared" si="325"/>
      </c>
      <c r="AI315" s="4">
        <f t="shared" si="337"/>
      </c>
      <c r="AJ315" s="4">
        <f t="shared" si="326"/>
      </c>
      <c r="AK315" s="4">
        <f t="shared" si="319"/>
      </c>
      <c r="AL315" s="4">
        <f t="shared" si="327"/>
      </c>
      <c r="AM315" s="4">
        <f t="shared" si="328"/>
      </c>
      <c r="AN315" s="4"/>
      <c r="AO315" s="4">
        <f t="shared" si="332"/>
      </c>
      <c r="AP315" s="4">
        <f t="shared" si="329"/>
      </c>
      <c r="AQ315" s="4">
        <f t="shared" si="333"/>
        <v/>
      </c>
      <c r="AR315" s="4">
        <f t="shared" si="330"/>
      </c>
      <c r="AS315" s="4">
        <f t="shared" si="331"/>
      </c>
      <c r="AT315" s="4">
        <f t="shared" si="338"/>
      </c>
    </row>
    <row r="316" spans="1:46" x14ac:dyDescent="0.3">
      <c r="A316" s="5">
        <f t="shared" si="311"/>
      </c>
      <c r="B316" s="4">
        <f t="shared" si="320"/>
      </c>
      <c r="C316" s="119"/>
      <c r="D316" s="119"/>
      <c r="E316" s="105"/>
      <c r="F316" s="173"/>
      <c r="G316" s="173"/>
      <c r="H316" s="173"/>
      <c r="I316" s="105"/>
      <c r="J316" s="105"/>
      <c r="K316" s="105"/>
      <c r="L316" s="105"/>
      <c r="M316" s="4">
        <f t="shared" si="321"/>
      </c>
      <c r="N316" s="100"/>
      <c r="O316" s="164"/>
      <c r="P316" s="59">
        <f t="shared" si="339"/>
      </c>
      <c r="Q316" s="165"/>
      <c r="R316" s="100"/>
      <c r="S316" s="168"/>
      <c r="T316" s="5">
        <f t="shared" si="322"/>
      </c>
      <c r="U316" s="4">
        <f t="shared" si="312"/>
      </c>
      <c r="V316" s="4">
        <f t="shared" si="313"/>
      </c>
      <c r="W316" s="4">
        <f t="shared" si="314"/>
      </c>
      <c r="X316" s="4">
        <f t="shared" si="315"/>
      </c>
      <c r="Y316" s="4" cm="1">
        <f t="array" ref="Y316">_xlfn.IFS(H316=1,2,H316=3,1)</f>
      </c>
      <c r="Z316" s="4">
        <f t="shared" si="316"/>
      </c>
      <c r="AA316" s="4">
        <f t="shared" si="323"/>
      </c>
      <c r="AB316" s="4">
        <f t="shared" si="317"/>
      </c>
      <c r="AC316" s="4">
        <f t="shared" si="324"/>
      </c>
      <c r="AD316" s="4">
        <f t="shared" si="318"/>
      </c>
      <c r="AE316" s="4">
        <f t="shared" si="334"/>
      </c>
      <c r="AF316" s="4">
        <f t="shared" si="335"/>
      </c>
      <c r="AG316" s="4">
        <f t="shared" si="336"/>
        <v/>
      </c>
      <c r="AH316" s="4">
        <f t="shared" si="325"/>
      </c>
      <c r="AI316" s="4">
        <f t="shared" si="337"/>
      </c>
      <c r="AJ316" s="4">
        <f t="shared" si="326"/>
      </c>
      <c r="AK316" s="4">
        <f t="shared" si="319"/>
      </c>
      <c r="AL316" s="4">
        <f t="shared" si="327"/>
      </c>
      <c r="AM316" s="4">
        <f t="shared" si="328"/>
      </c>
      <c r="AN316" s="4"/>
      <c r="AO316" s="4">
        <f t="shared" si="332"/>
      </c>
      <c r="AP316" s="4">
        <f t="shared" si="329"/>
      </c>
      <c r="AQ316" s="4">
        <f t="shared" si="333"/>
        <v/>
      </c>
      <c r="AR316" s="4">
        <f t="shared" si="330"/>
      </c>
      <c r="AS316" s="4">
        <f t="shared" si="331"/>
      </c>
      <c r="AT316" s="4">
        <f t="shared" si="338"/>
      </c>
    </row>
    <row r="317" spans="1:46" x14ac:dyDescent="0.3">
      <c r="A317" s="5">
        <f t="shared" si="311"/>
      </c>
      <c r="B317" s="4">
        <f t="shared" si="320"/>
      </c>
      <c r="C317" s="119"/>
      <c r="D317" s="119"/>
      <c r="E317" s="105"/>
      <c r="F317" s="173"/>
      <c r="G317" s="173"/>
      <c r="H317" s="173"/>
      <c r="I317" s="105"/>
      <c r="J317" s="105"/>
      <c r="K317" s="105"/>
      <c r="L317" s="105"/>
      <c r="M317" s="4">
        <f t="shared" si="321"/>
      </c>
      <c r="N317" s="100"/>
      <c r="O317" s="164"/>
      <c r="P317" s="59">
        <f t="shared" si="339"/>
      </c>
      <c r="Q317" s="165"/>
      <c r="R317" s="100"/>
      <c r="S317" s="168"/>
      <c r="T317" s="5">
        <f t="shared" si="322"/>
      </c>
      <c r="U317" s="4">
        <f t="shared" si="312"/>
      </c>
      <c r="V317" s="4">
        <f t="shared" si="313"/>
      </c>
      <c r="W317" s="4">
        <f t="shared" si="314"/>
      </c>
      <c r="X317" s="4">
        <f t="shared" si="315"/>
      </c>
      <c r="Y317" s="4" cm="1">
        <f t="array" ref="Y317">_xlfn.IFS(H317=1,2,H317=3,1)</f>
      </c>
      <c r="Z317" s="4">
        <f t="shared" si="316"/>
      </c>
      <c r="AA317" s="4">
        <f t="shared" si="323"/>
      </c>
      <c r="AB317" s="4">
        <f t="shared" si="317"/>
      </c>
      <c r="AC317" s="4">
        <f t="shared" si="324"/>
      </c>
      <c r="AD317" s="4">
        <f t="shared" si="318"/>
      </c>
      <c r="AE317" s="4">
        <f t="shared" si="334"/>
      </c>
      <c r="AF317" s="4">
        <f t="shared" si="335"/>
      </c>
      <c r="AG317" s="4">
        <f t="shared" si="336"/>
        <v/>
      </c>
      <c r="AH317" s="4">
        <f t="shared" si="325"/>
      </c>
      <c r="AI317" s="4">
        <f t="shared" si="337"/>
      </c>
      <c r="AJ317" s="4">
        <f t="shared" si="326"/>
      </c>
      <c r="AK317" s="4">
        <f t="shared" si="319"/>
      </c>
      <c r="AL317" s="4">
        <f t="shared" si="327"/>
      </c>
      <c r="AM317" s="4">
        <f t="shared" si="328"/>
      </c>
      <c r="AN317" s="4"/>
      <c r="AO317" s="4">
        <f t="shared" si="332"/>
      </c>
      <c r="AP317" s="4">
        <f t="shared" si="329"/>
      </c>
      <c r="AQ317" s="4">
        <f t="shared" si="333"/>
        <v/>
      </c>
      <c r="AR317" s="4">
        <f t="shared" si="330"/>
      </c>
      <c r="AS317" s="4">
        <f t="shared" si="331"/>
      </c>
      <c r="AT317" s="4">
        <f t="shared" si="338"/>
      </c>
    </row>
    <row r="318" spans="1:46" x14ac:dyDescent="0.3">
      <c r="A318" s="5">
        <f t="shared" si="311"/>
      </c>
      <c r="B318" s="4">
        <f t="shared" si="320"/>
      </c>
      <c r="C318" s="119"/>
      <c r="D318" s="119"/>
      <c r="E318" s="105"/>
      <c r="F318" s="173"/>
      <c r="G318" s="173"/>
      <c r="H318" s="173"/>
      <c r="I318" s="105"/>
      <c r="J318" s="105"/>
      <c r="K318" s="105"/>
      <c r="L318" s="105"/>
      <c r="M318" s="4">
        <f t="shared" si="321"/>
      </c>
      <c r="N318" s="100"/>
      <c r="O318" s="164"/>
      <c r="P318" s="59">
        <f t="shared" si="339"/>
      </c>
      <c r="Q318" s="165"/>
      <c r="R318" s="100"/>
      <c r="S318" s="168"/>
      <c r="T318" s="5">
        <f t="shared" si="322"/>
      </c>
      <c r="U318" s="4">
        <f t="shared" si="312"/>
      </c>
      <c r="V318" s="4">
        <f t="shared" si="313"/>
      </c>
      <c r="W318" s="4">
        <f t="shared" si="314"/>
      </c>
      <c r="X318" s="4">
        <f t="shared" si="315"/>
      </c>
      <c r="Y318" s="4" cm="1">
        <f t="array" ref="Y318">_xlfn.IFS(H318=1,2,H318=3,1)</f>
      </c>
      <c r="Z318" s="4">
        <f t="shared" si="316"/>
      </c>
      <c r="AA318" s="4">
        <f t="shared" si="323"/>
      </c>
      <c r="AB318" s="4">
        <f t="shared" si="317"/>
      </c>
      <c r="AC318" s="4">
        <f t="shared" si="324"/>
      </c>
      <c r="AD318" s="4">
        <f t="shared" si="318"/>
      </c>
      <c r="AE318" s="4">
        <f t="shared" si="334"/>
      </c>
      <c r="AF318" s="4">
        <f t="shared" si="335"/>
      </c>
      <c r="AG318" s="4">
        <f t="shared" si="336"/>
        <v/>
      </c>
      <c r="AH318" s="4">
        <f t="shared" si="325"/>
      </c>
      <c r="AI318" s="4">
        <f t="shared" si="337"/>
      </c>
      <c r="AJ318" s="4">
        <f t="shared" si="326"/>
      </c>
      <c r="AK318" s="4">
        <f t="shared" si="319"/>
      </c>
      <c r="AL318" s="4">
        <f t="shared" si="327"/>
      </c>
      <c r="AM318" s="4">
        <f t="shared" si="328"/>
      </c>
      <c r="AN318" s="4"/>
      <c r="AO318" s="4">
        <f t="shared" si="332"/>
      </c>
      <c r="AP318" s="4">
        <f t="shared" si="329"/>
      </c>
      <c r="AQ318" s="4">
        <f t="shared" si="333"/>
        <v/>
      </c>
      <c r="AR318" s="4">
        <f t="shared" si="330"/>
      </c>
      <c r="AS318" s="4">
        <f t="shared" si="331"/>
      </c>
      <c r="AT318" s="4">
        <f t="shared" si="338"/>
      </c>
    </row>
    <row r="319" spans="1:46" x14ac:dyDescent="0.3">
      <c r="A319" s="5">
        <f t="shared" si="311"/>
      </c>
      <c r="B319" s="4">
        <f t="shared" si="320"/>
      </c>
      <c r="C319" s="119"/>
      <c r="D319" s="119"/>
      <c r="E319" s="105"/>
      <c r="F319" s="173"/>
      <c r="G319" s="173"/>
      <c r="H319" s="173"/>
      <c r="I319" s="105"/>
      <c r="J319" s="105"/>
      <c r="K319" s="105"/>
      <c r="L319" s="105"/>
      <c r="M319" s="4">
        <f t="shared" si="321"/>
      </c>
      <c r="N319" s="100"/>
      <c r="O319" s="164"/>
      <c r="P319" s="59">
        <f t="shared" si="339"/>
      </c>
      <c r="Q319" s="165"/>
      <c r="R319" s="100"/>
      <c r="S319" s="168"/>
      <c r="T319" s="5">
        <f t="shared" si="322"/>
      </c>
      <c r="U319" s="4">
        <f t="shared" si="312"/>
      </c>
      <c r="V319" s="4">
        <f t="shared" si="313"/>
      </c>
      <c r="W319" s="4">
        <f t="shared" si="314"/>
      </c>
      <c r="X319" s="4">
        <f t="shared" si="315"/>
      </c>
      <c r="Y319" s="4" cm="1">
        <f t="array" ref="Y319">_xlfn.IFS(H319=1,2,H319=3,1)</f>
      </c>
      <c r="Z319" s="4">
        <f t="shared" si="316"/>
      </c>
      <c r="AA319" s="4">
        <f t="shared" si="323"/>
      </c>
      <c r="AB319" s="4">
        <f t="shared" si="317"/>
      </c>
      <c r="AC319" s="4">
        <f t="shared" si="324"/>
      </c>
      <c r="AD319" s="4">
        <f t="shared" si="318"/>
      </c>
      <c r="AE319" s="4">
        <f t="shared" si="334"/>
      </c>
      <c r="AF319" s="4">
        <f t="shared" si="335"/>
      </c>
      <c r="AG319" s="4">
        <f t="shared" si="336"/>
        <v/>
      </c>
      <c r="AH319" s="4">
        <f t="shared" si="325"/>
      </c>
      <c r="AI319" s="4">
        <f t="shared" si="337"/>
      </c>
      <c r="AJ319" s="4">
        <f t="shared" si="326"/>
      </c>
      <c r="AK319" s="4">
        <f t="shared" si="319"/>
      </c>
      <c r="AL319" s="4">
        <f t="shared" si="327"/>
      </c>
      <c r="AM319" s="4">
        <f t="shared" si="328"/>
      </c>
      <c r="AN319" s="4"/>
      <c r="AO319" s="4">
        <f t="shared" si="332"/>
      </c>
      <c r="AP319" s="4">
        <f t="shared" si="329"/>
      </c>
      <c r="AQ319" s="4">
        <f t="shared" si="333"/>
        <v/>
      </c>
      <c r="AR319" s="4">
        <f t="shared" si="330"/>
      </c>
      <c r="AS319" s="4">
        <f t="shared" si="331"/>
      </c>
      <c r="AT319" s="4">
        <f t="shared" si="338"/>
      </c>
    </row>
    <row r="320" spans="1:46" x14ac:dyDescent="0.3">
      <c r="A320" s="5">
        <f t="shared" ref="A320:A383" si="340">D320</f>
      </c>
      <c r="B320" s="4">
        <f t="shared" si="320"/>
      </c>
      <c r="C320" s="119"/>
      <c r="D320" s="119"/>
      <c r="E320" s="105"/>
      <c r="F320" s="173"/>
      <c r="G320" s="173"/>
      <c r="H320" s="173"/>
      <c r="I320" s="192"/>
      <c r="J320" s="105"/>
      <c r="K320" s="105"/>
      <c r="L320" s="105"/>
      <c r="M320" s="4">
        <f t="shared" si="321"/>
      </c>
      <c r="N320" s="100"/>
      <c r="O320" s="164"/>
      <c r="P320" s="59">
        <f t="shared" si="339"/>
      </c>
      <c r="Q320" s="165"/>
      <c r="R320" s="100"/>
      <c r="S320" s="168"/>
      <c r="T320" s="5">
        <f t="shared" si="322"/>
      </c>
      <c r="U320" s="4">
        <f t="shared" ref="U320:U383" si="341">IF(R320=0,VLOOKUP(T320,Автомат_номиналы,2,TRUE),R320)</f>
      </c>
      <c r="V320" s="4">
        <f t="shared" ref="V320:V383" si="342">IF(Q320=0,VLOOKUP(U320,Кабель_номиналы,2,TRUE),Q320)</f>
      </c>
      <c r="W320" s="4">
        <f t="shared" ref="W320:W383" si="343">VLOOKUP(V320,Кабель_сопротивление,3,FALSE)</f>
      </c>
      <c r="X320" s="4">
        <f t="shared" ref="X320:X383" si="344">VLOOKUP(V320,Кабель_сопротивление,2,FALSE)</f>
      </c>
      <c r="Y320" s="4" cm="1">
        <f t="array" ref="Y320">_xlfn.IFS(H320=1,2,H320=3,1)</f>
      </c>
      <c r="Z320" s="4">
        <f t="shared" ref="Z320:Z383" si="345">ROUND(SIN(ACOS(P320)),2)</f>
      </c>
      <c r="AA320" s="4">
        <f t="shared" si="323"/>
      </c>
      <c r="AB320" s="4">
        <f t="shared" ref="AB320:AB383" si="346">ROUNDUP(AA320/220*100,2)</f>
      </c>
      <c r="AC320" s="4">
        <f t="shared" si="324"/>
      </c>
      <c r="AD320" s="4">
        <f t="shared" ref="AD320:AD383" si="347">VLOOKUP(N320,Кабель_обозначение,2,FALSE)</f>
      </c>
      <c r="AE320" s="4">
        <f t="shared" si="334"/>
      </c>
      <c r="AF320" s="4">
        <f t="shared" si="335"/>
      </c>
      <c r="AG320" s="4">
        <f t="shared" si="336"/>
        <v/>
      </c>
      <c r="AH320" s="4">
        <f t="shared" si="325"/>
      </c>
      <c r="AI320" s="4">
        <f t="shared" si="337"/>
      </c>
      <c r="AJ320" s="4">
        <f t="shared" si="326"/>
      </c>
      <c r="AK320" s="4">
        <f t="shared" ref="AK320:AK383" si="348">ROUNDUP(T320,2)</f>
      </c>
      <c r="AL320" s="4">
        <f t="shared" si="327"/>
      </c>
      <c r="AM320" s="4">
        <f t="shared" si="328"/>
      </c>
      <c r="AN320" s="4"/>
      <c r="AO320" s="4">
        <f t="shared" si="332"/>
      </c>
      <c r="AP320" s="4">
        <f t="shared" si="329"/>
      </c>
      <c r="AQ320" s="4">
        <f t="shared" si="333"/>
        <v/>
      </c>
      <c r="AR320" s="4">
        <f t="shared" si="330"/>
      </c>
      <c r="AS320" s="4">
        <f t="shared" si="331"/>
      </c>
      <c r="AT320" s="4">
        <f t="shared" si="338"/>
      </c>
    </row>
    <row r="321" spans="1:46" x14ac:dyDescent="0.3">
      <c r="A321" s="5">
        <f t="shared" si="340"/>
      </c>
      <c r="B321" s="4">
        <f t="shared" si="320"/>
      </c>
      <c r="C321" s="119"/>
      <c r="D321" s="119"/>
      <c r="E321" s="105"/>
      <c r="F321" s="173"/>
      <c r="G321" s="173"/>
      <c r="H321" s="173"/>
      <c r="I321" s="192"/>
      <c r="J321" s="105"/>
      <c r="K321" s="105"/>
      <c r="L321" s="105"/>
      <c r="M321" s="4">
        <f t="shared" si="321"/>
      </c>
      <c r="N321" s="100"/>
      <c r="O321" s="164"/>
      <c r="P321" s="59">
        <f t="shared" si="339"/>
      </c>
      <c r="Q321" s="165"/>
      <c r="R321" s="100"/>
      <c r="S321" s="168"/>
      <c r="T321" s="5">
        <f t="shared" si="322"/>
      </c>
      <c r="U321" s="4">
        <f t="shared" si="341"/>
      </c>
      <c r="V321" s="4">
        <f t="shared" si="342"/>
      </c>
      <c r="W321" s="4">
        <f t="shared" si="343"/>
      </c>
      <c r="X321" s="4">
        <f t="shared" si="344"/>
      </c>
      <c r="Y321" s="4" cm="1">
        <f t="array" ref="Y321">_xlfn.IFS(H321=1,2,H321=3,1)</f>
      </c>
      <c r="Z321" s="4">
        <f t="shared" si="345"/>
      </c>
      <c r="AA321" s="4">
        <f t="shared" si="323"/>
      </c>
      <c r="AB321" s="4">
        <f t="shared" si="346"/>
      </c>
      <c r="AC321" s="4">
        <f t="shared" si="324"/>
      </c>
      <c r="AD321" s="4">
        <f t="shared" si="347"/>
      </c>
      <c r="AE321" s="4">
        <f t="shared" si="334"/>
      </c>
      <c r="AF321" s="4">
        <f t="shared" si="335"/>
      </c>
      <c r="AG321" s="4">
        <f t="shared" si="336"/>
        <v/>
      </c>
      <c r="AH321" s="4">
        <f t="shared" si="325"/>
      </c>
      <c r="AI321" s="4">
        <f t="shared" si="337"/>
      </c>
      <c r="AJ321" s="4">
        <f t="shared" si="326"/>
      </c>
      <c r="AK321" s="4">
        <f t="shared" si="348"/>
      </c>
      <c r="AL321" s="4">
        <f t="shared" si="327"/>
      </c>
      <c r="AM321" s="4">
        <f t="shared" si="328"/>
      </c>
      <c r="AN321" s="4"/>
      <c r="AO321" s="4">
        <f t="shared" si="332"/>
      </c>
      <c r="AP321" s="4">
        <f t="shared" si="329"/>
      </c>
      <c r="AQ321" s="4">
        <f t="shared" si="333"/>
        <v/>
      </c>
      <c r="AR321" s="4">
        <f t="shared" si="330"/>
      </c>
      <c r="AS321" s="4">
        <f t="shared" si="331"/>
      </c>
      <c r="AT321" s="4">
        <f t="shared" si="338"/>
      </c>
    </row>
    <row r="322" spans="1:46" x14ac:dyDescent="0.3">
      <c r="A322" s="5">
        <f t="shared" si="340"/>
      </c>
      <c r="B322" s="4">
        <f t="shared" si="320"/>
      </c>
      <c r="C322" s="119"/>
      <c r="D322" s="119"/>
      <c r="E322" s="105"/>
      <c r="F322" s="173"/>
      <c r="G322" s="173"/>
      <c r="H322" s="173"/>
      <c r="I322" s="192"/>
      <c r="J322" s="105"/>
      <c r="K322" s="105"/>
      <c r="L322" s="105"/>
      <c r="M322" s="4">
        <f t="shared" si="321"/>
      </c>
      <c r="N322" s="100"/>
      <c r="O322" s="164"/>
      <c r="P322" s="59">
        <f t="shared" si="339"/>
      </c>
      <c r="Q322" s="165"/>
      <c r="R322" s="100"/>
      <c r="S322" s="168"/>
      <c r="T322" s="5">
        <f t="shared" si="322"/>
      </c>
      <c r="U322" s="4">
        <f t="shared" si="341"/>
      </c>
      <c r="V322" s="4">
        <f t="shared" si="342"/>
      </c>
      <c r="W322" s="4">
        <f t="shared" si="343"/>
      </c>
      <c r="X322" s="4">
        <f t="shared" si="344"/>
      </c>
      <c r="Y322" s="4" cm="1">
        <f t="array" ref="Y322">_xlfn.IFS(H322=1,2,H322=3,1)</f>
      </c>
      <c r="Z322" s="4">
        <f t="shared" si="345"/>
      </c>
      <c r="AA322" s="4">
        <f t="shared" si="323"/>
      </c>
      <c r="AB322" s="4">
        <f t="shared" si="346"/>
      </c>
      <c r="AC322" s="4">
        <f t="shared" si="324"/>
      </c>
      <c r="AD322" s="4">
        <f t="shared" si="347"/>
      </c>
      <c r="AE322" s="4">
        <f t="shared" si="334"/>
      </c>
      <c r="AF322" s="4">
        <f t="shared" si="335"/>
      </c>
      <c r="AG322" s="4">
        <f t="shared" si="336"/>
        <v/>
      </c>
      <c r="AH322" s="4">
        <f t="shared" si="325"/>
      </c>
      <c r="AI322" s="4">
        <f t="shared" si="337"/>
      </c>
      <c r="AJ322" s="4">
        <f t="shared" si="326"/>
      </c>
      <c r="AK322" s="4">
        <f t="shared" si="348"/>
      </c>
      <c r="AL322" s="4">
        <f t="shared" si="327"/>
      </c>
      <c r="AM322" s="4">
        <f t="shared" si="328"/>
      </c>
      <c r="AN322" s="4"/>
      <c r="AO322" s="4">
        <f t="shared" si="332"/>
      </c>
      <c r="AP322" s="4">
        <f t="shared" si="329"/>
      </c>
      <c r="AQ322" s="4">
        <f t="shared" si="333"/>
        <v/>
      </c>
      <c r="AR322" s="4">
        <f t="shared" si="330"/>
      </c>
      <c r="AS322" s="4">
        <f t="shared" si="331"/>
      </c>
      <c r="AT322" s="4">
        <f t="shared" si="338"/>
      </c>
    </row>
    <row r="323" spans="1:46" x14ac:dyDescent="0.3">
      <c r="A323" s="5">
        <f t="shared" si="340"/>
      </c>
      <c r="B323" s="4">
        <f t="shared" ref="B323:B386" si="349">IFERROR(IF(VLOOKUP(AH323,Потребители_обозначение,4,FALSE)=1,VLOOKUP(AH323,Потребители_обозначение,2,FALSE)&amp;" "&amp;VLOOKUP(AI323,Этаж_обозначение,2,FALSE)&amp;" Пом. №"&amp;AG323,VLOOKUP(AH323,Потребители_обозначение,2,FALSE)&amp;" Шлейф №"&amp;AI323),VLOOKUP(D323,Потребители_обозначение,2,FALSE))</f>
      </c>
      <c r="C323" s="119"/>
      <c r="D323" s="119"/>
      <c r="E323" s="105"/>
      <c r="F323" s="173"/>
      <c r="G323" s="173"/>
      <c r="H323" s="173"/>
      <c r="I323" s="192"/>
      <c r="J323" s="105"/>
      <c r="K323" s="105"/>
      <c r="L323" s="105"/>
      <c r="M323" s="4">
        <f t="shared" ref="M323:M386" si="350">IFERROR(IF(VLOOKUP(AH323,Потребители_обозначение,4,FALSE)=1,VLOOKUP(AH323,Потребители_обозначение,3,FALSE)*(G323*2-1)+I323+VLOOKUP(AI323,Этаж_обозначение,3,FALSE)+VLOOKUP(AI323,Этаж_обозначение,4,FALSE),VLOOKUP(AH323,Потребители_обозначение,3,FALSE)*(G323*2-1)+I323),I323)</f>
      </c>
      <c r="N323" s="100"/>
      <c r="O323" s="164"/>
      <c r="P323" s="59">
        <f t="shared" si="339"/>
      </c>
      <c r="Q323" s="165"/>
      <c r="R323" s="100"/>
      <c r="S323" s="168"/>
      <c r="T323" s="5">
        <f t="shared" ref="T323:T386" si="351">_xlfn.IFS(H323=1,E323*1000/220,H323=3,E323/0.38/1.732)</f>
      </c>
      <c r="U323" s="4">
        <f t="shared" si="341"/>
      </c>
      <c r="V323" s="4">
        <f t="shared" si="342"/>
      </c>
      <c r="W323" s="4">
        <f t="shared" si="343"/>
      </c>
      <c r="X323" s="4">
        <f t="shared" si="344"/>
      </c>
      <c r="Y323" s="4" cm="1">
        <f t="array" ref="Y323">_xlfn.IFS(H323=1,2,H323=3,1)</f>
      </c>
      <c r="Z323" s="4">
        <f t="shared" si="345"/>
      </c>
      <c r="AA323" s="4">
        <f t="shared" ref="AA323:AA386" si="352">Y323*(W323*I323/V323+X323*I323*Z323/1000)*T323</f>
      </c>
      <c r="AB323" s="4">
        <f t="shared" si="346"/>
      </c>
      <c r="AC323" s="4">
        <f t="shared" ref="AC323:AC386" si="353">_xlfn.IFS(H323=3,380,H323=1,220)</f>
      </c>
      <c r="AD323" s="4">
        <f t="shared" si="347"/>
      </c>
      <c r="AE323" s="4">
        <f t="shared" si="334"/>
      </c>
      <c r="AF323" s="4">
        <f t="shared" si="335"/>
      </c>
      <c r="AG323" s="4">
        <f t="shared" si="336"/>
        <v/>
      </c>
      <c r="AH323" s="4">
        <f t="shared" ref="AH323:AH386" si="354">IFERROR(LEFT(A323,SEARCH(".",A323)-1),A323)</f>
      </c>
      <c r="AI323" s="4">
        <f t="shared" si="337"/>
      </c>
      <c r="AJ323" s="4">
        <f t="shared" ref="AJ323:AJ386" si="355">IF(C323=0,B323,C323)</f>
      </c>
      <c r="AK323" s="4">
        <f t="shared" si="348"/>
      </c>
      <c r="AL323" s="4">
        <f t="shared" ref="AL323:AL386" si="356">E323</f>
      </c>
      <c r="AM323" s="4">
        <f t="shared" ref="AM323:AM386" si="357">D323</f>
      </c>
      <c r="AN323" s="4"/>
      <c r="AO323" s="4">
        <f t="shared" si="332"/>
      </c>
      <c r="AP323" s="4">
        <f t="shared" ref="AP323:AP386" si="358">RIGHT(A323,LEN(A323)-SEARCH(".",A323))</f>
      </c>
      <c r="AQ323" s="4">
        <f t="shared" si="333"/>
        <v/>
      </c>
      <c r="AR323" s="4">
        <f t="shared" ref="AR323:AR386" si="359">IFERROR(IF(VLOOKUP(AH323,Потребители_обозначение,5,FALSE)=2,_xlfn.IFS(H323=3,VLOOKUP(E323,Справочная_двигатели,3,FALSE),H323=1,VLOOKUP(E323,Справочная_двигатели,5,TRUE)),0),0)</f>
      </c>
      <c r="AS323" s="4">
        <f t="shared" ref="AS323:AS386" si="360">IFERROR(IF(VLOOKUP(AH323,Потребители_обозначение,5,FALSE)=3,VLOOKUP(E323,Справочная_ЛЭД,2,TRUE),0),0)</f>
      </c>
      <c r="AT323" s="4">
        <f t="shared" si="338"/>
      </c>
    </row>
    <row r="324" spans="1:46" x14ac:dyDescent="0.3">
      <c r="A324" s="5">
        <f t="shared" si="340"/>
      </c>
      <c r="B324" s="4">
        <f t="shared" si="349"/>
      </c>
      <c r="C324" s="119"/>
      <c r="D324" s="119"/>
      <c r="E324" s="105"/>
      <c r="F324" s="173"/>
      <c r="G324" s="173"/>
      <c r="H324" s="173"/>
      <c r="I324" s="105"/>
      <c r="J324" s="105"/>
      <c r="K324" s="105"/>
      <c r="L324" s="105"/>
      <c r="M324" s="4">
        <f t="shared" si="350"/>
      </c>
      <c r="N324" s="100"/>
      <c r="O324" s="164"/>
      <c r="P324" s="59">
        <f t="shared" si="339"/>
      </c>
      <c r="Q324" s="165"/>
      <c r="R324" s="100"/>
      <c r="S324" s="168"/>
      <c r="T324" s="5">
        <f t="shared" si="351"/>
      </c>
      <c r="U324" s="4">
        <f t="shared" si="341"/>
      </c>
      <c r="V324" s="4">
        <f t="shared" si="342"/>
      </c>
      <c r="W324" s="4">
        <f t="shared" si="343"/>
      </c>
      <c r="X324" s="4">
        <f t="shared" si="344"/>
      </c>
      <c r="Y324" s="4" cm="1">
        <f t="array" ref="Y324">_xlfn.IFS(H324=1,2,H324=3,1)</f>
      </c>
      <c r="Z324" s="4">
        <f t="shared" si="345"/>
      </c>
      <c r="AA324" s="4">
        <f t="shared" si="352"/>
      </c>
      <c r="AB324" s="4">
        <f t="shared" si="346"/>
      </c>
      <c r="AC324" s="4">
        <f t="shared" si="353"/>
      </c>
      <c r="AD324" s="4">
        <f t="shared" si="347"/>
      </c>
      <c r="AE324" s="4">
        <f t="shared" si="334"/>
      </c>
      <c r="AF324" s="4">
        <f t="shared" si="335"/>
      </c>
      <c r="AG324" s="4">
        <f t="shared" si="336"/>
        <v/>
      </c>
      <c r="AH324" s="4">
        <f t="shared" si="354"/>
      </c>
      <c r="AI324" s="4">
        <f t="shared" si="337"/>
      </c>
      <c r="AJ324" s="4">
        <f t="shared" si="355"/>
      </c>
      <c r="AK324" s="4">
        <f t="shared" si="348"/>
      </c>
      <c r="AL324" s="4">
        <f t="shared" si="356"/>
      </c>
      <c r="AM324" s="4">
        <f t="shared" si="357"/>
      </c>
      <c r="AN324" s="4"/>
      <c r="AO324" s="4">
        <f t="shared" si="332"/>
      </c>
      <c r="AP324" s="4">
        <f t="shared" si="358"/>
      </c>
      <c r="AQ324" s="4">
        <f t="shared" si="333"/>
        <v/>
      </c>
      <c r="AR324" s="4">
        <f t="shared" si="359"/>
      </c>
      <c r="AS324" s="4">
        <f t="shared" si="360"/>
      </c>
      <c r="AT324" s="4">
        <f t="shared" si="338"/>
      </c>
    </row>
    <row r="325" spans="1:46" ht="15" thickBot="1" x14ac:dyDescent="0.35">
      <c r="A325" s="45">
        <f t="shared" si="340"/>
      </c>
      <c r="B325" s="44">
        <f t="shared" si="349"/>
      </c>
      <c r="C325" s="175"/>
      <c r="D325" s="119"/>
      <c r="E325" s="105"/>
      <c r="F325" s="173"/>
      <c r="G325" s="178"/>
      <c r="H325" s="178"/>
      <c r="I325" s="105"/>
      <c r="J325" s="176"/>
      <c r="K325" s="105"/>
      <c r="L325" s="176"/>
      <c r="M325" s="44">
        <f t="shared" si="350"/>
      </c>
      <c r="N325" s="100"/>
      <c r="O325" s="164"/>
      <c r="P325" s="59">
        <f t="shared" si="339"/>
      </c>
      <c r="Q325" s="165"/>
      <c r="R325" s="100"/>
      <c r="S325" s="168"/>
      <c r="T325" s="45">
        <f t="shared" si="351"/>
      </c>
      <c r="U325" s="44">
        <f t="shared" si="341"/>
      </c>
      <c r="V325" s="44">
        <f t="shared" si="342"/>
      </c>
      <c r="W325" s="44">
        <f t="shared" si="343"/>
      </c>
      <c r="X325" s="44">
        <f t="shared" si="344"/>
      </c>
      <c r="Y325" s="44" cm="1">
        <f t="array" ref="Y325">_xlfn.IFS(H325=1,2,H325=3,1)</f>
      </c>
      <c r="Z325" s="44">
        <f t="shared" si="345"/>
      </c>
      <c r="AA325" s="44">
        <f t="shared" si="352"/>
      </c>
      <c r="AB325" s="44">
        <f t="shared" si="346"/>
      </c>
      <c r="AC325" s="44">
        <f t="shared" si="353"/>
      </c>
      <c r="AD325" s="44">
        <f t="shared" si="347"/>
      </c>
      <c r="AE325" s="44">
        <f t="shared" si="334"/>
      </c>
      <c r="AF325" s="44">
        <f t="shared" si="335"/>
      </c>
      <c r="AG325" s="44">
        <f t="shared" si="336"/>
        <v/>
      </c>
      <c r="AH325" s="44">
        <f t="shared" si="354"/>
      </c>
      <c r="AI325" s="44">
        <f t="shared" si="337"/>
      </c>
      <c r="AJ325" s="44">
        <f t="shared" si="355"/>
      </c>
      <c r="AK325" s="44">
        <f t="shared" si="348"/>
      </c>
      <c r="AL325" s="44">
        <f t="shared" si="356"/>
      </c>
      <c r="AM325" s="44">
        <f t="shared" si="357"/>
      </c>
      <c r="AN325" s="44"/>
      <c r="AO325" s="44">
        <f t="shared" ref="AO325:AO388" si="361">IF(V325=0,AD325,AE325&amp;"
L="&amp;M325&amp;"-"&amp;AB325&amp;"%")</f>
      </c>
      <c r="AP325" s="44">
        <f t="shared" si="358"/>
      </c>
      <c r="AQ325" s="44">
        <f t="shared" ref="AQ325:AQ388" si="362">IFERROR(RIGHT(AP325,LEN(AP325)-SEARCH(".",AP325)),"")</f>
        <v/>
      </c>
      <c r="AR325" s="44">
        <f t="shared" si="359"/>
      </c>
      <c r="AS325" s="44">
        <f t="shared" si="360"/>
      </c>
      <c r="AT325" s="44">
        <f t="shared" si="338"/>
      </c>
    </row>
    <row r="326" spans="1:46" x14ac:dyDescent="0.3">
      <c r="A326" s="19">
        <f t="shared" si="340"/>
      </c>
      <c r="B326" s="7">
        <f t="shared" si="349"/>
      </c>
      <c r="C326" s="177"/>
      <c r="D326" s="119"/>
      <c r="E326" s="179"/>
      <c r="F326" s="173"/>
      <c r="G326" s="182"/>
      <c r="H326" s="182"/>
      <c r="I326" s="105"/>
      <c r="J326" s="179"/>
      <c r="K326" s="105"/>
      <c r="L326" s="179"/>
      <c r="M326" s="7">
        <f t="shared" si="350"/>
      </c>
      <c r="N326" s="100"/>
      <c r="O326" s="164"/>
      <c r="P326" s="59">
        <f t="shared" si="339"/>
      </c>
      <c r="Q326" s="165"/>
      <c r="R326" s="100"/>
      <c r="S326" s="168"/>
      <c r="T326" s="19">
        <f t="shared" si="351"/>
      </c>
      <c r="U326" s="7">
        <f t="shared" si="341"/>
      </c>
      <c r="V326" s="7">
        <f t="shared" si="342"/>
      </c>
      <c r="W326" s="7">
        <f t="shared" si="343"/>
      </c>
      <c r="X326" s="7">
        <f t="shared" si="344"/>
      </c>
      <c r="Y326" s="7" cm="1">
        <f t="array" ref="Y326">_xlfn.IFS(H326=1,2,H326=3,1)</f>
      </c>
      <c r="Z326" s="7">
        <f t="shared" si="345"/>
      </c>
      <c r="AA326" s="7">
        <f t="shared" si="352"/>
      </c>
      <c r="AB326" s="7">
        <f t="shared" si="346"/>
      </c>
      <c r="AC326" s="7">
        <f t="shared" si="353"/>
      </c>
      <c r="AD326" s="7">
        <f t="shared" si="347"/>
      </c>
      <c r="AE326" s="7">
        <f t="shared" ref="AE326:AE389" si="363">IF(VLOOKUP(N326,Кабель_обозначение,3,FALSE)=1,AD326&amp;" ("&amp;O326&amp;"х"&amp;V326&amp;")",AD326)</f>
      </c>
      <c r="AF326" s="7">
        <f t="shared" si="335"/>
      </c>
      <c r="AG326" s="7">
        <f t="shared" si="336"/>
        <v/>
      </c>
      <c r="AH326" s="7">
        <f t="shared" si="354"/>
      </c>
      <c r="AI326" s="7">
        <f t="shared" si="337"/>
      </c>
      <c r="AJ326" s="7">
        <f t="shared" si="355"/>
      </c>
      <c r="AK326" s="7">
        <f t="shared" si="348"/>
      </c>
      <c r="AL326" s="7">
        <f t="shared" si="356"/>
      </c>
      <c r="AM326" s="7">
        <f t="shared" si="357"/>
      </c>
      <c r="AN326" s="7"/>
      <c r="AO326" s="7">
        <f t="shared" si="361"/>
      </c>
      <c r="AP326" s="7">
        <f t="shared" si="358"/>
      </c>
      <c r="AQ326" s="7">
        <f t="shared" si="362"/>
        <v/>
      </c>
      <c r="AR326" s="7">
        <f t="shared" si="359"/>
      </c>
      <c r="AS326" s="7">
        <f t="shared" si="360"/>
      </c>
      <c r="AT326" s="7">
        <f t="shared" si="338"/>
      </c>
    </row>
    <row r="327" spans="1:46" x14ac:dyDescent="0.3">
      <c r="A327" s="5">
        <f t="shared" si="340"/>
      </c>
      <c r="B327" s="4">
        <f t="shared" si="349"/>
      </c>
      <c r="C327" s="119"/>
      <c r="D327" s="119"/>
      <c r="E327" s="179"/>
      <c r="F327" s="173"/>
      <c r="G327" s="182"/>
      <c r="H327" s="182"/>
      <c r="I327" s="105"/>
      <c r="J327" s="105"/>
      <c r="K327" s="105"/>
      <c r="L327" s="179"/>
      <c r="M327" s="4">
        <f t="shared" si="350"/>
      </c>
      <c r="N327" s="100"/>
      <c r="O327" s="164"/>
      <c r="P327" s="59">
        <f>IF(VLOOKUP(AH327,Потребители_обозначение,5,FALSE)=2,_xlfn.IFS(H327=3,VLOOKUP(E327,Справочная_двигатели,8,FALSE),H327=1,VLOOKUP(E327,Справочная_двигатели,10,TRUE)),0.95)</f>
      </c>
      <c r="Q327" s="165"/>
      <c r="R327" s="100"/>
      <c r="S327" s="168"/>
      <c r="T327" s="5">
        <f t="shared" si="351"/>
      </c>
      <c r="U327" s="4">
        <f t="shared" si="341"/>
      </c>
      <c r="V327" s="4">
        <f t="shared" si="342"/>
      </c>
      <c r="W327" s="4">
        <f t="shared" si="343"/>
      </c>
      <c r="X327" s="4">
        <f t="shared" si="344"/>
      </c>
      <c r="Y327" s="4" cm="1">
        <f t="array" ref="Y327">_xlfn.IFS(H327=1,2,H327=3,1)</f>
      </c>
      <c r="Z327" s="4">
        <f t="shared" si="345"/>
      </c>
      <c r="AA327" s="4">
        <f t="shared" si="352"/>
      </c>
      <c r="AB327" s="4">
        <f t="shared" si="346"/>
      </c>
      <c r="AC327" s="4">
        <f t="shared" si="353"/>
      </c>
      <c r="AD327" s="4">
        <f t="shared" si="347"/>
      </c>
      <c r="AE327" s="4">
        <f t="shared" si="363"/>
      </c>
      <c r="AF327" s="4">
        <f t="shared" ref="AF327:AF390" si="364">IFERROR(IF(AB327&gt;4.5,1,2),0)</f>
      </c>
      <c r="AG327" s="4">
        <f t="shared" ref="AG327:AG390" si="365">IFERROR(LEFT(AQ327,SEARCH(".",AQ327)-1),AQ327)</f>
        <v/>
      </c>
      <c r="AH327" s="4">
        <f t="shared" si="354"/>
      </c>
      <c r="AI327" s="4">
        <f t="shared" si="337"/>
      </c>
      <c r="AJ327" s="4">
        <f t="shared" si="355"/>
      </c>
      <c r="AK327" s="4">
        <f t="shared" si="348"/>
      </c>
      <c r="AL327" s="4">
        <f t="shared" si="356"/>
      </c>
      <c r="AM327" s="4">
        <f t="shared" si="357"/>
      </c>
      <c r="AN327" s="4"/>
      <c r="AO327" s="4">
        <f t="shared" si="361"/>
      </c>
      <c r="AP327" s="4">
        <f t="shared" si="358"/>
      </c>
      <c r="AQ327" s="4">
        <f t="shared" si="362"/>
        <v/>
      </c>
      <c r="AR327" s="4">
        <f t="shared" si="359"/>
      </c>
      <c r="AS327" s="4">
        <f t="shared" si="360"/>
      </c>
      <c r="AT327" s="4">
        <f t="shared" si="338"/>
      </c>
    </row>
    <row r="328" spans="1:46" x14ac:dyDescent="0.3">
      <c r="A328" s="5">
        <f t="shared" si="340"/>
      </c>
      <c r="B328" s="4">
        <f t="shared" si="349"/>
      </c>
      <c r="C328" s="119"/>
      <c r="D328" s="119"/>
      <c r="E328" s="105"/>
      <c r="F328" s="173"/>
      <c r="G328" s="173"/>
      <c r="H328" s="173"/>
      <c r="I328" s="105"/>
      <c r="J328" s="105"/>
      <c r="K328" s="105"/>
      <c r="L328" s="105"/>
      <c r="M328" s="4">
        <f t="shared" si="350"/>
      </c>
      <c r="N328" s="59"/>
      <c r="O328" s="164"/>
      <c r="P328" s="59">
        <f t="shared" si="339"/>
      </c>
      <c r="Q328" s="165"/>
      <c r="R328" s="59"/>
      <c r="S328" s="164"/>
      <c r="T328" s="5">
        <f t="shared" si="351"/>
      </c>
      <c r="U328" s="4">
        <f t="shared" si="341"/>
      </c>
      <c r="V328" s="4">
        <f t="shared" si="342"/>
      </c>
      <c r="W328" s="4">
        <f t="shared" si="343"/>
      </c>
      <c r="X328" s="4">
        <f t="shared" si="344"/>
      </c>
      <c r="Y328" s="4" cm="1">
        <f t="array" ref="Y328">_xlfn.IFS(H328=1,2,H328=3,1)</f>
      </c>
      <c r="Z328" s="4">
        <f t="shared" si="345"/>
      </c>
      <c r="AA328" s="4">
        <f t="shared" si="352"/>
      </c>
      <c r="AB328" s="4">
        <f t="shared" si="346"/>
      </c>
      <c r="AC328" s="4">
        <f t="shared" si="353"/>
      </c>
      <c r="AD328" s="4">
        <f t="shared" si="347"/>
      </c>
      <c r="AE328" s="4">
        <f t="shared" si="363"/>
      </c>
      <c r="AF328" s="4">
        <f t="shared" si="364"/>
      </c>
      <c r="AG328" s="4">
        <f t="shared" si="365"/>
        <v/>
      </c>
      <c r="AH328" s="4">
        <f t="shared" si="354"/>
      </c>
      <c r="AI328" s="4">
        <f t="shared" ref="AI328:AI391" si="366">IFERROR(LEFT(AP328,SEARCH(".",AP328)-1),AP328)</f>
      </c>
      <c r="AJ328" s="4">
        <f t="shared" si="355"/>
      </c>
      <c r="AK328" s="4">
        <f t="shared" si="348"/>
      </c>
      <c r="AL328" s="4">
        <f t="shared" si="356"/>
      </c>
      <c r="AM328" s="4">
        <f t="shared" si="357"/>
      </c>
      <c r="AN328" s="4"/>
      <c r="AO328" s="4">
        <f t="shared" si="361"/>
      </c>
      <c r="AP328" s="4">
        <f t="shared" si="358"/>
      </c>
      <c r="AQ328" s="4">
        <f t="shared" si="362"/>
        <v/>
      </c>
      <c r="AR328" s="4">
        <f t="shared" si="359"/>
      </c>
      <c r="AS328" s="4">
        <f t="shared" si="360"/>
      </c>
      <c r="AT328" s="4">
        <f t="shared" si="338"/>
      </c>
    </row>
    <row r="329" spans="1:46" x14ac:dyDescent="0.3">
      <c r="A329" s="5">
        <f t="shared" si="340"/>
      </c>
      <c r="B329" s="4">
        <f t="shared" si="349"/>
      </c>
      <c r="C329" s="119"/>
      <c r="D329" s="119"/>
      <c r="E329" s="105"/>
      <c r="F329" s="173"/>
      <c r="G329" s="173"/>
      <c r="H329" s="173"/>
      <c r="I329" s="105"/>
      <c r="J329" s="105"/>
      <c r="K329" s="105"/>
      <c r="L329" s="105"/>
      <c r="M329" s="4">
        <f t="shared" si="350"/>
      </c>
      <c r="N329" s="59"/>
      <c r="O329" s="164"/>
      <c r="P329" s="59">
        <f t="shared" si="339"/>
      </c>
      <c r="Q329" s="165"/>
      <c r="R329" s="59"/>
      <c r="S329" s="164"/>
      <c r="T329" s="5">
        <f t="shared" si="351"/>
      </c>
      <c r="U329" s="4">
        <f t="shared" si="341"/>
      </c>
      <c r="V329" s="4">
        <f t="shared" si="342"/>
      </c>
      <c r="W329" s="4">
        <f t="shared" si="343"/>
      </c>
      <c r="X329" s="4">
        <f t="shared" si="344"/>
      </c>
      <c r="Y329" s="4" cm="1">
        <f t="array" ref="Y329">_xlfn.IFS(H329=1,2,H329=3,1)</f>
      </c>
      <c r="Z329" s="4">
        <f t="shared" si="345"/>
      </c>
      <c r="AA329" s="4">
        <f t="shared" si="352"/>
      </c>
      <c r="AB329" s="4">
        <f t="shared" si="346"/>
      </c>
      <c r="AC329" s="4">
        <f t="shared" si="353"/>
      </c>
      <c r="AD329" s="4">
        <f t="shared" si="347"/>
      </c>
      <c r="AE329" s="4">
        <f t="shared" si="363"/>
      </c>
      <c r="AF329" s="4">
        <f t="shared" si="364"/>
      </c>
      <c r="AG329" s="4">
        <f t="shared" si="365"/>
        <v/>
      </c>
      <c r="AH329" s="4">
        <f t="shared" si="354"/>
      </c>
      <c r="AI329" s="4">
        <f t="shared" si="366"/>
      </c>
      <c r="AJ329" s="4">
        <f t="shared" si="355"/>
      </c>
      <c r="AK329" s="4">
        <f t="shared" si="348"/>
      </c>
      <c r="AL329" s="4">
        <f t="shared" si="356"/>
      </c>
      <c r="AM329" s="4">
        <f t="shared" si="357"/>
      </c>
      <c r="AN329" s="4"/>
      <c r="AO329" s="4">
        <f t="shared" si="361"/>
      </c>
      <c r="AP329" s="4">
        <f t="shared" si="358"/>
      </c>
      <c r="AQ329" s="4">
        <f t="shared" si="362"/>
        <v/>
      </c>
      <c r="AR329" s="4">
        <f t="shared" si="359"/>
      </c>
      <c r="AS329" s="4">
        <f t="shared" si="360"/>
      </c>
      <c r="AT329" s="4">
        <f t="shared" si="338"/>
      </c>
    </row>
    <row r="330" spans="1:46" x14ac:dyDescent="0.3">
      <c r="A330" s="5">
        <f t="shared" si="340"/>
      </c>
      <c r="B330" s="4">
        <f t="shared" si="349"/>
      </c>
      <c r="C330" s="119"/>
      <c r="D330" s="119"/>
      <c r="E330" s="105"/>
      <c r="F330" s="173"/>
      <c r="G330" s="173"/>
      <c r="H330" s="173"/>
      <c r="I330" s="105"/>
      <c r="J330" s="105"/>
      <c r="K330" s="105"/>
      <c r="L330" s="105"/>
      <c r="M330" s="4">
        <f t="shared" si="350"/>
      </c>
      <c r="N330" s="59"/>
      <c r="O330" s="164"/>
      <c r="P330" s="59">
        <f t="shared" si="339"/>
      </c>
      <c r="Q330" s="165"/>
      <c r="R330" s="59"/>
      <c r="S330" s="164"/>
      <c r="T330" s="5">
        <f t="shared" si="351"/>
      </c>
      <c r="U330" s="4">
        <f t="shared" si="341"/>
      </c>
      <c r="V330" s="4">
        <f t="shared" si="342"/>
      </c>
      <c r="W330" s="4">
        <f t="shared" si="343"/>
      </c>
      <c r="X330" s="4">
        <f t="shared" si="344"/>
      </c>
      <c r="Y330" s="4" cm="1">
        <f t="array" ref="Y330">_xlfn.IFS(H330=1,2,H330=3,1)</f>
      </c>
      <c r="Z330" s="4">
        <f t="shared" si="345"/>
      </c>
      <c r="AA330" s="4">
        <f t="shared" si="352"/>
      </c>
      <c r="AB330" s="4">
        <f t="shared" si="346"/>
      </c>
      <c r="AC330" s="4">
        <f t="shared" si="353"/>
      </c>
      <c r="AD330" s="4">
        <f t="shared" si="347"/>
      </c>
      <c r="AE330" s="4">
        <f t="shared" si="363"/>
      </c>
      <c r="AF330" s="4">
        <f t="shared" si="364"/>
      </c>
      <c r="AG330" s="4">
        <f t="shared" si="365"/>
        <v/>
      </c>
      <c r="AH330" s="4">
        <f t="shared" si="354"/>
      </c>
      <c r="AI330" s="4">
        <f t="shared" si="366"/>
      </c>
      <c r="AJ330" s="4">
        <f t="shared" si="355"/>
      </c>
      <c r="AK330" s="4">
        <f t="shared" si="348"/>
      </c>
      <c r="AL330" s="4">
        <f t="shared" si="356"/>
      </c>
      <c r="AM330" s="4">
        <f t="shared" si="357"/>
      </c>
      <c r="AN330" s="4"/>
      <c r="AO330" s="4">
        <f t="shared" si="361"/>
      </c>
      <c r="AP330" s="4">
        <f t="shared" si="358"/>
      </c>
      <c r="AQ330" s="4">
        <f t="shared" si="362"/>
        <v/>
      </c>
      <c r="AR330" s="4">
        <f t="shared" si="359"/>
      </c>
      <c r="AS330" s="4">
        <f t="shared" si="360"/>
      </c>
      <c r="AT330" s="4">
        <f t="shared" si="338"/>
      </c>
    </row>
    <row r="331" spans="1:46" x14ac:dyDescent="0.3">
      <c r="A331" s="5">
        <f t="shared" si="340"/>
      </c>
      <c r="B331" s="4">
        <f t="shared" si="349"/>
      </c>
      <c r="C331" s="119"/>
      <c r="D331" s="119"/>
      <c r="E331" s="105"/>
      <c r="F331" s="173"/>
      <c r="G331" s="173"/>
      <c r="H331" s="173"/>
      <c r="I331" s="105"/>
      <c r="J331" s="105"/>
      <c r="K331" s="105"/>
      <c r="L331" s="105"/>
      <c r="M331" s="4">
        <f t="shared" si="350"/>
      </c>
      <c r="N331" s="59"/>
      <c r="O331" s="164"/>
      <c r="P331" s="59">
        <f t="shared" si="339"/>
      </c>
      <c r="Q331" s="165"/>
      <c r="R331" s="59"/>
      <c r="S331" s="164"/>
      <c r="T331" s="5">
        <f t="shared" si="351"/>
      </c>
      <c r="U331" s="4">
        <f t="shared" si="341"/>
      </c>
      <c r="V331" s="4">
        <f t="shared" si="342"/>
      </c>
      <c r="W331" s="4">
        <f t="shared" si="343"/>
      </c>
      <c r="X331" s="4">
        <f t="shared" si="344"/>
      </c>
      <c r="Y331" s="4" cm="1">
        <f t="array" ref="Y331">_xlfn.IFS(H331=1,2,H331=3,1)</f>
      </c>
      <c r="Z331" s="4">
        <f t="shared" si="345"/>
      </c>
      <c r="AA331" s="4">
        <f t="shared" si="352"/>
      </c>
      <c r="AB331" s="4">
        <f t="shared" si="346"/>
      </c>
      <c r="AC331" s="4">
        <f t="shared" si="353"/>
      </c>
      <c r="AD331" s="4">
        <f t="shared" si="347"/>
      </c>
      <c r="AE331" s="4">
        <f t="shared" si="363"/>
      </c>
      <c r="AF331" s="4">
        <f t="shared" si="364"/>
      </c>
      <c r="AG331" s="4">
        <f t="shared" si="365"/>
        <v/>
      </c>
      <c r="AH331" s="4">
        <f t="shared" si="354"/>
      </c>
      <c r="AI331" s="4">
        <f t="shared" si="366"/>
      </c>
      <c r="AJ331" s="4">
        <f t="shared" si="355"/>
      </c>
      <c r="AK331" s="4">
        <f t="shared" si="348"/>
      </c>
      <c r="AL331" s="4">
        <f t="shared" si="356"/>
      </c>
      <c r="AM331" s="4">
        <f t="shared" si="357"/>
      </c>
      <c r="AN331" s="4"/>
      <c r="AO331" s="4">
        <f t="shared" si="361"/>
      </c>
      <c r="AP331" s="4">
        <f t="shared" si="358"/>
      </c>
      <c r="AQ331" s="4">
        <f t="shared" si="362"/>
        <v/>
      </c>
      <c r="AR331" s="4">
        <f t="shared" si="359"/>
      </c>
      <c r="AS331" s="4">
        <f t="shared" si="360"/>
      </c>
      <c r="AT331" s="4">
        <f t="shared" ref="AT331:AT394" si="367">IF(AR331=0,AS331,AR331)</f>
      </c>
    </row>
    <row r="332" spans="1:46" x14ac:dyDescent="0.3">
      <c r="A332" s="5">
        <f t="shared" si="340"/>
      </c>
      <c r="B332" s="4">
        <f t="shared" si="349"/>
      </c>
      <c r="C332" s="119"/>
      <c r="D332" s="119"/>
      <c r="E332" s="105"/>
      <c r="F332" s="173"/>
      <c r="G332" s="173"/>
      <c r="H332" s="173"/>
      <c r="I332" s="105"/>
      <c r="J332" s="105"/>
      <c r="K332" s="105"/>
      <c r="L332" s="105"/>
      <c r="M332" s="4">
        <f t="shared" si="350"/>
      </c>
      <c r="N332" s="59"/>
      <c r="O332" s="164"/>
      <c r="P332" s="59">
        <f t="shared" si="339"/>
      </c>
      <c r="Q332" s="165"/>
      <c r="R332" s="59"/>
      <c r="S332" s="164"/>
      <c r="T332" s="5">
        <f t="shared" si="351"/>
      </c>
      <c r="U332" s="4">
        <f t="shared" si="341"/>
      </c>
      <c r="V332" s="4">
        <f t="shared" si="342"/>
      </c>
      <c r="W332" s="4">
        <f t="shared" si="343"/>
      </c>
      <c r="X332" s="4">
        <f t="shared" si="344"/>
      </c>
      <c r="Y332" s="4" cm="1">
        <f t="array" ref="Y332">_xlfn.IFS(H332=1,2,H332=3,1)</f>
      </c>
      <c r="Z332" s="4">
        <f t="shared" si="345"/>
      </c>
      <c r="AA332" s="4">
        <f t="shared" si="352"/>
      </c>
      <c r="AB332" s="4">
        <f t="shared" si="346"/>
      </c>
      <c r="AC332" s="4">
        <f t="shared" si="353"/>
      </c>
      <c r="AD332" s="4">
        <f t="shared" si="347"/>
      </c>
      <c r="AE332" s="4">
        <f t="shared" si="363"/>
      </c>
      <c r="AF332" s="4">
        <f t="shared" si="364"/>
      </c>
      <c r="AG332" s="4">
        <f t="shared" si="365"/>
        <v/>
      </c>
      <c r="AH332" s="4">
        <f t="shared" si="354"/>
      </c>
      <c r="AI332" s="4">
        <f t="shared" si="366"/>
      </c>
      <c r="AJ332" s="4">
        <f t="shared" si="355"/>
      </c>
      <c r="AK332" s="4">
        <f t="shared" si="348"/>
      </c>
      <c r="AL332" s="4">
        <f t="shared" si="356"/>
      </c>
      <c r="AM332" s="4">
        <f t="shared" si="357"/>
      </c>
      <c r="AN332" s="4"/>
      <c r="AO332" s="4">
        <f t="shared" si="361"/>
      </c>
      <c r="AP332" s="4">
        <f t="shared" si="358"/>
      </c>
      <c r="AQ332" s="4">
        <f t="shared" si="362"/>
        <v/>
      </c>
      <c r="AR332" s="4">
        <f t="shared" si="359"/>
      </c>
      <c r="AS332" s="4">
        <f t="shared" si="360"/>
      </c>
      <c r="AT332" s="4">
        <f t="shared" si="367"/>
      </c>
    </row>
    <row r="333" spans="1:46" x14ac:dyDescent="0.3">
      <c r="A333" s="5">
        <f t="shared" si="340"/>
      </c>
      <c r="B333" s="4">
        <f t="shared" si="349"/>
      </c>
      <c r="C333" s="119"/>
      <c r="D333" s="119"/>
      <c r="E333" s="105"/>
      <c r="F333" s="173"/>
      <c r="G333" s="173"/>
      <c r="H333" s="173"/>
      <c r="I333" s="105"/>
      <c r="J333" s="105"/>
      <c r="K333" s="105"/>
      <c r="L333" s="105"/>
      <c r="M333" s="4">
        <f t="shared" si="350"/>
      </c>
      <c r="N333" s="59"/>
      <c r="O333" s="164"/>
      <c r="P333" s="59">
        <f t="shared" si="339"/>
      </c>
      <c r="Q333" s="165"/>
      <c r="R333" s="59"/>
      <c r="S333" s="164"/>
      <c r="T333" s="5">
        <f t="shared" si="351"/>
      </c>
      <c r="U333" s="4">
        <f t="shared" si="341"/>
      </c>
      <c r="V333" s="4">
        <f t="shared" si="342"/>
      </c>
      <c r="W333" s="4">
        <f t="shared" si="343"/>
      </c>
      <c r="X333" s="4">
        <f t="shared" si="344"/>
      </c>
      <c r="Y333" s="4" cm="1">
        <f t="array" ref="Y333">_xlfn.IFS(H333=1,2,H333=3,1)</f>
      </c>
      <c r="Z333" s="4">
        <f t="shared" si="345"/>
      </c>
      <c r="AA333" s="4">
        <f t="shared" si="352"/>
      </c>
      <c r="AB333" s="4">
        <f t="shared" si="346"/>
      </c>
      <c r="AC333" s="4">
        <f t="shared" si="353"/>
      </c>
      <c r="AD333" s="4">
        <f t="shared" si="347"/>
      </c>
      <c r="AE333" s="4">
        <f t="shared" si="363"/>
      </c>
      <c r="AF333" s="4">
        <f t="shared" si="364"/>
      </c>
      <c r="AG333" s="4">
        <f t="shared" si="365"/>
        <v/>
      </c>
      <c r="AH333" s="4">
        <f t="shared" si="354"/>
      </c>
      <c r="AI333" s="4">
        <f t="shared" si="366"/>
      </c>
      <c r="AJ333" s="4">
        <f t="shared" si="355"/>
      </c>
      <c r="AK333" s="4">
        <f t="shared" si="348"/>
      </c>
      <c r="AL333" s="4">
        <f t="shared" si="356"/>
      </c>
      <c r="AM333" s="4">
        <f t="shared" si="357"/>
      </c>
      <c r="AN333" s="4"/>
      <c r="AO333" s="4">
        <f t="shared" si="361"/>
      </c>
      <c r="AP333" s="4">
        <f t="shared" si="358"/>
      </c>
      <c r="AQ333" s="4">
        <f t="shared" si="362"/>
        <v/>
      </c>
      <c r="AR333" s="4">
        <f t="shared" si="359"/>
      </c>
      <c r="AS333" s="4">
        <f t="shared" si="360"/>
      </c>
      <c r="AT333" s="4">
        <f t="shared" si="367"/>
      </c>
    </row>
    <row r="334" spans="1:46" x14ac:dyDescent="0.3">
      <c r="A334" s="5">
        <f t="shared" si="340"/>
      </c>
      <c r="B334" s="4">
        <f t="shared" si="349"/>
      </c>
      <c r="C334" s="119"/>
      <c r="D334" s="119"/>
      <c r="E334" s="105"/>
      <c r="F334" s="173"/>
      <c r="G334" s="173"/>
      <c r="H334" s="173"/>
      <c r="I334" s="105"/>
      <c r="J334" s="105"/>
      <c r="K334" s="105"/>
      <c r="L334" s="105"/>
      <c r="M334" s="4">
        <f t="shared" si="350"/>
      </c>
      <c r="N334" s="59"/>
      <c r="O334" s="164"/>
      <c r="P334" s="59">
        <f t="shared" si="339"/>
      </c>
      <c r="Q334" s="165"/>
      <c r="R334" s="59"/>
      <c r="S334" s="164"/>
      <c r="T334" s="5">
        <f t="shared" si="351"/>
      </c>
      <c r="U334" s="4">
        <f t="shared" si="341"/>
      </c>
      <c r="V334" s="4">
        <f t="shared" si="342"/>
      </c>
      <c r="W334" s="4">
        <f t="shared" si="343"/>
      </c>
      <c r="X334" s="4">
        <f t="shared" si="344"/>
      </c>
      <c r="Y334" s="4" cm="1">
        <f t="array" ref="Y334">_xlfn.IFS(H334=1,2,H334=3,1)</f>
      </c>
      <c r="Z334" s="4">
        <f t="shared" si="345"/>
      </c>
      <c r="AA334" s="4">
        <f t="shared" si="352"/>
      </c>
      <c r="AB334" s="4">
        <f t="shared" si="346"/>
      </c>
      <c r="AC334" s="4">
        <f t="shared" si="353"/>
      </c>
      <c r="AD334" s="4">
        <f t="shared" si="347"/>
      </c>
      <c r="AE334" s="4">
        <f t="shared" si="363"/>
      </c>
      <c r="AF334" s="4">
        <f t="shared" si="364"/>
      </c>
      <c r="AG334" s="4">
        <f t="shared" si="365"/>
        <v/>
      </c>
      <c r="AH334" s="4">
        <f t="shared" si="354"/>
      </c>
      <c r="AI334" s="4">
        <f t="shared" si="366"/>
      </c>
      <c r="AJ334" s="4">
        <f t="shared" si="355"/>
      </c>
      <c r="AK334" s="4">
        <f t="shared" si="348"/>
      </c>
      <c r="AL334" s="4">
        <f t="shared" si="356"/>
      </c>
      <c r="AM334" s="4">
        <f t="shared" si="357"/>
      </c>
      <c r="AN334" s="4"/>
      <c r="AO334" s="4">
        <f t="shared" si="361"/>
      </c>
      <c r="AP334" s="4">
        <f t="shared" si="358"/>
      </c>
      <c r="AQ334" s="4">
        <f t="shared" si="362"/>
        <v/>
      </c>
      <c r="AR334" s="4">
        <f t="shared" si="359"/>
      </c>
      <c r="AS334" s="4">
        <f t="shared" si="360"/>
      </c>
      <c r="AT334" s="4">
        <f t="shared" si="367"/>
      </c>
    </row>
    <row r="335" spans="1:46" x14ac:dyDescent="0.3">
      <c r="A335" s="5">
        <f t="shared" si="340"/>
      </c>
      <c r="B335" s="4">
        <f t="shared" si="349"/>
      </c>
      <c r="C335" s="119"/>
      <c r="D335" s="119"/>
      <c r="E335" s="105"/>
      <c r="F335" s="173"/>
      <c r="G335" s="173"/>
      <c r="H335" s="173"/>
      <c r="I335" s="105"/>
      <c r="J335" s="105"/>
      <c r="K335" s="105"/>
      <c r="L335" s="105"/>
      <c r="M335" s="4">
        <f t="shared" si="350"/>
      </c>
      <c r="N335" s="59"/>
      <c r="O335" s="164"/>
      <c r="P335" s="59">
        <f t="shared" si="339"/>
      </c>
      <c r="Q335" s="165"/>
      <c r="R335" s="59"/>
      <c r="S335" s="164"/>
      <c r="T335" s="5">
        <f t="shared" si="351"/>
      </c>
      <c r="U335" s="4">
        <f t="shared" si="341"/>
      </c>
      <c r="V335" s="4">
        <f t="shared" si="342"/>
      </c>
      <c r="W335" s="4">
        <f t="shared" si="343"/>
      </c>
      <c r="X335" s="4">
        <f t="shared" si="344"/>
      </c>
      <c r="Y335" s="4" cm="1">
        <f t="array" ref="Y335">_xlfn.IFS(H335=1,2,H335=3,1)</f>
      </c>
      <c r="Z335" s="4">
        <f t="shared" si="345"/>
      </c>
      <c r="AA335" s="4">
        <f t="shared" si="352"/>
      </c>
      <c r="AB335" s="4">
        <f t="shared" si="346"/>
      </c>
      <c r="AC335" s="4">
        <f t="shared" si="353"/>
      </c>
      <c r="AD335" s="4">
        <f t="shared" si="347"/>
      </c>
      <c r="AE335" s="4">
        <f t="shared" si="363"/>
      </c>
      <c r="AF335" s="4">
        <f t="shared" si="364"/>
      </c>
      <c r="AG335" s="4">
        <f t="shared" si="365"/>
        <v/>
      </c>
      <c r="AH335" s="4">
        <f t="shared" si="354"/>
      </c>
      <c r="AI335" s="4">
        <f t="shared" si="366"/>
      </c>
      <c r="AJ335" s="4">
        <f t="shared" si="355"/>
      </c>
      <c r="AK335" s="4">
        <f t="shared" si="348"/>
      </c>
      <c r="AL335" s="4">
        <f t="shared" si="356"/>
      </c>
      <c r="AM335" s="4">
        <f t="shared" si="357"/>
      </c>
      <c r="AN335" s="4"/>
      <c r="AO335" s="4">
        <f t="shared" si="361"/>
      </c>
      <c r="AP335" s="4">
        <f t="shared" si="358"/>
      </c>
      <c r="AQ335" s="4">
        <f t="shared" si="362"/>
        <v/>
      </c>
      <c r="AR335" s="4">
        <f t="shared" si="359"/>
      </c>
      <c r="AS335" s="4">
        <f t="shared" si="360"/>
      </c>
      <c r="AT335" s="4">
        <f t="shared" si="367"/>
      </c>
    </row>
    <row r="336" spans="1:46" x14ac:dyDescent="0.3">
      <c r="A336" s="5">
        <f t="shared" si="340"/>
      </c>
      <c r="B336" s="4">
        <f t="shared" si="349"/>
      </c>
      <c r="C336" s="119"/>
      <c r="D336" s="119"/>
      <c r="E336" s="105"/>
      <c r="F336" s="173"/>
      <c r="G336" s="173"/>
      <c r="H336" s="173"/>
      <c r="I336" s="105"/>
      <c r="J336" s="105"/>
      <c r="K336" s="105"/>
      <c r="L336" s="105"/>
      <c r="M336" s="4">
        <f t="shared" si="350"/>
      </c>
      <c r="N336" s="59"/>
      <c r="O336" s="164"/>
      <c r="P336" s="59">
        <f t="shared" si="339"/>
      </c>
      <c r="Q336" s="165"/>
      <c r="R336" s="59"/>
      <c r="S336" s="164"/>
      <c r="T336" s="5">
        <f t="shared" si="351"/>
      </c>
      <c r="U336" s="4">
        <f t="shared" si="341"/>
      </c>
      <c r="V336" s="4">
        <f t="shared" si="342"/>
      </c>
      <c r="W336" s="4">
        <f t="shared" si="343"/>
      </c>
      <c r="X336" s="4">
        <f t="shared" si="344"/>
      </c>
      <c r="Y336" s="4" cm="1">
        <f t="array" ref="Y336">_xlfn.IFS(H336=1,2,H336=3,1)</f>
      </c>
      <c r="Z336" s="4">
        <f t="shared" si="345"/>
      </c>
      <c r="AA336" s="4">
        <f t="shared" si="352"/>
      </c>
      <c r="AB336" s="4">
        <f t="shared" si="346"/>
      </c>
      <c r="AC336" s="4">
        <f t="shared" si="353"/>
      </c>
      <c r="AD336" s="4">
        <f t="shared" si="347"/>
      </c>
      <c r="AE336" s="4">
        <f t="shared" si="363"/>
      </c>
      <c r="AF336" s="4">
        <f t="shared" si="364"/>
      </c>
      <c r="AG336" s="4">
        <f t="shared" si="365"/>
        <v/>
      </c>
      <c r="AH336" s="4">
        <f t="shared" si="354"/>
      </c>
      <c r="AI336" s="4">
        <f t="shared" si="366"/>
      </c>
      <c r="AJ336" s="4">
        <f t="shared" si="355"/>
      </c>
      <c r="AK336" s="4">
        <f t="shared" si="348"/>
      </c>
      <c r="AL336" s="4">
        <f t="shared" si="356"/>
      </c>
      <c r="AM336" s="4">
        <f t="shared" si="357"/>
      </c>
      <c r="AN336" s="4"/>
      <c r="AO336" s="4">
        <f t="shared" si="361"/>
      </c>
      <c r="AP336" s="4">
        <f t="shared" si="358"/>
      </c>
      <c r="AQ336" s="4">
        <f t="shared" si="362"/>
        <v/>
      </c>
      <c r="AR336" s="4">
        <f t="shared" si="359"/>
      </c>
      <c r="AS336" s="4">
        <f t="shared" si="360"/>
      </c>
      <c r="AT336" s="4">
        <f t="shared" si="367"/>
      </c>
    </row>
    <row r="337" spans="1:46" x14ac:dyDescent="0.3">
      <c r="A337" s="5">
        <f t="shared" si="340"/>
      </c>
      <c r="B337" s="4">
        <f t="shared" si="349"/>
      </c>
      <c r="C337" s="119"/>
      <c r="D337" s="119"/>
      <c r="E337" s="105"/>
      <c r="F337" s="173"/>
      <c r="G337" s="173"/>
      <c r="H337" s="173"/>
      <c r="I337" s="105"/>
      <c r="J337" s="105"/>
      <c r="K337" s="105"/>
      <c r="L337" s="105"/>
      <c r="M337" s="4">
        <f t="shared" si="350"/>
      </c>
      <c r="N337" s="59"/>
      <c r="O337" s="164"/>
      <c r="P337" s="59">
        <f t="shared" si="339"/>
      </c>
      <c r="Q337" s="165"/>
      <c r="R337" s="59"/>
      <c r="S337" s="164"/>
      <c r="T337" s="5">
        <f t="shared" si="351"/>
      </c>
      <c r="U337" s="4">
        <f t="shared" si="341"/>
      </c>
      <c r="V337" s="4">
        <f t="shared" si="342"/>
      </c>
      <c r="W337" s="4">
        <f t="shared" si="343"/>
      </c>
      <c r="X337" s="4">
        <f t="shared" si="344"/>
      </c>
      <c r="Y337" s="4" cm="1">
        <f t="array" ref="Y337">_xlfn.IFS(H337=1,2,H337=3,1)</f>
      </c>
      <c r="Z337" s="4">
        <f t="shared" si="345"/>
      </c>
      <c r="AA337" s="4">
        <f t="shared" si="352"/>
      </c>
      <c r="AB337" s="4">
        <f t="shared" si="346"/>
      </c>
      <c r="AC337" s="4">
        <f t="shared" si="353"/>
      </c>
      <c r="AD337" s="4">
        <f t="shared" si="347"/>
      </c>
      <c r="AE337" s="4">
        <f t="shared" si="363"/>
      </c>
      <c r="AF337" s="4">
        <f t="shared" si="364"/>
      </c>
      <c r="AG337" s="4">
        <f t="shared" si="365"/>
        <v/>
      </c>
      <c r="AH337" s="4">
        <f t="shared" si="354"/>
      </c>
      <c r="AI337" s="4">
        <f t="shared" si="366"/>
      </c>
      <c r="AJ337" s="4">
        <f t="shared" si="355"/>
      </c>
      <c r="AK337" s="4">
        <f t="shared" si="348"/>
      </c>
      <c r="AL337" s="4">
        <f t="shared" si="356"/>
      </c>
      <c r="AM337" s="4">
        <f t="shared" si="357"/>
      </c>
      <c r="AN337" s="4"/>
      <c r="AO337" s="4">
        <f t="shared" si="361"/>
      </c>
      <c r="AP337" s="4">
        <f t="shared" si="358"/>
      </c>
      <c r="AQ337" s="4">
        <f t="shared" si="362"/>
        <v/>
      </c>
      <c r="AR337" s="4">
        <f t="shared" si="359"/>
      </c>
      <c r="AS337" s="4">
        <f t="shared" si="360"/>
      </c>
      <c r="AT337" s="4">
        <f t="shared" si="367"/>
      </c>
    </row>
    <row r="338" spans="1:46" x14ac:dyDescent="0.3">
      <c r="A338" s="5">
        <f t="shared" si="340"/>
      </c>
      <c r="B338" s="4">
        <f t="shared" si="349"/>
      </c>
      <c r="C338" s="119"/>
      <c r="D338" s="119"/>
      <c r="E338" s="105"/>
      <c r="F338" s="173"/>
      <c r="G338" s="173"/>
      <c r="H338" s="173"/>
      <c r="I338" s="105"/>
      <c r="J338" s="105"/>
      <c r="K338" s="105"/>
      <c r="L338" s="105"/>
      <c r="M338" s="4">
        <f t="shared" si="350"/>
      </c>
      <c r="N338" s="59"/>
      <c r="O338" s="164"/>
      <c r="P338" s="59">
        <f t="shared" si="339"/>
      </c>
      <c r="Q338" s="165"/>
      <c r="R338" s="59"/>
      <c r="S338" s="164"/>
      <c r="T338" s="5">
        <f t="shared" si="351"/>
      </c>
      <c r="U338" s="4">
        <f t="shared" si="341"/>
      </c>
      <c r="V338" s="4">
        <f t="shared" si="342"/>
      </c>
      <c r="W338" s="4">
        <f t="shared" si="343"/>
      </c>
      <c r="X338" s="4">
        <f t="shared" si="344"/>
      </c>
      <c r="Y338" s="4" cm="1">
        <f t="array" ref="Y338">_xlfn.IFS(H338=1,2,H338=3,1)</f>
      </c>
      <c r="Z338" s="4">
        <f t="shared" si="345"/>
      </c>
      <c r="AA338" s="4">
        <f t="shared" si="352"/>
      </c>
      <c r="AB338" s="4">
        <f t="shared" si="346"/>
      </c>
      <c r="AC338" s="4">
        <f t="shared" si="353"/>
      </c>
      <c r="AD338" s="4">
        <f t="shared" si="347"/>
      </c>
      <c r="AE338" s="4">
        <f t="shared" si="363"/>
      </c>
      <c r="AF338" s="4">
        <f t="shared" si="364"/>
      </c>
      <c r="AG338" s="4">
        <f t="shared" si="365"/>
        <v/>
      </c>
      <c r="AH338" s="4">
        <f t="shared" si="354"/>
      </c>
      <c r="AI338" s="4">
        <f t="shared" si="366"/>
      </c>
      <c r="AJ338" s="4">
        <f t="shared" si="355"/>
      </c>
      <c r="AK338" s="4">
        <f t="shared" si="348"/>
      </c>
      <c r="AL338" s="4">
        <f t="shared" si="356"/>
      </c>
      <c r="AM338" s="4">
        <f t="shared" si="357"/>
      </c>
      <c r="AN338" s="4"/>
      <c r="AO338" s="4">
        <f t="shared" si="361"/>
      </c>
      <c r="AP338" s="4">
        <f t="shared" si="358"/>
      </c>
      <c r="AQ338" s="4">
        <f t="shared" si="362"/>
        <v/>
      </c>
      <c r="AR338" s="4">
        <f t="shared" si="359"/>
      </c>
      <c r="AS338" s="4">
        <f t="shared" si="360"/>
      </c>
      <c r="AT338" s="4">
        <f t="shared" si="367"/>
      </c>
    </row>
    <row r="339" spans="1:46" x14ac:dyDescent="0.3">
      <c r="A339" s="5">
        <f t="shared" si="340"/>
      </c>
      <c r="B339" s="4">
        <f t="shared" si="349"/>
      </c>
      <c r="C339" s="119"/>
      <c r="D339" s="119"/>
      <c r="E339" s="105"/>
      <c r="F339" s="173"/>
      <c r="G339" s="173"/>
      <c r="H339" s="173"/>
      <c r="I339" s="105"/>
      <c r="J339" s="105"/>
      <c r="K339" s="105"/>
      <c r="L339" s="105"/>
      <c r="M339" s="4">
        <f t="shared" si="350"/>
      </c>
      <c r="N339" s="59"/>
      <c r="O339" s="164"/>
      <c r="P339" s="59">
        <f t="shared" si="339"/>
      </c>
      <c r="Q339" s="165"/>
      <c r="R339" s="59"/>
      <c r="S339" s="164"/>
      <c r="T339" s="5">
        <f t="shared" si="351"/>
      </c>
      <c r="U339" s="4">
        <f t="shared" si="341"/>
      </c>
      <c r="V339" s="4">
        <f t="shared" si="342"/>
      </c>
      <c r="W339" s="4">
        <f t="shared" si="343"/>
      </c>
      <c r="X339" s="4">
        <f t="shared" si="344"/>
      </c>
      <c r="Y339" s="4" cm="1">
        <f t="array" ref="Y339">_xlfn.IFS(H339=1,2,H339=3,1)</f>
      </c>
      <c r="Z339" s="4">
        <f t="shared" si="345"/>
      </c>
      <c r="AA339" s="4">
        <f t="shared" si="352"/>
      </c>
      <c r="AB339" s="4">
        <f t="shared" si="346"/>
      </c>
      <c r="AC339" s="4">
        <f t="shared" si="353"/>
      </c>
      <c r="AD339" s="4">
        <f t="shared" si="347"/>
      </c>
      <c r="AE339" s="4">
        <f t="shared" si="363"/>
      </c>
      <c r="AF339" s="4">
        <f t="shared" si="364"/>
      </c>
      <c r="AG339" s="4">
        <f t="shared" si="365"/>
        <v/>
      </c>
      <c r="AH339" s="4">
        <f t="shared" si="354"/>
      </c>
      <c r="AI339" s="4">
        <f t="shared" si="366"/>
      </c>
      <c r="AJ339" s="4">
        <f t="shared" si="355"/>
      </c>
      <c r="AK339" s="4">
        <f t="shared" si="348"/>
      </c>
      <c r="AL339" s="4">
        <f t="shared" si="356"/>
      </c>
      <c r="AM339" s="4">
        <f t="shared" si="357"/>
      </c>
      <c r="AN339" s="4"/>
      <c r="AO339" s="4">
        <f t="shared" si="361"/>
      </c>
      <c r="AP339" s="4">
        <f t="shared" si="358"/>
      </c>
      <c r="AQ339" s="4">
        <f t="shared" si="362"/>
        <v/>
      </c>
      <c r="AR339" s="4">
        <f t="shared" si="359"/>
      </c>
      <c r="AS339" s="4">
        <f t="shared" si="360"/>
      </c>
      <c r="AT339" s="4">
        <f t="shared" si="367"/>
      </c>
    </row>
    <row r="340" spans="1:46" x14ac:dyDescent="0.3">
      <c r="A340" s="5">
        <f t="shared" si="340"/>
      </c>
      <c r="B340" s="4">
        <f t="shared" si="349"/>
      </c>
      <c r="C340" s="119"/>
      <c r="D340" s="119"/>
      <c r="E340" s="105"/>
      <c r="F340" s="173"/>
      <c r="G340" s="173"/>
      <c r="H340" s="173"/>
      <c r="I340" s="105"/>
      <c r="J340" s="105"/>
      <c r="K340" s="105"/>
      <c r="L340" s="105"/>
      <c r="M340" s="4">
        <f t="shared" si="350"/>
      </c>
      <c r="N340" s="59"/>
      <c r="O340" s="164"/>
      <c r="P340" s="59">
        <f t="shared" si="339"/>
      </c>
      <c r="Q340" s="165"/>
      <c r="R340" s="59"/>
      <c r="S340" s="164"/>
      <c r="T340" s="5">
        <f t="shared" si="351"/>
      </c>
      <c r="U340" s="4">
        <f t="shared" si="341"/>
      </c>
      <c r="V340" s="4">
        <f t="shared" si="342"/>
      </c>
      <c r="W340" s="4">
        <f t="shared" si="343"/>
      </c>
      <c r="X340" s="4">
        <f t="shared" si="344"/>
      </c>
      <c r="Y340" s="4" cm="1">
        <f t="array" ref="Y340">_xlfn.IFS(H340=1,2,H340=3,1)</f>
      </c>
      <c r="Z340" s="4">
        <f t="shared" si="345"/>
      </c>
      <c r="AA340" s="4">
        <f t="shared" si="352"/>
      </c>
      <c r="AB340" s="4">
        <f t="shared" si="346"/>
      </c>
      <c r="AC340" s="4">
        <f t="shared" si="353"/>
      </c>
      <c r="AD340" s="4">
        <f t="shared" si="347"/>
      </c>
      <c r="AE340" s="4">
        <f t="shared" si="363"/>
      </c>
      <c r="AF340" s="4">
        <f t="shared" si="364"/>
      </c>
      <c r="AG340" s="4">
        <f t="shared" si="365"/>
        <v/>
      </c>
      <c r="AH340" s="4">
        <f t="shared" si="354"/>
      </c>
      <c r="AI340" s="4">
        <f t="shared" si="366"/>
      </c>
      <c r="AJ340" s="4">
        <f t="shared" si="355"/>
      </c>
      <c r="AK340" s="4">
        <f t="shared" si="348"/>
      </c>
      <c r="AL340" s="4">
        <f t="shared" si="356"/>
      </c>
      <c r="AM340" s="4">
        <f t="shared" si="357"/>
      </c>
      <c r="AN340" s="4"/>
      <c r="AO340" s="4">
        <f t="shared" si="361"/>
      </c>
      <c r="AP340" s="4">
        <f t="shared" si="358"/>
      </c>
      <c r="AQ340" s="4">
        <f t="shared" si="362"/>
        <v/>
      </c>
      <c r="AR340" s="4">
        <f t="shared" si="359"/>
      </c>
      <c r="AS340" s="4">
        <f t="shared" si="360"/>
      </c>
      <c r="AT340" s="4">
        <f t="shared" si="367"/>
      </c>
    </row>
    <row r="341" spans="1:46" x14ac:dyDescent="0.3">
      <c r="A341" s="5">
        <f t="shared" si="340"/>
      </c>
      <c r="B341" s="4">
        <f t="shared" si="349"/>
      </c>
      <c r="C341" s="119"/>
      <c r="D341" s="119"/>
      <c r="E341" s="105"/>
      <c r="F341" s="173"/>
      <c r="G341" s="173"/>
      <c r="H341" s="173"/>
      <c r="I341" s="105"/>
      <c r="J341" s="105"/>
      <c r="K341" s="105"/>
      <c r="L341" s="105"/>
      <c r="M341" s="4">
        <f t="shared" si="350"/>
      </c>
      <c r="N341" s="59"/>
      <c r="O341" s="164"/>
      <c r="P341" s="59">
        <f t="shared" ref="P341:P404" si="368">IF(VLOOKUP(AH341,Потребители_обозначение,5,FALSE)=2,_xlfn.IFS(H341=3,VLOOKUP(E341,Справочная_двигатели,8,FALSE),H341=1,VLOOKUP(E341,Справочная_двигатели,10,TRUE)),0.95)</f>
      </c>
      <c r="Q341" s="165"/>
      <c r="R341" s="59"/>
      <c r="S341" s="164"/>
      <c r="T341" s="5">
        <f t="shared" si="351"/>
      </c>
      <c r="U341" s="4">
        <f t="shared" si="341"/>
      </c>
      <c r="V341" s="4">
        <f t="shared" si="342"/>
      </c>
      <c r="W341" s="4">
        <f t="shared" si="343"/>
      </c>
      <c r="X341" s="4">
        <f t="shared" si="344"/>
      </c>
      <c r="Y341" s="4" cm="1">
        <f t="array" ref="Y341">_xlfn.IFS(H341=1,2,H341=3,1)</f>
      </c>
      <c r="Z341" s="4">
        <f t="shared" si="345"/>
      </c>
      <c r="AA341" s="4">
        <f t="shared" si="352"/>
      </c>
      <c r="AB341" s="4">
        <f t="shared" si="346"/>
      </c>
      <c r="AC341" s="4">
        <f t="shared" si="353"/>
      </c>
      <c r="AD341" s="4">
        <f t="shared" si="347"/>
      </c>
      <c r="AE341" s="4">
        <f t="shared" si="363"/>
      </c>
      <c r="AF341" s="4">
        <f t="shared" si="364"/>
      </c>
      <c r="AG341" s="4">
        <f t="shared" si="365"/>
        <v/>
      </c>
      <c r="AH341" s="4">
        <f t="shared" si="354"/>
      </c>
      <c r="AI341" s="4">
        <f t="shared" si="366"/>
      </c>
      <c r="AJ341" s="4">
        <f t="shared" si="355"/>
      </c>
      <c r="AK341" s="4">
        <f t="shared" si="348"/>
      </c>
      <c r="AL341" s="4">
        <f t="shared" si="356"/>
      </c>
      <c r="AM341" s="4">
        <f t="shared" si="357"/>
      </c>
      <c r="AN341" s="4"/>
      <c r="AO341" s="4">
        <f t="shared" si="361"/>
      </c>
      <c r="AP341" s="4">
        <f t="shared" si="358"/>
      </c>
      <c r="AQ341" s="4">
        <f t="shared" si="362"/>
        <v/>
      </c>
      <c r="AR341" s="4">
        <f t="shared" si="359"/>
      </c>
      <c r="AS341" s="4">
        <f t="shared" si="360"/>
      </c>
      <c r="AT341" s="4">
        <f t="shared" si="367"/>
      </c>
    </row>
    <row r="342" spans="1:46" ht="15" thickBot="1" x14ac:dyDescent="0.35">
      <c r="A342" s="45">
        <f t="shared" si="340"/>
      </c>
      <c r="B342" s="44">
        <f t="shared" si="349"/>
      </c>
      <c r="C342" s="175"/>
      <c r="D342" s="175"/>
      <c r="E342" s="176"/>
      <c r="F342" s="178"/>
      <c r="G342" s="178"/>
      <c r="H342" s="178"/>
      <c r="I342" s="176"/>
      <c r="J342" s="176"/>
      <c r="K342" s="176"/>
      <c r="L342" s="176"/>
      <c r="M342" s="44">
        <f t="shared" si="350"/>
      </c>
      <c r="N342" s="64"/>
      <c r="O342" s="166"/>
      <c r="P342" s="59">
        <f t="shared" si="368"/>
      </c>
      <c r="Q342" s="170"/>
      <c r="R342" s="64"/>
      <c r="S342" s="166"/>
      <c r="T342" s="45">
        <f t="shared" si="351"/>
      </c>
      <c r="U342" s="44">
        <f t="shared" si="341"/>
      </c>
      <c r="V342" s="44">
        <f t="shared" si="342"/>
      </c>
      <c r="W342" s="44">
        <f t="shared" si="343"/>
      </c>
      <c r="X342" s="44">
        <f t="shared" si="344"/>
      </c>
      <c r="Y342" s="44" cm="1">
        <f t="array" ref="Y342">_xlfn.IFS(H342=1,2,H342=3,1)</f>
      </c>
      <c r="Z342" s="44">
        <f t="shared" si="345"/>
      </c>
      <c r="AA342" s="44">
        <f t="shared" si="352"/>
      </c>
      <c r="AB342" s="44">
        <f t="shared" si="346"/>
      </c>
      <c r="AC342" s="44">
        <f t="shared" si="353"/>
      </c>
      <c r="AD342" s="44">
        <f t="shared" si="347"/>
      </c>
      <c r="AE342" s="44">
        <f t="shared" si="363"/>
      </c>
      <c r="AF342" s="44">
        <f t="shared" si="364"/>
      </c>
      <c r="AG342" s="44">
        <f t="shared" si="365"/>
        <v/>
      </c>
      <c r="AH342" s="44">
        <f t="shared" si="354"/>
      </c>
      <c r="AI342" s="44">
        <f t="shared" si="366"/>
      </c>
      <c r="AJ342" s="44">
        <f t="shared" si="355"/>
      </c>
      <c r="AK342" s="44">
        <f t="shared" si="348"/>
      </c>
      <c r="AL342" s="44">
        <f t="shared" si="356"/>
      </c>
      <c r="AM342" s="44">
        <f t="shared" si="357"/>
      </c>
      <c r="AN342" s="44"/>
      <c r="AO342" s="44">
        <f t="shared" si="361"/>
      </c>
      <c r="AP342" s="44">
        <f t="shared" si="358"/>
      </c>
      <c r="AQ342" s="44">
        <f t="shared" si="362"/>
        <v/>
      </c>
      <c r="AR342" s="44">
        <f t="shared" si="359"/>
      </c>
      <c r="AS342" s="44">
        <f t="shared" si="360"/>
      </c>
      <c r="AT342" s="44">
        <f t="shared" si="367"/>
      </c>
    </row>
    <row r="343" spans="1:46" x14ac:dyDescent="0.3">
      <c r="A343" s="19">
        <f t="shared" si="340"/>
      </c>
      <c r="B343" s="7">
        <f t="shared" si="349"/>
      </c>
      <c r="C343" s="177"/>
      <c r="D343" s="177"/>
      <c r="E343" s="179"/>
      <c r="F343" s="182"/>
      <c r="G343" s="182"/>
      <c r="H343" s="182"/>
      <c r="I343" s="179"/>
      <c r="J343" s="179"/>
      <c r="K343" s="179"/>
      <c r="L343" s="179"/>
      <c r="M343" s="7">
        <f t="shared" si="350"/>
      </c>
      <c r="N343" s="65"/>
      <c r="O343" s="168"/>
      <c r="P343" s="59">
        <f t="shared" si="368"/>
      </c>
      <c r="Q343" s="118"/>
      <c r="R343" s="65"/>
      <c r="S343" s="168"/>
      <c r="T343" s="19">
        <f t="shared" si="351"/>
      </c>
      <c r="U343" s="7">
        <f t="shared" si="341"/>
      </c>
      <c r="V343" s="7">
        <f t="shared" si="342"/>
      </c>
      <c r="W343" s="7">
        <f t="shared" si="343"/>
      </c>
      <c r="X343" s="7">
        <f t="shared" si="344"/>
      </c>
      <c r="Y343" s="7" cm="1">
        <f t="array" ref="Y343">_xlfn.IFS(H343=1,2,H343=3,1)</f>
      </c>
      <c r="Z343" s="7">
        <f t="shared" si="345"/>
      </c>
      <c r="AA343" s="7">
        <f t="shared" si="352"/>
      </c>
      <c r="AB343" s="7">
        <f t="shared" si="346"/>
      </c>
      <c r="AC343" s="7">
        <f t="shared" si="353"/>
      </c>
      <c r="AD343" s="7">
        <f t="shared" si="347"/>
      </c>
      <c r="AE343" s="7">
        <f t="shared" si="363"/>
      </c>
      <c r="AF343" s="7">
        <f t="shared" si="364"/>
      </c>
      <c r="AG343" s="7">
        <f t="shared" si="365"/>
        <v/>
      </c>
      <c r="AH343" s="7">
        <f t="shared" si="354"/>
      </c>
      <c r="AI343" s="7">
        <f t="shared" si="366"/>
      </c>
      <c r="AJ343" s="7">
        <f t="shared" si="355"/>
      </c>
      <c r="AK343" s="7">
        <f t="shared" si="348"/>
      </c>
      <c r="AL343" s="7">
        <f t="shared" si="356"/>
      </c>
      <c r="AM343" s="7">
        <f t="shared" si="357"/>
      </c>
      <c r="AN343" s="7"/>
      <c r="AO343" s="7">
        <f t="shared" si="361"/>
      </c>
      <c r="AP343" s="7">
        <f t="shared" si="358"/>
      </c>
      <c r="AQ343" s="7">
        <f t="shared" si="362"/>
        <v/>
      </c>
      <c r="AR343" s="7">
        <f t="shared" si="359"/>
      </c>
      <c r="AS343" s="7">
        <f t="shared" si="360"/>
      </c>
      <c r="AT343" s="7">
        <f t="shared" si="367"/>
      </c>
    </row>
    <row r="344" spans="1:46" x14ac:dyDescent="0.3">
      <c r="A344" s="19">
        <f t="shared" si="340"/>
      </c>
      <c r="B344" s="7">
        <f t="shared" si="349"/>
      </c>
      <c r="C344" s="177"/>
      <c r="D344" s="119"/>
      <c r="E344" s="105"/>
      <c r="F344" s="173"/>
      <c r="G344" s="173"/>
      <c r="H344" s="173"/>
      <c r="I344" s="179"/>
      <c r="J344" s="179"/>
      <c r="K344" s="105"/>
      <c r="L344" s="179"/>
      <c r="M344" s="7">
        <f t="shared" si="350"/>
      </c>
      <c r="N344" s="59"/>
      <c r="O344" s="164"/>
      <c r="P344" s="59">
        <f t="shared" si="368"/>
      </c>
      <c r="Q344" s="165"/>
      <c r="R344" s="59"/>
      <c r="S344" s="164"/>
      <c r="T344" s="19">
        <f t="shared" si="351"/>
      </c>
      <c r="U344" s="7">
        <f t="shared" si="341"/>
      </c>
      <c r="V344" s="7">
        <f t="shared" si="342"/>
      </c>
      <c r="W344" s="7">
        <f t="shared" si="343"/>
      </c>
      <c r="X344" s="7">
        <f t="shared" si="344"/>
      </c>
      <c r="Y344" s="7" cm="1">
        <f t="array" ref="Y344">_xlfn.IFS(H344=1,2,H344=3,1)</f>
      </c>
      <c r="Z344" s="7">
        <f t="shared" si="345"/>
      </c>
      <c r="AA344" s="7">
        <f t="shared" si="352"/>
      </c>
      <c r="AB344" s="7">
        <f t="shared" si="346"/>
      </c>
      <c r="AC344" s="7">
        <f t="shared" si="353"/>
      </c>
      <c r="AD344" s="7">
        <f t="shared" si="347"/>
      </c>
      <c r="AE344" s="7">
        <f t="shared" si="363"/>
      </c>
      <c r="AF344" s="7">
        <f t="shared" si="364"/>
      </c>
      <c r="AG344" s="7">
        <f t="shared" si="365"/>
        <v/>
      </c>
      <c r="AH344" s="7">
        <f t="shared" si="354"/>
      </c>
      <c r="AI344" s="7">
        <f t="shared" si="366"/>
      </c>
      <c r="AJ344" s="7">
        <f t="shared" si="355"/>
      </c>
      <c r="AK344" s="7">
        <f t="shared" si="348"/>
      </c>
      <c r="AL344" s="7">
        <f t="shared" si="356"/>
      </c>
      <c r="AM344" s="7">
        <f t="shared" si="357"/>
      </c>
      <c r="AN344" s="7"/>
      <c r="AO344" s="7">
        <f t="shared" si="361"/>
      </c>
      <c r="AP344" s="7">
        <f t="shared" si="358"/>
      </c>
      <c r="AQ344" s="7">
        <f t="shared" si="362"/>
        <v/>
      </c>
      <c r="AR344" s="7">
        <f t="shared" si="359"/>
      </c>
      <c r="AS344" s="7">
        <f t="shared" si="360"/>
      </c>
      <c r="AT344" s="7">
        <f t="shared" si="367"/>
      </c>
    </row>
    <row r="345" spans="1:46" x14ac:dyDescent="0.3">
      <c r="A345" s="5">
        <f t="shared" si="340"/>
      </c>
      <c r="B345" s="4">
        <f t="shared" si="349"/>
      </c>
      <c r="C345" s="119"/>
      <c r="D345" s="119"/>
      <c r="E345" s="105"/>
      <c r="F345" s="173"/>
      <c r="G345" s="173"/>
      <c r="H345" s="173"/>
      <c r="I345" s="105"/>
      <c r="J345" s="105"/>
      <c r="K345" s="105"/>
      <c r="L345" s="105"/>
      <c r="M345" s="4">
        <f t="shared" si="350"/>
      </c>
      <c r="N345" s="59"/>
      <c r="O345" s="164"/>
      <c r="P345" s="59">
        <f t="shared" si="368"/>
      </c>
      <c r="Q345" s="165"/>
      <c r="R345" s="59"/>
      <c r="S345" s="164"/>
      <c r="T345" s="5">
        <f t="shared" si="351"/>
      </c>
      <c r="U345" s="4">
        <f t="shared" si="341"/>
      </c>
      <c r="V345" s="4">
        <f t="shared" si="342"/>
      </c>
      <c r="W345" s="4">
        <f t="shared" si="343"/>
      </c>
      <c r="X345" s="4">
        <f t="shared" si="344"/>
      </c>
      <c r="Y345" s="4" cm="1">
        <f t="array" ref="Y345">_xlfn.IFS(H345=1,2,H345=3,1)</f>
      </c>
      <c r="Z345" s="4">
        <f t="shared" si="345"/>
      </c>
      <c r="AA345" s="4">
        <f t="shared" si="352"/>
      </c>
      <c r="AB345" s="4">
        <f t="shared" si="346"/>
      </c>
      <c r="AC345" s="4">
        <f t="shared" si="353"/>
      </c>
      <c r="AD345" s="4">
        <f t="shared" si="347"/>
      </c>
      <c r="AE345" s="4">
        <f t="shared" si="363"/>
      </c>
      <c r="AF345" s="4">
        <f t="shared" si="364"/>
      </c>
      <c r="AG345" s="4">
        <f t="shared" si="365"/>
        <v/>
      </c>
      <c r="AH345" s="4">
        <f t="shared" si="354"/>
      </c>
      <c r="AI345" s="4">
        <f t="shared" si="366"/>
      </c>
      <c r="AJ345" s="4">
        <f t="shared" si="355"/>
      </c>
      <c r="AK345" s="4">
        <f t="shared" si="348"/>
      </c>
      <c r="AL345" s="4">
        <f t="shared" si="356"/>
      </c>
      <c r="AM345" s="4">
        <f t="shared" si="357"/>
      </c>
      <c r="AN345" s="4"/>
      <c r="AO345" s="4">
        <f t="shared" si="361"/>
      </c>
      <c r="AP345" s="4">
        <f t="shared" si="358"/>
      </c>
      <c r="AQ345" s="4">
        <f t="shared" si="362"/>
        <v/>
      </c>
      <c r="AR345" s="4">
        <f t="shared" si="359"/>
      </c>
      <c r="AS345" s="4">
        <f t="shared" si="360"/>
      </c>
      <c r="AT345" s="4">
        <f t="shared" si="367"/>
      </c>
    </row>
    <row r="346" spans="1:46" x14ac:dyDescent="0.3">
      <c r="A346" s="5">
        <f t="shared" si="340"/>
      </c>
      <c r="B346" s="4">
        <f t="shared" si="349"/>
      </c>
      <c r="C346" s="119"/>
      <c r="D346" s="119"/>
      <c r="E346" s="105"/>
      <c r="F346" s="173"/>
      <c r="G346" s="173"/>
      <c r="H346" s="173"/>
      <c r="I346" s="105"/>
      <c r="J346" s="105"/>
      <c r="K346" s="105"/>
      <c r="L346" s="105"/>
      <c r="M346" s="4">
        <f t="shared" si="350"/>
      </c>
      <c r="N346" s="59"/>
      <c r="O346" s="164"/>
      <c r="P346" s="59">
        <f t="shared" si="368"/>
      </c>
      <c r="Q346" s="165"/>
      <c r="R346" s="59"/>
      <c r="S346" s="164"/>
      <c r="T346" s="5">
        <f t="shared" si="351"/>
      </c>
      <c r="U346" s="4">
        <f t="shared" si="341"/>
      </c>
      <c r="V346" s="4">
        <f t="shared" si="342"/>
      </c>
      <c r="W346" s="4">
        <f t="shared" si="343"/>
      </c>
      <c r="X346" s="4">
        <f t="shared" si="344"/>
      </c>
      <c r="Y346" s="4" cm="1">
        <f t="array" ref="Y346">_xlfn.IFS(H346=1,2,H346=3,1)</f>
      </c>
      <c r="Z346" s="4">
        <f t="shared" si="345"/>
      </c>
      <c r="AA346" s="4">
        <f t="shared" si="352"/>
      </c>
      <c r="AB346" s="4">
        <f t="shared" si="346"/>
      </c>
      <c r="AC346" s="4">
        <f t="shared" si="353"/>
      </c>
      <c r="AD346" s="4">
        <f t="shared" si="347"/>
      </c>
      <c r="AE346" s="4">
        <f t="shared" si="363"/>
      </c>
      <c r="AF346" s="4">
        <f t="shared" si="364"/>
      </c>
      <c r="AG346" s="4">
        <f t="shared" si="365"/>
        <v/>
      </c>
      <c r="AH346" s="4">
        <f t="shared" si="354"/>
      </c>
      <c r="AI346" s="4">
        <f t="shared" si="366"/>
      </c>
      <c r="AJ346" s="4">
        <f t="shared" si="355"/>
      </c>
      <c r="AK346" s="4">
        <f t="shared" si="348"/>
      </c>
      <c r="AL346" s="4">
        <f t="shared" si="356"/>
      </c>
      <c r="AM346" s="4">
        <f t="shared" si="357"/>
      </c>
      <c r="AN346" s="4"/>
      <c r="AO346" s="4">
        <f t="shared" si="361"/>
      </c>
      <c r="AP346" s="4">
        <f t="shared" si="358"/>
      </c>
      <c r="AQ346" s="4">
        <f t="shared" si="362"/>
        <v/>
      </c>
      <c r="AR346" s="4">
        <f t="shared" si="359"/>
      </c>
      <c r="AS346" s="4">
        <f t="shared" si="360"/>
      </c>
      <c r="AT346" s="4">
        <f t="shared" si="367"/>
      </c>
    </row>
    <row r="347" spans="1:46" x14ac:dyDescent="0.3">
      <c r="A347" s="5">
        <f t="shared" si="340"/>
      </c>
      <c r="B347" s="4">
        <f t="shared" si="349"/>
      </c>
      <c r="C347" s="119"/>
      <c r="D347" s="119"/>
      <c r="E347" s="105"/>
      <c r="F347" s="173"/>
      <c r="G347" s="173"/>
      <c r="H347" s="173"/>
      <c r="I347" s="105"/>
      <c r="J347" s="105"/>
      <c r="K347" s="105"/>
      <c r="L347" s="105"/>
      <c r="M347" s="4">
        <f t="shared" si="350"/>
      </c>
      <c r="N347" s="59"/>
      <c r="O347" s="164"/>
      <c r="P347" s="59">
        <f t="shared" si="368"/>
      </c>
      <c r="Q347" s="165"/>
      <c r="R347" s="59"/>
      <c r="S347" s="164"/>
      <c r="T347" s="5">
        <f t="shared" si="351"/>
      </c>
      <c r="U347" s="4">
        <f t="shared" si="341"/>
      </c>
      <c r="V347" s="4">
        <f t="shared" si="342"/>
      </c>
      <c r="W347" s="4">
        <f t="shared" si="343"/>
      </c>
      <c r="X347" s="4">
        <f t="shared" si="344"/>
      </c>
      <c r="Y347" s="4" cm="1">
        <f t="array" ref="Y347">_xlfn.IFS(H347=1,2,H347=3,1)</f>
      </c>
      <c r="Z347" s="4">
        <f t="shared" si="345"/>
      </c>
      <c r="AA347" s="4">
        <f t="shared" si="352"/>
      </c>
      <c r="AB347" s="4">
        <f t="shared" si="346"/>
      </c>
      <c r="AC347" s="4">
        <f t="shared" si="353"/>
      </c>
      <c r="AD347" s="4">
        <f t="shared" si="347"/>
      </c>
      <c r="AE347" s="4">
        <f t="shared" si="363"/>
      </c>
      <c r="AF347" s="4">
        <f t="shared" si="364"/>
      </c>
      <c r="AG347" s="4">
        <f t="shared" si="365"/>
        <v/>
      </c>
      <c r="AH347" s="4">
        <f t="shared" si="354"/>
      </c>
      <c r="AI347" s="4">
        <f t="shared" si="366"/>
      </c>
      <c r="AJ347" s="4">
        <f t="shared" si="355"/>
      </c>
      <c r="AK347" s="4">
        <f t="shared" si="348"/>
      </c>
      <c r="AL347" s="4">
        <f t="shared" si="356"/>
      </c>
      <c r="AM347" s="4">
        <f t="shared" si="357"/>
      </c>
      <c r="AN347" s="4"/>
      <c r="AO347" s="4">
        <f t="shared" si="361"/>
      </c>
      <c r="AP347" s="4">
        <f t="shared" si="358"/>
      </c>
      <c r="AQ347" s="4">
        <f t="shared" si="362"/>
        <v/>
      </c>
      <c r="AR347" s="4">
        <f t="shared" si="359"/>
      </c>
      <c r="AS347" s="4">
        <f t="shared" si="360"/>
      </c>
      <c r="AT347" s="4">
        <f t="shared" si="367"/>
      </c>
    </row>
    <row r="348" spans="1:46" x14ac:dyDescent="0.3">
      <c r="A348" s="5">
        <f t="shared" si="340"/>
      </c>
      <c r="B348" s="4">
        <f t="shared" si="349"/>
      </c>
      <c r="C348" s="119"/>
      <c r="D348" s="119"/>
      <c r="E348" s="105"/>
      <c r="F348" s="173"/>
      <c r="G348" s="173"/>
      <c r="H348" s="173"/>
      <c r="I348" s="105"/>
      <c r="J348" s="105"/>
      <c r="K348" s="105"/>
      <c r="L348" s="105"/>
      <c r="M348" s="4">
        <f t="shared" si="350"/>
      </c>
      <c r="N348" s="59"/>
      <c r="O348" s="164"/>
      <c r="P348" s="59">
        <f t="shared" si="368"/>
      </c>
      <c r="Q348" s="165"/>
      <c r="R348" s="59"/>
      <c r="S348" s="164"/>
      <c r="T348" s="5">
        <f t="shared" si="351"/>
      </c>
      <c r="U348" s="4">
        <f t="shared" si="341"/>
      </c>
      <c r="V348" s="4">
        <f t="shared" si="342"/>
      </c>
      <c r="W348" s="4">
        <f t="shared" si="343"/>
      </c>
      <c r="X348" s="4">
        <f t="shared" si="344"/>
      </c>
      <c r="Y348" s="4" cm="1">
        <f t="array" ref="Y348">_xlfn.IFS(H348=1,2,H348=3,1)</f>
      </c>
      <c r="Z348" s="4">
        <f t="shared" si="345"/>
      </c>
      <c r="AA348" s="4">
        <f t="shared" si="352"/>
      </c>
      <c r="AB348" s="4">
        <f t="shared" si="346"/>
      </c>
      <c r="AC348" s="4">
        <f t="shared" si="353"/>
      </c>
      <c r="AD348" s="4">
        <f t="shared" si="347"/>
      </c>
      <c r="AE348" s="4">
        <f t="shared" si="363"/>
      </c>
      <c r="AF348" s="4">
        <f t="shared" si="364"/>
      </c>
      <c r="AG348" s="4">
        <f t="shared" si="365"/>
        <v/>
      </c>
      <c r="AH348" s="4">
        <f t="shared" si="354"/>
      </c>
      <c r="AI348" s="4">
        <f t="shared" si="366"/>
      </c>
      <c r="AJ348" s="4">
        <f t="shared" si="355"/>
      </c>
      <c r="AK348" s="4">
        <f t="shared" si="348"/>
      </c>
      <c r="AL348" s="4">
        <f t="shared" si="356"/>
      </c>
      <c r="AM348" s="4">
        <f t="shared" si="357"/>
      </c>
      <c r="AN348" s="4"/>
      <c r="AO348" s="4">
        <f t="shared" si="361"/>
      </c>
      <c r="AP348" s="4">
        <f t="shared" si="358"/>
      </c>
      <c r="AQ348" s="4">
        <f t="shared" si="362"/>
        <v/>
      </c>
      <c r="AR348" s="4">
        <f t="shared" si="359"/>
      </c>
      <c r="AS348" s="4">
        <f t="shared" si="360"/>
      </c>
      <c r="AT348" s="4">
        <f t="shared" si="367"/>
      </c>
    </row>
    <row r="349" spans="1:46" x14ac:dyDescent="0.3">
      <c r="A349" s="5">
        <f t="shared" si="340"/>
      </c>
      <c r="B349" s="4">
        <f t="shared" si="349"/>
      </c>
      <c r="C349" s="119"/>
      <c r="D349" s="119"/>
      <c r="E349" s="105"/>
      <c r="F349" s="173"/>
      <c r="G349" s="173"/>
      <c r="H349" s="173"/>
      <c r="I349" s="105"/>
      <c r="J349" s="105"/>
      <c r="K349" s="105"/>
      <c r="L349" s="105"/>
      <c r="M349" s="4">
        <f t="shared" si="350"/>
      </c>
      <c r="N349" s="59"/>
      <c r="O349" s="164"/>
      <c r="P349" s="59">
        <f t="shared" si="368"/>
      </c>
      <c r="Q349" s="165"/>
      <c r="R349" s="59"/>
      <c r="S349" s="164"/>
      <c r="T349" s="5">
        <f t="shared" si="351"/>
      </c>
      <c r="U349" s="4">
        <f t="shared" si="341"/>
      </c>
      <c r="V349" s="4">
        <f t="shared" si="342"/>
      </c>
      <c r="W349" s="4">
        <f t="shared" si="343"/>
      </c>
      <c r="X349" s="4">
        <f t="shared" si="344"/>
      </c>
      <c r="Y349" s="4" cm="1">
        <f t="array" ref="Y349">_xlfn.IFS(H349=1,2,H349=3,1)</f>
      </c>
      <c r="Z349" s="4">
        <f t="shared" si="345"/>
      </c>
      <c r="AA349" s="4">
        <f t="shared" si="352"/>
      </c>
      <c r="AB349" s="4">
        <f t="shared" si="346"/>
      </c>
      <c r="AC349" s="4">
        <f t="shared" si="353"/>
      </c>
      <c r="AD349" s="4">
        <f t="shared" si="347"/>
      </c>
      <c r="AE349" s="4">
        <f t="shared" si="363"/>
      </c>
      <c r="AF349" s="4">
        <f t="shared" si="364"/>
      </c>
      <c r="AG349" s="4">
        <f t="shared" si="365"/>
        <v/>
      </c>
      <c r="AH349" s="4">
        <f t="shared" si="354"/>
      </c>
      <c r="AI349" s="4">
        <f t="shared" si="366"/>
      </c>
      <c r="AJ349" s="4">
        <f t="shared" si="355"/>
      </c>
      <c r="AK349" s="4">
        <f t="shared" si="348"/>
      </c>
      <c r="AL349" s="4">
        <f t="shared" si="356"/>
      </c>
      <c r="AM349" s="4">
        <f t="shared" si="357"/>
      </c>
      <c r="AN349" s="4"/>
      <c r="AO349" s="4">
        <f t="shared" si="361"/>
      </c>
      <c r="AP349" s="4">
        <f t="shared" si="358"/>
      </c>
      <c r="AQ349" s="4">
        <f t="shared" si="362"/>
        <v/>
      </c>
      <c r="AR349" s="4">
        <f t="shared" si="359"/>
      </c>
      <c r="AS349" s="4">
        <f t="shared" si="360"/>
      </c>
      <c r="AT349" s="4">
        <f t="shared" si="367"/>
      </c>
    </row>
    <row r="350" spans="1:46" x14ac:dyDescent="0.3">
      <c r="A350" s="5">
        <f t="shared" si="340"/>
      </c>
      <c r="B350" s="4">
        <f t="shared" si="349"/>
      </c>
      <c r="C350" s="119"/>
      <c r="D350" s="119"/>
      <c r="E350" s="105"/>
      <c r="F350" s="173"/>
      <c r="G350" s="173"/>
      <c r="H350" s="173"/>
      <c r="I350" s="105"/>
      <c r="J350" s="105"/>
      <c r="K350" s="105"/>
      <c r="L350" s="105"/>
      <c r="M350" s="4">
        <f t="shared" si="350"/>
      </c>
      <c r="N350" s="59"/>
      <c r="O350" s="164"/>
      <c r="P350" s="59">
        <f t="shared" si="368"/>
      </c>
      <c r="Q350" s="165"/>
      <c r="R350" s="59"/>
      <c r="S350" s="164"/>
      <c r="T350" s="5">
        <f t="shared" si="351"/>
      </c>
      <c r="U350" s="4">
        <f t="shared" si="341"/>
      </c>
      <c r="V350" s="4">
        <f t="shared" si="342"/>
      </c>
      <c r="W350" s="4">
        <f t="shared" si="343"/>
      </c>
      <c r="X350" s="4">
        <f t="shared" si="344"/>
      </c>
      <c r="Y350" s="4" cm="1">
        <f t="array" ref="Y350">_xlfn.IFS(H350=1,2,H350=3,1)</f>
      </c>
      <c r="Z350" s="4">
        <f t="shared" si="345"/>
      </c>
      <c r="AA350" s="4">
        <f t="shared" si="352"/>
      </c>
      <c r="AB350" s="4">
        <f t="shared" si="346"/>
      </c>
      <c r="AC350" s="4">
        <f t="shared" si="353"/>
      </c>
      <c r="AD350" s="4">
        <f t="shared" si="347"/>
      </c>
      <c r="AE350" s="4">
        <f t="shared" si="363"/>
      </c>
      <c r="AF350" s="4">
        <f t="shared" si="364"/>
      </c>
      <c r="AG350" s="4">
        <f t="shared" si="365"/>
        <v/>
      </c>
      <c r="AH350" s="4">
        <f t="shared" si="354"/>
      </c>
      <c r="AI350" s="4">
        <f t="shared" si="366"/>
      </c>
      <c r="AJ350" s="4">
        <f t="shared" si="355"/>
      </c>
      <c r="AK350" s="4">
        <f t="shared" si="348"/>
      </c>
      <c r="AL350" s="4">
        <f t="shared" si="356"/>
      </c>
      <c r="AM350" s="4">
        <f t="shared" si="357"/>
      </c>
      <c r="AN350" s="4"/>
      <c r="AO350" s="4">
        <f t="shared" si="361"/>
      </c>
      <c r="AP350" s="4">
        <f t="shared" si="358"/>
      </c>
      <c r="AQ350" s="4">
        <f t="shared" si="362"/>
        <v/>
      </c>
      <c r="AR350" s="4">
        <f t="shared" si="359"/>
      </c>
      <c r="AS350" s="4">
        <f t="shared" si="360"/>
      </c>
      <c r="AT350" s="4">
        <f t="shared" si="367"/>
      </c>
    </row>
    <row r="351" spans="1:46" x14ac:dyDescent="0.3">
      <c r="A351" s="5">
        <f t="shared" si="340"/>
      </c>
      <c r="B351" s="4">
        <f t="shared" si="349"/>
      </c>
      <c r="C351" s="119"/>
      <c r="D351" s="119"/>
      <c r="E351" s="105"/>
      <c r="F351" s="173"/>
      <c r="G351" s="173"/>
      <c r="H351" s="173"/>
      <c r="I351" s="105"/>
      <c r="J351" s="105"/>
      <c r="K351" s="105"/>
      <c r="L351" s="105"/>
      <c r="M351" s="4">
        <f t="shared" si="350"/>
      </c>
      <c r="N351" s="59"/>
      <c r="O351" s="164"/>
      <c r="P351" s="59">
        <f t="shared" si="368"/>
      </c>
      <c r="Q351" s="165"/>
      <c r="R351" s="59"/>
      <c r="S351" s="164"/>
      <c r="T351" s="5">
        <f t="shared" si="351"/>
      </c>
      <c r="U351" s="4">
        <f t="shared" si="341"/>
      </c>
      <c r="V351" s="4">
        <f t="shared" si="342"/>
      </c>
      <c r="W351" s="4">
        <f t="shared" si="343"/>
      </c>
      <c r="X351" s="4">
        <f t="shared" si="344"/>
      </c>
      <c r="Y351" s="4" cm="1">
        <f t="array" ref="Y351">_xlfn.IFS(H351=1,2,H351=3,1)</f>
      </c>
      <c r="Z351" s="4">
        <f t="shared" si="345"/>
      </c>
      <c r="AA351" s="4">
        <f t="shared" si="352"/>
      </c>
      <c r="AB351" s="4">
        <f t="shared" si="346"/>
      </c>
      <c r="AC351" s="4">
        <f t="shared" si="353"/>
      </c>
      <c r="AD351" s="4">
        <f t="shared" si="347"/>
      </c>
      <c r="AE351" s="4">
        <f t="shared" si="363"/>
      </c>
      <c r="AF351" s="4">
        <f t="shared" si="364"/>
      </c>
      <c r="AG351" s="4">
        <f t="shared" si="365"/>
        <v/>
      </c>
      <c r="AH351" s="4">
        <f t="shared" si="354"/>
      </c>
      <c r="AI351" s="4">
        <f t="shared" si="366"/>
      </c>
      <c r="AJ351" s="4">
        <f t="shared" si="355"/>
      </c>
      <c r="AK351" s="4">
        <f t="shared" si="348"/>
      </c>
      <c r="AL351" s="4">
        <f t="shared" si="356"/>
      </c>
      <c r="AM351" s="4">
        <f t="shared" si="357"/>
      </c>
      <c r="AN351" s="4"/>
      <c r="AO351" s="4">
        <f t="shared" si="361"/>
      </c>
      <c r="AP351" s="4">
        <f t="shared" si="358"/>
      </c>
      <c r="AQ351" s="4">
        <f t="shared" si="362"/>
        <v/>
      </c>
      <c r="AR351" s="4">
        <f t="shared" si="359"/>
      </c>
      <c r="AS351" s="4">
        <f t="shared" si="360"/>
      </c>
      <c r="AT351" s="4">
        <f t="shared" si="367"/>
      </c>
    </row>
    <row r="352" spans="1:46" x14ac:dyDescent="0.3">
      <c r="A352" s="5">
        <f t="shared" si="340"/>
      </c>
      <c r="B352" s="4">
        <f t="shared" si="349"/>
      </c>
      <c r="C352" s="119"/>
      <c r="D352" s="119"/>
      <c r="E352" s="105"/>
      <c r="F352" s="173"/>
      <c r="G352" s="173"/>
      <c r="H352" s="173"/>
      <c r="I352" s="105"/>
      <c r="J352" s="105"/>
      <c r="K352" s="105"/>
      <c r="L352" s="105"/>
      <c r="M352" s="4">
        <f t="shared" si="350"/>
      </c>
      <c r="N352" s="59"/>
      <c r="O352" s="164"/>
      <c r="P352" s="59">
        <f t="shared" si="368"/>
      </c>
      <c r="Q352" s="165"/>
      <c r="R352" s="59"/>
      <c r="S352" s="164"/>
      <c r="T352" s="5">
        <f t="shared" si="351"/>
      </c>
      <c r="U352" s="4">
        <f t="shared" si="341"/>
      </c>
      <c r="V352" s="4">
        <f t="shared" si="342"/>
      </c>
      <c r="W352" s="4">
        <f t="shared" si="343"/>
      </c>
      <c r="X352" s="4">
        <f t="shared" si="344"/>
      </c>
      <c r="Y352" s="4" cm="1">
        <f t="array" ref="Y352">_xlfn.IFS(H352=1,2,H352=3,1)</f>
      </c>
      <c r="Z352" s="4">
        <f t="shared" si="345"/>
      </c>
      <c r="AA352" s="4">
        <f t="shared" si="352"/>
      </c>
      <c r="AB352" s="4">
        <f t="shared" si="346"/>
      </c>
      <c r="AC352" s="4">
        <f t="shared" si="353"/>
      </c>
      <c r="AD352" s="4">
        <f t="shared" si="347"/>
      </c>
      <c r="AE352" s="4">
        <f t="shared" si="363"/>
      </c>
      <c r="AF352" s="4">
        <f t="shared" si="364"/>
      </c>
      <c r="AG352" s="4">
        <f t="shared" si="365"/>
        <v/>
      </c>
      <c r="AH352" s="4">
        <f t="shared" si="354"/>
      </c>
      <c r="AI352" s="4">
        <f t="shared" si="366"/>
      </c>
      <c r="AJ352" s="4">
        <f t="shared" si="355"/>
      </c>
      <c r="AK352" s="4">
        <f t="shared" si="348"/>
      </c>
      <c r="AL352" s="4">
        <f t="shared" si="356"/>
      </c>
      <c r="AM352" s="4">
        <f t="shared" si="357"/>
      </c>
      <c r="AN352" s="4"/>
      <c r="AO352" s="4">
        <f t="shared" si="361"/>
      </c>
      <c r="AP352" s="4">
        <f t="shared" si="358"/>
      </c>
      <c r="AQ352" s="4">
        <f t="shared" si="362"/>
        <v/>
      </c>
      <c r="AR352" s="4">
        <f t="shared" si="359"/>
      </c>
      <c r="AS352" s="4">
        <f t="shared" si="360"/>
      </c>
      <c r="AT352" s="4">
        <f t="shared" si="367"/>
      </c>
    </row>
    <row r="353" spans="1:46" x14ac:dyDescent="0.3">
      <c r="A353" s="5">
        <f t="shared" si="340"/>
      </c>
      <c r="B353" s="4">
        <f t="shared" si="349"/>
      </c>
      <c r="C353" s="119"/>
      <c r="D353" s="119"/>
      <c r="E353" s="105"/>
      <c r="F353" s="173"/>
      <c r="G353" s="173"/>
      <c r="H353" s="173"/>
      <c r="I353" s="105"/>
      <c r="J353" s="105"/>
      <c r="K353" s="105"/>
      <c r="L353" s="105"/>
      <c r="M353" s="4">
        <f t="shared" si="350"/>
      </c>
      <c r="N353" s="59"/>
      <c r="O353" s="164"/>
      <c r="P353" s="59">
        <f t="shared" si="368"/>
      </c>
      <c r="Q353" s="165"/>
      <c r="R353" s="59"/>
      <c r="S353" s="164"/>
      <c r="T353" s="5">
        <f t="shared" si="351"/>
      </c>
      <c r="U353" s="4">
        <f t="shared" si="341"/>
      </c>
      <c r="V353" s="4">
        <f t="shared" si="342"/>
      </c>
      <c r="W353" s="4">
        <f t="shared" si="343"/>
      </c>
      <c r="X353" s="4">
        <f t="shared" si="344"/>
      </c>
      <c r="Y353" s="4" cm="1">
        <f t="array" ref="Y353">_xlfn.IFS(H353=1,2,H353=3,1)</f>
      </c>
      <c r="Z353" s="4">
        <f t="shared" si="345"/>
      </c>
      <c r="AA353" s="4">
        <f t="shared" si="352"/>
      </c>
      <c r="AB353" s="4">
        <f t="shared" si="346"/>
      </c>
      <c r="AC353" s="4">
        <f t="shared" si="353"/>
      </c>
      <c r="AD353" s="4">
        <f t="shared" si="347"/>
      </c>
      <c r="AE353" s="4">
        <f t="shared" si="363"/>
      </c>
      <c r="AF353" s="4">
        <f t="shared" si="364"/>
      </c>
      <c r="AG353" s="4">
        <f t="shared" si="365"/>
        <v/>
      </c>
      <c r="AH353" s="4">
        <f t="shared" si="354"/>
      </c>
      <c r="AI353" s="4">
        <f t="shared" si="366"/>
      </c>
      <c r="AJ353" s="4">
        <f t="shared" si="355"/>
      </c>
      <c r="AK353" s="4">
        <f t="shared" si="348"/>
      </c>
      <c r="AL353" s="4">
        <f t="shared" si="356"/>
      </c>
      <c r="AM353" s="4">
        <f t="shared" si="357"/>
      </c>
      <c r="AN353" s="4"/>
      <c r="AO353" s="4">
        <f t="shared" si="361"/>
      </c>
      <c r="AP353" s="4">
        <f t="shared" si="358"/>
      </c>
      <c r="AQ353" s="4">
        <f t="shared" si="362"/>
        <v/>
      </c>
      <c r="AR353" s="4">
        <f t="shared" si="359"/>
      </c>
      <c r="AS353" s="4">
        <f t="shared" si="360"/>
      </c>
      <c r="AT353" s="4">
        <f t="shared" si="367"/>
      </c>
    </row>
    <row r="354" spans="1:46" x14ac:dyDescent="0.3">
      <c r="A354" s="5">
        <f t="shared" si="340"/>
      </c>
      <c r="B354" s="4">
        <f t="shared" si="349"/>
      </c>
      <c r="C354" s="119"/>
      <c r="D354" s="119"/>
      <c r="E354" s="105"/>
      <c r="F354" s="173"/>
      <c r="G354" s="173"/>
      <c r="H354" s="173"/>
      <c r="I354" s="105"/>
      <c r="J354" s="105"/>
      <c r="K354" s="105"/>
      <c r="L354" s="105"/>
      <c r="M354" s="4">
        <f t="shared" si="350"/>
      </c>
      <c r="N354" s="59"/>
      <c r="O354" s="164"/>
      <c r="P354" s="59">
        <f t="shared" si="368"/>
      </c>
      <c r="Q354" s="165"/>
      <c r="R354" s="59"/>
      <c r="S354" s="164"/>
      <c r="T354" s="5">
        <f t="shared" si="351"/>
      </c>
      <c r="U354" s="4">
        <f t="shared" si="341"/>
      </c>
      <c r="V354" s="4">
        <f t="shared" si="342"/>
      </c>
      <c r="W354" s="4">
        <f t="shared" si="343"/>
      </c>
      <c r="X354" s="4">
        <f t="shared" si="344"/>
      </c>
      <c r="Y354" s="4" cm="1">
        <f t="array" ref="Y354">_xlfn.IFS(H354=1,2,H354=3,1)</f>
      </c>
      <c r="Z354" s="4">
        <f t="shared" si="345"/>
      </c>
      <c r="AA354" s="4">
        <f t="shared" si="352"/>
      </c>
      <c r="AB354" s="4">
        <f t="shared" si="346"/>
      </c>
      <c r="AC354" s="4">
        <f t="shared" si="353"/>
      </c>
      <c r="AD354" s="4">
        <f t="shared" si="347"/>
      </c>
      <c r="AE354" s="4">
        <f t="shared" si="363"/>
      </c>
      <c r="AF354" s="4">
        <f t="shared" si="364"/>
      </c>
      <c r="AG354" s="4">
        <f t="shared" si="365"/>
        <v/>
      </c>
      <c r="AH354" s="4">
        <f t="shared" si="354"/>
      </c>
      <c r="AI354" s="4">
        <f t="shared" si="366"/>
      </c>
      <c r="AJ354" s="4">
        <f t="shared" si="355"/>
      </c>
      <c r="AK354" s="4">
        <f t="shared" si="348"/>
      </c>
      <c r="AL354" s="4">
        <f t="shared" si="356"/>
      </c>
      <c r="AM354" s="4">
        <f t="shared" si="357"/>
      </c>
      <c r="AN354" s="4"/>
      <c r="AO354" s="4">
        <f t="shared" si="361"/>
      </c>
      <c r="AP354" s="4">
        <f t="shared" si="358"/>
      </c>
      <c r="AQ354" s="4">
        <f t="shared" si="362"/>
        <v/>
      </c>
      <c r="AR354" s="4">
        <f t="shared" si="359"/>
      </c>
      <c r="AS354" s="4">
        <f t="shared" si="360"/>
      </c>
      <c r="AT354" s="4">
        <f t="shared" si="367"/>
      </c>
    </row>
    <row r="355" spans="1:46" x14ac:dyDescent="0.3">
      <c r="A355" s="5">
        <f t="shared" si="340"/>
      </c>
      <c r="B355" s="4">
        <f t="shared" si="349"/>
      </c>
      <c r="C355" s="119"/>
      <c r="D355" s="119"/>
      <c r="E355" s="105"/>
      <c r="F355" s="173"/>
      <c r="G355" s="173"/>
      <c r="H355" s="173"/>
      <c r="I355" s="105"/>
      <c r="J355" s="105"/>
      <c r="K355" s="105"/>
      <c r="L355" s="105"/>
      <c r="M355" s="4">
        <f t="shared" si="350"/>
      </c>
      <c r="N355" s="59"/>
      <c r="O355" s="164"/>
      <c r="P355" s="59">
        <f t="shared" si="368"/>
      </c>
      <c r="Q355" s="165"/>
      <c r="R355" s="59"/>
      <c r="S355" s="164"/>
      <c r="T355" s="5">
        <f t="shared" si="351"/>
      </c>
      <c r="U355" s="4">
        <f t="shared" si="341"/>
      </c>
      <c r="V355" s="4">
        <f t="shared" si="342"/>
      </c>
      <c r="W355" s="4">
        <f t="shared" si="343"/>
      </c>
      <c r="X355" s="4">
        <f t="shared" si="344"/>
      </c>
      <c r="Y355" s="4" cm="1">
        <f t="array" ref="Y355">_xlfn.IFS(H355=1,2,H355=3,1)</f>
      </c>
      <c r="Z355" s="4">
        <f t="shared" si="345"/>
      </c>
      <c r="AA355" s="4">
        <f t="shared" si="352"/>
      </c>
      <c r="AB355" s="4">
        <f t="shared" si="346"/>
      </c>
      <c r="AC355" s="4">
        <f t="shared" si="353"/>
      </c>
      <c r="AD355" s="4">
        <f t="shared" si="347"/>
      </c>
      <c r="AE355" s="4">
        <f t="shared" si="363"/>
      </c>
      <c r="AF355" s="4">
        <f t="shared" si="364"/>
      </c>
      <c r="AG355" s="4">
        <f t="shared" si="365"/>
        <v/>
      </c>
      <c r="AH355" s="4">
        <f t="shared" si="354"/>
      </c>
      <c r="AI355" s="4">
        <f t="shared" si="366"/>
      </c>
      <c r="AJ355" s="4">
        <f t="shared" si="355"/>
      </c>
      <c r="AK355" s="4">
        <f t="shared" si="348"/>
      </c>
      <c r="AL355" s="4">
        <f t="shared" si="356"/>
      </c>
      <c r="AM355" s="4">
        <f t="shared" si="357"/>
      </c>
      <c r="AN355" s="4"/>
      <c r="AO355" s="4">
        <f t="shared" si="361"/>
      </c>
      <c r="AP355" s="4">
        <f t="shared" si="358"/>
      </c>
      <c r="AQ355" s="4">
        <f t="shared" si="362"/>
        <v/>
      </c>
      <c r="AR355" s="4">
        <f t="shared" si="359"/>
      </c>
      <c r="AS355" s="4">
        <f t="shared" si="360"/>
      </c>
      <c r="AT355" s="4">
        <f t="shared" si="367"/>
      </c>
    </row>
    <row r="356" spans="1:46" x14ac:dyDescent="0.3">
      <c r="A356" s="5">
        <f t="shared" si="340"/>
      </c>
      <c r="B356" s="4">
        <f t="shared" si="349"/>
      </c>
      <c r="C356" s="119"/>
      <c r="D356" s="119"/>
      <c r="E356" s="105"/>
      <c r="F356" s="173"/>
      <c r="G356" s="173"/>
      <c r="H356" s="173"/>
      <c r="I356" s="105"/>
      <c r="J356" s="105"/>
      <c r="K356" s="105"/>
      <c r="L356" s="105"/>
      <c r="M356" s="4">
        <f t="shared" si="350"/>
      </c>
      <c r="N356" s="59"/>
      <c r="O356" s="164"/>
      <c r="P356" s="59">
        <f t="shared" si="368"/>
      </c>
      <c r="Q356" s="165"/>
      <c r="R356" s="59"/>
      <c r="S356" s="164"/>
      <c r="T356" s="5">
        <f t="shared" si="351"/>
      </c>
      <c r="U356" s="4">
        <f t="shared" si="341"/>
      </c>
      <c r="V356" s="4">
        <f t="shared" si="342"/>
      </c>
      <c r="W356" s="4">
        <f t="shared" si="343"/>
      </c>
      <c r="X356" s="4">
        <f t="shared" si="344"/>
      </c>
      <c r="Y356" s="4" cm="1">
        <f t="array" ref="Y356">_xlfn.IFS(H356=1,2,H356=3,1)</f>
      </c>
      <c r="Z356" s="4">
        <f t="shared" si="345"/>
      </c>
      <c r="AA356" s="4">
        <f t="shared" si="352"/>
      </c>
      <c r="AB356" s="4">
        <f t="shared" si="346"/>
      </c>
      <c r="AC356" s="4">
        <f t="shared" si="353"/>
      </c>
      <c r="AD356" s="4">
        <f t="shared" si="347"/>
      </c>
      <c r="AE356" s="4">
        <f t="shared" si="363"/>
      </c>
      <c r="AF356" s="4">
        <f t="shared" si="364"/>
      </c>
      <c r="AG356" s="4">
        <f t="shared" si="365"/>
        <v/>
      </c>
      <c r="AH356" s="4">
        <f t="shared" si="354"/>
      </c>
      <c r="AI356" s="4">
        <f t="shared" si="366"/>
      </c>
      <c r="AJ356" s="4">
        <f t="shared" si="355"/>
      </c>
      <c r="AK356" s="4">
        <f t="shared" si="348"/>
      </c>
      <c r="AL356" s="4">
        <f t="shared" si="356"/>
      </c>
      <c r="AM356" s="4">
        <f t="shared" si="357"/>
      </c>
      <c r="AN356" s="4"/>
      <c r="AO356" s="4">
        <f t="shared" si="361"/>
      </c>
      <c r="AP356" s="4">
        <f t="shared" si="358"/>
      </c>
      <c r="AQ356" s="4">
        <f t="shared" si="362"/>
        <v/>
      </c>
      <c r="AR356" s="4">
        <f t="shared" si="359"/>
      </c>
      <c r="AS356" s="4">
        <f t="shared" si="360"/>
      </c>
      <c r="AT356" s="4">
        <f t="shared" si="367"/>
      </c>
    </row>
    <row r="357" spans="1:46" x14ac:dyDescent="0.3">
      <c r="A357" s="5">
        <f t="shared" si="340"/>
      </c>
      <c r="B357" s="4">
        <f t="shared" si="349"/>
      </c>
      <c r="C357" s="119"/>
      <c r="D357" s="119"/>
      <c r="E357" s="105"/>
      <c r="F357" s="173"/>
      <c r="G357" s="173"/>
      <c r="H357" s="173"/>
      <c r="I357" s="105"/>
      <c r="J357" s="105"/>
      <c r="K357" s="105"/>
      <c r="L357" s="105"/>
      <c r="M357" s="4">
        <f t="shared" si="350"/>
      </c>
      <c r="N357" s="59"/>
      <c r="O357" s="164"/>
      <c r="P357" s="59">
        <f t="shared" si="368"/>
      </c>
      <c r="Q357" s="165"/>
      <c r="R357" s="59"/>
      <c r="S357" s="164"/>
      <c r="T357" s="5">
        <f t="shared" si="351"/>
      </c>
      <c r="U357" s="4">
        <f t="shared" si="341"/>
      </c>
      <c r="V357" s="4">
        <f t="shared" si="342"/>
      </c>
      <c r="W357" s="4">
        <f t="shared" si="343"/>
      </c>
      <c r="X357" s="4">
        <f t="shared" si="344"/>
      </c>
      <c r="Y357" s="4" cm="1">
        <f t="array" ref="Y357">_xlfn.IFS(H357=1,2,H357=3,1)</f>
      </c>
      <c r="Z357" s="4">
        <f t="shared" si="345"/>
      </c>
      <c r="AA357" s="4">
        <f t="shared" si="352"/>
      </c>
      <c r="AB357" s="4">
        <f t="shared" si="346"/>
      </c>
      <c r="AC357" s="4">
        <f t="shared" si="353"/>
      </c>
      <c r="AD357" s="4">
        <f t="shared" si="347"/>
      </c>
      <c r="AE357" s="4">
        <f t="shared" si="363"/>
      </c>
      <c r="AF357" s="4">
        <f t="shared" si="364"/>
      </c>
      <c r="AG357" s="4">
        <f t="shared" si="365"/>
        <v/>
      </c>
      <c r="AH357" s="4">
        <f t="shared" si="354"/>
      </c>
      <c r="AI357" s="4">
        <f t="shared" si="366"/>
      </c>
      <c r="AJ357" s="4">
        <f t="shared" si="355"/>
      </c>
      <c r="AK357" s="4">
        <f t="shared" si="348"/>
      </c>
      <c r="AL357" s="4">
        <f t="shared" si="356"/>
      </c>
      <c r="AM357" s="4">
        <f t="shared" si="357"/>
      </c>
      <c r="AN357" s="4"/>
      <c r="AO357" s="4">
        <f t="shared" si="361"/>
      </c>
      <c r="AP357" s="4">
        <f t="shared" si="358"/>
      </c>
      <c r="AQ357" s="4">
        <f t="shared" si="362"/>
        <v/>
      </c>
      <c r="AR357" s="4">
        <f t="shared" si="359"/>
      </c>
      <c r="AS357" s="4">
        <f t="shared" si="360"/>
      </c>
      <c r="AT357" s="4">
        <f t="shared" si="367"/>
      </c>
    </row>
    <row r="358" spans="1:46" x14ac:dyDescent="0.3">
      <c r="A358" s="5">
        <f t="shared" si="340"/>
      </c>
      <c r="B358" s="4">
        <f t="shared" si="349"/>
      </c>
      <c r="C358" s="119"/>
      <c r="D358" s="119"/>
      <c r="E358" s="105"/>
      <c r="F358" s="173"/>
      <c r="G358" s="173"/>
      <c r="H358" s="173"/>
      <c r="I358" s="105"/>
      <c r="J358" s="105"/>
      <c r="K358" s="105"/>
      <c r="L358" s="105"/>
      <c r="M358" s="4">
        <f t="shared" si="350"/>
      </c>
      <c r="N358" s="59"/>
      <c r="O358" s="164"/>
      <c r="P358" s="59">
        <f t="shared" si="368"/>
      </c>
      <c r="Q358" s="165"/>
      <c r="R358" s="59"/>
      <c r="S358" s="164"/>
      <c r="T358" s="5">
        <f t="shared" si="351"/>
      </c>
      <c r="U358" s="4">
        <f t="shared" si="341"/>
      </c>
      <c r="V358" s="4">
        <f t="shared" si="342"/>
      </c>
      <c r="W358" s="4">
        <f t="shared" si="343"/>
      </c>
      <c r="X358" s="4">
        <f t="shared" si="344"/>
      </c>
      <c r="Y358" s="4" cm="1">
        <f t="array" ref="Y358">_xlfn.IFS(H358=1,2,H358=3,1)</f>
      </c>
      <c r="Z358" s="4">
        <f t="shared" si="345"/>
      </c>
      <c r="AA358" s="4">
        <f t="shared" si="352"/>
      </c>
      <c r="AB358" s="4">
        <f t="shared" si="346"/>
      </c>
      <c r="AC358" s="4">
        <f t="shared" si="353"/>
      </c>
      <c r="AD358" s="4">
        <f t="shared" si="347"/>
      </c>
      <c r="AE358" s="4">
        <f t="shared" si="363"/>
      </c>
      <c r="AF358" s="4">
        <f t="shared" si="364"/>
      </c>
      <c r="AG358" s="4">
        <f t="shared" si="365"/>
        <v/>
      </c>
      <c r="AH358" s="4">
        <f t="shared" si="354"/>
      </c>
      <c r="AI358" s="4">
        <f t="shared" si="366"/>
      </c>
      <c r="AJ358" s="4">
        <f t="shared" si="355"/>
      </c>
      <c r="AK358" s="4">
        <f t="shared" si="348"/>
      </c>
      <c r="AL358" s="4">
        <f t="shared" si="356"/>
      </c>
      <c r="AM358" s="4">
        <f t="shared" si="357"/>
      </c>
      <c r="AN358" s="4"/>
      <c r="AO358" s="4">
        <f t="shared" si="361"/>
      </c>
      <c r="AP358" s="4">
        <f t="shared" si="358"/>
      </c>
      <c r="AQ358" s="4">
        <f t="shared" si="362"/>
        <v/>
      </c>
      <c r="AR358" s="4">
        <f t="shared" si="359"/>
      </c>
      <c r="AS358" s="4">
        <f t="shared" si="360"/>
      </c>
      <c r="AT358" s="4">
        <f t="shared" si="367"/>
      </c>
    </row>
    <row r="359" spans="1:46" ht="15" thickBot="1" x14ac:dyDescent="0.35">
      <c r="A359" s="45">
        <f t="shared" si="340"/>
      </c>
      <c r="B359" s="44">
        <f t="shared" si="349"/>
      </c>
      <c r="C359" s="175"/>
      <c r="D359" s="175"/>
      <c r="E359" s="176"/>
      <c r="F359" s="178"/>
      <c r="G359" s="178"/>
      <c r="H359" s="178"/>
      <c r="I359" s="176"/>
      <c r="J359" s="176"/>
      <c r="K359" s="176"/>
      <c r="L359" s="176"/>
      <c r="M359" s="44">
        <f t="shared" si="350"/>
      </c>
      <c r="N359" s="64"/>
      <c r="O359" s="166"/>
      <c r="P359" s="59">
        <f t="shared" si="368"/>
      </c>
      <c r="Q359" s="170"/>
      <c r="R359" s="64"/>
      <c r="S359" s="166"/>
      <c r="T359" s="45">
        <f t="shared" si="351"/>
      </c>
      <c r="U359" s="44">
        <f t="shared" si="341"/>
      </c>
      <c r="V359" s="44">
        <f t="shared" si="342"/>
      </c>
      <c r="W359" s="44">
        <f t="shared" si="343"/>
      </c>
      <c r="X359" s="44">
        <f t="shared" si="344"/>
      </c>
      <c r="Y359" s="44" cm="1">
        <f t="array" ref="Y359">_xlfn.IFS(H359=1,2,H359=3,1)</f>
      </c>
      <c r="Z359" s="44">
        <f t="shared" si="345"/>
      </c>
      <c r="AA359" s="44">
        <f t="shared" si="352"/>
      </c>
      <c r="AB359" s="44">
        <f t="shared" si="346"/>
      </c>
      <c r="AC359" s="44">
        <f t="shared" si="353"/>
      </c>
      <c r="AD359" s="44">
        <f t="shared" si="347"/>
      </c>
      <c r="AE359" s="44">
        <f t="shared" si="363"/>
      </c>
      <c r="AF359" s="44">
        <f t="shared" si="364"/>
      </c>
      <c r="AG359" s="44">
        <f t="shared" si="365"/>
        <v/>
      </c>
      <c r="AH359" s="44">
        <f t="shared" si="354"/>
      </c>
      <c r="AI359" s="44">
        <f t="shared" si="366"/>
      </c>
      <c r="AJ359" s="44">
        <f t="shared" si="355"/>
      </c>
      <c r="AK359" s="44">
        <f t="shared" si="348"/>
      </c>
      <c r="AL359" s="44">
        <f t="shared" si="356"/>
      </c>
      <c r="AM359" s="44">
        <f t="shared" si="357"/>
      </c>
      <c r="AN359" s="44"/>
      <c r="AO359" s="44">
        <f t="shared" si="361"/>
      </c>
      <c r="AP359" s="44">
        <f t="shared" si="358"/>
      </c>
      <c r="AQ359" s="44">
        <f t="shared" si="362"/>
        <v/>
      </c>
      <c r="AR359" s="44">
        <f t="shared" si="359"/>
      </c>
      <c r="AS359" s="44">
        <f t="shared" si="360"/>
      </c>
      <c r="AT359" s="44">
        <f t="shared" si="367"/>
      </c>
    </row>
    <row r="360" spans="1:46" x14ac:dyDescent="0.3">
      <c r="A360" s="19">
        <f t="shared" si="340"/>
      </c>
      <c r="B360" s="7">
        <f t="shared" si="349"/>
      </c>
      <c r="C360" s="177"/>
      <c r="D360" s="177"/>
      <c r="E360" s="179"/>
      <c r="F360" s="182"/>
      <c r="G360" s="182"/>
      <c r="H360" s="182"/>
      <c r="I360" s="179"/>
      <c r="J360" s="179"/>
      <c r="K360" s="179"/>
      <c r="L360" s="179"/>
      <c r="M360" s="7">
        <f t="shared" si="350"/>
      </c>
      <c r="N360" s="65"/>
      <c r="O360" s="168"/>
      <c r="P360" s="59">
        <f t="shared" si="368"/>
      </c>
      <c r="Q360" s="118"/>
      <c r="R360" s="65"/>
      <c r="S360" s="168"/>
      <c r="T360" s="19">
        <f t="shared" si="351"/>
      </c>
      <c r="U360" s="7">
        <f t="shared" si="341"/>
      </c>
      <c r="V360" s="7">
        <f t="shared" si="342"/>
      </c>
      <c r="W360" s="7">
        <f t="shared" si="343"/>
      </c>
      <c r="X360" s="7">
        <f t="shared" si="344"/>
      </c>
      <c r="Y360" s="7" cm="1">
        <f t="array" ref="Y360">_xlfn.IFS(H360=1,2,H360=3,1)</f>
      </c>
      <c r="Z360" s="7">
        <f t="shared" si="345"/>
      </c>
      <c r="AA360" s="7">
        <f t="shared" si="352"/>
      </c>
      <c r="AB360" s="7">
        <f t="shared" si="346"/>
      </c>
      <c r="AC360" s="7">
        <f t="shared" si="353"/>
      </c>
      <c r="AD360" s="7">
        <f t="shared" si="347"/>
      </c>
      <c r="AE360" s="7">
        <f t="shared" si="363"/>
      </c>
      <c r="AF360" s="7">
        <f t="shared" si="364"/>
      </c>
      <c r="AG360" s="7">
        <f t="shared" si="365"/>
        <v/>
      </c>
      <c r="AH360" s="7">
        <f t="shared" si="354"/>
      </c>
      <c r="AI360" s="7">
        <f t="shared" si="366"/>
      </c>
      <c r="AJ360" s="7">
        <f t="shared" si="355"/>
      </c>
      <c r="AK360" s="7">
        <f t="shared" si="348"/>
      </c>
      <c r="AL360" s="7">
        <f t="shared" si="356"/>
      </c>
      <c r="AM360" s="7">
        <f t="shared" si="357"/>
      </c>
      <c r="AN360" s="7"/>
      <c r="AO360" s="7">
        <f t="shared" si="361"/>
      </c>
      <c r="AP360" s="7">
        <f t="shared" si="358"/>
      </c>
      <c r="AQ360" s="7">
        <f t="shared" si="362"/>
        <v/>
      </c>
      <c r="AR360" s="7">
        <f t="shared" si="359"/>
      </c>
      <c r="AS360" s="7">
        <f t="shared" si="360"/>
      </c>
      <c r="AT360" s="7">
        <f t="shared" si="367"/>
      </c>
    </row>
    <row r="361" spans="1:46" x14ac:dyDescent="0.3">
      <c r="A361" s="5">
        <f t="shared" si="340"/>
      </c>
      <c r="B361" s="4">
        <f t="shared" si="349"/>
      </c>
      <c r="C361" s="119"/>
      <c r="D361" s="119"/>
      <c r="E361" s="105"/>
      <c r="F361" s="173"/>
      <c r="G361" s="173"/>
      <c r="H361" s="173"/>
      <c r="I361" s="105"/>
      <c r="J361" s="105"/>
      <c r="K361" s="105"/>
      <c r="L361" s="105"/>
      <c r="M361" s="4">
        <f t="shared" si="350"/>
      </c>
      <c r="N361" s="59"/>
      <c r="O361" s="164"/>
      <c r="P361" s="59">
        <f t="shared" si="368"/>
      </c>
      <c r="Q361" s="165"/>
      <c r="R361" s="59"/>
      <c r="S361" s="164"/>
      <c r="T361" s="5">
        <f t="shared" si="351"/>
      </c>
      <c r="U361" s="4">
        <f t="shared" si="341"/>
      </c>
      <c r="V361" s="4">
        <f t="shared" si="342"/>
      </c>
      <c r="W361" s="4">
        <f t="shared" si="343"/>
      </c>
      <c r="X361" s="4">
        <f t="shared" si="344"/>
      </c>
      <c r="Y361" s="4" cm="1">
        <f t="array" ref="Y361">_xlfn.IFS(H361=1,2,H361=3,1)</f>
      </c>
      <c r="Z361" s="4">
        <f t="shared" si="345"/>
      </c>
      <c r="AA361" s="4">
        <f t="shared" si="352"/>
      </c>
      <c r="AB361" s="4">
        <f t="shared" si="346"/>
      </c>
      <c r="AC361" s="4">
        <f t="shared" si="353"/>
      </c>
      <c r="AD361" s="4">
        <f t="shared" si="347"/>
      </c>
      <c r="AE361" s="4">
        <f t="shared" si="363"/>
      </c>
      <c r="AF361" s="4">
        <f t="shared" si="364"/>
      </c>
      <c r="AG361" s="4">
        <f t="shared" si="365"/>
        <v/>
      </c>
      <c r="AH361" s="4">
        <f t="shared" si="354"/>
      </c>
      <c r="AI361" s="4">
        <f t="shared" si="366"/>
      </c>
      <c r="AJ361" s="4">
        <f t="shared" si="355"/>
      </c>
      <c r="AK361" s="4">
        <f t="shared" si="348"/>
      </c>
      <c r="AL361" s="4">
        <f t="shared" si="356"/>
      </c>
      <c r="AM361" s="4">
        <f t="shared" si="357"/>
      </c>
      <c r="AN361" s="4"/>
      <c r="AO361" s="4">
        <f t="shared" si="361"/>
      </c>
      <c r="AP361" s="4">
        <f t="shared" si="358"/>
      </c>
      <c r="AQ361" s="4">
        <f t="shared" si="362"/>
        <v/>
      </c>
      <c r="AR361" s="4">
        <f t="shared" si="359"/>
      </c>
      <c r="AS361" s="4">
        <f t="shared" si="360"/>
      </c>
      <c r="AT361" s="4">
        <f t="shared" si="367"/>
      </c>
    </row>
    <row r="362" spans="1:46" x14ac:dyDescent="0.3">
      <c r="A362" s="5">
        <f t="shared" si="340"/>
      </c>
      <c r="B362" s="4">
        <f t="shared" si="349"/>
      </c>
      <c r="C362" s="119"/>
      <c r="D362" s="119"/>
      <c r="E362" s="105"/>
      <c r="F362" s="173"/>
      <c r="G362" s="173"/>
      <c r="H362" s="173"/>
      <c r="I362" s="105"/>
      <c r="J362" s="105"/>
      <c r="K362" s="105"/>
      <c r="L362" s="105"/>
      <c r="M362" s="4">
        <f t="shared" si="350"/>
      </c>
      <c r="N362" s="59"/>
      <c r="O362" s="164"/>
      <c r="P362" s="59">
        <f t="shared" si="368"/>
      </c>
      <c r="Q362" s="165"/>
      <c r="R362" s="59"/>
      <c r="S362" s="164"/>
      <c r="T362" s="5">
        <f t="shared" si="351"/>
      </c>
      <c r="U362" s="4">
        <f t="shared" si="341"/>
      </c>
      <c r="V362" s="4">
        <f t="shared" si="342"/>
      </c>
      <c r="W362" s="4">
        <f t="shared" si="343"/>
      </c>
      <c r="X362" s="4">
        <f t="shared" si="344"/>
      </c>
      <c r="Y362" s="4" cm="1">
        <f t="array" ref="Y362">_xlfn.IFS(H362=1,2,H362=3,1)</f>
      </c>
      <c r="Z362" s="4">
        <f t="shared" si="345"/>
      </c>
      <c r="AA362" s="4">
        <f t="shared" si="352"/>
      </c>
      <c r="AB362" s="4">
        <f t="shared" si="346"/>
      </c>
      <c r="AC362" s="4">
        <f t="shared" si="353"/>
      </c>
      <c r="AD362" s="4">
        <f t="shared" si="347"/>
      </c>
      <c r="AE362" s="4">
        <f t="shared" si="363"/>
      </c>
      <c r="AF362" s="4">
        <f t="shared" si="364"/>
      </c>
      <c r="AG362" s="4">
        <f t="shared" si="365"/>
        <v/>
      </c>
      <c r="AH362" s="4">
        <f t="shared" si="354"/>
      </c>
      <c r="AI362" s="4">
        <f t="shared" si="366"/>
      </c>
      <c r="AJ362" s="4">
        <f t="shared" si="355"/>
      </c>
      <c r="AK362" s="4">
        <f t="shared" si="348"/>
      </c>
      <c r="AL362" s="4">
        <f t="shared" si="356"/>
      </c>
      <c r="AM362" s="4">
        <f t="shared" si="357"/>
      </c>
      <c r="AN362" s="4"/>
      <c r="AO362" s="4">
        <f t="shared" si="361"/>
      </c>
      <c r="AP362" s="4">
        <f t="shared" si="358"/>
      </c>
      <c r="AQ362" s="4">
        <f t="shared" si="362"/>
        <v/>
      </c>
      <c r="AR362" s="4">
        <f t="shared" si="359"/>
      </c>
      <c r="AS362" s="4">
        <f t="shared" si="360"/>
      </c>
      <c r="AT362" s="4">
        <f t="shared" si="367"/>
      </c>
    </row>
    <row r="363" spans="1:46" x14ac:dyDescent="0.3">
      <c r="A363" s="5">
        <f t="shared" si="340"/>
      </c>
      <c r="B363" s="4">
        <f t="shared" si="349"/>
      </c>
      <c r="C363" s="119"/>
      <c r="D363" s="119"/>
      <c r="E363" s="105"/>
      <c r="F363" s="173"/>
      <c r="G363" s="173"/>
      <c r="H363" s="173"/>
      <c r="I363" s="105"/>
      <c r="J363" s="105"/>
      <c r="K363" s="105"/>
      <c r="L363" s="105"/>
      <c r="M363" s="4">
        <f t="shared" si="350"/>
      </c>
      <c r="N363" s="59"/>
      <c r="O363" s="164"/>
      <c r="P363" s="59">
        <f t="shared" si="368"/>
      </c>
      <c r="Q363" s="165"/>
      <c r="R363" s="59"/>
      <c r="S363" s="164"/>
      <c r="T363" s="5">
        <f t="shared" si="351"/>
      </c>
      <c r="U363" s="4">
        <f t="shared" si="341"/>
      </c>
      <c r="V363" s="4">
        <f t="shared" si="342"/>
      </c>
      <c r="W363" s="4">
        <f t="shared" si="343"/>
      </c>
      <c r="X363" s="4">
        <f t="shared" si="344"/>
      </c>
      <c r="Y363" s="4" cm="1">
        <f t="array" ref="Y363">_xlfn.IFS(H363=1,2,H363=3,1)</f>
      </c>
      <c r="Z363" s="4">
        <f t="shared" si="345"/>
      </c>
      <c r="AA363" s="4">
        <f t="shared" si="352"/>
      </c>
      <c r="AB363" s="4">
        <f t="shared" si="346"/>
      </c>
      <c r="AC363" s="4">
        <f t="shared" si="353"/>
      </c>
      <c r="AD363" s="4">
        <f t="shared" si="347"/>
      </c>
      <c r="AE363" s="4">
        <f t="shared" si="363"/>
      </c>
      <c r="AF363" s="4">
        <f t="shared" si="364"/>
      </c>
      <c r="AG363" s="4">
        <f t="shared" si="365"/>
        <v/>
      </c>
      <c r="AH363" s="4">
        <f t="shared" si="354"/>
      </c>
      <c r="AI363" s="4">
        <f t="shared" si="366"/>
      </c>
      <c r="AJ363" s="4">
        <f t="shared" si="355"/>
      </c>
      <c r="AK363" s="4">
        <f t="shared" si="348"/>
      </c>
      <c r="AL363" s="4">
        <f t="shared" si="356"/>
      </c>
      <c r="AM363" s="4">
        <f t="shared" si="357"/>
      </c>
      <c r="AN363" s="4"/>
      <c r="AO363" s="4">
        <f t="shared" si="361"/>
      </c>
      <c r="AP363" s="4">
        <f t="shared" si="358"/>
      </c>
      <c r="AQ363" s="4">
        <f t="shared" si="362"/>
        <v/>
      </c>
      <c r="AR363" s="4">
        <f t="shared" si="359"/>
      </c>
      <c r="AS363" s="4">
        <f t="shared" si="360"/>
      </c>
      <c r="AT363" s="4">
        <f t="shared" si="367"/>
      </c>
    </row>
    <row r="364" spans="1:46" x14ac:dyDescent="0.3">
      <c r="A364" s="5">
        <f t="shared" si="340"/>
      </c>
      <c r="B364" s="4">
        <f t="shared" si="349"/>
      </c>
      <c r="C364" s="119"/>
      <c r="D364" s="119"/>
      <c r="E364" s="105"/>
      <c r="F364" s="173"/>
      <c r="G364" s="173"/>
      <c r="H364" s="173"/>
      <c r="I364" s="105"/>
      <c r="J364" s="105"/>
      <c r="K364" s="105"/>
      <c r="L364" s="105"/>
      <c r="M364" s="4">
        <f t="shared" si="350"/>
      </c>
      <c r="N364" s="59"/>
      <c r="O364" s="164"/>
      <c r="P364" s="59">
        <f t="shared" si="368"/>
      </c>
      <c r="Q364" s="165"/>
      <c r="R364" s="59"/>
      <c r="S364" s="164"/>
      <c r="T364" s="5">
        <f t="shared" si="351"/>
      </c>
      <c r="U364" s="4">
        <f t="shared" si="341"/>
      </c>
      <c r="V364" s="4">
        <f t="shared" si="342"/>
      </c>
      <c r="W364" s="4">
        <f t="shared" si="343"/>
      </c>
      <c r="X364" s="4">
        <f t="shared" si="344"/>
      </c>
      <c r="Y364" s="4" cm="1">
        <f t="array" ref="Y364">_xlfn.IFS(H364=1,2,H364=3,1)</f>
      </c>
      <c r="Z364" s="4">
        <f t="shared" si="345"/>
      </c>
      <c r="AA364" s="4">
        <f t="shared" si="352"/>
      </c>
      <c r="AB364" s="4">
        <f t="shared" si="346"/>
      </c>
      <c r="AC364" s="4">
        <f t="shared" si="353"/>
      </c>
      <c r="AD364" s="4">
        <f t="shared" si="347"/>
      </c>
      <c r="AE364" s="4">
        <f t="shared" si="363"/>
      </c>
      <c r="AF364" s="4">
        <f t="shared" si="364"/>
      </c>
      <c r="AG364" s="4">
        <f t="shared" si="365"/>
        <v/>
      </c>
      <c r="AH364" s="4">
        <f t="shared" si="354"/>
      </c>
      <c r="AI364" s="4">
        <f t="shared" si="366"/>
      </c>
      <c r="AJ364" s="4">
        <f t="shared" si="355"/>
      </c>
      <c r="AK364" s="4">
        <f t="shared" si="348"/>
      </c>
      <c r="AL364" s="4">
        <f t="shared" si="356"/>
      </c>
      <c r="AM364" s="4">
        <f t="shared" si="357"/>
      </c>
      <c r="AN364" s="4"/>
      <c r="AO364" s="4">
        <f t="shared" si="361"/>
      </c>
      <c r="AP364" s="4">
        <f t="shared" si="358"/>
      </c>
      <c r="AQ364" s="4">
        <f t="shared" si="362"/>
        <v/>
      </c>
      <c r="AR364" s="4">
        <f t="shared" si="359"/>
      </c>
      <c r="AS364" s="4">
        <f t="shared" si="360"/>
      </c>
      <c r="AT364" s="4">
        <f t="shared" si="367"/>
      </c>
    </row>
    <row r="365" spans="1:46" x14ac:dyDescent="0.3">
      <c r="A365" s="5">
        <f t="shared" si="340"/>
      </c>
      <c r="B365" s="4">
        <f t="shared" si="349"/>
      </c>
      <c r="C365" s="119"/>
      <c r="D365" s="119"/>
      <c r="E365" s="105"/>
      <c r="F365" s="173"/>
      <c r="G365" s="173"/>
      <c r="H365" s="173"/>
      <c r="I365" s="105"/>
      <c r="J365" s="105"/>
      <c r="K365" s="105"/>
      <c r="L365" s="105"/>
      <c r="M365" s="4">
        <f t="shared" si="350"/>
      </c>
      <c r="N365" s="59"/>
      <c r="O365" s="164"/>
      <c r="P365" s="59">
        <f t="shared" si="368"/>
      </c>
      <c r="Q365" s="165"/>
      <c r="R365" s="59"/>
      <c r="S365" s="164"/>
      <c r="T365" s="5">
        <f t="shared" si="351"/>
      </c>
      <c r="U365" s="4">
        <f t="shared" si="341"/>
      </c>
      <c r="V365" s="4">
        <f t="shared" si="342"/>
      </c>
      <c r="W365" s="4">
        <f t="shared" si="343"/>
      </c>
      <c r="X365" s="4">
        <f t="shared" si="344"/>
      </c>
      <c r="Y365" s="4" cm="1">
        <f t="array" ref="Y365">_xlfn.IFS(H365=1,2,H365=3,1)</f>
      </c>
      <c r="Z365" s="4">
        <f t="shared" si="345"/>
      </c>
      <c r="AA365" s="4">
        <f t="shared" si="352"/>
      </c>
      <c r="AB365" s="4">
        <f t="shared" si="346"/>
      </c>
      <c r="AC365" s="4">
        <f t="shared" si="353"/>
      </c>
      <c r="AD365" s="4">
        <f t="shared" si="347"/>
      </c>
      <c r="AE365" s="4">
        <f t="shared" si="363"/>
      </c>
      <c r="AF365" s="4">
        <f t="shared" si="364"/>
      </c>
      <c r="AG365" s="4">
        <f t="shared" si="365"/>
        <v/>
      </c>
      <c r="AH365" s="4">
        <f t="shared" si="354"/>
      </c>
      <c r="AI365" s="4">
        <f t="shared" si="366"/>
      </c>
      <c r="AJ365" s="4">
        <f t="shared" si="355"/>
      </c>
      <c r="AK365" s="4">
        <f t="shared" si="348"/>
      </c>
      <c r="AL365" s="4">
        <f t="shared" si="356"/>
      </c>
      <c r="AM365" s="4">
        <f t="shared" si="357"/>
      </c>
      <c r="AN365" s="4"/>
      <c r="AO365" s="4">
        <f t="shared" si="361"/>
      </c>
      <c r="AP365" s="4">
        <f t="shared" si="358"/>
      </c>
      <c r="AQ365" s="4">
        <f t="shared" si="362"/>
        <v/>
      </c>
      <c r="AR365" s="4">
        <f t="shared" si="359"/>
      </c>
      <c r="AS365" s="4">
        <f t="shared" si="360"/>
      </c>
      <c r="AT365" s="4">
        <f t="shared" si="367"/>
      </c>
    </row>
    <row r="366" spans="1:46" x14ac:dyDescent="0.3">
      <c r="A366" s="5">
        <f t="shared" si="340"/>
      </c>
      <c r="B366" s="4">
        <f t="shared" si="349"/>
      </c>
      <c r="C366" s="119"/>
      <c r="D366" s="119"/>
      <c r="E366" s="105"/>
      <c r="F366" s="173"/>
      <c r="G366" s="173"/>
      <c r="H366" s="173"/>
      <c r="I366" s="105"/>
      <c r="J366" s="105"/>
      <c r="K366" s="105"/>
      <c r="L366" s="105"/>
      <c r="M366" s="4">
        <f t="shared" si="350"/>
      </c>
      <c r="N366" s="59"/>
      <c r="O366" s="164"/>
      <c r="P366" s="59">
        <f t="shared" si="368"/>
      </c>
      <c r="Q366" s="165"/>
      <c r="R366" s="59"/>
      <c r="S366" s="164"/>
      <c r="T366" s="5">
        <f t="shared" si="351"/>
      </c>
      <c r="U366" s="4">
        <f t="shared" si="341"/>
      </c>
      <c r="V366" s="4">
        <f t="shared" si="342"/>
      </c>
      <c r="W366" s="4">
        <f t="shared" si="343"/>
      </c>
      <c r="X366" s="4">
        <f t="shared" si="344"/>
      </c>
      <c r="Y366" s="4" cm="1">
        <f t="array" ref="Y366">_xlfn.IFS(H366=1,2,H366=3,1)</f>
      </c>
      <c r="Z366" s="4">
        <f t="shared" si="345"/>
      </c>
      <c r="AA366" s="4">
        <f t="shared" si="352"/>
      </c>
      <c r="AB366" s="4">
        <f t="shared" si="346"/>
      </c>
      <c r="AC366" s="4">
        <f t="shared" si="353"/>
      </c>
      <c r="AD366" s="4">
        <f t="shared" si="347"/>
      </c>
      <c r="AE366" s="4">
        <f t="shared" si="363"/>
      </c>
      <c r="AF366" s="4">
        <f t="shared" si="364"/>
      </c>
      <c r="AG366" s="4">
        <f t="shared" si="365"/>
        <v/>
      </c>
      <c r="AH366" s="4">
        <f t="shared" si="354"/>
      </c>
      <c r="AI366" s="4">
        <f t="shared" si="366"/>
      </c>
      <c r="AJ366" s="4">
        <f t="shared" si="355"/>
      </c>
      <c r="AK366" s="4">
        <f t="shared" si="348"/>
      </c>
      <c r="AL366" s="4">
        <f t="shared" si="356"/>
      </c>
      <c r="AM366" s="4">
        <f t="shared" si="357"/>
      </c>
      <c r="AN366" s="4"/>
      <c r="AO366" s="4">
        <f t="shared" si="361"/>
      </c>
      <c r="AP366" s="4">
        <f t="shared" si="358"/>
      </c>
      <c r="AQ366" s="4">
        <f t="shared" si="362"/>
        <v/>
      </c>
      <c r="AR366" s="4">
        <f t="shared" si="359"/>
      </c>
      <c r="AS366" s="4">
        <f t="shared" si="360"/>
      </c>
      <c r="AT366" s="4">
        <f t="shared" si="367"/>
      </c>
    </row>
    <row r="367" spans="1:46" x14ac:dyDescent="0.3">
      <c r="A367" s="5">
        <f t="shared" si="340"/>
      </c>
      <c r="B367" s="4">
        <f t="shared" si="349"/>
      </c>
      <c r="C367" s="119"/>
      <c r="D367" s="119"/>
      <c r="E367" s="105"/>
      <c r="F367" s="173"/>
      <c r="G367" s="173"/>
      <c r="H367" s="173"/>
      <c r="I367" s="105"/>
      <c r="J367" s="105"/>
      <c r="K367" s="105"/>
      <c r="L367" s="105"/>
      <c r="M367" s="4">
        <f t="shared" si="350"/>
      </c>
      <c r="N367" s="59"/>
      <c r="O367" s="164"/>
      <c r="P367" s="59">
        <f t="shared" si="368"/>
      </c>
      <c r="Q367" s="165"/>
      <c r="R367" s="59"/>
      <c r="S367" s="164"/>
      <c r="T367" s="5">
        <f t="shared" si="351"/>
      </c>
      <c r="U367" s="4">
        <f t="shared" si="341"/>
      </c>
      <c r="V367" s="4">
        <f t="shared" si="342"/>
      </c>
      <c r="W367" s="4">
        <f t="shared" si="343"/>
      </c>
      <c r="X367" s="4">
        <f t="shared" si="344"/>
      </c>
      <c r="Y367" s="4" cm="1">
        <f t="array" ref="Y367">_xlfn.IFS(H367=1,2,H367=3,1)</f>
      </c>
      <c r="Z367" s="4">
        <f t="shared" si="345"/>
      </c>
      <c r="AA367" s="4">
        <f t="shared" si="352"/>
      </c>
      <c r="AB367" s="4">
        <f t="shared" si="346"/>
      </c>
      <c r="AC367" s="4">
        <f t="shared" si="353"/>
      </c>
      <c r="AD367" s="4">
        <f t="shared" si="347"/>
      </c>
      <c r="AE367" s="4">
        <f t="shared" si="363"/>
      </c>
      <c r="AF367" s="4">
        <f t="shared" si="364"/>
      </c>
      <c r="AG367" s="4">
        <f t="shared" si="365"/>
        <v/>
      </c>
      <c r="AH367" s="4">
        <f t="shared" si="354"/>
      </c>
      <c r="AI367" s="4">
        <f t="shared" si="366"/>
      </c>
      <c r="AJ367" s="4">
        <f t="shared" si="355"/>
      </c>
      <c r="AK367" s="4">
        <f t="shared" si="348"/>
      </c>
      <c r="AL367" s="4">
        <f t="shared" si="356"/>
      </c>
      <c r="AM367" s="4">
        <f t="shared" si="357"/>
      </c>
      <c r="AN367" s="4"/>
      <c r="AO367" s="4">
        <f t="shared" si="361"/>
      </c>
      <c r="AP367" s="4">
        <f t="shared" si="358"/>
      </c>
      <c r="AQ367" s="4">
        <f t="shared" si="362"/>
        <v/>
      </c>
      <c r="AR367" s="4">
        <f t="shared" si="359"/>
      </c>
      <c r="AS367" s="4">
        <f t="shared" si="360"/>
      </c>
      <c r="AT367" s="4">
        <f t="shared" si="367"/>
      </c>
    </row>
    <row r="368" spans="1:46" x14ac:dyDescent="0.3">
      <c r="A368" s="5">
        <f t="shared" si="340"/>
      </c>
      <c r="B368" s="4">
        <f t="shared" si="349"/>
      </c>
      <c r="C368" s="119"/>
      <c r="D368" s="119"/>
      <c r="E368" s="105"/>
      <c r="F368" s="173"/>
      <c r="G368" s="173"/>
      <c r="H368" s="173"/>
      <c r="I368" s="105"/>
      <c r="J368" s="105"/>
      <c r="K368" s="105"/>
      <c r="L368" s="105"/>
      <c r="M368" s="4">
        <f t="shared" si="350"/>
      </c>
      <c r="N368" s="59"/>
      <c r="O368" s="164"/>
      <c r="P368" s="59">
        <f t="shared" si="368"/>
      </c>
      <c r="Q368" s="165"/>
      <c r="R368" s="59"/>
      <c r="S368" s="164"/>
      <c r="T368" s="5">
        <f t="shared" si="351"/>
      </c>
      <c r="U368" s="4">
        <f t="shared" si="341"/>
      </c>
      <c r="V368" s="4">
        <f t="shared" si="342"/>
      </c>
      <c r="W368" s="4">
        <f t="shared" si="343"/>
      </c>
      <c r="X368" s="4">
        <f t="shared" si="344"/>
      </c>
      <c r="Y368" s="4" cm="1">
        <f t="array" ref="Y368">_xlfn.IFS(H368=1,2,H368=3,1)</f>
      </c>
      <c r="Z368" s="4">
        <f t="shared" si="345"/>
      </c>
      <c r="AA368" s="4">
        <f t="shared" si="352"/>
      </c>
      <c r="AB368" s="4">
        <f t="shared" si="346"/>
      </c>
      <c r="AC368" s="4">
        <f t="shared" si="353"/>
      </c>
      <c r="AD368" s="4">
        <f t="shared" si="347"/>
      </c>
      <c r="AE368" s="4">
        <f t="shared" si="363"/>
      </c>
      <c r="AF368" s="4">
        <f t="shared" si="364"/>
      </c>
      <c r="AG368" s="4">
        <f t="shared" si="365"/>
        <v/>
      </c>
      <c r="AH368" s="4">
        <f t="shared" si="354"/>
      </c>
      <c r="AI368" s="4">
        <f t="shared" si="366"/>
      </c>
      <c r="AJ368" s="4">
        <f t="shared" si="355"/>
      </c>
      <c r="AK368" s="4">
        <f t="shared" si="348"/>
      </c>
      <c r="AL368" s="4">
        <f t="shared" si="356"/>
      </c>
      <c r="AM368" s="4">
        <f t="shared" si="357"/>
      </c>
      <c r="AN368" s="4"/>
      <c r="AO368" s="4">
        <f t="shared" si="361"/>
      </c>
      <c r="AP368" s="4">
        <f t="shared" si="358"/>
      </c>
      <c r="AQ368" s="4">
        <f t="shared" si="362"/>
        <v/>
      </c>
      <c r="AR368" s="4">
        <f t="shared" si="359"/>
      </c>
      <c r="AS368" s="4">
        <f t="shared" si="360"/>
      </c>
      <c r="AT368" s="4">
        <f t="shared" si="367"/>
      </c>
    </row>
    <row r="369" spans="1:46" x14ac:dyDescent="0.3">
      <c r="A369" s="5">
        <f t="shared" si="340"/>
      </c>
      <c r="B369" s="4">
        <f t="shared" si="349"/>
      </c>
      <c r="C369" s="119"/>
      <c r="D369" s="119"/>
      <c r="E369" s="105"/>
      <c r="F369" s="173"/>
      <c r="G369" s="173"/>
      <c r="H369" s="173"/>
      <c r="I369" s="105"/>
      <c r="J369" s="105"/>
      <c r="K369" s="105"/>
      <c r="L369" s="105"/>
      <c r="M369" s="4">
        <f t="shared" si="350"/>
      </c>
      <c r="N369" s="59"/>
      <c r="O369" s="164"/>
      <c r="P369" s="59">
        <f t="shared" si="368"/>
      </c>
      <c r="Q369" s="165"/>
      <c r="R369" s="59"/>
      <c r="S369" s="164"/>
      <c r="T369" s="5">
        <f t="shared" si="351"/>
      </c>
      <c r="U369" s="4">
        <f t="shared" si="341"/>
      </c>
      <c r="V369" s="4">
        <f t="shared" si="342"/>
      </c>
      <c r="W369" s="4">
        <f t="shared" si="343"/>
      </c>
      <c r="X369" s="4">
        <f t="shared" si="344"/>
      </c>
      <c r="Y369" s="4" cm="1">
        <f t="array" ref="Y369">_xlfn.IFS(H369=1,2,H369=3,1)</f>
      </c>
      <c r="Z369" s="4">
        <f t="shared" si="345"/>
      </c>
      <c r="AA369" s="4">
        <f t="shared" si="352"/>
      </c>
      <c r="AB369" s="4">
        <f t="shared" si="346"/>
      </c>
      <c r="AC369" s="4">
        <f t="shared" si="353"/>
      </c>
      <c r="AD369" s="4">
        <f t="shared" si="347"/>
      </c>
      <c r="AE369" s="4">
        <f t="shared" si="363"/>
      </c>
      <c r="AF369" s="4">
        <f t="shared" si="364"/>
      </c>
      <c r="AG369" s="4">
        <f t="shared" si="365"/>
        <v/>
      </c>
      <c r="AH369" s="4">
        <f t="shared" si="354"/>
      </c>
      <c r="AI369" s="4">
        <f t="shared" si="366"/>
      </c>
      <c r="AJ369" s="4">
        <f t="shared" si="355"/>
      </c>
      <c r="AK369" s="4">
        <f t="shared" si="348"/>
      </c>
      <c r="AL369" s="4">
        <f t="shared" si="356"/>
      </c>
      <c r="AM369" s="4">
        <f t="shared" si="357"/>
      </c>
      <c r="AN369" s="4"/>
      <c r="AO369" s="4">
        <f t="shared" si="361"/>
      </c>
      <c r="AP369" s="4">
        <f t="shared" si="358"/>
      </c>
      <c r="AQ369" s="4">
        <f t="shared" si="362"/>
        <v/>
      </c>
      <c r="AR369" s="4">
        <f t="shared" si="359"/>
      </c>
      <c r="AS369" s="4">
        <f t="shared" si="360"/>
      </c>
      <c r="AT369" s="4">
        <f t="shared" si="367"/>
      </c>
    </row>
    <row r="370" spans="1:46" x14ac:dyDescent="0.3">
      <c r="A370" s="5">
        <f t="shared" si="340"/>
      </c>
      <c r="B370" s="4">
        <f t="shared" si="349"/>
      </c>
      <c r="C370" s="119"/>
      <c r="D370" s="119"/>
      <c r="E370" s="105"/>
      <c r="F370" s="173"/>
      <c r="G370" s="173"/>
      <c r="H370" s="173"/>
      <c r="I370" s="105"/>
      <c r="J370" s="105"/>
      <c r="K370" s="105"/>
      <c r="L370" s="105"/>
      <c r="M370" s="4">
        <f t="shared" si="350"/>
      </c>
      <c r="N370" s="59"/>
      <c r="O370" s="164"/>
      <c r="P370" s="59">
        <f t="shared" si="368"/>
      </c>
      <c r="Q370" s="165"/>
      <c r="R370" s="59"/>
      <c r="S370" s="164"/>
      <c r="T370" s="5">
        <f t="shared" si="351"/>
      </c>
      <c r="U370" s="4">
        <f t="shared" si="341"/>
      </c>
      <c r="V370" s="4">
        <f t="shared" si="342"/>
      </c>
      <c r="W370" s="4">
        <f t="shared" si="343"/>
      </c>
      <c r="X370" s="4">
        <f t="shared" si="344"/>
      </c>
      <c r="Y370" s="4" cm="1">
        <f t="array" ref="Y370">_xlfn.IFS(H370=1,2,H370=3,1)</f>
      </c>
      <c r="Z370" s="4">
        <f t="shared" si="345"/>
      </c>
      <c r="AA370" s="4">
        <f t="shared" si="352"/>
      </c>
      <c r="AB370" s="4">
        <f t="shared" si="346"/>
      </c>
      <c r="AC370" s="4">
        <f t="shared" si="353"/>
      </c>
      <c r="AD370" s="4">
        <f t="shared" si="347"/>
      </c>
      <c r="AE370" s="4">
        <f t="shared" si="363"/>
      </c>
      <c r="AF370" s="4">
        <f t="shared" si="364"/>
      </c>
      <c r="AG370" s="4">
        <f t="shared" si="365"/>
        <v/>
      </c>
      <c r="AH370" s="4">
        <f t="shared" si="354"/>
      </c>
      <c r="AI370" s="4">
        <f t="shared" si="366"/>
      </c>
      <c r="AJ370" s="4">
        <f t="shared" si="355"/>
      </c>
      <c r="AK370" s="4">
        <f t="shared" si="348"/>
      </c>
      <c r="AL370" s="4">
        <f t="shared" si="356"/>
      </c>
      <c r="AM370" s="4">
        <f t="shared" si="357"/>
      </c>
      <c r="AN370" s="4"/>
      <c r="AO370" s="4">
        <f t="shared" si="361"/>
      </c>
      <c r="AP370" s="4">
        <f t="shared" si="358"/>
      </c>
      <c r="AQ370" s="4">
        <f t="shared" si="362"/>
        <v/>
      </c>
      <c r="AR370" s="4">
        <f t="shared" si="359"/>
      </c>
      <c r="AS370" s="4">
        <f t="shared" si="360"/>
      </c>
      <c r="AT370" s="4">
        <f t="shared" si="367"/>
      </c>
    </row>
    <row r="371" spans="1:46" x14ac:dyDescent="0.3">
      <c r="A371" s="5">
        <f t="shared" si="340"/>
      </c>
      <c r="B371" s="4">
        <f t="shared" si="349"/>
      </c>
      <c r="C371" s="119"/>
      <c r="D371" s="119"/>
      <c r="E371" s="105"/>
      <c r="F371" s="173"/>
      <c r="G371" s="173"/>
      <c r="H371" s="173"/>
      <c r="I371" s="105"/>
      <c r="J371" s="105"/>
      <c r="K371" s="105"/>
      <c r="L371" s="105"/>
      <c r="M371" s="4">
        <f t="shared" si="350"/>
      </c>
      <c r="N371" s="59"/>
      <c r="O371" s="164"/>
      <c r="P371" s="59">
        <f t="shared" si="368"/>
      </c>
      <c r="Q371" s="165"/>
      <c r="R371" s="59"/>
      <c r="S371" s="164"/>
      <c r="T371" s="5">
        <f t="shared" si="351"/>
      </c>
      <c r="U371" s="4">
        <f t="shared" si="341"/>
      </c>
      <c r="V371" s="4">
        <f t="shared" si="342"/>
      </c>
      <c r="W371" s="4">
        <f t="shared" si="343"/>
      </c>
      <c r="X371" s="4">
        <f t="shared" si="344"/>
      </c>
      <c r="Y371" s="4" cm="1">
        <f t="array" ref="Y371">_xlfn.IFS(H371=1,2,H371=3,1)</f>
      </c>
      <c r="Z371" s="4">
        <f t="shared" si="345"/>
      </c>
      <c r="AA371" s="4">
        <f t="shared" si="352"/>
      </c>
      <c r="AB371" s="4">
        <f t="shared" si="346"/>
      </c>
      <c r="AC371" s="4">
        <f t="shared" si="353"/>
      </c>
      <c r="AD371" s="4">
        <f t="shared" si="347"/>
      </c>
      <c r="AE371" s="4">
        <f t="shared" si="363"/>
      </c>
      <c r="AF371" s="4">
        <f t="shared" si="364"/>
      </c>
      <c r="AG371" s="4">
        <f t="shared" si="365"/>
        <v/>
      </c>
      <c r="AH371" s="4">
        <f t="shared" si="354"/>
      </c>
      <c r="AI371" s="4">
        <f t="shared" si="366"/>
      </c>
      <c r="AJ371" s="4">
        <f t="shared" si="355"/>
      </c>
      <c r="AK371" s="4">
        <f t="shared" si="348"/>
      </c>
      <c r="AL371" s="4">
        <f t="shared" si="356"/>
      </c>
      <c r="AM371" s="4">
        <f t="shared" si="357"/>
      </c>
      <c r="AN371" s="4"/>
      <c r="AO371" s="4">
        <f t="shared" si="361"/>
      </c>
      <c r="AP371" s="4">
        <f t="shared" si="358"/>
      </c>
      <c r="AQ371" s="4">
        <f t="shared" si="362"/>
        <v/>
      </c>
      <c r="AR371" s="4">
        <f t="shared" si="359"/>
      </c>
      <c r="AS371" s="4">
        <f t="shared" si="360"/>
      </c>
      <c r="AT371" s="4">
        <f t="shared" si="367"/>
      </c>
    </row>
    <row r="372" spans="1:46" x14ac:dyDescent="0.3">
      <c r="A372" s="5">
        <f t="shared" si="340"/>
      </c>
      <c r="B372" s="4">
        <f t="shared" si="349"/>
      </c>
      <c r="C372" s="119"/>
      <c r="D372" s="119"/>
      <c r="E372" s="105"/>
      <c r="F372" s="173"/>
      <c r="G372" s="173"/>
      <c r="H372" s="173"/>
      <c r="I372" s="105"/>
      <c r="J372" s="105"/>
      <c r="K372" s="105"/>
      <c r="L372" s="105"/>
      <c r="M372" s="4">
        <f t="shared" si="350"/>
      </c>
      <c r="N372" s="59"/>
      <c r="O372" s="164"/>
      <c r="P372" s="59">
        <f t="shared" si="368"/>
      </c>
      <c r="Q372" s="165"/>
      <c r="R372" s="59"/>
      <c r="S372" s="164"/>
      <c r="T372" s="5">
        <f t="shared" si="351"/>
      </c>
      <c r="U372" s="4">
        <f t="shared" si="341"/>
      </c>
      <c r="V372" s="4">
        <f t="shared" si="342"/>
      </c>
      <c r="W372" s="4">
        <f t="shared" si="343"/>
      </c>
      <c r="X372" s="4">
        <f t="shared" si="344"/>
      </c>
      <c r="Y372" s="4" cm="1">
        <f t="array" ref="Y372">_xlfn.IFS(H372=1,2,H372=3,1)</f>
      </c>
      <c r="Z372" s="4">
        <f t="shared" si="345"/>
      </c>
      <c r="AA372" s="4">
        <f t="shared" si="352"/>
      </c>
      <c r="AB372" s="4">
        <f t="shared" si="346"/>
      </c>
      <c r="AC372" s="4">
        <f t="shared" si="353"/>
      </c>
      <c r="AD372" s="4">
        <f t="shared" si="347"/>
      </c>
      <c r="AE372" s="4">
        <f t="shared" si="363"/>
      </c>
      <c r="AF372" s="4">
        <f t="shared" si="364"/>
      </c>
      <c r="AG372" s="4">
        <f t="shared" si="365"/>
        <v/>
      </c>
      <c r="AH372" s="4">
        <f t="shared" si="354"/>
      </c>
      <c r="AI372" s="4">
        <f t="shared" si="366"/>
      </c>
      <c r="AJ372" s="4">
        <f t="shared" si="355"/>
      </c>
      <c r="AK372" s="4">
        <f t="shared" si="348"/>
      </c>
      <c r="AL372" s="4">
        <f t="shared" si="356"/>
      </c>
      <c r="AM372" s="4">
        <f t="shared" si="357"/>
      </c>
      <c r="AN372" s="4"/>
      <c r="AO372" s="4">
        <f t="shared" si="361"/>
      </c>
      <c r="AP372" s="4">
        <f t="shared" si="358"/>
      </c>
      <c r="AQ372" s="4">
        <f t="shared" si="362"/>
        <v/>
      </c>
      <c r="AR372" s="4">
        <f t="shared" si="359"/>
      </c>
      <c r="AS372" s="4">
        <f t="shared" si="360"/>
      </c>
      <c r="AT372" s="4">
        <f t="shared" si="367"/>
      </c>
    </row>
    <row r="373" spans="1:46" x14ac:dyDescent="0.3">
      <c r="A373" s="5">
        <f t="shared" si="340"/>
      </c>
      <c r="B373" s="4">
        <f t="shared" si="349"/>
      </c>
      <c r="C373" s="119"/>
      <c r="D373" s="119"/>
      <c r="E373" s="105"/>
      <c r="F373" s="173"/>
      <c r="G373" s="173"/>
      <c r="H373" s="173"/>
      <c r="I373" s="105"/>
      <c r="J373" s="105"/>
      <c r="K373" s="105"/>
      <c r="L373" s="105"/>
      <c r="M373" s="4">
        <f t="shared" si="350"/>
      </c>
      <c r="N373" s="59"/>
      <c r="O373" s="164"/>
      <c r="P373" s="59">
        <f t="shared" si="368"/>
      </c>
      <c r="Q373" s="165"/>
      <c r="R373" s="59"/>
      <c r="S373" s="164"/>
      <c r="T373" s="5">
        <f t="shared" si="351"/>
      </c>
      <c r="U373" s="4">
        <f t="shared" si="341"/>
      </c>
      <c r="V373" s="4">
        <f t="shared" si="342"/>
      </c>
      <c r="W373" s="4">
        <f t="shared" si="343"/>
      </c>
      <c r="X373" s="4">
        <f t="shared" si="344"/>
      </c>
      <c r="Y373" s="4" cm="1">
        <f t="array" ref="Y373">_xlfn.IFS(H373=1,2,H373=3,1)</f>
      </c>
      <c r="Z373" s="4">
        <f t="shared" si="345"/>
      </c>
      <c r="AA373" s="4">
        <f t="shared" si="352"/>
      </c>
      <c r="AB373" s="4">
        <f t="shared" si="346"/>
      </c>
      <c r="AC373" s="4">
        <f t="shared" si="353"/>
      </c>
      <c r="AD373" s="4">
        <f t="shared" si="347"/>
      </c>
      <c r="AE373" s="4">
        <f t="shared" si="363"/>
      </c>
      <c r="AF373" s="4">
        <f t="shared" si="364"/>
      </c>
      <c r="AG373" s="4">
        <f t="shared" si="365"/>
        <v/>
      </c>
      <c r="AH373" s="4">
        <f t="shared" si="354"/>
      </c>
      <c r="AI373" s="4">
        <f t="shared" si="366"/>
      </c>
      <c r="AJ373" s="4">
        <f t="shared" si="355"/>
      </c>
      <c r="AK373" s="4">
        <f t="shared" si="348"/>
      </c>
      <c r="AL373" s="4">
        <f t="shared" si="356"/>
      </c>
      <c r="AM373" s="4">
        <f t="shared" si="357"/>
      </c>
      <c r="AN373" s="4"/>
      <c r="AO373" s="4">
        <f t="shared" si="361"/>
      </c>
      <c r="AP373" s="4">
        <f t="shared" si="358"/>
      </c>
      <c r="AQ373" s="4">
        <f t="shared" si="362"/>
        <v/>
      </c>
      <c r="AR373" s="4">
        <f t="shared" si="359"/>
      </c>
      <c r="AS373" s="4">
        <f t="shared" si="360"/>
      </c>
      <c r="AT373" s="4">
        <f t="shared" si="367"/>
      </c>
    </row>
    <row r="374" spans="1:46" x14ac:dyDescent="0.3">
      <c r="A374" s="5">
        <f t="shared" si="340"/>
      </c>
      <c r="B374" s="4">
        <f t="shared" si="349"/>
      </c>
      <c r="C374" s="119"/>
      <c r="D374" s="119"/>
      <c r="E374" s="105"/>
      <c r="F374" s="173"/>
      <c r="G374" s="173"/>
      <c r="H374" s="173"/>
      <c r="I374" s="105"/>
      <c r="J374" s="105"/>
      <c r="K374" s="105"/>
      <c r="L374" s="105"/>
      <c r="M374" s="4">
        <f t="shared" si="350"/>
      </c>
      <c r="N374" s="59"/>
      <c r="O374" s="164"/>
      <c r="P374" s="59">
        <f t="shared" si="368"/>
      </c>
      <c r="Q374" s="165"/>
      <c r="R374" s="59"/>
      <c r="S374" s="164"/>
      <c r="T374" s="5">
        <f t="shared" si="351"/>
      </c>
      <c r="U374" s="4">
        <f t="shared" si="341"/>
      </c>
      <c r="V374" s="4">
        <f t="shared" si="342"/>
      </c>
      <c r="W374" s="4">
        <f t="shared" si="343"/>
      </c>
      <c r="X374" s="4">
        <f t="shared" si="344"/>
      </c>
      <c r="Y374" s="4" cm="1">
        <f t="array" ref="Y374">_xlfn.IFS(H374=1,2,H374=3,1)</f>
      </c>
      <c r="Z374" s="4">
        <f t="shared" si="345"/>
      </c>
      <c r="AA374" s="4">
        <f t="shared" si="352"/>
      </c>
      <c r="AB374" s="4">
        <f t="shared" si="346"/>
      </c>
      <c r="AC374" s="4">
        <f t="shared" si="353"/>
      </c>
      <c r="AD374" s="4">
        <f t="shared" si="347"/>
      </c>
      <c r="AE374" s="4">
        <f t="shared" si="363"/>
      </c>
      <c r="AF374" s="4">
        <f t="shared" si="364"/>
      </c>
      <c r="AG374" s="4">
        <f t="shared" si="365"/>
        <v/>
      </c>
      <c r="AH374" s="4">
        <f t="shared" si="354"/>
      </c>
      <c r="AI374" s="4">
        <f t="shared" si="366"/>
      </c>
      <c r="AJ374" s="4">
        <f t="shared" si="355"/>
      </c>
      <c r="AK374" s="4">
        <f t="shared" si="348"/>
      </c>
      <c r="AL374" s="4">
        <f t="shared" si="356"/>
      </c>
      <c r="AM374" s="4">
        <f t="shared" si="357"/>
      </c>
      <c r="AN374" s="4"/>
      <c r="AO374" s="4">
        <f t="shared" si="361"/>
      </c>
      <c r="AP374" s="4">
        <f t="shared" si="358"/>
      </c>
      <c r="AQ374" s="4">
        <f t="shared" si="362"/>
        <v/>
      </c>
      <c r="AR374" s="4">
        <f t="shared" si="359"/>
      </c>
      <c r="AS374" s="4">
        <f t="shared" si="360"/>
      </c>
      <c r="AT374" s="4">
        <f t="shared" si="367"/>
      </c>
    </row>
    <row r="375" spans="1:46" x14ac:dyDescent="0.3">
      <c r="A375" s="5">
        <f t="shared" si="340"/>
      </c>
      <c r="B375" s="4">
        <f t="shared" si="349"/>
      </c>
      <c r="C375" s="119"/>
      <c r="D375" s="119"/>
      <c r="E375" s="105"/>
      <c r="F375" s="173"/>
      <c r="G375" s="173"/>
      <c r="H375" s="173"/>
      <c r="I375" s="105"/>
      <c r="J375" s="105"/>
      <c r="K375" s="105"/>
      <c r="L375" s="105"/>
      <c r="M375" s="4">
        <f t="shared" si="350"/>
      </c>
      <c r="N375" s="59"/>
      <c r="O375" s="164"/>
      <c r="P375" s="59">
        <f t="shared" si="368"/>
      </c>
      <c r="Q375" s="165"/>
      <c r="R375" s="59"/>
      <c r="S375" s="164"/>
      <c r="T375" s="5">
        <f t="shared" si="351"/>
      </c>
      <c r="U375" s="4">
        <f t="shared" si="341"/>
      </c>
      <c r="V375" s="4">
        <f t="shared" si="342"/>
      </c>
      <c r="W375" s="4">
        <f t="shared" si="343"/>
      </c>
      <c r="X375" s="4">
        <f t="shared" si="344"/>
      </c>
      <c r="Y375" s="4" cm="1">
        <f t="array" ref="Y375">_xlfn.IFS(H375=1,2,H375=3,1)</f>
      </c>
      <c r="Z375" s="4">
        <f t="shared" si="345"/>
      </c>
      <c r="AA375" s="4">
        <f t="shared" si="352"/>
      </c>
      <c r="AB375" s="4">
        <f t="shared" si="346"/>
      </c>
      <c r="AC375" s="4">
        <f t="shared" si="353"/>
      </c>
      <c r="AD375" s="4">
        <f t="shared" si="347"/>
      </c>
      <c r="AE375" s="4">
        <f t="shared" si="363"/>
      </c>
      <c r="AF375" s="4">
        <f t="shared" si="364"/>
      </c>
      <c r="AG375" s="4">
        <f t="shared" si="365"/>
        <v/>
      </c>
      <c r="AH375" s="4">
        <f t="shared" si="354"/>
      </c>
      <c r="AI375" s="4">
        <f t="shared" si="366"/>
      </c>
      <c r="AJ375" s="4">
        <f t="shared" si="355"/>
      </c>
      <c r="AK375" s="4">
        <f t="shared" si="348"/>
      </c>
      <c r="AL375" s="4">
        <f t="shared" si="356"/>
      </c>
      <c r="AM375" s="4">
        <f t="shared" si="357"/>
      </c>
      <c r="AN375" s="4"/>
      <c r="AO375" s="4">
        <f t="shared" si="361"/>
      </c>
      <c r="AP375" s="4">
        <f t="shared" si="358"/>
      </c>
      <c r="AQ375" s="4">
        <f t="shared" si="362"/>
        <v/>
      </c>
      <c r="AR375" s="4">
        <f t="shared" si="359"/>
      </c>
      <c r="AS375" s="4">
        <f t="shared" si="360"/>
      </c>
      <c r="AT375" s="4">
        <f t="shared" si="367"/>
      </c>
    </row>
    <row r="376" spans="1:46" ht="15" thickBot="1" x14ac:dyDescent="0.35">
      <c r="A376" s="45">
        <f t="shared" si="340"/>
      </c>
      <c r="B376" s="44">
        <f t="shared" si="349"/>
      </c>
      <c r="C376" s="175"/>
      <c r="D376" s="175"/>
      <c r="E376" s="176"/>
      <c r="F376" s="178"/>
      <c r="G376" s="178"/>
      <c r="H376" s="178"/>
      <c r="I376" s="176"/>
      <c r="J376" s="176"/>
      <c r="K376" s="176"/>
      <c r="L376" s="176"/>
      <c r="M376" s="44">
        <f t="shared" si="350"/>
      </c>
      <c r="N376" s="64"/>
      <c r="O376" s="166"/>
      <c r="P376" s="59">
        <f t="shared" si="368"/>
      </c>
      <c r="Q376" s="170"/>
      <c r="R376" s="64"/>
      <c r="S376" s="166"/>
      <c r="T376" s="45">
        <f t="shared" si="351"/>
      </c>
      <c r="U376" s="44">
        <f t="shared" si="341"/>
      </c>
      <c r="V376" s="44">
        <f t="shared" si="342"/>
      </c>
      <c r="W376" s="44">
        <f t="shared" si="343"/>
      </c>
      <c r="X376" s="44">
        <f t="shared" si="344"/>
      </c>
      <c r="Y376" s="44" cm="1">
        <f t="array" ref="Y376">_xlfn.IFS(H376=1,2,H376=3,1)</f>
      </c>
      <c r="Z376" s="44">
        <f t="shared" si="345"/>
      </c>
      <c r="AA376" s="44">
        <f t="shared" si="352"/>
      </c>
      <c r="AB376" s="44">
        <f t="shared" si="346"/>
      </c>
      <c r="AC376" s="44">
        <f t="shared" si="353"/>
      </c>
      <c r="AD376" s="44">
        <f t="shared" si="347"/>
      </c>
      <c r="AE376" s="44">
        <f t="shared" si="363"/>
      </c>
      <c r="AF376" s="44">
        <f t="shared" si="364"/>
      </c>
      <c r="AG376" s="44">
        <f t="shared" si="365"/>
        <v/>
      </c>
      <c r="AH376" s="44">
        <f t="shared" si="354"/>
      </c>
      <c r="AI376" s="44">
        <f t="shared" si="366"/>
      </c>
      <c r="AJ376" s="44">
        <f t="shared" si="355"/>
      </c>
      <c r="AK376" s="44">
        <f t="shared" si="348"/>
      </c>
      <c r="AL376" s="44">
        <f t="shared" si="356"/>
      </c>
      <c r="AM376" s="44">
        <f t="shared" si="357"/>
      </c>
      <c r="AN376" s="44"/>
      <c r="AO376" s="44">
        <f t="shared" si="361"/>
      </c>
      <c r="AP376" s="44">
        <f t="shared" si="358"/>
      </c>
      <c r="AQ376" s="44">
        <f t="shared" si="362"/>
        <v/>
      </c>
      <c r="AR376" s="44">
        <f t="shared" si="359"/>
      </c>
      <c r="AS376" s="44">
        <f t="shared" si="360"/>
      </c>
      <c r="AT376" s="44">
        <f t="shared" si="367"/>
      </c>
    </row>
    <row r="377" spans="1:46" x14ac:dyDescent="0.3">
      <c r="A377" s="19">
        <f t="shared" si="340"/>
      </c>
      <c r="B377" s="7">
        <f t="shared" si="349"/>
      </c>
      <c r="C377" s="177"/>
      <c r="D377" s="177"/>
      <c r="E377" s="179"/>
      <c r="F377" s="182"/>
      <c r="G377" s="182"/>
      <c r="H377" s="182"/>
      <c r="I377" s="179"/>
      <c r="J377" s="179"/>
      <c r="K377" s="179"/>
      <c r="L377" s="179"/>
      <c r="M377" s="7">
        <f t="shared" si="350"/>
      </c>
      <c r="N377" s="65"/>
      <c r="O377" s="168"/>
      <c r="P377" s="59">
        <f t="shared" si="368"/>
      </c>
      <c r="Q377" s="118"/>
      <c r="R377" s="65"/>
      <c r="S377" s="168"/>
      <c r="T377" s="19">
        <f t="shared" si="351"/>
      </c>
      <c r="U377" s="7">
        <f t="shared" si="341"/>
      </c>
      <c r="V377" s="7">
        <f t="shared" si="342"/>
      </c>
      <c r="W377" s="7">
        <f t="shared" si="343"/>
      </c>
      <c r="X377" s="7">
        <f t="shared" si="344"/>
      </c>
      <c r="Y377" s="7" cm="1">
        <f t="array" ref="Y377">_xlfn.IFS(H377=1,2,H377=3,1)</f>
      </c>
      <c r="Z377" s="7">
        <f t="shared" si="345"/>
      </c>
      <c r="AA377" s="7">
        <f t="shared" si="352"/>
      </c>
      <c r="AB377" s="7">
        <f t="shared" si="346"/>
      </c>
      <c r="AC377" s="7">
        <f t="shared" si="353"/>
      </c>
      <c r="AD377" s="7">
        <f t="shared" si="347"/>
      </c>
      <c r="AE377" s="7">
        <f t="shared" si="363"/>
      </c>
      <c r="AF377" s="7">
        <f t="shared" si="364"/>
      </c>
      <c r="AG377" s="7">
        <f t="shared" si="365"/>
        <v/>
      </c>
      <c r="AH377" s="7">
        <f t="shared" si="354"/>
      </c>
      <c r="AI377" s="7">
        <f t="shared" si="366"/>
      </c>
      <c r="AJ377" s="7">
        <f t="shared" si="355"/>
      </c>
      <c r="AK377" s="7">
        <f t="shared" si="348"/>
      </c>
      <c r="AL377" s="7">
        <f t="shared" si="356"/>
      </c>
      <c r="AM377" s="7">
        <f t="shared" si="357"/>
      </c>
      <c r="AN377" s="7"/>
      <c r="AO377" s="7">
        <f t="shared" si="361"/>
      </c>
      <c r="AP377" s="7">
        <f t="shared" si="358"/>
      </c>
      <c r="AQ377" s="7">
        <f t="shared" si="362"/>
        <v/>
      </c>
      <c r="AR377" s="7">
        <f t="shared" si="359"/>
      </c>
      <c r="AS377" s="7">
        <f t="shared" si="360"/>
      </c>
      <c r="AT377" s="7">
        <f t="shared" si="367"/>
      </c>
    </row>
    <row r="378" spans="1:46" x14ac:dyDescent="0.3">
      <c r="A378" s="5">
        <f t="shared" si="340"/>
      </c>
      <c r="B378" s="4">
        <f t="shared" si="349"/>
      </c>
      <c r="C378" s="119"/>
      <c r="D378" s="119"/>
      <c r="E378" s="105"/>
      <c r="F378" s="173"/>
      <c r="G378" s="173"/>
      <c r="H378" s="173"/>
      <c r="I378" s="105"/>
      <c r="J378" s="105"/>
      <c r="K378" s="105"/>
      <c r="L378" s="105"/>
      <c r="M378" s="4">
        <f t="shared" si="350"/>
      </c>
      <c r="N378" s="59"/>
      <c r="O378" s="164"/>
      <c r="P378" s="59">
        <f t="shared" si="368"/>
      </c>
      <c r="Q378" s="165"/>
      <c r="R378" s="59"/>
      <c r="S378" s="164"/>
      <c r="T378" s="5">
        <f t="shared" si="351"/>
      </c>
      <c r="U378" s="4">
        <f t="shared" si="341"/>
      </c>
      <c r="V378" s="4">
        <f t="shared" si="342"/>
      </c>
      <c r="W378" s="4">
        <f t="shared" si="343"/>
      </c>
      <c r="X378" s="4">
        <f t="shared" si="344"/>
      </c>
      <c r="Y378" s="4" cm="1">
        <f t="array" ref="Y378">_xlfn.IFS(H378=1,2,H378=3,1)</f>
      </c>
      <c r="Z378" s="4">
        <f t="shared" si="345"/>
      </c>
      <c r="AA378" s="4">
        <f t="shared" si="352"/>
      </c>
      <c r="AB378" s="4">
        <f t="shared" si="346"/>
      </c>
      <c r="AC378" s="4">
        <f t="shared" si="353"/>
      </c>
      <c r="AD378" s="4">
        <f t="shared" si="347"/>
      </c>
      <c r="AE378" s="4">
        <f t="shared" si="363"/>
      </c>
      <c r="AF378" s="4">
        <f t="shared" si="364"/>
      </c>
      <c r="AG378" s="4">
        <f t="shared" si="365"/>
        <v/>
      </c>
      <c r="AH378" s="4">
        <f t="shared" si="354"/>
      </c>
      <c r="AI378" s="4">
        <f t="shared" si="366"/>
      </c>
      <c r="AJ378" s="4">
        <f t="shared" si="355"/>
      </c>
      <c r="AK378" s="4">
        <f t="shared" si="348"/>
      </c>
      <c r="AL378" s="4">
        <f t="shared" si="356"/>
      </c>
      <c r="AM378" s="4">
        <f t="shared" si="357"/>
      </c>
      <c r="AN378" s="4"/>
      <c r="AO378" s="4">
        <f t="shared" si="361"/>
      </c>
      <c r="AP378" s="4">
        <f t="shared" si="358"/>
      </c>
      <c r="AQ378" s="4">
        <f t="shared" si="362"/>
        <v/>
      </c>
      <c r="AR378" s="4">
        <f t="shared" si="359"/>
      </c>
      <c r="AS378" s="4">
        <f t="shared" si="360"/>
      </c>
      <c r="AT378" s="4">
        <f t="shared" si="367"/>
      </c>
    </row>
    <row r="379" spans="1:46" x14ac:dyDescent="0.3">
      <c r="A379" s="5">
        <f t="shared" si="340"/>
      </c>
      <c r="B379" s="4">
        <f t="shared" si="349"/>
      </c>
      <c r="C379" s="119"/>
      <c r="D379" s="119"/>
      <c r="E379" s="105"/>
      <c r="F379" s="173"/>
      <c r="G379" s="173"/>
      <c r="H379" s="173"/>
      <c r="I379" s="105"/>
      <c r="J379" s="105"/>
      <c r="K379" s="105"/>
      <c r="L379" s="105"/>
      <c r="M379" s="4">
        <f t="shared" si="350"/>
      </c>
      <c r="N379" s="59"/>
      <c r="O379" s="164"/>
      <c r="P379" s="59">
        <f t="shared" si="368"/>
      </c>
      <c r="Q379" s="165"/>
      <c r="R379" s="59"/>
      <c r="S379" s="164"/>
      <c r="T379" s="5">
        <f t="shared" si="351"/>
      </c>
      <c r="U379" s="4">
        <f t="shared" si="341"/>
      </c>
      <c r="V379" s="4">
        <f t="shared" si="342"/>
      </c>
      <c r="W379" s="4">
        <f t="shared" si="343"/>
      </c>
      <c r="X379" s="4">
        <f t="shared" si="344"/>
      </c>
      <c r="Y379" s="4" cm="1">
        <f t="array" ref="Y379">_xlfn.IFS(H379=1,2,H379=3,1)</f>
      </c>
      <c r="Z379" s="4">
        <f t="shared" si="345"/>
      </c>
      <c r="AA379" s="4">
        <f t="shared" si="352"/>
      </c>
      <c r="AB379" s="4">
        <f t="shared" si="346"/>
      </c>
      <c r="AC379" s="4">
        <f t="shared" si="353"/>
      </c>
      <c r="AD379" s="4">
        <f t="shared" si="347"/>
      </c>
      <c r="AE379" s="4">
        <f t="shared" si="363"/>
      </c>
      <c r="AF379" s="4">
        <f t="shared" si="364"/>
      </c>
      <c r="AG379" s="4">
        <f t="shared" si="365"/>
        <v/>
      </c>
      <c r="AH379" s="4">
        <f t="shared" si="354"/>
      </c>
      <c r="AI379" s="4">
        <f t="shared" si="366"/>
      </c>
      <c r="AJ379" s="4">
        <f t="shared" si="355"/>
      </c>
      <c r="AK379" s="4">
        <f t="shared" si="348"/>
      </c>
      <c r="AL379" s="4">
        <f t="shared" si="356"/>
      </c>
      <c r="AM379" s="4">
        <f t="shared" si="357"/>
      </c>
      <c r="AN379" s="4"/>
      <c r="AO379" s="4">
        <f t="shared" si="361"/>
      </c>
      <c r="AP379" s="4">
        <f t="shared" si="358"/>
      </c>
      <c r="AQ379" s="4">
        <f t="shared" si="362"/>
        <v/>
      </c>
      <c r="AR379" s="4">
        <f t="shared" si="359"/>
      </c>
      <c r="AS379" s="4">
        <f t="shared" si="360"/>
      </c>
      <c r="AT379" s="4">
        <f t="shared" si="367"/>
      </c>
    </row>
    <row r="380" spans="1:46" x14ac:dyDescent="0.3">
      <c r="A380" s="5">
        <f t="shared" si="340"/>
      </c>
      <c r="B380" s="4">
        <f t="shared" si="349"/>
      </c>
      <c r="C380" s="119"/>
      <c r="D380" s="119"/>
      <c r="E380" s="105"/>
      <c r="F380" s="173"/>
      <c r="G380" s="173"/>
      <c r="H380" s="173"/>
      <c r="I380" s="105"/>
      <c r="J380" s="105"/>
      <c r="K380" s="105"/>
      <c r="L380" s="105"/>
      <c r="M380" s="4">
        <f t="shared" si="350"/>
      </c>
      <c r="N380" s="59"/>
      <c r="O380" s="164"/>
      <c r="P380" s="59">
        <f t="shared" si="368"/>
      </c>
      <c r="Q380" s="165"/>
      <c r="R380" s="59"/>
      <c r="S380" s="164"/>
      <c r="T380" s="5">
        <f t="shared" si="351"/>
      </c>
      <c r="U380" s="4">
        <f t="shared" si="341"/>
      </c>
      <c r="V380" s="4">
        <f t="shared" si="342"/>
      </c>
      <c r="W380" s="4">
        <f t="shared" si="343"/>
      </c>
      <c r="X380" s="4">
        <f t="shared" si="344"/>
      </c>
      <c r="Y380" s="4" cm="1">
        <f t="array" ref="Y380">_xlfn.IFS(H380=1,2,H380=3,1)</f>
      </c>
      <c r="Z380" s="4">
        <f t="shared" si="345"/>
      </c>
      <c r="AA380" s="4">
        <f t="shared" si="352"/>
      </c>
      <c r="AB380" s="4">
        <f t="shared" si="346"/>
      </c>
      <c r="AC380" s="4">
        <f t="shared" si="353"/>
      </c>
      <c r="AD380" s="4">
        <f t="shared" si="347"/>
      </c>
      <c r="AE380" s="4">
        <f t="shared" si="363"/>
      </c>
      <c r="AF380" s="4">
        <f t="shared" si="364"/>
      </c>
      <c r="AG380" s="4">
        <f t="shared" si="365"/>
        <v/>
      </c>
      <c r="AH380" s="4">
        <f t="shared" si="354"/>
      </c>
      <c r="AI380" s="4">
        <f t="shared" si="366"/>
      </c>
      <c r="AJ380" s="4">
        <f t="shared" si="355"/>
      </c>
      <c r="AK380" s="4">
        <f t="shared" si="348"/>
      </c>
      <c r="AL380" s="4">
        <f t="shared" si="356"/>
      </c>
      <c r="AM380" s="4">
        <f t="shared" si="357"/>
      </c>
      <c r="AN380" s="4"/>
      <c r="AO380" s="4">
        <f t="shared" si="361"/>
      </c>
      <c r="AP380" s="4">
        <f t="shared" si="358"/>
      </c>
      <c r="AQ380" s="4">
        <f t="shared" si="362"/>
        <v/>
      </c>
      <c r="AR380" s="4">
        <f t="shared" si="359"/>
      </c>
      <c r="AS380" s="4">
        <f t="shared" si="360"/>
      </c>
      <c r="AT380" s="4">
        <f t="shared" si="367"/>
      </c>
    </row>
    <row r="381" spans="1:46" x14ac:dyDescent="0.3">
      <c r="A381" s="5">
        <f t="shared" si="340"/>
      </c>
      <c r="B381" s="4">
        <f t="shared" si="349"/>
      </c>
      <c r="C381" s="119"/>
      <c r="D381" s="119"/>
      <c r="E381" s="105"/>
      <c r="F381" s="173"/>
      <c r="G381" s="173"/>
      <c r="H381" s="173"/>
      <c r="I381" s="105"/>
      <c r="J381" s="105"/>
      <c r="K381" s="105"/>
      <c r="L381" s="105"/>
      <c r="M381" s="4">
        <f t="shared" si="350"/>
      </c>
      <c r="N381" s="59"/>
      <c r="O381" s="164"/>
      <c r="P381" s="59">
        <f t="shared" si="368"/>
      </c>
      <c r="Q381" s="165"/>
      <c r="R381" s="59"/>
      <c r="S381" s="164"/>
      <c r="T381" s="5">
        <f t="shared" si="351"/>
      </c>
      <c r="U381" s="4">
        <f t="shared" si="341"/>
      </c>
      <c r="V381" s="4">
        <f t="shared" si="342"/>
      </c>
      <c r="W381" s="4">
        <f t="shared" si="343"/>
      </c>
      <c r="X381" s="4">
        <f t="shared" si="344"/>
      </c>
      <c r="Y381" s="4" cm="1">
        <f t="array" ref="Y381">_xlfn.IFS(H381=1,2,H381=3,1)</f>
      </c>
      <c r="Z381" s="4">
        <f t="shared" si="345"/>
      </c>
      <c r="AA381" s="4">
        <f t="shared" si="352"/>
      </c>
      <c r="AB381" s="4">
        <f t="shared" si="346"/>
      </c>
      <c r="AC381" s="4">
        <f t="shared" si="353"/>
      </c>
      <c r="AD381" s="4">
        <f t="shared" si="347"/>
      </c>
      <c r="AE381" s="4">
        <f t="shared" si="363"/>
      </c>
      <c r="AF381" s="4">
        <f t="shared" si="364"/>
      </c>
      <c r="AG381" s="4">
        <f t="shared" si="365"/>
        <v/>
      </c>
      <c r="AH381" s="4">
        <f t="shared" si="354"/>
      </c>
      <c r="AI381" s="4">
        <f t="shared" si="366"/>
      </c>
      <c r="AJ381" s="4">
        <f t="shared" si="355"/>
      </c>
      <c r="AK381" s="4">
        <f t="shared" si="348"/>
      </c>
      <c r="AL381" s="4">
        <f t="shared" si="356"/>
      </c>
      <c r="AM381" s="4">
        <f t="shared" si="357"/>
      </c>
      <c r="AN381" s="4"/>
      <c r="AO381" s="4">
        <f t="shared" si="361"/>
      </c>
      <c r="AP381" s="4">
        <f t="shared" si="358"/>
      </c>
      <c r="AQ381" s="4">
        <f t="shared" si="362"/>
        <v/>
      </c>
      <c r="AR381" s="4">
        <f t="shared" si="359"/>
      </c>
      <c r="AS381" s="4">
        <f t="shared" si="360"/>
      </c>
      <c r="AT381" s="4">
        <f t="shared" si="367"/>
      </c>
    </row>
    <row r="382" spans="1:46" x14ac:dyDescent="0.3">
      <c r="A382" s="5">
        <f t="shared" si="340"/>
      </c>
      <c r="B382" s="4">
        <f t="shared" si="349"/>
      </c>
      <c r="C382" s="119"/>
      <c r="D382" s="119"/>
      <c r="E382" s="105"/>
      <c r="F382" s="173"/>
      <c r="G382" s="173"/>
      <c r="H382" s="173"/>
      <c r="I382" s="105"/>
      <c r="J382" s="105"/>
      <c r="K382" s="105"/>
      <c r="L382" s="105"/>
      <c r="M382" s="4">
        <f t="shared" si="350"/>
      </c>
      <c r="N382" s="59"/>
      <c r="O382" s="164"/>
      <c r="P382" s="59">
        <f t="shared" si="368"/>
      </c>
      <c r="Q382" s="165"/>
      <c r="R382" s="59"/>
      <c r="S382" s="164"/>
      <c r="T382" s="5">
        <f t="shared" si="351"/>
      </c>
      <c r="U382" s="4">
        <f t="shared" si="341"/>
      </c>
      <c r="V382" s="4">
        <f t="shared" si="342"/>
      </c>
      <c r="W382" s="4">
        <f t="shared" si="343"/>
      </c>
      <c r="X382" s="4">
        <f t="shared" si="344"/>
      </c>
      <c r="Y382" s="4" cm="1">
        <f t="array" ref="Y382">_xlfn.IFS(H382=1,2,H382=3,1)</f>
      </c>
      <c r="Z382" s="4">
        <f t="shared" si="345"/>
      </c>
      <c r="AA382" s="4">
        <f t="shared" si="352"/>
      </c>
      <c r="AB382" s="4">
        <f t="shared" si="346"/>
      </c>
      <c r="AC382" s="4">
        <f t="shared" si="353"/>
      </c>
      <c r="AD382" s="4">
        <f t="shared" si="347"/>
      </c>
      <c r="AE382" s="4">
        <f t="shared" si="363"/>
      </c>
      <c r="AF382" s="4">
        <f t="shared" si="364"/>
      </c>
      <c r="AG382" s="4">
        <f t="shared" si="365"/>
        <v/>
      </c>
      <c r="AH382" s="4">
        <f t="shared" si="354"/>
      </c>
      <c r="AI382" s="4">
        <f t="shared" si="366"/>
      </c>
      <c r="AJ382" s="4">
        <f t="shared" si="355"/>
      </c>
      <c r="AK382" s="4">
        <f t="shared" si="348"/>
      </c>
      <c r="AL382" s="4">
        <f t="shared" si="356"/>
      </c>
      <c r="AM382" s="4">
        <f t="shared" si="357"/>
      </c>
      <c r="AN382" s="4"/>
      <c r="AO382" s="4">
        <f t="shared" si="361"/>
      </c>
      <c r="AP382" s="4">
        <f t="shared" si="358"/>
      </c>
      <c r="AQ382" s="4">
        <f t="shared" si="362"/>
        <v/>
      </c>
      <c r="AR382" s="4">
        <f t="shared" si="359"/>
      </c>
      <c r="AS382" s="4">
        <f t="shared" si="360"/>
      </c>
      <c r="AT382" s="4">
        <f t="shared" si="367"/>
      </c>
    </row>
    <row r="383" spans="1:46" x14ac:dyDescent="0.3">
      <c r="A383" s="5">
        <f t="shared" si="340"/>
      </c>
      <c r="B383" s="4">
        <f t="shared" si="349"/>
      </c>
      <c r="C383" s="119"/>
      <c r="D383" s="119"/>
      <c r="E383" s="105"/>
      <c r="F383" s="173"/>
      <c r="G383" s="173"/>
      <c r="H383" s="173"/>
      <c r="I383" s="105"/>
      <c r="J383" s="105"/>
      <c r="K383" s="105"/>
      <c r="L383" s="105"/>
      <c r="M383" s="4">
        <f t="shared" si="350"/>
      </c>
      <c r="N383" s="59"/>
      <c r="O383" s="164"/>
      <c r="P383" s="59">
        <f t="shared" si="368"/>
      </c>
      <c r="Q383" s="165"/>
      <c r="R383" s="59"/>
      <c r="S383" s="164"/>
      <c r="T383" s="5">
        <f t="shared" si="351"/>
      </c>
      <c r="U383" s="4">
        <f t="shared" si="341"/>
      </c>
      <c r="V383" s="4">
        <f t="shared" si="342"/>
      </c>
      <c r="W383" s="4">
        <f t="shared" si="343"/>
      </c>
      <c r="X383" s="4">
        <f t="shared" si="344"/>
      </c>
      <c r="Y383" s="4" cm="1">
        <f t="array" ref="Y383">_xlfn.IFS(H383=1,2,H383=3,1)</f>
      </c>
      <c r="Z383" s="4">
        <f t="shared" si="345"/>
      </c>
      <c r="AA383" s="4">
        <f t="shared" si="352"/>
      </c>
      <c r="AB383" s="4">
        <f t="shared" si="346"/>
      </c>
      <c r="AC383" s="4">
        <f t="shared" si="353"/>
      </c>
      <c r="AD383" s="4">
        <f t="shared" si="347"/>
      </c>
      <c r="AE383" s="4">
        <f t="shared" si="363"/>
      </c>
      <c r="AF383" s="4">
        <f t="shared" si="364"/>
      </c>
      <c r="AG383" s="4">
        <f t="shared" si="365"/>
        <v/>
      </c>
      <c r="AH383" s="4">
        <f t="shared" si="354"/>
      </c>
      <c r="AI383" s="4">
        <f t="shared" si="366"/>
      </c>
      <c r="AJ383" s="4">
        <f t="shared" si="355"/>
      </c>
      <c r="AK383" s="4">
        <f t="shared" si="348"/>
      </c>
      <c r="AL383" s="4">
        <f t="shared" si="356"/>
      </c>
      <c r="AM383" s="4">
        <f t="shared" si="357"/>
      </c>
      <c r="AN383" s="4"/>
      <c r="AO383" s="4">
        <f t="shared" si="361"/>
      </c>
      <c r="AP383" s="4">
        <f t="shared" si="358"/>
      </c>
      <c r="AQ383" s="4">
        <f t="shared" si="362"/>
        <v/>
      </c>
      <c r="AR383" s="4">
        <f t="shared" si="359"/>
      </c>
      <c r="AS383" s="4">
        <f t="shared" si="360"/>
      </c>
      <c r="AT383" s="4">
        <f t="shared" si="367"/>
      </c>
    </row>
    <row r="384" spans="1:46" x14ac:dyDescent="0.3">
      <c r="A384" s="5">
        <f t="shared" ref="A384:A447" si="369">D384</f>
      </c>
      <c r="B384" s="4">
        <f t="shared" si="349"/>
      </c>
      <c r="C384" s="119"/>
      <c r="D384" s="119"/>
      <c r="E384" s="105"/>
      <c r="F384" s="173"/>
      <c r="G384" s="173"/>
      <c r="H384" s="173"/>
      <c r="I384" s="105"/>
      <c r="J384" s="105"/>
      <c r="K384" s="105"/>
      <c r="L384" s="105"/>
      <c r="M384" s="4">
        <f t="shared" si="350"/>
      </c>
      <c r="N384" s="59"/>
      <c r="O384" s="164"/>
      <c r="P384" s="59">
        <f t="shared" si="368"/>
      </c>
      <c r="Q384" s="165"/>
      <c r="R384" s="59"/>
      <c r="S384" s="164"/>
      <c r="T384" s="5">
        <f t="shared" si="351"/>
      </c>
      <c r="U384" s="4">
        <f t="shared" ref="U384:U447" si="370">IF(R384=0,VLOOKUP(T384,Автомат_номиналы,2,TRUE),R384)</f>
      </c>
      <c r="V384" s="4">
        <f t="shared" ref="V384:V447" si="371">IF(Q384=0,VLOOKUP(U384,Кабель_номиналы,2,TRUE),Q384)</f>
      </c>
      <c r="W384" s="4">
        <f t="shared" ref="W384:W447" si="372">VLOOKUP(V384,Кабель_сопротивление,3,FALSE)</f>
      </c>
      <c r="X384" s="4">
        <f t="shared" ref="X384:X447" si="373">VLOOKUP(V384,Кабель_сопротивление,2,FALSE)</f>
      </c>
      <c r="Y384" s="4" cm="1">
        <f t="array" ref="Y384">_xlfn.IFS(H384=1,2,H384=3,1)</f>
      </c>
      <c r="Z384" s="4">
        <f t="shared" ref="Z384:Z447" si="374">ROUND(SIN(ACOS(P384)),2)</f>
      </c>
      <c r="AA384" s="4">
        <f t="shared" si="352"/>
      </c>
      <c r="AB384" s="4">
        <f t="shared" ref="AB384:AB447" si="375">ROUNDUP(AA384/220*100,2)</f>
      </c>
      <c r="AC384" s="4">
        <f t="shared" si="353"/>
      </c>
      <c r="AD384" s="4">
        <f t="shared" ref="AD384:AD447" si="376">VLOOKUP(N384,Кабель_обозначение,2,FALSE)</f>
      </c>
      <c r="AE384" s="4">
        <f t="shared" si="363"/>
      </c>
      <c r="AF384" s="4">
        <f t="shared" si="364"/>
      </c>
      <c r="AG384" s="4">
        <f t="shared" si="365"/>
        <v/>
      </c>
      <c r="AH384" s="4">
        <f t="shared" si="354"/>
      </c>
      <c r="AI384" s="4">
        <f t="shared" si="366"/>
      </c>
      <c r="AJ384" s="4">
        <f t="shared" si="355"/>
      </c>
      <c r="AK384" s="4">
        <f t="shared" ref="AK384:AK447" si="377">ROUNDUP(T384,2)</f>
      </c>
      <c r="AL384" s="4">
        <f t="shared" si="356"/>
      </c>
      <c r="AM384" s="4">
        <f t="shared" si="357"/>
      </c>
      <c r="AN384" s="4"/>
      <c r="AO384" s="4">
        <f t="shared" si="361"/>
      </c>
      <c r="AP384" s="4">
        <f t="shared" si="358"/>
      </c>
      <c r="AQ384" s="4">
        <f t="shared" si="362"/>
        <v/>
      </c>
      <c r="AR384" s="4">
        <f t="shared" si="359"/>
      </c>
      <c r="AS384" s="4">
        <f t="shared" si="360"/>
      </c>
      <c r="AT384" s="4">
        <f t="shared" si="367"/>
      </c>
    </row>
    <row r="385" spans="1:46" x14ac:dyDescent="0.3">
      <c r="A385" s="5">
        <f t="shared" si="369"/>
      </c>
      <c r="B385" s="4">
        <f t="shared" si="349"/>
      </c>
      <c r="C385" s="119"/>
      <c r="D385" s="119"/>
      <c r="E385" s="105"/>
      <c r="F385" s="173"/>
      <c r="G385" s="173"/>
      <c r="H385" s="173"/>
      <c r="I385" s="105"/>
      <c r="J385" s="105"/>
      <c r="K385" s="105"/>
      <c r="L385" s="105"/>
      <c r="M385" s="4">
        <f t="shared" si="350"/>
      </c>
      <c r="N385" s="59"/>
      <c r="O385" s="164"/>
      <c r="P385" s="59">
        <f t="shared" si="368"/>
      </c>
      <c r="Q385" s="165"/>
      <c r="R385" s="59"/>
      <c r="S385" s="164"/>
      <c r="T385" s="5">
        <f t="shared" si="351"/>
      </c>
      <c r="U385" s="4">
        <f t="shared" si="370"/>
      </c>
      <c r="V385" s="4">
        <f t="shared" si="371"/>
      </c>
      <c r="W385" s="4">
        <f t="shared" si="372"/>
      </c>
      <c r="X385" s="4">
        <f t="shared" si="373"/>
      </c>
      <c r="Y385" s="4" cm="1">
        <f t="array" ref="Y385">_xlfn.IFS(H385=1,2,H385=3,1)</f>
      </c>
      <c r="Z385" s="4">
        <f t="shared" si="374"/>
      </c>
      <c r="AA385" s="4">
        <f t="shared" si="352"/>
      </c>
      <c r="AB385" s="4">
        <f t="shared" si="375"/>
      </c>
      <c r="AC385" s="4">
        <f t="shared" si="353"/>
      </c>
      <c r="AD385" s="4">
        <f t="shared" si="376"/>
      </c>
      <c r="AE385" s="4">
        <f t="shared" si="363"/>
      </c>
      <c r="AF385" s="4">
        <f t="shared" si="364"/>
      </c>
      <c r="AG385" s="4">
        <f t="shared" si="365"/>
        <v/>
      </c>
      <c r="AH385" s="4">
        <f t="shared" si="354"/>
      </c>
      <c r="AI385" s="4">
        <f t="shared" si="366"/>
      </c>
      <c r="AJ385" s="4">
        <f t="shared" si="355"/>
      </c>
      <c r="AK385" s="4">
        <f t="shared" si="377"/>
      </c>
      <c r="AL385" s="4">
        <f t="shared" si="356"/>
      </c>
      <c r="AM385" s="4">
        <f t="shared" si="357"/>
      </c>
      <c r="AN385" s="4"/>
      <c r="AO385" s="4">
        <f t="shared" si="361"/>
      </c>
      <c r="AP385" s="4">
        <f t="shared" si="358"/>
      </c>
      <c r="AQ385" s="4">
        <f t="shared" si="362"/>
        <v/>
      </c>
      <c r="AR385" s="4">
        <f t="shared" si="359"/>
      </c>
      <c r="AS385" s="4">
        <f t="shared" si="360"/>
      </c>
      <c r="AT385" s="4">
        <f t="shared" si="367"/>
      </c>
    </row>
    <row r="386" spans="1:46" x14ac:dyDescent="0.3">
      <c r="A386" s="5">
        <f t="shared" si="369"/>
      </c>
      <c r="B386" s="4">
        <f t="shared" si="349"/>
      </c>
      <c r="C386" s="119"/>
      <c r="D386" s="119"/>
      <c r="E386" s="105"/>
      <c r="F386" s="173"/>
      <c r="G386" s="173"/>
      <c r="H386" s="173"/>
      <c r="I386" s="105"/>
      <c r="J386" s="105"/>
      <c r="K386" s="105"/>
      <c r="L386" s="105"/>
      <c r="M386" s="4">
        <f t="shared" si="350"/>
      </c>
      <c r="N386" s="59"/>
      <c r="O386" s="164"/>
      <c r="P386" s="59">
        <f t="shared" si="368"/>
      </c>
      <c r="Q386" s="165"/>
      <c r="R386" s="59"/>
      <c r="S386" s="164"/>
      <c r="T386" s="5">
        <f t="shared" si="351"/>
      </c>
      <c r="U386" s="4">
        <f t="shared" si="370"/>
      </c>
      <c r="V386" s="4">
        <f t="shared" si="371"/>
      </c>
      <c r="W386" s="4">
        <f t="shared" si="372"/>
      </c>
      <c r="X386" s="4">
        <f t="shared" si="373"/>
      </c>
      <c r="Y386" s="4" cm="1">
        <f t="array" ref="Y386">_xlfn.IFS(H386=1,2,H386=3,1)</f>
      </c>
      <c r="Z386" s="4">
        <f t="shared" si="374"/>
      </c>
      <c r="AA386" s="4">
        <f t="shared" si="352"/>
      </c>
      <c r="AB386" s="4">
        <f t="shared" si="375"/>
      </c>
      <c r="AC386" s="4">
        <f t="shared" si="353"/>
      </c>
      <c r="AD386" s="4">
        <f t="shared" si="376"/>
      </c>
      <c r="AE386" s="4">
        <f t="shared" si="363"/>
      </c>
      <c r="AF386" s="4">
        <f t="shared" si="364"/>
      </c>
      <c r="AG386" s="4">
        <f t="shared" si="365"/>
        <v/>
      </c>
      <c r="AH386" s="4">
        <f t="shared" si="354"/>
      </c>
      <c r="AI386" s="4">
        <f t="shared" si="366"/>
      </c>
      <c r="AJ386" s="4">
        <f t="shared" si="355"/>
      </c>
      <c r="AK386" s="4">
        <f t="shared" si="377"/>
      </c>
      <c r="AL386" s="4">
        <f t="shared" si="356"/>
      </c>
      <c r="AM386" s="4">
        <f t="shared" si="357"/>
      </c>
      <c r="AN386" s="4"/>
      <c r="AO386" s="4">
        <f t="shared" si="361"/>
      </c>
      <c r="AP386" s="4">
        <f t="shared" si="358"/>
      </c>
      <c r="AQ386" s="4">
        <f t="shared" si="362"/>
        <v/>
      </c>
      <c r="AR386" s="4">
        <f t="shared" si="359"/>
      </c>
      <c r="AS386" s="4">
        <f t="shared" si="360"/>
      </c>
      <c r="AT386" s="4">
        <f t="shared" si="367"/>
      </c>
    </row>
    <row r="387" spans="1:46" x14ac:dyDescent="0.3">
      <c r="A387" s="5">
        <f t="shared" si="369"/>
      </c>
      <c r="B387" s="4">
        <f t="shared" ref="B387:B450" si="378">IFERROR(IF(VLOOKUP(AH387,Потребители_обозначение,4,FALSE)=1,VLOOKUP(AH387,Потребители_обозначение,2,FALSE)&amp;" "&amp;VLOOKUP(AI387,Этаж_обозначение,2,FALSE)&amp;" Пом. №"&amp;AG387,VLOOKUP(AH387,Потребители_обозначение,2,FALSE)&amp;" Шлейф №"&amp;AI387),VLOOKUP(D387,Потребители_обозначение,2,FALSE))</f>
      </c>
      <c r="C387" s="119"/>
      <c r="D387" s="119"/>
      <c r="E387" s="105"/>
      <c r="F387" s="173"/>
      <c r="G387" s="173"/>
      <c r="H387" s="173"/>
      <c r="I387" s="105"/>
      <c r="J387" s="105"/>
      <c r="K387" s="105"/>
      <c r="L387" s="105"/>
      <c r="M387" s="4">
        <f t="shared" ref="M387:M450" si="379">IFERROR(IF(VLOOKUP(AH387,Потребители_обозначение,4,FALSE)=1,VLOOKUP(AH387,Потребители_обозначение,3,FALSE)*(G387*2-1)+I387+VLOOKUP(AI387,Этаж_обозначение,3,FALSE)+VLOOKUP(AI387,Этаж_обозначение,4,FALSE),VLOOKUP(AH387,Потребители_обозначение,3,FALSE)*(G387*2-1)+I387),I387)</f>
      </c>
      <c r="N387" s="59"/>
      <c r="O387" s="164"/>
      <c r="P387" s="59">
        <f t="shared" si="368"/>
      </c>
      <c r="Q387" s="165"/>
      <c r="R387" s="59"/>
      <c r="S387" s="164"/>
      <c r="T387" s="5">
        <f t="shared" ref="T387:T450" si="380">_xlfn.IFS(H387=1,E387*1000/220,H387=3,E387/0.38/1.732)</f>
      </c>
      <c r="U387" s="4">
        <f t="shared" si="370"/>
      </c>
      <c r="V387" s="4">
        <f t="shared" si="371"/>
      </c>
      <c r="W387" s="4">
        <f t="shared" si="372"/>
      </c>
      <c r="X387" s="4">
        <f t="shared" si="373"/>
      </c>
      <c r="Y387" s="4" cm="1">
        <f t="array" ref="Y387">_xlfn.IFS(H387=1,2,H387=3,1)</f>
      </c>
      <c r="Z387" s="4">
        <f t="shared" si="374"/>
      </c>
      <c r="AA387" s="4">
        <f t="shared" ref="AA387:AA450" si="381">Y387*(W387*I387/V387+X387*I387*Z387/1000)*T387</f>
      </c>
      <c r="AB387" s="4">
        <f t="shared" si="375"/>
      </c>
      <c r="AC387" s="4">
        <f t="shared" ref="AC387:AC450" si="382">_xlfn.IFS(H387=3,380,H387=1,220)</f>
      </c>
      <c r="AD387" s="4">
        <f t="shared" si="376"/>
      </c>
      <c r="AE387" s="4">
        <f t="shared" si="363"/>
      </c>
      <c r="AF387" s="4">
        <f t="shared" si="364"/>
      </c>
      <c r="AG387" s="4">
        <f t="shared" si="365"/>
        <v/>
      </c>
      <c r="AH387" s="4">
        <f t="shared" ref="AH387:AH450" si="383">IFERROR(LEFT(A387,SEARCH(".",A387)-1),A387)</f>
      </c>
      <c r="AI387" s="4">
        <f t="shared" si="366"/>
      </c>
      <c r="AJ387" s="4">
        <f t="shared" ref="AJ387:AJ450" si="384">IF(C387=0,B387,C387)</f>
      </c>
      <c r="AK387" s="4">
        <f t="shared" si="377"/>
      </c>
      <c r="AL387" s="4">
        <f t="shared" ref="AL387:AL450" si="385">E387</f>
      </c>
      <c r="AM387" s="4">
        <f t="shared" ref="AM387:AM450" si="386">D387</f>
      </c>
      <c r="AN387" s="4"/>
      <c r="AO387" s="4">
        <f t="shared" si="361"/>
      </c>
      <c r="AP387" s="4">
        <f t="shared" ref="AP387:AP450" si="387">RIGHT(A387,LEN(A387)-SEARCH(".",A387))</f>
      </c>
      <c r="AQ387" s="4">
        <f t="shared" si="362"/>
        <v/>
      </c>
      <c r="AR387" s="4">
        <f t="shared" ref="AR387:AR450" si="388">IFERROR(IF(VLOOKUP(AH387,Потребители_обозначение,5,FALSE)=2,_xlfn.IFS(H387=3,VLOOKUP(E387,Справочная_двигатели,3,FALSE),H387=1,VLOOKUP(E387,Справочная_двигатели,5,TRUE)),0),0)</f>
      </c>
      <c r="AS387" s="4">
        <f t="shared" ref="AS387:AS450" si="389">IFERROR(IF(VLOOKUP(AH387,Потребители_обозначение,5,FALSE)=3,VLOOKUP(E387,Справочная_ЛЭД,2,TRUE),0),0)</f>
      </c>
      <c r="AT387" s="4">
        <f t="shared" si="367"/>
      </c>
    </row>
    <row r="388" spans="1:46" x14ac:dyDescent="0.3">
      <c r="A388" s="5">
        <f t="shared" si="369"/>
      </c>
      <c r="B388" s="4">
        <f t="shared" si="378"/>
      </c>
      <c r="C388" s="119"/>
      <c r="D388" s="119"/>
      <c r="E388" s="105"/>
      <c r="F388" s="173"/>
      <c r="G388" s="173"/>
      <c r="H388" s="173"/>
      <c r="I388" s="105"/>
      <c r="J388" s="105"/>
      <c r="K388" s="105"/>
      <c r="L388" s="105"/>
      <c r="M388" s="4">
        <f t="shared" si="379"/>
      </c>
      <c r="N388" s="59"/>
      <c r="O388" s="164"/>
      <c r="P388" s="59">
        <f t="shared" si="368"/>
      </c>
      <c r="Q388" s="165"/>
      <c r="R388" s="59"/>
      <c r="S388" s="164"/>
      <c r="T388" s="5">
        <f t="shared" si="380"/>
      </c>
      <c r="U388" s="4">
        <f t="shared" si="370"/>
      </c>
      <c r="V388" s="4">
        <f t="shared" si="371"/>
      </c>
      <c r="W388" s="4">
        <f t="shared" si="372"/>
      </c>
      <c r="X388" s="4">
        <f t="shared" si="373"/>
      </c>
      <c r="Y388" s="4" cm="1">
        <f t="array" ref="Y388">_xlfn.IFS(H388=1,2,H388=3,1)</f>
      </c>
      <c r="Z388" s="4">
        <f t="shared" si="374"/>
      </c>
      <c r="AA388" s="4">
        <f t="shared" si="381"/>
      </c>
      <c r="AB388" s="4">
        <f t="shared" si="375"/>
      </c>
      <c r="AC388" s="4">
        <f t="shared" si="382"/>
      </c>
      <c r="AD388" s="4">
        <f t="shared" si="376"/>
      </c>
      <c r="AE388" s="4">
        <f t="shared" si="363"/>
      </c>
      <c r="AF388" s="4">
        <f t="shared" si="364"/>
      </c>
      <c r="AG388" s="4">
        <f t="shared" si="365"/>
        <v/>
      </c>
      <c r="AH388" s="4">
        <f t="shared" si="383"/>
      </c>
      <c r="AI388" s="4">
        <f t="shared" si="366"/>
      </c>
      <c r="AJ388" s="4">
        <f t="shared" si="384"/>
      </c>
      <c r="AK388" s="4">
        <f t="shared" si="377"/>
      </c>
      <c r="AL388" s="4">
        <f t="shared" si="385"/>
      </c>
      <c r="AM388" s="4">
        <f t="shared" si="386"/>
      </c>
      <c r="AN388" s="4"/>
      <c r="AO388" s="4">
        <f t="shared" si="361"/>
      </c>
      <c r="AP388" s="4">
        <f t="shared" si="387"/>
      </c>
      <c r="AQ388" s="4">
        <f t="shared" si="362"/>
        <v/>
      </c>
      <c r="AR388" s="4">
        <f t="shared" si="388"/>
      </c>
      <c r="AS388" s="4">
        <f t="shared" si="389"/>
      </c>
      <c r="AT388" s="4">
        <f t="shared" si="367"/>
      </c>
    </row>
    <row r="389" spans="1:46" x14ac:dyDescent="0.3">
      <c r="A389" s="5">
        <f t="shared" si="369"/>
      </c>
      <c r="B389" s="4">
        <f t="shared" si="378"/>
      </c>
      <c r="C389" s="119"/>
      <c r="D389" s="119"/>
      <c r="E389" s="105"/>
      <c r="F389" s="173"/>
      <c r="G389" s="173"/>
      <c r="H389" s="173"/>
      <c r="I389" s="105"/>
      <c r="J389" s="105"/>
      <c r="K389" s="105"/>
      <c r="L389" s="105"/>
      <c r="M389" s="4">
        <f t="shared" si="379"/>
      </c>
      <c r="N389" s="59"/>
      <c r="O389" s="164"/>
      <c r="P389" s="59">
        <f t="shared" si="368"/>
      </c>
      <c r="Q389" s="165"/>
      <c r="R389" s="59"/>
      <c r="S389" s="164"/>
      <c r="T389" s="5">
        <f t="shared" si="380"/>
      </c>
      <c r="U389" s="4">
        <f t="shared" si="370"/>
      </c>
      <c r="V389" s="4">
        <f t="shared" si="371"/>
      </c>
      <c r="W389" s="4">
        <f t="shared" si="372"/>
      </c>
      <c r="X389" s="4">
        <f t="shared" si="373"/>
      </c>
      <c r="Y389" s="4" cm="1">
        <f t="array" ref="Y389">_xlfn.IFS(H389=1,2,H389=3,1)</f>
      </c>
      <c r="Z389" s="4">
        <f t="shared" si="374"/>
      </c>
      <c r="AA389" s="4">
        <f t="shared" si="381"/>
      </c>
      <c r="AB389" s="4">
        <f t="shared" si="375"/>
      </c>
      <c r="AC389" s="4">
        <f t="shared" si="382"/>
      </c>
      <c r="AD389" s="4">
        <f t="shared" si="376"/>
      </c>
      <c r="AE389" s="4">
        <f t="shared" si="363"/>
      </c>
      <c r="AF389" s="4">
        <f t="shared" si="364"/>
      </c>
      <c r="AG389" s="4">
        <f t="shared" si="365"/>
        <v/>
      </c>
      <c r="AH389" s="4">
        <f t="shared" si="383"/>
      </c>
      <c r="AI389" s="4">
        <f t="shared" si="366"/>
      </c>
      <c r="AJ389" s="4">
        <f t="shared" si="384"/>
      </c>
      <c r="AK389" s="4">
        <f t="shared" si="377"/>
      </c>
      <c r="AL389" s="4">
        <f t="shared" si="385"/>
      </c>
      <c r="AM389" s="4">
        <f t="shared" si="386"/>
      </c>
      <c r="AN389" s="4"/>
      <c r="AO389" s="4">
        <f t="shared" ref="AO389:AO452" si="390">IF(V389=0,AD389,AE389&amp;"
L="&amp;M389&amp;"-"&amp;AB389&amp;"%")</f>
      </c>
      <c r="AP389" s="4">
        <f t="shared" si="387"/>
      </c>
      <c r="AQ389" s="4">
        <f t="shared" ref="AQ389:AQ452" si="391">IFERROR(RIGHT(AP389,LEN(AP389)-SEARCH(".",AP389)),"")</f>
        <v/>
      </c>
      <c r="AR389" s="4">
        <f t="shared" si="388"/>
      </c>
      <c r="AS389" s="4">
        <f t="shared" si="389"/>
      </c>
      <c r="AT389" s="4">
        <f t="shared" si="367"/>
      </c>
    </row>
    <row r="390" spans="1:46" x14ac:dyDescent="0.3">
      <c r="A390" s="5">
        <f t="shared" si="369"/>
      </c>
      <c r="B390" s="4">
        <f t="shared" si="378"/>
      </c>
      <c r="C390" s="119"/>
      <c r="D390" s="119"/>
      <c r="E390" s="105"/>
      <c r="F390" s="173"/>
      <c r="G390" s="173"/>
      <c r="H390" s="173"/>
      <c r="I390" s="105"/>
      <c r="J390" s="105"/>
      <c r="K390" s="105"/>
      <c r="L390" s="105"/>
      <c r="M390" s="4">
        <f t="shared" si="379"/>
      </c>
      <c r="N390" s="59"/>
      <c r="O390" s="164"/>
      <c r="P390" s="59">
        <f t="shared" si="368"/>
      </c>
      <c r="Q390" s="165"/>
      <c r="R390" s="59"/>
      <c r="S390" s="164"/>
      <c r="T390" s="5">
        <f t="shared" si="380"/>
      </c>
      <c r="U390" s="4">
        <f t="shared" si="370"/>
      </c>
      <c r="V390" s="4">
        <f t="shared" si="371"/>
      </c>
      <c r="W390" s="4">
        <f t="shared" si="372"/>
      </c>
      <c r="X390" s="4">
        <f t="shared" si="373"/>
      </c>
      <c r="Y390" s="4" cm="1">
        <f t="array" ref="Y390">_xlfn.IFS(H390=1,2,H390=3,1)</f>
      </c>
      <c r="Z390" s="4">
        <f t="shared" si="374"/>
      </c>
      <c r="AA390" s="4">
        <f t="shared" si="381"/>
      </c>
      <c r="AB390" s="4">
        <f t="shared" si="375"/>
      </c>
      <c r="AC390" s="4">
        <f t="shared" si="382"/>
      </c>
      <c r="AD390" s="4">
        <f t="shared" si="376"/>
      </c>
      <c r="AE390" s="4">
        <f t="shared" ref="AE390:AE453" si="392">IF(VLOOKUP(N390,Кабель_обозначение,3,FALSE)=1,AD390&amp;" ("&amp;O390&amp;"х"&amp;V390&amp;")",AD390)</f>
      </c>
      <c r="AF390" s="4">
        <f t="shared" si="364"/>
      </c>
      <c r="AG390" s="4">
        <f t="shared" si="365"/>
        <v/>
      </c>
      <c r="AH390" s="4">
        <f t="shared" si="383"/>
      </c>
      <c r="AI390" s="4">
        <f t="shared" si="366"/>
      </c>
      <c r="AJ390" s="4">
        <f t="shared" si="384"/>
      </c>
      <c r="AK390" s="4">
        <f t="shared" si="377"/>
      </c>
      <c r="AL390" s="4">
        <f t="shared" si="385"/>
      </c>
      <c r="AM390" s="4">
        <f t="shared" si="386"/>
      </c>
      <c r="AN390" s="4"/>
      <c r="AO390" s="4">
        <f t="shared" si="390"/>
      </c>
      <c r="AP390" s="4">
        <f t="shared" si="387"/>
      </c>
      <c r="AQ390" s="4">
        <f t="shared" si="391"/>
        <v/>
      </c>
      <c r="AR390" s="4">
        <f t="shared" si="388"/>
      </c>
      <c r="AS390" s="4">
        <f t="shared" si="389"/>
      </c>
      <c r="AT390" s="4">
        <f t="shared" si="367"/>
      </c>
    </row>
    <row r="391" spans="1:46" x14ac:dyDescent="0.3">
      <c r="A391" s="5">
        <f t="shared" si="369"/>
      </c>
      <c r="B391" s="4">
        <f t="shared" si="378"/>
      </c>
      <c r="C391" s="119"/>
      <c r="D391" s="119"/>
      <c r="E391" s="105"/>
      <c r="F391" s="173"/>
      <c r="G391" s="173"/>
      <c r="H391" s="173"/>
      <c r="I391" s="105"/>
      <c r="J391" s="105"/>
      <c r="K391" s="105"/>
      <c r="L391" s="105"/>
      <c r="M391" s="4">
        <f t="shared" si="379"/>
      </c>
      <c r="N391" s="59"/>
      <c r="O391" s="164"/>
      <c r="P391" s="59">
        <f t="shared" si="368"/>
      </c>
      <c r="Q391" s="165"/>
      <c r="R391" s="59"/>
      <c r="S391" s="164"/>
      <c r="T391" s="5">
        <f t="shared" si="380"/>
      </c>
      <c r="U391" s="4">
        <f t="shared" si="370"/>
      </c>
      <c r="V391" s="4">
        <f t="shared" si="371"/>
      </c>
      <c r="W391" s="4">
        <f t="shared" si="372"/>
      </c>
      <c r="X391" s="4">
        <f t="shared" si="373"/>
      </c>
      <c r="Y391" s="4" cm="1">
        <f t="array" ref="Y391">_xlfn.IFS(H391=1,2,H391=3,1)</f>
      </c>
      <c r="Z391" s="4">
        <f t="shared" si="374"/>
      </c>
      <c r="AA391" s="4">
        <f t="shared" si="381"/>
      </c>
      <c r="AB391" s="4">
        <f t="shared" si="375"/>
      </c>
      <c r="AC391" s="4">
        <f t="shared" si="382"/>
      </c>
      <c r="AD391" s="4">
        <f t="shared" si="376"/>
      </c>
      <c r="AE391" s="4">
        <f t="shared" si="392"/>
      </c>
      <c r="AF391" s="4">
        <f t="shared" ref="AF391:AF454" si="393">IFERROR(IF(AB391&gt;4.5,1,2),0)</f>
      </c>
      <c r="AG391" s="4">
        <f t="shared" ref="AG391:AG454" si="394">IFERROR(LEFT(AQ391,SEARCH(".",AQ391)-1),AQ391)</f>
        <v/>
      </c>
      <c r="AH391" s="4">
        <f t="shared" si="383"/>
      </c>
      <c r="AI391" s="4">
        <f t="shared" si="366"/>
      </c>
      <c r="AJ391" s="4">
        <f t="shared" si="384"/>
      </c>
      <c r="AK391" s="4">
        <f t="shared" si="377"/>
      </c>
      <c r="AL391" s="4">
        <f t="shared" si="385"/>
      </c>
      <c r="AM391" s="4">
        <f t="shared" si="386"/>
      </c>
      <c r="AN391" s="4"/>
      <c r="AO391" s="4">
        <f t="shared" si="390"/>
      </c>
      <c r="AP391" s="4">
        <f t="shared" si="387"/>
      </c>
      <c r="AQ391" s="4">
        <f t="shared" si="391"/>
        <v/>
      </c>
      <c r="AR391" s="4">
        <f t="shared" si="388"/>
      </c>
      <c r="AS391" s="4">
        <f t="shared" si="389"/>
      </c>
      <c r="AT391" s="4">
        <f t="shared" si="367"/>
      </c>
    </row>
    <row r="392" spans="1:46" x14ac:dyDescent="0.3">
      <c r="A392" s="5">
        <f t="shared" si="369"/>
      </c>
      <c r="B392" s="4">
        <f t="shared" si="378"/>
      </c>
      <c r="C392" s="119"/>
      <c r="D392" s="119"/>
      <c r="E392" s="105"/>
      <c r="F392" s="173"/>
      <c r="G392" s="173"/>
      <c r="H392" s="173"/>
      <c r="I392" s="105"/>
      <c r="J392" s="105"/>
      <c r="K392" s="105"/>
      <c r="L392" s="105"/>
      <c r="M392" s="4">
        <f t="shared" si="379"/>
      </c>
      <c r="N392" s="59"/>
      <c r="O392" s="164"/>
      <c r="P392" s="59">
        <f t="shared" si="368"/>
      </c>
      <c r="Q392" s="165"/>
      <c r="R392" s="59"/>
      <c r="S392" s="164"/>
      <c r="T392" s="5">
        <f t="shared" si="380"/>
      </c>
      <c r="U392" s="4">
        <f t="shared" si="370"/>
      </c>
      <c r="V392" s="4">
        <f t="shared" si="371"/>
      </c>
      <c r="W392" s="4">
        <f t="shared" si="372"/>
      </c>
      <c r="X392" s="4">
        <f t="shared" si="373"/>
      </c>
      <c r="Y392" s="4" cm="1">
        <f t="array" ref="Y392">_xlfn.IFS(H392=1,2,H392=3,1)</f>
      </c>
      <c r="Z392" s="4">
        <f t="shared" si="374"/>
      </c>
      <c r="AA392" s="4">
        <f t="shared" si="381"/>
      </c>
      <c r="AB392" s="4">
        <f t="shared" si="375"/>
      </c>
      <c r="AC392" s="4">
        <f t="shared" si="382"/>
      </c>
      <c r="AD392" s="4">
        <f t="shared" si="376"/>
      </c>
      <c r="AE392" s="4">
        <f t="shared" si="392"/>
      </c>
      <c r="AF392" s="4">
        <f t="shared" si="393"/>
      </c>
      <c r="AG392" s="4">
        <f t="shared" si="394"/>
        <v/>
      </c>
      <c r="AH392" s="4">
        <f t="shared" si="383"/>
      </c>
      <c r="AI392" s="4">
        <f t="shared" ref="AI392:AI455" si="395">IFERROR(LEFT(AP392,SEARCH(".",AP392)-1),AP392)</f>
      </c>
      <c r="AJ392" s="4">
        <f t="shared" si="384"/>
      </c>
      <c r="AK392" s="4">
        <f t="shared" si="377"/>
      </c>
      <c r="AL392" s="4">
        <f t="shared" si="385"/>
      </c>
      <c r="AM392" s="4">
        <f t="shared" si="386"/>
      </c>
      <c r="AN392" s="4"/>
      <c r="AO392" s="4">
        <f t="shared" si="390"/>
      </c>
      <c r="AP392" s="4">
        <f t="shared" si="387"/>
      </c>
      <c r="AQ392" s="4">
        <f t="shared" si="391"/>
        <v/>
      </c>
      <c r="AR392" s="4">
        <f t="shared" si="388"/>
      </c>
      <c r="AS392" s="4">
        <f t="shared" si="389"/>
      </c>
      <c r="AT392" s="4">
        <f t="shared" si="367"/>
      </c>
    </row>
    <row r="393" spans="1:46" ht="15" thickBot="1" x14ac:dyDescent="0.35">
      <c r="A393" s="45">
        <f t="shared" si="369"/>
      </c>
      <c r="B393" s="44">
        <f t="shared" si="378"/>
      </c>
      <c r="C393" s="175"/>
      <c r="D393" s="175"/>
      <c r="E393" s="176"/>
      <c r="F393" s="178"/>
      <c r="G393" s="178"/>
      <c r="H393" s="178"/>
      <c r="I393" s="176"/>
      <c r="J393" s="176"/>
      <c r="K393" s="176"/>
      <c r="L393" s="176"/>
      <c r="M393" s="44">
        <f t="shared" si="379"/>
      </c>
      <c r="N393" s="64"/>
      <c r="O393" s="166"/>
      <c r="P393" s="64">
        <f t="shared" si="368"/>
      </c>
      <c r="Q393" s="170"/>
      <c r="R393" s="64"/>
      <c r="S393" s="166"/>
      <c r="T393" s="45">
        <f t="shared" si="380"/>
      </c>
      <c r="U393" s="44">
        <f t="shared" si="370"/>
      </c>
      <c r="V393" s="44">
        <f t="shared" si="371"/>
      </c>
      <c r="W393" s="44">
        <f t="shared" si="372"/>
      </c>
      <c r="X393" s="44">
        <f t="shared" si="373"/>
      </c>
      <c r="Y393" s="44" cm="1">
        <f t="array" ref="Y393">_xlfn.IFS(H393=1,2,H393=3,1)</f>
      </c>
      <c r="Z393" s="44">
        <f t="shared" si="374"/>
      </c>
      <c r="AA393" s="44">
        <f t="shared" si="381"/>
      </c>
      <c r="AB393" s="44">
        <f t="shared" si="375"/>
      </c>
      <c r="AC393" s="44">
        <f t="shared" si="382"/>
      </c>
      <c r="AD393" s="44">
        <f t="shared" si="376"/>
      </c>
      <c r="AE393" s="44">
        <f t="shared" si="392"/>
      </c>
      <c r="AF393" s="44">
        <f t="shared" si="393"/>
      </c>
      <c r="AG393" s="44">
        <f t="shared" si="394"/>
        <v/>
      </c>
      <c r="AH393" s="44">
        <f t="shared" si="383"/>
      </c>
      <c r="AI393" s="44">
        <f t="shared" si="395"/>
      </c>
      <c r="AJ393" s="44">
        <f t="shared" si="384"/>
      </c>
      <c r="AK393" s="44">
        <f t="shared" si="377"/>
      </c>
      <c r="AL393" s="44">
        <f t="shared" si="385"/>
      </c>
      <c r="AM393" s="44">
        <f t="shared" si="386"/>
      </c>
      <c r="AN393" s="44"/>
      <c r="AO393" s="44">
        <f t="shared" si="390"/>
      </c>
      <c r="AP393" s="44">
        <f t="shared" si="387"/>
      </c>
      <c r="AQ393" s="44">
        <f t="shared" si="391"/>
        <v/>
      </c>
      <c r="AR393" s="44">
        <f t="shared" si="388"/>
      </c>
      <c r="AS393" s="44">
        <f t="shared" si="389"/>
      </c>
      <c r="AT393" s="44">
        <f t="shared" si="367"/>
      </c>
    </row>
    <row r="394" spans="1:46" x14ac:dyDescent="0.3">
      <c r="A394" s="19">
        <f t="shared" si="369"/>
      </c>
      <c r="B394" s="7">
        <f t="shared" si="378"/>
      </c>
      <c r="C394" s="177"/>
      <c r="D394" s="177"/>
      <c r="E394" s="179"/>
      <c r="F394" s="182"/>
      <c r="G394" s="182"/>
      <c r="H394" s="182"/>
      <c r="I394" s="179"/>
      <c r="J394" s="179"/>
      <c r="K394" s="179"/>
      <c r="L394" s="179"/>
      <c r="M394" s="7">
        <f t="shared" si="379"/>
      </c>
      <c r="N394" s="65"/>
      <c r="O394" s="168"/>
      <c r="P394" s="65">
        <f t="shared" si="368"/>
      </c>
      <c r="Q394" s="118"/>
      <c r="R394" s="65"/>
      <c r="S394" s="168"/>
      <c r="T394" s="19">
        <f t="shared" si="380"/>
      </c>
      <c r="U394" s="7">
        <f t="shared" si="370"/>
      </c>
      <c r="V394" s="7">
        <f t="shared" si="371"/>
      </c>
      <c r="W394" s="7">
        <f t="shared" si="372"/>
      </c>
      <c r="X394" s="7">
        <f t="shared" si="373"/>
      </c>
      <c r="Y394" s="7" cm="1">
        <f t="array" ref="Y394">_xlfn.IFS(H394=1,2,H394=3,1)</f>
      </c>
      <c r="Z394" s="7">
        <f t="shared" si="374"/>
      </c>
      <c r="AA394" s="7">
        <f t="shared" si="381"/>
      </c>
      <c r="AB394" s="7">
        <f t="shared" si="375"/>
      </c>
      <c r="AC394" s="7">
        <f t="shared" si="382"/>
      </c>
      <c r="AD394" s="7">
        <f t="shared" si="376"/>
      </c>
      <c r="AE394" s="7">
        <f t="shared" si="392"/>
      </c>
      <c r="AF394" s="7">
        <f t="shared" si="393"/>
      </c>
      <c r="AG394" s="7">
        <f t="shared" si="394"/>
        <v/>
      </c>
      <c r="AH394" s="7">
        <f t="shared" si="383"/>
      </c>
      <c r="AI394" s="7">
        <f t="shared" si="395"/>
      </c>
      <c r="AJ394" s="7">
        <f t="shared" si="384"/>
      </c>
      <c r="AK394" s="7">
        <f t="shared" si="377"/>
      </c>
      <c r="AL394" s="7">
        <f t="shared" si="385"/>
      </c>
      <c r="AM394" s="7">
        <f t="shared" si="386"/>
      </c>
      <c r="AN394" s="7"/>
      <c r="AO394" s="7">
        <f t="shared" si="390"/>
      </c>
      <c r="AP394" s="7">
        <f t="shared" si="387"/>
      </c>
      <c r="AQ394" s="7">
        <f t="shared" si="391"/>
        <v/>
      </c>
      <c r="AR394" s="7">
        <f t="shared" si="388"/>
      </c>
      <c r="AS394" s="7">
        <f t="shared" si="389"/>
      </c>
      <c r="AT394" s="7">
        <f t="shared" si="367"/>
      </c>
    </row>
    <row r="395" spans="1:46" x14ac:dyDescent="0.3">
      <c r="A395" s="5">
        <f t="shared" si="369"/>
      </c>
      <c r="B395" s="4">
        <f t="shared" si="378"/>
      </c>
      <c r="C395" s="119"/>
      <c r="D395" s="119"/>
      <c r="E395" s="105"/>
      <c r="F395" s="173"/>
      <c r="G395" s="173"/>
      <c r="H395" s="173"/>
      <c r="I395" s="105"/>
      <c r="J395" s="105"/>
      <c r="K395" s="105"/>
      <c r="L395" s="105"/>
      <c r="M395" s="4">
        <f t="shared" si="379"/>
      </c>
      <c r="N395" s="59"/>
      <c r="O395" s="164"/>
      <c r="P395" s="59">
        <f t="shared" si="368"/>
      </c>
      <c r="Q395" s="165"/>
      <c r="R395" s="59"/>
      <c r="S395" s="164"/>
      <c r="T395" s="5">
        <f t="shared" si="380"/>
      </c>
      <c r="U395" s="4">
        <f t="shared" si="370"/>
      </c>
      <c r="V395" s="4">
        <f t="shared" si="371"/>
      </c>
      <c r="W395" s="4">
        <f t="shared" si="372"/>
      </c>
      <c r="X395" s="4">
        <f t="shared" si="373"/>
      </c>
      <c r="Y395" s="4" cm="1">
        <f t="array" ref="Y395">_xlfn.IFS(H395=1,2,H395=3,1)</f>
      </c>
      <c r="Z395" s="4">
        <f t="shared" si="374"/>
      </c>
      <c r="AA395" s="4">
        <f t="shared" si="381"/>
      </c>
      <c r="AB395" s="4">
        <f t="shared" si="375"/>
      </c>
      <c r="AC395" s="4">
        <f t="shared" si="382"/>
      </c>
      <c r="AD395" s="4">
        <f t="shared" si="376"/>
      </c>
      <c r="AE395" s="4">
        <f t="shared" si="392"/>
      </c>
      <c r="AF395" s="4">
        <f t="shared" si="393"/>
      </c>
      <c r="AG395" s="4">
        <f t="shared" si="394"/>
        <v/>
      </c>
      <c r="AH395" s="4">
        <f t="shared" si="383"/>
      </c>
      <c r="AI395" s="4">
        <f t="shared" si="395"/>
      </c>
      <c r="AJ395" s="4">
        <f t="shared" si="384"/>
      </c>
      <c r="AK395" s="4">
        <f t="shared" si="377"/>
      </c>
      <c r="AL395" s="4">
        <f t="shared" si="385"/>
      </c>
      <c r="AM395" s="4">
        <f t="shared" si="386"/>
      </c>
      <c r="AN395" s="4"/>
      <c r="AO395" s="4">
        <f t="shared" si="390"/>
      </c>
      <c r="AP395" s="4">
        <f t="shared" si="387"/>
      </c>
      <c r="AQ395" s="4">
        <f t="shared" si="391"/>
        <v/>
      </c>
      <c r="AR395" s="4">
        <f t="shared" si="388"/>
      </c>
      <c r="AS395" s="4">
        <f t="shared" si="389"/>
      </c>
      <c r="AT395" s="4">
        <f t="shared" ref="AT395:AT458" si="396">IF(AR395=0,AS395,AR395)</f>
      </c>
    </row>
    <row r="396" spans="1:46" x14ac:dyDescent="0.3">
      <c r="A396" s="5">
        <f t="shared" si="369"/>
      </c>
      <c r="B396" s="4">
        <f t="shared" si="378"/>
      </c>
      <c r="C396" s="119"/>
      <c r="D396" s="119"/>
      <c r="E396" s="105"/>
      <c r="F396" s="173"/>
      <c r="G396" s="173"/>
      <c r="H396" s="173"/>
      <c r="I396" s="105"/>
      <c r="J396" s="105"/>
      <c r="K396" s="105"/>
      <c r="L396" s="105"/>
      <c r="M396" s="4">
        <f t="shared" si="379"/>
      </c>
      <c r="N396" s="59"/>
      <c r="O396" s="164"/>
      <c r="P396" s="59">
        <f t="shared" si="368"/>
      </c>
      <c r="Q396" s="165"/>
      <c r="R396" s="59"/>
      <c r="S396" s="164"/>
      <c r="T396" s="5">
        <f t="shared" si="380"/>
      </c>
      <c r="U396" s="4">
        <f t="shared" si="370"/>
      </c>
      <c r="V396" s="4">
        <f t="shared" si="371"/>
      </c>
      <c r="W396" s="4">
        <f t="shared" si="372"/>
      </c>
      <c r="X396" s="4">
        <f t="shared" si="373"/>
      </c>
      <c r="Y396" s="4" cm="1">
        <f t="array" ref="Y396">_xlfn.IFS(H396=1,2,H396=3,1)</f>
      </c>
      <c r="Z396" s="4">
        <f t="shared" si="374"/>
      </c>
      <c r="AA396" s="4">
        <f t="shared" si="381"/>
      </c>
      <c r="AB396" s="4">
        <f t="shared" si="375"/>
      </c>
      <c r="AC396" s="4">
        <f t="shared" si="382"/>
      </c>
      <c r="AD396" s="4">
        <f t="shared" si="376"/>
      </c>
      <c r="AE396" s="4">
        <f t="shared" si="392"/>
      </c>
      <c r="AF396" s="4">
        <f t="shared" si="393"/>
      </c>
      <c r="AG396" s="4">
        <f t="shared" si="394"/>
        <v/>
      </c>
      <c r="AH396" s="4">
        <f t="shared" si="383"/>
      </c>
      <c r="AI396" s="4">
        <f t="shared" si="395"/>
      </c>
      <c r="AJ396" s="4">
        <f t="shared" si="384"/>
      </c>
      <c r="AK396" s="4">
        <f t="shared" si="377"/>
      </c>
      <c r="AL396" s="4">
        <f t="shared" si="385"/>
      </c>
      <c r="AM396" s="4">
        <f t="shared" si="386"/>
      </c>
      <c r="AN396" s="4"/>
      <c r="AO396" s="4">
        <f t="shared" si="390"/>
      </c>
      <c r="AP396" s="4">
        <f t="shared" si="387"/>
      </c>
      <c r="AQ396" s="4">
        <f t="shared" si="391"/>
        <v/>
      </c>
      <c r="AR396" s="4">
        <f t="shared" si="388"/>
      </c>
      <c r="AS396" s="4">
        <f t="shared" si="389"/>
      </c>
      <c r="AT396" s="4">
        <f t="shared" si="396"/>
      </c>
    </row>
    <row r="397" spans="1:46" x14ac:dyDescent="0.3">
      <c r="A397" s="5">
        <f t="shared" si="369"/>
      </c>
      <c r="B397" s="4">
        <f t="shared" si="378"/>
      </c>
      <c r="C397" s="119"/>
      <c r="D397" s="119"/>
      <c r="E397" s="105"/>
      <c r="F397" s="173"/>
      <c r="G397" s="173"/>
      <c r="H397" s="173"/>
      <c r="I397" s="105"/>
      <c r="J397" s="105"/>
      <c r="K397" s="105"/>
      <c r="L397" s="105"/>
      <c r="M397" s="4">
        <f t="shared" si="379"/>
      </c>
      <c r="N397" s="59"/>
      <c r="O397" s="164"/>
      <c r="P397" s="59">
        <f t="shared" si="368"/>
      </c>
      <c r="Q397" s="165"/>
      <c r="R397" s="59"/>
      <c r="S397" s="164"/>
      <c r="T397" s="5">
        <f t="shared" si="380"/>
      </c>
      <c r="U397" s="4">
        <f t="shared" si="370"/>
      </c>
      <c r="V397" s="4">
        <f t="shared" si="371"/>
      </c>
      <c r="W397" s="4">
        <f t="shared" si="372"/>
      </c>
      <c r="X397" s="4">
        <f t="shared" si="373"/>
      </c>
      <c r="Y397" s="4" cm="1">
        <f t="array" ref="Y397">_xlfn.IFS(H397=1,2,H397=3,1)</f>
      </c>
      <c r="Z397" s="4">
        <f t="shared" si="374"/>
      </c>
      <c r="AA397" s="4">
        <f t="shared" si="381"/>
      </c>
      <c r="AB397" s="4">
        <f t="shared" si="375"/>
      </c>
      <c r="AC397" s="4">
        <f t="shared" si="382"/>
      </c>
      <c r="AD397" s="4">
        <f t="shared" si="376"/>
      </c>
      <c r="AE397" s="4">
        <f t="shared" si="392"/>
      </c>
      <c r="AF397" s="4">
        <f t="shared" si="393"/>
      </c>
      <c r="AG397" s="4">
        <f t="shared" si="394"/>
        <v/>
      </c>
      <c r="AH397" s="4">
        <f t="shared" si="383"/>
      </c>
      <c r="AI397" s="4">
        <f t="shared" si="395"/>
      </c>
      <c r="AJ397" s="4">
        <f t="shared" si="384"/>
      </c>
      <c r="AK397" s="4">
        <f t="shared" si="377"/>
      </c>
      <c r="AL397" s="4">
        <f t="shared" si="385"/>
      </c>
      <c r="AM397" s="4">
        <f t="shared" si="386"/>
      </c>
      <c r="AN397" s="4"/>
      <c r="AO397" s="4">
        <f t="shared" si="390"/>
      </c>
      <c r="AP397" s="4">
        <f t="shared" si="387"/>
      </c>
      <c r="AQ397" s="4">
        <f t="shared" si="391"/>
        <v/>
      </c>
      <c r="AR397" s="4">
        <f t="shared" si="388"/>
      </c>
      <c r="AS397" s="4">
        <f t="shared" si="389"/>
      </c>
      <c r="AT397" s="4">
        <f t="shared" si="396"/>
      </c>
    </row>
    <row r="398" spans="1:46" x14ac:dyDescent="0.3">
      <c r="A398" s="5">
        <f t="shared" si="369"/>
      </c>
      <c r="B398" s="4">
        <f t="shared" si="378"/>
      </c>
      <c r="C398" s="119"/>
      <c r="D398" s="119"/>
      <c r="E398" s="105"/>
      <c r="F398" s="173"/>
      <c r="G398" s="173"/>
      <c r="H398" s="173"/>
      <c r="I398" s="105"/>
      <c r="J398" s="105"/>
      <c r="K398" s="105"/>
      <c r="L398" s="105"/>
      <c r="M398" s="4">
        <f t="shared" si="379"/>
      </c>
      <c r="N398" s="59"/>
      <c r="O398" s="164"/>
      <c r="P398" s="59">
        <f t="shared" si="368"/>
      </c>
      <c r="Q398" s="165"/>
      <c r="R398" s="59"/>
      <c r="S398" s="164"/>
      <c r="T398" s="5">
        <f t="shared" si="380"/>
      </c>
      <c r="U398" s="4">
        <f t="shared" si="370"/>
      </c>
      <c r="V398" s="4">
        <f t="shared" si="371"/>
      </c>
      <c r="W398" s="4">
        <f t="shared" si="372"/>
      </c>
      <c r="X398" s="4">
        <f t="shared" si="373"/>
      </c>
      <c r="Y398" s="4" cm="1">
        <f t="array" ref="Y398">_xlfn.IFS(H398=1,2,H398=3,1)</f>
      </c>
      <c r="Z398" s="4">
        <f t="shared" si="374"/>
      </c>
      <c r="AA398" s="4">
        <f t="shared" si="381"/>
      </c>
      <c r="AB398" s="4">
        <f t="shared" si="375"/>
      </c>
      <c r="AC398" s="4">
        <f t="shared" si="382"/>
      </c>
      <c r="AD398" s="4">
        <f t="shared" si="376"/>
      </c>
      <c r="AE398" s="4">
        <f t="shared" si="392"/>
      </c>
      <c r="AF398" s="4">
        <f t="shared" si="393"/>
      </c>
      <c r="AG398" s="4">
        <f t="shared" si="394"/>
        <v/>
      </c>
      <c r="AH398" s="4">
        <f t="shared" si="383"/>
      </c>
      <c r="AI398" s="4">
        <f t="shared" si="395"/>
      </c>
      <c r="AJ398" s="4">
        <f t="shared" si="384"/>
      </c>
      <c r="AK398" s="4">
        <f t="shared" si="377"/>
      </c>
      <c r="AL398" s="4">
        <f t="shared" si="385"/>
      </c>
      <c r="AM398" s="4">
        <f t="shared" si="386"/>
      </c>
      <c r="AN398" s="4"/>
      <c r="AO398" s="4">
        <f t="shared" si="390"/>
      </c>
      <c r="AP398" s="4">
        <f t="shared" si="387"/>
      </c>
      <c r="AQ398" s="4">
        <f t="shared" si="391"/>
        <v/>
      </c>
      <c r="AR398" s="4">
        <f t="shared" si="388"/>
      </c>
      <c r="AS398" s="4">
        <f t="shared" si="389"/>
      </c>
      <c r="AT398" s="4">
        <f t="shared" si="396"/>
      </c>
    </row>
    <row r="399" spans="1:46" x14ac:dyDescent="0.3">
      <c r="A399" s="5">
        <f t="shared" si="369"/>
      </c>
      <c r="B399" s="4">
        <f t="shared" si="378"/>
      </c>
      <c r="C399" s="119"/>
      <c r="D399" s="119"/>
      <c r="E399" s="105"/>
      <c r="F399" s="173"/>
      <c r="G399" s="173"/>
      <c r="H399" s="173"/>
      <c r="I399" s="105"/>
      <c r="J399" s="105"/>
      <c r="K399" s="105"/>
      <c r="L399" s="105"/>
      <c r="M399" s="4">
        <f t="shared" si="379"/>
      </c>
      <c r="N399" s="59"/>
      <c r="O399" s="164"/>
      <c r="P399" s="59">
        <f t="shared" si="368"/>
      </c>
      <c r="Q399" s="165"/>
      <c r="R399" s="59"/>
      <c r="S399" s="164"/>
      <c r="T399" s="5">
        <f t="shared" si="380"/>
      </c>
      <c r="U399" s="4">
        <f t="shared" si="370"/>
      </c>
      <c r="V399" s="4">
        <f t="shared" si="371"/>
      </c>
      <c r="W399" s="4">
        <f t="shared" si="372"/>
      </c>
      <c r="X399" s="4">
        <f t="shared" si="373"/>
      </c>
      <c r="Y399" s="4" cm="1">
        <f t="array" ref="Y399">_xlfn.IFS(H399=1,2,H399=3,1)</f>
      </c>
      <c r="Z399" s="4">
        <f t="shared" si="374"/>
      </c>
      <c r="AA399" s="4">
        <f t="shared" si="381"/>
      </c>
      <c r="AB399" s="4">
        <f t="shared" si="375"/>
      </c>
      <c r="AC399" s="4">
        <f t="shared" si="382"/>
      </c>
      <c r="AD399" s="4">
        <f t="shared" si="376"/>
      </c>
      <c r="AE399" s="4">
        <f t="shared" si="392"/>
      </c>
      <c r="AF399" s="4">
        <f t="shared" si="393"/>
      </c>
      <c r="AG399" s="4">
        <f t="shared" si="394"/>
        <v/>
      </c>
      <c r="AH399" s="4">
        <f t="shared" si="383"/>
      </c>
      <c r="AI399" s="4">
        <f t="shared" si="395"/>
      </c>
      <c r="AJ399" s="4">
        <f t="shared" si="384"/>
      </c>
      <c r="AK399" s="4">
        <f t="shared" si="377"/>
      </c>
      <c r="AL399" s="4">
        <f t="shared" si="385"/>
      </c>
      <c r="AM399" s="4">
        <f t="shared" si="386"/>
      </c>
      <c r="AN399" s="4"/>
      <c r="AO399" s="4">
        <f t="shared" si="390"/>
      </c>
      <c r="AP399" s="4">
        <f t="shared" si="387"/>
      </c>
      <c r="AQ399" s="4">
        <f t="shared" si="391"/>
        <v/>
      </c>
      <c r="AR399" s="4">
        <f t="shared" si="388"/>
      </c>
      <c r="AS399" s="4">
        <f t="shared" si="389"/>
      </c>
      <c r="AT399" s="4">
        <f t="shared" si="396"/>
      </c>
    </row>
    <row r="400" spans="1:46" x14ac:dyDescent="0.3">
      <c r="A400" s="5">
        <f t="shared" si="369"/>
      </c>
      <c r="B400" s="4">
        <f t="shared" si="378"/>
      </c>
      <c r="C400" s="119"/>
      <c r="D400" s="119"/>
      <c r="E400" s="105"/>
      <c r="F400" s="173"/>
      <c r="G400" s="173"/>
      <c r="H400" s="173"/>
      <c r="I400" s="105"/>
      <c r="J400" s="105"/>
      <c r="K400" s="105"/>
      <c r="L400" s="105"/>
      <c r="M400" s="4">
        <f t="shared" si="379"/>
      </c>
      <c r="N400" s="59"/>
      <c r="O400" s="164"/>
      <c r="P400" s="59">
        <f t="shared" si="368"/>
      </c>
      <c r="Q400" s="165"/>
      <c r="R400" s="59"/>
      <c r="S400" s="164"/>
      <c r="T400" s="5">
        <f t="shared" si="380"/>
      </c>
      <c r="U400" s="4">
        <f t="shared" si="370"/>
      </c>
      <c r="V400" s="4">
        <f t="shared" si="371"/>
      </c>
      <c r="W400" s="4">
        <f t="shared" si="372"/>
      </c>
      <c r="X400" s="4">
        <f t="shared" si="373"/>
      </c>
      <c r="Y400" s="4" cm="1">
        <f t="array" ref="Y400">_xlfn.IFS(H400=1,2,H400=3,1)</f>
      </c>
      <c r="Z400" s="4">
        <f t="shared" si="374"/>
      </c>
      <c r="AA400" s="4">
        <f t="shared" si="381"/>
      </c>
      <c r="AB400" s="4">
        <f t="shared" si="375"/>
      </c>
      <c r="AC400" s="4">
        <f t="shared" si="382"/>
      </c>
      <c r="AD400" s="4">
        <f t="shared" si="376"/>
      </c>
      <c r="AE400" s="4">
        <f t="shared" si="392"/>
      </c>
      <c r="AF400" s="4">
        <f t="shared" si="393"/>
      </c>
      <c r="AG400" s="4">
        <f t="shared" si="394"/>
        <v/>
      </c>
      <c r="AH400" s="4">
        <f t="shared" si="383"/>
      </c>
      <c r="AI400" s="4">
        <f t="shared" si="395"/>
      </c>
      <c r="AJ400" s="4">
        <f t="shared" si="384"/>
      </c>
      <c r="AK400" s="4">
        <f t="shared" si="377"/>
      </c>
      <c r="AL400" s="4">
        <f t="shared" si="385"/>
      </c>
      <c r="AM400" s="4">
        <f t="shared" si="386"/>
      </c>
      <c r="AN400" s="4"/>
      <c r="AO400" s="4">
        <f t="shared" si="390"/>
      </c>
      <c r="AP400" s="4">
        <f t="shared" si="387"/>
      </c>
      <c r="AQ400" s="4">
        <f t="shared" si="391"/>
        <v/>
      </c>
      <c r="AR400" s="4">
        <f t="shared" si="388"/>
      </c>
      <c r="AS400" s="4">
        <f t="shared" si="389"/>
      </c>
      <c r="AT400" s="4">
        <f t="shared" si="396"/>
      </c>
    </row>
    <row r="401" spans="1:46" x14ac:dyDescent="0.3">
      <c r="A401" s="5">
        <f t="shared" si="369"/>
      </c>
      <c r="B401" s="4">
        <f t="shared" si="378"/>
      </c>
      <c r="C401" s="119"/>
      <c r="D401" s="119"/>
      <c r="E401" s="105"/>
      <c r="F401" s="173"/>
      <c r="G401" s="173"/>
      <c r="H401" s="173"/>
      <c r="I401" s="105"/>
      <c r="J401" s="105"/>
      <c r="K401" s="105"/>
      <c r="L401" s="105"/>
      <c r="M401" s="4">
        <f t="shared" si="379"/>
      </c>
      <c r="N401" s="59"/>
      <c r="O401" s="164"/>
      <c r="P401" s="59">
        <f t="shared" si="368"/>
      </c>
      <c r="Q401" s="165"/>
      <c r="R401" s="59"/>
      <c r="S401" s="164"/>
      <c r="T401" s="5">
        <f t="shared" si="380"/>
      </c>
      <c r="U401" s="4">
        <f t="shared" si="370"/>
      </c>
      <c r="V401" s="4">
        <f t="shared" si="371"/>
      </c>
      <c r="W401" s="4">
        <f t="shared" si="372"/>
      </c>
      <c r="X401" s="4">
        <f t="shared" si="373"/>
      </c>
      <c r="Y401" s="4" cm="1">
        <f t="array" ref="Y401">_xlfn.IFS(H401=1,2,H401=3,1)</f>
      </c>
      <c r="Z401" s="4">
        <f t="shared" si="374"/>
      </c>
      <c r="AA401" s="4">
        <f t="shared" si="381"/>
      </c>
      <c r="AB401" s="4">
        <f t="shared" si="375"/>
      </c>
      <c r="AC401" s="4">
        <f t="shared" si="382"/>
      </c>
      <c r="AD401" s="4">
        <f t="shared" si="376"/>
      </c>
      <c r="AE401" s="4">
        <f t="shared" si="392"/>
      </c>
      <c r="AF401" s="4">
        <f t="shared" si="393"/>
      </c>
      <c r="AG401" s="4">
        <f t="shared" si="394"/>
        <v/>
      </c>
      <c r="AH401" s="4">
        <f t="shared" si="383"/>
      </c>
      <c r="AI401" s="4">
        <f t="shared" si="395"/>
      </c>
      <c r="AJ401" s="4">
        <f t="shared" si="384"/>
      </c>
      <c r="AK401" s="4">
        <f t="shared" si="377"/>
      </c>
      <c r="AL401" s="4">
        <f t="shared" si="385"/>
      </c>
      <c r="AM401" s="4">
        <f t="shared" si="386"/>
      </c>
      <c r="AN401" s="4"/>
      <c r="AO401" s="4">
        <f t="shared" si="390"/>
      </c>
      <c r="AP401" s="4">
        <f t="shared" si="387"/>
      </c>
      <c r="AQ401" s="4">
        <f t="shared" si="391"/>
        <v/>
      </c>
      <c r="AR401" s="4">
        <f t="shared" si="388"/>
      </c>
      <c r="AS401" s="4">
        <f t="shared" si="389"/>
      </c>
      <c r="AT401" s="4">
        <f t="shared" si="396"/>
      </c>
    </row>
    <row r="402" spans="1:46" x14ac:dyDescent="0.3">
      <c r="A402" s="5">
        <f t="shared" si="369"/>
      </c>
      <c r="B402" s="4">
        <f t="shared" si="378"/>
      </c>
      <c r="C402" s="119"/>
      <c r="D402" s="119"/>
      <c r="E402" s="105"/>
      <c r="F402" s="173"/>
      <c r="G402" s="173"/>
      <c r="H402" s="173"/>
      <c r="I402" s="105"/>
      <c r="J402" s="105"/>
      <c r="K402" s="105"/>
      <c r="L402" s="105"/>
      <c r="M402" s="4">
        <f t="shared" si="379"/>
      </c>
      <c r="N402" s="59"/>
      <c r="O402" s="164"/>
      <c r="P402" s="59">
        <f t="shared" si="368"/>
      </c>
      <c r="Q402" s="165"/>
      <c r="R402" s="59"/>
      <c r="S402" s="164"/>
      <c r="T402" s="5">
        <f t="shared" si="380"/>
      </c>
      <c r="U402" s="4">
        <f t="shared" si="370"/>
      </c>
      <c r="V402" s="4">
        <f t="shared" si="371"/>
      </c>
      <c r="W402" s="4">
        <f t="shared" si="372"/>
      </c>
      <c r="X402" s="4">
        <f t="shared" si="373"/>
      </c>
      <c r="Y402" s="4" cm="1">
        <f t="array" ref="Y402">_xlfn.IFS(H402=1,2,H402=3,1)</f>
      </c>
      <c r="Z402" s="4">
        <f t="shared" si="374"/>
      </c>
      <c r="AA402" s="4">
        <f t="shared" si="381"/>
      </c>
      <c r="AB402" s="4">
        <f t="shared" si="375"/>
      </c>
      <c r="AC402" s="4">
        <f t="shared" si="382"/>
      </c>
      <c r="AD402" s="4">
        <f t="shared" si="376"/>
      </c>
      <c r="AE402" s="4">
        <f t="shared" si="392"/>
      </c>
      <c r="AF402" s="4">
        <f t="shared" si="393"/>
      </c>
      <c r="AG402" s="4">
        <f t="shared" si="394"/>
        <v/>
      </c>
      <c r="AH402" s="4">
        <f t="shared" si="383"/>
      </c>
      <c r="AI402" s="4">
        <f t="shared" si="395"/>
      </c>
      <c r="AJ402" s="4">
        <f t="shared" si="384"/>
      </c>
      <c r="AK402" s="4">
        <f t="shared" si="377"/>
      </c>
      <c r="AL402" s="4">
        <f t="shared" si="385"/>
      </c>
      <c r="AM402" s="4">
        <f t="shared" si="386"/>
      </c>
      <c r="AN402" s="4"/>
      <c r="AO402" s="4">
        <f t="shared" si="390"/>
      </c>
      <c r="AP402" s="4">
        <f t="shared" si="387"/>
      </c>
      <c r="AQ402" s="4">
        <f t="shared" si="391"/>
        <v/>
      </c>
      <c r="AR402" s="4">
        <f t="shared" si="388"/>
      </c>
      <c r="AS402" s="4">
        <f t="shared" si="389"/>
      </c>
      <c r="AT402" s="4">
        <f t="shared" si="396"/>
      </c>
    </row>
    <row r="403" spans="1:46" x14ac:dyDescent="0.3">
      <c r="A403" s="5">
        <f t="shared" si="369"/>
      </c>
      <c r="B403" s="4">
        <f t="shared" si="378"/>
      </c>
      <c r="C403" s="119"/>
      <c r="D403" s="119"/>
      <c r="E403" s="105"/>
      <c r="F403" s="173"/>
      <c r="G403" s="173"/>
      <c r="H403" s="173"/>
      <c r="I403" s="105"/>
      <c r="J403" s="105"/>
      <c r="K403" s="105"/>
      <c r="L403" s="105"/>
      <c r="M403" s="4">
        <f t="shared" si="379"/>
      </c>
      <c r="N403" s="59"/>
      <c r="O403" s="164"/>
      <c r="P403" s="59">
        <f t="shared" si="368"/>
      </c>
      <c r="Q403" s="165"/>
      <c r="R403" s="59"/>
      <c r="S403" s="164"/>
      <c r="T403" s="5">
        <f t="shared" si="380"/>
      </c>
      <c r="U403" s="4">
        <f t="shared" si="370"/>
      </c>
      <c r="V403" s="4">
        <f t="shared" si="371"/>
      </c>
      <c r="W403" s="4">
        <f t="shared" si="372"/>
      </c>
      <c r="X403" s="4">
        <f t="shared" si="373"/>
      </c>
      <c r="Y403" s="4" cm="1">
        <f t="array" ref="Y403">_xlfn.IFS(H403=1,2,H403=3,1)</f>
      </c>
      <c r="Z403" s="4">
        <f t="shared" si="374"/>
      </c>
      <c r="AA403" s="4">
        <f t="shared" si="381"/>
      </c>
      <c r="AB403" s="4">
        <f t="shared" si="375"/>
      </c>
      <c r="AC403" s="4">
        <f t="shared" si="382"/>
      </c>
      <c r="AD403" s="4">
        <f t="shared" si="376"/>
      </c>
      <c r="AE403" s="4">
        <f t="shared" si="392"/>
      </c>
      <c r="AF403" s="4">
        <f t="shared" si="393"/>
      </c>
      <c r="AG403" s="4">
        <f t="shared" si="394"/>
        <v/>
      </c>
      <c r="AH403" s="4">
        <f t="shared" si="383"/>
      </c>
      <c r="AI403" s="4">
        <f t="shared" si="395"/>
      </c>
      <c r="AJ403" s="4">
        <f t="shared" si="384"/>
      </c>
      <c r="AK403" s="4">
        <f t="shared" si="377"/>
      </c>
      <c r="AL403" s="4">
        <f t="shared" si="385"/>
      </c>
      <c r="AM403" s="4">
        <f t="shared" si="386"/>
      </c>
      <c r="AN403" s="4"/>
      <c r="AO403" s="4">
        <f t="shared" si="390"/>
      </c>
      <c r="AP403" s="4">
        <f t="shared" si="387"/>
      </c>
      <c r="AQ403" s="4">
        <f t="shared" si="391"/>
        <v/>
      </c>
      <c r="AR403" s="4">
        <f t="shared" si="388"/>
      </c>
      <c r="AS403" s="4">
        <f t="shared" si="389"/>
      </c>
      <c r="AT403" s="4">
        <f t="shared" si="396"/>
      </c>
    </row>
    <row r="404" spans="1:46" x14ac:dyDescent="0.3">
      <c r="A404" s="5">
        <f t="shared" si="369"/>
      </c>
      <c r="B404" s="4">
        <f t="shared" si="378"/>
      </c>
      <c r="C404" s="119"/>
      <c r="D404" s="119"/>
      <c r="E404" s="105"/>
      <c r="F404" s="173"/>
      <c r="G404" s="173"/>
      <c r="H404" s="173"/>
      <c r="I404" s="105"/>
      <c r="J404" s="105"/>
      <c r="K404" s="105"/>
      <c r="L404" s="105"/>
      <c r="M404" s="4">
        <f t="shared" si="379"/>
      </c>
      <c r="N404" s="59"/>
      <c r="O404" s="164"/>
      <c r="P404" s="59">
        <f t="shared" si="368"/>
      </c>
      <c r="Q404" s="165"/>
      <c r="R404" s="59"/>
      <c r="S404" s="164"/>
      <c r="T404" s="5">
        <f t="shared" si="380"/>
      </c>
      <c r="U404" s="4">
        <f t="shared" si="370"/>
      </c>
      <c r="V404" s="4">
        <f t="shared" si="371"/>
      </c>
      <c r="W404" s="4">
        <f t="shared" si="372"/>
      </c>
      <c r="X404" s="4">
        <f t="shared" si="373"/>
      </c>
      <c r="Y404" s="4" cm="1">
        <f t="array" ref="Y404">_xlfn.IFS(H404=1,2,H404=3,1)</f>
      </c>
      <c r="Z404" s="4">
        <f t="shared" si="374"/>
      </c>
      <c r="AA404" s="4">
        <f t="shared" si="381"/>
      </c>
      <c r="AB404" s="4">
        <f t="shared" si="375"/>
      </c>
      <c r="AC404" s="4">
        <f t="shared" si="382"/>
      </c>
      <c r="AD404" s="4">
        <f t="shared" si="376"/>
      </c>
      <c r="AE404" s="4">
        <f t="shared" si="392"/>
      </c>
      <c r="AF404" s="4">
        <f t="shared" si="393"/>
      </c>
      <c r="AG404" s="4">
        <f t="shared" si="394"/>
        <v/>
      </c>
      <c r="AH404" s="4">
        <f t="shared" si="383"/>
      </c>
      <c r="AI404" s="4">
        <f t="shared" si="395"/>
      </c>
      <c r="AJ404" s="4">
        <f t="shared" si="384"/>
      </c>
      <c r="AK404" s="4">
        <f t="shared" si="377"/>
      </c>
      <c r="AL404" s="4">
        <f t="shared" si="385"/>
      </c>
      <c r="AM404" s="4">
        <f t="shared" si="386"/>
      </c>
      <c r="AN404" s="4"/>
      <c r="AO404" s="4">
        <f t="shared" si="390"/>
      </c>
      <c r="AP404" s="4">
        <f t="shared" si="387"/>
      </c>
      <c r="AQ404" s="4">
        <f t="shared" si="391"/>
        <v/>
      </c>
      <c r="AR404" s="4">
        <f t="shared" si="388"/>
      </c>
      <c r="AS404" s="4">
        <f t="shared" si="389"/>
      </c>
      <c r="AT404" s="4">
        <f t="shared" si="396"/>
      </c>
    </row>
    <row r="405" spans="1:46" x14ac:dyDescent="0.3">
      <c r="A405" s="5">
        <f t="shared" si="369"/>
      </c>
      <c r="B405" s="4">
        <f t="shared" si="378"/>
      </c>
      <c r="C405" s="119"/>
      <c r="D405" s="119"/>
      <c r="E405" s="105"/>
      <c r="F405" s="173"/>
      <c r="G405" s="173"/>
      <c r="H405" s="173"/>
      <c r="I405" s="105"/>
      <c r="J405" s="105"/>
      <c r="K405" s="105"/>
      <c r="L405" s="105"/>
      <c r="M405" s="4">
        <f t="shared" si="379"/>
      </c>
      <c r="N405" s="59"/>
      <c r="O405" s="164"/>
      <c r="P405" s="59">
        <f t="shared" ref="P405:P406" si="397">IF(VLOOKUP(AH405,Потребители_обозначение,5,FALSE)=2,_xlfn.IFS(H405=3,VLOOKUP(E405,Справочная_двигатели,8,FALSE),H405=1,VLOOKUP(E405,Справочная_двигатели,10,TRUE)),0.95)</f>
      </c>
      <c r="Q405" s="165"/>
      <c r="R405" s="59"/>
      <c r="S405" s="164"/>
      <c r="T405" s="5">
        <f t="shared" si="380"/>
      </c>
      <c r="U405" s="4">
        <f t="shared" si="370"/>
      </c>
      <c r="V405" s="4">
        <f t="shared" si="371"/>
      </c>
      <c r="W405" s="4">
        <f t="shared" si="372"/>
      </c>
      <c r="X405" s="4">
        <f t="shared" si="373"/>
      </c>
      <c r="Y405" s="4" cm="1">
        <f t="array" ref="Y405">_xlfn.IFS(H405=1,2,H405=3,1)</f>
      </c>
      <c r="Z405" s="4">
        <f t="shared" si="374"/>
      </c>
      <c r="AA405" s="4">
        <f t="shared" si="381"/>
      </c>
      <c r="AB405" s="4">
        <f t="shared" si="375"/>
      </c>
      <c r="AC405" s="4">
        <f t="shared" si="382"/>
      </c>
      <c r="AD405" s="4">
        <f t="shared" si="376"/>
      </c>
      <c r="AE405" s="4">
        <f t="shared" si="392"/>
      </c>
      <c r="AF405" s="4">
        <f t="shared" si="393"/>
      </c>
      <c r="AG405" s="4">
        <f t="shared" si="394"/>
        <v/>
      </c>
      <c r="AH405" s="4">
        <f t="shared" si="383"/>
      </c>
      <c r="AI405" s="4">
        <f t="shared" si="395"/>
      </c>
      <c r="AJ405" s="4">
        <f t="shared" si="384"/>
      </c>
      <c r="AK405" s="4">
        <f t="shared" si="377"/>
      </c>
      <c r="AL405" s="4">
        <f t="shared" si="385"/>
      </c>
      <c r="AM405" s="4">
        <f t="shared" si="386"/>
      </c>
      <c r="AN405" s="4"/>
      <c r="AO405" s="4">
        <f t="shared" si="390"/>
      </c>
      <c r="AP405" s="4">
        <f t="shared" si="387"/>
      </c>
      <c r="AQ405" s="4">
        <f t="shared" si="391"/>
        <v/>
      </c>
      <c r="AR405" s="4">
        <f t="shared" si="388"/>
      </c>
      <c r="AS405" s="4">
        <f t="shared" si="389"/>
      </c>
      <c r="AT405" s="4">
        <f t="shared" si="396"/>
      </c>
    </row>
    <row r="406" spans="1:46" x14ac:dyDescent="0.3">
      <c r="A406" s="5">
        <f t="shared" si="369"/>
      </c>
      <c r="B406" s="4">
        <f t="shared" si="378"/>
      </c>
      <c r="C406" s="119"/>
      <c r="D406" s="119"/>
      <c r="E406" s="105"/>
      <c r="F406" s="173"/>
      <c r="G406" s="173"/>
      <c r="H406" s="173"/>
      <c r="I406" s="105"/>
      <c r="J406" s="105"/>
      <c r="K406" s="105"/>
      <c r="L406" s="105"/>
      <c r="M406" s="4">
        <f t="shared" si="379"/>
      </c>
      <c r="N406" s="59"/>
      <c r="O406" s="164"/>
      <c r="P406" s="59">
        <f t="shared" si="397"/>
      </c>
      <c r="Q406" s="165"/>
      <c r="R406" s="59"/>
      <c r="S406" s="164"/>
      <c r="T406" s="5">
        <f t="shared" si="380"/>
      </c>
      <c r="U406" s="4">
        <f t="shared" si="370"/>
      </c>
      <c r="V406" s="4">
        <f t="shared" si="371"/>
      </c>
      <c r="W406" s="4">
        <f t="shared" si="372"/>
      </c>
      <c r="X406" s="4">
        <f t="shared" si="373"/>
      </c>
      <c r="Y406" s="4" cm="1">
        <f t="array" ref="Y406">_xlfn.IFS(H406=1,2,H406=3,1)</f>
      </c>
      <c r="Z406" s="4">
        <f t="shared" si="374"/>
      </c>
      <c r="AA406" s="4">
        <f t="shared" si="381"/>
      </c>
      <c r="AB406" s="4">
        <f t="shared" si="375"/>
      </c>
      <c r="AC406" s="4">
        <f t="shared" si="382"/>
      </c>
      <c r="AD406" s="4">
        <f t="shared" si="376"/>
      </c>
      <c r="AE406" s="4">
        <f t="shared" si="392"/>
      </c>
      <c r="AF406" s="4">
        <f t="shared" si="393"/>
      </c>
      <c r="AG406" s="4">
        <f t="shared" si="394"/>
        <v/>
      </c>
      <c r="AH406" s="4">
        <f t="shared" si="383"/>
      </c>
      <c r="AI406" s="4">
        <f t="shared" si="395"/>
      </c>
      <c r="AJ406" s="4">
        <f t="shared" si="384"/>
      </c>
      <c r="AK406" s="4">
        <f t="shared" si="377"/>
      </c>
      <c r="AL406" s="4">
        <f t="shared" si="385"/>
      </c>
      <c r="AM406" s="4">
        <f t="shared" si="386"/>
      </c>
      <c r="AN406" s="4"/>
      <c r="AO406" s="4">
        <f t="shared" si="390"/>
      </c>
      <c r="AP406" s="4">
        <f t="shared" si="387"/>
      </c>
      <c r="AQ406" s="4">
        <f t="shared" si="391"/>
        <v/>
      </c>
      <c r="AR406" s="4">
        <f t="shared" si="388"/>
      </c>
      <c r="AS406" s="4">
        <f t="shared" si="389"/>
      </c>
      <c r="AT406" s="4">
        <f t="shared" si="396"/>
      </c>
    </row>
    <row r="407" spans="1:46" x14ac:dyDescent="0.3">
      <c r="A407" s="5">
        <f t="shared" si="369"/>
      </c>
      <c r="B407" s="4">
        <f t="shared" si="378"/>
      </c>
      <c r="C407" s="119"/>
      <c r="D407" s="119"/>
      <c r="E407" s="105"/>
      <c r="F407" s="173"/>
      <c r="G407" s="173"/>
      <c r="H407" s="173"/>
      <c r="I407" s="105"/>
      <c r="J407" s="105"/>
      <c r="K407" s="105"/>
      <c r="L407" s="105"/>
      <c r="M407" s="4">
        <f t="shared" si="379"/>
      </c>
      <c r="N407" s="59"/>
      <c r="O407" s="164"/>
      <c r="P407" s="59">
        <f t="shared" ref="P407:P468" si="398">IF(VLOOKUP(AH407,Потребители_обозначение,5,FALSE)=2,_xlfn.IFS(H407=3,VLOOKUP(E407,Справочная_двигатели,8,FALSE),H407=1,VLOOKUP(E407,Справочная_двигатели,10,TRUE)),0.95)</f>
      </c>
      <c r="Q407" s="165"/>
      <c r="R407" s="59"/>
      <c r="S407" s="164"/>
      <c r="T407" s="5">
        <f t="shared" si="380"/>
      </c>
      <c r="U407" s="4">
        <f t="shared" si="370"/>
      </c>
      <c r="V407" s="4">
        <f t="shared" si="371"/>
      </c>
      <c r="W407" s="4">
        <f t="shared" si="372"/>
      </c>
      <c r="X407" s="4">
        <f t="shared" si="373"/>
      </c>
      <c r="Y407" s="4" cm="1">
        <f t="array" ref="Y407">_xlfn.IFS(H407=1,2,H407=3,1)</f>
      </c>
      <c r="Z407" s="4">
        <f t="shared" si="374"/>
      </c>
      <c r="AA407" s="4">
        <f t="shared" si="381"/>
      </c>
      <c r="AB407" s="4">
        <f t="shared" si="375"/>
      </c>
      <c r="AC407" s="4">
        <f t="shared" si="382"/>
      </c>
      <c r="AD407" s="4">
        <f t="shared" si="376"/>
      </c>
      <c r="AE407" s="4">
        <f t="shared" si="392"/>
      </c>
      <c r="AF407" s="4">
        <f t="shared" si="393"/>
      </c>
      <c r="AG407" s="4">
        <f t="shared" si="394"/>
        <v/>
      </c>
      <c r="AH407" s="4">
        <f t="shared" si="383"/>
      </c>
      <c r="AI407" s="4">
        <f t="shared" si="395"/>
      </c>
      <c r="AJ407" s="4">
        <f t="shared" si="384"/>
      </c>
      <c r="AK407" s="4">
        <f t="shared" si="377"/>
      </c>
      <c r="AL407" s="4">
        <f t="shared" si="385"/>
      </c>
      <c r="AM407" s="4">
        <f t="shared" si="386"/>
      </c>
      <c r="AN407" s="4"/>
      <c r="AO407" s="4">
        <f t="shared" si="390"/>
      </c>
      <c r="AP407" s="4">
        <f t="shared" si="387"/>
      </c>
      <c r="AQ407" s="4">
        <f t="shared" si="391"/>
        <v/>
      </c>
      <c r="AR407" s="4">
        <f t="shared" si="388"/>
      </c>
      <c r="AS407" s="4">
        <f t="shared" si="389"/>
      </c>
      <c r="AT407" s="4">
        <f t="shared" si="396"/>
      </c>
    </row>
    <row r="408" spans="1:46" x14ac:dyDescent="0.3">
      <c r="A408" s="5">
        <f t="shared" si="369"/>
      </c>
      <c r="B408" s="4">
        <f t="shared" si="378"/>
      </c>
      <c r="C408" s="119"/>
      <c r="D408" s="119"/>
      <c r="E408" s="105"/>
      <c r="F408" s="173"/>
      <c r="G408" s="173"/>
      <c r="H408" s="173"/>
      <c r="I408" s="105"/>
      <c r="J408" s="105"/>
      <c r="K408" s="105"/>
      <c r="L408" s="105"/>
      <c r="M408" s="4">
        <f t="shared" si="379"/>
      </c>
      <c r="N408" s="59"/>
      <c r="O408" s="164"/>
      <c r="P408" s="59">
        <f t="shared" si="398"/>
      </c>
      <c r="Q408" s="165"/>
      <c r="R408" s="59"/>
      <c r="S408" s="164"/>
      <c r="T408" s="5">
        <f t="shared" si="380"/>
      </c>
      <c r="U408" s="4">
        <f t="shared" si="370"/>
      </c>
      <c r="V408" s="4">
        <f t="shared" si="371"/>
      </c>
      <c r="W408" s="4">
        <f t="shared" si="372"/>
      </c>
      <c r="X408" s="4">
        <f t="shared" si="373"/>
      </c>
      <c r="Y408" s="4" cm="1">
        <f t="array" ref="Y408">_xlfn.IFS(H408=1,2,H408=3,1)</f>
      </c>
      <c r="Z408" s="4">
        <f t="shared" si="374"/>
      </c>
      <c r="AA408" s="4">
        <f t="shared" si="381"/>
      </c>
      <c r="AB408" s="4">
        <f t="shared" si="375"/>
      </c>
      <c r="AC408" s="4">
        <f t="shared" si="382"/>
      </c>
      <c r="AD408" s="4">
        <f t="shared" si="376"/>
      </c>
      <c r="AE408" s="4">
        <f t="shared" si="392"/>
      </c>
      <c r="AF408" s="4">
        <f t="shared" si="393"/>
      </c>
      <c r="AG408" s="4">
        <f t="shared" si="394"/>
        <v/>
      </c>
      <c r="AH408" s="4">
        <f t="shared" si="383"/>
      </c>
      <c r="AI408" s="4">
        <f t="shared" si="395"/>
      </c>
      <c r="AJ408" s="4">
        <f t="shared" si="384"/>
      </c>
      <c r="AK408" s="4">
        <f t="shared" si="377"/>
      </c>
      <c r="AL408" s="4">
        <f t="shared" si="385"/>
      </c>
      <c r="AM408" s="4">
        <f t="shared" si="386"/>
      </c>
      <c r="AN408" s="4"/>
      <c r="AO408" s="4">
        <f t="shared" si="390"/>
      </c>
      <c r="AP408" s="4">
        <f t="shared" si="387"/>
      </c>
      <c r="AQ408" s="4">
        <f t="shared" si="391"/>
        <v/>
      </c>
      <c r="AR408" s="4">
        <f t="shared" si="388"/>
      </c>
      <c r="AS408" s="4">
        <f t="shared" si="389"/>
      </c>
      <c r="AT408" s="4">
        <f t="shared" si="396"/>
      </c>
    </row>
    <row r="409" spans="1:46" x14ac:dyDescent="0.3">
      <c r="A409" s="5">
        <f t="shared" si="369"/>
      </c>
      <c r="B409" s="4">
        <f t="shared" si="378"/>
      </c>
      <c r="C409" s="119"/>
      <c r="D409" s="119"/>
      <c r="E409" s="105"/>
      <c r="F409" s="173"/>
      <c r="G409" s="173"/>
      <c r="H409" s="173"/>
      <c r="I409" s="105"/>
      <c r="J409" s="105"/>
      <c r="K409" s="105"/>
      <c r="L409" s="105"/>
      <c r="M409" s="4">
        <f t="shared" si="379"/>
      </c>
      <c r="N409" s="59"/>
      <c r="O409" s="164"/>
      <c r="P409" s="59">
        <f t="shared" si="398"/>
      </c>
      <c r="Q409" s="165"/>
      <c r="R409" s="59"/>
      <c r="S409" s="164"/>
      <c r="T409" s="5">
        <f t="shared" si="380"/>
      </c>
      <c r="U409" s="4">
        <f t="shared" si="370"/>
      </c>
      <c r="V409" s="4">
        <f t="shared" si="371"/>
      </c>
      <c r="W409" s="4">
        <f t="shared" si="372"/>
      </c>
      <c r="X409" s="4">
        <f t="shared" si="373"/>
      </c>
      <c r="Y409" s="4" cm="1">
        <f t="array" ref="Y409">_xlfn.IFS(H409=1,2,H409=3,1)</f>
      </c>
      <c r="Z409" s="4">
        <f t="shared" si="374"/>
      </c>
      <c r="AA409" s="4">
        <f t="shared" si="381"/>
      </c>
      <c r="AB409" s="4">
        <f t="shared" si="375"/>
      </c>
      <c r="AC409" s="4">
        <f t="shared" si="382"/>
      </c>
      <c r="AD409" s="4">
        <f t="shared" si="376"/>
      </c>
      <c r="AE409" s="4">
        <f t="shared" si="392"/>
      </c>
      <c r="AF409" s="4">
        <f t="shared" si="393"/>
      </c>
      <c r="AG409" s="4">
        <f t="shared" si="394"/>
        <v/>
      </c>
      <c r="AH409" s="4">
        <f t="shared" si="383"/>
      </c>
      <c r="AI409" s="4">
        <f t="shared" si="395"/>
      </c>
      <c r="AJ409" s="4">
        <f t="shared" si="384"/>
      </c>
      <c r="AK409" s="4">
        <f t="shared" si="377"/>
      </c>
      <c r="AL409" s="4">
        <f t="shared" si="385"/>
      </c>
      <c r="AM409" s="4">
        <f t="shared" si="386"/>
      </c>
      <c r="AN409" s="4"/>
      <c r="AO409" s="4">
        <f t="shared" si="390"/>
      </c>
      <c r="AP409" s="4">
        <f t="shared" si="387"/>
      </c>
      <c r="AQ409" s="4">
        <f t="shared" si="391"/>
        <v/>
      </c>
      <c r="AR409" s="4">
        <f t="shared" si="388"/>
      </c>
      <c r="AS409" s="4">
        <f t="shared" si="389"/>
      </c>
      <c r="AT409" s="4">
        <f t="shared" si="396"/>
      </c>
    </row>
    <row r="410" spans="1:46" ht="15" thickBot="1" x14ac:dyDescent="0.35">
      <c r="A410" s="45">
        <f t="shared" si="369"/>
      </c>
      <c r="B410" s="44">
        <f t="shared" si="378"/>
      </c>
      <c r="C410" s="175"/>
      <c r="D410" s="175"/>
      <c r="E410" s="176"/>
      <c r="F410" s="178"/>
      <c r="G410" s="178"/>
      <c r="H410" s="178"/>
      <c r="I410" s="176"/>
      <c r="J410" s="176"/>
      <c r="K410" s="176"/>
      <c r="L410" s="176"/>
      <c r="M410" s="44">
        <f t="shared" si="379"/>
      </c>
      <c r="N410" s="64"/>
      <c r="O410" s="166"/>
      <c r="P410" s="64">
        <f t="shared" si="398"/>
      </c>
      <c r="Q410" s="170"/>
      <c r="R410" s="64"/>
      <c r="S410" s="166"/>
      <c r="T410" s="45">
        <f t="shared" si="380"/>
      </c>
      <c r="U410" s="44">
        <f t="shared" si="370"/>
      </c>
      <c r="V410" s="44">
        <f t="shared" si="371"/>
      </c>
      <c r="W410" s="44">
        <f t="shared" si="372"/>
      </c>
      <c r="X410" s="44">
        <f t="shared" si="373"/>
      </c>
      <c r="Y410" s="44" cm="1">
        <f t="array" ref="Y410">_xlfn.IFS(H410=1,2,H410=3,1)</f>
      </c>
      <c r="Z410" s="44">
        <f t="shared" si="374"/>
      </c>
      <c r="AA410" s="44">
        <f t="shared" si="381"/>
      </c>
      <c r="AB410" s="44">
        <f t="shared" si="375"/>
      </c>
      <c r="AC410" s="44">
        <f t="shared" si="382"/>
      </c>
      <c r="AD410" s="44">
        <f t="shared" si="376"/>
      </c>
      <c r="AE410" s="44">
        <f t="shared" si="392"/>
      </c>
      <c r="AF410" s="44">
        <f t="shared" si="393"/>
      </c>
      <c r="AG410" s="44">
        <f t="shared" si="394"/>
        <v/>
      </c>
      <c r="AH410" s="44">
        <f t="shared" si="383"/>
      </c>
      <c r="AI410" s="44">
        <f t="shared" si="395"/>
      </c>
      <c r="AJ410" s="44">
        <f t="shared" si="384"/>
      </c>
      <c r="AK410" s="44">
        <f t="shared" si="377"/>
      </c>
      <c r="AL410" s="44">
        <f t="shared" si="385"/>
      </c>
      <c r="AM410" s="44">
        <f t="shared" si="386"/>
      </c>
      <c r="AN410" s="44"/>
      <c r="AO410" s="44">
        <f t="shared" si="390"/>
      </c>
      <c r="AP410" s="44">
        <f t="shared" si="387"/>
      </c>
      <c r="AQ410" s="44">
        <f t="shared" si="391"/>
        <v/>
      </c>
      <c r="AR410" s="44">
        <f t="shared" si="388"/>
      </c>
      <c r="AS410" s="44">
        <f t="shared" si="389"/>
      </c>
      <c r="AT410" s="44">
        <f t="shared" si="396"/>
      </c>
    </row>
    <row r="411" spans="1:46" x14ac:dyDescent="0.3">
      <c r="A411" s="19">
        <f t="shared" si="369"/>
      </c>
      <c r="B411" s="7">
        <f t="shared" si="378"/>
      </c>
      <c r="C411" s="177"/>
      <c r="D411" s="177"/>
      <c r="E411" s="179"/>
      <c r="F411" s="182"/>
      <c r="G411" s="182"/>
      <c r="H411" s="182"/>
      <c r="I411" s="179"/>
      <c r="J411" s="179"/>
      <c r="K411" s="179"/>
      <c r="L411" s="179"/>
      <c r="M411" s="7">
        <f t="shared" si="379"/>
      </c>
      <c r="N411" s="65"/>
      <c r="O411" s="168"/>
      <c r="P411" s="65">
        <f t="shared" si="398"/>
      </c>
      <c r="Q411" s="118"/>
      <c r="R411" s="65"/>
      <c r="S411" s="168"/>
      <c r="T411" s="19">
        <f t="shared" si="380"/>
      </c>
      <c r="U411" s="7">
        <f t="shared" si="370"/>
      </c>
      <c r="V411" s="7">
        <f t="shared" si="371"/>
      </c>
      <c r="W411" s="7">
        <f t="shared" si="372"/>
      </c>
      <c r="X411" s="7">
        <f t="shared" si="373"/>
      </c>
      <c r="Y411" s="7" cm="1">
        <f t="array" ref="Y411">_xlfn.IFS(H411=1,2,H411=3,1)</f>
      </c>
      <c r="Z411" s="7">
        <f t="shared" si="374"/>
      </c>
      <c r="AA411" s="7">
        <f t="shared" si="381"/>
      </c>
      <c r="AB411" s="7">
        <f t="shared" si="375"/>
      </c>
      <c r="AC411" s="7">
        <f t="shared" si="382"/>
      </c>
      <c r="AD411" s="7">
        <f t="shared" si="376"/>
      </c>
      <c r="AE411" s="7">
        <f t="shared" si="392"/>
      </c>
      <c r="AF411" s="7">
        <f t="shared" si="393"/>
      </c>
      <c r="AG411" s="7">
        <f t="shared" si="394"/>
        <v/>
      </c>
      <c r="AH411" s="7">
        <f t="shared" si="383"/>
      </c>
      <c r="AI411" s="7">
        <f t="shared" si="395"/>
      </c>
      <c r="AJ411" s="7">
        <f t="shared" si="384"/>
      </c>
      <c r="AK411" s="7">
        <f t="shared" si="377"/>
      </c>
      <c r="AL411" s="7">
        <f t="shared" si="385"/>
      </c>
      <c r="AM411" s="7">
        <f t="shared" si="386"/>
      </c>
      <c r="AN411" s="7"/>
      <c r="AO411" s="7">
        <f t="shared" si="390"/>
      </c>
      <c r="AP411" s="7">
        <f t="shared" si="387"/>
      </c>
      <c r="AQ411" s="7">
        <f t="shared" si="391"/>
        <v/>
      </c>
      <c r="AR411" s="7">
        <f t="shared" si="388"/>
      </c>
      <c r="AS411" s="7">
        <f t="shared" si="389"/>
      </c>
      <c r="AT411" s="7">
        <f t="shared" si="396"/>
      </c>
    </row>
    <row r="412" spans="1:46" x14ac:dyDescent="0.3">
      <c r="A412" s="5">
        <f t="shared" si="369"/>
      </c>
      <c r="B412" s="4">
        <f t="shared" si="378"/>
      </c>
      <c r="C412" s="119"/>
      <c r="D412" s="119"/>
      <c r="E412" s="105"/>
      <c r="F412" s="173"/>
      <c r="G412" s="173"/>
      <c r="H412" s="173"/>
      <c r="I412" s="105"/>
      <c r="J412" s="105"/>
      <c r="K412" s="105"/>
      <c r="L412" s="105"/>
      <c r="M412" s="4">
        <f t="shared" si="379"/>
      </c>
      <c r="N412" s="59"/>
      <c r="O412" s="164"/>
      <c r="P412" s="59">
        <f t="shared" si="398"/>
      </c>
      <c r="Q412" s="165"/>
      <c r="R412" s="59"/>
      <c r="S412" s="164"/>
      <c r="T412" s="5">
        <f t="shared" si="380"/>
      </c>
      <c r="U412" s="4">
        <f t="shared" si="370"/>
      </c>
      <c r="V412" s="4">
        <f t="shared" si="371"/>
      </c>
      <c r="W412" s="4">
        <f t="shared" si="372"/>
      </c>
      <c r="X412" s="4">
        <f t="shared" si="373"/>
      </c>
      <c r="Y412" s="4" cm="1">
        <f t="array" ref="Y412">_xlfn.IFS(H412=1,2,H412=3,1)</f>
      </c>
      <c r="Z412" s="4">
        <f t="shared" si="374"/>
      </c>
      <c r="AA412" s="4">
        <f t="shared" si="381"/>
      </c>
      <c r="AB412" s="4">
        <f t="shared" si="375"/>
      </c>
      <c r="AC412" s="4">
        <f t="shared" si="382"/>
      </c>
      <c r="AD412" s="4">
        <f t="shared" si="376"/>
      </c>
      <c r="AE412" s="4">
        <f t="shared" si="392"/>
      </c>
      <c r="AF412" s="4">
        <f t="shared" si="393"/>
      </c>
      <c r="AG412" s="4">
        <f t="shared" si="394"/>
        <v/>
      </c>
      <c r="AH412" s="4">
        <f t="shared" si="383"/>
      </c>
      <c r="AI412" s="4">
        <f t="shared" si="395"/>
      </c>
      <c r="AJ412" s="4">
        <f t="shared" si="384"/>
      </c>
      <c r="AK412" s="4">
        <f t="shared" si="377"/>
      </c>
      <c r="AL412" s="4">
        <f t="shared" si="385"/>
      </c>
      <c r="AM412" s="4">
        <f t="shared" si="386"/>
      </c>
      <c r="AN412" s="4"/>
      <c r="AO412" s="4">
        <f t="shared" si="390"/>
      </c>
      <c r="AP412" s="4">
        <f t="shared" si="387"/>
      </c>
      <c r="AQ412" s="4">
        <f t="shared" si="391"/>
        <v/>
      </c>
      <c r="AR412" s="4">
        <f t="shared" si="388"/>
      </c>
      <c r="AS412" s="4">
        <f t="shared" si="389"/>
      </c>
      <c r="AT412" s="4">
        <f t="shared" si="396"/>
      </c>
    </row>
    <row r="413" spans="1:46" x14ac:dyDescent="0.3">
      <c r="A413" s="5">
        <f t="shared" si="369"/>
      </c>
      <c r="B413" s="4">
        <f t="shared" si="378"/>
      </c>
      <c r="C413" s="119"/>
      <c r="D413" s="119"/>
      <c r="E413" s="105"/>
      <c r="F413" s="173"/>
      <c r="G413" s="173"/>
      <c r="H413" s="173"/>
      <c r="I413" s="105"/>
      <c r="J413" s="105"/>
      <c r="K413" s="105"/>
      <c r="L413" s="105"/>
      <c r="M413" s="4">
        <f t="shared" si="379"/>
      </c>
      <c r="N413" s="59"/>
      <c r="O413" s="164"/>
      <c r="P413" s="59">
        <f t="shared" si="398"/>
      </c>
      <c r="Q413" s="165"/>
      <c r="R413" s="59"/>
      <c r="S413" s="164"/>
      <c r="T413" s="5">
        <f t="shared" si="380"/>
      </c>
      <c r="U413" s="4">
        <f t="shared" si="370"/>
      </c>
      <c r="V413" s="4">
        <f t="shared" si="371"/>
      </c>
      <c r="W413" s="4">
        <f t="shared" si="372"/>
      </c>
      <c r="X413" s="4">
        <f t="shared" si="373"/>
      </c>
      <c r="Y413" s="4" cm="1">
        <f t="array" ref="Y413">_xlfn.IFS(H413=1,2,H413=3,1)</f>
      </c>
      <c r="Z413" s="4">
        <f t="shared" si="374"/>
      </c>
      <c r="AA413" s="4">
        <f t="shared" si="381"/>
      </c>
      <c r="AB413" s="4">
        <f t="shared" si="375"/>
      </c>
      <c r="AC413" s="4">
        <f t="shared" si="382"/>
      </c>
      <c r="AD413" s="4">
        <f t="shared" si="376"/>
      </c>
      <c r="AE413" s="4">
        <f t="shared" si="392"/>
      </c>
      <c r="AF413" s="4">
        <f t="shared" si="393"/>
      </c>
      <c r="AG413" s="4">
        <f t="shared" si="394"/>
        <v/>
      </c>
      <c r="AH413" s="4">
        <f t="shared" si="383"/>
      </c>
      <c r="AI413" s="4">
        <f t="shared" si="395"/>
      </c>
      <c r="AJ413" s="4">
        <f t="shared" si="384"/>
      </c>
      <c r="AK413" s="4">
        <f t="shared" si="377"/>
      </c>
      <c r="AL413" s="4">
        <f t="shared" si="385"/>
      </c>
      <c r="AM413" s="4">
        <f t="shared" si="386"/>
      </c>
      <c r="AN413" s="4"/>
      <c r="AO413" s="4">
        <f t="shared" si="390"/>
      </c>
      <c r="AP413" s="4">
        <f t="shared" si="387"/>
      </c>
      <c r="AQ413" s="4">
        <f t="shared" si="391"/>
        <v/>
      </c>
      <c r="AR413" s="4">
        <f t="shared" si="388"/>
      </c>
      <c r="AS413" s="4">
        <f t="shared" si="389"/>
      </c>
      <c r="AT413" s="4">
        <f t="shared" si="396"/>
      </c>
    </row>
    <row r="414" spans="1:46" x14ac:dyDescent="0.3">
      <c r="A414" s="5">
        <f t="shared" si="369"/>
      </c>
      <c r="B414" s="4">
        <f t="shared" si="378"/>
      </c>
      <c r="C414" s="119"/>
      <c r="D414" s="119"/>
      <c r="E414" s="105"/>
      <c r="F414" s="173"/>
      <c r="G414" s="173"/>
      <c r="H414" s="173"/>
      <c r="I414" s="105"/>
      <c r="J414" s="105"/>
      <c r="K414" s="105"/>
      <c r="L414" s="105"/>
      <c r="M414" s="4">
        <f t="shared" si="379"/>
      </c>
      <c r="N414" s="59"/>
      <c r="O414" s="164"/>
      <c r="P414" s="59">
        <f t="shared" si="398"/>
      </c>
      <c r="Q414" s="165"/>
      <c r="R414" s="59"/>
      <c r="S414" s="164"/>
      <c r="T414" s="5">
        <f t="shared" si="380"/>
      </c>
      <c r="U414" s="4">
        <f t="shared" si="370"/>
      </c>
      <c r="V414" s="4">
        <f t="shared" si="371"/>
      </c>
      <c r="W414" s="4">
        <f t="shared" si="372"/>
      </c>
      <c r="X414" s="4">
        <f t="shared" si="373"/>
      </c>
      <c r="Y414" s="4" cm="1">
        <f t="array" ref="Y414">_xlfn.IFS(H414=1,2,H414=3,1)</f>
      </c>
      <c r="Z414" s="4">
        <f t="shared" si="374"/>
      </c>
      <c r="AA414" s="4">
        <f t="shared" si="381"/>
      </c>
      <c r="AB414" s="4">
        <f t="shared" si="375"/>
      </c>
      <c r="AC414" s="4">
        <f t="shared" si="382"/>
      </c>
      <c r="AD414" s="4">
        <f t="shared" si="376"/>
      </c>
      <c r="AE414" s="4">
        <f t="shared" si="392"/>
      </c>
      <c r="AF414" s="4">
        <f t="shared" si="393"/>
      </c>
      <c r="AG414" s="4">
        <f t="shared" si="394"/>
        <v/>
      </c>
      <c r="AH414" s="4">
        <f t="shared" si="383"/>
      </c>
      <c r="AI414" s="4">
        <f t="shared" si="395"/>
      </c>
      <c r="AJ414" s="4">
        <f t="shared" si="384"/>
      </c>
      <c r="AK414" s="4">
        <f t="shared" si="377"/>
      </c>
      <c r="AL414" s="4">
        <f t="shared" si="385"/>
      </c>
      <c r="AM414" s="4">
        <f t="shared" si="386"/>
      </c>
      <c r="AN414" s="4"/>
      <c r="AO414" s="4">
        <f t="shared" si="390"/>
      </c>
      <c r="AP414" s="4">
        <f t="shared" si="387"/>
      </c>
      <c r="AQ414" s="4">
        <f t="shared" si="391"/>
        <v/>
      </c>
      <c r="AR414" s="4">
        <f t="shared" si="388"/>
      </c>
      <c r="AS414" s="4">
        <f t="shared" si="389"/>
      </c>
      <c r="AT414" s="4">
        <f t="shared" si="396"/>
      </c>
    </row>
    <row r="415" spans="1:46" x14ac:dyDescent="0.3">
      <c r="A415" s="5">
        <f t="shared" si="369"/>
      </c>
      <c r="B415" s="4">
        <f t="shared" si="378"/>
      </c>
      <c r="C415" s="119"/>
      <c r="D415" s="119"/>
      <c r="E415" s="105"/>
      <c r="F415" s="173"/>
      <c r="G415" s="173"/>
      <c r="H415" s="173"/>
      <c r="I415" s="105"/>
      <c r="J415" s="105"/>
      <c r="K415" s="105"/>
      <c r="L415" s="105"/>
      <c r="M415" s="4">
        <f t="shared" si="379"/>
      </c>
      <c r="N415" s="59"/>
      <c r="O415" s="164"/>
      <c r="P415" s="59">
        <f t="shared" si="398"/>
      </c>
      <c r="Q415" s="165"/>
      <c r="R415" s="59"/>
      <c r="S415" s="164"/>
      <c r="T415" s="5">
        <f t="shared" si="380"/>
      </c>
      <c r="U415" s="4">
        <f t="shared" si="370"/>
      </c>
      <c r="V415" s="4">
        <f t="shared" si="371"/>
      </c>
      <c r="W415" s="4">
        <f t="shared" si="372"/>
      </c>
      <c r="X415" s="4">
        <f t="shared" si="373"/>
      </c>
      <c r="Y415" s="4" cm="1">
        <f t="array" ref="Y415">_xlfn.IFS(H415=1,2,H415=3,1)</f>
      </c>
      <c r="Z415" s="4">
        <f t="shared" si="374"/>
      </c>
      <c r="AA415" s="4">
        <f t="shared" si="381"/>
      </c>
      <c r="AB415" s="4">
        <f t="shared" si="375"/>
      </c>
      <c r="AC415" s="4">
        <f t="shared" si="382"/>
      </c>
      <c r="AD415" s="4">
        <f t="shared" si="376"/>
      </c>
      <c r="AE415" s="4">
        <f t="shared" si="392"/>
      </c>
      <c r="AF415" s="4">
        <f t="shared" si="393"/>
      </c>
      <c r="AG415" s="4">
        <f t="shared" si="394"/>
        <v/>
      </c>
      <c r="AH415" s="4">
        <f t="shared" si="383"/>
      </c>
      <c r="AI415" s="4">
        <f t="shared" si="395"/>
      </c>
      <c r="AJ415" s="4">
        <f t="shared" si="384"/>
      </c>
      <c r="AK415" s="4">
        <f t="shared" si="377"/>
      </c>
      <c r="AL415" s="4">
        <f t="shared" si="385"/>
      </c>
      <c r="AM415" s="4">
        <f t="shared" si="386"/>
      </c>
      <c r="AN415" s="4"/>
      <c r="AO415" s="4">
        <f t="shared" si="390"/>
      </c>
      <c r="AP415" s="4">
        <f t="shared" si="387"/>
      </c>
      <c r="AQ415" s="4">
        <f t="shared" si="391"/>
        <v/>
      </c>
      <c r="AR415" s="4">
        <f t="shared" si="388"/>
      </c>
      <c r="AS415" s="4">
        <f t="shared" si="389"/>
      </c>
      <c r="AT415" s="4">
        <f t="shared" si="396"/>
      </c>
    </row>
    <row r="416" spans="1:46" x14ac:dyDescent="0.3">
      <c r="A416" s="5">
        <f t="shared" si="369"/>
      </c>
      <c r="B416" s="4">
        <f t="shared" si="378"/>
      </c>
      <c r="C416" s="119"/>
      <c r="D416" s="119"/>
      <c r="E416" s="105"/>
      <c r="F416" s="173"/>
      <c r="G416" s="173"/>
      <c r="H416" s="173"/>
      <c r="I416" s="105"/>
      <c r="J416" s="105"/>
      <c r="K416" s="105"/>
      <c r="L416" s="105"/>
      <c r="M416" s="4">
        <f t="shared" si="379"/>
      </c>
      <c r="N416" s="59"/>
      <c r="O416" s="164"/>
      <c r="P416" s="59">
        <f t="shared" si="398"/>
      </c>
      <c r="Q416" s="165"/>
      <c r="R416" s="59"/>
      <c r="S416" s="164"/>
      <c r="T416" s="5">
        <f t="shared" si="380"/>
      </c>
      <c r="U416" s="4">
        <f t="shared" si="370"/>
      </c>
      <c r="V416" s="4">
        <f t="shared" si="371"/>
      </c>
      <c r="W416" s="4">
        <f t="shared" si="372"/>
      </c>
      <c r="X416" s="4">
        <f t="shared" si="373"/>
      </c>
      <c r="Y416" s="4" cm="1">
        <f t="array" ref="Y416">_xlfn.IFS(H416=1,2,H416=3,1)</f>
      </c>
      <c r="Z416" s="4">
        <f t="shared" si="374"/>
      </c>
      <c r="AA416" s="4">
        <f t="shared" si="381"/>
      </c>
      <c r="AB416" s="4">
        <f t="shared" si="375"/>
      </c>
      <c r="AC416" s="4">
        <f t="shared" si="382"/>
      </c>
      <c r="AD416" s="4">
        <f t="shared" si="376"/>
      </c>
      <c r="AE416" s="4">
        <f t="shared" si="392"/>
      </c>
      <c r="AF416" s="4">
        <f t="shared" si="393"/>
      </c>
      <c r="AG416" s="4">
        <f t="shared" si="394"/>
        <v/>
      </c>
      <c r="AH416" s="4">
        <f t="shared" si="383"/>
      </c>
      <c r="AI416" s="4">
        <f t="shared" si="395"/>
      </c>
      <c r="AJ416" s="4">
        <f t="shared" si="384"/>
      </c>
      <c r="AK416" s="4">
        <f t="shared" si="377"/>
      </c>
      <c r="AL416" s="4">
        <f t="shared" si="385"/>
      </c>
      <c r="AM416" s="4">
        <f t="shared" si="386"/>
      </c>
      <c r="AN416" s="4"/>
      <c r="AO416" s="4">
        <f t="shared" si="390"/>
      </c>
      <c r="AP416" s="4">
        <f t="shared" si="387"/>
      </c>
      <c r="AQ416" s="4">
        <f t="shared" si="391"/>
        <v/>
      </c>
      <c r="AR416" s="4">
        <f t="shared" si="388"/>
      </c>
      <c r="AS416" s="4">
        <f t="shared" si="389"/>
      </c>
      <c r="AT416" s="4">
        <f t="shared" si="396"/>
      </c>
    </row>
    <row r="417" spans="1:46" x14ac:dyDescent="0.3">
      <c r="A417" s="5">
        <f t="shared" si="369"/>
      </c>
      <c r="B417" s="4">
        <f t="shared" si="378"/>
      </c>
      <c r="C417" s="119"/>
      <c r="D417" s="119"/>
      <c r="E417" s="105"/>
      <c r="F417" s="173"/>
      <c r="G417" s="173"/>
      <c r="H417" s="173"/>
      <c r="I417" s="105"/>
      <c r="J417" s="105"/>
      <c r="K417" s="105"/>
      <c r="L417" s="105"/>
      <c r="M417" s="4">
        <f t="shared" si="379"/>
      </c>
      <c r="N417" s="59"/>
      <c r="O417" s="164"/>
      <c r="P417" s="59">
        <f t="shared" si="398"/>
      </c>
      <c r="Q417" s="165"/>
      <c r="R417" s="59"/>
      <c r="S417" s="164"/>
      <c r="T417" s="5">
        <f t="shared" si="380"/>
      </c>
      <c r="U417" s="4">
        <f t="shared" si="370"/>
      </c>
      <c r="V417" s="4">
        <f t="shared" si="371"/>
      </c>
      <c r="W417" s="4">
        <f t="shared" si="372"/>
      </c>
      <c r="X417" s="4">
        <f t="shared" si="373"/>
      </c>
      <c r="Y417" s="4" cm="1">
        <f t="array" ref="Y417">_xlfn.IFS(H417=1,2,H417=3,1)</f>
      </c>
      <c r="Z417" s="4">
        <f t="shared" si="374"/>
      </c>
      <c r="AA417" s="4">
        <f t="shared" si="381"/>
      </c>
      <c r="AB417" s="4">
        <f t="shared" si="375"/>
      </c>
      <c r="AC417" s="4">
        <f t="shared" si="382"/>
      </c>
      <c r="AD417" s="4">
        <f t="shared" si="376"/>
      </c>
      <c r="AE417" s="4">
        <f t="shared" si="392"/>
      </c>
      <c r="AF417" s="4">
        <f t="shared" si="393"/>
      </c>
      <c r="AG417" s="4">
        <f t="shared" si="394"/>
        <v/>
      </c>
      <c r="AH417" s="4">
        <f t="shared" si="383"/>
      </c>
      <c r="AI417" s="4">
        <f t="shared" si="395"/>
      </c>
      <c r="AJ417" s="4">
        <f t="shared" si="384"/>
      </c>
      <c r="AK417" s="4">
        <f t="shared" si="377"/>
      </c>
      <c r="AL417" s="4">
        <f t="shared" si="385"/>
      </c>
      <c r="AM417" s="4">
        <f t="shared" si="386"/>
      </c>
      <c r="AN417" s="4"/>
      <c r="AO417" s="4">
        <f t="shared" si="390"/>
      </c>
      <c r="AP417" s="4">
        <f t="shared" si="387"/>
      </c>
      <c r="AQ417" s="4">
        <f t="shared" si="391"/>
        <v/>
      </c>
      <c r="AR417" s="4">
        <f t="shared" si="388"/>
      </c>
      <c r="AS417" s="4">
        <f t="shared" si="389"/>
      </c>
      <c r="AT417" s="4">
        <f t="shared" si="396"/>
      </c>
    </row>
    <row r="418" spans="1:46" x14ac:dyDescent="0.3">
      <c r="A418" s="5">
        <f t="shared" si="369"/>
      </c>
      <c r="B418" s="4">
        <f t="shared" si="378"/>
      </c>
      <c r="C418" s="119"/>
      <c r="D418" s="119"/>
      <c r="E418" s="105"/>
      <c r="F418" s="173"/>
      <c r="G418" s="173"/>
      <c r="H418" s="173"/>
      <c r="I418" s="105"/>
      <c r="J418" s="105"/>
      <c r="K418" s="105"/>
      <c r="L418" s="105"/>
      <c r="M418" s="4">
        <f t="shared" si="379"/>
      </c>
      <c r="N418" s="59"/>
      <c r="O418" s="164"/>
      <c r="P418" s="59">
        <f t="shared" si="398"/>
      </c>
      <c r="Q418" s="165"/>
      <c r="R418" s="59"/>
      <c r="S418" s="164"/>
      <c r="T418" s="5">
        <f t="shared" si="380"/>
      </c>
      <c r="U418" s="4">
        <f t="shared" si="370"/>
      </c>
      <c r="V418" s="4">
        <f t="shared" si="371"/>
      </c>
      <c r="W418" s="4">
        <f t="shared" si="372"/>
      </c>
      <c r="X418" s="4">
        <f t="shared" si="373"/>
      </c>
      <c r="Y418" s="4" cm="1">
        <f t="array" ref="Y418">_xlfn.IFS(H418=1,2,H418=3,1)</f>
      </c>
      <c r="Z418" s="4">
        <f t="shared" si="374"/>
      </c>
      <c r="AA418" s="4">
        <f t="shared" si="381"/>
      </c>
      <c r="AB418" s="4">
        <f t="shared" si="375"/>
      </c>
      <c r="AC418" s="4">
        <f t="shared" si="382"/>
      </c>
      <c r="AD418" s="4">
        <f t="shared" si="376"/>
      </c>
      <c r="AE418" s="4">
        <f t="shared" si="392"/>
      </c>
      <c r="AF418" s="4">
        <f t="shared" si="393"/>
      </c>
      <c r="AG418" s="4">
        <f t="shared" si="394"/>
        <v/>
      </c>
      <c r="AH418" s="4">
        <f t="shared" si="383"/>
      </c>
      <c r="AI418" s="4">
        <f t="shared" si="395"/>
      </c>
      <c r="AJ418" s="4">
        <f t="shared" si="384"/>
      </c>
      <c r="AK418" s="4">
        <f t="shared" si="377"/>
      </c>
      <c r="AL418" s="4">
        <f t="shared" si="385"/>
      </c>
      <c r="AM418" s="4">
        <f t="shared" si="386"/>
      </c>
      <c r="AN418" s="4"/>
      <c r="AO418" s="4">
        <f t="shared" si="390"/>
      </c>
      <c r="AP418" s="4">
        <f t="shared" si="387"/>
      </c>
      <c r="AQ418" s="4">
        <f t="shared" si="391"/>
        <v/>
      </c>
      <c r="AR418" s="4">
        <f t="shared" si="388"/>
      </c>
      <c r="AS418" s="4">
        <f t="shared" si="389"/>
      </c>
      <c r="AT418" s="4">
        <f t="shared" si="396"/>
      </c>
    </row>
    <row r="419" spans="1:46" x14ac:dyDescent="0.3">
      <c r="A419" s="5">
        <f t="shared" si="369"/>
      </c>
      <c r="B419" s="4">
        <f t="shared" si="378"/>
      </c>
      <c r="C419" s="119"/>
      <c r="D419" s="119"/>
      <c r="E419" s="105"/>
      <c r="F419" s="173"/>
      <c r="G419" s="173"/>
      <c r="H419" s="173"/>
      <c r="I419" s="105"/>
      <c r="J419" s="105"/>
      <c r="K419" s="105"/>
      <c r="L419" s="105"/>
      <c r="M419" s="4">
        <f t="shared" si="379"/>
      </c>
      <c r="N419" s="59"/>
      <c r="O419" s="164"/>
      <c r="P419" s="59">
        <f t="shared" si="398"/>
      </c>
      <c r="Q419" s="165"/>
      <c r="R419" s="59"/>
      <c r="S419" s="164"/>
      <c r="T419" s="5">
        <f t="shared" si="380"/>
      </c>
      <c r="U419" s="4">
        <f t="shared" si="370"/>
      </c>
      <c r="V419" s="4">
        <f t="shared" si="371"/>
      </c>
      <c r="W419" s="4">
        <f t="shared" si="372"/>
      </c>
      <c r="X419" s="4">
        <f t="shared" si="373"/>
      </c>
      <c r="Y419" s="4" cm="1">
        <f t="array" ref="Y419">_xlfn.IFS(H419=1,2,H419=3,1)</f>
      </c>
      <c r="Z419" s="4">
        <f t="shared" si="374"/>
      </c>
      <c r="AA419" s="4">
        <f t="shared" si="381"/>
      </c>
      <c r="AB419" s="4">
        <f t="shared" si="375"/>
      </c>
      <c r="AC419" s="4">
        <f t="shared" si="382"/>
      </c>
      <c r="AD419" s="4">
        <f t="shared" si="376"/>
      </c>
      <c r="AE419" s="4">
        <f t="shared" si="392"/>
      </c>
      <c r="AF419" s="4">
        <f t="shared" si="393"/>
      </c>
      <c r="AG419" s="4">
        <f t="shared" si="394"/>
        <v/>
      </c>
      <c r="AH419" s="4">
        <f t="shared" si="383"/>
      </c>
      <c r="AI419" s="4">
        <f t="shared" si="395"/>
      </c>
      <c r="AJ419" s="4">
        <f t="shared" si="384"/>
      </c>
      <c r="AK419" s="4">
        <f t="shared" si="377"/>
      </c>
      <c r="AL419" s="4">
        <f t="shared" si="385"/>
      </c>
      <c r="AM419" s="4">
        <f t="shared" si="386"/>
      </c>
      <c r="AN419" s="4"/>
      <c r="AO419" s="4">
        <f t="shared" si="390"/>
      </c>
      <c r="AP419" s="4">
        <f t="shared" si="387"/>
      </c>
      <c r="AQ419" s="4">
        <f t="shared" si="391"/>
        <v/>
      </c>
      <c r="AR419" s="4">
        <f t="shared" si="388"/>
      </c>
      <c r="AS419" s="4">
        <f t="shared" si="389"/>
      </c>
      <c r="AT419" s="4">
        <f t="shared" si="396"/>
      </c>
    </row>
    <row r="420" spans="1:46" x14ac:dyDescent="0.3">
      <c r="A420" s="5">
        <f t="shared" si="369"/>
      </c>
      <c r="B420" s="4">
        <f t="shared" si="378"/>
      </c>
      <c r="C420" s="119"/>
      <c r="D420" s="119"/>
      <c r="E420" s="105"/>
      <c r="F420" s="173"/>
      <c r="G420" s="173"/>
      <c r="H420" s="173"/>
      <c r="I420" s="105"/>
      <c r="J420" s="105"/>
      <c r="K420" s="105"/>
      <c r="L420" s="105"/>
      <c r="M420" s="4">
        <f t="shared" si="379"/>
      </c>
      <c r="N420" s="59"/>
      <c r="O420" s="164"/>
      <c r="P420" s="59">
        <f t="shared" si="398"/>
      </c>
      <c r="Q420" s="165"/>
      <c r="R420" s="59"/>
      <c r="S420" s="164"/>
      <c r="T420" s="5">
        <f t="shared" si="380"/>
      </c>
      <c r="U420" s="4">
        <f t="shared" si="370"/>
      </c>
      <c r="V420" s="4">
        <f t="shared" si="371"/>
      </c>
      <c r="W420" s="4">
        <f t="shared" si="372"/>
      </c>
      <c r="X420" s="4">
        <f t="shared" si="373"/>
      </c>
      <c r="Y420" s="4" cm="1">
        <f t="array" ref="Y420">_xlfn.IFS(H420=1,2,H420=3,1)</f>
      </c>
      <c r="Z420" s="4">
        <f t="shared" si="374"/>
      </c>
      <c r="AA420" s="4">
        <f t="shared" si="381"/>
      </c>
      <c r="AB420" s="4">
        <f t="shared" si="375"/>
      </c>
      <c r="AC420" s="4">
        <f t="shared" si="382"/>
      </c>
      <c r="AD420" s="4">
        <f t="shared" si="376"/>
      </c>
      <c r="AE420" s="4">
        <f t="shared" si="392"/>
      </c>
      <c r="AF420" s="4">
        <f t="shared" si="393"/>
      </c>
      <c r="AG420" s="4">
        <f t="shared" si="394"/>
        <v/>
      </c>
      <c r="AH420" s="4">
        <f t="shared" si="383"/>
      </c>
      <c r="AI420" s="4">
        <f t="shared" si="395"/>
      </c>
      <c r="AJ420" s="4">
        <f t="shared" si="384"/>
      </c>
      <c r="AK420" s="4">
        <f t="shared" si="377"/>
      </c>
      <c r="AL420" s="4">
        <f t="shared" si="385"/>
      </c>
      <c r="AM420" s="4">
        <f t="shared" si="386"/>
      </c>
      <c r="AN420" s="4"/>
      <c r="AO420" s="4">
        <f t="shared" si="390"/>
      </c>
      <c r="AP420" s="4">
        <f t="shared" si="387"/>
      </c>
      <c r="AQ420" s="4">
        <f t="shared" si="391"/>
        <v/>
      </c>
      <c r="AR420" s="4">
        <f t="shared" si="388"/>
      </c>
      <c r="AS420" s="4">
        <f t="shared" si="389"/>
      </c>
      <c r="AT420" s="4">
        <f t="shared" si="396"/>
      </c>
    </row>
    <row r="421" spans="1:46" x14ac:dyDescent="0.3">
      <c r="A421" s="5">
        <f t="shared" si="369"/>
      </c>
      <c r="B421" s="4">
        <f t="shared" si="378"/>
      </c>
      <c r="C421" s="119"/>
      <c r="D421" s="119"/>
      <c r="E421" s="105"/>
      <c r="F421" s="173"/>
      <c r="G421" s="173"/>
      <c r="H421" s="173"/>
      <c r="I421" s="105"/>
      <c r="J421" s="105"/>
      <c r="K421" s="105"/>
      <c r="L421" s="105"/>
      <c r="M421" s="4">
        <f t="shared" si="379"/>
      </c>
      <c r="N421" s="59"/>
      <c r="O421" s="164"/>
      <c r="P421" s="59">
        <f t="shared" si="398"/>
      </c>
      <c r="Q421" s="165"/>
      <c r="R421" s="59"/>
      <c r="S421" s="164"/>
      <c r="T421" s="5">
        <f t="shared" si="380"/>
      </c>
      <c r="U421" s="4">
        <f t="shared" si="370"/>
      </c>
      <c r="V421" s="4">
        <f t="shared" si="371"/>
      </c>
      <c r="W421" s="4">
        <f t="shared" si="372"/>
      </c>
      <c r="X421" s="4">
        <f t="shared" si="373"/>
      </c>
      <c r="Y421" s="4" cm="1">
        <f t="array" ref="Y421">_xlfn.IFS(H421=1,2,H421=3,1)</f>
      </c>
      <c r="Z421" s="4">
        <f t="shared" si="374"/>
      </c>
      <c r="AA421" s="4">
        <f t="shared" si="381"/>
      </c>
      <c r="AB421" s="4">
        <f t="shared" si="375"/>
      </c>
      <c r="AC421" s="4">
        <f t="shared" si="382"/>
      </c>
      <c r="AD421" s="4">
        <f t="shared" si="376"/>
      </c>
      <c r="AE421" s="4">
        <f t="shared" si="392"/>
      </c>
      <c r="AF421" s="4">
        <f t="shared" si="393"/>
      </c>
      <c r="AG421" s="4">
        <f t="shared" si="394"/>
        <v/>
      </c>
      <c r="AH421" s="4">
        <f t="shared" si="383"/>
      </c>
      <c r="AI421" s="4">
        <f t="shared" si="395"/>
      </c>
      <c r="AJ421" s="4">
        <f t="shared" si="384"/>
      </c>
      <c r="AK421" s="4">
        <f t="shared" si="377"/>
      </c>
      <c r="AL421" s="4">
        <f t="shared" si="385"/>
      </c>
      <c r="AM421" s="4">
        <f t="shared" si="386"/>
      </c>
      <c r="AN421" s="4"/>
      <c r="AO421" s="4">
        <f t="shared" si="390"/>
      </c>
      <c r="AP421" s="4">
        <f t="shared" si="387"/>
      </c>
      <c r="AQ421" s="4">
        <f t="shared" si="391"/>
        <v/>
      </c>
      <c r="AR421" s="4">
        <f t="shared" si="388"/>
      </c>
      <c r="AS421" s="4">
        <f t="shared" si="389"/>
      </c>
      <c r="AT421" s="4">
        <f t="shared" si="396"/>
      </c>
    </row>
    <row r="422" spans="1:46" x14ac:dyDescent="0.3">
      <c r="A422" s="5">
        <f t="shared" si="369"/>
      </c>
      <c r="B422" s="4">
        <f t="shared" si="378"/>
      </c>
      <c r="C422" s="119"/>
      <c r="D422" s="119"/>
      <c r="E422" s="105"/>
      <c r="F422" s="173"/>
      <c r="G422" s="173"/>
      <c r="H422" s="173"/>
      <c r="I422" s="105"/>
      <c r="J422" s="105"/>
      <c r="K422" s="105"/>
      <c r="L422" s="105"/>
      <c r="M422" s="4">
        <f t="shared" si="379"/>
      </c>
      <c r="N422" s="59"/>
      <c r="O422" s="164"/>
      <c r="P422" s="59">
        <f t="shared" si="398"/>
      </c>
      <c r="Q422" s="165"/>
      <c r="R422" s="59"/>
      <c r="S422" s="164"/>
      <c r="T422" s="5">
        <f t="shared" si="380"/>
      </c>
      <c r="U422" s="4">
        <f t="shared" si="370"/>
      </c>
      <c r="V422" s="4">
        <f t="shared" si="371"/>
      </c>
      <c r="W422" s="4">
        <f t="shared" si="372"/>
      </c>
      <c r="X422" s="4">
        <f t="shared" si="373"/>
      </c>
      <c r="Y422" s="4" cm="1">
        <f t="array" ref="Y422">_xlfn.IFS(H422=1,2,H422=3,1)</f>
      </c>
      <c r="Z422" s="4">
        <f t="shared" si="374"/>
      </c>
      <c r="AA422" s="4">
        <f t="shared" si="381"/>
      </c>
      <c r="AB422" s="4">
        <f t="shared" si="375"/>
      </c>
      <c r="AC422" s="4">
        <f t="shared" si="382"/>
      </c>
      <c r="AD422" s="4">
        <f t="shared" si="376"/>
      </c>
      <c r="AE422" s="4">
        <f t="shared" si="392"/>
      </c>
      <c r="AF422" s="4">
        <f t="shared" si="393"/>
      </c>
      <c r="AG422" s="4">
        <f t="shared" si="394"/>
        <v/>
      </c>
      <c r="AH422" s="4">
        <f t="shared" si="383"/>
      </c>
      <c r="AI422" s="4">
        <f t="shared" si="395"/>
      </c>
      <c r="AJ422" s="4">
        <f t="shared" si="384"/>
      </c>
      <c r="AK422" s="4">
        <f t="shared" si="377"/>
      </c>
      <c r="AL422" s="4">
        <f t="shared" si="385"/>
      </c>
      <c r="AM422" s="4">
        <f t="shared" si="386"/>
      </c>
      <c r="AN422" s="4"/>
      <c r="AO422" s="4">
        <f t="shared" si="390"/>
      </c>
      <c r="AP422" s="4">
        <f t="shared" si="387"/>
      </c>
      <c r="AQ422" s="4">
        <f t="shared" si="391"/>
        <v/>
      </c>
      <c r="AR422" s="4">
        <f t="shared" si="388"/>
      </c>
      <c r="AS422" s="4">
        <f t="shared" si="389"/>
      </c>
      <c r="AT422" s="4">
        <f t="shared" si="396"/>
      </c>
    </row>
    <row r="423" spans="1:46" x14ac:dyDescent="0.3">
      <c r="A423" s="5">
        <f t="shared" si="369"/>
      </c>
      <c r="B423" s="4">
        <f t="shared" si="378"/>
      </c>
      <c r="C423" s="119"/>
      <c r="D423" s="119"/>
      <c r="E423" s="105"/>
      <c r="F423" s="173"/>
      <c r="G423" s="173"/>
      <c r="H423" s="173"/>
      <c r="I423" s="105"/>
      <c r="J423" s="105"/>
      <c r="K423" s="105"/>
      <c r="L423" s="105"/>
      <c r="M423" s="4">
        <f t="shared" si="379"/>
      </c>
      <c r="N423" s="59"/>
      <c r="O423" s="164"/>
      <c r="P423" s="59">
        <f t="shared" si="398"/>
      </c>
      <c r="Q423" s="165"/>
      <c r="R423" s="59"/>
      <c r="S423" s="164"/>
      <c r="T423" s="5">
        <f t="shared" si="380"/>
      </c>
      <c r="U423" s="4">
        <f t="shared" si="370"/>
      </c>
      <c r="V423" s="4">
        <f t="shared" si="371"/>
      </c>
      <c r="W423" s="4">
        <f t="shared" si="372"/>
      </c>
      <c r="X423" s="4">
        <f t="shared" si="373"/>
      </c>
      <c r="Y423" s="4" cm="1">
        <f t="array" ref="Y423">_xlfn.IFS(H423=1,2,H423=3,1)</f>
      </c>
      <c r="Z423" s="4">
        <f t="shared" si="374"/>
      </c>
      <c r="AA423" s="4">
        <f t="shared" si="381"/>
      </c>
      <c r="AB423" s="4">
        <f t="shared" si="375"/>
      </c>
      <c r="AC423" s="4">
        <f t="shared" si="382"/>
      </c>
      <c r="AD423" s="4">
        <f t="shared" si="376"/>
      </c>
      <c r="AE423" s="4">
        <f t="shared" si="392"/>
      </c>
      <c r="AF423" s="4">
        <f t="shared" si="393"/>
      </c>
      <c r="AG423" s="4">
        <f t="shared" si="394"/>
        <v/>
      </c>
      <c r="AH423" s="4">
        <f t="shared" si="383"/>
      </c>
      <c r="AI423" s="4">
        <f t="shared" si="395"/>
      </c>
      <c r="AJ423" s="4">
        <f t="shared" si="384"/>
      </c>
      <c r="AK423" s="4">
        <f t="shared" si="377"/>
      </c>
      <c r="AL423" s="4">
        <f t="shared" si="385"/>
      </c>
      <c r="AM423" s="4">
        <f t="shared" si="386"/>
      </c>
      <c r="AN423" s="4"/>
      <c r="AO423" s="4">
        <f t="shared" si="390"/>
      </c>
      <c r="AP423" s="4">
        <f t="shared" si="387"/>
      </c>
      <c r="AQ423" s="4">
        <f t="shared" si="391"/>
        <v/>
      </c>
      <c r="AR423" s="4">
        <f t="shared" si="388"/>
      </c>
      <c r="AS423" s="4">
        <f t="shared" si="389"/>
      </c>
      <c r="AT423" s="4">
        <f t="shared" si="396"/>
      </c>
    </row>
    <row r="424" spans="1:46" x14ac:dyDescent="0.3">
      <c r="A424" s="5">
        <f t="shared" si="369"/>
      </c>
      <c r="B424" s="4">
        <f t="shared" si="378"/>
      </c>
      <c r="C424" s="119"/>
      <c r="D424" s="119"/>
      <c r="E424" s="105"/>
      <c r="F424" s="173"/>
      <c r="G424" s="173"/>
      <c r="H424" s="173"/>
      <c r="I424" s="105"/>
      <c r="J424" s="105"/>
      <c r="K424" s="105"/>
      <c r="L424" s="105"/>
      <c r="M424" s="4">
        <f t="shared" si="379"/>
      </c>
      <c r="N424" s="59"/>
      <c r="O424" s="164"/>
      <c r="P424" s="59">
        <f t="shared" si="398"/>
      </c>
      <c r="Q424" s="165"/>
      <c r="R424" s="59"/>
      <c r="S424" s="164"/>
      <c r="T424" s="5">
        <f t="shared" si="380"/>
      </c>
      <c r="U424" s="4">
        <f t="shared" si="370"/>
      </c>
      <c r="V424" s="4">
        <f t="shared" si="371"/>
      </c>
      <c r="W424" s="4">
        <f t="shared" si="372"/>
      </c>
      <c r="X424" s="4">
        <f t="shared" si="373"/>
      </c>
      <c r="Y424" s="4" cm="1">
        <f t="array" ref="Y424">_xlfn.IFS(H424=1,2,H424=3,1)</f>
      </c>
      <c r="Z424" s="4">
        <f t="shared" si="374"/>
      </c>
      <c r="AA424" s="4">
        <f t="shared" si="381"/>
      </c>
      <c r="AB424" s="4">
        <f t="shared" si="375"/>
      </c>
      <c r="AC424" s="4">
        <f t="shared" si="382"/>
      </c>
      <c r="AD424" s="4">
        <f t="shared" si="376"/>
      </c>
      <c r="AE424" s="4">
        <f t="shared" si="392"/>
      </c>
      <c r="AF424" s="4">
        <f t="shared" si="393"/>
      </c>
      <c r="AG424" s="4">
        <f t="shared" si="394"/>
        <v/>
      </c>
      <c r="AH424" s="4">
        <f t="shared" si="383"/>
      </c>
      <c r="AI424" s="4">
        <f t="shared" si="395"/>
      </c>
      <c r="AJ424" s="4">
        <f t="shared" si="384"/>
      </c>
      <c r="AK424" s="4">
        <f t="shared" si="377"/>
      </c>
      <c r="AL424" s="4">
        <f t="shared" si="385"/>
      </c>
      <c r="AM424" s="4">
        <f t="shared" si="386"/>
      </c>
      <c r="AN424" s="4"/>
      <c r="AO424" s="4">
        <f t="shared" si="390"/>
      </c>
      <c r="AP424" s="4">
        <f t="shared" si="387"/>
      </c>
      <c r="AQ424" s="4">
        <f t="shared" si="391"/>
        <v/>
      </c>
      <c r="AR424" s="4">
        <f t="shared" si="388"/>
      </c>
      <c r="AS424" s="4">
        <f t="shared" si="389"/>
      </c>
      <c r="AT424" s="4">
        <f t="shared" si="396"/>
      </c>
    </row>
    <row r="425" spans="1:46" x14ac:dyDescent="0.3">
      <c r="A425" s="5">
        <f t="shared" si="369"/>
      </c>
      <c r="B425" s="4">
        <f t="shared" si="378"/>
      </c>
      <c r="C425" s="119"/>
      <c r="D425" s="119"/>
      <c r="E425" s="105"/>
      <c r="F425" s="173"/>
      <c r="G425" s="173"/>
      <c r="H425" s="173"/>
      <c r="I425" s="105"/>
      <c r="J425" s="105"/>
      <c r="K425" s="105"/>
      <c r="L425" s="105"/>
      <c r="M425" s="4">
        <f t="shared" si="379"/>
      </c>
      <c r="N425" s="59"/>
      <c r="O425" s="164"/>
      <c r="P425" s="59">
        <f t="shared" si="398"/>
      </c>
      <c r="Q425" s="165"/>
      <c r="R425" s="59"/>
      <c r="S425" s="164"/>
      <c r="T425" s="5">
        <f t="shared" si="380"/>
      </c>
      <c r="U425" s="4">
        <f t="shared" si="370"/>
      </c>
      <c r="V425" s="4">
        <f t="shared" si="371"/>
      </c>
      <c r="W425" s="4">
        <f t="shared" si="372"/>
      </c>
      <c r="X425" s="4">
        <f t="shared" si="373"/>
      </c>
      <c r="Y425" s="4" cm="1">
        <f t="array" ref="Y425">_xlfn.IFS(H425=1,2,H425=3,1)</f>
      </c>
      <c r="Z425" s="4">
        <f t="shared" si="374"/>
      </c>
      <c r="AA425" s="4">
        <f t="shared" si="381"/>
      </c>
      <c r="AB425" s="4">
        <f t="shared" si="375"/>
      </c>
      <c r="AC425" s="4">
        <f t="shared" si="382"/>
      </c>
      <c r="AD425" s="4">
        <f t="shared" si="376"/>
      </c>
      <c r="AE425" s="4">
        <f t="shared" si="392"/>
      </c>
      <c r="AF425" s="4">
        <f t="shared" si="393"/>
      </c>
      <c r="AG425" s="4">
        <f t="shared" si="394"/>
        <v/>
      </c>
      <c r="AH425" s="4">
        <f t="shared" si="383"/>
      </c>
      <c r="AI425" s="4">
        <f t="shared" si="395"/>
      </c>
      <c r="AJ425" s="4">
        <f t="shared" si="384"/>
      </c>
      <c r="AK425" s="4">
        <f t="shared" si="377"/>
      </c>
      <c r="AL425" s="4">
        <f t="shared" si="385"/>
      </c>
      <c r="AM425" s="4">
        <f t="shared" si="386"/>
      </c>
      <c r="AN425" s="4"/>
      <c r="AO425" s="4">
        <f t="shared" si="390"/>
      </c>
      <c r="AP425" s="4">
        <f t="shared" si="387"/>
      </c>
      <c r="AQ425" s="4">
        <f t="shared" si="391"/>
        <v/>
      </c>
      <c r="AR425" s="4">
        <f t="shared" si="388"/>
      </c>
      <c r="AS425" s="4">
        <f t="shared" si="389"/>
      </c>
      <c r="AT425" s="4">
        <f t="shared" si="396"/>
      </c>
    </row>
    <row r="426" spans="1:46" x14ac:dyDescent="0.3">
      <c r="A426" s="5">
        <f t="shared" si="369"/>
      </c>
      <c r="B426" s="4">
        <f t="shared" si="378"/>
      </c>
      <c r="C426" s="119"/>
      <c r="D426" s="119"/>
      <c r="E426" s="105"/>
      <c r="F426" s="173"/>
      <c r="G426" s="173"/>
      <c r="H426" s="173"/>
      <c r="I426" s="105"/>
      <c r="J426" s="105"/>
      <c r="K426" s="105"/>
      <c r="L426" s="105"/>
      <c r="M426" s="4">
        <f t="shared" si="379"/>
      </c>
      <c r="N426" s="59"/>
      <c r="O426" s="164"/>
      <c r="P426" s="59">
        <f t="shared" si="398"/>
      </c>
      <c r="Q426" s="165"/>
      <c r="R426" s="59"/>
      <c r="S426" s="164"/>
      <c r="T426" s="5">
        <f t="shared" si="380"/>
      </c>
      <c r="U426" s="4">
        <f t="shared" si="370"/>
      </c>
      <c r="V426" s="4">
        <f t="shared" si="371"/>
      </c>
      <c r="W426" s="4">
        <f t="shared" si="372"/>
      </c>
      <c r="X426" s="4">
        <f t="shared" si="373"/>
      </c>
      <c r="Y426" s="4" cm="1">
        <f t="array" ref="Y426">_xlfn.IFS(H426=1,2,H426=3,1)</f>
      </c>
      <c r="Z426" s="4">
        <f t="shared" si="374"/>
      </c>
      <c r="AA426" s="4">
        <f t="shared" si="381"/>
      </c>
      <c r="AB426" s="4">
        <f t="shared" si="375"/>
      </c>
      <c r="AC426" s="4">
        <f t="shared" si="382"/>
      </c>
      <c r="AD426" s="4">
        <f t="shared" si="376"/>
      </c>
      <c r="AE426" s="4">
        <f t="shared" si="392"/>
      </c>
      <c r="AF426" s="4">
        <f t="shared" si="393"/>
      </c>
      <c r="AG426" s="4">
        <f t="shared" si="394"/>
        <v/>
      </c>
      <c r="AH426" s="4">
        <f t="shared" si="383"/>
      </c>
      <c r="AI426" s="4">
        <f t="shared" si="395"/>
      </c>
      <c r="AJ426" s="4">
        <f t="shared" si="384"/>
      </c>
      <c r="AK426" s="4">
        <f t="shared" si="377"/>
      </c>
      <c r="AL426" s="4">
        <f t="shared" si="385"/>
      </c>
      <c r="AM426" s="4">
        <f t="shared" si="386"/>
      </c>
      <c r="AN426" s="4"/>
      <c r="AO426" s="4">
        <f t="shared" si="390"/>
      </c>
      <c r="AP426" s="4">
        <f t="shared" si="387"/>
      </c>
      <c r="AQ426" s="4">
        <f t="shared" si="391"/>
        <v/>
      </c>
      <c r="AR426" s="4">
        <f t="shared" si="388"/>
      </c>
      <c r="AS426" s="4">
        <f t="shared" si="389"/>
      </c>
      <c r="AT426" s="4">
        <f t="shared" si="396"/>
      </c>
    </row>
    <row r="427" spans="1:46" ht="15" thickBot="1" x14ac:dyDescent="0.35">
      <c r="A427" s="45">
        <f t="shared" si="369"/>
      </c>
      <c r="B427" s="44">
        <f t="shared" si="378"/>
      </c>
      <c r="C427" s="175"/>
      <c r="D427" s="175"/>
      <c r="E427" s="176"/>
      <c r="F427" s="178"/>
      <c r="G427" s="178"/>
      <c r="H427" s="178"/>
      <c r="I427" s="176"/>
      <c r="J427" s="176"/>
      <c r="K427" s="176"/>
      <c r="L427" s="176"/>
      <c r="M427" s="44">
        <f t="shared" si="379"/>
      </c>
      <c r="N427" s="64"/>
      <c r="O427" s="166"/>
      <c r="P427" s="64">
        <f t="shared" si="398"/>
      </c>
      <c r="Q427" s="170"/>
      <c r="R427" s="64"/>
      <c r="S427" s="166"/>
      <c r="T427" s="45">
        <f t="shared" si="380"/>
      </c>
      <c r="U427" s="44">
        <f t="shared" si="370"/>
      </c>
      <c r="V427" s="44">
        <f t="shared" si="371"/>
      </c>
      <c r="W427" s="44">
        <f t="shared" si="372"/>
      </c>
      <c r="X427" s="44">
        <f t="shared" si="373"/>
      </c>
      <c r="Y427" s="44" cm="1">
        <f t="array" ref="Y427">_xlfn.IFS(H427=1,2,H427=3,1)</f>
      </c>
      <c r="Z427" s="44">
        <f t="shared" si="374"/>
      </c>
      <c r="AA427" s="44">
        <f t="shared" si="381"/>
      </c>
      <c r="AB427" s="44">
        <f t="shared" si="375"/>
      </c>
      <c r="AC427" s="44">
        <f t="shared" si="382"/>
      </c>
      <c r="AD427" s="44">
        <f t="shared" si="376"/>
      </c>
      <c r="AE427" s="44">
        <f t="shared" si="392"/>
      </c>
      <c r="AF427" s="44">
        <f t="shared" si="393"/>
      </c>
      <c r="AG427" s="44">
        <f t="shared" si="394"/>
        <v/>
      </c>
      <c r="AH427" s="44">
        <f t="shared" si="383"/>
      </c>
      <c r="AI427" s="44">
        <f t="shared" si="395"/>
      </c>
      <c r="AJ427" s="44">
        <f t="shared" si="384"/>
      </c>
      <c r="AK427" s="44">
        <f t="shared" si="377"/>
      </c>
      <c r="AL427" s="44">
        <f t="shared" si="385"/>
      </c>
      <c r="AM427" s="44">
        <f t="shared" si="386"/>
      </c>
      <c r="AN427" s="44"/>
      <c r="AO427" s="44">
        <f t="shared" si="390"/>
      </c>
      <c r="AP427" s="44">
        <f t="shared" si="387"/>
      </c>
      <c r="AQ427" s="44">
        <f t="shared" si="391"/>
        <v/>
      </c>
      <c r="AR427" s="44">
        <f t="shared" si="388"/>
      </c>
      <c r="AS427" s="44">
        <f t="shared" si="389"/>
      </c>
      <c r="AT427" s="44">
        <f t="shared" si="396"/>
      </c>
    </row>
    <row r="428" spans="1:46" x14ac:dyDescent="0.3">
      <c r="A428" s="19">
        <f t="shared" si="369"/>
      </c>
      <c r="B428" s="7">
        <f t="shared" si="378"/>
      </c>
      <c r="C428" s="177"/>
      <c r="D428" s="177"/>
      <c r="E428" s="179"/>
      <c r="F428" s="182"/>
      <c r="G428" s="182"/>
      <c r="H428" s="182"/>
      <c r="I428" s="179"/>
      <c r="J428" s="179"/>
      <c r="K428" s="179"/>
      <c r="L428" s="179"/>
      <c r="M428" s="7">
        <f t="shared" si="379"/>
      </c>
      <c r="N428" s="65"/>
      <c r="O428" s="168"/>
      <c r="P428" s="65">
        <f t="shared" si="398"/>
      </c>
      <c r="Q428" s="118"/>
      <c r="R428" s="65"/>
      <c r="S428" s="168"/>
      <c r="T428" s="19">
        <f t="shared" si="380"/>
      </c>
      <c r="U428" s="7">
        <f t="shared" si="370"/>
      </c>
      <c r="V428" s="7">
        <f t="shared" si="371"/>
      </c>
      <c r="W428" s="7">
        <f t="shared" si="372"/>
      </c>
      <c r="X428" s="7">
        <f t="shared" si="373"/>
      </c>
      <c r="Y428" s="7" cm="1">
        <f t="array" ref="Y428">_xlfn.IFS(H428=1,2,H428=3,1)</f>
      </c>
      <c r="Z428" s="7">
        <f t="shared" si="374"/>
      </c>
      <c r="AA428" s="7">
        <f t="shared" si="381"/>
      </c>
      <c r="AB428" s="7">
        <f t="shared" si="375"/>
      </c>
      <c r="AC428" s="7">
        <f t="shared" si="382"/>
      </c>
      <c r="AD428" s="7">
        <f t="shared" si="376"/>
      </c>
      <c r="AE428" s="7">
        <f t="shared" si="392"/>
      </c>
      <c r="AF428" s="7">
        <f t="shared" si="393"/>
      </c>
      <c r="AG428" s="7">
        <f t="shared" si="394"/>
        <v/>
      </c>
      <c r="AH428" s="7">
        <f t="shared" si="383"/>
      </c>
      <c r="AI428" s="7">
        <f t="shared" si="395"/>
      </c>
      <c r="AJ428" s="7">
        <f t="shared" si="384"/>
      </c>
      <c r="AK428" s="7">
        <f t="shared" si="377"/>
      </c>
      <c r="AL428" s="7">
        <f t="shared" si="385"/>
      </c>
      <c r="AM428" s="7">
        <f t="shared" si="386"/>
      </c>
      <c r="AN428" s="7"/>
      <c r="AO428" s="7">
        <f t="shared" si="390"/>
      </c>
      <c r="AP428" s="7">
        <f t="shared" si="387"/>
      </c>
      <c r="AQ428" s="7">
        <f t="shared" si="391"/>
        <v/>
      </c>
      <c r="AR428" s="7">
        <f t="shared" si="388"/>
      </c>
      <c r="AS428" s="7">
        <f t="shared" si="389"/>
      </c>
      <c r="AT428" s="7">
        <f t="shared" si="396"/>
      </c>
    </row>
    <row r="429" spans="1:46" x14ac:dyDescent="0.3">
      <c r="A429" s="5">
        <f t="shared" si="369"/>
      </c>
      <c r="B429" s="4">
        <f t="shared" si="378"/>
      </c>
      <c r="C429" s="119"/>
      <c r="D429" s="119"/>
      <c r="E429" s="105"/>
      <c r="F429" s="173"/>
      <c r="G429" s="173"/>
      <c r="H429" s="173"/>
      <c r="I429" s="105"/>
      <c r="J429" s="105"/>
      <c r="K429" s="105"/>
      <c r="L429" s="105"/>
      <c r="M429" s="4">
        <f t="shared" si="379"/>
      </c>
      <c r="N429" s="59"/>
      <c r="O429" s="164"/>
      <c r="P429" s="59">
        <f t="shared" si="398"/>
      </c>
      <c r="Q429" s="165"/>
      <c r="R429" s="59"/>
      <c r="S429" s="164"/>
      <c r="T429" s="5">
        <f t="shared" si="380"/>
      </c>
      <c r="U429" s="4">
        <f t="shared" si="370"/>
      </c>
      <c r="V429" s="4">
        <f t="shared" si="371"/>
      </c>
      <c r="W429" s="4">
        <f t="shared" si="372"/>
      </c>
      <c r="X429" s="4">
        <f t="shared" si="373"/>
      </c>
      <c r="Y429" s="4" cm="1">
        <f t="array" ref="Y429">_xlfn.IFS(H429=1,2,H429=3,1)</f>
      </c>
      <c r="Z429" s="4">
        <f t="shared" si="374"/>
      </c>
      <c r="AA429" s="4">
        <f t="shared" si="381"/>
      </c>
      <c r="AB429" s="4">
        <f t="shared" si="375"/>
      </c>
      <c r="AC429" s="4">
        <f t="shared" si="382"/>
      </c>
      <c r="AD429" s="4">
        <f t="shared" si="376"/>
      </c>
      <c r="AE429" s="4">
        <f t="shared" si="392"/>
      </c>
      <c r="AF429" s="4">
        <f t="shared" si="393"/>
      </c>
      <c r="AG429" s="4">
        <f t="shared" si="394"/>
        <v/>
      </c>
      <c r="AH429" s="4">
        <f t="shared" si="383"/>
      </c>
      <c r="AI429" s="4">
        <f t="shared" si="395"/>
      </c>
      <c r="AJ429" s="4">
        <f t="shared" si="384"/>
      </c>
      <c r="AK429" s="4">
        <f t="shared" si="377"/>
      </c>
      <c r="AL429" s="4">
        <f t="shared" si="385"/>
      </c>
      <c r="AM429" s="4">
        <f t="shared" si="386"/>
      </c>
      <c r="AN429" s="4"/>
      <c r="AO429" s="4">
        <f t="shared" si="390"/>
      </c>
      <c r="AP429" s="4">
        <f t="shared" si="387"/>
      </c>
      <c r="AQ429" s="4">
        <f t="shared" si="391"/>
        <v/>
      </c>
      <c r="AR429" s="4">
        <f t="shared" si="388"/>
      </c>
      <c r="AS429" s="4">
        <f t="shared" si="389"/>
      </c>
      <c r="AT429" s="4">
        <f t="shared" si="396"/>
      </c>
    </row>
    <row r="430" spans="1:46" x14ac:dyDescent="0.3">
      <c r="A430" s="5">
        <f t="shared" si="369"/>
      </c>
      <c r="B430" s="4">
        <f t="shared" si="378"/>
      </c>
      <c r="C430" s="119"/>
      <c r="D430" s="119"/>
      <c r="E430" s="105"/>
      <c r="F430" s="173"/>
      <c r="G430" s="173"/>
      <c r="H430" s="173"/>
      <c r="I430" s="105"/>
      <c r="J430" s="105"/>
      <c r="K430" s="105"/>
      <c r="L430" s="105"/>
      <c r="M430" s="4">
        <f t="shared" si="379"/>
      </c>
      <c r="N430" s="59"/>
      <c r="O430" s="164"/>
      <c r="P430" s="59">
        <f t="shared" si="398"/>
      </c>
      <c r="Q430" s="165"/>
      <c r="R430" s="59"/>
      <c r="S430" s="164"/>
      <c r="T430" s="5">
        <f t="shared" si="380"/>
      </c>
      <c r="U430" s="4">
        <f t="shared" si="370"/>
      </c>
      <c r="V430" s="4">
        <f t="shared" si="371"/>
      </c>
      <c r="W430" s="4">
        <f t="shared" si="372"/>
      </c>
      <c r="X430" s="4">
        <f t="shared" si="373"/>
      </c>
      <c r="Y430" s="4" cm="1">
        <f t="array" ref="Y430">_xlfn.IFS(H430=1,2,H430=3,1)</f>
      </c>
      <c r="Z430" s="4">
        <f t="shared" si="374"/>
      </c>
      <c r="AA430" s="4">
        <f t="shared" si="381"/>
      </c>
      <c r="AB430" s="4">
        <f t="shared" si="375"/>
      </c>
      <c r="AC430" s="4">
        <f t="shared" si="382"/>
      </c>
      <c r="AD430" s="4">
        <f t="shared" si="376"/>
      </c>
      <c r="AE430" s="4">
        <f t="shared" si="392"/>
      </c>
      <c r="AF430" s="4">
        <f t="shared" si="393"/>
      </c>
      <c r="AG430" s="4">
        <f t="shared" si="394"/>
        <v/>
      </c>
      <c r="AH430" s="4">
        <f t="shared" si="383"/>
      </c>
      <c r="AI430" s="4">
        <f t="shared" si="395"/>
      </c>
      <c r="AJ430" s="4">
        <f t="shared" si="384"/>
      </c>
      <c r="AK430" s="4">
        <f t="shared" si="377"/>
      </c>
      <c r="AL430" s="4">
        <f t="shared" si="385"/>
      </c>
      <c r="AM430" s="4">
        <f t="shared" si="386"/>
      </c>
      <c r="AN430" s="4"/>
      <c r="AO430" s="4">
        <f t="shared" si="390"/>
      </c>
      <c r="AP430" s="4">
        <f t="shared" si="387"/>
      </c>
      <c r="AQ430" s="4">
        <f t="shared" si="391"/>
        <v/>
      </c>
      <c r="AR430" s="4">
        <f t="shared" si="388"/>
      </c>
      <c r="AS430" s="4">
        <f t="shared" si="389"/>
      </c>
      <c r="AT430" s="4">
        <f t="shared" si="396"/>
      </c>
    </row>
    <row r="431" spans="1:46" x14ac:dyDescent="0.3">
      <c r="A431" s="5">
        <f t="shared" si="369"/>
      </c>
      <c r="B431" s="4">
        <f t="shared" si="378"/>
      </c>
      <c r="C431" s="119"/>
      <c r="D431" s="119"/>
      <c r="E431" s="105"/>
      <c r="F431" s="173"/>
      <c r="G431" s="173"/>
      <c r="H431" s="173"/>
      <c r="I431" s="105"/>
      <c r="J431" s="105"/>
      <c r="K431" s="105"/>
      <c r="L431" s="105"/>
      <c r="M431" s="4">
        <f t="shared" si="379"/>
      </c>
      <c r="N431" s="59"/>
      <c r="O431" s="164"/>
      <c r="P431" s="59">
        <f t="shared" si="398"/>
      </c>
      <c r="Q431" s="165"/>
      <c r="R431" s="59"/>
      <c r="S431" s="164"/>
      <c r="T431" s="5">
        <f t="shared" si="380"/>
      </c>
      <c r="U431" s="4">
        <f t="shared" si="370"/>
      </c>
      <c r="V431" s="4">
        <f t="shared" si="371"/>
      </c>
      <c r="W431" s="4">
        <f t="shared" si="372"/>
      </c>
      <c r="X431" s="4">
        <f t="shared" si="373"/>
      </c>
      <c r="Y431" s="4" cm="1">
        <f t="array" ref="Y431">_xlfn.IFS(H431=1,2,H431=3,1)</f>
      </c>
      <c r="Z431" s="4">
        <f t="shared" si="374"/>
      </c>
      <c r="AA431" s="4">
        <f t="shared" si="381"/>
      </c>
      <c r="AB431" s="4">
        <f t="shared" si="375"/>
      </c>
      <c r="AC431" s="4">
        <f t="shared" si="382"/>
      </c>
      <c r="AD431" s="4">
        <f t="shared" si="376"/>
      </c>
      <c r="AE431" s="4">
        <f t="shared" si="392"/>
      </c>
      <c r="AF431" s="4">
        <f t="shared" si="393"/>
      </c>
      <c r="AG431" s="4">
        <f t="shared" si="394"/>
        <v/>
      </c>
      <c r="AH431" s="4">
        <f t="shared" si="383"/>
      </c>
      <c r="AI431" s="4">
        <f t="shared" si="395"/>
      </c>
      <c r="AJ431" s="4">
        <f t="shared" si="384"/>
      </c>
      <c r="AK431" s="4">
        <f t="shared" si="377"/>
      </c>
      <c r="AL431" s="4">
        <f t="shared" si="385"/>
      </c>
      <c r="AM431" s="4">
        <f t="shared" si="386"/>
      </c>
      <c r="AN431" s="4"/>
      <c r="AO431" s="4">
        <f t="shared" si="390"/>
      </c>
      <c r="AP431" s="4">
        <f t="shared" si="387"/>
      </c>
      <c r="AQ431" s="4">
        <f t="shared" si="391"/>
        <v/>
      </c>
      <c r="AR431" s="4">
        <f t="shared" si="388"/>
      </c>
      <c r="AS431" s="4">
        <f t="shared" si="389"/>
      </c>
      <c r="AT431" s="4">
        <f t="shared" si="396"/>
      </c>
    </row>
    <row r="432" spans="1:46" x14ac:dyDescent="0.3">
      <c r="A432" s="5">
        <f t="shared" si="369"/>
      </c>
      <c r="B432" s="4">
        <f t="shared" si="378"/>
      </c>
      <c r="C432" s="119"/>
      <c r="D432" s="119"/>
      <c r="E432" s="105"/>
      <c r="F432" s="173"/>
      <c r="G432" s="173"/>
      <c r="H432" s="173"/>
      <c r="I432" s="105"/>
      <c r="J432" s="105"/>
      <c r="K432" s="105"/>
      <c r="L432" s="105"/>
      <c r="M432" s="4">
        <f t="shared" si="379"/>
      </c>
      <c r="N432" s="59"/>
      <c r="O432" s="164"/>
      <c r="P432" s="59">
        <f t="shared" si="398"/>
      </c>
      <c r="Q432" s="165"/>
      <c r="R432" s="59"/>
      <c r="S432" s="164"/>
      <c r="T432" s="5">
        <f t="shared" si="380"/>
      </c>
      <c r="U432" s="4">
        <f t="shared" si="370"/>
      </c>
      <c r="V432" s="4">
        <f t="shared" si="371"/>
      </c>
      <c r="W432" s="4">
        <f t="shared" si="372"/>
      </c>
      <c r="X432" s="4">
        <f t="shared" si="373"/>
      </c>
      <c r="Y432" s="4" cm="1">
        <f t="array" ref="Y432">_xlfn.IFS(H432=1,2,H432=3,1)</f>
      </c>
      <c r="Z432" s="4">
        <f t="shared" si="374"/>
      </c>
      <c r="AA432" s="4">
        <f t="shared" si="381"/>
      </c>
      <c r="AB432" s="4">
        <f t="shared" si="375"/>
      </c>
      <c r="AC432" s="4">
        <f t="shared" si="382"/>
      </c>
      <c r="AD432" s="4">
        <f t="shared" si="376"/>
      </c>
      <c r="AE432" s="4">
        <f t="shared" si="392"/>
      </c>
      <c r="AF432" s="4">
        <f t="shared" si="393"/>
      </c>
      <c r="AG432" s="4">
        <f t="shared" si="394"/>
        <v/>
      </c>
      <c r="AH432" s="4">
        <f t="shared" si="383"/>
      </c>
      <c r="AI432" s="4">
        <f t="shared" si="395"/>
      </c>
      <c r="AJ432" s="4">
        <f t="shared" si="384"/>
      </c>
      <c r="AK432" s="4">
        <f t="shared" si="377"/>
      </c>
      <c r="AL432" s="4">
        <f t="shared" si="385"/>
      </c>
      <c r="AM432" s="4">
        <f t="shared" si="386"/>
      </c>
      <c r="AN432" s="4"/>
      <c r="AO432" s="4">
        <f t="shared" si="390"/>
      </c>
      <c r="AP432" s="4">
        <f t="shared" si="387"/>
      </c>
      <c r="AQ432" s="4">
        <f t="shared" si="391"/>
        <v/>
      </c>
      <c r="AR432" s="4">
        <f t="shared" si="388"/>
      </c>
      <c r="AS432" s="4">
        <f t="shared" si="389"/>
      </c>
      <c r="AT432" s="4">
        <f t="shared" si="396"/>
      </c>
    </row>
    <row r="433" spans="1:46" x14ac:dyDescent="0.3">
      <c r="A433" s="5">
        <f t="shared" si="369"/>
      </c>
      <c r="B433" s="4">
        <f t="shared" si="378"/>
      </c>
      <c r="C433" s="119"/>
      <c r="D433" s="119"/>
      <c r="E433" s="105"/>
      <c r="F433" s="173"/>
      <c r="G433" s="173"/>
      <c r="H433" s="173"/>
      <c r="I433" s="105"/>
      <c r="J433" s="105"/>
      <c r="K433" s="105"/>
      <c r="L433" s="105"/>
      <c r="M433" s="4">
        <f t="shared" si="379"/>
      </c>
      <c r="N433" s="59"/>
      <c r="O433" s="164"/>
      <c r="P433" s="59">
        <f t="shared" si="398"/>
      </c>
      <c r="Q433" s="165"/>
      <c r="R433" s="59"/>
      <c r="S433" s="164"/>
      <c r="T433" s="5">
        <f t="shared" si="380"/>
      </c>
      <c r="U433" s="4">
        <f t="shared" si="370"/>
      </c>
      <c r="V433" s="4">
        <f t="shared" si="371"/>
      </c>
      <c r="W433" s="4">
        <f t="shared" si="372"/>
      </c>
      <c r="X433" s="4">
        <f t="shared" si="373"/>
      </c>
      <c r="Y433" s="4" cm="1">
        <f t="array" ref="Y433">_xlfn.IFS(H433=1,2,H433=3,1)</f>
      </c>
      <c r="Z433" s="4">
        <f t="shared" si="374"/>
      </c>
      <c r="AA433" s="4">
        <f t="shared" si="381"/>
      </c>
      <c r="AB433" s="4">
        <f t="shared" si="375"/>
      </c>
      <c r="AC433" s="4">
        <f t="shared" si="382"/>
      </c>
      <c r="AD433" s="4">
        <f t="shared" si="376"/>
      </c>
      <c r="AE433" s="4">
        <f t="shared" si="392"/>
      </c>
      <c r="AF433" s="4">
        <f t="shared" si="393"/>
      </c>
      <c r="AG433" s="4">
        <f t="shared" si="394"/>
        <v/>
      </c>
      <c r="AH433" s="4">
        <f t="shared" si="383"/>
      </c>
      <c r="AI433" s="4">
        <f t="shared" si="395"/>
      </c>
      <c r="AJ433" s="4">
        <f t="shared" si="384"/>
      </c>
      <c r="AK433" s="4">
        <f t="shared" si="377"/>
      </c>
      <c r="AL433" s="4">
        <f t="shared" si="385"/>
      </c>
      <c r="AM433" s="4">
        <f t="shared" si="386"/>
      </c>
      <c r="AN433" s="4"/>
      <c r="AO433" s="4">
        <f t="shared" si="390"/>
      </c>
      <c r="AP433" s="4">
        <f t="shared" si="387"/>
      </c>
      <c r="AQ433" s="4">
        <f t="shared" si="391"/>
        <v/>
      </c>
      <c r="AR433" s="4">
        <f t="shared" si="388"/>
      </c>
      <c r="AS433" s="4">
        <f t="shared" si="389"/>
      </c>
      <c r="AT433" s="4">
        <f t="shared" si="396"/>
      </c>
    </row>
    <row r="434" spans="1:46" x14ac:dyDescent="0.3">
      <c r="A434" s="5">
        <f t="shared" si="369"/>
      </c>
      <c r="B434" s="4">
        <f t="shared" si="378"/>
      </c>
      <c r="C434" s="119"/>
      <c r="D434" s="119"/>
      <c r="E434" s="105"/>
      <c r="F434" s="173"/>
      <c r="G434" s="173"/>
      <c r="H434" s="173"/>
      <c r="I434" s="105"/>
      <c r="J434" s="105"/>
      <c r="K434" s="105"/>
      <c r="L434" s="105"/>
      <c r="M434" s="4">
        <f t="shared" si="379"/>
      </c>
      <c r="N434" s="59"/>
      <c r="O434" s="164"/>
      <c r="P434" s="59">
        <f t="shared" si="398"/>
      </c>
      <c r="Q434" s="165"/>
      <c r="R434" s="59"/>
      <c r="S434" s="164"/>
      <c r="T434" s="5">
        <f t="shared" si="380"/>
      </c>
      <c r="U434" s="4">
        <f t="shared" si="370"/>
      </c>
      <c r="V434" s="4">
        <f t="shared" si="371"/>
      </c>
      <c r="W434" s="4">
        <f t="shared" si="372"/>
      </c>
      <c r="X434" s="4">
        <f t="shared" si="373"/>
      </c>
      <c r="Y434" s="4" cm="1">
        <f t="array" ref="Y434">_xlfn.IFS(H434=1,2,H434=3,1)</f>
      </c>
      <c r="Z434" s="4">
        <f t="shared" si="374"/>
      </c>
      <c r="AA434" s="4">
        <f t="shared" si="381"/>
      </c>
      <c r="AB434" s="4">
        <f t="shared" si="375"/>
      </c>
      <c r="AC434" s="4">
        <f t="shared" si="382"/>
      </c>
      <c r="AD434" s="4">
        <f t="shared" si="376"/>
      </c>
      <c r="AE434" s="4">
        <f t="shared" si="392"/>
      </c>
      <c r="AF434" s="4">
        <f t="shared" si="393"/>
      </c>
      <c r="AG434" s="4">
        <f t="shared" si="394"/>
        <v/>
      </c>
      <c r="AH434" s="4">
        <f t="shared" si="383"/>
      </c>
      <c r="AI434" s="4">
        <f t="shared" si="395"/>
      </c>
      <c r="AJ434" s="4">
        <f t="shared" si="384"/>
      </c>
      <c r="AK434" s="4">
        <f t="shared" si="377"/>
      </c>
      <c r="AL434" s="4">
        <f t="shared" si="385"/>
      </c>
      <c r="AM434" s="4">
        <f t="shared" si="386"/>
      </c>
      <c r="AN434" s="4"/>
      <c r="AO434" s="4">
        <f t="shared" si="390"/>
      </c>
      <c r="AP434" s="4">
        <f t="shared" si="387"/>
      </c>
      <c r="AQ434" s="4">
        <f t="shared" si="391"/>
        <v/>
      </c>
      <c r="AR434" s="4">
        <f t="shared" si="388"/>
      </c>
      <c r="AS434" s="4">
        <f t="shared" si="389"/>
      </c>
      <c r="AT434" s="4">
        <f t="shared" si="396"/>
      </c>
    </row>
    <row r="435" spans="1:46" x14ac:dyDescent="0.3">
      <c r="A435" s="5">
        <f t="shared" si="369"/>
      </c>
      <c r="B435" s="4">
        <f t="shared" si="378"/>
      </c>
      <c r="C435" s="119"/>
      <c r="D435" s="119"/>
      <c r="E435" s="105"/>
      <c r="F435" s="173"/>
      <c r="G435" s="173"/>
      <c r="H435" s="173"/>
      <c r="I435" s="105"/>
      <c r="J435" s="105"/>
      <c r="K435" s="105"/>
      <c r="L435" s="105"/>
      <c r="M435" s="4">
        <f t="shared" si="379"/>
      </c>
      <c r="N435" s="59"/>
      <c r="O435" s="164"/>
      <c r="P435" s="59">
        <f t="shared" si="398"/>
      </c>
      <c r="Q435" s="165"/>
      <c r="R435" s="59"/>
      <c r="S435" s="164"/>
      <c r="T435" s="5">
        <f t="shared" si="380"/>
      </c>
      <c r="U435" s="4">
        <f t="shared" si="370"/>
      </c>
      <c r="V435" s="4">
        <f t="shared" si="371"/>
      </c>
      <c r="W435" s="4">
        <f t="shared" si="372"/>
      </c>
      <c r="X435" s="4">
        <f t="shared" si="373"/>
      </c>
      <c r="Y435" s="4" cm="1">
        <f t="array" ref="Y435">_xlfn.IFS(H435=1,2,H435=3,1)</f>
      </c>
      <c r="Z435" s="4">
        <f t="shared" si="374"/>
      </c>
      <c r="AA435" s="4">
        <f t="shared" si="381"/>
      </c>
      <c r="AB435" s="4">
        <f t="shared" si="375"/>
      </c>
      <c r="AC435" s="4">
        <f t="shared" si="382"/>
      </c>
      <c r="AD435" s="4">
        <f t="shared" si="376"/>
      </c>
      <c r="AE435" s="4">
        <f t="shared" si="392"/>
      </c>
      <c r="AF435" s="4">
        <f t="shared" si="393"/>
      </c>
      <c r="AG435" s="4">
        <f t="shared" si="394"/>
        <v/>
      </c>
      <c r="AH435" s="4">
        <f t="shared" si="383"/>
      </c>
      <c r="AI435" s="4">
        <f t="shared" si="395"/>
      </c>
      <c r="AJ435" s="4">
        <f t="shared" si="384"/>
      </c>
      <c r="AK435" s="4">
        <f t="shared" si="377"/>
      </c>
      <c r="AL435" s="4">
        <f t="shared" si="385"/>
      </c>
      <c r="AM435" s="4">
        <f t="shared" si="386"/>
      </c>
      <c r="AN435" s="4"/>
      <c r="AO435" s="4">
        <f t="shared" si="390"/>
      </c>
      <c r="AP435" s="4">
        <f t="shared" si="387"/>
      </c>
      <c r="AQ435" s="4">
        <f t="shared" si="391"/>
        <v/>
      </c>
      <c r="AR435" s="4">
        <f t="shared" si="388"/>
      </c>
      <c r="AS435" s="4">
        <f t="shared" si="389"/>
      </c>
      <c r="AT435" s="4">
        <f t="shared" si="396"/>
      </c>
    </row>
    <row r="436" spans="1:46" x14ac:dyDescent="0.3">
      <c r="A436" s="5">
        <f t="shared" si="369"/>
      </c>
      <c r="B436" s="4">
        <f t="shared" si="378"/>
      </c>
      <c r="C436" s="119"/>
      <c r="D436" s="119"/>
      <c r="E436" s="105"/>
      <c r="F436" s="173"/>
      <c r="G436" s="173"/>
      <c r="H436" s="173"/>
      <c r="I436" s="105"/>
      <c r="J436" s="105"/>
      <c r="K436" s="105"/>
      <c r="L436" s="105"/>
      <c r="M436" s="4">
        <f t="shared" si="379"/>
      </c>
      <c r="N436" s="59"/>
      <c r="O436" s="164"/>
      <c r="P436" s="59">
        <f t="shared" si="398"/>
      </c>
      <c r="Q436" s="165"/>
      <c r="R436" s="59"/>
      <c r="S436" s="164"/>
      <c r="T436" s="5">
        <f t="shared" si="380"/>
      </c>
      <c r="U436" s="4">
        <f t="shared" si="370"/>
      </c>
      <c r="V436" s="4">
        <f t="shared" si="371"/>
      </c>
      <c r="W436" s="4">
        <f t="shared" si="372"/>
      </c>
      <c r="X436" s="4">
        <f t="shared" si="373"/>
      </c>
      <c r="Y436" s="4" cm="1">
        <f t="array" ref="Y436">_xlfn.IFS(H436=1,2,H436=3,1)</f>
      </c>
      <c r="Z436" s="4">
        <f t="shared" si="374"/>
      </c>
      <c r="AA436" s="4">
        <f t="shared" si="381"/>
      </c>
      <c r="AB436" s="4">
        <f t="shared" si="375"/>
      </c>
      <c r="AC436" s="4">
        <f t="shared" si="382"/>
      </c>
      <c r="AD436" s="4">
        <f t="shared" si="376"/>
      </c>
      <c r="AE436" s="4">
        <f t="shared" si="392"/>
      </c>
      <c r="AF436" s="4">
        <f t="shared" si="393"/>
      </c>
      <c r="AG436" s="4">
        <f t="shared" si="394"/>
        <v/>
      </c>
      <c r="AH436" s="4">
        <f t="shared" si="383"/>
      </c>
      <c r="AI436" s="4">
        <f t="shared" si="395"/>
      </c>
      <c r="AJ436" s="4">
        <f t="shared" si="384"/>
      </c>
      <c r="AK436" s="4">
        <f t="shared" si="377"/>
      </c>
      <c r="AL436" s="4">
        <f t="shared" si="385"/>
      </c>
      <c r="AM436" s="4">
        <f t="shared" si="386"/>
      </c>
      <c r="AN436" s="4"/>
      <c r="AO436" s="4">
        <f t="shared" si="390"/>
      </c>
      <c r="AP436" s="4">
        <f t="shared" si="387"/>
      </c>
      <c r="AQ436" s="4">
        <f t="shared" si="391"/>
        <v/>
      </c>
      <c r="AR436" s="4">
        <f t="shared" si="388"/>
      </c>
      <c r="AS436" s="4">
        <f t="shared" si="389"/>
      </c>
      <c r="AT436" s="4">
        <f t="shared" si="396"/>
      </c>
    </row>
    <row r="437" spans="1:46" x14ac:dyDescent="0.3">
      <c r="A437" s="5">
        <f t="shared" si="369"/>
      </c>
      <c r="B437" s="4">
        <f t="shared" si="378"/>
      </c>
      <c r="C437" s="119"/>
      <c r="D437" s="119"/>
      <c r="E437" s="105"/>
      <c r="F437" s="173"/>
      <c r="G437" s="173"/>
      <c r="H437" s="173"/>
      <c r="I437" s="105"/>
      <c r="J437" s="105"/>
      <c r="K437" s="105"/>
      <c r="L437" s="105"/>
      <c r="M437" s="4">
        <f t="shared" si="379"/>
      </c>
      <c r="N437" s="59"/>
      <c r="O437" s="164"/>
      <c r="P437" s="59">
        <f t="shared" si="398"/>
      </c>
      <c r="Q437" s="165"/>
      <c r="R437" s="59"/>
      <c r="S437" s="164"/>
      <c r="T437" s="5">
        <f t="shared" si="380"/>
      </c>
      <c r="U437" s="4">
        <f t="shared" si="370"/>
      </c>
      <c r="V437" s="4">
        <f t="shared" si="371"/>
      </c>
      <c r="W437" s="4">
        <f t="shared" si="372"/>
      </c>
      <c r="X437" s="4">
        <f t="shared" si="373"/>
      </c>
      <c r="Y437" s="4" cm="1">
        <f t="array" ref="Y437">_xlfn.IFS(H437=1,2,H437=3,1)</f>
      </c>
      <c r="Z437" s="4">
        <f t="shared" si="374"/>
      </c>
      <c r="AA437" s="4">
        <f t="shared" si="381"/>
      </c>
      <c r="AB437" s="4">
        <f t="shared" si="375"/>
      </c>
      <c r="AC437" s="4">
        <f t="shared" si="382"/>
      </c>
      <c r="AD437" s="4">
        <f t="shared" si="376"/>
      </c>
      <c r="AE437" s="4">
        <f t="shared" si="392"/>
      </c>
      <c r="AF437" s="4">
        <f t="shared" si="393"/>
      </c>
      <c r="AG437" s="4">
        <f t="shared" si="394"/>
        <v/>
      </c>
      <c r="AH437" s="4">
        <f t="shared" si="383"/>
      </c>
      <c r="AI437" s="4">
        <f t="shared" si="395"/>
      </c>
      <c r="AJ437" s="4">
        <f t="shared" si="384"/>
      </c>
      <c r="AK437" s="4">
        <f t="shared" si="377"/>
      </c>
      <c r="AL437" s="4">
        <f t="shared" si="385"/>
      </c>
      <c r="AM437" s="4">
        <f t="shared" si="386"/>
      </c>
      <c r="AN437" s="4"/>
      <c r="AO437" s="4">
        <f t="shared" si="390"/>
      </c>
      <c r="AP437" s="4">
        <f t="shared" si="387"/>
      </c>
      <c r="AQ437" s="4">
        <f t="shared" si="391"/>
        <v/>
      </c>
      <c r="AR437" s="4">
        <f t="shared" si="388"/>
      </c>
      <c r="AS437" s="4">
        <f t="shared" si="389"/>
      </c>
      <c r="AT437" s="4">
        <f t="shared" si="396"/>
      </c>
    </row>
    <row r="438" spans="1:46" x14ac:dyDescent="0.3">
      <c r="A438" s="5">
        <f t="shared" si="369"/>
      </c>
      <c r="B438" s="4">
        <f t="shared" si="378"/>
      </c>
      <c r="C438" s="119"/>
      <c r="D438" s="119"/>
      <c r="E438" s="105"/>
      <c r="F438" s="173"/>
      <c r="G438" s="173"/>
      <c r="H438" s="173"/>
      <c r="I438" s="105"/>
      <c r="J438" s="105"/>
      <c r="K438" s="105"/>
      <c r="L438" s="105"/>
      <c r="M438" s="4">
        <f t="shared" si="379"/>
      </c>
      <c r="N438" s="59"/>
      <c r="O438" s="164"/>
      <c r="P438" s="59">
        <f t="shared" si="398"/>
      </c>
      <c r="Q438" s="165"/>
      <c r="R438" s="59"/>
      <c r="S438" s="164"/>
      <c r="T438" s="5">
        <f t="shared" si="380"/>
      </c>
      <c r="U438" s="4">
        <f t="shared" si="370"/>
      </c>
      <c r="V438" s="4">
        <f t="shared" si="371"/>
      </c>
      <c r="W438" s="4">
        <f t="shared" si="372"/>
      </c>
      <c r="X438" s="4">
        <f t="shared" si="373"/>
      </c>
      <c r="Y438" s="4" cm="1">
        <f t="array" ref="Y438">_xlfn.IFS(H438=1,2,H438=3,1)</f>
      </c>
      <c r="Z438" s="4">
        <f t="shared" si="374"/>
      </c>
      <c r="AA438" s="4">
        <f t="shared" si="381"/>
      </c>
      <c r="AB438" s="4">
        <f t="shared" si="375"/>
      </c>
      <c r="AC438" s="4">
        <f t="shared" si="382"/>
      </c>
      <c r="AD438" s="4">
        <f t="shared" si="376"/>
      </c>
      <c r="AE438" s="4">
        <f t="shared" si="392"/>
      </c>
      <c r="AF438" s="4">
        <f t="shared" si="393"/>
      </c>
      <c r="AG438" s="4">
        <f t="shared" si="394"/>
        <v/>
      </c>
      <c r="AH438" s="4">
        <f t="shared" si="383"/>
      </c>
      <c r="AI438" s="4">
        <f t="shared" si="395"/>
      </c>
      <c r="AJ438" s="4">
        <f t="shared" si="384"/>
      </c>
      <c r="AK438" s="4">
        <f t="shared" si="377"/>
      </c>
      <c r="AL438" s="4">
        <f t="shared" si="385"/>
      </c>
      <c r="AM438" s="4">
        <f t="shared" si="386"/>
      </c>
      <c r="AN438" s="4"/>
      <c r="AO438" s="4">
        <f t="shared" si="390"/>
      </c>
      <c r="AP438" s="4">
        <f t="shared" si="387"/>
      </c>
      <c r="AQ438" s="4">
        <f t="shared" si="391"/>
        <v/>
      </c>
      <c r="AR438" s="4">
        <f t="shared" si="388"/>
      </c>
      <c r="AS438" s="4">
        <f t="shared" si="389"/>
      </c>
      <c r="AT438" s="4">
        <f t="shared" si="396"/>
      </c>
    </row>
    <row r="439" spans="1:46" x14ac:dyDescent="0.3">
      <c r="A439" s="5">
        <f t="shared" si="369"/>
      </c>
      <c r="B439" s="4">
        <f t="shared" si="378"/>
      </c>
      <c r="C439" s="119"/>
      <c r="D439" s="119"/>
      <c r="E439" s="105"/>
      <c r="F439" s="173"/>
      <c r="G439" s="173"/>
      <c r="H439" s="173"/>
      <c r="I439" s="105"/>
      <c r="J439" s="105"/>
      <c r="K439" s="105"/>
      <c r="L439" s="105"/>
      <c r="M439" s="4">
        <f t="shared" si="379"/>
      </c>
      <c r="N439" s="59"/>
      <c r="O439" s="164"/>
      <c r="P439" s="59">
        <f t="shared" si="398"/>
      </c>
      <c r="Q439" s="165"/>
      <c r="R439" s="59"/>
      <c r="S439" s="164"/>
      <c r="T439" s="5">
        <f t="shared" si="380"/>
      </c>
      <c r="U439" s="4">
        <f t="shared" si="370"/>
      </c>
      <c r="V439" s="4">
        <f t="shared" si="371"/>
      </c>
      <c r="W439" s="4">
        <f t="shared" si="372"/>
      </c>
      <c r="X439" s="4">
        <f t="shared" si="373"/>
      </c>
      <c r="Y439" s="4" cm="1">
        <f t="array" ref="Y439">_xlfn.IFS(H439=1,2,H439=3,1)</f>
      </c>
      <c r="Z439" s="4">
        <f t="shared" si="374"/>
      </c>
      <c r="AA439" s="4">
        <f t="shared" si="381"/>
      </c>
      <c r="AB439" s="4">
        <f t="shared" si="375"/>
      </c>
      <c r="AC439" s="4">
        <f t="shared" si="382"/>
      </c>
      <c r="AD439" s="4">
        <f t="shared" si="376"/>
      </c>
      <c r="AE439" s="4">
        <f t="shared" si="392"/>
      </c>
      <c r="AF439" s="4">
        <f t="shared" si="393"/>
      </c>
      <c r="AG439" s="4">
        <f t="shared" si="394"/>
        <v/>
      </c>
      <c r="AH439" s="4">
        <f t="shared" si="383"/>
      </c>
      <c r="AI439" s="4">
        <f t="shared" si="395"/>
      </c>
      <c r="AJ439" s="4">
        <f t="shared" si="384"/>
      </c>
      <c r="AK439" s="4">
        <f t="shared" si="377"/>
      </c>
      <c r="AL439" s="4">
        <f t="shared" si="385"/>
      </c>
      <c r="AM439" s="4">
        <f t="shared" si="386"/>
      </c>
      <c r="AN439" s="4"/>
      <c r="AO439" s="4">
        <f t="shared" si="390"/>
      </c>
      <c r="AP439" s="4">
        <f t="shared" si="387"/>
      </c>
      <c r="AQ439" s="4">
        <f t="shared" si="391"/>
        <v/>
      </c>
      <c r="AR439" s="4">
        <f t="shared" si="388"/>
      </c>
      <c r="AS439" s="4">
        <f t="shared" si="389"/>
      </c>
      <c r="AT439" s="4">
        <f t="shared" si="396"/>
      </c>
    </row>
    <row r="440" spans="1:46" x14ac:dyDescent="0.3">
      <c r="A440" s="5">
        <f t="shared" si="369"/>
      </c>
      <c r="B440" s="4">
        <f t="shared" si="378"/>
      </c>
      <c r="C440" s="119"/>
      <c r="D440" s="119"/>
      <c r="E440" s="105"/>
      <c r="F440" s="173"/>
      <c r="G440" s="173"/>
      <c r="H440" s="173"/>
      <c r="I440" s="105"/>
      <c r="J440" s="105"/>
      <c r="K440" s="105"/>
      <c r="L440" s="105"/>
      <c r="M440" s="4">
        <f t="shared" si="379"/>
      </c>
      <c r="N440" s="59"/>
      <c r="O440" s="164"/>
      <c r="P440" s="59">
        <f t="shared" si="398"/>
      </c>
      <c r="Q440" s="165"/>
      <c r="R440" s="59"/>
      <c r="S440" s="164"/>
      <c r="T440" s="5">
        <f t="shared" si="380"/>
      </c>
      <c r="U440" s="4">
        <f t="shared" si="370"/>
      </c>
      <c r="V440" s="4">
        <f t="shared" si="371"/>
      </c>
      <c r="W440" s="4">
        <f t="shared" si="372"/>
      </c>
      <c r="X440" s="4">
        <f t="shared" si="373"/>
      </c>
      <c r="Y440" s="4" cm="1">
        <f t="array" ref="Y440">_xlfn.IFS(H440=1,2,H440=3,1)</f>
      </c>
      <c r="Z440" s="4">
        <f t="shared" si="374"/>
      </c>
      <c r="AA440" s="4">
        <f t="shared" si="381"/>
      </c>
      <c r="AB440" s="4">
        <f t="shared" si="375"/>
      </c>
      <c r="AC440" s="4">
        <f t="shared" si="382"/>
      </c>
      <c r="AD440" s="4">
        <f t="shared" si="376"/>
      </c>
      <c r="AE440" s="4">
        <f t="shared" si="392"/>
      </c>
      <c r="AF440" s="4">
        <f t="shared" si="393"/>
      </c>
      <c r="AG440" s="4">
        <f t="shared" si="394"/>
        <v/>
      </c>
      <c r="AH440" s="4">
        <f t="shared" si="383"/>
      </c>
      <c r="AI440" s="4">
        <f t="shared" si="395"/>
      </c>
      <c r="AJ440" s="4">
        <f t="shared" si="384"/>
      </c>
      <c r="AK440" s="4">
        <f t="shared" si="377"/>
      </c>
      <c r="AL440" s="4">
        <f t="shared" si="385"/>
      </c>
      <c r="AM440" s="4">
        <f t="shared" si="386"/>
      </c>
      <c r="AN440" s="4"/>
      <c r="AO440" s="4">
        <f t="shared" si="390"/>
      </c>
      <c r="AP440" s="4">
        <f t="shared" si="387"/>
      </c>
      <c r="AQ440" s="4">
        <f t="shared" si="391"/>
        <v/>
      </c>
      <c r="AR440" s="4">
        <f t="shared" si="388"/>
      </c>
      <c r="AS440" s="4">
        <f t="shared" si="389"/>
      </c>
      <c r="AT440" s="4">
        <f t="shared" si="396"/>
      </c>
    </row>
    <row r="441" spans="1:46" x14ac:dyDescent="0.3">
      <c r="A441" s="5">
        <f t="shared" si="369"/>
      </c>
      <c r="B441" s="4">
        <f t="shared" si="378"/>
      </c>
      <c r="C441" s="119"/>
      <c r="D441" s="119"/>
      <c r="E441" s="105"/>
      <c r="F441" s="173"/>
      <c r="G441" s="173"/>
      <c r="H441" s="173"/>
      <c r="I441" s="105"/>
      <c r="J441" s="105"/>
      <c r="K441" s="105"/>
      <c r="L441" s="105"/>
      <c r="M441" s="4">
        <f t="shared" si="379"/>
      </c>
      <c r="N441" s="59"/>
      <c r="O441" s="164"/>
      <c r="P441" s="59">
        <f t="shared" si="398"/>
      </c>
      <c r="Q441" s="165"/>
      <c r="R441" s="59"/>
      <c r="S441" s="164"/>
      <c r="T441" s="5">
        <f t="shared" si="380"/>
      </c>
      <c r="U441" s="4">
        <f t="shared" si="370"/>
      </c>
      <c r="V441" s="4">
        <f t="shared" si="371"/>
      </c>
      <c r="W441" s="4">
        <f t="shared" si="372"/>
      </c>
      <c r="X441" s="4">
        <f t="shared" si="373"/>
      </c>
      <c r="Y441" s="4" cm="1">
        <f t="array" ref="Y441">_xlfn.IFS(H441=1,2,H441=3,1)</f>
      </c>
      <c r="Z441" s="4">
        <f t="shared" si="374"/>
      </c>
      <c r="AA441" s="4">
        <f t="shared" si="381"/>
      </c>
      <c r="AB441" s="4">
        <f t="shared" si="375"/>
      </c>
      <c r="AC441" s="4">
        <f t="shared" si="382"/>
      </c>
      <c r="AD441" s="4">
        <f t="shared" si="376"/>
      </c>
      <c r="AE441" s="4">
        <f t="shared" si="392"/>
      </c>
      <c r="AF441" s="4">
        <f t="shared" si="393"/>
      </c>
      <c r="AG441" s="4">
        <f t="shared" si="394"/>
        <v/>
      </c>
      <c r="AH441" s="4">
        <f t="shared" si="383"/>
      </c>
      <c r="AI441" s="4">
        <f t="shared" si="395"/>
      </c>
      <c r="AJ441" s="4">
        <f t="shared" si="384"/>
      </c>
      <c r="AK441" s="4">
        <f t="shared" si="377"/>
      </c>
      <c r="AL441" s="4">
        <f t="shared" si="385"/>
      </c>
      <c r="AM441" s="4">
        <f t="shared" si="386"/>
      </c>
      <c r="AN441" s="4"/>
      <c r="AO441" s="4">
        <f t="shared" si="390"/>
      </c>
      <c r="AP441" s="4">
        <f t="shared" si="387"/>
      </c>
      <c r="AQ441" s="4">
        <f t="shared" si="391"/>
        <v/>
      </c>
      <c r="AR441" s="4">
        <f t="shared" si="388"/>
      </c>
      <c r="AS441" s="4">
        <f t="shared" si="389"/>
      </c>
      <c r="AT441" s="4">
        <f t="shared" si="396"/>
      </c>
    </row>
    <row r="442" spans="1:46" x14ac:dyDescent="0.3">
      <c r="A442" s="5">
        <f t="shared" si="369"/>
      </c>
      <c r="B442" s="4">
        <f t="shared" si="378"/>
      </c>
      <c r="C442" s="119"/>
      <c r="D442" s="119"/>
      <c r="E442" s="105"/>
      <c r="F442" s="173"/>
      <c r="G442" s="173"/>
      <c r="H442" s="173"/>
      <c r="I442" s="105"/>
      <c r="J442" s="105"/>
      <c r="K442" s="105"/>
      <c r="L442" s="105"/>
      <c r="M442" s="4">
        <f t="shared" si="379"/>
      </c>
      <c r="N442" s="59"/>
      <c r="O442" s="164"/>
      <c r="P442" s="59">
        <f t="shared" si="398"/>
      </c>
      <c r="Q442" s="165"/>
      <c r="R442" s="59"/>
      <c r="S442" s="164"/>
      <c r="T442" s="5">
        <f t="shared" si="380"/>
      </c>
      <c r="U442" s="4">
        <f t="shared" si="370"/>
      </c>
      <c r="V442" s="4">
        <f t="shared" si="371"/>
      </c>
      <c r="W442" s="4">
        <f t="shared" si="372"/>
      </c>
      <c r="X442" s="4">
        <f t="shared" si="373"/>
      </c>
      <c r="Y442" s="4" cm="1">
        <f t="array" ref="Y442">_xlfn.IFS(H442=1,2,H442=3,1)</f>
      </c>
      <c r="Z442" s="4">
        <f t="shared" si="374"/>
      </c>
      <c r="AA442" s="4">
        <f t="shared" si="381"/>
      </c>
      <c r="AB442" s="4">
        <f t="shared" si="375"/>
      </c>
      <c r="AC442" s="4">
        <f t="shared" si="382"/>
      </c>
      <c r="AD442" s="4">
        <f t="shared" si="376"/>
      </c>
      <c r="AE442" s="4">
        <f t="shared" si="392"/>
      </c>
      <c r="AF442" s="4">
        <f t="shared" si="393"/>
      </c>
      <c r="AG442" s="4">
        <f t="shared" si="394"/>
        <v/>
      </c>
      <c r="AH442" s="4">
        <f t="shared" si="383"/>
      </c>
      <c r="AI442" s="4">
        <f t="shared" si="395"/>
      </c>
      <c r="AJ442" s="4">
        <f t="shared" si="384"/>
      </c>
      <c r="AK442" s="4">
        <f t="shared" si="377"/>
      </c>
      <c r="AL442" s="4">
        <f t="shared" si="385"/>
      </c>
      <c r="AM442" s="4">
        <f t="shared" si="386"/>
      </c>
      <c r="AN442" s="4"/>
      <c r="AO442" s="4">
        <f t="shared" si="390"/>
      </c>
      <c r="AP442" s="4">
        <f t="shared" si="387"/>
      </c>
      <c r="AQ442" s="4">
        <f t="shared" si="391"/>
        <v/>
      </c>
      <c r="AR442" s="4">
        <f t="shared" si="388"/>
      </c>
      <c r="AS442" s="4">
        <f t="shared" si="389"/>
      </c>
      <c r="AT442" s="4">
        <f t="shared" si="396"/>
      </c>
    </row>
    <row r="443" spans="1:46" x14ac:dyDescent="0.3">
      <c r="A443" s="5">
        <f t="shared" si="369"/>
      </c>
      <c r="B443" s="4">
        <f t="shared" si="378"/>
      </c>
      <c r="C443" s="119"/>
      <c r="D443" s="119"/>
      <c r="E443" s="105"/>
      <c r="F443" s="173"/>
      <c r="G443" s="173"/>
      <c r="H443" s="173"/>
      <c r="I443" s="105"/>
      <c r="J443" s="105"/>
      <c r="K443" s="105"/>
      <c r="L443" s="105"/>
      <c r="M443" s="4">
        <f t="shared" si="379"/>
      </c>
      <c r="N443" s="59"/>
      <c r="O443" s="164"/>
      <c r="P443" s="59">
        <f t="shared" si="398"/>
      </c>
      <c r="Q443" s="165"/>
      <c r="R443" s="59"/>
      <c r="S443" s="164"/>
      <c r="T443" s="5">
        <f t="shared" si="380"/>
      </c>
      <c r="U443" s="4">
        <f t="shared" si="370"/>
      </c>
      <c r="V443" s="4">
        <f t="shared" si="371"/>
      </c>
      <c r="W443" s="4">
        <f t="shared" si="372"/>
      </c>
      <c r="X443" s="4">
        <f t="shared" si="373"/>
      </c>
      <c r="Y443" s="4" cm="1">
        <f t="array" ref="Y443">_xlfn.IFS(H443=1,2,H443=3,1)</f>
      </c>
      <c r="Z443" s="4">
        <f t="shared" si="374"/>
      </c>
      <c r="AA443" s="4">
        <f t="shared" si="381"/>
      </c>
      <c r="AB443" s="4">
        <f t="shared" si="375"/>
      </c>
      <c r="AC443" s="4">
        <f t="shared" si="382"/>
      </c>
      <c r="AD443" s="4">
        <f t="shared" si="376"/>
      </c>
      <c r="AE443" s="4">
        <f t="shared" si="392"/>
      </c>
      <c r="AF443" s="4">
        <f t="shared" si="393"/>
      </c>
      <c r="AG443" s="4">
        <f t="shared" si="394"/>
        <v/>
      </c>
      <c r="AH443" s="4">
        <f t="shared" si="383"/>
      </c>
      <c r="AI443" s="4">
        <f t="shared" si="395"/>
      </c>
      <c r="AJ443" s="4">
        <f t="shared" si="384"/>
      </c>
      <c r="AK443" s="4">
        <f t="shared" si="377"/>
      </c>
      <c r="AL443" s="4">
        <f t="shared" si="385"/>
      </c>
      <c r="AM443" s="4">
        <f t="shared" si="386"/>
      </c>
      <c r="AN443" s="4"/>
      <c r="AO443" s="4">
        <f t="shared" si="390"/>
      </c>
      <c r="AP443" s="4">
        <f t="shared" si="387"/>
      </c>
      <c r="AQ443" s="4">
        <f t="shared" si="391"/>
        <v/>
      </c>
      <c r="AR443" s="4">
        <f t="shared" si="388"/>
      </c>
      <c r="AS443" s="4">
        <f t="shared" si="389"/>
      </c>
      <c r="AT443" s="4">
        <f t="shared" si="396"/>
      </c>
    </row>
    <row r="444" spans="1:46" ht="15" thickBot="1" x14ac:dyDescent="0.35">
      <c r="A444" s="45">
        <f t="shared" si="369"/>
      </c>
      <c r="B444" s="44">
        <f t="shared" si="378"/>
      </c>
      <c r="C444" s="175"/>
      <c r="D444" s="175"/>
      <c r="E444" s="176"/>
      <c r="F444" s="178"/>
      <c r="G444" s="178"/>
      <c r="H444" s="178"/>
      <c r="I444" s="176"/>
      <c r="J444" s="176"/>
      <c r="K444" s="176"/>
      <c r="L444" s="176"/>
      <c r="M444" s="44">
        <f t="shared" si="379"/>
      </c>
      <c r="N444" s="64"/>
      <c r="O444" s="166"/>
      <c r="P444" s="64">
        <f t="shared" si="398"/>
      </c>
      <c r="Q444" s="170"/>
      <c r="R444" s="64"/>
      <c r="S444" s="166"/>
      <c r="T444" s="45">
        <f t="shared" si="380"/>
      </c>
      <c r="U444" s="44">
        <f t="shared" si="370"/>
      </c>
      <c r="V444" s="44">
        <f t="shared" si="371"/>
      </c>
      <c r="W444" s="44">
        <f t="shared" si="372"/>
      </c>
      <c r="X444" s="44">
        <f t="shared" si="373"/>
      </c>
      <c r="Y444" s="44" cm="1">
        <f t="array" ref="Y444">_xlfn.IFS(H444=1,2,H444=3,1)</f>
      </c>
      <c r="Z444" s="44">
        <f t="shared" si="374"/>
      </c>
      <c r="AA444" s="44">
        <f t="shared" si="381"/>
      </c>
      <c r="AB444" s="44">
        <f t="shared" si="375"/>
      </c>
      <c r="AC444" s="44">
        <f t="shared" si="382"/>
      </c>
      <c r="AD444" s="44">
        <f t="shared" si="376"/>
      </c>
      <c r="AE444" s="44">
        <f t="shared" si="392"/>
      </c>
      <c r="AF444" s="44">
        <f t="shared" si="393"/>
      </c>
      <c r="AG444" s="44">
        <f t="shared" si="394"/>
        <v/>
      </c>
      <c r="AH444" s="44">
        <f t="shared" si="383"/>
      </c>
      <c r="AI444" s="44">
        <f t="shared" si="395"/>
      </c>
      <c r="AJ444" s="44">
        <f t="shared" si="384"/>
      </c>
      <c r="AK444" s="44">
        <f t="shared" si="377"/>
      </c>
      <c r="AL444" s="44">
        <f t="shared" si="385"/>
      </c>
      <c r="AM444" s="44">
        <f t="shared" si="386"/>
      </c>
      <c r="AN444" s="44"/>
      <c r="AO444" s="44">
        <f t="shared" si="390"/>
      </c>
      <c r="AP444" s="44">
        <f t="shared" si="387"/>
      </c>
      <c r="AQ444" s="44">
        <f t="shared" si="391"/>
        <v/>
      </c>
      <c r="AR444" s="44">
        <f t="shared" si="388"/>
      </c>
      <c r="AS444" s="44">
        <f t="shared" si="389"/>
      </c>
      <c r="AT444" s="44">
        <f t="shared" si="396"/>
      </c>
    </row>
    <row r="445" spans="1:46" x14ac:dyDescent="0.3">
      <c r="A445" s="19">
        <f t="shared" si="369"/>
      </c>
      <c r="B445" s="7">
        <f t="shared" si="378"/>
      </c>
      <c r="C445" s="177"/>
      <c r="D445" s="177"/>
      <c r="E445" s="179"/>
      <c r="F445" s="182"/>
      <c r="G445" s="182"/>
      <c r="H445" s="182"/>
      <c r="I445" s="179"/>
      <c r="J445" s="179"/>
      <c r="K445" s="179"/>
      <c r="L445" s="179"/>
      <c r="M445" s="7">
        <f t="shared" si="379"/>
      </c>
      <c r="N445" s="65"/>
      <c r="O445" s="168"/>
      <c r="P445" s="65">
        <f t="shared" si="398"/>
      </c>
      <c r="Q445" s="118"/>
      <c r="R445" s="65"/>
      <c r="S445" s="168"/>
      <c r="T445" s="19">
        <f t="shared" si="380"/>
      </c>
      <c r="U445" s="7">
        <f t="shared" si="370"/>
      </c>
      <c r="V445" s="7">
        <f t="shared" si="371"/>
      </c>
      <c r="W445" s="7">
        <f t="shared" si="372"/>
      </c>
      <c r="X445" s="7">
        <f t="shared" si="373"/>
      </c>
      <c r="Y445" s="7" cm="1">
        <f t="array" ref="Y445">_xlfn.IFS(H445=1,2,H445=3,1)</f>
      </c>
      <c r="Z445" s="7">
        <f t="shared" si="374"/>
      </c>
      <c r="AA445" s="7">
        <f t="shared" si="381"/>
      </c>
      <c r="AB445" s="7">
        <f t="shared" si="375"/>
      </c>
      <c r="AC445" s="7">
        <f t="shared" si="382"/>
      </c>
      <c r="AD445" s="7">
        <f t="shared" si="376"/>
      </c>
      <c r="AE445" s="7">
        <f t="shared" si="392"/>
      </c>
      <c r="AF445" s="7">
        <f t="shared" si="393"/>
      </c>
      <c r="AG445" s="7">
        <f t="shared" si="394"/>
        <v/>
      </c>
      <c r="AH445" s="7">
        <f t="shared" si="383"/>
      </c>
      <c r="AI445" s="7">
        <f t="shared" si="395"/>
      </c>
      <c r="AJ445" s="7">
        <f t="shared" si="384"/>
      </c>
      <c r="AK445" s="7">
        <f t="shared" si="377"/>
      </c>
      <c r="AL445" s="7">
        <f t="shared" si="385"/>
      </c>
      <c r="AM445" s="7">
        <f t="shared" si="386"/>
      </c>
      <c r="AN445" s="7"/>
      <c r="AO445" s="7">
        <f t="shared" si="390"/>
      </c>
      <c r="AP445" s="7">
        <f t="shared" si="387"/>
      </c>
      <c r="AQ445" s="7">
        <f t="shared" si="391"/>
        <v/>
      </c>
      <c r="AR445" s="7">
        <f t="shared" si="388"/>
      </c>
      <c r="AS445" s="7">
        <f t="shared" si="389"/>
      </c>
      <c r="AT445" s="7">
        <f t="shared" si="396"/>
      </c>
    </row>
    <row r="446" spans="1:46" x14ac:dyDescent="0.3">
      <c r="A446" s="5">
        <f t="shared" si="369"/>
      </c>
      <c r="B446" s="4">
        <f t="shared" si="378"/>
      </c>
      <c r="C446" s="119"/>
      <c r="D446" s="119"/>
      <c r="E446" s="105"/>
      <c r="F446" s="173"/>
      <c r="G446" s="173"/>
      <c r="H446" s="173"/>
      <c r="I446" s="105"/>
      <c r="J446" s="105"/>
      <c r="K446" s="105"/>
      <c r="L446" s="105"/>
      <c r="M446" s="4">
        <f t="shared" si="379"/>
      </c>
      <c r="N446" s="59"/>
      <c r="O446" s="164"/>
      <c r="P446" s="59">
        <f t="shared" si="398"/>
      </c>
      <c r="Q446" s="165"/>
      <c r="R446" s="59"/>
      <c r="S446" s="164"/>
      <c r="T446" s="5">
        <f t="shared" si="380"/>
      </c>
      <c r="U446" s="4">
        <f t="shared" si="370"/>
      </c>
      <c r="V446" s="4">
        <f t="shared" si="371"/>
      </c>
      <c r="W446" s="4">
        <f t="shared" si="372"/>
      </c>
      <c r="X446" s="4">
        <f t="shared" si="373"/>
      </c>
      <c r="Y446" s="4" cm="1">
        <f t="array" ref="Y446">_xlfn.IFS(H446=1,2,H446=3,1)</f>
      </c>
      <c r="Z446" s="4">
        <f t="shared" si="374"/>
      </c>
      <c r="AA446" s="4">
        <f t="shared" si="381"/>
      </c>
      <c r="AB446" s="4">
        <f t="shared" si="375"/>
      </c>
      <c r="AC446" s="4">
        <f t="shared" si="382"/>
      </c>
      <c r="AD446" s="4">
        <f t="shared" si="376"/>
      </c>
      <c r="AE446" s="4">
        <f t="shared" si="392"/>
      </c>
      <c r="AF446" s="4">
        <f t="shared" si="393"/>
      </c>
      <c r="AG446" s="4">
        <f t="shared" si="394"/>
        <v/>
      </c>
      <c r="AH446" s="4">
        <f t="shared" si="383"/>
      </c>
      <c r="AI446" s="4">
        <f t="shared" si="395"/>
      </c>
      <c r="AJ446" s="4">
        <f t="shared" si="384"/>
      </c>
      <c r="AK446" s="4">
        <f t="shared" si="377"/>
      </c>
      <c r="AL446" s="4">
        <f t="shared" si="385"/>
      </c>
      <c r="AM446" s="4">
        <f t="shared" si="386"/>
      </c>
      <c r="AN446" s="4"/>
      <c r="AO446" s="4">
        <f t="shared" si="390"/>
      </c>
      <c r="AP446" s="4">
        <f t="shared" si="387"/>
      </c>
      <c r="AQ446" s="4">
        <f t="shared" si="391"/>
        <v/>
      </c>
      <c r="AR446" s="4">
        <f t="shared" si="388"/>
      </c>
      <c r="AS446" s="4">
        <f t="shared" si="389"/>
      </c>
      <c r="AT446" s="4">
        <f t="shared" si="396"/>
      </c>
    </row>
    <row r="447" spans="1:46" x14ac:dyDescent="0.3">
      <c r="A447" s="5">
        <f t="shared" si="369"/>
      </c>
      <c r="B447" s="4">
        <f t="shared" si="378"/>
      </c>
      <c r="C447" s="119"/>
      <c r="D447" s="119"/>
      <c r="E447" s="105"/>
      <c r="F447" s="173"/>
      <c r="G447" s="173"/>
      <c r="H447" s="173"/>
      <c r="I447" s="105"/>
      <c r="J447" s="105"/>
      <c r="K447" s="105"/>
      <c r="L447" s="105"/>
      <c r="M447" s="4">
        <f t="shared" si="379"/>
      </c>
      <c r="N447" s="59"/>
      <c r="O447" s="164"/>
      <c r="P447" s="59">
        <f t="shared" si="398"/>
      </c>
      <c r="Q447" s="165"/>
      <c r="R447" s="59"/>
      <c r="S447" s="164"/>
      <c r="T447" s="5">
        <f t="shared" si="380"/>
      </c>
      <c r="U447" s="4">
        <f t="shared" si="370"/>
      </c>
      <c r="V447" s="4">
        <f t="shared" si="371"/>
      </c>
      <c r="W447" s="4">
        <f t="shared" si="372"/>
      </c>
      <c r="X447" s="4">
        <f t="shared" si="373"/>
      </c>
      <c r="Y447" s="4" cm="1">
        <f t="array" ref="Y447">_xlfn.IFS(H447=1,2,H447=3,1)</f>
      </c>
      <c r="Z447" s="4">
        <f t="shared" si="374"/>
      </c>
      <c r="AA447" s="4">
        <f t="shared" si="381"/>
      </c>
      <c r="AB447" s="4">
        <f t="shared" si="375"/>
      </c>
      <c r="AC447" s="4">
        <f t="shared" si="382"/>
      </c>
      <c r="AD447" s="4">
        <f t="shared" si="376"/>
      </c>
      <c r="AE447" s="4">
        <f t="shared" si="392"/>
      </c>
      <c r="AF447" s="4">
        <f t="shared" si="393"/>
      </c>
      <c r="AG447" s="4">
        <f t="shared" si="394"/>
        <v/>
      </c>
      <c r="AH447" s="4">
        <f t="shared" si="383"/>
      </c>
      <c r="AI447" s="4">
        <f t="shared" si="395"/>
      </c>
      <c r="AJ447" s="4">
        <f t="shared" si="384"/>
      </c>
      <c r="AK447" s="4">
        <f t="shared" si="377"/>
      </c>
      <c r="AL447" s="4">
        <f t="shared" si="385"/>
      </c>
      <c r="AM447" s="4">
        <f t="shared" si="386"/>
      </c>
      <c r="AN447" s="4"/>
      <c r="AO447" s="4">
        <f t="shared" si="390"/>
      </c>
      <c r="AP447" s="4">
        <f t="shared" si="387"/>
      </c>
      <c r="AQ447" s="4">
        <f t="shared" si="391"/>
        <v/>
      </c>
      <c r="AR447" s="4">
        <f t="shared" si="388"/>
      </c>
      <c r="AS447" s="4">
        <f t="shared" si="389"/>
      </c>
      <c r="AT447" s="4">
        <f t="shared" si="396"/>
      </c>
    </row>
    <row r="448" spans="1:46" x14ac:dyDescent="0.3">
      <c r="A448" s="5">
        <f t="shared" ref="A448:A503" si="399">D448</f>
      </c>
      <c r="B448" s="4">
        <f t="shared" si="378"/>
      </c>
      <c r="C448" s="119"/>
      <c r="D448" s="119"/>
      <c r="E448" s="105"/>
      <c r="F448" s="173"/>
      <c r="G448" s="173"/>
      <c r="H448" s="173"/>
      <c r="I448" s="105"/>
      <c r="J448" s="105"/>
      <c r="K448" s="105"/>
      <c r="L448" s="105"/>
      <c r="M448" s="4">
        <f t="shared" si="379"/>
      </c>
      <c r="N448" s="59"/>
      <c r="O448" s="164"/>
      <c r="P448" s="59">
        <f t="shared" si="398"/>
      </c>
      <c r="Q448" s="165"/>
      <c r="R448" s="59"/>
      <c r="S448" s="164"/>
      <c r="T448" s="5">
        <f t="shared" si="380"/>
      </c>
      <c r="U448" s="4">
        <f t="shared" ref="U448:U503" si="400">IF(R448=0,VLOOKUP(T448,Автомат_номиналы,2,TRUE),R448)</f>
      </c>
      <c r="V448" s="4">
        <f t="shared" ref="V448:V503" si="401">IF(Q448=0,VLOOKUP(U448,Кабель_номиналы,2,TRUE),Q448)</f>
      </c>
      <c r="W448" s="4">
        <f t="shared" ref="W448:W503" si="402">VLOOKUP(V448,Кабель_сопротивление,3,FALSE)</f>
      </c>
      <c r="X448" s="4">
        <f t="shared" ref="X448:X503" si="403">VLOOKUP(V448,Кабель_сопротивление,2,FALSE)</f>
      </c>
      <c r="Y448" s="4" cm="1">
        <f t="array" ref="Y448">_xlfn.IFS(H448=1,2,H448=3,1)</f>
      </c>
      <c r="Z448" s="4">
        <f t="shared" ref="Z448:Z503" si="404">ROUND(SIN(ACOS(P448)),2)</f>
      </c>
      <c r="AA448" s="4">
        <f t="shared" si="381"/>
      </c>
      <c r="AB448" s="4">
        <f t="shared" ref="AB448:AB503" si="405">ROUNDUP(AA448/220*100,2)</f>
      </c>
      <c r="AC448" s="4">
        <f t="shared" si="382"/>
      </c>
      <c r="AD448" s="4">
        <f t="shared" ref="AD448:AD503" si="406">VLOOKUP(N448,Кабель_обозначение,2,FALSE)</f>
      </c>
      <c r="AE448" s="4">
        <f t="shared" si="392"/>
      </c>
      <c r="AF448" s="4">
        <f t="shared" si="393"/>
      </c>
      <c r="AG448" s="4">
        <f t="shared" si="394"/>
        <v/>
      </c>
      <c r="AH448" s="4">
        <f t="shared" si="383"/>
      </c>
      <c r="AI448" s="4">
        <f t="shared" si="395"/>
      </c>
      <c r="AJ448" s="4">
        <f t="shared" si="384"/>
      </c>
      <c r="AK448" s="4">
        <f t="shared" ref="AK448:AK503" si="407">ROUNDUP(T448,2)</f>
      </c>
      <c r="AL448" s="4">
        <f t="shared" si="385"/>
      </c>
      <c r="AM448" s="4">
        <f t="shared" si="386"/>
      </c>
      <c r="AN448" s="4"/>
      <c r="AO448" s="4">
        <f t="shared" si="390"/>
      </c>
      <c r="AP448" s="4">
        <f t="shared" si="387"/>
      </c>
      <c r="AQ448" s="4">
        <f t="shared" si="391"/>
        <v/>
      </c>
      <c r="AR448" s="4">
        <f t="shared" si="388"/>
      </c>
      <c r="AS448" s="4">
        <f t="shared" si="389"/>
      </c>
      <c r="AT448" s="4">
        <f t="shared" si="396"/>
      </c>
    </row>
    <row r="449" spans="1:46" x14ac:dyDescent="0.3">
      <c r="A449" s="5">
        <f t="shared" si="399"/>
      </c>
      <c r="B449" s="4">
        <f t="shared" si="378"/>
      </c>
      <c r="C449" s="119"/>
      <c r="D449" s="119"/>
      <c r="E449" s="105"/>
      <c r="F449" s="173"/>
      <c r="G449" s="173"/>
      <c r="H449" s="173"/>
      <c r="I449" s="105"/>
      <c r="J449" s="105"/>
      <c r="K449" s="105"/>
      <c r="L449" s="105"/>
      <c r="M449" s="4">
        <f t="shared" si="379"/>
      </c>
      <c r="N449" s="59"/>
      <c r="O449" s="164"/>
      <c r="P449" s="59">
        <f t="shared" si="398"/>
      </c>
      <c r="Q449" s="165"/>
      <c r="R449" s="59"/>
      <c r="S449" s="164"/>
      <c r="T449" s="5">
        <f t="shared" si="380"/>
      </c>
      <c r="U449" s="4">
        <f t="shared" si="400"/>
      </c>
      <c r="V449" s="4">
        <f t="shared" si="401"/>
      </c>
      <c r="W449" s="4">
        <f t="shared" si="402"/>
      </c>
      <c r="X449" s="4">
        <f t="shared" si="403"/>
      </c>
      <c r="Y449" s="4" cm="1">
        <f t="array" ref="Y449">_xlfn.IFS(H449=1,2,H449=3,1)</f>
      </c>
      <c r="Z449" s="4">
        <f t="shared" si="404"/>
      </c>
      <c r="AA449" s="4">
        <f t="shared" si="381"/>
      </c>
      <c r="AB449" s="4">
        <f t="shared" si="405"/>
      </c>
      <c r="AC449" s="4">
        <f t="shared" si="382"/>
      </c>
      <c r="AD449" s="4">
        <f t="shared" si="406"/>
      </c>
      <c r="AE449" s="4">
        <f t="shared" si="392"/>
      </c>
      <c r="AF449" s="4">
        <f t="shared" si="393"/>
      </c>
      <c r="AG449" s="4">
        <f t="shared" si="394"/>
        <v/>
      </c>
      <c r="AH449" s="4">
        <f t="shared" si="383"/>
      </c>
      <c r="AI449" s="4">
        <f t="shared" si="395"/>
      </c>
      <c r="AJ449" s="4">
        <f t="shared" si="384"/>
      </c>
      <c r="AK449" s="4">
        <f t="shared" si="407"/>
      </c>
      <c r="AL449" s="4">
        <f t="shared" si="385"/>
      </c>
      <c r="AM449" s="4">
        <f t="shared" si="386"/>
      </c>
      <c r="AN449" s="4"/>
      <c r="AO449" s="4">
        <f t="shared" si="390"/>
      </c>
      <c r="AP449" s="4">
        <f t="shared" si="387"/>
      </c>
      <c r="AQ449" s="4">
        <f t="shared" si="391"/>
        <v/>
      </c>
      <c r="AR449" s="4">
        <f t="shared" si="388"/>
      </c>
      <c r="AS449" s="4">
        <f t="shared" si="389"/>
      </c>
      <c r="AT449" s="4">
        <f t="shared" si="396"/>
      </c>
    </row>
    <row r="450" spans="1:46" x14ac:dyDescent="0.3">
      <c r="A450" s="5">
        <f t="shared" si="399"/>
      </c>
      <c r="B450" s="4">
        <f t="shared" si="378"/>
      </c>
      <c r="C450" s="119"/>
      <c r="D450" s="119"/>
      <c r="E450" s="105"/>
      <c r="F450" s="173"/>
      <c r="G450" s="173"/>
      <c r="H450" s="173"/>
      <c r="I450" s="105"/>
      <c r="J450" s="105"/>
      <c r="K450" s="105"/>
      <c r="L450" s="105"/>
      <c r="M450" s="4">
        <f t="shared" si="379"/>
      </c>
      <c r="N450" s="59"/>
      <c r="O450" s="164"/>
      <c r="P450" s="59">
        <f t="shared" si="398"/>
      </c>
      <c r="Q450" s="165"/>
      <c r="R450" s="59"/>
      <c r="S450" s="164"/>
      <c r="T450" s="5">
        <f t="shared" si="380"/>
      </c>
      <c r="U450" s="4">
        <f t="shared" si="400"/>
      </c>
      <c r="V450" s="4">
        <f t="shared" si="401"/>
      </c>
      <c r="W450" s="4">
        <f t="shared" si="402"/>
      </c>
      <c r="X450" s="4">
        <f t="shared" si="403"/>
      </c>
      <c r="Y450" s="4" cm="1">
        <f t="array" ref="Y450">_xlfn.IFS(H450=1,2,H450=3,1)</f>
      </c>
      <c r="Z450" s="4">
        <f t="shared" si="404"/>
      </c>
      <c r="AA450" s="4">
        <f t="shared" si="381"/>
      </c>
      <c r="AB450" s="4">
        <f t="shared" si="405"/>
      </c>
      <c r="AC450" s="4">
        <f t="shared" si="382"/>
      </c>
      <c r="AD450" s="4">
        <f t="shared" si="406"/>
      </c>
      <c r="AE450" s="4">
        <f t="shared" si="392"/>
      </c>
      <c r="AF450" s="4">
        <f t="shared" si="393"/>
      </c>
      <c r="AG450" s="4">
        <f t="shared" si="394"/>
        <v/>
      </c>
      <c r="AH450" s="4">
        <f t="shared" si="383"/>
      </c>
      <c r="AI450" s="4">
        <f t="shared" si="395"/>
      </c>
      <c r="AJ450" s="4">
        <f t="shared" si="384"/>
      </c>
      <c r="AK450" s="4">
        <f t="shared" si="407"/>
      </c>
      <c r="AL450" s="4">
        <f t="shared" si="385"/>
      </c>
      <c r="AM450" s="4">
        <f t="shared" si="386"/>
      </c>
      <c r="AN450" s="4"/>
      <c r="AO450" s="4">
        <f t="shared" si="390"/>
      </c>
      <c r="AP450" s="4">
        <f t="shared" si="387"/>
      </c>
      <c r="AQ450" s="4">
        <f t="shared" si="391"/>
        <v/>
      </c>
      <c r="AR450" s="4">
        <f t="shared" si="388"/>
      </c>
      <c r="AS450" s="4">
        <f t="shared" si="389"/>
      </c>
      <c r="AT450" s="4">
        <f t="shared" si="396"/>
      </c>
    </row>
    <row r="451" spans="1:46" x14ac:dyDescent="0.3">
      <c r="A451" s="5">
        <f t="shared" si="399"/>
      </c>
      <c r="B451" s="4">
        <f t="shared" ref="B451:B503" si="408">IFERROR(IF(VLOOKUP(AH451,Потребители_обозначение,4,FALSE)=1,VLOOKUP(AH451,Потребители_обозначение,2,FALSE)&amp;" "&amp;VLOOKUP(AI451,Этаж_обозначение,2,FALSE)&amp;" Пом. №"&amp;AG451,VLOOKUP(AH451,Потребители_обозначение,2,FALSE)&amp;" Шлейф №"&amp;AI451),VLOOKUP(D451,Потребители_обозначение,2,FALSE))</f>
      </c>
      <c r="C451" s="119"/>
      <c r="D451" s="119"/>
      <c r="E451" s="105"/>
      <c r="F451" s="173"/>
      <c r="G451" s="173"/>
      <c r="H451" s="173"/>
      <c r="I451" s="105"/>
      <c r="J451" s="105"/>
      <c r="K451" s="105"/>
      <c r="L451" s="105"/>
      <c r="M451" s="4">
        <f t="shared" ref="M451:M503" si="409">IFERROR(IF(VLOOKUP(AH451,Потребители_обозначение,4,FALSE)=1,VLOOKUP(AH451,Потребители_обозначение,3,FALSE)*(G451*2-1)+I451+VLOOKUP(AI451,Этаж_обозначение,3,FALSE)+VLOOKUP(AI451,Этаж_обозначение,4,FALSE),VLOOKUP(AH451,Потребители_обозначение,3,FALSE)*(G451*2-1)+I451),I451)</f>
      </c>
      <c r="N451" s="59"/>
      <c r="O451" s="164"/>
      <c r="P451" s="59">
        <f t="shared" si="398"/>
      </c>
      <c r="Q451" s="165"/>
      <c r="R451" s="59"/>
      <c r="S451" s="164"/>
      <c r="T451" s="5">
        <f t="shared" ref="T451:T503" si="410">_xlfn.IFS(H451=1,E451*1000/220,H451=3,E451/0.38/1.732)</f>
      </c>
      <c r="U451" s="4">
        <f t="shared" si="400"/>
      </c>
      <c r="V451" s="4">
        <f t="shared" si="401"/>
      </c>
      <c r="W451" s="4">
        <f t="shared" si="402"/>
      </c>
      <c r="X451" s="4">
        <f t="shared" si="403"/>
      </c>
      <c r="Y451" s="4" cm="1">
        <f t="array" ref="Y451">_xlfn.IFS(H451=1,2,H451=3,1)</f>
      </c>
      <c r="Z451" s="4">
        <f t="shared" si="404"/>
      </c>
      <c r="AA451" s="4">
        <f t="shared" ref="AA451:AA503" si="411">Y451*(W451*I451/V451+X451*I451*Z451/1000)*T451</f>
      </c>
      <c r="AB451" s="4">
        <f t="shared" si="405"/>
      </c>
      <c r="AC451" s="4">
        <f t="shared" ref="AC451:AC503" si="412">_xlfn.IFS(H451=3,380,H451=1,220)</f>
      </c>
      <c r="AD451" s="4">
        <f t="shared" si="406"/>
      </c>
      <c r="AE451" s="4">
        <f t="shared" si="392"/>
      </c>
      <c r="AF451" s="4">
        <f t="shared" si="393"/>
      </c>
      <c r="AG451" s="4">
        <f t="shared" si="394"/>
        <v/>
      </c>
      <c r="AH451" s="4">
        <f t="shared" ref="AH451:AH503" si="413">IFERROR(LEFT(A451,SEARCH(".",A451)-1),A451)</f>
      </c>
      <c r="AI451" s="4">
        <f t="shared" si="395"/>
      </c>
      <c r="AJ451" s="4">
        <f t="shared" ref="AJ451:AJ503" si="414">IF(C451=0,B451,C451)</f>
      </c>
      <c r="AK451" s="4">
        <f t="shared" si="407"/>
      </c>
      <c r="AL451" s="4">
        <f t="shared" ref="AL451:AL503" si="415">E451</f>
      </c>
      <c r="AM451" s="4">
        <f t="shared" ref="AM451:AM503" si="416">D451</f>
      </c>
      <c r="AN451" s="4"/>
      <c r="AO451" s="4">
        <f t="shared" si="390"/>
      </c>
      <c r="AP451" s="4">
        <f t="shared" ref="AP451:AP503" si="417">RIGHT(A451,LEN(A451)-SEARCH(".",A451))</f>
      </c>
      <c r="AQ451" s="4">
        <f t="shared" si="391"/>
        <v/>
      </c>
      <c r="AR451" s="4">
        <f t="shared" ref="AR451:AR503" si="418">IFERROR(IF(VLOOKUP(AH451,Потребители_обозначение,5,FALSE)=2,_xlfn.IFS(H451=3,VLOOKUP(E451,Справочная_двигатели,3,FALSE),H451=1,VLOOKUP(E451,Справочная_двигатели,5,TRUE)),0),0)</f>
      </c>
      <c r="AS451" s="4">
        <f t="shared" ref="AS451:AS503" si="419">IFERROR(IF(VLOOKUP(AH451,Потребители_обозначение,5,FALSE)=3,VLOOKUP(E451,Справочная_ЛЭД,2,TRUE),0),0)</f>
      </c>
      <c r="AT451" s="4">
        <f t="shared" si="396"/>
      </c>
    </row>
    <row r="452" spans="1:46" x14ac:dyDescent="0.3">
      <c r="A452" s="5">
        <f t="shared" si="399"/>
      </c>
      <c r="B452" s="4">
        <f t="shared" si="408"/>
      </c>
      <c r="C452" s="119"/>
      <c r="D452" s="119"/>
      <c r="E452" s="105"/>
      <c r="F452" s="173"/>
      <c r="G452" s="173"/>
      <c r="H452" s="173"/>
      <c r="I452" s="105"/>
      <c r="J452" s="105"/>
      <c r="K452" s="105"/>
      <c r="L452" s="105"/>
      <c r="M452" s="4">
        <f t="shared" si="409"/>
      </c>
      <c r="N452" s="59"/>
      <c r="O452" s="164"/>
      <c r="P452" s="59">
        <f t="shared" si="398"/>
      </c>
      <c r="Q452" s="165"/>
      <c r="R452" s="59"/>
      <c r="S452" s="164"/>
      <c r="T452" s="5">
        <f t="shared" si="410"/>
      </c>
      <c r="U452" s="4">
        <f t="shared" si="400"/>
      </c>
      <c r="V452" s="4">
        <f t="shared" si="401"/>
      </c>
      <c r="W452" s="4">
        <f t="shared" si="402"/>
      </c>
      <c r="X452" s="4">
        <f t="shared" si="403"/>
      </c>
      <c r="Y452" s="4" cm="1">
        <f t="array" ref="Y452">_xlfn.IFS(H452=1,2,H452=3,1)</f>
      </c>
      <c r="Z452" s="4">
        <f t="shared" si="404"/>
      </c>
      <c r="AA452" s="4">
        <f t="shared" si="411"/>
      </c>
      <c r="AB452" s="4">
        <f t="shared" si="405"/>
      </c>
      <c r="AC452" s="4">
        <f t="shared" si="412"/>
      </c>
      <c r="AD452" s="4">
        <f t="shared" si="406"/>
      </c>
      <c r="AE452" s="4">
        <f t="shared" si="392"/>
      </c>
      <c r="AF452" s="4">
        <f t="shared" si="393"/>
      </c>
      <c r="AG452" s="4">
        <f t="shared" si="394"/>
        <v/>
      </c>
      <c r="AH452" s="4">
        <f t="shared" si="413"/>
      </c>
      <c r="AI452" s="4">
        <f t="shared" si="395"/>
      </c>
      <c r="AJ452" s="4">
        <f t="shared" si="414"/>
      </c>
      <c r="AK452" s="4">
        <f t="shared" si="407"/>
      </c>
      <c r="AL452" s="4">
        <f t="shared" si="415"/>
      </c>
      <c r="AM452" s="4">
        <f t="shared" si="416"/>
      </c>
      <c r="AN452" s="4"/>
      <c r="AO452" s="4">
        <f t="shared" si="390"/>
      </c>
      <c r="AP452" s="4">
        <f t="shared" si="417"/>
      </c>
      <c r="AQ452" s="4">
        <f t="shared" si="391"/>
        <v/>
      </c>
      <c r="AR452" s="4">
        <f t="shared" si="418"/>
      </c>
      <c r="AS452" s="4">
        <f t="shared" si="419"/>
      </c>
      <c r="AT452" s="4">
        <f t="shared" si="396"/>
      </c>
    </row>
    <row r="453" spans="1:46" x14ac:dyDescent="0.3">
      <c r="A453" s="5">
        <f t="shared" si="399"/>
      </c>
      <c r="B453" s="4">
        <f t="shared" si="408"/>
      </c>
      <c r="C453" s="119"/>
      <c r="D453" s="119"/>
      <c r="E453" s="105"/>
      <c r="F453" s="173"/>
      <c r="G453" s="173"/>
      <c r="H453" s="173"/>
      <c r="I453" s="105"/>
      <c r="J453" s="105"/>
      <c r="K453" s="105"/>
      <c r="L453" s="105"/>
      <c r="M453" s="4">
        <f t="shared" si="409"/>
      </c>
      <c r="N453" s="59"/>
      <c r="O453" s="164"/>
      <c r="P453" s="59">
        <f t="shared" si="398"/>
      </c>
      <c r="Q453" s="165"/>
      <c r="R453" s="59"/>
      <c r="S453" s="164"/>
      <c r="T453" s="5">
        <f t="shared" si="410"/>
      </c>
      <c r="U453" s="4">
        <f t="shared" si="400"/>
      </c>
      <c r="V453" s="4">
        <f t="shared" si="401"/>
      </c>
      <c r="W453" s="4">
        <f t="shared" si="402"/>
      </c>
      <c r="X453" s="4">
        <f t="shared" si="403"/>
      </c>
      <c r="Y453" s="4" cm="1">
        <f t="array" ref="Y453">_xlfn.IFS(H453=1,2,H453=3,1)</f>
      </c>
      <c r="Z453" s="4">
        <f t="shared" si="404"/>
      </c>
      <c r="AA453" s="4">
        <f t="shared" si="411"/>
      </c>
      <c r="AB453" s="4">
        <f t="shared" si="405"/>
      </c>
      <c r="AC453" s="4">
        <f t="shared" si="412"/>
      </c>
      <c r="AD453" s="4">
        <f t="shared" si="406"/>
      </c>
      <c r="AE453" s="4">
        <f t="shared" si="392"/>
      </c>
      <c r="AF453" s="4">
        <f t="shared" si="393"/>
      </c>
      <c r="AG453" s="4">
        <f t="shared" si="394"/>
        <v/>
      </c>
      <c r="AH453" s="4">
        <f t="shared" si="413"/>
      </c>
      <c r="AI453" s="4">
        <f t="shared" si="395"/>
      </c>
      <c r="AJ453" s="4">
        <f t="shared" si="414"/>
      </c>
      <c r="AK453" s="4">
        <f t="shared" si="407"/>
      </c>
      <c r="AL453" s="4">
        <f t="shared" si="415"/>
      </c>
      <c r="AM453" s="4">
        <f t="shared" si="416"/>
      </c>
      <c r="AN453" s="4"/>
      <c r="AO453" s="4">
        <f t="shared" ref="AO453:AO503" si="420">IF(V453=0,AD453,AE453&amp;"
L="&amp;M453&amp;"-"&amp;AB453&amp;"%")</f>
      </c>
      <c r="AP453" s="4">
        <f t="shared" si="417"/>
      </c>
      <c r="AQ453" s="4">
        <f t="shared" ref="AQ453:AQ503" si="421">IFERROR(RIGHT(AP453,LEN(AP453)-SEARCH(".",AP453)),"")</f>
        <v/>
      </c>
      <c r="AR453" s="4">
        <f t="shared" si="418"/>
      </c>
      <c r="AS453" s="4">
        <f t="shared" si="419"/>
      </c>
      <c r="AT453" s="4">
        <f t="shared" si="396"/>
      </c>
    </row>
    <row r="454" spans="1:46" x14ac:dyDescent="0.3">
      <c r="A454" s="5">
        <f t="shared" si="399"/>
      </c>
      <c r="B454" s="4">
        <f t="shared" si="408"/>
      </c>
      <c r="C454" s="119"/>
      <c r="D454" s="119"/>
      <c r="E454" s="105"/>
      <c r="F454" s="173"/>
      <c r="G454" s="173"/>
      <c r="H454" s="173"/>
      <c r="I454" s="105"/>
      <c r="J454" s="105"/>
      <c r="K454" s="105"/>
      <c r="L454" s="105"/>
      <c r="M454" s="4">
        <f t="shared" si="409"/>
      </c>
      <c r="N454" s="59"/>
      <c r="O454" s="164"/>
      <c r="P454" s="59">
        <f t="shared" si="398"/>
      </c>
      <c r="Q454" s="165"/>
      <c r="R454" s="59"/>
      <c r="S454" s="164"/>
      <c r="T454" s="5">
        <f t="shared" si="410"/>
      </c>
      <c r="U454" s="4">
        <f t="shared" si="400"/>
      </c>
      <c r="V454" s="4">
        <f t="shared" si="401"/>
      </c>
      <c r="W454" s="4">
        <f t="shared" si="402"/>
      </c>
      <c r="X454" s="4">
        <f t="shared" si="403"/>
      </c>
      <c r="Y454" s="4" cm="1">
        <f t="array" ref="Y454">_xlfn.IFS(H454=1,2,H454=3,1)</f>
      </c>
      <c r="Z454" s="4">
        <f t="shared" si="404"/>
      </c>
      <c r="AA454" s="4">
        <f t="shared" si="411"/>
      </c>
      <c r="AB454" s="4">
        <f t="shared" si="405"/>
      </c>
      <c r="AC454" s="4">
        <f t="shared" si="412"/>
      </c>
      <c r="AD454" s="4">
        <f t="shared" si="406"/>
      </c>
      <c r="AE454" s="4">
        <f t="shared" ref="AE454:AE503" si="422">IF(VLOOKUP(N454,Кабель_обозначение,3,FALSE)=1,AD454&amp;" ("&amp;O454&amp;"х"&amp;V454&amp;")",AD454)</f>
      </c>
      <c r="AF454" s="4">
        <f t="shared" si="393"/>
      </c>
      <c r="AG454" s="4">
        <f t="shared" si="394"/>
        <v/>
      </c>
      <c r="AH454" s="4">
        <f t="shared" si="413"/>
      </c>
      <c r="AI454" s="4">
        <f t="shared" si="395"/>
      </c>
      <c r="AJ454" s="4">
        <f t="shared" si="414"/>
      </c>
      <c r="AK454" s="4">
        <f t="shared" si="407"/>
      </c>
      <c r="AL454" s="4">
        <f t="shared" si="415"/>
      </c>
      <c r="AM454" s="4">
        <f t="shared" si="416"/>
      </c>
      <c r="AN454" s="4"/>
      <c r="AO454" s="4">
        <f t="shared" si="420"/>
      </c>
      <c r="AP454" s="4">
        <f t="shared" si="417"/>
      </c>
      <c r="AQ454" s="4">
        <f t="shared" si="421"/>
        <v/>
      </c>
      <c r="AR454" s="4">
        <f t="shared" si="418"/>
      </c>
      <c r="AS454" s="4">
        <f t="shared" si="419"/>
      </c>
      <c r="AT454" s="4">
        <f t="shared" si="396"/>
      </c>
    </row>
    <row r="455" spans="1:46" x14ac:dyDescent="0.3">
      <c r="A455" s="5">
        <f t="shared" si="399"/>
      </c>
      <c r="B455" s="4">
        <f t="shared" si="408"/>
      </c>
      <c r="C455" s="119"/>
      <c r="D455" s="119"/>
      <c r="E455" s="105"/>
      <c r="F455" s="173"/>
      <c r="G455" s="173"/>
      <c r="H455" s="173"/>
      <c r="I455" s="105"/>
      <c r="J455" s="105"/>
      <c r="K455" s="105"/>
      <c r="L455" s="105"/>
      <c r="M455" s="4">
        <f t="shared" si="409"/>
      </c>
      <c r="N455" s="59"/>
      <c r="O455" s="164"/>
      <c r="P455" s="59">
        <f t="shared" si="398"/>
      </c>
      <c r="Q455" s="165"/>
      <c r="R455" s="59"/>
      <c r="S455" s="164"/>
      <c r="T455" s="5">
        <f t="shared" si="410"/>
      </c>
      <c r="U455" s="4">
        <f t="shared" si="400"/>
      </c>
      <c r="V455" s="4">
        <f t="shared" si="401"/>
      </c>
      <c r="W455" s="4">
        <f t="shared" si="402"/>
      </c>
      <c r="X455" s="4">
        <f t="shared" si="403"/>
      </c>
      <c r="Y455" s="4" cm="1">
        <f t="array" ref="Y455">_xlfn.IFS(H455=1,2,H455=3,1)</f>
      </c>
      <c r="Z455" s="4">
        <f t="shared" si="404"/>
      </c>
      <c r="AA455" s="4">
        <f t="shared" si="411"/>
      </c>
      <c r="AB455" s="4">
        <f t="shared" si="405"/>
      </c>
      <c r="AC455" s="4">
        <f t="shared" si="412"/>
      </c>
      <c r="AD455" s="4">
        <f t="shared" si="406"/>
      </c>
      <c r="AE455" s="4">
        <f t="shared" si="422"/>
      </c>
      <c r="AF455" s="4">
        <f t="shared" ref="AF455:AF503" si="423">IFERROR(IF(AB455&gt;4.5,1,2),0)</f>
      </c>
      <c r="AG455" s="4">
        <f t="shared" ref="AG455:AG503" si="424">IFERROR(LEFT(AQ455,SEARCH(".",AQ455)-1),AQ455)</f>
        <v/>
      </c>
      <c r="AH455" s="4">
        <f t="shared" si="413"/>
      </c>
      <c r="AI455" s="4">
        <f t="shared" si="395"/>
      </c>
      <c r="AJ455" s="4">
        <f t="shared" si="414"/>
      </c>
      <c r="AK455" s="4">
        <f t="shared" si="407"/>
      </c>
      <c r="AL455" s="4">
        <f t="shared" si="415"/>
      </c>
      <c r="AM455" s="4">
        <f t="shared" si="416"/>
      </c>
      <c r="AN455" s="4"/>
      <c r="AO455" s="4">
        <f t="shared" si="420"/>
      </c>
      <c r="AP455" s="4">
        <f t="shared" si="417"/>
      </c>
      <c r="AQ455" s="4">
        <f t="shared" si="421"/>
        <v/>
      </c>
      <c r="AR455" s="4">
        <f t="shared" si="418"/>
      </c>
      <c r="AS455" s="4">
        <f t="shared" si="419"/>
      </c>
      <c r="AT455" s="4">
        <f t="shared" si="396"/>
      </c>
    </row>
    <row r="456" spans="1:46" x14ac:dyDescent="0.3">
      <c r="A456" s="5">
        <f t="shared" si="399"/>
      </c>
      <c r="B456" s="4">
        <f t="shared" si="408"/>
      </c>
      <c r="C456" s="119"/>
      <c r="D456" s="119"/>
      <c r="E456" s="105"/>
      <c r="F456" s="173"/>
      <c r="G456" s="173"/>
      <c r="H456" s="173"/>
      <c r="I456" s="105"/>
      <c r="J456" s="105"/>
      <c r="K456" s="105"/>
      <c r="L456" s="105"/>
      <c r="M456" s="4">
        <f t="shared" si="409"/>
      </c>
      <c r="N456" s="59"/>
      <c r="O456" s="164"/>
      <c r="P456" s="59">
        <f t="shared" si="398"/>
      </c>
      <c r="Q456" s="165"/>
      <c r="R456" s="59"/>
      <c r="S456" s="164"/>
      <c r="T456" s="5">
        <f t="shared" si="410"/>
      </c>
      <c r="U456" s="4">
        <f t="shared" si="400"/>
      </c>
      <c r="V456" s="4">
        <f t="shared" si="401"/>
      </c>
      <c r="W456" s="4">
        <f t="shared" si="402"/>
      </c>
      <c r="X456" s="4">
        <f t="shared" si="403"/>
      </c>
      <c r="Y456" s="4" cm="1">
        <f t="array" ref="Y456">_xlfn.IFS(H456=1,2,H456=3,1)</f>
      </c>
      <c r="Z456" s="4">
        <f t="shared" si="404"/>
      </c>
      <c r="AA456" s="4">
        <f t="shared" si="411"/>
      </c>
      <c r="AB456" s="4">
        <f t="shared" si="405"/>
      </c>
      <c r="AC456" s="4">
        <f t="shared" si="412"/>
      </c>
      <c r="AD456" s="4">
        <f t="shared" si="406"/>
      </c>
      <c r="AE456" s="4">
        <f t="shared" si="422"/>
      </c>
      <c r="AF456" s="4">
        <f t="shared" si="423"/>
      </c>
      <c r="AG456" s="4">
        <f t="shared" si="424"/>
        <v/>
      </c>
      <c r="AH456" s="4">
        <f t="shared" si="413"/>
      </c>
      <c r="AI456" s="4">
        <f t="shared" ref="AI456:AI503" si="425">IFERROR(LEFT(AP456,SEARCH(".",AP456)-1),AP456)</f>
      </c>
      <c r="AJ456" s="4">
        <f t="shared" si="414"/>
      </c>
      <c r="AK456" s="4">
        <f t="shared" si="407"/>
      </c>
      <c r="AL456" s="4">
        <f t="shared" si="415"/>
      </c>
      <c r="AM456" s="4">
        <f t="shared" si="416"/>
      </c>
      <c r="AN456" s="4"/>
      <c r="AO456" s="4">
        <f t="shared" si="420"/>
      </c>
      <c r="AP456" s="4">
        <f t="shared" si="417"/>
      </c>
      <c r="AQ456" s="4">
        <f t="shared" si="421"/>
        <v/>
      </c>
      <c r="AR456" s="4">
        <f t="shared" si="418"/>
      </c>
      <c r="AS456" s="4">
        <f t="shared" si="419"/>
      </c>
      <c r="AT456" s="4">
        <f t="shared" si="396"/>
      </c>
    </row>
    <row r="457" spans="1:46" x14ac:dyDescent="0.3">
      <c r="A457" s="5">
        <f t="shared" si="399"/>
      </c>
      <c r="B457" s="4">
        <f t="shared" si="408"/>
      </c>
      <c r="C457" s="119"/>
      <c r="D457" s="119"/>
      <c r="E457" s="105"/>
      <c r="F457" s="173"/>
      <c r="G457" s="173"/>
      <c r="H457" s="173"/>
      <c r="I457" s="105"/>
      <c r="J457" s="105"/>
      <c r="K457" s="105"/>
      <c r="L457" s="105"/>
      <c r="M457" s="4">
        <f t="shared" si="409"/>
      </c>
      <c r="N457" s="59"/>
      <c r="O457" s="164"/>
      <c r="P457" s="59">
        <f t="shared" si="398"/>
      </c>
      <c r="Q457" s="165"/>
      <c r="R457" s="59"/>
      <c r="S457" s="164"/>
      <c r="T457" s="5">
        <f t="shared" si="410"/>
      </c>
      <c r="U457" s="4">
        <f t="shared" si="400"/>
      </c>
      <c r="V457" s="4">
        <f t="shared" si="401"/>
      </c>
      <c r="W457" s="4">
        <f t="shared" si="402"/>
      </c>
      <c r="X457" s="4">
        <f t="shared" si="403"/>
      </c>
      <c r="Y457" s="4" cm="1">
        <f t="array" ref="Y457">_xlfn.IFS(H457=1,2,H457=3,1)</f>
      </c>
      <c r="Z457" s="4">
        <f t="shared" si="404"/>
      </c>
      <c r="AA457" s="4">
        <f t="shared" si="411"/>
      </c>
      <c r="AB457" s="4">
        <f t="shared" si="405"/>
      </c>
      <c r="AC457" s="4">
        <f t="shared" si="412"/>
      </c>
      <c r="AD457" s="4">
        <f t="shared" si="406"/>
      </c>
      <c r="AE457" s="4">
        <f t="shared" si="422"/>
      </c>
      <c r="AF457" s="4">
        <f t="shared" si="423"/>
      </c>
      <c r="AG457" s="4">
        <f t="shared" si="424"/>
        <v/>
      </c>
      <c r="AH457" s="4">
        <f t="shared" si="413"/>
      </c>
      <c r="AI457" s="4">
        <f t="shared" si="425"/>
      </c>
      <c r="AJ457" s="4">
        <f t="shared" si="414"/>
      </c>
      <c r="AK457" s="4">
        <f t="shared" si="407"/>
      </c>
      <c r="AL457" s="4">
        <f t="shared" si="415"/>
      </c>
      <c r="AM457" s="4">
        <f t="shared" si="416"/>
      </c>
      <c r="AN457" s="4"/>
      <c r="AO457" s="4">
        <f t="shared" si="420"/>
      </c>
      <c r="AP457" s="4">
        <f t="shared" si="417"/>
      </c>
      <c r="AQ457" s="4">
        <f t="shared" si="421"/>
        <v/>
      </c>
      <c r="AR457" s="4">
        <f t="shared" si="418"/>
      </c>
      <c r="AS457" s="4">
        <f t="shared" si="419"/>
      </c>
      <c r="AT457" s="4">
        <f t="shared" si="396"/>
      </c>
    </row>
    <row r="458" spans="1:46" x14ac:dyDescent="0.3">
      <c r="A458" s="5">
        <f t="shared" si="399"/>
      </c>
      <c r="B458" s="4">
        <f t="shared" si="408"/>
      </c>
      <c r="C458" s="119"/>
      <c r="D458" s="119"/>
      <c r="E458" s="105"/>
      <c r="F458" s="173"/>
      <c r="G458" s="173"/>
      <c r="H458" s="173"/>
      <c r="I458" s="105"/>
      <c r="J458" s="105"/>
      <c r="K458" s="105"/>
      <c r="L458" s="105"/>
      <c r="M458" s="4">
        <f t="shared" si="409"/>
      </c>
      <c r="N458" s="59"/>
      <c r="O458" s="164"/>
      <c r="P458" s="59">
        <f t="shared" si="398"/>
      </c>
      <c r="Q458" s="165"/>
      <c r="R458" s="59"/>
      <c r="S458" s="164"/>
      <c r="T458" s="5">
        <f t="shared" si="410"/>
      </c>
      <c r="U458" s="4">
        <f t="shared" si="400"/>
      </c>
      <c r="V458" s="4">
        <f t="shared" si="401"/>
      </c>
      <c r="W458" s="4">
        <f t="shared" si="402"/>
      </c>
      <c r="X458" s="4">
        <f t="shared" si="403"/>
      </c>
      <c r="Y458" s="4" cm="1">
        <f t="array" ref="Y458">_xlfn.IFS(H458=1,2,H458=3,1)</f>
      </c>
      <c r="Z458" s="4">
        <f t="shared" si="404"/>
      </c>
      <c r="AA458" s="4">
        <f t="shared" si="411"/>
      </c>
      <c r="AB458" s="4">
        <f t="shared" si="405"/>
      </c>
      <c r="AC458" s="4">
        <f t="shared" si="412"/>
      </c>
      <c r="AD458" s="4">
        <f t="shared" si="406"/>
      </c>
      <c r="AE458" s="4">
        <f t="shared" si="422"/>
      </c>
      <c r="AF458" s="4">
        <f t="shared" si="423"/>
      </c>
      <c r="AG458" s="4">
        <f t="shared" si="424"/>
        <v/>
      </c>
      <c r="AH458" s="4">
        <f t="shared" si="413"/>
      </c>
      <c r="AI458" s="4">
        <f t="shared" si="425"/>
      </c>
      <c r="AJ458" s="4">
        <f t="shared" si="414"/>
      </c>
      <c r="AK458" s="4">
        <f t="shared" si="407"/>
      </c>
      <c r="AL458" s="4">
        <f t="shared" si="415"/>
      </c>
      <c r="AM458" s="4">
        <f t="shared" si="416"/>
      </c>
      <c r="AN458" s="4"/>
      <c r="AO458" s="4">
        <f t="shared" si="420"/>
      </c>
      <c r="AP458" s="4">
        <f t="shared" si="417"/>
      </c>
      <c r="AQ458" s="4">
        <f t="shared" si="421"/>
        <v/>
      </c>
      <c r="AR458" s="4">
        <f t="shared" si="418"/>
      </c>
      <c r="AS458" s="4">
        <f t="shared" si="419"/>
      </c>
      <c r="AT458" s="4">
        <f t="shared" si="396"/>
      </c>
    </row>
    <row r="459" spans="1:46" x14ac:dyDescent="0.3">
      <c r="A459" s="5">
        <f t="shared" si="399"/>
      </c>
      <c r="B459" s="4">
        <f t="shared" si="408"/>
      </c>
      <c r="C459" s="119"/>
      <c r="D459" s="119"/>
      <c r="E459" s="105"/>
      <c r="F459" s="173"/>
      <c r="G459" s="173"/>
      <c r="H459" s="173"/>
      <c r="I459" s="105"/>
      <c r="J459" s="105"/>
      <c r="K459" s="105"/>
      <c r="L459" s="105"/>
      <c r="M459" s="4">
        <f t="shared" si="409"/>
      </c>
      <c r="N459" s="59"/>
      <c r="O459" s="164"/>
      <c r="P459" s="59">
        <f t="shared" si="398"/>
      </c>
      <c r="Q459" s="165"/>
      <c r="R459" s="59"/>
      <c r="S459" s="164"/>
      <c r="T459" s="5">
        <f t="shared" si="410"/>
      </c>
      <c r="U459" s="4">
        <f t="shared" si="400"/>
      </c>
      <c r="V459" s="4">
        <f t="shared" si="401"/>
      </c>
      <c r="W459" s="4">
        <f t="shared" si="402"/>
      </c>
      <c r="X459" s="4">
        <f t="shared" si="403"/>
      </c>
      <c r="Y459" s="4" cm="1">
        <f t="array" ref="Y459">_xlfn.IFS(H459=1,2,H459=3,1)</f>
      </c>
      <c r="Z459" s="4">
        <f t="shared" si="404"/>
      </c>
      <c r="AA459" s="4">
        <f t="shared" si="411"/>
      </c>
      <c r="AB459" s="4">
        <f t="shared" si="405"/>
      </c>
      <c r="AC459" s="4">
        <f t="shared" si="412"/>
      </c>
      <c r="AD459" s="4">
        <f t="shared" si="406"/>
      </c>
      <c r="AE459" s="4">
        <f t="shared" si="422"/>
      </c>
      <c r="AF459" s="4">
        <f t="shared" si="423"/>
      </c>
      <c r="AG459" s="4">
        <f t="shared" si="424"/>
        <v/>
      </c>
      <c r="AH459" s="4">
        <f t="shared" si="413"/>
      </c>
      <c r="AI459" s="4">
        <f t="shared" si="425"/>
      </c>
      <c r="AJ459" s="4">
        <f t="shared" si="414"/>
      </c>
      <c r="AK459" s="4">
        <f t="shared" si="407"/>
      </c>
      <c r="AL459" s="4">
        <f t="shared" si="415"/>
      </c>
      <c r="AM459" s="4">
        <f t="shared" si="416"/>
      </c>
      <c r="AN459" s="4"/>
      <c r="AO459" s="4">
        <f t="shared" si="420"/>
      </c>
      <c r="AP459" s="4">
        <f t="shared" si="417"/>
      </c>
      <c r="AQ459" s="4">
        <f t="shared" si="421"/>
        <v/>
      </c>
      <c r="AR459" s="4">
        <f t="shared" si="418"/>
      </c>
      <c r="AS459" s="4">
        <f t="shared" si="419"/>
      </c>
      <c r="AT459" s="4">
        <f t="shared" ref="AT459:AT503" si="426">IF(AR459=0,AS459,AR459)</f>
      </c>
    </row>
    <row r="460" spans="1:46" x14ac:dyDescent="0.3">
      <c r="A460" s="5">
        <f t="shared" si="399"/>
      </c>
      <c r="B460" s="4">
        <f t="shared" si="408"/>
      </c>
      <c r="C460" s="119"/>
      <c r="D460" s="119"/>
      <c r="E460" s="105"/>
      <c r="F460" s="173"/>
      <c r="G460" s="173"/>
      <c r="H460" s="173"/>
      <c r="I460" s="105"/>
      <c r="J460" s="105"/>
      <c r="K460" s="105"/>
      <c r="L460" s="105"/>
      <c r="M460" s="4">
        <f t="shared" si="409"/>
      </c>
      <c r="N460" s="59"/>
      <c r="O460" s="164"/>
      <c r="P460" s="59">
        <f t="shared" si="398"/>
      </c>
      <c r="Q460" s="165"/>
      <c r="R460" s="59"/>
      <c r="S460" s="164"/>
      <c r="T460" s="5">
        <f t="shared" si="410"/>
      </c>
      <c r="U460" s="4">
        <f t="shared" si="400"/>
      </c>
      <c r="V460" s="4">
        <f t="shared" si="401"/>
      </c>
      <c r="W460" s="4">
        <f t="shared" si="402"/>
      </c>
      <c r="X460" s="4">
        <f t="shared" si="403"/>
      </c>
      <c r="Y460" s="4" cm="1">
        <f t="array" ref="Y460">_xlfn.IFS(H460=1,2,H460=3,1)</f>
      </c>
      <c r="Z460" s="4">
        <f t="shared" si="404"/>
      </c>
      <c r="AA460" s="4">
        <f t="shared" si="411"/>
      </c>
      <c r="AB460" s="4">
        <f t="shared" si="405"/>
      </c>
      <c r="AC460" s="4">
        <f t="shared" si="412"/>
      </c>
      <c r="AD460" s="4">
        <f t="shared" si="406"/>
      </c>
      <c r="AE460" s="4">
        <f t="shared" si="422"/>
      </c>
      <c r="AF460" s="4">
        <f t="shared" si="423"/>
      </c>
      <c r="AG460" s="4">
        <f t="shared" si="424"/>
        <v/>
      </c>
      <c r="AH460" s="4">
        <f t="shared" si="413"/>
      </c>
      <c r="AI460" s="4">
        <f t="shared" si="425"/>
      </c>
      <c r="AJ460" s="4">
        <f t="shared" si="414"/>
      </c>
      <c r="AK460" s="4">
        <f t="shared" si="407"/>
      </c>
      <c r="AL460" s="4">
        <f t="shared" si="415"/>
      </c>
      <c r="AM460" s="4">
        <f t="shared" si="416"/>
      </c>
      <c r="AN460" s="4"/>
      <c r="AO460" s="4">
        <f t="shared" si="420"/>
      </c>
      <c r="AP460" s="4">
        <f t="shared" si="417"/>
      </c>
      <c r="AQ460" s="4">
        <f t="shared" si="421"/>
        <v/>
      </c>
      <c r="AR460" s="4">
        <f t="shared" si="418"/>
      </c>
      <c r="AS460" s="4">
        <f t="shared" si="419"/>
      </c>
      <c r="AT460" s="4">
        <f t="shared" si="426"/>
      </c>
    </row>
    <row r="461" spans="1:46" ht="15" thickBot="1" x14ac:dyDescent="0.35">
      <c r="A461" s="45">
        <f t="shared" si="399"/>
      </c>
      <c r="B461" s="44">
        <f t="shared" si="408"/>
      </c>
      <c r="C461" s="175"/>
      <c r="D461" s="175"/>
      <c r="E461" s="176"/>
      <c r="F461" s="178"/>
      <c r="G461" s="178"/>
      <c r="H461" s="178"/>
      <c r="I461" s="176"/>
      <c r="J461" s="176"/>
      <c r="K461" s="176"/>
      <c r="L461" s="176"/>
      <c r="M461" s="44">
        <f t="shared" si="409"/>
      </c>
      <c r="N461" s="64"/>
      <c r="O461" s="166"/>
      <c r="P461" s="64">
        <f t="shared" si="398"/>
      </c>
      <c r="Q461" s="170"/>
      <c r="R461" s="64"/>
      <c r="S461" s="166"/>
      <c r="T461" s="45">
        <f t="shared" si="410"/>
      </c>
      <c r="U461" s="44">
        <f t="shared" si="400"/>
      </c>
      <c r="V461" s="44">
        <f t="shared" si="401"/>
      </c>
      <c r="W461" s="44">
        <f t="shared" si="402"/>
      </c>
      <c r="X461" s="44">
        <f t="shared" si="403"/>
      </c>
      <c r="Y461" s="44" cm="1">
        <f t="array" ref="Y461">_xlfn.IFS(H461=1,2,H461=3,1)</f>
      </c>
      <c r="Z461" s="44">
        <f t="shared" si="404"/>
      </c>
      <c r="AA461" s="44">
        <f t="shared" si="411"/>
      </c>
      <c r="AB461" s="44">
        <f t="shared" si="405"/>
      </c>
      <c r="AC461" s="44">
        <f t="shared" si="412"/>
      </c>
      <c r="AD461" s="44">
        <f t="shared" si="406"/>
      </c>
      <c r="AE461" s="44">
        <f t="shared" si="422"/>
      </c>
      <c r="AF461" s="44">
        <f t="shared" si="423"/>
      </c>
      <c r="AG461" s="44">
        <f t="shared" si="424"/>
        <v/>
      </c>
      <c r="AH461" s="44">
        <f t="shared" si="413"/>
      </c>
      <c r="AI461" s="44">
        <f t="shared" si="425"/>
      </c>
      <c r="AJ461" s="44">
        <f t="shared" si="414"/>
      </c>
      <c r="AK461" s="44">
        <f t="shared" si="407"/>
      </c>
      <c r="AL461" s="44">
        <f t="shared" si="415"/>
      </c>
      <c r="AM461" s="44">
        <f t="shared" si="416"/>
      </c>
      <c r="AN461" s="44"/>
      <c r="AO461" s="44">
        <f t="shared" si="420"/>
      </c>
      <c r="AP461" s="44">
        <f t="shared" si="417"/>
      </c>
      <c r="AQ461" s="44">
        <f t="shared" si="421"/>
        <v/>
      </c>
      <c r="AR461" s="44">
        <f t="shared" si="418"/>
      </c>
      <c r="AS461" s="44">
        <f t="shared" si="419"/>
      </c>
      <c r="AT461" s="44">
        <f t="shared" si="426"/>
      </c>
    </row>
    <row r="462" spans="1:46" x14ac:dyDescent="0.3">
      <c r="A462" s="19">
        <f t="shared" si="399"/>
      </c>
      <c r="B462" s="7">
        <f t="shared" si="408"/>
      </c>
      <c r="C462" s="177"/>
      <c r="D462" s="119"/>
      <c r="E462" s="105"/>
      <c r="F462" s="173"/>
      <c r="G462" s="173"/>
      <c r="H462" s="173"/>
      <c r="I462" s="105"/>
      <c r="J462" s="105"/>
      <c r="K462" s="179"/>
      <c r="L462" s="105"/>
      <c r="M462" s="7">
        <f t="shared" si="409"/>
      </c>
      <c r="N462" s="65"/>
      <c r="O462" s="168"/>
      <c r="P462" s="65">
        <f t="shared" si="398"/>
      </c>
      <c r="Q462" s="118"/>
      <c r="R462" s="65"/>
      <c r="S462" s="168"/>
      <c r="T462" s="19">
        <f t="shared" si="410"/>
      </c>
      <c r="U462" s="7">
        <f t="shared" si="400"/>
      </c>
      <c r="V462" s="7">
        <f t="shared" si="401"/>
      </c>
      <c r="W462" s="7">
        <f t="shared" si="402"/>
      </c>
      <c r="X462" s="7">
        <f t="shared" si="403"/>
      </c>
      <c r="Y462" s="7" cm="1">
        <f t="array" ref="Y462">_xlfn.IFS(H462=1,2,H462=3,1)</f>
      </c>
      <c r="Z462" s="7">
        <f t="shared" si="404"/>
      </c>
      <c r="AA462" s="7">
        <f t="shared" si="411"/>
      </c>
      <c r="AB462" s="7">
        <f t="shared" si="405"/>
      </c>
      <c r="AC462" s="7">
        <f t="shared" si="412"/>
      </c>
      <c r="AD462" s="7">
        <f t="shared" si="406"/>
      </c>
      <c r="AE462" s="7">
        <f t="shared" si="422"/>
      </c>
      <c r="AF462" s="7">
        <f t="shared" si="423"/>
      </c>
      <c r="AG462" s="7">
        <f t="shared" si="424"/>
        <v/>
      </c>
      <c r="AH462" s="7">
        <f t="shared" si="413"/>
      </c>
      <c r="AI462" s="7">
        <f t="shared" si="425"/>
      </c>
      <c r="AJ462" s="7">
        <f t="shared" si="414"/>
      </c>
      <c r="AK462" s="7">
        <f t="shared" si="407"/>
      </c>
      <c r="AL462" s="7">
        <f t="shared" si="415"/>
      </c>
      <c r="AM462" s="7">
        <f t="shared" si="416"/>
      </c>
      <c r="AN462" s="7"/>
      <c r="AO462" s="7">
        <f t="shared" si="420"/>
      </c>
      <c r="AP462" s="7">
        <f t="shared" si="417"/>
      </c>
      <c r="AQ462" s="7">
        <f t="shared" si="421"/>
        <v/>
      </c>
      <c r="AR462" s="7">
        <f t="shared" si="418"/>
      </c>
      <c r="AS462" s="7">
        <f t="shared" si="419"/>
      </c>
      <c r="AT462" s="7">
        <f t="shared" si="426"/>
      </c>
    </row>
    <row r="463" spans="1:46" x14ac:dyDescent="0.3">
      <c r="A463" s="5">
        <f t="shared" si="399"/>
      </c>
      <c r="B463" s="4">
        <f t="shared" si="408"/>
      </c>
      <c r="C463" s="119"/>
      <c r="D463" s="177"/>
      <c r="E463" s="179"/>
      <c r="F463" s="182"/>
      <c r="G463" s="182"/>
      <c r="H463" s="182"/>
      <c r="I463" s="179"/>
      <c r="J463" s="179"/>
      <c r="K463" s="105"/>
      <c r="L463" s="179"/>
      <c r="M463" s="4">
        <f t="shared" si="409"/>
      </c>
      <c r="N463" s="59"/>
      <c r="O463" s="164"/>
      <c r="P463" s="59">
        <f t="shared" si="398"/>
      </c>
      <c r="Q463" s="165"/>
      <c r="R463" s="59"/>
      <c r="S463" s="164"/>
      <c r="T463" s="5">
        <f t="shared" si="410"/>
      </c>
      <c r="U463" s="4">
        <f t="shared" si="400"/>
      </c>
      <c r="V463" s="4">
        <f t="shared" si="401"/>
      </c>
      <c r="W463" s="4">
        <f t="shared" si="402"/>
      </c>
      <c r="X463" s="4">
        <f t="shared" si="403"/>
      </c>
      <c r="Y463" s="4" cm="1">
        <f t="array" ref="Y463">_xlfn.IFS(H463=1,2,H463=3,1)</f>
      </c>
      <c r="Z463" s="4">
        <f t="shared" si="404"/>
      </c>
      <c r="AA463" s="4">
        <f t="shared" si="411"/>
      </c>
      <c r="AB463" s="4">
        <f t="shared" si="405"/>
      </c>
      <c r="AC463" s="4">
        <f t="shared" si="412"/>
      </c>
      <c r="AD463" s="4">
        <f t="shared" si="406"/>
      </c>
      <c r="AE463" s="4">
        <f t="shared" si="422"/>
      </c>
      <c r="AF463" s="4">
        <f t="shared" si="423"/>
      </c>
      <c r="AG463" s="4">
        <f t="shared" si="424"/>
        <v/>
      </c>
      <c r="AH463" s="4">
        <f t="shared" si="413"/>
      </c>
      <c r="AI463" s="4">
        <f t="shared" si="425"/>
      </c>
      <c r="AJ463" s="4">
        <f t="shared" si="414"/>
      </c>
      <c r="AK463" s="4">
        <f t="shared" si="407"/>
      </c>
      <c r="AL463" s="4">
        <f t="shared" si="415"/>
      </c>
      <c r="AM463" s="4">
        <f t="shared" si="416"/>
      </c>
      <c r="AN463" s="4"/>
      <c r="AO463" s="4">
        <f t="shared" si="420"/>
      </c>
      <c r="AP463" s="4">
        <f t="shared" si="417"/>
      </c>
      <c r="AQ463" s="4">
        <f t="shared" si="421"/>
        <v/>
      </c>
      <c r="AR463" s="4">
        <f t="shared" si="418"/>
      </c>
      <c r="AS463" s="4">
        <f t="shared" si="419"/>
      </c>
      <c r="AT463" s="4">
        <f t="shared" si="426"/>
      </c>
    </row>
    <row r="464" spans="1:46" x14ac:dyDescent="0.3">
      <c r="A464" s="5">
        <f t="shared" si="399"/>
      </c>
      <c r="B464" s="4">
        <f t="shared" si="408"/>
      </c>
      <c r="C464" s="119"/>
      <c r="D464" s="119"/>
      <c r="E464" s="105"/>
      <c r="F464" s="173"/>
      <c r="G464" s="173"/>
      <c r="H464" s="173"/>
      <c r="I464" s="105"/>
      <c r="J464" s="105"/>
      <c r="K464" s="105"/>
      <c r="L464" s="105"/>
      <c r="M464" s="4">
        <f t="shared" si="409"/>
      </c>
      <c r="N464" s="59"/>
      <c r="O464" s="164"/>
      <c r="P464" s="59">
        <f t="shared" si="398"/>
      </c>
      <c r="Q464" s="165"/>
      <c r="R464" s="59"/>
      <c r="S464" s="164"/>
      <c r="T464" s="5">
        <f t="shared" si="410"/>
      </c>
      <c r="U464" s="4">
        <f t="shared" si="400"/>
      </c>
      <c r="V464" s="4">
        <f t="shared" si="401"/>
      </c>
      <c r="W464" s="4">
        <f t="shared" si="402"/>
      </c>
      <c r="X464" s="4">
        <f t="shared" si="403"/>
      </c>
      <c r="Y464" s="4" cm="1">
        <f t="array" ref="Y464">_xlfn.IFS(H464=1,2,H464=3,1)</f>
      </c>
      <c r="Z464" s="4">
        <f t="shared" si="404"/>
      </c>
      <c r="AA464" s="4">
        <f t="shared" si="411"/>
      </c>
      <c r="AB464" s="4">
        <f t="shared" si="405"/>
      </c>
      <c r="AC464" s="4">
        <f t="shared" si="412"/>
      </c>
      <c r="AD464" s="4">
        <f t="shared" si="406"/>
      </c>
      <c r="AE464" s="4">
        <f t="shared" si="422"/>
      </c>
      <c r="AF464" s="4">
        <f t="shared" si="423"/>
      </c>
      <c r="AG464" s="4">
        <f t="shared" si="424"/>
        <v/>
      </c>
      <c r="AH464" s="4">
        <f t="shared" si="413"/>
      </c>
      <c r="AI464" s="4">
        <f t="shared" si="425"/>
      </c>
      <c r="AJ464" s="4">
        <f t="shared" si="414"/>
      </c>
      <c r="AK464" s="4">
        <f t="shared" si="407"/>
      </c>
      <c r="AL464" s="4">
        <f t="shared" si="415"/>
      </c>
      <c r="AM464" s="4">
        <f t="shared" si="416"/>
      </c>
      <c r="AN464" s="4"/>
      <c r="AO464" s="4">
        <f t="shared" si="420"/>
      </c>
      <c r="AP464" s="4">
        <f t="shared" si="417"/>
      </c>
      <c r="AQ464" s="4">
        <f t="shared" si="421"/>
        <v/>
      </c>
      <c r="AR464" s="4">
        <f t="shared" si="418"/>
      </c>
      <c r="AS464" s="4">
        <f t="shared" si="419"/>
      </c>
      <c r="AT464" s="4">
        <f t="shared" si="426"/>
      </c>
    </row>
    <row r="465" spans="1:46" x14ac:dyDescent="0.3">
      <c r="A465" s="5">
        <f t="shared" si="399"/>
      </c>
      <c r="B465" s="4">
        <f t="shared" si="408"/>
      </c>
      <c r="C465" s="119"/>
      <c r="D465" s="119"/>
      <c r="E465" s="105"/>
      <c r="F465" s="173"/>
      <c r="G465" s="173"/>
      <c r="H465" s="173"/>
      <c r="I465" s="105"/>
      <c r="J465" s="105"/>
      <c r="K465" s="105"/>
      <c r="L465" s="105"/>
      <c r="M465" s="4">
        <f t="shared" si="409"/>
      </c>
      <c r="N465" s="59"/>
      <c r="O465" s="164"/>
      <c r="P465" s="59">
        <f t="shared" si="398"/>
      </c>
      <c r="Q465" s="165"/>
      <c r="R465" s="59"/>
      <c r="S465" s="164"/>
      <c r="T465" s="5">
        <f t="shared" si="410"/>
      </c>
      <c r="U465" s="4">
        <f t="shared" si="400"/>
      </c>
      <c r="V465" s="4">
        <f t="shared" si="401"/>
      </c>
      <c r="W465" s="4">
        <f t="shared" si="402"/>
      </c>
      <c r="X465" s="4">
        <f t="shared" si="403"/>
      </c>
      <c r="Y465" s="4" cm="1">
        <f t="array" ref="Y465">_xlfn.IFS(H465=1,2,H465=3,1)</f>
      </c>
      <c r="Z465" s="4">
        <f t="shared" si="404"/>
      </c>
      <c r="AA465" s="4">
        <f t="shared" si="411"/>
      </c>
      <c r="AB465" s="4">
        <f t="shared" si="405"/>
      </c>
      <c r="AC465" s="4">
        <f t="shared" si="412"/>
      </c>
      <c r="AD465" s="4">
        <f t="shared" si="406"/>
      </c>
      <c r="AE465" s="4">
        <f t="shared" si="422"/>
      </c>
      <c r="AF465" s="4">
        <f t="shared" si="423"/>
      </c>
      <c r="AG465" s="4">
        <f t="shared" si="424"/>
        <v/>
      </c>
      <c r="AH465" s="4">
        <f t="shared" si="413"/>
      </c>
      <c r="AI465" s="4">
        <f t="shared" si="425"/>
      </c>
      <c r="AJ465" s="4">
        <f t="shared" si="414"/>
      </c>
      <c r="AK465" s="4">
        <f t="shared" si="407"/>
      </c>
      <c r="AL465" s="4">
        <f t="shared" si="415"/>
      </c>
      <c r="AM465" s="4">
        <f t="shared" si="416"/>
      </c>
      <c r="AN465" s="4"/>
      <c r="AO465" s="4">
        <f t="shared" si="420"/>
      </c>
      <c r="AP465" s="4">
        <f t="shared" si="417"/>
      </c>
      <c r="AQ465" s="4">
        <f t="shared" si="421"/>
        <v/>
      </c>
      <c r="AR465" s="4">
        <f t="shared" si="418"/>
      </c>
      <c r="AS465" s="4">
        <f t="shared" si="419"/>
      </c>
      <c r="AT465" s="4">
        <f t="shared" si="426"/>
      </c>
    </row>
    <row r="466" spans="1:46" x14ac:dyDescent="0.3">
      <c r="A466" s="5">
        <f t="shared" si="399"/>
      </c>
      <c r="B466" s="4">
        <f t="shared" si="408"/>
      </c>
      <c r="C466" s="119"/>
      <c r="D466" s="119"/>
      <c r="E466" s="105"/>
      <c r="F466" s="173"/>
      <c r="G466" s="173"/>
      <c r="H466" s="173"/>
      <c r="I466" s="105"/>
      <c r="J466" s="105"/>
      <c r="K466" s="105"/>
      <c r="L466" s="105"/>
      <c r="M466" s="4">
        <f t="shared" si="409"/>
      </c>
      <c r="N466" s="59"/>
      <c r="O466" s="164"/>
      <c r="P466" s="59">
        <f t="shared" si="398"/>
      </c>
      <c r="Q466" s="165"/>
      <c r="R466" s="59"/>
      <c r="S466" s="164"/>
      <c r="T466" s="5">
        <f t="shared" si="410"/>
      </c>
      <c r="U466" s="4">
        <f t="shared" si="400"/>
      </c>
      <c r="V466" s="4">
        <f t="shared" si="401"/>
      </c>
      <c r="W466" s="4">
        <f t="shared" si="402"/>
      </c>
      <c r="X466" s="4">
        <f t="shared" si="403"/>
      </c>
      <c r="Y466" s="4" cm="1">
        <f t="array" ref="Y466">_xlfn.IFS(H466=1,2,H466=3,1)</f>
      </c>
      <c r="Z466" s="4">
        <f t="shared" si="404"/>
      </c>
      <c r="AA466" s="4">
        <f t="shared" si="411"/>
      </c>
      <c r="AB466" s="4">
        <f t="shared" si="405"/>
      </c>
      <c r="AC466" s="4">
        <f t="shared" si="412"/>
      </c>
      <c r="AD466" s="4">
        <f t="shared" si="406"/>
      </c>
      <c r="AE466" s="4">
        <f t="shared" si="422"/>
      </c>
      <c r="AF466" s="4">
        <f t="shared" si="423"/>
      </c>
      <c r="AG466" s="4">
        <f t="shared" si="424"/>
        <v/>
      </c>
      <c r="AH466" s="4">
        <f t="shared" si="413"/>
      </c>
      <c r="AI466" s="4">
        <f t="shared" si="425"/>
      </c>
      <c r="AJ466" s="4">
        <f t="shared" si="414"/>
      </c>
      <c r="AK466" s="4">
        <f t="shared" si="407"/>
      </c>
      <c r="AL466" s="4">
        <f t="shared" si="415"/>
      </c>
      <c r="AM466" s="4">
        <f t="shared" si="416"/>
      </c>
      <c r="AN466" s="4"/>
      <c r="AO466" s="4">
        <f t="shared" si="420"/>
      </c>
      <c r="AP466" s="4">
        <f t="shared" si="417"/>
      </c>
      <c r="AQ466" s="4">
        <f t="shared" si="421"/>
        <v/>
      </c>
      <c r="AR466" s="4">
        <f t="shared" si="418"/>
      </c>
      <c r="AS466" s="4">
        <f t="shared" si="419"/>
      </c>
      <c r="AT466" s="4">
        <f t="shared" si="426"/>
      </c>
    </row>
    <row r="467" spans="1:46" x14ac:dyDescent="0.3">
      <c r="A467" s="5">
        <f t="shared" si="399"/>
      </c>
      <c r="B467" s="4">
        <f t="shared" si="408"/>
      </c>
      <c r="C467" s="119"/>
      <c r="D467" s="119"/>
      <c r="E467" s="105"/>
      <c r="F467" s="173"/>
      <c r="G467" s="173"/>
      <c r="H467" s="173"/>
      <c r="I467" s="105"/>
      <c r="J467" s="105"/>
      <c r="K467" s="105"/>
      <c r="L467" s="105"/>
      <c r="M467" s="4">
        <f t="shared" si="409"/>
      </c>
      <c r="N467" s="59"/>
      <c r="O467" s="164"/>
      <c r="P467" s="59">
        <f t="shared" si="398"/>
      </c>
      <c r="Q467" s="165"/>
      <c r="R467" s="59"/>
      <c r="S467" s="164"/>
      <c r="T467" s="5">
        <f t="shared" si="410"/>
      </c>
      <c r="U467" s="4">
        <f t="shared" si="400"/>
      </c>
      <c r="V467" s="4">
        <f t="shared" si="401"/>
      </c>
      <c r="W467" s="4">
        <f t="shared" si="402"/>
      </c>
      <c r="X467" s="4">
        <f t="shared" si="403"/>
      </c>
      <c r="Y467" s="4" cm="1">
        <f t="array" ref="Y467">_xlfn.IFS(H467=1,2,H467=3,1)</f>
      </c>
      <c r="Z467" s="4">
        <f t="shared" si="404"/>
      </c>
      <c r="AA467" s="4">
        <f t="shared" si="411"/>
      </c>
      <c r="AB467" s="4">
        <f t="shared" si="405"/>
      </c>
      <c r="AC467" s="4">
        <f t="shared" si="412"/>
      </c>
      <c r="AD467" s="4">
        <f t="shared" si="406"/>
      </c>
      <c r="AE467" s="4">
        <f t="shared" si="422"/>
      </c>
      <c r="AF467" s="4">
        <f t="shared" si="423"/>
      </c>
      <c r="AG467" s="4">
        <f t="shared" si="424"/>
        <v/>
      </c>
      <c r="AH467" s="4">
        <f t="shared" si="413"/>
      </c>
      <c r="AI467" s="4">
        <f t="shared" si="425"/>
      </c>
      <c r="AJ467" s="4">
        <f t="shared" si="414"/>
      </c>
      <c r="AK467" s="4">
        <f t="shared" si="407"/>
      </c>
      <c r="AL467" s="4">
        <f t="shared" si="415"/>
      </c>
      <c r="AM467" s="4">
        <f t="shared" si="416"/>
      </c>
      <c r="AN467" s="4"/>
      <c r="AO467" s="4">
        <f t="shared" si="420"/>
      </c>
      <c r="AP467" s="4">
        <f t="shared" si="417"/>
      </c>
      <c r="AQ467" s="4">
        <f t="shared" si="421"/>
        <v/>
      </c>
      <c r="AR467" s="4">
        <f t="shared" si="418"/>
      </c>
      <c r="AS467" s="4">
        <f t="shared" si="419"/>
      </c>
      <c r="AT467" s="4">
        <f t="shared" si="426"/>
      </c>
    </row>
    <row r="468" spans="1:46" x14ac:dyDescent="0.3">
      <c r="A468" s="5">
        <f t="shared" si="399"/>
      </c>
      <c r="B468" s="4">
        <f t="shared" si="408"/>
      </c>
      <c r="C468" s="119"/>
      <c r="D468" s="119"/>
      <c r="E468" s="105"/>
      <c r="F468" s="173"/>
      <c r="G468" s="173"/>
      <c r="H468" s="173"/>
      <c r="I468" s="105"/>
      <c r="J468" s="105"/>
      <c r="K468" s="105"/>
      <c r="L468" s="105"/>
      <c r="M468" s="4">
        <f t="shared" si="409"/>
      </c>
      <c r="N468" s="59"/>
      <c r="O468" s="164"/>
      <c r="P468" s="59">
        <f t="shared" si="398"/>
      </c>
      <c r="Q468" s="165"/>
      <c r="R468" s="59"/>
      <c r="S468" s="164"/>
      <c r="T468" s="5">
        <f t="shared" si="410"/>
      </c>
      <c r="U468" s="4">
        <f t="shared" si="400"/>
      </c>
      <c r="V468" s="4">
        <f t="shared" si="401"/>
      </c>
      <c r="W468" s="4">
        <f t="shared" si="402"/>
      </c>
      <c r="X468" s="4">
        <f t="shared" si="403"/>
      </c>
      <c r="Y468" s="4" cm="1">
        <f t="array" ref="Y468">_xlfn.IFS(H468=1,2,H468=3,1)</f>
      </c>
      <c r="Z468" s="4">
        <f t="shared" si="404"/>
      </c>
      <c r="AA468" s="4">
        <f t="shared" si="411"/>
      </c>
      <c r="AB468" s="4">
        <f t="shared" si="405"/>
      </c>
      <c r="AC468" s="4">
        <f t="shared" si="412"/>
      </c>
      <c r="AD468" s="4">
        <f t="shared" si="406"/>
      </c>
      <c r="AE468" s="4">
        <f t="shared" si="422"/>
      </c>
      <c r="AF468" s="4">
        <f t="shared" si="423"/>
      </c>
      <c r="AG468" s="4">
        <f t="shared" si="424"/>
        <v/>
      </c>
      <c r="AH468" s="4">
        <f t="shared" si="413"/>
      </c>
      <c r="AI468" s="4">
        <f t="shared" si="425"/>
      </c>
      <c r="AJ468" s="4">
        <f t="shared" si="414"/>
      </c>
      <c r="AK468" s="4">
        <f t="shared" si="407"/>
      </c>
      <c r="AL468" s="4">
        <f t="shared" si="415"/>
      </c>
      <c r="AM468" s="4">
        <f t="shared" si="416"/>
      </c>
      <c r="AN468" s="4"/>
      <c r="AO468" s="4">
        <f t="shared" si="420"/>
      </c>
      <c r="AP468" s="4">
        <f t="shared" si="417"/>
      </c>
      <c r="AQ468" s="4">
        <f t="shared" si="421"/>
        <v/>
      </c>
      <c r="AR468" s="4">
        <f t="shared" si="418"/>
      </c>
      <c r="AS468" s="4">
        <f t="shared" si="419"/>
      </c>
      <c r="AT468" s="4">
        <f t="shared" si="426"/>
      </c>
    </row>
    <row r="469" spans="1:46" x14ac:dyDescent="0.3">
      <c r="A469" s="5">
        <f t="shared" si="399"/>
      </c>
      <c r="B469" s="4">
        <f t="shared" si="408"/>
      </c>
      <c r="C469" s="119"/>
      <c r="D469" s="119"/>
      <c r="E469" s="105"/>
      <c r="F469" s="173"/>
      <c r="G469" s="173"/>
      <c r="H469" s="173"/>
      <c r="I469" s="105"/>
      <c r="J469" s="105"/>
      <c r="K469" s="105"/>
      <c r="L469" s="105"/>
      <c r="M469" s="4">
        <f t="shared" si="409"/>
      </c>
      <c r="N469" s="59"/>
      <c r="O469" s="164"/>
      <c r="P469" s="59">
        <f t="shared" ref="P469:P503" si="427">IF(VLOOKUP(AH469,Потребители_обозначение,5,FALSE)=2,_xlfn.IFS(H469=3,VLOOKUP(E469,Справочная_двигатели,8,FALSE),H469=1,VLOOKUP(E469,Справочная_двигатели,10,TRUE)),0.95)</f>
      </c>
      <c r="Q469" s="165"/>
      <c r="R469" s="59"/>
      <c r="S469" s="164"/>
      <c r="T469" s="5">
        <f t="shared" si="410"/>
      </c>
      <c r="U469" s="4">
        <f t="shared" si="400"/>
      </c>
      <c r="V469" s="4">
        <f t="shared" si="401"/>
      </c>
      <c r="W469" s="4">
        <f t="shared" si="402"/>
      </c>
      <c r="X469" s="4">
        <f t="shared" si="403"/>
      </c>
      <c r="Y469" s="4" cm="1">
        <f t="array" ref="Y469">_xlfn.IFS(H469=1,2,H469=3,1)</f>
      </c>
      <c r="Z469" s="4">
        <f t="shared" si="404"/>
      </c>
      <c r="AA469" s="4">
        <f t="shared" si="411"/>
      </c>
      <c r="AB469" s="4">
        <f t="shared" si="405"/>
      </c>
      <c r="AC469" s="4">
        <f t="shared" si="412"/>
      </c>
      <c r="AD469" s="4">
        <f t="shared" si="406"/>
      </c>
      <c r="AE469" s="4">
        <f t="shared" si="422"/>
      </c>
      <c r="AF469" s="4">
        <f t="shared" si="423"/>
      </c>
      <c r="AG469" s="4">
        <f t="shared" si="424"/>
        <v/>
      </c>
      <c r="AH469" s="4">
        <f t="shared" si="413"/>
      </c>
      <c r="AI469" s="4">
        <f t="shared" si="425"/>
      </c>
      <c r="AJ469" s="4">
        <f t="shared" si="414"/>
      </c>
      <c r="AK469" s="4">
        <f t="shared" si="407"/>
      </c>
      <c r="AL469" s="4">
        <f t="shared" si="415"/>
      </c>
      <c r="AM469" s="4">
        <f t="shared" si="416"/>
      </c>
      <c r="AN469" s="4"/>
      <c r="AO469" s="4">
        <f t="shared" si="420"/>
      </c>
      <c r="AP469" s="4">
        <f t="shared" si="417"/>
      </c>
      <c r="AQ469" s="4">
        <f t="shared" si="421"/>
        <v/>
      </c>
      <c r="AR469" s="4">
        <f t="shared" si="418"/>
      </c>
      <c r="AS469" s="4">
        <f t="shared" si="419"/>
      </c>
      <c r="AT469" s="4">
        <f t="shared" si="426"/>
      </c>
    </row>
    <row r="470" spans="1:46" x14ac:dyDescent="0.3">
      <c r="A470" s="5">
        <f t="shared" si="399"/>
      </c>
      <c r="B470" s="4">
        <f t="shared" si="408"/>
      </c>
      <c r="C470" s="119"/>
      <c r="D470" s="119"/>
      <c r="E470" s="105"/>
      <c r="F470" s="173"/>
      <c r="G470" s="173"/>
      <c r="H470" s="173"/>
      <c r="I470" s="105"/>
      <c r="J470" s="105"/>
      <c r="K470" s="105"/>
      <c r="L470" s="105"/>
      <c r="M470" s="4">
        <f t="shared" si="409"/>
      </c>
      <c r="N470" s="59"/>
      <c r="O470" s="164"/>
      <c r="P470" s="59">
        <f t="shared" si="427"/>
      </c>
      <c r="Q470" s="165"/>
      <c r="R470" s="59"/>
      <c r="S470" s="164"/>
      <c r="T470" s="5">
        <f t="shared" si="410"/>
      </c>
      <c r="U470" s="4">
        <f t="shared" si="400"/>
      </c>
      <c r="V470" s="4">
        <f t="shared" si="401"/>
      </c>
      <c r="W470" s="4">
        <f t="shared" si="402"/>
      </c>
      <c r="X470" s="4">
        <f t="shared" si="403"/>
      </c>
      <c r="Y470" s="4" cm="1">
        <f t="array" ref="Y470">_xlfn.IFS(H470=1,2,H470=3,1)</f>
      </c>
      <c r="Z470" s="4">
        <f t="shared" si="404"/>
      </c>
      <c r="AA470" s="4">
        <f t="shared" si="411"/>
      </c>
      <c r="AB470" s="4">
        <f t="shared" si="405"/>
      </c>
      <c r="AC470" s="4">
        <f t="shared" si="412"/>
      </c>
      <c r="AD470" s="4">
        <f t="shared" si="406"/>
      </c>
      <c r="AE470" s="4">
        <f t="shared" si="422"/>
      </c>
      <c r="AF470" s="4">
        <f t="shared" si="423"/>
      </c>
      <c r="AG470" s="4">
        <f t="shared" si="424"/>
        <v/>
      </c>
      <c r="AH470" s="4">
        <f t="shared" si="413"/>
      </c>
      <c r="AI470" s="4">
        <f t="shared" si="425"/>
      </c>
      <c r="AJ470" s="4">
        <f t="shared" si="414"/>
      </c>
      <c r="AK470" s="4">
        <f t="shared" si="407"/>
      </c>
      <c r="AL470" s="4">
        <f t="shared" si="415"/>
      </c>
      <c r="AM470" s="4">
        <f t="shared" si="416"/>
      </c>
      <c r="AN470" s="4"/>
      <c r="AO470" s="4">
        <f t="shared" si="420"/>
      </c>
      <c r="AP470" s="4">
        <f t="shared" si="417"/>
      </c>
      <c r="AQ470" s="4">
        <f t="shared" si="421"/>
        <v/>
      </c>
      <c r="AR470" s="4">
        <f t="shared" si="418"/>
      </c>
      <c r="AS470" s="4">
        <f t="shared" si="419"/>
      </c>
      <c r="AT470" s="4">
        <f t="shared" si="426"/>
      </c>
    </row>
    <row r="471" spans="1:46" x14ac:dyDescent="0.3">
      <c r="A471" s="5">
        <f t="shared" si="399"/>
      </c>
      <c r="B471" s="4">
        <f t="shared" si="408"/>
      </c>
      <c r="C471" s="119"/>
      <c r="D471" s="119"/>
      <c r="E471" s="105"/>
      <c r="F471" s="173"/>
      <c r="G471" s="173"/>
      <c r="H471" s="173"/>
      <c r="I471" s="105"/>
      <c r="J471" s="105"/>
      <c r="K471" s="105"/>
      <c r="L471" s="105"/>
      <c r="M471" s="4">
        <f t="shared" si="409"/>
      </c>
      <c r="N471" s="59"/>
      <c r="O471" s="164"/>
      <c r="P471" s="59">
        <f t="shared" si="427"/>
      </c>
      <c r="Q471" s="165"/>
      <c r="R471" s="59"/>
      <c r="S471" s="164"/>
      <c r="T471" s="5">
        <f t="shared" si="410"/>
      </c>
      <c r="U471" s="4">
        <f t="shared" si="400"/>
      </c>
      <c r="V471" s="4">
        <f t="shared" si="401"/>
      </c>
      <c r="W471" s="4">
        <f t="shared" si="402"/>
      </c>
      <c r="X471" s="4">
        <f t="shared" si="403"/>
      </c>
      <c r="Y471" s="4" cm="1">
        <f t="array" ref="Y471">_xlfn.IFS(H471=1,2,H471=3,1)</f>
      </c>
      <c r="Z471" s="4">
        <f t="shared" si="404"/>
      </c>
      <c r="AA471" s="4">
        <f t="shared" si="411"/>
      </c>
      <c r="AB471" s="4">
        <f t="shared" si="405"/>
      </c>
      <c r="AC471" s="4">
        <f t="shared" si="412"/>
      </c>
      <c r="AD471" s="4">
        <f t="shared" si="406"/>
      </c>
      <c r="AE471" s="4">
        <f t="shared" si="422"/>
      </c>
      <c r="AF471" s="4">
        <f t="shared" si="423"/>
      </c>
      <c r="AG471" s="4">
        <f t="shared" si="424"/>
        <v/>
      </c>
      <c r="AH471" s="4">
        <f t="shared" si="413"/>
      </c>
      <c r="AI471" s="4">
        <f t="shared" si="425"/>
      </c>
      <c r="AJ471" s="4">
        <f t="shared" si="414"/>
      </c>
      <c r="AK471" s="4">
        <f t="shared" si="407"/>
      </c>
      <c r="AL471" s="4">
        <f t="shared" si="415"/>
      </c>
      <c r="AM471" s="4">
        <f t="shared" si="416"/>
      </c>
      <c r="AN471" s="4"/>
      <c r="AO471" s="4">
        <f t="shared" si="420"/>
      </c>
      <c r="AP471" s="4">
        <f t="shared" si="417"/>
      </c>
      <c r="AQ471" s="4">
        <f t="shared" si="421"/>
        <v/>
      </c>
      <c r="AR471" s="4">
        <f t="shared" si="418"/>
      </c>
      <c r="AS471" s="4">
        <f t="shared" si="419"/>
      </c>
      <c r="AT471" s="4">
        <f t="shared" si="426"/>
      </c>
    </row>
    <row r="472" spans="1:46" x14ac:dyDescent="0.3">
      <c r="A472" s="5">
        <f t="shared" si="399"/>
      </c>
      <c r="B472" s="4">
        <f t="shared" si="408"/>
      </c>
      <c r="C472" s="119"/>
      <c r="D472" s="119"/>
      <c r="E472" s="105"/>
      <c r="F472" s="173"/>
      <c r="G472" s="173"/>
      <c r="H472" s="173"/>
      <c r="I472" s="105"/>
      <c r="J472" s="105"/>
      <c r="K472" s="105"/>
      <c r="L472" s="105"/>
      <c r="M472" s="4">
        <f t="shared" si="409"/>
      </c>
      <c r="N472" s="59"/>
      <c r="O472" s="164"/>
      <c r="P472" s="59">
        <f t="shared" si="427"/>
      </c>
      <c r="Q472" s="165"/>
      <c r="R472" s="59"/>
      <c r="S472" s="164"/>
      <c r="T472" s="5">
        <f t="shared" si="410"/>
      </c>
      <c r="U472" s="4">
        <f t="shared" si="400"/>
      </c>
      <c r="V472" s="4">
        <f t="shared" si="401"/>
      </c>
      <c r="W472" s="4">
        <f t="shared" si="402"/>
      </c>
      <c r="X472" s="4">
        <f t="shared" si="403"/>
      </c>
      <c r="Y472" s="4" cm="1">
        <f t="array" ref="Y472">_xlfn.IFS(H472=1,2,H472=3,1)</f>
      </c>
      <c r="Z472" s="4">
        <f t="shared" si="404"/>
      </c>
      <c r="AA472" s="4">
        <f t="shared" si="411"/>
      </c>
      <c r="AB472" s="4">
        <f t="shared" si="405"/>
      </c>
      <c r="AC472" s="4">
        <f t="shared" si="412"/>
      </c>
      <c r="AD472" s="4">
        <f t="shared" si="406"/>
      </c>
      <c r="AE472" s="4">
        <f t="shared" si="422"/>
      </c>
      <c r="AF472" s="4">
        <f t="shared" si="423"/>
      </c>
      <c r="AG472" s="4">
        <f t="shared" si="424"/>
        <v/>
      </c>
      <c r="AH472" s="4">
        <f t="shared" si="413"/>
      </c>
      <c r="AI472" s="4">
        <f t="shared" si="425"/>
      </c>
      <c r="AJ472" s="4">
        <f t="shared" si="414"/>
      </c>
      <c r="AK472" s="4">
        <f t="shared" si="407"/>
      </c>
      <c r="AL472" s="4">
        <f t="shared" si="415"/>
      </c>
      <c r="AM472" s="4">
        <f t="shared" si="416"/>
      </c>
      <c r="AN472" s="4"/>
      <c r="AO472" s="4">
        <f t="shared" si="420"/>
      </c>
      <c r="AP472" s="4">
        <f t="shared" si="417"/>
      </c>
      <c r="AQ472" s="4">
        <f t="shared" si="421"/>
        <v/>
      </c>
      <c r="AR472" s="4">
        <f t="shared" si="418"/>
      </c>
      <c r="AS472" s="4">
        <f t="shared" si="419"/>
      </c>
      <c r="AT472" s="4">
        <f t="shared" si="426"/>
      </c>
    </row>
    <row r="473" spans="1:46" x14ac:dyDescent="0.3">
      <c r="A473" s="5">
        <f t="shared" si="399"/>
      </c>
      <c r="B473" s="4">
        <f t="shared" si="408"/>
      </c>
      <c r="C473" s="119"/>
      <c r="D473" s="119"/>
      <c r="E473" s="105"/>
      <c r="F473" s="173"/>
      <c r="G473" s="173"/>
      <c r="H473" s="173"/>
      <c r="I473" s="105"/>
      <c r="J473" s="105"/>
      <c r="K473" s="105"/>
      <c r="L473" s="105"/>
      <c r="M473" s="4">
        <f t="shared" si="409"/>
      </c>
      <c r="N473" s="59"/>
      <c r="O473" s="164"/>
      <c r="P473" s="59">
        <f t="shared" si="427"/>
      </c>
      <c r="Q473" s="165"/>
      <c r="R473" s="59"/>
      <c r="S473" s="164"/>
      <c r="T473" s="5">
        <f t="shared" si="410"/>
      </c>
      <c r="U473" s="4">
        <f t="shared" si="400"/>
      </c>
      <c r="V473" s="4">
        <f t="shared" si="401"/>
      </c>
      <c r="W473" s="4">
        <f t="shared" si="402"/>
      </c>
      <c r="X473" s="4">
        <f t="shared" si="403"/>
      </c>
      <c r="Y473" s="4" cm="1">
        <f t="array" ref="Y473">_xlfn.IFS(H473=1,2,H473=3,1)</f>
      </c>
      <c r="Z473" s="4">
        <f t="shared" si="404"/>
      </c>
      <c r="AA473" s="4">
        <f t="shared" si="411"/>
      </c>
      <c r="AB473" s="4">
        <f t="shared" si="405"/>
      </c>
      <c r="AC473" s="4">
        <f t="shared" si="412"/>
      </c>
      <c r="AD473" s="4">
        <f t="shared" si="406"/>
      </c>
      <c r="AE473" s="4">
        <f t="shared" si="422"/>
      </c>
      <c r="AF473" s="4">
        <f t="shared" si="423"/>
      </c>
      <c r="AG473" s="4">
        <f t="shared" si="424"/>
        <v/>
      </c>
      <c r="AH473" s="4">
        <f t="shared" si="413"/>
      </c>
      <c r="AI473" s="4">
        <f t="shared" si="425"/>
      </c>
      <c r="AJ473" s="4">
        <f t="shared" si="414"/>
      </c>
      <c r="AK473" s="4">
        <f t="shared" si="407"/>
      </c>
      <c r="AL473" s="4">
        <f t="shared" si="415"/>
      </c>
      <c r="AM473" s="4">
        <f t="shared" si="416"/>
      </c>
      <c r="AN473" s="4"/>
      <c r="AO473" s="4">
        <f t="shared" si="420"/>
      </c>
      <c r="AP473" s="4">
        <f t="shared" si="417"/>
      </c>
      <c r="AQ473" s="4">
        <f t="shared" si="421"/>
        <v/>
      </c>
      <c r="AR473" s="4">
        <f t="shared" si="418"/>
      </c>
      <c r="AS473" s="4">
        <f t="shared" si="419"/>
      </c>
      <c r="AT473" s="4">
        <f t="shared" si="426"/>
      </c>
    </row>
    <row r="474" spans="1:46" x14ac:dyDescent="0.3">
      <c r="A474" s="5">
        <f t="shared" si="399"/>
      </c>
      <c r="B474" s="4">
        <f t="shared" si="408"/>
      </c>
      <c r="C474" s="119"/>
      <c r="D474" s="119"/>
      <c r="E474" s="105"/>
      <c r="F474" s="173"/>
      <c r="G474" s="173"/>
      <c r="H474" s="173"/>
      <c r="I474" s="105"/>
      <c r="J474" s="105"/>
      <c r="K474" s="105"/>
      <c r="L474" s="105"/>
      <c r="M474" s="4">
        <f t="shared" si="409"/>
      </c>
      <c r="N474" s="59"/>
      <c r="O474" s="164"/>
      <c r="P474" s="59">
        <f t="shared" si="427"/>
      </c>
      <c r="Q474" s="165"/>
      <c r="R474" s="59"/>
      <c r="S474" s="164"/>
      <c r="T474" s="5">
        <f t="shared" si="410"/>
      </c>
      <c r="U474" s="4">
        <f t="shared" si="400"/>
      </c>
      <c r="V474" s="4">
        <f t="shared" si="401"/>
      </c>
      <c r="W474" s="4">
        <f t="shared" si="402"/>
      </c>
      <c r="X474" s="4">
        <f t="shared" si="403"/>
      </c>
      <c r="Y474" s="4" cm="1">
        <f t="array" ref="Y474">_xlfn.IFS(H474=1,2,H474=3,1)</f>
      </c>
      <c r="Z474" s="4">
        <f t="shared" si="404"/>
      </c>
      <c r="AA474" s="4">
        <f t="shared" si="411"/>
      </c>
      <c r="AB474" s="4">
        <f t="shared" si="405"/>
      </c>
      <c r="AC474" s="4">
        <f t="shared" si="412"/>
      </c>
      <c r="AD474" s="4">
        <f t="shared" si="406"/>
      </c>
      <c r="AE474" s="4">
        <f t="shared" si="422"/>
      </c>
      <c r="AF474" s="4">
        <f t="shared" si="423"/>
      </c>
      <c r="AG474" s="4">
        <f t="shared" si="424"/>
        <v/>
      </c>
      <c r="AH474" s="4">
        <f t="shared" si="413"/>
      </c>
      <c r="AI474" s="4">
        <f t="shared" si="425"/>
      </c>
      <c r="AJ474" s="4">
        <f t="shared" si="414"/>
      </c>
      <c r="AK474" s="4">
        <f t="shared" si="407"/>
      </c>
      <c r="AL474" s="4">
        <f t="shared" si="415"/>
      </c>
      <c r="AM474" s="4">
        <f t="shared" si="416"/>
      </c>
      <c r="AN474" s="4"/>
      <c r="AO474" s="4">
        <f t="shared" si="420"/>
      </c>
      <c r="AP474" s="4">
        <f t="shared" si="417"/>
      </c>
      <c r="AQ474" s="4">
        <f t="shared" si="421"/>
        <v/>
      </c>
      <c r="AR474" s="4">
        <f t="shared" si="418"/>
      </c>
      <c r="AS474" s="4">
        <f t="shared" si="419"/>
      </c>
      <c r="AT474" s="4">
        <f t="shared" si="426"/>
      </c>
    </row>
    <row r="475" spans="1:46" x14ac:dyDescent="0.3">
      <c r="A475" s="5">
        <f t="shared" si="399"/>
      </c>
      <c r="B475" s="4">
        <f t="shared" si="408"/>
      </c>
      <c r="C475" s="119"/>
      <c r="D475" s="119"/>
      <c r="E475" s="105"/>
      <c r="F475" s="173"/>
      <c r="G475" s="173"/>
      <c r="H475" s="173"/>
      <c r="I475" s="105"/>
      <c r="J475" s="105"/>
      <c r="K475" s="105"/>
      <c r="L475" s="105"/>
      <c r="M475" s="4">
        <f t="shared" si="409"/>
      </c>
      <c r="N475" s="59"/>
      <c r="O475" s="164"/>
      <c r="P475" s="59">
        <f t="shared" si="427"/>
      </c>
      <c r="Q475" s="165"/>
      <c r="R475" s="59"/>
      <c r="S475" s="164"/>
      <c r="T475" s="5">
        <f t="shared" si="410"/>
      </c>
      <c r="U475" s="4">
        <f t="shared" si="400"/>
      </c>
      <c r="V475" s="4">
        <f t="shared" si="401"/>
      </c>
      <c r="W475" s="4">
        <f t="shared" si="402"/>
      </c>
      <c r="X475" s="4">
        <f t="shared" si="403"/>
      </c>
      <c r="Y475" s="4" cm="1">
        <f t="array" ref="Y475">_xlfn.IFS(H475=1,2,H475=3,1)</f>
      </c>
      <c r="Z475" s="4">
        <f t="shared" si="404"/>
      </c>
      <c r="AA475" s="4">
        <f t="shared" si="411"/>
      </c>
      <c r="AB475" s="4">
        <f t="shared" si="405"/>
      </c>
      <c r="AC475" s="4">
        <f t="shared" si="412"/>
      </c>
      <c r="AD475" s="4">
        <f t="shared" si="406"/>
      </c>
      <c r="AE475" s="4">
        <f t="shared" si="422"/>
      </c>
      <c r="AF475" s="4">
        <f t="shared" si="423"/>
      </c>
      <c r="AG475" s="4">
        <f t="shared" si="424"/>
        <v/>
      </c>
      <c r="AH475" s="4">
        <f t="shared" si="413"/>
      </c>
      <c r="AI475" s="4">
        <f t="shared" si="425"/>
      </c>
      <c r="AJ475" s="4">
        <f t="shared" si="414"/>
      </c>
      <c r="AK475" s="4">
        <f t="shared" si="407"/>
      </c>
      <c r="AL475" s="4">
        <f t="shared" si="415"/>
      </c>
      <c r="AM475" s="4">
        <f t="shared" si="416"/>
      </c>
      <c r="AN475" s="4"/>
      <c r="AO475" s="4">
        <f t="shared" si="420"/>
      </c>
      <c r="AP475" s="4">
        <f t="shared" si="417"/>
      </c>
      <c r="AQ475" s="4">
        <f t="shared" si="421"/>
        <v/>
      </c>
      <c r="AR475" s="4">
        <f t="shared" si="418"/>
      </c>
      <c r="AS475" s="4">
        <f t="shared" si="419"/>
      </c>
      <c r="AT475" s="4">
        <f t="shared" si="426"/>
      </c>
    </row>
    <row r="476" spans="1:46" x14ac:dyDescent="0.3">
      <c r="A476" s="5">
        <f t="shared" si="399"/>
      </c>
      <c r="B476" s="4">
        <f t="shared" si="408"/>
      </c>
      <c r="C476" s="119"/>
      <c r="D476" s="119"/>
      <c r="E476" s="105"/>
      <c r="F476" s="173"/>
      <c r="G476" s="173"/>
      <c r="H476" s="173"/>
      <c r="I476" s="105"/>
      <c r="J476" s="105"/>
      <c r="K476" s="105"/>
      <c r="L476" s="105"/>
      <c r="M476" s="4">
        <f t="shared" si="409"/>
      </c>
      <c r="N476" s="59"/>
      <c r="O476" s="164"/>
      <c r="P476" s="59">
        <f t="shared" si="427"/>
      </c>
      <c r="Q476" s="165"/>
      <c r="R476" s="59"/>
      <c r="S476" s="164"/>
      <c r="T476" s="5">
        <f t="shared" si="410"/>
      </c>
      <c r="U476" s="4">
        <f t="shared" si="400"/>
      </c>
      <c r="V476" s="4">
        <f t="shared" si="401"/>
      </c>
      <c r="W476" s="4">
        <f t="shared" si="402"/>
      </c>
      <c r="X476" s="4">
        <f t="shared" si="403"/>
      </c>
      <c r="Y476" s="4" cm="1">
        <f t="array" ref="Y476">_xlfn.IFS(H476=1,2,H476=3,1)</f>
      </c>
      <c r="Z476" s="4">
        <f t="shared" si="404"/>
      </c>
      <c r="AA476" s="4">
        <f t="shared" si="411"/>
      </c>
      <c r="AB476" s="4">
        <f t="shared" si="405"/>
      </c>
      <c r="AC476" s="4">
        <f t="shared" si="412"/>
      </c>
      <c r="AD476" s="4">
        <f t="shared" si="406"/>
      </c>
      <c r="AE476" s="4">
        <f t="shared" si="422"/>
      </c>
      <c r="AF476" s="4">
        <f t="shared" si="423"/>
      </c>
      <c r="AG476" s="4">
        <f t="shared" si="424"/>
        <v/>
      </c>
      <c r="AH476" s="4">
        <f t="shared" si="413"/>
      </c>
      <c r="AI476" s="4">
        <f t="shared" si="425"/>
      </c>
      <c r="AJ476" s="4">
        <f t="shared" si="414"/>
      </c>
      <c r="AK476" s="4">
        <f t="shared" si="407"/>
      </c>
      <c r="AL476" s="4">
        <f t="shared" si="415"/>
      </c>
      <c r="AM476" s="4">
        <f t="shared" si="416"/>
      </c>
      <c r="AN476" s="4"/>
      <c r="AO476" s="4">
        <f t="shared" si="420"/>
      </c>
      <c r="AP476" s="4">
        <f t="shared" si="417"/>
      </c>
      <c r="AQ476" s="4">
        <f t="shared" si="421"/>
        <v/>
      </c>
      <c r="AR476" s="4">
        <f t="shared" si="418"/>
      </c>
      <c r="AS476" s="4">
        <f t="shared" si="419"/>
      </c>
      <c r="AT476" s="4">
        <f t="shared" si="426"/>
      </c>
    </row>
    <row r="477" spans="1:46" x14ac:dyDescent="0.3">
      <c r="A477" s="5">
        <f t="shared" si="399"/>
      </c>
      <c r="B477" s="4">
        <f t="shared" si="408"/>
      </c>
      <c r="C477" s="119"/>
      <c r="D477" s="119"/>
      <c r="E477" s="105"/>
      <c r="F477" s="173"/>
      <c r="G477" s="173"/>
      <c r="H477" s="173"/>
      <c r="I477" s="105"/>
      <c r="J477" s="105"/>
      <c r="K477" s="105"/>
      <c r="L477" s="105"/>
      <c r="M477" s="4">
        <f t="shared" si="409"/>
      </c>
      <c r="N477" s="59"/>
      <c r="O477" s="164"/>
      <c r="P477" s="59">
        <f t="shared" si="427"/>
      </c>
      <c r="Q477" s="165"/>
      <c r="R477" s="59"/>
      <c r="S477" s="164"/>
      <c r="T477" s="5">
        <f t="shared" si="410"/>
      </c>
      <c r="U477" s="4">
        <f t="shared" si="400"/>
      </c>
      <c r="V477" s="4">
        <f t="shared" si="401"/>
      </c>
      <c r="W477" s="4">
        <f t="shared" si="402"/>
      </c>
      <c r="X477" s="4">
        <f t="shared" si="403"/>
      </c>
      <c r="Y477" s="4" cm="1">
        <f t="array" ref="Y477">_xlfn.IFS(H477=1,2,H477=3,1)</f>
      </c>
      <c r="Z477" s="4">
        <f t="shared" si="404"/>
      </c>
      <c r="AA477" s="4">
        <f t="shared" si="411"/>
      </c>
      <c r="AB477" s="4">
        <f t="shared" si="405"/>
      </c>
      <c r="AC477" s="4">
        <f t="shared" si="412"/>
      </c>
      <c r="AD477" s="4">
        <f t="shared" si="406"/>
      </c>
      <c r="AE477" s="4">
        <f t="shared" si="422"/>
      </c>
      <c r="AF477" s="4">
        <f t="shared" si="423"/>
      </c>
      <c r="AG477" s="4">
        <f t="shared" si="424"/>
        <v/>
      </c>
      <c r="AH477" s="4">
        <f t="shared" si="413"/>
      </c>
      <c r="AI477" s="4">
        <f t="shared" si="425"/>
      </c>
      <c r="AJ477" s="4">
        <f t="shared" si="414"/>
      </c>
      <c r="AK477" s="4">
        <f t="shared" si="407"/>
      </c>
      <c r="AL477" s="4">
        <f t="shared" si="415"/>
      </c>
      <c r="AM477" s="4">
        <f t="shared" si="416"/>
      </c>
      <c r="AN477" s="4"/>
      <c r="AO477" s="4">
        <f t="shared" si="420"/>
      </c>
      <c r="AP477" s="4">
        <f t="shared" si="417"/>
      </c>
      <c r="AQ477" s="4">
        <f t="shared" si="421"/>
        <v/>
      </c>
      <c r="AR477" s="4">
        <f t="shared" si="418"/>
      </c>
      <c r="AS477" s="4">
        <f t="shared" si="419"/>
      </c>
      <c r="AT477" s="4">
        <f t="shared" si="426"/>
      </c>
    </row>
    <row r="478" spans="1:46" ht="15" thickBot="1" x14ac:dyDescent="0.35">
      <c r="A478" s="45">
        <f t="shared" si="399"/>
      </c>
      <c r="B478" s="44">
        <f t="shared" si="408"/>
      </c>
      <c r="C478" s="175"/>
      <c r="D478" s="175"/>
      <c r="E478" s="176"/>
      <c r="F478" s="178"/>
      <c r="G478" s="178"/>
      <c r="H478" s="178"/>
      <c r="I478" s="176"/>
      <c r="J478" s="176"/>
      <c r="K478" s="176"/>
      <c r="L478" s="176"/>
      <c r="M478" s="44">
        <f t="shared" si="409"/>
      </c>
      <c r="N478" s="64"/>
      <c r="O478" s="166"/>
      <c r="P478" s="64">
        <f t="shared" si="427"/>
      </c>
      <c r="Q478" s="170"/>
      <c r="R478" s="64"/>
      <c r="S478" s="166"/>
      <c r="T478" s="45">
        <f t="shared" si="410"/>
      </c>
      <c r="U478" s="44">
        <f t="shared" si="400"/>
      </c>
      <c r="V478" s="44">
        <f t="shared" si="401"/>
      </c>
      <c r="W478" s="44">
        <f t="shared" si="402"/>
      </c>
      <c r="X478" s="44">
        <f t="shared" si="403"/>
      </c>
      <c r="Y478" s="44" cm="1">
        <f t="array" ref="Y478">_xlfn.IFS(H478=1,2,H478=3,1)</f>
      </c>
      <c r="Z478" s="44">
        <f t="shared" si="404"/>
      </c>
      <c r="AA478" s="44">
        <f t="shared" si="411"/>
      </c>
      <c r="AB478" s="44">
        <f t="shared" si="405"/>
      </c>
      <c r="AC478" s="44">
        <f t="shared" si="412"/>
      </c>
      <c r="AD478" s="44">
        <f t="shared" si="406"/>
      </c>
      <c r="AE478" s="44">
        <f t="shared" si="422"/>
      </c>
      <c r="AF478" s="44">
        <f t="shared" si="423"/>
      </c>
      <c r="AG478" s="44">
        <f t="shared" si="424"/>
        <v/>
      </c>
      <c r="AH478" s="44">
        <f t="shared" si="413"/>
      </c>
      <c r="AI478" s="44">
        <f t="shared" si="425"/>
      </c>
      <c r="AJ478" s="44">
        <f t="shared" si="414"/>
      </c>
      <c r="AK478" s="44">
        <f t="shared" si="407"/>
      </c>
      <c r="AL478" s="44">
        <f t="shared" si="415"/>
      </c>
      <c r="AM478" s="44">
        <f t="shared" si="416"/>
      </c>
      <c r="AN478" s="44"/>
      <c r="AO478" s="44">
        <f t="shared" si="420"/>
      </c>
      <c r="AP478" s="44">
        <f t="shared" si="417"/>
      </c>
      <c r="AQ478" s="44">
        <f t="shared" si="421"/>
        <v/>
      </c>
      <c r="AR478" s="44">
        <f t="shared" si="418"/>
      </c>
      <c r="AS478" s="44">
        <f t="shared" si="419"/>
      </c>
      <c r="AT478" s="44">
        <f t="shared" si="426"/>
      </c>
    </row>
    <row r="479" spans="1:46" x14ac:dyDescent="0.3">
      <c r="A479" s="19">
        <f t="shared" si="399"/>
      </c>
      <c r="B479" s="7">
        <f t="shared" si="408"/>
      </c>
      <c r="C479" s="177"/>
      <c r="D479" s="177"/>
      <c r="E479" s="179"/>
      <c r="F479" s="182"/>
      <c r="G479" s="182"/>
      <c r="H479" s="182"/>
      <c r="I479" s="179"/>
      <c r="J479" s="179"/>
      <c r="K479" s="179"/>
      <c r="L479" s="179"/>
      <c r="M479" s="7">
        <f t="shared" si="409"/>
      </c>
      <c r="N479" s="65"/>
      <c r="O479" s="168"/>
      <c r="P479" s="65">
        <f t="shared" si="427"/>
      </c>
      <c r="Q479" s="118"/>
      <c r="R479" s="65"/>
      <c r="S479" s="168"/>
      <c r="T479" s="19">
        <f t="shared" si="410"/>
      </c>
      <c r="U479" s="7">
        <f t="shared" si="400"/>
      </c>
      <c r="V479" s="7">
        <f t="shared" si="401"/>
      </c>
      <c r="W479" s="7">
        <f t="shared" si="402"/>
      </c>
      <c r="X479" s="7">
        <f t="shared" si="403"/>
      </c>
      <c r="Y479" s="7" cm="1">
        <f t="array" ref="Y479">_xlfn.IFS(H479=1,2,H479=3,1)</f>
      </c>
      <c r="Z479" s="7">
        <f t="shared" si="404"/>
      </c>
      <c r="AA479" s="7">
        <f t="shared" si="411"/>
      </c>
      <c r="AB479" s="7">
        <f t="shared" si="405"/>
      </c>
      <c r="AC479" s="7">
        <f t="shared" si="412"/>
      </c>
      <c r="AD479" s="7">
        <f t="shared" si="406"/>
      </c>
      <c r="AE479" s="7">
        <f t="shared" si="422"/>
      </c>
      <c r="AF479" s="7">
        <f t="shared" si="423"/>
      </c>
      <c r="AG479" s="7">
        <f t="shared" si="424"/>
        <v/>
      </c>
      <c r="AH479" s="7">
        <f t="shared" si="413"/>
      </c>
      <c r="AI479" s="7">
        <f t="shared" si="425"/>
      </c>
      <c r="AJ479" s="7">
        <f t="shared" si="414"/>
      </c>
      <c r="AK479" s="7">
        <f t="shared" si="407"/>
      </c>
      <c r="AL479" s="7">
        <f t="shared" si="415"/>
      </c>
      <c r="AM479" s="7">
        <f t="shared" si="416"/>
      </c>
      <c r="AN479" s="7"/>
      <c r="AO479" s="7">
        <f t="shared" si="420"/>
      </c>
      <c r="AP479" s="7">
        <f t="shared" si="417"/>
      </c>
      <c r="AQ479" s="7">
        <f t="shared" si="421"/>
        <v/>
      </c>
      <c r="AR479" s="7">
        <f t="shared" si="418"/>
      </c>
      <c r="AS479" s="7">
        <f t="shared" si="419"/>
      </c>
      <c r="AT479" s="7">
        <f t="shared" si="426"/>
      </c>
    </row>
    <row r="480" spans="1:46" x14ac:dyDescent="0.3">
      <c r="A480" s="5">
        <f t="shared" si="399"/>
      </c>
      <c r="B480" s="4">
        <f t="shared" si="408"/>
      </c>
      <c r="C480" s="119"/>
      <c r="D480" s="119"/>
      <c r="E480" s="105"/>
      <c r="F480" s="173"/>
      <c r="G480" s="173"/>
      <c r="H480" s="173"/>
      <c r="I480" s="105"/>
      <c r="J480" s="105"/>
      <c r="K480" s="105"/>
      <c r="L480" s="105"/>
      <c r="M480" s="4">
        <f t="shared" si="409"/>
      </c>
      <c r="N480" s="59"/>
      <c r="O480" s="164"/>
      <c r="P480" s="59">
        <f t="shared" si="427"/>
      </c>
      <c r="Q480" s="165"/>
      <c r="R480" s="59"/>
      <c r="S480" s="164"/>
      <c r="T480" s="5">
        <f t="shared" si="410"/>
      </c>
      <c r="U480" s="4">
        <f t="shared" si="400"/>
      </c>
      <c r="V480" s="4">
        <f t="shared" si="401"/>
      </c>
      <c r="W480" s="4">
        <f t="shared" si="402"/>
      </c>
      <c r="X480" s="4">
        <f t="shared" si="403"/>
      </c>
      <c r="Y480" s="4" cm="1">
        <f t="array" ref="Y480">_xlfn.IFS(H480=1,2,H480=3,1)</f>
      </c>
      <c r="Z480" s="4">
        <f t="shared" si="404"/>
      </c>
      <c r="AA480" s="4">
        <f t="shared" si="411"/>
      </c>
      <c r="AB480" s="4">
        <f t="shared" si="405"/>
      </c>
      <c r="AC480" s="4">
        <f t="shared" si="412"/>
      </c>
      <c r="AD480" s="4">
        <f t="shared" si="406"/>
      </c>
      <c r="AE480" s="4">
        <f t="shared" si="422"/>
      </c>
      <c r="AF480" s="4">
        <f t="shared" si="423"/>
      </c>
      <c r="AG480" s="4">
        <f t="shared" si="424"/>
        <v/>
      </c>
      <c r="AH480" s="4">
        <f t="shared" si="413"/>
      </c>
      <c r="AI480" s="4">
        <f t="shared" si="425"/>
      </c>
      <c r="AJ480" s="4">
        <f t="shared" si="414"/>
      </c>
      <c r="AK480" s="4">
        <f t="shared" si="407"/>
      </c>
      <c r="AL480" s="4">
        <f t="shared" si="415"/>
      </c>
      <c r="AM480" s="4">
        <f t="shared" si="416"/>
      </c>
      <c r="AN480" s="4"/>
      <c r="AO480" s="4">
        <f t="shared" si="420"/>
      </c>
      <c r="AP480" s="4">
        <f t="shared" si="417"/>
      </c>
      <c r="AQ480" s="4">
        <f t="shared" si="421"/>
        <v/>
      </c>
      <c r="AR480" s="4">
        <f t="shared" si="418"/>
      </c>
      <c r="AS480" s="4">
        <f t="shared" si="419"/>
      </c>
      <c r="AT480" s="4">
        <f t="shared" si="426"/>
      </c>
    </row>
    <row r="481" spans="1:46" x14ac:dyDescent="0.3">
      <c r="A481" s="5">
        <f t="shared" si="399"/>
      </c>
      <c r="B481" s="4">
        <f t="shared" si="408"/>
      </c>
      <c r="C481" s="119"/>
      <c r="D481" s="119"/>
      <c r="E481" s="105"/>
      <c r="F481" s="173"/>
      <c r="G481" s="173"/>
      <c r="H481" s="173"/>
      <c r="I481" s="105"/>
      <c r="J481" s="105"/>
      <c r="K481" s="105"/>
      <c r="L481" s="105"/>
      <c r="M481" s="4">
        <f t="shared" si="409"/>
      </c>
      <c r="N481" s="59"/>
      <c r="O481" s="164"/>
      <c r="P481" s="59">
        <f t="shared" si="427"/>
      </c>
      <c r="Q481" s="165"/>
      <c r="R481" s="59"/>
      <c r="S481" s="164"/>
      <c r="T481" s="5">
        <f t="shared" si="410"/>
      </c>
      <c r="U481" s="4">
        <f t="shared" si="400"/>
      </c>
      <c r="V481" s="4">
        <f t="shared" si="401"/>
      </c>
      <c r="W481" s="4">
        <f t="shared" si="402"/>
      </c>
      <c r="X481" s="4">
        <f t="shared" si="403"/>
      </c>
      <c r="Y481" s="4" cm="1">
        <f t="array" ref="Y481">_xlfn.IFS(H481=1,2,H481=3,1)</f>
      </c>
      <c r="Z481" s="4">
        <f t="shared" si="404"/>
      </c>
      <c r="AA481" s="4">
        <f t="shared" si="411"/>
      </c>
      <c r="AB481" s="4">
        <f t="shared" si="405"/>
      </c>
      <c r="AC481" s="4">
        <f t="shared" si="412"/>
      </c>
      <c r="AD481" s="4">
        <f t="shared" si="406"/>
      </c>
      <c r="AE481" s="4">
        <f t="shared" si="422"/>
      </c>
      <c r="AF481" s="4">
        <f t="shared" si="423"/>
      </c>
      <c r="AG481" s="4">
        <f t="shared" si="424"/>
        <v/>
      </c>
      <c r="AH481" s="4">
        <f t="shared" si="413"/>
      </c>
      <c r="AI481" s="4">
        <f t="shared" si="425"/>
      </c>
      <c r="AJ481" s="4">
        <f t="shared" si="414"/>
      </c>
      <c r="AK481" s="4">
        <f t="shared" si="407"/>
      </c>
      <c r="AL481" s="4">
        <f t="shared" si="415"/>
      </c>
      <c r="AM481" s="4">
        <f t="shared" si="416"/>
      </c>
      <c r="AN481" s="4"/>
      <c r="AO481" s="4">
        <f t="shared" si="420"/>
      </c>
      <c r="AP481" s="4">
        <f t="shared" si="417"/>
      </c>
      <c r="AQ481" s="4">
        <f t="shared" si="421"/>
        <v/>
      </c>
      <c r="AR481" s="4">
        <f t="shared" si="418"/>
      </c>
      <c r="AS481" s="4">
        <f t="shared" si="419"/>
      </c>
      <c r="AT481" s="4">
        <f t="shared" si="426"/>
      </c>
    </row>
    <row r="482" spans="1:46" x14ac:dyDescent="0.3">
      <c r="A482" s="5">
        <f t="shared" si="399"/>
      </c>
      <c r="B482" s="4">
        <f t="shared" si="408"/>
      </c>
      <c r="C482" s="119"/>
      <c r="D482" s="119"/>
      <c r="E482" s="105"/>
      <c r="F482" s="173"/>
      <c r="G482" s="173"/>
      <c r="H482" s="173"/>
      <c r="I482" s="105"/>
      <c r="J482" s="105"/>
      <c r="K482" s="105"/>
      <c r="L482" s="105"/>
      <c r="M482" s="4">
        <f t="shared" si="409"/>
      </c>
      <c r="N482" s="59"/>
      <c r="O482" s="164"/>
      <c r="P482" s="59">
        <f t="shared" si="427"/>
      </c>
      <c r="Q482" s="165"/>
      <c r="R482" s="59"/>
      <c r="S482" s="164"/>
      <c r="T482" s="5">
        <f t="shared" si="410"/>
      </c>
      <c r="U482" s="4">
        <f t="shared" si="400"/>
      </c>
      <c r="V482" s="4">
        <f t="shared" si="401"/>
      </c>
      <c r="W482" s="4">
        <f t="shared" si="402"/>
      </c>
      <c r="X482" s="4">
        <f t="shared" si="403"/>
      </c>
      <c r="Y482" s="4" cm="1">
        <f t="array" ref="Y482">_xlfn.IFS(H482=1,2,H482=3,1)</f>
      </c>
      <c r="Z482" s="4">
        <f t="shared" si="404"/>
      </c>
      <c r="AA482" s="4">
        <f t="shared" si="411"/>
      </c>
      <c r="AB482" s="4">
        <f t="shared" si="405"/>
      </c>
      <c r="AC482" s="4">
        <f t="shared" si="412"/>
      </c>
      <c r="AD482" s="4">
        <f t="shared" si="406"/>
      </c>
      <c r="AE482" s="4">
        <f t="shared" si="422"/>
      </c>
      <c r="AF482" s="4">
        <f t="shared" si="423"/>
      </c>
      <c r="AG482" s="4">
        <f t="shared" si="424"/>
        <v/>
      </c>
      <c r="AH482" s="4">
        <f t="shared" si="413"/>
      </c>
      <c r="AI482" s="4">
        <f t="shared" si="425"/>
      </c>
      <c r="AJ482" s="4">
        <f t="shared" si="414"/>
      </c>
      <c r="AK482" s="4">
        <f t="shared" si="407"/>
      </c>
      <c r="AL482" s="4">
        <f t="shared" si="415"/>
      </c>
      <c r="AM482" s="4">
        <f t="shared" si="416"/>
      </c>
      <c r="AN482" s="4"/>
      <c r="AO482" s="4">
        <f t="shared" si="420"/>
      </c>
      <c r="AP482" s="4">
        <f t="shared" si="417"/>
      </c>
      <c r="AQ482" s="4">
        <f t="shared" si="421"/>
        <v/>
      </c>
      <c r="AR482" s="4">
        <f t="shared" si="418"/>
      </c>
      <c r="AS482" s="4">
        <f t="shared" si="419"/>
      </c>
      <c r="AT482" s="4">
        <f t="shared" si="426"/>
      </c>
    </row>
    <row r="483" spans="1:46" x14ac:dyDescent="0.3">
      <c r="A483" s="5">
        <f t="shared" si="399"/>
      </c>
      <c r="B483" s="4">
        <f t="shared" si="408"/>
      </c>
      <c r="C483" s="119"/>
      <c r="D483" s="119"/>
      <c r="E483" s="105"/>
      <c r="F483" s="173"/>
      <c r="G483" s="173"/>
      <c r="H483" s="173"/>
      <c r="I483" s="105"/>
      <c r="J483" s="105"/>
      <c r="K483" s="105"/>
      <c r="L483" s="105"/>
      <c r="M483" s="4">
        <f t="shared" si="409"/>
      </c>
      <c r="N483" s="59"/>
      <c r="O483" s="164"/>
      <c r="P483" s="59">
        <f t="shared" si="427"/>
      </c>
      <c r="Q483" s="165"/>
      <c r="R483" s="59"/>
      <c r="S483" s="164"/>
      <c r="T483" s="5">
        <f t="shared" si="410"/>
      </c>
      <c r="U483" s="4">
        <f t="shared" si="400"/>
      </c>
      <c r="V483" s="4">
        <f t="shared" si="401"/>
      </c>
      <c r="W483" s="4">
        <f t="shared" si="402"/>
      </c>
      <c r="X483" s="4">
        <f t="shared" si="403"/>
      </c>
      <c r="Y483" s="4" cm="1">
        <f t="array" ref="Y483">_xlfn.IFS(H483=1,2,H483=3,1)</f>
      </c>
      <c r="Z483" s="4">
        <f t="shared" si="404"/>
      </c>
      <c r="AA483" s="4">
        <f t="shared" si="411"/>
      </c>
      <c r="AB483" s="4">
        <f t="shared" si="405"/>
      </c>
      <c r="AC483" s="4">
        <f t="shared" si="412"/>
      </c>
      <c r="AD483" s="4">
        <f t="shared" si="406"/>
      </c>
      <c r="AE483" s="4">
        <f t="shared" si="422"/>
      </c>
      <c r="AF483" s="4">
        <f t="shared" si="423"/>
      </c>
      <c r="AG483" s="4">
        <f t="shared" si="424"/>
        <v/>
      </c>
      <c r="AH483" s="4">
        <f t="shared" si="413"/>
      </c>
      <c r="AI483" s="4">
        <f t="shared" si="425"/>
      </c>
      <c r="AJ483" s="4">
        <f t="shared" si="414"/>
      </c>
      <c r="AK483" s="4">
        <f t="shared" si="407"/>
      </c>
      <c r="AL483" s="4">
        <f t="shared" si="415"/>
      </c>
      <c r="AM483" s="4">
        <f t="shared" si="416"/>
      </c>
      <c r="AN483" s="4"/>
      <c r="AO483" s="4">
        <f t="shared" si="420"/>
      </c>
      <c r="AP483" s="4">
        <f t="shared" si="417"/>
      </c>
      <c r="AQ483" s="4">
        <f t="shared" si="421"/>
        <v/>
      </c>
      <c r="AR483" s="4">
        <f t="shared" si="418"/>
      </c>
      <c r="AS483" s="4">
        <f t="shared" si="419"/>
      </c>
      <c r="AT483" s="4">
        <f t="shared" si="426"/>
      </c>
    </row>
    <row r="484" spans="1:46" x14ac:dyDescent="0.3">
      <c r="A484" s="5">
        <f t="shared" si="399"/>
      </c>
      <c r="B484" s="4">
        <f t="shared" si="408"/>
      </c>
      <c r="C484" s="119"/>
      <c r="D484" s="119"/>
      <c r="E484" s="105"/>
      <c r="F484" s="173"/>
      <c r="G484" s="173"/>
      <c r="H484" s="173"/>
      <c r="I484" s="105"/>
      <c r="J484" s="105"/>
      <c r="K484" s="105"/>
      <c r="L484" s="105"/>
      <c r="M484" s="4">
        <f t="shared" si="409"/>
      </c>
      <c r="N484" s="59"/>
      <c r="O484" s="164"/>
      <c r="P484" s="59">
        <f t="shared" si="427"/>
      </c>
      <c r="Q484" s="165"/>
      <c r="R484" s="59"/>
      <c r="S484" s="164"/>
      <c r="T484" s="5">
        <f t="shared" si="410"/>
      </c>
      <c r="U484" s="4">
        <f t="shared" si="400"/>
      </c>
      <c r="V484" s="4">
        <f t="shared" si="401"/>
      </c>
      <c r="W484" s="4">
        <f t="shared" si="402"/>
      </c>
      <c r="X484" s="4">
        <f t="shared" si="403"/>
      </c>
      <c r="Y484" s="4" cm="1">
        <f t="array" ref="Y484">_xlfn.IFS(H484=1,2,H484=3,1)</f>
      </c>
      <c r="Z484" s="4">
        <f t="shared" si="404"/>
      </c>
      <c r="AA484" s="4">
        <f t="shared" si="411"/>
      </c>
      <c r="AB484" s="4">
        <f t="shared" si="405"/>
      </c>
      <c r="AC484" s="4">
        <f t="shared" si="412"/>
      </c>
      <c r="AD484" s="4">
        <f t="shared" si="406"/>
      </c>
      <c r="AE484" s="4">
        <f t="shared" si="422"/>
      </c>
      <c r="AF484" s="4">
        <f t="shared" si="423"/>
      </c>
      <c r="AG484" s="4">
        <f t="shared" si="424"/>
        <v/>
      </c>
      <c r="AH484" s="4">
        <f t="shared" si="413"/>
      </c>
      <c r="AI484" s="4">
        <f t="shared" si="425"/>
      </c>
      <c r="AJ484" s="4">
        <f t="shared" si="414"/>
      </c>
      <c r="AK484" s="4">
        <f t="shared" si="407"/>
      </c>
      <c r="AL484" s="4">
        <f t="shared" si="415"/>
      </c>
      <c r="AM484" s="4">
        <f t="shared" si="416"/>
      </c>
      <c r="AN484" s="4"/>
      <c r="AO484" s="4">
        <f t="shared" si="420"/>
      </c>
      <c r="AP484" s="4">
        <f t="shared" si="417"/>
      </c>
      <c r="AQ484" s="4">
        <f t="shared" si="421"/>
        <v/>
      </c>
      <c r="AR484" s="4">
        <f t="shared" si="418"/>
      </c>
      <c r="AS484" s="4">
        <f t="shared" si="419"/>
      </c>
      <c r="AT484" s="4">
        <f t="shared" si="426"/>
      </c>
    </row>
    <row r="485" spans="1:46" x14ac:dyDescent="0.3">
      <c r="A485" s="5">
        <f t="shared" si="399"/>
      </c>
      <c r="B485" s="4">
        <f t="shared" si="408"/>
      </c>
      <c r="C485" s="119"/>
      <c r="D485" s="119"/>
      <c r="E485" s="105"/>
      <c r="F485" s="173"/>
      <c r="G485" s="173"/>
      <c r="H485" s="173"/>
      <c r="I485" s="105"/>
      <c r="J485" s="105"/>
      <c r="K485" s="105"/>
      <c r="L485" s="105"/>
      <c r="M485" s="4">
        <f t="shared" si="409"/>
      </c>
      <c r="N485" s="59"/>
      <c r="O485" s="164"/>
      <c r="P485" s="59">
        <f t="shared" si="427"/>
      </c>
      <c r="Q485" s="165"/>
      <c r="R485" s="59"/>
      <c r="S485" s="164"/>
      <c r="T485" s="5">
        <f t="shared" si="410"/>
      </c>
      <c r="U485" s="4">
        <f t="shared" si="400"/>
      </c>
      <c r="V485" s="4">
        <f t="shared" si="401"/>
      </c>
      <c r="W485" s="4">
        <f t="shared" si="402"/>
      </c>
      <c r="X485" s="4">
        <f t="shared" si="403"/>
      </c>
      <c r="Y485" s="4" cm="1">
        <f t="array" ref="Y485">_xlfn.IFS(H485=1,2,H485=3,1)</f>
      </c>
      <c r="Z485" s="4">
        <f t="shared" si="404"/>
      </c>
      <c r="AA485" s="4">
        <f t="shared" si="411"/>
      </c>
      <c r="AB485" s="4">
        <f t="shared" si="405"/>
      </c>
      <c r="AC485" s="4">
        <f t="shared" si="412"/>
      </c>
      <c r="AD485" s="4">
        <f t="shared" si="406"/>
      </c>
      <c r="AE485" s="4">
        <f t="shared" si="422"/>
      </c>
      <c r="AF485" s="4">
        <f t="shared" si="423"/>
      </c>
      <c r="AG485" s="4">
        <f t="shared" si="424"/>
        <v/>
      </c>
      <c r="AH485" s="4">
        <f t="shared" si="413"/>
      </c>
      <c r="AI485" s="4">
        <f t="shared" si="425"/>
      </c>
      <c r="AJ485" s="4">
        <f t="shared" si="414"/>
      </c>
      <c r="AK485" s="4">
        <f t="shared" si="407"/>
      </c>
      <c r="AL485" s="4">
        <f t="shared" si="415"/>
      </c>
      <c r="AM485" s="4">
        <f t="shared" si="416"/>
      </c>
      <c r="AN485" s="4"/>
      <c r="AO485" s="4">
        <f t="shared" si="420"/>
      </c>
      <c r="AP485" s="4">
        <f t="shared" si="417"/>
      </c>
      <c r="AQ485" s="4">
        <f t="shared" si="421"/>
        <v/>
      </c>
      <c r="AR485" s="4">
        <f t="shared" si="418"/>
      </c>
      <c r="AS485" s="4">
        <f t="shared" si="419"/>
      </c>
      <c r="AT485" s="4">
        <f t="shared" si="426"/>
      </c>
    </row>
    <row r="486" spans="1:46" x14ac:dyDescent="0.3">
      <c r="A486" s="5">
        <f t="shared" si="399"/>
      </c>
      <c r="B486" s="4">
        <f t="shared" si="408"/>
      </c>
      <c r="C486" s="119"/>
      <c r="D486" s="119"/>
      <c r="E486" s="105"/>
      <c r="F486" s="173"/>
      <c r="G486" s="173"/>
      <c r="H486" s="173"/>
      <c r="I486" s="105"/>
      <c r="J486" s="105"/>
      <c r="K486" s="105"/>
      <c r="L486" s="105"/>
      <c r="M486" s="4">
        <f t="shared" si="409"/>
      </c>
      <c r="N486" s="59"/>
      <c r="O486" s="164"/>
      <c r="P486" s="59">
        <f t="shared" si="427"/>
      </c>
      <c r="Q486" s="165"/>
      <c r="R486" s="59"/>
      <c r="S486" s="164"/>
      <c r="T486" s="5">
        <f t="shared" si="410"/>
      </c>
      <c r="U486" s="4">
        <f t="shared" si="400"/>
      </c>
      <c r="V486" s="4">
        <f t="shared" si="401"/>
      </c>
      <c r="W486" s="4">
        <f t="shared" si="402"/>
      </c>
      <c r="X486" s="4">
        <f t="shared" si="403"/>
      </c>
      <c r="Y486" s="4" cm="1">
        <f t="array" ref="Y486">_xlfn.IFS(H486=1,2,H486=3,1)</f>
      </c>
      <c r="Z486" s="4">
        <f t="shared" si="404"/>
      </c>
      <c r="AA486" s="4">
        <f t="shared" si="411"/>
      </c>
      <c r="AB486" s="4">
        <f t="shared" si="405"/>
      </c>
      <c r="AC486" s="4">
        <f t="shared" si="412"/>
      </c>
      <c r="AD486" s="4">
        <f t="shared" si="406"/>
      </c>
      <c r="AE486" s="4">
        <f t="shared" si="422"/>
      </c>
      <c r="AF486" s="4">
        <f t="shared" si="423"/>
      </c>
      <c r="AG486" s="4">
        <f t="shared" si="424"/>
        <v/>
      </c>
      <c r="AH486" s="4">
        <f t="shared" si="413"/>
      </c>
      <c r="AI486" s="4">
        <f t="shared" si="425"/>
      </c>
      <c r="AJ486" s="4">
        <f t="shared" si="414"/>
      </c>
      <c r="AK486" s="4">
        <f t="shared" si="407"/>
      </c>
      <c r="AL486" s="4">
        <f t="shared" si="415"/>
      </c>
      <c r="AM486" s="4">
        <f t="shared" si="416"/>
      </c>
      <c r="AN486" s="4"/>
      <c r="AO486" s="4">
        <f t="shared" si="420"/>
      </c>
      <c r="AP486" s="4">
        <f t="shared" si="417"/>
      </c>
      <c r="AQ486" s="4">
        <f t="shared" si="421"/>
        <v/>
      </c>
      <c r="AR486" s="4">
        <f t="shared" si="418"/>
      </c>
      <c r="AS486" s="4">
        <f t="shared" si="419"/>
      </c>
      <c r="AT486" s="4">
        <f t="shared" si="426"/>
      </c>
    </row>
    <row r="487" spans="1:46" x14ac:dyDescent="0.3">
      <c r="A487" s="5">
        <f t="shared" si="399"/>
      </c>
      <c r="B487" s="4">
        <f t="shared" si="408"/>
      </c>
      <c r="C487" s="119"/>
      <c r="D487" s="119"/>
      <c r="E487" s="105"/>
      <c r="F487" s="173"/>
      <c r="G487" s="173"/>
      <c r="H487" s="173"/>
      <c r="I487" s="105"/>
      <c r="J487" s="105"/>
      <c r="K487" s="105"/>
      <c r="L487" s="105"/>
      <c r="M487" s="4">
        <f t="shared" si="409"/>
      </c>
      <c r="N487" s="59"/>
      <c r="O487" s="164"/>
      <c r="P487" s="59">
        <f t="shared" si="427"/>
      </c>
      <c r="Q487" s="165"/>
      <c r="R487" s="59"/>
      <c r="S487" s="164"/>
      <c r="T487" s="5">
        <f t="shared" si="410"/>
      </c>
      <c r="U487" s="4">
        <f t="shared" si="400"/>
      </c>
      <c r="V487" s="4">
        <f t="shared" si="401"/>
      </c>
      <c r="W487" s="4">
        <f t="shared" si="402"/>
      </c>
      <c r="X487" s="4">
        <f t="shared" si="403"/>
      </c>
      <c r="Y487" s="4" cm="1">
        <f t="array" ref="Y487">_xlfn.IFS(H487=1,2,H487=3,1)</f>
      </c>
      <c r="Z487" s="4">
        <f t="shared" si="404"/>
      </c>
      <c r="AA487" s="4">
        <f t="shared" si="411"/>
      </c>
      <c r="AB487" s="4">
        <f t="shared" si="405"/>
      </c>
      <c r="AC487" s="4">
        <f t="shared" si="412"/>
      </c>
      <c r="AD487" s="4">
        <f t="shared" si="406"/>
      </c>
      <c r="AE487" s="4">
        <f t="shared" si="422"/>
      </c>
      <c r="AF487" s="4">
        <f t="shared" si="423"/>
      </c>
      <c r="AG487" s="4">
        <f t="shared" si="424"/>
        <v/>
      </c>
      <c r="AH487" s="4">
        <f t="shared" si="413"/>
      </c>
      <c r="AI487" s="4">
        <f t="shared" si="425"/>
      </c>
      <c r="AJ487" s="4">
        <f t="shared" si="414"/>
      </c>
      <c r="AK487" s="4">
        <f t="shared" si="407"/>
      </c>
      <c r="AL487" s="4">
        <f t="shared" si="415"/>
      </c>
      <c r="AM487" s="4">
        <f t="shared" si="416"/>
      </c>
      <c r="AN487" s="4"/>
      <c r="AO487" s="4">
        <f t="shared" si="420"/>
      </c>
      <c r="AP487" s="4">
        <f t="shared" si="417"/>
      </c>
      <c r="AQ487" s="4">
        <f t="shared" si="421"/>
        <v/>
      </c>
      <c r="AR487" s="4">
        <f t="shared" si="418"/>
      </c>
      <c r="AS487" s="4">
        <f t="shared" si="419"/>
      </c>
      <c r="AT487" s="4">
        <f t="shared" si="426"/>
      </c>
    </row>
    <row r="488" spans="1:46" x14ac:dyDescent="0.3">
      <c r="A488" s="5">
        <f t="shared" si="399"/>
      </c>
      <c r="B488" s="4">
        <f t="shared" si="408"/>
      </c>
      <c r="C488" s="119"/>
      <c r="D488" s="119"/>
      <c r="E488" s="105"/>
      <c r="F488" s="173"/>
      <c r="G488" s="173"/>
      <c r="H488" s="173"/>
      <c r="I488" s="105"/>
      <c r="J488" s="105"/>
      <c r="K488" s="105"/>
      <c r="L488" s="105"/>
      <c r="M488" s="4">
        <f t="shared" si="409"/>
      </c>
      <c r="N488" s="59"/>
      <c r="O488" s="164"/>
      <c r="P488" s="59">
        <f t="shared" si="427"/>
      </c>
      <c r="Q488" s="165"/>
      <c r="R488" s="59"/>
      <c r="S488" s="164"/>
      <c r="T488" s="5">
        <f t="shared" si="410"/>
      </c>
      <c r="U488" s="4">
        <f t="shared" si="400"/>
      </c>
      <c r="V488" s="4">
        <f t="shared" si="401"/>
      </c>
      <c r="W488" s="4">
        <f t="shared" si="402"/>
      </c>
      <c r="X488" s="4">
        <f t="shared" si="403"/>
      </c>
      <c r="Y488" s="4" cm="1">
        <f t="array" ref="Y488">_xlfn.IFS(H488=1,2,H488=3,1)</f>
      </c>
      <c r="Z488" s="4">
        <f t="shared" si="404"/>
      </c>
      <c r="AA488" s="4">
        <f t="shared" si="411"/>
      </c>
      <c r="AB488" s="4">
        <f t="shared" si="405"/>
      </c>
      <c r="AC488" s="4">
        <f t="shared" si="412"/>
      </c>
      <c r="AD488" s="4">
        <f t="shared" si="406"/>
      </c>
      <c r="AE488" s="4">
        <f t="shared" si="422"/>
      </c>
      <c r="AF488" s="4">
        <f t="shared" si="423"/>
      </c>
      <c r="AG488" s="4">
        <f t="shared" si="424"/>
        <v/>
      </c>
      <c r="AH488" s="4">
        <f t="shared" si="413"/>
      </c>
      <c r="AI488" s="4">
        <f t="shared" si="425"/>
      </c>
      <c r="AJ488" s="4">
        <f t="shared" si="414"/>
      </c>
      <c r="AK488" s="4">
        <f t="shared" si="407"/>
      </c>
      <c r="AL488" s="4">
        <f t="shared" si="415"/>
      </c>
      <c r="AM488" s="4">
        <f t="shared" si="416"/>
      </c>
      <c r="AN488" s="4"/>
      <c r="AO488" s="4">
        <f t="shared" si="420"/>
      </c>
      <c r="AP488" s="4">
        <f t="shared" si="417"/>
      </c>
      <c r="AQ488" s="4">
        <f t="shared" si="421"/>
        <v/>
      </c>
      <c r="AR488" s="4">
        <f t="shared" si="418"/>
      </c>
      <c r="AS488" s="4">
        <f t="shared" si="419"/>
      </c>
      <c r="AT488" s="4">
        <f t="shared" si="426"/>
      </c>
    </row>
    <row r="489" spans="1:46" x14ac:dyDescent="0.3">
      <c r="A489" s="5">
        <f t="shared" si="399"/>
      </c>
      <c r="B489" s="4">
        <f t="shared" si="408"/>
      </c>
      <c r="C489" s="119"/>
      <c r="D489" s="119"/>
      <c r="E489" s="105"/>
      <c r="F489" s="173"/>
      <c r="G489" s="173"/>
      <c r="H489" s="173"/>
      <c r="I489" s="105"/>
      <c r="J489" s="105"/>
      <c r="K489" s="105"/>
      <c r="L489" s="105"/>
      <c r="M489" s="4">
        <f t="shared" si="409"/>
      </c>
      <c r="N489" s="59"/>
      <c r="O489" s="164"/>
      <c r="P489" s="59">
        <f t="shared" si="427"/>
      </c>
      <c r="Q489" s="165"/>
      <c r="R489" s="59"/>
      <c r="S489" s="164"/>
      <c r="T489" s="5">
        <f t="shared" si="410"/>
      </c>
      <c r="U489" s="4">
        <f t="shared" si="400"/>
      </c>
      <c r="V489" s="4">
        <f t="shared" si="401"/>
      </c>
      <c r="W489" s="4">
        <f t="shared" si="402"/>
      </c>
      <c r="X489" s="4">
        <f t="shared" si="403"/>
      </c>
      <c r="Y489" s="4" cm="1">
        <f t="array" ref="Y489">_xlfn.IFS(H489=1,2,H489=3,1)</f>
      </c>
      <c r="Z489" s="4">
        <f t="shared" si="404"/>
      </c>
      <c r="AA489" s="4">
        <f t="shared" si="411"/>
      </c>
      <c r="AB489" s="4">
        <f t="shared" si="405"/>
      </c>
      <c r="AC489" s="4">
        <f t="shared" si="412"/>
      </c>
      <c r="AD489" s="4">
        <f t="shared" si="406"/>
      </c>
      <c r="AE489" s="4">
        <f t="shared" si="422"/>
      </c>
      <c r="AF489" s="4">
        <f t="shared" si="423"/>
      </c>
      <c r="AG489" s="4">
        <f t="shared" si="424"/>
        <v/>
      </c>
      <c r="AH489" s="4">
        <f t="shared" si="413"/>
      </c>
      <c r="AI489" s="4">
        <f t="shared" si="425"/>
      </c>
      <c r="AJ489" s="4">
        <f t="shared" si="414"/>
      </c>
      <c r="AK489" s="4">
        <f t="shared" si="407"/>
      </c>
      <c r="AL489" s="4">
        <f t="shared" si="415"/>
      </c>
      <c r="AM489" s="4">
        <f t="shared" si="416"/>
      </c>
      <c r="AN489" s="4"/>
      <c r="AO489" s="4">
        <f t="shared" si="420"/>
      </c>
      <c r="AP489" s="4">
        <f t="shared" si="417"/>
      </c>
      <c r="AQ489" s="4">
        <f t="shared" si="421"/>
        <v/>
      </c>
      <c r="AR489" s="4">
        <f t="shared" si="418"/>
      </c>
      <c r="AS489" s="4">
        <f t="shared" si="419"/>
      </c>
      <c r="AT489" s="4">
        <f t="shared" si="426"/>
      </c>
    </row>
    <row r="490" spans="1:46" x14ac:dyDescent="0.3">
      <c r="A490" s="5">
        <f t="shared" si="399"/>
      </c>
      <c r="B490" s="4">
        <f t="shared" si="408"/>
      </c>
      <c r="C490" s="119"/>
      <c r="D490" s="119"/>
      <c r="E490" s="105"/>
      <c r="F490" s="173"/>
      <c r="G490" s="173"/>
      <c r="H490" s="173"/>
      <c r="I490" s="105"/>
      <c r="J490" s="105"/>
      <c r="K490" s="105"/>
      <c r="L490" s="105"/>
      <c r="M490" s="4">
        <f t="shared" si="409"/>
      </c>
      <c r="N490" s="59"/>
      <c r="O490" s="164"/>
      <c r="P490" s="59">
        <f t="shared" si="427"/>
      </c>
      <c r="Q490" s="165"/>
      <c r="R490" s="59"/>
      <c r="S490" s="164"/>
      <c r="T490" s="5">
        <f t="shared" si="410"/>
      </c>
      <c r="U490" s="4">
        <f t="shared" si="400"/>
      </c>
      <c r="V490" s="4">
        <f t="shared" si="401"/>
      </c>
      <c r="W490" s="4">
        <f t="shared" si="402"/>
      </c>
      <c r="X490" s="4">
        <f t="shared" si="403"/>
      </c>
      <c r="Y490" s="4" cm="1">
        <f t="array" ref="Y490">_xlfn.IFS(H490=1,2,H490=3,1)</f>
      </c>
      <c r="Z490" s="4">
        <f t="shared" si="404"/>
      </c>
      <c r="AA490" s="4">
        <f t="shared" si="411"/>
      </c>
      <c r="AB490" s="4">
        <f t="shared" si="405"/>
      </c>
      <c r="AC490" s="4">
        <f t="shared" si="412"/>
      </c>
      <c r="AD490" s="4">
        <f t="shared" si="406"/>
      </c>
      <c r="AE490" s="4">
        <f t="shared" si="422"/>
      </c>
      <c r="AF490" s="4">
        <f t="shared" si="423"/>
      </c>
      <c r="AG490" s="4">
        <f t="shared" si="424"/>
        <v/>
      </c>
      <c r="AH490" s="4">
        <f t="shared" si="413"/>
      </c>
      <c r="AI490" s="4">
        <f t="shared" si="425"/>
      </c>
      <c r="AJ490" s="4">
        <f t="shared" si="414"/>
      </c>
      <c r="AK490" s="4">
        <f t="shared" si="407"/>
      </c>
      <c r="AL490" s="4">
        <f t="shared" si="415"/>
      </c>
      <c r="AM490" s="4">
        <f t="shared" si="416"/>
      </c>
      <c r="AN490" s="4"/>
      <c r="AO490" s="4">
        <f t="shared" si="420"/>
      </c>
      <c r="AP490" s="4">
        <f t="shared" si="417"/>
      </c>
      <c r="AQ490" s="4">
        <f t="shared" si="421"/>
        <v/>
      </c>
      <c r="AR490" s="4">
        <f t="shared" si="418"/>
      </c>
      <c r="AS490" s="4">
        <f t="shared" si="419"/>
      </c>
      <c r="AT490" s="4">
        <f t="shared" si="426"/>
      </c>
    </row>
    <row r="491" spans="1:46" x14ac:dyDescent="0.3">
      <c r="A491" s="5">
        <f t="shared" si="399"/>
      </c>
      <c r="B491" s="4">
        <f t="shared" si="408"/>
      </c>
      <c r="C491" s="119"/>
      <c r="D491" s="119"/>
      <c r="E491" s="105"/>
      <c r="F491" s="173"/>
      <c r="G491" s="173"/>
      <c r="H491" s="173"/>
      <c r="I491" s="105"/>
      <c r="J491" s="105"/>
      <c r="K491" s="105"/>
      <c r="L491" s="105"/>
      <c r="M491" s="4">
        <f t="shared" si="409"/>
      </c>
      <c r="N491" s="59"/>
      <c r="O491" s="164"/>
      <c r="P491" s="59">
        <f t="shared" si="427"/>
      </c>
      <c r="Q491" s="165"/>
      <c r="R491" s="59"/>
      <c r="S491" s="164"/>
      <c r="T491" s="5">
        <f t="shared" si="410"/>
      </c>
      <c r="U491" s="4">
        <f t="shared" si="400"/>
      </c>
      <c r="V491" s="4">
        <f t="shared" si="401"/>
      </c>
      <c r="W491" s="4">
        <f t="shared" si="402"/>
      </c>
      <c r="X491" s="4">
        <f t="shared" si="403"/>
      </c>
      <c r="Y491" s="4" cm="1">
        <f t="array" ref="Y491">_xlfn.IFS(H491=1,2,H491=3,1)</f>
      </c>
      <c r="Z491" s="4">
        <f t="shared" si="404"/>
      </c>
      <c r="AA491" s="4">
        <f t="shared" si="411"/>
      </c>
      <c r="AB491" s="4">
        <f t="shared" si="405"/>
      </c>
      <c r="AC491" s="4">
        <f t="shared" si="412"/>
      </c>
      <c r="AD491" s="4">
        <f t="shared" si="406"/>
      </c>
      <c r="AE491" s="4">
        <f t="shared" si="422"/>
      </c>
      <c r="AF491" s="4">
        <f t="shared" si="423"/>
      </c>
      <c r="AG491" s="4">
        <f t="shared" si="424"/>
        <v/>
      </c>
      <c r="AH491" s="4">
        <f t="shared" si="413"/>
      </c>
      <c r="AI491" s="4">
        <f t="shared" si="425"/>
      </c>
      <c r="AJ491" s="4">
        <f t="shared" si="414"/>
      </c>
      <c r="AK491" s="4">
        <f t="shared" si="407"/>
      </c>
      <c r="AL491" s="4">
        <f t="shared" si="415"/>
      </c>
      <c r="AM491" s="4">
        <f t="shared" si="416"/>
      </c>
      <c r="AN491" s="4"/>
      <c r="AO491" s="4">
        <f t="shared" si="420"/>
      </c>
      <c r="AP491" s="4">
        <f t="shared" si="417"/>
      </c>
      <c r="AQ491" s="4">
        <f t="shared" si="421"/>
        <v/>
      </c>
      <c r="AR491" s="4">
        <f t="shared" si="418"/>
      </c>
      <c r="AS491" s="4">
        <f t="shared" si="419"/>
      </c>
      <c r="AT491" s="4">
        <f t="shared" si="426"/>
      </c>
    </row>
    <row r="492" spans="1:46" x14ac:dyDescent="0.3">
      <c r="A492" s="5">
        <f t="shared" si="399"/>
      </c>
      <c r="B492" s="4">
        <f t="shared" si="408"/>
      </c>
      <c r="C492" s="119"/>
      <c r="D492" s="119"/>
      <c r="E492" s="105"/>
      <c r="F492" s="173"/>
      <c r="G492" s="173"/>
      <c r="H492" s="173"/>
      <c r="I492" s="105"/>
      <c r="J492" s="105"/>
      <c r="K492" s="105"/>
      <c r="L492" s="105"/>
      <c r="M492" s="4">
        <f t="shared" si="409"/>
      </c>
      <c r="N492" s="59"/>
      <c r="O492" s="164"/>
      <c r="P492" s="59">
        <f t="shared" si="427"/>
      </c>
      <c r="Q492" s="165"/>
      <c r="R492" s="59"/>
      <c r="S492" s="164"/>
      <c r="T492" s="5">
        <f t="shared" si="410"/>
      </c>
      <c r="U492" s="4">
        <f t="shared" si="400"/>
      </c>
      <c r="V492" s="4">
        <f t="shared" si="401"/>
      </c>
      <c r="W492" s="4">
        <f t="shared" si="402"/>
      </c>
      <c r="X492" s="4">
        <f t="shared" si="403"/>
      </c>
      <c r="Y492" s="4" cm="1">
        <f t="array" ref="Y492">_xlfn.IFS(H492=1,2,H492=3,1)</f>
      </c>
      <c r="Z492" s="4">
        <f t="shared" si="404"/>
      </c>
      <c r="AA492" s="4">
        <f t="shared" si="411"/>
      </c>
      <c r="AB492" s="4">
        <f t="shared" si="405"/>
      </c>
      <c r="AC492" s="4">
        <f t="shared" si="412"/>
      </c>
      <c r="AD492" s="4">
        <f t="shared" si="406"/>
      </c>
      <c r="AE492" s="4">
        <f t="shared" si="422"/>
      </c>
      <c r="AF492" s="4">
        <f t="shared" si="423"/>
      </c>
      <c r="AG492" s="4">
        <f t="shared" si="424"/>
        <v/>
      </c>
      <c r="AH492" s="4">
        <f t="shared" si="413"/>
      </c>
      <c r="AI492" s="4">
        <f t="shared" si="425"/>
      </c>
      <c r="AJ492" s="4">
        <f t="shared" si="414"/>
      </c>
      <c r="AK492" s="4">
        <f t="shared" si="407"/>
      </c>
      <c r="AL492" s="4">
        <f t="shared" si="415"/>
      </c>
      <c r="AM492" s="4">
        <f t="shared" si="416"/>
      </c>
      <c r="AN492" s="4"/>
      <c r="AO492" s="4">
        <f t="shared" si="420"/>
      </c>
      <c r="AP492" s="4">
        <f t="shared" si="417"/>
      </c>
      <c r="AQ492" s="4">
        <f t="shared" si="421"/>
        <v/>
      </c>
      <c r="AR492" s="4">
        <f t="shared" si="418"/>
      </c>
      <c r="AS492" s="4">
        <f t="shared" si="419"/>
      </c>
      <c r="AT492" s="4">
        <f t="shared" si="426"/>
      </c>
    </row>
    <row r="493" spans="1:46" x14ac:dyDescent="0.3">
      <c r="A493" s="5">
        <f t="shared" si="399"/>
      </c>
      <c r="B493" s="4">
        <f t="shared" si="408"/>
      </c>
      <c r="C493" s="119"/>
      <c r="D493" s="119"/>
      <c r="E493" s="105"/>
      <c r="F493" s="173"/>
      <c r="G493" s="173"/>
      <c r="H493" s="173"/>
      <c r="I493" s="105"/>
      <c r="J493" s="105"/>
      <c r="K493" s="105"/>
      <c r="L493" s="105"/>
      <c r="M493" s="4">
        <f t="shared" si="409"/>
      </c>
      <c r="N493" s="59"/>
      <c r="O493" s="164"/>
      <c r="P493" s="59">
        <f t="shared" si="427"/>
      </c>
      <c r="Q493" s="165"/>
      <c r="R493" s="59"/>
      <c r="S493" s="164"/>
      <c r="T493" s="5">
        <f t="shared" si="410"/>
      </c>
      <c r="U493" s="4">
        <f t="shared" si="400"/>
      </c>
      <c r="V493" s="4">
        <f t="shared" si="401"/>
      </c>
      <c r="W493" s="4">
        <f t="shared" si="402"/>
      </c>
      <c r="X493" s="4">
        <f t="shared" si="403"/>
      </c>
      <c r="Y493" s="4" cm="1">
        <f t="array" ref="Y493">_xlfn.IFS(H493=1,2,H493=3,1)</f>
      </c>
      <c r="Z493" s="4">
        <f t="shared" si="404"/>
      </c>
      <c r="AA493" s="4">
        <f t="shared" si="411"/>
      </c>
      <c r="AB493" s="4">
        <f t="shared" si="405"/>
      </c>
      <c r="AC493" s="4">
        <f t="shared" si="412"/>
      </c>
      <c r="AD493" s="4">
        <f t="shared" si="406"/>
      </c>
      <c r="AE493" s="4">
        <f t="shared" si="422"/>
      </c>
      <c r="AF493" s="4">
        <f t="shared" si="423"/>
      </c>
      <c r="AG493" s="4">
        <f t="shared" si="424"/>
        <v/>
      </c>
      <c r="AH493" s="4">
        <f t="shared" si="413"/>
      </c>
      <c r="AI493" s="4">
        <f t="shared" si="425"/>
      </c>
      <c r="AJ493" s="4">
        <f t="shared" si="414"/>
      </c>
      <c r="AK493" s="4">
        <f t="shared" si="407"/>
      </c>
      <c r="AL493" s="4">
        <f t="shared" si="415"/>
      </c>
      <c r="AM493" s="4">
        <f t="shared" si="416"/>
      </c>
      <c r="AN493" s="4"/>
      <c r="AO493" s="4">
        <f t="shared" si="420"/>
      </c>
      <c r="AP493" s="4">
        <f t="shared" si="417"/>
      </c>
      <c r="AQ493" s="4">
        <f t="shared" si="421"/>
        <v/>
      </c>
      <c r="AR493" s="4">
        <f t="shared" si="418"/>
      </c>
      <c r="AS493" s="4">
        <f t="shared" si="419"/>
      </c>
      <c r="AT493" s="4">
        <f t="shared" si="426"/>
      </c>
    </row>
    <row r="494" spans="1:46" x14ac:dyDescent="0.3">
      <c r="A494" s="5">
        <f t="shared" si="399"/>
      </c>
      <c r="B494" s="4">
        <f t="shared" si="408"/>
      </c>
      <c r="C494" s="119"/>
      <c r="D494" s="119"/>
      <c r="E494" s="105"/>
      <c r="F494" s="173"/>
      <c r="G494" s="173"/>
      <c r="H494" s="173"/>
      <c r="I494" s="105"/>
      <c r="J494" s="105"/>
      <c r="K494" s="105"/>
      <c r="L494" s="105"/>
      <c r="M494" s="4">
        <f t="shared" si="409"/>
      </c>
      <c r="N494" s="59"/>
      <c r="O494" s="164"/>
      <c r="P494" s="59">
        <f t="shared" si="427"/>
      </c>
      <c r="Q494" s="165"/>
      <c r="R494" s="59"/>
      <c r="S494" s="164"/>
      <c r="T494" s="5">
        <f t="shared" si="410"/>
      </c>
      <c r="U494" s="4">
        <f t="shared" si="400"/>
      </c>
      <c r="V494" s="4">
        <f t="shared" si="401"/>
      </c>
      <c r="W494" s="4">
        <f t="shared" si="402"/>
      </c>
      <c r="X494" s="4">
        <f t="shared" si="403"/>
      </c>
      <c r="Y494" s="4" cm="1">
        <f t="array" ref="Y494">_xlfn.IFS(H494=1,2,H494=3,1)</f>
      </c>
      <c r="Z494" s="4">
        <f t="shared" si="404"/>
      </c>
      <c r="AA494" s="4">
        <f t="shared" si="411"/>
      </c>
      <c r="AB494" s="4">
        <f t="shared" si="405"/>
      </c>
      <c r="AC494" s="4">
        <f t="shared" si="412"/>
      </c>
      <c r="AD494" s="4">
        <f t="shared" si="406"/>
      </c>
      <c r="AE494" s="4">
        <f t="shared" si="422"/>
      </c>
      <c r="AF494" s="4">
        <f t="shared" si="423"/>
      </c>
      <c r="AG494" s="4">
        <f t="shared" si="424"/>
        <v/>
      </c>
      <c r="AH494" s="4">
        <f t="shared" si="413"/>
      </c>
      <c r="AI494" s="4">
        <f t="shared" si="425"/>
      </c>
      <c r="AJ494" s="4">
        <f t="shared" si="414"/>
      </c>
      <c r="AK494" s="4">
        <f t="shared" si="407"/>
      </c>
      <c r="AL494" s="4">
        <f t="shared" si="415"/>
      </c>
      <c r="AM494" s="4">
        <f t="shared" si="416"/>
      </c>
      <c r="AN494" s="4"/>
      <c r="AO494" s="4">
        <f t="shared" si="420"/>
      </c>
      <c r="AP494" s="4">
        <f t="shared" si="417"/>
      </c>
      <c r="AQ494" s="4">
        <f t="shared" si="421"/>
        <v/>
      </c>
      <c r="AR494" s="4">
        <f t="shared" si="418"/>
      </c>
      <c r="AS494" s="4">
        <f t="shared" si="419"/>
      </c>
      <c r="AT494" s="4">
        <f t="shared" si="426"/>
      </c>
    </row>
    <row r="495" spans="1:46" ht="15" thickBot="1" x14ac:dyDescent="0.35">
      <c r="A495" s="5">
        <f t="shared" si="399"/>
      </c>
      <c r="B495" s="4">
        <f t="shared" si="408"/>
      </c>
      <c r="C495" s="175"/>
      <c r="D495" s="175"/>
      <c r="E495" s="176"/>
      <c r="F495" s="178"/>
      <c r="G495" s="178"/>
      <c r="H495" s="178"/>
      <c r="I495" s="176"/>
      <c r="J495" s="176"/>
      <c r="K495" s="176"/>
      <c r="L495" s="176"/>
      <c r="M495" s="44">
        <f t="shared" si="409"/>
      </c>
      <c r="N495" s="64"/>
      <c r="O495" s="166"/>
      <c r="P495" s="59">
        <f t="shared" si="427"/>
      </c>
      <c r="Q495" s="170"/>
      <c r="R495" s="64"/>
      <c r="S495" s="166"/>
      <c r="T495" s="5">
        <f t="shared" si="410"/>
      </c>
      <c r="U495" s="4">
        <f t="shared" si="400"/>
      </c>
      <c r="V495" s="4">
        <f t="shared" si="401"/>
      </c>
      <c r="W495" s="4">
        <f t="shared" si="402"/>
      </c>
      <c r="X495" s="4">
        <f t="shared" si="403"/>
      </c>
      <c r="Y495" s="4" cm="1">
        <f t="array" ref="Y495">_xlfn.IFS(H495=1,2,H495=3,1)</f>
      </c>
      <c r="Z495" s="4">
        <f t="shared" si="404"/>
      </c>
      <c r="AA495" s="4">
        <f t="shared" si="411"/>
      </c>
      <c r="AB495" s="4">
        <f t="shared" si="405"/>
      </c>
      <c r="AC495" s="4">
        <f t="shared" si="412"/>
      </c>
      <c r="AD495" s="4">
        <f t="shared" si="406"/>
      </c>
      <c r="AE495" s="4">
        <f t="shared" si="422"/>
      </c>
      <c r="AF495" s="4">
        <f t="shared" si="423"/>
      </c>
      <c r="AG495" s="4">
        <f t="shared" si="424"/>
        <v/>
      </c>
      <c r="AH495" s="4">
        <f t="shared" si="413"/>
      </c>
      <c r="AI495" s="4">
        <f t="shared" si="425"/>
      </c>
      <c r="AJ495" s="4">
        <f t="shared" si="414"/>
      </c>
      <c r="AK495" s="4">
        <f t="shared" si="407"/>
      </c>
      <c r="AL495" s="4">
        <f t="shared" si="415"/>
      </c>
      <c r="AM495" s="4">
        <f t="shared" si="416"/>
      </c>
      <c r="AN495" s="4"/>
      <c r="AO495" s="4">
        <f t="shared" si="420"/>
      </c>
      <c r="AP495" s="4">
        <f t="shared" si="417"/>
      </c>
      <c r="AQ495" s="4">
        <f t="shared" si="421"/>
        <v/>
      </c>
      <c r="AR495" s="4">
        <f t="shared" si="418"/>
      </c>
      <c r="AS495" s="4">
        <f t="shared" si="419"/>
      </c>
      <c r="AT495" s="4">
        <f t="shared" si="426"/>
      </c>
    </row>
    <row r="496" spans="1:46" x14ac:dyDescent="0.3">
      <c r="A496" s="5">
        <f t="shared" si="399"/>
      </c>
      <c r="B496" s="4">
        <f t="shared" si="408"/>
      </c>
      <c r="C496" s="177"/>
      <c r="D496" s="177"/>
      <c r="E496" s="179"/>
      <c r="F496" s="182"/>
      <c r="G496" s="182"/>
      <c r="H496" s="182"/>
      <c r="I496" s="179"/>
      <c r="J496" s="179"/>
      <c r="K496" s="179"/>
      <c r="L496" s="179"/>
      <c r="M496" s="38">
        <f t="shared" si="409"/>
      </c>
      <c r="N496" s="65"/>
      <c r="O496" s="168"/>
      <c r="P496" s="59">
        <f t="shared" si="427"/>
      </c>
      <c r="Q496" s="118"/>
      <c r="R496" s="65"/>
      <c r="S496" s="168"/>
      <c r="T496" s="5">
        <f t="shared" si="410"/>
      </c>
      <c r="U496" s="4">
        <f t="shared" si="400"/>
      </c>
      <c r="V496" s="4">
        <f t="shared" si="401"/>
      </c>
      <c r="W496" s="4">
        <f t="shared" si="402"/>
      </c>
      <c r="X496" s="4">
        <f t="shared" si="403"/>
      </c>
      <c r="Y496" s="4" cm="1">
        <f t="array" ref="Y496">_xlfn.IFS(H496=1,2,H496=3,1)</f>
      </c>
      <c r="Z496" s="4">
        <f t="shared" si="404"/>
      </c>
      <c r="AA496" s="4">
        <f t="shared" si="411"/>
      </c>
      <c r="AB496" s="4">
        <f t="shared" si="405"/>
      </c>
      <c r="AC496" s="4">
        <f t="shared" si="412"/>
      </c>
      <c r="AD496" s="4">
        <f t="shared" si="406"/>
      </c>
      <c r="AE496" s="4">
        <f t="shared" si="422"/>
      </c>
      <c r="AF496" s="4">
        <f t="shared" si="423"/>
      </c>
      <c r="AG496" s="4">
        <f t="shared" si="424"/>
        <v/>
      </c>
      <c r="AH496" s="4">
        <f t="shared" si="413"/>
      </c>
      <c r="AI496" s="4">
        <f t="shared" si="425"/>
      </c>
      <c r="AJ496" s="4">
        <f t="shared" si="414"/>
      </c>
      <c r="AK496" s="4">
        <f t="shared" si="407"/>
      </c>
      <c r="AL496" s="4">
        <f t="shared" si="415"/>
      </c>
      <c r="AM496" s="4">
        <f t="shared" si="416"/>
      </c>
      <c r="AN496" s="4"/>
      <c r="AO496" s="4">
        <f t="shared" si="420"/>
      </c>
      <c r="AP496" s="4">
        <f t="shared" si="417"/>
      </c>
      <c r="AQ496" s="4">
        <f t="shared" si="421"/>
        <v/>
      </c>
      <c r="AR496" s="4">
        <f t="shared" si="418"/>
      </c>
      <c r="AS496" s="4">
        <f t="shared" si="419"/>
      </c>
      <c r="AT496" s="4">
        <f t="shared" si="426"/>
      </c>
    </row>
    <row r="497" spans="1:46" x14ac:dyDescent="0.3">
      <c r="A497" s="5">
        <f t="shared" si="399"/>
      </c>
      <c r="B497" s="4">
        <f t="shared" si="408"/>
      </c>
      <c r="C497" s="119"/>
      <c r="D497" s="119"/>
      <c r="E497" s="105"/>
      <c r="F497" s="173"/>
      <c r="G497" s="173"/>
      <c r="H497" s="173"/>
      <c r="I497" s="105"/>
      <c r="J497" s="105"/>
      <c r="K497" s="105"/>
      <c r="L497" s="105"/>
      <c r="M497" s="4">
        <f t="shared" si="409"/>
      </c>
      <c r="N497" s="59"/>
      <c r="O497" s="164"/>
      <c r="P497" s="59">
        <f t="shared" si="427"/>
      </c>
      <c r="Q497" s="165"/>
      <c r="R497" s="59"/>
      <c r="S497" s="164"/>
      <c r="T497" s="5">
        <f t="shared" si="410"/>
      </c>
      <c r="U497" s="4">
        <f t="shared" si="400"/>
      </c>
      <c r="V497" s="4">
        <f t="shared" si="401"/>
      </c>
      <c r="W497" s="4">
        <f t="shared" si="402"/>
      </c>
      <c r="X497" s="4">
        <f t="shared" si="403"/>
      </c>
      <c r="Y497" s="4" cm="1">
        <f t="array" ref="Y497">_xlfn.IFS(H497=1,2,H497=3,1)</f>
      </c>
      <c r="Z497" s="4">
        <f t="shared" si="404"/>
      </c>
      <c r="AA497" s="4">
        <f t="shared" si="411"/>
      </c>
      <c r="AB497" s="4">
        <f t="shared" si="405"/>
      </c>
      <c r="AC497" s="4">
        <f t="shared" si="412"/>
      </c>
      <c r="AD497" s="4">
        <f t="shared" si="406"/>
      </c>
      <c r="AE497" s="4">
        <f t="shared" si="422"/>
      </c>
      <c r="AF497" s="4">
        <f t="shared" si="423"/>
      </c>
      <c r="AG497" s="4">
        <f t="shared" si="424"/>
        <v/>
      </c>
      <c r="AH497" s="4">
        <f t="shared" si="413"/>
      </c>
      <c r="AI497" s="4">
        <f t="shared" si="425"/>
      </c>
      <c r="AJ497" s="4">
        <f t="shared" si="414"/>
      </c>
      <c r="AK497" s="4">
        <f t="shared" si="407"/>
      </c>
      <c r="AL497" s="4">
        <f t="shared" si="415"/>
      </c>
      <c r="AM497" s="4">
        <f t="shared" si="416"/>
      </c>
      <c r="AN497" s="4"/>
      <c r="AO497" s="4">
        <f t="shared" si="420"/>
      </c>
      <c r="AP497" s="4">
        <f t="shared" si="417"/>
      </c>
      <c r="AQ497" s="4">
        <f t="shared" si="421"/>
        <v/>
      </c>
      <c r="AR497" s="4">
        <f t="shared" si="418"/>
      </c>
      <c r="AS497" s="4">
        <f t="shared" si="419"/>
      </c>
      <c r="AT497" s="4">
        <f t="shared" si="426"/>
      </c>
    </row>
    <row r="498" spans="1:46" x14ac:dyDescent="0.3">
      <c r="A498" s="5">
        <f t="shared" si="399"/>
      </c>
      <c r="B498" s="4">
        <f t="shared" si="408"/>
      </c>
      <c r="C498" s="119"/>
      <c r="D498" s="119"/>
      <c r="E498" s="105"/>
      <c r="F498" s="173"/>
      <c r="G498" s="173"/>
      <c r="H498" s="173"/>
      <c r="I498" s="105"/>
      <c r="J498" s="105"/>
      <c r="K498" s="105"/>
      <c r="L498" s="105"/>
      <c r="M498" s="4">
        <f t="shared" si="409"/>
      </c>
      <c r="N498" s="59"/>
      <c r="O498" s="164"/>
      <c r="P498" s="59">
        <f t="shared" si="427"/>
      </c>
      <c r="Q498" s="165"/>
      <c r="R498" s="59"/>
      <c r="S498" s="164"/>
      <c r="T498" s="5">
        <f t="shared" si="410"/>
      </c>
      <c r="U498" s="4">
        <f t="shared" si="400"/>
      </c>
      <c r="V498" s="4">
        <f t="shared" si="401"/>
      </c>
      <c r="W498" s="4">
        <f t="shared" si="402"/>
      </c>
      <c r="X498" s="4">
        <f t="shared" si="403"/>
      </c>
      <c r="Y498" s="4" cm="1">
        <f t="array" ref="Y498">_xlfn.IFS(H498=1,2,H498=3,1)</f>
      </c>
      <c r="Z498" s="4">
        <f t="shared" si="404"/>
      </c>
      <c r="AA498" s="4">
        <f t="shared" si="411"/>
      </c>
      <c r="AB498" s="4">
        <f t="shared" si="405"/>
      </c>
      <c r="AC498" s="4">
        <f t="shared" si="412"/>
      </c>
      <c r="AD498" s="4">
        <f t="shared" si="406"/>
      </c>
      <c r="AE498" s="4">
        <f t="shared" si="422"/>
      </c>
      <c r="AF498" s="4">
        <f t="shared" si="423"/>
      </c>
      <c r="AG498" s="4">
        <f t="shared" si="424"/>
        <v/>
      </c>
      <c r="AH498" s="4">
        <f t="shared" si="413"/>
      </c>
      <c r="AI498" s="4">
        <f t="shared" si="425"/>
      </c>
      <c r="AJ498" s="4">
        <f t="shared" si="414"/>
      </c>
      <c r="AK498" s="4">
        <f t="shared" si="407"/>
      </c>
      <c r="AL498" s="4">
        <f t="shared" si="415"/>
      </c>
      <c r="AM498" s="4">
        <f t="shared" si="416"/>
      </c>
      <c r="AN498" s="4"/>
      <c r="AO498" s="4">
        <f t="shared" si="420"/>
      </c>
      <c r="AP498" s="4">
        <f t="shared" si="417"/>
      </c>
      <c r="AQ498" s="4">
        <f t="shared" si="421"/>
        <v/>
      </c>
      <c r="AR498" s="4">
        <f t="shared" si="418"/>
      </c>
      <c r="AS498" s="4">
        <f t="shared" si="419"/>
      </c>
      <c r="AT498" s="4">
        <f t="shared" si="426"/>
      </c>
    </row>
    <row r="499" spans="1:46" x14ac:dyDescent="0.3">
      <c r="A499" s="5">
        <f t="shared" si="399"/>
      </c>
      <c r="B499" s="4">
        <f t="shared" si="408"/>
      </c>
      <c r="C499" s="119"/>
      <c r="D499" s="119"/>
      <c r="E499" s="105"/>
      <c r="F499" s="173"/>
      <c r="G499" s="173"/>
      <c r="H499" s="173"/>
      <c r="I499" s="105"/>
      <c r="J499" s="105"/>
      <c r="K499" s="105"/>
      <c r="L499" s="105"/>
      <c r="M499" s="4">
        <f t="shared" si="409"/>
      </c>
      <c r="N499" s="59"/>
      <c r="O499" s="164"/>
      <c r="P499" s="59">
        <f t="shared" si="427"/>
      </c>
      <c r="Q499" s="165"/>
      <c r="R499" s="59"/>
      <c r="S499" s="164"/>
      <c r="T499" s="5">
        <f t="shared" si="410"/>
      </c>
      <c r="U499" s="4">
        <f t="shared" si="400"/>
      </c>
      <c r="V499" s="4">
        <f t="shared" si="401"/>
      </c>
      <c r="W499" s="4">
        <f t="shared" si="402"/>
      </c>
      <c r="X499" s="4">
        <f t="shared" si="403"/>
      </c>
      <c r="Y499" s="4" cm="1">
        <f t="array" ref="Y499">_xlfn.IFS(H499=1,2,H499=3,1)</f>
      </c>
      <c r="Z499" s="4">
        <f t="shared" si="404"/>
      </c>
      <c r="AA499" s="4">
        <f t="shared" si="411"/>
      </c>
      <c r="AB499" s="4">
        <f t="shared" si="405"/>
      </c>
      <c r="AC499" s="4">
        <f t="shared" si="412"/>
      </c>
      <c r="AD499" s="4">
        <f t="shared" si="406"/>
      </c>
      <c r="AE499" s="4">
        <f t="shared" si="422"/>
      </c>
      <c r="AF499" s="4">
        <f t="shared" si="423"/>
      </c>
      <c r="AG499" s="4">
        <f t="shared" si="424"/>
        <v/>
      </c>
      <c r="AH499" s="4">
        <f t="shared" si="413"/>
      </c>
      <c r="AI499" s="4">
        <f t="shared" si="425"/>
      </c>
      <c r="AJ499" s="4">
        <f t="shared" si="414"/>
      </c>
      <c r="AK499" s="4">
        <f t="shared" si="407"/>
      </c>
      <c r="AL499" s="4">
        <f t="shared" si="415"/>
      </c>
      <c r="AM499" s="4">
        <f t="shared" si="416"/>
      </c>
      <c r="AN499" s="4"/>
      <c r="AO499" s="4">
        <f t="shared" si="420"/>
      </c>
      <c r="AP499" s="4">
        <f t="shared" si="417"/>
      </c>
      <c r="AQ499" s="4">
        <f t="shared" si="421"/>
        <v/>
      </c>
      <c r="AR499" s="4">
        <f t="shared" si="418"/>
      </c>
      <c r="AS499" s="4">
        <f t="shared" si="419"/>
      </c>
      <c r="AT499" s="4">
        <f t="shared" si="426"/>
      </c>
    </row>
    <row r="500" spans="1:46" x14ac:dyDescent="0.3">
      <c r="A500" s="5">
        <f t="shared" si="399"/>
      </c>
      <c r="B500" s="4">
        <f t="shared" si="408"/>
      </c>
      <c r="C500" s="119"/>
      <c r="D500" s="119"/>
      <c r="E500" s="105"/>
      <c r="F500" s="173"/>
      <c r="G500" s="173"/>
      <c r="H500" s="173"/>
      <c r="I500" s="105"/>
      <c r="J500" s="105"/>
      <c r="K500" s="105"/>
      <c r="L500" s="105"/>
      <c r="M500" s="4">
        <f t="shared" si="409"/>
      </c>
      <c r="N500" s="59"/>
      <c r="O500" s="164"/>
      <c r="P500" s="59">
        <f t="shared" si="427"/>
      </c>
      <c r="Q500" s="165"/>
      <c r="R500" s="59"/>
      <c r="S500" s="164"/>
      <c r="T500" s="5">
        <f t="shared" si="410"/>
      </c>
      <c r="U500" s="4">
        <f t="shared" si="400"/>
      </c>
      <c r="V500" s="4">
        <f t="shared" si="401"/>
      </c>
      <c r="W500" s="4">
        <f t="shared" si="402"/>
      </c>
      <c r="X500" s="4">
        <f t="shared" si="403"/>
      </c>
      <c r="Y500" s="4" cm="1">
        <f t="array" ref="Y500">_xlfn.IFS(H500=1,2,H500=3,1)</f>
      </c>
      <c r="Z500" s="4">
        <f t="shared" si="404"/>
      </c>
      <c r="AA500" s="4">
        <f t="shared" si="411"/>
      </c>
      <c r="AB500" s="4">
        <f t="shared" si="405"/>
      </c>
      <c r="AC500" s="4">
        <f t="shared" si="412"/>
      </c>
      <c r="AD500" s="4">
        <f t="shared" si="406"/>
      </c>
      <c r="AE500" s="4">
        <f t="shared" si="422"/>
      </c>
      <c r="AF500" s="4">
        <f t="shared" si="423"/>
      </c>
      <c r="AG500" s="4">
        <f t="shared" si="424"/>
        <v/>
      </c>
      <c r="AH500" s="4">
        <f t="shared" si="413"/>
      </c>
      <c r="AI500" s="4">
        <f t="shared" si="425"/>
      </c>
      <c r="AJ500" s="4">
        <f t="shared" si="414"/>
      </c>
      <c r="AK500" s="4">
        <f t="shared" si="407"/>
      </c>
      <c r="AL500" s="4">
        <f t="shared" si="415"/>
      </c>
      <c r="AM500" s="4">
        <f t="shared" si="416"/>
      </c>
      <c r="AN500" s="4"/>
      <c r="AO500" s="4">
        <f t="shared" si="420"/>
      </c>
      <c r="AP500" s="4">
        <f t="shared" si="417"/>
      </c>
      <c r="AQ500" s="4">
        <f t="shared" si="421"/>
        <v/>
      </c>
      <c r="AR500" s="4">
        <f t="shared" si="418"/>
      </c>
      <c r="AS500" s="4">
        <f t="shared" si="419"/>
      </c>
      <c r="AT500" s="4">
        <f t="shared" si="426"/>
      </c>
    </row>
    <row r="501" spans="1:46" x14ac:dyDescent="0.3">
      <c r="A501" s="5">
        <f t="shared" si="399"/>
      </c>
      <c r="B501" s="4">
        <f t="shared" si="408"/>
      </c>
      <c r="C501" s="119"/>
      <c r="D501" s="119"/>
      <c r="E501" s="105"/>
      <c r="F501" s="173"/>
      <c r="G501" s="173"/>
      <c r="H501" s="173"/>
      <c r="I501" s="105"/>
      <c r="J501" s="105"/>
      <c r="K501" s="105"/>
      <c r="L501" s="105"/>
      <c r="M501" s="4">
        <f t="shared" si="409"/>
      </c>
      <c r="N501" s="59"/>
      <c r="O501" s="164"/>
      <c r="P501" s="59">
        <f t="shared" si="427"/>
      </c>
      <c r="Q501" s="165"/>
      <c r="R501" s="59"/>
      <c r="S501" s="164"/>
      <c r="T501" s="5">
        <f t="shared" si="410"/>
      </c>
      <c r="U501" s="4">
        <f t="shared" si="400"/>
      </c>
      <c r="V501" s="4">
        <f t="shared" si="401"/>
      </c>
      <c r="W501" s="4">
        <f t="shared" si="402"/>
      </c>
      <c r="X501" s="4">
        <f t="shared" si="403"/>
      </c>
      <c r="Y501" s="4" cm="1">
        <f t="array" ref="Y501">_xlfn.IFS(H501=1,2,H501=3,1)</f>
      </c>
      <c r="Z501" s="4">
        <f t="shared" si="404"/>
      </c>
      <c r="AA501" s="4">
        <f t="shared" si="411"/>
      </c>
      <c r="AB501" s="4">
        <f t="shared" si="405"/>
      </c>
      <c r="AC501" s="4">
        <f t="shared" si="412"/>
      </c>
      <c r="AD501" s="4">
        <f t="shared" si="406"/>
      </c>
      <c r="AE501" s="4">
        <f t="shared" si="422"/>
      </c>
      <c r="AF501" s="4">
        <f t="shared" si="423"/>
      </c>
      <c r="AG501" s="4">
        <f t="shared" si="424"/>
        <v/>
      </c>
      <c r="AH501" s="4">
        <f t="shared" si="413"/>
      </c>
      <c r="AI501" s="4">
        <f t="shared" si="425"/>
      </c>
      <c r="AJ501" s="4">
        <f t="shared" si="414"/>
      </c>
      <c r="AK501" s="4">
        <f t="shared" si="407"/>
      </c>
      <c r="AL501" s="4">
        <f t="shared" si="415"/>
      </c>
      <c r="AM501" s="4">
        <f t="shared" si="416"/>
      </c>
      <c r="AN501" s="4"/>
      <c r="AO501" s="4">
        <f t="shared" si="420"/>
      </c>
      <c r="AP501" s="4">
        <f t="shared" si="417"/>
      </c>
      <c r="AQ501" s="4">
        <f t="shared" si="421"/>
        <v/>
      </c>
      <c r="AR501" s="4">
        <f t="shared" si="418"/>
      </c>
      <c r="AS501" s="4">
        <f t="shared" si="419"/>
      </c>
      <c r="AT501" s="4">
        <f t="shared" si="426"/>
      </c>
    </row>
    <row r="502" spans="1:46" x14ac:dyDescent="0.3">
      <c r="A502" s="5">
        <f t="shared" si="399"/>
      </c>
      <c r="B502" s="4">
        <f t="shared" si="408"/>
      </c>
      <c r="C502" s="119"/>
      <c r="D502" s="119"/>
      <c r="E502" s="105"/>
      <c r="F502" s="173"/>
      <c r="G502" s="173"/>
      <c r="H502" s="173"/>
      <c r="I502" s="105"/>
      <c r="J502" s="105"/>
      <c r="K502" s="105"/>
      <c r="L502" s="105"/>
      <c r="M502" s="4">
        <f t="shared" si="409"/>
      </c>
      <c r="N502" s="59"/>
      <c r="O502" s="164"/>
      <c r="P502" s="59">
        <f t="shared" si="427"/>
      </c>
      <c r="Q502" s="165"/>
      <c r="R502" s="59"/>
      <c r="S502" s="164"/>
      <c r="T502" s="5">
        <f t="shared" si="410"/>
      </c>
      <c r="U502" s="4">
        <f t="shared" si="400"/>
      </c>
      <c r="V502" s="4">
        <f t="shared" si="401"/>
      </c>
      <c r="W502" s="4">
        <f t="shared" si="402"/>
      </c>
      <c r="X502" s="4">
        <f t="shared" si="403"/>
      </c>
      <c r="Y502" s="4" cm="1">
        <f t="array" ref="Y502">_xlfn.IFS(H502=1,2,H502=3,1)</f>
      </c>
      <c r="Z502" s="4">
        <f t="shared" si="404"/>
      </c>
      <c r="AA502" s="4">
        <f t="shared" si="411"/>
      </c>
      <c r="AB502" s="4">
        <f t="shared" si="405"/>
      </c>
      <c r="AC502" s="4">
        <f t="shared" si="412"/>
      </c>
      <c r="AD502" s="4">
        <f t="shared" si="406"/>
      </c>
      <c r="AE502" s="4">
        <f t="shared" si="422"/>
      </c>
      <c r="AF502" s="4">
        <f t="shared" si="423"/>
      </c>
      <c r="AG502" s="4">
        <f t="shared" si="424"/>
        <v/>
      </c>
      <c r="AH502" s="4">
        <f t="shared" si="413"/>
      </c>
      <c r="AI502" s="4">
        <f t="shared" si="425"/>
      </c>
      <c r="AJ502" s="4">
        <f t="shared" si="414"/>
      </c>
      <c r="AK502" s="4">
        <f t="shared" si="407"/>
      </c>
      <c r="AL502" s="4">
        <f t="shared" si="415"/>
      </c>
      <c r="AM502" s="4">
        <f t="shared" si="416"/>
      </c>
      <c r="AN502" s="4"/>
      <c r="AO502" s="4">
        <f t="shared" si="420"/>
      </c>
      <c r="AP502" s="4">
        <f t="shared" si="417"/>
      </c>
      <c r="AQ502" s="4">
        <f t="shared" si="421"/>
        <v/>
      </c>
      <c r="AR502" s="4">
        <f t="shared" si="418"/>
      </c>
      <c r="AS502" s="4">
        <f t="shared" si="419"/>
      </c>
      <c r="AT502" s="4">
        <f t="shared" si="426"/>
      </c>
    </row>
    <row r="503" spans="1:46" x14ac:dyDescent="0.3">
      <c r="A503" s="5">
        <f t="shared" si="399"/>
      </c>
      <c r="B503" s="4">
        <f t="shared" si="408"/>
      </c>
      <c r="C503" s="119"/>
      <c r="D503" s="119"/>
      <c r="E503" s="105"/>
      <c r="F503" s="173"/>
      <c r="G503" s="173"/>
      <c r="H503" s="173"/>
      <c r="I503" s="105"/>
      <c r="J503" s="105"/>
      <c r="K503" s="105"/>
      <c r="L503" s="105"/>
      <c r="M503" s="4">
        <f t="shared" si="409"/>
      </c>
      <c r="N503" s="59"/>
      <c r="O503" s="164"/>
      <c r="P503" s="59">
        <f t="shared" si="427"/>
      </c>
      <c r="Q503" s="165"/>
      <c r="R503" s="59"/>
      <c r="S503" s="164"/>
      <c r="T503" s="5">
        <f t="shared" si="410"/>
      </c>
      <c r="U503" s="4">
        <f t="shared" si="400"/>
      </c>
      <c r="V503" s="4">
        <f t="shared" si="401"/>
      </c>
      <c r="W503" s="4">
        <f t="shared" si="402"/>
      </c>
      <c r="X503" s="4">
        <f t="shared" si="403"/>
      </c>
      <c r="Y503" s="4" cm="1">
        <f t="array" ref="Y503">_xlfn.IFS(H503=1,2,H503=3,1)</f>
      </c>
      <c r="Z503" s="4">
        <f t="shared" si="404"/>
      </c>
      <c r="AA503" s="4">
        <f t="shared" si="411"/>
      </c>
      <c r="AB503" s="4">
        <f t="shared" si="405"/>
      </c>
      <c r="AC503" s="4">
        <f t="shared" si="412"/>
      </c>
      <c r="AD503" s="4">
        <f t="shared" si="406"/>
      </c>
      <c r="AE503" s="4">
        <f t="shared" si="422"/>
      </c>
      <c r="AF503" s="4">
        <f t="shared" si="423"/>
      </c>
      <c r="AG503" s="4">
        <f t="shared" si="424"/>
        <v/>
      </c>
      <c r="AH503" s="4">
        <f t="shared" si="413"/>
      </c>
      <c r="AI503" s="4">
        <f t="shared" si="425"/>
      </c>
      <c r="AJ503" s="4">
        <f t="shared" si="414"/>
      </c>
      <c r="AK503" s="4">
        <f t="shared" si="407"/>
      </c>
      <c r="AL503" s="4">
        <f t="shared" si="415"/>
      </c>
      <c r="AM503" s="4">
        <f t="shared" si="416"/>
      </c>
      <c r="AN503" s="4"/>
      <c r="AO503" s="4">
        <f t="shared" si="420"/>
      </c>
      <c r="AP503" s="4">
        <f t="shared" si="417"/>
      </c>
      <c r="AQ503" s="4">
        <f t="shared" si="421"/>
        <v/>
      </c>
      <c r="AR503" s="4">
        <f t="shared" si="418"/>
      </c>
      <c r="AS503" s="4">
        <f t="shared" si="419"/>
      </c>
      <c r="AT503" s="4">
        <f t="shared" si="426"/>
      </c>
    </row>
    <row r="504" spans="1:46" x14ac:dyDescent="0.3">
      <c r="A504" s="5">
        <f t="shared" ref="A504:A567" si="428">D504</f>
      </c>
      <c r="B504" s="4">
        <f t="shared" ref="B504:B567" si="429">IFERROR(IF(VLOOKUP(AH504,Потребители_обозначение,4,FALSE)=1,VLOOKUP(AH504,Потребители_обозначение,2,FALSE)&amp;" "&amp;VLOOKUP(AI504,Этаж_обозначение,2,FALSE)&amp;" Пом. №"&amp;AG504,VLOOKUP(AH504,Потребители_обозначение,2,FALSE)&amp;" Шлейф №"&amp;AI504),VLOOKUP(D504,Потребители_обозначение,2,FALSE))</f>
      </c>
      <c r="C504" s="119"/>
      <c r="D504" s="119"/>
      <c r="E504" s="105"/>
      <c r="F504" s="173"/>
      <c r="G504" s="173"/>
      <c r="H504" s="173"/>
      <c r="I504" s="105"/>
      <c r="J504" s="105"/>
      <c r="K504" s="105"/>
      <c r="L504" s="105"/>
      <c r="M504" s="4">
        <f t="shared" ref="M504:M567" si="430">IFERROR(IF(VLOOKUP(AH504,Потребители_обозначение,4,FALSE)=1,VLOOKUP(AH504,Потребители_обозначение,3,FALSE)*(G504*2-1)+I504+VLOOKUP(AI504,Этаж_обозначение,3,FALSE)+VLOOKUP(AI504,Этаж_обозначение,4,FALSE),VLOOKUP(AH504,Потребители_обозначение,3,FALSE)*(G504*2-1)+I504),I504)</f>
      </c>
      <c r="N504" s="59"/>
      <c r="O504" s="164"/>
      <c r="P504" s="59">
        <f t="shared" ref="P504:P567" si="431">IF(VLOOKUP(AH504,Потребители_обозначение,5,FALSE)=2,_xlfn.IFS(H504=3,VLOOKUP(E504,Справочная_двигатели,8,FALSE),H504=1,VLOOKUP(E504,Справочная_двигатели,10,TRUE)),0.95)</f>
      </c>
      <c r="Q504" s="165"/>
      <c r="R504" s="59"/>
      <c r="S504" s="164"/>
      <c r="T504" s="5">
        <f t="shared" ref="T504:T567" si="432">_xlfn.IFS(H504=1,E504*1000/220,H504=3,E504/0.38/1.732)</f>
      </c>
      <c r="U504" s="4">
        <f t="shared" ref="U504:U567" si="433">IF(R504=0,VLOOKUP(T504,Автомат_номиналы,2,TRUE),R504)</f>
      </c>
      <c r="V504" s="4">
        <f t="shared" ref="V504:V567" si="434">IF(Q504=0,VLOOKUP(U504,Кабель_номиналы,2,TRUE),Q504)</f>
      </c>
      <c r="W504" s="4">
        <f t="shared" ref="W504:W567" si="435">VLOOKUP(V504,Кабель_сопротивление,3,FALSE)</f>
      </c>
      <c r="X504" s="4">
        <f t="shared" ref="X504:X567" si="436">VLOOKUP(V504,Кабель_сопротивление,2,FALSE)</f>
      </c>
      <c r="Y504" s="4" cm="1">
        <f t="array" ref="Y504">_xlfn.IFS(H504=1,2,H504=3,1)</f>
      </c>
      <c r="Z504" s="4">
        <f t="shared" ref="Z504:Z567" si="437">ROUND(SIN(ACOS(P504)),2)</f>
      </c>
      <c r="AA504" s="4">
        <f t="shared" ref="AA504:AA567" si="438">Y504*(W504*I504/V504+X504*I504*Z504/1000)*T504</f>
      </c>
      <c r="AB504" s="4">
        <f t="shared" ref="AB504:AB567" si="439">ROUNDUP(AA504/220*100,2)</f>
      </c>
      <c r="AC504" s="4">
        <f t="shared" ref="AC504:AC567" si="440">_xlfn.IFS(H504=3,380,H504=1,220)</f>
      </c>
      <c r="AD504" s="4">
        <f t="shared" ref="AD504:AD567" si="441">VLOOKUP(N504,Кабель_обозначение,2,FALSE)</f>
      </c>
      <c r="AE504" s="4">
        <f t="shared" ref="AE504:AE567" si="442">IF(VLOOKUP(N504,Кабель_обозначение,3,FALSE)=1,AD504&amp;" ("&amp;O504&amp;"х"&amp;V504&amp;")",AD504)</f>
      </c>
      <c r="AF504" s="4">
        <f t="shared" ref="AF504:AF567" si="443">IFERROR(IF(AB504&gt;4.5,1,2),0)</f>
      </c>
      <c r="AG504" s="4">
        <f t="shared" ref="AG504:AG567" si="444">IFERROR(LEFT(AQ504,SEARCH(".",AQ504)-1),AQ504)</f>
        <v/>
      </c>
      <c r="AH504" s="4">
        <f t="shared" ref="AH504:AH567" si="445">IFERROR(LEFT(A504,SEARCH(".",A504)-1),A504)</f>
      </c>
      <c r="AI504" s="4">
        <f t="shared" ref="AI504:AI567" si="446">IFERROR(LEFT(AP504,SEARCH(".",AP504)-1),AP504)</f>
      </c>
      <c r="AJ504" s="4">
        <f t="shared" ref="AJ504:AJ567" si="447">IF(C504=0,B504,C504)</f>
      </c>
      <c r="AK504" s="4">
        <f t="shared" ref="AK504:AK567" si="448">ROUNDUP(T504,2)</f>
      </c>
      <c r="AL504" s="4">
        <f t="shared" ref="AL504:AL567" si="449">E504</f>
      </c>
      <c r="AM504" s="4">
        <f t="shared" ref="AM504:AM567" si="450">D504</f>
      </c>
      <c r="AN504" s="4"/>
      <c r="AO504" s="4">
        <f t="shared" ref="AO504:AO567" si="451">IF(V504=0,AD504,AE504&amp;"
L="&amp;M504&amp;"-"&amp;AB504&amp;"%")</f>
      </c>
      <c r="AP504" s="4">
        <f t="shared" ref="AP504:AP567" si="452">RIGHT(A504,LEN(A504)-SEARCH(".",A504))</f>
      </c>
      <c r="AQ504" s="4">
        <f t="shared" ref="AQ504:AQ567" si="453">IFERROR(RIGHT(AP504,LEN(AP504)-SEARCH(".",AP504)),"")</f>
        <v/>
      </c>
      <c r="AR504" s="4">
        <f t="shared" ref="AR504:AR567" si="454">IFERROR(IF(VLOOKUP(AH504,Потребители_обозначение,5,FALSE)=2,_xlfn.IFS(H504=3,VLOOKUP(E504,Справочная_двигатели,3,FALSE),H504=1,VLOOKUP(E504,Справочная_двигатели,5,TRUE)),0),0)</f>
      </c>
      <c r="AS504" s="4">
        <f t="shared" ref="AS504:AS567" si="455">IFERROR(IF(VLOOKUP(AH504,Потребители_обозначение,5,FALSE)=3,VLOOKUP(E504,Справочная_ЛЭД,2,TRUE),0),0)</f>
      </c>
      <c r="AT504" s="4">
        <f t="shared" ref="AT504:AT567" si="456">IF(AR504=0,AS504,AR504)</f>
      </c>
    </row>
    <row r="505" spans="1:46" x14ac:dyDescent="0.3">
      <c r="A505" s="5">
        <f t="shared" si="428"/>
      </c>
      <c r="B505" s="4">
        <f t="shared" si="429"/>
      </c>
      <c r="C505" s="119"/>
      <c r="D505" s="119"/>
      <c r="E505" s="105"/>
      <c r="F505" s="173"/>
      <c r="G505" s="173"/>
      <c r="H505" s="173"/>
      <c r="I505" s="105"/>
      <c r="J505" s="105"/>
      <c r="K505" s="105"/>
      <c r="L505" s="105"/>
      <c r="M505" s="4">
        <f t="shared" si="430"/>
      </c>
      <c r="N505" s="59"/>
      <c r="O505" s="164"/>
      <c r="P505" s="59">
        <f t="shared" si="431"/>
      </c>
      <c r="Q505" s="165"/>
      <c r="R505" s="59"/>
      <c r="S505" s="164"/>
      <c r="T505" s="5">
        <f t="shared" si="432"/>
      </c>
      <c r="U505" s="4">
        <f t="shared" si="433"/>
      </c>
      <c r="V505" s="4">
        <f t="shared" si="434"/>
      </c>
      <c r="W505" s="4">
        <f t="shared" si="435"/>
      </c>
      <c r="X505" s="4">
        <f t="shared" si="436"/>
      </c>
      <c r="Y505" s="4" cm="1">
        <f t="array" ref="Y505">_xlfn.IFS(H505=1,2,H505=3,1)</f>
      </c>
      <c r="Z505" s="4">
        <f t="shared" si="437"/>
      </c>
      <c r="AA505" s="4">
        <f t="shared" si="438"/>
      </c>
      <c r="AB505" s="4">
        <f t="shared" si="439"/>
      </c>
      <c r="AC505" s="4">
        <f t="shared" si="440"/>
      </c>
      <c r="AD505" s="4">
        <f t="shared" si="441"/>
      </c>
      <c r="AE505" s="4">
        <f t="shared" si="442"/>
      </c>
      <c r="AF505" s="4">
        <f t="shared" si="443"/>
      </c>
      <c r="AG505" s="4">
        <f t="shared" si="444"/>
        <v/>
      </c>
      <c r="AH505" s="4">
        <f t="shared" si="445"/>
      </c>
      <c r="AI505" s="4">
        <f t="shared" si="446"/>
      </c>
      <c r="AJ505" s="4">
        <f t="shared" si="447"/>
      </c>
      <c r="AK505" s="4">
        <f t="shared" si="448"/>
      </c>
      <c r="AL505" s="4">
        <f t="shared" si="449"/>
      </c>
      <c r="AM505" s="4">
        <f t="shared" si="450"/>
      </c>
      <c r="AN505" s="4"/>
      <c r="AO505" s="4">
        <f t="shared" si="451"/>
      </c>
      <c r="AP505" s="4">
        <f t="shared" si="452"/>
      </c>
      <c r="AQ505" s="4">
        <f t="shared" si="453"/>
        <v/>
      </c>
      <c r="AR505" s="4">
        <f t="shared" si="454"/>
      </c>
      <c r="AS505" s="4">
        <f t="shared" si="455"/>
      </c>
      <c r="AT505" s="4">
        <f t="shared" si="456"/>
      </c>
    </row>
    <row r="506" spans="1:46" x14ac:dyDescent="0.3">
      <c r="A506" s="5">
        <f t="shared" si="428"/>
      </c>
      <c r="B506" s="4">
        <f t="shared" si="429"/>
      </c>
      <c r="C506" s="119"/>
      <c r="D506" s="119"/>
      <c r="E506" s="105"/>
      <c r="F506" s="173"/>
      <c r="G506" s="173"/>
      <c r="H506" s="173"/>
      <c r="I506" s="105"/>
      <c r="J506" s="105"/>
      <c r="K506" s="105"/>
      <c r="L506" s="105"/>
      <c r="M506" s="4">
        <f t="shared" si="430"/>
      </c>
      <c r="N506" s="59"/>
      <c r="O506" s="164"/>
      <c r="P506" s="59">
        <f t="shared" si="431"/>
      </c>
      <c r="Q506" s="165"/>
      <c r="R506" s="59"/>
      <c r="S506" s="164"/>
      <c r="T506" s="5">
        <f t="shared" si="432"/>
      </c>
      <c r="U506" s="4">
        <f t="shared" si="433"/>
      </c>
      <c r="V506" s="4">
        <f t="shared" si="434"/>
      </c>
      <c r="W506" s="4">
        <f t="shared" si="435"/>
      </c>
      <c r="X506" s="4">
        <f t="shared" si="436"/>
      </c>
      <c r="Y506" s="4" cm="1">
        <f t="array" ref="Y506">_xlfn.IFS(H506=1,2,H506=3,1)</f>
      </c>
      <c r="Z506" s="4">
        <f t="shared" si="437"/>
      </c>
      <c r="AA506" s="4">
        <f t="shared" si="438"/>
      </c>
      <c r="AB506" s="4">
        <f t="shared" si="439"/>
      </c>
      <c r="AC506" s="4">
        <f t="shared" si="440"/>
      </c>
      <c r="AD506" s="4">
        <f t="shared" si="441"/>
      </c>
      <c r="AE506" s="4">
        <f t="shared" si="442"/>
      </c>
      <c r="AF506" s="4">
        <f t="shared" si="443"/>
      </c>
      <c r="AG506" s="4">
        <f t="shared" si="444"/>
        <v/>
      </c>
      <c r="AH506" s="4">
        <f t="shared" si="445"/>
      </c>
      <c r="AI506" s="4">
        <f t="shared" si="446"/>
      </c>
      <c r="AJ506" s="4">
        <f t="shared" si="447"/>
      </c>
      <c r="AK506" s="4">
        <f t="shared" si="448"/>
      </c>
      <c r="AL506" s="4">
        <f t="shared" si="449"/>
      </c>
      <c r="AM506" s="4">
        <f t="shared" si="450"/>
      </c>
      <c r="AN506" s="4"/>
      <c r="AO506" s="4">
        <f t="shared" si="451"/>
      </c>
      <c r="AP506" s="4">
        <f t="shared" si="452"/>
      </c>
      <c r="AQ506" s="4">
        <f t="shared" si="453"/>
        <v/>
      </c>
      <c r="AR506" s="4">
        <f t="shared" si="454"/>
      </c>
      <c r="AS506" s="4">
        <f t="shared" si="455"/>
      </c>
      <c r="AT506" s="4">
        <f t="shared" si="456"/>
      </c>
    </row>
    <row r="507" spans="1:46" x14ac:dyDescent="0.3">
      <c r="A507" s="5">
        <f t="shared" si="428"/>
      </c>
      <c r="B507" s="4">
        <f t="shared" si="429"/>
      </c>
      <c r="C507" s="119"/>
      <c r="D507" s="119"/>
      <c r="E507" s="105"/>
      <c r="F507" s="173"/>
      <c r="G507" s="173"/>
      <c r="H507" s="173"/>
      <c r="I507" s="105"/>
      <c r="J507" s="105"/>
      <c r="K507" s="105"/>
      <c r="L507" s="105"/>
      <c r="M507" s="4">
        <f t="shared" si="430"/>
      </c>
      <c r="N507" s="59"/>
      <c r="O507" s="164"/>
      <c r="P507" s="59">
        <f t="shared" si="431"/>
      </c>
      <c r="Q507" s="165"/>
      <c r="R507" s="59"/>
      <c r="S507" s="164"/>
      <c r="T507" s="5">
        <f t="shared" si="432"/>
      </c>
      <c r="U507" s="4">
        <f t="shared" si="433"/>
      </c>
      <c r="V507" s="4">
        <f t="shared" si="434"/>
      </c>
      <c r="W507" s="4">
        <f t="shared" si="435"/>
      </c>
      <c r="X507" s="4">
        <f t="shared" si="436"/>
      </c>
      <c r="Y507" s="4" cm="1">
        <f t="array" ref="Y507">_xlfn.IFS(H507=1,2,H507=3,1)</f>
      </c>
      <c r="Z507" s="4">
        <f t="shared" si="437"/>
      </c>
      <c r="AA507" s="4">
        <f t="shared" si="438"/>
      </c>
      <c r="AB507" s="4">
        <f t="shared" si="439"/>
      </c>
      <c r="AC507" s="4">
        <f t="shared" si="440"/>
      </c>
      <c r="AD507" s="4">
        <f t="shared" si="441"/>
      </c>
      <c r="AE507" s="4">
        <f t="shared" si="442"/>
      </c>
      <c r="AF507" s="4">
        <f t="shared" si="443"/>
      </c>
      <c r="AG507" s="4">
        <f t="shared" si="444"/>
        <v/>
      </c>
      <c r="AH507" s="4">
        <f t="shared" si="445"/>
      </c>
      <c r="AI507" s="4">
        <f t="shared" si="446"/>
      </c>
      <c r="AJ507" s="4">
        <f t="shared" si="447"/>
      </c>
      <c r="AK507" s="4">
        <f t="shared" si="448"/>
      </c>
      <c r="AL507" s="4">
        <f t="shared" si="449"/>
      </c>
      <c r="AM507" s="4">
        <f t="shared" si="450"/>
      </c>
      <c r="AN507" s="4"/>
      <c r="AO507" s="4">
        <f t="shared" si="451"/>
      </c>
      <c r="AP507" s="4">
        <f t="shared" si="452"/>
      </c>
      <c r="AQ507" s="4">
        <f t="shared" si="453"/>
        <v/>
      </c>
      <c r="AR507" s="4">
        <f t="shared" si="454"/>
      </c>
      <c r="AS507" s="4">
        <f t="shared" si="455"/>
      </c>
      <c r="AT507" s="4">
        <f t="shared" si="456"/>
      </c>
    </row>
    <row r="508" spans="1:46" x14ac:dyDescent="0.3">
      <c r="A508" s="5">
        <f t="shared" si="428"/>
      </c>
      <c r="B508" s="4">
        <f t="shared" si="429"/>
      </c>
      <c r="C508" s="119"/>
      <c r="D508" s="119"/>
      <c r="E508" s="105"/>
      <c r="F508" s="173"/>
      <c r="G508" s="173"/>
      <c r="H508" s="173"/>
      <c r="I508" s="105"/>
      <c r="J508" s="105"/>
      <c r="K508" s="105"/>
      <c r="L508" s="105"/>
      <c r="M508" s="4">
        <f t="shared" si="430"/>
      </c>
      <c r="N508" s="59"/>
      <c r="O508" s="164"/>
      <c r="P508" s="59">
        <f t="shared" si="431"/>
      </c>
      <c r="Q508" s="165"/>
      <c r="R508" s="59"/>
      <c r="S508" s="164"/>
      <c r="T508" s="5">
        <f t="shared" si="432"/>
      </c>
      <c r="U508" s="4">
        <f t="shared" si="433"/>
      </c>
      <c r="V508" s="4">
        <f t="shared" si="434"/>
      </c>
      <c r="W508" s="4">
        <f t="shared" si="435"/>
      </c>
      <c r="X508" s="4">
        <f t="shared" si="436"/>
      </c>
      <c r="Y508" s="4" cm="1">
        <f t="array" ref="Y508">_xlfn.IFS(H508=1,2,H508=3,1)</f>
      </c>
      <c r="Z508" s="4">
        <f t="shared" si="437"/>
      </c>
      <c r="AA508" s="4">
        <f t="shared" si="438"/>
      </c>
      <c r="AB508" s="4">
        <f t="shared" si="439"/>
      </c>
      <c r="AC508" s="4">
        <f t="shared" si="440"/>
      </c>
      <c r="AD508" s="4">
        <f t="shared" si="441"/>
      </c>
      <c r="AE508" s="4">
        <f t="shared" si="442"/>
      </c>
      <c r="AF508" s="4">
        <f t="shared" si="443"/>
      </c>
      <c r="AG508" s="4">
        <f t="shared" si="444"/>
        <v/>
      </c>
      <c r="AH508" s="4">
        <f t="shared" si="445"/>
      </c>
      <c r="AI508" s="4">
        <f t="shared" si="446"/>
      </c>
      <c r="AJ508" s="4">
        <f t="shared" si="447"/>
      </c>
      <c r="AK508" s="4">
        <f t="shared" si="448"/>
      </c>
      <c r="AL508" s="4">
        <f t="shared" si="449"/>
      </c>
      <c r="AM508" s="4">
        <f t="shared" si="450"/>
      </c>
      <c r="AN508" s="4"/>
      <c r="AO508" s="4">
        <f t="shared" si="451"/>
      </c>
      <c r="AP508" s="4">
        <f t="shared" si="452"/>
      </c>
      <c r="AQ508" s="4">
        <f t="shared" si="453"/>
        <v/>
      </c>
      <c r="AR508" s="4">
        <f t="shared" si="454"/>
      </c>
      <c r="AS508" s="4">
        <f t="shared" si="455"/>
      </c>
      <c r="AT508" s="4">
        <f t="shared" si="456"/>
      </c>
    </row>
    <row r="509" spans="1:46" x14ac:dyDescent="0.3">
      <c r="A509" s="5">
        <f t="shared" si="428"/>
      </c>
      <c r="B509" s="4">
        <f t="shared" si="429"/>
      </c>
      <c r="C509" s="119"/>
      <c r="D509" s="119"/>
      <c r="E509" s="105"/>
      <c r="F509" s="173"/>
      <c r="G509" s="173"/>
      <c r="H509" s="173"/>
      <c r="I509" s="105"/>
      <c r="J509" s="105"/>
      <c r="K509" s="105"/>
      <c r="L509" s="105"/>
      <c r="M509" s="4">
        <f t="shared" si="430"/>
      </c>
      <c r="N509" s="59"/>
      <c r="O509" s="164"/>
      <c r="P509" s="59">
        <f t="shared" si="431"/>
      </c>
      <c r="Q509" s="165"/>
      <c r="R509" s="59"/>
      <c r="S509" s="164"/>
      <c r="T509" s="5">
        <f t="shared" si="432"/>
      </c>
      <c r="U509" s="4">
        <f t="shared" si="433"/>
      </c>
      <c r="V509" s="4">
        <f t="shared" si="434"/>
      </c>
      <c r="W509" s="4">
        <f t="shared" si="435"/>
      </c>
      <c r="X509" s="4">
        <f t="shared" si="436"/>
      </c>
      <c r="Y509" s="4" cm="1">
        <f t="array" ref="Y509">_xlfn.IFS(H509=1,2,H509=3,1)</f>
      </c>
      <c r="Z509" s="4">
        <f t="shared" si="437"/>
      </c>
      <c r="AA509" s="4">
        <f t="shared" si="438"/>
      </c>
      <c r="AB509" s="4">
        <f t="shared" si="439"/>
      </c>
      <c r="AC509" s="4">
        <f t="shared" si="440"/>
      </c>
      <c r="AD509" s="4">
        <f t="shared" si="441"/>
      </c>
      <c r="AE509" s="4">
        <f t="shared" si="442"/>
      </c>
      <c r="AF509" s="4">
        <f t="shared" si="443"/>
      </c>
      <c r="AG509" s="4">
        <f t="shared" si="444"/>
        <v/>
      </c>
      <c r="AH509" s="4">
        <f t="shared" si="445"/>
      </c>
      <c r="AI509" s="4">
        <f t="shared" si="446"/>
      </c>
      <c r="AJ509" s="4">
        <f t="shared" si="447"/>
      </c>
      <c r="AK509" s="4">
        <f t="shared" si="448"/>
      </c>
      <c r="AL509" s="4">
        <f t="shared" si="449"/>
      </c>
      <c r="AM509" s="4">
        <f t="shared" si="450"/>
      </c>
      <c r="AN509" s="4"/>
      <c r="AO509" s="4">
        <f t="shared" si="451"/>
      </c>
      <c r="AP509" s="4">
        <f t="shared" si="452"/>
      </c>
      <c r="AQ509" s="4">
        <f t="shared" si="453"/>
        <v/>
      </c>
      <c r="AR509" s="4">
        <f t="shared" si="454"/>
      </c>
      <c r="AS509" s="4">
        <f t="shared" si="455"/>
      </c>
      <c r="AT509" s="4">
        <f t="shared" si="456"/>
      </c>
    </row>
    <row r="510" spans="1:46" x14ac:dyDescent="0.3">
      <c r="A510" s="5">
        <f t="shared" si="428"/>
      </c>
      <c r="B510" s="4">
        <f t="shared" si="429"/>
      </c>
      <c r="C510" s="119"/>
      <c r="D510" s="119"/>
      <c r="E510" s="105"/>
      <c r="F510" s="173"/>
      <c r="G510" s="173"/>
      <c r="H510" s="173"/>
      <c r="I510" s="105"/>
      <c r="J510" s="105"/>
      <c r="K510" s="105"/>
      <c r="L510" s="105"/>
      <c r="M510" s="4">
        <f t="shared" si="430"/>
      </c>
      <c r="N510" s="59"/>
      <c r="O510" s="164"/>
      <c r="P510" s="59">
        <f t="shared" si="431"/>
      </c>
      <c r="Q510" s="165"/>
      <c r="R510" s="59"/>
      <c r="S510" s="164"/>
      <c r="T510" s="5">
        <f t="shared" si="432"/>
      </c>
      <c r="U510" s="4">
        <f t="shared" si="433"/>
      </c>
      <c r="V510" s="4">
        <f t="shared" si="434"/>
      </c>
      <c r="W510" s="4">
        <f t="shared" si="435"/>
      </c>
      <c r="X510" s="4">
        <f t="shared" si="436"/>
      </c>
      <c r="Y510" s="4" cm="1">
        <f t="array" ref="Y510">_xlfn.IFS(H510=1,2,H510=3,1)</f>
      </c>
      <c r="Z510" s="4">
        <f t="shared" si="437"/>
      </c>
      <c r="AA510" s="4">
        <f t="shared" si="438"/>
      </c>
      <c r="AB510" s="4">
        <f t="shared" si="439"/>
      </c>
      <c r="AC510" s="4">
        <f t="shared" si="440"/>
      </c>
      <c r="AD510" s="4">
        <f t="shared" si="441"/>
      </c>
      <c r="AE510" s="4">
        <f t="shared" si="442"/>
      </c>
      <c r="AF510" s="4">
        <f t="shared" si="443"/>
      </c>
      <c r="AG510" s="4">
        <f t="shared" si="444"/>
        <v/>
      </c>
      <c r="AH510" s="4">
        <f t="shared" si="445"/>
      </c>
      <c r="AI510" s="4">
        <f t="shared" si="446"/>
      </c>
      <c r="AJ510" s="4">
        <f t="shared" si="447"/>
      </c>
      <c r="AK510" s="4">
        <f t="shared" si="448"/>
      </c>
      <c r="AL510" s="4">
        <f t="shared" si="449"/>
      </c>
      <c r="AM510" s="4">
        <f t="shared" si="450"/>
      </c>
      <c r="AN510" s="4"/>
      <c r="AO510" s="4">
        <f t="shared" si="451"/>
      </c>
      <c r="AP510" s="4">
        <f t="shared" si="452"/>
      </c>
      <c r="AQ510" s="4">
        <f t="shared" si="453"/>
        <v/>
      </c>
      <c r="AR510" s="4">
        <f t="shared" si="454"/>
      </c>
      <c r="AS510" s="4">
        <f t="shared" si="455"/>
      </c>
      <c r="AT510" s="4">
        <f t="shared" si="456"/>
      </c>
    </row>
    <row r="511" spans="1:46" x14ac:dyDescent="0.3">
      <c r="A511" s="5">
        <f t="shared" si="428"/>
      </c>
      <c r="B511" s="4">
        <f t="shared" si="429"/>
      </c>
      <c r="C511" s="119"/>
      <c r="D511" s="119"/>
      <c r="E511" s="105"/>
      <c r="F511" s="173"/>
      <c r="G511" s="173"/>
      <c r="H511" s="173"/>
      <c r="I511" s="105"/>
      <c r="J511" s="105"/>
      <c r="K511" s="105"/>
      <c r="L511" s="105"/>
      <c r="M511" s="4">
        <f t="shared" si="430"/>
      </c>
      <c r="N511" s="59"/>
      <c r="O511" s="164"/>
      <c r="P511" s="59">
        <f t="shared" si="431"/>
      </c>
      <c r="Q511" s="165"/>
      <c r="R511" s="59"/>
      <c r="S511" s="164"/>
      <c r="T511" s="5">
        <f t="shared" si="432"/>
      </c>
      <c r="U511" s="4">
        <f t="shared" si="433"/>
      </c>
      <c r="V511" s="4">
        <f t="shared" si="434"/>
      </c>
      <c r="W511" s="4">
        <f t="shared" si="435"/>
      </c>
      <c r="X511" s="4">
        <f t="shared" si="436"/>
      </c>
      <c r="Y511" s="4" cm="1">
        <f t="array" ref="Y511">_xlfn.IFS(H511=1,2,H511=3,1)</f>
      </c>
      <c r="Z511" s="4">
        <f t="shared" si="437"/>
      </c>
      <c r="AA511" s="4">
        <f t="shared" si="438"/>
      </c>
      <c r="AB511" s="4">
        <f t="shared" si="439"/>
      </c>
      <c r="AC511" s="4">
        <f t="shared" si="440"/>
      </c>
      <c r="AD511" s="4">
        <f t="shared" si="441"/>
      </c>
      <c r="AE511" s="4">
        <f t="shared" si="442"/>
      </c>
      <c r="AF511" s="4">
        <f t="shared" si="443"/>
      </c>
      <c r="AG511" s="4">
        <f t="shared" si="444"/>
        <v/>
      </c>
      <c r="AH511" s="4">
        <f t="shared" si="445"/>
      </c>
      <c r="AI511" s="4">
        <f t="shared" si="446"/>
      </c>
      <c r="AJ511" s="4">
        <f t="shared" si="447"/>
      </c>
      <c r="AK511" s="4">
        <f t="shared" si="448"/>
      </c>
      <c r="AL511" s="4">
        <f t="shared" si="449"/>
      </c>
      <c r="AM511" s="4">
        <f t="shared" si="450"/>
      </c>
      <c r="AN511" s="4"/>
      <c r="AO511" s="4">
        <f t="shared" si="451"/>
      </c>
      <c r="AP511" s="4">
        <f t="shared" si="452"/>
      </c>
      <c r="AQ511" s="4">
        <f t="shared" si="453"/>
        <v/>
      </c>
      <c r="AR511" s="4">
        <f t="shared" si="454"/>
      </c>
      <c r="AS511" s="4">
        <f t="shared" si="455"/>
      </c>
      <c r="AT511" s="4">
        <f t="shared" si="456"/>
      </c>
    </row>
    <row r="512" spans="1:46" x14ac:dyDescent="0.3">
      <c r="A512" s="5">
        <f t="shared" si="428"/>
      </c>
      <c r="B512" s="4">
        <f t="shared" si="429"/>
      </c>
      <c r="C512" s="119"/>
      <c r="D512" s="119"/>
      <c r="E512" s="105"/>
      <c r="F512" s="173"/>
      <c r="G512" s="173"/>
      <c r="H512" s="173"/>
      <c r="I512" s="105"/>
      <c r="J512" s="105"/>
      <c r="K512" s="105"/>
      <c r="L512" s="105"/>
      <c r="M512" s="4">
        <f t="shared" si="430"/>
      </c>
      <c r="N512" s="59"/>
      <c r="O512" s="164"/>
      <c r="P512" s="59">
        <f t="shared" si="431"/>
      </c>
      <c r="Q512" s="165"/>
      <c r="R512" s="59"/>
      <c r="S512" s="164"/>
      <c r="T512" s="5">
        <f t="shared" si="432"/>
      </c>
      <c r="U512" s="4">
        <f t="shared" si="433"/>
      </c>
      <c r="V512" s="4">
        <f t="shared" si="434"/>
      </c>
      <c r="W512" s="4">
        <f t="shared" si="435"/>
      </c>
      <c r="X512" s="4">
        <f t="shared" si="436"/>
      </c>
      <c r="Y512" s="4" cm="1">
        <f t="array" ref="Y512">_xlfn.IFS(H512=1,2,H512=3,1)</f>
      </c>
      <c r="Z512" s="4">
        <f t="shared" si="437"/>
      </c>
      <c r="AA512" s="4">
        <f t="shared" si="438"/>
      </c>
      <c r="AB512" s="4">
        <f t="shared" si="439"/>
      </c>
      <c r="AC512" s="4">
        <f t="shared" si="440"/>
      </c>
      <c r="AD512" s="4">
        <f t="shared" si="441"/>
      </c>
      <c r="AE512" s="4">
        <f t="shared" si="442"/>
      </c>
      <c r="AF512" s="4">
        <f t="shared" si="443"/>
      </c>
      <c r="AG512" s="4">
        <f t="shared" si="444"/>
        <v/>
      </c>
      <c r="AH512" s="4">
        <f t="shared" si="445"/>
      </c>
      <c r="AI512" s="4">
        <f t="shared" si="446"/>
      </c>
      <c r="AJ512" s="4">
        <f t="shared" si="447"/>
      </c>
      <c r="AK512" s="4">
        <f t="shared" si="448"/>
      </c>
      <c r="AL512" s="4">
        <f t="shared" si="449"/>
      </c>
      <c r="AM512" s="4">
        <f t="shared" si="450"/>
      </c>
      <c r="AN512" s="4"/>
      <c r="AO512" s="4">
        <f t="shared" si="451"/>
      </c>
      <c r="AP512" s="4">
        <f t="shared" si="452"/>
      </c>
      <c r="AQ512" s="4">
        <f t="shared" si="453"/>
        <v/>
      </c>
      <c r="AR512" s="4">
        <f t="shared" si="454"/>
      </c>
      <c r="AS512" s="4">
        <f t="shared" si="455"/>
      </c>
      <c r="AT512" s="4">
        <f t="shared" si="456"/>
      </c>
    </row>
    <row r="513" spans="1:46" x14ac:dyDescent="0.3">
      <c r="A513" s="5">
        <f t="shared" si="428"/>
      </c>
      <c r="B513" s="4">
        <f t="shared" si="429"/>
      </c>
      <c r="C513" s="119"/>
      <c r="D513" s="119"/>
      <c r="E513" s="105"/>
      <c r="F513" s="173"/>
      <c r="G513" s="173"/>
      <c r="H513" s="173"/>
      <c r="I513" s="105"/>
      <c r="J513" s="105"/>
      <c r="K513" s="105"/>
      <c r="L513" s="105"/>
      <c r="M513" s="4">
        <f t="shared" si="430"/>
      </c>
      <c r="N513" s="59"/>
      <c r="O513" s="164"/>
      <c r="P513" s="59">
        <f t="shared" si="431"/>
      </c>
      <c r="Q513" s="165"/>
      <c r="R513" s="59"/>
      <c r="S513" s="164"/>
      <c r="T513" s="5">
        <f t="shared" si="432"/>
      </c>
      <c r="U513" s="4">
        <f t="shared" si="433"/>
      </c>
      <c r="V513" s="4">
        <f t="shared" si="434"/>
      </c>
      <c r="W513" s="4">
        <f t="shared" si="435"/>
      </c>
      <c r="X513" s="4">
        <f t="shared" si="436"/>
      </c>
      <c r="Y513" s="4" cm="1">
        <f t="array" ref="Y513">_xlfn.IFS(H513=1,2,H513=3,1)</f>
      </c>
      <c r="Z513" s="4">
        <f t="shared" si="437"/>
      </c>
      <c r="AA513" s="4">
        <f t="shared" si="438"/>
      </c>
      <c r="AB513" s="4">
        <f t="shared" si="439"/>
      </c>
      <c r="AC513" s="4">
        <f t="shared" si="440"/>
      </c>
      <c r="AD513" s="4">
        <f t="shared" si="441"/>
      </c>
      <c r="AE513" s="4">
        <f t="shared" si="442"/>
      </c>
      <c r="AF513" s="4">
        <f t="shared" si="443"/>
      </c>
      <c r="AG513" s="4">
        <f t="shared" si="444"/>
        <v/>
      </c>
      <c r="AH513" s="4">
        <f t="shared" si="445"/>
      </c>
      <c r="AI513" s="4">
        <f t="shared" si="446"/>
      </c>
      <c r="AJ513" s="4">
        <f t="shared" si="447"/>
      </c>
      <c r="AK513" s="4">
        <f t="shared" si="448"/>
      </c>
      <c r="AL513" s="4">
        <f t="shared" si="449"/>
      </c>
      <c r="AM513" s="4">
        <f t="shared" si="450"/>
      </c>
      <c r="AN513" s="4"/>
      <c r="AO513" s="4">
        <f t="shared" si="451"/>
      </c>
      <c r="AP513" s="4">
        <f t="shared" si="452"/>
      </c>
      <c r="AQ513" s="4">
        <f t="shared" si="453"/>
        <v/>
      </c>
      <c r="AR513" s="4">
        <f t="shared" si="454"/>
      </c>
      <c r="AS513" s="4">
        <f t="shared" si="455"/>
      </c>
      <c r="AT513" s="4">
        <f t="shared" si="456"/>
      </c>
    </row>
    <row r="514" spans="1:46" x14ac:dyDescent="0.3">
      <c r="A514" s="5">
        <f t="shared" si="428"/>
      </c>
      <c r="B514" s="4">
        <f t="shared" si="429"/>
      </c>
      <c r="C514" s="119"/>
      <c r="D514" s="119"/>
      <c r="E514" s="105"/>
      <c r="F514" s="173"/>
      <c r="G514" s="173"/>
      <c r="H514" s="173"/>
      <c r="I514" s="105"/>
      <c r="J514" s="105"/>
      <c r="K514" s="105"/>
      <c r="L514" s="105"/>
      <c r="M514" s="4">
        <f t="shared" si="430"/>
      </c>
      <c r="N514" s="59"/>
      <c r="O514" s="164"/>
      <c r="P514" s="59">
        <f t="shared" si="431"/>
      </c>
      <c r="Q514" s="165"/>
      <c r="R514" s="59"/>
      <c r="S514" s="164"/>
      <c r="T514" s="5">
        <f t="shared" si="432"/>
      </c>
      <c r="U514" s="4">
        <f t="shared" si="433"/>
      </c>
      <c r="V514" s="4">
        <f t="shared" si="434"/>
      </c>
      <c r="W514" s="4">
        <f t="shared" si="435"/>
      </c>
      <c r="X514" s="4">
        <f t="shared" si="436"/>
      </c>
      <c r="Y514" s="4" cm="1">
        <f t="array" ref="Y514">_xlfn.IFS(H514=1,2,H514=3,1)</f>
      </c>
      <c r="Z514" s="4">
        <f t="shared" si="437"/>
      </c>
      <c r="AA514" s="4">
        <f t="shared" si="438"/>
      </c>
      <c r="AB514" s="4">
        <f t="shared" si="439"/>
      </c>
      <c r="AC514" s="4">
        <f t="shared" si="440"/>
      </c>
      <c r="AD514" s="4">
        <f t="shared" si="441"/>
      </c>
      <c r="AE514" s="4">
        <f t="shared" si="442"/>
      </c>
      <c r="AF514" s="4">
        <f t="shared" si="443"/>
      </c>
      <c r="AG514" s="4">
        <f t="shared" si="444"/>
        <v/>
      </c>
      <c r="AH514" s="4">
        <f t="shared" si="445"/>
      </c>
      <c r="AI514" s="4">
        <f t="shared" si="446"/>
      </c>
      <c r="AJ514" s="4">
        <f t="shared" si="447"/>
      </c>
      <c r="AK514" s="4">
        <f t="shared" si="448"/>
      </c>
      <c r="AL514" s="4">
        <f t="shared" si="449"/>
      </c>
      <c r="AM514" s="4">
        <f t="shared" si="450"/>
      </c>
      <c r="AN514" s="4"/>
      <c r="AO514" s="4">
        <f t="shared" si="451"/>
      </c>
      <c r="AP514" s="4">
        <f t="shared" si="452"/>
      </c>
      <c r="AQ514" s="4">
        <f t="shared" si="453"/>
        <v/>
      </c>
      <c r="AR514" s="4">
        <f t="shared" si="454"/>
      </c>
      <c r="AS514" s="4">
        <f t="shared" si="455"/>
      </c>
      <c r="AT514" s="4">
        <f t="shared" si="456"/>
      </c>
    </row>
    <row r="515" spans="1:46" x14ac:dyDescent="0.3">
      <c r="A515" s="5">
        <f t="shared" si="428"/>
      </c>
      <c r="B515" s="4">
        <f t="shared" si="429"/>
      </c>
      <c r="C515" s="119"/>
      <c r="D515" s="119"/>
      <c r="E515" s="105"/>
      <c r="F515" s="173"/>
      <c r="G515" s="173"/>
      <c r="H515" s="173"/>
      <c r="I515" s="105"/>
      <c r="J515" s="105"/>
      <c r="K515" s="105"/>
      <c r="L515" s="105"/>
      <c r="M515" s="4">
        <f t="shared" si="430"/>
      </c>
      <c r="N515" s="59"/>
      <c r="O515" s="164"/>
      <c r="P515" s="59">
        <f t="shared" si="431"/>
      </c>
      <c r="Q515" s="165"/>
      <c r="R515" s="59"/>
      <c r="S515" s="164"/>
      <c r="T515" s="5">
        <f t="shared" si="432"/>
      </c>
      <c r="U515" s="4">
        <f t="shared" si="433"/>
      </c>
      <c r="V515" s="4">
        <f t="shared" si="434"/>
      </c>
      <c r="W515" s="4">
        <f t="shared" si="435"/>
      </c>
      <c r="X515" s="4">
        <f t="shared" si="436"/>
      </c>
      <c r="Y515" s="4" cm="1">
        <f t="array" ref="Y515">_xlfn.IFS(H515=1,2,H515=3,1)</f>
      </c>
      <c r="Z515" s="4">
        <f t="shared" si="437"/>
      </c>
      <c r="AA515" s="4">
        <f t="shared" si="438"/>
      </c>
      <c r="AB515" s="4">
        <f t="shared" si="439"/>
      </c>
      <c r="AC515" s="4">
        <f t="shared" si="440"/>
      </c>
      <c r="AD515" s="4">
        <f t="shared" si="441"/>
      </c>
      <c r="AE515" s="4">
        <f t="shared" si="442"/>
      </c>
      <c r="AF515" s="4">
        <f t="shared" si="443"/>
      </c>
      <c r="AG515" s="4">
        <f t="shared" si="444"/>
        <v/>
      </c>
      <c r="AH515" s="4">
        <f t="shared" si="445"/>
      </c>
      <c r="AI515" s="4">
        <f t="shared" si="446"/>
      </c>
      <c r="AJ515" s="4">
        <f t="shared" si="447"/>
      </c>
      <c r="AK515" s="4">
        <f t="shared" si="448"/>
      </c>
      <c r="AL515" s="4">
        <f t="shared" si="449"/>
      </c>
      <c r="AM515" s="4">
        <f t="shared" si="450"/>
      </c>
      <c r="AN515" s="4"/>
      <c r="AO515" s="4">
        <f t="shared" si="451"/>
      </c>
      <c r="AP515" s="4">
        <f t="shared" si="452"/>
      </c>
      <c r="AQ515" s="4">
        <f t="shared" si="453"/>
        <v/>
      </c>
      <c r="AR515" s="4">
        <f t="shared" si="454"/>
      </c>
      <c r="AS515" s="4">
        <f t="shared" si="455"/>
      </c>
      <c r="AT515" s="4">
        <f t="shared" si="456"/>
      </c>
    </row>
    <row r="516" spans="1:46" x14ac:dyDescent="0.3">
      <c r="A516" s="5">
        <f t="shared" si="428"/>
      </c>
      <c r="B516" s="4">
        <f t="shared" si="429"/>
      </c>
      <c r="C516" s="119"/>
      <c r="D516" s="119"/>
      <c r="E516" s="105"/>
      <c r="F516" s="173"/>
      <c r="G516" s="173"/>
      <c r="H516" s="173"/>
      <c r="I516" s="105"/>
      <c r="J516" s="105"/>
      <c r="K516" s="105"/>
      <c r="L516" s="105"/>
      <c r="M516" s="4">
        <f t="shared" si="430"/>
      </c>
      <c r="N516" s="59"/>
      <c r="O516" s="164"/>
      <c r="P516" s="59">
        <f t="shared" si="431"/>
      </c>
      <c r="Q516" s="165"/>
      <c r="R516" s="59"/>
      <c r="S516" s="164"/>
      <c r="T516" s="5">
        <f t="shared" si="432"/>
      </c>
      <c r="U516" s="4">
        <f t="shared" si="433"/>
      </c>
      <c r="V516" s="4">
        <f t="shared" si="434"/>
      </c>
      <c r="W516" s="4">
        <f t="shared" si="435"/>
      </c>
      <c r="X516" s="4">
        <f t="shared" si="436"/>
      </c>
      <c r="Y516" s="4" cm="1">
        <f t="array" ref="Y516">_xlfn.IFS(H516=1,2,H516=3,1)</f>
      </c>
      <c r="Z516" s="4">
        <f t="shared" si="437"/>
      </c>
      <c r="AA516" s="4">
        <f t="shared" si="438"/>
      </c>
      <c r="AB516" s="4">
        <f t="shared" si="439"/>
      </c>
      <c r="AC516" s="4">
        <f t="shared" si="440"/>
      </c>
      <c r="AD516" s="4">
        <f t="shared" si="441"/>
      </c>
      <c r="AE516" s="4">
        <f t="shared" si="442"/>
      </c>
      <c r="AF516" s="4">
        <f t="shared" si="443"/>
      </c>
      <c r="AG516" s="4">
        <f t="shared" si="444"/>
        <v/>
      </c>
      <c r="AH516" s="4">
        <f t="shared" si="445"/>
      </c>
      <c r="AI516" s="4">
        <f t="shared" si="446"/>
      </c>
      <c r="AJ516" s="4">
        <f t="shared" si="447"/>
      </c>
      <c r="AK516" s="4">
        <f t="shared" si="448"/>
      </c>
      <c r="AL516" s="4">
        <f t="shared" si="449"/>
      </c>
      <c r="AM516" s="4">
        <f t="shared" si="450"/>
      </c>
      <c r="AN516" s="4"/>
      <c r="AO516" s="4">
        <f t="shared" si="451"/>
      </c>
      <c r="AP516" s="4">
        <f t="shared" si="452"/>
      </c>
      <c r="AQ516" s="4">
        <f t="shared" si="453"/>
        <v/>
      </c>
      <c r="AR516" s="4">
        <f t="shared" si="454"/>
      </c>
      <c r="AS516" s="4">
        <f t="shared" si="455"/>
      </c>
      <c r="AT516" s="4">
        <f t="shared" si="456"/>
      </c>
    </row>
    <row r="517" spans="1:46" x14ac:dyDescent="0.3">
      <c r="A517" s="5">
        <f t="shared" si="428"/>
      </c>
      <c r="B517" s="4">
        <f t="shared" si="429"/>
      </c>
      <c r="C517" s="119"/>
      <c r="D517" s="119"/>
      <c r="E517" s="105"/>
      <c r="F517" s="173"/>
      <c r="G517" s="173"/>
      <c r="H517" s="173"/>
      <c r="I517" s="105"/>
      <c r="J517" s="105"/>
      <c r="K517" s="105"/>
      <c r="L517" s="105"/>
      <c r="M517" s="4">
        <f t="shared" si="430"/>
      </c>
      <c r="N517" s="59"/>
      <c r="O517" s="164"/>
      <c r="P517" s="59">
        <f t="shared" si="431"/>
      </c>
      <c r="Q517" s="165"/>
      <c r="R517" s="59"/>
      <c r="S517" s="164"/>
      <c r="T517" s="5">
        <f t="shared" si="432"/>
      </c>
      <c r="U517" s="4">
        <f t="shared" si="433"/>
      </c>
      <c r="V517" s="4">
        <f t="shared" si="434"/>
      </c>
      <c r="W517" s="4">
        <f t="shared" si="435"/>
      </c>
      <c r="X517" s="4">
        <f t="shared" si="436"/>
      </c>
      <c r="Y517" s="4" cm="1">
        <f t="array" ref="Y517">_xlfn.IFS(H517=1,2,H517=3,1)</f>
      </c>
      <c r="Z517" s="4">
        <f t="shared" si="437"/>
      </c>
      <c r="AA517" s="4">
        <f t="shared" si="438"/>
      </c>
      <c r="AB517" s="4">
        <f t="shared" si="439"/>
      </c>
      <c r="AC517" s="4">
        <f t="shared" si="440"/>
      </c>
      <c r="AD517" s="4">
        <f t="shared" si="441"/>
      </c>
      <c r="AE517" s="4">
        <f t="shared" si="442"/>
      </c>
      <c r="AF517" s="4">
        <f t="shared" si="443"/>
      </c>
      <c r="AG517" s="4">
        <f t="shared" si="444"/>
        <v/>
      </c>
      <c r="AH517" s="4">
        <f t="shared" si="445"/>
      </c>
      <c r="AI517" s="4">
        <f t="shared" si="446"/>
      </c>
      <c r="AJ517" s="4">
        <f t="shared" si="447"/>
      </c>
      <c r="AK517" s="4">
        <f t="shared" si="448"/>
      </c>
      <c r="AL517" s="4">
        <f t="shared" si="449"/>
      </c>
      <c r="AM517" s="4">
        <f t="shared" si="450"/>
      </c>
      <c r="AN517" s="4"/>
      <c r="AO517" s="4">
        <f t="shared" si="451"/>
      </c>
      <c r="AP517" s="4">
        <f t="shared" si="452"/>
      </c>
      <c r="AQ517" s="4">
        <f t="shared" si="453"/>
        <v/>
      </c>
      <c r="AR517" s="4">
        <f t="shared" si="454"/>
      </c>
      <c r="AS517" s="4">
        <f t="shared" si="455"/>
      </c>
      <c r="AT517" s="4">
        <f t="shared" si="456"/>
      </c>
    </row>
    <row r="518" spans="1:46" x14ac:dyDescent="0.3">
      <c r="A518" s="5">
        <f t="shared" si="428"/>
      </c>
      <c r="B518" s="4">
        <f t="shared" si="429"/>
      </c>
      <c r="C518" s="119"/>
      <c r="D518" s="119"/>
      <c r="E518" s="105"/>
      <c r="F518" s="173"/>
      <c r="G518" s="173"/>
      <c r="H518" s="173"/>
      <c r="I518" s="105"/>
      <c r="J518" s="105"/>
      <c r="K518" s="105"/>
      <c r="L518" s="105"/>
      <c r="M518" s="4">
        <f t="shared" si="430"/>
      </c>
      <c r="N518" s="59"/>
      <c r="O518" s="164"/>
      <c r="P518" s="59">
        <f t="shared" si="431"/>
      </c>
      <c r="Q518" s="165"/>
      <c r="R518" s="59"/>
      <c r="S518" s="164"/>
      <c r="T518" s="5">
        <f t="shared" si="432"/>
      </c>
      <c r="U518" s="4">
        <f t="shared" si="433"/>
      </c>
      <c r="V518" s="4">
        <f t="shared" si="434"/>
      </c>
      <c r="W518" s="4">
        <f t="shared" si="435"/>
      </c>
      <c r="X518" s="4">
        <f t="shared" si="436"/>
      </c>
      <c r="Y518" s="4" cm="1">
        <f t="array" ref="Y518">_xlfn.IFS(H518=1,2,H518=3,1)</f>
      </c>
      <c r="Z518" s="4">
        <f t="shared" si="437"/>
      </c>
      <c r="AA518" s="4">
        <f t="shared" si="438"/>
      </c>
      <c r="AB518" s="4">
        <f t="shared" si="439"/>
      </c>
      <c r="AC518" s="4">
        <f t="shared" si="440"/>
      </c>
      <c r="AD518" s="4">
        <f t="shared" si="441"/>
      </c>
      <c r="AE518" s="4">
        <f t="shared" si="442"/>
      </c>
      <c r="AF518" s="4">
        <f t="shared" si="443"/>
      </c>
      <c r="AG518" s="4">
        <f t="shared" si="444"/>
        <v/>
      </c>
      <c r="AH518" s="4">
        <f t="shared" si="445"/>
      </c>
      <c r="AI518" s="4">
        <f t="shared" si="446"/>
      </c>
      <c r="AJ518" s="4">
        <f t="shared" si="447"/>
      </c>
      <c r="AK518" s="4">
        <f t="shared" si="448"/>
      </c>
      <c r="AL518" s="4">
        <f t="shared" si="449"/>
      </c>
      <c r="AM518" s="4">
        <f t="shared" si="450"/>
      </c>
      <c r="AN518" s="4"/>
      <c r="AO518" s="4">
        <f t="shared" si="451"/>
      </c>
      <c r="AP518" s="4">
        <f t="shared" si="452"/>
      </c>
      <c r="AQ518" s="4">
        <f t="shared" si="453"/>
        <v/>
      </c>
      <c r="AR518" s="4">
        <f t="shared" si="454"/>
      </c>
      <c r="AS518" s="4">
        <f t="shared" si="455"/>
      </c>
      <c r="AT518" s="4">
        <f t="shared" si="456"/>
      </c>
    </row>
    <row r="519" spans="1:46" x14ac:dyDescent="0.3">
      <c r="A519" s="5">
        <f t="shared" si="428"/>
      </c>
      <c r="B519" s="4">
        <f t="shared" si="429"/>
      </c>
      <c r="C519" s="119"/>
      <c r="D519" s="119"/>
      <c r="E519" s="105"/>
      <c r="F519" s="173"/>
      <c r="G519" s="173"/>
      <c r="H519" s="173"/>
      <c r="I519" s="105"/>
      <c r="J519" s="105"/>
      <c r="K519" s="105"/>
      <c r="L519" s="105"/>
      <c r="M519" s="4">
        <f t="shared" si="430"/>
      </c>
      <c r="N519" s="59"/>
      <c r="O519" s="164"/>
      <c r="P519" s="59">
        <f t="shared" si="431"/>
      </c>
      <c r="Q519" s="165"/>
      <c r="R519" s="59"/>
      <c r="S519" s="164"/>
      <c r="T519" s="5">
        <f t="shared" si="432"/>
      </c>
      <c r="U519" s="4">
        <f t="shared" si="433"/>
      </c>
      <c r="V519" s="4">
        <f t="shared" si="434"/>
      </c>
      <c r="W519" s="4">
        <f t="shared" si="435"/>
      </c>
      <c r="X519" s="4">
        <f t="shared" si="436"/>
      </c>
      <c r="Y519" s="4" cm="1">
        <f t="array" ref="Y519">_xlfn.IFS(H519=1,2,H519=3,1)</f>
      </c>
      <c r="Z519" s="4">
        <f t="shared" si="437"/>
      </c>
      <c r="AA519" s="4">
        <f t="shared" si="438"/>
      </c>
      <c r="AB519" s="4">
        <f t="shared" si="439"/>
      </c>
      <c r="AC519" s="4">
        <f t="shared" si="440"/>
      </c>
      <c r="AD519" s="4">
        <f t="shared" si="441"/>
      </c>
      <c r="AE519" s="4">
        <f t="shared" si="442"/>
      </c>
      <c r="AF519" s="4">
        <f t="shared" si="443"/>
      </c>
      <c r="AG519" s="4">
        <f t="shared" si="444"/>
        <v/>
      </c>
      <c r="AH519" s="4">
        <f t="shared" si="445"/>
      </c>
      <c r="AI519" s="4">
        <f t="shared" si="446"/>
      </c>
      <c r="AJ519" s="4">
        <f t="shared" si="447"/>
      </c>
      <c r="AK519" s="4">
        <f t="shared" si="448"/>
      </c>
      <c r="AL519" s="4">
        <f t="shared" si="449"/>
      </c>
      <c r="AM519" s="4">
        <f t="shared" si="450"/>
      </c>
      <c r="AN519" s="4"/>
      <c r="AO519" s="4">
        <f t="shared" si="451"/>
      </c>
      <c r="AP519" s="4">
        <f t="shared" si="452"/>
      </c>
      <c r="AQ519" s="4">
        <f t="shared" si="453"/>
        <v/>
      </c>
      <c r="AR519" s="4">
        <f t="shared" si="454"/>
      </c>
      <c r="AS519" s="4">
        <f t="shared" si="455"/>
      </c>
      <c r="AT519" s="4">
        <f t="shared" si="456"/>
      </c>
    </row>
    <row r="520" spans="1:46" x14ac:dyDescent="0.3">
      <c r="A520" s="5">
        <f t="shared" si="428"/>
      </c>
      <c r="B520" s="4">
        <f t="shared" si="429"/>
      </c>
      <c r="C520" s="119"/>
      <c r="D520" s="119"/>
      <c r="E520" s="105"/>
      <c r="F520" s="173"/>
      <c r="G520" s="173"/>
      <c r="H520" s="173"/>
      <c r="I520" s="105"/>
      <c r="J520" s="105"/>
      <c r="K520" s="105"/>
      <c r="L520" s="105"/>
      <c r="M520" s="4">
        <f t="shared" si="430"/>
      </c>
      <c r="N520" s="59"/>
      <c r="O520" s="164"/>
      <c r="P520" s="59">
        <f t="shared" si="431"/>
      </c>
      <c r="Q520" s="165"/>
      <c r="R520" s="59"/>
      <c r="S520" s="164"/>
      <c r="T520" s="5">
        <f t="shared" si="432"/>
      </c>
      <c r="U520" s="4">
        <f t="shared" si="433"/>
      </c>
      <c r="V520" s="4">
        <f t="shared" si="434"/>
      </c>
      <c r="W520" s="4">
        <f t="shared" si="435"/>
      </c>
      <c r="X520" s="4">
        <f t="shared" si="436"/>
      </c>
      <c r="Y520" s="4" cm="1">
        <f t="array" ref="Y520">_xlfn.IFS(H520=1,2,H520=3,1)</f>
      </c>
      <c r="Z520" s="4">
        <f t="shared" si="437"/>
      </c>
      <c r="AA520" s="4">
        <f t="shared" si="438"/>
      </c>
      <c r="AB520" s="4">
        <f t="shared" si="439"/>
      </c>
      <c r="AC520" s="4">
        <f t="shared" si="440"/>
      </c>
      <c r="AD520" s="4">
        <f t="shared" si="441"/>
      </c>
      <c r="AE520" s="4">
        <f t="shared" si="442"/>
      </c>
      <c r="AF520" s="4">
        <f t="shared" si="443"/>
      </c>
      <c r="AG520" s="4">
        <f t="shared" si="444"/>
        <v/>
      </c>
      <c r="AH520" s="4">
        <f t="shared" si="445"/>
      </c>
      <c r="AI520" s="4">
        <f t="shared" si="446"/>
      </c>
      <c r="AJ520" s="4">
        <f t="shared" si="447"/>
      </c>
      <c r="AK520" s="4">
        <f t="shared" si="448"/>
      </c>
      <c r="AL520" s="4">
        <f t="shared" si="449"/>
      </c>
      <c r="AM520" s="4">
        <f t="shared" si="450"/>
      </c>
      <c r="AN520" s="4"/>
      <c r="AO520" s="4">
        <f t="shared" si="451"/>
      </c>
      <c r="AP520" s="4">
        <f t="shared" si="452"/>
      </c>
      <c r="AQ520" s="4">
        <f t="shared" si="453"/>
        <v/>
      </c>
      <c r="AR520" s="4">
        <f t="shared" si="454"/>
      </c>
      <c r="AS520" s="4">
        <f t="shared" si="455"/>
      </c>
      <c r="AT520" s="4">
        <f t="shared" si="456"/>
      </c>
    </row>
    <row r="521" spans="1:46" x14ac:dyDescent="0.3">
      <c r="A521" s="5">
        <f t="shared" si="428"/>
      </c>
      <c r="B521" s="4">
        <f t="shared" si="429"/>
      </c>
      <c r="C521" s="119"/>
      <c r="D521" s="119"/>
      <c r="E521" s="105"/>
      <c r="F521" s="173"/>
      <c r="G521" s="173"/>
      <c r="H521" s="173"/>
      <c r="I521" s="105"/>
      <c r="J521" s="105"/>
      <c r="K521" s="105"/>
      <c r="L521" s="105"/>
      <c r="M521" s="4">
        <f t="shared" si="430"/>
      </c>
      <c r="N521" s="59"/>
      <c r="O521" s="164"/>
      <c r="P521" s="59">
        <f t="shared" si="431"/>
      </c>
      <c r="Q521" s="165"/>
      <c r="R521" s="59"/>
      <c r="S521" s="164"/>
      <c r="T521" s="5">
        <f t="shared" si="432"/>
      </c>
      <c r="U521" s="4">
        <f t="shared" si="433"/>
      </c>
      <c r="V521" s="4">
        <f t="shared" si="434"/>
      </c>
      <c r="W521" s="4">
        <f t="shared" si="435"/>
      </c>
      <c r="X521" s="4">
        <f t="shared" si="436"/>
      </c>
      <c r="Y521" s="4" cm="1">
        <f t="array" ref="Y521">_xlfn.IFS(H521=1,2,H521=3,1)</f>
      </c>
      <c r="Z521" s="4">
        <f t="shared" si="437"/>
      </c>
      <c r="AA521" s="4">
        <f t="shared" si="438"/>
      </c>
      <c r="AB521" s="4">
        <f t="shared" si="439"/>
      </c>
      <c r="AC521" s="4">
        <f t="shared" si="440"/>
      </c>
      <c r="AD521" s="4">
        <f t="shared" si="441"/>
      </c>
      <c r="AE521" s="4">
        <f t="shared" si="442"/>
      </c>
      <c r="AF521" s="4">
        <f t="shared" si="443"/>
      </c>
      <c r="AG521" s="4">
        <f t="shared" si="444"/>
        <v/>
      </c>
      <c r="AH521" s="4">
        <f t="shared" si="445"/>
      </c>
      <c r="AI521" s="4">
        <f t="shared" si="446"/>
      </c>
      <c r="AJ521" s="4">
        <f t="shared" si="447"/>
      </c>
      <c r="AK521" s="4">
        <f t="shared" si="448"/>
      </c>
      <c r="AL521" s="4">
        <f t="shared" si="449"/>
      </c>
      <c r="AM521" s="4">
        <f t="shared" si="450"/>
      </c>
      <c r="AN521" s="4"/>
      <c r="AO521" s="4">
        <f t="shared" si="451"/>
      </c>
      <c r="AP521" s="4">
        <f t="shared" si="452"/>
      </c>
      <c r="AQ521" s="4">
        <f t="shared" si="453"/>
        <v/>
      </c>
      <c r="AR521" s="4">
        <f t="shared" si="454"/>
      </c>
      <c r="AS521" s="4">
        <f t="shared" si="455"/>
      </c>
      <c r="AT521" s="4">
        <f t="shared" si="456"/>
      </c>
    </row>
    <row r="522" spans="1:46" x14ac:dyDescent="0.3">
      <c r="A522" s="5">
        <f t="shared" si="428"/>
      </c>
      <c r="B522" s="4">
        <f t="shared" si="429"/>
      </c>
      <c r="C522" s="119"/>
      <c r="D522" s="119"/>
      <c r="E522" s="105"/>
      <c r="F522" s="173"/>
      <c r="G522" s="173"/>
      <c r="H522" s="173"/>
      <c r="I522" s="105"/>
      <c r="J522" s="105"/>
      <c r="K522" s="105"/>
      <c r="L522" s="105"/>
      <c r="M522" s="4">
        <f t="shared" si="430"/>
      </c>
      <c r="N522" s="59"/>
      <c r="O522" s="164"/>
      <c r="P522" s="59">
        <f t="shared" si="431"/>
      </c>
      <c r="Q522" s="165"/>
      <c r="R522" s="59"/>
      <c r="S522" s="164"/>
      <c r="T522" s="5">
        <f t="shared" si="432"/>
      </c>
      <c r="U522" s="4">
        <f t="shared" si="433"/>
      </c>
      <c r="V522" s="4">
        <f t="shared" si="434"/>
      </c>
      <c r="W522" s="4">
        <f t="shared" si="435"/>
      </c>
      <c r="X522" s="4">
        <f t="shared" si="436"/>
      </c>
      <c r="Y522" s="4" cm="1">
        <f t="array" ref="Y522">_xlfn.IFS(H522=1,2,H522=3,1)</f>
      </c>
      <c r="Z522" s="4">
        <f t="shared" si="437"/>
      </c>
      <c r="AA522" s="4">
        <f t="shared" si="438"/>
      </c>
      <c r="AB522" s="4">
        <f t="shared" si="439"/>
      </c>
      <c r="AC522" s="4">
        <f t="shared" si="440"/>
      </c>
      <c r="AD522" s="4">
        <f t="shared" si="441"/>
      </c>
      <c r="AE522" s="4">
        <f t="shared" si="442"/>
      </c>
      <c r="AF522" s="4">
        <f t="shared" si="443"/>
      </c>
      <c r="AG522" s="4">
        <f t="shared" si="444"/>
        <v/>
      </c>
      <c r="AH522" s="4">
        <f t="shared" si="445"/>
      </c>
      <c r="AI522" s="4">
        <f t="shared" si="446"/>
      </c>
      <c r="AJ522" s="4">
        <f t="shared" si="447"/>
      </c>
      <c r="AK522" s="4">
        <f t="shared" si="448"/>
      </c>
      <c r="AL522" s="4">
        <f t="shared" si="449"/>
      </c>
      <c r="AM522" s="4">
        <f t="shared" si="450"/>
      </c>
      <c r="AN522" s="4"/>
      <c r="AO522" s="4">
        <f t="shared" si="451"/>
      </c>
      <c r="AP522" s="4">
        <f t="shared" si="452"/>
      </c>
      <c r="AQ522" s="4">
        <f t="shared" si="453"/>
        <v/>
      </c>
      <c r="AR522" s="4">
        <f t="shared" si="454"/>
      </c>
      <c r="AS522" s="4">
        <f t="shared" si="455"/>
      </c>
      <c r="AT522" s="4">
        <f t="shared" si="456"/>
      </c>
    </row>
    <row r="523" spans="1:46" x14ac:dyDescent="0.3">
      <c r="A523" s="5">
        <f t="shared" si="428"/>
      </c>
      <c r="B523" s="4">
        <f t="shared" si="429"/>
      </c>
      <c r="C523" s="119"/>
      <c r="D523" s="119"/>
      <c r="E523" s="105"/>
      <c r="F523" s="173"/>
      <c r="G523" s="173"/>
      <c r="H523" s="173"/>
      <c r="I523" s="105"/>
      <c r="J523" s="105"/>
      <c r="K523" s="105"/>
      <c r="L523" s="105"/>
      <c r="M523" s="4">
        <f t="shared" si="430"/>
      </c>
      <c r="N523" s="59"/>
      <c r="O523" s="164"/>
      <c r="P523" s="59">
        <f t="shared" si="431"/>
      </c>
      <c r="Q523" s="165"/>
      <c r="R523" s="59"/>
      <c r="S523" s="164"/>
      <c r="T523" s="5">
        <f t="shared" si="432"/>
      </c>
      <c r="U523" s="4">
        <f t="shared" si="433"/>
      </c>
      <c r="V523" s="4">
        <f t="shared" si="434"/>
      </c>
      <c r="W523" s="4">
        <f t="shared" si="435"/>
      </c>
      <c r="X523" s="4">
        <f t="shared" si="436"/>
      </c>
      <c r="Y523" s="4" cm="1">
        <f t="array" ref="Y523">_xlfn.IFS(H523=1,2,H523=3,1)</f>
      </c>
      <c r="Z523" s="4">
        <f t="shared" si="437"/>
      </c>
      <c r="AA523" s="4">
        <f t="shared" si="438"/>
      </c>
      <c r="AB523" s="4">
        <f t="shared" si="439"/>
      </c>
      <c r="AC523" s="4">
        <f t="shared" si="440"/>
      </c>
      <c r="AD523" s="4">
        <f t="shared" si="441"/>
      </c>
      <c r="AE523" s="4">
        <f t="shared" si="442"/>
      </c>
      <c r="AF523" s="4">
        <f t="shared" si="443"/>
      </c>
      <c r="AG523" s="4">
        <f t="shared" si="444"/>
        <v/>
      </c>
      <c r="AH523" s="4">
        <f t="shared" si="445"/>
      </c>
      <c r="AI523" s="4">
        <f t="shared" si="446"/>
      </c>
      <c r="AJ523" s="4">
        <f t="shared" si="447"/>
      </c>
      <c r="AK523" s="4">
        <f t="shared" si="448"/>
      </c>
      <c r="AL523" s="4">
        <f t="shared" si="449"/>
      </c>
      <c r="AM523" s="4">
        <f t="shared" si="450"/>
      </c>
      <c r="AN523" s="4"/>
      <c r="AO523" s="4">
        <f t="shared" si="451"/>
      </c>
      <c r="AP523" s="4">
        <f t="shared" si="452"/>
      </c>
      <c r="AQ523" s="4">
        <f t="shared" si="453"/>
        <v/>
      </c>
      <c r="AR523" s="4">
        <f t="shared" si="454"/>
      </c>
      <c r="AS523" s="4">
        <f t="shared" si="455"/>
      </c>
      <c r="AT523" s="4">
        <f t="shared" si="456"/>
      </c>
    </row>
    <row r="524" spans="1:46" x14ac:dyDescent="0.3">
      <c r="A524" s="5">
        <f t="shared" si="428"/>
      </c>
      <c r="B524" s="4">
        <f t="shared" si="429"/>
      </c>
      <c r="C524" s="119"/>
      <c r="D524" s="119"/>
      <c r="E524" s="105"/>
      <c r="F524" s="173"/>
      <c r="G524" s="173"/>
      <c r="H524" s="173"/>
      <c r="I524" s="105"/>
      <c r="J524" s="105"/>
      <c r="K524" s="105"/>
      <c r="L524" s="105"/>
      <c r="M524" s="4">
        <f t="shared" si="430"/>
      </c>
      <c r="N524" s="59"/>
      <c r="O524" s="164"/>
      <c r="P524" s="59">
        <f t="shared" si="431"/>
      </c>
      <c r="Q524" s="165"/>
      <c r="R524" s="59"/>
      <c r="S524" s="164"/>
      <c r="T524" s="5">
        <f t="shared" si="432"/>
      </c>
      <c r="U524" s="4">
        <f t="shared" si="433"/>
      </c>
      <c r="V524" s="4">
        <f t="shared" si="434"/>
      </c>
      <c r="W524" s="4">
        <f t="shared" si="435"/>
      </c>
      <c r="X524" s="4">
        <f t="shared" si="436"/>
      </c>
      <c r="Y524" s="4" cm="1">
        <f t="array" ref="Y524">_xlfn.IFS(H524=1,2,H524=3,1)</f>
      </c>
      <c r="Z524" s="4">
        <f t="shared" si="437"/>
      </c>
      <c r="AA524" s="4">
        <f t="shared" si="438"/>
      </c>
      <c r="AB524" s="4">
        <f t="shared" si="439"/>
      </c>
      <c r="AC524" s="4">
        <f t="shared" si="440"/>
      </c>
      <c r="AD524" s="4">
        <f t="shared" si="441"/>
      </c>
      <c r="AE524" s="4">
        <f t="shared" si="442"/>
      </c>
      <c r="AF524" s="4">
        <f t="shared" si="443"/>
      </c>
      <c r="AG524" s="4">
        <f t="shared" si="444"/>
        <v/>
      </c>
      <c r="AH524" s="4">
        <f t="shared" si="445"/>
      </c>
      <c r="AI524" s="4">
        <f t="shared" si="446"/>
      </c>
      <c r="AJ524" s="4">
        <f t="shared" si="447"/>
      </c>
      <c r="AK524" s="4">
        <f t="shared" si="448"/>
      </c>
      <c r="AL524" s="4">
        <f t="shared" si="449"/>
      </c>
      <c r="AM524" s="4">
        <f t="shared" si="450"/>
      </c>
      <c r="AN524" s="4"/>
      <c r="AO524" s="4">
        <f t="shared" si="451"/>
      </c>
      <c r="AP524" s="4">
        <f t="shared" si="452"/>
      </c>
      <c r="AQ524" s="4">
        <f t="shared" si="453"/>
        <v/>
      </c>
      <c r="AR524" s="4">
        <f t="shared" si="454"/>
      </c>
      <c r="AS524" s="4">
        <f t="shared" si="455"/>
      </c>
      <c r="AT524" s="4">
        <f t="shared" si="456"/>
      </c>
    </row>
    <row r="525" spans="1:46" x14ac:dyDescent="0.3">
      <c r="A525" s="5">
        <f t="shared" si="428"/>
      </c>
      <c r="B525" s="4">
        <f t="shared" si="429"/>
      </c>
      <c r="C525" s="119"/>
      <c r="D525" s="119"/>
      <c r="E525" s="105"/>
      <c r="F525" s="173"/>
      <c r="G525" s="173"/>
      <c r="H525" s="173"/>
      <c r="I525" s="105"/>
      <c r="J525" s="105"/>
      <c r="K525" s="105"/>
      <c r="L525" s="105"/>
      <c r="M525" s="4">
        <f t="shared" si="430"/>
      </c>
      <c r="N525" s="59"/>
      <c r="O525" s="164"/>
      <c r="P525" s="59">
        <f t="shared" si="431"/>
      </c>
      <c r="Q525" s="165"/>
      <c r="R525" s="59"/>
      <c r="S525" s="164"/>
      <c r="T525" s="5">
        <f t="shared" si="432"/>
      </c>
      <c r="U525" s="4">
        <f t="shared" si="433"/>
      </c>
      <c r="V525" s="4">
        <f t="shared" si="434"/>
      </c>
      <c r="W525" s="4">
        <f t="shared" si="435"/>
      </c>
      <c r="X525" s="4">
        <f t="shared" si="436"/>
      </c>
      <c r="Y525" s="4" cm="1">
        <f t="array" ref="Y525">_xlfn.IFS(H525=1,2,H525=3,1)</f>
      </c>
      <c r="Z525" s="4">
        <f t="shared" si="437"/>
      </c>
      <c r="AA525" s="4">
        <f t="shared" si="438"/>
      </c>
      <c r="AB525" s="4">
        <f t="shared" si="439"/>
      </c>
      <c r="AC525" s="4">
        <f t="shared" si="440"/>
      </c>
      <c r="AD525" s="4">
        <f t="shared" si="441"/>
      </c>
      <c r="AE525" s="4">
        <f t="shared" si="442"/>
      </c>
      <c r="AF525" s="4">
        <f t="shared" si="443"/>
      </c>
      <c r="AG525" s="4">
        <f t="shared" si="444"/>
        <v/>
      </c>
      <c r="AH525" s="4">
        <f t="shared" si="445"/>
      </c>
      <c r="AI525" s="4">
        <f t="shared" si="446"/>
      </c>
      <c r="AJ525" s="4">
        <f t="shared" si="447"/>
      </c>
      <c r="AK525" s="4">
        <f t="shared" si="448"/>
      </c>
      <c r="AL525" s="4">
        <f t="shared" si="449"/>
      </c>
      <c r="AM525" s="4">
        <f t="shared" si="450"/>
      </c>
      <c r="AN525" s="4"/>
      <c r="AO525" s="4">
        <f t="shared" si="451"/>
      </c>
      <c r="AP525" s="4">
        <f t="shared" si="452"/>
      </c>
      <c r="AQ525" s="4">
        <f t="shared" si="453"/>
        <v/>
      </c>
      <c r="AR525" s="4">
        <f t="shared" si="454"/>
      </c>
      <c r="AS525" s="4">
        <f t="shared" si="455"/>
      </c>
      <c r="AT525" s="4">
        <f t="shared" si="456"/>
      </c>
    </row>
    <row r="526" spans="1:46" x14ac:dyDescent="0.3">
      <c r="A526" s="5">
        <f t="shared" si="428"/>
      </c>
      <c r="B526" s="4">
        <f t="shared" si="429"/>
      </c>
      <c r="C526" s="119"/>
      <c r="D526" s="119"/>
      <c r="E526" s="105"/>
      <c r="F526" s="173"/>
      <c r="G526" s="173"/>
      <c r="H526" s="173"/>
      <c r="I526" s="105"/>
      <c r="J526" s="105"/>
      <c r="K526" s="105"/>
      <c r="L526" s="105"/>
      <c r="M526" s="4">
        <f t="shared" si="430"/>
      </c>
      <c r="N526" s="59"/>
      <c r="O526" s="164"/>
      <c r="P526" s="59">
        <f t="shared" si="431"/>
      </c>
      <c r="Q526" s="165"/>
      <c r="R526" s="59"/>
      <c r="S526" s="164"/>
      <c r="T526" s="5">
        <f t="shared" si="432"/>
      </c>
      <c r="U526" s="4">
        <f t="shared" si="433"/>
      </c>
      <c r="V526" s="4">
        <f t="shared" si="434"/>
      </c>
      <c r="W526" s="4">
        <f t="shared" si="435"/>
      </c>
      <c r="X526" s="4">
        <f t="shared" si="436"/>
      </c>
      <c r="Y526" s="4" cm="1">
        <f t="array" ref="Y526">_xlfn.IFS(H526=1,2,H526=3,1)</f>
      </c>
      <c r="Z526" s="4">
        <f t="shared" si="437"/>
      </c>
      <c r="AA526" s="4">
        <f t="shared" si="438"/>
      </c>
      <c r="AB526" s="4">
        <f t="shared" si="439"/>
      </c>
      <c r="AC526" s="4">
        <f t="shared" si="440"/>
      </c>
      <c r="AD526" s="4">
        <f t="shared" si="441"/>
      </c>
      <c r="AE526" s="4">
        <f t="shared" si="442"/>
      </c>
      <c r="AF526" s="4">
        <f t="shared" si="443"/>
      </c>
      <c r="AG526" s="4">
        <f t="shared" si="444"/>
        <v/>
      </c>
      <c r="AH526" s="4">
        <f t="shared" si="445"/>
      </c>
      <c r="AI526" s="4">
        <f t="shared" si="446"/>
      </c>
      <c r="AJ526" s="4">
        <f t="shared" si="447"/>
      </c>
      <c r="AK526" s="4">
        <f t="shared" si="448"/>
      </c>
      <c r="AL526" s="4">
        <f t="shared" si="449"/>
      </c>
      <c r="AM526" s="4">
        <f t="shared" si="450"/>
      </c>
      <c r="AN526" s="4"/>
      <c r="AO526" s="4">
        <f t="shared" si="451"/>
      </c>
      <c r="AP526" s="4">
        <f t="shared" si="452"/>
      </c>
      <c r="AQ526" s="4">
        <f t="shared" si="453"/>
        <v/>
      </c>
      <c r="AR526" s="4">
        <f t="shared" si="454"/>
      </c>
      <c r="AS526" s="4">
        <f t="shared" si="455"/>
      </c>
      <c r="AT526" s="4">
        <f t="shared" si="456"/>
      </c>
    </row>
    <row r="527" spans="1:46" x14ac:dyDescent="0.3">
      <c r="A527" s="5">
        <f t="shared" si="428"/>
      </c>
      <c r="B527" s="4">
        <f t="shared" si="429"/>
      </c>
      <c r="C527" s="119"/>
      <c r="D527" s="119"/>
      <c r="E527" s="105"/>
      <c r="F527" s="173"/>
      <c r="G527" s="173"/>
      <c r="H527" s="173"/>
      <c r="I527" s="105"/>
      <c r="J527" s="105"/>
      <c r="K527" s="105"/>
      <c r="L527" s="105"/>
      <c r="M527" s="4">
        <f t="shared" si="430"/>
      </c>
      <c r="N527" s="59"/>
      <c r="O527" s="164"/>
      <c r="P527" s="59">
        <f t="shared" si="431"/>
      </c>
      <c r="Q527" s="165"/>
      <c r="R527" s="59"/>
      <c r="S527" s="164"/>
      <c r="T527" s="5">
        <f t="shared" si="432"/>
      </c>
      <c r="U527" s="4">
        <f t="shared" si="433"/>
      </c>
      <c r="V527" s="4">
        <f t="shared" si="434"/>
      </c>
      <c r="W527" s="4">
        <f t="shared" si="435"/>
      </c>
      <c r="X527" s="4">
        <f t="shared" si="436"/>
      </c>
      <c r="Y527" s="4" cm="1">
        <f t="array" ref="Y527">_xlfn.IFS(H527=1,2,H527=3,1)</f>
      </c>
      <c r="Z527" s="4">
        <f t="shared" si="437"/>
      </c>
      <c r="AA527" s="4">
        <f t="shared" si="438"/>
      </c>
      <c r="AB527" s="4">
        <f t="shared" si="439"/>
      </c>
      <c r="AC527" s="4">
        <f t="shared" si="440"/>
      </c>
      <c r="AD527" s="4">
        <f t="shared" si="441"/>
      </c>
      <c r="AE527" s="4">
        <f t="shared" si="442"/>
      </c>
      <c r="AF527" s="4">
        <f t="shared" si="443"/>
      </c>
      <c r="AG527" s="4">
        <f t="shared" si="444"/>
        <v/>
      </c>
      <c r="AH527" s="4">
        <f t="shared" si="445"/>
      </c>
      <c r="AI527" s="4">
        <f t="shared" si="446"/>
      </c>
      <c r="AJ527" s="4">
        <f t="shared" si="447"/>
      </c>
      <c r="AK527" s="4">
        <f t="shared" si="448"/>
      </c>
      <c r="AL527" s="4">
        <f t="shared" si="449"/>
      </c>
      <c r="AM527" s="4">
        <f t="shared" si="450"/>
      </c>
      <c r="AN527" s="4"/>
      <c r="AO527" s="4">
        <f t="shared" si="451"/>
      </c>
      <c r="AP527" s="4">
        <f t="shared" si="452"/>
      </c>
      <c r="AQ527" s="4">
        <f t="shared" si="453"/>
        <v/>
      </c>
      <c r="AR527" s="4">
        <f t="shared" si="454"/>
      </c>
      <c r="AS527" s="4">
        <f t="shared" si="455"/>
      </c>
      <c r="AT527" s="4">
        <f t="shared" si="456"/>
      </c>
    </row>
    <row r="528" spans="1:46" x14ac:dyDescent="0.3">
      <c r="A528" s="5">
        <f t="shared" si="428"/>
      </c>
      <c r="B528" s="4">
        <f t="shared" si="429"/>
      </c>
      <c r="C528" s="119"/>
      <c r="D528" s="119"/>
      <c r="E528" s="105"/>
      <c r="F528" s="173"/>
      <c r="G528" s="173"/>
      <c r="H528" s="173"/>
      <c r="I528" s="105"/>
      <c r="J528" s="105"/>
      <c r="K528" s="105"/>
      <c r="L528" s="105"/>
      <c r="M528" s="4">
        <f t="shared" si="430"/>
      </c>
      <c r="N528" s="59"/>
      <c r="O528" s="164"/>
      <c r="P528" s="59">
        <f t="shared" si="431"/>
      </c>
      <c r="Q528" s="165"/>
      <c r="R528" s="59"/>
      <c r="S528" s="164"/>
      <c r="T528" s="5">
        <f t="shared" si="432"/>
      </c>
      <c r="U528" s="4">
        <f t="shared" si="433"/>
      </c>
      <c r="V528" s="4">
        <f t="shared" si="434"/>
      </c>
      <c r="W528" s="4">
        <f t="shared" si="435"/>
      </c>
      <c r="X528" s="4">
        <f t="shared" si="436"/>
      </c>
      <c r="Y528" s="4" cm="1">
        <f t="array" ref="Y528">_xlfn.IFS(H528=1,2,H528=3,1)</f>
      </c>
      <c r="Z528" s="4">
        <f t="shared" si="437"/>
      </c>
      <c r="AA528" s="4">
        <f t="shared" si="438"/>
      </c>
      <c r="AB528" s="4">
        <f t="shared" si="439"/>
      </c>
      <c r="AC528" s="4">
        <f t="shared" si="440"/>
      </c>
      <c r="AD528" s="4">
        <f t="shared" si="441"/>
      </c>
      <c r="AE528" s="4">
        <f t="shared" si="442"/>
      </c>
      <c r="AF528" s="4">
        <f t="shared" si="443"/>
      </c>
      <c r="AG528" s="4">
        <f t="shared" si="444"/>
        <v/>
      </c>
      <c r="AH528" s="4">
        <f t="shared" si="445"/>
      </c>
      <c r="AI528" s="4">
        <f t="shared" si="446"/>
      </c>
      <c r="AJ528" s="4">
        <f t="shared" si="447"/>
      </c>
      <c r="AK528" s="4">
        <f t="shared" si="448"/>
      </c>
      <c r="AL528" s="4">
        <f t="shared" si="449"/>
      </c>
      <c r="AM528" s="4">
        <f t="shared" si="450"/>
      </c>
      <c r="AN528" s="4"/>
      <c r="AO528" s="4">
        <f t="shared" si="451"/>
      </c>
      <c r="AP528" s="4">
        <f t="shared" si="452"/>
      </c>
      <c r="AQ528" s="4">
        <f t="shared" si="453"/>
        <v/>
      </c>
      <c r="AR528" s="4">
        <f t="shared" si="454"/>
      </c>
      <c r="AS528" s="4">
        <f t="shared" si="455"/>
      </c>
      <c r="AT528" s="4">
        <f t="shared" si="456"/>
      </c>
    </row>
    <row r="529" spans="1:46" x14ac:dyDescent="0.3">
      <c r="A529" s="5">
        <f t="shared" si="428"/>
      </c>
      <c r="B529" s="4">
        <f t="shared" si="429"/>
      </c>
      <c r="C529" s="119"/>
      <c r="D529" s="119"/>
      <c r="E529" s="105"/>
      <c r="F529" s="173"/>
      <c r="G529" s="173"/>
      <c r="H529" s="173"/>
      <c r="I529" s="105"/>
      <c r="J529" s="105"/>
      <c r="K529" s="105"/>
      <c r="L529" s="105"/>
      <c r="M529" s="4">
        <f t="shared" si="430"/>
      </c>
      <c r="N529" s="59"/>
      <c r="O529" s="164"/>
      <c r="P529" s="59">
        <f t="shared" si="431"/>
      </c>
      <c r="Q529" s="165"/>
      <c r="R529" s="59"/>
      <c r="S529" s="164"/>
      <c r="T529" s="5">
        <f t="shared" si="432"/>
      </c>
      <c r="U529" s="4">
        <f t="shared" si="433"/>
      </c>
      <c r="V529" s="4">
        <f t="shared" si="434"/>
      </c>
      <c r="W529" s="4">
        <f t="shared" si="435"/>
      </c>
      <c r="X529" s="4">
        <f t="shared" si="436"/>
      </c>
      <c r="Y529" s="4" cm="1">
        <f t="array" ref="Y529">_xlfn.IFS(H529=1,2,H529=3,1)</f>
      </c>
      <c r="Z529" s="4">
        <f t="shared" si="437"/>
      </c>
      <c r="AA529" s="4">
        <f t="shared" si="438"/>
      </c>
      <c r="AB529" s="4">
        <f t="shared" si="439"/>
      </c>
      <c r="AC529" s="4">
        <f t="shared" si="440"/>
      </c>
      <c r="AD529" s="4">
        <f t="shared" si="441"/>
      </c>
      <c r="AE529" s="4">
        <f t="shared" si="442"/>
      </c>
      <c r="AF529" s="4">
        <f t="shared" si="443"/>
      </c>
      <c r="AG529" s="4">
        <f t="shared" si="444"/>
        <v/>
      </c>
      <c r="AH529" s="4">
        <f t="shared" si="445"/>
      </c>
      <c r="AI529" s="4">
        <f t="shared" si="446"/>
      </c>
      <c r="AJ529" s="4">
        <f t="shared" si="447"/>
      </c>
      <c r="AK529" s="4">
        <f t="shared" si="448"/>
      </c>
      <c r="AL529" s="4">
        <f t="shared" si="449"/>
      </c>
      <c r="AM529" s="4">
        <f t="shared" si="450"/>
      </c>
      <c r="AN529" s="4"/>
      <c r="AO529" s="4">
        <f t="shared" si="451"/>
      </c>
      <c r="AP529" s="4">
        <f t="shared" si="452"/>
      </c>
      <c r="AQ529" s="4">
        <f t="shared" si="453"/>
        <v/>
      </c>
      <c r="AR529" s="4">
        <f t="shared" si="454"/>
      </c>
      <c r="AS529" s="4">
        <f t="shared" si="455"/>
      </c>
      <c r="AT529" s="4">
        <f t="shared" si="456"/>
      </c>
    </row>
    <row r="530" spans="1:46" x14ac:dyDescent="0.3">
      <c r="A530" s="5">
        <f t="shared" si="428"/>
      </c>
      <c r="B530" s="4">
        <f t="shared" si="429"/>
      </c>
      <c r="C530" s="119"/>
      <c r="D530" s="119"/>
      <c r="E530" s="105"/>
      <c r="F530" s="173"/>
      <c r="G530" s="173"/>
      <c r="H530" s="173"/>
      <c r="I530" s="105"/>
      <c r="J530" s="105"/>
      <c r="K530" s="105"/>
      <c r="L530" s="105"/>
      <c r="M530" s="4">
        <f t="shared" si="430"/>
      </c>
      <c r="N530" s="59"/>
      <c r="O530" s="164"/>
      <c r="P530" s="59">
        <f t="shared" si="431"/>
      </c>
      <c r="Q530" s="165"/>
      <c r="R530" s="59"/>
      <c r="S530" s="164"/>
      <c r="T530" s="5">
        <f t="shared" si="432"/>
      </c>
      <c r="U530" s="4">
        <f t="shared" si="433"/>
      </c>
      <c r="V530" s="4">
        <f t="shared" si="434"/>
      </c>
      <c r="W530" s="4">
        <f t="shared" si="435"/>
      </c>
      <c r="X530" s="4">
        <f t="shared" si="436"/>
      </c>
      <c r="Y530" s="4" cm="1">
        <f t="array" ref="Y530">_xlfn.IFS(H530=1,2,H530=3,1)</f>
      </c>
      <c r="Z530" s="4">
        <f t="shared" si="437"/>
      </c>
      <c r="AA530" s="4">
        <f t="shared" si="438"/>
      </c>
      <c r="AB530" s="4">
        <f t="shared" si="439"/>
      </c>
      <c r="AC530" s="4">
        <f t="shared" si="440"/>
      </c>
      <c r="AD530" s="4">
        <f t="shared" si="441"/>
      </c>
      <c r="AE530" s="4">
        <f t="shared" si="442"/>
      </c>
      <c r="AF530" s="4">
        <f t="shared" si="443"/>
      </c>
      <c r="AG530" s="4">
        <f t="shared" si="444"/>
        <v/>
      </c>
      <c r="AH530" s="4">
        <f t="shared" si="445"/>
      </c>
      <c r="AI530" s="4">
        <f t="shared" si="446"/>
      </c>
      <c r="AJ530" s="4">
        <f t="shared" si="447"/>
      </c>
      <c r="AK530" s="4">
        <f t="shared" si="448"/>
      </c>
      <c r="AL530" s="4">
        <f t="shared" si="449"/>
      </c>
      <c r="AM530" s="4">
        <f t="shared" si="450"/>
      </c>
      <c r="AN530" s="4"/>
      <c r="AO530" s="4">
        <f t="shared" si="451"/>
      </c>
      <c r="AP530" s="4">
        <f t="shared" si="452"/>
      </c>
      <c r="AQ530" s="4">
        <f t="shared" si="453"/>
        <v/>
      </c>
      <c r="AR530" s="4">
        <f t="shared" si="454"/>
      </c>
      <c r="AS530" s="4">
        <f t="shared" si="455"/>
      </c>
      <c r="AT530" s="4">
        <f t="shared" si="456"/>
      </c>
    </row>
    <row r="531" spans="1:46" x14ac:dyDescent="0.3">
      <c r="A531" s="5">
        <f t="shared" si="428"/>
      </c>
      <c r="B531" s="4">
        <f t="shared" si="429"/>
      </c>
      <c r="C531" s="119"/>
      <c r="D531" s="119"/>
      <c r="E531" s="105"/>
      <c r="F531" s="173"/>
      <c r="G531" s="173"/>
      <c r="H531" s="173"/>
      <c r="I531" s="105"/>
      <c r="J531" s="105"/>
      <c r="K531" s="105"/>
      <c r="L531" s="105"/>
      <c r="M531" s="4">
        <f t="shared" si="430"/>
      </c>
      <c r="N531" s="59"/>
      <c r="O531" s="164"/>
      <c r="P531" s="59">
        <f t="shared" si="431"/>
      </c>
      <c r="Q531" s="165"/>
      <c r="R531" s="59"/>
      <c r="S531" s="164"/>
      <c r="T531" s="5">
        <f t="shared" si="432"/>
      </c>
      <c r="U531" s="4">
        <f t="shared" si="433"/>
      </c>
      <c r="V531" s="4">
        <f t="shared" si="434"/>
      </c>
      <c r="W531" s="4">
        <f t="shared" si="435"/>
      </c>
      <c r="X531" s="4">
        <f t="shared" si="436"/>
      </c>
      <c r="Y531" s="4" cm="1">
        <f t="array" ref="Y531">_xlfn.IFS(H531=1,2,H531=3,1)</f>
      </c>
      <c r="Z531" s="4">
        <f t="shared" si="437"/>
      </c>
      <c r="AA531" s="4">
        <f t="shared" si="438"/>
      </c>
      <c r="AB531" s="4">
        <f t="shared" si="439"/>
      </c>
      <c r="AC531" s="4">
        <f t="shared" si="440"/>
      </c>
      <c r="AD531" s="4">
        <f t="shared" si="441"/>
      </c>
      <c r="AE531" s="4">
        <f t="shared" si="442"/>
      </c>
      <c r="AF531" s="4">
        <f t="shared" si="443"/>
      </c>
      <c r="AG531" s="4">
        <f t="shared" si="444"/>
        <v/>
      </c>
      <c r="AH531" s="4">
        <f t="shared" si="445"/>
      </c>
      <c r="AI531" s="4">
        <f t="shared" si="446"/>
      </c>
      <c r="AJ531" s="4">
        <f t="shared" si="447"/>
      </c>
      <c r="AK531" s="4">
        <f t="shared" si="448"/>
      </c>
      <c r="AL531" s="4">
        <f t="shared" si="449"/>
      </c>
      <c r="AM531" s="4">
        <f t="shared" si="450"/>
      </c>
      <c r="AN531" s="4"/>
      <c r="AO531" s="4">
        <f t="shared" si="451"/>
      </c>
      <c r="AP531" s="4">
        <f t="shared" si="452"/>
      </c>
      <c r="AQ531" s="4">
        <f t="shared" si="453"/>
        <v/>
      </c>
      <c r="AR531" s="4">
        <f t="shared" si="454"/>
      </c>
      <c r="AS531" s="4">
        <f t="shared" si="455"/>
      </c>
      <c r="AT531" s="4">
        <f t="shared" si="456"/>
      </c>
    </row>
    <row r="532" spans="1:46" x14ac:dyDescent="0.3">
      <c r="A532" s="5">
        <f t="shared" si="428"/>
      </c>
      <c r="B532" s="4">
        <f t="shared" si="429"/>
      </c>
      <c r="C532" s="119"/>
      <c r="D532" s="119"/>
      <c r="E532" s="105"/>
      <c r="F532" s="173"/>
      <c r="G532" s="173"/>
      <c r="H532" s="173"/>
      <c r="I532" s="105"/>
      <c r="J532" s="105"/>
      <c r="K532" s="105"/>
      <c r="L532" s="105"/>
      <c r="M532" s="4">
        <f t="shared" si="430"/>
      </c>
      <c r="N532" s="59"/>
      <c r="O532" s="164"/>
      <c r="P532" s="59">
        <f t="shared" si="431"/>
      </c>
      <c r="Q532" s="165"/>
      <c r="R532" s="59"/>
      <c r="S532" s="164"/>
      <c r="T532" s="5">
        <f t="shared" si="432"/>
      </c>
      <c r="U532" s="4">
        <f t="shared" si="433"/>
      </c>
      <c r="V532" s="4">
        <f t="shared" si="434"/>
      </c>
      <c r="W532" s="4">
        <f t="shared" si="435"/>
      </c>
      <c r="X532" s="4">
        <f t="shared" si="436"/>
      </c>
      <c r="Y532" s="4" cm="1">
        <f t="array" ref="Y532">_xlfn.IFS(H532=1,2,H532=3,1)</f>
      </c>
      <c r="Z532" s="4">
        <f t="shared" si="437"/>
      </c>
      <c r="AA532" s="4">
        <f t="shared" si="438"/>
      </c>
      <c r="AB532" s="4">
        <f t="shared" si="439"/>
      </c>
      <c r="AC532" s="4">
        <f t="shared" si="440"/>
      </c>
      <c r="AD532" s="4">
        <f t="shared" si="441"/>
      </c>
      <c r="AE532" s="4">
        <f t="shared" si="442"/>
      </c>
      <c r="AF532" s="4">
        <f t="shared" si="443"/>
      </c>
      <c r="AG532" s="4">
        <f t="shared" si="444"/>
        <v/>
      </c>
      <c r="AH532" s="4">
        <f t="shared" si="445"/>
      </c>
      <c r="AI532" s="4">
        <f t="shared" si="446"/>
      </c>
      <c r="AJ532" s="4">
        <f t="shared" si="447"/>
      </c>
      <c r="AK532" s="4">
        <f t="shared" si="448"/>
      </c>
      <c r="AL532" s="4">
        <f t="shared" si="449"/>
      </c>
      <c r="AM532" s="4">
        <f t="shared" si="450"/>
      </c>
      <c r="AN532" s="4"/>
      <c r="AO532" s="4">
        <f t="shared" si="451"/>
      </c>
      <c r="AP532" s="4">
        <f t="shared" si="452"/>
      </c>
      <c r="AQ532" s="4">
        <f t="shared" si="453"/>
        <v/>
      </c>
      <c r="AR532" s="4">
        <f t="shared" si="454"/>
      </c>
      <c r="AS532" s="4">
        <f t="shared" si="455"/>
      </c>
      <c r="AT532" s="4">
        <f t="shared" si="456"/>
      </c>
    </row>
    <row r="533" spans="1:46" x14ac:dyDescent="0.3">
      <c r="A533" s="5">
        <f t="shared" si="428"/>
      </c>
      <c r="B533" s="4">
        <f t="shared" si="429"/>
      </c>
      <c r="C533" s="119"/>
      <c r="D533" s="119"/>
      <c r="E533" s="105"/>
      <c r="F533" s="173"/>
      <c r="G533" s="173"/>
      <c r="H533" s="173"/>
      <c r="I533" s="105"/>
      <c r="J533" s="105"/>
      <c r="K533" s="105"/>
      <c r="L533" s="105"/>
      <c r="M533" s="4">
        <f t="shared" si="430"/>
      </c>
      <c r="N533" s="59"/>
      <c r="O533" s="164"/>
      <c r="P533" s="59">
        <f t="shared" si="431"/>
      </c>
      <c r="Q533" s="165"/>
      <c r="R533" s="59"/>
      <c r="S533" s="164"/>
      <c r="T533" s="5">
        <f t="shared" si="432"/>
      </c>
      <c r="U533" s="4">
        <f t="shared" si="433"/>
      </c>
      <c r="V533" s="4">
        <f t="shared" si="434"/>
      </c>
      <c r="W533" s="4">
        <f t="shared" si="435"/>
      </c>
      <c r="X533" s="4">
        <f t="shared" si="436"/>
      </c>
      <c r="Y533" s="4" cm="1">
        <f t="array" ref="Y533">_xlfn.IFS(H533=1,2,H533=3,1)</f>
      </c>
      <c r="Z533" s="4">
        <f t="shared" si="437"/>
      </c>
      <c r="AA533" s="4">
        <f t="shared" si="438"/>
      </c>
      <c r="AB533" s="4">
        <f t="shared" si="439"/>
      </c>
      <c r="AC533" s="4">
        <f t="shared" si="440"/>
      </c>
      <c r="AD533" s="4">
        <f t="shared" si="441"/>
      </c>
      <c r="AE533" s="4">
        <f t="shared" si="442"/>
      </c>
      <c r="AF533" s="4">
        <f t="shared" si="443"/>
      </c>
      <c r="AG533" s="4">
        <f t="shared" si="444"/>
        <v/>
      </c>
      <c r="AH533" s="4">
        <f t="shared" si="445"/>
      </c>
      <c r="AI533" s="4">
        <f t="shared" si="446"/>
      </c>
      <c r="AJ533" s="4">
        <f t="shared" si="447"/>
      </c>
      <c r="AK533" s="4">
        <f t="shared" si="448"/>
      </c>
      <c r="AL533" s="4">
        <f t="shared" si="449"/>
      </c>
      <c r="AM533" s="4">
        <f t="shared" si="450"/>
      </c>
      <c r="AN533" s="4"/>
      <c r="AO533" s="4">
        <f t="shared" si="451"/>
      </c>
      <c r="AP533" s="4">
        <f t="shared" si="452"/>
      </c>
      <c r="AQ533" s="4">
        <f t="shared" si="453"/>
        <v/>
      </c>
      <c r="AR533" s="4">
        <f t="shared" si="454"/>
      </c>
      <c r="AS533" s="4">
        <f t="shared" si="455"/>
      </c>
      <c r="AT533" s="4">
        <f t="shared" si="456"/>
      </c>
    </row>
    <row r="534" spans="1:46" x14ac:dyDescent="0.3">
      <c r="A534" s="5">
        <f t="shared" si="428"/>
      </c>
      <c r="B534" s="4">
        <f t="shared" si="429"/>
      </c>
      <c r="C534" s="119"/>
      <c r="D534" s="119"/>
      <c r="E534" s="105"/>
      <c r="F534" s="173"/>
      <c r="G534" s="173"/>
      <c r="H534" s="173"/>
      <c r="I534" s="105"/>
      <c r="J534" s="105"/>
      <c r="K534" s="105"/>
      <c r="L534" s="105"/>
      <c r="M534" s="4">
        <f t="shared" si="430"/>
      </c>
      <c r="N534" s="59"/>
      <c r="O534" s="164"/>
      <c r="P534" s="59">
        <f t="shared" si="431"/>
      </c>
      <c r="Q534" s="165"/>
      <c r="R534" s="59"/>
      <c r="S534" s="164"/>
      <c r="T534" s="5">
        <f t="shared" si="432"/>
      </c>
      <c r="U534" s="4">
        <f t="shared" si="433"/>
      </c>
      <c r="V534" s="4">
        <f t="shared" si="434"/>
      </c>
      <c r="W534" s="4">
        <f t="shared" si="435"/>
      </c>
      <c r="X534" s="4">
        <f t="shared" si="436"/>
      </c>
      <c r="Y534" s="4" cm="1">
        <f t="array" ref="Y534">_xlfn.IFS(H534=1,2,H534=3,1)</f>
      </c>
      <c r="Z534" s="4">
        <f t="shared" si="437"/>
      </c>
      <c r="AA534" s="4">
        <f t="shared" si="438"/>
      </c>
      <c r="AB534" s="4">
        <f t="shared" si="439"/>
      </c>
      <c r="AC534" s="4">
        <f t="shared" si="440"/>
      </c>
      <c r="AD534" s="4">
        <f t="shared" si="441"/>
      </c>
      <c r="AE534" s="4">
        <f t="shared" si="442"/>
      </c>
      <c r="AF534" s="4">
        <f t="shared" si="443"/>
      </c>
      <c r="AG534" s="4">
        <f t="shared" si="444"/>
        <v/>
      </c>
      <c r="AH534" s="4">
        <f t="shared" si="445"/>
      </c>
      <c r="AI534" s="4">
        <f t="shared" si="446"/>
      </c>
      <c r="AJ534" s="4">
        <f t="shared" si="447"/>
      </c>
      <c r="AK534" s="4">
        <f t="shared" si="448"/>
      </c>
      <c r="AL534" s="4">
        <f t="shared" si="449"/>
      </c>
      <c r="AM534" s="4">
        <f t="shared" si="450"/>
      </c>
      <c r="AN534" s="4"/>
      <c r="AO534" s="4">
        <f t="shared" si="451"/>
      </c>
      <c r="AP534" s="4">
        <f t="shared" si="452"/>
      </c>
      <c r="AQ534" s="4">
        <f t="shared" si="453"/>
        <v/>
      </c>
      <c r="AR534" s="4">
        <f t="shared" si="454"/>
      </c>
      <c r="AS534" s="4">
        <f t="shared" si="455"/>
      </c>
      <c r="AT534" s="4">
        <f t="shared" si="456"/>
      </c>
    </row>
    <row r="535" spans="1:46" x14ac:dyDescent="0.3">
      <c r="A535" s="5">
        <f t="shared" si="428"/>
      </c>
      <c r="B535" s="4">
        <f t="shared" si="429"/>
      </c>
      <c r="C535" s="119"/>
      <c r="D535" s="119"/>
      <c r="E535" s="105"/>
      <c r="F535" s="173"/>
      <c r="G535" s="173"/>
      <c r="H535" s="173"/>
      <c r="I535" s="105"/>
      <c r="J535" s="105"/>
      <c r="K535" s="105"/>
      <c r="L535" s="105"/>
      <c r="M535" s="4">
        <f t="shared" si="430"/>
      </c>
      <c r="N535" s="59"/>
      <c r="O535" s="164"/>
      <c r="P535" s="59">
        <f t="shared" si="431"/>
      </c>
      <c r="Q535" s="165"/>
      <c r="R535" s="59"/>
      <c r="S535" s="164"/>
      <c r="T535" s="5">
        <f t="shared" si="432"/>
      </c>
      <c r="U535" s="4">
        <f t="shared" si="433"/>
      </c>
      <c r="V535" s="4">
        <f t="shared" si="434"/>
      </c>
      <c r="W535" s="4">
        <f t="shared" si="435"/>
      </c>
      <c r="X535" s="4">
        <f t="shared" si="436"/>
      </c>
      <c r="Y535" s="4" cm="1">
        <f t="array" ref="Y535">_xlfn.IFS(H535=1,2,H535=3,1)</f>
      </c>
      <c r="Z535" s="4">
        <f t="shared" si="437"/>
      </c>
      <c r="AA535" s="4">
        <f t="shared" si="438"/>
      </c>
      <c r="AB535" s="4">
        <f t="shared" si="439"/>
      </c>
      <c r="AC535" s="4">
        <f t="shared" si="440"/>
      </c>
      <c r="AD535" s="4">
        <f t="shared" si="441"/>
      </c>
      <c r="AE535" s="4">
        <f t="shared" si="442"/>
      </c>
      <c r="AF535" s="4">
        <f t="shared" si="443"/>
      </c>
      <c r="AG535" s="4">
        <f t="shared" si="444"/>
        <v/>
      </c>
      <c r="AH535" s="4">
        <f t="shared" si="445"/>
      </c>
      <c r="AI535" s="4">
        <f t="shared" si="446"/>
      </c>
      <c r="AJ535" s="4">
        <f t="shared" si="447"/>
      </c>
      <c r="AK535" s="4">
        <f t="shared" si="448"/>
      </c>
      <c r="AL535" s="4">
        <f t="shared" si="449"/>
      </c>
      <c r="AM535" s="4">
        <f t="shared" si="450"/>
      </c>
      <c r="AN535" s="4"/>
      <c r="AO535" s="4">
        <f t="shared" si="451"/>
      </c>
      <c r="AP535" s="4">
        <f t="shared" si="452"/>
      </c>
      <c r="AQ535" s="4">
        <f t="shared" si="453"/>
        <v/>
      </c>
      <c r="AR535" s="4">
        <f t="shared" si="454"/>
      </c>
      <c r="AS535" s="4">
        <f t="shared" si="455"/>
      </c>
      <c r="AT535" s="4">
        <f t="shared" si="456"/>
      </c>
    </row>
    <row r="536" spans="1:46" x14ac:dyDescent="0.3">
      <c r="A536" s="5">
        <f t="shared" si="428"/>
      </c>
      <c r="B536" s="4">
        <f t="shared" si="429"/>
      </c>
      <c r="C536" s="119"/>
      <c r="D536" s="119"/>
      <c r="E536" s="105"/>
      <c r="F536" s="173"/>
      <c r="G536" s="173"/>
      <c r="H536" s="173"/>
      <c r="I536" s="105"/>
      <c r="J536" s="105"/>
      <c r="K536" s="105"/>
      <c r="L536" s="105"/>
      <c r="M536" s="4">
        <f t="shared" si="430"/>
      </c>
      <c r="N536" s="59"/>
      <c r="O536" s="164"/>
      <c r="P536" s="59">
        <f t="shared" si="431"/>
      </c>
      <c r="Q536" s="165"/>
      <c r="R536" s="59"/>
      <c r="S536" s="164"/>
      <c r="T536" s="5">
        <f t="shared" si="432"/>
      </c>
      <c r="U536" s="4">
        <f t="shared" si="433"/>
      </c>
      <c r="V536" s="4">
        <f t="shared" si="434"/>
      </c>
      <c r="W536" s="4">
        <f t="shared" si="435"/>
      </c>
      <c r="X536" s="4">
        <f t="shared" si="436"/>
      </c>
      <c r="Y536" s="4" cm="1">
        <f t="array" ref="Y536">_xlfn.IFS(H536=1,2,H536=3,1)</f>
      </c>
      <c r="Z536" s="4">
        <f t="shared" si="437"/>
      </c>
      <c r="AA536" s="4">
        <f t="shared" si="438"/>
      </c>
      <c r="AB536" s="4">
        <f t="shared" si="439"/>
      </c>
      <c r="AC536" s="4">
        <f t="shared" si="440"/>
      </c>
      <c r="AD536" s="4">
        <f t="shared" si="441"/>
      </c>
      <c r="AE536" s="4">
        <f t="shared" si="442"/>
      </c>
      <c r="AF536" s="4">
        <f t="shared" si="443"/>
      </c>
      <c r="AG536" s="4">
        <f t="shared" si="444"/>
        <v/>
      </c>
      <c r="AH536" s="4">
        <f t="shared" si="445"/>
      </c>
      <c r="AI536" s="4">
        <f t="shared" si="446"/>
      </c>
      <c r="AJ536" s="4">
        <f t="shared" si="447"/>
      </c>
      <c r="AK536" s="4">
        <f t="shared" si="448"/>
      </c>
      <c r="AL536" s="4">
        <f t="shared" si="449"/>
      </c>
      <c r="AM536" s="4">
        <f t="shared" si="450"/>
      </c>
      <c r="AN536" s="4"/>
      <c r="AO536" s="4">
        <f t="shared" si="451"/>
      </c>
      <c r="AP536" s="4">
        <f t="shared" si="452"/>
      </c>
      <c r="AQ536" s="4">
        <f t="shared" si="453"/>
        <v/>
      </c>
      <c r="AR536" s="4">
        <f t="shared" si="454"/>
      </c>
      <c r="AS536" s="4">
        <f t="shared" si="455"/>
      </c>
      <c r="AT536" s="4">
        <f t="shared" si="456"/>
      </c>
    </row>
    <row r="537" spans="1:46" x14ac:dyDescent="0.3">
      <c r="A537" s="5">
        <f t="shared" si="428"/>
      </c>
      <c r="B537" s="4">
        <f t="shared" si="429"/>
      </c>
      <c r="C537" s="119"/>
      <c r="D537" s="119"/>
      <c r="E537" s="105"/>
      <c r="F537" s="173"/>
      <c r="G537" s="173"/>
      <c r="H537" s="173"/>
      <c r="I537" s="105"/>
      <c r="J537" s="105"/>
      <c r="K537" s="105"/>
      <c r="L537" s="105"/>
      <c r="M537" s="4">
        <f t="shared" si="430"/>
      </c>
      <c r="N537" s="59"/>
      <c r="O537" s="164"/>
      <c r="P537" s="59">
        <f t="shared" si="431"/>
      </c>
      <c r="Q537" s="165"/>
      <c r="R537" s="59"/>
      <c r="S537" s="164"/>
      <c r="T537" s="5">
        <f t="shared" si="432"/>
      </c>
      <c r="U537" s="4">
        <f t="shared" si="433"/>
      </c>
      <c r="V537" s="4">
        <f t="shared" si="434"/>
      </c>
      <c r="W537" s="4">
        <f t="shared" si="435"/>
      </c>
      <c r="X537" s="4">
        <f t="shared" si="436"/>
      </c>
      <c r="Y537" s="4" cm="1">
        <f t="array" ref="Y537">_xlfn.IFS(H537=1,2,H537=3,1)</f>
      </c>
      <c r="Z537" s="4">
        <f t="shared" si="437"/>
      </c>
      <c r="AA537" s="4">
        <f t="shared" si="438"/>
      </c>
      <c r="AB537" s="4">
        <f t="shared" si="439"/>
      </c>
      <c r="AC537" s="4">
        <f t="shared" si="440"/>
      </c>
      <c r="AD537" s="4">
        <f t="shared" si="441"/>
      </c>
      <c r="AE537" s="4">
        <f t="shared" si="442"/>
      </c>
      <c r="AF537" s="4">
        <f t="shared" si="443"/>
      </c>
      <c r="AG537" s="4">
        <f t="shared" si="444"/>
        <v/>
      </c>
      <c r="AH537" s="4">
        <f t="shared" si="445"/>
      </c>
      <c r="AI537" s="4">
        <f t="shared" si="446"/>
      </c>
      <c r="AJ537" s="4">
        <f t="shared" si="447"/>
      </c>
      <c r="AK537" s="4">
        <f t="shared" si="448"/>
      </c>
      <c r="AL537" s="4">
        <f t="shared" si="449"/>
      </c>
      <c r="AM537" s="4">
        <f t="shared" si="450"/>
      </c>
      <c r="AN537" s="4"/>
      <c r="AO537" s="4">
        <f t="shared" si="451"/>
      </c>
      <c r="AP537" s="4">
        <f t="shared" si="452"/>
      </c>
      <c r="AQ537" s="4">
        <f t="shared" si="453"/>
        <v/>
      </c>
      <c r="AR537" s="4">
        <f t="shared" si="454"/>
      </c>
      <c r="AS537" s="4">
        <f t="shared" si="455"/>
      </c>
      <c r="AT537" s="4">
        <f t="shared" si="456"/>
      </c>
    </row>
    <row r="538" spans="1:46" x14ac:dyDescent="0.3">
      <c r="A538" s="5">
        <f t="shared" si="428"/>
      </c>
      <c r="B538" s="4">
        <f t="shared" si="429"/>
      </c>
      <c r="C538" s="119"/>
      <c r="D538" s="119"/>
      <c r="E538" s="105"/>
      <c r="F538" s="173"/>
      <c r="G538" s="173"/>
      <c r="H538" s="173"/>
      <c r="I538" s="105"/>
      <c r="J538" s="105"/>
      <c r="K538" s="105"/>
      <c r="L538" s="105"/>
      <c r="M538" s="4">
        <f t="shared" si="430"/>
      </c>
      <c r="N538" s="59"/>
      <c r="O538" s="164"/>
      <c r="P538" s="59">
        <f t="shared" si="431"/>
      </c>
      <c r="Q538" s="165"/>
      <c r="R538" s="59"/>
      <c r="S538" s="164"/>
      <c r="T538" s="5">
        <f t="shared" si="432"/>
      </c>
      <c r="U538" s="4">
        <f t="shared" si="433"/>
      </c>
      <c r="V538" s="4">
        <f t="shared" si="434"/>
      </c>
      <c r="W538" s="4">
        <f t="shared" si="435"/>
      </c>
      <c r="X538" s="4">
        <f t="shared" si="436"/>
      </c>
      <c r="Y538" s="4" cm="1">
        <f t="array" ref="Y538">_xlfn.IFS(H538=1,2,H538=3,1)</f>
      </c>
      <c r="Z538" s="4">
        <f t="shared" si="437"/>
      </c>
      <c r="AA538" s="4">
        <f t="shared" si="438"/>
      </c>
      <c r="AB538" s="4">
        <f t="shared" si="439"/>
      </c>
      <c r="AC538" s="4">
        <f t="shared" si="440"/>
      </c>
      <c r="AD538" s="4">
        <f t="shared" si="441"/>
      </c>
      <c r="AE538" s="4">
        <f t="shared" si="442"/>
      </c>
      <c r="AF538" s="4">
        <f t="shared" si="443"/>
      </c>
      <c r="AG538" s="4">
        <f t="shared" si="444"/>
        <v/>
      </c>
      <c r="AH538" s="4">
        <f t="shared" si="445"/>
      </c>
      <c r="AI538" s="4">
        <f t="shared" si="446"/>
      </c>
      <c r="AJ538" s="4">
        <f t="shared" si="447"/>
      </c>
      <c r="AK538" s="4">
        <f t="shared" si="448"/>
      </c>
      <c r="AL538" s="4">
        <f t="shared" si="449"/>
      </c>
      <c r="AM538" s="4">
        <f t="shared" si="450"/>
      </c>
      <c r="AN538" s="4"/>
      <c r="AO538" s="4">
        <f t="shared" si="451"/>
      </c>
      <c r="AP538" s="4">
        <f t="shared" si="452"/>
      </c>
      <c r="AQ538" s="4">
        <f t="shared" si="453"/>
        <v/>
      </c>
      <c r="AR538" s="4">
        <f t="shared" si="454"/>
      </c>
      <c r="AS538" s="4">
        <f t="shared" si="455"/>
      </c>
      <c r="AT538" s="4">
        <f t="shared" si="456"/>
      </c>
    </row>
    <row r="539" spans="1:46" x14ac:dyDescent="0.3">
      <c r="A539" s="5">
        <f t="shared" si="428"/>
      </c>
      <c r="B539" s="4">
        <f t="shared" si="429"/>
      </c>
      <c r="C539" s="119"/>
      <c r="D539" s="119"/>
      <c r="E539" s="105"/>
      <c r="F539" s="173"/>
      <c r="G539" s="173"/>
      <c r="H539" s="173"/>
      <c r="I539" s="105"/>
      <c r="J539" s="105"/>
      <c r="K539" s="105"/>
      <c r="L539" s="105"/>
      <c r="M539" s="4">
        <f t="shared" si="430"/>
      </c>
      <c r="N539" s="59"/>
      <c r="O539" s="164"/>
      <c r="P539" s="59">
        <f t="shared" si="431"/>
      </c>
      <c r="Q539" s="165"/>
      <c r="R539" s="59"/>
      <c r="S539" s="164"/>
      <c r="T539" s="5">
        <f t="shared" si="432"/>
      </c>
      <c r="U539" s="4">
        <f t="shared" si="433"/>
      </c>
      <c r="V539" s="4">
        <f t="shared" si="434"/>
      </c>
      <c r="W539" s="4">
        <f t="shared" si="435"/>
      </c>
      <c r="X539" s="4">
        <f t="shared" si="436"/>
      </c>
      <c r="Y539" s="4" cm="1">
        <f t="array" ref="Y539">_xlfn.IFS(H539=1,2,H539=3,1)</f>
      </c>
      <c r="Z539" s="4">
        <f t="shared" si="437"/>
      </c>
      <c r="AA539" s="4">
        <f t="shared" si="438"/>
      </c>
      <c r="AB539" s="4">
        <f t="shared" si="439"/>
      </c>
      <c r="AC539" s="4">
        <f t="shared" si="440"/>
      </c>
      <c r="AD539" s="4">
        <f t="shared" si="441"/>
      </c>
      <c r="AE539" s="4">
        <f t="shared" si="442"/>
      </c>
      <c r="AF539" s="4">
        <f t="shared" si="443"/>
      </c>
      <c r="AG539" s="4">
        <f t="shared" si="444"/>
        <v/>
      </c>
      <c r="AH539" s="4">
        <f t="shared" si="445"/>
      </c>
      <c r="AI539" s="4">
        <f t="shared" si="446"/>
      </c>
      <c r="AJ539" s="4">
        <f t="shared" si="447"/>
      </c>
      <c r="AK539" s="4">
        <f t="shared" si="448"/>
      </c>
      <c r="AL539" s="4">
        <f t="shared" si="449"/>
      </c>
      <c r="AM539" s="4">
        <f t="shared" si="450"/>
      </c>
      <c r="AN539" s="4"/>
      <c r="AO539" s="4">
        <f t="shared" si="451"/>
      </c>
      <c r="AP539" s="4">
        <f t="shared" si="452"/>
      </c>
      <c r="AQ539" s="4">
        <f t="shared" si="453"/>
        <v/>
      </c>
      <c r="AR539" s="4">
        <f t="shared" si="454"/>
      </c>
      <c r="AS539" s="4">
        <f t="shared" si="455"/>
      </c>
      <c r="AT539" s="4">
        <f t="shared" si="456"/>
      </c>
    </row>
    <row r="540" spans="1:46" x14ac:dyDescent="0.3">
      <c r="A540" s="5">
        <f t="shared" si="428"/>
      </c>
      <c r="B540" s="4">
        <f t="shared" si="429"/>
      </c>
      <c r="C540" s="119"/>
      <c r="D540" s="119"/>
      <c r="E540" s="105"/>
      <c r="F540" s="173"/>
      <c r="G540" s="173"/>
      <c r="H540" s="173"/>
      <c r="I540" s="105"/>
      <c r="J540" s="105"/>
      <c r="K540" s="105"/>
      <c r="L540" s="105"/>
      <c r="M540" s="4">
        <f t="shared" si="430"/>
      </c>
      <c r="N540" s="59"/>
      <c r="O540" s="164"/>
      <c r="P540" s="59">
        <f t="shared" si="431"/>
      </c>
      <c r="Q540" s="165"/>
      <c r="R540" s="59"/>
      <c r="S540" s="164"/>
      <c r="T540" s="5">
        <f t="shared" si="432"/>
      </c>
      <c r="U540" s="4">
        <f t="shared" si="433"/>
      </c>
      <c r="V540" s="4">
        <f t="shared" si="434"/>
      </c>
      <c r="W540" s="4">
        <f t="shared" si="435"/>
      </c>
      <c r="X540" s="4">
        <f t="shared" si="436"/>
      </c>
      <c r="Y540" s="4" cm="1">
        <f t="array" ref="Y540">_xlfn.IFS(H540=1,2,H540=3,1)</f>
      </c>
      <c r="Z540" s="4">
        <f t="shared" si="437"/>
      </c>
      <c r="AA540" s="4">
        <f t="shared" si="438"/>
      </c>
      <c r="AB540" s="4">
        <f t="shared" si="439"/>
      </c>
      <c r="AC540" s="4">
        <f t="shared" si="440"/>
      </c>
      <c r="AD540" s="4">
        <f t="shared" si="441"/>
      </c>
      <c r="AE540" s="4">
        <f t="shared" si="442"/>
      </c>
      <c r="AF540" s="4">
        <f t="shared" si="443"/>
      </c>
      <c r="AG540" s="4">
        <f t="shared" si="444"/>
        <v/>
      </c>
      <c r="AH540" s="4">
        <f t="shared" si="445"/>
      </c>
      <c r="AI540" s="4">
        <f t="shared" si="446"/>
      </c>
      <c r="AJ540" s="4">
        <f t="shared" si="447"/>
      </c>
      <c r="AK540" s="4">
        <f t="shared" si="448"/>
      </c>
      <c r="AL540" s="4">
        <f t="shared" si="449"/>
      </c>
      <c r="AM540" s="4">
        <f t="shared" si="450"/>
      </c>
      <c r="AN540" s="4"/>
      <c r="AO540" s="4">
        <f t="shared" si="451"/>
      </c>
      <c r="AP540" s="4">
        <f t="shared" si="452"/>
      </c>
      <c r="AQ540" s="4">
        <f t="shared" si="453"/>
        <v/>
      </c>
      <c r="AR540" s="4">
        <f t="shared" si="454"/>
      </c>
      <c r="AS540" s="4">
        <f t="shared" si="455"/>
      </c>
      <c r="AT540" s="4">
        <f t="shared" si="456"/>
      </c>
    </row>
    <row r="541" spans="1:46" x14ac:dyDescent="0.3">
      <c r="A541" s="5">
        <f t="shared" si="428"/>
      </c>
      <c r="B541" s="4">
        <f t="shared" si="429"/>
      </c>
      <c r="C541" s="119"/>
      <c r="D541" s="119"/>
      <c r="E541" s="105"/>
      <c r="F541" s="173"/>
      <c r="G541" s="173"/>
      <c r="H541" s="173"/>
      <c r="I541" s="105"/>
      <c r="J541" s="105"/>
      <c r="K541" s="105"/>
      <c r="L541" s="105"/>
      <c r="M541" s="4">
        <f t="shared" si="430"/>
      </c>
      <c r="N541" s="59"/>
      <c r="O541" s="164"/>
      <c r="P541" s="59">
        <f t="shared" si="431"/>
      </c>
      <c r="Q541" s="165"/>
      <c r="R541" s="59"/>
      <c r="S541" s="164"/>
      <c r="T541" s="5">
        <f t="shared" si="432"/>
      </c>
      <c r="U541" s="4">
        <f t="shared" si="433"/>
      </c>
      <c r="V541" s="4">
        <f t="shared" si="434"/>
      </c>
      <c r="W541" s="4">
        <f t="shared" si="435"/>
      </c>
      <c r="X541" s="4">
        <f t="shared" si="436"/>
      </c>
      <c r="Y541" s="4" cm="1">
        <f t="array" ref="Y541">_xlfn.IFS(H541=1,2,H541=3,1)</f>
      </c>
      <c r="Z541" s="4">
        <f t="shared" si="437"/>
      </c>
      <c r="AA541" s="4">
        <f t="shared" si="438"/>
      </c>
      <c r="AB541" s="4">
        <f t="shared" si="439"/>
      </c>
      <c r="AC541" s="4">
        <f t="shared" si="440"/>
      </c>
      <c r="AD541" s="4">
        <f t="shared" si="441"/>
      </c>
      <c r="AE541" s="4">
        <f t="shared" si="442"/>
      </c>
      <c r="AF541" s="4">
        <f t="shared" si="443"/>
      </c>
      <c r="AG541" s="4">
        <f t="shared" si="444"/>
        <v/>
      </c>
      <c r="AH541" s="4">
        <f t="shared" si="445"/>
      </c>
      <c r="AI541" s="4">
        <f t="shared" si="446"/>
      </c>
      <c r="AJ541" s="4">
        <f t="shared" si="447"/>
      </c>
      <c r="AK541" s="4">
        <f t="shared" si="448"/>
      </c>
      <c r="AL541" s="4">
        <f t="shared" si="449"/>
      </c>
      <c r="AM541" s="4">
        <f t="shared" si="450"/>
      </c>
      <c r="AN541" s="4"/>
      <c r="AO541" s="4">
        <f t="shared" si="451"/>
      </c>
      <c r="AP541" s="4">
        <f t="shared" si="452"/>
      </c>
      <c r="AQ541" s="4">
        <f t="shared" si="453"/>
        <v/>
      </c>
      <c r="AR541" s="4">
        <f t="shared" si="454"/>
      </c>
      <c r="AS541" s="4">
        <f t="shared" si="455"/>
      </c>
      <c r="AT541" s="4">
        <f t="shared" si="456"/>
      </c>
    </row>
    <row r="542" spans="1:46" x14ac:dyDescent="0.3">
      <c r="A542" s="5">
        <f t="shared" si="428"/>
      </c>
      <c r="B542" s="4">
        <f t="shared" si="429"/>
      </c>
      <c r="C542" s="119"/>
      <c r="D542" s="119"/>
      <c r="E542" s="105"/>
      <c r="F542" s="173"/>
      <c r="G542" s="173"/>
      <c r="H542" s="173"/>
      <c r="I542" s="105"/>
      <c r="J542" s="105"/>
      <c r="K542" s="105"/>
      <c r="L542" s="105"/>
      <c r="M542" s="4">
        <f t="shared" si="430"/>
      </c>
      <c r="N542" s="59"/>
      <c r="O542" s="164"/>
      <c r="P542" s="59">
        <f t="shared" si="431"/>
      </c>
      <c r="Q542" s="165"/>
      <c r="R542" s="59"/>
      <c r="S542" s="164"/>
      <c r="T542" s="5">
        <f t="shared" si="432"/>
      </c>
      <c r="U542" s="4">
        <f t="shared" si="433"/>
      </c>
      <c r="V542" s="4">
        <f t="shared" si="434"/>
      </c>
      <c r="W542" s="4">
        <f t="shared" si="435"/>
      </c>
      <c r="X542" s="4">
        <f t="shared" si="436"/>
      </c>
      <c r="Y542" s="4" cm="1">
        <f t="array" ref="Y542">_xlfn.IFS(H542=1,2,H542=3,1)</f>
      </c>
      <c r="Z542" s="4">
        <f t="shared" si="437"/>
      </c>
      <c r="AA542" s="4">
        <f t="shared" si="438"/>
      </c>
      <c r="AB542" s="4">
        <f t="shared" si="439"/>
      </c>
      <c r="AC542" s="4">
        <f t="shared" si="440"/>
      </c>
      <c r="AD542" s="4">
        <f t="shared" si="441"/>
      </c>
      <c r="AE542" s="4">
        <f t="shared" si="442"/>
      </c>
      <c r="AF542" s="4">
        <f t="shared" si="443"/>
      </c>
      <c r="AG542" s="4">
        <f t="shared" si="444"/>
        <v/>
      </c>
      <c r="AH542" s="4">
        <f t="shared" si="445"/>
      </c>
      <c r="AI542" s="4">
        <f t="shared" si="446"/>
      </c>
      <c r="AJ542" s="4">
        <f t="shared" si="447"/>
      </c>
      <c r="AK542" s="4">
        <f t="shared" si="448"/>
      </c>
      <c r="AL542" s="4">
        <f t="shared" si="449"/>
      </c>
      <c r="AM542" s="4">
        <f t="shared" si="450"/>
      </c>
      <c r="AN542" s="4"/>
      <c r="AO542" s="4">
        <f t="shared" si="451"/>
      </c>
      <c r="AP542" s="4">
        <f t="shared" si="452"/>
      </c>
      <c r="AQ542" s="4">
        <f t="shared" si="453"/>
        <v/>
      </c>
      <c r="AR542" s="4">
        <f t="shared" si="454"/>
      </c>
      <c r="AS542" s="4">
        <f t="shared" si="455"/>
      </c>
      <c r="AT542" s="4">
        <f t="shared" si="456"/>
      </c>
    </row>
    <row r="543" spans="1:46" x14ac:dyDescent="0.3">
      <c r="A543" s="5">
        <f t="shared" si="428"/>
      </c>
      <c r="B543" s="4">
        <f t="shared" si="429"/>
      </c>
      <c r="C543" s="119"/>
      <c r="D543" s="119"/>
      <c r="E543" s="105"/>
      <c r="F543" s="173"/>
      <c r="G543" s="173"/>
      <c r="H543" s="173"/>
      <c r="I543" s="105"/>
      <c r="J543" s="105"/>
      <c r="K543" s="105"/>
      <c r="L543" s="105"/>
      <c r="M543" s="4">
        <f t="shared" si="430"/>
      </c>
      <c r="N543" s="59"/>
      <c r="O543" s="164"/>
      <c r="P543" s="59">
        <f t="shared" si="431"/>
      </c>
      <c r="Q543" s="165"/>
      <c r="R543" s="59"/>
      <c r="S543" s="164"/>
      <c r="T543" s="5">
        <f t="shared" si="432"/>
      </c>
      <c r="U543" s="4">
        <f t="shared" si="433"/>
      </c>
      <c r="V543" s="4">
        <f t="shared" si="434"/>
      </c>
      <c r="W543" s="4">
        <f t="shared" si="435"/>
      </c>
      <c r="X543" s="4">
        <f t="shared" si="436"/>
      </c>
      <c r="Y543" s="4" cm="1">
        <f t="array" ref="Y543">_xlfn.IFS(H543=1,2,H543=3,1)</f>
      </c>
      <c r="Z543" s="4">
        <f t="shared" si="437"/>
      </c>
      <c r="AA543" s="4">
        <f t="shared" si="438"/>
      </c>
      <c r="AB543" s="4">
        <f t="shared" si="439"/>
      </c>
      <c r="AC543" s="4">
        <f t="shared" si="440"/>
      </c>
      <c r="AD543" s="4">
        <f t="shared" si="441"/>
      </c>
      <c r="AE543" s="4">
        <f t="shared" si="442"/>
      </c>
      <c r="AF543" s="4">
        <f t="shared" si="443"/>
      </c>
      <c r="AG543" s="4">
        <f t="shared" si="444"/>
        <v/>
      </c>
      <c r="AH543" s="4">
        <f t="shared" si="445"/>
      </c>
      <c r="AI543" s="4">
        <f t="shared" si="446"/>
      </c>
      <c r="AJ543" s="4">
        <f t="shared" si="447"/>
      </c>
      <c r="AK543" s="4">
        <f t="shared" si="448"/>
      </c>
      <c r="AL543" s="4">
        <f t="shared" si="449"/>
      </c>
      <c r="AM543" s="4">
        <f t="shared" si="450"/>
      </c>
      <c r="AN543" s="4"/>
      <c r="AO543" s="4">
        <f t="shared" si="451"/>
      </c>
      <c r="AP543" s="4">
        <f t="shared" si="452"/>
      </c>
      <c r="AQ543" s="4">
        <f t="shared" si="453"/>
        <v/>
      </c>
      <c r="AR543" s="4">
        <f t="shared" si="454"/>
      </c>
      <c r="AS543" s="4">
        <f t="shared" si="455"/>
      </c>
      <c r="AT543" s="4">
        <f t="shared" si="456"/>
      </c>
    </row>
    <row r="544" spans="1:46" x14ac:dyDescent="0.3">
      <c r="A544" s="5">
        <f t="shared" si="428"/>
      </c>
      <c r="B544" s="4">
        <f t="shared" si="429"/>
      </c>
      <c r="C544" s="119"/>
      <c r="D544" s="119"/>
      <c r="E544" s="105"/>
      <c r="F544" s="173"/>
      <c r="G544" s="173"/>
      <c r="H544" s="173"/>
      <c r="I544" s="105"/>
      <c r="J544" s="105"/>
      <c r="K544" s="105"/>
      <c r="L544" s="105"/>
      <c r="M544" s="4">
        <f t="shared" si="430"/>
      </c>
      <c r="N544" s="59"/>
      <c r="O544" s="164"/>
      <c r="P544" s="59">
        <f t="shared" si="431"/>
      </c>
      <c r="Q544" s="165"/>
      <c r="R544" s="59"/>
      <c r="S544" s="164"/>
      <c r="T544" s="5">
        <f t="shared" si="432"/>
      </c>
      <c r="U544" s="4">
        <f t="shared" si="433"/>
      </c>
      <c r="V544" s="4">
        <f t="shared" si="434"/>
      </c>
      <c r="W544" s="4">
        <f t="shared" si="435"/>
      </c>
      <c r="X544" s="4">
        <f t="shared" si="436"/>
      </c>
      <c r="Y544" s="4" cm="1">
        <f t="array" ref="Y544">_xlfn.IFS(H544=1,2,H544=3,1)</f>
      </c>
      <c r="Z544" s="4">
        <f t="shared" si="437"/>
      </c>
      <c r="AA544" s="4">
        <f t="shared" si="438"/>
      </c>
      <c r="AB544" s="4">
        <f t="shared" si="439"/>
      </c>
      <c r="AC544" s="4">
        <f t="shared" si="440"/>
      </c>
      <c r="AD544" s="4">
        <f t="shared" si="441"/>
      </c>
      <c r="AE544" s="4">
        <f t="shared" si="442"/>
      </c>
      <c r="AF544" s="4">
        <f t="shared" si="443"/>
      </c>
      <c r="AG544" s="4">
        <f t="shared" si="444"/>
        <v/>
      </c>
      <c r="AH544" s="4">
        <f t="shared" si="445"/>
      </c>
      <c r="AI544" s="4">
        <f t="shared" si="446"/>
      </c>
      <c r="AJ544" s="4">
        <f t="shared" si="447"/>
      </c>
      <c r="AK544" s="4">
        <f t="shared" si="448"/>
      </c>
      <c r="AL544" s="4">
        <f t="shared" si="449"/>
      </c>
      <c r="AM544" s="4">
        <f t="shared" si="450"/>
      </c>
      <c r="AN544" s="4"/>
      <c r="AO544" s="4">
        <f t="shared" si="451"/>
      </c>
      <c r="AP544" s="4">
        <f t="shared" si="452"/>
      </c>
      <c r="AQ544" s="4">
        <f t="shared" si="453"/>
        <v/>
      </c>
      <c r="AR544" s="4">
        <f t="shared" si="454"/>
      </c>
      <c r="AS544" s="4">
        <f t="shared" si="455"/>
      </c>
      <c r="AT544" s="4">
        <f t="shared" si="456"/>
      </c>
    </row>
    <row r="545" spans="1:46" x14ac:dyDescent="0.3">
      <c r="A545" s="5">
        <f t="shared" si="428"/>
      </c>
      <c r="B545" s="4">
        <f t="shared" si="429"/>
      </c>
      <c r="C545" s="119"/>
      <c r="D545" s="119"/>
      <c r="E545" s="105"/>
      <c r="F545" s="173"/>
      <c r="G545" s="173"/>
      <c r="H545" s="173"/>
      <c r="I545" s="105"/>
      <c r="J545" s="105"/>
      <c r="K545" s="105"/>
      <c r="L545" s="105"/>
      <c r="M545" s="4">
        <f t="shared" si="430"/>
      </c>
      <c r="N545" s="59"/>
      <c r="O545" s="164"/>
      <c r="P545" s="59">
        <f t="shared" si="431"/>
      </c>
      <c r="Q545" s="165"/>
      <c r="R545" s="59"/>
      <c r="S545" s="164"/>
      <c r="T545" s="5">
        <f t="shared" si="432"/>
      </c>
      <c r="U545" s="4">
        <f t="shared" si="433"/>
      </c>
      <c r="V545" s="4">
        <f t="shared" si="434"/>
      </c>
      <c r="W545" s="4">
        <f t="shared" si="435"/>
      </c>
      <c r="X545" s="4">
        <f t="shared" si="436"/>
      </c>
      <c r="Y545" s="4" cm="1">
        <f t="array" ref="Y545">_xlfn.IFS(H545=1,2,H545=3,1)</f>
      </c>
      <c r="Z545" s="4">
        <f t="shared" si="437"/>
      </c>
      <c r="AA545" s="4">
        <f t="shared" si="438"/>
      </c>
      <c r="AB545" s="4">
        <f t="shared" si="439"/>
      </c>
      <c r="AC545" s="4">
        <f t="shared" si="440"/>
      </c>
      <c r="AD545" s="4">
        <f t="shared" si="441"/>
      </c>
      <c r="AE545" s="4">
        <f t="shared" si="442"/>
      </c>
      <c r="AF545" s="4">
        <f t="shared" si="443"/>
      </c>
      <c r="AG545" s="4">
        <f t="shared" si="444"/>
        <v/>
      </c>
      <c r="AH545" s="4">
        <f t="shared" si="445"/>
      </c>
      <c r="AI545" s="4">
        <f t="shared" si="446"/>
      </c>
      <c r="AJ545" s="4">
        <f t="shared" si="447"/>
      </c>
      <c r="AK545" s="4">
        <f t="shared" si="448"/>
      </c>
      <c r="AL545" s="4">
        <f t="shared" si="449"/>
      </c>
      <c r="AM545" s="4">
        <f t="shared" si="450"/>
      </c>
      <c r="AN545" s="4"/>
      <c r="AO545" s="4">
        <f t="shared" si="451"/>
      </c>
      <c r="AP545" s="4">
        <f t="shared" si="452"/>
      </c>
      <c r="AQ545" s="4">
        <f t="shared" si="453"/>
        <v/>
      </c>
      <c r="AR545" s="4">
        <f t="shared" si="454"/>
      </c>
      <c r="AS545" s="4">
        <f t="shared" si="455"/>
      </c>
      <c r="AT545" s="4">
        <f t="shared" si="456"/>
      </c>
    </row>
    <row r="546" spans="1:46" x14ac:dyDescent="0.3">
      <c r="A546" s="5">
        <f t="shared" si="428"/>
      </c>
      <c r="B546" s="4">
        <f t="shared" si="429"/>
      </c>
      <c r="C546" s="119"/>
      <c r="D546" s="119"/>
      <c r="E546" s="105"/>
      <c r="F546" s="173"/>
      <c r="G546" s="173"/>
      <c r="H546" s="173"/>
      <c r="I546" s="105"/>
      <c r="J546" s="105"/>
      <c r="K546" s="105"/>
      <c r="L546" s="105"/>
      <c r="M546" s="4">
        <f t="shared" si="430"/>
      </c>
      <c r="N546" s="59"/>
      <c r="O546" s="164"/>
      <c r="P546" s="59">
        <f t="shared" si="431"/>
      </c>
      <c r="Q546" s="165"/>
      <c r="R546" s="59"/>
      <c r="S546" s="164"/>
      <c r="T546" s="5">
        <f t="shared" si="432"/>
      </c>
      <c r="U546" s="4">
        <f t="shared" si="433"/>
      </c>
      <c r="V546" s="4">
        <f t="shared" si="434"/>
      </c>
      <c r="W546" s="4">
        <f t="shared" si="435"/>
      </c>
      <c r="X546" s="4">
        <f t="shared" si="436"/>
      </c>
      <c r="Y546" s="4" cm="1">
        <f t="array" ref="Y546">_xlfn.IFS(H546=1,2,H546=3,1)</f>
      </c>
      <c r="Z546" s="4">
        <f t="shared" si="437"/>
      </c>
      <c r="AA546" s="4">
        <f t="shared" si="438"/>
      </c>
      <c r="AB546" s="4">
        <f t="shared" si="439"/>
      </c>
      <c r="AC546" s="4">
        <f t="shared" si="440"/>
      </c>
      <c r="AD546" s="4">
        <f t="shared" si="441"/>
      </c>
      <c r="AE546" s="4">
        <f t="shared" si="442"/>
      </c>
      <c r="AF546" s="4">
        <f t="shared" si="443"/>
      </c>
      <c r="AG546" s="4">
        <f t="shared" si="444"/>
        <v/>
      </c>
      <c r="AH546" s="4">
        <f t="shared" si="445"/>
      </c>
      <c r="AI546" s="4">
        <f t="shared" si="446"/>
      </c>
      <c r="AJ546" s="4">
        <f t="shared" si="447"/>
      </c>
      <c r="AK546" s="4">
        <f t="shared" si="448"/>
      </c>
      <c r="AL546" s="4">
        <f t="shared" si="449"/>
      </c>
      <c r="AM546" s="4">
        <f t="shared" si="450"/>
      </c>
      <c r="AN546" s="4"/>
      <c r="AO546" s="4">
        <f t="shared" si="451"/>
      </c>
      <c r="AP546" s="4">
        <f t="shared" si="452"/>
      </c>
      <c r="AQ546" s="4">
        <f t="shared" si="453"/>
        <v/>
      </c>
      <c r="AR546" s="4">
        <f t="shared" si="454"/>
      </c>
      <c r="AS546" s="4">
        <f t="shared" si="455"/>
      </c>
      <c r="AT546" s="4">
        <f t="shared" si="456"/>
      </c>
    </row>
    <row r="547" spans="1:46" x14ac:dyDescent="0.3">
      <c r="A547" s="5">
        <f t="shared" si="428"/>
      </c>
      <c r="B547" s="4">
        <f t="shared" si="429"/>
      </c>
      <c r="C547" s="119"/>
      <c r="D547" s="119"/>
      <c r="E547" s="105"/>
      <c r="F547" s="173"/>
      <c r="G547" s="173"/>
      <c r="H547" s="173"/>
      <c r="I547" s="105"/>
      <c r="J547" s="105"/>
      <c r="K547" s="105"/>
      <c r="L547" s="105"/>
      <c r="M547" s="4">
        <f t="shared" si="430"/>
      </c>
      <c r="N547" s="59"/>
      <c r="O547" s="164"/>
      <c r="P547" s="59">
        <f t="shared" si="431"/>
      </c>
      <c r="Q547" s="165"/>
      <c r="R547" s="59"/>
      <c r="S547" s="164"/>
      <c r="T547" s="5">
        <f t="shared" si="432"/>
      </c>
      <c r="U547" s="4">
        <f t="shared" si="433"/>
      </c>
      <c r="V547" s="4">
        <f t="shared" si="434"/>
      </c>
      <c r="W547" s="4">
        <f t="shared" si="435"/>
      </c>
      <c r="X547" s="4">
        <f t="shared" si="436"/>
      </c>
      <c r="Y547" s="4" cm="1">
        <f t="array" ref="Y547">_xlfn.IFS(H547=1,2,H547=3,1)</f>
      </c>
      <c r="Z547" s="4">
        <f t="shared" si="437"/>
      </c>
      <c r="AA547" s="4">
        <f t="shared" si="438"/>
      </c>
      <c r="AB547" s="4">
        <f t="shared" si="439"/>
      </c>
      <c r="AC547" s="4">
        <f t="shared" si="440"/>
      </c>
      <c r="AD547" s="4">
        <f t="shared" si="441"/>
      </c>
      <c r="AE547" s="4">
        <f t="shared" si="442"/>
      </c>
      <c r="AF547" s="4">
        <f t="shared" si="443"/>
      </c>
      <c r="AG547" s="4">
        <f t="shared" si="444"/>
        <v/>
      </c>
      <c r="AH547" s="4">
        <f t="shared" si="445"/>
      </c>
      <c r="AI547" s="4">
        <f t="shared" si="446"/>
      </c>
      <c r="AJ547" s="4">
        <f t="shared" si="447"/>
      </c>
      <c r="AK547" s="4">
        <f t="shared" si="448"/>
      </c>
      <c r="AL547" s="4">
        <f t="shared" si="449"/>
      </c>
      <c r="AM547" s="4">
        <f t="shared" si="450"/>
      </c>
      <c r="AN547" s="4"/>
      <c r="AO547" s="4">
        <f t="shared" si="451"/>
      </c>
      <c r="AP547" s="4">
        <f t="shared" si="452"/>
      </c>
      <c r="AQ547" s="4">
        <f t="shared" si="453"/>
        <v/>
      </c>
      <c r="AR547" s="4">
        <f t="shared" si="454"/>
      </c>
      <c r="AS547" s="4">
        <f t="shared" si="455"/>
      </c>
      <c r="AT547" s="4">
        <f t="shared" si="456"/>
      </c>
    </row>
    <row r="548" spans="1:46" x14ac:dyDescent="0.3">
      <c r="A548" s="5">
        <f t="shared" si="428"/>
      </c>
      <c r="B548" s="4">
        <f t="shared" si="429"/>
      </c>
      <c r="C548" s="119"/>
      <c r="D548" s="119"/>
      <c r="E548" s="105"/>
      <c r="F548" s="173"/>
      <c r="G548" s="173"/>
      <c r="H548" s="173"/>
      <c r="I548" s="105"/>
      <c r="J548" s="105"/>
      <c r="K548" s="105"/>
      <c r="L548" s="105"/>
      <c r="M548" s="4">
        <f t="shared" si="430"/>
      </c>
      <c r="N548" s="59"/>
      <c r="O548" s="164"/>
      <c r="P548" s="59">
        <f t="shared" si="431"/>
      </c>
      <c r="Q548" s="165"/>
      <c r="R548" s="59"/>
      <c r="S548" s="164"/>
      <c r="T548" s="5">
        <f t="shared" si="432"/>
      </c>
      <c r="U548" s="4">
        <f t="shared" si="433"/>
      </c>
      <c r="V548" s="4">
        <f t="shared" si="434"/>
      </c>
      <c r="W548" s="4">
        <f t="shared" si="435"/>
      </c>
      <c r="X548" s="4">
        <f t="shared" si="436"/>
      </c>
      <c r="Y548" s="4" cm="1">
        <f t="array" ref="Y548">_xlfn.IFS(H548=1,2,H548=3,1)</f>
      </c>
      <c r="Z548" s="4">
        <f t="shared" si="437"/>
      </c>
      <c r="AA548" s="4">
        <f t="shared" si="438"/>
      </c>
      <c r="AB548" s="4">
        <f t="shared" si="439"/>
      </c>
      <c r="AC548" s="4">
        <f t="shared" si="440"/>
      </c>
      <c r="AD548" s="4">
        <f t="shared" si="441"/>
      </c>
      <c r="AE548" s="4">
        <f t="shared" si="442"/>
      </c>
      <c r="AF548" s="4">
        <f t="shared" si="443"/>
      </c>
      <c r="AG548" s="4">
        <f t="shared" si="444"/>
        <v/>
      </c>
      <c r="AH548" s="4">
        <f t="shared" si="445"/>
      </c>
      <c r="AI548" s="4">
        <f t="shared" si="446"/>
      </c>
      <c r="AJ548" s="4">
        <f t="shared" si="447"/>
      </c>
      <c r="AK548" s="4">
        <f t="shared" si="448"/>
      </c>
      <c r="AL548" s="4">
        <f t="shared" si="449"/>
      </c>
      <c r="AM548" s="4">
        <f t="shared" si="450"/>
      </c>
      <c r="AN548" s="4"/>
      <c r="AO548" s="4">
        <f t="shared" si="451"/>
      </c>
      <c r="AP548" s="4">
        <f t="shared" si="452"/>
      </c>
      <c r="AQ548" s="4">
        <f t="shared" si="453"/>
        <v/>
      </c>
      <c r="AR548" s="4">
        <f t="shared" si="454"/>
      </c>
      <c r="AS548" s="4">
        <f t="shared" si="455"/>
      </c>
      <c r="AT548" s="4">
        <f t="shared" si="456"/>
      </c>
    </row>
    <row r="549" spans="1:46" x14ac:dyDescent="0.3">
      <c r="A549" s="5">
        <f t="shared" si="428"/>
      </c>
      <c r="B549" s="4">
        <f t="shared" si="429"/>
      </c>
      <c r="C549" s="119"/>
      <c r="D549" s="119"/>
      <c r="E549" s="105"/>
      <c r="F549" s="173"/>
      <c r="G549" s="173"/>
      <c r="H549" s="173"/>
      <c r="I549" s="105"/>
      <c r="J549" s="105"/>
      <c r="K549" s="105"/>
      <c r="L549" s="105"/>
      <c r="M549" s="4">
        <f t="shared" si="430"/>
      </c>
      <c r="N549" s="59"/>
      <c r="O549" s="164"/>
      <c r="P549" s="59">
        <f t="shared" si="431"/>
      </c>
      <c r="Q549" s="165"/>
      <c r="R549" s="59"/>
      <c r="S549" s="164"/>
      <c r="T549" s="5">
        <f t="shared" si="432"/>
      </c>
      <c r="U549" s="4">
        <f t="shared" si="433"/>
      </c>
      <c r="V549" s="4">
        <f t="shared" si="434"/>
      </c>
      <c r="W549" s="4">
        <f t="shared" si="435"/>
      </c>
      <c r="X549" s="4">
        <f t="shared" si="436"/>
      </c>
      <c r="Y549" s="4" cm="1">
        <f t="array" ref="Y549">_xlfn.IFS(H549=1,2,H549=3,1)</f>
      </c>
      <c r="Z549" s="4">
        <f t="shared" si="437"/>
      </c>
      <c r="AA549" s="4">
        <f t="shared" si="438"/>
      </c>
      <c r="AB549" s="4">
        <f t="shared" si="439"/>
      </c>
      <c r="AC549" s="4">
        <f t="shared" si="440"/>
      </c>
      <c r="AD549" s="4">
        <f t="shared" si="441"/>
      </c>
      <c r="AE549" s="4">
        <f t="shared" si="442"/>
      </c>
      <c r="AF549" s="4">
        <f t="shared" si="443"/>
      </c>
      <c r="AG549" s="4">
        <f t="shared" si="444"/>
        <v/>
      </c>
      <c r="AH549" s="4">
        <f t="shared" si="445"/>
      </c>
      <c r="AI549" s="4">
        <f t="shared" si="446"/>
      </c>
      <c r="AJ549" s="4">
        <f t="shared" si="447"/>
      </c>
      <c r="AK549" s="4">
        <f t="shared" si="448"/>
      </c>
      <c r="AL549" s="4">
        <f t="shared" si="449"/>
      </c>
      <c r="AM549" s="4">
        <f t="shared" si="450"/>
      </c>
      <c r="AN549" s="4"/>
      <c r="AO549" s="4">
        <f t="shared" si="451"/>
      </c>
      <c r="AP549" s="4">
        <f t="shared" si="452"/>
      </c>
      <c r="AQ549" s="4">
        <f t="shared" si="453"/>
        <v/>
      </c>
      <c r="AR549" s="4">
        <f t="shared" si="454"/>
      </c>
      <c r="AS549" s="4">
        <f t="shared" si="455"/>
      </c>
      <c r="AT549" s="4">
        <f t="shared" si="456"/>
      </c>
    </row>
    <row r="550" spans="1:46" x14ac:dyDescent="0.3">
      <c r="A550" s="5">
        <f t="shared" si="428"/>
      </c>
      <c r="B550" s="4">
        <f t="shared" si="429"/>
      </c>
      <c r="C550" s="119"/>
      <c r="D550" s="119"/>
      <c r="E550" s="105"/>
      <c r="F550" s="173"/>
      <c r="G550" s="173"/>
      <c r="H550" s="173"/>
      <c r="I550" s="105"/>
      <c r="J550" s="105"/>
      <c r="K550" s="105"/>
      <c r="L550" s="105"/>
      <c r="M550" s="4">
        <f t="shared" si="430"/>
      </c>
      <c r="N550" s="59"/>
      <c r="O550" s="164"/>
      <c r="P550" s="59">
        <f t="shared" si="431"/>
      </c>
      <c r="Q550" s="165"/>
      <c r="R550" s="59"/>
      <c r="S550" s="164"/>
      <c r="T550" s="5">
        <f t="shared" si="432"/>
      </c>
      <c r="U550" s="4">
        <f t="shared" si="433"/>
      </c>
      <c r="V550" s="4">
        <f t="shared" si="434"/>
      </c>
      <c r="W550" s="4">
        <f t="shared" si="435"/>
      </c>
      <c r="X550" s="4">
        <f t="shared" si="436"/>
      </c>
      <c r="Y550" s="4" cm="1">
        <f t="array" ref="Y550">_xlfn.IFS(H550=1,2,H550=3,1)</f>
      </c>
      <c r="Z550" s="4">
        <f t="shared" si="437"/>
      </c>
      <c r="AA550" s="4">
        <f t="shared" si="438"/>
      </c>
      <c r="AB550" s="4">
        <f t="shared" si="439"/>
      </c>
      <c r="AC550" s="4">
        <f t="shared" si="440"/>
      </c>
      <c r="AD550" s="4">
        <f t="shared" si="441"/>
      </c>
      <c r="AE550" s="4">
        <f t="shared" si="442"/>
      </c>
      <c r="AF550" s="4">
        <f t="shared" si="443"/>
      </c>
      <c r="AG550" s="4">
        <f t="shared" si="444"/>
        <v/>
      </c>
      <c r="AH550" s="4">
        <f t="shared" si="445"/>
      </c>
      <c r="AI550" s="4">
        <f t="shared" si="446"/>
      </c>
      <c r="AJ550" s="4">
        <f t="shared" si="447"/>
      </c>
      <c r="AK550" s="4">
        <f t="shared" si="448"/>
      </c>
      <c r="AL550" s="4">
        <f t="shared" si="449"/>
      </c>
      <c r="AM550" s="4">
        <f t="shared" si="450"/>
      </c>
      <c r="AN550" s="4"/>
      <c r="AO550" s="4">
        <f t="shared" si="451"/>
      </c>
      <c r="AP550" s="4">
        <f t="shared" si="452"/>
      </c>
      <c r="AQ550" s="4">
        <f t="shared" si="453"/>
        <v/>
      </c>
      <c r="AR550" s="4">
        <f t="shared" si="454"/>
      </c>
      <c r="AS550" s="4">
        <f t="shared" si="455"/>
      </c>
      <c r="AT550" s="4">
        <f t="shared" si="456"/>
      </c>
    </row>
    <row r="551" spans="1:46" x14ac:dyDescent="0.3">
      <c r="A551" s="5">
        <f t="shared" si="428"/>
      </c>
      <c r="B551" s="4">
        <f t="shared" si="429"/>
      </c>
      <c r="C551" s="119"/>
      <c r="D551" s="119"/>
      <c r="E551" s="105"/>
      <c r="F551" s="173"/>
      <c r="G551" s="173"/>
      <c r="H551" s="173"/>
      <c r="I551" s="105"/>
      <c r="J551" s="105"/>
      <c r="K551" s="105"/>
      <c r="L551" s="105"/>
      <c r="M551" s="4">
        <f t="shared" si="430"/>
      </c>
      <c r="N551" s="59"/>
      <c r="O551" s="164"/>
      <c r="P551" s="59">
        <f t="shared" si="431"/>
      </c>
      <c r="Q551" s="165"/>
      <c r="R551" s="59"/>
      <c r="S551" s="164"/>
      <c r="T551" s="5">
        <f t="shared" si="432"/>
      </c>
      <c r="U551" s="4">
        <f t="shared" si="433"/>
      </c>
      <c r="V551" s="4">
        <f t="shared" si="434"/>
      </c>
      <c r="W551" s="4">
        <f t="shared" si="435"/>
      </c>
      <c r="X551" s="4">
        <f t="shared" si="436"/>
      </c>
      <c r="Y551" s="4" cm="1">
        <f t="array" ref="Y551">_xlfn.IFS(H551=1,2,H551=3,1)</f>
      </c>
      <c r="Z551" s="4">
        <f t="shared" si="437"/>
      </c>
      <c r="AA551" s="4">
        <f t="shared" si="438"/>
      </c>
      <c r="AB551" s="4">
        <f t="shared" si="439"/>
      </c>
      <c r="AC551" s="4">
        <f t="shared" si="440"/>
      </c>
      <c r="AD551" s="4">
        <f t="shared" si="441"/>
      </c>
      <c r="AE551" s="4">
        <f t="shared" si="442"/>
      </c>
      <c r="AF551" s="4">
        <f t="shared" si="443"/>
      </c>
      <c r="AG551" s="4">
        <f t="shared" si="444"/>
        <v/>
      </c>
      <c r="AH551" s="4">
        <f t="shared" si="445"/>
      </c>
      <c r="AI551" s="4">
        <f t="shared" si="446"/>
      </c>
      <c r="AJ551" s="4">
        <f t="shared" si="447"/>
      </c>
      <c r="AK551" s="4">
        <f t="shared" si="448"/>
      </c>
      <c r="AL551" s="4">
        <f t="shared" si="449"/>
      </c>
      <c r="AM551" s="4">
        <f t="shared" si="450"/>
      </c>
      <c r="AN551" s="4"/>
      <c r="AO551" s="4">
        <f t="shared" si="451"/>
      </c>
      <c r="AP551" s="4">
        <f t="shared" si="452"/>
      </c>
      <c r="AQ551" s="4">
        <f t="shared" si="453"/>
        <v/>
      </c>
      <c r="AR551" s="4">
        <f t="shared" si="454"/>
      </c>
      <c r="AS551" s="4">
        <f t="shared" si="455"/>
      </c>
      <c r="AT551" s="4">
        <f t="shared" si="456"/>
      </c>
    </row>
    <row r="552" spans="1:46" x14ac:dyDescent="0.3">
      <c r="A552" s="5">
        <f t="shared" si="428"/>
      </c>
      <c r="B552" s="4">
        <f t="shared" si="429"/>
      </c>
      <c r="C552" s="119"/>
      <c r="D552" s="119"/>
      <c r="E552" s="105"/>
      <c r="F552" s="173"/>
      <c r="G552" s="173"/>
      <c r="H552" s="173"/>
      <c r="I552" s="105"/>
      <c r="J552" s="105"/>
      <c r="K552" s="105"/>
      <c r="L552" s="105"/>
      <c r="M552" s="4">
        <f t="shared" si="430"/>
      </c>
      <c r="N552" s="59"/>
      <c r="O552" s="164"/>
      <c r="P552" s="59">
        <f t="shared" si="431"/>
      </c>
      <c r="Q552" s="165"/>
      <c r="R552" s="59"/>
      <c r="S552" s="164"/>
      <c r="T552" s="5">
        <f t="shared" si="432"/>
      </c>
      <c r="U552" s="4">
        <f t="shared" si="433"/>
      </c>
      <c r="V552" s="4">
        <f t="shared" si="434"/>
      </c>
      <c r="W552" s="4">
        <f t="shared" si="435"/>
      </c>
      <c r="X552" s="4">
        <f t="shared" si="436"/>
      </c>
      <c r="Y552" s="4" cm="1">
        <f t="array" ref="Y552">_xlfn.IFS(H552=1,2,H552=3,1)</f>
      </c>
      <c r="Z552" s="4">
        <f t="shared" si="437"/>
      </c>
      <c r="AA552" s="4">
        <f t="shared" si="438"/>
      </c>
      <c r="AB552" s="4">
        <f t="shared" si="439"/>
      </c>
      <c r="AC552" s="4">
        <f t="shared" si="440"/>
      </c>
      <c r="AD552" s="4">
        <f t="shared" si="441"/>
      </c>
      <c r="AE552" s="4">
        <f t="shared" si="442"/>
      </c>
      <c r="AF552" s="4">
        <f t="shared" si="443"/>
      </c>
      <c r="AG552" s="4">
        <f t="shared" si="444"/>
        <v/>
      </c>
      <c r="AH552" s="4">
        <f t="shared" si="445"/>
      </c>
      <c r="AI552" s="4">
        <f t="shared" si="446"/>
      </c>
      <c r="AJ552" s="4">
        <f t="shared" si="447"/>
      </c>
      <c r="AK552" s="4">
        <f t="shared" si="448"/>
      </c>
      <c r="AL552" s="4">
        <f t="shared" si="449"/>
      </c>
      <c r="AM552" s="4">
        <f t="shared" si="450"/>
      </c>
      <c r="AN552" s="4"/>
      <c r="AO552" s="4">
        <f t="shared" si="451"/>
      </c>
      <c r="AP552" s="4">
        <f t="shared" si="452"/>
      </c>
      <c r="AQ552" s="4">
        <f t="shared" si="453"/>
        <v/>
      </c>
      <c r="AR552" s="4">
        <f t="shared" si="454"/>
      </c>
      <c r="AS552" s="4">
        <f t="shared" si="455"/>
      </c>
      <c r="AT552" s="4">
        <f t="shared" si="456"/>
      </c>
    </row>
    <row r="553" spans="1:46" x14ac:dyDescent="0.3">
      <c r="A553" s="5">
        <f t="shared" si="428"/>
      </c>
      <c r="B553" s="4">
        <f t="shared" si="429"/>
      </c>
      <c r="C553" s="119"/>
      <c r="D553" s="119"/>
      <c r="E553" s="105"/>
      <c r="F553" s="173"/>
      <c r="G553" s="173"/>
      <c r="H553" s="173"/>
      <c r="I553" s="105"/>
      <c r="J553" s="105"/>
      <c r="K553" s="105"/>
      <c r="L553" s="105"/>
      <c r="M553" s="4">
        <f t="shared" si="430"/>
      </c>
      <c r="N553" s="59"/>
      <c r="O553" s="164"/>
      <c r="P553" s="59">
        <f t="shared" si="431"/>
      </c>
      <c r="Q553" s="165"/>
      <c r="R553" s="59"/>
      <c r="S553" s="164"/>
      <c r="T553" s="5">
        <f t="shared" si="432"/>
      </c>
      <c r="U553" s="4">
        <f t="shared" si="433"/>
      </c>
      <c r="V553" s="4">
        <f t="shared" si="434"/>
      </c>
      <c r="W553" s="4">
        <f t="shared" si="435"/>
      </c>
      <c r="X553" s="4">
        <f t="shared" si="436"/>
      </c>
      <c r="Y553" s="4" cm="1">
        <f t="array" ref="Y553">_xlfn.IFS(H553=1,2,H553=3,1)</f>
      </c>
      <c r="Z553" s="4">
        <f t="shared" si="437"/>
      </c>
      <c r="AA553" s="4">
        <f t="shared" si="438"/>
      </c>
      <c r="AB553" s="4">
        <f t="shared" si="439"/>
      </c>
      <c r="AC553" s="4">
        <f t="shared" si="440"/>
      </c>
      <c r="AD553" s="4">
        <f t="shared" si="441"/>
      </c>
      <c r="AE553" s="4">
        <f t="shared" si="442"/>
      </c>
      <c r="AF553" s="4">
        <f t="shared" si="443"/>
      </c>
      <c r="AG553" s="4">
        <f t="shared" si="444"/>
        <v/>
      </c>
      <c r="AH553" s="4">
        <f t="shared" si="445"/>
      </c>
      <c r="AI553" s="4">
        <f t="shared" si="446"/>
      </c>
      <c r="AJ553" s="4">
        <f t="shared" si="447"/>
      </c>
      <c r="AK553" s="4">
        <f t="shared" si="448"/>
      </c>
      <c r="AL553" s="4">
        <f t="shared" si="449"/>
      </c>
      <c r="AM553" s="4">
        <f t="shared" si="450"/>
      </c>
      <c r="AN553" s="4"/>
      <c r="AO553" s="4">
        <f t="shared" si="451"/>
      </c>
      <c r="AP553" s="4">
        <f t="shared" si="452"/>
      </c>
      <c r="AQ553" s="4">
        <f t="shared" si="453"/>
        <v/>
      </c>
      <c r="AR553" s="4">
        <f t="shared" si="454"/>
      </c>
      <c r="AS553" s="4">
        <f t="shared" si="455"/>
      </c>
      <c r="AT553" s="4">
        <f t="shared" si="456"/>
      </c>
    </row>
    <row r="554" spans="1:46" x14ac:dyDescent="0.3">
      <c r="A554" s="5">
        <f t="shared" si="428"/>
      </c>
      <c r="B554" s="4">
        <f t="shared" si="429"/>
      </c>
      <c r="C554" s="119"/>
      <c r="D554" s="119"/>
      <c r="E554" s="105"/>
      <c r="F554" s="173"/>
      <c r="G554" s="173"/>
      <c r="H554" s="173"/>
      <c r="I554" s="105"/>
      <c r="J554" s="105"/>
      <c r="K554" s="105"/>
      <c r="L554" s="105"/>
      <c r="M554" s="4">
        <f t="shared" si="430"/>
      </c>
      <c r="N554" s="59"/>
      <c r="O554" s="164"/>
      <c r="P554" s="59">
        <f t="shared" si="431"/>
      </c>
      <c r="Q554" s="165"/>
      <c r="R554" s="59"/>
      <c r="S554" s="164"/>
      <c r="T554" s="5">
        <f t="shared" si="432"/>
      </c>
      <c r="U554" s="4">
        <f t="shared" si="433"/>
      </c>
      <c r="V554" s="4">
        <f t="shared" si="434"/>
      </c>
      <c r="W554" s="4">
        <f t="shared" si="435"/>
      </c>
      <c r="X554" s="4">
        <f t="shared" si="436"/>
      </c>
      <c r="Y554" s="4" cm="1">
        <f t="array" ref="Y554">_xlfn.IFS(H554=1,2,H554=3,1)</f>
      </c>
      <c r="Z554" s="4">
        <f t="shared" si="437"/>
      </c>
      <c r="AA554" s="4">
        <f t="shared" si="438"/>
      </c>
      <c r="AB554" s="4">
        <f t="shared" si="439"/>
      </c>
      <c r="AC554" s="4">
        <f t="shared" si="440"/>
      </c>
      <c r="AD554" s="4">
        <f t="shared" si="441"/>
      </c>
      <c r="AE554" s="4">
        <f t="shared" si="442"/>
      </c>
      <c r="AF554" s="4">
        <f t="shared" si="443"/>
      </c>
      <c r="AG554" s="4">
        <f t="shared" si="444"/>
        <v/>
      </c>
      <c r="AH554" s="4">
        <f t="shared" si="445"/>
      </c>
      <c r="AI554" s="4">
        <f t="shared" si="446"/>
      </c>
      <c r="AJ554" s="4">
        <f t="shared" si="447"/>
      </c>
      <c r="AK554" s="4">
        <f t="shared" si="448"/>
      </c>
      <c r="AL554" s="4">
        <f t="shared" si="449"/>
      </c>
      <c r="AM554" s="4">
        <f t="shared" si="450"/>
      </c>
      <c r="AN554" s="4"/>
      <c r="AO554" s="4">
        <f t="shared" si="451"/>
      </c>
      <c r="AP554" s="4">
        <f t="shared" si="452"/>
      </c>
      <c r="AQ554" s="4">
        <f t="shared" si="453"/>
        <v/>
      </c>
      <c r="AR554" s="4">
        <f t="shared" si="454"/>
      </c>
      <c r="AS554" s="4">
        <f t="shared" si="455"/>
      </c>
      <c r="AT554" s="4">
        <f t="shared" si="456"/>
      </c>
    </row>
    <row r="555" spans="1:46" x14ac:dyDescent="0.3">
      <c r="A555" s="5">
        <f t="shared" si="428"/>
      </c>
      <c r="B555" s="4">
        <f t="shared" si="429"/>
      </c>
      <c r="C555" s="119"/>
      <c r="D555" s="119"/>
      <c r="E555" s="105"/>
      <c r="F555" s="173"/>
      <c r="G555" s="173"/>
      <c r="H555" s="173"/>
      <c r="I555" s="105"/>
      <c r="J555" s="105"/>
      <c r="K555" s="105"/>
      <c r="L555" s="105"/>
      <c r="M555" s="4">
        <f t="shared" si="430"/>
      </c>
      <c r="N555" s="59"/>
      <c r="O555" s="164"/>
      <c r="P555" s="59">
        <f t="shared" si="431"/>
      </c>
      <c r="Q555" s="165"/>
      <c r="R555" s="59"/>
      <c r="S555" s="164"/>
      <c r="T555" s="5">
        <f t="shared" si="432"/>
      </c>
      <c r="U555" s="4">
        <f t="shared" si="433"/>
      </c>
      <c r="V555" s="4">
        <f t="shared" si="434"/>
      </c>
      <c r="W555" s="4">
        <f t="shared" si="435"/>
      </c>
      <c r="X555" s="4">
        <f t="shared" si="436"/>
      </c>
      <c r="Y555" s="4" cm="1">
        <f t="array" ref="Y555">_xlfn.IFS(H555=1,2,H555=3,1)</f>
      </c>
      <c r="Z555" s="4">
        <f t="shared" si="437"/>
      </c>
      <c r="AA555" s="4">
        <f t="shared" si="438"/>
      </c>
      <c r="AB555" s="4">
        <f t="shared" si="439"/>
      </c>
      <c r="AC555" s="4">
        <f t="shared" si="440"/>
      </c>
      <c r="AD555" s="4">
        <f t="shared" si="441"/>
      </c>
      <c r="AE555" s="4">
        <f t="shared" si="442"/>
      </c>
      <c r="AF555" s="4">
        <f t="shared" si="443"/>
      </c>
      <c r="AG555" s="4">
        <f t="shared" si="444"/>
        <v/>
      </c>
      <c r="AH555" s="4">
        <f t="shared" si="445"/>
      </c>
      <c r="AI555" s="4">
        <f t="shared" si="446"/>
      </c>
      <c r="AJ555" s="4">
        <f t="shared" si="447"/>
      </c>
      <c r="AK555" s="4">
        <f t="shared" si="448"/>
      </c>
      <c r="AL555" s="4">
        <f t="shared" si="449"/>
      </c>
      <c r="AM555" s="4">
        <f t="shared" si="450"/>
      </c>
      <c r="AN555" s="4"/>
      <c r="AO555" s="4">
        <f t="shared" si="451"/>
      </c>
      <c r="AP555" s="4">
        <f t="shared" si="452"/>
      </c>
      <c r="AQ555" s="4">
        <f t="shared" si="453"/>
        <v/>
      </c>
      <c r="AR555" s="4">
        <f t="shared" si="454"/>
      </c>
      <c r="AS555" s="4">
        <f t="shared" si="455"/>
      </c>
      <c r="AT555" s="4">
        <f t="shared" si="456"/>
      </c>
    </row>
    <row r="556" spans="1:46" x14ac:dyDescent="0.3">
      <c r="A556" s="5">
        <f t="shared" si="428"/>
      </c>
      <c r="B556" s="4">
        <f t="shared" si="429"/>
      </c>
      <c r="C556" s="119"/>
      <c r="D556" s="119"/>
      <c r="E556" s="105"/>
      <c r="F556" s="173"/>
      <c r="G556" s="173"/>
      <c r="H556" s="173"/>
      <c r="I556" s="105"/>
      <c r="J556" s="105"/>
      <c r="K556" s="105"/>
      <c r="L556" s="105"/>
      <c r="M556" s="4">
        <f t="shared" si="430"/>
      </c>
      <c r="N556" s="59"/>
      <c r="O556" s="164"/>
      <c r="P556" s="59">
        <f t="shared" si="431"/>
      </c>
      <c r="Q556" s="165"/>
      <c r="R556" s="59"/>
      <c r="S556" s="164"/>
      <c r="T556" s="5">
        <f t="shared" si="432"/>
      </c>
      <c r="U556" s="4">
        <f t="shared" si="433"/>
      </c>
      <c r="V556" s="4">
        <f t="shared" si="434"/>
      </c>
      <c r="W556" s="4">
        <f t="shared" si="435"/>
      </c>
      <c r="X556" s="4">
        <f t="shared" si="436"/>
      </c>
      <c r="Y556" s="4" cm="1">
        <f t="array" ref="Y556">_xlfn.IFS(H556=1,2,H556=3,1)</f>
      </c>
      <c r="Z556" s="4">
        <f t="shared" si="437"/>
      </c>
      <c r="AA556" s="4">
        <f t="shared" si="438"/>
      </c>
      <c r="AB556" s="4">
        <f t="shared" si="439"/>
      </c>
      <c r="AC556" s="4">
        <f t="shared" si="440"/>
      </c>
      <c r="AD556" s="4">
        <f t="shared" si="441"/>
      </c>
      <c r="AE556" s="4">
        <f t="shared" si="442"/>
      </c>
      <c r="AF556" s="4">
        <f t="shared" si="443"/>
      </c>
      <c r="AG556" s="4">
        <f t="shared" si="444"/>
        <v/>
      </c>
      <c r="AH556" s="4">
        <f t="shared" si="445"/>
      </c>
      <c r="AI556" s="4">
        <f t="shared" si="446"/>
      </c>
      <c r="AJ556" s="4">
        <f t="shared" si="447"/>
      </c>
      <c r="AK556" s="4">
        <f t="shared" si="448"/>
      </c>
      <c r="AL556" s="4">
        <f t="shared" si="449"/>
      </c>
      <c r="AM556" s="4">
        <f t="shared" si="450"/>
      </c>
      <c r="AN556" s="4"/>
      <c r="AO556" s="4">
        <f t="shared" si="451"/>
      </c>
      <c r="AP556" s="4">
        <f t="shared" si="452"/>
      </c>
      <c r="AQ556" s="4">
        <f t="shared" si="453"/>
        <v/>
      </c>
      <c r="AR556" s="4">
        <f t="shared" si="454"/>
      </c>
      <c r="AS556" s="4">
        <f t="shared" si="455"/>
      </c>
      <c r="AT556" s="4">
        <f t="shared" si="456"/>
      </c>
    </row>
    <row r="557" spans="1:46" x14ac:dyDescent="0.3">
      <c r="A557" s="5">
        <f t="shared" si="428"/>
      </c>
      <c r="B557" s="4">
        <f t="shared" si="429"/>
      </c>
      <c r="C557" s="119"/>
      <c r="D557" s="119"/>
      <c r="E557" s="105"/>
      <c r="F557" s="173"/>
      <c r="G557" s="173"/>
      <c r="H557" s="173"/>
      <c r="I557" s="105"/>
      <c r="J557" s="105"/>
      <c r="K557" s="105"/>
      <c r="L557" s="105"/>
      <c r="M557" s="4">
        <f t="shared" si="430"/>
      </c>
      <c r="N557" s="59"/>
      <c r="O557" s="164"/>
      <c r="P557" s="59">
        <f t="shared" si="431"/>
      </c>
      <c r="Q557" s="165"/>
      <c r="R557" s="59"/>
      <c r="S557" s="164"/>
      <c r="T557" s="5">
        <f t="shared" si="432"/>
      </c>
      <c r="U557" s="4">
        <f t="shared" si="433"/>
      </c>
      <c r="V557" s="4">
        <f t="shared" si="434"/>
      </c>
      <c r="W557" s="4">
        <f t="shared" si="435"/>
      </c>
      <c r="X557" s="4">
        <f t="shared" si="436"/>
      </c>
      <c r="Y557" s="4" cm="1">
        <f t="array" ref="Y557">_xlfn.IFS(H557=1,2,H557=3,1)</f>
      </c>
      <c r="Z557" s="4">
        <f t="shared" si="437"/>
      </c>
      <c r="AA557" s="4">
        <f t="shared" si="438"/>
      </c>
      <c r="AB557" s="4">
        <f t="shared" si="439"/>
      </c>
      <c r="AC557" s="4">
        <f t="shared" si="440"/>
      </c>
      <c r="AD557" s="4">
        <f t="shared" si="441"/>
      </c>
      <c r="AE557" s="4">
        <f t="shared" si="442"/>
      </c>
      <c r="AF557" s="4">
        <f t="shared" si="443"/>
      </c>
      <c r="AG557" s="4">
        <f t="shared" si="444"/>
        <v/>
      </c>
      <c r="AH557" s="4">
        <f t="shared" si="445"/>
      </c>
      <c r="AI557" s="4">
        <f t="shared" si="446"/>
      </c>
      <c r="AJ557" s="4">
        <f t="shared" si="447"/>
      </c>
      <c r="AK557" s="4">
        <f t="shared" si="448"/>
      </c>
      <c r="AL557" s="4">
        <f t="shared" si="449"/>
      </c>
      <c r="AM557" s="4">
        <f t="shared" si="450"/>
      </c>
      <c r="AN557" s="4"/>
      <c r="AO557" s="4">
        <f t="shared" si="451"/>
      </c>
      <c r="AP557" s="4">
        <f t="shared" si="452"/>
      </c>
      <c r="AQ557" s="4">
        <f t="shared" si="453"/>
        <v/>
      </c>
      <c r="AR557" s="4">
        <f t="shared" si="454"/>
      </c>
      <c r="AS557" s="4">
        <f t="shared" si="455"/>
      </c>
      <c r="AT557" s="4">
        <f t="shared" si="456"/>
      </c>
    </row>
    <row r="558" spans="1:46" x14ac:dyDescent="0.3">
      <c r="A558" s="5">
        <f t="shared" si="428"/>
      </c>
      <c r="B558" s="4">
        <f t="shared" si="429"/>
      </c>
      <c r="C558" s="119"/>
      <c r="D558" s="119"/>
      <c r="E558" s="105"/>
      <c r="F558" s="173"/>
      <c r="G558" s="173"/>
      <c r="H558" s="173"/>
      <c r="I558" s="105"/>
      <c r="J558" s="105"/>
      <c r="K558" s="105"/>
      <c r="L558" s="105"/>
      <c r="M558" s="4">
        <f t="shared" si="430"/>
      </c>
      <c r="N558" s="59"/>
      <c r="O558" s="164"/>
      <c r="P558" s="59">
        <f t="shared" si="431"/>
      </c>
      <c r="Q558" s="165"/>
      <c r="R558" s="59"/>
      <c r="S558" s="164"/>
      <c r="T558" s="5">
        <f t="shared" si="432"/>
      </c>
      <c r="U558" s="4">
        <f t="shared" si="433"/>
      </c>
      <c r="V558" s="4">
        <f t="shared" si="434"/>
      </c>
      <c r="W558" s="4">
        <f t="shared" si="435"/>
      </c>
      <c r="X558" s="4">
        <f t="shared" si="436"/>
      </c>
      <c r="Y558" s="4" cm="1">
        <f t="array" ref="Y558">_xlfn.IFS(H558=1,2,H558=3,1)</f>
      </c>
      <c r="Z558" s="4">
        <f t="shared" si="437"/>
      </c>
      <c r="AA558" s="4">
        <f t="shared" si="438"/>
      </c>
      <c r="AB558" s="4">
        <f t="shared" si="439"/>
      </c>
      <c r="AC558" s="4">
        <f t="shared" si="440"/>
      </c>
      <c r="AD558" s="4">
        <f t="shared" si="441"/>
      </c>
      <c r="AE558" s="4">
        <f t="shared" si="442"/>
      </c>
      <c r="AF558" s="4">
        <f t="shared" si="443"/>
      </c>
      <c r="AG558" s="4">
        <f t="shared" si="444"/>
        <v/>
      </c>
      <c r="AH558" s="4">
        <f t="shared" si="445"/>
      </c>
      <c r="AI558" s="4">
        <f t="shared" si="446"/>
      </c>
      <c r="AJ558" s="4">
        <f t="shared" si="447"/>
      </c>
      <c r="AK558" s="4">
        <f t="shared" si="448"/>
      </c>
      <c r="AL558" s="4">
        <f t="shared" si="449"/>
      </c>
      <c r="AM558" s="4">
        <f t="shared" si="450"/>
      </c>
      <c r="AN558" s="4"/>
      <c r="AO558" s="4">
        <f t="shared" si="451"/>
      </c>
      <c r="AP558" s="4">
        <f t="shared" si="452"/>
      </c>
      <c r="AQ558" s="4">
        <f t="shared" si="453"/>
        <v/>
      </c>
      <c r="AR558" s="4">
        <f t="shared" si="454"/>
      </c>
      <c r="AS558" s="4">
        <f t="shared" si="455"/>
      </c>
      <c r="AT558" s="4">
        <f t="shared" si="456"/>
      </c>
    </row>
    <row r="559" spans="1:46" x14ac:dyDescent="0.3">
      <c r="A559" s="5">
        <f t="shared" si="428"/>
      </c>
      <c r="B559" s="4">
        <f t="shared" si="429"/>
      </c>
      <c r="C559" s="119"/>
      <c r="D559" s="119"/>
      <c r="E559" s="105"/>
      <c r="F559" s="173"/>
      <c r="G559" s="173"/>
      <c r="H559" s="173"/>
      <c r="I559" s="105"/>
      <c r="J559" s="105"/>
      <c r="K559" s="105"/>
      <c r="L559" s="105"/>
      <c r="M559" s="4">
        <f t="shared" si="430"/>
      </c>
      <c r="N559" s="59"/>
      <c r="O559" s="164"/>
      <c r="P559" s="59">
        <f t="shared" si="431"/>
      </c>
      <c r="Q559" s="165"/>
      <c r="R559" s="59"/>
      <c r="S559" s="164"/>
      <c r="T559" s="5">
        <f t="shared" si="432"/>
      </c>
      <c r="U559" s="4">
        <f t="shared" si="433"/>
      </c>
      <c r="V559" s="4">
        <f t="shared" si="434"/>
      </c>
      <c r="W559" s="4">
        <f t="shared" si="435"/>
      </c>
      <c r="X559" s="4">
        <f t="shared" si="436"/>
      </c>
      <c r="Y559" s="4" cm="1">
        <f t="array" ref="Y559">_xlfn.IFS(H559=1,2,H559=3,1)</f>
      </c>
      <c r="Z559" s="4">
        <f t="shared" si="437"/>
      </c>
      <c r="AA559" s="4">
        <f t="shared" si="438"/>
      </c>
      <c r="AB559" s="4">
        <f t="shared" si="439"/>
      </c>
      <c r="AC559" s="4">
        <f t="shared" si="440"/>
      </c>
      <c r="AD559" s="4">
        <f t="shared" si="441"/>
      </c>
      <c r="AE559" s="4">
        <f t="shared" si="442"/>
      </c>
      <c r="AF559" s="4">
        <f t="shared" si="443"/>
      </c>
      <c r="AG559" s="4">
        <f t="shared" si="444"/>
        <v/>
      </c>
      <c r="AH559" s="4">
        <f t="shared" si="445"/>
      </c>
      <c r="AI559" s="4">
        <f t="shared" si="446"/>
      </c>
      <c r="AJ559" s="4">
        <f t="shared" si="447"/>
      </c>
      <c r="AK559" s="4">
        <f t="shared" si="448"/>
      </c>
      <c r="AL559" s="4">
        <f t="shared" si="449"/>
      </c>
      <c r="AM559" s="4">
        <f t="shared" si="450"/>
      </c>
      <c r="AN559" s="4"/>
      <c r="AO559" s="4">
        <f t="shared" si="451"/>
      </c>
      <c r="AP559" s="4">
        <f t="shared" si="452"/>
      </c>
      <c r="AQ559" s="4">
        <f t="shared" si="453"/>
        <v/>
      </c>
      <c r="AR559" s="4">
        <f t="shared" si="454"/>
      </c>
      <c r="AS559" s="4">
        <f t="shared" si="455"/>
      </c>
      <c r="AT559" s="4">
        <f t="shared" si="456"/>
      </c>
    </row>
    <row r="560" spans="1:46" x14ac:dyDescent="0.3">
      <c r="A560" s="5">
        <f t="shared" si="428"/>
      </c>
      <c r="B560" s="4">
        <f t="shared" si="429"/>
      </c>
      <c r="C560" s="119"/>
      <c r="D560" s="119"/>
      <c r="E560" s="105"/>
      <c r="F560" s="173"/>
      <c r="G560" s="173"/>
      <c r="H560" s="173"/>
      <c r="I560" s="105"/>
      <c r="J560" s="105"/>
      <c r="K560" s="105"/>
      <c r="L560" s="105"/>
      <c r="M560" s="4">
        <f t="shared" si="430"/>
      </c>
      <c r="N560" s="59"/>
      <c r="O560" s="164"/>
      <c r="P560" s="59">
        <f t="shared" si="431"/>
      </c>
      <c r="Q560" s="165"/>
      <c r="R560" s="59"/>
      <c r="S560" s="164"/>
      <c r="T560" s="5">
        <f t="shared" si="432"/>
      </c>
      <c r="U560" s="4">
        <f t="shared" si="433"/>
      </c>
      <c r="V560" s="4">
        <f t="shared" si="434"/>
      </c>
      <c r="W560" s="4">
        <f t="shared" si="435"/>
      </c>
      <c r="X560" s="4">
        <f t="shared" si="436"/>
      </c>
      <c r="Y560" s="4" cm="1">
        <f t="array" ref="Y560">_xlfn.IFS(H560=1,2,H560=3,1)</f>
      </c>
      <c r="Z560" s="4">
        <f t="shared" si="437"/>
      </c>
      <c r="AA560" s="4">
        <f t="shared" si="438"/>
      </c>
      <c r="AB560" s="4">
        <f t="shared" si="439"/>
      </c>
      <c r="AC560" s="4">
        <f t="shared" si="440"/>
      </c>
      <c r="AD560" s="4">
        <f t="shared" si="441"/>
      </c>
      <c r="AE560" s="4">
        <f t="shared" si="442"/>
      </c>
      <c r="AF560" s="4">
        <f t="shared" si="443"/>
      </c>
      <c r="AG560" s="4">
        <f t="shared" si="444"/>
        <v/>
      </c>
      <c r="AH560" s="4">
        <f t="shared" si="445"/>
      </c>
      <c r="AI560" s="4">
        <f t="shared" si="446"/>
      </c>
      <c r="AJ560" s="4">
        <f t="shared" si="447"/>
      </c>
      <c r="AK560" s="4">
        <f t="shared" si="448"/>
      </c>
      <c r="AL560" s="4">
        <f t="shared" si="449"/>
      </c>
      <c r="AM560" s="4">
        <f t="shared" si="450"/>
      </c>
      <c r="AN560" s="4"/>
      <c r="AO560" s="4">
        <f t="shared" si="451"/>
      </c>
      <c r="AP560" s="4">
        <f t="shared" si="452"/>
      </c>
      <c r="AQ560" s="4">
        <f t="shared" si="453"/>
        <v/>
      </c>
      <c r="AR560" s="4">
        <f t="shared" si="454"/>
      </c>
      <c r="AS560" s="4">
        <f t="shared" si="455"/>
      </c>
      <c r="AT560" s="4">
        <f t="shared" si="456"/>
      </c>
    </row>
    <row r="561" spans="1:46" x14ac:dyDescent="0.3">
      <c r="A561" s="5">
        <f t="shared" si="428"/>
      </c>
      <c r="B561" s="4">
        <f t="shared" si="429"/>
      </c>
      <c r="C561" s="119"/>
      <c r="D561" s="119"/>
      <c r="E561" s="105"/>
      <c r="F561" s="173"/>
      <c r="G561" s="173"/>
      <c r="H561" s="173"/>
      <c r="I561" s="105"/>
      <c r="J561" s="105"/>
      <c r="K561" s="105"/>
      <c r="L561" s="105"/>
      <c r="M561" s="4">
        <f t="shared" si="430"/>
      </c>
      <c r="N561" s="59"/>
      <c r="O561" s="164"/>
      <c r="P561" s="59">
        <f t="shared" si="431"/>
      </c>
      <c r="Q561" s="165"/>
      <c r="R561" s="59"/>
      <c r="S561" s="164"/>
      <c r="T561" s="5">
        <f t="shared" si="432"/>
      </c>
      <c r="U561" s="4">
        <f t="shared" si="433"/>
      </c>
      <c r="V561" s="4">
        <f t="shared" si="434"/>
      </c>
      <c r="W561" s="4">
        <f t="shared" si="435"/>
      </c>
      <c r="X561" s="4">
        <f t="shared" si="436"/>
      </c>
      <c r="Y561" s="4" cm="1">
        <f t="array" ref="Y561">_xlfn.IFS(H561=1,2,H561=3,1)</f>
      </c>
      <c r="Z561" s="4">
        <f t="shared" si="437"/>
      </c>
      <c r="AA561" s="4">
        <f t="shared" si="438"/>
      </c>
      <c r="AB561" s="4">
        <f t="shared" si="439"/>
      </c>
      <c r="AC561" s="4">
        <f t="shared" si="440"/>
      </c>
      <c r="AD561" s="4">
        <f t="shared" si="441"/>
      </c>
      <c r="AE561" s="4">
        <f t="shared" si="442"/>
      </c>
      <c r="AF561" s="4">
        <f t="shared" si="443"/>
      </c>
      <c r="AG561" s="4">
        <f t="shared" si="444"/>
        <v/>
      </c>
      <c r="AH561" s="4">
        <f t="shared" si="445"/>
      </c>
      <c r="AI561" s="4">
        <f t="shared" si="446"/>
      </c>
      <c r="AJ561" s="4">
        <f t="shared" si="447"/>
      </c>
      <c r="AK561" s="4">
        <f t="shared" si="448"/>
      </c>
      <c r="AL561" s="4">
        <f t="shared" si="449"/>
      </c>
      <c r="AM561" s="4">
        <f t="shared" si="450"/>
      </c>
      <c r="AN561" s="4"/>
      <c r="AO561" s="4">
        <f t="shared" si="451"/>
      </c>
      <c r="AP561" s="4">
        <f t="shared" si="452"/>
      </c>
      <c r="AQ561" s="4">
        <f t="shared" si="453"/>
        <v/>
      </c>
      <c r="AR561" s="4">
        <f t="shared" si="454"/>
      </c>
      <c r="AS561" s="4">
        <f t="shared" si="455"/>
      </c>
      <c r="AT561" s="4">
        <f t="shared" si="456"/>
      </c>
    </row>
    <row r="562" spans="1:46" x14ac:dyDescent="0.3">
      <c r="A562" s="5">
        <f t="shared" si="428"/>
      </c>
      <c r="B562" s="4">
        <f t="shared" si="429"/>
      </c>
      <c r="C562" s="119"/>
      <c r="D562" s="119"/>
      <c r="E562" s="105"/>
      <c r="F562" s="173"/>
      <c r="G562" s="173"/>
      <c r="H562" s="173"/>
      <c r="I562" s="105"/>
      <c r="J562" s="105"/>
      <c r="K562" s="105"/>
      <c r="L562" s="105"/>
      <c r="M562" s="4">
        <f t="shared" si="430"/>
      </c>
      <c r="N562" s="59"/>
      <c r="O562" s="164"/>
      <c r="P562" s="59">
        <f t="shared" si="431"/>
      </c>
      <c r="Q562" s="165"/>
      <c r="R562" s="59"/>
      <c r="S562" s="164"/>
      <c r="T562" s="5">
        <f t="shared" si="432"/>
      </c>
      <c r="U562" s="4">
        <f t="shared" si="433"/>
      </c>
      <c r="V562" s="4">
        <f t="shared" si="434"/>
      </c>
      <c r="W562" s="4">
        <f t="shared" si="435"/>
      </c>
      <c r="X562" s="4">
        <f t="shared" si="436"/>
      </c>
      <c r="Y562" s="4" cm="1">
        <f t="array" ref="Y562">_xlfn.IFS(H562=1,2,H562=3,1)</f>
      </c>
      <c r="Z562" s="4">
        <f t="shared" si="437"/>
      </c>
      <c r="AA562" s="4">
        <f t="shared" si="438"/>
      </c>
      <c r="AB562" s="4">
        <f t="shared" si="439"/>
      </c>
      <c r="AC562" s="4">
        <f t="shared" si="440"/>
      </c>
      <c r="AD562" s="4">
        <f t="shared" si="441"/>
      </c>
      <c r="AE562" s="4">
        <f t="shared" si="442"/>
      </c>
      <c r="AF562" s="4">
        <f t="shared" si="443"/>
      </c>
      <c r="AG562" s="4">
        <f t="shared" si="444"/>
        <v/>
      </c>
      <c r="AH562" s="4">
        <f t="shared" si="445"/>
      </c>
      <c r="AI562" s="4">
        <f t="shared" si="446"/>
      </c>
      <c r="AJ562" s="4">
        <f t="shared" si="447"/>
      </c>
      <c r="AK562" s="4">
        <f t="shared" si="448"/>
      </c>
      <c r="AL562" s="4">
        <f t="shared" si="449"/>
      </c>
      <c r="AM562" s="4">
        <f t="shared" si="450"/>
      </c>
      <c r="AN562" s="4"/>
      <c r="AO562" s="4">
        <f t="shared" si="451"/>
      </c>
      <c r="AP562" s="4">
        <f t="shared" si="452"/>
      </c>
      <c r="AQ562" s="4">
        <f t="shared" si="453"/>
        <v/>
      </c>
      <c r="AR562" s="4">
        <f t="shared" si="454"/>
      </c>
      <c r="AS562" s="4">
        <f t="shared" si="455"/>
      </c>
      <c r="AT562" s="4">
        <f t="shared" si="456"/>
      </c>
    </row>
    <row r="563" spans="1:46" x14ac:dyDescent="0.3">
      <c r="A563" s="5">
        <f t="shared" si="428"/>
      </c>
      <c r="B563" s="4">
        <f t="shared" si="429"/>
      </c>
      <c r="C563" s="119"/>
      <c r="D563" s="119"/>
      <c r="E563" s="105"/>
      <c r="F563" s="173"/>
      <c r="G563" s="173"/>
      <c r="H563" s="173"/>
      <c r="I563" s="105"/>
      <c r="J563" s="105"/>
      <c r="K563" s="105"/>
      <c r="L563" s="105"/>
      <c r="M563" s="4">
        <f t="shared" si="430"/>
      </c>
      <c r="N563" s="59"/>
      <c r="O563" s="164"/>
      <c r="P563" s="59">
        <f t="shared" si="431"/>
      </c>
      <c r="Q563" s="165"/>
      <c r="R563" s="59"/>
      <c r="S563" s="164"/>
      <c r="T563" s="5">
        <f t="shared" si="432"/>
      </c>
      <c r="U563" s="4">
        <f t="shared" si="433"/>
      </c>
      <c r="V563" s="4">
        <f t="shared" si="434"/>
      </c>
      <c r="W563" s="4">
        <f t="shared" si="435"/>
      </c>
      <c r="X563" s="4">
        <f t="shared" si="436"/>
      </c>
      <c r="Y563" s="4" cm="1">
        <f t="array" ref="Y563">_xlfn.IFS(H563=1,2,H563=3,1)</f>
      </c>
      <c r="Z563" s="4">
        <f t="shared" si="437"/>
      </c>
      <c r="AA563" s="4">
        <f t="shared" si="438"/>
      </c>
      <c r="AB563" s="4">
        <f t="shared" si="439"/>
      </c>
      <c r="AC563" s="4">
        <f t="shared" si="440"/>
      </c>
      <c r="AD563" s="4">
        <f t="shared" si="441"/>
      </c>
      <c r="AE563" s="4">
        <f t="shared" si="442"/>
      </c>
      <c r="AF563" s="4">
        <f t="shared" si="443"/>
      </c>
      <c r="AG563" s="4">
        <f t="shared" si="444"/>
        <v/>
      </c>
      <c r="AH563" s="4">
        <f t="shared" si="445"/>
      </c>
      <c r="AI563" s="4">
        <f t="shared" si="446"/>
      </c>
      <c r="AJ563" s="4">
        <f t="shared" si="447"/>
      </c>
      <c r="AK563" s="4">
        <f t="shared" si="448"/>
      </c>
      <c r="AL563" s="4">
        <f t="shared" si="449"/>
      </c>
      <c r="AM563" s="4">
        <f t="shared" si="450"/>
      </c>
      <c r="AN563" s="4"/>
      <c r="AO563" s="4">
        <f t="shared" si="451"/>
      </c>
      <c r="AP563" s="4">
        <f t="shared" si="452"/>
      </c>
      <c r="AQ563" s="4">
        <f t="shared" si="453"/>
        <v/>
      </c>
      <c r="AR563" s="4">
        <f t="shared" si="454"/>
      </c>
      <c r="AS563" s="4">
        <f t="shared" si="455"/>
      </c>
      <c r="AT563" s="4">
        <f t="shared" si="456"/>
      </c>
    </row>
    <row r="564" spans="1:46" x14ac:dyDescent="0.3">
      <c r="A564" s="5">
        <f t="shared" si="428"/>
      </c>
      <c r="B564" s="4">
        <f t="shared" si="429"/>
      </c>
      <c r="C564" s="119"/>
      <c r="D564" s="119"/>
      <c r="E564" s="105"/>
      <c r="F564" s="173"/>
      <c r="G564" s="173"/>
      <c r="H564" s="173"/>
      <c r="I564" s="105"/>
      <c r="J564" s="105"/>
      <c r="K564" s="105"/>
      <c r="L564" s="105"/>
      <c r="M564" s="4">
        <f t="shared" si="430"/>
      </c>
      <c r="N564" s="59"/>
      <c r="O564" s="164"/>
      <c r="P564" s="59">
        <f t="shared" si="431"/>
      </c>
      <c r="Q564" s="165"/>
      <c r="R564" s="59"/>
      <c r="S564" s="164"/>
      <c r="T564" s="5">
        <f t="shared" si="432"/>
      </c>
      <c r="U564" s="4">
        <f t="shared" si="433"/>
      </c>
      <c r="V564" s="4">
        <f t="shared" si="434"/>
      </c>
      <c r="W564" s="4">
        <f t="shared" si="435"/>
      </c>
      <c r="X564" s="4">
        <f t="shared" si="436"/>
      </c>
      <c r="Y564" s="4" cm="1">
        <f t="array" ref="Y564">_xlfn.IFS(H564=1,2,H564=3,1)</f>
      </c>
      <c r="Z564" s="4">
        <f t="shared" si="437"/>
      </c>
      <c r="AA564" s="4">
        <f t="shared" si="438"/>
      </c>
      <c r="AB564" s="4">
        <f t="shared" si="439"/>
      </c>
      <c r="AC564" s="4">
        <f t="shared" si="440"/>
      </c>
      <c r="AD564" s="4">
        <f t="shared" si="441"/>
      </c>
      <c r="AE564" s="4">
        <f t="shared" si="442"/>
      </c>
      <c r="AF564" s="4">
        <f t="shared" si="443"/>
      </c>
      <c r="AG564" s="4">
        <f t="shared" si="444"/>
        <v/>
      </c>
      <c r="AH564" s="4">
        <f t="shared" si="445"/>
      </c>
      <c r="AI564" s="4">
        <f t="shared" si="446"/>
      </c>
      <c r="AJ564" s="4">
        <f t="shared" si="447"/>
      </c>
      <c r="AK564" s="4">
        <f t="shared" si="448"/>
      </c>
      <c r="AL564" s="4">
        <f t="shared" si="449"/>
      </c>
      <c r="AM564" s="4">
        <f t="shared" si="450"/>
      </c>
      <c r="AN564" s="4"/>
      <c r="AO564" s="4">
        <f t="shared" si="451"/>
      </c>
      <c r="AP564" s="4">
        <f t="shared" si="452"/>
      </c>
      <c r="AQ564" s="4">
        <f t="shared" si="453"/>
        <v/>
      </c>
      <c r="AR564" s="4">
        <f t="shared" si="454"/>
      </c>
      <c r="AS564" s="4">
        <f t="shared" si="455"/>
      </c>
      <c r="AT564" s="4">
        <f t="shared" si="456"/>
      </c>
    </row>
    <row r="565" spans="1:46" x14ac:dyDescent="0.3">
      <c r="A565" s="5">
        <f t="shared" si="428"/>
      </c>
      <c r="B565" s="4">
        <f t="shared" si="429"/>
      </c>
      <c r="C565" s="119"/>
      <c r="D565" s="119"/>
      <c r="E565" s="105"/>
      <c r="F565" s="173"/>
      <c r="G565" s="173"/>
      <c r="H565" s="173"/>
      <c r="I565" s="105"/>
      <c r="J565" s="105"/>
      <c r="K565" s="105"/>
      <c r="L565" s="105"/>
      <c r="M565" s="4">
        <f t="shared" si="430"/>
      </c>
      <c r="N565" s="59"/>
      <c r="O565" s="164"/>
      <c r="P565" s="59">
        <f t="shared" si="431"/>
      </c>
      <c r="Q565" s="165"/>
      <c r="R565" s="59"/>
      <c r="S565" s="164"/>
      <c r="T565" s="5">
        <f t="shared" si="432"/>
      </c>
      <c r="U565" s="4">
        <f t="shared" si="433"/>
      </c>
      <c r="V565" s="4">
        <f t="shared" si="434"/>
      </c>
      <c r="W565" s="4">
        <f t="shared" si="435"/>
      </c>
      <c r="X565" s="4">
        <f t="shared" si="436"/>
      </c>
      <c r="Y565" s="4" cm="1">
        <f t="array" ref="Y565">_xlfn.IFS(H565=1,2,H565=3,1)</f>
      </c>
      <c r="Z565" s="4">
        <f t="shared" si="437"/>
      </c>
      <c r="AA565" s="4">
        <f t="shared" si="438"/>
      </c>
      <c r="AB565" s="4">
        <f t="shared" si="439"/>
      </c>
      <c r="AC565" s="4">
        <f t="shared" si="440"/>
      </c>
      <c r="AD565" s="4">
        <f t="shared" si="441"/>
      </c>
      <c r="AE565" s="4">
        <f t="shared" si="442"/>
      </c>
      <c r="AF565" s="4">
        <f t="shared" si="443"/>
      </c>
      <c r="AG565" s="4">
        <f t="shared" si="444"/>
        <v/>
      </c>
      <c r="AH565" s="4">
        <f t="shared" si="445"/>
      </c>
      <c r="AI565" s="4">
        <f t="shared" si="446"/>
      </c>
      <c r="AJ565" s="4">
        <f t="shared" si="447"/>
      </c>
      <c r="AK565" s="4">
        <f t="shared" si="448"/>
      </c>
      <c r="AL565" s="4">
        <f t="shared" si="449"/>
      </c>
      <c r="AM565" s="4">
        <f t="shared" si="450"/>
      </c>
      <c r="AN565" s="4"/>
      <c r="AO565" s="4">
        <f t="shared" si="451"/>
      </c>
      <c r="AP565" s="4">
        <f t="shared" si="452"/>
      </c>
      <c r="AQ565" s="4">
        <f t="shared" si="453"/>
        <v/>
      </c>
      <c r="AR565" s="4">
        <f t="shared" si="454"/>
      </c>
      <c r="AS565" s="4">
        <f t="shared" si="455"/>
      </c>
      <c r="AT565" s="4">
        <f t="shared" si="456"/>
      </c>
    </row>
    <row r="566" spans="1:46" x14ac:dyDescent="0.3">
      <c r="A566" s="5">
        <f t="shared" si="428"/>
      </c>
      <c r="B566" s="4">
        <f t="shared" si="429"/>
      </c>
      <c r="C566" s="119"/>
      <c r="D566" s="119"/>
      <c r="E566" s="105"/>
      <c r="F566" s="173"/>
      <c r="G566" s="173"/>
      <c r="H566" s="173"/>
      <c r="I566" s="105"/>
      <c r="J566" s="105"/>
      <c r="K566" s="105"/>
      <c r="L566" s="105"/>
      <c r="M566" s="4">
        <f t="shared" si="430"/>
      </c>
      <c r="N566" s="59"/>
      <c r="O566" s="164"/>
      <c r="P566" s="59">
        <f t="shared" si="431"/>
      </c>
      <c r="Q566" s="165"/>
      <c r="R566" s="59"/>
      <c r="S566" s="164"/>
      <c r="T566" s="5">
        <f t="shared" si="432"/>
      </c>
      <c r="U566" s="4">
        <f t="shared" si="433"/>
      </c>
      <c r="V566" s="4">
        <f t="shared" si="434"/>
      </c>
      <c r="W566" s="4">
        <f t="shared" si="435"/>
      </c>
      <c r="X566" s="4">
        <f t="shared" si="436"/>
      </c>
      <c r="Y566" s="4" cm="1">
        <f t="array" ref="Y566">_xlfn.IFS(H566=1,2,H566=3,1)</f>
      </c>
      <c r="Z566" s="4">
        <f t="shared" si="437"/>
      </c>
      <c r="AA566" s="4">
        <f t="shared" si="438"/>
      </c>
      <c r="AB566" s="4">
        <f t="shared" si="439"/>
      </c>
      <c r="AC566" s="4">
        <f t="shared" si="440"/>
      </c>
      <c r="AD566" s="4">
        <f t="shared" si="441"/>
      </c>
      <c r="AE566" s="4">
        <f t="shared" si="442"/>
      </c>
      <c r="AF566" s="4">
        <f t="shared" si="443"/>
      </c>
      <c r="AG566" s="4">
        <f t="shared" si="444"/>
        <v/>
      </c>
      <c r="AH566" s="4">
        <f t="shared" si="445"/>
      </c>
      <c r="AI566" s="4">
        <f t="shared" si="446"/>
      </c>
      <c r="AJ566" s="4">
        <f t="shared" si="447"/>
      </c>
      <c r="AK566" s="4">
        <f t="shared" si="448"/>
      </c>
      <c r="AL566" s="4">
        <f t="shared" si="449"/>
      </c>
      <c r="AM566" s="4">
        <f t="shared" si="450"/>
      </c>
      <c r="AN566" s="4"/>
      <c r="AO566" s="4">
        <f t="shared" si="451"/>
      </c>
      <c r="AP566" s="4">
        <f t="shared" si="452"/>
      </c>
      <c r="AQ566" s="4">
        <f t="shared" si="453"/>
        <v/>
      </c>
      <c r="AR566" s="4">
        <f t="shared" si="454"/>
      </c>
      <c r="AS566" s="4">
        <f t="shared" si="455"/>
      </c>
      <c r="AT566" s="4">
        <f t="shared" si="456"/>
      </c>
    </row>
    <row r="567" spans="1:46" x14ac:dyDescent="0.3">
      <c r="A567" s="5">
        <f t="shared" si="428"/>
      </c>
      <c r="B567" s="4">
        <f t="shared" si="429"/>
      </c>
      <c r="C567" s="119"/>
      <c r="D567" s="119"/>
      <c r="E567" s="105"/>
      <c r="F567" s="173"/>
      <c r="G567" s="173"/>
      <c r="H567" s="173"/>
      <c r="I567" s="105"/>
      <c r="J567" s="105"/>
      <c r="K567" s="105"/>
      <c r="L567" s="105"/>
      <c r="M567" s="4">
        <f t="shared" si="430"/>
      </c>
      <c r="N567" s="59"/>
      <c r="O567" s="164"/>
      <c r="P567" s="59">
        <f t="shared" si="431"/>
      </c>
      <c r="Q567" s="165"/>
      <c r="R567" s="59"/>
      <c r="S567" s="164"/>
      <c r="T567" s="5">
        <f t="shared" si="432"/>
      </c>
      <c r="U567" s="4">
        <f t="shared" si="433"/>
      </c>
      <c r="V567" s="4">
        <f t="shared" si="434"/>
      </c>
      <c r="W567" s="4">
        <f t="shared" si="435"/>
      </c>
      <c r="X567" s="4">
        <f t="shared" si="436"/>
      </c>
      <c r="Y567" s="4" cm="1">
        <f t="array" ref="Y567">_xlfn.IFS(H567=1,2,H567=3,1)</f>
      </c>
      <c r="Z567" s="4">
        <f t="shared" si="437"/>
      </c>
      <c r="AA567" s="4">
        <f t="shared" si="438"/>
      </c>
      <c r="AB567" s="4">
        <f t="shared" si="439"/>
      </c>
      <c r="AC567" s="4">
        <f t="shared" si="440"/>
      </c>
      <c r="AD567" s="4">
        <f t="shared" si="441"/>
      </c>
      <c r="AE567" s="4">
        <f t="shared" si="442"/>
      </c>
      <c r="AF567" s="4">
        <f t="shared" si="443"/>
      </c>
      <c r="AG567" s="4">
        <f t="shared" si="444"/>
        <v/>
      </c>
      <c r="AH567" s="4">
        <f t="shared" si="445"/>
      </c>
      <c r="AI567" s="4">
        <f t="shared" si="446"/>
      </c>
      <c r="AJ567" s="4">
        <f t="shared" si="447"/>
      </c>
      <c r="AK567" s="4">
        <f t="shared" si="448"/>
      </c>
      <c r="AL567" s="4">
        <f t="shared" si="449"/>
      </c>
      <c r="AM567" s="4">
        <f t="shared" si="450"/>
      </c>
      <c r="AN567" s="4"/>
      <c r="AO567" s="4">
        <f t="shared" si="451"/>
      </c>
      <c r="AP567" s="4">
        <f t="shared" si="452"/>
      </c>
      <c r="AQ567" s="4">
        <f t="shared" si="453"/>
        <v/>
      </c>
      <c r="AR567" s="4">
        <f t="shared" si="454"/>
      </c>
      <c r="AS567" s="4">
        <f t="shared" si="455"/>
      </c>
      <c r="AT567" s="4">
        <f t="shared" si="456"/>
      </c>
    </row>
    <row r="568" spans="1:46" x14ac:dyDescent="0.3">
      <c r="A568" s="5">
        <f t="shared" ref="A568:A631" si="457">D568</f>
      </c>
      <c r="B568" s="4">
        <f t="shared" ref="B568:B631" si="458">IFERROR(IF(VLOOKUP(AH568,Потребители_обозначение,4,FALSE)=1,VLOOKUP(AH568,Потребители_обозначение,2,FALSE)&amp;" "&amp;VLOOKUP(AI568,Этаж_обозначение,2,FALSE)&amp;" Пом. №"&amp;AG568,VLOOKUP(AH568,Потребители_обозначение,2,FALSE)&amp;" Шлейф №"&amp;AI568),VLOOKUP(D568,Потребители_обозначение,2,FALSE))</f>
      </c>
      <c r="C568" s="119"/>
      <c r="D568" s="119"/>
      <c r="E568" s="105"/>
      <c r="F568" s="173"/>
      <c r="G568" s="173"/>
      <c r="H568" s="173"/>
      <c r="I568" s="105"/>
      <c r="J568" s="105"/>
      <c r="K568" s="105"/>
      <c r="L568" s="105"/>
      <c r="M568" s="4">
        <f t="shared" ref="M568:M631" si="459">IFERROR(IF(VLOOKUP(AH568,Потребители_обозначение,4,FALSE)=1,VLOOKUP(AH568,Потребители_обозначение,3,FALSE)*(G568*2-1)+I568+VLOOKUP(AI568,Этаж_обозначение,3,FALSE)+VLOOKUP(AI568,Этаж_обозначение,4,FALSE),VLOOKUP(AH568,Потребители_обозначение,3,FALSE)*(G568*2-1)+I568),I568)</f>
      </c>
      <c r="N568" s="59"/>
      <c r="O568" s="164"/>
      <c r="P568" s="59">
        <f t="shared" ref="P568:P631" si="460">IF(VLOOKUP(AH568,Потребители_обозначение,5,FALSE)=2,_xlfn.IFS(H568=3,VLOOKUP(E568,Справочная_двигатели,8,FALSE),H568=1,VLOOKUP(E568,Справочная_двигатели,10,TRUE)),0.95)</f>
      </c>
      <c r="Q568" s="165"/>
      <c r="R568" s="59"/>
      <c r="S568" s="164"/>
      <c r="T568" s="5">
        <f t="shared" ref="T568:T631" si="461">_xlfn.IFS(H568=1,E568*1000/220,H568=3,E568/0.38/1.732)</f>
      </c>
      <c r="U568" s="4">
        <f t="shared" ref="U568:U631" si="462">IF(R568=0,VLOOKUP(T568,Автомат_номиналы,2,TRUE),R568)</f>
      </c>
      <c r="V568" s="4">
        <f t="shared" ref="V568:V631" si="463">IF(Q568=0,VLOOKUP(U568,Кабель_номиналы,2,TRUE),Q568)</f>
      </c>
      <c r="W568" s="4">
        <f t="shared" ref="W568:W631" si="464">VLOOKUP(V568,Кабель_сопротивление,3,FALSE)</f>
      </c>
      <c r="X568" s="4">
        <f t="shared" ref="X568:X631" si="465">VLOOKUP(V568,Кабель_сопротивление,2,FALSE)</f>
      </c>
      <c r="Y568" s="4" cm="1">
        <f t="array" ref="Y568">_xlfn.IFS(H568=1,2,H568=3,1)</f>
      </c>
      <c r="Z568" s="4">
        <f t="shared" ref="Z568:Z631" si="466">ROUND(SIN(ACOS(P568)),2)</f>
      </c>
      <c r="AA568" s="4">
        <f t="shared" ref="AA568:AA631" si="467">Y568*(W568*I568/V568+X568*I568*Z568/1000)*T568</f>
      </c>
      <c r="AB568" s="4">
        <f t="shared" ref="AB568:AB631" si="468">ROUNDUP(AA568/220*100,2)</f>
      </c>
      <c r="AC568" s="4">
        <f t="shared" ref="AC568:AC631" si="469">_xlfn.IFS(H568=3,380,H568=1,220)</f>
      </c>
      <c r="AD568" s="4">
        <f t="shared" ref="AD568:AD631" si="470">VLOOKUP(N568,Кабель_обозначение,2,FALSE)</f>
      </c>
      <c r="AE568" s="4">
        <f t="shared" ref="AE568:AE631" si="471">IF(VLOOKUP(N568,Кабель_обозначение,3,FALSE)=1,AD568&amp;" ("&amp;O568&amp;"х"&amp;V568&amp;")",AD568)</f>
      </c>
      <c r="AF568" s="4">
        <f t="shared" ref="AF568:AF631" si="472">IFERROR(IF(AB568&gt;4.5,1,2),0)</f>
      </c>
      <c r="AG568" s="4">
        <f t="shared" ref="AG568:AG631" si="473">IFERROR(LEFT(AQ568,SEARCH(".",AQ568)-1),AQ568)</f>
        <v/>
      </c>
      <c r="AH568" s="4">
        <f t="shared" ref="AH568:AH631" si="474">IFERROR(LEFT(A568,SEARCH(".",A568)-1),A568)</f>
      </c>
      <c r="AI568" s="4">
        <f t="shared" ref="AI568:AI631" si="475">IFERROR(LEFT(AP568,SEARCH(".",AP568)-1),AP568)</f>
      </c>
      <c r="AJ568" s="4">
        <f t="shared" ref="AJ568:AJ631" si="476">IF(C568=0,B568,C568)</f>
      </c>
      <c r="AK568" s="4">
        <f t="shared" ref="AK568:AK631" si="477">ROUNDUP(T568,2)</f>
      </c>
      <c r="AL568" s="4">
        <f t="shared" ref="AL568:AL631" si="478">E568</f>
      </c>
      <c r="AM568" s="4">
        <f t="shared" ref="AM568:AM631" si="479">D568</f>
      </c>
      <c r="AN568" s="4"/>
      <c r="AO568" s="4">
        <f t="shared" ref="AO568:AO631" si="480">IF(V568=0,AD568,AE568&amp;"
L="&amp;M568&amp;"-"&amp;AB568&amp;"%")</f>
      </c>
      <c r="AP568" s="4">
        <f t="shared" ref="AP568:AP631" si="481">RIGHT(A568,LEN(A568)-SEARCH(".",A568))</f>
      </c>
      <c r="AQ568" s="4">
        <f t="shared" ref="AQ568:AQ631" si="482">IFERROR(RIGHT(AP568,LEN(AP568)-SEARCH(".",AP568)),"")</f>
        <v/>
      </c>
      <c r="AR568" s="4">
        <f t="shared" ref="AR568:AR631" si="483">IFERROR(IF(VLOOKUP(AH568,Потребители_обозначение,5,FALSE)=2,_xlfn.IFS(H568=3,VLOOKUP(E568,Справочная_двигатели,3,FALSE),H568=1,VLOOKUP(E568,Справочная_двигатели,5,TRUE)),0),0)</f>
      </c>
      <c r="AS568" s="4">
        <f t="shared" ref="AS568:AS631" si="484">IFERROR(IF(VLOOKUP(AH568,Потребители_обозначение,5,FALSE)=3,VLOOKUP(E568,Справочная_ЛЭД,2,TRUE),0),0)</f>
      </c>
      <c r="AT568" s="4">
        <f t="shared" ref="AT568:AT631" si="485">IF(AR568=0,AS568,AR568)</f>
      </c>
    </row>
    <row r="569" spans="1:46" x14ac:dyDescent="0.3">
      <c r="A569" s="5">
        <f t="shared" si="457"/>
      </c>
      <c r="B569" s="4">
        <f t="shared" si="458"/>
      </c>
      <c r="C569" s="119"/>
      <c r="D569" s="119"/>
      <c r="E569" s="105"/>
      <c r="F569" s="173"/>
      <c r="G569" s="173"/>
      <c r="H569" s="173"/>
      <c r="I569" s="105"/>
      <c r="J569" s="105"/>
      <c r="K569" s="105"/>
      <c r="L569" s="105"/>
      <c r="M569" s="4">
        <f t="shared" si="459"/>
      </c>
      <c r="N569" s="59"/>
      <c r="O569" s="164"/>
      <c r="P569" s="59">
        <f t="shared" si="460"/>
      </c>
      <c r="Q569" s="165"/>
      <c r="R569" s="59"/>
      <c r="S569" s="164"/>
      <c r="T569" s="5">
        <f t="shared" si="461"/>
      </c>
      <c r="U569" s="4">
        <f t="shared" si="462"/>
      </c>
      <c r="V569" s="4">
        <f t="shared" si="463"/>
      </c>
      <c r="W569" s="4">
        <f t="shared" si="464"/>
      </c>
      <c r="X569" s="4">
        <f t="shared" si="465"/>
      </c>
      <c r="Y569" s="4" cm="1">
        <f t="array" ref="Y569">_xlfn.IFS(H569=1,2,H569=3,1)</f>
      </c>
      <c r="Z569" s="4">
        <f t="shared" si="466"/>
      </c>
      <c r="AA569" s="4">
        <f t="shared" si="467"/>
      </c>
      <c r="AB569" s="4">
        <f t="shared" si="468"/>
      </c>
      <c r="AC569" s="4">
        <f t="shared" si="469"/>
      </c>
      <c r="AD569" s="4">
        <f t="shared" si="470"/>
      </c>
      <c r="AE569" s="4">
        <f t="shared" si="471"/>
      </c>
      <c r="AF569" s="4">
        <f t="shared" si="472"/>
      </c>
      <c r="AG569" s="4">
        <f t="shared" si="473"/>
        <v/>
      </c>
      <c r="AH569" s="4">
        <f t="shared" si="474"/>
      </c>
      <c r="AI569" s="4">
        <f t="shared" si="475"/>
      </c>
      <c r="AJ569" s="4">
        <f t="shared" si="476"/>
      </c>
      <c r="AK569" s="4">
        <f t="shared" si="477"/>
      </c>
      <c r="AL569" s="4">
        <f t="shared" si="478"/>
      </c>
      <c r="AM569" s="4">
        <f t="shared" si="479"/>
      </c>
      <c r="AN569" s="4"/>
      <c r="AO569" s="4">
        <f t="shared" si="480"/>
      </c>
      <c r="AP569" s="4">
        <f t="shared" si="481"/>
      </c>
      <c r="AQ569" s="4">
        <f t="shared" si="482"/>
        <v/>
      </c>
      <c r="AR569" s="4">
        <f t="shared" si="483"/>
      </c>
      <c r="AS569" s="4">
        <f t="shared" si="484"/>
      </c>
      <c r="AT569" s="4">
        <f t="shared" si="485"/>
      </c>
    </row>
    <row r="570" spans="1:46" x14ac:dyDescent="0.3">
      <c r="A570" s="5">
        <f t="shared" si="457"/>
      </c>
      <c r="B570" s="4">
        <f t="shared" si="458"/>
      </c>
      <c r="C570" s="119"/>
      <c r="D570" s="119"/>
      <c r="E570" s="105"/>
      <c r="F570" s="173"/>
      <c r="G570" s="173"/>
      <c r="H570" s="173"/>
      <c r="I570" s="105"/>
      <c r="J570" s="105"/>
      <c r="K570" s="105"/>
      <c r="L570" s="105"/>
      <c r="M570" s="4">
        <f t="shared" si="459"/>
      </c>
      <c r="N570" s="59"/>
      <c r="O570" s="164"/>
      <c r="P570" s="59">
        <f t="shared" si="460"/>
      </c>
      <c r="Q570" s="165"/>
      <c r="R570" s="59"/>
      <c r="S570" s="164"/>
      <c r="T570" s="5">
        <f t="shared" si="461"/>
      </c>
      <c r="U570" s="4">
        <f t="shared" si="462"/>
      </c>
      <c r="V570" s="4">
        <f t="shared" si="463"/>
      </c>
      <c r="W570" s="4">
        <f t="shared" si="464"/>
      </c>
      <c r="X570" s="4">
        <f t="shared" si="465"/>
      </c>
      <c r="Y570" s="4" cm="1">
        <f t="array" ref="Y570">_xlfn.IFS(H570=1,2,H570=3,1)</f>
      </c>
      <c r="Z570" s="4">
        <f t="shared" si="466"/>
      </c>
      <c r="AA570" s="4">
        <f t="shared" si="467"/>
      </c>
      <c r="AB570" s="4">
        <f t="shared" si="468"/>
      </c>
      <c r="AC570" s="4">
        <f t="shared" si="469"/>
      </c>
      <c r="AD570" s="4">
        <f t="shared" si="470"/>
      </c>
      <c r="AE570" s="4">
        <f t="shared" si="471"/>
      </c>
      <c r="AF570" s="4">
        <f t="shared" si="472"/>
      </c>
      <c r="AG570" s="4">
        <f t="shared" si="473"/>
        <v/>
      </c>
      <c r="AH570" s="4">
        <f t="shared" si="474"/>
      </c>
      <c r="AI570" s="4">
        <f t="shared" si="475"/>
      </c>
      <c r="AJ570" s="4">
        <f t="shared" si="476"/>
      </c>
      <c r="AK570" s="4">
        <f t="shared" si="477"/>
      </c>
      <c r="AL570" s="4">
        <f t="shared" si="478"/>
      </c>
      <c r="AM570" s="4">
        <f t="shared" si="479"/>
      </c>
      <c r="AN570" s="4"/>
      <c r="AO570" s="4">
        <f t="shared" si="480"/>
      </c>
      <c r="AP570" s="4">
        <f t="shared" si="481"/>
      </c>
      <c r="AQ570" s="4">
        <f t="shared" si="482"/>
        <v/>
      </c>
      <c r="AR570" s="4">
        <f t="shared" si="483"/>
      </c>
      <c r="AS570" s="4">
        <f t="shared" si="484"/>
      </c>
      <c r="AT570" s="4">
        <f t="shared" si="485"/>
      </c>
    </row>
    <row r="571" spans="1:46" x14ac:dyDescent="0.3">
      <c r="A571" s="5">
        <f t="shared" si="457"/>
      </c>
      <c r="B571" s="4">
        <f t="shared" si="458"/>
      </c>
      <c r="C571" s="119"/>
      <c r="D571" s="119"/>
      <c r="E571" s="105"/>
      <c r="F571" s="173"/>
      <c r="G571" s="173"/>
      <c r="H571" s="173"/>
      <c r="I571" s="105"/>
      <c r="J571" s="105"/>
      <c r="K571" s="105"/>
      <c r="L571" s="105"/>
      <c r="M571" s="4">
        <f t="shared" si="459"/>
      </c>
      <c r="N571" s="59"/>
      <c r="O571" s="164"/>
      <c r="P571" s="59">
        <f t="shared" si="460"/>
      </c>
      <c r="Q571" s="165"/>
      <c r="R571" s="59"/>
      <c r="S571" s="164"/>
      <c r="T571" s="5">
        <f t="shared" si="461"/>
      </c>
      <c r="U571" s="4">
        <f t="shared" si="462"/>
      </c>
      <c r="V571" s="4">
        <f t="shared" si="463"/>
      </c>
      <c r="W571" s="4">
        <f t="shared" si="464"/>
      </c>
      <c r="X571" s="4">
        <f t="shared" si="465"/>
      </c>
      <c r="Y571" s="4" cm="1">
        <f t="array" ref="Y571">_xlfn.IFS(H571=1,2,H571=3,1)</f>
      </c>
      <c r="Z571" s="4">
        <f t="shared" si="466"/>
      </c>
      <c r="AA571" s="4">
        <f t="shared" si="467"/>
      </c>
      <c r="AB571" s="4">
        <f t="shared" si="468"/>
      </c>
      <c r="AC571" s="4">
        <f t="shared" si="469"/>
      </c>
      <c r="AD571" s="4">
        <f t="shared" si="470"/>
      </c>
      <c r="AE571" s="4">
        <f t="shared" si="471"/>
      </c>
      <c r="AF571" s="4">
        <f t="shared" si="472"/>
      </c>
      <c r="AG571" s="4">
        <f t="shared" si="473"/>
        <v/>
      </c>
      <c r="AH571" s="4">
        <f t="shared" si="474"/>
      </c>
      <c r="AI571" s="4">
        <f t="shared" si="475"/>
      </c>
      <c r="AJ571" s="4">
        <f t="shared" si="476"/>
      </c>
      <c r="AK571" s="4">
        <f t="shared" si="477"/>
      </c>
      <c r="AL571" s="4">
        <f t="shared" si="478"/>
      </c>
      <c r="AM571" s="4">
        <f t="shared" si="479"/>
      </c>
      <c r="AN571" s="4"/>
      <c r="AO571" s="4">
        <f t="shared" si="480"/>
      </c>
      <c r="AP571" s="4">
        <f t="shared" si="481"/>
      </c>
      <c r="AQ571" s="4">
        <f t="shared" si="482"/>
        <v/>
      </c>
      <c r="AR571" s="4">
        <f t="shared" si="483"/>
      </c>
      <c r="AS571" s="4">
        <f t="shared" si="484"/>
      </c>
      <c r="AT571" s="4">
        <f t="shared" si="485"/>
      </c>
    </row>
    <row r="572" spans="1:46" x14ac:dyDescent="0.3">
      <c r="A572" s="5">
        <f t="shared" si="457"/>
      </c>
      <c r="B572" s="4">
        <f t="shared" si="458"/>
      </c>
      <c r="C572" s="119"/>
      <c r="D572" s="119"/>
      <c r="E572" s="105"/>
      <c r="F572" s="173"/>
      <c r="G572" s="173"/>
      <c r="H572" s="173"/>
      <c r="I572" s="105"/>
      <c r="J572" s="105"/>
      <c r="K572" s="105"/>
      <c r="L572" s="105"/>
      <c r="M572" s="4">
        <f t="shared" si="459"/>
      </c>
      <c r="N572" s="59"/>
      <c r="O572" s="164"/>
      <c r="P572" s="59">
        <f t="shared" si="460"/>
      </c>
      <c r="Q572" s="165"/>
      <c r="R572" s="59"/>
      <c r="S572" s="164"/>
      <c r="T572" s="5">
        <f t="shared" si="461"/>
      </c>
      <c r="U572" s="4">
        <f t="shared" si="462"/>
      </c>
      <c r="V572" s="4">
        <f t="shared" si="463"/>
      </c>
      <c r="W572" s="4">
        <f t="shared" si="464"/>
      </c>
      <c r="X572" s="4">
        <f t="shared" si="465"/>
      </c>
      <c r="Y572" s="4" cm="1">
        <f t="array" ref="Y572">_xlfn.IFS(H572=1,2,H572=3,1)</f>
      </c>
      <c r="Z572" s="4">
        <f t="shared" si="466"/>
      </c>
      <c r="AA572" s="4">
        <f t="shared" si="467"/>
      </c>
      <c r="AB572" s="4">
        <f t="shared" si="468"/>
      </c>
      <c r="AC572" s="4">
        <f t="shared" si="469"/>
      </c>
      <c r="AD572" s="4">
        <f t="shared" si="470"/>
      </c>
      <c r="AE572" s="4">
        <f t="shared" si="471"/>
      </c>
      <c r="AF572" s="4">
        <f t="shared" si="472"/>
      </c>
      <c r="AG572" s="4">
        <f t="shared" si="473"/>
        <v/>
      </c>
      <c r="AH572" s="4">
        <f t="shared" si="474"/>
      </c>
      <c r="AI572" s="4">
        <f t="shared" si="475"/>
      </c>
      <c r="AJ572" s="4">
        <f t="shared" si="476"/>
      </c>
      <c r="AK572" s="4">
        <f t="shared" si="477"/>
      </c>
      <c r="AL572" s="4">
        <f t="shared" si="478"/>
      </c>
      <c r="AM572" s="4">
        <f t="shared" si="479"/>
      </c>
      <c r="AN572" s="4"/>
      <c r="AO572" s="4">
        <f t="shared" si="480"/>
      </c>
      <c r="AP572" s="4">
        <f t="shared" si="481"/>
      </c>
      <c r="AQ572" s="4">
        <f t="shared" si="482"/>
        <v/>
      </c>
      <c r="AR572" s="4">
        <f t="shared" si="483"/>
      </c>
      <c r="AS572" s="4">
        <f t="shared" si="484"/>
      </c>
      <c r="AT572" s="4">
        <f t="shared" si="485"/>
      </c>
    </row>
    <row r="573" spans="1:46" x14ac:dyDescent="0.3">
      <c r="A573" s="5">
        <f t="shared" si="457"/>
      </c>
      <c r="B573" s="4">
        <f t="shared" si="458"/>
      </c>
      <c r="C573" s="119"/>
      <c r="D573" s="119"/>
      <c r="E573" s="105"/>
      <c r="F573" s="173"/>
      <c r="G573" s="173"/>
      <c r="H573" s="173"/>
      <c r="I573" s="105"/>
      <c r="J573" s="105"/>
      <c r="K573" s="105"/>
      <c r="L573" s="105"/>
      <c r="M573" s="4">
        <f t="shared" si="459"/>
      </c>
      <c r="N573" s="59"/>
      <c r="O573" s="164"/>
      <c r="P573" s="59">
        <f t="shared" si="460"/>
      </c>
      <c r="Q573" s="165"/>
      <c r="R573" s="59"/>
      <c r="S573" s="164"/>
      <c r="T573" s="5">
        <f t="shared" si="461"/>
      </c>
      <c r="U573" s="4">
        <f t="shared" si="462"/>
      </c>
      <c r="V573" s="4">
        <f t="shared" si="463"/>
      </c>
      <c r="W573" s="4">
        <f t="shared" si="464"/>
      </c>
      <c r="X573" s="4">
        <f t="shared" si="465"/>
      </c>
      <c r="Y573" s="4" cm="1">
        <f t="array" ref="Y573">_xlfn.IFS(H573=1,2,H573=3,1)</f>
      </c>
      <c r="Z573" s="4">
        <f t="shared" si="466"/>
      </c>
      <c r="AA573" s="4">
        <f t="shared" si="467"/>
      </c>
      <c r="AB573" s="4">
        <f t="shared" si="468"/>
      </c>
      <c r="AC573" s="4">
        <f t="shared" si="469"/>
      </c>
      <c r="AD573" s="4">
        <f t="shared" si="470"/>
      </c>
      <c r="AE573" s="4">
        <f t="shared" si="471"/>
      </c>
      <c r="AF573" s="4">
        <f t="shared" si="472"/>
      </c>
      <c r="AG573" s="4">
        <f t="shared" si="473"/>
        <v/>
      </c>
      <c r="AH573" s="4">
        <f t="shared" si="474"/>
      </c>
      <c r="AI573" s="4">
        <f t="shared" si="475"/>
      </c>
      <c r="AJ573" s="4">
        <f t="shared" si="476"/>
      </c>
      <c r="AK573" s="4">
        <f t="shared" si="477"/>
      </c>
      <c r="AL573" s="4">
        <f t="shared" si="478"/>
      </c>
      <c r="AM573" s="4">
        <f t="shared" si="479"/>
      </c>
      <c r="AN573" s="4"/>
      <c r="AO573" s="4">
        <f t="shared" si="480"/>
      </c>
      <c r="AP573" s="4">
        <f t="shared" si="481"/>
      </c>
      <c r="AQ573" s="4">
        <f t="shared" si="482"/>
        <v/>
      </c>
      <c r="AR573" s="4">
        <f t="shared" si="483"/>
      </c>
      <c r="AS573" s="4">
        <f t="shared" si="484"/>
      </c>
      <c r="AT573" s="4">
        <f t="shared" si="485"/>
      </c>
    </row>
    <row r="574" spans="1:46" x14ac:dyDescent="0.3">
      <c r="A574" s="5">
        <f t="shared" si="457"/>
      </c>
      <c r="B574" s="4">
        <f t="shared" si="458"/>
      </c>
      <c r="C574" s="119"/>
      <c r="D574" s="119"/>
      <c r="E574" s="105"/>
      <c r="F574" s="173"/>
      <c r="G574" s="173"/>
      <c r="H574" s="173"/>
      <c r="I574" s="105"/>
      <c r="J574" s="105"/>
      <c r="K574" s="105"/>
      <c r="L574" s="105"/>
      <c r="M574" s="4">
        <f t="shared" si="459"/>
      </c>
      <c r="N574" s="59"/>
      <c r="O574" s="164"/>
      <c r="P574" s="59">
        <f t="shared" si="460"/>
      </c>
      <c r="Q574" s="165"/>
      <c r="R574" s="59"/>
      <c r="S574" s="164"/>
      <c r="T574" s="5">
        <f t="shared" si="461"/>
      </c>
      <c r="U574" s="4">
        <f t="shared" si="462"/>
      </c>
      <c r="V574" s="4">
        <f t="shared" si="463"/>
      </c>
      <c r="W574" s="4">
        <f t="shared" si="464"/>
      </c>
      <c r="X574" s="4">
        <f t="shared" si="465"/>
      </c>
      <c r="Y574" s="4" cm="1">
        <f t="array" ref="Y574">_xlfn.IFS(H574=1,2,H574=3,1)</f>
      </c>
      <c r="Z574" s="4">
        <f t="shared" si="466"/>
      </c>
      <c r="AA574" s="4">
        <f t="shared" si="467"/>
      </c>
      <c r="AB574" s="4">
        <f t="shared" si="468"/>
      </c>
      <c r="AC574" s="4">
        <f t="shared" si="469"/>
      </c>
      <c r="AD574" s="4">
        <f t="shared" si="470"/>
      </c>
      <c r="AE574" s="4">
        <f t="shared" si="471"/>
      </c>
      <c r="AF574" s="4">
        <f t="shared" si="472"/>
      </c>
      <c r="AG574" s="4">
        <f t="shared" si="473"/>
        <v/>
      </c>
      <c r="AH574" s="4">
        <f t="shared" si="474"/>
      </c>
      <c r="AI574" s="4">
        <f t="shared" si="475"/>
      </c>
      <c r="AJ574" s="4">
        <f t="shared" si="476"/>
      </c>
      <c r="AK574" s="4">
        <f t="shared" si="477"/>
      </c>
      <c r="AL574" s="4">
        <f t="shared" si="478"/>
      </c>
      <c r="AM574" s="4">
        <f t="shared" si="479"/>
      </c>
      <c r="AN574" s="4"/>
      <c r="AO574" s="4">
        <f t="shared" si="480"/>
      </c>
      <c r="AP574" s="4">
        <f t="shared" si="481"/>
      </c>
      <c r="AQ574" s="4">
        <f t="shared" si="482"/>
        <v/>
      </c>
      <c r="AR574" s="4">
        <f t="shared" si="483"/>
      </c>
      <c r="AS574" s="4">
        <f t="shared" si="484"/>
      </c>
      <c r="AT574" s="4">
        <f t="shared" si="485"/>
      </c>
    </row>
    <row r="575" spans="1:46" x14ac:dyDescent="0.3">
      <c r="A575" s="5">
        <f t="shared" si="457"/>
      </c>
      <c r="B575" s="4">
        <f t="shared" si="458"/>
      </c>
      <c r="C575" s="119"/>
      <c r="D575" s="119"/>
      <c r="E575" s="105"/>
      <c r="F575" s="173"/>
      <c r="G575" s="173"/>
      <c r="H575" s="173"/>
      <c r="I575" s="105"/>
      <c r="J575" s="105"/>
      <c r="K575" s="105"/>
      <c r="L575" s="105"/>
      <c r="M575" s="4">
        <f t="shared" si="459"/>
      </c>
      <c r="N575" s="59"/>
      <c r="O575" s="164"/>
      <c r="P575" s="59">
        <f t="shared" si="460"/>
      </c>
      <c r="Q575" s="165"/>
      <c r="R575" s="59"/>
      <c r="S575" s="164"/>
      <c r="T575" s="5">
        <f t="shared" si="461"/>
      </c>
      <c r="U575" s="4">
        <f t="shared" si="462"/>
      </c>
      <c r="V575" s="4">
        <f t="shared" si="463"/>
      </c>
      <c r="W575" s="4">
        <f t="shared" si="464"/>
      </c>
      <c r="X575" s="4">
        <f t="shared" si="465"/>
      </c>
      <c r="Y575" s="4" cm="1">
        <f t="array" ref="Y575">_xlfn.IFS(H575=1,2,H575=3,1)</f>
      </c>
      <c r="Z575" s="4">
        <f t="shared" si="466"/>
      </c>
      <c r="AA575" s="4">
        <f t="shared" si="467"/>
      </c>
      <c r="AB575" s="4">
        <f t="shared" si="468"/>
      </c>
      <c r="AC575" s="4">
        <f t="shared" si="469"/>
      </c>
      <c r="AD575" s="4">
        <f t="shared" si="470"/>
      </c>
      <c r="AE575" s="4">
        <f t="shared" si="471"/>
      </c>
      <c r="AF575" s="4">
        <f t="shared" si="472"/>
      </c>
      <c r="AG575" s="4">
        <f t="shared" si="473"/>
        <v/>
      </c>
      <c r="AH575" s="4">
        <f t="shared" si="474"/>
      </c>
      <c r="AI575" s="4">
        <f t="shared" si="475"/>
      </c>
      <c r="AJ575" s="4">
        <f t="shared" si="476"/>
      </c>
      <c r="AK575" s="4">
        <f t="shared" si="477"/>
      </c>
      <c r="AL575" s="4">
        <f t="shared" si="478"/>
      </c>
      <c r="AM575" s="4">
        <f t="shared" si="479"/>
      </c>
      <c r="AN575" s="4"/>
      <c r="AO575" s="4">
        <f t="shared" si="480"/>
      </c>
      <c r="AP575" s="4">
        <f t="shared" si="481"/>
      </c>
      <c r="AQ575" s="4">
        <f t="shared" si="482"/>
        <v/>
      </c>
      <c r="AR575" s="4">
        <f t="shared" si="483"/>
      </c>
      <c r="AS575" s="4">
        <f t="shared" si="484"/>
      </c>
      <c r="AT575" s="4">
        <f t="shared" si="485"/>
      </c>
    </row>
    <row r="576" spans="1:46" x14ac:dyDescent="0.3">
      <c r="A576" s="5">
        <f t="shared" si="457"/>
      </c>
      <c r="B576" s="4">
        <f t="shared" si="458"/>
      </c>
      <c r="C576" s="119"/>
      <c r="D576" s="119"/>
      <c r="E576" s="105"/>
      <c r="F576" s="173"/>
      <c r="G576" s="173"/>
      <c r="H576" s="173"/>
      <c r="I576" s="105"/>
      <c r="J576" s="105"/>
      <c r="K576" s="105"/>
      <c r="L576" s="105"/>
      <c r="M576" s="4">
        <f t="shared" si="459"/>
      </c>
      <c r="N576" s="59"/>
      <c r="O576" s="164"/>
      <c r="P576" s="59">
        <f t="shared" si="460"/>
      </c>
      <c r="Q576" s="165"/>
      <c r="R576" s="59"/>
      <c r="S576" s="164"/>
      <c r="T576" s="5">
        <f t="shared" si="461"/>
      </c>
      <c r="U576" s="4">
        <f t="shared" si="462"/>
      </c>
      <c r="V576" s="4">
        <f t="shared" si="463"/>
      </c>
      <c r="W576" s="4">
        <f t="shared" si="464"/>
      </c>
      <c r="X576" s="4">
        <f t="shared" si="465"/>
      </c>
      <c r="Y576" s="4" cm="1">
        <f t="array" ref="Y576">_xlfn.IFS(H576=1,2,H576=3,1)</f>
      </c>
      <c r="Z576" s="4">
        <f t="shared" si="466"/>
      </c>
      <c r="AA576" s="4">
        <f t="shared" si="467"/>
      </c>
      <c r="AB576" s="4">
        <f t="shared" si="468"/>
      </c>
      <c r="AC576" s="4">
        <f t="shared" si="469"/>
      </c>
      <c r="AD576" s="4">
        <f t="shared" si="470"/>
      </c>
      <c r="AE576" s="4">
        <f t="shared" si="471"/>
      </c>
      <c r="AF576" s="4">
        <f t="shared" si="472"/>
      </c>
      <c r="AG576" s="4">
        <f t="shared" si="473"/>
        <v/>
      </c>
      <c r="AH576" s="4">
        <f t="shared" si="474"/>
      </c>
      <c r="AI576" s="4">
        <f t="shared" si="475"/>
      </c>
      <c r="AJ576" s="4">
        <f t="shared" si="476"/>
      </c>
      <c r="AK576" s="4">
        <f t="shared" si="477"/>
      </c>
      <c r="AL576" s="4">
        <f t="shared" si="478"/>
      </c>
      <c r="AM576" s="4">
        <f t="shared" si="479"/>
      </c>
      <c r="AN576" s="4"/>
      <c r="AO576" s="4">
        <f t="shared" si="480"/>
      </c>
      <c r="AP576" s="4">
        <f t="shared" si="481"/>
      </c>
      <c r="AQ576" s="4">
        <f t="shared" si="482"/>
        <v/>
      </c>
      <c r="AR576" s="4">
        <f t="shared" si="483"/>
      </c>
      <c r="AS576" s="4">
        <f t="shared" si="484"/>
      </c>
      <c r="AT576" s="4">
        <f t="shared" si="485"/>
      </c>
    </row>
    <row r="577" spans="1:46" x14ac:dyDescent="0.3">
      <c r="A577" s="5">
        <f t="shared" si="457"/>
      </c>
      <c r="B577" s="4">
        <f t="shared" si="458"/>
      </c>
      <c r="C577" s="119"/>
      <c r="D577" s="119"/>
      <c r="E577" s="105"/>
      <c r="F577" s="173"/>
      <c r="G577" s="173"/>
      <c r="H577" s="173"/>
      <c r="I577" s="105"/>
      <c r="J577" s="105"/>
      <c r="K577" s="105"/>
      <c r="L577" s="105"/>
      <c r="M577" s="4">
        <f t="shared" si="459"/>
      </c>
      <c r="N577" s="59"/>
      <c r="O577" s="164"/>
      <c r="P577" s="59">
        <f t="shared" si="460"/>
      </c>
      <c r="Q577" s="165"/>
      <c r="R577" s="59"/>
      <c r="S577" s="164"/>
      <c r="T577" s="5">
        <f t="shared" si="461"/>
      </c>
      <c r="U577" s="4">
        <f t="shared" si="462"/>
      </c>
      <c r="V577" s="4">
        <f t="shared" si="463"/>
      </c>
      <c r="W577" s="4">
        <f t="shared" si="464"/>
      </c>
      <c r="X577" s="4">
        <f t="shared" si="465"/>
      </c>
      <c r="Y577" s="4" cm="1">
        <f t="array" ref="Y577">_xlfn.IFS(H577=1,2,H577=3,1)</f>
      </c>
      <c r="Z577" s="4">
        <f t="shared" si="466"/>
      </c>
      <c r="AA577" s="4">
        <f t="shared" si="467"/>
      </c>
      <c r="AB577" s="4">
        <f t="shared" si="468"/>
      </c>
      <c r="AC577" s="4">
        <f t="shared" si="469"/>
      </c>
      <c r="AD577" s="4">
        <f t="shared" si="470"/>
      </c>
      <c r="AE577" s="4">
        <f t="shared" si="471"/>
      </c>
      <c r="AF577" s="4">
        <f t="shared" si="472"/>
      </c>
      <c r="AG577" s="4">
        <f t="shared" si="473"/>
        <v/>
      </c>
      <c r="AH577" s="4">
        <f t="shared" si="474"/>
      </c>
      <c r="AI577" s="4">
        <f t="shared" si="475"/>
      </c>
      <c r="AJ577" s="4">
        <f t="shared" si="476"/>
      </c>
      <c r="AK577" s="4">
        <f t="shared" si="477"/>
      </c>
      <c r="AL577" s="4">
        <f t="shared" si="478"/>
      </c>
      <c r="AM577" s="4">
        <f t="shared" si="479"/>
      </c>
      <c r="AN577" s="4"/>
      <c r="AO577" s="4">
        <f t="shared" si="480"/>
      </c>
      <c r="AP577" s="4">
        <f t="shared" si="481"/>
      </c>
      <c r="AQ577" s="4">
        <f t="shared" si="482"/>
        <v/>
      </c>
      <c r="AR577" s="4">
        <f t="shared" si="483"/>
      </c>
      <c r="AS577" s="4">
        <f t="shared" si="484"/>
      </c>
      <c r="AT577" s="4">
        <f t="shared" si="485"/>
      </c>
    </row>
    <row r="578" spans="1:46" x14ac:dyDescent="0.3">
      <c r="A578" s="5">
        <f t="shared" si="457"/>
      </c>
      <c r="B578" s="4">
        <f t="shared" si="458"/>
      </c>
      <c r="C578" s="119"/>
      <c r="D578" s="119"/>
      <c r="E578" s="105"/>
      <c r="F578" s="173"/>
      <c r="G578" s="173"/>
      <c r="H578" s="173"/>
      <c r="I578" s="105"/>
      <c r="J578" s="105"/>
      <c r="K578" s="105"/>
      <c r="L578" s="105"/>
      <c r="M578" s="4">
        <f t="shared" si="459"/>
      </c>
      <c r="N578" s="59"/>
      <c r="O578" s="164"/>
      <c r="P578" s="59">
        <f t="shared" si="460"/>
      </c>
      <c r="Q578" s="165"/>
      <c r="R578" s="59"/>
      <c r="S578" s="164"/>
      <c r="T578" s="5">
        <f t="shared" si="461"/>
      </c>
      <c r="U578" s="4">
        <f t="shared" si="462"/>
      </c>
      <c r="V578" s="4">
        <f t="shared" si="463"/>
      </c>
      <c r="W578" s="4">
        <f t="shared" si="464"/>
      </c>
      <c r="X578" s="4">
        <f t="shared" si="465"/>
      </c>
      <c r="Y578" s="4" cm="1">
        <f t="array" ref="Y578">_xlfn.IFS(H578=1,2,H578=3,1)</f>
      </c>
      <c r="Z578" s="4">
        <f t="shared" si="466"/>
      </c>
      <c r="AA578" s="4">
        <f t="shared" si="467"/>
      </c>
      <c r="AB578" s="4">
        <f t="shared" si="468"/>
      </c>
      <c r="AC578" s="4">
        <f t="shared" si="469"/>
      </c>
      <c r="AD578" s="4">
        <f t="shared" si="470"/>
      </c>
      <c r="AE578" s="4">
        <f t="shared" si="471"/>
      </c>
      <c r="AF578" s="4">
        <f t="shared" si="472"/>
      </c>
      <c r="AG578" s="4">
        <f t="shared" si="473"/>
        <v/>
      </c>
      <c r="AH578" s="4">
        <f t="shared" si="474"/>
      </c>
      <c r="AI578" s="4">
        <f t="shared" si="475"/>
      </c>
      <c r="AJ578" s="4">
        <f t="shared" si="476"/>
      </c>
      <c r="AK578" s="4">
        <f t="shared" si="477"/>
      </c>
      <c r="AL578" s="4">
        <f t="shared" si="478"/>
      </c>
      <c r="AM578" s="4">
        <f t="shared" si="479"/>
      </c>
      <c r="AN578" s="4"/>
      <c r="AO578" s="4">
        <f t="shared" si="480"/>
      </c>
      <c r="AP578" s="4">
        <f t="shared" si="481"/>
      </c>
      <c r="AQ578" s="4">
        <f t="shared" si="482"/>
        <v/>
      </c>
      <c r="AR578" s="4">
        <f t="shared" si="483"/>
      </c>
      <c r="AS578" s="4">
        <f t="shared" si="484"/>
      </c>
      <c r="AT578" s="4">
        <f t="shared" si="485"/>
      </c>
    </row>
    <row r="579" spans="1:46" x14ac:dyDescent="0.3">
      <c r="A579" s="5">
        <f t="shared" si="457"/>
      </c>
      <c r="B579" s="4">
        <f t="shared" si="458"/>
      </c>
      <c r="C579" s="119"/>
      <c r="D579" s="119"/>
      <c r="E579" s="105"/>
      <c r="F579" s="173"/>
      <c r="G579" s="173"/>
      <c r="H579" s="173"/>
      <c r="I579" s="105"/>
      <c r="J579" s="105"/>
      <c r="K579" s="105"/>
      <c r="L579" s="105"/>
      <c r="M579" s="4">
        <f t="shared" si="459"/>
      </c>
      <c r="N579" s="59"/>
      <c r="O579" s="164"/>
      <c r="P579" s="59">
        <f t="shared" si="460"/>
      </c>
      <c r="Q579" s="165"/>
      <c r="R579" s="59"/>
      <c r="S579" s="164"/>
      <c r="T579" s="5">
        <f t="shared" si="461"/>
      </c>
      <c r="U579" s="4">
        <f t="shared" si="462"/>
      </c>
      <c r="V579" s="4">
        <f t="shared" si="463"/>
      </c>
      <c r="W579" s="4">
        <f t="shared" si="464"/>
      </c>
      <c r="X579" s="4">
        <f t="shared" si="465"/>
      </c>
      <c r="Y579" s="4" cm="1">
        <f t="array" ref="Y579">_xlfn.IFS(H579=1,2,H579=3,1)</f>
      </c>
      <c r="Z579" s="4">
        <f t="shared" si="466"/>
      </c>
      <c r="AA579" s="4">
        <f t="shared" si="467"/>
      </c>
      <c r="AB579" s="4">
        <f t="shared" si="468"/>
      </c>
      <c r="AC579" s="4">
        <f t="shared" si="469"/>
      </c>
      <c r="AD579" s="4">
        <f t="shared" si="470"/>
      </c>
      <c r="AE579" s="4">
        <f t="shared" si="471"/>
      </c>
      <c r="AF579" s="4">
        <f t="shared" si="472"/>
      </c>
      <c r="AG579" s="4">
        <f t="shared" si="473"/>
        <v/>
      </c>
      <c r="AH579" s="4">
        <f t="shared" si="474"/>
      </c>
      <c r="AI579" s="4">
        <f t="shared" si="475"/>
      </c>
      <c r="AJ579" s="4">
        <f t="shared" si="476"/>
      </c>
      <c r="AK579" s="4">
        <f t="shared" si="477"/>
      </c>
      <c r="AL579" s="4">
        <f t="shared" si="478"/>
      </c>
      <c r="AM579" s="4">
        <f t="shared" si="479"/>
      </c>
      <c r="AN579" s="4"/>
      <c r="AO579" s="4">
        <f t="shared" si="480"/>
      </c>
      <c r="AP579" s="4">
        <f t="shared" si="481"/>
      </c>
      <c r="AQ579" s="4">
        <f t="shared" si="482"/>
        <v/>
      </c>
      <c r="AR579" s="4">
        <f t="shared" si="483"/>
      </c>
      <c r="AS579" s="4">
        <f t="shared" si="484"/>
      </c>
      <c r="AT579" s="4">
        <f t="shared" si="485"/>
      </c>
    </row>
    <row r="580" spans="1:46" x14ac:dyDescent="0.3">
      <c r="A580" s="5">
        <f t="shared" si="457"/>
      </c>
      <c r="B580" s="4">
        <f t="shared" si="458"/>
      </c>
      <c r="C580" s="119"/>
      <c r="D580" s="119"/>
      <c r="E580" s="105"/>
      <c r="F580" s="173"/>
      <c r="G580" s="173"/>
      <c r="H580" s="173"/>
      <c r="I580" s="105"/>
      <c r="J580" s="105"/>
      <c r="K580" s="105"/>
      <c r="L580" s="105"/>
      <c r="M580" s="4">
        <f t="shared" si="459"/>
      </c>
      <c r="N580" s="59"/>
      <c r="O580" s="164"/>
      <c r="P580" s="59">
        <f t="shared" si="460"/>
      </c>
      <c r="Q580" s="165"/>
      <c r="R580" s="59"/>
      <c r="S580" s="164"/>
      <c r="T580" s="5">
        <f t="shared" si="461"/>
      </c>
      <c r="U580" s="4">
        <f t="shared" si="462"/>
      </c>
      <c r="V580" s="4">
        <f t="shared" si="463"/>
      </c>
      <c r="W580" s="4">
        <f t="shared" si="464"/>
      </c>
      <c r="X580" s="4">
        <f t="shared" si="465"/>
      </c>
      <c r="Y580" s="4" cm="1">
        <f t="array" ref="Y580">_xlfn.IFS(H580=1,2,H580=3,1)</f>
      </c>
      <c r="Z580" s="4">
        <f t="shared" si="466"/>
      </c>
      <c r="AA580" s="4">
        <f t="shared" si="467"/>
      </c>
      <c r="AB580" s="4">
        <f t="shared" si="468"/>
      </c>
      <c r="AC580" s="4">
        <f t="shared" si="469"/>
      </c>
      <c r="AD580" s="4">
        <f t="shared" si="470"/>
      </c>
      <c r="AE580" s="4">
        <f t="shared" si="471"/>
      </c>
      <c r="AF580" s="4">
        <f t="shared" si="472"/>
      </c>
      <c r="AG580" s="4">
        <f t="shared" si="473"/>
        <v/>
      </c>
      <c r="AH580" s="4">
        <f t="shared" si="474"/>
      </c>
      <c r="AI580" s="4">
        <f t="shared" si="475"/>
      </c>
      <c r="AJ580" s="4">
        <f t="shared" si="476"/>
      </c>
      <c r="AK580" s="4">
        <f t="shared" si="477"/>
      </c>
      <c r="AL580" s="4">
        <f t="shared" si="478"/>
      </c>
      <c r="AM580" s="4">
        <f t="shared" si="479"/>
      </c>
      <c r="AN580" s="4"/>
      <c r="AO580" s="4">
        <f t="shared" si="480"/>
      </c>
      <c r="AP580" s="4">
        <f t="shared" si="481"/>
      </c>
      <c r="AQ580" s="4">
        <f t="shared" si="482"/>
        <v/>
      </c>
      <c r="AR580" s="4">
        <f t="shared" si="483"/>
      </c>
      <c r="AS580" s="4">
        <f t="shared" si="484"/>
      </c>
      <c r="AT580" s="4">
        <f t="shared" si="485"/>
      </c>
    </row>
    <row r="581" spans="1:46" x14ac:dyDescent="0.3">
      <c r="A581" s="5">
        <f t="shared" si="457"/>
      </c>
      <c r="B581" s="4">
        <f t="shared" si="458"/>
      </c>
      <c r="C581" s="119"/>
      <c r="D581" s="119"/>
      <c r="E581" s="105"/>
      <c r="F581" s="173"/>
      <c r="G581" s="173"/>
      <c r="H581" s="173"/>
      <c r="I581" s="105"/>
      <c r="J581" s="105"/>
      <c r="K581" s="105"/>
      <c r="L581" s="105"/>
      <c r="M581" s="4">
        <f t="shared" si="459"/>
      </c>
      <c r="N581" s="59"/>
      <c r="O581" s="164"/>
      <c r="P581" s="59">
        <f t="shared" si="460"/>
      </c>
      <c r="Q581" s="165"/>
      <c r="R581" s="59"/>
      <c r="S581" s="164"/>
      <c r="T581" s="5">
        <f t="shared" si="461"/>
      </c>
      <c r="U581" s="4">
        <f t="shared" si="462"/>
      </c>
      <c r="V581" s="4">
        <f t="shared" si="463"/>
      </c>
      <c r="W581" s="4">
        <f t="shared" si="464"/>
      </c>
      <c r="X581" s="4">
        <f t="shared" si="465"/>
      </c>
      <c r="Y581" s="4" cm="1">
        <f t="array" ref="Y581">_xlfn.IFS(H581=1,2,H581=3,1)</f>
      </c>
      <c r="Z581" s="4">
        <f t="shared" si="466"/>
      </c>
      <c r="AA581" s="4">
        <f t="shared" si="467"/>
      </c>
      <c r="AB581" s="4">
        <f t="shared" si="468"/>
      </c>
      <c r="AC581" s="4">
        <f t="shared" si="469"/>
      </c>
      <c r="AD581" s="4">
        <f t="shared" si="470"/>
      </c>
      <c r="AE581" s="4">
        <f t="shared" si="471"/>
      </c>
      <c r="AF581" s="4">
        <f t="shared" si="472"/>
      </c>
      <c r="AG581" s="4">
        <f t="shared" si="473"/>
        <v/>
      </c>
      <c r="AH581" s="4">
        <f t="shared" si="474"/>
      </c>
      <c r="AI581" s="4">
        <f t="shared" si="475"/>
      </c>
      <c r="AJ581" s="4">
        <f t="shared" si="476"/>
      </c>
      <c r="AK581" s="4">
        <f t="shared" si="477"/>
      </c>
      <c r="AL581" s="4">
        <f t="shared" si="478"/>
      </c>
      <c r="AM581" s="4">
        <f t="shared" si="479"/>
      </c>
      <c r="AN581" s="4"/>
      <c r="AO581" s="4">
        <f t="shared" si="480"/>
      </c>
      <c r="AP581" s="4">
        <f t="shared" si="481"/>
      </c>
      <c r="AQ581" s="4">
        <f t="shared" si="482"/>
        <v/>
      </c>
      <c r="AR581" s="4">
        <f t="shared" si="483"/>
      </c>
      <c r="AS581" s="4">
        <f t="shared" si="484"/>
      </c>
      <c r="AT581" s="4">
        <f t="shared" si="485"/>
      </c>
    </row>
    <row r="582" spans="1:46" x14ac:dyDescent="0.3">
      <c r="A582" s="5">
        <f t="shared" si="457"/>
      </c>
      <c r="B582" s="4">
        <f t="shared" si="458"/>
      </c>
      <c r="C582" s="119"/>
      <c r="D582" s="119"/>
      <c r="E582" s="105"/>
      <c r="F582" s="173"/>
      <c r="G582" s="173"/>
      <c r="H582" s="173"/>
      <c r="I582" s="105"/>
      <c r="J582" s="105"/>
      <c r="K582" s="105"/>
      <c r="L582" s="105"/>
      <c r="M582" s="4">
        <f t="shared" si="459"/>
      </c>
      <c r="N582" s="59"/>
      <c r="O582" s="164"/>
      <c r="P582" s="59">
        <f t="shared" si="460"/>
      </c>
      <c r="Q582" s="165"/>
      <c r="R582" s="59"/>
      <c r="S582" s="164"/>
      <c r="T582" s="5">
        <f t="shared" si="461"/>
      </c>
      <c r="U582" s="4">
        <f t="shared" si="462"/>
      </c>
      <c r="V582" s="4">
        <f t="shared" si="463"/>
      </c>
      <c r="W582" s="4">
        <f t="shared" si="464"/>
      </c>
      <c r="X582" s="4">
        <f t="shared" si="465"/>
      </c>
      <c r="Y582" s="4" cm="1">
        <f t="array" ref="Y582">_xlfn.IFS(H582=1,2,H582=3,1)</f>
      </c>
      <c r="Z582" s="4">
        <f t="shared" si="466"/>
      </c>
      <c r="AA582" s="4">
        <f t="shared" si="467"/>
      </c>
      <c r="AB582" s="4">
        <f t="shared" si="468"/>
      </c>
      <c r="AC582" s="4">
        <f t="shared" si="469"/>
      </c>
      <c r="AD582" s="4">
        <f t="shared" si="470"/>
      </c>
      <c r="AE582" s="4">
        <f t="shared" si="471"/>
      </c>
      <c r="AF582" s="4">
        <f t="shared" si="472"/>
      </c>
      <c r="AG582" s="4">
        <f t="shared" si="473"/>
        <v/>
      </c>
      <c r="AH582" s="4">
        <f t="shared" si="474"/>
      </c>
      <c r="AI582" s="4">
        <f t="shared" si="475"/>
      </c>
      <c r="AJ582" s="4">
        <f t="shared" si="476"/>
      </c>
      <c r="AK582" s="4">
        <f t="shared" si="477"/>
      </c>
      <c r="AL582" s="4">
        <f t="shared" si="478"/>
      </c>
      <c r="AM582" s="4">
        <f t="shared" si="479"/>
      </c>
      <c r="AN582" s="4"/>
      <c r="AO582" s="4">
        <f t="shared" si="480"/>
      </c>
      <c r="AP582" s="4">
        <f t="shared" si="481"/>
      </c>
      <c r="AQ582" s="4">
        <f t="shared" si="482"/>
        <v/>
      </c>
      <c r="AR582" s="4">
        <f t="shared" si="483"/>
      </c>
      <c r="AS582" s="4">
        <f t="shared" si="484"/>
      </c>
      <c r="AT582" s="4">
        <f t="shared" si="485"/>
      </c>
    </row>
    <row r="583" spans="1:46" x14ac:dyDescent="0.3">
      <c r="A583" s="5">
        <f t="shared" si="457"/>
      </c>
      <c r="B583" s="4">
        <f t="shared" si="458"/>
      </c>
      <c r="C583" s="119"/>
      <c r="D583" s="119"/>
      <c r="E583" s="105"/>
      <c r="F583" s="173"/>
      <c r="G583" s="173"/>
      <c r="H583" s="173"/>
      <c r="I583" s="105"/>
      <c r="J583" s="105"/>
      <c r="K583" s="105"/>
      <c r="L583" s="105"/>
      <c r="M583" s="4">
        <f t="shared" si="459"/>
      </c>
      <c r="N583" s="59"/>
      <c r="O583" s="164"/>
      <c r="P583" s="59">
        <f t="shared" si="460"/>
      </c>
      <c r="Q583" s="165"/>
      <c r="R583" s="59"/>
      <c r="S583" s="164"/>
      <c r="T583" s="5">
        <f t="shared" si="461"/>
      </c>
      <c r="U583" s="4">
        <f t="shared" si="462"/>
      </c>
      <c r="V583" s="4">
        <f t="shared" si="463"/>
      </c>
      <c r="W583" s="4">
        <f t="shared" si="464"/>
      </c>
      <c r="X583" s="4">
        <f t="shared" si="465"/>
      </c>
      <c r="Y583" s="4" cm="1">
        <f t="array" ref="Y583">_xlfn.IFS(H583=1,2,H583=3,1)</f>
      </c>
      <c r="Z583" s="4">
        <f t="shared" si="466"/>
      </c>
      <c r="AA583" s="4">
        <f t="shared" si="467"/>
      </c>
      <c r="AB583" s="4">
        <f t="shared" si="468"/>
      </c>
      <c r="AC583" s="4">
        <f t="shared" si="469"/>
      </c>
      <c r="AD583" s="4">
        <f t="shared" si="470"/>
      </c>
      <c r="AE583" s="4">
        <f t="shared" si="471"/>
      </c>
      <c r="AF583" s="4">
        <f t="shared" si="472"/>
      </c>
      <c r="AG583" s="4">
        <f t="shared" si="473"/>
        <v/>
      </c>
      <c r="AH583" s="4">
        <f t="shared" si="474"/>
      </c>
      <c r="AI583" s="4">
        <f t="shared" si="475"/>
      </c>
      <c r="AJ583" s="4">
        <f t="shared" si="476"/>
      </c>
      <c r="AK583" s="4">
        <f t="shared" si="477"/>
      </c>
      <c r="AL583" s="4">
        <f t="shared" si="478"/>
      </c>
      <c r="AM583" s="4">
        <f t="shared" si="479"/>
      </c>
      <c r="AN583" s="4"/>
      <c r="AO583" s="4">
        <f t="shared" si="480"/>
      </c>
      <c r="AP583" s="4">
        <f t="shared" si="481"/>
      </c>
      <c r="AQ583" s="4">
        <f t="shared" si="482"/>
        <v/>
      </c>
      <c r="AR583" s="4">
        <f t="shared" si="483"/>
      </c>
      <c r="AS583" s="4">
        <f t="shared" si="484"/>
      </c>
      <c r="AT583" s="4">
        <f t="shared" si="485"/>
      </c>
    </row>
    <row r="584" spans="1:46" x14ac:dyDescent="0.3">
      <c r="A584" s="5">
        <f t="shared" si="457"/>
      </c>
      <c r="B584" s="4">
        <f t="shared" si="458"/>
      </c>
      <c r="C584" s="119"/>
      <c r="D584" s="119"/>
      <c r="E584" s="105"/>
      <c r="F584" s="173"/>
      <c r="G584" s="173"/>
      <c r="H584" s="173"/>
      <c r="I584" s="105"/>
      <c r="J584" s="105"/>
      <c r="K584" s="105"/>
      <c r="L584" s="105"/>
      <c r="M584" s="4">
        <f t="shared" si="459"/>
      </c>
      <c r="N584" s="59"/>
      <c r="O584" s="164"/>
      <c r="P584" s="59">
        <f t="shared" si="460"/>
      </c>
      <c r="Q584" s="165"/>
      <c r="R584" s="59"/>
      <c r="S584" s="164"/>
      <c r="T584" s="5">
        <f t="shared" si="461"/>
      </c>
      <c r="U584" s="4">
        <f t="shared" si="462"/>
      </c>
      <c r="V584" s="4">
        <f t="shared" si="463"/>
      </c>
      <c r="W584" s="4">
        <f t="shared" si="464"/>
      </c>
      <c r="X584" s="4">
        <f t="shared" si="465"/>
      </c>
      <c r="Y584" s="4" cm="1">
        <f t="array" ref="Y584">_xlfn.IFS(H584=1,2,H584=3,1)</f>
      </c>
      <c r="Z584" s="4">
        <f t="shared" si="466"/>
      </c>
      <c r="AA584" s="4">
        <f t="shared" si="467"/>
      </c>
      <c r="AB584" s="4">
        <f t="shared" si="468"/>
      </c>
      <c r="AC584" s="4">
        <f t="shared" si="469"/>
      </c>
      <c r="AD584" s="4">
        <f t="shared" si="470"/>
      </c>
      <c r="AE584" s="4">
        <f t="shared" si="471"/>
      </c>
      <c r="AF584" s="4">
        <f t="shared" si="472"/>
      </c>
      <c r="AG584" s="4">
        <f t="shared" si="473"/>
        <v/>
      </c>
      <c r="AH584" s="4">
        <f t="shared" si="474"/>
      </c>
      <c r="AI584" s="4">
        <f t="shared" si="475"/>
      </c>
      <c r="AJ584" s="4">
        <f t="shared" si="476"/>
      </c>
      <c r="AK584" s="4">
        <f t="shared" si="477"/>
      </c>
      <c r="AL584" s="4">
        <f t="shared" si="478"/>
      </c>
      <c r="AM584" s="4">
        <f t="shared" si="479"/>
      </c>
      <c r="AN584" s="4"/>
      <c r="AO584" s="4">
        <f t="shared" si="480"/>
      </c>
      <c r="AP584" s="4">
        <f t="shared" si="481"/>
      </c>
      <c r="AQ584" s="4">
        <f t="shared" si="482"/>
        <v/>
      </c>
      <c r="AR584" s="4">
        <f t="shared" si="483"/>
      </c>
      <c r="AS584" s="4">
        <f t="shared" si="484"/>
      </c>
      <c r="AT584" s="4">
        <f t="shared" si="485"/>
      </c>
    </row>
    <row r="585" spans="1:46" x14ac:dyDescent="0.3">
      <c r="A585" s="5">
        <f t="shared" si="457"/>
      </c>
      <c r="B585" s="4">
        <f t="shared" si="458"/>
      </c>
      <c r="C585" s="119"/>
      <c r="D585" s="119"/>
      <c r="E585" s="105"/>
      <c r="F585" s="173"/>
      <c r="G585" s="173"/>
      <c r="H585" s="173"/>
      <c r="I585" s="105"/>
      <c r="J585" s="105"/>
      <c r="K585" s="105"/>
      <c r="L585" s="105"/>
      <c r="M585" s="4">
        <f t="shared" si="459"/>
      </c>
      <c r="N585" s="59"/>
      <c r="O585" s="164"/>
      <c r="P585" s="59">
        <f t="shared" si="460"/>
      </c>
      <c r="Q585" s="165"/>
      <c r="R585" s="59"/>
      <c r="S585" s="164"/>
      <c r="T585" s="5">
        <f t="shared" si="461"/>
      </c>
      <c r="U585" s="4">
        <f t="shared" si="462"/>
      </c>
      <c r="V585" s="4">
        <f t="shared" si="463"/>
      </c>
      <c r="W585" s="4">
        <f t="shared" si="464"/>
      </c>
      <c r="X585" s="4">
        <f t="shared" si="465"/>
      </c>
      <c r="Y585" s="4" cm="1">
        <f t="array" ref="Y585">_xlfn.IFS(H585=1,2,H585=3,1)</f>
      </c>
      <c r="Z585" s="4">
        <f t="shared" si="466"/>
      </c>
      <c r="AA585" s="4">
        <f t="shared" si="467"/>
      </c>
      <c r="AB585" s="4">
        <f t="shared" si="468"/>
      </c>
      <c r="AC585" s="4">
        <f t="shared" si="469"/>
      </c>
      <c r="AD585" s="4">
        <f t="shared" si="470"/>
      </c>
      <c r="AE585" s="4">
        <f t="shared" si="471"/>
      </c>
      <c r="AF585" s="4">
        <f t="shared" si="472"/>
      </c>
      <c r="AG585" s="4">
        <f t="shared" si="473"/>
        <v/>
      </c>
      <c r="AH585" s="4">
        <f t="shared" si="474"/>
      </c>
      <c r="AI585" s="4">
        <f t="shared" si="475"/>
      </c>
      <c r="AJ585" s="4">
        <f t="shared" si="476"/>
      </c>
      <c r="AK585" s="4">
        <f t="shared" si="477"/>
      </c>
      <c r="AL585" s="4">
        <f t="shared" si="478"/>
      </c>
      <c r="AM585" s="4">
        <f t="shared" si="479"/>
      </c>
      <c r="AN585" s="4"/>
      <c r="AO585" s="4">
        <f t="shared" si="480"/>
      </c>
      <c r="AP585" s="4">
        <f t="shared" si="481"/>
      </c>
      <c r="AQ585" s="4">
        <f t="shared" si="482"/>
        <v/>
      </c>
      <c r="AR585" s="4">
        <f t="shared" si="483"/>
      </c>
      <c r="AS585" s="4">
        <f t="shared" si="484"/>
      </c>
      <c r="AT585" s="4">
        <f t="shared" si="485"/>
      </c>
    </row>
    <row r="586" spans="1:46" x14ac:dyDescent="0.3">
      <c r="A586" s="5">
        <f t="shared" si="457"/>
      </c>
      <c r="B586" s="4">
        <f t="shared" si="458"/>
      </c>
      <c r="C586" s="119"/>
      <c r="D586" s="119"/>
      <c r="E586" s="105"/>
      <c r="F586" s="173"/>
      <c r="G586" s="173"/>
      <c r="H586" s="173"/>
      <c r="I586" s="105"/>
      <c r="J586" s="105"/>
      <c r="K586" s="105"/>
      <c r="L586" s="105"/>
      <c r="M586" s="4">
        <f t="shared" si="459"/>
      </c>
      <c r="N586" s="59"/>
      <c r="O586" s="164"/>
      <c r="P586" s="59">
        <f t="shared" si="460"/>
      </c>
      <c r="Q586" s="165"/>
      <c r="R586" s="59"/>
      <c r="S586" s="164"/>
      <c r="T586" s="5">
        <f t="shared" si="461"/>
      </c>
      <c r="U586" s="4">
        <f t="shared" si="462"/>
      </c>
      <c r="V586" s="4">
        <f t="shared" si="463"/>
      </c>
      <c r="W586" s="4">
        <f t="shared" si="464"/>
      </c>
      <c r="X586" s="4">
        <f t="shared" si="465"/>
      </c>
      <c r="Y586" s="4" cm="1">
        <f t="array" ref="Y586">_xlfn.IFS(H586=1,2,H586=3,1)</f>
      </c>
      <c r="Z586" s="4">
        <f t="shared" si="466"/>
      </c>
      <c r="AA586" s="4">
        <f t="shared" si="467"/>
      </c>
      <c r="AB586" s="4">
        <f t="shared" si="468"/>
      </c>
      <c r="AC586" s="4">
        <f t="shared" si="469"/>
      </c>
      <c r="AD586" s="4">
        <f t="shared" si="470"/>
      </c>
      <c r="AE586" s="4">
        <f t="shared" si="471"/>
      </c>
      <c r="AF586" s="4">
        <f t="shared" si="472"/>
      </c>
      <c r="AG586" s="4">
        <f t="shared" si="473"/>
        <v/>
      </c>
      <c r="AH586" s="4">
        <f t="shared" si="474"/>
      </c>
      <c r="AI586" s="4">
        <f t="shared" si="475"/>
      </c>
      <c r="AJ586" s="4">
        <f t="shared" si="476"/>
      </c>
      <c r="AK586" s="4">
        <f t="shared" si="477"/>
      </c>
      <c r="AL586" s="4">
        <f t="shared" si="478"/>
      </c>
      <c r="AM586" s="4">
        <f t="shared" si="479"/>
      </c>
      <c r="AN586" s="4"/>
      <c r="AO586" s="4">
        <f t="shared" si="480"/>
      </c>
      <c r="AP586" s="4">
        <f t="shared" si="481"/>
      </c>
      <c r="AQ586" s="4">
        <f t="shared" si="482"/>
        <v/>
      </c>
      <c r="AR586" s="4">
        <f t="shared" si="483"/>
      </c>
      <c r="AS586" s="4">
        <f t="shared" si="484"/>
      </c>
      <c r="AT586" s="4">
        <f t="shared" si="485"/>
      </c>
    </row>
    <row r="587" spans="1:46" x14ac:dyDescent="0.3">
      <c r="A587" s="5">
        <f t="shared" si="457"/>
      </c>
      <c r="B587" s="4">
        <f t="shared" si="458"/>
      </c>
      <c r="C587" s="119"/>
      <c r="D587" s="119"/>
      <c r="E587" s="105"/>
      <c r="F587" s="173"/>
      <c r="G587" s="173"/>
      <c r="H587" s="173"/>
      <c r="I587" s="105"/>
      <c r="J587" s="105"/>
      <c r="K587" s="105"/>
      <c r="L587" s="105"/>
      <c r="M587" s="4">
        <f t="shared" si="459"/>
      </c>
      <c r="N587" s="59"/>
      <c r="O587" s="164"/>
      <c r="P587" s="59">
        <f t="shared" si="460"/>
      </c>
      <c r="Q587" s="165"/>
      <c r="R587" s="59"/>
      <c r="S587" s="164"/>
      <c r="T587" s="5">
        <f t="shared" si="461"/>
      </c>
      <c r="U587" s="4">
        <f t="shared" si="462"/>
      </c>
      <c r="V587" s="4">
        <f t="shared" si="463"/>
      </c>
      <c r="W587" s="4">
        <f t="shared" si="464"/>
      </c>
      <c r="X587" s="4">
        <f t="shared" si="465"/>
      </c>
      <c r="Y587" s="4" cm="1">
        <f t="array" ref="Y587">_xlfn.IFS(H587=1,2,H587=3,1)</f>
      </c>
      <c r="Z587" s="4">
        <f t="shared" si="466"/>
      </c>
      <c r="AA587" s="4">
        <f t="shared" si="467"/>
      </c>
      <c r="AB587" s="4">
        <f t="shared" si="468"/>
      </c>
      <c r="AC587" s="4">
        <f t="shared" si="469"/>
      </c>
      <c r="AD587" s="4">
        <f t="shared" si="470"/>
      </c>
      <c r="AE587" s="4">
        <f t="shared" si="471"/>
      </c>
      <c r="AF587" s="4">
        <f t="shared" si="472"/>
      </c>
      <c r="AG587" s="4">
        <f t="shared" si="473"/>
        <v/>
      </c>
      <c r="AH587" s="4">
        <f t="shared" si="474"/>
      </c>
      <c r="AI587" s="4">
        <f t="shared" si="475"/>
      </c>
      <c r="AJ587" s="4">
        <f t="shared" si="476"/>
      </c>
      <c r="AK587" s="4">
        <f t="shared" si="477"/>
      </c>
      <c r="AL587" s="4">
        <f t="shared" si="478"/>
      </c>
      <c r="AM587" s="4">
        <f t="shared" si="479"/>
      </c>
      <c r="AN587" s="4"/>
      <c r="AO587" s="4">
        <f t="shared" si="480"/>
      </c>
      <c r="AP587" s="4">
        <f t="shared" si="481"/>
      </c>
      <c r="AQ587" s="4">
        <f t="shared" si="482"/>
        <v/>
      </c>
      <c r="AR587" s="4">
        <f t="shared" si="483"/>
      </c>
      <c r="AS587" s="4">
        <f t="shared" si="484"/>
      </c>
      <c r="AT587" s="4">
        <f t="shared" si="485"/>
      </c>
    </row>
    <row r="588" spans="1:46" x14ac:dyDescent="0.3">
      <c r="A588" s="5">
        <f t="shared" si="457"/>
      </c>
      <c r="B588" s="4">
        <f t="shared" si="458"/>
      </c>
      <c r="C588" s="119"/>
      <c r="D588" s="119"/>
      <c r="E588" s="105"/>
      <c r="F588" s="173"/>
      <c r="G588" s="173"/>
      <c r="H588" s="173"/>
      <c r="I588" s="105"/>
      <c r="J588" s="105"/>
      <c r="K588" s="105"/>
      <c r="L588" s="105"/>
      <c r="M588" s="4">
        <f t="shared" si="459"/>
      </c>
      <c r="N588" s="59"/>
      <c r="O588" s="164"/>
      <c r="P588" s="59">
        <f t="shared" si="460"/>
      </c>
      <c r="Q588" s="165"/>
      <c r="R588" s="59"/>
      <c r="S588" s="164"/>
      <c r="T588" s="5">
        <f t="shared" si="461"/>
      </c>
      <c r="U588" s="4">
        <f t="shared" si="462"/>
      </c>
      <c r="V588" s="4">
        <f t="shared" si="463"/>
      </c>
      <c r="W588" s="4">
        <f t="shared" si="464"/>
      </c>
      <c r="X588" s="4">
        <f t="shared" si="465"/>
      </c>
      <c r="Y588" s="4" cm="1">
        <f t="array" ref="Y588">_xlfn.IFS(H588=1,2,H588=3,1)</f>
      </c>
      <c r="Z588" s="4">
        <f t="shared" si="466"/>
      </c>
      <c r="AA588" s="4">
        <f t="shared" si="467"/>
      </c>
      <c r="AB588" s="4">
        <f t="shared" si="468"/>
      </c>
      <c r="AC588" s="4">
        <f t="shared" si="469"/>
      </c>
      <c r="AD588" s="4">
        <f t="shared" si="470"/>
      </c>
      <c r="AE588" s="4">
        <f t="shared" si="471"/>
      </c>
      <c r="AF588" s="4">
        <f t="shared" si="472"/>
      </c>
      <c r="AG588" s="4">
        <f t="shared" si="473"/>
        <v/>
      </c>
      <c r="AH588" s="4">
        <f t="shared" si="474"/>
      </c>
      <c r="AI588" s="4">
        <f t="shared" si="475"/>
      </c>
      <c r="AJ588" s="4">
        <f t="shared" si="476"/>
      </c>
      <c r="AK588" s="4">
        <f t="shared" si="477"/>
      </c>
      <c r="AL588" s="4">
        <f t="shared" si="478"/>
      </c>
      <c r="AM588" s="4">
        <f t="shared" si="479"/>
      </c>
      <c r="AN588" s="4"/>
      <c r="AO588" s="4">
        <f t="shared" si="480"/>
      </c>
      <c r="AP588" s="4">
        <f t="shared" si="481"/>
      </c>
      <c r="AQ588" s="4">
        <f t="shared" si="482"/>
        <v/>
      </c>
      <c r="AR588" s="4">
        <f t="shared" si="483"/>
      </c>
      <c r="AS588" s="4">
        <f t="shared" si="484"/>
      </c>
      <c r="AT588" s="4">
        <f t="shared" si="485"/>
      </c>
    </row>
    <row r="589" spans="1:46" x14ac:dyDescent="0.3">
      <c r="A589" s="5">
        <f t="shared" si="457"/>
      </c>
      <c r="B589" s="4">
        <f t="shared" si="458"/>
      </c>
      <c r="C589" s="119"/>
      <c r="D589" s="119"/>
      <c r="E589" s="105"/>
      <c r="F589" s="173"/>
      <c r="G589" s="173"/>
      <c r="H589" s="173"/>
      <c r="I589" s="105"/>
      <c r="J589" s="105"/>
      <c r="K589" s="105"/>
      <c r="L589" s="105"/>
      <c r="M589" s="4">
        <f t="shared" si="459"/>
      </c>
      <c r="N589" s="59"/>
      <c r="O589" s="164"/>
      <c r="P589" s="59">
        <f t="shared" si="460"/>
      </c>
      <c r="Q589" s="165"/>
      <c r="R589" s="59"/>
      <c r="S589" s="164"/>
      <c r="T589" s="5">
        <f t="shared" si="461"/>
      </c>
      <c r="U589" s="4">
        <f t="shared" si="462"/>
      </c>
      <c r="V589" s="4">
        <f t="shared" si="463"/>
      </c>
      <c r="W589" s="4">
        <f t="shared" si="464"/>
      </c>
      <c r="X589" s="4">
        <f t="shared" si="465"/>
      </c>
      <c r="Y589" s="4" cm="1">
        <f t="array" ref="Y589">_xlfn.IFS(H589=1,2,H589=3,1)</f>
      </c>
      <c r="Z589" s="4">
        <f t="shared" si="466"/>
      </c>
      <c r="AA589" s="4">
        <f t="shared" si="467"/>
      </c>
      <c r="AB589" s="4">
        <f t="shared" si="468"/>
      </c>
      <c r="AC589" s="4">
        <f t="shared" si="469"/>
      </c>
      <c r="AD589" s="4">
        <f t="shared" si="470"/>
      </c>
      <c r="AE589" s="4">
        <f t="shared" si="471"/>
      </c>
      <c r="AF589" s="4">
        <f t="shared" si="472"/>
      </c>
      <c r="AG589" s="4">
        <f t="shared" si="473"/>
        <v/>
      </c>
      <c r="AH589" s="4">
        <f t="shared" si="474"/>
      </c>
      <c r="AI589" s="4">
        <f t="shared" si="475"/>
      </c>
      <c r="AJ589" s="4">
        <f t="shared" si="476"/>
      </c>
      <c r="AK589" s="4">
        <f t="shared" si="477"/>
      </c>
      <c r="AL589" s="4">
        <f t="shared" si="478"/>
      </c>
      <c r="AM589" s="4">
        <f t="shared" si="479"/>
      </c>
      <c r="AN589" s="4"/>
      <c r="AO589" s="4">
        <f t="shared" si="480"/>
      </c>
      <c r="AP589" s="4">
        <f t="shared" si="481"/>
      </c>
      <c r="AQ589" s="4">
        <f t="shared" si="482"/>
        <v/>
      </c>
      <c r="AR589" s="4">
        <f t="shared" si="483"/>
      </c>
      <c r="AS589" s="4">
        <f t="shared" si="484"/>
      </c>
      <c r="AT589" s="4">
        <f t="shared" si="485"/>
      </c>
    </row>
    <row r="590" spans="1:46" x14ac:dyDescent="0.3">
      <c r="A590" s="5">
        <f t="shared" si="457"/>
      </c>
      <c r="B590" s="4">
        <f t="shared" si="458"/>
      </c>
      <c r="C590" s="119"/>
      <c r="D590" s="119"/>
      <c r="E590" s="105"/>
      <c r="F590" s="173"/>
      <c r="G590" s="173"/>
      <c r="H590" s="173"/>
      <c r="I590" s="105"/>
      <c r="J590" s="105"/>
      <c r="K590" s="105"/>
      <c r="L590" s="105"/>
      <c r="M590" s="4">
        <f t="shared" si="459"/>
      </c>
      <c r="N590" s="59"/>
      <c r="O590" s="164"/>
      <c r="P590" s="59">
        <f t="shared" si="460"/>
      </c>
      <c r="Q590" s="165"/>
      <c r="R590" s="59"/>
      <c r="S590" s="164"/>
      <c r="T590" s="5">
        <f t="shared" si="461"/>
      </c>
      <c r="U590" s="4">
        <f t="shared" si="462"/>
      </c>
      <c r="V590" s="4">
        <f t="shared" si="463"/>
      </c>
      <c r="W590" s="4">
        <f t="shared" si="464"/>
      </c>
      <c r="X590" s="4">
        <f t="shared" si="465"/>
      </c>
      <c r="Y590" s="4" cm="1">
        <f t="array" ref="Y590">_xlfn.IFS(H590=1,2,H590=3,1)</f>
      </c>
      <c r="Z590" s="4">
        <f t="shared" si="466"/>
      </c>
      <c r="AA590" s="4">
        <f t="shared" si="467"/>
      </c>
      <c r="AB590" s="4">
        <f t="shared" si="468"/>
      </c>
      <c r="AC590" s="4">
        <f t="shared" si="469"/>
      </c>
      <c r="AD590" s="4">
        <f t="shared" si="470"/>
      </c>
      <c r="AE590" s="4">
        <f t="shared" si="471"/>
      </c>
      <c r="AF590" s="4">
        <f t="shared" si="472"/>
      </c>
      <c r="AG590" s="4">
        <f t="shared" si="473"/>
        <v/>
      </c>
      <c r="AH590" s="4">
        <f t="shared" si="474"/>
      </c>
      <c r="AI590" s="4">
        <f t="shared" si="475"/>
      </c>
      <c r="AJ590" s="4">
        <f t="shared" si="476"/>
      </c>
      <c r="AK590" s="4">
        <f t="shared" si="477"/>
      </c>
      <c r="AL590" s="4">
        <f t="shared" si="478"/>
      </c>
      <c r="AM590" s="4">
        <f t="shared" si="479"/>
      </c>
      <c r="AN590" s="4"/>
      <c r="AO590" s="4">
        <f t="shared" si="480"/>
      </c>
      <c r="AP590" s="4">
        <f t="shared" si="481"/>
      </c>
      <c r="AQ590" s="4">
        <f t="shared" si="482"/>
        <v/>
      </c>
      <c r="AR590" s="4">
        <f t="shared" si="483"/>
      </c>
      <c r="AS590" s="4">
        <f t="shared" si="484"/>
      </c>
      <c r="AT590" s="4">
        <f t="shared" si="485"/>
      </c>
    </row>
    <row r="591" spans="1:46" x14ac:dyDescent="0.3">
      <c r="A591" s="5">
        <f t="shared" si="457"/>
      </c>
      <c r="B591" s="4">
        <f t="shared" si="458"/>
      </c>
      <c r="C591" s="119"/>
      <c r="D591" s="119"/>
      <c r="E591" s="105"/>
      <c r="F591" s="173"/>
      <c r="G591" s="173"/>
      <c r="H591" s="173"/>
      <c r="I591" s="105"/>
      <c r="J591" s="105"/>
      <c r="K591" s="105"/>
      <c r="L591" s="105"/>
      <c r="M591" s="4">
        <f t="shared" si="459"/>
      </c>
      <c r="N591" s="59"/>
      <c r="O591" s="164"/>
      <c r="P591" s="59">
        <f t="shared" si="460"/>
      </c>
      <c r="Q591" s="165"/>
      <c r="R591" s="59"/>
      <c r="S591" s="164"/>
      <c r="T591" s="5">
        <f t="shared" si="461"/>
      </c>
      <c r="U591" s="4">
        <f t="shared" si="462"/>
      </c>
      <c r="V591" s="4">
        <f t="shared" si="463"/>
      </c>
      <c r="W591" s="4">
        <f t="shared" si="464"/>
      </c>
      <c r="X591" s="4">
        <f t="shared" si="465"/>
      </c>
      <c r="Y591" s="4" cm="1">
        <f t="array" ref="Y591">_xlfn.IFS(H591=1,2,H591=3,1)</f>
      </c>
      <c r="Z591" s="4">
        <f t="shared" si="466"/>
      </c>
      <c r="AA591" s="4">
        <f t="shared" si="467"/>
      </c>
      <c r="AB591" s="4">
        <f t="shared" si="468"/>
      </c>
      <c r="AC591" s="4">
        <f t="shared" si="469"/>
      </c>
      <c r="AD591" s="4">
        <f t="shared" si="470"/>
      </c>
      <c r="AE591" s="4">
        <f t="shared" si="471"/>
      </c>
      <c r="AF591" s="4">
        <f t="shared" si="472"/>
      </c>
      <c r="AG591" s="4">
        <f t="shared" si="473"/>
        <v/>
      </c>
      <c r="AH591" s="4">
        <f t="shared" si="474"/>
      </c>
      <c r="AI591" s="4">
        <f t="shared" si="475"/>
      </c>
      <c r="AJ591" s="4">
        <f t="shared" si="476"/>
      </c>
      <c r="AK591" s="4">
        <f t="shared" si="477"/>
      </c>
      <c r="AL591" s="4">
        <f t="shared" si="478"/>
      </c>
      <c r="AM591" s="4">
        <f t="shared" si="479"/>
      </c>
      <c r="AN591" s="4"/>
      <c r="AO591" s="4">
        <f t="shared" si="480"/>
      </c>
      <c r="AP591" s="4">
        <f t="shared" si="481"/>
      </c>
      <c r="AQ591" s="4">
        <f t="shared" si="482"/>
        <v/>
      </c>
      <c r="AR591" s="4">
        <f t="shared" si="483"/>
      </c>
      <c r="AS591" s="4">
        <f t="shared" si="484"/>
      </c>
      <c r="AT591" s="4">
        <f t="shared" si="485"/>
      </c>
    </row>
    <row r="592" spans="1:46" x14ac:dyDescent="0.3">
      <c r="A592" s="5">
        <f t="shared" si="457"/>
      </c>
      <c r="B592" s="4">
        <f t="shared" si="458"/>
      </c>
      <c r="C592" s="119"/>
      <c r="D592" s="119"/>
      <c r="E592" s="105"/>
      <c r="F592" s="173"/>
      <c r="G592" s="173"/>
      <c r="H592" s="173"/>
      <c r="I592" s="105"/>
      <c r="J592" s="105"/>
      <c r="K592" s="105"/>
      <c r="L592" s="105"/>
      <c r="M592" s="4">
        <f t="shared" si="459"/>
      </c>
      <c r="N592" s="59"/>
      <c r="O592" s="164"/>
      <c r="P592" s="59">
        <f t="shared" si="460"/>
      </c>
      <c r="Q592" s="165"/>
      <c r="R592" s="59"/>
      <c r="S592" s="164"/>
      <c r="T592" s="5">
        <f t="shared" si="461"/>
      </c>
      <c r="U592" s="4">
        <f t="shared" si="462"/>
      </c>
      <c r="V592" s="4">
        <f t="shared" si="463"/>
      </c>
      <c r="W592" s="4">
        <f t="shared" si="464"/>
      </c>
      <c r="X592" s="4">
        <f t="shared" si="465"/>
      </c>
      <c r="Y592" s="4" cm="1">
        <f t="array" ref="Y592">_xlfn.IFS(H592=1,2,H592=3,1)</f>
      </c>
      <c r="Z592" s="4">
        <f t="shared" si="466"/>
      </c>
      <c r="AA592" s="4">
        <f t="shared" si="467"/>
      </c>
      <c r="AB592" s="4">
        <f t="shared" si="468"/>
      </c>
      <c r="AC592" s="4">
        <f t="shared" si="469"/>
      </c>
      <c r="AD592" s="4">
        <f t="shared" si="470"/>
      </c>
      <c r="AE592" s="4">
        <f t="shared" si="471"/>
      </c>
      <c r="AF592" s="4">
        <f t="shared" si="472"/>
      </c>
      <c r="AG592" s="4">
        <f t="shared" si="473"/>
        <v/>
      </c>
      <c r="AH592" s="4">
        <f t="shared" si="474"/>
      </c>
      <c r="AI592" s="4">
        <f t="shared" si="475"/>
      </c>
      <c r="AJ592" s="4">
        <f t="shared" si="476"/>
      </c>
      <c r="AK592" s="4">
        <f t="shared" si="477"/>
      </c>
      <c r="AL592" s="4">
        <f t="shared" si="478"/>
      </c>
      <c r="AM592" s="4">
        <f t="shared" si="479"/>
      </c>
      <c r="AN592" s="4"/>
      <c r="AO592" s="4">
        <f t="shared" si="480"/>
      </c>
      <c r="AP592" s="4">
        <f t="shared" si="481"/>
      </c>
      <c r="AQ592" s="4">
        <f t="shared" si="482"/>
        <v/>
      </c>
      <c r="AR592" s="4">
        <f t="shared" si="483"/>
      </c>
      <c r="AS592" s="4">
        <f t="shared" si="484"/>
      </c>
      <c r="AT592" s="4">
        <f t="shared" si="485"/>
      </c>
    </row>
    <row r="593" spans="1:46" x14ac:dyDescent="0.3">
      <c r="A593" s="5">
        <f t="shared" si="457"/>
      </c>
      <c r="B593" s="4">
        <f t="shared" si="458"/>
      </c>
      <c r="C593" s="119"/>
      <c r="D593" s="119"/>
      <c r="E593" s="105"/>
      <c r="F593" s="173"/>
      <c r="G593" s="173"/>
      <c r="H593" s="173"/>
      <c r="I593" s="105"/>
      <c r="J593" s="105"/>
      <c r="K593" s="105"/>
      <c r="L593" s="105"/>
      <c r="M593" s="4">
        <f t="shared" si="459"/>
      </c>
      <c r="N593" s="59"/>
      <c r="O593" s="164"/>
      <c r="P593" s="59">
        <f t="shared" si="460"/>
      </c>
      <c r="Q593" s="165"/>
      <c r="R593" s="59"/>
      <c r="S593" s="164"/>
      <c r="T593" s="5">
        <f t="shared" si="461"/>
      </c>
      <c r="U593" s="4">
        <f t="shared" si="462"/>
      </c>
      <c r="V593" s="4">
        <f t="shared" si="463"/>
      </c>
      <c r="W593" s="4">
        <f t="shared" si="464"/>
      </c>
      <c r="X593" s="4">
        <f t="shared" si="465"/>
      </c>
      <c r="Y593" s="4" cm="1">
        <f t="array" ref="Y593">_xlfn.IFS(H593=1,2,H593=3,1)</f>
      </c>
      <c r="Z593" s="4">
        <f t="shared" si="466"/>
      </c>
      <c r="AA593" s="4">
        <f t="shared" si="467"/>
      </c>
      <c r="AB593" s="4">
        <f t="shared" si="468"/>
      </c>
      <c r="AC593" s="4">
        <f t="shared" si="469"/>
      </c>
      <c r="AD593" s="4">
        <f t="shared" si="470"/>
      </c>
      <c r="AE593" s="4">
        <f t="shared" si="471"/>
      </c>
      <c r="AF593" s="4">
        <f t="shared" si="472"/>
      </c>
      <c r="AG593" s="4">
        <f t="shared" si="473"/>
        <v/>
      </c>
      <c r="AH593" s="4">
        <f t="shared" si="474"/>
      </c>
      <c r="AI593" s="4">
        <f t="shared" si="475"/>
      </c>
      <c r="AJ593" s="4">
        <f t="shared" si="476"/>
      </c>
      <c r="AK593" s="4">
        <f t="shared" si="477"/>
      </c>
      <c r="AL593" s="4">
        <f t="shared" si="478"/>
      </c>
      <c r="AM593" s="4">
        <f t="shared" si="479"/>
      </c>
      <c r="AN593" s="4"/>
      <c r="AO593" s="4">
        <f t="shared" si="480"/>
      </c>
      <c r="AP593" s="4">
        <f t="shared" si="481"/>
      </c>
      <c r="AQ593" s="4">
        <f t="shared" si="482"/>
        <v/>
      </c>
      <c r="AR593" s="4">
        <f t="shared" si="483"/>
      </c>
      <c r="AS593" s="4">
        <f t="shared" si="484"/>
      </c>
      <c r="AT593" s="4">
        <f t="shared" si="485"/>
      </c>
    </row>
    <row r="594" spans="1:46" x14ac:dyDescent="0.3">
      <c r="A594" s="5">
        <f t="shared" si="457"/>
      </c>
      <c r="B594" s="4">
        <f t="shared" si="458"/>
      </c>
      <c r="C594" s="119"/>
      <c r="D594" s="119"/>
      <c r="E594" s="105"/>
      <c r="F594" s="173"/>
      <c r="G594" s="173"/>
      <c r="H594" s="173"/>
      <c r="I594" s="105"/>
      <c r="J594" s="105"/>
      <c r="K594" s="105"/>
      <c r="L594" s="105"/>
      <c r="M594" s="4">
        <f t="shared" si="459"/>
      </c>
      <c r="N594" s="59"/>
      <c r="O594" s="164"/>
      <c r="P594" s="59">
        <f t="shared" si="460"/>
      </c>
      <c r="Q594" s="165"/>
      <c r="R594" s="59"/>
      <c r="S594" s="164"/>
      <c r="T594" s="5">
        <f t="shared" si="461"/>
      </c>
      <c r="U594" s="4">
        <f t="shared" si="462"/>
      </c>
      <c r="V594" s="4">
        <f t="shared" si="463"/>
      </c>
      <c r="W594" s="4">
        <f t="shared" si="464"/>
      </c>
      <c r="X594" s="4">
        <f t="shared" si="465"/>
      </c>
      <c r="Y594" s="4" cm="1">
        <f t="array" ref="Y594">_xlfn.IFS(H594=1,2,H594=3,1)</f>
      </c>
      <c r="Z594" s="4">
        <f t="shared" si="466"/>
      </c>
      <c r="AA594" s="4">
        <f t="shared" si="467"/>
      </c>
      <c r="AB594" s="4">
        <f t="shared" si="468"/>
      </c>
      <c r="AC594" s="4">
        <f t="shared" si="469"/>
      </c>
      <c r="AD594" s="4">
        <f t="shared" si="470"/>
      </c>
      <c r="AE594" s="4">
        <f t="shared" si="471"/>
      </c>
      <c r="AF594" s="4">
        <f t="shared" si="472"/>
      </c>
      <c r="AG594" s="4">
        <f t="shared" si="473"/>
        <v/>
      </c>
      <c r="AH594" s="4">
        <f t="shared" si="474"/>
      </c>
      <c r="AI594" s="4">
        <f t="shared" si="475"/>
      </c>
      <c r="AJ594" s="4">
        <f t="shared" si="476"/>
      </c>
      <c r="AK594" s="4">
        <f t="shared" si="477"/>
      </c>
      <c r="AL594" s="4">
        <f t="shared" si="478"/>
      </c>
      <c r="AM594" s="4">
        <f t="shared" si="479"/>
      </c>
      <c r="AN594" s="4"/>
      <c r="AO594" s="4">
        <f t="shared" si="480"/>
      </c>
      <c r="AP594" s="4">
        <f t="shared" si="481"/>
      </c>
      <c r="AQ594" s="4">
        <f t="shared" si="482"/>
        <v/>
      </c>
      <c r="AR594" s="4">
        <f t="shared" si="483"/>
      </c>
      <c r="AS594" s="4">
        <f t="shared" si="484"/>
      </c>
      <c r="AT594" s="4">
        <f t="shared" si="485"/>
      </c>
    </row>
    <row r="595" spans="1:46" x14ac:dyDescent="0.3">
      <c r="A595" s="5">
        <f t="shared" si="457"/>
      </c>
      <c r="B595" s="4">
        <f t="shared" si="458"/>
      </c>
      <c r="C595" s="119"/>
      <c r="D595" s="119"/>
      <c r="E595" s="105"/>
      <c r="F595" s="173"/>
      <c r="G595" s="173"/>
      <c r="H595" s="173"/>
      <c r="I595" s="105"/>
      <c r="J595" s="105"/>
      <c r="K595" s="105"/>
      <c r="L595" s="105"/>
      <c r="M595" s="4">
        <f t="shared" si="459"/>
      </c>
      <c r="N595" s="59"/>
      <c r="O595" s="164"/>
      <c r="P595" s="59">
        <f t="shared" si="460"/>
      </c>
      <c r="Q595" s="165"/>
      <c r="R595" s="59"/>
      <c r="S595" s="164"/>
      <c r="T595" s="5">
        <f t="shared" si="461"/>
      </c>
      <c r="U595" s="4">
        <f t="shared" si="462"/>
      </c>
      <c r="V595" s="4">
        <f t="shared" si="463"/>
      </c>
      <c r="W595" s="4">
        <f t="shared" si="464"/>
      </c>
      <c r="X595" s="4">
        <f t="shared" si="465"/>
      </c>
      <c r="Y595" s="4" cm="1">
        <f t="array" ref="Y595">_xlfn.IFS(H595=1,2,H595=3,1)</f>
      </c>
      <c r="Z595" s="4">
        <f t="shared" si="466"/>
      </c>
      <c r="AA595" s="4">
        <f t="shared" si="467"/>
      </c>
      <c r="AB595" s="4">
        <f t="shared" si="468"/>
      </c>
      <c r="AC595" s="4">
        <f t="shared" si="469"/>
      </c>
      <c r="AD595" s="4">
        <f t="shared" si="470"/>
      </c>
      <c r="AE595" s="4">
        <f t="shared" si="471"/>
      </c>
      <c r="AF595" s="4">
        <f t="shared" si="472"/>
      </c>
      <c r="AG595" s="4">
        <f t="shared" si="473"/>
        <v/>
      </c>
      <c r="AH595" s="4">
        <f t="shared" si="474"/>
      </c>
      <c r="AI595" s="4">
        <f t="shared" si="475"/>
      </c>
      <c r="AJ595" s="4">
        <f t="shared" si="476"/>
      </c>
      <c r="AK595" s="4">
        <f t="shared" si="477"/>
      </c>
      <c r="AL595" s="4">
        <f t="shared" si="478"/>
      </c>
      <c r="AM595" s="4">
        <f t="shared" si="479"/>
      </c>
      <c r="AN595" s="4"/>
      <c r="AO595" s="4">
        <f t="shared" si="480"/>
      </c>
      <c r="AP595" s="4">
        <f t="shared" si="481"/>
      </c>
      <c r="AQ595" s="4">
        <f t="shared" si="482"/>
        <v/>
      </c>
      <c r="AR595" s="4">
        <f t="shared" si="483"/>
      </c>
      <c r="AS595" s="4">
        <f t="shared" si="484"/>
      </c>
      <c r="AT595" s="4">
        <f t="shared" si="485"/>
      </c>
    </row>
    <row r="596" spans="1:46" x14ac:dyDescent="0.3">
      <c r="A596" s="5">
        <f t="shared" si="457"/>
      </c>
      <c r="B596" s="4">
        <f t="shared" si="458"/>
      </c>
      <c r="C596" s="119"/>
      <c r="D596" s="119"/>
      <c r="E596" s="105"/>
      <c r="F596" s="173"/>
      <c r="G596" s="173"/>
      <c r="H596" s="173"/>
      <c r="I596" s="105"/>
      <c r="J596" s="105"/>
      <c r="K596" s="105"/>
      <c r="L596" s="105"/>
      <c r="M596" s="4">
        <f t="shared" si="459"/>
      </c>
      <c r="N596" s="59"/>
      <c r="O596" s="164"/>
      <c r="P596" s="59">
        <f t="shared" si="460"/>
      </c>
      <c r="Q596" s="165"/>
      <c r="R596" s="59"/>
      <c r="S596" s="164"/>
      <c r="T596" s="5">
        <f t="shared" si="461"/>
      </c>
      <c r="U596" s="4">
        <f t="shared" si="462"/>
      </c>
      <c r="V596" s="4">
        <f t="shared" si="463"/>
      </c>
      <c r="W596" s="4">
        <f t="shared" si="464"/>
      </c>
      <c r="X596" s="4">
        <f t="shared" si="465"/>
      </c>
      <c r="Y596" s="4" cm="1">
        <f t="array" ref="Y596">_xlfn.IFS(H596=1,2,H596=3,1)</f>
      </c>
      <c r="Z596" s="4">
        <f t="shared" si="466"/>
      </c>
      <c r="AA596" s="4">
        <f t="shared" si="467"/>
      </c>
      <c r="AB596" s="4">
        <f t="shared" si="468"/>
      </c>
      <c r="AC596" s="4">
        <f t="shared" si="469"/>
      </c>
      <c r="AD596" s="4">
        <f t="shared" si="470"/>
      </c>
      <c r="AE596" s="4">
        <f t="shared" si="471"/>
      </c>
      <c r="AF596" s="4">
        <f t="shared" si="472"/>
      </c>
      <c r="AG596" s="4">
        <f t="shared" si="473"/>
        <v/>
      </c>
      <c r="AH596" s="4">
        <f t="shared" si="474"/>
      </c>
      <c r="AI596" s="4">
        <f t="shared" si="475"/>
      </c>
      <c r="AJ596" s="4">
        <f t="shared" si="476"/>
      </c>
      <c r="AK596" s="4">
        <f t="shared" si="477"/>
      </c>
      <c r="AL596" s="4">
        <f t="shared" si="478"/>
      </c>
      <c r="AM596" s="4">
        <f t="shared" si="479"/>
      </c>
      <c r="AN596" s="4"/>
      <c r="AO596" s="4">
        <f t="shared" si="480"/>
      </c>
      <c r="AP596" s="4">
        <f t="shared" si="481"/>
      </c>
      <c r="AQ596" s="4">
        <f t="shared" si="482"/>
        <v/>
      </c>
      <c r="AR596" s="4">
        <f t="shared" si="483"/>
      </c>
      <c r="AS596" s="4">
        <f t="shared" si="484"/>
      </c>
      <c r="AT596" s="4">
        <f t="shared" si="485"/>
      </c>
    </row>
    <row r="597" spans="1:46" x14ac:dyDescent="0.3">
      <c r="A597" s="5">
        <f t="shared" si="457"/>
      </c>
      <c r="B597" s="4">
        <f t="shared" si="458"/>
      </c>
      <c r="C597" s="119"/>
      <c r="D597" s="119"/>
      <c r="E597" s="105"/>
      <c r="F597" s="173"/>
      <c r="G597" s="173"/>
      <c r="H597" s="173"/>
      <c r="I597" s="105"/>
      <c r="J597" s="105"/>
      <c r="K597" s="105"/>
      <c r="L597" s="105"/>
      <c r="M597" s="4">
        <f t="shared" si="459"/>
      </c>
      <c r="N597" s="59"/>
      <c r="O597" s="164"/>
      <c r="P597" s="59">
        <f t="shared" si="460"/>
      </c>
      <c r="Q597" s="165"/>
      <c r="R597" s="59"/>
      <c r="S597" s="164"/>
      <c r="T597" s="5">
        <f t="shared" si="461"/>
      </c>
      <c r="U597" s="4">
        <f t="shared" si="462"/>
      </c>
      <c r="V597" s="4">
        <f t="shared" si="463"/>
      </c>
      <c r="W597" s="4">
        <f t="shared" si="464"/>
      </c>
      <c r="X597" s="4">
        <f t="shared" si="465"/>
      </c>
      <c r="Y597" s="4" cm="1">
        <f t="array" ref="Y597">_xlfn.IFS(H597=1,2,H597=3,1)</f>
      </c>
      <c r="Z597" s="4">
        <f t="shared" si="466"/>
      </c>
      <c r="AA597" s="4">
        <f t="shared" si="467"/>
      </c>
      <c r="AB597" s="4">
        <f t="shared" si="468"/>
      </c>
      <c r="AC597" s="4">
        <f t="shared" si="469"/>
      </c>
      <c r="AD597" s="4">
        <f t="shared" si="470"/>
      </c>
      <c r="AE597" s="4">
        <f t="shared" si="471"/>
      </c>
      <c r="AF597" s="4">
        <f t="shared" si="472"/>
      </c>
      <c r="AG597" s="4">
        <f t="shared" si="473"/>
        <v/>
      </c>
      <c r="AH597" s="4">
        <f t="shared" si="474"/>
      </c>
      <c r="AI597" s="4">
        <f t="shared" si="475"/>
      </c>
      <c r="AJ597" s="4">
        <f t="shared" si="476"/>
      </c>
      <c r="AK597" s="4">
        <f t="shared" si="477"/>
      </c>
      <c r="AL597" s="4">
        <f t="shared" si="478"/>
      </c>
      <c r="AM597" s="4">
        <f t="shared" si="479"/>
      </c>
      <c r="AN597" s="4"/>
      <c r="AO597" s="4">
        <f t="shared" si="480"/>
      </c>
      <c r="AP597" s="4">
        <f t="shared" si="481"/>
      </c>
      <c r="AQ597" s="4">
        <f t="shared" si="482"/>
        <v/>
      </c>
      <c r="AR597" s="4">
        <f t="shared" si="483"/>
      </c>
      <c r="AS597" s="4">
        <f t="shared" si="484"/>
      </c>
      <c r="AT597" s="4">
        <f t="shared" si="485"/>
      </c>
    </row>
    <row r="598" spans="1:46" x14ac:dyDescent="0.3">
      <c r="A598" s="5">
        <f t="shared" si="457"/>
      </c>
      <c r="B598" s="4">
        <f t="shared" si="458"/>
      </c>
      <c r="C598" s="119"/>
      <c r="D598" s="119"/>
      <c r="E598" s="105"/>
      <c r="F598" s="173"/>
      <c r="G598" s="173"/>
      <c r="H598" s="173"/>
      <c r="I598" s="105"/>
      <c r="J598" s="105"/>
      <c r="K598" s="105"/>
      <c r="L598" s="105"/>
      <c r="M598" s="4">
        <f t="shared" si="459"/>
      </c>
      <c r="N598" s="59"/>
      <c r="O598" s="164"/>
      <c r="P598" s="59">
        <f t="shared" si="460"/>
      </c>
      <c r="Q598" s="165"/>
      <c r="R598" s="59"/>
      <c r="S598" s="164"/>
      <c r="T598" s="5">
        <f t="shared" si="461"/>
      </c>
      <c r="U598" s="4">
        <f t="shared" si="462"/>
      </c>
      <c r="V598" s="4">
        <f t="shared" si="463"/>
      </c>
      <c r="W598" s="4">
        <f t="shared" si="464"/>
      </c>
      <c r="X598" s="4">
        <f t="shared" si="465"/>
      </c>
      <c r="Y598" s="4" cm="1">
        <f t="array" ref="Y598">_xlfn.IFS(H598=1,2,H598=3,1)</f>
      </c>
      <c r="Z598" s="4">
        <f t="shared" si="466"/>
      </c>
      <c r="AA598" s="4">
        <f t="shared" si="467"/>
      </c>
      <c r="AB598" s="4">
        <f t="shared" si="468"/>
      </c>
      <c r="AC598" s="4">
        <f t="shared" si="469"/>
      </c>
      <c r="AD598" s="4">
        <f t="shared" si="470"/>
      </c>
      <c r="AE598" s="4">
        <f t="shared" si="471"/>
      </c>
      <c r="AF598" s="4">
        <f t="shared" si="472"/>
      </c>
      <c r="AG598" s="4">
        <f t="shared" si="473"/>
        <v/>
      </c>
      <c r="AH598" s="4">
        <f t="shared" si="474"/>
      </c>
      <c r="AI598" s="4">
        <f t="shared" si="475"/>
      </c>
      <c r="AJ598" s="4">
        <f t="shared" si="476"/>
      </c>
      <c r="AK598" s="4">
        <f t="shared" si="477"/>
      </c>
      <c r="AL598" s="4">
        <f t="shared" si="478"/>
      </c>
      <c r="AM598" s="4">
        <f t="shared" si="479"/>
      </c>
      <c r="AN598" s="4"/>
      <c r="AO598" s="4">
        <f t="shared" si="480"/>
      </c>
      <c r="AP598" s="4">
        <f t="shared" si="481"/>
      </c>
      <c r="AQ598" s="4">
        <f t="shared" si="482"/>
        <v/>
      </c>
      <c r="AR598" s="4">
        <f t="shared" si="483"/>
      </c>
      <c r="AS598" s="4">
        <f t="shared" si="484"/>
      </c>
      <c r="AT598" s="4">
        <f t="shared" si="485"/>
      </c>
    </row>
    <row r="599" spans="1:46" x14ac:dyDescent="0.3">
      <c r="A599" s="5">
        <f t="shared" si="457"/>
      </c>
      <c r="B599" s="4">
        <f t="shared" si="458"/>
      </c>
      <c r="C599" s="119"/>
      <c r="D599" s="119"/>
      <c r="E599" s="105"/>
      <c r="F599" s="173"/>
      <c r="G599" s="173"/>
      <c r="H599" s="173"/>
      <c r="I599" s="105"/>
      <c r="J599" s="105"/>
      <c r="K599" s="105"/>
      <c r="L599" s="105"/>
      <c r="M599" s="4">
        <f t="shared" si="459"/>
      </c>
      <c r="N599" s="59"/>
      <c r="O599" s="164"/>
      <c r="P599" s="59">
        <f t="shared" si="460"/>
      </c>
      <c r="Q599" s="165"/>
      <c r="R599" s="59"/>
      <c r="S599" s="164"/>
      <c r="T599" s="5">
        <f t="shared" si="461"/>
      </c>
      <c r="U599" s="4">
        <f t="shared" si="462"/>
      </c>
      <c r="V599" s="4">
        <f t="shared" si="463"/>
      </c>
      <c r="W599" s="4">
        <f t="shared" si="464"/>
      </c>
      <c r="X599" s="4">
        <f t="shared" si="465"/>
      </c>
      <c r="Y599" s="4" cm="1">
        <f t="array" ref="Y599">_xlfn.IFS(H599=1,2,H599=3,1)</f>
      </c>
      <c r="Z599" s="4">
        <f t="shared" si="466"/>
      </c>
      <c r="AA599" s="4">
        <f t="shared" si="467"/>
      </c>
      <c r="AB599" s="4">
        <f t="shared" si="468"/>
      </c>
      <c r="AC599" s="4">
        <f t="shared" si="469"/>
      </c>
      <c r="AD599" s="4">
        <f t="shared" si="470"/>
      </c>
      <c r="AE599" s="4">
        <f t="shared" si="471"/>
      </c>
      <c r="AF599" s="4">
        <f t="shared" si="472"/>
      </c>
      <c r="AG599" s="4">
        <f t="shared" si="473"/>
        <v/>
      </c>
      <c r="AH599" s="4">
        <f t="shared" si="474"/>
      </c>
      <c r="AI599" s="4">
        <f t="shared" si="475"/>
      </c>
      <c r="AJ599" s="4">
        <f t="shared" si="476"/>
      </c>
      <c r="AK599" s="4">
        <f t="shared" si="477"/>
      </c>
      <c r="AL599" s="4">
        <f t="shared" si="478"/>
      </c>
      <c r="AM599" s="4">
        <f t="shared" si="479"/>
      </c>
      <c r="AN599" s="4"/>
      <c r="AO599" s="4">
        <f t="shared" si="480"/>
      </c>
      <c r="AP599" s="4">
        <f t="shared" si="481"/>
      </c>
      <c r="AQ599" s="4">
        <f t="shared" si="482"/>
        <v/>
      </c>
      <c r="AR599" s="4">
        <f t="shared" si="483"/>
      </c>
      <c r="AS599" s="4">
        <f t="shared" si="484"/>
      </c>
      <c r="AT599" s="4">
        <f t="shared" si="485"/>
      </c>
    </row>
    <row r="600" spans="1:46" x14ac:dyDescent="0.3">
      <c r="A600" s="5">
        <f t="shared" si="457"/>
      </c>
      <c r="B600" s="4">
        <f t="shared" si="458"/>
      </c>
      <c r="C600" s="119"/>
      <c r="D600" s="119"/>
      <c r="E600" s="105"/>
      <c r="F600" s="173"/>
      <c r="G600" s="173"/>
      <c r="H600" s="173"/>
      <c r="I600" s="105"/>
      <c r="J600" s="105"/>
      <c r="K600" s="105"/>
      <c r="L600" s="105"/>
      <c r="M600" s="4">
        <f t="shared" si="459"/>
      </c>
      <c r="N600" s="59"/>
      <c r="O600" s="164"/>
      <c r="P600" s="59">
        <f t="shared" si="460"/>
      </c>
      <c r="Q600" s="165"/>
      <c r="R600" s="59"/>
      <c r="S600" s="164"/>
      <c r="T600" s="5">
        <f t="shared" si="461"/>
      </c>
      <c r="U600" s="4">
        <f t="shared" si="462"/>
      </c>
      <c r="V600" s="4">
        <f t="shared" si="463"/>
      </c>
      <c r="W600" s="4">
        <f t="shared" si="464"/>
      </c>
      <c r="X600" s="4">
        <f t="shared" si="465"/>
      </c>
      <c r="Y600" s="4" cm="1">
        <f t="array" ref="Y600">_xlfn.IFS(H600=1,2,H600=3,1)</f>
      </c>
      <c r="Z600" s="4">
        <f t="shared" si="466"/>
      </c>
      <c r="AA600" s="4">
        <f t="shared" si="467"/>
      </c>
      <c r="AB600" s="4">
        <f t="shared" si="468"/>
      </c>
      <c r="AC600" s="4">
        <f t="shared" si="469"/>
      </c>
      <c r="AD600" s="4">
        <f t="shared" si="470"/>
      </c>
      <c r="AE600" s="4">
        <f t="shared" si="471"/>
      </c>
      <c r="AF600" s="4">
        <f t="shared" si="472"/>
      </c>
      <c r="AG600" s="4">
        <f t="shared" si="473"/>
        <v/>
      </c>
      <c r="AH600" s="4">
        <f t="shared" si="474"/>
      </c>
      <c r="AI600" s="4">
        <f t="shared" si="475"/>
      </c>
      <c r="AJ600" s="4">
        <f t="shared" si="476"/>
      </c>
      <c r="AK600" s="4">
        <f t="shared" si="477"/>
      </c>
      <c r="AL600" s="4">
        <f t="shared" si="478"/>
      </c>
      <c r="AM600" s="4">
        <f t="shared" si="479"/>
      </c>
      <c r="AN600" s="4"/>
      <c r="AO600" s="4">
        <f t="shared" si="480"/>
      </c>
      <c r="AP600" s="4">
        <f t="shared" si="481"/>
      </c>
      <c r="AQ600" s="4">
        <f t="shared" si="482"/>
        <v/>
      </c>
      <c r="AR600" s="4">
        <f t="shared" si="483"/>
      </c>
      <c r="AS600" s="4">
        <f t="shared" si="484"/>
      </c>
      <c r="AT600" s="4">
        <f t="shared" si="485"/>
      </c>
    </row>
    <row r="601" spans="1:46" x14ac:dyDescent="0.3">
      <c r="A601" s="5">
        <f t="shared" si="457"/>
      </c>
      <c r="B601" s="4">
        <f t="shared" si="458"/>
      </c>
      <c r="C601" s="119"/>
      <c r="D601" s="119"/>
      <c r="E601" s="105"/>
      <c r="F601" s="173"/>
      <c r="G601" s="173"/>
      <c r="H601" s="173"/>
      <c r="I601" s="105"/>
      <c r="J601" s="105"/>
      <c r="K601" s="105"/>
      <c r="L601" s="105"/>
      <c r="M601" s="4">
        <f t="shared" si="459"/>
      </c>
      <c r="N601" s="59"/>
      <c r="O601" s="164"/>
      <c r="P601" s="59">
        <f t="shared" si="460"/>
      </c>
      <c r="Q601" s="165"/>
      <c r="R601" s="59"/>
      <c r="S601" s="164"/>
      <c r="T601" s="5">
        <f t="shared" si="461"/>
      </c>
      <c r="U601" s="4">
        <f t="shared" si="462"/>
      </c>
      <c r="V601" s="4">
        <f t="shared" si="463"/>
      </c>
      <c r="W601" s="4">
        <f t="shared" si="464"/>
      </c>
      <c r="X601" s="4">
        <f t="shared" si="465"/>
      </c>
      <c r="Y601" s="4" cm="1">
        <f t="array" ref="Y601">_xlfn.IFS(H601=1,2,H601=3,1)</f>
      </c>
      <c r="Z601" s="4">
        <f t="shared" si="466"/>
      </c>
      <c r="AA601" s="4">
        <f t="shared" si="467"/>
      </c>
      <c r="AB601" s="4">
        <f t="shared" si="468"/>
      </c>
      <c r="AC601" s="4">
        <f t="shared" si="469"/>
      </c>
      <c r="AD601" s="4">
        <f t="shared" si="470"/>
      </c>
      <c r="AE601" s="4">
        <f t="shared" si="471"/>
      </c>
      <c r="AF601" s="4">
        <f t="shared" si="472"/>
      </c>
      <c r="AG601" s="4">
        <f t="shared" si="473"/>
        <v/>
      </c>
      <c r="AH601" s="4">
        <f t="shared" si="474"/>
      </c>
      <c r="AI601" s="4">
        <f t="shared" si="475"/>
      </c>
      <c r="AJ601" s="4">
        <f t="shared" si="476"/>
      </c>
      <c r="AK601" s="4">
        <f t="shared" si="477"/>
      </c>
      <c r="AL601" s="4">
        <f t="shared" si="478"/>
      </c>
      <c r="AM601" s="4">
        <f t="shared" si="479"/>
      </c>
      <c r="AN601" s="4"/>
      <c r="AO601" s="4">
        <f t="shared" si="480"/>
      </c>
      <c r="AP601" s="4">
        <f t="shared" si="481"/>
      </c>
      <c r="AQ601" s="4">
        <f t="shared" si="482"/>
        <v/>
      </c>
      <c r="AR601" s="4">
        <f t="shared" si="483"/>
      </c>
      <c r="AS601" s="4">
        <f t="shared" si="484"/>
      </c>
      <c r="AT601" s="4">
        <f t="shared" si="485"/>
      </c>
    </row>
    <row r="602" spans="1:46" x14ac:dyDescent="0.3">
      <c r="A602" s="5">
        <f t="shared" si="457"/>
      </c>
      <c r="B602" s="4">
        <f t="shared" si="458"/>
      </c>
      <c r="C602" s="59"/>
      <c r="D602" s="59"/>
      <c r="E602" s="70"/>
      <c r="F602" s="164"/>
      <c r="G602" s="164"/>
      <c r="H602" s="164"/>
      <c r="I602" s="70"/>
      <c r="J602" s="70"/>
      <c r="K602" s="70"/>
      <c r="L602" s="70"/>
      <c r="M602" s="4">
        <f t="shared" si="459"/>
      </c>
      <c r="N602" s="59"/>
      <c r="O602" s="164"/>
      <c r="P602" s="59">
        <f t="shared" si="460"/>
      </c>
      <c r="Q602" s="165"/>
      <c r="R602" s="59"/>
      <c r="S602" s="164"/>
      <c r="T602" s="5">
        <f t="shared" si="461"/>
      </c>
      <c r="U602" s="4">
        <f t="shared" si="462"/>
      </c>
      <c r="V602" s="4">
        <f t="shared" si="463"/>
      </c>
      <c r="W602" s="4">
        <f t="shared" si="464"/>
      </c>
      <c r="X602" s="4">
        <f t="shared" si="465"/>
      </c>
      <c r="Y602" s="4" cm="1">
        <f t="array" ref="Y602">_xlfn.IFS(H602=1,2,H602=3,1)</f>
      </c>
      <c r="Z602" s="4">
        <f t="shared" si="466"/>
      </c>
      <c r="AA602" s="4">
        <f t="shared" si="467"/>
      </c>
      <c r="AB602" s="4">
        <f t="shared" si="468"/>
      </c>
      <c r="AC602" s="4">
        <f t="shared" si="469"/>
      </c>
      <c r="AD602" s="4">
        <f t="shared" si="470"/>
      </c>
      <c r="AE602" s="4">
        <f t="shared" si="471"/>
      </c>
      <c r="AF602" s="4">
        <f t="shared" si="472"/>
      </c>
      <c r="AG602" s="4">
        <f t="shared" si="473"/>
        <v/>
      </c>
      <c r="AH602" s="4">
        <f t="shared" si="474"/>
      </c>
      <c r="AI602" s="4">
        <f t="shared" si="475"/>
      </c>
      <c r="AJ602" s="4">
        <f t="shared" si="476"/>
      </c>
      <c r="AK602" s="4">
        <f t="shared" si="477"/>
      </c>
      <c r="AL602" s="4">
        <f t="shared" si="478"/>
      </c>
      <c r="AM602" s="4">
        <f t="shared" si="479"/>
      </c>
      <c r="AN602" s="4"/>
      <c r="AO602" s="4">
        <f t="shared" si="480"/>
      </c>
      <c r="AP602" s="4">
        <f t="shared" si="481"/>
      </c>
      <c r="AQ602" s="4">
        <f t="shared" si="482"/>
        <v/>
      </c>
      <c r="AR602" s="4">
        <f t="shared" si="483"/>
      </c>
      <c r="AS602" s="4">
        <f t="shared" si="484"/>
      </c>
      <c r="AT602" s="4">
        <f t="shared" si="485"/>
      </c>
    </row>
    <row r="603" spans="1:46" x14ac:dyDescent="0.3">
      <c r="A603" s="5">
        <f t="shared" si="457"/>
      </c>
      <c r="B603" s="4">
        <f t="shared" si="458"/>
      </c>
      <c r="C603" s="59"/>
      <c r="D603" s="59"/>
      <c r="E603" s="70"/>
      <c r="F603" s="164"/>
      <c r="G603" s="164"/>
      <c r="H603" s="164"/>
      <c r="I603" s="70"/>
      <c r="J603" s="70"/>
      <c r="K603" s="70"/>
      <c r="L603" s="70"/>
      <c r="M603" s="4">
        <f t="shared" si="459"/>
      </c>
      <c r="N603" s="59"/>
      <c r="O603" s="164"/>
      <c r="P603" s="59">
        <f t="shared" si="460"/>
      </c>
      <c r="Q603" s="165"/>
      <c r="R603" s="59"/>
      <c r="S603" s="164"/>
      <c r="T603" s="5">
        <f t="shared" si="461"/>
      </c>
      <c r="U603" s="4">
        <f t="shared" si="462"/>
      </c>
      <c r="V603" s="4">
        <f t="shared" si="463"/>
      </c>
      <c r="W603" s="4">
        <f t="shared" si="464"/>
      </c>
      <c r="X603" s="4">
        <f t="shared" si="465"/>
      </c>
      <c r="Y603" s="4" cm="1">
        <f t="array" ref="Y603">_xlfn.IFS(H603=1,2,H603=3,1)</f>
      </c>
      <c r="Z603" s="4">
        <f t="shared" si="466"/>
      </c>
      <c r="AA603" s="4">
        <f t="shared" si="467"/>
      </c>
      <c r="AB603" s="4">
        <f t="shared" si="468"/>
      </c>
      <c r="AC603" s="4">
        <f t="shared" si="469"/>
      </c>
      <c r="AD603" s="4">
        <f t="shared" si="470"/>
      </c>
      <c r="AE603" s="4">
        <f t="shared" si="471"/>
      </c>
      <c r="AF603" s="4">
        <f t="shared" si="472"/>
      </c>
      <c r="AG603" s="4">
        <f t="shared" si="473"/>
        <v/>
      </c>
      <c r="AH603" s="4">
        <f t="shared" si="474"/>
      </c>
      <c r="AI603" s="4">
        <f t="shared" si="475"/>
      </c>
      <c r="AJ603" s="4">
        <f t="shared" si="476"/>
      </c>
      <c r="AK603" s="4">
        <f t="shared" si="477"/>
      </c>
      <c r="AL603" s="4">
        <f t="shared" si="478"/>
      </c>
      <c r="AM603" s="4">
        <f t="shared" si="479"/>
      </c>
      <c r="AN603" s="4"/>
      <c r="AO603" s="4">
        <f t="shared" si="480"/>
      </c>
      <c r="AP603" s="4">
        <f t="shared" si="481"/>
      </c>
      <c r="AQ603" s="4">
        <f t="shared" si="482"/>
        <v/>
      </c>
      <c r="AR603" s="4">
        <f t="shared" si="483"/>
      </c>
      <c r="AS603" s="4">
        <f t="shared" si="484"/>
      </c>
      <c r="AT603" s="4">
        <f t="shared" si="485"/>
      </c>
    </row>
    <row r="604" spans="1:46" x14ac:dyDescent="0.3">
      <c r="A604" s="5">
        <f t="shared" si="457"/>
      </c>
      <c r="B604" s="4">
        <f t="shared" si="458"/>
      </c>
      <c r="C604" s="59"/>
      <c r="D604" s="59"/>
      <c r="E604" s="70"/>
      <c r="F604" s="164"/>
      <c r="G604" s="164"/>
      <c r="H604" s="164"/>
      <c r="I604" s="70"/>
      <c r="J604" s="70"/>
      <c r="K604" s="70"/>
      <c r="L604" s="70"/>
      <c r="M604" s="4">
        <f t="shared" si="459"/>
      </c>
      <c r="N604" s="59"/>
      <c r="O604" s="164"/>
      <c r="P604" s="59">
        <f t="shared" si="460"/>
      </c>
      <c r="Q604" s="165"/>
      <c r="R604" s="59"/>
      <c r="S604" s="164"/>
      <c r="T604" s="5">
        <f t="shared" si="461"/>
      </c>
      <c r="U604" s="4">
        <f t="shared" si="462"/>
      </c>
      <c r="V604" s="4">
        <f t="shared" si="463"/>
      </c>
      <c r="W604" s="4">
        <f t="shared" si="464"/>
      </c>
      <c r="X604" s="4">
        <f t="shared" si="465"/>
      </c>
      <c r="Y604" s="4" cm="1">
        <f t="array" ref="Y604">_xlfn.IFS(H604=1,2,H604=3,1)</f>
      </c>
      <c r="Z604" s="4">
        <f t="shared" si="466"/>
      </c>
      <c r="AA604" s="4">
        <f t="shared" si="467"/>
      </c>
      <c r="AB604" s="4">
        <f t="shared" si="468"/>
      </c>
      <c r="AC604" s="4">
        <f t="shared" si="469"/>
      </c>
      <c r="AD604" s="4">
        <f t="shared" si="470"/>
      </c>
      <c r="AE604" s="4">
        <f t="shared" si="471"/>
      </c>
      <c r="AF604" s="4">
        <f t="shared" si="472"/>
      </c>
      <c r="AG604" s="4">
        <f t="shared" si="473"/>
        <v/>
      </c>
      <c r="AH604" s="4">
        <f t="shared" si="474"/>
      </c>
      <c r="AI604" s="4">
        <f t="shared" si="475"/>
      </c>
      <c r="AJ604" s="4">
        <f t="shared" si="476"/>
      </c>
      <c r="AK604" s="4">
        <f t="shared" si="477"/>
      </c>
      <c r="AL604" s="4">
        <f t="shared" si="478"/>
      </c>
      <c r="AM604" s="4">
        <f t="shared" si="479"/>
      </c>
      <c r="AN604" s="4"/>
      <c r="AO604" s="4">
        <f t="shared" si="480"/>
      </c>
      <c r="AP604" s="4">
        <f t="shared" si="481"/>
      </c>
      <c r="AQ604" s="4">
        <f t="shared" si="482"/>
        <v/>
      </c>
      <c r="AR604" s="4">
        <f t="shared" si="483"/>
      </c>
      <c r="AS604" s="4">
        <f t="shared" si="484"/>
      </c>
      <c r="AT604" s="4">
        <f t="shared" si="485"/>
      </c>
    </row>
    <row r="605" spans="1:46" x14ac:dyDescent="0.3">
      <c r="A605" s="5">
        <f t="shared" si="457"/>
      </c>
      <c r="B605" s="4">
        <f t="shared" si="458"/>
      </c>
      <c r="C605" s="59"/>
      <c r="D605" s="59"/>
      <c r="E605" s="70"/>
      <c r="F605" s="164"/>
      <c r="G605" s="164"/>
      <c r="H605" s="164"/>
      <c r="I605" s="70"/>
      <c r="J605" s="70"/>
      <c r="K605" s="70"/>
      <c r="L605" s="70"/>
      <c r="M605" s="4">
        <f t="shared" si="459"/>
      </c>
      <c r="N605" s="59"/>
      <c r="O605" s="164"/>
      <c r="P605" s="59">
        <f t="shared" si="460"/>
      </c>
      <c r="Q605" s="165"/>
      <c r="R605" s="59"/>
      <c r="S605" s="164"/>
      <c r="T605" s="5">
        <f t="shared" si="461"/>
      </c>
      <c r="U605" s="4">
        <f t="shared" si="462"/>
      </c>
      <c r="V605" s="4">
        <f t="shared" si="463"/>
      </c>
      <c r="W605" s="4">
        <f t="shared" si="464"/>
      </c>
      <c r="X605" s="4">
        <f t="shared" si="465"/>
      </c>
      <c r="Y605" s="4" cm="1">
        <f t="array" ref="Y605">_xlfn.IFS(H605=1,2,H605=3,1)</f>
      </c>
      <c r="Z605" s="4">
        <f t="shared" si="466"/>
      </c>
      <c r="AA605" s="4">
        <f t="shared" si="467"/>
      </c>
      <c r="AB605" s="4">
        <f t="shared" si="468"/>
      </c>
      <c r="AC605" s="4">
        <f t="shared" si="469"/>
      </c>
      <c r="AD605" s="4">
        <f t="shared" si="470"/>
      </c>
      <c r="AE605" s="4">
        <f t="shared" si="471"/>
      </c>
      <c r="AF605" s="4">
        <f t="shared" si="472"/>
      </c>
      <c r="AG605" s="4">
        <f t="shared" si="473"/>
        <v/>
      </c>
      <c r="AH605" s="4">
        <f t="shared" si="474"/>
      </c>
      <c r="AI605" s="4">
        <f t="shared" si="475"/>
      </c>
      <c r="AJ605" s="4">
        <f t="shared" si="476"/>
      </c>
      <c r="AK605" s="4">
        <f t="shared" si="477"/>
      </c>
      <c r="AL605" s="4">
        <f t="shared" si="478"/>
      </c>
      <c r="AM605" s="4">
        <f t="shared" si="479"/>
      </c>
      <c r="AN605" s="4"/>
      <c r="AO605" s="4">
        <f t="shared" si="480"/>
      </c>
      <c r="AP605" s="4">
        <f t="shared" si="481"/>
      </c>
      <c r="AQ605" s="4">
        <f t="shared" si="482"/>
        <v/>
      </c>
      <c r="AR605" s="4">
        <f t="shared" si="483"/>
      </c>
      <c r="AS605" s="4">
        <f t="shared" si="484"/>
      </c>
      <c r="AT605" s="4">
        <f t="shared" si="485"/>
      </c>
    </row>
    <row r="606" spans="1:46" x14ac:dyDescent="0.3">
      <c r="A606" s="5">
        <f t="shared" si="457"/>
      </c>
      <c r="B606" s="4">
        <f t="shared" si="458"/>
      </c>
      <c r="C606" s="59"/>
      <c r="D606" s="59"/>
      <c r="E606" s="70"/>
      <c r="F606" s="164"/>
      <c r="G606" s="164"/>
      <c r="H606" s="164"/>
      <c r="I606" s="70"/>
      <c r="J606" s="70"/>
      <c r="K606" s="70"/>
      <c r="L606" s="70"/>
      <c r="M606" s="4">
        <f t="shared" si="459"/>
      </c>
      <c r="N606" s="59"/>
      <c r="O606" s="164"/>
      <c r="P606" s="59">
        <f t="shared" si="460"/>
      </c>
      <c r="Q606" s="165"/>
      <c r="R606" s="59"/>
      <c r="S606" s="164"/>
      <c r="T606" s="5">
        <f t="shared" si="461"/>
      </c>
      <c r="U606" s="4">
        <f t="shared" si="462"/>
      </c>
      <c r="V606" s="4">
        <f t="shared" si="463"/>
      </c>
      <c r="W606" s="4">
        <f t="shared" si="464"/>
      </c>
      <c r="X606" s="4">
        <f t="shared" si="465"/>
      </c>
      <c r="Y606" s="4" cm="1">
        <f t="array" ref="Y606">_xlfn.IFS(H606=1,2,H606=3,1)</f>
      </c>
      <c r="Z606" s="4">
        <f t="shared" si="466"/>
      </c>
      <c r="AA606" s="4">
        <f t="shared" si="467"/>
      </c>
      <c r="AB606" s="4">
        <f t="shared" si="468"/>
      </c>
      <c r="AC606" s="4">
        <f t="shared" si="469"/>
      </c>
      <c r="AD606" s="4">
        <f t="shared" si="470"/>
      </c>
      <c r="AE606" s="4">
        <f t="shared" si="471"/>
      </c>
      <c r="AF606" s="4">
        <f t="shared" si="472"/>
      </c>
      <c r="AG606" s="4">
        <f t="shared" si="473"/>
        <v/>
      </c>
      <c r="AH606" s="4">
        <f t="shared" si="474"/>
      </c>
      <c r="AI606" s="4">
        <f t="shared" si="475"/>
      </c>
      <c r="AJ606" s="4">
        <f t="shared" si="476"/>
      </c>
      <c r="AK606" s="4">
        <f t="shared" si="477"/>
      </c>
      <c r="AL606" s="4">
        <f t="shared" si="478"/>
      </c>
      <c r="AM606" s="4">
        <f t="shared" si="479"/>
      </c>
      <c r="AN606" s="4"/>
      <c r="AO606" s="4">
        <f t="shared" si="480"/>
      </c>
      <c r="AP606" s="4">
        <f t="shared" si="481"/>
      </c>
      <c r="AQ606" s="4">
        <f t="shared" si="482"/>
        <v/>
      </c>
      <c r="AR606" s="4">
        <f t="shared" si="483"/>
      </c>
      <c r="AS606" s="4">
        <f t="shared" si="484"/>
      </c>
      <c r="AT606" s="4">
        <f t="shared" si="485"/>
      </c>
    </row>
    <row r="607" spans="1:46" x14ac:dyDescent="0.3">
      <c r="A607" s="5">
        <f t="shared" si="457"/>
      </c>
      <c r="B607" s="4">
        <f t="shared" si="458"/>
      </c>
      <c r="C607" s="59"/>
      <c r="D607" s="59"/>
      <c r="E607" s="70"/>
      <c r="F607" s="164"/>
      <c r="G607" s="164"/>
      <c r="H607" s="164"/>
      <c r="I607" s="70"/>
      <c r="J607" s="70"/>
      <c r="K607" s="70"/>
      <c r="L607" s="70"/>
      <c r="M607" s="4">
        <f t="shared" si="459"/>
      </c>
      <c r="N607" s="59"/>
      <c r="O607" s="164"/>
      <c r="P607" s="59">
        <f t="shared" si="460"/>
      </c>
      <c r="Q607" s="165"/>
      <c r="R607" s="59"/>
      <c r="S607" s="164"/>
      <c r="T607" s="5">
        <f t="shared" si="461"/>
      </c>
      <c r="U607" s="4">
        <f t="shared" si="462"/>
      </c>
      <c r="V607" s="4">
        <f t="shared" si="463"/>
      </c>
      <c r="W607" s="4">
        <f t="shared" si="464"/>
      </c>
      <c r="X607" s="4">
        <f t="shared" si="465"/>
      </c>
      <c r="Y607" s="4" cm="1">
        <f t="array" ref="Y607">_xlfn.IFS(H607=1,2,H607=3,1)</f>
      </c>
      <c r="Z607" s="4">
        <f t="shared" si="466"/>
      </c>
      <c r="AA607" s="4">
        <f t="shared" si="467"/>
      </c>
      <c r="AB607" s="4">
        <f t="shared" si="468"/>
      </c>
      <c r="AC607" s="4">
        <f t="shared" si="469"/>
      </c>
      <c r="AD607" s="4">
        <f t="shared" si="470"/>
      </c>
      <c r="AE607" s="4">
        <f t="shared" si="471"/>
      </c>
      <c r="AF607" s="4">
        <f t="shared" si="472"/>
      </c>
      <c r="AG607" s="4">
        <f t="shared" si="473"/>
        <v/>
      </c>
      <c r="AH607" s="4">
        <f t="shared" si="474"/>
      </c>
      <c r="AI607" s="4">
        <f t="shared" si="475"/>
      </c>
      <c r="AJ607" s="4">
        <f t="shared" si="476"/>
      </c>
      <c r="AK607" s="4">
        <f t="shared" si="477"/>
      </c>
      <c r="AL607" s="4">
        <f t="shared" si="478"/>
      </c>
      <c r="AM607" s="4">
        <f t="shared" si="479"/>
      </c>
      <c r="AN607" s="4"/>
      <c r="AO607" s="4">
        <f t="shared" si="480"/>
      </c>
      <c r="AP607" s="4">
        <f t="shared" si="481"/>
      </c>
      <c r="AQ607" s="4">
        <f t="shared" si="482"/>
        <v/>
      </c>
      <c r="AR607" s="4">
        <f t="shared" si="483"/>
      </c>
      <c r="AS607" s="4">
        <f t="shared" si="484"/>
      </c>
      <c r="AT607" s="4">
        <f t="shared" si="485"/>
      </c>
    </row>
    <row r="608" spans="1:46" x14ac:dyDescent="0.3">
      <c r="A608" s="5">
        <f t="shared" si="457"/>
      </c>
      <c r="B608" s="4">
        <f t="shared" si="458"/>
      </c>
      <c r="C608" s="59"/>
      <c r="D608" s="59"/>
      <c r="E608" s="70"/>
      <c r="F608" s="164"/>
      <c r="G608" s="164"/>
      <c r="H608" s="164"/>
      <c r="I608" s="70"/>
      <c r="J608" s="70"/>
      <c r="K608" s="70"/>
      <c r="L608" s="70"/>
      <c r="M608" s="4">
        <f t="shared" si="459"/>
      </c>
      <c r="N608" s="59"/>
      <c r="O608" s="164"/>
      <c r="P608" s="59">
        <f t="shared" si="460"/>
      </c>
      <c r="Q608" s="165"/>
      <c r="R608" s="59"/>
      <c r="S608" s="164"/>
      <c r="T608" s="5">
        <f t="shared" si="461"/>
      </c>
      <c r="U608" s="4">
        <f t="shared" si="462"/>
      </c>
      <c r="V608" s="4">
        <f t="shared" si="463"/>
      </c>
      <c r="W608" s="4">
        <f t="shared" si="464"/>
      </c>
      <c r="X608" s="4">
        <f t="shared" si="465"/>
      </c>
      <c r="Y608" s="4" cm="1">
        <f t="array" ref="Y608">_xlfn.IFS(H608=1,2,H608=3,1)</f>
      </c>
      <c r="Z608" s="4">
        <f t="shared" si="466"/>
      </c>
      <c r="AA608" s="4">
        <f t="shared" si="467"/>
      </c>
      <c r="AB608" s="4">
        <f t="shared" si="468"/>
      </c>
      <c r="AC608" s="4">
        <f t="shared" si="469"/>
      </c>
      <c r="AD608" s="4">
        <f t="shared" si="470"/>
      </c>
      <c r="AE608" s="4">
        <f t="shared" si="471"/>
      </c>
      <c r="AF608" s="4">
        <f t="shared" si="472"/>
      </c>
      <c r="AG608" s="4">
        <f t="shared" si="473"/>
        <v/>
      </c>
      <c r="AH608" s="4">
        <f t="shared" si="474"/>
      </c>
      <c r="AI608" s="4">
        <f t="shared" si="475"/>
      </c>
      <c r="AJ608" s="4">
        <f t="shared" si="476"/>
      </c>
      <c r="AK608" s="4">
        <f t="shared" si="477"/>
      </c>
      <c r="AL608" s="4">
        <f t="shared" si="478"/>
      </c>
      <c r="AM608" s="4">
        <f t="shared" si="479"/>
      </c>
      <c r="AN608" s="4"/>
      <c r="AO608" s="4">
        <f t="shared" si="480"/>
      </c>
      <c r="AP608" s="4">
        <f t="shared" si="481"/>
      </c>
      <c r="AQ608" s="4">
        <f t="shared" si="482"/>
        <v/>
      </c>
      <c r="AR608" s="4">
        <f t="shared" si="483"/>
      </c>
      <c r="AS608" s="4">
        <f t="shared" si="484"/>
      </c>
      <c r="AT608" s="4">
        <f t="shared" si="485"/>
      </c>
    </row>
    <row r="609" spans="1:46" x14ac:dyDescent="0.3">
      <c r="A609" s="5">
        <f t="shared" si="457"/>
      </c>
      <c r="B609" s="4">
        <f t="shared" si="458"/>
      </c>
      <c r="C609" s="59"/>
      <c r="D609" s="59"/>
      <c r="E609" s="70"/>
      <c r="F609" s="164"/>
      <c r="G609" s="164"/>
      <c r="H609" s="164"/>
      <c r="I609" s="70"/>
      <c r="J609" s="70"/>
      <c r="K609" s="70"/>
      <c r="L609" s="70"/>
      <c r="M609" s="4">
        <f t="shared" si="459"/>
      </c>
      <c r="N609" s="59"/>
      <c r="O609" s="164"/>
      <c r="P609" s="59">
        <f t="shared" si="460"/>
      </c>
      <c r="Q609" s="165"/>
      <c r="R609" s="59"/>
      <c r="S609" s="164"/>
      <c r="T609" s="5">
        <f t="shared" si="461"/>
      </c>
      <c r="U609" s="4">
        <f t="shared" si="462"/>
      </c>
      <c r="V609" s="4">
        <f t="shared" si="463"/>
      </c>
      <c r="W609" s="4">
        <f t="shared" si="464"/>
      </c>
      <c r="X609" s="4">
        <f t="shared" si="465"/>
      </c>
      <c r="Y609" s="4" cm="1">
        <f t="array" ref="Y609">_xlfn.IFS(H609=1,2,H609=3,1)</f>
      </c>
      <c r="Z609" s="4">
        <f t="shared" si="466"/>
      </c>
      <c r="AA609" s="4">
        <f t="shared" si="467"/>
      </c>
      <c r="AB609" s="4">
        <f t="shared" si="468"/>
      </c>
      <c r="AC609" s="4">
        <f t="shared" si="469"/>
      </c>
      <c r="AD609" s="4">
        <f t="shared" si="470"/>
      </c>
      <c r="AE609" s="4">
        <f t="shared" si="471"/>
      </c>
      <c r="AF609" s="4">
        <f t="shared" si="472"/>
      </c>
      <c r="AG609" s="4">
        <f t="shared" si="473"/>
        <v/>
      </c>
      <c r="AH609" s="4">
        <f t="shared" si="474"/>
      </c>
      <c r="AI609" s="4">
        <f t="shared" si="475"/>
      </c>
      <c r="AJ609" s="4">
        <f t="shared" si="476"/>
      </c>
      <c r="AK609" s="4">
        <f t="shared" si="477"/>
      </c>
      <c r="AL609" s="4">
        <f t="shared" si="478"/>
      </c>
      <c r="AM609" s="4">
        <f t="shared" si="479"/>
      </c>
      <c r="AN609" s="4"/>
      <c r="AO609" s="4">
        <f t="shared" si="480"/>
      </c>
      <c r="AP609" s="4">
        <f t="shared" si="481"/>
      </c>
      <c r="AQ609" s="4">
        <f t="shared" si="482"/>
        <v/>
      </c>
      <c r="AR609" s="4">
        <f t="shared" si="483"/>
      </c>
      <c r="AS609" s="4">
        <f t="shared" si="484"/>
      </c>
      <c r="AT609" s="4">
        <f t="shared" si="485"/>
      </c>
    </row>
    <row r="610" spans="1:46" x14ac:dyDescent="0.3">
      <c r="A610" s="5">
        <f t="shared" si="457"/>
      </c>
      <c r="B610" s="4">
        <f t="shared" si="458"/>
      </c>
      <c r="C610" s="59"/>
      <c r="D610" s="59"/>
      <c r="E610" s="70"/>
      <c r="F610" s="164"/>
      <c r="G610" s="164"/>
      <c r="H610" s="164"/>
      <c r="I610" s="70"/>
      <c r="J610" s="70"/>
      <c r="K610" s="70"/>
      <c r="L610" s="70"/>
      <c r="M610" s="4">
        <f t="shared" si="459"/>
      </c>
      <c r="N610" s="59"/>
      <c r="O610" s="164"/>
      <c r="P610" s="59">
        <f t="shared" si="460"/>
      </c>
      <c r="Q610" s="165"/>
      <c r="R610" s="59"/>
      <c r="S610" s="164"/>
      <c r="T610" s="5">
        <f t="shared" si="461"/>
      </c>
      <c r="U610" s="4">
        <f t="shared" si="462"/>
      </c>
      <c r="V610" s="4">
        <f t="shared" si="463"/>
      </c>
      <c r="W610" s="4">
        <f t="shared" si="464"/>
      </c>
      <c r="X610" s="4">
        <f t="shared" si="465"/>
      </c>
      <c r="Y610" s="4" cm="1">
        <f t="array" ref="Y610">_xlfn.IFS(H610=1,2,H610=3,1)</f>
      </c>
      <c r="Z610" s="4">
        <f t="shared" si="466"/>
      </c>
      <c r="AA610" s="4">
        <f t="shared" si="467"/>
      </c>
      <c r="AB610" s="4">
        <f t="shared" si="468"/>
      </c>
      <c r="AC610" s="4">
        <f t="shared" si="469"/>
      </c>
      <c r="AD610" s="4">
        <f t="shared" si="470"/>
      </c>
      <c r="AE610" s="4">
        <f t="shared" si="471"/>
      </c>
      <c r="AF610" s="4">
        <f t="shared" si="472"/>
      </c>
      <c r="AG610" s="4">
        <f t="shared" si="473"/>
        <v/>
      </c>
      <c r="AH610" s="4">
        <f t="shared" si="474"/>
      </c>
      <c r="AI610" s="4">
        <f t="shared" si="475"/>
      </c>
      <c r="AJ610" s="4">
        <f t="shared" si="476"/>
      </c>
      <c r="AK610" s="4">
        <f t="shared" si="477"/>
      </c>
      <c r="AL610" s="4">
        <f t="shared" si="478"/>
      </c>
      <c r="AM610" s="4">
        <f t="shared" si="479"/>
      </c>
      <c r="AN610" s="4"/>
      <c r="AO610" s="4">
        <f t="shared" si="480"/>
      </c>
      <c r="AP610" s="4">
        <f t="shared" si="481"/>
      </c>
      <c r="AQ610" s="4">
        <f t="shared" si="482"/>
        <v/>
      </c>
      <c r="AR610" s="4">
        <f t="shared" si="483"/>
      </c>
      <c r="AS610" s="4">
        <f t="shared" si="484"/>
      </c>
      <c r="AT610" s="4">
        <f t="shared" si="485"/>
      </c>
    </row>
    <row r="611" spans="1:46" x14ac:dyDescent="0.3">
      <c r="A611" s="5">
        <f t="shared" si="457"/>
      </c>
      <c r="B611" s="4">
        <f t="shared" si="458"/>
      </c>
      <c r="C611" s="59"/>
      <c r="D611" s="59"/>
      <c r="E611" s="70"/>
      <c r="F611" s="164"/>
      <c r="G611" s="164"/>
      <c r="H611" s="164"/>
      <c r="I611" s="70"/>
      <c r="J611" s="70"/>
      <c r="K611" s="70"/>
      <c r="L611" s="70"/>
      <c r="M611" s="4">
        <f t="shared" si="459"/>
      </c>
      <c r="N611" s="59"/>
      <c r="O611" s="164"/>
      <c r="P611" s="59">
        <f t="shared" si="460"/>
      </c>
      <c r="Q611" s="165"/>
      <c r="R611" s="59"/>
      <c r="S611" s="164"/>
      <c r="T611" s="5">
        <f t="shared" si="461"/>
      </c>
      <c r="U611" s="4">
        <f t="shared" si="462"/>
      </c>
      <c r="V611" s="4">
        <f t="shared" si="463"/>
      </c>
      <c r="W611" s="4">
        <f t="shared" si="464"/>
      </c>
      <c r="X611" s="4">
        <f t="shared" si="465"/>
      </c>
      <c r="Y611" s="4" cm="1">
        <f t="array" ref="Y611">_xlfn.IFS(H611=1,2,H611=3,1)</f>
      </c>
      <c r="Z611" s="4">
        <f t="shared" si="466"/>
      </c>
      <c r="AA611" s="4">
        <f t="shared" si="467"/>
      </c>
      <c r="AB611" s="4">
        <f t="shared" si="468"/>
      </c>
      <c r="AC611" s="4">
        <f t="shared" si="469"/>
      </c>
      <c r="AD611" s="4">
        <f t="shared" si="470"/>
      </c>
      <c r="AE611" s="4">
        <f t="shared" si="471"/>
      </c>
      <c r="AF611" s="4">
        <f t="shared" si="472"/>
      </c>
      <c r="AG611" s="4">
        <f t="shared" si="473"/>
        <v/>
      </c>
      <c r="AH611" s="4">
        <f t="shared" si="474"/>
      </c>
      <c r="AI611" s="4">
        <f t="shared" si="475"/>
      </c>
      <c r="AJ611" s="4">
        <f t="shared" si="476"/>
      </c>
      <c r="AK611" s="4">
        <f t="shared" si="477"/>
      </c>
      <c r="AL611" s="4">
        <f t="shared" si="478"/>
      </c>
      <c r="AM611" s="4">
        <f t="shared" si="479"/>
      </c>
      <c r="AN611" s="4"/>
      <c r="AO611" s="4">
        <f t="shared" si="480"/>
      </c>
      <c r="AP611" s="4">
        <f t="shared" si="481"/>
      </c>
      <c r="AQ611" s="4">
        <f t="shared" si="482"/>
        <v/>
      </c>
      <c r="AR611" s="4">
        <f t="shared" si="483"/>
      </c>
      <c r="AS611" s="4">
        <f t="shared" si="484"/>
      </c>
      <c r="AT611" s="4">
        <f t="shared" si="485"/>
      </c>
    </row>
    <row r="612" spans="1:46" x14ac:dyDescent="0.3">
      <c r="A612" s="5">
        <f t="shared" si="457"/>
      </c>
      <c r="B612" s="4">
        <f t="shared" si="458"/>
      </c>
      <c r="C612" s="59"/>
      <c r="D612" s="59"/>
      <c r="E612" s="70"/>
      <c r="F612" s="164"/>
      <c r="G612" s="164"/>
      <c r="H612" s="164"/>
      <c r="I612" s="70"/>
      <c r="J612" s="70"/>
      <c r="K612" s="70"/>
      <c r="L612" s="70"/>
      <c r="M612" s="4">
        <f t="shared" si="459"/>
      </c>
      <c r="N612" s="59"/>
      <c r="O612" s="164"/>
      <c r="P612" s="59">
        <f t="shared" si="460"/>
      </c>
      <c r="Q612" s="165"/>
      <c r="R612" s="59"/>
      <c r="S612" s="164"/>
      <c r="T612" s="5">
        <f t="shared" si="461"/>
      </c>
      <c r="U612" s="4">
        <f t="shared" si="462"/>
      </c>
      <c r="V612" s="4">
        <f t="shared" si="463"/>
      </c>
      <c r="W612" s="4">
        <f t="shared" si="464"/>
      </c>
      <c r="X612" s="4">
        <f t="shared" si="465"/>
      </c>
      <c r="Y612" s="4" cm="1">
        <f t="array" ref="Y612">_xlfn.IFS(H612=1,2,H612=3,1)</f>
      </c>
      <c r="Z612" s="4">
        <f t="shared" si="466"/>
      </c>
      <c r="AA612" s="4">
        <f t="shared" si="467"/>
      </c>
      <c r="AB612" s="4">
        <f t="shared" si="468"/>
      </c>
      <c r="AC612" s="4">
        <f t="shared" si="469"/>
      </c>
      <c r="AD612" s="4">
        <f t="shared" si="470"/>
      </c>
      <c r="AE612" s="4">
        <f t="shared" si="471"/>
      </c>
      <c r="AF612" s="4">
        <f t="shared" si="472"/>
      </c>
      <c r="AG612" s="4">
        <f t="shared" si="473"/>
        <v/>
      </c>
      <c r="AH612" s="4">
        <f t="shared" si="474"/>
      </c>
      <c r="AI612" s="4">
        <f t="shared" si="475"/>
      </c>
      <c r="AJ612" s="4">
        <f t="shared" si="476"/>
      </c>
      <c r="AK612" s="4">
        <f t="shared" si="477"/>
      </c>
      <c r="AL612" s="4">
        <f t="shared" si="478"/>
      </c>
      <c r="AM612" s="4">
        <f t="shared" si="479"/>
      </c>
      <c r="AN612" s="4"/>
      <c r="AO612" s="4">
        <f t="shared" si="480"/>
      </c>
      <c r="AP612" s="4">
        <f t="shared" si="481"/>
      </c>
      <c r="AQ612" s="4">
        <f t="shared" si="482"/>
        <v/>
      </c>
      <c r="AR612" s="4">
        <f t="shared" si="483"/>
      </c>
      <c r="AS612" s="4">
        <f t="shared" si="484"/>
      </c>
      <c r="AT612" s="4">
        <f t="shared" si="485"/>
      </c>
    </row>
    <row r="613" spans="1:46" x14ac:dyDescent="0.3">
      <c r="A613" s="5">
        <f t="shared" si="457"/>
      </c>
      <c r="B613" s="4">
        <f t="shared" si="458"/>
      </c>
      <c r="C613" s="59"/>
      <c r="D613" s="59"/>
      <c r="E613" s="70"/>
      <c r="F613" s="164"/>
      <c r="G613" s="164"/>
      <c r="H613" s="164"/>
      <c r="I613" s="70"/>
      <c r="J613" s="70"/>
      <c r="K613" s="70"/>
      <c r="L613" s="70"/>
      <c r="M613" s="4">
        <f t="shared" si="459"/>
      </c>
      <c r="N613" s="59"/>
      <c r="O613" s="164"/>
      <c r="P613" s="59">
        <f t="shared" si="460"/>
      </c>
      <c r="Q613" s="165"/>
      <c r="R613" s="59"/>
      <c r="S613" s="164"/>
      <c r="T613" s="5">
        <f t="shared" si="461"/>
      </c>
      <c r="U613" s="4">
        <f t="shared" si="462"/>
      </c>
      <c r="V613" s="4">
        <f t="shared" si="463"/>
      </c>
      <c r="W613" s="4">
        <f t="shared" si="464"/>
      </c>
      <c r="X613" s="4">
        <f t="shared" si="465"/>
      </c>
      <c r="Y613" s="4" cm="1">
        <f t="array" ref="Y613">_xlfn.IFS(H613=1,2,H613=3,1)</f>
      </c>
      <c r="Z613" s="4">
        <f t="shared" si="466"/>
      </c>
      <c r="AA613" s="4">
        <f t="shared" si="467"/>
      </c>
      <c r="AB613" s="4">
        <f t="shared" si="468"/>
      </c>
      <c r="AC613" s="4">
        <f t="shared" si="469"/>
      </c>
      <c r="AD613" s="4">
        <f t="shared" si="470"/>
      </c>
      <c r="AE613" s="4">
        <f t="shared" si="471"/>
      </c>
      <c r="AF613" s="4">
        <f t="shared" si="472"/>
      </c>
      <c r="AG613" s="4">
        <f t="shared" si="473"/>
        <v/>
      </c>
      <c r="AH613" s="4">
        <f t="shared" si="474"/>
      </c>
      <c r="AI613" s="4">
        <f t="shared" si="475"/>
      </c>
      <c r="AJ613" s="4">
        <f t="shared" si="476"/>
      </c>
      <c r="AK613" s="4">
        <f t="shared" si="477"/>
      </c>
      <c r="AL613" s="4">
        <f t="shared" si="478"/>
      </c>
      <c r="AM613" s="4">
        <f t="shared" si="479"/>
      </c>
      <c r="AN613" s="4"/>
      <c r="AO613" s="4">
        <f t="shared" si="480"/>
      </c>
      <c r="AP613" s="4">
        <f t="shared" si="481"/>
      </c>
      <c r="AQ613" s="4">
        <f t="shared" si="482"/>
        <v/>
      </c>
      <c r="AR613" s="4">
        <f t="shared" si="483"/>
      </c>
      <c r="AS613" s="4">
        <f t="shared" si="484"/>
      </c>
      <c r="AT613" s="4">
        <f t="shared" si="485"/>
      </c>
    </row>
    <row r="614" spans="1:46" x14ac:dyDescent="0.3">
      <c r="A614" s="5">
        <f t="shared" si="457"/>
      </c>
      <c r="B614" s="4">
        <f t="shared" si="458"/>
      </c>
      <c r="C614" s="59"/>
      <c r="D614" s="59"/>
      <c r="E614" s="70"/>
      <c r="F614" s="164"/>
      <c r="G614" s="164"/>
      <c r="H614" s="164"/>
      <c r="I614" s="70"/>
      <c r="J614" s="70"/>
      <c r="K614" s="70"/>
      <c r="L614" s="70"/>
      <c r="M614" s="4">
        <f t="shared" si="459"/>
      </c>
      <c r="N614" s="59"/>
      <c r="O614" s="164"/>
      <c r="P614" s="59">
        <f t="shared" si="460"/>
      </c>
      <c r="Q614" s="165"/>
      <c r="R614" s="59"/>
      <c r="S614" s="164"/>
      <c r="T614" s="5">
        <f t="shared" si="461"/>
      </c>
      <c r="U614" s="4">
        <f t="shared" si="462"/>
      </c>
      <c r="V614" s="4">
        <f t="shared" si="463"/>
      </c>
      <c r="W614" s="4">
        <f t="shared" si="464"/>
      </c>
      <c r="X614" s="4">
        <f t="shared" si="465"/>
      </c>
      <c r="Y614" s="4" cm="1">
        <f t="array" ref="Y614">_xlfn.IFS(H614=1,2,H614=3,1)</f>
      </c>
      <c r="Z614" s="4">
        <f t="shared" si="466"/>
      </c>
      <c r="AA614" s="4">
        <f t="shared" si="467"/>
      </c>
      <c r="AB614" s="4">
        <f t="shared" si="468"/>
      </c>
      <c r="AC614" s="4">
        <f t="shared" si="469"/>
      </c>
      <c r="AD614" s="4">
        <f t="shared" si="470"/>
      </c>
      <c r="AE614" s="4">
        <f t="shared" si="471"/>
      </c>
      <c r="AF614" s="4">
        <f t="shared" si="472"/>
      </c>
      <c r="AG614" s="4">
        <f t="shared" si="473"/>
        <v/>
      </c>
      <c r="AH614" s="4">
        <f t="shared" si="474"/>
      </c>
      <c r="AI614" s="4">
        <f t="shared" si="475"/>
      </c>
      <c r="AJ614" s="4">
        <f t="shared" si="476"/>
      </c>
      <c r="AK614" s="4">
        <f t="shared" si="477"/>
      </c>
      <c r="AL614" s="4">
        <f t="shared" si="478"/>
      </c>
      <c r="AM614" s="4">
        <f t="shared" si="479"/>
      </c>
      <c r="AN614" s="4"/>
      <c r="AO614" s="4">
        <f t="shared" si="480"/>
      </c>
      <c r="AP614" s="4">
        <f t="shared" si="481"/>
      </c>
      <c r="AQ614" s="4">
        <f t="shared" si="482"/>
        <v/>
      </c>
      <c r="AR614" s="4">
        <f t="shared" si="483"/>
      </c>
      <c r="AS614" s="4">
        <f t="shared" si="484"/>
      </c>
      <c r="AT614" s="4">
        <f t="shared" si="485"/>
      </c>
    </row>
    <row r="615" spans="1:46" x14ac:dyDescent="0.3">
      <c r="A615" s="5">
        <f t="shared" si="457"/>
      </c>
      <c r="B615" s="4">
        <f t="shared" si="458"/>
      </c>
      <c r="C615" s="59"/>
      <c r="D615" s="59"/>
      <c r="E615" s="70"/>
      <c r="F615" s="164"/>
      <c r="G615" s="164"/>
      <c r="H615" s="164"/>
      <c r="I615" s="70"/>
      <c r="J615" s="70"/>
      <c r="K615" s="70"/>
      <c r="L615" s="70"/>
      <c r="M615" s="4">
        <f t="shared" si="459"/>
      </c>
      <c r="N615" s="59"/>
      <c r="O615" s="164"/>
      <c r="P615" s="59">
        <f t="shared" si="460"/>
      </c>
      <c r="Q615" s="165"/>
      <c r="R615" s="59"/>
      <c r="S615" s="164"/>
      <c r="T615" s="5">
        <f t="shared" si="461"/>
      </c>
      <c r="U615" s="4">
        <f t="shared" si="462"/>
      </c>
      <c r="V615" s="4">
        <f t="shared" si="463"/>
      </c>
      <c r="W615" s="4">
        <f t="shared" si="464"/>
      </c>
      <c r="X615" s="4">
        <f t="shared" si="465"/>
      </c>
      <c r="Y615" s="4" cm="1">
        <f t="array" ref="Y615">_xlfn.IFS(H615=1,2,H615=3,1)</f>
      </c>
      <c r="Z615" s="4">
        <f t="shared" si="466"/>
      </c>
      <c r="AA615" s="4">
        <f t="shared" si="467"/>
      </c>
      <c r="AB615" s="4">
        <f t="shared" si="468"/>
      </c>
      <c r="AC615" s="4">
        <f t="shared" si="469"/>
      </c>
      <c r="AD615" s="4">
        <f t="shared" si="470"/>
      </c>
      <c r="AE615" s="4">
        <f t="shared" si="471"/>
      </c>
      <c r="AF615" s="4">
        <f t="shared" si="472"/>
      </c>
      <c r="AG615" s="4">
        <f t="shared" si="473"/>
        <v/>
      </c>
      <c r="AH615" s="4">
        <f t="shared" si="474"/>
      </c>
      <c r="AI615" s="4">
        <f t="shared" si="475"/>
      </c>
      <c r="AJ615" s="4">
        <f t="shared" si="476"/>
      </c>
      <c r="AK615" s="4">
        <f t="shared" si="477"/>
      </c>
      <c r="AL615" s="4">
        <f t="shared" si="478"/>
      </c>
      <c r="AM615" s="4">
        <f t="shared" si="479"/>
      </c>
      <c r="AN615" s="4"/>
      <c r="AO615" s="4">
        <f t="shared" si="480"/>
      </c>
      <c r="AP615" s="4">
        <f t="shared" si="481"/>
      </c>
      <c r="AQ615" s="4">
        <f t="shared" si="482"/>
        <v/>
      </c>
      <c r="AR615" s="4">
        <f t="shared" si="483"/>
      </c>
      <c r="AS615" s="4">
        <f t="shared" si="484"/>
      </c>
      <c r="AT615" s="4">
        <f t="shared" si="485"/>
      </c>
    </row>
    <row r="616" spans="1:46" x14ac:dyDescent="0.3">
      <c r="A616" s="5">
        <f t="shared" si="457"/>
      </c>
      <c r="B616" s="4">
        <f t="shared" si="458"/>
      </c>
      <c r="C616" s="59"/>
      <c r="D616" s="59"/>
      <c r="E616" s="70"/>
      <c r="F616" s="164"/>
      <c r="G616" s="164"/>
      <c r="H616" s="164"/>
      <c r="I616" s="70"/>
      <c r="J616" s="70"/>
      <c r="K616" s="70"/>
      <c r="L616" s="70"/>
      <c r="M616" s="4">
        <f t="shared" si="459"/>
      </c>
      <c r="N616" s="59"/>
      <c r="O616" s="164"/>
      <c r="P616" s="59">
        <f t="shared" si="460"/>
      </c>
      <c r="Q616" s="165"/>
      <c r="R616" s="59"/>
      <c r="S616" s="164"/>
      <c r="T616" s="5">
        <f t="shared" si="461"/>
      </c>
      <c r="U616" s="4">
        <f t="shared" si="462"/>
      </c>
      <c r="V616" s="4">
        <f t="shared" si="463"/>
      </c>
      <c r="W616" s="4">
        <f t="shared" si="464"/>
      </c>
      <c r="X616" s="4">
        <f t="shared" si="465"/>
      </c>
      <c r="Y616" s="4" cm="1">
        <f t="array" ref="Y616">_xlfn.IFS(H616=1,2,H616=3,1)</f>
      </c>
      <c r="Z616" s="4">
        <f t="shared" si="466"/>
      </c>
      <c r="AA616" s="4">
        <f t="shared" si="467"/>
      </c>
      <c r="AB616" s="4">
        <f t="shared" si="468"/>
      </c>
      <c r="AC616" s="4">
        <f t="shared" si="469"/>
      </c>
      <c r="AD616" s="4">
        <f t="shared" si="470"/>
      </c>
      <c r="AE616" s="4">
        <f t="shared" si="471"/>
      </c>
      <c r="AF616" s="4">
        <f t="shared" si="472"/>
      </c>
      <c r="AG616" s="4">
        <f t="shared" si="473"/>
        <v/>
      </c>
      <c r="AH616" s="4">
        <f t="shared" si="474"/>
      </c>
      <c r="AI616" s="4">
        <f t="shared" si="475"/>
      </c>
      <c r="AJ616" s="4">
        <f t="shared" si="476"/>
      </c>
      <c r="AK616" s="4">
        <f t="shared" si="477"/>
      </c>
      <c r="AL616" s="4">
        <f t="shared" si="478"/>
      </c>
      <c r="AM616" s="4">
        <f t="shared" si="479"/>
      </c>
      <c r="AN616" s="4"/>
      <c r="AO616" s="4">
        <f t="shared" si="480"/>
      </c>
      <c r="AP616" s="4">
        <f t="shared" si="481"/>
      </c>
      <c r="AQ616" s="4">
        <f t="shared" si="482"/>
        <v/>
      </c>
      <c r="AR616" s="4">
        <f t="shared" si="483"/>
      </c>
      <c r="AS616" s="4">
        <f t="shared" si="484"/>
      </c>
      <c r="AT616" s="4">
        <f t="shared" si="485"/>
      </c>
    </row>
    <row r="617" spans="1:46" x14ac:dyDescent="0.3">
      <c r="A617" s="5">
        <f t="shared" si="457"/>
      </c>
      <c r="B617" s="4">
        <f t="shared" si="458"/>
      </c>
      <c r="C617" s="59"/>
      <c r="D617" s="59"/>
      <c r="E617" s="70"/>
      <c r="F617" s="164"/>
      <c r="G617" s="164"/>
      <c r="H617" s="164"/>
      <c r="I617" s="70"/>
      <c r="J617" s="70"/>
      <c r="K617" s="70"/>
      <c r="L617" s="70"/>
      <c r="M617" s="4">
        <f t="shared" si="459"/>
      </c>
      <c r="N617" s="59"/>
      <c r="O617" s="164"/>
      <c r="P617" s="59">
        <f t="shared" si="460"/>
      </c>
      <c r="Q617" s="165"/>
      <c r="R617" s="59"/>
      <c r="S617" s="164"/>
      <c r="T617" s="5">
        <f t="shared" si="461"/>
      </c>
      <c r="U617" s="4">
        <f t="shared" si="462"/>
      </c>
      <c r="V617" s="4">
        <f t="shared" si="463"/>
      </c>
      <c r="W617" s="4">
        <f t="shared" si="464"/>
      </c>
      <c r="X617" s="4">
        <f t="shared" si="465"/>
      </c>
      <c r="Y617" s="4" cm="1">
        <f t="array" ref="Y617">_xlfn.IFS(H617=1,2,H617=3,1)</f>
      </c>
      <c r="Z617" s="4">
        <f t="shared" si="466"/>
      </c>
      <c r="AA617" s="4">
        <f t="shared" si="467"/>
      </c>
      <c r="AB617" s="4">
        <f t="shared" si="468"/>
      </c>
      <c r="AC617" s="4">
        <f t="shared" si="469"/>
      </c>
      <c r="AD617" s="4">
        <f t="shared" si="470"/>
      </c>
      <c r="AE617" s="4">
        <f t="shared" si="471"/>
      </c>
      <c r="AF617" s="4">
        <f t="shared" si="472"/>
      </c>
      <c r="AG617" s="4">
        <f t="shared" si="473"/>
        <v/>
      </c>
      <c r="AH617" s="4">
        <f t="shared" si="474"/>
      </c>
      <c r="AI617" s="4">
        <f t="shared" si="475"/>
      </c>
      <c r="AJ617" s="4">
        <f t="shared" si="476"/>
      </c>
      <c r="AK617" s="4">
        <f t="shared" si="477"/>
      </c>
      <c r="AL617" s="4">
        <f t="shared" si="478"/>
      </c>
      <c r="AM617" s="4">
        <f t="shared" si="479"/>
      </c>
      <c r="AN617" s="4"/>
      <c r="AO617" s="4">
        <f t="shared" si="480"/>
      </c>
      <c r="AP617" s="4">
        <f t="shared" si="481"/>
      </c>
      <c r="AQ617" s="4">
        <f t="shared" si="482"/>
        <v/>
      </c>
      <c r="AR617" s="4">
        <f t="shared" si="483"/>
      </c>
      <c r="AS617" s="4">
        <f t="shared" si="484"/>
      </c>
      <c r="AT617" s="4">
        <f t="shared" si="485"/>
      </c>
    </row>
    <row r="618" spans="1:46" x14ac:dyDescent="0.3">
      <c r="A618" s="5">
        <f t="shared" si="457"/>
      </c>
      <c r="B618" s="4">
        <f t="shared" si="458"/>
      </c>
      <c r="C618" s="59"/>
      <c r="D618" s="59"/>
      <c r="E618" s="70"/>
      <c r="F618" s="164"/>
      <c r="G618" s="164"/>
      <c r="H618" s="164"/>
      <c r="I618" s="70"/>
      <c r="J618" s="70"/>
      <c r="K618" s="70"/>
      <c r="L618" s="70"/>
      <c r="M618" s="4">
        <f t="shared" si="459"/>
      </c>
      <c r="N618" s="59"/>
      <c r="O618" s="164"/>
      <c r="P618" s="59">
        <f t="shared" si="460"/>
      </c>
      <c r="Q618" s="165"/>
      <c r="R618" s="59"/>
      <c r="S618" s="164"/>
      <c r="T618" s="5">
        <f t="shared" si="461"/>
      </c>
      <c r="U618" s="4">
        <f t="shared" si="462"/>
      </c>
      <c r="V618" s="4">
        <f t="shared" si="463"/>
      </c>
      <c r="W618" s="4">
        <f t="shared" si="464"/>
      </c>
      <c r="X618" s="4">
        <f t="shared" si="465"/>
      </c>
      <c r="Y618" s="4" cm="1">
        <f t="array" ref="Y618">_xlfn.IFS(H618=1,2,H618=3,1)</f>
      </c>
      <c r="Z618" s="4">
        <f t="shared" si="466"/>
      </c>
      <c r="AA618" s="4">
        <f t="shared" si="467"/>
      </c>
      <c r="AB618" s="4">
        <f t="shared" si="468"/>
      </c>
      <c r="AC618" s="4">
        <f t="shared" si="469"/>
      </c>
      <c r="AD618" s="4">
        <f t="shared" si="470"/>
      </c>
      <c r="AE618" s="4">
        <f t="shared" si="471"/>
      </c>
      <c r="AF618" s="4">
        <f t="shared" si="472"/>
      </c>
      <c r="AG618" s="4">
        <f t="shared" si="473"/>
        <v/>
      </c>
      <c r="AH618" s="4">
        <f t="shared" si="474"/>
      </c>
      <c r="AI618" s="4">
        <f t="shared" si="475"/>
      </c>
      <c r="AJ618" s="4">
        <f t="shared" si="476"/>
      </c>
      <c r="AK618" s="4">
        <f t="shared" si="477"/>
      </c>
      <c r="AL618" s="4">
        <f t="shared" si="478"/>
      </c>
      <c r="AM618" s="4">
        <f t="shared" si="479"/>
      </c>
      <c r="AN618" s="4"/>
      <c r="AO618" s="4">
        <f t="shared" si="480"/>
      </c>
      <c r="AP618" s="4">
        <f t="shared" si="481"/>
      </c>
      <c r="AQ618" s="4">
        <f t="shared" si="482"/>
        <v/>
      </c>
      <c r="AR618" s="4">
        <f t="shared" si="483"/>
      </c>
      <c r="AS618" s="4">
        <f t="shared" si="484"/>
      </c>
      <c r="AT618" s="4">
        <f t="shared" si="485"/>
      </c>
    </row>
    <row r="619" spans="1:46" x14ac:dyDescent="0.3">
      <c r="A619" s="5">
        <f t="shared" si="457"/>
      </c>
      <c r="B619" s="4">
        <f t="shared" si="458"/>
      </c>
      <c r="C619" s="59"/>
      <c r="D619" s="59"/>
      <c r="E619" s="70"/>
      <c r="F619" s="164"/>
      <c r="G619" s="164"/>
      <c r="H619" s="164"/>
      <c r="I619" s="70"/>
      <c r="J619" s="70"/>
      <c r="K619" s="70"/>
      <c r="L619" s="70"/>
      <c r="M619" s="4">
        <f t="shared" si="459"/>
      </c>
      <c r="N619" s="59"/>
      <c r="O619" s="164"/>
      <c r="P619" s="59">
        <f t="shared" si="460"/>
      </c>
      <c r="Q619" s="165"/>
      <c r="R619" s="59"/>
      <c r="S619" s="164"/>
      <c r="T619" s="5">
        <f t="shared" si="461"/>
      </c>
      <c r="U619" s="4">
        <f t="shared" si="462"/>
      </c>
      <c r="V619" s="4">
        <f t="shared" si="463"/>
      </c>
      <c r="W619" s="4">
        <f t="shared" si="464"/>
      </c>
      <c r="X619" s="4">
        <f t="shared" si="465"/>
      </c>
      <c r="Y619" s="4" cm="1">
        <f t="array" ref="Y619">_xlfn.IFS(H619=1,2,H619=3,1)</f>
      </c>
      <c r="Z619" s="4">
        <f t="shared" si="466"/>
      </c>
      <c r="AA619" s="4">
        <f t="shared" si="467"/>
      </c>
      <c r="AB619" s="4">
        <f t="shared" si="468"/>
      </c>
      <c r="AC619" s="4">
        <f t="shared" si="469"/>
      </c>
      <c r="AD619" s="4">
        <f t="shared" si="470"/>
      </c>
      <c r="AE619" s="4">
        <f t="shared" si="471"/>
      </c>
      <c r="AF619" s="4">
        <f t="shared" si="472"/>
      </c>
      <c r="AG619" s="4">
        <f t="shared" si="473"/>
        <v/>
      </c>
      <c r="AH619" s="4">
        <f t="shared" si="474"/>
      </c>
      <c r="AI619" s="4">
        <f t="shared" si="475"/>
      </c>
      <c r="AJ619" s="4">
        <f t="shared" si="476"/>
      </c>
      <c r="AK619" s="4">
        <f t="shared" si="477"/>
      </c>
      <c r="AL619" s="4">
        <f t="shared" si="478"/>
      </c>
      <c r="AM619" s="4">
        <f t="shared" si="479"/>
      </c>
      <c r="AN619" s="4"/>
      <c r="AO619" s="4">
        <f t="shared" si="480"/>
      </c>
      <c r="AP619" s="4">
        <f t="shared" si="481"/>
      </c>
      <c r="AQ619" s="4">
        <f t="shared" si="482"/>
        <v/>
      </c>
      <c r="AR619" s="4">
        <f t="shared" si="483"/>
      </c>
      <c r="AS619" s="4">
        <f t="shared" si="484"/>
      </c>
      <c r="AT619" s="4">
        <f t="shared" si="485"/>
      </c>
    </row>
    <row r="620" spans="1:46" x14ac:dyDescent="0.3">
      <c r="A620" s="5">
        <f t="shared" si="457"/>
      </c>
      <c r="B620" s="4">
        <f t="shared" si="458"/>
      </c>
      <c r="C620" s="59"/>
      <c r="D620" s="59"/>
      <c r="E620" s="70"/>
      <c r="F620" s="164"/>
      <c r="G620" s="164"/>
      <c r="H620" s="164"/>
      <c r="I620" s="70"/>
      <c r="J620" s="70"/>
      <c r="K620" s="70"/>
      <c r="L620" s="70"/>
      <c r="M620" s="4">
        <f t="shared" si="459"/>
      </c>
      <c r="N620" s="59"/>
      <c r="O620" s="164"/>
      <c r="P620" s="59">
        <f t="shared" si="460"/>
      </c>
      <c r="Q620" s="165"/>
      <c r="R620" s="59"/>
      <c r="S620" s="164"/>
      <c r="T620" s="5">
        <f t="shared" si="461"/>
      </c>
      <c r="U620" s="4">
        <f t="shared" si="462"/>
      </c>
      <c r="V620" s="4">
        <f t="shared" si="463"/>
      </c>
      <c r="W620" s="4">
        <f t="shared" si="464"/>
      </c>
      <c r="X620" s="4">
        <f t="shared" si="465"/>
      </c>
      <c r="Y620" s="4" cm="1">
        <f t="array" ref="Y620">_xlfn.IFS(H620=1,2,H620=3,1)</f>
      </c>
      <c r="Z620" s="4">
        <f t="shared" si="466"/>
      </c>
      <c r="AA620" s="4">
        <f t="shared" si="467"/>
      </c>
      <c r="AB620" s="4">
        <f t="shared" si="468"/>
      </c>
      <c r="AC620" s="4">
        <f t="shared" si="469"/>
      </c>
      <c r="AD620" s="4">
        <f t="shared" si="470"/>
      </c>
      <c r="AE620" s="4">
        <f t="shared" si="471"/>
      </c>
      <c r="AF620" s="4">
        <f t="shared" si="472"/>
      </c>
      <c r="AG620" s="4">
        <f t="shared" si="473"/>
        <v/>
      </c>
      <c r="AH620" s="4">
        <f t="shared" si="474"/>
      </c>
      <c r="AI620" s="4">
        <f t="shared" si="475"/>
      </c>
      <c r="AJ620" s="4">
        <f t="shared" si="476"/>
      </c>
      <c r="AK620" s="4">
        <f t="shared" si="477"/>
      </c>
      <c r="AL620" s="4">
        <f t="shared" si="478"/>
      </c>
      <c r="AM620" s="4">
        <f t="shared" si="479"/>
      </c>
      <c r="AN620" s="4"/>
      <c r="AO620" s="4">
        <f t="shared" si="480"/>
      </c>
      <c r="AP620" s="4">
        <f t="shared" si="481"/>
      </c>
      <c r="AQ620" s="4">
        <f t="shared" si="482"/>
        <v/>
      </c>
      <c r="AR620" s="4">
        <f t="shared" si="483"/>
      </c>
      <c r="AS620" s="4">
        <f t="shared" si="484"/>
      </c>
      <c r="AT620" s="4">
        <f t="shared" si="485"/>
      </c>
    </row>
    <row r="621" spans="1:46" x14ac:dyDescent="0.3">
      <c r="A621" s="5">
        <f t="shared" si="457"/>
      </c>
      <c r="B621" s="4">
        <f t="shared" si="458"/>
      </c>
      <c r="C621" s="59"/>
      <c r="D621" s="59"/>
      <c r="E621" s="70"/>
      <c r="F621" s="164"/>
      <c r="G621" s="164"/>
      <c r="H621" s="164"/>
      <c r="I621" s="70"/>
      <c r="J621" s="70"/>
      <c r="K621" s="70"/>
      <c r="L621" s="70"/>
      <c r="M621" s="4">
        <f t="shared" si="459"/>
      </c>
      <c r="N621" s="59"/>
      <c r="O621" s="164"/>
      <c r="P621" s="59">
        <f t="shared" si="460"/>
      </c>
      <c r="Q621" s="165"/>
      <c r="R621" s="59"/>
      <c r="S621" s="164"/>
      <c r="T621" s="5">
        <f t="shared" si="461"/>
      </c>
      <c r="U621" s="4">
        <f t="shared" si="462"/>
      </c>
      <c r="V621" s="4">
        <f t="shared" si="463"/>
      </c>
      <c r="W621" s="4">
        <f t="shared" si="464"/>
      </c>
      <c r="X621" s="4">
        <f t="shared" si="465"/>
      </c>
      <c r="Y621" s="4" cm="1">
        <f t="array" ref="Y621">_xlfn.IFS(H621=1,2,H621=3,1)</f>
      </c>
      <c r="Z621" s="4">
        <f t="shared" si="466"/>
      </c>
      <c r="AA621" s="4">
        <f t="shared" si="467"/>
      </c>
      <c r="AB621" s="4">
        <f t="shared" si="468"/>
      </c>
      <c r="AC621" s="4">
        <f t="shared" si="469"/>
      </c>
      <c r="AD621" s="4">
        <f t="shared" si="470"/>
      </c>
      <c r="AE621" s="4">
        <f t="shared" si="471"/>
      </c>
      <c r="AF621" s="4">
        <f t="shared" si="472"/>
      </c>
      <c r="AG621" s="4">
        <f t="shared" si="473"/>
        <v/>
      </c>
      <c r="AH621" s="4">
        <f t="shared" si="474"/>
      </c>
      <c r="AI621" s="4">
        <f t="shared" si="475"/>
      </c>
      <c r="AJ621" s="4">
        <f t="shared" si="476"/>
      </c>
      <c r="AK621" s="4">
        <f t="shared" si="477"/>
      </c>
      <c r="AL621" s="4">
        <f t="shared" si="478"/>
      </c>
      <c r="AM621" s="4">
        <f t="shared" si="479"/>
      </c>
      <c r="AN621" s="4"/>
      <c r="AO621" s="4">
        <f t="shared" si="480"/>
      </c>
      <c r="AP621" s="4">
        <f t="shared" si="481"/>
      </c>
      <c r="AQ621" s="4">
        <f t="shared" si="482"/>
        <v/>
      </c>
      <c r="AR621" s="4">
        <f t="shared" si="483"/>
      </c>
      <c r="AS621" s="4">
        <f t="shared" si="484"/>
      </c>
      <c r="AT621" s="4">
        <f t="shared" si="485"/>
      </c>
    </row>
    <row r="622" spans="1:46" x14ac:dyDescent="0.3">
      <c r="A622" s="5">
        <f t="shared" si="457"/>
      </c>
      <c r="B622" s="4">
        <f t="shared" si="458"/>
      </c>
      <c r="C622" s="59"/>
      <c r="D622" s="59"/>
      <c r="E622" s="70"/>
      <c r="F622" s="164"/>
      <c r="G622" s="164"/>
      <c r="H622" s="164"/>
      <c r="I622" s="70"/>
      <c r="J622" s="70"/>
      <c r="K622" s="70"/>
      <c r="L622" s="70"/>
      <c r="M622" s="4">
        <f t="shared" si="459"/>
      </c>
      <c r="N622" s="59"/>
      <c r="O622" s="164"/>
      <c r="P622" s="59">
        <f t="shared" si="460"/>
      </c>
      <c r="Q622" s="165"/>
      <c r="R622" s="59"/>
      <c r="S622" s="164"/>
      <c r="T622" s="5">
        <f t="shared" si="461"/>
      </c>
      <c r="U622" s="4">
        <f t="shared" si="462"/>
      </c>
      <c r="V622" s="4">
        <f t="shared" si="463"/>
      </c>
      <c r="W622" s="4">
        <f t="shared" si="464"/>
      </c>
      <c r="X622" s="4">
        <f t="shared" si="465"/>
      </c>
      <c r="Y622" s="4" cm="1">
        <f t="array" ref="Y622">_xlfn.IFS(H622=1,2,H622=3,1)</f>
      </c>
      <c r="Z622" s="4">
        <f t="shared" si="466"/>
      </c>
      <c r="AA622" s="4">
        <f t="shared" si="467"/>
      </c>
      <c r="AB622" s="4">
        <f t="shared" si="468"/>
      </c>
      <c r="AC622" s="4">
        <f t="shared" si="469"/>
      </c>
      <c r="AD622" s="4">
        <f t="shared" si="470"/>
      </c>
      <c r="AE622" s="4">
        <f t="shared" si="471"/>
      </c>
      <c r="AF622" s="4">
        <f t="shared" si="472"/>
      </c>
      <c r="AG622" s="4">
        <f t="shared" si="473"/>
        <v/>
      </c>
      <c r="AH622" s="4">
        <f t="shared" si="474"/>
      </c>
      <c r="AI622" s="4">
        <f t="shared" si="475"/>
      </c>
      <c r="AJ622" s="4">
        <f t="shared" si="476"/>
      </c>
      <c r="AK622" s="4">
        <f t="shared" si="477"/>
      </c>
      <c r="AL622" s="4">
        <f t="shared" si="478"/>
      </c>
      <c r="AM622" s="4">
        <f t="shared" si="479"/>
      </c>
      <c r="AN622" s="4"/>
      <c r="AO622" s="4">
        <f t="shared" si="480"/>
      </c>
      <c r="AP622" s="4">
        <f t="shared" si="481"/>
      </c>
      <c r="AQ622" s="4">
        <f t="shared" si="482"/>
        <v/>
      </c>
      <c r="AR622" s="4">
        <f t="shared" si="483"/>
      </c>
      <c r="AS622" s="4">
        <f t="shared" si="484"/>
      </c>
      <c r="AT622" s="4">
        <f t="shared" si="485"/>
      </c>
    </row>
    <row r="623" spans="1:46" x14ac:dyDescent="0.3">
      <c r="A623" s="5">
        <f t="shared" si="457"/>
      </c>
      <c r="B623" s="4">
        <f t="shared" si="458"/>
      </c>
      <c r="C623" s="59"/>
      <c r="D623" s="59"/>
      <c r="E623" s="70"/>
      <c r="F623" s="164"/>
      <c r="G623" s="164"/>
      <c r="H623" s="164"/>
      <c r="I623" s="70"/>
      <c r="J623" s="70"/>
      <c r="K623" s="70"/>
      <c r="L623" s="70"/>
      <c r="M623" s="4">
        <f t="shared" si="459"/>
      </c>
      <c r="N623" s="59"/>
      <c r="O623" s="164"/>
      <c r="P623" s="59">
        <f t="shared" si="460"/>
      </c>
      <c r="Q623" s="165"/>
      <c r="R623" s="59"/>
      <c r="S623" s="164"/>
      <c r="T623" s="5">
        <f t="shared" si="461"/>
      </c>
      <c r="U623" s="4">
        <f t="shared" si="462"/>
      </c>
      <c r="V623" s="4">
        <f t="shared" si="463"/>
      </c>
      <c r="W623" s="4">
        <f t="shared" si="464"/>
      </c>
      <c r="X623" s="4">
        <f t="shared" si="465"/>
      </c>
      <c r="Y623" s="4" cm="1">
        <f t="array" ref="Y623">_xlfn.IFS(H623=1,2,H623=3,1)</f>
      </c>
      <c r="Z623" s="4">
        <f t="shared" si="466"/>
      </c>
      <c r="AA623" s="4">
        <f t="shared" si="467"/>
      </c>
      <c r="AB623" s="4">
        <f t="shared" si="468"/>
      </c>
      <c r="AC623" s="4">
        <f t="shared" si="469"/>
      </c>
      <c r="AD623" s="4">
        <f t="shared" si="470"/>
      </c>
      <c r="AE623" s="4">
        <f t="shared" si="471"/>
      </c>
      <c r="AF623" s="4">
        <f t="shared" si="472"/>
      </c>
      <c r="AG623" s="4">
        <f t="shared" si="473"/>
        <v/>
      </c>
      <c r="AH623" s="4">
        <f t="shared" si="474"/>
      </c>
      <c r="AI623" s="4">
        <f t="shared" si="475"/>
      </c>
      <c r="AJ623" s="4">
        <f t="shared" si="476"/>
      </c>
      <c r="AK623" s="4">
        <f t="shared" si="477"/>
      </c>
      <c r="AL623" s="4">
        <f t="shared" si="478"/>
      </c>
      <c r="AM623" s="4">
        <f t="shared" si="479"/>
      </c>
      <c r="AN623" s="4"/>
      <c r="AO623" s="4">
        <f t="shared" si="480"/>
      </c>
      <c r="AP623" s="4">
        <f t="shared" si="481"/>
      </c>
      <c r="AQ623" s="4">
        <f t="shared" si="482"/>
        <v/>
      </c>
      <c r="AR623" s="4">
        <f t="shared" si="483"/>
      </c>
      <c r="AS623" s="4">
        <f t="shared" si="484"/>
      </c>
      <c r="AT623" s="4">
        <f t="shared" si="485"/>
      </c>
    </row>
    <row r="624" spans="1:46" x14ac:dyDescent="0.3">
      <c r="A624" s="5">
        <f t="shared" si="457"/>
      </c>
      <c r="B624" s="4">
        <f t="shared" si="458"/>
      </c>
      <c r="C624" s="59"/>
      <c r="D624" s="59"/>
      <c r="E624" s="70"/>
      <c r="F624" s="164"/>
      <c r="G624" s="164"/>
      <c r="H624" s="164"/>
      <c r="I624" s="70"/>
      <c r="J624" s="70"/>
      <c r="K624" s="70"/>
      <c r="L624" s="70"/>
      <c r="M624" s="4">
        <f t="shared" si="459"/>
      </c>
      <c r="N624" s="59"/>
      <c r="O624" s="164"/>
      <c r="P624" s="59">
        <f t="shared" si="460"/>
      </c>
      <c r="Q624" s="165"/>
      <c r="R624" s="59"/>
      <c r="S624" s="164"/>
      <c r="T624" s="5">
        <f t="shared" si="461"/>
      </c>
      <c r="U624" s="4">
        <f t="shared" si="462"/>
      </c>
      <c r="V624" s="4">
        <f t="shared" si="463"/>
      </c>
      <c r="W624" s="4">
        <f t="shared" si="464"/>
      </c>
      <c r="X624" s="4">
        <f t="shared" si="465"/>
      </c>
      <c r="Y624" s="4" cm="1">
        <f t="array" ref="Y624">_xlfn.IFS(H624=1,2,H624=3,1)</f>
      </c>
      <c r="Z624" s="4">
        <f t="shared" si="466"/>
      </c>
      <c r="AA624" s="4">
        <f t="shared" si="467"/>
      </c>
      <c r="AB624" s="4">
        <f t="shared" si="468"/>
      </c>
      <c r="AC624" s="4">
        <f t="shared" si="469"/>
      </c>
      <c r="AD624" s="4">
        <f t="shared" si="470"/>
      </c>
      <c r="AE624" s="4">
        <f t="shared" si="471"/>
      </c>
      <c r="AF624" s="4">
        <f t="shared" si="472"/>
      </c>
      <c r="AG624" s="4">
        <f t="shared" si="473"/>
        <v/>
      </c>
      <c r="AH624" s="4">
        <f t="shared" si="474"/>
      </c>
      <c r="AI624" s="4">
        <f t="shared" si="475"/>
      </c>
      <c r="AJ624" s="4">
        <f t="shared" si="476"/>
      </c>
      <c r="AK624" s="4">
        <f t="shared" si="477"/>
      </c>
      <c r="AL624" s="4">
        <f t="shared" si="478"/>
      </c>
      <c r="AM624" s="4">
        <f t="shared" si="479"/>
      </c>
      <c r="AN624" s="4"/>
      <c r="AO624" s="4">
        <f t="shared" si="480"/>
      </c>
      <c r="AP624" s="4">
        <f t="shared" si="481"/>
      </c>
      <c r="AQ624" s="4">
        <f t="shared" si="482"/>
        <v/>
      </c>
      <c r="AR624" s="4">
        <f t="shared" si="483"/>
      </c>
      <c r="AS624" s="4">
        <f t="shared" si="484"/>
      </c>
      <c r="AT624" s="4">
        <f t="shared" si="485"/>
      </c>
    </row>
    <row r="625" spans="1:46" x14ac:dyDescent="0.3">
      <c r="A625" s="5">
        <f t="shared" si="457"/>
      </c>
      <c r="B625" s="4">
        <f t="shared" si="458"/>
      </c>
      <c r="C625" s="59"/>
      <c r="D625" s="59"/>
      <c r="E625" s="70"/>
      <c r="F625" s="164"/>
      <c r="G625" s="164"/>
      <c r="H625" s="164"/>
      <c r="I625" s="70"/>
      <c r="J625" s="70"/>
      <c r="K625" s="70"/>
      <c r="L625" s="70"/>
      <c r="M625" s="4">
        <f t="shared" si="459"/>
      </c>
      <c r="N625" s="59"/>
      <c r="O625" s="164"/>
      <c r="P625" s="59">
        <f t="shared" si="460"/>
      </c>
      <c r="Q625" s="165"/>
      <c r="R625" s="59"/>
      <c r="S625" s="164"/>
      <c r="T625" s="5">
        <f t="shared" si="461"/>
      </c>
      <c r="U625" s="4">
        <f t="shared" si="462"/>
      </c>
      <c r="V625" s="4">
        <f t="shared" si="463"/>
      </c>
      <c r="W625" s="4">
        <f t="shared" si="464"/>
      </c>
      <c r="X625" s="4">
        <f t="shared" si="465"/>
      </c>
      <c r="Y625" s="4" cm="1">
        <f t="array" ref="Y625">_xlfn.IFS(H625=1,2,H625=3,1)</f>
      </c>
      <c r="Z625" s="4">
        <f t="shared" si="466"/>
      </c>
      <c r="AA625" s="4">
        <f t="shared" si="467"/>
      </c>
      <c r="AB625" s="4">
        <f t="shared" si="468"/>
      </c>
      <c r="AC625" s="4">
        <f t="shared" si="469"/>
      </c>
      <c r="AD625" s="4">
        <f t="shared" si="470"/>
      </c>
      <c r="AE625" s="4">
        <f t="shared" si="471"/>
      </c>
      <c r="AF625" s="4">
        <f t="shared" si="472"/>
      </c>
      <c r="AG625" s="4">
        <f t="shared" si="473"/>
        <v/>
      </c>
      <c r="AH625" s="4">
        <f t="shared" si="474"/>
      </c>
      <c r="AI625" s="4">
        <f t="shared" si="475"/>
      </c>
      <c r="AJ625" s="4">
        <f t="shared" si="476"/>
      </c>
      <c r="AK625" s="4">
        <f t="shared" si="477"/>
      </c>
      <c r="AL625" s="4">
        <f t="shared" si="478"/>
      </c>
      <c r="AM625" s="4">
        <f t="shared" si="479"/>
      </c>
      <c r="AN625" s="4"/>
      <c r="AO625" s="4">
        <f t="shared" si="480"/>
      </c>
      <c r="AP625" s="4">
        <f t="shared" si="481"/>
      </c>
      <c r="AQ625" s="4">
        <f t="shared" si="482"/>
        <v/>
      </c>
      <c r="AR625" s="4">
        <f t="shared" si="483"/>
      </c>
      <c r="AS625" s="4">
        <f t="shared" si="484"/>
      </c>
      <c r="AT625" s="4">
        <f t="shared" si="485"/>
      </c>
    </row>
    <row r="626" spans="1:46" x14ac:dyDescent="0.3">
      <c r="A626" s="5">
        <f t="shared" si="457"/>
      </c>
      <c r="B626" s="4">
        <f t="shared" si="458"/>
      </c>
      <c r="C626" s="59"/>
      <c r="D626" s="59"/>
      <c r="E626" s="70"/>
      <c r="F626" s="164"/>
      <c r="G626" s="164"/>
      <c r="H626" s="164"/>
      <c r="I626" s="70"/>
      <c r="J626" s="70"/>
      <c r="K626" s="70"/>
      <c r="L626" s="70"/>
      <c r="M626" s="4">
        <f t="shared" si="459"/>
      </c>
      <c r="N626" s="59"/>
      <c r="O626" s="164"/>
      <c r="P626" s="59">
        <f t="shared" si="460"/>
      </c>
      <c r="Q626" s="165"/>
      <c r="R626" s="59"/>
      <c r="S626" s="164"/>
      <c r="T626" s="5">
        <f t="shared" si="461"/>
      </c>
      <c r="U626" s="4">
        <f t="shared" si="462"/>
      </c>
      <c r="V626" s="4">
        <f t="shared" si="463"/>
      </c>
      <c r="W626" s="4">
        <f t="shared" si="464"/>
      </c>
      <c r="X626" s="4">
        <f t="shared" si="465"/>
      </c>
      <c r="Y626" s="4" cm="1">
        <f t="array" ref="Y626">_xlfn.IFS(H626=1,2,H626=3,1)</f>
      </c>
      <c r="Z626" s="4">
        <f t="shared" si="466"/>
      </c>
      <c r="AA626" s="4">
        <f t="shared" si="467"/>
      </c>
      <c r="AB626" s="4">
        <f t="shared" si="468"/>
      </c>
      <c r="AC626" s="4">
        <f t="shared" si="469"/>
      </c>
      <c r="AD626" s="4">
        <f t="shared" si="470"/>
      </c>
      <c r="AE626" s="4">
        <f t="shared" si="471"/>
      </c>
      <c r="AF626" s="4">
        <f t="shared" si="472"/>
      </c>
      <c r="AG626" s="4">
        <f t="shared" si="473"/>
        <v/>
      </c>
      <c r="AH626" s="4">
        <f t="shared" si="474"/>
      </c>
      <c r="AI626" s="4">
        <f t="shared" si="475"/>
      </c>
      <c r="AJ626" s="4">
        <f t="shared" si="476"/>
      </c>
      <c r="AK626" s="4">
        <f t="shared" si="477"/>
      </c>
      <c r="AL626" s="4">
        <f t="shared" si="478"/>
      </c>
      <c r="AM626" s="4">
        <f t="shared" si="479"/>
      </c>
      <c r="AN626" s="4"/>
      <c r="AO626" s="4">
        <f t="shared" si="480"/>
      </c>
      <c r="AP626" s="4">
        <f t="shared" si="481"/>
      </c>
      <c r="AQ626" s="4">
        <f t="shared" si="482"/>
        <v/>
      </c>
      <c r="AR626" s="4">
        <f t="shared" si="483"/>
      </c>
      <c r="AS626" s="4">
        <f t="shared" si="484"/>
      </c>
      <c r="AT626" s="4">
        <f t="shared" si="485"/>
      </c>
    </row>
    <row r="627" spans="1:46" x14ac:dyDescent="0.3">
      <c r="A627" s="5">
        <f t="shared" si="457"/>
      </c>
      <c r="B627" s="4">
        <f t="shared" si="458"/>
      </c>
      <c r="C627" s="59"/>
      <c r="D627" s="59"/>
      <c r="E627" s="70"/>
      <c r="F627" s="164"/>
      <c r="G627" s="164"/>
      <c r="H627" s="164"/>
      <c r="I627" s="70"/>
      <c r="J627" s="70"/>
      <c r="K627" s="70"/>
      <c r="L627" s="70"/>
      <c r="M627" s="4">
        <f t="shared" si="459"/>
      </c>
      <c r="N627" s="59"/>
      <c r="O627" s="164"/>
      <c r="P627" s="59">
        <f t="shared" si="460"/>
      </c>
      <c r="Q627" s="165"/>
      <c r="R627" s="59"/>
      <c r="S627" s="164"/>
      <c r="T627" s="5">
        <f t="shared" si="461"/>
      </c>
      <c r="U627" s="4">
        <f t="shared" si="462"/>
      </c>
      <c r="V627" s="4">
        <f t="shared" si="463"/>
      </c>
      <c r="W627" s="4">
        <f t="shared" si="464"/>
      </c>
      <c r="X627" s="4">
        <f t="shared" si="465"/>
      </c>
      <c r="Y627" s="4" cm="1">
        <f t="array" ref="Y627">_xlfn.IFS(H627=1,2,H627=3,1)</f>
      </c>
      <c r="Z627" s="4">
        <f t="shared" si="466"/>
      </c>
      <c r="AA627" s="4">
        <f t="shared" si="467"/>
      </c>
      <c r="AB627" s="4">
        <f t="shared" si="468"/>
      </c>
      <c r="AC627" s="4">
        <f t="shared" si="469"/>
      </c>
      <c r="AD627" s="4">
        <f t="shared" si="470"/>
      </c>
      <c r="AE627" s="4">
        <f t="shared" si="471"/>
      </c>
      <c r="AF627" s="4">
        <f t="shared" si="472"/>
      </c>
      <c r="AG627" s="4">
        <f t="shared" si="473"/>
        <v/>
      </c>
      <c r="AH627" s="4">
        <f t="shared" si="474"/>
      </c>
      <c r="AI627" s="4">
        <f t="shared" si="475"/>
      </c>
      <c r="AJ627" s="4">
        <f t="shared" si="476"/>
      </c>
      <c r="AK627" s="4">
        <f t="shared" si="477"/>
      </c>
      <c r="AL627" s="4">
        <f t="shared" si="478"/>
      </c>
      <c r="AM627" s="4">
        <f t="shared" si="479"/>
      </c>
      <c r="AN627" s="4"/>
      <c r="AO627" s="4">
        <f t="shared" si="480"/>
      </c>
      <c r="AP627" s="4">
        <f t="shared" si="481"/>
      </c>
      <c r="AQ627" s="4">
        <f t="shared" si="482"/>
        <v/>
      </c>
      <c r="AR627" s="4">
        <f t="shared" si="483"/>
      </c>
      <c r="AS627" s="4">
        <f t="shared" si="484"/>
      </c>
      <c r="AT627" s="4">
        <f t="shared" si="485"/>
      </c>
    </row>
    <row r="628" spans="1:46" x14ac:dyDescent="0.3">
      <c r="A628" s="5">
        <f t="shared" si="457"/>
      </c>
      <c r="B628" s="4">
        <f t="shared" si="458"/>
      </c>
      <c r="C628" s="59"/>
      <c r="D628" s="59"/>
      <c r="E628" s="70"/>
      <c r="F628" s="164"/>
      <c r="G628" s="164"/>
      <c r="H628" s="164"/>
      <c r="I628" s="70"/>
      <c r="J628" s="70"/>
      <c r="K628" s="70"/>
      <c r="L628" s="70"/>
      <c r="M628" s="4">
        <f t="shared" si="459"/>
      </c>
      <c r="N628" s="59"/>
      <c r="O628" s="164"/>
      <c r="P628" s="59">
        <f t="shared" si="460"/>
      </c>
      <c r="Q628" s="165"/>
      <c r="R628" s="59"/>
      <c r="S628" s="164"/>
      <c r="T628" s="5">
        <f t="shared" si="461"/>
      </c>
      <c r="U628" s="4">
        <f t="shared" si="462"/>
      </c>
      <c r="V628" s="4">
        <f t="shared" si="463"/>
      </c>
      <c r="W628" s="4">
        <f t="shared" si="464"/>
      </c>
      <c r="X628" s="4">
        <f t="shared" si="465"/>
      </c>
      <c r="Y628" s="4" cm="1">
        <f t="array" ref="Y628">_xlfn.IFS(H628=1,2,H628=3,1)</f>
      </c>
      <c r="Z628" s="4">
        <f t="shared" si="466"/>
      </c>
      <c r="AA628" s="4">
        <f t="shared" si="467"/>
      </c>
      <c r="AB628" s="4">
        <f t="shared" si="468"/>
      </c>
      <c r="AC628" s="4">
        <f t="shared" si="469"/>
      </c>
      <c r="AD628" s="4">
        <f t="shared" si="470"/>
      </c>
      <c r="AE628" s="4">
        <f t="shared" si="471"/>
      </c>
      <c r="AF628" s="4">
        <f t="shared" si="472"/>
      </c>
      <c r="AG628" s="4">
        <f t="shared" si="473"/>
        <v/>
      </c>
      <c r="AH628" s="4">
        <f t="shared" si="474"/>
      </c>
      <c r="AI628" s="4">
        <f t="shared" si="475"/>
      </c>
      <c r="AJ628" s="4">
        <f t="shared" si="476"/>
      </c>
      <c r="AK628" s="4">
        <f t="shared" si="477"/>
      </c>
      <c r="AL628" s="4">
        <f t="shared" si="478"/>
      </c>
      <c r="AM628" s="4">
        <f t="shared" si="479"/>
      </c>
      <c r="AN628" s="4"/>
      <c r="AO628" s="4">
        <f t="shared" si="480"/>
      </c>
      <c r="AP628" s="4">
        <f t="shared" si="481"/>
      </c>
      <c r="AQ628" s="4">
        <f t="shared" si="482"/>
        <v/>
      </c>
      <c r="AR628" s="4">
        <f t="shared" si="483"/>
      </c>
      <c r="AS628" s="4">
        <f t="shared" si="484"/>
      </c>
      <c r="AT628" s="4">
        <f t="shared" si="485"/>
      </c>
    </row>
    <row r="629" spans="1:46" x14ac:dyDescent="0.3">
      <c r="A629" s="5">
        <f t="shared" si="457"/>
      </c>
      <c r="B629" s="4">
        <f t="shared" si="458"/>
      </c>
      <c r="C629" s="59"/>
      <c r="D629" s="59"/>
      <c r="E629" s="70"/>
      <c r="F629" s="164"/>
      <c r="G629" s="164"/>
      <c r="H629" s="164"/>
      <c r="I629" s="70"/>
      <c r="J629" s="70"/>
      <c r="K629" s="70"/>
      <c r="L629" s="70"/>
      <c r="M629" s="4">
        <f t="shared" si="459"/>
      </c>
      <c r="N629" s="59"/>
      <c r="O629" s="164"/>
      <c r="P629" s="59">
        <f t="shared" si="460"/>
      </c>
      <c r="Q629" s="165"/>
      <c r="R629" s="59"/>
      <c r="S629" s="164"/>
      <c r="T629" s="5">
        <f t="shared" si="461"/>
      </c>
      <c r="U629" s="4">
        <f t="shared" si="462"/>
      </c>
      <c r="V629" s="4">
        <f t="shared" si="463"/>
      </c>
      <c r="W629" s="4">
        <f t="shared" si="464"/>
      </c>
      <c r="X629" s="4">
        <f t="shared" si="465"/>
      </c>
      <c r="Y629" s="4" cm="1">
        <f t="array" ref="Y629">_xlfn.IFS(H629=1,2,H629=3,1)</f>
      </c>
      <c r="Z629" s="4">
        <f t="shared" si="466"/>
      </c>
      <c r="AA629" s="4">
        <f t="shared" si="467"/>
      </c>
      <c r="AB629" s="4">
        <f t="shared" si="468"/>
      </c>
      <c r="AC629" s="4">
        <f t="shared" si="469"/>
      </c>
      <c r="AD629" s="4">
        <f t="shared" si="470"/>
      </c>
      <c r="AE629" s="4">
        <f t="shared" si="471"/>
      </c>
      <c r="AF629" s="4">
        <f t="shared" si="472"/>
      </c>
      <c r="AG629" s="4">
        <f t="shared" si="473"/>
        <v/>
      </c>
      <c r="AH629" s="4">
        <f t="shared" si="474"/>
      </c>
      <c r="AI629" s="4">
        <f t="shared" si="475"/>
      </c>
      <c r="AJ629" s="4">
        <f t="shared" si="476"/>
      </c>
      <c r="AK629" s="4">
        <f t="shared" si="477"/>
      </c>
      <c r="AL629" s="4">
        <f t="shared" si="478"/>
      </c>
      <c r="AM629" s="4">
        <f t="shared" si="479"/>
      </c>
      <c r="AN629" s="4"/>
      <c r="AO629" s="4">
        <f t="shared" si="480"/>
      </c>
      <c r="AP629" s="4">
        <f t="shared" si="481"/>
      </c>
      <c r="AQ629" s="4">
        <f t="shared" si="482"/>
        <v/>
      </c>
      <c r="AR629" s="4">
        <f t="shared" si="483"/>
      </c>
      <c r="AS629" s="4">
        <f t="shared" si="484"/>
      </c>
      <c r="AT629" s="4">
        <f t="shared" si="485"/>
      </c>
    </row>
    <row r="630" spans="1:46" x14ac:dyDescent="0.3">
      <c r="A630" s="5">
        <f t="shared" si="457"/>
      </c>
      <c r="B630" s="4">
        <f t="shared" si="458"/>
      </c>
      <c r="C630" s="59"/>
      <c r="D630" s="59"/>
      <c r="E630" s="70"/>
      <c r="F630" s="164"/>
      <c r="G630" s="164"/>
      <c r="H630" s="164"/>
      <c r="I630" s="70"/>
      <c r="J630" s="70"/>
      <c r="K630" s="70"/>
      <c r="L630" s="70"/>
      <c r="M630" s="4">
        <f t="shared" si="459"/>
      </c>
      <c r="N630" s="59"/>
      <c r="O630" s="164"/>
      <c r="P630" s="59">
        <f t="shared" si="460"/>
      </c>
      <c r="Q630" s="165"/>
      <c r="R630" s="59"/>
      <c r="S630" s="164"/>
      <c r="T630" s="5">
        <f t="shared" si="461"/>
      </c>
      <c r="U630" s="4">
        <f t="shared" si="462"/>
      </c>
      <c r="V630" s="4">
        <f t="shared" si="463"/>
      </c>
      <c r="W630" s="4">
        <f t="shared" si="464"/>
      </c>
      <c r="X630" s="4">
        <f t="shared" si="465"/>
      </c>
      <c r="Y630" s="4" cm="1">
        <f t="array" ref="Y630">_xlfn.IFS(H630=1,2,H630=3,1)</f>
      </c>
      <c r="Z630" s="4">
        <f t="shared" si="466"/>
      </c>
      <c r="AA630" s="4">
        <f t="shared" si="467"/>
      </c>
      <c r="AB630" s="4">
        <f t="shared" si="468"/>
      </c>
      <c r="AC630" s="4">
        <f t="shared" si="469"/>
      </c>
      <c r="AD630" s="4">
        <f t="shared" si="470"/>
      </c>
      <c r="AE630" s="4">
        <f t="shared" si="471"/>
      </c>
      <c r="AF630" s="4">
        <f t="shared" si="472"/>
      </c>
      <c r="AG630" s="4">
        <f t="shared" si="473"/>
        <v/>
      </c>
      <c r="AH630" s="4">
        <f t="shared" si="474"/>
      </c>
      <c r="AI630" s="4">
        <f t="shared" si="475"/>
      </c>
      <c r="AJ630" s="4">
        <f t="shared" si="476"/>
      </c>
      <c r="AK630" s="4">
        <f t="shared" si="477"/>
      </c>
      <c r="AL630" s="4">
        <f t="shared" si="478"/>
      </c>
      <c r="AM630" s="4">
        <f t="shared" si="479"/>
      </c>
      <c r="AN630" s="4"/>
      <c r="AO630" s="4">
        <f t="shared" si="480"/>
      </c>
      <c r="AP630" s="4">
        <f t="shared" si="481"/>
      </c>
      <c r="AQ630" s="4">
        <f t="shared" si="482"/>
        <v/>
      </c>
      <c r="AR630" s="4">
        <f t="shared" si="483"/>
      </c>
      <c r="AS630" s="4">
        <f t="shared" si="484"/>
      </c>
      <c r="AT630" s="4">
        <f t="shared" si="485"/>
      </c>
    </row>
    <row r="631" spans="1:46" x14ac:dyDescent="0.3">
      <c r="A631" s="5">
        <f t="shared" si="457"/>
      </c>
      <c r="B631" s="4">
        <f t="shared" si="458"/>
      </c>
      <c r="C631" s="59"/>
      <c r="D631" s="59"/>
      <c r="E631" s="70"/>
      <c r="F631" s="164"/>
      <c r="G631" s="164"/>
      <c r="H631" s="164"/>
      <c r="I631" s="70"/>
      <c r="J631" s="70"/>
      <c r="K631" s="70"/>
      <c r="L631" s="70"/>
      <c r="M631" s="4">
        <f t="shared" si="459"/>
      </c>
      <c r="N631" s="59"/>
      <c r="O631" s="164"/>
      <c r="P631" s="59">
        <f t="shared" si="460"/>
      </c>
      <c r="Q631" s="165"/>
      <c r="R631" s="59"/>
      <c r="S631" s="164"/>
      <c r="T631" s="5">
        <f t="shared" si="461"/>
      </c>
      <c r="U631" s="4">
        <f t="shared" si="462"/>
      </c>
      <c r="V631" s="4">
        <f t="shared" si="463"/>
      </c>
      <c r="W631" s="4">
        <f t="shared" si="464"/>
      </c>
      <c r="X631" s="4">
        <f t="shared" si="465"/>
      </c>
      <c r="Y631" s="4" cm="1">
        <f t="array" ref="Y631">_xlfn.IFS(H631=1,2,H631=3,1)</f>
      </c>
      <c r="Z631" s="4">
        <f t="shared" si="466"/>
      </c>
      <c r="AA631" s="4">
        <f t="shared" si="467"/>
      </c>
      <c r="AB631" s="4">
        <f t="shared" si="468"/>
      </c>
      <c r="AC631" s="4">
        <f t="shared" si="469"/>
      </c>
      <c r="AD631" s="4">
        <f t="shared" si="470"/>
      </c>
      <c r="AE631" s="4">
        <f t="shared" si="471"/>
      </c>
      <c r="AF631" s="4">
        <f t="shared" si="472"/>
      </c>
      <c r="AG631" s="4">
        <f t="shared" si="473"/>
        <v/>
      </c>
      <c r="AH631" s="4">
        <f t="shared" si="474"/>
      </c>
      <c r="AI631" s="4">
        <f t="shared" si="475"/>
      </c>
      <c r="AJ631" s="4">
        <f t="shared" si="476"/>
      </c>
      <c r="AK631" s="4">
        <f t="shared" si="477"/>
      </c>
      <c r="AL631" s="4">
        <f t="shared" si="478"/>
      </c>
      <c r="AM631" s="4">
        <f t="shared" si="479"/>
      </c>
      <c r="AN631" s="4"/>
      <c r="AO631" s="4">
        <f t="shared" si="480"/>
      </c>
      <c r="AP631" s="4">
        <f t="shared" si="481"/>
      </c>
      <c r="AQ631" s="4">
        <f t="shared" si="482"/>
        <v/>
      </c>
      <c r="AR631" s="4">
        <f t="shared" si="483"/>
      </c>
      <c r="AS631" s="4">
        <f t="shared" si="484"/>
      </c>
      <c r="AT631" s="4">
        <f t="shared" si="485"/>
      </c>
    </row>
    <row r="632" spans="1:46" x14ac:dyDescent="0.3">
      <c r="A632" s="5">
        <f t="shared" ref="A632:A695" si="486">D632</f>
      </c>
      <c r="B632" s="4">
        <f t="shared" ref="B632:B695" si="487">IFERROR(IF(VLOOKUP(AH632,Потребители_обозначение,4,FALSE)=1,VLOOKUP(AH632,Потребители_обозначение,2,FALSE)&amp;" "&amp;VLOOKUP(AI632,Этаж_обозначение,2,FALSE)&amp;" Пом. №"&amp;AG632,VLOOKUP(AH632,Потребители_обозначение,2,FALSE)&amp;" Шлейф №"&amp;AI632),VLOOKUP(D632,Потребители_обозначение,2,FALSE))</f>
      </c>
      <c r="C632" s="59"/>
      <c r="D632" s="59"/>
      <c r="E632" s="70"/>
      <c r="F632" s="164"/>
      <c r="G632" s="164"/>
      <c r="H632" s="164"/>
      <c r="I632" s="70"/>
      <c r="J632" s="70"/>
      <c r="K632" s="70"/>
      <c r="L632" s="70"/>
      <c r="M632" s="4">
        <f t="shared" ref="M632:M695" si="488">IFERROR(IF(VLOOKUP(AH632,Потребители_обозначение,4,FALSE)=1,VLOOKUP(AH632,Потребители_обозначение,3,FALSE)*(G632*2-1)+I632+VLOOKUP(AI632,Этаж_обозначение,3,FALSE)+VLOOKUP(AI632,Этаж_обозначение,4,FALSE),VLOOKUP(AH632,Потребители_обозначение,3,FALSE)*(G632*2-1)+I632),I632)</f>
      </c>
      <c r="N632" s="59"/>
      <c r="O632" s="164"/>
      <c r="P632" s="59">
        <f t="shared" ref="P632:P695" si="489">IF(VLOOKUP(AH632,Потребители_обозначение,5,FALSE)=2,_xlfn.IFS(H632=3,VLOOKUP(E632,Справочная_двигатели,8,FALSE),H632=1,VLOOKUP(E632,Справочная_двигатели,10,TRUE)),0.95)</f>
      </c>
      <c r="Q632" s="165"/>
      <c r="R632" s="59"/>
      <c r="S632" s="164"/>
      <c r="T632" s="5">
        <f t="shared" ref="T632:T695" si="490">_xlfn.IFS(H632=1,E632*1000/220,H632=3,E632/0.38/1.732)</f>
      </c>
      <c r="U632" s="4">
        <f t="shared" ref="U632:U695" si="491">IF(R632=0,VLOOKUP(T632,Автомат_номиналы,2,TRUE),R632)</f>
      </c>
      <c r="V632" s="4">
        <f t="shared" ref="V632:V695" si="492">IF(Q632=0,VLOOKUP(U632,Кабель_номиналы,2,TRUE),Q632)</f>
      </c>
      <c r="W632" s="4">
        <f t="shared" ref="W632:W695" si="493">VLOOKUP(V632,Кабель_сопротивление,3,FALSE)</f>
      </c>
      <c r="X632" s="4">
        <f t="shared" ref="X632:X695" si="494">VLOOKUP(V632,Кабель_сопротивление,2,FALSE)</f>
      </c>
      <c r="Y632" s="4" cm="1">
        <f t="array" ref="Y632">_xlfn.IFS(H632=1,2,H632=3,1)</f>
      </c>
      <c r="Z632" s="4">
        <f t="shared" ref="Z632:Z695" si="495">ROUND(SIN(ACOS(P632)),2)</f>
      </c>
      <c r="AA632" s="4">
        <f t="shared" ref="AA632:AA695" si="496">Y632*(W632*I632/V632+X632*I632*Z632/1000)*T632</f>
      </c>
      <c r="AB632" s="4">
        <f t="shared" ref="AB632:AB695" si="497">ROUNDUP(AA632/220*100,2)</f>
      </c>
      <c r="AC632" s="4">
        <f t="shared" ref="AC632:AC695" si="498">_xlfn.IFS(H632=3,380,H632=1,220)</f>
      </c>
      <c r="AD632" s="4">
        <f t="shared" ref="AD632:AD695" si="499">VLOOKUP(N632,Кабель_обозначение,2,FALSE)</f>
      </c>
      <c r="AE632" s="4">
        <f t="shared" ref="AE632:AE695" si="500">IF(VLOOKUP(N632,Кабель_обозначение,3,FALSE)=1,AD632&amp;" ("&amp;O632&amp;"х"&amp;V632&amp;")",AD632)</f>
      </c>
      <c r="AF632" s="4">
        <f t="shared" ref="AF632:AF695" si="501">IFERROR(IF(AB632&gt;4.5,1,2),0)</f>
      </c>
      <c r="AG632" s="4">
        <f t="shared" ref="AG632:AG695" si="502">IFERROR(LEFT(AQ632,SEARCH(".",AQ632)-1),AQ632)</f>
        <v/>
      </c>
      <c r="AH632" s="4">
        <f t="shared" ref="AH632:AH695" si="503">IFERROR(LEFT(A632,SEARCH(".",A632)-1),A632)</f>
      </c>
      <c r="AI632" s="4">
        <f t="shared" ref="AI632:AI695" si="504">IFERROR(LEFT(AP632,SEARCH(".",AP632)-1),AP632)</f>
      </c>
      <c r="AJ632" s="4">
        <f t="shared" ref="AJ632:AJ695" si="505">IF(C632=0,B632,C632)</f>
      </c>
      <c r="AK632" s="4">
        <f t="shared" ref="AK632:AK695" si="506">ROUNDUP(T632,2)</f>
      </c>
      <c r="AL632" s="4">
        <f t="shared" ref="AL632:AL695" si="507">E632</f>
      </c>
      <c r="AM632" s="4">
        <f t="shared" ref="AM632:AM695" si="508">D632</f>
      </c>
      <c r="AN632" s="4"/>
      <c r="AO632" s="4">
        <f t="shared" ref="AO632:AO695" si="509">IF(V632=0,AD632,AE632&amp;"
L="&amp;M632&amp;"-"&amp;AB632&amp;"%")</f>
      </c>
      <c r="AP632" s="4">
        <f t="shared" ref="AP632:AP695" si="510">RIGHT(A632,LEN(A632)-SEARCH(".",A632))</f>
      </c>
      <c r="AQ632" s="4">
        <f t="shared" ref="AQ632:AQ695" si="511">IFERROR(RIGHT(AP632,LEN(AP632)-SEARCH(".",AP632)),"")</f>
        <v/>
      </c>
      <c r="AR632" s="4">
        <f t="shared" ref="AR632:AR695" si="512">IFERROR(IF(VLOOKUP(AH632,Потребители_обозначение,5,FALSE)=2,_xlfn.IFS(H632=3,VLOOKUP(E632,Справочная_двигатели,3,FALSE),H632=1,VLOOKUP(E632,Справочная_двигатели,5,TRUE)),0),0)</f>
      </c>
      <c r="AS632" s="4">
        <f t="shared" ref="AS632:AS695" si="513">IFERROR(IF(VLOOKUP(AH632,Потребители_обозначение,5,FALSE)=3,VLOOKUP(E632,Справочная_ЛЭД,2,TRUE),0),0)</f>
      </c>
      <c r="AT632" s="4">
        <f t="shared" ref="AT632:AT695" si="514">IF(AR632=0,AS632,AR632)</f>
      </c>
    </row>
    <row r="633" spans="1:46" x14ac:dyDescent="0.3">
      <c r="A633" s="5">
        <f t="shared" si="486"/>
      </c>
      <c r="B633" s="4">
        <f t="shared" si="487"/>
      </c>
      <c r="C633" s="59"/>
      <c r="D633" s="59"/>
      <c r="E633" s="70"/>
      <c r="F633" s="164"/>
      <c r="G633" s="164"/>
      <c r="H633" s="164"/>
      <c r="I633" s="70"/>
      <c r="J633" s="70"/>
      <c r="K633" s="70"/>
      <c r="L633" s="70"/>
      <c r="M633" s="4">
        <f t="shared" si="488"/>
      </c>
      <c r="N633" s="59"/>
      <c r="O633" s="164"/>
      <c r="P633" s="59">
        <f t="shared" si="489"/>
      </c>
      <c r="Q633" s="165"/>
      <c r="R633" s="59"/>
      <c r="S633" s="164"/>
      <c r="T633" s="5">
        <f t="shared" si="490"/>
      </c>
      <c r="U633" s="4">
        <f t="shared" si="491"/>
      </c>
      <c r="V633" s="4">
        <f t="shared" si="492"/>
      </c>
      <c r="W633" s="4">
        <f t="shared" si="493"/>
      </c>
      <c r="X633" s="4">
        <f t="shared" si="494"/>
      </c>
      <c r="Y633" s="4" cm="1">
        <f t="array" ref="Y633">_xlfn.IFS(H633=1,2,H633=3,1)</f>
      </c>
      <c r="Z633" s="4">
        <f t="shared" si="495"/>
      </c>
      <c r="AA633" s="4">
        <f t="shared" si="496"/>
      </c>
      <c r="AB633" s="4">
        <f t="shared" si="497"/>
      </c>
      <c r="AC633" s="4">
        <f t="shared" si="498"/>
      </c>
      <c r="AD633" s="4">
        <f t="shared" si="499"/>
      </c>
      <c r="AE633" s="4">
        <f t="shared" si="500"/>
      </c>
      <c r="AF633" s="4">
        <f t="shared" si="501"/>
      </c>
      <c r="AG633" s="4">
        <f t="shared" si="502"/>
        <v/>
      </c>
      <c r="AH633" s="4">
        <f t="shared" si="503"/>
      </c>
      <c r="AI633" s="4">
        <f t="shared" si="504"/>
      </c>
      <c r="AJ633" s="4">
        <f t="shared" si="505"/>
      </c>
      <c r="AK633" s="4">
        <f t="shared" si="506"/>
      </c>
      <c r="AL633" s="4">
        <f t="shared" si="507"/>
      </c>
      <c r="AM633" s="4">
        <f t="shared" si="508"/>
      </c>
      <c r="AN633" s="4"/>
      <c r="AO633" s="4">
        <f t="shared" si="509"/>
      </c>
      <c r="AP633" s="4">
        <f t="shared" si="510"/>
      </c>
      <c r="AQ633" s="4">
        <f t="shared" si="511"/>
        <v/>
      </c>
      <c r="AR633" s="4">
        <f t="shared" si="512"/>
      </c>
      <c r="AS633" s="4">
        <f t="shared" si="513"/>
      </c>
      <c r="AT633" s="4">
        <f t="shared" si="514"/>
      </c>
    </row>
    <row r="634" spans="1:46" x14ac:dyDescent="0.3">
      <c r="A634" s="5">
        <f t="shared" si="486"/>
      </c>
      <c r="B634" s="4">
        <f t="shared" si="487"/>
      </c>
      <c r="C634" s="59"/>
      <c r="D634" s="59"/>
      <c r="E634" s="70"/>
      <c r="F634" s="164"/>
      <c r="G634" s="164"/>
      <c r="H634" s="164"/>
      <c r="I634" s="70"/>
      <c r="J634" s="70"/>
      <c r="K634" s="70"/>
      <c r="L634" s="70"/>
      <c r="M634" s="4">
        <f t="shared" si="488"/>
      </c>
      <c r="N634" s="59"/>
      <c r="O634" s="164"/>
      <c r="P634" s="59">
        <f t="shared" si="489"/>
      </c>
      <c r="Q634" s="165"/>
      <c r="R634" s="59"/>
      <c r="S634" s="164"/>
      <c r="T634" s="5">
        <f t="shared" si="490"/>
      </c>
      <c r="U634" s="4">
        <f t="shared" si="491"/>
      </c>
      <c r="V634" s="4">
        <f t="shared" si="492"/>
      </c>
      <c r="W634" s="4">
        <f t="shared" si="493"/>
      </c>
      <c r="X634" s="4">
        <f t="shared" si="494"/>
      </c>
      <c r="Y634" s="4" cm="1">
        <f t="array" ref="Y634">_xlfn.IFS(H634=1,2,H634=3,1)</f>
      </c>
      <c r="Z634" s="4">
        <f t="shared" si="495"/>
      </c>
      <c r="AA634" s="4">
        <f t="shared" si="496"/>
      </c>
      <c r="AB634" s="4">
        <f t="shared" si="497"/>
      </c>
      <c r="AC634" s="4">
        <f t="shared" si="498"/>
      </c>
      <c r="AD634" s="4">
        <f t="shared" si="499"/>
      </c>
      <c r="AE634" s="4">
        <f t="shared" si="500"/>
      </c>
      <c r="AF634" s="4">
        <f t="shared" si="501"/>
      </c>
      <c r="AG634" s="4">
        <f t="shared" si="502"/>
        <v/>
      </c>
      <c r="AH634" s="4">
        <f t="shared" si="503"/>
      </c>
      <c r="AI634" s="4">
        <f t="shared" si="504"/>
      </c>
      <c r="AJ634" s="4">
        <f t="shared" si="505"/>
      </c>
      <c r="AK634" s="4">
        <f t="shared" si="506"/>
      </c>
      <c r="AL634" s="4">
        <f t="shared" si="507"/>
      </c>
      <c r="AM634" s="4">
        <f t="shared" si="508"/>
      </c>
      <c r="AN634" s="4"/>
      <c r="AO634" s="4">
        <f t="shared" si="509"/>
      </c>
      <c r="AP634" s="4">
        <f t="shared" si="510"/>
      </c>
      <c r="AQ634" s="4">
        <f t="shared" si="511"/>
        <v/>
      </c>
      <c r="AR634" s="4">
        <f t="shared" si="512"/>
      </c>
      <c r="AS634" s="4">
        <f t="shared" si="513"/>
      </c>
      <c r="AT634" s="4">
        <f t="shared" si="514"/>
      </c>
    </row>
    <row r="635" spans="1:46" x14ac:dyDescent="0.3">
      <c r="A635" s="5">
        <f t="shared" si="486"/>
      </c>
      <c r="B635" s="4">
        <f t="shared" si="487"/>
      </c>
      <c r="C635" s="59"/>
      <c r="D635" s="59"/>
      <c r="E635" s="70"/>
      <c r="F635" s="164"/>
      <c r="G635" s="164"/>
      <c r="H635" s="164"/>
      <c r="I635" s="70"/>
      <c r="J635" s="70"/>
      <c r="K635" s="70"/>
      <c r="L635" s="70"/>
      <c r="M635" s="4">
        <f t="shared" si="488"/>
      </c>
      <c r="N635" s="59"/>
      <c r="O635" s="164"/>
      <c r="P635" s="59">
        <f t="shared" si="489"/>
      </c>
      <c r="Q635" s="165"/>
      <c r="R635" s="59"/>
      <c r="S635" s="164"/>
      <c r="T635" s="5">
        <f t="shared" si="490"/>
      </c>
      <c r="U635" s="4">
        <f t="shared" si="491"/>
      </c>
      <c r="V635" s="4">
        <f t="shared" si="492"/>
      </c>
      <c r="W635" s="4">
        <f t="shared" si="493"/>
      </c>
      <c r="X635" s="4">
        <f t="shared" si="494"/>
      </c>
      <c r="Y635" s="4" cm="1">
        <f t="array" ref="Y635">_xlfn.IFS(H635=1,2,H635=3,1)</f>
      </c>
      <c r="Z635" s="4">
        <f t="shared" si="495"/>
      </c>
      <c r="AA635" s="4">
        <f t="shared" si="496"/>
      </c>
      <c r="AB635" s="4">
        <f t="shared" si="497"/>
      </c>
      <c r="AC635" s="4">
        <f t="shared" si="498"/>
      </c>
      <c r="AD635" s="4">
        <f t="shared" si="499"/>
      </c>
      <c r="AE635" s="4">
        <f t="shared" si="500"/>
      </c>
      <c r="AF635" s="4">
        <f t="shared" si="501"/>
      </c>
      <c r="AG635" s="4">
        <f t="shared" si="502"/>
        <v/>
      </c>
      <c r="AH635" s="4">
        <f t="shared" si="503"/>
      </c>
      <c r="AI635" s="4">
        <f t="shared" si="504"/>
      </c>
      <c r="AJ635" s="4">
        <f t="shared" si="505"/>
      </c>
      <c r="AK635" s="4">
        <f t="shared" si="506"/>
      </c>
      <c r="AL635" s="4">
        <f t="shared" si="507"/>
      </c>
      <c r="AM635" s="4">
        <f t="shared" si="508"/>
      </c>
      <c r="AN635" s="4"/>
      <c r="AO635" s="4">
        <f t="shared" si="509"/>
      </c>
      <c r="AP635" s="4">
        <f t="shared" si="510"/>
      </c>
      <c r="AQ635" s="4">
        <f t="shared" si="511"/>
        <v/>
      </c>
      <c r="AR635" s="4">
        <f t="shared" si="512"/>
      </c>
      <c r="AS635" s="4">
        <f t="shared" si="513"/>
      </c>
      <c r="AT635" s="4">
        <f t="shared" si="514"/>
      </c>
    </row>
    <row r="636" spans="1:46" x14ac:dyDescent="0.3">
      <c r="A636" s="5">
        <f t="shared" si="486"/>
      </c>
      <c r="B636" s="4">
        <f t="shared" si="487"/>
      </c>
      <c r="C636" s="59"/>
      <c r="D636" s="59"/>
      <c r="E636" s="70"/>
      <c r="F636" s="164"/>
      <c r="G636" s="164"/>
      <c r="H636" s="164"/>
      <c r="I636" s="70"/>
      <c r="J636" s="70"/>
      <c r="K636" s="70"/>
      <c r="L636" s="70"/>
      <c r="M636" s="4">
        <f t="shared" si="488"/>
      </c>
      <c r="N636" s="59"/>
      <c r="O636" s="164"/>
      <c r="P636" s="59">
        <f t="shared" si="489"/>
      </c>
      <c r="Q636" s="165"/>
      <c r="R636" s="59"/>
      <c r="S636" s="164"/>
      <c r="T636" s="5">
        <f t="shared" si="490"/>
      </c>
      <c r="U636" s="4">
        <f t="shared" si="491"/>
      </c>
      <c r="V636" s="4">
        <f t="shared" si="492"/>
      </c>
      <c r="W636" s="4">
        <f t="shared" si="493"/>
      </c>
      <c r="X636" s="4">
        <f t="shared" si="494"/>
      </c>
      <c r="Y636" s="4" cm="1">
        <f t="array" ref="Y636">_xlfn.IFS(H636=1,2,H636=3,1)</f>
      </c>
      <c r="Z636" s="4">
        <f t="shared" si="495"/>
      </c>
      <c r="AA636" s="4">
        <f t="shared" si="496"/>
      </c>
      <c r="AB636" s="4">
        <f t="shared" si="497"/>
      </c>
      <c r="AC636" s="4">
        <f t="shared" si="498"/>
      </c>
      <c r="AD636" s="4">
        <f t="shared" si="499"/>
      </c>
      <c r="AE636" s="4">
        <f t="shared" si="500"/>
      </c>
      <c r="AF636" s="4">
        <f t="shared" si="501"/>
      </c>
      <c r="AG636" s="4">
        <f t="shared" si="502"/>
        <v/>
      </c>
      <c r="AH636" s="4">
        <f t="shared" si="503"/>
      </c>
      <c r="AI636" s="4">
        <f t="shared" si="504"/>
      </c>
      <c r="AJ636" s="4">
        <f t="shared" si="505"/>
      </c>
      <c r="AK636" s="4">
        <f t="shared" si="506"/>
      </c>
      <c r="AL636" s="4">
        <f t="shared" si="507"/>
      </c>
      <c r="AM636" s="4">
        <f t="shared" si="508"/>
      </c>
      <c r="AN636" s="4"/>
      <c r="AO636" s="4">
        <f t="shared" si="509"/>
      </c>
      <c r="AP636" s="4">
        <f t="shared" si="510"/>
      </c>
      <c r="AQ636" s="4">
        <f t="shared" si="511"/>
        <v/>
      </c>
      <c r="AR636" s="4">
        <f t="shared" si="512"/>
      </c>
      <c r="AS636" s="4">
        <f t="shared" si="513"/>
      </c>
      <c r="AT636" s="4">
        <f t="shared" si="514"/>
      </c>
    </row>
    <row r="637" spans="1:46" x14ac:dyDescent="0.3">
      <c r="A637" s="5">
        <f t="shared" si="486"/>
      </c>
      <c r="B637" s="4">
        <f t="shared" si="487"/>
      </c>
      <c r="C637" s="59"/>
      <c r="D637" s="59"/>
      <c r="E637" s="70"/>
      <c r="F637" s="164"/>
      <c r="G637" s="164"/>
      <c r="H637" s="164"/>
      <c r="I637" s="70"/>
      <c r="J637" s="70"/>
      <c r="K637" s="70"/>
      <c r="L637" s="70"/>
      <c r="M637" s="4">
        <f t="shared" si="488"/>
      </c>
      <c r="N637" s="59"/>
      <c r="O637" s="164"/>
      <c r="P637" s="59">
        <f t="shared" si="489"/>
      </c>
      <c r="Q637" s="165"/>
      <c r="R637" s="59"/>
      <c r="S637" s="164"/>
      <c r="T637" s="5">
        <f t="shared" si="490"/>
      </c>
      <c r="U637" s="4">
        <f t="shared" si="491"/>
      </c>
      <c r="V637" s="4">
        <f t="shared" si="492"/>
      </c>
      <c r="W637" s="4">
        <f t="shared" si="493"/>
      </c>
      <c r="X637" s="4">
        <f t="shared" si="494"/>
      </c>
      <c r="Y637" s="4" cm="1">
        <f t="array" ref="Y637">_xlfn.IFS(H637=1,2,H637=3,1)</f>
      </c>
      <c r="Z637" s="4">
        <f t="shared" si="495"/>
      </c>
      <c r="AA637" s="4">
        <f t="shared" si="496"/>
      </c>
      <c r="AB637" s="4">
        <f t="shared" si="497"/>
      </c>
      <c r="AC637" s="4">
        <f t="shared" si="498"/>
      </c>
      <c r="AD637" s="4">
        <f t="shared" si="499"/>
      </c>
      <c r="AE637" s="4">
        <f t="shared" si="500"/>
      </c>
      <c r="AF637" s="4">
        <f t="shared" si="501"/>
      </c>
      <c r="AG637" s="4">
        <f t="shared" si="502"/>
        <v/>
      </c>
      <c r="AH637" s="4">
        <f t="shared" si="503"/>
      </c>
      <c r="AI637" s="4">
        <f t="shared" si="504"/>
      </c>
      <c r="AJ637" s="4">
        <f t="shared" si="505"/>
      </c>
      <c r="AK637" s="4">
        <f t="shared" si="506"/>
      </c>
      <c r="AL637" s="4">
        <f t="shared" si="507"/>
      </c>
      <c r="AM637" s="4">
        <f t="shared" si="508"/>
      </c>
      <c r="AN637" s="4"/>
      <c r="AO637" s="4">
        <f t="shared" si="509"/>
      </c>
      <c r="AP637" s="4">
        <f t="shared" si="510"/>
      </c>
      <c r="AQ637" s="4">
        <f t="shared" si="511"/>
        <v/>
      </c>
      <c r="AR637" s="4">
        <f t="shared" si="512"/>
      </c>
      <c r="AS637" s="4">
        <f t="shared" si="513"/>
      </c>
      <c r="AT637" s="4">
        <f t="shared" si="514"/>
      </c>
    </row>
    <row r="638" spans="1:46" x14ac:dyDescent="0.3">
      <c r="A638" s="5">
        <f t="shared" si="486"/>
      </c>
      <c r="B638" s="4">
        <f t="shared" si="487"/>
      </c>
      <c r="C638" s="59"/>
      <c r="D638" s="59"/>
      <c r="E638" s="70"/>
      <c r="F638" s="164"/>
      <c r="G638" s="164"/>
      <c r="H638" s="164"/>
      <c r="I638" s="70"/>
      <c r="J638" s="70"/>
      <c r="K638" s="70"/>
      <c r="L638" s="70"/>
      <c r="M638" s="4">
        <f t="shared" si="488"/>
      </c>
      <c r="N638" s="59"/>
      <c r="O638" s="164"/>
      <c r="P638" s="59">
        <f t="shared" si="489"/>
      </c>
      <c r="Q638" s="165"/>
      <c r="R638" s="59"/>
      <c r="S638" s="164"/>
      <c r="T638" s="5">
        <f t="shared" si="490"/>
      </c>
      <c r="U638" s="4">
        <f t="shared" si="491"/>
      </c>
      <c r="V638" s="4">
        <f t="shared" si="492"/>
      </c>
      <c r="W638" s="4">
        <f t="shared" si="493"/>
      </c>
      <c r="X638" s="4">
        <f t="shared" si="494"/>
      </c>
      <c r="Y638" s="4" cm="1">
        <f t="array" ref="Y638">_xlfn.IFS(H638=1,2,H638=3,1)</f>
      </c>
      <c r="Z638" s="4">
        <f t="shared" si="495"/>
      </c>
      <c r="AA638" s="4">
        <f t="shared" si="496"/>
      </c>
      <c r="AB638" s="4">
        <f t="shared" si="497"/>
      </c>
      <c r="AC638" s="4">
        <f t="shared" si="498"/>
      </c>
      <c r="AD638" s="4">
        <f t="shared" si="499"/>
      </c>
      <c r="AE638" s="4">
        <f t="shared" si="500"/>
      </c>
      <c r="AF638" s="4">
        <f t="shared" si="501"/>
      </c>
      <c r="AG638" s="4">
        <f t="shared" si="502"/>
        <v/>
      </c>
      <c r="AH638" s="4">
        <f t="shared" si="503"/>
      </c>
      <c r="AI638" s="4">
        <f t="shared" si="504"/>
      </c>
      <c r="AJ638" s="4">
        <f t="shared" si="505"/>
      </c>
      <c r="AK638" s="4">
        <f t="shared" si="506"/>
      </c>
      <c r="AL638" s="4">
        <f t="shared" si="507"/>
      </c>
      <c r="AM638" s="4">
        <f t="shared" si="508"/>
      </c>
      <c r="AN638" s="4"/>
      <c r="AO638" s="4">
        <f t="shared" si="509"/>
      </c>
      <c r="AP638" s="4">
        <f t="shared" si="510"/>
      </c>
      <c r="AQ638" s="4">
        <f t="shared" si="511"/>
        <v/>
      </c>
      <c r="AR638" s="4">
        <f t="shared" si="512"/>
      </c>
      <c r="AS638" s="4">
        <f t="shared" si="513"/>
      </c>
      <c r="AT638" s="4">
        <f t="shared" si="514"/>
      </c>
    </row>
    <row r="639" spans="1:46" x14ac:dyDescent="0.3">
      <c r="A639" s="5">
        <f t="shared" si="486"/>
      </c>
      <c r="B639" s="4">
        <f t="shared" si="487"/>
      </c>
      <c r="C639" s="59"/>
      <c r="D639" s="59"/>
      <c r="E639" s="70"/>
      <c r="F639" s="164"/>
      <c r="G639" s="164"/>
      <c r="H639" s="164"/>
      <c r="I639" s="70"/>
      <c r="J639" s="70"/>
      <c r="K639" s="70"/>
      <c r="L639" s="70"/>
      <c r="M639" s="4">
        <f t="shared" si="488"/>
      </c>
      <c r="N639" s="59"/>
      <c r="O639" s="164"/>
      <c r="P639" s="59">
        <f t="shared" si="489"/>
      </c>
      <c r="Q639" s="165"/>
      <c r="R639" s="59"/>
      <c r="S639" s="164"/>
      <c r="T639" s="5">
        <f t="shared" si="490"/>
      </c>
      <c r="U639" s="4">
        <f t="shared" si="491"/>
      </c>
      <c r="V639" s="4">
        <f t="shared" si="492"/>
      </c>
      <c r="W639" s="4">
        <f t="shared" si="493"/>
      </c>
      <c r="X639" s="4">
        <f t="shared" si="494"/>
      </c>
      <c r="Y639" s="4" cm="1">
        <f t="array" ref="Y639">_xlfn.IFS(H639=1,2,H639=3,1)</f>
      </c>
      <c r="Z639" s="4">
        <f t="shared" si="495"/>
      </c>
      <c r="AA639" s="4">
        <f t="shared" si="496"/>
      </c>
      <c r="AB639" s="4">
        <f t="shared" si="497"/>
      </c>
      <c r="AC639" s="4">
        <f t="shared" si="498"/>
      </c>
      <c r="AD639" s="4">
        <f t="shared" si="499"/>
      </c>
      <c r="AE639" s="4">
        <f t="shared" si="500"/>
      </c>
      <c r="AF639" s="4">
        <f t="shared" si="501"/>
      </c>
      <c r="AG639" s="4">
        <f t="shared" si="502"/>
        <v/>
      </c>
      <c r="AH639" s="4">
        <f t="shared" si="503"/>
      </c>
      <c r="AI639" s="4">
        <f t="shared" si="504"/>
      </c>
      <c r="AJ639" s="4">
        <f t="shared" si="505"/>
      </c>
      <c r="AK639" s="4">
        <f t="shared" si="506"/>
      </c>
      <c r="AL639" s="4">
        <f t="shared" si="507"/>
      </c>
      <c r="AM639" s="4">
        <f t="shared" si="508"/>
      </c>
      <c r="AN639" s="4"/>
      <c r="AO639" s="4">
        <f t="shared" si="509"/>
      </c>
      <c r="AP639" s="4">
        <f t="shared" si="510"/>
      </c>
      <c r="AQ639" s="4">
        <f t="shared" si="511"/>
        <v/>
      </c>
      <c r="AR639" s="4">
        <f t="shared" si="512"/>
      </c>
      <c r="AS639" s="4">
        <f t="shared" si="513"/>
      </c>
      <c r="AT639" s="4">
        <f t="shared" si="514"/>
      </c>
    </row>
    <row r="640" spans="1:46" x14ac:dyDescent="0.3">
      <c r="A640" s="5">
        <f t="shared" si="486"/>
      </c>
      <c r="B640" s="4">
        <f t="shared" si="487"/>
      </c>
      <c r="C640" s="59"/>
      <c r="D640" s="59"/>
      <c r="E640" s="70"/>
      <c r="F640" s="164"/>
      <c r="G640" s="164"/>
      <c r="H640" s="164"/>
      <c r="I640" s="70"/>
      <c r="J640" s="70"/>
      <c r="K640" s="70"/>
      <c r="L640" s="70"/>
      <c r="M640" s="4">
        <f t="shared" si="488"/>
      </c>
      <c r="N640" s="59"/>
      <c r="O640" s="164"/>
      <c r="P640" s="59">
        <f t="shared" si="489"/>
      </c>
      <c r="Q640" s="165"/>
      <c r="R640" s="59"/>
      <c r="S640" s="164"/>
      <c r="T640" s="5">
        <f t="shared" si="490"/>
      </c>
      <c r="U640" s="4">
        <f t="shared" si="491"/>
      </c>
      <c r="V640" s="4">
        <f t="shared" si="492"/>
      </c>
      <c r="W640" s="4">
        <f t="shared" si="493"/>
      </c>
      <c r="X640" s="4">
        <f t="shared" si="494"/>
      </c>
      <c r="Y640" s="4" cm="1">
        <f t="array" ref="Y640">_xlfn.IFS(H640=1,2,H640=3,1)</f>
      </c>
      <c r="Z640" s="4">
        <f t="shared" si="495"/>
      </c>
      <c r="AA640" s="4">
        <f t="shared" si="496"/>
      </c>
      <c r="AB640" s="4">
        <f t="shared" si="497"/>
      </c>
      <c r="AC640" s="4">
        <f t="shared" si="498"/>
      </c>
      <c r="AD640" s="4">
        <f t="shared" si="499"/>
      </c>
      <c r="AE640" s="4">
        <f t="shared" si="500"/>
      </c>
      <c r="AF640" s="4">
        <f t="shared" si="501"/>
      </c>
      <c r="AG640" s="4">
        <f t="shared" si="502"/>
        <v/>
      </c>
      <c r="AH640" s="4">
        <f t="shared" si="503"/>
      </c>
      <c r="AI640" s="4">
        <f t="shared" si="504"/>
      </c>
      <c r="AJ640" s="4">
        <f t="shared" si="505"/>
      </c>
      <c r="AK640" s="4">
        <f t="shared" si="506"/>
      </c>
      <c r="AL640" s="4">
        <f t="shared" si="507"/>
      </c>
      <c r="AM640" s="4">
        <f t="shared" si="508"/>
      </c>
      <c r="AN640" s="4"/>
      <c r="AO640" s="4">
        <f t="shared" si="509"/>
      </c>
      <c r="AP640" s="4">
        <f t="shared" si="510"/>
      </c>
      <c r="AQ640" s="4">
        <f t="shared" si="511"/>
        <v/>
      </c>
      <c r="AR640" s="4">
        <f t="shared" si="512"/>
      </c>
      <c r="AS640" s="4">
        <f t="shared" si="513"/>
      </c>
      <c r="AT640" s="4">
        <f t="shared" si="514"/>
      </c>
    </row>
    <row r="641" spans="1:46" x14ac:dyDescent="0.3">
      <c r="A641" s="5">
        <f t="shared" si="486"/>
      </c>
      <c r="B641" s="4">
        <f t="shared" si="487"/>
      </c>
      <c r="C641" s="59"/>
      <c r="D641" s="59"/>
      <c r="E641" s="70"/>
      <c r="F641" s="164"/>
      <c r="G641" s="164"/>
      <c r="H641" s="164"/>
      <c r="I641" s="70"/>
      <c r="J641" s="70"/>
      <c r="K641" s="70"/>
      <c r="L641" s="70"/>
      <c r="M641" s="4">
        <f t="shared" si="488"/>
      </c>
      <c r="N641" s="59"/>
      <c r="O641" s="164"/>
      <c r="P641" s="59">
        <f t="shared" si="489"/>
      </c>
      <c r="Q641" s="165"/>
      <c r="R641" s="59"/>
      <c r="S641" s="164"/>
      <c r="T641" s="5">
        <f t="shared" si="490"/>
      </c>
      <c r="U641" s="4">
        <f t="shared" si="491"/>
      </c>
      <c r="V641" s="4">
        <f t="shared" si="492"/>
      </c>
      <c r="W641" s="4">
        <f t="shared" si="493"/>
      </c>
      <c r="X641" s="4">
        <f t="shared" si="494"/>
      </c>
      <c r="Y641" s="4" cm="1">
        <f t="array" ref="Y641">_xlfn.IFS(H641=1,2,H641=3,1)</f>
      </c>
      <c r="Z641" s="4">
        <f t="shared" si="495"/>
      </c>
      <c r="AA641" s="4">
        <f t="shared" si="496"/>
      </c>
      <c r="AB641" s="4">
        <f t="shared" si="497"/>
      </c>
      <c r="AC641" s="4">
        <f t="shared" si="498"/>
      </c>
      <c r="AD641" s="4">
        <f t="shared" si="499"/>
      </c>
      <c r="AE641" s="4">
        <f t="shared" si="500"/>
      </c>
      <c r="AF641" s="4">
        <f t="shared" si="501"/>
      </c>
      <c r="AG641" s="4">
        <f t="shared" si="502"/>
        <v/>
      </c>
      <c r="AH641" s="4">
        <f t="shared" si="503"/>
      </c>
      <c r="AI641" s="4">
        <f t="shared" si="504"/>
      </c>
      <c r="AJ641" s="4">
        <f t="shared" si="505"/>
      </c>
      <c r="AK641" s="4">
        <f t="shared" si="506"/>
      </c>
      <c r="AL641" s="4">
        <f t="shared" si="507"/>
      </c>
      <c r="AM641" s="4">
        <f t="shared" si="508"/>
      </c>
      <c r="AN641" s="4"/>
      <c r="AO641" s="4">
        <f t="shared" si="509"/>
      </c>
      <c r="AP641" s="4">
        <f t="shared" si="510"/>
      </c>
      <c r="AQ641" s="4">
        <f t="shared" si="511"/>
        <v/>
      </c>
      <c r="AR641" s="4">
        <f t="shared" si="512"/>
      </c>
      <c r="AS641" s="4">
        <f t="shared" si="513"/>
      </c>
      <c r="AT641" s="4">
        <f t="shared" si="514"/>
      </c>
    </row>
    <row r="642" spans="1:46" x14ac:dyDescent="0.3">
      <c r="A642" s="5">
        <f t="shared" si="486"/>
      </c>
      <c r="B642" s="4">
        <f t="shared" si="487"/>
      </c>
      <c r="C642" s="59"/>
      <c r="D642" s="59"/>
      <c r="E642" s="70"/>
      <c r="F642" s="164"/>
      <c r="G642" s="164"/>
      <c r="H642" s="164"/>
      <c r="I642" s="70"/>
      <c r="J642" s="70"/>
      <c r="K642" s="70"/>
      <c r="L642" s="70"/>
      <c r="M642" s="4">
        <f t="shared" si="488"/>
      </c>
      <c r="N642" s="59"/>
      <c r="O642" s="164"/>
      <c r="P642" s="59">
        <f t="shared" si="489"/>
      </c>
      <c r="Q642" s="165"/>
      <c r="R642" s="59"/>
      <c r="S642" s="164"/>
      <c r="T642" s="5">
        <f t="shared" si="490"/>
      </c>
      <c r="U642" s="4">
        <f t="shared" si="491"/>
      </c>
      <c r="V642" s="4">
        <f t="shared" si="492"/>
      </c>
      <c r="W642" s="4">
        <f t="shared" si="493"/>
      </c>
      <c r="X642" s="4">
        <f t="shared" si="494"/>
      </c>
      <c r="Y642" s="4" cm="1">
        <f t="array" ref="Y642">_xlfn.IFS(H642=1,2,H642=3,1)</f>
      </c>
      <c r="Z642" s="4">
        <f t="shared" si="495"/>
      </c>
      <c r="AA642" s="4">
        <f t="shared" si="496"/>
      </c>
      <c r="AB642" s="4">
        <f t="shared" si="497"/>
      </c>
      <c r="AC642" s="4">
        <f t="shared" si="498"/>
      </c>
      <c r="AD642" s="4">
        <f t="shared" si="499"/>
      </c>
      <c r="AE642" s="4">
        <f t="shared" si="500"/>
      </c>
      <c r="AF642" s="4">
        <f t="shared" si="501"/>
      </c>
      <c r="AG642" s="4">
        <f t="shared" si="502"/>
        <v/>
      </c>
      <c r="AH642" s="4">
        <f t="shared" si="503"/>
      </c>
      <c r="AI642" s="4">
        <f t="shared" si="504"/>
      </c>
      <c r="AJ642" s="4">
        <f t="shared" si="505"/>
      </c>
      <c r="AK642" s="4">
        <f t="shared" si="506"/>
      </c>
      <c r="AL642" s="4">
        <f t="shared" si="507"/>
      </c>
      <c r="AM642" s="4">
        <f t="shared" si="508"/>
      </c>
      <c r="AN642" s="4"/>
      <c r="AO642" s="4">
        <f t="shared" si="509"/>
      </c>
      <c r="AP642" s="4">
        <f t="shared" si="510"/>
      </c>
      <c r="AQ642" s="4">
        <f t="shared" si="511"/>
        <v/>
      </c>
      <c r="AR642" s="4">
        <f t="shared" si="512"/>
      </c>
      <c r="AS642" s="4">
        <f t="shared" si="513"/>
      </c>
      <c r="AT642" s="4">
        <f t="shared" si="514"/>
      </c>
    </row>
    <row r="643" spans="1:46" x14ac:dyDescent="0.3">
      <c r="A643" s="5">
        <f t="shared" si="486"/>
      </c>
      <c r="B643" s="4">
        <f t="shared" si="487"/>
      </c>
      <c r="C643" s="59"/>
      <c r="D643" s="59"/>
      <c r="E643" s="70"/>
      <c r="F643" s="164"/>
      <c r="G643" s="164"/>
      <c r="H643" s="164"/>
      <c r="I643" s="70"/>
      <c r="J643" s="70"/>
      <c r="K643" s="70"/>
      <c r="L643" s="70"/>
      <c r="M643" s="4">
        <f t="shared" si="488"/>
      </c>
      <c r="N643" s="59"/>
      <c r="O643" s="164"/>
      <c r="P643" s="59">
        <f t="shared" si="489"/>
      </c>
      <c r="Q643" s="165"/>
      <c r="R643" s="59"/>
      <c r="S643" s="164"/>
      <c r="T643" s="5">
        <f t="shared" si="490"/>
      </c>
      <c r="U643" s="4">
        <f t="shared" si="491"/>
      </c>
      <c r="V643" s="4">
        <f t="shared" si="492"/>
      </c>
      <c r="W643" s="4">
        <f t="shared" si="493"/>
      </c>
      <c r="X643" s="4">
        <f t="shared" si="494"/>
      </c>
      <c r="Y643" s="4" cm="1">
        <f t="array" ref="Y643">_xlfn.IFS(H643=1,2,H643=3,1)</f>
      </c>
      <c r="Z643" s="4">
        <f t="shared" si="495"/>
      </c>
      <c r="AA643" s="4">
        <f t="shared" si="496"/>
      </c>
      <c r="AB643" s="4">
        <f t="shared" si="497"/>
      </c>
      <c r="AC643" s="4">
        <f t="shared" si="498"/>
      </c>
      <c r="AD643" s="4">
        <f t="shared" si="499"/>
      </c>
      <c r="AE643" s="4">
        <f t="shared" si="500"/>
      </c>
      <c r="AF643" s="4">
        <f t="shared" si="501"/>
      </c>
      <c r="AG643" s="4">
        <f t="shared" si="502"/>
        <v/>
      </c>
      <c r="AH643" s="4">
        <f t="shared" si="503"/>
      </c>
      <c r="AI643" s="4">
        <f t="shared" si="504"/>
      </c>
      <c r="AJ643" s="4">
        <f t="shared" si="505"/>
      </c>
      <c r="AK643" s="4">
        <f t="shared" si="506"/>
      </c>
      <c r="AL643" s="4">
        <f t="shared" si="507"/>
      </c>
      <c r="AM643" s="4">
        <f t="shared" si="508"/>
      </c>
      <c r="AN643" s="4"/>
      <c r="AO643" s="4">
        <f t="shared" si="509"/>
      </c>
      <c r="AP643" s="4">
        <f t="shared" si="510"/>
      </c>
      <c r="AQ643" s="4">
        <f t="shared" si="511"/>
        <v/>
      </c>
      <c r="AR643" s="4">
        <f t="shared" si="512"/>
      </c>
      <c r="AS643" s="4">
        <f t="shared" si="513"/>
      </c>
      <c r="AT643" s="4">
        <f t="shared" si="514"/>
      </c>
    </row>
    <row r="644" spans="1:46" x14ac:dyDescent="0.3">
      <c r="A644" s="5">
        <f t="shared" si="486"/>
      </c>
      <c r="B644" s="4">
        <f t="shared" si="487"/>
      </c>
      <c r="C644" s="59"/>
      <c r="D644" s="59"/>
      <c r="E644" s="70"/>
      <c r="F644" s="164"/>
      <c r="G644" s="164"/>
      <c r="H644" s="164"/>
      <c r="I644" s="70"/>
      <c r="J644" s="70"/>
      <c r="K644" s="70"/>
      <c r="L644" s="70"/>
      <c r="M644" s="4">
        <f t="shared" si="488"/>
      </c>
      <c r="N644" s="59"/>
      <c r="O644" s="164"/>
      <c r="P644" s="59">
        <f t="shared" si="489"/>
      </c>
      <c r="Q644" s="165"/>
      <c r="R644" s="59"/>
      <c r="S644" s="164"/>
      <c r="T644" s="5">
        <f t="shared" si="490"/>
      </c>
      <c r="U644" s="4">
        <f t="shared" si="491"/>
      </c>
      <c r="V644" s="4">
        <f t="shared" si="492"/>
      </c>
      <c r="W644" s="4">
        <f t="shared" si="493"/>
      </c>
      <c r="X644" s="4">
        <f t="shared" si="494"/>
      </c>
      <c r="Y644" s="4" cm="1">
        <f t="array" ref="Y644">_xlfn.IFS(H644=1,2,H644=3,1)</f>
      </c>
      <c r="Z644" s="4">
        <f t="shared" si="495"/>
      </c>
      <c r="AA644" s="4">
        <f t="shared" si="496"/>
      </c>
      <c r="AB644" s="4">
        <f t="shared" si="497"/>
      </c>
      <c r="AC644" s="4">
        <f t="shared" si="498"/>
      </c>
      <c r="AD644" s="4">
        <f t="shared" si="499"/>
      </c>
      <c r="AE644" s="4">
        <f t="shared" si="500"/>
      </c>
      <c r="AF644" s="4">
        <f t="shared" si="501"/>
      </c>
      <c r="AG644" s="4">
        <f t="shared" si="502"/>
        <v/>
      </c>
      <c r="AH644" s="4">
        <f t="shared" si="503"/>
      </c>
      <c r="AI644" s="4">
        <f t="shared" si="504"/>
      </c>
      <c r="AJ644" s="4">
        <f t="shared" si="505"/>
      </c>
      <c r="AK644" s="4">
        <f t="shared" si="506"/>
      </c>
      <c r="AL644" s="4">
        <f t="shared" si="507"/>
      </c>
      <c r="AM644" s="4">
        <f t="shared" si="508"/>
      </c>
      <c r="AN644" s="4"/>
      <c r="AO644" s="4">
        <f t="shared" si="509"/>
      </c>
      <c r="AP644" s="4">
        <f t="shared" si="510"/>
      </c>
      <c r="AQ644" s="4">
        <f t="shared" si="511"/>
        <v/>
      </c>
      <c r="AR644" s="4">
        <f t="shared" si="512"/>
      </c>
      <c r="AS644" s="4">
        <f t="shared" si="513"/>
      </c>
      <c r="AT644" s="4">
        <f t="shared" si="514"/>
      </c>
    </row>
    <row r="645" spans="1:46" x14ac:dyDescent="0.3">
      <c r="A645" s="5">
        <f t="shared" si="486"/>
      </c>
      <c r="B645" s="4">
        <f t="shared" si="487"/>
      </c>
      <c r="C645" s="59"/>
      <c r="D645" s="59"/>
      <c r="E645" s="70"/>
      <c r="F645" s="164"/>
      <c r="G645" s="164"/>
      <c r="H645" s="164"/>
      <c r="I645" s="70"/>
      <c r="J645" s="70"/>
      <c r="K645" s="70"/>
      <c r="L645" s="70"/>
      <c r="M645" s="4">
        <f t="shared" si="488"/>
      </c>
      <c r="N645" s="59"/>
      <c r="O645" s="164"/>
      <c r="P645" s="59">
        <f t="shared" si="489"/>
      </c>
      <c r="Q645" s="165"/>
      <c r="R645" s="59"/>
      <c r="S645" s="164"/>
      <c r="T645" s="5">
        <f t="shared" si="490"/>
      </c>
      <c r="U645" s="4">
        <f t="shared" si="491"/>
      </c>
      <c r="V645" s="4">
        <f t="shared" si="492"/>
      </c>
      <c r="W645" s="4">
        <f t="shared" si="493"/>
      </c>
      <c r="X645" s="4">
        <f t="shared" si="494"/>
      </c>
      <c r="Y645" s="4" cm="1">
        <f t="array" ref="Y645">_xlfn.IFS(H645=1,2,H645=3,1)</f>
      </c>
      <c r="Z645" s="4">
        <f t="shared" si="495"/>
      </c>
      <c r="AA645" s="4">
        <f t="shared" si="496"/>
      </c>
      <c r="AB645" s="4">
        <f t="shared" si="497"/>
      </c>
      <c r="AC645" s="4">
        <f t="shared" si="498"/>
      </c>
      <c r="AD645" s="4">
        <f t="shared" si="499"/>
      </c>
      <c r="AE645" s="4">
        <f t="shared" si="500"/>
      </c>
      <c r="AF645" s="4">
        <f t="shared" si="501"/>
      </c>
      <c r="AG645" s="4">
        <f t="shared" si="502"/>
        <v/>
      </c>
      <c r="AH645" s="4">
        <f t="shared" si="503"/>
      </c>
      <c r="AI645" s="4">
        <f t="shared" si="504"/>
      </c>
      <c r="AJ645" s="4">
        <f t="shared" si="505"/>
      </c>
      <c r="AK645" s="4">
        <f t="shared" si="506"/>
      </c>
      <c r="AL645" s="4">
        <f t="shared" si="507"/>
      </c>
      <c r="AM645" s="4">
        <f t="shared" si="508"/>
      </c>
      <c r="AN645" s="4"/>
      <c r="AO645" s="4">
        <f t="shared" si="509"/>
      </c>
      <c r="AP645" s="4">
        <f t="shared" si="510"/>
      </c>
      <c r="AQ645" s="4">
        <f t="shared" si="511"/>
        <v/>
      </c>
      <c r="AR645" s="4">
        <f t="shared" si="512"/>
      </c>
      <c r="AS645" s="4">
        <f t="shared" si="513"/>
      </c>
      <c r="AT645" s="4">
        <f t="shared" si="514"/>
      </c>
    </row>
    <row r="646" spans="1:46" x14ac:dyDescent="0.3">
      <c r="A646" s="5">
        <f t="shared" si="486"/>
      </c>
      <c r="B646" s="4">
        <f t="shared" si="487"/>
      </c>
      <c r="C646" s="59"/>
      <c r="D646" s="59"/>
      <c r="E646" s="70"/>
      <c r="F646" s="164"/>
      <c r="G646" s="164"/>
      <c r="H646" s="164"/>
      <c r="I646" s="70"/>
      <c r="J646" s="70"/>
      <c r="K646" s="70"/>
      <c r="L646" s="70"/>
      <c r="M646" s="4">
        <f t="shared" si="488"/>
      </c>
      <c r="N646" s="59"/>
      <c r="O646" s="164"/>
      <c r="P646" s="59">
        <f t="shared" si="489"/>
      </c>
      <c r="Q646" s="165"/>
      <c r="R646" s="59"/>
      <c r="S646" s="164"/>
      <c r="T646" s="5">
        <f t="shared" si="490"/>
      </c>
      <c r="U646" s="4">
        <f t="shared" si="491"/>
      </c>
      <c r="V646" s="4">
        <f t="shared" si="492"/>
      </c>
      <c r="W646" s="4">
        <f t="shared" si="493"/>
      </c>
      <c r="X646" s="4">
        <f t="shared" si="494"/>
      </c>
      <c r="Y646" s="4" cm="1">
        <f t="array" ref="Y646">_xlfn.IFS(H646=1,2,H646=3,1)</f>
      </c>
      <c r="Z646" s="4">
        <f t="shared" si="495"/>
      </c>
      <c r="AA646" s="4">
        <f t="shared" si="496"/>
      </c>
      <c r="AB646" s="4">
        <f t="shared" si="497"/>
      </c>
      <c r="AC646" s="4">
        <f t="shared" si="498"/>
      </c>
      <c r="AD646" s="4">
        <f t="shared" si="499"/>
      </c>
      <c r="AE646" s="4">
        <f t="shared" si="500"/>
      </c>
      <c r="AF646" s="4">
        <f t="shared" si="501"/>
      </c>
      <c r="AG646" s="4">
        <f t="shared" si="502"/>
        <v/>
      </c>
      <c r="AH646" s="4">
        <f t="shared" si="503"/>
      </c>
      <c r="AI646" s="4">
        <f t="shared" si="504"/>
      </c>
      <c r="AJ646" s="4">
        <f t="shared" si="505"/>
      </c>
      <c r="AK646" s="4">
        <f t="shared" si="506"/>
      </c>
      <c r="AL646" s="4">
        <f t="shared" si="507"/>
      </c>
      <c r="AM646" s="4">
        <f t="shared" si="508"/>
      </c>
      <c r="AN646" s="4"/>
      <c r="AO646" s="4">
        <f t="shared" si="509"/>
      </c>
      <c r="AP646" s="4">
        <f t="shared" si="510"/>
      </c>
      <c r="AQ646" s="4">
        <f t="shared" si="511"/>
        <v/>
      </c>
      <c r="AR646" s="4">
        <f t="shared" si="512"/>
      </c>
      <c r="AS646" s="4">
        <f t="shared" si="513"/>
      </c>
      <c r="AT646" s="4">
        <f t="shared" si="514"/>
      </c>
    </row>
    <row r="647" spans="1:46" x14ac:dyDescent="0.3">
      <c r="A647" s="5">
        <f t="shared" si="486"/>
      </c>
      <c r="B647" s="4">
        <f t="shared" si="487"/>
      </c>
      <c r="C647" s="59"/>
      <c r="D647" s="59"/>
      <c r="E647" s="70"/>
      <c r="F647" s="164"/>
      <c r="G647" s="164"/>
      <c r="H647" s="164"/>
      <c r="I647" s="70"/>
      <c r="J647" s="70"/>
      <c r="K647" s="70"/>
      <c r="L647" s="70"/>
      <c r="M647" s="4">
        <f t="shared" si="488"/>
      </c>
      <c r="N647" s="59"/>
      <c r="O647" s="164"/>
      <c r="P647" s="59">
        <f t="shared" si="489"/>
      </c>
      <c r="Q647" s="165"/>
      <c r="R647" s="59"/>
      <c r="S647" s="164"/>
      <c r="T647" s="5">
        <f t="shared" si="490"/>
      </c>
      <c r="U647" s="4">
        <f t="shared" si="491"/>
      </c>
      <c r="V647" s="4">
        <f t="shared" si="492"/>
      </c>
      <c r="W647" s="4">
        <f t="shared" si="493"/>
      </c>
      <c r="X647" s="4">
        <f t="shared" si="494"/>
      </c>
      <c r="Y647" s="4" cm="1">
        <f t="array" ref="Y647">_xlfn.IFS(H647=1,2,H647=3,1)</f>
      </c>
      <c r="Z647" s="4">
        <f t="shared" si="495"/>
      </c>
      <c r="AA647" s="4">
        <f t="shared" si="496"/>
      </c>
      <c r="AB647" s="4">
        <f t="shared" si="497"/>
      </c>
      <c r="AC647" s="4">
        <f t="shared" si="498"/>
      </c>
      <c r="AD647" s="4">
        <f t="shared" si="499"/>
      </c>
      <c r="AE647" s="4">
        <f t="shared" si="500"/>
      </c>
      <c r="AF647" s="4">
        <f t="shared" si="501"/>
      </c>
      <c r="AG647" s="4">
        <f t="shared" si="502"/>
        <v/>
      </c>
      <c r="AH647" s="4">
        <f t="shared" si="503"/>
      </c>
      <c r="AI647" s="4">
        <f t="shared" si="504"/>
      </c>
      <c r="AJ647" s="4">
        <f t="shared" si="505"/>
      </c>
      <c r="AK647" s="4">
        <f t="shared" si="506"/>
      </c>
      <c r="AL647" s="4">
        <f t="shared" si="507"/>
      </c>
      <c r="AM647" s="4">
        <f t="shared" si="508"/>
      </c>
      <c r="AN647" s="4"/>
      <c r="AO647" s="4">
        <f t="shared" si="509"/>
      </c>
      <c r="AP647" s="4">
        <f t="shared" si="510"/>
      </c>
      <c r="AQ647" s="4">
        <f t="shared" si="511"/>
        <v/>
      </c>
      <c r="AR647" s="4">
        <f t="shared" si="512"/>
      </c>
      <c r="AS647" s="4">
        <f t="shared" si="513"/>
      </c>
      <c r="AT647" s="4">
        <f t="shared" si="514"/>
      </c>
    </row>
    <row r="648" spans="1:46" x14ac:dyDescent="0.3">
      <c r="A648" s="5">
        <f t="shared" si="486"/>
      </c>
      <c r="B648" s="4">
        <f t="shared" si="487"/>
      </c>
      <c r="C648" s="59"/>
      <c r="D648" s="59"/>
      <c r="E648" s="70"/>
      <c r="F648" s="164"/>
      <c r="G648" s="164"/>
      <c r="H648" s="164"/>
      <c r="I648" s="70"/>
      <c r="J648" s="70"/>
      <c r="K648" s="70"/>
      <c r="L648" s="70"/>
      <c r="M648" s="4">
        <f t="shared" si="488"/>
      </c>
      <c r="N648" s="59"/>
      <c r="O648" s="164"/>
      <c r="P648" s="59">
        <f t="shared" si="489"/>
      </c>
      <c r="Q648" s="165"/>
      <c r="R648" s="59"/>
      <c r="S648" s="164"/>
      <c r="T648" s="5">
        <f t="shared" si="490"/>
      </c>
      <c r="U648" s="4">
        <f t="shared" si="491"/>
      </c>
      <c r="V648" s="4">
        <f t="shared" si="492"/>
      </c>
      <c r="W648" s="4">
        <f t="shared" si="493"/>
      </c>
      <c r="X648" s="4">
        <f t="shared" si="494"/>
      </c>
      <c r="Y648" s="4" cm="1">
        <f t="array" ref="Y648">_xlfn.IFS(H648=1,2,H648=3,1)</f>
      </c>
      <c r="Z648" s="4">
        <f t="shared" si="495"/>
      </c>
      <c r="AA648" s="4">
        <f t="shared" si="496"/>
      </c>
      <c r="AB648" s="4">
        <f t="shared" si="497"/>
      </c>
      <c r="AC648" s="4">
        <f t="shared" si="498"/>
      </c>
      <c r="AD648" s="4">
        <f t="shared" si="499"/>
      </c>
      <c r="AE648" s="4">
        <f t="shared" si="500"/>
      </c>
      <c r="AF648" s="4">
        <f t="shared" si="501"/>
      </c>
      <c r="AG648" s="4">
        <f t="shared" si="502"/>
        <v/>
      </c>
      <c r="AH648" s="4">
        <f t="shared" si="503"/>
      </c>
      <c r="AI648" s="4">
        <f t="shared" si="504"/>
      </c>
      <c r="AJ648" s="4">
        <f t="shared" si="505"/>
      </c>
      <c r="AK648" s="4">
        <f t="shared" si="506"/>
      </c>
      <c r="AL648" s="4">
        <f t="shared" si="507"/>
      </c>
      <c r="AM648" s="4">
        <f t="shared" si="508"/>
      </c>
      <c r="AN648" s="4"/>
      <c r="AO648" s="4">
        <f t="shared" si="509"/>
      </c>
      <c r="AP648" s="4">
        <f t="shared" si="510"/>
      </c>
      <c r="AQ648" s="4">
        <f t="shared" si="511"/>
        <v/>
      </c>
      <c r="AR648" s="4">
        <f t="shared" si="512"/>
      </c>
      <c r="AS648" s="4">
        <f t="shared" si="513"/>
      </c>
      <c r="AT648" s="4">
        <f t="shared" si="514"/>
      </c>
    </row>
    <row r="649" spans="1:46" x14ac:dyDescent="0.3">
      <c r="A649" s="5">
        <f t="shared" si="486"/>
      </c>
      <c r="B649" s="4">
        <f t="shared" si="487"/>
      </c>
      <c r="C649" s="59"/>
      <c r="D649" s="59"/>
      <c r="E649" s="70"/>
      <c r="F649" s="164"/>
      <c r="G649" s="164"/>
      <c r="H649" s="164"/>
      <c r="I649" s="70"/>
      <c r="J649" s="70"/>
      <c r="K649" s="70"/>
      <c r="L649" s="70"/>
      <c r="M649" s="4">
        <f t="shared" si="488"/>
      </c>
      <c r="N649" s="59"/>
      <c r="O649" s="164"/>
      <c r="P649" s="59">
        <f t="shared" si="489"/>
      </c>
      <c r="Q649" s="165"/>
      <c r="R649" s="59"/>
      <c r="S649" s="164"/>
      <c r="T649" s="5">
        <f t="shared" si="490"/>
      </c>
      <c r="U649" s="4">
        <f t="shared" si="491"/>
      </c>
      <c r="V649" s="4">
        <f t="shared" si="492"/>
      </c>
      <c r="W649" s="4">
        <f t="shared" si="493"/>
      </c>
      <c r="X649" s="4">
        <f t="shared" si="494"/>
      </c>
      <c r="Y649" s="4" cm="1">
        <f t="array" ref="Y649">_xlfn.IFS(H649=1,2,H649=3,1)</f>
      </c>
      <c r="Z649" s="4">
        <f t="shared" si="495"/>
      </c>
      <c r="AA649" s="4">
        <f t="shared" si="496"/>
      </c>
      <c r="AB649" s="4">
        <f t="shared" si="497"/>
      </c>
      <c r="AC649" s="4">
        <f t="shared" si="498"/>
      </c>
      <c r="AD649" s="4">
        <f t="shared" si="499"/>
      </c>
      <c r="AE649" s="4">
        <f t="shared" si="500"/>
      </c>
      <c r="AF649" s="4">
        <f t="shared" si="501"/>
      </c>
      <c r="AG649" s="4">
        <f t="shared" si="502"/>
        <v/>
      </c>
      <c r="AH649" s="4">
        <f t="shared" si="503"/>
      </c>
      <c r="AI649" s="4">
        <f t="shared" si="504"/>
      </c>
      <c r="AJ649" s="4">
        <f t="shared" si="505"/>
      </c>
      <c r="AK649" s="4">
        <f t="shared" si="506"/>
      </c>
      <c r="AL649" s="4">
        <f t="shared" si="507"/>
      </c>
      <c r="AM649" s="4">
        <f t="shared" si="508"/>
      </c>
      <c r="AN649" s="4"/>
      <c r="AO649" s="4">
        <f t="shared" si="509"/>
      </c>
      <c r="AP649" s="4">
        <f t="shared" si="510"/>
      </c>
      <c r="AQ649" s="4">
        <f t="shared" si="511"/>
        <v/>
      </c>
      <c r="AR649" s="4">
        <f t="shared" si="512"/>
      </c>
      <c r="AS649" s="4">
        <f t="shared" si="513"/>
      </c>
      <c r="AT649" s="4">
        <f t="shared" si="514"/>
      </c>
    </row>
    <row r="650" spans="1:46" x14ac:dyDescent="0.3">
      <c r="A650" s="5">
        <f t="shared" si="486"/>
      </c>
      <c r="B650" s="4">
        <f t="shared" si="487"/>
      </c>
      <c r="C650" s="59"/>
      <c r="D650" s="59"/>
      <c r="E650" s="70"/>
      <c r="F650" s="164"/>
      <c r="G650" s="164"/>
      <c r="H650" s="164"/>
      <c r="I650" s="70"/>
      <c r="J650" s="70"/>
      <c r="K650" s="70"/>
      <c r="L650" s="70"/>
      <c r="M650" s="4">
        <f t="shared" si="488"/>
      </c>
      <c r="N650" s="59"/>
      <c r="O650" s="164"/>
      <c r="P650" s="59">
        <f t="shared" si="489"/>
      </c>
      <c r="Q650" s="165"/>
      <c r="R650" s="59"/>
      <c r="S650" s="164"/>
      <c r="T650" s="5">
        <f t="shared" si="490"/>
      </c>
      <c r="U650" s="4">
        <f t="shared" si="491"/>
      </c>
      <c r="V650" s="4">
        <f t="shared" si="492"/>
      </c>
      <c r="W650" s="4">
        <f t="shared" si="493"/>
      </c>
      <c r="X650" s="4">
        <f t="shared" si="494"/>
      </c>
      <c r="Y650" s="4" cm="1">
        <f t="array" ref="Y650">_xlfn.IFS(H650=1,2,H650=3,1)</f>
      </c>
      <c r="Z650" s="4">
        <f t="shared" si="495"/>
      </c>
      <c r="AA650" s="4">
        <f t="shared" si="496"/>
      </c>
      <c r="AB650" s="4">
        <f t="shared" si="497"/>
      </c>
      <c r="AC650" s="4">
        <f t="shared" si="498"/>
      </c>
      <c r="AD650" s="4">
        <f t="shared" si="499"/>
      </c>
      <c r="AE650" s="4">
        <f t="shared" si="500"/>
      </c>
      <c r="AF650" s="4">
        <f t="shared" si="501"/>
      </c>
      <c r="AG650" s="4">
        <f t="shared" si="502"/>
        <v/>
      </c>
      <c r="AH650" s="4">
        <f t="shared" si="503"/>
      </c>
      <c r="AI650" s="4">
        <f t="shared" si="504"/>
      </c>
      <c r="AJ650" s="4">
        <f t="shared" si="505"/>
      </c>
      <c r="AK650" s="4">
        <f t="shared" si="506"/>
      </c>
      <c r="AL650" s="4">
        <f t="shared" si="507"/>
      </c>
      <c r="AM650" s="4">
        <f t="shared" si="508"/>
      </c>
      <c r="AN650" s="4"/>
      <c r="AO650" s="4">
        <f t="shared" si="509"/>
      </c>
      <c r="AP650" s="4">
        <f t="shared" si="510"/>
      </c>
      <c r="AQ650" s="4">
        <f t="shared" si="511"/>
        <v/>
      </c>
      <c r="AR650" s="4">
        <f t="shared" si="512"/>
      </c>
      <c r="AS650" s="4">
        <f t="shared" si="513"/>
      </c>
      <c r="AT650" s="4">
        <f t="shared" si="514"/>
      </c>
    </row>
    <row r="651" spans="1:46" x14ac:dyDescent="0.3">
      <c r="A651" s="5">
        <f t="shared" si="486"/>
      </c>
      <c r="B651" s="4">
        <f t="shared" si="487"/>
      </c>
      <c r="C651" s="59"/>
      <c r="D651" s="59"/>
      <c r="E651" s="70"/>
      <c r="F651" s="164"/>
      <c r="G651" s="164"/>
      <c r="H651" s="164"/>
      <c r="I651" s="70"/>
      <c r="J651" s="70"/>
      <c r="K651" s="70"/>
      <c r="L651" s="70"/>
      <c r="M651" s="4">
        <f t="shared" si="488"/>
      </c>
      <c r="N651" s="59"/>
      <c r="O651" s="164"/>
      <c r="P651" s="59">
        <f t="shared" si="489"/>
      </c>
      <c r="Q651" s="165"/>
      <c r="R651" s="59"/>
      <c r="S651" s="164"/>
      <c r="T651" s="5">
        <f t="shared" si="490"/>
      </c>
      <c r="U651" s="4">
        <f t="shared" si="491"/>
      </c>
      <c r="V651" s="4">
        <f t="shared" si="492"/>
      </c>
      <c r="W651" s="4">
        <f t="shared" si="493"/>
      </c>
      <c r="X651" s="4">
        <f t="shared" si="494"/>
      </c>
      <c r="Y651" s="4" cm="1">
        <f t="array" ref="Y651">_xlfn.IFS(H651=1,2,H651=3,1)</f>
      </c>
      <c r="Z651" s="4">
        <f t="shared" si="495"/>
      </c>
      <c r="AA651" s="4">
        <f t="shared" si="496"/>
      </c>
      <c r="AB651" s="4">
        <f t="shared" si="497"/>
      </c>
      <c r="AC651" s="4">
        <f t="shared" si="498"/>
      </c>
      <c r="AD651" s="4">
        <f t="shared" si="499"/>
      </c>
      <c r="AE651" s="4">
        <f t="shared" si="500"/>
      </c>
      <c r="AF651" s="4">
        <f t="shared" si="501"/>
      </c>
      <c r="AG651" s="4">
        <f t="shared" si="502"/>
        <v/>
      </c>
      <c r="AH651" s="4">
        <f t="shared" si="503"/>
      </c>
      <c r="AI651" s="4">
        <f t="shared" si="504"/>
      </c>
      <c r="AJ651" s="4">
        <f t="shared" si="505"/>
      </c>
      <c r="AK651" s="4">
        <f t="shared" si="506"/>
      </c>
      <c r="AL651" s="4">
        <f t="shared" si="507"/>
      </c>
      <c r="AM651" s="4">
        <f t="shared" si="508"/>
      </c>
      <c r="AN651" s="4"/>
      <c r="AO651" s="4">
        <f t="shared" si="509"/>
      </c>
      <c r="AP651" s="4">
        <f t="shared" si="510"/>
      </c>
      <c r="AQ651" s="4">
        <f t="shared" si="511"/>
        <v/>
      </c>
      <c r="AR651" s="4">
        <f t="shared" si="512"/>
      </c>
      <c r="AS651" s="4">
        <f t="shared" si="513"/>
      </c>
      <c r="AT651" s="4">
        <f t="shared" si="514"/>
      </c>
    </row>
    <row r="652" spans="1:46" x14ac:dyDescent="0.3">
      <c r="A652" s="5">
        <f t="shared" si="486"/>
      </c>
      <c r="B652" s="4">
        <f t="shared" si="487"/>
      </c>
      <c r="C652" s="59"/>
      <c r="D652" s="59"/>
      <c r="E652" s="70"/>
      <c r="F652" s="164"/>
      <c r="G652" s="164"/>
      <c r="H652" s="164"/>
      <c r="I652" s="70"/>
      <c r="J652" s="70"/>
      <c r="K652" s="70"/>
      <c r="L652" s="70"/>
      <c r="M652" s="4">
        <f t="shared" si="488"/>
      </c>
      <c r="N652" s="59"/>
      <c r="O652" s="164"/>
      <c r="P652" s="59">
        <f t="shared" si="489"/>
      </c>
      <c r="Q652" s="165"/>
      <c r="R652" s="59"/>
      <c r="S652" s="164"/>
      <c r="T652" s="5">
        <f t="shared" si="490"/>
      </c>
      <c r="U652" s="4">
        <f t="shared" si="491"/>
      </c>
      <c r="V652" s="4">
        <f t="shared" si="492"/>
      </c>
      <c r="W652" s="4">
        <f t="shared" si="493"/>
      </c>
      <c r="X652" s="4">
        <f t="shared" si="494"/>
      </c>
      <c r="Y652" s="4" cm="1">
        <f t="array" ref="Y652">_xlfn.IFS(H652=1,2,H652=3,1)</f>
      </c>
      <c r="Z652" s="4">
        <f t="shared" si="495"/>
      </c>
      <c r="AA652" s="4">
        <f t="shared" si="496"/>
      </c>
      <c r="AB652" s="4">
        <f t="shared" si="497"/>
      </c>
      <c r="AC652" s="4">
        <f t="shared" si="498"/>
      </c>
      <c r="AD652" s="4">
        <f t="shared" si="499"/>
      </c>
      <c r="AE652" s="4">
        <f t="shared" si="500"/>
      </c>
      <c r="AF652" s="4">
        <f t="shared" si="501"/>
      </c>
      <c r="AG652" s="4">
        <f t="shared" si="502"/>
        <v/>
      </c>
      <c r="AH652" s="4">
        <f t="shared" si="503"/>
      </c>
      <c r="AI652" s="4">
        <f t="shared" si="504"/>
      </c>
      <c r="AJ652" s="4">
        <f t="shared" si="505"/>
      </c>
      <c r="AK652" s="4">
        <f t="shared" si="506"/>
      </c>
      <c r="AL652" s="4">
        <f t="shared" si="507"/>
      </c>
      <c r="AM652" s="4">
        <f t="shared" si="508"/>
      </c>
      <c r="AN652" s="4"/>
      <c r="AO652" s="4">
        <f t="shared" si="509"/>
      </c>
      <c r="AP652" s="4">
        <f t="shared" si="510"/>
      </c>
      <c r="AQ652" s="4">
        <f t="shared" si="511"/>
        <v/>
      </c>
      <c r="AR652" s="4">
        <f t="shared" si="512"/>
      </c>
      <c r="AS652" s="4">
        <f t="shared" si="513"/>
      </c>
      <c r="AT652" s="4">
        <f t="shared" si="514"/>
      </c>
    </row>
    <row r="653" spans="1:46" x14ac:dyDescent="0.3">
      <c r="A653" s="5">
        <f t="shared" si="486"/>
      </c>
      <c r="B653" s="4">
        <f t="shared" si="487"/>
      </c>
      <c r="C653" s="59"/>
      <c r="D653" s="59"/>
      <c r="E653" s="70"/>
      <c r="F653" s="164"/>
      <c r="G653" s="164"/>
      <c r="H653" s="164"/>
      <c r="I653" s="70"/>
      <c r="J653" s="70"/>
      <c r="K653" s="70"/>
      <c r="L653" s="70"/>
      <c r="M653" s="4">
        <f t="shared" si="488"/>
      </c>
      <c r="N653" s="59"/>
      <c r="O653" s="164"/>
      <c r="P653" s="59">
        <f t="shared" si="489"/>
      </c>
      <c r="Q653" s="165"/>
      <c r="R653" s="59"/>
      <c r="S653" s="164"/>
      <c r="T653" s="5">
        <f t="shared" si="490"/>
      </c>
      <c r="U653" s="4">
        <f t="shared" si="491"/>
      </c>
      <c r="V653" s="4">
        <f t="shared" si="492"/>
      </c>
      <c r="W653" s="4">
        <f t="shared" si="493"/>
      </c>
      <c r="X653" s="4">
        <f t="shared" si="494"/>
      </c>
      <c r="Y653" s="4" cm="1">
        <f t="array" ref="Y653">_xlfn.IFS(H653=1,2,H653=3,1)</f>
      </c>
      <c r="Z653" s="4">
        <f t="shared" si="495"/>
      </c>
      <c r="AA653" s="4">
        <f t="shared" si="496"/>
      </c>
      <c r="AB653" s="4">
        <f t="shared" si="497"/>
      </c>
      <c r="AC653" s="4">
        <f t="shared" si="498"/>
      </c>
      <c r="AD653" s="4">
        <f t="shared" si="499"/>
      </c>
      <c r="AE653" s="4">
        <f t="shared" si="500"/>
      </c>
      <c r="AF653" s="4">
        <f t="shared" si="501"/>
      </c>
      <c r="AG653" s="4">
        <f t="shared" si="502"/>
        <v/>
      </c>
      <c r="AH653" s="4">
        <f t="shared" si="503"/>
      </c>
      <c r="AI653" s="4">
        <f t="shared" si="504"/>
      </c>
      <c r="AJ653" s="4">
        <f t="shared" si="505"/>
      </c>
      <c r="AK653" s="4">
        <f t="shared" si="506"/>
      </c>
      <c r="AL653" s="4">
        <f t="shared" si="507"/>
      </c>
      <c r="AM653" s="4">
        <f t="shared" si="508"/>
      </c>
      <c r="AN653" s="4"/>
      <c r="AO653" s="4">
        <f t="shared" si="509"/>
      </c>
      <c r="AP653" s="4">
        <f t="shared" si="510"/>
      </c>
      <c r="AQ653" s="4">
        <f t="shared" si="511"/>
        <v/>
      </c>
      <c r="AR653" s="4">
        <f t="shared" si="512"/>
      </c>
      <c r="AS653" s="4">
        <f t="shared" si="513"/>
      </c>
      <c r="AT653" s="4">
        <f t="shared" si="514"/>
      </c>
    </row>
    <row r="654" spans="1:46" x14ac:dyDescent="0.3">
      <c r="A654" s="5">
        <f t="shared" si="486"/>
      </c>
      <c r="B654" s="4">
        <f t="shared" si="487"/>
      </c>
      <c r="C654" s="59"/>
      <c r="D654" s="59"/>
      <c r="E654" s="70"/>
      <c r="F654" s="164"/>
      <c r="G654" s="164"/>
      <c r="H654" s="164"/>
      <c r="I654" s="70"/>
      <c r="J654" s="70"/>
      <c r="K654" s="70"/>
      <c r="L654" s="70"/>
      <c r="M654" s="4">
        <f t="shared" si="488"/>
      </c>
      <c r="N654" s="59"/>
      <c r="O654" s="164"/>
      <c r="P654" s="59">
        <f t="shared" si="489"/>
      </c>
      <c r="Q654" s="165"/>
      <c r="R654" s="59"/>
      <c r="S654" s="164"/>
      <c r="T654" s="5">
        <f t="shared" si="490"/>
      </c>
      <c r="U654" s="4">
        <f t="shared" si="491"/>
      </c>
      <c r="V654" s="4">
        <f t="shared" si="492"/>
      </c>
      <c r="W654" s="4">
        <f t="shared" si="493"/>
      </c>
      <c r="X654" s="4">
        <f t="shared" si="494"/>
      </c>
      <c r="Y654" s="4" cm="1">
        <f t="array" ref="Y654">_xlfn.IFS(H654=1,2,H654=3,1)</f>
      </c>
      <c r="Z654" s="4">
        <f t="shared" si="495"/>
      </c>
      <c r="AA654" s="4">
        <f t="shared" si="496"/>
      </c>
      <c r="AB654" s="4">
        <f t="shared" si="497"/>
      </c>
      <c r="AC654" s="4">
        <f t="shared" si="498"/>
      </c>
      <c r="AD654" s="4">
        <f t="shared" si="499"/>
      </c>
      <c r="AE654" s="4">
        <f t="shared" si="500"/>
      </c>
      <c r="AF654" s="4">
        <f t="shared" si="501"/>
      </c>
      <c r="AG654" s="4">
        <f t="shared" si="502"/>
        <v/>
      </c>
      <c r="AH654" s="4">
        <f t="shared" si="503"/>
      </c>
      <c r="AI654" s="4">
        <f t="shared" si="504"/>
      </c>
      <c r="AJ654" s="4">
        <f t="shared" si="505"/>
      </c>
      <c r="AK654" s="4">
        <f t="shared" si="506"/>
      </c>
      <c r="AL654" s="4">
        <f t="shared" si="507"/>
      </c>
      <c r="AM654" s="4">
        <f t="shared" si="508"/>
      </c>
      <c r="AN654" s="4"/>
      <c r="AO654" s="4">
        <f t="shared" si="509"/>
      </c>
      <c r="AP654" s="4">
        <f t="shared" si="510"/>
      </c>
      <c r="AQ654" s="4">
        <f t="shared" si="511"/>
        <v/>
      </c>
      <c r="AR654" s="4">
        <f t="shared" si="512"/>
      </c>
      <c r="AS654" s="4">
        <f t="shared" si="513"/>
      </c>
      <c r="AT654" s="4">
        <f t="shared" si="514"/>
      </c>
    </row>
    <row r="655" spans="1:46" x14ac:dyDescent="0.3">
      <c r="A655" s="5">
        <f t="shared" si="486"/>
      </c>
      <c r="B655" s="4">
        <f t="shared" si="487"/>
      </c>
      <c r="C655" s="59"/>
      <c r="D655" s="59"/>
      <c r="E655" s="70"/>
      <c r="F655" s="164"/>
      <c r="G655" s="164"/>
      <c r="H655" s="164"/>
      <c r="I655" s="70"/>
      <c r="J655" s="70"/>
      <c r="K655" s="70"/>
      <c r="L655" s="70"/>
      <c r="M655" s="4">
        <f t="shared" si="488"/>
      </c>
      <c r="N655" s="59"/>
      <c r="O655" s="164"/>
      <c r="P655" s="59">
        <f t="shared" si="489"/>
      </c>
      <c r="Q655" s="165"/>
      <c r="R655" s="59"/>
      <c r="S655" s="164"/>
      <c r="T655" s="5">
        <f t="shared" si="490"/>
      </c>
      <c r="U655" s="4">
        <f t="shared" si="491"/>
      </c>
      <c r="V655" s="4">
        <f t="shared" si="492"/>
      </c>
      <c r="W655" s="4">
        <f t="shared" si="493"/>
      </c>
      <c r="X655" s="4">
        <f t="shared" si="494"/>
      </c>
      <c r="Y655" s="4" cm="1">
        <f t="array" ref="Y655">_xlfn.IFS(H655=1,2,H655=3,1)</f>
      </c>
      <c r="Z655" s="4">
        <f t="shared" si="495"/>
      </c>
      <c r="AA655" s="4">
        <f t="shared" si="496"/>
      </c>
      <c r="AB655" s="4">
        <f t="shared" si="497"/>
      </c>
      <c r="AC655" s="4">
        <f t="shared" si="498"/>
      </c>
      <c r="AD655" s="4">
        <f t="shared" si="499"/>
      </c>
      <c r="AE655" s="4">
        <f t="shared" si="500"/>
      </c>
      <c r="AF655" s="4">
        <f t="shared" si="501"/>
      </c>
      <c r="AG655" s="4">
        <f t="shared" si="502"/>
        <v/>
      </c>
      <c r="AH655" s="4">
        <f t="shared" si="503"/>
      </c>
      <c r="AI655" s="4">
        <f t="shared" si="504"/>
      </c>
      <c r="AJ655" s="4">
        <f t="shared" si="505"/>
      </c>
      <c r="AK655" s="4">
        <f t="shared" si="506"/>
      </c>
      <c r="AL655" s="4">
        <f t="shared" si="507"/>
      </c>
      <c r="AM655" s="4">
        <f t="shared" si="508"/>
      </c>
      <c r="AN655" s="4"/>
      <c r="AO655" s="4">
        <f t="shared" si="509"/>
      </c>
      <c r="AP655" s="4">
        <f t="shared" si="510"/>
      </c>
      <c r="AQ655" s="4">
        <f t="shared" si="511"/>
        <v/>
      </c>
      <c r="AR655" s="4">
        <f t="shared" si="512"/>
      </c>
      <c r="AS655" s="4">
        <f t="shared" si="513"/>
      </c>
      <c r="AT655" s="4">
        <f t="shared" si="514"/>
      </c>
    </row>
    <row r="656" spans="1:46" x14ac:dyDescent="0.3">
      <c r="A656" s="5">
        <f t="shared" si="486"/>
      </c>
      <c r="B656" s="4">
        <f t="shared" si="487"/>
      </c>
      <c r="C656" s="59"/>
      <c r="D656" s="59"/>
      <c r="E656" s="70"/>
      <c r="F656" s="164"/>
      <c r="G656" s="164"/>
      <c r="H656" s="164"/>
      <c r="I656" s="70"/>
      <c r="J656" s="70"/>
      <c r="K656" s="70"/>
      <c r="L656" s="70"/>
      <c r="M656" s="4">
        <f t="shared" si="488"/>
      </c>
      <c r="N656" s="59"/>
      <c r="O656" s="164"/>
      <c r="P656" s="59">
        <f t="shared" si="489"/>
      </c>
      <c r="Q656" s="165"/>
      <c r="R656" s="59"/>
      <c r="S656" s="164"/>
      <c r="T656" s="5">
        <f t="shared" si="490"/>
      </c>
      <c r="U656" s="4">
        <f t="shared" si="491"/>
      </c>
      <c r="V656" s="4">
        <f t="shared" si="492"/>
      </c>
      <c r="W656" s="4">
        <f t="shared" si="493"/>
      </c>
      <c r="X656" s="4">
        <f t="shared" si="494"/>
      </c>
      <c r="Y656" s="4" cm="1">
        <f t="array" ref="Y656">_xlfn.IFS(H656=1,2,H656=3,1)</f>
      </c>
      <c r="Z656" s="4">
        <f t="shared" si="495"/>
      </c>
      <c r="AA656" s="4">
        <f t="shared" si="496"/>
      </c>
      <c r="AB656" s="4">
        <f t="shared" si="497"/>
      </c>
      <c r="AC656" s="4">
        <f t="shared" si="498"/>
      </c>
      <c r="AD656" s="4">
        <f t="shared" si="499"/>
      </c>
      <c r="AE656" s="4">
        <f t="shared" si="500"/>
      </c>
      <c r="AF656" s="4">
        <f t="shared" si="501"/>
      </c>
      <c r="AG656" s="4">
        <f t="shared" si="502"/>
        <v/>
      </c>
      <c r="AH656" s="4">
        <f t="shared" si="503"/>
      </c>
      <c r="AI656" s="4">
        <f t="shared" si="504"/>
      </c>
      <c r="AJ656" s="4">
        <f t="shared" si="505"/>
      </c>
      <c r="AK656" s="4">
        <f t="shared" si="506"/>
      </c>
      <c r="AL656" s="4">
        <f t="shared" si="507"/>
      </c>
      <c r="AM656" s="4">
        <f t="shared" si="508"/>
      </c>
      <c r="AN656" s="4"/>
      <c r="AO656" s="4">
        <f t="shared" si="509"/>
      </c>
      <c r="AP656" s="4">
        <f t="shared" si="510"/>
      </c>
      <c r="AQ656" s="4">
        <f t="shared" si="511"/>
        <v/>
      </c>
      <c r="AR656" s="4">
        <f t="shared" si="512"/>
      </c>
      <c r="AS656" s="4">
        <f t="shared" si="513"/>
      </c>
      <c r="AT656" s="4">
        <f t="shared" si="514"/>
      </c>
    </row>
    <row r="657" spans="1:46" x14ac:dyDescent="0.3">
      <c r="A657" s="5">
        <f t="shared" si="486"/>
      </c>
      <c r="B657" s="4">
        <f t="shared" si="487"/>
      </c>
      <c r="C657" s="59"/>
      <c r="D657" s="59"/>
      <c r="E657" s="70"/>
      <c r="F657" s="164"/>
      <c r="G657" s="164"/>
      <c r="H657" s="164"/>
      <c r="I657" s="70"/>
      <c r="J657" s="70"/>
      <c r="K657" s="70"/>
      <c r="L657" s="70"/>
      <c r="M657" s="4">
        <f t="shared" si="488"/>
      </c>
      <c r="N657" s="59"/>
      <c r="O657" s="164"/>
      <c r="P657" s="59">
        <f t="shared" si="489"/>
      </c>
      <c r="Q657" s="165"/>
      <c r="R657" s="59"/>
      <c r="S657" s="164"/>
      <c r="T657" s="5">
        <f t="shared" si="490"/>
      </c>
      <c r="U657" s="4">
        <f t="shared" si="491"/>
      </c>
      <c r="V657" s="4">
        <f t="shared" si="492"/>
      </c>
      <c r="W657" s="4">
        <f t="shared" si="493"/>
      </c>
      <c r="X657" s="4">
        <f t="shared" si="494"/>
      </c>
      <c r="Y657" s="4" cm="1">
        <f t="array" ref="Y657">_xlfn.IFS(H657=1,2,H657=3,1)</f>
      </c>
      <c r="Z657" s="4">
        <f t="shared" si="495"/>
      </c>
      <c r="AA657" s="4">
        <f t="shared" si="496"/>
      </c>
      <c r="AB657" s="4">
        <f t="shared" si="497"/>
      </c>
      <c r="AC657" s="4">
        <f t="shared" si="498"/>
      </c>
      <c r="AD657" s="4">
        <f t="shared" si="499"/>
      </c>
      <c r="AE657" s="4">
        <f t="shared" si="500"/>
      </c>
      <c r="AF657" s="4">
        <f t="shared" si="501"/>
      </c>
      <c r="AG657" s="4">
        <f t="shared" si="502"/>
        <v/>
      </c>
      <c r="AH657" s="4">
        <f t="shared" si="503"/>
      </c>
      <c r="AI657" s="4">
        <f t="shared" si="504"/>
      </c>
      <c r="AJ657" s="4">
        <f t="shared" si="505"/>
      </c>
      <c r="AK657" s="4">
        <f t="shared" si="506"/>
      </c>
      <c r="AL657" s="4">
        <f t="shared" si="507"/>
      </c>
      <c r="AM657" s="4">
        <f t="shared" si="508"/>
      </c>
      <c r="AN657" s="4"/>
      <c r="AO657" s="4">
        <f t="shared" si="509"/>
      </c>
      <c r="AP657" s="4">
        <f t="shared" si="510"/>
      </c>
      <c r="AQ657" s="4">
        <f t="shared" si="511"/>
        <v/>
      </c>
      <c r="AR657" s="4">
        <f t="shared" si="512"/>
      </c>
      <c r="AS657" s="4">
        <f t="shared" si="513"/>
      </c>
      <c r="AT657" s="4">
        <f t="shared" si="514"/>
      </c>
    </row>
    <row r="658" spans="1:46" x14ac:dyDescent="0.3">
      <c r="A658" s="5">
        <f t="shared" si="486"/>
      </c>
      <c r="B658" s="4">
        <f t="shared" si="487"/>
      </c>
      <c r="C658" s="59"/>
      <c r="D658" s="59"/>
      <c r="E658" s="70"/>
      <c r="F658" s="164"/>
      <c r="G658" s="164"/>
      <c r="H658" s="164"/>
      <c r="I658" s="70"/>
      <c r="J658" s="70"/>
      <c r="K658" s="70"/>
      <c r="L658" s="70"/>
      <c r="M658" s="4">
        <f t="shared" si="488"/>
      </c>
      <c r="N658" s="59"/>
      <c r="O658" s="164"/>
      <c r="P658" s="59">
        <f t="shared" si="489"/>
      </c>
      <c r="Q658" s="165"/>
      <c r="R658" s="59"/>
      <c r="S658" s="164"/>
      <c r="T658" s="5">
        <f t="shared" si="490"/>
      </c>
      <c r="U658" s="4">
        <f t="shared" si="491"/>
      </c>
      <c r="V658" s="4">
        <f t="shared" si="492"/>
      </c>
      <c r="W658" s="4">
        <f t="shared" si="493"/>
      </c>
      <c r="X658" s="4">
        <f t="shared" si="494"/>
      </c>
      <c r="Y658" s="4" cm="1">
        <f t="array" ref="Y658">_xlfn.IFS(H658=1,2,H658=3,1)</f>
      </c>
      <c r="Z658" s="4">
        <f t="shared" si="495"/>
      </c>
      <c r="AA658" s="4">
        <f t="shared" si="496"/>
      </c>
      <c r="AB658" s="4">
        <f t="shared" si="497"/>
      </c>
      <c r="AC658" s="4">
        <f t="shared" si="498"/>
      </c>
      <c r="AD658" s="4">
        <f t="shared" si="499"/>
      </c>
      <c r="AE658" s="4">
        <f t="shared" si="500"/>
      </c>
      <c r="AF658" s="4">
        <f t="shared" si="501"/>
      </c>
      <c r="AG658" s="4">
        <f t="shared" si="502"/>
        <v/>
      </c>
      <c r="AH658" s="4">
        <f t="shared" si="503"/>
      </c>
      <c r="AI658" s="4">
        <f t="shared" si="504"/>
      </c>
      <c r="AJ658" s="4">
        <f t="shared" si="505"/>
      </c>
      <c r="AK658" s="4">
        <f t="shared" si="506"/>
      </c>
      <c r="AL658" s="4">
        <f t="shared" si="507"/>
      </c>
      <c r="AM658" s="4">
        <f t="shared" si="508"/>
      </c>
      <c r="AN658" s="4"/>
      <c r="AO658" s="4">
        <f t="shared" si="509"/>
      </c>
      <c r="AP658" s="4">
        <f t="shared" si="510"/>
      </c>
      <c r="AQ658" s="4">
        <f t="shared" si="511"/>
        <v/>
      </c>
      <c r="AR658" s="4">
        <f t="shared" si="512"/>
      </c>
      <c r="AS658" s="4">
        <f t="shared" si="513"/>
      </c>
      <c r="AT658" s="4">
        <f t="shared" si="514"/>
      </c>
    </row>
    <row r="659" spans="1:46" x14ac:dyDescent="0.3">
      <c r="A659" s="5">
        <f t="shared" si="486"/>
      </c>
      <c r="B659" s="4">
        <f t="shared" si="487"/>
      </c>
      <c r="C659" s="59"/>
      <c r="D659" s="59"/>
      <c r="E659" s="70"/>
      <c r="F659" s="164"/>
      <c r="G659" s="164"/>
      <c r="H659" s="164"/>
      <c r="I659" s="70"/>
      <c r="J659" s="70"/>
      <c r="K659" s="70"/>
      <c r="L659" s="70"/>
      <c r="M659" s="4">
        <f t="shared" si="488"/>
      </c>
      <c r="N659" s="59"/>
      <c r="O659" s="164"/>
      <c r="P659" s="59">
        <f t="shared" si="489"/>
      </c>
      <c r="Q659" s="165"/>
      <c r="R659" s="59"/>
      <c r="S659" s="164"/>
      <c r="T659" s="5">
        <f t="shared" si="490"/>
      </c>
      <c r="U659" s="4">
        <f t="shared" si="491"/>
      </c>
      <c r="V659" s="4">
        <f t="shared" si="492"/>
      </c>
      <c r="W659" s="4">
        <f t="shared" si="493"/>
      </c>
      <c r="X659" s="4">
        <f t="shared" si="494"/>
      </c>
      <c r="Y659" s="4" cm="1">
        <f t="array" ref="Y659">_xlfn.IFS(H659=1,2,H659=3,1)</f>
      </c>
      <c r="Z659" s="4">
        <f t="shared" si="495"/>
      </c>
      <c r="AA659" s="4">
        <f t="shared" si="496"/>
      </c>
      <c r="AB659" s="4">
        <f t="shared" si="497"/>
      </c>
      <c r="AC659" s="4">
        <f t="shared" si="498"/>
      </c>
      <c r="AD659" s="4">
        <f t="shared" si="499"/>
      </c>
      <c r="AE659" s="4">
        <f t="shared" si="500"/>
      </c>
      <c r="AF659" s="4">
        <f t="shared" si="501"/>
      </c>
      <c r="AG659" s="4">
        <f t="shared" si="502"/>
        <v/>
      </c>
      <c r="AH659" s="4">
        <f t="shared" si="503"/>
      </c>
      <c r="AI659" s="4">
        <f t="shared" si="504"/>
      </c>
      <c r="AJ659" s="4">
        <f t="shared" si="505"/>
      </c>
      <c r="AK659" s="4">
        <f t="shared" si="506"/>
      </c>
      <c r="AL659" s="4">
        <f t="shared" si="507"/>
      </c>
      <c r="AM659" s="4">
        <f t="shared" si="508"/>
      </c>
      <c r="AN659" s="4"/>
      <c r="AO659" s="4">
        <f t="shared" si="509"/>
      </c>
      <c r="AP659" s="4">
        <f t="shared" si="510"/>
      </c>
      <c r="AQ659" s="4">
        <f t="shared" si="511"/>
        <v/>
      </c>
      <c r="AR659" s="4">
        <f t="shared" si="512"/>
      </c>
      <c r="AS659" s="4">
        <f t="shared" si="513"/>
      </c>
      <c r="AT659" s="4">
        <f t="shared" si="514"/>
      </c>
    </row>
    <row r="660" spans="1:46" x14ac:dyDescent="0.3">
      <c r="A660" s="5">
        <f t="shared" si="486"/>
      </c>
      <c r="B660" s="4">
        <f t="shared" si="487"/>
      </c>
      <c r="C660" s="59"/>
      <c r="D660" s="59"/>
      <c r="E660" s="70"/>
      <c r="F660" s="164"/>
      <c r="G660" s="164"/>
      <c r="H660" s="164"/>
      <c r="I660" s="70"/>
      <c r="J660" s="70"/>
      <c r="K660" s="70"/>
      <c r="L660" s="70"/>
      <c r="M660" s="4">
        <f t="shared" si="488"/>
      </c>
      <c r="N660" s="59"/>
      <c r="O660" s="164"/>
      <c r="P660" s="59">
        <f t="shared" si="489"/>
      </c>
      <c r="Q660" s="165"/>
      <c r="R660" s="59"/>
      <c r="S660" s="164"/>
      <c r="T660" s="5">
        <f t="shared" si="490"/>
      </c>
      <c r="U660" s="4">
        <f t="shared" si="491"/>
      </c>
      <c r="V660" s="4">
        <f t="shared" si="492"/>
      </c>
      <c r="W660" s="4">
        <f t="shared" si="493"/>
      </c>
      <c r="X660" s="4">
        <f t="shared" si="494"/>
      </c>
      <c r="Y660" s="4" cm="1">
        <f t="array" ref="Y660">_xlfn.IFS(H660=1,2,H660=3,1)</f>
      </c>
      <c r="Z660" s="4">
        <f t="shared" si="495"/>
      </c>
      <c r="AA660" s="4">
        <f t="shared" si="496"/>
      </c>
      <c r="AB660" s="4">
        <f t="shared" si="497"/>
      </c>
      <c r="AC660" s="4">
        <f t="shared" si="498"/>
      </c>
      <c r="AD660" s="4">
        <f t="shared" si="499"/>
      </c>
      <c r="AE660" s="4">
        <f t="shared" si="500"/>
      </c>
      <c r="AF660" s="4">
        <f t="shared" si="501"/>
      </c>
      <c r="AG660" s="4">
        <f t="shared" si="502"/>
        <v/>
      </c>
      <c r="AH660" s="4">
        <f t="shared" si="503"/>
      </c>
      <c r="AI660" s="4">
        <f t="shared" si="504"/>
      </c>
      <c r="AJ660" s="4">
        <f t="shared" si="505"/>
      </c>
      <c r="AK660" s="4">
        <f t="shared" si="506"/>
      </c>
      <c r="AL660" s="4">
        <f t="shared" si="507"/>
      </c>
      <c r="AM660" s="4">
        <f t="shared" si="508"/>
      </c>
      <c r="AN660" s="4"/>
      <c r="AO660" s="4">
        <f t="shared" si="509"/>
      </c>
      <c r="AP660" s="4">
        <f t="shared" si="510"/>
      </c>
      <c r="AQ660" s="4">
        <f t="shared" si="511"/>
        <v/>
      </c>
      <c r="AR660" s="4">
        <f t="shared" si="512"/>
      </c>
      <c r="AS660" s="4">
        <f t="shared" si="513"/>
      </c>
      <c r="AT660" s="4">
        <f t="shared" si="514"/>
      </c>
    </row>
    <row r="661" spans="1:46" x14ac:dyDescent="0.3">
      <c r="A661" s="5">
        <f t="shared" si="486"/>
      </c>
      <c r="B661" s="4">
        <f t="shared" si="487"/>
      </c>
      <c r="C661" s="59"/>
      <c r="D661" s="59"/>
      <c r="E661" s="70"/>
      <c r="F661" s="164"/>
      <c r="G661" s="164"/>
      <c r="H661" s="164"/>
      <c r="I661" s="70"/>
      <c r="J661" s="70"/>
      <c r="K661" s="70"/>
      <c r="L661" s="70"/>
      <c r="M661" s="4">
        <f t="shared" si="488"/>
      </c>
      <c r="N661" s="59"/>
      <c r="O661" s="164"/>
      <c r="P661" s="59">
        <f t="shared" si="489"/>
      </c>
      <c r="Q661" s="165"/>
      <c r="R661" s="59"/>
      <c r="S661" s="164"/>
      <c r="T661" s="5">
        <f t="shared" si="490"/>
      </c>
      <c r="U661" s="4">
        <f t="shared" si="491"/>
      </c>
      <c r="V661" s="4">
        <f t="shared" si="492"/>
      </c>
      <c r="W661" s="4">
        <f t="shared" si="493"/>
      </c>
      <c r="X661" s="4">
        <f t="shared" si="494"/>
      </c>
      <c r="Y661" s="4" cm="1">
        <f t="array" ref="Y661">_xlfn.IFS(H661=1,2,H661=3,1)</f>
      </c>
      <c r="Z661" s="4">
        <f t="shared" si="495"/>
      </c>
      <c r="AA661" s="4">
        <f t="shared" si="496"/>
      </c>
      <c r="AB661" s="4">
        <f t="shared" si="497"/>
      </c>
      <c r="AC661" s="4">
        <f t="shared" si="498"/>
      </c>
      <c r="AD661" s="4">
        <f t="shared" si="499"/>
      </c>
      <c r="AE661" s="4">
        <f t="shared" si="500"/>
      </c>
      <c r="AF661" s="4">
        <f t="shared" si="501"/>
      </c>
      <c r="AG661" s="4">
        <f t="shared" si="502"/>
        <v/>
      </c>
      <c r="AH661" s="4">
        <f t="shared" si="503"/>
      </c>
      <c r="AI661" s="4">
        <f t="shared" si="504"/>
      </c>
      <c r="AJ661" s="4">
        <f t="shared" si="505"/>
      </c>
      <c r="AK661" s="4">
        <f t="shared" si="506"/>
      </c>
      <c r="AL661" s="4">
        <f t="shared" si="507"/>
      </c>
      <c r="AM661" s="4">
        <f t="shared" si="508"/>
      </c>
      <c r="AN661" s="4"/>
      <c r="AO661" s="4">
        <f t="shared" si="509"/>
      </c>
      <c r="AP661" s="4">
        <f t="shared" si="510"/>
      </c>
      <c r="AQ661" s="4">
        <f t="shared" si="511"/>
        <v/>
      </c>
      <c r="AR661" s="4">
        <f t="shared" si="512"/>
      </c>
      <c r="AS661" s="4">
        <f t="shared" si="513"/>
      </c>
      <c r="AT661" s="4">
        <f t="shared" si="514"/>
      </c>
    </row>
    <row r="662" spans="1:46" x14ac:dyDescent="0.3">
      <c r="A662" s="5">
        <f t="shared" si="486"/>
      </c>
      <c r="B662" s="4">
        <f t="shared" si="487"/>
      </c>
      <c r="C662" s="59"/>
      <c r="D662" s="59"/>
      <c r="E662" s="70"/>
      <c r="F662" s="164"/>
      <c r="G662" s="164"/>
      <c r="H662" s="164"/>
      <c r="I662" s="70"/>
      <c r="J662" s="70"/>
      <c r="K662" s="70"/>
      <c r="L662" s="70"/>
      <c r="M662" s="4">
        <f t="shared" si="488"/>
      </c>
      <c r="N662" s="59"/>
      <c r="O662" s="164"/>
      <c r="P662" s="59">
        <f t="shared" si="489"/>
      </c>
      <c r="Q662" s="165"/>
      <c r="R662" s="59"/>
      <c r="S662" s="164"/>
      <c r="T662" s="5">
        <f t="shared" si="490"/>
      </c>
      <c r="U662" s="4">
        <f t="shared" si="491"/>
      </c>
      <c r="V662" s="4">
        <f t="shared" si="492"/>
      </c>
      <c r="W662" s="4">
        <f t="shared" si="493"/>
      </c>
      <c r="X662" s="4">
        <f t="shared" si="494"/>
      </c>
      <c r="Y662" s="4" cm="1">
        <f t="array" ref="Y662">_xlfn.IFS(H662=1,2,H662=3,1)</f>
      </c>
      <c r="Z662" s="4">
        <f t="shared" si="495"/>
      </c>
      <c r="AA662" s="4">
        <f t="shared" si="496"/>
      </c>
      <c r="AB662" s="4">
        <f t="shared" si="497"/>
      </c>
      <c r="AC662" s="4">
        <f t="shared" si="498"/>
      </c>
      <c r="AD662" s="4">
        <f t="shared" si="499"/>
      </c>
      <c r="AE662" s="4">
        <f t="shared" si="500"/>
      </c>
      <c r="AF662" s="4">
        <f t="shared" si="501"/>
      </c>
      <c r="AG662" s="4">
        <f t="shared" si="502"/>
        <v/>
      </c>
      <c r="AH662" s="4">
        <f t="shared" si="503"/>
      </c>
      <c r="AI662" s="4">
        <f t="shared" si="504"/>
      </c>
      <c r="AJ662" s="4">
        <f t="shared" si="505"/>
      </c>
      <c r="AK662" s="4">
        <f t="shared" si="506"/>
      </c>
      <c r="AL662" s="4">
        <f t="shared" si="507"/>
      </c>
      <c r="AM662" s="4">
        <f t="shared" si="508"/>
      </c>
      <c r="AN662" s="4"/>
      <c r="AO662" s="4">
        <f t="shared" si="509"/>
      </c>
      <c r="AP662" s="4">
        <f t="shared" si="510"/>
      </c>
      <c r="AQ662" s="4">
        <f t="shared" si="511"/>
        <v/>
      </c>
      <c r="AR662" s="4">
        <f t="shared" si="512"/>
      </c>
      <c r="AS662" s="4">
        <f t="shared" si="513"/>
      </c>
      <c r="AT662" s="4">
        <f t="shared" si="514"/>
      </c>
    </row>
    <row r="663" spans="1:46" x14ac:dyDescent="0.3">
      <c r="A663" s="5">
        <f t="shared" si="486"/>
      </c>
      <c r="B663" s="4">
        <f t="shared" si="487"/>
      </c>
      <c r="C663" s="59"/>
      <c r="D663" s="59"/>
      <c r="E663" s="70"/>
      <c r="F663" s="164"/>
      <c r="G663" s="164"/>
      <c r="H663" s="164"/>
      <c r="I663" s="70"/>
      <c r="J663" s="70"/>
      <c r="K663" s="70"/>
      <c r="L663" s="70"/>
      <c r="M663" s="4">
        <f t="shared" si="488"/>
      </c>
      <c r="N663" s="59"/>
      <c r="O663" s="164"/>
      <c r="P663" s="59">
        <f t="shared" si="489"/>
      </c>
      <c r="Q663" s="165"/>
      <c r="R663" s="59"/>
      <c r="S663" s="164"/>
      <c r="T663" s="5">
        <f t="shared" si="490"/>
      </c>
      <c r="U663" s="4">
        <f t="shared" si="491"/>
      </c>
      <c r="V663" s="4">
        <f t="shared" si="492"/>
      </c>
      <c r="W663" s="4">
        <f t="shared" si="493"/>
      </c>
      <c r="X663" s="4">
        <f t="shared" si="494"/>
      </c>
      <c r="Y663" s="4" cm="1">
        <f t="array" ref="Y663">_xlfn.IFS(H663=1,2,H663=3,1)</f>
      </c>
      <c r="Z663" s="4">
        <f t="shared" si="495"/>
      </c>
      <c r="AA663" s="4">
        <f t="shared" si="496"/>
      </c>
      <c r="AB663" s="4">
        <f t="shared" si="497"/>
      </c>
      <c r="AC663" s="4">
        <f t="shared" si="498"/>
      </c>
      <c r="AD663" s="4">
        <f t="shared" si="499"/>
      </c>
      <c r="AE663" s="4">
        <f t="shared" si="500"/>
      </c>
      <c r="AF663" s="4">
        <f t="shared" si="501"/>
      </c>
      <c r="AG663" s="4">
        <f t="shared" si="502"/>
        <v/>
      </c>
      <c r="AH663" s="4">
        <f t="shared" si="503"/>
      </c>
      <c r="AI663" s="4">
        <f t="shared" si="504"/>
      </c>
      <c r="AJ663" s="4">
        <f t="shared" si="505"/>
      </c>
      <c r="AK663" s="4">
        <f t="shared" si="506"/>
      </c>
      <c r="AL663" s="4">
        <f t="shared" si="507"/>
      </c>
      <c r="AM663" s="4">
        <f t="shared" si="508"/>
      </c>
      <c r="AN663" s="4"/>
      <c r="AO663" s="4">
        <f t="shared" si="509"/>
      </c>
      <c r="AP663" s="4">
        <f t="shared" si="510"/>
      </c>
      <c r="AQ663" s="4">
        <f t="shared" si="511"/>
        <v/>
      </c>
      <c r="AR663" s="4">
        <f t="shared" si="512"/>
      </c>
      <c r="AS663" s="4">
        <f t="shared" si="513"/>
      </c>
      <c r="AT663" s="4">
        <f t="shared" si="514"/>
      </c>
    </row>
    <row r="664" spans="1:46" x14ac:dyDescent="0.3">
      <c r="A664" s="5">
        <f t="shared" si="486"/>
      </c>
      <c r="B664" s="4">
        <f t="shared" si="487"/>
      </c>
      <c r="C664" s="59"/>
      <c r="D664" s="59"/>
      <c r="E664" s="70"/>
      <c r="F664" s="164"/>
      <c r="G664" s="164"/>
      <c r="H664" s="164"/>
      <c r="I664" s="70"/>
      <c r="J664" s="70"/>
      <c r="K664" s="70"/>
      <c r="L664" s="70"/>
      <c r="M664" s="4">
        <f t="shared" si="488"/>
      </c>
      <c r="N664" s="59"/>
      <c r="O664" s="164"/>
      <c r="P664" s="59">
        <f t="shared" si="489"/>
      </c>
      <c r="Q664" s="165"/>
      <c r="R664" s="59"/>
      <c r="S664" s="164"/>
      <c r="T664" s="5">
        <f t="shared" si="490"/>
      </c>
      <c r="U664" s="4">
        <f t="shared" si="491"/>
      </c>
      <c r="V664" s="4">
        <f t="shared" si="492"/>
      </c>
      <c r="W664" s="4">
        <f t="shared" si="493"/>
      </c>
      <c r="X664" s="4">
        <f t="shared" si="494"/>
      </c>
      <c r="Y664" s="4" cm="1">
        <f t="array" ref="Y664">_xlfn.IFS(H664=1,2,H664=3,1)</f>
      </c>
      <c r="Z664" s="4">
        <f t="shared" si="495"/>
      </c>
      <c r="AA664" s="4">
        <f t="shared" si="496"/>
      </c>
      <c r="AB664" s="4">
        <f t="shared" si="497"/>
      </c>
      <c r="AC664" s="4">
        <f t="shared" si="498"/>
      </c>
      <c r="AD664" s="4">
        <f t="shared" si="499"/>
      </c>
      <c r="AE664" s="4">
        <f t="shared" si="500"/>
      </c>
      <c r="AF664" s="4">
        <f t="shared" si="501"/>
      </c>
      <c r="AG664" s="4">
        <f t="shared" si="502"/>
        <v/>
      </c>
      <c r="AH664" s="4">
        <f t="shared" si="503"/>
      </c>
      <c r="AI664" s="4">
        <f t="shared" si="504"/>
      </c>
      <c r="AJ664" s="4">
        <f t="shared" si="505"/>
      </c>
      <c r="AK664" s="4">
        <f t="shared" si="506"/>
      </c>
      <c r="AL664" s="4">
        <f t="shared" si="507"/>
      </c>
      <c r="AM664" s="4">
        <f t="shared" si="508"/>
      </c>
      <c r="AN664" s="4"/>
      <c r="AO664" s="4">
        <f t="shared" si="509"/>
      </c>
      <c r="AP664" s="4">
        <f t="shared" si="510"/>
      </c>
      <c r="AQ664" s="4">
        <f t="shared" si="511"/>
        <v/>
      </c>
      <c r="AR664" s="4">
        <f t="shared" si="512"/>
      </c>
      <c r="AS664" s="4">
        <f t="shared" si="513"/>
      </c>
      <c r="AT664" s="4">
        <f t="shared" si="514"/>
      </c>
    </row>
    <row r="665" spans="1:46" x14ac:dyDescent="0.3">
      <c r="A665" s="5">
        <f t="shared" si="486"/>
      </c>
      <c r="B665" s="4">
        <f t="shared" si="487"/>
      </c>
      <c r="C665" s="59"/>
      <c r="D665" s="59"/>
      <c r="E665" s="70"/>
      <c r="F665" s="164"/>
      <c r="G665" s="164"/>
      <c r="H665" s="164"/>
      <c r="I665" s="70"/>
      <c r="J665" s="70"/>
      <c r="K665" s="70"/>
      <c r="L665" s="70"/>
      <c r="M665" s="4">
        <f t="shared" si="488"/>
      </c>
      <c r="N665" s="59"/>
      <c r="O665" s="164"/>
      <c r="P665" s="59">
        <f t="shared" si="489"/>
      </c>
      <c r="Q665" s="165"/>
      <c r="R665" s="59"/>
      <c r="S665" s="164"/>
      <c r="T665" s="5">
        <f t="shared" si="490"/>
      </c>
      <c r="U665" s="4">
        <f t="shared" si="491"/>
      </c>
      <c r="V665" s="4">
        <f t="shared" si="492"/>
      </c>
      <c r="W665" s="4">
        <f t="shared" si="493"/>
      </c>
      <c r="X665" s="4">
        <f t="shared" si="494"/>
      </c>
      <c r="Y665" s="4" cm="1">
        <f t="array" ref="Y665">_xlfn.IFS(H665=1,2,H665=3,1)</f>
      </c>
      <c r="Z665" s="4">
        <f t="shared" si="495"/>
      </c>
      <c r="AA665" s="4">
        <f t="shared" si="496"/>
      </c>
      <c r="AB665" s="4">
        <f t="shared" si="497"/>
      </c>
      <c r="AC665" s="4">
        <f t="shared" si="498"/>
      </c>
      <c r="AD665" s="4">
        <f t="shared" si="499"/>
      </c>
      <c r="AE665" s="4">
        <f t="shared" si="500"/>
      </c>
      <c r="AF665" s="4">
        <f t="shared" si="501"/>
      </c>
      <c r="AG665" s="4">
        <f t="shared" si="502"/>
        <v/>
      </c>
      <c r="AH665" s="4">
        <f t="shared" si="503"/>
      </c>
      <c r="AI665" s="4">
        <f t="shared" si="504"/>
      </c>
      <c r="AJ665" s="4">
        <f t="shared" si="505"/>
      </c>
      <c r="AK665" s="4">
        <f t="shared" si="506"/>
      </c>
      <c r="AL665" s="4">
        <f t="shared" si="507"/>
      </c>
      <c r="AM665" s="4">
        <f t="shared" si="508"/>
      </c>
      <c r="AN665" s="4"/>
      <c r="AO665" s="4">
        <f t="shared" si="509"/>
      </c>
      <c r="AP665" s="4">
        <f t="shared" si="510"/>
      </c>
      <c r="AQ665" s="4">
        <f t="shared" si="511"/>
        <v/>
      </c>
      <c r="AR665" s="4">
        <f t="shared" si="512"/>
      </c>
      <c r="AS665" s="4">
        <f t="shared" si="513"/>
      </c>
      <c r="AT665" s="4">
        <f t="shared" si="514"/>
      </c>
    </row>
    <row r="666" spans="1:46" x14ac:dyDescent="0.3">
      <c r="A666" s="5">
        <f t="shared" si="486"/>
      </c>
      <c r="B666" s="4">
        <f t="shared" si="487"/>
      </c>
      <c r="C666" s="59"/>
      <c r="D666" s="59"/>
      <c r="E666" s="70"/>
      <c r="F666" s="164"/>
      <c r="G666" s="164"/>
      <c r="H666" s="164"/>
      <c r="I666" s="70"/>
      <c r="J666" s="70"/>
      <c r="K666" s="70"/>
      <c r="L666" s="70"/>
      <c r="M666" s="4">
        <f t="shared" si="488"/>
      </c>
      <c r="N666" s="59"/>
      <c r="O666" s="164"/>
      <c r="P666" s="59">
        <f t="shared" si="489"/>
      </c>
      <c r="Q666" s="165"/>
      <c r="R666" s="59"/>
      <c r="S666" s="164"/>
      <c r="T666" s="5">
        <f t="shared" si="490"/>
      </c>
      <c r="U666" s="4">
        <f t="shared" si="491"/>
      </c>
      <c r="V666" s="4">
        <f t="shared" si="492"/>
      </c>
      <c r="W666" s="4">
        <f t="shared" si="493"/>
      </c>
      <c r="X666" s="4">
        <f t="shared" si="494"/>
      </c>
      <c r="Y666" s="4" cm="1">
        <f t="array" ref="Y666">_xlfn.IFS(H666=1,2,H666=3,1)</f>
      </c>
      <c r="Z666" s="4">
        <f t="shared" si="495"/>
      </c>
      <c r="AA666" s="4">
        <f t="shared" si="496"/>
      </c>
      <c r="AB666" s="4">
        <f t="shared" si="497"/>
      </c>
      <c r="AC666" s="4">
        <f t="shared" si="498"/>
      </c>
      <c r="AD666" s="4">
        <f t="shared" si="499"/>
      </c>
      <c r="AE666" s="4">
        <f t="shared" si="500"/>
      </c>
      <c r="AF666" s="4">
        <f t="shared" si="501"/>
      </c>
      <c r="AG666" s="4">
        <f t="shared" si="502"/>
        <v/>
      </c>
      <c r="AH666" s="4">
        <f t="shared" si="503"/>
      </c>
      <c r="AI666" s="4">
        <f t="shared" si="504"/>
      </c>
      <c r="AJ666" s="4">
        <f t="shared" si="505"/>
      </c>
      <c r="AK666" s="4">
        <f t="shared" si="506"/>
      </c>
      <c r="AL666" s="4">
        <f t="shared" si="507"/>
      </c>
      <c r="AM666" s="4">
        <f t="shared" si="508"/>
      </c>
      <c r="AN666" s="4"/>
      <c r="AO666" s="4">
        <f t="shared" si="509"/>
      </c>
      <c r="AP666" s="4">
        <f t="shared" si="510"/>
      </c>
      <c r="AQ666" s="4">
        <f t="shared" si="511"/>
        <v/>
      </c>
      <c r="AR666" s="4">
        <f t="shared" si="512"/>
      </c>
      <c r="AS666" s="4">
        <f t="shared" si="513"/>
      </c>
      <c r="AT666" s="4">
        <f t="shared" si="514"/>
      </c>
    </row>
    <row r="667" spans="1:46" x14ac:dyDescent="0.3">
      <c r="A667" s="5">
        <f t="shared" si="486"/>
      </c>
      <c r="B667" s="4">
        <f t="shared" si="487"/>
      </c>
      <c r="C667" s="59"/>
      <c r="D667" s="59"/>
      <c r="E667" s="70"/>
      <c r="F667" s="164"/>
      <c r="G667" s="164"/>
      <c r="H667" s="164"/>
      <c r="I667" s="70"/>
      <c r="J667" s="70"/>
      <c r="K667" s="70"/>
      <c r="L667" s="70"/>
      <c r="M667" s="4">
        <f t="shared" si="488"/>
      </c>
      <c r="N667" s="59"/>
      <c r="O667" s="164"/>
      <c r="P667" s="59">
        <f t="shared" si="489"/>
      </c>
      <c r="Q667" s="165"/>
      <c r="R667" s="59"/>
      <c r="S667" s="164"/>
      <c r="T667" s="5">
        <f t="shared" si="490"/>
      </c>
      <c r="U667" s="4">
        <f t="shared" si="491"/>
      </c>
      <c r="V667" s="4">
        <f t="shared" si="492"/>
      </c>
      <c r="W667" s="4">
        <f t="shared" si="493"/>
      </c>
      <c r="X667" s="4">
        <f t="shared" si="494"/>
      </c>
      <c r="Y667" s="4" cm="1">
        <f t="array" ref="Y667">_xlfn.IFS(H667=1,2,H667=3,1)</f>
      </c>
      <c r="Z667" s="4">
        <f t="shared" si="495"/>
      </c>
      <c r="AA667" s="4">
        <f t="shared" si="496"/>
      </c>
      <c r="AB667" s="4">
        <f t="shared" si="497"/>
      </c>
      <c r="AC667" s="4">
        <f t="shared" si="498"/>
      </c>
      <c r="AD667" s="4">
        <f t="shared" si="499"/>
      </c>
      <c r="AE667" s="4">
        <f t="shared" si="500"/>
      </c>
      <c r="AF667" s="4">
        <f t="shared" si="501"/>
      </c>
      <c r="AG667" s="4">
        <f t="shared" si="502"/>
        <v/>
      </c>
      <c r="AH667" s="4">
        <f t="shared" si="503"/>
      </c>
      <c r="AI667" s="4">
        <f t="shared" si="504"/>
      </c>
      <c r="AJ667" s="4">
        <f t="shared" si="505"/>
      </c>
      <c r="AK667" s="4">
        <f t="shared" si="506"/>
      </c>
      <c r="AL667" s="4">
        <f t="shared" si="507"/>
      </c>
      <c r="AM667" s="4">
        <f t="shared" si="508"/>
      </c>
      <c r="AN667" s="4"/>
      <c r="AO667" s="4">
        <f t="shared" si="509"/>
      </c>
      <c r="AP667" s="4">
        <f t="shared" si="510"/>
      </c>
      <c r="AQ667" s="4">
        <f t="shared" si="511"/>
        <v/>
      </c>
      <c r="AR667" s="4">
        <f t="shared" si="512"/>
      </c>
      <c r="AS667" s="4">
        <f t="shared" si="513"/>
      </c>
      <c r="AT667" s="4">
        <f t="shared" si="514"/>
      </c>
    </row>
    <row r="668" spans="1:46" x14ac:dyDescent="0.3">
      <c r="A668" s="5">
        <f t="shared" si="486"/>
      </c>
      <c r="B668" s="4">
        <f t="shared" si="487"/>
      </c>
      <c r="C668" s="59"/>
      <c r="D668" s="59"/>
      <c r="E668" s="70"/>
      <c r="F668" s="164"/>
      <c r="G668" s="164"/>
      <c r="H668" s="164"/>
      <c r="I668" s="70"/>
      <c r="J668" s="70"/>
      <c r="K668" s="70"/>
      <c r="L668" s="70"/>
      <c r="M668" s="4">
        <f t="shared" si="488"/>
      </c>
      <c r="N668" s="59"/>
      <c r="O668" s="164"/>
      <c r="P668" s="59">
        <f t="shared" si="489"/>
      </c>
      <c r="Q668" s="165"/>
      <c r="R668" s="59"/>
      <c r="S668" s="164"/>
      <c r="T668" s="5">
        <f t="shared" si="490"/>
      </c>
      <c r="U668" s="4">
        <f t="shared" si="491"/>
      </c>
      <c r="V668" s="4">
        <f t="shared" si="492"/>
      </c>
      <c r="W668" s="4">
        <f t="shared" si="493"/>
      </c>
      <c r="X668" s="4">
        <f t="shared" si="494"/>
      </c>
      <c r="Y668" s="4" cm="1">
        <f t="array" ref="Y668">_xlfn.IFS(H668=1,2,H668=3,1)</f>
      </c>
      <c r="Z668" s="4">
        <f t="shared" si="495"/>
      </c>
      <c r="AA668" s="4">
        <f t="shared" si="496"/>
      </c>
      <c r="AB668" s="4">
        <f t="shared" si="497"/>
      </c>
      <c r="AC668" s="4">
        <f t="shared" si="498"/>
      </c>
      <c r="AD668" s="4">
        <f t="shared" si="499"/>
      </c>
      <c r="AE668" s="4">
        <f t="shared" si="500"/>
      </c>
      <c r="AF668" s="4">
        <f t="shared" si="501"/>
      </c>
      <c r="AG668" s="4">
        <f t="shared" si="502"/>
        <v/>
      </c>
      <c r="AH668" s="4">
        <f t="shared" si="503"/>
      </c>
      <c r="AI668" s="4">
        <f t="shared" si="504"/>
      </c>
      <c r="AJ668" s="4">
        <f t="shared" si="505"/>
      </c>
      <c r="AK668" s="4">
        <f t="shared" si="506"/>
      </c>
      <c r="AL668" s="4">
        <f t="shared" si="507"/>
      </c>
      <c r="AM668" s="4">
        <f t="shared" si="508"/>
      </c>
      <c r="AN668" s="4"/>
      <c r="AO668" s="4">
        <f t="shared" si="509"/>
      </c>
      <c r="AP668" s="4">
        <f t="shared" si="510"/>
      </c>
      <c r="AQ668" s="4">
        <f t="shared" si="511"/>
        <v/>
      </c>
      <c r="AR668" s="4">
        <f t="shared" si="512"/>
      </c>
      <c r="AS668" s="4">
        <f t="shared" si="513"/>
      </c>
      <c r="AT668" s="4">
        <f t="shared" si="514"/>
      </c>
    </row>
    <row r="669" spans="1:46" x14ac:dyDescent="0.3">
      <c r="A669" s="5">
        <f t="shared" si="486"/>
      </c>
      <c r="B669" s="4">
        <f t="shared" si="487"/>
      </c>
      <c r="C669" s="59"/>
      <c r="D669" s="59"/>
      <c r="E669" s="70"/>
      <c r="F669" s="164"/>
      <c r="G669" s="164"/>
      <c r="H669" s="164"/>
      <c r="I669" s="70"/>
      <c r="J669" s="70"/>
      <c r="K669" s="70"/>
      <c r="L669" s="70"/>
      <c r="M669" s="4">
        <f t="shared" si="488"/>
      </c>
      <c r="N669" s="59"/>
      <c r="O669" s="164"/>
      <c r="P669" s="59">
        <f t="shared" si="489"/>
      </c>
      <c r="Q669" s="165"/>
      <c r="R669" s="59"/>
      <c r="S669" s="164"/>
      <c r="T669" s="5">
        <f t="shared" si="490"/>
      </c>
      <c r="U669" s="4">
        <f t="shared" si="491"/>
      </c>
      <c r="V669" s="4">
        <f t="shared" si="492"/>
      </c>
      <c r="W669" s="4">
        <f t="shared" si="493"/>
      </c>
      <c r="X669" s="4">
        <f t="shared" si="494"/>
      </c>
      <c r="Y669" s="4" cm="1">
        <f t="array" ref="Y669">_xlfn.IFS(H669=1,2,H669=3,1)</f>
      </c>
      <c r="Z669" s="4">
        <f t="shared" si="495"/>
      </c>
      <c r="AA669" s="4">
        <f t="shared" si="496"/>
      </c>
      <c r="AB669" s="4">
        <f t="shared" si="497"/>
      </c>
      <c r="AC669" s="4">
        <f t="shared" si="498"/>
      </c>
      <c r="AD669" s="4">
        <f t="shared" si="499"/>
      </c>
      <c r="AE669" s="4">
        <f t="shared" si="500"/>
      </c>
      <c r="AF669" s="4">
        <f t="shared" si="501"/>
      </c>
      <c r="AG669" s="4">
        <f t="shared" si="502"/>
        <v/>
      </c>
      <c r="AH669" s="4">
        <f t="shared" si="503"/>
      </c>
      <c r="AI669" s="4">
        <f t="shared" si="504"/>
      </c>
      <c r="AJ669" s="4">
        <f t="shared" si="505"/>
      </c>
      <c r="AK669" s="4">
        <f t="shared" si="506"/>
      </c>
      <c r="AL669" s="4">
        <f t="shared" si="507"/>
      </c>
      <c r="AM669" s="4">
        <f t="shared" si="508"/>
      </c>
      <c r="AN669" s="4"/>
      <c r="AO669" s="4">
        <f t="shared" si="509"/>
      </c>
      <c r="AP669" s="4">
        <f t="shared" si="510"/>
      </c>
      <c r="AQ669" s="4">
        <f t="shared" si="511"/>
        <v/>
      </c>
      <c r="AR669" s="4">
        <f t="shared" si="512"/>
      </c>
      <c r="AS669" s="4">
        <f t="shared" si="513"/>
      </c>
      <c r="AT669" s="4">
        <f t="shared" si="514"/>
      </c>
    </row>
    <row r="670" spans="1:46" x14ac:dyDescent="0.3">
      <c r="A670" s="5">
        <f t="shared" si="486"/>
      </c>
      <c r="B670" s="4">
        <f t="shared" si="487"/>
      </c>
      <c r="C670" s="59"/>
      <c r="D670" s="59"/>
      <c r="E670" s="70"/>
      <c r="F670" s="164"/>
      <c r="G670" s="164"/>
      <c r="H670" s="164"/>
      <c r="I670" s="70"/>
      <c r="J670" s="70"/>
      <c r="K670" s="70"/>
      <c r="L670" s="70"/>
      <c r="M670" s="4">
        <f t="shared" si="488"/>
      </c>
      <c r="N670" s="59"/>
      <c r="O670" s="164"/>
      <c r="P670" s="59">
        <f t="shared" si="489"/>
      </c>
      <c r="Q670" s="165"/>
      <c r="R670" s="59"/>
      <c r="S670" s="164"/>
      <c r="T670" s="5">
        <f t="shared" si="490"/>
      </c>
      <c r="U670" s="4">
        <f t="shared" si="491"/>
      </c>
      <c r="V670" s="4">
        <f t="shared" si="492"/>
      </c>
      <c r="W670" s="4">
        <f t="shared" si="493"/>
      </c>
      <c r="X670" s="4">
        <f t="shared" si="494"/>
      </c>
      <c r="Y670" s="4" cm="1">
        <f t="array" ref="Y670">_xlfn.IFS(H670=1,2,H670=3,1)</f>
      </c>
      <c r="Z670" s="4">
        <f t="shared" si="495"/>
      </c>
      <c r="AA670" s="4">
        <f t="shared" si="496"/>
      </c>
      <c r="AB670" s="4">
        <f t="shared" si="497"/>
      </c>
      <c r="AC670" s="4">
        <f t="shared" si="498"/>
      </c>
      <c r="AD670" s="4">
        <f t="shared" si="499"/>
      </c>
      <c r="AE670" s="4">
        <f t="shared" si="500"/>
      </c>
      <c r="AF670" s="4">
        <f t="shared" si="501"/>
      </c>
      <c r="AG670" s="4">
        <f t="shared" si="502"/>
        <v/>
      </c>
      <c r="AH670" s="4">
        <f t="shared" si="503"/>
      </c>
      <c r="AI670" s="4">
        <f t="shared" si="504"/>
      </c>
      <c r="AJ670" s="4">
        <f t="shared" si="505"/>
      </c>
      <c r="AK670" s="4">
        <f t="shared" si="506"/>
      </c>
      <c r="AL670" s="4">
        <f t="shared" si="507"/>
      </c>
      <c r="AM670" s="4">
        <f t="shared" si="508"/>
      </c>
      <c r="AN670" s="4"/>
      <c r="AO670" s="4">
        <f t="shared" si="509"/>
      </c>
      <c r="AP670" s="4">
        <f t="shared" si="510"/>
      </c>
      <c r="AQ670" s="4">
        <f t="shared" si="511"/>
        <v/>
      </c>
      <c r="AR670" s="4">
        <f t="shared" si="512"/>
      </c>
      <c r="AS670" s="4">
        <f t="shared" si="513"/>
      </c>
      <c r="AT670" s="4">
        <f t="shared" si="514"/>
      </c>
    </row>
    <row r="671" spans="1:46" x14ac:dyDescent="0.3">
      <c r="A671" s="5">
        <f t="shared" si="486"/>
      </c>
      <c r="B671" s="4">
        <f t="shared" si="487"/>
      </c>
      <c r="C671" s="59"/>
      <c r="D671" s="59"/>
      <c r="E671" s="70"/>
      <c r="F671" s="164"/>
      <c r="G671" s="164"/>
      <c r="H671" s="164"/>
      <c r="I671" s="70"/>
      <c r="J671" s="70"/>
      <c r="K671" s="70"/>
      <c r="L671" s="70"/>
      <c r="M671" s="4">
        <f t="shared" si="488"/>
      </c>
      <c r="N671" s="59"/>
      <c r="O671" s="164"/>
      <c r="P671" s="59">
        <f t="shared" si="489"/>
      </c>
      <c r="Q671" s="165"/>
      <c r="R671" s="59"/>
      <c r="S671" s="164"/>
      <c r="T671" s="5">
        <f t="shared" si="490"/>
      </c>
      <c r="U671" s="4">
        <f t="shared" si="491"/>
      </c>
      <c r="V671" s="4">
        <f t="shared" si="492"/>
      </c>
      <c r="W671" s="4">
        <f t="shared" si="493"/>
      </c>
      <c r="X671" s="4">
        <f t="shared" si="494"/>
      </c>
      <c r="Y671" s="4" cm="1">
        <f t="array" ref="Y671">_xlfn.IFS(H671=1,2,H671=3,1)</f>
      </c>
      <c r="Z671" s="4">
        <f t="shared" si="495"/>
      </c>
      <c r="AA671" s="4">
        <f t="shared" si="496"/>
      </c>
      <c r="AB671" s="4">
        <f t="shared" si="497"/>
      </c>
      <c r="AC671" s="4">
        <f t="shared" si="498"/>
      </c>
      <c r="AD671" s="4">
        <f t="shared" si="499"/>
      </c>
      <c r="AE671" s="4">
        <f t="shared" si="500"/>
      </c>
      <c r="AF671" s="4">
        <f t="shared" si="501"/>
      </c>
      <c r="AG671" s="4">
        <f t="shared" si="502"/>
        <v/>
      </c>
      <c r="AH671" s="4">
        <f t="shared" si="503"/>
      </c>
      <c r="AI671" s="4">
        <f t="shared" si="504"/>
      </c>
      <c r="AJ671" s="4">
        <f t="shared" si="505"/>
      </c>
      <c r="AK671" s="4">
        <f t="shared" si="506"/>
      </c>
      <c r="AL671" s="4">
        <f t="shared" si="507"/>
      </c>
      <c r="AM671" s="4">
        <f t="shared" si="508"/>
      </c>
      <c r="AN671" s="4"/>
      <c r="AO671" s="4">
        <f t="shared" si="509"/>
      </c>
      <c r="AP671" s="4">
        <f t="shared" si="510"/>
      </c>
      <c r="AQ671" s="4">
        <f t="shared" si="511"/>
        <v/>
      </c>
      <c r="AR671" s="4">
        <f t="shared" si="512"/>
      </c>
      <c r="AS671" s="4">
        <f t="shared" si="513"/>
      </c>
      <c r="AT671" s="4">
        <f t="shared" si="514"/>
      </c>
    </row>
    <row r="672" spans="1:46" x14ac:dyDescent="0.3">
      <c r="A672" s="5">
        <f t="shared" si="486"/>
      </c>
      <c r="B672" s="4">
        <f t="shared" si="487"/>
      </c>
      <c r="C672" s="59"/>
      <c r="D672" s="59"/>
      <c r="E672" s="70"/>
      <c r="F672" s="164"/>
      <c r="G672" s="164"/>
      <c r="H672" s="164"/>
      <c r="I672" s="70"/>
      <c r="J672" s="70"/>
      <c r="K672" s="70"/>
      <c r="L672" s="70"/>
      <c r="M672" s="4">
        <f t="shared" si="488"/>
      </c>
      <c r="N672" s="59"/>
      <c r="O672" s="164"/>
      <c r="P672" s="59">
        <f t="shared" si="489"/>
      </c>
      <c r="Q672" s="165"/>
      <c r="R672" s="59"/>
      <c r="S672" s="164"/>
      <c r="T672" s="5">
        <f t="shared" si="490"/>
      </c>
      <c r="U672" s="4">
        <f t="shared" si="491"/>
      </c>
      <c r="V672" s="4">
        <f t="shared" si="492"/>
      </c>
      <c r="W672" s="4">
        <f t="shared" si="493"/>
      </c>
      <c r="X672" s="4">
        <f t="shared" si="494"/>
      </c>
      <c r="Y672" s="4" cm="1">
        <f t="array" ref="Y672">_xlfn.IFS(H672=1,2,H672=3,1)</f>
      </c>
      <c r="Z672" s="4">
        <f t="shared" si="495"/>
      </c>
      <c r="AA672" s="4">
        <f t="shared" si="496"/>
      </c>
      <c r="AB672" s="4">
        <f t="shared" si="497"/>
      </c>
      <c r="AC672" s="4">
        <f t="shared" si="498"/>
      </c>
      <c r="AD672" s="4">
        <f t="shared" si="499"/>
      </c>
      <c r="AE672" s="4">
        <f t="shared" si="500"/>
      </c>
      <c r="AF672" s="4">
        <f t="shared" si="501"/>
      </c>
      <c r="AG672" s="4">
        <f t="shared" si="502"/>
        <v/>
      </c>
      <c r="AH672" s="4">
        <f t="shared" si="503"/>
      </c>
      <c r="AI672" s="4">
        <f t="shared" si="504"/>
      </c>
      <c r="AJ672" s="4">
        <f t="shared" si="505"/>
      </c>
      <c r="AK672" s="4">
        <f t="shared" si="506"/>
      </c>
      <c r="AL672" s="4">
        <f t="shared" si="507"/>
      </c>
      <c r="AM672" s="4">
        <f t="shared" si="508"/>
      </c>
      <c r="AN672" s="4"/>
      <c r="AO672" s="4">
        <f t="shared" si="509"/>
      </c>
      <c r="AP672" s="4">
        <f t="shared" si="510"/>
      </c>
      <c r="AQ672" s="4">
        <f t="shared" si="511"/>
        <v/>
      </c>
      <c r="AR672" s="4">
        <f t="shared" si="512"/>
      </c>
      <c r="AS672" s="4">
        <f t="shared" si="513"/>
      </c>
      <c r="AT672" s="4">
        <f t="shared" si="514"/>
      </c>
    </row>
    <row r="673" spans="1:46" x14ac:dyDescent="0.3">
      <c r="A673" s="5">
        <f t="shared" si="486"/>
      </c>
      <c r="B673" s="4">
        <f t="shared" si="487"/>
      </c>
      <c r="C673" s="59"/>
      <c r="D673" s="59"/>
      <c r="E673" s="70"/>
      <c r="F673" s="164"/>
      <c r="G673" s="164"/>
      <c r="H673" s="164"/>
      <c r="I673" s="70"/>
      <c r="J673" s="70"/>
      <c r="K673" s="70"/>
      <c r="L673" s="70"/>
      <c r="M673" s="4">
        <f t="shared" si="488"/>
      </c>
      <c r="N673" s="59"/>
      <c r="O673" s="164"/>
      <c r="P673" s="59">
        <f t="shared" si="489"/>
      </c>
      <c r="Q673" s="165"/>
      <c r="R673" s="59"/>
      <c r="S673" s="164"/>
      <c r="T673" s="5">
        <f t="shared" si="490"/>
      </c>
      <c r="U673" s="4">
        <f t="shared" si="491"/>
      </c>
      <c r="V673" s="4">
        <f t="shared" si="492"/>
      </c>
      <c r="W673" s="4">
        <f t="shared" si="493"/>
      </c>
      <c r="X673" s="4">
        <f t="shared" si="494"/>
      </c>
      <c r="Y673" s="4" cm="1">
        <f t="array" ref="Y673">_xlfn.IFS(H673=1,2,H673=3,1)</f>
      </c>
      <c r="Z673" s="4">
        <f t="shared" si="495"/>
      </c>
      <c r="AA673" s="4">
        <f t="shared" si="496"/>
      </c>
      <c r="AB673" s="4">
        <f t="shared" si="497"/>
      </c>
      <c r="AC673" s="4">
        <f t="shared" si="498"/>
      </c>
      <c r="AD673" s="4">
        <f t="shared" si="499"/>
      </c>
      <c r="AE673" s="4">
        <f t="shared" si="500"/>
      </c>
      <c r="AF673" s="4">
        <f t="shared" si="501"/>
      </c>
      <c r="AG673" s="4">
        <f t="shared" si="502"/>
        <v/>
      </c>
      <c r="AH673" s="4">
        <f t="shared" si="503"/>
      </c>
      <c r="AI673" s="4">
        <f t="shared" si="504"/>
      </c>
      <c r="AJ673" s="4">
        <f t="shared" si="505"/>
      </c>
      <c r="AK673" s="4">
        <f t="shared" si="506"/>
      </c>
      <c r="AL673" s="4">
        <f t="shared" si="507"/>
      </c>
      <c r="AM673" s="4">
        <f t="shared" si="508"/>
      </c>
      <c r="AN673" s="4"/>
      <c r="AO673" s="4">
        <f t="shared" si="509"/>
      </c>
      <c r="AP673" s="4">
        <f t="shared" si="510"/>
      </c>
      <c r="AQ673" s="4">
        <f t="shared" si="511"/>
        <v/>
      </c>
      <c r="AR673" s="4">
        <f t="shared" si="512"/>
      </c>
      <c r="AS673" s="4">
        <f t="shared" si="513"/>
      </c>
      <c r="AT673" s="4">
        <f t="shared" si="514"/>
      </c>
    </row>
    <row r="674" spans="1:46" x14ac:dyDescent="0.3">
      <c r="A674" s="5">
        <f t="shared" si="486"/>
      </c>
      <c r="B674" s="4">
        <f t="shared" si="487"/>
      </c>
      <c r="C674" s="59"/>
      <c r="D674" s="59"/>
      <c r="E674" s="70"/>
      <c r="F674" s="164"/>
      <c r="G674" s="164"/>
      <c r="H674" s="164"/>
      <c r="I674" s="70"/>
      <c r="J674" s="70"/>
      <c r="K674" s="70"/>
      <c r="L674" s="70"/>
      <c r="M674" s="4">
        <f t="shared" si="488"/>
      </c>
      <c r="N674" s="59"/>
      <c r="O674" s="164"/>
      <c r="P674" s="59">
        <f t="shared" si="489"/>
      </c>
      <c r="Q674" s="165"/>
      <c r="R674" s="59"/>
      <c r="S674" s="164"/>
      <c r="T674" s="5">
        <f t="shared" si="490"/>
      </c>
      <c r="U674" s="4">
        <f t="shared" si="491"/>
      </c>
      <c r="V674" s="4">
        <f t="shared" si="492"/>
      </c>
      <c r="W674" s="4">
        <f t="shared" si="493"/>
      </c>
      <c r="X674" s="4">
        <f t="shared" si="494"/>
      </c>
      <c r="Y674" s="4" cm="1">
        <f t="array" ref="Y674">_xlfn.IFS(H674=1,2,H674=3,1)</f>
      </c>
      <c r="Z674" s="4">
        <f t="shared" si="495"/>
      </c>
      <c r="AA674" s="4">
        <f t="shared" si="496"/>
      </c>
      <c r="AB674" s="4">
        <f t="shared" si="497"/>
      </c>
      <c r="AC674" s="4">
        <f t="shared" si="498"/>
      </c>
      <c r="AD674" s="4">
        <f t="shared" si="499"/>
      </c>
      <c r="AE674" s="4">
        <f t="shared" si="500"/>
      </c>
      <c r="AF674" s="4">
        <f t="shared" si="501"/>
      </c>
      <c r="AG674" s="4">
        <f t="shared" si="502"/>
        <v/>
      </c>
      <c r="AH674" s="4">
        <f t="shared" si="503"/>
      </c>
      <c r="AI674" s="4">
        <f t="shared" si="504"/>
      </c>
      <c r="AJ674" s="4">
        <f t="shared" si="505"/>
      </c>
      <c r="AK674" s="4">
        <f t="shared" si="506"/>
      </c>
      <c r="AL674" s="4">
        <f t="shared" si="507"/>
      </c>
      <c r="AM674" s="4">
        <f t="shared" si="508"/>
      </c>
      <c r="AN674" s="4"/>
      <c r="AO674" s="4">
        <f t="shared" si="509"/>
      </c>
      <c r="AP674" s="4">
        <f t="shared" si="510"/>
      </c>
      <c r="AQ674" s="4">
        <f t="shared" si="511"/>
        <v/>
      </c>
      <c r="AR674" s="4">
        <f t="shared" si="512"/>
      </c>
      <c r="AS674" s="4">
        <f t="shared" si="513"/>
      </c>
      <c r="AT674" s="4">
        <f t="shared" si="514"/>
      </c>
    </row>
    <row r="675" spans="1:46" x14ac:dyDescent="0.3">
      <c r="A675" s="5">
        <f t="shared" si="486"/>
      </c>
      <c r="B675" s="4">
        <f t="shared" si="487"/>
      </c>
      <c r="C675" s="59"/>
      <c r="D675" s="59"/>
      <c r="E675" s="70"/>
      <c r="F675" s="164"/>
      <c r="G675" s="164"/>
      <c r="H675" s="164"/>
      <c r="I675" s="70"/>
      <c r="J675" s="70"/>
      <c r="K675" s="70"/>
      <c r="L675" s="70"/>
      <c r="M675" s="4">
        <f t="shared" si="488"/>
      </c>
      <c r="N675" s="59"/>
      <c r="O675" s="164"/>
      <c r="P675" s="59">
        <f t="shared" si="489"/>
      </c>
      <c r="Q675" s="165"/>
      <c r="R675" s="59"/>
      <c r="S675" s="164"/>
      <c r="T675" s="5">
        <f t="shared" si="490"/>
      </c>
      <c r="U675" s="4">
        <f t="shared" si="491"/>
      </c>
      <c r="V675" s="4">
        <f t="shared" si="492"/>
      </c>
      <c r="W675" s="4">
        <f t="shared" si="493"/>
      </c>
      <c r="X675" s="4">
        <f t="shared" si="494"/>
      </c>
      <c r="Y675" s="4" cm="1">
        <f t="array" ref="Y675">_xlfn.IFS(H675=1,2,H675=3,1)</f>
      </c>
      <c r="Z675" s="4">
        <f t="shared" si="495"/>
      </c>
      <c r="AA675" s="4">
        <f t="shared" si="496"/>
      </c>
      <c r="AB675" s="4">
        <f t="shared" si="497"/>
      </c>
      <c r="AC675" s="4">
        <f t="shared" si="498"/>
      </c>
      <c r="AD675" s="4">
        <f t="shared" si="499"/>
      </c>
      <c r="AE675" s="4">
        <f t="shared" si="500"/>
      </c>
      <c r="AF675" s="4">
        <f t="shared" si="501"/>
      </c>
      <c r="AG675" s="4">
        <f t="shared" si="502"/>
        <v/>
      </c>
      <c r="AH675" s="4">
        <f t="shared" si="503"/>
      </c>
      <c r="AI675" s="4">
        <f t="shared" si="504"/>
      </c>
      <c r="AJ675" s="4">
        <f t="shared" si="505"/>
      </c>
      <c r="AK675" s="4">
        <f t="shared" si="506"/>
      </c>
      <c r="AL675" s="4">
        <f t="shared" si="507"/>
      </c>
      <c r="AM675" s="4">
        <f t="shared" si="508"/>
      </c>
      <c r="AN675" s="4"/>
      <c r="AO675" s="4">
        <f t="shared" si="509"/>
      </c>
      <c r="AP675" s="4">
        <f t="shared" si="510"/>
      </c>
      <c r="AQ675" s="4">
        <f t="shared" si="511"/>
        <v/>
      </c>
      <c r="AR675" s="4">
        <f t="shared" si="512"/>
      </c>
      <c r="AS675" s="4">
        <f t="shared" si="513"/>
      </c>
      <c r="AT675" s="4">
        <f t="shared" si="514"/>
      </c>
    </row>
    <row r="676" spans="1:46" x14ac:dyDescent="0.3">
      <c r="A676" s="5">
        <f t="shared" si="486"/>
      </c>
      <c r="B676" s="4">
        <f t="shared" si="487"/>
      </c>
      <c r="C676" s="59"/>
      <c r="D676" s="59"/>
      <c r="E676" s="70"/>
      <c r="F676" s="164"/>
      <c r="G676" s="164"/>
      <c r="H676" s="164"/>
      <c r="I676" s="70"/>
      <c r="J676" s="70"/>
      <c r="K676" s="70"/>
      <c r="L676" s="70"/>
      <c r="M676" s="4">
        <f t="shared" si="488"/>
      </c>
      <c r="N676" s="59"/>
      <c r="O676" s="164"/>
      <c r="P676" s="59">
        <f t="shared" si="489"/>
      </c>
      <c r="Q676" s="165"/>
      <c r="R676" s="59"/>
      <c r="S676" s="164"/>
      <c r="T676" s="5">
        <f t="shared" si="490"/>
      </c>
      <c r="U676" s="4">
        <f t="shared" si="491"/>
      </c>
      <c r="V676" s="4">
        <f t="shared" si="492"/>
      </c>
      <c r="W676" s="4">
        <f t="shared" si="493"/>
      </c>
      <c r="X676" s="4">
        <f t="shared" si="494"/>
      </c>
      <c r="Y676" s="4" cm="1">
        <f t="array" ref="Y676">_xlfn.IFS(H676=1,2,H676=3,1)</f>
      </c>
      <c r="Z676" s="4">
        <f t="shared" si="495"/>
      </c>
      <c r="AA676" s="4">
        <f t="shared" si="496"/>
      </c>
      <c r="AB676" s="4">
        <f t="shared" si="497"/>
      </c>
      <c r="AC676" s="4">
        <f t="shared" si="498"/>
      </c>
      <c r="AD676" s="4">
        <f t="shared" si="499"/>
      </c>
      <c r="AE676" s="4">
        <f t="shared" si="500"/>
      </c>
      <c r="AF676" s="4">
        <f t="shared" si="501"/>
      </c>
      <c r="AG676" s="4">
        <f t="shared" si="502"/>
        <v/>
      </c>
      <c r="AH676" s="4">
        <f t="shared" si="503"/>
      </c>
      <c r="AI676" s="4">
        <f t="shared" si="504"/>
      </c>
      <c r="AJ676" s="4">
        <f t="shared" si="505"/>
      </c>
      <c r="AK676" s="4">
        <f t="shared" si="506"/>
      </c>
      <c r="AL676" s="4">
        <f t="shared" si="507"/>
      </c>
      <c r="AM676" s="4">
        <f t="shared" si="508"/>
      </c>
      <c r="AN676" s="4"/>
      <c r="AO676" s="4">
        <f t="shared" si="509"/>
      </c>
      <c r="AP676" s="4">
        <f t="shared" si="510"/>
      </c>
      <c r="AQ676" s="4">
        <f t="shared" si="511"/>
        <v/>
      </c>
      <c r="AR676" s="4">
        <f t="shared" si="512"/>
      </c>
      <c r="AS676" s="4">
        <f t="shared" si="513"/>
      </c>
      <c r="AT676" s="4">
        <f t="shared" si="514"/>
      </c>
    </row>
    <row r="677" spans="1:46" x14ac:dyDescent="0.3">
      <c r="A677" s="5">
        <f t="shared" si="486"/>
      </c>
      <c r="B677" s="4">
        <f t="shared" si="487"/>
      </c>
      <c r="C677" s="59"/>
      <c r="D677" s="59"/>
      <c r="E677" s="70"/>
      <c r="F677" s="164"/>
      <c r="G677" s="164"/>
      <c r="H677" s="164"/>
      <c r="I677" s="70"/>
      <c r="J677" s="70"/>
      <c r="K677" s="70"/>
      <c r="L677" s="70"/>
      <c r="M677" s="4">
        <f t="shared" si="488"/>
      </c>
      <c r="N677" s="59"/>
      <c r="O677" s="164"/>
      <c r="P677" s="59">
        <f t="shared" si="489"/>
      </c>
      <c r="Q677" s="165"/>
      <c r="R677" s="59"/>
      <c r="S677" s="164"/>
      <c r="T677" s="5">
        <f t="shared" si="490"/>
      </c>
      <c r="U677" s="4">
        <f t="shared" si="491"/>
      </c>
      <c r="V677" s="4">
        <f t="shared" si="492"/>
      </c>
      <c r="W677" s="4">
        <f t="shared" si="493"/>
      </c>
      <c r="X677" s="4">
        <f t="shared" si="494"/>
      </c>
      <c r="Y677" s="4" cm="1">
        <f t="array" ref="Y677">_xlfn.IFS(H677=1,2,H677=3,1)</f>
      </c>
      <c r="Z677" s="4">
        <f t="shared" si="495"/>
      </c>
      <c r="AA677" s="4">
        <f t="shared" si="496"/>
      </c>
      <c r="AB677" s="4">
        <f t="shared" si="497"/>
      </c>
      <c r="AC677" s="4">
        <f t="shared" si="498"/>
      </c>
      <c r="AD677" s="4">
        <f t="shared" si="499"/>
      </c>
      <c r="AE677" s="4">
        <f t="shared" si="500"/>
      </c>
      <c r="AF677" s="4">
        <f t="shared" si="501"/>
      </c>
      <c r="AG677" s="4">
        <f t="shared" si="502"/>
        <v/>
      </c>
      <c r="AH677" s="4">
        <f t="shared" si="503"/>
      </c>
      <c r="AI677" s="4">
        <f t="shared" si="504"/>
      </c>
      <c r="AJ677" s="4">
        <f t="shared" si="505"/>
      </c>
      <c r="AK677" s="4">
        <f t="shared" si="506"/>
      </c>
      <c r="AL677" s="4">
        <f t="shared" si="507"/>
      </c>
      <c r="AM677" s="4">
        <f t="shared" si="508"/>
      </c>
      <c r="AN677" s="4"/>
      <c r="AO677" s="4">
        <f t="shared" si="509"/>
      </c>
      <c r="AP677" s="4">
        <f t="shared" si="510"/>
      </c>
      <c r="AQ677" s="4">
        <f t="shared" si="511"/>
        <v/>
      </c>
      <c r="AR677" s="4">
        <f t="shared" si="512"/>
      </c>
      <c r="AS677" s="4">
        <f t="shared" si="513"/>
      </c>
      <c r="AT677" s="4">
        <f t="shared" si="514"/>
      </c>
    </row>
    <row r="678" spans="1:46" x14ac:dyDescent="0.3">
      <c r="A678" s="5">
        <f t="shared" si="486"/>
      </c>
      <c r="B678" s="4">
        <f t="shared" si="487"/>
      </c>
      <c r="C678" s="59"/>
      <c r="D678" s="59"/>
      <c r="E678" s="70"/>
      <c r="F678" s="164"/>
      <c r="G678" s="164"/>
      <c r="H678" s="164"/>
      <c r="I678" s="70"/>
      <c r="J678" s="70"/>
      <c r="K678" s="70"/>
      <c r="L678" s="70"/>
      <c r="M678" s="4">
        <f t="shared" si="488"/>
      </c>
      <c r="N678" s="59"/>
      <c r="O678" s="164"/>
      <c r="P678" s="59">
        <f t="shared" si="489"/>
      </c>
      <c r="Q678" s="165"/>
      <c r="R678" s="59"/>
      <c r="S678" s="164"/>
      <c r="T678" s="5">
        <f t="shared" si="490"/>
      </c>
      <c r="U678" s="4">
        <f t="shared" si="491"/>
      </c>
      <c r="V678" s="4">
        <f t="shared" si="492"/>
      </c>
      <c r="W678" s="4">
        <f t="shared" si="493"/>
      </c>
      <c r="X678" s="4">
        <f t="shared" si="494"/>
      </c>
      <c r="Y678" s="4" cm="1">
        <f t="array" ref="Y678">_xlfn.IFS(H678=1,2,H678=3,1)</f>
      </c>
      <c r="Z678" s="4">
        <f t="shared" si="495"/>
      </c>
      <c r="AA678" s="4">
        <f t="shared" si="496"/>
      </c>
      <c r="AB678" s="4">
        <f t="shared" si="497"/>
      </c>
      <c r="AC678" s="4">
        <f t="shared" si="498"/>
      </c>
      <c r="AD678" s="4">
        <f t="shared" si="499"/>
      </c>
      <c r="AE678" s="4">
        <f t="shared" si="500"/>
      </c>
      <c r="AF678" s="4">
        <f t="shared" si="501"/>
      </c>
      <c r="AG678" s="4">
        <f t="shared" si="502"/>
        <v/>
      </c>
      <c r="AH678" s="4">
        <f t="shared" si="503"/>
      </c>
      <c r="AI678" s="4">
        <f t="shared" si="504"/>
      </c>
      <c r="AJ678" s="4">
        <f t="shared" si="505"/>
      </c>
      <c r="AK678" s="4">
        <f t="shared" si="506"/>
      </c>
      <c r="AL678" s="4">
        <f t="shared" si="507"/>
      </c>
      <c r="AM678" s="4">
        <f t="shared" si="508"/>
      </c>
      <c r="AN678" s="4"/>
      <c r="AO678" s="4">
        <f t="shared" si="509"/>
      </c>
      <c r="AP678" s="4">
        <f t="shared" si="510"/>
      </c>
      <c r="AQ678" s="4">
        <f t="shared" si="511"/>
        <v/>
      </c>
      <c r="AR678" s="4">
        <f t="shared" si="512"/>
      </c>
      <c r="AS678" s="4">
        <f t="shared" si="513"/>
      </c>
      <c r="AT678" s="4">
        <f t="shared" si="514"/>
      </c>
    </row>
    <row r="679" spans="1:46" x14ac:dyDescent="0.3">
      <c r="A679" s="5">
        <f t="shared" si="486"/>
      </c>
      <c r="B679" s="4">
        <f t="shared" si="487"/>
      </c>
      <c r="C679" s="59"/>
      <c r="D679" s="59"/>
      <c r="E679" s="70"/>
      <c r="F679" s="164"/>
      <c r="G679" s="164"/>
      <c r="H679" s="164"/>
      <c r="I679" s="70"/>
      <c r="J679" s="70"/>
      <c r="K679" s="70"/>
      <c r="L679" s="70"/>
      <c r="M679" s="4">
        <f t="shared" si="488"/>
      </c>
      <c r="N679" s="59"/>
      <c r="O679" s="164"/>
      <c r="P679" s="59">
        <f t="shared" si="489"/>
      </c>
      <c r="Q679" s="165"/>
      <c r="R679" s="59"/>
      <c r="S679" s="164"/>
      <c r="T679" s="5">
        <f t="shared" si="490"/>
      </c>
      <c r="U679" s="4">
        <f t="shared" si="491"/>
      </c>
      <c r="V679" s="4">
        <f t="shared" si="492"/>
      </c>
      <c r="W679" s="4">
        <f t="shared" si="493"/>
      </c>
      <c r="X679" s="4">
        <f t="shared" si="494"/>
      </c>
      <c r="Y679" s="4" cm="1">
        <f t="array" ref="Y679">_xlfn.IFS(H679=1,2,H679=3,1)</f>
      </c>
      <c r="Z679" s="4">
        <f t="shared" si="495"/>
      </c>
      <c r="AA679" s="4">
        <f t="shared" si="496"/>
      </c>
      <c r="AB679" s="4">
        <f t="shared" si="497"/>
      </c>
      <c r="AC679" s="4">
        <f t="shared" si="498"/>
      </c>
      <c r="AD679" s="4">
        <f t="shared" si="499"/>
      </c>
      <c r="AE679" s="4">
        <f t="shared" si="500"/>
      </c>
      <c r="AF679" s="4">
        <f t="shared" si="501"/>
      </c>
      <c r="AG679" s="4">
        <f t="shared" si="502"/>
        <v/>
      </c>
      <c r="AH679" s="4">
        <f t="shared" si="503"/>
      </c>
      <c r="AI679" s="4">
        <f t="shared" si="504"/>
      </c>
      <c r="AJ679" s="4">
        <f t="shared" si="505"/>
      </c>
      <c r="AK679" s="4">
        <f t="shared" si="506"/>
      </c>
      <c r="AL679" s="4">
        <f t="shared" si="507"/>
      </c>
      <c r="AM679" s="4">
        <f t="shared" si="508"/>
      </c>
      <c r="AN679" s="4"/>
      <c r="AO679" s="4">
        <f t="shared" si="509"/>
      </c>
      <c r="AP679" s="4">
        <f t="shared" si="510"/>
      </c>
      <c r="AQ679" s="4">
        <f t="shared" si="511"/>
        <v/>
      </c>
      <c r="AR679" s="4">
        <f t="shared" si="512"/>
      </c>
      <c r="AS679" s="4">
        <f t="shared" si="513"/>
      </c>
      <c r="AT679" s="4">
        <f t="shared" si="514"/>
      </c>
    </row>
    <row r="680" spans="1:46" x14ac:dyDescent="0.3">
      <c r="A680" s="5">
        <f t="shared" si="486"/>
      </c>
      <c r="B680" s="4">
        <f t="shared" si="487"/>
      </c>
      <c r="C680" s="59"/>
      <c r="D680" s="59"/>
      <c r="E680" s="70"/>
      <c r="F680" s="164"/>
      <c r="G680" s="164"/>
      <c r="H680" s="164"/>
      <c r="I680" s="70"/>
      <c r="J680" s="70"/>
      <c r="K680" s="70"/>
      <c r="L680" s="70"/>
      <c r="M680" s="4">
        <f t="shared" si="488"/>
      </c>
      <c r="N680" s="59"/>
      <c r="O680" s="164"/>
      <c r="P680" s="59">
        <f t="shared" si="489"/>
      </c>
      <c r="Q680" s="165"/>
      <c r="R680" s="59"/>
      <c r="S680" s="164"/>
      <c r="T680" s="5">
        <f t="shared" si="490"/>
      </c>
      <c r="U680" s="4">
        <f t="shared" si="491"/>
      </c>
      <c r="V680" s="4">
        <f t="shared" si="492"/>
      </c>
      <c r="W680" s="4">
        <f t="shared" si="493"/>
      </c>
      <c r="X680" s="4">
        <f t="shared" si="494"/>
      </c>
      <c r="Y680" s="4" cm="1">
        <f t="array" ref="Y680">_xlfn.IFS(H680=1,2,H680=3,1)</f>
      </c>
      <c r="Z680" s="4">
        <f t="shared" si="495"/>
      </c>
      <c r="AA680" s="4">
        <f t="shared" si="496"/>
      </c>
      <c r="AB680" s="4">
        <f t="shared" si="497"/>
      </c>
      <c r="AC680" s="4">
        <f t="shared" si="498"/>
      </c>
      <c r="AD680" s="4">
        <f t="shared" si="499"/>
      </c>
      <c r="AE680" s="4">
        <f t="shared" si="500"/>
      </c>
      <c r="AF680" s="4">
        <f t="shared" si="501"/>
      </c>
      <c r="AG680" s="4">
        <f t="shared" si="502"/>
        <v/>
      </c>
      <c r="AH680" s="4">
        <f t="shared" si="503"/>
      </c>
      <c r="AI680" s="4">
        <f t="shared" si="504"/>
      </c>
      <c r="AJ680" s="4">
        <f t="shared" si="505"/>
      </c>
      <c r="AK680" s="4">
        <f t="shared" si="506"/>
      </c>
      <c r="AL680" s="4">
        <f t="shared" si="507"/>
      </c>
      <c r="AM680" s="4">
        <f t="shared" si="508"/>
      </c>
      <c r="AN680" s="4"/>
      <c r="AO680" s="4">
        <f t="shared" si="509"/>
      </c>
      <c r="AP680" s="4">
        <f t="shared" si="510"/>
      </c>
      <c r="AQ680" s="4">
        <f t="shared" si="511"/>
        <v/>
      </c>
      <c r="AR680" s="4">
        <f t="shared" si="512"/>
      </c>
      <c r="AS680" s="4">
        <f t="shared" si="513"/>
      </c>
      <c r="AT680" s="4">
        <f t="shared" si="514"/>
      </c>
    </row>
    <row r="681" spans="1:46" x14ac:dyDescent="0.3">
      <c r="A681" s="5">
        <f t="shared" si="486"/>
      </c>
      <c r="B681" s="4">
        <f t="shared" si="487"/>
      </c>
      <c r="C681" s="59"/>
      <c r="D681" s="59"/>
      <c r="E681" s="70"/>
      <c r="F681" s="164"/>
      <c r="G681" s="164"/>
      <c r="H681" s="164"/>
      <c r="I681" s="70"/>
      <c r="J681" s="70"/>
      <c r="K681" s="70"/>
      <c r="L681" s="70"/>
      <c r="M681" s="4">
        <f t="shared" si="488"/>
      </c>
      <c r="N681" s="59"/>
      <c r="O681" s="164"/>
      <c r="P681" s="59">
        <f t="shared" si="489"/>
      </c>
      <c r="Q681" s="165"/>
      <c r="R681" s="59"/>
      <c r="S681" s="164"/>
      <c r="T681" s="5">
        <f t="shared" si="490"/>
      </c>
      <c r="U681" s="4">
        <f t="shared" si="491"/>
      </c>
      <c r="V681" s="4">
        <f t="shared" si="492"/>
      </c>
      <c r="W681" s="4">
        <f t="shared" si="493"/>
      </c>
      <c r="X681" s="4">
        <f t="shared" si="494"/>
      </c>
      <c r="Y681" s="4" cm="1">
        <f t="array" ref="Y681">_xlfn.IFS(H681=1,2,H681=3,1)</f>
      </c>
      <c r="Z681" s="4">
        <f t="shared" si="495"/>
      </c>
      <c r="AA681" s="4">
        <f t="shared" si="496"/>
      </c>
      <c r="AB681" s="4">
        <f t="shared" si="497"/>
      </c>
      <c r="AC681" s="4">
        <f t="shared" si="498"/>
      </c>
      <c r="AD681" s="4">
        <f t="shared" si="499"/>
      </c>
      <c r="AE681" s="4">
        <f t="shared" si="500"/>
      </c>
      <c r="AF681" s="4">
        <f t="shared" si="501"/>
      </c>
      <c r="AG681" s="4">
        <f t="shared" si="502"/>
        <v/>
      </c>
      <c r="AH681" s="4">
        <f t="shared" si="503"/>
      </c>
      <c r="AI681" s="4">
        <f t="shared" si="504"/>
      </c>
      <c r="AJ681" s="4">
        <f t="shared" si="505"/>
      </c>
      <c r="AK681" s="4">
        <f t="shared" si="506"/>
      </c>
      <c r="AL681" s="4">
        <f t="shared" si="507"/>
      </c>
      <c r="AM681" s="4">
        <f t="shared" si="508"/>
      </c>
      <c r="AN681" s="4"/>
      <c r="AO681" s="4">
        <f t="shared" si="509"/>
      </c>
      <c r="AP681" s="4">
        <f t="shared" si="510"/>
      </c>
      <c r="AQ681" s="4">
        <f t="shared" si="511"/>
        <v/>
      </c>
      <c r="AR681" s="4">
        <f t="shared" si="512"/>
      </c>
      <c r="AS681" s="4">
        <f t="shared" si="513"/>
      </c>
      <c r="AT681" s="4">
        <f t="shared" si="514"/>
      </c>
    </row>
    <row r="682" spans="1:46" x14ac:dyDescent="0.3">
      <c r="A682" s="5">
        <f t="shared" si="486"/>
      </c>
      <c r="B682" s="4">
        <f t="shared" si="487"/>
      </c>
      <c r="C682" s="59"/>
      <c r="D682" s="59"/>
      <c r="E682" s="70"/>
      <c r="F682" s="164"/>
      <c r="G682" s="164"/>
      <c r="H682" s="164"/>
      <c r="I682" s="70"/>
      <c r="J682" s="70"/>
      <c r="K682" s="70"/>
      <c r="L682" s="70"/>
      <c r="M682" s="4">
        <f t="shared" si="488"/>
      </c>
      <c r="N682" s="59"/>
      <c r="O682" s="164"/>
      <c r="P682" s="59">
        <f t="shared" si="489"/>
      </c>
      <c r="Q682" s="165"/>
      <c r="R682" s="59"/>
      <c r="S682" s="164"/>
      <c r="T682" s="5">
        <f t="shared" si="490"/>
      </c>
      <c r="U682" s="4">
        <f t="shared" si="491"/>
      </c>
      <c r="V682" s="4">
        <f t="shared" si="492"/>
      </c>
      <c r="W682" s="4">
        <f t="shared" si="493"/>
      </c>
      <c r="X682" s="4">
        <f t="shared" si="494"/>
      </c>
      <c r="Y682" s="4" cm="1">
        <f t="array" ref="Y682">_xlfn.IFS(H682=1,2,H682=3,1)</f>
      </c>
      <c r="Z682" s="4">
        <f t="shared" si="495"/>
      </c>
      <c r="AA682" s="4">
        <f t="shared" si="496"/>
      </c>
      <c r="AB682" s="4">
        <f t="shared" si="497"/>
      </c>
      <c r="AC682" s="4">
        <f t="shared" si="498"/>
      </c>
      <c r="AD682" s="4">
        <f t="shared" si="499"/>
      </c>
      <c r="AE682" s="4">
        <f t="shared" si="500"/>
      </c>
      <c r="AF682" s="4">
        <f t="shared" si="501"/>
      </c>
      <c r="AG682" s="4">
        <f t="shared" si="502"/>
        <v/>
      </c>
      <c r="AH682" s="4">
        <f t="shared" si="503"/>
      </c>
      <c r="AI682" s="4">
        <f t="shared" si="504"/>
      </c>
      <c r="AJ682" s="4">
        <f t="shared" si="505"/>
      </c>
      <c r="AK682" s="4">
        <f t="shared" si="506"/>
      </c>
      <c r="AL682" s="4">
        <f t="shared" si="507"/>
      </c>
      <c r="AM682" s="4">
        <f t="shared" si="508"/>
      </c>
      <c r="AN682" s="4"/>
      <c r="AO682" s="4">
        <f t="shared" si="509"/>
      </c>
      <c r="AP682" s="4">
        <f t="shared" si="510"/>
      </c>
      <c r="AQ682" s="4">
        <f t="shared" si="511"/>
        <v/>
      </c>
      <c r="AR682" s="4">
        <f t="shared" si="512"/>
      </c>
      <c r="AS682" s="4">
        <f t="shared" si="513"/>
      </c>
      <c r="AT682" s="4">
        <f t="shared" si="514"/>
      </c>
    </row>
    <row r="683" spans="1:46" x14ac:dyDescent="0.3">
      <c r="A683" s="5">
        <f t="shared" si="486"/>
      </c>
      <c r="B683" s="4">
        <f t="shared" si="487"/>
      </c>
      <c r="C683" s="59"/>
      <c r="D683" s="59"/>
      <c r="E683" s="70"/>
      <c r="F683" s="164"/>
      <c r="G683" s="164"/>
      <c r="H683" s="164"/>
      <c r="I683" s="70"/>
      <c r="J683" s="70"/>
      <c r="K683" s="70"/>
      <c r="L683" s="70"/>
      <c r="M683" s="4">
        <f t="shared" si="488"/>
      </c>
      <c r="N683" s="59"/>
      <c r="O683" s="164"/>
      <c r="P683" s="59">
        <f t="shared" si="489"/>
      </c>
      <c r="Q683" s="165"/>
      <c r="R683" s="59"/>
      <c r="S683" s="164"/>
      <c r="T683" s="5">
        <f t="shared" si="490"/>
      </c>
      <c r="U683" s="4">
        <f t="shared" si="491"/>
      </c>
      <c r="V683" s="4">
        <f t="shared" si="492"/>
      </c>
      <c r="W683" s="4">
        <f t="shared" si="493"/>
      </c>
      <c r="X683" s="4">
        <f t="shared" si="494"/>
      </c>
      <c r="Y683" s="4" cm="1">
        <f t="array" ref="Y683">_xlfn.IFS(H683=1,2,H683=3,1)</f>
      </c>
      <c r="Z683" s="4">
        <f t="shared" si="495"/>
      </c>
      <c r="AA683" s="4">
        <f t="shared" si="496"/>
      </c>
      <c r="AB683" s="4">
        <f t="shared" si="497"/>
      </c>
      <c r="AC683" s="4">
        <f t="shared" si="498"/>
      </c>
      <c r="AD683" s="4">
        <f t="shared" si="499"/>
      </c>
      <c r="AE683" s="4">
        <f t="shared" si="500"/>
      </c>
      <c r="AF683" s="4">
        <f t="shared" si="501"/>
      </c>
      <c r="AG683" s="4">
        <f t="shared" si="502"/>
        <v/>
      </c>
      <c r="AH683" s="4">
        <f t="shared" si="503"/>
      </c>
      <c r="AI683" s="4">
        <f t="shared" si="504"/>
      </c>
      <c r="AJ683" s="4">
        <f t="shared" si="505"/>
      </c>
      <c r="AK683" s="4">
        <f t="shared" si="506"/>
      </c>
      <c r="AL683" s="4">
        <f t="shared" si="507"/>
      </c>
      <c r="AM683" s="4">
        <f t="shared" si="508"/>
      </c>
      <c r="AN683" s="4"/>
      <c r="AO683" s="4">
        <f t="shared" si="509"/>
      </c>
      <c r="AP683" s="4">
        <f t="shared" si="510"/>
      </c>
      <c r="AQ683" s="4">
        <f t="shared" si="511"/>
        <v/>
      </c>
      <c r="AR683" s="4">
        <f t="shared" si="512"/>
      </c>
      <c r="AS683" s="4">
        <f t="shared" si="513"/>
      </c>
      <c r="AT683" s="4">
        <f t="shared" si="514"/>
      </c>
    </row>
    <row r="684" spans="1:46" x14ac:dyDescent="0.3">
      <c r="A684" s="5">
        <f t="shared" si="486"/>
      </c>
      <c r="B684" s="4">
        <f t="shared" si="487"/>
      </c>
      <c r="C684" s="59"/>
      <c r="D684" s="59"/>
      <c r="E684" s="70"/>
      <c r="F684" s="164"/>
      <c r="G684" s="164"/>
      <c r="H684" s="164"/>
      <c r="I684" s="70"/>
      <c r="J684" s="70"/>
      <c r="K684" s="70"/>
      <c r="L684" s="70"/>
      <c r="M684" s="4">
        <f t="shared" si="488"/>
      </c>
      <c r="N684" s="59"/>
      <c r="O684" s="164"/>
      <c r="P684" s="59">
        <f t="shared" si="489"/>
      </c>
      <c r="Q684" s="165"/>
      <c r="R684" s="59"/>
      <c r="S684" s="164"/>
      <c r="T684" s="5">
        <f t="shared" si="490"/>
      </c>
      <c r="U684" s="4">
        <f t="shared" si="491"/>
      </c>
      <c r="V684" s="4">
        <f t="shared" si="492"/>
      </c>
      <c r="W684" s="4">
        <f t="shared" si="493"/>
      </c>
      <c r="X684" s="4">
        <f t="shared" si="494"/>
      </c>
      <c r="Y684" s="4" cm="1">
        <f t="array" ref="Y684">_xlfn.IFS(H684=1,2,H684=3,1)</f>
      </c>
      <c r="Z684" s="4">
        <f t="shared" si="495"/>
      </c>
      <c r="AA684" s="4">
        <f t="shared" si="496"/>
      </c>
      <c r="AB684" s="4">
        <f t="shared" si="497"/>
      </c>
      <c r="AC684" s="4">
        <f t="shared" si="498"/>
      </c>
      <c r="AD684" s="4">
        <f t="shared" si="499"/>
      </c>
      <c r="AE684" s="4">
        <f t="shared" si="500"/>
      </c>
      <c r="AF684" s="4">
        <f t="shared" si="501"/>
      </c>
      <c r="AG684" s="4">
        <f t="shared" si="502"/>
        <v/>
      </c>
      <c r="AH684" s="4">
        <f t="shared" si="503"/>
      </c>
      <c r="AI684" s="4">
        <f t="shared" si="504"/>
      </c>
      <c r="AJ684" s="4">
        <f t="shared" si="505"/>
      </c>
      <c r="AK684" s="4">
        <f t="shared" si="506"/>
      </c>
      <c r="AL684" s="4">
        <f t="shared" si="507"/>
      </c>
      <c r="AM684" s="4">
        <f t="shared" si="508"/>
      </c>
      <c r="AN684" s="4"/>
      <c r="AO684" s="4">
        <f t="shared" si="509"/>
      </c>
      <c r="AP684" s="4">
        <f t="shared" si="510"/>
      </c>
      <c r="AQ684" s="4">
        <f t="shared" si="511"/>
        <v/>
      </c>
      <c r="AR684" s="4">
        <f t="shared" si="512"/>
      </c>
      <c r="AS684" s="4">
        <f t="shared" si="513"/>
      </c>
      <c r="AT684" s="4">
        <f t="shared" si="514"/>
      </c>
    </row>
    <row r="685" spans="1:46" x14ac:dyDescent="0.3">
      <c r="A685" s="5">
        <f t="shared" si="486"/>
      </c>
      <c r="B685" s="4">
        <f t="shared" si="487"/>
      </c>
      <c r="C685" s="59"/>
      <c r="D685" s="59"/>
      <c r="E685" s="70"/>
      <c r="F685" s="164"/>
      <c r="G685" s="164"/>
      <c r="H685" s="164"/>
      <c r="I685" s="70"/>
      <c r="J685" s="70"/>
      <c r="K685" s="70"/>
      <c r="L685" s="70"/>
      <c r="M685" s="4">
        <f t="shared" si="488"/>
      </c>
      <c r="N685" s="59"/>
      <c r="O685" s="164"/>
      <c r="P685" s="59">
        <f t="shared" si="489"/>
      </c>
      <c r="Q685" s="165"/>
      <c r="R685" s="59"/>
      <c r="S685" s="164"/>
      <c r="T685" s="5">
        <f t="shared" si="490"/>
      </c>
      <c r="U685" s="4">
        <f t="shared" si="491"/>
      </c>
      <c r="V685" s="4">
        <f t="shared" si="492"/>
      </c>
      <c r="W685" s="4">
        <f t="shared" si="493"/>
      </c>
      <c r="X685" s="4">
        <f t="shared" si="494"/>
      </c>
      <c r="Y685" s="4" cm="1">
        <f t="array" ref="Y685">_xlfn.IFS(H685=1,2,H685=3,1)</f>
      </c>
      <c r="Z685" s="4">
        <f t="shared" si="495"/>
      </c>
      <c r="AA685" s="4">
        <f t="shared" si="496"/>
      </c>
      <c r="AB685" s="4">
        <f t="shared" si="497"/>
      </c>
      <c r="AC685" s="4">
        <f t="shared" si="498"/>
      </c>
      <c r="AD685" s="4">
        <f t="shared" si="499"/>
      </c>
      <c r="AE685" s="4">
        <f t="shared" si="500"/>
      </c>
      <c r="AF685" s="4">
        <f t="shared" si="501"/>
      </c>
      <c r="AG685" s="4">
        <f t="shared" si="502"/>
        <v/>
      </c>
      <c r="AH685" s="4">
        <f t="shared" si="503"/>
      </c>
      <c r="AI685" s="4">
        <f t="shared" si="504"/>
      </c>
      <c r="AJ685" s="4">
        <f t="shared" si="505"/>
      </c>
      <c r="AK685" s="4">
        <f t="shared" si="506"/>
      </c>
      <c r="AL685" s="4">
        <f t="shared" si="507"/>
      </c>
      <c r="AM685" s="4">
        <f t="shared" si="508"/>
      </c>
      <c r="AN685" s="4"/>
      <c r="AO685" s="4">
        <f t="shared" si="509"/>
      </c>
      <c r="AP685" s="4">
        <f t="shared" si="510"/>
      </c>
      <c r="AQ685" s="4">
        <f t="shared" si="511"/>
        <v/>
      </c>
      <c r="AR685" s="4">
        <f t="shared" si="512"/>
      </c>
      <c r="AS685" s="4">
        <f t="shared" si="513"/>
      </c>
      <c r="AT685" s="4">
        <f t="shared" si="514"/>
      </c>
    </row>
    <row r="686" spans="1:46" x14ac:dyDescent="0.3">
      <c r="A686" s="5">
        <f t="shared" si="486"/>
      </c>
      <c r="B686" s="4">
        <f t="shared" si="487"/>
      </c>
      <c r="C686" s="59"/>
      <c r="D686" s="59"/>
      <c r="E686" s="70"/>
      <c r="F686" s="164"/>
      <c r="G686" s="164"/>
      <c r="H686" s="164"/>
      <c r="I686" s="70"/>
      <c r="J686" s="70"/>
      <c r="K686" s="70"/>
      <c r="L686" s="70"/>
      <c r="M686" s="4">
        <f t="shared" si="488"/>
      </c>
      <c r="N686" s="59"/>
      <c r="O686" s="164"/>
      <c r="P686" s="59">
        <f t="shared" si="489"/>
      </c>
      <c r="Q686" s="165"/>
      <c r="R686" s="59"/>
      <c r="S686" s="164"/>
      <c r="T686" s="5">
        <f t="shared" si="490"/>
      </c>
      <c r="U686" s="4">
        <f t="shared" si="491"/>
      </c>
      <c r="V686" s="4">
        <f t="shared" si="492"/>
      </c>
      <c r="W686" s="4">
        <f t="shared" si="493"/>
      </c>
      <c r="X686" s="4">
        <f t="shared" si="494"/>
      </c>
      <c r="Y686" s="4" cm="1">
        <f t="array" ref="Y686">_xlfn.IFS(H686=1,2,H686=3,1)</f>
      </c>
      <c r="Z686" s="4">
        <f t="shared" si="495"/>
      </c>
      <c r="AA686" s="4">
        <f t="shared" si="496"/>
      </c>
      <c r="AB686" s="4">
        <f t="shared" si="497"/>
      </c>
      <c r="AC686" s="4">
        <f t="shared" si="498"/>
      </c>
      <c r="AD686" s="4">
        <f t="shared" si="499"/>
      </c>
      <c r="AE686" s="4">
        <f t="shared" si="500"/>
      </c>
      <c r="AF686" s="4">
        <f t="shared" si="501"/>
      </c>
      <c r="AG686" s="4">
        <f t="shared" si="502"/>
        <v/>
      </c>
      <c r="AH686" s="4">
        <f t="shared" si="503"/>
      </c>
      <c r="AI686" s="4">
        <f t="shared" si="504"/>
      </c>
      <c r="AJ686" s="4">
        <f t="shared" si="505"/>
      </c>
      <c r="AK686" s="4">
        <f t="shared" si="506"/>
      </c>
      <c r="AL686" s="4">
        <f t="shared" si="507"/>
      </c>
      <c r="AM686" s="4">
        <f t="shared" si="508"/>
      </c>
      <c r="AN686" s="4"/>
      <c r="AO686" s="4">
        <f t="shared" si="509"/>
      </c>
      <c r="AP686" s="4">
        <f t="shared" si="510"/>
      </c>
      <c r="AQ686" s="4">
        <f t="shared" si="511"/>
        <v/>
      </c>
      <c r="AR686" s="4">
        <f t="shared" si="512"/>
      </c>
      <c r="AS686" s="4">
        <f t="shared" si="513"/>
      </c>
      <c r="AT686" s="4">
        <f t="shared" si="514"/>
      </c>
    </row>
    <row r="687" spans="1:46" x14ac:dyDescent="0.3">
      <c r="A687" s="5">
        <f t="shared" si="486"/>
      </c>
      <c r="B687" s="4">
        <f t="shared" si="487"/>
      </c>
      <c r="C687" s="59"/>
      <c r="D687" s="59"/>
      <c r="E687" s="70"/>
      <c r="F687" s="164"/>
      <c r="G687" s="164"/>
      <c r="H687" s="164"/>
      <c r="I687" s="70"/>
      <c r="J687" s="70"/>
      <c r="K687" s="70"/>
      <c r="L687" s="70"/>
      <c r="M687" s="4">
        <f t="shared" si="488"/>
      </c>
      <c r="N687" s="59"/>
      <c r="O687" s="164"/>
      <c r="P687" s="59">
        <f t="shared" si="489"/>
      </c>
      <c r="Q687" s="165"/>
      <c r="R687" s="59"/>
      <c r="S687" s="164"/>
      <c r="T687" s="5">
        <f t="shared" si="490"/>
      </c>
      <c r="U687" s="4">
        <f t="shared" si="491"/>
      </c>
      <c r="V687" s="4">
        <f t="shared" si="492"/>
      </c>
      <c r="W687" s="4">
        <f t="shared" si="493"/>
      </c>
      <c r="X687" s="4">
        <f t="shared" si="494"/>
      </c>
      <c r="Y687" s="4" cm="1">
        <f t="array" ref="Y687">_xlfn.IFS(H687=1,2,H687=3,1)</f>
      </c>
      <c r="Z687" s="4">
        <f t="shared" si="495"/>
      </c>
      <c r="AA687" s="4">
        <f t="shared" si="496"/>
      </c>
      <c r="AB687" s="4">
        <f t="shared" si="497"/>
      </c>
      <c r="AC687" s="4">
        <f t="shared" si="498"/>
      </c>
      <c r="AD687" s="4">
        <f t="shared" si="499"/>
      </c>
      <c r="AE687" s="4">
        <f t="shared" si="500"/>
      </c>
      <c r="AF687" s="4">
        <f t="shared" si="501"/>
      </c>
      <c r="AG687" s="4">
        <f t="shared" si="502"/>
        <v/>
      </c>
      <c r="AH687" s="4">
        <f t="shared" si="503"/>
      </c>
      <c r="AI687" s="4">
        <f t="shared" si="504"/>
      </c>
      <c r="AJ687" s="4">
        <f t="shared" si="505"/>
      </c>
      <c r="AK687" s="4">
        <f t="shared" si="506"/>
      </c>
      <c r="AL687" s="4">
        <f t="shared" si="507"/>
      </c>
      <c r="AM687" s="4">
        <f t="shared" si="508"/>
      </c>
      <c r="AN687" s="4"/>
      <c r="AO687" s="4">
        <f t="shared" si="509"/>
      </c>
      <c r="AP687" s="4">
        <f t="shared" si="510"/>
      </c>
      <c r="AQ687" s="4">
        <f t="shared" si="511"/>
        <v/>
      </c>
      <c r="AR687" s="4">
        <f t="shared" si="512"/>
      </c>
      <c r="AS687" s="4">
        <f t="shared" si="513"/>
      </c>
      <c r="AT687" s="4">
        <f t="shared" si="514"/>
      </c>
    </row>
    <row r="688" spans="1:46" x14ac:dyDescent="0.3">
      <c r="A688" s="5">
        <f t="shared" si="486"/>
      </c>
      <c r="B688" s="4">
        <f t="shared" si="487"/>
      </c>
      <c r="C688" s="59"/>
      <c r="D688" s="59"/>
      <c r="E688" s="70"/>
      <c r="F688" s="164"/>
      <c r="G688" s="164"/>
      <c r="H688" s="164"/>
      <c r="I688" s="70"/>
      <c r="J688" s="70"/>
      <c r="K688" s="70"/>
      <c r="L688" s="70"/>
      <c r="M688" s="4">
        <f t="shared" si="488"/>
      </c>
      <c r="N688" s="59"/>
      <c r="O688" s="164"/>
      <c r="P688" s="59">
        <f t="shared" si="489"/>
      </c>
      <c r="Q688" s="165"/>
      <c r="R688" s="59"/>
      <c r="S688" s="164"/>
      <c r="T688" s="5">
        <f t="shared" si="490"/>
      </c>
      <c r="U688" s="4">
        <f t="shared" si="491"/>
      </c>
      <c r="V688" s="4">
        <f t="shared" si="492"/>
      </c>
      <c r="W688" s="4">
        <f t="shared" si="493"/>
      </c>
      <c r="X688" s="4">
        <f t="shared" si="494"/>
      </c>
      <c r="Y688" s="4" cm="1">
        <f t="array" ref="Y688">_xlfn.IFS(H688=1,2,H688=3,1)</f>
      </c>
      <c r="Z688" s="4">
        <f t="shared" si="495"/>
      </c>
      <c r="AA688" s="4">
        <f t="shared" si="496"/>
      </c>
      <c r="AB688" s="4">
        <f t="shared" si="497"/>
      </c>
      <c r="AC688" s="4">
        <f t="shared" si="498"/>
      </c>
      <c r="AD688" s="4">
        <f t="shared" si="499"/>
      </c>
      <c r="AE688" s="4">
        <f t="shared" si="500"/>
      </c>
      <c r="AF688" s="4">
        <f t="shared" si="501"/>
      </c>
      <c r="AG688" s="4">
        <f t="shared" si="502"/>
        <v/>
      </c>
      <c r="AH688" s="4">
        <f t="shared" si="503"/>
      </c>
      <c r="AI688" s="4">
        <f t="shared" si="504"/>
      </c>
      <c r="AJ688" s="4">
        <f t="shared" si="505"/>
      </c>
      <c r="AK688" s="4">
        <f t="shared" si="506"/>
      </c>
      <c r="AL688" s="4">
        <f t="shared" si="507"/>
      </c>
      <c r="AM688" s="4">
        <f t="shared" si="508"/>
      </c>
      <c r="AN688" s="4"/>
      <c r="AO688" s="4">
        <f t="shared" si="509"/>
      </c>
      <c r="AP688" s="4">
        <f t="shared" si="510"/>
      </c>
      <c r="AQ688" s="4">
        <f t="shared" si="511"/>
        <v/>
      </c>
      <c r="AR688" s="4">
        <f t="shared" si="512"/>
      </c>
      <c r="AS688" s="4">
        <f t="shared" si="513"/>
      </c>
      <c r="AT688" s="4">
        <f t="shared" si="514"/>
      </c>
    </row>
    <row r="689" spans="1:46" x14ac:dyDescent="0.3">
      <c r="A689" s="5">
        <f t="shared" si="486"/>
      </c>
      <c r="B689" s="4">
        <f t="shared" si="487"/>
      </c>
      <c r="C689" s="59"/>
      <c r="D689" s="59"/>
      <c r="E689" s="70"/>
      <c r="F689" s="164"/>
      <c r="G689" s="164"/>
      <c r="H689" s="164"/>
      <c r="I689" s="70"/>
      <c r="J689" s="70"/>
      <c r="K689" s="70"/>
      <c r="L689" s="70"/>
      <c r="M689" s="4">
        <f t="shared" si="488"/>
      </c>
      <c r="N689" s="59"/>
      <c r="O689" s="164"/>
      <c r="P689" s="59">
        <f t="shared" si="489"/>
      </c>
      <c r="Q689" s="165"/>
      <c r="R689" s="59"/>
      <c r="S689" s="164"/>
      <c r="T689" s="5">
        <f t="shared" si="490"/>
      </c>
      <c r="U689" s="4">
        <f t="shared" si="491"/>
      </c>
      <c r="V689" s="4">
        <f t="shared" si="492"/>
      </c>
      <c r="W689" s="4">
        <f t="shared" si="493"/>
      </c>
      <c r="X689" s="4">
        <f t="shared" si="494"/>
      </c>
      <c r="Y689" s="4" cm="1">
        <f t="array" ref="Y689">_xlfn.IFS(H689=1,2,H689=3,1)</f>
      </c>
      <c r="Z689" s="4">
        <f t="shared" si="495"/>
      </c>
      <c r="AA689" s="4">
        <f t="shared" si="496"/>
      </c>
      <c r="AB689" s="4">
        <f t="shared" si="497"/>
      </c>
      <c r="AC689" s="4">
        <f t="shared" si="498"/>
      </c>
      <c r="AD689" s="4">
        <f t="shared" si="499"/>
      </c>
      <c r="AE689" s="4">
        <f t="shared" si="500"/>
      </c>
      <c r="AF689" s="4">
        <f t="shared" si="501"/>
      </c>
      <c r="AG689" s="4">
        <f t="shared" si="502"/>
        <v/>
      </c>
      <c r="AH689" s="4">
        <f t="shared" si="503"/>
      </c>
      <c r="AI689" s="4">
        <f t="shared" si="504"/>
      </c>
      <c r="AJ689" s="4">
        <f t="shared" si="505"/>
      </c>
      <c r="AK689" s="4">
        <f t="shared" si="506"/>
      </c>
      <c r="AL689" s="4">
        <f t="shared" si="507"/>
      </c>
      <c r="AM689" s="4">
        <f t="shared" si="508"/>
      </c>
      <c r="AN689" s="4"/>
      <c r="AO689" s="4">
        <f t="shared" si="509"/>
      </c>
      <c r="AP689" s="4">
        <f t="shared" si="510"/>
      </c>
      <c r="AQ689" s="4">
        <f t="shared" si="511"/>
        <v/>
      </c>
      <c r="AR689" s="4">
        <f t="shared" si="512"/>
      </c>
      <c r="AS689" s="4">
        <f t="shared" si="513"/>
      </c>
      <c r="AT689" s="4">
        <f t="shared" si="514"/>
      </c>
    </row>
    <row r="690" spans="1:46" x14ac:dyDescent="0.3">
      <c r="A690" s="5">
        <f t="shared" si="486"/>
      </c>
      <c r="B690" s="4">
        <f t="shared" si="487"/>
      </c>
      <c r="C690" s="59"/>
      <c r="D690" s="59"/>
      <c r="E690" s="70"/>
      <c r="F690" s="164"/>
      <c r="G690" s="164"/>
      <c r="H690" s="164"/>
      <c r="I690" s="70"/>
      <c r="J690" s="70"/>
      <c r="K690" s="70"/>
      <c r="L690" s="70"/>
      <c r="M690" s="4">
        <f t="shared" si="488"/>
      </c>
      <c r="N690" s="59"/>
      <c r="O690" s="164"/>
      <c r="P690" s="59">
        <f t="shared" si="489"/>
      </c>
      <c r="Q690" s="165"/>
      <c r="R690" s="59"/>
      <c r="S690" s="164"/>
      <c r="T690" s="5">
        <f t="shared" si="490"/>
      </c>
      <c r="U690" s="4">
        <f t="shared" si="491"/>
      </c>
      <c r="V690" s="4">
        <f t="shared" si="492"/>
      </c>
      <c r="W690" s="4">
        <f t="shared" si="493"/>
      </c>
      <c r="X690" s="4">
        <f t="shared" si="494"/>
      </c>
      <c r="Y690" s="4" cm="1">
        <f t="array" ref="Y690">_xlfn.IFS(H690=1,2,H690=3,1)</f>
      </c>
      <c r="Z690" s="4">
        <f t="shared" si="495"/>
      </c>
      <c r="AA690" s="4">
        <f t="shared" si="496"/>
      </c>
      <c r="AB690" s="4">
        <f t="shared" si="497"/>
      </c>
      <c r="AC690" s="4">
        <f t="shared" si="498"/>
      </c>
      <c r="AD690" s="4">
        <f t="shared" si="499"/>
      </c>
      <c r="AE690" s="4">
        <f t="shared" si="500"/>
      </c>
      <c r="AF690" s="4">
        <f t="shared" si="501"/>
      </c>
      <c r="AG690" s="4">
        <f t="shared" si="502"/>
        <v/>
      </c>
      <c r="AH690" s="4">
        <f t="shared" si="503"/>
      </c>
      <c r="AI690" s="4">
        <f t="shared" si="504"/>
      </c>
      <c r="AJ690" s="4">
        <f t="shared" si="505"/>
      </c>
      <c r="AK690" s="4">
        <f t="shared" si="506"/>
      </c>
      <c r="AL690" s="4">
        <f t="shared" si="507"/>
      </c>
      <c r="AM690" s="4">
        <f t="shared" si="508"/>
      </c>
      <c r="AN690" s="4"/>
      <c r="AO690" s="4">
        <f t="shared" si="509"/>
      </c>
      <c r="AP690" s="4">
        <f t="shared" si="510"/>
      </c>
      <c r="AQ690" s="4">
        <f t="shared" si="511"/>
        <v/>
      </c>
      <c r="AR690" s="4">
        <f t="shared" si="512"/>
      </c>
      <c r="AS690" s="4">
        <f t="shared" si="513"/>
      </c>
      <c r="AT690" s="4">
        <f t="shared" si="514"/>
      </c>
    </row>
    <row r="691" spans="1:46" x14ac:dyDescent="0.3">
      <c r="A691" s="5">
        <f t="shared" si="486"/>
      </c>
      <c r="B691" s="4">
        <f t="shared" si="487"/>
      </c>
      <c r="C691" s="59"/>
      <c r="D691" s="59"/>
      <c r="E691" s="70"/>
      <c r="F691" s="164"/>
      <c r="G691" s="164"/>
      <c r="H691" s="164"/>
      <c r="I691" s="70"/>
      <c r="J691" s="70"/>
      <c r="K691" s="70"/>
      <c r="L691" s="70"/>
      <c r="M691" s="4">
        <f t="shared" si="488"/>
      </c>
      <c r="N691" s="59"/>
      <c r="O691" s="164"/>
      <c r="P691" s="59">
        <f t="shared" si="489"/>
      </c>
      <c r="Q691" s="165"/>
      <c r="R691" s="59"/>
      <c r="S691" s="164"/>
      <c r="T691" s="5">
        <f t="shared" si="490"/>
      </c>
      <c r="U691" s="4">
        <f t="shared" si="491"/>
      </c>
      <c r="V691" s="4">
        <f t="shared" si="492"/>
      </c>
      <c r="W691" s="4">
        <f t="shared" si="493"/>
      </c>
      <c r="X691" s="4">
        <f t="shared" si="494"/>
      </c>
      <c r="Y691" s="4" cm="1">
        <f t="array" ref="Y691">_xlfn.IFS(H691=1,2,H691=3,1)</f>
      </c>
      <c r="Z691" s="4">
        <f t="shared" si="495"/>
      </c>
      <c r="AA691" s="4">
        <f t="shared" si="496"/>
      </c>
      <c r="AB691" s="4">
        <f t="shared" si="497"/>
      </c>
      <c r="AC691" s="4">
        <f t="shared" si="498"/>
      </c>
      <c r="AD691" s="4">
        <f t="shared" si="499"/>
      </c>
      <c r="AE691" s="4">
        <f t="shared" si="500"/>
      </c>
      <c r="AF691" s="4">
        <f t="shared" si="501"/>
      </c>
      <c r="AG691" s="4">
        <f t="shared" si="502"/>
        <v/>
      </c>
      <c r="AH691" s="4">
        <f t="shared" si="503"/>
      </c>
      <c r="AI691" s="4">
        <f t="shared" si="504"/>
      </c>
      <c r="AJ691" s="4">
        <f t="shared" si="505"/>
      </c>
      <c r="AK691" s="4">
        <f t="shared" si="506"/>
      </c>
      <c r="AL691" s="4">
        <f t="shared" si="507"/>
      </c>
      <c r="AM691" s="4">
        <f t="shared" si="508"/>
      </c>
      <c r="AN691" s="4"/>
      <c r="AO691" s="4">
        <f t="shared" si="509"/>
      </c>
      <c r="AP691" s="4">
        <f t="shared" si="510"/>
      </c>
      <c r="AQ691" s="4">
        <f t="shared" si="511"/>
        <v/>
      </c>
      <c r="AR691" s="4">
        <f t="shared" si="512"/>
      </c>
      <c r="AS691" s="4">
        <f t="shared" si="513"/>
      </c>
      <c r="AT691" s="4">
        <f t="shared" si="514"/>
      </c>
    </row>
    <row r="692" spans="1:46" x14ac:dyDescent="0.3">
      <c r="A692" s="5">
        <f t="shared" si="486"/>
      </c>
      <c r="B692" s="4">
        <f t="shared" si="487"/>
      </c>
      <c r="C692" s="59"/>
      <c r="D692" s="59"/>
      <c r="E692" s="70"/>
      <c r="F692" s="164"/>
      <c r="G692" s="164"/>
      <c r="H692" s="164"/>
      <c r="I692" s="70"/>
      <c r="J692" s="70"/>
      <c r="K692" s="70"/>
      <c r="L692" s="70"/>
      <c r="M692" s="4">
        <f t="shared" si="488"/>
      </c>
      <c r="N692" s="59"/>
      <c r="O692" s="164"/>
      <c r="P692" s="59">
        <f t="shared" si="489"/>
      </c>
      <c r="Q692" s="165"/>
      <c r="R692" s="59"/>
      <c r="S692" s="164"/>
      <c r="T692" s="5">
        <f t="shared" si="490"/>
      </c>
      <c r="U692" s="4">
        <f t="shared" si="491"/>
      </c>
      <c r="V692" s="4">
        <f t="shared" si="492"/>
      </c>
      <c r="W692" s="4">
        <f t="shared" si="493"/>
      </c>
      <c r="X692" s="4">
        <f t="shared" si="494"/>
      </c>
      <c r="Y692" s="4" cm="1">
        <f t="array" ref="Y692">_xlfn.IFS(H692=1,2,H692=3,1)</f>
      </c>
      <c r="Z692" s="4">
        <f t="shared" si="495"/>
      </c>
      <c r="AA692" s="4">
        <f t="shared" si="496"/>
      </c>
      <c r="AB692" s="4">
        <f t="shared" si="497"/>
      </c>
      <c r="AC692" s="4">
        <f t="shared" si="498"/>
      </c>
      <c r="AD692" s="4">
        <f t="shared" si="499"/>
      </c>
      <c r="AE692" s="4">
        <f t="shared" si="500"/>
      </c>
      <c r="AF692" s="4">
        <f t="shared" si="501"/>
      </c>
      <c r="AG692" s="4">
        <f t="shared" si="502"/>
        <v/>
      </c>
      <c r="AH692" s="4">
        <f t="shared" si="503"/>
      </c>
      <c r="AI692" s="4">
        <f t="shared" si="504"/>
      </c>
      <c r="AJ692" s="4">
        <f t="shared" si="505"/>
      </c>
      <c r="AK692" s="4">
        <f t="shared" si="506"/>
      </c>
      <c r="AL692" s="4">
        <f t="shared" si="507"/>
      </c>
      <c r="AM692" s="4">
        <f t="shared" si="508"/>
      </c>
      <c r="AN692" s="4"/>
      <c r="AO692" s="4">
        <f t="shared" si="509"/>
      </c>
      <c r="AP692" s="4">
        <f t="shared" si="510"/>
      </c>
      <c r="AQ692" s="4">
        <f t="shared" si="511"/>
        <v/>
      </c>
      <c r="AR692" s="4">
        <f t="shared" si="512"/>
      </c>
      <c r="AS692" s="4">
        <f t="shared" si="513"/>
      </c>
      <c r="AT692" s="4">
        <f t="shared" si="514"/>
      </c>
    </row>
    <row r="693" spans="1:46" x14ac:dyDescent="0.3">
      <c r="A693" s="5">
        <f t="shared" si="486"/>
      </c>
      <c r="B693" s="4">
        <f t="shared" si="487"/>
      </c>
      <c r="C693" s="59"/>
      <c r="D693" s="59"/>
      <c r="E693" s="70"/>
      <c r="F693" s="164"/>
      <c r="G693" s="164"/>
      <c r="H693" s="164"/>
      <c r="I693" s="70"/>
      <c r="J693" s="70"/>
      <c r="K693" s="70"/>
      <c r="L693" s="70"/>
      <c r="M693" s="4">
        <f t="shared" si="488"/>
      </c>
      <c r="N693" s="59"/>
      <c r="O693" s="164"/>
      <c r="P693" s="59">
        <f t="shared" si="489"/>
      </c>
      <c r="Q693" s="165"/>
      <c r="R693" s="59"/>
      <c r="S693" s="164"/>
      <c r="T693" s="5">
        <f t="shared" si="490"/>
      </c>
      <c r="U693" s="4">
        <f t="shared" si="491"/>
      </c>
      <c r="V693" s="4">
        <f t="shared" si="492"/>
      </c>
      <c r="W693" s="4">
        <f t="shared" si="493"/>
      </c>
      <c r="X693" s="4">
        <f t="shared" si="494"/>
      </c>
      <c r="Y693" s="4" cm="1">
        <f t="array" ref="Y693">_xlfn.IFS(H693=1,2,H693=3,1)</f>
      </c>
      <c r="Z693" s="4">
        <f t="shared" si="495"/>
      </c>
      <c r="AA693" s="4">
        <f t="shared" si="496"/>
      </c>
      <c r="AB693" s="4">
        <f t="shared" si="497"/>
      </c>
      <c r="AC693" s="4">
        <f t="shared" si="498"/>
      </c>
      <c r="AD693" s="4">
        <f t="shared" si="499"/>
      </c>
      <c r="AE693" s="4">
        <f t="shared" si="500"/>
      </c>
      <c r="AF693" s="4">
        <f t="shared" si="501"/>
      </c>
      <c r="AG693" s="4">
        <f t="shared" si="502"/>
        <v/>
      </c>
      <c r="AH693" s="4">
        <f t="shared" si="503"/>
      </c>
      <c r="AI693" s="4">
        <f t="shared" si="504"/>
      </c>
      <c r="AJ693" s="4">
        <f t="shared" si="505"/>
      </c>
      <c r="AK693" s="4">
        <f t="shared" si="506"/>
      </c>
      <c r="AL693" s="4">
        <f t="shared" si="507"/>
      </c>
      <c r="AM693" s="4">
        <f t="shared" si="508"/>
      </c>
      <c r="AN693" s="4"/>
      <c r="AO693" s="4">
        <f t="shared" si="509"/>
      </c>
      <c r="AP693" s="4">
        <f t="shared" si="510"/>
      </c>
      <c r="AQ693" s="4">
        <f t="shared" si="511"/>
        <v/>
      </c>
      <c r="AR693" s="4">
        <f t="shared" si="512"/>
      </c>
      <c r="AS693" s="4">
        <f t="shared" si="513"/>
      </c>
      <c r="AT693" s="4">
        <f t="shared" si="514"/>
      </c>
    </row>
    <row r="694" spans="1:46" x14ac:dyDescent="0.3">
      <c r="A694" s="5">
        <f t="shared" si="486"/>
      </c>
      <c r="B694" s="4">
        <f t="shared" si="487"/>
      </c>
      <c r="C694" s="59"/>
      <c r="D694" s="59"/>
      <c r="E694" s="70"/>
      <c r="F694" s="164"/>
      <c r="G694" s="164"/>
      <c r="H694" s="164"/>
      <c r="I694" s="70"/>
      <c r="J694" s="70"/>
      <c r="K694" s="70"/>
      <c r="L694" s="70"/>
      <c r="M694" s="4">
        <f t="shared" si="488"/>
      </c>
      <c r="N694" s="59"/>
      <c r="O694" s="164"/>
      <c r="P694" s="59">
        <f t="shared" si="489"/>
      </c>
      <c r="Q694" s="165"/>
      <c r="R694" s="59"/>
      <c r="S694" s="164"/>
      <c r="T694" s="5">
        <f t="shared" si="490"/>
      </c>
      <c r="U694" s="4">
        <f t="shared" si="491"/>
      </c>
      <c r="V694" s="4">
        <f t="shared" si="492"/>
      </c>
      <c r="W694" s="4">
        <f t="shared" si="493"/>
      </c>
      <c r="X694" s="4">
        <f t="shared" si="494"/>
      </c>
      <c r="Y694" s="4" cm="1">
        <f t="array" ref="Y694">_xlfn.IFS(H694=1,2,H694=3,1)</f>
      </c>
      <c r="Z694" s="4">
        <f t="shared" si="495"/>
      </c>
      <c r="AA694" s="4">
        <f t="shared" si="496"/>
      </c>
      <c r="AB694" s="4">
        <f t="shared" si="497"/>
      </c>
      <c r="AC694" s="4">
        <f t="shared" si="498"/>
      </c>
      <c r="AD694" s="4">
        <f t="shared" si="499"/>
      </c>
      <c r="AE694" s="4">
        <f t="shared" si="500"/>
      </c>
      <c r="AF694" s="4">
        <f t="shared" si="501"/>
      </c>
      <c r="AG694" s="4">
        <f t="shared" si="502"/>
        <v/>
      </c>
      <c r="AH694" s="4">
        <f t="shared" si="503"/>
      </c>
      <c r="AI694" s="4">
        <f t="shared" si="504"/>
      </c>
      <c r="AJ694" s="4">
        <f t="shared" si="505"/>
      </c>
      <c r="AK694" s="4">
        <f t="shared" si="506"/>
      </c>
      <c r="AL694" s="4">
        <f t="shared" si="507"/>
      </c>
      <c r="AM694" s="4">
        <f t="shared" si="508"/>
      </c>
      <c r="AN694" s="4"/>
      <c r="AO694" s="4">
        <f t="shared" si="509"/>
      </c>
      <c r="AP694" s="4">
        <f t="shared" si="510"/>
      </c>
      <c r="AQ694" s="4">
        <f t="shared" si="511"/>
        <v/>
      </c>
      <c r="AR694" s="4">
        <f t="shared" si="512"/>
      </c>
      <c r="AS694" s="4">
        <f t="shared" si="513"/>
      </c>
      <c r="AT694" s="4">
        <f t="shared" si="514"/>
      </c>
    </row>
    <row r="695" spans="1:46" x14ac:dyDescent="0.3">
      <c r="A695" s="5">
        <f t="shared" si="486"/>
      </c>
      <c r="B695" s="4">
        <f t="shared" si="487"/>
      </c>
      <c r="C695" s="59"/>
      <c r="D695" s="59"/>
      <c r="E695" s="70"/>
      <c r="F695" s="164"/>
      <c r="G695" s="164"/>
      <c r="H695" s="164"/>
      <c r="I695" s="70"/>
      <c r="J695" s="70"/>
      <c r="K695" s="70"/>
      <c r="L695" s="70"/>
      <c r="M695" s="4">
        <f t="shared" si="488"/>
      </c>
      <c r="N695" s="59"/>
      <c r="O695" s="164"/>
      <c r="P695" s="59">
        <f t="shared" si="489"/>
      </c>
      <c r="Q695" s="165"/>
      <c r="R695" s="59"/>
      <c r="S695" s="164"/>
      <c r="T695" s="5">
        <f t="shared" si="490"/>
      </c>
      <c r="U695" s="4">
        <f t="shared" si="491"/>
      </c>
      <c r="V695" s="4">
        <f t="shared" si="492"/>
      </c>
      <c r="W695" s="4">
        <f t="shared" si="493"/>
      </c>
      <c r="X695" s="4">
        <f t="shared" si="494"/>
      </c>
      <c r="Y695" s="4" cm="1">
        <f t="array" ref="Y695">_xlfn.IFS(H695=1,2,H695=3,1)</f>
      </c>
      <c r="Z695" s="4">
        <f t="shared" si="495"/>
      </c>
      <c r="AA695" s="4">
        <f t="shared" si="496"/>
      </c>
      <c r="AB695" s="4">
        <f t="shared" si="497"/>
      </c>
      <c r="AC695" s="4">
        <f t="shared" si="498"/>
      </c>
      <c r="AD695" s="4">
        <f t="shared" si="499"/>
      </c>
      <c r="AE695" s="4">
        <f t="shared" si="500"/>
      </c>
      <c r="AF695" s="4">
        <f t="shared" si="501"/>
      </c>
      <c r="AG695" s="4">
        <f t="shared" si="502"/>
        <v/>
      </c>
      <c r="AH695" s="4">
        <f t="shared" si="503"/>
      </c>
      <c r="AI695" s="4">
        <f t="shared" si="504"/>
      </c>
      <c r="AJ695" s="4">
        <f t="shared" si="505"/>
      </c>
      <c r="AK695" s="4">
        <f t="shared" si="506"/>
      </c>
      <c r="AL695" s="4">
        <f t="shared" si="507"/>
      </c>
      <c r="AM695" s="4">
        <f t="shared" si="508"/>
      </c>
      <c r="AN695" s="4"/>
      <c r="AO695" s="4">
        <f t="shared" si="509"/>
      </c>
      <c r="AP695" s="4">
        <f t="shared" si="510"/>
      </c>
      <c r="AQ695" s="4">
        <f t="shared" si="511"/>
        <v/>
      </c>
      <c r="AR695" s="4">
        <f t="shared" si="512"/>
      </c>
      <c r="AS695" s="4">
        <f t="shared" si="513"/>
      </c>
      <c r="AT695" s="4">
        <f t="shared" si="514"/>
      </c>
    </row>
    <row r="696" spans="1:46" x14ac:dyDescent="0.3">
      <c r="A696" s="5">
        <f t="shared" ref="A696:A759" si="515">D696</f>
      </c>
      <c r="B696" s="4">
        <f t="shared" ref="B696:B759" si="516">IFERROR(IF(VLOOKUP(AH696,Потребители_обозначение,4,FALSE)=1,VLOOKUP(AH696,Потребители_обозначение,2,FALSE)&amp;" "&amp;VLOOKUP(AI696,Этаж_обозначение,2,FALSE)&amp;" Пом. №"&amp;AG696,VLOOKUP(AH696,Потребители_обозначение,2,FALSE)&amp;" Шлейф №"&amp;AI696),VLOOKUP(D696,Потребители_обозначение,2,FALSE))</f>
      </c>
      <c r="C696" s="59"/>
      <c r="D696" s="59"/>
      <c r="E696" s="70"/>
      <c r="F696" s="164"/>
      <c r="G696" s="164"/>
      <c r="H696" s="164"/>
      <c r="I696" s="70"/>
      <c r="J696" s="70"/>
      <c r="K696" s="70"/>
      <c r="L696" s="70"/>
      <c r="M696" s="4">
        <f t="shared" ref="M696:M759" si="517">IFERROR(IF(VLOOKUP(AH696,Потребители_обозначение,4,FALSE)=1,VLOOKUP(AH696,Потребители_обозначение,3,FALSE)*(G696*2-1)+I696+VLOOKUP(AI696,Этаж_обозначение,3,FALSE)+VLOOKUP(AI696,Этаж_обозначение,4,FALSE),VLOOKUP(AH696,Потребители_обозначение,3,FALSE)*(G696*2-1)+I696),I696)</f>
      </c>
      <c r="N696" s="59"/>
      <c r="O696" s="164"/>
      <c r="P696" s="59">
        <f t="shared" ref="P696:P759" si="518">IF(VLOOKUP(AH696,Потребители_обозначение,5,FALSE)=2,_xlfn.IFS(H696=3,VLOOKUP(E696,Справочная_двигатели,8,FALSE),H696=1,VLOOKUP(E696,Справочная_двигатели,10,TRUE)),0.95)</f>
      </c>
      <c r="Q696" s="165"/>
      <c r="R696" s="59"/>
      <c r="S696" s="164"/>
      <c r="T696" s="5">
        <f t="shared" ref="T696:T759" si="519">_xlfn.IFS(H696=1,E696*1000/220,H696=3,E696/0.38/1.732)</f>
      </c>
      <c r="U696" s="4">
        <f t="shared" ref="U696:U759" si="520">IF(R696=0,VLOOKUP(T696,Автомат_номиналы,2,TRUE),R696)</f>
      </c>
      <c r="V696" s="4">
        <f t="shared" ref="V696:V759" si="521">IF(Q696=0,VLOOKUP(U696,Кабель_номиналы,2,TRUE),Q696)</f>
      </c>
      <c r="W696" s="4">
        <f t="shared" ref="W696:W759" si="522">VLOOKUP(V696,Кабель_сопротивление,3,FALSE)</f>
      </c>
      <c r="X696" s="4">
        <f t="shared" ref="X696:X759" si="523">VLOOKUP(V696,Кабель_сопротивление,2,FALSE)</f>
      </c>
      <c r="Y696" s="4" cm="1">
        <f t="array" ref="Y696">_xlfn.IFS(H696=1,2,H696=3,1)</f>
      </c>
      <c r="Z696" s="4">
        <f t="shared" ref="Z696:Z759" si="524">ROUND(SIN(ACOS(P696)),2)</f>
      </c>
      <c r="AA696" s="4">
        <f t="shared" ref="AA696:AA759" si="525">Y696*(W696*I696/V696+X696*I696*Z696/1000)*T696</f>
      </c>
      <c r="AB696" s="4">
        <f t="shared" ref="AB696:AB759" si="526">ROUNDUP(AA696/220*100,2)</f>
      </c>
      <c r="AC696" s="4">
        <f t="shared" ref="AC696:AC759" si="527">_xlfn.IFS(H696=3,380,H696=1,220)</f>
      </c>
      <c r="AD696" s="4">
        <f t="shared" ref="AD696:AD759" si="528">VLOOKUP(N696,Кабель_обозначение,2,FALSE)</f>
      </c>
      <c r="AE696" s="4">
        <f t="shared" ref="AE696:AE759" si="529">IF(VLOOKUP(N696,Кабель_обозначение,3,FALSE)=1,AD696&amp;" ("&amp;O696&amp;"х"&amp;V696&amp;")",AD696)</f>
      </c>
      <c r="AF696" s="4">
        <f t="shared" ref="AF696:AF759" si="530">IFERROR(IF(AB696&gt;4.5,1,2),0)</f>
      </c>
      <c r="AG696" s="4">
        <f t="shared" ref="AG696:AG759" si="531">IFERROR(LEFT(AQ696,SEARCH(".",AQ696)-1),AQ696)</f>
        <v/>
      </c>
      <c r="AH696" s="4">
        <f t="shared" ref="AH696:AH759" si="532">IFERROR(LEFT(A696,SEARCH(".",A696)-1),A696)</f>
      </c>
      <c r="AI696" s="4">
        <f t="shared" ref="AI696:AI759" si="533">IFERROR(LEFT(AP696,SEARCH(".",AP696)-1),AP696)</f>
      </c>
      <c r="AJ696" s="4">
        <f t="shared" ref="AJ696:AJ759" si="534">IF(C696=0,B696,C696)</f>
      </c>
      <c r="AK696" s="4">
        <f t="shared" ref="AK696:AK759" si="535">ROUNDUP(T696,2)</f>
      </c>
      <c r="AL696" s="4">
        <f t="shared" ref="AL696:AL759" si="536">E696</f>
      </c>
      <c r="AM696" s="4">
        <f t="shared" ref="AM696:AM759" si="537">D696</f>
      </c>
      <c r="AN696" s="4"/>
      <c r="AO696" s="4">
        <f t="shared" ref="AO696:AO759" si="538">IF(V696=0,AD696,AE696&amp;"
L="&amp;M696&amp;"-"&amp;AB696&amp;"%")</f>
      </c>
      <c r="AP696" s="4">
        <f t="shared" ref="AP696:AP759" si="539">RIGHT(A696,LEN(A696)-SEARCH(".",A696))</f>
      </c>
      <c r="AQ696" s="4">
        <f t="shared" ref="AQ696:AQ759" si="540">IFERROR(RIGHT(AP696,LEN(AP696)-SEARCH(".",AP696)),"")</f>
        <v/>
      </c>
      <c r="AR696" s="4">
        <f t="shared" ref="AR696:AR759" si="541">IFERROR(IF(VLOOKUP(AH696,Потребители_обозначение,5,FALSE)=2,_xlfn.IFS(H696=3,VLOOKUP(E696,Справочная_двигатели,3,FALSE),H696=1,VLOOKUP(E696,Справочная_двигатели,5,TRUE)),0),0)</f>
      </c>
      <c r="AS696" s="4">
        <f t="shared" ref="AS696:AS759" si="542">IFERROR(IF(VLOOKUP(AH696,Потребители_обозначение,5,FALSE)=3,VLOOKUP(E696,Справочная_ЛЭД,2,TRUE),0),0)</f>
      </c>
      <c r="AT696" s="4">
        <f t="shared" ref="AT696:AT759" si="543">IF(AR696=0,AS696,AR696)</f>
      </c>
    </row>
    <row r="697" spans="1:46" x14ac:dyDescent="0.3">
      <c r="A697" s="5">
        <f t="shared" si="515"/>
      </c>
      <c r="B697" s="4">
        <f t="shared" si="516"/>
      </c>
      <c r="C697" s="59"/>
      <c r="D697" s="59"/>
      <c r="E697" s="70"/>
      <c r="F697" s="164"/>
      <c r="G697" s="164"/>
      <c r="H697" s="164"/>
      <c r="I697" s="70"/>
      <c r="J697" s="70"/>
      <c r="K697" s="70"/>
      <c r="L697" s="70"/>
      <c r="M697" s="4">
        <f t="shared" si="517"/>
      </c>
      <c r="N697" s="59"/>
      <c r="O697" s="164"/>
      <c r="P697" s="59">
        <f t="shared" si="518"/>
      </c>
      <c r="Q697" s="165"/>
      <c r="R697" s="59"/>
      <c r="S697" s="164"/>
      <c r="T697" s="5">
        <f t="shared" si="519"/>
      </c>
      <c r="U697" s="4">
        <f t="shared" si="520"/>
      </c>
      <c r="V697" s="4">
        <f t="shared" si="521"/>
      </c>
      <c r="W697" s="4">
        <f t="shared" si="522"/>
      </c>
      <c r="X697" s="4">
        <f t="shared" si="523"/>
      </c>
      <c r="Y697" s="4" cm="1">
        <f t="array" ref="Y697">_xlfn.IFS(H697=1,2,H697=3,1)</f>
      </c>
      <c r="Z697" s="4">
        <f t="shared" si="524"/>
      </c>
      <c r="AA697" s="4">
        <f t="shared" si="525"/>
      </c>
      <c r="AB697" s="4">
        <f t="shared" si="526"/>
      </c>
      <c r="AC697" s="4">
        <f t="shared" si="527"/>
      </c>
      <c r="AD697" s="4">
        <f t="shared" si="528"/>
      </c>
      <c r="AE697" s="4">
        <f t="shared" si="529"/>
      </c>
      <c r="AF697" s="4">
        <f t="shared" si="530"/>
      </c>
      <c r="AG697" s="4">
        <f t="shared" si="531"/>
        <v/>
      </c>
      <c r="AH697" s="4">
        <f t="shared" si="532"/>
      </c>
      <c r="AI697" s="4">
        <f t="shared" si="533"/>
      </c>
      <c r="AJ697" s="4">
        <f t="shared" si="534"/>
      </c>
      <c r="AK697" s="4">
        <f t="shared" si="535"/>
      </c>
      <c r="AL697" s="4">
        <f t="shared" si="536"/>
      </c>
      <c r="AM697" s="4">
        <f t="shared" si="537"/>
      </c>
      <c r="AN697" s="4"/>
      <c r="AO697" s="4">
        <f t="shared" si="538"/>
      </c>
      <c r="AP697" s="4">
        <f t="shared" si="539"/>
      </c>
      <c r="AQ697" s="4">
        <f t="shared" si="540"/>
        <v/>
      </c>
      <c r="AR697" s="4">
        <f t="shared" si="541"/>
      </c>
      <c r="AS697" s="4">
        <f t="shared" si="542"/>
      </c>
      <c r="AT697" s="4">
        <f t="shared" si="543"/>
      </c>
    </row>
    <row r="698" spans="1:46" x14ac:dyDescent="0.3">
      <c r="A698" s="5">
        <f t="shared" si="515"/>
      </c>
      <c r="B698" s="4">
        <f t="shared" si="516"/>
      </c>
      <c r="C698" s="59"/>
      <c r="D698" s="59"/>
      <c r="E698" s="70"/>
      <c r="F698" s="164"/>
      <c r="G698" s="164"/>
      <c r="H698" s="164"/>
      <c r="I698" s="70"/>
      <c r="J698" s="70"/>
      <c r="K698" s="70"/>
      <c r="L698" s="70"/>
      <c r="M698" s="4">
        <f t="shared" si="517"/>
      </c>
      <c r="N698" s="59"/>
      <c r="O698" s="164"/>
      <c r="P698" s="59">
        <f t="shared" si="518"/>
      </c>
      <c r="Q698" s="165"/>
      <c r="R698" s="59"/>
      <c r="S698" s="164"/>
      <c r="T698" s="5">
        <f t="shared" si="519"/>
      </c>
      <c r="U698" s="4">
        <f t="shared" si="520"/>
      </c>
      <c r="V698" s="4">
        <f t="shared" si="521"/>
      </c>
      <c r="W698" s="4">
        <f t="shared" si="522"/>
      </c>
      <c r="X698" s="4">
        <f t="shared" si="523"/>
      </c>
      <c r="Y698" s="4" cm="1">
        <f t="array" ref="Y698">_xlfn.IFS(H698=1,2,H698=3,1)</f>
      </c>
      <c r="Z698" s="4">
        <f t="shared" si="524"/>
      </c>
      <c r="AA698" s="4">
        <f t="shared" si="525"/>
      </c>
      <c r="AB698" s="4">
        <f t="shared" si="526"/>
      </c>
      <c r="AC698" s="4">
        <f t="shared" si="527"/>
      </c>
      <c r="AD698" s="4">
        <f t="shared" si="528"/>
      </c>
      <c r="AE698" s="4">
        <f t="shared" si="529"/>
      </c>
      <c r="AF698" s="4">
        <f t="shared" si="530"/>
      </c>
      <c r="AG698" s="4">
        <f t="shared" si="531"/>
        <v/>
      </c>
      <c r="AH698" s="4">
        <f t="shared" si="532"/>
      </c>
      <c r="AI698" s="4">
        <f t="shared" si="533"/>
      </c>
      <c r="AJ698" s="4">
        <f t="shared" si="534"/>
      </c>
      <c r="AK698" s="4">
        <f t="shared" si="535"/>
      </c>
      <c r="AL698" s="4">
        <f t="shared" si="536"/>
      </c>
      <c r="AM698" s="4">
        <f t="shared" si="537"/>
      </c>
      <c r="AN698" s="4"/>
      <c r="AO698" s="4">
        <f t="shared" si="538"/>
      </c>
      <c r="AP698" s="4">
        <f t="shared" si="539"/>
      </c>
      <c r="AQ698" s="4">
        <f t="shared" si="540"/>
        <v/>
      </c>
      <c r="AR698" s="4">
        <f t="shared" si="541"/>
      </c>
      <c r="AS698" s="4">
        <f t="shared" si="542"/>
      </c>
      <c r="AT698" s="4">
        <f t="shared" si="543"/>
      </c>
    </row>
    <row r="699" spans="1:46" x14ac:dyDescent="0.3">
      <c r="A699" s="5">
        <f t="shared" si="515"/>
      </c>
      <c r="B699" s="4">
        <f t="shared" si="516"/>
      </c>
      <c r="C699" s="59"/>
      <c r="D699" s="59"/>
      <c r="E699" s="70"/>
      <c r="F699" s="164"/>
      <c r="G699" s="164"/>
      <c r="H699" s="164"/>
      <c r="I699" s="70"/>
      <c r="J699" s="70"/>
      <c r="K699" s="70"/>
      <c r="L699" s="70"/>
      <c r="M699" s="4">
        <f t="shared" si="517"/>
      </c>
      <c r="N699" s="59"/>
      <c r="O699" s="164"/>
      <c r="P699" s="59">
        <f t="shared" si="518"/>
      </c>
      <c r="Q699" s="165"/>
      <c r="R699" s="59"/>
      <c r="S699" s="164"/>
      <c r="T699" s="5">
        <f t="shared" si="519"/>
      </c>
      <c r="U699" s="4">
        <f t="shared" si="520"/>
      </c>
      <c r="V699" s="4">
        <f t="shared" si="521"/>
      </c>
      <c r="W699" s="4">
        <f t="shared" si="522"/>
      </c>
      <c r="X699" s="4">
        <f t="shared" si="523"/>
      </c>
      <c r="Y699" s="4" cm="1">
        <f t="array" ref="Y699">_xlfn.IFS(H699=1,2,H699=3,1)</f>
      </c>
      <c r="Z699" s="4">
        <f t="shared" si="524"/>
      </c>
      <c r="AA699" s="4">
        <f t="shared" si="525"/>
      </c>
      <c r="AB699" s="4">
        <f t="shared" si="526"/>
      </c>
      <c r="AC699" s="4">
        <f t="shared" si="527"/>
      </c>
      <c r="AD699" s="4">
        <f t="shared" si="528"/>
      </c>
      <c r="AE699" s="4">
        <f t="shared" si="529"/>
      </c>
      <c r="AF699" s="4">
        <f t="shared" si="530"/>
      </c>
      <c r="AG699" s="4">
        <f t="shared" si="531"/>
        <v/>
      </c>
      <c r="AH699" s="4">
        <f t="shared" si="532"/>
      </c>
      <c r="AI699" s="4">
        <f t="shared" si="533"/>
      </c>
      <c r="AJ699" s="4">
        <f t="shared" si="534"/>
      </c>
      <c r="AK699" s="4">
        <f t="shared" si="535"/>
      </c>
      <c r="AL699" s="4">
        <f t="shared" si="536"/>
      </c>
      <c r="AM699" s="4">
        <f t="shared" si="537"/>
      </c>
      <c r="AN699" s="4"/>
      <c r="AO699" s="4">
        <f t="shared" si="538"/>
      </c>
      <c r="AP699" s="4">
        <f t="shared" si="539"/>
      </c>
      <c r="AQ699" s="4">
        <f t="shared" si="540"/>
        <v/>
      </c>
      <c r="AR699" s="4">
        <f t="shared" si="541"/>
      </c>
      <c r="AS699" s="4">
        <f t="shared" si="542"/>
      </c>
      <c r="AT699" s="4">
        <f t="shared" si="543"/>
      </c>
    </row>
    <row r="700" spans="1:46" x14ac:dyDescent="0.3">
      <c r="A700" s="5">
        <f t="shared" si="515"/>
      </c>
      <c r="B700" s="4">
        <f t="shared" si="516"/>
      </c>
      <c r="C700" s="59"/>
      <c r="D700" s="59"/>
      <c r="E700" s="70"/>
      <c r="F700" s="164"/>
      <c r="G700" s="164"/>
      <c r="H700" s="164"/>
      <c r="I700" s="70"/>
      <c r="J700" s="70"/>
      <c r="K700" s="70"/>
      <c r="L700" s="70"/>
      <c r="M700" s="4">
        <f t="shared" si="517"/>
      </c>
      <c r="N700" s="59"/>
      <c r="O700" s="164"/>
      <c r="P700" s="59">
        <f t="shared" si="518"/>
      </c>
      <c r="Q700" s="165"/>
      <c r="R700" s="59"/>
      <c r="S700" s="164"/>
      <c r="T700" s="5">
        <f t="shared" si="519"/>
      </c>
      <c r="U700" s="4">
        <f t="shared" si="520"/>
      </c>
      <c r="V700" s="4">
        <f t="shared" si="521"/>
      </c>
      <c r="W700" s="4">
        <f t="shared" si="522"/>
      </c>
      <c r="X700" s="4">
        <f t="shared" si="523"/>
      </c>
      <c r="Y700" s="4" cm="1">
        <f t="array" ref="Y700">_xlfn.IFS(H700=1,2,H700=3,1)</f>
      </c>
      <c r="Z700" s="4">
        <f t="shared" si="524"/>
      </c>
      <c r="AA700" s="4">
        <f t="shared" si="525"/>
      </c>
      <c r="AB700" s="4">
        <f t="shared" si="526"/>
      </c>
      <c r="AC700" s="4">
        <f t="shared" si="527"/>
      </c>
      <c r="AD700" s="4">
        <f t="shared" si="528"/>
      </c>
      <c r="AE700" s="4">
        <f t="shared" si="529"/>
      </c>
      <c r="AF700" s="4">
        <f t="shared" si="530"/>
      </c>
      <c r="AG700" s="4">
        <f t="shared" si="531"/>
        <v/>
      </c>
      <c r="AH700" s="4">
        <f t="shared" si="532"/>
      </c>
      <c r="AI700" s="4">
        <f t="shared" si="533"/>
      </c>
      <c r="AJ700" s="4">
        <f t="shared" si="534"/>
      </c>
      <c r="AK700" s="4">
        <f t="shared" si="535"/>
      </c>
      <c r="AL700" s="4">
        <f t="shared" si="536"/>
      </c>
      <c r="AM700" s="4">
        <f t="shared" si="537"/>
      </c>
      <c r="AN700" s="4"/>
      <c r="AO700" s="4">
        <f t="shared" si="538"/>
      </c>
      <c r="AP700" s="4">
        <f t="shared" si="539"/>
      </c>
      <c r="AQ700" s="4">
        <f t="shared" si="540"/>
        <v/>
      </c>
      <c r="AR700" s="4">
        <f t="shared" si="541"/>
      </c>
      <c r="AS700" s="4">
        <f t="shared" si="542"/>
      </c>
      <c r="AT700" s="4">
        <f t="shared" si="543"/>
      </c>
    </row>
    <row r="701" spans="1:46" x14ac:dyDescent="0.3">
      <c r="A701" s="5">
        <f t="shared" si="515"/>
      </c>
      <c r="B701" s="4">
        <f t="shared" si="516"/>
      </c>
      <c r="C701" s="59"/>
      <c r="D701" s="59"/>
      <c r="E701" s="70"/>
      <c r="F701" s="164"/>
      <c r="G701" s="164"/>
      <c r="H701" s="164"/>
      <c r="I701" s="70"/>
      <c r="J701" s="70"/>
      <c r="K701" s="70"/>
      <c r="L701" s="70"/>
      <c r="M701" s="4">
        <f t="shared" si="517"/>
      </c>
      <c r="N701" s="59"/>
      <c r="O701" s="164"/>
      <c r="P701" s="59">
        <f t="shared" si="518"/>
      </c>
      <c r="Q701" s="165"/>
      <c r="R701" s="59"/>
      <c r="S701" s="164"/>
      <c r="T701" s="5">
        <f t="shared" si="519"/>
      </c>
      <c r="U701" s="4">
        <f t="shared" si="520"/>
      </c>
      <c r="V701" s="4">
        <f t="shared" si="521"/>
      </c>
      <c r="W701" s="4">
        <f t="shared" si="522"/>
      </c>
      <c r="X701" s="4">
        <f t="shared" si="523"/>
      </c>
      <c r="Y701" s="4" cm="1">
        <f t="array" ref="Y701">_xlfn.IFS(H701=1,2,H701=3,1)</f>
      </c>
      <c r="Z701" s="4">
        <f t="shared" si="524"/>
      </c>
      <c r="AA701" s="4">
        <f t="shared" si="525"/>
      </c>
      <c r="AB701" s="4">
        <f t="shared" si="526"/>
      </c>
      <c r="AC701" s="4">
        <f t="shared" si="527"/>
      </c>
      <c r="AD701" s="4">
        <f t="shared" si="528"/>
      </c>
      <c r="AE701" s="4">
        <f t="shared" si="529"/>
      </c>
      <c r="AF701" s="4">
        <f t="shared" si="530"/>
      </c>
      <c r="AG701" s="4">
        <f t="shared" si="531"/>
        <v/>
      </c>
      <c r="AH701" s="4">
        <f t="shared" si="532"/>
      </c>
      <c r="AI701" s="4">
        <f t="shared" si="533"/>
      </c>
      <c r="AJ701" s="4">
        <f t="shared" si="534"/>
      </c>
      <c r="AK701" s="4">
        <f t="shared" si="535"/>
      </c>
      <c r="AL701" s="4">
        <f t="shared" si="536"/>
      </c>
      <c r="AM701" s="4">
        <f t="shared" si="537"/>
      </c>
      <c r="AN701" s="4"/>
      <c r="AO701" s="4">
        <f t="shared" si="538"/>
      </c>
      <c r="AP701" s="4">
        <f t="shared" si="539"/>
      </c>
      <c r="AQ701" s="4">
        <f t="shared" si="540"/>
        <v/>
      </c>
      <c r="AR701" s="4">
        <f t="shared" si="541"/>
      </c>
      <c r="AS701" s="4">
        <f t="shared" si="542"/>
      </c>
      <c r="AT701" s="4">
        <f t="shared" si="543"/>
      </c>
    </row>
    <row r="702" spans="1:46" x14ac:dyDescent="0.3">
      <c r="A702" s="5">
        <f t="shared" si="515"/>
      </c>
      <c r="B702" s="4">
        <f t="shared" si="516"/>
      </c>
      <c r="C702" s="59"/>
      <c r="D702" s="59"/>
      <c r="E702" s="70"/>
      <c r="F702" s="164"/>
      <c r="G702" s="164"/>
      <c r="H702" s="164"/>
      <c r="I702" s="70"/>
      <c r="J702" s="70"/>
      <c r="K702" s="70"/>
      <c r="L702" s="70"/>
      <c r="M702" s="4">
        <f t="shared" si="517"/>
      </c>
      <c r="N702" s="59"/>
      <c r="O702" s="164"/>
      <c r="P702" s="59">
        <f t="shared" si="518"/>
      </c>
      <c r="Q702" s="165"/>
      <c r="R702" s="59"/>
      <c r="S702" s="164"/>
      <c r="T702" s="5">
        <f t="shared" si="519"/>
      </c>
      <c r="U702" s="4">
        <f t="shared" si="520"/>
      </c>
      <c r="V702" s="4">
        <f t="shared" si="521"/>
      </c>
      <c r="W702" s="4">
        <f t="shared" si="522"/>
      </c>
      <c r="X702" s="4">
        <f t="shared" si="523"/>
      </c>
      <c r="Y702" s="4" cm="1">
        <f t="array" ref="Y702">_xlfn.IFS(H702=1,2,H702=3,1)</f>
      </c>
      <c r="Z702" s="4">
        <f t="shared" si="524"/>
      </c>
      <c r="AA702" s="4">
        <f t="shared" si="525"/>
      </c>
      <c r="AB702" s="4">
        <f t="shared" si="526"/>
      </c>
      <c r="AC702" s="4">
        <f t="shared" si="527"/>
      </c>
      <c r="AD702" s="4">
        <f t="shared" si="528"/>
      </c>
      <c r="AE702" s="4">
        <f t="shared" si="529"/>
      </c>
      <c r="AF702" s="4">
        <f t="shared" si="530"/>
      </c>
      <c r="AG702" s="4">
        <f t="shared" si="531"/>
        <v/>
      </c>
      <c r="AH702" s="4">
        <f t="shared" si="532"/>
      </c>
      <c r="AI702" s="4">
        <f t="shared" si="533"/>
      </c>
      <c r="AJ702" s="4">
        <f t="shared" si="534"/>
      </c>
      <c r="AK702" s="4">
        <f t="shared" si="535"/>
      </c>
      <c r="AL702" s="4">
        <f t="shared" si="536"/>
      </c>
      <c r="AM702" s="4">
        <f t="shared" si="537"/>
      </c>
      <c r="AN702" s="4"/>
      <c r="AO702" s="4">
        <f t="shared" si="538"/>
      </c>
      <c r="AP702" s="4">
        <f t="shared" si="539"/>
      </c>
      <c r="AQ702" s="4">
        <f t="shared" si="540"/>
        <v/>
      </c>
      <c r="AR702" s="4">
        <f t="shared" si="541"/>
      </c>
      <c r="AS702" s="4">
        <f t="shared" si="542"/>
      </c>
      <c r="AT702" s="4">
        <f t="shared" si="543"/>
      </c>
    </row>
    <row r="703" spans="1:46" x14ac:dyDescent="0.3">
      <c r="A703" s="5">
        <f t="shared" si="515"/>
      </c>
      <c r="B703" s="4">
        <f t="shared" si="516"/>
      </c>
      <c r="C703" s="59"/>
      <c r="D703" s="59"/>
      <c r="E703" s="70"/>
      <c r="F703" s="164"/>
      <c r="G703" s="164"/>
      <c r="H703" s="164"/>
      <c r="I703" s="70"/>
      <c r="J703" s="70"/>
      <c r="K703" s="70"/>
      <c r="L703" s="70"/>
      <c r="M703" s="4">
        <f t="shared" si="517"/>
      </c>
      <c r="N703" s="59"/>
      <c r="O703" s="164"/>
      <c r="P703" s="59">
        <f t="shared" si="518"/>
      </c>
      <c r="Q703" s="165"/>
      <c r="R703" s="59"/>
      <c r="S703" s="164"/>
      <c r="T703" s="5">
        <f t="shared" si="519"/>
      </c>
      <c r="U703" s="4">
        <f t="shared" si="520"/>
      </c>
      <c r="V703" s="4">
        <f t="shared" si="521"/>
      </c>
      <c r="W703" s="4">
        <f t="shared" si="522"/>
      </c>
      <c r="X703" s="4">
        <f t="shared" si="523"/>
      </c>
      <c r="Y703" s="4" cm="1">
        <f t="array" ref="Y703">_xlfn.IFS(H703=1,2,H703=3,1)</f>
      </c>
      <c r="Z703" s="4">
        <f t="shared" si="524"/>
      </c>
      <c r="AA703" s="4">
        <f t="shared" si="525"/>
      </c>
      <c r="AB703" s="4">
        <f t="shared" si="526"/>
      </c>
      <c r="AC703" s="4">
        <f t="shared" si="527"/>
      </c>
      <c r="AD703" s="4">
        <f t="shared" si="528"/>
      </c>
      <c r="AE703" s="4">
        <f t="shared" si="529"/>
      </c>
      <c r="AF703" s="4">
        <f t="shared" si="530"/>
      </c>
      <c r="AG703" s="4">
        <f t="shared" si="531"/>
        <v/>
      </c>
      <c r="AH703" s="4">
        <f t="shared" si="532"/>
      </c>
      <c r="AI703" s="4">
        <f t="shared" si="533"/>
      </c>
      <c r="AJ703" s="4">
        <f t="shared" si="534"/>
      </c>
      <c r="AK703" s="4">
        <f t="shared" si="535"/>
      </c>
      <c r="AL703" s="4">
        <f t="shared" si="536"/>
      </c>
      <c r="AM703" s="4">
        <f t="shared" si="537"/>
      </c>
      <c r="AN703" s="4"/>
      <c r="AO703" s="4">
        <f t="shared" si="538"/>
      </c>
      <c r="AP703" s="4">
        <f t="shared" si="539"/>
      </c>
      <c r="AQ703" s="4">
        <f t="shared" si="540"/>
        <v/>
      </c>
      <c r="AR703" s="4">
        <f t="shared" si="541"/>
      </c>
      <c r="AS703" s="4">
        <f t="shared" si="542"/>
      </c>
      <c r="AT703" s="4">
        <f t="shared" si="543"/>
      </c>
    </row>
    <row r="704" spans="1:46" x14ac:dyDescent="0.3">
      <c r="A704" s="5">
        <f t="shared" si="515"/>
      </c>
      <c r="B704" s="4">
        <f t="shared" si="516"/>
      </c>
      <c r="C704" s="59"/>
      <c r="D704" s="59"/>
      <c r="E704" s="70"/>
      <c r="F704" s="164"/>
      <c r="G704" s="164"/>
      <c r="H704" s="164"/>
      <c r="I704" s="70"/>
      <c r="J704" s="70"/>
      <c r="K704" s="70"/>
      <c r="L704" s="70"/>
      <c r="M704" s="4">
        <f t="shared" si="517"/>
      </c>
      <c r="N704" s="59"/>
      <c r="O704" s="164"/>
      <c r="P704" s="59">
        <f t="shared" si="518"/>
      </c>
      <c r="Q704" s="165"/>
      <c r="R704" s="59"/>
      <c r="S704" s="164"/>
      <c r="T704" s="5">
        <f t="shared" si="519"/>
      </c>
      <c r="U704" s="4">
        <f t="shared" si="520"/>
      </c>
      <c r="V704" s="4">
        <f t="shared" si="521"/>
      </c>
      <c r="W704" s="4">
        <f t="shared" si="522"/>
      </c>
      <c r="X704" s="4">
        <f t="shared" si="523"/>
      </c>
      <c r="Y704" s="4" cm="1">
        <f t="array" ref="Y704">_xlfn.IFS(H704=1,2,H704=3,1)</f>
      </c>
      <c r="Z704" s="4">
        <f t="shared" si="524"/>
      </c>
      <c r="AA704" s="4">
        <f t="shared" si="525"/>
      </c>
      <c r="AB704" s="4">
        <f t="shared" si="526"/>
      </c>
      <c r="AC704" s="4">
        <f t="shared" si="527"/>
      </c>
      <c r="AD704" s="4">
        <f t="shared" si="528"/>
      </c>
      <c r="AE704" s="4">
        <f t="shared" si="529"/>
      </c>
      <c r="AF704" s="4">
        <f t="shared" si="530"/>
      </c>
      <c r="AG704" s="4">
        <f t="shared" si="531"/>
        <v/>
      </c>
      <c r="AH704" s="4">
        <f t="shared" si="532"/>
      </c>
      <c r="AI704" s="4">
        <f t="shared" si="533"/>
      </c>
      <c r="AJ704" s="4">
        <f t="shared" si="534"/>
      </c>
      <c r="AK704" s="4">
        <f t="shared" si="535"/>
      </c>
      <c r="AL704" s="4">
        <f t="shared" si="536"/>
      </c>
      <c r="AM704" s="4">
        <f t="shared" si="537"/>
      </c>
      <c r="AN704" s="4"/>
      <c r="AO704" s="4">
        <f t="shared" si="538"/>
      </c>
      <c r="AP704" s="4">
        <f t="shared" si="539"/>
      </c>
      <c r="AQ704" s="4">
        <f t="shared" si="540"/>
        <v/>
      </c>
      <c r="AR704" s="4">
        <f t="shared" si="541"/>
      </c>
      <c r="AS704" s="4">
        <f t="shared" si="542"/>
      </c>
      <c r="AT704" s="4">
        <f t="shared" si="543"/>
      </c>
    </row>
    <row r="705" spans="1:46" x14ac:dyDescent="0.3">
      <c r="A705" s="5">
        <f t="shared" si="515"/>
      </c>
      <c r="B705" s="4">
        <f t="shared" si="516"/>
      </c>
      <c r="C705" s="59"/>
      <c r="D705" s="59"/>
      <c r="E705" s="70"/>
      <c r="F705" s="164"/>
      <c r="G705" s="164"/>
      <c r="H705" s="164"/>
      <c r="I705" s="70"/>
      <c r="J705" s="70"/>
      <c r="K705" s="70"/>
      <c r="L705" s="70"/>
      <c r="M705" s="4">
        <f t="shared" si="517"/>
      </c>
      <c r="N705" s="59"/>
      <c r="O705" s="164"/>
      <c r="P705" s="59">
        <f t="shared" si="518"/>
      </c>
      <c r="Q705" s="165"/>
      <c r="R705" s="59"/>
      <c r="S705" s="164"/>
      <c r="T705" s="5">
        <f t="shared" si="519"/>
      </c>
      <c r="U705" s="4">
        <f t="shared" si="520"/>
      </c>
      <c r="V705" s="4">
        <f t="shared" si="521"/>
      </c>
      <c r="W705" s="4">
        <f t="shared" si="522"/>
      </c>
      <c r="X705" s="4">
        <f t="shared" si="523"/>
      </c>
      <c r="Y705" s="4" cm="1">
        <f t="array" ref="Y705">_xlfn.IFS(H705=1,2,H705=3,1)</f>
      </c>
      <c r="Z705" s="4">
        <f t="shared" si="524"/>
      </c>
      <c r="AA705" s="4">
        <f t="shared" si="525"/>
      </c>
      <c r="AB705" s="4">
        <f t="shared" si="526"/>
      </c>
      <c r="AC705" s="4">
        <f t="shared" si="527"/>
      </c>
      <c r="AD705" s="4">
        <f t="shared" si="528"/>
      </c>
      <c r="AE705" s="4">
        <f t="shared" si="529"/>
      </c>
      <c r="AF705" s="4">
        <f t="shared" si="530"/>
      </c>
      <c r="AG705" s="4">
        <f t="shared" si="531"/>
        <v/>
      </c>
      <c r="AH705" s="4">
        <f t="shared" si="532"/>
      </c>
      <c r="AI705" s="4">
        <f t="shared" si="533"/>
      </c>
      <c r="AJ705" s="4">
        <f t="shared" si="534"/>
      </c>
      <c r="AK705" s="4">
        <f t="shared" si="535"/>
      </c>
      <c r="AL705" s="4">
        <f t="shared" si="536"/>
      </c>
      <c r="AM705" s="4">
        <f t="shared" si="537"/>
      </c>
      <c r="AN705" s="4"/>
      <c r="AO705" s="4">
        <f t="shared" si="538"/>
      </c>
      <c r="AP705" s="4">
        <f t="shared" si="539"/>
      </c>
      <c r="AQ705" s="4">
        <f t="shared" si="540"/>
        <v/>
      </c>
      <c r="AR705" s="4">
        <f t="shared" si="541"/>
      </c>
      <c r="AS705" s="4">
        <f t="shared" si="542"/>
      </c>
      <c r="AT705" s="4">
        <f t="shared" si="543"/>
      </c>
    </row>
    <row r="706" spans="1:46" x14ac:dyDescent="0.3">
      <c r="A706" s="5">
        <f t="shared" si="515"/>
      </c>
      <c r="B706" s="4">
        <f t="shared" si="516"/>
      </c>
      <c r="C706" s="59"/>
      <c r="D706" s="59"/>
      <c r="E706" s="70"/>
      <c r="F706" s="164"/>
      <c r="G706" s="164"/>
      <c r="H706" s="164"/>
      <c r="I706" s="70"/>
      <c r="J706" s="70"/>
      <c r="K706" s="70"/>
      <c r="L706" s="70"/>
      <c r="M706" s="4">
        <f t="shared" si="517"/>
      </c>
      <c r="N706" s="59"/>
      <c r="O706" s="164"/>
      <c r="P706" s="59">
        <f t="shared" si="518"/>
      </c>
      <c r="Q706" s="165"/>
      <c r="R706" s="59"/>
      <c r="S706" s="164"/>
      <c r="T706" s="5">
        <f t="shared" si="519"/>
      </c>
      <c r="U706" s="4">
        <f t="shared" si="520"/>
      </c>
      <c r="V706" s="4">
        <f t="shared" si="521"/>
      </c>
      <c r="W706" s="4">
        <f t="shared" si="522"/>
      </c>
      <c r="X706" s="4">
        <f t="shared" si="523"/>
      </c>
      <c r="Y706" s="4" cm="1">
        <f t="array" ref="Y706">_xlfn.IFS(H706=1,2,H706=3,1)</f>
      </c>
      <c r="Z706" s="4">
        <f t="shared" si="524"/>
      </c>
      <c r="AA706" s="4">
        <f t="shared" si="525"/>
      </c>
      <c r="AB706" s="4">
        <f t="shared" si="526"/>
      </c>
      <c r="AC706" s="4">
        <f t="shared" si="527"/>
      </c>
      <c r="AD706" s="4">
        <f t="shared" si="528"/>
      </c>
      <c r="AE706" s="4">
        <f t="shared" si="529"/>
      </c>
      <c r="AF706" s="4">
        <f t="shared" si="530"/>
      </c>
      <c r="AG706" s="4">
        <f t="shared" si="531"/>
        <v/>
      </c>
      <c r="AH706" s="4">
        <f t="shared" si="532"/>
      </c>
      <c r="AI706" s="4">
        <f t="shared" si="533"/>
      </c>
      <c r="AJ706" s="4">
        <f t="shared" si="534"/>
      </c>
      <c r="AK706" s="4">
        <f t="shared" si="535"/>
      </c>
      <c r="AL706" s="4">
        <f t="shared" si="536"/>
      </c>
      <c r="AM706" s="4">
        <f t="shared" si="537"/>
      </c>
      <c r="AN706" s="4"/>
      <c r="AO706" s="4">
        <f t="shared" si="538"/>
      </c>
      <c r="AP706" s="4">
        <f t="shared" si="539"/>
      </c>
      <c r="AQ706" s="4">
        <f t="shared" si="540"/>
        <v/>
      </c>
      <c r="AR706" s="4">
        <f t="shared" si="541"/>
      </c>
      <c r="AS706" s="4">
        <f t="shared" si="542"/>
      </c>
      <c r="AT706" s="4">
        <f t="shared" si="543"/>
      </c>
    </row>
    <row r="707" spans="1:46" x14ac:dyDescent="0.3">
      <c r="A707" s="5">
        <f t="shared" si="515"/>
      </c>
      <c r="B707" s="4">
        <f t="shared" si="516"/>
      </c>
      <c r="C707" s="59"/>
      <c r="D707" s="59"/>
      <c r="E707" s="70"/>
      <c r="F707" s="164"/>
      <c r="G707" s="164"/>
      <c r="H707" s="164"/>
      <c r="I707" s="70"/>
      <c r="J707" s="70"/>
      <c r="K707" s="70"/>
      <c r="L707" s="70"/>
      <c r="M707" s="4">
        <f t="shared" si="517"/>
      </c>
      <c r="N707" s="59"/>
      <c r="O707" s="164"/>
      <c r="P707" s="59">
        <f t="shared" si="518"/>
      </c>
      <c r="Q707" s="165"/>
      <c r="R707" s="59"/>
      <c r="S707" s="164"/>
      <c r="T707" s="5">
        <f t="shared" si="519"/>
      </c>
      <c r="U707" s="4">
        <f t="shared" si="520"/>
      </c>
      <c r="V707" s="4">
        <f t="shared" si="521"/>
      </c>
      <c r="W707" s="4">
        <f t="shared" si="522"/>
      </c>
      <c r="X707" s="4">
        <f t="shared" si="523"/>
      </c>
      <c r="Y707" s="4" cm="1">
        <f t="array" ref="Y707">_xlfn.IFS(H707=1,2,H707=3,1)</f>
      </c>
      <c r="Z707" s="4">
        <f t="shared" si="524"/>
      </c>
      <c r="AA707" s="4">
        <f t="shared" si="525"/>
      </c>
      <c r="AB707" s="4">
        <f t="shared" si="526"/>
      </c>
      <c r="AC707" s="4">
        <f t="shared" si="527"/>
      </c>
      <c r="AD707" s="4">
        <f t="shared" si="528"/>
      </c>
      <c r="AE707" s="4">
        <f t="shared" si="529"/>
      </c>
      <c r="AF707" s="4">
        <f t="shared" si="530"/>
      </c>
      <c r="AG707" s="4">
        <f t="shared" si="531"/>
        <v/>
      </c>
      <c r="AH707" s="4">
        <f t="shared" si="532"/>
      </c>
      <c r="AI707" s="4">
        <f t="shared" si="533"/>
      </c>
      <c r="AJ707" s="4">
        <f t="shared" si="534"/>
      </c>
      <c r="AK707" s="4">
        <f t="shared" si="535"/>
      </c>
      <c r="AL707" s="4">
        <f t="shared" si="536"/>
      </c>
      <c r="AM707" s="4">
        <f t="shared" si="537"/>
      </c>
      <c r="AN707" s="4"/>
      <c r="AO707" s="4">
        <f t="shared" si="538"/>
      </c>
      <c r="AP707" s="4">
        <f t="shared" si="539"/>
      </c>
      <c r="AQ707" s="4">
        <f t="shared" si="540"/>
        <v/>
      </c>
      <c r="AR707" s="4">
        <f t="shared" si="541"/>
      </c>
      <c r="AS707" s="4">
        <f t="shared" si="542"/>
      </c>
      <c r="AT707" s="4">
        <f t="shared" si="543"/>
      </c>
    </row>
    <row r="708" spans="1:46" x14ac:dyDescent="0.3">
      <c r="A708" s="5">
        <f t="shared" si="515"/>
      </c>
      <c r="B708" s="4">
        <f t="shared" si="516"/>
      </c>
      <c r="C708" s="59"/>
      <c r="D708" s="59"/>
      <c r="E708" s="70"/>
      <c r="F708" s="164"/>
      <c r="G708" s="164"/>
      <c r="H708" s="164"/>
      <c r="I708" s="70"/>
      <c r="J708" s="70"/>
      <c r="K708" s="70"/>
      <c r="L708" s="70"/>
      <c r="M708" s="4">
        <f t="shared" si="517"/>
      </c>
      <c r="N708" s="59"/>
      <c r="O708" s="164"/>
      <c r="P708" s="59">
        <f t="shared" si="518"/>
      </c>
      <c r="Q708" s="165"/>
      <c r="R708" s="59"/>
      <c r="S708" s="164"/>
      <c r="T708" s="5">
        <f t="shared" si="519"/>
      </c>
      <c r="U708" s="4">
        <f t="shared" si="520"/>
      </c>
      <c r="V708" s="4">
        <f t="shared" si="521"/>
      </c>
      <c r="W708" s="4">
        <f t="shared" si="522"/>
      </c>
      <c r="X708" s="4">
        <f t="shared" si="523"/>
      </c>
      <c r="Y708" s="4" cm="1">
        <f t="array" ref="Y708">_xlfn.IFS(H708=1,2,H708=3,1)</f>
      </c>
      <c r="Z708" s="4">
        <f t="shared" si="524"/>
      </c>
      <c r="AA708" s="4">
        <f t="shared" si="525"/>
      </c>
      <c r="AB708" s="4">
        <f t="shared" si="526"/>
      </c>
      <c r="AC708" s="4">
        <f t="shared" si="527"/>
      </c>
      <c r="AD708" s="4">
        <f t="shared" si="528"/>
      </c>
      <c r="AE708" s="4">
        <f t="shared" si="529"/>
      </c>
      <c r="AF708" s="4">
        <f t="shared" si="530"/>
      </c>
      <c r="AG708" s="4">
        <f t="shared" si="531"/>
        <v/>
      </c>
      <c r="AH708" s="4">
        <f t="shared" si="532"/>
      </c>
      <c r="AI708" s="4">
        <f t="shared" si="533"/>
      </c>
      <c r="AJ708" s="4">
        <f t="shared" si="534"/>
      </c>
      <c r="AK708" s="4">
        <f t="shared" si="535"/>
      </c>
      <c r="AL708" s="4">
        <f t="shared" si="536"/>
      </c>
      <c r="AM708" s="4">
        <f t="shared" si="537"/>
      </c>
      <c r="AN708" s="4"/>
      <c r="AO708" s="4">
        <f t="shared" si="538"/>
      </c>
      <c r="AP708" s="4">
        <f t="shared" si="539"/>
      </c>
      <c r="AQ708" s="4">
        <f t="shared" si="540"/>
        <v/>
      </c>
      <c r="AR708" s="4">
        <f t="shared" si="541"/>
      </c>
      <c r="AS708" s="4">
        <f t="shared" si="542"/>
      </c>
      <c r="AT708" s="4">
        <f t="shared" si="543"/>
      </c>
    </row>
    <row r="709" spans="1:46" x14ac:dyDescent="0.3">
      <c r="A709" s="5">
        <f t="shared" si="515"/>
      </c>
      <c r="B709" s="4">
        <f t="shared" si="516"/>
      </c>
      <c r="C709" s="59"/>
      <c r="D709" s="59"/>
      <c r="E709" s="70"/>
      <c r="F709" s="164"/>
      <c r="G709" s="164"/>
      <c r="H709" s="164"/>
      <c r="I709" s="70"/>
      <c r="J709" s="70"/>
      <c r="K709" s="70"/>
      <c r="L709" s="70"/>
      <c r="M709" s="4">
        <f t="shared" si="517"/>
      </c>
      <c r="N709" s="59"/>
      <c r="O709" s="164"/>
      <c r="P709" s="59">
        <f t="shared" si="518"/>
      </c>
      <c r="Q709" s="165"/>
      <c r="R709" s="59"/>
      <c r="S709" s="164"/>
      <c r="T709" s="5">
        <f t="shared" si="519"/>
      </c>
      <c r="U709" s="4">
        <f t="shared" si="520"/>
      </c>
      <c r="V709" s="4">
        <f t="shared" si="521"/>
      </c>
      <c r="W709" s="4">
        <f t="shared" si="522"/>
      </c>
      <c r="X709" s="4">
        <f t="shared" si="523"/>
      </c>
      <c r="Y709" s="4" cm="1">
        <f t="array" ref="Y709">_xlfn.IFS(H709=1,2,H709=3,1)</f>
      </c>
      <c r="Z709" s="4">
        <f t="shared" si="524"/>
      </c>
      <c r="AA709" s="4">
        <f t="shared" si="525"/>
      </c>
      <c r="AB709" s="4">
        <f t="shared" si="526"/>
      </c>
      <c r="AC709" s="4">
        <f t="shared" si="527"/>
      </c>
      <c r="AD709" s="4">
        <f t="shared" si="528"/>
      </c>
      <c r="AE709" s="4">
        <f t="shared" si="529"/>
      </c>
      <c r="AF709" s="4">
        <f t="shared" si="530"/>
      </c>
      <c r="AG709" s="4">
        <f t="shared" si="531"/>
        <v/>
      </c>
      <c r="AH709" s="4">
        <f t="shared" si="532"/>
      </c>
      <c r="AI709" s="4">
        <f t="shared" si="533"/>
      </c>
      <c r="AJ709" s="4">
        <f t="shared" si="534"/>
      </c>
      <c r="AK709" s="4">
        <f t="shared" si="535"/>
      </c>
      <c r="AL709" s="4">
        <f t="shared" si="536"/>
      </c>
      <c r="AM709" s="4">
        <f t="shared" si="537"/>
      </c>
      <c r="AN709" s="4"/>
      <c r="AO709" s="4">
        <f t="shared" si="538"/>
      </c>
      <c r="AP709" s="4">
        <f t="shared" si="539"/>
      </c>
      <c r="AQ709" s="4">
        <f t="shared" si="540"/>
        <v/>
      </c>
      <c r="AR709" s="4">
        <f t="shared" si="541"/>
      </c>
      <c r="AS709" s="4">
        <f t="shared" si="542"/>
      </c>
      <c r="AT709" s="4">
        <f t="shared" si="543"/>
      </c>
    </row>
    <row r="710" spans="1:46" x14ac:dyDescent="0.3">
      <c r="A710" s="5">
        <f t="shared" si="515"/>
      </c>
      <c r="B710" s="4">
        <f t="shared" si="516"/>
      </c>
      <c r="C710" s="59"/>
      <c r="D710" s="59"/>
      <c r="E710" s="70"/>
      <c r="F710" s="164"/>
      <c r="G710" s="164"/>
      <c r="H710" s="164"/>
      <c r="I710" s="70"/>
      <c r="J710" s="70"/>
      <c r="K710" s="70"/>
      <c r="L710" s="70"/>
      <c r="M710" s="4">
        <f t="shared" si="517"/>
      </c>
      <c r="N710" s="59"/>
      <c r="O710" s="164"/>
      <c r="P710" s="59">
        <f t="shared" si="518"/>
      </c>
      <c r="Q710" s="165"/>
      <c r="R710" s="59"/>
      <c r="S710" s="164"/>
      <c r="T710" s="5">
        <f t="shared" si="519"/>
      </c>
      <c r="U710" s="4">
        <f t="shared" si="520"/>
      </c>
      <c r="V710" s="4">
        <f t="shared" si="521"/>
      </c>
      <c r="W710" s="4">
        <f t="shared" si="522"/>
      </c>
      <c r="X710" s="4">
        <f t="shared" si="523"/>
      </c>
      <c r="Y710" s="4" cm="1">
        <f t="array" ref="Y710">_xlfn.IFS(H710=1,2,H710=3,1)</f>
      </c>
      <c r="Z710" s="4">
        <f t="shared" si="524"/>
      </c>
      <c r="AA710" s="4">
        <f t="shared" si="525"/>
      </c>
      <c r="AB710" s="4">
        <f t="shared" si="526"/>
      </c>
      <c r="AC710" s="4">
        <f t="shared" si="527"/>
      </c>
      <c r="AD710" s="4">
        <f t="shared" si="528"/>
      </c>
      <c r="AE710" s="4">
        <f t="shared" si="529"/>
      </c>
      <c r="AF710" s="4">
        <f t="shared" si="530"/>
      </c>
      <c r="AG710" s="4">
        <f t="shared" si="531"/>
        <v/>
      </c>
      <c r="AH710" s="4">
        <f t="shared" si="532"/>
      </c>
      <c r="AI710" s="4">
        <f t="shared" si="533"/>
      </c>
      <c r="AJ710" s="4">
        <f t="shared" si="534"/>
      </c>
      <c r="AK710" s="4">
        <f t="shared" si="535"/>
      </c>
      <c r="AL710" s="4">
        <f t="shared" si="536"/>
      </c>
      <c r="AM710" s="4">
        <f t="shared" si="537"/>
      </c>
      <c r="AN710" s="4"/>
      <c r="AO710" s="4">
        <f t="shared" si="538"/>
      </c>
      <c r="AP710" s="4">
        <f t="shared" si="539"/>
      </c>
      <c r="AQ710" s="4">
        <f t="shared" si="540"/>
        <v/>
      </c>
      <c r="AR710" s="4">
        <f t="shared" si="541"/>
      </c>
      <c r="AS710" s="4">
        <f t="shared" si="542"/>
      </c>
      <c r="AT710" s="4">
        <f t="shared" si="543"/>
      </c>
    </row>
    <row r="711" spans="1:46" x14ac:dyDescent="0.3">
      <c r="A711" s="5">
        <f t="shared" si="515"/>
      </c>
      <c r="B711" s="4">
        <f t="shared" si="516"/>
      </c>
      <c r="C711" s="59"/>
      <c r="D711" s="59"/>
      <c r="E711" s="70"/>
      <c r="F711" s="164"/>
      <c r="G711" s="164"/>
      <c r="H711" s="164"/>
      <c r="I711" s="70"/>
      <c r="J711" s="70"/>
      <c r="K711" s="70"/>
      <c r="L711" s="70"/>
      <c r="M711" s="4">
        <f t="shared" si="517"/>
      </c>
      <c r="N711" s="59"/>
      <c r="O711" s="164"/>
      <c r="P711" s="59">
        <f t="shared" si="518"/>
      </c>
      <c r="Q711" s="165"/>
      <c r="R711" s="59"/>
      <c r="S711" s="164"/>
      <c r="T711" s="5">
        <f t="shared" si="519"/>
      </c>
      <c r="U711" s="4">
        <f t="shared" si="520"/>
      </c>
      <c r="V711" s="4">
        <f t="shared" si="521"/>
      </c>
      <c r="W711" s="4">
        <f t="shared" si="522"/>
      </c>
      <c r="X711" s="4">
        <f t="shared" si="523"/>
      </c>
      <c r="Y711" s="4" cm="1">
        <f t="array" ref="Y711">_xlfn.IFS(H711=1,2,H711=3,1)</f>
      </c>
      <c r="Z711" s="4">
        <f t="shared" si="524"/>
      </c>
      <c r="AA711" s="4">
        <f t="shared" si="525"/>
      </c>
      <c r="AB711" s="4">
        <f t="shared" si="526"/>
      </c>
      <c r="AC711" s="4">
        <f t="shared" si="527"/>
      </c>
      <c r="AD711" s="4">
        <f t="shared" si="528"/>
      </c>
      <c r="AE711" s="4">
        <f t="shared" si="529"/>
      </c>
      <c r="AF711" s="4">
        <f t="shared" si="530"/>
      </c>
      <c r="AG711" s="4">
        <f t="shared" si="531"/>
        <v/>
      </c>
      <c r="AH711" s="4">
        <f t="shared" si="532"/>
      </c>
      <c r="AI711" s="4">
        <f t="shared" si="533"/>
      </c>
      <c r="AJ711" s="4">
        <f t="shared" si="534"/>
      </c>
      <c r="AK711" s="4">
        <f t="shared" si="535"/>
      </c>
      <c r="AL711" s="4">
        <f t="shared" si="536"/>
      </c>
      <c r="AM711" s="4">
        <f t="shared" si="537"/>
      </c>
      <c r="AN711" s="4"/>
      <c r="AO711" s="4">
        <f t="shared" si="538"/>
      </c>
      <c r="AP711" s="4">
        <f t="shared" si="539"/>
      </c>
      <c r="AQ711" s="4">
        <f t="shared" si="540"/>
        <v/>
      </c>
      <c r="AR711" s="4">
        <f t="shared" si="541"/>
      </c>
      <c r="AS711" s="4">
        <f t="shared" si="542"/>
      </c>
      <c r="AT711" s="4">
        <f t="shared" si="543"/>
      </c>
    </row>
    <row r="712" spans="1:46" x14ac:dyDescent="0.3">
      <c r="A712" s="5">
        <f t="shared" si="515"/>
      </c>
      <c r="B712" s="4">
        <f t="shared" si="516"/>
      </c>
      <c r="C712" s="59"/>
      <c r="D712" s="59"/>
      <c r="E712" s="70"/>
      <c r="F712" s="164"/>
      <c r="G712" s="164"/>
      <c r="H712" s="164"/>
      <c r="I712" s="70"/>
      <c r="J712" s="70"/>
      <c r="K712" s="70"/>
      <c r="L712" s="70"/>
      <c r="M712" s="4">
        <f t="shared" si="517"/>
      </c>
      <c r="N712" s="59"/>
      <c r="O712" s="164"/>
      <c r="P712" s="59">
        <f t="shared" si="518"/>
      </c>
      <c r="Q712" s="165"/>
      <c r="R712" s="59"/>
      <c r="S712" s="164"/>
      <c r="T712" s="5">
        <f t="shared" si="519"/>
      </c>
      <c r="U712" s="4">
        <f t="shared" si="520"/>
      </c>
      <c r="V712" s="4">
        <f t="shared" si="521"/>
      </c>
      <c r="W712" s="4">
        <f t="shared" si="522"/>
      </c>
      <c r="X712" s="4">
        <f t="shared" si="523"/>
      </c>
      <c r="Y712" s="4" cm="1">
        <f t="array" ref="Y712">_xlfn.IFS(H712=1,2,H712=3,1)</f>
      </c>
      <c r="Z712" s="4">
        <f t="shared" si="524"/>
      </c>
      <c r="AA712" s="4">
        <f t="shared" si="525"/>
      </c>
      <c r="AB712" s="4">
        <f t="shared" si="526"/>
      </c>
      <c r="AC712" s="4">
        <f t="shared" si="527"/>
      </c>
      <c r="AD712" s="4">
        <f t="shared" si="528"/>
      </c>
      <c r="AE712" s="4">
        <f t="shared" si="529"/>
      </c>
      <c r="AF712" s="4">
        <f t="shared" si="530"/>
      </c>
      <c r="AG712" s="4">
        <f t="shared" si="531"/>
        <v/>
      </c>
      <c r="AH712" s="4">
        <f t="shared" si="532"/>
      </c>
      <c r="AI712" s="4">
        <f t="shared" si="533"/>
      </c>
      <c r="AJ712" s="4">
        <f t="shared" si="534"/>
      </c>
      <c r="AK712" s="4">
        <f t="shared" si="535"/>
      </c>
      <c r="AL712" s="4">
        <f t="shared" si="536"/>
      </c>
      <c r="AM712" s="4">
        <f t="shared" si="537"/>
      </c>
      <c r="AN712" s="4"/>
      <c r="AO712" s="4">
        <f t="shared" si="538"/>
      </c>
      <c r="AP712" s="4">
        <f t="shared" si="539"/>
      </c>
      <c r="AQ712" s="4">
        <f t="shared" si="540"/>
        <v/>
      </c>
      <c r="AR712" s="4">
        <f t="shared" si="541"/>
      </c>
      <c r="AS712" s="4">
        <f t="shared" si="542"/>
      </c>
      <c r="AT712" s="4">
        <f t="shared" si="543"/>
      </c>
    </row>
    <row r="713" spans="1:46" x14ac:dyDescent="0.3">
      <c r="A713" s="5">
        <f t="shared" si="515"/>
      </c>
      <c r="B713" s="4">
        <f t="shared" si="516"/>
      </c>
      <c r="C713" s="59"/>
      <c r="D713" s="59"/>
      <c r="E713" s="70"/>
      <c r="F713" s="164"/>
      <c r="G713" s="164"/>
      <c r="H713" s="164"/>
      <c r="I713" s="70"/>
      <c r="J713" s="70"/>
      <c r="K713" s="70"/>
      <c r="L713" s="70"/>
      <c r="M713" s="4">
        <f t="shared" si="517"/>
      </c>
      <c r="N713" s="59"/>
      <c r="O713" s="164"/>
      <c r="P713" s="59">
        <f t="shared" si="518"/>
      </c>
      <c r="Q713" s="165"/>
      <c r="R713" s="59"/>
      <c r="S713" s="164"/>
      <c r="T713" s="5">
        <f t="shared" si="519"/>
      </c>
      <c r="U713" s="4">
        <f t="shared" si="520"/>
      </c>
      <c r="V713" s="4">
        <f t="shared" si="521"/>
      </c>
      <c r="W713" s="4">
        <f t="shared" si="522"/>
      </c>
      <c r="X713" s="4">
        <f t="shared" si="523"/>
      </c>
      <c r="Y713" s="4" cm="1">
        <f t="array" ref="Y713">_xlfn.IFS(H713=1,2,H713=3,1)</f>
      </c>
      <c r="Z713" s="4">
        <f t="shared" si="524"/>
      </c>
      <c r="AA713" s="4">
        <f t="shared" si="525"/>
      </c>
      <c r="AB713" s="4">
        <f t="shared" si="526"/>
      </c>
      <c r="AC713" s="4">
        <f t="shared" si="527"/>
      </c>
      <c r="AD713" s="4">
        <f t="shared" si="528"/>
      </c>
      <c r="AE713" s="4">
        <f t="shared" si="529"/>
      </c>
      <c r="AF713" s="4">
        <f t="shared" si="530"/>
      </c>
      <c r="AG713" s="4">
        <f t="shared" si="531"/>
        <v/>
      </c>
      <c r="AH713" s="4">
        <f t="shared" si="532"/>
      </c>
      <c r="AI713" s="4">
        <f t="shared" si="533"/>
      </c>
      <c r="AJ713" s="4">
        <f t="shared" si="534"/>
      </c>
      <c r="AK713" s="4">
        <f t="shared" si="535"/>
      </c>
      <c r="AL713" s="4">
        <f t="shared" si="536"/>
      </c>
      <c r="AM713" s="4">
        <f t="shared" si="537"/>
      </c>
      <c r="AN713" s="4"/>
      <c r="AO713" s="4">
        <f t="shared" si="538"/>
      </c>
      <c r="AP713" s="4">
        <f t="shared" si="539"/>
      </c>
      <c r="AQ713" s="4">
        <f t="shared" si="540"/>
        <v/>
      </c>
      <c r="AR713" s="4">
        <f t="shared" si="541"/>
      </c>
      <c r="AS713" s="4">
        <f t="shared" si="542"/>
      </c>
      <c r="AT713" s="4">
        <f t="shared" si="543"/>
      </c>
    </row>
    <row r="714" spans="1:46" x14ac:dyDescent="0.3">
      <c r="A714" s="5">
        <f t="shared" si="515"/>
      </c>
      <c r="B714" s="4">
        <f t="shared" si="516"/>
      </c>
      <c r="C714" s="59"/>
      <c r="D714" s="59"/>
      <c r="E714" s="70"/>
      <c r="F714" s="164"/>
      <c r="G714" s="164"/>
      <c r="H714" s="164"/>
      <c r="I714" s="70"/>
      <c r="J714" s="70"/>
      <c r="K714" s="70"/>
      <c r="L714" s="70"/>
      <c r="M714" s="4">
        <f t="shared" si="517"/>
      </c>
      <c r="N714" s="59"/>
      <c r="O714" s="164"/>
      <c r="P714" s="59">
        <f t="shared" si="518"/>
      </c>
      <c r="Q714" s="165"/>
      <c r="R714" s="59"/>
      <c r="S714" s="164"/>
      <c r="T714" s="5">
        <f t="shared" si="519"/>
      </c>
      <c r="U714" s="4">
        <f t="shared" si="520"/>
      </c>
      <c r="V714" s="4">
        <f t="shared" si="521"/>
      </c>
      <c r="W714" s="4">
        <f t="shared" si="522"/>
      </c>
      <c r="X714" s="4">
        <f t="shared" si="523"/>
      </c>
      <c r="Y714" s="4" cm="1">
        <f t="array" ref="Y714">_xlfn.IFS(H714=1,2,H714=3,1)</f>
      </c>
      <c r="Z714" s="4">
        <f t="shared" si="524"/>
      </c>
      <c r="AA714" s="4">
        <f t="shared" si="525"/>
      </c>
      <c r="AB714" s="4">
        <f t="shared" si="526"/>
      </c>
      <c r="AC714" s="4">
        <f t="shared" si="527"/>
      </c>
      <c r="AD714" s="4">
        <f t="shared" si="528"/>
      </c>
      <c r="AE714" s="4">
        <f t="shared" si="529"/>
      </c>
      <c r="AF714" s="4">
        <f t="shared" si="530"/>
      </c>
      <c r="AG714" s="4">
        <f t="shared" si="531"/>
        <v/>
      </c>
      <c r="AH714" s="4">
        <f t="shared" si="532"/>
      </c>
      <c r="AI714" s="4">
        <f t="shared" si="533"/>
      </c>
      <c r="AJ714" s="4">
        <f t="shared" si="534"/>
      </c>
      <c r="AK714" s="4">
        <f t="shared" si="535"/>
      </c>
      <c r="AL714" s="4">
        <f t="shared" si="536"/>
      </c>
      <c r="AM714" s="4">
        <f t="shared" si="537"/>
      </c>
      <c r="AN714" s="4"/>
      <c r="AO714" s="4">
        <f t="shared" si="538"/>
      </c>
      <c r="AP714" s="4">
        <f t="shared" si="539"/>
      </c>
      <c r="AQ714" s="4">
        <f t="shared" si="540"/>
        <v/>
      </c>
      <c r="AR714" s="4">
        <f t="shared" si="541"/>
      </c>
      <c r="AS714" s="4">
        <f t="shared" si="542"/>
      </c>
      <c r="AT714" s="4">
        <f t="shared" si="543"/>
      </c>
    </row>
    <row r="715" spans="1:46" x14ac:dyDescent="0.3">
      <c r="A715" s="5">
        <f t="shared" si="515"/>
      </c>
      <c r="B715" s="4">
        <f t="shared" si="516"/>
      </c>
      <c r="C715" s="59"/>
      <c r="D715" s="59"/>
      <c r="E715" s="70"/>
      <c r="F715" s="164"/>
      <c r="G715" s="164"/>
      <c r="H715" s="164"/>
      <c r="I715" s="70"/>
      <c r="J715" s="70"/>
      <c r="K715" s="70"/>
      <c r="L715" s="70"/>
      <c r="M715" s="4">
        <f t="shared" si="517"/>
      </c>
      <c r="N715" s="59"/>
      <c r="O715" s="164"/>
      <c r="P715" s="59">
        <f t="shared" si="518"/>
      </c>
      <c r="Q715" s="165"/>
      <c r="R715" s="59"/>
      <c r="S715" s="164"/>
      <c r="T715" s="5">
        <f t="shared" si="519"/>
      </c>
      <c r="U715" s="4">
        <f t="shared" si="520"/>
      </c>
      <c r="V715" s="4">
        <f t="shared" si="521"/>
      </c>
      <c r="W715" s="4">
        <f t="shared" si="522"/>
      </c>
      <c r="X715" s="4">
        <f t="shared" si="523"/>
      </c>
      <c r="Y715" s="4" cm="1">
        <f t="array" ref="Y715">_xlfn.IFS(H715=1,2,H715=3,1)</f>
      </c>
      <c r="Z715" s="4">
        <f t="shared" si="524"/>
      </c>
      <c r="AA715" s="4">
        <f t="shared" si="525"/>
      </c>
      <c r="AB715" s="4">
        <f t="shared" si="526"/>
      </c>
      <c r="AC715" s="4">
        <f t="shared" si="527"/>
      </c>
      <c r="AD715" s="4">
        <f t="shared" si="528"/>
      </c>
      <c r="AE715" s="4">
        <f t="shared" si="529"/>
      </c>
      <c r="AF715" s="4">
        <f t="shared" si="530"/>
      </c>
      <c r="AG715" s="4">
        <f t="shared" si="531"/>
        <v/>
      </c>
      <c r="AH715" s="4">
        <f t="shared" si="532"/>
      </c>
      <c r="AI715" s="4">
        <f t="shared" si="533"/>
      </c>
      <c r="AJ715" s="4">
        <f t="shared" si="534"/>
      </c>
      <c r="AK715" s="4">
        <f t="shared" si="535"/>
      </c>
      <c r="AL715" s="4">
        <f t="shared" si="536"/>
      </c>
      <c r="AM715" s="4">
        <f t="shared" si="537"/>
      </c>
      <c r="AN715" s="4"/>
      <c r="AO715" s="4">
        <f t="shared" si="538"/>
      </c>
      <c r="AP715" s="4">
        <f t="shared" si="539"/>
      </c>
      <c r="AQ715" s="4">
        <f t="shared" si="540"/>
        <v/>
      </c>
      <c r="AR715" s="4">
        <f t="shared" si="541"/>
      </c>
      <c r="AS715" s="4">
        <f t="shared" si="542"/>
      </c>
      <c r="AT715" s="4">
        <f t="shared" si="543"/>
      </c>
    </row>
    <row r="716" spans="1:46" x14ac:dyDescent="0.3">
      <c r="A716" s="5">
        <f t="shared" si="515"/>
      </c>
      <c r="B716" s="4">
        <f t="shared" si="516"/>
      </c>
      <c r="C716" s="59"/>
      <c r="D716" s="59"/>
      <c r="E716" s="70"/>
      <c r="F716" s="164"/>
      <c r="G716" s="164"/>
      <c r="H716" s="164"/>
      <c r="I716" s="70"/>
      <c r="J716" s="70"/>
      <c r="K716" s="70"/>
      <c r="L716" s="70"/>
      <c r="M716" s="4">
        <f t="shared" si="517"/>
      </c>
      <c r="N716" s="59"/>
      <c r="O716" s="164"/>
      <c r="P716" s="59">
        <f t="shared" si="518"/>
      </c>
      <c r="Q716" s="165"/>
      <c r="R716" s="59"/>
      <c r="S716" s="164"/>
      <c r="T716" s="5">
        <f t="shared" si="519"/>
      </c>
      <c r="U716" s="4">
        <f t="shared" si="520"/>
      </c>
      <c r="V716" s="4">
        <f t="shared" si="521"/>
      </c>
      <c r="W716" s="4">
        <f t="shared" si="522"/>
      </c>
      <c r="X716" s="4">
        <f t="shared" si="523"/>
      </c>
      <c r="Y716" s="4" cm="1">
        <f t="array" ref="Y716">_xlfn.IFS(H716=1,2,H716=3,1)</f>
      </c>
      <c r="Z716" s="4">
        <f t="shared" si="524"/>
      </c>
      <c r="AA716" s="4">
        <f t="shared" si="525"/>
      </c>
      <c r="AB716" s="4">
        <f t="shared" si="526"/>
      </c>
      <c r="AC716" s="4">
        <f t="shared" si="527"/>
      </c>
      <c r="AD716" s="4">
        <f t="shared" si="528"/>
      </c>
      <c r="AE716" s="4">
        <f t="shared" si="529"/>
      </c>
      <c r="AF716" s="4">
        <f t="shared" si="530"/>
      </c>
      <c r="AG716" s="4">
        <f t="shared" si="531"/>
        <v/>
      </c>
      <c r="AH716" s="4">
        <f t="shared" si="532"/>
      </c>
      <c r="AI716" s="4">
        <f t="shared" si="533"/>
      </c>
      <c r="AJ716" s="4">
        <f t="shared" si="534"/>
      </c>
      <c r="AK716" s="4">
        <f t="shared" si="535"/>
      </c>
      <c r="AL716" s="4">
        <f t="shared" si="536"/>
      </c>
      <c r="AM716" s="4">
        <f t="shared" si="537"/>
      </c>
      <c r="AN716" s="4"/>
      <c r="AO716" s="4">
        <f t="shared" si="538"/>
      </c>
      <c r="AP716" s="4">
        <f t="shared" si="539"/>
      </c>
      <c r="AQ716" s="4">
        <f t="shared" si="540"/>
        <v/>
      </c>
      <c r="AR716" s="4">
        <f t="shared" si="541"/>
      </c>
      <c r="AS716" s="4">
        <f t="shared" si="542"/>
      </c>
      <c r="AT716" s="4">
        <f t="shared" si="543"/>
      </c>
    </row>
    <row r="717" spans="1:46" x14ac:dyDescent="0.3">
      <c r="A717" s="5">
        <f t="shared" si="515"/>
      </c>
      <c r="B717" s="4">
        <f t="shared" si="516"/>
      </c>
      <c r="C717" s="59"/>
      <c r="D717" s="59"/>
      <c r="E717" s="70"/>
      <c r="F717" s="164"/>
      <c r="G717" s="164"/>
      <c r="H717" s="164"/>
      <c r="I717" s="70"/>
      <c r="J717" s="70"/>
      <c r="K717" s="70"/>
      <c r="L717" s="70"/>
      <c r="M717" s="4">
        <f t="shared" si="517"/>
      </c>
      <c r="N717" s="59"/>
      <c r="O717" s="164"/>
      <c r="P717" s="59">
        <f t="shared" si="518"/>
      </c>
      <c r="Q717" s="165"/>
      <c r="R717" s="59"/>
      <c r="S717" s="164"/>
      <c r="T717" s="5">
        <f t="shared" si="519"/>
      </c>
      <c r="U717" s="4">
        <f t="shared" si="520"/>
      </c>
      <c r="V717" s="4">
        <f t="shared" si="521"/>
      </c>
      <c r="W717" s="4">
        <f t="shared" si="522"/>
      </c>
      <c r="X717" s="4">
        <f t="shared" si="523"/>
      </c>
      <c r="Y717" s="4" cm="1">
        <f t="array" ref="Y717">_xlfn.IFS(H717=1,2,H717=3,1)</f>
      </c>
      <c r="Z717" s="4">
        <f t="shared" si="524"/>
      </c>
      <c r="AA717" s="4">
        <f t="shared" si="525"/>
      </c>
      <c r="AB717" s="4">
        <f t="shared" si="526"/>
      </c>
      <c r="AC717" s="4">
        <f t="shared" si="527"/>
      </c>
      <c r="AD717" s="4">
        <f t="shared" si="528"/>
      </c>
      <c r="AE717" s="4">
        <f t="shared" si="529"/>
      </c>
      <c r="AF717" s="4">
        <f t="shared" si="530"/>
      </c>
      <c r="AG717" s="4">
        <f t="shared" si="531"/>
        <v/>
      </c>
      <c r="AH717" s="4">
        <f t="shared" si="532"/>
      </c>
      <c r="AI717" s="4">
        <f t="shared" si="533"/>
      </c>
      <c r="AJ717" s="4">
        <f t="shared" si="534"/>
      </c>
      <c r="AK717" s="4">
        <f t="shared" si="535"/>
      </c>
      <c r="AL717" s="4">
        <f t="shared" si="536"/>
      </c>
      <c r="AM717" s="4">
        <f t="shared" si="537"/>
      </c>
      <c r="AN717" s="4"/>
      <c r="AO717" s="4">
        <f t="shared" si="538"/>
      </c>
      <c r="AP717" s="4">
        <f t="shared" si="539"/>
      </c>
      <c r="AQ717" s="4">
        <f t="shared" si="540"/>
        <v/>
      </c>
      <c r="AR717" s="4">
        <f t="shared" si="541"/>
      </c>
      <c r="AS717" s="4">
        <f t="shared" si="542"/>
      </c>
      <c r="AT717" s="4">
        <f t="shared" si="543"/>
      </c>
    </row>
    <row r="718" spans="1:46" x14ac:dyDescent="0.3">
      <c r="A718" s="5">
        <f t="shared" si="515"/>
      </c>
      <c r="B718" s="4">
        <f t="shared" si="516"/>
      </c>
      <c r="C718" s="59"/>
      <c r="D718" s="59"/>
      <c r="E718" s="70"/>
      <c r="F718" s="164"/>
      <c r="G718" s="164"/>
      <c r="H718" s="164"/>
      <c r="I718" s="70"/>
      <c r="J718" s="70"/>
      <c r="K718" s="70"/>
      <c r="L718" s="70"/>
      <c r="M718" s="4">
        <f t="shared" si="517"/>
      </c>
      <c r="N718" s="59"/>
      <c r="O718" s="164"/>
      <c r="P718" s="59">
        <f t="shared" si="518"/>
      </c>
      <c r="Q718" s="165"/>
      <c r="R718" s="59"/>
      <c r="S718" s="164"/>
      <c r="T718" s="5">
        <f t="shared" si="519"/>
      </c>
      <c r="U718" s="4">
        <f t="shared" si="520"/>
      </c>
      <c r="V718" s="4">
        <f t="shared" si="521"/>
      </c>
      <c r="W718" s="4">
        <f t="shared" si="522"/>
      </c>
      <c r="X718" s="4">
        <f t="shared" si="523"/>
      </c>
      <c r="Y718" s="4" cm="1">
        <f t="array" ref="Y718">_xlfn.IFS(H718=1,2,H718=3,1)</f>
      </c>
      <c r="Z718" s="4">
        <f t="shared" si="524"/>
      </c>
      <c r="AA718" s="4">
        <f t="shared" si="525"/>
      </c>
      <c r="AB718" s="4">
        <f t="shared" si="526"/>
      </c>
      <c r="AC718" s="4">
        <f t="shared" si="527"/>
      </c>
      <c r="AD718" s="4">
        <f t="shared" si="528"/>
      </c>
      <c r="AE718" s="4">
        <f t="shared" si="529"/>
      </c>
      <c r="AF718" s="4">
        <f t="shared" si="530"/>
      </c>
      <c r="AG718" s="4">
        <f t="shared" si="531"/>
        <v/>
      </c>
      <c r="AH718" s="4">
        <f t="shared" si="532"/>
      </c>
      <c r="AI718" s="4">
        <f t="shared" si="533"/>
      </c>
      <c r="AJ718" s="4">
        <f t="shared" si="534"/>
      </c>
      <c r="AK718" s="4">
        <f t="shared" si="535"/>
      </c>
      <c r="AL718" s="4">
        <f t="shared" si="536"/>
      </c>
      <c r="AM718" s="4">
        <f t="shared" si="537"/>
      </c>
      <c r="AN718" s="4"/>
      <c r="AO718" s="4">
        <f t="shared" si="538"/>
      </c>
      <c r="AP718" s="4">
        <f t="shared" si="539"/>
      </c>
      <c r="AQ718" s="4">
        <f t="shared" si="540"/>
        <v/>
      </c>
      <c r="AR718" s="4">
        <f t="shared" si="541"/>
      </c>
      <c r="AS718" s="4">
        <f t="shared" si="542"/>
      </c>
      <c r="AT718" s="4">
        <f t="shared" si="543"/>
      </c>
    </row>
    <row r="719" spans="1:46" x14ac:dyDescent="0.3">
      <c r="A719" s="5">
        <f t="shared" si="515"/>
      </c>
      <c r="B719" s="4">
        <f t="shared" si="516"/>
      </c>
      <c r="C719" s="59"/>
      <c r="D719" s="59"/>
      <c r="E719" s="70"/>
      <c r="F719" s="164"/>
      <c r="G719" s="164"/>
      <c r="H719" s="164"/>
      <c r="I719" s="70"/>
      <c r="J719" s="70"/>
      <c r="K719" s="70"/>
      <c r="L719" s="70"/>
      <c r="M719" s="4">
        <f t="shared" si="517"/>
      </c>
      <c r="N719" s="59"/>
      <c r="O719" s="164"/>
      <c r="P719" s="59">
        <f t="shared" si="518"/>
      </c>
      <c r="Q719" s="165"/>
      <c r="R719" s="59"/>
      <c r="S719" s="164"/>
      <c r="T719" s="5">
        <f t="shared" si="519"/>
      </c>
      <c r="U719" s="4">
        <f t="shared" si="520"/>
      </c>
      <c r="V719" s="4">
        <f t="shared" si="521"/>
      </c>
      <c r="W719" s="4">
        <f t="shared" si="522"/>
      </c>
      <c r="X719" s="4">
        <f t="shared" si="523"/>
      </c>
      <c r="Y719" s="4" cm="1">
        <f t="array" ref="Y719">_xlfn.IFS(H719=1,2,H719=3,1)</f>
      </c>
      <c r="Z719" s="4">
        <f t="shared" si="524"/>
      </c>
      <c r="AA719" s="4">
        <f t="shared" si="525"/>
      </c>
      <c r="AB719" s="4">
        <f t="shared" si="526"/>
      </c>
      <c r="AC719" s="4">
        <f t="shared" si="527"/>
      </c>
      <c r="AD719" s="4">
        <f t="shared" si="528"/>
      </c>
      <c r="AE719" s="4">
        <f t="shared" si="529"/>
      </c>
      <c r="AF719" s="4">
        <f t="shared" si="530"/>
      </c>
      <c r="AG719" s="4">
        <f t="shared" si="531"/>
        <v/>
      </c>
      <c r="AH719" s="4">
        <f t="shared" si="532"/>
      </c>
      <c r="AI719" s="4">
        <f t="shared" si="533"/>
      </c>
      <c r="AJ719" s="4">
        <f t="shared" si="534"/>
      </c>
      <c r="AK719" s="4">
        <f t="shared" si="535"/>
      </c>
      <c r="AL719" s="4">
        <f t="shared" si="536"/>
      </c>
      <c r="AM719" s="4">
        <f t="shared" si="537"/>
      </c>
      <c r="AN719" s="4"/>
      <c r="AO719" s="4">
        <f t="shared" si="538"/>
      </c>
      <c r="AP719" s="4">
        <f t="shared" si="539"/>
      </c>
      <c r="AQ719" s="4">
        <f t="shared" si="540"/>
        <v/>
      </c>
      <c r="AR719" s="4">
        <f t="shared" si="541"/>
      </c>
      <c r="AS719" s="4">
        <f t="shared" si="542"/>
      </c>
      <c r="AT719" s="4">
        <f t="shared" si="543"/>
      </c>
    </row>
    <row r="720" spans="1:46" x14ac:dyDescent="0.3">
      <c r="A720" s="5">
        <f t="shared" si="515"/>
      </c>
      <c r="B720" s="4">
        <f t="shared" si="516"/>
      </c>
      <c r="C720" s="59"/>
      <c r="D720" s="59"/>
      <c r="E720" s="70"/>
      <c r="F720" s="164"/>
      <c r="G720" s="164"/>
      <c r="H720" s="164"/>
      <c r="I720" s="70"/>
      <c r="J720" s="70"/>
      <c r="K720" s="70"/>
      <c r="L720" s="70"/>
      <c r="M720" s="4">
        <f t="shared" si="517"/>
      </c>
      <c r="N720" s="59"/>
      <c r="O720" s="164"/>
      <c r="P720" s="59">
        <f t="shared" si="518"/>
      </c>
      <c r="Q720" s="165"/>
      <c r="R720" s="59"/>
      <c r="S720" s="164"/>
      <c r="T720" s="5">
        <f t="shared" si="519"/>
      </c>
      <c r="U720" s="4">
        <f t="shared" si="520"/>
      </c>
      <c r="V720" s="4">
        <f t="shared" si="521"/>
      </c>
      <c r="W720" s="4">
        <f t="shared" si="522"/>
      </c>
      <c r="X720" s="4">
        <f t="shared" si="523"/>
      </c>
      <c r="Y720" s="4" cm="1">
        <f t="array" ref="Y720">_xlfn.IFS(H720=1,2,H720=3,1)</f>
      </c>
      <c r="Z720" s="4">
        <f t="shared" si="524"/>
      </c>
      <c r="AA720" s="4">
        <f t="shared" si="525"/>
      </c>
      <c r="AB720" s="4">
        <f t="shared" si="526"/>
      </c>
      <c r="AC720" s="4">
        <f t="shared" si="527"/>
      </c>
      <c r="AD720" s="4">
        <f t="shared" si="528"/>
      </c>
      <c r="AE720" s="4">
        <f t="shared" si="529"/>
      </c>
      <c r="AF720" s="4">
        <f t="shared" si="530"/>
      </c>
      <c r="AG720" s="4">
        <f t="shared" si="531"/>
        <v/>
      </c>
      <c r="AH720" s="4">
        <f t="shared" si="532"/>
      </c>
      <c r="AI720" s="4">
        <f t="shared" si="533"/>
      </c>
      <c r="AJ720" s="4">
        <f t="shared" si="534"/>
      </c>
      <c r="AK720" s="4">
        <f t="shared" si="535"/>
      </c>
      <c r="AL720" s="4">
        <f t="shared" si="536"/>
      </c>
      <c r="AM720" s="4">
        <f t="shared" si="537"/>
      </c>
      <c r="AN720" s="4"/>
      <c r="AO720" s="4">
        <f t="shared" si="538"/>
      </c>
      <c r="AP720" s="4">
        <f t="shared" si="539"/>
      </c>
      <c r="AQ720" s="4">
        <f t="shared" si="540"/>
        <v/>
      </c>
      <c r="AR720" s="4">
        <f t="shared" si="541"/>
      </c>
      <c r="AS720" s="4">
        <f t="shared" si="542"/>
      </c>
      <c r="AT720" s="4">
        <f t="shared" si="543"/>
      </c>
    </row>
    <row r="721" spans="1:46" x14ac:dyDescent="0.3">
      <c r="A721" s="5">
        <f t="shared" si="515"/>
      </c>
      <c r="B721" s="4">
        <f t="shared" si="516"/>
      </c>
      <c r="C721" s="59"/>
      <c r="D721" s="59"/>
      <c r="E721" s="70"/>
      <c r="F721" s="164"/>
      <c r="G721" s="164"/>
      <c r="H721" s="164"/>
      <c r="I721" s="70"/>
      <c r="J721" s="70"/>
      <c r="K721" s="70"/>
      <c r="L721" s="70"/>
      <c r="M721" s="4">
        <f t="shared" si="517"/>
      </c>
      <c r="N721" s="59"/>
      <c r="O721" s="164"/>
      <c r="P721" s="59">
        <f t="shared" si="518"/>
      </c>
      <c r="Q721" s="165"/>
      <c r="R721" s="59"/>
      <c r="S721" s="164"/>
      <c r="T721" s="5">
        <f t="shared" si="519"/>
      </c>
      <c r="U721" s="4">
        <f t="shared" si="520"/>
      </c>
      <c r="V721" s="4">
        <f t="shared" si="521"/>
      </c>
      <c r="W721" s="4">
        <f t="shared" si="522"/>
      </c>
      <c r="X721" s="4">
        <f t="shared" si="523"/>
      </c>
      <c r="Y721" s="4" cm="1">
        <f t="array" ref="Y721">_xlfn.IFS(H721=1,2,H721=3,1)</f>
      </c>
      <c r="Z721" s="4">
        <f t="shared" si="524"/>
      </c>
      <c r="AA721" s="4">
        <f t="shared" si="525"/>
      </c>
      <c r="AB721" s="4">
        <f t="shared" si="526"/>
      </c>
      <c r="AC721" s="4">
        <f t="shared" si="527"/>
      </c>
      <c r="AD721" s="4">
        <f t="shared" si="528"/>
      </c>
      <c r="AE721" s="4">
        <f t="shared" si="529"/>
      </c>
      <c r="AF721" s="4">
        <f t="shared" si="530"/>
      </c>
      <c r="AG721" s="4">
        <f t="shared" si="531"/>
        <v/>
      </c>
      <c r="AH721" s="4">
        <f t="shared" si="532"/>
      </c>
      <c r="AI721" s="4">
        <f t="shared" si="533"/>
      </c>
      <c r="AJ721" s="4">
        <f t="shared" si="534"/>
      </c>
      <c r="AK721" s="4">
        <f t="shared" si="535"/>
      </c>
      <c r="AL721" s="4">
        <f t="shared" si="536"/>
      </c>
      <c r="AM721" s="4">
        <f t="shared" si="537"/>
      </c>
      <c r="AN721" s="4"/>
      <c r="AO721" s="4">
        <f t="shared" si="538"/>
      </c>
      <c r="AP721" s="4">
        <f t="shared" si="539"/>
      </c>
      <c r="AQ721" s="4">
        <f t="shared" si="540"/>
        <v/>
      </c>
      <c r="AR721" s="4">
        <f t="shared" si="541"/>
      </c>
      <c r="AS721" s="4">
        <f t="shared" si="542"/>
      </c>
      <c r="AT721" s="4">
        <f t="shared" si="543"/>
      </c>
    </row>
    <row r="722" spans="1:46" x14ac:dyDescent="0.3">
      <c r="A722" s="5">
        <f t="shared" si="515"/>
      </c>
      <c r="B722" s="4">
        <f t="shared" si="516"/>
      </c>
      <c r="C722" s="59"/>
      <c r="D722" s="59"/>
      <c r="E722" s="70"/>
      <c r="F722" s="164"/>
      <c r="G722" s="164"/>
      <c r="H722" s="164"/>
      <c r="I722" s="70"/>
      <c r="J722" s="70"/>
      <c r="K722" s="70"/>
      <c r="L722" s="70"/>
      <c r="M722" s="4">
        <f t="shared" si="517"/>
      </c>
      <c r="N722" s="59"/>
      <c r="O722" s="164"/>
      <c r="P722" s="59">
        <f t="shared" si="518"/>
      </c>
      <c r="Q722" s="165"/>
      <c r="R722" s="59"/>
      <c r="S722" s="164"/>
      <c r="T722" s="5">
        <f t="shared" si="519"/>
      </c>
      <c r="U722" s="4">
        <f t="shared" si="520"/>
      </c>
      <c r="V722" s="4">
        <f t="shared" si="521"/>
      </c>
      <c r="W722" s="4">
        <f t="shared" si="522"/>
      </c>
      <c r="X722" s="4">
        <f t="shared" si="523"/>
      </c>
      <c r="Y722" s="4" cm="1">
        <f t="array" ref="Y722">_xlfn.IFS(H722=1,2,H722=3,1)</f>
      </c>
      <c r="Z722" s="4">
        <f t="shared" si="524"/>
      </c>
      <c r="AA722" s="4">
        <f t="shared" si="525"/>
      </c>
      <c r="AB722" s="4">
        <f t="shared" si="526"/>
      </c>
      <c r="AC722" s="4">
        <f t="shared" si="527"/>
      </c>
      <c r="AD722" s="4">
        <f t="shared" si="528"/>
      </c>
      <c r="AE722" s="4">
        <f t="shared" si="529"/>
      </c>
      <c r="AF722" s="4">
        <f t="shared" si="530"/>
      </c>
      <c r="AG722" s="4">
        <f t="shared" si="531"/>
        <v/>
      </c>
      <c r="AH722" s="4">
        <f t="shared" si="532"/>
      </c>
      <c r="AI722" s="4">
        <f t="shared" si="533"/>
      </c>
      <c r="AJ722" s="4">
        <f t="shared" si="534"/>
      </c>
      <c r="AK722" s="4">
        <f t="shared" si="535"/>
      </c>
      <c r="AL722" s="4">
        <f t="shared" si="536"/>
      </c>
      <c r="AM722" s="4">
        <f t="shared" si="537"/>
      </c>
      <c r="AN722" s="4"/>
      <c r="AO722" s="4">
        <f t="shared" si="538"/>
      </c>
      <c r="AP722" s="4">
        <f t="shared" si="539"/>
      </c>
      <c r="AQ722" s="4">
        <f t="shared" si="540"/>
        <v/>
      </c>
      <c r="AR722" s="4">
        <f t="shared" si="541"/>
      </c>
      <c r="AS722" s="4">
        <f t="shared" si="542"/>
      </c>
      <c r="AT722" s="4">
        <f t="shared" si="543"/>
      </c>
    </row>
    <row r="723" spans="1:46" x14ac:dyDescent="0.3">
      <c r="A723" s="5">
        <f t="shared" si="515"/>
      </c>
      <c r="B723" s="4">
        <f t="shared" si="516"/>
      </c>
      <c r="C723" s="59"/>
      <c r="D723" s="59"/>
      <c r="E723" s="70"/>
      <c r="F723" s="164"/>
      <c r="G723" s="164"/>
      <c r="H723" s="164"/>
      <c r="I723" s="70"/>
      <c r="J723" s="70"/>
      <c r="K723" s="70"/>
      <c r="L723" s="70"/>
      <c r="M723" s="4">
        <f t="shared" si="517"/>
      </c>
      <c r="N723" s="59"/>
      <c r="O723" s="164"/>
      <c r="P723" s="59">
        <f t="shared" si="518"/>
      </c>
      <c r="Q723" s="165"/>
      <c r="R723" s="59"/>
      <c r="S723" s="164"/>
      <c r="T723" s="5">
        <f t="shared" si="519"/>
      </c>
      <c r="U723" s="4">
        <f t="shared" si="520"/>
      </c>
      <c r="V723" s="4">
        <f t="shared" si="521"/>
      </c>
      <c r="W723" s="4">
        <f t="shared" si="522"/>
      </c>
      <c r="X723" s="4">
        <f t="shared" si="523"/>
      </c>
      <c r="Y723" s="4" cm="1">
        <f t="array" ref="Y723">_xlfn.IFS(H723=1,2,H723=3,1)</f>
      </c>
      <c r="Z723" s="4">
        <f t="shared" si="524"/>
      </c>
      <c r="AA723" s="4">
        <f t="shared" si="525"/>
      </c>
      <c r="AB723" s="4">
        <f t="shared" si="526"/>
      </c>
      <c r="AC723" s="4">
        <f t="shared" si="527"/>
      </c>
      <c r="AD723" s="4">
        <f t="shared" si="528"/>
      </c>
      <c r="AE723" s="4">
        <f t="shared" si="529"/>
      </c>
      <c r="AF723" s="4">
        <f t="shared" si="530"/>
      </c>
      <c r="AG723" s="4">
        <f t="shared" si="531"/>
        <v/>
      </c>
      <c r="AH723" s="4">
        <f t="shared" si="532"/>
      </c>
      <c r="AI723" s="4">
        <f t="shared" si="533"/>
      </c>
      <c r="AJ723" s="4">
        <f t="shared" si="534"/>
      </c>
      <c r="AK723" s="4">
        <f t="shared" si="535"/>
      </c>
      <c r="AL723" s="4">
        <f t="shared" si="536"/>
      </c>
      <c r="AM723" s="4">
        <f t="shared" si="537"/>
      </c>
      <c r="AN723" s="4"/>
      <c r="AO723" s="4">
        <f t="shared" si="538"/>
      </c>
      <c r="AP723" s="4">
        <f t="shared" si="539"/>
      </c>
      <c r="AQ723" s="4">
        <f t="shared" si="540"/>
        <v/>
      </c>
      <c r="AR723" s="4">
        <f t="shared" si="541"/>
      </c>
      <c r="AS723" s="4">
        <f t="shared" si="542"/>
      </c>
      <c r="AT723" s="4">
        <f t="shared" si="543"/>
      </c>
    </row>
    <row r="724" spans="1:46" x14ac:dyDescent="0.3">
      <c r="A724" s="5">
        <f t="shared" si="515"/>
      </c>
      <c r="B724" s="4">
        <f t="shared" si="516"/>
      </c>
      <c r="C724" s="59"/>
      <c r="D724" s="59"/>
      <c r="E724" s="70"/>
      <c r="F724" s="164"/>
      <c r="G724" s="164"/>
      <c r="H724" s="164"/>
      <c r="I724" s="70"/>
      <c r="J724" s="70"/>
      <c r="K724" s="70"/>
      <c r="L724" s="70"/>
      <c r="M724" s="4">
        <f t="shared" si="517"/>
      </c>
      <c r="N724" s="59"/>
      <c r="O724" s="164"/>
      <c r="P724" s="59">
        <f t="shared" si="518"/>
      </c>
      <c r="Q724" s="165"/>
      <c r="R724" s="59"/>
      <c r="S724" s="164"/>
      <c r="T724" s="5">
        <f t="shared" si="519"/>
      </c>
      <c r="U724" s="4">
        <f t="shared" si="520"/>
      </c>
      <c r="V724" s="4">
        <f t="shared" si="521"/>
      </c>
      <c r="W724" s="4">
        <f t="shared" si="522"/>
      </c>
      <c r="X724" s="4">
        <f t="shared" si="523"/>
      </c>
      <c r="Y724" s="4" cm="1">
        <f t="array" ref="Y724">_xlfn.IFS(H724=1,2,H724=3,1)</f>
      </c>
      <c r="Z724" s="4">
        <f t="shared" si="524"/>
      </c>
      <c r="AA724" s="4">
        <f t="shared" si="525"/>
      </c>
      <c r="AB724" s="4">
        <f t="shared" si="526"/>
      </c>
      <c r="AC724" s="4">
        <f t="shared" si="527"/>
      </c>
      <c r="AD724" s="4">
        <f t="shared" si="528"/>
      </c>
      <c r="AE724" s="4">
        <f t="shared" si="529"/>
      </c>
      <c r="AF724" s="4">
        <f t="shared" si="530"/>
      </c>
      <c r="AG724" s="4">
        <f t="shared" si="531"/>
        <v/>
      </c>
      <c r="AH724" s="4">
        <f t="shared" si="532"/>
      </c>
      <c r="AI724" s="4">
        <f t="shared" si="533"/>
      </c>
      <c r="AJ724" s="4">
        <f t="shared" si="534"/>
      </c>
      <c r="AK724" s="4">
        <f t="shared" si="535"/>
      </c>
      <c r="AL724" s="4">
        <f t="shared" si="536"/>
      </c>
      <c r="AM724" s="4">
        <f t="shared" si="537"/>
      </c>
      <c r="AN724" s="4"/>
      <c r="AO724" s="4">
        <f t="shared" si="538"/>
      </c>
      <c r="AP724" s="4">
        <f t="shared" si="539"/>
      </c>
      <c r="AQ724" s="4">
        <f t="shared" si="540"/>
        <v/>
      </c>
      <c r="AR724" s="4">
        <f t="shared" si="541"/>
      </c>
      <c r="AS724" s="4">
        <f t="shared" si="542"/>
      </c>
      <c r="AT724" s="4">
        <f t="shared" si="543"/>
      </c>
    </row>
    <row r="725" spans="1:46" x14ac:dyDescent="0.3">
      <c r="A725" s="5">
        <f t="shared" si="515"/>
      </c>
      <c r="B725" s="4">
        <f t="shared" si="516"/>
      </c>
      <c r="C725" s="59"/>
      <c r="D725" s="59"/>
      <c r="E725" s="70"/>
      <c r="F725" s="164"/>
      <c r="G725" s="164"/>
      <c r="H725" s="164"/>
      <c r="I725" s="70"/>
      <c r="J725" s="70"/>
      <c r="K725" s="70"/>
      <c r="L725" s="70"/>
      <c r="M725" s="4">
        <f t="shared" si="517"/>
      </c>
      <c r="N725" s="59"/>
      <c r="O725" s="164"/>
      <c r="P725" s="59">
        <f t="shared" si="518"/>
      </c>
      <c r="Q725" s="165"/>
      <c r="R725" s="59"/>
      <c r="S725" s="164"/>
      <c r="T725" s="5">
        <f t="shared" si="519"/>
      </c>
      <c r="U725" s="4">
        <f t="shared" si="520"/>
      </c>
      <c r="V725" s="4">
        <f t="shared" si="521"/>
      </c>
      <c r="W725" s="4">
        <f t="shared" si="522"/>
      </c>
      <c r="X725" s="4">
        <f t="shared" si="523"/>
      </c>
      <c r="Y725" s="4" cm="1">
        <f t="array" ref="Y725">_xlfn.IFS(H725=1,2,H725=3,1)</f>
      </c>
      <c r="Z725" s="4">
        <f t="shared" si="524"/>
      </c>
      <c r="AA725" s="4">
        <f t="shared" si="525"/>
      </c>
      <c r="AB725" s="4">
        <f t="shared" si="526"/>
      </c>
      <c r="AC725" s="4">
        <f t="shared" si="527"/>
      </c>
      <c r="AD725" s="4">
        <f t="shared" si="528"/>
      </c>
      <c r="AE725" s="4">
        <f t="shared" si="529"/>
      </c>
      <c r="AF725" s="4">
        <f t="shared" si="530"/>
      </c>
      <c r="AG725" s="4">
        <f t="shared" si="531"/>
        <v/>
      </c>
      <c r="AH725" s="4">
        <f t="shared" si="532"/>
      </c>
      <c r="AI725" s="4">
        <f t="shared" si="533"/>
      </c>
      <c r="AJ725" s="4">
        <f t="shared" si="534"/>
      </c>
      <c r="AK725" s="4">
        <f t="shared" si="535"/>
      </c>
      <c r="AL725" s="4">
        <f t="shared" si="536"/>
      </c>
      <c r="AM725" s="4">
        <f t="shared" si="537"/>
      </c>
      <c r="AN725" s="4"/>
      <c r="AO725" s="4">
        <f t="shared" si="538"/>
      </c>
      <c r="AP725" s="4">
        <f t="shared" si="539"/>
      </c>
      <c r="AQ725" s="4">
        <f t="shared" si="540"/>
        <v/>
      </c>
      <c r="AR725" s="4">
        <f t="shared" si="541"/>
      </c>
      <c r="AS725" s="4">
        <f t="shared" si="542"/>
      </c>
      <c r="AT725" s="4">
        <f t="shared" si="543"/>
      </c>
    </row>
    <row r="726" spans="1:46" x14ac:dyDescent="0.3">
      <c r="A726" s="5">
        <f t="shared" si="515"/>
      </c>
      <c r="B726" s="4">
        <f t="shared" si="516"/>
      </c>
      <c r="C726" s="59"/>
      <c r="D726" s="59"/>
      <c r="E726" s="70"/>
      <c r="F726" s="164"/>
      <c r="G726" s="164"/>
      <c r="H726" s="164"/>
      <c r="I726" s="70"/>
      <c r="J726" s="70"/>
      <c r="K726" s="70"/>
      <c r="L726" s="70"/>
      <c r="M726" s="4">
        <f t="shared" si="517"/>
      </c>
      <c r="N726" s="59"/>
      <c r="O726" s="164"/>
      <c r="P726" s="59">
        <f t="shared" si="518"/>
      </c>
      <c r="Q726" s="165"/>
      <c r="R726" s="59"/>
      <c r="S726" s="164"/>
      <c r="T726" s="5">
        <f t="shared" si="519"/>
      </c>
      <c r="U726" s="4">
        <f t="shared" si="520"/>
      </c>
      <c r="V726" s="4">
        <f t="shared" si="521"/>
      </c>
      <c r="W726" s="4">
        <f t="shared" si="522"/>
      </c>
      <c r="X726" s="4">
        <f t="shared" si="523"/>
      </c>
      <c r="Y726" s="4" cm="1">
        <f t="array" ref="Y726">_xlfn.IFS(H726=1,2,H726=3,1)</f>
      </c>
      <c r="Z726" s="4">
        <f t="shared" si="524"/>
      </c>
      <c r="AA726" s="4">
        <f t="shared" si="525"/>
      </c>
      <c r="AB726" s="4">
        <f t="shared" si="526"/>
      </c>
      <c r="AC726" s="4">
        <f t="shared" si="527"/>
      </c>
      <c r="AD726" s="4">
        <f t="shared" si="528"/>
      </c>
      <c r="AE726" s="4">
        <f t="shared" si="529"/>
      </c>
      <c r="AF726" s="4">
        <f t="shared" si="530"/>
      </c>
      <c r="AG726" s="4">
        <f t="shared" si="531"/>
        <v/>
      </c>
      <c r="AH726" s="4">
        <f t="shared" si="532"/>
      </c>
      <c r="AI726" s="4">
        <f t="shared" si="533"/>
      </c>
      <c r="AJ726" s="4">
        <f t="shared" si="534"/>
      </c>
      <c r="AK726" s="4">
        <f t="shared" si="535"/>
      </c>
      <c r="AL726" s="4">
        <f t="shared" si="536"/>
      </c>
      <c r="AM726" s="4">
        <f t="shared" si="537"/>
      </c>
      <c r="AN726" s="4"/>
      <c r="AO726" s="4">
        <f t="shared" si="538"/>
      </c>
      <c r="AP726" s="4">
        <f t="shared" si="539"/>
      </c>
      <c r="AQ726" s="4">
        <f t="shared" si="540"/>
        <v/>
      </c>
      <c r="AR726" s="4">
        <f t="shared" si="541"/>
      </c>
      <c r="AS726" s="4">
        <f t="shared" si="542"/>
      </c>
      <c r="AT726" s="4">
        <f t="shared" si="543"/>
      </c>
    </row>
    <row r="727" spans="1:46" x14ac:dyDescent="0.3">
      <c r="A727" s="5">
        <f t="shared" si="515"/>
      </c>
      <c r="B727" s="4">
        <f t="shared" si="516"/>
      </c>
      <c r="C727" s="59"/>
      <c r="D727" s="59"/>
      <c r="E727" s="70"/>
      <c r="F727" s="164"/>
      <c r="G727" s="164"/>
      <c r="H727" s="164"/>
      <c r="I727" s="70"/>
      <c r="J727" s="70"/>
      <c r="K727" s="70"/>
      <c r="L727" s="70"/>
      <c r="M727" s="4">
        <f t="shared" si="517"/>
      </c>
      <c r="N727" s="59"/>
      <c r="O727" s="164"/>
      <c r="P727" s="59">
        <f t="shared" si="518"/>
      </c>
      <c r="Q727" s="165"/>
      <c r="R727" s="59"/>
      <c r="S727" s="164"/>
      <c r="T727" s="5">
        <f t="shared" si="519"/>
      </c>
      <c r="U727" s="4">
        <f t="shared" si="520"/>
      </c>
      <c r="V727" s="4">
        <f t="shared" si="521"/>
      </c>
      <c r="W727" s="4">
        <f t="shared" si="522"/>
      </c>
      <c r="X727" s="4">
        <f t="shared" si="523"/>
      </c>
      <c r="Y727" s="4" cm="1">
        <f t="array" ref="Y727">_xlfn.IFS(H727=1,2,H727=3,1)</f>
      </c>
      <c r="Z727" s="4">
        <f t="shared" si="524"/>
      </c>
      <c r="AA727" s="4">
        <f t="shared" si="525"/>
      </c>
      <c r="AB727" s="4">
        <f t="shared" si="526"/>
      </c>
      <c r="AC727" s="4">
        <f t="shared" si="527"/>
      </c>
      <c r="AD727" s="4">
        <f t="shared" si="528"/>
      </c>
      <c r="AE727" s="4">
        <f t="shared" si="529"/>
      </c>
      <c r="AF727" s="4">
        <f t="shared" si="530"/>
      </c>
      <c r="AG727" s="4">
        <f t="shared" si="531"/>
        <v/>
      </c>
      <c r="AH727" s="4">
        <f t="shared" si="532"/>
      </c>
      <c r="AI727" s="4">
        <f t="shared" si="533"/>
      </c>
      <c r="AJ727" s="4">
        <f t="shared" si="534"/>
      </c>
      <c r="AK727" s="4">
        <f t="shared" si="535"/>
      </c>
      <c r="AL727" s="4">
        <f t="shared" si="536"/>
      </c>
      <c r="AM727" s="4">
        <f t="shared" si="537"/>
      </c>
      <c r="AN727" s="4"/>
      <c r="AO727" s="4">
        <f t="shared" si="538"/>
      </c>
      <c r="AP727" s="4">
        <f t="shared" si="539"/>
      </c>
      <c r="AQ727" s="4">
        <f t="shared" si="540"/>
        <v/>
      </c>
      <c r="AR727" s="4">
        <f t="shared" si="541"/>
      </c>
      <c r="AS727" s="4">
        <f t="shared" si="542"/>
      </c>
      <c r="AT727" s="4">
        <f t="shared" si="543"/>
      </c>
    </row>
    <row r="728" spans="1:46" x14ac:dyDescent="0.3">
      <c r="A728" s="5">
        <f t="shared" si="515"/>
      </c>
      <c r="B728" s="4">
        <f t="shared" si="516"/>
      </c>
      <c r="C728" s="59"/>
      <c r="D728" s="59"/>
      <c r="E728" s="70"/>
      <c r="F728" s="164"/>
      <c r="G728" s="164"/>
      <c r="H728" s="164"/>
      <c r="I728" s="70"/>
      <c r="J728" s="70"/>
      <c r="K728" s="70"/>
      <c r="L728" s="70"/>
      <c r="M728" s="4">
        <f t="shared" si="517"/>
      </c>
      <c r="N728" s="59"/>
      <c r="O728" s="164"/>
      <c r="P728" s="59">
        <f t="shared" si="518"/>
      </c>
      <c r="Q728" s="165"/>
      <c r="R728" s="59"/>
      <c r="S728" s="164"/>
      <c r="T728" s="5">
        <f t="shared" si="519"/>
      </c>
      <c r="U728" s="4">
        <f t="shared" si="520"/>
      </c>
      <c r="V728" s="4">
        <f t="shared" si="521"/>
      </c>
      <c r="W728" s="4">
        <f t="shared" si="522"/>
      </c>
      <c r="X728" s="4">
        <f t="shared" si="523"/>
      </c>
      <c r="Y728" s="4" cm="1">
        <f t="array" ref="Y728">_xlfn.IFS(H728=1,2,H728=3,1)</f>
      </c>
      <c r="Z728" s="4">
        <f t="shared" si="524"/>
      </c>
      <c r="AA728" s="4">
        <f t="shared" si="525"/>
      </c>
      <c r="AB728" s="4">
        <f t="shared" si="526"/>
      </c>
      <c r="AC728" s="4">
        <f t="shared" si="527"/>
      </c>
      <c r="AD728" s="4">
        <f t="shared" si="528"/>
      </c>
      <c r="AE728" s="4">
        <f t="shared" si="529"/>
      </c>
      <c r="AF728" s="4">
        <f t="shared" si="530"/>
      </c>
      <c r="AG728" s="4">
        <f t="shared" si="531"/>
        <v/>
      </c>
      <c r="AH728" s="4">
        <f t="shared" si="532"/>
      </c>
      <c r="AI728" s="4">
        <f t="shared" si="533"/>
      </c>
      <c r="AJ728" s="4">
        <f t="shared" si="534"/>
      </c>
      <c r="AK728" s="4">
        <f t="shared" si="535"/>
      </c>
      <c r="AL728" s="4">
        <f t="shared" si="536"/>
      </c>
      <c r="AM728" s="4">
        <f t="shared" si="537"/>
      </c>
      <c r="AN728" s="4"/>
      <c r="AO728" s="4">
        <f t="shared" si="538"/>
      </c>
      <c r="AP728" s="4">
        <f t="shared" si="539"/>
      </c>
      <c r="AQ728" s="4">
        <f t="shared" si="540"/>
        <v/>
      </c>
      <c r="AR728" s="4">
        <f t="shared" si="541"/>
      </c>
      <c r="AS728" s="4">
        <f t="shared" si="542"/>
      </c>
      <c r="AT728" s="4">
        <f t="shared" si="543"/>
      </c>
    </row>
    <row r="729" spans="1:46" x14ac:dyDescent="0.3">
      <c r="A729" s="5">
        <f t="shared" si="515"/>
      </c>
      <c r="B729" s="4">
        <f t="shared" si="516"/>
      </c>
      <c r="C729" s="59"/>
      <c r="D729" s="59"/>
      <c r="E729" s="70"/>
      <c r="F729" s="164"/>
      <c r="G729" s="164"/>
      <c r="H729" s="164"/>
      <c r="I729" s="70"/>
      <c r="J729" s="70"/>
      <c r="K729" s="70"/>
      <c r="L729" s="70"/>
      <c r="M729" s="4">
        <f t="shared" si="517"/>
      </c>
      <c r="N729" s="59"/>
      <c r="O729" s="164"/>
      <c r="P729" s="59">
        <f t="shared" si="518"/>
      </c>
      <c r="Q729" s="165"/>
      <c r="R729" s="59"/>
      <c r="S729" s="164"/>
      <c r="T729" s="5">
        <f t="shared" si="519"/>
      </c>
      <c r="U729" s="4">
        <f t="shared" si="520"/>
      </c>
      <c r="V729" s="4">
        <f t="shared" si="521"/>
      </c>
      <c r="W729" s="4">
        <f t="shared" si="522"/>
      </c>
      <c r="X729" s="4">
        <f t="shared" si="523"/>
      </c>
      <c r="Y729" s="4" cm="1">
        <f t="array" ref="Y729">_xlfn.IFS(H729=1,2,H729=3,1)</f>
      </c>
      <c r="Z729" s="4">
        <f t="shared" si="524"/>
      </c>
      <c r="AA729" s="4">
        <f t="shared" si="525"/>
      </c>
      <c r="AB729" s="4">
        <f t="shared" si="526"/>
      </c>
      <c r="AC729" s="4">
        <f t="shared" si="527"/>
      </c>
      <c r="AD729" s="4">
        <f t="shared" si="528"/>
      </c>
      <c r="AE729" s="4">
        <f t="shared" si="529"/>
      </c>
      <c r="AF729" s="4">
        <f t="shared" si="530"/>
      </c>
      <c r="AG729" s="4">
        <f t="shared" si="531"/>
        <v/>
      </c>
      <c r="AH729" s="4">
        <f t="shared" si="532"/>
      </c>
      <c r="AI729" s="4">
        <f t="shared" si="533"/>
      </c>
      <c r="AJ729" s="4">
        <f t="shared" si="534"/>
      </c>
      <c r="AK729" s="4">
        <f t="shared" si="535"/>
      </c>
      <c r="AL729" s="4">
        <f t="shared" si="536"/>
      </c>
      <c r="AM729" s="4">
        <f t="shared" si="537"/>
      </c>
      <c r="AN729" s="4"/>
      <c r="AO729" s="4">
        <f t="shared" si="538"/>
      </c>
      <c r="AP729" s="4">
        <f t="shared" si="539"/>
      </c>
      <c r="AQ729" s="4">
        <f t="shared" si="540"/>
        <v/>
      </c>
      <c r="AR729" s="4">
        <f t="shared" si="541"/>
      </c>
      <c r="AS729" s="4">
        <f t="shared" si="542"/>
      </c>
      <c r="AT729" s="4">
        <f t="shared" si="543"/>
      </c>
    </row>
    <row r="730" spans="1:46" x14ac:dyDescent="0.3">
      <c r="A730" s="5">
        <f t="shared" si="515"/>
      </c>
      <c r="B730" s="4">
        <f t="shared" si="516"/>
      </c>
      <c r="C730" s="59"/>
      <c r="D730" s="59"/>
      <c r="E730" s="70"/>
      <c r="F730" s="164"/>
      <c r="G730" s="164"/>
      <c r="H730" s="164"/>
      <c r="I730" s="70"/>
      <c r="J730" s="70"/>
      <c r="K730" s="70"/>
      <c r="L730" s="70"/>
      <c r="M730" s="4">
        <f t="shared" si="517"/>
      </c>
      <c r="N730" s="59"/>
      <c r="O730" s="164"/>
      <c r="P730" s="59">
        <f t="shared" si="518"/>
      </c>
      <c r="Q730" s="165"/>
      <c r="R730" s="59"/>
      <c r="S730" s="164"/>
      <c r="T730" s="5">
        <f t="shared" si="519"/>
      </c>
      <c r="U730" s="4">
        <f t="shared" si="520"/>
      </c>
      <c r="V730" s="4">
        <f t="shared" si="521"/>
      </c>
      <c r="W730" s="4">
        <f t="shared" si="522"/>
      </c>
      <c r="X730" s="4">
        <f t="shared" si="523"/>
      </c>
      <c r="Y730" s="4" cm="1">
        <f t="array" ref="Y730">_xlfn.IFS(H730=1,2,H730=3,1)</f>
      </c>
      <c r="Z730" s="4">
        <f t="shared" si="524"/>
      </c>
      <c r="AA730" s="4">
        <f t="shared" si="525"/>
      </c>
      <c r="AB730" s="4">
        <f t="shared" si="526"/>
      </c>
      <c r="AC730" s="4">
        <f t="shared" si="527"/>
      </c>
      <c r="AD730" s="4">
        <f t="shared" si="528"/>
      </c>
      <c r="AE730" s="4">
        <f t="shared" si="529"/>
      </c>
      <c r="AF730" s="4">
        <f t="shared" si="530"/>
      </c>
      <c r="AG730" s="4">
        <f t="shared" si="531"/>
        <v/>
      </c>
      <c r="AH730" s="4">
        <f t="shared" si="532"/>
      </c>
      <c r="AI730" s="4">
        <f t="shared" si="533"/>
      </c>
      <c r="AJ730" s="4">
        <f t="shared" si="534"/>
      </c>
      <c r="AK730" s="4">
        <f t="shared" si="535"/>
      </c>
      <c r="AL730" s="4">
        <f t="shared" si="536"/>
      </c>
      <c r="AM730" s="4">
        <f t="shared" si="537"/>
      </c>
      <c r="AN730" s="4"/>
      <c r="AO730" s="4">
        <f t="shared" si="538"/>
      </c>
      <c r="AP730" s="4">
        <f t="shared" si="539"/>
      </c>
      <c r="AQ730" s="4">
        <f t="shared" si="540"/>
        <v/>
      </c>
      <c r="AR730" s="4">
        <f t="shared" si="541"/>
      </c>
      <c r="AS730" s="4">
        <f t="shared" si="542"/>
      </c>
      <c r="AT730" s="4">
        <f t="shared" si="543"/>
      </c>
    </row>
    <row r="731" spans="1:46" x14ac:dyDescent="0.3">
      <c r="A731" s="5">
        <f t="shared" si="515"/>
      </c>
      <c r="B731" s="4">
        <f t="shared" si="516"/>
      </c>
      <c r="C731" s="59"/>
      <c r="D731" s="59"/>
      <c r="E731" s="70"/>
      <c r="F731" s="164"/>
      <c r="G731" s="164"/>
      <c r="H731" s="164"/>
      <c r="I731" s="70"/>
      <c r="J731" s="70"/>
      <c r="K731" s="70"/>
      <c r="L731" s="70"/>
      <c r="M731" s="4">
        <f t="shared" si="517"/>
      </c>
      <c r="N731" s="59"/>
      <c r="O731" s="164"/>
      <c r="P731" s="59">
        <f t="shared" si="518"/>
      </c>
      <c r="Q731" s="165"/>
      <c r="R731" s="59"/>
      <c r="S731" s="164"/>
      <c r="T731" s="5">
        <f t="shared" si="519"/>
      </c>
      <c r="U731" s="4">
        <f t="shared" si="520"/>
      </c>
      <c r="V731" s="4">
        <f t="shared" si="521"/>
      </c>
      <c r="W731" s="4">
        <f t="shared" si="522"/>
      </c>
      <c r="X731" s="4">
        <f t="shared" si="523"/>
      </c>
      <c r="Y731" s="4" cm="1">
        <f t="array" ref="Y731">_xlfn.IFS(H731=1,2,H731=3,1)</f>
      </c>
      <c r="Z731" s="4">
        <f t="shared" si="524"/>
      </c>
      <c r="AA731" s="4">
        <f t="shared" si="525"/>
      </c>
      <c r="AB731" s="4">
        <f t="shared" si="526"/>
      </c>
      <c r="AC731" s="4">
        <f t="shared" si="527"/>
      </c>
      <c r="AD731" s="4">
        <f t="shared" si="528"/>
      </c>
      <c r="AE731" s="4">
        <f t="shared" si="529"/>
      </c>
      <c r="AF731" s="4">
        <f t="shared" si="530"/>
      </c>
      <c r="AG731" s="4">
        <f t="shared" si="531"/>
        <v/>
      </c>
      <c r="AH731" s="4">
        <f t="shared" si="532"/>
      </c>
      <c r="AI731" s="4">
        <f t="shared" si="533"/>
      </c>
      <c r="AJ731" s="4">
        <f t="shared" si="534"/>
      </c>
      <c r="AK731" s="4">
        <f t="shared" si="535"/>
      </c>
      <c r="AL731" s="4">
        <f t="shared" si="536"/>
      </c>
      <c r="AM731" s="4">
        <f t="shared" si="537"/>
      </c>
      <c r="AN731" s="4"/>
      <c r="AO731" s="4">
        <f t="shared" si="538"/>
      </c>
      <c r="AP731" s="4">
        <f t="shared" si="539"/>
      </c>
      <c r="AQ731" s="4">
        <f t="shared" si="540"/>
        <v/>
      </c>
      <c r="AR731" s="4">
        <f t="shared" si="541"/>
      </c>
      <c r="AS731" s="4">
        <f t="shared" si="542"/>
      </c>
      <c r="AT731" s="4">
        <f t="shared" si="543"/>
      </c>
    </row>
    <row r="732" spans="1:46" x14ac:dyDescent="0.3">
      <c r="A732" s="5">
        <f t="shared" si="515"/>
      </c>
      <c r="B732" s="4">
        <f t="shared" si="516"/>
      </c>
      <c r="C732" s="59"/>
      <c r="D732" s="59"/>
      <c r="E732" s="70"/>
      <c r="F732" s="164"/>
      <c r="G732" s="164"/>
      <c r="H732" s="164"/>
      <c r="I732" s="70"/>
      <c r="J732" s="70"/>
      <c r="K732" s="70"/>
      <c r="L732" s="70"/>
      <c r="M732" s="4">
        <f t="shared" si="517"/>
      </c>
      <c r="N732" s="59"/>
      <c r="O732" s="164"/>
      <c r="P732" s="59">
        <f t="shared" si="518"/>
      </c>
      <c r="Q732" s="165"/>
      <c r="R732" s="59"/>
      <c r="S732" s="164"/>
      <c r="T732" s="5">
        <f t="shared" si="519"/>
      </c>
      <c r="U732" s="4">
        <f t="shared" si="520"/>
      </c>
      <c r="V732" s="4">
        <f t="shared" si="521"/>
      </c>
      <c r="W732" s="4">
        <f t="shared" si="522"/>
      </c>
      <c r="X732" s="4">
        <f t="shared" si="523"/>
      </c>
      <c r="Y732" s="4" cm="1">
        <f t="array" ref="Y732">_xlfn.IFS(H732=1,2,H732=3,1)</f>
      </c>
      <c r="Z732" s="4">
        <f t="shared" si="524"/>
      </c>
      <c r="AA732" s="4">
        <f t="shared" si="525"/>
      </c>
      <c r="AB732" s="4">
        <f t="shared" si="526"/>
      </c>
      <c r="AC732" s="4">
        <f t="shared" si="527"/>
      </c>
      <c r="AD732" s="4">
        <f t="shared" si="528"/>
      </c>
      <c r="AE732" s="4">
        <f t="shared" si="529"/>
      </c>
      <c r="AF732" s="4">
        <f t="shared" si="530"/>
      </c>
      <c r="AG732" s="4">
        <f t="shared" si="531"/>
        <v/>
      </c>
      <c r="AH732" s="4">
        <f t="shared" si="532"/>
      </c>
      <c r="AI732" s="4">
        <f t="shared" si="533"/>
      </c>
      <c r="AJ732" s="4">
        <f t="shared" si="534"/>
      </c>
      <c r="AK732" s="4">
        <f t="shared" si="535"/>
      </c>
      <c r="AL732" s="4">
        <f t="shared" si="536"/>
      </c>
      <c r="AM732" s="4">
        <f t="shared" si="537"/>
      </c>
      <c r="AN732" s="4"/>
      <c r="AO732" s="4">
        <f t="shared" si="538"/>
      </c>
      <c r="AP732" s="4">
        <f t="shared" si="539"/>
      </c>
      <c r="AQ732" s="4">
        <f t="shared" si="540"/>
        <v/>
      </c>
      <c r="AR732" s="4">
        <f t="shared" si="541"/>
      </c>
      <c r="AS732" s="4">
        <f t="shared" si="542"/>
      </c>
      <c r="AT732" s="4">
        <f t="shared" si="543"/>
      </c>
    </row>
    <row r="733" spans="1:46" x14ac:dyDescent="0.3">
      <c r="A733" s="5">
        <f t="shared" si="515"/>
      </c>
      <c r="B733" s="4">
        <f t="shared" si="516"/>
      </c>
      <c r="C733" s="59"/>
      <c r="D733" s="59"/>
      <c r="E733" s="70"/>
      <c r="F733" s="164"/>
      <c r="G733" s="164"/>
      <c r="H733" s="164"/>
      <c r="I733" s="70"/>
      <c r="J733" s="70"/>
      <c r="K733" s="70"/>
      <c r="L733" s="70"/>
      <c r="M733" s="4">
        <f t="shared" si="517"/>
      </c>
      <c r="N733" s="59"/>
      <c r="O733" s="164"/>
      <c r="P733" s="59">
        <f t="shared" si="518"/>
      </c>
      <c r="Q733" s="165"/>
      <c r="R733" s="59"/>
      <c r="S733" s="164"/>
      <c r="T733" s="5">
        <f t="shared" si="519"/>
      </c>
      <c r="U733" s="4">
        <f t="shared" si="520"/>
      </c>
      <c r="V733" s="4">
        <f t="shared" si="521"/>
      </c>
      <c r="W733" s="4">
        <f t="shared" si="522"/>
      </c>
      <c r="X733" s="4">
        <f t="shared" si="523"/>
      </c>
      <c r="Y733" s="4" cm="1">
        <f t="array" ref="Y733">_xlfn.IFS(H733=1,2,H733=3,1)</f>
      </c>
      <c r="Z733" s="4">
        <f t="shared" si="524"/>
      </c>
      <c r="AA733" s="4">
        <f t="shared" si="525"/>
      </c>
      <c r="AB733" s="4">
        <f t="shared" si="526"/>
      </c>
      <c r="AC733" s="4">
        <f t="shared" si="527"/>
      </c>
      <c r="AD733" s="4">
        <f t="shared" si="528"/>
      </c>
      <c r="AE733" s="4">
        <f t="shared" si="529"/>
      </c>
      <c r="AF733" s="4">
        <f t="shared" si="530"/>
      </c>
      <c r="AG733" s="4">
        <f t="shared" si="531"/>
        <v/>
      </c>
      <c r="AH733" s="4">
        <f t="shared" si="532"/>
      </c>
      <c r="AI733" s="4">
        <f t="shared" si="533"/>
      </c>
      <c r="AJ733" s="4">
        <f t="shared" si="534"/>
      </c>
      <c r="AK733" s="4">
        <f t="shared" si="535"/>
      </c>
      <c r="AL733" s="4">
        <f t="shared" si="536"/>
      </c>
      <c r="AM733" s="4">
        <f t="shared" si="537"/>
      </c>
      <c r="AN733" s="4"/>
      <c r="AO733" s="4">
        <f t="shared" si="538"/>
      </c>
      <c r="AP733" s="4">
        <f t="shared" si="539"/>
      </c>
      <c r="AQ733" s="4">
        <f t="shared" si="540"/>
        <v/>
      </c>
      <c r="AR733" s="4">
        <f t="shared" si="541"/>
      </c>
      <c r="AS733" s="4">
        <f t="shared" si="542"/>
      </c>
      <c r="AT733" s="4">
        <f t="shared" si="543"/>
      </c>
    </row>
    <row r="734" spans="1:46" x14ac:dyDescent="0.3">
      <c r="A734" s="5">
        <f t="shared" si="515"/>
      </c>
      <c r="B734" s="4">
        <f t="shared" si="516"/>
      </c>
      <c r="C734" s="59"/>
      <c r="D734" s="59"/>
      <c r="E734" s="70"/>
      <c r="F734" s="164"/>
      <c r="G734" s="164"/>
      <c r="H734" s="164"/>
      <c r="I734" s="70"/>
      <c r="J734" s="70"/>
      <c r="K734" s="70"/>
      <c r="L734" s="70"/>
      <c r="M734" s="4">
        <f t="shared" si="517"/>
      </c>
      <c r="N734" s="59"/>
      <c r="O734" s="164"/>
      <c r="P734" s="59">
        <f t="shared" si="518"/>
      </c>
      <c r="Q734" s="165"/>
      <c r="R734" s="59"/>
      <c r="S734" s="164"/>
      <c r="T734" s="5">
        <f t="shared" si="519"/>
      </c>
      <c r="U734" s="4">
        <f t="shared" si="520"/>
      </c>
      <c r="V734" s="4">
        <f t="shared" si="521"/>
      </c>
      <c r="W734" s="4">
        <f t="shared" si="522"/>
      </c>
      <c r="X734" s="4">
        <f t="shared" si="523"/>
      </c>
      <c r="Y734" s="4" cm="1">
        <f t="array" ref="Y734">_xlfn.IFS(H734=1,2,H734=3,1)</f>
      </c>
      <c r="Z734" s="4">
        <f t="shared" si="524"/>
      </c>
      <c r="AA734" s="4">
        <f t="shared" si="525"/>
      </c>
      <c r="AB734" s="4">
        <f t="shared" si="526"/>
      </c>
      <c r="AC734" s="4">
        <f t="shared" si="527"/>
      </c>
      <c r="AD734" s="4">
        <f t="shared" si="528"/>
      </c>
      <c r="AE734" s="4">
        <f t="shared" si="529"/>
      </c>
      <c r="AF734" s="4">
        <f t="shared" si="530"/>
      </c>
      <c r="AG734" s="4">
        <f t="shared" si="531"/>
        <v/>
      </c>
      <c r="AH734" s="4">
        <f t="shared" si="532"/>
      </c>
      <c r="AI734" s="4">
        <f t="shared" si="533"/>
      </c>
      <c r="AJ734" s="4">
        <f t="shared" si="534"/>
      </c>
      <c r="AK734" s="4">
        <f t="shared" si="535"/>
      </c>
      <c r="AL734" s="4">
        <f t="shared" si="536"/>
      </c>
      <c r="AM734" s="4">
        <f t="shared" si="537"/>
      </c>
      <c r="AN734" s="4"/>
      <c r="AO734" s="4">
        <f t="shared" si="538"/>
      </c>
      <c r="AP734" s="4">
        <f t="shared" si="539"/>
      </c>
      <c r="AQ734" s="4">
        <f t="shared" si="540"/>
        <v/>
      </c>
      <c r="AR734" s="4">
        <f t="shared" si="541"/>
      </c>
      <c r="AS734" s="4">
        <f t="shared" si="542"/>
      </c>
      <c r="AT734" s="4">
        <f t="shared" si="543"/>
      </c>
    </row>
    <row r="735" spans="1:46" x14ac:dyDescent="0.3">
      <c r="A735" s="5">
        <f t="shared" si="515"/>
      </c>
      <c r="B735" s="4">
        <f t="shared" si="516"/>
      </c>
      <c r="C735" s="59"/>
      <c r="D735" s="59"/>
      <c r="E735" s="70"/>
      <c r="F735" s="164"/>
      <c r="G735" s="164"/>
      <c r="H735" s="164"/>
      <c r="I735" s="70"/>
      <c r="J735" s="70"/>
      <c r="K735" s="70"/>
      <c r="L735" s="70"/>
      <c r="M735" s="4">
        <f t="shared" si="517"/>
      </c>
      <c r="N735" s="59"/>
      <c r="O735" s="164"/>
      <c r="P735" s="59">
        <f t="shared" si="518"/>
      </c>
      <c r="Q735" s="165"/>
      <c r="R735" s="59"/>
      <c r="S735" s="164"/>
      <c r="T735" s="5">
        <f t="shared" si="519"/>
      </c>
      <c r="U735" s="4">
        <f t="shared" si="520"/>
      </c>
      <c r="V735" s="4">
        <f t="shared" si="521"/>
      </c>
      <c r="W735" s="4">
        <f t="shared" si="522"/>
      </c>
      <c r="X735" s="4">
        <f t="shared" si="523"/>
      </c>
      <c r="Y735" s="4" cm="1">
        <f t="array" ref="Y735">_xlfn.IFS(H735=1,2,H735=3,1)</f>
      </c>
      <c r="Z735" s="4">
        <f t="shared" si="524"/>
      </c>
      <c r="AA735" s="4">
        <f t="shared" si="525"/>
      </c>
      <c r="AB735" s="4">
        <f t="shared" si="526"/>
      </c>
      <c r="AC735" s="4">
        <f t="shared" si="527"/>
      </c>
      <c r="AD735" s="4">
        <f t="shared" si="528"/>
      </c>
      <c r="AE735" s="4">
        <f t="shared" si="529"/>
      </c>
      <c r="AF735" s="4">
        <f t="shared" si="530"/>
      </c>
      <c r="AG735" s="4">
        <f t="shared" si="531"/>
        <v/>
      </c>
      <c r="AH735" s="4">
        <f t="shared" si="532"/>
      </c>
      <c r="AI735" s="4">
        <f t="shared" si="533"/>
      </c>
      <c r="AJ735" s="4">
        <f t="shared" si="534"/>
      </c>
      <c r="AK735" s="4">
        <f t="shared" si="535"/>
      </c>
      <c r="AL735" s="4">
        <f t="shared" si="536"/>
      </c>
      <c r="AM735" s="4">
        <f t="shared" si="537"/>
      </c>
      <c r="AN735" s="4"/>
      <c r="AO735" s="4">
        <f t="shared" si="538"/>
      </c>
      <c r="AP735" s="4">
        <f t="shared" si="539"/>
      </c>
      <c r="AQ735" s="4">
        <f t="shared" si="540"/>
        <v/>
      </c>
      <c r="AR735" s="4">
        <f t="shared" si="541"/>
      </c>
      <c r="AS735" s="4">
        <f t="shared" si="542"/>
      </c>
      <c r="AT735" s="4">
        <f t="shared" si="543"/>
      </c>
    </row>
    <row r="736" spans="1:46" x14ac:dyDescent="0.3">
      <c r="A736" s="5">
        <f t="shared" si="515"/>
      </c>
      <c r="B736" s="4">
        <f t="shared" si="516"/>
      </c>
      <c r="C736" s="59"/>
      <c r="D736" s="59"/>
      <c r="E736" s="70"/>
      <c r="F736" s="164"/>
      <c r="G736" s="164"/>
      <c r="H736" s="164"/>
      <c r="I736" s="70"/>
      <c r="J736" s="70"/>
      <c r="K736" s="70"/>
      <c r="L736" s="70"/>
      <c r="M736" s="4">
        <f t="shared" si="517"/>
      </c>
      <c r="N736" s="59"/>
      <c r="O736" s="164"/>
      <c r="P736" s="59">
        <f t="shared" si="518"/>
      </c>
      <c r="Q736" s="165"/>
      <c r="R736" s="59"/>
      <c r="S736" s="164"/>
      <c r="T736" s="5">
        <f t="shared" si="519"/>
      </c>
      <c r="U736" s="4">
        <f t="shared" si="520"/>
      </c>
      <c r="V736" s="4">
        <f t="shared" si="521"/>
      </c>
      <c r="W736" s="4">
        <f t="shared" si="522"/>
      </c>
      <c r="X736" s="4">
        <f t="shared" si="523"/>
      </c>
      <c r="Y736" s="4" cm="1">
        <f t="array" ref="Y736">_xlfn.IFS(H736=1,2,H736=3,1)</f>
      </c>
      <c r="Z736" s="4">
        <f t="shared" si="524"/>
      </c>
      <c r="AA736" s="4">
        <f t="shared" si="525"/>
      </c>
      <c r="AB736" s="4">
        <f t="shared" si="526"/>
      </c>
      <c r="AC736" s="4">
        <f t="shared" si="527"/>
      </c>
      <c r="AD736" s="4">
        <f t="shared" si="528"/>
      </c>
      <c r="AE736" s="4">
        <f t="shared" si="529"/>
      </c>
      <c r="AF736" s="4">
        <f t="shared" si="530"/>
      </c>
      <c r="AG736" s="4">
        <f t="shared" si="531"/>
        <v/>
      </c>
      <c r="AH736" s="4">
        <f t="shared" si="532"/>
      </c>
      <c r="AI736" s="4">
        <f t="shared" si="533"/>
      </c>
      <c r="AJ736" s="4">
        <f t="shared" si="534"/>
      </c>
      <c r="AK736" s="4">
        <f t="shared" si="535"/>
      </c>
      <c r="AL736" s="4">
        <f t="shared" si="536"/>
      </c>
      <c r="AM736" s="4">
        <f t="shared" si="537"/>
      </c>
      <c r="AN736" s="4"/>
      <c r="AO736" s="4">
        <f t="shared" si="538"/>
      </c>
      <c r="AP736" s="4">
        <f t="shared" si="539"/>
      </c>
      <c r="AQ736" s="4">
        <f t="shared" si="540"/>
        <v/>
      </c>
      <c r="AR736" s="4">
        <f t="shared" si="541"/>
      </c>
      <c r="AS736" s="4">
        <f t="shared" si="542"/>
      </c>
      <c r="AT736" s="4">
        <f t="shared" si="543"/>
      </c>
    </row>
    <row r="737" spans="1:46" x14ac:dyDescent="0.3">
      <c r="A737" s="5">
        <f t="shared" si="515"/>
      </c>
      <c r="B737" s="4">
        <f t="shared" si="516"/>
      </c>
      <c r="C737" s="59"/>
      <c r="D737" s="59"/>
      <c r="E737" s="70"/>
      <c r="F737" s="164"/>
      <c r="G737" s="164"/>
      <c r="H737" s="164"/>
      <c r="I737" s="70"/>
      <c r="J737" s="70"/>
      <c r="K737" s="70"/>
      <c r="L737" s="70"/>
      <c r="M737" s="4">
        <f t="shared" si="517"/>
      </c>
      <c r="N737" s="59"/>
      <c r="O737" s="164"/>
      <c r="P737" s="59">
        <f t="shared" si="518"/>
      </c>
      <c r="Q737" s="165"/>
      <c r="R737" s="59"/>
      <c r="S737" s="164"/>
      <c r="T737" s="5">
        <f t="shared" si="519"/>
      </c>
      <c r="U737" s="4">
        <f t="shared" si="520"/>
      </c>
      <c r="V737" s="4">
        <f t="shared" si="521"/>
      </c>
      <c r="W737" s="4">
        <f t="shared" si="522"/>
      </c>
      <c r="X737" s="4">
        <f t="shared" si="523"/>
      </c>
      <c r="Y737" s="4" cm="1">
        <f t="array" ref="Y737">_xlfn.IFS(H737=1,2,H737=3,1)</f>
      </c>
      <c r="Z737" s="4">
        <f t="shared" si="524"/>
      </c>
      <c r="AA737" s="4">
        <f t="shared" si="525"/>
      </c>
      <c r="AB737" s="4">
        <f t="shared" si="526"/>
      </c>
      <c r="AC737" s="4">
        <f t="shared" si="527"/>
      </c>
      <c r="AD737" s="4">
        <f t="shared" si="528"/>
      </c>
      <c r="AE737" s="4">
        <f t="shared" si="529"/>
      </c>
      <c r="AF737" s="4">
        <f t="shared" si="530"/>
      </c>
      <c r="AG737" s="4">
        <f t="shared" si="531"/>
        <v/>
      </c>
      <c r="AH737" s="4">
        <f t="shared" si="532"/>
      </c>
      <c r="AI737" s="4">
        <f t="shared" si="533"/>
      </c>
      <c r="AJ737" s="4">
        <f t="shared" si="534"/>
      </c>
      <c r="AK737" s="4">
        <f t="shared" si="535"/>
      </c>
      <c r="AL737" s="4">
        <f t="shared" si="536"/>
      </c>
      <c r="AM737" s="4">
        <f t="shared" si="537"/>
      </c>
      <c r="AN737" s="4"/>
      <c r="AO737" s="4">
        <f t="shared" si="538"/>
      </c>
      <c r="AP737" s="4">
        <f t="shared" si="539"/>
      </c>
      <c r="AQ737" s="4">
        <f t="shared" si="540"/>
        <v/>
      </c>
      <c r="AR737" s="4">
        <f t="shared" si="541"/>
      </c>
      <c r="AS737" s="4">
        <f t="shared" si="542"/>
      </c>
      <c r="AT737" s="4">
        <f t="shared" si="543"/>
      </c>
    </row>
    <row r="738" spans="1:46" x14ac:dyDescent="0.3">
      <c r="A738" s="5">
        <f t="shared" si="515"/>
      </c>
      <c r="B738" s="4">
        <f t="shared" si="516"/>
      </c>
      <c r="C738" s="59"/>
      <c r="D738" s="59"/>
      <c r="E738" s="70"/>
      <c r="F738" s="164"/>
      <c r="G738" s="164"/>
      <c r="H738" s="164"/>
      <c r="I738" s="70"/>
      <c r="J738" s="70"/>
      <c r="K738" s="70"/>
      <c r="L738" s="70"/>
      <c r="M738" s="4">
        <f t="shared" si="517"/>
      </c>
      <c r="N738" s="59"/>
      <c r="O738" s="164"/>
      <c r="P738" s="59">
        <f t="shared" si="518"/>
      </c>
      <c r="Q738" s="165"/>
      <c r="R738" s="59"/>
      <c r="S738" s="164"/>
      <c r="T738" s="5">
        <f t="shared" si="519"/>
      </c>
      <c r="U738" s="4">
        <f t="shared" si="520"/>
      </c>
      <c r="V738" s="4">
        <f t="shared" si="521"/>
      </c>
      <c r="W738" s="4">
        <f t="shared" si="522"/>
      </c>
      <c r="X738" s="4">
        <f t="shared" si="523"/>
      </c>
      <c r="Y738" s="4" cm="1">
        <f t="array" ref="Y738">_xlfn.IFS(H738=1,2,H738=3,1)</f>
      </c>
      <c r="Z738" s="4">
        <f t="shared" si="524"/>
      </c>
      <c r="AA738" s="4">
        <f t="shared" si="525"/>
      </c>
      <c r="AB738" s="4">
        <f t="shared" si="526"/>
      </c>
      <c r="AC738" s="4">
        <f t="shared" si="527"/>
      </c>
      <c r="AD738" s="4">
        <f t="shared" si="528"/>
      </c>
      <c r="AE738" s="4">
        <f t="shared" si="529"/>
      </c>
      <c r="AF738" s="4">
        <f t="shared" si="530"/>
      </c>
      <c r="AG738" s="4">
        <f t="shared" si="531"/>
        <v/>
      </c>
      <c r="AH738" s="4">
        <f t="shared" si="532"/>
      </c>
      <c r="AI738" s="4">
        <f t="shared" si="533"/>
      </c>
      <c r="AJ738" s="4">
        <f t="shared" si="534"/>
      </c>
      <c r="AK738" s="4">
        <f t="shared" si="535"/>
      </c>
      <c r="AL738" s="4">
        <f t="shared" si="536"/>
      </c>
      <c r="AM738" s="4">
        <f t="shared" si="537"/>
      </c>
      <c r="AN738" s="4"/>
      <c r="AO738" s="4">
        <f t="shared" si="538"/>
      </c>
      <c r="AP738" s="4">
        <f t="shared" si="539"/>
      </c>
      <c r="AQ738" s="4">
        <f t="shared" si="540"/>
        <v/>
      </c>
      <c r="AR738" s="4">
        <f t="shared" si="541"/>
      </c>
      <c r="AS738" s="4">
        <f t="shared" si="542"/>
      </c>
      <c r="AT738" s="4">
        <f t="shared" si="543"/>
      </c>
    </row>
    <row r="739" spans="1:46" x14ac:dyDescent="0.3">
      <c r="A739" s="5">
        <f t="shared" si="515"/>
      </c>
      <c r="B739" s="4">
        <f t="shared" si="516"/>
      </c>
      <c r="C739" s="59"/>
      <c r="D739" s="59"/>
      <c r="E739" s="70"/>
      <c r="F739" s="164"/>
      <c r="G739" s="164"/>
      <c r="H739" s="164"/>
      <c r="I739" s="70"/>
      <c r="J739" s="70"/>
      <c r="K739" s="70"/>
      <c r="L739" s="70"/>
      <c r="M739" s="4">
        <f t="shared" si="517"/>
      </c>
      <c r="N739" s="59"/>
      <c r="O739" s="164"/>
      <c r="P739" s="59">
        <f t="shared" si="518"/>
      </c>
      <c r="Q739" s="165"/>
      <c r="R739" s="59"/>
      <c r="S739" s="164"/>
      <c r="T739" s="5">
        <f t="shared" si="519"/>
      </c>
      <c r="U739" s="4">
        <f t="shared" si="520"/>
      </c>
      <c r="V739" s="4">
        <f t="shared" si="521"/>
      </c>
      <c r="W739" s="4">
        <f t="shared" si="522"/>
      </c>
      <c r="X739" s="4">
        <f t="shared" si="523"/>
      </c>
      <c r="Y739" s="4" cm="1">
        <f t="array" ref="Y739">_xlfn.IFS(H739=1,2,H739=3,1)</f>
      </c>
      <c r="Z739" s="4">
        <f t="shared" si="524"/>
      </c>
      <c r="AA739" s="4">
        <f t="shared" si="525"/>
      </c>
      <c r="AB739" s="4">
        <f t="shared" si="526"/>
      </c>
      <c r="AC739" s="4">
        <f t="shared" si="527"/>
      </c>
      <c r="AD739" s="4">
        <f t="shared" si="528"/>
      </c>
      <c r="AE739" s="4">
        <f t="shared" si="529"/>
      </c>
      <c r="AF739" s="4">
        <f t="shared" si="530"/>
      </c>
      <c r="AG739" s="4">
        <f t="shared" si="531"/>
        <v/>
      </c>
      <c r="AH739" s="4">
        <f t="shared" si="532"/>
      </c>
      <c r="AI739" s="4">
        <f t="shared" si="533"/>
      </c>
      <c r="AJ739" s="4">
        <f t="shared" si="534"/>
      </c>
      <c r="AK739" s="4">
        <f t="shared" si="535"/>
      </c>
      <c r="AL739" s="4">
        <f t="shared" si="536"/>
      </c>
      <c r="AM739" s="4">
        <f t="shared" si="537"/>
      </c>
      <c r="AN739" s="4"/>
      <c r="AO739" s="4">
        <f t="shared" si="538"/>
      </c>
      <c r="AP739" s="4">
        <f t="shared" si="539"/>
      </c>
      <c r="AQ739" s="4">
        <f t="shared" si="540"/>
        <v/>
      </c>
      <c r="AR739" s="4">
        <f t="shared" si="541"/>
      </c>
      <c r="AS739" s="4">
        <f t="shared" si="542"/>
      </c>
      <c r="AT739" s="4">
        <f t="shared" si="543"/>
      </c>
    </row>
    <row r="740" spans="1:46" x14ac:dyDescent="0.3">
      <c r="A740" s="5">
        <f t="shared" si="515"/>
      </c>
      <c r="B740" s="4">
        <f t="shared" si="516"/>
      </c>
      <c r="C740" s="59"/>
      <c r="D740" s="59"/>
      <c r="E740" s="70"/>
      <c r="F740" s="164"/>
      <c r="G740" s="164"/>
      <c r="H740" s="164"/>
      <c r="I740" s="70"/>
      <c r="J740" s="70"/>
      <c r="K740" s="70"/>
      <c r="L740" s="70"/>
      <c r="M740" s="4">
        <f t="shared" si="517"/>
      </c>
      <c r="N740" s="59"/>
      <c r="O740" s="164"/>
      <c r="P740" s="59">
        <f t="shared" si="518"/>
      </c>
      <c r="Q740" s="165"/>
      <c r="R740" s="59"/>
      <c r="S740" s="164"/>
      <c r="T740" s="5">
        <f t="shared" si="519"/>
      </c>
      <c r="U740" s="4">
        <f t="shared" si="520"/>
      </c>
      <c r="V740" s="4">
        <f t="shared" si="521"/>
      </c>
      <c r="W740" s="4">
        <f t="shared" si="522"/>
      </c>
      <c r="X740" s="4">
        <f t="shared" si="523"/>
      </c>
      <c r="Y740" s="4" cm="1">
        <f t="array" ref="Y740">_xlfn.IFS(H740=1,2,H740=3,1)</f>
      </c>
      <c r="Z740" s="4">
        <f t="shared" si="524"/>
      </c>
      <c r="AA740" s="4">
        <f t="shared" si="525"/>
      </c>
      <c r="AB740" s="4">
        <f t="shared" si="526"/>
      </c>
      <c r="AC740" s="4">
        <f t="shared" si="527"/>
      </c>
      <c r="AD740" s="4">
        <f t="shared" si="528"/>
      </c>
      <c r="AE740" s="4">
        <f t="shared" si="529"/>
      </c>
      <c r="AF740" s="4">
        <f t="shared" si="530"/>
      </c>
      <c r="AG740" s="4">
        <f t="shared" si="531"/>
        <v/>
      </c>
      <c r="AH740" s="4">
        <f t="shared" si="532"/>
      </c>
      <c r="AI740" s="4">
        <f t="shared" si="533"/>
      </c>
      <c r="AJ740" s="4">
        <f t="shared" si="534"/>
      </c>
      <c r="AK740" s="4">
        <f t="shared" si="535"/>
      </c>
      <c r="AL740" s="4">
        <f t="shared" si="536"/>
      </c>
      <c r="AM740" s="4">
        <f t="shared" si="537"/>
      </c>
      <c r="AN740" s="4"/>
      <c r="AO740" s="4">
        <f t="shared" si="538"/>
      </c>
      <c r="AP740" s="4">
        <f t="shared" si="539"/>
      </c>
      <c r="AQ740" s="4">
        <f t="shared" si="540"/>
        <v/>
      </c>
      <c r="AR740" s="4">
        <f t="shared" si="541"/>
      </c>
      <c r="AS740" s="4">
        <f t="shared" si="542"/>
      </c>
      <c r="AT740" s="4">
        <f t="shared" si="543"/>
      </c>
    </row>
    <row r="741" spans="1:46" x14ac:dyDescent="0.3">
      <c r="A741" s="5">
        <f t="shared" si="515"/>
      </c>
      <c r="B741" s="4">
        <f t="shared" si="516"/>
      </c>
      <c r="C741" s="59"/>
      <c r="D741" s="59"/>
      <c r="E741" s="70"/>
      <c r="F741" s="164"/>
      <c r="G741" s="164"/>
      <c r="H741" s="164"/>
      <c r="I741" s="70"/>
      <c r="J741" s="70"/>
      <c r="K741" s="70"/>
      <c r="L741" s="70"/>
      <c r="M741" s="4">
        <f t="shared" si="517"/>
      </c>
      <c r="N741" s="59"/>
      <c r="O741" s="164"/>
      <c r="P741" s="59">
        <f t="shared" si="518"/>
      </c>
      <c r="Q741" s="165"/>
      <c r="R741" s="59"/>
      <c r="S741" s="164"/>
      <c r="T741" s="5">
        <f t="shared" si="519"/>
      </c>
      <c r="U741" s="4">
        <f t="shared" si="520"/>
      </c>
      <c r="V741" s="4">
        <f t="shared" si="521"/>
      </c>
      <c r="W741" s="4">
        <f t="shared" si="522"/>
      </c>
      <c r="X741" s="4">
        <f t="shared" si="523"/>
      </c>
      <c r="Y741" s="4" cm="1">
        <f t="array" ref="Y741">_xlfn.IFS(H741=1,2,H741=3,1)</f>
      </c>
      <c r="Z741" s="4">
        <f t="shared" si="524"/>
      </c>
      <c r="AA741" s="4">
        <f t="shared" si="525"/>
      </c>
      <c r="AB741" s="4">
        <f t="shared" si="526"/>
      </c>
      <c r="AC741" s="4">
        <f t="shared" si="527"/>
      </c>
      <c r="AD741" s="4">
        <f t="shared" si="528"/>
      </c>
      <c r="AE741" s="4">
        <f t="shared" si="529"/>
      </c>
      <c r="AF741" s="4">
        <f t="shared" si="530"/>
      </c>
      <c r="AG741" s="4">
        <f t="shared" si="531"/>
        <v/>
      </c>
      <c r="AH741" s="4">
        <f t="shared" si="532"/>
      </c>
      <c r="AI741" s="4">
        <f t="shared" si="533"/>
      </c>
      <c r="AJ741" s="4">
        <f t="shared" si="534"/>
      </c>
      <c r="AK741" s="4">
        <f t="shared" si="535"/>
      </c>
      <c r="AL741" s="4">
        <f t="shared" si="536"/>
      </c>
      <c r="AM741" s="4">
        <f t="shared" si="537"/>
      </c>
      <c r="AN741" s="4"/>
      <c r="AO741" s="4">
        <f t="shared" si="538"/>
      </c>
      <c r="AP741" s="4">
        <f t="shared" si="539"/>
      </c>
      <c r="AQ741" s="4">
        <f t="shared" si="540"/>
        <v/>
      </c>
      <c r="AR741" s="4">
        <f t="shared" si="541"/>
      </c>
      <c r="AS741" s="4">
        <f t="shared" si="542"/>
      </c>
      <c r="AT741" s="4">
        <f t="shared" si="543"/>
      </c>
    </row>
    <row r="742" spans="1:46" x14ac:dyDescent="0.3">
      <c r="A742" s="5">
        <f t="shared" si="515"/>
      </c>
      <c r="B742" s="4">
        <f t="shared" si="516"/>
      </c>
      <c r="C742" s="59"/>
      <c r="D742" s="59"/>
      <c r="E742" s="70"/>
      <c r="F742" s="164"/>
      <c r="G742" s="164"/>
      <c r="H742" s="164"/>
      <c r="I742" s="70"/>
      <c r="J742" s="70"/>
      <c r="K742" s="70"/>
      <c r="L742" s="70"/>
      <c r="M742" s="4">
        <f t="shared" si="517"/>
      </c>
      <c r="N742" s="59"/>
      <c r="O742" s="164"/>
      <c r="P742" s="59">
        <f t="shared" si="518"/>
      </c>
      <c r="Q742" s="165"/>
      <c r="R742" s="59"/>
      <c r="S742" s="164"/>
      <c r="T742" s="5">
        <f t="shared" si="519"/>
      </c>
      <c r="U742" s="4">
        <f t="shared" si="520"/>
      </c>
      <c r="V742" s="4">
        <f t="shared" si="521"/>
      </c>
      <c r="W742" s="4">
        <f t="shared" si="522"/>
      </c>
      <c r="X742" s="4">
        <f t="shared" si="523"/>
      </c>
      <c r="Y742" s="4" cm="1">
        <f t="array" ref="Y742">_xlfn.IFS(H742=1,2,H742=3,1)</f>
      </c>
      <c r="Z742" s="4">
        <f t="shared" si="524"/>
      </c>
      <c r="AA742" s="4">
        <f t="shared" si="525"/>
      </c>
      <c r="AB742" s="4">
        <f t="shared" si="526"/>
      </c>
      <c r="AC742" s="4">
        <f t="shared" si="527"/>
      </c>
      <c r="AD742" s="4">
        <f t="shared" si="528"/>
      </c>
      <c r="AE742" s="4">
        <f t="shared" si="529"/>
      </c>
      <c r="AF742" s="4">
        <f t="shared" si="530"/>
      </c>
      <c r="AG742" s="4">
        <f t="shared" si="531"/>
        <v/>
      </c>
      <c r="AH742" s="4">
        <f t="shared" si="532"/>
      </c>
      <c r="AI742" s="4">
        <f t="shared" si="533"/>
      </c>
      <c r="AJ742" s="4">
        <f t="shared" si="534"/>
      </c>
      <c r="AK742" s="4">
        <f t="shared" si="535"/>
      </c>
      <c r="AL742" s="4">
        <f t="shared" si="536"/>
      </c>
      <c r="AM742" s="4">
        <f t="shared" si="537"/>
      </c>
      <c r="AN742" s="4"/>
      <c r="AO742" s="4">
        <f t="shared" si="538"/>
      </c>
      <c r="AP742" s="4">
        <f t="shared" si="539"/>
      </c>
      <c r="AQ742" s="4">
        <f t="shared" si="540"/>
        <v/>
      </c>
      <c r="AR742" s="4">
        <f t="shared" si="541"/>
      </c>
      <c r="AS742" s="4">
        <f t="shared" si="542"/>
      </c>
      <c r="AT742" s="4">
        <f t="shared" si="543"/>
      </c>
    </row>
    <row r="743" spans="1:46" x14ac:dyDescent="0.3">
      <c r="A743" s="5">
        <f t="shared" si="515"/>
      </c>
      <c r="B743" s="4">
        <f t="shared" si="516"/>
      </c>
      <c r="C743" s="59"/>
      <c r="D743" s="59"/>
      <c r="E743" s="70"/>
      <c r="F743" s="164"/>
      <c r="G743" s="164"/>
      <c r="H743" s="164"/>
      <c r="I743" s="70"/>
      <c r="J743" s="70"/>
      <c r="K743" s="70"/>
      <c r="L743" s="70"/>
      <c r="M743" s="4">
        <f t="shared" si="517"/>
      </c>
      <c r="N743" s="59"/>
      <c r="O743" s="164"/>
      <c r="P743" s="59">
        <f t="shared" si="518"/>
      </c>
      <c r="Q743" s="165"/>
      <c r="R743" s="59"/>
      <c r="S743" s="164"/>
      <c r="T743" s="5">
        <f t="shared" si="519"/>
      </c>
      <c r="U743" s="4">
        <f t="shared" si="520"/>
      </c>
      <c r="V743" s="4">
        <f t="shared" si="521"/>
      </c>
      <c r="W743" s="4">
        <f t="shared" si="522"/>
      </c>
      <c r="X743" s="4">
        <f t="shared" si="523"/>
      </c>
      <c r="Y743" s="4" cm="1">
        <f t="array" ref="Y743">_xlfn.IFS(H743=1,2,H743=3,1)</f>
      </c>
      <c r="Z743" s="4">
        <f t="shared" si="524"/>
      </c>
      <c r="AA743" s="4">
        <f t="shared" si="525"/>
      </c>
      <c r="AB743" s="4">
        <f t="shared" si="526"/>
      </c>
      <c r="AC743" s="4">
        <f t="shared" si="527"/>
      </c>
      <c r="AD743" s="4">
        <f t="shared" si="528"/>
      </c>
      <c r="AE743" s="4">
        <f t="shared" si="529"/>
      </c>
      <c r="AF743" s="4">
        <f t="shared" si="530"/>
      </c>
      <c r="AG743" s="4">
        <f t="shared" si="531"/>
        <v/>
      </c>
      <c r="AH743" s="4">
        <f t="shared" si="532"/>
      </c>
      <c r="AI743" s="4">
        <f t="shared" si="533"/>
      </c>
      <c r="AJ743" s="4">
        <f t="shared" si="534"/>
      </c>
      <c r="AK743" s="4">
        <f t="shared" si="535"/>
      </c>
      <c r="AL743" s="4">
        <f t="shared" si="536"/>
      </c>
      <c r="AM743" s="4">
        <f t="shared" si="537"/>
      </c>
      <c r="AN743" s="4"/>
      <c r="AO743" s="4">
        <f t="shared" si="538"/>
      </c>
      <c r="AP743" s="4">
        <f t="shared" si="539"/>
      </c>
      <c r="AQ743" s="4">
        <f t="shared" si="540"/>
        <v/>
      </c>
      <c r="AR743" s="4">
        <f t="shared" si="541"/>
      </c>
      <c r="AS743" s="4">
        <f t="shared" si="542"/>
      </c>
      <c r="AT743" s="4">
        <f t="shared" si="543"/>
      </c>
    </row>
    <row r="744" spans="1:46" x14ac:dyDescent="0.3">
      <c r="A744" s="5">
        <f t="shared" si="515"/>
      </c>
      <c r="B744" s="4">
        <f t="shared" si="516"/>
      </c>
      <c r="C744" s="59"/>
      <c r="D744" s="59"/>
      <c r="E744" s="70"/>
      <c r="F744" s="164"/>
      <c r="G744" s="164"/>
      <c r="H744" s="164"/>
      <c r="I744" s="70"/>
      <c r="J744" s="70"/>
      <c r="K744" s="70"/>
      <c r="L744" s="70"/>
      <c r="M744" s="4">
        <f t="shared" si="517"/>
      </c>
      <c r="N744" s="59"/>
      <c r="O744" s="164"/>
      <c r="P744" s="59">
        <f t="shared" si="518"/>
      </c>
      <c r="Q744" s="165"/>
      <c r="R744" s="59"/>
      <c r="S744" s="164"/>
      <c r="T744" s="5">
        <f t="shared" si="519"/>
      </c>
      <c r="U744" s="4">
        <f t="shared" si="520"/>
      </c>
      <c r="V744" s="4">
        <f t="shared" si="521"/>
      </c>
      <c r="W744" s="4">
        <f t="shared" si="522"/>
      </c>
      <c r="X744" s="4">
        <f t="shared" si="523"/>
      </c>
      <c r="Y744" s="4" cm="1">
        <f t="array" ref="Y744">_xlfn.IFS(H744=1,2,H744=3,1)</f>
      </c>
      <c r="Z744" s="4">
        <f t="shared" si="524"/>
      </c>
      <c r="AA744" s="4">
        <f t="shared" si="525"/>
      </c>
      <c r="AB744" s="4">
        <f t="shared" si="526"/>
      </c>
      <c r="AC744" s="4">
        <f t="shared" si="527"/>
      </c>
      <c r="AD744" s="4">
        <f t="shared" si="528"/>
      </c>
      <c r="AE744" s="4">
        <f t="shared" si="529"/>
      </c>
      <c r="AF744" s="4">
        <f t="shared" si="530"/>
      </c>
      <c r="AG744" s="4">
        <f t="shared" si="531"/>
        <v/>
      </c>
      <c r="AH744" s="4">
        <f t="shared" si="532"/>
      </c>
      <c r="AI744" s="4">
        <f t="shared" si="533"/>
      </c>
      <c r="AJ744" s="4">
        <f t="shared" si="534"/>
      </c>
      <c r="AK744" s="4">
        <f t="shared" si="535"/>
      </c>
      <c r="AL744" s="4">
        <f t="shared" si="536"/>
      </c>
      <c r="AM744" s="4">
        <f t="shared" si="537"/>
      </c>
      <c r="AN744" s="4"/>
      <c r="AO744" s="4">
        <f t="shared" si="538"/>
      </c>
      <c r="AP744" s="4">
        <f t="shared" si="539"/>
      </c>
      <c r="AQ744" s="4">
        <f t="shared" si="540"/>
        <v/>
      </c>
      <c r="AR744" s="4">
        <f t="shared" si="541"/>
      </c>
      <c r="AS744" s="4">
        <f t="shared" si="542"/>
      </c>
      <c r="AT744" s="4">
        <f t="shared" si="543"/>
      </c>
    </row>
    <row r="745" spans="1:46" x14ac:dyDescent="0.3">
      <c r="A745" s="5">
        <f t="shared" si="515"/>
      </c>
      <c r="B745" s="4">
        <f t="shared" si="516"/>
      </c>
      <c r="C745" s="59"/>
      <c r="D745" s="59"/>
      <c r="E745" s="70"/>
      <c r="F745" s="164"/>
      <c r="G745" s="164"/>
      <c r="H745" s="164"/>
      <c r="I745" s="70"/>
      <c r="J745" s="70"/>
      <c r="K745" s="70"/>
      <c r="L745" s="70"/>
      <c r="M745" s="4">
        <f t="shared" si="517"/>
      </c>
      <c r="N745" s="59"/>
      <c r="O745" s="164"/>
      <c r="P745" s="59">
        <f t="shared" si="518"/>
      </c>
      <c r="Q745" s="165"/>
      <c r="R745" s="59"/>
      <c r="S745" s="164"/>
      <c r="T745" s="5">
        <f t="shared" si="519"/>
      </c>
      <c r="U745" s="4">
        <f t="shared" si="520"/>
      </c>
      <c r="V745" s="4">
        <f t="shared" si="521"/>
      </c>
      <c r="W745" s="4">
        <f t="shared" si="522"/>
      </c>
      <c r="X745" s="4">
        <f t="shared" si="523"/>
      </c>
      <c r="Y745" s="4" cm="1">
        <f t="array" ref="Y745">_xlfn.IFS(H745=1,2,H745=3,1)</f>
      </c>
      <c r="Z745" s="4">
        <f t="shared" si="524"/>
      </c>
      <c r="AA745" s="4">
        <f t="shared" si="525"/>
      </c>
      <c r="AB745" s="4">
        <f t="shared" si="526"/>
      </c>
      <c r="AC745" s="4">
        <f t="shared" si="527"/>
      </c>
      <c r="AD745" s="4">
        <f t="shared" si="528"/>
      </c>
      <c r="AE745" s="4">
        <f t="shared" si="529"/>
      </c>
      <c r="AF745" s="4">
        <f t="shared" si="530"/>
      </c>
      <c r="AG745" s="4">
        <f t="shared" si="531"/>
        <v/>
      </c>
      <c r="AH745" s="4">
        <f t="shared" si="532"/>
      </c>
      <c r="AI745" s="4">
        <f t="shared" si="533"/>
      </c>
      <c r="AJ745" s="4">
        <f t="shared" si="534"/>
      </c>
      <c r="AK745" s="4">
        <f t="shared" si="535"/>
      </c>
      <c r="AL745" s="4">
        <f t="shared" si="536"/>
      </c>
      <c r="AM745" s="4">
        <f t="shared" si="537"/>
      </c>
      <c r="AN745" s="4"/>
      <c r="AO745" s="4">
        <f t="shared" si="538"/>
      </c>
      <c r="AP745" s="4">
        <f t="shared" si="539"/>
      </c>
      <c r="AQ745" s="4">
        <f t="shared" si="540"/>
        <v/>
      </c>
      <c r="AR745" s="4">
        <f t="shared" si="541"/>
      </c>
      <c r="AS745" s="4">
        <f t="shared" si="542"/>
      </c>
      <c r="AT745" s="4">
        <f t="shared" si="543"/>
      </c>
    </row>
    <row r="746" spans="1:46" x14ac:dyDescent="0.3">
      <c r="A746" s="5">
        <f t="shared" si="515"/>
      </c>
      <c r="B746" s="4">
        <f t="shared" si="516"/>
      </c>
      <c r="C746" s="59"/>
      <c r="D746" s="59"/>
      <c r="E746" s="70"/>
      <c r="F746" s="164"/>
      <c r="G746" s="164"/>
      <c r="H746" s="164"/>
      <c r="I746" s="70"/>
      <c r="J746" s="70"/>
      <c r="K746" s="70"/>
      <c r="L746" s="70"/>
      <c r="M746" s="4">
        <f t="shared" si="517"/>
      </c>
      <c r="N746" s="59"/>
      <c r="O746" s="164"/>
      <c r="P746" s="59">
        <f t="shared" si="518"/>
      </c>
      <c r="Q746" s="165"/>
      <c r="R746" s="59"/>
      <c r="S746" s="164"/>
      <c r="T746" s="5">
        <f t="shared" si="519"/>
      </c>
      <c r="U746" s="4">
        <f t="shared" si="520"/>
      </c>
      <c r="V746" s="4">
        <f t="shared" si="521"/>
      </c>
      <c r="W746" s="4">
        <f t="shared" si="522"/>
      </c>
      <c r="X746" s="4">
        <f t="shared" si="523"/>
      </c>
      <c r="Y746" s="4" cm="1">
        <f t="array" ref="Y746">_xlfn.IFS(H746=1,2,H746=3,1)</f>
      </c>
      <c r="Z746" s="4">
        <f t="shared" si="524"/>
      </c>
      <c r="AA746" s="4">
        <f t="shared" si="525"/>
      </c>
      <c r="AB746" s="4">
        <f t="shared" si="526"/>
      </c>
      <c r="AC746" s="4">
        <f t="shared" si="527"/>
      </c>
      <c r="AD746" s="4">
        <f t="shared" si="528"/>
      </c>
      <c r="AE746" s="4">
        <f t="shared" si="529"/>
      </c>
      <c r="AF746" s="4">
        <f t="shared" si="530"/>
      </c>
      <c r="AG746" s="4">
        <f t="shared" si="531"/>
        <v/>
      </c>
      <c r="AH746" s="4">
        <f t="shared" si="532"/>
      </c>
      <c r="AI746" s="4">
        <f t="shared" si="533"/>
      </c>
      <c r="AJ746" s="4">
        <f t="shared" si="534"/>
      </c>
      <c r="AK746" s="4">
        <f t="shared" si="535"/>
      </c>
      <c r="AL746" s="4">
        <f t="shared" si="536"/>
      </c>
      <c r="AM746" s="4">
        <f t="shared" si="537"/>
      </c>
      <c r="AN746" s="4"/>
      <c r="AO746" s="4">
        <f t="shared" si="538"/>
      </c>
      <c r="AP746" s="4">
        <f t="shared" si="539"/>
      </c>
      <c r="AQ746" s="4">
        <f t="shared" si="540"/>
        <v/>
      </c>
      <c r="AR746" s="4">
        <f t="shared" si="541"/>
      </c>
      <c r="AS746" s="4">
        <f t="shared" si="542"/>
      </c>
      <c r="AT746" s="4">
        <f t="shared" si="543"/>
      </c>
    </row>
    <row r="747" spans="1:46" x14ac:dyDescent="0.3">
      <c r="A747" s="5">
        <f t="shared" si="515"/>
      </c>
      <c r="B747" s="4">
        <f t="shared" si="516"/>
      </c>
      <c r="C747" s="59"/>
      <c r="D747" s="59"/>
      <c r="E747" s="70"/>
      <c r="F747" s="164"/>
      <c r="G747" s="164"/>
      <c r="H747" s="164"/>
      <c r="I747" s="70"/>
      <c r="J747" s="70"/>
      <c r="K747" s="70"/>
      <c r="L747" s="70"/>
      <c r="M747" s="4">
        <f t="shared" si="517"/>
      </c>
      <c r="N747" s="59"/>
      <c r="O747" s="164"/>
      <c r="P747" s="59">
        <f t="shared" si="518"/>
      </c>
      <c r="Q747" s="165"/>
      <c r="R747" s="59"/>
      <c r="S747" s="164"/>
      <c r="T747" s="5">
        <f t="shared" si="519"/>
      </c>
      <c r="U747" s="4">
        <f t="shared" si="520"/>
      </c>
      <c r="V747" s="4">
        <f t="shared" si="521"/>
      </c>
      <c r="W747" s="4">
        <f t="shared" si="522"/>
      </c>
      <c r="X747" s="4">
        <f t="shared" si="523"/>
      </c>
      <c r="Y747" s="4" cm="1">
        <f t="array" ref="Y747">_xlfn.IFS(H747=1,2,H747=3,1)</f>
      </c>
      <c r="Z747" s="4">
        <f t="shared" si="524"/>
      </c>
      <c r="AA747" s="4">
        <f t="shared" si="525"/>
      </c>
      <c r="AB747" s="4">
        <f t="shared" si="526"/>
      </c>
      <c r="AC747" s="4">
        <f t="shared" si="527"/>
      </c>
      <c r="AD747" s="4">
        <f t="shared" si="528"/>
      </c>
      <c r="AE747" s="4">
        <f t="shared" si="529"/>
      </c>
      <c r="AF747" s="4">
        <f t="shared" si="530"/>
      </c>
      <c r="AG747" s="4">
        <f t="shared" si="531"/>
        <v/>
      </c>
      <c r="AH747" s="4">
        <f t="shared" si="532"/>
      </c>
      <c r="AI747" s="4">
        <f t="shared" si="533"/>
      </c>
      <c r="AJ747" s="4">
        <f t="shared" si="534"/>
      </c>
      <c r="AK747" s="4">
        <f t="shared" si="535"/>
      </c>
      <c r="AL747" s="4">
        <f t="shared" si="536"/>
      </c>
      <c r="AM747" s="4">
        <f t="shared" si="537"/>
      </c>
      <c r="AN747" s="4"/>
      <c r="AO747" s="4">
        <f t="shared" si="538"/>
      </c>
      <c r="AP747" s="4">
        <f t="shared" si="539"/>
      </c>
      <c r="AQ747" s="4">
        <f t="shared" si="540"/>
        <v/>
      </c>
      <c r="AR747" s="4">
        <f t="shared" si="541"/>
      </c>
      <c r="AS747" s="4">
        <f t="shared" si="542"/>
      </c>
      <c r="AT747" s="4">
        <f t="shared" si="543"/>
      </c>
    </row>
    <row r="748" spans="1:46" x14ac:dyDescent="0.3">
      <c r="A748" s="5">
        <f t="shared" si="515"/>
      </c>
      <c r="B748" s="4">
        <f t="shared" si="516"/>
      </c>
      <c r="C748" s="59"/>
      <c r="D748" s="59"/>
      <c r="E748" s="70"/>
      <c r="F748" s="164"/>
      <c r="G748" s="164"/>
      <c r="H748" s="164"/>
      <c r="I748" s="70"/>
      <c r="J748" s="70"/>
      <c r="K748" s="70"/>
      <c r="L748" s="70"/>
      <c r="M748" s="4">
        <f t="shared" si="517"/>
      </c>
      <c r="N748" s="59"/>
      <c r="O748" s="164"/>
      <c r="P748" s="59">
        <f t="shared" si="518"/>
      </c>
      <c r="Q748" s="165"/>
      <c r="R748" s="59"/>
      <c r="S748" s="164"/>
      <c r="T748" s="5">
        <f t="shared" si="519"/>
      </c>
      <c r="U748" s="4">
        <f t="shared" si="520"/>
      </c>
      <c r="V748" s="4">
        <f t="shared" si="521"/>
      </c>
      <c r="W748" s="4">
        <f t="shared" si="522"/>
      </c>
      <c r="X748" s="4">
        <f t="shared" si="523"/>
      </c>
      <c r="Y748" s="4" cm="1">
        <f t="array" ref="Y748">_xlfn.IFS(H748=1,2,H748=3,1)</f>
      </c>
      <c r="Z748" s="4">
        <f t="shared" si="524"/>
      </c>
      <c r="AA748" s="4">
        <f t="shared" si="525"/>
      </c>
      <c r="AB748" s="4">
        <f t="shared" si="526"/>
      </c>
      <c r="AC748" s="4">
        <f t="shared" si="527"/>
      </c>
      <c r="AD748" s="4">
        <f t="shared" si="528"/>
      </c>
      <c r="AE748" s="4">
        <f t="shared" si="529"/>
      </c>
      <c r="AF748" s="4">
        <f t="shared" si="530"/>
      </c>
      <c r="AG748" s="4">
        <f t="shared" si="531"/>
        <v/>
      </c>
      <c r="AH748" s="4">
        <f t="shared" si="532"/>
      </c>
      <c r="AI748" s="4">
        <f t="shared" si="533"/>
      </c>
      <c r="AJ748" s="4">
        <f t="shared" si="534"/>
      </c>
      <c r="AK748" s="4">
        <f t="shared" si="535"/>
      </c>
      <c r="AL748" s="4">
        <f t="shared" si="536"/>
      </c>
      <c r="AM748" s="4">
        <f t="shared" si="537"/>
      </c>
      <c r="AN748" s="4"/>
      <c r="AO748" s="4">
        <f t="shared" si="538"/>
      </c>
      <c r="AP748" s="4">
        <f t="shared" si="539"/>
      </c>
      <c r="AQ748" s="4">
        <f t="shared" si="540"/>
        <v/>
      </c>
      <c r="AR748" s="4">
        <f t="shared" si="541"/>
      </c>
      <c r="AS748" s="4">
        <f t="shared" si="542"/>
      </c>
      <c r="AT748" s="4">
        <f t="shared" si="543"/>
      </c>
    </row>
    <row r="749" spans="1:46" x14ac:dyDescent="0.3">
      <c r="A749" s="5">
        <f t="shared" si="515"/>
      </c>
      <c r="B749" s="4">
        <f t="shared" si="516"/>
      </c>
      <c r="C749" s="59"/>
      <c r="D749" s="59"/>
      <c r="E749" s="70"/>
      <c r="F749" s="164"/>
      <c r="G749" s="164"/>
      <c r="H749" s="164"/>
      <c r="I749" s="70"/>
      <c r="J749" s="70"/>
      <c r="K749" s="70"/>
      <c r="L749" s="70"/>
      <c r="M749" s="4">
        <f t="shared" si="517"/>
      </c>
      <c r="N749" s="59"/>
      <c r="O749" s="164"/>
      <c r="P749" s="59">
        <f t="shared" si="518"/>
      </c>
      <c r="Q749" s="165"/>
      <c r="R749" s="59"/>
      <c r="S749" s="164"/>
      <c r="T749" s="5">
        <f t="shared" si="519"/>
      </c>
      <c r="U749" s="4">
        <f t="shared" si="520"/>
      </c>
      <c r="V749" s="4">
        <f t="shared" si="521"/>
      </c>
      <c r="W749" s="4">
        <f t="shared" si="522"/>
      </c>
      <c r="X749" s="4">
        <f t="shared" si="523"/>
      </c>
      <c r="Y749" s="4" cm="1">
        <f t="array" ref="Y749">_xlfn.IFS(H749=1,2,H749=3,1)</f>
      </c>
      <c r="Z749" s="4">
        <f t="shared" si="524"/>
      </c>
      <c r="AA749" s="4">
        <f t="shared" si="525"/>
      </c>
      <c r="AB749" s="4">
        <f t="shared" si="526"/>
      </c>
      <c r="AC749" s="4">
        <f t="shared" si="527"/>
      </c>
      <c r="AD749" s="4">
        <f t="shared" si="528"/>
      </c>
      <c r="AE749" s="4">
        <f t="shared" si="529"/>
      </c>
      <c r="AF749" s="4">
        <f t="shared" si="530"/>
      </c>
      <c r="AG749" s="4">
        <f t="shared" si="531"/>
        <v/>
      </c>
      <c r="AH749" s="4">
        <f t="shared" si="532"/>
      </c>
      <c r="AI749" s="4">
        <f t="shared" si="533"/>
      </c>
      <c r="AJ749" s="4">
        <f t="shared" si="534"/>
      </c>
      <c r="AK749" s="4">
        <f t="shared" si="535"/>
      </c>
      <c r="AL749" s="4">
        <f t="shared" si="536"/>
      </c>
      <c r="AM749" s="4">
        <f t="shared" si="537"/>
      </c>
      <c r="AN749" s="4"/>
      <c r="AO749" s="4">
        <f t="shared" si="538"/>
      </c>
      <c r="AP749" s="4">
        <f t="shared" si="539"/>
      </c>
      <c r="AQ749" s="4">
        <f t="shared" si="540"/>
        <v/>
      </c>
      <c r="AR749" s="4">
        <f t="shared" si="541"/>
      </c>
      <c r="AS749" s="4">
        <f t="shared" si="542"/>
      </c>
      <c r="AT749" s="4">
        <f t="shared" si="543"/>
      </c>
    </row>
    <row r="750" spans="1:46" x14ac:dyDescent="0.3">
      <c r="A750" s="5">
        <f t="shared" si="515"/>
      </c>
      <c r="B750" s="4">
        <f t="shared" si="516"/>
      </c>
      <c r="C750" s="59"/>
      <c r="D750" s="59"/>
      <c r="E750" s="70"/>
      <c r="F750" s="164"/>
      <c r="G750" s="164"/>
      <c r="H750" s="164"/>
      <c r="I750" s="70"/>
      <c r="J750" s="70"/>
      <c r="K750" s="70"/>
      <c r="L750" s="70"/>
      <c r="M750" s="4">
        <f t="shared" si="517"/>
      </c>
      <c r="N750" s="59"/>
      <c r="O750" s="164"/>
      <c r="P750" s="59">
        <f t="shared" si="518"/>
      </c>
      <c r="Q750" s="165"/>
      <c r="R750" s="59"/>
      <c r="S750" s="164"/>
      <c r="T750" s="5">
        <f t="shared" si="519"/>
      </c>
      <c r="U750" s="4">
        <f t="shared" si="520"/>
      </c>
      <c r="V750" s="4">
        <f t="shared" si="521"/>
      </c>
      <c r="W750" s="4">
        <f t="shared" si="522"/>
      </c>
      <c r="X750" s="4">
        <f t="shared" si="523"/>
      </c>
      <c r="Y750" s="4" cm="1">
        <f t="array" ref="Y750">_xlfn.IFS(H750=1,2,H750=3,1)</f>
      </c>
      <c r="Z750" s="4">
        <f t="shared" si="524"/>
      </c>
      <c r="AA750" s="4">
        <f t="shared" si="525"/>
      </c>
      <c r="AB750" s="4">
        <f t="shared" si="526"/>
      </c>
      <c r="AC750" s="4">
        <f t="shared" si="527"/>
      </c>
      <c r="AD750" s="4">
        <f t="shared" si="528"/>
      </c>
      <c r="AE750" s="4">
        <f t="shared" si="529"/>
      </c>
      <c r="AF750" s="4">
        <f t="shared" si="530"/>
      </c>
      <c r="AG750" s="4">
        <f t="shared" si="531"/>
        <v/>
      </c>
      <c r="AH750" s="4">
        <f t="shared" si="532"/>
      </c>
      <c r="AI750" s="4">
        <f t="shared" si="533"/>
      </c>
      <c r="AJ750" s="4">
        <f t="shared" si="534"/>
      </c>
      <c r="AK750" s="4">
        <f t="shared" si="535"/>
      </c>
      <c r="AL750" s="4">
        <f t="shared" si="536"/>
      </c>
      <c r="AM750" s="4">
        <f t="shared" si="537"/>
      </c>
      <c r="AN750" s="4"/>
      <c r="AO750" s="4">
        <f t="shared" si="538"/>
      </c>
      <c r="AP750" s="4">
        <f t="shared" si="539"/>
      </c>
      <c r="AQ750" s="4">
        <f t="shared" si="540"/>
        <v/>
      </c>
      <c r="AR750" s="4">
        <f t="shared" si="541"/>
      </c>
      <c r="AS750" s="4">
        <f t="shared" si="542"/>
      </c>
      <c r="AT750" s="4">
        <f t="shared" si="543"/>
      </c>
    </row>
    <row r="751" spans="1:46" x14ac:dyDescent="0.3">
      <c r="A751" s="5">
        <f t="shared" si="515"/>
      </c>
      <c r="B751" s="4">
        <f t="shared" si="516"/>
      </c>
      <c r="C751" s="59"/>
      <c r="D751" s="59"/>
      <c r="E751" s="70"/>
      <c r="F751" s="164"/>
      <c r="G751" s="164"/>
      <c r="H751" s="164"/>
      <c r="I751" s="70"/>
      <c r="J751" s="70"/>
      <c r="K751" s="70"/>
      <c r="L751" s="70"/>
      <c r="M751" s="4">
        <f t="shared" si="517"/>
      </c>
      <c r="N751" s="59"/>
      <c r="O751" s="164"/>
      <c r="P751" s="59">
        <f t="shared" si="518"/>
      </c>
      <c r="Q751" s="165"/>
      <c r="R751" s="59"/>
      <c r="S751" s="164"/>
      <c r="T751" s="5">
        <f t="shared" si="519"/>
      </c>
      <c r="U751" s="4">
        <f t="shared" si="520"/>
      </c>
      <c r="V751" s="4">
        <f t="shared" si="521"/>
      </c>
      <c r="W751" s="4">
        <f t="shared" si="522"/>
      </c>
      <c r="X751" s="4">
        <f t="shared" si="523"/>
      </c>
      <c r="Y751" s="4" cm="1">
        <f t="array" ref="Y751">_xlfn.IFS(H751=1,2,H751=3,1)</f>
      </c>
      <c r="Z751" s="4">
        <f t="shared" si="524"/>
      </c>
      <c r="AA751" s="4">
        <f t="shared" si="525"/>
      </c>
      <c r="AB751" s="4">
        <f t="shared" si="526"/>
      </c>
      <c r="AC751" s="4">
        <f t="shared" si="527"/>
      </c>
      <c r="AD751" s="4">
        <f t="shared" si="528"/>
      </c>
      <c r="AE751" s="4">
        <f t="shared" si="529"/>
      </c>
      <c r="AF751" s="4">
        <f t="shared" si="530"/>
      </c>
      <c r="AG751" s="4">
        <f t="shared" si="531"/>
        <v/>
      </c>
      <c r="AH751" s="4">
        <f t="shared" si="532"/>
      </c>
      <c r="AI751" s="4">
        <f t="shared" si="533"/>
      </c>
      <c r="AJ751" s="4">
        <f t="shared" si="534"/>
      </c>
      <c r="AK751" s="4">
        <f t="shared" si="535"/>
      </c>
      <c r="AL751" s="4">
        <f t="shared" si="536"/>
      </c>
      <c r="AM751" s="4">
        <f t="shared" si="537"/>
      </c>
      <c r="AN751" s="4"/>
      <c r="AO751" s="4">
        <f t="shared" si="538"/>
      </c>
      <c r="AP751" s="4">
        <f t="shared" si="539"/>
      </c>
      <c r="AQ751" s="4">
        <f t="shared" si="540"/>
        <v/>
      </c>
      <c r="AR751" s="4">
        <f t="shared" si="541"/>
      </c>
      <c r="AS751" s="4">
        <f t="shared" si="542"/>
      </c>
      <c r="AT751" s="4">
        <f t="shared" si="543"/>
      </c>
    </row>
    <row r="752" spans="1:46" x14ac:dyDescent="0.3">
      <c r="A752" s="5">
        <f t="shared" si="515"/>
      </c>
      <c r="B752" s="4">
        <f t="shared" si="516"/>
      </c>
      <c r="C752" s="59"/>
      <c r="D752" s="59"/>
      <c r="E752" s="70"/>
      <c r="F752" s="164"/>
      <c r="G752" s="164"/>
      <c r="H752" s="164"/>
      <c r="I752" s="70"/>
      <c r="J752" s="70"/>
      <c r="K752" s="70"/>
      <c r="L752" s="70"/>
      <c r="M752" s="4">
        <f t="shared" si="517"/>
      </c>
      <c r="N752" s="59"/>
      <c r="O752" s="164"/>
      <c r="P752" s="59">
        <f t="shared" si="518"/>
      </c>
      <c r="Q752" s="165"/>
      <c r="R752" s="59"/>
      <c r="S752" s="164"/>
      <c r="T752" s="5">
        <f t="shared" si="519"/>
      </c>
      <c r="U752" s="4">
        <f t="shared" si="520"/>
      </c>
      <c r="V752" s="4">
        <f t="shared" si="521"/>
      </c>
      <c r="W752" s="4">
        <f t="shared" si="522"/>
      </c>
      <c r="X752" s="4">
        <f t="shared" si="523"/>
      </c>
      <c r="Y752" s="4" cm="1">
        <f t="array" ref="Y752">_xlfn.IFS(H752=1,2,H752=3,1)</f>
      </c>
      <c r="Z752" s="4">
        <f t="shared" si="524"/>
      </c>
      <c r="AA752" s="4">
        <f t="shared" si="525"/>
      </c>
      <c r="AB752" s="4">
        <f t="shared" si="526"/>
      </c>
      <c r="AC752" s="4">
        <f t="shared" si="527"/>
      </c>
      <c r="AD752" s="4">
        <f t="shared" si="528"/>
      </c>
      <c r="AE752" s="4">
        <f t="shared" si="529"/>
      </c>
      <c r="AF752" s="4">
        <f t="shared" si="530"/>
      </c>
      <c r="AG752" s="4">
        <f t="shared" si="531"/>
        <v/>
      </c>
      <c r="AH752" s="4">
        <f t="shared" si="532"/>
      </c>
      <c r="AI752" s="4">
        <f t="shared" si="533"/>
      </c>
      <c r="AJ752" s="4">
        <f t="shared" si="534"/>
      </c>
      <c r="AK752" s="4">
        <f t="shared" si="535"/>
      </c>
      <c r="AL752" s="4">
        <f t="shared" si="536"/>
      </c>
      <c r="AM752" s="4">
        <f t="shared" si="537"/>
      </c>
      <c r="AN752" s="4"/>
      <c r="AO752" s="4">
        <f t="shared" si="538"/>
      </c>
      <c r="AP752" s="4">
        <f t="shared" si="539"/>
      </c>
      <c r="AQ752" s="4">
        <f t="shared" si="540"/>
        <v/>
      </c>
      <c r="AR752" s="4">
        <f t="shared" si="541"/>
      </c>
      <c r="AS752" s="4">
        <f t="shared" si="542"/>
      </c>
      <c r="AT752" s="4">
        <f t="shared" si="543"/>
      </c>
    </row>
    <row r="753" spans="1:46" x14ac:dyDescent="0.3">
      <c r="A753" s="5">
        <f t="shared" si="515"/>
      </c>
      <c r="B753" s="4">
        <f t="shared" si="516"/>
      </c>
      <c r="C753" s="59"/>
      <c r="D753" s="59"/>
      <c r="E753" s="70"/>
      <c r="F753" s="164"/>
      <c r="G753" s="164"/>
      <c r="H753" s="164"/>
      <c r="I753" s="70"/>
      <c r="J753" s="70"/>
      <c r="K753" s="70"/>
      <c r="L753" s="70"/>
      <c r="M753" s="4">
        <f t="shared" si="517"/>
      </c>
      <c r="N753" s="59"/>
      <c r="O753" s="164"/>
      <c r="P753" s="59">
        <f t="shared" si="518"/>
      </c>
      <c r="Q753" s="165"/>
      <c r="R753" s="59"/>
      <c r="S753" s="164"/>
      <c r="T753" s="5">
        <f t="shared" si="519"/>
      </c>
      <c r="U753" s="4">
        <f t="shared" si="520"/>
      </c>
      <c r="V753" s="4">
        <f t="shared" si="521"/>
      </c>
      <c r="W753" s="4">
        <f t="shared" si="522"/>
      </c>
      <c r="X753" s="4">
        <f t="shared" si="523"/>
      </c>
      <c r="Y753" s="4" cm="1">
        <f t="array" ref="Y753">_xlfn.IFS(H753=1,2,H753=3,1)</f>
      </c>
      <c r="Z753" s="4">
        <f t="shared" si="524"/>
      </c>
      <c r="AA753" s="4">
        <f t="shared" si="525"/>
      </c>
      <c r="AB753" s="4">
        <f t="shared" si="526"/>
      </c>
      <c r="AC753" s="4">
        <f t="shared" si="527"/>
      </c>
      <c r="AD753" s="4">
        <f t="shared" si="528"/>
      </c>
      <c r="AE753" s="4">
        <f t="shared" si="529"/>
      </c>
      <c r="AF753" s="4">
        <f t="shared" si="530"/>
      </c>
      <c r="AG753" s="4">
        <f t="shared" si="531"/>
        <v/>
      </c>
      <c r="AH753" s="4">
        <f t="shared" si="532"/>
      </c>
      <c r="AI753" s="4">
        <f t="shared" si="533"/>
      </c>
      <c r="AJ753" s="4">
        <f t="shared" si="534"/>
      </c>
      <c r="AK753" s="4">
        <f t="shared" si="535"/>
      </c>
      <c r="AL753" s="4">
        <f t="shared" si="536"/>
      </c>
      <c r="AM753" s="4">
        <f t="shared" si="537"/>
      </c>
      <c r="AN753" s="4"/>
      <c r="AO753" s="4">
        <f t="shared" si="538"/>
      </c>
      <c r="AP753" s="4">
        <f t="shared" si="539"/>
      </c>
      <c r="AQ753" s="4">
        <f t="shared" si="540"/>
        <v/>
      </c>
      <c r="AR753" s="4">
        <f t="shared" si="541"/>
      </c>
      <c r="AS753" s="4">
        <f t="shared" si="542"/>
      </c>
      <c r="AT753" s="4">
        <f t="shared" si="543"/>
      </c>
    </row>
    <row r="754" spans="1:46" x14ac:dyDescent="0.3">
      <c r="A754" s="5">
        <f t="shared" si="515"/>
      </c>
      <c r="B754" s="4">
        <f t="shared" si="516"/>
      </c>
      <c r="C754" s="59"/>
      <c r="D754" s="59"/>
      <c r="E754" s="70"/>
      <c r="F754" s="164"/>
      <c r="G754" s="164"/>
      <c r="H754" s="164"/>
      <c r="I754" s="70"/>
      <c r="J754" s="70"/>
      <c r="K754" s="70"/>
      <c r="L754" s="70"/>
      <c r="M754" s="4">
        <f t="shared" si="517"/>
      </c>
      <c r="N754" s="59"/>
      <c r="O754" s="164"/>
      <c r="P754" s="59">
        <f t="shared" si="518"/>
      </c>
      <c r="Q754" s="165"/>
      <c r="R754" s="59"/>
      <c r="S754" s="164"/>
      <c r="T754" s="5">
        <f t="shared" si="519"/>
      </c>
      <c r="U754" s="4">
        <f t="shared" si="520"/>
      </c>
      <c r="V754" s="4">
        <f t="shared" si="521"/>
      </c>
      <c r="W754" s="4">
        <f t="shared" si="522"/>
      </c>
      <c r="X754" s="4">
        <f t="shared" si="523"/>
      </c>
      <c r="Y754" s="4" cm="1">
        <f t="array" ref="Y754">_xlfn.IFS(H754=1,2,H754=3,1)</f>
      </c>
      <c r="Z754" s="4">
        <f t="shared" si="524"/>
      </c>
      <c r="AA754" s="4">
        <f t="shared" si="525"/>
      </c>
      <c r="AB754" s="4">
        <f t="shared" si="526"/>
      </c>
      <c r="AC754" s="4">
        <f t="shared" si="527"/>
      </c>
      <c r="AD754" s="4">
        <f t="shared" si="528"/>
      </c>
      <c r="AE754" s="4">
        <f t="shared" si="529"/>
      </c>
      <c r="AF754" s="4">
        <f t="shared" si="530"/>
      </c>
      <c r="AG754" s="4">
        <f t="shared" si="531"/>
        <v/>
      </c>
      <c r="AH754" s="4">
        <f t="shared" si="532"/>
      </c>
      <c r="AI754" s="4">
        <f t="shared" si="533"/>
      </c>
      <c r="AJ754" s="4">
        <f t="shared" si="534"/>
      </c>
      <c r="AK754" s="4">
        <f t="shared" si="535"/>
      </c>
      <c r="AL754" s="4">
        <f t="shared" si="536"/>
      </c>
      <c r="AM754" s="4">
        <f t="shared" si="537"/>
      </c>
      <c r="AN754" s="4"/>
      <c r="AO754" s="4">
        <f t="shared" si="538"/>
      </c>
      <c r="AP754" s="4">
        <f t="shared" si="539"/>
      </c>
      <c r="AQ754" s="4">
        <f t="shared" si="540"/>
        <v/>
      </c>
      <c r="AR754" s="4">
        <f t="shared" si="541"/>
      </c>
      <c r="AS754" s="4">
        <f t="shared" si="542"/>
      </c>
      <c r="AT754" s="4">
        <f t="shared" si="543"/>
      </c>
    </row>
    <row r="755" spans="1:46" x14ac:dyDescent="0.3">
      <c r="A755" s="5">
        <f t="shared" si="515"/>
      </c>
      <c r="B755" s="4">
        <f t="shared" si="516"/>
      </c>
      <c r="C755" s="59"/>
      <c r="D755" s="59"/>
      <c r="E755" s="70"/>
      <c r="F755" s="164"/>
      <c r="G755" s="164"/>
      <c r="H755" s="164"/>
      <c r="I755" s="70"/>
      <c r="J755" s="70"/>
      <c r="K755" s="70"/>
      <c r="L755" s="70"/>
      <c r="M755" s="4">
        <f t="shared" si="517"/>
      </c>
      <c r="N755" s="59"/>
      <c r="O755" s="164"/>
      <c r="P755" s="59">
        <f t="shared" si="518"/>
      </c>
      <c r="Q755" s="165"/>
      <c r="R755" s="59"/>
      <c r="S755" s="164"/>
      <c r="T755" s="5">
        <f t="shared" si="519"/>
      </c>
      <c r="U755" s="4">
        <f t="shared" si="520"/>
      </c>
      <c r="V755" s="4">
        <f t="shared" si="521"/>
      </c>
      <c r="W755" s="4">
        <f t="shared" si="522"/>
      </c>
      <c r="X755" s="4">
        <f t="shared" si="523"/>
      </c>
      <c r="Y755" s="4" cm="1">
        <f t="array" ref="Y755">_xlfn.IFS(H755=1,2,H755=3,1)</f>
      </c>
      <c r="Z755" s="4">
        <f t="shared" si="524"/>
      </c>
      <c r="AA755" s="4">
        <f t="shared" si="525"/>
      </c>
      <c r="AB755" s="4">
        <f t="shared" si="526"/>
      </c>
      <c r="AC755" s="4">
        <f t="shared" si="527"/>
      </c>
      <c r="AD755" s="4">
        <f t="shared" si="528"/>
      </c>
      <c r="AE755" s="4">
        <f t="shared" si="529"/>
      </c>
      <c r="AF755" s="4">
        <f t="shared" si="530"/>
      </c>
      <c r="AG755" s="4">
        <f t="shared" si="531"/>
        <v/>
      </c>
      <c r="AH755" s="4">
        <f t="shared" si="532"/>
      </c>
      <c r="AI755" s="4">
        <f t="shared" si="533"/>
      </c>
      <c r="AJ755" s="4">
        <f t="shared" si="534"/>
      </c>
      <c r="AK755" s="4">
        <f t="shared" si="535"/>
      </c>
      <c r="AL755" s="4">
        <f t="shared" si="536"/>
      </c>
      <c r="AM755" s="4">
        <f t="shared" si="537"/>
      </c>
      <c r="AN755" s="4"/>
      <c r="AO755" s="4">
        <f t="shared" si="538"/>
      </c>
      <c r="AP755" s="4">
        <f t="shared" si="539"/>
      </c>
      <c r="AQ755" s="4">
        <f t="shared" si="540"/>
        <v/>
      </c>
      <c r="AR755" s="4">
        <f t="shared" si="541"/>
      </c>
      <c r="AS755" s="4">
        <f t="shared" si="542"/>
      </c>
      <c r="AT755" s="4">
        <f t="shared" si="543"/>
      </c>
    </row>
    <row r="756" spans="1:46" x14ac:dyDescent="0.3">
      <c r="A756" s="5">
        <f t="shared" si="515"/>
      </c>
      <c r="B756" s="4">
        <f t="shared" si="516"/>
      </c>
      <c r="C756" s="59"/>
      <c r="D756" s="59"/>
      <c r="E756" s="70"/>
      <c r="F756" s="164"/>
      <c r="G756" s="164"/>
      <c r="H756" s="164"/>
      <c r="I756" s="70"/>
      <c r="J756" s="70"/>
      <c r="K756" s="70"/>
      <c r="L756" s="70"/>
      <c r="M756" s="4">
        <f t="shared" si="517"/>
      </c>
      <c r="N756" s="59"/>
      <c r="O756" s="164"/>
      <c r="P756" s="59">
        <f t="shared" si="518"/>
      </c>
      <c r="Q756" s="165"/>
      <c r="R756" s="59"/>
      <c r="S756" s="164"/>
      <c r="T756" s="5">
        <f t="shared" si="519"/>
      </c>
      <c r="U756" s="4">
        <f t="shared" si="520"/>
      </c>
      <c r="V756" s="4">
        <f t="shared" si="521"/>
      </c>
      <c r="W756" s="4">
        <f t="shared" si="522"/>
      </c>
      <c r="X756" s="4">
        <f t="shared" si="523"/>
      </c>
      <c r="Y756" s="4" cm="1">
        <f t="array" ref="Y756">_xlfn.IFS(H756=1,2,H756=3,1)</f>
      </c>
      <c r="Z756" s="4">
        <f t="shared" si="524"/>
      </c>
      <c r="AA756" s="4">
        <f t="shared" si="525"/>
      </c>
      <c r="AB756" s="4">
        <f t="shared" si="526"/>
      </c>
      <c r="AC756" s="4">
        <f t="shared" si="527"/>
      </c>
      <c r="AD756" s="4">
        <f t="shared" si="528"/>
      </c>
      <c r="AE756" s="4">
        <f t="shared" si="529"/>
      </c>
      <c r="AF756" s="4">
        <f t="shared" si="530"/>
      </c>
      <c r="AG756" s="4">
        <f t="shared" si="531"/>
        <v/>
      </c>
      <c r="AH756" s="4">
        <f t="shared" si="532"/>
      </c>
      <c r="AI756" s="4">
        <f t="shared" si="533"/>
      </c>
      <c r="AJ756" s="4">
        <f t="shared" si="534"/>
      </c>
      <c r="AK756" s="4">
        <f t="shared" si="535"/>
      </c>
      <c r="AL756" s="4">
        <f t="shared" si="536"/>
      </c>
      <c r="AM756" s="4">
        <f t="shared" si="537"/>
      </c>
      <c r="AN756" s="4"/>
      <c r="AO756" s="4">
        <f t="shared" si="538"/>
      </c>
      <c r="AP756" s="4">
        <f t="shared" si="539"/>
      </c>
      <c r="AQ756" s="4">
        <f t="shared" si="540"/>
        <v/>
      </c>
      <c r="AR756" s="4">
        <f t="shared" si="541"/>
      </c>
      <c r="AS756" s="4">
        <f t="shared" si="542"/>
      </c>
      <c r="AT756" s="4">
        <f t="shared" si="543"/>
      </c>
    </row>
    <row r="757" spans="1:46" x14ac:dyDescent="0.3">
      <c r="A757" s="5">
        <f t="shared" si="515"/>
      </c>
      <c r="B757" s="4">
        <f t="shared" si="516"/>
      </c>
      <c r="C757" s="59"/>
      <c r="D757" s="59"/>
      <c r="E757" s="70"/>
      <c r="F757" s="164"/>
      <c r="G757" s="164"/>
      <c r="H757" s="164"/>
      <c r="I757" s="70"/>
      <c r="J757" s="70"/>
      <c r="K757" s="70"/>
      <c r="L757" s="70"/>
      <c r="M757" s="4">
        <f t="shared" si="517"/>
      </c>
      <c r="N757" s="59"/>
      <c r="O757" s="164"/>
      <c r="P757" s="59">
        <f t="shared" si="518"/>
      </c>
      <c r="Q757" s="165"/>
      <c r="R757" s="59"/>
      <c r="S757" s="164"/>
      <c r="T757" s="5">
        <f t="shared" si="519"/>
      </c>
      <c r="U757" s="4">
        <f t="shared" si="520"/>
      </c>
      <c r="V757" s="4">
        <f t="shared" si="521"/>
      </c>
      <c r="W757" s="4">
        <f t="shared" si="522"/>
      </c>
      <c r="X757" s="4">
        <f t="shared" si="523"/>
      </c>
      <c r="Y757" s="4" cm="1">
        <f t="array" ref="Y757">_xlfn.IFS(H757=1,2,H757=3,1)</f>
      </c>
      <c r="Z757" s="4">
        <f t="shared" si="524"/>
      </c>
      <c r="AA757" s="4">
        <f t="shared" si="525"/>
      </c>
      <c r="AB757" s="4">
        <f t="shared" si="526"/>
      </c>
      <c r="AC757" s="4">
        <f t="shared" si="527"/>
      </c>
      <c r="AD757" s="4">
        <f t="shared" si="528"/>
      </c>
      <c r="AE757" s="4">
        <f t="shared" si="529"/>
      </c>
      <c r="AF757" s="4">
        <f t="shared" si="530"/>
      </c>
      <c r="AG757" s="4">
        <f t="shared" si="531"/>
        <v/>
      </c>
      <c r="AH757" s="4">
        <f t="shared" si="532"/>
      </c>
      <c r="AI757" s="4">
        <f t="shared" si="533"/>
      </c>
      <c r="AJ757" s="4">
        <f t="shared" si="534"/>
      </c>
      <c r="AK757" s="4">
        <f t="shared" si="535"/>
      </c>
      <c r="AL757" s="4">
        <f t="shared" si="536"/>
      </c>
      <c r="AM757" s="4">
        <f t="shared" si="537"/>
      </c>
      <c r="AN757" s="4"/>
      <c r="AO757" s="4">
        <f t="shared" si="538"/>
      </c>
      <c r="AP757" s="4">
        <f t="shared" si="539"/>
      </c>
      <c r="AQ757" s="4">
        <f t="shared" si="540"/>
        <v/>
      </c>
      <c r="AR757" s="4">
        <f t="shared" si="541"/>
      </c>
      <c r="AS757" s="4">
        <f t="shared" si="542"/>
      </c>
      <c r="AT757" s="4">
        <f t="shared" si="543"/>
      </c>
    </row>
    <row r="758" spans="1:46" x14ac:dyDescent="0.3">
      <c r="A758" s="5">
        <f t="shared" si="515"/>
      </c>
      <c r="B758" s="4">
        <f t="shared" si="516"/>
      </c>
      <c r="C758" s="59"/>
      <c r="D758" s="59"/>
      <c r="E758" s="70"/>
      <c r="F758" s="164"/>
      <c r="G758" s="164"/>
      <c r="H758" s="164"/>
      <c r="I758" s="70"/>
      <c r="J758" s="70"/>
      <c r="K758" s="70"/>
      <c r="L758" s="70"/>
      <c r="M758" s="4">
        <f t="shared" si="517"/>
      </c>
      <c r="N758" s="59"/>
      <c r="O758" s="164"/>
      <c r="P758" s="59">
        <f t="shared" si="518"/>
      </c>
      <c r="Q758" s="165"/>
      <c r="R758" s="59"/>
      <c r="S758" s="164"/>
      <c r="T758" s="5">
        <f t="shared" si="519"/>
      </c>
      <c r="U758" s="4">
        <f t="shared" si="520"/>
      </c>
      <c r="V758" s="4">
        <f t="shared" si="521"/>
      </c>
      <c r="W758" s="4">
        <f t="shared" si="522"/>
      </c>
      <c r="X758" s="4">
        <f t="shared" si="523"/>
      </c>
      <c r="Y758" s="4" cm="1">
        <f t="array" ref="Y758">_xlfn.IFS(H758=1,2,H758=3,1)</f>
      </c>
      <c r="Z758" s="4">
        <f t="shared" si="524"/>
      </c>
      <c r="AA758" s="4">
        <f t="shared" si="525"/>
      </c>
      <c r="AB758" s="4">
        <f t="shared" si="526"/>
      </c>
      <c r="AC758" s="4">
        <f t="shared" si="527"/>
      </c>
      <c r="AD758" s="4">
        <f t="shared" si="528"/>
      </c>
      <c r="AE758" s="4">
        <f t="shared" si="529"/>
      </c>
      <c r="AF758" s="4">
        <f t="shared" si="530"/>
      </c>
      <c r="AG758" s="4">
        <f t="shared" si="531"/>
        <v/>
      </c>
      <c r="AH758" s="4">
        <f t="shared" si="532"/>
      </c>
      <c r="AI758" s="4">
        <f t="shared" si="533"/>
      </c>
      <c r="AJ758" s="4">
        <f t="shared" si="534"/>
      </c>
      <c r="AK758" s="4">
        <f t="shared" si="535"/>
      </c>
      <c r="AL758" s="4">
        <f t="shared" si="536"/>
      </c>
      <c r="AM758" s="4">
        <f t="shared" si="537"/>
      </c>
      <c r="AN758" s="4"/>
      <c r="AO758" s="4">
        <f t="shared" si="538"/>
      </c>
      <c r="AP758" s="4">
        <f t="shared" si="539"/>
      </c>
      <c r="AQ758" s="4">
        <f t="shared" si="540"/>
        <v/>
      </c>
      <c r="AR758" s="4">
        <f t="shared" si="541"/>
      </c>
      <c r="AS758" s="4">
        <f t="shared" si="542"/>
      </c>
      <c r="AT758" s="4">
        <f t="shared" si="543"/>
      </c>
    </row>
    <row r="759" spans="1:46" x14ac:dyDescent="0.3">
      <c r="A759" s="5">
        <f t="shared" si="515"/>
      </c>
      <c r="B759" s="4">
        <f t="shared" si="516"/>
      </c>
      <c r="C759" s="59"/>
      <c r="D759" s="59"/>
      <c r="E759" s="70"/>
      <c r="F759" s="164"/>
      <c r="G759" s="164"/>
      <c r="H759" s="164"/>
      <c r="I759" s="70"/>
      <c r="J759" s="70"/>
      <c r="K759" s="70"/>
      <c r="L759" s="70"/>
      <c r="M759" s="4">
        <f t="shared" si="517"/>
      </c>
      <c r="N759" s="59"/>
      <c r="O759" s="164"/>
      <c r="P759" s="59">
        <f t="shared" si="518"/>
      </c>
      <c r="Q759" s="165"/>
      <c r="R759" s="59"/>
      <c r="S759" s="164"/>
      <c r="T759" s="5">
        <f t="shared" si="519"/>
      </c>
      <c r="U759" s="4">
        <f t="shared" si="520"/>
      </c>
      <c r="V759" s="4">
        <f t="shared" si="521"/>
      </c>
      <c r="W759" s="4">
        <f t="shared" si="522"/>
      </c>
      <c r="X759" s="4">
        <f t="shared" si="523"/>
      </c>
      <c r="Y759" s="4" cm="1">
        <f t="array" ref="Y759">_xlfn.IFS(H759=1,2,H759=3,1)</f>
      </c>
      <c r="Z759" s="4">
        <f t="shared" si="524"/>
      </c>
      <c r="AA759" s="4">
        <f t="shared" si="525"/>
      </c>
      <c r="AB759" s="4">
        <f t="shared" si="526"/>
      </c>
      <c r="AC759" s="4">
        <f t="shared" si="527"/>
      </c>
      <c r="AD759" s="4">
        <f t="shared" si="528"/>
      </c>
      <c r="AE759" s="4">
        <f t="shared" si="529"/>
      </c>
      <c r="AF759" s="4">
        <f t="shared" si="530"/>
      </c>
      <c r="AG759" s="4">
        <f t="shared" si="531"/>
        <v/>
      </c>
      <c r="AH759" s="4">
        <f t="shared" si="532"/>
      </c>
      <c r="AI759" s="4">
        <f t="shared" si="533"/>
      </c>
      <c r="AJ759" s="4">
        <f t="shared" si="534"/>
      </c>
      <c r="AK759" s="4">
        <f t="shared" si="535"/>
      </c>
      <c r="AL759" s="4">
        <f t="shared" si="536"/>
      </c>
      <c r="AM759" s="4">
        <f t="shared" si="537"/>
      </c>
      <c r="AN759" s="4"/>
      <c r="AO759" s="4">
        <f t="shared" si="538"/>
      </c>
      <c r="AP759" s="4">
        <f t="shared" si="539"/>
      </c>
      <c r="AQ759" s="4">
        <f t="shared" si="540"/>
        <v/>
      </c>
      <c r="AR759" s="4">
        <f t="shared" si="541"/>
      </c>
      <c r="AS759" s="4">
        <f t="shared" si="542"/>
      </c>
      <c r="AT759" s="4">
        <f t="shared" si="543"/>
      </c>
    </row>
    <row r="760" spans="1:46" x14ac:dyDescent="0.3">
      <c r="A760" s="5">
        <f t="shared" ref="A760:A823" si="544">D760</f>
      </c>
      <c r="B760" s="4">
        <f t="shared" ref="B760:B823" si="545">IFERROR(IF(VLOOKUP(AH760,Потребители_обозначение,4,FALSE)=1,VLOOKUP(AH760,Потребители_обозначение,2,FALSE)&amp;" "&amp;VLOOKUP(AI760,Этаж_обозначение,2,FALSE)&amp;" Пом. №"&amp;AG760,VLOOKUP(AH760,Потребители_обозначение,2,FALSE)&amp;" Шлейф №"&amp;AI760),VLOOKUP(D760,Потребители_обозначение,2,FALSE))</f>
      </c>
      <c r="C760" s="59"/>
      <c r="D760" s="59"/>
      <c r="E760" s="70"/>
      <c r="F760" s="164"/>
      <c r="G760" s="164"/>
      <c r="H760" s="164"/>
      <c r="I760" s="70"/>
      <c r="J760" s="70"/>
      <c r="K760" s="70"/>
      <c r="L760" s="70"/>
      <c r="M760" s="4">
        <f t="shared" ref="M760:M823" si="546">IFERROR(IF(VLOOKUP(AH760,Потребители_обозначение,4,FALSE)=1,VLOOKUP(AH760,Потребители_обозначение,3,FALSE)*(G760*2-1)+I760+VLOOKUP(AI760,Этаж_обозначение,3,FALSE)+VLOOKUP(AI760,Этаж_обозначение,4,FALSE),VLOOKUP(AH760,Потребители_обозначение,3,FALSE)*(G760*2-1)+I760),I760)</f>
      </c>
      <c r="N760" s="59"/>
      <c r="O760" s="164"/>
      <c r="P760" s="59">
        <f t="shared" ref="P760:P823" si="547">IF(VLOOKUP(AH760,Потребители_обозначение,5,FALSE)=2,_xlfn.IFS(H760=3,VLOOKUP(E760,Справочная_двигатели,8,FALSE),H760=1,VLOOKUP(E760,Справочная_двигатели,10,TRUE)),0.95)</f>
      </c>
      <c r="Q760" s="165"/>
      <c r="R760" s="59"/>
      <c r="S760" s="164"/>
      <c r="T760" s="5">
        <f t="shared" ref="T760:T823" si="548">_xlfn.IFS(H760=1,E760*1000/220,H760=3,E760/0.38/1.732)</f>
      </c>
      <c r="U760" s="4">
        <f t="shared" ref="U760:U823" si="549">IF(R760=0,VLOOKUP(T760,Автомат_номиналы,2,TRUE),R760)</f>
      </c>
      <c r="V760" s="4">
        <f t="shared" ref="V760:V823" si="550">IF(Q760=0,VLOOKUP(U760,Кабель_номиналы,2,TRUE),Q760)</f>
      </c>
      <c r="W760" s="4">
        <f t="shared" ref="W760:W823" si="551">VLOOKUP(V760,Кабель_сопротивление,3,FALSE)</f>
      </c>
      <c r="X760" s="4">
        <f t="shared" ref="X760:X823" si="552">VLOOKUP(V760,Кабель_сопротивление,2,FALSE)</f>
      </c>
      <c r="Y760" s="4" cm="1">
        <f t="array" ref="Y760">_xlfn.IFS(H760=1,2,H760=3,1)</f>
      </c>
      <c r="Z760" s="4">
        <f t="shared" ref="Z760:Z823" si="553">ROUND(SIN(ACOS(P760)),2)</f>
      </c>
      <c r="AA760" s="4">
        <f t="shared" ref="AA760:AA823" si="554">Y760*(W760*I760/V760+X760*I760*Z760/1000)*T760</f>
      </c>
      <c r="AB760" s="4">
        <f t="shared" ref="AB760:AB823" si="555">ROUNDUP(AA760/220*100,2)</f>
      </c>
      <c r="AC760" s="4">
        <f t="shared" ref="AC760:AC823" si="556">_xlfn.IFS(H760=3,380,H760=1,220)</f>
      </c>
      <c r="AD760" s="4">
        <f t="shared" ref="AD760:AD823" si="557">VLOOKUP(N760,Кабель_обозначение,2,FALSE)</f>
      </c>
      <c r="AE760" s="4">
        <f t="shared" ref="AE760:AE823" si="558">IF(VLOOKUP(N760,Кабель_обозначение,3,FALSE)=1,AD760&amp;" ("&amp;O760&amp;"х"&amp;V760&amp;")",AD760)</f>
      </c>
      <c r="AF760" s="4">
        <f t="shared" ref="AF760:AF823" si="559">IFERROR(IF(AB760&gt;4.5,1,2),0)</f>
      </c>
      <c r="AG760" s="4">
        <f t="shared" ref="AG760:AG823" si="560">IFERROR(LEFT(AQ760,SEARCH(".",AQ760)-1),AQ760)</f>
        <v/>
      </c>
      <c r="AH760" s="4">
        <f t="shared" ref="AH760:AH823" si="561">IFERROR(LEFT(A760,SEARCH(".",A760)-1),A760)</f>
      </c>
      <c r="AI760" s="4">
        <f t="shared" ref="AI760:AI823" si="562">IFERROR(LEFT(AP760,SEARCH(".",AP760)-1),AP760)</f>
      </c>
      <c r="AJ760" s="4">
        <f t="shared" ref="AJ760:AJ823" si="563">IF(C760=0,B760,C760)</f>
      </c>
      <c r="AK760" s="4">
        <f t="shared" ref="AK760:AK823" si="564">ROUNDUP(T760,2)</f>
      </c>
      <c r="AL760" s="4">
        <f t="shared" ref="AL760:AL823" si="565">E760</f>
      </c>
      <c r="AM760" s="4">
        <f t="shared" ref="AM760:AM823" si="566">D760</f>
      </c>
      <c r="AN760" s="4"/>
      <c r="AO760" s="4">
        <f t="shared" ref="AO760:AO823" si="567">IF(V760=0,AD760,AE760&amp;"
L="&amp;M760&amp;"-"&amp;AB760&amp;"%")</f>
      </c>
      <c r="AP760" s="4">
        <f t="shared" ref="AP760:AP823" si="568">RIGHT(A760,LEN(A760)-SEARCH(".",A760))</f>
      </c>
      <c r="AQ760" s="4">
        <f t="shared" ref="AQ760:AQ823" si="569">IFERROR(RIGHT(AP760,LEN(AP760)-SEARCH(".",AP760)),"")</f>
        <v/>
      </c>
      <c r="AR760" s="4">
        <f t="shared" ref="AR760:AR823" si="570">IFERROR(IF(VLOOKUP(AH760,Потребители_обозначение,5,FALSE)=2,_xlfn.IFS(H760=3,VLOOKUP(E760,Справочная_двигатели,3,FALSE),H760=1,VLOOKUP(E760,Справочная_двигатели,5,TRUE)),0),0)</f>
      </c>
      <c r="AS760" s="4">
        <f t="shared" ref="AS760:AS823" si="571">IFERROR(IF(VLOOKUP(AH760,Потребители_обозначение,5,FALSE)=3,VLOOKUP(E760,Справочная_ЛЭД,2,TRUE),0),0)</f>
      </c>
      <c r="AT760" s="4">
        <f t="shared" ref="AT760:AT823" si="572">IF(AR760=0,AS760,AR760)</f>
      </c>
    </row>
    <row r="761" spans="1:46" x14ac:dyDescent="0.3">
      <c r="A761" s="5">
        <f t="shared" si="544"/>
      </c>
      <c r="B761" s="4">
        <f t="shared" si="545"/>
      </c>
      <c r="C761" s="59"/>
      <c r="D761" s="59"/>
      <c r="E761" s="70"/>
      <c r="F761" s="164"/>
      <c r="G761" s="164"/>
      <c r="H761" s="164"/>
      <c r="I761" s="70"/>
      <c r="J761" s="70"/>
      <c r="K761" s="70"/>
      <c r="L761" s="70"/>
      <c r="M761" s="4">
        <f t="shared" si="546"/>
      </c>
      <c r="N761" s="59"/>
      <c r="O761" s="164"/>
      <c r="P761" s="59">
        <f t="shared" si="547"/>
      </c>
      <c r="Q761" s="165"/>
      <c r="R761" s="59"/>
      <c r="S761" s="164"/>
      <c r="T761" s="5">
        <f t="shared" si="548"/>
      </c>
      <c r="U761" s="4">
        <f t="shared" si="549"/>
      </c>
      <c r="V761" s="4">
        <f t="shared" si="550"/>
      </c>
      <c r="W761" s="4">
        <f t="shared" si="551"/>
      </c>
      <c r="X761" s="4">
        <f t="shared" si="552"/>
      </c>
      <c r="Y761" s="4" cm="1">
        <f t="array" ref="Y761">_xlfn.IFS(H761=1,2,H761=3,1)</f>
      </c>
      <c r="Z761" s="4">
        <f t="shared" si="553"/>
      </c>
      <c r="AA761" s="4">
        <f t="shared" si="554"/>
      </c>
      <c r="AB761" s="4">
        <f t="shared" si="555"/>
      </c>
      <c r="AC761" s="4">
        <f t="shared" si="556"/>
      </c>
      <c r="AD761" s="4">
        <f t="shared" si="557"/>
      </c>
      <c r="AE761" s="4">
        <f t="shared" si="558"/>
      </c>
      <c r="AF761" s="4">
        <f t="shared" si="559"/>
      </c>
      <c r="AG761" s="4">
        <f t="shared" si="560"/>
        <v/>
      </c>
      <c r="AH761" s="4">
        <f t="shared" si="561"/>
      </c>
      <c r="AI761" s="4">
        <f t="shared" si="562"/>
      </c>
      <c r="AJ761" s="4">
        <f t="shared" si="563"/>
      </c>
      <c r="AK761" s="4">
        <f t="shared" si="564"/>
      </c>
      <c r="AL761" s="4">
        <f t="shared" si="565"/>
      </c>
      <c r="AM761" s="4">
        <f t="shared" si="566"/>
      </c>
      <c r="AN761" s="4"/>
      <c r="AO761" s="4">
        <f t="shared" si="567"/>
      </c>
      <c r="AP761" s="4">
        <f t="shared" si="568"/>
      </c>
      <c r="AQ761" s="4">
        <f t="shared" si="569"/>
        <v/>
      </c>
      <c r="AR761" s="4">
        <f t="shared" si="570"/>
      </c>
      <c r="AS761" s="4">
        <f t="shared" si="571"/>
      </c>
      <c r="AT761" s="4">
        <f t="shared" si="572"/>
      </c>
    </row>
    <row r="762" spans="1:46" x14ac:dyDescent="0.3">
      <c r="A762" s="5">
        <f t="shared" si="544"/>
      </c>
      <c r="B762" s="4">
        <f t="shared" si="545"/>
      </c>
      <c r="C762" s="59"/>
      <c r="D762" s="59"/>
      <c r="E762" s="70"/>
      <c r="F762" s="164"/>
      <c r="G762" s="164"/>
      <c r="H762" s="164"/>
      <c r="I762" s="70"/>
      <c r="J762" s="70"/>
      <c r="K762" s="70"/>
      <c r="L762" s="70"/>
      <c r="M762" s="4">
        <f t="shared" si="546"/>
      </c>
      <c r="N762" s="59"/>
      <c r="O762" s="164"/>
      <c r="P762" s="59">
        <f t="shared" si="547"/>
      </c>
      <c r="Q762" s="165"/>
      <c r="R762" s="59"/>
      <c r="S762" s="164"/>
      <c r="T762" s="5">
        <f t="shared" si="548"/>
      </c>
      <c r="U762" s="4">
        <f t="shared" si="549"/>
      </c>
      <c r="V762" s="4">
        <f t="shared" si="550"/>
      </c>
      <c r="W762" s="4">
        <f t="shared" si="551"/>
      </c>
      <c r="X762" s="4">
        <f t="shared" si="552"/>
      </c>
      <c r="Y762" s="4" cm="1">
        <f t="array" ref="Y762">_xlfn.IFS(H762=1,2,H762=3,1)</f>
      </c>
      <c r="Z762" s="4">
        <f t="shared" si="553"/>
      </c>
      <c r="AA762" s="4">
        <f t="shared" si="554"/>
      </c>
      <c r="AB762" s="4">
        <f t="shared" si="555"/>
      </c>
      <c r="AC762" s="4">
        <f t="shared" si="556"/>
      </c>
      <c r="AD762" s="4">
        <f t="shared" si="557"/>
      </c>
      <c r="AE762" s="4">
        <f t="shared" si="558"/>
      </c>
      <c r="AF762" s="4">
        <f t="shared" si="559"/>
      </c>
      <c r="AG762" s="4">
        <f t="shared" si="560"/>
        <v/>
      </c>
      <c r="AH762" s="4">
        <f t="shared" si="561"/>
      </c>
      <c r="AI762" s="4">
        <f t="shared" si="562"/>
      </c>
      <c r="AJ762" s="4">
        <f t="shared" si="563"/>
      </c>
      <c r="AK762" s="4">
        <f t="shared" si="564"/>
      </c>
      <c r="AL762" s="4">
        <f t="shared" si="565"/>
      </c>
      <c r="AM762" s="4">
        <f t="shared" si="566"/>
      </c>
      <c r="AN762" s="4"/>
      <c r="AO762" s="4">
        <f t="shared" si="567"/>
      </c>
      <c r="AP762" s="4">
        <f t="shared" si="568"/>
      </c>
      <c r="AQ762" s="4">
        <f t="shared" si="569"/>
        <v/>
      </c>
      <c r="AR762" s="4">
        <f t="shared" si="570"/>
      </c>
      <c r="AS762" s="4">
        <f t="shared" si="571"/>
      </c>
      <c r="AT762" s="4">
        <f t="shared" si="572"/>
      </c>
    </row>
    <row r="763" spans="1:46" x14ac:dyDescent="0.3">
      <c r="A763" s="5">
        <f t="shared" si="544"/>
      </c>
      <c r="B763" s="4">
        <f t="shared" si="545"/>
      </c>
      <c r="C763" s="59"/>
      <c r="D763" s="59"/>
      <c r="E763" s="70"/>
      <c r="F763" s="164"/>
      <c r="G763" s="164"/>
      <c r="H763" s="164"/>
      <c r="I763" s="70"/>
      <c r="J763" s="70"/>
      <c r="K763" s="70"/>
      <c r="L763" s="70"/>
      <c r="M763" s="4">
        <f t="shared" si="546"/>
      </c>
      <c r="N763" s="59"/>
      <c r="O763" s="164"/>
      <c r="P763" s="59">
        <f t="shared" si="547"/>
      </c>
      <c r="Q763" s="165"/>
      <c r="R763" s="59"/>
      <c r="S763" s="164"/>
      <c r="T763" s="5">
        <f t="shared" si="548"/>
      </c>
      <c r="U763" s="4">
        <f t="shared" si="549"/>
      </c>
      <c r="V763" s="4">
        <f t="shared" si="550"/>
      </c>
      <c r="W763" s="4">
        <f t="shared" si="551"/>
      </c>
      <c r="X763" s="4">
        <f t="shared" si="552"/>
      </c>
      <c r="Y763" s="4" cm="1">
        <f t="array" ref="Y763">_xlfn.IFS(H763=1,2,H763=3,1)</f>
      </c>
      <c r="Z763" s="4">
        <f t="shared" si="553"/>
      </c>
      <c r="AA763" s="4">
        <f t="shared" si="554"/>
      </c>
      <c r="AB763" s="4">
        <f t="shared" si="555"/>
      </c>
      <c r="AC763" s="4">
        <f t="shared" si="556"/>
      </c>
      <c r="AD763" s="4">
        <f t="shared" si="557"/>
      </c>
      <c r="AE763" s="4">
        <f t="shared" si="558"/>
      </c>
      <c r="AF763" s="4">
        <f t="shared" si="559"/>
      </c>
      <c r="AG763" s="4">
        <f t="shared" si="560"/>
        <v/>
      </c>
      <c r="AH763" s="4">
        <f t="shared" si="561"/>
      </c>
      <c r="AI763" s="4">
        <f t="shared" si="562"/>
      </c>
      <c r="AJ763" s="4">
        <f t="shared" si="563"/>
      </c>
      <c r="AK763" s="4">
        <f t="shared" si="564"/>
      </c>
      <c r="AL763" s="4">
        <f t="shared" si="565"/>
      </c>
      <c r="AM763" s="4">
        <f t="shared" si="566"/>
      </c>
      <c r="AN763" s="4"/>
      <c r="AO763" s="4">
        <f t="shared" si="567"/>
      </c>
      <c r="AP763" s="4">
        <f t="shared" si="568"/>
      </c>
      <c r="AQ763" s="4">
        <f t="shared" si="569"/>
        <v/>
      </c>
      <c r="AR763" s="4">
        <f t="shared" si="570"/>
      </c>
      <c r="AS763" s="4">
        <f t="shared" si="571"/>
      </c>
      <c r="AT763" s="4">
        <f t="shared" si="572"/>
      </c>
    </row>
    <row r="764" spans="1:46" x14ac:dyDescent="0.3">
      <c r="A764" s="5">
        <f t="shared" si="544"/>
      </c>
      <c r="B764" s="4">
        <f t="shared" si="545"/>
      </c>
      <c r="C764" s="59"/>
      <c r="D764" s="59"/>
      <c r="E764" s="70"/>
      <c r="F764" s="164"/>
      <c r="G764" s="164"/>
      <c r="H764" s="164"/>
      <c r="I764" s="70"/>
      <c r="J764" s="70"/>
      <c r="K764" s="70"/>
      <c r="L764" s="70"/>
      <c r="M764" s="4">
        <f t="shared" si="546"/>
      </c>
      <c r="N764" s="59"/>
      <c r="O764" s="164"/>
      <c r="P764" s="59">
        <f t="shared" si="547"/>
      </c>
      <c r="Q764" s="165"/>
      <c r="R764" s="59"/>
      <c r="S764" s="164"/>
      <c r="T764" s="5">
        <f t="shared" si="548"/>
      </c>
      <c r="U764" s="4">
        <f t="shared" si="549"/>
      </c>
      <c r="V764" s="4">
        <f t="shared" si="550"/>
      </c>
      <c r="W764" s="4">
        <f t="shared" si="551"/>
      </c>
      <c r="X764" s="4">
        <f t="shared" si="552"/>
      </c>
      <c r="Y764" s="4" cm="1">
        <f t="array" ref="Y764">_xlfn.IFS(H764=1,2,H764=3,1)</f>
      </c>
      <c r="Z764" s="4">
        <f t="shared" si="553"/>
      </c>
      <c r="AA764" s="4">
        <f t="shared" si="554"/>
      </c>
      <c r="AB764" s="4">
        <f t="shared" si="555"/>
      </c>
      <c r="AC764" s="4">
        <f t="shared" si="556"/>
      </c>
      <c r="AD764" s="4">
        <f t="shared" si="557"/>
      </c>
      <c r="AE764" s="4">
        <f t="shared" si="558"/>
      </c>
      <c r="AF764" s="4">
        <f t="shared" si="559"/>
      </c>
      <c r="AG764" s="4">
        <f t="shared" si="560"/>
        <v/>
      </c>
      <c r="AH764" s="4">
        <f t="shared" si="561"/>
      </c>
      <c r="AI764" s="4">
        <f t="shared" si="562"/>
      </c>
      <c r="AJ764" s="4">
        <f t="shared" si="563"/>
      </c>
      <c r="AK764" s="4">
        <f t="shared" si="564"/>
      </c>
      <c r="AL764" s="4">
        <f t="shared" si="565"/>
      </c>
      <c r="AM764" s="4">
        <f t="shared" si="566"/>
      </c>
      <c r="AN764" s="4"/>
      <c r="AO764" s="4">
        <f t="shared" si="567"/>
      </c>
      <c r="AP764" s="4">
        <f t="shared" si="568"/>
      </c>
      <c r="AQ764" s="4">
        <f t="shared" si="569"/>
        <v/>
      </c>
      <c r="AR764" s="4">
        <f t="shared" si="570"/>
      </c>
      <c r="AS764" s="4">
        <f t="shared" si="571"/>
      </c>
      <c r="AT764" s="4">
        <f t="shared" si="572"/>
      </c>
    </row>
    <row r="765" spans="1:46" x14ac:dyDescent="0.3">
      <c r="A765" s="5">
        <f t="shared" si="544"/>
      </c>
      <c r="B765" s="4">
        <f t="shared" si="545"/>
      </c>
      <c r="C765" s="59"/>
      <c r="D765" s="59"/>
      <c r="E765" s="70"/>
      <c r="F765" s="164"/>
      <c r="G765" s="164"/>
      <c r="H765" s="164"/>
      <c r="I765" s="70"/>
      <c r="J765" s="70"/>
      <c r="K765" s="70"/>
      <c r="L765" s="70"/>
      <c r="M765" s="4">
        <f t="shared" si="546"/>
      </c>
      <c r="N765" s="59"/>
      <c r="O765" s="164"/>
      <c r="P765" s="59">
        <f t="shared" si="547"/>
      </c>
      <c r="Q765" s="165"/>
      <c r="R765" s="59"/>
      <c r="S765" s="164"/>
      <c r="T765" s="5">
        <f t="shared" si="548"/>
      </c>
      <c r="U765" s="4">
        <f t="shared" si="549"/>
      </c>
      <c r="V765" s="4">
        <f t="shared" si="550"/>
      </c>
      <c r="W765" s="4">
        <f t="shared" si="551"/>
      </c>
      <c r="X765" s="4">
        <f t="shared" si="552"/>
      </c>
      <c r="Y765" s="4" cm="1">
        <f t="array" ref="Y765">_xlfn.IFS(H765=1,2,H765=3,1)</f>
      </c>
      <c r="Z765" s="4">
        <f t="shared" si="553"/>
      </c>
      <c r="AA765" s="4">
        <f t="shared" si="554"/>
      </c>
      <c r="AB765" s="4">
        <f t="shared" si="555"/>
      </c>
      <c r="AC765" s="4">
        <f t="shared" si="556"/>
      </c>
      <c r="AD765" s="4">
        <f t="shared" si="557"/>
      </c>
      <c r="AE765" s="4">
        <f t="shared" si="558"/>
      </c>
      <c r="AF765" s="4">
        <f t="shared" si="559"/>
      </c>
      <c r="AG765" s="4">
        <f t="shared" si="560"/>
        <v/>
      </c>
      <c r="AH765" s="4">
        <f t="shared" si="561"/>
      </c>
      <c r="AI765" s="4">
        <f t="shared" si="562"/>
      </c>
      <c r="AJ765" s="4">
        <f t="shared" si="563"/>
      </c>
      <c r="AK765" s="4">
        <f t="shared" si="564"/>
      </c>
      <c r="AL765" s="4">
        <f t="shared" si="565"/>
      </c>
      <c r="AM765" s="4">
        <f t="shared" si="566"/>
      </c>
      <c r="AN765" s="4"/>
      <c r="AO765" s="4">
        <f t="shared" si="567"/>
      </c>
      <c r="AP765" s="4">
        <f t="shared" si="568"/>
      </c>
      <c r="AQ765" s="4">
        <f t="shared" si="569"/>
        <v/>
      </c>
      <c r="AR765" s="4">
        <f t="shared" si="570"/>
      </c>
      <c r="AS765" s="4">
        <f t="shared" si="571"/>
      </c>
      <c r="AT765" s="4">
        <f t="shared" si="572"/>
      </c>
    </row>
    <row r="766" spans="1:46" x14ac:dyDescent="0.3">
      <c r="A766" s="5">
        <f t="shared" si="544"/>
      </c>
      <c r="B766" s="4">
        <f t="shared" si="545"/>
      </c>
      <c r="C766" s="59"/>
      <c r="D766" s="59"/>
      <c r="E766" s="70"/>
      <c r="F766" s="164"/>
      <c r="G766" s="164"/>
      <c r="H766" s="164"/>
      <c r="I766" s="70"/>
      <c r="J766" s="70"/>
      <c r="K766" s="70"/>
      <c r="L766" s="70"/>
      <c r="M766" s="4">
        <f t="shared" si="546"/>
      </c>
      <c r="N766" s="59"/>
      <c r="O766" s="164"/>
      <c r="P766" s="59">
        <f t="shared" si="547"/>
      </c>
      <c r="Q766" s="165"/>
      <c r="R766" s="59"/>
      <c r="S766" s="164"/>
      <c r="T766" s="5">
        <f t="shared" si="548"/>
      </c>
      <c r="U766" s="4">
        <f t="shared" si="549"/>
      </c>
      <c r="V766" s="4">
        <f t="shared" si="550"/>
      </c>
      <c r="W766" s="4">
        <f t="shared" si="551"/>
      </c>
      <c r="X766" s="4">
        <f t="shared" si="552"/>
      </c>
      <c r="Y766" s="4" cm="1">
        <f t="array" ref="Y766">_xlfn.IFS(H766=1,2,H766=3,1)</f>
      </c>
      <c r="Z766" s="4">
        <f t="shared" si="553"/>
      </c>
      <c r="AA766" s="4">
        <f t="shared" si="554"/>
      </c>
      <c r="AB766" s="4">
        <f t="shared" si="555"/>
      </c>
      <c r="AC766" s="4">
        <f t="shared" si="556"/>
      </c>
      <c r="AD766" s="4">
        <f t="shared" si="557"/>
      </c>
      <c r="AE766" s="4">
        <f t="shared" si="558"/>
      </c>
      <c r="AF766" s="4">
        <f t="shared" si="559"/>
      </c>
      <c r="AG766" s="4">
        <f t="shared" si="560"/>
        <v/>
      </c>
      <c r="AH766" s="4">
        <f t="shared" si="561"/>
      </c>
      <c r="AI766" s="4">
        <f t="shared" si="562"/>
      </c>
      <c r="AJ766" s="4">
        <f t="shared" si="563"/>
      </c>
      <c r="AK766" s="4">
        <f t="shared" si="564"/>
      </c>
      <c r="AL766" s="4">
        <f t="shared" si="565"/>
      </c>
      <c r="AM766" s="4">
        <f t="shared" si="566"/>
      </c>
      <c r="AN766" s="4"/>
      <c r="AO766" s="4">
        <f t="shared" si="567"/>
      </c>
      <c r="AP766" s="4">
        <f t="shared" si="568"/>
      </c>
      <c r="AQ766" s="4">
        <f t="shared" si="569"/>
        <v/>
      </c>
      <c r="AR766" s="4">
        <f t="shared" si="570"/>
      </c>
      <c r="AS766" s="4">
        <f t="shared" si="571"/>
      </c>
      <c r="AT766" s="4">
        <f t="shared" si="572"/>
      </c>
    </row>
    <row r="767" spans="1:46" x14ac:dyDescent="0.3">
      <c r="A767" s="5">
        <f t="shared" si="544"/>
      </c>
      <c r="B767" s="4">
        <f t="shared" si="545"/>
      </c>
      <c r="C767" s="59"/>
      <c r="D767" s="59"/>
      <c r="E767" s="70"/>
      <c r="F767" s="164"/>
      <c r="G767" s="164"/>
      <c r="H767" s="164"/>
      <c r="I767" s="70"/>
      <c r="J767" s="70"/>
      <c r="K767" s="70"/>
      <c r="L767" s="70"/>
      <c r="M767" s="4">
        <f t="shared" si="546"/>
      </c>
      <c r="N767" s="59"/>
      <c r="O767" s="164"/>
      <c r="P767" s="59">
        <f t="shared" si="547"/>
      </c>
      <c r="Q767" s="165"/>
      <c r="R767" s="59"/>
      <c r="S767" s="164"/>
      <c r="T767" s="5">
        <f t="shared" si="548"/>
      </c>
      <c r="U767" s="4">
        <f t="shared" si="549"/>
      </c>
      <c r="V767" s="4">
        <f t="shared" si="550"/>
      </c>
      <c r="W767" s="4">
        <f t="shared" si="551"/>
      </c>
      <c r="X767" s="4">
        <f t="shared" si="552"/>
      </c>
      <c r="Y767" s="4" cm="1">
        <f t="array" ref="Y767">_xlfn.IFS(H767=1,2,H767=3,1)</f>
      </c>
      <c r="Z767" s="4">
        <f t="shared" si="553"/>
      </c>
      <c r="AA767" s="4">
        <f t="shared" si="554"/>
      </c>
      <c r="AB767" s="4">
        <f t="shared" si="555"/>
      </c>
      <c r="AC767" s="4">
        <f t="shared" si="556"/>
      </c>
      <c r="AD767" s="4">
        <f t="shared" si="557"/>
      </c>
      <c r="AE767" s="4">
        <f t="shared" si="558"/>
      </c>
      <c r="AF767" s="4">
        <f t="shared" si="559"/>
      </c>
      <c r="AG767" s="4">
        <f t="shared" si="560"/>
        <v/>
      </c>
      <c r="AH767" s="4">
        <f t="shared" si="561"/>
      </c>
      <c r="AI767" s="4">
        <f t="shared" si="562"/>
      </c>
      <c r="AJ767" s="4">
        <f t="shared" si="563"/>
      </c>
      <c r="AK767" s="4">
        <f t="shared" si="564"/>
      </c>
      <c r="AL767" s="4">
        <f t="shared" si="565"/>
      </c>
      <c r="AM767" s="4">
        <f t="shared" si="566"/>
      </c>
      <c r="AN767" s="4"/>
      <c r="AO767" s="4">
        <f t="shared" si="567"/>
      </c>
      <c r="AP767" s="4">
        <f t="shared" si="568"/>
      </c>
      <c r="AQ767" s="4">
        <f t="shared" si="569"/>
        <v/>
      </c>
      <c r="AR767" s="4">
        <f t="shared" si="570"/>
      </c>
      <c r="AS767" s="4">
        <f t="shared" si="571"/>
      </c>
      <c r="AT767" s="4">
        <f t="shared" si="572"/>
      </c>
    </row>
    <row r="768" spans="1:46" x14ac:dyDescent="0.3">
      <c r="A768" s="5">
        <f t="shared" si="544"/>
      </c>
      <c r="B768" s="4">
        <f t="shared" si="545"/>
      </c>
      <c r="C768" s="59"/>
      <c r="D768" s="59"/>
      <c r="E768" s="70"/>
      <c r="F768" s="164"/>
      <c r="G768" s="164"/>
      <c r="H768" s="164"/>
      <c r="I768" s="70"/>
      <c r="J768" s="70"/>
      <c r="K768" s="70"/>
      <c r="L768" s="70"/>
      <c r="M768" s="4">
        <f t="shared" si="546"/>
      </c>
      <c r="N768" s="59"/>
      <c r="O768" s="164"/>
      <c r="P768" s="59">
        <f t="shared" si="547"/>
      </c>
      <c r="Q768" s="165"/>
      <c r="R768" s="59"/>
      <c r="S768" s="164"/>
      <c r="T768" s="5">
        <f t="shared" si="548"/>
      </c>
      <c r="U768" s="4">
        <f t="shared" si="549"/>
      </c>
      <c r="V768" s="4">
        <f t="shared" si="550"/>
      </c>
      <c r="W768" s="4">
        <f t="shared" si="551"/>
      </c>
      <c r="X768" s="4">
        <f t="shared" si="552"/>
      </c>
      <c r="Y768" s="4" cm="1">
        <f t="array" ref="Y768">_xlfn.IFS(H768=1,2,H768=3,1)</f>
      </c>
      <c r="Z768" s="4">
        <f t="shared" si="553"/>
      </c>
      <c r="AA768" s="4">
        <f t="shared" si="554"/>
      </c>
      <c r="AB768" s="4">
        <f t="shared" si="555"/>
      </c>
      <c r="AC768" s="4">
        <f t="shared" si="556"/>
      </c>
      <c r="AD768" s="4">
        <f t="shared" si="557"/>
      </c>
      <c r="AE768" s="4">
        <f t="shared" si="558"/>
      </c>
      <c r="AF768" s="4">
        <f t="shared" si="559"/>
      </c>
      <c r="AG768" s="4">
        <f t="shared" si="560"/>
        <v/>
      </c>
      <c r="AH768" s="4">
        <f t="shared" si="561"/>
      </c>
      <c r="AI768" s="4">
        <f t="shared" si="562"/>
      </c>
      <c r="AJ768" s="4">
        <f t="shared" si="563"/>
      </c>
      <c r="AK768" s="4">
        <f t="shared" si="564"/>
      </c>
      <c r="AL768" s="4">
        <f t="shared" si="565"/>
      </c>
      <c r="AM768" s="4">
        <f t="shared" si="566"/>
      </c>
      <c r="AN768" s="4"/>
      <c r="AO768" s="4">
        <f t="shared" si="567"/>
      </c>
      <c r="AP768" s="4">
        <f t="shared" si="568"/>
      </c>
      <c r="AQ768" s="4">
        <f t="shared" si="569"/>
        <v/>
      </c>
      <c r="AR768" s="4">
        <f t="shared" si="570"/>
      </c>
      <c r="AS768" s="4">
        <f t="shared" si="571"/>
      </c>
      <c r="AT768" s="4">
        <f t="shared" si="572"/>
      </c>
    </row>
    <row r="769" spans="1:46" x14ac:dyDescent="0.3">
      <c r="A769" s="5">
        <f t="shared" si="544"/>
      </c>
      <c r="B769" s="4">
        <f t="shared" si="545"/>
      </c>
      <c r="C769" s="59"/>
      <c r="D769" s="59"/>
      <c r="E769" s="70"/>
      <c r="F769" s="164"/>
      <c r="G769" s="164"/>
      <c r="H769" s="164"/>
      <c r="I769" s="70"/>
      <c r="J769" s="70"/>
      <c r="K769" s="70"/>
      <c r="L769" s="70"/>
      <c r="M769" s="4">
        <f t="shared" si="546"/>
      </c>
      <c r="N769" s="59"/>
      <c r="O769" s="164"/>
      <c r="P769" s="59">
        <f t="shared" si="547"/>
      </c>
      <c r="Q769" s="165"/>
      <c r="R769" s="59"/>
      <c r="S769" s="164"/>
      <c r="T769" s="5">
        <f t="shared" si="548"/>
      </c>
      <c r="U769" s="4">
        <f t="shared" si="549"/>
      </c>
      <c r="V769" s="4">
        <f t="shared" si="550"/>
      </c>
      <c r="W769" s="4">
        <f t="shared" si="551"/>
      </c>
      <c r="X769" s="4">
        <f t="shared" si="552"/>
      </c>
      <c r="Y769" s="4" cm="1">
        <f t="array" ref="Y769">_xlfn.IFS(H769=1,2,H769=3,1)</f>
      </c>
      <c r="Z769" s="4">
        <f t="shared" si="553"/>
      </c>
      <c r="AA769" s="4">
        <f t="shared" si="554"/>
      </c>
      <c r="AB769" s="4">
        <f t="shared" si="555"/>
      </c>
      <c r="AC769" s="4">
        <f t="shared" si="556"/>
      </c>
      <c r="AD769" s="4">
        <f t="shared" si="557"/>
      </c>
      <c r="AE769" s="4">
        <f t="shared" si="558"/>
      </c>
      <c r="AF769" s="4">
        <f t="shared" si="559"/>
      </c>
      <c r="AG769" s="4">
        <f t="shared" si="560"/>
        <v/>
      </c>
      <c r="AH769" s="4">
        <f t="shared" si="561"/>
      </c>
      <c r="AI769" s="4">
        <f t="shared" si="562"/>
      </c>
      <c r="AJ769" s="4">
        <f t="shared" si="563"/>
      </c>
      <c r="AK769" s="4">
        <f t="shared" si="564"/>
      </c>
      <c r="AL769" s="4">
        <f t="shared" si="565"/>
      </c>
      <c r="AM769" s="4">
        <f t="shared" si="566"/>
      </c>
      <c r="AN769" s="4"/>
      <c r="AO769" s="4">
        <f t="shared" si="567"/>
      </c>
      <c r="AP769" s="4">
        <f t="shared" si="568"/>
      </c>
      <c r="AQ769" s="4">
        <f t="shared" si="569"/>
        <v/>
      </c>
      <c r="AR769" s="4">
        <f t="shared" si="570"/>
      </c>
      <c r="AS769" s="4">
        <f t="shared" si="571"/>
      </c>
      <c r="AT769" s="4">
        <f t="shared" si="572"/>
      </c>
    </row>
    <row r="770" spans="1:46" x14ac:dyDescent="0.3">
      <c r="A770" s="5">
        <f t="shared" si="544"/>
      </c>
      <c r="B770" s="4">
        <f t="shared" si="545"/>
      </c>
      <c r="C770" s="59"/>
      <c r="D770" s="59"/>
      <c r="E770" s="70"/>
      <c r="F770" s="164"/>
      <c r="G770" s="164"/>
      <c r="H770" s="164"/>
      <c r="I770" s="70"/>
      <c r="J770" s="70"/>
      <c r="K770" s="70"/>
      <c r="L770" s="70"/>
      <c r="M770" s="4">
        <f t="shared" si="546"/>
      </c>
      <c r="N770" s="59"/>
      <c r="O770" s="164"/>
      <c r="P770" s="59">
        <f t="shared" si="547"/>
      </c>
      <c r="Q770" s="165"/>
      <c r="R770" s="59"/>
      <c r="S770" s="164"/>
      <c r="T770" s="5">
        <f t="shared" si="548"/>
      </c>
      <c r="U770" s="4">
        <f t="shared" si="549"/>
      </c>
      <c r="V770" s="4">
        <f t="shared" si="550"/>
      </c>
      <c r="W770" s="4">
        <f t="shared" si="551"/>
      </c>
      <c r="X770" s="4">
        <f t="shared" si="552"/>
      </c>
      <c r="Y770" s="4" cm="1">
        <f t="array" ref="Y770">_xlfn.IFS(H770=1,2,H770=3,1)</f>
      </c>
      <c r="Z770" s="4">
        <f t="shared" si="553"/>
      </c>
      <c r="AA770" s="4">
        <f t="shared" si="554"/>
      </c>
      <c r="AB770" s="4">
        <f t="shared" si="555"/>
      </c>
      <c r="AC770" s="4">
        <f t="shared" si="556"/>
      </c>
      <c r="AD770" s="4">
        <f t="shared" si="557"/>
      </c>
      <c r="AE770" s="4">
        <f t="shared" si="558"/>
      </c>
      <c r="AF770" s="4">
        <f t="shared" si="559"/>
      </c>
      <c r="AG770" s="4">
        <f t="shared" si="560"/>
        <v/>
      </c>
      <c r="AH770" s="4">
        <f t="shared" si="561"/>
      </c>
      <c r="AI770" s="4">
        <f t="shared" si="562"/>
      </c>
      <c r="AJ770" s="4">
        <f t="shared" si="563"/>
      </c>
      <c r="AK770" s="4">
        <f t="shared" si="564"/>
      </c>
      <c r="AL770" s="4">
        <f t="shared" si="565"/>
      </c>
      <c r="AM770" s="4">
        <f t="shared" si="566"/>
      </c>
      <c r="AN770" s="4"/>
      <c r="AO770" s="4">
        <f t="shared" si="567"/>
      </c>
      <c r="AP770" s="4">
        <f t="shared" si="568"/>
      </c>
      <c r="AQ770" s="4">
        <f t="shared" si="569"/>
        <v/>
      </c>
      <c r="AR770" s="4">
        <f t="shared" si="570"/>
      </c>
      <c r="AS770" s="4">
        <f t="shared" si="571"/>
      </c>
      <c r="AT770" s="4">
        <f t="shared" si="572"/>
      </c>
    </row>
    <row r="771" spans="1:46" x14ac:dyDescent="0.3">
      <c r="A771" s="5">
        <f t="shared" si="544"/>
      </c>
      <c r="B771" s="4">
        <f t="shared" si="545"/>
      </c>
      <c r="C771" s="59"/>
      <c r="D771" s="59"/>
      <c r="E771" s="70"/>
      <c r="F771" s="164"/>
      <c r="G771" s="164"/>
      <c r="H771" s="164"/>
      <c r="I771" s="70"/>
      <c r="J771" s="70"/>
      <c r="K771" s="70"/>
      <c r="L771" s="70"/>
      <c r="M771" s="4">
        <f t="shared" si="546"/>
      </c>
      <c r="N771" s="59"/>
      <c r="O771" s="164"/>
      <c r="P771" s="59">
        <f t="shared" si="547"/>
      </c>
      <c r="Q771" s="165"/>
      <c r="R771" s="59"/>
      <c r="S771" s="164"/>
      <c r="T771" s="5">
        <f t="shared" si="548"/>
      </c>
      <c r="U771" s="4">
        <f t="shared" si="549"/>
      </c>
      <c r="V771" s="4">
        <f t="shared" si="550"/>
      </c>
      <c r="W771" s="4">
        <f t="shared" si="551"/>
      </c>
      <c r="X771" s="4">
        <f t="shared" si="552"/>
      </c>
      <c r="Y771" s="4" cm="1">
        <f t="array" ref="Y771">_xlfn.IFS(H771=1,2,H771=3,1)</f>
      </c>
      <c r="Z771" s="4">
        <f t="shared" si="553"/>
      </c>
      <c r="AA771" s="4">
        <f t="shared" si="554"/>
      </c>
      <c r="AB771" s="4">
        <f t="shared" si="555"/>
      </c>
      <c r="AC771" s="4">
        <f t="shared" si="556"/>
      </c>
      <c r="AD771" s="4">
        <f t="shared" si="557"/>
      </c>
      <c r="AE771" s="4">
        <f t="shared" si="558"/>
      </c>
      <c r="AF771" s="4">
        <f t="shared" si="559"/>
      </c>
      <c r="AG771" s="4">
        <f t="shared" si="560"/>
        <v/>
      </c>
      <c r="AH771" s="4">
        <f t="shared" si="561"/>
      </c>
      <c r="AI771" s="4">
        <f t="shared" si="562"/>
      </c>
      <c r="AJ771" s="4">
        <f t="shared" si="563"/>
      </c>
      <c r="AK771" s="4">
        <f t="shared" si="564"/>
      </c>
      <c r="AL771" s="4">
        <f t="shared" si="565"/>
      </c>
      <c r="AM771" s="4">
        <f t="shared" si="566"/>
      </c>
      <c r="AN771" s="4"/>
      <c r="AO771" s="4">
        <f t="shared" si="567"/>
      </c>
      <c r="AP771" s="4">
        <f t="shared" si="568"/>
      </c>
      <c r="AQ771" s="4">
        <f t="shared" si="569"/>
        <v/>
      </c>
      <c r="AR771" s="4">
        <f t="shared" si="570"/>
      </c>
      <c r="AS771" s="4">
        <f t="shared" si="571"/>
      </c>
      <c r="AT771" s="4">
        <f t="shared" si="572"/>
      </c>
    </row>
    <row r="772" spans="1:46" x14ac:dyDescent="0.3">
      <c r="A772" s="5">
        <f t="shared" si="544"/>
      </c>
      <c r="B772" s="4">
        <f t="shared" si="545"/>
      </c>
      <c r="C772" s="59"/>
      <c r="D772" s="59"/>
      <c r="E772" s="70"/>
      <c r="F772" s="164"/>
      <c r="G772" s="164"/>
      <c r="H772" s="164"/>
      <c r="I772" s="70"/>
      <c r="J772" s="70"/>
      <c r="K772" s="70"/>
      <c r="L772" s="70"/>
      <c r="M772" s="4">
        <f t="shared" si="546"/>
      </c>
      <c r="N772" s="59"/>
      <c r="O772" s="164"/>
      <c r="P772" s="59">
        <f t="shared" si="547"/>
      </c>
      <c r="Q772" s="165"/>
      <c r="R772" s="59"/>
      <c r="S772" s="164"/>
      <c r="T772" s="5">
        <f t="shared" si="548"/>
      </c>
      <c r="U772" s="4">
        <f t="shared" si="549"/>
      </c>
      <c r="V772" s="4">
        <f t="shared" si="550"/>
      </c>
      <c r="W772" s="4">
        <f t="shared" si="551"/>
      </c>
      <c r="X772" s="4">
        <f t="shared" si="552"/>
      </c>
      <c r="Y772" s="4" cm="1">
        <f t="array" ref="Y772">_xlfn.IFS(H772=1,2,H772=3,1)</f>
      </c>
      <c r="Z772" s="4">
        <f t="shared" si="553"/>
      </c>
      <c r="AA772" s="4">
        <f t="shared" si="554"/>
      </c>
      <c r="AB772" s="4">
        <f t="shared" si="555"/>
      </c>
      <c r="AC772" s="4">
        <f t="shared" si="556"/>
      </c>
      <c r="AD772" s="4">
        <f t="shared" si="557"/>
      </c>
      <c r="AE772" s="4">
        <f t="shared" si="558"/>
      </c>
      <c r="AF772" s="4">
        <f t="shared" si="559"/>
      </c>
      <c r="AG772" s="4">
        <f t="shared" si="560"/>
        <v/>
      </c>
      <c r="AH772" s="4">
        <f t="shared" si="561"/>
      </c>
      <c r="AI772" s="4">
        <f t="shared" si="562"/>
      </c>
      <c r="AJ772" s="4">
        <f t="shared" si="563"/>
      </c>
      <c r="AK772" s="4">
        <f t="shared" si="564"/>
      </c>
      <c r="AL772" s="4">
        <f t="shared" si="565"/>
      </c>
      <c r="AM772" s="4">
        <f t="shared" si="566"/>
      </c>
      <c r="AN772" s="4"/>
      <c r="AO772" s="4">
        <f t="shared" si="567"/>
      </c>
      <c r="AP772" s="4">
        <f t="shared" si="568"/>
      </c>
      <c r="AQ772" s="4">
        <f t="shared" si="569"/>
        <v/>
      </c>
      <c r="AR772" s="4">
        <f t="shared" si="570"/>
      </c>
      <c r="AS772" s="4">
        <f t="shared" si="571"/>
      </c>
      <c r="AT772" s="4">
        <f t="shared" si="572"/>
      </c>
    </row>
    <row r="773" spans="1:46" x14ac:dyDescent="0.3">
      <c r="A773" s="5">
        <f t="shared" si="544"/>
      </c>
      <c r="B773" s="4">
        <f t="shared" si="545"/>
      </c>
      <c r="C773" s="59"/>
      <c r="D773" s="59"/>
      <c r="E773" s="70"/>
      <c r="F773" s="164"/>
      <c r="G773" s="164"/>
      <c r="H773" s="164"/>
      <c r="I773" s="70"/>
      <c r="J773" s="70"/>
      <c r="K773" s="70"/>
      <c r="L773" s="70"/>
      <c r="M773" s="4">
        <f t="shared" si="546"/>
      </c>
      <c r="N773" s="59"/>
      <c r="O773" s="164"/>
      <c r="P773" s="59">
        <f t="shared" si="547"/>
      </c>
      <c r="Q773" s="165"/>
      <c r="R773" s="59"/>
      <c r="S773" s="164"/>
      <c r="T773" s="5">
        <f t="shared" si="548"/>
      </c>
      <c r="U773" s="4">
        <f t="shared" si="549"/>
      </c>
      <c r="V773" s="4">
        <f t="shared" si="550"/>
      </c>
      <c r="W773" s="4">
        <f t="shared" si="551"/>
      </c>
      <c r="X773" s="4">
        <f t="shared" si="552"/>
      </c>
      <c r="Y773" s="4" cm="1">
        <f t="array" ref="Y773">_xlfn.IFS(H773=1,2,H773=3,1)</f>
      </c>
      <c r="Z773" s="4">
        <f t="shared" si="553"/>
      </c>
      <c r="AA773" s="4">
        <f t="shared" si="554"/>
      </c>
      <c r="AB773" s="4">
        <f t="shared" si="555"/>
      </c>
      <c r="AC773" s="4">
        <f t="shared" si="556"/>
      </c>
      <c r="AD773" s="4">
        <f t="shared" si="557"/>
      </c>
      <c r="AE773" s="4">
        <f t="shared" si="558"/>
      </c>
      <c r="AF773" s="4">
        <f t="shared" si="559"/>
      </c>
      <c r="AG773" s="4">
        <f t="shared" si="560"/>
        <v/>
      </c>
      <c r="AH773" s="4">
        <f t="shared" si="561"/>
      </c>
      <c r="AI773" s="4">
        <f t="shared" si="562"/>
      </c>
      <c r="AJ773" s="4">
        <f t="shared" si="563"/>
      </c>
      <c r="AK773" s="4">
        <f t="shared" si="564"/>
      </c>
      <c r="AL773" s="4">
        <f t="shared" si="565"/>
      </c>
      <c r="AM773" s="4">
        <f t="shared" si="566"/>
      </c>
      <c r="AN773" s="4"/>
      <c r="AO773" s="4">
        <f t="shared" si="567"/>
      </c>
      <c r="AP773" s="4">
        <f t="shared" si="568"/>
      </c>
      <c r="AQ773" s="4">
        <f t="shared" si="569"/>
        <v/>
      </c>
      <c r="AR773" s="4">
        <f t="shared" si="570"/>
      </c>
      <c r="AS773" s="4">
        <f t="shared" si="571"/>
      </c>
      <c r="AT773" s="4">
        <f t="shared" si="572"/>
      </c>
    </row>
    <row r="774" spans="1:46" x14ac:dyDescent="0.3">
      <c r="A774" s="5">
        <f t="shared" si="544"/>
      </c>
      <c r="B774" s="4">
        <f t="shared" si="545"/>
      </c>
      <c r="C774" s="59"/>
      <c r="D774" s="59"/>
      <c r="E774" s="70"/>
      <c r="F774" s="164"/>
      <c r="G774" s="164"/>
      <c r="H774" s="164"/>
      <c r="I774" s="70"/>
      <c r="J774" s="70"/>
      <c r="K774" s="70"/>
      <c r="L774" s="70"/>
      <c r="M774" s="4">
        <f t="shared" si="546"/>
      </c>
      <c r="N774" s="59"/>
      <c r="O774" s="164"/>
      <c r="P774" s="59">
        <f t="shared" si="547"/>
      </c>
      <c r="Q774" s="165"/>
      <c r="R774" s="59"/>
      <c r="S774" s="164"/>
      <c r="T774" s="5">
        <f t="shared" si="548"/>
      </c>
      <c r="U774" s="4">
        <f t="shared" si="549"/>
      </c>
      <c r="V774" s="4">
        <f t="shared" si="550"/>
      </c>
      <c r="W774" s="4">
        <f t="shared" si="551"/>
      </c>
      <c r="X774" s="4">
        <f t="shared" si="552"/>
      </c>
      <c r="Y774" s="4" cm="1">
        <f t="array" ref="Y774">_xlfn.IFS(H774=1,2,H774=3,1)</f>
      </c>
      <c r="Z774" s="4">
        <f t="shared" si="553"/>
      </c>
      <c r="AA774" s="4">
        <f t="shared" si="554"/>
      </c>
      <c r="AB774" s="4">
        <f t="shared" si="555"/>
      </c>
      <c r="AC774" s="4">
        <f t="shared" si="556"/>
      </c>
      <c r="AD774" s="4">
        <f t="shared" si="557"/>
      </c>
      <c r="AE774" s="4">
        <f t="shared" si="558"/>
      </c>
      <c r="AF774" s="4">
        <f t="shared" si="559"/>
      </c>
      <c r="AG774" s="4">
        <f t="shared" si="560"/>
        <v/>
      </c>
      <c r="AH774" s="4">
        <f t="shared" si="561"/>
      </c>
      <c r="AI774" s="4">
        <f t="shared" si="562"/>
      </c>
      <c r="AJ774" s="4">
        <f t="shared" si="563"/>
      </c>
      <c r="AK774" s="4">
        <f t="shared" si="564"/>
      </c>
      <c r="AL774" s="4">
        <f t="shared" si="565"/>
      </c>
      <c r="AM774" s="4">
        <f t="shared" si="566"/>
      </c>
      <c r="AN774" s="4"/>
      <c r="AO774" s="4">
        <f t="shared" si="567"/>
      </c>
      <c r="AP774" s="4">
        <f t="shared" si="568"/>
      </c>
      <c r="AQ774" s="4">
        <f t="shared" si="569"/>
        <v/>
      </c>
      <c r="AR774" s="4">
        <f t="shared" si="570"/>
      </c>
      <c r="AS774" s="4">
        <f t="shared" si="571"/>
      </c>
      <c r="AT774" s="4">
        <f t="shared" si="572"/>
      </c>
    </row>
    <row r="775" spans="1:46" x14ac:dyDescent="0.3">
      <c r="A775" s="5">
        <f t="shared" si="544"/>
      </c>
      <c r="B775" s="4">
        <f t="shared" si="545"/>
      </c>
      <c r="C775" s="59"/>
      <c r="D775" s="59"/>
      <c r="E775" s="70"/>
      <c r="F775" s="164"/>
      <c r="G775" s="164"/>
      <c r="H775" s="164"/>
      <c r="I775" s="70"/>
      <c r="J775" s="70"/>
      <c r="K775" s="70"/>
      <c r="L775" s="70"/>
      <c r="M775" s="4">
        <f t="shared" si="546"/>
      </c>
      <c r="N775" s="59"/>
      <c r="O775" s="164"/>
      <c r="P775" s="59">
        <f t="shared" si="547"/>
      </c>
      <c r="Q775" s="165"/>
      <c r="R775" s="59"/>
      <c r="S775" s="164"/>
      <c r="T775" s="5">
        <f t="shared" si="548"/>
      </c>
      <c r="U775" s="4">
        <f t="shared" si="549"/>
      </c>
      <c r="V775" s="4">
        <f t="shared" si="550"/>
      </c>
      <c r="W775" s="4">
        <f t="shared" si="551"/>
      </c>
      <c r="X775" s="4">
        <f t="shared" si="552"/>
      </c>
      <c r="Y775" s="4" cm="1">
        <f t="array" ref="Y775">_xlfn.IFS(H775=1,2,H775=3,1)</f>
      </c>
      <c r="Z775" s="4">
        <f t="shared" si="553"/>
      </c>
      <c r="AA775" s="4">
        <f t="shared" si="554"/>
      </c>
      <c r="AB775" s="4">
        <f t="shared" si="555"/>
      </c>
      <c r="AC775" s="4">
        <f t="shared" si="556"/>
      </c>
      <c r="AD775" s="4">
        <f t="shared" si="557"/>
      </c>
      <c r="AE775" s="4">
        <f t="shared" si="558"/>
      </c>
      <c r="AF775" s="4">
        <f t="shared" si="559"/>
      </c>
      <c r="AG775" s="4">
        <f t="shared" si="560"/>
        <v/>
      </c>
      <c r="AH775" s="4">
        <f t="shared" si="561"/>
      </c>
      <c r="AI775" s="4">
        <f t="shared" si="562"/>
      </c>
      <c r="AJ775" s="4">
        <f t="shared" si="563"/>
      </c>
      <c r="AK775" s="4">
        <f t="shared" si="564"/>
      </c>
      <c r="AL775" s="4">
        <f t="shared" si="565"/>
      </c>
      <c r="AM775" s="4">
        <f t="shared" si="566"/>
      </c>
      <c r="AN775" s="4"/>
      <c r="AO775" s="4">
        <f t="shared" si="567"/>
      </c>
      <c r="AP775" s="4">
        <f t="shared" si="568"/>
      </c>
      <c r="AQ775" s="4">
        <f t="shared" si="569"/>
        <v/>
      </c>
      <c r="AR775" s="4">
        <f t="shared" si="570"/>
      </c>
      <c r="AS775" s="4">
        <f t="shared" si="571"/>
      </c>
      <c r="AT775" s="4">
        <f t="shared" si="572"/>
      </c>
    </row>
    <row r="776" spans="1:46" x14ac:dyDescent="0.3">
      <c r="A776" s="5">
        <f t="shared" si="544"/>
      </c>
      <c r="B776" s="4">
        <f t="shared" si="545"/>
      </c>
      <c r="C776" s="59"/>
      <c r="D776" s="59"/>
      <c r="E776" s="70"/>
      <c r="F776" s="164"/>
      <c r="G776" s="164"/>
      <c r="H776" s="164"/>
      <c r="I776" s="70"/>
      <c r="J776" s="70"/>
      <c r="K776" s="70"/>
      <c r="L776" s="70"/>
      <c r="M776" s="4">
        <f t="shared" si="546"/>
      </c>
      <c r="N776" s="59"/>
      <c r="O776" s="164"/>
      <c r="P776" s="59">
        <f t="shared" si="547"/>
      </c>
      <c r="Q776" s="165"/>
      <c r="R776" s="59"/>
      <c r="S776" s="164"/>
      <c r="T776" s="5">
        <f t="shared" si="548"/>
      </c>
      <c r="U776" s="4">
        <f t="shared" si="549"/>
      </c>
      <c r="V776" s="4">
        <f t="shared" si="550"/>
      </c>
      <c r="W776" s="4">
        <f t="shared" si="551"/>
      </c>
      <c r="X776" s="4">
        <f t="shared" si="552"/>
      </c>
      <c r="Y776" s="4" cm="1">
        <f t="array" ref="Y776">_xlfn.IFS(H776=1,2,H776=3,1)</f>
      </c>
      <c r="Z776" s="4">
        <f t="shared" si="553"/>
      </c>
      <c r="AA776" s="4">
        <f t="shared" si="554"/>
      </c>
      <c r="AB776" s="4">
        <f t="shared" si="555"/>
      </c>
      <c r="AC776" s="4">
        <f t="shared" si="556"/>
      </c>
      <c r="AD776" s="4">
        <f t="shared" si="557"/>
      </c>
      <c r="AE776" s="4">
        <f t="shared" si="558"/>
      </c>
      <c r="AF776" s="4">
        <f t="shared" si="559"/>
      </c>
      <c r="AG776" s="4">
        <f t="shared" si="560"/>
        <v/>
      </c>
      <c r="AH776" s="4">
        <f t="shared" si="561"/>
      </c>
      <c r="AI776" s="4">
        <f t="shared" si="562"/>
      </c>
      <c r="AJ776" s="4">
        <f t="shared" si="563"/>
      </c>
      <c r="AK776" s="4">
        <f t="shared" si="564"/>
      </c>
      <c r="AL776" s="4">
        <f t="shared" si="565"/>
      </c>
      <c r="AM776" s="4">
        <f t="shared" si="566"/>
      </c>
      <c r="AN776" s="4"/>
      <c r="AO776" s="4">
        <f t="shared" si="567"/>
      </c>
      <c r="AP776" s="4">
        <f t="shared" si="568"/>
      </c>
      <c r="AQ776" s="4">
        <f t="shared" si="569"/>
        <v/>
      </c>
      <c r="AR776" s="4">
        <f t="shared" si="570"/>
      </c>
      <c r="AS776" s="4">
        <f t="shared" si="571"/>
      </c>
      <c r="AT776" s="4">
        <f t="shared" si="572"/>
      </c>
    </row>
    <row r="777" spans="1:46" x14ac:dyDescent="0.3">
      <c r="A777" s="5">
        <f t="shared" si="544"/>
      </c>
      <c r="B777" s="4">
        <f t="shared" si="545"/>
      </c>
      <c r="C777" s="59"/>
      <c r="D777" s="59"/>
      <c r="E777" s="70"/>
      <c r="F777" s="164"/>
      <c r="G777" s="164"/>
      <c r="H777" s="164"/>
      <c r="I777" s="70"/>
      <c r="J777" s="70"/>
      <c r="K777" s="70"/>
      <c r="L777" s="70"/>
      <c r="M777" s="4">
        <f t="shared" si="546"/>
      </c>
      <c r="N777" s="59"/>
      <c r="O777" s="164"/>
      <c r="P777" s="59">
        <f t="shared" si="547"/>
      </c>
      <c r="Q777" s="165"/>
      <c r="R777" s="59"/>
      <c r="S777" s="164"/>
      <c r="T777" s="5">
        <f t="shared" si="548"/>
      </c>
      <c r="U777" s="4">
        <f t="shared" si="549"/>
      </c>
      <c r="V777" s="4">
        <f t="shared" si="550"/>
      </c>
      <c r="W777" s="4">
        <f t="shared" si="551"/>
      </c>
      <c r="X777" s="4">
        <f t="shared" si="552"/>
      </c>
      <c r="Y777" s="4" cm="1">
        <f t="array" ref="Y777">_xlfn.IFS(H777=1,2,H777=3,1)</f>
      </c>
      <c r="Z777" s="4">
        <f t="shared" si="553"/>
      </c>
      <c r="AA777" s="4">
        <f t="shared" si="554"/>
      </c>
      <c r="AB777" s="4">
        <f t="shared" si="555"/>
      </c>
      <c r="AC777" s="4">
        <f t="shared" si="556"/>
      </c>
      <c r="AD777" s="4">
        <f t="shared" si="557"/>
      </c>
      <c r="AE777" s="4">
        <f t="shared" si="558"/>
      </c>
      <c r="AF777" s="4">
        <f t="shared" si="559"/>
      </c>
      <c r="AG777" s="4">
        <f t="shared" si="560"/>
        <v/>
      </c>
      <c r="AH777" s="4">
        <f t="shared" si="561"/>
      </c>
      <c r="AI777" s="4">
        <f t="shared" si="562"/>
      </c>
      <c r="AJ777" s="4">
        <f t="shared" si="563"/>
      </c>
      <c r="AK777" s="4">
        <f t="shared" si="564"/>
      </c>
      <c r="AL777" s="4">
        <f t="shared" si="565"/>
      </c>
      <c r="AM777" s="4">
        <f t="shared" si="566"/>
      </c>
      <c r="AN777" s="4"/>
      <c r="AO777" s="4">
        <f t="shared" si="567"/>
      </c>
      <c r="AP777" s="4">
        <f t="shared" si="568"/>
      </c>
      <c r="AQ777" s="4">
        <f t="shared" si="569"/>
        <v/>
      </c>
      <c r="AR777" s="4">
        <f t="shared" si="570"/>
      </c>
      <c r="AS777" s="4">
        <f t="shared" si="571"/>
      </c>
      <c r="AT777" s="4">
        <f t="shared" si="572"/>
      </c>
    </row>
    <row r="778" spans="1:46" x14ac:dyDescent="0.3">
      <c r="A778" s="5">
        <f t="shared" si="544"/>
      </c>
      <c r="B778" s="4">
        <f t="shared" si="545"/>
      </c>
      <c r="C778" s="59"/>
      <c r="D778" s="59"/>
      <c r="E778" s="70"/>
      <c r="F778" s="164"/>
      <c r="G778" s="164"/>
      <c r="H778" s="164"/>
      <c r="I778" s="70"/>
      <c r="J778" s="70"/>
      <c r="K778" s="70"/>
      <c r="L778" s="70"/>
      <c r="M778" s="4">
        <f t="shared" si="546"/>
      </c>
      <c r="N778" s="59"/>
      <c r="O778" s="164"/>
      <c r="P778" s="59">
        <f t="shared" si="547"/>
      </c>
      <c r="Q778" s="165"/>
      <c r="R778" s="59"/>
      <c r="S778" s="164"/>
      <c r="T778" s="5">
        <f t="shared" si="548"/>
      </c>
      <c r="U778" s="4">
        <f t="shared" si="549"/>
      </c>
      <c r="V778" s="4">
        <f t="shared" si="550"/>
      </c>
      <c r="W778" s="4">
        <f t="shared" si="551"/>
      </c>
      <c r="X778" s="4">
        <f t="shared" si="552"/>
      </c>
      <c r="Y778" s="4" cm="1">
        <f t="array" ref="Y778">_xlfn.IFS(H778=1,2,H778=3,1)</f>
      </c>
      <c r="Z778" s="4">
        <f t="shared" si="553"/>
      </c>
      <c r="AA778" s="4">
        <f t="shared" si="554"/>
      </c>
      <c r="AB778" s="4">
        <f t="shared" si="555"/>
      </c>
      <c r="AC778" s="4">
        <f t="shared" si="556"/>
      </c>
      <c r="AD778" s="4">
        <f t="shared" si="557"/>
      </c>
      <c r="AE778" s="4">
        <f t="shared" si="558"/>
      </c>
      <c r="AF778" s="4">
        <f t="shared" si="559"/>
      </c>
      <c r="AG778" s="4">
        <f t="shared" si="560"/>
        <v/>
      </c>
      <c r="AH778" s="4">
        <f t="shared" si="561"/>
      </c>
      <c r="AI778" s="4">
        <f t="shared" si="562"/>
      </c>
      <c r="AJ778" s="4">
        <f t="shared" si="563"/>
      </c>
      <c r="AK778" s="4">
        <f t="shared" si="564"/>
      </c>
      <c r="AL778" s="4">
        <f t="shared" si="565"/>
      </c>
      <c r="AM778" s="4">
        <f t="shared" si="566"/>
      </c>
      <c r="AN778" s="4"/>
      <c r="AO778" s="4">
        <f t="shared" si="567"/>
      </c>
      <c r="AP778" s="4">
        <f t="shared" si="568"/>
      </c>
      <c r="AQ778" s="4">
        <f t="shared" si="569"/>
        <v/>
      </c>
      <c r="AR778" s="4">
        <f t="shared" si="570"/>
      </c>
      <c r="AS778" s="4">
        <f t="shared" si="571"/>
      </c>
      <c r="AT778" s="4">
        <f t="shared" si="572"/>
      </c>
    </row>
    <row r="779" spans="1:46" x14ac:dyDescent="0.3">
      <c r="A779" s="5">
        <f t="shared" si="544"/>
      </c>
      <c r="B779" s="4">
        <f t="shared" si="545"/>
      </c>
      <c r="C779" s="59"/>
      <c r="D779" s="59"/>
      <c r="E779" s="70"/>
      <c r="F779" s="164"/>
      <c r="G779" s="164"/>
      <c r="H779" s="164"/>
      <c r="I779" s="70"/>
      <c r="J779" s="70"/>
      <c r="K779" s="70"/>
      <c r="L779" s="70"/>
      <c r="M779" s="4">
        <f t="shared" si="546"/>
      </c>
      <c r="N779" s="59"/>
      <c r="O779" s="164"/>
      <c r="P779" s="59">
        <f t="shared" si="547"/>
      </c>
      <c r="Q779" s="165"/>
      <c r="R779" s="59"/>
      <c r="S779" s="164"/>
      <c r="T779" s="5">
        <f t="shared" si="548"/>
      </c>
      <c r="U779" s="4">
        <f t="shared" si="549"/>
      </c>
      <c r="V779" s="4">
        <f t="shared" si="550"/>
      </c>
      <c r="W779" s="4">
        <f t="shared" si="551"/>
      </c>
      <c r="X779" s="4">
        <f t="shared" si="552"/>
      </c>
      <c r="Y779" s="4" cm="1">
        <f t="array" ref="Y779">_xlfn.IFS(H779=1,2,H779=3,1)</f>
      </c>
      <c r="Z779" s="4">
        <f t="shared" si="553"/>
      </c>
      <c r="AA779" s="4">
        <f t="shared" si="554"/>
      </c>
      <c r="AB779" s="4">
        <f t="shared" si="555"/>
      </c>
      <c r="AC779" s="4">
        <f t="shared" si="556"/>
      </c>
      <c r="AD779" s="4">
        <f t="shared" si="557"/>
      </c>
      <c r="AE779" s="4">
        <f t="shared" si="558"/>
      </c>
      <c r="AF779" s="4">
        <f t="shared" si="559"/>
      </c>
      <c r="AG779" s="4">
        <f t="shared" si="560"/>
        <v/>
      </c>
      <c r="AH779" s="4">
        <f t="shared" si="561"/>
      </c>
      <c r="AI779" s="4">
        <f t="shared" si="562"/>
      </c>
      <c r="AJ779" s="4">
        <f t="shared" si="563"/>
      </c>
      <c r="AK779" s="4">
        <f t="shared" si="564"/>
      </c>
      <c r="AL779" s="4">
        <f t="shared" si="565"/>
      </c>
      <c r="AM779" s="4">
        <f t="shared" si="566"/>
      </c>
      <c r="AN779" s="4"/>
      <c r="AO779" s="4">
        <f t="shared" si="567"/>
      </c>
      <c r="AP779" s="4">
        <f t="shared" si="568"/>
      </c>
      <c r="AQ779" s="4">
        <f t="shared" si="569"/>
        <v/>
      </c>
      <c r="AR779" s="4">
        <f t="shared" si="570"/>
      </c>
      <c r="AS779" s="4">
        <f t="shared" si="571"/>
      </c>
      <c r="AT779" s="4">
        <f t="shared" si="572"/>
      </c>
    </row>
    <row r="780" spans="1:46" x14ac:dyDescent="0.3">
      <c r="A780" s="5">
        <f t="shared" si="544"/>
      </c>
      <c r="B780" s="4">
        <f t="shared" si="545"/>
      </c>
      <c r="C780" s="59"/>
      <c r="D780" s="59"/>
      <c r="E780" s="70"/>
      <c r="F780" s="164"/>
      <c r="G780" s="164"/>
      <c r="H780" s="164"/>
      <c r="I780" s="70"/>
      <c r="J780" s="70"/>
      <c r="K780" s="70"/>
      <c r="L780" s="70"/>
      <c r="M780" s="4">
        <f t="shared" si="546"/>
      </c>
      <c r="N780" s="59"/>
      <c r="O780" s="164"/>
      <c r="P780" s="59">
        <f t="shared" si="547"/>
      </c>
      <c r="Q780" s="165"/>
      <c r="R780" s="59"/>
      <c r="S780" s="164"/>
      <c r="T780" s="5">
        <f t="shared" si="548"/>
      </c>
      <c r="U780" s="4">
        <f t="shared" si="549"/>
      </c>
      <c r="V780" s="4">
        <f t="shared" si="550"/>
      </c>
      <c r="W780" s="4">
        <f t="shared" si="551"/>
      </c>
      <c r="X780" s="4">
        <f t="shared" si="552"/>
      </c>
      <c r="Y780" s="4" cm="1">
        <f t="array" ref="Y780">_xlfn.IFS(H780=1,2,H780=3,1)</f>
      </c>
      <c r="Z780" s="4">
        <f t="shared" si="553"/>
      </c>
      <c r="AA780" s="4">
        <f t="shared" si="554"/>
      </c>
      <c r="AB780" s="4">
        <f t="shared" si="555"/>
      </c>
      <c r="AC780" s="4">
        <f t="shared" si="556"/>
      </c>
      <c r="AD780" s="4">
        <f t="shared" si="557"/>
      </c>
      <c r="AE780" s="4">
        <f t="shared" si="558"/>
      </c>
      <c r="AF780" s="4">
        <f t="shared" si="559"/>
      </c>
      <c r="AG780" s="4">
        <f t="shared" si="560"/>
        <v/>
      </c>
      <c r="AH780" s="4">
        <f t="shared" si="561"/>
      </c>
      <c r="AI780" s="4">
        <f t="shared" si="562"/>
      </c>
      <c r="AJ780" s="4">
        <f t="shared" si="563"/>
      </c>
      <c r="AK780" s="4">
        <f t="shared" si="564"/>
      </c>
      <c r="AL780" s="4">
        <f t="shared" si="565"/>
      </c>
      <c r="AM780" s="4">
        <f t="shared" si="566"/>
      </c>
      <c r="AN780" s="4"/>
      <c r="AO780" s="4">
        <f t="shared" si="567"/>
      </c>
      <c r="AP780" s="4">
        <f t="shared" si="568"/>
      </c>
      <c r="AQ780" s="4">
        <f t="shared" si="569"/>
        <v/>
      </c>
      <c r="AR780" s="4">
        <f t="shared" si="570"/>
      </c>
      <c r="AS780" s="4">
        <f t="shared" si="571"/>
      </c>
      <c r="AT780" s="4">
        <f t="shared" si="572"/>
      </c>
    </row>
    <row r="781" spans="1:46" x14ac:dyDescent="0.3">
      <c r="A781" s="5">
        <f t="shared" si="544"/>
      </c>
      <c r="B781" s="4">
        <f t="shared" si="545"/>
      </c>
      <c r="C781" s="59"/>
      <c r="D781" s="59"/>
      <c r="E781" s="70"/>
      <c r="F781" s="164"/>
      <c r="G781" s="164"/>
      <c r="H781" s="164"/>
      <c r="I781" s="70"/>
      <c r="J781" s="70"/>
      <c r="K781" s="70"/>
      <c r="L781" s="70"/>
      <c r="M781" s="4">
        <f t="shared" si="546"/>
      </c>
      <c r="N781" s="59"/>
      <c r="O781" s="164"/>
      <c r="P781" s="59">
        <f t="shared" si="547"/>
      </c>
      <c r="Q781" s="165"/>
      <c r="R781" s="59"/>
      <c r="S781" s="164"/>
      <c r="T781" s="5">
        <f t="shared" si="548"/>
      </c>
      <c r="U781" s="4">
        <f t="shared" si="549"/>
      </c>
      <c r="V781" s="4">
        <f t="shared" si="550"/>
      </c>
      <c r="W781" s="4">
        <f t="shared" si="551"/>
      </c>
      <c r="X781" s="4">
        <f t="shared" si="552"/>
      </c>
      <c r="Y781" s="4" cm="1">
        <f t="array" ref="Y781">_xlfn.IFS(H781=1,2,H781=3,1)</f>
      </c>
      <c r="Z781" s="4">
        <f t="shared" si="553"/>
      </c>
      <c r="AA781" s="4">
        <f t="shared" si="554"/>
      </c>
      <c r="AB781" s="4">
        <f t="shared" si="555"/>
      </c>
      <c r="AC781" s="4">
        <f t="shared" si="556"/>
      </c>
      <c r="AD781" s="4">
        <f t="shared" si="557"/>
      </c>
      <c r="AE781" s="4">
        <f t="shared" si="558"/>
      </c>
      <c r="AF781" s="4">
        <f t="shared" si="559"/>
      </c>
      <c r="AG781" s="4">
        <f t="shared" si="560"/>
        <v/>
      </c>
      <c r="AH781" s="4">
        <f t="shared" si="561"/>
      </c>
      <c r="AI781" s="4">
        <f t="shared" si="562"/>
      </c>
      <c r="AJ781" s="4">
        <f t="shared" si="563"/>
      </c>
      <c r="AK781" s="4">
        <f t="shared" si="564"/>
      </c>
      <c r="AL781" s="4">
        <f t="shared" si="565"/>
      </c>
      <c r="AM781" s="4">
        <f t="shared" si="566"/>
      </c>
      <c r="AN781" s="4"/>
      <c r="AO781" s="4">
        <f t="shared" si="567"/>
      </c>
      <c r="AP781" s="4">
        <f t="shared" si="568"/>
      </c>
      <c r="AQ781" s="4">
        <f t="shared" si="569"/>
        <v/>
      </c>
      <c r="AR781" s="4">
        <f t="shared" si="570"/>
      </c>
      <c r="AS781" s="4">
        <f t="shared" si="571"/>
      </c>
      <c r="AT781" s="4">
        <f t="shared" si="572"/>
      </c>
    </row>
    <row r="782" spans="1:46" x14ac:dyDescent="0.3">
      <c r="A782" s="5">
        <f t="shared" si="544"/>
      </c>
      <c r="B782" s="4">
        <f t="shared" si="545"/>
      </c>
      <c r="C782" s="59"/>
      <c r="D782" s="59"/>
      <c r="E782" s="70"/>
      <c r="F782" s="164"/>
      <c r="G782" s="164"/>
      <c r="H782" s="164"/>
      <c r="I782" s="70"/>
      <c r="J782" s="70"/>
      <c r="K782" s="70"/>
      <c r="L782" s="70"/>
      <c r="M782" s="4">
        <f t="shared" si="546"/>
      </c>
      <c r="N782" s="59"/>
      <c r="O782" s="164"/>
      <c r="P782" s="59">
        <f t="shared" si="547"/>
      </c>
      <c r="Q782" s="165"/>
      <c r="R782" s="59"/>
      <c r="S782" s="164"/>
      <c r="T782" s="5">
        <f t="shared" si="548"/>
      </c>
      <c r="U782" s="4">
        <f t="shared" si="549"/>
      </c>
      <c r="V782" s="4">
        <f t="shared" si="550"/>
      </c>
      <c r="W782" s="4">
        <f t="shared" si="551"/>
      </c>
      <c r="X782" s="4">
        <f t="shared" si="552"/>
      </c>
      <c r="Y782" s="4" cm="1">
        <f t="array" ref="Y782">_xlfn.IFS(H782=1,2,H782=3,1)</f>
      </c>
      <c r="Z782" s="4">
        <f t="shared" si="553"/>
      </c>
      <c r="AA782" s="4">
        <f t="shared" si="554"/>
      </c>
      <c r="AB782" s="4">
        <f t="shared" si="555"/>
      </c>
      <c r="AC782" s="4">
        <f t="shared" si="556"/>
      </c>
      <c r="AD782" s="4">
        <f t="shared" si="557"/>
      </c>
      <c r="AE782" s="4">
        <f t="shared" si="558"/>
      </c>
      <c r="AF782" s="4">
        <f t="shared" si="559"/>
      </c>
      <c r="AG782" s="4">
        <f t="shared" si="560"/>
        <v/>
      </c>
      <c r="AH782" s="4">
        <f t="shared" si="561"/>
      </c>
      <c r="AI782" s="4">
        <f t="shared" si="562"/>
      </c>
      <c r="AJ782" s="4">
        <f t="shared" si="563"/>
      </c>
      <c r="AK782" s="4">
        <f t="shared" si="564"/>
      </c>
      <c r="AL782" s="4">
        <f t="shared" si="565"/>
      </c>
      <c r="AM782" s="4">
        <f t="shared" si="566"/>
      </c>
      <c r="AN782" s="4"/>
      <c r="AO782" s="4">
        <f t="shared" si="567"/>
      </c>
      <c r="AP782" s="4">
        <f t="shared" si="568"/>
      </c>
      <c r="AQ782" s="4">
        <f t="shared" si="569"/>
        <v/>
      </c>
      <c r="AR782" s="4">
        <f t="shared" si="570"/>
      </c>
      <c r="AS782" s="4">
        <f t="shared" si="571"/>
      </c>
      <c r="AT782" s="4">
        <f t="shared" si="572"/>
      </c>
    </row>
    <row r="783" spans="1:46" x14ac:dyDescent="0.3">
      <c r="A783" s="5">
        <f t="shared" si="544"/>
      </c>
      <c r="B783" s="4">
        <f t="shared" si="545"/>
      </c>
      <c r="C783" s="59"/>
      <c r="D783" s="59"/>
      <c r="E783" s="70"/>
      <c r="F783" s="164"/>
      <c r="G783" s="164"/>
      <c r="H783" s="164"/>
      <c r="I783" s="70"/>
      <c r="J783" s="70"/>
      <c r="K783" s="70"/>
      <c r="L783" s="70"/>
      <c r="M783" s="4">
        <f t="shared" si="546"/>
      </c>
      <c r="N783" s="59"/>
      <c r="O783" s="164"/>
      <c r="P783" s="59">
        <f t="shared" si="547"/>
      </c>
      <c r="Q783" s="165"/>
      <c r="R783" s="59"/>
      <c r="S783" s="164"/>
      <c r="T783" s="5">
        <f t="shared" si="548"/>
      </c>
      <c r="U783" s="4">
        <f t="shared" si="549"/>
      </c>
      <c r="V783" s="4">
        <f t="shared" si="550"/>
      </c>
      <c r="W783" s="4">
        <f t="shared" si="551"/>
      </c>
      <c r="X783" s="4">
        <f t="shared" si="552"/>
      </c>
      <c r="Y783" s="4" cm="1">
        <f t="array" ref="Y783">_xlfn.IFS(H783=1,2,H783=3,1)</f>
      </c>
      <c r="Z783" s="4">
        <f t="shared" si="553"/>
      </c>
      <c r="AA783" s="4">
        <f t="shared" si="554"/>
      </c>
      <c r="AB783" s="4">
        <f t="shared" si="555"/>
      </c>
      <c r="AC783" s="4">
        <f t="shared" si="556"/>
      </c>
      <c r="AD783" s="4">
        <f t="shared" si="557"/>
      </c>
      <c r="AE783" s="4">
        <f t="shared" si="558"/>
      </c>
      <c r="AF783" s="4">
        <f t="shared" si="559"/>
      </c>
      <c r="AG783" s="4">
        <f t="shared" si="560"/>
        <v/>
      </c>
      <c r="AH783" s="4">
        <f t="shared" si="561"/>
      </c>
      <c r="AI783" s="4">
        <f t="shared" si="562"/>
      </c>
      <c r="AJ783" s="4">
        <f t="shared" si="563"/>
      </c>
      <c r="AK783" s="4">
        <f t="shared" si="564"/>
      </c>
      <c r="AL783" s="4">
        <f t="shared" si="565"/>
      </c>
      <c r="AM783" s="4">
        <f t="shared" si="566"/>
      </c>
      <c r="AN783" s="4"/>
      <c r="AO783" s="4">
        <f t="shared" si="567"/>
      </c>
      <c r="AP783" s="4">
        <f t="shared" si="568"/>
      </c>
      <c r="AQ783" s="4">
        <f t="shared" si="569"/>
        <v/>
      </c>
      <c r="AR783" s="4">
        <f t="shared" si="570"/>
      </c>
      <c r="AS783" s="4">
        <f t="shared" si="571"/>
      </c>
      <c r="AT783" s="4">
        <f t="shared" si="572"/>
      </c>
    </row>
    <row r="784" spans="1:46" x14ac:dyDescent="0.3">
      <c r="A784" s="5">
        <f t="shared" si="544"/>
      </c>
      <c r="B784" s="4">
        <f t="shared" si="545"/>
      </c>
      <c r="C784" s="59"/>
      <c r="D784" s="59"/>
      <c r="E784" s="70"/>
      <c r="F784" s="164"/>
      <c r="G784" s="164"/>
      <c r="H784" s="164"/>
      <c r="I784" s="70"/>
      <c r="J784" s="70"/>
      <c r="K784" s="70"/>
      <c r="L784" s="70"/>
      <c r="M784" s="4">
        <f t="shared" si="546"/>
      </c>
      <c r="N784" s="59"/>
      <c r="O784" s="164"/>
      <c r="P784" s="59">
        <f t="shared" si="547"/>
      </c>
      <c r="Q784" s="165"/>
      <c r="R784" s="59"/>
      <c r="S784" s="164"/>
      <c r="T784" s="5">
        <f t="shared" si="548"/>
      </c>
      <c r="U784" s="4">
        <f t="shared" si="549"/>
      </c>
      <c r="V784" s="4">
        <f t="shared" si="550"/>
      </c>
      <c r="W784" s="4">
        <f t="shared" si="551"/>
      </c>
      <c r="X784" s="4">
        <f t="shared" si="552"/>
      </c>
      <c r="Y784" s="4" cm="1">
        <f t="array" ref="Y784">_xlfn.IFS(H784=1,2,H784=3,1)</f>
      </c>
      <c r="Z784" s="4">
        <f t="shared" si="553"/>
      </c>
      <c r="AA784" s="4">
        <f t="shared" si="554"/>
      </c>
      <c r="AB784" s="4">
        <f t="shared" si="555"/>
      </c>
      <c r="AC784" s="4">
        <f t="shared" si="556"/>
      </c>
      <c r="AD784" s="4">
        <f t="shared" si="557"/>
      </c>
      <c r="AE784" s="4">
        <f t="shared" si="558"/>
      </c>
      <c r="AF784" s="4">
        <f t="shared" si="559"/>
      </c>
      <c r="AG784" s="4">
        <f t="shared" si="560"/>
        <v/>
      </c>
      <c r="AH784" s="4">
        <f t="shared" si="561"/>
      </c>
      <c r="AI784" s="4">
        <f t="shared" si="562"/>
      </c>
      <c r="AJ784" s="4">
        <f t="shared" si="563"/>
      </c>
      <c r="AK784" s="4">
        <f t="shared" si="564"/>
      </c>
      <c r="AL784" s="4">
        <f t="shared" si="565"/>
      </c>
      <c r="AM784" s="4">
        <f t="shared" si="566"/>
      </c>
      <c r="AN784" s="4"/>
      <c r="AO784" s="4">
        <f t="shared" si="567"/>
      </c>
      <c r="AP784" s="4">
        <f t="shared" si="568"/>
      </c>
      <c r="AQ784" s="4">
        <f t="shared" si="569"/>
        <v/>
      </c>
      <c r="AR784" s="4">
        <f t="shared" si="570"/>
      </c>
      <c r="AS784" s="4">
        <f t="shared" si="571"/>
      </c>
      <c r="AT784" s="4">
        <f t="shared" si="572"/>
      </c>
    </row>
    <row r="785" spans="1:46" x14ac:dyDescent="0.3">
      <c r="A785" s="5">
        <f t="shared" si="544"/>
      </c>
      <c r="B785" s="4">
        <f t="shared" si="545"/>
      </c>
      <c r="C785" s="59"/>
      <c r="D785" s="59"/>
      <c r="E785" s="70"/>
      <c r="F785" s="164"/>
      <c r="G785" s="164"/>
      <c r="H785" s="164"/>
      <c r="I785" s="70"/>
      <c r="J785" s="70"/>
      <c r="K785" s="70"/>
      <c r="L785" s="70"/>
      <c r="M785" s="4">
        <f t="shared" si="546"/>
      </c>
      <c r="N785" s="59"/>
      <c r="O785" s="164"/>
      <c r="P785" s="59">
        <f t="shared" si="547"/>
      </c>
      <c r="Q785" s="165"/>
      <c r="R785" s="59"/>
      <c r="S785" s="164"/>
      <c r="T785" s="5">
        <f t="shared" si="548"/>
      </c>
      <c r="U785" s="4">
        <f t="shared" si="549"/>
      </c>
      <c r="V785" s="4">
        <f t="shared" si="550"/>
      </c>
      <c r="W785" s="4">
        <f t="shared" si="551"/>
      </c>
      <c r="X785" s="4">
        <f t="shared" si="552"/>
      </c>
      <c r="Y785" s="4" cm="1">
        <f t="array" ref="Y785">_xlfn.IFS(H785=1,2,H785=3,1)</f>
      </c>
      <c r="Z785" s="4">
        <f t="shared" si="553"/>
      </c>
      <c r="AA785" s="4">
        <f t="shared" si="554"/>
      </c>
      <c r="AB785" s="4">
        <f t="shared" si="555"/>
      </c>
      <c r="AC785" s="4">
        <f t="shared" si="556"/>
      </c>
      <c r="AD785" s="4">
        <f t="shared" si="557"/>
      </c>
      <c r="AE785" s="4">
        <f t="shared" si="558"/>
      </c>
      <c r="AF785" s="4">
        <f t="shared" si="559"/>
      </c>
      <c r="AG785" s="4">
        <f t="shared" si="560"/>
        <v/>
      </c>
      <c r="AH785" s="4">
        <f t="shared" si="561"/>
      </c>
      <c r="AI785" s="4">
        <f t="shared" si="562"/>
      </c>
      <c r="AJ785" s="4">
        <f t="shared" si="563"/>
      </c>
      <c r="AK785" s="4">
        <f t="shared" si="564"/>
      </c>
      <c r="AL785" s="4">
        <f t="shared" si="565"/>
      </c>
      <c r="AM785" s="4">
        <f t="shared" si="566"/>
      </c>
      <c r="AN785" s="4"/>
      <c r="AO785" s="4">
        <f t="shared" si="567"/>
      </c>
      <c r="AP785" s="4">
        <f t="shared" si="568"/>
      </c>
      <c r="AQ785" s="4">
        <f t="shared" si="569"/>
        <v/>
      </c>
      <c r="AR785" s="4">
        <f t="shared" si="570"/>
      </c>
      <c r="AS785" s="4">
        <f t="shared" si="571"/>
      </c>
      <c r="AT785" s="4">
        <f t="shared" si="572"/>
      </c>
    </row>
    <row r="786" spans="1:46" x14ac:dyDescent="0.3">
      <c r="A786" s="5">
        <f t="shared" si="544"/>
      </c>
      <c r="B786" s="4">
        <f t="shared" si="545"/>
      </c>
      <c r="C786" s="59"/>
      <c r="D786" s="59"/>
      <c r="E786" s="70"/>
      <c r="F786" s="164"/>
      <c r="G786" s="164"/>
      <c r="H786" s="164"/>
      <c r="I786" s="70"/>
      <c r="J786" s="70"/>
      <c r="K786" s="70"/>
      <c r="L786" s="70"/>
      <c r="M786" s="4">
        <f t="shared" si="546"/>
      </c>
      <c r="N786" s="59"/>
      <c r="O786" s="164"/>
      <c r="P786" s="59">
        <f t="shared" si="547"/>
      </c>
      <c r="Q786" s="165"/>
      <c r="R786" s="59"/>
      <c r="S786" s="164"/>
      <c r="T786" s="5">
        <f t="shared" si="548"/>
      </c>
      <c r="U786" s="4">
        <f t="shared" si="549"/>
      </c>
      <c r="V786" s="4">
        <f t="shared" si="550"/>
      </c>
      <c r="W786" s="4">
        <f t="shared" si="551"/>
      </c>
      <c r="X786" s="4">
        <f t="shared" si="552"/>
      </c>
      <c r="Y786" s="4" cm="1">
        <f t="array" ref="Y786">_xlfn.IFS(H786=1,2,H786=3,1)</f>
      </c>
      <c r="Z786" s="4">
        <f t="shared" si="553"/>
      </c>
      <c r="AA786" s="4">
        <f t="shared" si="554"/>
      </c>
      <c r="AB786" s="4">
        <f t="shared" si="555"/>
      </c>
      <c r="AC786" s="4">
        <f t="shared" si="556"/>
      </c>
      <c r="AD786" s="4">
        <f t="shared" si="557"/>
      </c>
      <c r="AE786" s="4">
        <f t="shared" si="558"/>
      </c>
      <c r="AF786" s="4">
        <f t="shared" si="559"/>
      </c>
      <c r="AG786" s="4">
        <f t="shared" si="560"/>
        <v/>
      </c>
      <c r="AH786" s="4">
        <f t="shared" si="561"/>
      </c>
      <c r="AI786" s="4">
        <f t="shared" si="562"/>
      </c>
      <c r="AJ786" s="4">
        <f t="shared" si="563"/>
      </c>
      <c r="AK786" s="4">
        <f t="shared" si="564"/>
      </c>
      <c r="AL786" s="4">
        <f t="shared" si="565"/>
      </c>
      <c r="AM786" s="4">
        <f t="shared" si="566"/>
      </c>
      <c r="AN786" s="4"/>
      <c r="AO786" s="4">
        <f t="shared" si="567"/>
      </c>
      <c r="AP786" s="4">
        <f t="shared" si="568"/>
      </c>
      <c r="AQ786" s="4">
        <f t="shared" si="569"/>
        <v/>
      </c>
      <c r="AR786" s="4">
        <f t="shared" si="570"/>
      </c>
      <c r="AS786" s="4">
        <f t="shared" si="571"/>
      </c>
      <c r="AT786" s="4">
        <f t="shared" si="572"/>
      </c>
    </row>
    <row r="787" spans="1:46" x14ac:dyDescent="0.3">
      <c r="A787" s="5">
        <f t="shared" si="544"/>
      </c>
      <c r="B787" s="4">
        <f t="shared" si="545"/>
      </c>
      <c r="C787" s="59"/>
      <c r="D787" s="59"/>
      <c r="E787" s="70"/>
      <c r="F787" s="164"/>
      <c r="G787" s="164"/>
      <c r="H787" s="164"/>
      <c r="I787" s="70"/>
      <c r="J787" s="70"/>
      <c r="K787" s="70"/>
      <c r="L787" s="70"/>
      <c r="M787" s="4">
        <f t="shared" si="546"/>
      </c>
      <c r="N787" s="59"/>
      <c r="O787" s="164"/>
      <c r="P787" s="59">
        <f t="shared" si="547"/>
      </c>
      <c r="Q787" s="165"/>
      <c r="R787" s="59"/>
      <c r="S787" s="164"/>
      <c r="T787" s="5">
        <f t="shared" si="548"/>
      </c>
      <c r="U787" s="4">
        <f t="shared" si="549"/>
      </c>
      <c r="V787" s="4">
        <f t="shared" si="550"/>
      </c>
      <c r="W787" s="4">
        <f t="shared" si="551"/>
      </c>
      <c r="X787" s="4">
        <f t="shared" si="552"/>
      </c>
      <c r="Y787" s="4" cm="1">
        <f t="array" ref="Y787">_xlfn.IFS(H787=1,2,H787=3,1)</f>
      </c>
      <c r="Z787" s="4">
        <f t="shared" si="553"/>
      </c>
      <c r="AA787" s="4">
        <f t="shared" si="554"/>
      </c>
      <c r="AB787" s="4">
        <f t="shared" si="555"/>
      </c>
      <c r="AC787" s="4">
        <f t="shared" si="556"/>
      </c>
      <c r="AD787" s="4">
        <f t="shared" si="557"/>
      </c>
      <c r="AE787" s="4">
        <f t="shared" si="558"/>
      </c>
      <c r="AF787" s="4">
        <f t="shared" si="559"/>
      </c>
      <c r="AG787" s="4">
        <f t="shared" si="560"/>
        <v/>
      </c>
      <c r="AH787" s="4">
        <f t="shared" si="561"/>
      </c>
      <c r="AI787" s="4">
        <f t="shared" si="562"/>
      </c>
      <c r="AJ787" s="4">
        <f t="shared" si="563"/>
      </c>
      <c r="AK787" s="4">
        <f t="shared" si="564"/>
      </c>
      <c r="AL787" s="4">
        <f t="shared" si="565"/>
      </c>
      <c r="AM787" s="4">
        <f t="shared" si="566"/>
      </c>
      <c r="AN787" s="4"/>
      <c r="AO787" s="4">
        <f t="shared" si="567"/>
      </c>
      <c r="AP787" s="4">
        <f t="shared" si="568"/>
      </c>
      <c r="AQ787" s="4">
        <f t="shared" si="569"/>
        <v/>
      </c>
      <c r="AR787" s="4">
        <f t="shared" si="570"/>
      </c>
      <c r="AS787" s="4">
        <f t="shared" si="571"/>
      </c>
      <c r="AT787" s="4">
        <f t="shared" si="572"/>
      </c>
    </row>
    <row r="788" spans="1:46" x14ac:dyDescent="0.3">
      <c r="A788" s="5">
        <f t="shared" si="544"/>
      </c>
      <c r="B788" s="4">
        <f t="shared" si="545"/>
      </c>
      <c r="C788" s="59"/>
      <c r="D788" s="59"/>
      <c r="E788" s="70"/>
      <c r="F788" s="164"/>
      <c r="G788" s="164"/>
      <c r="H788" s="164"/>
      <c r="I788" s="70"/>
      <c r="J788" s="70"/>
      <c r="K788" s="70"/>
      <c r="L788" s="70"/>
      <c r="M788" s="4">
        <f t="shared" si="546"/>
      </c>
      <c r="N788" s="59"/>
      <c r="O788" s="164"/>
      <c r="P788" s="59">
        <f t="shared" si="547"/>
      </c>
      <c r="Q788" s="165"/>
      <c r="R788" s="59"/>
      <c r="S788" s="164"/>
      <c r="T788" s="5">
        <f t="shared" si="548"/>
      </c>
      <c r="U788" s="4">
        <f t="shared" si="549"/>
      </c>
      <c r="V788" s="4">
        <f t="shared" si="550"/>
      </c>
      <c r="W788" s="4">
        <f t="shared" si="551"/>
      </c>
      <c r="X788" s="4">
        <f t="shared" si="552"/>
      </c>
      <c r="Y788" s="4" cm="1">
        <f t="array" ref="Y788">_xlfn.IFS(H788=1,2,H788=3,1)</f>
      </c>
      <c r="Z788" s="4">
        <f t="shared" si="553"/>
      </c>
      <c r="AA788" s="4">
        <f t="shared" si="554"/>
      </c>
      <c r="AB788" s="4">
        <f t="shared" si="555"/>
      </c>
      <c r="AC788" s="4">
        <f t="shared" si="556"/>
      </c>
      <c r="AD788" s="4">
        <f t="shared" si="557"/>
      </c>
      <c r="AE788" s="4">
        <f t="shared" si="558"/>
      </c>
      <c r="AF788" s="4">
        <f t="shared" si="559"/>
      </c>
      <c r="AG788" s="4">
        <f t="shared" si="560"/>
        <v/>
      </c>
      <c r="AH788" s="4">
        <f t="shared" si="561"/>
      </c>
      <c r="AI788" s="4">
        <f t="shared" si="562"/>
      </c>
      <c r="AJ788" s="4">
        <f t="shared" si="563"/>
      </c>
      <c r="AK788" s="4">
        <f t="shared" si="564"/>
      </c>
      <c r="AL788" s="4">
        <f t="shared" si="565"/>
      </c>
      <c r="AM788" s="4">
        <f t="shared" si="566"/>
      </c>
      <c r="AN788" s="4"/>
      <c r="AO788" s="4">
        <f t="shared" si="567"/>
      </c>
      <c r="AP788" s="4">
        <f t="shared" si="568"/>
      </c>
      <c r="AQ788" s="4">
        <f t="shared" si="569"/>
        <v/>
      </c>
      <c r="AR788" s="4">
        <f t="shared" si="570"/>
      </c>
      <c r="AS788" s="4">
        <f t="shared" si="571"/>
      </c>
      <c r="AT788" s="4">
        <f t="shared" si="572"/>
      </c>
    </row>
    <row r="789" spans="1:46" x14ac:dyDescent="0.3">
      <c r="A789" s="5">
        <f t="shared" si="544"/>
      </c>
      <c r="B789" s="4">
        <f t="shared" si="545"/>
      </c>
      <c r="C789" s="59"/>
      <c r="D789" s="59"/>
      <c r="E789" s="70"/>
      <c r="F789" s="164"/>
      <c r="G789" s="164"/>
      <c r="H789" s="164"/>
      <c r="I789" s="70"/>
      <c r="J789" s="70"/>
      <c r="K789" s="70"/>
      <c r="L789" s="70"/>
      <c r="M789" s="4">
        <f t="shared" si="546"/>
      </c>
      <c r="N789" s="59"/>
      <c r="O789" s="164"/>
      <c r="P789" s="59">
        <f t="shared" si="547"/>
      </c>
      <c r="Q789" s="165"/>
      <c r="R789" s="59"/>
      <c r="S789" s="164"/>
      <c r="T789" s="5">
        <f t="shared" si="548"/>
      </c>
      <c r="U789" s="4">
        <f t="shared" si="549"/>
      </c>
      <c r="V789" s="4">
        <f t="shared" si="550"/>
      </c>
      <c r="W789" s="4">
        <f t="shared" si="551"/>
      </c>
      <c r="X789" s="4">
        <f t="shared" si="552"/>
      </c>
      <c r="Y789" s="4" cm="1">
        <f t="array" ref="Y789">_xlfn.IFS(H789=1,2,H789=3,1)</f>
      </c>
      <c r="Z789" s="4">
        <f t="shared" si="553"/>
      </c>
      <c r="AA789" s="4">
        <f t="shared" si="554"/>
      </c>
      <c r="AB789" s="4">
        <f t="shared" si="555"/>
      </c>
      <c r="AC789" s="4">
        <f t="shared" si="556"/>
      </c>
      <c r="AD789" s="4">
        <f t="shared" si="557"/>
      </c>
      <c r="AE789" s="4">
        <f t="shared" si="558"/>
      </c>
      <c r="AF789" s="4">
        <f t="shared" si="559"/>
      </c>
      <c r="AG789" s="4">
        <f t="shared" si="560"/>
        <v/>
      </c>
      <c r="AH789" s="4">
        <f t="shared" si="561"/>
      </c>
      <c r="AI789" s="4">
        <f t="shared" si="562"/>
      </c>
      <c r="AJ789" s="4">
        <f t="shared" si="563"/>
      </c>
      <c r="AK789" s="4">
        <f t="shared" si="564"/>
      </c>
      <c r="AL789" s="4">
        <f t="shared" si="565"/>
      </c>
      <c r="AM789" s="4">
        <f t="shared" si="566"/>
      </c>
      <c r="AN789" s="4"/>
      <c r="AO789" s="4">
        <f t="shared" si="567"/>
      </c>
      <c r="AP789" s="4">
        <f t="shared" si="568"/>
      </c>
      <c r="AQ789" s="4">
        <f t="shared" si="569"/>
        <v/>
      </c>
      <c r="AR789" s="4">
        <f t="shared" si="570"/>
      </c>
      <c r="AS789" s="4">
        <f t="shared" si="571"/>
      </c>
      <c r="AT789" s="4">
        <f t="shared" si="572"/>
      </c>
    </row>
    <row r="790" spans="1:46" x14ac:dyDescent="0.3">
      <c r="A790" s="5">
        <f t="shared" si="544"/>
      </c>
      <c r="B790" s="4">
        <f t="shared" si="545"/>
      </c>
      <c r="C790" s="59"/>
      <c r="D790" s="59"/>
      <c r="E790" s="70"/>
      <c r="F790" s="164"/>
      <c r="G790" s="164"/>
      <c r="H790" s="164"/>
      <c r="I790" s="70"/>
      <c r="J790" s="70"/>
      <c r="K790" s="70"/>
      <c r="L790" s="70"/>
      <c r="M790" s="4">
        <f t="shared" si="546"/>
      </c>
      <c r="N790" s="59"/>
      <c r="O790" s="164"/>
      <c r="P790" s="59">
        <f t="shared" si="547"/>
      </c>
      <c r="Q790" s="165"/>
      <c r="R790" s="59"/>
      <c r="S790" s="164"/>
      <c r="T790" s="5">
        <f t="shared" si="548"/>
      </c>
      <c r="U790" s="4">
        <f t="shared" si="549"/>
      </c>
      <c r="V790" s="4">
        <f t="shared" si="550"/>
      </c>
      <c r="W790" s="4">
        <f t="shared" si="551"/>
      </c>
      <c r="X790" s="4">
        <f t="shared" si="552"/>
      </c>
      <c r="Y790" s="4" cm="1">
        <f t="array" ref="Y790">_xlfn.IFS(H790=1,2,H790=3,1)</f>
      </c>
      <c r="Z790" s="4">
        <f t="shared" si="553"/>
      </c>
      <c r="AA790" s="4">
        <f t="shared" si="554"/>
      </c>
      <c r="AB790" s="4">
        <f t="shared" si="555"/>
      </c>
      <c r="AC790" s="4">
        <f t="shared" si="556"/>
      </c>
      <c r="AD790" s="4">
        <f t="shared" si="557"/>
      </c>
      <c r="AE790" s="4">
        <f t="shared" si="558"/>
      </c>
      <c r="AF790" s="4">
        <f t="shared" si="559"/>
      </c>
      <c r="AG790" s="4">
        <f t="shared" si="560"/>
        <v/>
      </c>
      <c r="AH790" s="4">
        <f t="shared" si="561"/>
      </c>
      <c r="AI790" s="4">
        <f t="shared" si="562"/>
      </c>
      <c r="AJ790" s="4">
        <f t="shared" si="563"/>
      </c>
      <c r="AK790" s="4">
        <f t="shared" si="564"/>
      </c>
      <c r="AL790" s="4">
        <f t="shared" si="565"/>
      </c>
      <c r="AM790" s="4">
        <f t="shared" si="566"/>
      </c>
      <c r="AN790" s="4"/>
      <c r="AO790" s="4">
        <f t="shared" si="567"/>
      </c>
      <c r="AP790" s="4">
        <f t="shared" si="568"/>
      </c>
      <c r="AQ790" s="4">
        <f t="shared" si="569"/>
        <v/>
      </c>
      <c r="AR790" s="4">
        <f t="shared" si="570"/>
      </c>
      <c r="AS790" s="4">
        <f t="shared" si="571"/>
      </c>
      <c r="AT790" s="4">
        <f t="shared" si="572"/>
      </c>
    </row>
    <row r="791" spans="1:46" x14ac:dyDescent="0.3">
      <c r="A791" s="5">
        <f t="shared" si="544"/>
      </c>
      <c r="B791" s="4">
        <f t="shared" si="545"/>
      </c>
      <c r="C791" s="59"/>
      <c r="D791" s="59"/>
      <c r="E791" s="70"/>
      <c r="F791" s="164"/>
      <c r="G791" s="164"/>
      <c r="H791" s="164"/>
      <c r="I791" s="70"/>
      <c r="J791" s="70"/>
      <c r="K791" s="70"/>
      <c r="L791" s="70"/>
      <c r="M791" s="4">
        <f t="shared" si="546"/>
      </c>
      <c r="N791" s="59"/>
      <c r="O791" s="164"/>
      <c r="P791" s="59">
        <f t="shared" si="547"/>
      </c>
      <c r="Q791" s="165"/>
      <c r="R791" s="59"/>
      <c r="S791" s="164"/>
      <c r="T791" s="5">
        <f t="shared" si="548"/>
      </c>
      <c r="U791" s="4">
        <f t="shared" si="549"/>
      </c>
      <c r="V791" s="4">
        <f t="shared" si="550"/>
      </c>
      <c r="W791" s="4">
        <f t="shared" si="551"/>
      </c>
      <c r="X791" s="4">
        <f t="shared" si="552"/>
      </c>
      <c r="Y791" s="4" cm="1">
        <f t="array" ref="Y791">_xlfn.IFS(H791=1,2,H791=3,1)</f>
      </c>
      <c r="Z791" s="4">
        <f t="shared" si="553"/>
      </c>
      <c r="AA791" s="4">
        <f t="shared" si="554"/>
      </c>
      <c r="AB791" s="4">
        <f t="shared" si="555"/>
      </c>
      <c r="AC791" s="4">
        <f t="shared" si="556"/>
      </c>
      <c r="AD791" s="4">
        <f t="shared" si="557"/>
      </c>
      <c r="AE791" s="4">
        <f t="shared" si="558"/>
      </c>
      <c r="AF791" s="4">
        <f t="shared" si="559"/>
      </c>
      <c r="AG791" s="4">
        <f t="shared" si="560"/>
        <v/>
      </c>
      <c r="AH791" s="4">
        <f t="shared" si="561"/>
      </c>
      <c r="AI791" s="4">
        <f t="shared" si="562"/>
      </c>
      <c r="AJ791" s="4">
        <f t="shared" si="563"/>
      </c>
      <c r="AK791" s="4">
        <f t="shared" si="564"/>
      </c>
      <c r="AL791" s="4">
        <f t="shared" si="565"/>
      </c>
      <c r="AM791" s="4">
        <f t="shared" si="566"/>
      </c>
      <c r="AN791" s="4"/>
      <c r="AO791" s="4">
        <f t="shared" si="567"/>
      </c>
      <c r="AP791" s="4">
        <f t="shared" si="568"/>
      </c>
      <c r="AQ791" s="4">
        <f t="shared" si="569"/>
        <v/>
      </c>
      <c r="AR791" s="4">
        <f t="shared" si="570"/>
      </c>
      <c r="AS791" s="4">
        <f t="shared" si="571"/>
      </c>
      <c r="AT791" s="4">
        <f t="shared" si="572"/>
      </c>
    </row>
    <row r="792" spans="1:46" x14ac:dyDescent="0.3">
      <c r="A792" s="5">
        <f t="shared" si="544"/>
      </c>
      <c r="B792" s="4">
        <f t="shared" si="545"/>
      </c>
      <c r="C792" s="59"/>
      <c r="D792" s="59"/>
      <c r="E792" s="70"/>
      <c r="F792" s="164"/>
      <c r="G792" s="164"/>
      <c r="H792" s="164"/>
      <c r="I792" s="70"/>
      <c r="J792" s="70"/>
      <c r="K792" s="70"/>
      <c r="L792" s="70"/>
      <c r="M792" s="4">
        <f t="shared" si="546"/>
      </c>
      <c r="N792" s="59"/>
      <c r="O792" s="164"/>
      <c r="P792" s="59">
        <f t="shared" si="547"/>
      </c>
      <c r="Q792" s="165"/>
      <c r="R792" s="59"/>
      <c r="S792" s="164"/>
      <c r="T792" s="5">
        <f t="shared" si="548"/>
      </c>
      <c r="U792" s="4">
        <f t="shared" si="549"/>
      </c>
      <c r="V792" s="4">
        <f t="shared" si="550"/>
      </c>
      <c r="W792" s="4">
        <f t="shared" si="551"/>
      </c>
      <c r="X792" s="4">
        <f t="shared" si="552"/>
      </c>
      <c r="Y792" s="4" cm="1">
        <f t="array" ref="Y792">_xlfn.IFS(H792=1,2,H792=3,1)</f>
      </c>
      <c r="Z792" s="4">
        <f t="shared" si="553"/>
      </c>
      <c r="AA792" s="4">
        <f t="shared" si="554"/>
      </c>
      <c r="AB792" s="4">
        <f t="shared" si="555"/>
      </c>
      <c r="AC792" s="4">
        <f t="shared" si="556"/>
      </c>
      <c r="AD792" s="4">
        <f t="shared" si="557"/>
      </c>
      <c r="AE792" s="4">
        <f t="shared" si="558"/>
      </c>
      <c r="AF792" s="4">
        <f t="shared" si="559"/>
      </c>
      <c r="AG792" s="4">
        <f t="shared" si="560"/>
        <v/>
      </c>
      <c r="AH792" s="4">
        <f t="shared" si="561"/>
      </c>
      <c r="AI792" s="4">
        <f t="shared" si="562"/>
      </c>
      <c r="AJ792" s="4">
        <f t="shared" si="563"/>
      </c>
      <c r="AK792" s="4">
        <f t="shared" si="564"/>
      </c>
      <c r="AL792" s="4">
        <f t="shared" si="565"/>
      </c>
      <c r="AM792" s="4">
        <f t="shared" si="566"/>
      </c>
      <c r="AN792" s="4"/>
      <c r="AO792" s="4">
        <f t="shared" si="567"/>
      </c>
      <c r="AP792" s="4">
        <f t="shared" si="568"/>
      </c>
      <c r="AQ792" s="4">
        <f t="shared" si="569"/>
        <v/>
      </c>
      <c r="AR792" s="4">
        <f t="shared" si="570"/>
      </c>
      <c r="AS792" s="4">
        <f t="shared" si="571"/>
      </c>
      <c r="AT792" s="4">
        <f t="shared" si="572"/>
      </c>
    </row>
    <row r="793" spans="1:46" x14ac:dyDescent="0.3">
      <c r="A793" s="5">
        <f t="shared" si="544"/>
      </c>
      <c r="B793" s="4">
        <f t="shared" si="545"/>
      </c>
      <c r="C793" s="59"/>
      <c r="D793" s="59"/>
      <c r="E793" s="70"/>
      <c r="F793" s="164"/>
      <c r="G793" s="164"/>
      <c r="H793" s="164"/>
      <c r="I793" s="70"/>
      <c r="J793" s="70"/>
      <c r="K793" s="70"/>
      <c r="L793" s="70"/>
      <c r="M793" s="4">
        <f t="shared" si="546"/>
      </c>
      <c r="N793" s="59"/>
      <c r="O793" s="164"/>
      <c r="P793" s="59">
        <f t="shared" si="547"/>
      </c>
      <c r="Q793" s="165"/>
      <c r="R793" s="59"/>
      <c r="S793" s="164"/>
      <c r="T793" s="5">
        <f t="shared" si="548"/>
      </c>
      <c r="U793" s="4">
        <f t="shared" si="549"/>
      </c>
      <c r="V793" s="4">
        <f t="shared" si="550"/>
      </c>
      <c r="W793" s="4">
        <f t="shared" si="551"/>
      </c>
      <c r="X793" s="4">
        <f t="shared" si="552"/>
      </c>
      <c r="Y793" s="4" cm="1">
        <f t="array" ref="Y793">_xlfn.IFS(H793=1,2,H793=3,1)</f>
      </c>
      <c r="Z793" s="4">
        <f t="shared" si="553"/>
      </c>
      <c r="AA793" s="4">
        <f t="shared" si="554"/>
      </c>
      <c r="AB793" s="4">
        <f t="shared" si="555"/>
      </c>
      <c r="AC793" s="4">
        <f t="shared" si="556"/>
      </c>
      <c r="AD793" s="4">
        <f t="shared" si="557"/>
      </c>
      <c r="AE793" s="4">
        <f t="shared" si="558"/>
      </c>
      <c r="AF793" s="4">
        <f t="shared" si="559"/>
      </c>
      <c r="AG793" s="4">
        <f t="shared" si="560"/>
        <v/>
      </c>
      <c r="AH793" s="4">
        <f t="shared" si="561"/>
      </c>
      <c r="AI793" s="4">
        <f t="shared" si="562"/>
      </c>
      <c r="AJ793" s="4">
        <f t="shared" si="563"/>
      </c>
      <c r="AK793" s="4">
        <f t="shared" si="564"/>
      </c>
      <c r="AL793" s="4">
        <f t="shared" si="565"/>
      </c>
      <c r="AM793" s="4">
        <f t="shared" si="566"/>
      </c>
      <c r="AN793" s="4"/>
      <c r="AO793" s="4">
        <f t="shared" si="567"/>
      </c>
      <c r="AP793" s="4">
        <f t="shared" si="568"/>
      </c>
      <c r="AQ793" s="4">
        <f t="shared" si="569"/>
        <v/>
      </c>
      <c r="AR793" s="4">
        <f t="shared" si="570"/>
      </c>
      <c r="AS793" s="4">
        <f t="shared" si="571"/>
      </c>
      <c r="AT793" s="4">
        <f t="shared" si="572"/>
      </c>
    </row>
    <row r="794" spans="1:46" x14ac:dyDescent="0.3">
      <c r="A794" s="5">
        <f t="shared" si="544"/>
      </c>
      <c r="B794" s="4">
        <f t="shared" si="545"/>
      </c>
      <c r="C794" s="59"/>
      <c r="D794" s="59"/>
      <c r="E794" s="70"/>
      <c r="F794" s="164"/>
      <c r="G794" s="164"/>
      <c r="H794" s="164"/>
      <c r="I794" s="70"/>
      <c r="J794" s="70"/>
      <c r="K794" s="70"/>
      <c r="L794" s="70"/>
      <c r="M794" s="4">
        <f t="shared" si="546"/>
      </c>
      <c r="N794" s="59"/>
      <c r="O794" s="164"/>
      <c r="P794" s="59">
        <f t="shared" si="547"/>
      </c>
      <c r="Q794" s="165"/>
      <c r="R794" s="59"/>
      <c r="S794" s="164"/>
      <c r="T794" s="5">
        <f t="shared" si="548"/>
      </c>
      <c r="U794" s="4">
        <f t="shared" si="549"/>
      </c>
      <c r="V794" s="4">
        <f t="shared" si="550"/>
      </c>
      <c r="W794" s="4">
        <f t="shared" si="551"/>
      </c>
      <c r="X794" s="4">
        <f t="shared" si="552"/>
      </c>
      <c r="Y794" s="4" cm="1">
        <f t="array" ref="Y794">_xlfn.IFS(H794=1,2,H794=3,1)</f>
      </c>
      <c r="Z794" s="4">
        <f t="shared" si="553"/>
      </c>
      <c r="AA794" s="4">
        <f t="shared" si="554"/>
      </c>
      <c r="AB794" s="4">
        <f t="shared" si="555"/>
      </c>
      <c r="AC794" s="4">
        <f t="shared" si="556"/>
      </c>
      <c r="AD794" s="4">
        <f t="shared" si="557"/>
      </c>
      <c r="AE794" s="4">
        <f t="shared" si="558"/>
      </c>
      <c r="AF794" s="4">
        <f t="shared" si="559"/>
      </c>
      <c r="AG794" s="4">
        <f t="shared" si="560"/>
        <v/>
      </c>
      <c r="AH794" s="4">
        <f t="shared" si="561"/>
      </c>
      <c r="AI794" s="4">
        <f t="shared" si="562"/>
      </c>
      <c r="AJ794" s="4">
        <f t="shared" si="563"/>
      </c>
      <c r="AK794" s="4">
        <f t="shared" si="564"/>
      </c>
      <c r="AL794" s="4">
        <f t="shared" si="565"/>
      </c>
      <c r="AM794" s="4">
        <f t="shared" si="566"/>
      </c>
      <c r="AN794" s="4"/>
      <c r="AO794" s="4">
        <f t="shared" si="567"/>
      </c>
      <c r="AP794" s="4">
        <f t="shared" si="568"/>
      </c>
      <c r="AQ794" s="4">
        <f t="shared" si="569"/>
        <v/>
      </c>
      <c r="AR794" s="4">
        <f t="shared" si="570"/>
      </c>
      <c r="AS794" s="4">
        <f t="shared" si="571"/>
      </c>
      <c r="AT794" s="4">
        <f t="shared" si="572"/>
      </c>
    </row>
    <row r="795" spans="1:46" x14ac:dyDescent="0.3">
      <c r="A795" s="5">
        <f t="shared" si="544"/>
      </c>
      <c r="B795" s="4">
        <f t="shared" si="545"/>
      </c>
      <c r="C795" s="59"/>
      <c r="D795" s="59"/>
      <c r="E795" s="70"/>
      <c r="F795" s="164"/>
      <c r="G795" s="164"/>
      <c r="H795" s="164"/>
      <c r="I795" s="70"/>
      <c r="J795" s="70"/>
      <c r="K795" s="70"/>
      <c r="L795" s="70"/>
      <c r="M795" s="4">
        <f t="shared" si="546"/>
      </c>
      <c r="N795" s="59"/>
      <c r="O795" s="164"/>
      <c r="P795" s="59">
        <f t="shared" si="547"/>
      </c>
      <c r="Q795" s="165"/>
      <c r="R795" s="59"/>
      <c r="S795" s="164"/>
      <c r="T795" s="5">
        <f t="shared" si="548"/>
      </c>
      <c r="U795" s="4">
        <f t="shared" si="549"/>
      </c>
      <c r="V795" s="4">
        <f t="shared" si="550"/>
      </c>
      <c r="W795" s="4">
        <f t="shared" si="551"/>
      </c>
      <c r="X795" s="4">
        <f t="shared" si="552"/>
      </c>
      <c r="Y795" s="4" cm="1">
        <f t="array" ref="Y795">_xlfn.IFS(H795=1,2,H795=3,1)</f>
      </c>
      <c r="Z795" s="4">
        <f t="shared" si="553"/>
      </c>
      <c r="AA795" s="4">
        <f t="shared" si="554"/>
      </c>
      <c r="AB795" s="4">
        <f t="shared" si="555"/>
      </c>
      <c r="AC795" s="4">
        <f t="shared" si="556"/>
      </c>
      <c r="AD795" s="4">
        <f t="shared" si="557"/>
      </c>
      <c r="AE795" s="4">
        <f t="shared" si="558"/>
      </c>
      <c r="AF795" s="4">
        <f t="shared" si="559"/>
      </c>
      <c r="AG795" s="4">
        <f t="shared" si="560"/>
        <v/>
      </c>
      <c r="AH795" s="4">
        <f t="shared" si="561"/>
      </c>
      <c r="AI795" s="4">
        <f t="shared" si="562"/>
      </c>
      <c r="AJ795" s="4">
        <f t="shared" si="563"/>
      </c>
      <c r="AK795" s="4">
        <f t="shared" si="564"/>
      </c>
      <c r="AL795" s="4">
        <f t="shared" si="565"/>
      </c>
      <c r="AM795" s="4">
        <f t="shared" si="566"/>
      </c>
      <c r="AN795" s="4"/>
      <c r="AO795" s="4">
        <f t="shared" si="567"/>
      </c>
      <c r="AP795" s="4">
        <f t="shared" si="568"/>
      </c>
      <c r="AQ795" s="4">
        <f t="shared" si="569"/>
        <v/>
      </c>
      <c r="AR795" s="4">
        <f t="shared" si="570"/>
      </c>
      <c r="AS795" s="4">
        <f t="shared" si="571"/>
      </c>
      <c r="AT795" s="4">
        <f t="shared" si="572"/>
      </c>
    </row>
    <row r="796" spans="1:46" x14ac:dyDescent="0.3">
      <c r="A796" s="5">
        <f t="shared" si="544"/>
      </c>
      <c r="B796" s="4">
        <f t="shared" si="545"/>
      </c>
      <c r="C796" s="59"/>
      <c r="D796" s="59"/>
      <c r="E796" s="70"/>
      <c r="F796" s="164"/>
      <c r="G796" s="164"/>
      <c r="H796" s="164"/>
      <c r="I796" s="70"/>
      <c r="J796" s="70"/>
      <c r="K796" s="70"/>
      <c r="L796" s="70"/>
      <c r="M796" s="4">
        <f t="shared" si="546"/>
      </c>
      <c r="N796" s="59"/>
      <c r="O796" s="164"/>
      <c r="P796" s="59">
        <f t="shared" si="547"/>
      </c>
      <c r="Q796" s="165"/>
      <c r="R796" s="59"/>
      <c r="S796" s="164"/>
      <c r="T796" s="5">
        <f t="shared" si="548"/>
      </c>
      <c r="U796" s="4">
        <f t="shared" si="549"/>
      </c>
      <c r="V796" s="4">
        <f t="shared" si="550"/>
      </c>
      <c r="W796" s="4">
        <f t="shared" si="551"/>
      </c>
      <c r="X796" s="4">
        <f t="shared" si="552"/>
      </c>
      <c r="Y796" s="4" cm="1">
        <f t="array" ref="Y796">_xlfn.IFS(H796=1,2,H796=3,1)</f>
      </c>
      <c r="Z796" s="4">
        <f t="shared" si="553"/>
      </c>
      <c r="AA796" s="4">
        <f t="shared" si="554"/>
      </c>
      <c r="AB796" s="4">
        <f t="shared" si="555"/>
      </c>
      <c r="AC796" s="4">
        <f t="shared" si="556"/>
      </c>
      <c r="AD796" s="4">
        <f t="shared" si="557"/>
      </c>
      <c r="AE796" s="4">
        <f t="shared" si="558"/>
      </c>
      <c r="AF796" s="4">
        <f t="shared" si="559"/>
      </c>
      <c r="AG796" s="4">
        <f t="shared" si="560"/>
        <v/>
      </c>
      <c r="AH796" s="4">
        <f t="shared" si="561"/>
      </c>
      <c r="AI796" s="4">
        <f t="shared" si="562"/>
      </c>
      <c r="AJ796" s="4">
        <f t="shared" si="563"/>
      </c>
      <c r="AK796" s="4">
        <f t="shared" si="564"/>
      </c>
      <c r="AL796" s="4">
        <f t="shared" si="565"/>
      </c>
      <c r="AM796" s="4">
        <f t="shared" si="566"/>
      </c>
      <c r="AN796" s="4"/>
      <c r="AO796" s="4">
        <f t="shared" si="567"/>
      </c>
      <c r="AP796" s="4">
        <f t="shared" si="568"/>
      </c>
      <c r="AQ796" s="4">
        <f t="shared" si="569"/>
        <v/>
      </c>
      <c r="AR796" s="4">
        <f t="shared" si="570"/>
      </c>
      <c r="AS796" s="4">
        <f t="shared" si="571"/>
      </c>
      <c r="AT796" s="4">
        <f t="shared" si="572"/>
      </c>
    </row>
    <row r="797" spans="1:46" x14ac:dyDescent="0.3">
      <c r="A797" s="5">
        <f t="shared" si="544"/>
      </c>
      <c r="B797" s="4">
        <f t="shared" si="545"/>
      </c>
      <c r="C797" s="59"/>
      <c r="D797" s="59"/>
      <c r="E797" s="70"/>
      <c r="F797" s="164"/>
      <c r="G797" s="164"/>
      <c r="H797" s="164"/>
      <c r="I797" s="70"/>
      <c r="J797" s="70"/>
      <c r="K797" s="70"/>
      <c r="L797" s="70"/>
      <c r="M797" s="4">
        <f t="shared" si="546"/>
      </c>
      <c r="N797" s="59"/>
      <c r="O797" s="164"/>
      <c r="P797" s="59">
        <f t="shared" si="547"/>
      </c>
      <c r="Q797" s="165"/>
      <c r="R797" s="59"/>
      <c r="S797" s="164"/>
      <c r="T797" s="5">
        <f t="shared" si="548"/>
      </c>
      <c r="U797" s="4">
        <f t="shared" si="549"/>
      </c>
      <c r="V797" s="4">
        <f t="shared" si="550"/>
      </c>
      <c r="W797" s="4">
        <f t="shared" si="551"/>
      </c>
      <c r="X797" s="4">
        <f t="shared" si="552"/>
      </c>
      <c r="Y797" s="4" cm="1">
        <f t="array" ref="Y797">_xlfn.IFS(H797=1,2,H797=3,1)</f>
      </c>
      <c r="Z797" s="4">
        <f t="shared" si="553"/>
      </c>
      <c r="AA797" s="4">
        <f t="shared" si="554"/>
      </c>
      <c r="AB797" s="4">
        <f t="shared" si="555"/>
      </c>
      <c r="AC797" s="4">
        <f t="shared" si="556"/>
      </c>
      <c r="AD797" s="4">
        <f t="shared" si="557"/>
      </c>
      <c r="AE797" s="4">
        <f t="shared" si="558"/>
      </c>
      <c r="AF797" s="4">
        <f t="shared" si="559"/>
      </c>
      <c r="AG797" s="4">
        <f t="shared" si="560"/>
        <v/>
      </c>
      <c r="AH797" s="4">
        <f t="shared" si="561"/>
      </c>
      <c r="AI797" s="4">
        <f t="shared" si="562"/>
      </c>
      <c r="AJ797" s="4">
        <f t="shared" si="563"/>
      </c>
      <c r="AK797" s="4">
        <f t="shared" si="564"/>
      </c>
      <c r="AL797" s="4">
        <f t="shared" si="565"/>
      </c>
      <c r="AM797" s="4">
        <f t="shared" si="566"/>
      </c>
      <c r="AN797" s="4"/>
      <c r="AO797" s="4">
        <f t="shared" si="567"/>
      </c>
      <c r="AP797" s="4">
        <f t="shared" si="568"/>
      </c>
      <c r="AQ797" s="4">
        <f t="shared" si="569"/>
        <v/>
      </c>
      <c r="AR797" s="4">
        <f t="shared" si="570"/>
      </c>
      <c r="AS797" s="4">
        <f t="shared" si="571"/>
      </c>
      <c r="AT797" s="4">
        <f t="shared" si="572"/>
      </c>
    </row>
    <row r="798" spans="1:46" x14ac:dyDescent="0.3">
      <c r="A798" s="5">
        <f t="shared" si="544"/>
      </c>
      <c r="B798" s="4">
        <f t="shared" si="545"/>
      </c>
      <c r="C798" s="59"/>
      <c r="D798" s="59"/>
      <c r="E798" s="70"/>
      <c r="F798" s="164"/>
      <c r="G798" s="164"/>
      <c r="H798" s="164"/>
      <c r="I798" s="70"/>
      <c r="J798" s="70"/>
      <c r="K798" s="70"/>
      <c r="L798" s="70"/>
      <c r="M798" s="4">
        <f t="shared" si="546"/>
      </c>
      <c r="N798" s="59"/>
      <c r="O798" s="164"/>
      <c r="P798" s="59">
        <f t="shared" si="547"/>
      </c>
      <c r="Q798" s="165"/>
      <c r="R798" s="59"/>
      <c r="S798" s="164"/>
      <c r="T798" s="5">
        <f t="shared" si="548"/>
      </c>
      <c r="U798" s="4">
        <f t="shared" si="549"/>
      </c>
      <c r="V798" s="4">
        <f t="shared" si="550"/>
      </c>
      <c r="W798" s="4">
        <f t="shared" si="551"/>
      </c>
      <c r="X798" s="4">
        <f t="shared" si="552"/>
      </c>
      <c r="Y798" s="4" cm="1">
        <f t="array" ref="Y798">_xlfn.IFS(H798=1,2,H798=3,1)</f>
      </c>
      <c r="Z798" s="4">
        <f t="shared" si="553"/>
      </c>
      <c r="AA798" s="4">
        <f t="shared" si="554"/>
      </c>
      <c r="AB798" s="4">
        <f t="shared" si="555"/>
      </c>
      <c r="AC798" s="4">
        <f t="shared" si="556"/>
      </c>
      <c r="AD798" s="4">
        <f t="shared" si="557"/>
      </c>
      <c r="AE798" s="4">
        <f t="shared" si="558"/>
      </c>
      <c r="AF798" s="4">
        <f t="shared" si="559"/>
      </c>
      <c r="AG798" s="4">
        <f t="shared" si="560"/>
        <v/>
      </c>
      <c r="AH798" s="4">
        <f t="shared" si="561"/>
      </c>
      <c r="AI798" s="4">
        <f t="shared" si="562"/>
      </c>
      <c r="AJ798" s="4">
        <f t="shared" si="563"/>
      </c>
      <c r="AK798" s="4">
        <f t="shared" si="564"/>
      </c>
      <c r="AL798" s="4">
        <f t="shared" si="565"/>
      </c>
      <c r="AM798" s="4">
        <f t="shared" si="566"/>
      </c>
      <c r="AN798" s="4"/>
      <c r="AO798" s="4">
        <f t="shared" si="567"/>
      </c>
      <c r="AP798" s="4">
        <f t="shared" si="568"/>
      </c>
      <c r="AQ798" s="4">
        <f t="shared" si="569"/>
        <v/>
      </c>
      <c r="AR798" s="4">
        <f t="shared" si="570"/>
      </c>
      <c r="AS798" s="4">
        <f t="shared" si="571"/>
      </c>
      <c r="AT798" s="4">
        <f t="shared" si="572"/>
      </c>
    </row>
    <row r="799" spans="1:46" x14ac:dyDescent="0.3">
      <c r="A799" s="5">
        <f t="shared" si="544"/>
      </c>
      <c r="B799" s="4">
        <f t="shared" si="545"/>
      </c>
      <c r="C799" s="59"/>
      <c r="D799" s="59"/>
      <c r="E799" s="70"/>
      <c r="F799" s="164"/>
      <c r="G799" s="164"/>
      <c r="H799" s="164"/>
      <c r="I799" s="70"/>
      <c r="J799" s="70"/>
      <c r="K799" s="70"/>
      <c r="L799" s="70"/>
      <c r="M799" s="4">
        <f t="shared" si="546"/>
      </c>
      <c r="N799" s="59"/>
      <c r="O799" s="164"/>
      <c r="P799" s="59">
        <f t="shared" si="547"/>
      </c>
      <c r="Q799" s="165"/>
      <c r="R799" s="59"/>
      <c r="S799" s="164"/>
      <c r="T799" s="5">
        <f t="shared" si="548"/>
      </c>
      <c r="U799" s="4">
        <f t="shared" si="549"/>
      </c>
      <c r="V799" s="4">
        <f t="shared" si="550"/>
      </c>
      <c r="W799" s="4">
        <f t="shared" si="551"/>
      </c>
      <c r="X799" s="4">
        <f t="shared" si="552"/>
      </c>
      <c r="Y799" s="4" cm="1">
        <f t="array" ref="Y799">_xlfn.IFS(H799=1,2,H799=3,1)</f>
      </c>
      <c r="Z799" s="4">
        <f t="shared" si="553"/>
      </c>
      <c r="AA799" s="4">
        <f t="shared" si="554"/>
      </c>
      <c r="AB799" s="4">
        <f t="shared" si="555"/>
      </c>
      <c r="AC799" s="4">
        <f t="shared" si="556"/>
      </c>
      <c r="AD799" s="4">
        <f t="shared" si="557"/>
      </c>
      <c r="AE799" s="4">
        <f t="shared" si="558"/>
      </c>
      <c r="AF799" s="4">
        <f t="shared" si="559"/>
      </c>
      <c r="AG799" s="4">
        <f t="shared" si="560"/>
        <v/>
      </c>
      <c r="AH799" s="4">
        <f t="shared" si="561"/>
      </c>
      <c r="AI799" s="4">
        <f t="shared" si="562"/>
      </c>
      <c r="AJ799" s="4">
        <f t="shared" si="563"/>
      </c>
      <c r="AK799" s="4">
        <f t="shared" si="564"/>
      </c>
      <c r="AL799" s="4">
        <f t="shared" si="565"/>
      </c>
      <c r="AM799" s="4">
        <f t="shared" si="566"/>
      </c>
      <c r="AN799" s="4"/>
      <c r="AO799" s="4">
        <f t="shared" si="567"/>
      </c>
      <c r="AP799" s="4">
        <f t="shared" si="568"/>
      </c>
      <c r="AQ799" s="4">
        <f t="shared" si="569"/>
        <v/>
      </c>
      <c r="AR799" s="4">
        <f t="shared" si="570"/>
      </c>
      <c r="AS799" s="4">
        <f t="shared" si="571"/>
      </c>
      <c r="AT799" s="4">
        <f t="shared" si="572"/>
      </c>
    </row>
    <row r="800" spans="1:46" x14ac:dyDescent="0.3">
      <c r="A800" s="5">
        <f t="shared" si="544"/>
      </c>
      <c r="B800" s="4">
        <f t="shared" si="545"/>
      </c>
      <c r="C800" s="59"/>
      <c r="D800" s="59"/>
      <c r="E800" s="70"/>
      <c r="F800" s="164"/>
      <c r="G800" s="164"/>
      <c r="H800" s="164"/>
      <c r="I800" s="70"/>
      <c r="J800" s="70"/>
      <c r="K800" s="70"/>
      <c r="L800" s="70"/>
      <c r="M800" s="4">
        <f t="shared" si="546"/>
      </c>
      <c r="N800" s="59"/>
      <c r="O800" s="164"/>
      <c r="P800" s="59">
        <f t="shared" si="547"/>
      </c>
      <c r="Q800" s="165"/>
      <c r="R800" s="59"/>
      <c r="S800" s="164"/>
      <c r="T800" s="5">
        <f t="shared" si="548"/>
      </c>
      <c r="U800" s="4">
        <f t="shared" si="549"/>
      </c>
      <c r="V800" s="4">
        <f t="shared" si="550"/>
      </c>
      <c r="W800" s="4">
        <f t="shared" si="551"/>
      </c>
      <c r="X800" s="4">
        <f t="shared" si="552"/>
      </c>
      <c r="Y800" s="4" cm="1">
        <f t="array" ref="Y800">_xlfn.IFS(H800=1,2,H800=3,1)</f>
      </c>
      <c r="Z800" s="4">
        <f t="shared" si="553"/>
      </c>
      <c r="AA800" s="4">
        <f t="shared" si="554"/>
      </c>
      <c r="AB800" s="4">
        <f t="shared" si="555"/>
      </c>
      <c r="AC800" s="4">
        <f t="shared" si="556"/>
      </c>
      <c r="AD800" s="4">
        <f t="shared" si="557"/>
      </c>
      <c r="AE800" s="4">
        <f t="shared" si="558"/>
      </c>
      <c r="AF800" s="4">
        <f t="shared" si="559"/>
      </c>
      <c r="AG800" s="4">
        <f t="shared" si="560"/>
        <v/>
      </c>
      <c r="AH800" s="4">
        <f t="shared" si="561"/>
      </c>
      <c r="AI800" s="4">
        <f t="shared" si="562"/>
      </c>
      <c r="AJ800" s="4">
        <f t="shared" si="563"/>
      </c>
      <c r="AK800" s="4">
        <f t="shared" si="564"/>
      </c>
      <c r="AL800" s="4">
        <f t="shared" si="565"/>
      </c>
      <c r="AM800" s="4">
        <f t="shared" si="566"/>
      </c>
      <c r="AN800" s="4"/>
      <c r="AO800" s="4">
        <f t="shared" si="567"/>
      </c>
      <c r="AP800" s="4">
        <f t="shared" si="568"/>
      </c>
      <c r="AQ800" s="4">
        <f t="shared" si="569"/>
        <v/>
      </c>
      <c r="AR800" s="4">
        <f t="shared" si="570"/>
      </c>
      <c r="AS800" s="4">
        <f t="shared" si="571"/>
      </c>
      <c r="AT800" s="4">
        <f t="shared" si="572"/>
      </c>
    </row>
    <row r="801" spans="1:46" x14ac:dyDescent="0.3">
      <c r="A801" s="5">
        <f t="shared" si="544"/>
      </c>
      <c r="B801" s="4">
        <f t="shared" si="545"/>
      </c>
      <c r="C801" s="59"/>
      <c r="D801" s="59"/>
      <c r="E801" s="70"/>
      <c r="F801" s="164"/>
      <c r="G801" s="164"/>
      <c r="H801" s="164"/>
      <c r="I801" s="70"/>
      <c r="J801" s="70"/>
      <c r="K801" s="70"/>
      <c r="L801" s="70"/>
      <c r="M801" s="4">
        <f t="shared" si="546"/>
      </c>
      <c r="N801" s="59"/>
      <c r="O801" s="164"/>
      <c r="P801" s="59">
        <f t="shared" si="547"/>
      </c>
      <c r="Q801" s="165"/>
      <c r="R801" s="59"/>
      <c r="S801" s="164"/>
      <c r="T801" s="5">
        <f t="shared" si="548"/>
      </c>
      <c r="U801" s="4">
        <f t="shared" si="549"/>
      </c>
      <c r="V801" s="4">
        <f t="shared" si="550"/>
      </c>
      <c r="W801" s="4">
        <f t="shared" si="551"/>
      </c>
      <c r="X801" s="4">
        <f t="shared" si="552"/>
      </c>
      <c r="Y801" s="4" cm="1">
        <f t="array" ref="Y801">_xlfn.IFS(H801=1,2,H801=3,1)</f>
      </c>
      <c r="Z801" s="4">
        <f t="shared" si="553"/>
      </c>
      <c r="AA801" s="4">
        <f t="shared" si="554"/>
      </c>
      <c r="AB801" s="4">
        <f t="shared" si="555"/>
      </c>
      <c r="AC801" s="4">
        <f t="shared" si="556"/>
      </c>
      <c r="AD801" s="4">
        <f t="shared" si="557"/>
      </c>
      <c r="AE801" s="4">
        <f t="shared" si="558"/>
      </c>
      <c r="AF801" s="4">
        <f t="shared" si="559"/>
      </c>
      <c r="AG801" s="4">
        <f t="shared" si="560"/>
        <v/>
      </c>
      <c r="AH801" s="4">
        <f t="shared" si="561"/>
      </c>
      <c r="AI801" s="4">
        <f t="shared" si="562"/>
      </c>
      <c r="AJ801" s="4">
        <f t="shared" si="563"/>
      </c>
      <c r="AK801" s="4">
        <f t="shared" si="564"/>
      </c>
      <c r="AL801" s="4">
        <f t="shared" si="565"/>
      </c>
      <c r="AM801" s="4">
        <f t="shared" si="566"/>
      </c>
      <c r="AN801" s="4"/>
      <c r="AO801" s="4">
        <f t="shared" si="567"/>
      </c>
      <c r="AP801" s="4">
        <f t="shared" si="568"/>
      </c>
      <c r="AQ801" s="4">
        <f t="shared" si="569"/>
        <v/>
      </c>
      <c r="AR801" s="4">
        <f t="shared" si="570"/>
      </c>
      <c r="AS801" s="4">
        <f t="shared" si="571"/>
      </c>
      <c r="AT801" s="4">
        <f t="shared" si="572"/>
      </c>
    </row>
    <row r="802" spans="1:46" x14ac:dyDescent="0.3">
      <c r="A802" s="5">
        <f t="shared" si="544"/>
      </c>
      <c r="B802" s="4">
        <f t="shared" si="545"/>
      </c>
      <c r="C802" s="59"/>
      <c r="D802" s="59"/>
      <c r="E802" s="70"/>
      <c r="F802" s="164"/>
      <c r="G802" s="164"/>
      <c r="H802" s="164"/>
      <c r="I802" s="70"/>
      <c r="J802" s="70"/>
      <c r="K802" s="70"/>
      <c r="L802" s="70"/>
      <c r="M802" s="4">
        <f t="shared" si="546"/>
      </c>
      <c r="N802" s="59"/>
      <c r="O802" s="164"/>
      <c r="P802" s="59">
        <f t="shared" si="547"/>
      </c>
      <c r="Q802" s="165"/>
      <c r="R802" s="59"/>
      <c r="S802" s="164"/>
      <c r="T802" s="5">
        <f t="shared" si="548"/>
      </c>
      <c r="U802" s="4">
        <f t="shared" si="549"/>
      </c>
      <c r="V802" s="4">
        <f t="shared" si="550"/>
      </c>
      <c r="W802" s="4">
        <f t="shared" si="551"/>
      </c>
      <c r="X802" s="4">
        <f t="shared" si="552"/>
      </c>
      <c r="Y802" s="4" cm="1">
        <f t="array" ref="Y802">_xlfn.IFS(H802=1,2,H802=3,1)</f>
      </c>
      <c r="Z802" s="4">
        <f t="shared" si="553"/>
      </c>
      <c r="AA802" s="4">
        <f t="shared" si="554"/>
      </c>
      <c r="AB802" s="4">
        <f t="shared" si="555"/>
      </c>
      <c r="AC802" s="4">
        <f t="shared" si="556"/>
      </c>
      <c r="AD802" s="4">
        <f t="shared" si="557"/>
      </c>
      <c r="AE802" s="4">
        <f t="shared" si="558"/>
      </c>
      <c r="AF802" s="4">
        <f t="shared" si="559"/>
      </c>
      <c r="AG802" s="4">
        <f t="shared" si="560"/>
        <v/>
      </c>
      <c r="AH802" s="4">
        <f t="shared" si="561"/>
      </c>
      <c r="AI802" s="4">
        <f t="shared" si="562"/>
      </c>
      <c r="AJ802" s="4">
        <f t="shared" si="563"/>
      </c>
      <c r="AK802" s="4">
        <f t="shared" si="564"/>
      </c>
      <c r="AL802" s="4">
        <f t="shared" si="565"/>
      </c>
      <c r="AM802" s="4">
        <f t="shared" si="566"/>
      </c>
      <c r="AN802" s="4"/>
      <c r="AO802" s="4">
        <f t="shared" si="567"/>
      </c>
      <c r="AP802" s="4">
        <f t="shared" si="568"/>
      </c>
      <c r="AQ802" s="4">
        <f t="shared" si="569"/>
        <v/>
      </c>
      <c r="AR802" s="4">
        <f t="shared" si="570"/>
      </c>
      <c r="AS802" s="4">
        <f t="shared" si="571"/>
      </c>
      <c r="AT802" s="4">
        <f t="shared" si="572"/>
      </c>
    </row>
    <row r="803" spans="1:46" x14ac:dyDescent="0.3">
      <c r="A803" s="5">
        <f t="shared" si="544"/>
      </c>
      <c r="B803" s="4">
        <f t="shared" si="545"/>
      </c>
      <c r="C803" s="59"/>
      <c r="D803" s="59"/>
      <c r="E803" s="70"/>
      <c r="F803" s="164"/>
      <c r="G803" s="164"/>
      <c r="H803" s="164"/>
      <c r="I803" s="70"/>
      <c r="J803" s="70"/>
      <c r="K803" s="70"/>
      <c r="L803" s="70"/>
      <c r="M803" s="4">
        <f t="shared" si="546"/>
      </c>
      <c r="N803" s="59"/>
      <c r="O803" s="164"/>
      <c r="P803" s="59">
        <f t="shared" si="547"/>
      </c>
      <c r="Q803" s="165"/>
      <c r="R803" s="59"/>
      <c r="S803" s="164"/>
      <c r="T803" s="5">
        <f t="shared" si="548"/>
      </c>
      <c r="U803" s="4">
        <f t="shared" si="549"/>
      </c>
      <c r="V803" s="4">
        <f t="shared" si="550"/>
      </c>
      <c r="W803" s="4">
        <f t="shared" si="551"/>
      </c>
      <c r="X803" s="4">
        <f t="shared" si="552"/>
      </c>
      <c r="Y803" s="4" cm="1">
        <f t="array" ref="Y803">_xlfn.IFS(H803=1,2,H803=3,1)</f>
      </c>
      <c r="Z803" s="4">
        <f t="shared" si="553"/>
      </c>
      <c r="AA803" s="4">
        <f t="shared" si="554"/>
      </c>
      <c r="AB803" s="4">
        <f t="shared" si="555"/>
      </c>
      <c r="AC803" s="4">
        <f t="shared" si="556"/>
      </c>
      <c r="AD803" s="4">
        <f t="shared" si="557"/>
      </c>
      <c r="AE803" s="4">
        <f t="shared" si="558"/>
      </c>
      <c r="AF803" s="4">
        <f t="shared" si="559"/>
      </c>
      <c r="AG803" s="4">
        <f t="shared" si="560"/>
        <v/>
      </c>
      <c r="AH803" s="4">
        <f t="shared" si="561"/>
      </c>
      <c r="AI803" s="4">
        <f t="shared" si="562"/>
      </c>
      <c r="AJ803" s="4">
        <f t="shared" si="563"/>
      </c>
      <c r="AK803" s="4">
        <f t="shared" si="564"/>
      </c>
      <c r="AL803" s="4">
        <f t="shared" si="565"/>
      </c>
      <c r="AM803" s="4">
        <f t="shared" si="566"/>
      </c>
      <c r="AN803" s="4"/>
      <c r="AO803" s="4">
        <f t="shared" si="567"/>
      </c>
      <c r="AP803" s="4">
        <f t="shared" si="568"/>
      </c>
      <c r="AQ803" s="4">
        <f t="shared" si="569"/>
        <v/>
      </c>
      <c r="AR803" s="4">
        <f t="shared" si="570"/>
      </c>
      <c r="AS803" s="4">
        <f t="shared" si="571"/>
      </c>
      <c r="AT803" s="4">
        <f t="shared" si="572"/>
      </c>
    </row>
    <row r="804" spans="1:46" x14ac:dyDescent="0.3">
      <c r="A804" s="5">
        <f t="shared" si="544"/>
      </c>
      <c r="B804" s="4">
        <f t="shared" si="545"/>
      </c>
      <c r="C804" s="59"/>
      <c r="D804" s="59"/>
      <c r="E804" s="70"/>
      <c r="F804" s="164"/>
      <c r="G804" s="164"/>
      <c r="H804" s="164"/>
      <c r="I804" s="70"/>
      <c r="J804" s="70"/>
      <c r="K804" s="70"/>
      <c r="L804" s="70"/>
      <c r="M804" s="4">
        <f t="shared" si="546"/>
      </c>
      <c r="N804" s="59"/>
      <c r="O804" s="164"/>
      <c r="P804" s="59">
        <f t="shared" si="547"/>
      </c>
      <c r="Q804" s="165"/>
      <c r="R804" s="59"/>
      <c r="S804" s="164"/>
      <c r="T804" s="5">
        <f t="shared" si="548"/>
      </c>
      <c r="U804" s="4">
        <f t="shared" si="549"/>
      </c>
      <c r="V804" s="4">
        <f t="shared" si="550"/>
      </c>
      <c r="W804" s="4">
        <f t="shared" si="551"/>
      </c>
      <c r="X804" s="4">
        <f t="shared" si="552"/>
      </c>
      <c r="Y804" s="4" cm="1">
        <f t="array" ref="Y804">_xlfn.IFS(H804=1,2,H804=3,1)</f>
      </c>
      <c r="Z804" s="4">
        <f t="shared" si="553"/>
      </c>
      <c r="AA804" s="4">
        <f t="shared" si="554"/>
      </c>
      <c r="AB804" s="4">
        <f t="shared" si="555"/>
      </c>
      <c r="AC804" s="4">
        <f t="shared" si="556"/>
      </c>
      <c r="AD804" s="4">
        <f t="shared" si="557"/>
      </c>
      <c r="AE804" s="4">
        <f t="shared" si="558"/>
      </c>
      <c r="AF804" s="4">
        <f t="shared" si="559"/>
      </c>
      <c r="AG804" s="4">
        <f t="shared" si="560"/>
        <v/>
      </c>
      <c r="AH804" s="4">
        <f t="shared" si="561"/>
      </c>
      <c r="AI804" s="4">
        <f t="shared" si="562"/>
      </c>
      <c r="AJ804" s="4">
        <f t="shared" si="563"/>
      </c>
      <c r="AK804" s="4">
        <f t="shared" si="564"/>
      </c>
      <c r="AL804" s="4">
        <f t="shared" si="565"/>
      </c>
      <c r="AM804" s="4">
        <f t="shared" si="566"/>
      </c>
      <c r="AN804" s="4"/>
      <c r="AO804" s="4">
        <f t="shared" si="567"/>
      </c>
      <c r="AP804" s="4">
        <f t="shared" si="568"/>
      </c>
      <c r="AQ804" s="4">
        <f t="shared" si="569"/>
        <v/>
      </c>
      <c r="AR804" s="4">
        <f t="shared" si="570"/>
      </c>
      <c r="AS804" s="4">
        <f t="shared" si="571"/>
      </c>
      <c r="AT804" s="4">
        <f t="shared" si="572"/>
      </c>
    </row>
    <row r="805" spans="1:46" x14ac:dyDescent="0.3">
      <c r="A805" s="5">
        <f t="shared" si="544"/>
      </c>
      <c r="B805" s="4">
        <f t="shared" si="545"/>
      </c>
      <c r="C805" s="59"/>
      <c r="D805" s="59"/>
      <c r="E805" s="70"/>
      <c r="F805" s="164"/>
      <c r="G805" s="164"/>
      <c r="H805" s="164"/>
      <c r="I805" s="70"/>
      <c r="J805" s="70"/>
      <c r="K805" s="70"/>
      <c r="L805" s="70"/>
      <c r="M805" s="4">
        <f t="shared" si="546"/>
      </c>
      <c r="N805" s="59"/>
      <c r="O805" s="164"/>
      <c r="P805" s="59">
        <f t="shared" si="547"/>
      </c>
      <c r="Q805" s="165"/>
      <c r="R805" s="59"/>
      <c r="S805" s="164"/>
      <c r="T805" s="5">
        <f t="shared" si="548"/>
      </c>
      <c r="U805" s="4">
        <f t="shared" si="549"/>
      </c>
      <c r="V805" s="4">
        <f t="shared" si="550"/>
      </c>
      <c r="W805" s="4">
        <f t="shared" si="551"/>
      </c>
      <c r="X805" s="4">
        <f t="shared" si="552"/>
      </c>
      <c r="Y805" s="4" cm="1">
        <f t="array" ref="Y805">_xlfn.IFS(H805=1,2,H805=3,1)</f>
      </c>
      <c r="Z805" s="4">
        <f t="shared" si="553"/>
      </c>
      <c r="AA805" s="4">
        <f t="shared" si="554"/>
      </c>
      <c r="AB805" s="4">
        <f t="shared" si="555"/>
      </c>
      <c r="AC805" s="4">
        <f t="shared" si="556"/>
      </c>
      <c r="AD805" s="4">
        <f t="shared" si="557"/>
      </c>
      <c r="AE805" s="4">
        <f t="shared" si="558"/>
      </c>
      <c r="AF805" s="4">
        <f t="shared" si="559"/>
      </c>
      <c r="AG805" s="4">
        <f t="shared" si="560"/>
        <v/>
      </c>
      <c r="AH805" s="4">
        <f t="shared" si="561"/>
      </c>
      <c r="AI805" s="4">
        <f t="shared" si="562"/>
      </c>
      <c r="AJ805" s="4">
        <f t="shared" si="563"/>
      </c>
      <c r="AK805" s="4">
        <f t="shared" si="564"/>
      </c>
      <c r="AL805" s="4">
        <f t="shared" si="565"/>
      </c>
      <c r="AM805" s="4">
        <f t="shared" si="566"/>
      </c>
      <c r="AN805" s="4"/>
      <c r="AO805" s="4">
        <f t="shared" si="567"/>
      </c>
      <c r="AP805" s="4">
        <f t="shared" si="568"/>
      </c>
      <c r="AQ805" s="4">
        <f t="shared" si="569"/>
        <v/>
      </c>
      <c r="AR805" s="4">
        <f t="shared" si="570"/>
      </c>
      <c r="AS805" s="4">
        <f t="shared" si="571"/>
      </c>
      <c r="AT805" s="4">
        <f t="shared" si="572"/>
      </c>
    </row>
    <row r="806" spans="1:46" x14ac:dyDescent="0.3">
      <c r="A806" s="5">
        <f t="shared" si="544"/>
      </c>
      <c r="B806" s="4">
        <f t="shared" si="545"/>
      </c>
      <c r="C806" s="59"/>
      <c r="D806" s="59"/>
      <c r="E806" s="70"/>
      <c r="F806" s="164"/>
      <c r="G806" s="164"/>
      <c r="H806" s="164"/>
      <c r="I806" s="70"/>
      <c r="J806" s="70"/>
      <c r="K806" s="70"/>
      <c r="L806" s="70"/>
      <c r="M806" s="4">
        <f t="shared" si="546"/>
      </c>
      <c r="N806" s="59"/>
      <c r="O806" s="164"/>
      <c r="P806" s="59">
        <f t="shared" si="547"/>
      </c>
      <c r="Q806" s="165"/>
      <c r="R806" s="59"/>
      <c r="S806" s="164"/>
      <c r="T806" s="5">
        <f t="shared" si="548"/>
      </c>
      <c r="U806" s="4">
        <f t="shared" si="549"/>
      </c>
      <c r="V806" s="4">
        <f t="shared" si="550"/>
      </c>
      <c r="W806" s="4">
        <f t="shared" si="551"/>
      </c>
      <c r="X806" s="4">
        <f t="shared" si="552"/>
      </c>
      <c r="Y806" s="4" cm="1">
        <f t="array" ref="Y806">_xlfn.IFS(H806=1,2,H806=3,1)</f>
      </c>
      <c r="Z806" s="4">
        <f t="shared" si="553"/>
      </c>
      <c r="AA806" s="4">
        <f t="shared" si="554"/>
      </c>
      <c r="AB806" s="4">
        <f t="shared" si="555"/>
      </c>
      <c r="AC806" s="4">
        <f t="shared" si="556"/>
      </c>
      <c r="AD806" s="4">
        <f t="shared" si="557"/>
      </c>
      <c r="AE806" s="4">
        <f t="shared" si="558"/>
      </c>
      <c r="AF806" s="4">
        <f t="shared" si="559"/>
      </c>
      <c r="AG806" s="4">
        <f t="shared" si="560"/>
        <v/>
      </c>
      <c r="AH806" s="4">
        <f t="shared" si="561"/>
      </c>
      <c r="AI806" s="4">
        <f t="shared" si="562"/>
      </c>
      <c r="AJ806" s="4">
        <f t="shared" si="563"/>
      </c>
      <c r="AK806" s="4">
        <f t="shared" si="564"/>
      </c>
      <c r="AL806" s="4">
        <f t="shared" si="565"/>
      </c>
      <c r="AM806" s="4">
        <f t="shared" si="566"/>
      </c>
      <c r="AN806" s="4"/>
      <c r="AO806" s="4">
        <f t="shared" si="567"/>
      </c>
      <c r="AP806" s="4">
        <f t="shared" si="568"/>
      </c>
      <c r="AQ806" s="4">
        <f t="shared" si="569"/>
        <v/>
      </c>
      <c r="AR806" s="4">
        <f t="shared" si="570"/>
      </c>
      <c r="AS806" s="4">
        <f t="shared" si="571"/>
      </c>
      <c r="AT806" s="4">
        <f t="shared" si="572"/>
      </c>
    </row>
    <row r="807" spans="1:46" x14ac:dyDescent="0.3">
      <c r="A807" s="5">
        <f t="shared" si="544"/>
      </c>
      <c r="B807" s="4">
        <f t="shared" si="545"/>
      </c>
      <c r="C807" s="59"/>
      <c r="D807" s="59"/>
      <c r="E807" s="70"/>
      <c r="F807" s="164"/>
      <c r="G807" s="164"/>
      <c r="H807" s="164"/>
      <c r="I807" s="70"/>
      <c r="J807" s="70"/>
      <c r="K807" s="70"/>
      <c r="L807" s="70"/>
      <c r="M807" s="4">
        <f t="shared" si="546"/>
      </c>
      <c r="N807" s="59"/>
      <c r="O807" s="164"/>
      <c r="P807" s="59">
        <f t="shared" si="547"/>
      </c>
      <c r="Q807" s="165"/>
      <c r="R807" s="59"/>
      <c r="S807" s="164"/>
      <c r="T807" s="5">
        <f t="shared" si="548"/>
      </c>
      <c r="U807" s="4">
        <f t="shared" si="549"/>
      </c>
      <c r="V807" s="4">
        <f t="shared" si="550"/>
      </c>
      <c r="W807" s="4">
        <f t="shared" si="551"/>
      </c>
      <c r="X807" s="4">
        <f t="shared" si="552"/>
      </c>
      <c r="Y807" s="4" cm="1">
        <f t="array" ref="Y807">_xlfn.IFS(H807=1,2,H807=3,1)</f>
      </c>
      <c r="Z807" s="4">
        <f t="shared" si="553"/>
      </c>
      <c r="AA807" s="4">
        <f t="shared" si="554"/>
      </c>
      <c r="AB807" s="4">
        <f t="shared" si="555"/>
      </c>
      <c r="AC807" s="4">
        <f t="shared" si="556"/>
      </c>
      <c r="AD807" s="4">
        <f t="shared" si="557"/>
      </c>
      <c r="AE807" s="4">
        <f t="shared" si="558"/>
      </c>
      <c r="AF807" s="4">
        <f t="shared" si="559"/>
      </c>
      <c r="AG807" s="4">
        <f t="shared" si="560"/>
        <v/>
      </c>
      <c r="AH807" s="4">
        <f t="shared" si="561"/>
      </c>
      <c r="AI807" s="4">
        <f t="shared" si="562"/>
      </c>
      <c r="AJ807" s="4">
        <f t="shared" si="563"/>
      </c>
      <c r="AK807" s="4">
        <f t="shared" si="564"/>
      </c>
      <c r="AL807" s="4">
        <f t="shared" si="565"/>
      </c>
      <c r="AM807" s="4">
        <f t="shared" si="566"/>
      </c>
      <c r="AN807" s="4"/>
      <c r="AO807" s="4">
        <f t="shared" si="567"/>
      </c>
      <c r="AP807" s="4">
        <f t="shared" si="568"/>
      </c>
      <c r="AQ807" s="4">
        <f t="shared" si="569"/>
        <v/>
      </c>
      <c r="AR807" s="4">
        <f t="shared" si="570"/>
      </c>
      <c r="AS807" s="4">
        <f t="shared" si="571"/>
      </c>
      <c r="AT807" s="4">
        <f t="shared" si="572"/>
      </c>
    </row>
    <row r="808" spans="1:46" x14ac:dyDescent="0.3">
      <c r="A808" s="5">
        <f t="shared" si="544"/>
      </c>
      <c r="B808" s="4">
        <f t="shared" si="545"/>
      </c>
      <c r="C808" s="59"/>
      <c r="D808" s="59"/>
      <c r="E808" s="70"/>
      <c r="F808" s="164"/>
      <c r="G808" s="164"/>
      <c r="H808" s="164"/>
      <c r="I808" s="70"/>
      <c r="J808" s="70"/>
      <c r="K808" s="70"/>
      <c r="L808" s="70"/>
      <c r="M808" s="4">
        <f t="shared" si="546"/>
      </c>
      <c r="N808" s="59"/>
      <c r="O808" s="164"/>
      <c r="P808" s="59">
        <f t="shared" si="547"/>
      </c>
      <c r="Q808" s="165"/>
      <c r="R808" s="59"/>
      <c r="S808" s="164"/>
      <c r="T808" s="5">
        <f t="shared" si="548"/>
      </c>
      <c r="U808" s="4">
        <f t="shared" si="549"/>
      </c>
      <c r="V808" s="4">
        <f t="shared" si="550"/>
      </c>
      <c r="W808" s="4">
        <f t="shared" si="551"/>
      </c>
      <c r="X808" s="4">
        <f t="shared" si="552"/>
      </c>
      <c r="Y808" s="4" cm="1">
        <f t="array" ref="Y808">_xlfn.IFS(H808=1,2,H808=3,1)</f>
      </c>
      <c r="Z808" s="4">
        <f t="shared" si="553"/>
      </c>
      <c r="AA808" s="4">
        <f t="shared" si="554"/>
      </c>
      <c r="AB808" s="4">
        <f t="shared" si="555"/>
      </c>
      <c r="AC808" s="4">
        <f t="shared" si="556"/>
      </c>
      <c r="AD808" s="4">
        <f t="shared" si="557"/>
      </c>
      <c r="AE808" s="4">
        <f t="shared" si="558"/>
      </c>
      <c r="AF808" s="4">
        <f t="shared" si="559"/>
      </c>
      <c r="AG808" s="4">
        <f t="shared" si="560"/>
        <v/>
      </c>
      <c r="AH808" s="4">
        <f t="shared" si="561"/>
      </c>
      <c r="AI808" s="4">
        <f t="shared" si="562"/>
      </c>
      <c r="AJ808" s="4">
        <f t="shared" si="563"/>
      </c>
      <c r="AK808" s="4">
        <f t="shared" si="564"/>
      </c>
      <c r="AL808" s="4">
        <f t="shared" si="565"/>
      </c>
      <c r="AM808" s="4">
        <f t="shared" si="566"/>
      </c>
      <c r="AN808" s="4"/>
      <c r="AO808" s="4">
        <f t="shared" si="567"/>
      </c>
      <c r="AP808" s="4">
        <f t="shared" si="568"/>
      </c>
      <c r="AQ808" s="4">
        <f t="shared" si="569"/>
        <v/>
      </c>
      <c r="AR808" s="4">
        <f t="shared" si="570"/>
      </c>
      <c r="AS808" s="4">
        <f t="shared" si="571"/>
      </c>
      <c r="AT808" s="4">
        <f t="shared" si="572"/>
      </c>
    </row>
    <row r="809" spans="1:46" x14ac:dyDescent="0.3">
      <c r="A809" s="5">
        <f t="shared" si="544"/>
      </c>
      <c r="B809" s="4">
        <f t="shared" si="545"/>
      </c>
      <c r="C809" s="59"/>
      <c r="D809" s="59"/>
      <c r="E809" s="70"/>
      <c r="F809" s="164"/>
      <c r="G809" s="164"/>
      <c r="H809" s="164"/>
      <c r="I809" s="70"/>
      <c r="J809" s="70"/>
      <c r="K809" s="70"/>
      <c r="L809" s="70"/>
      <c r="M809" s="4">
        <f t="shared" si="546"/>
      </c>
      <c r="N809" s="59"/>
      <c r="O809" s="164"/>
      <c r="P809" s="59">
        <f t="shared" si="547"/>
      </c>
      <c r="Q809" s="165"/>
      <c r="R809" s="59"/>
      <c r="S809" s="164"/>
      <c r="T809" s="5">
        <f t="shared" si="548"/>
      </c>
      <c r="U809" s="4">
        <f t="shared" si="549"/>
      </c>
      <c r="V809" s="4">
        <f t="shared" si="550"/>
      </c>
      <c r="W809" s="4">
        <f t="shared" si="551"/>
      </c>
      <c r="X809" s="4">
        <f t="shared" si="552"/>
      </c>
      <c r="Y809" s="4" cm="1">
        <f t="array" ref="Y809">_xlfn.IFS(H809=1,2,H809=3,1)</f>
      </c>
      <c r="Z809" s="4">
        <f t="shared" si="553"/>
      </c>
      <c r="AA809" s="4">
        <f t="shared" si="554"/>
      </c>
      <c r="AB809" s="4">
        <f t="shared" si="555"/>
      </c>
      <c r="AC809" s="4">
        <f t="shared" si="556"/>
      </c>
      <c r="AD809" s="4">
        <f t="shared" si="557"/>
      </c>
      <c r="AE809" s="4">
        <f t="shared" si="558"/>
      </c>
      <c r="AF809" s="4">
        <f t="shared" si="559"/>
      </c>
      <c r="AG809" s="4">
        <f t="shared" si="560"/>
        <v/>
      </c>
      <c r="AH809" s="4">
        <f t="shared" si="561"/>
      </c>
      <c r="AI809" s="4">
        <f t="shared" si="562"/>
      </c>
      <c r="AJ809" s="4">
        <f t="shared" si="563"/>
      </c>
      <c r="AK809" s="4">
        <f t="shared" si="564"/>
      </c>
      <c r="AL809" s="4">
        <f t="shared" si="565"/>
      </c>
      <c r="AM809" s="4">
        <f t="shared" si="566"/>
      </c>
      <c r="AN809" s="4"/>
      <c r="AO809" s="4">
        <f t="shared" si="567"/>
      </c>
      <c r="AP809" s="4">
        <f t="shared" si="568"/>
      </c>
      <c r="AQ809" s="4">
        <f t="shared" si="569"/>
        <v/>
      </c>
      <c r="AR809" s="4">
        <f t="shared" si="570"/>
      </c>
      <c r="AS809" s="4">
        <f t="shared" si="571"/>
      </c>
      <c r="AT809" s="4">
        <f t="shared" si="572"/>
      </c>
    </row>
    <row r="810" spans="1:46" x14ac:dyDescent="0.3">
      <c r="A810" s="5">
        <f t="shared" si="544"/>
      </c>
      <c r="B810" s="4">
        <f t="shared" si="545"/>
      </c>
      <c r="C810" s="59"/>
      <c r="D810" s="59"/>
      <c r="E810" s="70"/>
      <c r="F810" s="164"/>
      <c r="G810" s="164"/>
      <c r="H810" s="164"/>
      <c r="I810" s="70"/>
      <c r="J810" s="70"/>
      <c r="K810" s="70"/>
      <c r="L810" s="70"/>
      <c r="M810" s="4">
        <f t="shared" si="546"/>
      </c>
      <c r="N810" s="59"/>
      <c r="O810" s="164"/>
      <c r="P810" s="59">
        <f t="shared" si="547"/>
      </c>
      <c r="Q810" s="165"/>
      <c r="R810" s="59"/>
      <c r="S810" s="164"/>
      <c r="T810" s="5">
        <f t="shared" si="548"/>
      </c>
      <c r="U810" s="4">
        <f t="shared" si="549"/>
      </c>
      <c r="V810" s="4">
        <f t="shared" si="550"/>
      </c>
      <c r="W810" s="4">
        <f t="shared" si="551"/>
      </c>
      <c r="X810" s="4">
        <f t="shared" si="552"/>
      </c>
      <c r="Y810" s="4" cm="1">
        <f t="array" ref="Y810">_xlfn.IFS(H810=1,2,H810=3,1)</f>
      </c>
      <c r="Z810" s="4">
        <f t="shared" si="553"/>
      </c>
      <c r="AA810" s="4">
        <f t="shared" si="554"/>
      </c>
      <c r="AB810" s="4">
        <f t="shared" si="555"/>
      </c>
      <c r="AC810" s="4">
        <f t="shared" si="556"/>
      </c>
      <c r="AD810" s="4">
        <f t="shared" si="557"/>
      </c>
      <c r="AE810" s="4">
        <f t="shared" si="558"/>
      </c>
      <c r="AF810" s="4">
        <f t="shared" si="559"/>
      </c>
      <c r="AG810" s="4">
        <f t="shared" si="560"/>
        <v/>
      </c>
      <c r="AH810" s="4">
        <f t="shared" si="561"/>
      </c>
      <c r="AI810" s="4">
        <f t="shared" si="562"/>
      </c>
      <c r="AJ810" s="4">
        <f t="shared" si="563"/>
      </c>
      <c r="AK810" s="4">
        <f t="shared" si="564"/>
      </c>
      <c r="AL810" s="4">
        <f t="shared" si="565"/>
      </c>
      <c r="AM810" s="4">
        <f t="shared" si="566"/>
      </c>
      <c r="AN810" s="4"/>
      <c r="AO810" s="4">
        <f t="shared" si="567"/>
      </c>
      <c r="AP810" s="4">
        <f t="shared" si="568"/>
      </c>
      <c r="AQ810" s="4">
        <f t="shared" si="569"/>
        <v/>
      </c>
      <c r="AR810" s="4">
        <f t="shared" si="570"/>
      </c>
      <c r="AS810" s="4">
        <f t="shared" si="571"/>
      </c>
      <c r="AT810" s="4">
        <f t="shared" si="572"/>
      </c>
    </row>
    <row r="811" spans="1:46" x14ac:dyDescent="0.3">
      <c r="A811" s="5">
        <f t="shared" si="544"/>
      </c>
      <c r="B811" s="4">
        <f t="shared" si="545"/>
      </c>
      <c r="C811" s="59"/>
      <c r="D811" s="59"/>
      <c r="E811" s="70"/>
      <c r="F811" s="164"/>
      <c r="G811" s="164"/>
      <c r="H811" s="164"/>
      <c r="I811" s="70"/>
      <c r="J811" s="70"/>
      <c r="K811" s="70"/>
      <c r="L811" s="70"/>
      <c r="M811" s="4">
        <f t="shared" si="546"/>
      </c>
      <c r="N811" s="59"/>
      <c r="O811" s="164"/>
      <c r="P811" s="59">
        <f t="shared" si="547"/>
      </c>
      <c r="Q811" s="165"/>
      <c r="R811" s="59"/>
      <c r="S811" s="164"/>
      <c r="T811" s="5">
        <f t="shared" si="548"/>
      </c>
      <c r="U811" s="4">
        <f t="shared" si="549"/>
      </c>
      <c r="V811" s="4">
        <f t="shared" si="550"/>
      </c>
      <c r="W811" s="4">
        <f t="shared" si="551"/>
      </c>
      <c r="X811" s="4">
        <f t="shared" si="552"/>
      </c>
      <c r="Y811" s="4" cm="1">
        <f t="array" ref="Y811">_xlfn.IFS(H811=1,2,H811=3,1)</f>
      </c>
      <c r="Z811" s="4">
        <f t="shared" si="553"/>
      </c>
      <c r="AA811" s="4">
        <f t="shared" si="554"/>
      </c>
      <c r="AB811" s="4">
        <f t="shared" si="555"/>
      </c>
      <c r="AC811" s="4">
        <f t="shared" si="556"/>
      </c>
      <c r="AD811" s="4">
        <f t="shared" si="557"/>
      </c>
      <c r="AE811" s="4">
        <f t="shared" si="558"/>
      </c>
      <c r="AF811" s="4">
        <f t="shared" si="559"/>
      </c>
      <c r="AG811" s="4">
        <f t="shared" si="560"/>
        <v/>
      </c>
      <c r="AH811" s="4">
        <f t="shared" si="561"/>
      </c>
      <c r="AI811" s="4">
        <f t="shared" si="562"/>
      </c>
      <c r="AJ811" s="4">
        <f t="shared" si="563"/>
      </c>
      <c r="AK811" s="4">
        <f t="shared" si="564"/>
      </c>
      <c r="AL811" s="4">
        <f t="shared" si="565"/>
      </c>
      <c r="AM811" s="4">
        <f t="shared" si="566"/>
      </c>
      <c r="AN811" s="4"/>
      <c r="AO811" s="4">
        <f t="shared" si="567"/>
      </c>
      <c r="AP811" s="4">
        <f t="shared" si="568"/>
      </c>
      <c r="AQ811" s="4">
        <f t="shared" si="569"/>
        <v/>
      </c>
      <c r="AR811" s="4">
        <f t="shared" si="570"/>
      </c>
      <c r="AS811" s="4">
        <f t="shared" si="571"/>
      </c>
      <c r="AT811" s="4">
        <f t="shared" si="572"/>
      </c>
    </row>
    <row r="812" spans="1:46" x14ac:dyDescent="0.3">
      <c r="A812" s="5">
        <f t="shared" si="544"/>
      </c>
      <c r="B812" s="4">
        <f t="shared" si="545"/>
      </c>
      <c r="C812" s="59"/>
      <c r="D812" s="59"/>
      <c r="E812" s="70"/>
      <c r="F812" s="164"/>
      <c r="G812" s="164"/>
      <c r="H812" s="164"/>
      <c r="I812" s="70"/>
      <c r="J812" s="70"/>
      <c r="K812" s="70"/>
      <c r="L812" s="70"/>
      <c r="M812" s="4">
        <f t="shared" si="546"/>
      </c>
      <c r="N812" s="59"/>
      <c r="O812" s="164"/>
      <c r="P812" s="59">
        <f t="shared" si="547"/>
      </c>
      <c r="Q812" s="165"/>
      <c r="R812" s="59"/>
      <c r="S812" s="164"/>
      <c r="T812" s="5">
        <f t="shared" si="548"/>
      </c>
      <c r="U812" s="4">
        <f t="shared" si="549"/>
      </c>
      <c r="V812" s="4">
        <f t="shared" si="550"/>
      </c>
      <c r="W812" s="4">
        <f t="shared" si="551"/>
      </c>
      <c r="X812" s="4">
        <f t="shared" si="552"/>
      </c>
      <c r="Y812" s="4" cm="1">
        <f t="array" ref="Y812">_xlfn.IFS(H812=1,2,H812=3,1)</f>
      </c>
      <c r="Z812" s="4">
        <f t="shared" si="553"/>
      </c>
      <c r="AA812" s="4">
        <f t="shared" si="554"/>
      </c>
      <c r="AB812" s="4">
        <f t="shared" si="555"/>
      </c>
      <c r="AC812" s="4">
        <f t="shared" si="556"/>
      </c>
      <c r="AD812" s="4">
        <f t="shared" si="557"/>
      </c>
      <c r="AE812" s="4">
        <f t="shared" si="558"/>
      </c>
      <c r="AF812" s="4">
        <f t="shared" si="559"/>
      </c>
      <c r="AG812" s="4">
        <f t="shared" si="560"/>
        <v/>
      </c>
      <c r="AH812" s="4">
        <f t="shared" si="561"/>
      </c>
      <c r="AI812" s="4">
        <f t="shared" si="562"/>
      </c>
      <c r="AJ812" s="4">
        <f t="shared" si="563"/>
      </c>
      <c r="AK812" s="4">
        <f t="shared" si="564"/>
      </c>
      <c r="AL812" s="4">
        <f t="shared" si="565"/>
      </c>
      <c r="AM812" s="4">
        <f t="shared" si="566"/>
      </c>
      <c r="AN812" s="4"/>
      <c r="AO812" s="4">
        <f t="shared" si="567"/>
      </c>
      <c r="AP812" s="4">
        <f t="shared" si="568"/>
      </c>
      <c r="AQ812" s="4">
        <f t="shared" si="569"/>
        <v/>
      </c>
      <c r="AR812" s="4">
        <f t="shared" si="570"/>
      </c>
      <c r="AS812" s="4">
        <f t="shared" si="571"/>
      </c>
      <c r="AT812" s="4">
        <f t="shared" si="572"/>
      </c>
    </row>
    <row r="813" spans="1:46" x14ac:dyDescent="0.3">
      <c r="A813" s="5">
        <f t="shared" si="544"/>
      </c>
      <c r="B813" s="4">
        <f t="shared" si="545"/>
      </c>
      <c r="C813" s="59"/>
      <c r="D813" s="59"/>
      <c r="E813" s="70"/>
      <c r="F813" s="164"/>
      <c r="G813" s="164"/>
      <c r="H813" s="164"/>
      <c r="I813" s="70"/>
      <c r="J813" s="70"/>
      <c r="K813" s="70"/>
      <c r="L813" s="70"/>
      <c r="M813" s="4">
        <f t="shared" si="546"/>
      </c>
      <c r="N813" s="59"/>
      <c r="O813" s="164"/>
      <c r="P813" s="59">
        <f t="shared" si="547"/>
      </c>
      <c r="Q813" s="165"/>
      <c r="R813" s="59"/>
      <c r="S813" s="164"/>
      <c r="T813" s="5">
        <f t="shared" si="548"/>
      </c>
      <c r="U813" s="4">
        <f t="shared" si="549"/>
      </c>
      <c r="V813" s="4">
        <f t="shared" si="550"/>
      </c>
      <c r="W813" s="4">
        <f t="shared" si="551"/>
      </c>
      <c r="X813" s="4">
        <f t="shared" si="552"/>
      </c>
      <c r="Y813" s="4" cm="1">
        <f t="array" ref="Y813">_xlfn.IFS(H813=1,2,H813=3,1)</f>
      </c>
      <c r="Z813" s="4">
        <f t="shared" si="553"/>
      </c>
      <c r="AA813" s="4">
        <f t="shared" si="554"/>
      </c>
      <c r="AB813" s="4">
        <f t="shared" si="555"/>
      </c>
      <c r="AC813" s="4">
        <f t="shared" si="556"/>
      </c>
      <c r="AD813" s="4">
        <f t="shared" si="557"/>
      </c>
      <c r="AE813" s="4">
        <f t="shared" si="558"/>
      </c>
      <c r="AF813" s="4">
        <f t="shared" si="559"/>
      </c>
      <c r="AG813" s="4">
        <f t="shared" si="560"/>
        <v/>
      </c>
      <c r="AH813" s="4">
        <f t="shared" si="561"/>
      </c>
      <c r="AI813" s="4">
        <f t="shared" si="562"/>
      </c>
      <c r="AJ813" s="4">
        <f t="shared" si="563"/>
      </c>
      <c r="AK813" s="4">
        <f t="shared" si="564"/>
      </c>
      <c r="AL813" s="4">
        <f t="shared" si="565"/>
      </c>
      <c r="AM813" s="4">
        <f t="shared" si="566"/>
      </c>
      <c r="AN813" s="4"/>
      <c r="AO813" s="4">
        <f t="shared" si="567"/>
      </c>
      <c r="AP813" s="4">
        <f t="shared" si="568"/>
      </c>
      <c r="AQ813" s="4">
        <f t="shared" si="569"/>
        <v/>
      </c>
      <c r="AR813" s="4">
        <f t="shared" si="570"/>
      </c>
      <c r="AS813" s="4">
        <f t="shared" si="571"/>
      </c>
      <c r="AT813" s="4">
        <f t="shared" si="572"/>
      </c>
    </row>
    <row r="814" spans="1:46" x14ac:dyDescent="0.3">
      <c r="A814" s="5">
        <f t="shared" si="544"/>
      </c>
      <c r="B814" s="4">
        <f t="shared" si="545"/>
      </c>
      <c r="C814" s="59"/>
      <c r="D814" s="59"/>
      <c r="E814" s="70"/>
      <c r="F814" s="164"/>
      <c r="G814" s="164"/>
      <c r="H814" s="164"/>
      <c r="I814" s="70"/>
      <c r="J814" s="70"/>
      <c r="K814" s="70"/>
      <c r="L814" s="70"/>
      <c r="M814" s="4">
        <f t="shared" si="546"/>
      </c>
      <c r="N814" s="59"/>
      <c r="O814" s="164"/>
      <c r="P814" s="59">
        <f t="shared" si="547"/>
      </c>
      <c r="Q814" s="165"/>
      <c r="R814" s="59"/>
      <c r="S814" s="164"/>
      <c r="T814" s="5">
        <f t="shared" si="548"/>
      </c>
      <c r="U814" s="4">
        <f t="shared" si="549"/>
      </c>
      <c r="V814" s="4">
        <f t="shared" si="550"/>
      </c>
      <c r="W814" s="4">
        <f t="shared" si="551"/>
      </c>
      <c r="X814" s="4">
        <f t="shared" si="552"/>
      </c>
      <c r="Y814" s="4" cm="1">
        <f t="array" ref="Y814">_xlfn.IFS(H814=1,2,H814=3,1)</f>
      </c>
      <c r="Z814" s="4">
        <f t="shared" si="553"/>
      </c>
      <c r="AA814" s="4">
        <f t="shared" si="554"/>
      </c>
      <c r="AB814" s="4">
        <f t="shared" si="555"/>
      </c>
      <c r="AC814" s="4">
        <f t="shared" si="556"/>
      </c>
      <c r="AD814" s="4">
        <f t="shared" si="557"/>
      </c>
      <c r="AE814" s="4">
        <f t="shared" si="558"/>
      </c>
      <c r="AF814" s="4">
        <f t="shared" si="559"/>
      </c>
      <c r="AG814" s="4">
        <f t="shared" si="560"/>
        <v/>
      </c>
      <c r="AH814" s="4">
        <f t="shared" si="561"/>
      </c>
      <c r="AI814" s="4">
        <f t="shared" si="562"/>
      </c>
      <c r="AJ814" s="4">
        <f t="shared" si="563"/>
      </c>
      <c r="AK814" s="4">
        <f t="shared" si="564"/>
      </c>
      <c r="AL814" s="4">
        <f t="shared" si="565"/>
      </c>
      <c r="AM814" s="4">
        <f t="shared" si="566"/>
      </c>
      <c r="AN814" s="4"/>
      <c r="AO814" s="4">
        <f t="shared" si="567"/>
      </c>
      <c r="AP814" s="4">
        <f t="shared" si="568"/>
      </c>
      <c r="AQ814" s="4">
        <f t="shared" si="569"/>
        <v/>
      </c>
      <c r="AR814" s="4">
        <f t="shared" si="570"/>
      </c>
      <c r="AS814" s="4">
        <f t="shared" si="571"/>
      </c>
      <c r="AT814" s="4">
        <f t="shared" si="572"/>
      </c>
    </row>
    <row r="815" spans="1:46" x14ac:dyDescent="0.3">
      <c r="A815" s="5">
        <f t="shared" si="544"/>
      </c>
      <c r="B815" s="4">
        <f t="shared" si="545"/>
      </c>
      <c r="C815" s="59"/>
      <c r="D815" s="59"/>
      <c r="E815" s="70"/>
      <c r="F815" s="164"/>
      <c r="G815" s="164"/>
      <c r="H815" s="164"/>
      <c r="I815" s="70"/>
      <c r="J815" s="70"/>
      <c r="K815" s="70"/>
      <c r="L815" s="70"/>
      <c r="M815" s="4">
        <f t="shared" si="546"/>
      </c>
      <c r="N815" s="59"/>
      <c r="O815" s="164"/>
      <c r="P815" s="59">
        <f t="shared" si="547"/>
      </c>
      <c r="Q815" s="165"/>
      <c r="R815" s="59"/>
      <c r="S815" s="164"/>
      <c r="T815" s="5">
        <f t="shared" si="548"/>
      </c>
      <c r="U815" s="4">
        <f t="shared" si="549"/>
      </c>
      <c r="V815" s="4">
        <f t="shared" si="550"/>
      </c>
      <c r="W815" s="4">
        <f t="shared" si="551"/>
      </c>
      <c r="X815" s="4">
        <f t="shared" si="552"/>
      </c>
      <c r="Y815" s="4" cm="1">
        <f t="array" ref="Y815">_xlfn.IFS(H815=1,2,H815=3,1)</f>
      </c>
      <c r="Z815" s="4">
        <f t="shared" si="553"/>
      </c>
      <c r="AA815" s="4">
        <f t="shared" si="554"/>
      </c>
      <c r="AB815" s="4">
        <f t="shared" si="555"/>
      </c>
      <c r="AC815" s="4">
        <f t="shared" si="556"/>
      </c>
      <c r="AD815" s="4">
        <f t="shared" si="557"/>
      </c>
      <c r="AE815" s="4">
        <f t="shared" si="558"/>
      </c>
      <c r="AF815" s="4">
        <f t="shared" si="559"/>
      </c>
      <c r="AG815" s="4">
        <f t="shared" si="560"/>
        <v/>
      </c>
      <c r="AH815" s="4">
        <f t="shared" si="561"/>
      </c>
      <c r="AI815" s="4">
        <f t="shared" si="562"/>
      </c>
      <c r="AJ815" s="4">
        <f t="shared" si="563"/>
      </c>
      <c r="AK815" s="4">
        <f t="shared" si="564"/>
      </c>
      <c r="AL815" s="4">
        <f t="shared" si="565"/>
      </c>
      <c r="AM815" s="4">
        <f t="shared" si="566"/>
      </c>
      <c r="AN815" s="4"/>
      <c r="AO815" s="4">
        <f t="shared" si="567"/>
      </c>
      <c r="AP815" s="4">
        <f t="shared" si="568"/>
      </c>
      <c r="AQ815" s="4">
        <f t="shared" si="569"/>
        <v/>
      </c>
      <c r="AR815" s="4">
        <f t="shared" si="570"/>
      </c>
      <c r="AS815" s="4">
        <f t="shared" si="571"/>
      </c>
      <c r="AT815" s="4">
        <f t="shared" si="572"/>
      </c>
    </row>
    <row r="816" spans="1:46" x14ac:dyDescent="0.3">
      <c r="A816" s="5">
        <f t="shared" si="544"/>
      </c>
      <c r="B816" s="4">
        <f t="shared" si="545"/>
      </c>
      <c r="C816" s="59"/>
      <c r="D816" s="59"/>
      <c r="E816" s="70"/>
      <c r="F816" s="164"/>
      <c r="G816" s="164"/>
      <c r="H816" s="164"/>
      <c r="I816" s="70"/>
      <c r="J816" s="70"/>
      <c r="K816" s="70"/>
      <c r="L816" s="70"/>
      <c r="M816" s="4">
        <f t="shared" si="546"/>
      </c>
      <c r="N816" s="59"/>
      <c r="O816" s="164"/>
      <c r="P816" s="59">
        <f t="shared" si="547"/>
      </c>
      <c r="Q816" s="165"/>
      <c r="R816" s="59"/>
      <c r="S816" s="164"/>
      <c r="T816" s="5">
        <f t="shared" si="548"/>
      </c>
      <c r="U816" s="4">
        <f t="shared" si="549"/>
      </c>
      <c r="V816" s="4">
        <f t="shared" si="550"/>
      </c>
      <c r="W816" s="4">
        <f t="shared" si="551"/>
      </c>
      <c r="X816" s="4">
        <f t="shared" si="552"/>
      </c>
      <c r="Y816" s="4" cm="1">
        <f t="array" ref="Y816">_xlfn.IFS(H816=1,2,H816=3,1)</f>
      </c>
      <c r="Z816" s="4">
        <f t="shared" si="553"/>
      </c>
      <c r="AA816" s="4">
        <f t="shared" si="554"/>
      </c>
      <c r="AB816" s="4">
        <f t="shared" si="555"/>
      </c>
      <c r="AC816" s="4">
        <f t="shared" si="556"/>
      </c>
      <c r="AD816" s="4">
        <f t="shared" si="557"/>
      </c>
      <c r="AE816" s="4">
        <f t="shared" si="558"/>
      </c>
      <c r="AF816" s="4">
        <f t="shared" si="559"/>
      </c>
      <c r="AG816" s="4">
        <f t="shared" si="560"/>
        <v/>
      </c>
      <c r="AH816" s="4">
        <f t="shared" si="561"/>
      </c>
      <c r="AI816" s="4">
        <f t="shared" si="562"/>
      </c>
      <c r="AJ816" s="4">
        <f t="shared" si="563"/>
      </c>
      <c r="AK816" s="4">
        <f t="shared" si="564"/>
      </c>
      <c r="AL816" s="4">
        <f t="shared" si="565"/>
      </c>
      <c r="AM816" s="4">
        <f t="shared" si="566"/>
      </c>
      <c r="AN816" s="4"/>
      <c r="AO816" s="4">
        <f t="shared" si="567"/>
      </c>
      <c r="AP816" s="4">
        <f t="shared" si="568"/>
      </c>
      <c r="AQ816" s="4">
        <f t="shared" si="569"/>
        <v/>
      </c>
      <c r="AR816" s="4">
        <f t="shared" si="570"/>
      </c>
      <c r="AS816" s="4">
        <f t="shared" si="571"/>
      </c>
      <c r="AT816" s="4">
        <f t="shared" si="572"/>
      </c>
    </row>
    <row r="817" spans="1:46" x14ac:dyDescent="0.3">
      <c r="A817" s="5">
        <f t="shared" si="544"/>
      </c>
      <c r="B817" s="4">
        <f t="shared" si="545"/>
      </c>
      <c r="C817" s="59"/>
      <c r="D817" s="59"/>
      <c r="E817" s="70"/>
      <c r="F817" s="164"/>
      <c r="G817" s="164"/>
      <c r="H817" s="164"/>
      <c r="I817" s="70"/>
      <c r="J817" s="70"/>
      <c r="K817" s="70"/>
      <c r="L817" s="70"/>
      <c r="M817" s="4">
        <f t="shared" si="546"/>
      </c>
      <c r="N817" s="59"/>
      <c r="O817" s="164"/>
      <c r="P817" s="59">
        <f t="shared" si="547"/>
      </c>
      <c r="Q817" s="165"/>
      <c r="R817" s="59"/>
      <c r="S817" s="164"/>
      <c r="T817" s="5">
        <f t="shared" si="548"/>
      </c>
      <c r="U817" s="4">
        <f t="shared" si="549"/>
      </c>
      <c r="V817" s="4">
        <f t="shared" si="550"/>
      </c>
      <c r="W817" s="4">
        <f t="shared" si="551"/>
      </c>
      <c r="X817" s="4">
        <f t="shared" si="552"/>
      </c>
      <c r="Y817" s="4" cm="1">
        <f t="array" ref="Y817">_xlfn.IFS(H817=1,2,H817=3,1)</f>
      </c>
      <c r="Z817" s="4">
        <f t="shared" si="553"/>
      </c>
      <c r="AA817" s="4">
        <f t="shared" si="554"/>
      </c>
      <c r="AB817" s="4">
        <f t="shared" si="555"/>
      </c>
      <c r="AC817" s="4">
        <f t="shared" si="556"/>
      </c>
      <c r="AD817" s="4">
        <f t="shared" si="557"/>
      </c>
      <c r="AE817" s="4">
        <f t="shared" si="558"/>
      </c>
      <c r="AF817" s="4">
        <f t="shared" si="559"/>
      </c>
      <c r="AG817" s="4">
        <f t="shared" si="560"/>
        <v/>
      </c>
      <c r="AH817" s="4">
        <f t="shared" si="561"/>
      </c>
      <c r="AI817" s="4">
        <f t="shared" si="562"/>
      </c>
      <c r="AJ817" s="4">
        <f t="shared" si="563"/>
      </c>
      <c r="AK817" s="4">
        <f t="shared" si="564"/>
      </c>
      <c r="AL817" s="4">
        <f t="shared" si="565"/>
      </c>
      <c r="AM817" s="4">
        <f t="shared" si="566"/>
      </c>
      <c r="AN817" s="4"/>
      <c r="AO817" s="4">
        <f t="shared" si="567"/>
      </c>
      <c r="AP817" s="4">
        <f t="shared" si="568"/>
      </c>
      <c r="AQ817" s="4">
        <f t="shared" si="569"/>
        <v/>
      </c>
      <c r="AR817" s="4">
        <f t="shared" si="570"/>
      </c>
      <c r="AS817" s="4">
        <f t="shared" si="571"/>
      </c>
      <c r="AT817" s="4">
        <f t="shared" si="572"/>
      </c>
    </row>
    <row r="818" spans="1:46" x14ac:dyDescent="0.3">
      <c r="A818" s="5">
        <f t="shared" si="544"/>
      </c>
      <c r="B818" s="4">
        <f t="shared" si="545"/>
      </c>
      <c r="C818" s="59"/>
      <c r="D818" s="59"/>
      <c r="E818" s="70"/>
      <c r="F818" s="164"/>
      <c r="G818" s="164"/>
      <c r="H818" s="164"/>
      <c r="I818" s="70"/>
      <c r="J818" s="70"/>
      <c r="K818" s="70"/>
      <c r="L818" s="70"/>
      <c r="M818" s="4">
        <f t="shared" si="546"/>
      </c>
      <c r="N818" s="59"/>
      <c r="O818" s="164"/>
      <c r="P818" s="59">
        <f t="shared" si="547"/>
      </c>
      <c r="Q818" s="165"/>
      <c r="R818" s="59"/>
      <c r="S818" s="164"/>
      <c r="T818" s="5">
        <f t="shared" si="548"/>
      </c>
      <c r="U818" s="4">
        <f t="shared" si="549"/>
      </c>
      <c r="V818" s="4">
        <f t="shared" si="550"/>
      </c>
      <c r="W818" s="4">
        <f t="shared" si="551"/>
      </c>
      <c r="X818" s="4">
        <f t="shared" si="552"/>
      </c>
      <c r="Y818" s="4" cm="1">
        <f t="array" ref="Y818">_xlfn.IFS(H818=1,2,H818=3,1)</f>
      </c>
      <c r="Z818" s="4">
        <f t="shared" si="553"/>
      </c>
      <c r="AA818" s="4">
        <f t="shared" si="554"/>
      </c>
      <c r="AB818" s="4">
        <f t="shared" si="555"/>
      </c>
      <c r="AC818" s="4">
        <f t="shared" si="556"/>
      </c>
      <c r="AD818" s="4">
        <f t="shared" si="557"/>
      </c>
      <c r="AE818" s="4">
        <f t="shared" si="558"/>
      </c>
      <c r="AF818" s="4">
        <f t="shared" si="559"/>
      </c>
      <c r="AG818" s="4">
        <f t="shared" si="560"/>
        <v/>
      </c>
      <c r="AH818" s="4">
        <f t="shared" si="561"/>
      </c>
      <c r="AI818" s="4">
        <f t="shared" si="562"/>
      </c>
      <c r="AJ818" s="4">
        <f t="shared" si="563"/>
      </c>
      <c r="AK818" s="4">
        <f t="shared" si="564"/>
      </c>
      <c r="AL818" s="4">
        <f t="shared" si="565"/>
      </c>
      <c r="AM818" s="4">
        <f t="shared" si="566"/>
      </c>
      <c r="AN818" s="4"/>
      <c r="AO818" s="4">
        <f t="shared" si="567"/>
      </c>
      <c r="AP818" s="4">
        <f t="shared" si="568"/>
      </c>
      <c r="AQ818" s="4">
        <f t="shared" si="569"/>
        <v/>
      </c>
      <c r="AR818" s="4">
        <f t="shared" si="570"/>
      </c>
      <c r="AS818" s="4">
        <f t="shared" si="571"/>
      </c>
      <c r="AT818" s="4">
        <f t="shared" si="572"/>
      </c>
    </row>
    <row r="819" spans="1:46" x14ac:dyDescent="0.3">
      <c r="A819" s="5">
        <f t="shared" si="544"/>
      </c>
      <c r="B819" s="4">
        <f t="shared" si="545"/>
      </c>
      <c r="C819" s="59"/>
      <c r="D819" s="59"/>
      <c r="E819" s="70"/>
      <c r="F819" s="164"/>
      <c r="G819" s="164"/>
      <c r="H819" s="164"/>
      <c r="I819" s="70"/>
      <c r="J819" s="70"/>
      <c r="K819" s="70"/>
      <c r="L819" s="70"/>
      <c r="M819" s="4">
        <f t="shared" si="546"/>
      </c>
      <c r="N819" s="59"/>
      <c r="O819" s="164"/>
      <c r="P819" s="59">
        <f t="shared" si="547"/>
      </c>
      <c r="Q819" s="165"/>
      <c r="R819" s="59"/>
      <c r="S819" s="164"/>
      <c r="T819" s="5">
        <f t="shared" si="548"/>
      </c>
      <c r="U819" s="4">
        <f t="shared" si="549"/>
      </c>
      <c r="V819" s="4">
        <f t="shared" si="550"/>
      </c>
      <c r="W819" s="4">
        <f t="shared" si="551"/>
      </c>
      <c r="X819" s="4">
        <f t="shared" si="552"/>
      </c>
      <c r="Y819" s="4" cm="1">
        <f t="array" ref="Y819">_xlfn.IFS(H819=1,2,H819=3,1)</f>
      </c>
      <c r="Z819" s="4">
        <f t="shared" si="553"/>
      </c>
      <c r="AA819" s="4">
        <f t="shared" si="554"/>
      </c>
      <c r="AB819" s="4">
        <f t="shared" si="555"/>
      </c>
      <c r="AC819" s="4">
        <f t="shared" si="556"/>
      </c>
      <c r="AD819" s="4">
        <f t="shared" si="557"/>
      </c>
      <c r="AE819" s="4">
        <f t="shared" si="558"/>
      </c>
      <c r="AF819" s="4">
        <f t="shared" si="559"/>
      </c>
      <c r="AG819" s="4">
        <f t="shared" si="560"/>
        <v/>
      </c>
      <c r="AH819" s="4">
        <f t="shared" si="561"/>
      </c>
      <c r="AI819" s="4">
        <f t="shared" si="562"/>
      </c>
      <c r="AJ819" s="4">
        <f t="shared" si="563"/>
      </c>
      <c r="AK819" s="4">
        <f t="shared" si="564"/>
      </c>
      <c r="AL819" s="4">
        <f t="shared" si="565"/>
      </c>
      <c r="AM819" s="4">
        <f t="shared" si="566"/>
      </c>
      <c r="AN819" s="4"/>
      <c r="AO819" s="4">
        <f t="shared" si="567"/>
      </c>
      <c r="AP819" s="4">
        <f t="shared" si="568"/>
      </c>
      <c r="AQ819" s="4">
        <f t="shared" si="569"/>
        <v/>
      </c>
      <c r="AR819" s="4">
        <f t="shared" si="570"/>
      </c>
      <c r="AS819" s="4">
        <f t="shared" si="571"/>
      </c>
      <c r="AT819" s="4">
        <f t="shared" si="572"/>
      </c>
    </row>
    <row r="820" spans="1:46" x14ac:dyDescent="0.3">
      <c r="A820" s="5">
        <f t="shared" si="544"/>
      </c>
      <c r="B820" s="4">
        <f t="shared" si="545"/>
      </c>
      <c r="C820" s="59"/>
      <c r="D820" s="59"/>
      <c r="E820" s="70"/>
      <c r="F820" s="164"/>
      <c r="G820" s="164"/>
      <c r="H820" s="164"/>
      <c r="I820" s="70"/>
      <c r="J820" s="70"/>
      <c r="K820" s="70"/>
      <c r="L820" s="70"/>
      <c r="M820" s="4">
        <f t="shared" si="546"/>
      </c>
      <c r="N820" s="59"/>
      <c r="O820" s="164"/>
      <c r="P820" s="59">
        <f t="shared" si="547"/>
      </c>
      <c r="Q820" s="165"/>
      <c r="R820" s="59"/>
      <c r="S820" s="164"/>
      <c r="T820" s="5">
        <f t="shared" si="548"/>
      </c>
      <c r="U820" s="4">
        <f t="shared" si="549"/>
      </c>
      <c r="V820" s="4">
        <f t="shared" si="550"/>
      </c>
      <c r="W820" s="4">
        <f t="shared" si="551"/>
      </c>
      <c r="X820" s="4">
        <f t="shared" si="552"/>
      </c>
      <c r="Y820" s="4" cm="1">
        <f t="array" ref="Y820">_xlfn.IFS(H820=1,2,H820=3,1)</f>
      </c>
      <c r="Z820" s="4">
        <f t="shared" si="553"/>
      </c>
      <c r="AA820" s="4">
        <f t="shared" si="554"/>
      </c>
      <c r="AB820" s="4">
        <f t="shared" si="555"/>
      </c>
      <c r="AC820" s="4">
        <f t="shared" si="556"/>
      </c>
      <c r="AD820" s="4">
        <f t="shared" si="557"/>
      </c>
      <c r="AE820" s="4">
        <f t="shared" si="558"/>
      </c>
      <c r="AF820" s="4">
        <f t="shared" si="559"/>
      </c>
      <c r="AG820" s="4">
        <f t="shared" si="560"/>
        <v/>
      </c>
      <c r="AH820" s="4">
        <f t="shared" si="561"/>
      </c>
      <c r="AI820" s="4">
        <f t="shared" si="562"/>
      </c>
      <c r="AJ820" s="4">
        <f t="shared" si="563"/>
      </c>
      <c r="AK820" s="4">
        <f t="shared" si="564"/>
      </c>
      <c r="AL820" s="4">
        <f t="shared" si="565"/>
      </c>
      <c r="AM820" s="4">
        <f t="shared" si="566"/>
      </c>
      <c r="AN820" s="4"/>
      <c r="AO820" s="4">
        <f t="shared" si="567"/>
      </c>
      <c r="AP820" s="4">
        <f t="shared" si="568"/>
      </c>
      <c r="AQ820" s="4">
        <f t="shared" si="569"/>
        <v/>
      </c>
      <c r="AR820" s="4">
        <f t="shared" si="570"/>
      </c>
      <c r="AS820" s="4">
        <f t="shared" si="571"/>
      </c>
      <c r="AT820" s="4">
        <f t="shared" si="572"/>
      </c>
    </row>
    <row r="821" spans="1:46" x14ac:dyDescent="0.3">
      <c r="A821" s="5">
        <f t="shared" si="544"/>
      </c>
      <c r="B821" s="4">
        <f t="shared" si="545"/>
      </c>
      <c r="C821" s="59"/>
      <c r="D821" s="59"/>
      <c r="E821" s="70"/>
      <c r="F821" s="164"/>
      <c r="G821" s="164"/>
      <c r="H821" s="164"/>
      <c r="I821" s="70"/>
      <c r="J821" s="70"/>
      <c r="K821" s="70"/>
      <c r="L821" s="70"/>
      <c r="M821" s="4">
        <f t="shared" si="546"/>
      </c>
      <c r="N821" s="59"/>
      <c r="O821" s="164"/>
      <c r="P821" s="59">
        <f t="shared" si="547"/>
      </c>
      <c r="Q821" s="165"/>
      <c r="R821" s="59"/>
      <c r="S821" s="164"/>
      <c r="T821" s="5">
        <f t="shared" si="548"/>
      </c>
      <c r="U821" s="4">
        <f t="shared" si="549"/>
      </c>
      <c r="V821" s="4">
        <f t="shared" si="550"/>
      </c>
      <c r="W821" s="4">
        <f t="shared" si="551"/>
      </c>
      <c r="X821" s="4">
        <f t="shared" si="552"/>
      </c>
      <c r="Y821" s="4" cm="1">
        <f t="array" ref="Y821">_xlfn.IFS(H821=1,2,H821=3,1)</f>
      </c>
      <c r="Z821" s="4">
        <f t="shared" si="553"/>
      </c>
      <c r="AA821" s="4">
        <f t="shared" si="554"/>
      </c>
      <c r="AB821" s="4">
        <f t="shared" si="555"/>
      </c>
      <c r="AC821" s="4">
        <f t="shared" si="556"/>
      </c>
      <c r="AD821" s="4">
        <f t="shared" si="557"/>
      </c>
      <c r="AE821" s="4">
        <f t="shared" si="558"/>
      </c>
      <c r="AF821" s="4">
        <f t="shared" si="559"/>
      </c>
      <c r="AG821" s="4">
        <f t="shared" si="560"/>
        <v/>
      </c>
      <c r="AH821" s="4">
        <f t="shared" si="561"/>
      </c>
      <c r="AI821" s="4">
        <f t="shared" si="562"/>
      </c>
      <c r="AJ821" s="4">
        <f t="shared" si="563"/>
      </c>
      <c r="AK821" s="4">
        <f t="shared" si="564"/>
      </c>
      <c r="AL821" s="4">
        <f t="shared" si="565"/>
      </c>
      <c r="AM821" s="4">
        <f t="shared" si="566"/>
      </c>
      <c r="AN821" s="4"/>
      <c r="AO821" s="4">
        <f t="shared" si="567"/>
      </c>
      <c r="AP821" s="4">
        <f t="shared" si="568"/>
      </c>
      <c r="AQ821" s="4">
        <f t="shared" si="569"/>
        <v/>
      </c>
      <c r="AR821" s="4">
        <f t="shared" si="570"/>
      </c>
      <c r="AS821" s="4">
        <f t="shared" si="571"/>
      </c>
      <c r="AT821" s="4">
        <f t="shared" si="572"/>
      </c>
    </row>
    <row r="822" spans="1:46" x14ac:dyDescent="0.3">
      <c r="A822" s="5">
        <f t="shared" si="544"/>
      </c>
      <c r="B822" s="4">
        <f t="shared" si="545"/>
      </c>
      <c r="C822" s="59"/>
      <c r="D822" s="59"/>
      <c r="E822" s="70"/>
      <c r="F822" s="164"/>
      <c r="G822" s="164"/>
      <c r="H822" s="164"/>
      <c r="I822" s="70"/>
      <c r="J822" s="70"/>
      <c r="K822" s="70"/>
      <c r="L822" s="70"/>
      <c r="M822" s="4">
        <f t="shared" si="546"/>
      </c>
      <c r="N822" s="59"/>
      <c r="O822" s="164"/>
      <c r="P822" s="59">
        <f t="shared" si="547"/>
      </c>
      <c r="Q822" s="165"/>
      <c r="R822" s="59"/>
      <c r="S822" s="164"/>
      <c r="T822" s="5">
        <f t="shared" si="548"/>
      </c>
      <c r="U822" s="4">
        <f t="shared" si="549"/>
      </c>
      <c r="V822" s="4">
        <f t="shared" si="550"/>
      </c>
      <c r="W822" s="4">
        <f t="shared" si="551"/>
      </c>
      <c r="X822" s="4">
        <f t="shared" si="552"/>
      </c>
      <c r="Y822" s="4" cm="1">
        <f t="array" ref="Y822">_xlfn.IFS(H822=1,2,H822=3,1)</f>
      </c>
      <c r="Z822" s="4">
        <f t="shared" si="553"/>
      </c>
      <c r="AA822" s="4">
        <f t="shared" si="554"/>
      </c>
      <c r="AB822" s="4">
        <f t="shared" si="555"/>
      </c>
      <c r="AC822" s="4">
        <f t="shared" si="556"/>
      </c>
      <c r="AD822" s="4">
        <f t="shared" si="557"/>
      </c>
      <c r="AE822" s="4">
        <f t="shared" si="558"/>
      </c>
      <c r="AF822" s="4">
        <f t="shared" si="559"/>
      </c>
      <c r="AG822" s="4">
        <f t="shared" si="560"/>
        <v/>
      </c>
      <c r="AH822" s="4">
        <f t="shared" si="561"/>
      </c>
      <c r="AI822" s="4">
        <f t="shared" si="562"/>
      </c>
      <c r="AJ822" s="4">
        <f t="shared" si="563"/>
      </c>
      <c r="AK822" s="4">
        <f t="shared" si="564"/>
      </c>
      <c r="AL822" s="4">
        <f t="shared" si="565"/>
      </c>
      <c r="AM822" s="4">
        <f t="shared" si="566"/>
      </c>
      <c r="AN822" s="4"/>
      <c r="AO822" s="4">
        <f t="shared" si="567"/>
      </c>
      <c r="AP822" s="4">
        <f t="shared" si="568"/>
      </c>
      <c r="AQ822" s="4">
        <f t="shared" si="569"/>
        <v/>
      </c>
      <c r="AR822" s="4">
        <f t="shared" si="570"/>
      </c>
      <c r="AS822" s="4">
        <f t="shared" si="571"/>
      </c>
      <c r="AT822" s="4">
        <f t="shared" si="572"/>
      </c>
    </row>
    <row r="823" spans="1:46" x14ac:dyDescent="0.3">
      <c r="A823" s="5">
        <f t="shared" si="544"/>
      </c>
      <c r="B823" s="4">
        <f t="shared" si="545"/>
      </c>
      <c r="C823" s="59"/>
      <c r="D823" s="59"/>
      <c r="E823" s="70"/>
      <c r="F823" s="164"/>
      <c r="G823" s="164"/>
      <c r="H823" s="164"/>
      <c r="I823" s="70"/>
      <c r="J823" s="70"/>
      <c r="K823" s="70"/>
      <c r="L823" s="70"/>
      <c r="M823" s="4">
        <f t="shared" si="546"/>
      </c>
      <c r="N823" s="59"/>
      <c r="O823" s="164"/>
      <c r="P823" s="59">
        <f t="shared" si="547"/>
      </c>
      <c r="Q823" s="165"/>
      <c r="R823" s="59"/>
      <c r="S823" s="164"/>
      <c r="T823" s="5">
        <f t="shared" si="548"/>
      </c>
      <c r="U823" s="4">
        <f t="shared" si="549"/>
      </c>
      <c r="V823" s="4">
        <f t="shared" si="550"/>
      </c>
      <c r="W823" s="4">
        <f t="shared" si="551"/>
      </c>
      <c r="X823" s="4">
        <f t="shared" si="552"/>
      </c>
      <c r="Y823" s="4" cm="1">
        <f t="array" ref="Y823">_xlfn.IFS(H823=1,2,H823=3,1)</f>
      </c>
      <c r="Z823" s="4">
        <f t="shared" si="553"/>
      </c>
      <c r="AA823" s="4">
        <f t="shared" si="554"/>
      </c>
      <c r="AB823" s="4">
        <f t="shared" si="555"/>
      </c>
      <c r="AC823" s="4">
        <f t="shared" si="556"/>
      </c>
      <c r="AD823" s="4">
        <f t="shared" si="557"/>
      </c>
      <c r="AE823" s="4">
        <f t="shared" si="558"/>
      </c>
      <c r="AF823" s="4">
        <f t="shared" si="559"/>
      </c>
      <c r="AG823" s="4">
        <f t="shared" si="560"/>
        <v/>
      </c>
      <c r="AH823" s="4">
        <f t="shared" si="561"/>
      </c>
      <c r="AI823" s="4">
        <f t="shared" si="562"/>
      </c>
      <c r="AJ823" s="4">
        <f t="shared" si="563"/>
      </c>
      <c r="AK823" s="4">
        <f t="shared" si="564"/>
      </c>
      <c r="AL823" s="4">
        <f t="shared" si="565"/>
      </c>
      <c r="AM823" s="4">
        <f t="shared" si="566"/>
      </c>
      <c r="AN823" s="4"/>
      <c r="AO823" s="4">
        <f t="shared" si="567"/>
      </c>
      <c r="AP823" s="4">
        <f t="shared" si="568"/>
      </c>
      <c r="AQ823" s="4">
        <f t="shared" si="569"/>
        <v/>
      </c>
      <c r="AR823" s="4">
        <f t="shared" si="570"/>
      </c>
      <c r="AS823" s="4">
        <f t="shared" si="571"/>
      </c>
      <c r="AT823" s="4">
        <f t="shared" si="572"/>
      </c>
    </row>
    <row r="824" spans="1:46" x14ac:dyDescent="0.3">
      <c r="A824" s="5">
        <f t="shared" ref="A824:A887" si="573">D824</f>
      </c>
      <c r="B824" s="4">
        <f t="shared" ref="B824:B887" si="574">IFERROR(IF(VLOOKUP(AH824,Потребители_обозначение,4,FALSE)=1,VLOOKUP(AH824,Потребители_обозначение,2,FALSE)&amp;" "&amp;VLOOKUP(AI824,Этаж_обозначение,2,FALSE)&amp;" Пом. №"&amp;AG824,VLOOKUP(AH824,Потребители_обозначение,2,FALSE)&amp;" Шлейф №"&amp;AI824),VLOOKUP(D824,Потребители_обозначение,2,FALSE))</f>
      </c>
      <c r="C824" s="59"/>
      <c r="D824" s="59"/>
      <c r="E824" s="70"/>
      <c r="F824" s="164"/>
      <c r="G824" s="164"/>
      <c r="H824" s="164"/>
      <c r="I824" s="70"/>
      <c r="J824" s="70"/>
      <c r="K824" s="70"/>
      <c r="L824" s="70"/>
      <c r="M824" s="4">
        <f t="shared" ref="M824:M887" si="575">IFERROR(IF(VLOOKUP(AH824,Потребители_обозначение,4,FALSE)=1,VLOOKUP(AH824,Потребители_обозначение,3,FALSE)*(G824*2-1)+I824+VLOOKUP(AI824,Этаж_обозначение,3,FALSE)+VLOOKUP(AI824,Этаж_обозначение,4,FALSE),VLOOKUP(AH824,Потребители_обозначение,3,FALSE)*(G824*2-1)+I824),I824)</f>
      </c>
      <c r="N824" s="59"/>
      <c r="O824" s="164"/>
      <c r="P824" s="59">
        <f t="shared" ref="P824:P887" si="576">IF(VLOOKUP(AH824,Потребители_обозначение,5,FALSE)=2,_xlfn.IFS(H824=3,VLOOKUP(E824,Справочная_двигатели,8,FALSE),H824=1,VLOOKUP(E824,Справочная_двигатели,10,TRUE)),0.95)</f>
      </c>
      <c r="Q824" s="165"/>
      <c r="R824" s="59"/>
      <c r="S824" s="164"/>
      <c r="T824" s="5">
        <f t="shared" ref="T824:T887" si="577">_xlfn.IFS(H824=1,E824*1000/220,H824=3,E824/0.38/1.732)</f>
      </c>
      <c r="U824" s="4">
        <f t="shared" ref="U824:U887" si="578">IF(R824=0,VLOOKUP(T824,Автомат_номиналы,2,TRUE),R824)</f>
      </c>
      <c r="V824" s="4">
        <f t="shared" ref="V824:V887" si="579">IF(Q824=0,VLOOKUP(U824,Кабель_номиналы,2,TRUE),Q824)</f>
      </c>
      <c r="W824" s="4">
        <f t="shared" ref="W824:W887" si="580">VLOOKUP(V824,Кабель_сопротивление,3,FALSE)</f>
      </c>
      <c r="X824" s="4">
        <f t="shared" ref="X824:X887" si="581">VLOOKUP(V824,Кабель_сопротивление,2,FALSE)</f>
      </c>
      <c r="Y824" s="4" cm="1">
        <f t="array" ref="Y824">_xlfn.IFS(H824=1,2,H824=3,1)</f>
      </c>
      <c r="Z824" s="4">
        <f t="shared" ref="Z824:Z887" si="582">ROUND(SIN(ACOS(P824)),2)</f>
      </c>
      <c r="AA824" s="4">
        <f t="shared" ref="AA824:AA887" si="583">Y824*(W824*I824/V824+X824*I824*Z824/1000)*T824</f>
      </c>
      <c r="AB824" s="4">
        <f t="shared" ref="AB824:AB887" si="584">ROUNDUP(AA824/220*100,2)</f>
      </c>
      <c r="AC824" s="4">
        <f t="shared" ref="AC824:AC887" si="585">_xlfn.IFS(H824=3,380,H824=1,220)</f>
      </c>
      <c r="AD824" s="4">
        <f t="shared" ref="AD824:AD887" si="586">VLOOKUP(N824,Кабель_обозначение,2,FALSE)</f>
      </c>
      <c r="AE824" s="4">
        <f t="shared" ref="AE824:AE887" si="587">IF(VLOOKUP(N824,Кабель_обозначение,3,FALSE)=1,AD824&amp;" ("&amp;O824&amp;"х"&amp;V824&amp;")",AD824)</f>
      </c>
      <c r="AF824" s="4">
        <f t="shared" ref="AF824:AF887" si="588">IFERROR(IF(AB824&gt;4.5,1,2),0)</f>
      </c>
      <c r="AG824" s="4">
        <f t="shared" ref="AG824:AG887" si="589">IFERROR(LEFT(AQ824,SEARCH(".",AQ824)-1),AQ824)</f>
        <v/>
      </c>
      <c r="AH824" s="4">
        <f t="shared" ref="AH824:AH887" si="590">IFERROR(LEFT(A824,SEARCH(".",A824)-1),A824)</f>
      </c>
      <c r="AI824" s="4">
        <f t="shared" ref="AI824:AI887" si="591">IFERROR(LEFT(AP824,SEARCH(".",AP824)-1),AP824)</f>
      </c>
      <c r="AJ824" s="4">
        <f t="shared" ref="AJ824:AJ887" si="592">IF(C824=0,B824,C824)</f>
      </c>
      <c r="AK824" s="4">
        <f t="shared" ref="AK824:AK887" si="593">ROUNDUP(T824,2)</f>
      </c>
      <c r="AL824" s="4">
        <f t="shared" ref="AL824:AL887" si="594">E824</f>
      </c>
      <c r="AM824" s="4">
        <f t="shared" ref="AM824:AM887" si="595">D824</f>
      </c>
      <c r="AN824" s="4"/>
      <c r="AO824" s="4">
        <f t="shared" ref="AO824:AO887" si="596">IF(V824=0,AD824,AE824&amp;"
L="&amp;M824&amp;"-"&amp;AB824&amp;"%")</f>
      </c>
      <c r="AP824" s="4">
        <f t="shared" ref="AP824:AP887" si="597">RIGHT(A824,LEN(A824)-SEARCH(".",A824))</f>
      </c>
      <c r="AQ824" s="4">
        <f t="shared" ref="AQ824:AQ887" si="598">IFERROR(RIGHT(AP824,LEN(AP824)-SEARCH(".",AP824)),"")</f>
        <v/>
      </c>
      <c r="AR824" s="4">
        <f t="shared" ref="AR824:AR887" si="599">IFERROR(IF(VLOOKUP(AH824,Потребители_обозначение,5,FALSE)=2,_xlfn.IFS(H824=3,VLOOKUP(E824,Справочная_двигатели,3,FALSE),H824=1,VLOOKUP(E824,Справочная_двигатели,5,TRUE)),0),0)</f>
      </c>
      <c r="AS824" s="4">
        <f t="shared" ref="AS824:AS887" si="600">IFERROR(IF(VLOOKUP(AH824,Потребители_обозначение,5,FALSE)=3,VLOOKUP(E824,Справочная_ЛЭД,2,TRUE),0),0)</f>
      </c>
      <c r="AT824" s="4">
        <f t="shared" ref="AT824:AT887" si="601">IF(AR824=0,AS824,AR824)</f>
      </c>
    </row>
    <row r="825" spans="1:46" x14ac:dyDescent="0.3">
      <c r="A825" s="5">
        <f t="shared" si="573"/>
      </c>
      <c r="B825" s="4">
        <f t="shared" si="574"/>
      </c>
      <c r="C825" s="59"/>
      <c r="D825" s="59"/>
      <c r="E825" s="70"/>
      <c r="F825" s="164"/>
      <c r="G825" s="164"/>
      <c r="H825" s="164"/>
      <c r="I825" s="70"/>
      <c r="J825" s="70"/>
      <c r="K825" s="70"/>
      <c r="L825" s="70"/>
      <c r="M825" s="4">
        <f t="shared" si="575"/>
      </c>
      <c r="N825" s="59"/>
      <c r="O825" s="164"/>
      <c r="P825" s="59">
        <f t="shared" si="576"/>
      </c>
      <c r="Q825" s="165"/>
      <c r="R825" s="59"/>
      <c r="S825" s="164"/>
      <c r="T825" s="5">
        <f t="shared" si="577"/>
      </c>
      <c r="U825" s="4">
        <f t="shared" si="578"/>
      </c>
      <c r="V825" s="4">
        <f t="shared" si="579"/>
      </c>
      <c r="W825" s="4">
        <f t="shared" si="580"/>
      </c>
      <c r="X825" s="4">
        <f t="shared" si="581"/>
      </c>
      <c r="Y825" s="4" cm="1">
        <f t="array" ref="Y825">_xlfn.IFS(H825=1,2,H825=3,1)</f>
      </c>
      <c r="Z825" s="4">
        <f t="shared" si="582"/>
      </c>
      <c r="AA825" s="4">
        <f t="shared" si="583"/>
      </c>
      <c r="AB825" s="4">
        <f t="shared" si="584"/>
      </c>
      <c r="AC825" s="4">
        <f t="shared" si="585"/>
      </c>
      <c r="AD825" s="4">
        <f t="shared" si="586"/>
      </c>
      <c r="AE825" s="4">
        <f t="shared" si="587"/>
      </c>
      <c r="AF825" s="4">
        <f t="shared" si="588"/>
      </c>
      <c r="AG825" s="4">
        <f t="shared" si="589"/>
        <v/>
      </c>
      <c r="AH825" s="4">
        <f t="shared" si="590"/>
      </c>
      <c r="AI825" s="4">
        <f t="shared" si="591"/>
      </c>
      <c r="AJ825" s="4">
        <f t="shared" si="592"/>
      </c>
      <c r="AK825" s="4">
        <f t="shared" si="593"/>
      </c>
      <c r="AL825" s="4">
        <f t="shared" si="594"/>
      </c>
      <c r="AM825" s="4">
        <f t="shared" si="595"/>
      </c>
      <c r="AN825" s="4"/>
      <c r="AO825" s="4">
        <f t="shared" si="596"/>
      </c>
      <c r="AP825" s="4">
        <f t="shared" si="597"/>
      </c>
      <c r="AQ825" s="4">
        <f t="shared" si="598"/>
        <v/>
      </c>
      <c r="AR825" s="4">
        <f t="shared" si="599"/>
      </c>
      <c r="AS825" s="4">
        <f t="shared" si="600"/>
      </c>
      <c r="AT825" s="4">
        <f t="shared" si="601"/>
      </c>
    </row>
    <row r="826" spans="1:46" x14ac:dyDescent="0.3">
      <c r="A826" s="5">
        <f t="shared" si="573"/>
      </c>
      <c r="B826" s="4">
        <f t="shared" si="574"/>
      </c>
      <c r="C826" s="59"/>
      <c r="D826" s="59"/>
      <c r="E826" s="70"/>
      <c r="F826" s="164"/>
      <c r="G826" s="164"/>
      <c r="H826" s="164"/>
      <c r="I826" s="70"/>
      <c r="J826" s="70"/>
      <c r="K826" s="70"/>
      <c r="L826" s="70"/>
      <c r="M826" s="4">
        <f t="shared" si="575"/>
      </c>
      <c r="N826" s="59"/>
      <c r="O826" s="164"/>
      <c r="P826" s="59">
        <f t="shared" si="576"/>
      </c>
      <c r="Q826" s="165"/>
      <c r="R826" s="59"/>
      <c r="S826" s="164"/>
      <c r="T826" s="5">
        <f t="shared" si="577"/>
      </c>
      <c r="U826" s="4">
        <f t="shared" si="578"/>
      </c>
      <c r="V826" s="4">
        <f t="shared" si="579"/>
      </c>
      <c r="W826" s="4">
        <f t="shared" si="580"/>
      </c>
      <c r="X826" s="4">
        <f t="shared" si="581"/>
      </c>
      <c r="Y826" s="4" cm="1">
        <f t="array" ref="Y826">_xlfn.IFS(H826=1,2,H826=3,1)</f>
      </c>
      <c r="Z826" s="4">
        <f t="shared" si="582"/>
      </c>
      <c r="AA826" s="4">
        <f t="shared" si="583"/>
      </c>
      <c r="AB826" s="4">
        <f t="shared" si="584"/>
      </c>
      <c r="AC826" s="4">
        <f t="shared" si="585"/>
      </c>
      <c r="AD826" s="4">
        <f t="shared" si="586"/>
      </c>
      <c r="AE826" s="4">
        <f t="shared" si="587"/>
      </c>
      <c r="AF826" s="4">
        <f t="shared" si="588"/>
      </c>
      <c r="AG826" s="4">
        <f t="shared" si="589"/>
        <v/>
      </c>
      <c r="AH826" s="4">
        <f t="shared" si="590"/>
      </c>
      <c r="AI826" s="4">
        <f t="shared" si="591"/>
      </c>
      <c r="AJ826" s="4">
        <f t="shared" si="592"/>
      </c>
      <c r="AK826" s="4">
        <f t="shared" si="593"/>
      </c>
      <c r="AL826" s="4">
        <f t="shared" si="594"/>
      </c>
      <c r="AM826" s="4">
        <f t="shared" si="595"/>
      </c>
      <c r="AN826" s="4"/>
      <c r="AO826" s="4">
        <f t="shared" si="596"/>
      </c>
      <c r="AP826" s="4">
        <f t="shared" si="597"/>
      </c>
      <c r="AQ826" s="4">
        <f t="shared" si="598"/>
        <v/>
      </c>
      <c r="AR826" s="4">
        <f t="shared" si="599"/>
      </c>
      <c r="AS826" s="4">
        <f t="shared" si="600"/>
      </c>
      <c r="AT826" s="4">
        <f t="shared" si="601"/>
      </c>
    </row>
    <row r="827" spans="1:46" x14ac:dyDescent="0.3">
      <c r="A827" s="5">
        <f t="shared" si="573"/>
      </c>
      <c r="B827" s="4">
        <f t="shared" si="574"/>
      </c>
      <c r="C827" s="59"/>
      <c r="D827" s="59"/>
      <c r="E827" s="70"/>
      <c r="F827" s="164"/>
      <c r="G827" s="164"/>
      <c r="H827" s="164"/>
      <c r="I827" s="70"/>
      <c r="J827" s="70"/>
      <c r="K827" s="70"/>
      <c r="L827" s="70"/>
      <c r="M827" s="4">
        <f t="shared" si="575"/>
      </c>
      <c r="N827" s="59"/>
      <c r="O827" s="164"/>
      <c r="P827" s="59">
        <f t="shared" si="576"/>
      </c>
      <c r="Q827" s="165"/>
      <c r="R827" s="59"/>
      <c r="S827" s="164"/>
      <c r="T827" s="5">
        <f t="shared" si="577"/>
      </c>
      <c r="U827" s="4">
        <f t="shared" si="578"/>
      </c>
      <c r="V827" s="4">
        <f t="shared" si="579"/>
      </c>
      <c r="W827" s="4">
        <f t="shared" si="580"/>
      </c>
      <c r="X827" s="4">
        <f t="shared" si="581"/>
      </c>
      <c r="Y827" s="4" cm="1">
        <f t="array" ref="Y827">_xlfn.IFS(H827=1,2,H827=3,1)</f>
      </c>
      <c r="Z827" s="4">
        <f t="shared" si="582"/>
      </c>
      <c r="AA827" s="4">
        <f t="shared" si="583"/>
      </c>
      <c r="AB827" s="4">
        <f t="shared" si="584"/>
      </c>
      <c r="AC827" s="4">
        <f t="shared" si="585"/>
      </c>
      <c r="AD827" s="4">
        <f t="shared" si="586"/>
      </c>
      <c r="AE827" s="4">
        <f t="shared" si="587"/>
      </c>
      <c r="AF827" s="4">
        <f t="shared" si="588"/>
      </c>
      <c r="AG827" s="4">
        <f t="shared" si="589"/>
        <v/>
      </c>
      <c r="AH827" s="4">
        <f t="shared" si="590"/>
      </c>
      <c r="AI827" s="4">
        <f t="shared" si="591"/>
      </c>
      <c r="AJ827" s="4">
        <f t="shared" si="592"/>
      </c>
      <c r="AK827" s="4">
        <f t="shared" si="593"/>
      </c>
      <c r="AL827" s="4">
        <f t="shared" si="594"/>
      </c>
      <c r="AM827" s="4">
        <f t="shared" si="595"/>
      </c>
      <c r="AN827" s="4"/>
      <c r="AO827" s="4">
        <f t="shared" si="596"/>
      </c>
      <c r="AP827" s="4">
        <f t="shared" si="597"/>
      </c>
      <c r="AQ827" s="4">
        <f t="shared" si="598"/>
        <v/>
      </c>
      <c r="AR827" s="4">
        <f t="shared" si="599"/>
      </c>
      <c r="AS827" s="4">
        <f t="shared" si="600"/>
      </c>
      <c r="AT827" s="4">
        <f t="shared" si="601"/>
      </c>
    </row>
    <row r="828" spans="1:46" x14ac:dyDescent="0.3">
      <c r="A828" s="5">
        <f t="shared" si="573"/>
      </c>
      <c r="B828" s="4">
        <f t="shared" si="574"/>
      </c>
      <c r="C828" s="59"/>
      <c r="D828" s="59"/>
      <c r="E828" s="70"/>
      <c r="F828" s="164"/>
      <c r="G828" s="164"/>
      <c r="H828" s="164"/>
      <c r="I828" s="70"/>
      <c r="J828" s="70"/>
      <c r="K828" s="70"/>
      <c r="L828" s="70"/>
      <c r="M828" s="4">
        <f t="shared" si="575"/>
      </c>
      <c r="N828" s="59"/>
      <c r="O828" s="164"/>
      <c r="P828" s="59">
        <f t="shared" si="576"/>
      </c>
      <c r="Q828" s="165"/>
      <c r="R828" s="59"/>
      <c r="S828" s="164"/>
      <c r="T828" s="5">
        <f t="shared" si="577"/>
      </c>
      <c r="U828" s="4">
        <f t="shared" si="578"/>
      </c>
      <c r="V828" s="4">
        <f t="shared" si="579"/>
      </c>
      <c r="W828" s="4">
        <f t="shared" si="580"/>
      </c>
      <c r="X828" s="4">
        <f t="shared" si="581"/>
      </c>
      <c r="Y828" s="4" cm="1">
        <f t="array" ref="Y828">_xlfn.IFS(H828=1,2,H828=3,1)</f>
      </c>
      <c r="Z828" s="4">
        <f t="shared" si="582"/>
      </c>
      <c r="AA828" s="4">
        <f t="shared" si="583"/>
      </c>
      <c r="AB828" s="4">
        <f t="shared" si="584"/>
      </c>
      <c r="AC828" s="4">
        <f t="shared" si="585"/>
      </c>
      <c r="AD828" s="4">
        <f t="shared" si="586"/>
      </c>
      <c r="AE828" s="4">
        <f t="shared" si="587"/>
      </c>
      <c r="AF828" s="4">
        <f t="shared" si="588"/>
      </c>
      <c r="AG828" s="4">
        <f t="shared" si="589"/>
        <v/>
      </c>
      <c r="AH828" s="4">
        <f t="shared" si="590"/>
      </c>
      <c r="AI828" s="4">
        <f t="shared" si="591"/>
      </c>
      <c r="AJ828" s="4">
        <f t="shared" si="592"/>
      </c>
      <c r="AK828" s="4">
        <f t="shared" si="593"/>
      </c>
      <c r="AL828" s="4">
        <f t="shared" si="594"/>
      </c>
      <c r="AM828" s="4">
        <f t="shared" si="595"/>
      </c>
      <c r="AN828" s="4"/>
      <c r="AO828" s="4">
        <f t="shared" si="596"/>
      </c>
      <c r="AP828" s="4">
        <f t="shared" si="597"/>
      </c>
      <c r="AQ828" s="4">
        <f t="shared" si="598"/>
        <v/>
      </c>
      <c r="AR828" s="4">
        <f t="shared" si="599"/>
      </c>
      <c r="AS828" s="4">
        <f t="shared" si="600"/>
      </c>
      <c r="AT828" s="4">
        <f t="shared" si="601"/>
      </c>
    </row>
    <row r="829" spans="1:46" x14ac:dyDescent="0.3">
      <c r="A829" s="5">
        <f t="shared" si="573"/>
      </c>
      <c r="B829" s="4">
        <f t="shared" si="574"/>
      </c>
      <c r="C829" s="59"/>
      <c r="D829" s="59"/>
      <c r="E829" s="70"/>
      <c r="F829" s="164"/>
      <c r="G829" s="164"/>
      <c r="H829" s="164"/>
      <c r="I829" s="70"/>
      <c r="J829" s="70"/>
      <c r="K829" s="70"/>
      <c r="L829" s="70"/>
      <c r="M829" s="4">
        <f t="shared" si="575"/>
      </c>
      <c r="N829" s="59"/>
      <c r="O829" s="164"/>
      <c r="P829" s="59">
        <f t="shared" si="576"/>
      </c>
      <c r="Q829" s="165"/>
      <c r="R829" s="59"/>
      <c r="S829" s="164"/>
      <c r="T829" s="5">
        <f t="shared" si="577"/>
      </c>
      <c r="U829" s="4">
        <f t="shared" si="578"/>
      </c>
      <c r="V829" s="4">
        <f t="shared" si="579"/>
      </c>
      <c r="W829" s="4">
        <f t="shared" si="580"/>
      </c>
      <c r="X829" s="4">
        <f t="shared" si="581"/>
      </c>
      <c r="Y829" s="4" cm="1">
        <f t="array" ref="Y829">_xlfn.IFS(H829=1,2,H829=3,1)</f>
      </c>
      <c r="Z829" s="4">
        <f t="shared" si="582"/>
      </c>
      <c r="AA829" s="4">
        <f t="shared" si="583"/>
      </c>
      <c r="AB829" s="4">
        <f t="shared" si="584"/>
      </c>
      <c r="AC829" s="4">
        <f t="shared" si="585"/>
      </c>
      <c r="AD829" s="4">
        <f t="shared" si="586"/>
      </c>
      <c r="AE829" s="4">
        <f t="shared" si="587"/>
      </c>
      <c r="AF829" s="4">
        <f t="shared" si="588"/>
      </c>
      <c r="AG829" s="4">
        <f t="shared" si="589"/>
        <v/>
      </c>
      <c r="AH829" s="4">
        <f t="shared" si="590"/>
      </c>
      <c r="AI829" s="4">
        <f t="shared" si="591"/>
      </c>
      <c r="AJ829" s="4">
        <f t="shared" si="592"/>
      </c>
      <c r="AK829" s="4">
        <f t="shared" si="593"/>
      </c>
      <c r="AL829" s="4">
        <f t="shared" si="594"/>
      </c>
      <c r="AM829" s="4">
        <f t="shared" si="595"/>
      </c>
      <c r="AN829" s="4"/>
      <c r="AO829" s="4">
        <f t="shared" si="596"/>
      </c>
      <c r="AP829" s="4">
        <f t="shared" si="597"/>
      </c>
      <c r="AQ829" s="4">
        <f t="shared" si="598"/>
        <v/>
      </c>
      <c r="AR829" s="4">
        <f t="shared" si="599"/>
      </c>
      <c r="AS829" s="4">
        <f t="shared" si="600"/>
      </c>
      <c r="AT829" s="4">
        <f t="shared" si="601"/>
      </c>
    </row>
    <row r="830" spans="1:46" x14ac:dyDescent="0.3">
      <c r="A830" s="5">
        <f t="shared" si="573"/>
      </c>
      <c r="B830" s="4">
        <f t="shared" si="574"/>
      </c>
      <c r="C830" s="59"/>
      <c r="D830" s="59"/>
      <c r="E830" s="70"/>
      <c r="F830" s="164"/>
      <c r="G830" s="164"/>
      <c r="H830" s="164"/>
      <c r="I830" s="70"/>
      <c r="J830" s="70"/>
      <c r="K830" s="70"/>
      <c r="L830" s="70"/>
      <c r="M830" s="4">
        <f t="shared" si="575"/>
      </c>
      <c r="N830" s="59"/>
      <c r="O830" s="164"/>
      <c r="P830" s="59">
        <f t="shared" si="576"/>
      </c>
      <c r="Q830" s="165"/>
      <c r="R830" s="59"/>
      <c r="S830" s="164"/>
      <c r="T830" s="5">
        <f t="shared" si="577"/>
      </c>
      <c r="U830" s="4">
        <f t="shared" si="578"/>
      </c>
      <c r="V830" s="4">
        <f t="shared" si="579"/>
      </c>
      <c r="W830" s="4">
        <f t="shared" si="580"/>
      </c>
      <c r="X830" s="4">
        <f t="shared" si="581"/>
      </c>
      <c r="Y830" s="4" cm="1">
        <f t="array" ref="Y830">_xlfn.IFS(H830=1,2,H830=3,1)</f>
      </c>
      <c r="Z830" s="4">
        <f t="shared" si="582"/>
      </c>
      <c r="AA830" s="4">
        <f t="shared" si="583"/>
      </c>
      <c r="AB830" s="4">
        <f t="shared" si="584"/>
      </c>
      <c r="AC830" s="4">
        <f t="shared" si="585"/>
      </c>
      <c r="AD830" s="4">
        <f t="shared" si="586"/>
      </c>
      <c r="AE830" s="4">
        <f t="shared" si="587"/>
      </c>
      <c r="AF830" s="4">
        <f t="shared" si="588"/>
      </c>
      <c r="AG830" s="4">
        <f t="shared" si="589"/>
        <v/>
      </c>
      <c r="AH830" s="4">
        <f t="shared" si="590"/>
      </c>
      <c r="AI830" s="4">
        <f t="shared" si="591"/>
      </c>
      <c r="AJ830" s="4">
        <f t="shared" si="592"/>
      </c>
      <c r="AK830" s="4">
        <f t="shared" si="593"/>
      </c>
      <c r="AL830" s="4">
        <f t="shared" si="594"/>
      </c>
      <c r="AM830" s="4">
        <f t="shared" si="595"/>
      </c>
      <c r="AN830" s="4"/>
      <c r="AO830" s="4">
        <f t="shared" si="596"/>
      </c>
      <c r="AP830" s="4">
        <f t="shared" si="597"/>
      </c>
      <c r="AQ830" s="4">
        <f t="shared" si="598"/>
        <v/>
      </c>
      <c r="AR830" s="4">
        <f t="shared" si="599"/>
      </c>
      <c r="AS830" s="4">
        <f t="shared" si="600"/>
      </c>
      <c r="AT830" s="4">
        <f t="shared" si="601"/>
      </c>
    </row>
    <row r="831" spans="1:46" x14ac:dyDescent="0.3">
      <c r="A831" s="5">
        <f t="shared" si="573"/>
      </c>
      <c r="B831" s="4">
        <f t="shared" si="574"/>
      </c>
      <c r="C831" s="59"/>
      <c r="D831" s="59"/>
      <c r="E831" s="70"/>
      <c r="F831" s="164"/>
      <c r="G831" s="164"/>
      <c r="H831" s="164"/>
      <c r="I831" s="70"/>
      <c r="J831" s="70"/>
      <c r="K831" s="70"/>
      <c r="L831" s="70"/>
      <c r="M831" s="4">
        <f t="shared" si="575"/>
      </c>
      <c r="N831" s="59"/>
      <c r="O831" s="164"/>
      <c r="P831" s="59">
        <f t="shared" si="576"/>
      </c>
      <c r="Q831" s="165"/>
      <c r="R831" s="59"/>
      <c r="S831" s="164"/>
      <c r="T831" s="5">
        <f t="shared" si="577"/>
      </c>
      <c r="U831" s="4">
        <f t="shared" si="578"/>
      </c>
      <c r="V831" s="4">
        <f t="shared" si="579"/>
      </c>
      <c r="W831" s="4">
        <f t="shared" si="580"/>
      </c>
      <c r="X831" s="4">
        <f t="shared" si="581"/>
      </c>
      <c r="Y831" s="4" cm="1">
        <f t="array" ref="Y831">_xlfn.IFS(H831=1,2,H831=3,1)</f>
      </c>
      <c r="Z831" s="4">
        <f t="shared" si="582"/>
      </c>
      <c r="AA831" s="4">
        <f t="shared" si="583"/>
      </c>
      <c r="AB831" s="4">
        <f t="shared" si="584"/>
      </c>
      <c r="AC831" s="4">
        <f t="shared" si="585"/>
      </c>
      <c r="AD831" s="4">
        <f t="shared" si="586"/>
      </c>
      <c r="AE831" s="4">
        <f t="shared" si="587"/>
      </c>
      <c r="AF831" s="4">
        <f t="shared" si="588"/>
      </c>
      <c r="AG831" s="4">
        <f t="shared" si="589"/>
        <v/>
      </c>
      <c r="AH831" s="4">
        <f t="shared" si="590"/>
      </c>
      <c r="AI831" s="4">
        <f t="shared" si="591"/>
      </c>
      <c r="AJ831" s="4">
        <f t="shared" si="592"/>
      </c>
      <c r="AK831" s="4">
        <f t="shared" si="593"/>
      </c>
      <c r="AL831" s="4">
        <f t="shared" si="594"/>
      </c>
      <c r="AM831" s="4">
        <f t="shared" si="595"/>
      </c>
      <c r="AN831" s="4"/>
      <c r="AO831" s="4">
        <f t="shared" si="596"/>
      </c>
      <c r="AP831" s="4">
        <f t="shared" si="597"/>
      </c>
      <c r="AQ831" s="4">
        <f t="shared" si="598"/>
        <v/>
      </c>
      <c r="AR831" s="4">
        <f t="shared" si="599"/>
      </c>
      <c r="AS831" s="4">
        <f t="shared" si="600"/>
      </c>
      <c r="AT831" s="4">
        <f t="shared" si="601"/>
      </c>
    </row>
    <row r="832" spans="1:46" x14ac:dyDescent="0.3">
      <c r="A832" s="5">
        <f t="shared" si="573"/>
      </c>
      <c r="B832" s="4">
        <f t="shared" si="574"/>
      </c>
      <c r="C832" s="59"/>
      <c r="D832" s="59"/>
      <c r="E832" s="70"/>
      <c r="F832" s="164"/>
      <c r="G832" s="164"/>
      <c r="H832" s="164"/>
      <c r="I832" s="70"/>
      <c r="J832" s="70"/>
      <c r="K832" s="70"/>
      <c r="L832" s="70"/>
      <c r="M832" s="4">
        <f t="shared" si="575"/>
      </c>
      <c r="N832" s="59"/>
      <c r="O832" s="164"/>
      <c r="P832" s="59">
        <f t="shared" si="576"/>
      </c>
      <c r="Q832" s="165"/>
      <c r="R832" s="59"/>
      <c r="S832" s="164"/>
      <c r="T832" s="5">
        <f t="shared" si="577"/>
      </c>
      <c r="U832" s="4">
        <f t="shared" si="578"/>
      </c>
      <c r="V832" s="4">
        <f t="shared" si="579"/>
      </c>
      <c r="W832" s="4">
        <f t="shared" si="580"/>
      </c>
      <c r="X832" s="4">
        <f t="shared" si="581"/>
      </c>
      <c r="Y832" s="4" cm="1">
        <f t="array" ref="Y832">_xlfn.IFS(H832=1,2,H832=3,1)</f>
      </c>
      <c r="Z832" s="4">
        <f t="shared" si="582"/>
      </c>
      <c r="AA832" s="4">
        <f t="shared" si="583"/>
      </c>
      <c r="AB832" s="4">
        <f t="shared" si="584"/>
      </c>
      <c r="AC832" s="4">
        <f t="shared" si="585"/>
      </c>
      <c r="AD832" s="4">
        <f t="shared" si="586"/>
      </c>
      <c r="AE832" s="4">
        <f t="shared" si="587"/>
      </c>
      <c r="AF832" s="4">
        <f t="shared" si="588"/>
      </c>
      <c r="AG832" s="4">
        <f t="shared" si="589"/>
        <v/>
      </c>
      <c r="AH832" s="4">
        <f t="shared" si="590"/>
      </c>
      <c r="AI832" s="4">
        <f t="shared" si="591"/>
      </c>
      <c r="AJ832" s="4">
        <f t="shared" si="592"/>
      </c>
      <c r="AK832" s="4">
        <f t="shared" si="593"/>
      </c>
      <c r="AL832" s="4">
        <f t="shared" si="594"/>
      </c>
      <c r="AM832" s="4">
        <f t="shared" si="595"/>
      </c>
      <c r="AN832" s="4"/>
      <c r="AO832" s="4">
        <f t="shared" si="596"/>
      </c>
      <c r="AP832" s="4">
        <f t="shared" si="597"/>
      </c>
      <c r="AQ832" s="4">
        <f t="shared" si="598"/>
        <v/>
      </c>
      <c r="AR832" s="4">
        <f t="shared" si="599"/>
      </c>
      <c r="AS832" s="4">
        <f t="shared" si="600"/>
      </c>
      <c r="AT832" s="4">
        <f t="shared" si="601"/>
      </c>
    </row>
    <row r="833" spans="1:46" x14ac:dyDescent="0.3">
      <c r="A833" s="5">
        <f t="shared" si="573"/>
      </c>
      <c r="B833" s="4">
        <f t="shared" si="574"/>
      </c>
      <c r="C833" s="59"/>
      <c r="D833" s="59"/>
      <c r="E833" s="70"/>
      <c r="F833" s="164"/>
      <c r="G833" s="164"/>
      <c r="H833" s="164"/>
      <c r="I833" s="70"/>
      <c r="J833" s="70"/>
      <c r="K833" s="70"/>
      <c r="L833" s="70"/>
      <c r="M833" s="4">
        <f t="shared" si="575"/>
      </c>
      <c r="N833" s="59"/>
      <c r="O833" s="164"/>
      <c r="P833" s="59">
        <f t="shared" si="576"/>
      </c>
      <c r="Q833" s="165"/>
      <c r="R833" s="59"/>
      <c r="S833" s="164"/>
      <c r="T833" s="5">
        <f t="shared" si="577"/>
      </c>
      <c r="U833" s="4">
        <f t="shared" si="578"/>
      </c>
      <c r="V833" s="4">
        <f t="shared" si="579"/>
      </c>
      <c r="W833" s="4">
        <f t="shared" si="580"/>
      </c>
      <c r="X833" s="4">
        <f t="shared" si="581"/>
      </c>
      <c r="Y833" s="4" cm="1">
        <f t="array" ref="Y833">_xlfn.IFS(H833=1,2,H833=3,1)</f>
      </c>
      <c r="Z833" s="4">
        <f t="shared" si="582"/>
      </c>
      <c r="AA833" s="4">
        <f t="shared" si="583"/>
      </c>
      <c r="AB833" s="4">
        <f t="shared" si="584"/>
      </c>
      <c r="AC833" s="4">
        <f t="shared" si="585"/>
      </c>
      <c r="AD833" s="4">
        <f t="shared" si="586"/>
      </c>
      <c r="AE833" s="4">
        <f t="shared" si="587"/>
      </c>
      <c r="AF833" s="4">
        <f t="shared" si="588"/>
      </c>
      <c r="AG833" s="4">
        <f t="shared" si="589"/>
        <v/>
      </c>
      <c r="AH833" s="4">
        <f t="shared" si="590"/>
      </c>
      <c r="AI833" s="4">
        <f t="shared" si="591"/>
      </c>
      <c r="AJ833" s="4">
        <f t="shared" si="592"/>
      </c>
      <c r="AK833" s="4">
        <f t="shared" si="593"/>
      </c>
      <c r="AL833" s="4">
        <f t="shared" si="594"/>
      </c>
      <c r="AM833" s="4">
        <f t="shared" si="595"/>
      </c>
      <c r="AN833" s="4"/>
      <c r="AO833" s="4">
        <f t="shared" si="596"/>
      </c>
      <c r="AP833" s="4">
        <f t="shared" si="597"/>
      </c>
      <c r="AQ833" s="4">
        <f t="shared" si="598"/>
        <v/>
      </c>
      <c r="AR833" s="4">
        <f t="shared" si="599"/>
      </c>
      <c r="AS833" s="4">
        <f t="shared" si="600"/>
      </c>
      <c r="AT833" s="4">
        <f t="shared" si="601"/>
      </c>
    </row>
    <row r="834" spans="1:46" x14ac:dyDescent="0.3">
      <c r="A834" s="5">
        <f t="shared" si="573"/>
      </c>
      <c r="B834" s="4">
        <f t="shared" si="574"/>
      </c>
      <c r="C834" s="59"/>
      <c r="D834" s="59"/>
      <c r="E834" s="70"/>
      <c r="F834" s="164"/>
      <c r="G834" s="164"/>
      <c r="H834" s="164"/>
      <c r="I834" s="70"/>
      <c r="J834" s="70"/>
      <c r="K834" s="70"/>
      <c r="L834" s="70"/>
      <c r="M834" s="4">
        <f t="shared" si="575"/>
      </c>
      <c r="N834" s="59"/>
      <c r="O834" s="164"/>
      <c r="P834" s="59">
        <f t="shared" si="576"/>
      </c>
      <c r="Q834" s="165"/>
      <c r="R834" s="59"/>
      <c r="S834" s="164"/>
      <c r="T834" s="5">
        <f t="shared" si="577"/>
      </c>
      <c r="U834" s="4">
        <f t="shared" si="578"/>
      </c>
      <c r="V834" s="4">
        <f t="shared" si="579"/>
      </c>
      <c r="W834" s="4">
        <f t="shared" si="580"/>
      </c>
      <c r="X834" s="4">
        <f t="shared" si="581"/>
      </c>
      <c r="Y834" s="4" cm="1">
        <f t="array" ref="Y834">_xlfn.IFS(H834=1,2,H834=3,1)</f>
      </c>
      <c r="Z834" s="4">
        <f t="shared" si="582"/>
      </c>
      <c r="AA834" s="4">
        <f t="shared" si="583"/>
      </c>
      <c r="AB834" s="4">
        <f t="shared" si="584"/>
      </c>
      <c r="AC834" s="4">
        <f t="shared" si="585"/>
      </c>
      <c r="AD834" s="4">
        <f t="shared" si="586"/>
      </c>
      <c r="AE834" s="4">
        <f t="shared" si="587"/>
      </c>
      <c r="AF834" s="4">
        <f t="shared" si="588"/>
      </c>
      <c r="AG834" s="4">
        <f t="shared" si="589"/>
        <v/>
      </c>
      <c r="AH834" s="4">
        <f t="shared" si="590"/>
      </c>
      <c r="AI834" s="4">
        <f t="shared" si="591"/>
      </c>
      <c r="AJ834" s="4">
        <f t="shared" si="592"/>
      </c>
      <c r="AK834" s="4">
        <f t="shared" si="593"/>
      </c>
      <c r="AL834" s="4">
        <f t="shared" si="594"/>
      </c>
      <c r="AM834" s="4">
        <f t="shared" si="595"/>
      </c>
      <c r="AN834" s="4"/>
      <c r="AO834" s="4">
        <f t="shared" si="596"/>
      </c>
      <c r="AP834" s="4">
        <f t="shared" si="597"/>
      </c>
      <c r="AQ834" s="4">
        <f t="shared" si="598"/>
        <v/>
      </c>
      <c r="AR834" s="4">
        <f t="shared" si="599"/>
      </c>
      <c r="AS834" s="4">
        <f t="shared" si="600"/>
      </c>
      <c r="AT834" s="4">
        <f t="shared" si="601"/>
      </c>
    </row>
    <row r="835" spans="1:46" x14ac:dyDescent="0.3">
      <c r="A835" s="5">
        <f t="shared" si="573"/>
      </c>
      <c r="B835" s="4">
        <f t="shared" si="574"/>
      </c>
      <c r="C835" s="59"/>
      <c r="D835" s="59"/>
      <c r="E835" s="70"/>
      <c r="F835" s="164"/>
      <c r="G835" s="164"/>
      <c r="H835" s="164"/>
      <c r="I835" s="70"/>
      <c r="J835" s="70"/>
      <c r="K835" s="70"/>
      <c r="L835" s="70"/>
      <c r="M835" s="4">
        <f t="shared" si="575"/>
      </c>
      <c r="N835" s="59"/>
      <c r="O835" s="164"/>
      <c r="P835" s="59">
        <f t="shared" si="576"/>
      </c>
      <c r="Q835" s="165"/>
      <c r="R835" s="59"/>
      <c r="S835" s="164"/>
      <c r="T835" s="5">
        <f t="shared" si="577"/>
      </c>
      <c r="U835" s="4">
        <f t="shared" si="578"/>
      </c>
      <c r="V835" s="4">
        <f t="shared" si="579"/>
      </c>
      <c r="W835" s="4">
        <f t="shared" si="580"/>
      </c>
      <c r="X835" s="4">
        <f t="shared" si="581"/>
      </c>
      <c r="Y835" s="4" cm="1">
        <f t="array" ref="Y835">_xlfn.IFS(H835=1,2,H835=3,1)</f>
      </c>
      <c r="Z835" s="4">
        <f t="shared" si="582"/>
      </c>
      <c r="AA835" s="4">
        <f t="shared" si="583"/>
      </c>
      <c r="AB835" s="4">
        <f t="shared" si="584"/>
      </c>
      <c r="AC835" s="4">
        <f t="shared" si="585"/>
      </c>
      <c r="AD835" s="4">
        <f t="shared" si="586"/>
      </c>
      <c r="AE835" s="4">
        <f t="shared" si="587"/>
      </c>
      <c r="AF835" s="4">
        <f t="shared" si="588"/>
      </c>
      <c r="AG835" s="4">
        <f t="shared" si="589"/>
        <v/>
      </c>
      <c r="AH835" s="4">
        <f t="shared" si="590"/>
      </c>
      <c r="AI835" s="4">
        <f t="shared" si="591"/>
      </c>
      <c r="AJ835" s="4">
        <f t="shared" si="592"/>
      </c>
      <c r="AK835" s="4">
        <f t="shared" si="593"/>
      </c>
      <c r="AL835" s="4">
        <f t="shared" si="594"/>
      </c>
      <c r="AM835" s="4">
        <f t="shared" si="595"/>
      </c>
      <c r="AN835" s="4"/>
      <c r="AO835" s="4">
        <f t="shared" si="596"/>
      </c>
      <c r="AP835" s="4">
        <f t="shared" si="597"/>
      </c>
      <c r="AQ835" s="4">
        <f t="shared" si="598"/>
        <v/>
      </c>
      <c r="AR835" s="4">
        <f t="shared" si="599"/>
      </c>
      <c r="AS835" s="4">
        <f t="shared" si="600"/>
      </c>
      <c r="AT835" s="4">
        <f t="shared" si="601"/>
      </c>
    </row>
    <row r="836" spans="1:46" x14ac:dyDescent="0.3">
      <c r="A836" s="5">
        <f t="shared" si="573"/>
      </c>
      <c r="B836" s="4">
        <f t="shared" si="574"/>
      </c>
      <c r="C836" s="59"/>
      <c r="D836" s="59"/>
      <c r="E836" s="70"/>
      <c r="F836" s="164"/>
      <c r="G836" s="164"/>
      <c r="H836" s="164"/>
      <c r="I836" s="70"/>
      <c r="J836" s="70"/>
      <c r="K836" s="70"/>
      <c r="L836" s="70"/>
      <c r="M836" s="4">
        <f t="shared" si="575"/>
      </c>
      <c r="N836" s="59"/>
      <c r="O836" s="164"/>
      <c r="P836" s="59">
        <f t="shared" si="576"/>
      </c>
      <c r="Q836" s="165"/>
      <c r="R836" s="59"/>
      <c r="S836" s="164"/>
      <c r="T836" s="5">
        <f t="shared" si="577"/>
      </c>
      <c r="U836" s="4">
        <f t="shared" si="578"/>
      </c>
      <c r="V836" s="4">
        <f t="shared" si="579"/>
      </c>
      <c r="W836" s="4">
        <f t="shared" si="580"/>
      </c>
      <c r="X836" s="4">
        <f t="shared" si="581"/>
      </c>
      <c r="Y836" s="4" cm="1">
        <f t="array" ref="Y836">_xlfn.IFS(H836=1,2,H836=3,1)</f>
      </c>
      <c r="Z836" s="4">
        <f t="shared" si="582"/>
      </c>
      <c r="AA836" s="4">
        <f t="shared" si="583"/>
      </c>
      <c r="AB836" s="4">
        <f t="shared" si="584"/>
      </c>
      <c r="AC836" s="4">
        <f t="shared" si="585"/>
      </c>
      <c r="AD836" s="4">
        <f t="shared" si="586"/>
      </c>
      <c r="AE836" s="4">
        <f t="shared" si="587"/>
      </c>
      <c r="AF836" s="4">
        <f t="shared" si="588"/>
      </c>
      <c r="AG836" s="4">
        <f t="shared" si="589"/>
        <v/>
      </c>
      <c r="AH836" s="4">
        <f t="shared" si="590"/>
      </c>
      <c r="AI836" s="4">
        <f t="shared" si="591"/>
      </c>
      <c r="AJ836" s="4">
        <f t="shared" si="592"/>
      </c>
      <c r="AK836" s="4">
        <f t="shared" si="593"/>
      </c>
      <c r="AL836" s="4">
        <f t="shared" si="594"/>
      </c>
      <c r="AM836" s="4">
        <f t="shared" si="595"/>
      </c>
      <c r="AN836" s="4"/>
      <c r="AO836" s="4">
        <f t="shared" si="596"/>
      </c>
      <c r="AP836" s="4">
        <f t="shared" si="597"/>
      </c>
      <c r="AQ836" s="4">
        <f t="shared" si="598"/>
        <v/>
      </c>
      <c r="AR836" s="4">
        <f t="shared" si="599"/>
      </c>
      <c r="AS836" s="4">
        <f t="shared" si="600"/>
      </c>
      <c r="AT836" s="4">
        <f t="shared" si="601"/>
      </c>
    </row>
    <row r="837" spans="1:46" x14ac:dyDescent="0.3">
      <c r="A837" s="5">
        <f t="shared" si="573"/>
      </c>
      <c r="B837" s="4">
        <f t="shared" si="574"/>
      </c>
      <c r="C837" s="59"/>
      <c r="D837" s="59"/>
      <c r="E837" s="70"/>
      <c r="F837" s="164"/>
      <c r="G837" s="164"/>
      <c r="H837" s="164"/>
      <c r="I837" s="70"/>
      <c r="J837" s="70"/>
      <c r="K837" s="70"/>
      <c r="L837" s="70"/>
      <c r="M837" s="4">
        <f t="shared" si="575"/>
      </c>
      <c r="N837" s="59"/>
      <c r="O837" s="164"/>
      <c r="P837" s="59">
        <f t="shared" si="576"/>
      </c>
      <c r="Q837" s="165"/>
      <c r="R837" s="59"/>
      <c r="S837" s="164"/>
      <c r="T837" s="5">
        <f t="shared" si="577"/>
      </c>
      <c r="U837" s="4">
        <f t="shared" si="578"/>
      </c>
      <c r="V837" s="4">
        <f t="shared" si="579"/>
      </c>
      <c r="W837" s="4">
        <f t="shared" si="580"/>
      </c>
      <c r="X837" s="4">
        <f t="shared" si="581"/>
      </c>
      <c r="Y837" s="4" cm="1">
        <f t="array" ref="Y837">_xlfn.IFS(H837=1,2,H837=3,1)</f>
      </c>
      <c r="Z837" s="4">
        <f t="shared" si="582"/>
      </c>
      <c r="AA837" s="4">
        <f t="shared" si="583"/>
      </c>
      <c r="AB837" s="4">
        <f t="shared" si="584"/>
      </c>
      <c r="AC837" s="4">
        <f t="shared" si="585"/>
      </c>
      <c r="AD837" s="4">
        <f t="shared" si="586"/>
      </c>
      <c r="AE837" s="4">
        <f t="shared" si="587"/>
      </c>
      <c r="AF837" s="4">
        <f t="shared" si="588"/>
      </c>
      <c r="AG837" s="4">
        <f t="shared" si="589"/>
        <v/>
      </c>
      <c r="AH837" s="4">
        <f t="shared" si="590"/>
      </c>
      <c r="AI837" s="4">
        <f t="shared" si="591"/>
      </c>
      <c r="AJ837" s="4">
        <f t="shared" si="592"/>
      </c>
      <c r="AK837" s="4">
        <f t="shared" si="593"/>
      </c>
      <c r="AL837" s="4">
        <f t="shared" si="594"/>
      </c>
      <c r="AM837" s="4">
        <f t="shared" si="595"/>
      </c>
      <c r="AN837" s="4"/>
      <c r="AO837" s="4">
        <f t="shared" si="596"/>
      </c>
      <c r="AP837" s="4">
        <f t="shared" si="597"/>
      </c>
      <c r="AQ837" s="4">
        <f t="shared" si="598"/>
        <v/>
      </c>
      <c r="AR837" s="4">
        <f t="shared" si="599"/>
      </c>
      <c r="AS837" s="4">
        <f t="shared" si="600"/>
      </c>
      <c r="AT837" s="4">
        <f t="shared" si="601"/>
      </c>
    </row>
    <row r="838" spans="1:46" x14ac:dyDescent="0.3">
      <c r="A838" s="5">
        <f t="shared" si="573"/>
      </c>
      <c r="B838" s="4">
        <f t="shared" si="574"/>
      </c>
      <c r="C838" s="59"/>
      <c r="D838" s="59"/>
      <c r="E838" s="70"/>
      <c r="F838" s="164"/>
      <c r="G838" s="164"/>
      <c r="H838" s="164"/>
      <c r="I838" s="70"/>
      <c r="J838" s="70"/>
      <c r="K838" s="70"/>
      <c r="L838" s="70"/>
      <c r="M838" s="4">
        <f t="shared" si="575"/>
      </c>
      <c r="N838" s="59"/>
      <c r="O838" s="164"/>
      <c r="P838" s="59">
        <f t="shared" si="576"/>
      </c>
      <c r="Q838" s="165"/>
      <c r="R838" s="59"/>
      <c r="S838" s="164"/>
      <c r="T838" s="5">
        <f t="shared" si="577"/>
      </c>
      <c r="U838" s="4">
        <f t="shared" si="578"/>
      </c>
      <c r="V838" s="4">
        <f t="shared" si="579"/>
      </c>
      <c r="W838" s="4">
        <f t="shared" si="580"/>
      </c>
      <c r="X838" s="4">
        <f t="shared" si="581"/>
      </c>
      <c r="Y838" s="4" cm="1">
        <f t="array" ref="Y838">_xlfn.IFS(H838=1,2,H838=3,1)</f>
      </c>
      <c r="Z838" s="4">
        <f t="shared" si="582"/>
      </c>
      <c r="AA838" s="4">
        <f t="shared" si="583"/>
      </c>
      <c r="AB838" s="4">
        <f t="shared" si="584"/>
      </c>
      <c r="AC838" s="4">
        <f t="shared" si="585"/>
      </c>
      <c r="AD838" s="4">
        <f t="shared" si="586"/>
      </c>
      <c r="AE838" s="4">
        <f t="shared" si="587"/>
      </c>
      <c r="AF838" s="4">
        <f t="shared" si="588"/>
      </c>
      <c r="AG838" s="4">
        <f t="shared" si="589"/>
        <v/>
      </c>
      <c r="AH838" s="4">
        <f t="shared" si="590"/>
      </c>
      <c r="AI838" s="4">
        <f t="shared" si="591"/>
      </c>
      <c r="AJ838" s="4">
        <f t="shared" si="592"/>
      </c>
      <c r="AK838" s="4">
        <f t="shared" si="593"/>
      </c>
      <c r="AL838" s="4">
        <f t="shared" si="594"/>
      </c>
      <c r="AM838" s="4">
        <f t="shared" si="595"/>
      </c>
      <c r="AN838" s="4"/>
      <c r="AO838" s="4">
        <f t="shared" si="596"/>
      </c>
      <c r="AP838" s="4">
        <f t="shared" si="597"/>
      </c>
      <c r="AQ838" s="4">
        <f t="shared" si="598"/>
        <v/>
      </c>
      <c r="AR838" s="4">
        <f t="shared" si="599"/>
      </c>
      <c r="AS838" s="4">
        <f t="shared" si="600"/>
      </c>
      <c r="AT838" s="4">
        <f t="shared" si="601"/>
      </c>
    </row>
    <row r="839" spans="1:46" x14ac:dyDescent="0.3">
      <c r="A839" s="5">
        <f t="shared" si="573"/>
      </c>
      <c r="B839" s="4">
        <f t="shared" si="574"/>
      </c>
      <c r="C839" s="59"/>
      <c r="D839" s="59"/>
      <c r="E839" s="70"/>
      <c r="F839" s="164"/>
      <c r="G839" s="164"/>
      <c r="H839" s="164"/>
      <c r="I839" s="70"/>
      <c r="J839" s="70"/>
      <c r="K839" s="70"/>
      <c r="L839" s="70"/>
      <c r="M839" s="4">
        <f t="shared" si="575"/>
      </c>
      <c r="N839" s="59"/>
      <c r="O839" s="164"/>
      <c r="P839" s="59">
        <f t="shared" si="576"/>
      </c>
      <c r="Q839" s="165"/>
      <c r="R839" s="59"/>
      <c r="S839" s="164"/>
      <c r="T839" s="5">
        <f t="shared" si="577"/>
      </c>
      <c r="U839" s="4">
        <f t="shared" si="578"/>
      </c>
      <c r="V839" s="4">
        <f t="shared" si="579"/>
      </c>
      <c r="W839" s="4">
        <f t="shared" si="580"/>
      </c>
      <c r="X839" s="4">
        <f t="shared" si="581"/>
      </c>
      <c r="Y839" s="4" cm="1">
        <f t="array" ref="Y839">_xlfn.IFS(H839=1,2,H839=3,1)</f>
      </c>
      <c r="Z839" s="4">
        <f t="shared" si="582"/>
      </c>
      <c r="AA839" s="4">
        <f t="shared" si="583"/>
      </c>
      <c r="AB839" s="4">
        <f t="shared" si="584"/>
      </c>
      <c r="AC839" s="4">
        <f t="shared" si="585"/>
      </c>
      <c r="AD839" s="4">
        <f t="shared" si="586"/>
      </c>
      <c r="AE839" s="4">
        <f t="shared" si="587"/>
      </c>
      <c r="AF839" s="4">
        <f t="shared" si="588"/>
      </c>
      <c r="AG839" s="4">
        <f t="shared" si="589"/>
        <v/>
      </c>
      <c r="AH839" s="4">
        <f t="shared" si="590"/>
      </c>
      <c r="AI839" s="4">
        <f t="shared" si="591"/>
      </c>
      <c r="AJ839" s="4">
        <f t="shared" si="592"/>
      </c>
      <c r="AK839" s="4">
        <f t="shared" si="593"/>
      </c>
      <c r="AL839" s="4">
        <f t="shared" si="594"/>
      </c>
      <c r="AM839" s="4">
        <f t="shared" si="595"/>
      </c>
      <c r="AN839" s="4"/>
      <c r="AO839" s="4">
        <f t="shared" si="596"/>
      </c>
      <c r="AP839" s="4">
        <f t="shared" si="597"/>
      </c>
      <c r="AQ839" s="4">
        <f t="shared" si="598"/>
        <v/>
      </c>
      <c r="AR839" s="4">
        <f t="shared" si="599"/>
      </c>
      <c r="AS839" s="4">
        <f t="shared" si="600"/>
      </c>
      <c r="AT839" s="4">
        <f t="shared" si="601"/>
      </c>
    </row>
    <row r="840" spans="1:46" x14ac:dyDescent="0.3">
      <c r="A840" s="5">
        <f t="shared" si="573"/>
      </c>
      <c r="B840" s="4">
        <f t="shared" si="574"/>
      </c>
      <c r="C840" s="59"/>
      <c r="D840" s="59"/>
      <c r="E840" s="70"/>
      <c r="F840" s="164"/>
      <c r="G840" s="164"/>
      <c r="H840" s="164"/>
      <c r="I840" s="70"/>
      <c r="J840" s="70"/>
      <c r="K840" s="70"/>
      <c r="L840" s="70"/>
      <c r="M840" s="4">
        <f t="shared" si="575"/>
      </c>
      <c r="N840" s="59"/>
      <c r="O840" s="164"/>
      <c r="P840" s="59">
        <f t="shared" si="576"/>
      </c>
      <c r="Q840" s="165"/>
      <c r="R840" s="59"/>
      <c r="S840" s="164"/>
      <c r="T840" s="5">
        <f t="shared" si="577"/>
      </c>
      <c r="U840" s="4">
        <f t="shared" si="578"/>
      </c>
      <c r="V840" s="4">
        <f t="shared" si="579"/>
      </c>
      <c r="W840" s="4">
        <f t="shared" si="580"/>
      </c>
      <c r="X840" s="4">
        <f t="shared" si="581"/>
      </c>
      <c r="Y840" s="4" cm="1">
        <f t="array" ref="Y840">_xlfn.IFS(H840=1,2,H840=3,1)</f>
      </c>
      <c r="Z840" s="4">
        <f t="shared" si="582"/>
      </c>
      <c r="AA840" s="4">
        <f t="shared" si="583"/>
      </c>
      <c r="AB840" s="4">
        <f t="shared" si="584"/>
      </c>
      <c r="AC840" s="4">
        <f t="shared" si="585"/>
      </c>
      <c r="AD840" s="4">
        <f t="shared" si="586"/>
      </c>
      <c r="AE840" s="4">
        <f t="shared" si="587"/>
      </c>
      <c r="AF840" s="4">
        <f t="shared" si="588"/>
      </c>
      <c r="AG840" s="4">
        <f t="shared" si="589"/>
        <v/>
      </c>
      <c r="AH840" s="4">
        <f t="shared" si="590"/>
      </c>
      <c r="AI840" s="4">
        <f t="shared" si="591"/>
      </c>
      <c r="AJ840" s="4">
        <f t="shared" si="592"/>
      </c>
      <c r="AK840" s="4">
        <f t="shared" si="593"/>
      </c>
      <c r="AL840" s="4">
        <f t="shared" si="594"/>
      </c>
      <c r="AM840" s="4">
        <f t="shared" si="595"/>
      </c>
      <c r="AN840" s="4"/>
      <c r="AO840" s="4">
        <f t="shared" si="596"/>
      </c>
      <c r="AP840" s="4">
        <f t="shared" si="597"/>
      </c>
      <c r="AQ840" s="4">
        <f t="shared" si="598"/>
        <v/>
      </c>
      <c r="AR840" s="4">
        <f t="shared" si="599"/>
      </c>
      <c r="AS840" s="4">
        <f t="shared" si="600"/>
      </c>
      <c r="AT840" s="4">
        <f t="shared" si="601"/>
      </c>
    </row>
    <row r="841" spans="1:46" x14ac:dyDescent="0.3">
      <c r="A841" s="5">
        <f t="shared" si="573"/>
      </c>
      <c r="B841" s="4">
        <f t="shared" si="574"/>
      </c>
      <c r="C841" s="59"/>
      <c r="D841" s="59"/>
      <c r="E841" s="70"/>
      <c r="F841" s="164"/>
      <c r="G841" s="164"/>
      <c r="H841" s="164"/>
      <c r="I841" s="70"/>
      <c r="J841" s="70"/>
      <c r="K841" s="70"/>
      <c r="L841" s="70"/>
      <c r="M841" s="4">
        <f t="shared" si="575"/>
      </c>
      <c r="N841" s="59"/>
      <c r="O841" s="164"/>
      <c r="P841" s="59">
        <f t="shared" si="576"/>
      </c>
      <c r="Q841" s="165"/>
      <c r="R841" s="59"/>
      <c r="S841" s="164"/>
      <c r="T841" s="5">
        <f t="shared" si="577"/>
      </c>
      <c r="U841" s="4">
        <f t="shared" si="578"/>
      </c>
      <c r="V841" s="4">
        <f t="shared" si="579"/>
      </c>
      <c r="W841" s="4">
        <f t="shared" si="580"/>
      </c>
      <c r="X841" s="4">
        <f t="shared" si="581"/>
      </c>
      <c r="Y841" s="4" cm="1">
        <f t="array" ref="Y841">_xlfn.IFS(H841=1,2,H841=3,1)</f>
      </c>
      <c r="Z841" s="4">
        <f t="shared" si="582"/>
      </c>
      <c r="AA841" s="4">
        <f t="shared" si="583"/>
      </c>
      <c r="AB841" s="4">
        <f t="shared" si="584"/>
      </c>
      <c r="AC841" s="4">
        <f t="shared" si="585"/>
      </c>
      <c r="AD841" s="4">
        <f t="shared" si="586"/>
      </c>
      <c r="AE841" s="4">
        <f t="shared" si="587"/>
      </c>
      <c r="AF841" s="4">
        <f t="shared" si="588"/>
      </c>
      <c r="AG841" s="4">
        <f t="shared" si="589"/>
        <v/>
      </c>
      <c r="AH841" s="4">
        <f t="shared" si="590"/>
      </c>
      <c r="AI841" s="4">
        <f t="shared" si="591"/>
      </c>
      <c r="AJ841" s="4">
        <f t="shared" si="592"/>
      </c>
      <c r="AK841" s="4">
        <f t="shared" si="593"/>
      </c>
      <c r="AL841" s="4">
        <f t="shared" si="594"/>
      </c>
      <c r="AM841" s="4">
        <f t="shared" si="595"/>
      </c>
      <c r="AN841" s="4"/>
      <c r="AO841" s="4">
        <f t="shared" si="596"/>
      </c>
      <c r="AP841" s="4">
        <f t="shared" si="597"/>
      </c>
      <c r="AQ841" s="4">
        <f t="shared" si="598"/>
        <v/>
      </c>
      <c r="AR841" s="4">
        <f t="shared" si="599"/>
      </c>
      <c r="AS841" s="4">
        <f t="shared" si="600"/>
      </c>
      <c r="AT841" s="4">
        <f t="shared" si="601"/>
      </c>
    </row>
    <row r="842" spans="1:46" x14ac:dyDescent="0.3">
      <c r="A842" s="5">
        <f t="shared" si="573"/>
      </c>
      <c r="B842" s="4">
        <f t="shared" si="574"/>
      </c>
      <c r="C842" s="59"/>
      <c r="D842" s="59"/>
      <c r="E842" s="70"/>
      <c r="F842" s="164"/>
      <c r="G842" s="164"/>
      <c r="H842" s="164"/>
      <c r="I842" s="70"/>
      <c r="J842" s="70"/>
      <c r="K842" s="70"/>
      <c r="L842" s="70"/>
      <c r="M842" s="4">
        <f t="shared" si="575"/>
      </c>
      <c r="N842" s="59"/>
      <c r="O842" s="164"/>
      <c r="P842" s="59">
        <f t="shared" si="576"/>
      </c>
      <c r="Q842" s="165"/>
      <c r="R842" s="59"/>
      <c r="S842" s="164"/>
      <c r="T842" s="5">
        <f t="shared" si="577"/>
      </c>
      <c r="U842" s="4">
        <f t="shared" si="578"/>
      </c>
      <c r="V842" s="4">
        <f t="shared" si="579"/>
      </c>
      <c r="W842" s="4">
        <f t="shared" si="580"/>
      </c>
      <c r="X842" s="4">
        <f t="shared" si="581"/>
      </c>
      <c r="Y842" s="4" cm="1">
        <f t="array" ref="Y842">_xlfn.IFS(H842=1,2,H842=3,1)</f>
      </c>
      <c r="Z842" s="4">
        <f t="shared" si="582"/>
      </c>
      <c r="AA842" s="4">
        <f t="shared" si="583"/>
      </c>
      <c r="AB842" s="4">
        <f t="shared" si="584"/>
      </c>
      <c r="AC842" s="4">
        <f t="shared" si="585"/>
      </c>
      <c r="AD842" s="4">
        <f t="shared" si="586"/>
      </c>
      <c r="AE842" s="4">
        <f t="shared" si="587"/>
      </c>
      <c r="AF842" s="4">
        <f t="shared" si="588"/>
      </c>
      <c r="AG842" s="4">
        <f t="shared" si="589"/>
        <v/>
      </c>
      <c r="AH842" s="4">
        <f t="shared" si="590"/>
      </c>
      <c r="AI842" s="4">
        <f t="shared" si="591"/>
      </c>
      <c r="AJ842" s="4">
        <f t="shared" si="592"/>
      </c>
      <c r="AK842" s="4">
        <f t="shared" si="593"/>
      </c>
      <c r="AL842" s="4">
        <f t="shared" si="594"/>
      </c>
      <c r="AM842" s="4">
        <f t="shared" si="595"/>
      </c>
      <c r="AN842" s="4"/>
      <c r="AO842" s="4">
        <f t="shared" si="596"/>
      </c>
      <c r="AP842" s="4">
        <f t="shared" si="597"/>
      </c>
      <c r="AQ842" s="4">
        <f t="shared" si="598"/>
        <v/>
      </c>
      <c r="AR842" s="4">
        <f t="shared" si="599"/>
      </c>
      <c r="AS842" s="4">
        <f t="shared" si="600"/>
      </c>
      <c r="AT842" s="4">
        <f t="shared" si="601"/>
      </c>
    </row>
    <row r="843" spans="1:46" x14ac:dyDescent="0.3">
      <c r="A843" s="5">
        <f t="shared" si="573"/>
      </c>
      <c r="B843" s="4">
        <f t="shared" si="574"/>
      </c>
      <c r="C843" s="59"/>
      <c r="D843" s="59"/>
      <c r="E843" s="70"/>
      <c r="F843" s="164"/>
      <c r="G843" s="164"/>
      <c r="H843" s="164"/>
      <c r="I843" s="70"/>
      <c r="J843" s="70"/>
      <c r="K843" s="70"/>
      <c r="L843" s="70"/>
      <c r="M843" s="4">
        <f t="shared" si="575"/>
      </c>
      <c r="N843" s="59"/>
      <c r="O843" s="164"/>
      <c r="P843" s="59">
        <f t="shared" si="576"/>
      </c>
      <c r="Q843" s="165"/>
      <c r="R843" s="59"/>
      <c r="S843" s="164"/>
      <c r="T843" s="5">
        <f t="shared" si="577"/>
      </c>
      <c r="U843" s="4">
        <f t="shared" si="578"/>
      </c>
      <c r="V843" s="4">
        <f t="shared" si="579"/>
      </c>
      <c r="W843" s="4">
        <f t="shared" si="580"/>
      </c>
      <c r="X843" s="4">
        <f t="shared" si="581"/>
      </c>
      <c r="Y843" s="4" cm="1">
        <f t="array" ref="Y843">_xlfn.IFS(H843=1,2,H843=3,1)</f>
      </c>
      <c r="Z843" s="4">
        <f t="shared" si="582"/>
      </c>
      <c r="AA843" s="4">
        <f t="shared" si="583"/>
      </c>
      <c r="AB843" s="4">
        <f t="shared" si="584"/>
      </c>
      <c r="AC843" s="4">
        <f t="shared" si="585"/>
      </c>
      <c r="AD843" s="4">
        <f t="shared" si="586"/>
      </c>
      <c r="AE843" s="4">
        <f t="shared" si="587"/>
      </c>
      <c r="AF843" s="4">
        <f t="shared" si="588"/>
      </c>
      <c r="AG843" s="4">
        <f t="shared" si="589"/>
        <v/>
      </c>
      <c r="AH843" s="4">
        <f t="shared" si="590"/>
      </c>
      <c r="AI843" s="4">
        <f t="shared" si="591"/>
      </c>
      <c r="AJ843" s="4">
        <f t="shared" si="592"/>
      </c>
      <c r="AK843" s="4">
        <f t="shared" si="593"/>
      </c>
      <c r="AL843" s="4">
        <f t="shared" si="594"/>
      </c>
      <c r="AM843" s="4">
        <f t="shared" si="595"/>
      </c>
      <c r="AN843" s="4"/>
      <c r="AO843" s="4">
        <f t="shared" si="596"/>
      </c>
      <c r="AP843" s="4">
        <f t="shared" si="597"/>
      </c>
      <c r="AQ843" s="4">
        <f t="shared" si="598"/>
        <v/>
      </c>
      <c r="AR843" s="4">
        <f t="shared" si="599"/>
      </c>
      <c r="AS843" s="4">
        <f t="shared" si="600"/>
      </c>
      <c r="AT843" s="4">
        <f t="shared" si="601"/>
      </c>
    </row>
    <row r="844" spans="1:46" x14ac:dyDescent="0.3">
      <c r="A844" s="5">
        <f t="shared" si="573"/>
      </c>
      <c r="B844" s="4">
        <f t="shared" si="574"/>
      </c>
      <c r="C844" s="59"/>
      <c r="D844" s="59"/>
      <c r="E844" s="70"/>
      <c r="F844" s="164"/>
      <c r="G844" s="164"/>
      <c r="H844" s="164"/>
      <c r="I844" s="70"/>
      <c r="J844" s="70"/>
      <c r="K844" s="70"/>
      <c r="L844" s="70"/>
      <c r="M844" s="4">
        <f t="shared" si="575"/>
      </c>
      <c r="N844" s="59"/>
      <c r="O844" s="164"/>
      <c r="P844" s="59">
        <f t="shared" si="576"/>
      </c>
      <c r="Q844" s="165"/>
      <c r="R844" s="59"/>
      <c r="S844" s="164"/>
      <c r="T844" s="5">
        <f t="shared" si="577"/>
      </c>
      <c r="U844" s="4">
        <f t="shared" si="578"/>
      </c>
      <c r="V844" s="4">
        <f t="shared" si="579"/>
      </c>
      <c r="W844" s="4">
        <f t="shared" si="580"/>
      </c>
      <c r="X844" s="4">
        <f t="shared" si="581"/>
      </c>
      <c r="Y844" s="4" cm="1">
        <f t="array" ref="Y844">_xlfn.IFS(H844=1,2,H844=3,1)</f>
      </c>
      <c r="Z844" s="4">
        <f t="shared" si="582"/>
      </c>
      <c r="AA844" s="4">
        <f t="shared" si="583"/>
      </c>
      <c r="AB844" s="4">
        <f t="shared" si="584"/>
      </c>
      <c r="AC844" s="4">
        <f t="shared" si="585"/>
      </c>
      <c r="AD844" s="4">
        <f t="shared" si="586"/>
      </c>
      <c r="AE844" s="4">
        <f t="shared" si="587"/>
      </c>
      <c r="AF844" s="4">
        <f t="shared" si="588"/>
      </c>
      <c r="AG844" s="4">
        <f t="shared" si="589"/>
        <v/>
      </c>
      <c r="AH844" s="4">
        <f t="shared" si="590"/>
      </c>
      <c r="AI844" s="4">
        <f t="shared" si="591"/>
      </c>
      <c r="AJ844" s="4">
        <f t="shared" si="592"/>
      </c>
      <c r="AK844" s="4">
        <f t="shared" si="593"/>
      </c>
      <c r="AL844" s="4">
        <f t="shared" si="594"/>
      </c>
      <c r="AM844" s="4">
        <f t="shared" si="595"/>
      </c>
      <c r="AN844" s="4"/>
      <c r="AO844" s="4">
        <f t="shared" si="596"/>
      </c>
      <c r="AP844" s="4">
        <f t="shared" si="597"/>
      </c>
      <c r="AQ844" s="4">
        <f t="shared" si="598"/>
        <v/>
      </c>
      <c r="AR844" s="4">
        <f t="shared" si="599"/>
      </c>
      <c r="AS844" s="4">
        <f t="shared" si="600"/>
      </c>
      <c r="AT844" s="4">
        <f t="shared" si="601"/>
      </c>
    </row>
    <row r="845" spans="1:46" x14ac:dyDescent="0.3">
      <c r="A845" s="5">
        <f t="shared" si="573"/>
      </c>
      <c r="B845" s="4">
        <f t="shared" si="574"/>
      </c>
      <c r="C845" s="59"/>
      <c r="D845" s="59"/>
      <c r="E845" s="70"/>
      <c r="F845" s="164"/>
      <c r="G845" s="164"/>
      <c r="H845" s="164"/>
      <c r="I845" s="70"/>
      <c r="J845" s="70"/>
      <c r="K845" s="70"/>
      <c r="L845" s="70"/>
      <c r="M845" s="4">
        <f t="shared" si="575"/>
      </c>
      <c r="N845" s="59"/>
      <c r="O845" s="164"/>
      <c r="P845" s="59">
        <f t="shared" si="576"/>
      </c>
      <c r="Q845" s="165"/>
      <c r="R845" s="59"/>
      <c r="S845" s="164"/>
      <c r="T845" s="5">
        <f t="shared" si="577"/>
      </c>
      <c r="U845" s="4">
        <f t="shared" si="578"/>
      </c>
      <c r="V845" s="4">
        <f t="shared" si="579"/>
      </c>
      <c r="W845" s="4">
        <f t="shared" si="580"/>
      </c>
      <c r="X845" s="4">
        <f t="shared" si="581"/>
      </c>
      <c r="Y845" s="4" cm="1">
        <f t="array" ref="Y845">_xlfn.IFS(H845=1,2,H845=3,1)</f>
      </c>
      <c r="Z845" s="4">
        <f t="shared" si="582"/>
      </c>
      <c r="AA845" s="4">
        <f t="shared" si="583"/>
      </c>
      <c r="AB845" s="4">
        <f t="shared" si="584"/>
      </c>
      <c r="AC845" s="4">
        <f t="shared" si="585"/>
      </c>
      <c r="AD845" s="4">
        <f t="shared" si="586"/>
      </c>
      <c r="AE845" s="4">
        <f t="shared" si="587"/>
      </c>
      <c r="AF845" s="4">
        <f t="shared" si="588"/>
      </c>
      <c r="AG845" s="4">
        <f t="shared" si="589"/>
        <v/>
      </c>
      <c r="AH845" s="4">
        <f t="shared" si="590"/>
      </c>
      <c r="AI845" s="4">
        <f t="shared" si="591"/>
      </c>
      <c r="AJ845" s="4">
        <f t="shared" si="592"/>
      </c>
      <c r="AK845" s="4">
        <f t="shared" si="593"/>
      </c>
      <c r="AL845" s="4">
        <f t="shared" si="594"/>
      </c>
      <c r="AM845" s="4">
        <f t="shared" si="595"/>
      </c>
      <c r="AN845" s="4"/>
      <c r="AO845" s="4">
        <f t="shared" si="596"/>
      </c>
      <c r="AP845" s="4">
        <f t="shared" si="597"/>
      </c>
      <c r="AQ845" s="4">
        <f t="shared" si="598"/>
        <v/>
      </c>
      <c r="AR845" s="4">
        <f t="shared" si="599"/>
      </c>
      <c r="AS845" s="4">
        <f t="shared" si="600"/>
      </c>
      <c r="AT845" s="4">
        <f t="shared" si="601"/>
      </c>
    </row>
    <row r="846" spans="1:46" x14ac:dyDescent="0.3">
      <c r="A846" s="5">
        <f t="shared" si="573"/>
      </c>
      <c r="B846" s="4">
        <f t="shared" si="574"/>
      </c>
      <c r="C846" s="59"/>
      <c r="D846" s="59"/>
      <c r="E846" s="70"/>
      <c r="F846" s="164"/>
      <c r="G846" s="164"/>
      <c r="H846" s="164"/>
      <c r="I846" s="70"/>
      <c r="J846" s="70"/>
      <c r="K846" s="70"/>
      <c r="L846" s="70"/>
      <c r="M846" s="4">
        <f t="shared" si="575"/>
      </c>
      <c r="N846" s="59"/>
      <c r="O846" s="164"/>
      <c r="P846" s="59">
        <f t="shared" si="576"/>
      </c>
      <c r="Q846" s="165"/>
      <c r="R846" s="59"/>
      <c r="S846" s="164"/>
      <c r="T846" s="5">
        <f t="shared" si="577"/>
      </c>
      <c r="U846" s="4">
        <f t="shared" si="578"/>
      </c>
      <c r="V846" s="4">
        <f t="shared" si="579"/>
      </c>
      <c r="W846" s="4">
        <f t="shared" si="580"/>
      </c>
      <c r="X846" s="4">
        <f t="shared" si="581"/>
      </c>
      <c r="Y846" s="4" cm="1">
        <f t="array" ref="Y846">_xlfn.IFS(H846=1,2,H846=3,1)</f>
      </c>
      <c r="Z846" s="4">
        <f t="shared" si="582"/>
      </c>
      <c r="AA846" s="4">
        <f t="shared" si="583"/>
      </c>
      <c r="AB846" s="4">
        <f t="shared" si="584"/>
      </c>
      <c r="AC846" s="4">
        <f t="shared" si="585"/>
      </c>
      <c r="AD846" s="4">
        <f t="shared" si="586"/>
      </c>
      <c r="AE846" s="4">
        <f t="shared" si="587"/>
      </c>
      <c r="AF846" s="4">
        <f t="shared" si="588"/>
      </c>
      <c r="AG846" s="4">
        <f t="shared" si="589"/>
        <v/>
      </c>
      <c r="AH846" s="4">
        <f t="shared" si="590"/>
      </c>
      <c r="AI846" s="4">
        <f t="shared" si="591"/>
      </c>
      <c r="AJ846" s="4">
        <f t="shared" si="592"/>
      </c>
      <c r="AK846" s="4">
        <f t="shared" si="593"/>
      </c>
      <c r="AL846" s="4">
        <f t="shared" si="594"/>
      </c>
      <c r="AM846" s="4">
        <f t="shared" si="595"/>
      </c>
      <c r="AN846" s="4"/>
      <c r="AO846" s="4">
        <f t="shared" si="596"/>
      </c>
      <c r="AP846" s="4">
        <f t="shared" si="597"/>
      </c>
      <c r="AQ846" s="4">
        <f t="shared" si="598"/>
        <v/>
      </c>
      <c r="AR846" s="4">
        <f t="shared" si="599"/>
      </c>
      <c r="AS846" s="4">
        <f t="shared" si="600"/>
      </c>
      <c r="AT846" s="4">
        <f t="shared" si="601"/>
      </c>
    </row>
    <row r="847" spans="1:46" x14ac:dyDescent="0.3">
      <c r="A847" s="5">
        <f t="shared" si="573"/>
      </c>
      <c r="B847" s="4">
        <f t="shared" si="574"/>
      </c>
      <c r="C847" s="59"/>
      <c r="D847" s="59"/>
      <c r="E847" s="70"/>
      <c r="F847" s="164"/>
      <c r="G847" s="164"/>
      <c r="H847" s="164"/>
      <c r="I847" s="70"/>
      <c r="J847" s="70"/>
      <c r="K847" s="70"/>
      <c r="L847" s="70"/>
      <c r="M847" s="4">
        <f t="shared" si="575"/>
      </c>
      <c r="N847" s="59"/>
      <c r="O847" s="164"/>
      <c r="P847" s="59">
        <f t="shared" si="576"/>
      </c>
      <c r="Q847" s="165"/>
      <c r="R847" s="59"/>
      <c r="S847" s="164"/>
      <c r="T847" s="5">
        <f t="shared" si="577"/>
      </c>
      <c r="U847" s="4">
        <f t="shared" si="578"/>
      </c>
      <c r="V847" s="4">
        <f t="shared" si="579"/>
      </c>
      <c r="W847" s="4">
        <f t="shared" si="580"/>
      </c>
      <c r="X847" s="4">
        <f t="shared" si="581"/>
      </c>
      <c r="Y847" s="4" cm="1">
        <f t="array" ref="Y847">_xlfn.IFS(H847=1,2,H847=3,1)</f>
      </c>
      <c r="Z847" s="4">
        <f t="shared" si="582"/>
      </c>
      <c r="AA847" s="4">
        <f t="shared" si="583"/>
      </c>
      <c r="AB847" s="4">
        <f t="shared" si="584"/>
      </c>
      <c r="AC847" s="4">
        <f t="shared" si="585"/>
      </c>
      <c r="AD847" s="4">
        <f t="shared" si="586"/>
      </c>
      <c r="AE847" s="4">
        <f t="shared" si="587"/>
      </c>
      <c r="AF847" s="4">
        <f t="shared" si="588"/>
      </c>
      <c r="AG847" s="4">
        <f t="shared" si="589"/>
        <v/>
      </c>
      <c r="AH847" s="4">
        <f t="shared" si="590"/>
      </c>
      <c r="AI847" s="4">
        <f t="shared" si="591"/>
      </c>
      <c r="AJ847" s="4">
        <f t="shared" si="592"/>
      </c>
      <c r="AK847" s="4">
        <f t="shared" si="593"/>
      </c>
      <c r="AL847" s="4">
        <f t="shared" si="594"/>
      </c>
      <c r="AM847" s="4">
        <f t="shared" si="595"/>
      </c>
      <c r="AN847" s="4"/>
      <c r="AO847" s="4">
        <f t="shared" si="596"/>
      </c>
      <c r="AP847" s="4">
        <f t="shared" si="597"/>
      </c>
      <c r="AQ847" s="4">
        <f t="shared" si="598"/>
        <v/>
      </c>
      <c r="AR847" s="4">
        <f t="shared" si="599"/>
      </c>
      <c r="AS847" s="4">
        <f t="shared" si="600"/>
      </c>
      <c r="AT847" s="4">
        <f t="shared" si="601"/>
      </c>
    </row>
    <row r="848" spans="1:46" x14ac:dyDescent="0.3">
      <c r="A848" s="5">
        <f t="shared" si="573"/>
      </c>
      <c r="B848" s="4">
        <f t="shared" si="574"/>
      </c>
      <c r="C848" s="59"/>
      <c r="D848" s="59"/>
      <c r="E848" s="70"/>
      <c r="F848" s="164"/>
      <c r="G848" s="164"/>
      <c r="H848" s="164"/>
      <c r="I848" s="70"/>
      <c r="J848" s="70"/>
      <c r="K848" s="70"/>
      <c r="L848" s="70"/>
      <c r="M848" s="4">
        <f t="shared" si="575"/>
      </c>
      <c r="N848" s="59"/>
      <c r="O848" s="164"/>
      <c r="P848" s="59">
        <f t="shared" si="576"/>
      </c>
      <c r="Q848" s="165"/>
      <c r="R848" s="59"/>
      <c r="S848" s="164"/>
      <c r="T848" s="5">
        <f t="shared" si="577"/>
      </c>
      <c r="U848" s="4">
        <f t="shared" si="578"/>
      </c>
      <c r="V848" s="4">
        <f t="shared" si="579"/>
      </c>
      <c r="W848" s="4">
        <f t="shared" si="580"/>
      </c>
      <c r="X848" s="4">
        <f t="shared" si="581"/>
      </c>
      <c r="Y848" s="4" cm="1">
        <f t="array" ref="Y848">_xlfn.IFS(H848=1,2,H848=3,1)</f>
      </c>
      <c r="Z848" s="4">
        <f t="shared" si="582"/>
      </c>
      <c r="AA848" s="4">
        <f t="shared" si="583"/>
      </c>
      <c r="AB848" s="4">
        <f t="shared" si="584"/>
      </c>
      <c r="AC848" s="4">
        <f t="shared" si="585"/>
      </c>
      <c r="AD848" s="4">
        <f t="shared" si="586"/>
      </c>
      <c r="AE848" s="4">
        <f t="shared" si="587"/>
      </c>
      <c r="AF848" s="4">
        <f t="shared" si="588"/>
      </c>
      <c r="AG848" s="4">
        <f t="shared" si="589"/>
        <v/>
      </c>
      <c r="AH848" s="4">
        <f t="shared" si="590"/>
      </c>
      <c r="AI848" s="4">
        <f t="shared" si="591"/>
      </c>
      <c r="AJ848" s="4">
        <f t="shared" si="592"/>
      </c>
      <c r="AK848" s="4">
        <f t="shared" si="593"/>
      </c>
      <c r="AL848" s="4">
        <f t="shared" si="594"/>
      </c>
      <c r="AM848" s="4">
        <f t="shared" si="595"/>
      </c>
      <c r="AN848" s="4"/>
      <c r="AO848" s="4">
        <f t="shared" si="596"/>
      </c>
      <c r="AP848" s="4">
        <f t="shared" si="597"/>
      </c>
      <c r="AQ848" s="4">
        <f t="shared" si="598"/>
        <v/>
      </c>
      <c r="AR848" s="4">
        <f t="shared" si="599"/>
      </c>
      <c r="AS848" s="4">
        <f t="shared" si="600"/>
      </c>
      <c r="AT848" s="4">
        <f t="shared" si="601"/>
      </c>
    </row>
    <row r="849" spans="1:46" x14ac:dyDescent="0.3">
      <c r="A849" s="5">
        <f t="shared" si="573"/>
      </c>
      <c r="B849" s="4">
        <f t="shared" si="574"/>
      </c>
      <c r="C849" s="59"/>
      <c r="D849" s="59"/>
      <c r="E849" s="70"/>
      <c r="F849" s="164"/>
      <c r="G849" s="164"/>
      <c r="H849" s="164"/>
      <c r="I849" s="70"/>
      <c r="J849" s="70"/>
      <c r="K849" s="70"/>
      <c r="L849" s="70"/>
      <c r="M849" s="4">
        <f t="shared" si="575"/>
      </c>
      <c r="N849" s="59"/>
      <c r="O849" s="164"/>
      <c r="P849" s="59">
        <f t="shared" si="576"/>
      </c>
      <c r="Q849" s="165"/>
      <c r="R849" s="59"/>
      <c r="S849" s="164"/>
      <c r="T849" s="5">
        <f t="shared" si="577"/>
      </c>
      <c r="U849" s="4">
        <f t="shared" si="578"/>
      </c>
      <c r="V849" s="4">
        <f t="shared" si="579"/>
      </c>
      <c r="W849" s="4">
        <f t="shared" si="580"/>
      </c>
      <c r="X849" s="4">
        <f t="shared" si="581"/>
      </c>
      <c r="Y849" s="4" cm="1">
        <f t="array" ref="Y849">_xlfn.IFS(H849=1,2,H849=3,1)</f>
      </c>
      <c r="Z849" s="4">
        <f t="shared" si="582"/>
      </c>
      <c r="AA849" s="4">
        <f t="shared" si="583"/>
      </c>
      <c r="AB849" s="4">
        <f t="shared" si="584"/>
      </c>
      <c r="AC849" s="4">
        <f t="shared" si="585"/>
      </c>
      <c r="AD849" s="4">
        <f t="shared" si="586"/>
      </c>
      <c r="AE849" s="4">
        <f t="shared" si="587"/>
      </c>
      <c r="AF849" s="4">
        <f t="shared" si="588"/>
      </c>
      <c r="AG849" s="4">
        <f t="shared" si="589"/>
        <v/>
      </c>
      <c r="AH849" s="4">
        <f t="shared" si="590"/>
      </c>
      <c r="AI849" s="4">
        <f t="shared" si="591"/>
      </c>
      <c r="AJ849" s="4">
        <f t="shared" si="592"/>
      </c>
      <c r="AK849" s="4">
        <f t="shared" si="593"/>
      </c>
      <c r="AL849" s="4">
        <f t="shared" si="594"/>
      </c>
      <c r="AM849" s="4">
        <f t="shared" si="595"/>
      </c>
      <c r="AN849" s="4"/>
      <c r="AO849" s="4">
        <f t="shared" si="596"/>
      </c>
      <c r="AP849" s="4">
        <f t="shared" si="597"/>
      </c>
      <c r="AQ849" s="4">
        <f t="shared" si="598"/>
        <v/>
      </c>
      <c r="AR849" s="4">
        <f t="shared" si="599"/>
      </c>
      <c r="AS849" s="4">
        <f t="shared" si="600"/>
      </c>
      <c r="AT849" s="4">
        <f t="shared" si="601"/>
      </c>
    </row>
    <row r="850" spans="1:46" x14ac:dyDescent="0.3">
      <c r="A850" s="5">
        <f t="shared" si="573"/>
      </c>
      <c r="B850" s="4">
        <f t="shared" si="574"/>
      </c>
      <c r="C850" s="59"/>
      <c r="D850" s="59"/>
      <c r="E850" s="70"/>
      <c r="F850" s="164"/>
      <c r="G850" s="164"/>
      <c r="H850" s="164"/>
      <c r="I850" s="70"/>
      <c r="J850" s="70"/>
      <c r="K850" s="70"/>
      <c r="L850" s="70"/>
      <c r="M850" s="4">
        <f t="shared" si="575"/>
      </c>
      <c r="N850" s="59"/>
      <c r="O850" s="164"/>
      <c r="P850" s="59">
        <f t="shared" si="576"/>
      </c>
      <c r="Q850" s="165"/>
      <c r="R850" s="59"/>
      <c r="S850" s="164"/>
      <c r="T850" s="5">
        <f t="shared" si="577"/>
      </c>
      <c r="U850" s="4">
        <f t="shared" si="578"/>
      </c>
      <c r="V850" s="4">
        <f t="shared" si="579"/>
      </c>
      <c r="W850" s="4">
        <f t="shared" si="580"/>
      </c>
      <c r="X850" s="4">
        <f t="shared" si="581"/>
      </c>
      <c r="Y850" s="4" cm="1">
        <f t="array" ref="Y850">_xlfn.IFS(H850=1,2,H850=3,1)</f>
      </c>
      <c r="Z850" s="4">
        <f t="shared" si="582"/>
      </c>
      <c r="AA850" s="4">
        <f t="shared" si="583"/>
      </c>
      <c r="AB850" s="4">
        <f t="shared" si="584"/>
      </c>
      <c r="AC850" s="4">
        <f t="shared" si="585"/>
      </c>
      <c r="AD850" s="4">
        <f t="shared" si="586"/>
      </c>
      <c r="AE850" s="4">
        <f t="shared" si="587"/>
      </c>
      <c r="AF850" s="4">
        <f t="shared" si="588"/>
      </c>
      <c r="AG850" s="4">
        <f t="shared" si="589"/>
        <v/>
      </c>
      <c r="AH850" s="4">
        <f t="shared" si="590"/>
      </c>
      <c r="AI850" s="4">
        <f t="shared" si="591"/>
      </c>
      <c r="AJ850" s="4">
        <f t="shared" si="592"/>
      </c>
      <c r="AK850" s="4">
        <f t="shared" si="593"/>
      </c>
      <c r="AL850" s="4">
        <f t="shared" si="594"/>
      </c>
      <c r="AM850" s="4">
        <f t="shared" si="595"/>
      </c>
      <c r="AN850" s="4"/>
      <c r="AO850" s="4">
        <f t="shared" si="596"/>
      </c>
      <c r="AP850" s="4">
        <f t="shared" si="597"/>
      </c>
      <c r="AQ850" s="4">
        <f t="shared" si="598"/>
        <v/>
      </c>
      <c r="AR850" s="4">
        <f t="shared" si="599"/>
      </c>
      <c r="AS850" s="4">
        <f t="shared" si="600"/>
      </c>
      <c r="AT850" s="4">
        <f t="shared" si="601"/>
      </c>
    </row>
    <row r="851" spans="1:46" x14ac:dyDescent="0.3">
      <c r="A851" s="5">
        <f t="shared" si="573"/>
      </c>
      <c r="B851" s="4">
        <f t="shared" si="574"/>
      </c>
      <c r="C851" s="59"/>
      <c r="D851" s="59"/>
      <c r="E851" s="70"/>
      <c r="F851" s="164"/>
      <c r="G851" s="164"/>
      <c r="H851" s="164"/>
      <c r="I851" s="70"/>
      <c r="J851" s="70"/>
      <c r="K851" s="70"/>
      <c r="L851" s="70"/>
      <c r="M851" s="4">
        <f t="shared" si="575"/>
      </c>
      <c r="N851" s="59"/>
      <c r="O851" s="164"/>
      <c r="P851" s="59">
        <f t="shared" si="576"/>
      </c>
      <c r="Q851" s="165"/>
      <c r="R851" s="59"/>
      <c r="S851" s="164"/>
      <c r="T851" s="5">
        <f t="shared" si="577"/>
      </c>
      <c r="U851" s="4">
        <f t="shared" si="578"/>
      </c>
      <c r="V851" s="4">
        <f t="shared" si="579"/>
      </c>
      <c r="W851" s="4">
        <f t="shared" si="580"/>
      </c>
      <c r="X851" s="4">
        <f t="shared" si="581"/>
      </c>
      <c r="Y851" s="4" cm="1">
        <f t="array" ref="Y851">_xlfn.IFS(H851=1,2,H851=3,1)</f>
      </c>
      <c r="Z851" s="4">
        <f t="shared" si="582"/>
      </c>
      <c r="AA851" s="4">
        <f t="shared" si="583"/>
      </c>
      <c r="AB851" s="4">
        <f t="shared" si="584"/>
      </c>
      <c r="AC851" s="4">
        <f t="shared" si="585"/>
      </c>
      <c r="AD851" s="4">
        <f t="shared" si="586"/>
      </c>
      <c r="AE851" s="4">
        <f t="shared" si="587"/>
      </c>
      <c r="AF851" s="4">
        <f t="shared" si="588"/>
      </c>
      <c r="AG851" s="4">
        <f t="shared" si="589"/>
        <v/>
      </c>
      <c r="AH851" s="4">
        <f t="shared" si="590"/>
      </c>
      <c r="AI851" s="4">
        <f t="shared" si="591"/>
      </c>
      <c r="AJ851" s="4">
        <f t="shared" si="592"/>
      </c>
      <c r="AK851" s="4">
        <f t="shared" si="593"/>
      </c>
      <c r="AL851" s="4">
        <f t="shared" si="594"/>
      </c>
      <c r="AM851" s="4">
        <f t="shared" si="595"/>
      </c>
      <c r="AN851" s="4"/>
      <c r="AO851" s="4">
        <f t="shared" si="596"/>
      </c>
      <c r="AP851" s="4">
        <f t="shared" si="597"/>
      </c>
      <c r="AQ851" s="4">
        <f t="shared" si="598"/>
        <v/>
      </c>
      <c r="AR851" s="4">
        <f t="shared" si="599"/>
      </c>
      <c r="AS851" s="4">
        <f t="shared" si="600"/>
      </c>
      <c r="AT851" s="4">
        <f t="shared" si="601"/>
      </c>
    </row>
    <row r="852" spans="1:46" x14ac:dyDescent="0.3">
      <c r="A852" s="5">
        <f t="shared" si="573"/>
      </c>
      <c r="B852" s="4">
        <f t="shared" si="574"/>
      </c>
      <c r="C852" s="59"/>
      <c r="D852" s="59"/>
      <c r="E852" s="70"/>
      <c r="F852" s="164"/>
      <c r="G852" s="164"/>
      <c r="H852" s="164"/>
      <c r="I852" s="70"/>
      <c r="J852" s="70"/>
      <c r="K852" s="70"/>
      <c r="L852" s="70"/>
      <c r="M852" s="4">
        <f t="shared" si="575"/>
      </c>
      <c r="N852" s="59"/>
      <c r="O852" s="164"/>
      <c r="P852" s="59">
        <f t="shared" si="576"/>
      </c>
      <c r="Q852" s="165"/>
      <c r="R852" s="59"/>
      <c r="S852" s="164"/>
      <c r="T852" s="5">
        <f t="shared" si="577"/>
      </c>
      <c r="U852" s="4">
        <f t="shared" si="578"/>
      </c>
      <c r="V852" s="4">
        <f t="shared" si="579"/>
      </c>
      <c r="W852" s="4">
        <f t="shared" si="580"/>
      </c>
      <c r="X852" s="4">
        <f t="shared" si="581"/>
      </c>
      <c r="Y852" s="4" cm="1">
        <f t="array" ref="Y852">_xlfn.IFS(H852=1,2,H852=3,1)</f>
      </c>
      <c r="Z852" s="4">
        <f t="shared" si="582"/>
      </c>
      <c r="AA852" s="4">
        <f t="shared" si="583"/>
      </c>
      <c r="AB852" s="4">
        <f t="shared" si="584"/>
      </c>
      <c r="AC852" s="4">
        <f t="shared" si="585"/>
      </c>
      <c r="AD852" s="4">
        <f t="shared" si="586"/>
      </c>
      <c r="AE852" s="4">
        <f t="shared" si="587"/>
      </c>
      <c r="AF852" s="4">
        <f t="shared" si="588"/>
      </c>
      <c r="AG852" s="4">
        <f t="shared" si="589"/>
        <v/>
      </c>
      <c r="AH852" s="4">
        <f t="shared" si="590"/>
      </c>
      <c r="AI852" s="4">
        <f t="shared" si="591"/>
      </c>
      <c r="AJ852" s="4">
        <f t="shared" si="592"/>
      </c>
      <c r="AK852" s="4">
        <f t="shared" si="593"/>
      </c>
      <c r="AL852" s="4">
        <f t="shared" si="594"/>
      </c>
      <c r="AM852" s="4">
        <f t="shared" si="595"/>
      </c>
      <c r="AN852" s="4"/>
      <c r="AO852" s="4">
        <f t="shared" si="596"/>
      </c>
      <c r="AP852" s="4">
        <f t="shared" si="597"/>
      </c>
      <c r="AQ852" s="4">
        <f t="shared" si="598"/>
        <v/>
      </c>
      <c r="AR852" s="4">
        <f t="shared" si="599"/>
      </c>
      <c r="AS852" s="4">
        <f t="shared" si="600"/>
      </c>
      <c r="AT852" s="4">
        <f t="shared" si="601"/>
      </c>
    </row>
    <row r="853" spans="1:46" x14ac:dyDescent="0.3">
      <c r="A853" s="5">
        <f t="shared" si="573"/>
      </c>
      <c r="B853" s="4">
        <f t="shared" si="574"/>
      </c>
      <c r="C853" s="59"/>
      <c r="D853" s="59"/>
      <c r="E853" s="70"/>
      <c r="F853" s="164"/>
      <c r="G853" s="164"/>
      <c r="H853" s="164"/>
      <c r="I853" s="70"/>
      <c r="J853" s="70"/>
      <c r="K853" s="70"/>
      <c r="L853" s="70"/>
      <c r="M853" s="4">
        <f t="shared" si="575"/>
      </c>
      <c r="N853" s="59"/>
      <c r="O853" s="164"/>
      <c r="P853" s="59">
        <f t="shared" si="576"/>
      </c>
      <c r="Q853" s="165"/>
      <c r="R853" s="59"/>
      <c r="S853" s="164"/>
      <c r="T853" s="5">
        <f t="shared" si="577"/>
      </c>
      <c r="U853" s="4">
        <f t="shared" si="578"/>
      </c>
      <c r="V853" s="4">
        <f t="shared" si="579"/>
      </c>
      <c r="W853" s="4">
        <f t="shared" si="580"/>
      </c>
      <c r="X853" s="4">
        <f t="shared" si="581"/>
      </c>
      <c r="Y853" s="4" cm="1">
        <f t="array" ref="Y853">_xlfn.IFS(H853=1,2,H853=3,1)</f>
      </c>
      <c r="Z853" s="4">
        <f t="shared" si="582"/>
      </c>
      <c r="AA853" s="4">
        <f t="shared" si="583"/>
      </c>
      <c r="AB853" s="4">
        <f t="shared" si="584"/>
      </c>
      <c r="AC853" s="4">
        <f t="shared" si="585"/>
      </c>
      <c r="AD853" s="4">
        <f t="shared" si="586"/>
      </c>
      <c r="AE853" s="4">
        <f t="shared" si="587"/>
      </c>
      <c r="AF853" s="4">
        <f t="shared" si="588"/>
      </c>
      <c r="AG853" s="4">
        <f t="shared" si="589"/>
        <v/>
      </c>
      <c r="AH853" s="4">
        <f t="shared" si="590"/>
      </c>
      <c r="AI853" s="4">
        <f t="shared" si="591"/>
      </c>
      <c r="AJ853" s="4">
        <f t="shared" si="592"/>
      </c>
      <c r="AK853" s="4">
        <f t="shared" si="593"/>
      </c>
      <c r="AL853" s="4">
        <f t="shared" si="594"/>
      </c>
      <c r="AM853" s="4">
        <f t="shared" si="595"/>
      </c>
      <c r="AN853" s="4"/>
      <c r="AO853" s="4">
        <f t="shared" si="596"/>
      </c>
      <c r="AP853" s="4">
        <f t="shared" si="597"/>
      </c>
      <c r="AQ853" s="4">
        <f t="shared" si="598"/>
        <v/>
      </c>
      <c r="AR853" s="4">
        <f t="shared" si="599"/>
      </c>
      <c r="AS853" s="4">
        <f t="shared" si="600"/>
      </c>
      <c r="AT853" s="4">
        <f t="shared" si="601"/>
      </c>
    </row>
    <row r="854" spans="1:46" x14ac:dyDescent="0.3">
      <c r="A854" s="5">
        <f t="shared" si="573"/>
      </c>
      <c r="B854" s="4">
        <f t="shared" si="574"/>
      </c>
      <c r="C854" s="59"/>
      <c r="D854" s="59"/>
      <c r="E854" s="70"/>
      <c r="F854" s="164"/>
      <c r="G854" s="164"/>
      <c r="H854" s="164"/>
      <c r="I854" s="70"/>
      <c r="J854" s="70"/>
      <c r="K854" s="70"/>
      <c r="L854" s="70"/>
      <c r="M854" s="4">
        <f t="shared" si="575"/>
      </c>
      <c r="N854" s="59"/>
      <c r="O854" s="164"/>
      <c r="P854" s="59">
        <f t="shared" si="576"/>
      </c>
      <c r="Q854" s="165"/>
      <c r="R854" s="59"/>
      <c r="S854" s="164"/>
      <c r="T854" s="5">
        <f t="shared" si="577"/>
      </c>
      <c r="U854" s="4">
        <f t="shared" si="578"/>
      </c>
      <c r="V854" s="4">
        <f t="shared" si="579"/>
      </c>
      <c r="W854" s="4">
        <f t="shared" si="580"/>
      </c>
      <c r="X854" s="4">
        <f t="shared" si="581"/>
      </c>
      <c r="Y854" s="4" cm="1">
        <f t="array" ref="Y854">_xlfn.IFS(H854=1,2,H854=3,1)</f>
      </c>
      <c r="Z854" s="4">
        <f t="shared" si="582"/>
      </c>
      <c r="AA854" s="4">
        <f t="shared" si="583"/>
      </c>
      <c r="AB854" s="4">
        <f t="shared" si="584"/>
      </c>
      <c r="AC854" s="4">
        <f t="shared" si="585"/>
      </c>
      <c r="AD854" s="4">
        <f t="shared" si="586"/>
      </c>
      <c r="AE854" s="4">
        <f t="shared" si="587"/>
      </c>
      <c r="AF854" s="4">
        <f t="shared" si="588"/>
      </c>
      <c r="AG854" s="4">
        <f t="shared" si="589"/>
        <v/>
      </c>
      <c r="AH854" s="4">
        <f t="shared" si="590"/>
      </c>
      <c r="AI854" s="4">
        <f t="shared" si="591"/>
      </c>
      <c r="AJ854" s="4">
        <f t="shared" si="592"/>
      </c>
      <c r="AK854" s="4">
        <f t="shared" si="593"/>
      </c>
      <c r="AL854" s="4">
        <f t="shared" si="594"/>
      </c>
      <c r="AM854" s="4">
        <f t="shared" si="595"/>
      </c>
      <c r="AN854" s="4"/>
      <c r="AO854" s="4">
        <f t="shared" si="596"/>
      </c>
      <c r="AP854" s="4">
        <f t="shared" si="597"/>
      </c>
      <c r="AQ854" s="4">
        <f t="shared" si="598"/>
        <v/>
      </c>
      <c r="AR854" s="4">
        <f t="shared" si="599"/>
      </c>
      <c r="AS854" s="4">
        <f t="shared" si="600"/>
      </c>
      <c r="AT854" s="4">
        <f t="shared" si="601"/>
      </c>
    </row>
    <row r="855" spans="1:46" x14ac:dyDescent="0.3">
      <c r="A855" s="5">
        <f t="shared" si="573"/>
      </c>
      <c r="B855" s="4">
        <f t="shared" si="574"/>
      </c>
      <c r="C855" s="59"/>
      <c r="D855" s="59"/>
      <c r="E855" s="70"/>
      <c r="F855" s="164"/>
      <c r="G855" s="164"/>
      <c r="H855" s="164"/>
      <c r="I855" s="70"/>
      <c r="J855" s="70"/>
      <c r="K855" s="70"/>
      <c r="L855" s="70"/>
      <c r="M855" s="4">
        <f t="shared" si="575"/>
      </c>
      <c r="N855" s="59"/>
      <c r="O855" s="164"/>
      <c r="P855" s="59">
        <f t="shared" si="576"/>
      </c>
      <c r="Q855" s="165"/>
      <c r="R855" s="59"/>
      <c r="S855" s="164"/>
      <c r="T855" s="5">
        <f t="shared" si="577"/>
      </c>
      <c r="U855" s="4">
        <f t="shared" si="578"/>
      </c>
      <c r="V855" s="4">
        <f t="shared" si="579"/>
      </c>
      <c r="W855" s="4">
        <f t="shared" si="580"/>
      </c>
      <c r="X855" s="4">
        <f t="shared" si="581"/>
      </c>
      <c r="Y855" s="4" cm="1">
        <f t="array" ref="Y855">_xlfn.IFS(H855=1,2,H855=3,1)</f>
      </c>
      <c r="Z855" s="4">
        <f t="shared" si="582"/>
      </c>
      <c r="AA855" s="4">
        <f t="shared" si="583"/>
      </c>
      <c r="AB855" s="4">
        <f t="shared" si="584"/>
      </c>
      <c r="AC855" s="4">
        <f t="shared" si="585"/>
      </c>
      <c r="AD855" s="4">
        <f t="shared" si="586"/>
      </c>
      <c r="AE855" s="4">
        <f t="shared" si="587"/>
      </c>
      <c r="AF855" s="4">
        <f t="shared" si="588"/>
      </c>
      <c r="AG855" s="4">
        <f t="shared" si="589"/>
        <v/>
      </c>
      <c r="AH855" s="4">
        <f t="shared" si="590"/>
      </c>
      <c r="AI855" s="4">
        <f t="shared" si="591"/>
      </c>
      <c r="AJ855" s="4">
        <f t="shared" si="592"/>
      </c>
      <c r="AK855" s="4">
        <f t="shared" si="593"/>
      </c>
      <c r="AL855" s="4">
        <f t="shared" si="594"/>
      </c>
      <c r="AM855" s="4">
        <f t="shared" si="595"/>
      </c>
      <c r="AN855" s="4"/>
      <c r="AO855" s="4">
        <f t="shared" si="596"/>
      </c>
      <c r="AP855" s="4">
        <f t="shared" si="597"/>
      </c>
      <c r="AQ855" s="4">
        <f t="shared" si="598"/>
        <v/>
      </c>
      <c r="AR855" s="4">
        <f t="shared" si="599"/>
      </c>
      <c r="AS855" s="4">
        <f t="shared" si="600"/>
      </c>
      <c r="AT855" s="4">
        <f t="shared" si="601"/>
      </c>
    </row>
    <row r="856" spans="1:46" x14ac:dyDescent="0.3">
      <c r="A856" s="5">
        <f t="shared" si="573"/>
      </c>
      <c r="B856" s="4">
        <f t="shared" si="574"/>
      </c>
      <c r="C856" s="59"/>
      <c r="D856" s="59"/>
      <c r="E856" s="70"/>
      <c r="F856" s="164"/>
      <c r="G856" s="164"/>
      <c r="H856" s="164"/>
      <c r="I856" s="70"/>
      <c r="J856" s="70"/>
      <c r="K856" s="70"/>
      <c r="L856" s="70"/>
      <c r="M856" s="4">
        <f t="shared" si="575"/>
      </c>
      <c r="N856" s="59"/>
      <c r="O856" s="164"/>
      <c r="P856" s="59">
        <f t="shared" si="576"/>
      </c>
      <c r="Q856" s="165"/>
      <c r="R856" s="59"/>
      <c r="S856" s="164"/>
      <c r="T856" s="5">
        <f t="shared" si="577"/>
      </c>
      <c r="U856" s="4">
        <f t="shared" si="578"/>
      </c>
      <c r="V856" s="4">
        <f t="shared" si="579"/>
      </c>
      <c r="W856" s="4">
        <f t="shared" si="580"/>
      </c>
      <c r="X856" s="4">
        <f t="shared" si="581"/>
      </c>
      <c r="Y856" s="4" cm="1">
        <f t="array" ref="Y856">_xlfn.IFS(H856=1,2,H856=3,1)</f>
      </c>
      <c r="Z856" s="4">
        <f t="shared" si="582"/>
      </c>
      <c r="AA856" s="4">
        <f t="shared" si="583"/>
      </c>
      <c r="AB856" s="4">
        <f t="shared" si="584"/>
      </c>
      <c r="AC856" s="4">
        <f t="shared" si="585"/>
      </c>
      <c r="AD856" s="4">
        <f t="shared" si="586"/>
      </c>
      <c r="AE856" s="4">
        <f t="shared" si="587"/>
      </c>
      <c r="AF856" s="4">
        <f t="shared" si="588"/>
      </c>
      <c r="AG856" s="4">
        <f t="shared" si="589"/>
        <v/>
      </c>
      <c r="AH856" s="4">
        <f t="shared" si="590"/>
      </c>
      <c r="AI856" s="4">
        <f t="shared" si="591"/>
      </c>
      <c r="AJ856" s="4">
        <f t="shared" si="592"/>
      </c>
      <c r="AK856" s="4">
        <f t="shared" si="593"/>
      </c>
      <c r="AL856" s="4">
        <f t="shared" si="594"/>
      </c>
      <c r="AM856" s="4">
        <f t="shared" si="595"/>
      </c>
      <c r="AN856" s="4"/>
      <c r="AO856" s="4">
        <f t="shared" si="596"/>
      </c>
      <c r="AP856" s="4">
        <f t="shared" si="597"/>
      </c>
      <c r="AQ856" s="4">
        <f t="shared" si="598"/>
        <v/>
      </c>
      <c r="AR856" s="4">
        <f t="shared" si="599"/>
      </c>
      <c r="AS856" s="4">
        <f t="shared" si="600"/>
      </c>
      <c r="AT856" s="4">
        <f t="shared" si="601"/>
      </c>
    </row>
    <row r="857" spans="1:46" x14ac:dyDescent="0.3">
      <c r="A857" s="5">
        <f t="shared" si="573"/>
      </c>
      <c r="B857" s="4">
        <f t="shared" si="574"/>
      </c>
      <c r="C857" s="59"/>
      <c r="D857" s="59"/>
      <c r="E857" s="70"/>
      <c r="F857" s="164"/>
      <c r="G857" s="164"/>
      <c r="H857" s="164"/>
      <c r="I857" s="70"/>
      <c r="J857" s="70"/>
      <c r="K857" s="70"/>
      <c r="L857" s="70"/>
      <c r="M857" s="4">
        <f t="shared" si="575"/>
      </c>
      <c r="N857" s="59"/>
      <c r="O857" s="164"/>
      <c r="P857" s="59">
        <f t="shared" si="576"/>
      </c>
      <c r="Q857" s="165"/>
      <c r="R857" s="59"/>
      <c r="S857" s="164"/>
      <c r="T857" s="5">
        <f t="shared" si="577"/>
      </c>
      <c r="U857" s="4">
        <f t="shared" si="578"/>
      </c>
      <c r="V857" s="4">
        <f t="shared" si="579"/>
      </c>
      <c r="W857" s="4">
        <f t="shared" si="580"/>
      </c>
      <c r="X857" s="4">
        <f t="shared" si="581"/>
      </c>
      <c r="Y857" s="4" cm="1">
        <f t="array" ref="Y857">_xlfn.IFS(H857=1,2,H857=3,1)</f>
      </c>
      <c r="Z857" s="4">
        <f t="shared" si="582"/>
      </c>
      <c r="AA857" s="4">
        <f t="shared" si="583"/>
      </c>
      <c r="AB857" s="4">
        <f t="shared" si="584"/>
      </c>
      <c r="AC857" s="4">
        <f t="shared" si="585"/>
      </c>
      <c r="AD857" s="4">
        <f t="shared" si="586"/>
      </c>
      <c r="AE857" s="4">
        <f t="shared" si="587"/>
      </c>
      <c r="AF857" s="4">
        <f t="shared" si="588"/>
      </c>
      <c r="AG857" s="4">
        <f t="shared" si="589"/>
        <v/>
      </c>
      <c r="AH857" s="4">
        <f t="shared" si="590"/>
      </c>
      <c r="AI857" s="4">
        <f t="shared" si="591"/>
      </c>
      <c r="AJ857" s="4">
        <f t="shared" si="592"/>
      </c>
      <c r="AK857" s="4">
        <f t="shared" si="593"/>
      </c>
      <c r="AL857" s="4">
        <f t="shared" si="594"/>
      </c>
      <c r="AM857" s="4">
        <f t="shared" si="595"/>
      </c>
      <c r="AN857" s="4"/>
      <c r="AO857" s="4">
        <f t="shared" si="596"/>
      </c>
      <c r="AP857" s="4">
        <f t="shared" si="597"/>
      </c>
      <c r="AQ857" s="4">
        <f t="shared" si="598"/>
        <v/>
      </c>
      <c r="AR857" s="4">
        <f t="shared" si="599"/>
      </c>
      <c r="AS857" s="4">
        <f t="shared" si="600"/>
      </c>
      <c r="AT857" s="4">
        <f t="shared" si="601"/>
      </c>
    </row>
    <row r="858" spans="1:46" x14ac:dyDescent="0.3">
      <c r="A858" s="5">
        <f t="shared" si="573"/>
      </c>
      <c r="B858" s="4">
        <f t="shared" si="574"/>
      </c>
      <c r="C858" s="59"/>
      <c r="D858" s="59"/>
      <c r="E858" s="70"/>
      <c r="F858" s="164"/>
      <c r="G858" s="164"/>
      <c r="H858" s="164"/>
      <c r="I858" s="70"/>
      <c r="J858" s="70"/>
      <c r="K858" s="70"/>
      <c r="L858" s="70"/>
      <c r="M858" s="4">
        <f t="shared" si="575"/>
      </c>
      <c r="N858" s="59"/>
      <c r="O858" s="164"/>
      <c r="P858" s="59">
        <f t="shared" si="576"/>
      </c>
      <c r="Q858" s="165"/>
      <c r="R858" s="59"/>
      <c r="S858" s="164"/>
      <c r="T858" s="5">
        <f t="shared" si="577"/>
      </c>
      <c r="U858" s="4">
        <f t="shared" si="578"/>
      </c>
      <c r="V858" s="4">
        <f t="shared" si="579"/>
      </c>
      <c r="W858" s="4">
        <f t="shared" si="580"/>
      </c>
      <c r="X858" s="4">
        <f t="shared" si="581"/>
      </c>
      <c r="Y858" s="4" cm="1">
        <f t="array" ref="Y858">_xlfn.IFS(H858=1,2,H858=3,1)</f>
      </c>
      <c r="Z858" s="4">
        <f t="shared" si="582"/>
      </c>
      <c r="AA858" s="4">
        <f t="shared" si="583"/>
      </c>
      <c r="AB858" s="4">
        <f t="shared" si="584"/>
      </c>
      <c r="AC858" s="4">
        <f t="shared" si="585"/>
      </c>
      <c r="AD858" s="4">
        <f t="shared" si="586"/>
      </c>
      <c r="AE858" s="4">
        <f t="shared" si="587"/>
      </c>
      <c r="AF858" s="4">
        <f t="shared" si="588"/>
      </c>
      <c r="AG858" s="4">
        <f t="shared" si="589"/>
        <v/>
      </c>
      <c r="AH858" s="4">
        <f t="shared" si="590"/>
      </c>
      <c r="AI858" s="4">
        <f t="shared" si="591"/>
      </c>
      <c r="AJ858" s="4">
        <f t="shared" si="592"/>
      </c>
      <c r="AK858" s="4">
        <f t="shared" si="593"/>
      </c>
      <c r="AL858" s="4">
        <f t="shared" si="594"/>
      </c>
      <c r="AM858" s="4">
        <f t="shared" si="595"/>
      </c>
      <c r="AN858" s="4"/>
      <c r="AO858" s="4">
        <f t="shared" si="596"/>
      </c>
      <c r="AP858" s="4">
        <f t="shared" si="597"/>
      </c>
      <c r="AQ858" s="4">
        <f t="shared" si="598"/>
        <v/>
      </c>
      <c r="AR858" s="4">
        <f t="shared" si="599"/>
      </c>
      <c r="AS858" s="4">
        <f t="shared" si="600"/>
      </c>
      <c r="AT858" s="4">
        <f t="shared" si="601"/>
      </c>
    </row>
    <row r="859" spans="1:46" x14ac:dyDescent="0.3">
      <c r="A859" s="5">
        <f t="shared" si="573"/>
      </c>
      <c r="B859" s="4">
        <f t="shared" si="574"/>
      </c>
      <c r="C859" s="59"/>
      <c r="D859" s="59"/>
      <c r="E859" s="70"/>
      <c r="F859" s="164"/>
      <c r="G859" s="164"/>
      <c r="H859" s="164"/>
      <c r="I859" s="70"/>
      <c r="J859" s="70"/>
      <c r="K859" s="70"/>
      <c r="L859" s="70"/>
      <c r="M859" s="4">
        <f t="shared" si="575"/>
      </c>
      <c r="N859" s="59"/>
      <c r="O859" s="164"/>
      <c r="P859" s="59">
        <f t="shared" si="576"/>
      </c>
      <c r="Q859" s="165"/>
      <c r="R859" s="59"/>
      <c r="S859" s="164"/>
      <c r="T859" s="5">
        <f t="shared" si="577"/>
      </c>
      <c r="U859" s="4">
        <f t="shared" si="578"/>
      </c>
      <c r="V859" s="4">
        <f t="shared" si="579"/>
      </c>
      <c r="W859" s="4">
        <f t="shared" si="580"/>
      </c>
      <c r="X859" s="4">
        <f t="shared" si="581"/>
      </c>
      <c r="Y859" s="4" cm="1">
        <f t="array" ref="Y859">_xlfn.IFS(H859=1,2,H859=3,1)</f>
      </c>
      <c r="Z859" s="4">
        <f t="shared" si="582"/>
      </c>
      <c r="AA859" s="4">
        <f t="shared" si="583"/>
      </c>
      <c r="AB859" s="4">
        <f t="shared" si="584"/>
      </c>
      <c r="AC859" s="4">
        <f t="shared" si="585"/>
      </c>
      <c r="AD859" s="4">
        <f t="shared" si="586"/>
      </c>
      <c r="AE859" s="4">
        <f t="shared" si="587"/>
      </c>
      <c r="AF859" s="4">
        <f t="shared" si="588"/>
      </c>
      <c r="AG859" s="4">
        <f t="shared" si="589"/>
        <v/>
      </c>
      <c r="AH859" s="4">
        <f t="shared" si="590"/>
      </c>
      <c r="AI859" s="4">
        <f t="shared" si="591"/>
      </c>
      <c r="AJ859" s="4">
        <f t="shared" si="592"/>
      </c>
      <c r="AK859" s="4">
        <f t="shared" si="593"/>
      </c>
      <c r="AL859" s="4">
        <f t="shared" si="594"/>
      </c>
      <c r="AM859" s="4">
        <f t="shared" si="595"/>
      </c>
      <c r="AN859" s="4"/>
      <c r="AO859" s="4">
        <f t="shared" si="596"/>
      </c>
      <c r="AP859" s="4">
        <f t="shared" si="597"/>
      </c>
      <c r="AQ859" s="4">
        <f t="shared" si="598"/>
        <v/>
      </c>
      <c r="AR859" s="4">
        <f t="shared" si="599"/>
      </c>
      <c r="AS859" s="4">
        <f t="shared" si="600"/>
      </c>
      <c r="AT859" s="4">
        <f t="shared" si="601"/>
      </c>
    </row>
    <row r="860" spans="1:46" x14ac:dyDescent="0.3">
      <c r="A860" s="5">
        <f t="shared" si="573"/>
      </c>
      <c r="B860" s="4">
        <f t="shared" si="574"/>
      </c>
      <c r="C860" s="59"/>
      <c r="D860" s="59"/>
      <c r="E860" s="70"/>
      <c r="F860" s="164"/>
      <c r="G860" s="164"/>
      <c r="H860" s="164"/>
      <c r="I860" s="70"/>
      <c r="J860" s="70"/>
      <c r="K860" s="70"/>
      <c r="L860" s="70"/>
      <c r="M860" s="4">
        <f t="shared" si="575"/>
      </c>
      <c r="N860" s="59"/>
      <c r="O860" s="164"/>
      <c r="P860" s="59">
        <f t="shared" si="576"/>
      </c>
      <c r="Q860" s="165"/>
      <c r="R860" s="59"/>
      <c r="S860" s="164"/>
      <c r="T860" s="5">
        <f t="shared" si="577"/>
      </c>
      <c r="U860" s="4">
        <f t="shared" si="578"/>
      </c>
      <c r="V860" s="4">
        <f t="shared" si="579"/>
      </c>
      <c r="W860" s="4">
        <f t="shared" si="580"/>
      </c>
      <c r="X860" s="4">
        <f t="shared" si="581"/>
      </c>
      <c r="Y860" s="4" cm="1">
        <f t="array" ref="Y860">_xlfn.IFS(H860=1,2,H860=3,1)</f>
      </c>
      <c r="Z860" s="4">
        <f t="shared" si="582"/>
      </c>
      <c r="AA860" s="4">
        <f t="shared" si="583"/>
      </c>
      <c r="AB860" s="4">
        <f t="shared" si="584"/>
      </c>
      <c r="AC860" s="4">
        <f t="shared" si="585"/>
      </c>
      <c r="AD860" s="4">
        <f t="shared" si="586"/>
      </c>
      <c r="AE860" s="4">
        <f t="shared" si="587"/>
      </c>
      <c r="AF860" s="4">
        <f t="shared" si="588"/>
      </c>
      <c r="AG860" s="4">
        <f t="shared" si="589"/>
        <v/>
      </c>
      <c r="AH860" s="4">
        <f t="shared" si="590"/>
      </c>
      <c r="AI860" s="4">
        <f t="shared" si="591"/>
      </c>
      <c r="AJ860" s="4">
        <f t="shared" si="592"/>
      </c>
      <c r="AK860" s="4">
        <f t="shared" si="593"/>
      </c>
      <c r="AL860" s="4">
        <f t="shared" si="594"/>
      </c>
      <c r="AM860" s="4">
        <f t="shared" si="595"/>
      </c>
      <c r="AN860" s="4"/>
      <c r="AO860" s="4">
        <f t="shared" si="596"/>
      </c>
      <c r="AP860" s="4">
        <f t="shared" si="597"/>
      </c>
      <c r="AQ860" s="4">
        <f t="shared" si="598"/>
        <v/>
      </c>
      <c r="AR860" s="4">
        <f t="shared" si="599"/>
      </c>
      <c r="AS860" s="4">
        <f t="shared" si="600"/>
      </c>
      <c r="AT860" s="4">
        <f t="shared" si="601"/>
      </c>
    </row>
    <row r="861" spans="1:46" x14ac:dyDescent="0.3">
      <c r="A861" s="5">
        <f t="shared" si="573"/>
      </c>
      <c r="B861" s="4">
        <f t="shared" si="574"/>
      </c>
      <c r="C861" s="59"/>
      <c r="D861" s="59"/>
      <c r="E861" s="70"/>
      <c r="F861" s="164"/>
      <c r="G861" s="164"/>
      <c r="H861" s="164"/>
      <c r="I861" s="70"/>
      <c r="J861" s="70"/>
      <c r="K861" s="70"/>
      <c r="L861" s="70"/>
      <c r="M861" s="4">
        <f t="shared" si="575"/>
      </c>
      <c r="N861" s="59"/>
      <c r="O861" s="164"/>
      <c r="P861" s="59">
        <f t="shared" si="576"/>
      </c>
      <c r="Q861" s="165"/>
      <c r="R861" s="59"/>
      <c r="S861" s="164"/>
      <c r="T861" s="5">
        <f t="shared" si="577"/>
      </c>
      <c r="U861" s="4">
        <f t="shared" si="578"/>
      </c>
      <c r="V861" s="4">
        <f t="shared" si="579"/>
      </c>
      <c r="W861" s="4">
        <f t="shared" si="580"/>
      </c>
      <c r="X861" s="4">
        <f t="shared" si="581"/>
      </c>
      <c r="Y861" s="4" cm="1">
        <f t="array" ref="Y861">_xlfn.IFS(H861=1,2,H861=3,1)</f>
      </c>
      <c r="Z861" s="4">
        <f t="shared" si="582"/>
      </c>
      <c r="AA861" s="4">
        <f t="shared" si="583"/>
      </c>
      <c r="AB861" s="4">
        <f t="shared" si="584"/>
      </c>
      <c r="AC861" s="4">
        <f t="shared" si="585"/>
      </c>
      <c r="AD861" s="4">
        <f t="shared" si="586"/>
      </c>
      <c r="AE861" s="4">
        <f t="shared" si="587"/>
      </c>
      <c r="AF861" s="4">
        <f t="shared" si="588"/>
      </c>
      <c r="AG861" s="4">
        <f t="shared" si="589"/>
        <v/>
      </c>
      <c r="AH861" s="4">
        <f t="shared" si="590"/>
      </c>
      <c r="AI861" s="4">
        <f t="shared" si="591"/>
      </c>
      <c r="AJ861" s="4">
        <f t="shared" si="592"/>
      </c>
      <c r="AK861" s="4">
        <f t="shared" si="593"/>
      </c>
      <c r="AL861" s="4">
        <f t="shared" si="594"/>
      </c>
      <c r="AM861" s="4">
        <f t="shared" si="595"/>
      </c>
      <c r="AN861" s="4"/>
      <c r="AO861" s="4">
        <f t="shared" si="596"/>
      </c>
      <c r="AP861" s="4">
        <f t="shared" si="597"/>
      </c>
      <c r="AQ861" s="4">
        <f t="shared" si="598"/>
        <v/>
      </c>
      <c r="AR861" s="4">
        <f t="shared" si="599"/>
      </c>
      <c r="AS861" s="4">
        <f t="shared" si="600"/>
      </c>
      <c r="AT861" s="4">
        <f t="shared" si="601"/>
      </c>
    </row>
    <row r="862" spans="1:46" x14ac:dyDescent="0.3">
      <c r="A862" s="5">
        <f t="shared" si="573"/>
      </c>
      <c r="B862" s="4">
        <f t="shared" si="574"/>
      </c>
      <c r="C862" s="59"/>
      <c r="D862" s="59"/>
      <c r="E862" s="70"/>
      <c r="F862" s="164"/>
      <c r="G862" s="164"/>
      <c r="H862" s="164"/>
      <c r="I862" s="70"/>
      <c r="J862" s="70"/>
      <c r="K862" s="70"/>
      <c r="L862" s="70"/>
      <c r="M862" s="4">
        <f t="shared" si="575"/>
      </c>
      <c r="N862" s="59"/>
      <c r="O862" s="164"/>
      <c r="P862" s="59">
        <f t="shared" si="576"/>
      </c>
      <c r="Q862" s="165"/>
      <c r="R862" s="59"/>
      <c r="S862" s="164"/>
      <c r="T862" s="5">
        <f t="shared" si="577"/>
      </c>
      <c r="U862" s="4">
        <f t="shared" si="578"/>
      </c>
      <c r="V862" s="4">
        <f t="shared" si="579"/>
      </c>
      <c r="W862" s="4">
        <f t="shared" si="580"/>
      </c>
      <c r="X862" s="4">
        <f t="shared" si="581"/>
      </c>
      <c r="Y862" s="4" cm="1">
        <f t="array" ref="Y862">_xlfn.IFS(H862=1,2,H862=3,1)</f>
      </c>
      <c r="Z862" s="4">
        <f t="shared" si="582"/>
      </c>
      <c r="AA862" s="4">
        <f t="shared" si="583"/>
      </c>
      <c r="AB862" s="4">
        <f t="shared" si="584"/>
      </c>
      <c r="AC862" s="4">
        <f t="shared" si="585"/>
      </c>
      <c r="AD862" s="4">
        <f t="shared" si="586"/>
      </c>
      <c r="AE862" s="4">
        <f t="shared" si="587"/>
      </c>
      <c r="AF862" s="4">
        <f t="shared" si="588"/>
      </c>
      <c r="AG862" s="4">
        <f t="shared" si="589"/>
        <v/>
      </c>
      <c r="AH862" s="4">
        <f t="shared" si="590"/>
      </c>
      <c r="AI862" s="4">
        <f t="shared" si="591"/>
      </c>
      <c r="AJ862" s="4">
        <f t="shared" si="592"/>
      </c>
      <c r="AK862" s="4">
        <f t="shared" si="593"/>
      </c>
      <c r="AL862" s="4">
        <f t="shared" si="594"/>
      </c>
      <c r="AM862" s="4">
        <f t="shared" si="595"/>
      </c>
      <c r="AN862" s="4"/>
      <c r="AO862" s="4">
        <f t="shared" si="596"/>
      </c>
      <c r="AP862" s="4">
        <f t="shared" si="597"/>
      </c>
      <c r="AQ862" s="4">
        <f t="shared" si="598"/>
        <v/>
      </c>
      <c r="AR862" s="4">
        <f t="shared" si="599"/>
      </c>
      <c r="AS862" s="4">
        <f t="shared" si="600"/>
      </c>
      <c r="AT862" s="4">
        <f t="shared" si="601"/>
      </c>
    </row>
    <row r="863" spans="1:46" x14ac:dyDescent="0.3">
      <c r="A863" s="5">
        <f t="shared" si="573"/>
      </c>
      <c r="B863" s="4">
        <f t="shared" si="574"/>
      </c>
      <c r="C863" s="59"/>
      <c r="D863" s="59"/>
      <c r="E863" s="70"/>
      <c r="F863" s="164"/>
      <c r="G863" s="164"/>
      <c r="H863" s="164"/>
      <c r="I863" s="70"/>
      <c r="J863" s="70"/>
      <c r="K863" s="70"/>
      <c r="L863" s="70"/>
      <c r="M863" s="4">
        <f t="shared" si="575"/>
      </c>
      <c r="N863" s="59"/>
      <c r="O863" s="164"/>
      <c r="P863" s="59">
        <f t="shared" si="576"/>
      </c>
      <c r="Q863" s="165"/>
      <c r="R863" s="59"/>
      <c r="S863" s="164"/>
      <c r="T863" s="5">
        <f t="shared" si="577"/>
      </c>
      <c r="U863" s="4">
        <f t="shared" si="578"/>
      </c>
      <c r="V863" s="4">
        <f t="shared" si="579"/>
      </c>
      <c r="W863" s="4">
        <f t="shared" si="580"/>
      </c>
      <c r="X863" s="4">
        <f t="shared" si="581"/>
      </c>
      <c r="Y863" s="4" cm="1">
        <f t="array" ref="Y863">_xlfn.IFS(H863=1,2,H863=3,1)</f>
      </c>
      <c r="Z863" s="4">
        <f t="shared" si="582"/>
      </c>
      <c r="AA863" s="4">
        <f t="shared" si="583"/>
      </c>
      <c r="AB863" s="4">
        <f t="shared" si="584"/>
      </c>
      <c r="AC863" s="4">
        <f t="shared" si="585"/>
      </c>
      <c r="AD863" s="4">
        <f t="shared" si="586"/>
      </c>
      <c r="AE863" s="4">
        <f t="shared" si="587"/>
      </c>
      <c r="AF863" s="4">
        <f t="shared" si="588"/>
      </c>
      <c r="AG863" s="4">
        <f t="shared" si="589"/>
        <v/>
      </c>
      <c r="AH863" s="4">
        <f t="shared" si="590"/>
      </c>
      <c r="AI863" s="4">
        <f t="shared" si="591"/>
      </c>
      <c r="AJ863" s="4">
        <f t="shared" si="592"/>
      </c>
      <c r="AK863" s="4">
        <f t="shared" si="593"/>
      </c>
      <c r="AL863" s="4">
        <f t="shared" si="594"/>
      </c>
      <c r="AM863" s="4">
        <f t="shared" si="595"/>
      </c>
      <c r="AN863" s="4"/>
      <c r="AO863" s="4">
        <f t="shared" si="596"/>
      </c>
      <c r="AP863" s="4">
        <f t="shared" si="597"/>
      </c>
      <c r="AQ863" s="4">
        <f t="shared" si="598"/>
        <v/>
      </c>
      <c r="AR863" s="4">
        <f t="shared" si="599"/>
      </c>
      <c r="AS863" s="4">
        <f t="shared" si="600"/>
      </c>
      <c r="AT863" s="4">
        <f t="shared" si="601"/>
      </c>
    </row>
    <row r="864" spans="1:46" x14ac:dyDescent="0.3">
      <c r="A864" s="5">
        <f t="shared" si="573"/>
      </c>
      <c r="B864" s="4">
        <f t="shared" si="574"/>
      </c>
      <c r="C864" s="59"/>
      <c r="D864" s="59"/>
      <c r="E864" s="70"/>
      <c r="F864" s="164"/>
      <c r="G864" s="164"/>
      <c r="H864" s="164"/>
      <c r="I864" s="70"/>
      <c r="J864" s="70"/>
      <c r="K864" s="70"/>
      <c r="L864" s="70"/>
      <c r="M864" s="4">
        <f t="shared" si="575"/>
      </c>
      <c r="N864" s="59"/>
      <c r="O864" s="164"/>
      <c r="P864" s="59">
        <f t="shared" si="576"/>
      </c>
      <c r="Q864" s="165"/>
      <c r="R864" s="59"/>
      <c r="S864" s="164"/>
      <c r="T864" s="5">
        <f t="shared" si="577"/>
      </c>
      <c r="U864" s="4">
        <f t="shared" si="578"/>
      </c>
      <c r="V864" s="4">
        <f t="shared" si="579"/>
      </c>
      <c r="W864" s="4">
        <f t="shared" si="580"/>
      </c>
      <c r="X864" s="4">
        <f t="shared" si="581"/>
      </c>
      <c r="Y864" s="4" cm="1">
        <f t="array" ref="Y864">_xlfn.IFS(H864=1,2,H864=3,1)</f>
      </c>
      <c r="Z864" s="4">
        <f t="shared" si="582"/>
      </c>
      <c r="AA864" s="4">
        <f t="shared" si="583"/>
      </c>
      <c r="AB864" s="4">
        <f t="shared" si="584"/>
      </c>
      <c r="AC864" s="4">
        <f t="shared" si="585"/>
      </c>
      <c r="AD864" s="4">
        <f t="shared" si="586"/>
      </c>
      <c r="AE864" s="4">
        <f t="shared" si="587"/>
      </c>
      <c r="AF864" s="4">
        <f t="shared" si="588"/>
      </c>
      <c r="AG864" s="4">
        <f t="shared" si="589"/>
        <v/>
      </c>
      <c r="AH864" s="4">
        <f t="shared" si="590"/>
      </c>
      <c r="AI864" s="4">
        <f t="shared" si="591"/>
      </c>
      <c r="AJ864" s="4">
        <f t="shared" si="592"/>
      </c>
      <c r="AK864" s="4">
        <f t="shared" si="593"/>
      </c>
      <c r="AL864" s="4">
        <f t="shared" si="594"/>
      </c>
      <c r="AM864" s="4">
        <f t="shared" si="595"/>
      </c>
      <c r="AN864" s="4"/>
      <c r="AO864" s="4">
        <f t="shared" si="596"/>
      </c>
      <c r="AP864" s="4">
        <f t="shared" si="597"/>
      </c>
      <c r="AQ864" s="4">
        <f t="shared" si="598"/>
        <v/>
      </c>
      <c r="AR864" s="4">
        <f t="shared" si="599"/>
      </c>
      <c r="AS864" s="4">
        <f t="shared" si="600"/>
      </c>
      <c r="AT864" s="4">
        <f t="shared" si="601"/>
      </c>
    </row>
    <row r="865" spans="1:46" x14ac:dyDescent="0.3">
      <c r="A865" s="5">
        <f t="shared" si="573"/>
      </c>
      <c r="B865" s="4">
        <f t="shared" si="574"/>
      </c>
      <c r="C865" s="59"/>
      <c r="D865" s="59"/>
      <c r="E865" s="70"/>
      <c r="F865" s="164"/>
      <c r="G865" s="164"/>
      <c r="H865" s="164"/>
      <c r="I865" s="70"/>
      <c r="J865" s="70"/>
      <c r="K865" s="70"/>
      <c r="L865" s="70"/>
      <c r="M865" s="4">
        <f t="shared" si="575"/>
      </c>
      <c r="N865" s="59"/>
      <c r="O865" s="164"/>
      <c r="P865" s="59">
        <f t="shared" si="576"/>
      </c>
      <c r="Q865" s="165"/>
      <c r="R865" s="59"/>
      <c r="S865" s="164"/>
      <c r="T865" s="5">
        <f t="shared" si="577"/>
      </c>
      <c r="U865" s="4">
        <f t="shared" si="578"/>
      </c>
      <c r="V865" s="4">
        <f t="shared" si="579"/>
      </c>
      <c r="W865" s="4">
        <f t="shared" si="580"/>
      </c>
      <c r="X865" s="4">
        <f t="shared" si="581"/>
      </c>
      <c r="Y865" s="4" cm="1">
        <f t="array" ref="Y865">_xlfn.IFS(H865=1,2,H865=3,1)</f>
      </c>
      <c r="Z865" s="4">
        <f t="shared" si="582"/>
      </c>
      <c r="AA865" s="4">
        <f t="shared" si="583"/>
      </c>
      <c r="AB865" s="4">
        <f t="shared" si="584"/>
      </c>
      <c r="AC865" s="4">
        <f t="shared" si="585"/>
      </c>
      <c r="AD865" s="4">
        <f t="shared" si="586"/>
      </c>
      <c r="AE865" s="4">
        <f t="shared" si="587"/>
      </c>
      <c r="AF865" s="4">
        <f t="shared" si="588"/>
      </c>
      <c r="AG865" s="4">
        <f t="shared" si="589"/>
        <v/>
      </c>
      <c r="AH865" s="4">
        <f t="shared" si="590"/>
      </c>
      <c r="AI865" s="4">
        <f t="shared" si="591"/>
      </c>
      <c r="AJ865" s="4">
        <f t="shared" si="592"/>
      </c>
      <c r="AK865" s="4">
        <f t="shared" si="593"/>
      </c>
      <c r="AL865" s="4">
        <f t="shared" si="594"/>
      </c>
      <c r="AM865" s="4">
        <f t="shared" si="595"/>
      </c>
      <c r="AN865" s="4"/>
      <c r="AO865" s="4">
        <f t="shared" si="596"/>
      </c>
      <c r="AP865" s="4">
        <f t="shared" si="597"/>
      </c>
      <c r="AQ865" s="4">
        <f t="shared" si="598"/>
        <v/>
      </c>
      <c r="AR865" s="4">
        <f t="shared" si="599"/>
      </c>
      <c r="AS865" s="4">
        <f t="shared" si="600"/>
      </c>
      <c r="AT865" s="4">
        <f t="shared" si="601"/>
      </c>
    </row>
    <row r="866" spans="1:46" x14ac:dyDescent="0.3">
      <c r="A866" s="5">
        <f t="shared" si="573"/>
      </c>
      <c r="B866" s="4">
        <f t="shared" si="574"/>
      </c>
      <c r="C866" s="59"/>
      <c r="D866" s="59"/>
      <c r="E866" s="70"/>
      <c r="F866" s="164"/>
      <c r="G866" s="164"/>
      <c r="H866" s="164"/>
      <c r="I866" s="70"/>
      <c r="J866" s="70"/>
      <c r="K866" s="70"/>
      <c r="L866" s="70"/>
      <c r="M866" s="4">
        <f t="shared" si="575"/>
      </c>
      <c r="N866" s="59"/>
      <c r="O866" s="164"/>
      <c r="P866" s="59">
        <f t="shared" si="576"/>
      </c>
      <c r="Q866" s="165"/>
      <c r="R866" s="59"/>
      <c r="S866" s="164"/>
      <c r="T866" s="5">
        <f t="shared" si="577"/>
      </c>
      <c r="U866" s="4">
        <f t="shared" si="578"/>
      </c>
      <c r="V866" s="4">
        <f t="shared" si="579"/>
      </c>
      <c r="W866" s="4">
        <f t="shared" si="580"/>
      </c>
      <c r="X866" s="4">
        <f t="shared" si="581"/>
      </c>
      <c r="Y866" s="4" cm="1">
        <f t="array" ref="Y866">_xlfn.IFS(H866=1,2,H866=3,1)</f>
      </c>
      <c r="Z866" s="4">
        <f t="shared" si="582"/>
      </c>
      <c r="AA866" s="4">
        <f t="shared" si="583"/>
      </c>
      <c r="AB866" s="4">
        <f t="shared" si="584"/>
      </c>
      <c r="AC866" s="4">
        <f t="shared" si="585"/>
      </c>
      <c r="AD866" s="4">
        <f t="shared" si="586"/>
      </c>
      <c r="AE866" s="4">
        <f t="shared" si="587"/>
      </c>
      <c r="AF866" s="4">
        <f t="shared" si="588"/>
      </c>
      <c r="AG866" s="4">
        <f t="shared" si="589"/>
        <v/>
      </c>
      <c r="AH866" s="4">
        <f t="shared" si="590"/>
      </c>
      <c r="AI866" s="4">
        <f t="shared" si="591"/>
      </c>
      <c r="AJ866" s="4">
        <f t="shared" si="592"/>
      </c>
      <c r="AK866" s="4">
        <f t="shared" si="593"/>
      </c>
      <c r="AL866" s="4">
        <f t="shared" si="594"/>
      </c>
      <c r="AM866" s="4">
        <f t="shared" si="595"/>
      </c>
      <c r="AN866" s="4"/>
      <c r="AO866" s="4">
        <f t="shared" si="596"/>
      </c>
      <c r="AP866" s="4">
        <f t="shared" si="597"/>
      </c>
      <c r="AQ866" s="4">
        <f t="shared" si="598"/>
        <v/>
      </c>
      <c r="AR866" s="4">
        <f t="shared" si="599"/>
      </c>
      <c r="AS866" s="4">
        <f t="shared" si="600"/>
      </c>
      <c r="AT866" s="4">
        <f t="shared" si="601"/>
      </c>
    </row>
    <row r="867" spans="1:46" x14ac:dyDescent="0.3">
      <c r="A867" s="5">
        <f t="shared" si="573"/>
      </c>
      <c r="B867" s="4">
        <f t="shared" si="574"/>
      </c>
      <c r="C867" s="59"/>
      <c r="D867" s="59"/>
      <c r="E867" s="70"/>
      <c r="F867" s="164"/>
      <c r="G867" s="164"/>
      <c r="H867" s="164"/>
      <c r="I867" s="70"/>
      <c r="J867" s="70"/>
      <c r="K867" s="70"/>
      <c r="L867" s="70"/>
      <c r="M867" s="4">
        <f t="shared" si="575"/>
      </c>
      <c r="N867" s="59"/>
      <c r="O867" s="164"/>
      <c r="P867" s="59">
        <f t="shared" si="576"/>
      </c>
      <c r="Q867" s="165"/>
      <c r="R867" s="59"/>
      <c r="S867" s="164"/>
      <c r="T867" s="5">
        <f t="shared" si="577"/>
      </c>
      <c r="U867" s="4">
        <f t="shared" si="578"/>
      </c>
      <c r="V867" s="4">
        <f t="shared" si="579"/>
      </c>
      <c r="W867" s="4">
        <f t="shared" si="580"/>
      </c>
      <c r="X867" s="4">
        <f t="shared" si="581"/>
      </c>
      <c r="Y867" s="4" cm="1">
        <f t="array" ref="Y867">_xlfn.IFS(H867=1,2,H867=3,1)</f>
      </c>
      <c r="Z867" s="4">
        <f t="shared" si="582"/>
      </c>
      <c r="AA867" s="4">
        <f t="shared" si="583"/>
      </c>
      <c r="AB867" s="4">
        <f t="shared" si="584"/>
      </c>
      <c r="AC867" s="4">
        <f t="shared" si="585"/>
      </c>
      <c r="AD867" s="4">
        <f t="shared" si="586"/>
      </c>
      <c r="AE867" s="4">
        <f t="shared" si="587"/>
      </c>
      <c r="AF867" s="4">
        <f t="shared" si="588"/>
      </c>
      <c r="AG867" s="4">
        <f t="shared" si="589"/>
        <v/>
      </c>
      <c r="AH867" s="4">
        <f t="shared" si="590"/>
      </c>
      <c r="AI867" s="4">
        <f t="shared" si="591"/>
      </c>
      <c r="AJ867" s="4">
        <f t="shared" si="592"/>
      </c>
      <c r="AK867" s="4">
        <f t="shared" si="593"/>
      </c>
      <c r="AL867" s="4">
        <f t="shared" si="594"/>
      </c>
      <c r="AM867" s="4">
        <f t="shared" si="595"/>
      </c>
      <c r="AN867" s="4"/>
      <c r="AO867" s="4">
        <f t="shared" si="596"/>
      </c>
      <c r="AP867" s="4">
        <f t="shared" si="597"/>
      </c>
      <c r="AQ867" s="4">
        <f t="shared" si="598"/>
        <v/>
      </c>
      <c r="AR867" s="4">
        <f t="shared" si="599"/>
      </c>
      <c r="AS867" s="4">
        <f t="shared" si="600"/>
      </c>
      <c r="AT867" s="4">
        <f t="shared" si="601"/>
      </c>
    </row>
    <row r="868" spans="1:46" x14ac:dyDescent="0.3">
      <c r="A868" s="5">
        <f t="shared" si="573"/>
      </c>
      <c r="B868" s="4">
        <f t="shared" si="574"/>
      </c>
      <c r="C868" s="59"/>
      <c r="D868" s="59"/>
      <c r="E868" s="70"/>
      <c r="F868" s="164"/>
      <c r="G868" s="164"/>
      <c r="H868" s="164"/>
      <c r="I868" s="70"/>
      <c r="J868" s="70"/>
      <c r="K868" s="70"/>
      <c r="L868" s="70"/>
      <c r="M868" s="4">
        <f t="shared" si="575"/>
      </c>
      <c r="N868" s="59"/>
      <c r="O868" s="164"/>
      <c r="P868" s="59">
        <f t="shared" si="576"/>
      </c>
      <c r="Q868" s="165"/>
      <c r="R868" s="59"/>
      <c r="S868" s="164"/>
      <c r="T868" s="5">
        <f t="shared" si="577"/>
      </c>
      <c r="U868" s="4">
        <f t="shared" si="578"/>
      </c>
      <c r="V868" s="4">
        <f t="shared" si="579"/>
      </c>
      <c r="W868" s="4">
        <f t="shared" si="580"/>
      </c>
      <c r="X868" s="4">
        <f t="shared" si="581"/>
      </c>
      <c r="Y868" s="4" cm="1">
        <f t="array" ref="Y868">_xlfn.IFS(H868=1,2,H868=3,1)</f>
      </c>
      <c r="Z868" s="4">
        <f t="shared" si="582"/>
      </c>
      <c r="AA868" s="4">
        <f t="shared" si="583"/>
      </c>
      <c r="AB868" s="4">
        <f t="shared" si="584"/>
      </c>
      <c r="AC868" s="4">
        <f t="shared" si="585"/>
      </c>
      <c r="AD868" s="4">
        <f t="shared" si="586"/>
      </c>
      <c r="AE868" s="4">
        <f t="shared" si="587"/>
      </c>
      <c r="AF868" s="4">
        <f t="shared" si="588"/>
      </c>
      <c r="AG868" s="4">
        <f t="shared" si="589"/>
        <v/>
      </c>
      <c r="AH868" s="4">
        <f t="shared" si="590"/>
      </c>
      <c r="AI868" s="4">
        <f t="shared" si="591"/>
      </c>
      <c r="AJ868" s="4">
        <f t="shared" si="592"/>
      </c>
      <c r="AK868" s="4">
        <f t="shared" si="593"/>
      </c>
      <c r="AL868" s="4">
        <f t="shared" si="594"/>
      </c>
      <c r="AM868" s="4">
        <f t="shared" si="595"/>
      </c>
      <c r="AN868" s="4"/>
      <c r="AO868" s="4">
        <f t="shared" si="596"/>
      </c>
      <c r="AP868" s="4">
        <f t="shared" si="597"/>
      </c>
      <c r="AQ868" s="4">
        <f t="shared" si="598"/>
        <v/>
      </c>
      <c r="AR868" s="4">
        <f t="shared" si="599"/>
      </c>
      <c r="AS868" s="4">
        <f t="shared" si="600"/>
      </c>
      <c r="AT868" s="4">
        <f t="shared" si="601"/>
      </c>
    </row>
    <row r="869" spans="1:46" x14ac:dyDescent="0.3">
      <c r="A869" s="5">
        <f t="shared" si="573"/>
      </c>
      <c r="B869" s="4">
        <f t="shared" si="574"/>
      </c>
      <c r="C869" s="59"/>
      <c r="D869" s="59"/>
      <c r="E869" s="70"/>
      <c r="F869" s="164"/>
      <c r="G869" s="164"/>
      <c r="H869" s="164"/>
      <c r="I869" s="70"/>
      <c r="J869" s="70"/>
      <c r="K869" s="70"/>
      <c r="L869" s="70"/>
      <c r="M869" s="4">
        <f t="shared" si="575"/>
      </c>
      <c r="N869" s="59"/>
      <c r="O869" s="164"/>
      <c r="P869" s="59">
        <f t="shared" si="576"/>
      </c>
      <c r="Q869" s="165"/>
      <c r="R869" s="59"/>
      <c r="S869" s="164"/>
      <c r="T869" s="5">
        <f t="shared" si="577"/>
      </c>
      <c r="U869" s="4">
        <f t="shared" si="578"/>
      </c>
      <c r="V869" s="4">
        <f t="shared" si="579"/>
      </c>
      <c r="W869" s="4">
        <f t="shared" si="580"/>
      </c>
      <c r="X869" s="4">
        <f t="shared" si="581"/>
      </c>
      <c r="Y869" s="4" cm="1">
        <f t="array" ref="Y869">_xlfn.IFS(H869=1,2,H869=3,1)</f>
      </c>
      <c r="Z869" s="4">
        <f t="shared" si="582"/>
      </c>
      <c r="AA869" s="4">
        <f t="shared" si="583"/>
      </c>
      <c r="AB869" s="4">
        <f t="shared" si="584"/>
      </c>
      <c r="AC869" s="4">
        <f t="shared" si="585"/>
      </c>
      <c r="AD869" s="4">
        <f t="shared" si="586"/>
      </c>
      <c r="AE869" s="4">
        <f t="shared" si="587"/>
      </c>
      <c r="AF869" s="4">
        <f t="shared" si="588"/>
      </c>
      <c r="AG869" s="4">
        <f t="shared" si="589"/>
        <v/>
      </c>
      <c r="AH869" s="4">
        <f t="shared" si="590"/>
      </c>
      <c r="AI869" s="4">
        <f t="shared" si="591"/>
      </c>
      <c r="AJ869" s="4">
        <f t="shared" si="592"/>
      </c>
      <c r="AK869" s="4">
        <f t="shared" si="593"/>
      </c>
      <c r="AL869" s="4">
        <f t="shared" si="594"/>
      </c>
      <c r="AM869" s="4">
        <f t="shared" si="595"/>
      </c>
      <c r="AN869" s="4"/>
      <c r="AO869" s="4">
        <f t="shared" si="596"/>
      </c>
      <c r="AP869" s="4">
        <f t="shared" si="597"/>
      </c>
      <c r="AQ869" s="4">
        <f t="shared" si="598"/>
        <v/>
      </c>
      <c r="AR869" s="4">
        <f t="shared" si="599"/>
      </c>
      <c r="AS869" s="4">
        <f t="shared" si="600"/>
      </c>
      <c r="AT869" s="4">
        <f t="shared" si="601"/>
      </c>
    </row>
    <row r="870" spans="1:46" x14ac:dyDescent="0.3">
      <c r="A870" s="5">
        <f t="shared" si="573"/>
      </c>
      <c r="B870" s="4">
        <f t="shared" si="574"/>
      </c>
      <c r="C870" s="59"/>
      <c r="D870" s="59"/>
      <c r="E870" s="70"/>
      <c r="F870" s="164"/>
      <c r="G870" s="164"/>
      <c r="H870" s="164"/>
      <c r="I870" s="70"/>
      <c r="J870" s="70"/>
      <c r="K870" s="70"/>
      <c r="L870" s="70"/>
      <c r="M870" s="4">
        <f t="shared" si="575"/>
      </c>
      <c r="N870" s="59"/>
      <c r="O870" s="164"/>
      <c r="P870" s="59">
        <f t="shared" si="576"/>
      </c>
      <c r="Q870" s="165"/>
      <c r="R870" s="59"/>
      <c r="S870" s="164"/>
      <c r="T870" s="5">
        <f t="shared" si="577"/>
      </c>
      <c r="U870" s="4">
        <f t="shared" si="578"/>
      </c>
      <c r="V870" s="4">
        <f t="shared" si="579"/>
      </c>
      <c r="W870" s="4">
        <f t="shared" si="580"/>
      </c>
      <c r="X870" s="4">
        <f t="shared" si="581"/>
      </c>
      <c r="Y870" s="4" cm="1">
        <f t="array" ref="Y870">_xlfn.IFS(H870=1,2,H870=3,1)</f>
      </c>
      <c r="Z870" s="4">
        <f t="shared" si="582"/>
      </c>
      <c r="AA870" s="4">
        <f t="shared" si="583"/>
      </c>
      <c r="AB870" s="4">
        <f t="shared" si="584"/>
      </c>
      <c r="AC870" s="4">
        <f t="shared" si="585"/>
      </c>
      <c r="AD870" s="4">
        <f t="shared" si="586"/>
      </c>
      <c r="AE870" s="4">
        <f t="shared" si="587"/>
      </c>
      <c r="AF870" s="4">
        <f t="shared" si="588"/>
      </c>
      <c r="AG870" s="4">
        <f t="shared" si="589"/>
        <v/>
      </c>
      <c r="AH870" s="4">
        <f t="shared" si="590"/>
      </c>
      <c r="AI870" s="4">
        <f t="shared" si="591"/>
      </c>
      <c r="AJ870" s="4">
        <f t="shared" si="592"/>
      </c>
      <c r="AK870" s="4">
        <f t="shared" si="593"/>
      </c>
      <c r="AL870" s="4">
        <f t="shared" si="594"/>
      </c>
      <c r="AM870" s="4">
        <f t="shared" si="595"/>
      </c>
      <c r="AN870" s="4"/>
      <c r="AO870" s="4">
        <f t="shared" si="596"/>
      </c>
      <c r="AP870" s="4">
        <f t="shared" si="597"/>
      </c>
      <c r="AQ870" s="4">
        <f t="shared" si="598"/>
        <v/>
      </c>
      <c r="AR870" s="4">
        <f t="shared" si="599"/>
      </c>
      <c r="AS870" s="4">
        <f t="shared" si="600"/>
      </c>
      <c r="AT870" s="4">
        <f t="shared" si="601"/>
      </c>
    </row>
    <row r="871" spans="1:46" x14ac:dyDescent="0.3">
      <c r="A871" s="5">
        <f t="shared" si="573"/>
      </c>
      <c r="B871" s="4">
        <f t="shared" si="574"/>
      </c>
      <c r="C871" s="59"/>
      <c r="D871" s="59"/>
      <c r="E871" s="70"/>
      <c r="F871" s="164"/>
      <c r="G871" s="164"/>
      <c r="H871" s="164"/>
      <c r="I871" s="70"/>
      <c r="J871" s="70"/>
      <c r="K871" s="70"/>
      <c r="L871" s="70"/>
      <c r="M871" s="4">
        <f t="shared" si="575"/>
      </c>
      <c r="N871" s="59"/>
      <c r="O871" s="164"/>
      <c r="P871" s="59">
        <f t="shared" si="576"/>
      </c>
      <c r="Q871" s="165"/>
      <c r="R871" s="59"/>
      <c r="S871" s="164"/>
      <c r="T871" s="5">
        <f t="shared" si="577"/>
      </c>
      <c r="U871" s="4">
        <f t="shared" si="578"/>
      </c>
      <c r="V871" s="4">
        <f t="shared" si="579"/>
      </c>
      <c r="W871" s="4">
        <f t="shared" si="580"/>
      </c>
      <c r="X871" s="4">
        <f t="shared" si="581"/>
      </c>
      <c r="Y871" s="4" cm="1">
        <f t="array" ref="Y871">_xlfn.IFS(H871=1,2,H871=3,1)</f>
      </c>
      <c r="Z871" s="4">
        <f t="shared" si="582"/>
      </c>
      <c r="AA871" s="4">
        <f t="shared" si="583"/>
      </c>
      <c r="AB871" s="4">
        <f t="shared" si="584"/>
      </c>
      <c r="AC871" s="4">
        <f t="shared" si="585"/>
      </c>
      <c r="AD871" s="4">
        <f t="shared" si="586"/>
      </c>
      <c r="AE871" s="4">
        <f t="shared" si="587"/>
      </c>
      <c r="AF871" s="4">
        <f t="shared" si="588"/>
      </c>
      <c r="AG871" s="4">
        <f t="shared" si="589"/>
        <v/>
      </c>
      <c r="AH871" s="4">
        <f t="shared" si="590"/>
      </c>
      <c r="AI871" s="4">
        <f t="shared" si="591"/>
      </c>
      <c r="AJ871" s="4">
        <f t="shared" si="592"/>
      </c>
      <c r="AK871" s="4">
        <f t="shared" si="593"/>
      </c>
      <c r="AL871" s="4">
        <f t="shared" si="594"/>
      </c>
      <c r="AM871" s="4">
        <f t="shared" si="595"/>
      </c>
      <c r="AN871" s="4"/>
      <c r="AO871" s="4">
        <f t="shared" si="596"/>
      </c>
      <c r="AP871" s="4">
        <f t="shared" si="597"/>
      </c>
      <c r="AQ871" s="4">
        <f t="shared" si="598"/>
        <v/>
      </c>
      <c r="AR871" s="4">
        <f t="shared" si="599"/>
      </c>
      <c r="AS871" s="4">
        <f t="shared" si="600"/>
      </c>
      <c r="AT871" s="4">
        <f t="shared" si="601"/>
      </c>
    </row>
    <row r="872" spans="1:46" x14ac:dyDescent="0.3">
      <c r="A872" s="5">
        <f t="shared" si="573"/>
      </c>
      <c r="B872" s="4">
        <f t="shared" si="574"/>
      </c>
      <c r="C872" s="59"/>
      <c r="D872" s="59"/>
      <c r="E872" s="70"/>
      <c r="F872" s="164"/>
      <c r="G872" s="164"/>
      <c r="H872" s="164"/>
      <c r="I872" s="70"/>
      <c r="J872" s="70"/>
      <c r="K872" s="70"/>
      <c r="L872" s="70"/>
      <c r="M872" s="4">
        <f t="shared" si="575"/>
      </c>
      <c r="N872" s="59"/>
      <c r="O872" s="164"/>
      <c r="P872" s="59">
        <f t="shared" si="576"/>
      </c>
      <c r="Q872" s="165"/>
      <c r="R872" s="59"/>
      <c r="S872" s="164"/>
      <c r="T872" s="5">
        <f t="shared" si="577"/>
      </c>
      <c r="U872" s="4">
        <f t="shared" si="578"/>
      </c>
      <c r="V872" s="4">
        <f t="shared" si="579"/>
      </c>
      <c r="W872" s="4">
        <f t="shared" si="580"/>
      </c>
      <c r="X872" s="4">
        <f t="shared" si="581"/>
      </c>
      <c r="Y872" s="4" cm="1">
        <f t="array" ref="Y872">_xlfn.IFS(H872=1,2,H872=3,1)</f>
      </c>
      <c r="Z872" s="4">
        <f t="shared" si="582"/>
      </c>
      <c r="AA872" s="4">
        <f t="shared" si="583"/>
      </c>
      <c r="AB872" s="4">
        <f t="shared" si="584"/>
      </c>
      <c r="AC872" s="4">
        <f t="shared" si="585"/>
      </c>
      <c r="AD872" s="4">
        <f t="shared" si="586"/>
      </c>
      <c r="AE872" s="4">
        <f t="shared" si="587"/>
      </c>
      <c r="AF872" s="4">
        <f t="shared" si="588"/>
      </c>
      <c r="AG872" s="4">
        <f t="shared" si="589"/>
        <v/>
      </c>
      <c r="AH872" s="4">
        <f t="shared" si="590"/>
      </c>
      <c r="AI872" s="4">
        <f t="shared" si="591"/>
      </c>
      <c r="AJ872" s="4">
        <f t="shared" si="592"/>
      </c>
      <c r="AK872" s="4">
        <f t="shared" si="593"/>
      </c>
      <c r="AL872" s="4">
        <f t="shared" si="594"/>
      </c>
      <c r="AM872" s="4">
        <f t="shared" si="595"/>
      </c>
      <c r="AN872" s="4"/>
      <c r="AO872" s="4">
        <f t="shared" si="596"/>
      </c>
      <c r="AP872" s="4">
        <f t="shared" si="597"/>
      </c>
      <c r="AQ872" s="4">
        <f t="shared" si="598"/>
        <v/>
      </c>
      <c r="AR872" s="4">
        <f t="shared" si="599"/>
      </c>
      <c r="AS872" s="4">
        <f t="shared" si="600"/>
      </c>
      <c r="AT872" s="4">
        <f t="shared" si="601"/>
      </c>
    </row>
    <row r="873" spans="1:46" x14ac:dyDescent="0.3">
      <c r="A873" s="5">
        <f t="shared" si="573"/>
      </c>
      <c r="B873" s="4">
        <f t="shared" si="574"/>
      </c>
      <c r="C873" s="59"/>
      <c r="D873" s="59"/>
      <c r="E873" s="70"/>
      <c r="F873" s="164"/>
      <c r="G873" s="164"/>
      <c r="H873" s="164"/>
      <c r="I873" s="70"/>
      <c r="J873" s="70"/>
      <c r="K873" s="70"/>
      <c r="L873" s="70"/>
      <c r="M873" s="4">
        <f t="shared" si="575"/>
      </c>
      <c r="N873" s="59"/>
      <c r="O873" s="164"/>
      <c r="P873" s="59">
        <f t="shared" si="576"/>
      </c>
      <c r="Q873" s="165"/>
      <c r="R873" s="59"/>
      <c r="S873" s="164"/>
      <c r="T873" s="5">
        <f t="shared" si="577"/>
      </c>
      <c r="U873" s="4">
        <f t="shared" si="578"/>
      </c>
      <c r="V873" s="4">
        <f t="shared" si="579"/>
      </c>
      <c r="W873" s="4">
        <f t="shared" si="580"/>
      </c>
      <c r="X873" s="4">
        <f t="shared" si="581"/>
      </c>
      <c r="Y873" s="4" cm="1">
        <f t="array" ref="Y873">_xlfn.IFS(H873=1,2,H873=3,1)</f>
      </c>
      <c r="Z873" s="4">
        <f t="shared" si="582"/>
      </c>
      <c r="AA873" s="4">
        <f t="shared" si="583"/>
      </c>
      <c r="AB873" s="4">
        <f t="shared" si="584"/>
      </c>
      <c r="AC873" s="4">
        <f t="shared" si="585"/>
      </c>
      <c r="AD873" s="4">
        <f t="shared" si="586"/>
      </c>
      <c r="AE873" s="4">
        <f t="shared" si="587"/>
      </c>
      <c r="AF873" s="4">
        <f t="shared" si="588"/>
      </c>
      <c r="AG873" s="4">
        <f t="shared" si="589"/>
        <v/>
      </c>
      <c r="AH873" s="4">
        <f t="shared" si="590"/>
      </c>
      <c r="AI873" s="4">
        <f t="shared" si="591"/>
      </c>
      <c r="AJ873" s="4">
        <f t="shared" si="592"/>
      </c>
      <c r="AK873" s="4">
        <f t="shared" si="593"/>
      </c>
      <c r="AL873" s="4">
        <f t="shared" si="594"/>
      </c>
      <c r="AM873" s="4">
        <f t="shared" si="595"/>
      </c>
      <c r="AN873" s="4"/>
      <c r="AO873" s="4">
        <f t="shared" si="596"/>
      </c>
      <c r="AP873" s="4">
        <f t="shared" si="597"/>
      </c>
      <c r="AQ873" s="4">
        <f t="shared" si="598"/>
        <v/>
      </c>
      <c r="AR873" s="4">
        <f t="shared" si="599"/>
      </c>
      <c r="AS873" s="4">
        <f t="shared" si="600"/>
      </c>
      <c r="AT873" s="4">
        <f t="shared" si="601"/>
      </c>
    </row>
    <row r="874" spans="1:46" x14ac:dyDescent="0.3">
      <c r="A874" s="5">
        <f t="shared" si="573"/>
      </c>
      <c r="B874" s="4">
        <f t="shared" si="574"/>
      </c>
      <c r="C874" s="59"/>
      <c r="D874" s="59"/>
      <c r="E874" s="70"/>
      <c r="F874" s="164"/>
      <c r="G874" s="164"/>
      <c r="H874" s="164"/>
      <c r="I874" s="70"/>
      <c r="J874" s="70"/>
      <c r="K874" s="70"/>
      <c r="L874" s="70"/>
      <c r="M874" s="4">
        <f t="shared" si="575"/>
      </c>
      <c r="N874" s="59"/>
      <c r="O874" s="164"/>
      <c r="P874" s="59">
        <f t="shared" si="576"/>
      </c>
      <c r="Q874" s="165"/>
      <c r="R874" s="59"/>
      <c r="S874" s="164"/>
      <c r="T874" s="5">
        <f t="shared" si="577"/>
      </c>
      <c r="U874" s="4">
        <f t="shared" si="578"/>
      </c>
      <c r="V874" s="4">
        <f t="shared" si="579"/>
      </c>
      <c r="W874" s="4">
        <f t="shared" si="580"/>
      </c>
      <c r="X874" s="4">
        <f t="shared" si="581"/>
      </c>
      <c r="Y874" s="4" cm="1">
        <f t="array" ref="Y874">_xlfn.IFS(H874=1,2,H874=3,1)</f>
      </c>
      <c r="Z874" s="4">
        <f t="shared" si="582"/>
      </c>
      <c r="AA874" s="4">
        <f t="shared" si="583"/>
      </c>
      <c r="AB874" s="4">
        <f t="shared" si="584"/>
      </c>
      <c r="AC874" s="4">
        <f t="shared" si="585"/>
      </c>
      <c r="AD874" s="4">
        <f t="shared" si="586"/>
      </c>
      <c r="AE874" s="4">
        <f t="shared" si="587"/>
      </c>
      <c r="AF874" s="4">
        <f t="shared" si="588"/>
      </c>
      <c r="AG874" s="4">
        <f t="shared" si="589"/>
        <v/>
      </c>
      <c r="AH874" s="4">
        <f t="shared" si="590"/>
      </c>
      <c r="AI874" s="4">
        <f t="shared" si="591"/>
      </c>
      <c r="AJ874" s="4">
        <f t="shared" si="592"/>
      </c>
      <c r="AK874" s="4">
        <f t="shared" si="593"/>
      </c>
      <c r="AL874" s="4">
        <f t="shared" si="594"/>
      </c>
      <c r="AM874" s="4">
        <f t="shared" si="595"/>
      </c>
      <c r="AN874" s="4"/>
      <c r="AO874" s="4">
        <f t="shared" si="596"/>
      </c>
      <c r="AP874" s="4">
        <f t="shared" si="597"/>
      </c>
      <c r="AQ874" s="4">
        <f t="shared" si="598"/>
        <v/>
      </c>
      <c r="AR874" s="4">
        <f t="shared" si="599"/>
      </c>
      <c r="AS874" s="4">
        <f t="shared" si="600"/>
      </c>
      <c r="AT874" s="4">
        <f t="shared" si="601"/>
      </c>
    </row>
    <row r="875" spans="1:46" x14ac:dyDescent="0.3">
      <c r="A875" s="5">
        <f t="shared" si="573"/>
      </c>
      <c r="B875" s="4">
        <f t="shared" si="574"/>
      </c>
      <c r="C875" s="59"/>
      <c r="D875" s="59"/>
      <c r="E875" s="70"/>
      <c r="F875" s="164"/>
      <c r="G875" s="164"/>
      <c r="H875" s="164"/>
      <c r="I875" s="70"/>
      <c r="J875" s="70"/>
      <c r="K875" s="70"/>
      <c r="L875" s="70"/>
      <c r="M875" s="4">
        <f t="shared" si="575"/>
      </c>
      <c r="N875" s="59"/>
      <c r="O875" s="164"/>
      <c r="P875" s="59">
        <f t="shared" si="576"/>
      </c>
      <c r="Q875" s="165"/>
      <c r="R875" s="59"/>
      <c r="S875" s="164"/>
      <c r="T875" s="5">
        <f t="shared" si="577"/>
      </c>
      <c r="U875" s="4">
        <f t="shared" si="578"/>
      </c>
      <c r="V875" s="4">
        <f t="shared" si="579"/>
      </c>
      <c r="W875" s="4">
        <f t="shared" si="580"/>
      </c>
      <c r="X875" s="4">
        <f t="shared" si="581"/>
      </c>
      <c r="Y875" s="4" cm="1">
        <f t="array" ref="Y875">_xlfn.IFS(H875=1,2,H875=3,1)</f>
      </c>
      <c r="Z875" s="4">
        <f t="shared" si="582"/>
      </c>
      <c r="AA875" s="4">
        <f t="shared" si="583"/>
      </c>
      <c r="AB875" s="4">
        <f t="shared" si="584"/>
      </c>
      <c r="AC875" s="4">
        <f t="shared" si="585"/>
      </c>
      <c r="AD875" s="4">
        <f t="shared" si="586"/>
      </c>
      <c r="AE875" s="4">
        <f t="shared" si="587"/>
      </c>
      <c r="AF875" s="4">
        <f t="shared" si="588"/>
      </c>
      <c r="AG875" s="4">
        <f t="shared" si="589"/>
        <v/>
      </c>
      <c r="AH875" s="4">
        <f t="shared" si="590"/>
      </c>
      <c r="AI875" s="4">
        <f t="shared" si="591"/>
      </c>
      <c r="AJ875" s="4">
        <f t="shared" si="592"/>
      </c>
      <c r="AK875" s="4">
        <f t="shared" si="593"/>
      </c>
      <c r="AL875" s="4">
        <f t="shared" si="594"/>
      </c>
      <c r="AM875" s="4">
        <f t="shared" si="595"/>
      </c>
      <c r="AN875" s="4"/>
      <c r="AO875" s="4">
        <f t="shared" si="596"/>
      </c>
      <c r="AP875" s="4">
        <f t="shared" si="597"/>
      </c>
      <c r="AQ875" s="4">
        <f t="shared" si="598"/>
        <v/>
      </c>
      <c r="AR875" s="4">
        <f t="shared" si="599"/>
      </c>
      <c r="AS875" s="4">
        <f t="shared" si="600"/>
      </c>
      <c r="AT875" s="4">
        <f t="shared" si="601"/>
      </c>
    </row>
    <row r="876" spans="1:46" x14ac:dyDescent="0.3">
      <c r="A876" s="5">
        <f t="shared" si="573"/>
      </c>
      <c r="B876" s="4">
        <f t="shared" si="574"/>
      </c>
      <c r="C876" s="59"/>
      <c r="D876" s="59"/>
      <c r="E876" s="70"/>
      <c r="F876" s="164"/>
      <c r="G876" s="164"/>
      <c r="H876" s="164"/>
      <c r="I876" s="70"/>
      <c r="J876" s="70"/>
      <c r="K876" s="70"/>
      <c r="L876" s="70"/>
      <c r="M876" s="4">
        <f t="shared" si="575"/>
      </c>
      <c r="N876" s="59"/>
      <c r="O876" s="164"/>
      <c r="P876" s="59">
        <f t="shared" si="576"/>
      </c>
      <c r="Q876" s="165"/>
      <c r="R876" s="59"/>
      <c r="S876" s="164"/>
      <c r="T876" s="5">
        <f t="shared" si="577"/>
      </c>
      <c r="U876" s="4">
        <f t="shared" si="578"/>
      </c>
      <c r="V876" s="4">
        <f t="shared" si="579"/>
      </c>
      <c r="W876" s="4">
        <f t="shared" si="580"/>
      </c>
      <c r="X876" s="4">
        <f t="shared" si="581"/>
      </c>
      <c r="Y876" s="4" cm="1">
        <f t="array" ref="Y876">_xlfn.IFS(H876=1,2,H876=3,1)</f>
      </c>
      <c r="Z876" s="4">
        <f t="shared" si="582"/>
      </c>
      <c r="AA876" s="4">
        <f t="shared" si="583"/>
      </c>
      <c r="AB876" s="4">
        <f t="shared" si="584"/>
      </c>
      <c r="AC876" s="4">
        <f t="shared" si="585"/>
      </c>
      <c r="AD876" s="4">
        <f t="shared" si="586"/>
      </c>
      <c r="AE876" s="4">
        <f t="shared" si="587"/>
      </c>
      <c r="AF876" s="4">
        <f t="shared" si="588"/>
      </c>
      <c r="AG876" s="4">
        <f t="shared" si="589"/>
        <v/>
      </c>
      <c r="AH876" s="4">
        <f t="shared" si="590"/>
      </c>
      <c r="AI876" s="4">
        <f t="shared" si="591"/>
      </c>
      <c r="AJ876" s="4">
        <f t="shared" si="592"/>
      </c>
      <c r="AK876" s="4">
        <f t="shared" si="593"/>
      </c>
      <c r="AL876" s="4">
        <f t="shared" si="594"/>
      </c>
      <c r="AM876" s="4">
        <f t="shared" si="595"/>
      </c>
      <c r="AN876" s="4"/>
      <c r="AO876" s="4">
        <f t="shared" si="596"/>
      </c>
      <c r="AP876" s="4">
        <f t="shared" si="597"/>
      </c>
      <c r="AQ876" s="4">
        <f t="shared" si="598"/>
        <v/>
      </c>
      <c r="AR876" s="4">
        <f t="shared" si="599"/>
      </c>
      <c r="AS876" s="4">
        <f t="shared" si="600"/>
      </c>
      <c r="AT876" s="4">
        <f t="shared" si="601"/>
      </c>
    </row>
    <row r="877" spans="1:46" x14ac:dyDescent="0.3">
      <c r="A877" s="5">
        <f t="shared" si="573"/>
      </c>
      <c r="B877" s="4">
        <f t="shared" si="574"/>
      </c>
      <c r="C877" s="59"/>
      <c r="D877" s="59"/>
      <c r="E877" s="70"/>
      <c r="F877" s="164"/>
      <c r="G877" s="164"/>
      <c r="H877" s="164"/>
      <c r="I877" s="70"/>
      <c r="J877" s="70"/>
      <c r="K877" s="70"/>
      <c r="L877" s="70"/>
      <c r="M877" s="4">
        <f t="shared" si="575"/>
      </c>
      <c r="N877" s="59"/>
      <c r="O877" s="164"/>
      <c r="P877" s="59">
        <f t="shared" si="576"/>
      </c>
      <c r="Q877" s="165"/>
      <c r="R877" s="59"/>
      <c r="S877" s="164"/>
      <c r="T877" s="5">
        <f t="shared" si="577"/>
      </c>
      <c r="U877" s="4">
        <f t="shared" si="578"/>
      </c>
      <c r="V877" s="4">
        <f t="shared" si="579"/>
      </c>
      <c r="W877" s="4">
        <f t="shared" si="580"/>
      </c>
      <c r="X877" s="4">
        <f t="shared" si="581"/>
      </c>
      <c r="Y877" s="4" cm="1">
        <f t="array" ref="Y877">_xlfn.IFS(H877=1,2,H877=3,1)</f>
      </c>
      <c r="Z877" s="4">
        <f t="shared" si="582"/>
      </c>
      <c r="AA877" s="4">
        <f t="shared" si="583"/>
      </c>
      <c r="AB877" s="4">
        <f t="shared" si="584"/>
      </c>
      <c r="AC877" s="4">
        <f t="shared" si="585"/>
      </c>
      <c r="AD877" s="4">
        <f t="shared" si="586"/>
      </c>
      <c r="AE877" s="4">
        <f t="shared" si="587"/>
      </c>
      <c r="AF877" s="4">
        <f t="shared" si="588"/>
      </c>
      <c r="AG877" s="4">
        <f t="shared" si="589"/>
        <v/>
      </c>
      <c r="AH877" s="4">
        <f t="shared" si="590"/>
      </c>
      <c r="AI877" s="4">
        <f t="shared" si="591"/>
      </c>
      <c r="AJ877" s="4">
        <f t="shared" si="592"/>
      </c>
      <c r="AK877" s="4">
        <f t="shared" si="593"/>
      </c>
      <c r="AL877" s="4">
        <f t="shared" si="594"/>
      </c>
      <c r="AM877" s="4">
        <f t="shared" si="595"/>
      </c>
      <c r="AN877" s="4"/>
      <c r="AO877" s="4">
        <f t="shared" si="596"/>
      </c>
      <c r="AP877" s="4">
        <f t="shared" si="597"/>
      </c>
      <c r="AQ877" s="4">
        <f t="shared" si="598"/>
        <v/>
      </c>
      <c r="AR877" s="4">
        <f t="shared" si="599"/>
      </c>
      <c r="AS877" s="4">
        <f t="shared" si="600"/>
      </c>
      <c r="AT877" s="4">
        <f t="shared" si="601"/>
      </c>
    </row>
    <row r="878" spans="1:46" x14ac:dyDescent="0.3">
      <c r="A878" s="5">
        <f t="shared" si="573"/>
      </c>
      <c r="B878" s="4">
        <f t="shared" si="574"/>
      </c>
      <c r="C878" s="59"/>
      <c r="D878" s="59"/>
      <c r="E878" s="70"/>
      <c r="F878" s="164"/>
      <c r="G878" s="164"/>
      <c r="H878" s="164"/>
      <c r="I878" s="70"/>
      <c r="J878" s="70"/>
      <c r="K878" s="70"/>
      <c r="L878" s="70"/>
      <c r="M878" s="4">
        <f t="shared" si="575"/>
      </c>
      <c r="N878" s="59"/>
      <c r="O878" s="164"/>
      <c r="P878" s="59">
        <f t="shared" si="576"/>
      </c>
      <c r="Q878" s="165"/>
      <c r="R878" s="59"/>
      <c r="S878" s="164"/>
      <c r="T878" s="5">
        <f t="shared" si="577"/>
      </c>
      <c r="U878" s="4">
        <f t="shared" si="578"/>
      </c>
      <c r="V878" s="4">
        <f t="shared" si="579"/>
      </c>
      <c r="W878" s="4">
        <f t="shared" si="580"/>
      </c>
      <c r="X878" s="4">
        <f t="shared" si="581"/>
      </c>
      <c r="Y878" s="4" cm="1">
        <f t="array" ref="Y878">_xlfn.IFS(H878=1,2,H878=3,1)</f>
      </c>
      <c r="Z878" s="4">
        <f t="shared" si="582"/>
      </c>
      <c r="AA878" s="4">
        <f t="shared" si="583"/>
      </c>
      <c r="AB878" s="4">
        <f t="shared" si="584"/>
      </c>
      <c r="AC878" s="4">
        <f t="shared" si="585"/>
      </c>
      <c r="AD878" s="4">
        <f t="shared" si="586"/>
      </c>
      <c r="AE878" s="4">
        <f t="shared" si="587"/>
      </c>
      <c r="AF878" s="4">
        <f t="shared" si="588"/>
      </c>
      <c r="AG878" s="4">
        <f t="shared" si="589"/>
        <v/>
      </c>
      <c r="AH878" s="4">
        <f t="shared" si="590"/>
      </c>
      <c r="AI878" s="4">
        <f t="shared" si="591"/>
      </c>
      <c r="AJ878" s="4">
        <f t="shared" si="592"/>
      </c>
      <c r="AK878" s="4">
        <f t="shared" si="593"/>
      </c>
      <c r="AL878" s="4">
        <f t="shared" si="594"/>
      </c>
      <c r="AM878" s="4">
        <f t="shared" si="595"/>
      </c>
      <c r="AN878" s="4"/>
      <c r="AO878" s="4">
        <f t="shared" si="596"/>
      </c>
      <c r="AP878" s="4">
        <f t="shared" si="597"/>
      </c>
      <c r="AQ878" s="4">
        <f t="shared" si="598"/>
        <v/>
      </c>
      <c r="AR878" s="4">
        <f t="shared" si="599"/>
      </c>
      <c r="AS878" s="4">
        <f t="shared" si="600"/>
      </c>
      <c r="AT878" s="4">
        <f t="shared" si="601"/>
      </c>
    </row>
    <row r="879" spans="1:46" x14ac:dyDescent="0.3">
      <c r="A879" s="5">
        <f t="shared" si="573"/>
      </c>
      <c r="B879" s="4">
        <f t="shared" si="574"/>
      </c>
      <c r="C879" s="59"/>
      <c r="D879" s="59"/>
      <c r="E879" s="70"/>
      <c r="F879" s="164"/>
      <c r="G879" s="164"/>
      <c r="H879" s="164"/>
      <c r="I879" s="70"/>
      <c r="J879" s="70"/>
      <c r="K879" s="70"/>
      <c r="L879" s="70"/>
      <c r="M879" s="4">
        <f t="shared" si="575"/>
      </c>
      <c r="N879" s="59"/>
      <c r="O879" s="164"/>
      <c r="P879" s="59">
        <f t="shared" si="576"/>
      </c>
      <c r="Q879" s="165"/>
      <c r="R879" s="59"/>
      <c r="S879" s="164"/>
      <c r="T879" s="5">
        <f t="shared" si="577"/>
      </c>
      <c r="U879" s="4">
        <f t="shared" si="578"/>
      </c>
      <c r="V879" s="4">
        <f t="shared" si="579"/>
      </c>
      <c r="W879" s="4">
        <f t="shared" si="580"/>
      </c>
      <c r="X879" s="4">
        <f t="shared" si="581"/>
      </c>
      <c r="Y879" s="4" cm="1">
        <f t="array" ref="Y879">_xlfn.IFS(H879=1,2,H879=3,1)</f>
      </c>
      <c r="Z879" s="4">
        <f t="shared" si="582"/>
      </c>
      <c r="AA879" s="4">
        <f t="shared" si="583"/>
      </c>
      <c r="AB879" s="4">
        <f t="shared" si="584"/>
      </c>
      <c r="AC879" s="4">
        <f t="shared" si="585"/>
      </c>
      <c r="AD879" s="4">
        <f t="shared" si="586"/>
      </c>
      <c r="AE879" s="4">
        <f t="shared" si="587"/>
      </c>
      <c r="AF879" s="4">
        <f t="shared" si="588"/>
      </c>
      <c r="AG879" s="4">
        <f t="shared" si="589"/>
        <v/>
      </c>
      <c r="AH879" s="4">
        <f t="shared" si="590"/>
      </c>
      <c r="AI879" s="4">
        <f t="shared" si="591"/>
      </c>
      <c r="AJ879" s="4">
        <f t="shared" si="592"/>
      </c>
      <c r="AK879" s="4">
        <f t="shared" si="593"/>
      </c>
      <c r="AL879" s="4">
        <f t="shared" si="594"/>
      </c>
      <c r="AM879" s="4">
        <f t="shared" si="595"/>
      </c>
      <c r="AN879" s="4"/>
      <c r="AO879" s="4">
        <f t="shared" si="596"/>
      </c>
      <c r="AP879" s="4">
        <f t="shared" si="597"/>
      </c>
      <c r="AQ879" s="4">
        <f t="shared" si="598"/>
        <v/>
      </c>
      <c r="AR879" s="4">
        <f t="shared" si="599"/>
      </c>
      <c r="AS879" s="4">
        <f t="shared" si="600"/>
      </c>
      <c r="AT879" s="4">
        <f t="shared" si="601"/>
      </c>
    </row>
    <row r="880" spans="1:46" x14ac:dyDescent="0.3">
      <c r="A880" s="5">
        <f t="shared" si="573"/>
      </c>
      <c r="B880" s="4">
        <f t="shared" si="574"/>
      </c>
      <c r="C880" s="59"/>
      <c r="D880" s="59"/>
      <c r="E880" s="70"/>
      <c r="F880" s="164"/>
      <c r="G880" s="164"/>
      <c r="H880" s="164"/>
      <c r="I880" s="70"/>
      <c r="J880" s="70"/>
      <c r="K880" s="70"/>
      <c r="L880" s="70"/>
      <c r="M880" s="4">
        <f t="shared" si="575"/>
      </c>
      <c r="N880" s="59"/>
      <c r="O880" s="164"/>
      <c r="P880" s="59">
        <f t="shared" si="576"/>
      </c>
      <c r="Q880" s="165"/>
      <c r="R880" s="59"/>
      <c r="S880" s="164"/>
      <c r="T880" s="5">
        <f t="shared" si="577"/>
      </c>
      <c r="U880" s="4">
        <f t="shared" si="578"/>
      </c>
      <c r="V880" s="4">
        <f t="shared" si="579"/>
      </c>
      <c r="W880" s="4">
        <f t="shared" si="580"/>
      </c>
      <c r="X880" s="4">
        <f t="shared" si="581"/>
      </c>
      <c r="Y880" s="4" cm="1">
        <f t="array" ref="Y880">_xlfn.IFS(H880=1,2,H880=3,1)</f>
      </c>
      <c r="Z880" s="4">
        <f t="shared" si="582"/>
      </c>
      <c r="AA880" s="4">
        <f t="shared" si="583"/>
      </c>
      <c r="AB880" s="4">
        <f t="shared" si="584"/>
      </c>
      <c r="AC880" s="4">
        <f t="shared" si="585"/>
      </c>
      <c r="AD880" s="4">
        <f t="shared" si="586"/>
      </c>
      <c r="AE880" s="4">
        <f t="shared" si="587"/>
      </c>
      <c r="AF880" s="4">
        <f t="shared" si="588"/>
      </c>
      <c r="AG880" s="4">
        <f t="shared" si="589"/>
        <v/>
      </c>
      <c r="AH880" s="4">
        <f t="shared" si="590"/>
      </c>
      <c r="AI880" s="4">
        <f t="shared" si="591"/>
      </c>
      <c r="AJ880" s="4">
        <f t="shared" si="592"/>
      </c>
      <c r="AK880" s="4">
        <f t="shared" si="593"/>
      </c>
      <c r="AL880" s="4">
        <f t="shared" si="594"/>
      </c>
      <c r="AM880" s="4">
        <f t="shared" si="595"/>
      </c>
      <c r="AN880" s="4"/>
      <c r="AO880" s="4">
        <f t="shared" si="596"/>
      </c>
      <c r="AP880" s="4">
        <f t="shared" si="597"/>
      </c>
      <c r="AQ880" s="4">
        <f t="shared" si="598"/>
        <v/>
      </c>
      <c r="AR880" s="4">
        <f t="shared" si="599"/>
      </c>
      <c r="AS880" s="4">
        <f t="shared" si="600"/>
      </c>
      <c r="AT880" s="4">
        <f t="shared" si="601"/>
      </c>
    </row>
    <row r="881" spans="1:46" x14ac:dyDescent="0.3">
      <c r="A881" s="5">
        <f t="shared" si="573"/>
      </c>
      <c r="B881" s="4">
        <f t="shared" si="574"/>
      </c>
      <c r="C881" s="59"/>
      <c r="D881" s="59"/>
      <c r="E881" s="70"/>
      <c r="F881" s="164"/>
      <c r="G881" s="164"/>
      <c r="H881" s="164"/>
      <c r="I881" s="70"/>
      <c r="J881" s="70"/>
      <c r="K881" s="70"/>
      <c r="L881" s="70"/>
      <c r="M881" s="4">
        <f t="shared" si="575"/>
      </c>
      <c r="N881" s="59"/>
      <c r="O881" s="164"/>
      <c r="P881" s="59">
        <f t="shared" si="576"/>
      </c>
      <c r="Q881" s="165"/>
      <c r="R881" s="59"/>
      <c r="S881" s="164"/>
      <c r="T881" s="5">
        <f t="shared" si="577"/>
      </c>
      <c r="U881" s="4">
        <f t="shared" si="578"/>
      </c>
      <c r="V881" s="4">
        <f t="shared" si="579"/>
      </c>
      <c r="W881" s="4">
        <f t="shared" si="580"/>
      </c>
      <c r="X881" s="4">
        <f t="shared" si="581"/>
      </c>
      <c r="Y881" s="4" cm="1">
        <f t="array" ref="Y881">_xlfn.IFS(H881=1,2,H881=3,1)</f>
      </c>
      <c r="Z881" s="4">
        <f t="shared" si="582"/>
      </c>
      <c r="AA881" s="4">
        <f t="shared" si="583"/>
      </c>
      <c r="AB881" s="4">
        <f t="shared" si="584"/>
      </c>
      <c r="AC881" s="4">
        <f t="shared" si="585"/>
      </c>
      <c r="AD881" s="4">
        <f t="shared" si="586"/>
      </c>
      <c r="AE881" s="4">
        <f t="shared" si="587"/>
      </c>
      <c r="AF881" s="4">
        <f t="shared" si="588"/>
      </c>
      <c r="AG881" s="4">
        <f t="shared" si="589"/>
        <v/>
      </c>
      <c r="AH881" s="4">
        <f t="shared" si="590"/>
      </c>
      <c r="AI881" s="4">
        <f t="shared" si="591"/>
      </c>
      <c r="AJ881" s="4">
        <f t="shared" si="592"/>
      </c>
      <c r="AK881" s="4">
        <f t="shared" si="593"/>
      </c>
      <c r="AL881" s="4">
        <f t="shared" si="594"/>
      </c>
      <c r="AM881" s="4">
        <f t="shared" si="595"/>
      </c>
      <c r="AN881" s="4"/>
      <c r="AO881" s="4">
        <f t="shared" si="596"/>
      </c>
      <c r="AP881" s="4">
        <f t="shared" si="597"/>
      </c>
      <c r="AQ881" s="4">
        <f t="shared" si="598"/>
        <v/>
      </c>
      <c r="AR881" s="4">
        <f t="shared" si="599"/>
      </c>
      <c r="AS881" s="4">
        <f t="shared" si="600"/>
      </c>
      <c r="AT881" s="4">
        <f t="shared" si="601"/>
      </c>
    </row>
    <row r="882" spans="1:46" x14ac:dyDescent="0.3">
      <c r="A882" s="5">
        <f t="shared" si="573"/>
      </c>
      <c r="B882" s="4">
        <f t="shared" si="574"/>
      </c>
      <c r="C882" s="59"/>
      <c r="D882" s="59"/>
      <c r="E882" s="70"/>
      <c r="F882" s="164"/>
      <c r="G882" s="164"/>
      <c r="H882" s="164"/>
      <c r="I882" s="70"/>
      <c r="J882" s="70"/>
      <c r="K882" s="70"/>
      <c r="L882" s="70"/>
      <c r="M882" s="4">
        <f t="shared" si="575"/>
      </c>
      <c r="N882" s="59"/>
      <c r="O882" s="164"/>
      <c r="P882" s="59">
        <f t="shared" si="576"/>
      </c>
      <c r="Q882" s="165"/>
      <c r="R882" s="59"/>
      <c r="S882" s="164"/>
      <c r="T882" s="5">
        <f t="shared" si="577"/>
      </c>
      <c r="U882" s="4">
        <f t="shared" si="578"/>
      </c>
      <c r="V882" s="4">
        <f t="shared" si="579"/>
      </c>
      <c r="W882" s="4">
        <f t="shared" si="580"/>
      </c>
      <c r="X882" s="4">
        <f t="shared" si="581"/>
      </c>
      <c r="Y882" s="4" cm="1">
        <f t="array" ref="Y882">_xlfn.IFS(H882=1,2,H882=3,1)</f>
      </c>
      <c r="Z882" s="4">
        <f t="shared" si="582"/>
      </c>
      <c r="AA882" s="4">
        <f t="shared" si="583"/>
      </c>
      <c r="AB882" s="4">
        <f t="shared" si="584"/>
      </c>
      <c r="AC882" s="4">
        <f t="shared" si="585"/>
      </c>
      <c r="AD882" s="4">
        <f t="shared" si="586"/>
      </c>
      <c r="AE882" s="4">
        <f t="shared" si="587"/>
      </c>
      <c r="AF882" s="4">
        <f t="shared" si="588"/>
      </c>
      <c r="AG882" s="4">
        <f t="shared" si="589"/>
        <v/>
      </c>
      <c r="AH882" s="4">
        <f t="shared" si="590"/>
      </c>
      <c r="AI882" s="4">
        <f t="shared" si="591"/>
      </c>
      <c r="AJ882" s="4">
        <f t="shared" si="592"/>
      </c>
      <c r="AK882" s="4">
        <f t="shared" si="593"/>
      </c>
      <c r="AL882" s="4">
        <f t="shared" si="594"/>
      </c>
      <c r="AM882" s="4">
        <f t="shared" si="595"/>
      </c>
      <c r="AN882" s="4"/>
      <c r="AO882" s="4">
        <f t="shared" si="596"/>
      </c>
      <c r="AP882" s="4">
        <f t="shared" si="597"/>
      </c>
      <c r="AQ882" s="4">
        <f t="shared" si="598"/>
        <v/>
      </c>
      <c r="AR882" s="4">
        <f t="shared" si="599"/>
      </c>
      <c r="AS882" s="4">
        <f t="shared" si="600"/>
      </c>
      <c r="AT882" s="4">
        <f t="shared" si="601"/>
      </c>
    </row>
    <row r="883" spans="1:46" x14ac:dyDescent="0.3">
      <c r="A883" s="5">
        <f t="shared" si="573"/>
      </c>
      <c r="B883" s="4">
        <f t="shared" si="574"/>
      </c>
      <c r="C883" s="59"/>
      <c r="D883" s="59"/>
      <c r="E883" s="70"/>
      <c r="F883" s="164"/>
      <c r="G883" s="164"/>
      <c r="H883" s="164"/>
      <c r="I883" s="70"/>
      <c r="J883" s="70"/>
      <c r="K883" s="70"/>
      <c r="L883" s="70"/>
      <c r="M883" s="4">
        <f t="shared" si="575"/>
      </c>
      <c r="N883" s="59"/>
      <c r="O883" s="164"/>
      <c r="P883" s="59">
        <f t="shared" si="576"/>
      </c>
      <c r="Q883" s="165"/>
      <c r="R883" s="59"/>
      <c r="S883" s="164"/>
      <c r="T883" s="5">
        <f t="shared" si="577"/>
      </c>
      <c r="U883" s="4">
        <f t="shared" si="578"/>
      </c>
      <c r="V883" s="4">
        <f t="shared" si="579"/>
      </c>
      <c r="W883" s="4">
        <f t="shared" si="580"/>
      </c>
      <c r="X883" s="4">
        <f t="shared" si="581"/>
      </c>
      <c r="Y883" s="4" cm="1">
        <f t="array" ref="Y883">_xlfn.IFS(H883=1,2,H883=3,1)</f>
      </c>
      <c r="Z883" s="4">
        <f t="shared" si="582"/>
      </c>
      <c r="AA883" s="4">
        <f t="shared" si="583"/>
      </c>
      <c r="AB883" s="4">
        <f t="shared" si="584"/>
      </c>
      <c r="AC883" s="4">
        <f t="shared" si="585"/>
      </c>
      <c r="AD883" s="4">
        <f t="shared" si="586"/>
      </c>
      <c r="AE883" s="4">
        <f t="shared" si="587"/>
      </c>
      <c r="AF883" s="4">
        <f t="shared" si="588"/>
      </c>
      <c r="AG883" s="4">
        <f t="shared" si="589"/>
        <v/>
      </c>
      <c r="AH883" s="4">
        <f t="shared" si="590"/>
      </c>
      <c r="AI883" s="4">
        <f t="shared" si="591"/>
      </c>
      <c r="AJ883" s="4">
        <f t="shared" si="592"/>
      </c>
      <c r="AK883" s="4">
        <f t="shared" si="593"/>
      </c>
      <c r="AL883" s="4">
        <f t="shared" si="594"/>
      </c>
      <c r="AM883" s="4">
        <f t="shared" si="595"/>
      </c>
      <c r="AN883" s="4"/>
      <c r="AO883" s="4">
        <f t="shared" si="596"/>
      </c>
      <c r="AP883" s="4">
        <f t="shared" si="597"/>
      </c>
      <c r="AQ883" s="4">
        <f t="shared" si="598"/>
        <v/>
      </c>
      <c r="AR883" s="4">
        <f t="shared" si="599"/>
      </c>
      <c r="AS883" s="4">
        <f t="shared" si="600"/>
      </c>
      <c r="AT883" s="4">
        <f t="shared" si="601"/>
      </c>
    </row>
    <row r="884" spans="1:46" x14ac:dyDescent="0.3">
      <c r="A884" s="5">
        <f t="shared" si="573"/>
      </c>
      <c r="B884" s="4">
        <f t="shared" si="574"/>
      </c>
      <c r="C884" s="59"/>
      <c r="D884" s="59"/>
      <c r="E884" s="70"/>
      <c r="F884" s="164"/>
      <c r="G884" s="164"/>
      <c r="H884" s="164"/>
      <c r="I884" s="70"/>
      <c r="J884" s="70"/>
      <c r="K884" s="70"/>
      <c r="L884" s="70"/>
      <c r="M884" s="4">
        <f t="shared" si="575"/>
      </c>
      <c r="N884" s="59"/>
      <c r="O884" s="164"/>
      <c r="P884" s="59">
        <f t="shared" si="576"/>
      </c>
      <c r="Q884" s="165"/>
      <c r="R884" s="59"/>
      <c r="S884" s="164"/>
      <c r="T884" s="5">
        <f t="shared" si="577"/>
      </c>
      <c r="U884" s="4">
        <f t="shared" si="578"/>
      </c>
      <c r="V884" s="4">
        <f t="shared" si="579"/>
      </c>
      <c r="W884" s="4">
        <f t="shared" si="580"/>
      </c>
      <c r="X884" s="4">
        <f t="shared" si="581"/>
      </c>
      <c r="Y884" s="4" cm="1">
        <f t="array" ref="Y884">_xlfn.IFS(H884=1,2,H884=3,1)</f>
      </c>
      <c r="Z884" s="4">
        <f t="shared" si="582"/>
      </c>
      <c r="AA884" s="4">
        <f t="shared" si="583"/>
      </c>
      <c r="AB884" s="4">
        <f t="shared" si="584"/>
      </c>
      <c r="AC884" s="4">
        <f t="shared" si="585"/>
      </c>
      <c r="AD884" s="4">
        <f t="shared" si="586"/>
      </c>
      <c r="AE884" s="4">
        <f t="shared" si="587"/>
      </c>
      <c r="AF884" s="4">
        <f t="shared" si="588"/>
      </c>
      <c r="AG884" s="4">
        <f t="shared" si="589"/>
        <v/>
      </c>
      <c r="AH884" s="4">
        <f t="shared" si="590"/>
      </c>
      <c r="AI884" s="4">
        <f t="shared" si="591"/>
      </c>
      <c r="AJ884" s="4">
        <f t="shared" si="592"/>
      </c>
      <c r="AK884" s="4">
        <f t="shared" si="593"/>
      </c>
      <c r="AL884" s="4">
        <f t="shared" si="594"/>
      </c>
      <c r="AM884" s="4">
        <f t="shared" si="595"/>
      </c>
      <c r="AN884" s="4"/>
      <c r="AO884" s="4">
        <f t="shared" si="596"/>
      </c>
      <c r="AP884" s="4">
        <f t="shared" si="597"/>
      </c>
      <c r="AQ884" s="4">
        <f t="shared" si="598"/>
        <v/>
      </c>
      <c r="AR884" s="4">
        <f t="shared" si="599"/>
      </c>
      <c r="AS884" s="4">
        <f t="shared" si="600"/>
      </c>
      <c r="AT884" s="4">
        <f t="shared" si="601"/>
      </c>
    </row>
    <row r="885" spans="1:46" x14ac:dyDescent="0.3">
      <c r="A885" s="5">
        <f t="shared" si="573"/>
      </c>
      <c r="B885" s="4">
        <f t="shared" si="574"/>
      </c>
      <c r="C885" s="59"/>
      <c r="D885" s="59"/>
      <c r="E885" s="70"/>
      <c r="F885" s="164"/>
      <c r="G885" s="164"/>
      <c r="H885" s="164"/>
      <c r="I885" s="70"/>
      <c r="J885" s="70"/>
      <c r="K885" s="70"/>
      <c r="L885" s="70"/>
      <c r="M885" s="4">
        <f t="shared" si="575"/>
      </c>
      <c r="N885" s="59"/>
      <c r="O885" s="164"/>
      <c r="P885" s="59">
        <f t="shared" si="576"/>
      </c>
      <c r="Q885" s="165"/>
      <c r="R885" s="59"/>
      <c r="S885" s="164"/>
      <c r="T885" s="5">
        <f t="shared" si="577"/>
      </c>
      <c r="U885" s="4">
        <f t="shared" si="578"/>
      </c>
      <c r="V885" s="4">
        <f t="shared" si="579"/>
      </c>
      <c r="W885" s="4">
        <f t="shared" si="580"/>
      </c>
      <c r="X885" s="4">
        <f t="shared" si="581"/>
      </c>
      <c r="Y885" s="4" cm="1">
        <f t="array" ref="Y885">_xlfn.IFS(H885=1,2,H885=3,1)</f>
      </c>
      <c r="Z885" s="4">
        <f t="shared" si="582"/>
      </c>
      <c r="AA885" s="4">
        <f t="shared" si="583"/>
      </c>
      <c r="AB885" s="4">
        <f t="shared" si="584"/>
      </c>
      <c r="AC885" s="4">
        <f t="shared" si="585"/>
      </c>
      <c r="AD885" s="4">
        <f t="shared" si="586"/>
      </c>
      <c r="AE885" s="4">
        <f t="shared" si="587"/>
      </c>
      <c r="AF885" s="4">
        <f t="shared" si="588"/>
      </c>
      <c r="AG885" s="4">
        <f t="shared" si="589"/>
        <v/>
      </c>
      <c r="AH885" s="4">
        <f t="shared" si="590"/>
      </c>
      <c r="AI885" s="4">
        <f t="shared" si="591"/>
      </c>
      <c r="AJ885" s="4">
        <f t="shared" si="592"/>
      </c>
      <c r="AK885" s="4">
        <f t="shared" si="593"/>
      </c>
      <c r="AL885" s="4">
        <f t="shared" si="594"/>
      </c>
      <c r="AM885" s="4">
        <f t="shared" si="595"/>
      </c>
      <c r="AN885" s="4"/>
      <c r="AO885" s="4">
        <f t="shared" si="596"/>
      </c>
      <c r="AP885" s="4">
        <f t="shared" si="597"/>
      </c>
      <c r="AQ885" s="4">
        <f t="shared" si="598"/>
        <v/>
      </c>
      <c r="AR885" s="4">
        <f t="shared" si="599"/>
      </c>
      <c r="AS885" s="4">
        <f t="shared" si="600"/>
      </c>
      <c r="AT885" s="4">
        <f t="shared" si="601"/>
      </c>
    </row>
    <row r="886" spans="1:46" x14ac:dyDescent="0.3">
      <c r="A886" s="5">
        <f t="shared" si="573"/>
      </c>
      <c r="B886" s="4">
        <f t="shared" si="574"/>
      </c>
      <c r="C886" s="59"/>
      <c r="D886" s="59"/>
      <c r="E886" s="70"/>
      <c r="F886" s="164"/>
      <c r="G886" s="164"/>
      <c r="H886" s="164"/>
      <c r="I886" s="70"/>
      <c r="J886" s="70"/>
      <c r="K886" s="70"/>
      <c r="L886" s="70"/>
      <c r="M886" s="4">
        <f t="shared" si="575"/>
      </c>
      <c r="N886" s="59"/>
      <c r="O886" s="164"/>
      <c r="P886" s="59">
        <f t="shared" si="576"/>
      </c>
      <c r="Q886" s="165"/>
      <c r="R886" s="59"/>
      <c r="S886" s="164"/>
      <c r="T886" s="5">
        <f t="shared" si="577"/>
      </c>
      <c r="U886" s="4">
        <f t="shared" si="578"/>
      </c>
      <c r="V886" s="4">
        <f t="shared" si="579"/>
      </c>
      <c r="W886" s="4">
        <f t="shared" si="580"/>
      </c>
      <c r="X886" s="4">
        <f t="shared" si="581"/>
      </c>
      <c r="Y886" s="4" cm="1">
        <f t="array" ref="Y886">_xlfn.IFS(H886=1,2,H886=3,1)</f>
      </c>
      <c r="Z886" s="4">
        <f t="shared" si="582"/>
      </c>
      <c r="AA886" s="4">
        <f t="shared" si="583"/>
      </c>
      <c r="AB886" s="4">
        <f t="shared" si="584"/>
      </c>
      <c r="AC886" s="4">
        <f t="shared" si="585"/>
      </c>
      <c r="AD886" s="4">
        <f t="shared" si="586"/>
      </c>
      <c r="AE886" s="4">
        <f t="shared" si="587"/>
      </c>
      <c r="AF886" s="4">
        <f t="shared" si="588"/>
      </c>
      <c r="AG886" s="4">
        <f t="shared" si="589"/>
        <v/>
      </c>
      <c r="AH886" s="4">
        <f t="shared" si="590"/>
      </c>
      <c r="AI886" s="4">
        <f t="shared" si="591"/>
      </c>
      <c r="AJ886" s="4">
        <f t="shared" si="592"/>
      </c>
      <c r="AK886" s="4">
        <f t="shared" si="593"/>
      </c>
      <c r="AL886" s="4">
        <f t="shared" si="594"/>
      </c>
      <c r="AM886" s="4">
        <f t="shared" si="595"/>
      </c>
      <c r="AN886" s="4"/>
      <c r="AO886" s="4">
        <f t="shared" si="596"/>
      </c>
      <c r="AP886" s="4">
        <f t="shared" si="597"/>
      </c>
      <c r="AQ886" s="4">
        <f t="shared" si="598"/>
        <v/>
      </c>
      <c r="AR886" s="4">
        <f t="shared" si="599"/>
      </c>
      <c r="AS886" s="4">
        <f t="shared" si="600"/>
      </c>
      <c r="AT886" s="4">
        <f t="shared" si="601"/>
      </c>
    </row>
    <row r="887" spans="1:46" x14ac:dyDescent="0.3">
      <c r="A887" s="5">
        <f t="shared" si="573"/>
      </c>
      <c r="B887" s="4">
        <f t="shared" si="574"/>
      </c>
      <c r="C887" s="59"/>
      <c r="D887" s="59"/>
      <c r="E887" s="70"/>
      <c r="F887" s="164"/>
      <c r="G887" s="164"/>
      <c r="H887" s="164"/>
      <c r="I887" s="70"/>
      <c r="J887" s="70"/>
      <c r="K887" s="70"/>
      <c r="L887" s="70"/>
      <c r="M887" s="4">
        <f t="shared" si="575"/>
      </c>
      <c r="N887" s="59"/>
      <c r="O887" s="164"/>
      <c r="P887" s="59">
        <f t="shared" si="576"/>
      </c>
      <c r="Q887" s="165"/>
      <c r="R887" s="59"/>
      <c r="S887" s="164"/>
      <c r="T887" s="5">
        <f t="shared" si="577"/>
      </c>
      <c r="U887" s="4">
        <f t="shared" si="578"/>
      </c>
      <c r="V887" s="4">
        <f t="shared" si="579"/>
      </c>
      <c r="W887" s="4">
        <f t="shared" si="580"/>
      </c>
      <c r="X887" s="4">
        <f t="shared" si="581"/>
      </c>
      <c r="Y887" s="4" cm="1">
        <f t="array" ref="Y887">_xlfn.IFS(H887=1,2,H887=3,1)</f>
      </c>
      <c r="Z887" s="4">
        <f t="shared" si="582"/>
      </c>
      <c r="AA887" s="4">
        <f t="shared" si="583"/>
      </c>
      <c r="AB887" s="4">
        <f t="shared" si="584"/>
      </c>
      <c r="AC887" s="4">
        <f t="shared" si="585"/>
      </c>
      <c r="AD887" s="4">
        <f t="shared" si="586"/>
      </c>
      <c r="AE887" s="4">
        <f t="shared" si="587"/>
      </c>
      <c r="AF887" s="4">
        <f t="shared" si="588"/>
      </c>
      <c r="AG887" s="4">
        <f t="shared" si="589"/>
        <v/>
      </c>
      <c r="AH887" s="4">
        <f t="shared" si="590"/>
      </c>
      <c r="AI887" s="4">
        <f t="shared" si="591"/>
      </c>
      <c r="AJ887" s="4">
        <f t="shared" si="592"/>
      </c>
      <c r="AK887" s="4">
        <f t="shared" si="593"/>
      </c>
      <c r="AL887" s="4">
        <f t="shared" si="594"/>
      </c>
      <c r="AM887" s="4">
        <f t="shared" si="595"/>
      </c>
      <c r="AN887" s="4"/>
      <c r="AO887" s="4">
        <f t="shared" si="596"/>
      </c>
      <c r="AP887" s="4">
        <f t="shared" si="597"/>
      </c>
      <c r="AQ887" s="4">
        <f t="shared" si="598"/>
        <v/>
      </c>
      <c r="AR887" s="4">
        <f t="shared" si="599"/>
      </c>
      <c r="AS887" s="4">
        <f t="shared" si="600"/>
      </c>
      <c r="AT887" s="4">
        <f t="shared" si="601"/>
      </c>
    </row>
    <row r="888" spans="1:46" x14ac:dyDescent="0.3">
      <c r="A888" s="5">
        <f t="shared" ref="A888:A951" si="602">D888</f>
      </c>
      <c r="B888" s="4">
        <f t="shared" ref="B888:B951" si="603">IFERROR(IF(VLOOKUP(AH888,Потребители_обозначение,4,FALSE)=1,VLOOKUP(AH888,Потребители_обозначение,2,FALSE)&amp;" "&amp;VLOOKUP(AI888,Этаж_обозначение,2,FALSE)&amp;" Пом. №"&amp;AG888,VLOOKUP(AH888,Потребители_обозначение,2,FALSE)&amp;" Шлейф №"&amp;AI888),VLOOKUP(D888,Потребители_обозначение,2,FALSE))</f>
      </c>
      <c r="C888" s="59"/>
      <c r="D888" s="59"/>
      <c r="E888" s="70"/>
      <c r="F888" s="164"/>
      <c r="G888" s="164"/>
      <c r="H888" s="164"/>
      <c r="I888" s="70"/>
      <c r="J888" s="70"/>
      <c r="K888" s="70"/>
      <c r="L888" s="70"/>
      <c r="M888" s="4">
        <f t="shared" ref="M888:M951" si="604">IFERROR(IF(VLOOKUP(AH888,Потребители_обозначение,4,FALSE)=1,VLOOKUP(AH888,Потребители_обозначение,3,FALSE)*(G888*2-1)+I888+VLOOKUP(AI888,Этаж_обозначение,3,FALSE)+VLOOKUP(AI888,Этаж_обозначение,4,FALSE),VLOOKUP(AH888,Потребители_обозначение,3,FALSE)*(G888*2-1)+I888),I888)</f>
      </c>
      <c r="N888" s="59"/>
      <c r="O888" s="164"/>
      <c r="P888" s="59">
        <f t="shared" ref="P888:P951" si="605">IF(VLOOKUP(AH888,Потребители_обозначение,5,FALSE)=2,_xlfn.IFS(H888=3,VLOOKUP(E888,Справочная_двигатели,8,FALSE),H888=1,VLOOKUP(E888,Справочная_двигатели,10,TRUE)),0.95)</f>
      </c>
      <c r="Q888" s="165"/>
      <c r="R888" s="59"/>
      <c r="S888" s="164"/>
      <c r="T888" s="5">
        <f t="shared" ref="T888:T951" si="606">_xlfn.IFS(H888=1,E888*1000/220,H888=3,E888/0.38/1.732)</f>
      </c>
      <c r="U888" s="4">
        <f t="shared" ref="U888:U951" si="607">IF(R888=0,VLOOKUP(T888,Автомат_номиналы,2,TRUE),R888)</f>
      </c>
      <c r="V888" s="4">
        <f t="shared" ref="V888:V951" si="608">IF(Q888=0,VLOOKUP(U888,Кабель_номиналы,2,TRUE),Q888)</f>
      </c>
      <c r="W888" s="4">
        <f t="shared" ref="W888:W951" si="609">VLOOKUP(V888,Кабель_сопротивление,3,FALSE)</f>
      </c>
      <c r="X888" s="4">
        <f t="shared" ref="X888:X951" si="610">VLOOKUP(V888,Кабель_сопротивление,2,FALSE)</f>
      </c>
      <c r="Y888" s="4" cm="1">
        <f t="array" ref="Y888">_xlfn.IFS(H888=1,2,H888=3,1)</f>
      </c>
      <c r="Z888" s="4">
        <f t="shared" ref="Z888:Z951" si="611">ROUND(SIN(ACOS(P888)),2)</f>
      </c>
      <c r="AA888" s="4">
        <f t="shared" ref="AA888:AA951" si="612">Y888*(W888*I888/V888+X888*I888*Z888/1000)*T888</f>
      </c>
      <c r="AB888" s="4">
        <f t="shared" ref="AB888:AB951" si="613">ROUNDUP(AA888/220*100,2)</f>
      </c>
      <c r="AC888" s="4">
        <f t="shared" ref="AC888:AC951" si="614">_xlfn.IFS(H888=3,380,H888=1,220)</f>
      </c>
      <c r="AD888" s="4">
        <f t="shared" ref="AD888:AD951" si="615">VLOOKUP(N888,Кабель_обозначение,2,FALSE)</f>
      </c>
      <c r="AE888" s="4">
        <f t="shared" ref="AE888:AE951" si="616">IF(VLOOKUP(N888,Кабель_обозначение,3,FALSE)=1,AD888&amp;" ("&amp;O888&amp;"х"&amp;V888&amp;")",AD888)</f>
      </c>
      <c r="AF888" s="4">
        <f t="shared" ref="AF888:AF951" si="617">IFERROR(IF(AB888&gt;4.5,1,2),0)</f>
      </c>
      <c r="AG888" s="4">
        <f t="shared" ref="AG888:AG951" si="618">IFERROR(LEFT(AQ888,SEARCH(".",AQ888)-1),AQ888)</f>
        <v/>
      </c>
      <c r="AH888" s="4">
        <f t="shared" ref="AH888:AH951" si="619">IFERROR(LEFT(A888,SEARCH(".",A888)-1),A888)</f>
      </c>
      <c r="AI888" s="4">
        <f t="shared" ref="AI888:AI951" si="620">IFERROR(LEFT(AP888,SEARCH(".",AP888)-1),AP888)</f>
      </c>
      <c r="AJ888" s="4">
        <f t="shared" ref="AJ888:AJ951" si="621">IF(C888=0,B888,C888)</f>
      </c>
      <c r="AK888" s="4">
        <f t="shared" ref="AK888:AK951" si="622">ROUNDUP(T888,2)</f>
      </c>
      <c r="AL888" s="4">
        <f t="shared" ref="AL888:AL951" si="623">E888</f>
      </c>
      <c r="AM888" s="4">
        <f t="shared" ref="AM888:AM951" si="624">D888</f>
      </c>
      <c r="AN888" s="4"/>
      <c r="AO888" s="4">
        <f t="shared" ref="AO888:AO951" si="625">IF(V888=0,AD888,AE888&amp;"
L="&amp;M888&amp;"-"&amp;AB888&amp;"%")</f>
      </c>
      <c r="AP888" s="4">
        <f t="shared" ref="AP888:AP951" si="626">RIGHT(A888,LEN(A888)-SEARCH(".",A888))</f>
      </c>
      <c r="AQ888" s="4">
        <f t="shared" ref="AQ888:AQ951" si="627">IFERROR(RIGHT(AP888,LEN(AP888)-SEARCH(".",AP888)),"")</f>
        <v/>
      </c>
      <c r="AR888" s="4">
        <f t="shared" ref="AR888:AR951" si="628">IFERROR(IF(VLOOKUP(AH888,Потребители_обозначение,5,FALSE)=2,_xlfn.IFS(H888=3,VLOOKUP(E888,Справочная_двигатели,3,FALSE),H888=1,VLOOKUP(E888,Справочная_двигатели,5,TRUE)),0),0)</f>
      </c>
      <c r="AS888" s="4">
        <f t="shared" ref="AS888:AS951" si="629">IFERROR(IF(VLOOKUP(AH888,Потребители_обозначение,5,FALSE)=3,VLOOKUP(E888,Справочная_ЛЭД,2,TRUE),0),0)</f>
      </c>
      <c r="AT888" s="4">
        <f t="shared" ref="AT888:AT951" si="630">IF(AR888=0,AS888,AR888)</f>
      </c>
    </row>
    <row r="889" spans="1:46" x14ac:dyDescent="0.3">
      <c r="A889" s="5">
        <f t="shared" si="602"/>
      </c>
      <c r="B889" s="4">
        <f t="shared" si="603"/>
      </c>
      <c r="C889" s="59"/>
      <c r="D889" s="59"/>
      <c r="E889" s="70"/>
      <c r="F889" s="164"/>
      <c r="G889" s="164"/>
      <c r="H889" s="164"/>
      <c r="I889" s="70"/>
      <c r="J889" s="70"/>
      <c r="K889" s="70"/>
      <c r="L889" s="70"/>
      <c r="M889" s="4">
        <f t="shared" si="604"/>
      </c>
      <c r="N889" s="59"/>
      <c r="O889" s="164"/>
      <c r="P889" s="59">
        <f t="shared" si="605"/>
      </c>
      <c r="Q889" s="165"/>
      <c r="R889" s="59"/>
      <c r="S889" s="164"/>
      <c r="T889" s="5">
        <f t="shared" si="606"/>
      </c>
      <c r="U889" s="4">
        <f t="shared" si="607"/>
      </c>
      <c r="V889" s="4">
        <f t="shared" si="608"/>
      </c>
      <c r="W889" s="4">
        <f t="shared" si="609"/>
      </c>
      <c r="X889" s="4">
        <f t="shared" si="610"/>
      </c>
      <c r="Y889" s="4" cm="1">
        <f t="array" ref="Y889">_xlfn.IFS(H889=1,2,H889=3,1)</f>
      </c>
      <c r="Z889" s="4">
        <f t="shared" si="611"/>
      </c>
      <c r="AA889" s="4">
        <f t="shared" si="612"/>
      </c>
      <c r="AB889" s="4">
        <f t="shared" si="613"/>
      </c>
      <c r="AC889" s="4">
        <f t="shared" si="614"/>
      </c>
      <c r="AD889" s="4">
        <f t="shared" si="615"/>
      </c>
      <c r="AE889" s="4">
        <f t="shared" si="616"/>
      </c>
      <c r="AF889" s="4">
        <f t="shared" si="617"/>
      </c>
      <c r="AG889" s="4">
        <f t="shared" si="618"/>
        <v/>
      </c>
      <c r="AH889" s="4">
        <f t="shared" si="619"/>
      </c>
      <c r="AI889" s="4">
        <f t="shared" si="620"/>
      </c>
      <c r="AJ889" s="4">
        <f t="shared" si="621"/>
      </c>
      <c r="AK889" s="4">
        <f t="shared" si="622"/>
      </c>
      <c r="AL889" s="4">
        <f t="shared" si="623"/>
      </c>
      <c r="AM889" s="4">
        <f t="shared" si="624"/>
      </c>
      <c r="AN889" s="4"/>
      <c r="AO889" s="4">
        <f t="shared" si="625"/>
      </c>
      <c r="AP889" s="4">
        <f t="shared" si="626"/>
      </c>
      <c r="AQ889" s="4">
        <f t="shared" si="627"/>
        <v/>
      </c>
      <c r="AR889" s="4">
        <f t="shared" si="628"/>
      </c>
      <c r="AS889" s="4">
        <f t="shared" si="629"/>
      </c>
      <c r="AT889" s="4">
        <f t="shared" si="630"/>
      </c>
    </row>
    <row r="890" spans="1:46" x14ac:dyDescent="0.3">
      <c r="A890" s="5">
        <f t="shared" si="602"/>
      </c>
      <c r="B890" s="4">
        <f t="shared" si="603"/>
      </c>
      <c r="C890" s="59"/>
      <c r="D890" s="59"/>
      <c r="E890" s="70"/>
      <c r="F890" s="164"/>
      <c r="G890" s="164"/>
      <c r="H890" s="164"/>
      <c r="I890" s="70"/>
      <c r="J890" s="70"/>
      <c r="K890" s="70"/>
      <c r="L890" s="70"/>
      <c r="M890" s="4">
        <f t="shared" si="604"/>
      </c>
      <c r="N890" s="59"/>
      <c r="O890" s="164"/>
      <c r="P890" s="59">
        <f t="shared" si="605"/>
      </c>
      <c r="Q890" s="165"/>
      <c r="R890" s="59"/>
      <c r="S890" s="164"/>
      <c r="T890" s="5">
        <f t="shared" si="606"/>
      </c>
      <c r="U890" s="4">
        <f t="shared" si="607"/>
      </c>
      <c r="V890" s="4">
        <f t="shared" si="608"/>
      </c>
      <c r="W890" s="4">
        <f t="shared" si="609"/>
      </c>
      <c r="X890" s="4">
        <f t="shared" si="610"/>
      </c>
      <c r="Y890" s="4" cm="1">
        <f t="array" ref="Y890">_xlfn.IFS(H890=1,2,H890=3,1)</f>
      </c>
      <c r="Z890" s="4">
        <f t="shared" si="611"/>
      </c>
      <c r="AA890" s="4">
        <f t="shared" si="612"/>
      </c>
      <c r="AB890" s="4">
        <f t="shared" si="613"/>
      </c>
      <c r="AC890" s="4">
        <f t="shared" si="614"/>
      </c>
      <c r="AD890" s="4">
        <f t="shared" si="615"/>
      </c>
      <c r="AE890" s="4">
        <f t="shared" si="616"/>
      </c>
      <c r="AF890" s="4">
        <f t="shared" si="617"/>
      </c>
      <c r="AG890" s="4">
        <f t="shared" si="618"/>
        <v/>
      </c>
      <c r="AH890" s="4">
        <f t="shared" si="619"/>
      </c>
      <c r="AI890" s="4">
        <f t="shared" si="620"/>
      </c>
      <c r="AJ890" s="4">
        <f t="shared" si="621"/>
      </c>
      <c r="AK890" s="4">
        <f t="shared" si="622"/>
      </c>
      <c r="AL890" s="4">
        <f t="shared" si="623"/>
      </c>
      <c r="AM890" s="4">
        <f t="shared" si="624"/>
      </c>
      <c r="AN890" s="4"/>
      <c r="AO890" s="4">
        <f t="shared" si="625"/>
      </c>
      <c r="AP890" s="4">
        <f t="shared" si="626"/>
      </c>
      <c r="AQ890" s="4">
        <f t="shared" si="627"/>
        <v/>
      </c>
      <c r="AR890" s="4">
        <f t="shared" si="628"/>
      </c>
      <c r="AS890" s="4">
        <f t="shared" si="629"/>
      </c>
      <c r="AT890" s="4">
        <f t="shared" si="630"/>
      </c>
    </row>
    <row r="891" spans="1:46" x14ac:dyDescent="0.3">
      <c r="A891" s="5">
        <f t="shared" si="602"/>
      </c>
      <c r="B891" s="4">
        <f t="shared" si="603"/>
      </c>
      <c r="C891" s="59"/>
      <c r="D891" s="59"/>
      <c r="E891" s="70"/>
      <c r="F891" s="164"/>
      <c r="G891" s="164"/>
      <c r="H891" s="164"/>
      <c r="I891" s="70"/>
      <c r="J891" s="70"/>
      <c r="K891" s="70"/>
      <c r="L891" s="70"/>
      <c r="M891" s="4">
        <f t="shared" si="604"/>
      </c>
      <c r="N891" s="59"/>
      <c r="O891" s="164"/>
      <c r="P891" s="59">
        <f t="shared" si="605"/>
      </c>
      <c r="Q891" s="165"/>
      <c r="R891" s="59"/>
      <c r="S891" s="164"/>
      <c r="T891" s="5">
        <f t="shared" si="606"/>
      </c>
      <c r="U891" s="4">
        <f t="shared" si="607"/>
      </c>
      <c r="V891" s="4">
        <f t="shared" si="608"/>
      </c>
      <c r="W891" s="4">
        <f t="shared" si="609"/>
      </c>
      <c r="X891" s="4">
        <f t="shared" si="610"/>
      </c>
      <c r="Y891" s="4" cm="1">
        <f t="array" ref="Y891">_xlfn.IFS(H891=1,2,H891=3,1)</f>
      </c>
      <c r="Z891" s="4">
        <f t="shared" si="611"/>
      </c>
      <c r="AA891" s="4">
        <f t="shared" si="612"/>
      </c>
      <c r="AB891" s="4">
        <f t="shared" si="613"/>
      </c>
      <c r="AC891" s="4">
        <f t="shared" si="614"/>
      </c>
      <c r="AD891" s="4">
        <f t="shared" si="615"/>
      </c>
      <c r="AE891" s="4">
        <f t="shared" si="616"/>
      </c>
      <c r="AF891" s="4">
        <f t="shared" si="617"/>
      </c>
      <c r="AG891" s="4">
        <f t="shared" si="618"/>
        <v/>
      </c>
      <c r="AH891" s="4">
        <f t="shared" si="619"/>
      </c>
      <c r="AI891" s="4">
        <f t="shared" si="620"/>
      </c>
      <c r="AJ891" s="4">
        <f t="shared" si="621"/>
      </c>
      <c r="AK891" s="4">
        <f t="shared" si="622"/>
      </c>
      <c r="AL891" s="4">
        <f t="shared" si="623"/>
      </c>
      <c r="AM891" s="4">
        <f t="shared" si="624"/>
      </c>
      <c r="AN891" s="4"/>
      <c r="AO891" s="4">
        <f t="shared" si="625"/>
      </c>
      <c r="AP891" s="4">
        <f t="shared" si="626"/>
      </c>
      <c r="AQ891" s="4">
        <f t="shared" si="627"/>
        <v/>
      </c>
      <c r="AR891" s="4">
        <f t="shared" si="628"/>
      </c>
      <c r="AS891" s="4">
        <f t="shared" si="629"/>
      </c>
      <c r="AT891" s="4">
        <f t="shared" si="630"/>
      </c>
    </row>
    <row r="892" spans="1:46" x14ac:dyDescent="0.3">
      <c r="A892" s="5">
        <f t="shared" si="602"/>
      </c>
      <c r="B892" s="4">
        <f t="shared" si="603"/>
      </c>
      <c r="C892" s="59"/>
      <c r="D892" s="59"/>
      <c r="E892" s="70"/>
      <c r="F892" s="164"/>
      <c r="G892" s="164"/>
      <c r="H892" s="164"/>
      <c r="I892" s="70"/>
      <c r="J892" s="70"/>
      <c r="K892" s="70"/>
      <c r="L892" s="70"/>
      <c r="M892" s="4">
        <f t="shared" si="604"/>
      </c>
      <c r="N892" s="59"/>
      <c r="O892" s="164"/>
      <c r="P892" s="59">
        <f t="shared" si="605"/>
      </c>
      <c r="Q892" s="165"/>
      <c r="R892" s="59"/>
      <c r="S892" s="164"/>
      <c r="T892" s="5">
        <f t="shared" si="606"/>
      </c>
      <c r="U892" s="4">
        <f t="shared" si="607"/>
      </c>
      <c r="V892" s="4">
        <f t="shared" si="608"/>
      </c>
      <c r="W892" s="4">
        <f t="shared" si="609"/>
      </c>
      <c r="X892" s="4">
        <f t="shared" si="610"/>
      </c>
      <c r="Y892" s="4" cm="1">
        <f t="array" ref="Y892">_xlfn.IFS(H892=1,2,H892=3,1)</f>
      </c>
      <c r="Z892" s="4">
        <f t="shared" si="611"/>
      </c>
      <c r="AA892" s="4">
        <f t="shared" si="612"/>
      </c>
      <c r="AB892" s="4">
        <f t="shared" si="613"/>
      </c>
      <c r="AC892" s="4">
        <f t="shared" si="614"/>
      </c>
      <c r="AD892" s="4">
        <f t="shared" si="615"/>
      </c>
      <c r="AE892" s="4">
        <f t="shared" si="616"/>
      </c>
      <c r="AF892" s="4">
        <f t="shared" si="617"/>
      </c>
      <c r="AG892" s="4">
        <f t="shared" si="618"/>
        <v/>
      </c>
      <c r="AH892" s="4">
        <f t="shared" si="619"/>
      </c>
      <c r="AI892" s="4">
        <f t="shared" si="620"/>
      </c>
      <c r="AJ892" s="4">
        <f t="shared" si="621"/>
      </c>
      <c r="AK892" s="4">
        <f t="shared" si="622"/>
      </c>
      <c r="AL892" s="4">
        <f t="shared" si="623"/>
      </c>
      <c r="AM892" s="4">
        <f t="shared" si="624"/>
      </c>
      <c r="AN892" s="4"/>
      <c r="AO892" s="4">
        <f t="shared" si="625"/>
      </c>
      <c r="AP892" s="4">
        <f t="shared" si="626"/>
      </c>
      <c r="AQ892" s="4">
        <f t="shared" si="627"/>
        <v/>
      </c>
      <c r="AR892" s="4">
        <f t="shared" si="628"/>
      </c>
      <c r="AS892" s="4">
        <f t="shared" si="629"/>
      </c>
      <c r="AT892" s="4">
        <f t="shared" si="630"/>
      </c>
    </row>
    <row r="893" spans="1:46" x14ac:dyDescent="0.3">
      <c r="A893" s="5">
        <f t="shared" si="602"/>
      </c>
      <c r="B893" s="4">
        <f t="shared" si="603"/>
      </c>
      <c r="C893" s="59"/>
      <c r="D893" s="59"/>
      <c r="E893" s="70"/>
      <c r="F893" s="164"/>
      <c r="G893" s="164"/>
      <c r="H893" s="164"/>
      <c r="I893" s="70"/>
      <c r="J893" s="70"/>
      <c r="K893" s="70"/>
      <c r="L893" s="70"/>
      <c r="M893" s="4">
        <f t="shared" si="604"/>
      </c>
      <c r="N893" s="59"/>
      <c r="O893" s="164"/>
      <c r="P893" s="59">
        <f t="shared" si="605"/>
      </c>
      <c r="Q893" s="165"/>
      <c r="R893" s="59"/>
      <c r="S893" s="164"/>
      <c r="T893" s="5">
        <f t="shared" si="606"/>
      </c>
      <c r="U893" s="4">
        <f t="shared" si="607"/>
      </c>
      <c r="V893" s="4">
        <f t="shared" si="608"/>
      </c>
      <c r="W893" s="4">
        <f t="shared" si="609"/>
      </c>
      <c r="X893" s="4">
        <f t="shared" si="610"/>
      </c>
      <c r="Y893" s="4" cm="1">
        <f t="array" ref="Y893">_xlfn.IFS(H893=1,2,H893=3,1)</f>
      </c>
      <c r="Z893" s="4">
        <f t="shared" si="611"/>
      </c>
      <c r="AA893" s="4">
        <f t="shared" si="612"/>
      </c>
      <c r="AB893" s="4">
        <f t="shared" si="613"/>
      </c>
      <c r="AC893" s="4">
        <f t="shared" si="614"/>
      </c>
      <c r="AD893" s="4">
        <f t="shared" si="615"/>
      </c>
      <c r="AE893" s="4">
        <f t="shared" si="616"/>
      </c>
      <c r="AF893" s="4">
        <f t="shared" si="617"/>
      </c>
      <c r="AG893" s="4">
        <f t="shared" si="618"/>
        <v/>
      </c>
      <c r="AH893" s="4">
        <f t="shared" si="619"/>
      </c>
      <c r="AI893" s="4">
        <f t="shared" si="620"/>
      </c>
      <c r="AJ893" s="4">
        <f t="shared" si="621"/>
      </c>
      <c r="AK893" s="4">
        <f t="shared" si="622"/>
      </c>
      <c r="AL893" s="4">
        <f t="shared" si="623"/>
      </c>
      <c r="AM893" s="4">
        <f t="shared" si="624"/>
      </c>
      <c r="AN893" s="4"/>
      <c r="AO893" s="4">
        <f t="shared" si="625"/>
      </c>
      <c r="AP893" s="4">
        <f t="shared" si="626"/>
      </c>
      <c r="AQ893" s="4">
        <f t="shared" si="627"/>
        <v/>
      </c>
      <c r="AR893" s="4">
        <f t="shared" si="628"/>
      </c>
      <c r="AS893" s="4">
        <f t="shared" si="629"/>
      </c>
      <c r="AT893" s="4">
        <f t="shared" si="630"/>
      </c>
    </row>
    <row r="894" spans="1:46" x14ac:dyDescent="0.3">
      <c r="A894" s="5">
        <f t="shared" si="602"/>
      </c>
      <c r="B894" s="4">
        <f t="shared" si="603"/>
      </c>
      <c r="C894" s="59"/>
      <c r="D894" s="59"/>
      <c r="E894" s="70"/>
      <c r="F894" s="164"/>
      <c r="G894" s="164"/>
      <c r="H894" s="164"/>
      <c r="I894" s="70"/>
      <c r="J894" s="70"/>
      <c r="K894" s="70"/>
      <c r="L894" s="70"/>
      <c r="M894" s="4">
        <f t="shared" si="604"/>
      </c>
      <c r="N894" s="59"/>
      <c r="O894" s="164"/>
      <c r="P894" s="59">
        <f t="shared" si="605"/>
      </c>
      <c r="Q894" s="165"/>
      <c r="R894" s="59"/>
      <c r="S894" s="164"/>
      <c r="T894" s="5">
        <f t="shared" si="606"/>
      </c>
      <c r="U894" s="4">
        <f t="shared" si="607"/>
      </c>
      <c r="V894" s="4">
        <f t="shared" si="608"/>
      </c>
      <c r="W894" s="4">
        <f t="shared" si="609"/>
      </c>
      <c r="X894" s="4">
        <f t="shared" si="610"/>
      </c>
      <c r="Y894" s="4" cm="1">
        <f t="array" ref="Y894">_xlfn.IFS(H894=1,2,H894=3,1)</f>
      </c>
      <c r="Z894" s="4">
        <f t="shared" si="611"/>
      </c>
      <c r="AA894" s="4">
        <f t="shared" si="612"/>
      </c>
      <c r="AB894" s="4">
        <f t="shared" si="613"/>
      </c>
      <c r="AC894" s="4">
        <f t="shared" si="614"/>
      </c>
      <c r="AD894" s="4">
        <f t="shared" si="615"/>
      </c>
      <c r="AE894" s="4">
        <f t="shared" si="616"/>
      </c>
      <c r="AF894" s="4">
        <f t="shared" si="617"/>
      </c>
      <c r="AG894" s="4">
        <f t="shared" si="618"/>
        <v/>
      </c>
      <c r="AH894" s="4">
        <f t="shared" si="619"/>
      </c>
      <c r="AI894" s="4">
        <f t="shared" si="620"/>
      </c>
      <c r="AJ894" s="4">
        <f t="shared" si="621"/>
      </c>
      <c r="AK894" s="4">
        <f t="shared" si="622"/>
      </c>
      <c r="AL894" s="4">
        <f t="shared" si="623"/>
      </c>
      <c r="AM894" s="4">
        <f t="shared" si="624"/>
      </c>
      <c r="AN894" s="4"/>
      <c r="AO894" s="4">
        <f t="shared" si="625"/>
      </c>
      <c r="AP894" s="4">
        <f t="shared" si="626"/>
      </c>
      <c r="AQ894" s="4">
        <f t="shared" si="627"/>
        <v/>
      </c>
      <c r="AR894" s="4">
        <f t="shared" si="628"/>
      </c>
      <c r="AS894" s="4">
        <f t="shared" si="629"/>
      </c>
      <c r="AT894" s="4">
        <f t="shared" si="630"/>
      </c>
    </row>
    <row r="895" spans="1:46" x14ac:dyDescent="0.3">
      <c r="A895" s="5">
        <f t="shared" si="602"/>
      </c>
      <c r="B895" s="4">
        <f t="shared" si="603"/>
      </c>
      <c r="C895" s="59"/>
      <c r="D895" s="59"/>
      <c r="E895" s="70"/>
      <c r="F895" s="164"/>
      <c r="G895" s="164"/>
      <c r="H895" s="164"/>
      <c r="I895" s="70"/>
      <c r="J895" s="70"/>
      <c r="K895" s="70"/>
      <c r="L895" s="70"/>
      <c r="M895" s="4">
        <f t="shared" si="604"/>
      </c>
      <c r="N895" s="59"/>
      <c r="O895" s="164"/>
      <c r="P895" s="59">
        <f t="shared" si="605"/>
      </c>
      <c r="Q895" s="165"/>
      <c r="R895" s="59"/>
      <c r="S895" s="164"/>
      <c r="T895" s="5">
        <f t="shared" si="606"/>
      </c>
      <c r="U895" s="4">
        <f t="shared" si="607"/>
      </c>
      <c r="V895" s="4">
        <f t="shared" si="608"/>
      </c>
      <c r="W895" s="4">
        <f t="shared" si="609"/>
      </c>
      <c r="X895" s="4">
        <f t="shared" si="610"/>
      </c>
      <c r="Y895" s="4" cm="1">
        <f t="array" ref="Y895">_xlfn.IFS(H895=1,2,H895=3,1)</f>
      </c>
      <c r="Z895" s="4">
        <f t="shared" si="611"/>
      </c>
      <c r="AA895" s="4">
        <f t="shared" si="612"/>
      </c>
      <c r="AB895" s="4">
        <f t="shared" si="613"/>
      </c>
      <c r="AC895" s="4">
        <f t="shared" si="614"/>
      </c>
      <c r="AD895" s="4">
        <f t="shared" si="615"/>
      </c>
      <c r="AE895" s="4">
        <f t="shared" si="616"/>
      </c>
      <c r="AF895" s="4">
        <f t="shared" si="617"/>
      </c>
      <c r="AG895" s="4">
        <f t="shared" si="618"/>
        <v/>
      </c>
      <c r="AH895" s="4">
        <f t="shared" si="619"/>
      </c>
      <c r="AI895" s="4">
        <f t="shared" si="620"/>
      </c>
      <c r="AJ895" s="4">
        <f t="shared" si="621"/>
      </c>
      <c r="AK895" s="4">
        <f t="shared" si="622"/>
      </c>
      <c r="AL895" s="4">
        <f t="shared" si="623"/>
      </c>
      <c r="AM895" s="4">
        <f t="shared" si="624"/>
      </c>
      <c r="AN895" s="4"/>
      <c r="AO895" s="4">
        <f t="shared" si="625"/>
      </c>
      <c r="AP895" s="4">
        <f t="shared" si="626"/>
      </c>
      <c r="AQ895" s="4">
        <f t="shared" si="627"/>
        <v/>
      </c>
      <c r="AR895" s="4">
        <f t="shared" si="628"/>
      </c>
      <c r="AS895" s="4">
        <f t="shared" si="629"/>
      </c>
      <c r="AT895" s="4">
        <f t="shared" si="630"/>
      </c>
    </row>
    <row r="896" spans="1:46" x14ac:dyDescent="0.3">
      <c r="A896" s="5">
        <f t="shared" si="602"/>
      </c>
      <c r="B896" s="4">
        <f t="shared" si="603"/>
      </c>
      <c r="C896" s="59"/>
      <c r="D896" s="59"/>
      <c r="E896" s="70"/>
      <c r="F896" s="164"/>
      <c r="G896" s="164"/>
      <c r="H896" s="164"/>
      <c r="I896" s="70"/>
      <c r="J896" s="70"/>
      <c r="K896" s="70"/>
      <c r="L896" s="70"/>
      <c r="M896" s="4">
        <f t="shared" si="604"/>
      </c>
      <c r="N896" s="59"/>
      <c r="O896" s="164"/>
      <c r="P896" s="59">
        <f t="shared" si="605"/>
      </c>
      <c r="Q896" s="165"/>
      <c r="R896" s="59"/>
      <c r="S896" s="164"/>
      <c r="T896" s="5">
        <f t="shared" si="606"/>
      </c>
      <c r="U896" s="4">
        <f t="shared" si="607"/>
      </c>
      <c r="V896" s="4">
        <f t="shared" si="608"/>
      </c>
      <c r="W896" s="4">
        <f t="shared" si="609"/>
      </c>
      <c r="X896" s="4">
        <f t="shared" si="610"/>
      </c>
      <c r="Y896" s="4" cm="1">
        <f t="array" ref="Y896">_xlfn.IFS(H896=1,2,H896=3,1)</f>
      </c>
      <c r="Z896" s="4">
        <f t="shared" si="611"/>
      </c>
      <c r="AA896" s="4">
        <f t="shared" si="612"/>
      </c>
      <c r="AB896" s="4">
        <f t="shared" si="613"/>
      </c>
      <c r="AC896" s="4">
        <f t="shared" si="614"/>
      </c>
      <c r="AD896" s="4">
        <f t="shared" si="615"/>
      </c>
      <c r="AE896" s="4">
        <f t="shared" si="616"/>
      </c>
      <c r="AF896" s="4">
        <f t="shared" si="617"/>
      </c>
      <c r="AG896" s="4">
        <f t="shared" si="618"/>
        <v/>
      </c>
      <c r="AH896" s="4">
        <f t="shared" si="619"/>
      </c>
      <c r="AI896" s="4">
        <f t="shared" si="620"/>
      </c>
      <c r="AJ896" s="4">
        <f t="shared" si="621"/>
      </c>
      <c r="AK896" s="4">
        <f t="shared" si="622"/>
      </c>
      <c r="AL896" s="4">
        <f t="shared" si="623"/>
      </c>
      <c r="AM896" s="4">
        <f t="shared" si="624"/>
      </c>
      <c r="AN896" s="4"/>
      <c r="AO896" s="4">
        <f t="shared" si="625"/>
      </c>
      <c r="AP896" s="4">
        <f t="shared" si="626"/>
      </c>
      <c r="AQ896" s="4">
        <f t="shared" si="627"/>
        <v/>
      </c>
      <c r="AR896" s="4">
        <f t="shared" si="628"/>
      </c>
      <c r="AS896" s="4">
        <f t="shared" si="629"/>
      </c>
      <c r="AT896" s="4">
        <f t="shared" si="630"/>
      </c>
    </row>
    <row r="897" spans="1:46" x14ac:dyDescent="0.3">
      <c r="A897" s="5">
        <f t="shared" si="602"/>
      </c>
      <c r="B897" s="4">
        <f t="shared" si="603"/>
      </c>
      <c r="C897" s="59"/>
      <c r="D897" s="59"/>
      <c r="E897" s="70"/>
      <c r="F897" s="164"/>
      <c r="G897" s="164"/>
      <c r="H897" s="164"/>
      <c r="I897" s="70"/>
      <c r="J897" s="70"/>
      <c r="K897" s="70"/>
      <c r="L897" s="70"/>
      <c r="M897" s="4">
        <f t="shared" si="604"/>
      </c>
      <c r="N897" s="59"/>
      <c r="O897" s="164"/>
      <c r="P897" s="59">
        <f t="shared" si="605"/>
      </c>
      <c r="Q897" s="165"/>
      <c r="R897" s="59"/>
      <c r="S897" s="164"/>
      <c r="T897" s="5">
        <f t="shared" si="606"/>
      </c>
      <c r="U897" s="4">
        <f t="shared" si="607"/>
      </c>
      <c r="V897" s="4">
        <f t="shared" si="608"/>
      </c>
      <c r="W897" s="4">
        <f t="shared" si="609"/>
      </c>
      <c r="X897" s="4">
        <f t="shared" si="610"/>
      </c>
      <c r="Y897" s="4" cm="1">
        <f t="array" ref="Y897">_xlfn.IFS(H897=1,2,H897=3,1)</f>
      </c>
      <c r="Z897" s="4">
        <f t="shared" si="611"/>
      </c>
      <c r="AA897" s="4">
        <f t="shared" si="612"/>
      </c>
      <c r="AB897" s="4">
        <f t="shared" si="613"/>
      </c>
      <c r="AC897" s="4">
        <f t="shared" si="614"/>
      </c>
      <c r="AD897" s="4">
        <f t="shared" si="615"/>
      </c>
      <c r="AE897" s="4">
        <f t="shared" si="616"/>
      </c>
      <c r="AF897" s="4">
        <f t="shared" si="617"/>
      </c>
      <c r="AG897" s="4">
        <f t="shared" si="618"/>
        <v/>
      </c>
      <c r="AH897" s="4">
        <f t="shared" si="619"/>
      </c>
      <c r="AI897" s="4">
        <f t="shared" si="620"/>
      </c>
      <c r="AJ897" s="4">
        <f t="shared" si="621"/>
      </c>
      <c r="AK897" s="4">
        <f t="shared" si="622"/>
      </c>
      <c r="AL897" s="4">
        <f t="shared" si="623"/>
      </c>
      <c r="AM897" s="4">
        <f t="shared" si="624"/>
      </c>
      <c r="AN897" s="4"/>
      <c r="AO897" s="4">
        <f t="shared" si="625"/>
      </c>
      <c r="AP897" s="4">
        <f t="shared" si="626"/>
      </c>
      <c r="AQ897" s="4">
        <f t="shared" si="627"/>
        <v/>
      </c>
      <c r="AR897" s="4">
        <f t="shared" si="628"/>
      </c>
      <c r="AS897" s="4">
        <f t="shared" si="629"/>
      </c>
      <c r="AT897" s="4">
        <f t="shared" si="630"/>
      </c>
    </row>
    <row r="898" spans="1:46" x14ac:dyDescent="0.3">
      <c r="A898" s="5">
        <f t="shared" si="602"/>
      </c>
      <c r="B898" s="4">
        <f t="shared" si="603"/>
      </c>
      <c r="C898" s="59"/>
      <c r="D898" s="59"/>
      <c r="E898" s="70"/>
      <c r="F898" s="164"/>
      <c r="G898" s="164"/>
      <c r="H898" s="164"/>
      <c r="I898" s="70"/>
      <c r="J898" s="70"/>
      <c r="K898" s="70"/>
      <c r="L898" s="70"/>
      <c r="M898" s="4">
        <f t="shared" si="604"/>
      </c>
      <c r="N898" s="59"/>
      <c r="O898" s="164"/>
      <c r="P898" s="59">
        <f t="shared" si="605"/>
      </c>
      <c r="Q898" s="165"/>
      <c r="R898" s="59"/>
      <c r="S898" s="164"/>
      <c r="T898" s="5">
        <f t="shared" si="606"/>
      </c>
      <c r="U898" s="4">
        <f t="shared" si="607"/>
      </c>
      <c r="V898" s="4">
        <f t="shared" si="608"/>
      </c>
      <c r="W898" s="4">
        <f t="shared" si="609"/>
      </c>
      <c r="X898" s="4">
        <f t="shared" si="610"/>
      </c>
      <c r="Y898" s="4" cm="1">
        <f t="array" ref="Y898">_xlfn.IFS(H898=1,2,H898=3,1)</f>
      </c>
      <c r="Z898" s="4">
        <f t="shared" si="611"/>
      </c>
      <c r="AA898" s="4">
        <f t="shared" si="612"/>
      </c>
      <c r="AB898" s="4">
        <f t="shared" si="613"/>
      </c>
      <c r="AC898" s="4">
        <f t="shared" si="614"/>
      </c>
      <c r="AD898" s="4">
        <f t="shared" si="615"/>
      </c>
      <c r="AE898" s="4">
        <f t="shared" si="616"/>
      </c>
      <c r="AF898" s="4">
        <f t="shared" si="617"/>
      </c>
      <c r="AG898" s="4">
        <f t="shared" si="618"/>
        <v/>
      </c>
      <c r="AH898" s="4">
        <f t="shared" si="619"/>
      </c>
      <c r="AI898" s="4">
        <f t="shared" si="620"/>
      </c>
      <c r="AJ898" s="4">
        <f t="shared" si="621"/>
      </c>
      <c r="AK898" s="4">
        <f t="shared" si="622"/>
      </c>
      <c r="AL898" s="4">
        <f t="shared" si="623"/>
      </c>
      <c r="AM898" s="4">
        <f t="shared" si="624"/>
      </c>
      <c r="AN898" s="4"/>
      <c r="AO898" s="4">
        <f t="shared" si="625"/>
      </c>
      <c r="AP898" s="4">
        <f t="shared" si="626"/>
      </c>
      <c r="AQ898" s="4">
        <f t="shared" si="627"/>
        <v/>
      </c>
      <c r="AR898" s="4">
        <f t="shared" si="628"/>
      </c>
      <c r="AS898" s="4">
        <f t="shared" si="629"/>
      </c>
      <c r="AT898" s="4">
        <f t="shared" si="630"/>
      </c>
    </row>
    <row r="899" spans="1:46" x14ac:dyDescent="0.3">
      <c r="A899" s="5">
        <f t="shared" si="602"/>
      </c>
      <c r="B899" s="4">
        <f t="shared" si="603"/>
      </c>
      <c r="C899" s="59"/>
      <c r="D899" s="59"/>
      <c r="E899" s="70"/>
      <c r="F899" s="164"/>
      <c r="G899" s="164"/>
      <c r="H899" s="164"/>
      <c r="I899" s="70"/>
      <c r="J899" s="70"/>
      <c r="K899" s="70"/>
      <c r="L899" s="70"/>
      <c r="M899" s="4">
        <f t="shared" si="604"/>
      </c>
      <c r="N899" s="59"/>
      <c r="O899" s="164"/>
      <c r="P899" s="59">
        <f t="shared" si="605"/>
      </c>
      <c r="Q899" s="165"/>
      <c r="R899" s="59"/>
      <c r="S899" s="164"/>
      <c r="T899" s="5">
        <f t="shared" si="606"/>
      </c>
      <c r="U899" s="4">
        <f t="shared" si="607"/>
      </c>
      <c r="V899" s="4">
        <f t="shared" si="608"/>
      </c>
      <c r="W899" s="4">
        <f t="shared" si="609"/>
      </c>
      <c r="X899" s="4">
        <f t="shared" si="610"/>
      </c>
      <c r="Y899" s="4" cm="1">
        <f t="array" ref="Y899">_xlfn.IFS(H899=1,2,H899=3,1)</f>
      </c>
      <c r="Z899" s="4">
        <f t="shared" si="611"/>
      </c>
      <c r="AA899" s="4">
        <f t="shared" si="612"/>
      </c>
      <c r="AB899" s="4">
        <f t="shared" si="613"/>
      </c>
      <c r="AC899" s="4">
        <f t="shared" si="614"/>
      </c>
      <c r="AD899" s="4">
        <f t="shared" si="615"/>
      </c>
      <c r="AE899" s="4">
        <f t="shared" si="616"/>
      </c>
      <c r="AF899" s="4">
        <f t="shared" si="617"/>
      </c>
      <c r="AG899" s="4">
        <f t="shared" si="618"/>
        <v/>
      </c>
      <c r="AH899" s="4">
        <f t="shared" si="619"/>
      </c>
      <c r="AI899" s="4">
        <f t="shared" si="620"/>
      </c>
      <c r="AJ899" s="4">
        <f t="shared" si="621"/>
      </c>
      <c r="AK899" s="4">
        <f t="shared" si="622"/>
      </c>
      <c r="AL899" s="4">
        <f t="shared" si="623"/>
      </c>
      <c r="AM899" s="4">
        <f t="shared" si="624"/>
      </c>
      <c r="AN899" s="4"/>
      <c r="AO899" s="4">
        <f t="shared" si="625"/>
      </c>
      <c r="AP899" s="4">
        <f t="shared" si="626"/>
      </c>
      <c r="AQ899" s="4">
        <f t="shared" si="627"/>
        <v/>
      </c>
      <c r="AR899" s="4">
        <f t="shared" si="628"/>
      </c>
      <c r="AS899" s="4">
        <f t="shared" si="629"/>
      </c>
      <c r="AT899" s="4">
        <f t="shared" si="630"/>
      </c>
    </row>
    <row r="900" spans="1:46" x14ac:dyDescent="0.3">
      <c r="A900" s="5">
        <f t="shared" si="602"/>
      </c>
      <c r="B900" s="4">
        <f t="shared" si="603"/>
      </c>
      <c r="C900" s="59"/>
      <c r="D900" s="59"/>
      <c r="E900" s="70"/>
      <c r="F900" s="164"/>
      <c r="G900" s="164"/>
      <c r="H900" s="164"/>
      <c r="I900" s="70"/>
      <c r="J900" s="70"/>
      <c r="K900" s="70"/>
      <c r="L900" s="70"/>
      <c r="M900" s="4">
        <f t="shared" si="604"/>
      </c>
      <c r="N900" s="59"/>
      <c r="O900" s="164"/>
      <c r="P900" s="59">
        <f t="shared" si="605"/>
      </c>
      <c r="Q900" s="165"/>
      <c r="R900" s="59"/>
      <c r="S900" s="164"/>
      <c r="T900" s="5">
        <f t="shared" si="606"/>
      </c>
      <c r="U900" s="4">
        <f t="shared" si="607"/>
      </c>
      <c r="V900" s="4">
        <f t="shared" si="608"/>
      </c>
      <c r="W900" s="4">
        <f t="shared" si="609"/>
      </c>
      <c r="X900" s="4">
        <f t="shared" si="610"/>
      </c>
      <c r="Y900" s="4" cm="1">
        <f t="array" ref="Y900">_xlfn.IFS(H900=1,2,H900=3,1)</f>
      </c>
      <c r="Z900" s="4">
        <f t="shared" si="611"/>
      </c>
      <c r="AA900" s="4">
        <f t="shared" si="612"/>
      </c>
      <c r="AB900" s="4">
        <f t="shared" si="613"/>
      </c>
      <c r="AC900" s="4">
        <f t="shared" si="614"/>
      </c>
      <c r="AD900" s="4">
        <f t="shared" si="615"/>
      </c>
      <c r="AE900" s="4">
        <f t="shared" si="616"/>
      </c>
      <c r="AF900" s="4">
        <f t="shared" si="617"/>
      </c>
      <c r="AG900" s="4">
        <f t="shared" si="618"/>
        <v/>
      </c>
      <c r="AH900" s="4">
        <f t="shared" si="619"/>
      </c>
      <c r="AI900" s="4">
        <f t="shared" si="620"/>
      </c>
      <c r="AJ900" s="4">
        <f t="shared" si="621"/>
      </c>
      <c r="AK900" s="4">
        <f t="shared" si="622"/>
      </c>
      <c r="AL900" s="4">
        <f t="shared" si="623"/>
      </c>
      <c r="AM900" s="4">
        <f t="shared" si="624"/>
      </c>
      <c r="AN900" s="4"/>
      <c r="AO900" s="4">
        <f t="shared" si="625"/>
      </c>
      <c r="AP900" s="4">
        <f t="shared" si="626"/>
      </c>
      <c r="AQ900" s="4">
        <f t="shared" si="627"/>
        <v/>
      </c>
      <c r="AR900" s="4">
        <f t="shared" si="628"/>
      </c>
      <c r="AS900" s="4">
        <f t="shared" si="629"/>
      </c>
      <c r="AT900" s="4">
        <f t="shared" si="630"/>
      </c>
    </row>
    <row r="901" spans="1:46" x14ac:dyDescent="0.3">
      <c r="A901" s="5">
        <f t="shared" si="602"/>
      </c>
      <c r="B901" s="4">
        <f t="shared" si="603"/>
      </c>
      <c r="C901" s="59"/>
      <c r="D901" s="59"/>
      <c r="E901" s="70"/>
      <c r="F901" s="164"/>
      <c r="G901" s="164"/>
      <c r="H901" s="164"/>
      <c r="I901" s="70"/>
      <c r="J901" s="70"/>
      <c r="K901" s="70"/>
      <c r="L901" s="70"/>
      <c r="M901" s="4">
        <f t="shared" si="604"/>
      </c>
      <c r="N901" s="59"/>
      <c r="O901" s="164"/>
      <c r="P901" s="59">
        <f t="shared" si="605"/>
      </c>
      <c r="Q901" s="165"/>
      <c r="R901" s="59"/>
      <c r="S901" s="164"/>
      <c r="T901" s="5">
        <f t="shared" si="606"/>
      </c>
      <c r="U901" s="4">
        <f t="shared" si="607"/>
      </c>
      <c r="V901" s="4">
        <f t="shared" si="608"/>
      </c>
      <c r="W901" s="4">
        <f t="shared" si="609"/>
      </c>
      <c r="X901" s="4">
        <f t="shared" si="610"/>
      </c>
      <c r="Y901" s="4" cm="1">
        <f t="array" ref="Y901">_xlfn.IFS(H901=1,2,H901=3,1)</f>
      </c>
      <c r="Z901" s="4">
        <f t="shared" si="611"/>
      </c>
      <c r="AA901" s="4">
        <f t="shared" si="612"/>
      </c>
      <c r="AB901" s="4">
        <f t="shared" si="613"/>
      </c>
      <c r="AC901" s="4">
        <f t="shared" si="614"/>
      </c>
      <c r="AD901" s="4">
        <f t="shared" si="615"/>
      </c>
      <c r="AE901" s="4">
        <f t="shared" si="616"/>
      </c>
      <c r="AF901" s="4">
        <f t="shared" si="617"/>
      </c>
      <c r="AG901" s="4">
        <f t="shared" si="618"/>
        <v/>
      </c>
      <c r="AH901" s="4">
        <f t="shared" si="619"/>
      </c>
      <c r="AI901" s="4">
        <f t="shared" si="620"/>
      </c>
      <c r="AJ901" s="4">
        <f t="shared" si="621"/>
      </c>
      <c r="AK901" s="4">
        <f t="shared" si="622"/>
      </c>
      <c r="AL901" s="4">
        <f t="shared" si="623"/>
      </c>
      <c r="AM901" s="4">
        <f t="shared" si="624"/>
      </c>
      <c r="AN901" s="4"/>
      <c r="AO901" s="4">
        <f t="shared" si="625"/>
      </c>
      <c r="AP901" s="4">
        <f t="shared" si="626"/>
      </c>
      <c r="AQ901" s="4">
        <f t="shared" si="627"/>
        <v/>
      </c>
      <c r="AR901" s="4">
        <f t="shared" si="628"/>
      </c>
      <c r="AS901" s="4">
        <f t="shared" si="629"/>
      </c>
      <c r="AT901" s="4">
        <f t="shared" si="630"/>
      </c>
    </row>
    <row r="902" spans="1:46" x14ac:dyDescent="0.3">
      <c r="A902" s="5">
        <f t="shared" si="602"/>
      </c>
      <c r="B902" s="4">
        <f t="shared" si="603"/>
      </c>
      <c r="C902" s="59"/>
      <c r="D902" s="59"/>
      <c r="E902" s="70"/>
      <c r="F902" s="164"/>
      <c r="G902" s="164"/>
      <c r="H902" s="164"/>
      <c r="I902" s="70"/>
      <c r="J902" s="70"/>
      <c r="K902" s="70"/>
      <c r="L902" s="70"/>
      <c r="M902" s="4">
        <f t="shared" si="604"/>
      </c>
      <c r="N902" s="59"/>
      <c r="O902" s="164"/>
      <c r="P902" s="59">
        <f t="shared" si="605"/>
      </c>
      <c r="Q902" s="165"/>
      <c r="R902" s="59"/>
      <c r="S902" s="164"/>
      <c r="T902" s="5">
        <f t="shared" si="606"/>
      </c>
      <c r="U902" s="4">
        <f t="shared" si="607"/>
      </c>
      <c r="V902" s="4">
        <f t="shared" si="608"/>
      </c>
      <c r="W902" s="4">
        <f t="shared" si="609"/>
      </c>
      <c r="X902" s="4">
        <f t="shared" si="610"/>
      </c>
      <c r="Y902" s="4" cm="1">
        <f t="array" ref="Y902">_xlfn.IFS(H902=1,2,H902=3,1)</f>
      </c>
      <c r="Z902" s="4">
        <f t="shared" si="611"/>
      </c>
      <c r="AA902" s="4">
        <f t="shared" si="612"/>
      </c>
      <c r="AB902" s="4">
        <f t="shared" si="613"/>
      </c>
      <c r="AC902" s="4">
        <f t="shared" si="614"/>
      </c>
      <c r="AD902" s="4">
        <f t="shared" si="615"/>
      </c>
      <c r="AE902" s="4">
        <f t="shared" si="616"/>
      </c>
      <c r="AF902" s="4">
        <f t="shared" si="617"/>
      </c>
      <c r="AG902" s="4">
        <f t="shared" si="618"/>
        <v/>
      </c>
      <c r="AH902" s="4">
        <f t="shared" si="619"/>
      </c>
      <c r="AI902" s="4">
        <f t="shared" si="620"/>
      </c>
      <c r="AJ902" s="4">
        <f t="shared" si="621"/>
      </c>
      <c r="AK902" s="4">
        <f t="shared" si="622"/>
      </c>
      <c r="AL902" s="4">
        <f t="shared" si="623"/>
      </c>
      <c r="AM902" s="4">
        <f t="shared" si="624"/>
      </c>
      <c r="AN902" s="4"/>
      <c r="AO902" s="4">
        <f t="shared" si="625"/>
      </c>
      <c r="AP902" s="4">
        <f t="shared" si="626"/>
      </c>
      <c r="AQ902" s="4">
        <f t="shared" si="627"/>
        <v/>
      </c>
      <c r="AR902" s="4">
        <f t="shared" si="628"/>
      </c>
      <c r="AS902" s="4">
        <f t="shared" si="629"/>
      </c>
      <c r="AT902" s="4">
        <f t="shared" si="630"/>
      </c>
    </row>
    <row r="903" spans="1:46" x14ac:dyDescent="0.3">
      <c r="A903" s="5">
        <f t="shared" si="602"/>
      </c>
      <c r="B903" s="4">
        <f t="shared" si="603"/>
      </c>
      <c r="C903" s="59"/>
      <c r="D903" s="59"/>
      <c r="E903" s="70"/>
      <c r="F903" s="164"/>
      <c r="G903" s="164"/>
      <c r="H903" s="164"/>
      <c r="I903" s="70"/>
      <c r="J903" s="70"/>
      <c r="K903" s="70"/>
      <c r="L903" s="70"/>
      <c r="M903" s="4">
        <f t="shared" si="604"/>
      </c>
      <c r="N903" s="59"/>
      <c r="O903" s="164"/>
      <c r="P903" s="59">
        <f t="shared" si="605"/>
      </c>
      <c r="Q903" s="165"/>
      <c r="R903" s="59"/>
      <c r="S903" s="164"/>
      <c r="T903" s="5">
        <f t="shared" si="606"/>
      </c>
      <c r="U903" s="4">
        <f t="shared" si="607"/>
      </c>
      <c r="V903" s="4">
        <f t="shared" si="608"/>
      </c>
      <c r="W903" s="4">
        <f t="shared" si="609"/>
      </c>
      <c r="X903" s="4">
        <f t="shared" si="610"/>
      </c>
      <c r="Y903" s="4" cm="1">
        <f t="array" ref="Y903">_xlfn.IFS(H903=1,2,H903=3,1)</f>
      </c>
      <c r="Z903" s="4">
        <f t="shared" si="611"/>
      </c>
      <c r="AA903" s="4">
        <f t="shared" si="612"/>
      </c>
      <c r="AB903" s="4">
        <f t="shared" si="613"/>
      </c>
      <c r="AC903" s="4">
        <f t="shared" si="614"/>
      </c>
      <c r="AD903" s="4">
        <f t="shared" si="615"/>
      </c>
      <c r="AE903" s="4">
        <f t="shared" si="616"/>
      </c>
      <c r="AF903" s="4">
        <f t="shared" si="617"/>
      </c>
      <c r="AG903" s="4">
        <f t="shared" si="618"/>
        <v/>
      </c>
      <c r="AH903" s="4">
        <f t="shared" si="619"/>
      </c>
      <c r="AI903" s="4">
        <f t="shared" si="620"/>
      </c>
      <c r="AJ903" s="4">
        <f t="shared" si="621"/>
      </c>
      <c r="AK903" s="4">
        <f t="shared" si="622"/>
      </c>
      <c r="AL903" s="4">
        <f t="shared" si="623"/>
      </c>
      <c r="AM903" s="4">
        <f t="shared" si="624"/>
      </c>
      <c r="AN903" s="4"/>
      <c r="AO903" s="4">
        <f t="shared" si="625"/>
      </c>
      <c r="AP903" s="4">
        <f t="shared" si="626"/>
      </c>
      <c r="AQ903" s="4">
        <f t="shared" si="627"/>
        <v/>
      </c>
      <c r="AR903" s="4">
        <f t="shared" si="628"/>
      </c>
      <c r="AS903" s="4">
        <f t="shared" si="629"/>
      </c>
      <c r="AT903" s="4">
        <f t="shared" si="630"/>
      </c>
    </row>
    <row r="904" spans="1:46" x14ac:dyDescent="0.3">
      <c r="A904" s="5">
        <f t="shared" si="602"/>
      </c>
      <c r="B904" s="4">
        <f t="shared" si="603"/>
      </c>
      <c r="C904" s="59"/>
      <c r="D904" s="59"/>
      <c r="E904" s="70"/>
      <c r="F904" s="164"/>
      <c r="G904" s="164"/>
      <c r="H904" s="164"/>
      <c r="I904" s="70"/>
      <c r="J904" s="70"/>
      <c r="K904" s="70"/>
      <c r="L904" s="70"/>
      <c r="M904" s="4">
        <f t="shared" si="604"/>
      </c>
      <c r="N904" s="59"/>
      <c r="O904" s="164"/>
      <c r="P904" s="59">
        <f t="shared" si="605"/>
      </c>
      <c r="Q904" s="165"/>
      <c r="R904" s="59"/>
      <c r="S904" s="164"/>
      <c r="T904" s="5">
        <f t="shared" si="606"/>
      </c>
      <c r="U904" s="4">
        <f t="shared" si="607"/>
      </c>
      <c r="V904" s="4">
        <f t="shared" si="608"/>
      </c>
      <c r="W904" s="4">
        <f t="shared" si="609"/>
      </c>
      <c r="X904" s="4">
        <f t="shared" si="610"/>
      </c>
      <c r="Y904" s="4" cm="1">
        <f t="array" ref="Y904">_xlfn.IFS(H904=1,2,H904=3,1)</f>
      </c>
      <c r="Z904" s="4">
        <f t="shared" si="611"/>
      </c>
      <c r="AA904" s="4">
        <f t="shared" si="612"/>
      </c>
      <c r="AB904" s="4">
        <f t="shared" si="613"/>
      </c>
      <c r="AC904" s="4">
        <f t="shared" si="614"/>
      </c>
      <c r="AD904" s="4">
        <f t="shared" si="615"/>
      </c>
      <c r="AE904" s="4">
        <f t="shared" si="616"/>
      </c>
      <c r="AF904" s="4">
        <f t="shared" si="617"/>
      </c>
      <c r="AG904" s="4">
        <f t="shared" si="618"/>
        <v/>
      </c>
      <c r="AH904" s="4">
        <f t="shared" si="619"/>
      </c>
      <c r="AI904" s="4">
        <f t="shared" si="620"/>
      </c>
      <c r="AJ904" s="4">
        <f t="shared" si="621"/>
      </c>
      <c r="AK904" s="4">
        <f t="shared" si="622"/>
      </c>
      <c r="AL904" s="4">
        <f t="shared" si="623"/>
      </c>
      <c r="AM904" s="4">
        <f t="shared" si="624"/>
      </c>
      <c r="AN904" s="4"/>
      <c r="AO904" s="4">
        <f t="shared" si="625"/>
      </c>
      <c r="AP904" s="4">
        <f t="shared" si="626"/>
      </c>
      <c r="AQ904" s="4">
        <f t="shared" si="627"/>
        <v/>
      </c>
      <c r="AR904" s="4">
        <f t="shared" si="628"/>
      </c>
      <c r="AS904" s="4">
        <f t="shared" si="629"/>
      </c>
      <c r="AT904" s="4">
        <f t="shared" si="630"/>
      </c>
    </row>
    <row r="905" spans="1:46" x14ac:dyDescent="0.3">
      <c r="A905" s="5">
        <f t="shared" si="602"/>
      </c>
      <c r="B905" s="4">
        <f t="shared" si="603"/>
      </c>
      <c r="C905" s="59"/>
      <c r="D905" s="59"/>
      <c r="E905" s="70"/>
      <c r="F905" s="164"/>
      <c r="G905" s="164"/>
      <c r="H905" s="164"/>
      <c r="I905" s="70"/>
      <c r="J905" s="70"/>
      <c r="K905" s="70"/>
      <c r="L905" s="70"/>
      <c r="M905" s="4">
        <f t="shared" si="604"/>
      </c>
      <c r="N905" s="59"/>
      <c r="O905" s="164"/>
      <c r="P905" s="59">
        <f t="shared" si="605"/>
      </c>
      <c r="Q905" s="165"/>
      <c r="R905" s="59"/>
      <c r="S905" s="164"/>
      <c r="T905" s="5">
        <f t="shared" si="606"/>
      </c>
      <c r="U905" s="4">
        <f t="shared" si="607"/>
      </c>
      <c r="V905" s="4">
        <f t="shared" si="608"/>
      </c>
      <c r="W905" s="4">
        <f t="shared" si="609"/>
      </c>
      <c r="X905" s="4">
        <f t="shared" si="610"/>
      </c>
      <c r="Y905" s="4" cm="1">
        <f t="array" ref="Y905">_xlfn.IFS(H905=1,2,H905=3,1)</f>
      </c>
      <c r="Z905" s="4">
        <f t="shared" si="611"/>
      </c>
      <c r="AA905" s="4">
        <f t="shared" si="612"/>
      </c>
      <c r="AB905" s="4">
        <f t="shared" si="613"/>
      </c>
      <c r="AC905" s="4">
        <f t="shared" si="614"/>
      </c>
      <c r="AD905" s="4">
        <f t="shared" si="615"/>
      </c>
      <c r="AE905" s="4">
        <f t="shared" si="616"/>
      </c>
      <c r="AF905" s="4">
        <f t="shared" si="617"/>
      </c>
      <c r="AG905" s="4">
        <f t="shared" si="618"/>
        <v/>
      </c>
      <c r="AH905" s="4">
        <f t="shared" si="619"/>
      </c>
      <c r="AI905" s="4">
        <f t="shared" si="620"/>
      </c>
      <c r="AJ905" s="4">
        <f t="shared" si="621"/>
      </c>
      <c r="AK905" s="4">
        <f t="shared" si="622"/>
      </c>
      <c r="AL905" s="4">
        <f t="shared" si="623"/>
      </c>
      <c r="AM905" s="4">
        <f t="shared" si="624"/>
      </c>
      <c r="AN905" s="4"/>
      <c r="AO905" s="4">
        <f t="shared" si="625"/>
      </c>
      <c r="AP905" s="4">
        <f t="shared" si="626"/>
      </c>
      <c r="AQ905" s="4">
        <f t="shared" si="627"/>
        <v/>
      </c>
      <c r="AR905" s="4">
        <f t="shared" si="628"/>
      </c>
      <c r="AS905" s="4">
        <f t="shared" si="629"/>
      </c>
      <c r="AT905" s="4">
        <f t="shared" si="630"/>
      </c>
    </row>
    <row r="906" spans="1:46" x14ac:dyDescent="0.3">
      <c r="A906" s="5">
        <f t="shared" si="602"/>
      </c>
      <c r="B906" s="4">
        <f t="shared" si="603"/>
      </c>
      <c r="C906" s="59"/>
      <c r="D906" s="59"/>
      <c r="E906" s="70"/>
      <c r="F906" s="164"/>
      <c r="G906" s="164"/>
      <c r="H906" s="164"/>
      <c r="I906" s="70"/>
      <c r="J906" s="70"/>
      <c r="K906" s="70"/>
      <c r="L906" s="70"/>
      <c r="M906" s="4">
        <f t="shared" si="604"/>
      </c>
      <c r="N906" s="59"/>
      <c r="O906" s="164"/>
      <c r="P906" s="59">
        <f t="shared" si="605"/>
      </c>
      <c r="Q906" s="165"/>
      <c r="R906" s="59"/>
      <c r="S906" s="164"/>
      <c r="T906" s="5">
        <f t="shared" si="606"/>
      </c>
      <c r="U906" s="4">
        <f t="shared" si="607"/>
      </c>
      <c r="V906" s="4">
        <f t="shared" si="608"/>
      </c>
      <c r="W906" s="4">
        <f t="shared" si="609"/>
      </c>
      <c r="X906" s="4">
        <f t="shared" si="610"/>
      </c>
      <c r="Y906" s="4" cm="1">
        <f t="array" ref="Y906">_xlfn.IFS(H906=1,2,H906=3,1)</f>
      </c>
      <c r="Z906" s="4">
        <f t="shared" si="611"/>
      </c>
      <c r="AA906" s="4">
        <f t="shared" si="612"/>
      </c>
      <c r="AB906" s="4">
        <f t="shared" si="613"/>
      </c>
      <c r="AC906" s="4">
        <f t="shared" si="614"/>
      </c>
      <c r="AD906" s="4">
        <f t="shared" si="615"/>
      </c>
      <c r="AE906" s="4">
        <f t="shared" si="616"/>
      </c>
      <c r="AF906" s="4">
        <f t="shared" si="617"/>
      </c>
      <c r="AG906" s="4">
        <f t="shared" si="618"/>
        <v/>
      </c>
      <c r="AH906" s="4">
        <f t="shared" si="619"/>
      </c>
      <c r="AI906" s="4">
        <f t="shared" si="620"/>
      </c>
      <c r="AJ906" s="4">
        <f t="shared" si="621"/>
      </c>
      <c r="AK906" s="4">
        <f t="shared" si="622"/>
      </c>
      <c r="AL906" s="4">
        <f t="shared" si="623"/>
      </c>
      <c r="AM906" s="4">
        <f t="shared" si="624"/>
      </c>
      <c r="AN906" s="4"/>
      <c r="AO906" s="4">
        <f t="shared" si="625"/>
      </c>
      <c r="AP906" s="4">
        <f t="shared" si="626"/>
      </c>
      <c r="AQ906" s="4">
        <f t="shared" si="627"/>
        <v/>
      </c>
      <c r="AR906" s="4">
        <f t="shared" si="628"/>
      </c>
      <c r="AS906" s="4">
        <f t="shared" si="629"/>
      </c>
      <c r="AT906" s="4">
        <f t="shared" si="630"/>
      </c>
    </row>
    <row r="907" spans="1:46" x14ac:dyDescent="0.3">
      <c r="A907" s="5">
        <f t="shared" si="602"/>
      </c>
      <c r="B907" s="4">
        <f t="shared" si="603"/>
      </c>
      <c r="C907" s="59"/>
      <c r="D907" s="59"/>
      <c r="E907" s="70"/>
      <c r="F907" s="164"/>
      <c r="G907" s="164"/>
      <c r="H907" s="164"/>
      <c r="I907" s="70"/>
      <c r="J907" s="70"/>
      <c r="K907" s="70"/>
      <c r="L907" s="70"/>
      <c r="M907" s="4">
        <f t="shared" si="604"/>
      </c>
      <c r="N907" s="59"/>
      <c r="O907" s="164"/>
      <c r="P907" s="59">
        <f t="shared" si="605"/>
      </c>
      <c r="Q907" s="165"/>
      <c r="R907" s="59"/>
      <c r="S907" s="164"/>
      <c r="T907" s="5">
        <f t="shared" si="606"/>
      </c>
      <c r="U907" s="4">
        <f t="shared" si="607"/>
      </c>
      <c r="V907" s="4">
        <f t="shared" si="608"/>
      </c>
      <c r="W907" s="4">
        <f t="shared" si="609"/>
      </c>
      <c r="X907" s="4">
        <f t="shared" si="610"/>
      </c>
      <c r="Y907" s="4" cm="1">
        <f t="array" ref="Y907">_xlfn.IFS(H907=1,2,H907=3,1)</f>
      </c>
      <c r="Z907" s="4">
        <f t="shared" si="611"/>
      </c>
      <c r="AA907" s="4">
        <f t="shared" si="612"/>
      </c>
      <c r="AB907" s="4">
        <f t="shared" si="613"/>
      </c>
      <c r="AC907" s="4">
        <f t="shared" si="614"/>
      </c>
      <c r="AD907" s="4">
        <f t="shared" si="615"/>
      </c>
      <c r="AE907" s="4">
        <f t="shared" si="616"/>
      </c>
      <c r="AF907" s="4">
        <f t="shared" si="617"/>
      </c>
      <c r="AG907" s="4">
        <f t="shared" si="618"/>
        <v/>
      </c>
      <c r="AH907" s="4">
        <f t="shared" si="619"/>
      </c>
      <c r="AI907" s="4">
        <f t="shared" si="620"/>
      </c>
      <c r="AJ907" s="4">
        <f t="shared" si="621"/>
      </c>
      <c r="AK907" s="4">
        <f t="shared" si="622"/>
      </c>
      <c r="AL907" s="4">
        <f t="shared" si="623"/>
      </c>
      <c r="AM907" s="4">
        <f t="shared" si="624"/>
      </c>
      <c r="AN907" s="4"/>
      <c r="AO907" s="4">
        <f t="shared" si="625"/>
      </c>
      <c r="AP907" s="4">
        <f t="shared" si="626"/>
      </c>
      <c r="AQ907" s="4">
        <f t="shared" si="627"/>
        <v/>
      </c>
      <c r="AR907" s="4">
        <f t="shared" si="628"/>
      </c>
      <c r="AS907" s="4">
        <f t="shared" si="629"/>
      </c>
      <c r="AT907" s="4">
        <f t="shared" si="630"/>
      </c>
    </row>
    <row r="908" spans="1:46" x14ac:dyDescent="0.3">
      <c r="A908" s="5">
        <f t="shared" si="602"/>
      </c>
      <c r="B908" s="4">
        <f t="shared" si="603"/>
      </c>
      <c r="C908" s="59"/>
      <c r="D908" s="59"/>
      <c r="E908" s="70"/>
      <c r="F908" s="164"/>
      <c r="G908" s="164"/>
      <c r="H908" s="164"/>
      <c r="I908" s="70"/>
      <c r="J908" s="70"/>
      <c r="K908" s="70"/>
      <c r="L908" s="70"/>
      <c r="M908" s="4">
        <f t="shared" si="604"/>
      </c>
      <c r="N908" s="59"/>
      <c r="O908" s="164"/>
      <c r="P908" s="59">
        <f t="shared" si="605"/>
      </c>
      <c r="Q908" s="165"/>
      <c r="R908" s="59"/>
      <c r="S908" s="164"/>
      <c r="T908" s="5">
        <f t="shared" si="606"/>
      </c>
      <c r="U908" s="4">
        <f t="shared" si="607"/>
      </c>
      <c r="V908" s="4">
        <f t="shared" si="608"/>
      </c>
      <c r="W908" s="4">
        <f t="shared" si="609"/>
      </c>
      <c r="X908" s="4">
        <f t="shared" si="610"/>
      </c>
      <c r="Y908" s="4" cm="1">
        <f t="array" ref="Y908">_xlfn.IFS(H908=1,2,H908=3,1)</f>
      </c>
      <c r="Z908" s="4">
        <f t="shared" si="611"/>
      </c>
      <c r="AA908" s="4">
        <f t="shared" si="612"/>
      </c>
      <c r="AB908" s="4">
        <f t="shared" si="613"/>
      </c>
      <c r="AC908" s="4">
        <f t="shared" si="614"/>
      </c>
      <c r="AD908" s="4">
        <f t="shared" si="615"/>
      </c>
      <c r="AE908" s="4">
        <f t="shared" si="616"/>
      </c>
      <c r="AF908" s="4">
        <f t="shared" si="617"/>
      </c>
      <c r="AG908" s="4">
        <f t="shared" si="618"/>
        <v/>
      </c>
      <c r="AH908" s="4">
        <f t="shared" si="619"/>
      </c>
      <c r="AI908" s="4">
        <f t="shared" si="620"/>
      </c>
      <c r="AJ908" s="4">
        <f t="shared" si="621"/>
      </c>
      <c r="AK908" s="4">
        <f t="shared" si="622"/>
      </c>
      <c r="AL908" s="4">
        <f t="shared" si="623"/>
      </c>
      <c r="AM908" s="4">
        <f t="shared" si="624"/>
      </c>
      <c r="AN908" s="4"/>
      <c r="AO908" s="4">
        <f t="shared" si="625"/>
      </c>
      <c r="AP908" s="4">
        <f t="shared" si="626"/>
      </c>
      <c r="AQ908" s="4">
        <f t="shared" si="627"/>
        <v/>
      </c>
      <c r="AR908" s="4">
        <f t="shared" si="628"/>
      </c>
      <c r="AS908" s="4">
        <f t="shared" si="629"/>
      </c>
      <c r="AT908" s="4">
        <f t="shared" si="630"/>
      </c>
    </row>
    <row r="909" spans="1:46" x14ac:dyDescent="0.3">
      <c r="A909" s="5">
        <f t="shared" si="602"/>
      </c>
      <c r="B909" s="4">
        <f t="shared" si="603"/>
      </c>
      <c r="C909" s="59"/>
      <c r="D909" s="59"/>
      <c r="E909" s="70"/>
      <c r="F909" s="164"/>
      <c r="G909" s="164"/>
      <c r="H909" s="164"/>
      <c r="I909" s="70"/>
      <c r="J909" s="70"/>
      <c r="K909" s="70"/>
      <c r="L909" s="70"/>
      <c r="M909" s="4">
        <f t="shared" si="604"/>
      </c>
      <c r="N909" s="59"/>
      <c r="O909" s="164"/>
      <c r="P909" s="59">
        <f t="shared" si="605"/>
      </c>
      <c r="Q909" s="165"/>
      <c r="R909" s="59"/>
      <c r="S909" s="164"/>
      <c r="T909" s="5">
        <f t="shared" si="606"/>
      </c>
      <c r="U909" s="4">
        <f t="shared" si="607"/>
      </c>
      <c r="V909" s="4">
        <f t="shared" si="608"/>
      </c>
      <c r="W909" s="4">
        <f t="shared" si="609"/>
      </c>
      <c r="X909" s="4">
        <f t="shared" si="610"/>
      </c>
      <c r="Y909" s="4" cm="1">
        <f t="array" ref="Y909">_xlfn.IFS(H909=1,2,H909=3,1)</f>
      </c>
      <c r="Z909" s="4">
        <f t="shared" si="611"/>
      </c>
      <c r="AA909" s="4">
        <f t="shared" si="612"/>
      </c>
      <c r="AB909" s="4">
        <f t="shared" si="613"/>
      </c>
      <c r="AC909" s="4">
        <f t="shared" si="614"/>
      </c>
      <c r="AD909" s="4">
        <f t="shared" si="615"/>
      </c>
      <c r="AE909" s="4">
        <f t="shared" si="616"/>
      </c>
      <c r="AF909" s="4">
        <f t="shared" si="617"/>
      </c>
      <c r="AG909" s="4">
        <f t="shared" si="618"/>
        <v/>
      </c>
      <c r="AH909" s="4">
        <f t="shared" si="619"/>
      </c>
      <c r="AI909" s="4">
        <f t="shared" si="620"/>
      </c>
      <c r="AJ909" s="4">
        <f t="shared" si="621"/>
      </c>
      <c r="AK909" s="4">
        <f t="shared" si="622"/>
      </c>
      <c r="AL909" s="4">
        <f t="shared" si="623"/>
      </c>
      <c r="AM909" s="4">
        <f t="shared" si="624"/>
      </c>
      <c r="AN909" s="4"/>
      <c r="AO909" s="4">
        <f t="shared" si="625"/>
      </c>
      <c r="AP909" s="4">
        <f t="shared" si="626"/>
      </c>
      <c r="AQ909" s="4">
        <f t="shared" si="627"/>
        <v/>
      </c>
      <c r="AR909" s="4">
        <f t="shared" si="628"/>
      </c>
      <c r="AS909" s="4">
        <f t="shared" si="629"/>
      </c>
      <c r="AT909" s="4">
        <f t="shared" si="630"/>
      </c>
    </row>
    <row r="910" spans="1:46" x14ac:dyDescent="0.3">
      <c r="A910" s="5">
        <f t="shared" si="602"/>
      </c>
      <c r="B910" s="4">
        <f t="shared" si="603"/>
      </c>
      <c r="C910" s="59"/>
      <c r="D910" s="59"/>
      <c r="E910" s="70"/>
      <c r="F910" s="164"/>
      <c r="G910" s="164"/>
      <c r="H910" s="164"/>
      <c r="I910" s="70"/>
      <c r="J910" s="70"/>
      <c r="K910" s="70"/>
      <c r="L910" s="70"/>
      <c r="M910" s="4">
        <f t="shared" si="604"/>
      </c>
      <c r="N910" s="59"/>
      <c r="O910" s="164"/>
      <c r="P910" s="59">
        <f t="shared" si="605"/>
      </c>
      <c r="Q910" s="165"/>
      <c r="R910" s="59"/>
      <c r="S910" s="164"/>
      <c r="T910" s="5">
        <f t="shared" si="606"/>
      </c>
      <c r="U910" s="4">
        <f t="shared" si="607"/>
      </c>
      <c r="V910" s="4">
        <f t="shared" si="608"/>
      </c>
      <c r="W910" s="4">
        <f t="shared" si="609"/>
      </c>
      <c r="X910" s="4">
        <f t="shared" si="610"/>
      </c>
      <c r="Y910" s="4" cm="1">
        <f t="array" ref="Y910">_xlfn.IFS(H910=1,2,H910=3,1)</f>
      </c>
      <c r="Z910" s="4">
        <f t="shared" si="611"/>
      </c>
      <c r="AA910" s="4">
        <f t="shared" si="612"/>
      </c>
      <c r="AB910" s="4">
        <f t="shared" si="613"/>
      </c>
      <c r="AC910" s="4">
        <f t="shared" si="614"/>
      </c>
      <c r="AD910" s="4">
        <f t="shared" si="615"/>
      </c>
      <c r="AE910" s="4">
        <f t="shared" si="616"/>
      </c>
      <c r="AF910" s="4">
        <f t="shared" si="617"/>
      </c>
      <c r="AG910" s="4">
        <f t="shared" si="618"/>
        <v/>
      </c>
      <c r="AH910" s="4">
        <f t="shared" si="619"/>
      </c>
      <c r="AI910" s="4">
        <f t="shared" si="620"/>
      </c>
      <c r="AJ910" s="4">
        <f t="shared" si="621"/>
      </c>
      <c r="AK910" s="4">
        <f t="shared" si="622"/>
      </c>
      <c r="AL910" s="4">
        <f t="shared" si="623"/>
      </c>
      <c r="AM910" s="4">
        <f t="shared" si="624"/>
      </c>
      <c r="AN910" s="4"/>
      <c r="AO910" s="4">
        <f t="shared" si="625"/>
      </c>
      <c r="AP910" s="4">
        <f t="shared" si="626"/>
      </c>
      <c r="AQ910" s="4">
        <f t="shared" si="627"/>
        <v/>
      </c>
      <c r="AR910" s="4">
        <f t="shared" si="628"/>
      </c>
      <c r="AS910" s="4">
        <f t="shared" si="629"/>
      </c>
      <c r="AT910" s="4">
        <f t="shared" si="630"/>
      </c>
    </row>
    <row r="911" spans="1:46" x14ac:dyDescent="0.3">
      <c r="A911" s="5">
        <f t="shared" si="602"/>
      </c>
      <c r="B911" s="4">
        <f t="shared" si="603"/>
      </c>
      <c r="C911" s="59"/>
      <c r="D911" s="59"/>
      <c r="E911" s="70"/>
      <c r="F911" s="164"/>
      <c r="G911" s="164"/>
      <c r="H911" s="164"/>
      <c r="I911" s="70"/>
      <c r="J911" s="70"/>
      <c r="K911" s="70"/>
      <c r="L911" s="70"/>
      <c r="M911" s="4">
        <f t="shared" si="604"/>
      </c>
      <c r="N911" s="59"/>
      <c r="O911" s="164"/>
      <c r="P911" s="59">
        <f t="shared" si="605"/>
      </c>
      <c r="Q911" s="165"/>
      <c r="R911" s="59"/>
      <c r="S911" s="164"/>
      <c r="T911" s="5">
        <f t="shared" si="606"/>
      </c>
      <c r="U911" s="4">
        <f t="shared" si="607"/>
      </c>
      <c r="V911" s="4">
        <f t="shared" si="608"/>
      </c>
      <c r="W911" s="4">
        <f t="shared" si="609"/>
      </c>
      <c r="X911" s="4">
        <f t="shared" si="610"/>
      </c>
      <c r="Y911" s="4" cm="1">
        <f t="array" ref="Y911">_xlfn.IFS(H911=1,2,H911=3,1)</f>
      </c>
      <c r="Z911" s="4">
        <f t="shared" si="611"/>
      </c>
      <c r="AA911" s="4">
        <f t="shared" si="612"/>
      </c>
      <c r="AB911" s="4">
        <f t="shared" si="613"/>
      </c>
      <c r="AC911" s="4">
        <f t="shared" si="614"/>
      </c>
      <c r="AD911" s="4">
        <f t="shared" si="615"/>
      </c>
      <c r="AE911" s="4">
        <f t="shared" si="616"/>
      </c>
      <c r="AF911" s="4">
        <f t="shared" si="617"/>
      </c>
      <c r="AG911" s="4">
        <f t="shared" si="618"/>
        <v/>
      </c>
      <c r="AH911" s="4">
        <f t="shared" si="619"/>
      </c>
      <c r="AI911" s="4">
        <f t="shared" si="620"/>
      </c>
      <c r="AJ911" s="4">
        <f t="shared" si="621"/>
      </c>
      <c r="AK911" s="4">
        <f t="shared" si="622"/>
      </c>
      <c r="AL911" s="4">
        <f t="shared" si="623"/>
      </c>
      <c r="AM911" s="4">
        <f t="shared" si="624"/>
      </c>
      <c r="AN911" s="4"/>
      <c r="AO911" s="4">
        <f t="shared" si="625"/>
      </c>
      <c r="AP911" s="4">
        <f t="shared" si="626"/>
      </c>
      <c r="AQ911" s="4">
        <f t="shared" si="627"/>
        <v/>
      </c>
      <c r="AR911" s="4">
        <f t="shared" si="628"/>
      </c>
      <c r="AS911" s="4">
        <f t="shared" si="629"/>
      </c>
      <c r="AT911" s="4">
        <f t="shared" si="630"/>
      </c>
    </row>
    <row r="912" spans="1:46" x14ac:dyDescent="0.3">
      <c r="A912" s="5">
        <f t="shared" si="602"/>
      </c>
      <c r="B912" s="4">
        <f t="shared" si="603"/>
      </c>
      <c r="C912" s="59"/>
      <c r="D912" s="59"/>
      <c r="E912" s="70"/>
      <c r="F912" s="164"/>
      <c r="G912" s="164"/>
      <c r="H912" s="164"/>
      <c r="I912" s="70"/>
      <c r="J912" s="70"/>
      <c r="K912" s="70"/>
      <c r="L912" s="70"/>
      <c r="M912" s="4">
        <f t="shared" si="604"/>
      </c>
      <c r="N912" s="59"/>
      <c r="O912" s="164"/>
      <c r="P912" s="59">
        <f t="shared" si="605"/>
      </c>
      <c r="Q912" s="165"/>
      <c r="R912" s="59"/>
      <c r="S912" s="164"/>
      <c r="T912" s="5">
        <f t="shared" si="606"/>
      </c>
      <c r="U912" s="4">
        <f t="shared" si="607"/>
      </c>
      <c r="V912" s="4">
        <f t="shared" si="608"/>
      </c>
      <c r="W912" s="4">
        <f t="shared" si="609"/>
      </c>
      <c r="X912" s="4">
        <f t="shared" si="610"/>
      </c>
      <c r="Y912" s="4" cm="1">
        <f t="array" ref="Y912">_xlfn.IFS(H912=1,2,H912=3,1)</f>
      </c>
      <c r="Z912" s="4">
        <f t="shared" si="611"/>
      </c>
      <c r="AA912" s="4">
        <f t="shared" si="612"/>
      </c>
      <c r="AB912" s="4">
        <f t="shared" si="613"/>
      </c>
      <c r="AC912" s="4">
        <f t="shared" si="614"/>
      </c>
      <c r="AD912" s="4">
        <f t="shared" si="615"/>
      </c>
      <c r="AE912" s="4">
        <f t="shared" si="616"/>
      </c>
      <c r="AF912" s="4">
        <f t="shared" si="617"/>
      </c>
      <c r="AG912" s="4">
        <f t="shared" si="618"/>
        <v/>
      </c>
      <c r="AH912" s="4">
        <f t="shared" si="619"/>
      </c>
      <c r="AI912" s="4">
        <f t="shared" si="620"/>
      </c>
      <c r="AJ912" s="4">
        <f t="shared" si="621"/>
      </c>
      <c r="AK912" s="4">
        <f t="shared" si="622"/>
      </c>
      <c r="AL912" s="4">
        <f t="shared" si="623"/>
      </c>
      <c r="AM912" s="4">
        <f t="shared" si="624"/>
      </c>
      <c r="AN912" s="4"/>
      <c r="AO912" s="4">
        <f t="shared" si="625"/>
      </c>
      <c r="AP912" s="4">
        <f t="shared" si="626"/>
      </c>
      <c r="AQ912" s="4">
        <f t="shared" si="627"/>
        <v/>
      </c>
      <c r="AR912" s="4">
        <f t="shared" si="628"/>
      </c>
      <c r="AS912" s="4">
        <f t="shared" si="629"/>
      </c>
      <c r="AT912" s="4">
        <f t="shared" si="630"/>
      </c>
    </row>
    <row r="913" spans="1:46" x14ac:dyDescent="0.3">
      <c r="A913" s="5">
        <f t="shared" si="602"/>
      </c>
      <c r="B913" s="4">
        <f t="shared" si="603"/>
      </c>
      <c r="C913" s="59"/>
      <c r="D913" s="59"/>
      <c r="E913" s="70"/>
      <c r="F913" s="164"/>
      <c r="G913" s="164"/>
      <c r="H913" s="164"/>
      <c r="I913" s="70"/>
      <c r="J913" s="70"/>
      <c r="K913" s="70"/>
      <c r="L913" s="70"/>
      <c r="M913" s="4">
        <f t="shared" si="604"/>
      </c>
      <c r="N913" s="59"/>
      <c r="O913" s="164"/>
      <c r="P913" s="59">
        <f t="shared" si="605"/>
      </c>
      <c r="Q913" s="165"/>
      <c r="R913" s="59"/>
      <c r="S913" s="164"/>
      <c r="T913" s="5">
        <f t="shared" si="606"/>
      </c>
      <c r="U913" s="4">
        <f t="shared" si="607"/>
      </c>
      <c r="V913" s="4">
        <f t="shared" si="608"/>
      </c>
      <c r="W913" s="4">
        <f t="shared" si="609"/>
      </c>
      <c r="X913" s="4">
        <f t="shared" si="610"/>
      </c>
      <c r="Y913" s="4" cm="1">
        <f t="array" ref="Y913">_xlfn.IFS(H913=1,2,H913=3,1)</f>
      </c>
      <c r="Z913" s="4">
        <f t="shared" si="611"/>
      </c>
      <c r="AA913" s="4">
        <f t="shared" si="612"/>
      </c>
      <c r="AB913" s="4">
        <f t="shared" si="613"/>
      </c>
      <c r="AC913" s="4">
        <f t="shared" si="614"/>
      </c>
      <c r="AD913" s="4">
        <f t="shared" si="615"/>
      </c>
      <c r="AE913" s="4">
        <f t="shared" si="616"/>
      </c>
      <c r="AF913" s="4">
        <f t="shared" si="617"/>
      </c>
      <c r="AG913" s="4">
        <f t="shared" si="618"/>
        <v/>
      </c>
      <c r="AH913" s="4">
        <f t="shared" si="619"/>
      </c>
      <c r="AI913" s="4">
        <f t="shared" si="620"/>
      </c>
      <c r="AJ913" s="4">
        <f t="shared" si="621"/>
      </c>
      <c r="AK913" s="4">
        <f t="shared" si="622"/>
      </c>
      <c r="AL913" s="4">
        <f t="shared" si="623"/>
      </c>
      <c r="AM913" s="4">
        <f t="shared" si="624"/>
      </c>
      <c r="AN913" s="4"/>
      <c r="AO913" s="4">
        <f t="shared" si="625"/>
      </c>
      <c r="AP913" s="4">
        <f t="shared" si="626"/>
      </c>
      <c r="AQ913" s="4">
        <f t="shared" si="627"/>
        <v/>
      </c>
      <c r="AR913" s="4">
        <f t="shared" si="628"/>
      </c>
      <c r="AS913" s="4">
        <f t="shared" si="629"/>
      </c>
      <c r="AT913" s="4">
        <f t="shared" si="630"/>
      </c>
    </row>
    <row r="914" spans="1:46" x14ac:dyDescent="0.3">
      <c r="A914" s="5">
        <f t="shared" si="602"/>
      </c>
      <c r="B914" s="4">
        <f t="shared" si="603"/>
      </c>
      <c r="C914" s="59"/>
      <c r="D914" s="59"/>
      <c r="E914" s="70"/>
      <c r="F914" s="164"/>
      <c r="G914" s="164"/>
      <c r="H914" s="164"/>
      <c r="I914" s="70"/>
      <c r="J914" s="70"/>
      <c r="K914" s="70"/>
      <c r="L914" s="70"/>
      <c r="M914" s="4">
        <f t="shared" si="604"/>
      </c>
      <c r="N914" s="59"/>
      <c r="O914" s="164"/>
      <c r="P914" s="59">
        <f t="shared" si="605"/>
      </c>
      <c r="Q914" s="165"/>
      <c r="R914" s="59"/>
      <c r="S914" s="164"/>
      <c r="T914" s="5">
        <f t="shared" si="606"/>
      </c>
      <c r="U914" s="4">
        <f t="shared" si="607"/>
      </c>
      <c r="V914" s="4">
        <f t="shared" si="608"/>
      </c>
      <c r="W914" s="4">
        <f t="shared" si="609"/>
      </c>
      <c r="X914" s="4">
        <f t="shared" si="610"/>
      </c>
      <c r="Y914" s="4" cm="1">
        <f t="array" ref="Y914">_xlfn.IFS(H914=1,2,H914=3,1)</f>
      </c>
      <c r="Z914" s="4">
        <f t="shared" si="611"/>
      </c>
      <c r="AA914" s="4">
        <f t="shared" si="612"/>
      </c>
      <c r="AB914" s="4">
        <f t="shared" si="613"/>
      </c>
      <c r="AC914" s="4">
        <f t="shared" si="614"/>
      </c>
      <c r="AD914" s="4">
        <f t="shared" si="615"/>
      </c>
      <c r="AE914" s="4">
        <f t="shared" si="616"/>
      </c>
      <c r="AF914" s="4">
        <f t="shared" si="617"/>
      </c>
      <c r="AG914" s="4">
        <f t="shared" si="618"/>
        <v/>
      </c>
      <c r="AH914" s="4">
        <f t="shared" si="619"/>
      </c>
      <c r="AI914" s="4">
        <f t="shared" si="620"/>
      </c>
      <c r="AJ914" s="4">
        <f t="shared" si="621"/>
      </c>
      <c r="AK914" s="4">
        <f t="shared" si="622"/>
      </c>
      <c r="AL914" s="4">
        <f t="shared" si="623"/>
      </c>
      <c r="AM914" s="4">
        <f t="shared" si="624"/>
      </c>
      <c r="AN914" s="4"/>
      <c r="AO914" s="4">
        <f t="shared" si="625"/>
      </c>
      <c r="AP914" s="4">
        <f t="shared" si="626"/>
      </c>
      <c r="AQ914" s="4">
        <f t="shared" si="627"/>
        <v/>
      </c>
      <c r="AR914" s="4">
        <f t="shared" si="628"/>
      </c>
      <c r="AS914" s="4">
        <f t="shared" si="629"/>
      </c>
      <c r="AT914" s="4">
        <f t="shared" si="630"/>
      </c>
    </row>
    <row r="915" spans="1:46" x14ac:dyDescent="0.3">
      <c r="A915" s="5">
        <f t="shared" si="602"/>
      </c>
      <c r="B915" s="4">
        <f t="shared" si="603"/>
      </c>
      <c r="C915" s="59"/>
      <c r="D915" s="59"/>
      <c r="E915" s="70"/>
      <c r="F915" s="164"/>
      <c r="G915" s="164"/>
      <c r="H915" s="164"/>
      <c r="I915" s="70"/>
      <c r="J915" s="70"/>
      <c r="K915" s="70"/>
      <c r="L915" s="70"/>
      <c r="M915" s="4">
        <f t="shared" si="604"/>
      </c>
      <c r="N915" s="59"/>
      <c r="O915" s="164"/>
      <c r="P915" s="59">
        <f t="shared" si="605"/>
      </c>
      <c r="Q915" s="165"/>
      <c r="R915" s="59"/>
      <c r="S915" s="164"/>
      <c r="T915" s="5">
        <f t="shared" si="606"/>
      </c>
      <c r="U915" s="4">
        <f t="shared" si="607"/>
      </c>
      <c r="V915" s="4">
        <f t="shared" si="608"/>
      </c>
      <c r="W915" s="4">
        <f t="shared" si="609"/>
      </c>
      <c r="X915" s="4">
        <f t="shared" si="610"/>
      </c>
      <c r="Y915" s="4" cm="1">
        <f t="array" ref="Y915">_xlfn.IFS(H915=1,2,H915=3,1)</f>
      </c>
      <c r="Z915" s="4">
        <f t="shared" si="611"/>
      </c>
      <c r="AA915" s="4">
        <f t="shared" si="612"/>
      </c>
      <c r="AB915" s="4">
        <f t="shared" si="613"/>
      </c>
      <c r="AC915" s="4">
        <f t="shared" si="614"/>
      </c>
      <c r="AD915" s="4">
        <f t="shared" si="615"/>
      </c>
      <c r="AE915" s="4">
        <f t="shared" si="616"/>
      </c>
      <c r="AF915" s="4">
        <f t="shared" si="617"/>
      </c>
      <c r="AG915" s="4">
        <f t="shared" si="618"/>
        <v/>
      </c>
      <c r="AH915" s="4">
        <f t="shared" si="619"/>
      </c>
      <c r="AI915" s="4">
        <f t="shared" si="620"/>
      </c>
      <c r="AJ915" s="4">
        <f t="shared" si="621"/>
      </c>
      <c r="AK915" s="4">
        <f t="shared" si="622"/>
      </c>
      <c r="AL915" s="4">
        <f t="shared" si="623"/>
      </c>
      <c r="AM915" s="4">
        <f t="shared" si="624"/>
      </c>
      <c r="AN915" s="4"/>
      <c r="AO915" s="4">
        <f t="shared" si="625"/>
      </c>
      <c r="AP915" s="4">
        <f t="shared" si="626"/>
      </c>
      <c r="AQ915" s="4">
        <f t="shared" si="627"/>
        <v/>
      </c>
      <c r="AR915" s="4">
        <f t="shared" si="628"/>
      </c>
      <c r="AS915" s="4">
        <f t="shared" si="629"/>
      </c>
      <c r="AT915" s="4">
        <f t="shared" si="630"/>
      </c>
    </row>
    <row r="916" spans="1:46" x14ac:dyDescent="0.3">
      <c r="A916" s="5">
        <f t="shared" si="602"/>
      </c>
      <c r="B916" s="4">
        <f t="shared" si="603"/>
      </c>
      <c r="C916" s="59"/>
      <c r="D916" s="59"/>
      <c r="E916" s="70"/>
      <c r="F916" s="164"/>
      <c r="G916" s="164"/>
      <c r="H916" s="164"/>
      <c r="I916" s="70"/>
      <c r="J916" s="70"/>
      <c r="K916" s="70"/>
      <c r="L916" s="70"/>
      <c r="M916" s="4">
        <f t="shared" si="604"/>
      </c>
      <c r="N916" s="59"/>
      <c r="O916" s="164"/>
      <c r="P916" s="59">
        <f t="shared" si="605"/>
      </c>
      <c r="Q916" s="165"/>
      <c r="R916" s="59"/>
      <c r="S916" s="164"/>
      <c r="T916" s="5">
        <f t="shared" si="606"/>
      </c>
      <c r="U916" s="4">
        <f t="shared" si="607"/>
      </c>
      <c r="V916" s="4">
        <f t="shared" si="608"/>
      </c>
      <c r="W916" s="4">
        <f t="shared" si="609"/>
      </c>
      <c r="X916" s="4">
        <f t="shared" si="610"/>
      </c>
      <c r="Y916" s="4" cm="1">
        <f t="array" ref="Y916">_xlfn.IFS(H916=1,2,H916=3,1)</f>
      </c>
      <c r="Z916" s="4">
        <f t="shared" si="611"/>
      </c>
      <c r="AA916" s="4">
        <f t="shared" si="612"/>
      </c>
      <c r="AB916" s="4">
        <f t="shared" si="613"/>
      </c>
      <c r="AC916" s="4">
        <f t="shared" si="614"/>
      </c>
      <c r="AD916" s="4">
        <f t="shared" si="615"/>
      </c>
      <c r="AE916" s="4">
        <f t="shared" si="616"/>
      </c>
      <c r="AF916" s="4">
        <f t="shared" si="617"/>
      </c>
      <c r="AG916" s="4">
        <f t="shared" si="618"/>
        <v/>
      </c>
      <c r="AH916" s="4">
        <f t="shared" si="619"/>
      </c>
      <c r="AI916" s="4">
        <f t="shared" si="620"/>
      </c>
      <c r="AJ916" s="4">
        <f t="shared" si="621"/>
      </c>
      <c r="AK916" s="4">
        <f t="shared" si="622"/>
      </c>
      <c r="AL916" s="4">
        <f t="shared" si="623"/>
      </c>
      <c r="AM916" s="4">
        <f t="shared" si="624"/>
      </c>
      <c r="AN916" s="4"/>
      <c r="AO916" s="4">
        <f t="shared" si="625"/>
      </c>
      <c r="AP916" s="4">
        <f t="shared" si="626"/>
      </c>
      <c r="AQ916" s="4">
        <f t="shared" si="627"/>
        <v/>
      </c>
      <c r="AR916" s="4">
        <f t="shared" si="628"/>
      </c>
      <c r="AS916" s="4">
        <f t="shared" si="629"/>
      </c>
      <c r="AT916" s="4">
        <f t="shared" si="630"/>
      </c>
    </row>
    <row r="917" spans="1:46" x14ac:dyDescent="0.3">
      <c r="A917" s="5">
        <f t="shared" si="602"/>
      </c>
      <c r="B917" s="4">
        <f t="shared" si="603"/>
      </c>
      <c r="C917" s="59"/>
      <c r="D917" s="59"/>
      <c r="E917" s="70"/>
      <c r="F917" s="164"/>
      <c r="G917" s="164"/>
      <c r="H917" s="164"/>
      <c r="I917" s="70"/>
      <c r="J917" s="70"/>
      <c r="K917" s="70"/>
      <c r="L917" s="70"/>
      <c r="M917" s="4">
        <f t="shared" si="604"/>
      </c>
      <c r="N917" s="59"/>
      <c r="O917" s="164"/>
      <c r="P917" s="59">
        <f t="shared" si="605"/>
      </c>
      <c r="Q917" s="165"/>
      <c r="R917" s="59"/>
      <c r="S917" s="164"/>
      <c r="T917" s="5">
        <f t="shared" si="606"/>
      </c>
      <c r="U917" s="4">
        <f t="shared" si="607"/>
      </c>
      <c r="V917" s="4">
        <f t="shared" si="608"/>
      </c>
      <c r="W917" s="4">
        <f t="shared" si="609"/>
      </c>
      <c r="X917" s="4">
        <f t="shared" si="610"/>
      </c>
      <c r="Y917" s="4" cm="1">
        <f t="array" ref="Y917">_xlfn.IFS(H917=1,2,H917=3,1)</f>
      </c>
      <c r="Z917" s="4">
        <f t="shared" si="611"/>
      </c>
      <c r="AA917" s="4">
        <f t="shared" si="612"/>
      </c>
      <c r="AB917" s="4">
        <f t="shared" si="613"/>
      </c>
      <c r="AC917" s="4">
        <f t="shared" si="614"/>
      </c>
      <c r="AD917" s="4">
        <f t="shared" si="615"/>
      </c>
      <c r="AE917" s="4">
        <f t="shared" si="616"/>
      </c>
      <c r="AF917" s="4">
        <f t="shared" si="617"/>
      </c>
      <c r="AG917" s="4">
        <f t="shared" si="618"/>
        <v/>
      </c>
      <c r="AH917" s="4">
        <f t="shared" si="619"/>
      </c>
      <c r="AI917" s="4">
        <f t="shared" si="620"/>
      </c>
      <c r="AJ917" s="4">
        <f t="shared" si="621"/>
      </c>
      <c r="AK917" s="4">
        <f t="shared" si="622"/>
      </c>
      <c r="AL917" s="4">
        <f t="shared" si="623"/>
      </c>
      <c r="AM917" s="4">
        <f t="shared" si="624"/>
      </c>
      <c r="AN917" s="4"/>
      <c r="AO917" s="4">
        <f t="shared" si="625"/>
      </c>
      <c r="AP917" s="4">
        <f t="shared" si="626"/>
      </c>
      <c r="AQ917" s="4">
        <f t="shared" si="627"/>
        <v/>
      </c>
      <c r="AR917" s="4">
        <f t="shared" si="628"/>
      </c>
      <c r="AS917" s="4">
        <f t="shared" si="629"/>
      </c>
      <c r="AT917" s="4">
        <f t="shared" si="630"/>
      </c>
    </row>
    <row r="918" spans="1:46" x14ac:dyDescent="0.3">
      <c r="A918" s="5">
        <f t="shared" si="602"/>
      </c>
      <c r="B918" s="4">
        <f t="shared" si="603"/>
      </c>
      <c r="C918" s="59"/>
      <c r="D918" s="59"/>
      <c r="E918" s="70"/>
      <c r="F918" s="164"/>
      <c r="G918" s="164"/>
      <c r="H918" s="164"/>
      <c r="I918" s="70"/>
      <c r="J918" s="70"/>
      <c r="K918" s="70"/>
      <c r="L918" s="70"/>
      <c r="M918" s="4">
        <f t="shared" si="604"/>
      </c>
      <c r="N918" s="59"/>
      <c r="O918" s="164"/>
      <c r="P918" s="59">
        <f t="shared" si="605"/>
      </c>
      <c r="Q918" s="165"/>
      <c r="R918" s="59"/>
      <c r="S918" s="164"/>
      <c r="T918" s="5">
        <f t="shared" si="606"/>
      </c>
      <c r="U918" s="4">
        <f t="shared" si="607"/>
      </c>
      <c r="V918" s="4">
        <f t="shared" si="608"/>
      </c>
      <c r="W918" s="4">
        <f t="shared" si="609"/>
      </c>
      <c r="X918" s="4">
        <f t="shared" si="610"/>
      </c>
      <c r="Y918" s="4" cm="1">
        <f t="array" ref="Y918">_xlfn.IFS(H918=1,2,H918=3,1)</f>
      </c>
      <c r="Z918" s="4">
        <f t="shared" si="611"/>
      </c>
      <c r="AA918" s="4">
        <f t="shared" si="612"/>
      </c>
      <c r="AB918" s="4">
        <f t="shared" si="613"/>
      </c>
      <c r="AC918" s="4">
        <f t="shared" si="614"/>
      </c>
      <c r="AD918" s="4">
        <f t="shared" si="615"/>
      </c>
      <c r="AE918" s="4">
        <f t="shared" si="616"/>
      </c>
      <c r="AF918" s="4">
        <f t="shared" si="617"/>
      </c>
      <c r="AG918" s="4">
        <f t="shared" si="618"/>
        <v/>
      </c>
      <c r="AH918" s="4">
        <f t="shared" si="619"/>
      </c>
      <c r="AI918" s="4">
        <f t="shared" si="620"/>
      </c>
      <c r="AJ918" s="4">
        <f t="shared" si="621"/>
      </c>
      <c r="AK918" s="4">
        <f t="shared" si="622"/>
      </c>
      <c r="AL918" s="4">
        <f t="shared" si="623"/>
      </c>
      <c r="AM918" s="4">
        <f t="shared" si="624"/>
      </c>
      <c r="AN918" s="4"/>
      <c r="AO918" s="4">
        <f t="shared" si="625"/>
      </c>
      <c r="AP918" s="4">
        <f t="shared" si="626"/>
      </c>
      <c r="AQ918" s="4">
        <f t="shared" si="627"/>
        <v/>
      </c>
      <c r="AR918" s="4">
        <f t="shared" si="628"/>
      </c>
      <c r="AS918" s="4">
        <f t="shared" si="629"/>
      </c>
      <c r="AT918" s="4">
        <f t="shared" si="630"/>
      </c>
    </row>
    <row r="919" spans="1:46" x14ac:dyDescent="0.3">
      <c r="A919" s="5">
        <f t="shared" si="602"/>
      </c>
      <c r="B919" s="4">
        <f t="shared" si="603"/>
      </c>
      <c r="C919" s="59"/>
      <c r="D919" s="59"/>
      <c r="E919" s="70"/>
      <c r="F919" s="164"/>
      <c r="G919" s="164"/>
      <c r="H919" s="164"/>
      <c r="I919" s="70"/>
      <c r="J919" s="70"/>
      <c r="K919" s="70"/>
      <c r="L919" s="70"/>
      <c r="M919" s="4">
        <f t="shared" si="604"/>
      </c>
      <c r="N919" s="59"/>
      <c r="O919" s="164"/>
      <c r="P919" s="59">
        <f t="shared" si="605"/>
      </c>
      <c r="Q919" s="165"/>
      <c r="R919" s="59"/>
      <c r="S919" s="164"/>
      <c r="T919" s="5">
        <f t="shared" si="606"/>
      </c>
      <c r="U919" s="4">
        <f t="shared" si="607"/>
      </c>
      <c r="V919" s="4">
        <f t="shared" si="608"/>
      </c>
      <c r="W919" s="4">
        <f t="shared" si="609"/>
      </c>
      <c r="X919" s="4">
        <f t="shared" si="610"/>
      </c>
      <c r="Y919" s="4" cm="1">
        <f t="array" ref="Y919">_xlfn.IFS(H919=1,2,H919=3,1)</f>
      </c>
      <c r="Z919" s="4">
        <f t="shared" si="611"/>
      </c>
      <c r="AA919" s="4">
        <f t="shared" si="612"/>
      </c>
      <c r="AB919" s="4">
        <f t="shared" si="613"/>
      </c>
      <c r="AC919" s="4">
        <f t="shared" si="614"/>
      </c>
      <c r="AD919" s="4">
        <f t="shared" si="615"/>
      </c>
      <c r="AE919" s="4">
        <f t="shared" si="616"/>
      </c>
      <c r="AF919" s="4">
        <f t="shared" si="617"/>
      </c>
      <c r="AG919" s="4">
        <f t="shared" si="618"/>
        <v/>
      </c>
      <c r="AH919" s="4">
        <f t="shared" si="619"/>
      </c>
      <c r="AI919" s="4">
        <f t="shared" si="620"/>
      </c>
      <c r="AJ919" s="4">
        <f t="shared" si="621"/>
      </c>
      <c r="AK919" s="4">
        <f t="shared" si="622"/>
      </c>
      <c r="AL919" s="4">
        <f t="shared" si="623"/>
      </c>
      <c r="AM919" s="4">
        <f t="shared" si="624"/>
      </c>
      <c r="AN919" s="4"/>
      <c r="AO919" s="4">
        <f t="shared" si="625"/>
      </c>
      <c r="AP919" s="4">
        <f t="shared" si="626"/>
      </c>
      <c r="AQ919" s="4">
        <f t="shared" si="627"/>
        <v/>
      </c>
      <c r="AR919" s="4">
        <f t="shared" si="628"/>
      </c>
      <c r="AS919" s="4">
        <f t="shared" si="629"/>
      </c>
      <c r="AT919" s="4">
        <f t="shared" si="630"/>
      </c>
    </row>
    <row r="920" spans="1:46" x14ac:dyDescent="0.3">
      <c r="A920" s="5">
        <f t="shared" si="602"/>
      </c>
      <c r="B920" s="4">
        <f t="shared" si="603"/>
      </c>
      <c r="C920" s="59"/>
      <c r="D920" s="59"/>
      <c r="E920" s="70"/>
      <c r="F920" s="164"/>
      <c r="G920" s="164"/>
      <c r="H920" s="164"/>
      <c r="I920" s="70"/>
      <c r="J920" s="70"/>
      <c r="K920" s="70"/>
      <c r="L920" s="70"/>
      <c r="M920" s="4">
        <f t="shared" si="604"/>
      </c>
      <c r="N920" s="59"/>
      <c r="O920" s="164"/>
      <c r="P920" s="59">
        <f t="shared" si="605"/>
      </c>
      <c r="Q920" s="165"/>
      <c r="R920" s="59"/>
      <c r="S920" s="164"/>
      <c r="T920" s="5">
        <f t="shared" si="606"/>
      </c>
      <c r="U920" s="4">
        <f t="shared" si="607"/>
      </c>
      <c r="V920" s="4">
        <f t="shared" si="608"/>
      </c>
      <c r="W920" s="4">
        <f t="shared" si="609"/>
      </c>
      <c r="X920" s="4">
        <f t="shared" si="610"/>
      </c>
      <c r="Y920" s="4" cm="1">
        <f t="array" ref="Y920">_xlfn.IFS(H920=1,2,H920=3,1)</f>
      </c>
      <c r="Z920" s="4">
        <f t="shared" si="611"/>
      </c>
      <c r="AA920" s="4">
        <f t="shared" si="612"/>
      </c>
      <c r="AB920" s="4">
        <f t="shared" si="613"/>
      </c>
      <c r="AC920" s="4">
        <f t="shared" si="614"/>
      </c>
      <c r="AD920" s="4">
        <f t="shared" si="615"/>
      </c>
      <c r="AE920" s="4">
        <f t="shared" si="616"/>
      </c>
      <c r="AF920" s="4">
        <f t="shared" si="617"/>
      </c>
      <c r="AG920" s="4">
        <f t="shared" si="618"/>
        <v/>
      </c>
      <c r="AH920" s="4">
        <f t="shared" si="619"/>
      </c>
      <c r="AI920" s="4">
        <f t="shared" si="620"/>
      </c>
      <c r="AJ920" s="4">
        <f t="shared" si="621"/>
      </c>
      <c r="AK920" s="4">
        <f t="shared" si="622"/>
      </c>
      <c r="AL920" s="4">
        <f t="shared" si="623"/>
      </c>
      <c r="AM920" s="4">
        <f t="shared" si="624"/>
      </c>
      <c r="AN920" s="4"/>
      <c r="AO920" s="4">
        <f t="shared" si="625"/>
      </c>
      <c r="AP920" s="4">
        <f t="shared" si="626"/>
      </c>
      <c r="AQ920" s="4">
        <f t="shared" si="627"/>
        <v/>
      </c>
      <c r="AR920" s="4">
        <f t="shared" si="628"/>
      </c>
      <c r="AS920" s="4">
        <f t="shared" si="629"/>
      </c>
      <c r="AT920" s="4">
        <f t="shared" si="630"/>
      </c>
    </row>
    <row r="921" spans="1:46" x14ac:dyDescent="0.3">
      <c r="A921" s="5">
        <f t="shared" si="602"/>
      </c>
      <c r="B921" s="4">
        <f t="shared" si="603"/>
      </c>
      <c r="C921" s="59"/>
      <c r="D921" s="59"/>
      <c r="E921" s="70"/>
      <c r="F921" s="164"/>
      <c r="G921" s="164"/>
      <c r="H921" s="164"/>
      <c r="I921" s="70"/>
      <c r="J921" s="70"/>
      <c r="K921" s="70"/>
      <c r="L921" s="70"/>
      <c r="M921" s="4">
        <f t="shared" si="604"/>
      </c>
      <c r="N921" s="59"/>
      <c r="O921" s="164"/>
      <c r="P921" s="59">
        <f t="shared" si="605"/>
      </c>
      <c r="Q921" s="165"/>
      <c r="R921" s="59"/>
      <c r="S921" s="164"/>
      <c r="T921" s="5">
        <f t="shared" si="606"/>
      </c>
      <c r="U921" s="4">
        <f t="shared" si="607"/>
      </c>
      <c r="V921" s="4">
        <f t="shared" si="608"/>
      </c>
      <c r="W921" s="4">
        <f t="shared" si="609"/>
      </c>
      <c r="X921" s="4">
        <f t="shared" si="610"/>
      </c>
      <c r="Y921" s="4" cm="1">
        <f t="array" ref="Y921">_xlfn.IFS(H921=1,2,H921=3,1)</f>
      </c>
      <c r="Z921" s="4">
        <f t="shared" si="611"/>
      </c>
      <c r="AA921" s="4">
        <f t="shared" si="612"/>
      </c>
      <c r="AB921" s="4">
        <f t="shared" si="613"/>
      </c>
      <c r="AC921" s="4">
        <f t="shared" si="614"/>
      </c>
      <c r="AD921" s="4">
        <f t="shared" si="615"/>
      </c>
      <c r="AE921" s="4">
        <f t="shared" si="616"/>
      </c>
      <c r="AF921" s="4">
        <f t="shared" si="617"/>
      </c>
      <c r="AG921" s="4">
        <f t="shared" si="618"/>
        <v/>
      </c>
      <c r="AH921" s="4">
        <f t="shared" si="619"/>
      </c>
      <c r="AI921" s="4">
        <f t="shared" si="620"/>
      </c>
      <c r="AJ921" s="4">
        <f t="shared" si="621"/>
      </c>
      <c r="AK921" s="4">
        <f t="shared" si="622"/>
      </c>
      <c r="AL921" s="4">
        <f t="shared" si="623"/>
      </c>
      <c r="AM921" s="4">
        <f t="shared" si="624"/>
      </c>
      <c r="AN921" s="4"/>
      <c r="AO921" s="4">
        <f t="shared" si="625"/>
      </c>
      <c r="AP921" s="4">
        <f t="shared" si="626"/>
      </c>
      <c r="AQ921" s="4">
        <f t="shared" si="627"/>
        <v/>
      </c>
      <c r="AR921" s="4">
        <f t="shared" si="628"/>
      </c>
      <c r="AS921" s="4">
        <f t="shared" si="629"/>
      </c>
      <c r="AT921" s="4">
        <f t="shared" si="630"/>
      </c>
    </row>
    <row r="922" spans="1:46" x14ac:dyDescent="0.3">
      <c r="A922" s="5">
        <f t="shared" si="602"/>
      </c>
      <c r="B922" s="4">
        <f t="shared" si="603"/>
      </c>
      <c r="C922" s="59"/>
      <c r="D922" s="59"/>
      <c r="E922" s="70"/>
      <c r="F922" s="164"/>
      <c r="G922" s="164"/>
      <c r="H922" s="164"/>
      <c r="I922" s="70"/>
      <c r="J922" s="70"/>
      <c r="K922" s="70"/>
      <c r="L922" s="70"/>
      <c r="M922" s="4">
        <f t="shared" si="604"/>
      </c>
      <c r="N922" s="59"/>
      <c r="O922" s="164"/>
      <c r="P922" s="59">
        <f t="shared" si="605"/>
      </c>
      <c r="Q922" s="165"/>
      <c r="R922" s="59"/>
      <c r="S922" s="164"/>
      <c r="T922" s="5">
        <f t="shared" si="606"/>
      </c>
      <c r="U922" s="4">
        <f t="shared" si="607"/>
      </c>
      <c r="V922" s="4">
        <f t="shared" si="608"/>
      </c>
      <c r="W922" s="4">
        <f t="shared" si="609"/>
      </c>
      <c r="X922" s="4">
        <f t="shared" si="610"/>
      </c>
      <c r="Y922" s="4" cm="1">
        <f t="array" ref="Y922">_xlfn.IFS(H922=1,2,H922=3,1)</f>
      </c>
      <c r="Z922" s="4">
        <f t="shared" si="611"/>
      </c>
      <c r="AA922" s="4">
        <f t="shared" si="612"/>
      </c>
      <c r="AB922" s="4">
        <f t="shared" si="613"/>
      </c>
      <c r="AC922" s="4">
        <f t="shared" si="614"/>
      </c>
      <c r="AD922" s="4">
        <f t="shared" si="615"/>
      </c>
      <c r="AE922" s="4">
        <f t="shared" si="616"/>
      </c>
      <c r="AF922" s="4">
        <f t="shared" si="617"/>
      </c>
      <c r="AG922" s="4">
        <f t="shared" si="618"/>
        <v/>
      </c>
      <c r="AH922" s="4">
        <f t="shared" si="619"/>
      </c>
      <c r="AI922" s="4">
        <f t="shared" si="620"/>
      </c>
      <c r="AJ922" s="4">
        <f t="shared" si="621"/>
      </c>
      <c r="AK922" s="4">
        <f t="shared" si="622"/>
      </c>
      <c r="AL922" s="4">
        <f t="shared" si="623"/>
      </c>
      <c r="AM922" s="4">
        <f t="shared" si="624"/>
      </c>
      <c r="AN922" s="4"/>
      <c r="AO922" s="4">
        <f t="shared" si="625"/>
      </c>
      <c r="AP922" s="4">
        <f t="shared" si="626"/>
      </c>
      <c r="AQ922" s="4">
        <f t="shared" si="627"/>
        <v/>
      </c>
      <c r="AR922" s="4">
        <f t="shared" si="628"/>
      </c>
      <c r="AS922" s="4">
        <f t="shared" si="629"/>
      </c>
      <c r="AT922" s="4">
        <f t="shared" si="630"/>
      </c>
    </row>
    <row r="923" spans="1:46" x14ac:dyDescent="0.3">
      <c r="A923" s="5">
        <f t="shared" si="602"/>
      </c>
      <c r="B923" s="4">
        <f t="shared" si="603"/>
      </c>
      <c r="C923" s="59"/>
      <c r="D923" s="59"/>
      <c r="E923" s="70"/>
      <c r="F923" s="164"/>
      <c r="G923" s="164"/>
      <c r="H923" s="164"/>
      <c r="I923" s="70"/>
      <c r="J923" s="70"/>
      <c r="K923" s="70"/>
      <c r="L923" s="70"/>
      <c r="M923" s="4">
        <f t="shared" si="604"/>
      </c>
      <c r="N923" s="59"/>
      <c r="O923" s="164"/>
      <c r="P923" s="59">
        <f t="shared" si="605"/>
      </c>
      <c r="Q923" s="165"/>
      <c r="R923" s="59"/>
      <c r="S923" s="164"/>
      <c r="T923" s="5">
        <f t="shared" si="606"/>
      </c>
      <c r="U923" s="4">
        <f t="shared" si="607"/>
      </c>
      <c r="V923" s="4">
        <f t="shared" si="608"/>
      </c>
      <c r="W923" s="4">
        <f t="shared" si="609"/>
      </c>
      <c r="X923" s="4">
        <f t="shared" si="610"/>
      </c>
      <c r="Y923" s="4" cm="1">
        <f t="array" ref="Y923">_xlfn.IFS(H923=1,2,H923=3,1)</f>
      </c>
      <c r="Z923" s="4">
        <f t="shared" si="611"/>
      </c>
      <c r="AA923" s="4">
        <f t="shared" si="612"/>
      </c>
      <c r="AB923" s="4">
        <f t="shared" si="613"/>
      </c>
      <c r="AC923" s="4">
        <f t="shared" si="614"/>
      </c>
      <c r="AD923" s="4">
        <f t="shared" si="615"/>
      </c>
      <c r="AE923" s="4">
        <f t="shared" si="616"/>
      </c>
      <c r="AF923" s="4">
        <f t="shared" si="617"/>
      </c>
      <c r="AG923" s="4">
        <f t="shared" si="618"/>
        <v/>
      </c>
      <c r="AH923" s="4">
        <f t="shared" si="619"/>
      </c>
      <c r="AI923" s="4">
        <f t="shared" si="620"/>
      </c>
      <c r="AJ923" s="4">
        <f t="shared" si="621"/>
      </c>
      <c r="AK923" s="4">
        <f t="shared" si="622"/>
      </c>
      <c r="AL923" s="4">
        <f t="shared" si="623"/>
      </c>
      <c r="AM923" s="4">
        <f t="shared" si="624"/>
      </c>
      <c r="AN923" s="4"/>
      <c r="AO923" s="4">
        <f t="shared" si="625"/>
      </c>
      <c r="AP923" s="4">
        <f t="shared" si="626"/>
      </c>
      <c r="AQ923" s="4">
        <f t="shared" si="627"/>
        <v/>
      </c>
      <c r="AR923" s="4">
        <f t="shared" si="628"/>
      </c>
      <c r="AS923" s="4">
        <f t="shared" si="629"/>
      </c>
      <c r="AT923" s="4">
        <f t="shared" si="630"/>
      </c>
    </row>
    <row r="924" spans="1:46" x14ac:dyDescent="0.3">
      <c r="A924" s="5">
        <f t="shared" si="602"/>
      </c>
      <c r="B924" s="4">
        <f t="shared" si="603"/>
      </c>
      <c r="C924" s="59"/>
      <c r="D924" s="59"/>
      <c r="E924" s="70"/>
      <c r="F924" s="164"/>
      <c r="G924" s="164"/>
      <c r="H924" s="164"/>
      <c r="I924" s="70"/>
      <c r="J924" s="70"/>
      <c r="K924" s="70"/>
      <c r="L924" s="70"/>
      <c r="M924" s="4">
        <f t="shared" si="604"/>
      </c>
      <c r="N924" s="59"/>
      <c r="O924" s="164"/>
      <c r="P924" s="59">
        <f t="shared" si="605"/>
      </c>
      <c r="Q924" s="165"/>
      <c r="R924" s="59"/>
      <c r="S924" s="164"/>
      <c r="T924" s="5">
        <f t="shared" si="606"/>
      </c>
      <c r="U924" s="4">
        <f t="shared" si="607"/>
      </c>
      <c r="V924" s="4">
        <f t="shared" si="608"/>
      </c>
      <c r="W924" s="4">
        <f t="shared" si="609"/>
      </c>
      <c r="X924" s="4">
        <f t="shared" si="610"/>
      </c>
      <c r="Y924" s="4" cm="1">
        <f t="array" ref="Y924">_xlfn.IFS(H924=1,2,H924=3,1)</f>
      </c>
      <c r="Z924" s="4">
        <f t="shared" si="611"/>
      </c>
      <c r="AA924" s="4">
        <f t="shared" si="612"/>
      </c>
      <c r="AB924" s="4">
        <f t="shared" si="613"/>
      </c>
      <c r="AC924" s="4">
        <f t="shared" si="614"/>
      </c>
      <c r="AD924" s="4">
        <f t="shared" si="615"/>
      </c>
      <c r="AE924" s="4">
        <f t="shared" si="616"/>
      </c>
      <c r="AF924" s="4">
        <f t="shared" si="617"/>
      </c>
      <c r="AG924" s="4">
        <f t="shared" si="618"/>
        <v/>
      </c>
      <c r="AH924" s="4">
        <f t="shared" si="619"/>
      </c>
      <c r="AI924" s="4">
        <f t="shared" si="620"/>
      </c>
      <c r="AJ924" s="4">
        <f t="shared" si="621"/>
      </c>
      <c r="AK924" s="4">
        <f t="shared" si="622"/>
      </c>
      <c r="AL924" s="4">
        <f t="shared" si="623"/>
      </c>
      <c r="AM924" s="4">
        <f t="shared" si="624"/>
      </c>
      <c r="AN924" s="4"/>
      <c r="AO924" s="4">
        <f t="shared" si="625"/>
      </c>
      <c r="AP924" s="4">
        <f t="shared" si="626"/>
      </c>
      <c r="AQ924" s="4">
        <f t="shared" si="627"/>
        <v/>
      </c>
      <c r="AR924" s="4">
        <f t="shared" si="628"/>
      </c>
      <c r="AS924" s="4">
        <f t="shared" si="629"/>
      </c>
      <c r="AT924" s="4">
        <f t="shared" si="630"/>
      </c>
    </row>
    <row r="925" spans="1:46" x14ac:dyDescent="0.3">
      <c r="A925" s="5">
        <f t="shared" si="602"/>
      </c>
      <c r="B925" s="4">
        <f t="shared" si="603"/>
      </c>
      <c r="C925" s="59"/>
      <c r="D925" s="59"/>
      <c r="E925" s="70"/>
      <c r="F925" s="164"/>
      <c r="G925" s="164"/>
      <c r="H925" s="164"/>
      <c r="I925" s="70"/>
      <c r="J925" s="70"/>
      <c r="K925" s="70"/>
      <c r="L925" s="70"/>
      <c r="M925" s="4">
        <f t="shared" si="604"/>
      </c>
      <c r="N925" s="59"/>
      <c r="O925" s="164"/>
      <c r="P925" s="59">
        <f t="shared" si="605"/>
      </c>
      <c r="Q925" s="165"/>
      <c r="R925" s="59"/>
      <c r="S925" s="164"/>
      <c r="T925" s="5">
        <f t="shared" si="606"/>
      </c>
      <c r="U925" s="4">
        <f t="shared" si="607"/>
      </c>
      <c r="V925" s="4">
        <f t="shared" si="608"/>
      </c>
      <c r="W925" s="4">
        <f t="shared" si="609"/>
      </c>
      <c r="X925" s="4">
        <f t="shared" si="610"/>
      </c>
      <c r="Y925" s="4" cm="1">
        <f t="array" ref="Y925">_xlfn.IFS(H925=1,2,H925=3,1)</f>
      </c>
      <c r="Z925" s="4">
        <f t="shared" si="611"/>
      </c>
      <c r="AA925" s="4">
        <f t="shared" si="612"/>
      </c>
      <c r="AB925" s="4">
        <f t="shared" si="613"/>
      </c>
      <c r="AC925" s="4">
        <f t="shared" si="614"/>
      </c>
      <c r="AD925" s="4">
        <f t="shared" si="615"/>
      </c>
      <c r="AE925" s="4">
        <f t="shared" si="616"/>
      </c>
      <c r="AF925" s="4">
        <f t="shared" si="617"/>
      </c>
      <c r="AG925" s="4">
        <f t="shared" si="618"/>
        <v/>
      </c>
      <c r="AH925" s="4">
        <f t="shared" si="619"/>
      </c>
      <c r="AI925" s="4">
        <f t="shared" si="620"/>
      </c>
      <c r="AJ925" s="4">
        <f t="shared" si="621"/>
      </c>
      <c r="AK925" s="4">
        <f t="shared" si="622"/>
      </c>
      <c r="AL925" s="4">
        <f t="shared" si="623"/>
      </c>
      <c r="AM925" s="4">
        <f t="shared" si="624"/>
      </c>
      <c r="AN925" s="4"/>
      <c r="AO925" s="4">
        <f t="shared" si="625"/>
      </c>
      <c r="AP925" s="4">
        <f t="shared" si="626"/>
      </c>
      <c r="AQ925" s="4">
        <f t="shared" si="627"/>
        <v/>
      </c>
      <c r="AR925" s="4">
        <f t="shared" si="628"/>
      </c>
      <c r="AS925" s="4">
        <f t="shared" si="629"/>
      </c>
      <c r="AT925" s="4">
        <f t="shared" si="630"/>
      </c>
    </row>
    <row r="926" spans="1:46" x14ac:dyDescent="0.3">
      <c r="A926" s="5">
        <f t="shared" si="602"/>
      </c>
      <c r="B926" s="4">
        <f t="shared" si="603"/>
      </c>
      <c r="C926" s="59"/>
      <c r="D926" s="59"/>
      <c r="E926" s="70"/>
      <c r="F926" s="164"/>
      <c r="G926" s="164"/>
      <c r="H926" s="164"/>
      <c r="I926" s="70"/>
      <c r="J926" s="70"/>
      <c r="K926" s="70"/>
      <c r="L926" s="70"/>
      <c r="M926" s="4">
        <f t="shared" si="604"/>
      </c>
      <c r="N926" s="59"/>
      <c r="O926" s="164"/>
      <c r="P926" s="59">
        <f t="shared" si="605"/>
      </c>
      <c r="Q926" s="165"/>
      <c r="R926" s="59"/>
      <c r="S926" s="164"/>
      <c r="T926" s="5">
        <f t="shared" si="606"/>
      </c>
      <c r="U926" s="4">
        <f t="shared" si="607"/>
      </c>
      <c r="V926" s="4">
        <f t="shared" si="608"/>
      </c>
      <c r="W926" s="4">
        <f t="shared" si="609"/>
      </c>
      <c r="X926" s="4">
        <f t="shared" si="610"/>
      </c>
      <c r="Y926" s="4" cm="1">
        <f t="array" ref="Y926">_xlfn.IFS(H926=1,2,H926=3,1)</f>
      </c>
      <c r="Z926" s="4">
        <f t="shared" si="611"/>
      </c>
      <c r="AA926" s="4">
        <f t="shared" si="612"/>
      </c>
      <c r="AB926" s="4">
        <f t="shared" si="613"/>
      </c>
      <c r="AC926" s="4">
        <f t="shared" si="614"/>
      </c>
      <c r="AD926" s="4">
        <f t="shared" si="615"/>
      </c>
      <c r="AE926" s="4">
        <f t="shared" si="616"/>
      </c>
      <c r="AF926" s="4">
        <f t="shared" si="617"/>
      </c>
      <c r="AG926" s="4">
        <f t="shared" si="618"/>
        <v/>
      </c>
      <c r="AH926" s="4">
        <f t="shared" si="619"/>
      </c>
      <c r="AI926" s="4">
        <f t="shared" si="620"/>
      </c>
      <c r="AJ926" s="4">
        <f t="shared" si="621"/>
      </c>
      <c r="AK926" s="4">
        <f t="shared" si="622"/>
      </c>
      <c r="AL926" s="4">
        <f t="shared" si="623"/>
      </c>
      <c r="AM926" s="4">
        <f t="shared" si="624"/>
      </c>
      <c r="AN926" s="4"/>
      <c r="AO926" s="4">
        <f t="shared" si="625"/>
      </c>
      <c r="AP926" s="4">
        <f t="shared" si="626"/>
      </c>
      <c r="AQ926" s="4">
        <f t="shared" si="627"/>
        <v/>
      </c>
      <c r="AR926" s="4">
        <f t="shared" si="628"/>
      </c>
      <c r="AS926" s="4">
        <f t="shared" si="629"/>
      </c>
      <c r="AT926" s="4">
        <f t="shared" si="630"/>
      </c>
    </row>
    <row r="927" spans="1:46" x14ac:dyDescent="0.3">
      <c r="A927" s="5">
        <f t="shared" si="602"/>
      </c>
      <c r="B927" s="4">
        <f t="shared" si="603"/>
      </c>
      <c r="C927" s="59"/>
      <c r="D927" s="59"/>
      <c r="E927" s="70"/>
      <c r="F927" s="164"/>
      <c r="G927" s="164"/>
      <c r="H927" s="164"/>
      <c r="I927" s="70"/>
      <c r="J927" s="70"/>
      <c r="K927" s="70"/>
      <c r="L927" s="70"/>
      <c r="M927" s="4">
        <f t="shared" si="604"/>
      </c>
      <c r="N927" s="59"/>
      <c r="O927" s="164"/>
      <c r="P927" s="59">
        <f t="shared" si="605"/>
      </c>
      <c r="Q927" s="165"/>
      <c r="R927" s="59"/>
      <c r="S927" s="164"/>
      <c r="T927" s="5">
        <f t="shared" si="606"/>
      </c>
      <c r="U927" s="4">
        <f t="shared" si="607"/>
      </c>
      <c r="V927" s="4">
        <f t="shared" si="608"/>
      </c>
      <c r="W927" s="4">
        <f t="shared" si="609"/>
      </c>
      <c r="X927" s="4">
        <f t="shared" si="610"/>
      </c>
      <c r="Y927" s="4" cm="1">
        <f t="array" ref="Y927">_xlfn.IFS(H927=1,2,H927=3,1)</f>
      </c>
      <c r="Z927" s="4">
        <f t="shared" si="611"/>
      </c>
      <c r="AA927" s="4">
        <f t="shared" si="612"/>
      </c>
      <c r="AB927" s="4">
        <f t="shared" si="613"/>
      </c>
      <c r="AC927" s="4">
        <f t="shared" si="614"/>
      </c>
      <c r="AD927" s="4">
        <f t="shared" si="615"/>
      </c>
      <c r="AE927" s="4">
        <f t="shared" si="616"/>
      </c>
      <c r="AF927" s="4">
        <f t="shared" si="617"/>
      </c>
      <c r="AG927" s="4">
        <f t="shared" si="618"/>
        <v/>
      </c>
      <c r="AH927" s="4">
        <f t="shared" si="619"/>
      </c>
      <c r="AI927" s="4">
        <f t="shared" si="620"/>
      </c>
      <c r="AJ927" s="4">
        <f t="shared" si="621"/>
      </c>
      <c r="AK927" s="4">
        <f t="shared" si="622"/>
      </c>
      <c r="AL927" s="4">
        <f t="shared" si="623"/>
      </c>
      <c r="AM927" s="4">
        <f t="shared" si="624"/>
      </c>
      <c r="AN927" s="4"/>
      <c r="AO927" s="4">
        <f t="shared" si="625"/>
      </c>
      <c r="AP927" s="4">
        <f t="shared" si="626"/>
      </c>
      <c r="AQ927" s="4">
        <f t="shared" si="627"/>
        <v/>
      </c>
      <c r="AR927" s="4">
        <f t="shared" si="628"/>
      </c>
      <c r="AS927" s="4">
        <f t="shared" si="629"/>
      </c>
      <c r="AT927" s="4">
        <f t="shared" si="630"/>
      </c>
    </row>
    <row r="928" spans="1:46" x14ac:dyDescent="0.3">
      <c r="A928" s="5">
        <f t="shared" si="602"/>
      </c>
      <c r="B928" s="4">
        <f t="shared" si="603"/>
      </c>
      <c r="C928" s="59"/>
      <c r="D928" s="59"/>
      <c r="E928" s="70"/>
      <c r="F928" s="164"/>
      <c r="G928" s="164"/>
      <c r="H928" s="164"/>
      <c r="I928" s="70"/>
      <c r="J928" s="70"/>
      <c r="K928" s="70"/>
      <c r="L928" s="70"/>
      <c r="M928" s="4">
        <f t="shared" si="604"/>
      </c>
      <c r="N928" s="59"/>
      <c r="O928" s="164"/>
      <c r="P928" s="59">
        <f t="shared" si="605"/>
      </c>
      <c r="Q928" s="165"/>
      <c r="R928" s="59"/>
      <c r="S928" s="164"/>
      <c r="T928" s="5">
        <f t="shared" si="606"/>
      </c>
      <c r="U928" s="4">
        <f t="shared" si="607"/>
      </c>
      <c r="V928" s="4">
        <f t="shared" si="608"/>
      </c>
      <c r="W928" s="4">
        <f t="shared" si="609"/>
      </c>
      <c r="X928" s="4">
        <f t="shared" si="610"/>
      </c>
      <c r="Y928" s="4" cm="1">
        <f t="array" ref="Y928">_xlfn.IFS(H928=1,2,H928=3,1)</f>
      </c>
      <c r="Z928" s="4">
        <f t="shared" si="611"/>
      </c>
      <c r="AA928" s="4">
        <f t="shared" si="612"/>
      </c>
      <c r="AB928" s="4">
        <f t="shared" si="613"/>
      </c>
      <c r="AC928" s="4">
        <f t="shared" si="614"/>
      </c>
      <c r="AD928" s="4">
        <f t="shared" si="615"/>
      </c>
      <c r="AE928" s="4">
        <f t="shared" si="616"/>
      </c>
      <c r="AF928" s="4">
        <f t="shared" si="617"/>
      </c>
      <c r="AG928" s="4">
        <f t="shared" si="618"/>
        <v/>
      </c>
      <c r="AH928" s="4">
        <f t="shared" si="619"/>
      </c>
      <c r="AI928" s="4">
        <f t="shared" si="620"/>
      </c>
      <c r="AJ928" s="4">
        <f t="shared" si="621"/>
      </c>
      <c r="AK928" s="4">
        <f t="shared" si="622"/>
      </c>
      <c r="AL928" s="4">
        <f t="shared" si="623"/>
      </c>
      <c r="AM928" s="4">
        <f t="shared" si="624"/>
      </c>
      <c r="AN928" s="4"/>
      <c r="AO928" s="4">
        <f t="shared" si="625"/>
      </c>
      <c r="AP928" s="4">
        <f t="shared" si="626"/>
      </c>
      <c r="AQ928" s="4">
        <f t="shared" si="627"/>
        <v/>
      </c>
      <c r="AR928" s="4">
        <f t="shared" si="628"/>
      </c>
      <c r="AS928" s="4">
        <f t="shared" si="629"/>
      </c>
      <c r="AT928" s="4">
        <f t="shared" si="630"/>
      </c>
    </row>
    <row r="929" spans="1:46" x14ac:dyDescent="0.3">
      <c r="A929" s="5">
        <f t="shared" si="602"/>
      </c>
      <c r="B929" s="4">
        <f t="shared" si="603"/>
      </c>
      <c r="C929" s="59"/>
      <c r="D929" s="59"/>
      <c r="E929" s="70"/>
      <c r="F929" s="164"/>
      <c r="G929" s="164"/>
      <c r="H929" s="164"/>
      <c r="I929" s="70"/>
      <c r="J929" s="70"/>
      <c r="K929" s="70"/>
      <c r="L929" s="70"/>
      <c r="M929" s="4">
        <f t="shared" si="604"/>
      </c>
      <c r="N929" s="59"/>
      <c r="O929" s="164"/>
      <c r="P929" s="59">
        <f t="shared" si="605"/>
      </c>
      <c r="Q929" s="165"/>
      <c r="R929" s="59"/>
      <c r="S929" s="164"/>
      <c r="T929" s="5">
        <f t="shared" si="606"/>
      </c>
      <c r="U929" s="4">
        <f t="shared" si="607"/>
      </c>
      <c r="V929" s="4">
        <f t="shared" si="608"/>
      </c>
      <c r="W929" s="4">
        <f t="shared" si="609"/>
      </c>
      <c r="X929" s="4">
        <f t="shared" si="610"/>
      </c>
      <c r="Y929" s="4" cm="1">
        <f t="array" ref="Y929">_xlfn.IFS(H929=1,2,H929=3,1)</f>
      </c>
      <c r="Z929" s="4">
        <f t="shared" si="611"/>
      </c>
      <c r="AA929" s="4">
        <f t="shared" si="612"/>
      </c>
      <c r="AB929" s="4">
        <f t="shared" si="613"/>
      </c>
      <c r="AC929" s="4">
        <f t="shared" si="614"/>
      </c>
      <c r="AD929" s="4">
        <f t="shared" si="615"/>
      </c>
      <c r="AE929" s="4">
        <f t="shared" si="616"/>
      </c>
      <c r="AF929" s="4">
        <f t="shared" si="617"/>
      </c>
      <c r="AG929" s="4">
        <f t="shared" si="618"/>
        <v/>
      </c>
      <c r="AH929" s="4">
        <f t="shared" si="619"/>
      </c>
      <c r="AI929" s="4">
        <f t="shared" si="620"/>
      </c>
      <c r="AJ929" s="4">
        <f t="shared" si="621"/>
      </c>
      <c r="AK929" s="4">
        <f t="shared" si="622"/>
      </c>
      <c r="AL929" s="4">
        <f t="shared" si="623"/>
      </c>
      <c r="AM929" s="4">
        <f t="shared" si="624"/>
      </c>
      <c r="AN929" s="4"/>
      <c r="AO929" s="4">
        <f t="shared" si="625"/>
      </c>
      <c r="AP929" s="4">
        <f t="shared" si="626"/>
      </c>
      <c r="AQ929" s="4">
        <f t="shared" si="627"/>
        <v/>
      </c>
      <c r="AR929" s="4">
        <f t="shared" si="628"/>
      </c>
      <c r="AS929" s="4">
        <f t="shared" si="629"/>
      </c>
      <c r="AT929" s="4">
        <f t="shared" si="630"/>
      </c>
    </row>
    <row r="930" spans="1:46" x14ac:dyDescent="0.3">
      <c r="A930" s="5">
        <f t="shared" si="602"/>
      </c>
      <c r="B930" s="4">
        <f t="shared" si="603"/>
      </c>
      <c r="C930" s="59"/>
      <c r="D930" s="59"/>
      <c r="E930" s="70"/>
      <c r="F930" s="164"/>
      <c r="G930" s="164"/>
      <c r="H930" s="164"/>
      <c r="I930" s="70"/>
      <c r="J930" s="70"/>
      <c r="K930" s="70"/>
      <c r="L930" s="70"/>
      <c r="M930" s="4">
        <f t="shared" si="604"/>
      </c>
      <c r="N930" s="59"/>
      <c r="O930" s="164"/>
      <c r="P930" s="59">
        <f t="shared" si="605"/>
      </c>
      <c r="Q930" s="165"/>
      <c r="R930" s="59"/>
      <c r="S930" s="164"/>
      <c r="T930" s="5">
        <f t="shared" si="606"/>
      </c>
      <c r="U930" s="4">
        <f t="shared" si="607"/>
      </c>
      <c r="V930" s="4">
        <f t="shared" si="608"/>
      </c>
      <c r="W930" s="4">
        <f t="shared" si="609"/>
      </c>
      <c r="X930" s="4">
        <f t="shared" si="610"/>
      </c>
      <c r="Y930" s="4" cm="1">
        <f t="array" ref="Y930">_xlfn.IFS(H930=1,2,H930=3,1)</f>
      </c>
      <c r="Z930" s="4">
        <f t="shared" si="611"/>
      </c>
      <c r="AA930" s="4">
        <f t="shared" si="612"/>
      </c>
      <c r="AB930" s="4">
        <f t="shared" si="613"/>
      </c>
      <c r="AC930" s="4">
        <f t="shared" si="614"/>
      </c>
      <c r="AD930" s="4">
        <f t="shared" si="615"/>
      </c>
      <c r="AE930" s="4">
        <f t="shared" si="616"/>
      </c>
      <c r="AF930" s="4">
        <f t="shared" si="617"/>
      </c>
      <c r="AG930" s="4">
        <f t="shared" si="618"/>
        <v/>
      </c>
      <c r="AH930" s="4">
        <f t="shared" si="619"/>
      </c>
      <c r="AI930" s="4">
        <f t="shared" si="620"/>
      </c>
      <c r="AJ930" s="4">
        <f t="shared" si="621"/>
      </c>
      <c r="AK930" s="4">
        <f t="shared" si="622"/>
      </c>
      <c r="AL930" s="4">
        <f t="shared" si="623"/>
      </c>
      <c r="AM930" s="4">
        <f t="shared" si="624"/>
      </c>
      <c r="AN930" s="4"/>
      <c r="AO930" s="4">
        <f t="shared" si="625"/>
      </c>
      <c r="AP930" s="4">
        <f t="shared" si="626"/>
      </c>
      <c r="AQ930" s="4">
        <f t="shared" si="627"/>
        <v/>
      </c>
      <c r="AR930" s="4">
        <f t="shared" si="628"/>
      </c>
      <c r="AS930" s="4">
        <f t="shared" si="629"/>
      </c>
      <c r="AT930" s="4">
        <f t="shared" si="630"/>
      </c>
    </row>
    <row r="931" spans="1:46" x14ac:dyDescent="0.3">
      <c r="A931" s="5">
        <f t="shared" si="602"/>
      </c>
      <c r="B931" s="4">
        <f t="shared" si="603"/>
      </c>
      <c r="C931" s="59"/>
      <c r="D931" s="59"/>
      <c r="E931" s="70"/>
      <c r="F931" s="164"/>
      <c r="G931" s="164"/>
      <c r="H931" s="164"/>
      <c r="I931" s="70"/>
      <c r="J931" s="70"/>
      <c r="K931" s="70"/>
      <c r="L931" s="70"/>
      <c r="M931" s="4">
        <f t="shared" si="604"/>
      </c>
      <c r="N931" s="59"/>
      <c r="O931" s="164"/>
      <c r="P931" s="59">
        <f t="shared" si="605"/>
      </c>
      <c r="Q931" s="165"/>
      <c r="R931" s="59"/>
      <c r="S931" s="164"/>
      <c r="T931" s="5">
        <f t="shared" si="606"/>
      </c>
      <c r="U931" s="4">
        <f t="shared" si="607"/>
      </c>
      <c r="V931" s="4">
        <f t="shared" si="608"/>
      </c>
      <c r="W931" s="4">
        <f t="shared" si="609"/>
      </c>
      <c r="X931" s="4">
        <f t="shared" si="610"/>
      </c>
      <c r="Y931" s="4" cm="1">
        <f t="array" ref="Y931">_xlfn.IFS(H931=1,2,H931=3,1)</f>
      </c>
      <c r="Z931" s="4">
        <f t="shared" si="611"/>
      </c>
      <c r="AA931" s="4">
        <f t="shared" si="612"/>
      </c>
      <c r="AB931" s="4">
        <f t="shared" si="613"/>
      </c>
      <c r="AC931" s="4">
        <f t="shared" si="614"/>
      </c>
      <c r="AD931" s="4">
        <f t="shared" si="615"/>
      </c>
      <c r="AE931" s="4">
        <f t="shared" si="616"/>
      </c>
      <c r="AF931" s="4">
        <f t="shared" si="617"/>
      </c>
      <c r="AG931" s="4">
        <f t="shared" si="618"/>
        <v/>
      </c>
      <c r="AH931" s="4">
        <f t="shared" si="619"/>
      </c>
      <c r="AI931" s="4">
        <f t="shared" si="620"/>
      </c>
      <c r="AJ931" s="4">
        <f t="shared" si="621"/>
      </c>
      <c r="AK931" s="4">
        <f t="shared" si="622"/>
      </c>
      <c r="AL931" s="4">
        <f t="shared" si="623"/>
      </c>
      <c r="AM931" s="4">
        <f t="shared" si="624"/>
      </c>
      <c r="AN931" s="4"/>
      <c r="AO931" s="4">
        <f t="shared" si="625"/>
      </c>
      <c r="AP931" s="4">
        <f t="shared" si="626"/>
      </c>
      <c r="AQ931" s="4">
        <f t="shared" si="627"/>
        <v/>
      </c>
      <c r="AR931" s="4">
        <f t="shared" si="628"/>
      </c>
      <c r="AS931" s="4">
        <f t="shared" si="629"/>
      </c>
      <c r="AT931" s="4">
        <f t="shared" si="630"/>
      </c>
    </row>
    <row r="932" spans="1:46" x14ac:dyDescent="0.3">
      <c r="A932" s="5">
        <f t="shared" si="602"/>
      </c>
      <c r="B932" s="4">
        <f t="shared" si="603"/>
      </c>
      <c r="C932" s="59"/>
      <c r="D932" s="59"/>
      <c r="E932" s="70"/>
      <c r="F932" s="164"/>
      <c r="G932" s="164"/>
      <c r="H932" s="164"/>
      <c r="I932" s="70"/>
      <c r="J932" s="70"/>
      <c r="K932" s="70"/>
      <c r="L932" s="70"/>
      <c r="M932" s="4">
        <f t="shared" si="604"/>
      </c>
      <c r="N932" s="59"/>
      <c r="O932" s="164"/>
      <c r="P932" s="59">
        <f t="shared" si="605"/>
      </c>
      <c r="Q932" s="165"/>
      <c r="R932" s="59"/>
      <c r="S932" s="164"/>
      <c r="T932" s="5">
        <f t="shared" si="606"/>
      </c>
      <c r="U932" s="4">
        <f t="shared" si="607"/>
      </c>
      <c r="V932" s="4">
        <f t="shared" si="608"/>
      </c>
      <c r="W932" s="4">
        <f t="shared" si="609"/>
      </c>
      <c r="X932" s="4">
        <f t="shared" si="610"/>
      </c>
      <c r="Y932" s="4" cm="1">
        <f t="array" ref="Y932">_xlfn.IFS(H932=1,2,H932=3,1)</f>
      </c>
      <c r="Z932" s="4">
        <f t="shared" si="611"/>
      </c>
      <c r="AA932" s="4">
        <f t="shared" si="612"/>
      </c>
      <c r="AB932" s="4">
        <f t="shared" si="613"/>
      </c>
      <c r="AC932" s="4">
        <f t="shared" si="614"/>
      </c>
      <c r="AD932" s="4">
        <f t="shared" si="615"/>
      </c>
      <c r="AE932" s="4">
        <f t="shared" si="616"/>
      </c>
      <c r="AF932" s="4">
        <f t="shared" si="617"/>
      </c>
      <c r="AG932" s="4">
        <f t="shared" si="618"/>
        <v/>
      </c>
      <c r="AH932" s="4">
        <f t="shared" si="619"/>
      </c>
      <c r="AI932" s="4">
        <f t="shared" si="620"/>
      </c>
      <c r="AJ932" s="4">
        <f t="shared" si="621"/>
      </c>
      <c r="AK932" s="4">
        <f t="shared" si="622"/>
      </c>
      <c r="AL932" s="4">
        <f t="shared" si="623"/>
      </c>
      <c r="AM932" s="4">
        <f t="shared" si="624"/>
      </c>
      <c r="AN932" s="4"/>
      <c r="AO932" s="4">
        <f t="shared" si="625"/>
      </c>
      <c r="AP932" s="4">
        <f t="shared" si="626"/>
      </c>
      <c r="AQ932" s="4">
        <f t="shared" si="627"/>
        <v/>
      </c>
      <c r="AR932" s="4">
        <f t="shared" si="628"/>
      </c>
      <c r="AS932" s="4">
        <f t="shared" si="629"/>
      </c>
      <c r="AT932" s="4">
        <f t="shared" si="630"/>
      </c>
    </row>
    <row r="933" spans="1:46" x14ac:dyDescent="0.3">
      <c r="A933" s="5">
        <f t="shared" si="602"/>
      </c>
      <c r="B933" s="4">
        <f t="shared" si="603"/>
      </c>
      <c r="C933" s="59"/>
      <c r="D933" s="59"/>
      <c r="E933" s="70"/>
      <c r="F933" s="164"/>
      <c r="G933" s="164"/>
      <c r="H933" s="164"/>
      <c r="I933" s="70"/>
      <c r="J933" s="70"/>
      <c r="K933" s="70"/>
      <c r="L933" s="70"/>
      <c r="M933" s="4">
        <f t="shared" si="604"/>
      </c>
      <c r="N933" s="59"/>
      <c r="O933" s="164"/>
      <c r="P933" s="59">
        <f t="shared" si="605"/>
      </c>
      <c r="Q933" s="165"/>
      <c r="R933" s="59"/>
      <c r="S933" s="164"/>
      <c r="T933" s="5">
        <f t="shared" si="606"/>
      </c>
      <c r="U933" s="4">
        <f t="shared" si="607"/>
      </c>
      <c r="V933" s="4">
        <f t="shared" si="608"/>
      </c>
      <c r="W933" s="4">
        <f t="shared" si="609"/>
      </c>
      <c r="X933" s="4">
        <f t="shared" si="610"/>
      </c>
      <c r="Y933" s="4" cm="1">
        <f t="array" ref="Y933">_xlfn.IFS(H933=1,2,H933=3,1)</f>
      </c>
      <c r="Z933" s="4">
        <f t="shared" si="611"/>
      </c>
      <c r="AA933" s="4">
        <f t="shared" si="612"/>
      </c>
      <c r="AB933" s="4">
        <f t="shared" si="613"/>
      </c>
      <c r="AC933" s="4">
        <f t="shared" si="614"/>
      </c>
      <c r="AD933" s="4">
        <f t="shared" si="615"/>
      </c>
      <c r="AE933" s="4">
        <f t="shared" si="616"/>
      </c>
      <c r="AF933" s="4">
        <f t="shared" si="617"/>
      </c>
      <c r="AG933" s="4">
        <f t="shared" si="618"/>
        <v/>
      </c>
      <c r="AH933" s="4">
        <f t="shared" si="619"/>
      </c>
      <c r="AI933" s="4">
        <f t="shared" si="620"/>
      </c>
      <c r="AJ933" s="4">
        <f t="shared" si="621"/>
      </c>
      <c r="AK933" s="4">
        <f t="shared" si="622"/>
      </c>
      <c r="AL933" s="4">
        <f t="shared" si="623"/>
      </c>
      <c r="AM933" s="4">
        <f t="shared" si="624"/>
      </c>
      <c r="AN933" s="4"/>
      <c r="AO933" s="4">
        <f t="shared" si="625"/>
      </c>
      <c r="AP933" s="4">
        <f t="shared" si="626"/>
      </c>
      <c r="AQ933" s="4">
        <f t="shared" si="627"/>
        <v/>
      </c>
      <c r="AR933" s="4">
        <f t="shared" si="628"/>
      </c>
      <c r="AS933" s="4">
        <f t="shared" si="629"/>
      </c>
      <c r="AT933" s="4">
        <f t="shared" si="630"/>
      </c>
    </row>
    <row r="934" spans="1:46" x14ac:dyDescent="0.3">
      <c r="A934" s="5">
        <f t="shared" si="602"/>
      </c>
      <c r="B934" s="4">
        <f t="shared" si="603"/>
      </c>
      <c r="C934" s="59"/>
      <c r="D934" s="59"/>
      <c r="E934" s="70"/>
      <c r="F934" s="164"/>
      <c r="G934" s="164"/>
      <c r="H934" s="164"/>
      <c r="I934" s="70"/>
      <c r="J934" s="70"/>
      <c r="K934" s="70"/>
      <c r="L934" s="70"/>
      <c r="M934" s="4">
        <f t="shared" si="604"/>
      </c>
      <c r="N934" s="59"/>
      <c r="O934" s="164"/>
      <c r="P934" s="59">
        <f t="shared" si="605"/>
      </c>
      <c r="Q934" s="165"/>
      <c r="R934" s="59"/>
      <c r="S934" s="164"/>
      <c r="T934" s="5">
        <f t="shared" si="606"/>
      </c>
      <c r="U934" s="4">
        <f t="shared" si="607"/>
      </c>
      <c r="V934" s="4">
        <f t="shared" si="608"/>
      </c>
      <c r="W934" s="4">
        <f t="shared" si="609"/>
      </c>
      <c r="X934" s="4">
        <f t="shared" si="610"/>
      </c>
      <c r="Y934" s="4" cm="1">
        <f t="array" ref="Y934">_xlfn.IFS(H934=1,2,H934=3,1)</f>
      </c>
      <c r="Z934" s="4">
        <f t="shared" si="611"/>
      </c>
      <c r="AA934" s="4">
        <f t="shared" si="612"/>
      </c>
      <c r="AB934" s="4">
        <f t="shared" si="613"/>
      </c>
      <c r="AC934" s="4">
        <f t="shared" si="614"/>
      </c>
      <c r="AD934" s="4">
        <f t="shared" si="615"/>
      </c>
      <c r="AE934" s="4">
        <f t="shared" si="616"/>
      </c>
      <c r="AF934" s="4">
        <f t="shared" si="617"/>
      </c>
      <c r="AG934" s="4">
        <f t="shared" si="618"/>
        <v/>
      </c>
      <c r="AH934" s="4">
        <f t="shared" si="619"/>
      </c>
      <c r="AI934" s="4">
        <f t="shared" si="620"/>
      </c>
      <c r="AJ934" s="4">
        <f t="shared" si="621"/>
      </c>
      <c r="AK934" s="4">
        <f t="shared" si="622"/>
      </c>
      <c r="AL934" s="4">
        <f t="shared" si="623"/>
      </c>
      <c r="AM934" s="4">
        <f t="shared" si="624"/>
      </c>
      <c r="AN934" s="4"/>
      <c r="AO934" s="4">
        <f t="shared" si="625"/>
      </c>
      <c r="AP934" s="4">
        <f t="shared" si="626"/>
      </c>
      <c r="AQ934" s="4">
        <f t="shared" si="627"/>
        <v/>
      </c>
      <c r="AR934" s="4">
        <f t="shared" si="628"/>
      </c>
      <c r="AS934" s="4">
        <f t="shared" si="629"/>
      </c>
      <c r="AT934" s="4">
        <f t="shared" si="630"/>
      </c>
    </row>
    <row r="935" spans="1:46" x14ac:dyDescent="0.3">
      <c r="A935" s="5">
        <f t="shared" si="602"/>
      </c>
      <c r="B935" s="4">
        <f t="shared" si="603"/>
      </c>
      <c r="C935" s="59"/>
      <c r="D935" s="59"/>
      <c r="E935" s="70"/>
      <c r="F935" s="164"/>
      <c r="G935" s="164"/>
      <c r="H935" s="164"/>
      <c r="I935" s="70"/>
      <c r="J935" s="70"/>
      <c r="K935" s="70"/>
      <c r="L935" s="70"/>
      <c r="M935" s="4">
        <f t="shared" si="604"/>
      </c>
      <c r="N935" s="59"/>
      <c r="O935" s="164"/>
      <c r="P935" s="59">
        <f t="shared" si="605"/>
      </c>
      <c r="Q935" s="165"/>
      <c r="R935" s="59"/>
      <c r="S935" s="164"/>
      <c r="T935" s="5">
        <f t="shared" si="606"/>
      </c>
      <c r="U935" s="4">
        <f t="shared" si="607"/>
      </c>
      <c r="V935" s="4">
        <f t="shared" si="608"/>
      </c>
      <c r="W935" s="4">
        <f t="shared" si="609"/>
      </c>
      <c r="X935" s="4">
        <f t="shared" si="610"/>
      </c>
      <c r="Y935" s="4" cm="1">
        <f t="array" ref="Y935">_xlfn.IFS(H935=1,2,H935=3,1)</f>
      </c>
      <c r="Z935" s="4">
        <f t="shared" si="611"/>
      </c>
      <c r="AA935" s="4">
        <f t="shared" si="612"/>
      </c>
      <c r="AB935" s="4">
        <f t="shared" si="613"/>
      </c>
      <c r="AC935" s="4">
        <f t="shared" si="614"/>
      </c>
      <c r="AD935" s="4">
        <f t="shared" si="615"/>
      </c>
      <c r="AE935" s="4">
        <f t="shared" si="616"/>
      </c>
      <c r="AF935" s="4">
        <f t="shared" si="617"/>
      </c>
      <c r="AG935" s="4">
        <f t="shared" si="618"/>
        <v/>
      </c>
      <c r="AH935" s="4">
        <f t="shared" si="619"/>
      </c>
      <c r="AI935" s="4">
        <f t="shared" si="620"/>
      </c>
      <c r="AJ935" s="4">
        <f t="shared" si="621"/>
      </c>
      <c r="AK935" s="4">
        <f t="shared" si="622"/>
      </c>
      <c r="AL935" s="4">
        <f t="shared" si="623"/>
      </c>
      <c r="AM935" s="4">
        <f t="shared" si="624"/>
      </c>
      <c r="AN935" s="4"/>
      <c r="AO935" s="4">
        <f t="shared" si="625"/>
      </c>
      <c r="AP935" s="4">
        <f t="shared" si="626"/>
      </c>
      <c r="AQ935" s="4">
        <f t="shared" si="627"/>
        <v/>
      </c>
      <c r="AR935" s="4">
        <f t="shared" si="628"/>
      </c>
      <c r="AS935" s="4">
        <f t="shared" si="629"/>
      </c>
      <c r="AT935" s="4">
        <f t="shared" si="630"/>
      </c>
    </row>
    <row r="936" spans="1:46" x14ac:dyDescent="0.3">
      <c r="A936" s="5">
        <f t="shared" si="602"/>
      </c>
      <c r="B936" s="4">
        <f t="shared" si="603"/>
      </c>
      <c r="C936" s="59"/>
      <c r="D936" s="59"/>
      <c r="E936" s="70"/>
      <c r="F936" s="164"/>
      <c r="G936" s="164"/>
      <c r="H936" s="164"/>
      <c r="I936" s="70"/>
      <c r="J936" s="70"/>
      <c r="K936" s="70"/>
      <c r="L936" s="70"/>
      <c r="M936" s="4">
        <f t="shared" si="604"/>
      </c>
      <c r="N936" s="59"/>
      <c r="O936" s="164"/>
      <c r="P936" s="59">
        <f t="shared" si="605"/>
      </c>
      <c r="Q936" s="165"/>
      <c r="R936" s="59"/>
      <c r="S936" s="164"/>
      <c r="T936" s="5">
        <f t="shared" si="606"/>
      </c>
      <c r="U936" s="4">
        <f t="shared" si="607"/>
      </c>
      <c r="V936" s="4">
        <f t="shared" si="608"/>
      </c>
      <c r="W936" s="4">
        <f t="shared" si="609"/>
      </c>
      <c r="X936" s="4">
        <f t="shared" si="610"/>
      </c>
      <c r="Y936" s="4" cm="1">
        <f t="array" ref="Y936">_xlfn.IFS(H936=1,2,H936=3,1)</f>
      </c>
      <c r="Z936" s="4">
        <f t="shared" si="611"/>
      </c>
      <c r="AA936" s="4">
        <f t="shared" si="612"/>
      </c>
      <c r="AB936" s="4">
        <f t="shared" si="613"/>
      </c>
      <c r="AC936" s="4">
        <f t="shared" si="614"/>
      </c>
      <c r="AD936" s="4">
        <f t="shared" si="615"/>
      </c>
      <c r="AE936" s="4">
        <f t="shared" si="616"/>
      </c>
      <c r="AF936" s="4">
        <f t="shared" si="617"/>
      </c>
      <c r="AG936" s="4">
        <f t="shared" si="618"/>
        <v/>
      </c>
      <c r="AH936" s="4">
        <f t="shared" si="619"/>
      </c>
      <c r="AI936" s="4">
        <f t="shared" si="620"/>
      </c>
      <c r="AJ936" s="4">
        <f t="shared" si="621"/>
      </c>
      <c r="AK936" s="4">
        <f t="shared" si="622"/>
      </c>
      <c r="AL936" s="4">
        <f t="shared" si="623"/>
      </c>
      <c r="AM936" s="4">
        <f t="shared" si="624"/>
      </c>
      <c r="AN936" s="4"/>
      <c r="AO936" s="4">
        <f t="shared" si="625"/>
      </c>
      <c r="AP936" s="4">
        <f t="shared" si="626"/>
      </c>
      <c r="AQ936" s="4">
        <f t="shared" si="627"/>
        <v/>
      </c>
      <c r="AR936" s="4">
        <f t="shared" si="628"/>
      </c>
      <c r="AS936" s="4">
        <f t="shared" si="629"/>
      </c>
      <c r="AT936" s="4">
        <f t="shared" si="630"/>
      </c>
    </row>
    <row r="937" spans="1:46" x14ac:dyDescent="0.3">
      <c r="A937" s="5">
        <f t="shared" si="602"/>
      </c>
      <c r="B937" s="4">
        <f t="shared" si="603"/>
      </c>
      <c r="C937" s="59"/>
      <c r="D937" s="59"/>
      <c r="E937" s="70"/>
      <c r="F937" s="164"/>
      <c r="G937" s="164"/>
      <c r="H937" s="164"/>
      <c r="I937" s="70"/>
      <c r="J937" s="70"/>
      <c r="K937" s="70"/>
      <c r="L937" s="70"/>
      <c r="M937" s="4">
        <f t="shared" si="604"/>
      </c>
      <c r="N937" s="59"/>
      <c r="O937" s="164"/>
      <c r="P937" s="59">
        <f t="shared" si="605"/>
      </c>
      <c r="Q937" s="165"/>
      <c r="R937" s="59"/>
      <c r="S937" s="164"/>
      <c r="T937" s="5">
        <f t="shared" si="606"/>
      </c>
      <c r="U937" s="4">
        <f t="shared" si="607"/>
      </c>
      <c r="V937" s="4">
        <f t="shared" si="608"/>
      </c>
      <c r="W937" s="4">
        <f t="shared" si="609"/>
      </c>
      <c r="X937" s="4">
        <f t="shared" si="610"/>
      </c>
      <c r="Y937" s="4" cm="1">
        <f t="array" ref="Y937">_xlfn.IFS(H937=1,2,H937=3,1)</f>
      </c>
      <c r="Z937" s="4">
        <f t="shared" si="611"/>
      </c>
      <c r="AA937" s="4">
        <f t="shared" si="612"/>
      </c>
      <c r="AB937" s="4">
        <f t="shared" si="613"/>
      </c>
      <c r="AC937" s="4">
        <f t="shared" si="614"/>
      </c>
      <c r="AD937" s="4">
        <f t="shared" si="615"/>
      </c>
      <c r="AE937" s="4">
        <f t="shared" si="616"/>
      </c>
      <c r="AF937" s="4">
        <f t="shared" si="617"/>
      </c>
      <c r="AG937" s="4">
        <f t="shared" si="618"/>
        <v/>
      </c>
      <c r="AH937" s="4">
        <f t="shared" si="619"/>
      </c>
      <c r="AI937" s="4">
        <f t="shared" si="620"/>
      </c>
      <c r="AJ937" s="4">
        <f t="shared" si="621"/>
      </c>
      <c r="AK937" s="4">
        <f t="shared" si="622"/>
      </c>
      <c r="AL937" s="4">
        <f t="shared" si="623"/>
      </c>
      <c r="AM937" s="4">
        <f t="shared" si="624"/>
      </c>
      <c r="AN937" s="4"/>
      <c r="AO937" s="4">
        <f t="shared" si="625"/>
      </c>
      <c r="AP937" s="4">
        <f t="shared" si="626"/>
      </c>
      <c r="AQ937" s="4">
        <f t="shared" si="627"/>
        <v/>
      </c>
      <c r="AR937" s="4">
        <f t="shared" si="628"/>
      </c>
      <c r="AS937" s="4">
        <f t="shared" si="629"/>
      </c>
      <c r="AT937" s="4">
        <f t="shared" si="630"/>
      </c>
    </row>
    <row r="938" spans="1:46" x14ac:dyDescent="0.3">
      <c r="A938" s="5">
        <f t="shared" si="602"/>
      </c>
      <c r="B938" s="4">
        <f t="shared" si="603"/>
      </c>
      <c r="C938" s="59"/>
      <c r="D938" s="59"/>
      <c r="E938" s="70"/>
      <c r="F938" s="164"/>
      <c r="G938" s="164"/>
      <c r="H938" s="164"/>
      <c r="I938" s="70"/>
      <c r="J938" s="70"/>
      <c r="K938" s="70"/>
      <c r="L938" s="70"/>
      <c r="M938" s="4">
        <f t="shared" si="604"/>
      </c>
      <c r="N938" s="59"/>
      <c r="O938" s="164"/>
      <c r="P938" s="59">
        <f t="shared" si="605"/>
      </c>
      <c r="Q938" s="165"/>
      <c r="R938" s="59"/>
      <c r="S938" s="164"/>
      <c r="T938" s="5">
        <f t="shared" si="606"/>
      </c>
      <c r="U938" s="4">
        <f t="shared" si="607"/>
      </c>
      <c r="V938" s="4">
        <f t="shared" si="608"/>
      </c>
      <c r="W938" s="4">
        <f t="shared" si="609"/>
      </c>
      <c r="X938" s="4">
        <f t="shared" si="610"/>
      </c>
      <c r="Y938" s="4" cm="1">
        <f t="array" ref="Y938">_xlfn.IFS(H938=1,2,H938=3,1)</f>
      </c>
      <c r="Z938" s="4">
        <f t="shared" si="611"/>
      </c>
      <c r="AA938" s="4">
        <f t="shared" si="612"/>
      </c>
      <c r="AB938" s="4">
        <f t="shared" si="613"/>
      </c>
      <c r="AC938" s="4">
        <f t="shared" si="614"/>
      </c>
      <c r="AD938" s="4">
        <f t="shared" si="615"/>
      </c>
      <c r="AE938" s="4">
        <f t="shared" si="616"/>
      </c>
      <c r="AF938" s="4">
        <f t="shared" si="617"/>
      </c>
      <c r="AG938" s="4">
        <f t="shared" si="618"/>
        <v/>
      </c>
      <c r="AH938" s="4">
        <f t="shared" si="619"/>
      </c>
      <c r="AI938" s="4">
        <f t="shared" si="620"/>
      </c>
      <c r="AJ938" s="4">
        <f t="shared" si="621"/>
      </c>
      <c r="AK938" s="4">
        <f t="shared" si="622"/>
      </c>
      <c r="AL938" s="4">
        <f t="shared" si="623"/>
      </c>
      <c r="AM938" s="4">
        <f t="shared" si="624"/>
      </c>
      <c r="AN938" s="4"/>
      <c r="AO938" s="4">
        <f t="shared" si="625"/>
      </c>
      <c r="AP938" s="4">
        <f t="shared" si="626"/>
      </c>
      <c r="AQ938" s="4">
        <f t="shared" si="627"/>
        <v/>
      </c>
      <c r="AR938" s="4">
        <f t="shared" si="628"/>
      </c>
      <c r="AS938" s="4">
        <f t="shared" si="629"/>
      </c>
      <c r="AT938" s="4">
        <f t="shared" si="630"/>
      </c>
    </row>
    <row r="939" spans="1:46" x14ac:dyDescent="0.3">
      <c r="A939" s="5">
        <f t="shared" si="602"/>
      </c>
      <c r="B939" s="4">
        <f t="shared" si="603"/>
      </c>
      <c r="C939" s="59"/>
      <c r="D939" s="59"/>
      <c r="E939" s="70"/>
      <c r="F939" s="164"/>
      <c r="G939" s="164"/>
      <c r="H939" s="164"/>
      <c r="I939" s="70"/>
      <c r="J939" s="70"/>
      <c r="K939" s="70"/>
      <c r="L939" s="70"/>
      <c r="M939" s="4">
        <f t="shared" si="604"/>
      </c>
      <c r="N939" s="59"/>
      <c r="O939" s="164"/>
      <c r="P939" s="59">
        <f t="shared" si="605"/>
      </c>
      <c r="Q939" s="165"/>
      <c r="R939" s="59"/>
      <c r="S939" s="164"/>
      <c r="T939" s="5">
        <f t="shared" si="606"/>
      </c>
      <c r="U939" s="4">
        <f t="shared" si="607"/>
      </c>
      <c r="V939" s="4">
        <f t="shared" si="608"/>
      </c>
      <c r="W939" s="4">
        <f t="shared" si="609"/>
      </c>
      <c r="X939" s="4">
        <f t="shared" si="610"/>
      </c>
      <c r="Y939" s="4" cm="1">
        <f t="array" ref="Y939">_xlfn.IFS(H939=1,2,H939=3,1)</f>
      </c>
      <c r="Z939" s="4">
        <f t="shared" si="611"/>
      </c>
      <c r="AA939" s="4">
        <f t="shared" si="612"/>
      </c>
      <c r="AB939" s="4">
        <f t="shared" si="613"/>
      </c>
      <c r="AC939" s="4">
        <f t="shared" si="614"/>
      </c>
      <c r="AD939" s="4">
        <f t="shared" si="615"/>
      </c>
      <c r="AE939" s="4">
        <f t="shared" si="616"/>
      </c>
      <c r="AF939" s="4">
        <f t="shared" si="617"/>
      </c>
      <c r="AG939" s="4">
        <f t="shared" si="618"/>
        <v/>
      </c>
      <c r="AH939" s="4">
        <f t="shared" si="619"/>
      </c>
      <c r="AI939" s="4">
        <f t="shared" si="620"/>
      </c>
      <c r="AJ939" s="4">
        <f t="shared" si="621"/>
      </c>
      <c r="AK939" s="4">
        <f t="shared" si="622"/>
      </c>
      <c r="AL939" s="4">
        <f t="shared" si="623"/>
      </c>
      <c r="AM939" s="4">
        <f t="shared" si="624"/>
      </c>
      <c r="AN939" s="4"/>
      <c r="AO939" s="4">
        <f t="shared" si="625"/>
      </c>
      <c r="AP939" s="4">
        <f t="shared" si="626"/>
      </c>
      <c r="AQ939" s="4">
        <f t="shared" si="627"/>
        <v/>
      </c>
      <c r="AR939" s="4">
        <f t="shared" si="628"/>
      </c>
      <c r="AS939" s="4">
        <f t="shared" si="629"/>
      </c>
      <c r="AT939" s="4">
        <f t="shared" si="630"/>
      </c>
    </row>
    <row r="940" spans="1:46" x14ac:dyDescent="0.3">
      <c r="A940" s="5">
        <f t="shared" si="602"/>
      </c>
      <c r="B940" s="4">
        <f t="shared" si="603"/>
      </c>
      <c r="C940" s="59"/>
      <c r="D940" s="59"/>
      <c r="E940" s="70"/>
      <c r="F940" s="164"/>
      <c r="G940" s="164"/>
      <c r="H940" s="164"/>
      <c r="I940" s="70"/>
      <c r="J940" s="70"/>
      <c r="K940" s="70"/>
      <c r="L940" s="70"/>
      <c r="M940" s="4">
        <f t="shared" si="604"/>
      </c>
      <c r="N940" s="59"/>
      <c r="O940" s="164"/>
      <c r="P940" s="59">
        <f t="shared" si="605"/>
      </c>
      <c r="Q940" s="165"/>
      <c r="R940" s="59"/>
      <c r="S940" s="164"/>
      <c r="T940" s="5">
        <f t="shared" si="606"/>
      </c>
      <c r="U940" s="4">
        <f t="shared" si="607"/>
      </c>
      <c r="V940" s="4">
        <f t="shared" si="608"/>
      </c>
      <c r="W940" s="4">
        <f t="shared" si="609"/>
      </c>
      <c r="X940" s="4">
        <f t="shared" si="610"/>
      </c>
      <c r="Y940" s="4" cm="1">
        <f t="array" ref="Y940">_xlfn.IFS(H940=1,2,H940=3,1)</f>
      </c>
      <c r="Z940" s="4">
        <f t="shared" si="611"/>
      </c>
      <c r="AA940" s="4">
        <f t="shared" si="612"/>
      </c>
      <c r="AB940" s="4">
        <f t="shared" si="613"/>
      </c>
      <c r="AC940" s="4">
        <f t="shared" si="614"/>
      </c>
      <c r="AD940" s="4">
        <f t="shared" si="615"/>
      </c>
      <c r="AE940" s="4">
        <f t="shared" si="616"/>
      </c>
      <c r="AF940" s="4">
        <f t="shared" si="617"/>
      </c>
      <c r="AG940" s="4">
        <f t="shared" si="618"/>
        <v/>
      </c>
      <c r="AH940" s="4">
        <f t="shared" si="619"/>
      </c>
      <c r="AI940" s="4">
        <f t="shared" si="620"/>
      </c>
      <c r="AJ940" s="4">
        <f t="shared" si="621"/>
      </c>
      <c r="AK940" s="4">
        <f t="shared" si="622"/>
      </c>
      <c r="AL940" s="4">
        <f t="shared" si="623"/>
      </c>
      <c r="AM940" s="4">
        <f t="shared" si="624"/>
      </c>
      <c r="AN940" s="4"/>
      <c r="AO940" s="4">
        <f t="shared" si="625"/>
      </c>
      <c r="AP940" s="4">
        <f t="shared" si="626"/>
      </c>
      <c r="AQ940" s="4">
        <f t="shared" si="627"/>
        <v/>
      </c>
      <c r="AR940" s="4">
        <f t="shared" si="628"/>
      </c>
      <c r="AS940" s="4">
        <f t="shared" si="629"/>
      </c>
      <c r="AT940" s="4">
        <f t="shared" si="630"/>
      </c>
    </row>
    <row r="941" spans="1:46" x14ac:dyDescent="0.3">
      <c r="A941" s="5">
        <f t="shared" si="602"/>
      </c>
      <c r="B941" s="4">
        <f t="shared" si="603"/>
      </c>
      <c r="C941" s="59"/>
      <c r="D941" s="59"/>
      <c r="E941" s="70"/>
      <c r="F941" s="164"/>
      <c r="G941" s="164"/>
      <c r="H941" s="164"/>
      <c r="I941" s="70"/>
      <c r="J941" s="70"/>
      <c r="K941" s="70"/>
      <c r="L941" s="70"/>
      <c r="M941" s="4">
        <f t="shared" si="604"/>
      </c>
      <c r="N941" s="59"/>
      <c r="O941" s="164"/>
      <c r="P941" s="59">
        <f t="shared" si="605"/>
      </c>
      <c r="Q941" s="165"/>
      <c r="R941" s="59"/>
      <c r="S941" s="164"/>
      <c r="T941" s="5">
        <f t="shared" si="606"/>
      </c>
      <c r="U941" s="4">
        <f t="shared" si="607"/>
      </c>
      <c r="V941" s="4">
        <f t="shared" si="608"/>
      </c>
      <c r="W941" s="4">
        <f t="shared" si="609"/>
      </c>
      <c r="X941" s="4">
        <f t="shared" si="610"/>
      </c>
      <c r="Y941" s="4" cm="1">
        <f t="array" ref="Y941">_xlfn.IFS(H941=1,2,H941=3,1)</f>
      </c>
      <c r="Z941" s="4">
        <f t="shared" si="611"/>
      </c>
      <c r="AA941" s="4">
        <f t="shared" si="612"/>
      </c>
      <c r="AB941" s="4">
        <f t="shared" si="613"/>
      </c>
      <c r="AC941" s="4">
        <f t="shared" si="614"/>
      </c>
      <c r="AD941" s="4">
        <f t="shared" si="615"/>
      </c>
      <c r="AE941" s="4">
        <f t="shared" si="616"/>
      </c>
      <c r="AF941" s="4">
        <f t="shared" si="617"/>
      </c>
      <c r="AG941" s="4">
        <f t="shared" si="618"/>
        <v/>
      </c>
      <c r="AH941" s="4">
        <f t="shared" si="619"/>
      </c>
      <c r="AI941" s="4">
        <f t="shared" si="620"/>
      </c>
      <c r="AJ941" s="4">
        <f t="shared" si="621"/>
      </c>
      <c r="AK941" s="4">
        <f t="shared" si="622"/>
      </c>
      <c r="AL941" s="4">
        <f t="shared" si="623"/>
      </c>
      <c r="AM941" s="4">
        <f t="shared" si="624"/>
      </c>
      <c r="AN941" s="4"/>
      <c r="AO941" s="4">
        <f t="shared" si="625"/>
      </c>
      <c r="AP941" s="4">
        <f t="shared" si="626"/>
      </c>
      <c r="AQ941" s="4">
        <f t="shared" si="627"/>
        <v/>
      </c>
      <c r="AR941" s="4">
        <f t="shared" si="628"/>
      </c>
      <c r="AS941" s="4">
        <f t="shared" si="629"/>
      </c>
      <c r="AT941" s="4">
        <f t="shared" si="630"/>
      </c>
    </row>
    <row r="942" spans="1:46" x14ac:dyDescent="0.3">
      <c r="A942" s="5">
        <f t="shared" si="602"/>
      </c>
      <c r="B942" s="4">
        <f t="shared" si="603"/>
      </c>
      <c r="C942" s="59"/>
      <c r="D942" s="59"/>
      <c r="E942" s="70"/>
      <c r="F942" s="164"/>
      <c r="G942" s="164"/>
      <c r="H942" s="164"/>
      <c r="I942" s="70"/>
      <c r="J942" s="70"/>
      <c r="K942" s="70"/>
      <c r="L942" s="70"/>
      <c r="M942" s="4">
        <f t="shared" si="604"/>
      </c>
      <c r="N942" s="59"/>
      <c r="O942" s="164"/>
      <c r="P942" s="59">
        <f t="shared" si="605"/>
      </c>
      <c r="Q942" s="165"/>
      <c r="R942" s="59"/>
      <c r="S942" s="164"/>
      <c r="T942" s="5">
        <f t="shared" si="606"/>
      </c>
      <c r="U942" s="4">
        <f t="shared" si="607"/>
      </c>
      <c r="V942" s="4">
        <f t="shared" si="608"/>
      </c>
      <c r="W942" s="4">
        <f t="shared" si="609"/>
      </c>
      <c r="X942" s="4">
        <f t="shared" si="610"/>
      </c>
      <c r="Y942" s="4" cm="1">
        <f t="array" ref="Y942">_xlfn.IFS(H942=1,2,H942=3,1)</f>
      </c>
      <c r="Z942" s="4">
        <f t="shared" si="611"/>
      </c>
      <c r="AA942" s="4">
        <f t="shared" si="612"/>
      </c>
      <c r="AB942" s="4">
        <f t="shared" si="613"/>
      </c>
      <c r="AC942" s="4">
        <f t="shared" si="614"/>
      </c>
      <c r="AD942" s="4">
        <f t="shared" si="615"/>
      </c>
      <c r="AE942" s="4">
        <f t="shared" si="616"/>
      </c>
      <c r="AF942" s="4">
        <f t="shared" si="617"/>
      </c>
      <c r="AG942" s="4">
        <f t="shared" si="618"/>
        <v/>
      </c>
      <c r="AH942" s="4">
        <f t="shared" si="619"/>
      </c>
      <c r="AI942" s="4">
        <f t="shared" si="620"/>
      </c>
      <c r="AJ942" s="4">
        <f t="shared" si="621"/>
      </c>
      <c r="AK942" s="4">
        <f t="shared" si="622"/>
      </c>
      <c r="AL942" s="4">
        <f t="shared" si="623"/>
      </c>
      <c r="AM942" s="4">
        <f t="shared" si="624"/>
      </c>
      <c r="AN942" s="4"/>
      <c r="AO942" s="4">
        <f t="shared" si="625"/>
      </c>
      <c r="AP942" s="4">
        <f t="shared" si="626"/>
      </c>
      <c r="AQ942" s="4">
        <f t="shared" si="627"/>
        <v/>
      </c>
      <c r="AR942" s="4">
        <f t="shared" si="628"/>
      </c>
      <c r="AS942" s="4">
        <f t="shared" si="629"/>
      </c>
      <c r="AT942" s="4">
        <f t="shared" si="630"/>
      </c>
    </row>
    <row r="943" spans="1:46" x14ac:dyDescent="0.3">
      <c r="A943" s="5">
        <f t="shared" si="602"/>
      </c>
      <c r="B943" s="4">
        <f t="shared" si="603"/>
      </c>
      <c r="C943" s="59"/>
      <c r="D943" s="59"/>
      <c r="E943" s="70"/>
      <c r="F943" s="164"/>
      <c r="G943" s="164"/>
      <c r="H943" s="164"/>
      <c r="I943" s="70"/>
      <c r="J943" s="70"/>
      <c r="K943" s="70"/>
      <c r="L943" s="70"/>
      <c r="M943" s="4">
        <f t="shared" si="604"/>
      </c>
      <c r="N943" s="59"/>
      <c r="O943" s="164"/>
      <c r="P943" s="59">
        <f t="shared" si="605"/>
      </c>
      <c r="Q943" s="165"/>
      <c r="R943" s="59"/>
      <c r="S943" s="164"/>
      <c r="T943" s="5">
        <f t="shared" si="606"/>
      </c>
      <c r="U943" s="4">
        <f t="shared" si="607"/>
      </c>
      <c r="V943" s="4">
        <f t="shared" si="608"/>
      </c>
      <c r="W943" s="4">
        <f t="shared" si="609"/>
      </c>
      <c r="X943" s="4">
        <f t="shared" si="610"/>
      </c>
      <c r="Y943" s="4" cm="1">
        <f t="array" ref="Y943">_xlfn.IFS(H943=1,2,H943=3,1)</f>
      </c>
      <c r="Z943" s="4">
        <f t="shared" si="611"/>
      </c>
      <c r="AA943" s="4">
        <f t="shared" si="612"/>
      </c>
      <c r="AB943" s="4">
        <f t="shared" si="613"/>
      </c>
      <c r="AC943" s="4">
        <f t="shared" si="614"/>
      </c>
      <c r="AD943" s="4">
        <f t="shared" si="615"/>
      </c>
      <c r="AE943" s="4">
        <f t="shared" si="616"/>
      </c>
      <c r="AF943" s="4">
        <f t="shared" si="617"/>
      </c>
      <c r="AG943" s="4">
        <f t="shared" si="618"/>
        <v/>
      </c>
      <c r="AH943" s="4">
        <f t="shared" si="619"/>
      </c>
      <c r="AI943" s="4">
        <f t="shared" si="620"/>
      </c>
      <c r="AJ943" s="4">
        <f t="shared" si="621"/>
      </c>
      <c r="AK943" s="4">
        <f t="shared" si="622"/>
      </c>
      <c r="AL943" s="4">
        <f t="shared" si="623"/>
      </c>
      <c r="AM943" s="4">
        <f t="shared" si="624"/>
      </c>
      <c r="AN943" s="4"/>
      <c r="AO943" s="4">
        <f t="shared" si="625"/>
      </c>
      <c r="AP943" s="4">
        <f t="shared" si="626"/>
      </c>
      <c r="AQ943" s="4">
        <f t="shared" si="627"/>
        <v/>
      </c>
      <c r="AR943" s="4">
        <f t="shared" si="628"/>
      </c>
      <c r="AS943" s="4">
        <f t="shared" si="629"/>
      </c>
      <c r="AT943" s="4">
        <f t="shared" si="630"/>
      </c>
    </row>
    <row r="944" spans="1:46" x14ac:dyDescent="0.3">
      <c r="A944" s="5">
        <f t="shared" si="602"/>
      </c>
      <c r="B944" s="4">
        <f t="shared" si="603"/>
      </c>
      <c r="C944" s="59"/>
      <c r="D944" s="59"/>
      <c r="E944" s="70"/>
      <c r="F944" s="164"/>
      <c r="G944" s="164"/>
      <c r="H944" s="164"/>
      <c r="I944" s="70"/>
      <c r="J944" s="70"/>
      <c r="K944" s="70"/>
      <c r="L944" s="70"/>
      <c r="M944" s="4">
        <f t="shared" si="604"/>
      </c>
      <c r="N944" s="59"/>
      <c r="O944" s="164"/>
      <c r="P944" s="59">
        <f t="shared" si="605"/>
      </c>
      <c r="Q944" s="165"/>
      <c r="R944" s="59"/>
      <c r="S944" s="164"/>
      <c r="T944" s="5">
        <f t="shared" si="606"/>
      </c>
      <c r="U944" s="4">
        <f t="shared" si="607"/>
      </c>
      <c r="V944" s="4">
        <f t="shared" si="608"/>
      </c>
      <c r="W944" s="4">
        <f t="shared" si="609"/>
      </c>
      <c r="X944" s="4">
        <f t="shared" si="610"/>
      </c>
      <c r="Y944" s="4" cm="1">
        <f t="array" ref="Y944">_xlfn.IFS(H944=1,2,H944=3,1)</f>
      </c>
      <c r="Z944" s="4">
        <f t="shared" si="611"/>
      </c>
      <c r="AA944" s="4">
        <f t="shared" si="612"/>
      </c>
      <c r="AB944" s="4">
        <f t="shared" si="613"/>
      </c>
      <c r="AC944" s="4">
        <f t="shared" si="614"/>
      </c>
      <c r="AD944" s="4">
        <f t="shared" si="615"/>
      </c>
      <c r="AE944" s="4">
        <f t="shared" si="616"/>
      </c>
      <c r="AF944" s="4">
        <f t="shared" si="617"/>
      </c>
      <c r="AG944" s="4">
        <f t="shared" si="618"/>
        <v/>
      </c>
      <c r="AH944" s="4">
        <f t="shared" si="619"/>
      </c>
      <c r="AI944" s="4">
        <f t="shared" si="620"/>
      </c>
      <c r="AJ944" s="4">
        <f t="shared" si="621"/>
      </c>
      <c r="AK944" s="4">
        <f t="shared" si="622"/>
      </c>
      <c r="AL944" s="4">
        <f t="shared" si="623"/>
      </c>
      <c r="AM944" s="4">
        <f t="shared" si="624"/>
      </c>
      <c r="AN944" s="4"/>
      <c r="AO944" s="4">
        <f t="shared" si="625"/>
      </c>
      <c r="AP944" s="4">
        <f t="shared" si="626"/>
      </c>
      <c r="AQ944" s="4">
        <f t="shared" si="627"/>
        <v/>
      </c>
      <c r="AR944" s="4">
        <f t="shared" si="628"/>
      </c>
      <c r="AS944" s="4">
        <f t="shared" si="629"/>
      </c>
      <c r="AT944" s="4">
        <f t="shared" si="630"/>
      </c>
    </row>
    <row r="945" spans="1:46" x14ac:dyDescent="0.3">
      <c r="A945" s="5">
        <f t="shared" si="602"/>
      </c>
      <c r="B945" s="4">
        <f t="shared" si="603"/>
      </c>
      <c r="C945" s="59"/>
      <c r="D945" s="59"/>
      <c r="E945" s="70"/>
      <c r="F945" s="164"/>
      <c r="G945" s="164"/>
      <c r="H945" s="164"/>
      <c r="I945" s="70"/>
      <c r="J945" s="70"/>
      <c r="K945" s="70"/>
      <c r="L945" s="70"/>
      <c r="M945" s="4">
        <f t="shared" si="604"/>
      </c>
      <c r="N945" s="59"/>
      <c r="O945" s="164"/>
      <c r="P945" s="59">
        <f t="shared" si="605"/>
      </c>
      <c r="Q945" s="165"/>
      <c r="R945" s="59"/>
      <c r="S945" s="164"/>
      <c r="T945" s="5">
        <f t="shared" si="606"/>
      </c>
      <c r="U945" s="4">
        <f t="shared" si="607"/>
      </c>
      <c r="V945" s="4">
        <f t="shared" si="608"/>
      </c>
      <c r="W945" s="4">
        <f t="shared" si="609"/>
      </c>
      <c r="X945" s="4">
        <f t="shared" si="610"/>
      </c>
      <c r="Y945" s="4" cm="1">
        <f t="array" ref="Y945">_xlfn.IFS(H945=1,2,H945=3,1)</f>
      </c>
      <c r="Z945" s="4">
        <f t="shared" si="611"/>
      </c>
      <c r="AA945" s="4">
        <f t="shared" si="612"/>
      </c>
      <c r="AB945" s="4">
        <f t="shared" si="613"/>
      </c>
      <c r="AC945" s="4">
        <f t="shared" si="614"/>
      </c>
      <c r="AD945" s="4">
        <f t="shared" si="615"/>
      </c>
      <c r="AE945" s="4">
        <f t="shared" si="616"/>
      </c>
      <c r="AF945" s="4">
        <f t="shared" si="617"/>
      </c>
      <c r="AG945" s="4">
        <f t="shared" si="618"/>
        <v/>
      </c>
      <c r="AH945" s="4">
        <f t="shared" si="619"/>
      </c>
      <c r="AI945" s="4">
        <f t="shared" si="620"/>
      </c>
      <c r="AJ945" s="4">
        <f t="shared" si="621"/>
      </c>
      <c r="AK945" s="4">
        <f t="shared" si="622"/>
      </c>
      <c r="AL945" s="4">
        <f t="shared" si="623"/>
      </c>
      <c r="AM945" s="4">
        <f t="shared" si="624"/>
      </c>
      <c r="AN945" s="4"/>
      <c r="AO945" s="4">
        <f t="shared" si="625"/>
      </c>
      <c r="AP945" s="4">
        <f t="shared" si="626"/>
      </c>
      <c r="AQ945" s="4">
        <f t="shared" si="627"/>
        <v/>
      </c>
      <c r="AR945" s="4">
        <f t="shared" si="628"/>
      </c>
      <c r="AS945" s="4">
        <f t="shared" si="629"/>
      </c>
      <c r="AT945" s="4">
        <f t="shared" si="630"/>
      </c>
    </row>
    <row r="946" spans="1:46" x14ac:dyDescent="0.3">
      <c r="A946" s="5">
        <f t="shared" si="602"/>
      </c>
      <c r="B946" s="4">
        <f t="shared" si="603"/>
      </c>
      <c r="C946" s="59"/>
      <c r="D946" s="59"/>
      <c r="E946" s="70"/>
      <c r="F946" s="164"/>
      <c r="G946" s="164"/>
      <c r="H946" s="164"/>
      <c r="I946" s="70"/>
      <c r="J946" s="70"/>
      <c r="K946" s="70"/>
      <c r="L946" s="70"/>
      <c r="M946" s="4">
        <f t="shared" si="604"/>
      </c>
      <c r="N946" s="59"/>
      <c r="O946" s="164"/>
      <c r="P946" s="59">
        <f t="shared" si="605"/>
      </c>
      <c r="Q946" s="165"/>
      <c r="R946" s="59"/>
      <c r="S946" s="164"/>
      <c r="T946" s="5">
        <f t="shared" si="606"/>
      </c>
      <c r="U946" s="4">
        <f t="shared" si="607"/>
      </c>
      <c r="V946" s="4">
        <f t="shared" si="608"/>
      </c>
      <c r="W946" s="4">
        <f t="shared" si="609"/>
      </c>
      <c r="X946" s="4">
        <f t="shared" si="610"/>
      </c>
      <c r="Y946" s="4" cm="1">
        <f t="array" ref="Y946">_xlfn.IFS(H946=1,2,H946=3,1)</f>
      </c>
      <c r="Z946" s="4">
        <f t="shared" si="611"/>
      </c>
      <c r="AA946" s="4">
        <f t="shared" si="612"/>
      </c>
      <c r="AB946" s="4">
        <f t="shared" si="613"/>
      </c>
      <c r="AC946" s="4">
        <f t="shared" si="614"/>
      </c>
      <c r="AD946" s="4">
        <f t="shared" si="615"/>
      </c>
      <c r="AE946" s="4">
        <f t="shared" si="616"/>
      </c>
      <c r="AF946" s="4">
        <f t="shared" si="617"/>
      </c>
      <c r="AG946" s="4">
        <f t="shared" si="618"/>
        <v/>
      </c>
      <c r="AH946" s="4">
        <f t="shared" si="619"/>
      </c>
      <c r="AI946" s="4">
        <f t="shared" si="620"/>
      </c>
      <c r="AJ946" s="4">
        <f t="shared" si="621"/>
      </c>
      <c r="AK946" s="4">
        <f t="shared" si="622"/>
      </c>
      <c r="AL946" s="4">
        <f t="shared" si="623"/>
      </c>
      <c r="AM946" s="4">
        <f t="shared" si="624"/>
      </c>
      <c r="AN946" s="4"/>
      <c r="AO946" s="4">
        <f t="shared" si="625"/>
      </c>
      <c r="AP946" s="4">
        <f t="shared" si="626"/>
      </c>
      <c r="AQ946" s="4">
        <f t="shared" si="627"/>
        <v/>
      </c>
      <c r="AR946" s="4">
        <f t="shared" si="628"/>
      </c>
      <c r="AS946" s="4">
        <f t="shared" si="629"/>
      </c>
      <c r="AT946" s="4">
        <f t="shared" si="630"/>
      </c>
    </row>
    <row r="947" spans="1:46" x14ac:dyDescent="0.3">
      <c r="A947" s="5">
        <f t="shared" si="602"/>
      </c>
      <c r="B947" s="4">
        <f t="shared" si="603"/>
      </c>
      <c r="C947" s="59"/>
      <c r="D947" s="59"/>
      <c r="E947" s="70"/>
      <c r="F947" s="164"/>
      <c r="G947" s="164"/>
      <c r="H947" s="164"/>
      <c r="I947" s="70"/>
      <c r="J947" s="70"/>
      <c r="K947" s="70"/>
      <c r="L947" s="70"/>
      <c r="M947" s="4">
        <f t="shared" si="604"/>
      </c>
      <c r="N947" s="59"/>
      <c r="O947" s="164"/>
      <c r="P947" s="59">
        <f t="shared" si="605"/>
      </c>
      <c r="Q947" s="165"/>
      <c r="R947" s="59"/>
      <c r="S947" s="164"/>
      <c r="T947" s="5">
        <f t="shared" si="606"/>
      </c>
      <c r="U947" s="4">
        <f t="shared" si="607"/>
      </c>
      <c r="V947" s="4">
        <f t="shared" si="608"/>
      </c>
      <c r="W947" s="4">
        <f t="shared" si="609"/>
      </c>
      <c r="X947" s="4">
        <f t="shared" si="610"/>
      </c>
      <c r="Y947" s="4" cm="1">
        <f t="array" ref="Y947">_xlfn.IFS(H947=1,2,H947=3,1)</f>
      </c>
      <c r="Z947" s="4">
        <f t="shared" si="611"/>
      </c>
      <c r="AA947" s="4">
        <f t="shared" si="612"/>
      </c>
      <c r="AB947" s="4">
        <f t="shared" si="613"/>
      </c>
      <c r="AC947" s="4">
        <f t="shared" si="614"/>
      </c>
      <c r="AD947" s="4">
        <f t="shared" si="615"/>
      </c>
      <c r="AE947" s="4">
        <f t="shared" si="616"/>
      </c>
      <c r="AF947" s="4">
        <f t="shared" si="617"/>
      </c>
      <c r="AG947" s="4">
        <f t="shared" si="618"/>
        <v/>
      </c>
      <c r="AH947" s="4">
        <f t="shared" si="619"/>
      </c>
      <c r="AI947" s="4">
        <f t="shared" si="620"/>
      </c>
      <c r="AJ947" s="4">
        <f t="shared" si="621"/>
      </c>
      <c r="AK947" s="4">
        <f t="shared" si="622"/>
      </c>
      <c r="AL947" s="4">
        <f t="shared" si="623"/>
      </c>
      <c r="AM947" s="4">
        <f t="shared" si="624"/>
      </c>
      <c r="AN947" s="4"/>
      <c r="AO947" s="4">
        <f t="shared" si="625"/>
      </c>
      <c r="AP947" s="4">
        <f t="shared" si="626"/>
      </c>
      <c r="AQ947" s="4">
        <f t="shared" si="627"/>
        <v/>
      </c>
      <c r="AR947" s="4">
        <f t="shared" si="628"/>
      </c>
      <c r="AS947" s="4">
        <f t="shared" si="629"/>
      </c>
      <c r="AT947" s="4">
        <f t="shared" si="630"/>
      </c>
    </row>
    <row r="948" spans="1:46" x14ac:dyDescent="0.3">
      <c r="A948" s="5">
        <f t="shared" si="602"/>
      </c>
      <c r="B948" s="4">
        <f t="shared" si="603"/>
      </c>
      <c r="C948" s="59"/>
      <c r="D948" s="59"/>
      <c r="E948" s="70"/>
      <c r="F948" s="164"/>
      <c r="G948" s="164"/>
      <c r="H948" s="164"/>
      <c r="I948" s="70"/>
      <c r="J948" s="70"/>
      <c r="K948" s="70"/>
      <c r="L948" s="70"/>
      <c r="M948" s="4">
        <f t="shared" si="604"/>
      </c>
      <c r="N948" s="59"/>
      <c r="O948" s="164"/>
      <c r="P948" s="59">
        <f t="shared" si="605"/>
      </c>
      <c r="Q948" s="165"/>
      <c r="R948" s="59"/>
      <c r="S948" s="164"/>
      <c r="T948" s="5">
        <f t="shared" si="606"/>
      </c>
      <c r="U948" s="4">
        <f t="shared" si="607"/>
      </c>
      <c r="V948" s="4">
        <f t="shared" si="608"/>
      </c>
      <c r="W948" s="4">
        <f t="shared" si="609"/>
      </c>
      <c r="X948" s="4">
        <f t="shared" si="610"/>
      </c>
      <c r="Y948" s="4" cm="1">
        <f t="array" ref="Y948">_xlfn.IFS(H948=1,2,H948=3,1)</f>
      </c>
      <c r="Z948" s="4">
        <f t="shared" si="611"/>
      </c>
      <c r="AA948" s="4">
        <f t="shared" si="612"/>
      </c>
      <c r="AB948" s="4">
        <f t="shared" si="613"/>
      </c>
      <c r="AC948" s="4">
        <f t="shared" si="614"/>
      </c>
      <c r="AD948" s="4">
        <f t="shared" si="615"/>
      </c>
      <c r="AE948" s="4">
        <f t="shared" si="616"/>
      </c>
      <c r="AF948" s="4">
        <f t="shared" si="617"/>
      </c>
      <c r="AG948" s="4">
        <f t="shared" si="618"/>
        <v/>
      </c>
      <c r="AH948" s="4">
        <f t="shared" si="619"/>
      </c>
      <c r="AI948" s="4">
        <f t="shared" si="620"/>
      </c>
      <c r="AJ948" s="4">
        <f t="shared" si="621"/>
      </c>
      <c r="AK948" s="4">
        <f t="shared" si="622"/>
      </c>
      <c r="AL948" s="4">
        <f t="shared" si="623"/>
      </c>
      <c r="AM948" s="4">
        <f t="shared" si="624"/>
      </c>
      <c r="AN948" s="4"/>
      <c r="AO948" s="4">
        <f t="shared" si="625"/>
      </c>
      <c r="AP948" s="4">
        <f t="shared" si="626"/>
      </c>
      <c r="AQ948" s="4">
        <f t="shared" si="627"/>
        <v/>
      </c>
      <c r="AR948" s="4">
        <f t="shared" si="628"/>
      </c>
      <c r="AS948" s="4">
        <f t="shared" si="629"/>
      </c>
      <c r="AT948" s="4">
        <f t="shared" si="630"/>
      </c>
    </row>
    <row r="949" spans="1:46" x14ac:dyDescent="0.3">
      <c r="A949" s="5">
        <f t="shared" si="602"/>
      </c>
      <c r="B949" s="4">
        <f t="shared" si="603"/>
      </c>
      <c r="C949" s="59"/>
      <c r="D949" s="59"/>
      <c r="E949" s="70"/>
      <c r="F949" s="164"/>
      <c r="G949" s="164"/>
      <c r="H949" s="164"/>
      <c r="I949" s="70"/>
      <c r="J949" s="70"/>
      <c r="K949" s="70"/>
      <c r="L949" s="70"/>
      <c r="M949" s="4">
        <f t="shared" si="604"/>
      </c>
      <c r="N949" s="59"/>
      <c r="O949" s="164"/>
      <c r="P949" s="59">
        <f t="shared" si="605"/>
      </c>
      <c r="Q949" s="165"/>
      <c r="R949" s="59"/>
      <c r="S949" s="164"/>
      <c r="T949" s="5">
        <f t="shared" si="606"/>
      </c>
      <c r="U949" s="4">
        <f t="shared" si="607"/>
      </c>
      <c r="V949" s="4">
        <f t="shared" si="608"/>
      </c>
      <c r="W949" s="4">
        <f t="shared" si="609"/>
      </c>
      <c r="X949" s="4">
        <f t="shared" si="610"/>
      </c>
      <c r="Y949" s="4" cm="1">
        <f t="array" ref="Y949">_xlfn.IFS(H949=1,2,H949=3,1)</f>
      </c>
      <c r="Z949" s="4">
        <f t="shared" si="611"/>
      </c>
      <c r="AA949" s="4">
        <f t="shared" si="612"/>
      </c>
      <c r="AB949" s="4">
        <f t="shared" si="613"/>
      </c>
      <c r="AC949" s="4">
        <f t="shared" si="614"/>
      </c>
      <c r="AD949" s="4">
        <f t="shared" si="615"/>
      </c>
      <c r="AE949" s="4">
        <f t="shared" si="616"/>
      </c>
      <c r="AF949" s="4">
        <f t="shared" si="617"/>
      </c>
      <c r="AG949" s="4">
        <f t="shared" si="618"/>
        <v/>
      </c>
      <c r="AH949" s="4">
        <f t="shared" si="619"/>
      </c>
      <c r="AI949" s="4">
        <f t="shared" si="620"/>
      </c>
      <c r="AJ949" s="4">
        <f t="shared" si="621"/>
      </c>
      <c r="AK949" s="4">
        <f t="shared" si="622"/>
      </c>
      <c r="AL949" s="4">
        <f t="shared" si="623"/>
      </c>
      <c r="AM949" s="4">
        <f t="shared" si="624"/>
      </c>
      <c r="AN949" s="4"/>
      <c r="AO949" s="4">
        <f t="shared" si="625"/>
      </c>
      <c r="AP949" s="4">
        <f t="shared" si="626"/>
      </c>
      <c r="AQ949" s="4">
        <f t="shared" si="627"/>
        <v/>
      </c>
      <c r="AR949" s="4">
        <f t="shared" si="628"/>
      </c>
      <c r="AS949" s="4">
        <f t="shared" si="629"/>
      </c>
      <c r="AT949" s="4">
        <f t="shared" si="630"/>
      </c>
    </row>
    <row r="950" spans="1:46" x14ac:dyDescent="0.3">
      <c r="A950" s="5">
        <f t="shared" si="602"/>
      </c>
      <c r="B950" s="4">
        <f t="shared" si="603"/>
      </c>
      <c r="C950" s="59"/>
      <c r="D950" s="59"/>
      <c r="E950" s="70"/>
      <c r="F950" s="164"/>
      <c r="G950" s="164"/>
      <c r="H950" s="164"/>
      <c r="I950" s="70"/>
      <c r="J950" s="70"/>
      <c r="K950" s="70"/>
      <c r="L950" s="70"/>
      <c r="M950" s="4">
        <f t="shared" si="604"/>
      </c>
      <c r="N950" s="59"/>
      <c r="O950" s="164"/>
      <c r="P950" s="59">
        <f t="shared" si="605"/>
      </c>
      <c r="Q950" s="165"/>
      <c r="R950" s="59"/>
      <c r="S950" s="164"/>
      <c r="T950" s="5">
        <f t="shared" si="606"/>
      </c>
      <c r="U950" s="4">
        <f t="shared" si="607"/>
      </c>
      <c r="V950" s="4">
        <f t="shared" si="608"/>
      </c>
      <c r="W950" s="4">
        <f t="shared" si="609"/>
      </c>
      <c r="X950" s="4">
        <f t="shared" si="610"/>
      </c>
      <c r="Y950" s="4" cm="1">
        <f t="array" ref="Y950">_xlfn.IFS(H950=1,2,H950=3,1)</f>
      </c>
      <c r="Z950" s="4">
        <f t="shared" si="611"/>
      </c>
      <c r="AA950" s="4">
        <f t="shared" si="612"/>
      </c>
      <c r="AB950" s="4">
        <f t="shared" si="613"/>
      </c>
      <c r="AC950" s="4">
        <f t="shared" si="614"/>
      </c>
      <c r="AD950" s="4">
        <f t="shared" si="615"/>
      </c>
      <c r="AE950" s="4">
        <f t="shared" si="616"/>
      </c>
      <c r="AF950" s="4">
        <f t="shared" si="617"/>
      </c>
      <c r="AG950" s="4">
        <f t="shared" si="618"/>
        <v/>
      </c>
      <c r="AH950" s="4">
        <f t="shared" si="619"/>
      </c>
      <c r="AI950" s="4">
        <f t="shared" si="620"/>
      </c>
      <c r="AJ950" s="4">
        <f t="shared" si="621"/>
      </c>
      <c r="AK950" s="4">
        <f t="shared" si="622"/>
      </c>
      <c r="AL950" s="4">
        <f t="shared" si="623"/>
      </c>
      <c r="AM950" s="4">
        <f t="shared" si="624"/>
      </c>
      <c r="AN950" s="4"/>
      <c r="AO950" s="4">
        <f t="shared" si="625"/>
      </c>
      <c r="AP950" s="4">
        <f t="shared" si="626"/>
      </c>
      <c r="AQ950" s="4">
        <f t="shared" si="627"/>
        <v/>
      </c>
      <c r="AR950" s="4">
        <f t="shared" si="628"/>
      </c>
      <c r="AS950" s="4">
        <f t="shared" si="629"/>
      </c>
      <c r="AT950" s="4">
        <f t="shared" si="630"/>
      </c>
    </row>
    <row r="951" spans="1:46" x14ac:dyDescent="0.3">
      <c r="A951" s="5">
        <f t="shared" si="602"/>
      </c>
      <c r="B951" s="4">
        <f t="shared" si="603"/>
      </c>
      <c r="C951" s="59"/>
      <c r="D951" s="59"/>
      <c r="E951" s="70"/>
      <c r="F951" s="164"/>
      <c r="G951" s="164"/>
      <c r="H951" s="164"/>
      <c r="I951" s="70"/>
      <c r="J951" s="70"/>
      <c r="K951" s="70"/>
      <c r="L951" s="70"/>
      <c r="M951" s="4">
        <f t="shared" si="604"/>
      </c>
      <c r="N951" s="59"/>
      <c r="O951" s="164"/>
      <c r="P951" s="59">
        <f t="shared" si="605"/>
      </c>
      <c r="Q951" s="165"/>
      <c r="R951" s="59"/>
      <c r="S951" s="164"/>
      <c r="T951" s="5">
        <f t="shared" si="606"/>
      </c>
      <c r="U951" s="4">
        <f t="shared" si="607"/>
      </c>
      <c r="V951" s="4">
        <f t="shared" si="608"/>
      </c>
      <c r="W951" s="4">
        <f t="shared" si="609"/>
      </c>
      <c r="X951" s="4">
        <f t="shared" si="610"/>
      </c>
      <c r="Y951" s="4" cm="1">
        <f t="array" ref="Y951">_xlfn.IFS(H951=1,2,H951=3,1)</f>
      </c>
      <c r="Z951" s="4">
        <f t="shared" si="611"/>
      </c>
      <c r="AA951" s="4">
        <f t="shared" si="612"/>
      </c>
      <c r="AB951" s="4">
        <f t="shared" si="613"/>
      </c>
      <c r="AC951" s="4">
        <f t="shared" si="614"/>
      </c>
      <c r="AD951" s="4">
        <f t="shared" si="615"/>
      </c>
      <c r="AE951" s="4">
        <f t="shared" si="616"/>
      </c>
      <c r="AF951" s="4">
        <f t="shared" si="617"/>
      </c>
      <c r="AG951" s="4">
        <f t="shared" si="618"/>
        <v/>
      </c>
      <c r="AH951" s="4">
        <f t="shared" si="619"/>
      </c>
      <c r="AI951" s="4">
        <f t="shared" si="620"/>
      </c>
      <c r="AJ951" s="4">
        <f t="shared" si="621"/>
      </c>
      <c r="AK951" s="4">
        <f t="shared" si="622"/>
      </c>
      <c r="AL951" s="4">
        <f t="shared" si="623"/>
      </c>
      <c r="AM951" s="4">
        <f t="shared" si="624"/>
      </c>
      <c r="AN951" s="4"/>
      <c r="AO951" s="4">
        <f t="shared" si="625"/>
      </c>
      <c r="AP951" s="4">
        <f t="shared" si="626"/>
      </c>
      <c r="AQ951" s="4">
        <f t="shared" si="627"/>
        <v/>
      </c>
      <c r="AR951" s="4">
        <f t="shared" si="628"/>
      </c>
      <c r="AS951" s="4">
        <f t="shared" si="629"/>
      </c>
      <c r="AT951" s="4">
        <f t="shared" si="630"/>
      </c>
    </row>
    <row r="952" spans="1:46" x14ac:dyDescent="0.3">
      <c r="A952" s="5">
        <f t="shared" ref="A952:A1000" si="631">D952</f>
      </c>
      <c r="B952" s="4">
        <f t="shared" ref="B952:B1000" si="632">IFERROR(IF(VLOOKUP(AH952,Потребители_обозначение,4,FALSE)=1,VLOOKUP(AH952,Потребители_обозначение,2,FALSE)&amp;" "&amp;VLOOKUP(AI952,Этаж_обозначение,2,FALSE)&amp;" Пом. №"&amp;AG952,VLOOKUP(AH952,Потребители_обозначение,2,FALSE)&amp;" Шлейф №"&amp;AI952),VLOOKUP(D952,Потребители_обозначение,2,FALSE))</f>
      </c>
      <c r="C952" s="59"/>
      <c r="D952" s="59"/>
      <c r="E952" s="70"/>
      <c r="F952" s="164"/>
      <c r="G952" s="164"/>
      <c r="H952" s="164"/>
      <c r="I952" s="70"/>
      <c r="J952" s="70"/>
      <c r="K952" s="70"/>
      <c r="L952" s="70"/>
      <c r="M952" s="4">
        <f t="shared" ref="M952:M1000" si="633">IFERROR(IF(VLOOKUP(AH952,Потребители_обозначение,4,FALSE)=1,VLOOKUP(AH952,Потребители_обозначение,3,FALSE)*(G952*2-1)+I952+VLOOKUP(AI952,Этаж_обозначение,3,FALSE)+VLOOKUP(AI952,Этаж_обозначение,4,FALSE),VLOOKUP(AH952,Потребители_обозначение,3,FALSE)*(G952*2-1)+I952),I952)</f>
      </c>
      <c r="N952" s="59"/>
      <c r="O952" s="164"/>
      <c r="P952" s="59">
        <f t="shared" ref="P952:P1000" si="634">IF(VLOOKUP(AH952,Потребители_обозначение,5,FALSE)=2,_xlfn.IFS(H952=3,VLOOKUP(E952,Справочная_двигатели,8,FALSE),H952=1,VLOOKUP(E952,Справочная_двигатели,10,TRUE)),0.95)</f>
      </c>
      <c r="Q952" s="165"/>
      <c r="R952" s="59"/>
      <c r="S952" s="164"/>
      <c r="T952" s="5">
        <f t="shared" ref="T952:T1000" si="635">_xlfn.IFS(H952=1,E952*1000/220,H952=3,E952/0.38/1.732)</f>
      </c>
      <c r="U952" s="4">
        <f t="shared" ref="U952:U1000" si="636">IF(R952=0,VLOOKUP(T952,Автомат_номиналы,2,TRUE),R952)</f>
      </c>
      <c r="V952" s="4">
        <f t="shared" ref="V952:V1000" si="637">IF(Q952=0,VLOOKUP(U952,Кабель_номиналы,2,TRUE),Q952)</f>
      </c>
      <c r="W952" s="4">
        <f t="shared" ref="W952:W1000" si="638">VLOOKUP(V952,Кабель_сопротивление,3,FALSE)</f>
      </c>
      <c r="X952" s="4">
        <f t="shared" ref="X952:X1000" si="639">VLOOKUP(V952,Кабель_сопротивление,2,FALSE)</f>
      </c>
      <c r="Y952" s="4" cm="1">
        <f t="array" ref="Y952">_xlfn.IFS(H952=1,2,H952=3,1)</f>
      </c>
      <c r="Z952" s="4">
        <f t="shared" ref="Z952:Z1000" si="640">ROUND(SIN(ACOS(P952)),2)</f>
      </c>
      <c r="AA952" s="4">
        <f t="shared" ref="AA952:AA1000" si="641">Y952*(W952*I952/V952+X952*I952*Z952/1000)*T952</f>
      </c>
      <c r="AB952" s="4">
        <f t="shared" ref="AB952:AB1000" si="642">ROUNDUP(AA952/220*100,2)</f>
      </c>
      <c r="AC952" s="4">
        <f t="shared" ref="AC952:AC1000" si="643">_xlfn.IFS(H952=3,380,H952=1,220)</f>
      </c>
      <c r="AD952" s="4">
        <f t="shared" ref="AD952:AD1000" si="644">VLOOKUP(N952,Кабель_обозначение,2,FALSE)</f>
      </c>
      <c r="AE952" s="4">
        <f t="shared" ref="AE952:AE1000" si="645">IF(VLOOKUP(N952,Кабель_обозначение,3,FALSE)=1,AD952&amp;" ("&amp;O952&amp;"х"&amp;V952&amp;")",AD952)</f>
      </c>
      <c r="AF952" s="4">
        <f t="shared" ref="AF952:AF1000" si="646">IFERROR(IF(AB952&gt;4.5,1,2),0)</f>
      </c>
      <c r="AG952" s="4">
        <f t="shared" ref="AG952:AG1000" si="647">IFERROR(LEFT(AQ952,SEARCH(".",AQ952)-1),AQ952)</f>
        <v/>
      </c>
      <c r="AH952" s="4">
        <f t="shared" ref="AH952:AH1000" si="648">IFERROR(LEFT(A952,SEARCH(".",A952)-1),A952)</f>
      </c>
      <c r="AI952" s="4">
        <f t="shared" ref="AI952:AI1000" si="649">IFERROR(LEFT(AP952,SEARCH(".",AP952)-1),AP952)</f>
      </c>
      <c r="AJ952" s="4">
        <f t="shared" ref="AJ952:AJ1000" si="650">IF(C952=0,B952,C952)</f>
      </c>
      <c r="AK952" s="4">
        <f t="shared" ref="AK952:AK1000" si="651">ROUNDUP(T952,2)</f>
      </c>
      <c r="AL952" s="4">
        <f t="shared" ref="AL952:AL1000" si="652">E952</f>
      </c>
      <c r="AM952" s="4">
        <f t="shared" ref="AM952:AM1000" si="653">D952</f>
      </c>
      <c r="AN952" s="4"/>
      <c r="AO952" s="4">
        <f t="shared" ref="AO952:AO1000" si="654">IF(V952=0,AD952,AE952&amp;"
L="&amp;M952&amp;"-"&amp;AB952&amp;"%")</f>
      </c>
      <c r="AP952" s="4">
        <f t="shared" ref="AP952:AP1000" si="655">RIGHT(A952,LEN(A952)-SEARCH(".",A952))</f>
      </c>
      <c r="AQ952" s="4">
        <f t="shared" ref="AQ952:AQ1000" si="656">IFERROR(RIGHT(AP952,LEN(AP952)-SEARCH(".",AP952)),"")</f>
        <v/>
      </c>
      <c r="AR952" s="4">
        <f t="shared" ref="AR952:AR1000" si="657">IFERROR(IF(VLOOKUP(AH952,Потребители_обозначение,5,FALSE)=2,_xlfn.IFS(H952=3,VLOOKUP(E952,Справочная_двигатели,3,FALSE),H952=1,VLOOKUP(E952,Справочная_двигатели,5,TRUE)),0),0)</f>
      </c>
      <c r="AS952" s="4">
        <f t="shared" ref="AS952:AS1000" si="658">IFERROR(IF(VLOOKUP(AH952,Потребители_обозначение,5,FALSE)=3,VLOOKUP(E952,Справочная_ЛЭД,2,TRUE),0),0)</f>
      </c>
      <c r="AT952" s="4">
        <f t="shared" ref="AT952:AT1000" si="659">IF(AR952=0,AS952,AR952)</f>
      </c>
    </row>
    <row r="953" spans="1:46" x14ac:dyDescent="0.3">
      <c r="A953" s="5">
        <f t="shared" si="631"/>
      </c>
      <c r="B953" s="4">
        <f t="shared" si="632"/>
      </c>
      <c r="C953" s="59"/>
      <c r="D953" s="59"/>
      <c r="E953" s="70"/>
      <c r="F953" s="164"/>
      <c r="G953" s="164"/>
      <c r="H953" s="164"/>
      <c r="I953" s="70"/>
      <c r="J953" s="70"/>
      <c r="K953" s="70"/>
      <c r="L953" s="70"/>
      <c r="M953" s="4">
        <f t="shared" si="633"/>
      </c>
      <c r="N953" s="59"/>
      <c r="O953" s="164"/>
      <c r="P953" s="59">
        <f t="shared" si="634"/>
      </c>
      <c r="Q953" s="165"/>
      <c r="R953" s="59"/>
      <c r="S953" s="164"/>
      <c r="T953" s="5">
        <f t="shared" si="635"/>
      </c>
      <c r="U953" s="4">
        <f t="shared" si="636"/>
      </c>
      <c r="V953" s="4">
        <f t="shared" si="637"/>
      </c>
      <c r="W953" s="4">
        <f t="shared" si="638"/>
      </c>
      <c r="X953" s="4">
        <f t="shared" si="639"/>
      </c>
      <c r="Y953" s="4" cm="1">
        <f t="array" ref="Y953">_xlfn.IFS(H953=1,2,H953=3,1)</f>
      </c>
      <c r="Z953" s="4">
        <f t="shared" si="640"/>
      </c>
      <c r="AA953" s="4">
        <f t="shared" si="641"/>
      </c>
      <c r="AB953" s="4">
        <f t="shared" si="642"/>
      </c>
      <c r="AC953" s="4">
        <f t="shared" si="643"/>
      </c>
      <c r="AD953" s="4">
        <f t="shared" si="644"/>
      </c>
      <c r="AE953" s="4">
        <f t="shared" si="645"/>
      </c>
      <c r="AF953" s="4">
        <f t="shared" si="646"/>
      </c>
      <c r="AG953" s="4">
        <f t="shared" si="647"/>
        <v/>
      </c>
      <c r="AH953" s="4">
        <f t="shared" si="648"/>
      </c>
      <c r="AI953" s="4">
        <f t="shared" si="649"/>
      </c>
      <c r="AJ953" s="4">
        <f t="shared" si="650"/>
      </c>
      <c r="AK953" s="4">
        <f t="shared" si="651"/>
      </c>
      <c r="AL953" s="4">
        <f t="shared" si="652"/>
      </c>
      <c r="AM953" s="4">
        <f t="shared" si="653"/>
      </c>
      <c r="AN953" s="4"/>
      <c r="AO953" s="4">
        <f t="shared" si="654"/>
      </c>
      <c r="AP953" s="4">
        <f t="shared" si="655"/>
      </c>
      <c r="AQ953" s="4">
        <f t="shared" si="656"/>
        <v/>
      </c>
      <c r="AR953" s="4">
        <f t="shared" si="657"/>
      </c>
      <c r="AS953" s="4">
        <f t="shared" si="658"/>
      </c>
      <c r="AT953" s="4">
        <f t="shared" si="659"/>
      </c>
    </row>
    <row r="954" spans="1:46" x14ac:dyDescent="0.3">
      <c r="A954" s="5">
        <f t="shared" si="631"/>
      </c>
      <c r="B954" s="4">
        <f t="shared" si="632"/>
      </c>
      <c r="C954" s="59"/>
      <c r="D954" s="59"/>
      <c r="E954" s="70"/>
      <c r="F954" s="164"/>
      <c r="G954" s="164"/>
      <c r="H954" s="164"/>
      <c r="I954" s="70"/>
      <c r="J954" s="70"/>
      <c r="K954" s="70"/>
      <c r="L954" s="70"/>
      <c r="M954" s="4">
        <f t="shared" si="633"/>
      </c>
      <c r="N954" s="59"/>
      <c r="O954" s="164"/>
      <c r="P954" s="59">
        <f t="shared" si="634"/>
      </c>
      <c r="Q954" s="165"/>
      <c r="R954" s="59"/>
      <c r="S954" s="164"/>
      <c r="T954" s="5">
        <f t="shared" si="635"/>
      </c>
      <c r="U954" s="4">
        <f t="shared" si="636"/>
      </c>
      <c r="V954" s="4">
        <f t="shared" si="637"/>
      </c>
      <c r="W954" s="4">
        <f t="shared" si="638"/>
      </c>
      <c r="X954" s="4">
        <f t="shared" si="639"/>
      </c>
      <c r="Y954" s="4" cm="1">
        <f t="array" ref="Y954">_xlfn.IFS(H954=1,2,H954=3,1)</f>
      </c>
      <c r="Z954" s="4">
        <f t="shared" si="640"/>
      </c>
      <c r="AA954" s="4">
        <f t="shared" si="641"/>
      </c>
      <c r="AB954" s="4">
        <f t="shared" si="642"/>
      </c>
      <c r="AC954" s="4">
        <f t="shared" si="643"/>
      </c>
      <c r="AD954" s="4">
        <f t="shared" si="644"/>
      </c>
      <c r="AE954" s="4">
        <f t="shared" si="645"/>
      </c>
      <c r="AF954" s="4">
        <f t="shared" si="646"/>
      </c>
      <c r="AG954" s="4">
        <f t="shared" si="647"/>
        <v/>
      </c>
      <c r="AH954" s="4">
        <f t="shared" si="648"/>
      </c>
      <c r="AI954" s="4">
        <f t="shared" si="649"/>
      </c>
      <c r="AJ954" s="4">
        <f t="shared" si="650"/>
      </c>
      <c r="AK954" s="4">
        <f t="shared" si="651"/>
      </c>
      <c r="AL954" s="4">
        <f t="shared" si="652"/>
      </c>
      <c r="AM954" s="4">
        <f t="shared" si="653"/>
      </c>
      <c r="AN954" s="4"/>
      <c r="AO954" s="4">
        <f t="shared" si="654"/>
      </c>
      <c r="AP954" s="4">
        <f t="shared" si="655"/>
      </c>
      <c r="AQ954" s="4">
        <f t="shared" si="656"/>
        <v/>
      </c>
      <c r="AR954" s="4">
        <f t="shared" si="657"/>
      </c>
      <c r="AS954" s="4">
        <f t="shared" si="658"/>
      </c>
      <c r="AT954" s="4">
        <f t="shared" si="659"/>
      </c>
    </row>
    <row r="955" spans="1:46" x14ac:dyDescent="0.3">
      <c r="A955" s="5">
        <f t="shared" si="631"/>
      </c>
      <c r="B955" s="4">
        <f t="shared" si="632"/>
      </c>
      <c r="C955" s="59"/>
      <c r="D955" s="59"/>
      <c r="E955" s="70"/>
      <c r="F955" s="164"/>
      <c r="G955" s="164"/>
      <c r="H955" s="164"/>
      <c r="I955" s="70"/>
      <c r="J955" s="70"/>
      <c r="K955" s="70"/>
      <c r="L955" s="70"/>
      <c r="M955" s="4">
        <f t="shared" si="633"/>
      </c>
      <c r="N955" s="59"/>
      <c r="O955" s="164"/>
      <c r="P955" s="59">
        <f t="shared" si="634"/>
      </c>
      <c r="Q955" s="165"/>
      <c r="R955" s="59"/>
      <c r="S955" s="164"/>
      <c r="T955" s="5">
        <f t="shared" si="635"/>
      </c>
      <c r="U955" s="4">
        <f t="shared" si="636"/>
      </c>
      <c r="V955" s="4">
        <f t="shared" si="637"/>
      </c>
      <c r="W955" s="4">
        <f t="shared" si="638"/>
      </c>
      <c r="X955" s="4">
        <f t="shared" si="639"/>
      </c>
      <c r="Y955" s="4" cm="1">
        <f t="array" ref="Y955">_xlfn.IFS(H955=1,2,H955=3,1)</f>
      </c>
      <c r="Z955" s="4">
        <f t="shared" si="640"/>
      </c>
      <c r="AA955" s="4">
        <f t="shared" si="641"/>
      </c>
      <c r="AB955" s="4">
        <f t="shared" si="642"/>
      </c>
      <c r="AC955" s="4">
        <f t="shared" si="643"/>
      </c>
      <c r="AD955" s="4">
        <f t="shared" si="644"/>
      </c>
      <c r="AE955" s="4">
        <f t="shared" si="645"/>
      </c>
      <c r="AF955" s="4">
        <f t="shared" si="646"/>
      </c>
      <c r="AG955" s="4">
        <f t="shared" si="647"/>
        <v/>
      </c>
      <c r="AH955" s="4">
        <f t="shared" si="648"/>
      </c>
      <c r="AI955" s="4">
        <f t="shared" si="649"/>
      </c>
      <c r="AJ955" s="4">
        <f t="shared" si="650"/>
      </c>
      <c r="AK955" s="4">
        <f t="shared" si="651"/>
      </c>
      <c r="AL955" s="4">
        <f t="shared" si="652"/>
      </c>
      <c r="AM955" s="4">
        <f t="shared" si="653"/>
      </c>
      <c r="AN955" s="4"/>
      <c r="AO955" s="4">
        <f t="shared" si="654"/>
      </c>
      <c r="AP955" s="4">
        <f t="shared" si="655"/>
      </c>
      <c r="AQ955" s="4">
        <f t="shared" si="656"/>
        <v/>
      </c>
      <c r="AR955" s="4">
        <f t="shared" si="657"/>
      </c>
      <c r="AS955" s="4">
        <f t="shared" si="658"/>
      </c>
      <c r="AT955" s="4">
        <f t="shared" si="659"/>
      </c>
    </row>
    <row r="956" spans="1:46" x14ac:dyDescent="0.3">
      <c r="A956" s="5">
        <f t="shared" si="631"/>
      </c>
      <c r="B956" s="4">
        <f t="shared" si="632"/>
      </c>
      <c r="C956" s="59"/>
      <c r="D956" s="59"/>
      <c r="E956" s="70"/>
      <c r="F956" s="164"/>
      <c r="G956" s="164"/>
      <c r="H956" s="164"/>
      <c r="I956" s="70"/>
      <c r="J956" s="70"/>
      <c r="K956" s="70"/>
      <c r="L956" s="70"/>
      <c r="M956" s="4">
        <f t="shared" si="633"/>
      </c>
      <c r="N956" s="59"/>
      <c r="O956" s="164"/>
      <c r="P956" s="59">
        <f t="shared" si="634"/>
      </c>
      <c r="Q956" s="165"/>
      <c r="R956" s="59"/>
      <c r="S956" s="164"/>
      <c r="T956" s="5">
        <f t="shared" si="635"/>
      </c>
      <c r="U956" s="4">
        <f t="shared" si="636"/>
      </c>
      <c r="V956" s="4">
        <f t="shared" si="637"/>
      </c>
      <c r="W956" s="4">
        <f t="shared" si="638"/>
      </c>
      <c r="X956" s="4">
        <f t="shared" si="639"/>
      </c>
      <c r="Y956" s="4" cm="1">
        <f t="array" ref="Y956">_xlfn.IFS(H956=1,2,H956=3,1)</f>
      </c>
      <c r="Z956" s="4">
        <f t="shared" si="640"/>
      </c>
      <c r="AA956" s="4">
        <f t="shared" si="641"/>
      </c>
      <c r="AB956" s="4">
        <f t="shared" si="642"/>
      </c>
      <c r="AC956" s="4">
        <f t="shared" si="643"/>
      </c>
      <c r="AD956" s="4">
        <f t="shared" si="644"/>
      </c>
      <c r="AE956" s="4">
        <f t="shared" si="645"/>
      </c>
      <c r="AF956" s="4">
        <f t="shared" si="646"/>
      </c>
      <c r="AG956" s="4">
        <f t="shared" si="647"/>
        <v/>
      </c>
      <c r="AH956" s="4">
        <f t="shared" si="648"/>
      </c>
      <c r="AI956" s="4">
        <f t="shared" si="649"/>
      </c>
      <c r="AJ956" s="4">
        <f t="shared" si="650"/>
      </c>
      <c r="AK956" s="4">
        <f t="shared" si="651"/>
      </c>
      <c r="AL956" s="4">
        <f t="shared" si="652"/>
      </c>
      <c r="AM956" s="4">
        <f t="shared" si="653"/>
      </c>
      <c r="AN956" s="4"/>
      <c r="AO956" s="4">
        <f t="shared" si="654"/>
      </c>
      <c r="AP956" s="4">
        <f t="shared" si="655"/>
      </c>
      <c r="AQ956" s="4">
        <f t="shared" si="656"/>
        <v/>
      </c>
      <c r="AR956" s="4">
        <f t="shared" si="657"/>
      </c>
      <c r="AS956" s="4">
        <f t="shared" si="658"/>
      </c>
      <c r="AT956" s="4">
        <f t="shared" si="659"/>
      </c>
    </row>
    <row r="957" spans="1:46" x14ac:dyDescent="0.3">
      <c r="A957" s="5">
        <f t="shared" si="631"/>
      </c>
      <c r="B957" s="4">
        <f t="shared" si="632"/>
      </c>
      <c r="C957" s="59"/>
      <c r="D957" s="59"/>
      <c r="E957" s="70"/>
      <c r="F957" s="164"/>
      <c r="G957" s="164"/>
      <c r="H957" s="164"/>
      <c r="I957" s="70"/>
      <c r="J957" s="70"/>
      <c r="K957" s="70"/>
      <c r="L957" s="70"/>
      <c r="M957" s="4">
        <f t="shared" si="633"/>
      </c>
      <c r="N957" s="59"/>
      <c r="O957" s="164"/>
      <c r="P957" s="59">
        <f t="shared" si="634"/>
      </c>
      <c r="Q957" s="165"/>
      <c r="R957" s="59"/>
      <c r="S957" s="164"/>
      <c r="T957" s="5">
        <f t="shared" si="635"/>
      </c>
      <c r="U957" s="4">
        <f t="shared" si="636"/>
      </c>
      <c r="V957" s="4">
        <f t="shared" si="637"/>
      </c>
      <c r="W957" s="4">
        <f t="shared" si="638"/>
      </c>
      <c r="X957" s="4">
        <f t="shared" si="639"/>
      </c>
      <c r="Y957" s="4" cm="1">
        <f t="array" ref="Y957">_xlfn.IFS(H957=1,2,H957=3,1)</f>
      </c>
      <c r="Z957" s="4">
        <f t="shared" si="640"/>
      </c>
      <c r="AA957" s="4">
        <f t="shared" si="641"/>
      </c>
      <c r="AB957" s="4">
        <f t="shared" si="642"/>
      </c>
      <c r="AC957" s="4">
        <f t="shared" si="643"/>
      </c>
      <c r="AD957" s="4">
        <f t="shared" si="644"/>
      </c>
      <c r="AE957" s="4">
        <f t="shared" si="645"/>
      </c>
      <c r="AF957" s="4">
        <f t="shared" si="646"/>
      </c>
      <c r="AG957" s="4">
        <f t="shared" si="647"/>
        <v/>
      </c>
      <c r="AH957" s="4">
        <f t="shared" si="648"/>
      </c>
      <c r="AI957" s="4">
        <f t="shared" si="649"/>
      </c>
      <c r="AJ957" s="4">
        <f t="shared" si="650"/>
      </c>
      <c r="AK957" s="4">
        <f t="shared" si="651"/>
      </c>
      <c r="AL957" s="4">
        <f t="shared" si="652"/>
      </c>
      <c r="AM957" s="4">
        <f t="shared" si="653"/>
      </c>
      <c r="AN957" s="4"/>
      <c r="AO957" s="4">
        <f t="shared" si="654"/>
      </c>
      <c r="AP957" s="4">
        <f t="shared" si="655"/>
      </c>
      <c r="AQ957" s="4">
        <f t="shared" si="656"/>
        <v/>
      </c>
      <c r="AR957" s="4">
        <f t="shared" si="657"/>
      </c>
      <c r="AS957" s="4">
        <f t="shared" si="658"/>
      </c>
      <c r="AT957" s="4">
        <f t="shared" si="659"/>
      </c>
    </row>
    <row r="958" spans="1:46" x14ac:dyDescent="0.3">
      <c r="A958" s="5">
        <f t="shared" si="631"/>
      </c>
      <c r="B958" s="4">
        <f t="shared" si="632"/>
      </c>
      <c r="C958" s="59"/>
      <c r="D958" s="59"/>
      <c r="E958" s="70"/>
      <c r="F958" s="164"/>
      <c r="G958" s="164"/>
      <c r="H958" s="164"/>
      <c r="I958" s="70"/>
      <c r="J958" s="70"/>
      <c r="K958" s="70"/>
      <c r="L958" s="70"/>
      <c r="M958" s="4">
        <f t="shared" si="633"/>
      </c>
      <c r="N958" s="59"/>
      <c r="O958" s="164"/>
      <c r="P958" s="59">
        <f t="shared" si="634"/>
      </c>
      <c r="Q958" s="165"/>
      <c r="R958" s="59"/>
      <c r="S958" s="164"/>
      <c r="T958" s="5">
        <f t="shared" si="635"/>
      </c>
      <c r="U958" s="4">
        <f t="shared" si="636"/>
      </c>
      <c r="V958" s="4">
        <f t="shared" si="637"/>
      </c>
      <c r="W958" s="4">
        <f t="shared" si="638"/>
      </c>
      <c r="X958" s="4">
        <f t="shared" si="639"/>
      </c>
      <c r="Y958" s="4" cm="1">
        <f t="array" ref="Y958">_xlfn.IFS(H958=1,2,H958=3,1)</f>
      </c>
      <c r="Z958" s="4">
        <f t="shared" si="640"/>
      </c>
      <c r="AA958" s="4">
        <f t="shared" si="641"/>
      </c>
      <c r="AB958" s="4">
        <f t="shared" si="642"/>
      </c>
      <c r="AC958" s="4">
        <f t="shared" si="643"/>
      </c>
      <c r="AD958" s="4">
        <f t="shared" si="644"/>
      </c>
      <c r="AE958" s="4">
        <f t="shared" si="645"/>
      </c>
      <c r="AF958" s="4">
        <f t="shared" si="646"/>
      </c>
      <c r="AG958" s="4">
        <f t="shared" si="647"/>
        <v/>
      </c>
      <c r="AH958" s="4">
        <f t="shared" si="648"/>
      </c>
      <c r="AI958" s="4">
        <f t="shared" si="649"/>
      </c>
      <c r="AJ958" s="4">
        <f t="shared" si="650"/>
      </c>
      <c r="AK958" s="4">
        <f t="shared" si="651"/>
      </c>
      <c r="AL958" s="4">
        <f t="shared" si="652"/>
      </c>
      <c r="AM958" s="4">
        <f t="shared" si="653"/>
      </c>
      <c r="AN958" s="4"/>
      <c r="AO958" s="4">
        <f t="shared" si="654"/>
      </c>
      <c r="AP958" s="4">
        <f t="shared" si="655"/>
      </c>
      <c r="AQ958" s="4">
        <f t="shared" si="656"/>
        <v/>
      </c>
      <c r="AR958" s="4">
        <f t="shared" si="657"/>
      </c>
      <c r="AS958" s="4">
        <f t="shared" si="658"/>
      </c>
      <c r="AT958" s="4">
        <f t="shared" si="659"/>
      </c>
    </row>
    <row r="959" spans="1:46" x14ac:dyDescent="0.3">
      <c r="A959" s="5">
        <f t="shared" si="631"/>
      </c>
      <c r="B959" s="4">
        <f t="shared" si="632"/>
      </c>
      <c r="C959" s="59"/>
      <c r="D959" s="59"/>
      <c r="E959" s="70"/>
      <c r="F959" s="164"/>
      <c r="G959" s="164"/>
      <c r="H959" s="164"/>
      <c r="I959" s="70"/>
      <c r="J959" s="70"/>
      <c r="K959" s="70"/>
      <c r="L959" s="70"/>
      <c r="M959" s="4">
        <f t="shared" si="633"/>
      </c>
      <c r="N959" s="59"/>
      <c r="O959" s="164"/>
      <c r="P959" s="59">
        <f t="shared" si="634"/>
      </c>
      <c r="Q959" s="165"/>
      <c r="R959" s="59"/>
      <c r="S959" s="164"/>
      <c r="T959" s="5">
        <f t="shared" si="635"/>
      </c>
      <c r="U959" s="4">
        <f t="shared" si="636"/>
      </c>
      <c r="V959" s="4">
        <f t="shared" si="637"/>
      </c>
      <c r="W959" s="4">
        <f t="shared" si="638"/>
      </c>
      <c r="X959" s="4">
        <f t="shared" si="639"/>
      </c>
      <c r="Y959" s="4" cm="1">
        <f t="array" ref="Y959">_xlfn.IFS(H959=1,2,H959=3,1)</f>
      </c>
      <c r="Z959" s="4">
        <f t="shared" si="640"/>
      </c>
      <c r="AA959" s="4">
        <f t="shared" si="641"/>
      </c>
      <c r="AB959" s="4">
        <f t="shared" si="642"/>
      </c>
      <c r="AC959" s="4">
        <f t="shared" si="643"/>
      </c>
      <c r="AD959" s="4">
        <f t="shared" si="644"/>
      </c>
      <c r="AE959" s="4">
        <f t="shared" si="645"/>
      </c>
      <c r="AF959" s="4">
        <f t="shared" si="646"/>
      </c>
      <c r="AG959" s="4">
        <f t="shared" si="647"/>
        <v/>
      </c>
      <c r="AH959" s="4">
        <f t="shared" si="648"/>
      </c>
      <c r="AI959" s="4">
        <f t="shared" si="649"/>
      </c>
      <c r="AJ959" s="4">
        <f t="shared" si="650"/>
      </c>
      <c r="AK959" s="4">
        <f t="shared" si="651"/>
      </c>
      <c r="AL959" s="4">
        <f t="shared" si="652"/>
      </c>
      <c r="AM959" s="4">
        <f t="shared" si="653"/>
      </c>
      <c r="AN959" s="4"/>
      <c r="AO959" s="4">
        <f t="shared" si="654"/>
      </c>
      <c r="AP959" s="4">
        <f t="shared" si="655"/>
      </c>
      <c r="AQ959" s="4">
        <f t="shared" si="656"/>
        <v/>
      </c>
      <c r="AR959" s="4">
        <f t="shared" si="657"/>
      </c>
      <c r="AS959" s="4">
        <f t="shared" si="658"/>
      </c>
      <c r="AT959" s="4">
        <f t="shared" si="659"/>
      </c>
    </row>
    <row r="960" spans="1:46" x14ac:dyDescent="0.3">
      <c r="A960" s="5">
        <f t="shared" si="631"/>
      </c>
      <c r="B960" s="4">
        <f t="shared" si="632"/>
      </c>
      <c r="C960" s="59"/>
      <c r="D960" s="59"/>
      <c r="E960" s="70"/>
      <c r="F960" s="164"/>
      <c r="G960" s="164"/>
      <c r="H960" s="164"/>
      <c r="I960" s="70"/>
      <c r="J960" s="70"/>
      <c r="K960" s="70"/>
      <c r="L960" s="70"/>
      <c r="M960" s="4">
        <f t="shared" si="633"/>
      </c>
      <c r="N960" s="59"/>
      <c r="O960" s="164"/>
      <c r="P960" s="59">
        <f t="shared" si="634"/>
      </c>
      <c r="Q960" s="165"/>
      <c r="R960" s="59"/>
      <c r="S960" s="164"/>
      <c r="T960" s="5">
        <f t="shared" si="635"/>
      </c>
      <c r="U960" s="4">
        <f t="shared" si="636"/>
      </c>
      <c r="V960" s="4">
        <f t="shared" si="637"/>
      </c>
      <c r="W960" s="4">
        <f t="shared" si="638"/>
      </c>
      <c r="X960" s="4">
        <f t="shared" si="639"/>
      </c>
      <c r="Y960" s="4" cm="1">
        <f t="array" ref="Y960">_xlfn.IFS(H960=1,2,H960=3,1)</f>
      </c>
      <c r="Z960" s="4">
        <f t="shared" si="640"/>
      </c>
      <c r="AA960" s="4">
        <f t="shared" si="641"/>
      </c>
      <c r="AB960" s="4">
        <f t="shared" si="642"/>
      </c>
      <c r="AC960" s="4">
        <f t="shared" si="643"/>
      </c>
      <c r="AD960" s="4">
        <f t="shared" si="644"/>
      </c>
      <c r="AE960" s="4">
        <f t="shared" si="645"/>
      </c>
      <c r="AF960" s="4">
        <f t="shared" si="646"/>
      </c>
      <c r="AG960" s="4">
        <f t="shared" si="647"/>
        <v/>
      </c>
      <c r="AH960" s="4">
        <f t="shared" si="648"/>
      </c>
      <c r="AI960" s="4">
        <f t="shared" si="649"/>
      </c>
      <c r="AJ960" s="4">
        <f t="shared" si="650"/>
      </c>
      <c r="AK960" s="4">
        <f t="shared" si="651"/>
      </c>
      <c r="AL960" s="4">
        <f t="shared" si="652"/>
      </c>
      <c r="AM960" s="4">
        <f t="shared" si="653"/>
      </c>
      <c r="AN960" s="4"/>
      <c r="AO960" s="4">
        <f t="shared" si="654"/>
      </c>
      <c r="AP960" s="4">
        <f t="shared" si="655"/>
      </c>
      <c r="AQ960" s="4">
        <f t="shared" si="656"/>
        <v/>
      </c>
      <c r="AR960" s="4">
        <f t="shared" si="657"/>
      </c>
      <c r="AS960" s="4">
        <f t="shared" si="658"/>
      </c>
      <c r="AT960" s="4">
        <f t="shared" si="659"/>
      </c>
    </row>
    <row r="961" spans="1:46" x14ac:dyDescent="0.3">
      <c r="A961" s="5">
        <f t="shared" si="631"/>
      </c>
      <c r="B961" s="4">
        <f t="shared" si="632"/>
      </c>
      <c r="C961" s="59"/>
      <c r="D961" s="59"/>
      <c r="E961" s="70"/>
      <c r="F961" s="164"/>
      <c r="G961" s="164"/>
      <c r="H961" s="164"/>
      <c r="I961" s="70"/>
      <c r="J961" s="70"/>
      <c r="K961" s="70"/>
      <c r="L961" s="70"/>
      <c r="M961" s="4">
        <f t="shared" si="633"/>
      </c>
      <c r="N961" s="59"/>
      <c r="O961" s="164"/>
      <c r="P961" s="59">
        <f t="shared" si="634"/>
      </c>
      <c r="Q961" s="165"/>
      <c r="R961" s="59"/>
      <c r="S961" s="164"/>
      <c r="T961" s="5">
        <f t="shared" si="635"/>
      </c>
      <c r="U961" s="4">
        <f t="shared" si="636"/>
      </c>
      <c r="V961" s="4">
        <f t="shared" si="637"/>
      </c>
      <c r="W961" s="4">
        <f t="shared" si="638"/>
      </c>
      <c r="X961" s="4">
        <f t="shared" si="639"/>
      </c>
      <c r="Y961" s="4" cm="1">
        <f t="array" ref="Y961">_xlfn.IFS(H961=1,2,H961=3,1)</f>
      </c>
      <c r="Z961" s="4">
        <f t="shared" si="640"/>
      </c>
      <c r="AA961" s="4">
        <f t="shared" si="641"/>
      </c>
      <c r="AB961" s="4">
        <f t="shared" si="642"/>
      </c>
      <c r="AC961" s="4">
        <f t="shared" si="643"/>
      </c>
      <c r="AD961" s="4">
        <f t="shared" si="644"/>
      </c>
      <c r="AE961" s="4">
        <f t="shared" si="645"/>
      </c>
      <c r="AF961" s="4">
        <f t="shared" si="646"/>
      </c>
      <c r="AG961" s="4">
        <f t="shared" si="647"/>
        <v/>
      </c>
      <c r="AH961" s="4">
        <f t="shared" si="648"/>
      </c>
      <c r="AI961" s="4">
        <f t="shared" si="649"/>
      </c>
      <c r="AJ961" s="4">
        <f t="shared" si="650"/>
      </c>
      <c r="AK961" s="4">
        <f t="shared" si="651"/>
      </c>
      <c r="AL961" s="4">
        <f t="shared" si="652"/>
      </c>
      <c r="AM961" s="4">
        <f t="shared" si="653"/>
      </c>
      <c r="AN961" s="4"/>
      <c r="AO961" s="4">
        <f t="shared" si="654"/>
      </c>
      <c r="AP961" s="4">
        <f t="shared" si="655"/>
      </c>
      <c r="AQ961" s="4">
        <f t="shared" si="656"/>
        <v/>
      </c>
      <c r="AR961" s="4">
        <f t="shared" si="657"/>
      </c>
      <c r="AS961" s="4">
        <f t="shared" si="658"/>
      </c>
      <c r="AT961" s="4">
        <f t="shared" si="659"/>
      </c>
    </row>
    <row r="962" spans="1:46" x14ac:dyDescent="0.3">
      <c r="A962" s="5">
        <f t="shared" si="631"/>
      </c>
      <c r="B962" s="4">
        <f t="shared" si="632"/>
      </c>
      <c r="C962" s="59"/>
      <c r="D962" s="59"/>
      <c r="E962" s="70"/>
      <c r="F962" s="164"/>
      <c r="G962" s="164"/>
      <c r="H962" s="164"/>
      <c r="I962" s="70"/>
      <c r="J962" s="70"/>
      <c r="K962" s="70"/>
      <c r="L962" s="70"/>
      <c r="M962" s="4">
        <f t="shared" si="633"/>
      </c>
      <c r="N962" s="59"/>
      <c r="O962" s="164"/>
      <c r="P962" s="59">
        <f t="shared" si="634"/>
      </c>
      <c r="Q962" s="165"/>
      <c r="R962" s="59"/>
      <c r="S962" s="164"/>
      <c r="T962" s="5">
        <f t="shared" si="635"/>
      </c>
      <c r="U962" s="4">
        <f t="shared" si="636"/>
      </c>
      <c r="V962" s="4">
        <f t="shared" si="637"/>
      </c>
      <c r="W962" s="4">
        <f t="shared" si="638"/>
      </c>
      <c r="X962" s="4">
        <f t="shared" si="639"/>
      </c>
      <c r="Y962" s="4" cm="1">
        <f t="array" ref="Y962">_xlfn.IFS(H962=1,2,H962=3,1)</f>
      </c>
      <c r="Z962" s="4">
        <f t="shared" si="640"/>
      </c>
      <c r="AA962" s="4">
        <f t="shared" si="641"/>
      </c>
      <c r="AB962" s="4">
        <f t="shared" si="642"/>
      </c>
      <c r="AC962" s="4">
        <f t="shared" si="643"/>
      </c>
      <c r="AD962" s="4">
        <f t="shared" si="644"/>
      </c>
      <c r="AE962" s="4">
        <f t="shared" si="645"/>
      </c>
      <c r="AF962" s="4">
        <f t="shared" si="646"/>
      </c>
      <c r="AG962" s="4">
        <f t="shared" si="647"/>
        <v/>
      </c>
      <c r="AH962" s="4">
        <f t="shared" si="648"/>
      </c>
      <c r="AI962" s="4">
        <f t="shared" si="649"/>
      </c>
      <c r="AJ962" s="4">
        <f t="shared" si="650"/>
      </c>
      <c r="AK962" s="4">
        <f t="shared" si="651"/>
      </c>
      <c r="AL962" s="4">
        <f t="shared" si="652"/>
      </c>
      <c r="AM962" s="4">
        <f t="shared" si="653"/>
      </c>
      <c r="AN962" s="4"/>
      <c r="AO962" s="4">
        <f t="shared" si="654"/>
      </c>
      <c r="AP962" s="4">
        <f t="shared" si="655"/>
      </c>
      <c r="AQ962" s="4">
        <f t="shared" si="656"/>
        <v/>
      </c>
      <c r="AR962" s="4">
        <f t="shared" si="657"/>
      </c>
      <c r="AS962" s="4">
        <f t="shared" si="658"/>
      </c>
      <c r="AT962" s="4">
        <f t="shared" si="659"/>
      </c>
    </row>
    <row r="963" spans="1:46" x14ac:dyDescent="0.3">
      <c r="A963" s="5">
        <f t="shared" si="631"/>
      </c>
      <c r="B963" s="4">
        <f t="shared" si="632"/>
      </c>
      <c r="C963" s="59"/>
      <c r="D963" s="59"/>
      <c r="E963" s="70"/>
      <c r="F963" s="164"/>
      <c r="G963" s="164"/>
      <c r="H963" s="164"/>
      <c r="I963" s="70"/>
      <c r="J963" s="70"/>
      <c r="K963" s="70"/>
      <c r="L963" s="70"/>
      <c r="M963" s="4">
        <f t="shared" si="633"/>
      </c>
      <c r="N963" s="59"/>
      <c r="O963" s="164"/>
      <c r="P963" s="59">
        <f t="shared" si="634"/>
      </c>
      <c r="Q963" s="165"/>
      <c r="R963" s="59"/>
      <c r="S963" s="164"/>
      <c r="T963" s="5">
        <f t="shared" si="635"/>
      </c>
      <c r="U963" s="4">
        <f t="shared" si="636"/>
      </c>
      <c r="V963" s="4">
        <f t="shared" si="637"/>
      </c>
      <c r="W963" s="4">
        <f t="shared" si="638"/>
      </c>
      <c r="X963" s="4">
        <f t="shared" si="639"/>
      </c>
      <c r="Y963" s="4" cm="1">
        <f t="array" ref="Y963">_xlfn.IFS(H963=1,2,H963=3,1)</f>
      </c>
      <c r="Z963" s="4">
        <f t="shared" si="640"/>
      </c>
      <c r="AA963" s="4">
        <f t="shared" si="641"/>
      </c>
      <c r="AB963" s="4">
        <f t="shared" si="642"/>
      </c>
      <c r="AC963" s="4">
        <f t="shared" si="643"/>
      </c>
      <c r="AD963" s="4">
        <f t="shared" si="644"/>
      </c>
      <c r="AE963" s="4">
        <f t="shared" si="645"/>
      </c>
      <c r="AF963" s="4">
        <f t="shared" si="646"/>
      </c>
      <c r="AG963" s="4">
        <f t="shared" si="647"/>
        <v/>
      </c>
      <c r="AH963" s="4">
        <f t="shared" si="648"/>
      </c>
      <c r="AI963" s="4">
        <f t="shared" si="649"/>
      </c>
      <c r="AJ963" s="4">
        <f t="shared" si="650"/>
      </c>
      <c r="AK963" s="4">
        <f t="shared" si="651"/>
      </c>
      <c r="AL963" s="4">
        <f t="shared" si="652"/>
      </c>
      <c r="AM963" s="4">
        <f t="shared" si="653"/>
      </c>
      <c r="AN963" s="4"/>
      <c r="AO963" s="4">
        <f t="shared" si="654"/>
      </c>
      <c r="AP963" s="4">
        <f t="shared" si="655"/>
      </c>
      <c r="AQ963" s="4">
        <f t="shared" si="656"/>
        <v/>
      </c>
      <c r="AR963" s="4">
        <f t="shared" si="657"/>
      </c>
      <c r="AS963" s="4">
        <f t="shared" si="658"/>
      </c>
      <c r="AT963" s="4">
        <f t="shared" si="659"/>
      </c>
    </row>
    <row r="964" spans="1:46" x14ac:dyDescent="0.3">
      <c r="A964" s="5">
        <f t="shared" si="631"/>
      </c>
      <c r="B964" s="4">
        <f t="shared" si="632"/>
      </c>
      <c r="C964" s="59"/>
      <c r="D964" s="59"/>
      <c r="E964" s="70"/>
      <c r="F964" s="164"/>
      <c r="G964" s="164"/>
      <c r="H964" s="164"/>
      <c r="I964" s="70"/>
      <c r="J964" s="70"/>
      <c r="K964" s="70"/>
      <c r="L964" s="70"/>
      <c r="M964" s="4">
        <f t="shared" si="633"/>
      </c>
      <c r="N964" s="59"/>
      <c r="O964" s="164"/>
      <c r="P964" s="59">
        <f t="shared" si="634"/>
      </c>
      <c r="Q964" s="165"/>
      <c r="R964" s="59"/>
      <c r="S964" s="164"/>
      <c r="T964" s="5">
        <f t="shared" si="635"/>
      </c>
      <c r="U964" s="4">
        <f t="shared" si="636"/>
      </c>
      <c r="V964" s="4">
        <f t="shared" si="637"/>
      </c>
      <c r="W964" s="4">
        <f t="shared" si="638"/>
      </c>
      <c r="X964" s="4">
        <f t="shared" si="639"/>
      </c>
      <c r="Y964" s="4" cm="1">
        <f t="array" ref="Y964">_xlfn.IFS(H964=1,2,H964=3,1)</f>
      </c>
      <c r="Z964" s="4">
        <f t="shared" si="640"/>
      </c>
      <c r="AA964" s="4">
        <f t="shared" si="641"/>
      </c>
      <c r="AB964" s="4">
        <f t="shared" si="642"/>
      </c>
      <c r="AC964" s="4">
        <f t="shared" si="643"/>
      </c>
      <c r="AD964" s="4">
        <f t="shared" si="644"/>
      </c>
      <c r="AE964" s="4">
        <f t="shared" si="645"/>
      </c>
      <c r="AF964" s="4">
        <f t="shared" si="646"/>
      </c>
      <c r="AG964" s="4">
        <f t="shared" si="647"/>
        <v/>
      </c>
      <c r="AH964" s="4">
        <f t="shared" si="648"/>
      </c>
      <c r="AI964" s="4">
        <f t="shared" si="649"/>
      </c>
      <c r="AJ964" s="4">
        <f t="shared" si="650"/>
      </c>
      <c r="AK964" s="4">
        <f t="shared" si="651"/>
      </c>
      <c r="AL964" s="4">
        <f t="shared" si="652"/>
      </c>
      <c r="AM964" s="4">
        <f t="shared" si="653"/>
      </c>
      <c r="AN964" s="4"/>
      <c r="AO964" s="4">
        <f t="shared" si="654"/>
      </c>
      <c r="AP964" s="4">
        <f t="shared" si="655"/>
      </c>
      <c r="AQ964" s="4">
        <f t="shared" si="656"/>
        <v/>
      </c>
      <c r="AR964" s="4">
        <f t="shared" si="657"/>
      </c>
      <c r="AS964" s="4">
        <f t="shared" si="658"/>
      </c>
      <c r="AT964" s="4">
        <f t="shared" si="659"/>
      </c>
    </row>
    <row r="965" spans="1:46" x14ac:dyDescent="0.3">
      <c r="A965" s="5">
        <f t="shared" si="631"/>
      </c>
      <c r="B965" s="4">
        <f t="shared" si="632"/>
      </c>
      <c r="C965" s="59"/>
      <c r="D965" s="59"/>
      <c r="E965" s="70"/>
      <c r="F965" s="164"/>
      <c r="G965" s="164"/>
      <c r="H965" s="164"/>
      <c r="I965" s="70"/>
      <c r="J965" s="70"/>
      <c r="K965" s="70"/>
      <c r="L965" s="70"/>
      <c r="M965" s="4">
        <f t="shared" si="633"/>
      </c>
      <c r="N965" s="59"/>
      <c r="O965" s="164"/>
      <c r="P965" s="59">
        <f t="shared" si="634"/>
      </c>
      <c r="Q965" s="165"/>
      <c r="R965" s="59"/>
      <c r="S965" s="164"/>
      <c r="T965" s="5">
        <f t="shared" si="635"/>
      </c>
      <c r="U965" s="4">
        <f t="shared" si="636"/>
      </c>
      <c r="V965" s="4">
        <f t="shared" si="637"/>
      </c>
      <c r="W965" s="4">
        <f t="shared" si="638"/>
      </c>
      <c r="X965" s="4">
        <f t="shared" si="639"/>
      </c>
      <c r="Y965" s="4" cm="1">
        <f t="array" ref="Y965">_xlfn.IFS(H965=1,2,H965=3,1)</f>
      </c>
      <c r="Z965" s="4">
        <f t="shared" si="640"/>
      </c>
      <c r="AA965" s="4">
        <f t="shared" si="641"/>
      </c>
      <c r="AB965" s="4">
        <f t="shared" si="642"/>
      </c>
      <c r="AC965" s="4">
        <f t="shared" si="643"/>
      </c>
      <c r="AD965" s="4">
        <f t="shared" si="644"/>
      </c>
      <c r="AE965" s="4">
        <f t="shared" si="645"/>
      </c>
      <c r="AF965" s="4">
        <f t="shared" si="646"/>
      </c>
      <c r="AG965" s="4">
        <f t="shared" si="647"/>
        <v/>
      </c>
      <c r="AH965" s="4">
        <f t="shared" si="648"/>
      </c>
      <c r="AI965" s="4">
        <f t="shared" si="649"/>
      </c>
      <c r="AJ965" s="4">
        <f t="shared" si="650"/>
      </c>
      <c r="AK965" s="4">
        <f t="shared" si="651"/>
      </c>
      <c r="AL965" s="4">
        <f t="shared" si="652"/>
      </c>
      <c r="AM965" s="4">
        <f t="shared" si="653"/>
      </c>
      <c r="AN965" s="4"/>
      <c r="AO965" s="4">
        <f t="shared" si="654"/>
      </c>
      <c r="AP965" s="4">
        <f t="shared" si="655"/>
      </c>
      <c r="AQ965" s="4">
        <f t="shared" si="656"/>
        <v/>
      </c>
      <c r="AR965" s="4">
        <f t="shared" si="657"/>
      </c>
      <c r="AS965" s="4">
        <f t="shared" si="658"/>
      </c>
      <c r="AT965" s="4">
        <f t="shared" si="659"/>
      </c>
    </row>
    <row r="966" spans="1:46" x14ac:dyDescent="0.3">
      <c r="A966" s="5">
        <f t="shared" si="631"/>
      </c>
      <c r="B966" s="4">
        <f t="shared" si="632"/>
      </c>
      <c r="C966" s="59"/>
      <c r="D966" s="59"/>
      <c r="E966" s="70"/>
      <c r="F966" s="164"/>
      <c r="G966" s="164"/>
      <c r="H966" s="164"/>
      <c r="I966" s="70"/>
      <c r="J966" s="70"/>
      <c r="K966" s="70"/>
      <c r="L966" s="70"/>
      <c r="M966" s="4">
        <f t="shared" si="633"/>
      </c>
      <c r="N966" s="59"/>
      <c r="O966" s="164"/>
      <c r="P966" s="59">
        <f t="shared" si="634"/>
      </c>
      <c r="Q966" s="165"/>
      <c r="R966" s="59"/>
      <c r="S966" s="164"/>
      <c r="T966" s="5">
        <f t="shared" si="635"/>
      </c>
      <c r="U966" s="4">
        <f t="shared" si="636"/>
      </c>
      <c r="V966" s="4">
        <f t="shared" si="637"/>
      </c>
      <c r="W966" s="4">
        <f t="shared" si="638"/>
      </c>
      <c r="X966" s="4">
        <f t="shared" si="639"/>
      </c>
      <c r="Y966" s="4" cm="1">
        <f t="array" ref="Y966">_xlfn.IFS(H966=1,2,H966=3,1)</f>
      </c>
      <c r="Z966" s="4">
        <f t="shared" si="640"/>
      </c>
      <c r="AA966" s="4">
        <f t="shared" si="641"/>
      </c>
      <c r="AB966" s="4">
        <f t="shared" si="642"/>
      </c>
      <c r="AC966" s="4">
        <f t="shared" si="643"/>
      </c>
      <c r="AD966" s="4">
        <f t="shared" si="644"/>
      </c>
      <c r="AE966" s="4">
        <f t="shared" si="645"/>
      </c>
      <c r="AF966" s="4">
        <f t="shared" si="646"/>
      </c>
      <c r="AG966" s="4">
        <f t="shared" si="647"/>
        <v/>
      </c>
      <c r="AH966" s="4">
        <f t="shared" si="648"/>
      </c>
      <c r="AI966" s="4">
        <f t="shared" si="649"/>
      </c>
      <c r="AJ966" s="4">
        <f t="shared" si="650"/>
      </c>
      <c r="AK966" s="4">
        <f t="shared" si="651"/>
      </c>
      <c r="AL966" s="4">
        <f t="shared" si="652"/>
      </c>
      <c r="AM966" s="4">
        <f t="shared" si="653"/>
      </c>
      <c r="AN966" s="4"/>
      <c r="AO966" s="4">
        <f t="shared" si="654"/>
      </c>
      <c r="AP966" s="4">
        <f t="shared" si="655"/>
      </c>
      <c r="AQ966" s="4">
        <f t="shared" si="656"/>
        <v/>
      </c>
      <c r="AR966" s="4">
        <f t="shared" si="657"/>
      </c>
      <c r="AS966" s="4">
        <f t="shared" si="658"/>
      </c>
      <c r="AT966" s="4">
        <f t="shared" si="659"/>
      </c>
    </row>
    <row r="967" spans="1:46" x14ac:dyDescent="0.3">
      <c r="A967" s="5">
        <f t="shared" si="631"/>
      </c>
      <c r="B967" s="4">
        <f t="shared" si="632"/>
      </c>
      <c r="C967" s="59"/>
      <c r="D967" s="59"/>
      <c r="E967" s="70"/>
      <c r="F967" s="164"/>
      <c r="G967" s="164"/>
      <c r="H967" s="164"/>
      <c r="I967" s="70"/>
      <c r="J967" s="70"/>
      <c r="K967" s="70"/>
      <c r="L967" s="70"/>
      <c r="M967" s="4">
        <f t="shared" si="633"/>
      </c>
      <c r="N967" s="59"/>
      <c r="O967" s="164"/>
      <c r="P967" s="59">
        <f t="shared" si="634"/>
      </c>
      <c r="Q967" s="165"/>
      <c r="R967" s="59"/>
      <c r="S967" s="164"/>
      <c r="T967" s="5">
        <f t="shared" si="635"/>
      </c>
      <c r="U967" s="4">
        <f t="shared" si="636"/>
      </c>
      <c r="V967" s="4">
        <f t="shared" si="637"/>
      </c>
      <c r="W967" s="4">
        <f t="shared" si="638"/>
      </c>
      <c r="X967" s="4">
        <f t="shared" si="639"/>
      </c>
      <c r="Y967" s="4" cm="1">
        <f t="array" ref="Y967">_xlfn.IFS(H967=1,2,H967=3,1)</f>
      </c>
      <c r="Z967" s="4">
        <f t="shared" si="640"/>
      </c>
      <c r="AA967" s="4">
        <f t="shared" si="641"/>
      </c>
      <c r="AB967" s="4">
        <f t="shared" si="642"/>
      </c>
      <c r="AC967" s="4">
        <f t="shared" si="643"/>
      </c>
      <c r="AD967" s="4">
        <f t="shared" si="644"/>
      </c>
      <c r="AE967" s="4">
        <f t="shared" si="645"/>
      </c>
      <c r="AF967" s="4">
        <f t="shared" si="646"/>
      </c>
      <c r="AG967" s="4">
        <f t="shared" si="647"/>
        <v/>
      </c>
      <c r="AH967" s="4">
        <f t="shared" si="648"/>
      </c>
      <c r="AI967" s="4">
        <f t="shared" si="649"/>
      </c>
      <c r="AJ967" s="4">
        <f t="shared" si="650"/>
      </c>
      <c r="AK967" s="4">
        <f t="shared" si="651"/>
      </c>
      <c r="AL967" s="4">
        <f t="shared" si="652"/>
      </c>
      <c r="AM967" s="4">
        <f t="shared" si="653"/>
      </c>
      <c r="AN967" s="4"/>
      <c r="AO967" s="4">
        <f t="shared" si="654"/>
      </c>
      <c r="AP967" s="4">
        <f t="shared" si="655"/>
      </c>
      <c r="AQ967" s="4">
        <f t="shared" si="656"/>
        <v/>
      </c>
      <c r="AR967" s="4">
        <f t="shared" si="657"/>
      </c>
      <c r="AS967" s="4">
        <f t="shared" si="658"/>
      </c>
      <c r="AT967" s="4">
        <f t="shared" si="659"/>
      </c>
    </row>
    <row r="968" spans="1:46" x14ac:dyDescent="0.3">
      <c r="A968" s="5">
        <f t="shared" si="631"/>
      </c>
      <c r="B968" s="4">
        <f t="shared" si="632"/>
      </c>
      <c r="C968" s="59"/>
      <c r="D968" s="59"/>
      <c r="E968" s="70"/>
      <c r="F968" s="164"/>
      <c r="G968" s="164"/>
      <c r="H968" s="164"/>
      <c r="I968" s="70"/>
      <c r="J968" s="70"/>
      <c r="K968" s="70"/>
      <c r="L968" s="70"/>
      <c r="M968" s="4">
        <f t="shared" si="633"/>
      </c>
      <c r="N968" s="59"/>
      <c r="O968" s="164"/>
      <c r="P968" s="59">
        <f t="shared" si="634"/>
      </c>
      <c r="Q968" s="165"/>
      <c r="R968" s="59"/>
      <c r="S968" s="164"/>
      <c r="T968" s="5">
        <f t="shared" si="635"/>
      </c>
      <c r="U968" s="4">
        <f t="shared" si="636"/>
      </c>
      <c r="V968" s="4">
        <f t="shared" si="637"/>
      </c>
      <c r="W968" s="4">
        <f t="shared" si="638"/>
      </c>
      <c r="X968" s="4">
        <f t="shared" si="639"/>
      </c>
      <c r="Y968" s="4" cm="1">
        <f t="array" ref="Y968">_xlfn.IFS(H968=1,2,H968=3,1)</f>
      </c>
      <c r="Z968" s="4">
        <f t="shared" si="640"/>
      </c>
      <c r="AA968" s="4">
        <f t="shared" si="641"/>
      </c>
      <c r="AB968" s="4">
        <f t="shared" si="642"/>
      </c>
      <c r="AC968" s="4">
        <f t="shared" si="643"/>
      </c>
      <c r="AD968" s="4">
        <f t="shared" si="644"/>
      </c>
      <c r="AE968" s="4">
        <f t="shared" si="645"/>
      </c>
      <c r="AF968" s="4">
        <f t="shared" si="646"/>
      </c>
      <c r="AG968" s="4">
        <f t="shared" si="647"/>
        <v/>
      </c>
      <c r="AH968" s="4">
        <f t="shared" si="648"/>
      </c>
      <c r="AI968" s="4">
        <f t="shared" si="649"/>
      </c>
      <c r="AJ968" s="4">
        <f t="shared" si="650"/>
      </c>
      <c r="AK968" s="4">
        <f t="shared" si="651"/>
      </c>
      <c r="AL968" s="4">
        <f t="shared" si="652"/>
      </c>
      <c r="AM968" s="4">
        <f t="shared" si="653"/>
      </c>
      <c r="AN968" s="4"/>
      <c r="AO968" s="4">
        <f t="shared" si="654"/>
      </c>
      <c r="AP968" s="4">
        <f t="shared" si="655"/>
      </c>
      <c r="AQ968" s="4">
        <f t="shared" si="656"/>
        <v/>
      </c>
      <c r="AR968" s="4">
        <f t="shared" si="657"/>
      </c>
      <c r="AS968" s="4">
        <f t="shared" si="658"/>
      </c>
      <c r="AT968" s="4">
        <f t="shared" si="659"/>
      </c>
    </row>
    <row r="969" spans="1:46" x14ac:dyDescent="0.3">
      <c r="A969" s="5">
        <f t="shared" si="631"/>
      </c>
      <c r="B969" s="4">
        <f t="shared" si="632"/>
      </c>
      <c r="C969" s="59"/>
      <c r="D969" s="59"/>
      <c r="E969" s="70"/>
      <c r="F969" s="164"/>
      <c r="G969" s="164"/>
      <c r="H969" s="164"/>
      <c r="I969" s="70"/>
      <c r="J969" s="70"/>
      <c r="K969" s="70"/>
      <c r="L969" s="70"/>
      <c r="M969" s="4">
        <f t="shared" si="633"/>
      </c>
      <c r="N969" s="59"/>
      <c r="O969" s="164"/>
      <c r="P969" s="59">
        <f t="shared" si="634"/>
      </c>
      <c r="Q969" s="165"/>
      <c r="R969" s="59"/>
      <c r="S969" s="164"/>
      <c r="T969" s="5">
        <f t="shared" si="635"/>
      </c>
      <c r="U969" s="4">
        <f t="shared" si="636"/>
      </c>
      <c r="V969" s="4">
        <f t="shared" si="637"/>
      </c>
      <c r="W969" s="4">
        <f t="shared" si="638"/>
      </c>
      <c r="X969" s="4">
        <f t="shared" si="639"/>
      </c>
      <c r="Y969" s="4" cm="1">
        <f t="array" ref="Y969">_xlfn.IFS(H969=1,2,H969=3,1)</f>
      </c>
      <c r="Z969" s="4">
        <f t="shared" si="640"/>
      </c>
      <c r="AA969" s="4">
        <f t="shared" si="641"/>
      </c>
      <c r="AB969" s="4">
        <f t="shared" si="642"/>
      </c>
      <c r="AC969" s="4">
        <f t="shared" si="643"/>
      </c>
      <c r="AD969" s="4">
        <f t="shared" si="644"/>
      </c>
      <c r="AE969" s="4">
        <f t="shared" si="645"/>
      </c>
      <c r="AF969" s="4">
        <f t="shared" si="646"/>
      </c>
      <c r="AG969" s="4">
        <f t="shared" si="647"/>
        <v/>
      </c>
      <c r="AH969" s="4">
        <f t="shared" si="648"/>
      </c>
      <c r="AI969" s="4">
        <f t="shared" si="649"/>
      </c>
      <c r="AJ969" s="4">
        <f t="shared" si="650"/>
      </c>
      <c r="AK969" s="4">
        <f t="shared" si="651"/>
      </c>
      <c r="AL969" s="4">
        <f t="shared" si="652"/>
      </c>
      <c r="AM969" s="4">
        <f t="shared" si="653"/>
      </c>
      <c r="AN969" s="4"/>
      <c r="AO969" s="4">
        <f t="shared" si="654"/>
      </c>
      <c r="AP969" s="4">
        <f t="shared" si="655"/>
      </c>
      <c r="AQ969" s="4">
        <f t="shared" si="656"/>
        <v/>
      </c>
      <c r="AR969" s="4">
        <f t="shared" si="657"/>
      </c>
      <c r="AS969" s="4">
        <f t="shared" si="658"/>
      </c>
      <c r="AT969" s="4">
        <f t="shared" si="659"/>
      </c>
    </row>
    <row r="970" spans="1:46" x14ac:dyDescent="0.3">
      <c r="A970" s="5">
        <f t="shared" si="631"/>
      </c>
      <c r="B970" s="4">
        <f t="shared" si="632"/>
      </c>
      <c r="C970" s="59"/>
      <c r="D970" s="59"/>
      <c r="E970" s="70"/>
      <c r="F970" s="164"/>
      <c r="G970" s="164"/>
      <c r="H970" s="164"/>
      <c r="I970" s="70"/>
      <c r="J970" s="70"/>
      <c r="K970" s="70"/>
      <c r="L970" s="70"/>
      <c r="M970" s="4">
        <f t="shared" si="633"/>
      </c>
      <c r="N970" s="59"/>
      <c r="O970" s="164"/>
      <c r="P970" s="59">
        <f t="shared" si="634"/>
      </c>
      <c r="Q970" s="165"/>
      <c r="R970" s="59"/>
      <c r="S970" s="164"/>
      <c r="T970" s="5">
        <f t="shared" si="635"/>
      </c>
      <c r="U970" s="4">
        <f t="shared" si="636"/>
      </c>
      <c r="V970" s="4">
        <f t="shared" si="637"/>
      </c>
      <c r="W970" s="4">
        <f t="shared" si="638"/>
      </c>
      <c r="X970" s="4">
        <f t="shared" si="639"/>
      </c>
      <c r="Y970" s="4" cm="1">
        <f t="array" ref="Y970">_xlfn.IFS(H970=1,2,H970=3,1)</f>
      </c>
      <c r="Z970" s="4">
        <f t="shared" si="640"/>
      </c>
      <c r="AA970" s="4">
        <f t="shared" si="641"/>
      </c>
      <c r="AB970" s="4">
        <f t="shared" si="642"/>
      </c>
      <c r="AC970" s="4">
        <f t="shared" si="643"/>
      </c>
      <c r="AD970" s="4">
        <f t="shared" si="644"/>
      </c>
      <c r="AE970" s="4">
        <f t="shared" si="645"/>
      </c>
      <c r="AF970" s="4">
        <f t="shared" si="646"/>
      </c>
      <c r="AG970" s="4">
        <f t="shared" si="647"/>
        <v/>
      </c>
      <c r="AH970" s="4">
        <f t="shared" si="648"/>
      </c>
      <c r="AI970" s="4">
        <f t="shared" si="649"/>
      </c>
      <c r="AJ970" s="4">
        <f t="shared" si="650"/>
      </c>
      <c r="AK970" s="4">
        <f t="shared" si="651"/>
      </c>
      <c r="AL970" s="4">
        <f t="shared" si="652"/>
      </c>
      <c r="AM970" s="4">
        <f t="shared" si="653"/>
      </c>
      <c r="AN970" s="4"/>
      <c r="AO970" s="4">
        <f t="shared" si="654"/>
      </c>
      <c r="AP970" s="4">
        <f t="shared" si="655"/>
      </c>
      <c r="AQ970" s="4">
        <f t="shared" si="656"/>
        <v/>
      </c>
      <c r="AR970" s="4">
        <f t="shared" si="657"/>
      </c>
      <c r="AS970" s="4">
        <f t="shared" si="658"/>
      </c>
      <c r="AT970" s="4">
        <f t="shared" si="659"/>
      </c>
    </row>
    <row r="971" spans="1:46" x14ac:dyDescent="0.3">
      <c r="A971" s="5">
        <f t="shared" si="631"/>
      </c>
      <c r="B971" s="4">
        <f t="shared" si="632"/>
      </c>
      <c r="C971" s="59"/>
      <c r="D971" s="59"/>
      <c r="E971" s="70"/>
      <c r="F971" s="164"/>
      <c r="G971" s="164"/>
      <c r="H971" s="164"/>
      <c r="I971" s="70"/>
      <c r="J971" s="70"/>
      <c r="K971" s="70"/>
      <c r="L971" s="70"/>
      <c r="M971" s="4">
        <f t="shared" si="633"/>
      </c>
      <c r="N971" s="59"/>
      <c r="O971" s="164"/>
      <c r="P971" s="59">
        <f t="shared" si="634"/>
      </c>
      <c r="Q971" s="165"/>
      <c r="R971" s="59"/>
      <c r="S971" s="164"/>
      <c r="T971" s="5">
        <f t="shared" si="635"/>
      </c>
      <c r="U971" s="4">
        <f t="shared" si="636"/>
      </c>
      <c r="V971" s="4">
        <f t="shared" si="637"/>
      </c>
      <c r="W971" s="4">
        <f t="shared" si="638"/>
      </c>
      <c r="X971" s="4">
        <f t="shared" si="639"/>
      </c>
      <c r="Y971" s="4" cm="1">
        <f t="array" ref="Y971">_xlfn.IFS(H971=1,2,H971=3,1)</f>
      </c>
      <c r="Z971" s="4">
        <f t="shared" si="640"/>
      </c>
      <c r="AA971" s="4">
        <f t="shared" si="641"/>
      </c>
      <c r="AB971" s="4">
        <f t="shared" si="642"/>
      </c>
      <c r="AC971" s="4">
        <f t="shared" si="643"/>
      </c>
      <c r="AD971" s="4">
        <f t="shared" si="644"/>
      </c>
      <c r="AE971" s="4">
        <f t="shared" si="645"/>
      </c>
      <c r="AF971" s="4">
        <f t="shared" si="646"/>
      </c>
      <c r="AG971" s="4">
        <f t="shared" si="647"/>
        <v/>
      </c>
      <c r="AH971" s="4">
        <f t="shared" si="648"/>
      </c>
      <c r="AI971" s="4">
        <f t="shared" si="649"/>
      </c>
      <c r="AJ971" s="4">
        <f t="shared" si="650"/>
      </c>
      <c r="AK971" s="4">
        <f t="shared" si="651"/>
      </c>
      <c r="AL971" s="4">
        <f t="shared" si="652"/>
      </c>
      <c r="AM971" s="4">
        <f t="shared" si="653"/>
      </c>
      <c r="AN971" s="4"/>
      <c r="AO971" s="4">
        <f t="shared" si="654"/>
      </c>
      <c r="AP971" s="4">
        <f t="shared" si="655"/>
      </c>
      <c r="AQ971" s="4">
        <f t="shared" si="656"/>
        <v/>
      </c>
      <c r="AR971" s="4">
        <f t="shared" si="657"/>
      </c>
      <c r="AS971" s="4">
        <f t="shared" si="658"/>
      </c>
      <c r="AT971" s="4">
        <f t="shared" si="659"/>
      </c>
    </row>
    <row r="972" spans="1:46" x14ac:dyDescent="0.3">
      <c r="A972" s="5">
        <f t="shared" si="631"/>
      </c>
      <c r="B972" s="4">
        <f t="shared" si="632"/>
      </c>
      <c r="C972" s="59"/>
      <c r="D972" s="59"/>
      <c r="E972" s="70"/>
      <c r="F972" s="164"/>
      <c r="G972" s="164"/>
      <c r="H972" s="164"/>
      <c r="I972" s="70"/>
      <c r="J972" s="70"/>
      <c r="K972" s="70"/>
      <c r="L972" s="70"/>
      <c r="M972" s="4">
        <f t="shared" si="633"/>
      </c>
      <c r="N972" s="59"/>
      <c r="O972" s="164"/>
      <c r="P972" s="59">
        <f t="shared" si="634"/>
      </c>
      <c r="Q972" s="165"/>
      <c r="R972" s="59"/>
      <c r="S972" s="164"/>
      <c r="T972" s="5">
        <f t="shared" si="635"/>
      </c>
      <c r="U972" s="4">
        <f t="shared" si="636"/>
      </c>
      <c r="V972" s="4">
        <f t="shared" si="637"/>
      </c>
      <c r="W972" s="4">
        <f t="shared" si="638"/>
      </c>
      <c r="X972" s="4">
        <f t="shared" si="639"/>
      </c>
      <c r="Y972" s="4" cm="1">
        <f t="array" ref="Y972">_xlfn.IFS(H972=1,2,H972=3,1)</f>
      </c>
      <c r="Z972" s="4">
        <f t="shared" si="640"/>
      </c>
      <c r="AA972" s="4">
        <f t="shared" si="641"/>
      </c>
      <c r="AB972" s="4">
        <f t="shared" si="642"/>
      </c>
      <c r="AC972" s="4">
        <f t="shared" si="643"/>
      </c>
      <c r="AD972" s="4">
        <f t="shared" si="644"/>
      </c>
      <c r="AE972" s="4">
        <f t="shared" si="645"/>
      </c>
      <c r="AF972" s="4">
        <f t="shared" si="646"/>
      </c>
      <c r="AG972" s="4">
        <f t="shared" si="647"/>
        <v/>
      </c>
      <c r="AH972" s="4">
        <f t="shared" si="648"/>
      </c>
      <c r="AI972" s="4">
        <f t="shared" si="649"/>
      </c>
      <c r="AJ972" s="4">
        <f t="shared" si="650"/>
      </c>
      <c r="AK972" s="4">
        <f t="shared" si="651"/>
      </c>
      <c r="AL972" s="4">
        <f t="shared" si="652"/>
      </c>
      <c r="AM972" s="4">
        <f t="shared" si="653"/>
      </c>
      <c r="AN972" s="4"/>
      <c r="AO972" s="4">
        <f t="shared" si="654"/>
      </c>
      <c r="AP972" s="4">
        <f t="shared" si="655"/>
      </c>
      <c r="AQ972" s="4">
        <f t="shared" si="656"/>
        <v/>
      </c>
      <c r="AR972" s="4">
        <f t="shared" si="657"/>
      </c>
      <c r="AS972" s="4">
        <f t="shared" si="658"/>
      </c>
      <c r="AT972" s="4">
        <f t="shared" si="659"/>
      </c>
    </row>
    <row r="973" spans="1:46" x14ac:dyDescent="0.3">
      <c r="A973" s="5">
        <f t="shared" si="631"/>
      </c>
      <c r="B973" s="4">
        <f t="shared" si="632"/>
      </c>
      <c r="C973" s="59"/>
      <c r="D973" s="59"/>
      <c r="E973" s="70"/>
      <c r="F973" s="164"/>
      <c r="G973" s="164"/>
      <c r="H973" s="164"/>
      <c r="I973" s="70"/>
      <c r="J973" s="70"/>
      <c r="K973" s="70"/>
      <c r="L973" s="70"/>
      <c r="M973" s="4">
        <f t="shared" si="633"/>
      </c>
      <c r="N973" s="59"/>
      <c r="O973" s="164"/>
      <c r="P973" s="59">
        <f t="shared" si="634"/>
      </c>
      <c r="Q973" s="165"/>
      <c r="R973" s="59"/>
      <c r="S973" s="164"/>
      <c r="T973" s="5">
        <f t="shared" si="635"/>
      </c>
      <c r="U973" s="4">
        <f t="shared" si="636"/>
      </c>
      <c r="V973" s="4">
        <f t="shared" si="637"/>
      </c>
      <c r="W973" s="4">
        <f t="shared" si="638"/>
      </c>
      <c r="X973" s="4">
        <f t="shared" si="639"/>
      </c>
      <c r="Y973" s="4" cm="1">
        <f t="array" ref="Y973">_xlfn.IFS(H973=1,2,H973=3,1)</f>
      </c>
      <c r="Z973" s="4">
        <f t="shared" si="640"/>
      </c>
      <c r="AA973" s="4">
        <f t="shared" si="641"/>
      </c>
      <c r="AB973" s="4">
        <f t="shared" si="642"/>
      </c>
      <c r="AC973" s="4">
        <f t="shared" si="643"/>
      </c>
      <c r="AD973" s="4">
        <f t="shared" si="644"/>
      </c>
      <c r="AE973" s="4">
        <f t="shared" si="645"/>
      </c>
      <c r="AF973" s="4">
        <f t="shared" si="646"/>
      </c>
      <c r="AG973" s="4">
        <f t="shared" si="647"/>
        <v/>
      </c>
      <c r="AH973" s="4">
        <f t="shared" si="648"/>
      </c>
      <c r="AI973" s="4">
        <f t="shared" si="649"/>
      </c>
      <c r="AJ973" s="4">
        <f t="shared" si="650"/>
      </c>
      <c r="AK973" s="4">
        <f t="shared" si="651"/>
      </c>
      <c r="AL973" s="4">
        <f t="shared" si="652"/>
      </c>
      <c r="AM973" s="4">
        <f t="shared" si="653"/>
      </c>
      <c r="AN973" s="4"/>
      <c r="AO973" s="4">
        <f t="shared" si="654"/>
      </c>
      <c r="AP973" s="4">
        <f t="shared" si="655"/>
      </c>
      <c r="AQ973" s="4">
        <f t="shared" si="656"/>
        <v/>
      </c>
      <c r="AR973" s="4">
        <f t="shared" si="657"/>
      </c>
      <c r="AS973" s="4">
        <f t="shared" si="658"/>
      </c>
      <c r="AT973" s="4">
        <f t="shared" si="659"/>
      </c>
    </row>
    <row r="974" spans="1:46" x14ac:dyDescent="0.3">
      <c r="A974" s="5">
        <f t="shared" si="631"/>
      </c>
      <c r="B974" s="4">
        <f t="shared" si="632"/>
      </c>
      <c r="C974" s="59"/>
      <c r="D974" s="59"/>
      <c r="E974" s="70"/>
      <c r="F974" s="164"/>
      <c r="G974" s="164"/>
      <c r="H974" s="164"/>
      <c r="I974" s="70"/>
      <c r="J974" s="70"/>
      <c r="K974" s="70"/>
      <c r="L974" s="70"/>
      <c r="M974" s="4">
        <f t="shared" si="633"/>
      </c>
      <c r="N974" s="59"/>
      <c r="O974" s="164"/>
      <c r="P974" s="59">
        <f t="shared" si="634"/>
      </c>
      <c r="Q974" s="165"/>
      <c r="R974" s="59"/>
      <c r="S974" s="164"/>
      <c r="T974" s="5">
        <f t="shared" si="635"/>
      </c>
      <c r="U974" s="4">
        <f t="shared" si="636"/>
      </c>
      <c r="V974" s="4">
        <f t="shared" si="637"/>
      </c>
      <c r="W974" s="4">
        <f t="shared" si="638"/>
      </c>
      <c r="X974" s="4">
        <f t="shared" si="639"/>
      </c>
      <c r="Y974" s="4" cm="1">
        <f t="array" ref="Y974">_xlfn.IFS(H974=1,2,H974=3,1)</f>
      </c>
      <c r="Z974" s="4">
        <f t="shared" si="640"/>
      </c>
      <c r="AA974" s="4">
        <f t="shared" si="641"/>
      </c>
      <c r="AB974" s="4">
        <f t="shared" si="642"/>
      </c>
      <c r="AC974" s="4">
        <f t="shared" si="643"/>
      </c>
      <c r="AD974" s="4">
        <f t="shared" si="644"/>
      </c>
      <c r="AE974" s="4">
        <f t="shared" si="645"/>
      </c>
      <c r="AF974" s="4">
        <f t="shared" si="646"/>
      </c>
      <c r="AG974" s="4">
        <f t="shared" si="647"/>
        <v/>
      </c>
      <c r="AH974" s="4">
        <f t="shared" si="648"/>
      </c>
      <c r="AI974" s="4">
        <f t="shared" si="649"/>
      </c>
      <c r="AJ974" s="4">
        <f t="shared" si="650"/>
      </c>
      <c r="AK974" s="4">
        <f t="shared" si="651"/>
      </c>
      <c r="AL974" s="4">
        <f t="shared" si="652"/>
      </c>
      <c r="AM974" s="4">
        <f t="shared" si="653"/>
      </c>
      <c r="AN974" s="4"/>
      <c r="AO974" s="4">
        <f t="shared" si="654"/>
      </c>
      <c r="AP974" s="4">
        <f t="shared" si="655"/>
      </c>
      <c r="AQ974" s="4">
        <f t="shared" si="656"/>
        <v/>
      </c>
      <c r="AR974" s="4">
        <f t="shared" si="657"/>
      </c>
      <c r="AS974" s="4">
        <f t="shared" si="658"/>
      </c>
      <c r="AT974" s="4">
        <f t="shared" si="659"/>
      </c>
    </row>
    <row r="975" spans="1:46" x14ac:dyDescent="0.3">
      <c r="A975" s="5">
        <f t="shared" si="631"/>
      </c>
      <c r="B975" s="4">
        <f t="shared" si="632"/>
      </c>
      <c r="C975" s="59"/>
      <c r="D975" s="59"/>
      <c r="E975" s="70"/>
      <c r="F975" s="164"/>
      <c r="G975" s="164"/>
      <c r="H975" s="164"/>
      <c r="I975" s="70"/>
      <c r="J975" s="70"/>
      <c r="K975" s="70"/>
      <c r="L975" s="70"/>
      <c r="M975" s="4">
        <f t="shared" si="633"/>
      </c>
      <c r="N975" s="59"/>
      <c r="O975" s="164"/>
      <c r="P975" s="59">
        <f t="shared" si="634"/>
      </c>
      <c r="Q975" s="165"/>
      <c r="R975" s="59"/>
      <c r="S975" s="164"/>
      <c r="T975" s="5">
        <f t="shared" si="635"/>
      </c>
      <c r="U975" s="4">
        <f t="shared" si="636"/>
      </c>
      <c r="V975" s="4">
        <f t="shared" si="637"/>
      </c>
      <c r="W975" s="4">
        <f t="shared" si="638"/>
      </c>
      <c r="X975" s="4">
        <f t="shared" si="639"/>
      </c>
      <c r="Y975" s="4" cm="1">
        <f t="array" ref="Y975">_xlfn.IFS(H975=1,2,H975=3,1)</f>
      </c>
      <c r="Z975" s="4">
        <f t="shared" si="640"/>
      </c>
      <c r="AA975" s="4">
        <f t="shared" si="641"/>
      </c>
      <c r="AB975" s="4">
        <f t="shared" si="642"/>
      </c>
      <c r="AC975" s="4">
        <f t="shared" si="643"/>
      </c>
      <c r="AD975" s="4">
        <f t="shared" si="644"/>
      </c>
      <c r="AE975" s="4">
        <f t="shared" si="645"/>
      </c>
      <c r="AF975" s="4">
        <f t="shared" si="646"/>
      </c>
      <c r="AG975" s="4">
        <f t="shared" si="647"/>
        <v/>
      </c>
      <c r="AH975" s="4">
        <f t="shared" si="648"/>
      </c>
      <c r="AI975" s="4">
        <f t="shared" si="649"/>
      </c>
      <c r="AJ975" s="4">
        <f t="shared" si="650"/>
      </c>
      <c r="AK975" s="4">
        <f t="shared" si="651"/>
      </c>
      <c r="AL975" s="4">
        <f t="shared" si="652"/>
      </c>
      <c r="AM975" s="4">
        <f t="shared" si="653"/>
      </c>
      <c r="AN975" s="4"/>
      <c r="AO975" s="4">
        <f t="shared" si="654"/>
      </c>
      <c r="AP975" s="4">
        <f t="shared" si="655"/>
      </c>
      <c r="AQ975" s="4">
        <f t="shared" si="656"/>
        <v/>
      </c>
      <c r="AR975" s="4">
        <f t="shared" si="657"/>
      </c>
      <c r="AS975" s="4">
        <f t="shared" si="658"/>
      </c>
      <c r="AT975" s="4">
        <f t="shared" si="659"/>
      </c>
    </row>
    <row r="976" spans="1:46" x14ac:dyDescent="0.3">
      <c r="A976" s="5">
        <f t="shared" si="631"/>
      </c>
      <c r="B976" s="4">
        <f t="shared" si="632"/>
      </c>
      <c r="C976" s="59"/>
      <c r="D976" s="59"/>
      <c r="E976" s="70"/>
      <c r="F976" s="164"/>
      <c r="G976" s="164"/>
      <c r="H976" s="164"/>
      <c r="I976" s="70"/>
      <c r="J976" s="70"/>
      <c r="K976" s="70"/>
      <c r="L976" s="70"/>
      <c r="M976" s="4">
        <f t="shared" si="633"/>
      </c>
      <c r="N976" s="59"/>
      <c r="O976" s="164"/>
      <c r="P976" s="59">
        <f t="shared" si="634"/>
      </c>
      <c r="Q976" s="165"/>
      <c r="R976" s="59"/>
      <c r="S976" s="164"/>
      <c r="T976" s="5">
        <f t="shared" si="635"/>
      </c>
      <c r="U976" s="4">
        <f t="shared" si="636"/>
      </c>
      <c r="V976" s="4">
        <f t="shared" si="637"/>
      </c>
      <c r="W976" s="4">
        <f t="shared" si="638"/>
      </c>
      <c r="X976" s="4">
        <f t="shared" si="639"/>
      </c>
      <c r="Y976" s="4" cm="1">
        <f t="array" ref="Y976">_xlfn.IFS(H976=1,2,H976=3,1)</f>
      </c>
      <c r="Z976" s="4">
        <f t="shared" si="640"/>
      </c>
      <c r="AA976" s="4">
        <f t="shared" si="641"/>
      </c>
      <c r="AB976" s="4">
        <f t="shared" si="642"/>
      </c>
      <c r="AC976" s="4">
        <f t="shared" si="643"/>
      </c>
      <c r="AD976" s="4">
        <f t="shared" si="644"/>
      </c>
      <c r="AE976" s="4">
        <f t="shared" si="645"/>
      </c>
      <c r="AF976" s="4">
        <f t="shared" si="646"/>
      </c>
      <c r="AG976" s="4">
        <f t="shared" si="647"/>
        <v/>
      </c>
      <c r="AH976" s="4">
        <f t="shared" si="648"/>
      </c>
      <c r="AI976" s="4">
        <f t="shared" si="649"/>
      </c>
      <c r="AJ976" s="4">
        <f t="shared" si="650"/>
      </c>
      <c r="AK976" s="4">
        <f t="shared" si="651"/>
      </c>
      <c r="AL976" s="4">
        <f t="shared" si="652"/>
      </c>
      <c r="AM976" s="4">
        <f t="shared" si="653"/>
      </c>
      <c r="AN976" s="4"/>
      <c r="AO976" s="4">
        <f t="shared" si="654"/>
      </c>
      <c r="AP976" s="4">
        <f t="shared" si="655"/>
      </c>
      <c r="AQ976" s="4">
        <f t="shared" si="656"/>
        <v/>
      </c>
      <c r="AR976" s="4">
        <f t="shared" si="657"/>
      </c>
      <c r="AS976" s="4">
        <f t="shared" si="658"/>
      </c>
      <c r="AT976" s="4">
        <f t="shared" si="659"/>
      </c>
    </row>
    <row r="977" spans="1:46" x14ac:dyDescent="0.3">
      <c r="A977" s="5">
        <f t="shared" si="631"/>
      </c>
      <c r="B977" s="4">
        <f t="shared" si="632"/>
      </c>
      <c r="C977" s="59"/>
      <c r="D977" s="59"/>
      <c r="E977" s="70"/>
      <c r="F977" s="164"/>
      <c r="G977" s="164"/>
      <c r="H977" s="164"/>
      <c r="I977" s="70"/>
      <c r="J977" s="70"/>
      <c r="K977" s="70"/>
      <c r="L977" s="70"/>
      <c r="M977" s="4">
        <f t="shared" si="633"/>
      </c>
      <c r="N977" s="59"/>
      <c r="O977" s="164"/>
      <c r="P977" s="59">
        <f t="shared" si="634"/>
      </c>
      <c r="Q977" s="165"/>
      <c r="R977" s="59"/>
      <c r="S977" s="164"/>
      <c r="T977" s="5">
        <f t="shared" si="635"/>
      </c>
      <c r="U977" s="4">
        <f t="shared" si="636"/>
      </c>
      <c r="V977" s="4">
        <f t="shared" si="637"/>
      </c>
      <c r="W977" s="4">
        <f t="shared" si="638"/>
      </c>
      <c r="X977" s="4">
        <f t="shared" si="639"/>
      </c>
      <c r="Y977" s="4" cm="1">
        <f t="array" ref="Y977">_xlfn.IFS(H977=1,2,H977=3,1)</f>
      </c>
      <c r="Z977" s="4">
        <f t="shared" si="640"/>
      </c>
      <c r="AA977" s="4">
        <f t="shared" si="641"/>
      </c>
      <c r="AB977" s="4">
        <f t="shared" si="642"/>
      </c>
      <c r="AC977" s="4">
        <f t="shared" si="643"/>
      </c>
      <c r="AD977" s="4">
        <f t="shared" si="644"/>
      </c>
      <c r="AE977" s="4">
        <f t="shared" si="645"/>
      </c>
      <c r="AF977" s="4">
        <f t="shared" si="646"/>
      </c>
      <c r="AG977" s="4">
        <f t="shared" si="647"/>
        <v/>
      </c>
      <c r="AH977" s="4">
        <f t="shared" si="648"/>
      </c>
      <c r="AI977" s="4">
        <f t="shared" si="649"/>
      </c>
      <c r="AJ977" s="4">
        <f t="shared" si="650"/>
      </c>
      <c r="AK977" s="4">
        <f t="shared" si="651"/>
      </c>
      <c r="AL977" s="4">
        <f t="shared" si="652"/>
      </c>
      <c r="AM977" s="4">
        <f t="shared" si="653"/>
      </c>
      <c r="AN977" s="4"/>
      <c r="AO977" s="4">
        <f t="shared" si="654"/>
      </c>
      <c r="AP977" s="4">
        <f t="shared" si="655"/>
      </c>
      <c r="AQ977" s="4">
        <f t="shared" si="656"/>
        <v/>
      </c>
      <c r="AR977" s="4">
        <f t="shared" si="657"/>
      </c>
      <c r="AS977" s="4">
        <f t="shared" si="658"/>
      </c>
      <c r="AT977" s="4">
        <f t="shared" si="659"/>
      </c>
    </row>
    <row r="978" spans="1:46" x14ac:dyDescent="0.3">
      <c r="A978" s="5">
        <f t="shared" si="631"/>
      </c>
      <c r="B978" s="4">
        <f t="shared" si="632"/>
      </c>
      <c r="C978" s="59"/>
      <c r="D978" s="59"/>
      <c r="E978" s="70"/>
      <c r="F978" s="164"/>
      <c r="G978" s="164"/>
      <c r="H978" s="164"/>
      <c r="I978" s="70"/>
      <c r="J978" s="70"/>
      <c r="K978" s="70"/>
      <c r="L978" s="70"/>
      <c r="M978" s="4">
        <f t="shared" si="633"/>
      </c>
      <c r="N978" s="59"/>
      <c r="O978" s="164"/>
      <c r="P978" s="59">
        <f t="shared" si="634"/>
      </c>
      <c r="Q978" s="165"/>
      <c r="R978" s="59"/>
      <c r="S978" s="164"/>
      <c r="T978" s="5">
        <f t="shared" si="635"/>
      </c>
      <c r="U978" s="4">
        <f t="shared" si="636"/>
      </c>
      <c r="V978" s="4">
        <f t="shared" si="637"/>
      </c>
      <c r="W978" s="4">
        <f t="shared" si="638"/>
      </c>
      <c r="X978" s="4">
        <f t="shared" si="639"/>
      </c>
      <c r="Y978" s="4" cm="1">
        <f t="array" ref="Y978">_xlfn.IFS(H978=1,2,H978=3,1)</f>
      </c>
      <c r="Z978" s="4">
        <f t="shared" si="640"/>
      </c>
      <c r="AA978" s="4">
        <f t="shared" si="641"/>
      </c>
      <c r="AB978" s="4">
        <f t="shared" si="642"/>
      </c>
      <c r="AC978" s="4">
        <f t="shared" si="643"/>
      </c>
      <c r="AD978" s="4">
        <f t="shared" si="644"/>
      </c>
      <c r="AE978" s="4">
        <f t="shared" si="645"/>
      </c>
      <c r="AF978" s="4">
        <f t="shared" si="646"/>
      </c>
      <c r="AG978" s="4">
        <f t="shared" si="647"/>
        <v/>
      </c>
      <c r="AH978" s="4">
        <f t="shared" si="648"/>
      </c>
      <c r="AI978" s="4">
        <f t="shared" si="649"/>
      </c>
      <c r="AJ978" s="4">
        <f t="shared" si="650"/>
      </c>
      <c r="AK978" s="4">
        <f t="shared" si="651"/>
      </c>
      <c r="AL978" s="4">
        <f t="shared" si="652"/>
      </c>
      <c r="AM978" s="4">
        <f t="shared" si="653"/>
      </c>
      <c r="AN978" s="4"/>
      <c r="AO978" s="4">
        <f t="shared" si="654"/>
      </c>
      <c r="AP978" s="4">
        <f t="shared" si="655"/>
      </c>
      <c r="AQ978" s="4">
        <f t="shared" si="656"/>
        <v/>
      </c>
      <c r="AR978" s="4">
        <f t="shared" si="657"/>
      </c>
      <c r="AS978" s="4">
        <f t="shared" si="658"/>
      </c>
      <c r="AT978" s="4">
        <f t="shared" si="659"/>
      </c>
    </row>
    <row r="979" spans="1:46" x14ac:dyDescent="0.3">
      <c r="A979" s="5">
        <f t="shared" si="631"/>
      </c>
      <c r="B979" s="4">
        <f t="shared" si="632"/>
      </c>
      <c r="C979" s="59"/>
      <c r="D979" s="59"/>
      <c r="E979" s="70"/>
      <c r="F979" s="164"/>
      <c r="G979" s="164"/>
      <c r="H979" s="164"/>
      <c r="I979" s="70"/>
      <c r="J979" s="70"/>
      <c r="K979" s="70"/>
      <c r="L979" s="70"/>
      <c r="M979" s="4">
        <f t="shared" si="633"/>
      </c>
      <c r="N979" s="59"/>
      <c r="O979" s="164"/>
      <c r="P979" s="59">
        <f t="shared" si="634"/>
      </c>
      <c r="Q979" s="165"/>
      <c r="R979" s="59"/>
      <c r="S979" s="164"/>
      <c r="T979" s="5">
        <f t="shared" si="635"/>
      </c>
      <c r="U979" s="4">
        <f t="shared" si="636"/>
      </c>
      <c r="V979" s="4">
        <f t="shared" si="637"/>
      </c>
      <c r="W979" s="4">
        <f t="shared" si="638"/>
      </c>
      <c r="X979" s="4">
        <f t="shared" si="639"/>
      </c>
      <c r="Y979" s="4" cm="1">
        <f t="array" ref="Y979">_xlfn.IFS(H979=1,2,H979=3,1)</f>
      </c>
      <c r="Z979" s="4">
        <f t="shared" si="640"/>
      </c>
      <c r="AA979" s="4">
        <f t="shared" si="641"/>
      </c>
      <c r="AB979" s="4">
        <f t="shared" si="642"/>
      </c>
      <c r="AC979" s="4">
        <f t="shared" si="643"/>
      </c>
      <c r="AD979" s="4">
        <f t="shared" si="644"/>
      </c>
      <c r="AE979" s="4">
        <f t="shared" si="645"/>
      </c>
      <c r="AF979" s="4">
        <f t="shared" si="646"/>
      </c>
      <c r="AG979" s="4">
        <f t="shared" si="647"/>
        <v/>
      </c>
      <c r="AH979" s="4">
        <f t="shared" si="648"/>
      </c>
      <c r="AI979" s="4">
        <f t="shared" si="649"/>
      </c>
      <c r="AJ979" s="4">
        <f t="shared" si="650"/>
      </c>
      <c r="AK979" s="4">
        <f t="shared" si="651"/>
      </c>
      <c r="AL979" s="4">
        <f t="shared" si="652"/>
      </c>
      <c r="AM979" s="4">
        <f t="shared" si="653"/>
      </c>
      <c r="AN979" s="4"/>
      <c r="AO979" s="4">
        <f t="shared" si="654"/>
      </c>
      <c r="AP979" s="4">
        <f t="shared" si="655"/>
      </c>
      <c r="AQ979" s="4">
        <f t="shared" si="656"/>
        <v/>
      </c>
      <c r="AR979" s="4">
        <f t="shared" si="657"/>
      </c>
      <c r="AS979" s="4">
        <f t="shared" si="658"/>
      </c>
      <c r="AT979" s="4">
        <f t="shared" si="659"/>
      </c>
    </row>
    <row r="980" spans="1:46" x14ac:dyDescent="0.3">
      <c r="A980" s="5">
        <f t="shared" si="631"/>
      </c>
      <c r="B980" s="4">
        <f t="shared" si="632"/>
      </c>
      <c r="C980" s="59"/>
      <c r="D980" s="59"/>
      <c r="E980" s="70"/>
      <c r="F980" s="164"/>
      <c r="G980" s="164"/>
      <c r="H980" s="164"/>
      <c r="I980" s="70"/>
      <c r="J980" s="70"/>
      <c r="K980" s="70"/>
      <c r="L980" s="70"/>
      <c r="M980" s="4">
        <f t="shared" si="633"/>
      </c>
      <c r="N980" s="59"/>
      <c r="O980" s="164"/>
      <c r="P980" s="59">
        <f t="shared" si="634"/>
      </c>
      <c r="Q980" s="165"/>
      <c r="R980" s="59"/>
      <c r="S980" s="164"/>
      <c r="T980" s="5">
        <f t="shared" si="635"/>
      </c>
      <c r="U980" s="4">
        <f t="shared" si="636"/>
      </c>
      <c r="V980" s="4">
        <f t="shared" si="637"/>
      </c>
      <c r="W980" s="4">
        <f t="shared" si="638"/>
      </c>
      <c r="X980" s="4">
        <f t="shared" si="639"/>
      </c>
      <c r="Y980" s="4" cm="1">
        <f t="array" ref="Y980">_xlfn.IFS(H980=1,2,H980=3,1)</f>
      </c>
      <c r="Z980" s="4">
        <f t="shared" si="640"/>
      </c>
      <c r="AA980" s="4">
        <f t="shared" si="641"/>
      </c>
      <c r="AB980" s="4">
        <f t="shared" si="642"/>
      </c>
      <c r="AC980" s="4">
        <f t="shared" si="643"/>
      </c>
      <c r="AD980" s="4">
        <f t="shared" si="644"/>
      </c>
      <c r="AE980" s="4">
        <f t="shared" si="645"/>
      </c>
      <c r="AF980" s="4">
        <f t="shared" si="646"/>
      </c>
      <c r="AG980" s="4">
        <f t="shared" si="647"/>
        <v/>
      </c>
      <c r="AH980" s="4">
        <f t="shared" si="648"/>
      </c>
      <c r="AI980" s="4">
        <f t="shared" si="649"/>
      </c>
      <c r="AJ980" s="4">
        <f t="shared" si="650"/>
      </c>
      <c r="AK980" s="4">
        <f t="shared" si="651"/>
      </c>
      <c r="AL980" s="4">
        <f t="shared" si="652"/>
      </c>
      <c r="AM980" s="4">
        <f t="shared" si="653"/>
      </c>
      <c r="AN980" s="4"/>
      <c r="AO980" s="4">
        <f t="shared" si="654"/>
      </c>
      <c r="AP980" s="4">
        <f t="shared" si="655"/>
      </c>
      <c r="AQ980" s="4">
        <f t="shared" si="656"/>
        <v/>
      </c>
      <c r="AR980" s="4">
        <f t="shared" si="657"/>
      </c>
      <c r="AS980" s="4">
        <f t="shared" si="658"/>
      </c>
      <c r="AT980" s="4">
        <f t="shared" si="659"/>
      </c>
    </row>
    <row r="981" spans="1:46" x14ac:dyDescent="0.3">
      <c r="A981" s="5">
        <f t="shared" si="631"/>
      </c>
      <c r="B981" s="4">
        <f t="shared" si="632"/>
      </c>
      <c r="C981" s="59"/>
      <c r="D981" s="59"/>
      <c r="E981" s="70"/>
      <c r="F981" s="164"/>
      <c r="G981" s="164"/>
      <c r="H981" s="164"/>
      <c r="I981" s="70"/>
      <c r="J981" s="70"/>
      <c r="K981" s="70"/>
      <c r="L981" s="70"/>
      <c r="M981" s="4">
        <f t="shared" si="633"/>
      </c>
      <c r="N981" s="59"/>
      <c r="O981" s="164"/>
      <c r="P981" s="59">
        <f t="shared" si="634"/>
      </c>
      <c r="Q981" s="165"/>
      <c r="R981" s="59"/>
      <c r="S981" s="164"/>
      <c r="T981" s="5">
        <f t="shared" si="635"/>
      </c>
      <c r="U981" s="4">
        <f t="shared" si="636"/>
      </c>
      <c r="V981" s="4">
        <f t="shared" si="637"/>
      </c>
      <c r="W981" s="4">
        <f t="shared" si="638"/>
      </c>
      <c r="X981" s="4">
        <f t="shared" si="639"/>
      </c>
      <c r="Y981" s="4" cm="1">
        <f t="array" ref="Y981">_xlfn.IFS(H981=1,2,H981=3,1)</f>
      </c>
      <c r="Z981" s="4">
        <f t="shared" si="640"/>
      </c>
      <c r="AA981" s="4">
        <f t="shared" si="641"/>
      </c>
      <c r="AB981" s="4">
        <f t="shared" si="642"/>
      </c>
      <c r="AC981" s="4">
        <f t="shared" si="643"/>
      </c>
      <c r="AD981" s="4">
        <f t="shared" si="644"/>
      </c>
      <c r="AE981" s="4">
        <f t="shared" si="645"/>
      </c>
      <c r="AF981" s="4">
        <f t="shared" si="646"/>
      </c>
      <c r="AG981" s="4">
        <f t="shared" si="647"/>
        <v/>
      </c>
      <c r="AH981" s="4">
        <f t="shared" si="648"/>
      </c>
      <c r="AI981" s="4">
        <f t="shared" si="649"/>
      </c>
      <c r="AJ981" s="4">
        <f t="shared" si="650"/>
      </c>
      <c r="AK981" s="4">
        <f t="shared" si="651"/>
      </c>
      <c r="AL981" s="4">
        <f t="shared" si="652"/>
      </c>
      <c r="AM981" s="4">
        <f t="shared" si="653"/>
      </c>
      <c r="AN981" s="4"/>
      <c r="AO981" s="4">
        <f t="shared" si="654"/>
      </c>
      <c r="AP981" s="4">
        <f t="shared" si="655"/>
      </c>
      <c r="AQ981" s="4">
        <f t="shared" si="656"/>
        <v/>
      </c>
      <c r="AR981" s="4">
        <f t="shared" si="657"/>
      </c>
      <c r="AS981" s="4">
        <f t="shared" si="658"/>
      </c>
      <c r="AT981" s="4">
        <f t="shared" si="659"/>
      </c>
    </row>
    <row r="982" spans="1:46" x14ac:dyDescent="0.3">
      <c r="A982" s="5">
        <f t="shared" si="631"/>
      </c>
      <c r="B982" s="4">
        <f t="shared" si="632"/>
      </c>
      <c r="C982" s="59"/>
      <c r="D982" s="59"/>
      <c r="E982" s="70"/>
      <c r="F982" s="164"/>
      <c r="G982" s="164"/>
      <c r="H982" s="164"/>
      <c r="I982" s="70"/>
      <c r="J982" s="70"/>
      <c r="K982" s="70"/>
      <c r="L982" s="70"/>
      <c r="M982" s="4">
        <f t="shared" si="633"/>
      </c>
      <c r="N982" s="59"/>
      <c r="O982" s="164"/>
      <c r="P982" s="59">
        <f t="shared" si="634"/>
      </c>
      <c r="Q982" s="165"/>
      <c r="R982" s="59"/>
      <c r="S982" s="164"/>
      <c r="T982" s="5">
        <f t="shared" si="635"/>
      </c>
      <c r="U982" s="4">
        <f t="shared" si="636"/>
      </c>
      <c r="V982" s="4">
        <f t="shared" si="637"/>
      </c>
      <c r="W982" s="4">
        <f t="shared" si="638"/>
      </c>
      <c r="X982" s="4">
        <f t="shared" si="639"/>
      </c>
      <c r="Y982" s="4" cm="1">
        <f t="array" ref="Y982">_xlfn.IFS(H982=1,2,H982=3,1)</f>
      </c>
      <c r="Z982" s="4">
        <f t="shared" si="640"/>
      </c>
      <c r="AA982" s="4">
        <f t="shared" si="641"/>
      </c>
      <c r="AB982" s="4">
        <f t="shared" si="642"/>
      </c>
      <c r="AC982" s="4">
        <f t="shared" si="643"/>
      </c>
      <c r="AD982" s="4">
        <f t="shared" si="644"/>
      </c>
      <c r="AE982" s="4">
        <f t="shared" si="645"/>
      </c>
      <c r="AF982" s="4">
        <f t="shared" si="646"/>
      </c>
      <c r="AG982" s="4">
        <f t="shared" si="647"/>
        <v/>
      </c>
      <c r="AH982" s="4">
        <f t="shared" si="648"/>
      </c>
      <c r="AI982" s="4">
        <f t="shared" si="649"/>
      </c>
      <c r="AJ982" s="4">
        <f t="shared" si="650"/>
      </c>
      <c r="AK982" s="4">
        <f t="shared" si="651"/>
      </c>
      <c r="AL982" s="4">
        <f t="shared" si="652"/>
      </c>
      <c r="AM982" s="4">
        <f t="shared" si="653"/>
      </c>
      <c r="AN982" s="4"/>
      <c r="AO982" s="4">
        <f t="shared" si="654"/>
      </c>
      <c r="AP982" s="4">
        <f t="shared" si="655"/>
      </c>
      <c r="AQ982" s="4">
        <f t="shared" si="656"/>
        <v/>
      </c>
      <c r="AR982" s="4">
        <f t="shared" si="657"/>
      </c>
      <c r="AS982" s="4">
        <f t="shared" si="658"/>
      </c>
      <c r="AT982" s="4">
        <f t="shared" si="659"/>
      </c>
    </row>
    <row r="983" spans="1:46" x14ac:dyDescent="0.3">
      <c r="A983" s="5">
        <f t="shared" si="631"/>
      </c>
      <c r="B983" s="4">
        <f t="shared" si="632"/>
      </c>
      <c r="C983" s="59"/>
      <c r="D983" s="59"/>
      <c r="E983" s="70"/>
      <c r="F983" s="164"/>
      <c r="G983" s="164"/>
      <c r="H983" s="164"/>
      <c r="I983" s="70"/>
      <c r="J983" s="70"/>
      <c r="K983" s="70"/>
      <c r="L983" s="70"/>
      <c r="M983" s="4">
        <f t="shared" si="633"/>
      </c>
      <c r="N983" s="59"/>
      <c r="O983" s="164"/>
      <c r="P983" s="59">
        <f t="shared" si="634"/>
      </c>
      <c r="Q983" s="165"/>
      <c r="R983" s="59"/>
      <c r="S983" s="164"/>
      <c r="T983" s="5">
        <f t="shared" si="635"/>
      </c>
      <c r="U983" s="4">
        <f t="shared" si="636"/>
      </c>
      <c r="V983" s="4">
        <f t="shared" si="637"/>
      </c>
      <c r="W983" s="4">
        <f t="shared" si="638"/>
      </c>
      <c r="X983" s="4">
        <f t="shared" si="639"/>
      </c>
      <c r="Y983" s="4" cm="1">
        <f t="array" ref="Y983">_xlfn.IFS(H983=1,2,H983=3,1)</f>
      </c>
      <c r="Z983" s="4">
        <f t="shared" si="640"/>
      </c>
      <c r="AA983" s="4">
        <f t="shared" si="641"/>
      </c>
      <c r="AB983" s="4">
        <f t="shared" si="642"/>
      </c>
      <c r="AC983" s="4">
        <f t="shared" si="643"/>
      </c>
      <c r="AD983" s="4">
        <f t="shared" si="644"/>
      </c>
      <c r="AE983" s="4">
        <f t="shared" si="645"/>
      </c>
      <c r="AF983" s="4">
        <f t="shared" si="646"/>
      </c>
      <c r="AG983" s="4">
        <f t="shared" si="647"/>
        <v/>
      </c>
      <c r="AH983" s="4">
        <f t="shared" si="648"/>
      </c>
      <c r="AI983" s="4">
        <f t="shared" si="649"/>
      </c>
      <c r="AJ983" s="4">
        <f t="shared" si="650"/>
      </c>
      <c r="AK983" s="4">
        <f t="shared" si="651"/>
      </c>
      <c r="AL983" s="4">
        <f t="shared" si="652"/>
      </c>
      <c r="AM983" s="4">
        <f t="shared" si="653"/>
      </c>
      <c r="AN983" s="4"/>
      <c r="AO983" s="4">
        <f t="shared" si="654"/>
      </c>
      <c r="AP983" s="4">
        <f t="shared" si="655"/>
      </c>
      <c r="AQ983" s="4">
        <f t="shared" si="656"/>
        <v/>
      </c>
      <c r="AR983" s="4">
        <f t="shared" si="657"/>
      </c>
      <c r="AS983" s="4">
        <f t="shared" si="658"/>
      </c>
      <c r="AT983" s="4">
        <f t="shared" si="659"/>
      </c>
    </row>
    <row r="984" spans="1:46" x14ac:dyDescent="0.3">
      <c r="A984" s="5">
        <f t="shared" si="631"/>
      </c>
      <c r="B984" s="4">
        <f t="shared" si="632"/>
      </c>
      <c r="C984" s="59"/>
      <c r="D984" s="59"/>
      <c r="E984" s="70"/>
      <c r="F984" s="164"/>
      <c r="G984" s="164"/>
      <c r="H984" s="164"/>
      <c r="I984" s="70"/>
      <c r="J984" s="70"/>
      <c r="K984" s="70"/>
      <c r="L984" s="70"/>
      <c r="M984" s="4">
        <f t="shared" si="633"/>
      </c>
      <c r="N984" s="59"/>
      <c r="O984" s="164"/>
      <c r="P984" s="59">
        <f t="shared" si="634"/>
      </c>
      <c r="Q984" s="165"/>
      <c r="R984" s="59"/>
      <c r="S984" s="164"/>
      <c r="T984" s="5">
        <f t="shared" si="635"/>
      </c>
      <c r="U984" s="4">
        <f t="shared" si="636"/>
      </c>
      <c r="V984" s="4">
        <f t="shared" si="637"/>
      </c>
      <c r="W984" s="4">
        <f t="shared" si="638"/>
      </c>
      <c r="X984" s="4">
        <f t="shared" si="639"/>
      </c>
      <c r="Y984" s="4" cm="1">
        <f t="array" ref="Y984">_xlfn.IFS(H984=1,2,H984=3,1)</f>
      </c>
      <c r="Z984" s="4">
        <f t="shared" si="640"/>
      </c>
      <c r="AA984" s="4">
        <f t="shared" si="641"/>
      </c>
      <c r="AB984" s="4">
        <f t="shared" si="642"/>
      </c>
      <c r="AC984" s="4">
        <f t="shared" si="643"/>
      </c>
      <c r="AD984" s="4">
        <f t="shared" si="644"/>
      </c>
      <c r="AE984" s="4">
        <f t="shared" si="645"/>
      </c>
      <c r="AF984" s="4">
        <f t="shared" si="646"/>
      </c>
      <c r="AG984" s="4">
        <f t="shared" si="647"/>
        <v/>
      </c>
      <c r="AH984" s="4">
        <f t="shared" si="648"/>
      </c>
      <c r="AI984" s="4">
        <f t="shared" si="649"/>
      </c>
      <c r="AJ984" s="4">
        <f t="shared" si="650"/>
      </c>
      <c r="AK984" s="4">
        <f t="shared" si="651"/>
      </c>
      <c r="AL984" s="4">
        <f t="shared" si="652"/>
      </c>
      <c r="AM984" s="4">
        <f t="shared" si="653"/>
      </c>
      <c r="AN984" s="4"/>
      <c r="AO984" s="4">
        <f t="shared" si="654"/>
      </c>
      <c r="AP984" s="4">
        <f t="shared" si="655"/>
      </c>
      <c r="AQ984" s="4">
        <f t="shared" si="656"/>
        <v/>
      </c>
      <c r="AR984" s="4">
        <f t="shared" si="657"/>
      </c>
      <c r="AS984" s="4">
        <f t="shared" si="658"/>
      </c>
      <c r="AT984" s="4">
        <f t="shared" si="659"/>
      </c>
    </row>
    <row r="985" spans="1:46" x14ac:dyDescent="0.3">
      <c r="A985" s="5">
        <f t="shared" si="631"/>
      </c>
      <c r="B985" s="4">
        <f t="shared" si="632"/>
      </c>
      <c r="C985" s="59"/>
      <c r="D985" s="59"/>
      <c r="E985" s="70"/>
      <c r="F985" s="164"/>
      <c r="G985" s="164"/>
      <c r="H985" s="164"/>
      <c r="I985" s="70"/>
      <c r="J985" s="70"/>
      <c r="K985" s="70"/>
      <c r="L985" s="70"/>
      <c r="M985" s="4">
        <f t="shared" si="633"/>
      </c>
      <c r="N985" s="59"/>
      <c r="O985" s="164"/>
      <c r="P985" s="59">
        <f t="shared" si="634"/>
      </c>
      <c r="Q985" s="165"/>
      <c r="R985" s="59"/>
      <c r="S985" s="164"/>
      <c r="T985" s="5">
        <f t="shared" si="635"/>
      </c>
      <c r="U985" s="4">
        <f t="shared" si="636"/>
      </c>
      <c r="V985" s="4">
        <f t="shared" si="637"/>
      </c>
      <c r="W985" s="4">
        <f t="shared" si="638"/>
      </c>
      <c r="X985" s="4">
        <f t="shared" si="639"/>
      </c>
      <c r="Y985" s="4" cm="1">
        <f t="array" ref="Y985">_xlfn.IFS(H985=1,2,H985=3,1)</f>
      </c>
      <c r="Z985" s="4">
        <f t="shared" si="640"/>
      </c>
      <c r="AA985" s="4">
        <f t="shared" si="641"/>
      </c>
      <c r="AB985" s="4">
        <f t="shared" si="642"/>
      </c>
      <c r="AC985" s="4">
        <f t="shared" si="643"/>
      </c>
      <c r="AD985" s="4">
        <f t="shared" si="644"/>
      </c>
      <c r="AE985" s="4">
        <f t="shared" si="645"/>
      </c>
      <c r="AF985" s="4">
        <f t="shared" si="646"/>
      </c>
      <c r="AG985" s="4">
        <f t="shared" si="647"/>
        <v/>
      </c>
      <c r="AH985" s="4">
        <f t="shared" si="648"/>
      </c>
      <c r="AI985" s="4">
        <f t="shared" si="649"/>
      </c>
      <c r="AJ985" s="4">
        <f t="shared" si="650"/>
      </c>
      <c r="AK985" s="4">
        <f t="shared" si="651"/>
      </c>
      <c r="AL985" s="4">
        <f t="shared" si="652"/>
      </c>
      <c r="AM985" s="4">
        <f t="shared" si="653"/>
      </c>
      <c r="AN985" s="4"/>
      <c r="AO985" s="4">
        <f t="shared" si="654"/>
      </c>
      <c r="AP985" s="4">
        <f t="shared" si="655"/>
      </c>
      <c r="AQ985" s="4">
        <f t="shared" si="656"/>
        <v/>
      </c>
      <c r="AR985" s="4">
        <f t="shared" si="657"/>
      </c>
      <c r="AS985" s="4">
        <f t="shared" si="658"/>
      </c>
      <c r="AT985" s="4">
        <f t="shared" si="659"/>
      </c>
    </row>
    <row r="986" spans="1:46" x14ac:dyDescent="0.3">
      <c r="A986" s="5">
        <f t="shared" si="631"/>
      </c>
      <c r="B986" s="4">
        <f t="shared" si="632"/>
      </c>
      <c r="C986" s="59"/>
      <c r="D986" s="59"/>
      <c r="E986" s="70"/>
      <c r="F986" s="164"/>
      <c r="G986" s="164"/>
      <c r="H986" s="164"/>
      <c r="I986" s="70"/>
      <c r="J986" s="70"/>
      <c r="K986" s="70"/>
      <c r="L986" s="70"/>
      <c r="M986" s="4">
        <f t="shared" si="633"/>
      </c>
      <c r="N986" s="59"/>
      <c r="O986" s="164"/>
      <c r="P986" s="59">
        <f t="shared" si="634"/>
      </c>
      <c r="Q986" s="165"/>
      <c r="R986" s="59"/>
      <c r="S986" s="164"/>
      <c r="T986" s="5">
        <f t="shared" si="635"/>
      </c>
      <c r="U986" s="4">
        <f t="shared" si="636"/>
      </c>
      <c r="V986" s="4">
        <f t="shared" si="637"/>
      </c>
      <c r="W986" s="4">
        <f t="shared" si="638"/>
      </c>
      <c r="X986" s="4">
        <f t="shared" si="639"/>
      </c>
      <c r="Y986" s="4" cm="1">
        <f t="array" ref="Y986">_xlfn.IFS(H986=1,2,H986=3,1)</f>
      </c>
      <c r="Z986" s="4">
        <f t="shared" si="640"/>
      </c>
      <c r="AA986" s="4">
        <f t="shared" si="641"/>
      </c>
      <c r="AB986" s="4">
        <f t="shared" si="642"/>
      </c>
      <c r="AC986" s="4">
        <f t="shared" si="643"/>
      </c>
      <c r="AD986" s="4">
        <f t="shared" si="644"/>
      </c>
      <c r="AE986" s="4">
        <f t="shared" si="645"/>
      </c>
      <c r="AF986" s="4">
        <f t="shared" si="646"/>
      </c>
      <c r="AG986" s="4">
        <f t="shared" si="647"/>
        <v/>
      </c>
      <c r="AH986" s="4">
        <f t="shared" si="648"/>
      </c>
      <c r="AI986" s="4">
        <f t="shared" si="649"/>
      </c>
      <c r="AJ986" s="4">
        <f t="shared" si="650"/>
      </c>
      <c r="AK986" s="4">
        <f t="shared" si="651"/>
      </c>
      <c r="AL986" s="4">
        <f t="shared" si="652"/>
      </c>
      <c r="AM986" s="4">
        <f t="shared" si="653"/>
      </c>
      <c r="AN986" s="4"/>
      <c r="AO986" s="4">
        <f t="shared" si="654"/>
      </c>
      <c r="AP986" s="4">
        <f t="shared" si="655"/>
      </c>
      <c r="AQ986" s="4">
        <f t="shared" si="656"/>
        <v/>
      </c>
      <c r="AR986" s="4">
        <f t="shared" si="657"/>
      </c>
      <c r="AS986" s="4">
        <f t="shared" si="658"/>
      </c>
      <c r="AT986" s="4">
        <f t="shared" si="659"/>
      </c>
    </row>
    <row r="987" spans="1:46" x14ac:dyDescent="0.3">
      <c r="A987" s="5">
        <f t="shared" si="631"/>
      </c>
      <c r="B987" s="4">
        <f t="shared" si="632"/>
      </c>
      <c r="C987" s="59"/>
      <c r="D987" s="59"/>
      <c r="E987" s="70"/>
      <c r="F987" s="164"/>
      <c r="G987" s="164"/>
      <c r="H987" s="164"/>
      <c r="I987" s="70"/>
      <c r="J987" s="70"/>
      <c r="K987" s="70"/>
      <c r="L987" s="70"/>
      <c r="M987" s="4">
        <f t="shared" si="633"/>
      </c>
      <c r="N987" s="59"/>
      <c r="O987" s="164"/>
      <c r="P987" s="59">
        <f t="shared" si="634"/>
      </c>
      <c r="Q987" s="165"/>
      <c r="R987" s="59"/>
      <c r="S987" s="164"/>
      <c r="T987" s="5">
        <f t="shared" si="635"/>
      </c>
      <c r="U987" s="4">
        <f t="shared" si="636"/>
      </c>
      <c r="V987" s="4">
        <f t="shared" si="637"/>
      </c>
      <c r="W987" s="4">
        <f t="shared" si="638"/>
      </c>
      <c r="X987" s="4">
        <f t="shared" si="639"/>
      </c>
      <c r="Y987" s="4" cm="1">
        <f t="array" ref="Y987">_xlfn.IFS(H987=1,2,H987=3,1)</f>
      </c>
      <c r="Z987" s="4">
        <f t="shared" si="640"/>
      </c>
      <c r="AA987" s="4">
        <f t="shared" si="641"/>
      </c>
      <c r="AB987" s="4">
        <f t="shared" si="642"/>
      </c>
      <c r="AC987" s="4">
        <f t="shared" si="643"/>
      </c>
      <c r="AD987" s="4">
        <f t="shared" si="644"/>
      </c>
      <c r="AE987" s="4">
        <f t="shared" si="645"/>
      </c>
      <c r="AF987" s="4">
        <f t="shared" si="646"/>
      </c>
      <c r="AG987" s="4">
        <f t="shared" si="647"/>
        <v/>
      </c>
      <c r="AH987" s="4">
        <f t="shared" si="648"/>
      </c>
      <c r="AI987" s="4">
        <f t="shared" si="649"/>
      </c>
      <c r="AJ987" s="4">
        <f t="shared" si="650"/>
      </c>
      <c r="AK987" s="4">
        <f t="shared" si="651"/>
      </c>
      <c r="AL987" s="4">
        <f t="shared" si="652"/>
      </c>
      <c r="AM987" s="4">
        <f t="shared" si="653"/>
      </c>
      <c r="AN987" s="4"/>
      <c r="AO987" s="4">
        <f t="shared" si="654"/>
      </c>
      <c r="AP987" s="4">
        <f t="shared" si="655"/>
      </c>
      <c r="AQ987" s="4">
        <f t="shared" si="656"/>
        <v/>
      </c>
      <c r="AR987" s="4">
        <f t="shared" si="657"/>
      </c>
      <c r="AS987" s="4">
        <f t="shared" si="658"/>
      </c>
      <c r="AT987" s="4">
        <f t="shared" si="659"/>
      </c>
    </row>
    <row r="988" spans="1:46" x14ac:dyDescent="0.3">
      <c r="A988" s="5">
        <f t="shared" si="631"/>
      </c>
      <c r="B988" s="4">
        <f t="shared" si="632"/>
      </c>
      <c r="C988" s="59"/>
      <c r="D988" s="59"/>
      <c r="E988" s="70"/>
      <c r="F988" s="164"/>
      <c r="G988" s="164"/>
      <c r="H988" s="164"/>
      <c r="I988" s="70"/>
      <c r="J988" s="70"/>
      <c r="K988" s="70"/>
      <c r="L988" s="70"/>
      <c r="M988" s="4">
        <f t="shared" si="633"/>
      </c>
      <c r="N988" s="59"/>
      <c r="O988" s="164"/>
      <c r="P988" s="59">
        <f t="shared" si="634"/>
      </c>
      <c r="Q988" s="165"/>
      <c r="R988" s="59"/>
      <c r="S988" s="164"/>
      <c r="T988" s="5">
        <f t="shared" si="635"/>
      </c>
      <c r="U988" s="4">
        <f t="shared" si="636"/>
      </c>
      <c r="V988" s="4">
        <f t="shared" si="637"/>
      </c>
      <c r="W988" s="4">
        <f t="shared" si="638"/>
      </c>
      <c r="X988" s="4">
        <f t="shared" si="639"/>
      </c>
      <c r="Y988" s="4" cm="1">
        <f t="array" ref="Y988">_xlfn.IFS(H988=1,2,H988=3,1)</f>
      </c>
      <c r="Z988" s="4">
        <f t="shared" si="640"/>
      </c>
      <c r="AA988" s="4">
        <f t="shared" si="641"/>
      </c>
      <c r="AB988" s="4">
        <f t="shared" si="642"/>
      </c>
      <c r="AC988" s="4">
        <f t="shared" si="643"/>
      </c>
      <c r="AD988" s="4">
        <f t="shared" si="644"/>
      </c>
      <c r="AE988" s="4">
        <f t="shared" si="645"/>
      </c>
      <c r="AF988" s="4">
        <f t="shared" si="646"/>
      </c>
      <c r="AG988" s="4">
        <f t="shared" si="647"/>
        <v/>
      </c>
      <c r="AH988" s="4">
        <f t="shared" si="648"/>
      </c>
      <c r="AI988" s="4">
        <f t="shared" si="649"/>
      </c>
      <c r="AJ988" s="4">
        <f t="shared" si="650"/>
      </c>
      <c r="AK988" s="4">
        <f t="shared" si="651"/>
      </c>
      <c r="AL988" s="4">
        <f t="shared" si="652"/>
      </c>
      <c r="AM988" s="4">
        <f t="shared" si="653"/>
      </c>
      <c r="AN988" s="4"/>
      <c r="AO988" s="4">
        <f t="shared" si="654"/>
      </c>
      <c r="AP988" s="4">
        <f t="shared" si="655"/>
      </c>
      <c r="AQ988" s="4">
        <f t="shared" si="656"/>
        <v/>
      </c>
      <c r="AR988" s="4">
        <f t="shared" si="657"/>
      </c>
      <c r="AS988" s="4">
        <f t="shared" si="658"/>
      </c>
      <c r="AT988" s="4">
        <f t="shared" si="659"/>
      </c>
    </row>
    <row r="989" spans="1:46" x14ac:dyDescent="0.3">
      <c r="A989" s="5">
        <f t="shared" si="631"/>
      </c>
      <c r="B989" s="4">
        <f t="shared" si="632"/>
      </c>
      <c r="C989" s="59"/>
      <c r="D989" s="59"/>
      <c r="E989" s="70"/>
      <c r="F989" s="164"/>
      <c r="G989" s="164"/>
      <c r="H989" s="164"/>
      <c r="I989" s="70"/>
      <c r="J989" s="70"/>
      <c r="K989" s="70"/>
      <c r="L989" s="70"/>
      <c r="M989" s="4">
        <f t="shared" si="633"/>
      </c>
      <c r="N989" s="59"/>
      <c r="O989" s="164"/>
      <c r="P989" s="59">
        <f t="shared" si="634"/>
      </c>
      <c r="Q989" s="165"/>
      <c r="R989" s="59"/>
      <c r="S989" s="164"/>
      <c r="T989" s="5">
        <f t="shared" si="635"/>
      </c>
      <c r="U989" s="4">
        <f t="shared" si="636"/>
      </c>
      <c r="V989" s="4">
        <f t="shared" si="637"/>
      </c>
      <c r="W989" s="4">
        <f t="shared" si="638"/>
      </c>
      <c r="X989" s="4">
        <f t="shared" si="639"/>
      </c>
      <c r="Y989" s="4" cm="1">
        <f t="array" ref="Y989">_xlfn.IFS(H989=1,2,H989=3,1)</f>
      </c>
      <c r="Z989" s="4">
        <f t="shared" si="640"/>
      </c>
      <c r="AA989" s="4">
        <f t="shared" si="641"/>
      </c>
      <c r="AB989" s="4">
        <f t="shared" si="642"/>
      </c>
      <c r="AC989" s="4">
        <f t="shared" si="643"/>
      </c>
      <c r="AD989" s="4">
        <f t="shared" si="644"/>
      </c>
      <c r="AE989" s="4">
        <f t="shared" si="645"/>
      </c>
      <c r="AF989" s="4">
        <f t="shared" si="646"/>
      </c>
      <c r="AG989" s="4">
        <f t="shared" si="647"/>
        <v/>
      </c>
      <c r="AH989" s="4">
        <f t="shared" si="648"/>
      </c>
      <c r="AI989" s="4">
        <f t="shared" si="649"/>
      </c>
      <c r="AJ989" s="4">
        <f t="shared" si="650"/>
      </c>
      <c r="AK989" s="4">
        <f t="shared" si="651"/>
      </c>
      <c r="AL989" s="4">
        <f t="shared" si="652"/>
      </c>
      <c r="AM989" s="4">
        <f t="shared" si="653"/>
      </c>
      <c r="AN989" s="4"/>
      <c r="AO989" s="4">
        <f t="shared" si="654"/>
      </c>
      <c r="AP989" s="4">
        <f t="shared" si="655"/>
      </c>
      <c r="AQ989" s="4">
        <f t="shared" si="656"/>
        <v/>
      </c>
      <c r="AR989" s="4">
        <f t="shared" si="657"/>
      </c>
      <c r="AS989" s="4">
        <f t="shared" si="658"/>
      </c>
      <c r="AT989" s="4">
        <f t="shared" si="659"/>
      </c>
    </row>
    <row r="990" spans="1:46" x14ac:dyDescent="0.3">
      <c r="A990" s="5">
        <f t="shared" si="631"/>
      </c>
      <c r="B990" s="4">
        <f t="shared" si="632"/>
      </c>
      <c r="C990" s="59"/>
      <c r="D990" s="59"/>
      <c r="E990" s="70"/>
      <c r="F990" s="164"/>
      <c r="G990" s="164"/>
      <c r="H990" s="164"/>
      <c r="I990" s="70"/>
      <c r="J990" s="70"/>
      <c r="K990" s="70"/>
      <c r="L990" s="70"/>
      <c r="M990" s="4">
        <f t="shared" si="633"/>
      </c>
      <c r="N990" s="59"/>
      <c r="O990" s="164"/>
      <c r="P990" s="59">
        <f t="shared" si="634"/>
      </c>
      <c r="Q990" s="165"/>
      <c r="R990" s="59"/>
      <c r="S990" s="164"/>
      <c r="T990" s="5">
        <f t="shared" si="635"/>
      </c>
      <c r="U990" s="4">
        <f t="shared" si="636"/>
      </c>
      <c r="V990" s="4">
        <f t="shared" si="637"/>
      </c>
      <c r="W990" s="4">
        <f t="shared" si="638"/>
      </c>
      <c r="X990" s="4">
        <f t="shared" si="639"/>
      </c>
      <c r="Y990" s="4" cm="1">
        <f t="array" ref="Y990">_xlfn.IFS(H990=1,2,H990=3,1)</f>
      </c>
      <c r="Z990" s="4">
        <f t="shared" si="640"/>
      </c>
      <c r="AA990" s="4">
        <f t="shared" si="641"/>
      </c>
      <c r="AB990" s="4">
        <f t="shared" si="642"/>
      </c>
      <c r="AC990" s="4">
        <f t="shared" si="643"/>
      </c>
      <c r="AD990" s="4">
        <f t="shared" si="644"/>
      </c>
      <c r="AE990" s="4">
        <f t="shared" si="645"/>
      </c>
      <c r="AF990" s="4">
        <f t="shared" si="646"/>
      </c>
      <c r="AG990" s="4">
        <f t="shared" si="647"/>
        <v/>
      </c>
      <c r="AH990" s="4">
        <f t="shared" si="648"/>
      </c>
      <c r="AI990" s="4">
        <f t="shared" si="649"/>
      </c>
      <c r="AJ990" s="4">
        <f t="shared" si="650"/>
      </c>
      <c r="AK990" s="4">
        <f t="shared" si="651"/>
      </c>
      <c r="AL990" s="4">
        <f t="shared" si="652"/>
      </c>
      <c r="AM990" s="4">
        <f t="shared" si="653"/>
      </c>
      <c r="AN990" s="4"/>
      <c r="AO990" s="4">
        <f t="shared" si="654"/>
      </c>
      <c r="AP990" s="4">
        <f t="shared" si="655"/>
      </c>
      <c r="AQ990" s="4">
        <f t="shared" si="656"/>
        <v/>
      </c>
      <c r="AR990" s="4">
        <f t="shared" si="657"/>
      </c>
      <c r="AS990" s="4">
        <f t="shared" si="658"/>
      </c>
      <c r="AT990" s="4">
        <f t="shared" si="659"/>
      </c>
    </row>
    <row r="991" spans="1:46" x14ac:dyDescent="0.3">
      <c r="A991" s="5">
        <f t="shared" si="631"/>
      </c>
      <c r="B991" s="4">
        <f t="shared" si="632"/>
      </c>
      <c r="C991" s="59"/>
      <c r="D991" s="59"/>
      <c r="E991" s="70"/>
      <c r="F991" s="164"/>
      <c r="G991" s="164"/>
      <c r="H991" s="164"/>
      <c r="I991" s="70"/>
      <c r="J991" s="70"/>
      <c r="K991" s="70"/>
      <c r="L991" s="70"/>
      <c r="M991" s="4">
        <f t="shared" si="633"/>
      </c>
      <c r="N991" s="59"/>
      <c r="O991" s="164"/>
      <c r="P991" s="59">
        <f t="shared" si="634"/>
      </c>
      <c r="Q991" s="165"/>
      <c r="R991" s="59"/>
      <c r="S991" s="164"/>
      <c r="T991" s="5">
        <f t="shared" si="635"/>
      </c>
      <c r="U991" s="4">
        <f t="shared" si="636"/>
      </c>
      <c r="V991" s="4">
        <f t="shared" si="637"/>
      </c>
      <c r="W991" s="4">
        <f t="shared" si="638"/>
      </c>
      <c r="X991" s="4">
        <f t="shared" si="639"/>
      </c>
      <c r="Y991" s="4" cm="1">
        <f t="array" ref="Y991">_xlfn.IFS(H991=1,2,H991=3,1)</f>
      </c>
      <c r="Z991" s="4">
        <f t="shared" si="640"/>
      </c>
      <c r="AA991" s="4">
        <f t="shared" si="641"/>
      </c>
      <c r="AB991" s="4">
        <f t="shared" si="642"/>
      </c>
      <c r="AC991" s="4">
        <f t="shared" si="643"/>
      </c>
      <c r="AD991" s="4">
        <f t="shared" si="644"/>
      </c>
      <c r="AE991" s="4">
        <f t="shared" si="645"/>
      </c>
      <c r="AF991" s="4">
        <f t="shared" si="646"/>
      </c>
      <c r="AG991" s="4">
        <f t="shared" si="647"/>
        <v/>
      </c>
      <c r="AH991" s="4">
        <f t="shared" si="648"/>
      </c>
      <c r="AI991" s="4">
        <f t="shared" si="649"/>
      </c>
      <c r="AJ991" s="4">
        <f t="shared" si="650"/>
      </c>
      <c r="AK991" s="4">
        <f t="shared" si="651"/>
      </c>
      <c r="AL991" s="4">
        <f t="shared" si="652"/>
      </c>
      <c r="AM991" s="4">
        <f t="shared" si="653"/>
      </c>
      <c r="AN991" s="4"/>
      <c r="AO991" s="4">
        <f t="shared" si="654"/>
      </c>
      <c r="AP991" s="4">
        <f t="shared" si="655"/>
      </c>
      <c r="AQ991" s="4">
        <f t="shared" si="656"/>
        <v/>
      </c>
      <c r="AR991" s="4">
        <f t="shared" si="657"/>
      </c>
      <c r="AS991" s="4">
        <f t="shared" si="658"/>
      </c>
      <c r="AT991" s="4">
        <f t="shared" si="659"/>
      </c>
    </row>
    <row r="992" spans="1:46" x14ac:dyDescent="0.3">
      <c r="A992" s="5">
        <f t="shared" si="631"/>
      </c>
      <c r="B992" s="4">
        <f t="shared" si="632"/>
      </c>
      <c r="C992" s="59"/>
      <c r="D992" s="59"/>
      <c r="E992" s="70"/>
      <c r="F992" s="164"/>
      <c r="G992" s="164"/>
      <c r="H992" s="164"/>
      <c r="I992" s="70"/>
      <c r="J992" s="70"/>
      <c r="K992" s="70"/>
      <c r="L992" s="70"/>
      <c r="M992" s="4">
        <f t="shared" si="633"/>
      </c>
      <c r="N992" s="59"/>
      <c r="O992" s="164"/>
      <c r="P992" s="59">
        <f t="shared" si="634"/>
      </c>
      <c r="Q992" s="165"/>
      <c r="R992" s="59"/>
      <c r="S992" s="164"/>
      <c r="T992" s="5">
        <f t="shared" si="635"/>
      </c>
      <c r="U992" s="4">
        <f t="shared" si="636"/>
      </c>
      <c r="V992" s="4">
        <f t="shared" si="637"/>
      </c>
      <c r="W992" s="4">
        <f t="shared" si="638"/>
      </c>
      <c r="X992" s="4">
        <f t="shared" si="639"/>
      </c>
      <c r="Y992" s="4" cm="1">
        <f t="array" ref="Y992">_xlfn.IFS(H992=1,2,H992=3,1)</f>
      </c>
      <c r="Z992" s="4">
        <f t="shared" si="640"/>
      </c>
      <c r="AA992" s="4">
        <f t="shared" si="641"/>
      </c>
      <c r="AB992" s="4">
        <f t="shared" si="642"/>
      </c>
      <c r="AC992" s="4">
        <f t="shared" si="643"/>
      </c>
      <c r="AD992" s="4">
        <f t="shared" si="644"/>
      </c>
      <c r="AE992" s="4">
        <f t="shared" si="645"/>
      </c>
      <c r="AF992" s="4">
        <f t="shared" si="646"/>
      </c>
      <c r="AG992" s="4">
        <f t="shared" si="647"/>
        <v/>
      </c>
      <c r="AH992" s="4">
        <f t="shared" si="648"/>
      </c>
      <c r="AI992" s="4">
        <f t="shared" si="649"/>
      </c>
      <c r="AJ992" s="4">
        <f t="shared" si="650"/>
      </c>
      <c r="AK992" s="4">
        <f t="shared" si="651"/>
      </c>
      <c r="AL992" s="4">
        <f t="shared" si="652"/>
      </c>
      <c r="AM992" s="4">
        <f t="shared" si="653"/>
      </c>
      <c r="AN992" s="4"/>
      <c r="AO992" s="4">
        <f t="shared" si="654"/>
      </c>
      <c r="AP992" s="4">
        <f t="shared" si="655"/>
      </c>
      <c r="AQ992" s="4">
        <f t="shared" si="656"/>
        <v/>
      </c>
      <c r="AR992" s="4">
        <f t="shared" si="657"/>
      </c>
      <c r="AS992" s="4">
        <f t="shared" si="658"/>
      </c>
      <c r="AT992" s="4">
        <f t="shared" si="659"/>
      </c>
    </row>
    <row r="993" spans="1:46" x14ac:dyDescent="0.3">
      <c r="A993" s="5">
        <f t="shared" si="631"/>
      </c>
      <c r="B993" s="4">
        <f t="shared" si="632"/>
      </c>
      <c r="C993" s="59"/>
      <c r="D993" s="59"/>
      <c r="E993" s="70"/>
      <c r="F993" s="164"/>
      <c r="G993" s="164"/>
      <c r="H993" s="164"/>
      <c r="I993" s="70"/>
      <c r="J993" s="70"/>
      <c r="K993" s="70"/>
      <c r="L993" s="70"/>
      <c r="M993" s="4">
        <f t="shared" si="633"/>
      </c>
      <c r="N993" s="59"/>
      <c r="O993" s="164"/>
      <c r="P993" s="59">
        <f t="shared" si="634"/>
      </c>
      <c r="Q993" s="165"/>
      <c r="R993" s="59"/>
      <c r="S993" s="164"/>
      <c r="T993" s="5">
        <f t="shared" si="635"/>
      </c>
      <c r="U993" s="4">
        <f t="shared" si="636"/>
      </c>
      <c r="V993" s="4">
        <f t="shared" si="637"/>
      </c>
      <c r="W993" s="4">
        <f t="shared" si="638"/>
      </c>
      <c r="X993" s="4">
        <f t="shared" si="639"/>
      </c>
      <c r="Y993" s="4" cm="1">
        <f t="array" ref="Y993">_xlfn.IFS(H993=1,2,H993=3,1)</f>
      </c>
      <c r="Z993" s="4">
        <f t="shared" si="640"/>
      </c>
      <c r="AA993" s="4">
        <f t="shared" si="641"/>
      </c>
      <c r="AB993" s="4">
        <f t="shared" si="642"/>
      </c>
      <c r="AC993" s="4">
        <f t="shared" si="643"/>
      </c>
      <c r="AD993" s="4">
        <f t="shared" si="644"/>
      </c>
      <c r="AE993" s="4">
        <f t="shared" si="645"/>
      </c>
      <c r="AF993" s="4">
        <f t="shared" si="646"/>
      </c>
      <c r="AG993" s="4">
        <f t="shared" si="647"/>
        <v/>
      </c>
      <c r="AH993" s="4">
        <f t="shared" si="648"/>
      </c>
      <c r="AI993" s="4">
        <f t="shared" si="649"/>
      </c>
      <c r="AJ993" s="4">
        <f t="shared" si="650"/>
      </c>
      <c r="AK993" s="4">
        <f t="shared" si="651"/>
      </c>
      <c r="AL993" s="4">
        <f t="shared" si="652"/>
      </c>
      <c r="AM993" s="4">
        <f t="shared" si="653"/>
      </c>
      <c r="AN993" s="4"/>
      <c r="AO993" s="4">
        <f t="shared" si="654"/>
      </c>
      <c r="AP993" s="4">
        <f t="shared" si="655"/>
      </c>
      <c r="AQ993" s="4">
        <f t="shared" si="656"/>
        <v/>
      </c>
      <c r="AR993" s="4">
        <f t="shared" si="657"/>
      </c>
      <c r="AS993" s="4">
        <f t="shared" si="658"/>
      </c>
      <c r="AT993" s="4">
        <f t="shared" si="659"/>
      </c>
    </row>
    <row r="994" spans="1:46" x14ac:dyDescent="0.3">
      <c r="A994" s="5">
        <f t="shared" si="631"/>
      </c>
      <c r="B994" s="4">
        <f t="shared" si="632"/>
      </c>
      <c r="C994" s="59"/>
      <c r="D994" s="59"/>
      <c r="E994" s="70"/>
      <c r="F994" s="164"/>
      <c r="G994" s="164"/>
      <c r="H994" s="164"/>
      <c r="I994" s="70"/>
      <c r="J994" s="70"/>
      <c r="K994" s="70"/>
      <c r="L994" s="70"/>
      <c r="M994" s="4">
        <f t="shared" si="633"/>
      </c>
      <c r="N994" s="59"/>
      <c r="O994" s="164"/>
      <c r="P994" s="59">
        <f t="shared" si="634"/>
      </c>
      <c r="Q994" s="165"/>
      <c r="R994" s="59"/>
      <c r="S994" s="164"/>
      <c r="T994" s="5">
        <f t="shared" si="635"/>
      </c>
      <c r="U994" s="4">
        <f t="shared" si="636"/>
      </c>
      <c r="V994" s="4">
        <f t="shared" si="637"/>
      </c>
      <c r="W994" s="4">
        <f t="shared" si="638"/>
      </c>
      <c r="X994" s="4">
        <f t="shared" si="639"/>
      </c>
      <c r="Y994" s="4" cm="1">
        <f t="array" ref="Y994">_xlfn.IFS(H994=1,2,H994=3,1)</f>
      </c>
      <c r="Z994" s="4">
        <f t="shared" si="640"/>
      </c>
      <c r="AA994" s="4">
        <f t="shared" si="641"/>
      </c>
      <c r="AB994" s="4">
        <f t="shared" si="642"/>
      </c>
      <c r="AC994" s="4">
        <f t="shared" si="643"/>
      </c>
      <c r="AD994" s="4">
        <f t="shared" si="644"/>
      </c>
      <c r="AE994" s="4">
        <f t="shared" si="645"/>
      </c>
      <c r="AF994" s="4">
        <f t="shared" si="646"/>
      </c>
      <c r="AG994" s="4">
        <f t="shared" si="647"/>
        <v/>
      </c>
      <c r="AH994" s="4">
        <f t="shared" si="648"/>
      </c>
      <c r="AI994" s="4">
        <f t="shared" si="649"/>
      </c>
      <c r="AJ994" s="4">
        <f t="shared" si="650"/>
      </c>
      <c r="AK994" s="4">
        <f t="shared" si="651"/>
      </c>
      <c r="AL994" s="4">
        <f t="shared" si="652"/>
      </c>
      <c r="AM994" s="4">
        <f t="shared" si="653"/>
      </c>
      <c r="AN994" s="4"/>
      <c r="AO994" s="4">
        <f t="shared" si="654"/>
      </c>
      <c r="AP994" s="4">
        <f t="shared" si="655"/>
      </c>
      <c r="AQ994" s="4">
        <f t="shared" si="656"/>
        <v/>
      </c>
      <c r="AR994" s="4">
        <f t="shared" si="657"/>
      </c>
      <c r="AS994" s="4">
        <f t="shared" si="658"/>
      </c>
      <c r="AT994" s="4">
        <f t="shared" si="659"/>
      </c>
    </row>
    <row r="995" spans="1:46" x14ac:dyDescent="0.3">
      <c r="A995" s="5">
        <f t="shared" si="631"/>
      </c>
      <c r="B995" s="4">
        <f t="shared" si="632"/>
      </c>
      <c r="C995" s="59"/>
      <c r="D995" s="59"/>
      <c r="E995" s="70"/>
      <c r="F995" s="164"/>
      <c r="G995" s="164"/>
      <c r="H995" s="164"/>
      <c r="I995" s="70"/>
      <c r="J995" s="70"/>
      <c r="K995" s="70"/>
      <c r="L995" s="70"/>
      <c r="M995" s="4">
        <f t="shared" si="633"/>
      </c>
      <c r="N995" s="59"/>
      <c r="O995" s="164"/>
      <c r="P995" s="59">
        <f t="shared" si="634"/>
      </c>
      <c r="Q995" s="165"/>
      <c r="R995" s="59"/>
      <c r="S995" s="164"/>
      <c r="T995" s="5">
        <f t="shared" si="635"/>
      </c>
      <c r="U995" s="4">
        <f t="shared" si="636"/>
      </c>
      <c r="V995" s="4">
        <f t="shared" si="637"/>
      </c>
      <c r="W995" s="4">
        <f t="shared" si="638"/>
      </c>
      <c r="X995" s="4">
        <f t="shared" si="639"/>
      </c>
      <c r="Y995" s="4" cm="1">
        <f t="array" ref="Y995">_xlfn.IFS(H995=1,2,H995=3,1)</f>
      </c>
      <c r="Z995" s="4">
        <f t="shared" si="640"/>
      </c>
      <c r="AA995" s="4">
        <f t="shared" si="641"/>
      </c>
      <c r="AB995" s="4">
        <f t="shared" si="642"/>
      </c>
      <c r="AC995" s="4">
        <f t="shared" si="643"/>
      </c>
      <c r="AD995" s="4">
        <f t="shared" si="644"/>
      </c>
      <c r="AE995" s="4">
        <f t="shared" si="645"/>
      </c>
      <c r="AF995" s="4">
        <f t="shared" si="646"/>
      </c>
      <c r="AG995" s="4">
        <f t="shared" si="647"/>
        <v/>
      </c>
      <c r="AH995" s="4">
        <f t="shared" si="648"/>
      </c>
      <c r="AI995" s="4">
        <f t="shared" si="649"/>
      </c>
      <c r="AJ995" s="4">
        <f t="shared" si="650"/>
      </c>
      <c r="AK995" s="4">
        <f t="shared" si="651"/>
      </c>
      <c r="AL995" s="4">
        <f t="shared" si="652"/>
      </c>
      <c r="AM995" s="4">
        <f t="shared" si="653"/>
      </c>
      <c r="AN995" s="4"/>
      <c r="AO995" s="4">
        <f t="shared" si="654"/>
      </c>
      <c r="AP995" s="4">
        <f t="shared" si="655"/>
      </c>
      <c r="AQ995" s="4">
        <f t="shared" si="656"/>
        <v/>
      </c>
      <c r="AR995" s="4">
        <f t="shared" si="657"/>
      </c>
      <c r="AS995" s="4">
        <f t="shared" si="658"/>
      </c>
      <c r="AT995" s="4">
        <f t="shared" si="659"/>
      </c>
    </row>
    <row r="996" spans="1:46" x14ac:dyDescent="0.3">
      <c r="A996" s="5">
        <f t="shared" si="631"/>
      </c>
      <c r="B996" s="4">
        <f t="shared" si="632"/>
      </c>
      <c r="C996" s="59"/>
      <c r="D996" s="59"/>
      <c r="E996" s="70"/>
      <c r="F996" s="164"/>
      <c r="G996" s="164"/>
      <c r="H996" s="164"/>
      <c r="I996" s="70"/>
      <c r="J996" s="70"/>
      <c r="K996" s="70"/>
      <c r="L996" s="70"/>
      <c r="M996" s="4">
        <f t="shared" si="633"/>
      </c>
      <c r="N996" s="59"/>
      <c r="O996" s="164"/>
      <c r="P996" s="59">
        <f t="shared" si="634"/>
      </c>
      <c r="Q996" s="165"/>
      <c r="R996" s="59"/>
      <c r="S996" s="164"/>
      <c r="T996" s="5">
        <f t="shared" si="635"/>
      </c>
      <c r="U996" s="4">
        <f t="shared" si="636"/>
      </c>
      <c r="V996" s="4">
        <f t="shared" si="637"/>
      </c>
      <c r="W996" s="4">
        <f t="shared" si="638"/>
      </c>
      <c r="X996" s="4">
        <f t="shared" si="639"/>
      </c>
      <c r="Y996" s="4" cm="1">
        <f t="array" ref="Y996">_xlfn.IFS(H996=1,2,H996=3,1)</f>
      </c>
      <c r="Z996" s="4">
        <f t="shared" si="640"/>
      </c>
      <c r="AA996" s="4">
        <f t="shared" si="641"/>
      </c>
      <c r="AB996" s="4">
        <f t="shared" si="642"/>
      </c>
      <c r="AC996" s="4">
        <f t="shared" si="643"/>
      </c>
      <c r="AD996" s="4">
        <f t="shared" si="644"/>
      </c>
      <c r="AE996" s="4">
        <f t="shared" si="645"/>
      </c>
      <c r="AF996" s="4">
        <f t="shared" si="646"/>
      </c>
      <c r="AG996" s="4">
        <f t="shared" si="647"/>
        <v/>
      </c>
      <c r="AH996" s="4">
        <f t="shared" si="648"/>
      </c>
      <c r="AI996" s="4">
        <f t="shared" si="649"/>
      </c>
      <c r="AJ996" s="4">
        <f t="shared" si="650"/>
      </c>
      <c r="AK996" s="4">
        <f t="shared" si="651"/>
      </c>
      <c r="AL996" s="4">
        <f t="shared" si="652"/>
      </c>
      <c r="AM996" s="4">
        <f t="shared" si="653"/>
      </c>
      <c r="AN996" s="4"/>
      <c r="AO996" s="4">
        <f t="shared" si="654"/>
      </c>
      <c r="AP996" s="4">
        <f t="shared" si="655"/>
      </c>
      <c r="AQ996" s="4">
        <f t="shared" si="656"/>
        <v/>
      </c>
      <c r="AR996" s="4">
        <f t="shared" si="657"/>
      </c>
      <c r="AS996" s="4">
        <f t="shared" si="658"/>
      </c>
      <c r="AT996" s="4">
        <f t="shared" si="659"/>
      </c>
    </row>
    <row r="997" spans="1:46" x14ac:dyDescent="0.3">
      <c r="A997" s="5">
        <f t="shared" si="631"/>
      </c>
      <c r="B997" s="4">
        <f t="shared" si="632"/>
      </c>
      <c r="C997" s="59"/>
      <c r="D997" s="59"/>
      <c r="E997" s="70"/>
      <c r="F997" s="164"/>
      <c r="G997" s="164"/>
      <c r="H997" s="164"/>
      <c r="I997" s="70"/>
      <c r="J997" s="70"/>
      <c r="K997" s="70"/>
      <c r="L997" s="70"/>
      <c r="M997" s="4">
        <f t="shared" si="633"/>
      </c>
      <c r="N997" s="59"/>
      <c r="O997" s="164"/>
      <c r="P997" s="59">
        <f t="shared" si="634"/>
      </c>
      <c r="Q997" s="165"/>
      <c r="R997" s="59"/>
      <c r="S997" s="164"/>
      <c r="T997" s="5">
        <f t="shared" si="635"/>
      </c>
      <c r="U997" s="4">
        <f t="shared" si="636"/>
      </c>
      <c r="V997" s="4">
        <f t="shared" si="637"/>
      </c>
      <c r="W997" s="4">
        <f t="shared" si="638"/>
      </c>
      <c r="X997" s="4">
        <f t="shared" si="639"/>
      </c>
      <c r="Y997" s="4" cm="1">
        <f t="array" ref="Y997">_xlfn.IFS(H997=1,2,H997=3,1)</f>
      </c>
      <c r="Z997" s="4">
        <f t="shared" si="640"/>
      </c>
      <c r="AA997" s="4">
        <f t="shared" si="641"/>
      </c>
      <c r="AB997" s="4">
        <f t="shared" si="642"/>
      </c>
      <c r="AC997" s="4">
        <f t="shared" si="643"/>
      </c>
      <c r="AD997" s="4">
        <f t="shared" si="644"/>
      </c>
      <c r="AE997" s="4">
        <f t="shared" si="645"/>
      </c>
      <c r="AF997" s="4">
        <f t="shared" si="646"/>
      </c>
      <c r="AG997" s="4">
        <f t="shared" si="647"/>
        <v/>
      </c>
      <c r="AH997" s="4">
        <f t="shared" si="648"/>
      </c>
      <c r="AI997" s="4">
        <f t="shared" si="649"/>
      </c>
      <c r="AJ997" s="4">
        <f t="shared" si="650"/>
      </c>
      <c r="AK997" s="4">
        <f t="shared" si="651"/>
      </c>
      <c r="AL997" s="4">
        <f t="shared" si="652"/>
      </c>
      <c r="AM997" s="4">
        <f t="shared" si="653"/>
      </c>
      <c r="AN997" s="4"/>
      <c r="AO997" s="4">
        <f t="shared" si="654"/>
      </c>
      <c r="AP997" s="4">
        <f t="shared" si="655"/>
      </c>
      <c r="AQ997" s="4">
        <f t="shared" si="656"/>
        <v/>
      </c>
      <c r="AR997" s="4">
        <f t="shared" si="657"/>
      </c>
      <c r="AS997" s="4">
        <f t="shared" si="658"/>
      </c>
      <c r="AT997" s="4">
        <f t="shared" si="659"/>
      </c>
    </row>
    <row r="998" spans="1:46" x14ac:dyDescent="0.3">
      <c r="A998" s="5">
        <f t="shared" si="631"/>
      </c>
      <c r="B998" s="4">
        <f t="shared" si="632"/>
      </c>
      <c r="C998" s="59"/>
      <c r="D998" s="59"/>
      <c r="E998" s="70"/>
      <c r="F998" s="164"/>
      <c r="G998" s="164"/>
      <c r="H998" s="164"/>
      <c r="I998" s="70"/>
      <c r="J998" s="70"/>
      <c r="K998" s="70"/>
      <c r="L998" s="70"/>
      <c r="M998" s="4">
        <f t="shared" si="633"/>
      </c>
      <c r="N998" s="59"/>
      <c r="O998" s="164"/>
      <c r="P998" s="59">
        <f t="shared" si="634"/>
      </c>
      <c r="Q998" s="165"/>
      <c r="R998" s="59"/>
      <c r="S998" s="164"/>
      <c r="T998" s="5">
        <f t="shared" si="635"/>
      </c>
      <c r="U998" s="4">
        <f t="shared" si="636"/>
      </c>
      <c r="V998" s="4">
        <f t="shared" si="637"/>
      </c>
      <c r="W998" s="4">
        <f t="shared" si="638"/>
      </c>
      <c r="X998" s="4">
        <f t="shared" si="639"/>
      </c>
      <c r="Y998" s="4" cm="1">
        <f t="array" ref="Y998">_xlfn.IFS(H998=1,2,H998=3,1)</f>
      </c>
      <c r="Z998" s="4">
        <f t="shared" si="640"/>
      </c>
      <c r="AA998" s="4">
        <f t="shared" si="641"/>
      </c>
      <c r="AB998" s="4">
        <f t="shared" si="642"/>
      </c>
      <c r="AC998" s="4">
        <f t="shared" si="643"/>
      </c>
      <c r="AD998" s="4">
        <f t="shared" si="644"/>
      </c>
      <c r="AE998" s="4">
        <f t="shared" si="645"/>
      </c>
      <c r="AF998" s="4">
        <f t="shared" si="646"/>
      </c>
      <c r="AG998" s="4">
        <f t="shared" si="647"/>
        <v/>
      </c>
      <c r="AH998" s="4">
        <f t="shared" si="648"/>
      </c>
      <c r="AI998" s="4">
        <f t="shared" si="649"/>
      </c>
      <c r="AJ998" s="4">
        <f t="shared" si="650"/>
      </c>
      <c r="AK998" s="4">
        <f t="shared" si="651"/>
      </c>
      <c r="AL998" s="4">
        <f t="shared" si="652"/>
      </c>
      <c r="AM998" s="4">
        <f t="shared" si="653"/>
      </c>
      <c r="AN998" s="4"/>
      <c r="AO998" s="4">
        <f t="shared" si="654"/>
      </c>
      <c r="AP998" s="4">
        <f t="shared" si="655"/>
      </c>
      <c r="AQ998" s="4">
        <f t="shared" si="656"/>
        <v/>
      </c>
      <c r="AR998" s="4">
        <f t="shared" si="657"/>
      </c>
      <c r="AS998" s="4">
        <f t="shared" si="658"/>
      </c>
      <c r="AT998" s="4">
        <f t="shared" si="659"/>
      </c>
    </row>
    <row r="999" spans="1:46" x14ac:dyDescent="0.3">
      <c r="A999" s="5">
        <f t="shared" si="631"/>
      </c>
      <c r="B999" s="4">
        <f t="shared" si="632"/>
      </c>
      <c r="C999" s="59"/>
      <c r="D999" s="59"/>
      <c r="E999" s="70"/>
      <c r="F999" s="164"/>
      <c r="G999" s="164"/>
      <c r="H999" s="164"/>
      <c r="I999" s="70"/>
      <c r="J999" s="70"/>
      <c r="K999" s="70"/>
      <c r="L999" s="70"/>
      <c r="M999" s="4">
        <f t="shared" si="633"/>
      </c>
      <c r="N999" s="59"/>
      <c r="O999" s="164"/>
      <c r="P999" s="59">
        <f t="shared" si="634"/>
      </c>
      <c r="Q999" s="165"/>
      <c r="R999" s="59"/>
      <c r="S999" s="164"/>
      <c r="T999" s="5">
        <f t="shared" si="635"/>
      </c>
      <c r="U999" s="4">
        <f t="shared" si="636"/>
      </c>
      <c r="V999" s="4">
        <f t="shared" si="637"/>
      </c>
      <c r="W999" s="4">
        <f t="shared" si="638"/>
      </c>
      <c r="X999" s="4">
        <f t="shared" si="639"/>
      </c>
      <c r="Y999" s="4" cm="1">
        <f t="array" ref="Y999">_xlfn.IFS(H999=1,2,H999=3,1)</f>
      </c>
      <c r="Z999" s="4">
        <f t="shared" si="640"/>
      </c>
      <c r="AA999" s="4">
        <f t="shared" si="641"/>
      </c>
      <c r="AB999" s="4">
        <f t="shared" si="642"/>
      </c>
      <c r="AC999" s="4">
        <f t="shared" si="643"/>
      </c>
      <c r="AD999" s="4">
        <f t="shared" si="644"/>
      </c>
      <c r="AE999" s="4">
        <f t="shared" si="645"/>
      </c>
      <c r="AF999" s="4">
        <f t="shared" si="646"/>
      </c>
      <c r="AG999" s="4">
        <f t="shared" si="647"/>
        <v/>
      </c>
      <c r="AH999" s="4">
        <f t="shared" si="648"/>
      </c>
      <c r="AI999" s="4">
        <f t="shared" si="649"/>
      </c>
      <c r="AJ999" s="4">
        <f t="shared" si="650"/>
      </c>
      <c r="AK999" s="4">
        <f t="shared" si="651"/>
      </c>
      <c r="AL999" s="4">
        <f t="shared" si="652"/>
      </c>
      <c r="AM999" s="4">
        <f t="shared" si="653"/>
      </c>
      <c r="AN999" s="4"/>
      <c r="AO999" s="4">
        <f t="shared" si="654"/>
      </c>
      <c r="AP999" s="4">
        <f t="shared" si="655"/>
      </c>
      <c r="AQ999" s="4">
        <f t="shared" si="656"/>
        <v/>
      </c>
      <c r="AR999" s="4">
        <f t="shared" si="657"/>
      </c>
      <c r="AS999" s="4">
        <f t="shared" si="658"/>
      </c>
      <c r="AT999" s="4">
        <f t="shared" si="659"/>
      </c>
    </row>
    <row r="1000" spans="1:46" x14ac:dyDescent="0.3">
      <c r="A1000" s="5">
        <f t="shared" si="631"/>
      </c>
      <c r="B1000" s="4">
        <f t="shared" si="632"/>
      </c>
      <c r="C1000" s="59"/>
      <c r="D1000" s="59"/>
      <c r="E1000" s="70"/>
      <c r="F1000" s="164"/>
      <c r="G1000" s="164"/>
      <c r="H1000" s="164"/>
      <c r="I1000" s="70"/>
      <c r="J1000" s="70"/>
      <c r="K1000" s="70"/>
      <c r="L1000" s="70"/>
      <c r="M1000" s="4">
        <f t="shared" si="633"/>
      </c>
      <c r="N1000" s="59"/>
      <c r="O1000" s="164"/>
      <c r="P1000" s="59">
        <f t="shared" si="634"/>
      </c>
      <c r="Q1000" s="165"/>
      <c r="R1000" s="59"/>
      <c r="S1000" s="164"/>
      <c r="T1000" s="5">
        <f t="shared" si="635"/>
      </c>
      <c r="U1000" s="4">
        <f t="shared" si="636"/>
      </c>
      <c r="V1000" s="4">
        <f t="shared" si="637"/>
      </c>
      <c r="W1000" s="4">
        <f t="shared" si="638"/>
      </c>
      <c r="X1000" s="4">
        <f t="shared" si="639"/>
      </c>
      <c r="Y1000" s="4" cm="1">
        <f t="array" ref="Y1000">_xlfn.IFS(H1000=1,2,H1000=3,1)</f>
      </c>
      <c r="Z1000" s="4">
        <f t="shared" si="640"/>
      </c>
      <c r="AA1000" s="4">
        <f t="shared" si="641"/>
      </c>
      <c r="AB1000" s="4">
        <f t="shared" si="642"/>
      </c>
      <c r="AC1000" s="4">
        <f t="shared" si="643"/>
      </c>
      <c r="AD1000" s="4">
        <f t="shared" si="644"/>
      </c>
      <c r="AE1000" s="4">
        <f t="shared" si="645"/>
      </c>
      <c r="AF1000" s="4">
        <f t="shared" si="646"/>
      </c>
      <c r="AG1000" s="4">
        <f t="shared" si="647"/>
        <v/>
      </c>
      <c r="AH1000" s="4">
        <f t="shared" si="648"/>
      </c>
      <c r="AI1000" s="4">
        <f t="shared" si="649"/>
      </c>
      <c r="AJ1000" s="4">
        <f t="shared" si="650"/>
      </c>
      <c r="AK1000" s="4">
        <f t="shared" si="651"/>
      </c>
      <c r="AL1000" s="4">
        <f t="shared" si="652"/>
      </c>
      <c r="AM1000" s="4">
        <f t="shared" si="653"/>
      </c>
      <c r="AN1000" s="4"/>
      <c r="AO1000" s="4">
        <f t="shared" si="654"/>
      </c>
      <c r="AP1000" s="4">
        <f t="shared" si="655"/>
      </c>
      <c r="AQ1000" s="4">
        <f t="shared" si="656"/>
        <v/>
      </c>
      <c r="AR1000" s="4">
        <f t="shared" si="657"/>
      </c>
      <c r="AS1000" s="4">
        <f t="shared" si="658"/>
      </c>
      <c r="AT1000" s="4">
        <f t="shared" si="659"/>
      </c>
    </row>
  </sheetData>
  <sheetProtection formatCells="0" formatColumns="0" formatRows="0"/>
  <autoFilter ref="A1:AT1000" xr:uid="{43554167-9E28-4852-B1D6-D3B2959E4E4B}"/>
  <phoneticPr fontId="3" type="noConversion"/>
  <conditionalFormatting sqref="A140:C147">
    <cfRule type="expression" dxfId="9718" priority="14375">
      <formula>_xlfn.ISFORMULA(A140)=TRUE</formula>
    </cfRule>
  </conditionalFormatting>
  <conditionalFormatting sqref="A174:C185">
    <cfRule type="expression" dxfId="9717" priority="14271">
      <formula>_xlfn.ISFORMULA(A174)=TRUE</formula>
    </cfRule>
  </conditionalFormatting>
  <conditionalFormatting sqref="A203:C203">
    <cfRule type="expression" dxfId="9716" priority="2747">
      <formula>_xlfn.ISFORMULA(A203)=TRUE</formula>
    </cfRule>
  </conditionalFormatting>
  <conditionalFormatting sqref="A205:C205">
    <cfRule type="expression" dxfId="9715" priority="2746">
      <formula>_xlfn.ISFORMULA(A205)=TRUE</formula>
    </cfRule>
  </conditionalFormatting>
  <conditionalFormatting sqref="A225:C231">
    <cfRule type="expression" dxfId="9714" priority="14317">
      <formula>_xlfn.ISFORMULA(A225)=TRUE</formula>
    </cfRule>
  </conditionalFormatting>
  <conditionalFormatting sqref="A233:C235">
    <cfRule type="expression" dxfId="9713" priority="2702">
      <formula>_xlfn.ISFORMULA(A233)=TRUE</formula>
    </cfRule>
  </conditionalFormatting>
  <conditionalFormatting sqref="A104:D104">
    <cfRule type="expression" dxfId="9712" priority="9402">
      <formula>_xlfn.ISFORMULA(A104)=TRUE</formula>
    </cfRule>
  </conditionalFormatting>
  <conditionalFormatting sqref="A149:D151">
    <cfRule type="expression" dxfId="9711" priority="6776">
      <formula>_xlfn.ISFORMULA(A149)=TRUE</formula>
    </cfRule>
  </conditionalFormatting>
  <conditionalFormatting sqref="A154:D155">
    <cfRule type="expression" dxfId="9710" priority="6703">
      <formula>_xlfn.ISFORMULA(A154)=TRUE</formula>
    </cfRule>
  </conditionalFormatting>
  <conditionalFormatting sqref="A204:D204">
    <cfRule type="expression" dxfId="9709" priority="2764">
      <formula>_xlfn.ISFORMULA(A204)=TRUE</formula>
    </cfRule>
  </conditionalFormatting>
  <conditionalFormatting sqref="A221:D221 G216:H223">
    <cfRule type="expression" dxfId="9708" priority="14276">
      <formula>_xlfn.ISFORMULA(A216)=TRUE</formula>
    </cfRule>
  </conditionalFormatting>
  <conditionalFormatting sqref="A270:D270">
    <cfRule type="expression" dxfId="9707" priority="186">
      <formula>_xlfn.ISFORMULA(A270)=TRUE</formula>
    </cfRule>
  </conditionalFormatting>
  <conditionalFormatting sqref="A326:D326">
    <cfRule type="expression" dxfId="9706" priority="94">
      <formula>_xlfn.ISFORMULA(A326)=TRUE</formula>
    </cfRule>
  </conditionalFormatting>
  <conditionalFormatting sqref="A495:L496">
    <cfRule type="expression" dxfId="9705" priority="14064">
      <formula>_xlfn.ISFORMULA(A495)=TRUE</formula>
    </cfRule>
  </conditionalFormatting>
  <conditionalFormatting sqref="C8">
    <cfRule type="expression" dxfId="9704" priority="1685">
      <formula>_xlfn.ISFORMULA(C8)=TRUE</formula>
    </cfRule>
  </conditionalFormatting>
  <conditionalFormatting sqref="C10:C11">
    <cfRule type="expression" dxfId="9703" priority="4112">
      <formula>_xlfn.ISFORMULA(C10)=TRUE</formula>
    </cfRule>
  </conditionalFormatting>
  <conditionalFormatting sqref="C12:C14">
    <cfRule type="expression" dxfId="9702" priority="12743">
      <formula>_xlfn.ISFORMULA(C12)=TRUE</formula>
    </cfRule>
  </conditionalFormatting>
  <conditionalFormatting sqref="C14">
    <cfRule type="duplicateValues" dxfId="9701" priority="12741"/>
    <cfRule type="duplicateValues" dxfId="9700" priority="12740"/>
    <cfRule type="duplicateValues" dxfId="9699" priority="12742"/>
  </conditionalFormatting>
  <conditionalFormatting sqref="C16">
    <cfRule type="duplicateValues" dxfId="9698" priority="4106"/>
    <cfRule type="duplicateValues" dxfId="9697" priority="4105"/>
    <cfRule type="duplicateValues" dxfId="9696" priority="4107"/>
  </conditionalFormatting>
  <conditionalFormatting sqref="C16:C20">
    <cfRule type="expression" dxfId="9695" priority="4108">
      <formula>_xlfn.ISFORMULA(C16)=TRUE</formula>
    </cfRule>
  </conditionalFormatting>
  <conditionalFormatting sqref="C28:C39 C41:D41 C43:D43 C3">
    <cfRule type="expression" dxfId="9694" priority="14507">
      <formula>_xlfn.ISFORMULA(C3)=TRUE</formula>
    </cfRule>
  </conditionalFormatting>
  <conditionalFormatting sqref="C36">
    <cfRule type="duplicateValues" dxfId="9693" priority="14506"/>
    <cfRule type="expression" dxfId="9692" priority="14505">
      <formula>_xlfn.ISFORMULA(C36)=TRUE</formula>
    </cfRule>
  </conditionalFormatting>
  <conditionalFormatting sqref="C40">
    <cfRule type="expression" dxfId="9691" priority="12637">
      <formula>_xlfn.ISFORMULA(C40)=TRUE</formula>
    </cfRule>
    <cfRule type="duplicateValues" dxfId="9690" priority="12636"/>
    <cfRule type="duplicateValues" dxfId="9689" priority="12635"/>
    <cfRule type="duplicateValues" dxfId="9688" priority="12634"/>
  </conditionalFormatting>
  <conditionalFormatting sqref="C45:C76">
    <cfRule type="expression" dxfId="9687" priority="11340">
      <formula>_xlfn.ISFORMULA(C45)=TRUE</formula>
    </cfRule>
  </conditionalFormatting>
  <conditionalFormatting sqref="C78">
    <cfRule type="expression" dxfId="9686" priority="3806">
      <formula>_xlfn.ISFORMULA(C78)=TRUE</formula>
    </cfRule>
  </conditionalFormatting>
  <conditionalFormatting sqref="C80:C87">
    <cfRule type="expression" dxfId="9685" priority="10700">
      <formula>_xlfn.ISFORMULA(C80)=TRUE</formula>
    </cfRule>
  </conditionalFormatting>
  <conditionalFormatting sqref="C89:C95">
    <cfRule type="expression" dxfId="9684" priority="10183">
      <formula>_xlfn.ISFORMULA(C89)=TRUE</formula>
    </cfRule>
  </conditionalFormatting>
  <conditionalFormatting sqref="C95">
    <cfRule type="duplicateValues" dxfId="9683" priority="10181"/>
    <cfRule type="duplicateValues" dxfId="9682" priority="10182"/>
    <cfRule type="duplicateValues" dxfId="9681" priority="10179"/>
    <cfRule type="duplicateValues" dxfId="9680" priority="10180"/>
  </conditionalFormatting>
  <conditionalFormatting sqref="C96">
    <cfRule type="expression" dxfId="9679" priority="10178">
      <formula>_xlfn.ISFORMULA(C96)=TRUE</formula>
    </cfRule>
    <cfRule type="duplicateValues" dxfId="9678" priority="10177"/>
    <cfRule type="duplicateValues" dxfId="9677" priority="10175"/>
    <cfRule type="duplicateValues" dxfId="9676" priority="10176"/>
    <cfRule type="duplicateValues" dxfId="9675" priority="10174"/>
  </conditionalFormatting>
  <conditionalFormatting sqref="C4:D6">
    <cfRule type="expression" dxfId="9674" priority="14061">
      <formula>_xlfn.ISFORMULA(C4)=TRUE</formula>
    </cfRule>
  </conditionalFormatting>
  <conditionalFormatting sqref="C7:D7 D8 C9:D9">
    <cfRule type="expression" dxfId="9673" priority="14035">
      <formula>_xlfn.ISFORMULA(C7)=TRUE</formula>
    </cfRule>
  </conditionalFormatting>
  <conditionalFormatting sqref="C9:D9 D10:D15 C12:D12">
    <cfRule type="expression" dxfId="9672" priority="14015">
      <formula>_xlfn.ISFORMULA(C9)=TRUE</formula>
    </cfRule>
  </conditionalFormatting>
  <conditionalFormatting sqref="C15:D15">
    <cfRule type="expression" dxfId="9671" priority="12838">
      <formula>_xlfn.ISFORMULA(C15)=TRUE</formula>
    </cfRule>
  </conditionalFormatting>
  <conditionalFormatting sqref="C36:D37 F36:L37">
    <cfRule type="expression" dxfId="9670" priority="14640">
      <formula>TRUE</formula>
    </cfRule>
  </conditionalFormatting>
  <conditionalFormatting sqref="C40:D40">
    <cfRule type="expression" dxfId="9669" priority="12587">
      <formula>_xlfn.ISFORMULA(C40)=TRUE</formula>
    </cfRule>
  </conditionalFormatting>
  <conditionalFormatting sqref="C3:L3">
    <cfRule type="expression" dxfId="9668" priority="14634">
      <formula>TRUE</formula>
    </cfRule>
  </conditionalFormatting>
  <conditionalFormatting sqref="C19:L20">
    <cfRule type="expression" dxfId="9667" priority="14635">
      <formula>TRUE</formula>
    </cfRule>
  </conditionalFormatting>
  <conditionalFormatting sqref="C53:L1000">
    <cfRule type="expression" dxfId="9666" priority="14643">
      <formula>AND(ROW()&gt;=19,MOD(ROW()-19,17)&lt;2)</formula>
    </cfRule>
  </conditionalFormatting>
  <conditionalFormatting sqref="D1:D3 D497:D1048576 D19:D20 D35:D36 D41 D43 D45:D46 D49 D58 D61:D62 D64 D88 D100 D66:D67 D105 D122 D128 D130 D139 D148 D152:D153 D156 D164 D170:D173 D186:D202 D12:D13 D206:D224 D291:D292 D308:D309 D232 D70:D71 D236:D269 D271:D281 D319:D325 D327:D494">
    <cfRule type="duplicateValues" dxfId="9665" priority="14091"/>
  </conditionalFormatting>
  <conditionalFormatting sqref="D1:D1048576">
    <cfRule type="duplicateValues" dxfId="9664" priority="2"/>
  </conditionalFormatting>
  <conditionalFormatting sqref="D3 D12:D13 D19:D20 D35:D36 D41 D43 D45:D46 D49 D58 D61 D66:D67 D70:D71">
    <cfRule type="expression" dxfId="9663" priority="14547">
      <formula>_xlfn.ISFORMULA(D3)=TRUE</formula>
    </cfRule>
  </conditionalFormatting>
  <conditionalFormatting sqref="D3 D19:D20 D35:D36 D41 D43 D45:D46 D49 D58 D61 D66:D67 D12:D13 D70:D71">
    <cfRule type="duplicateValues" dxfId="9662" priority="14546"/>
  </conditionalFormatting>
  <conditionalFormatting sqref="D4:D6">
    <cfRule type="duplicateValues" dxfId="9661" priority="14056"/>
    <cfRule type="duplicateValues" dxfId="9660" priority="14057"/>
    <cfRule type="duplicateValues" dxfId="9659" priority="14058"/>
    <cfRule type="duplicateValues" dxfId="9658" priority="14059"/>
    <cfRule type="duplicateValues" dxfId="9657" priority="14060"/>
  </conditionalFormatting>
  <conditionalFormatting sqref="D7:D9">
    <cfRule type="duplicateValues" dxfId="9656" priority="14030"/>
    <cfRule type="duplicateValues" dxfId="9655" priority="14031"/>
    <cfRule type="duplicateValues" dxfId="9654" priority="14032"/>
    <cfRule type="duplicateValues" dxfId="9653" priority="14033"/>
    <cfRule type="duplicateValues" dxfId="9652" priority="14034"/>
  </conditionalFormatting>
  <conditionalFormatting sqref="D9:D15">
    <cfRule type="duplicateValues" dxfId="9651" priority="14010"/>
    <cfRule type="duplicateValues" dxfId="9650" priority="14014"/>
    <cfRule type="duplicateValues" dxfId="9649" priority="14011"/>
    <cfRule type="duplicateValues" dxfId="9648" priority="14013"/>
    <cfRule type="duplicateValues" dxfId="9647" priority="14012"/>
  </conditionalFormatting>
  <conditionalFormatting sqref="D10:D11">
    <cfRule type="duplicateValues" dxfId="9646" priority="4369"/>
    <cfRule type="expression" dxfId="9645" priority="4373">
      <formula>_xlfn.ISFORMULA(D10)=TRUE</formula>
    </cfRule>
    <cfRule type="duplicateValues" dxfId="9644" priority="4368"/>
    <cfRule type="duplicateValues" dxfId="9643" priority="4371"/>
    <cfRule type="duplicateValues" dxfId="9642" priority="4370"/>
    <cfRule type="duplicateValues" dxfId="9641" priority="4372"/>
  </conditionalFormatting>
  <conditionalFormatting sqref="D14">
    <cfRule type="duplicateValues" dxfId="9640" priority="12792"/>
    <cfRule type="expression" dxfId="9639" priority="12761">
      <formula>_xlfn.ISFORMULA(D14)=TRUE</formula>
    </cfRule>
    <cfRule type="duplicateValues" dxfId="9638" priority="12760"/>
    <cfRule type="duplicateValues" dxfId="9637" priority="12728"/>
    <cfRule type="expression" dxfId="9636" priority="12758">
      <formula>_xlfn.ISFORMULA(D14)=TRUE</formula>
    </cfRule>
    <cfRule type="duplicateValues" dxfId="9635" priority="12729"/>
    <cfRule type="duplicateValues" dxfId="9634" priority="12757"/>
    <cfRule type="duplicateValues" dxfId="9633" priority="12756"/>
    <cfRule type="duplicateValues" dxfId="9632" priority="12730"/>
    <cfRule type="expression" dxfId="9631" priority="12739">
      <formula>_xlfn.ISFORMULA(D14)=TRUE</formula>
    </cfRule>
    <cfRule type="duplicateValues" dxfId="9630" priority="12738"/>
    <cfRule type="duplicateValues" dxfId="9629" priority="12732"/>
    <cfRule type="duplicateValues" dxfId="9628" priority="12731"/>
    <cfRule type="expression" dxfId="9627" priority="12733">
      <formula>_xlfn.ISFORMULA(D14)=TRUE</formula>
    </cfRule>
    <cfRule type="expression" dxfId="9626" priority="12735">
      <formula>_xlfn.ISFORMULA(D14)=TRUE</formula>
    </cfRule>
    <cfRule type="duplicateValues" dxfId="9625" priority="12734"/>
    <cfRule type="duplicateValues" dxfId="9624" priority="12803"/>
    <cfRule type="duplicateValues" dxfId="9623" priority="12736"/>
    <cfRule type="duplicateValues" dxfId="9622" priority="12802"/>
    <cfRule type="duplicateValues" dxfId="9621" priority="12801"/>
    <cfRule type="expression" dxfId="9620" priority="12797">
      <formula>_xlfn.ISFORMULA(D14)=TRUE</formula>
    </cfRule>
    <cfRule type="duplicateValues" dxfId="9619" priority="12796"/>
    <cfRule type="duplicateValues" dxfId="9618" priority="12793"/>
    <cfRule type="expression" dxfId="9617" priority="12794">
      <formula>_xlfn.ISFORMULA(D14)=TRUE</formula>
    </cfRule>
    <cfRule type="duplicateValues" dxfId="9616" priority="12737"/>
    <cfRule type="expression" dxfId="9615" priority="12804">
      <formula>_xlfn.ISFORMULA(D14)=TRUE</formula>
    </cfRule>
  </conditionalFormatting>
  <conditionalFormatting sqref="D14:D15">
    <cfRule type="duplicateValues" dxfId="9614" priority="4374"/>
    <cfRule type="duplicateValues" dxfId="9613" priority="4376"/>
    <cfRule type="expression" dxfId="9612" priority="4382">
      <formula>_xlfn.ISFORMULA(D14)=TRUE</formula>
    </cfRule>
    <cfRule type="duplicateValues" dxfId="9611" priority="4381"/>
    <cfRule type="duplicateValues" dxfId="9610" priority="4377"/>
  </conditionalFormatting>
  <conditionalFormatting sqref="D15">
    <cfRule type="duplicateValues" dxfId="9609" priority="12835"/>
    <cfRule type="duplicateValues" dxfId="9608" priority="12837"/>
    <cfRule type="duplicateValues" dxfId="9607" priority="12834"/>
    <cfRule type="duplicateValues" dxfId="9606" priority="12833"/>
  </conditionalFormatting>
  <conditionalFormatting sqref="D15:D18">
    <cfRule type="duplicateValues" dxfId="9605" priority="13794"/>
    <cfRule type="duplicateValues" dxfId="9604" priority="13797"/>
    <cfRule type="duplicateValues" dxfId="9603" priority="13793"/>
    <cfRule type="expression" dxfId="9602" priority="13798">
      <formula>_xlfn.ISFORMULA(D15)=TRUE</formula>
    </cfRule>
    <cfRule type="duplicateValues" dxfId="9601" priority="13795"/>
  </conditionalFormatting>
  <conditionalFormatting sqref="D16">
    <cfRule type="expression" dxfId="9600" priority="4229">
      <formula>_xlfn.ISFORMULA(D16)=TRUE</formula>
    </cfRule>
    <cfRule type="duplicateValues" dxfId="9599" priority="4228"/>
    <cfRule type="expression" dxfId="9598" priority="4243">
      <formula>_xlfn.ISFORMULA(D16)=TRUE</formula>
    </cfRule>
    <cfRule type="duplicateValues" dxfId="9597" priority="4227"/>
    <cfRule type="expression" dxfId="9596" priority="4264">
      <formula>_xlfn.ISFORMULA(D16)=TRUE</formula>
    </cfRule>
    <cfRule type="duplicateValues" dxfId="9595" priority="4219"/>
    <cfRule type="duplicateValues" dxfId="9594" priority="4226"/>
    <cfRule type="expression" dxfId="9593" priority="4225">
      <formula>_xlfn.ISFORMULA(D16)=TRUE</formula>
    </cfRule>
    <cfRule type="duplicateValues" dxfId="9592" priority="4224"/>
    <cfRule type="duplicateValues" dxfId="9591" priority="4263"/>
    <cfRule type="expression" dxfId="9590" priority="4246">
      <formula>_xlfn.ISFORMULA(D16)=TRUE</formula>
    </cfRule>
    <cfRule type="duplicateValues" dxfId="9589" priority="4222"/>
    <cfRule type="expression" dxfId="9588" priority="4223">
      <formula>_xlfn.ISFORMULA(D16)=TRUE</formula>
    </cfRule>
    <cfRule type="duplicateValues" dxfId="9587" priority="4221"/>
    <cfRule type="duplicateValues" dxfId="9586" priority="4220"/>
    <cfRule type="duplicateValues" dxfId="9585" priority="4218"/>
    <cfRule type="duplicateValues" dxfId="9584" priority="4241"/>
    <cfRule type="duplicateValues" dxfId="9583" priority="4242"/>
    <cfRule type="expression" dxfId="9582" priority="4274">
      <formula>_xlfn.ISFORMULA(D16)=TRUE</formula>
    </cfRule>
    <cfRule type="duplicateValues" dxfId="9581" priority="4262"/>
    <cfRule type="duplicateValues" dxfId="9580" priority="4273"/>
    <cfRule type="duplicateValues" dxfId="9579" priority="4272"/>
    <cfRule type="duplicateValues" dxfId="9578" priority="4271"/>
    <cfRule type="expression" dxfId="9577" priority="4267">
      <formula>_xlfn.ISFORMULA(D16)=TRUE</formula>
    </cfRule>
    <cfRule type="duplicateValues" dxfId="9576" priority="4266"/>
    <cfRule type="duplicateValues" dxfId="9575" priority="4245"/>
  </conditionalFormatting>
  <conditionalFormatting sqref="D21">
    <cfRule type="duplicateValues" dxfId="9574" priority="12866"/>
    <cfRule type="expression" dxfId="9573" priority="12870">
      <formula>_xlfn.ISFORMULA(D21)=TRUE</formula>
    </cfRule>
    <cfRule type="duplicateValues" dxfId="9572" priority="12867"/>
    <cfRule type="duplicateValues" dxfId="9571" priority="12865"/>
    <cfRule type="duplicateValues" dxfId="9570" priority="12869"/>
  </conditionalFormatting>
  <conditionalFormatting sqref="D22:D28">
    <cfRule type="duplicateValues" dxfId="9569" priority="13745"/>
    <cfRule type="duplicateValues" dxfId="9568" priority="13744"/>
    <cfRule type="duplicateValues" dxfId="9567" priority="13748"/>
    <cfRule type="expression" dxfId="9566" priority="13749">
      <formula>_xlfn.ISFORMULA(D22)=TRUE</formula>
    </cfRule>
    <cfRule type="duplicateValues" dxfId="9565" priority="13746"/>
  </conditionalFormatting>
  <conditionalFormatting sqref="D28:D30">
    <cfRule type="duplicateValues" dxfId="9564" priority="13609"/>
    <cfRule type="duplicateValues" dxfId="9563" priority="13610"/>
    <cfRule type="duplicateValues" dxfId="9562" priority="13611"/>
    <cfRule type="duplicateValues" dxfId="9561" priority="13613"/>
    <cfRule type="expression" dxfId="9560" priority="13614">
      <formula>_xlfn.ISFORMULA(D28)=TRUE</formula>
    </cfRule>
  </conditionalFormatting>
  <conditionalFormatting sqref="D30">
    <cfRule type="duplicateValues" dxfId="9559" priority="13515"/>
    <cfRule type="duplicateValues" dxfId="9558" priority="13516"/>
    <cfRule type="duplicateValues" dxfId="9557" priority="13519"/>
    <cfRule type="expression" dxfId="9556" priority="13520">
      <formula>_xlfn.ISFORMULA(D30)=TRUE</formula>
    </cfRule>
    <cfRule type="duplicateValues" dxfId="9555" priority="13517"/>
  </conditionalFormatting>
  <conditionalFormatting sqref="D31">
    <cfRule type="duplicateValues" dxfId="9554" priority="13468"/>
    <cfRule type="duplicateValues" dxfId="9553" priority="13470"/>
    <cfRule type="expression" dxfId="9552" priority="13471">
      <formula>_xlfn.ISFORMULA(D31)=TRUE</formula>
    </cfRule>
    <cfRule type="duplicateValues" dxfId="9551" priority="13101"/>
    <cfRule type="duplicateValues" dxfId="9550" priority="13102"/>
    <cfRule type="expression" dxfId="9549" priority="13105">
      <formula>_xlfn.ISFORMULA(D31)=TRUE</formula>
    </cfRule>
    <cfRule type="duplicateValues" dxfId="9548" priority="13100"/>
    <cfRule type="duplicateValues" dxfId="9547" priority="13104"/>
    <cfRule type="duplicateValues" dxfId="9546" priority="13466"/>
    <cfRule type="duplicateValues" dxfId="9545" priority="13467"/>
  </conditionalFormatting>
  <conditionalFormatting sqref="D32">
    <cfRule type="duplicateValues" dxfId="9544" priority="13051"/>
    <cfRule type="expression" dxfId="9543" priority="13056">
      <formula>_xlfn.ISFORMULA(D32)=TRUE</formula>
    </cfRule>
    <cfRule type="duplicateValues" dxfId="9542" priority="13055"/>
    <cfRule type="duplicateValues" dxfId="9541" priority="13053"/>
    <cfRule type="duplicateValues" dxfId="9540" priority="13052"/>
  </conditionalFormatting>
  <conditionalFormatting sqref="D32:D34">
    <cfRule type="duplicateValues" dxfId="9539" priority="13417"/>
    <cfRule type="duplicateValues" dxfId="9538" priority="13418"/>
    <cfRule type="duplicateValues" dxfId="9537" priority="13419"/>
    <cfRule type="expression" dxfId="9536" priority="13422">
      <formula>_xlfn.ISFORMULA(D32)=TRUE</formula>
    </cfRule>
    <cfRule type="duplicateValues" dxfId="9535" priority="13421"/>
  </conditionalFormatting>
  <conditionalFormatting sqref="D34">
    <cfRule type="duplicateValues" dxfId="9534" priority="13325"/>
    <cfRule type="duplicateValues" dxfId="9533" priority="13326"/>
    <cfRule type="duplicateValues" dxfId="9532" priority="13328"/>
    <cfRule type="expression" dxfId="9531" priority="13329">
      <formula>_xlfn.ISFORMULA(D34)=TRUE</formula>
    </cfRule>
    <cfRule type="duplicateValues" dxfId="9530" priority="13324"/>
  </conditionalFormatting>
  <conditionalFormatting sqref="D35">
    <cfRule type="expression" dxfId="9529" priority="12919">
      <formula>_xlfn.ISFORMULA(D35)=TRUE</formula>
    </cfRule>
    <cfRule type="duplicateValues" dxfId="9528" priority="12916"/>
    <cfRule type="duplicateValues" dxfId="9527" priority="12914"/>
    <cfRule type="duplicateValues" dxfId="9526" priority="12918"/>
    <cfRule type="duplicateValues" dxfId="9525" priority="12915"/>
  </conditionalFormatting>
  <conditionalFormatting sqref="D35:D36">
    <cfRule type="expression" dxfId="9524" priority="14544">
      <formula>_xlfn.ISFORMULA(D35)=TRUE</formula>
    </cfRule>
  </conditionalFormatting>
  <conditionalFormatting sqref="D37">
    <cfRule type="expression" dxfId="9523" priority="1172">
      <formula>_xlfn.ISFORMULA(D37)=TRUE</formula>
    </cfRule>
    <cfRule type="duplicateValues" dxfId="9522" priority="1170"/>
    <cfRule type="duplicateValues" dxfId="9521" priority="1169"/>
    <cfRule type="expression" dxfId="9520" priority="1168">
      <formula>_xlfn.ISFORMULA(D37)=TRUE</formula>
    </cfRule>
    <cfRule type="duplicateValues" dxfId="9519" priority="1167"/>
    <cfRule type="duplicateValues" dxfId="9518" priority="1171"/>
    <cfRule type="duplicateValues" dxfId="9517" priority="1166"/>
    <cfRule type="duplicateValues" dxfId="9516" priority="1165"/>
  </conditionalFormatting>
  <conditionalFormatting sqref="D38">
    <cfRule type="duplicateValues" dxfId="9515" priority="12685"/>
    <cfRule type="duplicateValues" dxfId="9514" priority="12686"/>
    <cfRule type="duplicateValues" dxfId="9513" priority="12687"/>
    <cfRule type="expression" dxfId="9512" priority="12692">
      <formula>_xlfn.ISFORMULA(D38)=TRUE</formula>
    </cfRule>
    <cfRule type="duplicateValues" dxfId="9511" priority="12691"/>
    <cfRule type="duplicateValues" dxfId="9510" priority="12690"/>
    <cfRule type="duplicateValues" dxfId="9509" priority="12689"/>
    <cfRule type="expression" dxfId="9508" priority="12688">
      <formula>_xlfn.ISFORMULA(D38)=TRUE</formula>
    </cfRule>
  </conditionalFormatting>
  <conditionalFormatting sqref="D40">
    <cfRule type="duplicateValues" dxfId="9507" priority="12582"/>
    <cfRule type="expression" dxfId="9506" priority="12583">
      <formula>_xlfn.ISFORMULA(D40)=TRUE</formula>
    </cfRule>
    <cfRule type="duplicateValues" dxfId="9505" priority="12632"/>
    <cfRule type="duplicateValues" dxfId="9504" priority="12631"/>
    <cfRule type="duplicateValues" dxfId="9503" priority="12630"/>
    <cfRule type="duplicateValues" dxfId="9502" priority="12584"/>
    <cfRule type="duplicateValues" dxfId="9501" priority="12585"/>
    <cfRule type="duplicateValues" dxfId="9500" priority="12622"/>
    <cfRule type="expression" dxfId="9499" priority="12629">
      <formula>_xlfn.ISFORMULA(D40)=TRUE</formula>
    </cfRule>
    <cfRule type="duplicateValues" dxfId="9498" priority="12628"/>
    <cfRule type="duplicateValues" dxfId="9497" priority="12623"/>
    <cfRule type="duplicateValues" dxfId="9496" priority="12624"/>
    <cfRule type="expression" dxfId="9495" priority="12627">
      <formula>_xlfn.ISFORMULA(D40)=TRUE</formula>
    </cfRule>
    <cfRule type="duplicateValues" dxfId="9494" priority="12626"/>
    <cfRule type="duplicateValues" dxfId="9493" priority="12625"/>
    <cfRule type="duplicateValues" dxfId="9492" priority="12580"/>
    <cfRule type="expression" dxfId="9491" priority="12633">
      <formula>_xlfn.ISFORMULA(D40)=TRUE</formula>
    </cfRule>
    <cfRule type="duplicateValues" dxfId="9490" priority="12581"/>
    <cfRule type="duplicateValues" dxfId="9489" priority="12586"/>
  </conditionalFormatting>
  <conditionalFormatting sqref="D45:D46 D49">
    <cfRule type="expression" dxfId="9488" priority="14537">
      <formula>_xlfn.ISFORMULA(D45)=TRUE</formula>
    </cfRule>
  </conditionalFormatting>
  <conditionalFormatting sqref="D47:D48">
    <cfRule type="duplicateValues" dxfId="9487" priority="12461"/>
    <cfRule type="expression" dxfId="9486" priority="12462">
      <formula>_xlfn.ISFORMULA(D47)=TRUE</formula>
    </cfRule>
    <cfRule type="duplicateValues" dxfId="9485" priority="12457"/>
    <cfRule type="duplicateValues" dxfId="9484" priority="12458"/>
    <cfRule type="duplicateValues" dxfId="9483" priority="12459"/>
    <cfRule type="expression" dxfId="9482" priority="12460">
      <formula>_xlfn.ISFORMULA(D47)=TRUE</formula>
    </cfRule>
  </conditionalFormatting>
  <conditionalFormatting sqref="D50">
    <cfRule type="duplicateValues" dxfId="9481" priority="12337"/>
    <cfRule type="expression" dxfId="9480" priority="12342">
      <formula>_xlfn.ISFORMULA(D50)=TRUE</formula>
    </cfRule>
    <cfRule type="duplicateValues" dxfId="9479" priority="12339"/>
    <cfRule type="duplicateValues" dxfId="9478" priority="12338"/>
    <cfRule type="expression" dxfId="9477" priority="12340">
      <formula>_xlfn.ISFORMULA(D50)=TRUE</formula>
    </cfRule>
    <cfRule type="duplicateValues" dxfId="9476" priority="12341"/>
  </conditionalFormatting>
  <conditionalFormatting sqref="D51:D52">
    <cfRule type="duplicateValues" dxfId="9475" priority="12265"/>
    <cfRule type="duplicateValues" dxfId="9474" priority="12267"/>
    <cfRule type="duplicateValues" dxfId="9473" priority="12266"/>
    <cfRule type="expression" dxfId="9472" priority="12268">
      <formula>_xlfn.ISFORMULA(D51)=TRUE</formula>
    </cfRule>
    <cfRule type="duplicateValues" dxfId="9471" priority="12269"/>
    <cfRule type="expression" dxfId="9470" priority="12270">
      <formula>_xlfn.ISFORMULA(D51)=TRUE</formula>
    </cfRule>
  </conditionalFormatting>
  <conditionalFormatting sqref="D53">
    <cfRule type="duplicateValues" dxfId="9469" priority="12195"/>
    <cfRule type="duplicateValues" dxfId="9468" priority="12196"/>
    <cfRule type="expression" dxfId="9467" priority="12197">
      <formula>_xlfn.ISFORMULA(D53)=TRUE</formula>
    </cfRule>
    <cfRule type="expression" dxfId="9466" priority="12199">
      <formula>_xlfn.ISFORMULA(D53)=TRUE</formula>
    </cfRule>
    <cfRule type="duplicateValues" dxfId="9465" priority="12198"/>
    <cfRule type="duplicateValues" dxfId="9464" priority="12194"/>
  </conditionalFormatting>
  <conditionalFormatting sqref="D54">
    <cfRule type="duplicateValues" dxfId="9463" priority="1100"/>
    <cfRule type="expression" dxfId="9462" priority="1105">
      <formula>_xlfn.ISFORMULA(D54)=TRUE</formula>
    </cfRule>
    <cfRule type="duplicateValues" dxfId="9461" priority="1104"/>
    <cfRule type="expression" dxfId="9460" priority="1103">
      <formula>_xlfn.ISFORMULA(D54)=TRUE</formula>
    </cfRule>
    <cfRule type="duplicateValues" dxfId="9459" priority="1102"/>
    <cfRule type="duplicateValues" dxfId="9458" priority="1101"/>
  </conditionalFormatting>
  <conditionalFormatting sqref="D55">
    <cfRule type="duplicateValues" dxfId="9457" priority="12133"/>
    <cfRule type="expression" dxfId="9456" priority="12134">
      <formula>_xlfn.ISFORMULA(D55)=TRUE</formula>
    </cfRule>
    <cfRule type="duplicateValues" dxfId="9455" priority="12131"/>
    <cfRule type="duplicateValues" dxfId="9454" priority="12129"/>
    <cfRule type="duplicateValues" dxfId="9453" priority="12130"/>
    <cfRule type="expression" dxfId="9452" priority="12132">
      <formula>_xlfn.ISFORMULA(D55)=TRUE</formula>
    </cfRule>
  </conditionalFormatting>
  <conditionalFormatting sqref="D56:D57">
    <cfRule type="duplicateValues" dxfId="9451" priority="12068"/>
    <cfRule type="duplicateValues" dxfId="9450" priority="12064"/>
    <cfRule type="duplicateValues" dxfId="9449" priority="12065"/>
    <cfRule type="duplicateValues" dxfId="9448" priority="12066"/>
    <cfRule type="expression" dxfId="9447" priority="12067">
      <formula>_xlfn.ISFORMULA(D56)=TRUE</formula>
    </cfRule>
    <cfRule type="expression" dxfId="9446" priority="12069">
      <formula>_xlfn.ISFORMULA(D56)=TRUE</formula>
    </cfRule>
  </conditionalFormatting>
  <conditionalFormatting sqref="D59:D60">
    <cfRule type="duplicateValues" dxfId="9445" priority="11879"/>
    <cfRule type="duplicateValues" dxfId="9444" priority="11876"/>
    <cfRule type="expression" dxfId="9443" priority="11880">
      <formula>_xlfn.ISFORMULA(D59)=TRUE</formula>
    </cfRule>
    <cfRule type="duplicateValues" dxfId="9442" priority="11877"/>
    <cfRule type="duplicateValues" dxfId="9441" priority="11875"/>
  </conditionalFormatting>
  <conditionalFormatting sqref="D62">
    <cfRule type="duplicateValues" dxfId="9440" priority="14241"/>
    <cfRule type="duplicateValues" dxfId="9439" priority="14242"/>
    <cfRule type="duplicateValues" dxfId="9438" priority="14248"/>
    <cfRule type="expression" dxfId="9437" priority="14249">
      <formula>_xlfn.ISFORMULA(D62)=TRUE</formula>
    </cfRule>
  </conditionalFormatting>
  <conditionalFormatting sqref="D63">
    <cfRule type="duplicateValues" dxfId="9436" priority="11755"/>
    <cfRule type="expression" dxfId="9435" priority="11759">
      <formula>_xlfn.ISFORMULA(D63)=TRUE</formula>
    </cfRule>
    <cfRule type="duplicateValues" dxfId="9434" priority="11758"/>
    <cfRule type="duplicateValues" dxfId="9433" priority="11757"/>
    <cfRule type="duplicateValues" dxfId="9432" priority="11756"/>
  </conditionalFormatting>
  <conditionalFormatting sqref="D64">
    <cfRule type="duplicateValues" dxfId="9431" priority="14252"/>
    <cfRule type="duplicateValues" dxfId="9430" priority="14253"/>
    <cfRule type="duplicateValues" dxfId="9429" priority="14259"/>
    <cfRule type="expression" dxfId="9428" priority="14260">
      <formula>_xlfn.ISFORMULA(D64)=TRUE</formula>
    </cfRule>
  </conditionalFormatting>
  <conditionalFormatting sqref="D65">
    <cfRule type="duplicateValues" dxfId="9427" priority="11693"/>
    <cfRule type="duplicateValues" dxfId="9426" priority="11694"/>
    <cfRule type="duplicateValues" dxfId="9425" priority="11695"/>
    <cfRule type="expression" dxfId="9424" priority="11696">
      <formula>_xlfn.ISFORMULA(D65)=TRUE</formula>
    </cfRule>
    <cfRule type="duplicateValues" dxfId="9423" priority="11692"/>
  </conditionalFormatting>
  <conditionalFormatting sqref="D68">
    <cfRule type="duplicateValues" dxfId="9422" priority="1561"/>
    <cfRule type="duplicateValues" dxfId="9421" priority="1562"/>
    <cfRule type="duplicateValues" dxfId="9420" priority="1563"/>
    <cfRule type="duplicateValues" dxfId="9419" priority="1564"/>
    <cfRule type="expression" dxfId="9418" priority="1565">
      <formula>_xlfn.ISFORMULA(D68)=TRUE</formula>
    </cfRule>
    <cfRule type="duplicateValues" dxfId="9417" priority="1583"/>
    <cfRule type="duplicateValues" dxfId="9416" priority="1584"/>
    <cfRule type="duplicateValues" dxfId="9415" priority="1585"/>
    <cfRule type="duplicateValues" dxfId="9414" priority="1586"/>
    <cfRule type="expression" dxfId="9413" priority="1587">
      <formula>_xlfn.ISFORMULA(D68)=TRUE</formula>
    </cfRule>
  </conditionalFormatting>
  <conditionalFormatting sqref="D69">
    <cfRule type="duplicateValues" dxfId="9412" priority="1520"/>
    <cfRule type="duplicateValues" dxfId="9411" priority="1518"/>
    <cfRule type="duplicateValues" dxfId="9410" priority="1517"/>
    <cfRule type="expression" dxfId="9409" priority="1516">
      <formula>_xlfn.ISFORMULA(D69)=TRUE</formula>
    </cfRule>
    <cfRule type="duplicateValues" dxfId="9408" priority="1515"/>
    <cfRule type="duplicateValues" dxfId="9407" priority="1514"/>
    <cfRule type="duplicateValues" dxfId="9406" priority="1513"/>
    <cfRule type="duplicateValues" dxfId="9405" priority="1512"/>
    <cfRule type="expression" dxfId="9404" priority="1521">
      <formula>_xlfn.ISFORMULA(D69)=TRUE</formula>
    </cfRule>
    <cfRule type="duplicateValues" dxfId="9403" priority="1519"/>
  </conditionalFormatting>
  <conditionalFormatting sqref="D73">
    <cfRule type="duplicateValues" dxfId="9402" priority="3918"/>
    <cfRule type="duplicateValues" dxfId="9401" priority="3919"/>
    <cfRule type="duplicateValues" dxfId="9400" priority="3922"/>
    <cfRule type="duplicateValues" dxfId="9399" priority="3920"/>
    <cfRule type="expression" dxfId="9398" priority="3921">
      <formula>_xlfn.ISFORMULA(D73)=TRUE</formula>
    </cfRule>
    <cfRule type="duplicateValues" dxfId="9397" priority="3923"/>
    <cfRule type="duplicateValues" dxfId="9396" priority="3924"/>
    <cfRule type="expression" dxfId="9395" priority="3925">
      <formula>_xlfn.ISFORMULA(D73)=TRUE</formula>
    </cfRule>
  </conditionalFormatting>
  <conditionalFormatting sqref="D75">
    <cfRule type="duplicateValues" dxfId="9394" priority="3892"/>
    <cfRule type="duplicateValues" dxfId="9393" priority="3890"/>
    <cfRule type="duplicateValues" dxfId="9392" priority="3864"/>
    <cfRule type="duplicateValues" dxfId="9391" priority="3889"/>
    <cfRule type="duplicateValues" dxfId="9390" priority="3888"/>
    <cfRule type="duplicateValues" dxfId="9389" priority="3887"/>
    <cfRule type="expression" dxfId="9388" priority="3897">
      <formula>_xlfn.ISFORMULA(D75)=TRUE</formula>
    </cfRule>
    <cfRule type="duplicateValues" dxfId="9387" priority="3865"/>
    <cfRule type="duplicateValues" dxfId="9386" priority="3886"/>
    <cfRule type="expression" dxfId="9385" priority="3870">
      <formula>_xlfn.ISFORMULA(D75)=TRUE</formula>
    </cfRule>
    <cfRule type="duplicateValues" dxfId="9384" priority="3869"/>
    <cfRule type="duplicateValues" dxfId="9383" priority="3868"/>
    <cfRule type="duplicateValues" dxfId="9382" priority="3867"/>
    <cfRule type="expression" dxfId="9381" priority="3866">
      <formula>_xlfn.ISFORMULA(D75)=TRUE</formula>
    </cfRule>
    <cfRule type="duplicateValues" dxfId="9380" priority="3895"/>
    <cfRule type="duplicateValues" dxfId="9379" priority="3894"/>
    <cfRule type="expression" dxfId="9378" priority="3893">
      <formula>_xlfn.ISFORMULA(D75)=TRUE</formula>
    </cfRule>
    <cfRule type="duplicateValues" dxfId="9377" priority="3863"/>
    <cfRule type="expression" dxfId="9376" priority="3891">
      <formula>_xlfn.ISFORMULA(D75)=TRUE</formula>
    </cfRule>
    <cfRule type="duplicateValues" dxfId="9375" priority="3896"/>
  </conditionalFormatting>
  <conditionalFormatting sqref="D76">
    <cfRule type="duplicateValues" dxfId="9374" priority="11342"/>
    <cfRule type="duplicateValues" dxfId="9373" priority="11341"/>
    <cfRule type="duplicateValues" dxfId="9372" priority="11343"/>
    <cfRule type="duplicateValues" dxfId="9371" priority="11339"/>
    <cfRule type="expression" dxfId="9370" priority="11344">
      <formula>_xlfn.ISFORMULA(D76)=TRUE</formula>
    </cfRule>
  </conditionalFormatting>
  <conditionalFormatting sqref="D78">
    <cfRule type="expression" dxfId="9369" priority="3812">
      <formula>_xlfn.ISFORMULA(D78)=TRUE</formula>
    </cfRule>
    <cfRule type="duplicateValues" dxfId="9368" priority="3804"/>
    <cfRule type="duplicateValues" dxfId="9367" priority="3811"/>
    <cfRule type="duplicateValues" dxfId="9366" priority="3805"/>
    <cfRule type="duplicateValues" dxfId="9365" priority="3803"/>
  </conditionalFormatting>
  <conditionalFormatting sqref="D80">
    <cfRule type="duplicateValues" dxfId="9364" priority="11091"/>
    <cfRule type="duplicateValues" dxfId="9363" priority="11094"/>
    <cfRule type="duplicateValues" dxfId="9362" priority="11093"/>
    <cfRule type="duplicateValues" dxfId="9361" priority="11095"/>
    <cfRule type="expression" dxfId="9360" priority="11096">
      <formula>_xlfn.ISFORMULA(D80)=TRUE</formula>
    </cfRule>
  </conditionalFormatting>
  <conditionalFormatting sqref="D81:D86">
    <cfRule type="expression" dxfId="9359" priority="3706">
      <formula>_xlfn.ISFORMULA(D81)=TRUE</formula>
    </cfRule>
  </conditionalFormatting>
  <conditionalFormatting sqref="D87">
    <cfRule type="expression" dxfId="9358" priority="10704">
      <formula>_xlfn.ISFORMULA(D87)=TRUE</formula>
    </cfRule>
    <cfRule type="duplicateValues" dxfId="9357" priority="10701"/>
    <cfRule type="duplicateValues" dxfId="9356" priority="10703"/>
    <cfRule type="duplicateValues" dxfId="9355" priority="10702"/>
    <cfRule type="duplicateValues" dxfId="9354" priority="10699"/>
  </conditionalFormatting>
  <conditionalFormatting sqref="D89:D93">
    <cfRule type="expression" dxfId="9353" priority="3703">
      <formula>_xlfn.ISFORMULA(D89)=TRUE</formula>
    </cfRule>
  </conditionalFormatting>
  <conditionalFormatting sqref="D94">
    <cfRule type="duplicateValues" dxfId="9352" priority="10304"/>
    <cfRule type="duplicateValues" dxfId="9351" priority="10305"/>
    <cfRule type="duplicateValues" dxfId="9350" priority="10306"/>
    <cfRule type="duplicateValues" dxfId="9349" priority="10302"/>
    <cfRule type="expression" dxfId="9348" priority="10307">
      <formula>_xlfn.ISFORMULA(D94)=TRUE</formula>
    </cfRule>
  </conditionalFormatting>
  <conditionalFormatting sqref="D95:D96">
    <cfRule type="duplicateValues" dxfId="9347" priority="10162"/>
    <cfRule type="duplicateValues" dxfId="9346" priority="10160"/>
    <cfRule type="duplicateValues" dxfId="9345" priority="10159"/>
    <cfRule type="duplicateValues" dxfId="9344" priority="10158"/>
    <cfRule type="expression" dxfId="9343" priority="10161">
      <formula>_xlfn.ISFORMULA(D95)=TRUE</formula>
    </cfRule>
    <cfRule type="expression" dxfId="9342" priority="10163">
      <formula>_xlfn.ISFORMULA(D95)=TRUE</formula>
    </cfRule>
  </conditionalFormatting>
  <conditionalFormatting sqref="D97:D98">
    <cfRule type="duplicateValues" dxfId="9341" priority="10090"/>
    <cfRule type="duplicateValues" dxfId="9340" priority="10091"/>
    <cfRule type="duplicateValues" dxfId="9339" priority="10093"/>
    <cfRule type="duplicateValues" dxfId="9338" priority="10089"/>
    <cfRule type="expression" dxfId="9337" priority="10092">
      <formula>_xlfn.ISFORMULA(D97)=TRUE</formula>
    </cfRule>
    <cfRule type="expression" dxfId="9336" priority="10094">
      <formula>_xlfn.ISFORMULA(D97)=TRUE</formula>
    </cfRule>
  </conditionalFormatting>
  <conditionalFormatting sqref="D99">
    <cfRule type="duplicateValues" dxfId="9335" priority="9959"/>
    <cfRule type="expression" dxfId="9334" priority="9960">
      <formula>_xlfn.ISFORMULA(D99)=TRUE</formula>
    </cfRule>
    <cfRule type="duplicateValues" dxfId="9333" priority="9961"/>
    <cfRule type="expression" dxfId="9332" priority="9962">
      <formula>_xlfn.ISFORMULA(D99)=TRUE</formula>
    </cfRule>
    <cfRule type="duplicateValues" dxfId="9331" priority="9957"/>
    <cfRule type="duplicateValues" dxfId="9330" priority="9958"/>
  </conditionalFormatting>
  <conditionalFormatting sqref="D100">
    <cfRule type="duplicateValues" dxfId="9329" priority="14476"/>
    <cfRule type="expression" dxfId="9328" priority="14477">
      <formula>_xlfn.ISFORMULA(D100)=TRUE</formula>
    </cfRule>
  </conditionalFormatting>
  <conditionalFormatting sqref="D101:D102">
    <cfRule type="duplicateValues" dxfId="9327" priority="9892"/>
    <cfRule type="duplicateValues" dxfId="9326" priority="9890"/>
    <cfRule type="expression" dxfId="9325" priority="9891">
      <formula>_xlfn.ISFORMULA(D101)=TRUE</formula>
    </cfRule>
    <cfRule type="expression" dxfId="9324" priority="9893">
      <formula>_xlfn.ISFORMULA(D101)=TRUE</formula>
    </cfRule>
    <cfRule type="duplicateValues" dxfId="9323" priority="9889"/>
    <cfRule type="duplicateValues" dxfId="9322" priority="9888"/>
  </conditionalFormatting>
  <conditionalFormatting sqref="D103">
    <cfRule type="duplicateValues" dxfId="9321" priority="9757"/>
    <cfRule type="duplicateValues" dxfId="9320" priority="9756"/>
    <cfRule type="duplicateValues" dxfId="9319" priority="9758"/>
    <cfRule type="expression" dxfId="9318" priority="9759">
      <formula>_xlfn.ISFORMULA(D103)=TRUE</formula>
    </cfRule>
    <cfRule type="expression" dxfId="9317" priority="9761">
      <formula>_xlfn.ISFORMULA(D103)=TRUE</formula>
    </cfRule>
    <cfRule type="duplicateValues" dxfId="9316" priority="9760"/>
  </conditionalFormatting>
  <conditionalFormatting sqref="D104">
    <cfRule type="duplicateValues" dxfId="9315" priority="9398"/>
    <cfRule type="duplicateValues" dxfId="9314" priority="9399"/>
    <cfRule type="duplicateValues" dxfId="9313" priority="9400"/>
    <cfRule type="duplicateValues" dxfId="9312" priority="9401"/>
  </conditionalFormatting>
  <conditionalFormatting sqref="D106">
    <cfRule type="expression" dxfId="9311" priority="9672">
      <formula>_xlfn.ISFORMULA(D106)=TRUE</formula>
    </cfRule>
    <cfRule type="duplicateValues" dxfId="9310" priority="9667"/>
    <cfRule type="duplicateValues" dxfId="9309" priority="9668"/>
    <cfRule type="duplicateValues" dxfId="9308" priority="9669"/>
    <cfRule type="expression" dxfId="9307" priority="9670">
      <formula>_xlfn.ISFORMULA(D106)=TRUE</formula>
    </cfRule>
    <cfRule type="duplicateValues" dxfId="9306" priority="9671"/>
  </conditionalFormatting>
  <conditionalFormatting sqref="D107">
    <cfRule type="duplicateValues" dxfId="9305" priority="9406"/>
    <cfRule type="duplicateValues" dxfId="9304" priority="9405"/>
    <cfRule type="duplicateValues" dxfId="9303" priority="9408"/>
    <cfRule type="duplicateValues" dxfId="9302" priority="9404"/>
    <cfRule type="expression" dxfId="9301" priority="9407">
      <formula>_xlfn.ISFORMULA(D107)=TRUE</formula>
    </cfRule>
  </conditionalFormatting>
  <conditionalFormatting sqref="D108">
    <cfRule type="expression" dxfId="9300" priority="9551">
      <formula>_xlfn.ISFORMULA(D108)=TRUE</formula>
    </cfRule>
    <cfRule type="expression" dxfId="9299" priority="9549">
      <formula>_xlfn.ISFORMULA(D108)=TRUE</formula>
    </cfRule>
    <cfRule type="duplicateValues" dxfId="9298" priority="9548"/>
    <cfRule type="duplicateValues" dxfId="9297" priority="9547"/>
    <cfRule type="duplicateValues" dxfId="9296" priority="9546"/>
    <cfRule type="duplicateValues" dxfId="9295" priority="9550"/>
  </conditionalFormatting>
  <conditionalFormatting sqref="D109">
    <cfRule type="expression" dxfId="9294" priority="9480">
      <formula>_xlfn.ISFORMULA(D109)=TRUE</formula>
    </cfRule>
    <cfRule type="duplicateValues" dxfId="9293" priority="9479"/>
    <cfRule type="expression" dxfId="9292" priority="9478">
      <formula>_xlfn.ISFORMULA(D109)=TRUE</formula>
    </cfRule>
    <cfRule type="duplicateValues" dxfId="9291" priority="9477"/>
    <cfRule type="duplicateValues" dxfId="9290" priority="9475"/>
    <cfRule type="duplicateValues" dxfId="9289" priority="9476"/>
  </conditionalFormatting>
  <conditionalFormatting sqref="D110">
    <cfRule type="duplicateValues" dxfId="9288" priority="9393"/>
    <cfRule type="expression" dxfId="9287" priority="9397">
      <formula>_xlfn.ISFORMULA(D110)=TRUE</formula>
    </cfRule>
    <cfRule type="duplicateValues" dxfId="9286" priority="9396"/>
    <cfRule type="expression" dxfId="9285" priority="9395">
      <formula>_xlfn.ISFORMULA(D110)=TRUE</formula>
    </cfRule>
    <cfRule type="duplicateValues" dxfId="9284" priority="9394"/>
    <cfRule type="duplicateValues" dxfId="9283" priority="9392"/>
  </conditionalFormatting>
  <conditionalFormatting sqref="D111">
    <cfRule type="duplicateValues" dxfId="9282" priority="9326"/>
    <cfRule type="expression" dxfId="9281" priority="9325">
      <formula>_xlfn.ISFORMULA(D111)=TRUE</formula>
    </cfRule>
    <cfRule type="duplicateValues" dxfId="9280" priority="9324"/>
    <cfRule type="duplicateValues" dxfId="9279" priority="9323"/>
    <cfRule type="duplicateValues" dxfId="9278" priority="9322"/>
    <cfRule type="expression" dxfId="9277" priority="9327">
      <formula>_xlfn.ISFORMULA(D111)=TRUE</formula>
    </cfRule>
  </conditionalFormatting>
  <conditionalFormatting sqref="D112:D114">
    <cfRule type="expression" dxfId="9276" priority="9257">
      <formula>_xlfn.ISFORMULA(D112)=TRUE</formula>
    </cfRule>
    <cfRule type="duplicateValues" dxfId="9275" priority="9256"/>
    <cfRule type="expression" dxfId="9274" priority="9255">
      <formula>_xlfn.ISFORMULA(D112)=TRUE</formula>
    </cfRule>
    <cfRule type="duplicateValues" dxfId="9273" priority="9254"/>
    <cfRule type="duplicateValues" dxfId="9272" priority="9253"/>
    <cfRule type="duplicateValues" dxfId="9271" priority="9252"/>
  </conditionalFormatting>
  <conditionalFormatting sqref="D115">
    <cfRule type="expression" dxfId="9270" priority="9187">
      <formula>_xlfn.ISFORMULA(D115)=TRUE</formula>
    </cfRule>
    <cfRule type="duplicateValues" dxfId="9269" priority="9186"/>
    <cfRule type="expression" dxfId="9268" priority="9185">
      <formula>_xlfn.ISFORMULA(D115)=TRUE</formula>
    </cfRule>
    <cfRule type="duplicateValues" dxfId="9267" priority="9184"/>
    <cfRule type="duplicateValues" dxfId="9266" priority="9183"/>
    <cfRule type="duplicateValues" dxfId="9265" priority="9182"/>
  </conditionalFormatting>
  <conditionalFormatting sqref="D116">
    <cfRule type="expression" dxfId="9264" priority="9117">
      <formula>_xlfn.ISFORMULA(D116)=TRUE</formula>
    </cfRule>
    <cfRule type="duplicateValues" dxfId="9263" priority="9116"/>
    <cfRule type="expression" dxfId="9262" priority="9115">
      <formula>_xlfn.ISFORMULA(D116)=TRUE</formula>
    </cfRule>
    <cfRule type="duplicateValues" dxfId="9261" priority="9114"/>
    <cfRule type="duplicateValues" dxfId="9260" priority="9112"/>
    <cfRule type="duplicateValues" dxfId="9259" priority="9113"/>
  </conditionalFormatting>
  <conditionalFormatting sqref="D117">
    <cfRule type="expression" dxfId="9258" priority="9047">
      <formula>_xlfn.ISFORMULA(D117)=TRUE</formula>
    </cfRule>
    <cfRule type="duplicateValues" dxfId="9257" priority="9046"/>
    <cfRule type="expression" dxfId="9256" priority="9045">
      <formula>_xlfn.ISFORMULA(D117)=TRUE</formula>
    </cfRule>
    <cfRule type="duplicateValues" dxfId="9255" priority="9044"/>
    <cfRule type="duplicateValues" dxfId="9254" priority="9042"/>
    <cfRule type="duplicateValues" dxfId="9253" priority="9043"/>
  </conditionalFormatting>
  <conditionalFormatting sqref="D118">
    <cfRule type="duplicateValues" dxfId="9252" priority="8972"/>
    <cfRule type="duplicateValues" dxfId="9251" priority="8973"/>
    <cfRule type="expression" dxfId="9250" priority="8977">
      <formula>_xlfn.ISFORMULA(D118)=TRUE</formula>
    </cfRule>
    <cfRule type="duplicateValues" dxfId="9249" priority="8976"/>
    <cfRule type="expression" dxfId="9248" priority="8975">
      <formula>_xlfn.ISFORMULA(D118)=TRUE</formula>
    </cfRule>
    <cfRule type="duplicateValues" dxfId="9247" priority="8974"/>
  </conditionalFormatting>
  <conditionalFormatting sqref="D119">
    <cfRule type="duplicateValues" dxfId="9246" priority="8903"/>
    <cfRule type="expression" dxfId="9245" priority="8905">
      <formula>_xlfn.ISFORMULA(D119)=TRUE</formula>
    </cfRule>
    <cfRule type="duplicateValues" dxfId="9244" priority="8906"/>
    <cfRule type="expression" dxfId="9243" priority="8907">
      <formula>_xlfn.ISFORMULA(D119)=TRUE</formula>
    </cfRule>
    <cfRule type="duplicateValues" dxfId="9242" priority="8904"/>
    <cfRule type="duplicateValues" dxfId="9241" priority="8902"/>
  </conditionalFormatting>
  <conditionalFormatting sqref="D120">
    <cfRule type="expression" dxfId="9240" priority="8837">
      <formula>_xlfn.ISFORMULA(D120)=TRUE</formula>
    </cfRule>
    <cfRule type="duplicateValues" dxfId="9239" priority="8836"/>
    <cfRule type="expression" dxfId="9238" priority="8835">
      <formula>_xlfn.ISFORMULA(D120)=TRUE</formula>
    </cfRule>
    <cfRule type="duplicateValues" dxfId="9237" priority="8834"/>
    <cfRule type="duplicateValues" dxfId="9236" priority="8832"/>
    <cfRule type="duplicateValues" dxfId="9235" priority="8833"/>
  </conditionalFormatting>
  <conditionalFormatting sqref="D121">
    <cfRule type="duplicateValues" dxfId="9234" priority="8416"/>
    <cfRule type="expression" dxfId="9233" priority="8415">
      <formula>_xlfn.ISFORMULA(D121)=TRUE</formula>
    </cfRule>
    <cfRule type="duplicateValues" dxfId="9232" priority="8414"/>
    <cfRule type="duplicateValues" dxfId="9231" priority="8413"/>
    <cfRule type="duplicateValues" dxfId="9230" priority="8412"/>
    <cfRule type="expression" dxfId="9229" priority="8417">
      <formula>_xlfn.ISFORMULA(D121)=TRUE</formula>
    </cfRule>
  </conditionalFormatting>
  <conditionalFormatting sqref="D122">
    <cfRule type="duplicateValues" dxfId="9228" priority="7786"/>
    <cfRule type="duplicateValues" dxfId="9227" priority="7783"/>
    <cfRule type="duplicateValues" dxfId="9226" priority="7784"/>
    <cfRule type="expression" dxfId="9225" priority="7785">
      <formula>_xlfn.ISFORMULA(D122)=TRUE</formula>
    </cfRule>
    <cfRule type="expression" dxfId="9224" priority="8067">
      <formula>_xlfn.ISFORMULA(D122)=TRUE</formula>
    </cfRule>
    <cfRule type="expression" dxfId="9223" priority="7787">
      <formula>_xlfn.ISFORMULA(D122)=TRUE</formula>
    </cfRule>
    <cfRule type="duplicateValues" dxfId="9222" priority="8062"/>
    <cfRule type="duplicateValues" dxfId="9221" priority="7782"/>
    <cfRule type="duplicateValues" dxfId="9220" priority="8063"/>
    <cfRule type="duplicateValues" dxfId="9219" priority="8064"/>
    <cfRule type="expression" dxfId="9218" priority="8065">
      <formula>_xlfn.ISFORMULA(D122)=TRUE</formula>
    </cfRule>
    <cfRule type="duplicateValues" dxfId="9217" priority="8066"/>
  </conditionalFormatting>
  <conditionalFormatting sqref="D123">
    <cfRule type="expression" dxfId="9216" priority="8345">
      <formula>_xlfn.ISFORMULA(D123)=TRUE</formula>
    </cfRule>
    <cfRule type="duplicateValues" dxfId="9215" priority="8346"/>
    <cfRule type="expression" dxfId="9214" priority="8347">
      <formula>_xlfn.ISFORMULA(D123)=TRUE</formula>
    </cfRule>
    <cfRule type="duplicateValues" dxfId="9213" priority="7992"/>
    <cfRule type="expression" dxfId="9212" priority="7997">
      <formula>_xlfn.ISFORMULA(D123)=TRUE</formula>
    </cfRule>
    <cfRule type="duplicateValues" dxfId="9211" priority="7993"/>
    <cfRule type="duplicateValues" dxfId="9210" priority="7994"/>
    <cfRule type="duplicateValues" dxfId="9209" priority="7712"/>
    <cfRule type="duplicateValues" dxfId="9208" priority="7713"/>
    <cfRule type="duplicateValues" dxfId="9207" priority="7714"/>
    <cfRule type="expression" dxfId="9206" priority="7717">
      <formula>_xlfn.ISFORMULA(D123)=TRUE</formula>
    </cfRule>
    <cfRule type="expression" dxfId="9205" priority="7715">
      <formula>_xlfn.ISFORMULA(D123)=TRUE</formula>
    </cfRule>
    <cfRule type="duplicateValues" dxfId="9204" priority="7716"/>
    <cfRule type="duplicateValues" dxfId="9203" priority="8343"/>
    <cfRule type="duplicateValues" dxfId="9202" priority="8342"/>
    <cfRule type="duplicateValues" dxfId="9201" priority="8762"/>
    <cfRule type="duplicateValues" dxfId="9200" priority="8763"/>
    <cfRule type="duplicateValues" dxfId="9199" priority="7996"/>
    <cfRule type="expression" dxfId="9198" priority="8767">
      <formula>_xlfn.ISFORMULA(D123)=TRUE</formula>
    </cfRule>
    <cfRule type="duplicateValues" dxfId="9197" priority="8766"/>
    <cfRule type="expression" dxfId="9196" priority="8765">
      <formula>_xlfn.ISFORMULA(D123)=TRUE</formula>
    </cfRule>
    <cfRule type="duplicateValues" dxfId="9195" priority="8764"/>
    <cfRule type="expression" dxfId="9194" priority="7995">
      <formula>_xlfn.ISFORMULA(D123)=TRUE</formula>
    </cfRule>
    <cfRule type="duplicateValues" dxfId="9193" priority="8344"/>
  </conditionalFormatting>
  <conditionalFormatting sqref="D124">
    <cfRule type="expression" dxfId="9192" priority="7647">
      <formula>_xlfn.ISFORMULA(D124)=TRUE</formula>
    </cfRule>
    <cfRule type="duplicateValues" dxfId="9191" priority="7642"/>
    <cfRule type="duplicateValues" dxfId="9190" priority="7643"/>
    <cfRule type="duplicateValues" dxfId="9189" priority="7644"/>
    <cfRule type="expression" dxfId="9188" priority="7645">
      <formula>_xlfn.ISFORMULA(D124)=TRUE</formula>
    </cfRule>
    <cfRule type="duplicateValues" dxfId="9187" priority="7646"/>
    <cfRule type="duplicateValues" dxfId="9186" priority="8696"/>
    <cfRule type="expression" dxfId="9185" priority="7925">
      <formula>_xlfn.ISFORMULA(D124)=TRUE</formula>
    </cfRule>
    <cfRule type="expression" dxfId="9184" priority="8277">
      <formula>_xlfn.ISFORMULA(D124)=TRUE</formula>
    </cfRule>
    <cfRule type="duplicateValues" dxfId="9183" priority="8276"/>
    <cfRule type="duplicateValues" dxfId="9182" priority="7926"/>
    <cfRule type="expression" dxfId="9181" priority="8275">
      <formula>_xlfn.ISFORMULA(D124)=TRUE</formula>
    </cfRule>
    <cfRule type="expression" dxfId="9180" priority="7927">
      <formula>_xlfn.ISFORMULA(D124)=TRUE</formula>
    </cfRule>
    <cfRule type="duplicateValues" dxfId="9179" priority="7923"/>
    <cfRule type="duplicateValues" dxfId="9178" priority="7924"/>
    <cfRule type="duplicateValues" dxfId="9177" priority="8274"/>
    <cfRule type="expression" dxfId="9176" priority="8697">
      <formula>_xlfn.ISFORMULA(D124)=TRUE</formula>
    </cfRule>
    <cfRule type="duplicateValues" dxfId="9175" priority="7922"/>
    <cfRule type="duplicateValues" dxfId="9174" priority="8272"/>
    <cfRule type="duplicateValues" dxfId="9173" priority="8273"/>
    <cfRule type="expression" dxfId="9172" priority="8695">
      <formula>_xlfn.ISFORMULA(D124)=TRUE</formula>
    </cfRule>
    <cfRule type="duplicateValues" dxfId="9171" priority="8694"/>
    <cfRule type="duplicateValues" dxfId="9170" priority="8693"/>
    <cfRule type="duplicateValues" dxfId="9169" priority="8692"/>
  </conditionalFormatting>
  <conditionalFormatting sqref="D125">
    <cfRule type="expression" dxfId="9168" priority="7577">
      <formula>_xlfn.ISFORMULA(D125)=TRUE</formula>
    </cfRule>
    <cfRule type="duplicateValues" dxfId="9167" priority="7576"/>
    <cfRule type="duplicateValues" dxfId="9166" priority="8203"/>
    <cfRule type="duplicateValues" dxfId="9165" priority="8204"/>
    <cfRule type="duplicateValues" dxfId="9164" priority="7852"/>
    <cfRule type="duplicateValues" dxfId="9163" priority="7853"/>
    <cfRule type="expression" dxfId="9162" priority="8625">
      <formula>_xlfn.ISFORMULA(D125)=TRUE</formula>
    </cfRule>
    <cfRule type="duplicateValues" dxfId="9161" priority="8206"/>
    <cfRule type="expression" dxfId="9160" priority="8207">
      <formula>_xlfn.ISFORMULA(D125)=TRUE</formula>
    </cfRule>
    <cfRule type="duplicateValues" dxfId="9159" priority="7854"/>
    <cfRule type="expression" dxfId="9158" priority="7855">
      <formula>_xlfn.ISFORMULA(D125)=TRUE</formula>
    </cfRule>
    <cfRule type="duplicateValues" dxfId="9157" priority="7856"/>
    <cfRule type="expression" dxfId="9156" priority="7857">
      <formula>_xlfn.ISFORMULA(D125)=TRUE</formula>
    </cfRule>
    <cfRule type="duplicateValues" dxfId="9155" priority="8202"/>
    <cfRule type="duplicateValues" dxfId="9154" priority="8622"/>
    <cfRule type="expression" dxfId="9153" priority="8205">
      <formula>_xlfn.ISFORMULA(D125)=TRUE</formula>
    </cfRule>
    <cfRule type="duplicateValues" dxfId="9152" priority="8623"/>
    <cfRule type="expression" dxfId="9151" priority="8627">
      <formula>_xlfn.ISFORMULA(D125)=TRUE</formula>
    </cfRule>
    <cfRule type="duplicateValues" dxfId="9150" priority="8624"/>
    <cfRule type="duplicateValues" dxfId="9149" priority="8626"/>
    <cfRule type="expression" dxfId="9148" priority="7575">
      <formula>_xlfn.ISFORMULA(D125)=TRUE</formula>
    </cfRule>
    <cfRule type="duplicateValues" dxfId="9147" priority="7574"/>
    <cfRule type="duplicateValues" dxfId="9146" priority="7573"/>
    <cfRule type="duplicateValues" dxfId="9145" priority="7572"/>
  </conditionalFormatting>
  <conditionalFormatting sqref="D126">
    <cfRule type="expression" dxfId="9144" priority="8135">
      <formula>_xlfn.ISFORMULA(D126)=TRUE</formula>
    </cfRule>
    <cfRule type="expression" dxfId="9143" priority="8557">
      <formula>_xlfn.ISFORMULA(D126)=TRUE</formula>
    </cfRule>
    <cfRule type="duplicateValues" dxfId="9142" priority="8136"/>
    <cfRule type="expression" dxfId="9141" priority="8137">
      <formula>_xlfn.ISFORMULA(D126)=TRUE</formula>
    </cfRule>
    <cfRule type="duplicateValues" dxfId="9140" priority="8134"/>
    <cfRule type="duplicateValues" dxfId="9139" priority="8556"/>
    <cfRule type="duplicateValues" dxfId="9138" priority="8132"/>
    <cfRule type="duplicateValues" dxfId="9137" priority="8552"/>
    <cfRule type="duplicateValues" dxfId="9136" priority="8553"/>
    <cfRule type="duplicateValues" dxfId="9135" priority="8554"/>
    <cfRule type="expression" dxfId="9134" priority="8555">
      <formula>_xlfn.ISFORMULA(D126)=TRUE</formula>
    </cfRule>
    <cfRule type="duplicateValues" dxfId="9133" priority="8133"/>
  </conditionalFormatting>
  <conditionalFormatting sqref="D127">
    <cfRule type="duplicateValues" dxfId="9132" priority="8482"/>
    <cfRule type="duplicateValues" dxfId="9131" priority="8483"/>
    <cfRule type="duplicateValues" dxfId="9130" priority="8484"/>
    <cfRule type="expression" dxfId="9129" priority="8485">
      <formula>_xlfn.ISFORMULA(D127)=TRUE</formula>
    </cfRule>
    <cfRule type="duplicateValues" dxfId="9128" priority="8486"/>
    <cfRule type="expression" dxfId="9127" priority="8487">
      <formula>_xlfn.ISFORMULA(D127)=TRUE</formula>
    </cfRule>
  </conditionalFormatting>
  <conditionalFormatting sqref="D128">
    <cfRule type="duplicateValues" dxfId="9126" priority="14437"/>
    <cfRule type="expression" dxfId="9125" priority="14438">
      <formula>_xlfn.ISFORMULA(D128)=TRUE</formula>
    </cfRule>
  </conditionalFormatting>
  <conditionalFormatting sqref="D129">
    <cfRule type="duplicateValues" dxfId="9124" priority="7504"/>
    <cfRule type="duplicateValues" dxfId="9123" priority="7502"/>
    <cfRule type="duplicateValues" dxfId="9122" priority="7503"/>
    <cfRule type="expression" dxfId="9121" priority="7505">
      <formula>_xlfn.ISFORMULA(D129)=TRUE</formula>
    </cfRule>
    <cfRule type="duplicateValues" dxfId="9120" priority="7506"/>
    <cfRule type="expression" dxfId="9119" priority="7507">
      <formula>_xlfn.ISFORMULA(D129)=TRUE</formula>
    </cfRule>
  </conditionalFormatting>
  <conditionalFormatting sqref="D130">
    <cfRule type="duplicateValues" dxfId="9118" priority="14435"/>
    <cfRule type="expression" dxfId="9117" priority="14436">
      <formula>_xlfn.ISFORMULA(D130)=TRUE</formula>
    </cfRule>
    <cfRule type="expression" dxfId="9116" priority="14420">
      <formula>_xlfn.ISFORMULA(D130)=TRUE</formula>
    </cfRule>
    <cfRule type="duplicateValues" dxfId="9115" priority="14419"/>
  </conditionalFormatting>
  <conditionalFormatting sqref="D148">
    <cfRule type="duplicateValues" dxfId="9114" priority="14356"/>
    <cfRule type="duplicateValues" dxfId="9113" priority="14357"/>
    <cfRule type="expression" dxfId="9112" priority="14358">
      <formula>_xlfn.ISFORMULA(D148)=TRUE</formula>
    </cfRule>
  </conditionalFormatting>
  <conditionalFormatting sqref="D149:D151">
    <cfRule type="duplicateValues" dxfId="9111" priority="6775"/>
    <cfRule type="duplicateValues" dxfId="9110" priority="6774"/>
    <cfRule type="duplicateValues" dxfId="9109" priority="6773"/>
  </conditionalFormatting>
  <conditionalFormatting sqref="D152">
    <cfRule type="duplicateValues" dxfId="9108" priority="14347"/>
    <cfRule type="expression" dxfId="9107" priority="14349">
      <formula>_xlfn.ISFORMULA(D152)=TRUE</formula>
    </cfRule>
    <cfRule type="duplicateValues" dxfId="9106" priority="14348"/>
  </conditionalFormatting>
  <conditionalFormatting sqref="D153">
    <cfRule type="duplicateValues" dxfId="9105" priority="14345"/>
    <cfRule type="expression" dxfId="9104" priority="14346">
      <formula>_xlfn.ISFORMULA(D153)=TRUE</formula>
    </cfRule>
    <cfRule type="duplicateValues" dxfId="9103" priority="14344"/>
  </conditionalFormatting>
  <conditionalFormatting sqref="D154:D155">
    <cfRule type="duplicateValues" dxfId="9102" priority="6702"/>
    <cfRule type="expression" dxfId="9101" priority="6700">
      <formula>_xlfn.ISFORMULA(D154)=TRUE</formula>
    </cfRule>
    <cfRule type="duplicateValues" dxfId="9100" priority="6699"/>
    <cfRule type="duplicateValues" dxfId="9099" priority="6697"/>
    <cfRule type="duplicateValues" dxfId="9098" priority="6701"/>
    <cfRule type="duplicateValues" dxfId="9097" priority="6698"/>
  </conditionalFormatting>
  <conditionalFormatting sqref="D157">
    <cfRule type="expression" dxfId="9096" priority="6627">
      <formula>_xlfn.ISFORMULA(D157)=TRUE</formula>
    </cfRule>
    <cfRule type="duplicateValues" dxfId="9095" priority="6626"/>
    <cfRule type="duplicateValues" dxfId="9094" priority="6625"/>
    <cfRule type="expression" dxfId="9093" priority="6624">
      <formula>_xlfn.ISFORMULA(D157)=TRUE</formula>
    </cfRule>
    <cfRule type="duplicateValues" dxfId="9092" priority="6623"/>
    <cfRule type="duplicateValues" dxfId="9091" priority="6622"/>
    <cfRule type="duplicateValues" dxfId="9090" priority="6621"/>
  </conditionalFormatting>
  <conditionalFormatting sqref="D158">
    <cfRule type="duplicateValues" dxfId="9089" priority="6545"/>
    <cfRule type="duplicateValues" dxfId="9088" priority="6547"/>
    <cfRule type="expression" dxfId="9087" priority="6548">
      <formula>_xlfn.ISFORMULA(D158)=TRUE</formula>
    </cfRule>
    <cfRule type="duplicateValues" dxfId="9086" priority="6549"/>
    <cfRule type="duplicateValues" dxfId="9085" priority="6550"/>
    <cfRule type="duplicateValues" dxfId="9084" priority="6546"/>
    <cfRule type="expression" dxfId="9083" priority="6551">
      <formula>_xlfn.ISFORMULA(D158)=TRUE</formula>
    </cfRule>
  </conditionalFormatting>
  <conditionalFormatting sqref="D159">
    <cfRule type="expression" dxfId="9082" priority="6475">
      <formula>_xlfn.ISFORMULA(D159)=TRUE</formula>
    </cfRule>
    <cfRule type="duplicateValues" dxfId="9081" priority="6474"/>
    <cfRule type="duplicateValues" dxfId="9080" priority="6473"/>
    <cfRule type="expression" dxfId="9079" priority="6472">
      <formula>_xlfn.ISFORMULA(D159)=TRUE</formula>
    </cfRule>
    <cfRule type="duplicateValues" dxfId="9078" priority="6471"/>
    <cfRule type="duplicateValues" dxfId="9077" priority="6470"/>
    <cfRule type="duplicateValues" dxfId="9076" priority="6469"/>
  </conditionalFormatting>
  <conditionalFormatting sqref="D160">
    <cfRule type="expression" dxfId="9075" priority="6185">
      <formula>_xlfn.ISFORMULA(D160)=TRUE</formula>
    </cfRule>
    <cfRule type="duplicateValues" dxfId="9074" priority="6186"/>
    <cfRule type="expression" dxfId="9073" priority="6188">
      <formula>_xlfn.ISFORMULA(D160)=TRUE</formula>
    </cfRule>
    <cfRule type="duplicateValues" dxfId="9072" priority="6182"/>
    <cfRule type="duplicateValues" dxfId="9071" priority="6183"/>
    <cfRule type="duplicateValues" dxfId="9070" priority="6187"/>
    <cfRule type="duplicateValues" dxfId="9069" priority="6184"/>
  </conditionalFormatting>
  <conditionalFormatting sqref="D203">
    <cfRule type="expression" dxfId="9068" priority="2759">
      <formula>_xlfn.ISFORMULA(D203)=TRUE</formula>
    </cfRule>
    <cfRule type="duplicateValues" dxfId="9067" priority="2758"/>
    <cfRule type="duplicateValues" dxfId="9066" priority="2756"/>
    <cfRule type="duplicateValues" dxfId="9065" priority="2755"/>
    <cfRule type="duplicateValues" dxfId="9064" priority="2754"/>
    <cfRule type="expression" dxfId="9063" priority="2757">
      <formula>_xlfn.ISFORMULA(D203)=TRUE</formula>
    </cfRule>
  </conditionalFormatting>
  <conditionalFormatting sqref="D204">
    <cfRule type="duplicateValues" dxfId="9062" priority="2762"/>
    <cfRule type="duplicateValues" dxfId="9061" priority="2763"/>
    <cfRule type="duplicateValues" dxfId="9060" priority="2760"/>
    <cfRule type="duplicateValues" dxfId="9059" priority="2761"/>
  </conditionalFormatting>
  <conditionalFormatting sqref="D205">
    <cfRule type="expression" dxfId="9058" priority="2751">
      <formula>_xlfn.ISFORMULA(D205)=TRUE</formula>
    </cfRule>
    <cfRule type="duplicateValues" dxfId="9057" priority="2750"/>
    <cfRule type="expression" dxfId="9056" priority="2753">
      <formula>_xlfn.ISFORMULA(D205)=TRUE</formula>
    </cfRule>
    <cfRule type="duplicateValues" dxfId="9055" priority="2749"/>
    <cfRule type="duplicateValues" dxfId="9054" priority="2748"/>
    <cfRule type="duplicateValues" dxfId="9053" priority="2752"/>
  </conditionalFormatting>
  <conditionalFormatting sqref="D221">
    <cfRule type="duplicateValues" dxfId="9052" priority="14273"/>
    <cfRule type="duplicateValues" dxfId="9051" priority="14274"/>
  </conditionalFormatting>
  <conditionalFormatting sqref="D222:D224 D148 D186:D202 D1:D3 D232 D497:D1048576 D19:D20 D35:D36 D41 D43 D45:D46 D49 D58 D61 D88 D100 D66:D67 D105 D122 D128 D130 D139 D152:D153 D156 D164 D170:D173 D12:D13 D206:D220 D291:D292 D308:D309 D70:D71 D236:D269 D271:D281 D319:D325 D327:D494">
    <cfRule type="duplicateValues" dxfId="9050" priority="14390"/>
  </conditionalFormatting>
  <conditionalFormatting sqref="D222:D224 D186:D202 D1:D3 D232 D497:D1048576 D19:D20 D35:D36 D41 D43 D45:D46 D49 D58 D61 D88 D100 D66:D67 D105 D122 D128 D130 D139 D148 D152:D153 D156 D164 D170:D173 D12:D13 D206:D220 D291:D292 D308:D309 D70:D71 D236:D269 D271:D281 D319:D325 D327:D494">
    <cfRule type="duplicateValues" dxfId="9049" priority="14362"/>
  </conditionalFormatting>
  <conditionalFormatting sqref="D225:D231">
    <cfRule type="duplicateValues" dxfId="9048" priority="1689"/>
    <cfRule type="duplicateValues" dxfId="9047" priority="1690"/>
    <cfRule type="duplicateValues" dxfId="9046" priority="1687"/>
  </conditionalFormatting>
  <conditionalFormatting sqref="D233:D235">
    <cfRule type="duplicateValues" dxfId="9045" priority="2723"/>
    <cfRule type="duplicateValues" dxfId="9044" priority="2725"/>
    <cfRule type="expression" dxfId="9043" priority="2726">
      <formula>_xlfn.ISFORMULA(D233)=TRUE</formula>
    </cfRule>
    <cfRule type="duplicateValues" dxfId="9042" priority="2724"/>
  </conditionalFormatting>
  <conditionalFormatting sqref="D270">
    <cfRule type="duplicateValues" dxfId="9041" priority="176"/>
    <cfRule type="expression" dxfId="9040" priority="171">
      <formula>_xlfn.ISFORMULA(D270)=TRUE</formula>
    </cfRule>
    <cfRule type="duplicateValues" dxfId="9039" priority="174"/>
    <cfRule type="duplicateValues" dxfId="9038" priority="175"/>
    <cfRule type="duplicateValues" dxfId="9037" priority="177"/>
    <cfRule type="expression" dxfId="9036" priority="178">
      <formula>_xlfn.ISFORMULA(D270)=TRUE</formula>
    </cfRule>
    <cfRule type="duplicateValues" dxfId="9035" priority="182"/>
    <cfRule type="duplicateValues" dxfId="9034" priority="183"/>
    <cfRule type="duplicateValues" dxfId="9033" priority="184"/>
    <cfRule type="duplicateValues" dxfId="9032" priority="185"/>
  </conditionalFormatting>
  <conditionalFormatting sqref="D326">
    <cfRule type="duplicateValues" dxfId="9031" priority="93"/>
    <cfRule type="duplicateValues" dxfId="9030" priority="92"/>
    <cfRule type="duplicateValues" dxfId="9029" priority="91"/>
  </conditionalFormatting>
  <conditionalFormatting sqref="D107:E107">
    <cfRule type="expression" dxfId="9028" priority="9409">
      <formula>_xlfn.ISFORMULA(D107)=TRUE</formula>
    </cfRule>
  </conditionalFormatting>
  <conditionalFormatting sqref="D78:G78">
    <cfRule type="expression" dxfId="9027" priority="3808">
      <formula>_xlfn.ISFORMULA(D78)=TRUE</formula>
    </cfRule>
  </conditionalFormatting>
  <conditionalFormatting sqref="D225:H226 D227:D231">
    <cfRule type="expression" dxfId="9026" priority="1691">
      <formula>_xlfn.ISFORMULA(D225)=TRUE</formula>
    </cfRule>
  </conditionalFormatting>
  <conditionalFormatting sqref="D282:K285 D286:H286 D287:K290 J286:K286">
    <cfRule type="expression" dxfId="9025" priority="2341">
      <formula>_xlfn.ISFORMULA(D282)=TRUE</formula>
    </cfRule>
  </conditionalFormatting>
  <conditionalFormatting sqref="D293:K296 D297:H297 D298:K302 D303:H303 D304:K307 J297:K297 J303:K303">
    <cfRule type="expression" dxfId="9024" priority="2340">
      <formula>_xlfn.ISFORMULA(D293)=TRUE</formula>
    </cfRule>
  </conditionalFormatting>
  <conditionalFormatting sqref="D310:K311 D312:H312 D313:K318 J312:K312">
    <cfRule type="expression" dxfId="9023" priority="2339">
      <formula>_xlfn.ISFORMULA(D310)=TRUE</formula>
    </cfRule>
  </conditionalFormatting>
  <conditionalFormatting sqref="E22:E36">
    <cfRule type="expression" dxfId="9022" priority="15">
      <formula>_xlfn.ISFORMULA(E22)=TRUE</formula>
    </cfRule>
  </conditionalFormatting>
  <conditionalFormatting sqref="E36">
    <cfRule type="duplicateValues" dxfId="9021" priority="14"/>
    <cfRule type="duplicateValues" dxfId="9020" priority="10"/>
    <cfRule type="duplicateValues" dxfId="9019" priority="11"/>
    <cfRule type="duplicateValues" dxfId="9018" priority="12"/>
    <cfRule type="expression" dxfId="9017" priority="13">
      <formula>_xlfn.ISFORMULA(E36)=TRUE</formula>
    </cfRule>
    <cfRule type="expression" dxfId="9016" priority="16">
      <formula>TRUE</formula>
    </cfRule>
  </conditionalFormatting>
  <conditionalFormatting sqref="E37">
    <cfRule type="duplicateValues" dxfId="9015" priority="3"/>
    <cfRule type="duplicateValues" dxfId="9014" priority="4"/>
    <cfRule type="duplicateValues" dxfId="9013" priority="7"/>
    <cfRule type="duplicateValues" dxfId="9012" priority="5"/>
    <cfRule type="expression" dxfId="9011" priority="6">
      <formula>_xlfn.ISFORMULA(E37)=TRUE</formula>
    </cfRule>
    <cfRule type="expression" dxfId="9010" priority="9">
      <formula>TRUE</formula>
    </cfRule>
  </conditionalFormatting>
  <conditionalFormatting sqref="E37:E76">
    <cfRule type="expression" dxfId="9009" priority="8">
      <formula>_xlfn.ISFORMULA(E37)=TRUE</formula>
    </cfRule>
  </conditionalFormatting>
  <conditionalFormatting sqref="E80">
    <cfRule type="expression" dxfId="9008" priority="11032">
      <formula>_xlfn.ISFORMULA(E80)=TRUE</formula>
    </cfRule>
  </conditionalFormatting>
  <conditionalFormatting sqref="E86:E87">
    <cfRule type="expression" dxfId="9007" priority="10581">
      <formula>_xlfn.ISFORMULA(E86)=TRUE</formula>
    </cfRule>
  </conditionalFormatting>
  <conditionalFormatting sqref="E94:E98">
    <cfRule type="expression" dxfId="9006" priority="3582">
      <formula>_xlfn.ISFORMULA(E94)=TRUE</formula>
    </cfRule>
  </conditionalFormatting>
  <conditionalFormatting sqref="E108:E111">
    <cfRule type="expression" dxfId="9005" priority="3444">
      <formula>_xlfn.ISFORMULA(E108)=TRUE</formula>
    </cfRule>
  </conditionalFormatting>
  <conditionalFormatting sqref="E140:E155">
    <cfRule type="expression" dxfId="9004" priority="1653">
      <formula>_xlfn.ISFORMULA(E140)=TRUE</formula>
    </cfRule>
  </conditionalFormatting>
  <conditionalFormatting sqref="E216:E224">
    <cfRule type="expression" dxfId="9003" priority="1029">
      <formula>_xlfn.ISFORMULA(E216)=TRUE</formula>
    </cfRule>
  </conditionalFormatting>
  <conditionalFormatting sqref="E246:E256">
    <cfRule type="expression" dxfId="9002" priority="14278">
      <formula>_xlfn.ISFORMULA(E246)=TRUE</formula>
    </cfRule>
  </conditionalFormatting>
  <conditionalFormatting sqref="E4:F21">
    <cfRule type="expression" dxfId="9001" priority="4067">
      <formula>_xlfn.ISFORMULA(E4)=TRUE</formula>
    </cfRule>
  </conditionalFormatting>
  <conditionalFormatting sqref="E100:F100">
    <cfRule type="expression" dxfId="9000" priority="2542">
      <formula>_xlfn.ISFORMULA(E100)=TRUE</formula>
    </cfRule>
  </conditionalFormatting>
  <conditionalFormatting sqref="E102:F102">
    <cfRule type="expression" dxfId="8999" priority="2537">
      <formula>_xlfn.ISFORMULA(E102)=TRUE</formula>
    </cfRule>
  </conditionalFormatting>
  <conditionalFormatting sqref="E106:F106">
    <cfRule type="expression" dxfId="8998" priority="2532">
      <formula>_xlfn.ISFORMULA(E106)=TRUE</formula>
    </cfRule>
  </conditionalFormatting>
  <conditionalFormatting sqref="E117:F120">
    <cfRule type="expression" dxfId="8997" priority="2497">
      <formula>_xlfn.ISFORMULA(E117)=TRUE</formula>
    </cfRule>
  </conditionalFormatting>
  <conditionalFormatting sqref="E123:F137">
    <cfRule type="expression" dxfId="8996" priority="2467">
      <formula>_xlfn.ISFORMULA(E123)=TRUE</formula>
    </cfRule>
  </conditionalFormatting>
  <conditionalFormatting sqref="E157:F171">
    <cfRule type="expression" dxfId="8995" priority="1625">
      <formula>_xlfn.ISFORMULA(E157)=TRUE</formula>
    </cfRule>
  </conditionalFormatting>
  <conditionalFormatting sqref="E174:F188">
    <cfRule type="expression" dxfId="8994" priority="1595">
      <formula>_xlfn.ISFORMULA(E174)=TRUE</formula>
    </cfRule>
  </conditionalFormatting>
  <conditionalFormatting sqref="E191:F201">
    <cfRule type="expression" dxfId="8993" priority="1589">
      <formula>_xlfn.ISFORMULA(E191)=TRUE</formula>
    </cfRule>
  </conditionalFormatting>
  <conditionalFormatting sqref="E320:F327">
    <cfRule type="expression" dxfId="8992" priority="84">
      <formula>_xlfn.ISFORMULA(E320)=TRUE</formula>
    </cfRule>
  </conditionalFormatting>
  <conditionalFormatting sqref="E77:G77">
    <cfRule type="expression" dxfId="8991" priority="3802">
      <formula>_xlfn.ISFORMULA(E77)=TRUE</formula>
    </cfRule>
  </conditionalFormatting>
  <conditionalFormatting sqref="E79:G79">
    <cfRule type="expression" dxfId="8990" priority="3800">
      <formula>_xlfn.ISFORMULA(E79)=TRUE</formula>
    </cfRule>
  </conditionalFormatting>
  <conditionalFormatting sqref="E172:G172">
    <cfRule type="expression" dxfId="8989" priority="5676">
      <formula>_xlfn.ISFORMULA(E172)=TRUE</formula>
    </cfRule>
    <cfRule type="expression" dxfId="8988" priority="5691">
      <formula>_xlfn.ISFORMULA(E172)=TRUE</formula>
    </cfRule>
    <cfRule type="expression" dxfId="8987" priority="5736">
      <formula>_xlfn.ISFORMULA(E172)=TRUE</formula>
    </cfRule>
    <cfRule type="expression" dxfId="8986" priority="5721">
      <formula>_xlfn.ISFORMULA(E172)=TRUE</formula>
    </cfRule>
    <cfRule type="expression" dxfId="8985" priority="5661">
      <formula>_xlfn.ISFORMULA(E172)=TRUE</formula>
    </cfRule>
    <cfRule type="expression" dxfId="8984" priority="5706">
      <formula>_xlfn.ISFORMULA(E172)=TRUE</formula>
    </cfRule>
    <cfRule type="expression" dxfId="8983" priority="5751">
      <formula>_xlfn.ISFORMULA(E172)=TRUE</formula>
    </cfRule>
  </conditionalFormatting>
  <conditionalFormatting sqref="E259:G259 E267:G267">
    <cfRule type="expression" dxfId="8982" priority="868">
      <formula>_xlfn.ISFORMULA(E259)=TRUE</formula>
    </cfRule>
    <cfRule type="expression" dxfId="8981" priority="883">
      <formula>_xlfn.ISFORMULA(E259)=TRUE</formula>
    </cfRule>
    <cfRule type="expression" dxfId="8980" priority="898">
      <formula>_xlfn.ISFORMULA(E259)=TRUE</formula>
    </cfRule>
    <cfRule type="expression" dxfId="8979" priority="855">
      <formula>_xlfn.ISFORMULA(E259)=TRUE</formula>
    </cfRule>
    <cfRule type="expression" dxfId="8978" priority="957">
      <formula>_xlfn.ISFORMULA(E259)=TRUE</formula>
    </cfRule>
    <cfRule type="expression" dxfId="8977" priority="943">
      <formula>_xlfn.ISFORMULA(E259)=TRUE</formula>
    </cfRule>
    <cfRule type="expression" dxfId="8976" priority="928">
      <formula>_xlfn.ISFORMULA(E259)=TRUE</formula>
    </cfRule>
    <cfRule type="expression" dxfId="8975" priority="913">
      <formula>_xlfn.ISFORMULA(E259)=TRUE</formula>
    </cfRule>
    <cfRule type="expression" dxfId="8974" priority="951">
      <formula>_xlfn.ISFORMULA(E259)=TRUE</formula>
    </cfRule>
  </conditionalFormatting>
  <conditionalFormatting sqref="E260:G260 E268:G268">
    <cfRule type="expression" dxfId="8973" priority="794">
      <formula>_xlfn.ISFORMULA(E260)=TRUE</formula>
    </cfRule>
    <cfRule type="expression" dxfId="8972" priority="779">
      <formula>_xlfn.ISFORMULA(E260)=TRUE</formula>
    </cfRule>
    <cfRule type="expression" dxfId="8971" priority="764">
      <formula>_xlfn.ISFORMULA(E260)=TRUE</formula>
    </cfRule>
    <cfRule type="expression" dxfId="8970" priority="749">
      <formula>_xlfn.ISFORMULA(E260)=TRUE</formula>
    </cfRule>
    <cfRule type="expression" dxfId="8969" priority="736">
      <formula>_xlfn.ISFORMULA(E260)=TRUE</formula>
    </cfRule>
    <cfRule type="expression" dxfId="8968" priority="838">
      <formula>_xlfn.ISFORMULA(E260)=TRUE</formula>
    </cfRule>
    <cfRule type="expression" dxfId="8967" priority="832">
      <formula>_xlfn.ISFORMULA(E260)=TRUE</formula>
    </cfRule>
    <cfRule type="expression" dxfId="8966" priority="824">
      <formula>_xlfn.ISFORMULA(E260)=TRUE</formula>
    </cfRule>
    <cfRule type="expression" dxfId="8965" priority="809">
      <formula>_xlfn.ISFORMULA(E260)=TRUE</formula>
    </cfRule>
  </conditionalFormatting>
  <conditionalFormatting sqref="E261:G261 E269:G269">
    <cfRule type="expression" dxfId="8964" priority="675">
      <formula>_xlfn.ISFORMULA(E261)=TRUE</formula>
    </cfRule>
    <cfRule type="expression" dxfId="8963" priority="719">
      <formula>_xlfn.ISFORMULA(E261)=TRUE</formula>
    </cfRule>
    <cfRule type="expression" dxfId="8962" priority="660">
      <formula>_xlfn.ISFORMULA(E261)=TRUE</formula>
    </cfRule>
    <cfRule type="expression" dxfId="8961" priority="645">
      <formula>_xlfn.ISFORMULA(E261)=TRUE</formula>
    </cfRule>
    <cfRule type="expression" dxfId="8960" priority="690">
      <formula>_xlfn.ISFORMULA(E261)=TRUE</formula>
    </cfRule>
    <cfRule type="expression" dxfId="8959" priority="617">
      <formula>_xlfn.ISFORMULA(E261)=TRUE</formula>
    </cfRule>
    <cfRule type="expression" dxfId="8958" priority="630">
      <formula>_xlfn.ISFORMULA(E261)=TRUE</formula>
    </cfRule>
    <cfRule type="expression" dxfId="8957" priority="705">
      <formula>_xlfn.ISFORMULA(E261)=TRUE</formula>
    </cfRule>
    <cfRule type="expression" dxfId="8956" priority="713">
      <formula>_xlfn.ISFORMULA(E261)=TRUE</formula>
    </cfRule>
  </conditionalFormatting>
  <conditionalFormatting sqref="E262:G266">
    <cfRule type="expression" dxfId="8955" priority="586">
      <formula>_xlfn.ISFORMULA(E262)=TRUE</formula>
    </cfRule>
    <cfRule type="expression" dxfId="8954" priority="511">
      <formula>_xlfn.ISFORMULA(E262)=TRUE</formula>
    </cfRule>
    <cfRule type="expression" dxfId="8953" priority="498">
      <formula>_xlfn.ISFORMULA(E262)=TRUE</formula>
    </cfRule>
    <cfRule type="expression" dxfId="8952" priority="600">
      <formula>_xlfn.ISFORMULA(E262)=TRUE</formula>
    </cfRule>
    <cfRule type="expression" dxfId="8951" priority="594">
      <formula>_xlfn.ISFORMULA(E262)=TRUE</formula>
    </cfRule>
    <cfRule type="expression" dxfId="8950" priority="526">
      <formula>_xlfn.ISFORMULA(E262)=TRUE</formula>
    </cfRule>
    <cfRule type="expression" dxfId="8949" priority="571">
      <formula>_xlfn.ISFORMULA(E262)=TRUE</formula>
    </cfRule>
    <cfRule type="expression" dxfId="8948" priority="556">
      <formula>_xlfn.ISFORMULA(E262)=TRUE</formula>
    </cfRule>
    <cfRule type="expression" dxfId="8947" priority="541">
      <formula>_xlfn.ISFORMULA(E262)=TRUE</formula>
    </cfRule>
  </conditionalFormatting>
  <conditionalFormatting sqref="E99:H99">
    <cfRule type="expression" dxfId="8946" priority="9953">
      <formula>_xlfn.ISFORMULA(E99)=TRUE</formula>
    </cfRule>
    <cfRule type="expression" dxfId="8945" priority="9928">
      <formula>_xlfn.ISFORMULA(E99)=TRUE</formula>
    </cfRule>
  </conditionalFormatting>
  <conditionalFormatting sqref="E101:H101">
    <cfRule type="expression" dxfId="8944" priority="9884">
      <formula>_xlfn.ISFORMULA(E101)=TRUE</formula>
    </cfRule>
    <cfRule type="expression" dxfId="8943" priority="9859">
      <formula>_xlfn.ISFORMULA(E101)=TRUE</formula>
    </cfRule>
  </conditionalFormatting>
  <conditionalFormatting sqref="E103:H104">
    <cfRule type="expression" dxfId="8942" priority="1712">
      <formula>_xlfn.ISFORMULA(E103)=TRUE</formula>
    </cfRule>
  </conditionalFormatting>
  <conditionalFormatting sqref="E112:H112">
    <cfRule type="expression" dxfId="8941" priority="9223">
      <formula>_xlfn.ISFORMULA(E112)=TRUE</formula>
    </cfRule>
  </conditionalFormatting>
  <conditionalFormatting sqref="E113:H115">
    <cfRule type="expression" dxfId="8940" priority="2477">
      <formula>_xlfn.ISFORMULA(E113)=TRUE</formula>
    </cfRule>
  </conditionalFormatting>
  <conditionalFormatting sqref="E116:H116">
    <cfRule type="expression" dxfId="8939" priority="9083">
      <formula>_xlfn.ISFORMULA(E116)=TRUE</formula>
    </cfRule>
    <cfRule type="expression" dxfId="8938" priority="9108">
      <formula>_xlfn.ISFORMULA(E116)=TRUE</formula>
    </cfRule>
  </conditionalFormatting>
  <conditionalFormatting sqref="E121:H121">
    <cfRule type="expression" dxfId="8937" priority="8383">
      <formula>_xlfn.ISFORMULA(E121)=TRUE</formula>
    </cfRule>
  </conditionalFormatting>
  <conditionalFormatting sqref="E122:H122">
    <cfRule type="expression" dxfId="8936" priority="7778">
      <formula>_xlfn.ISFORMULA(E122)=TRUE</formula>
    </cfRule>
    <cfRule type="expression" dxfId="8935" priority="8033">
      <formula>_xlfn.ISFORMULA(E122)=TRUE</formula>
    </cfRule>
    <cfRule type="expression" dxfId="8934" priority="7753">
      <formula>_xlfn.ISFORMULA(E122)=TRUE</formula>
    </cfRule>
  </conditionalFormatting>
  <conditionalFormatting sqref="E138:H138">
    <cfRule type="expression" dxfId="8933" priority="7145">
      <formula>_xlfn.ISFORMULA(E138)=TRUE</formula>
    </cfRule>
  </conditionalFormatting>
  <conditionalFormatting sqref="E227:H231">
    <cfRule type="expression" dxfId="8932" priority="1028">
      <formula>_xlfn.ISFORMULA(E227)=TRUE</formula>
    </cfRule>
  </conditionalFormatting>
  <conditionalFormatting sqref="E233:H235">
    <cfRule type="expression" dxfId="8931" priority="2731">
      <formula>_xlfn.ISFORMULA(E233)=TRUE</formula>
    </cfRule>
  </conditionalFormatting>
  <conditionalFormatting sqref="E259:I259 E267:I267">
    <cfRule type="expression" dxfId="8930" priority="845">
      <formula>_xlfn.ISFORMULA(E259)=TRUE</formula>
    </cfRule>
  </conditionalFormatting>
  <conditionalFormatting sqref="E260:I260 E268:I268">
    <cfRule type="expression" dxfId="8929" priority="726">
      <formula>_xlfn.ISFORMULA(E260)=TRUE</formula>
    </cfRule>
  </conditionalFormatting>
  <conditionalFormatting sqref="E262:I266">
    <cfRule type="expression" dxfId="8928" priority="488">
      <formula>_xlfn.ISFORMULA(E262)=TRUE</formula>
    </cfRule>
  </conditionalFormatting>
  <conditionalFormatting sqref="E269:I269 E261:I261">
    <cfRule type="expression" dxfId="8927" priority="607">
      <formula>_xlfn.ISFORMULA(E261)=TRUE</formula>
    </cfRule>
  </conditionalFormatting>
  <conditionalFormatting sqref="E291:M292">
    <cfRule type="expression" dxfId="8926" priority="14296">
      <formula>_xlfn.ISFORMULA(E291)=TRUE</formula>
    </cfRule>
  </conditionalFormatting>
  <conditionalFormatting sqref="F22:F70">
    <cfRule type="expression" dxfId="8925" priority="1048">
      <formula>_xlfn.ISFORMULA(F22)=TRUE</formula>
    </cfRule>
  </conditionalFormatting>
  <conditionalFormatting sqref="F72:F75">
    <cfRule type="expression" dxfId="8924" priority="2642">
      <formula>_xlfn.ISFORMULA(F72)=TRUE</formula>
    </cfRule>
  </conditionalFormatting>
  <conditionalFormatting sqref="F81:F86">
    <cfRule type="expression" dxfId="8923" priority="2602">
      <formula>_xlfn.ISFORMULA(F81)=TRUE</formula>
    </cfRule>
  </conditionalFormatting>
  <conditionalFormatting sqref="F89:F93">
    <cfRule type="expression" dxfId="8922" priority="2562">
      <formula>_xlfn.ISFORMULA(F89)=TRUE</formula>
    </cfRule>
  </conditionalFormatting>
  <conditionalFormatting sqref="F95:F98">
    <cfRule type="expression" dxfId="8921" priority="39">
      <formula>_xlfn.ISFORMULA(F95)=TRUE</formula>
    </cfRule>
  </conditionalFormatting>
  <conditionalFormatting sqref="F108">
    <cfRule type="expression" dxfId="8920" priority="2527">
      <formula>_xlfn.ISFORMULA(F108)=TRUE</formula>
    </cfRule>
  </conditionalFormatting>
  <conditionalFormatting sqref="F110:F111">
    <cfRule type="expression" dxfId="8919" priority="2517">
      <formula>_xlfn.ISFORMULA(F110)=TRUE</formula>
    </cfRule>
  </conditionalFormatting>
  <conditionalFormatting sqref="F140:F154">
    <cfRule type="expression" dxfId="8918" priority="2457">
      <formula>_xlfn.ISFORMULA(F140)=TRUE</formula>
    </cfRule>
  </conditionalFormatting>
  <conditionalFormatting sqref="F155">
    <cfRule type="expression" dxfId="8917" priority="6693">
      <formula>IF(ISBLANK($D155),,IF($F155&lt;&gt;0,"ЛОЖЬ","ИСТИНА"))</formula>
    </cfRule>
  </conditionalFormatting>
  <conditionalFormatting sqref="F216:F223">
    <cfRule type="expression" dxfId="8916" priority="1032">
      <formula>_xlfn.ISFORMULA(F216)=TRUE</formula>
    </cfRule>
  </conditionalFormatting>
  <conditionalFormatting sqref="F233:F235">
    <cfRule type="expression" dxfId="8915" priority="2729">
      <formula>IF(ISBLANK($D233),,IF($F233&lt;&gt;0,"ЛОЖЬ","ИСТИНА"))</formula>
    </cfRule>
  </conditionalFormatting>
  <conditionalFormatting sqref="F237:F239">
    <cfRule type="expression" dxfId="8914" priority="2420">
      <formula>IF(ISBLANK($D237),,IF($F237&lt;&gt;0,"ЛОЖЬ","ИСТИНА"))</formula>
    </cfRule>
    <cfRule type="expression" dxfId="8913" priority="2422">
      <formula>_xlfn.ISFORMULA(F237)=TRUE</formula>
    </cfRule>
  </conditionalFormatting>
  <conditionalFormatting sqref="F242:F246">
    <cfRule type="expression" dxfId="8912" priority="2416">
      <formula>IF(ISBLANK($D242),,IF($F242&lt;&gt;0,"ЛОЖЬ","ИСТИНА"))</formula>
    </cfRule>
    <cfRule type="expression" dxfId="8911" priority="2418">
      <formula>_xlfn.ISFORMULA(F242)=TRUE</formula>
    </cfRule>
  </conditionalFormatting>
  <conditionalFormatting sqref="F249:F255">
    <cfRule type="expression" dxfId="8910" priority="2351">
      <formula>_xlfn.ISFORMULA(F249)=TRUE</formula>
    </cfRule>
  </conditionalFormatting>
  <conditionalFormatting sqref="F76:G76">
    <cfRule type="expression" dxfId="8909" priority="11303">
      <formula>_xlfn.ISFORMULA(F76)=TRUE</formula>
    </cfRule>
  </conditionalFormatting>
  <conditionalFormatting sqref="F80:G80">
    <cfRule type="expression" dxfId="8908" priority="11055">
      <formula>_xlfn.ISFORMULA(F80)=TRUE</formula>
    </cfRule>
  </conditionalFormatting>
  <conditionalFormatting sqref="F94:G94">
    <cfRule type="expression" dxfId="8907" priority="10207">
      <formula>_xlfn.ISFORMULA(F94)=TRUE</formula>
    </cfRule>
  </conditionalFormatting>
  <conditionalFormatting sqref="F101:G101">
    <cfRule type="expression" dxfId="8906" priority="9851">
      <formula>_xlfn.ISFORMULA(F101)=TRUE</formula>
    </cfRule>
  </conditionalFormatting>
  <conditionalFormatting sqref="F107:G107">
    <cfRule type="expression" dxfId="8905" priority="9573">
      <formula>_xlfn.ISFORMULA(F107)=TRUE</formula>
    </cfRule>
  </conditionalFormatting>
  <conditionalFormatting sqref="F109:G109">
    <cfRule type="expression" dxfId="8904" priority="9439">
      <formula>_xlfn.ISFORMULA(F109)=TRUE</formula>
    </cfRule>
  </conditionalFormatting>
  <conditionalFormatting sqref="F112:G112">
    <cfRule type="expression" dxfId="8903" priority="9215">
      <formula>_xlfn.ISFORMULA(F112)=TRUE</formula>
    </cfRule>
  </conditionalFormatting>
  <conditionalFormatting sqref="F116:G116">
    <cfRule type="expression" dxfId="8902" priority="9075">
      <formula>_xlfn.ISFORMULA(F116)=TRUE</formula>
    </cfRule>
  </conditionalFormatting>
  <conditionalFormatting sqref="F121:G121">
    <cfRule type="expression" dxfId="8901" priority="8375">
      <formula>_xlfn.ISFORMULA(F121)=TRUE</formula>
    </cfRule>
  </conditionalFormatting>
  <conditionalFormatting sqref="F122:G122">
    <cfRule type="expression" dxfId="8900" priority="8025">
      <formula>_xlfn.ISFORMULA(F122)=TRUE</formula>
    </cfRule>
    <cfRule type="expression" dxfId="8899" priority="7745">
      <formula>_xlfn.ISFORMULA(F122)=TRUE</formula>
    </cfRule>
  </conditionalFormatting>
  <conditionalFormatting sqref="F259:G259 F267:G267">
    <cfRule type="expression" dxfId="8898" priority="940">
      <formula>_xlfn.ISFORMULA(F259)=TRUE</formula>
    </cfRule>
    <cfRule type="expression" dxfId="8897" priority="925">
      <formula>_xlfn.ISFORMULA(F259)=TRUE</formula>
    </cfRule>
    <cfRule type="expression" dxfId="8896" priority="850">
      <formula>_xlfn.ISFORMULA(F259)=TRUE</formula>
    </cfRule>
    <cfRule type="expression" dxfId="8895" priority="880">
      <formula>_xlfn.ISFORMULA(F259)=TRUE</formula>
    </cfRule>
    <cfRule type="expression" dxfId="8894" priority="865">
      <formula>_xlfn.ISFORMULA(F259)=TRUE</formula>
    </cfRule>
    <cfRule type="expression" dxfId="8893" priority="895">
      <formula>_xlfn.ISFORMULA(F259)=TRUE</formula>
    </cfRule>
    <cfRule type="expression" dxfId="8892" priority="910">
      <formula>_xlfn.ISFORMULA(F259)=TRUE</formula>
    </cfRule>
  </conditionalFormatting>
  <conditionalFormatting sqref="F260:G260 F268:G268">
    <cfRule type="expression" dxfId="8891" priority="806">
      <formula>_xlfn.ISFORMULA(F260)=TRUE</formula>
    </cfRule>
    <cfRule type="expression" dxfId="8890" priority="821">
      <formula>_xlfn.ISFORMULA(F260)=TRUE</formula>
    </cfRule>
    <cfRule type="expression" dxfId="8889" priority="731">
      <formula>_xlfn.ISFORMULA(F260)=TRUE</formula>
    </cfRule>
    <cfRule type="expression" dxfId="8888" priority="761">
      <formula>_xlfn.ISFORMULA(F260)=TRUE</formula>
    </cfRule>
    <cfRule type="expression" dxfId="8887" priority="746">
      <formula>_xlfn.ISFORMULA(F260)=TRUE</formula>
    </cfRule>
    <cfRule type="expression" dxfId="8886" priority="776">
      <formula>_xlfn.ISFORMULA(F260)=TRUE</formula>
    </cfRule>
    <cfRule type="expression" dxfId="8885" priority="791">
      <formula>_xlfn.ISFORMULA(F260)=TRUE</formula>
    </cfRule>
  </conditionalFormatting>
  <conditionalFormatting sqref="F261:G261 F269:G269">
    <cfRule type="expression" dxfId="8884" priority="642">
      <formula>_xlfn.ISFORMULA(F261)=TRUE</formula>
    </cfRule>
    <cfRule type="expression" dxfId="8883" priority="702">
      <formula>_xlfn.ISFORMULA(F261)=TRUE</formula>
    </cfRule>
    <cfRule type="expression" dxfId="8882" priority="672">
      <formula>_xlfn.ISFORMULA(F261)=TRUE</formula>
    </cfRule>
    <cfRule type="expression" dxfId="8881" priority="657">
      <formula>_xlfn.ISFORMULA(F261)=TRUE</formula>
    </cfRule>
    <cfRule type="expression" dxfId="8880" priority="687">
      <formula>_xlfn.ISFORMULA(F261)=TRUE</formula>
    </cfRule>
    <cfRule type="expression" dxfId="8879" priority="627">
      <formula>_xlfn.ISFORMULA(F261)=TRUE</formula>
    </cfRule>
    <cfRule type="expression" dxfId="8878" priority="612">
      <formula>_xlfn.ISFORMULA(F261)=TRUE</formula>
    </cfRule>
  </conditionalFormatting>
  <conditionalFormatting sqref="F262:G266">
    <cfRule type="expression" dxfId="8877" priority="583">
      <formula>_xlfn.ISFORMULA(F262)=TRUE</formula>
    </cfRule>
    <cfRule type="expression" dxfId="8876" priority="568">
      <formula>_xlfn.ISFORMULA(F262)=TRUE</formula>
    </cfRule>
    <cfRule type="expression" dxfId="8875" priority="493">
      <formula>_xlfn.ISFORMULA(F262)=TRUE</formula>
    </cfRule>
    <cfRule type="expression" dxfId="8874" priority="553">
      <formula>_xlfn.ISFORMULA(F262)=TRUE</formula>
    </cfRule>
    <cfRule type="expression" dxfId="8873" priority="538">
      <formula>_xlfn.ISFORMULA(F262)=TRUE</formula>
    </cfRule>
    <cfRule type="expression" dxfId="8872" priority="508">
      <formula>_xlfn.ISFORMULA(F262)=TRUE</formula>
    </cfRule>
    <cfRule type="expression" dxfId="8871" priority="523">
      <formula>_xlfn.ISFORMULA(F262)=TRUE</formula>
    </cfRule>
  </conditionalFormatting>
  <conditionalFormatting sqref="F71:H71">
    <cfRule type="expression" dxfId="8870" priority="14257">
      <formula>_xlfn.ISFORMULA(F71)=TRUE</formula>
    </cfRule>
  </conditionalFormatting>
  <conditionalFormatting sqref="F76:H76">
    <cfRule type="expression" dxfId="8869" priority="11311">
      <formula>_xlfn.ISFORMULA(F76)=TRUE</formula>
    </cfRule>
    <cfRule type="expression" dxfId="8868" priority="11335">
      <formula>_xlfn.ISFORMULA(F76)=TRUE</formula>
    </cfRule>
  </conditionalFormatting>
  <conditionalFormatting sqref="F80:H80">
    <cfRule type="expression" dxfId="8867" priority="11087">
      <formula>_xlfn.ISFORMULA(F80)=TRUE</formula>
    </cfRule>
    <cfRule type="expression" dxfId="8866" priority="11063">
      <formula>_xlfn.ISFORMULA(F80)=TRUE</formula>
    </cfRule>
  </conditionalFormatting>
  <conditionalFormatting sqref="F87:H87">
    <cfRule type="expression" dxfId="8865" priority="10636">
      <formula>_xlfn.ISFORMULA(F87)=TRUE</formula>
    </cfRule>
    <cfRule type="expression" dxfId="8864" priority="10612">
      <formula>_xlfn.ISFORMULA(F87)=TRUE</formula>
    </cfRule>
    <cfRule type="expression" dxfId="8863" priority="10599">
      <formula>_xlfn.ISFORMULA(F87)=TRUE</formula>
    </cfRule>
  </conditionalFormatting>
  <conditionalFormatting sqref="F94:H94">
    <cfRule type="expression" dxfId="8862" priority="10239">
      <formula>_xlfn.ISFORMULA(F94)=TRUE</formula>
    </cfRule>
    <cfRule type="expression" dxfId="8861" priority="10215">
      <formula>_xlfn.ISFORMULA(F94)=TRUE</formula>
    </cfRule>
  </conditionalFormatting>
  <conditionalFormatting sqref="F99:H99">
    <cfRule type="expression" dxfId="8860" priority="9914">
      <formula>_xlfn.ISFORMULA(F99)=TRUE</formula>
    </cfRule>
  </conditionalFormatting>
  <conditionalFormatting sqref="F103:H103">
    <cfRule type="expression" dxfId="8859" priority="9752">
      <formula>_xlfn.ISFORMULA(F103)=TRUE</formula>
    </cfRule>
    <cfRule type="expression" dxfId="8858" priority="9727">
      <formula>_xlfn.ISFORMULA(F103)=TRUE</formula>
    </cfRule>
  </conditionalFormatting>
  <conditionalFormatting sqref="F107:H107">
    <cfRule type="expression" dxfId="8857" priority="9581">
      <formula>_xlfn.ISFORMULA(F107)=TRUE</formula>
    </cfRule>
  </conditionalFormatting>
  <conditionalFormatting sqref="F109:H109">
    <cfRule type="expression" dxfId="8856" priority="9447">
      <formula>_xlfn.ISFORMULA(F109)=TRUE</formula>
    </cfRule>
  </conditionalFormatting>
  <conditionalFormatting sqref="F207:H207">
    <cfRule type="expression" dxfId="8855" priority="964">
      <formula>_xlfn.ISFORMULA(F207)=TRUE</formula>
    </cfRule>
  </conditionalFormatting>
  <conditionalFormatting sqref="G3:G9">
    <cfRule type="expression" dxfId="8854" priority="14027">
      <formula>IF(ISBLANK($D3),,IF($F3&lt;&gt;0,"ЛОЖЬ","ИСТИНА"))</formula>
    </cfRule>
  </conditionalFormatting>
  <conditionalFormatting sqref="G4:G9">
    <cfRule type="expression" dxfId="8853" priority="14026">
      <formula>_xlfn.ISFORMULA(G4)=TRUE</formula>
    </cfRule>
  </conditionalFormatting>
  <conditionalFormatting sqref="G9">
    <cfRule type="expression" dxfId="8852" priority="13990">
      <formula>_xlfn.ISFORMULA(G9)=TRUE</formula>
    </cfRule>
    <cfRule type="expression" dxfId="8851" priority="13988">
      <formula>IF(ISBLANK($D9),,IF($F9&lt;&gt;0,"ЛОЖЬ","ИСТИНА"))</formula>
    </cfRule>
  </conditionalFormatting>
  <conditionalFormatting sqref="G9:G10">
    <cfRule type="expression" dxfId="8850" priority="13991">
      <formula>IF(ISBLANK($D9),,IF($F9&lt;&gt;0,"ЛОЖЬ","ИСТИНА"))</formula>
    </cfRule>
  </conditionalFormatting>
  <conditionalFormatting sqref="G9:G11">
    <cfRule type="expression" dxfId="8849" priority="13977">
      <formula>_xlfn.ISFORMULA(G9)=TRUE</formula>
    </cfRule>
  </conditionalFormatting>
  <conditionalFormatting sqref="G10">
    <cfRule type="expression" dxfId="8848" priority="4552">
      <formula>_xlfn.ISFORMULA(G10)=TRUE</formula>
    </cfRule>
    <cfRule type="expression" dxfId="8847" priority="13901">
      <formula>IF(ISBLANK($D10),,IF($F10&lt;&gt;0,"ЛОЖЬ","ИСТИНА"))</formula>
    </cfRule>
    <cfRule type="expression" dxfId="8846" priority="13903">
      <formula>_xlfn.ISFORMULA(G10)=TRUE</formula>
    </cfRule>
    <cfRule type="expression" dxfId="8845" priority="4550">
      <formula>IF(ISBLANK($D10),,IF($F10&lt;&gt;0,"ЛОЖЬ","ИСТИНА"))</formula>
    </cfRule>
  </conditionalFormatting>
  <conditionalFormatting sqref="G10:G11">
    <cfRule type="expression" dxfId="8844" priority="4365">
      <formula>IF(ISBLANK($D10),,IF($F10&lt;&gt;0,"ЛОЖЬ","ИСТИНА"))</formula>
    </cfRule>
    <cfRule type="expression" dxfId="8843" priority="4364">
      <formula>_xlfn.ISFORMULA(G10)=TRUE</formula>
    </cfRule>
    <cfRule type="expression" dxfId="8842" priority="4553">
      <formula>IF(ISBLANK($D10),,IF($F10&lt;&gt;0,"ЛОЖЬ","ИСТИНА"))</formula>
    </cfRule>
    <cfRule type="expression" dxfId="8841" priority="13904">
      <formula>IF(ISBLANK($D10),,IF($F10&lt;&gt;0,"ЛОЖЬ","ИСТИНА"))</formula>
    </cfRule>
  </conditionalFormatting>
  <conditionalFormatting sqref="G10:G12">
    <cfRule type="expression" dxfId="8840" priority="4539">
      <formula>_xlfn.ISFORMULA(G10)=TRUE</formula>
    </cfRule>
    <cfRule type="expression" dxfId="8839" priority="13890">
      <formula>_xlfn.ISFORMULA(G10)=TRUE</formula>
    </cfRule>
  </conditionalFormatting>
  <conditionalFormatting sqref="G11">
    <cfRule type="expression" dxfId="8838" priority="4343">
      <formula>_xlfn.ISFORMULA(G11)=TRUE</formula>
    </cfRule>
    <cfRule type="expression" dxfId="8837" priority="4341">
      <formula>IF(ISBLANK($D11),,IF($F11&lt;&gt;0,"ЛОЖЬ","ИСТИНА"))</formula>
    </cfRule>
    <cfRule type="expression" dxfId="8836" priority="13986">
      <formula>_xlfn.ISFORMULA(G11)=TRUE</formula>
    </cfRule>
    <cfRule type="expression" dxfId="8835" priority="13984">
      <formula>IF(ISBLANK($D11),,IF($F11&lt;&gt;0,"ЛОЖЬ","ИСТИНА"))</formula>
    </cfRule>
    <cfRule type="expression" dxfId="8834" priority="4466">
      <formula>IF(ISBLANK($D11),,IF($F11&lt;&gt;0,"ЛОЖЬ","ИСТИНА"))</formula>
    </cfRule>
    <cfRule type="expression" dxfId="8833" priority="4468">
      <formula>_xlfn.ISFORMULA(G11)=TRUE</formula>
    </cfRule>
  </conditionalFormatting>
  <conditionalFormatting sqref="G11:G12">
    <cfRule type="expression" dxfId="8832" priority="4344">
      <formula>IF(ISBLANK($D11),,IF($F11&lt;&gt;0,"ЛОЖЬ","ИСТИНА"))</formula>
    </cfRule>
    <cfRule type="expression" dxfId="8831" priority="4469">
      <formula>IF(ISBLANK($D11),,IF($F11&lt;&gt;0,"ЛОЖЬ","ИСТИНА"))</formula>
    </cfRule>
  </conditionalFormatting>
  <conditionalFormatting sqref="G11:G13">
    <cfRule type="expression" dxfId="8830" priority="4330">
      <formula>_xlfn.ISFORMULA(G11)=TRUE</formula>
    </cfRule>
    <cfRule type="expression" dxfId="8829" priority="13987">
      <formula>IF(ISBLANK($D11),,IF($F11&lt;&gt;0,"ЛОЖЬ","ИСТИНА"))</formula>
    </cfRule>
  </conditionalFormatting>
  <conditionalFormatting sqref="G11:G15">
    <cfRule type="expression" dxfId="8828" priority="4379">
      <formula>_xlfn.ISFORMULA(G11)=TRUE</formula>
    </cfRule>
  </conditionalFormatting>
  <conditionalFormatting sqref="G12">
    <cfRule type="expression" dxfId="8827" priority="4183">
      <formula>_xlfn.ISFORMULA(G12)=TRUE</formula>
    </cfRule>
    <cfRule type="expression" dxfId="8826" priority="13897">
      <formula>IF(ISBLANK($D12),,IF($F12&lt;&gt;0,"ЛОЖЬ","ИСТИНА"))</formula>
    </cfRule>
    <cfRule type="expression" dxfId="8825" priority="13899">
      <formula>_xlfn.ISFORMULA(G12)=TRUE</formula>
    </cfRule>
    <cfRule type="expression" dxfId="8824" priority="4299">
      <formula>_xlfn.ISFORMULA(G12)=TRUE</formula>
    </cfRule>
    <cfRule type="expression" dxfId="8823" priority="4297">
      <formula>IF(ISBLANK($D12),,IF($F12&lt;&gt;0,"ЛОЖЬ","ИСТИНА"))</formula>
    </cfRule>
    <cfRule type="expression" dxfId="8822" priority="13900">
      <formula>IF(ISBLANK($D12),,IF($F12&lt;&gt;0,"ЛОЖЬ","ИСТИНА"))</formula>
    </cfRule>
    <cfRule type="expression" dxfId="8821" priority="4181">
      <formula>IF(ISBLANK($D12),,IF($F12&lt;&gt;0,"ЛОЖЬ","ИСТИНА"))</formula>
    </cfRule>
    <cfRule type="expression" dxfId="8820" priority="4548">
      <formula>_xlfn.ISFORMULA(G12)=TRUE</formula>
    </cfRule>
    <cfRule type="expression" dxfId="8819" priority="4549">
      <formula>IF(ISBLANK($D12),,IF($F12&lt;&gt;0,"ЛОЖЬ","ИСТИНА"))</formula>
    </cfRule>
    <cfRule type="expression" dxfId="8818" priority="4546">
      <formula>IF(ISBLANK($D12),,IF($F12&lt;&gt;0,"ЛОЖЬ","ИСТИНА"))</formula>
    </cfRule>
  </conditionalFormatting>
  <conditionalFormatting sqref="G12:G13">
    <cfRule type="expression" dxfId="8817" priority="4300">
      <formula>IF(ISBLANK($D12),,IF($F12&lt;&gt;0,"ЛОЖЬ","ИСТИНА"))</formula>
    </cfRule>
    <cfRule type="expression" dxfId="8816" priority="4184">
      <formula>IF(ISBLANK($D12),,IF($F12&lt;&gt;0,"ЛОЖЬ","ИСТИНА"))</formula>
    </cfRule>
  </conditionalFormatting>
  <conditionalFormatting sqref="G12:G14">
    <cfRule type="expression" dxfId="8815" priority="4186">
      <formula>_xlfn.ISFORMULA(G12)=TRUE</formula>
    </cfRule>
    <cfRule type="expression" dxfId="8814" priority="4170">
      <formula>_xlfn.ISFORMULA(G12)=TRUE</formula>
    </cfRule>
  </conditionalFormatting>
  <conditionalFormatting sqref="G13">
    <cfRule type="expression" dxfId="8813" priority="4339">
      <formula>_xlfn.ISFORMULA(G13)=TRUE</formula>
    </cfRule>
    <cfRule type="expression" dxfId="8812" priority="4337">
      <formula>IF(ISBLANK($D13),,IF($F13&lt;&gt;0,"ЛОЖЬ","ИСТИНА"))</formula>
    </cfRule>
    <cfRule type="expression" dxfId="8811" priority="4139">
      <formula>_xlfn.ISFORMULA(G13)=TRUE</formula>
    </cfRule>
    <cfRule type="expression" dxfId="8810" priority="4137">
      <formula>IF(ISBLANK($D13),,IF($F13&lt;&gt;0,"ЛОЖЬ","ИСТИНА"))</formula>
    </cfRule>
    <cfRule type="expression" dxfId="8809" priority="4464">
      <formula>_xlfn.ISFORMULA(G13)=TRUE</formula>
    </cfRule>
    <cfRule type="expression" dxfId="8808" priority="4462">
      <formula>IF(ISBLANK($D13),,IF($F13&lt;&gt;0,"ЛОЖЬ","ИСТИНА"))</formula>
    </cfRule>
  </conditionalFormatting>
  <conditionalFormatting sqref="G13:G14">
    <cfRule type="expression" dxfId="8807" priority="4140">
      <formula>IF(ISBLANK($D13),,IF($F13&lt;&gt;0,"ЛОЖЬ","ИСТИНА"))</formula>
    </cfRule>
    <cfRule type="expression" dxfId="8806" priority="4465">
      <formula>IF(ISBLANK($D13),,IF($F13&lt;&gt;0,"ЛОЖЬ","ИСТИНА"))</formula>
    </cfRule>
  </conditionalFormatting>
  <conditionalFormatting sqref="G13:G15">
    <cfRule type="expression" dxfId="8805" priority="4340">
      <formula>IF(ISBLANK($D13),,IF($F13&lt;&gt;0,"ЛОЖЬ","ИСТИНА"))</formula>
    </cfRule>
  </conditionalFormatting>
  <conditionalFormatting sqref="G13:G16">
    <cfRule type="expression" dxfId="8804" priority="4126">
      <formula>_xlfn.ISFORMULA(G13)=TRUE</formula>
    </cfRule>
  </conditionalFormatting>
  <conditionalFormatting sqref="G14">
    <cfRule type="expression" dxfId="8803" priority="4296">
      <formula>IF(ISBLANK($D14),,IF($F14&lt;&gt;0,"ЛОЖЬ","ИСТИНА"))</formula>
    </cfRule>
    <cfRule type="expression" dxfId="8802" priority="4295">
      <formula>_xlfn.ISFORMULA(G14)=TRUE</formula>
    </cfRule>
    <cfRule type="expression" dxfId="8801" priority="4293">
      <formula>IF(ISBLANK($D14),,IF($F14&lt;&gt;0,"ЛОЖЬ","ИСТИНА"))</formula>
    </cfRule>
    <cfRule type="expression" dxfId="8800" priority="4180">
      <formula>IF(ISBLANK($D14),,IF($F14&lt;&gt;0,"ЛОЖЬ","ИСТИНА"))</formula>
    </cfRule>
    <cfRule type="expression" dxfId="8799" priority="12751">
      <formula>IF(ISBLANK($D14),,IF($F14&lt;&gt;0,"ЛОЖЬ","ИСТИНА"))</formula>
    </cfRule>
    <cfRule type="expression" dxfId="8798" priority="4177">
      <formula>IF(ISBLANK($D14),,IF($F14&lt;&gt;0,"ЛОЖЬ","ИСТИНА"))</formula>
    </cfRule>
    <cfRule type="expression" dxfId="8797" priority="4179">
      <formula>_xlfn.ISFORMULA(G14)=TRUE</formula>
    </cfRule>
    <cfRule type="expression" dxfId="8796" priority="12722">
      <formula>_xlfn.ISFORMULA(G14)=TRUE</formula>
    </cfRule>
  </conditionalFormatting>
  <conditionalFormatting sqref="G14:G15">
    <cfRule type="expression" dxfId="8795" priority="12784">
      <formula>IF(ISBLANK($D14),,IF($F14&lt;&gt;0,"ЛОЖЬ","ИСТИНА"))</formula>
    </cfRule>
    <cfRule type="expression" dxfId="8794" priority="12781">
      <formula>_xlfn.ISFORMULA(G14)=TRUE</formula>
    </cfRule>
  </conditionalFormatting>
  <conditionalFormatting sqref="G15">
    <cfRule type="expression" dxfId="8793" priority="4135">
      <formula>_xlfn.ISFORMULA(G15)=TRUE</formula>
    </cfRule>
    <cfRule type="expression" dxfId="8792" priority="4133">
      <formula>IF(ISBLANK($D15),,IF($F15&lt;&gt;0,"ЛОЖЬ","ИСТИНА"))</formula>
    </cfRule>
    <cfRule type="expression" dxfId="8791" priority="12824">
      <formula>IF(ISBLANK($D15),,IF($F15&lt;&gt;0,"ЛОЖЬ","ИСТИНА"))</formula>
    </cfRule>
    <cfRule type="expression" dxfId="8790" priority="12823">
      <formula>_xlfn.ISFORMULA(G15)=TRUE</formula>
    </cfRule>
  </conditionalFormatting>
  <conditionalFormatting sqref="G15:G16">
    <cfRule type="expression" dxfId="8789" priority="4136">
      <formula>IF(ISBLANK($D15),,IF($F15&lt;&gt;0,"ЛОЖЬ","ИСТИНА"))</formula>
    </cfRule>
  </conditionalFormatting>
  <conditionalFormatting sqref="G15:G18">
    <cfRule type="expression" dxfId="8788" priority="12831">
      <formula>_xlfn.ISFORMULA(G15)=TRUE</formula>
    </cfRule>
    <cfRule type="expression" dxfId="8787" priority="13781">
      <formula>IF(ISBLANK($D15),,IF($F15&lt;&gt;0,"ЛОЖЬ","ИСТИНА"))</formula>
    </cfRule>
    <cfRule type="expression" dxfId="8786" priority="13783">
      <formula>_xlfn.ISFORMULA(G15)=TRUE</formula>
    </cfRule>
  </conditionalFormatting>
  <conditionalFormatting sqref="G15:G19">
    <cfRule type="expression" dxfId="8785" priority="13784">
      <formula>IF(ISBLANK($D15),,IF($F15&lt;&gt;0,"ЛОЖЬ","ИСТИНА"))</formula>
    </cfRule>
    <cfRule type="expression" dxfId="8784" priority="13791">
      <formula>_xlfn.ISFORMULA(G15)=TRUE</formula>
    </cfRule>
  </conditionalFormatting>
  <conditionalFormatting sqref="G16">
    <cfRule type="expression" dxfId="8783" priority="4254">
      <formula>IF(ISBLANK($D16),,IF($F16&lt;&gt;0,"ЛОЖЬ","ИСТИНА"))</formula>
    </cfRule>
    <cfRule type="expression" dxfId="8782" priority="4212">
      <formula>_xlfn.ISFORMULA(G16)=TRUE</formula>
    </cfRule>
    <cfRule type="expression" dxfId="8781" priority="4239">
      <formula>_xlfn.ISFORMULA(G16)=TRUE</formula>
    </cfRule>
    <cfRule type="expression" dxfId="8780" priority="4236">
      <formula>IF(ISBLANK($D16),,IF($F16&lt;&gt;0,"ЛОЖЬ","ИСТИНА"))</formula>
    </cfRule>
  </conditionalFormatting>
  <conditionalFormatting sqref="G20 G29:G30 G36">
    <cfRule type="expression" dxfId="8779" priority="1441">
      <formula>_xlfn.ISFORMULA(G20)=TRUE</formula>
    </cfRule>
  </conditionalFormatting>
  <conditionalFormatting sqref="G20:G26">
    <cfRule type="expression" dxfId="8778" priority="1434">
      <formula>IF(ISBLANK($D20),,IF($F20&lt;&gt;0,"ЛОЖЬ","ИСТИНА"))</formula>
    </cfRule>
  </conditionalFormatting>
  <conditionalFormatting sqref="G21:G26">
    <cfRule type="expression" dxfId="8777" priority="1433">
      <formula>_xlfn.ISFORMULA(G21)=TRUE</formula>
    </cfRule>
  </conditionalFormatting>
  <conditionalFormatting sqref="G26">
    <cfRule type="expression" dxfId="8776" priority="1427">
      <formula>_xlfn.ISFORMULA(G26)=TRUE</formula>
    </cfRule>
    <cfRule type="expression" dxfId="8775" priority="1425">
      <formula>IF(ISBLANK($D26),,IF($F26&lt;&gt;0,"ЛОЖЬ","ИСТИНА"))</formula>
    </cfRule>
  </conditionalFormatting>
  <conditionalFormatting sqref="G26:G27">
    <cfRule type="expression" dxfId="8774" priority="1428">
      <formula>IF(ISBLANK($D26),,IF($F26&lt;&gt;0,"ЛОЖЬ","ИСТИНА"))</formula>
    </cfRule>
  </conditionalFormatting>
  <conditionalFormatting sqref="G26:G28">
    <cfRule type="expression" dxfId="8773" priority="1414">
      <formula>_xlfn.ISFORMULA(G26)=TRUE</formula>
    </cfRule>
  </conditionalFormatting>
  <conditionalFormatting sqref="G27">
    <cfRule type="expression" dxfId="8772" priority="1400">
      <formula>_xlfn.ISFORMULA(G27)=TRUE</formula>
    </cfRule>
    <cfRule type="expression" dxfId="8771" priority="1398">
      <formula>IF(ISBLANK($D27),,IF($F27&lt;&gt;0,"ЛОЖЬ","ИСТИНА"))</formula>
    </cfRule>
    <cfRule type="expression" dxfId="8770" priority="1324">
      <formula>IF(ISBLANK($D27),,IF($F27&lt;&gt;0,"ЛОЖЬ","ИСТИНА"))</formula>
    </cfRule>
    <cfRule type="expression" dxfId="8769" priority="1326">
      <formula>_xlfn.ISFORMULA(G27)=TRUE</formula>
    </cfRule>
  </conditionalFormatting>
  <conditionalFormatting sqref="G27:G28">
    <cfRule type="expression" dxfId="8768" priority="1327">
      <formula>IF(ISBLANK($D27),,IF($F27&lt;&gt;0,"ЛОЖЬ","ИСТИНА"))</formula>
    </cfRule>
    <cfRule type="expression" dxfId="8767" priority="1401">
      <formula>IF(ISBLANK($D27),,IF($F27&lt;&gt;0,"ЛОЖЬ","ИСТИНА"))</formula>
    </cfRule>
    <cfRule type="expression" dxfId="8766" priority="1271">
      <formula>_xlfn.ISFORMULA(G27)=TRUE</formula>
    </cfRule>
    <cfRule type="expression" dxfId="8765" priority="1272">
      <formula>IF(ISBLANK($D27),,IF($F27&lt;&gt;0,"ЛОЖЬ","ИСТИНА"))</formula>
    </cfRule>
  </conditionalFormatting>
  <conditionalFormatting sqref="G27:G29">
    <cfRule type="expression" dxfId="8764" priority="1387">
      <formula>_xlfn.ISFORMULA(G27)=TRUE</formula>
    </cfRule>
    <cfRule type="expression" dxfId="8763" priority="1313">
      <formula>_xlfn.ISFORMULA(G27)=TRUE</formula>
    </cfRule>
  </conditionalFormatting>
  <conditionalFormatting sqref="G28">
    <cfRule type="expression" dxfId="8762" priority="1266">
      <formula>IF(ISBLANK($D28),,IF($F28&lt;&gt;0,"ЛОЖЬ","ИСТИНА"))</formula>
    </cfRule>
    <cfRule type="expression" dxfId="8761" priority="1268">
      <formula>_xlfn.ISFORMULA(G28)=TRUE</formula>
    </cfRule>
    <cfRule type="expression" dxfId="8760" priority="1423">
      <formula>_xlfn.ISFORMULA(G28)=TRUE</formula>
    </cfRule>
    <cfRule type="expression" dxfId="8759" priority="1299">
      <formula>_xlfn.ISFORMULA(G28)=TRUE</formula>
    </cfRule>
    <cfRule type="expression" dxfId="8758" priority="1421">
      <formula>IF(ISBLANK($D28),,IF($F28&lt;&gt;0,"ЛОЖЬ","ИСТИНА"))</formula>
    </cfRule>
    <cfRule type="expression" dxfId="8757" priority="1297">
      <formula>IF(ISBLANK($D28),,IF($F28&lt;&gt;0,"ЛОЖЬ","ИСТИНА"))</formula>
    </cfRule>
  </conditionalFormatting>
  <conditionalFormatting sqref="G28:G29">
    <cfRule type="expression" dxfId="8756" priority="1269">
      <formula>IF(ISBLANK($D28),,IF($F28&lt;&gt;0,"ЛОЖЬ","ИСТИНА"))</formula>
    </cfRule>
    <cfRule type="expression" dxfId="8755" priority="1300">
      <formula>IF(ISBLANK($D28),,IF($F28&lt;&gt;0,"ЛОЖЬ","ИСТИНА"))</formula>
    </cfRule>
  </conditionalFormatting>
  <conditionalFormatting sqref="G28:G30">
    <cfRule type="expression" dxfId="8754" priority="1424">
      <formula>IF(ISBLANK($D28),,IF($F28&lt;&gt;0,"ЛОЖЬ","ИСТИНА"))</formula>
    </cfRule>
    <cfRule type="expression" dxfId="8753" priority="1255">
      <formula>_xlfn.ISFORMULA(G28)=TRUE</formula>
    </cfRule>
  </conditionalFormatting>
  <conditionalFormatting sqref="G28:G31 G32:H32">
    <cfRule type="expression" dxfId="8752" priority="1274">
      <formula>_xlfn.ISFORMULA(G28)=TRUE</formula>
    </cfRule>
  </conditionalFormatting>
  <conditionalFormatting sqref="G29">
    <cfRule type="expression" dxfId="8751" priority="1248">
      <formula>IF(ISBLANK($D29),,IF($F29&lt;&gt;0,"ЛОЖЬ","ИСТИНА"))</formula>
    </cfRule>
    <cfRule type="expression" dxfId="8750" priority="1397">
      <formula>IF(ISBLANK($D29),,IF($F29&lt;&gt;0,"ЛОЖЬ","ИСТИНА"))</formula>
    </cfRule>
    <cfRule type="expression" dxfId="8749" priority="1394">
      <formula>IF(ISBLANK($D29),,IF($F29&lt;&gt;0,"ЛОЖЬ","ИСТИНА"))</formula>
    </cfRule>
    <cfRule type="expression" dxfId="8748" priority="1212">
      <formula>IF(ISBLANK($D29),,IF($F29&lt;&gt;0,"ЛОЖЬ","ИСТИНА"))</formula>
    </cfRule>
    <cfRule type="expression" dxfId="8747" priority="1323">
      <formula>IF(ISBLANK($D29),,IF($F29&lt;&gt;0,"ЛОЖЬ","ИСТИНА"))</formula>
    </cfRule>
    <cfRule type="expression" dxfId="8746" priority="1322">
      <formula>_xlfn.ISFORMULA(G29)=TRUE</formula>
    </cfRule>
    <cfRule type="expression" dxfId="8745" priority="1250">
      <formula>_xlfn.ISFORMULA(G29)=TRUE</formula>
    </cfRule>
    <cfRule type="expression" dxfId="8744" priority="1320">
      <formula>IF(ISBLANK($D29),,IF($F29&lt;&gt;0,"ЛОЖЬ","ИСТИНА"))</formula>
    </cfRule>
    <cfRule type="expression" dxfId="8743" priority="1396">
      <formula>_xlfn.ISFORMULA(G29)=TRUE</formula>
    </cfRule>
    <cfRule type="expression" dxfId="8742" priority="1214">
      <formula>_xlfn.ISFORMULA(G29)=TRUE</formula>
    </cfRule>
  </conditionalFormatting>
  <conditionalFormatting sqref="G29:G30">
    <cfRule type="expression" dxfId="8741" priority="1215">
      <formula>IF(ISBLANK($D29),,IF($F29&lt;&gt;0,"ЛОЖЬ","ИСТИНА"))</formula>
    </cfRule>
    <cfRule type="expression" dxfId="8740" priority="1251">
      <formula>IF(ISBLANK($D29),,IF($F29&lt;&gt;0,"ЛОЖЬ","ИСТИНА"))</formula>
    </cfRule>
  </conditionalFormatting>
  <conditionalFormatting sqref="G29:G31">
    <cfRule type="expression" dxfId="8739" priority="1201">
      <formula>_xlfn.ISFORMULA(G29)=TRUE</formula>
    </cfRule>
    <cfRule type="expression" dxfId="8738" priority="1237">
      <formula>_xlfn.ISFORMULA(G29)=TRUE</formula>
    </cfRule>
  </conditionalFormatting>
  <conditionalFormatting sqref="G30">
    <cfRule type="expression" dxfId="8737" priority="1262">
      <formula>IF(ISBLANK($D30),,IF($F30&lt;&gt;0,"ЛОЖЬ","ИСТИНА"))</formula>
    </cfRule>
    <cfRule type="expression" dxfId="8736" priority="1295">
      <formula>_xlfn.ISFORMULA(G30)=TRUE</formula>
    </cfRule>
    <cfRule type="expression" dxfId="8735" priority="1194">
      <formula>IF(ISBLANK($D30),,IF($F30&lt;&gt;0,"ЛОЖЬ","ИСТИНА"))</formula>
    </cfRule>
    <cfRule type="expression" dxfId="8734" priority="1264">
      <formula>_xlfn.ISFORMULA(G30)=TRUE</formula>
    </cfRule>
    <cfRule type="expression" dxfId="8733" priority="1293">
      <formula>IF(ISBLANK($D30),,IF($F30&lt;&gt;0,"ЛОЖЬ","ИСТИНА"))</formula>
    </cfRule>
    <cfRule type="expression" dxfId="8732" priority="1196">
      <formula>_xlfn.ISFORMULA(G30)=TRUE</formula>
    </cfRule>
  </conditionalFormatting>
  <conditionalFormatting sqref="G30:G31 G32:H33">
    <cfRule type="expression" dxfId="8731" priority="1183">
      <formula>_xlfn.ISFORMULA(G30)=TRUE</formula>
    </cfRule>
  </conditionalFormatting>
  <conditionalFormatting sqref="G30:G31">
    <cfRule type="expression" dxfId="8730" priority="1296">
      <formula>IF(ISBLANK($D30),,IF($F30&lt;&gt;0,"ЛОЖЬ","ИСТИНА"))</formula>
    </cfRule>
    <cfRule type="expression" dxfId="8729" priority="1197">
      <formula>IF(ISBLANK($D30),,IF($F30&lt;&gt;0,"ЛОЖЬ","ИСТИНА"))</formula>
    </cfRule>
  </conditionalFormatting>
  <conditionalFormatting sqref="G30:G32">
    <cfRule type="expression" dxfId="8728" priority="1265">
      <formula>IF(ISBLANK($D30),,IF($F30&lt;&gt;0,"ЛОЖЬ","ИСТИНА"))</formula>
    </cfRule>
  </conditionalFormatting>
  <conditionalFormatting sqref="G31">
    <cfRule type="expression" dxfId="8727" priority="1211">
      <formula>IF(ISBLANK($D31),,IF($F31&lt;&gt;0,"ЛОЖЬ","ИСТИНА"))</formula>
    </cfRule>
    <cfRule type="expression" dxfId="8726" priority="1244">
      <formula>IF(ISBLANK($D31),,IF($F31&lt;&gt;0,"ЛОЖЬ","ИСТИНА"))</formula>
    </cfRule>
    <cfRule type="expression" dxfId="8725" priority="1349">
      <formula>_xlfn.ISFORMULA(G31)=TRUE</formula>
    </cfRule>
    <cfRule type="expression" dxfId="8724" priority="1342">
      <formula>IF(ISBLANK($D31),,IF($F31&lt;&gt;0,"ЛОЖЬ","ИСТИНА"))</formula>
    </cfRule>
    <cfRule type="expression" dxfId="8723" priority="1339">
      <formula>_xlfn.ISFORMULA(G31)=TRUE</formula>
    </cfRule>
    <cfRule type="expression" dxfId="8722" priority="1210">
      <formula>_xlfn.ISFORMULA(G31)=TRUE</formula>
    </cfRule>
    <cfRule type="expression" dxfId="8721" priority="1208">
      <formula>IF(ISBLANK($D31),,IF($F31&lt;&gt;0,"ЛОЖЬ","ИСТИНА"))</formula>
    </cfRule>
    <cfRule type="expression" dxfId="8720" priority="1247">
      <formula>IF(ISBLANK($D31),,IF($F31&lt;&gt;0,"ЛОЖЬ","ИСТИНА"))</formula>
    </cfRule>
    <cfRule type="expression" dxfId="8719" priority="1246">
      <formula>_xlfn.ISFORMULA(G31)=TRUE</formula>
    </cfRule>
  </conditionalFormatting>
  <conditionalFormatting sqref="G31:G32">
    <cfRule type="expression" dxfId="8718" priority="1352">
      <formula>IF(ISBLANK($D31),,IF($F31&lt;&gt;0,"ЛОЖЬ","ИСТИНА"))</formula>
    </cfRule>
  </conditionalFormatting>
  <conditionalFormatting sqref="G32">
    <cfRule type="expression" dxfId="8717" priority="1192">
      <formula>_xlfn.ISFORMULA(G32)=TRUE</formula>
    </cfRule>
    <cfRule type="expression" dxfId="8716" priority="1190">
      <formula>IF(ISBLANK($D32),,IF($F32&lt;&gt;0,"ЛОЖЬ","ИСТИНА"))</formula>
    </cfRule>
    <cfRule type="expression" dxfId="8715" priority="1361">
      <formula>_xlfn.ISFORMULA(G32)=TRUE</formula>
    </cfRule>
    <cfRule type="expression" dxfId="8714" priority="1362">
      <formula>IF(ISBLANK($D32),,IF($F32&lt;&gt;0,"ЛОЖЬ","ИСТИНА"))</formula>
    </cfRule>
  </conditionalFormatting>
  <conditionalFormatting sqref="G32:G33">
    <cfRule type="expression" dxfId="8713" priority="1193">
      <formula>IF(ISBLANK($D32),,IF($F32&lt;&gt;0,"ЛОЖЬ","ИСТИНА"))</formula>
    </cfRule>
  </conditionalFormatting>
  <conditionalFormatting sqref="G32:G35">
    <cfRule type="expression" dxfId="8712" priority="1369">
      <formula>IF(ISBLANK($D32),,IF($F32&lt;&gt;0,"ЛОЖЬ","ИСТИНА"))</formula>
    </cfRule>
    <cfRule type="expression" dxfId="8711" priority="1371">
      <formula>_xlfn.ISFORMULA(G32)=TRUE</formula>
    </cfRule>
  </conditionalFormatting>
  <conditionalFormatting sqref="G32:G36">
    <cfRule type="expression" dxfId="8710" priority="1372">
      <formula>IF(ISBLANK($D32),,IF($F32&lt;&gt;0,"ЛОЖЬ","ИСТИНА"))</formula>
    </cfRule>
  </conditionalFormatting>
  <conditionalFormatting sqref="G33">
    <cfRule type="expression" dxfId="8709" priority="1226">
      <formula>IF(ISBLANK($D33),,IF($F33&lt;&gt;0,"ЛОЖЬ","ИСТИНА"))</formula>
    </cfRule>
    <cfRule type="expression" dxfId="8708" priority="1232">
      <formula>IF(ISBLANK($D33),,IF($F33&lt;&gt;0,"ЛОЖЬ","ИСТИНА"))</formula>
    </cfRule>
  </conditionalFormatting>
  <conditionalFormatting sqref="G37">
    <cfRule type="expression" dxfId="8707" priority="1161">
      <formula>IF(ISBLANK($D37),,IF($F37&lt;&gt;0,"ЛОЖЬ","ИСТИНА"))</formula>
    </cfRule>
    <cfRule type="expression" dxfId="8706" priority="1146">
      <formula>IF(ISBLANK($D37),,IF($F37&lt;&gt;0,"ЛОЖЬ","ИСТИНА"))</formula>
    </cfRule>
  </conditionalFormatting>
  <conditionalFormatting sqref="G38:G39">
    <cfRule type="expression" dxfId="8705" priority="12679">
      <formula>IF(ISBLANK($D38),,IF($F38&lt;&gt;0,"ЛОЖЬ","ИСТИНА"))</formula>
    </cfRule>
  </conditionalFormatting>
  <conditionalFormatting sqref="G38:G41">
    <cfRule type="expression" dxfId="8704" priority="12613">
      <formula>IF(ISBLANK($D38),,IF($F38&lt;&gt;0,"ЛОЖЬ","ИСТИНА"))</formula>
    </cfRule>
  </conditionalFormatting>
  <conditionalFormatting sqref="G40">
    <cfRule type="expression" dxfId="8703" priority="12574">
      <formula>IF(ISBLANK($D40),,IF($F40&lt;&gt;0,"ЛОЖЬ","ИСТИНА"))</formula>
    </cfRule>
  </conditionalFormatting>
  <conditionalFormatting sqref="G42">
    <cfRule type="expression" dxfId="8702" priority="12549">
      <formula>IF(ISBLANK($D42),,IF($G42&lt;&gt;0,"ЛОЖЬ","ИСТИНА"))</formula>
    </cfRule>
    <cfRule type="expression" dxfId="8701" priority="12550">
      <formula>_xlfn.ISFORMULA(G42)=TRUE</formula>
    </cfRule>
  </conditionalFormatting>
  <conditionalFormatting sqref="G43 E3:H3 G12:G13 G41 G54:H54">
    <cfRule type="expression" dxfId="8700" priority="14534">
      <formula>_xlfn.ISFORMULA(E3)=TRUE</formula>
    </cfRule>
  </conditionalFormatting>
  <conditionalFormatting sqref="G43">
    <cfRule type="expression" dxfId="8699" priority="14532">
      <formula>IF(ISBLANK($D43),,IF($F43&lt;&gt;0,"ЛОЖЬ","ИСТИНА"))</formula>
    </cfRule>
  </conditionalFormatting>
  <conditionalFormatting sqref="G44">
    <cfRule type="expression" dxfId="8698" priority="12530">
      <formula>IF(ISBLANK($D44),,IF($G44&lt;&gt;0,"ЛОЖЬ","ИСТИНА"))</formula>
    </cfRule>
  </conditionalFormatting>
  <conditionalFormatting sqref="G44:G45">
    <cfRule type="expression" dxfId="8697" priority="12531">
      <formula>_xlfn.ISFORMULA(G44)=TRUE</formula>
    </cfRule>
  </conditionalFormatting>
  <conditionalFormatting sqref="G45:G46">
    <cfRule type="expression" dxfId="8696" priority="12525">
      <formula>IF(ISBLANK($D45),,IF($F45&lt;&gt;0,"ЛОЖЬ","ИСТИНА"))</formula>
    </cfRule>
  </conditionalFormatting>
  <conditionalFormatting sqref="G46">
    <cfRule type="expression" dxfId="8695" priority="12494">
      <formula>IF(ISBLANK($D46),,IF($F46&lt;&gt;0,"ЛОЖЬ","ИСТИНА"))</formula>
    </cfRule>
    <cfRule type="expression" dxfId="8694" priority="12493">
      <formula>_xlfn.ISFORMULA(G46)=TRUE</formula>
    </cfRule>
    <cfRule type="expression" dxfId="8693" priority="12491">
      <formula>IF(ISBLANK($D46),,IF($F46&lt;&gt;0,"ЛОЖЬ","ИСТИНА"))</formula>
    </cfRule>
  </conditionalFormatting>
  <conditionalFormatting sqref="G47:G48">
    <cfRule type="expression" dxfId="8692" priority="12420">
      <formula>_xlfn.ISFORMULA(G47)=TRUE</formula>
    </cfRule>
    <cfRule type="expression" dxfId="8691" priority="12452">
      <formula>IF(ISBLANK($D47),,IF($F47&lt;&gt;0,"ЛОЖЬ","ИСТИНА"))</formula>
    </cfRule>
    <cfRule type="expression" dxfId="8690" priority="12421">
      <formula>IF(ISBLANK($D47),,IF($F47&lt;&gt;0,"ЛОЖЬ","ИСТИНА"))</formula>
    </cfRule>
    <cfRule type="expression" dxfId="8689" priority="12418">
      <formula>IF(ISBLANK($D47),,IF($F47&lt;&gt;0,"ЛОЖЬ","ИСТИНА"))</formula>
    </cfRule>
  </conditionalFormatting>
  <conditionalFormatting sqref="G49">
    <cfRule type="expression" dxfId="8688" priority="12361">
      <formula>IF(ISBLANK($D49),,IF($F49&lt;&gt;0,"ЛОЖЬ","ИСТИНА"))</formula>
    </cfRule>
    <cfRule type="expression" dxfId="8687" priority="12395">
      <formula>IF(ISBLANK($D49),,IF($F49&lt;&gt;0,"ЛОЖЬ","ИСТИНА"))</formula>
    </cfRule>
    <cfRule type="expression" dxfId="8686" priority="12364">
      <formula>IF(ISBLANK($D49),,IF($F49&lt;&gt;0,"ЛОЖЬ","ИСТИНА"))</formula>
    </cfRule>
    <cfRule type="expression" dxfId="8685" priority="12363">
      <formula>_xlfn.ISFORMULA(G49)=TRUE</formula>
    </cfRule>
  </conditionalFormatting>
  <conditionalFormatting sqref="G50">
    <cfRule type="expression" dxfId="8684" priority="12332">
      <formula>IF(ISBLANK($D50),,IF($F50&lt;&gt;0,"ЛОЖЬ","ИСТИНА"))</formula>
    </cfRule>
    <cfRule type="expression" dxfId="8683" priority="12301">
      <formula>IF(ISBLANK($D50),,IF($F50&lt;&gt;0,"ЛОЖЬ","ИСТИНА"))</formula>
    </cfRule>
    <cfRule type="expression" dxfId="8682" priority="12300">
      <formula>_xlfn.ISFORMULA(G50)=TRUE</formula>
    </cfRule>
    <cfRule type="expression" dxfId="8681" priority="12298">
      <formula>IF(ISBLANK($D50),,IF($F50&lt;&gt;0,"ЛОЖЬ","ИСТИНА"))</formula>
    </cfRule>
  </conditionalFormatting>
  <conditionalFormatting sqref="G51:G52">
    <cfRule type="expression" dxfId="8680" priority="12260">
      <formula>IF(ISBLANK($D51),,IF($F51&lt;&gt;0,"ЛОЖЬ","ИСТИНА"))</formula>
    </cfRule>
    <cfRule type="expression" dxfId="8679" priority="12230">
      <formula>IF(ISBLANK($D51),,IF($F51&lt;&gt;0,"ЛОЖЬ","ИСТИНА"))</formula>
    </cfRule>
    <cfRule type="expression" dxfId="8678" priority="12229">
      <formula>_xlfn.ISFORMULA(G51)=TRUE</formula>
    </cfRule>
    <cfRule type="expression" dxfId="8677" priority="12227">
      <formula>IF(ISBLANK($D51),,IF($F51&lt;&gt;0,"ЛОЖЬ","ИСТИНА"))</formula>
    </cfRule>
  </conditionalFormatting>
  <conditionalFormatting sqref="G53">
    <cfRule type="expression" dxfId="8676" priority="1121">
      <formula>_xlfn.ISFORMULA(G53)=TRUE</formula>
    </cfRule>
    <cfRule type="expression" dxfId="8675" priority="1124">
      <formula>IF(ISBLANK($D53),,IF($F53&lt;&gt;0,"ЛОЖЬ","ИСТИНА"))</formula>
    </cfRule>
    <cfRule type="expression" dxfId="8674" priority="1127">
      <formula>IF(ISBLANK($D53),,IF($F53&lt;&gt;0,"ЛОЖЬ","ИСТИНА"))</formula>
    </cfRule>
    <cfRule type="expression" dxfId="8673" priority="1129">
      <formula>_xlfn.ISFORMULA(G53)=TRUE</formula>
    </cfRule>
    <cfRule type="expression" dxfId="8672" priority="1130">
      <formula>IF(ISBLANK($D53),,IF($F53&lt;&gt;0,"ЛОЖЬ","ИСТИНА"))</formula>
    </cfRule>
    <cfRule type="expression" dxfId="8671" priority="1131">
      <formula>_xlfn.ISFORMULA(G53)=TRUE</formula>
    </cfRule>
    <cfRule type="expression" dxfId="8670" priority="1126">
      <formula>_xlfn.ISFORMULA(G53)=TRUE</formula>
    </cfRule>
  </conditionalFormatting>
  <conditionalFormatting sqref="G54:G55">
    <cfRule type="expression" dxfId="8669" priority="12124">
      <formula>IF(ISBLANK($D54),,IF($F54&lt;&gt;0,"ЛОЖЬ","ИСТИНА"))</formula>
    </cfRule>
  </conditionalFormatting>
  <conditionalFormatting sqref="G55">
    <cfRule type="expression" dxfId="8668" priority="12093">
      <formula>_xlfn.ISFORMULA(G55)=TRUE</formula>
    </cfRule>
    <cfRule type="expression" dxfId="8667" priority="12101">
      <formula>_xlfn.ISFORMULA(G55)=TRUE</formula>
    </cfRule>
    <cfRule type="expression" dxfId="8666" priority="12094">
      <formula>IF(ISBLANK($D55),,IF($F55&lt;&gt;0,"ЛОЖЬ","ИСТИНА"))</formula>
    </cfRule>
    <cfRule type="expression" dxfId="8665" priority="12125">
      <formula>_xlfn.ISFORMULA(G55)=TRUE</formula>
    </cfRule>
    <cfRule type="expression" dxfId="8664" priority="12091">
      <formula>IF(ISBLANK($D55),,IF($F55&lt;&gt;0,"ЛОЖЬ","ИСТИНА"))</formula>
    </cfRule>
  </conditionalFormatting>
  <conditionalFormatting sqref="G55:G56">
    <cfRule type="expression" dxfId="8663" priority="12060">
      <formula>_xlfn.ISFORMULA(G55)=TRUE</formula>
    </cfRule>
  </conditionalFormatting>
  <conditionalFormatting sqref="G56">
    <cfRule type="expression" dxfId="8662" priority="12036">
      <formula>_xlfn.ISFORMULA(G56)=TRUE</formula>
    </cfRule>
    <cfRule type="expression" dxfId="8661" priority="12029">
      <formula>IF(ISBLANK($D56),,IF($F56&lt;&gt;0,"ЛОЖЬ","ИСТИНА"))</formula>
    </cfRule>
    <cfRule type="expression" dxfId="8660" priority="12028">
      <formula>_xlfn.ISFORMULA(G56)=TRUE</formula>
    </cfRule>
    <cfRule type="expression" dxfId="8659" priority="12059">
      <formula>IF(ISBLANK($D56),,IF($F56&lt;&gt;0,"ЛОЖЬ","ИСТИНА"))</formula>
    </cfRule>
    <cfRule type="expression" dxfId="8658" priority="12026">
      <formula>IF(ISBLANK($D56),,IF($F56&lt;&gt;0,"ЛОЖЬ","ИСТИНА"))</formula>
    </cfRule>
  </conditionalFormatting>
  <conditionalFormatting sqref="G56:G57">
    <cfRule type="expression" dxfId="8657" priority="12001">
      <formula>_xlfn.ISFORMULA(G56)=TRUE</formula>
    </cfRule>
  </conditionalFormatting>
  <conditionalFormatting sqref="G57">
    <cfRule type="expression" dxfId="8656" priority="11969">
      <formula>_xlfn.ISFORMULA(G57)=TRUE</formula>
    </cfRule>
    <cfRule type="expression" dxfId="8655" priority="12000">
      <formula>IF(ISBLANK($D57),,IF($F57&lt;&gt;0,"ЛОЖЬ","ИСТИНА"))</formula>
    </cfRule>
    <cfRule type="expression" dxfId="8654" priority="11967">
      <formula>IF(ISBLANK($D57),,IF($F57&lt;&gt;0,"ЛОЖЬ","ИСТИНА"))</formula>
    </cfRule>
    <cfRule type="expression" dxfId="8653" priority="11970">
      <formula>IF(ISBLANK($D57),,IF($F57&lt;&gt;0,"ЛОЖЬ","ИСТИНА"))</formula>
    </cfRule>
    <cfRule type="expression" dxfId="8652" priority="11977">
      <formula>_xlfn.ISFORMULA(G57)=TRUE</formula>
    </cfRule>
  </conditionalFormatting>
  <conditionalFormatting sqref="G57:G58">
    <cfRule type="expression" dxfId="8651" priority="11938">
      <formula>_xlfn.ISFORMULA(G57)=TRUE</formula>
    </cfRule>
  </conditionalFormatting>
  <conditionalFormatting sqref="G58">
    <cfRule type="expression" dxfId="8650" priority="11914">
      <formula>_xlfn.ISFORMULA(G58)=TRUE</formula>
    </cfRule>
    <cfRule type="expression" dxfId="8649" priority="11937">
      <formula>IF(ISBLANK($D58),,IF($F58&lt;&gt;0,"ЛОЖЬ","ИСТИНА"))</formula>
    </cfRule>
    <cfRule type="expression" dxfId="8648" priority="11904">
      <formula>IF(ISBLANK($D58),,IF($F58&lt;&gt;0,"ЛОЖЬ","ИСТИНА"))</formula>
    </cfRule>
    <cfRule type="expression" dxfId="8647" priority="11906">
      <formula>_xlfn.ISFORMULA(G58)=TRUE</formula>
    </cfRule>
    <cfRule type="expression" dxfId="8646" priority="11907">
      <formula>IF(ISBLANK($D58),,IF($F58&lt;&gt;0,"ЛОЖЬ","ИСТИНА"))</formula>
    </cfRule>
  </conditionalFormatting>
  <conditionalFormatting sqref="G58:G60">
    <cfRule type="expression" dxfId="8645" priority="11871">
      <formula>_xlfn.ISFORMULA(G58)=TRUE</formula>
    </cfRule>
  </conditionalFormatting>
  <conditionalFormatting sqref="G59:G60">
    <cfRule type="expression" dxfId="8644" priority="11840">
      <formula>IF(ISBLANK($D59),,IF($F59&lt;&gt;0,"ЛОЖЬ","ИСТИНА"))</formula>
    </cfRule>
    <cfRule type="expression" dxfId="8643" priority="11870">
      <formula>IF(ISBLANK($D59),,IF($F59&lt;&gt;0,"ЛОЖЬ","ИСТИНА"))</formula>
    </cfRule>
    <cfRule type="expression" dxfId="8642" priority="11847">
      <formula>_xlfn.ISFORMULA(G59)=TRUE</formula>
    </cfRule>
    <cfRule type="expression" dxfId="8641" priority="11839">
      <formula>_xlfn.ISFORMULA(G59)=TRUE</formula>
    </cfRule>
    <cfRule type="expression" dxfId="8640" priority="11837">
      <formula>IF(ISBLANK($D59),,IF($F59&lt;&gt;0,"ЛОЖЬ","ИСТИНА"))</formula>
    </cfRule>
  </conditionalFormatting>
  <conditionalFormatting sqref="G59:G62">
    <cfRule type="expression" dxfId="8639" priority="11813">
      <formula>_xlfn.ISFORMULA(G59)=TRUE</formula>
    </cfRule>
  </conditionalFormatting>
  <conditionalFormatting sqref="G61">
    <cfRule type="expression" dxfId="8638" priority="11776">
      <formula>_xlfn.ISFORMULA(G61)=TRUE</formula>
    </cfRule>
    <cfRule type="expression" dxfId="8637" priority="11779">
      <formula>IF(ISBLANK($D61),,IF($F61&lt;&gt;0,"ЛОЖЬ","ИСТИНА"))</formula>
    </cfRule>
    <cfRule type="expression" dxfId="8636" priority="11789">
      <formula>_xlfn.ISFORMULA(G61)=TRUE</formula>
    </cfRule>
    <cfRule type="expression" dxfId="8635" priority="11782">
      <formula>IF(ISBLANK($D61),,IF($F61&lt;&gt;0,"ЛОЖЬ","ИСТИНА"))</formula>
    </cfRule>
    <cfRule type="expression" dxfId="8634" priority="11781">
      <formula>_xlfn.ISFORMULA(G61)=TRUE</formula>
    </cfRule>
  </conditionalFormatting>
  <conditionalFormatting sqref="G61:G62">
    <cfRule type="expression" dxfId="8633" priority="11812">
      <formula>IF(ISBLANK($D61),,IF($F61&lt;&gt;0,"ЛОЖЬ","ИСТИНА"))</formula>
    </cfRule>
  </conditionalFormatting>
  <conditionalFormatting sqref="G63">
    <cfRule type="expression" dxfId="8632" priority="11719">
      <formula>IF(ISBLANK($D63),,IF($F63&lt;&gt;0,"ЛОЖЬ","ИСТИНА"))</formula>
    </cfRule>
    <cfRule type="expression" dxfId="8631" priority="11718">
      <formula>_xlfn.ISFORMULA(G63)=TRUE</formula>
    </cfRule>
    <cfRule type="expression" dxfId="8630" priority="11726">
      <formula>_xlfn.ISFORMULA(G63)=TRUE</formula>
    </cfRule>
    <cfRule type="expression" dxfId="8629" priority="11716">
      <formula>IF(ISBLANK($D63),,IF($F63&lt;&gt;0,"ЛОЖЬ","ИСТИНА"))</formula>
    </cfRule>
    <cfRule type="expression" dxfId="8628" priority="11713">
      <formula>_xlfn.ISFORMULA(G63)=TRUE</formula>
    </cfRule>
  </conditionalFormatting>
  <conditionalFormatting sqref="G63:G64">
    <cfRule type="expression" dxfId="8627" priority="11750">
      <formula>_xlfn.ISFORMULA(G63)=TRUE</formula>
    </cfRule>
    <cfRule type="expression" dxfId="8626" priority="11749">
      <formula>IF(ISBLANK($D63),,IF($F63&lt;&gt;0,"ЛОЖЬ","ИСТИНА"))</formula>
    </cfRule>
  </conditionalFormatting>
  <conditionalFormatting sqref="G65">
    <cfRule type="expression" dxfId="8625" priority="11687">
      <formula>_xlfn.ISFORMULA(G65)=TRUE</formula>
    </cfRule>
    <cfRule type="expression" dxfId="8624" priority="11653">
      <formula>IF(ISBLANK($D65),,IF($F65&lt;&gt;0,"ЛОЖЬ","ИСТИНА"))</formula>
    </cfRule>
    <cfRule type="expression" dxfId="8623" priority="11655">
      <formula>_xlfn.ISFORMULA(G65)=TRUE</formula>
    </cfRule>
    <cfRule type="expression" dxfId="8622" priority="11656">
      <formula>IF(ISBLANK($D65),,IF($F65&lt;&gt;0,"ЛОЖЬ","ИСТИНА"))</formula>
    </cfRule>
    <cfRule type="expression" dxfId="8621" priority="11663">
      <formula>_xlfn.ISFORMULA(G65)=TRUE</formula>
    </cfRule>
    <cfRule type="expression" dxfId="8620" priority="11686">
      <formula>IF(ISBLANK($D65),,IF($F65&lt;&gt;0,"ЛОЖЬ","ИСТИНА"))</formula>
    </cfRule>
  </conditionalFormatting>
  <conditionalFormatting sqref="G65:G67">
    <cfRule type="expression" dxfId="8619" priority="11621">
      <formula>_xlfn.ISFORMULA(G65)=TRUE</formula>
    </cfRule>
  </conditionalFormatting>
  <conditionalFormatting sqref="G66:G67">
    <cfRule type="expression" dxfId="8618" priority="11608">
      <formula>_xlfn.ISFORMULA(G66)=TRUE</formula>
    </cfRule>
    <cfRule type="expression" dxfId="8617" priority="11609">
      <formula>IF(ISBLANK($D66),,IF($F66&lt;&gt;0,"ЛОЖЬ","ИСТИНА"))</formula>
    </cfRule>
    <cfRule type="expression" dxfId="8616" priority="11616">
      <formula>_xlfn.ISFORMULA(G66)=TRUE</formula>
    </cfRule>
    <cfRule type="expression" dxfId="8615" priority="11620">
      <formula>IF(ISBLANK($D66),,IF($F66&lt;&gt;0,"ЛОЖЬ","ИСТИНА"))</formula>
    </cfRule>
  </conditionalFormatting>
  <conditionalFormatting sqref="G66:G68">
    <cfRule type="expression" dxfId="8614" priority="1579">
      <formula>_xlfn.ISFORMULA(G66)=TRUE</formula>
    </cfRule>
    <cfRule type="expression" dxfId="8613" priority="1580">
      <formula>IF(ISBLANK($D66),,IF($F66&lt;&gt;0,"ЛОЖЬ","ИСТИНА"))</formula>
    </cfRule>
  </conditionalFormatting>
  <conditionalFormatting sqref="G68">
    <cfRule type="expression" dxfId="8612" priority="1577">
      <formula>IF(ISBLANK($D68),,IF($F68&lt;&gt;0,"ЛОЖЬ","ИСТИНА"))</formula>
    </cfRule>
    <cfRule type="expression" dxfId="8611" priority="1558">
      <formula>IF(ISBLANK($D68),,IF($F68&lt;&gt;0,"ЛОЖЬ","ИСТИНА"))</formula>
    </cfRule>
    <cfRule type="expression" dxfId="8610" priority="1557">
      <formula>_xlfn.ISFORMULA(G68)=TRUE</formula>
    </cfRule>
    <cfRule type="expression" dxfId="8609" priority="1555">
      <formula>IF(ISBLANK($D68),,IF($F68&lt;&gt;0,"ЛОЖЬ","ИСТИНА"))</formula>
    </cfRule>
  </conditionalFormatting>
  <conditionalFormatting sqref="G69">
    <cfRule type="expression" dxfId="8608" priority="1507">
      <formula>_xlfn.ISFORMULA(G69)=TRUE</formula>
    </cfRule>
    <cfRule type="expression" dxfId="8607" priority="1490">
      <formula>_xlfn.ISFORMULA(G69)=TRUE</formula>
    </cfRule>
    <cfRule type="expression" dxfId="8606" priority="1505">
      <formula>IF(ISBLANK($D69),,IF($F69&lt;&gt;0,"ЛОЖЬ","ИСТИНА"))</formula>
    </cfRule>
    <cfRule type="expression" dxfId="8605" priority="1491">
      <formula>IF(ISBLANK($D69),,IF($F69&lt;&gt;0,"ЛОЖЬ","ИСТИНА"))</formula>
    </cfRule>
    <cfRule type="expression" dxfId="8604" priority="1488">
      <formula>IF(ISBLANK($D69),,IF($F69&lt;&gt;0,"ЛОЖЬ","ИСТИНА"))</formula>
    </cfRule>
    <cfRule type="expression" dxfId="8603" priority="1508">
      <formula>IF(ISBLANK($D69),,IF($F69&lt;&gt;0,"ЛОЖЬ","ИСТИНА"))</formula>
    </cfRule>
  </conditionalFormatting>
  <conditionalFormatting sqref="G70">
    <cfRule type="expression" dxfId="8602" priority="1068">
      <formula>IF(ISBLANK($D70),,IF($F70&lt;&gt;0,"ЛОЖЬ","ИСТИНА"))</formula>
    </cfRule>
    <cfRule type="expression" dxfId="8601" priority="1075">
      <formula>IF(ISBLANK($D70),,IF($F70&lt;&gt;0,"ЛОЖЬ","ИСТИНА"))</formula>
    </cfRule>
    <cfRule type="expression" dxfId="8600" priority="1071">
      <formula>IF(ISBLANK($D70),,IF($F70&lt;&gt;0,"ЛОЖЬ","ИСТИНА"))</formula>
    </cfRule>
    <cfRule type="expression" dxfId="8599" priority="1070">
      <formula>_xlfn.ISFORMULA(G70)=TRUE</formula>
    </cfRule>
  </conditionalFormatting>
  <conditionalFormatting sqref="G71:G72">
    <cfRule type="expression" dxfId="8598" priority="3847">
      <formula>IF(ISBLANK($D71),,IF($F71&lt;&gt;0,"ЛОЖЬ","ИСТИНА"))</formula>
    </cfRule>
  </conditionalFormatting>
  <conditionalFormatting sqref="G72">
    <cfRule type="expression" dxfId="8597" priority="3840">
      <formula>IF(ISBLANK($D72),,IF($F72&lt;&gt;0,"ЛОЖЬ","ИСТИНА"))</formula>
    </cfRule>
  </conditionalFormatting>
  <conditionalFormatting sqref="G73:G74">
    <cfRule type="expression" dxfId="8596" priority="3912">
      <formula>IF(ISBLANK($D73),,IF($F73&lt;&gt;0,"ЛОЖЬ","ИСТИНА"))</formula>
    </cfRule>
  </conditionalFormatting>
  <conditionalFormatting sqref="G73:G76">
    <cfRule type="expression" dxfId="8595" priority="3877">
      <formula>IF(ISBLANK($D73),,IF($F73&lt;&gt;0,"ЛОЖЬ","ИСТИНА"))</formula>
    </cfRule>
  </conditionalFormatting>
  <conditionalFormatting sqref="G75">
    <cfRule type="expression" dxfId="8594" priority="3857">
      <formula>IF(ISBLANK($D75),,IF($F75&lt;&gt;0,"ЛОЖЬ","ИСТИНА"))</formula>
    </cfRule>
  </conditionalFormatting>
  <conditionalFormatting sqref="G76">
    <cfRule type="expression" dxfId="8593" priority="11334">
      <formula>IF(ISBLANK($D76),,IF($F76&lt;&gt;0,"ЛОЖЬ","ИСТИНА"))</formula>
    </cfRule>
    <cfRule type="expression" dxfId="8592" priority="11304">
      <formula>IF(ISBLANK($D76),,IF($F76&lt;&gt;0,"ЛОЖЬ","ИСТИНА"))</formula>
    </cfRule>
  </conditionalFormatting>
  <conditionalFormatting sqref="G77">
    <cfRule type="expression" dxfId="8591" priority="3801">
      <formula>IF(ISBLANK($D77),,IF($G77&lt;&gt;0,"ЛОЖЬ","ИСТИНА"))</formula>
    </cfRule>
  </conditionalFormatting>
  <conditionalFormatting sqref="G78">
    <cfRule type="expression" dxfId="8590" priority="3807">
      <formula>IF(ISBLANK($D78),,IF($F78&lt;&gt;0,"ЛОЖЬ","ИСТИНА"))</formula>
    </cfRule>
  </conditionalFormatting>
  <conditionalFormatting sqref="G79">
    <cfRule type="expression" dxfId="8589" priority="3799">
      <formula>IF(ISBLANK($D79),,IF($G79&lt;&gt;0,"ЛОЖЬ","ИСТИНА"))</formula>
    </cfRule>
  </conditionalFormatting>
  <conditionalFormatting sqref="G80">
    <cfRule type="expression" dxfId="8588" priority="11056">
      <formula>IF(ISBLANK($D80),,IF($F80&lt;&gt;0,"ЛОЖЬ","ИСТИНА"))</formula>
    </cfRule>
    <cfRule type="expression" dxfId="8587" priority="11086">
      <formula>IF(ISBLANK($D80),,IF($F80&lt;&gt;0,"ЛОЖЬ","ИСТИНА"))</formula>
    </cfRule>
    <cfRule type="expression" dxfId="8586" priority="11053">
      <formula>IF(ISBLANK($D80),,IF($F80&lt;&gt;0,"ЛОЖЬ","ИСТИНА"))</formula>
    </cfRule>
  </conditionalFormatting>
  <conditionalFormatting sqref="G81">
    <cfRule type="expression" dxfId="8585" priority="10997">
      <formula>IF(ISBLANK($D81),,IF($F81&lt;&gt;0,"ЛОЖЬ","ИСТИНА"))</formula>
    </cfRule>
    <cfRule type="expression" dxfId="8584" priority="11027">
      <formula>IF(ISBLANK($D81),,IF($F81&lt;&gt;0,"ЛОЖЬ","ИСТИНА"))</formula>
    </cfRule>
    <cfRule type="expression" dxfId="8583" priority="10996">
      <formula>_xlfn.ISFORMULA(G81)=TRUE</formula>
    </cfRule>
    <cfRule type="expression" dxfId="8582" priority="10994">
      <formula>IF(ISBLANK($D81),,IF($F81&lt;&gt;0,"ЛОЖЬ","ИСТИНА"))</formula>
    </cfRule>
  </conditionalFormatting>
  <conditionalFormatting sqref="G82">
    <cfRule type="expression" dxfId="8581" priority="10962">
      <formula>IF(ISBLANK($D82),,IF($F82&lt;&gt;0,"ЛОЖЬ","ИСТИНА"))</formula>
    </cfRule>
    <cfRule type="expression" dxfId="8580" priority="10932">
      <formula>IF(ISBLANK($D82),,IF($F82&lt;&gt;0,"ЛОЖЬ","ИСТИНА"))</formula>
    </cfRule>
    <cfRule type="expression" dxfId="8579" priority="10931">
      <formula>_xlfn.ISFORMULA(G82)=TRUE</formula>
    </cfRule>
    <cfRule type="expression" dxfId="8578" priority="10929">
      <formula>IF(ISBLANK($D82),,IF($F82&lt;&gt;0,"ЛОЖЬ","ИСТИНА"))</formula>
    </cfRule>
  </conditionalFormatting>
  <conditionalFormatting sqref="G83">
    <cfRule type="expression" dxfId="8577" priority="10903">
      <formula>IF(ISBLANK($D83),,IF($F83&lt;&gt;0,"ЛОЖЬ","ИСТИНА"))</formula>
    </cfRule>
    <cfRule type="expression" dxfId="8576" priority="10872">
      <formula>_xlfn.ISFORMULA(G83)=TRUE</formula>
    </cfRule>
    <cfRule type="expression" dxfId="8575" priority="10870">
      <formula>IF(ISBLANK($D83),,IF($F83&lt;&gt;0,"ЛОЖЬ","ИСТИНА"))</formula>
    </cfRule>
    <cfRule type="expression" dxfId="8574" priority="10873">
      <formula>IF(ISBLANK($D83),,IF($F83&lt;&gt;0,"ЛОЖЬ","ИСТИНА"))</formula>
    </cfRule>
  </conditionalFormatting>
  <conditionalFormatting sqref="G84">
    <cfRule type="expression" dxfId="8573" priority="10808">
      <formula>IF(ISBLANK($D84),,IF($F84&lt;&gt;0,"ЛОЖЬ","ИСТИНА"))</formula>
    </cfRule>
    <cfRule type="expression" dxfId="8572" priority="10838">
      <formula>IF(ISBLANK($D84),,IF($F84&lt;&gt;0,"ЛОЖЬ","ИСТИНА"))</formula>
    </cfRule>
    <cfRule type="expression" dxfId="8571" priority="10807">
      <formula>_xlfn.ISFORMULA(G84)=TRUE</formula>
    </cfRule>
    <cfRule type="expression" dxfId="8570" priority="10805">
      <formula>IF(ISBLANK($D84),,IF($F84&lt;&gt;0,"ЛОЖЬ","ИСТИНА"))</formula>
    </cfRule>
  </conditionalFormatting>
  <conditionalFormatting sqref="G85">
    <cfRule type="expression" dxfId="8569" priority="10780">
      <formula>_xlfn.ISFORMULA(G85)=TRUE</formula>
    </cfRule>
    <cfRule type="expression" dxfId="8568" priority="10779">
      <formula>IF(ISBLANK($D85),,IF($F85&lt;&gt;0,"ЛОЖЬ","ИСТИНА"))</formula>
    </cfRule>
    <cfRule type="expression" dxfId="8567" priority="10746">
      <formula>IF(ISBLANK($D85),,IF($F85&lt;&gt;0,"ЛОЖЬ","ИСТИНА"))</formula>
    </cfRule>
    <cfRule type="expression" dxfId="8566" priority="10748">
      <formula>_xlfn.ISFORMULA(G85)=TRUE</formula>
    </cfRule>
    <cfRule type="expression" dxfId="8565" priority="10756">
      <formula>_xlfn.ISFORMULA(G85)=TRUE</formula>
    </cfRule>
    <cfRule type="expression" dxfId="8564" priority="10749">
      <formula>IF(ISBLANK($D85),,IF($F85&lt;&gt;0,"ЛОЖЬ","ИСТИНА"))</formula>
    </cfRule>
  </conditionalFormatting>
  <conditionalFormatting sqref="G85:G86">
    <cfRule type="expression" dxfId="8563" priority="10695">
      <formula>_xlfn.ISFORMULA(G85)=TRUE</formula>
    </cfRule>
  </conditionalFormatting>
  <conditionalFormatting sqref="G86">
    <cfRule type="expression" dxfId="8562" priority="10664">
      <formula>IF(ISBLANK($D86),,IF($F86&lt;&gt;0,"ЛОЖЬ","ИСТИНА"))</formula>
    </cfRule>
    <cfRule type="expression" dxfId="8561" priority="10663">
      <formula>_xlfn.ISFORMULA(G86)=TRUE</formula>
    </cfRule>
    <cfRule type="expression" dxfId="8560" priority="10671">
      <formula>_xlfn.ISFORMULA(G86)=TRUE</formula>
    </cfRule>
    <cfRule type="expression" dxfId="8559" priority="10694">
      <formula>IF(ISBLANK($D86),,IF($F86&lt;&gt;0,"ЛОЖЬ","ИСТИНА"))</formula>
    </cfRule>
  </conditionalFormatting>
  <conditionalFormatting sqref="G86:G87">
    <cfRule type="expression" dxfId="8558" priority="10635">
      <formula>IF(ISBLANK($D86),,IF($F86&lt;&gt;0,"ЛОЖЬ","ИСТИНА"))</formula>
    </cfRule>
    <cfRule type="expression" dxfId="8557" priority="10604">
      <formula>_xlfn.ISFORMULA(G86)=TRUE</formula>
    </cfRule>
  </conditionalFormatting>
  <conditionalFormatting sqref="G87">
    <cfRule type="expression" dxfId="8556" priority="10605">
      <formula>IF(ISBLANK($D87),,IF($F87&lt;&gt;0,"ЛОЖЬ","ИСТИНА"))</formula>
    </cfRule>
    <cfRule type="expression" dxfId="8555" priority="10602">
      <formula>IF(ISBLANK($D87),,IF($F87&lt;&gt;0,"ЛОЖЬ","ИСТИНА"))</formula>
    </cfRule>
  </conditionalFormatting>
  <conditionalFormatting sqref="G89">
    <cfRule type="expression" dxfId="8554" priority="3796">
      <formula>_xlfn.ISFORMULA(G89)=TRUE</formula>
    </cfRule>
    <cfRule type="expression" dxfId="8553" priority="3797">
      <formula>IF(ISBLANK($D89),,IF($F89&lt;&gt;0,"ЛОЖЬ","ИСТИНА"))</formula>
    </cfRule>
    <cfRule type="expression" dxfId="8552" priority="3794">
      <formula>IF(ISBLANK($D89),,IF($F89&lt;&gt;0,"ЛОЖЬ","ИСТИНА"))</formula>
    </cfRule>
    <cfRule type="expression" dxfId="8551" priority="3798">
      <formula>_xlfn.ISFORMULA(G89)=TRUE</formula>
    </cfRule>
    <cfRule type="expression" dxfId="8550" priority="3793">
      <formula>_xlfn.ISFORMULA(G89)=TRUE</formula>
    </cfRule>
    <cfRule type="expression" dxfId="8549" priority="3791">
      <formula>IF(ISBLANK($D89),,IF($F89&lt;&gt;0,"ЛОЖЬ","ИСТИНА"))</formula>
    </cfRule>
  </conditionalFormatting>
  <conditionalFormatting sqref="G89:G90">
    <cfRule type="expression" dxfId="8548" priority="3787">
      <formula>_xlfn.ISFORMULA(G89)=TRUE</formula>
    </cfRule>
  </conditionalFormatting>
  <conditionalFormatting sqref="G90">
    <cfRule type="expression" dxfId="8547" priority="3786">
      <formula>IF(ISBLANK($D90),,IF($F90&lt;&gt;0,"ЛОЖЬ","ИСТИНА"))</formula>
    </cfRule>
    <cfRule type="expression" dxfId="8546" priority="3780">
      <formula>IF(ISBLANK($D90),,IF($F90&lt;&gt;0,"ЛОЖЬ","ИСТИНА"))</formula>
    </cfRule>
    <cfRule type="expression" dxfId="8545" priority="3783">
      <formula>IF(ISBLANK($D90),,IF($F90&lt;&gt;0,"ЛОЖЬ","ИСТИНА"))</formula>
    </cfRule>
    <cfRule type="expression" dxfId="8544" priority="3785">
      <formula>_xlfn.ISFORMULA(G90)=TRUE</formula>
    </cfRule>
    <cfRule type="expression" dxfId="8543" priority="3782">
      <formula>_xlfn.ISFORMULA(G90)=TRUE</formula>
    </cfRule>
  </conditionalFormatting>
  <conditionalFormatting sqref="G90:G91">
    <cfRule type="expression" dxfId="8542" priority="3776">
      <formula>_xlfn.ISFORMULA(G90)=TRUE</formula>
    </cfRule>
  </conditionalFormatting>
  <conditionalFormatting sqref="G91">
    <cfRule type="expression" dxfId="8541" priority="3774">
      <formula>_xlfn.ISFORMULA(G91)=TRUE</formula>
    </cfRule>
    <cfRule type="expression" dxfId="8540" priority="3771">
      <formula>_xlfn.ISFORMULA(G91)=TRUE</formula>
    </cfRule>
    <cfRule type="expression" dxfId="8539" priority="3769">
      <formula>IF(ISBLANK($D91),,IF($F91&lt;&gt;0,"ЛОЖЬ","ИСТИНА"))</formula>
    </cfRule>
    <cfRule type="expression" dxfId="8538" priority="3772">
      <formula>IF(ISBLANK($D91),,IF($F91&lt;&gt;0,"ЛОЖЬ","ИСТИНА"))</formula>
    </cfRule>
    <cfRule type="expression" dxfId="8537" priority="3775">
      <formula>IF(ISBLANK($D91),,IF($F91&lt;&gt;0,"ЛОЖЬ","ИСТИНА"))</formula>
    </cfRule>
  </conditionalFormatting>
  <conditionalFormatting sqref="G91:G92">
    <cfRule type="expression" dxfId="8536" priority="3765">
      <formula>_xlfn.ISFORMULA(G91)=TRUE</formula>
    </cfRule>
  </conditionalFormatting>
  <conditionalFormatting sqref="G92">
    <cfRule type="expression" dxfId="8535" priority="3763">
      <formula>_xlfn.ISFORMULA(G92)=TRUE</formula>
    </cfRule>
    <cfRule type="expression" dxfId="8534" priority="3761">
      <formula>IF(ISBLANK($D92),,IF($F92&lt;&gt;0,"ЛОЖЬ","ИСТИНА"))</formula>
    </cfRule>
    <cfRule type="expression" dxfId="8533" priority="3764">
      <formula>IF(ISBLANK($D92),,IF($F92&lt;&gt;0,"ЛОЖЬ","ИСТИНА"))</formula>
    </cfRule>
    <cfRule type="expression" dxfId="8532" priority="3758">
      <formula>IF(ISBLANK($D92),,IF($F92&lt;&gt;0,"ЛОЖЬ","ИСТИНА"))</formula>
    </cfRule>
    <cfRule type="expression" dxfId="8531" priority="3760">
      <formula>_xlfn.ISFORMULA(G92)=TRUE</formula>
    </cfRule>
  </conditionalFormatting>
  <conditionalFormatting sqref="G92:G93">
    <cfRule type="expression" dxfId="8530" priority="3754">
      <formula>_xlfn.ISFORMULA(G92)=TRUE</formula>
    </cfRule>
  </conditionalFormatting>
  <conditionalFormatting sqref="G93">
    <cfRule type="expression" dxfId="8529" priority="3744">
      <formula>_xlfn.ISFORMULA(G93)=TRUE</formula>
    </cfRule>
    <cfRule type="expression" dxfId="8528" priority="3747">
      <formula>IF(ISBLANK($D93),,IF($F93&lt;&gt;0,"ЛОЖЬ","ИСТИНА"))</formula>
    </cfRule>
    <cfRule type="expression" dxfId="8527" priority="3749">
      <formula>_xlfn.ISFORMULA(G93)=TRUE</formula>
    </cfRule>
    <cfRule type="expression" dxfId="8526" priority="3750">
      <formula>IF(ISBLANK($D93),,IF($F93&lt;&gt;0,"ЛОЖЬ","ИСТИНА"))</formula>
    </cfRule>
    <cfRule type="expression" dxfId="8525" priority="3752">
      <formula>_xlfn.ISFORMULA(G93)=TRUE</formula>
    </cfRule>
    <cfRule type="expression" dxfId="8524" priority="3753">
      <formula>IF(ISBLANK($D93),,IF($F93&lt;&gt;0,"ЛОЖЬ","ИСТИНА"))</formula>
    </cfRule>
  </conditionalFormatting>
  <conditionalFormatting sqref="G94">
    <cfRule type="expression" dxfId="8523" priority="10238">
      <formula>IF(ISBLANK($D94),,IF($F94&lt;&gt;0,"ЛОЖЬ","ИСТИНА"))</formula>
    </cfRule>
    <cfRule type="expression" dxfId="8522" priority="10208">
      <formula>IF(ISBLANK($D94),,IF($F94&lt;&gt;0,"ЛОЖЬ","ИСТИНА"))</formula>
    </cfRule>
    <cfRule type="expression" dxfId="8521" priority="10205">
      <formula>IF(ISBLANK($D94),,IF($F94&lt;&gt;0,"ЛОЖЬ","ИСТИНА"))</formula>
    </cfRule>
  </conditionalFormatting>
  <conditionalFormatting sqref="G95:G96">
    <cfRule type="expression" dxfId="8520" priority="10121">
      <formula>_xlfn.ISFORMULA(G95)=TRUE</formula>
    </cfRule>
    <cfRule type="expression" dxfId="8519" priority="10153">
      <formula>IF(ISBLANK($D95),,IF($F95&lt;&gt;0,"ЛОЖЬ","ИСТИНА"))</formula>
    </cfRule>
    <cfRule type="expression" dxfId="8518" priority="10122">
      <formula>IF(ISBLANK($D95),,IF($F95&lt;&gt;0,"ЛОЖЬ","ИСТИНА"))</formula>
    </cfRule>
    <cfRule type="expression" dxfId="8517" priority="10119">
      <formula>IF(ISBLANK($D95),,IF($F95&lt;&gt;0,"ЛОЖЬ","ИСТИНА"))</formula>
    </cfRule>
  </conditionalFormatting>
  <conditionalFormatting sqref="G97">
    <cfRule type="expression" dxfId="8516" priority="10084">
      <formula>IF(ISBLANK($D97),,IF($F97&lt;&gt;0,"ЛОЖЬ","ИСТИНА"))</formula>
    </cfRule>
    <cfRule type="expression" dxfId="8515" priority="10052">
      <formula>_xlfn.ISFORMULA(G97)=TRUE</formula>
    </cfRule>
    <cfRule type="expression" dxfId="8514" priority="10053">
      <formula>IF(ISBLANK($D97),,IF($F97&lt;&gt;0,"ЛОЖЬ","ИСТИНА"))</formula>
    </cfRule>
    <cfRule type="expression" dxfId="8513" priority="10050">
      <formula>IF(ISBLANK($D97),,IF($F97&lt;&gt;0,"ЛОЖЬ","ИСТИНА"))</formula>
    </cfRule>
  </conditionalFormatting>
  <conditionalFormatting sqref="G98">
    <cfRule type="expression" dxfId="8512" priority="9989">
      <formula>_xlfn.ISFORMULA(G98)=TRUE</formula>
    </cfRule>
    <cfRule type="expression" dxfId="8511" priority="9990">
      <formula>IF(ISBLANK($D98),,IF($F98&lt;&gt;0,"ЛОЖЬ","ИСТИНА"))</formula>
    </cfRule>
    <cfRule type="expression" dxfId="8510" priority="9997">
      <formula>_xlfn.ISFORMULA(G98)=TRUE</formula>
    </cfRule>
    <cfRule type="expression" dxfId="8509" priority="10021">
      <formula>IF(ISBLANK($D98),,IF($F98&lt;&gt;0,"ЛОЖЬ","ИСТИНА"))</formula>
    </cfRule>
    <cfRule type="expression" dxfId="8508" priority="10022">
      <formula>_xlfn.ISFORMULA(G98)=TRUE</formula>
    </cfRule>
  </conditionalFormatting>
  <conditionalFormatting sqref="G98:G99">
    <cfRule type="expression" dxfId="8507" priority="9952">
      <formula>IF(ISBLANK($D98),,IF($F98&lt;&gt;0,"ЛОЖЬ","ИСТИНА"))</formula>
    </cfRule>
    <cfRule type="expression" dxfId="8506" priority="9920">
      <formula>_xlfn.ISFORMULA(G98)=TRUE</formula>
    </cfRule>
  </conditionalFormatting>
  <conditionalFormatting sqref="G99">
    <cfRule type="expression" dxfId="8505" priority="9921">
      <formula>IF(ISBLANK($D99),,IF($F99&lt;&gt;0,"ЛОЖЬ","ИСТИНА"))</formula>
    </cfRule>
    <cfRule type="expression" dxfId="8504" priority="9918">
      <formula>IF(ISBLANK($D99),,IF($F99&lt;&gt;0,"ЛОЖЬ","ИСТИНА"))</formula>
    </cfRule>
  </conditionalFormatting>
  <conditionalFormatting sqref="G101">
    <cfRule type="expression" dxfId="8503" priority="9883">
      <formula>IF(ISBLANK($D101),,IF($F101&lt;&gt;0,"ЛОЖЬ","ИСТИНА"))</formula>
    </cfRule>
    <cfRule type="expression" dxfId="8502" priority="9849">
      <formula>IF(ISBLANK($D101),,IF($F101&lt;&gt;0,"ЛОЖЬ","ИСТИНА"))</formula>
    </cfRule>
    <cfRule type="expression" dxfId="8501" priority="9852">
      <formula>IF(ISBLANK($D101),,IF($F101&lt;&gt;0,"ЛОЖЬ","ИСТИНА"))</formula>
    </cfRule>
  </conditionalFormatting>
  <conditionalFormatting sqref="G102">
    <cfRule type="expression" dxfId="8500" priority="9821">
      <formula>_xlfn.ISFORMULA(G102)=TRUE</formula>
    </cfRule>
    <cfRule type="expression" dxfId="8499" priority="9820">
      <formula>IF(ISBLANK($D102),,IF($F102&lt;&gt;0,"ЛОЖЬ","ИСТИНА"))</formula>
    </cfRule>
    <cfRule type="expression" dxfId="8498" priority="9789">
      <formula>IF(ISBLANK($D102),,IF($F102&lt;&gt;0,"ЛОЖЬ","ИСТИНА"))</formula>
    </cfRule>
    <cfRule type="expression" dxfId="8497" priority="9788">
      <formula>_xlfn.ISFORMULA(G102)=TRUE</formula>
    </cfRule>
    <cfRule type="expression" dxfId="8496" priority="9796">
      <formula>_xlfn.ISFORMULA(G102)=TRUE</formula>
    </cfRule>
  </conditionalFormatting>
  <conditionalFormatting sqref="G102:G103">
    <cfRule type="expression" dxfId="8495" priority="9751">
      <formula>IF(ISBLANK($D102),,IF($F102&lt;&gt;0,"ЛОЖЬ","ИСТИНА"))</formula>
    </cfRule>
  </conditionalFormatting>
  <conditionalFormatting sqref="G102:G104">
    <cfRule type="expression" dxfId="8494" priority="1734">
      <formula>_xlfn.ISFORMULA(G102)=TRUE</formula>
    </cfRule>
  </conditionalFormatting>
  <conditionalFormatting sqref="G103">
    <cfRule type="expression" dxfId="8493" priority="9720">
      <formula>IF(ISBLANK($D103),,IF($F103&lt;&gt;0,"ЛОЖЬ","ИСТИНА"))</formula>
    </cfRule>
  </conditionalFormatting>
  <conditionalFormatting sqref="G103:G104">
    <cfRule type="expression" dxfId="8492" priority="1733">
      <formula>IF(ISBLANK($D103),,IF($F103&lt;&gt;0,"ЛОЖЬ","ИСТИНА"))</formula>
    </cfRule>
  </conditionalFormatting>
  <conditionalFormatting sqref="G104">
    <cfRule type="expression" dxfId="8491" priority="1730">
      <formula>IF(ISBLANK($D104),,IF($F104&lt;&gt;0,"ЛОЖЬ","ИСТИНА"))</formula>
    </cfRule>
    <cfRule type="expression" dxfId="8490" priority="1729">
      <formula>_xlfn.ISFORMULA(G104)=TRUE</formula>
    </cfRule>
    <cfRule type="expression" dxfId="8489" priority="1732">
      <formula>_xlfn.ISFORMULA(G104)=TRUE</formula>
    </cfRule>
    <cfRule type="expression" dxfId="8488" priority="1727">
      <formula>IF(ISBLANK($D104),,IF($F104&lt;&gt;0,"ЛОЖЬ","ИСТИНА"))</formula>
    </cfRule>
  </conditionalFormatting>
  <conditionalFormatting sqref="G106">
    <cfRule type="expression" dxfId="8487" priority="9628">
      <formula>IF(ISBLANK($D106),,IF($F106&lt;&gt;0,"ЛОЖЬ","ИСТИНА"))</formula>
    </cfRule>
    <cfRule type="expression" dxfId="8486" priority="9662">
      <formula>IF(ISBLANK($D106),,IF($F106&lt;&gt;0,"ЛОЖЬ","ИСТИНА"))</formula>
    </cfRule>
    <cfRule type="expression" dxfId="8485" priority="9631">
      <formula>IF(ISBLANK($D106),,IF($F106&lt;&gt;0,"ЛОЖЬ","ИСТИНА"))</formula>
    </cfRule>
    <cfRule type="expression" dxfId="8484" priority="9630">
      <formula>_xlfn.ISFORMULA(G106)=TRUE</formula>
    </cfRule>
  </conditionalFormatting>
  <conditionalFormatting sqref="G107">
    <cfRule type="expression" dxfId="8483" priority="9574">
      <formula>IF(ISBLANK($D107),,IF($F107&lt;&gt;0,"ЛОЖЬ","ИСТИНА"))</formula>
    </cfRule>
    <cfRule type="expression" dxfId="8482" priority="9571">
      <formula>IF(ISBLANK($D107),,IF($F107&lt;&gt;0,"ЛОЖЬ","ИСТИНА"))</formula>
    </cfRule>
    <cfRule type="expression" dxfId="8481" priority="9604">
      <formula>IF(ISBLANK($D107),,IF($F107&lt;&gt;0,"ЛОЖЬ","ИСТИНА"))</formula>
    </cfRule>
  </conditionalFormatting>
  <conditionalFormatting sqref="G108">
    <cfRule type="expression" dxfId="8480" priority="9541">
      <formula>IF(ISBLANK($D108),,IF($F108&lt;&gt;0,"ЛОЖЬ","ИСТИНА"))</formula>
    </cfRule>
    <cfRule type="expression" dxfId="8479" priority="9511">
      <formula>IF(ISBLANK($D108),,IF($F108&lt;&gt;0,"ЛОЖЬ","ИСТИНА"))</formula>
    </cfRule>
    <cfRule type="expression" dxfId="8478" priority="9510">
      <formula>_xlfn.ISFORMULA(G108)=TRUE</formula>
    </cfRule>
    <cfRule type="expression" dxfId="8477" priority="9508">
      <formula>IF(ISBLANK($D108),,IF($F108&lt;&gt;0,"ЛОЖЬ","ИСТИНА"))</formula>
    </cfRule>
  </conditionalFormatting>
  <conditionalFormatting sqref="G109">
    <cfRule type="expression" dxfId="8476" priority="9437">
      <formula>IF(ISBLANK($D109),,IF($F109&lt;&gt;0,"ЛОЖЬ","ИСТИНА"))</formula>
    </cfRule>
    <cfRule type="expression" dxfId="8475" priority="9440">
      <formula>IF(ISBLANK($D109),,IF($F109&lt;&gt;0,"ЛОЖЬ","ИСТИНА"))</formula>
    </cfRule>
    <cfRule type="expression" dxfId="8474" priority="9470">
      <formula>IF(ISBLANK($D109),,IF($F109&lt;&gt;0,"ЛОЖЬ","ИСТИНА"))</formula>
    </cfRule>
  </conditionalFormatting>
  <conditionalFormatting sqref="G110">
    <cfRule type="expression" dxfId="8473" priority="9353">
      <formula>IF(ISBLANK($D110),,IF($F110&lt;&gt;0,"ЛОЖЬ","ИСТИНА"))</formula>
    </cfRule>
    <cfRule type="expression" dxfId="8472" priority="9355">
      <formula>_xlfn.ISFORMULA(G110)=TRUE</formula>
    </cfRule>
    <cfRule type="expression" dxfId="8471" priority="9356">
      <formula>IF(ISBLANK($D110),,IF($F110&lt;&gt;0,"ЛОЖЬ","ИСТИНА"))</formula>
    </cfRule>
    <cfRule type="expression" dxfId="8470" priority="9387">
      <formula>IF(ISBLANK($D110),,IF($F110&lt;&gt;0,"ЛОЖЬ","ИСТИНА"))</formula>
    </cfRule>
  </conditionalFormatting>
  <conditionalFormatting sqref="G111">
    <cfRule type="expression" dxfId="8469" priority="9286">
      <formula>IF(ISBLANK($D111),,IF($F111&lt;&gt;0,"ЛОЖЬ","ИСТИНА"))</formula>
    </cfRule>
    <cfRule type="expression" dxfId="8468" priority="9283">
      <formula>IF(ISBLANK($D111),,IF($F111&lt;&gt;0,"ЛОЖЬ","ИСТИНА"))</formula>
    </cfRule>
    <cfRule type="expression" dxfId="8467" priority="9285">
      <formula>_xlfn.ISFORMULA(G111)=TRUE</formula>
    </cfRule>
    <cfRule type="expression" dxfId="8466" priority="9317">
      <formula>IF(ISBLANK($D111),,IF($F111&lt;&gt;0,"ЛОЖЬ","ИСТИНА"))</formula>
    </cfRule>
  </conditionalFormatting>
  <conditionalFormatting sqref="G112">
    <cfRule type="expression" dxfId="8465" priority="9216">
      <formula>IF(ISBLANK($D112),,IF($F112&lt;&gt;0,"ЛОЖЬ","ИСТИНА"))</formula>
    </cfRule>
    <cfRule type="expression" dxfId="8464" priority="9247">
      <formula>IF(ISBLANK($D112),,IF($F112&lt;&gt;0,"ЛОЖЬ","ИСТИНА"))</formula>
    </cfRule>
    <cfRule type="expression" dxfId="8463" priority="9213">
      <formula>IF(ISBLANK($D112),,IF($F112&lt;&gt;0,"ЛОЖЬ","ИСТИНА"))</formula>
    </cfRule>
  </conditionalFormatting>
  <conditionalFormatting sqref="G113:G115">
    <cfRule type="expression" dxfId="8462" priority="3408">
      <formula>IF(ISBLANK($D113),,IF($F113&lt;&gt;0,"ЛОЖЬ","ИСТИНА"))</formula>
    </cfRule>
    <cfRule type="expression" dxfId="8461" priority="3407">
      <formula>_xlfn.ISFORMULA(G113)=TRUE</formula>
    </cfRule>
    <cfRule type="expression" dxfId="8460" priority="3405">
      <formula>IF(ISBLANK($D113),,IF($F113&lt;&gt;0,"ЛОЖЬ","ИСТИНА"))</formula>
    </cfRule>
    <cfRule type="expression" dxfId="8459" priority="3416">
      <formula>IF(ISBLANK($D113),,IF($F113&lt;&gt;0,"ЛОЖЬ","ИСТИНА"))</formula>
    </cfRule>
  </conditionalFormatting>
  <conditionalFormatting sqref="G116">
    <cfRule type="expression" dxfId="8458" priority="9073">
      <formula>IF(ISBLANK($D116),,IF($F116&lt;&gt;0,"ЛОЖЬ","ИСТИНА"))</formula>
    </cfRule>
    <cfRule type="expression" dxfId="8457" priority="9107">
      <formula>IF(ISBLANK($D116),,IF($F116&lt;&gt;0,"ЛОЖЬ","ИСТИНА"))</formula>
    </cfRule>
    <cfRule type="expression" dxfId="8456" priority="9076">
      <formula>IF(ISBLANK($D116),,IF($F116&lt;&gt;0,"ЛОЖЬ","ИСТИНА"))</formula>
    </cfRule>
  </conditionalFormatting>
  <conditionalFormatting sqref="G117:G119">
    <cfRule type="expression" dxfId="8455" priority="3279">
      <formula>IF(ISBLANK($D117),,IF($F117&lt;&gt;0,"ЛОЖЬ","ИСТИНА"))</formula>
    </cfRule>
    <cfRule type="expression" dxfId="8454" priority="3281">
      <formula>_xlfn.ISFORMULA(G117)=TRUE</formula>
    </cfRule>
    <cfRule type="expression" dxfId="8453" priority="3285">
      <formula>IF(ISBLANK($D117),,IF($F117&lt;&gt;0,"ЛОЖЬ","ИСТИНА"))</formula>
    </cfRule>
    <cfRule type="expression" dxfId="8452" priority="3282">
      <formula>IF(ISBLANK($D117),,IF($F117&lt;&gt;0,"ЛОЖЬ","ИСТИНА"))</formula>
    </cfRule>
  </conditionalFormatting>
  <conditionalFormatting sqref="G120">
    <cfRule type="expression" dxfId="8451" priority="8827">
      <formula>IF(ISBLANK($D120),,IF($F120&lt;&gt;0,"ЛОЖЬ","ИСТИНА"))</formula>
    </cfRule>
    <cfRule type="expression" dxfId="8450" priority="8796">
      <formula>IF(ISBLANK($D120),,IF($F120&lt;&gt;0,"ЛОЖЬ","ИСТИНА"))</formula>
    </cfRule>
    <cfRule type="expression" dxfId="8449" priority="8795">
      <formula>_xlfn.ISFORMULA(G120)=TRUE</formula>
    </cfRule>
    <cfRule type="expression" dxfId="8448" priority="8793">
      <formula>IF(ISBLANK($D120),,IF($F120&lt;&gt;0,"ЛОЖЬ","ИСТИНА"))</formula>
    </cfRule>
  </conditionalFormatting>
  <conditionalFormatting sqref="G121">
    <cfRule type="expression" dxfId="8447" priority="8376">
      <formula>IF(ISBLANK($D121),,IF($F121&lt;&gt;0,"ЛОЖЬ","ИСТИНА"))</formula>
    </cfRule>
    <cfRule type="expression" dxfId="8446" priority="8407">
      <formula>IF(ISBLANK($D121),,IF($F121&lt;&gt;0,"ЛОЖЬ","ИСТИНА"))</formula>
    </cfRule>
    <cfRule type="expression" dxfId="8445" priority="8373">
      <formula>IF(ISBLANK($D121),,IF($F121&lt;&gt;0,"ЛОЖЬ","ИСТИНА"))</formula>
    </cfRule>
  </conditionalFormatting>
  <conditionalFormatting sqref="G122 G236:G258 G208:G232 G88 G100 G105 G139 G148 G152 G156 G291:G292 G308:G309 G319">
    <cfRule type="expression" dxfId="8444" priority="14270">
      <formula>IF(ISBLANK($D88),,IF($G88&lt;&gt;0,"ЛОЖЬ","ИСТИНА"))</formula>
    </cfRule>
  </conditionalFormatting>
  <conditionalFormatting sqref="G122">
    <cfRule type="expression" dxfId="8443" priority="7777">
      <formula>IF(ISBLANK($D122),,IF($F122&lt;&gt;0,"ЛОЖЬ","ИСТИНА"))</formula>
    </cfRule>
    <cfRule type="expression" dxfId="8442" priority="7746">
      <formula>IF(ISBLANK($D122),,IF($F122&lt;&gt;0,"ЛОЖЬ","ИСТИНА"))</formula>
    </cfRule>
    <cfRule type="expression" dxfId="8441" priority="7743">
      <formula>IF(ISBLANK($D122),,IF($F122&lt;&gt;0,"ЛОЖЬ","ИСТИНА"))</formula>
    </cfRule>
    <cfRule type="expression" dxfId="8440" priority="8023">
      <formula>IF(ISBLANK($D122),,IF($F122&lt;&gt;0,"ЛОЖЬ","ИСТИНА"))</formula>
    </cfRule>
    <cfRule type="expression" dxfId="8439" priority="8026">
      <formula>IF(ISBLANK($D122),,IF($F122&lt;&gt;0,"ЛОЖЬ","ИСТИНА"))</formula>
    </cfRule>
    <cfRule type="expression" dxfId="8438" priority="8057">
      <formula>IF(ISBLANK($D122),,IF($F122&lt;&gt;0,"ЛОЖЬ","ИСТИНА"))</formula>
    </cfRule>
  </conditionalFormatting>
  <conditionalFormatting sqref="G123:G125 G127:G129 G131:G133 G135:G137">
    <cfRule type="expression" dxfId="8437" priority="3220">
      <formula>IF(ISBLANK($D123),,IF($F123&lt;&gt;0,"ЛОЖЬ","ИСТИНА"))</formula>
    </cfRule>
    <cfRule type="expression" dxfId="8436" priority="3219">
      <formula>_xlfn.ISFORMULA(G123)=TRUE</formula>
    </cfRule>
    <cfRule type="expression" dxfId="8435" priority="3217">
      <formula>IF(ISBLANK($D123),,IF($F123&lt;&gt;0,"ЛОЖЬ","ИСТИНА"))</formula>
    </cfRule>
  </conditionalFormatting>
  <conditionalFormatting sqref="G123:G125 G127:G129 G131:G133 G135:G138">
    <cfRule type="expression" dxfId="8434" priority="3223">
      <formula>IF(ISBLANK($D123),,IF($F123&lt;&gt;0,"ЛОЖЬ","ИСТИНА"))</formula>
    </cfRule>
  </conditionalFormatting>
  <conditionalFormatting sqref="G126 G130 G134">
    <cfRule type="expression" dxfId="8433" priority="3261">
      <formula>_xlfn.ISFORMULA(G126)=TRUE</formula>
    </cfRule>
    <cfRule type="expression" dxfId="8432" priority="3265">
      <formula>IF(ISBLANK($D126),,IF($F126&lt;&gt;0,"ЛОЖЬ","ИСТИНА"))</formula>
    </cfRule>
    <cfRule type="expression" dxfId="8431" priority="3262">
      <formula>IF(ISBLANK($D126),,IF($F126&lt;&gt;0,"ЛОЖЬ","ИСТИНА"))</formula>
    </cfRule>
    <cfRule type="expression" dxfId="8430" priority="3259">
      <formula>IF(ISBLANK($D126),,IF($F126&lt;&gt;0,"ЛОЖЬ","ИСТИНА"))</formula>
    </cfRule>
  </conditionalFormatting>
  <conditionalFormatting sqref="G140:G141">
    <cfRule type="expression" dxfId="8429" priority="3168">
      <formula>IF(ISBLANK($D140),,IF($F140&lt;&gt;0,"ЛОЖЬ","ИСТИНА"))</formula>
    </cfRule>
    <cfRule type="expression" dxfId="8428" priority="3167">
      <formula>_xlfn.ISFORMULA(G140)=TRUE</formula>
    </cfRule>
    <cfRule type="expression" dxfId="8427" priority="3165">
      <formula>IF(ISBLANK($D140),,IF($F140&lt;&gt;0,"ЛОЖЬ","ИСТИНА"))</formula>
    </cfRule>
  </conditionalFormatting>
  <conditionalFormatting sqref="G140:G147">
    <cfRule type="expression" dxfId="8426" priority="3171">
      <formula>IF(ISBLANK($D140),,IF($F140&lt;&gt;0,"ЛОЖЬ","ИСТИНА"))</formula>
    </cfRule>
  </conditionalFormatting>
  <conditionalFormatting sqref="G142:G147">
    <cfRule type="expression" dxfId="8425" priority="6896">
      <formula>_xlfn.ISFORMULA(G142)=TRUE</formula>
    </cfRule>
  </conditionalFormatting>
  <conditionalFormatting sqref="G149:G151">
    <cfRule type="expression" dxfId="8424" priority="6836">
      <formula>_xlfn.ISFORMULA(G149)=TRUE</formula>
    </cfRule>
  </conditionalFormatting>
  <conditionalFormatting sqref="G153:G154 F155:H155">
    <cfRule type="expression" dxfId="8423" priority="6691">
      <formula>_xlfn.ISFORMULA(F153)=TRUE</formula>
    </cfRule>
  </conditionalFormatting>
  <conditionalFormatting sqref="G157:G164">
    <cfRule type="expression" dxfId="8422" priority="6176">
      <formula>_xlfn.ISFORMULA(G157)=TRUE</formula>
    </cfRule>
  </conditionalFormatting>
  <conditionalFormatting sqref="G164:G165">
    <cfRule type="expression" dxfId="8421" priority="6112">
      <formula>IF(ISBLANK($D164),,IF($G164&lt;&gt;0,"ЛОЖЬ","ИСТИНА"))</formula>
    </cfRule>
  </conditionalFormatting>
  <conditionalFormatting sqref="G165">
    <cfRule type="expression" dxfId="8420" priority="6014">
      <formula>IF(ISBLANK($D165),,IF($G165&lt;&gt;0,"ЛОЖЬ","ИСТИНА"))</formula>
    </cfRule>
    <cfRule type="expression" dxfId="8419" priority="6045">
      <formula>_xlfn.ISFORMULA(G165)=TRUE</formula>
    </cfRule>
    <cfRule type="expression" dxfId="8418" priority="6058">
      <formula>_xlfn.ISFORMULA(G165)=TRUE</formula>
    </cfRule>
    <cfRule type="expression" dxfId="8417" priority="5995">
      <formula>_xlfn.ISFORMULA(G165)=TRUE</formula>
    </cfRule>
    <cfRule type="expression" dxfId="8416" priority="5999">
      <formula>IF(ISBLANK($D165),,IF($G165&lt;&gt;0,"ЛОЖЬ","ИСТИНА"))</formula>
    </cfRule>
    <cfRule type="expression" dxfId="8415" priority="6000">
      <formula>_xlfn.ISFORMULA(G165)=TRUE</formula>
    </cfRule>
    <cfRule type="expression" dxfId="8414" priority="6003">
      <formula>IF(ISBLANK($D165),,IF($G165&lt;&gt;0,"ЛОЖЬ","ИСТИНА"))</formula>
    </cfRule>
    <cfRule type="expression" dxfId="8413" priority="6006">
      <formula>_xlfn.ISFORMULA(G165)=TRUE</formula>
    </cfRule>
    <cfRule type="expression" dxfId="8412" priority="6015">
      <formula>_xlfn.ISFORMULA(G165)=TRUE</formula>
    </cfRule>
    <cfRule type="expression" dxfId="8411" priority="6017">
      <formula>IF(ISBLANK($D165),,IF($G165&lt;&gt;0,"ЛОЖЬ","ИСТИНА"))</formula>
    </cfRule>
    <cfRule type="expression" dxfId="8410" priority="6019">
      <formula>_xlfn.ISFORMULA(G165)=TRUE</formula>
    </cfRule>
    <cfRule type="expression" dxfId="8409" priority="6023">
      <formula>IF(ISBLANK($D165),,IF($G165&lt;&gt;0,"ЛОЖЬ","ИСТИНА"))</formula>
    </cfRule>
    <cfRule type="expression" dxfId="8408" priority="6028">
      <formula>_xlfn.ISFORMULA(G165)=TRUE</formula>
    </cfRule>
    <cfRule type="expression" dxfId="8407" priority="6029">
      <formula>IF(ISBLANK($D165),,IF($G165&lt;&gt;0,"ЛОЖЬ","ИСТИНА"))</formula>
    </cfRule>
    <cfRule type="expression" dxfId="8406" priority="6030">
      <formula>_xlfn.ISFORMULA(G165)=TRUE</formula>
    </cfRule>
    <cfRule type="expression" dxfId="8405" priority="6032">
      <formula>IF(ISBLANK($D165),,IF($G165&lt;&gt;0,"ЛОЖЬ","ИСТИНА"))</formula>
    </cfRule>
    <cfRule type="expression" dxfId="8404" priority="6034">
      <formula>_xlfn.ISFORMULA(G165)=TRUE</formula>
    </cfRule>
    <cfRule type="expression" dxfId="8403" priority="6038">
      <formula>IF(ISBLANK($D165),,IF($G165&lt;&gt;0,"ЛОЖЬ","ИСТИНА"))</formula>
    </cfRule>
    <cfRule type="expression" dxfId="8402" priority="6043">
      <formula>_xlfn.ISFORMULA(G165)=TRUE</formula>
    </cfRule>
    <cfRule type="expression" dxfId="8401" priority="6044">
      <formula>IF(ISBLANK($D165),,IF($G165&lt;&gt;0,"ЛОЖЬ","ИСТИНА"))</formula>
    </cfRule>
    <cfRule type="expression" dxfId="8400" priority="6047">
      <formula>IF(ISBLANK($D165),,IF($G165&lt;&gt;0,"ЛОЖЬ","ИСТИНА"))</formula>
    </cfRule>
    <cfRule type="expression" dxfId="8399" priority="6049">
      <formula>_xlfn.ISFORMULA(G165)=TRUE</formula>
    </cfRule>
    <cfRule type="expression" dxfId="8398" priority="6053">
      <formula>IF(ISBLANK($D165),,IF($G165&lt;&gt;0,"ЛОЖЬ","ИСТИНА"))</formula>
    </cfRule>
    <cfRule type="expression" dxfId="8397" priority="6059">
      <formula>IF(ISBLANK($D165),,IF($G165&lt;&gt;0,"ЛОЖЬ","ИСТИНА"))</formula>
    </cfRule>
    <cfRule type="expression" dxfId="8396" priority="6060">
      <formula>_xlfn.ISFORMULA(G165)=TRUE</formula>
    </cfRule>
    <cfRule type="expression" dxfId="8395" priority="6062">
      <formula>IF(ISBLANK($D165),,IF($G165&lt;&gt;0,"ЛОЖЬ","ИСТИНА"))</formula>
    </cfRule>
    <cfRule type="expression" dxfId="8394" priority="6064">
      <formula>_xlfn.ISFORMULA(G165)=TRUE</formula>
    </cfRule>
    <cfRule type="expression" dxfId="8393" priority="6068">
      <formula>IF(ISBLANK($D165),,IF($G165&lt;&gt;0,"ЛОЖЬ","ИСТИНА"))</formula>
    </cfRule>
    <cfRule type="expression" dxfId="8392" priority="6073">
      <formula>_xlfn.ISFORMULA(G165)=TRUE</formula>
    </cfRule>
    <cfRule type="expression" dxfId="8391" priority="6074">
      <formula>IF(ISBLANK($D165),,IF($G165&lt;&gt;0,"ЛОЖЬ","ИСТИНА"))</formula>
    </cfRule>
    <cfRule type="expression" dxfId="8390" priority="6075">
      <formula>_xlfn.ISFORMULA(G165)=TRUE</formula>
    </cfRule>
    <cfRule type="expression" dxfId="8389" priority="6077">
      <formula>IF(ISBLANK($D165),,IF($G165&lt;&gt;0,"ЛОЖЬ","ИСТИНА"))</formula>
    </cfRule>
    <cfRule type="expression" dxfId="8388" priority="6083">
      <formula>IF(ISBLANK($D165),,IF($G165&lt;&gt;0,"ЛОЖЬ","ИСТИНА"))</formula>
    </cfRule>
    <cfRule type="expression" dxfId="8387" priority="6088">
      <formula>_xlfn.ISFORMULA(G165)=TRUE</formula>
    </cfRule>
    <cfRule type="expression" dxfId="8386" priority="6089">
      <formula>IF(ISBLANK($D165),,IF($G165&lt;&gt;0,"ЛОЖЬ","ИСТИНА"))</formula>
    </cfRule>
    <cfRule type="expression" dxfId="8385" priority="6090">
      <formula>_xlfn.ISFORMULA(G165)=TRUE</formula>
    </cfRule>
    <cfRule type="expression" dxfId="8384" priority="6092">
      <formula>IF(ISBLANK($D165),,IF($G165&lt;&gt;0,"ЛОЖЬ","ИСТИНА"))</formula>
    </cfRule>
    <cfRule type="expression" dxfId="8383" priority="6094">
      <formula>_xlfn.ISFORMULA(G165)=TRUE</formula>
    </cfRule>
    <cfRule type="expression" dxfId="8382" priority="6098">
      <formula>IF(ISBLANK($D165),,IF($G165&lt;&gt;0,"ЛОЖЬ","ИСТИНА"))</formula>
    </cfRule>
    <cfRule type="expression" dxfId="8381" priority="6099">
      <formula>_xlfn.ISFORMULA(G165)=TRUE</formula>
    </cfRule>
    <cfRule type="expression" dxfId="8380" priority="6100">
      <formula>IF(ISBLANK($D165),,IF($G165&lt;&gt;0,"ЛОЖЬ","ИСТИНА"))</formula>
    </cfRule>
    <cfRule type="expression" dxfId="8379" priority="6101">
      <formula>_xlfn.ISFORMULA(G165)=TRUE</formula>
    </cfRule>
    <cfRule type="expression" dxfId="8378" priority="6106">
      <formula>IF(ISBLANK($D165),,IF($G165&lt;&gt;0,"ЛОЖЬ","ИСТИНА"))</formula>
    </cfRule>
    <cfRule type="expression" dxfId="8377" priority="6107">
      <formula>_xlfn.ISFORMULA(G165)=TRUE</formula>
    </cfRule>
    <cfRule type="expression" dxfId="8376" priority="6079">
      <formula>_xlfn.ISFORMULA(G165)=TRUE</formula>
    </cfRule>
  </conditionalFormatting>
  <conditionalFormatting sqref="G165:G166">
    <cfRule type="expression" dxfId="8375" priority="5993">
      <formula>IF(ISBLANK($D165),,IF($G165&lt;&gt;0,"ЛОЖЬ","ИСТИНА"))</formula>
    </cfRule>
  </conditionalFormatting>
  <conditionalFormatting sqref="G166">
    <cfRule type="expression" dxfId="8374" priority="5982">
      <formula>_xlfn.ISFORMULA(G166)=TRUE</formula>
    </cfRule>
    <cfRule type="expression" dxfId="8373" priority="5981">
      <formula>IF(ISBLANK($D166),,IF($G166&lt;&gt;0,"ЛОЖЬ","ИСТИНА"))</formula>
    </cfRule>
    <cfRule type="expression" dxfId="8372" priority="5980">
      <formula>_xlfn.ISFORMULA(G166)=TRUE</formula>
    </cfRule>
    <cfRule type="expression" dxfId="8371" priority="5979">
      <formula>IF(ISBLANK($D166),,IF($G166&lt;&gt;0,"ЛОЖЬ","ИСТИНА"))</formula>
    </cfRule>
    <cfRule type="expression" dxfId="8370" priority="5975">
      <formula>_xlfn.ISFORMULA(G166)=TRUE</formula>
    </cfRule>
    <cfRule type="expression" dxfId="8369" priority="5884">
      <formula>IF(ISBLANK($D166),,IF($G166&lt;&gt;0,"ЛОЖЬ","ИСТИНА"))</formula>
    </cfRule>
    <cfRule type="expression" dxfId="8368" priority="5973">
      <formula>IF(ISBLANK($D166),,IF($G166&lt;&gt;0,"ЛОЖЬ","ИСТИНА"))</formula>
    </cfRule>
    <cfRule type="expression" dxfId="8367" priority="5970">
      <formula>IF(ISBLANK($D166),,IF($G166&lt;&gt;0,"ЛОЖЬ","ИСТИНА"))</formula>
    </cfRule>
    <cfRule type="expression" dxfId="8366" priority="5969">
      <formula>_xlfn.ISFORMULA(G166)=TRUE</formula>
    </cfRule>
    <cfRule type="expression" dxfId="8365" priority="5964">
      <formula>IF(ISBLANK($D166),,IF($G166&lt;&gt;0,"ЛОЖЬ","ИСТИНА"))</formula>
    </cfRule>
    <cfRule type="expression" dxfId="8364" priority="5960">
      <formula>_xlfn.ISFORMULA(G166)=TRUE</formula>
    </cfRule>
    <cfRule type="expression" dxfId="8363" priority="5958">
      <formula>IF(ISBLANK($D166),,IF($G166&lt;&gt;0,"ЛОЖЬ","ИСТИНА"))</formula>
    </cfRule>
    <cfRule type="expression" dxfId="8362" priority="5956">
      <formula>_xlfn.ISFORMULA(G166)=TRUE</formula>
    </cfRule>
    <cfRule type="expression" dxfId="8361" priority="5955">
      <formula>IF(ISBLANK($D166),,IF($G166&lt;&gt;0,"ЛОЖЬ","ИСТИНА"))</formula>
    </cfRule>
    <cfRule type="expression" dxfId="8360" priority="5954">
      <formula>_xlfn.ISFORMULA(G166)=TRUE</formula>
    </cfRule>
    <cfRule type="expression" dxfId="8359" priority="5949">
      <formula>IF(ISBLANK($D166),,IF($G166&lt;&gt;0,"ЛОЖЬ","ИСТИНА"))</formula>
    </cfRule>
    <cfRule type="expression" dxfId="8358" priority="5945">
      <formula>_xlfn.ISFORMULA(G166)=TRUE</formula>
    </cfRule>
    <cfRule type="expression" dxfId="8357" priority="5988">
      <formula>_xlfn.ISFORMULA(G166)=TRUE</formula>
    </cfRule>
    <cfRule type="expression" dxfId="8356" priority="5943">
      <formula>IF(ISBLANK($D166),,IF($G166&lt;&gt;0,"ЛОЖЬ","ИСТИНА"))</formula>
    </cfRule>
    <cfRule type="expression" dxfId="8355" priority="5941">
      <formula>_xlfn.ISFORMULA(G166)=TRUE</formula>
    </cfRule>
    <cfRule type="expression" dxfId="8354" priority="5940">
      <formula>IF(ISBLANK($D166),,IF($G166&lt;&gt;0,"ЛОЖЬ","ИСТИНА"))</formula>
    </cfRule>
    <cfRule type="expression" dxfId="8353" priority="5939">
      <formula>_xlfn.ISFORMULA(G166)=TRUE</formula>
    </cfRule>
    <cfRule type="expression" dxfId="8352" priority="5934">
      <formula>IF(ISBLANK($D166),,IF($G166&lt;&gt;0,"ЛОЖЬ","ИСТИНА"))</formula>
    </cfRule>
    <cfRule type="expression" dxfId="8351" priority="5930">
      <formula>_xlfn.ISFORMULA(G166)=TRUE</formula>
    </cfRule>
    <cfRule type="expression" dxfId="8350" priority="5928">
      <formula>IF(ISBLANK($D166),,IF($G166&lt;&gt;0,"ЛОЖЬ","ИСТИНА"))</formula>
    </cfRule>
    <cfRule type="expression" dxfId="8349" priority="5925">
      <formula>IF(ISBLANK($D166),,IF($G166&lt;&gt;0,"ЛОЖЬ","ИСТИНА"))</formula>
    </cfRule>
    <cfRule type="expression" dxfId="8348" priority="5919">
      <formula>IF(ISBLANK($D166),,IF($G166&lt;&gt;0,"ЛОЖЬ","ИСТИНА"))</formula>
    </cfRule>
    <cfRule type="expression" dxfId="8347" priority="5915">
      <formula>_xlfn.ISFORMULA(G166)=TRUE</formula>
    </cfRule>
    <cfRule type="expression" dxfId="8346" priority="5913">
      <formula>IF(ISBLANK($D166),,IF($G166&lt;&gt;0,"ЛОЖЬ","ИСТИНА"))</formula>
    </cfRule>
    <cfRule type="expression" dxfId="8345" priority="5911">
      <formula>_xlfn.ISFORMULA(G166)=TRUE</formula>
    </cfRule>
    <cfRule type="expression" dxfId="8344" priority="5910">
      <formula>IF(ISBLANK($D166),,IF($G166&lt;&gt;0,"ЛОЖЬ","ИСТИНА"))</formula>
    </cfRule>
    <cfRule type="expression" dxfId="8343" priority="5924">
      <formula>_xlfn.ISFORMULA(G166)=TRUE</formula>
    </cfRule>
    <cfRule type="expression" dxfId="8342" priority="5904">
      <formula>IF(ISBLANK($D166),,IF($G166&lt;&gt;0,"ЛОЖЬ","ИСТИНА"))</formula>
    </cfRule>
    <cfRule type="expression" dxfId="8341" priority="5900">
      <formula>_xlfn.ISFORMULA(G166)=TRUE</formula>
    </cfRule>
    <cfRule type="expression" dxfId="8340" priority="5898">
      <formula>IF(ISBLANK($D166),,IF($G166&lt;&gt;0,"ЛОЖЬ","ИСТИНА"))</formula>
    </cfRule>
    <cfRule type="expression" dxfId="8339" priority="5896">
      <formula>_xlfn.ISFORMULA(G166)=TRUE</formula>
    </cfRule>
    <cfRule type="expression" dxfId="8338" priority="5895">
      <formula>IF(ISBLANK($D166),,IF($G166&lt;&gt;0,"ЛОЖЬ","ИСТИНА"))</formula>
    </cfRule>
    <cfRule type="expression" dxfId="8337" priority="5887">
      <formula>_xlfn.ISFORMULA(G166)=TRUE</formula>
    </cfRule>
    <cfRule type="expression" dxfId="8336" priority="5971">
      <formula>_xlfn.ISFORMULA(G166)=TRUE</formula>
    </cfRule>
    <cfRule type="expression" dxfId="8335" priority="5881">
      <formula>_xlfn.ISFORMULA(G166)=TRUE</formula>
    </cfRule>
    <cfRule type="expression" dxfId="8334" priority="5880">
      <formula>IF(ISBLANK($D166),,IF($G166&lt;&gt;0,"ЛОЖЬ","ИСТИНА"))</formula>
    </cfRule>
    <cfRule type="expression" dxfId="8333" priority="5876">
      <formula>_xlfn.ISFORMULA(G166)=TRUE</formula>
    </cfRule>
    <cfRule type="expression" dxfId="8332" priority="5909">
      <formula>_xlfn.ISFORMULA(G166)=TRUE</formula>
    </cfRule>
    <cfRule type="expression" dxfId="8331" priority="5926">
      <formula>_xlfn.ISFORMULA(G166)=TRUE</formula>
    </cfRule>
    <cfRule type="expression" dxfId="8330" priority="5987">
      <formula>IF(ISBLANK($D166),,IF($G166&lt;&gt;0,"ЛОЖЬ","ИСТИНА"))</formula>
    </cfRule>
  </conditionalFormatting>
  <conditionalFormatting sqref="G166:G167">
    <cfRule type="expression" dxfId="8329" priority="5874">
      <formula>IF(ISBLANK($D166),,IF($G166&lt;&gt;0,"ЛОЖЬ","ИСТИНА"))</formula>
    </cfRule>
  </conditionalFormatting>
  <conditionalFormatting sqref="G167">
    <cfRule type="expression" dxfId="8328" priority="5761">
      <formula>IF(ISBLANK($D167),,IF($G167&lt;&gt;0,"ЛОЖЬ","ИСТИНА"))</formula>
    </cfRule>
    <cfRule type="expression" dxfId="8327" priority="5762">
      <formula>_xlfn.ISFORMULA(G167)=TRUE</formula>
    </cfRule>
    <cfRule type="expression" dxfId="8326" priority="5765">
      <formula>IF(ISBLANK($D167),,IF($G167&lt;&gt;0,"ЛОЖЬ","ИСТИНА"))</formula>
    </cfRule>
    <cfRule type="expression" dxfId="8325" priority="5768">
      <formula>_xlfn.ISFORMULA(G167)=TRUE</formula>
    </cfRule>
    <cfRule type="expression" dxfId="8324" priority="5776">
      <formula>IF(ISBLANK($D167),,IF($G167&lt;&gt;0,"ЛОЖЬ","ИСТИНА"))</formula>
    </cfRule>
    <cfRule type="expression" dxfId="8323" priority="5777">
      <formula>_xlfn.ISFORMULA(G167)=TRUE</formula>
    </cfRule>
    <cfRule type="expression" dxfId="8322" priority="5779">
      <formula>IF(ISBLANK($D167),,IF($G167&lt;&gt;0,"ЛОЖЬ","ИСТИНА"))</formula>
    </cfRule>
    <cfRule type="expression" dxfId="8321" priority="5781">
      <formula>_xlfn.ISFORMULA(G167)=TRUE</formula>
    </cfRule>
    <cfRule type="expression" dxfId="8320" priority="5785">
      <formula>IF(ISBLANK($D167),,IF($G167&lt;&gt;0,"ЛОЖЬ","ИСТИНА"))</formula>
    </cfRule>
    <cfRule type="expression" dxfId="8319" priority="5790">
      <formula>_xlfn.ISFORMULA(G167)=TRUE</formula>
    </cfRule>
    <cfRule type="expression" dxfId="8318" priority="5791">
      <formula>IF(ISBLANK($D167),,IF($G167&lt;&gt;0,"ЛОЖЬ","ИСТИНА"))</formula>
    </cfRule>
    <cfRule type="expression" dxfId="8317" priority="5792">
      <formula>_xlfn.ISFORMULA(G167)=TRUE</formula>
    </cfRule>
    <cfRule type="expression" dxfId="8316" priority="5794">
      <formula>IF(ISBLANK($D167),,IF($G167&lt;&gt;0,"ЛОЖЬ","ИСТИНА"))</formula>
    </cfRule>
    <cfRule type="expression" dxfId="8315" priority="5796">
      <formula>_xlfn.ISFORMULA(G167)=TRUE</formula>
    </cfRule>
    <cfRule type="expression" dxfId="8314" priority="5800">
      <formula>IF(ISBLANK($D167),,IF($G167&lt;&gt;0,"ЛОЖЬ","ИСТИНА"))</formula>
    </cfRule>
    <cfRule type="expression" dxfId="8313" priority="5806">
      <formula>IF(ISBLANK($D167),,IF($G167&lt;&gt;0,"ЛОЖЬ","ИСТИНА"))</formula>
    </cfRule>
    <cfRule type="expression" dxfId="8312" priority="5807">
      <formula>_xlfn.ISFORMULA(G167)=TRUE</formula>
    </cfRule>
    <cfRule type="expression" dxfId="8311" priority="5809">
      <formula>IF(ISBLANK($D167),,IF($G167&lt;&gt;0,"ЛОЖЬ","ИСТИНА"))</formula>
    </cfRule>
    <cfRule type="expression" dxfId="8310" priority="5811">
      <formula>_xlfn.ISFORMULA(G167)=TRUE</formula>
    </cfRule>
    <cfRule type="expression" dxfId="8309" priority="5815">
      <formula>IF(ISBLANK($D167),,IF($G167&lt;&gt;0,"ЛОЖЬ","ИСТИНА"))</formula>
    </cfRule>
    <cfRule type="expression" dxfId="8308" priority="5820">
      <formula>_xlfn.ISFORMULA(G167)=TRUE</formula>
    </cfRule>
    <cfRule type="expression" dxfId="8307" priority="5821">
      <formula>IF(ISBLANK($D167),,IF($G167&lt;&gt;0,"ЛОЖЬ","ИСТИНА"))</formula>
    </cfRule>
    <cfRule type="expression" dxfId="8306" priority="5822">
      <formula>_xlfn.ISFORMULA(G167)=TRUE</formula>
    </cfRule>
    <cfRule type="expression" dxfId="8305" priority="5824">
      <formula>IF(ISBLANK($D167),,IF($G167&lt;&gt;0,"ЛОЖЬ","ИСТИНА"))</formula>
    </cfRule>
    <cfRule type="expression" dxfId="8304" priority="5826">
      <formula>_xlfn.ISFORMULA(G167)=TRUE</formula>
    </cfRule>
    <cfRule type="expression" dxfId="8303" priority="5830">
      <formula>IF(ISBLANK($D167),,IF($G167&lt;&gt;0,"ЛОЖЬ","ИСТИНА"))</formula>
    </cfRule>
    <cfRule type="expression" dxfId="8302" priority="5835">
      <formula>_xlfn.ISFORMULA(G167)=TRUE</formula>
    </cfRule>
    <cfRule type="expression" dxfId="8301" priority="5836">
      <formula>IF(ISBLANK($D167),,IF($G167&lt;&gt;0,"ЛОЖЬ","ИСТИНА"))</formula>
    </cfRule>
    <cfRule type="expression" dxfId="8300" priority="5837">
      <formula>_xlfn.ISFORMULA(G167)=TRUE</formula>
    </cfRule>
    <cfRule type="expression" dxfId="8299" priority="5839">
      <formula>IF(ISBLANK($D167),,IF($G167&lt;&gt;0,"ЛОЖЬ","ИСТИНА"))</formula>
    </cfRule>
    <cfRule type="expression" dxfId="8298" priority="5841">
      <formula>_xlfn.ISFORMULA(G167)=TRUE</formula>
    </cfRule>
    <cfRule type="expression" dxfId="8297" priority="5845">
      <formula>IF(ISBLANK($D167),,IF($G167&lt;&gt;0,"ЛОЖЬ","ИСТИНА"))</formula>
    </cfRule>
    <cfRule type="expression" dxfId="8296" priority="5850">
      <formula>_xlfn.ISFORMULA(G167)=TRUE</formula>
    </cfRule>
    <cfRule type="expression" dxfId="8295" priority="5851">
      <formula>IF(ISBLANK($D167),,IF($G167&lt;&gt;0,"ЛОЖЬ","ИСТИНА"))</formula>
    </cfRule>
    <cfRule type="expression" dxfId="8294" priority="5852">
      <formula>_xlfn.ISFORMULA(G167)=TRUE</formula>
    </cfRule>
    <cfRule type="expression" dxfId="8293" priority="5854">
      <formula>IF(ISBLANK($D167),,IF($G167&lt;&gt;0,"ЛОЖЬ","ИСТИНА"))</formula>
    </cfRule>
    <cfRule type="expression" dxfId="8292" priority="5856">
      <formula>_xlfn.ISFORMULA(G167)=TRUE</formula>
    </cfRule>
    <cfRule type="expression" dxfId="8291" priority="5860">
      <formula>IF(ISBLANK($D167),,IF($G167&lt;&gt;0,"ЛОЖЬ","ИСТИНА"))</formula>
    </cfRule>
    <cfRule type="expression" dxfId="8290" priority="5805">
      <formula>_xlfn.ISFORMULA(G167)=TRUE</formula>
    </cfRule>
    <cfRule type="expression" dxfId="8289" priority="5862">
      <formula>IF(ISBLANK($D167),,IF($G167&lt;&gt;0,"ЛОЖЬ","ИСТИНА"))</formula>
    </cfRule>
    <cfRule type="expression" dxfId="8288" priority="5863">
      <formula>_xlfn.ISFORMULA(G167)=TRUE</formula>
    </cfRule>
    <cfRule type="expression" dxfId="8287" priority="5868">
      <formula>IF(ISBLANK($D167),,IF($G167&lt;&gt;0,"ЛОЖЬ","ИСТИНА"))</formula>
    </cfRule>
    <cfRule type="expression" dxfId="8286" priority="5869">
      <formula>_xlfn.ISFORMULA(G167)=TRUE</formula>
    </cfRule>
    <cfRule type="expression" dxfId="8285" priority="5861">
      <formula>_xlfn.ISFORMULA(G167)=TRUE</formula>
    </cfRule>
    <cfRule type="expression" dxfId="8284" priority="5757">
      <formula>_xlfn.ISFORMULA(G167)=TRUE</formula>
    </cfRule>
  </conditionalFormatting>
  <conditionalFormatting sqref="G167:G173">
    <cfRule type="expression" dxfId="8283" priority="5755">
      <formula>IF(ISBLANK($D167),,IF($G167&lt;&gt;0,"ЛОЖЬ","ИСТИНА"))</formula>
    </cfRule>
  </conditionalFormatting>
  <conditionalFormatting sqref="G168:G172 E172:H172">
    <cfRule type="expression" dxfId="8282" priority="5638">
      <formula>_xlfn.ISFORMULA(E168)=TRUE</formula>
    </cfRule>
  </conditionalFormatting>
  <conditionalFormatting sqref="G168:G172">
    <cfRule type="expression" dxfId="8281" priority="5749">
      <formula>IF(ISBLANK($D168),,IF($G168&lt;&gt;0,"ЛОЖЬ","ИСТИНА"))</formula>
    </cfRule>
    <cfRule type="expression" dxfId="8280" priority="5744">
      <formula>_xlfn.ISFORMULA(G168)=TRUE</formula>
    </cfRule>
    <cfRule type="expression" dxfId="8279" priority="5743">
      <formula>IF(ISBLANK($D168),,IF($G168&lt;&gt;0,"ЛОЖЬ","ИСТИНА"))</formula>
    </cfRule>
    <cfRule type="expression" dxfId="8278" priority="5742">
      <formula>_xlfn.ISFORMULA(G168)=TRUE</formula>
    </cfRule>
    <cfRule type="expression" dxfId="8277" priority="5741">
      <formula>IF(ISBLANK($D168),,IF($G168&lt;&gt;0,"ЛОЖЬ","ИСТИНА"))</formula>
    </cfRule>
    <cfRule type="expression" dxfId="8276" priority="5737">
      <formula>_xlfn.ISFORMULA(G168)=TRUE</formula>
    </cfRule>
    <cfRule type="expression" dxfId="8275" priority="5733">
      <formula>_xlfn.ISFORMULA(G168)=TRUE</formula>
    </cfRule>
    <cfRule type="expression" dxfId="8274" priority="5658">
      <formula>_xlfn.ISFORMULA(G168)=TRUE</formula>
    </cfRule>
    <cfRule type="expression" dxfId="8273" priority="5657">
      <formula>IF(ISBLANK($D168),,IF($G168&lt;&gt;0,"ЛОЖЬ","ИСТИНА"))</formula>
    </cfRule>
    <cfRule type="expression" dxfId="8272" priority="5649">
      <formula>_xlfn.ISFORMULA(G168)=TRUE</formula>
    </cfRule>
    <cfRule type="expression" dxfId="8271" priority="5646">
      <formula>IF(ISBLANK($D168),,IF($G168&lt;&gt;0,"ЛОЖЬ","ИСТИНА"))</formula>
    </cfRule>
    <cfRule type="expression" dxfId="8270" priority="5643">
      <formula>_xlfn.ISFORMULA(G168)=TRUE</formula>
    </cfRule>
    <cfRule type="expression" dxfId="8269" priority="5642">
      <formula>IF(ISBLANK($D168),,IF($G168&lt;&gt;0,"ЛОЖЬ","ИСТИНА"))</formula>
    </cfRule>
    <cfRule type="expression" dxfId="8268" priority="5637">
      <formula>IF(ISBLANK($D168),,IF($G168&lt;&gt;0,"ЛОЖЬ","ИСТИНА"))</formula>
    </cfRule>
    <cfRule type="expression" dxfId="8267" priority="5666">
      <formula>IF(ISBLANK($D168),,IF($G168&lt;&gt;0,"ЛОЖЬ","ИСТИНА"))</formula>
    </cfRule>
    <cfRule type="expression" dxfId="8266" priority="5732">
      <formula>IF(ISBLANK($D168),,IF($G168&lt;&gt;0,"ЛОЖЬ","ИСТИНА"))</formula>
    </cfRule>
    <cfRule type="expression" dxfId="8265" priority="5671">
      <formula>_xlfn.ISFORMULA(G168)=TRUE</formula>
    </cfRule>
    <cfRule type="expression" dxfId="8264" priority="5672">
      <formula>IF(ISBLANK($D168),,IF($G168&lt;&gt;0,"ЛОЖЬ","ИСТИНА"))</formula>
    </cfRule>
    <cfRule type="expression" dxfId="8263" priority="5673">
      <formula>_xlfn.ISFORMULA(G168)=TRUE</formula>
    </cfRule>
    <cfRule type="expression" dxfId="8262" priority="5675">
      <formula>IF(ISBLANK($D168),,IF($G168&lt;&gt;0,"ЛОЖЬ","ИСТИНА"))</formula>
    </cfRule>
    <cfRule type="expression" dxfId="8261" priority="5687">
      <formula>IF(ISBLANK($D168),,IF($G168&lt;&gt;0,"ЛОЖЬ","ИСТИНА"))</formula>
    </cfRule>
    <cfRule type="expression" dxfId="8260" priority="5677">
      <formula>_xlfn.ISFORMULA(G168)=TRUE</formula>
    </cfRule>
    <cfRule type="expression" dxfId="8259" priority="5681">
      <formula>IF(ISBLANK($D168),,IF($G168&lt;&gt;0,"ЛОЖЬ","ИСТИНА"))</formula>
    </cfRule>
    <cfRule type="expression" dxfId="8258" priority="5686">
      <formula>_xlfn.ISFORMULA(G168)=TRUE</formula>
    </cfRule>
    <cfRule type="expression" dxfId="8257" priority="5688">
      <formula>_xlfn.ISFORMULA(G168)=TRUE</formula>
    </cfRule>
    <cfRule type="expression" dxfId="8256" priority="5690">
      <formula>IF(ISBLANK($D168),,IF($G168&lt;&gt;0,"ЛОЖЬ","ИСТИНА"))</formula>
    </cfRule>
    <cfRule type="expression" dxfId="8255" priority="5692">
      <formula>_xlfn.ISFORMULA(G168)=TRUE</formula>
    </cfRule>
    <cfRule type="expression" dxfId="8254" priority="5696">
      <formula>IF(ISBLANK($D168),,IF($G168&lt;&gt;0,"ЛОЖЬ","ИСТИНА"))</formula>
    </cfRule>
    <cfRule type="expression" dxfId="8253" priority="5701">
      <formula>_xlfn.ISFORMULA(G168)=TRUE</formula>
    </cfRule>
    <cfRule type="expression" dxfId="8252" priority="5702">
      <formula>IF(ISBLANK($D168),,IF($G168&lt;&gt;0,"ЛОЖЬ","ИСТИНА"))</formula>
    </cfRule>
    <cfRule type="expression" dxfId="8251" priority="5703">
      <formula>_xlfn.ISFORMULA(G168)=TRUE</formula>
    </cfRule>
    <cfRule type="expression" dxfId="8250" priority="5705">
      <formula>IF(ISBLANK($D168),,IF($G168&lt;&gt;0,"ЛОЖЬ","ИСТИНА"))</formula>
    </cfRule>
    <cfRule type="expression" dxfId="8249" priority="5707">
      <formula>_xlfn.ISFORMULA(G168)=TRUE</formula>
    </cfRule>
    <cfRule type="expression" dxfId="8248" priority="5711">
      <formula>IF(ISBLANK($D168),,IF($G168&lt;&gt;0,"ЛОЖЬ","ИСТИНА"))</formula>
    </cfRule>
    <cfRule type="expression" dxfId="8247" priority="5735">
      <formula>IF(ISBLANK($D168),,IF($G168&lt;&gt;0,"ЛОЖЬ","ИСТИНА"))</formula>
    </cfRule>
    <cfRule type="expression" dxfId="8246" priority="5660">
      <formula>IF(ISBLANK($D168),,IF($G168&lt;&gt;0,"ЛОЖЬ","ИСТИНА"))</formula>
    </cfRule>
    <cfRule type="expression" dxfId="8245" priority="5716">
      <formula>_xlfn.ISFORMULA(G168)=TRUE</formula>
    </cfRule>
    <cfRule type="expression" dxfId="8244" priority="5717">
      <formula>IF(ISBLANK($D168),,IF($G168&lt;&gt;0,"ЛОЖЬ","ИСТИНА"))</formula>
    </cfRule>
    <cfRule type="expression" dxfId="8243" priority="5718">
      <formula>_xlfn.ISFORMULA(G168)=TRUE</formula>
    </cfRule>
    <cfRule type="expression" dxfId="8242" priority="5720">
      <formula>IF(ISBLANK($D168),,IF($G168&lt;&gt;0,"ЛОЖЬ","ИСТИНА"))</formula>
    </cfRule>
    <cfRule type="expression" dxfId="8241" priority="5722">
      <formula>_xlfn.ISFORMULA(G168)=TRUE</formula>
    </cfRule>
    <cfRule type="expression" dxfId="8240" priority="5726">
      <formula>IF(ISBLANK($D168),,IF($G168&lt;&gt;0,"ЛОЖЬ","ИСТИНА"))</formula>
    </cfRule>
    <cfRule type="expression" dxfId="8239" priority="5731">
      <formula>_xlfn.ISFORMULA(G168)=TRUE</formula>
    </cfRule>
    <cfRule type="expression" dxfId="8238" priority="5750">
      <formula>_xlfn.ISFORMULA(G168)=TRUE</formula>
    </cfRule>
    <cfRule type="expression" dxfId="8237" priority="5662">
      <formula>_xlfn.ISFORMULA(G168)=TRUE</formula>
    </cfRule>
  </conditionalFormatting>
  <conditionalFormatting sqref="G174">
    <cfRule type="expression" dxfId="8236" priority="5537">
      <formula>IF(ISBLANK($D174),,IF($G174&lt;&gt;0,"ЛОЖЬ","ИСТИНА"))</formula>
    </cfRule>
    <cfRule type="expression" dxfId="8235" priority="5535">
      <formula>_xlfn.ISFORMULA(G174)=TRUE</formula>
    </cfRule>
    <cfRule type="expression" dxfId="8234" priority="5533">
      <formula>_xlfn.ISFORMULA(G174)=TRUE</formula>
    </cfRule>
    <cfRule type="expression" dxfId="8233" priority="5532">
      <formula>IF(ISBLANK($D174),,IF($G174&lt;&gt;0,"ЛОЖЬ","ИСТИНА"))</formula>
    </cfRule>
    <cfRule type="expression" dxfId="8232" priority="5531">
      <formula>_xlfn.ISFORMULA(G174)=TRUE</formula>
    </cfRule>
    <cfRule type="expression" dxfId="8231" priority="5530">
      <formula>IF(ISBLANK($D174),,IF($G174&lt;&gt;0,"ЛОЖЬ","ИСТИНА"))</formula>
    </cfRule>
    <cfRule type="expression" dxfId="8230" priority="5528">
      <formula>_xlfn.ISFORMULA(G174)=TRUE</formula>
    </cfRule>
    <cfRule type="expression" dxfId="8229" priority="5527">
      <formula>IF(ISBLANK($D174),,IF($G174&lt;&gt;0,"ЛОЖЬ","ИСТИНА"))</formula>
    </cfRule>
    <cfRule type="expression" dxfId="8228" priority="5526">
      <formula>_xlfn.ISFORMULA(G174)=TRUE</formula>
    </cfRule>
    <cfRule type="expression" dxfId="8227" priority="5525">
      <formula>IF(ISBLANK($D174),,IF($G174&lt;&gt;0,"ЛОЖЬ","ИСТИНА"))</formula>
    </cfRule>
    <cfRule type="expression" dxfId="8226" priority="5524">
      <formula>_xlfn.ISFORMULA(G174)=TRUE</formula>
    </cfRule>
    <cfRule type="expression" dxfId="8225" priority="5523">
      <formula>IF(ISBLANK($D174),,IF($G174&lt;&gt;0,"ЛОЖЬ","ИСТИНА"))</formula>
    </cfRule>
    <cfRule type="expression" dxfId="8224" priority="5521">
      <formula>_xlfn.ISFORMULA(G174)=TRUE</formula>
    </cfRule>
    <cfRule type="expression" dxfId="8223" priority="5520">
      <formula>IF(ISBLANK($D174),,IF($G174&lt;&gt;0,"ЛОЖЬ","ИСТИНА"))</formula>
    </cfRule>
    <cfRule type="expression" dxfId="8222" priority="5519">
      <formula>_xlfn.ISFORMULA(G174)=TRUE</formula>
    </cfRule>
    <cfRule type="expression" dxfId="8221" priority="5518">
      <formula>IF(ISBLANK($D174),,IF($G174&lt;&gt;0,"ЛОЖЬ","ИСТИНА"))</formula>
    </cfRule>
    <cfRule type="expression" dxfId="8220" priority="5517">
      <formula>_xlfn.ISFORMULA(G174)=TRUE</formula>
    </cfRule>
    <cfRule type="expression" dxfId="8219" priority="5516">
      <formula>IF(ISBLANK($D174),,IF($G174&lt;&gt;0,"ЛОЖЬ","ИСТИНА"))</formula>
    </cfRule>
    <cfRule type="expression" dxfId="8218" priority="5514">
      <formula>_xlfn.ISFORMULA(G174)=TRUE</formula>
    </cfRule>
    <cfRule type="expression" dxfId="8217" priority="5513">
      <formula>IF(ISBLANK($D174),,IF($G174&lt;&gt;0,"ЛОЖЬ","ИСТИНА"))</formula>
    </cfRule>
    <cfRule type="expression" dxfId="8216" priority="5512">
      <formula>_xlfn.ISFORMULA(G174)=TRUE</formula>
    </cfRule>
    <cfRule type="expression" dxfId="8215" priority="5511">
      <formula>IF(ISBLANK($D174),,IF($G174&lt;&gt;0,"ЛОЖЬ","ИСТИНА"))</formula>
    </cfRule>
    <cfRule type="expression" dxfId="8214" priority="5510">
      <formula>_xlfn.ISFORMULA(G174)=TRUE</formula>
    </cfRule>
    <cfRule type="expression" dxfId="8213" priority="5509">
      <formula>IF(ISBLANK($D174),,IF($G174&lt;&gt;0,"ЛОЖЬ","ИСТИНА"))</formula>
    </cfRule>
    <cfRule type="expression" dxfId="8212" priority="5507">
      <formula>_xlfn.ISFORMULA(G174)=TRUE</formula>
    </cfRule>
    <cfRule type="expression" dxfId="8211" priority="5506">
      <formula>IF(ISBLANK($D174),,IF($G174&lt;&gt;0,"ЛОЖЬ","ИСТИНА"))</formula>
    </cfRule>
    <cfRule type="expression" dxfId="8210" priority="5505">
      <formula>_xlfn.ISFORMULA(G174)=TRUE</formula>
    </cfRule>
    <cfRule type="expression" dxfId="8209" priority="5504">
      <formula>IF(ISBLANK($D174),,IF($G174&lt;&gt;0,"ЛОЖЬ","ИСТИНА"))</formula>
    </cfRule>
    <cfRule type="expression" dxfId="8208" priority="5501">
      <formula>_xlfn.ISFORMULA(G174)=TRUE</formula>
    </cfRule>
    <cfRule type="expression" dxfId="8207" priority="5500">
      <formula>IF(ISBLANK($D174),,IF($G174&lt;&gt;0,"ЛОЖЬ","ИСТИНА"))</formula>
    </cfRule>
    <cfRule type="expression" dxfId="8206" priority="5499">
      <formula>_xlfn.ISFORMULA(G174)=TRUE</formula>
    </cfRule>
    <cfRule type="expression" dxfId="8205" priority="5498">
      <formula>IF(ISBLANK($D174),,IF($G174&lt;&gt;0,"ЛОЖЬ","ИСТИНА"))</formula>
    </cfRule>
    <cfRule type="expression" dxfId="8204" priority="5534">
      <formula>IF(ISBLANK($D174),,IF($G174&lt;&gt;0,"ЛОЖЬ","ИСТИНА"))</formula>
    </cfRule>
    <cfRule type="expression" dxfId="8203" priority="5625">
      <formula>_xlfn.ISFORMULA(G174)=TRUE</formula>
    </cfRule>
    <cfRule type="expression" dxfId="8202" priority="5623">
      <formula>IF(ISBLANK($D174),,IF($G174&lt;&gt;0,"ЛОЖЬ","ИСТИНА"))</formula>
    </cfRule>
    <cfRule type="expression" dxfId="8201" priority="5621">
      <formula>_xlfn.ISFORMULA(G174)=TRUE</formula>
    </cfRule>
    <cfRule type="expression" dxfId="8200" priority="5620">
      <formula>IF(ISBLANK($D174),,IF($G174&lt;&gt;0,"ЛОЖЬ","ИСТИНА"))</formula>
    </cfRule>
    <cfRule type="expression" dxfId="8199" priority="5619">
      <formula>_xlfn.ISFORMULA(G174)=TRUE</formula>
    </cfRule>
    <cfRule type="expression" dxfId="8198" priority="5618">
      <formula>IF(ISBLANK($D173),,IF($G174&lt;&gt;0,"ЛОЖЬ","ИСТИНА"))</formula>
    </cfRule>
    <cfRule type="expression" dxfId="8197" priority="5568">
      <formula>_xlfn.ISFORMULA(G174)=TRUE</formula>
    </cfRule>
    <cfRule type="expression" dxfId="8196" priority="5551">
      <formula>IF(ISBLANK($D174),,IF($G174&lt;&gt;0,"ЛОЖЬ","ИСТИНА"))</formula>
    </cfRule>
    <cfRule type="expression" dxfId="8195" priority="5550">
      <formula>_xlfn.ISFORMULA(G174)=TRUE</formula>
    </cfRule>
    <cfRule type="expression" dxfId="8194" priority="5549">
      <formula>IF(ISBLANK($D174),,IF($G174&lt;&gt;0,"ЛОЖЬ","ИСТИНА"))</formula>
    </cfRule>
    <cfRule type="expression" dxfId="8193" priority="5547">
      <formula>_xlfn.ISFORMULA(G174)=TRUE</formula>
    </cfRule>
    <cfRule type="expression" dxfId="8192" priority="5546">
      <formula>IF(ISBLANK($D174),,IF($G174&lt;&gt;0,"ЛОЖЬ","ИСТИНА"))</formula>
    </cfRule>
    <cfRule type="expression" dxfId="8191" priority="5545">
      <formula>_xlfn.ISFORMULA(G174)=TRUE</formula>
    </cfRule>
    <cfRule type="expression" dxfId="8190" priority="5544">
      <formula>IF(ISBLANK($D174),,IF($G174&lt;&gt;0,"ЛОЖЬ","ИСТИНА"))</formula>
    </cfRule>
    <cfRule type="expression" dxfId="8189" priority="5542">
      <formula>_xlfn.ISFORMULA(G174)=TRUE</formula>
    </cfRule>
    <cfRule type="expression" dxfId="8188" priority="5541">
      <formula>IF(ISBLANK($D174),,IF($G174&lt;&gt;0,"ЛОЖЬ","ИСТИНА"))</formula>
    </cfRule>
    <cfRule type="expression" dxfId="8187" priority="5540">
      <formula>_xlfn.ISFORMULA(G174)=TRUE</formula>
    </cfRule>
    <cfRule type="expression" dxfId="8186" priority="5539">
      <formula>IF(ISBLANK($D174),,IF($G174&lt;&gt;0,"ЛОЖЬ","ИСТИНА"))</formula>
    </cfRule>
    <cfRule type="expression" dxfId="8185" priority="5538">
      <formula>_xlfn.ISFORMULA(G174)=TRUE</formula>
    </cfRule>
  </conditionalFormatting>
  <conditionalFormatting sqref="G174:G175">
    <cfRule type="expression" dxfId="8184" priority="5449">
      <formula>_xlfn.ISFORMULA(G174)=TRUE</formula>
    </cfRule>
  </conditionalFormatting>
  <conditionalFormatting sqref="G175">
    <cfRule type="expression" dxfId="8183" priority="5370">
      <formula>IF(ISBLANK($D175),,IF($G175&lt;&gt;0,"ЛОЖЬ","ИСТИНА"))</formula>
    </cfRule>
    <cfRule type="expression" dxfId="8182" priority="5369">
      <formula>_xlfn.ISFORMULA(G175)=TRUE</formula>
    </cfRule>
    <cfRule type="expression" dxfId="8181" priority="5368">
      <formula>IF(ISBLANK($D175),,IF($G175&lt;&gt;0,"ЛОЖЬ","ИСТИНА"))</formula>
    </cfRule>
    <cfRule type="expression" dxfId="8180" priority="5345">
      <formula>_xlfn.ISFORMULA(G175)=TRUE</formula>
    </cfRule>
    <cfRule type="expression" dxfId="8179" priority="5340">
      <formula>IF(ISBLANK($D175),,IF($G175&lt;&gt;0,"ЛОЖЬ","ИСТИНА"))</formula>
    </cfRule>
    <cfRule type="expression" dxfId="8178" priority="5341">
      <formula>_xlfn.ISFORMULA(G175)=TRUE</formula>
    </cfRule>
    <cfRule type="expression" dxfId="8177" priority="5342">
      <formula>IF(ISBLANK($D175),,IF($G175&lt;&gt;0,"ЛОЖЬ","ИСТИНА"))</formula>
    </cfRule>
    <cfRule type="expression" dxfId="8176" priority="5343">
      <formula>_xlfn.ISFORMULA(G175)=TRUE</formula>
    </cfRule>
    <cfRule type="expression" dxfId="8175" priority="5366">
      <formula>_xlfn.ISFORMULA(G175)=TRUE</formula>
    </cfRule>
    <cfRule type="expression" dxfId="8174" priority="5365">
      <formula>IF(ISBLANK($D175),,IF($G175&lt;&gt;0,"ЛОЖЬ","ИСТИНА"))</formula>
    </cfRule>
    <cfRule type="expression" dxfId="8173" priority="5344">
      <formula>IF(ISBLANK($D175),,IF($G175&lt;&gt;0,"ЛОЖЬ","ИСТИНА"))</formula>
    </cfRule>
    <cfRule type="expression" dxfId="8172" priority="5322">
      <formula>IF(ISBLANK($D175),,IF($G175&lt;&gt;0,"ЛОЖЬ","ИСТИНА"))</formula>
    </cfRule>
    <cfRule type="expression" dxfId="8171" priority="5323">
      <formula>_xlfn.ISFORMULA(G175)=TRUE</formula>
    </cfRule>
    <cfRule type="expression" dxfId="8170" priority="5364">
      <formula>_xlfn.ISFORMULA(G175)=TRUE</formula>
    </cfRule>
    <cfRule type="expression" dxfId="8169" priority="5347">
      <formula>IF(ISBLANK($D175),,IF($G175&lt;&gt;0,"ЛОЖЬ","ИСТИНА"))</formula>
    </cfRule>
    <cfRule type="expression" dxfId="8168" priority="5348">
      <formula>_xlfn.ISFORMULA(G175)=TRUE</formula>
    </cfRule>
    <cfRule type="expression" dxfId="8167" priority="5349">
      <formula>IF(ISBLANK($D175),,IF($G175&lt;&gt;0,"ЛОЖЬ","ИСТИНА"))</formula>
    </cfRule>
    <cfRule type="expression" dxfId="8166" priority="5350">
      <formula>_xlfn.ISFORMULA(G175)=TRUE</formula>
    </cfRule>
    <cfRule type="expression" dxfId="8165" priority="5351">
      <formula>IF(ISBLANK($D175),,IF($G175&lt;&gt;0,"ЛОЖЬ","ИСТИНА"))</formula>
    </cfRule>
    <cfRule type="expression" dxfId="8164" priority="5352">
      <formula>_xlfn.ISFORMULA(G175)=TRUE</formula>
    </cfRule>
    <cfRule type="expression" dxfId="8163" priority="5354">
      <formula>IF(ISBLANK($D175),,IF($G175&lt;&gt;0,"ЛОЖЬ","ИСТИНА"))</formula>
    </cfRule>
    <cfRule type="expression" dxfId="8162" priority="5355">
      <formula>_xlfn.ISFORMULA(G175)=TRUE</formula>
    </cfRule>
    <cfRule type="expression" dxfId="8161" priority="5356">
      <formula>IF(ISBLANK($D175),,IF($G175&lt;&gt;0,"ЛОЖЬ","ИСТИНА"))</formula>
    </cfRule>
    <cfRule type="expression" dxfId="8160" priority="5324">
      <formula>IF(ISBLANK($D175),,IF($G175&lt;&gt;0,"ЛОЖЬ","ИСТИНА"))</formula>
    </cfRule>
    <cfRule type="expression" dxfId="8159" priority="5325">
      <formula>_xlfn.ISFORMULA(G175)=TRUE</formula>
    </cfRule>
    <cfRule type="expression" dxfId="8158" priority="5328">
      <formula>IF(ISBLANK($D175),,IF($G175&lt;&gt;0,"ЛОЖЬ","ИСТИНА"))</formula>
    </cfRule>
    <cfRule type="expression" dxfId="8157" priority="5447">
      <formula>IF(ISBLANK($D175),,IF($G175&lt;&gt;0,"ЛОЖЬ","ИСТИНА"))</formula>
    </cfRule>
    <cfRule type="expression" dxfId="8156" priority="5329">
      <formula>_xlfn.ISFORMULA(G175)=TRUE</formula>
    </cfRule>
    <cfRule type="expression" dxfId="8155" priority="5445">
      <formula>_xlfn.ISFORMULA(G175)=TRUE</formula>
    </cfRule>
    <cfRule type="expression" dxfId="8154" priority="5330">
      <formula>IF(ISBLANK($D175),,IF($G175&lt;&gt;0,"ЛОЖЬ","ИСТИНА"))</formula>
    </cfRule>
    <cfRule type="expression" dxfId="8153" priority="5331">
      <formula>_xlfn.ISFORMULA(G175)=TRUE</formula>
    </cfRule>
    <cfRule type="expression" dxfId="8152" priority="5444">
      <formula>IF(ISBLANK($D175),,IF($G175&lt;&gt;0,"ЛОЖЬ","ИСТИНА"))</formula>
    </cfRule>
    <cfRule type="expression" dxfId="8151" priority="5443">
      <formula>_xlfn.ISFORMULA(G175)=TRUE</formula>
    </cfRule>
    <cfRule type="expression" dxfId="8150" priority="5333">
      <formula>IF(ISBLANK($D175),,IF($G175&lt;&gt;0,"ЛОЖЬ","ИСТИНА"))</formula>
    </cfRule>
    <cfRule type="expression" dxfId="8149" priority="5442">
      <formula>IF(ISBLANK($D174),,IF($G175&lt;&gt;0,"ЛОЖЬ","ИСТИНА"))</formula>
    </cfRule>
    <cfRule type="expression" dxfId="8148" priority="5357">
      <formula>_xlfn.ISFORMULA(G175)=TRUE</formula>
    </cfRule>
    <cfRule type="expression" dxfId="8147" priority="5358">
      <formula>IF(ISBLANK($D175),,IF($G175&lt;&gt;0,"ЛОЖЬ","ИСТИНА"))</formula>
    </cfRule>
    <cfRule type="expression" dxfId="8146" priority="5373">
      <formula>IF(ISBLANK($D175),,IF($G175&lt;&gt;0,"ЛОЖЬ","ИСТИНА"))</formula>
    </cfRule>
    <cfRule type="expression" dxfId="8145" priority="5359">
      <formula>_xlfn.ISFORMULA(G175)=TRUE</formula>
    </cfRule>
    <cfRule type="expression" dxfId="8144" priority="5338">
      <formula>_xlfn.ISFORMULA(G175)=TRUE</formula>
    </cfRule>
    <cfRule type="expression" dxfId="8143" priority="5392">
      <formula>_xlfn.ISFORMULA(G175)=TRUE</formula>
    </cfRule>
    <cfRule type="expression" dxfId="8142" priority="5375">
      <formula>IF(ISBLANK($D175),,IF($G175&lt;&gt;0,"ЛОЖЬ","ИСТИНА"))</formula>
    </cfRule>
    <cfRule type="expression" dxfId="8141" priority="5334">
      <formula>_xlfn.ISFORMULA(G175)=TRUE</formula>
    </cfRule>
    <cfRule type="expression" dxfId="8140" priority="5374">
      <formula>_xlfn.ISFORMULA(G175)=TRUE</formula>
    </cfRule>
    <cfRule type="expression" dxfId="8139" priority="5361">
      <formula>IF(ISBLANK($D175),,IF($G175&lt;&gt;0,"ЛОЖЬ","ИСТИНА"))</formula>
    </cfRule>
    <cfRule type="expression" dxfId="8138" priority="5362">
      <formula>_xlfn.ISFORMULA(G175)=TRUE</formula>
    </cfRule>
    <cfRule type="expression" dxfId="8137" priority="5363">
      <formula>IF(ISBLANK($D175),,IF($G175&lt;&gt;0,"ЛОЖЬ","ИСТИНА"))</formula>
    </cfRule>
    <cfRule type="expression" dxfId="8136" priority="5371">
      <formula>_xlfn.ISFORMULA(G175)=TRUE</formula>
    </cfRule>
    <cfRule type="expression" dxfId="8135" priority="5335">
      <formula>IF(ISBLANK($D175),,IF($G175&lt;&gt;0,"ЛОЖЬ","ИСТИНА"))</formula>
    </cfRule>
    <cfRule type="expression" dxfId="8134" priority="5336">
      <formula>_xlfn.ISFORMULA(G175)=TRUE</formula>
    </cfRule>
    <cfRule type="expression" dxfId="8133" priority="5337">
      <formula>IF(ISBLANK($D175),,IF($G175&lt;&gt;0,"ЛОЖЬ","ИСТИНА"))</formula>
    </cfRule>
  </conditionalFormatting>
  <conditionalFormatting sqref="G175:G178">
    <cfRule type="expression" dxfId="8132" priority="4923">
      <formula>_xlfn.ISFORMULA(G175)=TRUE</formula>
    </cfRule>
  </conditionalFormatting>
  <conditionalFormatting sqref="G176">
    <cfRule type="expression" dxfId="8131" priority="4831">
      <formula>_xlfn.ISFORMULA(G176)=TRUE</formula>
    </cfRule>
    <cfRule type="expression" dxfId="8130" priority="4830">
      <formula>IF(ISBLANK($D176),,IF($G176&lt;&gt;0,"ЛОЖЬ","ИСТИНА"))</formula>
    </cfRule>
    <cfRule type="expression" dxfId="8129" priority="4839">
      <formula>IF(ISBLANK($D176),,IF($G176&lt;&gt;0,"ЛОЖЬ","ИСТИНА"))</formula>
    </cfRule>
    <cfRule type="expression" dxfId="8128" priority="4829">
      <formula>_xlfn.ISFORMULA(G176)=TRUE</formula>
    </cfRule>
    <cfRule type="expression" dxfId="8127" priority="4840">
      <formula>_xlfn.ISFORMULA(G176)=TRUE</formula>
    </cfRule>
    <cfRule type="expression" dxfId="8126" priority="4826">
      <formula>_xlfn.ISFORMULA(G176)=TRUE</formula>
    </cfRule>
    <cfRule type="expression" dxfId="8125" priority="4825">
      <formula>IF(ISBLANK($D176),,IF($G176&lt;&gt;0,"ЛОЖЬ","ИСТИНА"))</formula>
    </cfRule>
    <cfRule type="expression" dxfId="8124" priority="4824">
      <formula>_xlfn.ISFORMULA(G176)=TRUE</formula>
    </cfRule>
    <cfRule type="expression" dxfId="8123" priority="4823">
      <formula>IF(ISBLANK($D176),,IF($G176&lt;&gt;0,"ЛОЖЬ","ИСТИНА"))</formula>
    </cfRule>
    <cfRule type="expression" dxfId="8122" priority="4822">
      <formula>_xlfn.ISFORMULA(G176)=TRUE</formula>
    </cfRule>
    <cfRule type="expression" dxfId="8121" priority="4821">
      <formula>IF(ISBLANK($D176),,IF($G176&lt;&gt;0,"ЛОЖЬ","ИСТИНА"))</formula>
    </cfRule>
    <cfRule type="expression" dxfId="8120" priority="4819">
      <formula>_xlfn.ISFORMULA(G176)=TRUE</formula>
    </cfRule>
    <cfRule type="expression" dxfId="8119" priority="4818">
      <formula>IF(ISBLANK($D176),,IF($G176&lt;&gt;0,"ЛОЖЬ","ИСТИНА"))</formula>
    </cfRule>
    <cfRule type="expression" dxfId="8118" priority="4817">
      <formula>_xlfn.ISFORMULA(G176)=TRUE</formula>
    </cfRule>
    <cfRule type="expression" dxfId="8117" priority="4828">
      <formula>IF(ISBLANK($D176),,IF($G176&lt;&gt;0,"ЛОЖЬ","ИСТИНА"))</formula>
    </cfRule>
    <cfRule type="expression" dxfId="8116" priority="4816">
      <formula>IF(ISBLANK($D176),,IF($G176&lt;&gt;0,"ЛОЖЬ","ИСТИНА"))</formula>
    </cfRule>
    <cfRule type="expression" dxfId="8115" priority="4842">
      <formula>IF(ISBLANK($D176),,IF($G176&lt;&gt;0,"ЛОЖЬ","ИСТИНА"))</formula>
    </cfRule>
    <cfRule type="expression" dxfId="8114" priority="4843">
      <formula>_xlfn.ISFORMULA(G176)=TRUE</formula>
    </cfRule>
    <cfRule type="expression" dxfId="8113" priority="4802">
      <formula>IF(ISBLANK($D176),,IF($G176&lt;&gt;0,"ЛОЖЬ","ИСТИНА"))</formula>
    </cfRule>
    <cfRule type="expression" dxfId="8112" priority="4798">
      <formula>IF(ISBLANK($D176),,IF($G176&lt;&gt;0,"ЛОЖЬ","ИСТИНА"))</formula>
    </cfRule>
    <cfRule type="expression" dxfId="8111" priority="4844">
      <formula>IF(ISBLANK($D176),,IF($G176&lt;&gt;0,"ЛОЖЬ","ИСТИНА"))</formula>
    </cfRule>
    <cfRule type="expression" dxfId="8110" priority="4845">
      <formula>_xlfn.ISFORMULA(G176)=TRUE</formula>
    </cfRule>
    <cfRule type="expression" dxfId="8109" priority="4848">
      <formula>_xlfn.ISFORMULA(G176)=TRUE</formula>
    </cfRule>
    <cfRule type="expression" dxfId="8108" priority="4811">
      <formula>IF(ISBLANK($D176),,IF($G176&lt;&gt;0,"ЛОЖЬ","ИСТИНА"))</formula>
    </cfRule>
    <cfRule type="expression" dxfId="8107" priority="4812">
      <formula>_xlfn.ISFORMULA(G176)=TRUE</formula>
    </cfRule>
    <cfRule type="expression" dxfId="8106" priority="4803">
      <formula>_xlfn.ISFORMULA(G176)=TRUE</formula>
    </cfRule>
    <cfRule type="expression" dxfId="8105" priority="4797">
      <formula>_xlfn.ISFORMULA(G176)=TRUE</formula>
    </cfRule>
    <cfRule type="expression" dxfId="8104" priority="4796">
      <formula>IF(ISBLANK($D176),,IF($G176&lt;&gt;0,"ЛОЖЬ","ИСТИНА"))</formula>
    </cfRule>
    <cfRule type="expression" dxfId="8103" priority="4795">
      <formula>_xlfn.ISFORMULA(G176)=TRUE</formula>
    </cfRule>
    <cfRule type="expression" dxfId="8102" priority="4810">
      <formula>_xlfn.ISFORMULA(G176)=TRUE</formula>
    </cfRule>
    <cfRule type="expression" dxfId="8101" priority="4849">
      <formula>IF(ISBLANK($D176),,IF($G176&lt;&gt;0,"ЛОЖЬ","ИСТИНА"))</formula>
    </cfRule>
    <cfRule type="expression" dxfId="8100" priority="4804">
      <formula>IF(ISBLANK($D176),,IF($G176&lt;&gt;0,"ЛОЖЬ","ИСТИНА"))</formula>
    </cfRule>
    <cfRule type="expression" dxfId="8099" priority="4805">
      <formula>_xlfn.ISFORMULA(G176)=TRUE</formula>
    </cfRule>
    <cfRule type="expression" dxfId="8098" priority="4807">
      <formula>IF(ISBLANK($D176),,IF($G176&lt;&gt;0,"ЛОЖЬ","ИСТИНА"))</formula>
    </cfRule>
    <cfRule type="expression" dxfId="8097" priority="4808">
      <formula>_xlfn.ISFORMULA(G176)=TRUE</formula>
    </cfRule>
    <cfRule type="expression" dxfId="8096" priority="4814">
      <formula>IF(ISBLANK($D176),,IF($G176&lt;&gt;0,"ЛОЖЬ","ИСТИНА"))</formula>
    </cfRule>
    <cfRule type="expression" dxfId="8095" priority="4847">
      <formula>IF(ISBLANK($D176),,IF($G176&lt;&gt;0,"ЛОЖЬ","ИСТИНА"))</formula>
    </cfRule>
    <cfRule type="expression" dxfId="8094" priority="4866">
      <formula>_xlfn.ISFORMULA(G176)=TRUE</formula>
    </cfRule>
    <cfRule type="expression" dxfId="8093" priority="4832">
      <formula>IF(ISBLANK($D176),,IF($G176&lt;&gt;0,"ЛОЖЬ","ИСТИНА"))</formula>
    </cfRule>
    <cfRule type="expression" dxfId="8092" priority="4921">
      <formula>IF(ISBLANK($D176),,IF($G176&lt;&gt;0,"ЛОЖЬ","ИСТИНА"))</formula>
    </cfRule>
    <cfRule type="expression" dxfId="8091" priority="4919">
      <formula>_xlfn.ISFORMULA(G176)=TRUE</formula>
    </cfRule>
    <cfRule type="expression" dxfId="8090" priority="4918">
      <formula>IF(ISBLANK($D176),,IF($G176&lt;&gt;0,"ЛОЖЬ","ИСТИНА"))</formula>
    </cfRule>
    <cfRule type="expression" dxfId="8089" priority="4917">
      <formula>_xlfn.ISFORMULA(G176)=TRUE</formula>
    </cfRule>
    <cfRule type="expression" dxfId="8088" priority="4916">
      <formula>IF(ISBLANK($D175),,IF($G176&lt;&gt;0,"ЛОЖЬ","ИСТИНА"))</formula>
    </cfRule>
    <cfRule type="expression" dxfId="8087" priority="4815">
      <formula>_xlfn.ISFORMULA(G176)=TRUE</formula>
    </cfRule>
    <cfRule type="expression" dxfId="8086" priority="4799">
      <formula>_xlfn.ISFORMULA(G176)=TRUE</formula>
    </cfRule>
    <cfRule type="expression" dxfId="8085" priority="4809">
      <formula>IF(ISBLANK($D176),,IF($G176&lt;&gt;0,"ЛОЖЬ","ИСТИНА"))</formula>
    </cfRule>
    <cfRule type="expression" dxfId="8084" priority="4838">
      <formula>_xlfn.ISFORMULA(G176)=TRUE</formula>
    </cfRule>
    <cfRule type="expression" dxfId="8083" priority="4837">
      <formula>IF(ISBLANK($D176),,IF($G176&lt;&gt;0,"ЛОЖЬ","ИСТИНА"))</formula>
    </cfRule>
    <cfRule type="expression" dxfId="8082" priority="4836">
      <formula>_xlfn.ISFORMULA(G176)=TRUE</formula>
    </cfRule>
    <cfRule type="expression" dxfId="8081" priority="4835">
      <formula>IF(ISBLANK($D176),,IF($G176&lt;&gt;0,"ЛОЖЬ","ИСТИНА"))</formula>
    </cfRule>
    <cfRule type="expression" dxfId="8080" priority="4833">
      <formula>_xlfn.ISFORMULA(G176)=TRUE</formula>
    </cfRule>
  </conditionalFormatting>
  <conditionalFormatting sqref="G177:G178">
    <cfRule type="expression" dxfId="8079" priority="5174">
      <formula>_xlfn.ISFORMULA(G177)=TRUE</formula>
    </cfRule>
    <cfRule type="expression" dxfId="8078" priority="5273">
      <formula>_xlfn.ISFORMULA(G177)=TRUE</formula>
    </cfRule>
    <cfRule type="expression" dxfId="8077" priority="5271">
      <formula>IF(ISBLANK($D177),,IF($G177&lt;&gt;0,"ЛОЖЬ","ИСТИНА"))</formula>
    </cfRule>
    <cfRule type="expression" dxfId="8076" priority="5269">
      <formula>_xlfn.ISFORMULA(G177)=TRUE</formula>
    </cfRule>
    <cfRule type="expression" dxfId="8075" priority="5268">
      <formula>IF(ISBLANK($D177),,IF($G177&lt;&gt;0,"ЛОЖЬ","ИСТИНА"))</formula>
    </cfRule>
    <cfRule type="expression" dxfId="8074" priority="5267">
      <formula>_xlfn.ISFORMULA(G177)=TRUE</formula>
    </cfRule>
    <cfRule type="expression" dxfId="8073" priority="5266">
      <formula>IF(ISBLANK($D176),,IF($G177&lt;&gt;0,"ЛОЖЬ","ИСТИНА"))</formula>
    </cfRule>
    <cfRule type="expression" dxfId="8072" priority="5216">
      <formula>_xlfn.ISFORMULA(G177)=TRUE</formula>
    </cfRule>
    <cfRule type="expression" dxfId="8071" priority="5199">
      <formula>IF(ISBLANK($D177),,IF($G177&lt;&gt;0,"ЛОЖЬ","ИСТИНА"))</formula>
    </cfRule>
    <cfRule type="expression" dxfId="8070" priority="5198">
      <formula>_xlfn.ISFORMULA(G177)=TRUE</formula>
    </cfRule>
    <cfRule type="expression" dxfId="8069" priority="5197">
      <formula>IF(ISBLANK($D177),,IF($G177&lt;&gt;0,"ЛОЖЬ","ИСТИНА"))</formula>
    </cfRule>
    <cfRule type="expression" dxfId="8068" priority="5195">
      <formula>_xlfn.ISFORMULA(G177)=TRUE</formula>
    </cfRule>
    <cfRule type="expression" dxfId="8067" priority="5194">
      <formula>IF(ISBLANK($D177),,IF($G177&lt;&gt;0,"ЛОЖЬ","ИСТИНА"))</formula>
    </cfRule>
    <cfRule type="expression" dxfId="8066" priority="5193">
      <formula>_xlfn.ISFORMULA(G177)=TRUE</formula>
    </cfRule>
    <cfRule type="expression" dxfId="8065" priority="5192">
      <formula>IF(ISBLANK($D177),,IF($G177&lt;&gt;0,"ЛОЖЬ","ИСТИНА"))</formula>
    </cfRule>
    <cfRule type="expression" dxfId="8064" priority="5190">
      <formula>_xlfn.ISFORMULA(G177)=TRUE</formula>
    </cfRule>
    <cfRule type="expression" dxfId="8063" priority="5189">
      <formula>IF(ISBLANK($D177),,IF($G177&lt;&gt;0,"ЛОЖЬ","ИСТИНА"))</formula>
    </cfRule>
    <cfRule type="expression" dxfId="8062" priority="5188">
      <formula>_xlfn.ISFORMULA(G177)=TRUE</formula>
    </cfRule>
    <cfRule type="expression" dxfId="8061" priority="5187">
      <formula>IF(ISBLANK($D177),,IF($G177&lt;&gt;0,"ЛОЖЬ","ИСТИНА"))</formula>
    </cfRule>
    <cfRule type="expression" dxfId="8060" priority="5186">
      <formula>_xlfn.ISFORMULA(G177)=TRUE</formula>
    </cfRule>
    <cfRule type="expression" dxfId="8059" priority="5185">
      <formula>IF(ISBLANK($D177),,IF($G177&lt;&gt;0,"ЛОЖЬ","ИСТИНА"))</formula>
    </cfRule>
    <cfRule type="expression" dxfId="8058" priority="5183">
      <formula>_xlfn.ISFORMULA(G177)=TRUE</formula>
    </cfRule>
    <cfRule type="expression" dxfId="8057" priority="5182">
      <formula>IF(ISBLANK($D177),,IF($G177&lt;&gt;0,"ЛОЖЬ","ИСТИНА"))</formula>
    </cfRule>
    <cfRule type="expression" dxfId="8056" priority="5181">
      <formula>_xlfn.ISFORMULA(G177)=TRUE</formula>
    </cfRule>
    <cfRule type="expression" dxfId="8055" priority="5180">
      <formula>IF(ISBLANK($D177),,IF($G177&lt;&gt;0,"ЛОЖЬ","ИСТИНА"))</formula>
    </cfRule>
    <cfRule type="expression" dxfId="8054" priority="5179">
      <formula>_xlfn.ISFORMULA(G177)=TRUE</formula>
    </cfRule>
    <cfRule type="expression" dxfId="8053" priority="5178">
      <formula>IF(ISBLANK($D177),,IF($G177&lt;&gt;0,"ЛОЖЬ","ИСТИНА"))</formula>
    </cfRule>
    <cfRule type="expression" dxfId="8052" priority="5176">
      <formula>_xlfn.ISFORMULA(G177)=TRUE</formula>
    </cfRule>
    <cfRule type="expression" dxfId="8051" priority="5175">
      <formula>IF(ISBLANK($D177),,IF($G177&lt;&gt;0,"ЛОЖЬ","ИСТИНА"))</formula>
    </cfRule>
    <cfRule type="expression" dxfId="8050" priority="5173">
      <formula>IF(ISBLANK($D177),,IF($G177&lt;&gt;0,"ЛОЖЬ","ИСТИНА"))</formula>
    </cfRule>
    <cfRule type="expression" dxfId="8049" priority="5172">
      <formula>_xlfn.ISFORMULA(G177)=TRUE</formula>
    </cfRule>
    <cfRule type="expression" dxfId="8048" priority="5171">
      <formula>IF(ISBLANK($D177),,IF($G177&lt;&gt;0,"ЛОЖЬ","ИСТИНА"))</formula>
    </cfRule>
    <cfRule type="expression" dxfId="8047" priority="5152">
      <formula>IF(ISBLANK($D177),,IF($G177&lt;&gt;0,"ЛОЖЬ","ИСТИНА"))</formula>
    </cfRule>
    <cfRule type="expression" dxfId="8046" priority="5169">
      <formula>_xlfn.ISFORMULA(G177)=TRUE</formula>
    </cfRule>
    <cfRule type="expression" dxfId="8045" priority="5168">
      <formula>IF(ISBLANK($D177),,IF($G177&lt;&gt;0,"ЛОЖЬ","ИСТИНА"))</formula>
    </cfRule>
    <cfRule type="expression" dxfId="8044" priority="5167">
      <formula>_xlfn.ISFORMULA(G177)=TRUE</formula>
    </cfRule>
    <cfRule type="expression" dxfId="8043" priority="5166">
      <formula>IF(ISBLANK($D177),,IF($G177&lt;&gt;0,"ЛОЖЬ","ИСТИНА"))</formula>
    </cfRule>
    <cfRule type="expression" dxfId="8042" priority="5165">
      <formula>_xlfn.ISFORMULA(G177)=TRUE</formula>
    </cfRule>
    <cfRule type="expression" dxfId="8041" priority="5164">
      <formula>IF(ISBLANK($D177),,IF($G177&lt;&gt;0,"ЛОЖЬ","ИСТИНА"))</formula>
    </cfRule>
    <cfRule type="expression" dxfId="8040" priority="5149">
      <formula>_xlfn.ISFORMULA(G177)=TRUE</formula>
    </cfRule>
    <cfRule type="expression" dxfId="8039" priority="5148">
      <formula>IF(ISBLANK($D177),,IF($G177&lt;&gt;0,"ЛОЖЬ","ИСТИНА"))</formula>
    </cfRule>
    <cfRule type="expression" dxfId="8038" priority="5162">
      <formula>_xlfn.ISFORMULA(G177)=TRUE</formula>
    </cfRule>
    <cfRule type="expression" dxfId="8037" priority="5161">
      <formula>IF(ISBLANK($D177),,IF($G177&lt;&gt;0,"ЛОЖЬ","ИСТИНА"))</formula>
    </cfRule>
    <cfRule type="expression" dxfId="8036" priority="5160">
      <formula>_xlfn.ISFORMULA(G177)=TRUE</formula>
    </cfRule>
    <cfRule type="expression" dxfId="8035" priority="5159">
      <formula>IF(ISBLANK($D177),,IF($G177&lt;&gt;0,"ЛОЖЬ","ИСТИНА"))</formula>
    </cfRule>
    <cfRule type="expression" dxfId="8034" priority="5158">
      <formula>_xlfn.ISFORMULA(G177)=TRUE</formula>
    </cfRule>
    <cfRule type="expression" dxfId="8033" priority="5157">
      <formula>IF(ISBLANK($D177),,IF($G177&lt;&gt;0,"ЛОЖЬ","ИСТИНА"))</formula>
    </cfRule>
    <cfRule type="expression" dxfId="8032" priority="5147">
      <formula>_xlfn.ISFORMULA(G177)=TRUE</formula>
    </cfRule>
    <cfRule type="expression" dxfId="8031" priority="5146">
      <formula>IF(ISBLANK($D177),,IF($G177&lt;&gt;0,"ЛОЖЬ","ИСТИНА"))</formula>
    </cfRule>
    <cfRule type="expression" dxfId="8030" priority="5155">
      <formula>_xlfn.ISFORMULA(G177)=TRUE</formula>
    </cfRule>
    <cfRule type="expression" dxfId="8029" priority="5154">
      <formula>IF(ISBLANK($D177),,IF($G177&lt;&gt;0,"ЛОЖЬ","ИСТИНА"))</formula>
    </cfRule>
    <cfRule type="expression" dxfId="8028" priority="5153">
      <formula>_xlfn.ISFORMULA(G177)=TRUE</formula>
    </cfRule>
  </conditionalFormatting>
  <conditionalFormatting sqref="G179">
    <cfRule type="expression" dxfId="8027" priority="4634">
      <formula>_xlfn.ISFORMULA(G179)=TRUE</formula>
    </cfRule>
    <cfRule type="expression" dxfId="8026" priority="4633">
      <formula>IF(ISBLANK($D179),,IF($G179&lt;&gt;0,"ЛОЖЬ","ИСТИНА"))</formula>
    </cfRule>
    <cfRule type="expression" dxfId="8025" priority="4622">
      <formula>IF(ISBLANK($D179),,IF($G179&lt;&gt;0,"ЛОЖЬ","ИСТИНА"))</formula>
    </cfRule>
    <cfRule type="expression" dxfId="8024" priority="4650">
      <formula>_xlfn.ISFORMULA(G179)=TRUE</formula>
    </cfRule>
    <cfRule type="expression" dxfId="8023" priority="4649">
      <formula>IF(ISBLANK($D179),,IF($G179&lt;&gt;0,"ЛОЖЬ","ИСТИНА"))</formula>
    </cfRule>
    <cfRule type="expression" dxfId="8022" priority="4655">
      <formula>_xlfn.ISFORMULA(G179)=TRUE</formula>
    </cfRule>
    <cfRule type="expression" dxfId="8021" priority="4654">
      <formula>IF(ISBLANK($D179),,IF($G179&lt;&gt;0,"ЛОЖЬ","ИСТИНА"))</formula>
    </cfRule>
    <cfRule type="expression" dxfId="8020" priority="4621">
      <formula>_xlfn.ISFORMULA(G179)=TRUE</formula>
    </cfRule>
    <cfRule type="expression" dxfId="8019" priority="4742">
      <formula>IF(ISBLANK($D178),,IF($G179&lt;&gt;0,"ЛОЖЬ","ИСТИНА"))</formula>
    </cfRule>
    <cfRule type="expression" dxfId="8018" priority="4743">
      <formula>_xlfn.ISFORMULA(G179)=TRUE</formula>
    </cfRule>
    <cfRule type="expression" dxfId="8017" priority="4668">
      <formula>IF(ISBLANK($D179),,IF($G179&lt;&gt;0,"ЛОЖЬ","ИСТИНА"))</formula>
    </cfRule>
    <cfRule type="expression" dxfId="8016" priority="4666">
      <formula>_xlfn.ISFORMULA(G179)=TRUE</formula>
    </cfRule>
    <cfRule type="expression" dxfId="8015" priority="4652">
      <formula>_xlfn.ISFORMULA(G179)=TRUE</formula>
    </cfRule>
    <cfRule type="expression" dxfId="8014" priority="4631">
      <formula>_xlfn.ISFORMULA(G179)=TRUE</formula>
    </cfRule>
    <cfRule type="expression" dxfId="8013" priority="4630">
      <formula>IF(ISBLANK($D179),,IF($G179&lt;&gt;0,"ЛОЖЬ","ИСТИНА"))</formula>
    </cfRule>
    <cfRule type="expression" dxfId="8012" priority="4744">
      <formula>IF(ISBLANK($D179),,IF($G179&lt;&gt;0,"ЛОЖЬ","ИСТИНА"))</formula>
    </cfRule>
    <cfRule type="expression" dxfId="8011" priority="4745">
      <formula>_xlfn.ISFORMULA(G179)=TRUE</formula>
    </cfRule>
    <cfRule type="expression" dxfId="8010" priority="4629">
      <formula>_xlfn.ISFORMULA(G179)=TRUE</formula>
    </cfRule>
    <cfRule type="expression" dxfId="8009" priority="4661">
      <formula>IF(ISBLANK($D179),,IF($G179&lt;&gt;0,"ЛОЖЬ","ИСТИНА"))</formula>
    </cfRule>
    <cfRule type="expression" dxfId="8008" priority="4665">
      <formula>IF(ISBLANK($D179),,IF($G179&lt;&gt;0,"ЛОЖЬ","ИСТИНА"))</formula>
    </cfRule>
    <cfRule type="expression" dxfId="8007" priority="4675">
      <formula>IF(ISBLANK($D179),,IF($G179&lt;&gt;0,"ЛОЖЬ","ИСТИНА"))</formula>
    </cfRule>
    <cfRule type="expression" dxfId="8006" priority="4692">
      <formula>_xlfn.ISFORMULA(G179)=TRUE</formula>
    </cfRule>
    <cfRule type="expression" dxfId="8005" priority="4628">
      <formula>IF(ISBLANK($D179),,IF($G179&lt;&gt;0,"ЛОЖЬ","ИСТИНА"))</formula>
    </cfRule>
    <cfRule type="expression" dxfId="8004" priority="4659">
      <formula>_xlfn.ISFORMULA(G179)=TRUE</formula>
    </cfRule>
    <cfRule type="expression" dxfId="8003" priority="4747">
      <formula>IF(ISBLANK($D179),,IF($G179&lt;&gt;0,"ЛОЖЬ","ИСТИНА"))</formula>
    </cfRule>
    <cfRule type="expression" dxfId="8002" priority="4674">
      <formula>_xlfn.ISFORMULA(G179)=TRUE</formula>
    </cfRule>
    <cfRule type="expression" dxfId="8001" priority="4642">
      <formula>IF(ISBLANK($D179),,IF($G179&lt;&gt;0,"ЛОЖЬ","ИСТИНА"))</formula>
    </cfRule>
    <cfRule type="expression" dxfId="8000" priority="4645">
      <formula>_xlfn.ISFORMULA(G179)=TRUE</formula>
    </cfRule>
    <cfRule type="expression" dxfId="7999" priority="4625">
      <formula>_xlfn.ISFORMULA(G179)=TRUE</formula>
    </cfRule>
    <cfRule type="expression" dxfId="7998" priority="4664">
      <formula>_xlfn.ISFORMULA(G179)=TRUE</formula>
    </cfRule>
    <cfRule type="expression" dxfId="7997" priority="4624">
      <formula>IF(ISBLANK($D179),,IF($G179&lt;&gt;0,"ЛОЖЬ","ИСТИНА"))</formula>
    </cfRule>
    <cfRule type="expression" dxfId="7996" priority="4663">
      <formula>IF(ISBLANK($D179),,IF($G179&lt;&gt;0,"ЛОЖЬ","ИСТИНА"))</formula>
    </cfRule>
    <cfRule type="expression" dxfId="7995" priority="4662">
      <formula>_xlfn.ISFORMULA(G179)=TRUE</formula>
    </cfRule>
    <cfRule type="expression" dxfId="7994" priority="4647">
      <formula>IF(ISBLANK($D179),,IF($G179&lt;&gt;0,"ЛОЖЬ","ИСТИНА"))</formula>
    </cfRule>
    <cfRule type="expression" dxfId="7993" priority="4648">
      <formula>_xlfn.ISFORMULA(G179)=TRUE</formula>
    </cfRule>
    <cfRule type="expression" dxfId="7992" priority="4651">
      <formula>IF(ISBLANK($D179),,IF($G179&lt;&gt;0,"ЛОЖЬ","ИСТИНА"))</formula>
    </cfRule>
    <cfRule type="expression" dxfId="7991" priority="4623">
      <formula>_xlfn.ISFORMULA(G179)=TRUE</formula>
    </cfRule>
    <cfRule type="expression" dxfId="7990" priority="4656">
      <formula>IF(ISBLANK($D179),,IF($G179&lt;&gt;0,"ЛОЖЬ","ИСТИНА"))</formula>
    </cfRule>
    <cfRule type="expression" dxfId="7989" priority="4669">
      <formula>_xlfn.ISFORMULA(G179)=TRUE</formula>
    </cfRule>
    <cfRule type="expression" dxfId="7988" priority="4657">
      <formula>_xlfn.ISFORMULA(G179)=TRUE</formula>
    </cfRule>
    <cfRule type="expression" dxfId="7987" priority="4644">
      <formula>IF(ISBLANK($D179),,IF($G179&lt;&gt;0,"ЛОЖЬ","ИСТИНА"))</formula>
    </cfRule>
    <cfRule type="expression" dxfId="7986" priority="4643">
      <formula>_xlfn.ISFORMULA(G179)=TRUE</formula>
    </cfRule>
    <cfRule type="expression" dxfId="7985" priority="4641">
      <formula>_xlfn.ISFORMULA(G179)=TRUE</formula>
    </cfRule>
    <cfRule type="expression" dxfId="7984" priority="4640">
      <formula>IF(ISBLANK($D179),,IF($G179&lt;&gt;0,"ЛОЖЬ","ИСТИНА"))</formula>
    </cfRule>
    <cfRule type="expression" dxfId="7983" priority="4638">
      <formula>_xlfn.ISFORMULA(G179)=TRUE</formula>
    </cfRule>
    <cfRule type="expression" dxfId="7982" priority="4637">
      <formula>IF(ISBLANK($D179),,IF($G179&lt;&gt;0,"ЛОЖЬ","ИСТИНА"))</formula>
    </cfRule>
    <cfRule type="expression" dxfId="7981" priority="4658">
      <formula>IF(ISBLANK($D179),,IF($G179&lt;&gt;0,"ЛОЖЬ","ИСТИНА"))</formula>
    </cfRule>
    <cfRule type="expression" dxfId="7980" priority="4670">
      <formula>IF(ISBLANK($D179),,IF($G179&lt;&gt;0,"ЛОЖЬ","ИСТИНА"))</formula>
    </cfRule>
    <cfRule type="expression" dxfId="7979" priority="4671">
      <formula>_xlfn.ISFORMULA(G179)=TRUE</formula>
    </cfRule>
    <cfRule type="expression" dxfId="7978" priority="4636">
      <formula>_xlfn.ISFORMULA(G179)=TRUE</formula>
    </cfRule>
    <cfRule type="expression" dxfId="7977" priority="4635">
      <formula>IF(ISBLANK($D179),,IF($G179&lt;&gt;0,"ЛОЖЬ","ИСТИНА"))</formula>
    </cfRule>
    <cfRule type="expression" dxfId="7976" priority="4673">
      <formula>IF(ISBLANK($D179),,IF($G179&lt;&gt;0,"ЛОЖЬ","ИСТИНА"))</formula>
    </cfRule>
  </conditionalFormatting>
  <conditionalFormatting sqref="G179:G185">
    <cfRule type="expression" dxfId="7975" priority="4749">
      <formula>_xlfn.ISFORMULA(G179)=TRUE</formula>
    </cfRule>
  </conditionalFormatting>
  <conditionalFormatting sqref="G180:G185">
    <cfRule type="expression" dxfId="7974" priority="5009">
      <formula>IF(ISBLANK($D180),,IF($G180&lt;&gt;0,"ЛОЖЬ","ИСТИНА"))</formula>
    </cfRule>
    <cfRule type="expression" dxfId="7973" priority="5007">
      <formula>_xlfn.ISFORMULA(G180)=TRUE</formula>
    </cfRule>
    <cfRule type="expression" dxfId="7972" priority="5006">
      <formula>IF(ISBLANK($D180),,IF($G180&lt;&gt;0,"ЛОЖЬ","ИСТИНА"))</formula>
    </cfRule>
    <cfRule type="expression" dxfId="7971" priority="5005">
      <formula>_xlfn.ISFORMULA(G180)=TRUE</formula>
    </cfRule>
    <cfRule type="expression" dxfId="7970" priority="5004">
      <formula>IF(ISBLANK($D180),,IF($G180&lt;&gt;0,"ЛОЖЬ","ИСТИНА"))</formula>
    </cfRule>
    <cfRule type="expression" dxfId="7969" priority="5003">
      <formula>_xlfn.ISFORMULA(G180)=TRUE</formula>
    </cfRule>
    <cfRule type="expression" dxfId="7968" priority="5002">
      <formula>IF(ISBLANK($D180),,IF($G180&lt;&gt;0,"ЛОЖЬ","ИСТИНА"))</formula>
    </cfRule>
    <cfRule type="expression" dxfId="7967" priority="4983">
      <formula>IF(ISBLANK($D180),,IF($G180&lt;&gt;0,"ЛОЖЬ","ИСТИНА"))</formula>
    </cfRule>
    <cfRule type="expression" dxfId="7966" priority="4982">
      <formula>_xlfn.ISFORMULA(G180)=TRUE</formula>
    </cfRule>
    <cfRule type="expression" dxfId="7965" priority="4981">
      <formula>IF(ISBLANK($D180),,IF($G180&lt;&gt;0,"ЛОЖЬ","ИСТИНА"))</formula>
    </cfRule>
    <cfRule type="expression" dxfId="7964" priority="4979">
      <formula>_xlfn.ISFORMULA(G180)=TRUE</formula>
    </cfRule>
    <cfRule type="expression" dxfId="7963" priority="4978">
      <formula>IF(ISBLANK($D180),,IF($G180&lt;&gt;0,"ЛОЖЬ","ИСТИНА"))</formula>
    </cfRule>
    <cfRule type="expression" dxfId="7962" priority="5000">
      <formula>_xlfn.ISFORMULA(G180)=TRUE</formula>
    </cfRule>
    <cfRule type="expression" dxfId="7961" priority="4971">
      <formula>_xlfn.ISFORMULA(G180)=TRUE</formula>
    </cfRule>
    <cfRule type="expression" dxfId="7960" priority="4970">
      <formula>IF(ISBLANK($D180),,IF($G180&lt;&gt;0,"ЛОЖЬ","ИСТИНА"))</formula>
    </cfRule>
    <cfRule type="expression" dxfId="7959" priority="4991">
      <formula>_xlfn.ISFORMULA(G180)=TRUE</formula>
    </cfRule>
    <cfRule type="expression" dxfId="7958" priority="4999">
      <formula>IF(ISBLANK($D180),,IF($G180&lt;&gt;0,"ЛОЖЬ","ИСТИНА"))</formula>
    </cfRule>
    <cfRule type="expression" dxfId="7957" priority="4998">
      <formula>_xlfn.ISFORMULA(G180)=TRUE</formula>
    </cfRule>
    <cfRule type="expression" dxfId="7956" priority="4997">
      <formula>IF(ISBLANK($D180),,IF($G180&lt;&gt;0,"ЛОЖЬ","ИСТИНА"))</formula>
    </cfRule>
    <cfRule type="expression" dxfId="7955" priority="4996">
      <formula>_xlfn.ISFORMULA(G180)=TRUE</formula>
    </cfRule>
    <cfRule type="expression" dxfId="7954" priority="4995">
      <formula>IF(ISBLANK($D180),,IF($G180&lt;&gt;0,"ЛОЖЬ","ИСТИНА"))</formula>
    </cfRule>
    <cfRule type="expression" dxfId="7953" priority="4993">
      <formula>_xlfn.ISFORMULA(G180)=TRUE</formula>
    </cfRule>
    <cfRule type="expression" dxfId="7952" priority="4992">
      <formula>IF(ISBLANK($D180),,IF($G180&lt;&gt;0,"ЛОЖЬ","ИСТИНА"))</formula>
    </cfRule>
    <cfRule type="expression" dxfId="7951" priority="4990">
      <formula>IF(ISBLANK($D180),,IF($G180&lt;&gt;0,"ЛОЖЬ","ИСТИНА"))</formula>
    </cfRule>
    <cfRule type="expression" dxfId="7950" priority="4976">
      <formula>IF(ISBLANK($D180),,IF($G180&lt;&gt;0,"ЛОЖЬ","ИСТИНА"))</formula>
    </cfRule>
    <cfRule type="expression" dxfId="7949" priority="4989">
      <formula>_xlfn.ISFORMULA(G180)=TRUE</formula>
    </cfRule>
    <cfRule type="expression" dxfId="7948" priority="5093">
      <formula>_xlfn.ISFORMULA(G180)=TRUE</formula>
    </cfRule>
    <cfRule type="expression" dxfId="7947" priority="5092">
      <formula>IF(ISBLANK($D180),,IF($G180&lt;&gt;0,"ЛОЖЬ","ИСТИНА"))</formula>
    </cfRule>
    <cfRule type="expression" dxfId="7946" priority="5091">
      <formula>_xlfn.ISFORMULA(G180)=TRUE</formula>
    </cfRule>
    <cfRule type="expression" dxfId="7945" priority="5090">
      <formula>IF(ISBLANK($D179),,IF($G180&lt;&gt;0,"ЛОЖЬ","ИСТИНА"))</formula>
    </cfRule>
    <cfRule type="expression" dxfId="7944" priority="5040">
      <formula>_xlfn.ISFORMULA(G180)=TRUE</formula>
    </cfRule>
    <cfRule type="expression" dxfId="7943" priority="5023">
      <formula>IF(ISBLANK($D180),,IF($G180&lt;&gt;0,"ЛОЖЬ","ИСТИНА"))</formula>
    </cfRule>
    <cfRule type="expression" dxfId="7942" priority="4973">
      <formula>_xlfn.ISFORMULA(G180)=TRUE</formula>
    </cfRule>
    <cfRule type="expression" dxfId="7941" priority="4972">
      <formula>IF(ISBLANK($D180),,IF($G180&lt;&gt;0,"ЛОЖЬ","ИСТИНА"))</formula>
    </cfRule>
    <cfRule type="expression" dxfId="7940" priority="4977">
      <formula>_xlfn.ISFORMULA(G180)=TRUE</formula>
    </cfRule>
    <cfRule type="expression" dxfId="7939" priority="5022">
      <formula>_xlfn.ISFORMULA(G180)=TRUE</formula>
    </cfRule>
    <cfRule type="expression" dxfId="7938" priority="5021">
      <formula>IF(ISBLANK($D180),,IF($G180&lt;&gt;0,"ЛОЖЬ","ИСТИНА"))</formula>
    </cfRule>
    <cfRule type="expression" dxfId="7937" priority="4988">
      <formula>IF(ISBLANK($D180),,IF($G180&lt;&gt;0,"ЛОЖЬ","ИСТИНА"))</formula>
    </cfRule>
    <cfRule type="expression" dxfId="7936" priority="4986">
      <formula>_xlfn.ISFORMULA(G180)=TRUE</formula>
    </cfRule>
    <cfRule type="expression" dxfId="7935" priority="5019">
      <formula>_xlfn.ISFORMULA(G180)=TRUE</formula>
    </cfRule>
    <cfRule type="expression" dxfId="7934" priority="5018">
      <formula>IF(ISBLANK($D180),,IF($G180&lt;&gt;0,"ЛОЖЬ","ИСТИНА"))</formula>
    </cfRule>
    <cfRule type="expression" dxfId="7933" priority="5017">
      <formula>_xlfn.ISFORMULA(G180)=TRUE</formula>
    </cfRule>
    <cfRule type="expression" dxfId="7932" priority="5016">
      <formula>IF(ISBLANK($D180),,IF($G180&lt;&gt;0,"ЛОЖЬ","ИСТИНА"))</formula>
    </cfRule>
    <cfRule type="expression" dxfId="7931" priority="5014">
      <formula>_xlfn.ISFORMULA(G180)=TRUE</formula>
    </cfRule>
    <cfRule type="expression" dxfId="7930" priority="5013">
      <formula>IF(ISBLANK($D180),,IF($G180&lt;&gt;0,"ЛОЖЬ","ИСТИНА"))</formula>
    </cfRule>
    <cfRule type="expression" dxfId="7929" priority="4985">
      <formula>IF(ISBLANK($D180),,IF($G180&lt;&gt;0,"ЛОЖЬ","ИСТИНА"))</formula>
    </cfRule>
    <cfRule type="expression" dxfId="7928" priority="4984">
      <formula>_xlfn.ISFORMULA(G180)=TRUE</formula>
    </cfRule>
    <cfRule type="expression" dxfId="7927" priority="5012">
      <formula>_xlfn.ISFORMULA(G180)=TRUE</formula>
    </cfRule>
    <cfRule type="expression" dxfId="7926" priority="5011">
      <formula>IF(ISBLANK($D180),,IF($G180&lt;&gt;0,"ЛОЖЬ","ИСТИНА"))</formula>
    </cfRule>
    <cfRule type="expression" dxfId="7925" priority="5010">
      <formula>_xlfn.ISFORMULA(G180)=TRUE</formula>
    </cfRule>
  </conditionalFormatting>
  <conditionalFormatting sqref="G180:G206">
    <cfRule type="expression" dxfId="7924" priority="5095">
      <formula>IF(ISBLANK($D180),,IF($G180&lt;&gt;0,"ЛОЖЬ","ИСТИНА"))</formula>
    </cfRule>
    <cfRule type="expression" dxfId="7923" priority="5097">
      <formula>_xlfn.ISFORMULA(G180)=TRUE</formula>
    </cfRule>
  </conditionalFormatting>
  <conditionalFormatting sqref="G207">
    <cfRule type="expression" dxfId="7922" priority="963">
      <formula>IF(ISBLANK($D207),,IF($G207&lt;&gt;0,"ЛОЖЬ","ИСТИНА"))</formula>
    </cfRule>
  </conditionalFormatting>
  <conditionalFormatting sqref="G249">
    <cfRule type="expression" dxfId="7921" priority="2350">
      <formula>_xlfn.ISFORMULA(G249)=TRUE</formula>
    </cfRule>
  </conditionalFormatting>
  <conditionalFormatting sqref="G259 G267">
    <cfRule type="expression" dxfId="7920" priority="853">
      <formula>IF(ISBLANK($D259),,IF($G259&lt;&gt;0,"ЛОЖЬ","ИСТИНА"))</formula>
    </cfRule>
    <cfRule type="expression" dxfId="7919" priority="912">
      <formula>IF(ISBLANK($D259),,IF($G259&lt;&gt;0,"ЛОЖЬ","ИСТИНА"))</formula>
    </cfRule>
    <cfRule type="expression" dxfId="7918" priority="873">
      <formula>IF(ISBLANK($D259),,IF($G259&lt;&gt;0,"ЛОЖЬ","ИСТИНА"))</formula>
    </cfRule>
    <cfRule type="expression" dxfId="7917" priority="864">
      <formula>IF(ISBLANK($D259),,IF($G259&lt;&gt;0,"ЛОЖЬ","ИСТИНА"))</formula>
    </cfRule>
    <cfRule type="expression" dxfId="7916" priority="879">
      <formula>IF(ISBLANK($D259),,IF($G259&lt;&gt;0,"ЛОЖЬ","ИСТИНА"))</formula>
    </cfRule>
    <cfRule type="expression" dxfId="7915" priority="849">
      <formula>IF(ISBLANK($D259),,IF($G259&lt;&gt;0,"ЛОЖЬ","ИСТИНА"))</formula>
    </cfRule>
    <cfRule type="expression" dxfId="7914" priority="867">
      <formula>IF(ISBLANK($D259),,IF($G259&lt;&gt;0,"ЛОЖЬ","ИСТИНА"))</formula>
    </cfRule>
    <cfRule type="expression" dxfId="7913" priority="949">
      <formula>_xlfn.ISFORMULA(G259)=TRUE</formula>
    </cfRule>
    <cfRule type="expression" dxfId="7912" priority="950">
      <formula>IF(ISBLANK($D259),,IF($G259&lt;&gt;0,"ЛОЖЬ","ИСТИНА"))</formula>
    </cfRule>
    <cfRule type="expression" dxfId="7911" priority="909">
      <formula>IF(ISBLANK($D259),,IF($G259&lt;&gt;0,"ЛОЖЬ","ИСТИНА"))</formula>
    </cfRule>
    <cfRule type="expression" dxfId="7910" priority="908">
      <formula>_xlfn.ISFORMULA(G259)=TRUE</formula>
    </cfRule>
    <cfRule type="expression" dxfId="7909" priority="903">
      <formula>IF(ISBLANK($D259),,IF($G259&lt;&gt;0,"ЛОЖЬ","ИСТИНА"))</formula>
    </cfRule>
    <cfRule type="expression" dxfId="7908" priority="897">
      <formula>IF(ISBLANK($D259),,IF($G259&lt;&gt;0,"ЛОЖЬ","ИСТИНА"))</formula>
    </cfRule>
    <cfRule type="expression" dxfId="7907" priority="894">
      <formula>IF(ISBLANK($D259),,IF($G259&lt;&gt;0,"ЛОЖЬ","ИСТИНА"))</formula>
    </cfRule>
    <cfRule type="expression" dxfId="7906" priority="893">
      <formula>_xlfn.ISFORMULA(G259)=TRUE</formula>
    </cfRule>
    <cfRule type="expression" dxfId="7905" priority="888">
      <formula>IF(ISBLANK($D259),,IF($G259&lt;&gt;0,"ЛОЖЬ","ИСТИНА"))</formula>
    </cfRule>
    <cfRule type="expression" dxfId="7904" priority="962">
      <formula>IF(ISBLANK($D259),,IF($G259&lt;&gt;0,"ЛОЖЬ","ИСТИНА"))</formula>
    </cfRule>
    <cfRule type="expression" dxfId="7903" priority="882">
      <formula>IF(ISBLANK($D259),,IF($G259&lt;&gt;0,"ЛОЖЬ","ИСТИНА"))</formula>
    </cfRule>
    <cfRule type="expression" dxfId="7902" priority="878">
      <formula>_xlfn.ISFORMULA(G259)=TRUE</formula>
    </cfRule>
    <cfRule type="expression" dxfId="7901" priority="918">
      <formula>IF(ISBLANK($D259),,IF($G259&lt;&gt;0,"ЛОЖЬ","ИСТИНА"))</formula>
    </cfRule>
    <cfRule type="expression" dxfId="7900" priority="923">
      <formula>_xlfn.ISFORMULA(G259)=TRUE</formula>
    </cfRule>
    <cfRule type="expression" dxfId="7899" priority="924">
      <formula>IF(ISBLANK($D259),,IF($G259&lt;&gt;0,"ЛОЖЬ","ИСТИНА"))</formula>
    </cfRule>
    <cfRule type="expression" dxfId="7898" priority="948">
      <formula>IF(ISBLANK($D259),,IF($G259&lt;&gt;0,"ЛОЖЬ","ИСТИНА"))</formula>
    </cfRule>
    <cfRule type="expression" dxfId="7897" priority="927">
      <formula>IF(ISBLANK($D259),,IF($G259&lt;&gt;0,"ЛОЖЬ","ИСТИНА"))</formula>
    </cfRule>
    <cfRule type="expression" dxfId="7896" priority="933">
      <formula>IF(ISBLANK($D259),,IF($G259&lt;&gt;0,"ЛОЖЬ","ИСТИНА"))</formula>
    </cfRule>
    <cfRule type="expression" dxfId="7895" priority="938">
      <formula>_xlfn.ISFORMULA(G259)=TRUE</formula>
    </cfRule>
    <cfRule type="expression" dxfId="7894" priority="956">
      <formula>IF(ISBLANK($D259),,IF($G259&lt;&gt;0,"ЛОЖЬ","ИСТИНА"))</formula>
    </cfRule>
    <cfRule type="expression" dxfId="7893" priority="939">
      <formula>IF(ISBLANK($D259),,IF($G259&lt;&gt;0,"ЛОЖЬ","ИСТИНА"))</formula>
    </cfRule>
    <cfRule type="expression" dxfId="7892" priority="942">
      <formula>IF(ISBLANK($D259),,IF($G259&lt;&gt;0,"ЛОЖЬ","ИСТИНА"))</formula>
    </cfRule>
  </conditionalFormatting>
  <conditionalFormatting sqref="G259:G260 G267:G268">
    <cfRule type="expression" dxfId="7891" priority="843">
      <formula>IF(ISBLANK($D259),,IF($G259&lt;&gt;0,"ЛОЖЬ","ИСТИНА"))</formula>
    </cfRule>
  </conditionalFormatting>
  <conditionalFormatting sqref="G260 G268">
    <cfRule type="expression" dxfId="7890" priority="808">
      <formula>IF(ISBLANK($D260),,IF($G260&lt;&gt;0,"ЛОЖЬ","ИСТИНА"))</formula>
    </cfRule>
    <cfRule type="expression" dxfId="7889" priority="774">
      <formula>_xlfn.ISFORMULA(G260)=TRUE</formula>
    </cfRule>
    <cfRule type="expression" dxfId="7888" priority="805">
      <formula>IF(ISBLANK($D260),,IF($G260&lt;&gt;0,"ЛОЖЬ","ИСТИНА"))</formula>
    </cfRule>
    <cfRule type="expression" dxfId="7887" priority="804">
      <formula>_xlfn.ISFORMULA(G260)=TRUE</formula>
    </cfRule>
    <cfRule type="expression" dxfId="7886" priority="799">
      <formula>IF(ISBLANK($D260),,IF($G260&lt;&gt;0,"ЛОЖЬ","ИСТИНА"))</formula>
    </cfRule>
    <cfRule type="expression" dxfId="7885" priority="831">
      <formula>IF(ISBLANK($D260),,IF($G260&lt;&gt;0,"ЛОЖЬ","ИСТИНА"))</formula>
    </cfRule>
    <cfRule type="expression" dxfId="7884" priority="837">
      <formula>IF(ISBLANK($D260),,IF($G260&lt;&gt;0,"ЛОЖЬ","ИСТИНА"))</formula>
    </cfRule>
    <cfRule type="expression" dxfId="7883" priority="789">
      <formula>_xlfn.ISFORMULA(G260)=TRUE</formula>
    </cfRule>
    <cfRule type="expression" dxfId="7882" priority="784">
      <formula>IF(ISBLANK($D260),,IF($G260&lt;&gt;0,"ЛОЖЬ","ИСТИНА"))</formula>
    </cfRule>
    <cfRule type="expression" dxfId="7881" priority="778">
      <formula>IF(ISBLANK($D260),,IF($G260&lt;&gt;0,"ЛОЖЬ","ИСТИНА"))</formula>
    </cfRule>
    <cfRule type="expression" dxfId="7880" priority="775">
      <formula>IF(ISBLANK($D260),,IF($G260&lt;&gt;0,"ЛОЖЬ","ИСТИНА"))</formula>
    </cfRule>
    <cfRule type="expression" dxfId="7879" priority="823">
      <formula>IF(ISBLANK($D260),,IF($G260&lt;&gt;0,"ЛОЖЬ","ИСТИНА"))</formula>
    </cfRule>
    <cfRule type="expression" dxfId="7878" priority="820">
      <formula>IF(ISBLANK($D260),,IF($G260&lt;&gt;0,"ЛОЖЬ","ИСТИНА"))</formula>
    </cfRule>
    <cfRule type="expression" dxfId="7877" priority="790">
      <formula>IF(ISBLANK($D260),,IF($G260&lt;&gt;0,"ЛОЖЬ","ИСТИНА"))</formula>
    </cfRule>
    <cfRule type="expression" dxfId="7876" priority="793">
      <formula>IF(ISBLANK($D260),,IF($G260&lt;&gt;0,"ЛОЖЬ","ИСТИНА"))</formula>
    </cfRule>
    <cfRule type="expression" dxfId="7875" priority="754">
      <formula>IF(ISBLANK($D260),,IF($G260&lt;&gt;0,"ЛОЖЬ","ИСТИНА"))</formula>
    </cfRule>
    <cfRule type="expression" dxfId="7874" priority="748">
      <formula>IF(ISBLANK($D260),,IF($G260&lt;&gt;0,"ЛОЖЬ","ИСТИНА"))</formula>
    </cfRule>
    <cfRule type="expression" dxfId="7873" priority="745">
      <formula>IF(ISBLANK($D260),,IF($G260&lt;&gt;0,"ЛОЖЬ","ИСТИНА"))</formula>
    </cfRule>
    <cfRule type="expression" dxfId="7872" priority="734">
      <formula>IF(ISBLANK($D260),,IF($G260&lt;&gt;0,"ЛОЖЬ","ИСТИНА"))</formula>
    </cfRule>
    <cfRule type="expression" dxfId="7871" priority="730">
      <formula>IF(ISBLANK($D260),,IF($G260&lt;&gt;0,"ЛОЖЬ","ИСТИНА"))</formula>
    </cfRule>
    <cfRule type="expression" dxfId="7870" priority="819">
      <formula>_xlfn.ISFORMULA(G260)=TRUE</formula>
    </cfRule>
    <cfRule type="expression" dxfId="7869" priority="769">
      <formula>IF(ISBLANK($D260),,IF($G260&lt;&gt;0,"ЛОЖЬ","ИСТИНА"))</formula>
    </cfRule>
    <cfRule type="expression" dxfId="7868" priority="763">
      <formula>IF(ISBLANK($D260),,IF($G260&lt;&gt;0,"ЛОЖЬ","ИСТИНА"))</formula>
    </cfRule>
    <cfRule type="expression" dxfId="7867" priority="760">
      <formula>IF(ISBLANK($D260),,IF($G260&lt;&gt;0,"ЛОЖЬ","ИСТИНА"))</formula>
    </cfRule>
    <cfRule type="expression" dxfId="7866" priority="759">
      <formula>_xlfn.ISFORMULA(G260)=TRUE</formula>
    </cfRule>
    <cfRule type="expression" dxfId="7865" priority="829">
      <formula>IF(ISBLANK($D260),,IF($G260&lt;&gt;0,"ЛОЖЬ","ИСТИНА"))</formula>
    </cfRule>
    <cfRule type="expression" dxfId="7864" priority="830">
      <formula>_xlfn.ISFORMULA(G260)=TRUE</formula>
    </cfRule>
    <cfRule type="expression" dxfId="7863" priority="814">
      <formula>IF(ISBLANK($D260),,IF($G260&lt;&gt;0,"ЛОЖЬ","ИСТИНА"))</formula>
    </cfRule>
  </conditionalFormatting>
  <conditionalFormatting sqref="G260:G261 G268:G281">
    <cfRule type="expression" dxfId="7862" priority="724">
      <formula>IF(ISBLANK($D260),,IF($G260&lt;&gt;0,"ЛОЖЬ","ИСТИНА"))</formula>
    </cfRule>
  </conditionalFormatting>
  <conditionalFormatting sqref="G261 G269">
    <cfRule type="expression" dxfId="7861" priority="626">
      <formula>IF(ISBLANK($D261),,IF($G261&lt;&gt;0,"ЛОЖЬ","ИСТИНА"))</formula>
    </cfRule>
    <cfRule type="expression" dxfId="7860" priority="629">
      <formula>IF(ISBLANK($D261),,IF($G261&lt;&gt;0,"ЛОЖЬ","ИСТИНА"))</formula>
    </cfRule>
    <cfRule type="expression" dxfId="7859" priority="701">
      <formula>IF(ISBLANK($D261),,IF($G261&lt;&gt;0,"ЛОЖЬ","ИСТИНА"))</formula>
    </cfRule>
    <cfRule type="expression" dxfId="7858" priority="635">
      <formula>IF(ISBLANK($D261),,IF($G261&lt;&gt;0,"ЛОЖЬ","ИСТИНА"))</formula>
    </cfRule>
    <cfRule type="expression" dxfId="7857" priority="611">
      <formula>IF(ISBLANK($D261),,IF($G261&lt;&gt;0,"ЛОЖЬ","ИСТИНА"))</formula>
    </cfRule>
    <cfRule type="expression" dxfId="7856" priority="640">
      <formula>_xlfn.ISFORMULA(G261)=TRUE</formula>
    </cfRule>
    <cfRule type="expression" dxfId="7855" priority="641">
      <formula>IF(ISBLANK($D261),,IF($G261&lt;&gt;0,"ЛОЖЬ","ИСТИНА"))</formula>
    </cfRule>
    <cfRule type="expression" dxfId="7854" priority="644">
      <formula>IF(ISBLANK($D261),,IF($G261&lt;&gt;0,"ЛОЖЬ","ИСТИНА"))</formula>
    </cfRule>
    <cfRule type="expression" dxfId="7853" priority="650">
      <formula>IF(ISBLANK($D261),,IF($G261&lt;&gt;0,"ЛОЖЬ","ИСТИНА"))</formula>
    </cfRule>
    <cfRule type="expression" dxfId="7852" priority="655">
      <formula>_xlfn.ISFORMULA(G261)=TRUE</formula>
    </cfRule>
    <cfRule type="expression" dxfId="7851" priority="656">
      <formula>IF(ISBLANK($D261),,IF($G261&lt;&gt;0,"ЛОЖЬ","ИСТИНА"))</formula>
    </cfRule>
    <cfRule type="expression" dxfId="7850" priority="659">
      <formula>IF(ISBLANK($D261),,IF($G261&lt;&gt;0,"ЛОЖЬ","ИСТИНА"))</formula>
    </cfRule>
    <cfRule type="expression" dxfId="7849" priority="665">
      <formula>IF(ISBLANK($D261),,IF($G261&lt;&gt;0,"ЛОЖЬ","ИСТИНА"))</formula>
    </cfRule>
    <cfRule type="expression" dxfId="7848" priority="700">
      <formula>_xlfn.ISFORMULA(G261)=TRUE</formula>
    </cfRule>
    <cfRule type="expression" dxfId="7847" priority="704">
      <formula>IF(ISBLANK($D261),,IF($G261&lt;&gt;0,"ЛОЖЬ","ИСТИНА"))</formula>
    </cfRule>
    <cfRule type="expression" dxfId="7846" priority="670">
      <formula>_xlfn.ISFORMULA(G261)=TRUE</formula>
    </cfRule>
    <cfRule type="expression" dxfId="7845" priority="671">
      <formula>IF(ISBLANK($D261),,IF($G261&lt;&gt;0,"ЛОЖЬ","ИСТИНА"))</formula>
    </cfRule>
    <cfRule type="expression" dxfId="7844" priority="674">
      <formula>IF(ISBLANK($D261),,IF($G261&lt;&gt;0,"ЛОЖЬ","ИСТИНА"))</formula>
    </cfRule>
    <cfRule type="expression" dxfId="7843" priority="680">
      <formula>IF(ISBLANK($D261),,IF($G261&lt;&gt;0,"ЛОЖЬ","ИСТИНА"))</formula>
    </cfRule>
    <cfRule type="expression" dxfId="7842" priority="710">
      <formula>IF(ISBLANK($D261),,IF($G261&lt;&gt;0,"ЛОЖЬ","ИСТИНА"))</formula>
    </cfRule>
    <cfRule type="expression" dxfId="7841" priority="711">
      <formula>_xlfn.ISFORMULA(G261)=TRUE</formula>
    </cfRule>
    <cfRule type="expression" dxfId="7840" priority="615">
      <formula>IF(ISBLANK($D261),,IF($G261&lt;&gt;0,"ЛОЖЬ","ИСТИНА"))</formula>
    </cfRule>
    <cfRule type="expression" dxfId="7839" priority="712">
      <formula>IF(ISBLANK($D261),,IF($G261&lt;&gt;0,"ЛОЖЬ","ИСТИНА"))</formula>
    </cfRule>
    <cfRule type="expression" dxfId="7838" priority="685">
      <formula>_xlfn.ISFORMULA(G261)=TRUE</formula>
    </cfRule>
    <cfRule type="expression" dxfId="7837" priority="686">
      <formula>IF(ISBLANK($D261),,IF($G261&lt;&gt;0,"ЛОЖЬ","ИСТИНА"))</formula>
    </cfRule>
    <cfRule type="expression" dxfId="7836" priority="718">
      <formula>IF(ISBLANK($D261),,IF($G261&lt;&gt;0,"ЛОЖЬ","ИСТИНА"))</formula>
    </cfRule>
    <cfRule type="expression" dxfId="7835" priority="689">
      <formula>IF(ISBLANK($D261),,IF($G261&lt;&gt;0,"ЛОЖЬ","ИСТИНА"))</formula>
    </cfRule>
    <cfRule type="expression" dxfId="7834" priority="695">
      <formula>IF(ISBLANK($D261),,IF($G261&lt;&gt;0,"ЛОЖЬ","ИСТИНА"))</formula>
    </cfRule>
  </conditionalFormatting>
  <conditionalFormatting sqref="G261:G266">
    <cfRule type="expression" dxfId="7833" priority="605">
      <formula>IF(ISBLANK($D261),,IF($G261&lt;&gt;0,"ЛОЖЬ","ИСТИНА"))</formula>
    </cfRule>
  </conditionalFormatting>
  <conditionalFormatting sqref="G262:G266">
    <cfRule type="expression" dxfId="7832" priority="576">
      <formula>IF(ISBLANK($D262),,IF($G262&lt;&gt;0,"ЛОЖЬ","ИСТИНА"))</formula>
    </cfRule>
    <cfRule type="expression" dxfId="7831" priority="581">
      <formula>_xlfn.ISFORMULA(G262)=TRUE</formula>
    </cfRule>
    <cfRule type="expression" dxfId="7830" priority="522">
      <formula>IF(ISBLANK($D262),,IF($G262&lt;&gt;0,"ЛОЖЬ","ИСТИНА"))</formula>
    </cfRule>
    <cfRule type="expression" dxfId="7829" priority="525">
      <formula>IF(ISBLANK($D262),,IF($G262&lt;&gt;0,"ЛОЖЬ","ИСТИНА"))</formula>
    </cfRule>
    <cfRule type="expression" dxfId="7828" priority="570">
      <formula>IF(ISBLANK($D262),,IF($G262&lt;&gt;0,"ЛОЖЬ","ИСТИНА"))</formula>
    </cfRule>
    <cfRule type="expression" dxfId="7827" priority="507">
      <formula>IF(ISBLANK($D262),,IF($G262&lt;&gt;0,"ЛОЖЬ","ИСТИНА"))</formula>
    </cfRule>
    <cfRule type="expression" dxfId="7826" priority="582">
      <formula>IF(ISBLANK($D262),,IF($G262&lt;&gt;0,"ЛОЖЬ","ИСТИНА"))</formula>
    </cfRule>
    <cfRule type="expression" dxfId="7825" priority="567">
      <formula>IF(ISBLANK($D262),,IF($G262&lt;&gt;0,"ЛОЖЬ","ИСТИНА"))</formula>
    </cfRule>
    <cfRule type="expression" dxfId="7824" priority="531">
      <formula>IF(ISBLANK($D262),,IF($G262&lt;&gt;0,"ЛОЖЬ","ИСТИНА"))</formula>
    </cfRule>
    <cfRule type="expression" dxfId="7823" priority="536">
      <formula>_xlfn.ISFORMULA(G262)=TRUE</formula>
    </cfRule>
    <cfRule type="expression" dxfId="7822" priority="537">
      <formula>IF(ISBLANK($D262),,IF($G262&lt;&gt;0,"ЛОЖЬ","ИСТИНА"))</formula>
    </cfRule>
    <cfRule type="expression" dxfId="7821" priority="540">
      <formula>IF(ISBLANK($D262),,IF($G262&lt;&gt;0,"ЛОЖЬ","ИСТИНА"))</formula>
    </cfRule>
    <cfRule type="expression" dxfId="7820" priority="592">
      <formula>_xlfn.ISFORMULA(G262)=TRUE</formula>
    </cfRule>
    <cfRule type="expression" dxfId="7819" priority="546">
      <formula>IF(ISBLANK($D262),,IF($G262&lt;&gt;0,"ЛОЖЬ","ИСТИНА"))</formula>
    </cfRule>
    <cfRule type="expression" dxfId="7818" priority="510">
      <formula>IF(ISBLANK($D262),,IF($G262&lt;&gt;0,"ЛОЖЬ","ИСТИНА"))</formula>
    </cfRule>
    <cfRule type="expression" dxfId="7817" priority="593">
      <formula>IF(ISBLANK($D262),,IF($G262&lt;&gt;0,"ЛОЖЬ","ИСТИНА"))</formula>
    </cfRule>
    <cfRule type="expression" dxfId="7816" priority="516">
      <formula>IF(ISBLANK($D262),,IF($G262&lt;&gt;0,"ЛОЖЬ","ИСТИНА"))</formula>
    </cfRule>
    <cfRule type="expression" dxfId="7815" priority="551">
      <formula>_xlfn.ISFORMULA(G262)=TRUE</formula>
    </cfRule>
    <cfRule type="expression" dxfId="7814" priority="521">
      <formula>_xlfn.ISFORMULA(G262)=TRUE</formula>
    </cfRule>
    <cfRule type="expression" dxfId="7813" priority="552">
      <formula>IF(ISBLANK($D262),,IF($G262&lt;&gt;0,"ЛОЖЬ","ИСТИНА"))</formula>
    </cfRule>
    <cfRule type="expression" dxfId="7812" priority="496">
      <formula>IF(ISBLANK($D262),,IF($G262&lt;&gt;0,"ЛОЖЬ","ИСТИНА"))</formula>
    </cfRule>
    <cfRule type="expression" dxfId="7811" priority="555">
      <formula>IF(ISBLANK($D262),,IF($G262&lt;&gt;0,"ЛОЖЬ","ИСТИНА"))</formula>
    </cfRule>
    <cfRule type="expression" dxfId="7810" priority="487">
      <formula>IF(ISBLANK($D262),,IF($G262&lt;&gt;0,"ЛОЖЬ","ИСТИНА"))</formula>
    </cfRule>
    <cfRule type="expression" dxfId="7809" priority="561">
      <formula>IF(ISBLANK($D262),,IF($G262&lt;&gt;0,"ЛОЖЬ","ИСТИНА"))</formula>
    </cfRule>
    <cfRule type="expression" dxfId="7808" priority="599">
      <formula>IF(ISBLANK($D262),,IF($G262&lt;&gt;0,"ЛОЖЬ","ИСТИНА"))</formula>
    </cfRule>
    <cfRule type="expression" dxfId="7807" priority="566">
      <formula>_xlfn.ISFORMULA(G262)=TRUE</formula>
    </cfRule>
    <cfRule type="expression" dxfId="7806" priority="585">
      <formula>IF(ISBLANK($D262),,IF($G262&lt;&gt;0,"ЛОЖЬ","ИСТИНА"))</formula>
    </cfRule>
    <cfRule type="expression" dxfId="7805" priority="591">
      <formula>IF(ISBLANK($D262),,IF($G262&lt;&gt;0,"ЛОЖЬ","ИСТИНА"))</formula>
    </cfRule>
    <cfRule type="expression" dxfId="7804" priority="492">
      <formula>IF(ISBLANK($D262),,IF($G262&lt;&gt;0,"ЛОЖЬ","ИСТИНА"))</formula>
    </cfRule>
  </conditionalFormatting>
  <conditionalFormatting sqref="G269">
    <cfRule type="expression" dxfId="7803" priority="606">
      <formula>IF(ISBLANK($D269),,IF($G269&lt;&gt;0,"ЛОЖЬ","ИСТИНА"))</formula>
    </cfRule>
  </conditionalFormatting>
  <conditionalFormatting sqref="G320">
    <cfRule type="expression" dxfId="7802" priority="442">
      <formula>_xlfn.ISFORMULA(G320)=TRUE</formula>
    </cfRule>
    <cfRule type="expression" dxfId="7801" priority="446">
      <formula>IF(ISBLANK($D320),,IF($F320&lt;&gt;0,"ЛОЖЬ","ИСТИНА"))</formula>
    </cfRule>
    <cfRule type="expression" dxfId="7800" priority="443">
      <formula>IF(ISBLANK($D320),,IF($F320&lt;&gt;0,"ЛОЖЬ","ИСТИНА"))</formula>
    </cfRule>
    <cfRule type="expression" dxfId="7799" priority="440">
      <formula>IF(ISBLANK($D320),,IF($F320&lt;&gt;0,"ЛОЖЬ","ИСТИНА"))</formula>
    </cfRule>
  </conditionalFormatting>
  <conditionalFormatting sqref="G321">
    <cfRule type="expression" dxfId="7798" priority="389">
      <formula>IF(ISBLANK($D321),,IF($F321&lt;&gt;0,"ЛОЖЬ","ИСТИНА"))</formula>
    </cfRule>
    <cfRule type="expression" dxfId="7797" priority="383">
      <formula>IF(ISBLANK($D321),,IF($F321&lt;&gt;0,"ЛОЖЬ","ИСТИНА"))</formula>
    </cfRule>
    <cfRule type="expression" dxfId="7796" priority="385">
      <formula>_xlfn.ISFORMULA(G321)=TRUE</formula>
    </cfRule>
    <cfRule type="expression" dxfId="7795" priority="386">
      <formula>IF(ISBLANK($D321),,IF($F321&lt;&gt;0,"ЛОЖЬ","ИСТИНА"))</formula>
    </cfRule>
  </conditionalFormatting>
  <conditionalFormatting sqref="G322:G323">
    <cfRule type="expression" dxfId="7794" priority="271">
      <formula>_xlfn.ISFORMULA(G322)=TRUE</formula>
    </cfRule>
  </conditionalFormatting>
  <conditionalFormatting sqref="G324:G494">
    <cfRule type="expression" dxfId="7793" priority="89">
      <formula>IF(ISBLANK($D324),,IF($G324&lt;&gt;0,"ЛОЖЬ","ИСТИНА"))</formula>
    </cfRule>
  </conditionalFormatting>
  <conditionalFormatting sqref="G497:G1000">
    <cfRule type="expression" dxfId="7792" priority="14584">
      <formula>IF(ISBLANK($D497),,IF($G497&lt;&gt;0,"ЛОЖЬ","ИСТИНА"))</formula>
    </cfRule>
  </conditionalFormatting>
  <conditionalFormatting sqref="G32:H35">
    <cfRule type="expression" dxfId="7791" priority="1374">
      <formula>_xlfn.ISFORMULA(G32)=TRUE</formula>
    </cfRule>
    <cfRule type="expression" dxfId="7790" priority="1364">
      <formula>_xlfn.ISFORMULA(G32)=TRUE</formula>
    </cfRule>
  </conditionalFormatting>
  <conditionalFormatting sqref="G33:H33">
    <cfRule type="expression" dxfId="7789" priority="1229">
      <formula>_xlfn.ISFORMULA(G33)=TRUE</formula>
    </cfRule>
    <cfRule type="expression" dxfId="7788" priority="1223">
      <formula>_xlfn.ISFORMULA(G33)=TRUE</formula>
    </cfRule>
  </conditionalFormatting>
  <conditionalFormatting sqref="G37:H37">
    <cfRule type="expression" dxfId="7787" priority="1159">
      <formula>_xlfn.ISFORMULA(G37)=TRUE</formula>
    </cfRule>
    <cfRule type="expression" dxfId="7786" priority="1145">
      <formula>_xlfn.ISFORMULA(G37)=TRUE</formula>
    </cfRule>
  </conditionalFormatting>
  <conditionalFormatting sqref="G38:H39">
    <cfRule type="expression" dxfId="7785" priority="12677">
      <formula>_xlfn.ISFORMULA(G38)=TRUE</formula>
    </cfRule>
  </conditionalFormatting>
  <conditionalFormatting sqref="G38:H40">
    <cfRule type="expression" dxfId="7784" priority="12610">
      <formula>_xlfn.ISFORMULA(G38)=TRUE</formula>
    </cfRule>
  </conditionalFormatting>
  <conditionalFormatting sqref="G40:H40">
    <cfRule type="expression" dxfId="7783" priority="12572">
      <formula>_xlfn.ISFORMULA(G40)=TRUE</formula>
    </cfRule>
  </conditionalFormatting>
  <conditionalFormatting sqref="G46:H46">
    <cfRule type="expression" dxfId="7782" priority="12501">
      <formula>_xlfn.ISFORMULA(G46)=TRUE</formula>
    </cfRule>
    <cfRule type="expression" dxfId="7781" priority="12526">
      <formula>_xlfn.ISFORMULA(G46)=TRUE</formula>
    </cfRule>
  </conditionalFormatting>
  <conditionalFormatting sqref="G46:H48">
    <cfRule type="expression" dxfId="7780" priority="12453">
      <formula>_xlfn.ISFORMULA(G46)=TRUE</formula>
    </cfRule>
  </conditionalFormatting>
  <conditionalFormatting sqref="G47:H48">
    <cfRule type="expression" dxfId="7779" priority="12428">
      <formula>_xlfn.ISFORMULA(G47)=TRUE</formula>
    </cfRule>
  </conditionalFormatting>
  <conditionalFormatting sqref="G47:H49">
    <cfRule type="expression" dxfId="7778" priority="12396">
      <formula>_xlfn.ISFORMULA(G47)=TRUE</formula>
    </cfRule>
  </conditionalFormatting>
  <conditionalFormatting sqref="G49:H49">
    <cfRule type="expression" dxfId="7777" priority="12371">
      <formula>_xlfn.ISFORMULA(G49)=TRUE</formula>
    </cfRule>
  </conditionalFormatting>
  <conditionalFormatting sqref="G49:H50">
    <cfRule type="expression" dxfId="7776" priority="12333">
      <formula>_xlfn.ISFORMULA(G49)=TRUE</formula>
    </cfRule>
  </conditionalFormatting>
  <conditionalFormatting sqref="G50:H50">
    <cfRule type="expression" dxfId="7775" priority="12308">
      <formula>_xlfn.ISFORMULA(G50)=TRUE</formula>
    </cfRule>
  </conditionalFormatting>
  <conditionalFormatting sqref="G50:H52">
    <cfRule type="expression" dxfId="7774" priority="12261">
      <formula>_xlfn.ISFORMULA(G50)=TRUE</formula>
    </cfRule>
  </conditionalFormatting>
  <conditionalFormatting sqref="G51:H52">
    <cfRule type="expression" dxfId="7773" priority="12237">
      <formula>_xlfn.ISFORMULA(G51)=TRUE</formula>
    </cfRule>
    <cfRule type="expression" dxfId="7772" priority="12224">
      <formula>_xlfn.ISFORMULA(G51)=TRUE</formula>
    </cfRule>
  </conditionalFormatting>
  <conditionalFormatting sqref="G68:H68">
    <cfRule type="expression" dxfId="7771" priority="1560">
      <formula>_xlfn.ISFORMULA(G68)=TRUE</formula>
    </cfRule>
    <cfRule type="expression" dxfId="7770" priority="1582">
      <formula>_xlfn.ISFORMULA(G68)=TRUE</formula>
    </cfRule>
  </conditionalFormatting>
  <conditionalFormatting sqref="G68:H69">
    <cfRule type="expression" dxfId="7769" priority="1510">
      <formula>_xlfn.ISFORMULA(G68)=TRUE</formula>
    </cfRule>
  </conditionalFormatting>
  <conditionalFormatting sqref="G69:H69">
    <cfRule type="expression" dxfId="7768" priority="1493">
      <formula>_xlfn.ISFORMULA(G69)=TRUE</formula>
    </cfRule>
  </conditionalFormatting>
  <conditionalFormatting sqref="G69:H70">
    <cfRule type="expression" dxfId="7767" priority="1076">
      <formula>_xlfn.ISFORMULA(G69)=TRUE</formula>
    </cfRule>
  </conditionalFormatting>
  <conditionalFormatting sqref="G70:H70">
    <cfRule type="expression" dxfId="7766" priority="1073">
      <formula>_xlfn.ISFORMULA(G70)=TRUE</formula>
    </cfRule>
    <cfRule type="expression" dxfId="7765" priority="1065">
      <formula>_xlfn.ISFORMULA(G70)=TRUE</formula>
    </cfRule>
  </conditionalFormatting>
  <conditionalFormatting sqref="G72:H72 H73">
    <cfRule type="expression" dxfId="7764" priority="3839">
      <formula>_xlfn.ISFORMULA(G72)=TRUE</formula>
    </cfRule>
  </conditionalFormatting>
  <conditionalFormatting sqref="G72:H72">
    <cfRule type="expression" dxfId="7763" priority="3845">
      <formula>_xlfn.ISFORMULA(G72)=TRUE</formula>
    </cfRule>
  </conditionalFormatting>
  <conditionalFormatting sqref="G73:H74">
    <cfRule type="expression" dxfId="7762" priority="3910">
      <formula>_xlfn.ISFORMULA(G73)=TRUE</formula>
    </cfRule>
  </conditionalFormatting>
  <conditionalFormatting sqref="G73:H76">
    <cfRule type="expression" dxfId="7761" priority="3874">
      <formula>_xlfn.ISFORMULA(G73)=TRUE</formula>
    </cfRule>
  </conditionalFormatting>
  <conditionalFormatting sqref="G75:H75">
    <cfRule type="expression" dxfId="7760" priority="3855">
      <formula>_xlfn.ISFORMULA(G75)=TRUE</formula>
    </cfRule>
  </conditionalFormatting>
  <conditionalFormatting sqref="G80:H81">
    <cfRule type="expression" dxfId="7759" priority="11028">
      <formula>_xlfn.ISFORMULA(G80)=TRUE</formula>
    </cfRule>
  </conditionalFormatting>
  <conditionalFormatting sqref="G81:H81">
    <cfRule type="expression" dxfId="7758" priority="11004">
      <formula>_xlfn.ISFORMULA(G81)=TRUE</formula>
    </cfRule>
  </conditionalFormatting>
  <conditionalFormatting sqref="G81:H82">
    <cfRule type="expression" dxfId="7757" priority="10963">
      <formula>_xlfn.ISFORMULA(G81)=TRUE</formula>
    </cfRule>
  </conditionalFormatting>
  <conditionalFormatting sqref="G82:H82">
    <cfRule type="expression" dxfId="7756" priority="10939">
      <formula>_xlfn.ISFORMULA(G82)=TRUE</formula>
    </cfRule>
  </conditionalFormatting>
  <conditionalFormatting sqref="G82:H83">
    <cfRule type="expression" dxfId="7755" priority="10904">
      <formula>_xlfn.ISFORMULA(G82)=TRUE</formula>
    </cfRule>
  </conditionalFormatting>
  <conditionalFormatting sqref="G83:H83">
    <cfRule type="expression" dxfId="7754" priority="10880">
      <formula>_xlfn.ISFORMULA(G83)=TRUE</formula>
    </cfRule>
  </conditionalFormatting>
  <conditionalFormatting sqref="G83:H84">
    <cfRule type="expression" dxfId="7753" priority="10839">
      <formula>_xlfn.ISFORMULA(G83)=TRUE</formula>
    </cfRule>
  </conditionalFormatting>
  <conditionalFormatting sqref="G84:H84">
    <cfRule type="expression" dxfId="7752" priority="10802">
      <formula>_xlfn.ISFORMULA(G84)=TRUE</formula>
    </cfRule>
    <cfRule type="expression" dxfId="7751" priority="10815">
      <formula>_xlfn.ISFORMULA(G84)=TRUE</formula>
    </cfRule>
  </conditionalFormatting>
  <conditionalFormatting sqref="G94:H96">
    <cfRule type="expression" dxfId="7750" priority="10154">
      <formula>_xlfn.ISFORMULA(G94)=TRUE</formula>
    </cfRule>
  </conditionalFormatting>
  <conditionalFormatting sqref="G95:H96">
    <cfRule type="expression" dxfId="7749" priority="10129">
      <formula>_xlfn.ISFORMULA(G95)=TRUE</formula>
    </cfRule>
  </conditionalFormatting>
  <conditionalFormatting sqref="G95:H97">
    <cfRule type="expression" dxfId="7748" priority="10085">
      <formula>_xlfn.ISFORMULA(G95)=TRUE</formula>
    </cfRule>
  </conditionalFormatting>
  <conditionalFormatting sqref="G97:H97">
    <cfRule type="expression" dxfId="7747" priority="10046">
      <formula>_xlfn.ISFORMULA(G97)=TRUE</formula>
    </cfRule>
    <cfRule type="expression" dxfId="7746" priority="10060">
      <formula>_xlfn.ISFORMULA(G97)=TRUE</formula>
    </cfRule>
  </conditionalFormatting>
  <conditionalFormatting sqref="G101:H101">
    <cfRule type="expression" dxfId="7745" priority="9845">
      <formula>_xlfn.ISFORMULA(G101)=TRUE</formula>
    </cfRule>
  </conditionalFormatting>
  <conditionalFormatting sqref="G106:H106">
    <cfRule type="expression" dxfId="7744" priority="9663">
      <formula>_xlfn.ISFORMULA(G106)=TRUE</formula>
    </cfRule>
    <cfRule type="expression" dxfId="7743" priority="9638">
      <formula>_xlfn.ISFORMULA(G106)=TRUE</formula>
    </cfRule>
  </conditionalFormatting>
  <conditionalFormatting sqref="G106:H107">
    <cfRule type="expression" dxfId="7742" priority="9605">
      <formula>_xlfn.ISFORMULA(G106)=TRUE</formula>
    </cfRule>
  </conditionalFormatting>
  <conditionalFormatting sqref="G107:H108">
    <cfRule type="expression" dxfId="7741" priority="9542">
      <formula>_xlfn.ISFORMULA(G107)=TRUE</formula>
    </cfRule>
  </conditionalFormatting>
  <conditionalFormatting sqref="G108:H108">
    <cfRule type="expression" dxfId="7740" priority="9518">
      <formula>_xlfn.ISFORMULA(G108)=TRUE</formula>
    </cfRule>
  </conditionalFormatting>
  <conditionalFormatting sqref="G108:H109">
    <cfRule type="expression" dxfId="7739" priority="9471">
      <formula>_xlfn.ISFORMULA(G108)=TRUE</formula>
    </cfRule>
  </conditionalFormatting>
  <conditionalFormatting sqref="G109:H110">
    <cfRule type="expression" dxfId="7738" priority="9388">
      <formula>_xlfn.ISFORMULA(G109)=TRUE</formula>
    </cfRule>
  </conditionalFormatting>
  <conditionalFormatting sqref="G110:H110">
    <cfRule type="expression" dxfId="7737" priority="9363">
      <formula>_xlfn.ISFORMULA(G110)=TRUE</formula>
    </cfRule>
  </conditionalFormatting>
  <conditionalFormatting sqref="G110:H111">
    <cfRule type="expression" dxfId="7736" priority="9318">
      <formula>_xlfn.ISFORMULA(G110)=TRUE</formula>
    </cfRule>
  </conditionalFormatting>
  <conditionalFormatting sqref="G111:H111">
    <cfRule type="expression" dxfId="7735" priority="9293">
      <formula>_xlfn.ISFORMULA(G111)=TRUE</formula>
    </cfRule>
  </conditionalFormatting>
  <conditionalFormatting sqref="G111:H112">
    <cfRule type="expression" dxfId="7734" priority="9248">
      <formula>_xlfn.ISFORMULA(G111)=TRUE</formula>
    </cfRule>
  </conditionalFormatting>
  <conditionalFormatting sqref="G112:H116">
    <cfRule type="expression" dxfId="7733" priority="3417">
      <formula>_xlfn.ISFORMULA(G112)=TRUE</formula>
    </cfRule>
  </conditionalFormatting>
  <conditionalFormatting sqref="G113:H115">
    <cfRule type="expression" dxfId="7732" priority="3414">
      <formula>_xlfn.ISFORMULA(G113)=TRUE</formula>
    </cfRule>
  </conditionalFormatting>
  <conditionalFormatting sqref="G117:H119">
    <cfRule type="expression" dxfId="7731" priority="3275">
      <formula>_xlfn.ISFORMULA(G117)=TRUE</formula>
    </cfRule>
    <cfRule type="expression" dxfId="7730" priority="3286">
      <formula>_xlfn.ISFORMULA(G117)=TRUE</formula>
    </cfRule>
    <cfRule type="expression" dxfId="7729" priority="3284">
      <formula>_xlfn.ISFORMULA(G117)=TRUE</formula>
    </cfRule>
  </conditionalFormatting>
  <conditionalFormatting sqref="G120:H120">
    <cfRule type="expression" dxfId="7728" priority="8803">
      <formula>_xlfn.ISFORMULA(G120)=TRUE</formula>
    </cfRule>
    <cfRule type="expression" dxfId="7727" priority="8828">
      <formula>_xlfn.ISFORMULA(G120)=TRUE</formula>
    </cfRule>
  </conditionalFormatting>
  <conditionalFormatting sqref="G120:H121">
    <cfRule type="expression" dxfId="7726" priority="8408">
      <formula>_xlfn.ISFORMULA(G120)=TRUE</formula>
    </cfRule>
  </conditionalFormatting>
  <conditionalFormatting sqref="G121:H122">
    <cfRule type="expression" dxfId="7725" priority="8058">
      <formula>_xlfn.ISFORMULA(G121)=TRUE</formula>
    </cfRule>
  </conditionalFormatting>
  <conditionalFormatting sqref="G122:H137">
    <cfRule type="expression" dxfId="7724" priority="3224">
      <formula>_xlfn.ISFORMULA(G122)=TRUE</formula>
    </cfRule>
  </conditionalFormatting>
  <conditionalFormatting sqref="G123:H125 G127:H129 G131:H133 G135:H137">
    <cfRule type="expression" dxfId="7723" priority="3222">
      <formula>_xlfn.ISFORMULA(G123)=TRUE</formula>
    </cfRule>
    <cfRule type="expression" dxfId="7722" priority="3214">
      <formula>_xlfn.ISFORMULA(G123)=TRUE</formula>
    </cfRule>
  </conditionalFormatting>
  <conditionalFormatting sqref="G126:H126 G130:H130 G134:H134">
    <cfRule type="expression" dxfId="7721" priority="3266">
      <formula>_xlfn.ISFORMULA(G126)=TRUE</formula>
    </cfRule>
    <cfRule type="expression" dxfId="7720" priority="3264">
      <formula>_xlfn.ISFORMULA(G126)=TRUE</formula>
    </cfRule>
  </conditionalFormatting>
  <conditionalFormatting sqref="G140:H141">
    <cfRule type="expression" dxfId="7719" priority="3172">
      <formula>_xlfn.ISFORMULA(G140)=TRUE</formula>
    </cfRule>
    <cfRule type="expression" dxfId="7718" priority="3170">
      <formula>_xlfn.ISFORMULA(G140)=TRUE</formula>
    </cfRule>
    <cfRule type="expression" dxfId="7717" priority="3162">
      <formula>_xlfn.ISFORMULA(G140)=TRUE</formula>
    </cfRule>
  </conditionalFormatting>
  <conditionalFormatting sqref="G242:H246 F247:H248 L246:L247">
    <cfRule type="expression" dxfId="7716" priority="14313">
      <formula>_xlfn.ISFORMULA(F242)=TRUE</formula>
    </cfRule>
  </conditionalFormatting>
  <conditionalFormatting sqref="G320:H320">
    <cfRule type="expression" dxfId="7715" priority="447">
      <formula>_xlfn.ISFORMULA(G320)=TRUE</formula>
    </cfRule>
    <cfRule type="expression" dxfId="7714" priority="445">
      <formula>_xlfn.ISFORMULA(G320)=TRUE</formula>
    </cfRule>
  </conditionalFormatting>
  <conditionalFormatting sqref="G320:H321">
    <cfRule type="expression" dxfId="7713" priority="390">
      <formula>_xlfn.ISFORMULA(G320)=TRUE</formula>
    </cfRule>
  </conditionalFormatting>
  <conditionalFormatting sqref="G321:H321">
    <cfRule type="expression" dxfId="7712" priority="380">
      <formula>_xlfn.ISFORMULA(G321)=TRUE</formula>
    </cfRule>
    <cfRule type="expression" dxfId="7711" priority="388">
      <formula>_xlfn.ISFORMULA(G321)=TRUE</formula>
    </cfRule>
  </conditionalFormatting>
  <conditionalFormatting sqref="G324:J327">
    <cfRule type="expression" dxfId="7710" priority="90">
      <formula>_xlfn.ISFORMULA(G324)=TRUE</formula>
    </cfRule>
  </conditionalFormatting>
  <conditionalFormatting sqref="H4:H32">
    <cfRule type="expression" dxfId="7709" priority="1181">
      <formula>_xlfn.ISFORMULA(H4)=TRUE</formula>
    </cfRule>
  </conditionalFormatting>
  <conditionalFormatting sqref="H41:H53">
    <cfRule type="expression" dxfId="7708" priority="1118">
      <formula>_xlfn.ISFORMULA(H41)=TRUE</formula>
    </cfRule>
  </conditionalFormatting>
  <conditionalFormatting sqref="H55:H70">
    <cfRule type="expression" dxfId="7707" priority="1064">
      <formula>_xlfn.ISFORMULA(H55)=TRUE</formula>
    </cfRule>
  </conditionalFormatting>
  <conditionalFormatting sqref="H77:H87">
    <cfRule type="expression" dxfId="7706" priority="10598">
      <formula>_xlfn.ISFORMULA(H77)=TRUE</formula>
    </cfRule>
  </conditionalFormatting>
  <conditionalFormatting sqref="H89:H93">
    <cfRule type="expression" dxfId="7705" priority="3710">
      <formula>_xlfn.ISFORMULA(H89)=TRUE</formula>
    </cfRule>
  </conditionalFormatting>
  <conditionalFormatting sqref="H98">
    <cfRule type="expression" dxfId="7704" priority="3542">
      <formula>_xlfn.ISFORMULA(H98)=TRUE</formula>
    </cfRule>
  </conditionalFormatting>
  <conditionalFormatting sqref="H100">
    <cfRule type="expression" dxfId="7703" priority="3536">
      <formula>_xlfn.ISFORMULA(H100)=TRUE</formula>
    </cfRule>
  </conditionalFormatting>
  <conditionalFormatting sqref="H102">
    <cfRule type="expression" dxfId="7702" priority="3530">
      <formula>_xlfn.ISFORMULA(H102)=TRUE</formula>
    </cfRule>
  </conditionalFormatting>
  <conditionalFormatting sqref="H123:H137">
    <cfRule type="expression" dxfId="7701" priority="3213">
      <formula>_xlfn.ISFORMULA(H123)=TRUE</formula>
    </cfRule>
  </conditionalFormatting>
  <conditionalFormatting sqref="H140:H154">
    <cfRule type="expression" dxfId="7700" priority="3161">
      <formula>_xlfn.ISFORMULA(H140)=TRUE</formula>
    </cfRule>
  </conditionalFormatting>
  <conditionalFormatting sqref="H157:H171">
    <cfRule type="expression" dxfId="7699" priority="3017">
      <formula>_xlfn.ISFORMULA(H157)=TRUE</formula>
    </cfRule>
  </conditionalFormatting>
  <conditionalFormatting sqref="H174:H188">
    <cfRule type="expression" dxfId="7698" priority="3011">
      <formula>_xlfn.ISFORMULA(H174)=TRUE</formula>
    </cfRule>
  </conditionalFormatting>
  <conditionalFormatting sqref="H191:H201">
    <cfRule type="expression" dxfId="7697" priority="2825">
      <formula>_xlfn.ISFORMULA(H191)=TRUE</formula>
    </cfRule>
  </conditionalFormatting>
  <conditionalFormatting sqref="H320:H323">
    <cfRule type="expression" dxfId="7696" priority="231">
      <formula>_xlfn.ISFORMULA(H320)=TRUE</formula>
    </cfRule>
  </conditionalFormatting>
  <conditionalFormatting sqref="H36:I36">
    <cfRule type="expression" dxfId="7695" priority="1174">
      <formula>_xlfn.ISFORMULA(H36)=TRUE</formula>
    </cfRule>
  </conditionalFormatting>
  <conditionalFormatting sqref="H36:J36">
    <cfRule type="expression" dxfId="7694" priority="1173">
      <formula>IF(ISBLANK($D36),,IF($F36&lt;&gt;0,"ЛОЖЬ","ИСТИНА"))</formula>
    </cfRule>
  </conditionalFormatting>
  <conditionalFormatting sqref="I2">
    <cfRule type="expression" dxfId="7693" priority="1448">
      <formula>_xlfn.ISFORMULA(I2)=TRUE</formula>
    </cfRule>
  </conditionalFormatting>
  <conditionalFormatting sqref="I3">
    <cfRule type="expression" dxfId="7692" priority="1446">
      <formula>IF(ISBLANK($D3),,IF($F3&lt;&gt;0,"ЛОЖЬ","ИСТИНА"))</formula>
    </cfRule>
  </conditionalFormatting>
  <conditionalFormatting sqref="I20">
    <cfRule type="expression" dxfId="7691" priority="1175">
      <formula>IF(ISBLANK($D20),,IF($F20&lt;&gt;0,"ЛОЖЬ","ИСТИНА"))</formula>
    </cfRule>
  </conditionalFormatting>
  <conditionalFormatting sqref="I20:I35">
    <cfRule type="expression" dxfId="7690" priority="1176">
      <formula>_xlfn.ISFORMULA(I20)=TRUE</formula>
    </cfRule>
  </conditionalFormatting>
  <conditionalFormatting sqref="I19:J19">
    <cfRule type="expression" dxfId="7689" priority="1443">
      <formula>IF(ISBLANK($D19),,IF($F19&lt;&gt;0,"ЛОЖЬ","ИСТИНА"))</formula>
    </cfRule>
    <cfRule type="expression" dxfId="7688" priority="1444">
      <formula>_xlfn.ISFORMULA(I19)=TRUE</formula>
    </cfRule>
  </conditionalFormatting>
  <conditionalFormatting sqref="I280:K280 J281:K281">
    <cfRule type="expression" dxfId="7687" priority="14309">
      <formula>_xlfn.ISFORMULA(I280)=TRUE</formula>
    </cfRule>
  </conditionalFormatting>
  <conditionalFormatting sqref="I3:L18">
    <cfRule type="expression" dxfId="7686" priority="1447">
      <formula>_xlfn.ISFORMULA(I3)=TRUE</formula>
    </cfRule>
  </conditionalFormatting>
  <conditionalFormatting sqref="J9:J11">
    <cfRule type="expression" dxfId="7685" priority="4441">
      <formula>_xlfn.ISFORMULA(J9)=TRUE</formula>
    </cfRule>
  </conditionalFormatting>
  <conditionalFormatting sqref="J13:J14">
    <cfRule type="expression" dxfId="7684" priority="4439">
      <formula>_xlfn.ISFORMULA(J13)=TRUE</formula>
    </cfRule>
  </conditionalFormatting>
  <conditionalFormatting sqref="J20:J36">
    <cfRule type="expression" dxfId="7683" priority="1178">
      <formula>_xlfn.ISFORMULA(J20)=TRUE</formula>
    </cfRule>
  </conditionalFormatting>
  <conditionalFormatting sqref="J40">
    <cfRule type="expression" dxfId="7682" priority="12568">
      <formula>_xlfn.ISFORMULA(J40)=TRUE</formula>
    </cfRule>
  </conditionalFormatting>
  <conditionalFormatting sqref="J69:J70">
    <cfRule type="expression" dxfId="7681" priority="1074">
      <formula>_xlfn.ISFORMULA(J69)=TRUE</formula>
    </cfRule>
  </conditionalFormatting>
  <conditionalFormatting sqref="J101:J104">
    <cfRule type="expression" dxfId="7680" priority="9730">
      <formula>_xlfn.ISFORMULA(J101)=TRUE</formula>
    </cfRule>
  </conditionalFormatting>
  <conditionalFormatting sqref="J140:J155">
    <cfRule type="expression" dxfId="7679" priority="6689">
      <formula>_xlfn.ISFORMULA(J140)=TRUE</formula>
    </cfRule>
  </conditionalFormatting>
  <conditionalFormatting sqref="J207:J231">
    <cfRule type="expression" dxfId="7678" priority="965">
      <formula>_xlfn.ISFORMULA(J207)=TRUE</formula>
    </cfRule>
  </conditionalFormatting>
  <conditionalFormatting sqref="J320:J323">
    <cfRule type="expression" dxfId="7677" priority="270">
      <formula>_xlfn.ISFORMULA(J320)=TRUE</formula>
    </cfRule>
  </conditionalFormatting>
  <conditionalFormatting sqref="J4:K4">
    <cfRule type="expression" dxfId="7676" priority="14044">
      <formula>_xlfn.ISFORMULA(J4)=TRUE</formula>
    </cfRule>
  </conditionalFormatting>
  <conditionalFormatting sqref="J37:K69">
    <cfRule type="expression" dxfId="7675" priority="1149">
      <formula>_xlfn.ISFORMULA(J37)=TRUE</formula>
    </cfRule>
  </conditionalFormatting>
  <conditionalFormatting sqref="J242:K247 J249:K250 J253:K253 K320:K327">
    <cfRule type="expression" dxfId="7674" priority="44">
      <formula>_xlfn.ISFORMULA(J242)=TRUE</formula>
    </cfRule>
  </conditionalFormatting>
  <conditionalFormatting sqref="J37:L37">
    <cfRule type="expression" dxfId="7673" priority="1148">
      <formula>_xlfn.ISFORMULA(J37)=TRUE</formula>
    </cfRule>
  </conditionalFormatting>
  <conditionalFormatting sqref="J72:L87 J89:L99 K102:K104 J106:K138 K140:K146 K148:K155 J157:M161 J162:K171 J174:K201 J203:K203 J205:K205 K207:K224 K227:K231 J237:K239">
    <cfRule type="expression" dxfId="7672" priority="51">
      <formula>_xlfn.ISFORMULA(J72)=TRUE</formula>
    </cfRule>
  </conditionalFormatting>
  <conditionalFormatting sqref="J100:M100">
    <cfRule type="expression" dxfId="7671" priority="10975">
      <formula>_xlfn.ISFORMULA(J100)=TRUE</formula>
    </cfRule>
  </conditionalFormatting>
  <conditionalFormatting sqref="J259:O269">
    <cfRule type="expression" dxfId="7670" priority="14311">
      <formula>_xlfn.ISFORMULA(J259)=TRUE</formula>
    </cfRule>
  </conditionalFormatting>
  <conditionalFormatting sqref="J2:AT2 B2:H2">
    <cfRule type="expression" dxfId="7669" priority="14633">
      <formula>_xlfn.ISFORMULA(B2)=TRUE</formula>
    </cfRule>
  </conditionalFormatting>
  <conditionalFormatting sqref="K70">
    <cfRule type="expression" dxfId="7668" priority="1053">
      <formula>_xlfn.ISFORMULA(K70)=TRUE</formula>
    </cfRule>
  </conditionalFormatting>
  <conditionalFormatting sqref="K461:K477">
    <cfRule type="expression" dxfId="7667" priority="14067">
      <formula>_xlfn.ISFORMULA(K461)=TRUE</formula>
    </cfRule>
  </conditionalFormatting>
  <conditionalFormatting sqref="K15:L15">
    <cfRule type="expression" dxfId="7666" priority="12807">
      <formula>_xlfn.ISFORMULA(K15)=TRUE</formula>
    </cfRule>
  </conditionalFormatting>
  <conditionalFormatting sqref="K19:L36 J251:L252 J254:L255 L276:L290 L293:L307 L310:L318">
    <cfRule type="expression" dxfId="7665" priority="12839">
      <formula>_xlfn.ISFORMULA(J19)=TRUE</formula>
    </cfRule>
  </conditionalFormatting>
  <conditionalFormatting sqref="K101:L101">
    <cfRule type="expression" dxfId="7664" priority="9825">
      <formula>_xlfn.ISFORMULA(K101)=TRUE</formula>
    </cfRule>
  </conditionalFormatting>
  <conditionalFormatting sqref="K147:M147">
    <cfRule type="expression" dxfId="7663" priority="6879">
      <formula>_xlfn.ISFORMULA(K147)=TRUE</formula>
    </cfRule>
  </conditionalFormatting>
  <conditionalFormatting sqref="K342:O343">
    <cfRule type="expression" dxfId="7662" priority="14076">
      <formula>_xlfn.ISFORMULA(K342)=TRUE</formula>
    </cfRule>
  </conditionalFormatting>
  <conditionalFormatting sqref="K359:O360">
    <cfRule type="expression" dxfId="7661" priority="14073">
      <formula>_xlfn.ISFORMULA(K359)=TRUE</formula>
    </cfRule>
  </conditionalFormatting>
  <conditionalFormatting sqref="K393:O394">
    <cfRule type="expression" dxfId="7660" priority="14070">
      <formula>_xlfn.ISFORMULA(K393)=TRUE</formula>
    </cfRule>
  </conditionalFormatting>
  <conditionalFormatting sqref="L37:L70">
    <cfRule type="expression" dxfId="7659" priority="1147">
      <formula>_xlfn.ISFORMULA(L37)=TRUE</formula>
    </cfRule>
  </conditionalFormatting>
  <conditionalFormatting sqref="L102:L103">
    <cfRule type="expression" dxfId="7658" priority="9705">
      <formula>_xlfn.ISFORMULA(L102)=TRUE</formula>
    </cfRule>
  </conditionalFormatting>
  <conditionalFormatting sqref="L106:L127">
    <cfRule type="expression" dxfId="7657" priority="7439">
      <formula>_xlfn.ISFORMULA(L106)=TRUE</formula>
    </cfRule>
  </conditionalFormatting>
  <conditionalFormatting sqref="L163:L171">
    <cfRule type="expression" dxfId="7656" priority="6189">
      <formula>_xlfn.ISFORMULA(L163)=TRUE</formula>
    </cfRule>
  </conditionalFormatting>
  <conditionalFormatting sqref="L175:L176">
    <cfRule type="expression" dxfId="7655" priority="4770">
      <formula>_xlfn.ISFORMULA(L175)=TRUE</formula>
    </cfRule>
  </conditionalFormatting>
  <conditionalFormatting sqref="L179">
    <cfRule type="expression" dxfId="7654" priority="4596">
      <formula>_xlfn.ISFORMULA(L179)=TRUE</formula>
    </cfRule>
  </conditionalFormatting>
  <conditionalFormatting sqref="L193">
    <cfRule type="expression" dxfId="7653" priority="14318">
      <formula>_xlfn.ISFORMULA(L193)=TRUE</formula>
    </cfRule>
  </conditionalFormatting>
  <conditionalFormatting sqref="L195">
    <cfRule type="expression" dxfId="7652" priority="14319">
      <formula>_xlfn.ISFORMULA(L195)=TRUE</formula>
    </cfRule>
  </conditionalFormatting>
  <conditionalFormatting sqref="L221">
    <cfRule type="expression" dxfId="7651" priority="14272">
      <formula>_xlfn.ISFORMULA(L221)=TRUE</formula>
    </cfRule>
  </conditionalFormatting>
  <conditionalFormatting sqref="L242">
    <cfRule type="expression" dxfId="7650" priority="14316">
      <formula>_xlfn.ISFORMULA(L242)=TRUE</formula>
    </cfRule>
  </conditionalFormatting>
  <conditionalFormatting sqref="L244">
    <cfRule type="expression" dxfId="7649" priority="14314">
      <formula>_xlfn.ISFORMULA(L244)=TRUE</formula>
    </cfRule>
  </conditionalFormatting>
  <conditionalFormatting sqref="L320:L323">
    <cfRule type="expression" dxfId="7648" priority="237">
      <formula>_xlfn.ISFORMULA(L320)=TRUE</formula>
    </cfRule>
  </conditionalFormatting>
  <conditionalFormatting sqref="L327:L329">
    <cfRule type="expression" dxfId="7647" priority="14288">
      <formula>_xlfn.ISFORMULA(L327)=TRUE</formula>
    </cfRule>
  </conditionalFormatting>
  <conditionalFormatting sqref="L414:L415">
    <cfRule type="expression" dxfId="7646" priority="14282">
      <formula>_xlfn.ISFORMULA(L414)=TRUE</formula>
    </cfRule>
  </conditionalFormatting>
  <conditionalFormatting sqref="L429:L431">
    <cfRule type="expression" dxfId="7645" priority="14279">
      <formula>_xlfn.ISFORMULA(L429)=TRUE</formula>
    </cfRule>
  </conditionalFormatting>
  <conditionalFormatting sqref="L443:L444">
    <cfRule type="expression" dxfId="7644" priority="14213">
      <formula>_xlfn.ISFORMULA(L443)=TRUE</formula>
    </cfRule>
  </conditionalFormatting>
  <conditionalFormatting sqref="L446:L467">
    <cfRule type="expression" dxfId="7643" priority="14132">
      <formula>_xlfn.ISFORMULA(L446)=TRUE</formula>
    </cfRule>
  </conditionalFormatting>
  <conditionalFormatting sqref="L469:L477">
    <cfRule type="expression" dxfId="7642" priority="14092">
      <formula>_xlfn.ISFORMULA(L469)=TRUE</formula>
    </cfRule>
  </conditionalFormatting>
  <conditionalFormatting sqref="L129:M129">
    <cfRule type="expression" dxfId="7641" priority="7376">
      <formula>_xlfn.ISFORMULA(L129)=TRUE</formula>
    </cfRule>
  </conditionalFormatting>
  <conditionalFormatting sqref="L131:M138">
    <cfRule type="expression" dxfId="7640" priority="7185">
      <formula>_xlfn.ISFORMULA(L131)=TRUE</formula>
    </cfRule>
  </conditionalFormatting>
  <conditionalFormatting sqref="L140:M146">
    <cfRule type="expression" dxfId="7639" priority="6933">
      <formula>_xlfn.ISFORMULA(L140)=TRUE</formula>
    </cfRule>
  </conditionalFormatting>
  <conditionalFormatting sqref="L149:M151">
    <cfRule type="expression" dxfId="7638" priority="6779">
      <formula>_xlfn.ISFORMULA(L149)=TRUE</formula>
    </cfRule>
  </conditionalFormatting>
  <conditionalFormatting sqref="L153:M155">
    <cfRule type="expression" dxfId="7637" priority="6629">
      <formula>_xlfn.ISFORMULA(L153)=TRUE</formula>
    </cfRule>
  </conditionalFormatting>
  <conditionalFormatting sqref="L162:M162">
    <cfRule type="expression" dxfId="7636" priority="6259">
      <formula>_xlfn.ISFORMULA(L162)=TRUE</formula>
    </cfRule>
  </conditionalFormatting>
  <conditionalFormatting sqref="L174:M175">
    <cfRule type="expression" dxfId="7635" priority="5416">
      <formula>_xlfn.ISFORMULA(L174)=TRUE</formula>
    </cfRule>
  </conditionalFormatting>
  <conditionalFormatting sqref="L177:M185">
    <cfRule type="expression" dxfId="7634" priority="4716">
      <formula>_xlfn.ISFORMULA(L177)=TRUE</formula>
    </cfRule>
  </conditionalFormatting>
  <conditionalFormatting sqref="L369:O369">
    <cfRule type="expression" dxfId="7633" priority="14286">
      <formula>_xlfn.ISFORMULA(L369)=TRUE</formula>
    </cfRule>
  </conditionalFormatting>
  <conditionalFormatting sqref="L378:O382">
    <cfRule type="expression" dxfId="7632" priority="14285">
      <formula>_xlfn.ISFORMULA(L378)=TRUE</formula>
    </cfRule>
  </conditionalFormatting>
  <conditionalFormatting sqref="L461:O462">
    <cfRule type="expression" dxfId="7631" priority="14066">
      <formula>_xlfn.ISFORMULA(L461)=TRUE</formula>
    </cfRule>
  </conditionalFormatting>
  <conditionalFormatting sqref="M3:M40">
    <cfRule type="expression" dxfId="7630" priority="12591">
      <formula>_xlfn.ISFORMULA(M3)=TRUE</formula>
    </cfRule>
  </conditionalFormatting>
  <conditionalFormatting sqref="M3:M41">
    <cfRule type="expression" dxfId="7629" priority="12597">
      <formula>IF($AB3&gt;4.5,"ИСТИНА","ЛОЖЬ")</formula>
    </cfRule>
  </conditionalFormatting>
  <conditionalFormatting sqref="M42">
    <cfRule type="expression" dxfId="7628" priority="12552">
      <formula>_xlfn.ISFORMULA(M42)=TRUE</formula>
    </cfRule>
  </conditionalFormatting>
  <conditionalFormatting sqref="M42:M43">
    <cfRule type="expression" dxfId="7627" priority="12558">
      <formula>IF($AB42&gt;4.5,"ИСТИНА","ЛОЖЬ")</formula>
    </cfRule>
  </conditionalFormatting>
  <conditionalFormatting sqref="M44">
    <cfRule type="expression" dxfId="7626" priority="12533">
      <formula>_xlfn.ISFORMULA(M44)=TRUE</formula>
    </cfRule>
  </conditionalFormatting>
  <conditionalFormatting sqref="M44:M45">
    <cfRule type="expression" dxfId="7625" priority="12539">
      <formula>IF($AB44&gt;4.5,"ИСТИНА","ЛОЖЬ")</formula>
    </cfRule>
  </conditionalFormatting>
  <conditionalFormatting sqref="M46">
    <cfRule type="expression" dxfId="7624" priority="12528">
      <formula>IF($AB46&gt;4.5,"ИСТИНА","ЛОЖЬ")</formula>
    </cfRule>
    <cfRule type="expression" dxfId="7623" priority="12529">
      <formula>_xlfn.ISFORMULA(M46)=TRUE</formula>
    </cfRule>
  </conditionalFormatting>
  <conditionalFormatting sqref="M46:M48">
    <cfRule type="expression" dxfId="7622" priority="12455">
      <formula>IF($AB46&gt;4.5,"ИСТИНА","ЛОЖЬ")</formula>
    </cfRule>
    <cfRule type="expression" dxfId="7621" priority="12456">
      <formula>_xlfn.ISFORMULA(M46)=TRUE</formula>
    </cfRule>
  </conditionalFormatting>
  <conditionalFormatting sqref="M47:M49">
    <cfRule type="expression" dxfId="7620" priority="12399">
      <formula>_xlfn.ISFORMULA(M47)=TRUE</formula>
    </cfRule>
    <cfRule type="expression" dxfId="7619" priority="12398">
      <formula>IF($AB47&gt;4.5,"ИСТИНА","ЛОЖЬ")</formula>
    </cfRule>
  </conditionalFormatting>
  <conditionalFormatting sqref="M49:M50">
    <cfRule type="expression" dxfId="7618" priority="12335">
      <formula>IF($AB49&gt;4.5,"ИСТИНА","ЛОЖЬ")</formula>
    </cfRule>
    <cfRule type="expression" dxfId="7617" priority="12336">
      <formula>_xlfn.ISFORMULA(M49)=TRUE</formula>
    </cfRule>
  </conditionalFormatting>
  <conditionalFormatting sqref="M50:M52">
    <cfRule type="expression" dxfId="7616" priority="12264">
      <formula>_xlfn.ISFORMULA(M50)=TRUE</formula>
    </cfRule>
    <cfRule type="expression" dxfId="7615" priority="12263">
      <formula>IF($AB50&gt;4.5,"ИСТИНА","ЛОЖЬ")</formula>
    </cfRule>
  </conditionalFormatting>
  <conditionalFormatting sqref="M51:M54">
    <cfRule type="expression" dxfId="7614" priority="12192">
      <formula>IF($AB51&gt;4.5,"ИСТИНА","ЛОЖЬ")</formula>
    </cfRule>
    <cfRule type="expression" dxfId="7613" priority="12193">
      <formula>_xlfn.ISFORMULA(M51)=TRUE</formula>
    </cfRule>
  </conditionalFormatting>
  <conditionalFormatting sqref="M53">
    <cfRule type="expression" dxfId="7612" priority="12183">
      <formula>IF($AB53&gt;4.5,"ИСТИНА","ЛОЖЬ")</formula>
    </cfRule>
    <cfRule type="expression" dxfId="7611" priority="12184">
      <formula>_xlfn.ISFORMULA(M53)=TRUE</formula>
    </cfRule>
  </conditionalFormatting>
  <conditionalFormatting sqref="M55">
    <cfRule type="expression" dxfId="7610" priority="12128">
      <formula>_xlfn.ISFORMULA(M55)=TRUE</formula>
    </cfRule>
    <cfRule type="expression" dxfId="7609" priority="12127">
      <formula>IF($AB55&gt;4.5,"ИСТИНА","ЛОЖЬ")</formula>
    </cfRule>
  </conditionalFormatting>
  <conditionalFormatting sqref="M55:M56">
    <cfRule type="expression" dxfId="7608" priority="12063">
      <formula>_xlfn.ISFORMULA(M55)=TRUE</formula>
    </cfRule>
    <cfRule type="expression" dxfId="7607" priority="12062">
      <formula>IF($AB55&gt;4.5,"ИСТИНА","ЛОЖЬ")</formula>
    </cfRule>
  </conditionalFormatting>
  <conditionalFormatting sqref="M56:M57">
    <cfRule type="expression" dxfId="7606" priority="12003">
      <formula>IF($AB56&gt;4.5,"ИСТИНА","ЛОЖЬ")</formula>
    </cfRule>
    <cfRule type="expression" dxfId="7605" priority="12004">
      <formula>_xlfn.ISFORMULA(M56)=TRUE</formula>
    </cfRule>
  </conditionalFormatting>
  <conditionalFormatting sqref="M57:M58">
    <cfRule type="expression" dxfId="7604" priority="11941">
      <formula>_xlfn.ISFORMULA(M57)=TRUE</formula>
    </cfRule>
    <cfRule type="expression" dxfId="7603" priority="11940">
      <formula>IF($AB57&gt;4.5,"ИСТИНА","ЛОЖЬ")</formula>
    </cfRule>
  </conditionalFormatting>
  <conditionalFormatting sqref="M58:M60">
    <cfRule type="expression" dxfId="7602" priority="11873">
      <formula>IF($AB58&gt;4.5,"ИСТИНА","ЛОЖЬ")</formula>
    </cfRule>
    <cfRule type="expression" dxfId="7601" priority="11874">
      <formula>_xlfn.ISFORMULA(M58)=TRUE</formula>
    </cfRule>
  </conditionalFormatting>
  <conditionalFormatting sqref="M59:M62">
    <cfRule type="expression" dxfId="7600" priority="11815">
      <formula>IF($AB59&gt;4.5,"ИСТИНА","ЛОЖЬ")</formula>
    </cfRule>
    <cfRule type="expression" dxfId="7599" priority="11816">
      <formula>_xlfn.ISFORMULA(M59)=TRUE</formula>
    </cfRule>
  </conditionalFormatting>
  <conditionalFormatting sqref="M61">
    <cfRule type="expression" dxfId="7598" priority="11806">
      <formula>IF($AB61&gt;4.5,"ИСТИНА","ЛОЖЬ")</formula>
    </cfRule>
    <cfRule type="expression" dxfId="7597" priority="11807">
      <formula>_xlfn.ISFORMULA(M61)=TRUE</formula>
    </cfRule>
  </conditionalFormatting>
  <conditionalFormatting sqref="M63">
    <cfRule type="expression" dxfId="7596" priority="11744">
      <formula>_xlfn.ISFORMULA(M63)=TRUE</formula>
    </cfRule>
    <cfRule type="expression" dxfId="7595" priority="11743">
      <formula>IF($AB63&gt;4.5,"ИСТИНА","ЛОЖЬ")</formula>
    </cfRule>
  </conditionalFormatting>
  <conditionalFormatting sqref="M63:M64">
    <cfRule type="expression" dxfId="7594" priority="11752">
      <formula>IF($AB63&gt;4.5,"ИСТИНА","ЛОЖЬ")</formula>
    </cfRule>
    <cfRule type="expression" dxfId="7593" priority="11753">
      <formula>_xlfn.ISFORMULA(M63)=TRUE</formula>
    </cfRule>
  </conditionalFormatting>
  <conditionalFormatting sqref="M65">
    <cfRule type="expression" dxfId="7592" priority="11680">
      <formula>IF($AB65&gt;4.5,"ИСТИНА","ЛОЖЬ")</formula>
    </cfRule>
    <cfRule type="expression" dxfId="7591" priority="11681">
      <formula>_xlfn.ISFORMULA(M65)=TRUE</formula>
    </cfRule>
  </conditionalFormatting>
  <conditionalFormatting sqref="M65:M71">
    <cfRule type="expression" dxfId="7590" priority="11689">
      <formula>IF($AB65&gt;4.5,"ИСТИНА","ЛОЖЬ")</formula>
    </cfRule>
    <cfRule type="expression" dxfId="7589" priority="11690">
      <formula>_xlfn.ISFORMULA(M65)=TRUE</formula>
    </cfRule>
  </conditionalFormatting>
  <conditionalFormatting sqref="M72">
    <cfRule type="expression" dxfId="7588" priority="11586">
      <formula>_xlfn.ISFORMULA(M72)=TRUE</formula>
    </cfRule>
    <cfRule type="expression" dxfId="7587" priority="11585">
      <formula>IF($AB72&gt;4.5,"ИСТИНА","ЛОЖЬ")</formula>
    </cfRule>
  </conditionalFormatting>
  <conditionalFormatting sqref="M72:M73">
    <cfRule type="expression" dxfId="7586" priority="11527">
      <formula>_xlfn.ISFORMULA(M72)=TRUE</formula>
    </cfRule>
    <cfRule type="expression" dxfId="7585" priority="11526">
      <formula>IF($AB72&gt;4.5,"ИСТИНА","ЛОЖЬ")</formula>
    </cfRule>
  </conditionalFormatting>
  <conditionalFormatting sqref="M73:M74">
    <cfRule type="expression" dxfId="7584" priority="11462">
      <formula>_xlfn.ISFORMULA(M73)=TRUE</formula>
    </cfRule>
    <cfRule type="expression" dxfId="7583" priority="11461">
      <formula>IF($AB73&gt;4.5,"ИСТИНА","ЛОЖЬ")</formula>
    </cfRule>
  </conditionalFormatting>
  <conditionalFormatting sqref="M74:M75">
    <cfRule type="expression" dxfId="7582" priority="11402">
      <formula>IF($AB74&gt;4.5,"ИСТИНА","ЛОЖЬ")</formula>
    </cfRule>
    <cfRule type="expression" dxfId="7581" priority="11403">
      <formula>_xlfn.ISFORMULA(M74)=TRUE</formula>
    </cfRule>
  </conditionalFormatting>
  <conditionalFormatting sqref="M75:M76">
    <cfRule type="expression" dxfId="7580" priority="11338">
      <formula>_xlfn.ISFORMULA(M75)=TRUE</formula>
    </cfRule>
    <cfRule type="expression" dxfId="7579" priority="11337">
      <formula>IF($AB75&gt;4.5,"ИСТИНА","ЛОЖЬ")</formula>
    </cfRule>
  </conditionalFormatting>
  <conditionalFormatting sqref="M76:M77">
    <cfRule type="expression" dxfId="7578" priority="11279">
      <formula>_xlfn.ISFORMULA(M76)=TRUE</formula>
    </cfRule>
    <cfRule type="expression" dxfId="7577" priority="11278">
      <formula>IF($AB76&gt;4.5,"ИСТИНА","ЛОЖЬ")</formula>
    </cfRule>
  </conditionalFormatting>
  <conditionalFormatting sqref="M77:M78">
    <cfRule type="expression" dxfId="7576" priority="11213">
      <formula>IF($AB77&gt;4.5,"ИСТИНА","ЛОЖЬ")</formula>
    </cfRule>
    <cfRule type="expression" dxfId="7575" priority="11214">
      <formula>_xlfn.ISFORMULA(M77)=TRUE</formula>
    </cfRule>
  </conditionalFormatting>
  <conditionalFormatting sqref="M78:M79">
    <cfRule type="expression" dxfId="7574" priority="11155">
      <formula>_xlfn.ISFORMULA(M78)=TRUE</formula>
    </cfRule>
    <cfRule type="expression" dxfId="7573" priority="11154">
      <formula>IF($AB78&gt;4.5,"ИСТИНА","ЛОЖЬ")</formula>
    </cfRule>
  </conditionalFormatting>
  <conditionalFormatting sqref="M79:M80">
    <cfRule type="expression" dxfId="7572" priority="11089">
      <formula>IF($AB79&gt;4.5,"ИСТИНА","ЛОЖЬ")</formula>
    </cfRule>
    <cfRule type="expression" dxfId="7571" priority="11090">
      <formula>_xlfn.ISFORMULA(M79)=TRUE</formula>
    </cfRule>
  </conditionalFormatting>
  <conditionalFormatting sqref="M80:M81">
    <cfRule type="expression" dxfId="7570" priority="11031">
      <formula>_xlfn.ISFORMULA(M80)=TRUE</formula>
    </cfRule>
    <cfRule type="expression" dxfId="7569" priority="11030">
      <formula>IF($AB80&gt;4.5,"ИСТИНА","ЛОЖЬ")</formula>
    </cfRule>
  </conditionalFormatting>
  <conditionalFormatting sqref="M81:M82">
    <cfRule type="expression" dxfId="7568" priority="10965">
      <formula>IF($AB81&gt;4.5,"ИСТИНА","ЛОЖЬ")</formula>
    </cfRule>
    <cfRule type="expression" dxfId="7567" priority="10966">
      <formula>_xlfn.ISFORMULA(M81)=TRUE</formula>
    </cfRule>
  </conditionalFormatting>
  <conditionalFormatting sqref="M82:M83">
    <cfRule type="expression" dxfId="7566" priority="10907">
      <formula>_xlfn.ISFORMULA(M82)=TRUE</formula>
    </cfRule>
    <cfRule type="expression" dxfId="7565" priority="10906">
      <formula>IF($AB82&gt;4.5,"ИСТИНА","ЛОЖЬ")</formula>
    </cfRule>
  </conditionalFormatting>
  <conditionalFormatting sqref="M83:M84">
    <cfRule type="expression" dxfId="7564" priority="10842">
      <formula>_xlfn.ISFORMULA(M83)=TRUE</formula>
    </cfRule>
    <cfRule type="expression" dxfId="7563" priority="10841">
      <formula>IF($AB83&gt;4.5,"ИСТИНА","ЛОЖЬ")</formula>
    </cfRule>
  </conditionalFormatting>
  <conditionalFormatting sqref="M84:M85">
    <cfRule type="expression" dxfId="7562" priority="10783">
      <formula>_xlfn.ISFORMULA(M84)=TRUE</formula>
    </cfRule>
    <cfRule type="expression" dxfId="7561" priority="10782">
      <formula>IF($AB84&gt;4.5,"ИСТИНА","ЛОЖЬ")</formula>
    </cfRule>
  </conditionalFormatting>
  <conditionalFormatting sqref="M85:M86">
    <cfRule type="expression" dxfId="7560" priority="10697">
      <formula>IF($AB85&gt;4.5,"ИСТИНА","ЛОЖЬ")</formula>
    </cfRule>
    <cfRule type="expression" dxfId="7559" priority="10698">
      <formula>_xlfn.ISFORMULA(M85)=TRUE</formula>
    </cfRule>
  </conditionalFormatting>
  <conditionalFormatting sqref="M86:M87 P55:P87">
    <cfRule type="expression" dxfId="7558" priority="10639">
      <formula>_xlfn.ISFORMULA(M55)=TRUE</formula>
    </cfRule>
  </conditionalFormatting>
  <conditionalFormatting sqref="M86:M88">
    <cfRule type="expression" dxfId="7557" priority="10638">
      <formula>IF($AB86&gt;4.5,"ИСТИНА","ЛОЖЬ")</formula>
    </cfRule>
  </conditionalFormatting>
  <conditionalFormatting sqref="M87 O87:S87">
    <cfRule type="expression" dxfId="7556" priority="10630">
      <formula>_xlfn.ISFORMULA(M87)=TRUE</formula>
    </cfRule>
  </conditionalFormatting>
  <conditionalFormatting sqref="M87">
    <cfRule type="expression" dxfId="7555" priority="10629">
      <formula>IF($AB87&gt;4.5,"ИСТИНА","ЛОЖЬ")</formula>
    </cfRule>
  </conditionalFormatting>
  <conditionalFormatting sqref="M89">
    <cfRule type="expression" dxfId="7554" priority="10549">
      <formula>_xlfn.ISFORMULA(M89)=TRUE</formula>
    </cfRule>
    <cfRule type="expression" dxfId="7553" priority="10548">
      <formula>IF($AB89&gt;4.5,"ИСТИНА","ЛОЖЬ")</formula>
    </cfRule>
  </conditionalFormatting>
  <conditionalFormatting sqref="M89:M90">
    <cfRule type="expression" dxfId="7552" priority="10490">
      <formula>_xlfn.ISFORMULA(M89)=TRUE</formula>
    </cfRule>
    <cfRule type="expression" dxfId="7551" priority="10489">
      <formula>IF($AB89&gt;4.5,"ИСТИНА","ЛОЖЬ")</formula>
    </cfRule>
  </conditionalFormatting>
  <conditionalFormatting sqref="M90:M91">
    <cfRule type="expression" dxfId="7550" priority="10425">
      <formula>_xlfn.ISFORMULA(M90)=TRUE</formula>
    </cfRule>
    <cfRule type="expression" dxfId="7549" priority="10424">
      <formula>IF($AB90&gt;4.5,"ИСТИНА","ЛОЖЬ")</formula>
    </cfRule>
  </conditionalFormatting>
  <conditionalFormatting sqref="M91:M92">
    <cfRule type="expression" dxfId="7548" priority="10366">
      <formula>_xlfn.ISFORMULA(M91)=TRUE</formula>
    </cfRule>
    <cfRule type="expression" dxfId="7547" priority="10365">
      <formula>IF($AB91&gt;4.5,"ИСТИНА","ЛОЖЬ")</formula>
    </cfRule>
  </conditionalFormatting>
  <conditionalFormatting sqref="M92:M93">
    <cfRule type="expression" dxfId="7546" priority="10300">
      <formula>IF($AB92&gt;4.5,"ИСТИНА","ЛОЖЬ")</formula>
    </cfRule>
    <cfRule type="expression" dxfId="7545" priority="10301">
      <formula>_xlfn.ISFORMULA(M92)=TRUE</formula>
    </cfRule>
  </conditionalFormatting>
  <conditionalFormatting sqref="M93:M94">
    <cfRule type="expression" dxfId="7544" priority="10242">
      <formula>_xlfn.ISFORMULA(M93)=TRUE</formula>
    </cfRule>
    <cfRule type="expression" dxfId="7543" priority="10241">
      <formula>IF($AB93&gt;4.5,"ИСТИНА","ЛОЖЬ")</formula>
    </cfRule>
  </conditionalFormatting>
  <conditionalFormatting sqref="M94:M96">
    <cfRule type="expression" dxfId="7542" priority="10156">
      <formula>IF($AB94&gt;4.5,"ИСТИНА","ЛОЖЬ")</formula>
    </cfRule>
    <cfRule type="expression" dxfId="7541" priority="10157">
      <formula>_xlfn.ISFORMULA(M94)=TRUE</formula>
    </cfRule>
  </conditionalFormatting>
  <conditionalFormatting sqref="M95:M97">
    <cfRule type="expression" dxfId="7540" priority="10087">
      <formula>IF($AB95&gt;4.5,"ИСТИНА","ЛОЖЬ")</formula>
    </cfRule>
    <cfRule type="expression" dxfId="7539" priority="10088">
      <formula>_xlfn.ISFORMULA(M95)=TRUE</formula>
    </cfRule>
  </conditionalFormatting>
  <conditionalFormatting sqref="M97:M98">
    <cfRule type="expression" dxfId="7538" priority="10025">
      <formula>_xlfn.ISFORMULA(M97)=TRUE</formula>
    </cfRule>
    <cfRule type="expression" dxfId="7537" priority="10024">
      <formula>IF($AB97&gt;4.5,"ИСТИНА","ЛОЖЬ")</formula>
    </cfRule>
  </conditionalFormatting>
  <conditionalFormatting sqref="M98:M99">
    <cfRule type="expression" dxfId="7536" priority="9956">
      <formula>_xlfn.ISFORMULA(M98)=TRUE</formula>
    </cfRule>
  </conditionalFormatting>
  <conditionalFormatting sqref="M98:M100">
    <cfRule type="expression" dxfId="7535" priority="9955">
      <formula>IF($AB98&gt;4.5,"ИСТИНА","ЛОЖЬ")</formula>
    </cfRule>
  </conditionalFormatting>
  <conditionalFormatting sqref="M99">
    <cfRule type="expression" dxfId="7534" priority="9946">
      <formula>IF($AB99&gt;4.5,"ИСТИНА","ЛОЖЬ")</formula>
    </cfRule>
  </conditionalFormatting>
  <conditionalFormatting sqref="M101">
    <cfRule type="expression" dxfId="7533" priority="9887">
      <formula>_xlfn.ISFORMULA(M101)=TRUE</formula>
    </cfRule>
    <cfRule type="expression" dxfId="7532" priority="9886">
      <formula>IF($AB101&gt;4.5,"ИСТИНА","ЛОЖЬ")</formula>
    </cfRule>
  </conditionalFormatting>
  <conditionalFormatting sqref="M101:M102">
    <cfRule type="expression" dxfId="7531" priority="9823">
      <formula>IF($AB101&gt;4.5,"ИСТИНА","ЛОЖЬ")</formula>
    </cfRule>
  </conditionalFormatting>
  <conditionalFormatting sqref="M102">
    <cfRule type="expression" dxfId="7530" priority="9824">
      <formula>_xlfn.ISFORMULA(M102)=TRUE</formula>
    </cfRule>
  </conditionalFormatting>
  <conditionalFormatting sqref="M102:M105">
    <cfRule type="expression" dxfId="7529" priority="9755">
      <formula>_xlfn.ISFORMULA(M102)=TRUE</formula>
    </cfRule>
    <cfRule type="expression" dxfId="7528" priority="9754">
      <formula>IF($AB102&gt;4.5,"ИСТИНА","ЛОЖЬ")</formula>
    </cfRule>
  </conditionalFormatting>
  <conditionalFormatting sqref="M103">
    <cfRule type="expression" dxfId="7527" priority="9745">
      <formula>IF($AB103&gt;4.5,"ИСТИНА","ЛОЖЬ")</formula>
    </cfRule>
  </conditionalFormatting>
  <conditionalFormatting sqref="M106">
    <cfRule type="expression" dxfId="7526" priority="9666">
      <formula>_xlfn.ISFORMULA(M106)=TRUE</formula>
    </cfRule>
    <cfRule type="expression" dxfId="7525" priority="9665">
      <formula>IF($AB106&gt;4.5,"ИСТИНА","ЛОЖЬ")</formula>
    </cfRule>
  </conditionalFormatting>
  <conditionalFormatting sqref="M106:M107">
    <cfRule type="expression" dxfId="7524" priority="9607">
      <formula>IF($AB106&gt;4.5,"ИСТИНА","ЛОЖЬ")</formula>
    </cfRule>
    <cfRule type="expression" dxfId="7523" priority="9608">
      <formula>_xlfn.ISFORMULA(M106)=TRUE</formula>
    </cfRule>
  </conditionalFormatting>
  <conditionalFormatting sqref="M107:M108">
    <cfRule type="expression" dxfId="7522" priority="9544">
      <formula>IF($AB107&gt;4.5,"ИСТИНА","ЛОЖЬ")</formula>
    </cfRule>
  </conditionalFormatting>
  <conditionalFormatting sqref="M108">
    <cfRule type="expression" dxfId="7521" priority="9545">
      <formula>_xlfn.ISFORMULA(M108)=TRUE</formula>
    </cfRule>
  </conditionalFormatting>
  <conditionalFormatting sqref="M108:M109">
    <cfRule type="expression" dxfId="7520" priority="9474">
      <formula>_xlfn.ISFORMULA(M108)=TRUE</formula>
    </cfRule>
    <cfRule type="expression" dxfId="7519" priority="9473">
      <formula>IF($AB108&gt;4.5,"ИСТИНА","ЛОЖЬ")</formula>
    </cfRule>
  </conditionalFormatting>
  <conditionalFormatting sqref="M109:M110">
    <cfRule type="expression" dxfId="7518" priority="9390">
      <formula>IF($AB109&gt;4.5,"ИСТИНА","ЛОЖЬ")</formula>
    </cfRule>
  </conditionalFormatting>
  <conditionalFormatting sqref="M110">
    <cfRule type="expression" dxfId="7517" priority="9391">
      <formula>_xlfn.ISFORMULA(M110)=TRUE</formula>
    </cfRule>
  </conditionalFormatting>
  <conditionalFormatting sqref="M110:M111">
    <cfRule type="expression" dxfId="7516" priority="9320">
      <formula>IF($AB110&gt;4.5,"ИСТИНА","ЛОЖЬ")</formula>
    </cfRule>
    <cfRule type="expression" dxfId="7515" priority="9321">
      <formula>_xlfn.ISFORMULA(M110)=TRUE</formula>
    </cfRule>
  </conditionalFormatting>
  <conditionalFormatting sqref="M111:M114">
    <cfRule type="expression" dxfId="7514" priority="9250">
      <formula>IF($AB111&gt;4.5,"ИСТИНА","ЛОЖЬ")</formula>
    </cfRule>
    <cfRule type="expression" dxfId="7513" priority="9251">
      <formula>_xlfn.ISFORMULA(M111)=TRUE</formula>
    </cfRule>
  </conditionalFormatting>
  <conditionalFormatting sqref="M112:M115">
    <cfRule type="expression" dxfId="7512" priority="9180">
      <formula>IF($AB112&gt;4.5,"ИСТИНА","ЛОЖЬ")</formula>
    </cfRule>
    <cfRule type="expression" dxfId="7511" priority="9181">
      <formula>_xlfn.ISFORMULA(M112)=TRUE</formula>
    </cfRule>
  </conditionalFormatting>
  <conditionalFormatting sqref="M115:M116">
    <cfRule type="expression" dxfId="7510" priority="9110">
      <formula>IF($AB115&gt;4.5,"ИСТИНА","ЛОЖЬ")</formula>
    </cfRule>
    <cfRule type="expression" dxfId="7509" priority="9111">
      <formula>_xlfn.ISFORMULA(M115)=TRUE</formula>
    </cfRule>
  </conditionalFormatting>
  <conditionalFormatting sqref="M116:M117">
    <cfRule type="expression" dxfId="7508" priority="9040">
      <formula>IF($AB116&gt;4.5,"ИСТИНА","ЛОЖЬ")</formula>
    </cfRule>
  </conditionalFormatting>
  <conditionalFormatting sqref="M117">
    <cfRule type="expression" dxfId="7507" priority="9041">
      <formula>_xlfn.ISFORMULA(M117)=TRUE</formula>
    </cfRule>
  </conditionalFormatting>
  <conditionalFormatting sqref="M117:M118">
    <cfRule type="expression" dxfId="7506" priority="8970">
      <formula>IF($AB117&gt;4.5,"ИСТИНА","ЛОЖЬ")</formula>
    </cfRule>
    <cfRule type="expression" dxfId="7505" priority="8971">
      <formula>_xlfn.ISFORMULA(M117)=TRUE</formula>
    </cfRule>
  </conditionalFormatting>
  <conditionalFormatting sqref="M118:M119">
    <cfRule type="expression" dxfId="7504" priority="8901">
      <formula>_xlfn.ISFORMULA(M118)=TRUE</formula>
    </cfRule>
    <cfRule type="expression" dxfId="7503" priority="8900">
      <formula>IF($AB118&gt;4.5,"ИСТИНА","ЛОЖЬ")</formula>
    </cfRule>
  </conditionalFormatting>
  <conditionalFormatting sqref="M119:M120">
    <cfRule type="expression" dxfId="7502" priority="8831">
      <formula>_xlfn.ISFORMULA(M119)=TRUE</formula>
    </cfRule>
    <cfRule type="expression" dxfId="7501" priority="8830">
      <formula>IF($AB119&gt;4.5,"ИСТИНА","ЛОЖЬ")</formula>
    </cfRule>
  </conditionalFormatting>
  <conditionalFormatting sqref="M120:M121">
    <cfRule type="expression" dxfId="7500" priority="8411">
      <formula>_xlfn.ISFORMULA(M120)=TRUE</formula>
    </cfRule>
    <cfRule type="expression" dxfId="7499" priority="8410">
      <formula>IF($AB120&gt;4.5,"ИСТИНА","ЛОЖЬ")</formula>
    </cfRule>
  </conditionalFormatting>
  <conditionalFormatting sqref="M121:M126">
    <cfRule type="expression" dxfId="7498" priority="8060">
      <formula>IF($AB121&gt;4.5,"ИСТИНА","ЛОЖЬ")</formula>
    </cfRule>
  </conditionalFormatting>
  <conditionalFormatting sqref="M122:M123">
    <cfRule type="expression" dxfId="7497" priority="8760">
      <formula>IF($AB122&gt;4.5,"ИСТИНА","ЛОЖЬ")</formula>
    </cfRule>
  </conditionalFormatting>
  <conditionalFormatting sqref="M122:M126">
    <cfRule type="expression" dxfId="7496" priority="7990">
      <formula>IF($AB122&gt;4.5,"ИСТИНА","ЛОЖЬ")</formula>
    </cfRule>
    <cfRule type="expression" dxfId="7495" priority="7781">
      <formula>_xlfn.ISFORMULA(M122)=TRUE</formula>
    </cfRule>
    <cfRule type="expression" dxfId="7494" priority="8061">
      <formula>_xlfn.ISFORMULA(M122)=TRUE</formula>
    </cfRule>
    <cfRule type="expression" dxfId="7493" priority="7780">
      <formula>IF($AB122&gt;4.5,"ИСТИНА","ЛОЖЬ")</formula>
    </cfRule>
    <cfRule type="expression" dxfId="7492" priority="7711">
      <formula>_xlfn.ISFORMULA(M122)=TRUE</formula>
    </cfRule>
    <cfRule type="expression" dxfId="7491" priority="7710">
      <formula>IF($AB122&gt;4.5,"ИСТИНА","ЛОЖЬ")</formula>
    </cfRule>
    <cfRule type="expression" dxfId="7490" priority="7991">
      <formula>_xlfn.ISFORMULA(M122)=TRUE</formula>
    </cfRule>
  </conditionalFormatting>
  <conditionalFormatting sqref="M123">
    <cfRule type="expression" dxfId="7489" priority="8761">
      <formula>_xlfn.ISFORMULA(M123)=TRUE</formula>
    </cfRule>
  </conditionalFormatting>
  <conditionalFormatting sqref="M123:M124">
    <cfRule type="expression" dxfId="7488" priority="8690">
      <formula>IF($AB123&gt;4.5,"ИСТИНА","ЛОЖЬ")</formula>
    </cfRule>
    <cfRule type="expression" dxfId="7487" priority="8691">
      <formula>_xlfn.ISFORMULA(M123)=TRUE</formula>
    </cfRule>
  </conditionalFormatting>
  <conditionalFormatting sqref="M123:M125">
    <cfRule type="expression" dxfId="7486" priority="7640">
      <formula>IF($AB123&gt;4.5,"ИСТИНА","ЛОЖЬ")</formula>
    </cfRule>
    <cfRule type="expression" dxfId="7485" priority="7641">
      <formula>_xlfn.ISFORMULA(M123)=TRUE</formula>
    </cfRule>
    <cfRule type="expression" dxfId="7484" priority="8341">
      <formula>_xlfn.ISFORMULA(M123)=TRUE</formula>
    </cfRule>
    <cfRule type="expression" dxfId="7483" priority="8340">
      <formula>IF($AB123&gt;4.5,"ИСТИНА","ЛОЖЬ")</formula>
    </cfRule>
  </conditionalFormatting>
  <conditionalFormatting sqref="M124:M125">
    <cfRule type="expression" dxfId="7482" priority="7570">
      <formula>IF($AB124&gt;4.5,"ИСТИНА","ЛОЖЬ")</formula>
    </cfRule>
    <cfRule type="expression" dxfId="7481" priority="7571">
      <formula>_xlfn.ISFORMULA(M124)=TRUE</formula>
    </cfRule>
  </conditionalFormatting>
  <conditionalFormatting sqref="M125">
    <cfRule type="expression" dxfId="7480" priority="7562">
      <formula>_xlfn.ISFORMULA(M125)=TRUE</formula>
    </cfRule>
    <cfRule type="expression" dxfId="7479" priority="7561">
      <formula>IF($AB125&gt;4.5,"ИСТИНА","ЛОЖЬ")</formula>
    </cfRule>
  </conditionalFormatting>
  <conditionalFormatting sqref="M127">
    <cfRule type="expression" dxfId="7478" priority="7499">
      <formula>_xlfn.ISFORMULA(M127)=TRUE</formula>
    </cfRule>
  </conditionalFormatting>
  <conditionalFormatting sqref="M127:M128">
    <cfRule type="expression" dxfId="7477" priority="7500">
      <formula>IF($AB127&gt;4.5,"ИСТИНА","ЛОЖЬ")</formula>
    </cfRule>
  </conditionalFormatting>
  <conditionalFormatting sqref="M129:M130">
    <cfRule type="expression" dxfId="7476" priority="7437">
      <formula>IF($AB129&gt;4.5,"ИСТИНА","ЛОЖЬ")</formula>
    </cfRule>
  </conditionalFormatting>
  <conditionalFormatting sqref="M131:M152">
    <cfRule type="expression" dxfId="7475" priority="6800">
      <formula>IF($AB131&gt;4.5,"ИСТИНА","ЛОЖЬ")</formula>
    </cfRule>
  </conditionalFormatting>
  <conditionalFormatting sqref="M153:M156">
    <cfRule type="expression" dxfId="7474" priority="6655">
      <formula>IF($AB153&gt;4.5,"ИСТИНА","ЛОЖЬ")</formula>
    </cfRule>
  </conditionalFormatting>
  <conditionalFormatting sqref="M157:M160">
    <cfRule type="expression" dxfId="7473" priority="6140">
      <formula>IF($AB157&gt;4.5,"ИСТИНА","ЛОЖЬ")</formula>
    </cfRule>
  </conditionalFormatting>
  <conditionalFormatting sqref="M161:M162">
    <cfRule type="expression" dxfId="7472" priority="6290">
      <formula>IF($AB161&gt;4.5,"ИСТИНА","ЛОЖЬ")</formula>
    </cfRule>
  </conditionalFormatting>
  <conditionalFormatting sqref="M163">
    <cfRule type="expression" dxfId="7471" priority="6194">
      <formula>_xlfn.ISFORMULA(M163)=TRUE</formula>
    </cfRule>
  </conditionalFormatting>
  <conditionalFormatting sqref="M163:M173">
    <cfRule type="expression" dxfId="7470" priority="6220">
      <formula>IF($AB163&gt;4.5,"ИСТИНА","ЛОЖЬ")</formula>
    </cfRule>
  </conditionalFormatting>
  <conditionalFormatting sqref="M174:M175">
    <cfRule type="expression" dxfId="7469" priority="5427">
      <formula>IF($AB174&gt;4.5,"ИСТИНА","ЛОЖЬ")</formula>
    </cfRule>
  </conditionalFormatting>
  <conditionalFormatting sqref="M176">
    <cfRule type="expression" dxfId="7468" priority="4890">
      <formula>_xlfn.ISFORMULA(M176)=TRUE</formula>
    </cfRule>
  </conditionalFormatting>
  <conditionalFormatting sqref="M176:M178">
    <cfRule type="expression" dxfId="7467" priority="4899">
      <formula>IF($AB176&gt;4.5,"ИСТИНА","ЛОЖЬ")</formula>
    </cfRule>
  </conditionalFormatting>
  <conditionalFormatting sqref="M179:M1000">
    <cfRule type="expression" dxfId="7466" priority="4725">
      <formula>IF($AB179&gt;4.5,"ИСТИНА","ЛОЖЬ")</formula>
    </cfRule>
  </conditionalFormatting>
  <conditionalFormatting sqref="M99:R99">
    <cfRule type="expression" dxfId="7465" priority="9947">
      <formula>_xlfn.ISFORMULA(M99)=TRUE</formula>
    </cfRule>
  </conditionalFormatting>
  <conditionalFormatting sqref="M101:R101">
    <cfRule type="expression" dxfId="7464" priority="9871">
      <formula>_xlfn.ISFORMULA(M101)=TRUE</formula>
    </cfRule>
  </conditionalFormatting>
  <conditionalFormatting sqref="M103:R103">
    <cfRule type="expression" dxfId="7463" priority="9746">
      <formula>_xlfn.ISFORMULA(M103)=TRUE</formula>
    </cfRule>
  </conditionalFormatting>
  <conditionalFormatting sqref="M107:R107">
    <cfRule type="expression" dxfId="7462" priority="9592">
      <formula>_xlfn.ISFORMULA(M107)=TRUE</formula>
    </cfRule>
  </conditionalFormatting>
  <conditionalFormatting sqref="M109:R109">
    <cfRule type="expression" dxfId="7461" priority="9458">
      <formula>_xlfn.ISFORMULA(M109)=TRUE</formula>
    </cfRule>
  </conditionalFormatting>
  <conditionalFormatting sqref="M116:R116">
    <cfRule type="expression" dxfId="7460" priority="9095">
      <formula>_xlfn.ISFORMULA(M116)=TRUE</formula>
    </cfRule>
  </conditionalFormatting>
  <conditionalFormatting sqref="M121:R121">
    <cfRule type="expression" dxfId="7459" priority="8402">
      <formula>_xlfn.ISFORMULA(M121)=TRUE</formula>
    </cfRule>
  </conditionalFormatting>
  <conditionalFormatting sqref="N47">
    <cfRule type="expression" dxfId="7458" priority="12443">
      <formula>_xlfn.ISFORMULA(N47)=TRUE</formula>
    </cfRule>
  </conditionalFormatting>
  <conditionalFormatting sqref="N55:N64">
    <cfRule type="expression" dxfId="7457" priority="3965">
      <formula>_xlfn.ISFORMULA(N55)=TRUE</formula>
    </cfRule>
  </conditionalFormatting>
  <conditionalFormatting sqref="N72:N78">
    <cfRule type="expression" dxfId="7456" priority="1">
      <formula>_xlfn.ISFORMULA(N72)=TRUE</formula>
    </cfRule>
  </conditionalFormatting>
  <conditionalFormatting sqref="N208:N211">
    <cfRule type="expression" dxfId="7455" priority="1016">
      <formula>_xlfn.ISFORMULA(N208)=TRUE</formula>
    </cfRule>
  </conditionalFormatting>
  <conditionalFormatting sqref="N216:N224">
    <cfRule type="expression" dxfId="7454" priority="986">
      <formula>_xlfn.ISFORMULA(N216)=TRUE</formula>
    </cfRule>
  </conditionalFormatting>
  <conditionalFormatting sqref="N227:N231">
    <cfRule type="expression" dxfId="7453" priority="966">
      <formula>_xlfn.ISFORMULA(N227)=TRUE</formula>
    </cfRule>
  </conditionalFormatting>
  <conditionalFormatting sqref="N414:N421">
    <cfRule type="expression" dxfId="7452" priority="14280">
      <formula>_xlfn.ISFORMULA(N414)=TRUE</formula>
    </cfRule>
  </conditionalFormatting>
  <conditionalFormatting sqref="N3:O3">
    <cfRule type="expression" dxfId="7451" priority="14636">
      <formula>TRUE</formula>
    </cfRule>
  </conditionalFormatting>
  <conditionalFormatting sqref="N19:O20">
    <cfRule type="expression" dxfId="7450" priority="14637">
      <formula>TRUE</formula>
    </cfRule>
  </conditionalFormatting>
  <conditionalFormatting sqref="N32:O36">
    <cfRule type="expression" dxfId="7449" priority="4092">
      <formula>_xlfn.ISFORMULA(N32)=TRUE</formula>
    </cfRule>
  </conditionalFormatting>
  <conditionalFormatting sqref="N36:O37">
    <cfRule type="expression" dxfId="7448" priority="14641">
      <formula>TRUE</formula>
    </cfRule>
  </conditionalFormatting>
  <conditionalFormatting sqref="N48:O52">
    <cfRule type="expression" dxfId="7447" priority="12251">
      <formula>_xlfn.ISFORMULA(N48)=TRUE</formula>
    </cfRule>
  </conditionalFormatting>
  <conditionalFormatting sqref="N53:O1000">
    <cfRule type="expression" dxfId="7446" priority="14644">
      <formula>AND(ROW()&gt;=19,MOD(ROW()-19,17)&lt;2)</formula>
    </cfRule>
  </conditionalFormatting>
  <conditionalFormatting sqref="N65:O71">
    <cfRule type="expression" dxfId="7445" priority="1045">
      <formula>_xlfn.ISFORMULA(N65)=TRUE</formula>
    </cfRule>
  </conditionalFormatting>
  <conditionalFormatting sqref="N81:O86">
    <cfRule type="expression" dxfId="7444" priority="3634">
      <formula>_xlfn.ISFORMULA(N81)=TRUE</formula>
    </cfRule>
  </conditionalFormatting>
  <conditionalFormatting sqref="N89:O93">
    <cfRule type="expression" dxfId="7443" priority="3688">
      <formula>_xlfn.ISFORMULA(N89)=TRUE</formula>
    </cfRule>
  </conditionalFormatting>
  <conditionalFormatting sqref="N99:O99">
    <cfRule type="expression" dxfId="7442" priority="9943">
      <formula>_xlfn.ISFORMULA(N99)=TRUE</formula>
    </cfRule>
  </conditionalFormatting>
  <conditionalFormatting sqref="N103:O103">
    <cfRule type="expression" dxfId="7441" priority="9739">
      <formula>_xlfn.ISFORMULA(N103)=TRUE</formula>
    </cfRule>
  </conditionalFormatting>
  <conditionalFormatting sqref="N121:O122">
    <cfRule type="expression" dxfId="7440" priority="7768">
      <formula>_xlfn.ISFORMULA(N121)=TRUE</formula>
    </cfRule>
  </conditionalFormatting>
  <conditionalFormatting sqref="N138:O138">
    <cfRule type="expression" dxfId="7439" priority="7184">
      <formula>_xlfn.ISFORMULA(N138)=TRUE</formula>
    </cfRule>
  </conditionalFormatting>
  <conditionalFormatting sqref="N142:O154">
    <cfRule type="expression" dxfId="7438" priority="3128">
      <formula>_xlfn.ISFORMULA(N142)=TRUE</formula>
    </cfRule>
  </conditionalFormatting>
  <conditionalFormatting sqref="N174:O201">
    <cfRule type="expression" dxfId="7437" priority="2816">
      <formula>_xlfn.ISFORMULA(N174)=TRUE</formula>
    </cfRule>
  </conditionalFormatting>
  <conditionalFormatting sqref="N203:O205">
    <cfRule type="expression" dxfId="7436" priority="2743">
      <formula>_xlfn.ISFORMULA(N203)=TRUE</formula>
    </cfRule>
  </conditionalFormatting>
  <conditionalFormatting sqref="N248:O256">
    <cfRule type="expression" dxfId="7435" priority="14312">
      <formula>_xlfn.ISFORMULA(N248)=TRUE</formula>
    </cfRule>
  </conditionalFormatting>
  <conditionalFormatting sqref="N274:O275">
    <cfRule type="expression" dxfId="7434" priority="14086">
      <formula>_xlfn.ISFORMULA(N274)=TRUE</formula>
    </cfRule>
  </conditionalFormatting>
  <conditionalFormatting sqref="N291:O292 N308:O309">
    <cfRule type="expression" dxfId="7433" priority="14082">
      <formula>_xlfn.ISFORMULA(N291)=TRUE</formula>
    </cfRule>
  </conditionalFormatting>
  <conditionalFormatting sqref="N444:O445">
    <cfRule type="expression" dxfId="7432" priority="14068">
      <formula>_xlfn.ISFORMULA(N444)=TRUE</formula>
    </cfRule>
  </conditionalFormatting>
  <conditionalFormatting sqref="N478:O479">
    <cfRule type="expression" dxfId="7431" priority="14065">
      <formula>_xlfn.ISFORMULA(N478)=TRUE</formula>
    </cfRule>
  </conditionalFormatting>
  <conditionalFormatting sqref="N495:O1000">
    <cfRule type="expression" dxfId="7430" priority="14063">
      <formula>_xlfn.ISFORMULA(N495)=TRUE</formula>
    </cfRule>
  </conditionalFormatting>
  <conditionalFormatting sqref="N157:P171">
    <cfRule type="expression" dxfId="7429" priority="2903">
      <formula>_xlfn.ISFORMULA(N157)=TRUE</formula>
    </cfRule>
  </conditionalFormatting>
  <conditionalFormatting sqref="N112:R112">
    <cfRule type="expression" dxfId="7428" priority="9238">
      <formula>_xlfn.ISFORMULA(N112)=TRUE</formula>
    </cfRule>
  </conditionalFormatting>
  <conditionalFormatting sqref="N3:AE3 T4:AE11 R12:AE13 T14:AE14 R15:AE19 T20:AE87 J88:AE88 T89:AE104 Q105:AE105 T106:AE121 J122:AE122 T123:AE138 J139:AE139 T140:AE155 J156:AE156 T157:AE171 J172:AE173 T174:AE202 R203:AE205 Q206:AE232 T233:AE233 Q234:AE236 T237:AE239 Q240:AE241 T242:AE246 Q247:AE247 T248:AE248 Q249:AE273 T274:AE292 S293:AE294 T295:AE327 Q328:AE341 T342:AE343 Q344:AE358 T359:AE360 Q361:AE392 T393:AE394 Q395:AE494 T495:AE496 Q497:AE1000 A497:L1000 Q276 Q281 Q286 Q297 Q303 Q312 Q319 A88:H88 A105:H105 A122:H122 A139:H139 A148:D148 A152:D153 A156:H156 A164:D164 A170:D172 A173:H173 A186:D188 A189:H190 A191:D201 A202:H202 A206:H206 A207:E207 A208:H215 A216:D220 A222:D224 A232:H232 A236:H236 A237:D237 A238:E239 A240:H241 A242:E245 A246:D256 A257:O258 A259:D269 A271:O273 A274:M275 A276:H281 D277:K280 A291:D292 A308:M309 A319:M319 A320:D325 A327:D327 A328:K329 A330:O341 A342:J343 A344:O358 A359:J360 A361:O368 A369:K369 A370:O377 A378:K382 A383:O392 A393:J394 A395:O414 A415:M416 C416:L417 A417:O417 A418:M421 A422:O443 A444:M445 A446:O460 A461:J462 A463:O477 A478:M479 A480:O494 G100 G148 G152 G208:G224 F224:H224 G236:G258 G237:H239 G249:H254 F255:H255 F256:M256 N4:Q31 M41 M43 M45 J71:M71 L104:M104 J105:O105 L128:M128 L130:M130 L148:M148 L152:M152 M164:M173 E203:H205 L186:M192 M186:M1000 L194:M194 L196:M201 J202:O202 L203:M203 J204:M204 L205:M205 J206:O206 L207:O207 L208:M220 L222:M224 K225:M226 L227:M231 J232:O232 J233:M233 J234:O236 L237:M239 J240:O241 L243:M243 L245:M245 J248:M248 L249:M250 L253:M253 E270:O270 L324:M326 M328:O329 G270:G276 G328:G494 A3:B87 A89:B96 A97:C103 A106:C121 A123:C138 A157:C163 A165:C169 J276:K276 A282:C290 A293:C307 S295:S307 A310:C318 O415:O416 O418:O421">
    <cfRule type="expression" dxfId="7427" priority="14624">
      <formula>_xlfn.ISFORMULA(A3)=TRUE</formula>
    </cfRule>
  </conditionalFormatting>
  <conditionalFormatting sqref="O32:O35">
    <cfRule type="expression" dxfId="7426" priority="12880">
      <formula>_xlfn.ISFORMULA(O32)=TRUE</formula>
    </cfRule>
  </conditionalFormatting>
  <conditionalFormatting sqref="O37:O38">
    <cfRule type="expression" dxfId="7425" priority="1138">
      <formula>_xlfn.ISFORMULA(O37)=TRUE</formula>
    </cfRule>
  </conditionalFormatting>
  <conditionalFormatting sqref="O55:O70">
    <cfRule type="expression" dxfId="7424" priority="1042">
      <formula>_xlfn.ISFORMULA(O55)=TRUE</formula>
    </cfRule>
  </conditionalFormatting>
  <conditionalFormatting sqref="O72:O87">
    <cfRule type="expression" dxfId="7423" priority="3631">
      <formula>_xlfn.ISFORMULA(O72)=TRUE</formula>
    </cfRule>
  </conditionalFormatting>
  <conditionalFormatting sqref="O89:O100">
    <cfRule type="expression" dxfId="7422" priority="3524">
      <formula>_xlfn.ISFORMULA(O89)=TRUE</formula>
    </cfRule>
  </conditionalFormatting>
  <conditionalFormatting sqref="O102">
    <cfRule type="expression" dxfId="7421" priority="3518">
      <formula>_xlfn.ISFORMULA(O102)=TRUE</formula>
    </cfRule>
  </conditionalFormatting>
  <conditionalFormatting sqref="O104">
    <cfRule type="expression" dxfId="7420" priority="1706">
      <formula>_xlfn.ISFORMULA(O104)=TRUE</formula>
    </cfRule>
  </conditionalFormatting>
  <conditionalFormatting sqref="O106">
    <cfRule type="expression" dxfId="7419" priority="3512">
      <formula>_xlfn.ISFORMULA(O106)=TRUE</formula>
    </cfRule>
  </conditionalFormatting>
  <conditionalFormatting sqref="O108">
    <cfRule type="expression" dxfId="7418" priority="3506">
      <formula>_xlfn.ISFORMULA(O108)=TRUE</formula>
    </cfRule>
  </conditionalFormatting>
  <conditionalFormatting sqref="O110:O115">
    <cfRule type="expression" dxfId="7417" priority="3383">
      <formula>_xlfn.ISFORMULA(O110)=TRUE</formula>
    </cfRule>
  </conditionalFormatting>
  <conditionalFormatting sqref="O117:O120">
    <cfRule type="expression" dxfId="7416" priority="3269">
      <formula>_xlfn.ISFORMULA(O117)=TRUE</formula>
    </cfRule>
  </conditionalFormatting>
  <conditionalFormatting sqref="O122:O137">
    <cfRule type="expression" dxfId="7415" priority="3207">
      <formula>_xlfn.ISFORMULA(O122)=TRUE</formula>
    </cfRule>
  </conditionalFormatting>
  <conditionalFormatting sqref="O174:O188">
    <cfRule type="expression" dxfId="7414" priority="2891">
      <formula>_xlfn.ISFORMULA(O174)=TRUE</formula>
    </cfRule>
  </conditionalFormatting>
  <conditionalFormatting sqref="O191:O201">
    <cfRule type="expression" dxfId="7413" priority="2813">
      <formula>_xlfn.ISFORMULA(O191)=TRUE</formula>
    </cfRule>
  </conditionalFormatting>
  <conditionalFormatting sqref="O208:O231">
    <cfRule type="expression" dxfId="7412" priority="969">
      <formula>_xlfn.ISFORMULA(O208)=TRUE</formula>
    </cfRule>
  </conditionalFormatting>
  <conditionalFormatting sqref="O233">
    <cfRule type="expression" dxfId="7411" priority="2722">
      <formula>_xlfn.ISFORMULA(O233)=TRUE</formula>
    </cfRule>
  </conditionalFormatting>
  <conditionalFormatting sqref="O237:O239">
    <cfRule type="expression" dxfId="7410" priority="2366">
      <formula>_xlfn.ISFORMULA(O237)=TRUE</formula>
    </cfRule>
  </conditionalFormatting>
  <conditionalFormatting sqref="O242:O247">
    <cfRule type="expression" dxfId="7409" priority="2352">
      <formula>_xlfn.ISFORMULA(O242)=TRUE</formula>
    </cfRule>
  </conditionalFormatting>
  <conditionalFormatting sqref="O276:O290">
    <cfRule type="expression" dxfId="7408" priority="2309">
      <formula>_xlfn.ISFORMULA(O276)=TRUE</formula>
    </cfRule>
  </conditionalFormatting>
  <conditionalFormatting sqref="O293:O307">
    <cfRule type="expression" dxfId="7407" priority="2279">
      <formula>_xlfn.ISFORMULA(O293)=TRUE</formula>
    </cfRule>
  </conditionalFormatting>
  <conditionalFormatting sqref="O310:O327">
    <cfRule type="expression" dxfId="7406" priority="79">
      <formula>_xlfn.ISFORMULA(O310)=TRUE</formula>
    </cfRule>
  </conditionalFormatting>
  <conditionalFormatting sqref="O39:P39">
    <cfRule type="expression" dxfId="7405" priority="12697">
      <formula>_xlfn.ISFORMULA(O39)=TRUE</formula>
    </cfRule>
  </conditionalFormatting>
  <conditionalFormatting sqref="O140:P155">
    <cfRule type="expression" dxfId="7404" priority="3125">
      <formula>_xlfn.ISFORMULA(O140)=TRUE</formula>
    </cfRule>
  </conditionalFormatting>
  <conditionalFormatting sqref="O40:Q53">
    <cfRule type="expression" dxfId="7403" priority="1106">
      <formula>_xlfn.ISFORMULA(O40)=TRUE</formula>
    </cfRule>
  </conditionalFormatting>
  <conditionalFormatting sqref="O110:R110">
    <cfRule type="expression" dxfId="7402" priority="9382">
      <formula>_xlfn.ISFORMULA(O110)=TRUE</formula>
    </cfRule>
  </conditionalFormatting>
  <conditionalFormatting sqref="O122:R122">
    <cfRule type="expression" dxfId="7401" priority="7772">
      <formula>_xlfn.ISFORMULA(O122)=TRUE</formula>
    </cfRule>
  </conditionalFormatting>
  <conditionalFormatting sqref="O76:S76">
    <cfRule type="expression" dxfId="7400" priority="11329">
      <formula>_xlfn.ISFORMULA(O76)=TRUE</formula>
    </cfRule>
  </conditionalFormatting>
  <conditionalFormatting sqref="O94:S94">
    <cfRule type="expression" dxfId="7399" priority="10233">
      <formula>_xlfn.ISFORMULA(O94)=TRUE</formula>
    </cfRule>
  </conditionalFormatting>
  <conditionalFormatting sqref="P35:P38">
    <cfRule type="expression" dxfId="7398" priority="12659">
      <formula>_xlfn.ISFORMULA(P35)=TRUE</formula>
    </cfRule>
  </conditionalFormatting>
  <conditionalFormatting sqref="P89:P138">
    <cfRule type="expression" dxfId="7397" priority="7206">
      <formula>_xlfn.ISFORMULA(P89)=TRUE</formula>
    </cfRule>
  </conditionalFormatting>
  <conditionalFormatting sqref="P174:P1000">
    <cfRule type="expression" dxfId="7396" priority="4715">
      <formula>_xlfn.ISFORMULA(P174)=TRUE</formula>
    </cfRule>
  </conditionalFormatting>
  <conditionalFormatting sqref="P32:R34">
    <cfRule type="expression" dxfId="7395" priority="13346">
      <formula>_xlfn.ISFORMULA(P32)=TRUE</formula>
    </cfRule>
  </conditionalFormatting>
  <conditionalFormatting sqref="P32:R35">
    <cfRule type="expression" dxfId="7394" priority="12936">
      <formula>_xlfn.ISFORMULA(P32)=TRUE</formula>
    </cfRule>
  </conditionalFormatting>
  <conditionalFormatting sqref="P117:R117">
    <cfRule type="expression" dxfId="7393" priority="9032">
      <formula>_xlfn.ISFORMULA(P117)=TRUE</formula>
    </cfRule>
  </conditionalFormatting>
  <conditionalFormatting sqref="P122:R122">
    <cfRule type="expression" dxfId="7392" priority="8052">
      <formula>_xlfn.ISFORMULA(P122)=TRUE</formula>
    </cfRule>
  </conditionalFormatting>
  <conditionalFormatting sqref="P77:S77">
    <cfRule type="expression" dxfId="7391" priority="11270">
      <formula>_xlfn.ISFORMULA(P77)=TRUE</formula>
    </cfRule>
  </conditionalFormatting>
  <conditionalFormatting sqref="P78:S78">
    <cfRule type="expression" dxfId="7390" priority="11205">
      <formula>_xlfn.ISFORMULA(P78)=TRUE</formula>
    </cfRule>
  </conditionalFormatting>
  <conditionalFormatting sqref="P79:S79">
    <cfRule type="expression" dxfId="7389" priority="11146">
      <formula>_xlfn.ISFORMULA(P79)=TRUE</formula>
    </cfRule>
  </conditionalFormatting>
  <conditionalFormatting sqref="P80:S80">
    <cfRule type="expression" dxfId="7388" priority="11081">
      <formula>_xlfn.ISFORMULA(P80)=TRUE</formula>
    </cfRule>
  </conditionalFormatting>
  <conditionalFormatting sqref="Q3:Q34">
    <cfRule type="expression" dxfId="7387" priority="13336">
      <formula>IF($AB3&gt;4.5,"ИСТИНА","ЛОЖЬ")</formula>
    </cfRule>
  </conditionalFormatting>
  <conditionalFormatting sqref="Q32:Q35">
    <cfRule type="expression" dxfId="7386" priority="12925">
      <formula>IF($X32&gt;4.5,"ИСТИНА","ЛОЖЬ")</formula>
    </cfRule>
    <cfRule type="expression" dxfId="7385" priority="12926">
      <formula>IF($AB32&gt;4.5,"ИСТИНА","ЛОЖЬ")</formula>
    </cfRule>
  </conditionalFormatting>
  <conditionalFormatting sqref="Q32:Q36">
    <cfRule type="expression" dxfId="7384" priority="13335">
      <formula>IF($X32&gt;4.5,"ИСТИНА","ЛОЖЬ")</formula>
    </cfRule>
  </conditionalFormatting>
  <conditionalFormatting sqref="Q37:Q39">
    <cfRule type="expression" dxfId="7383" priority="1132">
      <formula>_xlfn.ISFORMULA(Q37)=TRUE</formula>
    </cfRule>
  </conditionalFormatting>
  <conditionalFormatting sqref="Q37:Q52">
    <cfRule type="expression" dxfId="7382" priority="1134">
      <formula>IF($X37&gt;4.5,"ИСТИНА","ЛОЖЬ")</formula>
    </cfRule>
  </conditionalFormatting>
  <conditionalFormatting sqref="Q53:Q69">
    <cfRule type="expression" dxfId="7381" priority="1108">
      <formula>IF($X53&gt;4.5,"ИСТИНА","ЛОЖЬ")</formula>
    </cfRule>
  </conditionalFormatting>
  <conditionalFormatting sqref="Q70">
    <cfRule type="expression" dxfId="7380" priority="1038">
      <formula>IF($X70&gt;4.5,"ИСТИНА","ЛОЖЬ")</formula>
    </cfRule>
  </conditionalFormatting>
  <conditionalFormatting sqref="Q71:Q75">
    <cfRule type="expression" dxfId="7379" priority="3815">
      <formula>IF($X71&gt;4.5,"ИСТИНА","ЛОЖЬ")</formula>
    </cfRule>
  </conditionalFormatting>
  <conditionalFormatting sqref="Q76">
    <cfRule type="expression" dxfId="7378" priority="11330">
      <formula>IF($X76&gt;4.5,"ИСТИНА","ЛОЖЬ")</formula>
    </cfRule>
    <cfRule type="expression" dxfId="7377" priority="11319">
      <formula>IF($AB76&gt;4.5,"ИСТИНА","ЛОЖЬ")</formula>
    </cfRule>
    <cfRule type="expression" dxfId="7376" priority="11318">
      <formula>IF($X76&gt;4.5,"ИСТИНА","ЛОЖЬ")</formula>
    </cfRule>
  </conditionalFormatting>
  <conditionalFormatting sqref="Q77">
    <cfRule type="expression" dxfId="7375" priority="11260">
      <formula>IF($AB77&gt;4.5,"ИСТИНА","ЛОЖЬ")</formula>
    </cfRule>
    <cfRule type="expression" dxfId="7374" priority="11271">
      <formula>IF($X77&gt;4.5,"ИСТИНА","ЛОЖЬ")</formula>
    </cfRule>
    <cfRule type="expression" dxfId="7373" priority="11259">
      <formula>IF($X77&gt;4.5,"ИСТИНА","ЛОЖЬ")</formula>
    </cfRule>
  </conditionalFormatting>
  <conditionalFormatting sqref="Q78">
    <cfRule type="expression" dxfId="7372" priority="11206">
      <formula>IF($X78&gt;4.5,"ИСТИНА","ЛОЖЬ")</formula>
    </cfRule>
    <cfRule type="expression" dxfId="7371" priority="11194">
      <formula>IF($X78&gt;4.5,"ИСТИНА","ЛОЖЬ")</formula>
    </cfRule>
    <cfRule type="expression" dxfId="7370" priority="11195">
      <formula>IF($AB78&gt;4.5,"ИСТИНА","ЛОЖЬ")</formula>
    </cfRule>
  </conditionalFormatting>
  <conditionalFormatting sqref="Q79">
    <cfRule type="expression" dxfId="7369" priority="11136">
      <formula>IF($AB79&gt;4.5,"ИСТИНА","ЛОЖЬ")</formula>
    </cfRule>
    <cfRule type="expression" dxfId="7368" priority="11147">
      <formula>IF($X79&gt;4.5,"ИСТИНА","ЛОЖЬ")</formula>
    </cfRule>
    <cfRule type="expression" dxfId="7367" priority="11135">
      <formula>IF($X79&gt;4.5,"ИСТИНА","ЛОЖЬ")</formula>
    </cfRule>
  </conditionalFormatting>
  <conditionalFormatting sqref="Q80">
    <cfRule type="expression" dxfId="7366" priority="11082">
      <formula>IF($X80&gt;4.5,"ИСТИНА","ЛОЖЬ")</formula>
    </cfRule>
    <cfRule type="expression" dxfId="7365" priority="11070">
      <formula>IF($X80&gt;4.5,"ИСТИНА","ЛОЖЬ")</formula>
    </cfRule>
    <cfRule type="expression" dxfId="7364" priority="11071">
      <formula>IF($AB80&gt;4.5,"ИСТИНА","ЛОЖЬ")</formula>
    </cfRule>
  </conditionalFormatting>
  <conditionalFormatting sqref="Q81 Q84 Q86">
    <cfRule type="expression" dxfId="7363" priority="3623">
      <formula>IF($X81&gt;4.5,"ИСТИНА","ЛОЖЬ")</formula>
    </cfRule>
    <cfRule type="expression" dxfId="7362" priority="3624">
      <formula>IF($AB81&gt;4.5,"ИСТИНА","ЛОЖЬ")</formula>
    </cfRule>
    <cfRule type="expression" dxfId="7361" priority="3629">
      <formula>IF($X81&gt;4.5,"ИСТИНА","ЛОЖЬ")</formula>
    </cfRule>
  </conditionalFormatting>
  <conditionalFormatting sqref="Q82 Q85">
    <cfRule type="expression" dxfId="7360" priority="3617">
      <formula>IF($X82&gt;4.5,"ИСТИНА","ЛОЖЬ")</formula>
    </cfRule>
  </conditionalFormatting>
  <conditionalFormatting sqref="Q83">
    <cfRule type="expression" dxfId="7359" priority="3599">
      <formula>IF($X83&gt;4.5,"ИСТИНА","ЛОЖЬ")</formula>
    </cfRule>
    <cfRule type="expression" dxfId="7358" priority="3600">
      <formula>IF($AB83&gt;4.5,"ИСТИНА","ЛОЖЬ")</formula>
    </cfRule>
    <cfRule type="expression" dxfId="7357" priority="3605">
      <formula>IF($X83&gt;4.5,"ИСТИНА","ЛОЖЬ")</formula>
    </cfRule>
  </conditionalFormatting>
  <conditionalFormatting sqref="Q85 Q82">
    <cfRule type="expression" dxfId="7356" priority="3612">
      <formula>IF($AB82&gt;4.5,"ИСТИНА","ЛОЖЬ")</formula>
    </cfRule>
    <cfRule type="expression" dxfId="7355" priority="3611">
      <formula>IF($X82&gt;4.5,"ИСТИНА","ЛОЖЬ")</formula>
    </cfRule>
  </conditionalFormatting>
  <conditionalFormatting sqref="Q87">
    <cfRule type="expression" dxfId="7354" priority="10631">
      <formula>IF($X87&gt;4.5,"ИСТИНА","ЛОЖЬ")</formula>
    </cfRule>
    <cfRule type="expression" dxfId="7353" priority="10619">
      <formula>IF($X87&gt;4.5,"ИСТИНА","ЛОЖЬ")</formula>
    </cfRule>
  </conditionalFormatting>
  <conditionalFormatting sqref="Q87:Q89 Q92">
    <cfRule type="expression" dxfId="7352" priority="3678">
      <formula>IF($AB87&gt;4.5,"ИСТИНА","ЛОЖЬ")</formula>
    </cfRule>
  </conditionalFormatting>
  <conditionalFormatting sqref="Q89 Q92">
    <cfRule type="expression" dxfId="7351" priority="3683">
      <formula>IF($X89&gt;4.5,"ИСТИНА","ЛОЖЬ")</formula>
    </cfRule>
    <cfRule type="expression" dxfId="7350" priority="3677">
      <formula>IF($X89&gt;4.5,"ИСТИНА","ЛОЖЬ")</formula>
    </cfRule>
  </conditionalFormatting>
  <conditionalFormatting sqref="Q90 Q93">
    <cfRule type="expression" dxfId="7349" priority="3671">
      <formula>IF($X90&gt;4.5,"ИСТИНА","ЛОЖЬ")</formula>
    </cfRule>
  </conditionalFormatting>
  <conditionalFormatting sqref="Q91">
    <cfRule type="expression" dxfId="7348" priority="3653">
      <formula>IF($X91&gt;4.5,"ИСТИНА","ЛОЖЬ")</formula>
    </cfRule>
    <cfRule type="expression" dxfId="7347" priority="3654">
      <formula>IF($AB91&gt;4.5,"ИСТИНА","ЛОЖЬ")</formula>
    </cfRule>
    <cfRule type="expression" dxfId="7346" priority="3659">
      <formula>IF($X91&gt;4.5,"ИСТИНА","ЛОЖЬ")</formula>
    </cfRule>
  </conditionalFormatting>
  <conditionalFormatting sqref="Q93 Q90">
    <cfRule type="expression" dxfId="7345" priority="3666">
      <formula>IF($AB90&gt;4.5,"ИСТИНА","ЛОЖЬ")</formula>
    </cfRule>
    <cfRule type="expression" dxfId="7344" priority="3665">
      <formula>IF($X90&gt;4.5,"ИСТИНА","ЛОЖЬ")</formula>
    </cfRule>
  </conditionalFormatting>
  <conditionalFormatting sqref="Q94">
    <cfRule type="expression" dxfId="7343" priority="10223">
      <formula>IF($AB94&gt;4.5,"ИСТИНА","ЛОЖЬ")</formula>
    </cfRule>
    <cfRule type="expression" dxfId="7342" priority="10234">
      <formula>IF($X94&gt;4.5,"ИСТИНА","ЛОЖЬ")</formula>
    </cfRule>
    <cfRule type="expression" dxfId="7341" priority="10222">
      <formula>IF($X94&gt;4.5,"ИСТИНА","ЛОЖЬ")</formula>
    </cfRule>
  </conditionalFormatting>
  <conditionalFormatting sqref="Q95:Q98">
    <cfRule type="expression" dxfId="7340" priority="37">
      <formula>IF($X95&gt;4.5,"ИСТИНА","ЛОЖЬ")</formula>
    </cfRule>
  </conditionalFormatting>
  <conditionalFormatting sqref="Q98">
    <cfRule type="expression" dxfId="7339" priority="3504">
      <formula>IF($X98&gt;4.5,"ИСТИНА","ЛОЖЬ")</formula>
    </cfRule>
    <cfRule type="expression" dxfId="7338" priority="3499">
      <formula>IF($AB98&gt;4.5,"ИСТИНА","ЛОЖЬ")</formula>
    </cfRule>
  </conditionalFormatting>
  <conditionalFormatting sqref="Q99">
    <cfRule type="expression" dxfId="7337" priority="9937">
      <formula>IF($AB99&gt;4.5,"ИСТИНА","ЛОЖЬ")</formula>
    </cfRule>
    <cfRule type="expression" dxfId="7336" priority="9936">
      <formula>IF($X99&gt;4.5,"ИСТИНА","ЛОЖЬ")</formula>
    </cfRule>
    <cfRule type="expression" dxfId="7335" priority="9948">
      <formula>IF($X99&gt;4.5,"ИСТИНА","ЛОЖЬ")</formula>
    </cfRule>
  </conditionalFormatting>
  <conditionalFormatting sqref="Q100">
    <cfRule type="expression" dxfId="7334" priority="3486">
      <formula>IF($X100&gt;4.5,"ИСТИНА","ЛОЖЬ")</formula>
    </cfRule>
    <cfRule type="expression" dxfId="7333" priority="3487">
      <formula>IF($AB100&gt;4.5,"ИСТИНА","ЛОЖЬ")</formula>
    </cfRule>
    <cfRule type="expression" dxfId="7332" priority="3492">
      <formula>IF($X100&gt;4.5,"ИСТИНА","ЛОЖЬ")</formula>
    </cfRule>
  </conditionalFormatting>
  <conditionalFormatting sqref="Q101">
    <cfRule type="expression" dxfId="7331" priority="9867">
      <formula>IF($X101&gt;4.5,"ИСТИНА","ЛОЖЬ")</formula>
    </cfRule>
    <cfRule type="expression" dxfId="7330" priority="9868">
      <formula>IF($AB101&gt;4.5,"ИСТИНА","ЛОЖЬ")</formula>
    </cfRule>
    <cfRule type="expression" dxfId="7329" priority="9879">
      <formula>IF($X101&gt;4.5,"ИСТИНА","ЛОЖЬ")</formula>
    </cfRule>
  </conditionalFormatting>
  <conditionalFormatting sqref="Q102">
    <cfRule type="expression" dxfId="7328" priority="3480">
      <formula>IF($X102&gt;4.5,"ИСТИНА","ЛОЖЬ")</formula>
    </cfRule>
    <cfRule type="expression" dxfId="7327" priority="3475">
      <formula>IF($AB102&gt;4.5,"ИСТИНА","ЛОЖЬ")</formula>
    </cfRule>
    <cfRule type="expression" dxfId="7326" priority="3474">
      <formula>IF($X102&gt;4.5,"ИСТИНА","ЛОЖЬ")</formula>
    </cfRule>
  </conditionalFormatting>
  <conditionalFormatting sqref="Q103">
    <cfRule type="expression" dxfId="7325" priority="9747">
      <formula>IF($X103&gt;4.5,"ИСТИНА","ЛОЖЬ")</formula>
    </cfRule>
    <cfRule type="expression" dxfId="7324" priority="9735">
      <formula>IF($X103&gt;4.5,"ИСТИНА","ЛОЖЬ")</formula>
    </cfRule>
    <cfRule type="expression" dxfId="7323" priority="9736">
      <formula>IF($AB103&gt;4.5,"ИСТИНА","ЛОЖЬ")</formula>
    </cfRule>
  </conditionalFormatting>
  <conditionalFormatting sqref="Q104">
    <cfRule type="expression" dxfId="7322" priority="1698">
      <formula>IF($X104&gt;4.5,"ИСТИНА","ЛОЖЬ")</formula>
    </cfRule>
    <cfRule type="expression" dxfId="7321" priority="1704">
      <formula>IF($X104&gt;4.5,"ИСТИНА","ЛОЖЬ")</formula>
    </cfRule>
    <cfRule type="expression" dxfId="7320" priority="1699">
      <formula>IF($AB104&gt;4.5,"ИСТИНА","ЛОЖЬ")</formula>
    </cfRule>
  </conditionalFormatting>
  <conditionalFormatting sqref="Q105:Q106">
    <cfRule type="expression" dxfId="7319" priority="3463">
      <formula>IF($AB105&gt;4.5,"ИСТИНА","ЛОЖЬ")</formula>
    </cfRule>
  </conditionalFormatting>
  <conditionalFormatting sqref="Q106">
    <cfRule type="expression" dxfId="7318" priority="3468">
      <formula>IF($X106&gt;4.5,"ИСТИНА","ЛОЖЬ")</formula>
    </cfRule>
    <cfRule type="expression" dxfId="7317" priority="3462">
      <formula>IF($X106&gt;4.5,"ИСТИНА","ЛОЖЬ")</formula>
    </cfRule>
  </conditionalFormatting>
  <conditionalFormatting sqref="Q107">
    <cfRule type="expression" dxfId="7316" priority="9589">
      <formula>IF($AB107&gt;4.5,"ИСТИНА","ЛОЖЬ")</formula>
    </cfRule>
    <cfRule type="expression" dxfId="7315" priority="9600">
      <formula>IF($X107&gt;4.5,"ИСТИНА","ЛОЖЬ")</formula>
    </cfRule>
    <cfRule type="expression" dxfId="7314" priority="9588">
      <formula>IF($X107&gt;4.5,"ИСТИНА","ЛОЖЬ")</formula>
    </cfRule>
  </conditionalFormatting>
  <conditionalFormatting sqref="Q108">
    <cfRule type="expression" dxfId="7313" priority="3450">
      <formula>IF($X108&gt;4.5,"ИСТИНА","ЛОЖЬ")</formula>
    </cfRule>
    <cfRule type="expression" dxfId="7312" priority="3451">
      <formula>IF($AB108&gt;4.5,"ИСТИНА","ЛОЖЬ")</formula>
    </cfRule>
    <cfRule type="expression" dxfId="7311" priority="3456">
      <formula>IF($X108&gt;4.5,"ИСТИНА","ЛОЖЬ")</formula>
    </cfRule>
  </conditionalFormatting>
  <conditionalFormatting sqref="Q109">
    <cfRule type="expression" dxfId="7310" priority="9466">
      <formula>IF($X109&gt;4.5,"ИСТИНА","ЛОЖЬ")</formula>
    </cfRule>
  </conditionalFormatting>
  <conditionalFormatting sqref="Q109:Q110">
    <cfRule type="expression" dxfId="7309" priority="9372">
      <formula>IF($AB109&gt;4.5,"ИСТИНА","ЛОЖЬ")</formula>
    </cfRule>
    <cfRule type="expression" dxfId="7308" priority="9383">
      <formula>IF($X109&gt;4.5,"ИСТИНА","ЛОЖЬ")</formula>
    </cfRule>
  </conditionalFormatting>
  <conditionalFormatting sqref="Q110">
    <cfRule type="expression" dxfId="7307" priority="9371">
      <formula>IF($X110&gt;4.5,"ИСТИНА","ЛОЖЬ")</formula>
    </cfRule>
  </conditionalFormatting>
  <conditionalFormatting sqref="Q111">
    <cfRule type="expression" dxfId="7306" priority="3424">
      <formula>IF($X111&gt;4.5,"ИСТИНА","ЛОЖЬ")</formula>
    </cfRule>
    <cfRule type="expression" dxfId="7305" priority="3420">
      <formula>_xlfn.ISFORMULA(Q111)=TRUE</formula>
    </cfRule>
    <cfRule type="expression" dxfId="7304" priority="3425">
      <formula>IF($AB111&gt;4.5,"ИСТИНА","ЛОЖЬ")</formula>
    </cfRule>
    <cfRule type="expression" dxfId="7303" priority="3429">
      <formula>_xlfn.ISFORMULA(Q111)=TRUE</formula>
    </cfRule>
    <cfRule type="expression" dxfId="7302" priority="3430">
      <formula>IF($X111&gt;4.5,"ИСТИНА","ЛОЖЬ")</formula>
    </cfRule>
  </conditionalFormatting>
  <conditionalFormatting sqref="Q112">
    <cfRule type="expression" dxfId="7301" priority="9231">
      <formula>IF($X112&gt;4.5,"ИСТИНА","ЛОЖЬ")</formula>
    </cfRule>
    <cfRule type="expression" dxfId="7300" priority="9232">
      <formula>IF($AB112&gt;4.5,"ИСТИНА","ЛОЖЬ")</formula>
    </cfRule>
    <cfRule type="expression" dxfId="7299" priority="9243">
      <formula>IF($X112&gt;4.5,"ИСТИНА","ЛОЖЬ")</formula>
    </cfRule>
  </conditionalFormatting>
  <conditionalFormatting sqref="Q113">
    <cfRule type="expression" dxfId="7298" priority="3381">
      <formula>IF($X113&gt;4.5,"ИСТИНА","ЛОЖЬ")</formula>
    </cfRule>
    <cfRule type="expression" dxfId="7297" priority="3376">
      <formula>IF($AB113&gt;4.5,"ИСТИНА","ЛОЖЬ")</formula>
    </cfRule>
    <cfRule type="expression" dxfId="7296" priority="3375">
      <formula>IF($X113&gt;4.5,"ИСТИНА","ЛОЖЬ")</formula>
    </cfRule>
  </conditionalFormatting>
  <conditionalFormatting sqref="Q114">
    <cfRule type="expression" dxfId="7295" priority="3346">
      <formula>IF($AB114&gt;4.5,"ИСТИНА","ЛОЖЬ")</formula>
    </cfRule>
    <cfRule type="expression" dxfId="7294" priority="3345">
      <formula>IF($X114&gt;4.5,"ИСТИНА","ЛОЖЬ")</formula>
    </cfRule>
    <cfRule type="expression" dxfId="7293" priority="3351">
      <formula>IF($X114&gt;4.5,"ИСТИНА","ЛОЖЬ")</formula>
    </cfRule>
    <cfRule type="expression" dxfId="7292" priority="3350">
      <formula>_xlfn.ISFORMULA(Q114)=TRUE</formula>
    </cfRule>
  </conditionalFormatting>
  <conditionalFormatting sqref="Q114:Q115">
    <cfRule type="expression" dxfId="7291" priority="3328">
      <formula>_xlfn.ISFORMULA(Q114)=TRUE</formula>
    </cfRule>
  </conditionalFormatting>
  <conditionalFormatting sqref="Q115">
    <cfRule type="expression" dxfId="7290" priority="3321">
      <formula>IF($X115&gt;4.5,"ИСТИНА","ЛОЖЬ")</formula>
    </cfRule>
    <cfRule type="expression" dxfId="7289" priority="3322">
      <formula>IF($AB115&gt;4.5,"ИСТИНА","ЛОЖЬ")</formula>
    </cfRule>
    <cfRule type="expression" dxfId="7288" priority="3327">
      <formula>IF($X115&gt;4.5,"ИСТИНА","ЛОЖЬ")</formula>
    </cfRule>
    <cfRule type="expression" dxfId="7287" priority="3317">
      <formula>_xlfn.ISFORMULA(Q115)=TRUE</formula>
    </cfRule>
  </conditionalFormatting>
  <conditionalFormatting sqref="Q116">
    <cfRule type="expression" dxfId="7286" priority="9103">
      <formula>IF($X116&gt;4.5,"ИСТИНА","ЛОЖЬ")</formula>
    </cfRule>
  </conditionalFormatting>
  <conditionalFormatting sqref="Q116:Q120">
    <cfRule type="expression" dxfId="7285" priority="9033">
      <formula>IF($X116&gt;4.5,"ИСТИНА","ЛОЖЬ")</formula>
    </cfRule>
  </conditionalFormatting>
  <conditionalFormatting sqref="Q116:Q122">
    <cfRule type="expression" dxfId="7284" priority="8392">
      <formula>IF($AB116&gt;4.5,"ИСТИНА","ЛОЖЬ")</formula>
    </cfRule>
  </conditionalFormatting>
  <conditionalFormatting sqref="Q117:Q121">
    <cfRule type="expression" dxfId="7283" priority="8403">
      <formula>IF($X117&gt;4.5,"ИСТИНА","ЛОЖЬ")</formula>
    </cfRule>
  </conditionalFormatting>
  <conditionalFormatting sqref="Q121:Q122">
    <cfRule type="expression" dxfId="7282" priority="8053">
      <formula>IF($X121&gt;4.5,"ИСТИНА","ЛОЖЬ")</formula>
    </cfRule>
  </conditionalFormatting>
  <conditionalFormatting sqref="Q122">
    <cfRule type="expression" dxfId="7281" priority="7773">
      <formula>IF($X122&gt;4.5,"ИСТИНА","ЛОЖЬ")</formula>
    </cfRule>
    <cfRule type="expression" dxfId="7280" priority="8041">
      <formula>IF($X122&gt;4.5,"ИСТИНА","ЛОЖЬ")</formula>
    </cfRule>
    <cfRule type="expression" dxfId="7279" priority="8042">
      <formula>IF($AB122&gt;4.5,"ИСТИНА","ЛОЖЬ")</formula>
    </cfRule>
  </conditionalFormatting>
  <conditionalFormatting sqref="Q122:Q137">
    <cfRule type="expression" dxfId="7278" priority="3205">
      <formula>IF($X122&gt;4.5,"ИСТИНА","ЛОЖЬ")</formula>
    </cfRule>
  </conditionalFormatting>
  <conditionalFormatting sqref="Q122:Q139">
    <cfRule type="expression" dxfId="7277" priority="3200">
      <formula>IF($AB122&gt;4.5,"ИСТИНА","ЛОЖЬ")</formula>
    </cfRule>
  </conditionalFormatting>
  <conditionalFormatting sqref="Q123:Q137">
    <cfRule type="expression" dxfId="7276" priority="3199">
      <formula>IF($X123&gt;4.5,"ИСТИНА","ЛОЖЬ")</formula>
    </cfRule>
  </conditionalFormatting>
  <conditionalFormatting sqref="Q140:Q141">
    <cfRule type="expression" dxfId="7275" priority="3153">
      <formula>IF($X140&gt;4.5,"ИСТИНА","ЛОЖЬ")</formula>
    </cfRule>
    <cfRule type="expression" dxfId="7274" priority="3148">
      <formula>IF($AB140&gt;4.5,"ИСТИНА","ЛОЖЬ")</formula>
    </cfRule>
    <cfRule type="expression" dxfId="7273" priority="3147">
      <formula>IF($X140&gt;4.5,"ИСТИНА","ЛОЖЬ")</formula>
    </cfRule>
  </conditionalFormatting>
  <conditionalFormatting sqref="Q142 Q147 Q152">
    <cfRule type="expression" dxfId="7272" priority="3123">
      <formula>IF($X142&gt;4.5,"ИСТИНА","ЛОЖЬ")</formula>
    </cfRule>
    <cfRule type="expression" dxfId="7271" priority="3118">
      <formula>IF($AB142&gt;4.5,"ИСТИНА","ЛОЖЬ")</formula>
    </cfRule>
    <cfRule type="expression" dxfId="7270" priority="3117">
      <formula>IF($X142&gt;4.5,"ИСТИНА","ЛОЖЬ")</formula>
    </cfRule>
  </conditionalFormatting>
  <conditionalFormatting sqref="Q143 Q148 Q153">
    <cfRule type="expression" dxfId="7269" priority="3105">
      <formula>IF($X143&gt;4.5,"ИСТИНА","ЛОЖЬ")</formula>
    </cfRule>
    <cfRule type="expression" dxfId="7268" priority="3106">
      <formula>IF($AB143&gt;4.5,"ИСТИНА","ЛОЖЬ")</formula>
    </cfRule>
    <cfRule type="expression" dxfId="7267" priority="3111">
      <formula>IF($X143&gt;4.5,"ИСТИНА","ЛОЖЬ")</formula>
    </cfRule>
  </conditionalFormatting>
  <conditionalFormatting sqref="Q144 Q149 Q154">
    <cfRule type="expression" dxfId="7266" priority="3099">
      <formula>IF($X144&gt;4.5,"ИСТИНА","ЛОЖЬ")</formula>
    </cfRule>
  </conditionalFormatting>
  <conditionalFormatting sqref="Q145 Q150">
    <cfRule type="expression" dxfId="7265" priority="3076">
      <formula>IF($AB145&gt;4.5,"ИСТИНА","ЛОЖЬ")</formula>
    </cfRule>
    <cfRule type="expression" dxfId="7264" priority="3081">
      <formula>IF($X145&gt;4.5,"ИСТИНА","ЛОЖЬ")</formula>
    </cfRule>
    <cfRule type="expression" dxfId="7263" priority="3075">
      <formula>IF($X145&gt;4.5,"ИСТИНА","ЛОЖЬ")</formula>
    </cfRule>
  </conditionalFormatting>
  <conditionalFormatting sqref="Q146 Q151">
    <cfRule type="expression" dxfId="7262" priority="3057">
      <formula>IF($X146&gt;4.5,"ИСТИНА","ЛОЖЬ")</formula>
    </cfRule>
    <cfRule type="expression" dxfId="7261" priority="3058">
      <formula>IF($AB146&gt;4.5,"ИСТИНА","ЛОЖЬ")</formula>
    </cfRule>
    <cfRule type="expression" dxfId="7260" priority="3063">
      <formula>IF($X146&gt;4.5,"ИСТИНА","ЛОЖЬ")</formula>
    </cfRule>
  </conditionalFormatting>
  <conditionalFormatting sqref="Q154 Q144 Q149">
    <cfRule type="expression" dxfId="7259" priority="3093">
      <formula>IF($X144&gt;4.5,"ИСТИНА","ЛОЖЬ")</formula>
    </cfRule>
    <cfRule type="expression" dxfId="7258" priority="3094">
      <formula>IF($AB144&gt;4.5,"ИСТИНА","ЛОЖЬ")</formula>
    </cfRule>
  </conditionalFormatting>
  <conditionalFormatting sqref="Q155">
    <cfRule type="expression" dxfId="7257" priority="6643">
      <formula>IF($X155&gt;4.5,"ИСТИНА","ЛОЖЬ")</formula>
    </cfRule>
  </conditionalFormatting>
  <conditionalFormatting sqref="Q157:Q158 Q171">
    <cfRule type="expression" dxfId="7256" priority="3009">
      <formula>IF($X157&gt;4.5,"ИСТИНА","ЛОЖЬ")</formula>
    </cfRule>
  </conditionalFormatting>
  <conditionalFormatting sqref="Q159 Q164 Q169">
    <cfRule type="expression" dxfId="7255" priority="2985">
      <formula>IF($X159&gt;4.5,"ИСТИНА","ЛОЖЬ")</formula>
    </cfRule>
    <cfRule type="expression" dxfId="7254" priority="2991">
      <formula>IF($X159&gt;4.5,"ИСТИНА","ЛОЖЬ")</formula>
    </cfRule>
    <cfRule type="expression" dxfId="7253" priority="2986">
      <formula>IF($AB159&gt;4.5,"ИСТИНА","ЛОЖЬ")</formula>
    </cfRule>
  </conditionalFormatting>
  <conditionalFormatting sqref="Q160 Q165 Q170">
    <cfRule type="expression" dxfId="7252" priority="2979">
      <formula>IF($X160&gt;4.5,"ИСТИНА","ЛОЖЬ")</formula>
    </cfRule>
  </conditionalFormatting>
  <conditionalFormatting sqref="Q161 Q166">
    <cfRule type="expression" dxfId="7251" priority="2961">
      <formula>IF($X161&gt;4.5,"ИСТИНА","ЛОЖЬ")</formula>
    </cfRule>
    <cfRule type="expression" dxfId="7250" priority="2967">
      <formula>IF($X161&gt;4.5,"ИСТИНА","ЛОЖЬ")</formula>
    </cfRule>
    <cfRule type="expression" dxfId="7249" priority="2962">
      <formula>IF($AB161&gt;4.5,"ИСТИНА","ЛОЖЬ")</formula>
    </cfRule>
  </conditionalFormatting>
  <conditionalFormatting sqref="Q162 Q167">
    <cfRule type="expression" dxfId="7248" priority="2949">
      <formula>IF($X162&gt;4.5,"ИСТИНА","ЛОЖЬ")</formula>
    </cfRule>
    <cfRule type="expression" dxfId="7247" priority="2944">
      <formula>IF($AB162&gt;4.5,"ИСТИНА","ЛОЖЬ")</formula>
    </cfRule>
    <cfRule type="expression" dxfId="7246" priority="2943">
      <formula>IF($X162&gt;4.5,"ИСТИНА","ЛОЖЬ")</formula>
    </cfRule>
  </conditionalFormatting>
  <conditionalFormatting sqref="Q163 Q168">
    <cfRule type="expression" dxfId="7245" priority="2925">
      <formula>IF($X163&gt;4.5,"ИСТИНА","ЛОЖЬ")</formula>
    </cfRule>
    <cfRule type="expression" dxfId="7244" priority="2931">
      <formula>IF($X163&gt;4.5,"ИСТИНА","ЛОЖЬ")</formula>
    </cfRule>
    <cfRule type="expression" dxfId="7243" priority="2926">
      <formula>IF($AB163&gt;4.5,"ИСТИНА","ЛОЖЬ")</formula>
    </cfRule>
  </conditionalFormatting>
  <conditionalFormatting sqref="Q170 Q160 Q165">
    <cfRule type="expression" dxfId="7242" priority="2973">
      <formula>IF($X160&gt;4.5,"ИСТИНА","ЛОЖЬ")</formula>
    </cfRule>
    <cfRule type="expression" dxfId="7241" priority="2974">
      <formula>IF($AB160&gt;4.5,"ИСТИНА","ЛОЖЬ")</formula>
    </cfRule>
  </conditionalFormatting>
  <conditionalFormatting sqref="Q171 Q157:Q158">
    <cfRule type="expression" dxfId="7240" priority="3003">
      <formula>IF($X157&gt;4.5,"ИСТИНА","ЛОЖЬ")</formula>
    </cfRule>
  </conditionalFormatting>
  <conditionalFormatting sqref="Q171:Q173 Q156:Q158">
    <cfRule type="expression" dxfId="7239" priority="3004">
      <formula>IF($AB156&gt;4.5,"ИСТИНА","ЛОЖЬ")</formula>
    </cfRule>
  </conditionalFormatting>
  <conditionalFormatting sqref="Q174:Q175 Q178:Q179 Q182:Q183 Q186:Q188">
    <cfRule type="expression" dxfId="7238" priority="2889">
      <formula>IF($X174&gt;4.5,"ИСТИНА","ЛОЖЬ")</formula>
    </cfRule>
  </conditionalFormatting>
  <conditionalFormatting sqref="Q176 Q180 Q184">
    <cfRule type="expression" dxfId="7237" priority="2866">
      <formula>IF($AB176&gt;4.5,"ИСТИНА","ЛОЖЬ")</formula>
    </cfRule>
    <cfRule type="expression" dxfId="7236" priority="2871">
      <formula>IF($X176&gt;4.5,"ИСТИНА","ЛОЖЬ")</formula>
    </cfRule>
    <cfRule type="expression" dxfId="7235" priority="2865">
      <formula>IF($X176&gt;4.5,"ИСТИНА","ЛОЖЬ")</formula>
    </cfRule>
  </conditionalFormatting>
  <conditionalFormatting sqref="Q177 Q181 Q185">
    <cfRule type="expression" dxfId="7234" priority="2853">
      <formula>IF($X177&gt;4.5,"ИСТИНА","ЛОЖЬ")</formula>
    </cfRule>
    <cfRule type="expression" dxfId="7233" priority="2859">
      <formula>IF($X177&gt;4.5,"ИСТИНА","ЛОЖЬ")</formula>
    </cfRule>
    <cfRule type="expression" dxfId="7232" priority="2854">
      <formula>IF($AB177&gt;4.5,"ИСТИНА","ЛОЖЬ")</formula>
    </cfRule>
  </conditionalFormatting>
  <conditionalFormatting sqref="Q186:Q188 Q174:Q175 Q178:Q179 Q182:Q183">
    <cfRule type="expression" dxfId="7231" priority="2883">
      <formula>IF($X174&gt;4.5,"ИСТИНА","ЛОЖЬ")</formula>
    </cfRule>
    <cfRule type="expression" dxfId="7230" priority="2884">
      <formula>IF($AB174&gt;4.5,"ИСТИНА","ЛОЖЬ")</formula>
    </cfRule>
  </conditionalFormatting>
  <conditionalFormatting sqref="Q191:Q192 Q195:Q196 Q199:Q200">
    <cfRule type="expression" dxfId="7229" priority="2811">
      <formula>IF($X191&gt;4.5,"ИСТИНА","ЛОЖЬ")</formula>
    </cfRule>
    <cfRule type="expression" dxfId="7228" priority="2806">
      <formula>IF($AB191&gt;4.5,"ИСТИНА","ЛОЖЬ")</formula>
    </cfRule>
    <cfRule type="expression" dxfId="7227" priority="2805">
      <formula>IF($X191&gt;4.5,"ИСТИНА","ЛОЖЬ")</formula>
    </cfRule>
  </conditionalFormatting>
  <conditionalFormatting sqref="Q193 Q197 Q201">
    <cfRule type="expression" dxfId="7226" priority="2787">
      <formula>IF($X193&gt;4.5,"ИСТИНА","ЛОЖЬ")</formula>
    </cfRule>
    <cfRule type="expression" dxfId="7225" priority="2788">
      <formula>IF($AB193&gt;4.5,"ИСТИНА","ЛОЖЬ")</formula>
    </cfRule>
    <cfRule type="expression" dxfId="7224" priority="2793">
      <formula>IF($X193&gt;4.5,"ИСТИНА","ЛОЖЬ")</formula>
    </cfRule>
  </conditionalFormatting>
  <conditionalFormatting sqref="Q194 Q198 Q202">
    <cfRule type="expression" dxfId="7223" priority="2776">
      <formula>IF($AB194&gt;4.5,"ИСТИНА","ЛОЖЬ")</formula>
    </cfRule>
    <cfRule type="expression" dxfId="7222" priority="2781">
      <formula>IF($X194&gt;4.5,"ИСТИНА","ЛОЖЬ")</formula>
    </cfRule>
    <cfRule type="expression" dxfId="7221" priority="2775">
      <formula>IF($X194&gt;4.5,"ИСТИНА","ЛОЖЬ")</formula>
    </cfRule>
  </conditionalFormatting>
  <conditionalFormatting sqref="Q203">
    <cfRule type="expression" dxfId="7220" priority="2737">
      <formula>IF($AB203&gt;4.5,"ИСТИНА","ЛОЖЬ")</formula>
    </cfRule>
    <cfRule type="expression" dxfId="7219" priority="2738">
      <formula>_xlfn.ISFORMULA(Q203)=TRUE</formula>
    </cfRule>
    <cfRule type="expression" dxfId="7218" priority="2739">
      <formula>IF($AB203&gt;4.5,"ИСТИНА","ЛОЖЬ")</formula>
    </cfRule>
    <cfRule type="expression" dxfId="7217" priority="2740">
      <formula>_xlfn.ISFORMULA(Q203)=TRUE</formula>
    </cfRule>
  </conditionalFormatting>
  <conditionalFormatting sqref="Q204">
    <cfRule type="expression" dxfId="7216" priority="2741">
      <formula>IF($X204&gt;4.5,"ИСТИНА","ЛОЖЬ")</formula>
    </cfRule>
    <cfRule type="expression" dxfId="7215" priority="2742">
      <formula>_xlfn.ISFORMULA(Q204)=TRUE</formula>
    </cfRule>
  </conditionalFormatting>
  <conditionalFormatting sqref="Q205">
    <cfRule type="expression" dxfId="7214" priority="2733">
      <formula>IF($AB205&gt;4.5,"ИСТИНА","ЛОЖЬ")</formula>
    </cfRule>
    <cfRule type="expression" dxfId="7213" priority="2734">
      <formula>_xlfn.ISFORMULA(Q205)=TRUE</formula>
    </cfRule>
    <cfRule type="expression" dxfId="7212" priority="2736">
      <formula>_xlfn.ISFORMULA(Q205)=TRUE</formula>
    </cfRule>
  </conditionalFormatting>
  <conditionalFormatting sqref="Q205:Q232">
    <cfRule type="expression" dxfId="7211" priority="2735">
      <formula>IF($AB205&gt;4.5,"ИСТИНА","ЛОЖЬ")</formula>
    </cfRule>
  </conditionalFormatting>
  <conditionalFormatting sqref="Q233">
    <cfRule type="expression" dxfId="7210" priority="2717">
      <formula>IF($X233&gt;4.5,"ИСТИНА","ЛОЖЬ")</formula>
    </cfRule>
  </conditionalFormatting>
  <conditionalFormatting sqref="Q234:Q236 Q240:Q241 Q247 Q249:Q273 Q276 Q281 Q286 Q297 Q303 Q312 Q319 Q328:Q341 Q344:Q358 Q361:Q392 Q395:Q494 Q497:Q1000">
    <cfRule type="expression" dxfId="7209" priority="14553">
      <formula>IF($AB234&gt;4.5,"ИСТИНА","ЛОЖЬ")</formula>
    </cfRule>
  </conditionalFormatting>
  <conditionalFormatting sqref="Q237:Q239">
    <cfRule type="expression" dxfId="7208" priority="2404">
      <formula>IF($X237&gt;4.5,"ИСТИНА","ЛОЖЬ")</formula>
    </cfRule>
  </conditionalFormatting>
  <conditionalFormatting sqref="Q242:Q246">
    <cfRule type="expression" dxfId="7207" priority="2386">
      <formula>IF($X242&gt;4.5,"ИСТИНА","ЛОЖЬ")</formula>
    </cfRule>
  </conditionalFormatting>
  <conditionalFormatting sqref="Q248">
    <cfRule type="expression" dxfId="7206" priority="30">
      <formula>IF($X248&gt;4.5,"ИСТИНА","ЛОЖЬ")</formula>
    </cfRule>
  </conditionalFormatting>
  <conditionalFormatting sqref="Q277:Q280">
    <cfRule type="expression" dxfId="7205" priority="2209">
      <formula>_xlfn.ISFORMULA(Q277)=TRUE</formula>
    </cfRule>
  </conditionalFormatting>
  <conditionalFormatting sqref="Q282:Q285">
    <cfRule type="expression" dxfId="7204" priority="2169">
      <formula>_xlfn.ISFORMULA(Q282)=TRUE</formula>
    </cfRule>
  </conditionalFormatting>
  <conditionalFormatting sqref="Q287:Q290">
    <cfRule type="expression" dxfId="7203" priority="2129">
      <formula>_xlfn.ISFORMULA(Q287)=TRUE</formula>
    </cfRule>
  </conditionalFormatting>
  <conditionalFormatting sqref="Q293:Q296">
    <cfRule type="expression" dxfId="7202" priority="2089">
      <formula>_xlfn.ISFORMULA(Q293)=TRUE</formula>
    </cfRule>
  </conditionalFormatting>
  <conditionalFormatting sqref="Q298:Q302">
    <cfRule type="expression" dxfId="7201" priority="1999">
      <formula>_xlfn.ISFORMULA(Q298)=TRUE</formula>
    </cfRule>
  </conditionalFormatting>
  <conditionalFormatting sqref="Q304:Q307">
    <cfRule type="expression" dxfId="7200" priority="2009">
      <formula>_xlfn.ISFORMULA(Q304)=TRUE</formula>
    </cfRule>
  </conditionalFormatting>
  <conditionalFormatting sqref="Q310:Q311">
    <cfRule type="expression" dxfId="7199" priority="1979">
      <formula>_xlfn.ISFORMULA(Q310)=TRUE</formula>
    </cfRule>
  </conditionalFormatting>
  <conditionalFormatting sqref="Q313:Q318">
    <cfRule type="expression" dxfId="7198" priority="1919">
      <formula>_xlfn.ISFORMULA(Q313)=TRUE</formula>
    </cfRule>
  </conditionalFormatting>
  <conditionalFormatting sqref="Q320:Q327">
    <cfRule type="expression" dxfId="7197" priority="58">
      <formula>_xlfn.ISFORMULA(Q320)=TRUE</formula>
    </cfRule>
  </conditionalFormatting>
  <conditionalFormatting sqref="Q32:R34">
    <cfRule type="expression" dxfId="7196" priority="13331">
      <formula>_xlfn.ISFORMULA(Q32)=TRUE</formula>
    </cfRule>
  </conditionalFormatting>
  <conditionalFormatting sqref="Q32:R35">
    <cfRule type="expression" dxfId="7195" priority="12921">
      <formula>_xlfn.ISFORMULA(Q32)=TRUE</formula>
    </cfRule>
  </conditionalFormatting>
  <conditionalFormatting sqref="Q35:R35 Q36:S36 Q71:S71 O54:Q54 R20:S20">
    <cfRule type="expression" dxfId="7194" priority="14512">
      <formula>_xlfn.ISFORMULA(O20)=TRUE</formula>
    </cfRule>
  </conditionalFormatting>
  <conditionalFormatting sqref="Q99:R99">
    <cfRule type="expression" dxfId="7193" priority="9950">
      <formula>_xlfn.ISFORMULA(Q99)=TRUE</formula>
    </cfRule>
  </conditionalFormatting>
  <conditionalFormatting sqref="Q101:R101">
    <cfRule type="expression" dxfId="7192" priority="9881">
      <formula>_xlfn.ISFORMULA(Q101)=TRUE</formula>
    </cfRule>
  </conditionalFormatting>
  <conditionalFormatting sqref="Q103:R103">
    <cfRule type="expression" dxfId="7191" priority="9749">
      <formula>_xlfn.ISFORMULA(Q103)=TRUE</formula>
    </cfRule>
  </conditionalFormatting>
  <conditionalFormatting sqref="Q107:R107">
    <cfRule type="expression" dxfId="7190" priority="9602">
      <formula>_xlfn.ISFORMULA(Q107)=TRUE</formula>
    </cfRule>
  </conditionalFormatting>
  <conditionalFormatting sqref="Q109:R109">
    <cfRule type="expression" dxfId="7189" priority="9468">
      <formula>_xlfn.ISFORMULA(Q109)=TRUE</formula>
    </cfRule>
  </conditionalFormatting>
  <conditionalFormatting sqref="Q110:R110">
    <cfRule type="expression" dxfId="7188" priority="9385">
      <formula>_xlfn.ISFORMULA(Q110)=TRUE</formula>
    </cfRule>
  </conditionalFormatting>
  <conditionalFormatting sqref="Q112:R112">
    <cfRule type="expression" dxfId="7187" priority="9245">
      <formula>_xlfn.ISFORMULA(Q112)=TRUE</formula>
    </cfRule>
  </conditionalFormatting>
  <conditionalFormatting sqref="Q113:R113">
    <cfRule type="expression" dxfId="7186" priority="3380">
      <formula>_xlfn.ISFORMULA(Q113)=TRUE</formula>
    </cfRule>
    <cfRule type="expression" dxfId="7185" priority="3382">
      <formula>_xlfn.ISFORMULA(Q113)=TRUE</formula>
    </cfRule>
  </conditionalFormatting>
  <conditionalFormatting sqref="Q116:R116">
    <cfRule type="expression" dxfId="7184" priority="9105">
      <formula>_xlfn.ISFORMULA(Q116)=TRUE</formula>
    </cfRule>
  </conditionalFormatting>
  <conditionalFormatting sqref="Q117:R120">
    <cfRule type="expression" dxfId="7183" priority="9035">
      <formula>_xlfn.ISFORMULA(Q117)=TRUE</formula>
    </cfRule>
  </conditionalFormatting>
  <conditionalFormatting sqref="Q118:R121">
    <cfRule type="expression" dxfId="7182" priority="8405">
      <formula>_xlfn.ISFORMULA(Q118)=TRUE</formula>
    </cfRule>
  </conditionalFormatting>
  <conditionalFormatting sqref="Q122:R122">
    <cfRule type="expression" dxfId="7181" priority="8055">
      <formula>_xlfn.ISFORMULA(Q122)=TRUE</formula>
    </cfRule>
    <cfRule type="expression" dxfId="7180" priority="7775">
      <formula>_xlfn.ISFORMULA(Q122)=TRUE</formula>
    </cfRule>
  </conditionalFormatting>
  <conditionalFormatting sqref="Q123:R137">
    <cfRule type="expression" dxfId="7179" priority="3204">
      <formula>_xlfn.ISFORMULA(Q123)=TRUE</formula>
    </cfRule>
    <cfRule type="expression" dxfId="7178" priority="3206">
      <formula>_xlfn.ISFORMULA(Q123)=TRUE</formula>
    </cfRule>
  </conditionalFormatting>
  <conditionalFormatting sqref="Q140:R141">
    <cfRule type="expression" dxfId="7177" priority="3154">
      <formula>_xlfn.ISFORMULA(Q140)=TRUE</formula>
    </cfRule>
    <cfRule type="expression" dxfId="7176" priority="3152">
      <formula>_xlfn.ISFORMULA(Q140)=TRUE</formula>
    </cfRule>
  </conditionalFormatting>
  <conditionalFormatting sqref="Q140:R142 Q147:R147 Q152:R152">
    <cfRule type="expression" dxfId="7175" priority="3124">
      <formula>_xlfn.ISFORMULA(Q140)=TRUE</formula>
    </cfRule>
  </conditionalFormatting>
  <conditionalFormatting sqref="Q142:R142 Q147:R147 Q152:R152">
    <cfRule type="expression" dxfId="7174" priority="3122">
      <formula>_xlfn.ISFORMULA(Q142)=TRUE</formula>
    </cfRule>
  </conditionalFormatting>
  <conditionalFormatting sqref="Q142:R143 Q147:R148 Q152:R153">
    <cfRule type="expression" dxfId="7173" priority="3112">
      <formula>_xlfn.ISFORMULA(Q142)=TRUE</formula>
    </cfRule>
  </conditionalFormatting>
  <conditionalFormatting sqref="Q143:R143 Q148:R148 Q153:R153">
    <cfRule type="expression" dxfId="7172" priority="3110">
      <formula>_xlfn.ISFORMULA(Q143)=TRUE</formula>
    </cfRule>
  </conditionalFormatting>
  <conditionalFormatting sqref="Q143:R144 Q148:R149 Q153:R154">
    <cfRule type="expression" dxfId="7171" priority="3100">
      <formula>_xlfn.ISFORMULA(Q143)=TRUE</formula>
    </cfRule>
  </conditionalFormatting>
  <conditionalFormatting sqref="Q144:R144 Q149:R149 Q154:R154">
    <cfRule type="expression" dxfId="7170" priority="3098">
      <formula>_xlfn.ISFORMULA(Q144)=TRUE</formula>
    </cfRule>
  </conditionalFormatting>
  <conditionalFormatting sqref="Q144:R145 Q149:R150">
    <cfRule type="expression" dxfId="7169" priority="3082">
      <formula>_xlfn.ISFORMULA(Q144)=TRUE</formula>
    </cfRule>
  </conditionalFormatting>
  <conditionalFormatting sqref="Q145:R145 Q150:R150">
    <cfRule type="expression" dxfId="7168" priority="3080">
      <formula>_xlfn.ISFORMULA(Q145)=TRUE</formula>
    </cfRule>
  </conditionalFormatting>
  <conditionalFormatting sqref="Q145:R146 Q150:R151">
    <cfRule type="expression" dxfId="7167" priority="3064">
      <formula>_xlfn.ISFORMULA(Q145)=TRUE</formula>
    </cfRule>
  </conditionalFormatting>
  <conditionalFormatting sqref="Q146:R146 Q151:R151">
    <cfRule type="expression" dxfId="7166" priority="3062">
      <formula>_xlfn.ISFORMULA(Q146)=TRUE</formula>
    </cfRule>
    <cfRule type="expression" dxfId="7165" priority="3053">
      <formula>_xlfn.ISFORMULA(Q146)=TRUE</formula>
    </cfRule>
  </conditionalFormatting>
  <conditionalFormatting sqref="Q154:R154">
    <cfRule type="expression" dxfId="7164" priority="3089">
      <formula>_xlfn.ISFORMULA(Q154)=TRUE</formula>
    </cfRule>
  </conditionalFormatting>
  <conditionalFormatting sqref="Q157:R158 Q171:R171">
    <cfRule type="expression" dxfId="7163" priority="3008">
      <formula>_xlfn.ISFORMULA(Q157)=TRUE</formula>
    </cfRule>
    <cfRule type="expression" dxfId="7162" priority="3010">
      <formula>_xlfn.ISFORMULA(Q157)=TRUE</formula>
    </cfRule>
  </conditionalFormatting>
  <conditionalFormatting sqref="Q157:R159 Q164:R164 Q169:R169">
    <cfRule type="expression" dxfId="7161" priority="2992">
      <formula>_xlfn.ISFORMULA(Q157)=TRUE</formula>
    </cfRule>
  </conditionalFormatting>
  <conditionalFormatting sqref="Q159:R159 Q164:R164 Q169:R169">
    <cfRule type="expression" dxfId="7160" priority="2990">
      <formula>_xlfn.ISFORMULA(Q159)=TRUE</formula>
    </cfRule>
  </conditionalFormatting>
  <conditionalFormatting sqref="Q159:R160 Q164:R165 Q169:R170">
    <cfRule type="expression" dxfId="7159" priority="2980">
      <formula>_xlfn.ISFORMULA(Q159)=TRUE</formula>
    </cfRule>
  </conditionalFormatting>
  <conditionalFormatting sqref="Q160:R160 Q165:R165 Q170:R170">
    <cfRule type="expression" dxfId="7158" priority="2978">
      <formula>_xlfn.ISFORMULA(Q160)=TRUE</formula>
    </cfRule>
  </conditionalFormatting>
  <conditionalFormatting sqref="Q160:R161 Q165:R166">
    <cfRule type="expression" dxfId="7157" priority="2968">
      <formula>_xlfn.ISFORMULA(Q160)=TRUE</formula>
    </cfRule>
  </conditionalFormatting>
  <conditionalFormatting sqref="Q161:R161 Q166:R166">
    <cfRule type="expression" dxfId="7156" priority="2966">
      <formula>_xlfn.ISFORMULA(Q161)=TRUE</formula>
    </cfRule>
  </conditionalFormatting>
  <conditionalFormatting sqref="Q161:R162 Q166:R167">
    <cfRule type="expression" dxfId="7155" priority="2950">
      <formula>_xlfn.ISFORMULA(Q161)=TRUE</formula>
    </cfRule>
  </conditionalFormatting>
  <conditionalFormatting sqref="Q162:R162 Q167:R167">
    <cfRule type="expression" dxfId="7154" priority="2948">
      <formula>_xlfn.ISFORMULA(Q162)=TRUE</formula>
    </cfRule>
  </conditionalFormatting>
  <conditionalFormatting sqref="Q162:R163 Q167:R168">
    <cfRule type="expression" dxfId="7153" priority="2932">
      <formula>_xlfn.ISFORMULA(Q162)=TRUE</formula>
    </cfRule>
  </conditionalFormatting>
  <conditionalFormatting sqref="Q163:R163 Q168:R168">
    <cfRule type="expression" dxfId="7152" priority="2930">
      <formula>_xlfn.ISFORMULA(Q163)=TRUE</formula>
    </cfRule>
    <cfRule type="expression" dxfId="7151" priority="2921">
      <formula>_xlfn.ISFORMULA(Q163)=TRUE</formula>
    </cfRule>
  </conditionalFormatting>
  <conditionalFormatting sqref="Q170:R170">
    <cfRule type="expression" dxfId="7150" priority="2969">
      <formula>_xlfn.ISFORMULA(Q170)=TRUE</formula>
    </cfRule>
  </conditionalFormatting>
  <conditionalFormatting sqref="Q174:R175 Q178:R179 Q182:R183 Q186:R188">
    <cfRule type="expression" dxfId="7149" priority="2888">
      <formula>_xlfn.ISFORMULA(Q174)=TRUE</formula>
    </cfRule>
    <cfRule type="expression" dxfId="7148" priority="2890">
      <formula>_xlfn.ISFORMULA(Q174)=TRUE</formula>
    </cfRule>
  </conditionalFormatting>
  <conditionalFormatting sqref="Q174:R176 Q178:R180 Q182:R184">
    <cfRule type="expression" dxfId="7147" priority="2872">
      <formula>_xlfn.ISFORMULA(Q174)=TRUE</formula>
    </cfRule>
  </conditionalFormatting>
  <conditionalFormatting sqref="Q176:R176 Q180:R180 Q184:R184">
    <cfRule type="expression" dxfId="7146" priority="2870">
      <formula>_xlfn.ISFORMULA(Q176)=TRUE</formula>
    </cfRule>
  </conditionalFormatting>
  <conditionalFormatting sqref="Q176:R177 Q180:R181 Q184:R185">
    <cfRule type="expression" dxfId="7145" priority="2860">
      <formula>_xlfn.ISFORMULA(Q176)=TRUE</formula>
    </cfRule>
  </conditionalFormatting>
  <conditionalFormatting sqref="Q177:R177 Q181:R181 Q185:R185">
    <cfRule type="expression" dxfId="7144" priority="2849">
      <formula>_xlfn.ISFORMULA(Q177)=TRUE</formula>
    </cfRule>
    <cfRule type="expression" dxfId="7143" priority="2858">
      <formula>_xlfn.ISFORMULA(Q177)=TRUE</formula>
    </cfRule>
  </conditionalFormatting>
  <conditionalFormatting sqref="Q191:R192 Q195:R196 Q199:R200">
    <cfRule type="expression" dxfId="7142" priority="2812">
      <formula>_xlfn.ISFORMULA(Q191)=TRUE</formula>
    </cfRule>
    <cfRule type="expression" dxfId="7141" priority="2810">
      <formula>_xlfn.ISFORMULA(Q191)=TRUE</formula>
    </cfRule>
  </conditionalFormatting>
  <conditionalFormatting sqref="Q191:R193 Q195:R197 Q199:R201">
    <cfRule type="expression" dxfId="7140" priority="2794">
      <formula>_xlfn.ISFORMULA(Q191)=TRUE</formula>
    </cfRule>
  </conditionalFormatting>
  <conditionalFormatting sqref="Q193:R193 Q197:R197 Q201:R201">
    <cfRule type="expression" dxfId="7139" priority="2792">
      <formula>_xlfn.ISFORMULA(Q193)=TRUE</formula>
    </cfRule>
  </conditionalFormatting>
  <conditionalFormatting sqref="Q193:R194 Q197:R198 Q201:R202">
    <cfRule type="expression" dxfId="7138" priority="2782">
      <formula>_xlfn.ISFORMULA(Q193)=TRUE</formula>
    </cfRule>
  </conditionalFormatting>
  <conditionalFormatting sqref="Q194:R194 Q198:R198 Q202:R202">
    <cfRule type="expression" dxfId="7137" priority="2780">
      <formula>_xlfn.ISFORMULA(Q194)=TRUE</formula>
    </cfRule>
    <cfRule type="expression" dxfId="7136" priority="2771">
      <formula>_xlfn.ISFORMULA(Q194)=TRUE</formula>
    </cfRule>
  </conditionalFormatting>
  <conditionalFormatting sqref="Q3:S3">
    <cfRule type="expression" dxfId="7135" priority="14638">
      <formula>TRUE</formula>
    </cfRule>
  </conditionalFormatting>
  <conditionalFormatting sqref="Q19:S20">
    <cfRule type="expression" dxfId="7134" priority="14639">
      <formula>TRUE</formula>
    </cfRule>
  </conditionalFormatting>
  <conditionalFormatting sqref="Q36:S37">
    <cfRule type="expression" dxfId="7133" priority="14642">
      <formula>TRUE</formula>
    </cfRule>
  </conditionalFormatting>
  <conditionalFormatting sqref="Q53:S1000">
    <cfRule type="expression" dxfId="7132" priority="14645">
      <formula>AND(ROW()&gt;=19,MOD(ROW()-19,17)&lt;2)</formula>
    </cfRule>
  </conditionalFormatting>
  <conditionalFormatting sqref="Q55:S70">
    <cfRule type="expression" dxfId="7131" priority="1036">
      <formula>_xlfn.ISFORMULA(Q55)=TRUE</formula>
    </cfRule>
  </conditionalFormatting>
  <conditionalFormatting sqref="Q72:S75">
    <cfRule type="expression" dxfId="7130" priority="3813">
      <formula>_xlfn.ISFORMULA(Q72)=TRUE</formula>
    </cfRule>
  </conditionalFormatting>
  <conditionalFormatting sqref="Q76:S76">
    <cfRule type="expression" dxfId="7129" priority="11332">
      <formula>_xlfn.ISFORMULA(Q76)=TRUE</formula>
    </cfRule>
  </conditionalFormatting>
  <conditionalFormatting sqref="Q76:S77">
    <cfRule type="expression" dxfId="7128" priority="11273">
      <formula>_xlfn.ISFORMULA(Q76)=TRUE</formula>
    </cfRule>
  </conditionalFormatting>
  <conditionalFormatting sqref="Q77:S78">
    <cfRule type="expression" dxfId="7127" priority="11208">
      <formula>_xlfn.ISFORMULA(Q77)=TRUE</formula>
    </cfRule>
  </conditionalFormatting>
  <conditionalFormatting sqref="Q78:S79">
    <cfRule type="expression" dxfId="7126" priority="11149">
      <formula>_xlfn.ISFORMULA(Q78)=TRUE</formula>
    </cfRule>
  </conditionalFormatting>
  <conditionalFormatting sqref="Q79:S80">
    <cfRule type="expression" dxfId="7125" priority="11084">
      <formula>_xlfn.ISFORMULA(Q79)=TRUE</formula>
    </cfRule>
  </conditionalFormatting>
  <conditionalFormatting sqref="Q80:S81 Q84:S84 Q86:S87">
    <cfRule type="expression" dxfId="7124" priority="3630">
      <formula>_xlfn.ISFORMULA(Q80)=TRUE</formula>
    </cfRule>
  </conditionalFormatting>
  <conditionalFormatting sqref="Q81:S81 Q84:S84 Q86:S86">
    <cfRule type="expression" dxfId="7123" priority="3628">
      <formula>_xlfn.ISFORMULA(Q81)=TRUE</formula>
    </cfRule>
  </conditionalFormatting>
  <conditionalFormatting sqref="Q81:S82 Q84:S86">
    <cfRule type="expression" dxfId="7122" priority="3618">
      <formula>_xlfn.ISFORMULA(Q81)=TRUE</formula>
    </cfRule>
  </conditionalFormatting>
  <conditionalFormatting sqref="Q82:S82 Q85:S85">
    <cfRule type="expression" dxfId="7121" priority="3616">
      <formula>_xlfn.ISFORMULA(Q82)=TRUE</formula>
    </cfRule>
  </conditionalFormatting>
  <conditionalFormatting sqref="Q82:S83">
    <cfRule type="expression" dxfId="7120" priority="3606">
      <formula>_xlfn.ISFORMULA(Q82)=TRUE</formula>
    </cfRule>
  </conditionalFormatting>
  <conditionalFormatting sqref="Q83:S83">
    <cfRule type="expression" dxfId="7119" priority="3595">
      <formula>_xlfn.ISFORMULA(Q83)=TRUE</formula>
    </cfRule>
    <cfRule type="expression" dxfId="7118" priority="3604">
      <formula>_xlfn.ISFORMULA(Q83)=TRUE</formula>
    </cfRule>
  </conditionalFormatting>
  <conditionalFormatting sqref="Q85:S85">
    <cfRule type="expression" dxfId="7117" priority="3607">
      <formula>_xlfn.ISFORMULA(Q85)=TRUE</formula>
    </cfRule>
  </conditionalFormatting>
  <conditionalFormatting sqref="Q87:S87">
    <cfRule type="expression" dxfId="7116" priority="10633">
      <formula>_xlfn.ISFORMULA(Q87)=TRUE</formula>
    </cfRule>
  </conditionalFormatting>
  <conditionalFormatting sqref="Q89:S89 Q92:S92">
    <cfRule type="expression" dxfId="7115" priority="3682">
      <formula>_xlfn.ISFORMULA(Q89)=TRUE</formula>
    </cfRule>
    <cfRule type="expression" dxfId="7114" priority="3684">
      <formula>_xlfn.ISFORMULA(Q89)=TRUE</formula>
    </cfRule>
  </conditionalFormatting>
  <conditionalFormatting sqref="Q89:S90 Q92:S94">
    <cfRule type="expression" dxfId="7113" priority="3672">
      <formula>_xlfn.ISFORMULA(Q89)=TRUE</formula>
    </cfRule>
  </conditionalFormatting>
  <conditionalFormatting sqref="Q90:S90 Q93:S93">
    <cfRule type="expression" dxfId="7112" priority="3670">
      <formula>_xlfn.ISFORMULA(Q90)=TRUE</formula>
    </cfRule>
  </conditionalFormatting>
  <conditionalFormatting sqref="Q90:S91">
    <cfRule type="expression" dxfId="7111" priority="3660">
      <formula>_xlfn.ISFORMULA(Q90)=TRUE</formula>
    </cfRule>
  </conditionalFormatting>
  <conditionalFormatting sqref="Q91:S91">
    <cfRule type="expression" dxfId="7110" priority="3658">
      <formula>_xlfn.ISFORMULA(Q91)=TRUE</formula>
    </cfRule>
    <cfRule type="expression" dxfId="7109" priority="3649">
      <formula>_xlfn.ISFORMULA(Q91)=TRUE</formula>
    </cfRule>
  </conditionalFormatting>
  <conditionalFormatting sqref="Q93:S93">
    <cfRule type="expression" dxfId="7108" priority="3661">
      <formula>_xlfn.ISFORMULA(Q93)=TRUE</formula>
    </cfRule>
  </conditionalFormatting>
  <conditionalFormatting sqref="Q94:S94">
    <cfRule type="expression" dxfId="7107" priority="10236">
      <formula>_xlfn.ISFORMULA(Q94)=TRUE</formula>
    </cfRule>
  </conditionalFormatting>
  <conditionalFormatting sqref="Q95:S98">
    <cfRule type="expression" dxfId="7106" priority="35">
      <formula>_xlfn.ISFORMULA(Q95)=TRUE</formula>
    </cfRule>
  </conditionalFormatting>
  <conditionalFormatting sqref="Q98:S98">
    <cfRule type="expression" dxfId="7105" priority="3503">
      <formula>_xlfn.ISFORMULA(Q98)=TRUE</formula>
    </cfRule>
  </conditionalFormatting>
  <conditionalFormatting sqref="Q98:S99">
    <cfRule type="expression" dxfId="7104" priority="3505">
      <formula>_xlfn.ISFORMULA(Q98)=TRUE</formula>
    </cfRule>
  </conditionalFormatting>
  <conditionalFormatting sqref="Q100:S100">
    <cfRule type="expression" dxfId="7103" priority="3482">
      <formula>_xlfn.ISFORMULA(Q100)=TRUE</formula>
    </cfRule>
    <cfRule type="expression" dxfId="7102" priority="3491">
      <formula>_xlfn.ISFORMULA(Q100)=TRUE</formula>
    </cfRule>
  </conditionalFormatting>
  <conditionalFormatting sqref="Q100:S101">
    <cfRule type="expression" dxfId="7101" priority="3493">
      <formula>_xlfn.ISFORMULA(Q100)=TRUE</formula>
    </cfRule>
  </conditionalFormatting>
  <conditionalFormatting sqref="Q102:S102">
    <cfRule type="expression" dxfId="7100" priority="3479">
      <formula>_xlfn.ISFORMULA(Q102)=TRUE</formula>
    </cfRule>
    <cfRule type="expression" dxfId="7099" priority="3470">
      <formula>_xlfn.ISFORMULA(Q102)=TRUE</formula>
    </cfRule>
  </conditionalFormatting>
  <conditionalFormatting sqref="Q102:S103">
    <cfRule type="expression" dxfId="7098" priority="3481">
      <formula>_xlfn.ISFORMULA(Q102)=TRUE</formula>
    </cfRule>
  </conditionalFormatting>
  <conditionalFormatting sqref="Q104:S104">
    <cfRule type="expression" dxfId="7097" priority="1703">
      <formula>_xlfn.ISFORMULA(Q104)=TRUE</formula>
    </cfRule>
    <cfRule type="expression" dxfId="7096" priority="1694">
      <formula>_xlfn.ISFORMULA(Q104)=TRUE</formula>
    </cfRule>
    <cfRule type="expression" dxfId="7095" priority="1705">
      <formula>_xlfn.ISFORMULA(Q104)=TRUE</formula>
    </cfRule>
  </conditionalFormatting>
  <conditionalFormatting sqref="Q106:S106">
    <cfRule type="expression" dxfId="7094" priority="3467">
      <formula>_xlfn.ISFORMULA(Q106)=TRUE</formula>
    </cfRule>
    <cfRule type="expression" dxfId="7093" priority="3458">
      <formula>_xlfn.ISFORMULA(Q106)=TRUE</formula>
    </cfRule>
  </conditionalFormatting>
  <conditionalFormatting sqref="Q106:S107">
    <cfRule type="expression" dxfId="7092" priority="3469">
      <formula>_xlfn.ISFORMULA(Q106)=TRUE</formula>
    </cfRule>
  </conditionalFormatting>
  <conditionalFormatting sqref="Q108:S108">
    <cfRule type="expression" dxfId="7091" priority="3455">
      <formula>_xlfn.ISFORMULA(Q108)=TRUE</formula>
    </cfRule>
    <cfRule type="expression" dxfId="7090" priority="3446">
      <formula>_xlfn.ISFORMULA(Q108)=TRUE</formula>
    </cfRule>
  </conditionalFormatting>
  <conditionalFormatting sqref="Q108:S110">
    <cfRule type="expression" dxfId="7089" priority="3457">
      <formula>_xlfn.ISFORMULA(Q108)=TRUE</formula>
    </cfRule>
  </conditionalFormatting>
  <conditionalFormatting sqref="Q111:S112">
    <cfRule type="expression" dxfId="7088" priority="3431">
      <formula>_xlfn.ISFORMULA(Q111)=TRUE</formula>
    </cfRule>
  </conditionalFormatting>
  <conditionalFormatting sqref="Q113:S114">
    <cfRule type="expression" dxfId="7087" priority="3352">
      <formula>_xlfn.ISFORMULA(Q113)=TRUE</formula>
    </cfRule>
  </conditionalFormatting>
  <conditionalFormatting sqref="Q115:S115">
    <cfRule type="expression" dxfId="7086" priority="3326">
      <formula>_xlfn.ISFORMULA(Q115)=TRUE</formula>
    </cfRule>
  </conditionalFormatting>
  <conditionalFormatting sqref="Q116:S122">
    <cfRule type="expression" dxfId="7085" priority="7998">
      <formula>_xlfn.ISFORMULA(Q116)=TRUE</formula>
    </cfRule>
  </conditionalFormatting>
  <conditionalFormatting sqref="Q122:S138">
    <cfRule type="expression" dxfId="7084" priority="3189">
      <formula>_xlfn.ISFORMULA(Q122)=TRUE</formula>
    </cfRule>
  </conditionalFormatting>
  <conditionalFormatting sqref="Q155:S155">
    <cfRule type="expression" dxfId="7083" priority="6630">
      <formula>_xlfn.ISFORMULA(Q155)=TRUE</formula>
    </cfRule>
  </conditionalFormatting>
  <conditionalFormatting sqref="Q171:S171">
    <cfRule type="expression" dxfId="7082" priority="2993">
      <formula>_xlfn.ISFORMULA(Q171)=TRUE</formula>
    </cfRule>
  </conditionalFormatting>
  <conditionalFormatting sqref="Q186:S190">
    <cfRule type="expression" dxfId="7081" priority="2873">
      <formula>_xlfn.ISFORMULA(Q186)=TRUE</formula>
    </cfRule>
  </conditionalFormatting>
  <conditionalFormatting sqref="Q233:S233">
    <cfRule type="expression" dxfId="7080" priority="2704">
      <formula>_xlfn.ISFORMULA(Q233)=TRUE</formula>
    </cfRule>
  </conditionalFormatting>
  <conditionalFormatting sqref="Q237:S239">
    <cfRule type="expression" dxfId="7079" priority="2391">
      <formula>_xlfn.ISFORMULA(Q237)=TRUE</formula>
    </cfRule>
  </conditionalFormatting>
  <conditionalFormatting sqref="Q242:S246">
    <cfRule type="expression" dxfId="7078" priority="2373">
      <formula>_xlfn.ISFORMULA(Q242)=TRUE</formula>
    </cfRule>
  </conditionalFormatting>
  <conditionalFormatting sqref="Q248:S248">
    <cfRule type="expression" dxfId="7077" priority="17">
      <formula>_xlfn.ISFORMULA(Q248)=TRUE</formula>
    </cfRule>
  </conditionalFormatting>
  <conditionalFormatting sqref="Q274:S275">
    <cfRule type="expression" dxfId="7076" priority="14085">
      <formula>_xlfn.ISFORMULA(Q274)=TRUE</formula>
    </cfRule>
  </conditionalFormatting>
  <conditionalFormatting sqref="Q291:S292">
    <cfRule type="expression" dxfId="7075" priority="14083">
      <formula>_xlfn.ISFORMULA(Q291)=TRUE</formula>
    </cfRule>
  </conditionalFormatting>
  <conditionalFormatting sqref="Q308:S309">
    <cfRule type="expression" dxfId="7074" priority="14081">
      <formula>_xlfn.ISFORMULA(Q308)=TRUE</formula>
    </cfRule>
  </conditionalFormatting>
  <conditionalFormatting sqref="Q342:S343">
    <cfRule type="expression" dxfId="7073" priority="14075">
      <formula>_xlfn.ISFORMULA(Q342)=TRUE</formula>
    </cfRule>
  </conditionalFormatting>
  <conditionalFormatting sqref="Q359:S360">
    <cfRule type="expression" dxfId="7072" priority="14072">
      <formula>_xlfn.ISFORMULA(Q359)=TRUE</formula>
    </cfRule>
  </conditionalFormatting>
  <conditionalFormatting sqref="Q393:S394">
    <cfRule type="expression" dxfId="7071" priority="14069">
      <formula>_xlfn.ISFORMULA(Q393)=TRUE</formula>
    </cfRule>
  </conditionalFormatting>
  <conditionalFormatting sqref="Q495:S496">
    <cfRule type="expression" dxfId="7070" priority="14062">
      <formula>_xlfn.ISFORMULA(Q495)=TRUE</formula>
    </cfRule>
  </conditionalFormatting>
  <conditionalFormatting sqref="R21:R31">
    <cfRule type="expression" dxfId="7069" priority="12872">
      <formula>_xlfn.ISFORMULA(R21)=TRUE</formula>
    </cfRule>
  </conditionalFormatting>
  <conditionalFormatting sqref="R293:R307">
    <cfRule type="expression" dxfId="7068" priority="1859">
      <formula>_xlfn.ISFORMULA(R293)=TRUE</formula>
    </cfRule>
  </conditionalFormatting>
  <conditionalFormatting sqref="R4:S18">
    <cfRule type="expression" dxfId="7067" priority="463">
      <formula>_xlfn.ISFORMULA(R4)=TRUE</formula>
    </cfRule>
  </conditionalFormatting>
  <conditionalFormatting sqref="R37:S54">
    <cfRule type="expression" dxfId="7066" priority="1086">
      <formula>_xlfn.ISFORMULA(R37)=TRUE</formula>
    </cfRule>
  </conditionalFormatting>
  <conditionalFormatting sqref="R276:S290">
    <cfRule type="expression" dxfId="7065" priority="1798">
      <formula>_xlfn.ISFORMULA(R276)=TRUE</formula>
    </cfRule>
  </conditionalFormatting>
  <conditionalFormatting sqref="R310:S327">
    <cfRule type="expression" dxfId="7064" priority="68">
      <formula>_xlfn.ISFORMULA(R310)=TRUE</formula>
    </cfRule>
  </conditionalFormatting>
  <conditionalFormatting sqref="S21:S35">
    <cfRule type="expression" dxfId="7063" priority="10576">
      <formula>_xlfn.ISFORMULA(S21)=TRUE</formula>
    </cfRule>
  </conditionalFormatting>
  <conditionalFormatting sqref="S140:S154">
    <cfRule type="expression" dxfId="7062" priority="3047">
      <formula>_xlfn.ISFORMULA(S140)=TRUE</formula>
    </cfRule>
  </conditionalFormatting>
  <conditionalFormatting sqref="S157:S170">
    <cfRule type="expression" dxfId="7061" priority="2915">
      <formula>_xlfn.ISFORMULA(S157)=TRUE</formula>
    </cfRule>
  </conditionalFormatting>
  <conditionalFormatting sqref="S174:S185">
    <cfRule type="expression" dxfId="7060" priority="2843">
      <formula>_xlfn.ISFORMULA(S174)=TRUE</formula>
    </cfRule>
  </conditionalFormatting>
  <conditionalFormatting sqref="S191:S202">
    <cfRule type="expression" dxfId="7059" priority="2765">
      <formula>_xlfn.ISFORMULA(S191)=TRUE</formula>
    </cfRule>
  </conditionalFormatting>
  <conditionalFormatting sqref="V2">
    <cfRule type="expression" dxfId="7058" priority="14619">
      <formula>IF(VLOOKUP(1,$AF$3:$AF$503,1,FALSE)=1,"ИСТИНА","ЛОЖЬ")</formula>
    </cfRule>
  </conditionalFormatting>
  <conditionalFormatting sqref="V3:V1000">
    <cfRule type="expression" dxfId="7057" priority="14621">
      <formula>IF($AB3&gt;4.5,"ИСТИНА","ЛОЖЬ")</formula>
    </cfRule>
  </conditionalFormatting>
  <conditionalFormatting sqref="AB3:AB37">
    <cfRule type="expression" dxfId="7056" priority="14622">
      <formula>IF($AB3&gt;4.5,"ИСТИНА","ЛОЖЬ")</formula>
    </cfRule>
  </conditionalFormatting>
  <conditionalFormatting sqref="AF3:AT1000">
    <cfRule type="expression" dxfId="7055" priority="14548">
      <formula>_xlfn.ISFORMULA(AF3)=TRUE</formula>
    </cfRule>
  </conditionalFormatting>
  <pageMargins left="0.7" right="0.7" top="0.75" bottom="0.75" header="0.3" footer="0.3"/>
  <pageSetup paperSize="9" orientation="portrait" r:id="rId1"/>
  <ignoredErrors>
    <ignoredError sqref="AK3 AK7:AK8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4646" id="{B243EFEC-E694-4DF2-A2A4-5DF50B6C0CC9}">
            <xm:f>ISNUMBER(SEARCH(Справочная!$AQ$4,$AY3))</xm:f>
            <x14:dxf>
              <fill>
                <patternFill patternType="solid">
                  <fgColor indexed="64"/>
                  <bgColor rgb="FFF4B183"/>
                </patternFill>
              </fill>
            </x14:dxf>
          </x14:cfRule>
          <xm:sqref>D3:D1000</xm:sqref>
        </x14:conditionalFormatting>
        <x14:conditionalFormatting xmlns:xm="http://schemas.microsoft.com/office/excel/2006/main">
          <x14:cfRule type="expression" priority="14647" id="{B63971AC-8D84-431E-A063-F33AD860BC7E}">
            <xm:f>ISNUMBER(SEARCH(Справочная!$AQ$5,$AY3))</xm:f>
            <x14:dxf>
              <fill>
                <patternFill patternType="solid">
                  <fgColor indexed="64"/>
                  <bgColor rgb="FF9DC3E6"/>
                </patternFill>
              </fill>
            </x14:dxf>
          </x14:cfRule>
          <xm:sqref>D3:D1000</xm:sqref>
        </x14:conditionalFormatting>
        <x14:conditionalFormatting xmlns:xm="http://schemas.microsoft.com/office/excel/2006/main">
          <x14:cfRule type="expression" priority="14648" id="{6757A1CB-3933-4F06-855C-B2EF5094F70D}">
            <xm:f>ISNUMBER(SEARCH(Справочная!$AQ$6,$AY3))</xm:f>
            <x14:dxf>
              <fill>
                <patternFill patternType="solid">
                  <fgColor indexed="64"/>
                  <bgColor rgb="FFC6EFCE"/>
                </patternFill>
              </fill>
            </x14:dxf>
          </x14:cfRule>
          <xm:sqref>D3:D1000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4537A-279F-400D-87A4-82A2E1B969FC}">
  <sheetPr>
    <tabColor rgb="FF70AD47"/>
  </sheetPr>
  <dimension ref="A1:X1000"/>
  <sheetViews>
    <sheetView topLeftCell="A29" zoomScale="70" zoomScaleNormal="70" workbookViewId="0">
      <selection activeCell="J62" sqref="J62"/>
    </sheetView>
  </sheetViews>
  <sheetFormatPr defaultRowHeight="14.4" x14ac:dyDescent="0.3"/>
  <cols>
    <col min="6" max="7" width="15.5546875" style="60" customWidth="1"/>
    <col min="8" max="8" width="18.44140625" style="60" customWidth="1"/>
    <col min="10" max="10" width="55.5546875" bestFit="1" customWidth="1"/>
    <col min="12" max="12" width="10.109375" bestFit="1" customWidth="1"/>
    <col min="14" max="14" width="13.33203125" bestFit="1" customWidth="1"/>
    <col min="15" max="15" width="33.109375" customWidth="1"/>
    <col min="16" max="16" width="27.88671875" bestFit="1" customWidth="1"/>
    <col min="17" max="17" width="14.88671875" bestFit="1" customWidth="1"/>
    <col min="18" max="18" width="14.44140625" customWidth="1"/>
    <col min="19" max="21" width="13.5546875" customWidth="1"/>
  </cols>
  <sheetData>
    <row r="1" spans="1:24" ht="15" thickBot="1" x14ac:dyDescent="0.35">
      <c r="A1">
        <v>1</v>
      </c>
      <c r="B1">
        <v>2</v>
      </c>
      <c r="C1">
        <v>3</v>
      </c>
      <c r="D1">
        <v>4</v>
      </c>
      <c r="E1">
        <v>5</v>
      </c>
      <c r="F1" s="60">
        <v>6</v>
      </c>
      <c r="G1" s="60">
        <v>7</v>
      </c>
      <c r="H1" s="60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W1" s="202" t="s">
        <v>1020</v>
      </c>
      <c r="X1" s="201"/>
    </row>
    <row r="2" spans="1:24" ht="43.8" thickBot="1" x14ac:dyDescent="0.35">
      <c r="A2" s="53" t="s">
        <v>37</v>
      </c>
      <c r="B2" s="53" t="s">
        <v>38</v>
      </c>
      <c r="C2" s="53" t="s">
        <v>39</v>
      </c>
      <c r="D2" s="53" t="s">
        <v>63</v>
      </c>
      <c r="E2" s="53" t="s">
        <v>128</v>
      </c>
      <c r="F2" s="68" t="s">
        <v>12</v>
      </c>
      <c r="G2" s="68" t="s">
        <v>131</v>
      </c>
      <c r="H2" s="68" t="s">
        <v>0</v>
      </c>
      <c r="I2" s="24" t="s">
        <v>224</v>
      </c>
      <c r="J2" s="9" t="s">
        <v>14</v>
      </c>
      <c r="K2" s="9" t="s">
        <v>26</v>
      </c>
      <c r="L2" s="9" t="s">
        <v>27</v>
      </c>
      <c r="M2" s="9" t="s">
        <v>15</v>
      </c>
      <c r="N2" s="9" t="s">
        <v>28</v>
      </c>
      <c r="O2" s="9" t="s">
        <v>29</v>
      </c>
      <c r="P2" s="9" t="s">
        <v>18</v>
      </c>
      <c r="Q2" s="9" t="s">
        <v>52</v>
      </c>
      <c r="R2" s="24" t="s">
        <v>76</v>
      </c>
      <c r="S2" s="24" t="s">
        <v>77</v>
      </c>
      <c r="T2" s="24" t="s">
        <v>78</v>
      </c>
      <c r="U2" s="24" t="s">
        <v>79</v>
      </c>
      <c r="W2" s="203" t="s">
        <v>1021</v>
      </c>
      <c r="X2" s="204" cm="1">
        <f t="array" ref="X2">COUNTIFS('Исходные данные'!D3:D1000,"&lt;&gt;")-SUMPRODUCT(('Исходные данные'!D3:D1000&lt;&gt;"")*(COUNTIF(H3:H1000,'Исходные данные'!D3:D1000)&gt;0))</f>
      </c>
    </row>
    <row r="3" spans="1:24" x14ac:dyDescent="0.3">
      <c r="A3" s="7">
        <f>IF(B3=B4,"",B3)</f>
        <v/>
      </c>
      <c r="B3" s="7">
        <f>IF(C3=1,MAX(B2:$B$2)+1,IF(F3=0,"",B2))</f>
      </c>
      <c r="C3" s="7">
        <f>COUNTIF($F$2:$F3,F3)</f>
      </c>
      <c r="D3" s="7">
        <f>IF(F3=0,0,MAX($D$2:D2)+1)</f>
      </c>
      <c r="E3" s="7">
        <f>IF(H3=0,0,MAX($E$2:E2)+1)</f>
      </c>
      <c r="F3" s="177"/>
      <c r="G3" s="177"/>
      <c r="H3" s="172"/>
      <c r="I3" s="7">
        <f>IFERROR(VLOOKUP(H3,H$2:H2,1,FALSE),VLOOKUP(H3,H4:H$478,1,FALSE))</f>
      </c>
      <c r="J3" s="7">
        <f t="shared" ref="J3:J66" si="0">IF($H3=0,"",VLOOKUP($H3,Исходные_данные,36,FALSE))</f>
        <v/>
      </c>
      <c r="K3" s="7">
        <f t="shared" ref="K3:K66" si="1">IF($H3=0,"",VLOOKUP($H3,Исходные_данные,37,FALSE))</f>
        <v/>
      </c>
      <c r="L3" s="7">
        <f t="shared" ref="L3:L66" si="2">IF($H3=0,"",VLOOKUP($H3,Исходные_данные,38,FALSE))</f>
        <v/>
      </c>
      <c r="M3" s="19">
        <f t="shared" ref="M3" si="3">IFERROR(VLOOKUP(H3,Нагрузка_диапазон_1,4,FALSE),"")</f>
        <v/>
      </c>
      <c r="N3" s="7">
        <f t="shared" ref="N3:N66" si="4">IF($H3=0,"",VLOOKUP($H3,Исходные_данные,39,FALSE))</f>
        <v/>
      </c>
      <c r="O3" s="7"/>
      <c r="P3" s="7">
        <f t="shared" ref="P3:P66" si="5">IF($H3=0,"",VLOOKUP($H3,Исходные_данные,41,FALSE))</f>
        <v/>
      </c>
      <c r="Q3" s="7">
        <f t="shared" ref="Q3:Q66" si="6">IF($H3=0,"",VLOOKUP($H3,Исходные_данные,8,FALSE))</f>
        <v/>
      </c>
      <c r="R3" s="7">
        <f t="shared" ref="R3" si="7">IF(Q3=3,"L1,L2,L3",0)</f>
      </c>
      <c r="S3" s="7">
        <f t="shared" ref="S3" si="8">IF(C3=1,1,IF(Q3=3,S2,IF(S2=3,1,S2+1)))</f>
      </c>
      <c r="T3" s="7">
        <f t="shared" ref="T3" si="9">IF(R3=0,"L"&amp;S3,R3)</f>
      </c>
      <c r="U3" s="7">
        <f t="shared" ref="U3:U66" si="10">IF($H3=0,"",VLOOKUP($H3,Исходные_данные,31,FALSE))</f>
        <v/>
      </c>
      <c r="W3" s="205" t="s">
        <v>0</v>
      </c>
      <c r="X3" s="205" t="s">
        <v>14</v>
      </c>
    </row>
    <row r="4" spans="1:24" x14ac:dyDescent="0.3">
      <c r="A4" s="7">
        <f t="shared" ref="A4:A67" si="11">IF(B4=B5,"",B4)</f>
        <v/>
      </c>
      <c r="B4" s="7">
        <f>IF(C4=1,MAX(B$2:$B3)+1,IF(F4=0,"",B3))</f>
      </c>
      <c r="C4" s="7">
        <f>COUNTIF($F$2:$F4,F4)</f>
      </c>
      <c r="D4" s="7">
        <f>IF(F4=0,0,MAX($D$2:D3)+1)</f>
      </c>
      <c r="E4" s="7">
        <f>IF(H4=0,0,MAX($E$2:E3)+1)</f>
      </c>
      <c r="F4" s="177"/>
      <c r="G4" s="119"/>
      <c r="H4" s="119"/>
      <c r="I4" s="7">
        <f>IFERROR(VLOOKUP(H4,H$2:H3,1,FALSE),VLOOKUP(H4,H5:H$478,1,FALSE))</f>
      </c>
      <c r="J4" s="7">
        <f t="shared" si="0"/>
        <v/>
      </c>
      <c r="K4" s="7">
        <f t="shared" si="1"/>
        <v/>
      </c>
      <c r="L4" s="7">
        <f t="shared" si="2"/>
        <v/>
      </c>
      <c r="M4" s="19">
        <f t="shared" ref="M4" si="12">IFERROR(VLOOKUP(H4,Нагрузка_диапазон_1,4,FALSE),"")</f>
        <v/>
      </c>
      <c r="N4" s="7">
        <f t="shared" si="4"/>
        <v/>
      </c>
      <c r="O4" s="7"/>
      <c r="P4" s="7">
        <f t="shared" si="5"/>
        <v/>
      </c>
      <c r="Q4" s="7">
        <f t="shared" si="6"/>
        <v/>
      </c>
      <c r="R4" s="7">
        <f t="shared" ref="R4:R67" si="13">IF(Q4=3,"L1,L2,L3",0)</f>
      </c>
      <c r="S4" s="7">
        <f t="shared" ref="S4:S67" si="14">IF(C4=1,1,IF(Q4=3,S3,IF(S3=3,1,S3+1)))</f>
      </c>
      <c r="T4" s="7">
        <f t="shared" ref="T4:T67" si="15">IF(R4=0,"L"&amp;S4,R4)</f>
      </c>
      <c r="U4" s="7">
        <f t="shared" si="10"/>
        <v/>
      </c>
      <c r="W4" cm="1">
        <f t="array" ref="W4">IFERROR(_xlfn._xlws.FILTER('Исходные данные'!D3:D1000,('Исходные данные'!D3:D1000&lt;&gt;"")*(COUNTIF($H$3:$H$1000,'Исходные данные'!D3:D1000)=0),"все стоят"),"все стоят")</f>
      </c>
      <c r="X4" cm="1">
        <f t="array" ref="X4">IFERROR(_xlfn._xlws.FILTER('Исходные данные'!B3:B1000,('Исходные данные'!D3:D1000&lt;&gt;"")*(COUNTIF($H$3:$H$1000,'Исходные данные'!D3:D1000)=0),""),"")</f>
        <v/>
      </c>
    </row>
    <row r="5" spans="1:24" x14ac:dyDescent="0.3">
      <c r="A5" s="7">
        <f t="shared" si="11"/>
        <v/>
      </c>
      <c r="B5" s="7">
        <f>IF(C5=1,MAX(B$2:$B4)+1,IF(F5=0,"",B4))</f>
      </c>
      <c r="C5" s="7">
        <f>COUNTIF($F$2:$F5,F5)</f>
      </c>
      <c r="D5" s="7">
        <f>IF(F5=0,0,MAX($D$2:D4)+1)</f>
      </c>
      <c r="E5" s="7">
        <f>IF(H5=0,0,MAX($E$2:E4)+1)</f>
      </c>
      <c r="F5" s="177"/>
      <c r="G5" s="119"/>
      <c r="H5" s="119"/>
      <c r="I5" s="7">
        <f>IFERROR(VLOOKUP(H5,H$2:H4,1,FALSE),VLOOKUP(H5,H6:H$478,1,FALSE))</f>
      </c>
      <c r="J5" s="7">
        <f t="shared" si="0"/>
        <v/>
      </c>
      <c r="K5" s="7">
        <f t="shared" si="1"/>
        <v/>
      </c>
      <c r="L5" s="7">
        <f t="shared" si="2"/>
        <v/>
      </c>
      <c r="M5" s="19">
        <f t="shared" ref="M5:M68" si="16">IFERROR(VLOOKUP(H5,Нагрузка_диапазон_1,4,FALSE),"")</f>
        <v/>
      </c>
      <c r="N5" s="7">
        <f t="shared" si="4"/>
        <v/>
      </c>
      <c r="O5" s="7"/>
      <c r="P5" s="7">
        <f t="shared" si="5"/>
        <v/>
      </c>
      <c r="Q5" s="7">
        <f t="shared" si="6"/>
        <v/>
      </c>
      <c r="R5" s="7">
        <f t="shared" si="13"/>
      </c>
      <c r="S5" s="7">
        <f t="shared" si="14"/>
      </c>
      <c r="T5" s="7">
        <f t="shared" si="15"/>
      </c>
      <c r="U5" s="7">
        <f t="shared" si="10"/>
        <v/>
      </c>
    </row>
    <row r="6" spans="1:24" x14ac:dyDescent="0.3">
      <c r="A6" s="7">
        <f t="shared" si="11"/>
        <v/>
      </c>
      <c r="B6" s="7">
        <f>IF(C6=1,MAX(B$2:$B5)+1,IF(F6=0,"",B5))</f>
      </c>
      <c r="C6" s="7">
        <f>COUNTIF($F$2:$F6,F6)</f>
      </c>
      <c r="D6" s="7">
        <f>IF(F6=0,0,MAX($D$2:D5)+1)</f>
      </c>
      <c r="E6" s="7">
        <f>IF(H6=0,0,MAX($E$2:E5)+1)</f>
      </c>
      <c r="F6" s="177"/>
      <c r="G6" s="119"/>
      <c r="H6" s="119"/>
      <c r="I6" s="7">
        <f>IFERROR(VLOOKUP(H6,H$2:H5,1,FALSE),VLOOKUP(H6,H7:H$478,1,FALSE))</f>
      </c>
      <c r="J6" s="7">
        <f t="shared" si="0"/>
        <v/>
      </c>
      <c r="K6" s="7">
        <f t="shared" si="1"/>
        <v/>
      </c>
      <c r="L6" s="7">
        <f t="shared" si="2"/>
        <v/>
      </c>
      <c r="M6" s="19">
        <f t="shared" si="16"/>
        <v/>
      </c>
      <c r="N6" s="7">
        <f t="shared" si="4"/>
        <v/>
      </c>
      <c r="O6" s="7"/>
      <c r="P6" s="7">
        <f t="shared" si="5"/>
        <v/>
      </c>
      <c r="Q6" s="7">
        <f t="shared" si="6"/>
        <v/>
      </c>
      <c r="R6" s="7">
        <f t="shared" si="13"/>
      </c>
      <c r="S6" s="7">
        <f t="shared" si="14"/>
      </c>
      <c r="T6" s="7">
        <f t="shared" si="15"/>
      </c>
      <c r="U6" s="7">
        <f t="shared" si="10"/>
        <v/>
      </c>
    </row>
    <row r="7" spans="1:24" x14ac:dyDescent="0.3">
      <c r="A7" s="7">
        <f t="shared" si="11"/>
        <v/>
      </c>
      <c r="B7" s="7">
        <f>IF(C7=1,MAX(B$2:$B6)+1,IF(F7=0,"",B6))</f>
      </c>
      <c r="C7" s="7">
        <f>COUNTIF($F$2:$F7,F7)</f>
      </c>
      <c r="D7" s="7">
        <f>IF(F7=0,0,MAX($D$2:D6)+1)</f>
      </c>
      <c r="E7" s="7">
        <f>IF(H7=0,0,MAX($E$2:E6)+1)</f>
      </c>
      <c r="F7" s="177"/>
      <c r="G7" s="119"/>
      <c r="H7" s="119"/>
      <c r="I7" s="7">
        <f>IFERROR(VLOOKUP(H7,H$2:H6,1,FALSE),VLOOKUP(H7,H8:H$478,1,FALSE))</f>
      </c>
      <c r="J7" s="7">
        <f t="shared" si="0"/>
        <v/>
      </c>
      <c r="K7" s="7">
        <f t="shared" si="1"/>
        <v/>
      </c>
      <c r="L7" s="7">
        <f t="shared" si="2"/>
        <v/>
      </c>
      <c r="M7" s="19">
        <f t="shared" si="16"/>
        <v/>
      </c>
      <c r="N7" s="7">
        <f t="shared" si="4"/>
        <v/>
      </c>
      <c r="O7" s="7"/>
      <c r="P7" s="7">
        <f t="shared" si="5"/>
        <v/>
      </c>
      <c r="Q7" s="7">
        <f t="shared" si="6"/>
        <v/>
      </c>
      <c r="R7" s="7">
        <f t="shared" si="13"/>
      </c>
      <c r="S7" s="7">
        <f t="shared" si="14"/>
      </c>
      <c r="T7" s="7">
        <f t="shared" si="15"/>
      </c>
      <c r="U7" s="7">
        <f t="shared" si="10"/>
        <v/>
      </c>
    </row>
    <row r="8" spans="1:24" x14ac:dyDescent="0.3">
      <c r="A8" s="7">
        <f t="shared" si="11"/>
        <v/>
      </c>
      <c r="B8" s="7">
        <f>IF(C8=1,MAX(B$2:$B7)+1,IF(F8=0,"",B7))</f>
      </c>
      <c r="C8" s="7">
        <f>COUNTIF($F$2:$F8,F8)</f>
      </c>
      <c r="D8" s="7">
        <f>IF(F8=0,0,MAX($D$2:D7)+1)</f>
      </c>
      <c r="E8" s="7">
        <f>IF(H8=0,0,MAX($E$2:E7)+1)</f>
      </c>
      <c r="F8" s="177"/>
      <c r="G8" s="119"/>
      <c r="H8" s="119"/>
      <c r="I8" s="7">
        <f>IFERROR(VLOOKUP(H8,H$2:H7,1,FALSE),VLOOKUP(H8,H9:H$478,1,FALSE))</f>
      </c>
      <c r="J8" s="7">
        <f t="shared" si="0"/>
        <v/>
      </c>
      <c r="K8" s="7">
        <f t="shared" si="1"/>
        <v/>
      </c>
      <c r="L8" s="7">
        <f t="shared" si="2"/>
        <v/>
      </c>
      <c r="M8" s="19">
        <f t="shared" si="16"/>
        <v/>
      </c>
      <c r="N8" s="7">
        <f t="shared" si="4"/>
        <v/>
      </c>
      <c r="O8" s="7"/>
      <c r="P8" s="7">
        <f t="shared" si="5"/>
        <v/>
      </c>
      <c r="Q8" s="7">
        <f t="shared" si="6"/>
        <v/>
      </c>
      <c r="R8" s="7">
        <f t="shared" si="13"/>
      </c>
      <c r="S8" s="7">
        <f t="shared" si="14"/>
      </c>
      <c r="T8" s="7">
        <f t="shared" si="15"/>
      </c>
      <c r="U8" s="7">
        <f t="shared" si="10"/>
        <v/>
      </c>
    </row>
    <row r="9" spans="1:24" x14ac:dyDescent="0.3">
      <c r="A9" s="7">
        <f t="shared" si="11"/>
        <v/>
      </c>
      <c r="B9" s="7">
        <f>IF(C9=1,MAX(B$2:$B8)+1,IF(F9=0,"",B8))</f>
      </c>
      <c r="C9" s="7">
        <f>COUNTIF($F$2:$F9,F9)</f>
      </c>
      <c r="D9" s="7">
        <f>IF(F9=0,0,MAX($D$2:D8)+1)</f>
      </c>
      <c r="E9" s="7">
        <f>IF(H9=0,0,MAX($E$2:E8)+1)</f>
      </c>
      <c r="F9" s="177"/>
      <c r="G9" s="119"/>
      <c r="H9" s="119"/>
      <c r="I9" s="7">
        <f>IFERROR(VLOOKUP(H9,H$2:H8,1,FALSE),VLOOKUP(H9,H10:H$478,1,FALSE))</f>
      </c>
      <c r="J9" s="7">
        <f t="shared" si="0"/>
        <v/>
      </c>
      <c r="K9" s="7">
        <f t="shared" si="1"/>
        <v/>
      </c>
      <c r="L9" s="7">
        <f t="shared" si="2"/>
        <v/>
      </c>
      <c r="M9" s="19">
        <f t="shared" si="16"/>
        <v/>
      </c>
      <c r="N9" s="7">
        <f t="shared" si="4"/>
        <v/>
      </c>
      <c r="O9" s="7"/>
      <c r="P9" s="7">
        <f t="shared" si="5"/>
        <v/>
      </c>
      <c r="Q9" s="7">
        <f t="shared" si="6"/>
        <v/>
      </c>
      <c r="R9" s="7">
        <f t="shared" si="13"/>
      </c>
      <c r="S9" s="7">
        <f t="shared" si="14"/>
      </c>
      <c r="T9" s="7">
        <f t="shared" si="15"/>
      </c>
      <c r="U9" s="7">
        <f t="shared" si="10"/>
        <v/>
      </c>
    </row>
    <row r="10" spans="1:24" x14ac:dyDescent="0.3">
      <c r="A10" s="7">
        <f t="shared" si="11"/>
        <v/>
      </c>
      <c r="B10" s="7">
        <f>IF(C10=1,MAX(B$2:$B9)+1,IF(F10=0,"",B9))</f>
      </c>
      <c r="C10" s="7">
        <f>COUNTIF($F$2:$F10,F10)</f>
      </c>
      <c r="D10" s="7">
        <f>IF(F10=0,0,MAX($D$2:D9)+1)</f>
      </c>
      <c r="E10" s="7">
        <f>IF(H10=0,0,MAX($E$2:E9)+1)</f>
      </c>
      <c r="F10" s="177"/>
      <c r="G10" s="119"/>
      <c r="H10" s="119"/>
      <c r="I10" s="7">
        <f>IFERROR(VLOOKUP(H10,H$2:H9,1,FALSE),VLOOKUP(H10,H11:H$478,1,FALSE))</f>
      </c>
      <c r="J10" s="7">
        <f t="shared" si="0"/>
        <v/>
      </c>
      <c r="K10" s="7">
        <f t="shared" si="1"/>
        <v/>
      </c>
      <c r="L10" s="7">
        <f t="shared" si="2"/>
        <v/>
      </c>
      <c r="M10" s="19">
        <f t="shared" si="16"/>
        <v/>
      </c>
      <c r="N10" s="7">
        <f t="shared" si="4"/>
        <v/>
      </c>
      <c r="O10" s="7"/>
      <c r="P10" s="7">
        <f t="shared" si="5"/>
        <v/>
      </c>
      <c r="Q10" s="7">
        <f t="shared" si="6"/>
        <v/>
      </c>
      <c r="R10" s="7">
        <f t="shared" si="13"/>
      </c>
      <c r="S10" s="7">
        <f t="shared" si="14"/>
      </c>
      <c r="T10" s="7">
        <f t="shared" si="15"/>
      </c>
      <c r="U10" s="7">
        <f t="shared" si="10"/>
        <v/>
      </c>
    </row>
    <row r="11" spans="1:24" x14ac:dyDescent="0.3">
      <c r="A11" s="7">
        <f t="shared" si="11"/>
        <v/>
      </c>
      <c r="B11" s="7">
        <f>IF(C11=1,MAX(B$2:$B10)+1,IF(F11=0,"",B10))</f>
      </c>
      <c r="C11" s="7">
        <f>COUNTIF($F$2:$F11,F11)</f>
      </c>
      <c r="D11" s="7">
        <f>IF(F11=0,0,MAX($D$2:D10)+1)</f>
      </c>
      <c r="E11" s="7">
        <f>IF(H11=0,0,MAX($E$2:E10)+1)</f>
      </c>
      <c r="F11" s="177"/>
      <c r="G11" s="119"/>
      <c r="H11" s="119"/>
      <c r="I11" s="7">
        <f>IFERROR(VLOOKUP(H11,H$2:H10,1,FALSE),VLOOKUP(H11,H12:H$478,1,FALSE))</f>
      </c>
      <c r="J11" s="7">
        <f t="shared" si="0"/>
        <v/>
      </c>
      <c r="K11" s="7">
        <f t="shared" si="1"/>
        <v/>
      </c>
      <c r="L11" s="7">
        <f t="shared" si="2"/>
        <v/>
      </c>
      <c r="M11" s="19">
        <f t="shared" si="16"/>
        <v/>
      </c>
      <c r="N11" s="7">
        <f t="shared" si="4"/>
        <v/>
      </c>
      <c r="O11" s="7"/>
      <c r="P11" s="7">
        <f t="shared" si="5"/>
        <v/>
      </c>
      <c r="Q11" s="7">
        <f t="shared" si="6"/>
        <v/>
      </c>
      <c r="R11" s="7">
        <f t="shared" si="13"/>
      </c>
      <c r="S11" s="7">
        <f t="shared" si="14"/>
      </c>
      <c r="T11" s="7">
        <f t="shared" si="15"/>
      </c>
      <c r="U11" s="7">
        <f t="shared" si="10"/>
        <v/>
      </c>
    </row>
    <row r="12" spans="1:24" x14ac:dyDescent="0.3">
      <c r="A12" s="7">
        <f t="shared" si="11"/>
        <v/>
      </c>
      <c r="B12" s="7">
        <f>IF(C12=1,MAX(B$2:$B11)+1,IF(F12=0,"",B11))</f>
      </c>
      <c r="C12" s="7">
        <f>COUNTIF($F$2:$F12,F12)</f>
      </c>
      <c r="D12" s="7">
        <f>IF(F12=0,0,MAX($D$2:D11)+1)</f>
      </c>
      <c r="E12" s="7">
        <f>IF(H12=0,0,MAX($E$2:E11)+1)</f>
      </c>
      <c r="F12" s="177"/>
      <c r="G12" s="119"/>
      <c r="H12" s="119"/>
      <c r="I12" s="7">
        <f>IFERROR(VLOOKUP(H12,H$2:H11,1,FALSE),VLOOKUP(H12,H13:H$478,1,FALSE))</f>
      </c>
      <c r="J12" s="7">
        <f t="shared" si="0"/>
        <v/>
      </c>
      <c r="K12" s="7">
        <f t="shared" si="1"/>
        <v/>
      </c>
      <c r="L12" s="7">
        <f t="shared" si="2"/>
        <v/>
      </c>
      <c r="M12" s="19">
        <f t="shared" si="16"/>
        <v/>
      </c>
      <c r="N12" s="7">
        <f t="shared" si="4"/>
        <v/>
      </c>
      <c r="O12" s="7"/>
      <c r="P12" s="7">
        <f t="shared" si="5"/>
        <v/>
      </c>
      <c r="Q12" s="7">
        <f t="shared" si="6"/>
        <v/>
      </c>
      <c r="R12" s="7">
        <f t="shared" si="13"/>
      </c>
      <c r="S12" s="7">
        <f t="shared" si="14"/>
      </c>
      <c r="T12" s="7">
        <f t="shared" si="15"/>
      </c>
      <c r="U12" s="7">
        <f t="shared" si="10"/>
        <v/>
      </c>
    </row>
    <row r="13" spans="1:24" x14ac:dyDescent="0.3">
      <c r="A13" s="7">
        <f t="shared" si="11"/>
        <v/>
      </c>
      <c r="B13" s="7">
        <f>IF(C13=1,MAX(B$2:$B12)+1,IF(F13=0,"",B12))</f>
      </c>
      <c r="C13" s="7">
        <f>COUNTIF($F$2:$F13,F13)</f>
      </c>
      <c r="D13" s="7">
        <f>IF(F13=0,0,MAX($D$2:D12)+1)</f>
      </c>
      <c r="E13" s="7">
        <f>IF(H13=0,0,MAX($E$2:E12)+1)</f>
      </c>
      <c r="F13" s="177"/>
      <c r="G13" s="119"/>
      <c r="H13" s="119"/>
      <c r="I13" s="7">
        <f>IFERROR(VLOOKUP(H13,H$2:H12,1,FALSE),VLOOKUP(H13,H14:H$478,1,FALSE))</f>
      </c>
      <c r="J13" s="7">
        <f t="shared" si="0"/>
        <v/>
      </c>
      <c r="K13" s="7">
        <f t="shared" si="1"/>
        <v/>
      </c>
      <c r="L13" s="7">
        <f t="shared" si="2"/>
        <v/>
      </c>
      <c r="M13" s="19">
        <f t="shared" si="16"/>
        <v/>
      </c>
      <c r="N13" s="7">
        <f t="shared" si="4"/>
        <v/>
      </c>
      <c r="O13" s="7"/>
      <c r="P13" s="7">
        <f t="shared" si="5"/>
        <v/>
      </c>
      <c r="Q13" s="7">
        <f t="shared" si="6"/>
        <v/>
      </c>
      <c r="R13" s="7">
        <f t="shared" si="13"/>
      </c>
      <c r="S13" s="7">
        <f t="shared" si="14"/>
      </c>
      <c r="T13" s="7">
        <f t="shared" si="15"/>
      </c>
      <c r="U13" s="7">
        <f t="shared" si="10"/>
        <v/>
      </c>
    </row>
    <row r="14" spans="1:24" x14ac:dyDescent="0.3">
      <c r="A14" s="7">
        <f t="shared" si="11"/>
        <v/>
      </c>
      <c r="B14" s="7">
        <f>IF(C14=1,MAX(B$2:$B13)+1,IF(F14=0,"",B13))</f>
      </c>
      <c r="C14" s="7">
        <f>COUNTIF($F$2:$F14,F14)</f>
      </c>
      <c r="D14" s="7">
        <f>IF(F14=0,0,MAX($D$2:D13)+1)</f>
      </c>
      <c r="E14" s="7">
        <f>IF(H14=0,0,MAX($E$2:E13)+1)</f>
      </c>
      <c r="F14" s="177"/>
      <c r="G14" s="119"/>
      <c r="H14" s="119"/>
      <c r="I14" s="7">
        <f>IFERROR(VLOOKUP(H14,H$2:H13,1,FALSE),VLOOKUP(H14,H15:H$478,1,FALSE))</f>
      </c>
      <c r="J14" s="7">
        <f t="shared" si="0"/>
        <v/>
      </c>
      <c r="K14" s="7">
        <f t="shared" si="1"/>
        <v/>
      </c>
      <c r="L14" s="7">
        <f t="shared" si="2"/>
        <v/>
      </c>
      <c r="M14" s="19">
        <f t="shared" si="16"/>
        <v/>
      </c>
      <c r="N14" s="7">
        <f t="shared" si="4"/>
        <v/>
      </c>
      <c r="O14" s="7"/>
      <c r="P14" s="7">
        <f t="shared" si="5"/>
        <v/>
      </c>
      <c r="Q14" s="7">
        <f t="shared" si="6"/>
        <v/>
      </c>
      <c r="R14" s="7">
        <f t="shared" si="13"/>
      </c>
      <c r="S14" s="7">
        <f t="shared" si="14"/>
      </c>
      <c r="T14" s="7">
        <f t="shared" si="15"/>
      </c>
      <c r="U14" s="7">
        <f t="shared" si="10"/>
        <v/>
      </c>
    </row>
    <row r="15" spans="1:24" x14ac:dyDescent="0.3">
      <c r="A15" s="7">
        <f t="shared" si="11"/>
        <v/>
      </c>
      <c r="B15" s="7">
        <f>IF(C15=1,MAX(B$2:$B14)+1,IF(F15=0,"",B14))</f>
      </c>
      <c r="C15" s="7">
        <f>COUNTIF($F$2:$F15,F15)</f>
      </c>
      <c r="D15" s="7">
        <f>IF(F15=0,0,MAX($D$2:D14)+1)</f>
      </c>
      <c r="E15" s="7">
        <f>IF(H15=0,0,MAX($E$2:E14)+1)</f>
      </c>
      <c r="F15" s="177"/>
      <c r="G15" s="119"/>
      <c r="H15" s="119"/>
      <c r="I15" s="7">
        <f>IFERROR(VLOOKUP(H15,H$2:H14,1,FALSE),VLOOKUP(H15,H16:H$478,1,FALSE))</f>
      </c>
      <c r="J15" s="7">
        <f t="shared" si="0"/>
        <v/>
      </c>
      <c r="K15" s="7">
        <f t="shared" si="1"/>
        <v/>
      </c>
      <c r="L15" s="7">
        <f t="shared" si="2"/>
        <v/>
      </c>
      <c r="M15" s="19">
        <f t="shared" si="16"/>
        <v/>
      </c>
      <c r="N15" s="7">
        <f t="shared" si="4"/>
        <v/>
      </c>
      <c r="O15" s="7"/>
      <c r="P15" s="7">
        <f t="shared" si="5"/>
        <v/>
      </c>
      <c r="Q15" s="7">
        <f t="shared" si="6"/>
        <v/>
      </c>
      <c r="R15" s="7">
        <f t="shared" si="13"/>
      </c>
      <c r="S15" s="7">
        <f t="shared" si="14"/>
      </c>
      <c r="T15" s="7">
        <f t="shared" si="15"/>
      </c>
      <c r="U15" s="7">
        <f t="shared" si="10"/>
        <v/>
      </c>
    </row>
    <row r="16" spans="1:24" x14ac:dyDescent="0.3">
      <c r="A16" s="7">
        <f t="shared" si="11"/>
        <v/>
      </c>
      <c r="B16" s="7">
        <f>IF(C16=1,MAX(B$2:$B15)+1,IF(F16=0,"",B15))</f>
      </c>
      <c r="C16" s="7">
        <f>COUNTIF($F$2:$F16,F16)</f>
      </c>
      <c r="D16" s="7">
        <f>IF(F16=0,0,MAX($D$2:D15)+1)</f>
      </c>
      <c r="E16" s="7">
        <f>IF(H16=0,0,MAX($E$2:E15)+1)</f>
      </c>
      <c r="F16" s="177"/>
      <c r="G16" s="119"/>
      <c r="H16" s="119"/>
      <c r="I16" s="7">
        <f>IFERROR(VLOOKUP(H16,H$2:H15,1,FALSE),VLOOKUP(H16,H17:H$478,1,FALSE))</f>
      </c>
      <c r="J16" s="7">
        <f t="shared" si="0"/>
        <v/>
      </c>
      <c r="K16" s="7">
        <f t="shared" si="1"/>
        <v/>
      </c>
      <c r="L16" s="7">
        <f t="shared" si="2"/>
        <v/>
      </c>
      <c r="M16" s="19">
        <f t="shared" si="16"/>
        <v/>
      </c>
      <c r="N16" s="7">
        <f t="shared" si="4"/>
        <v/>
      </c>
      <c r="O16" s="7"/>
      <c r="P16" s="7">
        <f t="shared" si="5"/>
        <v/>
      </c>
      <c r="Q16" s="7">
        <f t="shared" si="6"/>
        <v/>
      </c>
      <c r="R16" s="7">
        <f t="shared" si="13"/>
      </c>
      <c r="S16" s="7">
        <f t="shared" si="14"/>
      </c>
      <c r="T16" s="7">
        <f t="shared" si="15"/>
      </c>
      <c r="U16" s="7">
        <f t="shared" si="10"/>
        <v/>
      </c>
    </row>
    <row r="17" spans="1:21" x14ac:dyDescent="0.3">
      <c r="A17" s="7">
        <f t="shared" si="11"/>
        <v/>
      </c>
      <c r="B17" s="7">
        <f>IF(C17=1,MAX(B$2:$B16)+1,IF(F17=0,"",B16))</f>
      </c>
      <c r="C17" s="7">
        <f>COUNTIF($F$2:$F17,F17)</f>
      </c>
      <c r="D17" s="7">
        <f>IF(F17=0,0,MAX($D$2:D16)+1)</f>
      </c>
      <c r="E17" s="7">
        <f>IF(H17=0,0,MAX($E$2:E16)+1)</f>
      </c>
      <c r="F17" s="177"/>
      <c r="G17" s="119"/>
      <c r="H17" s="119"/>
      <c r="I17" s="7">
        <f>IFERROR(VLOOKUP(H17,H$2:H16,1,FALSE),VLOOKUP(H17,H18:H$478,1,FALSE))</f>
      </c>
      <c r="J17" s="7">
        <f t="shared" si="0"/>
        <v/>
      </c>
      <c r="K17" s="7">
        <f t="shared" si="1"/>
        <v/>
      </c>
      <c r="L17" s="7">
        <f t="shared" si="2"/>
        <v/>
      </c>
      <c r="M17" s="19">
        <f t="shared" si="16"/>
        <v/>
      </c>
      <c r="N17" s="7">
        <f t="shared" si="4"/>
        <v/>
      </c>
      <c r="O17" s="7"/>
      <c r="P17" s="7">
        <f t="shared" si="5"/>
        <v/>
      </c>
      <c r="Q17" s="7">
        <f t="shared" si="6"/>
        <v/>
      </c>
      <c r="R17" s="7">
        <f t="shared" si="13"/>
      </c>
      <c r="S17" s="7">
        <f t="shared" si="14"/>
      </c>
      <c r="T17" s="7">
        <f t="shared" si="15"/>
      </c>
      <c r="U17" s="7">
        <f t="shared" si="10"/>
        <v/>
      </c>
    </row>
    <row r="18" spans="1:21" x14ac:dyDescent="0.3">
      <c r="A18" s="7">
        <f t="shared" si="11"/>
        <v/>
      </c>
      <c r="B18" s="7">
        <f>IF(C18=1,MAX(B$2:$B17)+1,IF(F18=0,"",B17))</f>
      </c>
      <c r="C18" s="7">
        <f>COUNTIF($F$2:$F18,F18)</f>
      </c>
      <c r="D18" s="7">
        <f>IF(F18=0,0,MAX($D$2:D17)+1)</f>
      </c>
      <c r="E18" s="7">
        <f>IF(H18=0,0,MAX($E$2:E17)+1)</f>
      </c>
      <c r="F18" s="177"/>
      <c r="G18" s="119"/>
      <c r="H18" s="119"/>
      <c r="I18" s="7">
        <f>IFERROR(VLOOKUP(H18,H$2:H17,1,FALSE),VLOOKUP(H18,H19:H$478,1,FALSE))</f>
      </c>
      <c r="J18" s="7">
        <f t="shared" si="0"/>
        <v/>
      </c>
      <c r="K18" s="7">
        <f t="shared" si="1"/>
        <v/>
      </c>
      <c r="L18" s="7">
        <f t="shared" si="2"/>
        <v/>
      </c>
      <c r="M18" s="19">
        <f t="shared" si="16"/>
        <v/>
      </c>
      <c r="N18" s="7">
        <f t="shared" si="4"/>
        <v/>
      </c>
      <c r="O18" s="7"/>
      <c r="P18" s="7">
        <f t="shared" si="5"/>
        <v/>
      </c>
      <c r="Q18" s="7">
        <f t="shared" si="6"/>
        <v/>
      </c>
      <c r="R18" s="7">
        <f t="shared" si="13"/>
      </c>
      <c r="S18" s="7">
        <f t="shared" si="14"/>
      </c>
      <c r="T18" s="7">
        <f t="shared" si="15"/>
      </c>
      <c r="U18" s="7">
        <f t="shared" si="10"/>
        <v/>
      </c>
    </row>
    <row r="19" spans="1:21" s="8" customFormat="1" ht="15" thickBot="1" x14ac:dyDescent="0.35">
      <c r="A19" s="7">
        <f t="shared" si="11"/>
        <v/>
      </c>
      <c r="B19" s="7">
        <f>IF(C19=1,MAX(B$2:$B18)+1,IF(F19=0,"",B18))</f>
      </c>
      <c r="C19" s="7">
        <f>COUNTIF($F$2:$F19,F19)</f>
      </c>
      <c r="D19" s="7">
        <f>IF(F19=0,0,MAX($D$2:D18)+1)</f>
      </c>
      <c r="E19" s="7">
        <f>IF(H19=0,0,MAX($E$2:E18)+1)</f>
      </c>
      <c r="F19" s="175"/>
      <c r="G19" s="175"/>
      <c r="H19" s="175"/>
      <c r="I19" s="47">
        <f>IFERROR(VLOOKUP(H19,H$2:H18,1,FALSE),VLOOKUP(H19,H20:H$478,1,FALSE))</f>
      </c>
      <c r="J19" s="47">
        <f t="shared" si="0"/>
        <v/>
      </c>
      <c r="K19" s="47">
        <f t="shared" si="1"/>
        <v/>
      </c>
      <c r="L19" s="47">
        <f t="shared" si="2"/>
        <v/>
      </c>
      <c r="M19" s="52">
        <f t="shared" si="16"/>
        <v/>
      </c>
      <c r="N19" s="47">
        <f t="shared" si="4"/>
        <v/>
      </c>
      <c r="O19" s="47"/>
      <c r="P19" s="47">
        <f t="shared" si="5"/>
        <v/>
      </c>
      <c r="Q19" s="47">
        <f t="shared" si="6"/>
        <v/>
      </c>
      <c r="R19" s="47">
        <f t="shared" si="13"/>
      </c>
      <c r="S19" s="47">
        <f t="shared" si="14"/>
      </c>
      <c r="T19" s="47">
        <f t="shared" si="15"/>
      </c>
      <c r="U19" s="47">
        <f t="shared" si="10"/>
        <v/>
      </c>
    </row>
    <row r="20" spans="1:21" x14ac:dyDescent="0.3">
      <c r="A20" s="7">
        <f t="shared" si="11"/>
        <v/>
      </c>
      <c r="B20" s="7">
        <f>IF(C20=1,MAX(B$2:$B19)+1,IF(F20=0,"",B19))</f>
      </c>
      <c r="C20" s="7">
        <f>COUNTIF($F$2:$F20,F20)</f>
      </c>
      <c r="D20" s="7">
        <f>IF(F20=0,0,MAX($D$2:D19)+1)</f>
      </c>
      <c r="E20" s="7">
        <f>IF(H20=0,0,MAX($E$2:E19)+1)</f>
      </c>
      <c r="F20" s="177"/>
      <c r="G20" s="177"/>
      <c r="H20" s="172"/>
      <c r="I20" s="7">
        <f>IFERROR(VLOOKUP(H20,H$2:H19,1,FALSE),VLOOKUP(H20,H21:H$478,1,FALSE))</f>
      </c>
      <c r="J20" s="7">
        <f t="shared" si="0"/>
        <v/>
      </c>
      <c r="K20" s="7">
        <f t="shared" si="1"/>
        <v/>
      </c>
      <c r="L20" s="7">
        <f t="shared" si="2"/>
        <v/>
      </c>
      <c r="M20" s="19">
        <f t="shared" si="16"/>
        <v/>
      </c>
      <c r="N20" s="7">
        <f t="shared" si="4"/>
        <v/>
      </c>
      <c r="O20" s="7"/>
      <c r="P20" s="7">
        <f t="shared" si="5"/>
        <v/>
      </c>
      <c r="Q20" s="7">
        <f t="shared" si="6"/>
        <v/>
      </c>
      <c r="R20" s="7">
        <f t="shared" si="13"/>
      </c>
      <c r="S20" s="7">
        <f t="shared" si="14"/>
      </c>
      <c r="T20" s="7">
        <f t="shared" si="15"/>
      </c>
      <c r="U20" s="7">
        <f t="shared" si="10"/>
        <v/>
      </c>
    </row>
    <row r="21" spans="1:21" x14ac:dyDescent="0.3">
      <c r="A21" s="7">
        <f t="shared" si="11"/>
        <v/>
      </c>
      <c r="B21" s="7">
        <f>IF(C21=1,MAX(B$2:$B20)+1,IF(F21=0,"",B20))</f>
      </c>
      <c r="C21" s="7">
        <f>COUNTIF($F$2:$F21,F21)</f>
      </c>
      <c r="D21" s="7">
        <f>IF(F21=0,0,MAX($D$2:D20)+1)</f>
      </c>
      <c r="E21" s="7">
        <f>IF(H21=0,0,MAX($E$2:E20)+1)</f>
      </c>
      <c r="F21" s="177"/>
      <c r="G21" s="119"/>
      <c r="H21" s="119"/>
      <c r="I21" s="7">
        <f>IFERROR(VLOOKUP(H21,H$2:H20,1,FALSE),VLOOKUP(H21,H22:H$478,1,FALSE))</f>
      </c>
      <c r="J21" s="7">
        <f t="shared" si="0"/>
      </c>
      <c r="K21" s="7">
        <f t="shared" si="1"/>
      </c>
      <c r="L21" s="7">
        <f t="shared" si="2"/>
      </c>
      <c r="M21" s="19">
        <f t="shared" si="16"/>
      </c>
      <c r="N21" s="7">
        <f t="shared" si="4"/>
      </c>
      <c r="O21" s="7"/>
      <c r="P21" s="7">
        <f t="shared" si="5"/>
      </c>
      <c r="Q21" s="7">
        <f t="shared" si="6"/>
      </c>
      <c r="R21" s="7">
        <f t="shared" si="13"/>
      </c>
      <c r="S21" s="7">
        <f t="shared" si="14"/>
      </c>
      <c r="T21" s="7">
        <f t="shared" si="15"/>
      </c>
      <c r="U21" s="7">
        <f t="shared" si="10"/>
      </c>
    </row>
    <row r="22" spans="1:21" x14ac:dyDescent="0.3">
      <c r="A22" s="7">
        <f t="shared" si="11"/>
        <v/>
      </c>
      <c r="B22" s="7">
        <f>IF(C22=1,MAX(B$2:$B21)+1,IF(F22=0,"",B21))</f>
      </c>
      <c r="C22" s="7">
        <f>COUNTIF($F$2:$F22,F22)</f>
      </c>
      <c r="D22" s="7">
        <f>IF(F22=0,0,MAX($D$2:D21)+1)</f>
      </c>
      <c r="E22" s="7">
        <f>IF(H22=0,0,MAX($E$2:E21)+1)</f>
      </c>
      <c r="F22" s="177"/>
      <c r="G22" s="119"/>
      <c r="H22" s="119"/>
      <c r="I22" s="7">
        <f>IFERROR(VLOOKUP(H22,H$2:H21,1,FALSE),VLOOKUP(H22,H23:H$478,1,FALSE))</f>
      </c>
      <c r="J22" s="7">
        <f t="shared" si="0"/>
      </c>
      <c r="K22" s="7">
        <f t="shared" si="1"/>
      </c>
      <c r="L22" s="7">
        <f t="shared" si="2"/>
      </c>
      <c r="M22" s="19">
        <f t="shared" si="16"/>
      </c>
      <c r="N22" s="7">
        <f t="shared" si="4"/>
      </c>
      <c r="O22" s="7"/>
      <c r="P22" s="7">
        <f t="shared" si="5"/>
      </c>
      <c r="Q22" s="7">
        <f t="shared" si="6"/>
      </c>
      <c r="R22" s="7">
        <f t="shared" si="13"/>
      </c>
      <c r="S22" s="7">
        <f t="shared" si="14"/>
      </c>
      <c r="T22" s="7">
        <f t="shared" si="15"/>
      </c>
      <c r="U22" s="7">
        <f t="shared" si="10"/>
      </c>
    </row>
    <row r="23" spans="1:21" x14ac:dyDescent="0.3">
      <c r="A23" s="7">
        <f t="shared" si="11"/>
        <v/>
      </c>
      <c r="B23" s="7">
        <f>IF(C23=1,MAX(B$2:$B22)+1,IF(F23=0,"",B22))</f>
      </c>
      <c r="C23" s="7">
        <f>COUNTIF($F$2:$F23,F23)</f>
      </c>
      <c r="D23" s="7">
        <f>IF(F23=0,0,MAX($D$2:D22)+1)</f>
      </c>
      <c r="E23" s="7">
        <f>IF(H23=0,0,MAX($E$2:E22)+1)</f>
      </c>
      <c r="F23" s="177"/>
      <c r="G23" s="119"/>
      <c r="H23" s="119"/>
      <c r="I23" s="7">
        <f>IFERROR(VLOOKUP(H23,H$2:H22,1,FALSE),VLOOKUP(H23,H24:H$478,1,FALSE))</f>
      </c>
      <c r="J23" s="7">
        <f t="shared" si="0"/>
      </c>
      <c r="K23" s="7">
        <f t="shared" si="1"/>
      </c>
      <c r="L23" s="7">
        <f t="shared" si="2"/>
      </c>
      <c r="M23" s="19">
        <f t="shared" si="16"/>
      </c>
      <c r="N23" s="7">
        <f t="shared" si="4"/>
      </c>
      <c r="O23" s="7"/>
      <c r="P23" s="7">
        <f t="shared" si="5"/>
      </c>
      <c r="Q23" s="7">
        <f t="shared" si="6"/>
      </c>
      <c r="R23" s="7">
        <f t="shared" si="13"/>
      </c>
      <c r="S23" s="7">
        <f t="shared" si="14"/>
      </c>
      <c r="T23" s="7">
        <f t="shared" si="15"/>
      </c>
      <c r="U23" s="7">
        <f t="shared" si="10"/>
      </c>
    </row>
    <row r="24" spans="1:21" x14ac:dyDescent="0.3">
      <c r="A24" s="7">
        <f t="shared" si="11"/>
        <v/>
      </c>
      <c r="B24" s="7">
        <f>IF(C24=1,MAX(B$2:$B23)+1,IF(F24=0,"",B23))</f>
      </c>
      <c r="C24" s="7">
        <f>COUNTIF($F$2:$F24,F24)</f>
      </c>
      <c r="D24" s="7">
        <f>IF(F24=0,0,MAX($D$2:D23)+1)</f>
      </c>
      <c r="E24" s="7">
        <f>IF(H24=0,0,MAX($E$2:E23)+1)</f>
      </c>
      <c r="F24" s="177"/>
      <c r="G24" s="119"/>
      <c r="H24" s="119"/>
      <c r="I24" s="7">
        <f>IFERROR(VLOOKUP(H24,H$2:H23,1,FALSE),VLOOKUP(H24,H25:H$478,1,FALSE))</f>
      </c>
      <c r="J24" s="7">
        <f t="shared" si="0"/>
      </c>
      <c r="K24" s="7">
        <f t="shared" si="1"/>
      </c>
      <c r="L24" s="7">
        <f t="shared" si="2"/>
      </c>
      <c r="M24" s="19">
        <f t="shared" si="16"/>
      </c>
      <c r="N24" s="7">
        <f t="shared" si="4"/>
      </c>
      <c r="O24" s="7"/>
      <c r="P24" s="7">
        <f t="shared" si="5"/>
      </c>
      <c r="Q24" s="7">
        <f t="shared" si="6"/>
      </c>
      <c r="R24" s="7">
        <f t="shared" si="13"/>
      </c>
      <c r="S24" s="7">
        <f t="shared" si="14"/>
      </c>
      <c r="T24" s="7">
        <f t="shared" si="15"/>
      </c>
      <c r="U24" s="7">
        <f t="shared" si="10"/>
      </c>
    </row>
    <row r="25" spans="1:21" x14ac:dyDescent="0.3">
      <c r="A25" s="7">
        <f t="shared" si="11"/>
        <v/>
      </c>
      <c r="B25" s="7">
        <f>IF(C25=1,MAX(B$2:$B24)+1,IF(F25=0,"",B24))</f>
      </c>
      <c r="C25" s="7">
        <f>COUNTIF($F$2:$F25,F25)</f>
      </c>
      <c r="D25" s="7">
        <f>IF(F25=0,0,MAX($D$2:D24)+1)</f>
      </c>
      <c r="E25" s="7">
        <f>IF(H25=0,0,MAX($E$2:E24)+1)</f>
      </c>
      <c r="F25" s="177"/>
      <c r="G25" s="119"/>
      <c r="H25" s="119"/>
      <c r="I25" s="7">
        <f>IFERROR(VLOOKUP(H25,H$2:H24,1,FALSE),VLOOKUP(H25,H26:H$478,1,FALSE))</f>
      </c>
      <c r="J25" s="7">
        <f t="shared" si="0"/>
      </c>
      <c r="K25" s="7">
        <f t="shared" si="1"/>
      </c>
      <c r="L25" s="7">
        <f t="shared" si="2"/>
      </c>
      <c r="M25" s="19">
        <f t="shared" si="16"/>
      </c>
      <c r="N25" s="7">
        <f t="shared" si="4"/>
      </c>
      <c r="O25" s="7"/>
      <c r="P25" s="7">
        <f t="shared" si="5"/>
      </c>
      <c r="Q25" s="7">
        <f t="shared" si="6"/>
      </c>
      <c r="R25" s="7">
        <f t="shared" si="13"/>
      </c>
      <c r="S25" s="7">
        <f t="shared" si="14"/>
      </c>
      <c r="T25" s="7">
        <f t="shared" si="15"/>
      </c>
      <c r="U25" s="7">
        <f t="shared" si="10"/>
      </c>
    </row>
    <row r="26" spans="1:21" x14ac:dyDescent="0.3">
      <c r="A26" s="7">
        <f t="shared" si="11"/>
        <v/>
      </c>
      <c r="B26" s="7">
        <f>IF(C26=1,MAX(B$2:$B25)+1,IF(F26=0,"",B25))</f>
      </c>
      <c r="C26" s="7">
        <f>COUNTIF($F$2:$F26,F26)</f>
      </c>
      <c r="D26" s="7">
        <f>IF(F26=0,0,MAX($D$2:D25)+1)</f>
      </c>
      <c r="E26" s="7">
        <f>IF(H26=0,0,MAX($E$2:E25)+1)</f>
      </c>
      <c r="F26" s="177"/>
      <c r="G26" s="119"/>
      <c r="H26" s="119"/>
      <c r="I26" s="7">
        <f>IFERROR(VLOOKUP(H26,H$2:H25,1,FALSE),VLOOKUP(H26,H27:H$478,1,FALSE))</f>
      </c>
      <c r="J26" s="7">
        <f t="shared" si="0"/>
      </c>
      <c r="K26" s="7">
        <f t="shared" si="1"/>
      </c>
      <c r="L26" s="7">
        <f t="shared" si="2"/>
      </c>
      <c r="M26" s="19">
        <f t="shared" si="16"/>
      </c>
      <c r="N26" s="7">
        <f t="shared" si="4"/>
      </c>
      <c r="O26" s="7"/>
      <c r="P26" s="7">
        <f t="shared" si="5"/>
      </c>
      <c r="Q26" s="7">
        <f t="shared" si="6"/>
      </c>
      <c r="R26" s="7">
        <f t="shared" si="13"/>
      </c>
      <c r="S26" s="7">
        <f t="shared" si="14"/>
      </c>
      <c r="T26" s="7">
        <f t="shared" si="15"/>
      </c>
      <c r="U26" s="7">
        <f t="shared" si="10"/>
      </c>
    </row>
    <row r="27" spans="1:21" x14ac:dyDescent="0.3">
      <c r="A27" s="7">
        <f t="shared" si="11"/>
        <v/>
      </c>
      <c r="B27" s="7">
        <f>IF(C27=1,MAX(B$2:$B26)+1,IF(F27=0,"",B26))</f>
      </c>
      <c r="C27" s="7">
        <f>COUNTIF($F$2:$F27,F27)</f>
      </c>
      <c r="D27" s="7">
        <f>IF(F27=0,0,MAX($D$2:D26)+1)</f>
      </c>
      <c r="E27" s="7">
        <f>IF(H27=0,0,MAX($E$2:E26)+1)</f>
      </c>
      <c r="F27" s="177"/>
      <c r="G27" s="119"/>
      <c r="H27" s="119"/>
      <c r="I27" s="7">
        <f>IFERROR(VLOOKUP(H27,H$2:H26,1,FALSE),VLOOKUP(H27,H28:H$478,1,FALSE))</f>
      </c>
      <c r="J27" s="7">
        <f t="shared" si="0"/>
      </c>
      <c r="K27" s="7">
        <f t="shared" si="1"/>
      </c>
      <c r="L27" s="7">
        <f t="shared" si="2"/>
      </c>
      <c r="M27" s="19">
        <f t="shared" si="16"/>
      </c>
      <c r="N27" s="7">
        <f t="shared" si="4"/>
      </c>
      <c r="O27" s="7"/>
      <c r="P27" s="7">
        <f t="shared" si="5"/>
      </c>
      <c r="Q27" s="7">
        <f t="shared" si="6"/>
      </c>
      <c r="R27" s="7">
        <f t="shared" si="13"/>
      </c>
      <c r="S27" s="7">
        <f t="shared" si="14"/>
      </c>
      <c r="T27" s="7">
        <f t="shared" si="15"/>
      </c>
      <c r="U27" s="7">
        <f t="shared" si="10"/>
      </c>
    </row>
    <row r="28" spans="1:21" x14ac:dyDescent="0.3">
      <c r="A28" s="7">
        <f t="shared" si="11"/>
        <v/>
      </c>
      <c r="B28" s="7">
        <f>IF(C28=1,MAX(B$2:$B27)+1,IF(F28=0,"",B27))</f>
      </c>
      <c r="C28" s="7">
        <f>COUNTIF($F$2:$F28,F28)</f>
      </c>
      <c r="D28" s="7">
        <f>IF(F28=0,0,MAX($D$2:D27)+1)</f>
      </c>
      <c r="E28" s="7">
        <f>IF(H28=0,0,MAX($E$2:E27)+1)</f>
      </c>
      <c r="F28" s="177"/>
      <c r="G28" s="119"/>
      <c r="H28" s="119"/>
      <c r="I28" s="7">
        <f>IFERROR(VLOOKUP(H28,H$2:H27,1,FALSE),VLOOKUP(H28,H29:H$478,1,FALSE))</f>
      </c>
      <c r="J28" s="7">
        <f t="shared" si="0"/>
      </c>
      <c r="K28" s="7">
        <f t="shared" si="1"/>
      </c>
      <c r="L28" s="7">
        <f t="shared" si="2"/>
      </c>
      <c r="M28" s="19">
        <f t="shared" si="16"/>
      </c>
      <c r="N28" s="7">
        <f t="shared" si="4"/>
      </c>
      <c r="O28" s="7"/>
      <c r="P28" s="7">
        <f t="shared" si="5"/>
      </c>
      <c r="Q28" s="7">
        <f t="shared" si="6"/>
      </c>
      <c r="R28" s="7">
        <f t="shared" si="13"/>
      </c>
      <c r="S28" s="7">
        <f t="shared" si="14"/>
      </c>
      <c r="T28" s="7">
        <f t="shared" si="15"/>
      </c>
      <c r="U28" s="7">
        <f t="shared" si="10"/>
      </c>
    </row>
    <row r="29" spans="1:21" x14ac:dyDescent="0.3">
      <c r="A29" s="7">
        <f t="shared" si="11"/>
        <v/>
      </c>
      <c r="B29" s="7">
        <f>IF(C29=1,MAX(B$2:$B28)+1,IF(F29=0,"",B28))</f>
      </c>
      <c r="C29" s="7">
        <f>COUNTIF($F$2:$F29,F29)</f>
      </c>
      <c r="D29" s="7">
        <f>IF(F29=0,0,MAX($D$2:D28)+1)</f>
      </c>
      <c r="E29" s="7">
        <f>IF(H29=0,0,MAX($E$2:E28)+1)</f>
      </c>
      <c r="F29" s="177"/>
      <c r="G29" s="119"/>
      <c r="H29" s="119"/>
      <c r="I29" s="7">
        <f>IFERROR(VLOOKUP(H29,H$2:H28,1,FALSE),VLOOKUP(H29,H30:H$478,1,FALSE))</f>
      </c>
      <c r="J29" s="7">
        <f t="shared" si="0"/>
      </c>
      <c r="K29" s="7">
        <f t="shared" si="1"/>
      </c>
      <c r="L29" s="7">
        <f t="shared" si="2"/>
      </c>
      <c r="M29" s="19">
        <f t="shared" si="16"/>
      </c>
      <c r="N29" s="7">
        <f t="shared" si="4"/>
      </c>
      <c r="O29" s="7"/>
      <c r="P29" s="7">
        <f t="shared" si="5"/>
      </c>
      <c r="Q29" s="7">
        <f t="shared" si="6"/>
      </c>
      <c r="R29" s="7">
        <f t="shared" si="13"/>
      </c>
      <c r="S29" s="7">
        <f t="shared" si="14"/>
      </c>
      <c r="T29" s="7">
        <f t="shared" si="15"/>
      </c>
      <c r="U29" s="7">
        <f t="shared" si="10"/>
      </c>
    </row>
    <row r="30" spans="1:21" x14ac:dyDescent="0.3">
      <c r="A30" s="7">
        <f t="shared" si="11"/>
        <v/>
      </c>
      <c r="B30" s="7">
        <f>IF(C30=1,MAX(B$2:$B29)+1,IF(F30=0,"",B29))</f>
      </c>
      <c r="C30" s="7">
        <f>COUNTIF($F$2:$F30,F30)</f>
      </c>
      <c r="D30" s="7">
        <f>IF(F30=0,0,MAX($D$2:D29)+1)</f>
      </c>
      <c r="E30" s="7">
        <f>IF(H30=0,0,MAX($E$2:E29)+1)</f>
      </c>
      <c r="F30" s="177"/>
      <c r="G30" s="119"/>
      <c r="H30" s="119"/>
      <c r="I30" s="7">
        <f>IFERROR(VLOOKUP(H30,H$2:H29,1,FALSE),VLOOKUP(H30,H31:H$478,1,FALSE))</f>
      </c>
      <c r="J30" s="7">
        <f t="shared" si="0"/>
      </c>
      <c r="K30" s="7">
        <f t="shared" si="1"/>
      </c>
      <c r="L30" s="7">
        <f t="shared" si="2"/>
      </c>
      <c r="M30" s="19">
        <f t="shared" si="16"/>
      </c>
      <c r="N30" s="7">
        <f t="shared" si="4"/>
      </c>
      <c r="O30" s="7"/>
      <c r="P30" s="7">
        <f t="shared" si="5"/>
      </c>
      <c r="Q30" s="7">
        <f t="shared" si="6"/>
      </c>
      <c r="R30" s="7">
        <f t="shared" si="13"/>
      </c>
      <c r="S30" s="7">
        <f t="shared" si="14"/>
      </c>
      <c r="T30" s="7">
        <f t="shared" si="15"/>
      </c>
      <c r="U30" s="7">
        <f t="shared" si="10"/>
      </c>
    </row>
    <row r="31" spans="1:21" x14ac:dyDescent="0.3">
      <c r="A31" s="7">
        <f t="shared" si="11"/>
        <v/>
      </c>
      <c r="B31" s="7">
        <f>IF(C31=1,MAX(B$2:$B30)+1,IF(F31=0,"",B30))</f>
      </c>
      <c r="C31" s="7">
        <f>COUNTIF($F$2:$F31,F31)</f>
      </c>
      <c r="D31" s="7">
        <f>IF(F31=0,0,MAX($D$2:D30)+1)</f>
      </c>
      <c r="E31" s="7">
        <f>IF(H31=0,0,MAX($E$2:E30)+1)</f>
      </c>
      <c r="F31" s="177"/>
      <c r="G31" s="119"/>
      <c r="H31" s="119"/>
      <c r="I31" s="7">
        <f>IFERROR(VLOOKUP(H31,H$2:H30,1,FALSE),VLOOKUP(H31,H32:H$478,1,FALSE))</f>
      </c>
      <c r="J31" s="7">
        <f t="shared" si="0"/>
      </c>
      <c r="K31" s="7">
        <f t="shared" si="1"/>
      </c>
      <c r="L31" s="7">
        <f t="shared" si="2"/>
      </c>
      <c r="M31" s="19">
        <f t="shared" si="16"/>
      </c>
      <c r="N31" s="7">
        <f t="shared" si="4"/>
      </c>
      <c r="O31" s="7"/>
      <c r="P31" s="7">
        <f t="shared" si="5"/>
      </c>
      <c r="Q31" s="7">
        <f t="shared" si="6"/>
      </c>
      <c r="R31" s="7">
        <f t="shared" si="13"/>
      </c>
      <c r="S31" s="7">
        <f t="shared" si="14"/>
      </c>
      <c r="T31" s="7">
        <f t="shared" si="15"/>
      </c>
      <c r="U31" s="7">
        <f t="shared" si="10"/>
      </c>
    </row>
    <row r="32" spans="1:21" x14ac:dyDescent="0.3">
      <c r="A32" s="7">
        <f t="shared" si="11"/>
        <v/>
      </c>
      <c r="B32" s="7">
        <f>IF(C32=1,MAX(B$2:$B31)+1,IF(F32=0,"",B31))</f>
      </c>
      <c r="C32" s="7">
        <f>COUNTIF($F$2:$F32,F32)</f>
      </c>
      <c r="D32" s="7">
        <f>IF(F32=0,0,MAX($D$2:D31)+1)</f>
      </c>
      <c r="E32" s="7">
        <f>IF(H32=0,0,MAX($E$2:E31)+1)</f>
      </c>
      <c r="F32" s="177"/>
      <c r="G32" s="119"/>
      <c r="H32" s="119"/>
      <c r="I32" s="7">
        <f>IFERROR(VLOOKUP(H32,H$2:H31,1,FALSE),VLOOKUP(H32,H33:H$478,1,FALSE))</f>
      </c>
      <c r="J32" s="7">
        <f t="shared" si="0"/>
      </c>
      <c r="K32" s="7">
        <f t="shared" si="1"/>
      </c>
      <c r="L32" s="7">
        <f t="shared" si="2"/>
      </c>
      <c r="M32" s="19">
        <f t="shared" si="16"/>
      </c>
      <c r="N32" s="7">
        <f t="shared" si="4"/>
      </c>
      <c r="O32" s="7"/>
      <c r="P32" s="7">
        <f t="shared" si="5"/>
      </c>
      <c r="Q32" s="7">
        <f t="shared" si="6"/>
      </c>
      <c r="R32" s="7">
        <f t="shared" si="13"/>
      </c>
      <c r="S32" s="7">
        <f t="shared" si="14"/>
      </c>
      <c r="T32" s="7">
        <f t="shared" si="15"/>
      </c>
      <c r="U32" s="7">
        <f t="shared" si="10"/>
      </c>
    </row>
    <row r="33" spans="1:21" x14ac:dyDescent="0.3">
      <c r="A33" s="7">
        <f t="shared" si="11"/>
        <v/>
      </c>
      <c r="B33" s="7">
        <f>IF(C33=1,MAX(B$2:$B32)+1,IF(F33=0,"",B32))</f>
      </c>
      <c r="C33" s="7">
        <f>COUNTIF($F$2:$F33,F33)</f>
      </c>
      <c r="D33" s="7">
        <f>IF(F33=0,0,MAX($D$2:D32)+1)</f>
      </c>
      <c r="E33" s="7">
        <f>IF(H33=0,0,MAX($E$2:E32)+1)</f>
      </c>
      <c r="F33" s="177"/>
      <c r="G33" s="119"/>
      <c r="H33" s="119"/>
      <c r="I33" s="7">
        <f>IFERROR(VLOOKUP(H33,H$2:H32,1,FALSE),VLOOKUP(H33,H34:H$478,1,FALSE))</f>
      </c>
      <c r="J33" s="7">
        <f t="shared" si="0"/>
      </c>
      <c r="K33" s="7">
        <f t="shared" si="1"/>
      </c>
      <c r="L33" s="7">
        <f t="shared" si="2"/>
      </c>
      <c r="M33" s="19">
        <f t="shared" si="16"/>
      </c>
      <c r="N33" s="7">
        <f t="shared" si="4"/>
      </c>
      <c r="O33" s="7"/>
      <c r="P33" s="7">
        <f t="shared" si="5"/>
      </c>
      <c r="Q33" s="7">
        <f t="shared" si="6"/>
      </c>
      <c r="R33" s="7">
        <f t="shared" si="13"/>
      </c>
      <c r="S33" s="7">
        <f t="shared" si="14"/>
      </c>
      <c r="T33" s="7">
        <f t="shared" si="15"/>
      </c>
      <c r="U33" s="7">
        <f t="shared" si="10"/>
      </c>
    </row>
    <row r="34" spans="1:21" x14ac:dyDescent="0.3">
      <c r="A34" s="7">
        <f t="shared" si="11"/>
        <v/>
      </c>
      <c r="B34" s="7">
        <f>IF(C34=1,MAX(B$2:$B33)+1,IF(F34=0,"",B33))</f>
      </c>
      <c r="C34" s="7">
        <f>COUNTIF($F$2:$F34,F34)</f>
      </c>
      <c r="D34" s="7">
        <f>IF(F34=0,0,MAX($D$2:D33)+1)</f>
      </c>
      <c r="E34" s="7">
        <f>IF(H34=0,0,MAX($E$2:E33)+1)</f>
      </c>
      <c r="F34" s="177"/>
      <c r="G34" s="119"/>
      <c r="H34" s="119"/>
      <c r="I34" s="7">
        <f>IFERROR(VLOOKUP(H34,H$2:H33,1,FALSE),VLOOKUP(H34,H35:H$478,1,FALSE))</f>
      </c>
      <c r="J34" s="7">
        <f t="shared" si="0"/>
      </c>
      <c r="K34" s="7">
        <f t="shared" si="1"/>
      </c>
      <c r="L34" s="7">
        <f t="shared" si="2"/>
      </c>
      <c r="M34" s="19">
        <f t="shared" si="16"/>
      </c>
      <c r="N34" s="7">
        <f t="shared" si="4"/>
      </c>
      <c r="O34" s="7"/>
      <c r="P34" s="7">
        <f t="shared" si="5"/>
      </c>
      <c r="Q34" s="7">
        <f t="shared" si="6"/>
      </c>
      <c r="R34" s="7">
        <f t="shared" si="13"/>
      </c>
      <c r="S34" s="7">
        <f t="shared" si="14"/>
      </c>
      <c r="T34" s="7">
        <f t="shared" si="15"/>
      </c>
      <c r="U34" s="7">
        <f t="shared" si="10"/>
      </c>
    </row>
    <row r="35" spans="1:21" x14ac:dyDescent="0.3">
      <c r="A35" s="7">
        <f t="shared" si="11"/>
        <v/>
      </c>
      <c r="B35" s="7">
        <f>IF(C35=1,MAX(B$2:$B34)+1,IF(F35=0,"",B34))</f>
      </c>
      <c r="C35" s="7">
        <f>COUNTIF($F$2:$F35,F35)</f>
      </c>
      <c r="D35" s="7">
        <f>IF(F35=0,0,MAX($D$2:D34)+1)</f>
      </c>
      <c r="E35" s="7">
        <f>IF(H35=0,0,MAX($E$2:E34)+1)</f>
      </c>
      <c r="F35" s="177"/>
      <c r="G35" s="119"/>
      <c r="H35" s="119"/>
      <c r="I35" s="7">
        <f>IFERROR(VLOOKUP(H35,H$2:H34,1,FALSE),VLOOKUP(H35,H36:H$478,1,FALSE))</f>
      </c>
      <c r="J35" s="7">
        <f t="shared" si="0"/>
      </c>
      <c r="K35" s="7">
        <f t="shared" si="1"/>
      </c>
      <c r="L35" s="7">
        <f t="shared" si="2"/>
      </c>
      <c r="M35" s="19">
        <f t="shared" si="16"/>
      </c>
      <c r="N35" s="7">
        <f t="shared" si="4"/>
      </c>
      <c r="O35" s="7"/>
      <c r="P35" s="7">
        <f t="shared" si="5"/>
      </c>
      <c r="Q35" s="7">
        <f t="shared" si="6"/>
      </c>
      <c r="R35" s="7">
        <f t="shared" si="13"/>
      </c>
      <c r="S35" s="7">
        <f t="shared" si="14"/>
      </c>
      <c r="T35" s="7">
        <f t="shared" si="15"/>
      </c>
      <c r="U35" s="7">
        <f t="shared" si="10"/>
      </c>
    </row>
    <row r="36" spans="1:21" s="8" customFormat="1" ht="15" thickBot="1" x14ac:dyDescent="0.35">
      <c r="A36" s="7">
        <f t="shared" si="11"/>
        <v/>
      </c>
      <c r="B36" s="7">
        <f>IF(C36=1,MAX(B$2:$B35)+1,IF(F36=0,"",B35))</f>
      </c>
      <c r="C36" s="7">
        <f>COUNTIF($F$2:$F36,F36)</f>
      </c>
      <c r="D36" s="7">
        <f>IF(F36=0,0,MAX($D$2:D35)+1)</f>
      </c>
      <c r="E36" s="7">
        <f>IF(H36=0,0,MAX($E$2:E35)+1)</f>
      </c>
      <c r="F36" s="175"/>
      <c r="G36" s="175"/>
      <c r="H36" s="175"/>
      <c r="I36" s="47">
        <f>IFERROR(VLOOKUP(H36,H$2:H35,1,FALSE),VLOOKUP(H36,H37:H$478,1,FALSE))</f>
      </c>
      <c r="J36" s="47">
        <f t="shared" si="0"/>
        <v/>
      </c>
      <c r="K36" s="47">
        <f t="shared" si="1"/>
        <v/>
      </c>
      <c r="L36" s="47">
        <f t="shared" si="2"/>
        <v/>
      </c>
      <c r="M36" s="52">
        <f t="shared" si="16"/>
        <v/>
      </c>
      <c r="N36" s="47">
        <f t="shared" si="4"/>
        <v/>
      </c>
      <c r="O36" s="47"/>
      <c r="P36" s="47">
        <f t="shared" si="5"/>
        <v/>
      </c>
      <c r="Q36" s="47">
        <f t="shared" si="6"/>
        <v/>
      </c>
      <c r="R36" s="47">
        <f t="shared" si="13"/>
      </c>
      <c r="S36" s="47">
        <f t="shared" si="14"/>
      </c>
      <c r="T36" s="47">
        <f t="shared" si="15"/>
      </c>
      <c r="U36" s="47">
        <f t="shared" si="10"/>
        <v/>
      </c>
    </row>
    <row r="37" spans="1:21" x14ac:dyDescent="0.3">
      <c r="A37" s="7">
        <f t="shared" si="11"/>
        <v/>
      </c>
      <c r="B37" s="7">
        <f>IF(C37=1,MAX(B$2:$B36)+1,IF(F37=0,"",B36))</f>
      </c>
      <c r="C37" s="7">
        <f>COUNTIF($F$2:$F37,F37)</f>
      </c>
      <c r="D37" s="7">
        <f>IF(F37=0,0,MAX($D$2:D36)+1)</f>
      </c>
      <c r="E37" s="7">
        <f>IF(H37=0,0,MAX($E$2:E36)+1)</f>
      </c>
      <c r="F37" s="177"/>
      <c r="G37" s="177"/>
      <c r="H37" s="119"/>
      <c r="I37" s="7">
        <f>IFERROR(VLOOKUP(H37,H$2:H36,1,FALSE),VLOOKUP(H37,H38:H$478,1,FALSE))</f>
      </c>
      <c r="J37" s="7">
        <f t="shared" si="0"/>
        <v/>
      </c>
      <c r="K37" s="7">
        <f t="shared" si="1"/>
        <v/>
      </c>
      <c r="L37" s="7">
        <f t="shared" si="2"/>
        <v/>
      </c>
      <c r="M37" s="19">
        <f t="shared" si="16"/>
        <v/>
      </c>
      <c r="N37" s="7">
        <f t="shared" si="4"/>
        <v/>
      </c>
      <c r="O37" s="7"/>
      <c r="P37" s="7">
        <f t="shared" si="5"/>
        <v/>
      </c>
      <c r="Q37" s="7">
        <f t="shared" si="6"/>
        <v/>
      </c>
      <c r="R37" s="7">
        <f t="shared" si="13"/>
      </c>
      <c r="S37" s="7">
        <f t="shared" si="14"/>
      </c>
      <c r="T37" s="7">
        <f t="shared" si="15"/>
      </c>
      <c r="U37" s="7">
        <f t="shared" si="10"/>
        <v/>
      </c>
    </row>
    <row r="38" spans="1:21" x14ac:dyDescent="0.3">
      <c r="A38" s="7">
        <f t="shared" si="11"/>
        <v/>
      </c>
      <c r="B38" s="7">
        <f>IF(C38=1,MAX(B$2:$B37)+1,IF(F38=0,"",B37))</f>
      </c>
      <c r="C38" s="7">
        <f>COUNTIF($F$2:$F38,F38)</f>
      </c>
      <c r="D38" s="7">
        <f>IF(F38=0,0,MAX($D$2:D37)+1)</f>
      </c>
      <c r="E38" s="7">
        <f>IF(H38=0,0,MAX($E$2:E37)+1)</f>
      </c>
      <c r="F38" s="177"/>
      <c r="G38" s="119"/>
      <c r="H38" s="119"/>
      <c r="I38" s="7">
        <f>IFERROR(VLOOKUP(H38,H$2:H37,1,FALSE),VLOOKUP(H38,H39:H$478,1,FALSE))</f>
      </c>
      <c r="J38" s="7">
        <f t="shared" si="0"/>
      </c>
      <c r="K38" s="7">
        <f t="shared" si="1"/>
      </c>
      <c r="L38" s="7">
        <f t="shared" si="2"/>
      </c>
      <c r="M38" s="19">
        <f t="shared" si="16"/>
      </c>
      <c r="N38" s="7">
        <f t="shared" si="4"/>
      </c>
      <c r="O38" s="7"/>
      <c r="P38" s="7">
        <f t="shared" si="5"/>
      </c>
      <c r="Q38" s="7">
        <f t="shared" si="6"/>
      </c>
      <c r="R38" s="7">
        <f t="shared" si="13"/>
      </c>
      <c r="S38" s="7">
        <f t="shared" si="14"/>
      </c>
      <c r="T38" s="7">
        <f t="shared" si="15"/>
      </c>
      <c r="U38" s="7">
        <f t="shared" si="10"/>
      </c>
    </row>
    <row r="39" spans="1:21" x14ac:dyDescent="0.3">
      <c r="A39" s="7">
        <f t="shared" si="11"/>
        <v/>
      </c>
      <c r="B39" s="7">
        <f>IF(C39=1,MAX(B$2:$B38)+1,IF(F39=0,"",B38))</f>
      </c>
      <c r="C39" s="7">
        <f>COUNTIF($F$2:$F39,F39)</f>
      </c>
      <c r="D39" s="7">
        <f>IF(F39=0,0,MAX($D$2:D38)+1)</f>
      </c>
      <c r="E39" s="7">
        <f>IF(H39=0,0,MAX($E$2:E38)+1)</f>
      </c>
      <c r="F39" s="177"/>
      <c r="G39" s="119"/>
      <c r="H39" s="119"/>
      <c r="I39" s="7">
        <f>IFERROR(VLOOKUP(H39,H$2:H38,1,FALSE),VLOOKUP(H39,H40:H$478,1,FALSE))</f>
      </c>
      <c r="J39" s="7">
        <f t="shared" si="0"/>
      </c>
      <c r="K39" s="7">
        <f t="shared" si="1"/>
      </c>
      <c r="L39" s="7">
        <f t="shared" si="2"/>
      </c>
      <c r="M39" s="19">
        <f t="shared" si="16"/>
      </c>
      <c r="N39" s="7">
        <f t="shared" si="4"/>
      </c>
      <c r="O39" s="7"/>
      <c r="P39" s="7">
        <f t="shared" si="5"/>
      </c>
      <c r="Q39" s="7">
        <f t="shared" si="6"/>
      </c>
      <c r="R39" s="7">
        <f t="shared" si="13"/>
      </c>
      <c r="S39" s="7">
        <f t="shared" si="14"/>
      </c>
      <c r="T39" s="7">
        <f t="shared" si="15"/>
      </c>
      <c r="U39" s="7">
        <f t="shared" si="10"/>
      </c>
    </row>
    <row r="40" spans="1:21" x14ac:dyDescent="0.3">
      <c r="A40" s="7">
        <f t="shared" si="11"/>
        <v/>
      </c>
      <c r="B40" s="7">
        <f>IF(C40=1,MAX(B$2:$B39)+1,IF(F40=0,"",B39))</f>
      </c>
      <c r="C40" s="7">
        <f>COUNTIF($F$2:$F40,F40)</f>
      </c>
      <c r="D40" s="7">
        <f>IF(F40=0,0,MAX($D$2:D39)+1)</f>
      </c>
      <c r="E40" s="7">
        <f>IF(H40=0,0,MAX($E$2:E39)+1)</f>
      </c>
      <c r="F40" s="177"/>
      <c r="G40" s="119"/>
      <c r="H40" s="119"/>
      <c r="I40" s="7">
        <f>IFERROR(VLOOKUP(H40,H$2:H39,1,FALSE),VLOOKUP(H40,H41:H$478,1,FALSE))</f>
      </c>
      <c r="J40" s="7">
        <f t="shared" si="0"/>
      </c>
      <c r="K40" s="7">
        <f t="shared" si="1"/>
      </c>
      <c r="L40" s="7">
        <f t="shared" si="2"/>
      </c>
      <c r="M40" s="19">
        <f t="shared" si="16"/>
      </c>
      <c r="N40" s="7">
        <f t="shared" si="4"/>
      </c>
      <c r="O40" s="7"/>
      <c r="P40" s="7">
        <f t="shared" si="5"/>
      </c>
      <c r="Q40" s="7">
        <f t="shared" si="6"/>
      </c>
      <c r="R40" s="7">
        <f t="shared" si="13"/>
      </c>
      <c r="S40" s="7">
        <f t="shared" si="14"/>
      </c>
      <c r="T40" s="7">
        <f t="shared" si="15"/>
      </c>
      <c r="U40" s="7">
        <f t="shared" si="10"/>
      </c>
    </row>
    <row r="41" spans="1:21" x14ac:dyDescent="0.3">
      <c r="A41" s="7">
        <f t="shared" si="11"/>
        <v/>
      </c>
      <c r="B41" s="7">
        <f>IF(C41=1,MAX(B$2:$B40)+1,IF(F41=0,"",B40))</f>
      </c>
      <c r="C41" s="7">
        <f>COUNTIF($F$2:$F41,F41)</f>
      </c>
      <c r="D41" s="7">
        <f>IF(F41=0,0,MAX($D$2:D40)+1)</f>
      </c>
      <c r="E41" s="7">
        <f>IF(H41=0,0,MAX($E$2:E40)+1)</f>
      </c>
      <c r="F41" s="177"/>
      <c r="G41" s="119"/>
      <c r="H41" s="119"/>
      <c r="I41" s="7">
        <f>IFERROR(VLOOKUP(H41,H$2:H40,1,FALSE),VLOOKUP(H41,H42:H$478,1,FALSE))</f>
      </c>
      <c r="J41" s="7">
        <f t="shared" si="0"/>
      </c>
      <c r="K41" s="7">
        <f t="shared" si="1"/>
      </c>
      <c r="L41" s="7">
        <f t="shared" si="2"/>
      </c>
      <c r="M41" s="19">
        <f t="shared" si="16"/>
      </c>
      <c r="N41" s="7">
        <f t="shared" si="4"/>
      </c>
      <c r="O41" s="7"/>
      <c r="P41" s="7">
        <f t="shared" si="5"/>
      </c>
      <c r="Q41" s="7">
        <f t="shared" si="6"/>
      </c>
      <c r="R41" s="7">
        <f t="shared" si="13"/>
      </c>
      <c r="S41" s="7">
        <f t="shared" si="14"/>
      </c>
      <c r="T41" s="7">
        <f t="shared" si="15"/>
      </c>
      <c r="U41" s="7">
        <f t="shared" si="10"/>
      </c>
    </row>
    <row r="42" spans="1:21" x14ac:dyDescent="0.3">
      <c r="A42" s="7">
        <f t="shared" si="11"/>
        <v/>
      </c>
      <c r="B42" s="7">
        <f>IF(C42=1,MAX(B$2:$B41)+1,IF(F42=0,"",B41))</f>
      </c>
      <c r="C42" s="7">
        <f>COUNTIF($F$2:$F42,F42)</f>
      </c>
      <c r="D42" s="7">
        <f>IF(F42=0,0,MAX($D$2:D41)+1)</f>
      </c>
      <c r="E42" s="7">
        <f>IF(H42=0,0,MAX($E$2:E41)+1)</f>
      </c>
      <c r="F42" s="177"/>
      <c r="G42" s="119"/>
      <c r="H42" s="119"/>
      <c r="I42" s="7">
        <f>IFERROR(VLOOKUP(H42,H$2:H41,1,FALSE),VLOOKUP(H42,H43:H$478,1,FALSE))</f>
      </c>
      <c r="J42" s="7">
        <f t="shared" si="0"/>
      </c>
      <c r="K42" s="7">
        <f t="shared" si="1"/>
      </c>
      <c r="L42" s="7">
        <f t="shared" si="2"/>
      </c>
      <c r="M42" s="19">
        <f t="shared" si="16"/>
      </c>
      <c r="N42" s="7">
        <f t="shared" si="4"/>
      </c>
      <c r="O42" s="7"/>
      <c r="P42" s="7">
        <f t="shared" si="5"/>
      </c>
      <c r="Q42" s="7">
        <f t="shared" si="6"/>
      </c>
      <c r="R42" s="7">
        <f t="shared" si="13"/>
      </c>
      <c r="S42" s="7">
        <f t="shared" si="14"/>
      </c>
      <c r="T42" s="7">
        <f t="shared" si="15"/>
      </c>
      <c r="U42" s="7">
        <f t="shared" si="10"/>
      </c>
    </row>
    <row r="43" spans="1:21" x14ac:dyDescent="0.3">
      <c r="A43" s="7">
        <f t="shared" si="11"/>
        <v/>
      </c>
      <c r="B43" s="7">
        <f>IF(C43=1,MAX(B$2:$B42)+1,IF(F43=0,"",B42))</f>
      </c>
      <c r="C43" s="7">
        <f>COUNTIF($F$2:$F43,F43)</f>
      </c>
      <c r="D43" s="7">
        <f>IF(F43=0,0,MAX($D$2:D42)+1)</f>
      </c>
      <c r="E43" s="7">
        <f>IF(H43=0,0,MAX($E$2:E42)+1)</f>
      </c>
      <c r="F43" s="177"/>
      <c r="G43" s="119"/>
      <c r="H43" s="119"/>
      <c r="I43" s="7">
        <f>IFERROR(VLOOKUP(H43,H$2:H42,1,FALSE),VLOOKUP(H43,H44:H$478,1,FALSE))</f>
      </c>
      <c r="J43" s="7">
        <f t="shared" si="0"/>
      </c>
      <c r="K43" s="7">
        <f t="shared" si="1"/>
      </c>
      <c r="L43" s="7">
        <f t="shared" si="2"/>
      </c>
      <c r="M43" s="19">
        <f t="shared" si="16"/>
      </c>
      <c r="N43" s="7">
        <f t="shared" si="4"/>
      </c>
      <c r="O43" s="7"/>
      <c r="P43" s="7">
        <f t="shared" si="5"/>
      </c>
      <c r="Q43" s="7">
        <f t="shared" si="6"/>
      </c>
      <c r="R43" s="7">
        <f t="shared" si="13"/>
      </c>
      <c r="S43" s="7">
        <f t="shared" si="14"/>
      </c>
      <c r="T43" s="7">
        <f t="shared" si="15"/>
      </c>
      <c r="U43" s="7">
        <f t="shared" si="10"/>
      </c>
    </row>
    <row r="44" spans="1:21" x14ac:dyDescent="0.3">
      <c r="A44" s="7">
        <f t="shared" si="11"/>
        <v/>
      </c>
      <c r="B44" s="7">
        <f>IF(C44=1,MAX(B$2:$B43)+1,IF(F44=0,"",B43))</f>
      </c>
      <c r="C44" s="7">
        <f>COUNTIF($F$2:$F44,F44)</f>
      </c>
      <c r="D44" s="7">
        <f>IF(F44=0,0,MAX($D$2:D43)+1)</f>
      </c>
      <c r="E44" s="7">
        <f>IF(H44=0,0,MAX($E$2:E43)+1)</f>
      </c>
      <c r="F44" s="177"/>
      <c r="G44" s="119"/>
      <c r="H44" s="119"/>
      <c r="I44" s="7">
        <f>IFERROR(VLOOKUP(H44,H$2:H43,1,FALSE),VLOOKUP(H44,H45:H$478,1,FALSE))</f>
      </c>
      <c r="J44" s="7">
        <f t="shared" si="0"/>
      </c>
      <c r="K44" s="7">
        <f t="shared" si="1"/>
      </c>
      <c r="L44" s="7">
        <f t="shared" si="2"/>
      </c>
      <c r="M44" s="19">
        <f t="shared" si="16"/>
      </c>
      <c r="N44" s="7">
        <f t="shared" si="4"/>
      </c>
      <c r="O44" s="7"/>
      <c r="P44" s="7">
        <f t="shared" si="5"/>
      </c>
      <c r="Q44" s="7">
        <f t="shared" si="6"/>
      </c>
      <c r="R44" s="7">
        <f t="shared" si="13"/>
      </c>
      <c r="S44" s="7">
        <f t="shared" si="14"/>
      </c>
      <c r="T44" s="7">
        <f t="shared" si="15"/>
      </c>
      <c r="U44" s="7">
        <f t="shared" si="10"/>
      </c>
    </row>
    <row r="45" spans="1:21" x14ac:dyDescent="0.3">
      <c r="A45" s="7">
        <f t="shared" si="11"/>
        <v/>
      </c>
      <c r="B45" s="7">
        <f>IF(C45=1,MAX(B$2:$B44)+1,IF(F45=0,"",B44))</f>
      </c>
      <c r="C45" s="7">
        <f>COUNTIF($F$2:$F45,F45)</f>
      </c>
      <c r="D45" s="7">
        <f>IF(F45=0,0,MAX($D$2:D44)+1)</f>
      </c>
      <c r="E45" s="7">
        <f>IF(H45=0,0,MAX($E$2:E44)+1)</f>
      </c>
      <c r="F45" s="177"/>
      <c r="G45" s="119"/>
      <c r="H45" s="119"/>
      <c r="I45" s="7">
        <f>IFERROR(VLOOKUP(H45,H$2:H44,1,FALSE),VLOOKUP(H45,H46:H$478,1,FALSE))</f>
      </c>
      <c r="J45" s="7">
        <f t="shared" si="0"/>
      </c>
      <c r="K45" s="7">
        <f t="shared" si="1"/>
      </c>
      <c r="L45" s="7">
        <f t="shared" si="2"/>
      </c>
      <c r="M45" s="19">
        <f t="shared" si="16"/>
      </c>
      <c r="N45" s="7">
        <f t="shared" si="4"/>
      </c>
      <c r="O45" s="7"/>
      <c r="P45" s="7">
        <f t="shared" si="5"/>
      </c>
      <c r="Q45" s="7">
        <f t="shared" si="6"/>
      </c>
      <c r="R45" s="7">
        <f t="shared" si="13"/>
      </c>
      <c r="S45" s="7">
        <f t="shared" si="14"/>
      </c>
      <c r="T45" s="7">
        <f t="shared" si="15"/>
      </c>
      <c r="U45" s="7">
        <f t="shared" si="10"/>
      </c>
    </row>
    <row r="46" spans="1:21" x14ac:dyDescent="0.3">
      <c r="A46" s="7">
        <f t="shared" si="11"/>
        <v/>
      </c>
      <c r="B46" s="7">
        <f>IF(C46=1,MAX(B$2:$B45)+1,IF(F46=0,"",B45))</f>
      </c>
      <c r="C46" s="7">
        <f>COUNTIF($F$2:$F46,F46)</f>
      </c>
      <c r="D46" s="7">
        <f>IF(F46=0,0,MAX($D$2:D45)+1)</f>
      </c>
      <c r="E46" s="7">
        <f>IF(H46=0,0,MAX($E$2:E45)+1)</f>
      </c>
      <c r="F46" s="177"/>
      <c r="G46" s="119"/>
      <c r="H46" s="119"/>
      <c r="I46" s="7">
        <f>IFERROR(VLOOKUP(H46,H$2:H45,1,FALSE),VLOOKUP(H46,H47:H$478,1,FALSE))</f>
      </c>
      <c r="J46" s="7">
        <f t="shared" si="0"/>
      </c>
      <c r="K46" s="7">
        <f t="shared" si="1"/>
      </c>
      <c r="L46" s="7">
        <f t="shared" si="2"/>
      </c>
      <c r="M46" s="19">
        <f t="shared" si="16"/>
      </c>
      <c r="N46" s="7">
        <f t="shared" si="4"/>
      </c>
      <c r="O46" s="7"/>
      <c r="P46" s="7">
        <f t="shared" si="5"/>
      </c>
      <c r="Q46" s="7">
        <f t="shared" si="6"/>
      </c>
      <c r="R46" s="7">
        <f t="shared" si="13"/>
      </c>
      <c r="S46" s="7">
        <f t="shared" si="14"/>
      </c>
      <c r="T46" s="7">
        <f t="shared" si="15"/>
      </c>
      <c r="U46" s="7">
        <f t="shared" si="10"/>
      </c>
    </row>
    <row r="47" spans="1:21" x14ac:dyDescent="0.3">
      <c r="A47" s="7">
        <f t="shared" si="11"/>
        <v/>
      </c>
      <c r="B47" s="7">
        <f>IF(C47=1,MAX(B$2:$B46)+1,IF(F47=0,"",B46))</f>
      </c>
      <c r="C47" s="7">
        <f>COUNTIF($F$2:$F47,F47)</f>
      </c>
      <c r="D47" s="7">
        <f>IF(F47=0,0,MAX($D$2:D46)+1)</f>
      </c>
      <c r="E47" s="7">
        <f>IF(H47=0,0,MAX($E$2:E46)+1)</f>
      </c>
      <c r="F47" s="177"/>
      <c r="G47" s="119"/>
      <c r="H47" s="119"/>
      <c r="I47" s="7">
        <f>IFERROR(VLOOKUP(H47,H$2:H46,1,FALSE),VLOOKUP(H47,H48:H$478,1,FALSE))</f>
      </c>
      <c r="J47" s="7">
        <f t="shared" si="0"/>
      </c>
      <c r="K47" s="7">
        <f t="shared" si="1"/>
      </c>
      <c r="L47" s="7">
        <f t="shared" si="2"/>
      </c>
      <c r="M47" s="19">
        <f t="shared" si="16"/>
      </c>
      <c r="N47" s="7">
        <f t="shared" si="4"/>
      </c>
      <c r="O47" s="7"/>
      <c r="P47" s="7">
        <f t="shared" si="5"/>
      </c>
      <c r="Q47" s="7">
        <f t="shared" si="6"/>
      </c>
      <c r="R47" s="7">
        <f t="shared" si="13"/>
      </c>
      <c r="S47" s="7">
        <f t="shared" si="14"/>
      </c>
      <c r="T47" s="7">
        <f t="shared" si="15"/>
      </c>
      <c r="U47" s="7">
        <f t="shared" si="10"/>
      </c>
    </row>
    <row r="48" spans="1:21" x14ac:dyDescent="0.3">
      <c r="A48" s="7">
        <f t="shared" si="11"/>
        <v/>
      </c>
      <c r="B48" s="7">
        <f>IF(C48=1,MAX(B$2:$B47)+1,IF(F48=0,"",B47))</f>
      </c>
      <c r="C48" s="7">
        <f>COUNTIF($F$2:$F48,F48)</f>
      </c>
      <c r="D48" s="7">
        <f>IF(F48=0,0,MAX($D$2:D47)+1)</f>
      </c>
      <c r="E48" s="7">
        <f>IF(H48=0,0,MAX($E$2:E47)+1)</f>
      </c>
      <c r="F48" s="177"/>
      <c r="G48" s="119"/>
      <c r="H48" s="119"/>
      <c r="I48" s="7">
        <f>IFERROR(VLOOKUP(H48,H$2:H47,1,FALSE),VLOOKUP(H48,H49:H$478,1,FALSE))</f>
      </c>
      <c r="J48" s="7">
        <f t="shared" si="0"/>
      </c>
      <c r="K48" s="7">
        <f t="shared" si="1"/>
      </c>
      <c r="L48" s="7">
        <f t="shared" si="2"/>
      </c>
      <c r="M48" s="19">
        <f t="shared" si="16"/>
      </c>
      <c r="N48" s="7">
        <f t="shared" si="4"/>
      </c>
      <c r="O48" s="7"/>
      <c r="P48" s="7">
        <f t="shared" si="5"/>
      </c>
      <c r="Q48" s="7">
        <f t="shared" si="6"/>
      </c>
      <c r="R48" s="7">
        <f t="shared" si="13"/>
      </c>
      <c r="S48" s="7">
        <f t="shared" si="14"/>
      </c>
      <c r="T48" s="7">
        <f t="shared" si="15"/>
      </c>
      <c r="U48" s="7">
        <f t="shared" si="10"/>
      </c>
    </row>
    <row r="49" spans="1:21" x14ac:dyDescent="0.3">
      <c r="A49" s="7">
        <f t="shared" si="11"/>
        <v/>
      </c>
      <c r="B49" s="7">
        <f>IF(C49=1,MAX(B$2:$B48)+1,IF(F49=0,"",B48))</f>
      </c>
      <c r="C49" s="7">
        <f>COUNTIF($F$2:$F49,F49)</f>
      </c>
      <c r="D49" s="7">
        <f>IF(F49=0,0,MAX($D$2:D48)+1)</f>
      </c>
      <c r="E49" s="7">
        <f>IF(H49=0,0,MAX($E$2:E48)+1)</f>
      </c>
      <c r="F49" s="177"/>
      <c r="G49" s="119"/>
      <c r="H49" s="119"/>
      <c r="I49" s="7">
        <f>IFERROR(VLOOKUP(H49,H$2:H48,1,FALSE),VLOOKUP(H49,H50:H$478,1,FALSE))</f>
      </c>
      <c r="J49" s="7">
        <f t="shared" si="0"/>
      </c>
      <c r="K49" s="7">
        <f t="shared" si="1"/>
      </c>
      <c r="L49" s="7">
        <f t="shared" si="2"/>
      </c>
      <c r="M49" s="19">
        <f t="shared" si="16"/>
      </c>
      <c r="N49" s="7">
        <f t="shared" si="4"/>
      </c>
      <c r="O49" s="7"/>
      <c r="P49" s="7">
        <f t="shared" si="5"/>
      </c>
      <c r="Q49" s="7">
        <f t="shared" si="6"/>
      </c>
      <c r="R49" s="7">
        <f t="shared" si="13"/>
      </c>
      <c r="S49" s="7">
        <f t="shared" si="14"/>
      </c>
      <c r="T49" s="7">
        <f t="shared" si="15"/>
      </c>
      <c r="U49" s="7">
        <f t="shared" si="10"/>
      </c>
    </row>
    <row r="50" spans="1:21" x14ac:dyDescent="0.3">
      <c r="A50" s="7">
        <f t="shared" si="11"/>
        <v/>
      </c>
      <c r="B50" s="7">
        <f>IF(C50=1,MAX(B$2:$B49)+1,IF(F50=0,"",B49))</f>
      </c>
      <c r="C50" s="7">
        <f>COUNTIF($F$2:$F50,F50)</f>
      </c>
      <c r="D50" s="7">
        <f>IF(F50=0,0,MAX($D$2:D49)+1)</f>
      </c>
      <c r="E50" s="7">
        <f>IF(H50=0,0,MAX($E$2:E49)+1)</f>
      </c>
      <c r="F50" s="177"/>
      <c r="G50" s="119"/>
      <c r="H50" s="119"/>
      <c r="I50" s="7">
        <f>IFERROR(VLOOKUP(H50,H$2:H49,1,FALSE),VLOOKUP(H50,H51:H$478,1,FALSE))</f>
      </c>
      <c r="J50" s="7">
        <f t="shared" si="0"/>
      </c>
      <c r="K50" s="7">
        <f t="shared" si="1"/>
      </c>
      <c r="L50" s="7">
        <f t="shared" si="2"/>
      </c>
      <c r="M50" s="19">
        <f t="shared" si="16"/>
      </c>
      <c r="N50" s="7">
        <f t="shared" si="4"/>
      </c>
      <c r="O50" s="7"/>
      <c r="P50" s="7">
        <f t="shared" si="5"/>
      </c>
      <c r="Q50" s="7">
        <f t="shared" si="6"/>
      </c>
      <c r="R50" s="7">
        <f t="shared" si="13"/>
      </c>
      <c r="S50" s="7">
        <f t="shared" si="14"/>
      </c>
      <c r="T50" s="7">
        <f t="shared" si="15"/>
      </c>
      <c r="U50" s="7">
        <f t="shared" si="10"/>
      </c>
    </row>
    <row r="51" spans="1:21" x14ac:dyDescent="0.3">
      <c r="A51" s="7">
        <f t="shared" si="11"/>
        <v/>
      </c>
      <c r="B51" s="7">
        <f>IF(C51=1,MAX(B$2:$B50)+1,IF(F51=0,"",B50))</f>
      </c>
      <c r="C51" s="7">
        <f>COUNTIF($F$2:$F51,F51)</f>
      </c>
      <c r="D51" s="7">
        <f>IF(F51=0,0,MAX($D$2:D50)+1)</f>
      </c>
      <c r="E51" s="7">
        <f>IF(H51=0,0,MAX($E$2:E50)+1)</f>
      </c>
      <c r="F51" s="177"/>
      <c r="G51" s="119"/>
      <c r="H51" s="119"/>
      <c r="I51" s="7">
        <f>IFERROR(VLOOKUP(H51,H$2:H50,1,FALSE),VLOOKUP(H51,H52:H$478,1,FALSE))</f>
      </c>
      <c r="J51" s="7">
        <f t="shared" si="0"/>
      </c>
      <c r="K51" s="7">
        <f t="shared" si="1"/>
      </c>
      <c r="L51" s="7">
        <f t="shared" si="2"/>
      </c>
      <c r="M51" s="19">
        <f t="shared" si="16"/>
      </c>
      <c r="N51" s="7">
        <f t="shared" si="4"/>
      </c>
      <c r="O51" s="7"/>
      <c r="P51" s="7">
        <f t="shared" si="5"/>
      </c>
      <c r="Q51" s="7">
        <f t="shared" si="6"/>
      </c>
      <c r="R51" s="7">
        <f t="shared" si="13"/>
      </c>
      <c r="S51" s="7">
        <f t="shared" si="14"/>
      </c>
      <c r="T51" s="7">
        <f t="shared" si="15"/>
      </c>
      <c r="U51" s="7">
        <f t="shared" si="10"/>
      </c>
    </row>
    <row r="52" spans="1:21" x14ac:dyDescent="0.3">
      <c r="A52" s="7">
        <f t="shared" si="11"/>
        <v/>
      </c>
      <c r="B52" s="7">
        <f>IF(C52=1,MAX(B$2:$B51)+1,IF(F52=0,"",B51))</f>
      </c>
      <c r="C52" s="7">
        <f>COUNTIF($F$2:$F52,F52)</f>
      </c>
      <c r="D52" s="7">
        <f>IF(F52=0,0,MAX($D$2:D51)+1)</f>
      </c>
      <c r="E52" s="7">
        <f>IF(H52=0,0,MAX($E$2:E51)+1)</f>
      </c>
      <c r="F52" s="177"/>
      <c r="G52" s="119"/>
      <c r="H52" s="256"/>
      <c r="I52" s="7">
        <f>IFERROR(VLOOKUP(H52,H$2:H51,1,FALSE),VLOOKUP(H52,H53:H$478,1,FALSE))</f>
      </c>
      <c r="J52" s="7">
        <f>IF($H52=0,"",VLOOKUP($H52,Исходные_данные,36,FALSE))</f>
      </c>
      <c r="K52" s="7">
        <f>IF($H52=0,"",VLOOKUP($H52,Исходные_данные,37,FALSE))</f>
      </c>
      <c r="L52" s="7">
        <f>IF($H52=0,"",VLOOKUP($H52,Исходные_данные,38,FALSE))</f>
      </c>
      <c r="M52" s="19">
        <f>IFERROR(VLOOKUP(H52,Нагрузка_диапазон_1,4,FALSE),"")</f>
      </c>
      <c r="N52" s="261">
        <f>IF($H52=0,"",VLOOKUP($H52,Исходные_данные,39,FALSE))</f>
      </c>
      <c r="O52" s="7"/>
      <c r="P52" s="7">
        <f>IF($H52=0,"",VLOOKUP($H52,Исходные_данные,41,FALSE))</f>
      </c>
      <c r="Q52" s="7">
        <f>IF($H52=0,"",VLOOKUP($H52,Исходные_данные,8,FALSE))</f>
      </c>
      <c r="R52" s="7">
        <f t="shared" si="13"/>
      </c>
      <c r="S52" s="7">
        <f t="shared" si="14"/>
      </c>
      <c r="T52" s="7">
        <f t="shared" si="15"/>
      </c>
      <c r="U52" s="7">
        <f>IF($H52=0,"",VLOOKUP($H52,Исходные_данные,31,FALSE))</f>
      </c>
    </row>
    <row r="53" spans="1:21" s="8" customFormat="1" ht="15" thickBot="1" x14ac:dyDescent="0.35">
      <c r="A53" s="7">
        <f t="shared" si="11"/>
        <v/>
      </c>
      <c r="B53" s="7">
        <f>IF(C53=1,MAX(B$2:$B52)+1,IF(F53=0,"",B52))</f>
      </c>
      <c r="C53" s="7">
        <f>COUNTIF($F$2:$F53,F53)</f>
      </c>
      <c r="D53" s="7">
        <f>IF(F53=0,0,MAX($D$2:D52)+1)</f>
      </c>
      <c r="E53" s="7">
        <f>IF(H53=0,0,MAX($E$2:E52)+1)</f>
      </c>
      <c r="F53" s="175"/>
      <c r="G53" s="175"/>
      <c r="H53" s="175"/>
      <c r="I53" s="47">
        <f>IFERROR(VLOOKUP(H53,H$2:H52,1,FALSE),VLOOKUP(H53,H54:H$478,1,FALSE))</f>
      </c>
      <c r="J53" s="47">
        <f>IF($H53=0,"",VLOOKUP($H53,Исходные_данные,36,FALSE))</f>
        <v/>
      </c>
      <c r="K53" s="47">
        <f>IF($H53=0,"",VLOOKUP($H53,Исходные_данные,37,FALSE))</f>
        <v/>
      </c>
      <c r="L53" s="47">
        <f>IF($H53=0,"",VLOOKUP($H53,Исходные_данные,38,FALSE))</f>
        <v/>
      </c>
      <c r="M53" s="52">
        <f>IFERROR(VLOOKUP(H53,Нагрузка_диапазон_1,4,FALSE),"")</f>
        <v/>
      </c>
      <c r="N53" s="47">
        <f>IF($H53=0,"",VLOOKUP($H53,Исходные_данные,39,FALSE))</f>
        <v/>
      </c>
      <c r="O53" s="47"/>
      <c r="P53" s="47">
        <f>IF($H53=0,"",VLOOKUP($H53,Исходные_данные,41,FALSE))</f>
        <v/>
      </c>
      <c r="Q53" s="47">
        <f>IF($H53=0,"",VLOOKUP($H53,Исходные_данные,8,FALSE))</f>
        <v/>
      </c>
      <c r="R53" s="47">
        <f t="shared" si="13"/>
      </c>
      <c r="S53" s="47">
        <f t="shared" si="14"/>
      </c>
      <c r="T53" s="47">
        <f t="shared" si="15"/>
      </c>
      <c r="U53" s="47">
        <f>IF($H53=0,"",VLOOKUP($H53,Исходные_данные,31,FALSE))</f>
        <v/>
      </c>
    </row>
    <row r="54" spans="1:21" x14ac:dyDescent="0.3">
      <c r="A54" s="7">
        <f t="shared" si="11"/>
        <v/>
      </c>
      <c r="B54" s="7">
        <f>IF(C54=1,MAX(B$2:$B53)+1,IF(F54=0,"",B53))</f>
      </c>
      <c r="C54" s="7">
        <f>COUNTIF($F$2:$F54,F54)</f>
      </c>
      <c r="D54" s="7">
        <f>IF(F54=0,0,MAX($D$2:D53)+1)</f>
      </c>
      <c r="E54" s="7">
        <f>IF(H54=0,0,MAX($E$2:E53)+1)</f>
      </c>
      <c r="F54" s="177"/>
      <c r="G54" s="177"/>
      <c r="H54" s="119"/>
      <c r="I54" s="7">
        <f>IFERROR(VLOOKUP(H54,H$2:H53,1,FALSE),VLOOKUP(H54,H55:H$478,1,FALSE))</f>
      </c>
      <c r="J54" s="7">
        <f t="shared" si="0"/>
        <v/>
      </c>
      <c r="K54" s="7">
        <f t="shared" si="1"/>
        <v/>
      </c>
      <c r="L54" s="7">
        <f t="shared" si="2"/>
        <v/>
      </c>
      <c r="M54" s="19">
        <f t="shared" si="16"/>
        <v/>
      </c>
      <c r="N54" s="7">
        <f t="shared" si="4"/>
        <v/>
      </c>
      <c r="O54" s="7"/>
      <c r="P54" s="7">
        <f t="shared" si="5"/>
        <v/>
      </c>
      <c r="Q54" s="7">
        <f t="shared" si="6"/>
        <v/>
      </c>
      <c r="R54" s="7">
        <f t="shared" si="13"/>
      </c>
      <c r="S54" s="7">
        <f t="shared" si="14"/>
      </c>
      <c r="T54" s="7">
        <f t="shared" si="15"/>
      </c>
      <c r="U54" s="7">
        <f t="shared" si="10"/>
        <v/>
      </c>
    </row>
    <row r="55" spans="1:21" x14ac:dyDescent="0.3">
      <c r="A55" s="7">
        <f t="shared" si="11"/>
        <v/>
      </c>
      <c r="B55" s="7">
        <f>IF(C55=1,MAX(B$2:$B54)+1,IF(F55=0,"",B54))</f>
      </c>
      <c r="C55" s="7">
        <f>COUNTIF($F$2:$F55,F55)</f>
      </c>
      <c r="D55" s="7">
        <f>IF(F55=0,0,MAX($D$2:D54)+1)</f>
      </c>
      <c r="E55" s="7">
        <f>IF(H55=0,0,MAX($E$2:E54)+1)</f>
      </c>
      <c r="F55" s="177"/>
      <c r="G55" s="119"/>
      <c r="H55" s="256"/>
      <c r="I55" s="7">
        <f>IFERROR(VLOOKUP(H55,H$2:H54,1,FALSE),VLOOKUP(H55,H56:H$478,1,FALSE))</f>
      </c>
      <c r="J55" s="7">
        <f t="shared" si="0"/>
      </c>
      <c r="K55" s="7">
        <f t="shared" si="1"/>
      </c>
      <c r="L55" s="7">
        <f t="shared" si="2"/>
      </c>
      <c r="M55" s="19">
        <f t="shared" si="16"/>
      </c>
      <c r="N55" s="261">
        <f t="shared" si="4"/>
      </c>
      <c r="O55" s="7"/>
      <c r="P55" s="7">
        <f t="shared" si="5"/>
      </c>
      <c r="Q55" s="7">
        <f t="shared" si="6"/>
      </c>
      <c r="R55" s="7">
        <f t="shared" si="13"/>
      </c>
      <c r="S55" s="7">
        <f t="shared" si="14"/>
      </c>
      <c r="T55" s="7">
        <f t="shared" si="15"/>
      </c>
      <c r="U55" s="7">
        <f t="shared" si="10"/>
      </c>
    </row>
    <row r="56" spans="1:21" x14ac:dyDescent="0.3">
      <c r="A56" s="7">
        <f t="shared" si="11"/>
        <v/>
      </c>
      <c r="B56" s="7">
        <f>IF(C56=1,MAX(B$2:$B55)+1,IF(F56=0,"",B55))</f>
      </c>
      <c r="C56" s="7">
        <f>COUNTIF($F$2:$F56,F56)</f>
      </c>
      <c r="D56" s="7">
        <f>IF(F56=0,0,MAX($D$2:D55)+1)</f>
      </c>
      <c r="E56" s="7">
        <f>IF(H56=0,0,MAX($E$2:E55)+1)</f>
      </c>
      <c r="F56" s="177"/>
      <c r="G56" s="119"/>
      <c r="H56" s="256"/>
      <c r="I56" s="7">
        <f>IFERROR(VLOOKUP(H56,H$2:H55,1,FALSE),VLOOKUP(H56,H57:H$478,1,FALSE))</f>
      </c>
      <c r="J56" s="7">
        <f t="shared" si="0"/>
      </c>
      <c r="K56" s="7">
        <f t="shared" si="1"/>
      </c>
      <c r="L56" s="7">
        <f t="shared" si="2"/>
      </c>
      <c r="M56" s="19">
        <f t="shared" si="16"/>
      </c>
      <c r="N56" s="261">
        <f t="shared" si="4"/>
      </c>
      <c r="O56" s="7"/>
      <c r="P56" s="7">
        <f t="shared" si="5"/>
      </c>
      <c r="Q56" s="7">
        <f t="shared" si="6"/>
      </c>
      <c r="R56" s="7">
        <f t="shared" si="13"/>
      </c>
      <c r="S56" s="7">
        <f t="shared" si="14"/>
      </c>
      <c r="T56" s="7">
        <f t="shared" si="15"/>
      </c>
      <c r="U56" s="7">
        <f t="shared" si="10"/>
      </c>
    </row>
    <row r="57" spans="1:21" x14ac:dyDescent="0.3">
      <c r="A57" s="7">
        <f t="shared" si="11"/>
        <v/>
      </c>
      <c r="B57" s="7">
        <f>IF(C57=1,MAX(B$2:$B56)+1,IF(F57=0,"",B56))</f>
      </c>
      <c r="C57" s="7">
        <f>COUNTIF($F$2:$F57,F57)</f>
      </c>
      <c r="D57" s="7">
        <f>IF(F57=0,0,MAX($D$2:D56)+1)</f>
      </c>
      <c r="E57" s="7">
        <f>IF(H57=0,0,MAX($E$2:E56)+1)</f>
      </c>
      <c r="F57" s="177"/>
      <c r="G57" s="119"/>
      <c r="H57" s="256"/>
      <c r="I57" s="7">
        <f>IFERROR(VLOOKUP(H57,H$2:H56,1,FALSE),VLOOKUP(H57,H58:H$478,1,FALSE))</f>
      </c>
      <c r="J57" s="7">
        <f t="shared" si="0"/>
      </c>
      <c r="K57" s="7">
        <f t="shared" si="1"/>
      </c>
      <c r="L57" s="7">
        <f t="shared" si="2"/>
      </c>
      <c r="M57" s="19">
        <f t="shared" si="16"/>
      </c>
      <c r="N57" s="261">
        <f t="shared" si="4"/>
      </c>
      <c r="O57" s="7"/>
      <c r="P57" s="7">
        <f t="shared" si="5"/>
      </c>
      <c r="Q57" s="7">
        <f t="shared" si="6"/>
      </c>
      <c r="R57" s="7">
        <f t="shared" si="13"/>
      </c>
      <c r="S57" s="7">
        <f t="shared" si="14"/>
      </c>
      <c r="T57" s="7">
        <f t="shared" si="15"/>
      </c>
      <c r="U57" s="7">
        <f t="shared" si="10"/>
      </c>
    </row>
    <row r="58" spans="1:21" x14ac:dyDescent="0.3">
      <c r="A58" s="7">
        <f t="shared" si="11"/>
        <v/>
      </c>
      <c r="B58" s="7">
        <f>IF(C58=1,MAX(B$2:$B57)+1,IF(F58=0,"",B57))</f>
      </c>
      <c r="C58" s="7">
        <f>COUNTIF($F$2:$F58,F58)</f>
      </c>
      <c r="D58" s="7">
        <f>IF(F58=0,0,MAX($D$2:D57)+1)</f>
      </c>
      <c r="E58" s="7">
        <f>IF(H58=0,0,MAX($E$2:E57)+1)</f>
      </c>
      <c r="F58" s="177"/>
      <c r="G58" s="119"/>
      <c r="H58" s="256"/>
      <c r="I58" s="7">
        <f>IFERROR(VLOOKUP(H58,H$2:H57,1,FALSE),VLOOKUP(H58,H59:H$478,1,FALSE))</f>
      </c>
      <c r="J58" s="7">
        <f t="shared" si="0"/>
      </c>
      <c r="K58" s="7">
        <f t="shared" si="1"/>
      </c>
      <c r="L58" s="7">
        <f t="shared" si="2"/>
      </c>
      <c r="M58" s="19">
        <f t="shared" si="16"/>
      </c>
      <c r="N58" s="261">
        <f t="shared" si="4"/>
      </c>
      <c r="O58" s="7"/>
      <c r="P58" s="7">
        <f t="shared" si="5"/>
      </c>
      <c r="Q58" s="7">
        <f t="shared" si="6"/>
      </c>
      <c r="R58" s="7">
        <f t="shared" si="13"/>
      </c>
      <c r="S58" s="7">
        <f t="shared" si="14"/>
      </c>
      <c r="T58" s="7">
        <f t="shared" si="15"/>
      </c>
      <c r="U58" s="7">
        <f t="shared" si="10"/>
      </c>
    </row>
    <row r="59" spans="1:21" x14ac:dyDescent="0.3">
      <c r="A59" s="7">
        <f t="shared" si="11"/>
        <v/>
      </c>
      <c r="B59" s="7">
        <f>IF(C59=1,MAX(B$2:$B58)+1,IF(F59=0,"",B58))</f>
      </c>
      <c r="C59" s="7">
        <f>COUNTIF($F$2:$F59,F59)</f>
      </c>
      <c r="D59" s="7">
        <f>IF(F59=0,0,MAX($D$2:D58)+1)</f>
      </c>
      <c r="E59" s="7">
        <f>IF(H59=0,0,MAX($E$2:E58)+1)</f>
      </c>
      <c r="F59" s="177"/>
      <c r="G59" s="119"/>
      <c r="H59" s="256"/>
      <c r="I59" s="7">
        <f>IFERROR(VLOOKUP(H59,H$2:H58,1,FALSE),VLOOKUP(H59,H60:H$478,1,FALSE))</f>
      </c>
      <c r="J59" s="7">
        <f t="shared" si="0"/>
      </c>
      <c r="K59" s="7">
        <f t="shared" si="1"/>
      </c>
      <c r="L59" s="7">
        <f t="shared" si="2"/>
      </c>
      <c r="M59" s="19">
        <f t="shared" si="16"/>
      </c>
      <c r="N59" s="261">
        <f t="shared" si="4"/>
      </c>
      <c r="O59" s="7"/>
      <c r="P59" s="7">
        <f t="shared" si="5"/>
      </c>
      <c r="Q59" s="7">
        <f t="shared" si="6"/>
      </c>
      <c r="R59" s="7">
        <f t="shared" si="13"/>
      </c>
      <c r="S59" s="7">
        <f t="shared" si="14"/>
      </c>
      <c r="T59" s="7">
        <f t="shared" si="15"/>
      </c>
      <c r="U59" s="7">
        <f t="shared" si="10"/>
      </c>
    </row>
    <row r="60" spans="1:21" x14ac:dyDescent="0.3">
      <c r="A60" s="7">
        <f t="shared" si="11"/>
        <v/>
      </c>
      <c r="B60" s="7">
        <f>IF(C60=1,MAX(B$2:$B59)+1,IF(F60=0,"",B59))</f>
      </c>
      <c r="C60" s="7">
        <f>COUNTIF($F$2:$F60,F60)</f>
      </c>
      <c r="D60" s="7">
        <f>IF(F60=0,0,MAX($D$2:D59)+1)</f>
      </c>
      <c r="E60" s="7">
        <f>IF(H60=0,0,MAX($E$2:E59)+1)</f>
      </c>
      <c r="F60" s="177"/>
      <c r="G60" s="119"/>
      <c r="H60" s="256"/>
      <c r="I60" s="7">
        <f>IFERROR(VLOOKUP(H60,H$2:H59,1,FALSE),VLOOKUP(H60,H61:H$478,1,FALSE))</f>
      </c>
      <c r="J60" s="7">
        <f t="shared" si="0"/>
      </c>
      <c r="K60" s="7">
        <f t="shared" si="1"/>
      </c>
      <c r="L60" s="7">
        <f t="shared" si="2"/>
      </c>
      <c r="M60" s="19">
        <f t="shared" si="16"/>
      </c>
      <c r="N60" s="261">
        <f t="shared" si="4"/>
      </c>
      <c r="O60" s="7"/>
      <c r="P60" s="7">
        <f t="shared" si="5"/>
      </c>
      <c r="Q60" s="7">
        <f t="shared" si="6"/>
      </c>
      <c r="R60" s="7">
        <f t="shared" si="13"/>
      </c>
      <c r="S60" s="7">
        <f t="shared" si="14"/>
      </c>
      <c r="T60" s="7">
        <f t="shared" si="15"/>
      </c>
      <c r="U60" s="7">
        <f t="shared" si="10"/>
      </c>
    </row>
    <row r="61" spans="1:21" x14ac:dyDescent="0.3">
      <c r="A61" s="7">
        <f t="shared" si="11"/>
        <v/>
      </c>
      <c r="B61" s="7">
        <f>IF(C61=1,MAX(B$2:$B60)+1,IF(F61=0,"",B60))</f>
      </c>
      <c r="C61" s="7">
        <f>COUNTIF($F$2:$F61,F61)</f>
      </c>
      <c r="D61" s="7">
        <f>IF(F61=0,0,MAX($D$2:D60)+1)</f>
      </c>
      <c r="E61" s="7">
        <f>IF(H61=0,0,MAX($E$2:E60)+1)</f>
      </c>
      <c r="F61" s="177"/>
      <c r="G61" s="119"/>
      <c r="H61" s="256"/>
      <c r="I61" s="7">
        <f>IFERROR(VLOOKUP(H61,H$2:H60,1,FALSE),VLOOKUP(H61,H62:H$478,1,FALSE))</f>
      </c>
      <c r="J61" s="7">
        <f t="shared" si="0"/>
      </c>
      <c r="K61" s="7">
        <f t="shared" si="1"/>
      </c>
      <c r="L61" s="7">
        <f t="shared" si="2"/>
      </c>
      <c r="M61" s="19">
        <f t="shared" si="16"/>
      </c>
      <c r="N61" s="261">
        <f t="shared" si="4"/>
      </c>
      <c r="O61" s="7"/>
      <c r="P61" s="7">
        <f t="shared" si="5"/>
      </c>
      <c r="Q61" s="7">
        <f t="shared" si="6"/>
      </c>
      <c r="R61" s="7">
        <f t="shared" si="13"/>
      </c>
      <c r="S61" s="7">
        <f t="shared" si="14"/>
      </c>
      <c r="T61" s="7">
        <f t="shared" si="15"/>
      </c>
      <c r="U61" s="7">
        <f t="shared" si="10"/>
      </c>
    </row>
    <row r="62" spans="1:21" x14ac:dyDescent="0.3">
      <c r="A62" s="7">
        <f t="shared" si="11"/>
        <v/>
      </c>
      <c r="B62" s="7">
        <f>IF(C62=1,MAX(B$2:$B61)+1,IF(F62=0,"",B61))</f>
      </c>
      <c r="C62" s="7">
        <f>COUNTIF($F$2:$F62,F62)</f>
      </c>
      <c r="D62" s="7">
        <f>IF(F62=0,0,MAX($D$2:D61)+1)</f>
      </c>
      <c r="E62" s="7">
        <f>IF(H62=0,0,MAX($E$2:E61)+1)</f>
      </c>
      <c r="F62" s="177"/>
      <c r="G62" s="119"/>
      <c r="H62" s="256"/>
      <c r="I62" s="7">
        <f>IFERROR(VLOOKUP(H62,H$2:H61,1,FALSE),VLOOKUP(H62,H63:H$478,1,FALSE))</f>
      </c>
      <c r="J62" s="7">
        <f t="shared" si="0"/>
      </c>
      <c r="K62" s="7">
        <f t="shared" si="1"/>
      </c>
      <c r="L62" s="7">
        <f t="shared" si="2"/>
      </c>
      <c r="M62" s="19">
        <f t="shared" si="16"/>
      </c>
      <c r="N62" s="261">
        <f t="shared" si="4"/>
      </c>
      <c r="O62" s="7"/>
      <c r="P62" s="7">
        <f t="shared" si="5"/>
      </c>
      <c r="Q62" s="7">
        <f t="shared" si="6"/>
      </c>
      <c r="R62" s="7">
        <f t="shared" si="13"/>
      </c>
      <c r="S62" s="7">
        <f t="shared" si="14"/>
      </c>
      <c r="T62" s="7">
        <f t="shared" si="15"/>
      </c>
      <c r="U62" s="7">
        <f t="shared" si="10"/>
      </c>
    </row>
    <row r="63" spans="1:21" x14ac:dyDescent="0.3">
      <c r="A63" s="7">
        <f t="shared" si="11"/>
        <v/>
      </c>
      <c r="B63" s="7">
        <f>IF(C63=1,MAX(B$2:$B62)+1,IF(F63=0,"",B62))</f>
      </c>
      <c r="C63" s="7">
        <f>COUNTIF($F$2:$F63,F63)</f>
      </c>
      <c r="D63" s="7">
        <f>IF(F63=0,0,MAX($D$2:D62)+1)</f>
      </c>
      <c r="E63" s="7">
        <f>IF(H63=0,0,MAX($E$2:E62)+1)</f>
      </c>
      <c r="F63" s="177"/>
      <c r="G63" s="119"/>
      <c r="H63" s="256"/>
      <c r="I63" s="7">
        <f>IFERROR(VLOOKUP(H63,H$2:H62,1,FALSE),VLOOKUP(H63,H64:H$478,1,FALSE))</f>
      </c>
      <c r="J63" s="7">
        <f t="shared" si="0"/>
      </c>
      <c r="K63" s="7">
        <f t="shared" si="1"/>
      </c>
      <c r="L63" s="7">
        <f t="shared" si="2"/>
      </c>
      <c r="M63" s="19">
        <f t="shared" si="16"/>
      </c>
      <c r="N63" s="261">
        <f t="shared" si="4"/>
      </c>
      <c r="O63" s="7"/>
      <c r="P63" s="7">
        <f t="shared" si="5"/>
      </c>
      <c r="Q63" s="7">
        <f t="shared" si="6"/>
      </c>
      <c r="R63" s="7">
        <f t="shared" si="13"/>
      </c>
      <c r="S63" s="7">
        <f t="shared" si="14"/>
      </c>
      <c r="T63" s="7">
        <f t="shared" si="15"/>
      </c>
      <c r="U63" s="7">
        <f t="shared" si="10"/>
      </c>
    </row>
    <row r="64" spans="1:21" x14ac:dyDescent="0.3">
      <c r="A64" s="7">
        <f t="shared" si="11"/>
        <v/>
      </c>
      <c r="B64" s="7">
        <f>IF(C64=1,MAX(B$2:$B63)+1,IF(F64=0,"",B63))</f>
      </c>
      <c r="C64" s="7">
        <f>COUNTIF($F$2:$F64,F64)</f>
      </c>
      <c r="D64" s="7">
        <f>IF(F64=0,0,MAX($D$2:D63)+1)</f>
      </c>
      <c r="E64" s="7">
        <f>IF(H64=0,0,MAX($E$2:E63)+1)</f>
      </c>
      <c r="F64" s="177"/>
      <c r="G64" s="119"/>
      <c r="H64" s="256"/>
      <c r="I64" s="7">
        <f>IFERROR(VLOOKUP(H64,H$2:H63,1,FALSE),VLOOKUP(H64,H65:H$478,1,FALSE))</f>
      </c>
      <c r="J64" s="7">
        <f t="shared" si="0"/>
      </c>
      <c r="K64" s="7">
        <f t="shared" si="1"/>
      </c>
      <c r="L64" s="7">
        <f t="shared" si="2"/>
      </c>
      <c r="M64" s="19">
        <f t="shared" si="16"/>
      </c>
      <c r="N64" s="261">
        <f t="shared" si="4"/>
      </c>
      <c r="O64" s="7"/>
      <c r="P64" s="7">
        <f t="shared" si="5"/>
      </c>
      <c r="Q64" s="7">
        <f t="shared" si="6"/>
      </c>
      <c r="R64" s="7">
        <f t="shared" si="13"/>
      </c>
      <c r="S64" s="7">
        <f t="shared" si="14"/>
      </c>
      <c r="T64" s="7">
        <f t="shared" si="15"/>
      </c>
      <c r="U64" s="7">
        <f t="shared" si="10"/>
      </c>
    </row>
    <row r="65" spans="1:21" x14ac:dyDescent="0.3">
      <c r="A65" s="7">
        <f t="shared" si="11"/>
        <v/>
      </c>
      <c r="B65" s="7">
        <f>IF(C65=1,MAX(B$2:$B64)+1,IF(F65=0,"",B64))</f>
      </c>
      <c r="C65" s="7">
        <f>COUNTIF($F$2:$F65,F65)</f>
      </c>
      <c r="D65" s="7">
        <f>IF(F65=0,0,MAX($D$2:D64)+1)</f>
      </c>
      <c r="E65" s="7">
        <f>IF(H65=0,0,MAX($E$2:E64)+1)</f>
      </c>
      <c r="F65" s="177"/>
      <c r="G65" s="119"/>
      <c r="H65" s="258"/>
      <c r="I65" s="7">
        <f>IFERROR(VLOOKUP(H65,H$2:H64,1,FALSE),VLOOKUP(H65,H66:H$478,1,FALSE))</f>
      </c>
      <c r="J65" s="7">
        <f t="shared" si="0"/>
      </c>
      <c r="K65" s="7">
        <f t="shared" si="1"/>
      </c>
      <c r="L65" s="7">
        <f t="shared" si="2"/>
      </c>
      <c r="M65" s="19">
        <f t="shared" si="16"/>
      </c>
      <c r="N65" s="262">
        <f t="shared" si="4"/>
      </c>
      <c r="O65" s="7"/>
      <c r="P65" s="7">
        <f t="shared" si="5"/>
      </c>
      <c r="Q65" s="7">
        <f t="shared" si="6"/>
      </c>
      <c r="R65" s="7">
        <f t="shared" si="13"/>
      </c>
      <c r="S65" s="7">
        <f t="shared" si="14"/>
      </c>
      <c r="T65" s="7">
        <f t="shared" si="15"/>
      </c>
      <c r="U65" s="7">
        <f t="shared" si="10"/>
      </c>
    </row>
    <row r="66" spans="1:21" x14ac:dyDescent="0.3">
      <c r="A66" s="7">
        <f t="shared" si="11"/>
        <v/>
      </c>
      <c r="B66" s="7">
        <f>IF(C66=1,MAX(B$2:$B65)+1,IF(F66=0,"",B65))</f>
      </c>
      <c r="C66" s="7">
        <f>COUNTIF($F$2:$F66,F66)</f>
      </c>
      <c r="D66" s="7">
        <f>IF(F66=0,0,MAX($D$2:D65)+1)</f>
      </c>
      <c r="E66" s="7">
        <f>IF(H66=0,0,MAX($E$2:E65)+1)</f>
      </c>
      <c r="F66" s="177"/>
      <c r="G66" s="119"/>
      <c r="H66" s="258"/>
      <c r="I66" s="7">
        <f>IFERROR(VLOOKUP(H66,H$2:H65,1,FALSE),VLOOKUP(H66,H67:H$478,1,FALSE))</f>
      </c>
      <c r="J66" s="7">
        <f t="shared" si="0"/>
      </c>
      <c r="K66" s="7">
        <f t="shared" si="1"/>
      </c>
      <c r="L66" s="7">
        <f t="shared" si="2"/>
      </c>
      <c r="M66" s="19">
        <f t="shared" si="16"/>
      </c>
      <c r="N66" s="262">
        <f t="shared" si="4"/>
      </c>
      <c r="O66" s="7"/>
      <c r="P66" s="7">
        <f t="shared" si="5"/>
      </c>
      <c r="Q66" s="7">
        <f t="shared" si="6"/>
      </c>
      <c r="R66" s="7">
        <f t="shared" si="13"/>
      </c>
      <c r="S66" s="7">
        <f t="shared" si="14"/>
      </c>
      <c r="T66" s="7">
        <f t="shared" si="15"/>
      </c>
      <c r="U66" s="7">
        <f t="shared" si="10"/>
      </c>
    </row>
    <row r="67" spans="1:21" x14ac:dyDescent="0.3">
      <c r="A67" s="7">
        <f t="shared" si="11"/>
        <v/>
      </c>
      <c r="B67" s="7">
        <f>IF(C67=1,MAX(B$2:$B66)+1,IF(F67=0,"",B66))</f>
      </c>
      <c r="C67" s="7">
        <f>COUNTIF($F$2:$F67,F67)</f>
      </c>
      <c r="D67" s="7">
        <f>IF(F67=0,0,MAX($D$2:D66)+1)</f>
      </c>
      <c r="E67" s="7">
        <f>IF(H67=0,0,MAX($E$2:E66)+1)</f>
      </c>
      <c r="F67" s="177"/>
      <c r="G67" s="119"/>
      <c r="H67" s="258"/>
      <c r="I67" s="7">
        <f>IFERROR(VLOOKUP(H67,H$2:H66,1,FALSE),VLOOKUP(H67,H68:H$478,1,FALSE))</f>
      </c>
      <c r="J67" s="7">
        <f t="shared" ref="J67:J130" si="17">IF($H67=0,"",VLOOKUP($H67,Исходные_данные,36,FALSE))</f>
      </c>
      <c r="K67" s="7">
        <f t="shared" ref="K67:K130" si="18">IF($H67=0,"",VLOOKUP($H67,Исходные_данные,37,FALSE))</f>
      </c>
      <c r="L67" s="7">
        <f t="shared" ref="L67:L130" si="19">IF($H67=0,"",VLOOKUP($H67,Исходные_данные,38,FALSE))</f>
      </c>
      <c r="M67" s="19">
        <f t="shared" si="16"/>
      </c>
      <c r="N67" s="262">
        <f t="shared" ref="N67:N130" si="20">IF($H67=0,"",VLOOKUP($H67,Исходные_данные,39,FALSE))</f>
      </c>
      <c r="O67" s="7"/>
      <c r="P67" s="7">
        <f t="shared" ref="P67:P130" si="21">IF($H67=0,"",VLOOKUP($H67,Исходные_данные,41,FALSE))</f>
      </c>
      <c r="Q67" s="7">
        <f t="shared" ref="Q67:Q130" si="22">IF($H67=0,"",VLOOKUP($H67,Исходные_данные,8,FALSE))</f>
      </c>
      <c r="R67" s="7">
        <f t="shared" si="13"/>
      </c>
      <c r="S67" s="7">
        <f t="shared" si="14"/>
      </c>
      <c r="T67" s="7">
        <f t="shared" si="15"/>
      </c>
      <c r="U67" s="7">
        <f t="shared" ref="U67:U130" si="23">IF($H67=0,"",VLOOKUP($H67,Исходные_данные,31,FALSE))</f>
      </c>
    </row>
    <row r="68" spans="1:21" x14ac:dyDescent="0.3">
      <c r="A68" s="7">
        <f t="shared" ref="A68:A131" si="24">IF(B68=B69,"",B68)</f>
        <v/>
      </c>
      <c r="B68" s="7">
        <f>IF(C68=1,MAX(B$2:$B67)+1,IF(F68=0,"",B67))</f>
      </c>
      <c r="C68" s="7">
        <f>COUNTIF($F$2:$F68,F68)</f>
      </c>
      <c r="D68" s="7">
        <f>IF(F68=0,0,MAX($D$2:D67)+1)</f>
      </c>
      <c r="E68" s="7">
        <f>IF(H68=0,0,MAX($E$2:E67)+1)</f>
      </c>
      <c r="F68" s="177"/>
      <c r="G68" s="119"/>
      <c r="H68" s="258"/>
      <c r="I68" s="7">
        <f>IFERROR(VLOOKUP(H68,H$2:H67,1,FALSE),VLOOKUP(H68,H69:H$478,1,FALSE))</f>
      </c>
      <c r="J68" s="7">
        <f t="shared" si="17"/>
      </c>
      <c r="K68" s="7">
        <f t="shared" si="18"/>
      </c>
      <c r="L68" s="7">
        <f t="shared" si="19"/>
      </c>
      <c r="M68" s="19">
        <f t="shared" si="16"/>
      </c>
      <c r="N68" s="262">
        <f t="shared" si="20"/>
      </c>
      <c r="O68" s="7"/>
      <c r="P68" s="7">
        <f t="shared" si="21"/>
      </c>
      <c r="Q68" s="7">
        <f t="shared" si="22"/>
      </c>
      <c r="R68" s="7">
        <f t="shared" ref="R68:R131" si="25">IF(Q68=3,"L1,L2,L3",0)</f>
      </c>
      <c r="S68" s="7">
        <f t="shared" ref="S68:S131" si="26">IF(C68=1,1,IF(Q68=3,S67,IF(S67=3,1,S67+1)))</f>
      </c>
      <c r="T68" s="7">
        <f t="shared" ref="T68:T131" si="27">IF(R68=0,"L"&amp;S68,R68)</f>
      </c>
      <c r="U68" s="7">
        <f t="shared" si="23"/>
      </c>
    </row>
    <row r="69" spans="1:21" x14ac:dyDescent="0.3">
      <c r="A69" s="7">
        <f t="shared" si="24"/>
        <v/>
      </c>
      <c r="B69" s="7">
        <f>IF(C69=1,MAX(B$2:$B68)+1,IF(F69=0,"",B68))</f>
      </c>
      <c r="C69" s="7">
        <f>COUNTIF($F$2:$F69,F69)</f>
      </c>
      <c r="D69" s="7">
        <f>IF(F69=0,0,MAX($D$2:D68)+1)</f>
      </c>
      <c r="E69" s="7">
        <f>IF(H69=0,0,MAX($E$2:E68)+1)</f>
      </c>
      <c r="F69" s="177"/>
      <c r="G69" s="119"/>
      <c r="H69" s="258"/>
      <c r="I69" s="7">
        <f>IFERROR(VLOOKUP(H69,H$2:H68,1,FALSE),VLOOKUP(H69,H70:H$478,1,FALSE))</f>
      </c>
      <c r="J69" s="7">
        <f t="shared" si="17"/>
      </c>
      <c r="K69" s="7">
        <f t="shared" si="18"/>
      </c>
      <c r="L69" s="7">
        <f t="shared" si="19"/>
      </c>
      <c r="M69" s="19">
        <f t="shared" ref="M69:M132" si="28">IFERROR(VLOOKUP(H69,Нагрузка_диапазон_1,4,FALSE),"")</f>
      </c>
      <c r="N69" s="262">
        <f t="shared" si="20"/>
      </c>
      <c r="O69" s="7"/>
      <c r="P69" s="7">
        <f t="shared" si="21"/>
      </c>
      <c r="Q69" s="7">
        <f t="shared" si="22"/>
      </c>
      <c r="R69" s="7">
        <f t="shared" si="25"/>
      </c>
      <c r="S69" s="7">
        <f t="shared" si="26"/>
      </c>
      <c r="T69" s="7">
        <f t="shared" si="27"/>
      </c>
      <c r="U69" s="7">
        <f t="shared" si="23"/>
      </c>
    </row>
    <row r="70" spans="1:21" s="8" customFormat="1" ht="15" thickBot="1" x14ac:dyDescent="0.35">
      <c r="A70" s="7">
        <f t="shared" si="24"/>
        <v/>
      </c>
      <c r="B70" s="7">
        <f>IF(C70=1,MAX(B$2:$B69)+1,IF(F70=0,"",B69))</f>
      </c>
      <c r="C70" s="7">
        <f>COUNTIF($F$2:$F70,F70)</f>
      </c>
      <c r="D70" s="7">
        <f>IF(F70=0,0,MAX($D$2:D69)+1)</f>
      </c>
      <c r="E70" s="7">
        <f>IF(H70=0,0,MAX($E$2:E69)+1)</f>
      </c>
      <c r="F70" s="175"/>
      <c r="G70" s="175"/>
      <c r="H70" s="119"/>
      <c r="I70" s="47">
        <f>IFERROR(VLOOKUP(H70,H$2:H69,1,FALSE),VLOOKUP(H70,H71:H$478,1,FALSE))</f>
      </c>
      <c r="J70" s="47">
        <f t="shared" si="17"/>
        <v/>
      </c>
      <c r="K70" s="47">
        <f t="shared" si="18"/>
        <v/>
      </c>
      <c r="L70" s="47">
        <f t="shared" si="19"/>
        <v/>
      </c>
      <c r="M70" s="52">
        <f t="shared" si="28"/>
        <v/>
      </c>
      <c r="N70" s="47">
        <f t="shared" si="20"/>
        <v/>
      </c>
      <c r="O70" s="47"/>
      <c r="P70" s="47">
        <f t="shared" si="21"/>
        <v/>
      </c>
      <c r="Q70" s="47">
        <f t="shared" si="22"/>
        <v/>
      </c>
      <c r="R70" s="47">
        <f t="shared" si="25"/>
      </c>
      <c r="S70" s="47">
        <f t="shared" si="26"/>
      </c>
      <c r="T70" s="47">
        <f t="shared" si="27"/>
      </c>
      <c r="U70" s="47">
        <f t="shared" si="23"/>
        <v/>
      </c>
    </row>
    <row r="71" spans="1:21" x14ac:dyDescent="0.3">
      <c r="A71" s="7">
        <f t="shared" si="24"/>
        <v/>
      </c>
      <c r="B71" s="7">
        <f>IF(C71=1,MAX(B$2:$B70)+1,IF(F71=0,"",B70))</f>
      </c>
      <c r="C71" s="7">
        <f>COUNTIF($F$2:$F71,F71)</f>
      </c>
      <c r="D71" s="7">
        <f>IF(F71=0,0,MAX($D$2:D70)+1)</f>
      </c>
      <c r="E71" s="7">
        <f>IF(H71=0,0,MAX($E$2:E70)+1)</f>
      </c>
      <c r="F71" s="177"/>
      <c r="G71" s="119"/>
      <c r="H71" s="172"/>
      <c r="I71" s="7">
        <f>IFERROR(VLOOKUP(H71,H$2:H70,1,FALSE),VLOOKUP(H71,H72:H$478,1,FALSE))</f>
      </c>
      <c r="J71" s="7">
        <f t="shared" si="17"/>
        <v/>
      </c>
      <c r="K71" s="7">
        <f t="shared" si="18"/>
        <v/>
      </c>
      <c r="L71" s="7">
        <f t="shared" si="19"/>
        <v/>
      </c>
      <c r="M71" s="19">
        <f t="shared" si="28"/>
        <v/>
      </c>
      <c r="N71" s="7">
        <f t="shared" si="20"/>
        <v/>
      </c>
      <c r="O71" s="7"/>
      <c r="P71" s="7">
        <f t="shared" si="21"/>
        <v/>
      </c>
      <c r="Q71" s="7">
        <f t="shared" si="22"/>
        <v/>
      </c>
      <c r="R71" s="7">
        <f t="shared" si="25"/>
      </c>
      <c r="S71" s="7">
        <f t="shared" si="26"/>
      </c>
      <c r="T71" s="7">
        <f t="shared" si="27"/>
      </c>
      <c r="U71" s="7">
        <f t="shared" si="23"/>
        <v/>
      </c>
    </row>
    <row r="72" spans="1:21" x14ac:dyDescent="0.3">
      <c r="A72" s="7">
        <f t="shared" si="24"/>
        <v/>
      </c>
      <c r="B72" s="7">
        <f>IF(C72=1,MAX(B$2:$B71)+1,IF(F72=0,"",B71))</f>
      </c>
      <c r="C72" s="7">
        <f>COUNTIF($F$2:$F72,F72)</f>
      </c>
      <c r="D72" s="7">
        <f>IF(F72=0,0,MAX($D$2:D71)+1)</f>
      </c>
      <c r="E72" s="7">
        <f>IF(H72=0,0,MAX($E$2:E71)+1)</f>
      </c>
      <c r="F72" s="177"/>
      <c r="G72" s="119"/>
      <c r="H72" s="264"/>
      <c r="I72" s="7">
        <f>IFERROR(VLOOKUP(H72,H$2:H71,1,FALSE),VLOOKUP(H72,H73:H$478,1,FALSE))</f>
      </c>
      <c r="J72" s="7">
        <f t="shared" si="17"/>
      </c>
      <c r="K72" s="7">
        <f t="shared" si="18"/>
      </c>
      <c r="L72" s="7">
        <f t="shared" si="19"/>
      </c>
      <c r="M72" s="19">
        <f t="shared" si="28"/>
      </c>
      <c r="N72" s="262">
        <f t="shared" si="20"/>
      </c>
      <c r="O72" s="7"/>
      <c r="P72" s="7">
        <f t="shared" si="21"/>
      </c>
      <c r="Q72" s="7">
        <f t="shared" si="22"/>
      </c>
      <c r="R72" s="7">
        <f t="shared" si="25"/>
      </c>
      <c r="S72" s="7">
        <f t="shared" si="26"/>
      </c>
      <c r="T72" s="7">
        <f t="shared" si="27"/>
      </c>
      <c r="U72" s="7">
        <f t="shared" si="23"/>
      </c>
    </row>
    <row r="73" spans="1:21" x14ac:dyDescent="0.3">
      <c r="A73" s="7">
        <f t="shared" si="24"/>
        <v/>
      </c>
      <c r="B73" s="7">
        <f>IF(C73=1,MAX(B$2:$B72)+1,IF(F73=0,"",B72))</f>
      </c>
      <c r="C73" s="7">
        <f>COUNTIF($F$2:$F73,F73)</f>
      </c>
      <c r="D73" s="7">
        <f>IF(F73=0,0,MAX($D$2:D72)+1)</f>
      </c>
      <c r="E73" s="7">
        <f>IF(H73=0,0,MAX($E$2:E72)+1)</f>
      </c>
      <c r="F73" s="177"/>
      <c r="G73" s="119"/>
      <c r="H73" s="258"/>
      <c r="I73" s="7">
        <f>IFERROR(VLOOKUP(H73,H$2:H72,1,FALSE),VLOOKUP(H73,H74:H$478,1,FALSE))</f>
      </c>
      <c r="J73" s="7">
        <f t="shared" si="17"/>
      </c>
      <c r="K73" s="7">
        <f t="shared" si="18"/>
      </c>
      <c r="L73" s="7">
        <f t="shared" si="19"/>
      </c>
      <c r="M73" s="19">
        <f t="shared" si="28"/>
      </c>
      <c r="N73" s="262">
        <f t="shared" si="20"/>
      </c>
      <c r="O73" s="7"/>
      <c r="P73" s="7">
        <f t="shared" si="21"/>
      </c>
      <c r="Q73" s="7">
        <f t="shared" si="22"/>
      </c>
      <c r="R73" s="7">
        <f t="shared" si="25"/>
      </c>
      <c r="S73" s="7">
        <f t="shared" si="26"/>
      </c>
      <c r="T73" s="7">
        <f t="shared" si="27"/>
      </c>
      <c r="U73" s="7">
        <f t="shared" si="23"/>
      </c>
    </row>
    <row r="74" spans="1:21" x14ac:dyDescent="0.3">
      <c r="A74" s="7">
        <f t="shared" si="24"/>
        <v/>
      </c>
      <c r="B74" s="7">
        <f>IF(C74=1,MAX(B$2:$B73)+1,IF(F74=0,"",B73))</f>
      </c>
      <c r="C74" s="7">
        <f>COUNTIF($F$2:$F74,F74)</f>
      </c>
      <c r="D74" s="7">
        <f>IF(F74=0,0,MAX($D$2:D73)+1)</f>
      </c>
      <c r="E74" s="7">
        <f>IF(H74=0,0,MAX($E$2:E73)+1)</f>
      </c>
      <c r="F74" s="177"/>
      <c r="G74" s="119"/>
      <c r="H74" s="258"/>
      <c r="I74" s="7">
        <f>IFERROR(VLOOKUP(H74,H$2:H73,1,FALSE),VLOOKUP(H74,H75:H$478,1,FALSE))</f>
      </c>
      <c r="J74" s="7">
        <f t="shared" si="17"/>
      </c>
      <c r="K74" s="7">
        <f t="shared" si="18"/>
      </c>
      <c r="L74" s="7">
        <f t="shared" si="19"/>
      </c>
      <c r="M74" s="19">
        <f t="shared" si="28"/>
      </c>
      <c r="N74" s="262">
        <f t="shared" si="20"/>
      </c>
      <c r="O74" s="7"/>
      <c r="P74" s="7">
        <f t="shared" si="21"/>
      </c>
      <c r="Q74" s="7">
        <f t="shared" si="22"/>
      </c>
      <c r="R74" s="7">
        <f t="shared" si="25"/>
      </c>
      <c r="S74" s="7">
        <f t="shared" si="26"/>
      </c>
      <c r="T74" s="7">
        <f t="shared" si="27"/>
      </c>
      <c r="U74" s="7">
        <f t="shared" si="23"/>
      </c>
    </row>
    <row r="75" spans="1:21" x14ac:dyDescent="0.3">
      <c r="A75" s="7">
        <f t="shared" si="24"/>
        <v/>
      </c>
      <c r="B75" s="7">
        <f>IF(C75=1,MAX(B$2:$B74)+1,IF(F75=0,"",B74))</f>
      </c>
      <c r="C75" s="7">
        <f>COUNTIF($F$2:$F75,F75)</f>
      </c>
      <c r="D75" s="7">
        <f>IF(F75=0,0,MAX($D$2:D74)+1)</f>
      </c>
      <c r="E75" s="7">
        <f>IF(H75=0,0,MAX($E$2:E74)+1)</f>
      </c>
      <c r="F75" s="177"/>
      <c r="G75" s="119"/>
      <c r="H75" s="258"/>
      <c r="I75" s="7">
        <f>IFERROR(VLOOKUP(H75,H$2:H74,1,FALSE),VLOOKUP(H75,H76:H$478,1,FALSE))</f>
      </c>
      <c r="J75" s="7">
        <f t="shared" si="17"/>
      </c>
      <c r="K75" s="7">
        <f t="shared" si="18"/>
      </c>
      <c r="L75" s="7">
        <f t="shared" si="19"/>
      </c>
      <c r="M75" s="19">
        <f t="shared" si="28"/>
      </c>
      <c r="N75" s="262">
        <f t="shared" si="20"/>
      </c>
      <c r="O75" s="7"/>
      <c r="P75" s="7">
        <f t="shared" si="21"/>
      </c>
      <c r="Q75" s="7">
        <f t="shared" si="22"/>
      </c>
      <c r="R75" s="7">
        <f t="shared" si="25"/>
      </c>
      <c r="S75" s="7">
        <f t="shared" si="26"/>
      </c>
      <c r="T75" s="7">
        <f t="shared" si="27"/>
      </c>
      <c r="U75" s="7">
        <f t="shared" si="23"/>
      </c>
    </row>
    <row r="76" spans="1:21" x14ac:dyDescent="0.3">
      <c r="A76" s="7">
        <f t="shared" si="24"/>
        <v/>
      </c>
      <c r="B76" s="7">
        <f>IF(C76=1,MAX(B$2:$B75)+1,IF(F76=0,"",B75))</f>
      </c>
      <c r="C76" s="7">
        <f>COUNTIF($F$2:$F76,F76)</f>
      </c>
      <c r="D76" s="7">
        <f>IF(F76=0,0,MAX($D$2:D75)+1)</f>
      </c>
      <c r="E76" s="7">
        <f>IF(H76=0,0,MAX($E$2:E75)+1)</f>
      </c>
      <c r="F76" s="177"/>
      <c r="G76" s="119"/>
      <c r="H76" s="258"/>
      <c r="I76" s="7">
        <f>IFERROR(VLOOKUP(H76,H$2:H75,1,FALSE),VLOOKUP(H76,H77:H$478,1,FALSE))</f>
      </c>
      <c r="J76" s="7">
        <f t="shared" si="17"/>
      </c>
      <c r="K76" s="7">
        <f t="shared" si="18"/>
      </c>
      <c r="L76" s="7">
        <f t="shared" si="19"/>
      </c>
      <c r="M76" s="19">
        <f t="shared" si="28"/>
      </c>
      <c r="N76" s="262">
        <f t="shared" si="20"/>
      </c>
      <c r="O76" s="7"/>
      <c r="P76" s="7">
        <f t="shared" si="21"/>
      </c>
      <c r="Q76" s="7">
        <f t="shared" si="22"/>
      </c>
      <c r="R76" s="7">
        <f t="shared" si="25"/>
      </c>
      <c r="S76" s="7">
        <f t="shared" si="26"/>
      </c>
      <c r="T76" s="7">
        <f t="shared" si="27"/>
      </c>
      <c r="U76" s="7">
        <f t="shared" si="23"/>
      </c>
    </row>
    <row r="77" spans="1:21" x14ac:dyDescent="0.3">
      <c r="A77" s="7">
        <f t="shared" si="24"/>
        <v/>
      </c>
      <c r="B77" s="7">
        <f>IF(C77=1,MAX(B$2:$B76)+1,IF(F77=0,"",B76))</f>
      </c>
      <c r="C77" s="7">
        <f>COUNTIF($F$2:$F77,F77)</f>
      </c>
      <c r="D77" s="7">
        <f>IF(F77=0,0,MAX($D$2:D76)+1)</f>
      </c>
      <c r="E77" s="7">
        <f>IF(H77=0,0,MAX($E$2:E76)+1)</f>
      </c>
      <c r="F77" s="177"/>
      <c r="G77" s="119"/>
      <c r="H77" s="258"/>
      <c r="I77" s="7">
        <f>IFERROR(VLOOKUP(H77,H$2:H76,1,FALSE),VLOOKUP(H77,H78:H$478,1,FALSE))</f>
      </c>
      <c r="J77" s="7">
        <f t="shared" si="17"/>
      </c>
      <c r="K77" s="7">
        <f t="shared" si="18"/>
      </c>
      <c r="L77" s="7">
        <f t="shared" si="19"/>
      </c>
      <c r="M77" s="19">
        <f t="shared" si="28"/>
      </c>
      <c r="N77" s="262">
        <f t="shared" si="20"/>
      </c>
      <c r="O77" s="7"/>
      <c r="P77" s="7">
        <f t="shared" si="21"/>
      </c>
      <c r="Q77" s="7">
        <f t="shared" si="22"/>
      </c>
      <c r="R77" s="7">
        <f t="shared" si="25"/>
      </c>
      <c r="S77" s="7">
        <f t="shared" si="26"/>
      </c>
      <c r="T77" s="7">
        <f t="shared" si="27"/>
      </c>
      <c r="U77" s="7">
        <f t="shared" si="23"/>
      </c>
    </row>
    <row r="78" spans="1:21" x14ac:dyDescent="0.3">
      <c r="A78" s="7">
        <f t="shared" si="24"/>
        <v/>
      </c>
      <c r="B78" s="7">
        <f>IF(C78=1,MAX(B$2:$B77)+1,IF(F78=0,"",B77))</f>
      </c>
      <c r="C78" s="7">
        <f>COUNTIF($F$2:$F78,F78)</f>
      </c>
      <c r="D78" s="7">
        <f>IF(F78=0,0,MAX($D$2:D77)+1)</f>
      </c>
      <c r="E78" s="7">
        <f>IF(H78=0,0,MAX($E$2:E77)+1)</f>
      </c>
      <c r="F78" s="177"/>
      <c r="G78" s="119"/>
      <c r="H78" s="259"/>
      <c r="I78" s="7">
        <f>IFERROR(VLOOKUP(H78,H$2:H77,1,FALSE),VLOOKUP(H78,H79:H$478,1,FALSE))</f>
      </c>
      <c r="J78" s="7">
        <f t="shared" si="17"/>
      </c>
      <c r="K78" s="7">
        <f t="shared" si="18"/>
      </c>
      <c r="L78" s="7">
        <f t="shared" si="19"/>
      </c>
      <c r="M78" s="19">
        <f t="shared" si="28"/>
      </c>
      <c r="N78" s="263">
        <f t="shared" si="20"/>
      </c>
      <c r="O78" s="7"/>
      <c r="P78" s="7">
        <f t="shared" si="21"/>
      </c>
      <c r="Q78" s="7">
        <f t="shared" si="22"/>
      </c>
      <c r="R78" s="7">
        <f t="shared" si="25"/>
      </c>
      <c r="S78" s="7">
        <f t="shared" si="26"/>
      </c>
      <c r="T78" s="7">
        <f t="shared" si="27"/>
      </c>
      <c r="U78" s="7">
        <f t="shared" si="23"/>
      </c>
    </row>
    <row r="79" spans="1:21" x14ac:dyDescent="0.3">
      <c r="A79" s="7">
        <f t="shared" si="24"/>
        <v/>
      </c>
      <c r="B79" s="7">
        <f>IF(C79=1,MAX(B$2:$B78)+1,IF(F79=0,"",B78))</f>
      </c>
      <c r="C79" s="7">
        <f>COUNTIF($F$2:$F79,F79)</f>
      </c>
      <c r="D79" s="7">
        <f>IF(F79=0,0,MAX($D$2:D78)+1)</f>
      </c>
      <c r="E79" s="7">
        <f>IF(H79=0,0,MAX($E$2:E78)+1)</f>
      </c>
      <c r="F79" s="177"/>
      <c r="G79" s="119"/>
      <c r="H79" s="119"/>
      <c r="I79" s="7">
        <f>IFERROR(VLOOKUP(H79,H$2:H78,1,FALSE),VLOOKUP(H79,H80:H$478,1,FALSE))</f>
      </c>
      <c r="J79" s="7">
        <f t="shared" si="17"/>
        <v/>
      </c>
      <c r="K79" s="7">
        <f t="shared" si="18"/>
        <v/>
      </c>
      <c r="L79" s="7">
        <f t="shared" si="19"/>
        <v/>
      </c>
      <c r="M79" s="19">
        <f t="shared" si="28"/>
        <v/>
      </c>
      <c r="N79" s="7">
        <f t="shared" si="20"/>
        <v/>
      </c>
      <c r="O79" s="7"/>
      <c r="P79" s="7">
        <f t="shared" si="21"/>
        <v/>
      </c>
      <c r="Q79" s="7">
        <f t="shared" si="22"/>
        <v/>
      </c>
      <c r="R79" s="7">
        <f t="shared" si="25"/>
      </c>
      <c r="S79" s="7">
        <f t="shared" si="26"/>
      </c>
      <c r="T79" s="7">
        <f t="shared" si="27"/>
      </c>
      <c r="U79" s="7">
        <f t="shared" si="23"/>
        <v/>
      </c>
    </row>
    <row r="80" spans="1:21" x14ac:dyDescent="0.3">
      <c r="A80" s="7">
        <f t="shared" si="24"/>
        <v/>
      </c>
      <c r="B80" s="7">
        <f>IF(C80=1,MAX(B$2:$B79)+1,IF(F80=0,"",B79))</f>
      </c>
      <c r="C80" s="7">
        <f>COUNTIF($F$2:$F80,F80)</f>
      </c>
      <c r="D80" s="7">
        <f>IF(F80=0,0,MAX($D$2:D79)+1)</f>
      </c>
      <c r="E80" s="7">
        <f>IF(H80=0,0,MAX($E$2:E79)+1)</f>
      </c>
      <c r="F80" s="177"/>
      <c r="G80" s="119"/>
      <c r="H80" s="119"/>
      <c r="I80" s="7">
        <f>IFERROR(VLOOKUP(H80,H$2:H79,1,FALSE),VLOOKUP(H80,H81:H$478,1,FALSE))</f>
      </c>
      <c r="J80" s="7">
        <f t="shared" si="17"/>
        <v/>
      </c>
      <c r="K80" s="7">
        <f t="shared" si="18"/>
        <v/>
      </c>
      <c r="L80" s="7">
        <f t="shared" si="19"/>
        <v/>
      </c>
      <c r="M80" s="19">
        <f t="shared" si="28"/>
        <v/>
      </c>
      <c r="N80" s="7">
        <f t="shared" si="20"/>
        <v/>
      </c>
      <c r="O80" s="7"/>
      <c r="P80" s="7">
        <f t="shared" si="21"/>
        <v/>
      </c>
      <c r="Q80" s="7">
        <f t="shared" si="22"/>
        <v/>
      </c>
      <c r="R80" s="7">
        <f t="shared" si="25"/>
      </c>
      <c r="S80" s="7">
        <f t="shared" si="26"/>
      </c>
      <c r="T80" s="7">
        <f t="shared" si="27"/>
      </c>
      <c r="U80" s="7">
        <f t="shared" si="23"/>
        <v/>
      </c>
    </row>
    <row r="81" spans="1:21" x14ac:dyDescent="0.3">
      <c r="A81" s="7">
        <f t="shared" si="24"/>
        <v/>
      </c>
      <c r="B81" s="7">
        <f>IF(C81=1,MAX(B$2:$B80)+1,IF(F81=0,"",B80))</f>
      </c>
      <c r="C81" s="7">
        <f>COUNTIF($F$2:$F81,F81)</f>
      </c>
      <c r="D81" s="7">
        <f>IF(F81=0,0,MAX($D$2:D80)+1)</f>
      </c>
      <c r="E81" s="7">
        <f>IF(H81=0,0,MAX($E$2:E80)+1)</f>
      </c>
      <c r="F81" s="177"/>
      <c r="G81" s="119"/>
      <c r="H81" s="119"/>
      <c r="I81" s="7">
        <f>IFERROR(VLOOKUP(H81,H$2:H80,1,FALSE),VLOOKUP(H81,H82:H$478,1,FALSE))</f>
      </c>
      <c r="J81" s="7">
        <f t="shared" si="17"/>
        <v/>
      </c>
      <c r="K81" s="7">
        <f t="shared" si="18"/>
        <v/>
      </c>
      <c r="L81" s="7">
        <f t="shared" si="19"/>
        <v/>
      </c>
      <c r="M81" s="19">
        <f t="shared" si="28"/>
        <v/>
      </c>
      <c r="N81" s="7">
        <f t="shared" si="20"/>
        <v/>
      </c>
      <c r="O81" s="7"/>
      <c r="P81" s="7">
        <f t="shared" si="21"/>
        <v/>
      </c>
      <c r="Q81" s="7">
        <f t="shared" si="22"/>
        <v/>
      </c>
      <c r="R81" s="7">
        <f t="shared" si="25"/>
      </c>
      <c r="S81" s="7">
        <f t="shared" si="26"/>
      </c>
      <c r="T81" s="7">
        <f t="shared" si="27"/>
      </c>
      <c r="U81" s="7">
        <f t="shared" si="23"/>
        <v/>
      </c>
    </row>
    <row r="82" spans="1:21" x14ac:dyDescent="0.3">
      <c r="A82" s="7">
        <f t="shared" si="24"/>
        <v/>
      </c>
      <c r="B82" s="7">
        <f>IF(C82=1,MAX(B$2:$B81)+1,IF(F82=0,"",B81))</f>
      </c>
      <c r="C82" s="7">
        <f>COUNTIF($F$2:$F82,F82)</f>
      </c>
      <c r="D82" s="7">
        <f>IF(F82=0,0,MAX($D$2:D81)+1)</f>
      </c>
      <c r="E82" s="7">
        <f>IF(H82=0,0,MAX($E$2:E81)+1)</f>
      </c>
      <c r="F82" s="177"/>
      <c r="G82" s="119"/>
      <c r="H82" s="119"/>
      <c r="I82" s="7">
        <f>IFERROR(VLOOKUP(H82,H$2:H81,1,FALSE),VLOOKUP(H82,H83:H$478,1,FALSE))</f>
      </c>
      <c r="J82" s="7">
        <f t="shared" si="17"/>
        <v/>
      </c>
      <c r="K82" s="7">
        <f t="shared" si="18"/>
        <v/>
      </c>
      <c r="L82" s="7">
        <f t="shared" si="19"/>
        <v/>
      </c>
      <c r="M82" s="19">
        <f t="shared" si="28"/>
        <v/>
      </c>
      <c r="N82" s="7">
        <f t="shared" si="20"/>
        <v/>
      </c>
      <c r="O82" s="7"/>
      <c r="P82" s="7">
        <f t="shared" si="21"/>
        <v/>
      </c>
      <c r="Q82" s="7">
        <f t="shared" si="22"/>
        <v/>
      </c>
      <c r="R82" s="7">
        <f t="shared" si="25"/>
      </c>
      <c r="S82" s="7">
        <f t="shared" si="26"/>
      </c>
      <c r="T82" s="7">
        <f t="shared" si="27"/>
      </c>
      <c r="U82" s="7">
        <f t="shared" si="23"/>
        <v/>
      </c>
    </row>
    <row r="83" spans="1:21" x14ac:dyDescent="0.3">
      <c r="A83" s="7">
        <f t="shared" si="24"/>
        <v/>
      </c>
      <c r="B83" s="7">
        <f>IF(C83=1,MAX(B$2:$B82)+1,IF(F83=0,"",B82))</f>
      </c>
      <c r="C83" s="7">
        <f>COUNTIF($F$2:$F83,F83)</f>
      </c>
      <c r="D83" s="7">
        <f>IF(F83=0,0,MAX($D$2:D82)+1)</f>
      </c>
      <c r="E83" s="7">
        <f>IF(H83=0,0,MAX($E$2:E82)+1)</f>
      </c>
      <c r="F83" s="177"/>
      <c r="G83" s="119"/>
      <c r="H83" s="119"/>
      <c r="I83" s="7">
        <f>IFERROR(VLOOKUP(H83,H$2:H82,1,FALSE),VLOOKUP(H83,H84:H$478,1,FALSE))</f>
      </c>
      <c r="J83" s="7">
        <f t="shared" si="17"/>
        <v/>
      </c>
      <c r="K83" s="7">
        <f t="shared" si="18"/>
        <v/>
      </c>
      <c r="L83" s="7">
        <f t="shared" si="19"/>
        <v/>
      </c>
      <c r="M83" s="19">
        <f t="shared" si="28"/>
        <v/>
      </c>
      <c r="N83" s="7">
        <f t="shared" si="20"/>
        <v/>
      </c>
      <c r="O83" s="7"/>
      <c r="P83" s="7">
        <f t="shared" si="21"/>
        <v/>
      </c>
      <c r="Q83" s="7">
        <f t="shared" si="22"/>
        <v/>
      </c>
      <c r="R83" s="7">
        <f t="shared" si="25"/>
      </c>
      <c r="S83" s="7">
        <f t="shared" si="26"/>
      </c>
      <c r="T83" s="7">
        <f t="shared" si="27"/>
      </c>
      <c r="U83" s="7">
        <f t="shared" si="23"/>
        <v/>
      </c>
    </row>
    <row r="84" spans="1:21" x14ac:dyDescent="0.3">
      <c r="A84" s="7">
        <f t="shared" si="24"/>
        <v/>
      </c>
      <c r="B84" s="7">
        <f>IF(C84=1,MAX(B$2:$B83)+1,IF(F84=0,"",B83))</f>
      </c>
      <c r="C84" s="7">
        <f>COUNTIF($F$2:$F84,F84)</f>
      </c>
      <c r="D84" s="7">
        <f>IF(F84=0,0,MAX($D$2:D83)+1)</f>
      </c>
      <c r="E84" s="7">
        <f>IF(H84=0,0,MAX($E$2:E83)+1)</f>
      </c>
      <c r="F84" s="177"/>
      <c r="G84" s="119"/>
      <c r="H84" s="119"/>
      <c r="I84" s="7">
        <f>IFERROR(VLOOKUP(H84,H$2:H83,1,FALSE),VLOOKUP(H84,H85:H$478,1,FALSE))</f>
      </c>
      <c r="J84" s="7">
        <f t="shared" si="17"/>
        <v/>
      </c>
      <c r="K84" s="7">
        <f t="shared" si="18"/>
        <v/>
      </c>
      <c r="L84" s="7">
        <f t="shared" si="19"/>
        <v/>
      </c>
      <c r="M84" s="19">
        <f t="shared" si="28"/>
        <v/>
      </c>
      <c r="N84" s="7">
        <f t="shared" si="20"/>
        <v/>
      </c>
      <c r="O84" s="7"/>
      <c r="P84" s="7">
        <f t="shared" si="21"/>
        <v/>
      </c>
      <c r="Q84" s="7">
        <f t="shared" si="22"/>
        <v/>
      </c>
      <c r="R84" s="7">
        <f t="shared" si="25"/>
      </c>
      <c r="S84" s="7">
        <f t="shared" si="26"/>
      </c>
      <c r="T84" s="7">
        <f t="shared" si="27"/>
      </c>
      <c r="U84" s="7">
        <f t="shared" si="23"/>
        <v/>
      </c>
    </row>
    <row r="85" spans="1:21" x14ac:dyDescent="0.3">
      <c r="A85" s="7">
        <f t="shared" si="24"/>
        <v/>
      </c>
      <c r="B85" s="7">
        <f>IF(C85=1,MAX(B$2:$B84)+1,IF(F85=0,"",B84))</f>
      </c>
      <c r="C85" s="7">
        <f>COUNTIF($F$2:$F85,F85)</f>
      </c>
      <c r="D85" s="7">
        <f>IF(F85=0,0,MAX($D$2:D84)+1)</f>
      </c>
      <c r="E85" s="7">
        <f>IF(H85=0,0,MAX($E$2:E84)+1)</f>
      </c>
      <c r="F85" s="177"/>
      <c r="G85" s="119"/>
      <c r="H85" s="119"/>
      <c r="I85" s="7">
        <f>IFERROR(VLOOKUP(H85,H$2:H84,1,FALSE),VLOOKUP(H85,H86:H$478,1,FALSE))</f>
      </c>
      <c r="J85" s="7">
        <f t="shared" si="17"/>
        <v/>
      </c>
      <c r="K85" s="7">
        <f t="shared" si="18"/>
        <v/>
      </c>
      <c r="L85" s="7">
        <f t="shared" si="19"/>
        <v/>
      </c>
      <c r="M85" s="19">
        <f t="shared" si="28"/>
        <v/>
      </c>
      <c r="N85" s="7">
        <f t="shared" si="20"/>
        <v/>
      </c>
      <c r="O85" s="7"/>
      <c r="P85" s="7">
        <f t="shared" si="21"/>
        <v/>
      </c>
      <c r="Q85" s="7">
        <f t="shared" si="22"/>
        <v/>
      </c>
      <c r="R85" s="7">
        <f t="shared" si="25"/>
      </c>
      <c r="S85" s="7">
        <f t="shared" si="26"/>
      </c>
      <c r="T85" s="7">
        <f t="shared" si="27"/>
      </c>
      <c r="U85" s="7">
        <f t="shared" si="23"/>
        <v/>
      </c>
    </row>
    <row r="86" spans="1:21" x14ac:dyDescent="0.3">
      <c r="A86" s="7">
        <f t="shared" si="24"/>
        <v/>
      </c>
      <c r="B86" s="7">
        <f>IF(C86=1,MAX(B$2:$B85)+1,IF(F86=0,"",B85))</f>
      </c>
      <c r="C86" s="7">
        <f>COUNTIF($F$2:$F86,F86)</f>
      </c>
      <c r="D86" s="7">
        <f>IF(F86=0,0,MAX($D$2:D85)+1)</f>
      </c>
      <c r="E86" s="7">
        <f>IF(H86=0,0,MAX($E$2:E85)+1)</f>
      </c>
      <c r="F86" s="177"/>
      <c r="G86" s="119"/>
      <c r="H86" s="119"/>
      <c r="I86" s="7">
        <f>IFERROR(VLOOKUP(H86,H$2:H85,1,FALSE),VLOOKUP(H86,H87:H$478,1,FALSE))</f>
      </c>
      <c r="J86" s="7">
        <f t="shared" si="17"/>
        <v/>
      </c>
      <c r="K86" s="7">
        <f t="shared" si="18"/>
        <v/>
      </c>
      <c r="L86" s="7">
        <f t="shared" si="19"/>
        <v/>
      </c>
      <c r="M86" s="19">
        <f t="shared" si="28"/>
        <v/>
      </c>
      <c r="N86" s="7">
        <f t="shared" si="20"/>
        <v/>
      </c>
      <c r="O86" s="7"/>
      <c r="P86" s="7">
        <f t="shared" si="21"/>
        <v/>
      </c>
      <c r="Q86" s="7">
        <f t="shared" si="22"/>
        <v/>
      </c>
      <c r="R86" s="7">
        <f t="shared" si="25"/>
      </c>
      <c r="S86" s="7">
        <f t="shared" si="26"/>
      </c>
      <c r="T86" s="7">
        <f t="shared" si="27"/>
      </c>
      <c r="U86" s="7">
        <f t="shared" si="23"/>
        <v/>
      </c>
    </row>
    <row r="87" spans="1:21" s="8" customFormat="1" ht="15" thickBot="1" x14ac:dyDescent="0.35">
      <c r="A87" s="7">
        <f t="shared" si="24"/>
        <v/>
      </c>
      <c r="B87" s="7">
        <f>IF(C87=1,MAX(B$2:$B86)+1,IF(F87=0,"",B86))</f>
      </c>
      <c r="C87" s="7">
        <f>COUNTIF($F$2:$F87,F87)</f>
      </c>
      <c r="D87" s="7">
        <f>IF(F87=0,0,MAX($D$2:D86)+1)</f>
      </c>
      <c r="E87" s="7">
        <f>IF(H87=0,0,MAX($E$2:E86)+1)</f>
      </c>
      <c r="F87" s="175"/>
      <c r="G87" s="175"/>
      <c r="H87" s="119"/>
      <c r="I87" s="47">
        <f>IFERROR(VLOOKUP(H87,H$2:H86,1,FALSE),VLOOKUP(H87,H88:H$478,1,FALSE))</f>
      </c>
      <c r="J87" s="47">
        <f t="shared" si="17"/>
        <v/>
      </c>
      <c r="K87" s="47">
        <f t="shared" si="18"/>
        <v/>
      </c>
      <c r="L87" s="47">
        <f t="shared" si="19"/>
        <v/>
      </c>
      <c r="M87" s="52">
        <f t="shared" si="28"/>
        <v/>
      </c>
      <c r="N87" s="47">
        <f t="shared" si="20"/>
        <v/>
      </c>
      <c r="O87" s="47"/>
      <c r="P87" s="47">
        <f t="shared" si="21"/>
        <v/>
      </c>
      <c r="Q87" s="47">
        <f t="shared" si="22"/>
        <v/>
      </c>
      <c r="R87" s="47">
        <f t="shared" si="25"/>
      </c>
      <c r="S87" s="47">
        <f t="shared" si="26"/>
      </c>
      <c r="T87" s="47">
        <f t="shared" si="27"/>
      </c>
      <c r="U87" s="47">
        <f t="shared" si="23"/>
        <v/>
      </c>
    </row>
    <row r="88" spans="1:21" x14ac:dyDescent="0.3">
      <c r="A88" s="7">
        <f t="shared" si="24"/>
        <v/>
      </c>
      <c r="B88" s="7">
        <f>IF(C88=1,MAX(B$2:$B87)+1,IF(F88=0,"",B87))</f>
      </c>
      <c r="C88" s="7">
        <f>COUNTIF($F$2:$F88,F88)</f>
      </c>
      <c r="D88" s="7">
        <f>IF(F88=0,0,MAX($D$2:D87)+1)</f>
      </c>
      <c r="E88" s="7">
        <f>IF(H88=0,0,MAX($E$2:E87)+1)</f>
      </c>
      <c r="F88" s="177"/>
      <c r="G88" s="177"/>
      <c r="H88" s="119"/>
      <c r="I88" s="7">
        <f>IFERROR(VLOOKUP(H88,H$2:H87,1,FALSE),VLOOKUP(H88,H89:H$478,1,FALSE))</f>
      </c>
      <c r="J88" s="7">
        <f t="shared" si="17"/>
        <v/>
      </c>
      <c r="K88" s="7">
        <f t="shared" si="18"/>
        <v/>
      </c>
      <c r="L88" s="7">
        <f t="shared" si="19"/>
        <v/>
      </c>
      <c r="M88" s="19">
        <f t="shared" si="28"/>
        <v/>
      </c>
      <c r="N88" s="7">
        <f t="shared" si="20"/>
        <v/>
      </c>
      <c r="O88" s="7"/>
      <c r="P88" s="7">
        <f t="shared" si="21"/>
        <v/>
      </c>
      <c r="Q88" s="7">
        <f t="shared" si="22"/>
        <v/>
      </c>
      <c r="R88" s="7">
        <f t="shared" si="25"/>
      </c>
      <c r="S88" s="7">
        <f t="shared" si="26"/>
      </c>
      <c r="T88" s="7">
        <f t="shared" si="27"/>
      </c>
      <c r="U88" s="7">
        <f t="shared" si="23"/>
        <v/>
      </c>
    </row>
    <row r="89" spans="1:21" x14ac:dyDescent="0.3">
      <c r="A89" s="7">
        <f t="shared" si="24"/>
        <v/>
      </c>
      <c r="B89" s="7">
        <f>IF(C89=1,MAX(B$2:$B88)+1,IF(F89=0,"",B88))</f>
      </c>
      <c r="C89" s="7">
        <f>COUNTIF($F$2:$F89,F89)</f>
      </c>
      <c r="D89" s="7">
        <f>IF(F89=0,0,MAX($D$2:D88)+1)</f>
      </c>
      <c r="E89" s="7">
        <f>IF(H89=0,0,MAX($E$2:E88)+1)</f>
      </c>
      <c r="F89" s="177"/>
      <c r="G89" s="119"/>
      <c r="H89" s="119"/>
      <c r="I89" s="7">
        <f>IFERROR(VLOOKUP(H89,H$2:H88,1,FALSE),VLOOKUP(H89,H90:H$478,1,FALSE))</f>
      </c>
      <c r="J89" s="7">
        <f t="shared" si="17"/>
        <v/>
      </c>
      <c r="K89" s="7">
        <f t="shared" si="18"/>
        <v/>
      </c>
      <c r="L89" s="7">
        <f t="shared" si="19"/>
        <v/>
      </c>
      <c r="M89" s="19">
        <f t="shared" si="28"/>
        <v/>
      </c>
      <c r="N89" s="7">
        <f t="shared" si="20"/>
        <v/>
      </c>
      <c r="O89" s="7"/>
      <c r="P89" s="7">
        <f t="shared" si="21"/>
        <v/>
      </c>
      <c r="Q89" s="7">
        <f t="shared" si="22"/>
        <v/>
      </c>
      <c r="R89" s="7">
        <f t="shared" si="25"/>
      </c>
      <c r="S89" s="7">
        <f t="shared" si="26"/>
      </c>
      <c r="T89" s="7">
        <f t="shared" si="27"/>
      </c>
      <c r="U89" s="7">
        <f t="shared" si="23"/>
        <v/>
      </c>
    </row>
    <row r="90" spans="1:21" x14ac:dyDescent="0.3">
      <c r="A90" s="7">
        <f t="shared" si="24"/>
        <v/>
      </c>
      <c r="B90" s="7">
        <f>IF(C90=1,MAX(B$2:$B89)+1,IF(F90=0,"",B89))</f>
      </c>
      <c r="C90" s="7">
        <f>COUNTIF($F$2:$F90,F90)</f>
      </c>
      <c r="D90" s="7">
        <f>IF(F90=0,0,MAX($D$2:D89)+1)</f>
      </c>
      <c r="E90" s="7">
        <f>IF(H90=0,0,MAX($E$2:E89)+1)</f>
      </c>
      <c r="F90" s="177"/>
      <c r="G90" s="119"/>
      <c r="H90" s="119"/>
      <c r="I90" s="7">
        <f>IFERROR(VLOOKUP(H90,H$2:H89,1,FALSE),VLOOKUP(H90,H91:H$478,1,FALSE))</f>
      </c>
      <c r="J90" s="7">
        <f t="shared" si="17"/>
        <v/>
      </c>
      <c r="K90" s="7">
        <f t="shared" si="18"/>
        <v/>
      </c>
      <c r="L90" s="7">
        <f t="shared" si="19"/>
        <v/>
      </c>
      <c r="M90" s="19">
        <f t="shared" si="28"/>
        <v/>
      </c>
      <c r="N90" s="7">
        <f t="shared" si="20"/>
        <v/>
      </c>
      <c r="O90" s="7"/>
      <c r="P90" s="7">
        <f t="shared" si="21"/>
        <v/>
      </c>
      <c r="Q90" s="7">
        <f t="shared" si="22"/>
        <v/>
      </c>
      <c r="R90" s="7">
        <f t="shared" si="25"/>
      </c>
      <c r="S90" s="7">
        <f t="shared" si="26"/>
      </c>
      <c r="T90" s="7">
        <f t="shared" si="27"/>
      </c>
      <c r="U90" s="7">
        <f t="shared" si="23"/>
        <v/>
      </c>
    </row>
    <row r="91" spans="1:21" x14ac:dyDescent="0.3">
      <c r="A91" s="7">
        <f t="shared" si="24"/>
        <v/>
      </c>
      <c r="B91" s="7">
        <f>IF(C91=1,MAX(B$2:$B90)+1,IF(F91=0,"",B90))</f>
      </c>
      <c r="C91" s="7">
        <f>COUNTIF($F$2:$F91,F91)</f>
      </c>
      <c r="D91" s="7">
        <f>IF(F91=0,0,MAX($D$2:D90)+1)</f>
      </c>
      <c r="E91" s="7">
        <f>IF(H91=0,0,MAX($E$2:E90)+1)</f>
      </c>
      <c r="F91" s="177"/>
      <c r="G91" s="119"/>
      <c r="H91" s="119"/>
      <c r="I91" s="7">
        <f>IFERROR(VLOOKUP(H91,H$2:H90,1,FALSE),VLOOKUP(H91,H92:H$478,1,FALSE))</f>
      </c>
      <c r="J91" s="7">
        <f t="shared" si="17"/>
        <v/>
      </c>
      <c r="K91" s="7">
        <f t="shared" si="18"/>
        <v/>
      </c>
      <c r="L91" s="7">
        <f t="shared" si="19"/>
        <v/>
      </c>
      <c r="M91" s="19">
        <f t="shared" si="28"/>
        <v/>
      </c>
      <c r="N91" s="7">
        <f t="shared" si="20"/>
        <v/>
      </c>
      <c r="O91" s="7"/>
      <c r="P91" s="7">
        <f t="shared" si="21"/>
        <v/>
      </c>
      <c r="Q91" s="7">
        <f t="shared" si="22"/>
        <v/>
      </c>
      <c r="R91" s="7">
        <f t="shared" si="25"/>
      </c>
      <c r="S91" s="7">
        <f t="shared" si="26"/>
      </c>
      <c r="T91" s="7">
        <f t="shared" si="27"/>
      </c>
      <c r="U91" s="7">
        <f t="shared" si="23"/>
        <v/>
      </c>
    </row>
    <row r="92" spans="1:21" x14ac:dyDescent="0.3">
      <c r="A92" s="7">
        <f t="shared" si="24"/>
        <v/>
      </c>
      <c r="B92" s="7">
        <f>IF(C92=1,MAX(B$2:$B91)+1,IF(F92=0,"",B91))</f>
      </c>
      <c r="C92" s="7">
        <f>COUNTIF($F$2:$F92,F92)</f>
      </c>
      <c r="D92" s="7">
        <f>IF(F92=0,0,MAX($D$2:D91)+1)</f>
      </c>
      <c r="E92" s="7">
        <f>IF(H92=0,0,MAX($E$2:E91)+1)</f>
      </c>
      <c r="F92" s="177"/>
      <c r="G92" s="119"/>
      <c r="H92" s="119"/>
      <c r="I92" s="7">
        <f>IFERROR(VLOOKUP(H92,H$2:H91,1,FALSE),VLOOKUP(H92,H93:H$478,1,FALSE))</f>
      </c>
      <c r="J92" s="7">
        <f t="shared" si="17"/>
        <v/>
      </c>
      <c r="K92" s="7">
        <f t="shared" si="18"/>
        <v/>
      </c>
      <c r="L92" s="7">
        <f t="shared" si="19"/>
        <v/>
      </c>
      <c r="M92" s="19">
        <f t="shared" si="28"/>
        <v/>
      </c>
      <c r="N92" s="7">
        <f t="shared" si="20"/>
        <v/>
      </c>
      <c r="O92" s="7"/>
      <c r="P92" s="7">
        <f t="shared" si="21"/>
        <v/>
      </c>
      <c r="Q92" s="7">
        <f t="shared" si="22"/>
        <v/>
      </c>
      <c r="R92" s="7">
        <f t="shared" si="25"/>
      </c>
      <c r="S92" s="7">
        <f t="shared" si="26"/>
      </c>
      <c r="T92" s="7">
        <f t="shared" si="27"/>
      </c>
      <c r="U92" s="7">
        <f t="shared" si="23"/>
        <v/>
      </c>
    </row>
    <row r="93" spans="1:21" x14ac:dyDescent="0.3">
      <c r="A93" s="7">
        <f t="shared" si="24"/>
        <v/>
      </c>
      <c r="B93" s="7">
        <f>IF(C93=1,MAX(B$2:$B92)+1,IF(F93=0,"",B92))</f>
      </c>
      <c r="C93" s="7">
        <f>COUNTIF($F$2:$F93,F93)</f>
      </c>
      <c r="D93" s="7">
        <f>IF(F93=0,0,MAX($D$2:D92)+1)</f>
      </c>
      <c r="E93" s="7">
        <f>IF(H93=0,0,MAX($E$2:E92)+1)</f>
      </c>
      <c r="F93" s="177"/>
      <c r="G93" s="119"/>
      <c r="H93" s="119"/>
      <c r="I93" s="7">
        <f>IFERROR(VLOOKUP(H93,H$2:H92,1,FALSE),VLOOKUP(H93,H94:H$478,1,FALSE))</f>
      </c>
      <c r="J93" s="7">
        <f t="shared" si="17"/>
        <v/>
      </c>
      <c r="K93" s="7">
        <f t="shared" si="18"/>
        <v/>
      </c>
      <c r="L93" s="7">
        <f t="shared" si="19"/>
        <v/>
      </c>
      <c r="M93" s="19">
        <f t="shared" si="28"/>
        <v/>
      </c>
      <c r="N93" s="7">
        <f t="shared" si="20"/>
        <v/>
      </c>
      <c r="O93" s="7"/>
      <c r="P93" s="7">
        <f t="shared" si="21"/>
        <v/>
      </c>
      <c r="Q93" s="7">
        <f t="shared" si="22"/>
        <v/>
      </c>
      <c r="R93" s="7">
        <f t="shared" si="25"/>
      </c>
      <c r="S93" s="7">
        <f t="shared" si="26"/>
      </c>
      <c r="T93" s="7">
        <f t="shared" si="27"/>
      </c>
      <c r="U93" s="7">
        <f t="shared" si="23"/>
        <v/>
      </c>
    </row>
    <row r="94" spans="1:21" x14ac:dyDescent="0.3">
      <c r="A94" s="7">
        <f t="shared" si="24"/>
        <v/>
      </c>
      <c r="B94" s="7">
        <f>IF(C94=1,MAX(B$2:$B93)+1,IF(F94=0,"",B93))</f>
      </c>
      <c r="C94" s="7">
        <f>COUNTIF($F$2:$F94,F94)</f>
      </c>
      <c r="D94" s="7">
        <f>IF(F94=0,0,MAX($D$2:D93)+1)</f>
      </c>
      <c r="E94" s="7">
        <f>IF(H94=0,0,MAX($E$2:E93)+1)</f>
      </c>
      <c r="F94" s="177"/>
      <c r="G94" s="119"/>
      <c r="H94" s="119"/>
      <c r="I94" s="7">
        <f>IFERROR(VLOOKUP(H94,H$2:H93,1,FALSE),VLOOKUP(H94,H95:H$478,1,FALSE))</f>
      </c>
      <c r="J94" s="7">
        <f t="shared" si="17"/>
        <v/>
      </c>
      <c r="K94" s="7">
        <f t="shared" si="18"/>
        <v/>
      </c>
      <c r="L94" s="7">
        <f t="shared" si="19"/>
        <v/>
      </c>
      <c r="M94" s="19">
        <f t="shared" si="28"/>
        <v/>
      </c>
      <c r="N94" s="7">
        <f t="shared" si="20"/>
        <v/>
      </c>
      <c r="O94" s="7"/>
      <c r="P94" s="7">
        <f t="shared" si="21"/>
        <v/>
      </c>
      <c r="Q94" s="7">
        <f t="shared" si="22"/>
        <v/>
      </c>
      <c r="R94" s="7">
        <f t="shared" si="25"/>
      </c>
      <c r="S94" s="7">
        <f t="shared" si="26"/>
      </c>
      <c r="T94" s="7">
        <f t="shared" si="27"/>
      </c>
      <c r="U94" s="7">
        <f t="shared" si="23"/>
        <v/>
      </c>
    </row>
    <row r="95" spans="1:21" x14ac:dyDescent="0.3">
      <c r="A95" s="7">
        <f t="shared" si="24"/>
        <v/>
      </c>
      <c r="B95" s="7">
        <f>IF(C95=1,MAX(B$2:$B94)+1,IF(F95=0,"",B94))</f>
      </c>
      <c r="C95" s="7">
        <f>COUNTIF($F$2:$F95,F95)</f>
      </c>
      <c r="D95" s="7">
        <f>IF(F95=0,0,MAX($D$2:D94)+1)</f>
      </c>
      <c r="E95" s="7">
        <f>IF(H95=0,0,MAX($E$2:E94)+1)</f>
      </c>
      <c r="F95" s="177"/>
      <c r="G95" s="119"/>
      <c r="H95" s="119"/>
      <c r="I95" s="7">
        <f>IFERROR(VLOOKUP(H95,H$2:H94,1,FALSE),VLOOKUP(H95,H96:H$478,1,FALSE))</f>
      </c>
      <c r="J95" s="7">
        <f t="shared" si="17"/>
        <v/>
      </c>
      <c r="K95" s="7">
        <f t="shared" si="18"/>
        <v/>
      </c>
      <c r="L95" s="7">
        <f t="shared" si="19"/>
        <v/>
      </c>
      <c r="M95" s="19">
        <f t="shared" si="28"/>
        <v/>
      </c>
      <c r="N95" s="7">
        <f t="shared" si="20"/>
        <v/>
      </c>
      <c r="O95" s="7"/>
      <c r="P95" s="7">
        <f t="shared" si="21"/>
        <v/>
      </c>
      <c r="Q95" s="7">
        <f t="shared" si="22"/>
        <v/>
      </c>
      <c r="R95" s="7">
        <f t="shared" si="25"/>
      </c>
      <c r="S95" s="7">
        <f t="shared" si="26"/>
      </c>
      <c r="T95" s="7">
        <f t="shared" si="27"/>
      </c>
      <c r="U95" s="7">
        <f t="shared" si="23"/>
        <v/>
      </c>
    </row>
    <row r="96" spans="1:21" x14ac:dyDescent="0.3">
      <c r="A96" s="7">
        <f t="shared" si="24"/>
        <v/>
      </c>
      <c r="B96" s="7">
        <f>IF(C96=1,MAX(B$2:$B95)+1,IF(F96=0,"",B95))</f>
      </c>
      <c r="C96" s="7">
        <f>COUNTIF($F$2:$F96,F96)</f>
      </c>
      <c r="D96" s="7">
        <f>IF(F96=0,0,MAX($D$2:D95)+1)</f>
      </c>
      <c r="E96" s="7">
        <f>IF(H96=0,0,MAX($E$2:E95)+1)</f>
      </c>
      <c r="F96" s="177"/>
      <c r="G96" s="119"/>
      <c r="H96" s="119"/>
      <c r="I96" s="7">
        <f>IFERROR(VLOOKUP(H96,H$2:H95,1,FALSE),VLOOKUP(H96,H97:H$478,1,FALSE))</f>
      </c>
      <c r="J96" s="7">
        <f t="shared" si="17"/>
        <v/>
      </c>
      <c r="K96" s="7">
        <f t="shared" si="18"/>
        <v/>
      </c>
      <c r="L96" s="7">
        <f t="shared" si="19"/>
        <v/>
      </c>
      <c r="M96" s="19">
        <f t="shared" si="28"/>
        <v/>
      </c>
      <c r="N96" s="7">
        <f t="shared" si="20"/>
        <v/>
      </c>
      <c r="O96" s="7"/>
      <c r="P96" s="7">
        <f t="shared" si="21"/>
        <v/>
      </c>
      <c r="Q96" s="7">
        <f t="shared" si="22"/>
        <v/>
      </c>
      <c r="R96" s="7">
        <f t="shared" si="25"/>
      </c>
      <c r="S96" s="7">
        <f t="shared" si="26"/>
      </c>
      <c r="T96" s="7">
        <f t="shared" si="27"/>
      </c>
      <c r="U96" s="7">
        <f t="shared" si="23"/>
        <v/>
      </c>
    </row>
    <row r="97" spans="1:21" x14ac:dyDescent="0.3">
      <c r="A97" s="7">
        <f t="shared" si="24"/>
        <v/>
      </c>
      <c r="B97" s="7">
        <f>IF(C97=1,MAX(B$2:$B96)+1,IF(F97=0,"",B96))</f>
      </c>
      <c r="C97" s="7">
        <f>COUNTIF($F$2:$F97,F97)</f>
      </c>
      <c r="D97" s="7">
        <f>IF(F97=0,0,MAX($D$2:D96)+1)</f>
      </c>
      <c r="E97" s="7">
        <f>IF(H97=0,0,MAX($E$2:E96)+1)</f>
      </c>
      <c r="F97" s="177"/>
      <c r="G97" s="119"/>
      <c r="H97" s="119"/>
      <c r="I97" s="7">
        <f>IFERROR(VLOOKUP(H97,H$2:H96,1,FALSE),VLOOKUP(H97,H98:H$478,1,FALSE))</f>
      </c>
      <c r="J97" s="7">
        <f t="shared" si="17"/>
        <v/>
      </c>
      <c r="K97" s="7">
        <f t="shared" si="18"/>
        <v/>
      </c>
      <c r="L97" s="7">
        <f t="shared" si="19"/>
        <v/>
      </c>
      <c r="M97" s="19">
        <f t="shared" si="28"/>
        <v/>
      </c>
      <c r="N97" s="7">
        <f t="shared" si="20"/>
        <v/>
      </c>
      <c r="O97" s="7"/>
      <c r="P97" s="7">
        <f t="shared" si="21"/>
        <v/>
      </c>
      <c r="Q97" s="7">
        <f t="shared" si="22"/>
        <v/>
      </c>
      <c r="R97" s="7">
        <f t="shared" si="25"/>
      </c>
      <c r="S97" s="7">
        <f t="shared" si="26"/>
      </c>
      <c r="T97" s="7">
        <f t="shared" si="27"/>
      </c>
      <c r="U97" s="7">
        <f t="shared" si="23"/>
        <v/>
      </c>
    </row>
    <row r="98" spans="1:21" x14ac:dyDescent="0.3">
      <c r="A98" s="7">
        <f t="shared" si="24"/>
        <v/>
      </c>
      <c r="B98" s="7">
        <f>IF(C98=1,MAX(B$2:$B97)+1,IF(F98=0,"",B97))</f>
      </c>
      <c r="C98" s="7">
        <f>COUNTIF($F$2:$F98,F98)</f>
      </c>
      <c r="D98" s="7">
        <f>IF(F98=0,0,MAX($D$2:D97)+1)</f>
      </c>
      <c r="E98" s="7">
        <f>IF(H98=0,0,MAX($E$2:E97)+1)</f>
      </c>
      <c r="F98" s="177"/>
      <c r="G98" s="119"/>
      <c r="H98" s="119"/>
      <c r="I98" s="7">
        <f>IFERROR(VLOOKUP(H98,H$2:H97,1,FALSE),VLOOKUP(H98,H99:H$478,1,FALSE))</f>
      </c>
      <c r="J98" s="7">
        <f t="shared" si="17"/>
        <v/>
      </c>
      <c r="K98" s="7">
        <f t="shared" si="18"/>
        <v/>
      </c>
      <c r="L98" s="7">
        <f t="shared" si="19"/>
        <v/>
      </c>
      <c r="M98" s="19">
        <f t="shared" si="28"/>
        <v/>
      </c>
      <c r="N98" s="7">
        <f t="shared" si="20"/>
        <v/>
      </c>
      <c r="O98" s="7"/>
      <c r="P98" s="7">
        <f t="shared" si="21"/>
        <v/>
      </c>
      <c r="Q98" s="7">
        <f t="shared" si="22"/>
        <v/>
      </c>
      <c r="R98" s="7">
        <f t="shared" si="25"/>
      </c>
      <c r="S98" s="7">
        <f t="shared" si="26"/>
      </c>
      <c r="T98" s="7">
        <f t="shared" si="27"/>
      </c>
      <c r="U98" s="7">
        <f t="shared" si="23"/>
        <v/>
      </c>
    </row>
    <row r="99" spans="1:21" x14ac:dyDescent="0.3">
      <c r="A99" s="7">
        <f t="shared" si="24"/>
        <v/>
      </c>
      <c r="B99" s="7">
        <f>IF(C99=1,MAX(B$2:$B98)+1,IF(F99=0,"",B98))</f>
      </c>
      <c r="C99" s="7">
        <f>COUNTIF($F$2:$F99,F99)</f>
      </c>
      <c r="D99" s="7">
        <f>IF(F99=0,0,MAX($D$2:D98)+1)</f>
      </c>
      <c r="E99" s="7">
        <f>IF(H99=0,0,MAX($E$2:E98)+1)</f>
      </c>
      <c r="F99" s="177"/>
      <c r="G99" s="119"/>
      <c r="H99" s="119"/>
      <c r="I99" s="7">
        <f>IFERROR(VLOOKUP(H99,H$2:H98,1,FALSE),VLOOKUP(H99,H100:H$478,1,FALSE))</f>
      </c>
      <c r="J99" s="7">
        <f t="shared" si="17"/>
        <v/>
      </c>
      <c r="K99" s="7">
        <f t="shared" si="18"/>
        <v/>
      </c>
      <c r="L99" s="7">
        <f t="shared" si="19"/>
        <v/>
      </c>
      <c r="M99" s="19">
        <f t="shared" si="28"/>
        <v/>
      </c>
      <c r="N99" s="7">
        <f t="shared" si="20"/>
        <v/>
      </c>
      <c r="O99" s="7"/>
      <c r="P99" s="7">
        <f t="shared" si="21"/>
        <v/>
      </c>
      <c r="Q99" s="7">
        <f t="shared" si="22"/>
        <v/>
      </c>
      <c r="R99" s="7">
        <f t="shared" si="25"/>
      </c>
      <c r="S99" s="7">
        <f t="shared" si="26"/>
      </c>
      <c r="T99" s="7">
        <f t="shared" si="27"/>
      </c>
      <c r="U99" s="7">
        <f t="shared" si="23"/>
        <v/>
      </c>
    </row>
    <row r="100" spans="1:21" x14ac:dyDescent="0.3">
      <c r="A100" s="7">
        <f t="shared" si="24"/>
        <v/>
      </c>
      <c r="B100" s="7">
        <f>IF(C100=1,MAX(B$2:$B99)+1,IF(F100=0,"",B99))</f>
      </c>
      <c r="C100" s="7">
        <f>COUNTIF($F$2:$F100,F100)</f>
      </c>
      <c r="D100" s="7">
        <f>IF(F100=0,0,MAX($D$2:D99)+1)</f>
      </c>
      <c r="E100" s="7">
        <f>IF(H100=0,0,MAX($E$2:E99)+1)</f>
      </c>
      <c r="F100" s="177"/>
      <c r="G100" s="119"/>
      <c r="H100" s="119"/>
      <c r="I100" s="7">
        <f>IFERROR(VLOOKUP(H100,H$2:H99,1,FALSE),VLOOKUP(H100,H101:H$478,1,FALSE))</f>
      </c>
      <c r="J100" s="7">
        <f t="shared" si="17"/>
        <v/>
      </c>
      <c r="K100" s="7">
        <f t="shared" si="18"/>
        <v/>
      </c>
      <c r="L100" s="7">
        <f t="shared" si="19"/>
        <v/>
      </c>
      <c r="M100" s="19">
        <f t="shared" si="28"/>
        <v/>
      </c>
      <c r="N100" s="7">
        <f t="shared" si="20"/>
        <v/>
      </c>
      <c r="O100" s="7"/>
      <c r="P100" s="7">
        <f t="shared" si="21"/>
        <v/>
      </c>
      <c r="Q100" s="7">
        <f t="shared" si="22"/>
        <v/>
      </c>
      <c r="R100" s="7">
        <f t="shared" si="25"/>
      </c>
      <c r="S100" s="7">
        <f t="shared" si="26"/>
      </c>
      <c r="T100" s="7">
        <f t="shared" si="27"/>
      </c>
      <c r="U100" s="7">
        <f t="shared" si="23"/>
        <v/>
      </c>
    </row>
    <row r="101" spans="1:21" x14ac:dyDescent="0.3">
      <c r="A101" s="7">
        <f t="shared" si="24"/>
        <v/>
      </c>
      <c r="B101" s="7">
        <f>IF(C101=1,MAX(B$2:$B100)+1,IF(F101=0,"",B100))</f>
      </c>
      <c r="C101" s="7">
        <f>COUNTIF($F$2:$F101,F101)</f>
      </c>
      <c r="D101" s="7">
        <f>IF(F101=0,0,MAX($D$2:D100)+1)</f>
      </c>
      <c r="E101" s="7">
        <f>IF(H101=0,0,MAX($E$2:E100)+1)</f>
      </c>
      <c r="F101" s="177"/>
      <c r="G101" s="119"/>
      <c r="H101" s="119"/>
      <c r="I101" s="7">
        <f>IFERROR(VLOOKUP(H101,H$2:H100,1,FALSE),VLOOKUP(H101,H102:H$478,1,FALSE))</f>
      </c>
      <c r="J101" s="7">
        <f t="shared" si="17"/>
        <v/>
      </c>
      <c r="K101" s="7">
        <f t="shared" si="18"/>
        <v/>
      </c>
      <c r="L101" s="7">
        <f t="shared" si="19"/>
        <v/>
      </c>
      <c r="M101" s="19">
        <f t="shared" si="28"/>
        <v/>
      </c>
      <c r="N101" s="7">
        <f t="shared" si="20"/>
        <v/>
      </c>
      <c r="O101" s="7"/>
      <c r="P101" s="7">
        <f t="shared" si="21"/>
        <v/>
      </c>
      <c r="Q101" s="7">
        <f t="shared" si="22"/>
        <v/>
      </c>
      <c r="R101" s="7">
        <f t="shared" si="25"/>
      </c>
      <c r="S101" s="7">
        <f t="shared" si="26"/>
      </c>
      <c r="T101" s="7">
        <f t="shared" si="27"/>
      </c>
      <c r="U101" s="7">
        <f t="shared" si="23"/>
        <v/>
      </c>
    </row>
    <row r="102" spans="1:21" x14ac:dyDescent="0.3">
      <c r="A102" s="7">
        <f t="shared" si="24"/>
        <v/>
      </c>
      <c r="B102" s="7">
        <f>IF(C102=1,MAX(B$2:$B101)+1,IF(F102=0,"",B101))</f>
      </c>
      <c r="C102" s="7">
        <f>COUNTIF($F$2:$F102,F102)</f>
      </c>
      <c r="D102" s="7">
        <f>IF(F102=0,0,MAX($D$2:D101)+1)</f>
      </c>
      <c r="E102" s="7">
        <f>IF(H102=0,0,MAX($E$2:E101)+1)</f>
      </c>
      <c r="F102" s="177"/>
      <c r="G102" s="119"/>
      <c r="H102" s="119"/>
      <c r="I102" s="7">
        <f>IFERROR(VLOOKUP(H102,H$2:H101,1,FALSE),VLOOKUP(H102,H103:H$478,1,FALSE))</f>
      </c>
      <c r="J102" s="7">
        <f t="shared" si="17"/>
        <v/>
      </c>
      <c r="K102" s="7">
        <f t="shared" si="18"/>
        <v/>
      </c>
      <c r="L102" s="7">
        <f t="shared" si="19"/>
        <v/>
      </c>
      <c r="M102" s="19">
        <f t="shared" si="28"/>
        <v/>
      </c>
      <c r="N102" s="7">
        <f t="shared" si="20"/>
        <v/>
      </c>
      <c r="O102" s="7"/>
      <c r="P102" s="7">
        <f t="shared" si="21"/>
        <v/>
      </c>
      <c r="Q102" s="7">
        <f t="shared" si="22"/>
        <v/>
      </c>
      <c r="R102" s="7">
        <f t="shared" si="25"/>
      </c>
      <c r="S102" s="7">
        <f t="shared" si="26"/>
      </c>
      <c r="T102" s="7">
        <f t="shared" si="27"/>
      </c>
      <c r="U102" s="7">
        <f t="shared" si="23"/>
        <v/>
      </c>
    </row>
    <row r="103" spans="1:21" x14ac:dyDescent="0.3">
      <c r="A103" s="7">
        <f t="shared" si="24"/>
        <v/>
      </c>
      <c r="B103" s="7">
        <f>IF(C103=1,MAX(B$2:$B102)+1,IF(F103=0,"",B102))</f>
      </c>
      <c r="C103" s="7">
        <f>COUNTIF($F$2:$F103,F103)</f>
      </c>
      <c r="D103" s="7">
        <f>IF(F103=0,0,MAX($D$2:D102)+1)</f>
      </c>
      <c r="E103" s="7">
        <f>IF(H103=0,0,MAX($E$2:E102)+1)</f>
      </c>
      <c r="F103" s="177"/>
      <c r="G103" s="119"/>
      <c r="H103" s="119"/>
      <c r="I103" s="7">
        <f>IFERROR(VLOOKUP(H103,H$2:H102,1,FALSE),VLOOKUP(H103,H104:H$478,1,FALSE))</f>
      </c>
      <c r="J103" s="7">
        <f>IF($H103=0,"",VLOOKUP($H103,Исходные_данные,36,FALSE))</f>
        <v/>
      </c>
      <c r="K103" s="7">
        <f>IF($H103=0,"",VLOOKUP($H103,Исходные_данные,37,FALSE))</f>
        <v/>
      </c>
      <c r="L103" s="7">
        <f>IF($H103=0,"",VLOOKUP($H103,Исходные_данные,38,FALSE))</f>
        <v/>
      </c>
      <c r="M103" s="19">
        <f>IFERROR(VLOOKUP(H103,Нагрузка_диапазон_1,4,FALSE),"")</f>
        <v/>
      </c>
      <c r="N103" s="7">
        <f>IF($H103=0,"",VLOOKUP($H103,Исходные_данные,39,FALSE))</f>
        <v/>
      </c>
      <c r="O103" s="7"/>
      <c r="P103" s="7">
        <f>IF($H103=0,"",VLOOKUP($H103,Исходные_данные,41,FALSE))</f>
        <v/>
      </c>
      <c r="Q103" s="7">
        <f>IF($H103=0,"",VLOOKUP($H103,Исходные_данные,8,FALSE))</f>
        <v/>
      </c>
      <c r="R103" s="7">
        <f t="shared" si="25"/>
      </c>
      <c r="S103" s="7">
        <f t="shared" si="26"/>
      </c>
      <c r="T103" s="7">
        <f t="shared" si="27"/>
      </c>
      <c r="U103" s="7">
        <f>IF($H103=0,"",VLOOKUP($H103,Исходные_данные,31,FALSE))</f>
        <v/>
      </c>
    </row>
    <row r="104" spans="1:21" s="8" customFormat="1" ht="15" thickBot="1" x14ac:dyDescent="0.35">
      <c r="A104" s="7">
        <f t="shared" si="24"/>
        <v/>
      </c>
      <c r="B104" s="7">
        <f>IF(C104=1,MAX(B$2:$B103)+1,IF(F104=0,"",B103))</f>
      </c>
      <c r="C104" s="7">
        <f>COUNTIF($F$2:$F104,F104)</f>
      </c>
      <c r="D104" s="7">
        <f>IF(F104=0,0,MAX($D$2:D103)+1)</f>
      </c>
      <c r="E104" s="7">
        <f>IF(H104=0,0,MAX($E$2:E103)+1)</f>
      </c>
      <c r="F104" s="175"/>
      <c r="G104" s="175"/>
      <c r="H104" s="119"/>
      <c r="I104" s="47">
        <f>IFERROR(VLOOKUP(H104,H$2:H103,1,FALSE),VLOOKUP(H104,H105:H$478,1,FALSE))</f>
      </c>
      <c r="J104" s="47">
        <f t="shared" si="17"/>
        <v/>
      </c>
      <c r="K104" s="47">
        <f t="shared" si="18"/>
        <v/>
      </c>
      <c r="L104" s="47">
        <f t="shared" si="19"/>
        <v/>
      </c>
      <c r="M104" s="52">
        <f t="shared" si="28"/>
        <v/>
      </c>
      <c r="N104" s="47">
        <f t="shared" si="20"/>
        <v/>
      </c>
      <c r="O104" s="47"/>
      <c r="P104" s="47">
        <f t="shared" si="21"/>
        <v/>
      </c>
      <c r="Q104" s="47">
        <f t="shared" si="22"/>
        <v/>
      </c>
      <c r="R104" s="47">
        <f t="shared" si="25"/>
      </c>
      <c r="S104" s="47">
        <f t="shared" si="26"/>
      </c>
      <c r="T104" s="47">
        <f t="shared" si="27"/>
      </c>
      <c r="U104" s="47">
        <f t="shared" si="23"/>
        <v/>
      </c>
    </row>
    <row r="105" spans="1:21" x14ac:dyDescent="0.3">
      <c r="A105" s="7">
        <f t="shared" si="24"/>
        <v/>
      </c>
      <c r="B105" s="7">
        <f>IF(C105=1,MAX(B$2:$B104)+1,IF(F105=0,"",B104))</f>
      </c>
      <c r="C105" s="7">
        <f>COUNTIF($F$2:$F105,F105)</f>
      </c>
      <c r="D105" s="7">
        <f>IF(F105=0,0,MAX($D$2:D104)+1)</f>
      </c>
      <c r="E105" s="7">
        <f>IF(H105=0,0,MAX($E$2:E104)+1)</f>
      </c>
      <c r="F105" s="177"/>
      <c r="G105" s="177"/>
      <c r="H105" s="172"/>
      <c r="I105" s="7">
        <f>IFERROR(VLOOKUP(H105,H$2:H104,1,FALSE),VLOOKUP(H105,H106:H$478,1,FALSE))</f>
      </c>
      <c r="J105" s="7">
        <f t="shared" si="17"/>
        <v/>
      </c>
      <c r="K105" s="7">
        <f t="shared" si="18"/>
        <v/>
      </c>
      <c r="L105" s="7">
        <f t="shared" si="19"/>
        <v/>
      </c>
      <c r="M105" s="19">
        <f t="shared" si="28"/>
        <v/>
      </c>
      <c r="N105" s="7">
        <f t="shared" si="20"/>
        <v/>
      </c>
      <c r="O105" s="7"/>
      <c r="P105" s="7">
        <f t="shared" si="21"/>
        <v/>
      </c>
      <c r="Q105" s="7">
        <f t="shared" si="22"/>
        <v/>
      </c>
      <c r="R105" s="7">
        <f t="shared" si="25"/>
      </c>
      <c r="S105" s="7">
        <f t="shared" si="26"/>
      </c>
      <c r="T105" s="7">
        <f t="shared" si="27"/>
      </c>
      <c r="U105" s="7">
        <f t="shared" si="23"/>
        <v/>
      </c>
    </row>
    <row r="106" spans="1:21" x14ac:dyDescent="0.3">
      <c r="A106" s="7">
        <f t="shared" si="24"/>
        <v/>
      </c>
      <c r="B106" s="7">
        <f>IF(C106=1,MAX(B$2:$B105)+1,IF(F106=0,"",B105))</f>
      </c>
      <c r="C106" s="7">
        <f>COUNTIF($F$2:$F106,F106)</f>
      </c>
      <c r="D106" s="7">
        <f>IF(F106=0,0,MAX($D$2:D105)+1)</f>
      </c>
      <c r="E106" s="7">
        <f>IF(H106=0,0,MAX($E$2:E105)+1)</f>
      </c>
      <c r="F106" s="177"/>
      <c r="G106" s="119"/>
      <c r="H106" s="119"/>
      <c r="I106" s="7">
        <f>IFERROR(VLOOKUP(H106,H$2:H105,1,FALSE),VLOOKUP(H106,H107:H$478,1,FALSE))</f>
      </c>
      <c r="J106" s="7">
        <f t="shared" si="17"/>
        <v/>
      </c>
      <c r="K106" s="7">
        <f t="shared" si="18"/>
        <v/>
      </c>
      <c r="L106" s="7">
        <f t="shared" si="19"/>
        <v/>
      </c>
      <c r="M106" s="19">
        <f t="shared" si="28"/>
        <v/>
      </c>
      <c r="N106" s="7">
        <f t="shared" si="20"/>
        <v/>
      </c>
      <c r="O106" s="7"/>
      <c r="P106" s="7">
        <f t="shared" si="21"/>
        <v/>
      </c>
      <c r="Q106" s="7">
        <f t="shared" si="22"/>
        <v/>
      </c>
      <c r="R106" s="7">
        <f t="shared" si="25"/>
      </c>
      <c r="S106" s="7">
        <f t="shared" si="26"/>
      </c>
      <c r="T106" s="7">
        <f t="shared" si="27"/>
      </c>
      <c r="U106" s="7">
        <f t="shared" si="23"/>
        <v/>
      </c>
    </row>
    <row r="107" spans="1:21" x14ac:dyDescent="0.3">
      <c r="A107" s="7">
        <f t="shared" si="24"/>
        <v/>
      </c>
      <c r="B107" s="7">
        <f>IF(C107=1,MAX(B$2:$B106)+1,IF(F107=0,"",B106))</f>
      </c>
      <c r="C107" s="7">
        <f>COUNTIF($F$2:$F107,F107)</f>
      </c>
      <c r="D107" s="7">
        <f>IF(F107=0,0,MAX($D$2:D106)+1)</f>
      </c>
      <c r="E107" s="7">
        <f>IF(H107=0,0,MAX($E$2:E106)+1)</f>
      </c>
      <c r="F107" s="177"/>
      <c r="G107" s="119"/>
      <c r="H107" s="119"/>
      <c r="I107" s="7">
        <f>IFERROR(VLOOKUP(H107,H$2:H106,1,FALSE),VLOOKUP(H107,H108:H$478,1,FALSE))</f>
      </c>
      <c r="J107" s="7">
        <f t="shared" si="17"/>
        <v/>
      </c>
      <c r="K107" s="7">
        <f t="shared" si="18"/>
        <v/>
      </c>
      <c r="L107" s="7">
        <f t="shared" si="19"/>
        <v/>
      </c>
      <c r="M107" s="19">
        <f t="shared" si="28"/>
        <v/>
      </c>
      <c r="N107" s="7">
        <f t="shared" si="20"/>
        <v/>
      </c>
      <c r="O107" s="7"/>
      <c r="P107" s="7">
        <f t="shared" si="21"/>
        <v/>
      </c>
      <c r="Q107" s="7">
        <f t="shared" si="22"/>
        <v/>
      </c>
      <c r="R107" s="7">
        <f t="shared" si="25"/>
      </c>
      <c r="S107" s="7">
        <f t="shared" si="26"/>
      </c>
      <c r="T107" s="7">
        <f t="shared" si="27"/>
      </c>
      <c r="U107" s="7">
        <f t="shared" si="23"/>
        <v/>
      </c>
    </row>
    <row r="108" spans="1:21" x14ac:dyDescent="0.3">
      <c r="A108" s="7">
        <f t="shared" si="24"/>
        <v/>
      </c>
      <c r="B108" s="7">
        <f>IF(C108=1,MAX(B$2:$B107)+1,IF(F108=0,"",B107))</f>
      </c>
      <c r="C108" s="7">
        <f>COUNTIF($F$2:$F108,F108)</f>
      </c>
      <c r="D108" s="7">
        <f>IF(F108=0,0,MAX($D$2:D107)+1)</f>
      </c>
      <c r="E108" s="7">
        <f>IF(H108=0,0,MAX($E$2:E107)+1)</f>
      </c>
      <c r="F108" s="177"/>
      <c r="G108" s="119"/>
      <c r="H108" s="119"/>
      <c r="I108" s="7">
        <f>IFERROR(VLOOKUP(H108,H$2:H107,1,FALSE),VLOOKUP(H108,H109:H$478,1,FALSE))</f>
      </c>
      <c r="J108" s="7">
        <f t="shared" si="17"/>
        <v/>
      </c>
      <c r="K108" s="7">
        <f t="shared" si="18"/>
        <v/>
      </c>
      <c r="L108" s="7">
        <f t="shared" si="19"/>
        <v/>
      </c>
      <c r="M108" s="19">
        <f t="shared" si="28"/>
        <v/>
      </c>
      <c r="N108" s="7">
        <f t="shared" si="20"/>
        <v/>
      </c>
      <c r="O108" s="7"/>
      <c r="P108" s="7">
        <f t="shared" si="21"/>
        <v/>
      </c>
      <c r="Q108" s="7">
        <f t="shared" si="22"/>
        <v/>
      </c>
      <c r="R108" s="7">
        <f t="shared" si="25"/>
      </c>
      <c r="S108" s="7">
        <f t="shared" si="26"/>
      </c>
      <c r="T108" s="7">
        <f t="shared" si="27"/>
      </c>
      <c r="U108" s="7">
        <f t="shared" si="23"/>
        <v/>
      </c>
    </row>
    <row r="109" spans="1:21" x14ac:dyDescent="0.3">
      <c r="A109" s="7">
        <f t="shared" si="24"/>
        <v/>
      </c>
      <c r="B109" s="7">
        <f>IF(C109=1,MAX(B$2:$B108)+1,IF(F109=0,"",B108))</f>
      </c>
      <c r="C109" s="7">
        <f>COUNTIF($F$2:$F109,F109)</f>
      </c>
      <c r="D109" s="7">
        <f>IF(F109=0,0,MAX($D$2:D108)+1)</f>
      </c>
      <c r="E109" s="7">
        <f>IF(H109=0,0,MAX($E$2:E108)+1)</f>
      </c>
      <c r="F109" s="177"/>
      <c r="G109" s="119"/>
      <c r="H109" s="119"/>
      <c r="I109" s="7">
        <f>IFERROR(VLOOKUP(H109,H$2:H108,1,FALSE),VLOOKUP(H109,H110:H$478,1,FALSE))</f>
      </c>
      <c r="J109" s="7">
        <f t="shared" si="17"/>
        <v/>
      </c>
      <c r="K109" s="7">
        <f t="shared" si="18"/>
        <v/>
      </c>
      <c r="L109" s="7">
        <f t="shared" si="19"/>
        <v/>
      </c>
      <c r="M109" s="19">
        <f t="shared" si="28"/>
        <v/>
      </c>
      <c r="N109" s="7">
        <f t="shared" si="20"/>
        <v/>
      </c>
      <c r="O109" s="7"/>
      <c r="P109" s="7">
        <f t="shared" si="21"/>
        <v/>
      </c>
      <c r="Q109" s="7">
        <f t="shared" si="22"/>
        <v/>
      </c>
      <c r="R109" s="7">
        <f t="shared" si="25"/>
      </c>
      <c r="S109" s="7">
        <f t="shared" si="26"/>
      </c>
      <c r="T109" s="7">
        <f t="shared" si="27"/>
      </c>
      <c r="U109" s="7">
        <f t="shared" si="23"/>
        <v/>
      </c>
    </row>
    <row r="110" spans="1:21" x14ac:dyDescent="0.3">
      <c r="A110" s="7">
        <f t="shared" si="24"/>
        <v/>
      </c>
      <c r="B110" s="7">
        <f>IF(C110=1,MAX(B$2:$B109)+1,IF(F110=0,"",B109))</f>
      </c>
      <c r="C110" s="7">
        <f>COUNTIF($F$2:$F110,F110)</f>
      </c>
      <c r="D110" s="7">
        <f>IF(F110=0,0,MAX($D$2:D109)+1)</f>
      </c>
      <c r="E110" s="7">
        <f>IF(H110=0,0,MAX($E$2:E109)+1)</f>
      </c>
      <c r="F110" s="177"/>
      <c r="G110" s="119"/>
      <c r="H110" s="119"/>
      <c r="I110" s="7">
        <f>IFERROR(VLOOKUP(H110,H$2:H109,1,FALSE),VLOOKUP(H110,H111:H$478,1,FALSE))</f>
      </c>
      <c r="J110" s="7">
        <f t="shared" si="17"/>
        <v/>
      </c>
      <c r="K110" s="7">
        <f t="shared" si="18"/>
        <v/>
      </c>
      <c r="L110" s="7">
        <f t="shared" si="19"/>
        <v/>
      </c>
      <c r="M110" s="19">
        <f t="shared" si="28"/>
        <v/>
      </c>
      <c r="N110" s="7">
        <f t="shared" si="20"/>
        <v/>
      </c>
      <c r="O110" s="7"/>
      <c r="P110" s="7">
        <f t="shared" si="21"/>
        <v/>
      </c>
      <c r="Q110" s="7">
        <f t="shared" si="22"/>
        <v/>
      </c>
      <c r="R110" s="7">
        <f t="shared" si="25"/>
      </c>
      <c r="S110" s="7">
        <f t="shared" si="26"/>
      </c>
      <c r="T110" s="7">
        <f t="shared" si="27"/>
      </c>
      <c r="U110" s="7">
        <f t="shared" si="23"/>
        <v/>
      </c>
    </row>
    <row r="111" spans="1:21" x14ac:dyDescent="0.3">
      <c r="A111" s="7">
        <f t="shared" si="24"/>
        <v/>
      </c>
      <c r="B111" s="7">
        <f>IF(C111=1,MAX(B$2:$B110)+1,IF(F111=0,"",B110))</f>
      </c>
      <c r="C111" s="7">
        <f>COUNTIF($F$2:$F111,F111)</f>
      </c>
      <c r="D111" s="7">
        <f>IF(F111=0,0,MAX($D$2:D110)+1)</f>
      </c>
      <c r="E111" s="7">
        <f>IF(H111=0,0,MAX($E$2:E110)+1)</f>
      </c>
      <c r="F111" s="177"/>
      <c r="G111" s="119"/>
      <c r="H111" s="119"/>
      <c r="I111" s="7">
        <f>IFERROR(VLOOKUP(H111,H$2:H110,1,FALSE),VLOOKUP(H111,H112:H$478,1,FALSE))</f>
      </c>
      <c r="J111" s="7">
        <f t="shared" si="17"/>
        <v/>
      </c>
      <c r="K111" s="7">
        <f t="shared" si="18"/>
        <v/>
      </c>
      <c r="L111" s="7">
        <f t="shared" si="19"/>
        <v/>
      </c>
      <c r="M111" s="19">
        <f t="shared" si="28"/>
        <v/>
      </c>
      <c r="N111" s="7">
        <f t="shared" si="20"/>
        <v/>
      </c>
      <c r="O111" s="7"/>
      <c r="P111" s="7">
        <f t="shared" si="21"/>
        <v/>
      </c>
      <c r="Q111" s="7">
        <f t="shared" si="22"/>
        <v/>
      </c>
      <c r="R111" s="7">
        <f t="shared" si="25"/>
      </c>
      <c r="S111" s="7">
        <f t="shared" si="26"/>
      </c>
      <c r="T111" s="7">
        <f t="shared" si="27"/>
      </c>
      <c r="U111" s="7">
        <f t="shared" si="23"/>
        <v/>
      </c>
    </row>
    <row r="112" spans="1:21" x14ac:dyDescent="0.3">
      <c r="A112" s="7">
        <f t="shared" si="24"/>
        <v/>
      </c>
      <c r="B112" s="7">
        <f>IF(C112=1,MAX(B$2:$B111)+1,IF(F112=0,"",B111))</f>
      </c>
      <c r="C112" s="7">
        <f>COUNTIF($F$2:$F112,F112)</f>
      </c>
      <c r="D112" s="7">
        <f>IF(F112=0,0,MAX($D$2:D111)+1)</f>
      </c>
      <c r="E112" s="7">
        <f>IF(H112=0,0,MAX($E$2:E111)+1)</f>
      </c>
      <c r="F112" s="177"/>
      <c r="G112" s="119"/>
      <c r="H112" s="119"/>
      <c r="I112" s="7">
        <f>IFERROR(VLOOKUP(H112,H$2:H111,1,FALSE),VLOOKUP(H112,H113:H$478,1,FALSE))</f>
      </c>
      <c r="J112" s="7">
        <f t="shared" si="17"/>
        <v/>
      </c>
      <c r="K112" s="7">
        <f t="shared" si="18"/>
        <v/>
      </c>
      <c r="L112" s="7">
        <f t="shared" si="19"/>
        <v/>
      </c>
      <c r="M112" s="19">
        <f t="shared" si="28"/>
        <v/>
      </c>
      <c r="N112" s="7">
        <f t="shared" si="20"/>
        <v/>
      </c>
      <c r="O112" s="7"/>
      <c r="P112" s="7">
        <f t="shared" si="21"/>
        <v/>
      </c>
      <c r="Q112" s="7">
        <f t="shared" si="22"/>
        <v/>
      </c>
      <c r="R112" s="7">
        <f t="shared" si="25"/>
      </c>
      <c r="S112" s="7">
        <f t="shared" si="26"/>
      </c>
      <c r="T112" s="7">
        <f t="shared" si="27"/>
      </c>
      <c r="U112" s="7">
        <f t="shared" si="23"/>
        <v/>
      </c>
    </row>
    <row r="113" spans="1:21" x14ac:dyDescent="0.3">
      <c r="A113" s="7">
        <f t="shared" si="24"/>
        <v/>
      </c>
      <c r="B113" s="7">
        <f>IF(C113=1,MAX(B$2:$B112)+1,IF(F113=0,"",B112))</f>
      </c>
      <c r="C113" s="7">
        <f>COUNTIF($F$2:$F113,F113)</f>
      </c>
      <c r="D113" s="7">
        <f>IF(F113=0,0,MAX($D$2:D112)+1)</f>
      </c>
      <c r="E113" s="7">
        <f>IF(H113=0,0,MAX($E$2:E112)+1)</f>
      </c>
      <c r="F113" s="177"/>
      <c r="G113" s="119"/>
      <c r="H113" s="119"/>
      <c r="I113" s="7">
        <f>IFERROR(VLOOKUP(H113,H$2:H112,1,FALSE),VLOOKUP(H113,H114:H$478,1,FALSE))</f>
      </c>
      <c r="J113" s="7">
        <f t="shared" si="17"/>
        <v/>
      </c>
      <c r="K113" s="7">
        <f t="shared" si="18"/>
        <v/>
      </c>
      <c r="L113" s="7">
        <f t="shared" si="19"/>
        <v/>
      </c>
      <c r="M113" s="19">
        <f t="shared" si="28"/>
        <v/>
      </c>
      <c r="N113" s="7">
        <f t="shared" si="20"/>
        <v/>
      </c>
      <c r="O113" s="7"/>
      <c r="P113" s="7">
        <f t="shared" si="21"/>
        <v/>
      </c>
      <c r="Q113" s="7">
        <f t="shared" si="22"/>
        <v/>
      </c>
      <c r="R113" s="7">
        <f t="shared" si="25"/>
      </c>
      <c r="S113" s="7">
        <f t="shared" si="26"/>
      </c>
      <c r="T113" s="7">
        <f t="shared" si="27"/>
      </c>
      <c r="U113" s="7">
        <f t="shared" si="23"/>
        <v/>
      </c>
    </row>
    <row r="114" spans="1:21" x14ac:dyDescent="0.3">
      <c r="A114" s="7">
        <f t="shared" si="24"/>
        <v/>
      </c>
      <c r="B114" s="7">
        <f>IF(C114=1,MAX(B$2:$B113)+1,IF(F114=0,"",B113))</f>
      </c>
      <c r="C114" s="7">
        <f>COUNTIF($F$2:$F114,F114)</f>
      </c>
      <c r="D114" s="7">
        <f>IF(F114=0,0,MAX($D$2:D113)+1)</f>
      </c>
      <c r="E114" s="7">
        <f>IF(H114=0,0,MAX($E$2:E113)+1)</f>
      </c>
      <c r="F114" s="177"/>
      <c r="G114" s="119"/>
      <c r="H114" s="119"/>
      <c r="I114" s="7">
        <f>IFERROR(VLOOKUP(H114,H$2:H113,1,FALSE),VLOOKUP(H114,H115:H$478,1,FALSE))</f>
      </c>
      <c r="J114" s="7">
        <f t="shared" si="17"/>
        <v/>
      </c>
      <c r="K114" s="7">
        <f t="shared" si="18"/>
        <v/>
      </c>
      <c r="L114" s="7">
        <f t="shared" si="19"/>
        <v/>
      </c>
      <c r="M114" s="19">
        <f t="shared" si="28"/>
        <v/>
      </c>
      <c r="N114" s="7">
        <f t="shared" si="20"/>
        <v/>
      </c>
      <c r="O114" s="7"/>
      <c r="P114" s="7">
        <f t="shared" si="21"/>
        <v/>
      </c>
      <c r="Q114" s="7">
        <f t="shared" si="22"/>
        <v/>
      </c>
      <c r="R114" s="7">
        <f t="shared" si="25"/>
      </c>
      <c r="S114" s="7">
        <f t="shared" si="26"/>
      </c>
      <c r="T114" s="7">
        <f t="shared" si="27"/>
      </c>
      <c r="U114" s="7">
        <f t="shared" si="23"/>
        <v/>
      </c>
    </row>
    <row r="115" spans="1:21" x14ac:dyDescent="0.3">
      <c r="A115" s="7">
        <f t="shared" si="24"/>
        <v/>
      </c>
      <c r="B115" s="7">
        <f>IF(C115=1,MAX(B$2:$B114)+1,IF(F115=0,"",B114))</f>
      </c>
      <c r="C115" s="7">
        <f>COUNTIF($F$2:$F115,F115)</f>
      </c>
      <c r="D115" s="7">
        <f>IF(F115=0,0,MAX($D$2:D114)+1)</f>
      </c>
      <c r="E115" s="7">
        <f>IF(H115=0,0,MAX($E$2:E114)+1)</f>
      </c>
      <c r="F115" s="177"/>
      <c r="G115" s="119"/>
      <c r="H115" s="119"/>
      <c r="I115" s="7">
        <f>IFERROR(VLOOKUP(H115,H$2:H114,1,FALSE),VLOOKUP(H115,H116:H$478,1,FALSE))</f>
      </c>
      <c r="J115" s="7">
        <f t="shared" si="17"/>
        <v/>
      </c>
      <c r="K115" s="7">
        <f t="shared" si="18"/>
        <v/>
      </c>
      <c r="L115" s="7">
        <f t="shared" si="19"/>
        <v/>
      </c>
      <c r="M115" s="19">
        <f t="shared" si="28"/>
        <v/>
      </c>
      <c r="N115" s="7">
        <f t="shared" si="20"/>
        <v/>
      </c>
      <c r="O115" s="7"/>
      <c r="P115" s="7">
        <f t="shared" si="21"/>
        <v/>
      </c>
      <c r="Q115" s="7">
        <f t="shared" si="22"/>
        <v/>
      </c>
      <c r="R115" s="7">
        <f t="shared" si="25"/>
      </c>
      <c r="S115" s="7">
        <f t="shared" si="26"/>
      </c>
      <c r="T115" s="7">
        <f t="shared" si="27"/>
      </c>
      <c r="U115" s="7">
        <f t="shared" si="23"/>
        <v/>
      </c>
    </row>
    <row r="116" spans="1:21" x14ac:dyDescent="0.3">
      <c r="A116" s="7">
        <f t="shared" si="24"/>
        <v/>
      </c>
      <c r="B116" s="7">
        <f>IF(C116=1,MAX(B$2:$B115)+1,IF(F116=0,"",B115))</f>
      </c>
      <c r="C116" s="7">
        <f>COUNTIF($F$2:$F116,F116)</f>
      </c>
      <c r="D116" s="7">
        <f>IF(F116=0,0,MAX($D$2:D115)+1)</f>
      </c>
      <c r="E116" s="7">
        <f>IF(H116=0,0,MAX($E$2:E115)+1)</f>
      </c>
      <c r="F116" s="177"/>
      <c r="G116" s="119"/>
      <c r="H116" s="119"/>
      <c r="I116" s="7">
        <f>IFERROR(VLOOKUP(H116,H$2:H115,1,FALSE),VLOOKUP(H116,H117:H$478,1,FALSE))</f>
      </c>
      <c r="J116" s="7">
        <f t="shared" si="17"/>
        <v/>
      </c>
      <c r="K116" s="7">
        <f t="shared" si="18"/>
        <v/>
      </c>
      <c r="L116" s="7">
        <f t="shared" si="19"/>
        <v/>
      </c>
      <c r="M116" s="19">
        <f t="shared" si="28"/>
        <v/>
      </c>
      <c r="N116" s="7">
        <f t="shared" si="20"/>
        <v/>
      </c>
      <c r="O116" s="7"/>
      <c r="P116" s="7">
        <f t="shared" si="21"/>
        <v/>
      </c>
      <c r="Q116" s="7">
        <f t="shared" si="22"/>
        <v/>
      </c>
      <c r="R116" s="7">
        <f t="shared" si="25"/>
      </c>
      <c r="S116" s="7">
        <f t="shared" si="26"/>
      </c>
      <c r="T116" s="7">
        <f t="shared" si="27"/>
      </c>
      <c r="U116" s="7">
        <f t="shared" si="23"/>
        <v/>
      </c>
    </row>
    <row r="117" spans="1:21" x14ac:dyDescent="0.3">
      <c r="A117" s="7">
        <f t="shared" si="24"/>
        <v/>
      </c>
      <c r="B117" s="7">
        <f>IF(C117=1,MAX(B$2:$B116)+1,IF(F117=0,"",B116))</f>
      </c>
      <c r="C117" s="7">
        <f>COUNTIF($F$2:$F117,F117)</f>
      </c>
      <c r="D117" s="7">
        <f>IF(F117=0,0,MAX($D$2:D116)+1)</f>
      </c>
      <c r="E117" s="7">
        <f>IF(H117=0,0,MAX($E$2:E116)+1)</f>
      </c>
      <c r="F117" s="177"/>
      <c r="G117" s="119"/>
      <c r="H117" s="119"/>
      <c r="I117" s="7">
        <f>IFERROR(VLOOKUP(H117,H$2:H116,1,FALSE),VLOOKUP(H117,H118:H$478,1,FALSE))</f>
      </c>
      <c r="J117" s="7">
        <f t="shared" si="17"/>
        <v/>
      </c>
      <c r="K117" s="7">
        <f t="shared" si="18"/>
        <v/>
      </c>
      <c r="L117" s="7">
        <f t="shared" si="19"/>
        <v/>
      </c>
      <c r="M117" s="19">
        <f t="shared" si="28"/>
        <v/>
      </c>
      <c r="N117" s="7">
        <f t="shared" si="20"/>
        <v/>
      </c>
      <c r="O117" s="7"/>
      <c r="P117" s="7">
        <f t="shared" si="21"/>
        <v/>
      </c>
      <c r="Q117" s="7">
        <f t="shared" si="22"/>
        <v/>
      </c>
      <c r="R117" s="7">
        <f t="shared" si="25"/>
      </c>
      <c r="S117" s="7">
        <f t="shared" si="26"/>
      </c>
      <c r="T117" s="7">
        <f t="shared" si="27"/>
      </c>
      <c r="U117" s="7">
        <f t="shared" si="23"/>
        <v/>
      </c>
    </row>
    <row r="118" spans="1:21" x14ac:dyDescent="0.3">
      <c r="A118" s="7">
        <f t="shared" si="24"/>
        <v/>
      </c>
      <c r="B118" s="7">
        <f>IF(C118=1,MAX(B$2:$B117)+1,IF(F118=0,"",B117))</f>
      </c>
      <c r="C118" s="7">
        <f>COUNTIF($F$2:$F118,F118)</f>
      </c>
      <c r="D118" s="7">
        <f>IF(F118=0,0,MAX($D$2:D117)+1)</f>
      </c>
      <c r="E118" s="7">
        <f>IF(H118=0,0,MAX($E$2:E117)+1)</f>
      </c>
      <c r="F118" s="177"/>
      <c r="G118" s="119"/>
      <c r="H118" s="119"/>
      <c r="I118" s="7">
        <f>IFERROR(VLOOKUP(H118,H$2:H117,1,FALSE),VLOOKUP(H118,H119:H$478,1,FALSE))</f>
      </c>
      <c r="J118" s="7">
        <f t="shared" si="17"/>
        <v/>
      </c>
      <c r="K118" s="7">
        <f t="shared" si="18"/>
        <v/>
      </c>
      <c r="L118" s="7">
        <f t="shared" si="19"/>
        <v/>
      </c>
      <c r="M118" s="19">
        <f t="shared" si="28"/>
        <v/>
      </c>
      <c r="N118" s="7">
        <f t="shared" si="20"/>
        <v/>
      </c>
      <c r="O118" s="7"/>
      <c r="P118" s="7">
        <f t="shared" si="21"/>
        <v/>
      </c>
      <c r="Q118" s="7">
        <f t="shared" si="22"/>
        <v/>
      </c>
      <c r="R118" s="7">
        <f t="shared" si="25"/>
      </c>
      <c r="S118" s="7">
        <f t="shared" si="26"/>
      </c>
      <c r="T118" s="7">
        <f t="shared" si="27"/>
      </c>
      <c r="U118" s="7">
        <f t="shared" si="23"/>
        <v/>
      </c>
    </row>
    <row r="119" spans="1:21" x14ac:dyDescent="0.3">
      <c r="A119" s="7">
        <f t="shared" si="24"/>
        <v/>
      </c>
      <c r="B119" s="7">
        <f>IF(C119=1,MAX(B$2:$B118)+1,IF(F119=0,"",B118))</f>
      </c>
      <c r="C119" s="7">
        <f>COUNTIF($F$2:$F119,F119)</f>
      </c>
      <c r="D119" s="7">
        <f>IF(F119=0,0,MAX($D$2:D118)+1)</f>
      </c>
      <c r="E119" s="7">
        <f>IF(H119=0,0,MAX($E$2:E118)+1)</f>
      </c>
      <c r="F119" s="177"/>
      <c r="G119" s="119"/>
      <c r="H119" s="119"/>
      <c r="I119" s="7">
        <f>IFERROR(VLOOKUP(H119,H$2:H118,1,FALSE),VLOOKUP(H119,H120:H$478,1,FALSE))</f>
      </c>
      <c r="J119" s="7">
        <f t="shared" si="17"/>
        <v/>
      </c>
      <c r="K119" s="7">
        <f t="shared" si="18"/>
        <v/>
      </c>
      <c r="L119" s="7">
        <f t="shared" si="19"/>
        <v/>
      </c>
      <c r="M119" s="19">
        <f t="shared" si="28"/>
        <v/>
      </c>
      <c r="N119" s="7">
        <f t="shared" si="20"/>
        <v/>
      </c>
      <c r="O119" s="7"/>
      <c r="P119" s="7">
        <f t="shared" si="21"/>
        <v/>
      </c>
      <c r="Q119" s="7">
        <f t="shared" si="22"/>
        <v/>
      </c>
      <c r="R119" s="7">
        <f t="shared" si="25"/>
      </c>
      <c r="S119" s="7">
        <f t="shared" si="26"/>
      </c>
      <c r="T119" s="7">
        <f t="shared" si="27"/>
      </c>
      <c r="U119" s="7">
        <f t="shared" si="23"/>
        <v/>
      </c>
    </row>
    <row r="120" spans="1:21" x14ac:dyDescent="0.3">
      <c r="A120" s="7">
        <f t="shared" si="24"/>
        <v/>
      </c>
      <c r="B120" s="7">
        <f>IF(C120=1,MAX(B$2:$B119)+1,IF(F120=0,"",B119))</f>
      </c>
      <c r="C120" s="7">
        <f>COUNTIF($F$2:$F120,F120)</f>
      </c>
      <c r="D120" s="7">
        <f>IF(F120=0,0,MAX($D$2:D119)+1)</f>
      </c>
      <c r="E120" s="7">
        <f>IF(H120=0,0,MAX($E$2:E119)+1)</f>
      </c>
      <c r="F120" s="177"/>
      <c r="G120" s="119"/>
      <c r="H120" s="119"/>
      <c r="I120" s="7">
        <f>IFERROR(VLOOKUP(H120,H$2:H119,1,FALSE),VLOOKUP(H120,H121:H$478,1,FALSE))</f>
      </c>
      <c r="J120" s="7">
        <f t="shared" si="17"/>
        <v/>
      </c>
      <c r="K120" s="7">
        <f t="shared" si="18"/>
        <v/>
      </c>
      <c r="L120" s="7">
        <f t="shared" si="19"/>
        <v/>
      </c>
      <c r="M120" s="19">
        <f t="shared" si="28"/>
        <v/>
      </c>
      <c r="N120" s="7">
        <f t="shared" si="20"/>
        <v/>
      </c>
      <c r="O120" s="7"/>
      <c r="P120" s="7">
        <f t="shared" si="21"/>
        <v/>
      </c>
      <c r="Q120" s="7">
        <f t="shared" si="22"/>
        <v/>
      </c>
      <c r="R120" s="7">
        <f t="shared" si="25"/>
      </c>
      <c r="S120" s="7">
        <f t="shared" si="26"/>
      </c>
      <c r="T120" s="7">
        <f t="shared" si="27"/>
      </c>
      <c r="U120" s="7">
        <f t="shared" si="23"/>
        <v/>
      </c>
    </row>
    <row r="121" spans="1:21" s="8" customFormat="1" ht="15" thickBot="1" x14ac:dyDescent="0.35">
      <c r="A121" s="7">
        <f t="shared" si="24"/>
        <v/>
      </c>
      <c r="B121" s="7">
        <f>IF(C121=1,MAX(B$2:$B120)+1,IF(F121=0,"",B120))</f>
      </c>
      <c r="C121" s="7">
        <f>COUNTIF($F$2:$F121,F121)</f>
      </c>
      <c r="D121" s="7">
        <f>IF(F121=0,0,MAX($D$2:D120)+1)</f>
      </c>
      <c r="E121" s="7">
        <f>IF(H121=0,0,MAX($E$2:E120)+1)</f>
      </c>
      <c r="F121" s="175"/>
      <c r="G121" s="119"/>
      <c r="H121" s="175"/>
      <c r="I121" s="47">
        <f>IFERROR(VLOOKUP(H121,H$2:H120,1,FALSE),VLOOKUP(H121,H122:H$478,1,FALSE))</f>
      </c>
      <c r="J121" s="47">
        <f t="shared" si="17"/>
        <v/>
      </c>
      <c r="K121" s="47">
        <f t="shared" si="18"/>
        <v/>
      </c>
      <c r="L121" s="47">
        <f t="shared" si="19"/>
        <v/>
      </c>
      <c r="M121" s="52">
        <f t="shared" si="28"/>
        <v/>
      </c>
      <c r="N121" s="47">
        <f t="shared" si="20"/>
        <v/>
      </c>
      <c r="O121" s="47"/>
      <c r="P121" s="47">
        <f t="shared" si="21"/>
        <v/>
      </c>
      <c r="Q121" s="47">
        <f t="shared" si="22"/>
        <v/>
      </c>
      <c r="R121" s="47">
        <f t="shared" si="25"/>
      </c>
      <c r="S121" s="47">
        <f t="shared" si="26"/>
      </c>
      <c r="T121" s="47">
        <f t="shared" si="27"/>
      </c>
      <c r="U121" s="47">
        <f t="shared" si="23"/>
        <v/>
      </c>
    </row>
    <row r="122" spans="1:21" x14ac:dyDescent="0.3">
      <c r="A122" s="7">
        <f t="shared" si="24"/>
        <v/>
      </c>
      <c r="B122" s="7">
        <f>IF(C122=1,MAX(B$2:$B121)+1,IF(F122=0,"",B121))</f>
      </c>
      <c r="C122" s="7">
        <f>COUNTIF($F$2:$F122,F122)</f>
      </c>
      <c r="D122" s="7">
        <f>IF(F122=0,0,MAX($D$2:D121)+1)</f>
      </c>
      <c r="E122" s="7">
        <f>IF(H122=0,0,MAX($E$2:E121)+1)</f>
      </c>
      <c r="F122" s="177"/>
      <c r="G122" s="177"/>
      <c r="H122" s="119"/>
      <c r="I122" s="7">
        <f>IFERROR(VLOOKUP(H122,H$2:H121,1,FALSE),VLOOKUP(H122,H123:H$478,1,FALSE))</f>
      </c>
      <c r="J122" s="7">
        <f t="shared" si="17"/>
        <v/>
      </c>
      <c r="K122" s="7">
        <f t="shared" si="18"/>
        <v/>
      </c>
      <c r="L122" s="7">
        <f t="shared" si="19"/>
        <v/>
      </c>
      <c r="M122" s="19">
        <f t="shared" si="28"/>
        <v/>
      </c>
      <c r="N122" s="7">
        <f t="shared" si="20"/>
        <v/>
      </c>
      <c r="O122" s="7"/>
      <c r="P122" s="7">
        <f t="shared" si="21"/>
        <v/>
      </c>
      <c r="Q122" s="7">
        <f t="shared" si="22"/>
        <v/>
      </c>
      <c r="R122" s="7">
        <f t="shared" si="25"/>
      </c>
      <c r="S122" s="7">
        <f t="shared" si="26"/>
      </c>
      <c r="T122" s="7">
        <f t="shared" si="27"/>
      </c>
      <c r="U122" s="7">
        <f t="shared" si="23"/>
        <v/>
      </c>
    </row>
    <row r="123" spans="1:21" x14ac:dyDescent="0.3">
      <c r="A123" s="7">
        <f t="shared" si="24"/>
        <v/>
      </c>
      <c r="B123" s="7">
        <f>IF(C123=1,MAX(B$2:$B122)+1,IF(F123=0,"",B122))</f>
      </c>
      <c r="C123" s="7">
        <f>COUNTIF($F$2:$F123,F123)</f>
      </c>
      <c r="D123" s="7">
        <f>IF(F123=0,0,MAX($D$2:D122)+1)</f>
      </c>
      <c r="E123" s="7">
        <f>IF(H123=0,0,MAX($E$2:E122)+1)</f>
      </c>
      <c r="F123" s="177"/>
      <c r="G123" s="119"/>
      <c r="H123" s="119"/>
      <c r="I123" s="7">
        <f>IFERROR(VLOOKUP(H123,H$2:H122,1,FALSE),VLOOKUP(H123,H124:H$478,1,FALSE))</f>
      </c>
      <c r="J123" s="7">
        <f t="shared" si="17"/>
        <v/>
      </c>
      <c r="K123" s="7">
        <f t="shared" si="18"/>
        <v/>
      </c>
      <c r="L123" s="7">
        <f t="shared" si="19"/>
        <v/>
      </c>
      <c r="M123" s="19">
        <f t="shared" si="28"/>
        <v/>
      </c>
      <c r="N123" s="7">
        <f t="shared" si="20"/>
        <v/>
      </c>
      <c r="O123" s="7"/>
      <c r="P123" s="7">
        <f t="shared" si="21"/>
        <v/>
      </c>
      <c r="Q123" s="7">
        <f t="shared" si="22"/>
        <v/>
      </c>
      <c r="R123" s="7">
        <f t="shared" si="25"/>
      </c>
      <c r="S123" s="7">
        <f t="shared" si="26"/>
      </c>
      <c r="T123" s="7">
        <f t="shared" si="27"/>
      </c>
      <c r="U123" s="7">
        <f t="shared" si="23"/>
        <v/>
      </c>
    </row>
    <row r="124" spans="1:21" x14ac:dyDescent="0.3">
      <c r="A124" s="7">
        <f t="shared" si="24"/>
        <v/>
      </c>
      <c r="B124" s="7">
        <f>IF(C124=1,MAX(B$2:$B123)+1,IF(F124=0,"",B123))</f>
      </c>
      <c r="C124" s="7">
        <f>COUNTIF($F$2:$F124,F124)</f>
      </c>
      <c r="D124" s="7">
        <f>IF(F124=0,0,MAX($D$2:D123)+1)</f>
      </c>
      <c r="E124" s="7">
        <f>IF(H124=0,0,MAX($E$2:E123)+1)</f>
      </c>
      <c r="F124" s="177"/>
      <c r="G124" s="119"/>
      <c r="H124" s="119"/>
      <c r="I124" s="7">
        <f>IFERROR(VLOOKUP(H124,H$2:H123,1,FALSE),VLOOKUP(H124,H125:H$478,1,FALSE))</f>
      </c>
      <c r="J124" s="7">
        <f t="shared" si="17"/>
        <v/>
      </c>
      <c r="K124" s="7">
        <f t="shared" si="18"/>
        <v/>
      </c>
      <c r="L124" s="7">
        <f t="shared" si="19"/>
        <v/>
      </c>
      <c r="M124" s="19">
        <f t="shared" si="28"/>
        <v/>
      </c>
      <c r="N124" s="7">
        <f t="shared" si="20"/>
        <v/>
      </c>
      <c r="O124" s="7"/>
      <c r="P124" s="7">
        <f t="shared" si="21"/>
        <v/>
      </c>
      <c r="Q124" s="7">
        <f t="shared" si="22"/>
        <v/>
      </c>
      <c r="R124" s="7">
        <f t="shared" si="25"/>
      </c>
      <c r="S124" s="7">
        <f t="shared" si="26"/>
      </c>
      <c r="T124" s="7">
        <f t="shared" si="27"/>
      </c>
      <c r="U124" s="7">
        <f t="shared" si="23"/>
        <v/>
      </c>
    </row>
    <row r="125" spans="1:21" x14ac:dyDescent="0.3">
      <c r="A125" s="7">
        <f t="shared" si="24"/>
        <v/>
      </c>
      <c r="B125" s="7">
        <f>IF(C125=1,MAX(B$2:$B124)+1,IF(F125=0,"",B124))</f>
      </c>
      <c r="C125" s="7">
        <f>COUNTIF($F$2:$F125,F125)</f>
      </c>
      <c r="D125" s="7">
        <f>IF(F125=0,0,MAX($D$2:D124)+1)</f>
      </c>
      <c r="E125" s="7">
        <f>IF(H125=0,0,MAX($E$2:E124)+1)</f>
      </c>
      <c r="F125" s="177"/>
      <c r="G125" s="119"/>
      <c r="H125" s="119"/>
      <c r="I125" s="7">
        <f>IFERROR(VLOOKUP(H125,H$2:H124,1,FALSE),VLOOKUP(H125,H126:H$478,1,FALSE))</f>
      </c>
      <c r="J125" s="7">
        <f t="shared" si="17"/>
        <v/>
      </c>
      <c r="K125" s="7">
        <f t="shared" si="18"/>
        <v/>
      </c>
      <c r="L125" s="7">
        <f t="shared" si="19"/>
        <v/>
      </c>
      <c r="M125" s="19">
        <f t="shared" si="28"/>
        <v/>
      </c>
      <c r="N125" s="7">
        <f t="shared" si="20"/>
        <v/>
      </c>
      <c r="O125" s="7"/>
      <c r="P125" s="7">
        <f t="shared" si="21"/>
        <v/>
      </c>
      <c r="Q125" s="7">
        <f t="shared" si="22"/>
        <v/>
      </c>
      <c r="R125" s="7">
        <f t="shared" si="25"/>
      </c>
      <c r="S125" s="7">
        <f t="shared" si="26"/>
      </c>
      <c r="T125" s="7">
        <f t="shared" si="27"/>
      </c>
      <c r="U125" s="7">
        <f t="shared" si="23"/>
        <v/>
      </c>
    </row>
    <row r="126" spans="1:21" x14ac:dyDescent="0.3">
      <c r="A126" s="7">
        <f t="shared" si="24"/>
        <v/>
      </c>
      <c r="B126" s="7">
        <f>IF(C126=1,MAX(B$2:$B125)+1,IF(F126=0,"",B125))</f>
      </c>
      <c r="C126" s="7">
        <f>COUNTIF($F$2:$F126,F126)</f>
      </c>
      <c r="D126" s="7">
        <f>IF(F126=0,0,MAX($D$2:D125)+1)</f>
      </c>
      <c r="E126" s="7">
        <f>IF(H126=0,0,MAX($E$2:E125)+1)</f>
      </c>
      <c r="F126" s="177"/>
      <c r="G126" s="119"/>
      <c r="H126" s="119"/>
      <c r="I126" s="7">
        <f>IFERROR(VLOOKUP(H126,H$2:H125,1,FALSE),VLOOKUP(H126,H127:H$478,1,FALSE))</f>
      </c>
      <c r="J126" s="7">
        <f t="shared" si="17"/>
        <v/>
      </c>
      <c r="K126" s="7">
        <f t="shared" si="18"/>
        <v/>
      </c>
      <c r="L126" s="7">
        <f t="shared" si="19"/>
        <v/>
      </c>
      <c r="M126" s="19">
        <f t="shared" si="28"/>
        <v/>
      </c>
      <c r="N126" s="7">
        <f t="shared" si="20"/>
        <v/>
      </c>
      <c r="O126" s="7"/>
      <c r="P126" s="7">
        <f t="shared" si="21"/>
        <v/>
      </c>
      <c r="Q126" s="7">
        <f t="shared" si="22"/>
        <v/>
      </c>
      <c r="R126" s="7">
        <f t="shared" si="25"/>
      </c>
      <c r="S126" s="7">
        <f t="shared" si="26"/>
      </c>
      <c r="T126" s="7">
        <f t="shared" si="27"/>
      </c>
      <c r="U126" s="7">
        <f t="shared" si="23"/>
        <v/>
      </c>
    </row>
    <row r="127" spans="1:21" x14ac:dyDescent="0.3">
      <c r="A127" s="7">
        <f t="shared" si="24"/>
        <v/>
      </c>
      <c r="B127" s="7">
        <f>IF(C127=1,MAX(B$2:$B126)+1,IF(F127=0,"",B126))</f>
      </c>
      <c r="C127" s="7">
        <f>COUNTIF($F$2:$F127,F127)</f>
      </c>
      <c r="D127" s="7">
        <f>IF(F127=0,0,MAX($D$2:D126)+1)</f>
      </c>
      <c r="E127" s="7">
        <f>IF(H127=0,0,MAX($E$2:E126)+1)</f>
      </c>
      <c r="F127" s="177"/>
      <c r="G127" s="119"/>
      <c r="H127" s="119"/>
      <c r="I127" s="7">
        <f>IFERROR(VLOOKUP(H127,H$2:H126,1,FALSE),VLOOKUP(H127,H128:H$478,1,FALSE))</f>
      </c>
      <c r="J127" s="7">
        <f t="shared" si="17"/>
        <v/>
      </c>
      <c r="K127" s="7">
        <f t="shared" si="18"/>
        <v/>
      </c>
      <c r="L127" s="7">
        <f t="shared" si="19"/>
        <v/>
      </c>
      <c r="M127" s="19">
        <f t="shared" si="28"/>
        <v/>
      </c>
      <c r="N127" s="7">
        <f t="shared" si="20"/>
        <v/>
      </c>
      <c r="O127" s="7"/>
      <c r="P127" s="7">
        <f t="shared" si="21"/>
        <v/>
      </c>
      <c r="Q127" s="7">
        <f t="shared" si="22"/>
        <v/>
      </c>
      <c r="R127" s="7">
        <f t="shared" si="25"/>
      </c>
      <c r="S127" s="7">
        <f t="shared" si="26"/>
      </c>
      <c r="T127" s="7">
        <f t="shared" si="27"/>
      </c>
      <c r="U127" s="7">
        <f t="shared" si="23"/>
        <v/>
      </c>
    </row>
    <row r="128" spans="1:21" x14ac:dyDescent="0.3">
      <c r="A128" s="7">
        <f t="shared" si="24"/>
        <v/>
      </c>
      <c r="B128" s="7">
        <f>IF(C128=1,MAX(B$2:$B127)+1,IF(F128=0,"",B127))</f>
      </c>
      <c r="C128" s="7">
        <f>COUNTIF($F$2:$F128,F128)</f>
      </c>
      <c r="D128" s="7">
        <f>IF(F128=0,0,MAX($D$2:D127)+1)</f>
      </c>
      <c r="E128" s="7">
        <f>IF(H128=0,0,MAX($E$2:E127)+1)</f>
      </c>
      <c r="F128" s="177"/>
      <c r="G128" s="119"/>
      <c r="H128" s="119"/>
      <c r="I128" s="7">
        <f>IFERROR(VLOOKUP(H128,H$2:H127,1,FALSE),VLOOKUP(H128,H129:H$478,1,FALSE))</f>
      </c>
      <c r="J128" s="7">
        <f t="shared" si="17"/>
        <v/>
      </c>
      <c r="K128" s="7">
        <f t="shared" si="18"/>
        <v/>
      </c>
      <c r="L128" s="7">
        <f t="shared" si="19"/>
        <v/>
      </c>
      <c r="M128" s="19">
        <f t="shared" si="28"/>
        <v/>
      </c>
      <c r="N128" s="7">
        <f t="shared" si="20"/>
        <v/>
      </c>
      <c r="O128" s="7"/>
      <c r="P128" s="7">
        <f t="shared" si="21"/>
        <v/>
      </c>
      <c r="Q128" s="7">
        <f t="shared" si="22"/>
        <v/>
      </c>
      <c r="R128" s="7">
        <f t="shared" si="25"/>
      </c>
      <c r="S128" s="7">
        <f t="shared" si="26"/>
      </c>
      <c r="T128" s="7">
        <f t="shared" si="27"/>
      </c>
      <c r="U128" s="7">
        <f t="shared" si="23"/>
        <v/>
      </c>
    </row>
    <row r="129" spans="1:21" x14ac:dyDescent="0.3">
      <c r="A129" s="7">
        <f t="shared" si="24"/>
        <v/>
      </c>
      <c r="B129" s="7">
        <f>IF(C129=1,MAX(B$2:$B128)+1,IF(F129=0,"",B128))</f>
      </c>
      <c r="C129" s="7">
        <f>COUNTIF($F$2:$F129,F129)</f>
      </c>
      <c r="D129" s="7">
        <f>IF(F129=0,0,MAX($D$2:D128)+1)</f>
      </c>
      <c r="E129" s="7">
        <f>IF(H129=0,0,MAX($E$2:E128)+1)</f>
      </c>
      <c r="F129" s="177"/>
      <c r="G129" s="119"/>
      <c r="H129" s="119"/>
      <c r="I129" s="7">
        <f>IFERROR(VLOOKUP(H129,H$2:H128,1,FALSE),VLOOKUP(H129,H130:H$478,1,FALSE))</f>
      </c>
      <c r="J129" s="7">
        <f t="shared" si="17"/>
        <v/>
      </c>
      <c r="K129" s="7">
        <f t="shared" si="18"/>
        <v/>
      </c>
      <c r="L129" s="7">
        <f t="shared" si="19"/>
        <v/>
      </c>
      <c r="M129" s="19">
        <f t="shared" si="28"/>
        <v/>
      </c>
      <c r="N129" s="7">
        <f t="shared" si="20"/>
        <v/>
      </c>
      <c r="O129" s="7"/>
      <c r="P129" s="7">
        <f t="shared" si="21"/>
        <v/>
      </c>
      <c r="Q129" s="7">
        <f t="shared" si="22"/>
        <v/>
      </c>
      <c r="R129" s="7">
        <f t="shared" si="25"/>
      </c>
      <c r="S129" s="7">
        <f t="shared" si="26"/>
      </c>
      <c r="T129" s="7">
        <f t="shared" si="27"/>
      </c>
      <c r="U129" s="7">
        <f t="shared" si="23"/>
        <v/>
      </c>
    </row>
    <row r="130" spans="1:21" x14ac:dyDescent="0.3">
      <c r="A130" s="7">
        <f t="shared" si="24"/>
        <v/>
      </c>
      <c r="B130" s="7">
        <f>IF(C130=1,MAX(B$2:$B129)+1,IF(F130=0,"",B129))</f>
      </c>
      <c r="C130" s="7">
        <f>COUNTIF($F$2:$F130,F130)</f>
      </c>
      <c r="D130" s="7">
        <f>IF(F130=0,0,MAX($D$2:D129)+1)</f>
      </c>
      <c r="E130" s="7">
        <f>IF(H130=0,0,MAX($E$2:E129)+1)</f>
      </c>
      <c r="F130" s="177"/>
      <c r="G130" s="119"/>
      <c r="H130" s="119"/>
      <c r="I130" s="7">
        <f>IFERROR(VLOOKUP(H130,H$2:H129,1,FALSE),VLOOKUP(H130,H131:H$478,1,FALSE))</f>
      </c>
      <c r="J130" s="7">
        <f t="shared" si="17"/>
        <v/>
      </c>
      <c r="K130" s="7">
        <f t="shared" si="18"/>
        <v/>
      </c>
      <c r="L130" s="7">
        <f t="shared" si="19"/>
        <v/>
      </c>
      <c r="M130" s="19">
        <f t="shared" si="28"/>
        <v/>
      </c>
      <c r="N130" s="7">
        <f t="shared" si="20"/>
        <v/>
      </c>
      <c r="O130" s="7"/>
      <c r="P130" s="7">
        <f t="shared" si="21"/>
        <v/>
      </c>
      <c r="Q130" s="7">
        <f t="shared" si="22"/>
        <v/>
      </c>
      <c r="R130" s="7">
        <f t="shared" si="25"/>
      </c>
      <c r="S130" s="7">
        <f t="shared" si="26"/>
      </c>
      <c r="T130" s="7">
        <f t="shared" si="27"/>
      </c>
      <c r="U130" s="7">
        <f t="shared" si="23"/>
        <v/>
      </c>
    </row>
    <row r="131" spans="1:21" x14ac:dyDescent="0.3">
      <c r="A131" s="7">
        <f t="shared" si="24"/>
        <v/>
      </c>
      <c r="B131" s="7">
        <f>IF(C131=1,MAX(B$2:$B130)+1,IF(F131=0,"",B130))</f>
      </c>
      <c r="C131" s="7">
        <f>COUNTIF($F$2:$F131,F131)</f>
      </c>
      <c r="D131" s="7">
        <f>IF(F131=0,0,MAX($D$2:D130)+1)</f>
      </c>
      <c r="E131" s="7">
        <f>IF(H131=0,0,MAX($E$2:E130)+1)</f>
      </c>
      <c r="F131" s="177"/>
      <c r="G131" s="119"/>
      <c r="H131" s="119"/>
      <c r="I131" s="7">
        <f>IFERROR(VLOOKUP(H131,H$2:H130,1,FALSE),VLOOKUP(H131,H132:H$478,1,FALSE))</f>
      </c>
      <c r="J131" s="7">
        <f t="shared" ref="J131:J194" si="29">IF($H131=0,"",VLOOKUP($H131,Исходные_данные,36,FALSE))</f>
        <v/>
      </c>
      <c r="K131" s="7">
        <f t="shared" ref="K131:K194" si="30">IF($H131=0,"",VLOOKUP($H131,Исходные_данные,37,FALSE))</f>
        <v/>
      </c>
      <c r="L131" s="7">
        <f t="shared" ref="L131:L194" si="31">IF($H131=0,"",VLOOKUP($H131,Исходные_данные,38,FALSE))</f>
        <v/>
      </c>
      <c r="M131" s="19">
        <f t="shared" si="28"/>
        <v/>
      </c>
      <c r="N131" s="7">
        <f t="shared" ref="N131:N194" si="32">IF($H131=0,"",VLOOKUP($H131,Исходные_данные,39,FALSE))</f>
        <v/>
      </c>
      <c r="O131" s="7"/>
      <c r="P131" s="7">
        <f t="shared" ref="P131:P194" si="33">IF($H131=0,"",VLOOKUP($H131,Исходные_данные,41,FALSE))</f>
        <v/>
      </c>
      <c r="Q131" s="7">
        <f t="shared" ref="Q131:Q194" si="34">IF($H131=0,"",VLOOKUP($H131,Исходные_данные,8,FALSE))</f>
        <v/>
      </c>
      <c r="R131" s="7">
        <f t="shared" si="25"/>
      </c>
      <c r="S131" s="7">
        <f t="shared" si="26"/>
      </c>
      <c r="T131" s="7">
        <f t="shared" si="27"/>
      </c>
      <c r="U131" s="7">
        <f t="shared" ref="U131:U194" si="35">IF($H131=0,"",VLOOKUP($H131,Исходные_данные,31,FALSE))</f>
        <v/>
      </c>
    </row>
    <row r="132" spans="1:21" x14ac:dyDescent="0.3">
      <c r="A132" s="7">
        <f t="shared" ref="A132:A180" si="36">IF(B132=B133,"",B132)</f>
        <v/>
      </c>
      <c r="B132" s="7">
        <f>IF(C132=1,MAX(B$2:$B131)+1,IF(F132=0,"",B131))</f>
      </c>
      <c r="C132" s="7">
        <f>COUNTIF($F$2:$F132,F132)</f>
      </c>
      <c r="D132" s="7">
        <f>IF(F132=0,0,MAX($D$2:D131)+1)</f>
      </c>
      <c r="E132" s="7">
        <f>IF(H132=0,0,MAX($E$2:E131)+1)</f>
      </c>
      <c r="F132" s="177"/>
      <c r="G132" s="119"/>
      <c r="H132" s="119"/>
      <c r="I132" s="7">
        <f>IFERROR(VLOOKUP(H132,H$2:H131,1,FALSE),VLOOKUP(H132,H133:H$478,1,FALSE))</f>
      </c>
      <c r="J132" s="7">
        <f t="shared" si="29"/>
        <v/>
      </c>
      <c r="K132" s="7">
        <f t="shared" si="30"/>
        <v/>
      </c>
      <c r="L132" s="7">
        <f t="shared" si="31"/>
        <v/>
      </c>
      <c r="M132" s="19">
        <f t="shared" si="28"/>
        <v/>
      </c>
      <c r="N132" s="7">
        <f t="shared" si="32"/>
        <v/>
      </c>
      <c r="O132" s="7"/>
      <c r="P132" s="7">
        <f t="shared" si="33"/>
        <v/>
      </c>
      <c r="Q132" s="7">
        <f t="shared" si="34"/>
        <v/>
      </c>
      <c r="R132" s="7">
        <f t="shared" ref="R132:R195" si="37">IF(Q132=3,"L1,L2,L3",0)</f>
      </c>
      <c r="S132" s="7">
        <f t="shared" ref="S132:S195" si="38">IF(C132=1,1,IF(Q132=3,S131,IF(S131=3,1,S131+1)))</f>
      </c>
      <c r="T132" s="7">
        <f t="shared" ref="T132:T195" si="39">IF(R132=0,"L"&amp;S132,R132)</f>
      </c>
      <c r="U132" s="7">
        <f t="shared" si="35"/>
        <v/>
      </c>
    </row>
    <row r="133" spans="1:21" x14ac:dyDescent="0.3">
      <c r="A133" s="7">
        <f t="shared" si="36"/>
        <v/>
      </c>
      <c r="B133" s="7">
        <f>IF(C133=1,MAX(B$2:$B132)+1,IF(F133=0,"",B132))</f>
      </c>
      <c r="C133" s="7">
        <f>COUNTIF($F$2:$F133,F133)</f>
      </c>
      <c r="D133" s="7">
        <f>IF(F133=0,0,MAX($D$2:D132)+1)</f>
      </c>
      <c r="E133" s="7">
        <f>IF(H133=0,0,MAX($E$2:E132)+1)</f>
      </c>
      <c r="F133" s="177"/>
      <c r="G133" s="119"/>
      <c r="H133" s="119"/>
      <c r="I133" s="7">
        <f>IFERROR(VLOOKUP(H133,H$2:H132,1,FALSE),VLOOKUP(H133,H134:H$478,1,FALSE))</f>
      </c>
      <c r="J133" s="7">
        <f t="shared" si="29"/>
        <v/>
      </c>
      <c r="K133" s="7">
        <f t="shared" si="30"/>
        <v/>
      </c>
      <c r="L133" s="7">
        <f t="shared" si="31"/>
        <v/>
      </c>
      <c r="M133" s="19">
        <f t="shared" ref="M133:M196" si="40">IFERROR(VLOOKUP(H133,Нагрузка_диапазон_1,4,FALSE),"")</f>
        <v/>
      </c>
      <c r="N133" s="7">
        <f t="shared" si="32"/>
        <v/>
      </c>
      <c r="O133" s="7"/>
      <c r="P133" s="7">
        <f t="shared" si="33"/>
        <v/>
      </c>
      <c r="Q133" s="7">
        <f t="shared" si="34"/>
        <v/>
      </c>
      <c r="R133" s="7">
        <f t="shared" si="37"/>
      </c>
      <c r="S133" s="7">
        <f t="shared" si="38"/>
      </c>
      <c r="T133" s="7">
        <f t="shared" si="39"/>
      </c>
      <c r="U133" s="7">
        <f t="shared" si="35"/>
        <v/>
      </c>
    </row>
    <row r="134" spans="1:21" x14ac:dyDescent="0.3">
      <c r="A134" s="7">
        <f t="shared" si="36"/>
        <v/>
      </c>
      <c r="B134" s="7">
        <f>IF(C134=1,MAX(B$2:$B133)+1,IF(F134=0,"",B133))</f>
      </c>
      <c r="C134" s="7">
        <f>COUNTIF($F$2:$F134,F134)</f>
      </c>
      <c r="D134" s="7">
        <f>IF(F134=0,0,MAX($D$2:D133)+1)</f>
      </c>
      <c r="E134" s="7">
        <f>IF(H134=0,0,MAX($E$2:E133)+1)</f>
      </c>
      <c r="F134" s="177"/>
      <c r="G134" s="119"/>
      <c r="H134" s="119"/>
      <c r="I134" s="7">
        <f>IFERROR(VLOOKUP(H134,H$2:H133,1,FALSE),VLOOKUP(H134,H135:H$478,1,FALSE))</f>
      </c>
      <c r="J134" s="7">
        <f t="shared" si="29"/>
        <v/>
      </c>
      <c r="K134" s="7">
        <f t="shared" si="30"/>
        <v/>
      </c>
      <c r="L134" s="7">
        <f t="shared" si="31"/>
        <v/>
      </c>
      <c r="M134" s="19">
        <f t="shared" si="40"/>
        <v/>
      </c>
      <c r="N134" s="7">
        <f t="shared" si="32"/>
        <v/>
      </c>
      <c r="O134" s="7"/>
      <c r="P134" s="7">
        <f t="shared" si="33"/>
        <v/>
      </c>
      <c r="Q134" s="7">
        <f t="shared" si="34"/>
        <v/>
      </c>
      <c r="R134" s="7">
        <f t="shared" si="37"/>
      </c>
      <c r="S134" s="7">
        <f t="shared" si="38"/>
      </c>
      <c r="T134" s="7">
        <f t="shared" si="39"/>
      </c>
      <c r="U134" s="7">
        <f t="shared" si="35"/>
        <v/>
      </c>
    </row>
    <row r="135" spans="1:21" x14ac:dyDescent="0.3">
      <c r="A135" s="7">
        <f t="shared" si="36"/>
        <v/>
      </c>
      <c r="B135" s="7">
        <f>IF(C135=1,MAX(B$2:$B134)+1,IF(F135=0,"",B134))</f>
      </c>
      <c r="C135" s="7">
        <f>COUNTIF($F$2:$F135,F135)</f>
      </c>
      <c r="D135" s="7">
        <f>IF(F135=0,0,MAX($D$2:D134)+1)</f>
      </c>
      <c r="E135" s="7">
        <f>IF(H135=0,0,MAX($E$2:E134)+1)</f>
      </c>
      <c r="F135" s="177"/>
      <c r="G135" s="119"/>
      <c r="H135" s="119"/>
      <c r="I135" s="7">
        <f>IFERROR(VLOOKUP(H135,H$2:H134,1,FALSE),VLOOKUP(H135,H136:H$478,1,FALSE))</f>
      </c>
      <c r="J135" s="7">
        <f t="shared" si="29"/>
        <v/>
      </c>
      <c r="K135" s="7">
        <f t="shared" si="30"/>
        <v/>
      </c>
      <c r="L135" s="7">
        <f t="shared" si="31"/>
        <v/>
      </c>
      <c r="M135" s="19">
        <f t="shared" si="40"/>
        <v/>
      </c>
      <c r="N135" s="7">
        <f t="shared" si="32"/>
        <v/>
      </c>
      <c r="O135" s="7"/>
      <c r="P135" s="7">
        <f t="shared" si="33"/>
        <v/>
      </c>
      <c r="Q135" s="7">
        <f t="shared" si="34"/>
        <v/>
      </c>
      <c r="R135" s="7">
        <f t="shared" si="37"/>
      </c>
      <c r="S135" s="7">
        <f t="shared" si="38"/>
      </c>
      <c r="T135" s="7">
        <f t="shared" si="39"/>
      </c>
      <c r="U135" s="7">
        <f t="shared" si="35"/>
        <v/>
      </c>
    </row>
    <row r="136" spans="1:21" x14ac:dyDescent="0.3">
      <c r="A136" s="7">
        <f t="shared" si="36"/>
        <v/>
      </c>
      <c r="B136" s="7">
        <f>IF(C136=1,MAX(B$2:$B135)+1,IF(F136=0,"",B135))</f>
      </c>
      <c r="C136" s="7">
        <f>COUNTIF($F$2:$F136,F136)</f>
      </c>
      <c r="D136" s="7">
        <f>IF(F136=0,0,MAX($D$2:D135)+1)</f>
      </c>
      <c r="E136" s="7">
        <f>IF(H136=0,0,MAX($E$2:E135)+1)</f>
      </c>
      <c r="F136" s="177"/>
      <c r="G136" s="177"/>
      <c r="H136" s="119"/>
      <c r="I136" s="7">
        <f>IFERROR(VLOOKUP(H136,H$2:H135,1,FALSE),VLOOKUP(H136,H137:H$478,1,FALSE))</f>
      </c>
      <c r="J136" s="7">
        <f t="shared" si="29"/>
        <v/>
      </c>
      <c r="K136" s="7">
        <f t="shared" si="30"/>
        <v/>
      </c>
      <c r="L136" s="7">
        <f t="shared" si="31"/>
        <v/>
      </c>
      <c r="M136" s="19">
        <f t="shared" si="40"/>
        <v/>
      </c>
      <c r="N136" s="7">
        <f t="shared" si="32"/>
        <v/>
      </c>
      <c r="O136" s="7"/>
      <c r="P136" s="7">
        <f t="shared" si="33"/>
        <v/>
      </c>
      <c r="Q136" s="7">
        <f t="shared" si="34"/>
        <v/>
      </c>
      <c r="R136" s="7">
        <f t="shared" si="37"/>
      </c>
      <c r="S136" s="7">
        <f t="shared" si="38"/>
      </c>
      <c r="T136" s="7">
        <f t="shared" si="39"/>
      </c>
      <c r="U136" s="7">
        <f t="shared" si="35"/>
        <v/>
      </c>
    </row>
    <row r="137" spans="1:21" x14ac:dyDescent="0.3">
      <c r="A137" s="7">
        <f t="shared" si="36"/>
        <v/>
      </c>
      <c r="B137" s="7">
        <f>IF(C137=1,MAX(B$2:$B136)+1,IF(F137=0,"",B136))</f>
      </c>
      <c r="C137" s="7">
        <f>COUNTIF($F$2:$F137,F137)</f>
      </c>
      <c r="D137" s="7">
        <f>IF(F137=0,0,MAX($D$2:D136)+1)</f>
      </c>
      <c r="E137" s="7">
        <f>IF(H137=0,0,MAX($E$2:E136)+1)</f>
      </c>
      <c r="F137" s="177"/>
      <c r="G137" s="119"/>
      <c r="H137" s="119"/>
      <c r="I137" s="7">
        <f>IFERROR(VLOOKUP(H137,H$2:H136,1,FALSE),VLOOKUP(H137,H138:H$478,1,FALSE))</f>
      </c>
      <c r="J137" s="7">
        <f t="shared" si="29"/>
        <v/>
      </c>
      <c r="K137" s="7">
        <f t="shared" si="30"/>
        <v/>
      </c>
      <c r="L137" s="7">
        <f t="shared" si="31"/>
        <v/>
      </c>
      <c r="M137" s="19">
        <f t="shared" si="40"/>
        <v/>
      </c>
      <c r="N137" s="7">
        <f t="shared" si="32"/>
        <v/>
      </c>
      <c r="O137" s="7"/>
      <c r="P137" s="7">
        <f t="shared" si="33"/>
        <v/>
      </c>
      <c r="Q137" s="7">
        <f t="shared" si="34"/>
        <v/>
      </c>
      <c r="R137" s="7">
        <f t="shared" si="37"/>
      </c>
      <c r="S137" s="7">
        <f t="shared" si="38"/>
      </c>
      <c r="T137" s="7">
        <f t="shared" si="39"/>
      </c>
      <c r="U137" s="7">
        <f t="shared" si="35"/>
        <v/>
      </c>
    </row>
    <row r="138" spans="1:21" s="8" customFormat="1" ht="15" thickBot="1" x14ac:dyDescent="0.35">
      <c r="A138" s="7">
        <f t="shared" si="36"/>
        <v/>
      </c>
      <c r="B138" s="7">
        <f>IF(C138=1,MAX(B$2:$B137)+1,IF(F138=0,"",B137))</f>
      </c>
      <c r="C138" s="7">
        <f>COUNTIF($F$2:$F138,F138)</f>
      </c>
      <c r="D138" s="7">
        <f>IF(F138=0,0,MAX($D$2:D137)+1)</f>
      </c>
      <c r="E138" s="7">
        <f>IF(H138=0,0,MAX($E$2:E137)+1)</f>
      </c>
      <c r="F138" s="177"/>
      <c r="G138" s="175"/>
      <c r="H138" s="119"/>
      <c r="I138" s="47">
        <f>IFERROR(VLOOKUP(H138,H$2:H137,1,FALSE),VLOOKUP(H138,H139:H$478,1,FALSE))</f>
      </c>
      <c r="J138" s="47">
        <f t="shared" si="29"/>
        <v/>
      </c>
      <c r="K138" s="47">
        <f t="shared" si="30"/>
        <v/>
      </c>
      <c r="L138" s="47">
        <f t="shared" si="31"/>
        <v/>
      </c>
      <c r="M138" s="52">
        <f t="shared" si="40"/>
        <v/>
      </c>
      <c r="N138" s="47">
        <f t="shared" si="32"/>
        <v/>
      </c>
      <c r="O138" s="47"/>
      <c r="P138" s="47">
        <f t="shared" si="33"/>
        <v/>
      </c>
      <c r="Q138" s="47">
        <f t="shared" si="34"/>
        <v/>
      </c>
      <c r="R138" s="47">
        <f t="shared" si="37"/>
      </c>
      <c r="S138" s="47">
        <f t="shared" si="38"/>
      </c>
      <c r="T138" s="47">
        <f t="shared" si="39"/>
      </c>
      <c r="U138" s="47">
        <f t="shared" si="35"/>
        <v/>
      </c>
    </row>
    <row r="139" spans="1:21" x14ac:dyDescent="0.3">
      <c r="A139" s="7">
        <f t="shared" si="36"/>
        <v/>
      </c>
      <c r="B139" s="7">
        <f>IF(C139=1,MAX(B$2:$B138)+1,IF(F139=0,"",B138))</f>
      </c>
      <c r="C139" s="7">
        <f>COUNTIF($F$2:$F139,F139)</f>
      </c>
      <c r="D139" s="7">
        <f>IF(F139=0,0,MAX($D$2:D138)+1)</f>
      </c>
      <c r="E139" s="7">
        <f>IF(H139=0,0,MAX($E$2:E138)+1)</f>
      </c>
      <c r="F139" s="177"/>
      <c r="G139" s="119"/>
      <c r="H139" s="177"/>
      <c r="I139" s="7">
        <f>IFERROR(VLOOKUP(H139,H$2:H138,1,FALSE),VLOOKUP(H139,H140:H$478,1,FALSE))</f>
      </c>
      <c r="J139" s="7">
        <f t="shared" si="29"/>
        <v/>
      </c>
      <c r="K139" s="7">
        <f t="shared" si="30"/>
        <v/>
      </c>
      <c r="L139" s="7">
        <f t="shared" si="31"/>
        <v/>
      </c>
      <c r="M139" s="19">
        <f t="shared" si="40"/>
        <v/>
      </c>
      <c r="N139" s="7">
        <f t="shared" si="32"/>
        <v/>
      </c>
      <c r="O139" s="7"/>
      <c r="P139" s="7">
        <f t="shared" si="33"/>
        <v/>
      </c>
      <c r="Q139" s="7">
        <f t="shared" si="34"/>
        <v/>
      </c>
      <c r="R139" s="7">
        <f t="shared" si="37"/>
      </c>
      <c r="S139" s="7">
        <f t="shared" si="38"/>
      </c>
      <c r="T139" s="7">
        <f t="shared" si="39"/>
      </c>
      <c r="U139" s="7">
        <f t="shared" si="35"/>
        <v/>
      </c>
    </row>
    <row r="140" spans="1:21" x14ac:dyDescent="0.3">
      <c r="A140" s="7">
        <f t="shared" si="36"/>
        <v/>
      </c>
      <c r="B140" s="7">
        <f>IF(C140=1,MAX(B$2:$B139)+1,IF(F140=0,"",B139))</f>
      </c>
      <c r="C140" s="7">
        <f>COUNTIF($F$2:$F140,F140)</f>
      </c>
      <c r="D140" s="7">
        <f>IF(F140=0,0,MAX($D$2:D139)+1)</f>
      </c>
      <c r="E140" s="7">
        <f>IF(H140=0,0,MAX($E$2:E139)+1)</f>
      </c>
      <c r="F140" s="177"/>
      <c r="G140" s="119"/>
      <c r="H140" s="119"/>
      <c r="I140" s="7">
        <f>IFERROR(VLOOKUP(H140,H$2:H139,1,FALSE),VLOOKUP(H140,H141:H$478,1,FALSE))</f>
      </c>
      <c r="J140" s="7">
        <f t="shared" si="29"/>
        <v/>
      </c>
      <c r="K140" s="7">
        <f t="shared" si="30"/>
        <v/>
      </c>
      <c r="L140" s="7">
        <f t="shared" si="31"/>
        <v/>
      </c>
      <c r="M140" s="19">
        <f t="shared" si="40"/>
        <v/>
      </c>
      <c r="N140" s="7">
        <f t="shared" si="32"/>
        <v/>
      </c>
      <c r="O140" s="7"/>
      <c r="P140" s="7">
        <f t="shared" si="33"/>
        <v/>
      </c>
      <c r="Q140" s="7">
        <f t="shared" si="34"/>
        <v/>
      </c>
      <c r="R140" s="7">
        <f t="shared" si="37"/>
      </c>
      <c r="S140" s="7">
        <f t="shared" si="38"/>
      </c>
      <c r="T140" s="7">
        <f t="shared" si="39"/>
      </c>
      <c r="U140" s="7">
        <f t="shared" si="35"/>
        <v/>
      </c>
    </row>
    <row r="141" spans="1:21" x14ac:dyDescent="0.3">
      <c r="A141" s="7">
        <f t="shared" si="36"/>
        <v/>
      </c>
      <c r="B141" s="7">
        <f>IF(C141=1,MAX(B$2:$B140)+1,IF(F141=0,"",B140))</f>
      </c>
      <c r="C141" s="7">
        <f>COUNTIF($F$2:$F141,F141)</f>
      </c>
      <c r="D141" s="7">
        <f>IF(F141=0,0,MAX($D$2:D140)+1)</f>
      </c>
      <c r="E141" s="7">
        <f>IF(H141=0,0,MAX($E$2:E140)+1)</f>
      </c>
      <c r="F141" s="177"/>
      <c r="G141" s="119"/>
      <c r="H141" s="119"/>
      <c r="I141" s="7">
        <f>IFERROR(VLOOKUP(H141,H$2:H140,1,FALSE),VLOOKUP(H141,H142:H$478,1,FALSE))</f>
      </c>
      <c r="J141" s="7">
        <f t="shared" si="29"/>
        <v/>
      </c>
      <c r="K141" s="7">
        <f t="shared" si="30"/>
        <v/>
      </c>
      <c r="L141" s="7">
        <f t="shared" si="31"/>
        <v/>
      </c>
      <c r="M141" s="19">
        <f t="shared" si="40"/>
        <v/>
      </c>
      <c r="N141" s="7">
        <f t="shared" si="32"/>
        <v/>
      </c>
      <c r="O141" s="7"/>
      <c r="P141" s="7">
        <f t="shared" si="33"/>
        <v/>
      </c>
      <c r="Q141" s="7">
        <f t="shared" si="34"/>
        <v/>
      </c>
      <c r="R141" s="7">
        <f t="shared" si="37"/>
      </c>
      <c r="S141" s="7">
        <f t="shared" si="38"/>
      </c>
      <c r="T141" s="7">
        <f t="shared" si="39"/>
      </c>
      <c r="U141" s="7">
        <f t="shared" si="35"/>
        <v/>
      </c>
    </row>
    <row r="142" spans="1:21" x14ac:dyDescent="0.3">
      <c r="A142" s="7">
        <f t="shared" si="36"/>
        <v/>
      </c>
      <c r="B142" s="7">
        <f>IF(C142=1,MAX(B$2:$B141)+1,IF(F142=0,"",B141))</f>
      </c>
      <c r="C142" s="7">
        <f>COUNTIF($F$2:$F142,F142)</f>
      </c>
      <c r="D142" s="7">
        <f>IF(F142=0,0,MAX($D$2:D141)+1)</f>
      </c>
      <c r="E142" s="7">
        <f>IF(H142=0,0,MAX($E$2:E141)+1)</f>
      </c>
      <c r="F142" s="177"/>
      <c r="G142" s="119"/>
      <c r="H142" s="119"/>
      <c r="I142" s="7">
        <f>IFERROR(VLOOKUP(H142,H$2:H141,1,FALSE),VLOOKUP(H142,H143:H$478,1,FALSE))</f>
      </c>
      <c r="J142" s="7">
        <f t="shared" si="29"/>
        <v/>
      </c>
      <c r="K142" s="7">
        <f t="shared" si="30"/>
        <v/>
      </c>
      <c r="L142" s="7">
        <f t="shared" si="31"/>
        <v/>
      </c>
      <c r="M142" s="19">
        <f t="shared" si="40"/>
        <v/>
      </c>
      <c r="N142" s="7">
        <f t="shared" si="32"/>
        <v/>
      </c>
      <c r="O142" s="7"/>
      <c r="P142" s="7">
        <f t="shared" si="33"/>
        <v/>
      </c>
      <c r="Q142" s="7">
        <f t="shared" si="34"/>
        <v/>
      </c>
      <c r="R142" s="7">
        <f t="shared" si="37"/>
      </c>
      <c r="S142" s="7">
        <f t="shared" si="38"/>
      </c>
      <c r="T142" s="7">
        <f t="shared" si="39"/>
      </c>
      <c r="U142" s="7">
        <f t="shared" si="35"/>
        <v/>
      </c>
    </row>
    <row r="143" spans="1:21" x14ac:dyDescent="0.3">
      <c r="A143" s="7">
        <f t="shared" si="36"/>
        <v/>
      </c>
      <c r="B143" s="7">
        <f>IF(C143=1,MAX(B$2:$B142)+1,IF(F143=0,"",B142))</f>
      </c>
      <c r="C143" s="7">
        <f>COUNTIF($F$2:$F143,F143)</f>
      </c>
      <c r="D143" s="7">
        <f>IF(F143=0,0,MAX($D$2:D142)+1)</f>
      </c>
      <c r="E143" s="7">
        <f>IF(H143=0,0,MAX($E$2:E142)+1)</f>
      </c>
      <c r="F143" s="177"/>
      <c r="G143" s="119"/>
      <c r="H143" s="119"/>
      <c r="I143" s="7">
        <f>IFERROR(VLOOKUP(H143,H$2:H142,1,FALSE),VLOOKUP(H143,H144:H$478,1,FALSE))</f>
      </c>
      <c r="J143" s="7">
        <f t="shared" si="29"/>
        <v/>
      </c>
      <c r="K143" s="7">
        <f t="shared" si="30"/>
        <v/>
      </c>
      <c r="L143" s="7">
        <f t="shared" si="31"/>
        <v/>
      </c>
      <c r="M143" s="19">
        <f t="shared" si="40"/>
        <v/>
      </c>
      <c r="N143" s="7">
        <f t="shared" si="32"/>
        <v/>
      </c>
      <c r="O143" s="7"/>
      <c r="P143" s="7">
        <f t="shared" si="33"/>
        <v/>
      </c>
      <c r="Q143" s="7">
        <f t="shared" si="34"/>
        <v/>
      </c>
      <c r="R143" s="7">
        <f t="shared" si="37"/>
      </c>
      <c r="S143" s="7">
        <f t="shared" si="38"/>
      </c>
      <c r="T143" s="7">
        <f t="shared" si="39"/>
      </c>
      <c r="U143" s="7">
        <f t="shared" si="35"/>
        <v/>
      </c>
    </row>
    <row r="144" spans="1:21" x14ac:dyDescent="0.3">
      <c r="A144" s="7">
        <f t="shared" si="36"/>
        <v/>
      </c>
      <c r="B144" s="7">
        <f>IF(C144=1,MAX(B$2:$B143)+1,IF(F144=0,"",B143))</f>
      </c>
      <c r="C144" s="7">
        <f>COUNTIF($F$2:$F144,F144)</f>
      </c>
      <c r="D144" s="7">
        <f>IF(F144=0,0,MAX($D$2:D143)+1)</f>
      </c>
      <c r="E144" s="7">
        <f>IF(H144=0,0,MAX($E$2:E143)+1)</f>
      </c>
      <c r="F144" s="177"/>
      <c r="G144" s="119"/>
      <c r="H144" s="119"/>
      <c r="I144" s="7">
        <f>IFERROR(VLOOKUP(H144,H$2:H143,1,FALSE),VLOOKUP(H144,H145:H$478,1,FALSE))</f>
      </c>
      <c r="J144" s="7">
        <f t="shared" si="29"/>
        <v/>
      </c>
      <c r="K144" s="7">
        <f t="shared" si="30"/>
        <v/>
      </c>
      <c r="L144" s="7">
        <f t="shared" si="31"/>
        <v/>
      </c>
      <c r="M144" s="19">
        <f t="shared" si="40"/>
        <v/>
      </c>
      <c r="N144" s="7">
        <f t="shared" si="32"/>
        <v/>
      </c>
      <c r="O144" s="7"/>
      <c r="P144" s="7">
        <f t="shared" si="33"/>
        <v/>
      </c>
      <c r="Q144" s="7">
        <f t="shared" si="34"/>
        <v/>
      </c>
      <c r="R144" s="7">
        <f t="shared" si="37"/>
      </c>
      <c r="S144" s="7">
        <f t="shared" si="38"/>
      </c>
      <c r="T144" s="7">
        <f t="shared" si="39"/>
      </c>
      <c r="U144" s="7">
        <f t="shared" si="35"/>
        <v/>
      </c>
    </row>
    <row r="145" spans="1:21" x14ac:dyDescent="0.3">
      <c r="A145" s="7">
        <f t="shared" si="36"/>
        <v/>
      </c>
      <c r="B145" s="7">
        <f>IF(C145=1,MAX(B$2:$B144)+1,IF(F145=0,"",B144))</f>
      </c>
      <c r="C145" s="7">
        <f>COUNTIF($F$2:$F145,F145)</f>
      </c>
      <c r="D145" s="7">
        <f>IF(F145=0,0,MAX($D$2:D144)+1)</f>
      </c>
      <c r="E145" s="7">
        <f>IF(H145=0,0,MAX($E$2:E144)+1)</f>
      </c>
      <c r="F145" s="177"/>
      <c r="G145" s="119"/>
      <c r="H145" s="119"/>
      <c r="I145" s="7">
        <f>IFERROR(VLOOKUP(H145,H$2:H144,1,FALSE),VLOOKUP(H145,H146:H$478,1,FALSE))</f>
      </c>
      <c r="J145" s="7">
        <f t="shared" si="29"/>
        <v/>
      </c>
      <c r="K145" s="7">
        <f t="shared" si="30"/>
        <v/>
      </c>
      <c r="L145" s="7">
        <f t="shared" si="31"/>
        <v/>
      </c>
      <c r="M145" s="19">
        <f t="shared" si="40"/>
        <v/>
      </c>
      <c r="N145" s="7">
        <f t="shared" si="32"/>
        <v/>
      </c>
      <c r="O145" s="7"/>
      <c r="P145" s="7">
        <f t="shared" si="33"/>
        <v/>
      </c>
      <c r="Q145" s="7">
        <f t="shared" si="34"/>
        <v/>
      </c>
      <c r="R145" s="7">
        <f t="shared" si="37"/>
      </c>
      <c r="S145" s="7">
        <f t="shared" si="38"/>
      </c>
      <c r="T145" s="7">
        <f t="shared" si="39"/>
      </c>
      <c r="U145" s="7">
        <f t="shared" si="35"/>
        <v/>
      </c>
    </row>
    <row r="146" spans="1:21" x14ac:dyDescent="0.3">
      <c r="A146" s="7">
        <f t="shared" si="36"/>
        <v/>
      </c>
      <c r="B146" s="7">
        <f>IF(C146=1,MAX(B$2:$B145)+1,IF(F146=0,"",B145))</f>
      </c>
      <c r="C146" s="7">
        <f>COUNTIF($F$2:$F146,F146)</f>
      </c>
      <c r="D146" s="7">
        <f>IF(F146=0,0,MAX($D$2:D145)+1)</f>
      </c>
      <c r="E146" s="7">
        <f>IF(H146=0,0,MAX($E$2:E145)+1)</f>
      </c>
      <c r="F146" s="177"/>
      <c r="G146" s="119"/>
      <c r="H146" s="119"/>
      <c r="I146" s="7">
        <f>IFERROR(VLOOKUP(H146,H$2:H145,1,FALSE),VLOOKUP(H146,H147:H$478,1,FALSE))</f>
      </c>
      <c r="J146" s="7">
        <f t="shared" si="29"/>
        <v/>
      </c>
      <c r="K146" s="7">
        <f t="shared" si="30"/>
        <v/>
      </c>
      <c r="L146" s="7">
        <f t="shared" si="31"/>
        <v/>
      </c>
      <c r="M146" s="19">
        <f t="shared" si="40"/>
        <v/>
      </c>
      <c r="N146" s="7">
        <f t="shared" si="32"/>
        <v/>
      </c>
      <c r="O146" s="7"/>
      <c r="P146" s="7">
        <f t="shared" si="33"/>
        <v/>
      </c>
      <c r="Q146" s="7">
        <f t="shared" si="34"/>
        <v/>
      </c>
      <c r="R146" s="7">
        <f t="shared" si="37"/>
      </c>
      <c r="S146" s="7">
        <f t="shared" si="38"/>
      </c>
      <c r="T146" s="7">
        <f t="shared" si="39"/>
      </c>
      <c r="U146" s="7">
        <f t="shared" si="35"/>
        <v/>
      </c>
    </row>
    <row r="147" spans="1:21" x14ac:dyDescent="0.3">
      <c r="A147" s="7">
        <f t="shared" si="36"/>
        <v/>
      </c>
      <c r="B147" s="7">
        <f>IF(C147=1,MAX(B$2:$B146)+1,IF(F147=0,"",B146))</f>
      </c>
      <c r="C147" s="7">
        <f>COUNTIF($F$2:$F147,F147)</f>
      </c>
      <c r="D147" s="7">
        <f>IF(F147=0,0,MAX($D$2:D146)+1)</f>
      </c>
      <c r="E147" s="7">
        <f>IF(H147=0,0,MAX($E$2:E146)+1)</f>
      </c>
      <c r="F147" s="177"/>
      <c r="G147" s="119"/>
      <c r="H147" s="119"/>
      <c r="I147" s="7">
        <f>IFERROR(VLOOKUP(H147,H$2:H146,1,FALSE),VLOOKUP(H147,H148:H$478,1,FALSE))</f>
      </c>
      <c r="J147" s="7">
        <f t="shared" si="29"/>
        <v/>
      </c>
      <c r="K147" s="7">
        <f t="shared" si="30"/>
        <v/>
      </c>
      <c r="L147" s="7">
        <f t="shared" si="31"/>
        <v/>
      </c>
      <c r="M147" s="19">
        <f t="shared" si="40"/>
        <v/>
      </c>
      <c r="N147" s="7">
        <f t="shared" si="32"/>
        <v/>
      </c>
      <c r="O147" s="7"/>
      <c r="P147" s="7">
        <f t="shared" si="33"/>
        <v/>
      </c>
      <c r="Q147" s="7">
        <f t="shared" si="34"/>
        <v/>
      </c>
      <c r="R147" s="7">
        <f t="shared" si="37"/>
      </c>
      <c r="S147" s="7">
        <f t="shared" si="38"/>
      </c>
      <c r="T147" s="7">
        <f t="shared" si="39"/>
      </c>
      <c r="U147" s="7">
        <f t="shared" si="35"/>
        <v/>
      </c>
    </row>
    <row r="148" spans="1:21" x14ac:dyDescent="0.3">
      <c r="A148" s="7">
        <f t="shared" si="36"/>
        <v/>
      </c>
      <c r="B148" s="7">
        <f>IF(C148=1,MAX(B$2:$B147)+1,IF(F148=0,"",B147))</f>
      </c>
      <c r="C148" s="7">
        <f>COUNTIF($F$2:$F148,F148)</f>
      </c>
      <c r="D148" s="7">
        <f>IF(F148=0,0,MAX($D$2:D147)+1)</f>
      </c>
      <c r="E148" s="7">
        <f>IF(H148=0,0,MAX($E$2:E147)+1)</f>
      </c>
      <c r="F148" s="177"/>
      <c r="G148" s="119"/>
      <c r="H148" s="119"/>
      <c r="I148" s="7">
        <f>IFERROR(VLOOKUP(H148,H$2:H147,1,FALSE),VLOOKUP(H148,H149:H$478,1,FALSE))</f>
      </c>
      <c r="J148" s="7">
        <f t="shared" si="29"/>
        <v/>
      </c>
      <c r="K148" s="7">
        <f t="shared" si="30"/>
        <v/>
      </c>
      <c r="L148" s="7">
        <f t="shared" si="31"/>
        <v/>
      </c>
      <c r="M148" s="19">
        <f t="shared" si="40"/>
        <v/>
      </c>
      <c r="N148" s="7">
        <f t="shared" si="32"/>
        <v/>
      </c>
      <c r="O148" s="7"/>
      <c r="P148" s="7">
        <f t="shared" si="33"/>
        <v/>
      </c>
      <c r="Q148" s="7">
        <f t="shared" si="34"/>
        <v/>
      </c>
      <c r="R148" s="7">
        <f t="shared" si="37"/>
      </c>
      <c r="S148" s="7">
        <f t="shared" si="38"/>
      </c>
      <c r="T148" s="7">
        <f t="shared" si="39"/>
      </c>
      <c r="U148" s="7">
        <f t="shared" si="35"/>
        <v/>
      </c>
    </row>
    <row r="149" spans="1:21" x14ac:dyDescent="0.3">
      <c r="A149" s="7">
        <f t="shared" si="36"/>
        <v/>
      </c>
      <c r="B149" s="7">
        <f>IF(C149=1,MAX(B$2:$B148)+1,IF(F149=0,"",B148))</f>
      </c>
      <c r="C149" s="7">
        <f>COUNTIF($F$2:$F149,F149)</f>
      </c>
      <c r="D149" s="7">
        <f>IF(F149=0,0,MAX($D$2:D148)+1)</f>
      </c>
      <c r="E149" s="7">
        <f>IF(H149=0,0,MAX($E$2:E148)+1)</f>
      </c>
      <c r="F149" s="177"/>
      <c r="G149" s="119"/>
      <c r="H149" s="119"/>
      <c r="I149" s="7">
        <f>IFERROR(VLOOKUP(H149,H$2:H148,1,FALSE),VLOOKUP(H149,H150:H$478,1,FALSE))</f>
      </c>
      <c r="J149" s="7">
        <f t="shared" si="29"/>
        <v/>
      </c>
      <c r="K149" s="7">
        <f t="shared" si="30"/>
        <v/>
      </c>
      <c r="L149" s="7">
        <f t="shared" si="31"/>
        <v/>
      </c>
      <c r="M149" s="19">
        <f t="shared" si="40"/>
        <v/>
      </c>
      <c r="N149" s="7">
        <f t="shared" si="32"/>
        <v/>
      </c>
      <c r="O149" s="7"/>
      <c r="P149" s="7">
        <f t="shared" si="33"/>
        <v/>
      </c>
      <c r="Q149" s="7">
        <f t="shared" si="34"/>
        <v/>
      </c>
      <c r="R149" s="7">
        <f t="shared" si="37"/>
      </c>
      <c r="S149" s="7">
        <f t="shared" si="38"/>
      </c>
      <c r="T149" s="7">
        <f t="shared" si="39"/>
      </c>
      <c r="U149" s="7">
        <f t="shared" si="35"/>
        <v/>
      </c>
    </row>
    <row r="150" spans="1:21" x14ac:dyDescent="0.3">
      <c r="A150" s="7">
        <f t="shared" si="36"/>
        <v/>
      </c>
      <c r="B150" s="7">
        <f>IF(C150=1,MAX(B$2:$B149)+1,IF(F150=0,"",B149))</f>
      </c>
      <c r="C150" s="7">
        <f>COUNTIF($F$2:$F150,F150)</f>
      </c>
      <c r="D150" s="7">
        <f>IF(F150=0,0,MAX($D$2:D149)+1)</f>
      </c>
      <c r="E150" s="7">
        <f>IF(H150=0,0,MAX($E$2:E149)+1)</f>
      </c>
      <c r="F150" s="177"/>
      <c r="G150" s="177"/>
      <c r="H150" s="119"/>
      <c r="I150" s="7">
        <f>IFERROR(VLOOKUP(H150,H$2:H149,1,FALSE),VLOOKUP(H150,H151:H$478,1,FALSE))</f>
      </c>
      <c r="J150" s="7">
        <f t="shared" si="29"/>
        <v/>
      </c>
      <c r="K150" s="7">
        <f t="shared" si="30"/>
        <v/>
      </c>
      <c r="L150" s="7">
        <f t="shared" si="31"/>
        <v/>
      </c>
      <c r="M150" s="19">
        <f t="shared" si="40"/>
        <v/>
      </c>
      <c r="N150" s="7">
        <f t="shared" si="32"/>
        <v/>
      </c>
      <c r="O150" s="7"/>
      <c r="P150" s="7">
        <f t="shared" si="33"/>
        <v/>
      </c>
      <c r="Q150" s="7">
        <f t="shared" si="34"/>
        <v/>
      </c>
      <c r="R150" s="7">
        <f t="shared" si="37"/>
      </c>
      <c r="S150" s="7">
        <f t="shared" si="38"/>
      </c>
      <c r="T150" s="7">
        <f t="shared" si="39"/>
      </c>
      <c r="U150" s="7">
        <f t="shared" si="35"/>
        <v/>
      </c>
    </row>
    <row r="151" spans="1:21" x14ac:dyDescent="0.3">
      <c r="A151" s="7">
        <f t="shared" si="36"/>
        <v/>
      </c>
      <c r="B151" s="7">
        <f>IF(C151=1,MAX(B$2:$B150)+1,IF(F151=0,"",B150))</f>
      </c>
      <c r="C151" s="7">
        <f>COUNTIF($F$2:$F151,F151)</f>
      </c>
      <c r="D151" s="7">
        <f>IF(F151=0,0,MAX($D$2:D150)+1)</f>
      </c>
      <c r="E151" s="7">
        <f>IF(H151=0,0,MAX($E$2:E150)+1)</f>
      </c>
      <c r="F151" s="177"/>
      <c r="G151" s="119"/>
      <c r="H151" s="119"/>
      <c r="I151" s="7">
        <f>IFERROR(VLOOKUP(H151,H$2:H150,1,FALSE),VLOOKUP(H151,H152:H$478,1,FALSE))</f>
      </c>
      <c r="J151" s="7">
        <f t="shared" si="29"/>
        <v/>
      </c>
      <c r="K151" s="7">
        <f t="shared" si="30"/>
        <v/>
      </c>
      <c r="L151" s="7">
        <f t="shared" si="31"/>
        <v/>
      </c>
      <c r="M151" s="19">
        <f t="shared" si="40"/>
        <v/>
      </c>
      <c r="N151" s="7">
        <f t="shared" si="32"/>
        <v/>
      </c>
      <c r="O151" s="7"/>
      <c r="P151" s="7">
        <f t="shared" si="33"/>
        <v/>
      </c>
      <c r="Q151" s="7">
        <f t="shared" si="34"/>
        <v/>
      </c>
      <c r="R151" s="7">
        <f t="shared" si="37"/>
      </c>
      <c r="S151" s="7">
        <f t="shared" si="38"/>
      </c>
      <c r="T151" s="7">
        <f t="shared" si="39"/>
      </c>
      <c r="U151" s="7">
        <f t="shared" si="35"/>
        <v/>
      </c>
    </row>
    <row r="152" spans="1:21" x14ac:dyDescent="0.3">
      <c r="A152" s="7">
        <f t="shared" si="36"/>
        <v/>
      </c>
      <c r="B152" s="7">
        <f>IF(C152=1,MAX(B$2:$B151)+1,IF(F152=0,"",B151))</f>
      </c>
      <c r="C152" s="7">
        <f>COUNTIF($F$2:$F152,F152)</f>
      </c>
      <c r="D152" s="7">
        <f>IF(F152=0,0,MAX($D$2:D151)+1)</f>
      </c>
      <c r="E152" s="7">
        <f>IF(H152=0,0,MAX($E$2:E151)+1)</f>
      </c>
      <c r="F152" s="177"/>
      <c r="G152" s="119"/>
      <c r="H152" s="119"/>
      <c r="I152" s="7">
        <f>IFERROR(VLOOKUP(H152,H$2:H151,1,FALSE),VLOOKUP(H152,H153:H$478,1,FALSE))</f>
      </c>
      <c r="J152" s="7">
        <f t="shared" si="29"/>
        <v/>
      </c>
      <c r="K152" s="7">
        <f t="shared" si="30"/>
        <v/>
      </c>
      <c r="L152" s="7">
        <f t="shared" si="31"/>
        <v/>
      </c>
      <c r="M152" s="19">
        <f t="shared" si="40"/>
        <v/>
      </c>
      <c r="N152" s="7">
        <f t="shared" si="32"/>
        <v/>
      </c>
      <c r="O152" s="7"/>
      <c r="P152" s="7">
        <f t="shared" si="33"/>
        <v/>
      </c>
      <c r="Q152" s="7">
        <f t="shared" si="34"/>
        <v/>
      </c>
      <c r="R152" s="7">
        <f t="shared" si="37"/>
      </c>
      <c r="S152" s="7">
        <f t="shared" si="38"/>
      </c>
      <c r="T152" s="7">
        <f t="shared" si="39"/>
      </c>
      <c r="U152" s="7">
        <f t="shared" si="35"/>
        <v/>
      </c>
    </row>
    <row r="153" spans="1:21" x14ac:dyDescent="0.3">
      <c r="A153" s="7">
        <f t="shared" si="36"/>
        <v/>
      </c>
      <c r="B153" s="7">
        <f>IF(C153=1,MAX(B$2:$B152)+1,IF(F153=0,"",B152))</f>
      </c>
      <c r="C153" s="7">
        <f>COUNTIF($F$2:$F153,F153)</f>
      </c>
      <c r="D153" s="7">
        <f>IF(F153=0,0,MAX($D$2:D152)+1)</f>
      </c>
      <c r="E153" s="7">
        <f>IF(H153=0,0,MAX($E$2:E152)+1)</f>
      </c>
      <c r="F153" s="177"/>
      <c r="G153" s="119"/>
      <c r="H153" s="119"/>
      <c r="I153" s="7">
        <f>IFERROR(VLOOKUP(H153,H$2:H152,1,FALSE),VLOOKUP(H153,H154:H$478,1,FALSE))</f>
      </c>
      <c r="J153" s="7">
        <f t="shared" si="29"/>
        <v/>
      </c>
      <c r="K153" s="7">
        <f t="shared" si="30"/>
        <v/>
      </c>
      <c r="L153" s="7">
        <f t="shared" si="31"/>
        <v/>
      </c>
      <c r="M153" s="19">
        <f t="shared" si="40"/>
        <v/>
      </c>
      <c r="N153" s="7">
        <f t="shared" si="32"/>
        <v/>
      </c>
      <c r="O153" s="7"/>
      <c r="P153" s="7">
        <f t="shared" si="33"/>
        <v/>
      </c>
      <c r="Q153" s="7">
        <f t="shared" si="34"/>
        <v/>
      </c>
      <c r="R153" s="7">
        <f t="shared" si="37"/>
      </c>
      <c r="S153" s="7">
        <f t="shared" si="38"/>
      </c>
      <c r="T153" s="7">
        <f t="shared" si="39"/>
      </c>
      <c r="U153" s="7">
        <f t="shared" si="35"/>
        <v/>
      </c>
    </row>
    <row r="154" spans="1:21" x14ac:dyDescent="0.3">
      <c r="A154" s="7">
        <f t="shared" si="36"/>
        <v/>
      </c>
      <c r="B154" s="7">
        <f>IF(C154=1,MAX(B$2:$B153)+1,IF(F154=0,"",B153))</f>
      </c>
      <c r="C154" s="7">
        <f>COUNTIF($F$2:$F154,F154)</f>
      </c>
      <c r="D154" s="7">
        <f>IF(F154=0,0,MAX($D$2:D153)+1)</f>
      </c>
      <c r="E154" s="7">
        <f>IF(H154=0,0,MAX($E$2:E153)+1)</f>
      </c>
      <c r="F154" s="177"/>
      <c r="G154" s="119"/>
      <c r="H154" s="119"/>
      <c r="I154" s="7">
        <f>IFERROR(VLOOKUP(H154,H$2:H153,1,FALSE),VLOOKUP(H154,H155:H$478,1,FALSE))</f>
      </c>
      <c r="J154" s="7">
        <f t="shared" si="29"/>
        <v/>
      </c>
      <c r="K154" s="7">
        <f t="shared" si="30"/>
        <v/>
      </c>
      <c r="L154" s="7">
        <f t="shared" si="31"/>
        <v/>
      </c>
      <c r="M154" s="19">
        <f t="shared" si="40"/>
        <v/>
      </c>
      <c r="N154" s="7">
        <f t="shared" si="32"/>
        <v/>
      </c>
      <c r="O154" s="7"/>
      <c r="P154" s="7">
        <f t="shared" si="33"/>
        <v/>
      </c>
      <c r="Q154" s="7">
        <f t="shared" si="34"/>
        <v/>
      </c>
      <c r="R154" s="7">
        <f t="shared" si="37"/>
      </c>
      <c r="S154" s="7">
        <f t="shared" si="38"/>
      </c>
      <c r="T154" s="7">
        <f t="shared" si="39"/>
      </c>
      <c r="U154" s="7">
        <f t="shared" si="35"/>
        <v/>
      </c>
    </row>
    <row r="155" spans="1:21" s="8" customFormat="1" ht="15" thickBot="1" x14ac:dyDescent="0.35">
      <c r="A155" s="7">
        <f t="shared" si="36"/>
        <v/>
      </c>
      <c r="B155" s="7">
        <f>IF(C155=1,MAX(B$2:$B154)+1,IF(F155=0,"",B154))</f>
      </c>
      <c r="C155" s="7">
        <f>COUNTIF($F$2:$F155,F155)</f>
      </c>
      <c r="D155" s="7">
        <f>IF(F155=0,0,MAX($D$2:D154)+1)</f>
      </c>
      <c r="E155" s="7">
        <f>IF(H155=0,0,MAX($E$2:E154)+1)</f>
      </c>
      <c r="F155" s="175"/>
      <c r="G155" s="175"/>
      <c r="H155" s="175"/>
      <c r="I155" s="47">
        <f>IFERROR(VLOOKUP(H155,H$2:H154,1,FALSE),VLOOKUP(H155,H156:H$478,1,FALSE))</f>
      </c>
      <c r="J155" s="47">
        <f t="shared" si="29"/>
        <v/>
      </c>
      <c r="K155" s="47">
        <f t="shared" si="30"/>
        <v/>
      </c>
      <c r="L155" s="47">
        <f t="shared" si="31"/>
        <v/>
      </c>
      <c r="M155" s="52">
        <f t="shared" si="40"/>
        <v/>
      </c>
      <c r="N155" s="47">
        <f t="shared" si="32"/>
        <v/>
      </c>
      <c r="O155" s="47"/>
      <c r="P155" s="47">
        <f t="shared" si="33"/>
        <v/>
      </c>
      <c r="Q155" s="47">
        <f t="shared" si="34"/>
        <v/>
      </c>
      <c r="R155" s="47">
        <f t="shared" si="37"/>
      </c>
      <c r="S155" s="47">
        <f t="shared" si="38"/>
      </c>
      <c r="T155" s="47">
        <f t="shared" si="39"/>
      </c>
      <c r="U155" s="47">
        <f t="shared" si="35"/>
        <v/>
      </c>
    </row>
    <row r="156" spans="1:21" x14ac:dyDescent="0.3">
      <c r="A156" s="7">
        <f t="shared" si="36"/>
        <v/>
      </c>
      <c r="B156" s="7">
        <f>IF(C156=1,MAX(B$2:$B155)+1,IF(F156=0,"",B155))</f>
      </c>
      <c r="C156" s="7">
        <f>COUNTIF($F$2:$F156,F156)</f>
      </c>
      <c r="D156" s="7">
        <f>IF(F156=0,0,MAX($D$2:D155)+1)</f>
      </c>
      <c r="E156" s="7">
        <f>IF(H156=0,0,MAX($E$2:E155)+1)</f>
      </c>
      <c r="F156" s="177"/>
      <c r="G156" s="119"/>
      <c r="H156" s="177"/>
      <c r="I156" s="7">
        <f>IFERROR(VLOOKUP(H156,H$2:H155,1,FALSE),VLOOKUP(H156,H157:H$478,1,FALSE))</f>
      </c>
      <c r="J156" s="7">
        <f t="shared" si="29"/>
        <v/>
      </c>
      <c r="K156" s="7">
        <f t="shared" si="30"/>
        <v/>
      </c>
      <c r="L156" s="7">
        <f t="shared" si="31"/>
        <v/>
      </c>
      <c r="M156" s="19">
        <f t="shared" si="40"/>
        <v/>
      </c>
      <c r="N156" s="7">
        <f t="shared" si="32"/>
        <v/>
      </c>
      <c r="O156" s="7"/>
      <c r="P156" s="7">
        <f t="shared" si="33"/>
        <v/>
      </c>
      <c r="Q156" s="7">
        <f t="shared" si="34"/>
        <v/>
      </c>
      <c r="R156" s="7">
        <f t="shared" si="37"/>
      </c>
      <c r="S156" s="7">
        <f t="shared" si="38"/>
      </c>
      <c r="T156" s="7">
        <f t="shared" si="39"/>
      </c>
      <c r="U156" s="7">
        <f t="shared" si="35"/>
        <v/>
      </c>
    </row>
    <row r="157" spans="1:21" x14ac:dyDescent="0.3">
      <c r="A157" s="7">
        <f t="shared" si="36"/>
        <v/>
      </c>
      <c r="B157" s="7">
        <f>IF(C157=1,MAX(B$2:$B156)+1,IF(F157=0,"",B156))</f>
      </c>
      <c r="C157" s="7">
        <f>COUNTIF($F$2:$F157,F157)</f>
      </c>
      <c r="D157" s="7">
        <f>IF(F157=0,0,MAX($D$2:D156)+1)</f>
      </c>
      <c r="E157" s="7">
        <f>IF(H157=0,0,MAX($E$2:E156)+1)</f>
      </c>
      <c r="F157" s="177"/>
      <c r="G157" s="119"/>
      <c r="H157" s="119"/>
      <c r="I157" s="7">
        <f>IFERROR(VLOOKUP(H157,H$2:H156,1,FALSE),VLOOKUP(H157,H158:H$478,1,FALSE))</f>
      </c>
      <c r="J157" s="7">
        <f t="shared" si="29"/>
        <v/>
      </c>
      <c r="K157" s="7">
        <f t="shared" si="30"/>
        <v/>
      </c>
      <c r="L157" s="7">
        <f t="shared" si="31"/>
        <v/>
      </c>
      <c r="M157" s="19">
        <f t="shared" si="40"/>
        <v/>
      </c>
      <c r="N157" s="7">
        <f t="shared" si="32"/>
        <v/>
      </c>
      <c r="O157" s="7"/>
      <c r="P157" s="7">
        <f t="shared" si="33"/>
        <v/>
      </c>
      <c r="Q157" s="7">
        <f t="shared" si="34"/>
        <v/>
      </c>
      <c r="R157" s="7">
        <f t="shared" si="37"/>
      </c>
      <c r="S157" s="7">
        <f t="shared" si="38"/>
      </c>
      <c r="T157" s="7">
        <f t="shared" si="39"/>
      </c>
      <c r="U157" s="7">
        <f t="shared" si="35"/>
        <v/>
      </c>
    </row>
    <row r="158" spans="1:21" x14ac:dyDescent="0.3">
      <c r="A158" s="7">
        <f t="shared" si="36"/>
        <v/>
      </c>
      <c r="B158" s="7">
        <f>IF(C158=1,MAX(B$2:$B157)+1,IF(F158=0,"",B157))</f>
      </c>
      <c r="C158" s="7">
        <f>COUNTIF($F$2:$F158,F158)</f>
      </c>
      <c r="D158" s="7">
        <f>IF(F158=0,0,MAX($D$2:D157)+1)</f>
      </c>
      <c r="E158" s="7">
        <f>IF(H158=0,0,MAX($E$2:E157)+1)</f>
      </c>
      <c r="F158" s="177"/>
      <c r="G158" s="119"/>
      <c r="H158" s="119"/>
      <c r="I158" s="7">
        <f>IFERROR(VLOOKUP(H158,H$2:H157,1,FALSE),VLOOKUP(H158,H159:H$478,1,FALSE))</f>
      </c>
      <c r="J158" s="7">
        <f t="shared" si="29"/>
        <v/>
      </c>
      <c r="K158" s="7">
        <f t="shared" si="30"/>
        <v/>
      </c>
      <c r="L158" s="7">
        <f t="shared" si="31"/>
        <v/>
      </c>
      <c r="M158" s="19">
        <f t="shared" si="40"/>
        <v/>
      </c>
      <c r="N158" s="7">
        <f t="shared" si="32"/>
        <v/>
      </c>
      <c r="O158" s="7"/>
      <c r="P158" s="7">
        <f t="shared" si="33"/>
        <v/>
      </c>
      <c r="Q158" s="7">
        <f t="shared" si="34"/>
        <v/>
      </c>
      <c r="R158" s="7">
        <f t="shared" si="37"/>
      </c>
      <c r="S158" s="7">
        <f t="shared" si="38"/>
      </c>
      <c r="T158" s="7">
        <f t="shared" si="39"/>
      </c>
      <c r="U158" s="7">
        <f t="shared" si="35"/>
        <v/>
      </c>
    </row>
    <row r="159" spans="1:21" x14ac:dyDescent="0.3">
      <c r="A159" s="7">
        <f t="shared" si="36"/>
        <v/>
      </c>
      <c r="B159" s="7">
        <f>IF(C159=1,MAX(B$2:$B158)+1,IF(F159=0,"",B158))</f>
      </c>
      <c r="C159" s="7">
        <f>COUNTIF($F$2:$F159,F159)</f>
      </c>
      <c r="D159" s="7">
        <f>IF(F159=0,0,MAX($D$2:D158)+1)</f>
      </c>
      <c r="E159" s="7">
        <f>IF(H159=0,0,MAX($E$2:E158)+1)</f>
      </c>
      <c r="F159" s="177"/>
      <c r="G159" s="119"/>
      <c r="H159" s="119"/>
      <c r="I159" s="7">
        <f>IFERROR(VLOOKUP(H159,H$2:H158,1,FALSE),VLOOKUP(H159,H160:H$478,1,FALSE))</f>
      </c>
      <c r="J159" s="7">
        <f t="shared" si="29"/>
        <v/>
      </c>
      <c r="K159" s="7">
        <f t="shared" si="30"/>
        <v/>
      </c>
      <c r="L159" s="7">
        <f t="shared" si="31"/>
        <v/>
      </c>
      <c r="M159" s="19">
        <f t="shared" si="40"/>
        <v/>
      </c>
      <c r="N159" s="7">
        <f t="shared" si="32"/>
        <v/>
      </c>
      <c r="O159" s="7"/>
      <c r="P159" s="7">
        <f t="shared" si="33"/>
        <v/>
      </c>
      <c r="Q159" s="7">
        <f t="shared" si="34"/>
        <v/>
      </c>
      <c r="R159" s="7">
        <f t="shared" si="37"/>
      </c>
      <c r="S159" s="7">
        <f t="shared" si="38"/>
      </c>
      <c r="T159" s="7">
        <f t="shared" si="39"/>
      </c>
      <c r="U159" s="7">
        <f t="shared" si="35"/>
        <v/>
      </c>
    </row>
    <row r="160" spans="1:21" x14ac:dyDescent="0.3">
      <c r="A160" s="7">
        <f t="shared" si="36"/>
        <v/>
      </c>
      <c r="B160" s="7">
        <f>IF(C160=1,MAX(B$2:$B159)+1,IF(F160=0,"",B159))</f>
      </c>
      <c r="C160" s="7">
        <f>COUNTIF($F$2:$F160,F160)</f>
      </c>
      <c r="D160" s="7">
        <f>IF(F160=0,0,MAX($D$2:D159)+1)</f>
      </c>
      <c r="E160" s="7">
        <f>IF(H160=0,0,MAX($E$2:E159)+1)</f>
      </c>
      <c r="F160" s="177"/>
      <c r="G160" s="119"/>
      <c r="H160" s="119"/>
      <c r="I160" s="7">
        <f>IFERROR(VLOOKUP(H160,H$2:H159,1,FALSE),VLOOKUP(H160,H161:H$478,1,FALSE))</f>
      </c>
      <c r="J160" s="7">
        <f t="shared" si="29"/>
        <v/>
      </c>
      <c r="K160" s="7">
        <f t="shared" si="30"/>
        <v/>
      </c>
      <c r="L160" s="7">
        <f t="shared" si="31"/>
        <v/>
      </c>
      <c r="M160" s="19">
        <f t="shared" si="40"/>
        <v/>
      </c>
      <c r="N160" s="7">
        <f t="shared" si="32"/>
        <v/>
      </c>
      <c r="O160" s="7"/>
      <c r="P160" s="7">
        <f t="shared" si="33"/>
        <v/>
      </c>
      <c r="Q160" s="7">
        <f t="shared" si="34"/>
        <v/>
      </c>
      <c r="R160" s="7">
        <f t="shared" si="37"/>
      </c>
      <c r="S160" s="7">
        <f t="shared" si="38"/>
      </c>
      <c r="T160" s="7">
        <f t="shared" si="39"/>
      </c>
      <c r="U160" s="7">
        <f t="shared" si="35"/>
        <v/>
      </c>
    </row>
    <row r="161" spans="1:21" x14ac:dyDescent="0.3">
      <c r="A161" s="7">
        <f t="shared" si="36"/>
        <v/>
      </c>
      <c r="B161" s="7">
        <f>IF(C161=1,MAX(B$2:$B160)+1,IF(F161=0,"",B160))</f>
      </c>
      <c r="C161" s="7">
        <f>COUNTIF($F$2:$F161,F161)</f>
      </c>
      <c r="D161" s="7">
        <f>IF(F161=0,0,MAX($D$2:D160)+1)</f>
      </c>
      <c r="E161" s="7">
        <f>IF(H161=0,0,MAX($E$2:E160)+1)</f>
      </c>
      <c r="F161" s="177"/>
      <c r="G161" s="119"/>
      <c r="H161" s="119"/>
      <c r="I161" s="7">
        <f>IFERROR(VLOOKUP(H161,H$2:H160,1,FALSE),VLOOKUP(H161,H162:H$478,1,FALSE))</f>
      </c>
      <c r="J161" s="7">
        <f t="shared" si="29"/>
        <v/>
      </c>
      <c r="K161" s="7">
        <f t="shared" si="30"/>
        <v/>
      </c>
      <c r="L161" s="7">
        <f t="shared" si="31"/>
        <v/>
      </c>
      <c r="M161" s="19">
        <f t="shared" si="40"/>
        <v/>
      </c>
      <c r="N161" s="7">
        <f t="shared" si="32"/>
        <v/>
      </c>
      <c r="O161" s="7"/>
      <c r="P161" s="7">
        <f t="shared" si="33"/>
        <v/>
      </c>
      <c r="Q161" s="7">
        <f t="shared" si="34"/>
        <v/>
      </c>
      <c r="R161" s="7">
        <f t="shared" si="37"/>
      </c>
      <c r="S161" s="7">
        <f t="shared" si="38"/>
      </c>
      <c r="T161" s="7">
        <f t="shared" si="39"/>
      </c>
      <c r="U161" s="7">
        <f t="shared" si="35"/>
        <v/>
      </c>
    </row>
    <row r="162" spans="1:21" x14ac:dyDescent="0.3">
      <c r="A162" s="7">
        <f t="shared" si="36"/>
        <v/>
      </c>
      <c r="B162" s="7">
        <f>IF(C162=1,MAX(B$2:$B161)+1,IF(F162=0,"",B161))</f>
      </c>
      <c r="C162" s="7">
        <f>COUNTIF($F$2:$F162,F162)</f>
      </c>
      <c r="D162" s="7">
        <f>IF(F162=0,0,MAX($D$2:D161)+1)</f>
      </c>
      <c r="E162" s="7">
        <f>IF(H162=0,0,MAX($E$2:E161)+1)</f>
      </c>
      <c r="F162" s="177"/>
      <c r="G162" s="119"/>
      <c r="H162" s="119"/>
      <c r="I162" s="7">
        <f>IFERROR(VLOOKUP(H162,H$2:H161,1,FALSE),VLOOKUP(H162,H163:H$478,1,FALSE))</f>
      </c>
      <c r="J162" s="7">
        <f t="shared" si="29"/>
        <v/>
      </c>
      <c r="K162" s="7">
        <f t="shared" si="30"/>
        <v/>
      </c>
      <c r="L162" s="7">
        <f t="shared" si="31"/>
        <v/>
      </c>
      <c r="M162" s="19">
        <f t="shared" si="40"/>
        <v/>
      </c>
      <c r="N162" s="7">
        <f t="shared" si="32"/>
        <v/>
      </c>
      <c r="O162" s="7"/>
      <c r="P162" s="7">
        <f t="shared" si="33"/>
        <v/>
      </c>
      <c r="Q162" s="7">
        <f t="shared" si="34"/>
        <v/>
      </c>
      <c r="R162" s="7">
        <f t="shared" si="37"/>
      </c>
      <c r="S162" s="7">
        <f t="shared" si="38"/>
      </c>
      <c r="T162" s="7">
        <f t="shared" si="39"/>
      </c>
      <c r="U162" s="7">
        <f t="shared" si="35"/>
        <v/>
      </c>
    </row>
    <row r="163" spans="1:21" x14ac:dyDescent="0.3">
      <c r="A163" s="7">
        <f t="shared" si="36"/>
        <v/>
      </c>
      <c r="B163" s="7">
        <f>IF(C163=1,MAX(B$2:$B162)+1,IF(F163=0,"",B162))</f>
      </c>
      <c r="C163" s="7">
        <f>COUNTIF($F$2:$F163,F163)</f>
      </c>
      <c r="D163" s="7">
        <f>IF(F163=0,0,MAX($D$2:D162)+1)</f>
      </c>
      <c r="E163" s="7">
        <f>IF(H163=0,0,MAX($E$2:E162)+1)</f>
      </c>
      <c r="F163" s="177"/>
      <c r="G163" s="119"/>
      <c r="H163" s="119"/>
      <c r="I163" s="7">
        <f>IFERROR(VLOOKUP(H163,H$2:H162,1,FALSE),VLOOKUP(H163,H164:H$478,1,FALSE))</f>
      </c>
      <c r="J163" s="7">
        <f t="shared" si="29"/>
        <v/>
      </c>
      <c r="K163" s="7">
        <f t="shared" si="30"/>
        <v/>
      </c>
      <c r="L163" s="7">
        <f t="shared" si="31"/>
        <v/>
      </c>
      <c r="M163" s="19">
        <f t="shared" si="40"/>
        <v/>
      </c>
      <c r="N163" s="7">
        <f t="shared" si="32"/>
        <v/>
      </c>
      <c r="O163" s="7"/>
      <c r="P163" s="7">
        <f t="shared" si="33"/>
        <v/>
      </c>
      <c r="Q163" s="7">
        <f t="shared" si="34"/>
        <v/>
      </c>
      <c r="R163" s="7">
        <f t="shared" si="37"/>
      </c>
      <c r="S163" s="7">
        <f t="shared" si="38"/>
      </c>
      <c r="T163" s="7">
        <f t="shared" si="39"/>
      </c>
      <c r="U163" s="7">
        <f t="shared" si="35"/>
        <v/>
      </c>
    </row>
    <row r="164" spans="1:21" x14ac:dyDescent="0.3">
      <c r="A164" s="7">
        <f t="shared" si="36"/>
        <v/>
      </c>
      <c r="B164" s="7">
        <f>IF(C164=1,MAX(B$2:$B163)+1,IF(F164=0,"",B163))</f>
      </c>
      <c r="C164" s="7">
        <f>COUNTIF($F$2:$F164,F164)</f>
      </c>
      <c r="D164" s="7">
        <f>IF(F164=0,0,MAX($D$2:D163)+1)</f>
      </c>
      <c r="E164" s="7">
        <f>IF(H164=0,0,MAX($E$2:E163)+1)</f>
      </c>
      <c r="F164" s="177"/>
      <c r="G164" s="177"/>
      <c r="H164" s="119"/>
      <c r="I164" s="7">
        <f>IFERROR(VLOOKUP(H164,H$2:H163,1,FALSE),VLOOKUP(H164,H165:H$478,1,FALSE))</f>
      </c>
      <c r="J164" s="7">
        <f t="shared" si="29"/>
        <v/>
      </c>
      <c r="K164" s="7">
        <f t="shared" si="30"/>
        <v/>
      </c>
      <c r="L164" s="7">
        <f t="shared" si="31"/>
        <v/>
      </c>
      <c r="M164" s="19">
        <f t="shared" si="40"/>
        <v/>
      </c>
      <c r="N164" s="7">
        <f t="shared" si="32"/>
        <v/>
      </c>
      <c r="O164" s="7"/>
      <c r="P164" s="7">
        <f t="shared" si="33"/>
        <v/>
      </c>
      <c r="Q164" s="7">
        <f t="shared" si="34"/>
        <v/>
      </c>
      <c r="R164" s="7">
        <f t="shared" si="37"/>
      </c>
      <c r="S164" s="7">
        <f t="shared" si="38"/>
      </c>
      <c r="T164" s="7">
        <f t="shared" si="39"/>
      </c>
      <c r="U164" s="7">
        <f t="shared" si="35"/>
        <v/>
      </c>
    </row>
    <row r="165" spans="1:21" x14ac:dyDescent="0.3">
      <c r="A165" s="7">
        <f t="shared" si="36"/>
        <v/>
      </c>
      <c r="B165" s="7">
        <f>IF(C165=1,MAX(B$2:$B164)+1,IF(F165=0,"",B164))</f>
      </c>
      <c r="C165" s="7">
        <f>COUNTIF($F$2:$F165,F165)</f>
      </c>
      <c r="D165" s="7">
        <f>IF(F165=0,0,MAX($D$2:D164)+1)</f>
      </c>
      <c r="E165" s="7">
        <f>IF(H165=0,0,MAX($E$2:E164)+1)</f>
      </c>
      <c r="F165" s="177"/>
      <c r="G165" s="119"/>
      <c r="H165" s="119"/>
      <c r="I165" s="7">
        <f>IFERROR(VLOOKUP(H165,H$2:H164,1,FALSE),VLOOKUP(H165,H166:H$478,1,FALSE))</f>
      </c>
      <c r="J165" s="7">
        <f t="shared" si="29"/>
        <v/>
      </c>
      <c r="K165" s="7">
        <f t="shared" si="30"/>
        <v/>
      </c>
      <c r="L165" s="7">
        <f t="shared" si="31"/>
        <v/>
      </c>
      <c r="M165" s="19">
        <f t="shared" si="40"/>
        <v/>
      </c>
      <c r="N165" s="7">
        <f t="shared" si="32"/>
        <v/>
      </c>
      <c r="O165" s="7"/>
      <c r="P165" s="7">
        <f t="shared" si="33"/>
        <v/>
      </c>
      <c r="Q165" s="7">
        <f t="shared" si="34"/>
        <v/>
      </c>
      <c r="R165" s="7">
        <f t="shared" si="37"/>
      </c>
      <c r="S165" s="7">
        <f t="shared" si="38"/>
      </c>
      <c r="T165" s="7">
        <f t="shared" si="39"/>
      </c>
      <c r="U165" s="7">
        <f t="shared" si="35"/>
        <v/>
      </c>
    </row>
    <row r="166" spans="1:21" x14ac:dyDescent="0.3">
      <c r="A166" s="7">
        <f t="shared" si="36"/>
        <v/>
      </c>
      <c r="B166" s="7">
        <f>IF(C166=1,MAX(B$2:$B165)+1,IF(F166=0,"",B165))</f>
      </c>
      <c r="C166" s="7">
        <f>COUNTIF($F$2:$F166,F166)</f>
      </c>
      <c r="D166" s="7">
        <f>IF(F166=0,0,MAX($D$2:D165)+1)</f>
      </c>
      <c r="E166" s="7">
        <f>IF(H166=0,0,MAX($E$2:E165)+1)</f>
      </c>
      <c r="F166" s="177"/>
      <c r="G166" s="119"/>
      <c r="H166" s="119"/>
      <c r="I166" s="7">
        <f>IFERROR(VLOOKUP(H166,H$2:H165,1,FALSE),VLOOKUP(H166,H167:H$478,1,FALSE))</f>
      </c>
      <c r="J166" s="7">
        <f t="shared" si="29"/>
        <v/>
      </c>
      <c r="K166" s="7">
        <f t="shared" si="30"/>
        <v/>
      </c>
      <c r="L166" s="7">
        <f t="shared" si="31"/>
        <v/>
      </c>
      <c r="M166" s="19">
        <f t="shared" si="40"/>
        <v/>
      </c>
      <c r="N166" s="7">
        <f t="shared" si="32"/>
        <v/>
      </c>
      <c r="O166" s="7"/>
      <c r="P166" s="7">
        <f t="shared" si="33"/>
        <v/>
      </c>
      <c r="Q166" s="7">
        <f t="shared" si="34"/>
        <v/>
      </c>
      <c r="R166" s="7">
        <f t="shared" si="37"/>
      </c>
      <c r="S166" s="7">
        <f t="shared" si="38"/>
      </c>
      <c r="T166" s="7">
        <f t="shared" si="39"/>
      </c>
      <c r="U166" s="7">
        <f t="shared" si="35"/>
        <v/>
      </c>
    </row>
    <row r="167" spans="1:21" x14ac:dyDescent="0.3">
      <c r="A167" s="7">
        <f t="shared" si="36"/>
        <v/>
      </c>
      <c r="B167" s="7">
        <f>IF(C167=1,MAX(B$2:$B166)+1,IF(F167=0,"",B166))</f>
      </c>
      <c r="C167" s="7">
        <f>COUNTIF($F$2:$F167,F167)</f>
      </c>
      <c r="D167" s="7">
        <f>IF(F167=0,0,MAX($D$2:D166)+1)</f>
      </c>
      <c r="E167" s="7">
        <f>IF(H167=0,0,MAX($E$2:E166)+1)</f>
      </c>
      <c r="F167" s="177"/>
      <c r="G167" s="119"/>
      <c r="H167" s="119"/>
      <c r="I167" s="7">
        <f>IFERROR(VLOOKUP(H167,H$2:H166,1,FALSE),VLOOKUP(H167,H168:H$478,1,FALSE))</f>
      </c>
      <c r="J167" s="7">
        <f t="shared" si="29"/>
        <v/>
      </c>
      <c r="K167" s="7">
        <f t="shared" si="30"/>
        <v/>
      </c>
      <c r="L167" s="7">
        <f t="shared" si="31"/>
        <v/>
      </c>
      <c r="M167" s="19">
        <f t="shared" si="40"/>
        <v/>
      </c>
      <c r="N167" s="7">
        <f t="shared" si="32"/>
        <v/>
      </c>
      <c r="O167" s="7"/>
      <c r="P167" s="7">
        <f t="shared" si="33"/>
        <v/>
      </c>
      <c r="Q167" s="7">
        <f t="shared" si="34"/>
        <v/>
      </c>
      <c r="R167" s="7">
        <f t="shared" si="37"/>
      </c>
      <c r="S167" s="7">
        <f t="shared" si="38"/>
      </c>
      <c r="T167" s="7">
        <f t="shared" si="39"/>
      </c>
      <c r="U167" s="7">
        <f t="shared" si="35"/>
        <v/>
      </c>
    </row>
    <row r="168" spans="1:21" x14ac:dyDescent="0.3">
      <c r="A168" s="7">
        <f t="shared" si="36"/>
        <v/>
      </c>
      <c r="B168" s="7">
        <f>IF(C168=1,MAX(B$2:$B167)+1,IF(F168=0,"",B167))</f>
      </c>
      <c r="C168" s="7">
        <f>COUNTIF($F$2:$F168,F168)</f>
      </c>
      <c r="D168" s="7">
        <f>IF(F168=0,0,MAX($D$2:D167)+1)</f>
      </c>
      <c r="E168" s="7">
        <f>IF(H168=0,0,MAX($E$2:E167)+1)</f>
      </c>
      <c r="F168" s="177"/>
      <c r="G168" s="119"/>
      <c r="H168" s="119"/>
      <c r="I168" s="7">
        <f>IFERROR(VLOOKUP(H168,H$2:H167,1,FALSE),VLOOKUP(H168,H169:H$478,1,FALSE))</f>
      </c>
      <c r="J168" s="7">
        <f t="shared" si="29"/>
        <v/>
      </c>
      <c r="K168" s="7">
        <f t="shared" si="30"/>
        <v/>
      </c>
      <c r="L168" s="7">
        <f t="shared" si="31"/>
        <v/>
      </c>
      <c r="M168" s="19">
        <f t="shared" si="40"/>
        <v/>
      </c>
      <c r="N168" s="7">
        <f t="shared" si="32"/>
        <v/>
      </c>
      <c r="O168" s="7"/>
      <c r="P168" s="7">
        <f t="shared" si="33"/>
        <v/>
      </c>
      <c r="Q168" s="7">
        <f t="shared" si="34"/>
        <v/>
      </c>
      <c r="R168" s="7">
        <f t="shared" si="37"/>
      </c>
      <c r="S168" s="7">
        <f t="shared" si="38"/>
      </c>
      <c r="T168" s="7">
        <f t="shared" si="39"/>
      </c>
      <c r="U168" s="7">
        <f t="shared" si="35"/>
        <v/>
      </c>
    </row>
    <row r="169" spans="1:21" x14ac:dyDescent="0.3">
      <c r="A169" s="7">
        <f t="shared" si="36"/>
        <v/>
      </c>
      <c r="B169" s="7">
        <f>IF(C169=1,MAX(B$2:$B168)+1,IF(F169=0,"",B168))</f>
      </c>
      <c r="C169" s="7">
        <f>COUNTIF($F$2:$F169,F169)</f>
      </c>
      <c r="D169" s="7">
        <f>IF(F169=0,0,MAX($D$2:D168)+1)</f>
      </c>
      <c r="E169" s="7">
        <f>IF(H169=0,0,MAX($E$2:E168)+1)</f>
      </c>
      <c r="F169" s="177"/>
      <c r="G169" s="119"/>
      <c r="H169" s="119"/>
      <c r="I169" s="7">
        <f>IFERROR(VLOOKUP(H169,H$2:H168,1,FALSE),VLOOKUP(H169,H170:H$478,1,FALSE))</f>
      </c>
      <c r="J169" s="7">
        <f t="shared" si="29"/>
        <v/>
      </c>
      <c r="K169" s="7">
        <f t="shared" si="30"/>
        <v/>
      </c>
      <c r="L169" s="7">
        <f t="shared" si="31"/>
        <v/>
      </c>
      <c r="M169" s="19">
        <f t="shared" si="40"/>
        <v/>
      </c>
      <c r="N169" s="7">
        <f t="shared" si="32"/>
        <v/>
      </c>
      <c r="O169" s="7"/>
      <c r="P169" s="7">
        <f t="shared" si="33"/>
        <v/>
      </c>
      <c r="Q169" s="7">
        <f t="shared" si="34"/>
        <v/>
      </c>
      <c r="R169" s="7">
        <f t="shared" si="37"/>
      </c>
      <c r="S169" s="7">
        <f t="shared" si="38"/>
      </c>
      <c r="T169" s="7">
        <f t="shared" si="39"/>
      </c>
      <c r="U169" s="7">
        <f t="shared" si="35"/>
        <v/>
      </c>
    </row>
    <row r="170" spans="1:21" ht="15" thickBot="1" x14ac:dyDescent="0.35">
      <c r="A170" s="7">
        <f t="shared" si="36"/>
        <v/>
      </c>
      <c r="B170" s="7">
        <f>IF(C170=1,MAX(B$2:$B169)+1,IF(F170=0,"",B169))</f>
      </c>
      <c r="C170" s="7">
        <f>COUNTIF($F$2:$F170,F170)</f>
      </c>
      <c r="D170" s="7">
        <f>IF(F170=0,0,MAX($D$2:D169)+1)</f>
      </c>
      <c r="E170" s="7">
        <f>IF(H170=0,0,MAX($E$2:E169)+1)</f>
      </c>
      <c r="F170" s="177"/>
      <c r="G170" s="119"/>
      <c r="H170" s="175"/>
      <c r="I170" s="7">
        <f>IFERROR(VLOOKUP(H170,H$2:H169,1,FALSE),VLOOKUP(H170,H171:H$478,1,FALSE))</f>
      </c>
      <c r="J170" s="7">
        <f t="shared" si="29"/>
        <v/>
      </c>
      <c r="K170" s="7">
        <f t="shared" si="30"/>
        <v/>
      </c>
      <c r="L170" s="7">
        <f t="shared" si="31"/>
        <v/>
      </c>
      <c r="M170" s="19">
        <f t="shared" si="40"/>
        <v/>
      </c>
      <c r="N170" s="7">
        <f t="shared" si="32"/>
        <v/>
      </c>
      <c r="O170" s="7"/>
      <c r="P170" s="7">
        <f t="shared" si="33"/>
        <v/>
      </c>
      <c r="Q170" s="7">
        <f t="shared" si="34"/>
        <v/>
      </c>
      <c r="R170" s="7">
        <f t="shared" si="37"/>
      </c>
      <c r="S170" s="7">
        <f t="shared" si="38"/>
      </c>
      <c r="T170" s="7">
        <f t="shared" si="39"/>
      </c>
      <c r="U170" s="7">
        <f t="shared" si="35"/>
        <v/>
      </c>
    </row>
    <row r="171" spans="1:21" x14ac:dyDescent="0.3">
      <c r="A171" s="7">
        <f t="shared" si="36"/>
        <v/>
      </c>
      <c r="B171" s="7">
        <f>IF(C171=1,MAX(B$2:$B170)+1,IF(F171=0,"",B170))</f>
      </c>
      <c r="C171" s="7">
        <f>COUNTIF($F$2:$F171,F171)</f>
      </c>
      <c r="D171" s="7">
        <f>IF(F171=0,0,MAX($D$2:D170)+1)</f>
      </c>
      <c r="E171" s="7">
        <f>IF(H171=0,0,MAX($E$2:E170)+1)</f>
      </c>
      <c r="F171" s="177"/>
      <c r="G171" s="119"/>
      <c r="H171" s="177"/>
      <c r="I171" s="7">
        <f>IFERROR(VLOOKUP(H171,H$2:H170,1,FALSE),VLOOKUP(H171,H172:H$478,1,FALSE))</f>
      </c>
      <c r="J171" s="7">
        <f t="shared" si="29"/>
        <v/>
      </c>
      <c r="K171" s="7">
        <f t="shared" si="30"/>
        <v/>
      </c>
      <c r="L171" s="7">
        <f t="shared" si="31"/>
        <v/>
      </c>
      <c r="M171" s="19">
        <f t="shared" si="40"/>
        <v/>
      </c>
      <c r="N171" s="7">
        <f t="shared" si="32"/>
        <v/>
      </c>
      <c r="O171" s="7"/>
      <c r="P171" s="7">
        <f t="shared" si="33"/>
        <v/>
      </c>
      <c r="Q171" s="7">
        <f t="shared" si="34"/>
        <v/>
      </c>
      <c r="R171" s="7">
        <f t="shared" si="37"/>
      </c>
      <c r="S171" s="7">
        <f t="shared" si="38"/>
      </c>
      <c r="T171" s="7">
        <f t="shared" si="39"/>
      </c>
      <c r="U171" s="7">
        <f t="shared" si="35"/>
        <v/>
      </c>
    </row>
    <row r="172" spans="1:21" s="8" customFormat="1" ht="15" thickBot="1" x14ac:dyDescent="0.35">
      <c r="A172" s="7">
        <f t="shared" si="36"/>
        <v/>
      </c>
      <c r="B172" s="7">
        <f>IF(C172=1,MAX(B$2:$B171)+1,IF(F172=0,"",B171))</f>
      </c>
      <c r="C172" s="7">
        <f>COUNTIF($F$2:$F172,F172)</f>
      </c>
      <c r="D172" s="7">
        <f>IF(F172=0,0,MAX($D$2:D171)+1)</f>
      </c>
      <c r="E172" s="7">
        <f>IF(H172=0,0,MAX($E$2:E171)+1)</f>
      </c>
      <c r="F172" s="175"/>
      <c r="G172" s="175"/>
      <c r="H172" s="119"/>
      <c r="I172" s="47">
        <f>IFERROR(VLOOKUP(H172,H$2:H171,1,FALSE),VLOOKUP(H172,H173:H$478,1,FALSE))</f>
      </c>
      <c r="J172" s="47">
        <f t="shared" si="29"/>
        <v/>
      </c>
      <c r="K172" s="47">
        <f t="shared" si="30"/>
        <v/>
      </c>
      <c r="L172" s="47">
        <f t="shared" si="31"/>
        <v/>
      </c>
      <c r="M172" s="52">
        <f t="shared" si="40"/>
        <v/>
      </c>
      <c r="N172" s="47">
        <f t="shared" si="32"/>
        <v/>
      </c>
      <c r="O172" s="47"/>
      <c r="P172" s="47">
        <f t="shared" si="33"/>
        <v/>
      </c>
      <c r="Q172" s="47">
        <f t="shared" si="34"/>
        <v/>
      </c>
      <c r="R172" s="47">
        <f t="shared" si="37"/>
      </c>
      <c r="S172" s="47">
        <f t="shared" si="38"/>
      </c>
      <c r="T172" s="47">
        <f t="shared" si="39"/>
      </c>
      <c r="U172" s="47">
        <f t="shared" si="35"/>
        <v/>
      </c>
    </row>
    <row r="173" spans="1:21" x14ac:dyDescent="0.3">
      <c r="A173" s="7">
        <f t="shared" si="36"/>
        <v/>
      </c>
      <c r="B173" s="7">
        <f>IF(C173=1,MAX(B$2:$B172)+1,IF(F173=0,"",B172))</f>
      </c>
      <c r="C173" s="7">
        <f>COUNTIF($F$2:$F173,F173)</f>
      </c>
      <c r="D173" s="7">
        <f>IF(F173=0,0,MAX($D$2:D172)+1)</f>
      </c>
      <c r="E173" s="7">
        <f>IF(H173=0,0,MAX($E$2:E172)+1)</f>
      </c>
      <c r="F173" s="177"/>
      <c r="G173" s="119"/>
      <c r="H173" s="177"/>
      <c r="I173" s="7">
        <f>IFERROR(VLOOKUP(H173,H$2:H172,1,FALSE),VLOOKUP(H173,H174:H$478,1,FALSE))</f>
      </c>
      <c r="J173" s="7">
        <f t="shared" si="29"/>
        <v/>
      </c>
      <c r="K173" s="7">
        <f t="shared" si="30"/>
        <v/>
      </c>
      <c r="L173" s="7">
        <f t="shared" si="31"/>
        <v/>
      </c>
      <c r="M173" s="19">
        <f t="shared" si="40"/>
        <v/>
      </c>
      <c r="N173" s="7">
        <f t="shared" si="32"/>
        <v/>
      </c>
      <c r="O173" s="7"/>
      <c r="P173" s="7">
        <f t="shared" si="33"/>
        <v/>
      </c>
      <c r="Q173" s="7">
        <f t="shared" si="34"/>
        <v/>
      </c>
      <c r="R173" s="7">
        <f t="shared" si="37"/>
      </c>
      <c r="S173" s="7">
        <f t="shared" si="38"/>
      </c>
      <c r="T173" s="7">
        <f t="shared" si="39"/>
      </c>
      <c r="U173" s="7">
        <f t="shared" si="35"/>
        <v/>
      </c>
    </row>
    <row r="174" spans="1:21" x14ac:dyDescent="0.3">
      <c r="A174" s="7">
        <f t="shared" si="36"/>
        <v/>
      </c>
      <c r="B174" s="7">
        <f>IF(C174=1,MAX(B$2:$B173)+1,IF(F174=0,"",B173))</f>
      </c>
      <c r="C174" s="7">
        <f>COUNTIF($F$2:$F174,F174)</f>
      </c>
      <c r="D174" s="7">
        <f>IF(F174=0,0,MAX($D$2:D173)+1)</f>
      </c>
      <c r="E174" s="7">
        <f>IF(H174=0,0,MAX($E$2:E173)+1)</f>
      </c>
      <c r="F174" s="177"/>
      <c r="G174" s="119"/>
      <c r="H174" s="119"/>
      <c r="I174" s="7">
        <f>IFERROR(VLOOKUP(H174,H$2:H173,1,FALSE),VLOOKUP(H174,H175:H$478,1,FALSE))</f>
      </c>
      <c r="J174" s="7">
        <f t="shared" si="29"/>
        <v/>
      </c>
      <c r="K174" s="7">
        <f t="shared" si="30"/>
        <v/>
      </c>
      <c r="L174" s="7">
        <f t="shared" si="31"/>
        <v/>
      </c>
      <c r="M174" s="19">
        <f t="shared" si="40"/>
        <v/>
      </c>
      <c r="N174" s="7">
        <f t="shared" si="32"/>
        <v/>
      </c>
      <c r="O174" s="7"/>
      <c r="P174" s="7">
        <f t="shared" si="33"/>
        <v/>
      </c>
      <c r="Q174" s="7">
        <f t="shared" si="34"/>
        <v/>
      </c>
      <c r="R174" s="7">
        <f t="shared" si="37"/>
      </c>
      <c r="S174" s="7">
        <f t="shared" si="38"/>
      </c>
      <c r="T174" s="7">
        <f t="shared" si="39"/>
      </c>
      <c r="U174" s="7">
        <f t="shared" si="35"/>
        <v/>
      </c>
    </row>
    <row r="175" spans="1:21" x14ac:dyDescent="0.3">
      <c r="A175" s="7">
        <f t="shared" si="36"/>
        <v/>
      </c>
      <c r="B175" s="7">
        <f>IF(C175=1,MAX(B$2:$B174)+1,IF(F175=0,"",B174))</f>
      </c>
      <c r="C175" s="7">
        <f>COUNTIF($F$2:$F175,F175)</f>
      </c>
      <c r="D175" s="7">
        <f>IF(F175=0,0,MAX($D$2:D174)+1)</f>
      </c>
      <c r="E175" s="7">
        <f>IF(H175=0,0,MAX($E$2:E174)+1)</f>
      </c>
      <c r="F175" s="177"/>
      <c r="G175" s="119"/>
      <c r="H175" s="119"/>
      <c r="I175" s="7">
        <f>IFERROR(VLOOKUP(H175,H$2:H174,1,FALSE),VLOOKUP(H175,H176:H$478,1,FALSE))</f>
      </c>
      <c r="J175" s="7">
        <f t="shared" si="29"/>
        <v/>
      </c>
      <c r="K175" s="7">
        <f t="shared" si="30"/>
        <v/>
      </c>
      <c r="L175" s="7">
        <f t="shared" si="31"/>
        <v/>
      </c>
      <c r="M175" s="19">
        <f t="shared" si="40"/>
        <v/>
      </c>
      <c r="N175" s="7">
        <f t="shared" si="32"/>
        <v/>
      </c>
      <c r="O175" s="7"/>
      <c r="P175" s="7">
        <f t="shared" si="33"/>
        <v/>
      </c>
      <c r="Q175" s="7">
        <f t="shared" si="34"/>
        <v/>
      </c>
      <c r="R175" s="7">
        <f t="shared" si="37"/>
      </c>
      <c r="S175" s="7">
        <f t="shared" si="38"/>
      </c>
      <c r="T175" s="7">
        <f t="shared" si="39"/>
      </c>
      <c r="U175" s="7">
        <f t="shared" si="35"/>
        <v/>
      </c>
    </row>
    <row r="176" spans="1:21" x14ac:dyDescent="0.3">
      <c r="A176" s="7">
        <f t="shared" si="36"/>
        <v/>
      </c>
      <c r="B176" s="7">
        <f>IF(C176=1,MAX(B$2:$B175)+1,IF(F176=0,"",B175))</f>
      </c>
      <c r="C176" s="7">
        <f>COUNTIF($F$2:$F176,F176)</f>
      </c>
      <c r="D176" s="7">
        <f>IF(F176=0,0,MAX($D$2:D175)+1)</f>
      </c>
      <c r="E176" s="7">
        <f>IF(H176=0,0,MAX($E$2:E175)+1)</f>
      </c>
      <c r="F176" s="177"/>
      <c r="G176" s="119"/>
      <c r="H176" s="119"/>
      <c r="I176" s="7">
        <f>IFERROR(VLOOKUP(H176,H$2:H175,1,FALSE),VLOOKUP(H176,H177:H$478,1,FALSE))</f>
      </c>
      <c r="J176" s="7">
        <f t="shared" si="29"/>
        <v/>
      </c>
      <c r="K176" s="7">
        <f t="shared" si="30"/>
        <v/>
      </c>
      <c r="L176" s="7">
        <f t="shared" si="31"/>
        <v/>
      </c>
      <c r="M176" s="19">
        <f t="shared" si="40"/>
        <v/>
      </c>
      <c r="N176" s="7">
        <f t="shared" si="32"/>
        <v/>
      </c>
      <c r="O176" s="7"/>
      <c r="P176" s="7">
        <f t="shared" si="33"/>
        <v/>
      </c>
      <c r="Q176" s="7">
        <f t="shared" si="34"/>
        <v/>
      </c>
      <c r="R176" s="7">
        <f t="shared" si="37"/>
      </c>
      <c r="S176" s="7">
        <f t="shared" si="38"/>
      </c>
      <c r="T176" s="7">
        <f t="shared" si="39"/>
      </c>
      <c r="U176" s="7">
        <f t="shared" si="35"/>
        <v/>
      </c>
    </row>
    <row r="177" spans="1:21" x14ac:dyDescent="0.3">
      <c r="A177" s="7">
        <f t="shared" si="36"/>
        <v/>
      </c>
      <c r="B177" s="7">
        <f>IF(C177=1,MAX(B$2:$B176)+1,IF(F177=0,"",B176))</f>
      </c>
      <c r="C177" s="7">
        <f>COUNTIF($F$2:$F177,F177)</f>
      </c>
      <c r="D177" s="7">
        <f>IF(F177=0,0,MAX($D$2:D176)+1)</f>
      </c>
      <c r="E177" s="7">
        <f>IF(H177=0,0,MAX($E$2:E176)+1)</f>
      </c>
      <c r="F177" s="177"/>
      <c r="G177" s="119"/>
      <c r="H177" s="119"/>
      <c r="I177" s="7">
        <f>IFERROR(VLOOKUP(H177,H$2:H176,1,FALSE),VLOOKUP(H177,H178:H$478,1,FALSE))</f>
      </c>
      <c r="J177" s="7">
        <f t="shared" si="29"/>
        <v/>
      </c>
      <c r="K177" s="7">
        <f t="shared" si="30"/>
        <v/>
      </c>
      <c r="L177" s="7">
        <f t="shared" si="31"/>
        <v/>
      </c>
      <c r="M177" s="19">
        <f t="shared" si="40"/>
        <v/>
      </c>
      <c r="N177" s="7">
        <f t="shared" si="32"/>
        <v/>
      </c>
      <c r="O177" s="7"/>
      <c r="P177" s="7">
        <f t="shared" si="33"/>
        <v/>
      </c>
      <c r="Q177" s="7">
        <f t="shared" si="34"/>
        <v/>
      </c>
      <c r="R177" s="7">
        <f t="shared" si="37"/>
      </c>
      <c r="S177" s="7">
        <f t="shared" si="38"/>
      </c>
      <c r="T177" s="7">
        <f t="shared" si="39"/>
      </c>
      <c r="U177" s="7">
        <f t="shared" si="35"/>
        <v/>
      </c>
    </row>
    <row r="178" spans="1:21" x14ac:dyDescent="0.3">
      <c r="A178" s="7">
        <f t="shared" si="36"/>
        <v/>
      </c>
      <c r="B178" s="7">
        <f>IF(C178=1,MAX(B$2:$B177)+1,IF(F178=0,"",B177))</f>
      </c>
      <c r="C178" s="7">
        <f>COUNTIF($F$2:$F178,F178)</f>
      </c>
      <c r="D178" s="7">
        <f>IF(F178=0,0,MAX($D$2:D177)+1)</f>
      </c>
      <c r="E178" s="7">
        <f>IF(H178=0,0,MAX($E$2:E177)+1)</f>
      </c>
      <c r="F178" s="177"/>
      <c r="G178" s="177"/>
      <c r="H178" s="119"/>
      <c r="I178" s="7">
        <f>IFERROR(VLOOKUP(H178,H$2:H177,1,FALSE),VLOOKUP(H178,H179:H$478,1,FALSE))</f>
      </c>
      <c r="J178" s="7">
        <f t="shared" si="29"/>
        <v/>
      </c>
      <c r="K178" s="7">
        <f t="shared" si="30"/>
        <v/>
      </c>
      <c r="L178" s="7">
        <f t="shared" si="31"/>
        <v/>
      </c>
      <c r="M178" s="19">
        <f t="shared" si="40"/>
        <v/>
      </c>
      <c r="N178" s="7">
        <f t="shared" si="32"/>
        <v/>
      </c>
      <c r="O178" s="7"/>
      <c r="P178" s="7">
        <f t="shared" si="33"/>
        <v/>
      </c>
      <c r="Q178" s="7">
        <f t="shared" si="34"/>
        <v/>
      </c>
      <c r="R178" s="7">
        <f t="shared" si="37"/>
      </c>
      <c r="S178" s="7">
        <f t="shared" si="38"/>
      </c>
      <c r="T178" s="7">
        <f t="shared" si="39"/>
      </c>
      <c r="U178" s="7">
        <f t="shared" si="35"/>
        <v/>
      </c>
    </row>
    <row r="179" spans="1:21" x14ac:dyDescent="0.3">
      <c r="A179" s="7">
        <f t="shared" si="36"/>
        <v/>
      </c>
      <c r="B179" s="7">
        <f>IF(C179=1,MAX(B$2:$B178)+1,IF(F179=0,"",B178))</f>
      </c>
      <c r="C179" s="7">
        <f>COUNTIF($F$2:$F179,F179)</f>
      </c>
      <c r="D179" s="7">
        <f>IF(F179=0,0,MAX($D$2:D178)+1)</f>
      </c>
      <c r="E179" s="7">
        <f>IF(H179=0,0,MAX($E$2:E178)+1)</f>
      </c>
      <c r="F179" s="177"/>
      <c r="G179" s="119"/>
      <c r="H179" s="119"/>
      <c r="I179" s="7">
        <f>IFERROR(VLOOKUP(H179,H$2:H178,1,FALSE),VLOOKUP(H179,H180:H$478,1,FALSE))</f>
      </c>
      <c r="J179" s="7">
        <f t="shared" si="29"/>
        <v/>
      </c>
      <c r="K179" s="7">
        <f t="shared" si="30"/>
        <v/>
      </c>
      <c r="L179" s="7">
        <f t="shared" si="31"/>
        <v/>
      </c>
      <c r="M179" s="19">
        <f t="shared" si="40"/>
        <v/>
      </c>
      <c r="N179" s="7">
        <f t="shared" si="32"/>
        <v/>
      </c>
      <c r="O179" s="7"/>
      <c r="P179" s="7">
        <f t="shared" si="33"/>
        <v/>
      </c>
      <c r="Q179" s="7">
        <f t="shared" si="34"/>
        <v/>
      </c>
      <c r="R179" s="7">
        <f t="shared" si="37"/>
      </c>
      <c r="S179" s="7">
        <f t="shared" si="38"/>
      </c>
      <c r="T179" s="7">
        <f t="shared" si="39"/>
      </c>
      <c r="U179" s="7">
        <f t="shared" si="35"/>
        <v/>
      </c>
    </row>
    <row r="180" spans="1:21" x14ac:dyDescent="0.3">
      <c r="A180" s="7">
        <f t="shared" si="36"/>
        <v/>
      </c>
      <c r="B180" s="7">
        <f>IF(C180=1,MAX(B$2:$B179)+1,IF(F180=0,"",B179))</f>
      </c>
      <c r="C180" s="7">
        <f>COUNTIF($F$2:$F180,F180)</f>
      </c>
      <c r="D180" s="7">
        <f>IF(F180=0,0,MAX($D$2:D179)+1)</f>
      </c>
      <c r="E180" s="7">
        <f>IF(H180=0,0,MAX($E$2:E179)+1)</f>
      </c>
      <c r="F180" s="177"/>
      <c r="G180" s="119"/>
      <c r="H180" s="119"/>
      <c r="I180" s="7">
        <f>IFERROR(VLOOKUP(H180,H$2:H179,1,FALSE),VLOOKUP(H180,H181:H$478,1,FALSE))</f>
      </c>
      <c r="J180" s="7">
        <f t="shared" si="29"/>
        <v/>
      </c>
      <c r="K180" s="7">
        <f t="shared" si="30"/>
        <v/>
      </c>
      <c r="L180" s="7">
        <f t="shared" si="31"/>
        <v/>
      </c>
      <c r="M180" s="19">
        <f t="shared" si="40"/>
        <v/>
      </c>
      <c r="N180" s="7">
        <f t="shared" si="32"/>
        <v/>
      </c>
      <c r="O180" s="7"/>
      <c r="P180" s="7">
        <f t="shared" si="33"/>
        <v/>
      </c>
      <c r="Q180" s="7">
        <f t="shared" si="34"/>
        <v/>
      </c>
      <c r="R180" s="7">
        <f t="shared" si="37"/>
      </c>
      <c r="S180" s="7">
        <f t="shared" si="38"/>
      </c>
      <c r="T180" s="7">
        <f t="shared" si="39"/>
      </c>
      <c r="U180" s="7">
        <f t="shared" si="35"/>
        <v/>
      </c>
    </row>
    <row r="181" spans="1:21" x14ac:dyDescent="0.3">
      <c r="A181" s="7">
        <f t="shared" ref="A181:A205" si="41">IF(B181=B182,"",B181)</f>
        <v/>
      </c>
      <c r="B181" s="7">
        <f>IF(C181=1,MAX(B$2:$B180)+1,IF(F181=0,"",B180))</f>
      </c>
      <c r="C181" s="7">
        <f>COUNTIF($F$2:$F181,F181)</f>
      </c>
      <c r="D181" s="7">
        <f>IF(F181=0,0,MAX($D$2:D180)+1)</f>
      </c>
      <c r="E181" s="7">
        <f>IF(H181=0,0,MAX($E$2:E180)+1)</f>
      </c>
      <c r="F181" s="177"/>
      <c r="G181" s="119"/>
      <c r="H181" s="119"/>
      <c r="I181" s="7">
        <f>IFERROR(VLOOKUP(H181,H$2:H180,1,FALSE),VLOOKUP(H181,H182:H$478,1,FALSE))</f>
      </c>
      <c r="J181" s="7">
        <f t="shared" si="29"/>
        <v/>
      </c>
      <c r="K181" s="7">
        <f t="shared" si="30"/>
        <v/>
      </c>
      <c r="L181" s="7">
        <f t="shared" si="31"/>
        <v/>
      </c>
      <c r="M181" s="19">
        <f t="shared" si="40"/>
        <v/>
      </c>
      <c r="N181" s="7">
        <f t="shared" si="32"/>
        <v/>
      </c>
      <c r="O181" s="7"/>
      <c r="P181" s="7">
        <f t="shared" si="33"/>
        <v/>
      </c>
      <c r="Q181" s="7">
        <f t="shared" si="34"/>
        <v/>
      </c>
      <c r="R181" s="7">
        <f t="shared" si="37"/>
      </c>
      <c r="S181" s="7">
        <f t="shared" si="38"/>
      </c>
      <c r="T181" s="7">
        <f t="shared" si="39"/>
      </c>
      <c r="U181" s="7">
        <f t="shared" si="35"/>
        <v/>
      </c>
    </row>
    <row r="182" spans="1:21" x14ac:dyDescent="0.3">
      <c r="A182" s="7">
        <f t="shared" si="41"/>
        <v/>
      </c>
      <c r="B182" s="7">
        <f>IF(C182=1,MAX(B$2:$B181)+1,IF(F182=0,"",B181))</f>
      </c>
      <c r="C182" s="7">
        <f>COUNTIF($F$2:$F182,F182)</f>
      </c>
      <c r="D182" s="7">
        <f>IF(F182=0,0,MAX($D$2:D181)+1)</f>
      </c>
      <c r="E182" s="7">
        <f>IF(H182=0,0,MAX($E$2:E181)+1)</f>
      </c>
      <c r="F182" s="177"/>
      <c r="G182" s="119"/>
      <c r="H182" s="119"/>
      <c r="I182" s="7">
        <f>IFERROR(VLOOKUP(H182,H$2:H181,1,FALSE),VLOOKUP(H182,H183:H$478,1,FALSE))</f>
      </c>
      <c r="J182" s="7">
        <f t="shared" si="29"/>
        <v/>
      </c>
      <c r="K182" s="7">
        <f t="shared" si="30"/>
        <v/>
      </c>
      <c r="L182" s="7">
        <f t="shared" si="31"/>
        <v/>
      </c>
      <c r="M182" s="19">
        <f t="shared" si="40"/>
        <v/>
      </c>
      <c r="N182" s="7">
        <f t="shared" si="32"/>
        <v/>
      </c>
      <c r="O182" s="7"/>
      <c r="P182" s="7">
        <f t="shared" si="33"/>
        <v/>
      </c>
      <c r="Q182" s="7">
        <f t="shared" si="34"/>
        <v/>
      </c>
      <c r="R182" s="7">
        <f t="shared" si="37"/>
      </c>
      <c r="S182" s="7">
        <f t="shared" si="38"/>
      </c>
      <c r="T182" s="7">
        <f t="shared" si="39"/>
      </c>
      <c r="U182" s="7">
        <f t="shared" si="35"/>
        <v/>
      </c>
    </row>
    <row r="183" spans="1:21" x14ac:dyDescent="0.3">
      <c r="A183" s="7">
        <f t="shared" si="41"/>
        <v/>
      </c>
      <c r="B183" s="7">
        <f>IF(C183=1,MAX(B$2:$B182)+1,IF(F183=0,"",B182))</f>
      </c>
      <c r="C183" s="7">
        <f>COUNTIF($F$2:$F183,F183)</f>
      </c>
      <c r="D183" s="7">
        <f>IF(F183=0,0,MAX($D$2:D182)+1)</f>
      </c>
      <c r="E183" s="7">
        <f>IF(H183=0,0,MAX($E$2:E182)+1)</f>
      </c>
      <c r="F183" s="177"/>
      <c r="G183" s="119"/>
      <c r="H183" s="119"/>
      <c r="I183" s="7">
        <f>IFERROR(VLOOKUP(H183,H$2:H182,1,FALSE),VLOOKUP(H183,H184:H$478,1,FALSE))</f>
      </c>
      <c r="J183" s="7">
        <f t="shared" si="29"/>
        <v/>
      </c>
      <c r="K183" s="7">
        <f t="shared" si="30"/>
        <v/>
      </c>
      <c r="L183" s="7">
        <f t="shared" si="31"/>
        <v/>
      </c>
      <c r="M183" s="19">
        <f t="shared" si="40"/>
        <v/>
      </c>
      <c r="N183" s="7">
        <f t="shared" si="32"/>
        <v/>
      </c>
      <c r="O183" s="7"/>
      <c r="P183" s="7">
        <f t="shared" si="33"/>
        <v/>
      </c>
      <c r="Q183" s="7">
        <f t="shared" si="34"/>
        <v/>
      </c>
      <c r="R183" s="7">
        <f t="shared" si="37"/>
      </c>
      <c r="S183" s="7">
        <f t="shared" si="38"/>
      </c>
      <c r="T183" s="7">
        <f t="shared" si="39"/>
      </c>
      <c r="U183" s="7">
        <f t="shared" si="35"/>
        <v/>
      </c>
    </row>
    <row r="184" spans="1:21" x14ac:dyDescent="0.3">
      <c r="A184" s="7">
        <f t="shared" si="41"/>
        <v/>
      </c>
      <c r="B184" s="7">
        <f>IF(C184=1,MAX(B$2:$B183)+1,IF(F184=0,"",B183))</f>
      </c>
      <c r="C184" s="7">
        <f>COUNTIF($F$2:$F184,F184)</f>
      </c>
      <c r="D184" s="7">
        <f>IF(F184=0,0,MAX($D$2:D183)+1)</f>
      </c>
      <c r="E184" s="7">
        <f>IF(H184=0,0,MAX($E$2:E183)+1)</f>
      </c>
      <c r="F184" s="177"/>
      <c r="G184" s="119"/>
      <c r="H184" s="119"/>
      <c r="I184" s="7">
        <f>IFERROR(VLOOKUP(H184,H$2:H183,1,FALSE),VLOOKUP(H184,H185:H$478,1,FALSE))</f>
      </c>
      <c r="J184" s="7">
        <f t="shared" si="29"/>
        <v/>
      </c>
      <c r="K184" s="7">
        <f t="shared" si="30"/>
        <v/>
      </c>
      <c r="L184" s="7">
        <f t="shared" si="31"/>
        <v/>
      </c>
      <c r="M184" s="19">
        <f t="shared" si="40"/>
        <v/>
      </c>
      <c r="N184" s="7">
        <f t="shared" si="32"/>
        <v/>
      </c>
      <c r="O184" s="7"/>
      <c r="P184" s="7">
        <f t="shared" si="33"/>
        <v/>
      </c>
      <c r="Q184" s="7">
        <f t="shared" si="34"/>
        <v/>
      </c>
      <c r="R184" s="7">
        <f t="shared" si="37"/>
      </c>
      <c r="S184" s="7">
        <f t="shared" si="38"/>
      </c>
      <c r="T184" s="7">
        <f t="shared" si="39"/>
      </c>
      <c r="U184" s="7">
        <f t="shared" si="35"/>
        <v/>
      </c>
    </row>
    <row r="185" spans="1:21" x14ac:dyDescent="0.3">
      <c r="A185" s="7">
        <f t="shared" si="41"/>
        <v/>
      </c>
      <c r="B185" s="7">
        <f>IF(C185=1,MAX(B$2:$B184)+1,IF(F185=0,"",B184))</f>
      </c>
      <c r="C185" s="7">
        <f>COUNTIF($F$2:$F185,F185)</f>
      </c>
      <c r="D185" s="7">
        <f>IF(F185=0,0,MAX($D$2:D184)+1)</f>
      </c>
      <c r="E185" s="7">
        <f>IF(H185=0,0,MAX($E$2:E184)+1)</f>
      </c>
      <c r="F185" s="177"/>
      <c r="G185" s="119"/>
      <c r="H185" s="119"/>
      <c r="I185" s="7">
        <f>IFERROR(VLOOKUP(H185,H$2:H184,1,FALSE),VLOOKUP(H185,H186:H$478,1,FALSE))</f>
      </c>
      <c r="J185" s="7">
        <f t="shared" si="29"/>
        <v/>
      </c>
      <c r="K185" s="7">
        <f t="shared" si="30"/>
        <v/>
      </c>
      <c r="L185" s="7">
        <f t="shared" si="31"/>
        <v/>
      </c>
      <c r="M185" s="19">
        <f t="shared" si="40"/>
        <v/>
      </c>
      <c r="N185" s="7">
        <f t="shared" si="32"/>
        <v/>
      </c>
      <c r="O185" s="7"/>
      <c r="P185" s="7">
        <f t="shared" si="33"/>
        <v/>
      </c>
      <c r="Q185" s="7">
        <f t="shared" si="34"/>
        <v/>
      </c>
      <c r="R185" s="7">
        <f t="shared" si="37"/>
      </c>
      <c r="S185" s="7">
        <f t="shared" si="38"/>
      </c>
      <c r="T185" s="7">
        <f t="shared" si="39"/>
      </c>
      <c r="U185" s="7">
        <f t="shared" si="35"/>
        <v/>
      </c>
    </row>
    <row r="186" spans="1:21" x14ac:dyDescent="0.3">
      <c r="A186" s="7">
        <f t="shared" si="41"/>
        <v/>
      </c>
      <c r="B186" s="7">
        <f>IF(C186=1,MAX(B$2:$B185)+1,IF(F186=0,"",B185))</f>
      </c>
      <c r="C186" s="7">
        <f>COUNTIF($F$2:$F186,F186)</f>
      </c>
      <c r="D186" s="7">
        <f>IF(F186=0,0,MAX($D$2:D185)+1)</f>
      </c>
      <c r="E186" s="7">
        <f>IF(H186=0,0,MAX($E$2:E185)+1)</f>
      </c>
      <c r="F186" s="177"/>
      <c r="G186" s="119"/>
      <c r="H186" s="119"/>
      <c r="I186" s="7">
        <f>IFERROR(VLOOKUP(H186,H$2:H185,1,FALSE),VLOOKUP(H186,H187:H$478,1,FALSE))</f>
      </c>
      <c r="J186" s="7">
        <f t="shared" si="29"/>
        <v/>
      </c>
      <c r="K186" s="7">
        <f t="shared" si="30"/>
        <v/>
      </c>
      <c r="L186" s="7">
        <f t="shared" si="31"/>
        <v/>
      </c>
      <c r="M186" s="19">
        <f t="shared" si="40"/>
        <v/>
      </c>
      <c r="N186" s="7">
        <f t="shared" si="32"/>
        <v/>
      </c>
      <c r="O186" s="7"/>
      <c r="P186" s="7">
        <f t="shared" si="33"/>
        <v/>
      </c>
      <c r="Q186" s="7">
        <f t="shared" si="34"/>
        <v/>
      </c>
      <c r="R186" s="7">
        <f t="shared" si="37"/>
      </c>
      <c r="S186" s="7">
        <f t="shared" si="38"/>
      </c>
      <c r="T186" s="7">
        <f t="shared" si="39"/>
      </c>
      <c r="U186" s="7">
        <f t="shared" si="35"/>
        <v/>
      </c>
    </row>
    <row r="187" spans="1:21" x14ac:dyDescent="0.3">
      <c r="A187" s="7">
        <f t="shared" si="41"/>
        <v/>
      </c>
      <c r="B187" s="7">
        <f>IF(C187=1,MAX(B$2:$B186)+1,IF(F187=0,"",B186))</f>
      </c>
      <c r="C187" s="7">
        <f>COUNTIF($F$2:$F187,F187)</f>
      </c>
      <c r="D187" s="7">
        <f>IF(F187=0,0,MAX($D$2:D186)+1)</f>
      </c>
      <c r="E187" s="7">
        <f>IF(H187=0,0,MAX($E$2:E186)+1)</f>
      </c>
      <c r="F187" s="177"/>
      <c r="G187" s="119"/>
      <c r="H187" s="119"/>
      <c r="I187" s="7">
        <f>IFERROR(VLOOKUP(H187,H$2:H186,1,FALSE),VLOOKUP(H187,H188:H$478,1,FALSE))</f>
      </c>
      <c r="J187" s="7">
        <f t="shared" si="29"/>
        <v/>
      </c>
      <c r="K187" s="7">
        <f t="shared" si="30"/>
        <v/>
      </c>
      <c r="L187" s="7">
        <f t="shared" si="31"/>
        <v/>
      </c>
      <c r="M187" s="19">
        <f t="shared" si="40"/>
        <v/>
      </c>
      <c r="N187" s="7">
        <f t="shared" si="32"/>
        <v/>
      </c>
      <c r="O187" s="7"/>
      <c r="P187" s="7">
        <f t="shared" si="33"/>
        <v/>
      </c>
      <c r="Q187" s="7">
        <f t="shared" si="34"/>
        <v/>
      </c>
      <c r="R187" s="7">
        <f t="shared" si="37"/>
      </c>
      <c r="S187" s="7">
        <f t="shared" si="38"/>
      </c>
      <c r="T187" s="7">
        <f t="shared" si="39"/>
      </c>
      <c r="U187" s="7">
        <f t="shared" si="35"/>
        <v/>
      </c>
    </row>
    <row r="188" spans="1:21" x14ac:dyDescent="0.3">
      <c r="A188" s="7">
        <f t="shared" si="41"/>
        <v/>
      </c>
      <c r="B188" s="7">
        <f>IF(C188=1,MAX(B$2:$B187)+1,IF(F188=0,"",B187))</f>
      </c>
      <c r="C188" s="7">
        <f>COUNTIF($F$2:$F188,F188)</f>
      </c>
      <c r="D188" s="7">
        <f>IF(F188=0,0,MAX($D$2:D187)+1)</f>
      </c>
      <c r="E188" s="7">
        <f>IF(H188=0,0,MAX($E$2:E187)+1)</f>
      </c>
      <c r="F188" s="177"/>
      <c r="G188" s="119"/>
      <c r="H188" s="119"/>
      <c r="I188" s="7">
        <f>IFERROR(VLOOKUP(H188,H$2:H187,1,FALSE),VLOOKUP(H188,H189:H$478,1,FALSE))</f>
      </c>
      <c r="J188" s="7">
        <f t="shared" si="29"/>
        <v/>
      </c>
      <c r="K188" s="7">
        <f t="shared" si="30"/>
        <v/>
      </c>
      <c r="L188" s="7">
        <f t="shared" si="31"/>
        <v/>
      </c>
      <c r="M188" s="19">
        <f t="shared" si="40"/>
        <v/>
      </c>
      <c r="N188" s="7">
        <f t="shared" si="32"/>
        <v/>
      </c>
      <c r="O188" s="7"/>
      <c r="P188" s="7">
        <f t="shared" si="33"/>
        <v/>
      </c>
      <c r="Q188" s="7">
        <f t="shared" si="34"/>
        <v/>
      </c>
      <c r="R188" s="7">
        <f t="shared" si="37"/>
      </c>
      <c r="S188" s="7">
        <f t="shared" si="38"/>
      </c>
      <c r="T188" s="7">
        <f t="shared" si="39"/>
      </c>
      <c r="U188" s="7">
        <f t="shared" si="35"/>
        <v/>
      </c>
    </row>
    <row r="189" spans="1:21" s="8" customFormat="1" ht="15" thickBot="1" x14ac:dyDescent="0.35">
      <c r="A189" s="47">
        <f t="shared" si="41"/>
        <v/>
      </c>
      <c r="B189" s="47">
        <f>IF(C189=1,MAX(B$2:$B188)+1,IF(F189=0,"",B188))</f>
      </c>
      <c r="C189" s="47">
        <f>COUNTIF($F$2:$F189,F189)</f>
      </c>
      <c r="D189" s="47">
        <f>IF(F189=0,0,MAX($D$2:D188)+1)</f>
      </c>
      <c r="E189" s="47">
        <f>IF(H189=0,0,MAX($E$2:E188)+1)</f>
      </c>
      <c r="F189" s="177"/>
      <c r="G189" s="175"/>
      <c r="H189" s="119"/>
      <c r="I189" s="47">
        <f>IFERROR(VLOOKUP(H189,H$2:H188,1,FALSE),VLOOKUP(H189,H190:H$478,1,FALSE))</f>
      </c>
      <c r="J189" s="47">
        <f t="shared" si="29"/>
        <v/>
      </c>
      <c r="K189" s="47">
        <f t="shared" si="30"/>
        <v/>
      </c>
      <c r="L189" s="47">
        <f t="shared" si="31"/>
        <v/>
      </c>
      <c r="M189" s="52">
        <f t="shared" si="40"/>
        <v/>
      </c>
      <c r="N189" s="47">
        <f t="shared" si="32"/>
        <v/>
      </c>
      <c r="O189" s="47"/>
      <c r="P189" s="47">
        <f t="shared" si="33"/>
        <v/>
      </c>
      <c r="Q189" s="47">
        <f t="shared" si="34"/>
        <v/>
      </c>
      <c r="R189" s="47">
        <f t="shared" si="37"/>
      </c>
      <c r="S189" s="47">
        <f t="shared" si="38"/>
      </c>
      <c r="T189" s="47">
        <f t="shared" si="39"/>
      </c>
      <c r="U189" s="47">
        <f t="shared" si="35"/>
        <v/>
      </c>
    </row>
    <row r="190" spans="1:21" x14ac:dyDescent="0.3">
      <c r="A190" s="7">
        <f t="shared" si="41"/>
        <v/>
      </c>
      <c r="B190" s="7">
        <f>IF(C190=1,MAX(B$2:$B189)+1,IF(F190=0,"",B189))</f>
      </c>
      <c r="C190" s="7">
        <f>COUNTIF($F$2:$F190,F190)</f>
      </c>
      <c r="D190" s="7">
        <f>IF(F190=0,0,MAX($D$2:D189)+1)</f>
      </c>
      <c r="E190" s="7">
        <f>IF(H190=0,0,MAX($E$2:E189)+1)</f>
      </c>
      <c r="F190" s="177"/>
      <c r="G190" s="119"/>
      <c r="H190" s="177"/>
      <c r="I190" s="7">
        <f>IFERROR(VLOOKUP(H190,H$2:H189,1,FALSE),VLOOKUP(H190,H191:H$478,1,FALSE))</f>
      </c>
      <c r="J190" s="7">
        <f t="shared" si="29"/>
        <v/>
      </c>
      <c r="K190" s="7">
        <f t="shared" si="30"/>
        <v/>
      </c>
      <c r="L190" s="7">
        <f t="shared" si="31"/>
        <v/>
      </c>
      <c r="M190" s="19">
        <f t="shared" si="40"/>
        <v/>
      </c>
      <c r="N190" s="7">
        <f t="shared" si="32"/>
        <v/>
      </c>
      <c r="O190" s="7"/>
      <c r="P190" s="7">
        <f t="shared" si="33"/>
        <v/>
      </c>
      <c r="Q190" s="7">
        <f t="shared" si="34"/>
        <v/>
      </c>
      <c r="R190" s="7">
        <f t="shared" si="37"/>
      </c>
      <c r="S190" s="7">
        <f t="shared" si="38"/>
      </c>
      <c r="T190" s="7">
        <f t="shared" si="39"/>
      </c>
      <c r="U190" s="7">
        <f t="shared" si="35"/>
        <v/>
      </c>
    </row>
    <row r="191" spans="1:21" x14ac:dyDescent="0.3">
      <c r="A191" s="7">
        <f t="shared" si="41"/>
        <v/>
      </c>
      <c r="B191" s="7">
        <f>IF(C191=1,MAX(B$2:$B190)+1,IF(F191=0,"",B190))</f>
      </c>
      <c r="C191" s="7">
        <f>COUNTIF($F$2:$F191,F191)</f>
      </c>
      <c r="D191" s="7">
        <f>IF(F191=0,0,MAX($D$2:D190)+1)</f>
      </c>
      <c r="E191" s="7">
        <f>IF(H191=0,0,MAX($E$2:E190)+1)</f>
      </c>
      <c r="F191" s="177"/>
      <c r="G191" s="119"/>
      <c r="H191" s="119"/>
      <c r="I191" s="7">
        <f>IFERROR(VLOOKUP(H191,H$2:H190,1,FALSE),VLOOKUP(H191,H192:H$478,1,FALSE))</f>
      </c>
      <c r="J191" s="7">
        <f t="shared" si="29"/>
        <v/>
      </c>
      <c r="K191" s="7">
        <f t="shared" si="30"/>
        <v/>
      </c>
      <c r="L191" s="7">
        <f t="shared" si="31"/>
        <v/>
      </c>
      <c r="M191" s="19">
        <f t="shared" si="40"/>
        <v/>
      </c>
      <c r="N191" s="7">
        <f t="shared" si="32"/>
        <v/>
      </c>
      <c r="O191" s="7"/>
      <c r="P191" s="7">
        <f t="shared" si="33"/>
        <v/>
      </c>
      <c r="Q191" s="7">
        <f t="shared" si="34"/>
        <v/>
      </c>
      <c r="R191" s="7">
        <f t="shared" si="37"/>
      </c>
      <c r="S191" s="7">
        <f t="shared" si="38"/>
      </c>
      <c r="T191" s="7">
        <f t="shared" si="39"/>
      </c>
      <c r="U191" s="7">
        <f t="shared" si="35"/>
        <v/>
      </c>
    </row>
    <row r="192" spans="1:21" x14ac:dyDescent="0.3">
      <c r="A192" s="7">
        <f t="shared" si="41"/>
        <v/>
      </c>
      <c r="B192" s="7">
        <f>IF(C192=1,MAX(B$2:$B191)+1,IF(F192=0,"",B191))</f>
      </c>
      <c r="C192" s="7">
        <f>COUNTIF($F$2:$F192,F192)</f>
      </c>
      <c r="D192" s="7">
        <f>IF(F192=0,0,MAX($D$2:D191)+1)</f>
      </c>
      <c r="E192" s="7">
        <f>IF(H192=0,0,MAX($E$2:E191)+1)</f>
      </c>
      <c r="F192" s="177"/>
      <c r="G192" s="177"/>
      <c r="H192" s="119"/>
      <c r="I192" s="7">
        <f>IFERROR(VLOOKUP(H192,H$2:H191,1,FALSE),VLOOKUP(H192,H193:H$478,1,FALSE))</f>
      </c>
      <c r="J192" s="7">
        <f t="shared" si="29"/>
        <v/>
      </c>
      <c r="K192" s="7">
        <f t="shared" si="30"/>
        <v/>
      </c>
      <c r="L192" s="7">
        <f t="shared" si="31"/>
        <v/>
      </c>
      <c r="M192" s="19">
        <f t="shared" si="40"/>
        <v/>
      </c>
      <c r="N192" s="7">
        <f t="shared" si="32"/>
        <v/>
      </c>
      <c r="O192" s="7"/>
      <c r="P192" s="7">
        <f t="shared" si="33"/>
        <v/>
      </c>
      <c r="Q192" s="7">
        <f t="shared" si="34"/>
        <v/>
      </c>
      <c r="R192" s="7">
        <f t="shared" si="37"/>
      </c>
      <c r="S192" s="7">
        <f t="shared" si="38"/>
      </c>
      <c r="T192" s="7">
        <f t="shared" si="39"/>
      </c>
      <c r="U192" s="7">
        <f t="shared" si="35"/>
        <v/>
      </c>
    </row>
    <row r="193" spans="1:21" x14ac:dyDescent="0.3">
      <c r="A193" s="7">
        <f t="shared" si="41"/>
        <v/>
      </c>
      <c r="B193" s="7">
        <f>IF(C193=1,MAX(B$2:$B192)+1,IF(F193=0,"",B192))</f>
      </c>
      <c r="C193" s="7">
        <f>COUNTIF($F$2:$F193,F193)</f>
      </c>
      <c r="D193" s="7">
        <f>IF(F193=0,0,MAX($D$2:D192)+1)</f>
      </c>
      <c r="E193" s="7">
        <f>IF(H193=0,0,MAX($E$2:E192)+1)</f>
      </c>
      <c r="F193" s="177"/>
      <c r="G193" s="119"/>
      <c r="H193" s="119"/>
      <c r="I193" s="7">
        <f>IFERROR(VLOOKUP(H193,H$2:H192,1,FALSE),VLOOKUP(H193,H194:H$478,1,FALSE))</f>
      </c>
      <c r="J193" s="7">
        <f t="shared" si="29"/>
        <v/>
      </c>
      <c r="K193" s="7">
        <f t="shared" si="30"/>
        <v/>
      </c>
      <c r="L193" s="7">
        <f t="shared" si="31"/>
        <v/>
      </c>
      <c r="M193" s="19">
        <f t="shared" si="40"/>
        <v/>
      </c>
      <c r="N193" s="7">
        <f t="shared" si="32"/>
        <v/>
      </c>
      <c r="O193" s="7"/>
      <c r="P193" s="7">
        <f t="shared" si="33"/>
        <v/>
      </c>
      <c r="Q193" s="7">
        <f t="shared" si="34"/>
        <v/>
      </c>
      <c r="R193" s="7">
        <f t="shared" si="37"/>
      </c>
      <c r="S193" s="7">
        <f t="shared" si="38"/>
      </c>
      <c r="T193" s="7">
        <f t="shared" si="39"/>
      </c>
      <c r="U193" s="7">
        <f t="shared" si="35"/>
        <v/>
      </c>
    </row>
    <row r="194" spans="1:21" x14ac:dyDescent="0.3">
      <c r="A194" s="7">
        <f t="shared" si="41"/>
        <v/>
      </c>
      <c r="B194" s="7">
        <f>IF(C194=1,MAX(B$2:$B193)+1,IF(F194=0,"",B193))</f>
      </c>
      <c r="C194" s="7">
        <f>COUNTIF($F$2:$F194,F194)</f>
      </c>
      <c r="D194" s="7">
        <f>IF(F194=0,0,MAX($D$2:D193)+1)</f>
      </c>
      <c r="E194" s="7">
        <f>IF(H194=0,0,MAX($E$2:E193)+1)</f>
      </c>
      <c r="F194" s="177"/>
      <c r="G194" s="119"/>
      <c r="H194" s="119"/>
      <c r="I194" s="7">
        <f>IFERROR(VLOOKUP(H194,H$2:H193,1,FALSE),VLOOKUP(H194,H195:H$478,1,FALSE))</f>
      </c>
      <c r="J194" s="7">
        <f t="shared" si="29"/>
        <v/>
      </c>
      <c r="K194" s="7">
        <f t="shared" si="30"/>
        <v/>
      </c>
      <c r="L194" s="7">
        <f t="shared" si="31"/>
        <v/>
      </c>
      <c r="M194" s="19">
        <f t="shared" si="40"/>
        <v/>
      </c>
      <c r="N194" s="7">
        <f t="shared" si="32"/>
        <v/>
      </c>
      <c r="O194" s="7"/>
      <c r="P194" s="7">
        <f t="shared" si="33"/>
        <v/>
      </c>
      <c r="Q194" s="7">
        <f t="shared" si="34"/>
        <v/>
      </c>
      <c r="R194" s="7">
        <f t="shared" si="37"/>
      </c>
      <c r="S194" s="7">
        <f t="shared" si="38"/>
      </c>
      <c r="T194" s="7">
        <f t="shared" si="39"/>
      </c>
      <c r="U194" s="7">
        <f t="shared" si="35"/>
        <v/>
      </c>
    </row>
    <row r="195" spans="1:21" x14ac:dyDescent="0.3">
      <c r="A195" s="7">
        <f t="shared" si="41"/>
        <v/>
      </c>
      <c r="B195" s="7">
        <f>IF(C195=1,MAX(B$2:$B194)+1,IF(F195=0,"",B194))</f>
      </c>
      <c r="C195" s="7">
        <f>COUNTIF($F$2:$F195,F195)</f>
      </c>
      <c r="D195" s="7">
        <f>IF(F195=0,0,MAX($D$2:D194)+1)</f>
      </c>
      <c r="E195" s="7">
        <f>IF(H195=0,0,MAX($E$2:E194)+1)</f>
      </c>
      <c r="F195" s="177"/>
      <c r="G195" s="119"/>
      <c r="H195" s="119"/>
      <c r="I195" s="7">
        <f>IFERROR(VLOOKUP(H195,H$2:H194,1,FALSE),VLOOKUP(H195,H196:H$478,1,FALSE))</f>
      </c>
      <c r="J195" s="7">
        <f t="shared" ref="J195:J258" si="42">IF($H195=0,"",VLOOKUP($H195,Исходные_данные,36,FALSE))</f>
        <v/>
      </c>
      <c r="K195" s="7">
        <f t="shared" ref="K195:K258" si="43">IF($H195=0,"",VLOOKUP($H195,Исходные_данные,37,FALSE))</f>
        <v/>
      </c>
      <c r="L195" s="7">
        <f t="shared" ref="L195:L258" si="44">IF($H195=0,"",VLOOKUP($H195,Исходные_данные,38,FALSE))</f>
        <v/>
      </c>
      <c r="M195" s="19">
        <f t="shared" si="40"/>
        <v/>
      </c>
      <c r="N195" s="7">
        <f t="shared" ref="N195:N258" si="45">IF($H195=0,"",VLOOKUP($H195,Исходные_данные,39,FALSE))</f>
        <v/>
      </c>
      <c r="O195" s="7"/>
      <c r="P195" s="7">
        <f t="shared" ref="P195:P258" si="46">IF($H195=0,"",VLOOKUP($H195,Исходные_данные,41,FALSE))</f>
        <v/>
      </c>
      <c r="Q195" s="7">
        <f t="shared" ref="Q195:Q258" si="47">IF($H195=0,"",VLOOKUP($H195,Исходные_данные,8,FALSE))</f>
        <v/>
      </c>
      <c r="R195" s="7">
        <f t="shared" si="37"/>
      </c>
      <c r="S195" s="7">
        <f t="shared" si="38"/>
      </c>
      <c r="T195" s="7">
        <f t="shared" si="39"/>
      </c>
      <c r="U195" s="7">
        <f t="shared" ref="U195:U258" si="48">IF($H195=0,"",VLOOKUP($H195,Исходные_данные,31,FALSE))</f>
        <v/>
      </c>
    </row>
    <row r="196" spans="1:21" x14ac:dyDescent="0.3">
      <c r="A196" s="7">
        <f t="shared" si="41"/>
        <v/>
      </c>
      <c r="B196" s="7">
        <f>IF(C196=1,MAX(B$2:$B195)+1,IF(F196=0,"",B195))</f>
      </c>
      <c r="C196" s="7">
        <f>COUNTIF($F$2:$F196,F196)</f>
      </c>
      <c r="D196" s="7">
        <f>IF(F196=0,0,MAX($D$2:D195)+1)</f>
      </c>
      <c r="E196" s="7">
        <f>IF(H196=0,0,MAX($E$2:E195)+1)</f>
      </c>
      <c r="F196" s="177"/>
      <c r="G196" s="119"/>
      <c r="H196" s="119"/>
      <c r="I196" s="7">
        <f>IFERROR(VLOOKUP(H196,H$2:H195,1,FALSE),VLOOKUP(H196,H197:H$478,1,FALSE))</f>
      </c>
      <c r="J196" s="7">
        <f t="shared" si="42"/>
        <v/>
      </c>
      <c r="K196" s="7">
        <f t="shared" si="43"/>
        <v/>
      </c>
      <c r="L196" s="7">
        <f t="shared" si="44"/>
        <v/>
      </c>
      <c r="M196" s="19">
        <f t="shared" si="40"/>
        <v/>
      </c>
      <c r="N196" s="7">
        <f t="shared" si="45"/>
        <v/>
      </c>
      <c r="O196" s="7"/>
      <c r="P196" s="7">
        <f t="shared" si="46"/>
        <v/>
      </c>
      <c r="Q196" s="7">
        <f t="shared" si="47"/>
        <v/>
      </c>
      <c r="R196" s="7">
        <f t="shared" ref="R196:R259" si="49">IF(Q196=3,"L1,L2,L3",0)</f>
      </c>
      <c r="S196" s="7">
        <f t="shared" ref="S196:S259" si="50">IF(C196=1,1,IF(Q196=3,S195,IF(S195=3,1,S195+1)))</f>
      </c>
      <c r="T196" s="7">
        <f t="shared" ref="T196:T259" si="51">IF(R196=0,"L"&amp;S196,R196)</f>
      </c>
      <c r="U196" s="7">
        <f t="shared" si="48"/>
        <v/>
      </c>
    </row>
    <row r="197" spans="1:21" x14ac:dyDescent="0.3">
      <c r="A197" s="7">
        <f t="shared" si="41"/>
        <v/>
      </c>
      <c r="B197" s="7">
        <f>IF(C197=1,MAX(B$2:$B196)+1,IF(F197=0,"",B196))</f>
      </c>
      <c r="C197" s="7">
        <f>COUNTIF($F$2:$F197,F197)</f>
      </c>
      <c r="D197" s="7">
        <f>IF(F197=0,0,MAX($D$2:D196)+1)</f>
      </c>
      <c r="E197" s="7">
        <f>IF(H197=0,0,MAX($E$2:E196)+1)</f>
      </c>
      <c r="F197" s="177"/>
      <c r="G197" s="119"/>
      <c r="H197" s="119"/>
      <c r="I197" s="7">
        <f>IFERROR(VLOOKUP(H197,H$2:H196,1,FALSE),VLOOKUP(H197,H198:H$478,1,FALSE))</f>
      </c>
      <c r="J197" s="7">
        <f t="shared" si="42"/>
        <v/>
      </c>
      <c r="K197" s="7">
        <f t="shared" si="43"/>
        <v/>
      </c>
      <c r="L197" s="7">
        <f t="shared" si="44"/>
        <v/>
      </c>
      <c r="M197" s="19">
        <f t="shared" ref="M197:M260" si="52">IFERROR(VLOOKUP(H197,Нагрузка_диапазон_1,4,FALSE),"")</f>
        <v/>
      </c>
      <c r="N197" s="7">
        <f t="shared" si="45"/>
        <v/>
      </c>
      <c r="O197" s="7"/>
      <c r="P197" s="7">
        <f t="shared" si="46"/>
        <v/>
      </c>
      <c r="Q197" s="7">
        <f t="shared" si="47"/>
        <v/>
      </c>
      <c r="R197" s="7">
        <f t="shared" si="49"/>
      </c>
      <c r="S197" s="7">
        <f t="shared" si="50"/>
      </c>
      <c r="T197" s="7">
        <f t="shared" si="51"/>
      </c>
      <c r="U197" s="7">
        <f t="shared" si="48"/>
        <v/>
      </c>
    </row>
    <row r="198" spans="1:21" ht="15" thickBot="1" x14ac:dyDescent="0.35">
      <c r="A198" s="7">
        <f t="shared" si="41"/>
        <v/>
      </c>
      <c r="B198" s="7">
        <f>IF(C198=1,MAX(B$2:$B197)+1,IF(F198=0,"",B197))</f>
      </c>
      <c r="C198" s="7">
        <f>COUNTIF($F$2:$F198,F198)</f>
      </c>
      <c r="D198" s="7">
        <f>IF(F198=0,0,MAX($D$2:D197)+1)</f>
      </c>
      <c r="E198" s="7">
        <f>IF(H198=0,0,MAX($E$2:E197)+1)</f>
      </c>
      <c r="F198" s="177"/>
      <c r="G198" s="119"/>
      <c r="H198" s="175"/>
      <c r="I198" s="7">
        <f>IFERROR(VLOOKUP(H198,H$2:H197,1,FALSE),VLOOKUP(H198,H199:H$478,1,FALSE))</f>
      </c>
      <c r="J198" s="7">
        <f t="shared" si="42"/>
        <v/>
      </c>
      <c r="K198" s="7">
        <f t="shared" si="43"/>
        <v/>
      </c>
      <c r="L198" s="7">
        <f t="shared" si="44"/>
        <v/>
      </c>
      <c r="M198" s="19">
        <f t="shared" si="52"/>
        <v/>
      </c>
      <c r="N198" s="7">
        <f t="shared" si="45"/>
        <v/>
      </c>
      <c r="O198" s="7"/>
      <c r="P198" s="7">
        <f t="shared" si="46"/>
        <v/>
      </c>
      <c r="Q198" s="7">
        <f t="shared" si="47"/>
        <v/>
      </c>
      <c r="R198" s="7">
        <f t="shared" si="49"/>
      </c>
      <c r="S198" s="7">
        <f t="shared" si="50"/>
      </c>
      <c r="T198" s="7">
        <f t="shared" si="51"/>
      </c>
      <c r="U198" s="7">
        <f t="shared" si="48"/>
        <v/>
      </c>
    </row>
    <row r="199" spans="1:21" x14ac:dyDescent="0.3">
      <c r="A199" s="7">
        <f t="shared" si="41"/>
        <v/>
      </c>
      <c r="B199" s="7">
        <f>IF(C199=1,MAX(B$2:$B198)+1,IF(F199=0,"",B198))</f>
      </c>
      <c r="C199" s="7">
        <f>COUNTIF($F$2:$F199,F199)</f>
      </c>
      <c r="D199" s="7">
        <f>IF(F199=0,0,MAX($D$2:D198)+1)</f>
      </c>
      <c r="E199" s="7">
        <f>IF(H199=0,0,MAX($E$2:E198)+1)</f>
      </c>
      <c r="F199" s="177"/>
      <c r="G199" s="119"/>
      <c r="H199" s="119"/>
      <c r="I199" s="7">
        <f>IFERROR(VLOOKUP(H199,H$2:H198,1,FALSE),VLOOKUP(H199,H200:H$478,1,FALSE))</f>
      </c>
      <c r="J199" s="7">
        <f t="shared" si="42"/>
        <v/>
      </c>
      <c r="K199" s="7">
        <f t="shared" si="43"/>
        <v/>
      </c>
      <c r="L199" s="7">
        <f t="shared" si="44"/>
        <v/>
      </c>
      <c r="M199" s="19">
        <f t="shared" si="52"/>
        <v/>
      </c>
      <c r="N199" s="7">
        <f t="shared" si="45"/>
        <v/>
      </c>
      <c r="O199" s="7"/>
      <c r="P199" s="7">
        <f t="shared" si="46"/>
        <v/>
      </c>
      <c r="Q199" s="7">
        <f t="shared" si="47"/>
        <v/>
      </c>
      <c r="R199" s="7">
        <f t="shared" si="49"/>
      </c>
      <c r="S199" s="7">
        <f t="shared" si="50"/>
      </c>
      <c r="T199" s="7">
        <f t="shared" si="51"/>
      </c>
      <c r="U199" s="7">
        <f t="shared" si="48"/>
        <v/>
      </c>
    </row>
    <row r="200" spans="1:21" x14ac:dyDescent="0.3">
      <c r="A200" s="7">
        <f t="shared" si="41"/>
        <v/>
      </c>
      <c r="B200" s="7">
        <f>IF(C200=1,MAX(B$2:$B199)+1,IF(F200=0,"",B199))</f>
      </c>
      <c r="C200" s="7">
        <f>COUNTIF($F$2:$F200,F200)</f>
      </c>
      <c r="D200" s="7">
        <f>IF(F200=0,0,MAX($D$2:D199)+1)</f>
      </c>
      <c r="E200" s="7">
        <f>IF(H200=0,0,MAX($E$2:E199)+1)</f>
      </c>
      <c r="F200" s="177"/>
      <c r="G200" s="119"/>
      <c r="H200" s="119"/>
      <c r="I200" s="7">
        <f>IFERROR(VLOOKUP(H200,H$2:H199,1,FALSE),VLOOKUP(H200,H201:H$478,1,FALSE))</f>
      </c>
      <c r="J200" s="7">
        <f t="shared" si="42"/>
        <v/>
      </c>
      <c r="K200" s="7">
        <f t="shared" si="43"/>
        <v/>
      </c>
      <c r="L200" s="7">
        <f t="shared" si="44"/>
        <v/>
      </c>
      <c r="M200" s="19">
        <f t="shared" si="52"/>
        <v/>
      </c>
      <c r="N200" s="7">
        <f t="shared" si="45"/>
        <v/>
      </c>
      <c r="O200" s="7"/>
      <c r="P200" s="7">
        <f t="shared" si="46"/>
        <v/>
      </c>
      <c r="Q200" s="7">
        <f t="shared" si="47"/>
        <v/>
      </c>
      <c r="R200" s="7">
        <f t="shared" si="49"/>
      </c>
      <c r="S200" s="7">
        <f t="shared" si="50"/>
      </c>
      <c r="T200" s="7">
        <f t="shared" si="51"/>
      </c>
      <c r="U200" s="7">
        <f t="shared" si="48"/>
        <v/>
      </c>
    </row>
    <row r="201" spans="1:21" x14ac:dyDescent="0.3">
      <c r="A201" s="7">
        <f t="shared" si="41"/>
        <v/>
      </c>
      <c r="B201" s="7">
        <f>IF(C201=1,MAX(B$2:$B200)+1,IF(F201=0,"",B200))</f>
      </c>
      <c r="C201" s="7">
        <f>COUNTIF($F$2:$F201,F201)</f>
      </c>
      <c r="D201" s="7">
        <f>IF(F201=0,0,MAX($D$2:D200)+1)</f>
      </c>
      <c r="E201" s="7">
        <f>IF(H201=0,0,MAX($E$2:E200)+1)</f>
      </c>
      <c r="F201" s="177"/>
      <c r="G201" s="119"/>
      <c r="H201" s="119"/>
      <c r="I201" s="7">
        <f>IFERROR(VLOOKUP(H201,H$2:H200,1,FALSE),VLOOKUP(H201,H202:H$478,1,FALSE))</f>
      </c>
      <c r="J201" s="7">
        <f t="shared" si="42"/>
        <v/>
      </c>
      <c r="K201" s="7">
        <f t="shared" si="43"/>
        <v/>
      </c>
      <c r="L201" s="7">
        <f t="shared" si="44"/>
        <v/>
      </c>
      <c r="M201" s="19">
        <f t="shared" si="52"/>
        <v/>
      </c>
      <c r="N201" s="7">
        <f t="shared" si="45"/>
        <v/>
      </c>
      <c r="O201" s="7"/>
      <c r="P201" s="7">
        <f t="shared" si="46"/>
        <v/>
      </c>
      <c r="Q201" s="7">
        <f t="shared" si="47"/>
        <v/>
      </c>
      <c r="R201" s="7">
        <f t="shared" si="49"/>
      </c>
      <c r="S201" s="7">
        <f t="shared" si="50"/>
      </c>
      <c r="T201" s="7">
        <f t="shared" si="51"/>
      </c>
      <c r="U201" s="7">
        <f t="shared" si="48"/>
        <v/>
      </c>
    </row>
    <row r="202" spans="1:21" x14ac:dyDescent="0.3">
      <c r="A202" s="7">
        <f t="shared" si="41"/>
        <v/>
      </c>
      <c r="B202" s="7">
        <f>IF(C202=1,MAX(B$2:$B201)+1,IF(F202=0,"",B201))</f>
      </c>
      <c r="C202" s="7">
        <f>COUNTIF($F$2:$F202,F202)</f>
      </c>
      <c r="D202" s="7">
        <f>IF(F202=0,0,MAX($D$2:D201)+1)</f>
      </c>
      <c r="E202" s="7">
        <f>IF(H202=0,0,MAX($E$2:E201)+1)</f>
      </c>
      <c r="F202" s="177"/>
      <c r="G202" s="119"/>
      <c r="H202" s="119"/>
      <c r="I202" s="7">
        <f>IFERROR(VLOOKUP(H202,H$2:H201,1,FALSE),VLOOKUP(H202,H203:H$478,1,FALSE))</f>
      </c>
      <c r="J202" s="7">
        <f t="shared" si="42"/>
        <v/>
      </c>
      <c r="K202" s="7">
        <f t="shared" si="43"/>
        <v/>
      </c>
      <c r="L202" s="7">
        <f t="shared" si="44"/>
        <v/>
      </c>
      <c r="M202" s="19">
        <f t="shared" si="52"/>
        <v/>
      </c>
      <c r="N202" s="7">
        <f t="shared" si="45"/>
        <v/>
      </c>
      <c r="O202" s="7"/>
      <c r="P202" s="7">
        <f t="shared" si="46"/>
        <v/>
      </c>
      <c r="Q202" s="7">
        <f t="shared" si="47"/>
        <v/>
      </c>
      <c r="R202" s="7">
        <f t="shared" si="49"/>
      </c>
      <c r="S202" s="7">
        <f t="shared" si="50"/>
      </c>
      <c r="T202" s="7">
        <f t="shared" si="51"/>
      </c>
      <c r="U202" s="7">
        <f t="shared" si="48"/>
        <v/>
      </c>
    </row>
    <row r="203" spans="1:21" x14ac:dyDescent="0.3">
      <c r="A203" s="7">
        <f t="shared" si="41"/>
        <v/>
      </c>
      <c r="B203" s="7">
        <f>IF(C203=1,MAX(B$2:$B202)+1,IF(F203=0,"",B202))</f>
      </c>
      <c r="C203" s="7">
        <f>COUNTIF($F$2:$F203,F203)</f>
      </c>
      <c r="D203" s="7">
        <f>IF(F203=0,0,MAX($D$2:D202)+1)</f>
      </c>
      <c r="E203" s="7">
        <f>IF(H203=0,0,MAX($E$2:E202)+1)</f>
      </c>
      <c r="F203" s="177"/>
      <c r="G203" s="119"/>
      <c r="H203" s="119"/>
      <c r="I203" s="7">
        <f>IFERROR(VLOOKUP(H203,H$2:H202,1,FALSE),VLOOKUP(H203,H204:H$478,1,FALSE))</f>
      </c>
      <c r="J203" s="7">
        <f t="shared" si="42"/>
        <v/>
      </c>
      <c r="K203" s="7">
        <f t="shared" si="43"/>
        <v/>
      </c>
      <c r="L203" s="7">
        <f t="shared" si="44"/>
        <v/>
      </c>
      <c r="M203" s="19">
        <f t="shared" si="52"/>
        <v/>
      </c>
      <c r="N203" s="7">
        <f t="shared" si="45"/>
        <v/>
      </c>
      <c r="O203" s="7"/>
      <c r="P203" s="7">
        <f t="shared" si="46"/>
        <v/>
      </c>
      <c r="Q203" s="7">
        <f t="shared" si="47"/>
        <v/>
      </c>
      <c r="R203" s="7">
        <f t="shared" si="49"/>
      </c>
      <c r="S203" s="7">
        <f t="shared" si="50"/>
      </c>
      <c r="T203" s="7">
        <f t="shared" si="51"/>
      </c>
      <c r="U203" s="7">
        <f t="shared" si="48"/>
        <v/>
      </c>
    </row>
    <row r="204" spans="1:21" x14ac:dyDescent="0.3">
      <c r="A204" s="7">
        <f t="shared" si="41"/>
        <v/>
      </c>
      <c r="B204" s="7">
        <f>IF(C204=1,MAX(B$2:$B203)+1,IF(F204=0,"",B203))</f>
      </c>
      <c r="C204" s="7">
        <f>COUNTIF($F$2:$F204,F204)</f>
      </c>
      <c r="D204" s="7">
        <f>IF(F204=0,0,MAX($D$2:D203)+1)</f>
      </c>
      <c r="E204" s="7">
        <f>IF(H204=0,0,MAX($E$2:E203)+1)</f>
      </c>
      <c r="F204" s="177"/>
      <c r="G204" s="119"/>
      <c r="H204" s="119"/>
      <c r="I204" s="7">
        <f>IFERROR(VLOOKUP(H204,H$2:H203,1,FALSE),VLOOKUP(H204,H205:H$478,1,FALSE))</f>
      </c>
      <c r="J204" s="7">
        <f t="shared" si="42"/>
        <v/>
      </c>
      <c r="K204" s="7">
        <f t="shared" si="43"/>
        <v/>
      </c>
      <c r="L204" s="7">
        <f t="shared" si="44"/>
        <v/>
      </c>
      <c r="M204" s="19">
        <f t="shared" si="52"/>
        <v/>
      </c>
      <c r="N204" s="7">
        <f t="shared" si="45"/>
        <v/>
      </c>
      <c r="O204" s="7"/>
      <c r="P204" s="7">
        <f t="shared" si="46"/>
        <v/>
      </c>
      <c r="Q204" s="7">
        <f t="shared" si="47"/>
        <v/>
      </c>
      <c r="R204" s="7">
        <f t="shared" si="49"/>
      </c>
      <c r="S204" s="7">
        <f t="shared" si="50"/>
      </c>
      <c r="T204" s="7">
        <f t="shared" si="51"/>
      </c>
      <c r="U204" s="7">
        <f t="shared" si="48"/>
        <v/>
      </c>
    </row>
    <row r="205" spans="1:21" x14ac:dyDescent="0.3">
      <c r="A205" s="7">
        <f t="shared" si="41"/>
        <v/>
      </c>
      <c r="B205" s="7">
        <f>IF(C205=1,MAX(B$2:$B204)+1,IF(F205=0,"",B204))</f>
      </c>
      <c r="C205" s="7">
        <f>COUNTIF($F$2:$F205,F205)</f>
      </c>
      <c r="D205" s="7">
        <f>IF(F205=0,0,MAX($D$2:D204)+1)</f>
      </c>
      <c r="E205" s="7">
        <f>IF(H205=0,0,MAX($E$2:E204)+1)</f>
      </c>
      <c r="F205" s="177"/>
      <c r="G205" s="119"/>
      <c r="H205" s="119"/>
      <c r="I205" s="7">
        <f>IFERROR(VLOOKUP(H205,H$2:H204,1,FALSE),VLOOKUP(H205,H206:H$478,1,FALSE))</f>
      </c>
      <c r="J205" s="7">
        <f t="shared" si="42"/>
        <v/>
      </c>
      <c r="K205" s="7">
        <f t="shared" si="43"/>
        <v/>
      </c>
      <c r="L205" s="7">
        <f t="shared" si="44"/>
        <v/>
      </c>
      <c r="M205" s="19">
        <f t="shared" si="52"/>
        <v/>
      </c>
      <c r="N205" s="7">
        <f t="shared" si="45"/>
        <v/>
      </c>
      <c r="O205" s="7"/>
      <c r="P205" s="7">
        <f t="shared" si="46"/>
        <v/>
      </c>
      <c r="Q205" s="7">
        <f t="shared" si="47"/>
        <v/>
      </c>
      <c r="R205" s="7">
        <f t="shared" si="49"/>
      </c>
      <c r="S205" s="7">
        <f t="shared" si="50"/>
      </c>
      <c r="T205" s="7">
        <f t="shared" si="51"/>
      </c>
      <c r="U205" s="7">
        <f t="shared" si="48"/>
        <v/>
      </c>
    </row>
    <row r="206" spans="1:21" s="8" customFormat="1" ht="15" thickBot="1" x14ac:dyDescent="0.35">
      <c r="A206" s="47">
        <f t="shared" ref="A206:A259" si="53">IF(B206=B207,"",B206)</f>
        <v/>
      </c>
      <c r="B206" s="47">
        <f>IF(C206=1,MAX(B$2:$B205)+1,IF(F206=0,"",B205))</f>
      </c>
      <c r="C206" s="47">
        <f>COUNTIF($F$2:$F206,F206)</f>
      </c>
      <c r="D206" s="47">
        <f>IF(F206=0,0,MAX($D$2:D205)+1)</f>
      </c>
      <c r="E206" s="47">
        <f>IF(H206=0,0,MAX($E$2:E205)+1)</f>
      </c>
      <c r="F206" s="177"/>
      <c r="G206" s="175"/>
      <c r="H206" s="175"/>
      <c r="I206" s="47">
        <f>IFERROR(VLOOKUP(H206,H$2:H205,1,FALSE),VLOOKUP(H206,H207:H$478,1,FALSE))</f>
      </c>
      <c r="J206" s="47">
        <f t="shared" si="42"/>
        <v/>
      </c>
      <c r="K206" s="47">
        <f t="shared" si="43"/>
        <v/>
      </c>
      <c r="L206" s="47">
        <f t="shared" si="44"/>
        <v/>
      </c>
      <c r="M206" s="52">
        <f t="shared" si="52"/>
        <v/>
      </c>
      <c r="N206" s="47">
        <f t="shared" si="45"/>
        <v/>
      </c>
      <c r="O206" s="47"/>
      <c r="P206" s="47">
        <f t="shared" si="46"/>
        <v/>
      </c>
      <c r="Q206" s="47">
        <f t="shared" si="47"/>
        <v/>
      </c>
      <c r="R206" s="47">
        <f t="shared" si="49"/>
      </c>
      <c r="S206" s="47">
        <f t="shared" si="50"/>
      </c>
      <c r="T206" s="47">
        <f t="shared" si="51"/>
      </c>
      <c r="U206" s="47">
        <f t="shared" si="48"/>
        <v/>
      </c>
    </row>
    <row r="207" spans="1:21" x14ac:dyDescent="0.3">
      <c r="A207" s="7">
        <f t="shared" si="53"/>
        <v/>
      </c>
      <c r="B207" s="7">
        <f>IF(C207=1,MAX(B$2:$B206)+1,IF(F207=0,"",B206))</f>
      </c>
      <c r="C207" s="7">
        <f>COUNTIF($F$2:$F207,F207)</f>
      </c>
      <c r="D207" s="7">
        <f>IF(F207=0,0,MAX($D$2:D206)+1)</f>
      </c>
      <c r="E207" s="7">
        <f>IF(H207=0,0,MAX($E$2:E206)+1)</f>
      </c>
      <c r="F207" s="177"/>
      <c r="G207" s="119"/>
      <c r="H207" s="177"/>
      <c r="I207" s="7">
        <f>IFERROR(VLOOKUP(H207,H$2:H206,1,FALSE),VLOOKUP(H207,H208:H$478,1,FALSE))</f>
      </c>
      <c r="J207" s="7">
        <f t="shared" si="42"/>
        <v/>
      </c>
      <c r="K207" s="7">
        <f t="shared" si="43"/>
        <v/>
      </c>
      <c r="L207" s="7">
        <f t="shared" si="44"/>
        <v/>
      </c>
      <c r="M207" s="19">
        <f t="shared" si="52"/>
        <v/>
      </c>
      <c r="N207" s="7">
        <f t="shared" si="45"/>
        <v/>
      </c>
      <c r="O207" s="7"/>
      <c r="P207" s="7">
        <f t="shared" si="46"/>
        <v/>
      </c>
      <c r="Q207" s="7">
        <f t="shared" si="47"/>
        <v/>
      </c>
      <c r="R207" s="7">
        <f t="shared" si="49"/>
      </c>
      <c r="S207" s="7">
        <f t="shared" si="50"/>
      </c>
      <c r="T207" s="7">
        <f t="shared" si="51"/>
      </c>
      <c r="U207" s="7">
        <f t="shared" si="48"/>
        <v/>
      </c>
    </row>
    <row r="208" spans="1:21" x14ac:dyDescent="0.3">
      <c r="A208" s="7">
        <f t="shared" si="53"/>
        <v/>
      </c>
      <c r="B208" s="7">
        <f>IF(C208=1,MAX(B$2:$B207)+1,IF(F208=0,"",B207))</f>
      </c>
      <c r="C208" s="7">
        <f>COUNTIF($F$2:$F208,F208)</f>
      </c>
      <c r="D208" s="7">
        <f>IF(F208=0,0,MAX($D$2:D207)+1)</f>
      </c>
      <c r="E208" s="7">
        <f>IF(H208=0,0,MAX($E$2:E207)+1)</f>
      </c>
      <c r="F208" s="177"/>
      <c r="G208" s="119"/>
      <c r="H208" s="119"/>
      <c r="I208" s="7">
        <f>IFERROR(VLOOKUP(H208,H$2:H207,1,FALSE),VLOOKUP(H208,H209:H$478,1,FALSE))</f>
      </c>
      <c r="J208" s="7">
        <f t="shared" si="42"/>
        <v/>
      </c>
      <c r="K208" s="7">
        <f t="shared" si="43"/>
        <v/>
      </c>
      <c r="L208" s="7">
        <f t="shared" si="44"/>
        <v/>
      </c>
      <c r="M208" s="19">
        <f t="shared" si="52"/>
        <v/>
      </c>
      <c r="N208" s="7">
        <f t="shared" si="45"/>
        <v/>
      </c>
      <c r="O208" s="7"/>
      <c r="P208" s="7">
        <f t="shared" si="46"/>
        <v/>
      </c>
      <c r="Q208" s="7">
        <f t="shared" si="47"/>
        <v/>
      </c>
      <c r="R208" s="7">
        <f t="shared" si="49"/>
      </c>
      <c r="S208" s="7">
        <f t="shared" si="50"/>
      </c>
      <c r="T208" s="7">
        <f t="shared" si="51"/>
      </c>
      <c r="U208" s="7">
        <f t="shared" si="48"/>
        <v/>
      </c>
    </row>
    <row r="209" spans="1:21" x14ac:dyDescent="0.3">
      <c r="A209" s="7">
        <f t="shared" si="53"/>
        <v/>
      </c>
      <c r="B209" s="7">
        <f>IF(C209=1,MAX(B$2:$B208)+1,IF(F209=0,"",B208))</f>
      </c>
      <c r="C209" s="7">
        <f>COUNTIF($F$2:$F209,F209)</f>
      </c>
      <c r="D209" s="7">
        <f>IF(F209=0,0,MAX($D$2:D208)+1)</f>
      </c>
      <c r="E209" s="7">
        <f>IF(H209=0,0,MAX($E$2:E208)+1)</f>
      </c>
      <c r="F209" s="177"/>
      <c r="G209" s="119"/>
      <c r="H209" s="119"/>
      <c r="I209" s="7">
        <f>IFERROR(VLOOKUP(H209,H$2:H208,1,FALSE),VLOOKUP(H209,H210:H$478,1,FALSE))</f>
      </c>
      <c r="J209" s="7">
        <f t="shared" si="42"/>
        <v/>
      </c>
      <c r="K209" s="7">
        <f t="shared" si="43"/>
        <v/>
      </c>
      <c r="L209" s="7">
        <f t="shared" si="44"/>
        <v/>
      </c>
      <c r="M209" s="19">
        <f t="shared" si="52"/>
        <v/>
      </c>
      <c r="N209" s="7">
        <f t="shared" si="45"/>
        <v/>
      </c>
      <c r="O209" s="7"/>
      <c r="P209" s="7">
        <f t="shared" si="46"/>
        <v/>
      </c>
      <c r="Q209" s="7">
        <f t="shared" si="47"/>
        <v/>
      </c>
      <c r="R209" s="7">
        <f t="shared" si="49"/>
      </c>
      <c r="S209" s="7">
        <f t="shared" si="50"/>
      </c>
      <c r="T209" s="7">
        <f t="shared" si="51"/>
      </c>
      <c r="U209" s="7">
        <f t="shared" si="48"/>
        <v/>
      </c>
    </row>
    <row r="210" spans="1:21" x14ac:dyDescent="0.3">
      <c r="A210" s="7">
        <f t="shared" si="53"/>
        <v/>
      </c>
      <c r="B210" s="7">
        <f>IF(C210=1,MAX(B$2:$B209)+1,IF(F210=0,"",B209))</f>
      </c>
      <c r="C210" s="7">
        <f>COUNTIF($F$2:$F210,F210)</f>
      </c>
      <c r="D210" s="7">
        <f>IF(F210=0,0,MAX($D$2:D209)+1)</f>
      </c>
      <c r="E210" s="7">
        <f>IF(H210=0,0,MAX($E$2:E209)+1)</f>
      </c>
      <c r="F210" s="177"/>
      <c r="G210" s="119"/>
      <c r="H210" s="119"/>
      <c r="I210" s="7">
        <f>IFERROR(VLOOKUP(H210,H$2:H209,1,FALSE),VLOOKUP(H210,H211:H$478,1,FALSE))</f>
      </c>
      <c r="J210" s="7">
        <f t="shared" si="42"/>
        <v/>
      </c>
      <c r="K210" s="7">
        <f t="shared" si="43"/>
        <v/>
      </c>
      <c r="L210" s="7">
        <f t="shared" si="44"/>
        <v/>
      </c>
      <c r="M210" s="19">
        <f t="shared" si="52"/>
        <v/>
      </c>
      <c r="N210" s="7">
        <f t="shared" si="45"/>
        <v/>
      </c>
      <c r="O210" s="7"/>
      <c r="P210" s="7">
        <f t="shared" si="46"/>
        <v/>
      </c>
      <c r="Q210" s="7">
        <f t="shared" si="47"/>
        <v/>
      </c>
      <c r="R210" s="7">
        <f t="shared" si="49"/>
      </c>
      <c r="S210" s="7">
        <f t="shared" si="50"/>
      </c>
      <c r="T210" s="7">
        <f t="shared" si="51"/>
      </c>
      <c r="U210" s="7">
        <f t="shared" si="48"/>
        <v/>
      </c>
    </row>
    <row r="211" spans="1:21" x14ac:dyDescent="0.3">
      <c r="A211" s="7">
        <f t="shared" si="53"/>
        <v/>
      </c>
      <c r="B211" s="7">
        <f>IF(C211=1,MAX(B$2:$B210)+1,IF(F211=0,"",B210))</f>
      </c>
      <c r="C211" s="7">
        <f>COUNTIF($F$2:$F211,F211)</f>
      </c>
      <c r="D211" s="7">
        <f>IF(F211=0,0,MAX($D$2:D210)+1)</f>
      </c>
      <c r="E211" s="7">
        <f>IF(H211=0,0,MAX($E$2:E210)+1)</f>
      </c>
      <c r="F211" s="177"/>
      <c r="G211" s="119"/>
      <c r="H211" s="119"/>
      <c r="I211" s="7">
        <f>IFERROR(VLOOKUP(H211,H$2:H210,1,FALSE),VLOOKUP(H211,H212:H$478,1,FALSE))</f>
      </c>
      <c r="J211" s="7">
        <f t="shared" si="42"/>
        <v/>
      </c>
      <c r="K211" s="7">
        <f t="shared" si="43"/>
        <v/>
      </c>
      <c r="L211" s="7">
        <f t="shared" si="44"/>
        <v/>
      </c>
      <c r="M211" s="19">
        <f t="shared" si="52"/>
        <v/>
      </c>
      <c r="N211" s="7">
        <f t="shared" si="45"/>
        <v/>
      </c>
      <c r="O211" s="7"/>
      <c r="P211" s="7">
        <f t="shared" si="46"/>
        <v/>
      </c>
      <c r="Q211" s="7">
        <f t="shared" si="47"/>
        <v/>
      </c>
      <c r="R211" s="7">
        <f t="shared" si="49"/>
      </c>
      <c r="S211" s="7">
        <f t="shared" si="50"/>
      </c>
      <c r="T211" s="7">
        <f t="shared" si="51"/>
      </c>
      <c r="U211" s="7">
        <f t="shared" si="48"/>
        <v/>
      </c>
    </row>
    <row r="212" spans="1:21" x14ac:dyDescent="0.3">
      <c r="A212" s="7">
        <f t="shared" si="53"/>
        <v/>
      </c>
      <c r="B212" s="7">
        <f>IF(C212=1,MAX(B$2:$B211)+1,IF(F212=0,"",B211))</f>
      </c>
      <c r="C212" s="7">
        <f>COUNTIF($F$2:$F212,F212)</f>
      </c>
      <c r="D212" s="7">
        <f>IF(F212=0,0,MAX($D$2:D211)+1)</f>
      </c>
      <c r="E212" s="7">
        <f>IF(H212=0,0,MAX($E$2:E211)+1)</f>
      </c>
      <c r="F212" s="177"/>
      <c r="G212" s="119"/>
      <c r="H212" s="119"/>
      <c r="I212" s="7">
        <f>IFERROR(VLOOKUP(H212,H$2:H211,1,FALSE),VLOOKUP(H212,H213:H$478,1,FALSE))</f>
      </c>
      <c r="J212" s="7">
        <f t="shared" si="42"/>
        <v/>
      </c>
      <c r="K212" s="7">
        <f t="shared" si="43"/>
        <v/>
      </c>
      <c r="L212" s="7">
        <f t="shared" si="44"/>
        <v/>
      </c>
      <c r="M212" s="19">
        <f t="shared" si="52"/>
        <v/>
      </c>
      <c r="N212" s="7">
        <f t="shared" si="45"/>
        <v/>
      </c>
      <c r="O212" s="7"/>
      <c r="P212" s="7">
        <f t="shared" si="46"/>
        <v/>
      </c>
      <c r="Q212" s="7">
        <f t="shared" si="47"/>
        <v/>
      </c>
      <c r="R212" s="7">
        <f t="shared" si="49"/>
      </c>
      <c r="S212" s="7">
        <f t="shared" si="50"/>
      </c>
      <c r="T212" s="7">
        <f t="shared" si="51"/>
      </c>
      <c r="U212" s="7">
        <f t="shared" si="48"/>
        <v/>
      </c>
    </row>
    <row r="213" spans="1:21" x14ac:dyDescent="0.3">
      <c r="A213" s="7">
        <f t="shared" si="53"/>
        <v/>
      </c>
      <c r="B213" s="7">
        <f>IF(C213=1,MAX(B$2:$B212)+1,IF(F213=0,"",B212))</f>
      </c>
      <c r="C213" s="7">
        <f>COUNTIF($F$2:$F213,F213)</f>
      </c>
      <c r="D213" s="7">
        <f>IF(F213=0,0,MAX($D$2:D212)+1)</f>
      </c>
      <c r="E213" s="7">
        <f>IF(H213=0,0,MAX($E$2:E212)+1)</f>
      </c>
      <c r="F213" s="177"/>
      <c r="G213" s="119"/>
      <c r="H213" s="119"/>
      <c r="I213" s="7">
        <f>IFERROR(VLOOKUP(H213,H$2:H212,1,FALSE),VLOOKUP(H213,H214:H$478,1,FALSE))</f>
      </c>
      <c r="J213" s="7">
        <f t="shared" si="42"/>
        <v/>
      </c>
      <c r="K213" s="7">
        <f t="shared" si="43"/>
        <v/>
      </c>
      <c r="L213" s="7">
        <f t="shared" si="44"/>
        <v/>
      </c>
      <c r="M213" s="19">
        <f t="shared" si="52"/>
        <v/>
      </c>
      <c r="N213" s="7">
        <f t="shared" si="45"/>
        <v/>
      </c>
      <c r="O213" s="7"/>
      <c r="P213" s="7">
        <f t="shared" si="46"/>
        <v/>
      </c>
      <c r="Q213" s="7">
        <f t="shared" si="47"/>
        <v/>
      </c>
      <c r="R213" s="7">
        <f t="shared" si="49"/>
      </c>
      <c r="S213" s="7">
        <f t="shared" si="50"/>
      </c>
      <c r="T213" s="7">
        <f t="shared" si="51"/>
      </c>
      <c r="U213" s="7">
        <f t="shared" si="48"/>
        <v/>
      </c>
    </row>
    <row r="214" spans="1:21" x14ac:dyDescent="0.3">
      <c r="A214" s="7">
        <f t="shared" si="53"/>
        <v/>
      </c>
      <c r="B214" s="7">
        <f>IF(C214=1,MAX(B$2:$B213)+1,IF(F214=0,"",B213))</f>
      </c>
      <c r="C214" s="7">
        <f>COUNTIF($F$2:$F214,F214)</f>
      </c>
      <c r="D214" s="7">
        <f>IF(F214=0,0,MAX($D$2:D213)+1)</f>
      </c>
      <c r="E214" s="7">
        <f>IF(H214=0,0,MAX($E$2:E213)+1)</f>
      </c>
      <c r="F214" s="177"/>
      <c r="G214" s="119"/>
      <c r="H214" s="119"/>
      <c r="I214" s="7">
        <f>IFERROR(VLOOKUP(H214,H$2:H213,1,FALSE),VLOOKUP(H214,H215:H$478,1,FALSE))</f>
      </c>
      <c r="J214" s="7">
        <f t="shared" si="42"/>
        <v/>
      </c>
      <c r="K214" s="7">
        <f t="shared" si="43"/>
        <v/>
      </c>
      <c r="L214" s="7">
        <f t="shared" si="44"/>
        <v/>
      </c>
      <c r="M214" s="19">
        <f t="shared" si="52"/>
        <v/>
      </c>
      <c r="N214" s="7">
        <f t="shared" si="45"/>
        <v/>
      </c>
      <c r="O214" s="7"/>
      <c r="P214" s="7">
        <f t="shared" si="46"/>
        <v/>
      </c>
      <c r="Q214" s="7">
        <f t="shared" si="47"/>
        <v/>
      </c>
      <c r="R214" s="7">
        <f t="shared" si="49"/>
      </c>
      <c r="S214" s="7">
        <f t="shared" si="50"/>
      </c>
      <c r="T214" s="7">
        <f t="shared" si="51"/>
      </c>
      <c r="U214" s="7">
        <f t="shared" si="48"/>
        <v/>
      </c>
    </row>
    <row r="215" spans="1:21" x14ac:dyDescent="0.3">
      <c r="A215" s="7">
        <f t="shared" si="53"/>
        <v/>
      </c>
      <c r="B215" s="7">
        <f>IF(C215=1,MAX(B$2:$B214)+1,IF(F215=0,"",B214))</f>
      </c>
      <c r="C215" s="7">
        <f>COUNTIF($F$2:$F215,F215)</f>
      </c>
      <c r="D215" s="7">
        <f>IF(F215=0,0,MAX($D$2:D214)+1)</f>
      </c>
      <c r="E215" s="7">
        <f>IF(H215=0,0,MAX($E$2:E214)+1)</f>
      </c>
      <c r="F215" s="177"/>
      <c r="G215" s="119"/>
      <c r="H215" s="119"/>
      <c r="I215" s="7">
        <f>IFERROR(VLOOKUP(H215,H$2:H214,1,FALSE),VLOOKUP(H215,H216:H$478,1,FALSE))</f>
      </c>
      <c r="J215" s="7">
        <f t="shared" si="42"/>
        <v/>
      </c>
      <c r="K215" s="7">
        <f t="shared" si="43"/>
        <v/>
      </c>
      <c r="L215" s="7">
        <f t="shared" si="44"/>
        <v/>
      </c>
      <c r="M215" s="19">
        <f t="shared" si="52"/>
        <v/>
      </c>
      <c r="N215" s="7">
        <f t="shared" si="45"/>
        <v/>
      </c>
      <c r="O215" s="7"/>
      <c r="P215" s="7">
        <f t="shared" si="46"/>
        <v/>
      </c>
      <c r="Q215" s="7">
        <f t="shared" si="47"/>
        <v/>
      </c>
      <c r="R215" s="7">
        <f t="shared" si="49"/>
      </c>
      <c r="S215" s="7">
        <f t="shared" si="50"/>
      </c>
      <c r="T215" s="7">
        <f t="shared" si="51"/>
      </c>
      <c r="U215" s="7">
        <f t="shared" si="48"/>
        <v/>
      </c>
    </row>
    <row r="216" spans="1:21" x14ac:dyDescent="0.3">
      <c r="A216" s="7">
        <f t="shared" si="53"/>
        <v/>
      </c>
      <c r="B216" s="7">
        <f>IF(C216=1,MAX(B$2:$B215)+1,IF(F216=0,"",B215))</f>
      </c>
      <c r="C216" s="7">
        <f>COUNTIF($F$2:$F216,F216)</f>
      </c>
      <c r="D216" s="7">
        <f>IF(F216=0,0,MAX($D$2:D215)+1)</f>
      </c>
      <c r="E216" s="7">
        <f>IF(H216=0,0,MAX($E$2:E215)+1)</f>
      </c>
      <c r="F216" s="177"/>
      <c r="G216" s="119"/>
      <c r="H216" s="119"/>
      <c r="I216" s="7">
        <f>IFERROR(VLOOKUP(H216,H$2:H215,1,FALSE),VLOOKUP(H216,H217:H$478,1,FALSE))</f>
      </c>
      <c r="J216" s="7">
        <f t="shared" si="42"/>
        <v/>
      </c>
      <c r="K216" s="7">
        <f t="shared" si="43"/>
        <v/>
      </c>
      <c r="L216" s="7">
        <f t="shared" si="44"/>
        <v/>
      </c>
      <c r="M216" s="19">
        <f t="shared" si="52"/>
        <v/>
      </c>
      <c r="N216" s="7">
        <f t="shared" si="45"/>
        <v/>
      </c>
      <c r="O216" s="7"/>
      <c r="P216" s="7">
        <f t="shared" si="46"/>
        <v/>
      </c>
      <c r="Q216" s="7">
        <f t="shared" si="47"/>
        <v/>
      </c>
      <c r="R216" s="7">
        <f t="shared" si="49"/>
      </c>
      <c r="S216" s="7">
        <f t="shared" si="50"/>
      </c>
      <c r="T216" s="7">
        <f t="shared" si="51"/>
      </c>
      <c r="U216" s="7">
        <f t="shared" si="48"/>
        <v/>
      </c>
    </row>
    <row r="217" spans="1:21" x14ac:dyDescent="0.3">
      <c r="A217" s="7">
        <f t="shared" si="53"/>
        <v/>
      </c>
      <c r="B217" s="7">
        <f>IF(C217=1,MAX(B$2:$B216)+1,IF(F217=0,"",B216))</f>
      </c>
      <c r="C217" s="7">
        <f>COUNTIF($F$2:$F217,F217)</f>
      </c>
      <c r="D217" s="7">
        <f>IF(F217=0,0,MAX($D$2:D216)+1)</f>
      </c>
      <c r="E217" s="7">
        <f>IF(H217=0,0,MAX($E$2:E216)+1)</f>
      </c>
      <c r="F217" s="177"/>
      <c r="G217" s="119"/>
      <c r="H217" s="119"/>
      <c r="I217" s="7">
        <f>IFERROR(VLOOKUP(H217,H$2:H216,1,FALSE),VLOOKUP(H217,H218:H$478,1,FALSE))</f>
      </c>
      <c r="J217" s="7">
        <f t="shared" si="42"/>
        <v/>
      </c>
      <c r="K217" s="7">
        <f t="shared" si="43"/>
        <v/>
      </c>
      <c r="L217" s="7">
        <f t="shared" si="44"/>
        <v/>
      </c>
      <c r="M217" s="19">
        <f t="shared" si="52"/>
        <v/>
      </c>
      <c r="N217" s="7">
        <f t="shared" si="45"/>
        <v/>
      </c>
      <c r="O217" s="7"/>
      <c r="P217" s="7">
        <f t="shared" si="46"/>
        <v/>
      </c>
      <c r="Q217" s="7">
        <f t="shared" si="47"/>
        <v/>
      </c>
      <c r="R217" s="7">
        <f t="shared" si="49"/>
      </c>
      <c r="S217" s="7">
        <f t="shared" si="50"/>
      </c>
      <c r="T217" s="7">
        <f t="shared" si="51"/>
      </c>
      <c r="U217" s="7">
        <f t="shared" si="48"/>
        <v/>
      </c>
    </row>
    <row r="218" spans="1:21" x14ac:dyDescent="0.3">
      <c r="A218" s="7">
        <f t="shared" si="53"/>
        <v/>
      </c>
      <c r="B218" s="7">
        <f>IF(C218=1,MAX(B$2:$B217)+1,IF(F218=0,"",B217))</f>
      </c>
      <c r="C218" s="7">
        <f>COUNTIF($F$2:$F218,F218)</f>
      </c>
      <c r="D218" s="7">
        <f>IF(F218=0,0,MAX($D$2:D217)+1)</f>
      </c>
      <c r="E218" s="7">
        <f>IF(H218=0,0,MAX($E$2:E217)+1)</f>
      </c>
      <c r="F218" s="177"/>
      <c r="G218" s="119"/>
      <c r="H218" s="119"/>
      <c r="I218" s="7">
        <f>IFERROR(VLOOKUP(H218,H$2:H217,1,FALSE),VLOOKUP(H218,H219:H$478,1,FALSE))</f>
      </c>
      <c r="J218" s="7">
        <f t="shared" si="42"/>
        <v/>
      </c>
      <c r="K218" s="7">
        <f t="shared" si="43"/>
        <v/>
      </c>
      <c r="L218" s="7">
        <f t="shared" si="44"/>
        <v/>
      </c>
      <c r="M218" s="19">
        <f t="shared" si="52"/>
        <v/>
      </c>
      <c r="N218" s="7">
        <f t="shared" si="45"/>
        <v/>
      </c>
      <c r="O218" s="7"/>
      <c r="P218" s="7">
        <f t="shared" si="46"/>
        <v/>
      </c>
      <c r="Q218" s="7">
        <f t="shared" si="47"/>
        <v/>
      </c>
      <c r="R218" s="7">
        <f t="shared" si="49"/>
      </c>
      <c r="S218" s="7">
        <f t="shared" si="50"/>
      </c>
      <c r="T218" s="7">
        <f t="shared" si="51"/>
      </c>
      <c r="U218" s="7">
        <f t="shared" si="48"/>
        <v/>
      </c>
    </row>
    <row r="219" spans="1:21" x14ac:dyDescent="0.3">
      <c r="A219" s="7">
        <f t="shared" si="53"/>
        <v/>
      </c>
      <c r="B219" s="7">
        <f>IF(C219=1,MAX(B$2:$B218)+1,IF(F219=0,"",B218))</f>
      </c>
      <c r="C219" s="7">
        <f>COUNTIF($F$2:$F219,F219)</f>
      </c>
      <c r="D219" s="7">
        <f>IF(F219=0,0,MAX($D$2:D218)+1)</f>
      </c>
      <c r="E219" s="7">
        <f>IF(H219=0,0,MAX($E$2:E218)+1)</f>
      </c>
      <c r="F219" s="177"/>
      <c r="G219" s="119"/>
      <c r="H219" s="119"/>
      <c r="I219" s="7">
        <f>IFERROR(VLOOKUP(H219,H$2:H218,1,FALSE),VLOOKUP(H219,H220:H$478,1,FALSE))</f>
      </c>
      <c r="J219" s="7">
        <f t="shared" si="42"/>
        <v/>
      </c>
      <c r="K219" s="7">
        <f t="shared" si="43"/>
        <v/>
      </c>
      <c r="L219" s="7">
        <f t="shared" si="44"/>
        <v/>
      </c>
      <c r="M219" s="19">
        <f t="shared" si="52"/>
        <v/>
      </c>
      <c r="N219" s="7">
        <f t="shared" si="45"/>
        <v/>
      </c>
      <c r="O219" s="7"/>
      <c r="P219" s="7">
        <f t="shared" si="46"/>
        <v/>
      </c>
      <c r="Q219" s="7">
        <f t="shared" si="47"/>
        <v/>
      </c>
      <c r="R219" s="7">
        <f t="shared" si="49"/>
      </c>
      <c r="S219" s="7">
        <f t="shared" si="50"/>
      </c>
      <c r="T219" s="7">
        <f t="shared" si="51"/>
      </c>
      <c r="U219" s="7">
        <f t="shared" si="48"/>
        <v/>
      </c>
    </row>
    <row r="220" spans="1:21" x14ac:dyDescent="0.3">
      <c r="A220" s="7">
        <f t="shared" si="53"/>
        <v/>
      </c>
      <c r="B220" s="7">
        <f>IF(C220=1,MAX(B$2:$B219)+1,IF(F220=0,"",B219))</f>
      </c>
      <c r="C220" s="7">
        <f>COUNTIF($F$2:$F220,F220)</f>
      </c>
      <c r="D220" s="7">
        <f>IF(F220=0,0,MAX($D$2:D219)+1)</f>
      </c>
      <c r="E220" s="7">
        <f>IF(H220=0,0,MAX($E$2:E219)+1)</f>
      </c>
      <c r="F220" s="177"/>
      <c r="G220" s="177"/>
      <c r="H220" s="119"/>
      <c r="I220" s="7">
        <f>IFERROR(VLOOKUP(H220,H$2:H219,1,FALSE),VLOOKUP(H220,H221:H$478,1,FALSE))</f>
      </c>
      <c r="J220" s="7">
        <f t="shared" si="42"/>
        <v/>
      </c>
      <c r="K220" s="7">
        <f t="shared" si="43"/>
        <v/>
      </c>
      <c r="L220" s="7">
        <f t="shared" si="44"/>
        <v/>
      </c>
      <c r="M220" s="19">
        <f t="shared" si="52"/>
        <v/>
      </c>
      <c r="N220" s="7">
        <f t="shared" si="45"/>
        <v/>
      </c>
      <c r="O220" s="7"/>
      <c r="P220" s="7">
        <f t="shared" si="46"/>
        <v/>
      </c>
      <c r="Q220" s="7">
        <f t="shared" si="47"/>
        <v/>
      </c>
      <c r="R220" s="7">
        <f t="shared" si="49"/>
      </c>
      <c r="S220" s="7">
        <f t="shared" si="50"/>
      </c>
      <c r="T220" s="7">
        <f t="shared" si="51"/>
      </c>
      <c r="U220" s="7">
        <f t="shared" si="48"/>
        <v/>
      </c>
    </row>
    <row r="221" spans="1:21" x14ac:dyDescent="0.3">
      <c r="A221" s="7">
        <f t="shared" si="53"/>
        <v/>
      </c>
      <c r="B221" s="7">
        <f>IF(C221=1,MAX(B$2:$B220)+1,IF(F221=0,"",B220))</f>
      </c>
      <c r="C221" s="7">
        <f>COUNTIF($F$2:$F221,F221)</f>
      </c>
      <c r="D221" s="7">
        <f>IF(F221=0,0,MAX($D$2:D220)+1)</f>
      </c>
      <c r="E221" s="7">
        <f>IF(H221=0,0,MAX($E$2:E220)+1)</f>
      </c>
      <c r="F221" s="177"/>
      <c r="G221" s="119"/>
      <c r="H221" s="119"/>
      <c r="I221" s="7">
        <f>IFERROR(VLOOKUP(H221,H$2:H220,1,FALSE),VLOOKUP(H221,H222:H$478,1,FALSE))</f>
      </c>
      <c r="J221" s="7">
        <f t="shared" si="42"/>
        <v/>
      </c>
      <c r="K221" s="7">
        <f t="shared" si="43"/>
        <v/>
      </c>
      <c r="L221" s="7">
        <f t="shared" si="44"/>
        <v/>
      </c>
      <c r="M221" s="19">
        <f t="shared" si="52"/>
        <v/>
      </c>
      <c r="N221" s="7">
        <f t="shared" si="45"/>
        <v/>
      </c>
      <c r="O221" s="7"/>
      <c r="P221" s="7">
        <f t="shared" si="46"/>
        <v/>
      </c>
      <c r="Q221" s="7">
        <f t="shared" si="47"/>
        <v/>
      </c>
      <c r="R221" s="7">
        <f t="shared" si="49"/>
      </c>
      <c r="S221" s="7">
        <f t="shared" si="50"/>
      </c>
      <c r="T221" s="7">
        <f t="shared" si="51"/>
      </c>
      <c r="U221" s="7">
        <f t="shared" si="48"/>
        <v/>
      </c>
    </row>
    <row r="222" spans="1:21" x14ac:dyDescent="0.3">
      <c r="A222" s="7">
        <f t="shared" si="53"/>
        <v/>
      </c>
      <c r="B222" s="7">
        <f>IF(C222=1,MAX(B$2:$B221)+1,IF(F222=0,"",B221))</f>
      </c>
      <c r="C222" s="7">
        <f>COUNTIF($F$2:$F222,F222)</f>
      </c>
      <c r="D222" s="7">
        <f>IF(F222=0,0,MAX($D$2:D221)+1)</f>
      </c>
      <c r="E222" s="7">
        <f>IF(H222=0,0,MAX($E$2:E221)+1)</f>
      </c>
      <c r="F222" s="177"/>
      <c r="G222" s="119"/>
      <c r="H222" s="119"/>
      <c r="I222" s="7">
        <f>IFERROR(VLOOKUP(H222,H$2:H221,1,FALSE),VLOOKUP(H222,H223:H$478,1,FALSE))</f>
      </c>
      <c r="J222" s="7">
        <f t="shared" si="42"/>
        <v/>
      </c>
      <c r="K222" s="7">
        <f t="shared" si="43"/>
        <v/>
      </c>
      <c r="L222" s="7">
        <f t="shared" si="44"/>
        <v/>
      </c>
      <c r="M222" s="19">
        <f t="shared" si="52"/>
        <v/>
      </c>
      <c r="N222" s="7">
        <f t="shared" si="45"/>
        <v/>
      </c>
      <c r="O222" s="7"/>
      <c r="P222" s="7">
        <f t="shared" si="46"/>
        <v/>
      </c>
      <c r="Q222" s="7">
        <f t="shared" si="47"/>
        <v/>
      </c>
      <c r="R222" s="7">
        <f t="shared" si="49"/>
      </c>
      <c r="S222" s="7">
        <f t="shared" si="50"/>
      </c>
      <c r="T222" s="7">
        <f t="shared" si="51"/>
      </c>
      <c r="U222" s="7">
        <f t="shared" si="48"/>
        <v/>
      </c>
    </row>
    <row r="223" spans="1:21" s="8" customFormat="1" ht="15" thickBot="1" x14ac:dyDescent="0.35">
      <c r="A223" s="47">
        <f t="shared" si="53"/>
        <v/>
      </c>
      <c r="B223" s="47">
        <f>IF(C223=1,MAX(B$2:$B222)+1,IF(F223=0,"",B222))</f>
      </c>
      <c r="C223" s="47">
        <f>COUNTIF($F$2:$F223,F223)</f>
      </c>
      <c r="D223" s="47">
        <f>IF(F223=0,0,MAX($D$2:D222)+1)</f>
      </c>
      <c r="E223" s="47">
        <f>IF(H223=0,0,MAX($E$2:E222)+1)</f>
      </c>
      <c r="F223" s="177"/>
      <c r="G223" s="175"/>
      <c r="H223" s="175"/>
      <c r="I223" s="47">
        <f>IFERROR(VLOOKUP(H223,H$2:H222,1,FALSE),VLOOKUP(H223,H224:H$478,1,FALSE))</f>
      </c>
      <c r="J223" s="47">
        <f t="shared" si="42"/>
        <v/>
      </c>
      <c r="K223" s="47">
        <f t="shared" si="43"/>
        <v/>
      </c>
      <c r="L223" s="47">
        <f t="shared" si="44"/>
        <v/>
      </c>
      <c r="M223" s="52">
        <f t="shared" si="52"/>
        <v/>
      </c>
      <c r="N223" s="47">
        <f t="shared" si="45"/>
        <v/>
      </c>
      <c r="O223" s="47"/>
      <c r="P223" s="47">
        <f t="shared" si="46"/>
        <v/>
      </c>
      <c r="Q223" s="47">
        <f t="shared" si="47"/>
        <v/>
      </c>
      <c r="R223" s="47">
        <f t="shared" si="49"/>
      </c>
      <c r="S223" s="47">
        <f t="shared" si="50"/>
      </c>
      <c r="T223" s="47">
        <f t="shared" si="51"/>
      </c>
      <c r="U223" s="47">
        <f t="shared" si="48"/>
        <v/>
      </c>
    </row>
    <row r="224" spans="1:21" x14ac:dyDescent="0.3">
      <c r="A224" s="7">
        <f t="shared" si="53"/>
        <v/>
      </c>
      <c r="B224" s="7">
        <f>IF(C224=1,MAX(B$2:$B223)+1,IF(F224=0,"",B223))</f>
      </c>
      <c r="C224" s="7">
        <f>COUNTIF($F$2:$F224,F224)</f>
      </c>
      <c r="D224" s="7">
        <f>IF(F224=0,0,MAX($D$2:D223)+1)</f>
      </c>
      <c r="E224" s="7">
        <f>IF(H224=0,0,MAX($E$2:E223)+1)</f>
      </c>
      <c r="F224" s="177"/>
      <c r="G224" s="119"/>
      <c r="H224" s="177"/>
      <c r="I224" s="7">
        <f>IFERROR(VLOOKUP(H224,H$2:H223,1,FALSE),VLOOKUP(H224,H225:H$478,1,FALSE))</f>
      </c>
      <c r="J224" s="7">
        <f t="shared" si="42"/>
        <v/>
      </c>
      <c r="K224" s="7">
        <f t="shared" si="43"/>
        <v/>
      </c>
      <c r="L224" s="7">
        <f t="shared" si="44"/>
        <v/>
      </c>
      <c r="M224" s="19">
        <f t="shared" si="52"/>
        <v/>
      </c>
      <c r="N224" s="7">
        <f t="shared" si="45"/>
        <v/>
      </c>
      <c r="O224" s="7"/>
      <c r="P224" s="7">
        <f t="shared" si="46"/>
        <v/>
      </c>
      <c r="Q224" s="7">
        <f t="shared" si="47"/>
        <v/>
      </c>
      <c r="R224" s="7">
        <f t="shared" si="49"/>
      </c>
      <c r="S224" s="7">
        <f t="shared" si="50"/>
      </c>
      <c r="T224" s="7">
        <f t="shared" si="51"/>
      </c>
      <c r="U224" s="7">
        <f t="shared" si="48"/>
        <v/>
      </c>
    </row>
    <row r="225" spans="1:21" x14ac:dyDescent="0.3">
      <c r="A225" s="7">
        <f t="shared" si="53"/>
        <v/>
      </c>
      <c r="B225" s="7">
        <f>IF(C225=1,MAX(B$2:$B224)+1,IF(F225=0,"",B224))</f>
      </c>
      <c r="C225" s="7">
        <f>COUNTIF($F$2:$F225,F225)</f>
      </c>
      <c r="D225" s="7">
        <f>IF(F225=0,0,MAX($D$2:D224)+1)</f>
      </c>
      <c r="E225" s="7">
        <f>IF(H225=0,0,MAX($E$2:E224)+1)</f>
      </c>
      <c r="F225" s="177"/>
      <c r="G225" s="119"/>
      <c r="H225" s="119"/>
      <c r="I225" s="7">
        <f>IFERROR(VLOOKUP(H225,H$2:H224,1,FALSE),VLOOKUP(H225,H226:H$478,1,FALSE))</f>
      </c>
      <c r="J225" s="7">
        <f t="shared" si="42"/>
        <v/>
      </c>
      <c r="K225" s="7">
        <f t="shared" si="43"/>
        <v/>
      </c>
      <c r="L225" s="7">
        <f t="shared" si="44"/>
        <v/>
      </c>
      <c r="M225" s="19">
        <f t="shared" si="52"/>
        <v/>
      </c>
      <c r="N225" s="7">
        <f t="shared" si="45"/>
        <v/>
      </c>
      <c r="O225" s="7"/>
      <c r="P225" s="7">
        <f t="shared" si="46"/>
        <v/>
      </c>
      <c r="Q225" s="7">
        <f t="shared" si="47"/>
        <v/>
      </c>
      <c r="R225" s="7">
        <f t="shared" si="49"/>
      </c>
      <c r="S225" s="7">
        <f t="shared" si="50"/>
      </c>
      <c r="T225" s="7">
        <f t="shared" si="51"/>
      </c>
      <c r="U225" s="7">
        <f t="shared" si="48"/>
        <v/>
      </c>
    </row>
    <row r="226" spans="1:21" x14ac:dyDescent="0.3">
      <c r="A226" s="7">
        <f t="shared" si="53"/>
        <v/>
      </c>
      <c r="B226" s="7">
        <f>IF(C226=1,MAX(B$2:$B225)+1,IF(F226=0,"",B225))</f>
      </c>
      <c r="C226" s="7">
        <f>COUNTIF($F$2:$F226,F226)</f>
      </c>
      <c r="D226" s="7">
        <f>IF(F226=0,0,MAX($D$2:D225)+1)</f>
      </c>
      <c r="E226" s="7">
        <f>IF(H226=0,0,MAX($E$2:E225)+1)</f>
      </c>
      <c r="F226" s="177"/>
      <c r="G226" s="119"/>
      <c r="H226" s="119"/>
      <c r="I226" s="7">
        <f>IFERROR(VLOOKUP(H226,H$2:H225,1,FALSE),VLOOKUP(H226,H227:H$478,1,FALSE))</f>
      </c>
      <c r="J226" s="7">
        <f t="shared" si="42"/>
        <v/>
      </c>
      <c r="K226" s="7">
        <f t="shared" si="43"/>
        <v/>
      </c>
      <c r="L226" s="7">
        <f t="shared" si="44"/>
        <v/>
      </c>
      <c r="M226" s="19">
        <f t="shared" si="52"/>
        <v/>
      </c>
      <c r="N226" s="7">
        <f t="shared" si="45"/>
        <v/>
      </c>
      <c r="O226" s="7"/>
      <c r="P226" s="7">
        <f t="shared" si="46"/>
        <v/>
      </c>
      <c r="Q226" s="7">
        <f t="shared" si="47"/>
        <v/>
      </c>
      <c r="R226" s="7">
        <f t="shared" si="49"/>
      </c>
      <c r="S226" s="7">
        <f t="shared" si="50"/>
      </c>
      <c r="T226" s="7">
        <f t="shared" si="51"/>
      </c>
      <c r="U226" s="7">
        <f t="shared" si="48"/>
        <v/>
      </c>
    </row>
    <row r="227" spans="1:21" x14ac:dyDescent="0.3">
      <c r="A227" s="7">
        <f t="shared" si="53"/>
        <v/>
      </c>
      <c r="B227" s="7">
        <f>IF(C227=1,MAX(B$2:$B226)+1,IF(F227=0,"",B226))</f>
      </c>
      <c r="C227" s="7">
        <f>COUNTIF($F$2:$F227,F227)</f>
      </c>
      <c r="D227" s="7">
        <f>IF(F227=0,0,MAX($D$2:D226)+1)</f>
      </c>
      <c r="E227" s="7">
        <f>IF(H227=0,0,MAX($E$2:E226)+1)</f>
      </c>
      <c r="F227" s="177"/>
      <c r="G227" s="119"/>
      <c r="H227" s="119"/>
      <c r="I227" s="7">
        <f>IFERROR(VLOOKUP(H227,H$2:H226,1,FALSE),VLOOKUP(H227,H228:H$478,1,FALSE))</f>
      </c>
      <c r="J227" s="7">
        <f t="shared" si="42"/>
        <v/>
      </c>
      <c r="K227" s="7">
        <f t="shared" si="43"/>
        <v/>
      </c>
      <c r="L227" s="7">
        <f t="shared" si="44"/>
        <v/>
      </c>
      <c r="M227" s="19">
        <f t="shared" si="52"/>
        <v/>
      </c>
      <c r="N227" s="7">
        <f t="shared" si="45"/>
        <v/>
      </c>
      <c r="O227" s="7"/>
      <c r="P227" s="7">
        <f t="shared" si="46"/>
        <v/>
      </c>
      <c r="Q227" s="7">
        <f t="shared" si="47"/>
        <v/>
      </c>
      <c r="R227" s="7">
        <f t="shared" si="49"/>
      </c>
      <c r="S227" s="7">
        <f t="shared" si="50"/>
      </c>
      <c r="T227" s="7">
        <f t="shared" si="51"/>
      </c>
      <c r="U227" s="7">
        <f t="shared" si="48"/>
        <v/>
      </c>
    </row>
    <row r="228" spans="1:21" x14ac:dyDescent="0.3">
      <c r="A228" s="7">
        <f t="shared" si="53"/>
        <v/>
      </c>
      <c r="B228" s="7">
        <f>IF(C228=1,MAX(B$2:$B227)+1,IF(F228=0,"",B227))</f>
      </c>
      <c r="C228" s="7">
        <f>COUNTIF($F$2:$F228,F228)</f>
      </c>
      <c r="D228" s="7">
        <f>IF(F228=0,0,MAX($D$2:D227)+1)</f>
      </c>
      <c r="E228" s="7">
        <f>IF(H228=0,0,MAX($E$2:E227)+1)</f>
      </c>
      <c r="F228" s="177"/>
      <c r="G228" s="119"/>
      <c r="H228" s="119"/>
      <c r="I228" s="7">
        <f>IFERROR(VLOOKUP(H228,H$2:H227,1,FALSE),VLOOKUP(H228,H229:H$478,1,FALSE))</f>
      </c>
      <c r="J228" s="7">
        <f t="shared" si="42"/>
        <v/>
      </c>
      <c r="K228" s="7">
        <f t="shared" si="43"/>
        <v/>
      </c>
      <c r="L228" s="7">
        <f t="shared" si="44"/>
        <v/>
      </c>
      <c r="M228" s="19">
        <f t="shared" si="52"/>
        <v/>
      </c>
      <c r="N228" s="7">
        <f t="shared" si="45"/>
        <v/>
      </c>
      <c r="O228" s="7"/>
      <c r="P228" s="7">
        <f t="shared" si="46"/>
        <v/>
      </c>
      <c r="Q228" s="7">
        <f t="shared" si="47"/>
        <v/>
      </c>
      <c r="R228" s="7">
        <f t="shared" si="49"/>
      </c>
      <c r="S228" s="7">
        <f t="shared" si="50"/>
      </c>
      <c r="T228" s="7">
        <f t="shared" si="51"/>
      </c>
      <c r="U228" s="7">
        <f t="shared" si="48"/>
        <v/>
      </c>
    </row>
    <row r="229" spans="1:21" x14ac:dyDescent="0.3">
      <c r="A229" s="7">
        <f t="shared" si="53"/>
        <v/>
      </c>
      <c r="B229" s="7">
        <f>IF(C229=1,MAX(B$2:$B228)+1,IF(F229=0,"",B228))</f>
      </c>
      <c r="C229" s="7">
        <f>COUNTIF($F$2:$F229,F229)</f>
      </c>
      <c r="D229" s="7">
        <f>IF(F229=0,0,MAX($D$2:D228)+1)</f>
      </c>
      <c r="E229" s="7">
        <f>IF(H229=0,0,MAX($E$2:E228)+1)</f>
      </c>
      <c r="F229" s="177"/>
      <c r="G229" s="119"/>
      <c r="H229" s="119"/>
      <c r="I229" s="7">
        <f>IFERROR(VLOOKUP(H229,H$2:H228,1,FALSE),VLOOKUP(H229,H230:H$478,1,FALSE))</f>
      </c>
      <c r="J229" s="7">
        <f t="shared" si="42"/>
        <v/>
      </c>
      <c r="K229" s="7">
        <f t="shared" si="43"/>
        <v/>
      </c>
      <c r="L229" s="7">
        <f t="shared" si="44"/>
        <v/>
      </c>
      <c r="M229" s="19">
        <f t="shared" si="52"/>
        <v/>
      </c>
      <c r="N229" s="7">
        <f t="shared" si="45"/>
        <v/>
      </c>
      <c r="O229" s="7"/>
      <c r="P229" s="7">
        <f t="shared" si="46"/>
        <v/>
      </c>
      <c r="Q229" s="7">
        <f t="shared" si="47"/>
        <v/>
      </c>
      <c r="R229" s="7">
        <f t="shared" si="49"/>
      </c>
      <c r="S229" s="7">
        <f t="shared" si="50"/>
      </c>
      <c r="T229" s="7">
        <f t="shared" si="51"/>
      </c>
      <c r="U229" s="7">
        <f t="shared" si="48"/>
        <v/>
      </c>
    </row>
    <row r="230" spans="1:21" x14ac:dyDescent="0.3">
      <c r="A230" s="7">
        <f t="shared" si="53"/>
        <v/>
      </c>
      <c r="B230" s="7">
        <f>IF(C230=1,MAX(B$2:$B229)+1,IF(F230=0,"",B229))</f>
      </c>
      <c r="C230" s="7">
        <f>COUNTIF($F$2:$F230,F230)</f>
      </c>
      <c r="D230" s="7">
        <f>IF(F230=0,0,MAX($D$2:D229)+1)</f>
      </c>
      <c r="E230" s="7">
        <f>IF(H230=0,0,MAX($E$2:E229)+1)</f>
      </c>
      <c r="F230" s="177"/>
      <c r="G230" s="119"/>
      <c r="H230" s="119"/>
      <c r="I230" s="7">
        <f>IFERROR(VLOOKUP(H230,H$2:H229,1,FALSE),VLOOKUP(H230,H231:H$478,1,FALSE))</f>
      </c>
      <c r="J230" s="7">
        <f t="shared" si="42"/>
        <v/>
      </c>
      <c r="K230" s="7">
        <f t="shared" si="43"/>
        <v/>
      </c>
      <c r="L230" s="7">
        <f t="shared" si="44"/>
        <v/>
      </c>
      <c r="M230" s="19">
        <f t="shared" si="52"/>
        <v/>
      </c>
      <c r="N230" s="7">
        <f t="shared" si="45"/>
        <v/>
      </c>
      <c r="O230" s="7"/>
      <c r="P230" s="7">
        <f t="shared" si="46"/>
        <v/>
      </c>
      <c r="Q230" s="7">
        <f t="shared" si="47"/>
        <v/>
      </c>
      <c r="R230" s="7">
        <f t="shared" si="49"/>
      </c>
      <c r="S230" s="7">
        <f t="shared" si="50"/>
      </c>
      <c r="T230" s="7">
        <f t="shared" si="51"/>
      </c>
      <c r="U230" s="7">
        <f t="shared" si="48"/>
        <v/>
      </c>
    </row>
    <row r="231" spans="1:21" x14ac:dyDescent="0.3">
      <c r="A231" s="7">
        <f t="shared" si="53"/>
        <v/>
      </c>
      <c r="B231" s="7">
        <f>IF(C231=1,MAX(B$2:$B230)+1,IF(F231=0,"",B230))</f>
      </c>
      <c r="C231" s="7">
        <f>COUNTIF($F$2:$F231,F231)</f>
      </c>
      <c r="D231" s="7">
        <f>IF(F231=0,0,MAX($D$2:D230)+1)</f>
      </c>
      <c r="E231" s="7">
        <f>IF(H231=0,0,MAX($E$2:E230)+1)</f>
      </c>
      <c r="F231" s="177"/>
      <c r="G231" s="119"/>
      <c r="H231" s="119"/>
      <c r="I231" s="7">
        <f>IFERROR(VLOOKUP(H231,H$2:H230,1,FALSE),VLOOKUP(H231,H232:H$478,1,FALSE))</f>
      </c>
      <c r="J231" s="7">
        <f t="shared" si="42"/>
        <v/>
      </c>
      <c r="K231" s="7">
        <f t="shared" si="43"/>
        <v/>
      </c>
      <c r="L231" s="7">
        <f t="shared" si="44"/>
        <v/>
      </c>
      <c r="M231" s="19">
        <f t="shared" si="52"/>
        <v/>
      </c>
      <c r="N231" s="7">
        <f t="shared" si="45"/>
        <v/>
      </c>
      <c r="O231" s="7"/>
      <c r="P231" s="7">
        <f t="shared" si="46"/>
        <v/>
      </c>
      <c r="Q231" s="7">
        <f t="shared" si="47"/>
        <v/>
      </c>
      <c r="R231" s="7">
        <f t="shared" si="49"/>
      </c>
      <c r="S231" s="7">
        <f t="shared" si="50"/>
      </c>
      <c r="T231" s="7">
        <f t="shared" si="51"/>
      </c>
      <c r="U231" s="7">
        <f t="shared" si="48"/>
        <v/>
      </c>
    </row>
    <row r="232" spans="1:21" x14ac:dyDescent="0.3">
      <c r="A232" s="7">
        <f t="shared" si="53"/>
        <v/>
      </c>
      <c r="B232" s="7">
        <f>IF(C232=1,MAX(B$2:$B231)+1,IF(F232=0,"",B231))</f>
      </c>
      <c r="C232" s="7">
        <f>COUNTIF($F$2:$F232,F232)</f>
      </c>
      <c r="D232" s="7">
        <f>IF(F232=0,0,MAX($D$2:D231)+1)</f>
      </c>
      <c r="E232" s="7">
        <f>IF(H232=0,0,MAX($E$2:E231)+1)</f>
      </c>
      <c r="F232" s="177"/>
      <c r="G232" s="119"/>
      <c r="H232" s="119"/>
      <c r="I232" s="7">
        <f>IFERROR(VLOOKUP(H232,H$2:H231,1,FALSE),VLOOKUP(H232,H233:H$478,1,FALSE))</f>
      </c>
      <c r="J232" s="7">
        <f t="shared" si="42"/>
        <v/>
      </c>
      <c r="K232" s="7">
        <f t="shared" si="43"/>
        <v/>
      </c>
      <c r="L232" s="7">
        <f t="shared" si="44"/>
        <v/>
      </c>
      <c r="M232" s="19">
        <f t="shared" si="52"/>
        <v/>
      </c>
      <c r="N232" s="7">
        <f t="shared" si="45"/>
        <v/>
      </c>
      <c r="O232" s="7"/>
      <c r="P232" s="7">
        <f t="shared" si="46"/>
        <v/>
      </c>
      <c r="Q232" s="7">
        <f t="shared" si="47"/>
        <v/>
      </c>
      <c r="R232" s="7">
        <f t="shared" si="49"/>
      </c>
      <c r="S232" s="7">
        <f t="shared" si="50"/>
      </c>
      <c r="T232" s="7">
        <f t="shared" si="51"/>
      </c>
      <c r="U232" s="7">
        <f t="shared" si="48"/>
        <v/>
      </c>
    </row>
    <row r="233" spans="1:21" x14ac:dyDescent="0.3">
      <c r="A233" s="7">
        <f t="shared" si="53"/>
        <v/>
      </c>
      <c r="B233" s="7">
        <f>IF(C233=1,MAX(B$2:$B232)+1,IF(F233=0,"",B232))</f>
      </c>
      <c r="C233" s="7">
        <f>COUNTIF($F$2:$F233,F233)</f>
      </c>
      <c r="D233" s="7">
        <f>IF(F233=0,0,MAX($D$2:D232)+1)</f>
      </c>
      <c r="E233" s="7">
        <f>IF(H233=0,0,MAX($E$2:E232)+1)</f>
      </c>
      <c r="F233" s="177"/>
      <c r="G233" s="119"/>
      <c r="H233" s="177"/>
      <c r="I233" s="7">
        <f>IFERROR(VLOOKUP(H233,H$2:H232,1,FALSE),VLOOKUP(H233,H234:H$478,1,FALSE))</f>
      </c>
      <c r="J233" s="7">
        <f t="shared" si="42"/>
        <v/>
      </c>
      <c r="K233" s="7">
        <f t="shared" si="43"/>
        <v/>
      </c>
      <c r="L233" s="7">
        <f t="shared" si="44"/>
        <v/>
      </c>
      <c r="M233" s="19">
        <f t="shared" si="52"/>
        <v/>
      </c>
      <c r="N233" s="7">
        <f t="shared" si="45"/>
        <v/>
      </c>
      <c r="O233" s="7"/>
      <c r="P233" s="7">
        <f t="shared" si="46"/>
        <v/>
      </c>
      <c r="Q233" s="7">
        <f t="shared" si="47"/>
        <v/>
      </c>
      <c r="R233" s="7">
        <f t="shared" si="49"/>
      </c>
      <c r="S233" s="7">
        <f t="shared" si="50"/>
      </c>
      <c r="T233" s="7">
        <f t="shared" si="51"/>
      </c>
      <c r="U233" s="7">
        <f t="shared" si="48"/>
        <v/>
      </c>
    </row>
    <row r="234" spans="1:21" x14ac:dyDescent="0.3">
      <c r="A234" s="7">
        <f t="shared" si="53"/>
        <v/>
      </c>
      <c r="B234" s="7">
        <f>IF(C234=1,MAX(B$2:$B233)+1,IF(F234=0,"",B233))</f>
      </c>
      <c r="C234" s="7">
        <f>COUNTIF($F$2:$F234,F234)</f>
      </c>
      <c r="D234" s="7">
        <f>IF(F234=0,0,MAX($D$2:D233)+1)</f>
      </c>
      <c r="E234" s="7">
        <f>IF(H234=0,0,MAX($E$2:E233)+1)</f>
      </c>
      <c r="F234" s="177"/>
      <c r="G234" s="177"/>
      <c r="H234" s="119"/>
      <c r="I234" s="7">
        <f>IFERROR(VLOOKUP(H234,H$2:H233,1,FALSE),VLOOKUP(H234,H235:H$478,1,FALSE))</f>
      </c>
      <c r="J234" s="7">
        <f t="shared" si="42"/>
        <v/>
      </c>
      <c r="K234" s="7">
        <f t="shared" si="43"/>
        <v/>
      </c>
      <c r="L234" s="7">
        <f t="shared" si="44"/>
        <v/>
      </c>
      <c r="M234" s="19">
        <f t="shared" si="52"/>
        <v/>
      </c>
      <c r="N234" s="7">
        <f t="shared" si="45"/>
        <v/>
      </c>
      <c r="O234" s="7"/>
      <c r="P234" s="7">
        <f t="shared" si="46"/>
        <v/>
      </c>
      <c r="Q234" s="7">
        <f t="shared" si="47"/>
        <v/>
      </c>
      <c r="R234" s="7">
        <f t="shared" si="49"/>
      </c>
      <c r="S234" s="7">
        <f t="shared" si="50"/>
      </c>
      <c r="T234" s="7">
        <f t="shared" si="51"/>
      </c>
      <c r="U234" s="7">
        <f t="shared" si="48"/>
        <v/>
      </c>
    </row>
    <row r="235" spans="1:21" x14ac:dyDescent="0.3">
      <c r="A235" s="7">
        <f t="shared" si="53"/>
        <v/>
      </c>
      <c r="B235" s="7">
        <f>IF(C235=1,MAX(B$2:$B234)+1,IF(F235=0,"",B234))</f>
      </c>
      <c r="C235" s="7">
        <f>COUNTIF($F$2:$F235,F235)</f>
      </c>
      <c r="D235" s="7">
        <f>IF(F235=0,0,MAX($D$2:D234)+1)</f>
      </c>
      <c r="E235" s="7">
        <f>IF(H235=0,0,MAX($E$2:E234)+1)</f>
      </c>
      <c r="F235" s="177"/>
      <c r="G235" s="119"/>
      <c r="H235" s="119"/>
      <c r="I235" s="7">
        <f>IFERROR(VLOOKUP(H235,H$2:H234,1,FALSE),VLOOKUP(H235,H236:H$478,1,FALSE))</f>
      </c>
      <c r="J235" s="7">
        <f t="shared" si="42"/>
        <v/>
      </c>
      <c r="K235" s="7">
        <f t="shared" si="43"/>
        <v/>
      </c>
      <c r="L235" s="7">
        <f t="shared" si="44"/>
        <v/>
      </c>
      <c r="M235" s="19">
        <f t="shared" si="52"/>
        <v/>
      </c>
      <c r="N235" s="7">
        <f t="shared" si="45"/>
        <v/>
      </c>
      <c r="O235" s="7"/>
      <c r="P235" s="7">
        <f t="shared" si="46"/>
        <v/>
      </c>
      <c r="Q235" s="7">
        <f t="shared" si="47"/>
        <v/>
      </c>
      <c r="R235" s="7">
        <f t="shared" si="49"/>
      </c>
      <c r="S235" s="7">
        <f t="shared" si="50"/>
      </c>
      <c r="T235" s="7">
        <f t="shared" si="51"/>
      </c>
      <c r="U235" s="7">
        <f t="shared" si="48"/>
        <v/>
      </c>
    </row>
    <row r="236" spans="1:21" x14ac:dyDescent="0.3">
      <c r="A236" s="7">
        <f t="shared" si="53"/>
        <v/>
      </c>
      <c r="B236" s="7">
        <f>IF(C236=1,MAX(B$2:$B235)+1,IF(F236=0,"",B235))</f>
      </c>
      <c r="C236" s="7">
        <f>COUNTIF($F$2:$F236,F236)</f>
      </c>
      <c r="D236" s="7">
        <f>IF(F236=0,0,MAX($D$2:D235)+1)</f>
      </c>
      <c r="E236" s="7">
        <f>IF(H236=0,0,MAX($E$2:E235)+1)</f>
      </c>
      <c r="F236" s="177"/>
      <c r="G236" s="119"/>
      <c r="H236" s="119"/>
      <c r="I236" s="7">
        <f>IFERROR(VLOOKUP(H236,H$2:H235,1,FALSE),VLOOKUP(H236,H237:H$478,1,FALSE))</f>
      </c>
      <c r="J236" s="7">
        <f t="shared" si="42"/>
        <v/>
      </c>
      <c r="K236" s="7">
        <f t="shared" si="43"/>
        <v/>
      </c>
      <c r="L236" s="7">
        <f t="shared" si="44"/>
        <v/>
      </c>
      <c r="M236" s="19">
        <f t="shared" si="52"/>
        <v/>
      </c>
      <c r="N236" s="7">
        <f t="shared" si="45"/>
        <v/>
      </c>
      <c r="O236" s="7"/>
      <c r="P236" s="7">
        <f t="shared" si="46"/>
        <v/>
      </c>
      <c r="Q236" s="7">
        <f t="shared" si="47"/>
        <v/>
      </c>
      <c r="R236" s="7">
        <f t="shared" si="49"/>
      </c>
      <c r="S236" s="7">
        <f t="shared" si="50"/>
      </c>
      <c r="T236" s="7">
        <f t="shared" si="51"/>
      </c>
      <c r="U236" s="7">
        <f t="shared" si="48"/>
        <v/>
      </c>
    </row>
    <row r="237" spans="1:21" x14ac:dyDescent="0.3">
      <c r="A237" s="7">
        <f t="shared" si="53"/>
        <v/>
      </c>
      <c r="B237" s="7">
        <f>IF(C237=1,MAX(B$2:$B236)+1,IF(F237=0,"",B236))</f>
      </c>
      <c r="C237" s="7">
        <f>COUNTIF($F$2:$F237,F237)</f>
      </c>
      <c r="D237" s="7">
        <f>IF(F237=0,0,MAX($D$2:D236)+1)</f>
      </c>
      <c r="E237" s="7">
        <f>IF(H237=0,0,MAX($E$2:E236)+1)</f>
      </c>
      <c r="F237" s="177"/>
      <c r="G237" s="119"/>
      <c r="H237" s="119"/>
      <c r="I237" s="7">
        <f>IFERROR(VLOOKUP(H237,H$2:H236,1,FALSE),VLOOKUP(H237,H238:H$478,1,FALSE))</f>
      </c>
      <c r="J237" s="7">
        <f t="shared" si="42"/>
        <v/>
      </c>
      <c r="K237" s="7">
        <f t="shared" si="43"/>
        <v/>
      </c>
      <c r="L237" s="7">
        <f t="shared" si="44"/>
        <v/>
      </c>
      <c r="M237" s="19">
        <f t="shared" si="52"/>
        <v/>
      </c>
      <c r="N237" s="7">
        <f t="shared" si="45"/>
        <v/>
      </c>
      <c r="O237" s="7"/>
      <c r="P237" s="7">
        <f t="shared" si="46"/>
        <v/>
      </c>
      <c r="Q237" s="7">
        <f t="shared" si="47"/>
        <v/>
      </c>
      <c r="R237" s="7">
        <f t="shared" si="49"/>
      </c>
      <c r="S237" s="7">
        <f t="shared" si="50"/>
      </c>
      <c r="T237" s="7">
        <f t="shared" si="51"/>
      </c>
      <c r="U237" s="7">
        <f t="shared" si="48"/>
        <v/>
      </c>
    </row>
    <row r="238" spans="1:21" x14ac:dyDescent="0.3">
      <c r="A238" s="7">
        <f t="shared" si="53"/>
        <v/>
      </c>
      <c r="B238" s="7">
        <f>IF(C238=1,MAX(B$2:$B237)+1,IF(F238=0,"",B237))</f>
      </c>
      <c r="C238" s="7">
        <f>COUNTIF($F$2:$F238,F238)</f>
      </c>
      <c r="D238" s="7">
        <f>IF(F238=0,0,MAX($D$2:D237)+1)</f>
      </c>
      <c r="E238" s="7">
        <f>IF(H238=0,0,MAX($E$2:E237)+1)</f>
      </c>
      <c r="F238" s="177"/>
      <c r="G238" s="119"/>
      <c r="H238" s="119"/>
      <c r="I238" s="7">
        <f>IFERROR(VLOOKUP(H238,H$2:H237,1,FALSE),VLOOKUP(H238,H239:H$478,1,FALSE))</f>
      </c>
      <c r="J238" s="7">
        <f t="shared" si="42"/>
        <v/>
      </c>
      <c r="K238" s="7">
        <f t="shared" si="43"/>
        <v/>
      </c>
      <c r="L238" s="7">
        <f t="shared" si="44"/>
        <v/>
      </c>
      <c r="M238" s="19">
        <f t="shared" si="52"/>
        <v/>
      </c>
      <c r="N238" s="7">
        <f t="shared" si="45"/>
        <v/>
      </c>
      <c r="O238" s="7"/>
      <c r="P238" s="7">
        <f t="shared" si="46"/>
        <v/>
      </c>
      <c r="Q238" s="7">
        <f t="shared" si="47"/>
        <v/>
      </c>
      <c r="R238" s="7">
        <f t="shared" si="49"/>
      </c>
      <c r="S238" s="7">
        <f t="shared" si="50"/>
      </c>
      <c r="T238" s="7">
        <f t="shared" si="51"/>
      </c>
      <c r="U238" s="7">
        <f t="shared" si="48"/>
        <v/>
      </c>
    </row>
    <row r="239" spans="1:21" x14ac:dyDescent="0.3">
      <c r="A239" s="7">
        <f t="shared" si="53"/>
        <v/>
      </c>
      <c r="B239" s="7">
        <f>IF(C239=1,MAX(B$2:$B238)+1,IF(F239=0,"",B238))</f>
      </c>
      <c r="C239" s="7">
        <f>COUNTIF($F$2:$F239,F239)</f>
      </c>
      <c r="D239" s="7">
        <f>IF(F239=0,0,MAX($D$2:D238)+1)</f>
      </c>
      <c r="E239" s="7">
        <f>IF(H239=0,0,MAX($E$2:E238)+1)</f>
      </c>
      <c r="F239" s="177"/>
      <c r="G239" s="177"/>
      <c r="H239" s="177"/>
      <c r="I239" s="7">
        <f>IFERROR(VLOOKUP(H239,H$2:H238,1,FALSE),VLOOKUP(H239,H240:H$478,1,FALSE))</f>
      </c>
      <c r="J239" s="7">
        <f t="shared" si="42"/>
        <v/>
      </c>
      <c r="K239" s="7">
        <f t="shared" si="43"/>
        <v/>
      </c>
      <c r="L239" s="7">
        <f t="shared" si="44"/>
        <v/>
      </c>
      <c r="M239" s="19">
        <f t="shared" si="52"/>
        <v/>
      </c>
      <c r="N239" s="7">
        <f t="shared" si="45"/>
        <v/>
      </c>
      <c r="O239" s="7"/>
      <c r="P239" s="7">
        <f t="shared" si="46"/>
        <v/>
      </c>
      <c r="Q239" s="7">
        <f t="shared" si="47"/>
        <v/>
      </c>
      <c r="R239" s="7">
        <f t="shared" si="49"/>
      </c>
      <c r="S239" s="7">
        <f t="shared" si="50"/>
      </c>
      <c r="T239" s="7">
        <f t="shared" si="51"/>
      </c>
      <c r="U239" s="7">
        <f t="shared" si="48"/>
        <v/>
      </c>
    </row>
    <row r="240" spans="1:21" s="8" customFormat="1" ht="15" thickBot="1" x14ac:dyDescent="0.35">
      <c r="A240" s="47">
        <f t="shared" si="53"/>
        <v/>
      </c>
      <c r="B240" s="47">
        <f>IF(C240=1,MAX(B$2:$B239)+1,IF(F240=0,"",B239))</f>
      </c>
      <c r="C240" s="47">
        <f>COUNTIF($F$2:$F240,F240)</f>
      </c>
      <c r="D240" s="47">
        <f>IF(F240=0,0,MAX($D$2:D239)+1)</f>
      </c>
      <c r="E240" s="47">
        <f>IF(H240=0,0,MAX($E$2:E239)+1)</f>
      </c>
      <c r="F240" s="177"/>
      <c r="G240" s="175"/>
      <c r="H240" s="119"/>
      <c r="I240" s="47">
        <f>IFERROR(VLOOKUP(H240,H$2:H239,1,FALSE),VLOOKUP(H240,H241:H$478,1,FALSE))</f>
      </c>
      <c r="J240" s="47">
        <f t="shared" si="42"/>
        <v/>
      </c>
      <c r="K240" s="47">
        <f t="shared" si="43"/>
        <v/>
      </c>
      <c r="L240" s="47">
        <f t="shared" si="44"/>
        <v/>
      </c>
      <c r="M240" s="52">
        <f t="shared" si="52"/>
        <v/>
      </c>
      <c r="N240" s="47">
        <f t="shared" si="45"/>
        <v/>
      </c>
      <c r="O240" s="47"/>
      <c r="P240" s="47">
        <f t="shared" si="46"/>
        <v/>
      </c>
      <c r="Q240" s="47">
        <f t="shared" si="47"/>
        <v/>
      </c>
      <c r="R240" s="47">
        <f t="shared" si="49"/>
      </c>
      <c r="S240" s="47">
        <f t="shared" si="50"/>
      </c>
      <c r="T240" s="47">
        <f t="shared" si="51"/>
      </c>
      <c r="U240" s="47">
        <f t="shared" si="48"/>
        <v/>
      </c>
    </row>
    <row r="241" spans="1:21" x14ac:dyDescent="0.3">
      <c r="A241" s="7">
        <f t="shared" si="53"/>
        <v/>
      </c>
      <c r="B241" s="7">
        <f>IF(C241=1,MAX(B$2:$B240)+1,IF(F241=0,"",B240))</f>
      </c>
      <c r="C241" s="7">
        <f>COUNTIF($F$2:$F241,F241)</f>
      </c>
      <c r="D241" s="7">
        <f>IF(F241=0,0,MAX($D$2:D240)+1)</f>
      </c>
      <c r="E241" s="7">
        <f>IF(H241=0,0,MAX($E$2:E240)+1)</f>
      </c>
      <c r="F241" s="177"/>
      <c r="G241" s="119"/>
      <c r="H241" s="177"/>
      <c r="I241" s="7">
        <f>IFERROR(VLOOKUP(H241,H$2:H240,1,FALSE),VLOOKUP(H241,H242:H$478,1,FALSE))</f>
      </c>
      <c r="J241" s="7">
        <f t="shared" si="42"/>
        <v/>
      </c>
      <c r="K241" s="7">
        <f t="shared" si="43"/>
        <v/>
      </c>
      <c r="L241" s="7">
        <f t="shared" si="44"/>
        <v/>
      </c>
      <c r="M241" s="19">
        <f t="shared" si="52"/>
        <v/>
      </c>
      <c r="N241" s="7">
        <f t="shared" si="45"/>
        <v/>
      </c>
      <c r="O241" s="7"/>
      <c r="P241" s="7">
        <f t="shared" si="46"/>
        <v/>
      </c>
      <c r="Q241" s="7">
        <f t="shared" si="47"/>
        <v/>
      </c>
      <c r="R241" s="7">
        <f t="shared" si="49"/>
      </c>
      <c r="S241" s="7">
        <f t="shared" si="50"/>
      </c>
      <c r="T241" s="7">
        <f t="shared" si="51"/>
      </c>
      <c r="U241" s="7">
        <f t="shared" si="48"/>
        <v/>
      </c>
    </row>
    <row r="242" spans="1:21" x14ac:dyDescent="0.3">
      <c r="A242" s="7">
        <f t="shared" si="53"/>
        <v/>
      </c>
      <c r="B242" s="7">
        <f>IF(C242=1,MAX(B$2:$B241)+1,IF(F242=0,"",B241))</f>
      </c>
      <c r="C242" s="7">
        <f>COUNTIF($F$2:$F242,F242)</f>
      </c>
      <c r="D242" s="7">
        <f>IF(F242=0,0,MAX($D$2:D241)+1)</f>
      </c>
      <c r="E242" s="7">
        <f>IF(H242=0,0,MAX($E$2:E241)+1)</f>
      </c>
      <c r="F242" s="177"/>
      <c r="G242" s="119"/>
      <c r="H242" s="119"/>
      <c r="I242" s="7">
        <f>IFERROR(VLOOKUP(H242,H$2:H241,1,FALSE),VLOOKUP(H242,H243:H$478,1,FALSE))</f>
      </c>
      <c r="J242" s="7">
        <f t="shared" si="42"/>
        <v/>
      </c>
      <c r="K242" s="7">
        <f t="shared" si="43"/>
        <v/>
      </c>
      <c r="L242" s="7">
        <f t="shared" si="44"/>
        <v/>
      </c>
      <c r="M242" s="19">
        <f t="shared" si="52"/>
        <v/>
      </c>
      <c r="N242" s="7">
        <f t="shared" si="45"/>
        <v/>
      </c>
      <c r="O242" s="7"/>
      <c r="P242" s="7">
        <f>IF($H242=0,"",VLOOKUP($H242,Исходные_данные,41,FALSE))</f>
        <v/>
      </c>
      <c r="Q242" s="7">
        <f t="shared" si="47"/>
        <v/>
      </c>
      <c r="R242" s="7">
        <f t="shared" si="49"/>
      </c>
      <c r="S242" s="7">
        <f t="shared" si="50"/>
      </c>
      <c r="T242" s="7">
        <f t="shared" si="51"/>
      </c>
      <c r="U242" s="7">
        <f t="shared" si="48"/>
        <v/>
      </c>
    </row>
    <row r="243" spans="1:21" x14ac:dyDescent="0.3">
      <c r="A243" s="7">
        <f t="shared" si="53"/>
        <v/>
      </c>
      <c r="B243" s="7">
        <f>IF(C243=1,MAX(B$2:$B242)+1,IF(F243=0,"",B242))</f>
      </c>
      <c r="C243" s="7">
        <f>COUNTIF($F$2:$F243,F243)</f>
      </c>
      <c r="D243" s="7">
        <f>IF(F243=0,0,MAX($D$2:D242)+1)</f>
      </c>
      <c r="E243" s="7">
        <f>IF(H243=0,0,MAX($E$2:E242)+1)</f>
      </c>
      <c r="F243" s="177"/>
      <c r="G243" s="119"/>
      <c r="H243" s="119"/>
      <c r="I243" s="7">
        <f>IFERROR(VLOOKUP(H243,H$2:H242,1,FALSE),VLOOKUP(H243,H244:H$478,1,FALSE))</f>
      </c>
      <c r="J243" s="7">
        <f t="shared" si="42"/>
        <v/>
      </c>
      <c r="K243" s="7">
        <f t="shared" si="43"/>
        <v/>
      </c>
      <c r="L243" s="7">
        <f t="shared" si="44"/>
        <v/>
      </c>
      <c r="M243" s="19">
        <f t="shared" si="52"/>
        <v/>
      </c>
      <c r="N243" s="7">
        <f t="shared" si="45"/>
        <v/>
      </c>
      <c r="O243" s="7"/>
      <c r="P243" s="7">
        <f t="shared" si="46"/>
        <v/>
      </c>
      <c r="Q243" s="7">
        <f t="shared" si="47"/>
        <v/>
      </c>
      <c r="R243" s="7">
        <f t="shared" si="49"/>
      </c>
      <c r="S243" s="7">
        <f t="shared" si="50"/>
      </c>
      <c r="T243" s="7">
        <f t="shared" si="51"/>
      </c>
      <c r="U243" s="7">
        <f t="shared" si="48"/>
        <v/>
      </c>
    </row>
    <row r="244" spans="1:21" x14ac:dyDescent="0.3">
      <c r="A244" s="7">
        <f t="shared" si="53"/>
        <v/>
      </c>
      <c r="B244" s="7">
        <f>IF(C244=1,MAX(B$2:$B243)+1,IF(F244=0,"",B243))</f>
      </c>
      <c r="C244" s="7">
        <f>COUNTIF($F$2:$F244,F244)</f>
      </c>
      <c r="D244" s="7">
        <f>IF(F244=0,0,MAX($D$2:D243)+1)</f>
      </c>
      <c r="E244" s="7">
        <f>IF(H244=0,0,MAX($E$2:E243)+1)</f>
      </c>
      <c r="F244" s="177"/>
      <c r="G244" s="119"/>
      <c r="H244" s="119"/>
      <c r="I244" s="7">
        <f>IFERROR(VLOOKUP(H244,H$2:H243,1,FALSE),VLOOKUP(H244,H245:H$478,1,FALSE))</f>
      </c>
      <c r="J244" s="7">
        <f t="shared" si="42"/>
        <v/>
      </c>
      <c r="K244" s="7">
        <f t="shared" si="43"/>
        <v/>
      </c>
      <c r="L244" s="7">
        <f t="shared" si="44"/>
        <v/>
      </c>
      <c r="M244" s="19">
        <f t="shared" si="52"/>
        <v/>
      </c>
      <c r="N244" s="7">
        <f t="shared" si="45"/>
        <v/>
      </c>
      <c r="O244" s="7"/>
      <c r="P244" s="7">
        <f t="shared" si="46"/>
        <v/>
      </c>
      <c r="Q244" s="7">
        <f t="shared" si="47"/>
        <v/>
      </c>
      <c r="R244" s="7">
        <f t="shared" si="49"/>
      </c>
      <c r="S244" s="7">
        <f t="shared" si="50"/>
      </c>
      <c r="T244" s="7">
        <f t="shared" si="51"/>
      </c>
      <c r="U244" s="7">
        <f t="shared" si="48"/>
        <v/>
      </c>
    </row>
    <row r="245" spans="1:21" x14ac:dyDescent="0.3">
      <c r="A245" s="7">
        <f t="shared" si="53"/>
        <v/>
      </c>
      <c r="B245" s="7">
        <f>IF(C245=1,MAX(B$2:$B244)+1,IF(F245=0,"",B244))</f>
      </c>
      <c r="C245" s="7">
        <f>COUNTIF($F$2:$F245,F245)</f>
      </c>
      <c r="D245" s="7">
        <f>IF(F245=0,0,MAX($D$2:D244)+1)</f>
      </c>
      <c r="E245" s="7">
        <f>IF(H245=0,0,MAX($E$2:E244)+1)</f>
      </c>
      <c r="F245" s="177"/>
      <c r="G245" s="119"/>
      <c r="H245" s="119"/>
      <c r="I245" s="7">
        <f>IFERROR(VLOOKUP(H245,H$2:H244,1,FALSE),VLOOKUP(H245,H246:H$478,1,FALSE))</f>
      </c>
      <c r="J245" s="7">
        <f t="shared" si="42"/>
        <v/>
      </c>
      <c r="K245" s="7">
        <f t="shared" si="43"/>
        <v/>
      </c>
      <c r="L245" s="7">
        <f t="shared" si="44"/>
        <v/>
      </c>
      <c r="M245" s="19">
        <f t="shared" si="52"/>
        <v/>
      </c>
      <c r="N245" s="7">
        <f t="shared" si="45"/>
        <v/>
      </c>
      <c r="O245" s="7"/>
      <c r="P245" s="7">
        <f t="shared" si="46"/>
        <v/>
      </c>
      <c r="Q245" s="7">
        <f t="shared" si="47"/>
        <v/>
      </c>
      <c r="R245" s="7">
        <f t="shared" si="49"/>
      </c>
      <c r="S245" s="7">
        <f t="shared" si="50"/>
      </c>
      <c r="T245" s="7">
        <f t="shared" si="51"/>
      </c>
      <c r="U245" s="7">
        <f t="shared" si="48"/>
        <v/>
      </c>
    </row>
    <row r="246" spans="1:21" x14ac:dyDescent="0.3">
      <c r="A246" s="7">
        <f t="shared" si="53"/>
        <v/>
      </c>
      <c r="B246" s="7">
        <f>IF(C246=1,MAX(B$2:$B245)+1,IF(F246=0,"",B245))</f>
      </c>
      <c r="C246" s="7">
        <f>COUNTIF($F$2:$F246,F246)</f>
      </c>
      <c r="D246" s="7">
        <f>IF(F246=0,0,MAX($D$2:D245)+1)</f>
      </c>
      <c r="E246" s="7">
        <f>IF(H246=0,0,MAX($E$2:E245)+1)</f>
      </c>
      <c r="F246" s="177"/>
      <c r="G246" s="119"/>
      <c r="H246" s="119"/>
      <c r="I246" s="7">
        <f>IFERROR(VLOOKUP(H246,H$2:H245,1,FALSE),VLOOKUP(H246,H247:H$478,1,FALSE))</f>
      </c>
      <c r="J246" s="7">
        <f t="shared" si="42"/>
        <v/>
      </c>
      <c r="K246" s="7">
        <f t="shared" si="43"/>
        <v/>
      </c>
      <c r="L246" s="7">
        <f t="shared" si="44"/>
        <v/>
      </c>
      <c r="M246" s="19">
        <f t="shared" si="52"/>
        <v/>
      </c>
      <c r="N246" s="7">
        <f t="shared" si="45"/>
        <v/>
      </c>
      <c r="O246" s="7"/>
      <c r="P246" s="7">
        <f t="shared" si="46"/>
        <v/>
      </c>
      <c r="Q246" s="7">
        <f t="shared" si="47"/>
        <v/>
      </c>
      <c r="R246" s="7">
        <f t="shared" si="49"/>
      </c>
      <c r="S246" s="7">
        <f t="shared" si="50"/>
      </c>
      <c r="T246" s="7">
        <f t="shared" si="51"/>
      </c>
      <c r="U246" s="7">
        <f t="shared" si="48"/>
        <v/>
      </c>
    </row>
    <row r="247" spans="1:21" x14ac:dyDescent="0.3">
      <c r="A247" s="7">
        <f t="shared" si="53"/>
        <v/>
      </c>
      <c r="B247" s="7">
        <f>IF(C247=1,MAX(B$2:$B246)+1,IF(F247=0,"",B246))</f>
      </c>
      <c r="C247" s="7">
        <f>COUNTIF($F$2:$F247,F247)</f>
      </c>
      <c r="D247" s="7">
        <f>IF(F247=0,0,MAX($D$2:D246)+1)</f>
      </c>
      <c r="E247" s="7">
        <f>IF(H247=0,0,MAX($E$2:E246)+1)</f>
      </c>
      <c r="F247" s="177"/>
      <c r="G247" s="119"/>
      <c r="H247" s="119"/>
      <c r="I247" s="7">
        <f>IFERROR(VLOOKUP(H247,H$2:H246,1,FALSE),VLOOKUP(H247,H248:H$478,1,FALSE))</f>
      </c>
      <c r="J247" s="7">
        <f t="shared" si="42"/>
        <v/>
      </c>
      <c r="K247" s="7">
        <f t="shared" si="43"/>
        <v/>
      </c>
      <c r="L247" s="7">
        <f t="shared" si="44"/>
        <v/>
      </c>
      <c r="M247" s="19">
        <f t="shared" si="52"/>
        <v/>
      </c>
      <c r="N247" s="7">
        <f t="shared" si="45"/>
        <v/>
      </c>
      <c r="O247" s="7"/>
      <c r="P247" s="7">
        <f t="shared" si="46"/>
        <v/>
      </c>
      <c r="Q247" s="7">
        <f t="shared" si="47"/>
        <v/>
      </c>
      <c r="R247" s="7">
        <f t="shared" si="49"/>
      </c>
      <c r="S247" s="7">
        <f t="shared" si="50"/>
      </c>
      <c r="T247" s="7">
        <f t="shared" si="51"/>
      </c>
      <c r="U247" s="7">
        <f t="shared" si="48"/>
        <v/>
      </c>
    </row>
    <row r="248" spans="1:21" x14ac:dyDescent="0.3">
      <c r="A248" s="7">
        <f t="shared" si="53"/>
        <v/>
      </c>
      <c r="B248" s="7">
        <f>IF(C248=1,MAX(B$2:$B247)+1,IF(F248=0,"",B247))</f>
      </c>
      <c r="C248" s="7">
        <f>COUNTIF($F$2:$F248,F248)</f>
      </c>
      <c r="D248" s="7">
        <f>IF(F248=0,0,MAX($D$2:D247)+1)</f>
      </c>
      <c r="E248" s="7">
        <f>IF(H248=0,0,MAX($E$2:E247)+1)</f>
      </c>
      <c r="F248" s="177"/>
      <c r="G248" s="177"/>
      <c r="H248" s="119"/>
      <c r="I248" s="7">
        <f>IFERROR(VLOOKUP(H248,H$2:H247,1,FALSE),VLOOKUP(H248,H249:H$478,1,FALSE))</f>
      </c>
      <c r="J248" s="7">
        <f t="shared" si="42"/>
        <v/>
      </c>
      <c r="K248" s="7">
        <f t="shared" si="43"/>
        <v/>
      </c>
      <c r="L248" s="7">
        <f t="shared" si="44"/>
        <v/>
      </c>
      <c r="M248" s="19">
        <f t="shared" si="52"/>
        <v/>
      </c>
      <c r="N248" s="7">
        <f t="shared" si="45"/>
        <v/>
      </c>
      <c r="O248" s="7"/>
      <c r="P248" s="7">
        <f t="shared" si="46"/>
        <v/>
      </c>
      <c r="Q248" s="7">
        <f t="shared" si="47"/>
        <v/>
      </c>
      <c r="R248" s="7">
        <f t="shared" si="49"/>
      </c>
      <c r="S248" s="7">
        <f t="shared" si="50"/>
      </c>
      <c r="T248" s="7">
        <f t="shared" si="51"/>
      </c>
      <c r="U248" s="7">
        <f t="shared" si="48"/>
        <v/>
      </c>
    </row>
    <row r="249" spans="1:21" x14ac:dyDescent="0.3">
      <c r="A249" s="7">
        <f t="shared" si="53"/>
        <v/>
      </c>
      <c r="B249" s="7">
        <f>IF(C249=1,MAX(B$2:$B248)+1,IF(F249=0,"",B248))</f>
      </c>
      <c r="C249" s="7">
        <f>COUNTIF($F$2:$F249,F249)</f>
      </c>
      <c r="D249" s="7">
        <f>IF(F249=0,0,MAX($D$2:D248)+1)</f>
      </c>
      <c r="E249" s="7">
        <f>IF(H249=0,0,MAX($E$2:E248)+1)</f>
      </c>
      <c r="F249" s="177"/>
      <c r="G249" s="119"/>
      <c r="H249" s="119"/>
      <c r="I249" s="7">
        <f>IFERROR(VLOOKUP(H249,H$2:H248,1,FALSE),VLOOKUP(H249,H250:H$478,1,FALSE))</f>
      </c>
      <c r="J249" s="7">
        <f t="shared" si="42"/>
        <v/>
      </c>
      <c r="K249" s="7">
        <f t="shared" si="43"/>
        <v/>
      </c>
      <c r="L249" s="7">
        <f t="shared" si="44"/>
        <v/>
      </c>
      <c r="M249" s="19">
        <f t="shared" si="52"/>
        <v/>
      </c>
      <c r="N249" s="7">
        <f t="shared" si="45"/>
        <v/>
      </c>
      <c r="O249" s="7"/>
      <c r="P249" s="7">
        <f t="shared" si="46"/>
        <v/>
      </c>
      <c r="Q249" s="7">
        <f t="shared" si="47"/>
        <v/>
      </c>
      <c r="R249" s="7">
        <f t="shared" si="49"/>
      </c>
      <c r="S249" s="7">
        <f t="shared" si="50"/>
      </c>
      <c r="T249" s="7">
        <f t="shared" si="51"/>
      </c>
      <c r="U249" s="7">
        <f t="shared" si="48"/>
        <v/>
      </c>
    </row>
    <row r="250" spans="1:21" x14ac:dyDescent="0.3">
      <c r="A250" s="7">
        <f t="shared" si="53"/>
        <v/>
      </c>
      <c r="B250" s="7">
        <f>IF(C250=1,MAX(B$2:$B249)+1,IF(F250=0,"",B249))</f>
      </c>
      <c r="C250" s="7">
        <f>COUNTIF($F$2:$F250,F250)</f>
      </c>
      <c r="D250" s="7">
        <f>IF(F250=0,0,MAX($D$2:D249)+1)</f>
      </c>
      <c r="E250" s="7">
        <f>IF(H250=0,0,MAX($E$2:E249)+1)</f>
      </c>
      <c r="F250" s="177"/>
      <c r="G250" s="119"/>
      <c r="H250" s="119"/>
      <c r="I250" s="7">
        <f>IFERROR(VLOOKUP(H250,H$2:H249,1,FALSE),VLOOKUP(H250,H251:H$478,1,FALSE))</f>
      </c>
      <c r="J250" s="7">
        <f t="shared" si="42"/>
        <v/>
      </c>
      <c r="K250" s="7">
        <f t="shared" si="43"/>
        <v/>
      </c>
      <c r="L250" s="7">
        <f t="shared" si="44"/>
        <v/>
      </c>
      <c r="M250" s="19">
        <f t="shared" si="52"/>
        <v/>
      </c>
      <c r="N250" s="7">
        <f t="shared" si="45"/>
        <v/>
      </c>
      <c r="O250" s="7"/>
      <c r="P250" s="7">
        <f t="shared" si="46"/>
        <v/>
      </c>
      <c r="Q250" s="7">
        <f t="shared" si="47"/>
        <v/>
      </c>
      <c r="R250" s="7">
        <f t="shared" si="49"/>
      </c>
      <c r="S250" s="7">
        <f t="shared" si="50"/>
      </c>
      <c r="T250" s="7">
        <f t="shared" si="51"/>
      </c>
      <c r="U250" s="7">
        <f t="shared" si="48"/>
        <v/>
      </c>
    </row>
    <row r="251" spans="1:21" x14ac:dyDescent="0.3">
      <c r="A251" s="7">
        <f t="shared" si="53"/>
        <v/>
      </c>
      <c r="B251" s="7">
        <f>IF(C251=1,MAX(B$2:$B250)+1,IF(F251=0,"",B250))</f>
      </c>
      <c r="C251" s="7">
        <f>COUNTIF($F$2:$F251,F251)</f>
      </c>
      <c r="D251" s="7">
        <f>IF(F251=0,0,MAX($D$2:D250)+1)</f>
      </c>
      <c r="E251" s="7">
        <f>IF(H251=0,0,MAX($E$2:E250)+1)</f>
      </c>
      <c r="F251" s="177"/>
      <c r="G251" s="119"/>
      <c r="H251" s="119"/>
      <c r="I251" s="7">
        <f>IFERROR(VLOOKUP(H251,H$2:H250,1,FALSE),VLOOKUP(H251,H252:H$478,1,FALSE))</f>
      </c>
      <c r="J251" s="7">
        <f t="shared" si="42"/>
        <v/>
      </c>
      <c r="K251" s="7">
        <f t="shared" si="43"/>
        <v/>
      </c>
      <c r="L251" s="7">
        <f t="shared" si="44"/>
        <v/>
      </c>
      <c r="M251" s="19">
        <f t="shared" si="52"/>
        <v/>
      </c>
      <c r="N251" s="7">
        <f t="shared" si="45"/>
        <v/>
      </c>
      <c r="O251" s="7"/>
      <c r="P251" s="7">
        <f t="shared" si="46"/>
        <v/>
      </c>
      <c r="Q251" s="7">
        <f t="shared" si="47"/>
        <v/>
      </c>
      <c r="R251" s="7">
        <f t="shared" si="49"/>
      </c>
      <c r="S251" s="7">
        <f t="shared" si="50"/>
      </c>
      <c r="T251" s="7">
        <f t="shared" si="51"/>
      </c>
      <c r="U251" s="7">
        <f t="shared" si="48"/>
        <v/>
      </c>
    </row>
    <row r="252" spans="1:21" x14ac:dyDescent="0.3">
      <c r="A252" s="7">
        <f t="shared" si="53"/>
        <v/>
      </c>
      <c r="B252" s="7">
        <f>IF(C252=1,MAX(B$2:$B251)+1,IF(F252=0,"",B251))</f>
      </c>
      <c r="C252" s="7">
        <f>COUNTIF($F$2:$F252,F252)</f>
      </c>
      <c r="D252" s="7">
        <f>IF(F252=0,0,MAX($D$2:D251)+1)</f>
      </c>
      <c r="E252" s="7">
        <f>IF(H252=0,0,MAX($E$2:E251)+1)</f>
      </c>
      <c r="F252" s="177"/>
      <c r="G252" s="119"/>
      <c r="H252" s="119"/>
      <c r="I252" s="7">
        <f>IFERROR(VLOOKUP(H252,H$2:H251,1,FALSE),VLOOKUP(H252,H253:H$478,1,FALSE))</f>
      </c>
      <c r="J252" s="7">
        <f t="shared" si="42"/>
        <v/>
      </c>
      <c r="K252" s="7">
        <f t="shared" si="43"/>
        <v/>
      </c>
      <c r="L252" s="7">
        <f t="shared" si="44"/>
        <v/>
      </c>
      <c r="M252" s="19">
        <f t="shared" si="52"/>
        <v/>
      </c>
      <c r="N252" s="7">
        <f t="shared" si="45"/>
        <v/>
      </c>
      <c r="O252" s="7"/>
      <c r="P252" s="7">
        <f t="shared" si="46"/>
        <v/>
      </c>
      <c r="Q252" s="7">
        <f t="shared" si="47"/>
        <v/>
      </c>
      <c r="R252" s="7">
        <f t="shared" si="49"/>
      </c>
      <c r="S252" s="7">
        <f t="shared" si="50"/>
      </c>
      <c r="T252" s="7">
        <f t="shared" si="51"/>
      </c>
      <c r="U252" s="7">
        <f t="shared" si="48"/>
        <v/>
      </c>
    </row>
    <row r="253" spans="1:21" x14ac:dyDescent="0.3">
      <c r="A253" s="7">
        <f t="shared" si="53"/>
        <v/>
      </c>
      <c r="B253" s="7">
        <f>IF(C253=1,MAX(B$2:$B252)+1,IF(F253=0,"",B252))</f>
      </c>
      <c r="C253" s="7">
        <f>COUNTIF($F$2:$F253,F253)</f>
      </c>
      <c r="D253" s="7">
        <f>IF(F253=0,0,MAX($D$2:D252)+1)</f>
      </c>
      <c r="E253" s="7">
        <f>IF(H253=0,0,MAX($E$2:E252)+1)</f>
      </c>
      <c r="F253" s="177"/>
      <c r="G253" s="119"/>
      <c r="H253" s="119"/>
      <c r="I253" s="7">
        <f>IFERROR(VLOOKUP(H253,H$2:H252,1,FALSE),VLOOKUP(H253,H254:H$478,1,FALSE))</f>
      </c>
      <c r="J253" s="7">
        <f t="shared" si="42"/>
        <v/>
      </c>
      <c r="K253" s="7">
        <f t="shared" si="43"/>
        <v/>
      </c>
      <c r="L253" s="7">
        <f t="shared" si="44"/>
        <v/>
      </c>
      <c r="M253" s="19">
        <f t="shared" si="52"/>
        <v/>
      </c>
      <c r="N253" s="7">
        <f t="shared" si="45"/>
        <v/>
      </c>
      <c r="O253" s="7"/>
      <c r="P253" s="7">
        <f t="shared" si="46"/>
        <v/>
      </c>
      <c r="Q253" s="7">
        <f t="shared" si="47"/>
        <v/>
      </c>
      <c r="R253" s="7">
        <f t="shared" si="49"/>
      </c>
      <c r="S253" s="7">
        <f t="shared" si="50"/>
      </c>
      <c r="T253" s="7">
        <f t="shared" si="51"/>
      </c>
      <c r="U253" s="7">
        <f t="shared" si="48"/>
        <v/>
      </c>
    </row>
    <row r="254" spans="1:21" x14ac:dyDescent="0.3">
      <c r="A254" s="7">
        <f t="shared" si="53"/>
        <v/>
      </c>
      <c r="B254" s="7">
        <f>IF(C254=1,MAX(B$2:$B253)+1,IF(F254=0,"",B253))</f>
      </c>
      <c r="C254" s="7">
        <f>COUNTIF($F$2:$F254,F254)</f>
      </c>
      <c r="D254" s="7">
        <f>IF(F254=0,0,MAX($D$2:D253)+1)</f>
      </c>
      <c r="E254" s="7">
        <f>IF(H254=0,0,MAX($E$2:E253)+1)</f>
      </c>
      <c r="F254" s="177"/>
      <c r="G254" s="119"/>
      <c r="H254" s="177"/>
      <c r="I254" s="7">
        <f>IFERROR(VLOOKUP(H254,H$2:H253,1,FALSE),VLOOKUP(H254,H255:H$478,1,FALSE))</f>
      </c>
      <c r="J254" s="7">
        <f t="shared" si="42"/>
        <v/>
      </c>
      <c r="K254" s="7">
        <f t="shared" si="43"/>
        <v/>
      </c>
      <c r="L254" s="7">
        <f t="shared" si="44"/>
        <v/>
      </c>
      <c r="M254" s="19">
        <f t="shared" si="52"/>
        <v/>
      </c>
      <c r="N254" s="7">
        <f t="shared" si="45"/>
        <v/>
      </c>
      <c r="O254" s="7"/>
      <c r="P254" s="7">
        <f t="shared" si="46"/>
        <v/>
      </c>
      <c r="Q254" s="7">
        <f t="shared" si="47"/>
        <v/>
      </c>
      <c r="R254" s="7">
        <f t="shared" si="49"/>
      </c>
      <c r="S254" s="7">
        <f t="shared" si="50"/>
      </c>
      <c r="T254" s="7">
        <f t="shared" si="51"/>
      </c>
      <c r="U254" s="7">
        <f t="shared" si="48"/>
        <v/>
      </c>
    </row>
    <row r="255" spans="1:21" x14ac:dyDescent="0.3">
      <c r="A255" s="7">
        <f t="shared" si="53"/>
        <v/>
      </c>
      <c r="B255" s="7">
        <f>IF(C255=1,MAX(B$2:$B254)+1,IF(F255=0,"",B254))</f>
      </c>
      <c r="C255" s="7">
        <f>COUNTIF($F$2:$F255,F255)</f>
      </c>
      <c r="D255" s="7">
        <f>IF(F255=0,0,MAX($D$2:D254)+1)</f>
      </c>
      <c r="E255" s="7">
        <f>IF(H255=0,0,MAX($E$2:E254)+1)</f>
      </c>
      <c r="F255" s="177"/>
      <c r="G255" s="119"/>
      <c r="H255" s="119"/>
      <c r="I255" s="7">
        <f>IFERROR(VLOOKUP(H255,H$2:H254,1,FALSE),VLOOKUP(H255,H256:H$478,1,FALSE))</f>
      </c>
      <c r="J255" s="7">
        <f t="shared" si="42"/>
        <v/>
      </c>
      <c r="K255" s="7">
        <f t="shared" si="43"/>
        <v/>
      </c>
      <c r="L255" s="7">
        <f t="shared" si="44"/>
        <v/>
      </c>
      <c r="M255" s="19">
        <f t="shared" si="52"/>
        <v/>
      </c>
      <c r="N255" s="7">
        <f t="shared" si="45"/>
        <v/>
      </c>
      <c r="O255" s="7"/>
      <c r="P255" s="7">
        <f t="shared" si="46"/>
        <v/>
      </c>
      <c r="Q255" s="7">
        <f t="shared" si="47"/>
        <v/>
      </c>
      <c r="R255" s="7">
        <f t="shared" si="49"/>
      </c>
      <c r="S255" s="7">
        <f t="shared" si="50"/>
      </c>
      <c r="T255" s="7">
        <f t="shared" si="51"/>
      </c>
      <c r="U255" s="7">
        <f t="shared" si="48"/>
        <v/>
      </c>
    </row>
    <row r="256" spans="1:21" x14ac:dyDescent="0.3">
      <c r="A256" s="7">
        <f t="shared" si="53"/>
        <v/>
      </c>
      <c r="B256" s="7">
        <f>IF(C256=1,MAX(B$2:$B255)+1,IF(F256=0,"",B255))</f>
      </c>
      <c r="C256" s="7">
        <f>COUNTIF($F$2:$F256,F256)</f>
      </c>
      <c r="D256" s="7">
        <f>IF(F256=0,0,MAX($D$2:D255)+1)</f>
      </c>
      <c r="E256" s="7">
        <f>IF(H256=0,0,MAX($E$2:E255)+1)</f>
      </c>
      <c r="F256" s="177"/>
      <c r="G256" s="119"/>
      <c r="H256" s="119"/>
      <c r="I256" s="7">
        <f>IFERROR(VLOOKUP(H256,H$2:H255,1,FALSE),VLOOKUP(H256,H257:H$478,1,FALSE))</f>
      </c>
      <c r="J256" s="7">
        <f t="shared" si="42"/>
        <v/>
      </c>
      <c r="K256" s="7">
        <f t="shared" si="43"/>
        <v/>
      </c>
      <c r="L256" s="7">
        <f t="shared" si="44"/>
        <v/>
      </c>
      <c r="M256" s="19">
        <f t="shared" si="52"/>
        <v/>
      </c>
      <c r="N256" s="7">
        <f t="shared" si="45"/>
        <v/>
      </c>
      <c r="O256" s="7"/>
      <c r="P256" s="7">
        <f t="shared" si="46"/>
        <v/>
      </c>
      <c r="Q256" s="7">
        <f t="shared" si="47"/>
        <v/>
      </c>
      <c r="R256" s="7">
        <f t="shared" si="49"/>
      </c>
      <c r="S256" s="7">
        <f t="shared" si="50"/>
      </c>
      <c r="T256" s="7">
        <f t="shared" si="51"/>
      </c>
      <c r="U256" s="7">
        <f t="shared" si="48"/>
        <v/>
      </c>
    </row>
    <row r="257" spans="1:21" s="8" customFormat="1" ht="15" thickBot="1" x14ac:dyDescent="0.35">
      <c r="A257" s="47">
        <f t="shared" si="53"/>
        <v/>
      </c>
      <c r="B257" s="47">
        <f>IF(C257=1,MAX(B$2:$B256)+1,IF(F257=0,"",B256))</f>
      </c>
      <c r="C257" s="47">
        <f>COUNTIF($F$2:$F257,F257)</f>
      </c>
      <c r="D257" s="47">
        <f>IF(F257=0,0,MAX($D$2:D256)+1)</f>
      </c>
      <c r="E257" s="47">
        <f>IF(H257=0,0,MAX($E$2:E256)+1)</f>
      </c>
      <c r="F257" s="177"/>
      <c r="G257" s="175"/>
      <c r="H257" s="119"/>
      <c r="I257" s="47">
        <f>IFERROR(VLOOKUP(H257,H$2:H256,1,FALSE),VLOOKUP(H257,H258:H$478,1,FALSE))</f>
      </c>
      <c r="J257" s="47">
        <f t="shared" si="42"/>
        <v/>
      </c>
      <c r="K257" s="47">
        <f t="shared" si="43"/>
        <v/>
      </c>
      <c r="L257" s="47">
        <f t="shared" si="44"/>
        <v/>
      </c>
      <c r="M257" s="52">
        <f t="shared" si="52"/>
        <v/>
      </c>
      <c r="N257" s="47">
        <f t="shared" si="45"/>
        <v/>
      </c>
      <c r="O257" s="47"/>
      <c r="P257" s="47">
        <f t="shared" si="46"/>
        <v/>
      </c>
      <c r="Q257" s="47">
        <f t="shared" si="47"/>
        <v/>
      </c>
      <c r="R257" s="47">
        <f t="shared" si="49"/>
      </c>
      <c r="S257" s="47">
        <f t="shared" si="50"/>
      </c>
      <c r="T257" s="47">
        <f t="shared" si="51"/>
      </c>
      <c r="U257" s="47">
        <f t="shared" si="48"/>
        <v/>
      </c>
    </row>
    <row r="258" spans="1:21" x14ac:dyDescent="0.3">
      <c r="A258" s="7">
        <f t="shared" si="53"/>
        <v/>
      </c>
      <c r="B258" s="7">
        <f>IF(C258=1,MAX(B$2:$B257)+1,IF(F258=0,"",B257))</f>
      </c>
      <c r="C258" s="7">
        <f>COUNTIF($F$2:$F258,F258)</f>
      </c>
      <c r="D258" s="7">
        <f>IF(F258=0,0,MAX($D$2:D257)+1)</f>
      </c>
      <c r="E258" s="7">
        <f>IF(H258=0,0,MAX($E$2:E257)+1)</f>
      </c>
      <c r="F258" s="177"/>
      <c r="G258" s="193"/>
      <c r="H258" s="119"/>
      <c r="I258" s="7">
        <f>IFERROR(VLOOKUP(H258,H$2:H257,1,FALSE),VLOOKUP(H258,H259:H$478,1,FALSE))</f>
      </c>
      <c r="J258" s="7">
        <f t="shared" si="42"/>
        <v/>
      </c>
      <c r="K258" s="7">
        <f t="shared" si="43"/>
        <v/>
      </c>
      <c r="L258" s="7">
        <f t="shared" si="44"/>
        <v/>
      </c>
      <c r="M258" s="19">
        <f t="shared" si="52"/>
        <v/>
      </c>
      <c r="N258" s="7">
        <f t="shared" si="45"/>
        <v/>
      </c>
      <c r="O258" s="7"/>
      <c r="P258" s="7">
        <f t="shared" si="46"/>
        <v/>
      </c>
      <c r="Q258" s="7">
        <f t="shared" si="47"/>
        <v/>
      </c>
      <c r="R258" s="7">
        <f t="shared" si="49"/>
      </c>
      <c r="S258" s="7">
        <f t="shared" si="50"/>
      </c>
      <c r="T258" s="7">
        <f t="shared" si="51"/>
      </c>
      <c r="U258" s="7">
        <f t="shared" si="48"/>
        <v/>
      </c>
    </row>
    <row r="259" spans="1:21" x14ac:dyDescent="0.3">
      <c r="A259" s="7">
        <f t="shared" si="53"/>
        <v/>
      </c>
      <c r="B259" s="7">
        <f>IF(C259=1,MAX(B$2:$B258)+1,IF(F259=0,"",B258))</f>
      </c>
      <c r="C259" s="7">
        <f>COUNTIF($F$2:$F259,F259)</f>
      </c>
      <c r="D259" s="7">
        <f>IF(F259=0,0,MAX($D$2:D258)+1)</f>
      </c>
      <c r="E259" s="7">
        <f>IF(H259=0,0,MAX($E$2:E258)+1)</f>
      </c>
      <c r="F259" s="177"/>
      <c r="G259" s="119"/>
      <c r="H259" s="119"/>
      <c r="I259" s="108">
        <f>IFERROR(VLOOKUP(H259,H$2:H258,1,FALSE),VLOOKUP(H259,H260:H$478,1,FALSE))</f>
      </c>
      <c r="J259" s="7">
        <f t="shared" ref="J259:J322" si="54">IF($H259=0,"",VLOOKUP($H259,Исходные_данные,36,FALSE))</f>
        <v/>
      </c>
      <c r="K259" s="7">
        <f t="shared" ref="K259:K322" si="55">IF($H259=0,"",VLOOKUP($H259,Исходные_данные,37,FALSE))</f>
        <v/>
      </c>
      <c r="L259" s="7">
        <f t="shared" ref="L259:L322" si="56">IF($H259=0,"",VLOOKUP($H259,Исходные_данные,38,FALSE))</f>
        <v/>
      </c>
      <c r="M259" s="19">
        <f t="shared" si="52"/>
        <v/>
      </c>
      <c r="N259" s="7">
        <f t="shared" ref="N259:N322" si="57">IF($H259=0,"",VLOOKUP($H259,Исходные_данные,39,FALSE))</f>
        <v/>
      </c>
      <c r="O259" s="7"/>
      <c r="P259" s="7">
        <f>IF($H259=0,"",VLOOKUP($H259,Исходные_данные,41,FALSE))</f>
        <v/>
      </c>
      <c r="Q259" s="7">
        <f t="shared" ref="Q259:Q322" si="58">IF($H259=0,"",VLOOKUP($H259,Исходные_данные,8,FALSE))</f>
        <v/>
      </c>
      <c r="R259" s="7">
        <f t="shared" si="49"/>
      </c>
      <c r="S259" s="7">
        <f t="shared" si="50"/>
      </c>
      <c r="T259" s="7">
        <f t="shared" si="51"/>
      </c>
      <c r="U259" s="7">
        <f t="shared" ref="U259:U322" si="59">IF($H259=0,"",VLOOKUP($H259,Исходные_данные,31,FALSE))</f>
        <v/>
      </c>
    </row>
    <row r="260" spans="1:21" x14ac:dyDescent="0.3">
      <c r="A260" s="7">
        <f t="shared" ref="A260:A323" si="60">IF(B260=B261,"",B260)</f>
        <v/>
      </c>
      <c r="B260" s="7">
        <f>IF(C260=1,MAX(B$2:$B259)+1,IF(F260=0,"",B259))</f>
      </c>
      <c r="C260" s="7">
        <f>COUNTIF($F$2:$F260,F260)</f>
      </c>
      <c r="D260" s="7">
        <f>IF(F260=0,0,MAX($D$2:D259)+1)</f>
      </c>
      <c r="E260" s="7">
        <f>IF(H260=0,0,MAX($E$2:E259)+1)</f>
      </c>
      <c r="F260" s="177"/>
      <c r="G260" s="119"/>
      <c r="H260" s="119"/>
      <c r="I260" s="108">
        <f>IFERROR(VLOOKUP(H260,H$2:H259,1,FALSE),VLOOKUP(H260,H261:H$478,1,FALSE))</f>
      </c>
      <c r="J260" s="7">
        <f t="shared" si="54"/>
        <v/>
      </c>
      <c r="K260" s="7">
        <f t="shared" si="55"/>
        <v/>
      </c>
      <c r="L260" s="7">
        <f t="shared" si="56"/>
        <v/>
      </c>
      <c r="M260" s="19">
        <f t="shared" si="52"/>
        <v/>
      </c>
      <c r="N260" s="7">
        <f t="shared" si="57"/>
        <v/>
      </c>
      <c r="O260" s="7"/>
      <c r="P260" s="7">
        <f t="shared" ref="P260:P322" si="61">IF($H260=0,"",VLOOKUP($H260,Исходные_данные,41,FALSE))</f>
        <v/>
      </c>
      <c r="Q260" s="7">
        <f t="shared" si="58"/>
        <v/>
      </c>
      <c r="R260" s="7">
        <f t="shared" ref="R260:R323" si="62">IF(Q260=3,"L1,L2,L3",0)</f>
      </c>
      <c r="S260" s="7">
        <f t="shared" ref="S260:S323" si="63">IF(C260=1,1,IF(Q260=3,S259,IF(S259=3,1,S259+1)))</f>
      </c>
      <c r="T260" s="7">
        <f t="shared" ref="T260:T323" si="64">IF(R260=0,"L"&amp;S260,R260)</f>
      </c>
      <c r="U260" s="7">
        <f t="shared" si="59"/>
        <v/>
      </c>
    </row>
    <row r="261" spans="1:21" x14ac:dyDescent="0.3">
      <c r="A261" s="7">
        <f t="shared" si="60"/>
        <v/>
      </c>
      <c r="B261" s="7">
        <f>IF(C261=1,MAX(B$2:$B260)+1,IF(F261=0,"",B260))</f>
      </c>
      <c r="C261" s="7">
        <f>COUNTIF($F$2:$F261,F261)</f>
      </c>
      <c r="D261" s="7">
        <f>IF(F261=0,0,MAX($D$2:D260)+1)</f>
      </c>
      <c r="E261" s="7">
        <f>IF(H261=0,0,MAX($E$2:E260)+1)</f>
      </c>
      <c r="F261" s="177"/>
      <c r="G261" s="119"/>
      <c r="H261" s="119"/>
      <c r="I261" s="108">
        <f>IFERROR(VLOOKUP(H261,H$2:H260,1,FALSE),VLOOKUP(H261,H262:H$478,1,FALSE))</f>
      </c>
      <c r="J261" s="7">
        <f t="shared" si="54"/>
        <v/>
      </c>
      <c r="K261" s="7">
        <f t="shared" si="55"/>
        <v/>
      </c>
      <c r="L261" s="7">
        <f t="shared" si="56"/>
        <v/>
      </c>
      <c r="M261" s="19">
        <f t="shared" ref="M261:M324" si="65">IFERROR(VLOOKUP(H261,Нагрузка_диапазон_1,4,FALSE),"")</f>
        <v/>
      </c>
      <c r="N261" s="7">
        <f t="shared" si="57"/>
        <v/>
      </c>
      <c r="O261" s="7"/>
      <c r="P261" s="7">
        <f t="shared" si="61"/>
        <v/>
      </c>
      <c r="Q261" s="7">
        <f t="shared" si="58"/>
        <v/>
      </c>
      <c r="R261" s="7">
        <f t="shared" si="62"/>
      </c>
      <c r="S261" s="7">
        <f t="shared" si="63"/>
      </c>
      <c r="T261" s="7">
        <f t="shared" si="64"/>
      </c>
      <c r="U261" s="7">
        <f t="shared" si="59"/>
        <v/>
      </c>
    </row>
    <row r="262" spans="1:21" x14ac:dyDescent="0.3">
      <c r="A262" s="7">
        <f t="shared" si="60"/>
        <v/>
      </c>
      <c r="B262" s="7">
        <f>IF(C262=1,MAX(B$2:$B261)+1,IF(F262=0,"",B261))</f>
      </c>
      <c r="C262" s="7">
        <f>COUNTIF($F$2:$F262,F262)</f>
      </c>
      <c r="D262" s="7">
        <f>IF(F262=0,0,MAX($D$2:D261)+1)</f>
      </c>
      <c r="E262" s="7">
        <f>IF(H262=0,0,MAX($E$2:E261)+1)</f>
      </c>
      <c r="F262" s="177"/>
      <c r="G262" s="119"/>
      <c r="H262" s="119"/>
      <c r="I262" s="108">
        <f>IFERROR(VLOOKUP(H262,H$2:H261,1,FALSE),VLOOKUP(H262,H263:H$478,1,FALSE))</f>
      </c>
      <c r="J262" s="7">
        <f t="shared" si="54"/>
        <v/>
      </c>
      <c r="K262" s="7">
        <f t="shared" si="55"/>
        <v/>
      </c>
      <c r="L262" s="7">
        <f t="shared" si="56"/>
        <v/>
      </c>
      <c r="M262" s="19">
        <f t="shared" si="65"/>
        <v/>
      </c>
      <c r="N262" s="7">
        <f t="shared" si="57"/>
        <v/>
      </c>
      <c r="O262" s="7"/>
      <c r="P262" s="7">
        <f t="shared" si="61"/>
        <v/>
      </c>
      <c r="Q262" s="7">
        <f t="shared" si="58"/>
        <v/>
      </c>
      <c r="R262" s="7">
        <f t="shared" si="62"/>
      </c>
      <c r="S262" s="7">
        <f t="shared" si="63"/>
      </c>
      <c r="T262" s="7">
        <f t="shared" si="64"/>
      </c>
      <c r="U262" s="7">
        <f t="shared" si="59"/>
        <v/>
      </c>
    </row>
    <row r="263" spans="1:21" x14ac:dyDescent="0.3">
      <c r="A263" s="7">
        <f t="shared" si="60"/>
        <v/>
      </c>
      <c r="B263" s="7">
        <f>IF(C263=1,MAX(B$2:$B262)+1,IF(F263=0,"",B262))</f>
      </c>
      <c r="C263" s="7">
        <f>COUNTIF($F$2:$F263,F263)</f>
      </c>
      <c r="D263" s="7">
        <f>IF(F263=0,0,MAX($D$2:D262)+1)</f>
      </c>
      <c r="E263" s="7">
        <f>IF(H263=0,0,MAX($E$2:E262)+1)</f>
      </c>
      <c r="F263" s="177"/>
      <c r="G263" s="119"/>
      <c r="H263" s="119"/>
      <c r="I263" s="108">
        <f>IFERROR(VLOOKUP(H263,H$2:H262,1,FALSE),VLOOKUP(H263,H264:H$478,1,FALSE))</f>
      </c>
      <c r="J263" s="7">
        <f t="shared" si="54"/>
        <v/>
      </c>
      <c r="K263" s="7">
        <f t="shared" si="55"/>
        <v/>
      </c>
      <c r="L263" s="7">
        <f t="shared" si="56"/>
        <v/>
      </c>
      <c r="M263" s="19">
        <f t="shared" si="65"/>
        <v/>
      </c>
      <c r="N263" s="7">
        <f t="shared" si="57"/>
        <v/>
      </c>
      <c r="O263" s="7"/>
      <c r="P263" s="7">
        <f t="shared" si="61"/>
        <v/>
      </c>
      <c r="Q263" s="7">
        <f t="shared" si="58"/>
        <v/>
      </c>
      <c r="R263" s="7">
        <f t="shared" si="62"/>
      </c>
      <c r="S263" s="7">
        <f t="shared" si="63"/>
      </c>
      <c r="T263" s="7">
        <f t="shared" si="64"/>
      </c>
      <c r="U263" s="7">
        <f t="shared" si="59"/>
        <v/>
      </c>
    </row>
    <row r="264" spans="1:21" x14ac:dyDescent="0.3">
      <c r="A264" s="7">
        <f t="shared" si="60"/>
        <v/>
      </c>
      <c r="B264" s="7">
        <f>IF(C264=1,MAX(B$2:$B263)+1,IF(F264=0,"",B263))</f>
      </c>
      <c r="C264" s="7">
        <f>COUNTIF($F$2:$F264,F264)</f>
      </c>
      <c r="D264" s="7">
        <f>IF(F264=0,0,MAX($D$2:D263)+1)</f>
      </c>
      <c r="E264" s="7">
        <f>IF(H264=0,0,MAX($E$2:E263)+1)</f>
      </c>
      <c r="F264" s="177"/>
      <c r="G264" s="119"/>
      <c r="H264" s="119"/>
      <c r="I264" s="7">
        <f>IFERROR(VLOOKUP(H264,H$2:H263,1,FALSE),VLOOKUP(H264,H265:H$478,1,FALSE))</f>
      </c>
      <c r="J264" s="7">
        <f t="shared" si="54"/>
        <v/>
      </c>
      <c r="K264" s="7">
        <f t="shared" si="55"/>
        <v/>
      </c>
      <c r="L264" s="7">
        <f t="shared" si="56"/>
        <v/>
      </c>
      <c r="M264" s="19">
        <f t="shared" si="65"/>
        <v/>
      </c>
      <c r="N264" s="7">
        <f t="shared" si="57"/>
        <v/>
      </c>
      <c r="O264" s="7"/>
      <c r="P264" s="7">
        <f t="shared" si="61"/>
        <v/>
      </c>
      <c r="Q264" s="7">
        <f t="shared" si="58"/>
        <v/>
      </c>
      <c r="R264" s="7">
        <f t="shared" si="62"/>
      </c>
      <c r="S264" s="7">
        <f t="shared" si="63"/>
      </c>
      <c r="T264" s="7">
        <f t="shared" si="64"/>
      </c>
      <c r="U264" s="7">
        <f t="shared" si="59"/>
        <v/>
      </c>
    </row>
    <row r="265" spans="1:21" x14ac:dyDescent="0.3">
      <c r="A265" s="7">
        <f t="shared" si="60"/>
        <v/>
      </c>
      <c r="B265" s="7">
        <f>IF(C265=1,MAX(B$2:$B264)+1,IF(F265=0,"",B264))</f>
      </c>
      <c r="C265" s="7">
        <f>COUNTIF($F$2:$F265,F265)</f>
      </c>
      <c r="D265" s="7">
        <f>IF(F265=0,0,MAX($D$2:D264)+1)</f>
      </c>
      <c r="E265" s="7">
        <f>IF(H265=0,0,MAX($E$2:E264)+1)</f>
      </c>
      <c r="F265" s="177"/>
      <c r="G265" s="119"/>
      <c r="H265" s="119"/>
      <c r="I265" s="7">
        <f>IFERROR(VLOOKUP(H265,H$2:H264,1,FALSE),VLOOKUP(H265,H266:H$478,1,FALSE))</f>
      </c>
      <c r="J265" s="7">
        <f t="shared" si="54"/>
        <v/>
      </c>
      <c r="K265" s="7">
        <f t="shared" si="55"/>
        <v/>
      </c>
      <c r="L265" s="7">
        <f t="shared" si="56"/>
        <v/>
      </c>
      <c r="M265" s="19">
        <f t="shared" si="65"/>
        <v/>
      </c>
      <c r="N265" s="7">
        <f t="shared" si="57"/>
        <v/>
      </c>
      <c r="O265" s="7"/>
      <c r="P265" s="7">
        <f t="shared" si="61"/>
        <v/>
      </c>
      <c r="Q265" s="7">
        <f t="shared" si="58"/>
        <v/>
      </c>
      <c r="R265" s="7">
        <f t="shared" si="62"/>
      </c>
      <c r="S265" s="7">
        <f t="shared" si="63"/>
      </c>
      <c r="T265" s="7">
        <f t="shared" si="64"/>
      </c>
      <c r="U265" s="7">
        <f t="shared" si="59"/>
        <v/>
      </c>
    </row>
    <row r="266" spans="1:21" x14ac:dyDescent="0.3">
      <c r="A266" s="7">
        <f t="shared" si="60"/>
        <v/>
      </c>
      <c r="B266" s="7">
        <f>IF(C266=1,MAX(B$2:$B265)+1,IF(F266=0,"",B265))</f>
      </c>
      <c r="C266" s="7">
        <f>COUNTIF($F$2:$F266,F266)</f>
      </c>
      <c r="D266" s="7">
        <f>IF(F266=0,0,MAX($D$2:D265)+1)</f>
      </c>
      <c r="E266" s="7">
        <f>IF(H266=0,0,MAX($E$2:E265)+1)</f>
      </c>
      <c r="F266" s="177"/>
      <c r="G266" s="119"/>
      <c r="H266" s="119"/>
      <c r="I266" s="7">
        <f>IFERROR(VLOOKUP(H266,H$2:H265,1,FALSE),VLOOKUP(H266,H267:H$478,1,FALSE))</f>
      </c>
      <c r="J266" s="7">
        <f t="shared" si="54"/>
        <v/>
      </c>
      <c r="K266" s="7">
        <f t="shared" si="55"/>
        <v/>
      </c>
      <c r="L266" s="7">
        <f t="shared" si="56"/>
        <v/>
      </c>
      <c r="M266" s="19">
        <f t="shared" si="65"/>
        <v/>
      </c>
      <c r="N266" s="7">
        <f t="shared" si="57"/>
        <v/>
      </c>
      <c r="O266" s="7"/>
      <c r="P266" s="7">
        <f t="shared" si="61"/>
        <v/>
      </c>
      <c r="Q266" s="7">
        <f t="shared" si="58"/>
        <v/>
      </c>
      <c r="R266" s="7">
        <f t="shared" si="62"/>
      </c>
      <c r="S266" s="7">
        <f t="shared" si="63"/>
      </c>
      <c r="T266" s="7">
        <f t="shared" si="64"/>
      </c>
      <c r="U266" s="7">
        <f t="shared" si="59"/>
        <v/>
      </c>
    </row>
    <row r="267" spans="1:21" x14ac:dyDescent="0.3">
      <c r="A267" s="7">
        <f t="shared" si="60"/>
        <v/>
      </c>
      <c r="B267" s="7">
        <f>IF(C267=1,MAX(B$2:$B266)+1,IF(F267=0,"",B266))</f>
      </c>
      <c r="C267" s="7">
        <f>COUNTIF($F$2:$F267,F267)</f>
      </c>
      <c r="D267" s="7">
        <f>IF(F267=0,0,MAX($D$2:D266)+1)</f>
      </c>
      <c r="E267" s="7">
        <f>IF(H267=0,0,MAX($E$2:E266)+1)</f>
      </c>
      <c r="F267" s="177"/>
      <c r="G267" s="119"/>
      <c r="H267" s="119"/>
      <c r="I267" s="7">
        <f>IFERROR(VLOOKUP(H267,H$2:H266,1,FALSE),VLOOKUP(H267,H268:H$478,1,FALSE))</f>
      </c>
      <c r="J267" s="7">
        <f t="shared" si="54"/>
        <v/>
      </c>
      <c r="K267" s="7">
        <f t="shared" si="55"/>
        <v/>
      </c>
      <c r="L267" s="7">
        <f t="shared" si="56"/>
        <v/>
      </c>
      <c r="M267" s="19">
        <f t="shared" si="65"/>
        <v/>
      </c>
      <c r="N267" s="7">
        <f t="shared" si="57"/>
        <v/>
      </c>
      <c r="O267" s="7"/>
      <c r="P267" s="7">
        <f t="shared" si="61"/>
        <v/>
      </c>
      <c r="Q267" s="7">
        <f t="shared" si="58"/>
        <v/>
      </c>
      <c r="R267" s="7">
        <f t="shared" si="62"/>
      </c>
      <c r="S267" s="7">
        <f t="shared" si="63"/>
      </c>
      <c r="T267" s="7">
        <f t="shared" si="64"/>
      </c>
      <c r="U267" s="7">
        <f t="shared" si="59"/>
        <v/>
      </c>
    </row>
    <row r="268" spans="1:21" x14ac:dyDescent="0.3">
      <c r="A268" s="7">
        <f t="shared" si="60"/>
        <v/>
      </c>
      <c r="B268" s="7">
        <f>IF(C268=1,MAX(B$2:$B267)+1,IF(F268=0,"",B267))</f>
      </c>
      <c r="C268" s="7">
        <f>COUNTIF($F$2:$F268,F268)</f>
      </c>
      <c r="D268" s="7">
        <f>IF(F268=0,0,MAX($D$2:D267)+1)</f>
      </c>
      <c r="E268" s="7">
        <f>IF(H268=0,0,MAX($E$2:E267)+1)</f>
      </c>
      <c r="F268" s="177"/>
      <c r="G268" s="119"/>
      <c r="H268" s="119"/>
      <c r="I268" s="7">
        <f>IFERROR(VLOOKUP(H268,H$2:H267,1,FALSE),VLOOKUP(H268,H269:H$478,1,FALSE))</f>
      </c>
      <c r="J268" s="7">
        <f t="shared" si="54"/>
        <v/>
      </c>
      <c r="K268" s="7">
        <f t="shared" si="55"/>
        <v/>
      </c>
      <c r="L268" s="7">
        <f t="shared" si="56"/>
        <v/>
      </c>
      <c r="M268" s="19">
        <f t="shared" si="65"/>
        <v/>
      </c>
      <c r="N268" s="7">
        <f t="shared" si="57"/>
        <v/>
      </c>
      <c r="O268" s="7"/>
      <c r="P268" s="7">
        <f t="shared" si="61"/>
        <v/>
      </c>
      <c r="Q268" s="7">
        <f t="shared" si="58"/>
        <v/>
      </c>
      <c r="R268" s="7">
        <f t="shared" si="62"/>
      </c>
      <c r="S268" s="7">
        <f t="shared" si="63"/>
      </c>
      <c r="T268" s="7">
        <f t="shared" si="64"/>
      </c>
      <c r="U268" s="7">
        <f t="shared" si="59"/>
        <v/>
      </c>
    </row>
    <row r="269" spans="1:21" x14ac:dyDescent="0.3">
      <c r="A269" s="7">
        <f t="shared" si="60"/>
        <v/>
      </c>
      <c r="B269" s="7">
        <f>IF(C269=1,MAX(B$2:$B268)+1,IF(F269=0,"",B268))</f>
      </c>
      <c r="C269" s="7">
        <f>COUNTIF($F$2:$F269,F269)</f>
      </c>
      <c r="D269" s="7">
        <f>IF(F269=0,0,MAX($D$2:D268)+1)</f>
      </c>
      <c r="E269" s="7">
        <f>IF(H269=0,0,MAX($E$2:E268)+1)</f>
      </c>
      <c r="F269" s="177"/>
      <c r="G269" s="119"/>
      <c r="H269" s="119"/>
      <c r="I269" s="7">
        <f>IFERROR(VLOOKUP(H269,H$2:H268,1,FALSE),VLOOKUP(H269,H270:H$478,1,FALSE))</f>
      </c>
      <c r="J269" s="7">
        <f t="shared" si="54"/>
        <v/>
      </c>
      <c r="K269" s="7">
        <f t="shared" si="55"/>
        <v/>
      </c>
      <c r="L269" s="7">
        <f t="shared" si="56"/>
        <v/>
      </c>
      <c r="M269" s="19">
        <f t="shared" si="65"/>
        <v/>
      </c>
      <c r="N269" s="7">
        <f t="shared" si="57"/>
        <v/>
      </c>
      <c r="O269" s="7"/>
      <c r="P269" s="7">
        <f t="shared" si="61"/>
        <v/>
      </c>
      <c r="Q269" s="7">
        <f t="shared" si="58"/>
        <v/>
      </c>
      <c r="R269" s="7">
        <f t="shared" si="62"/>
      </c>
      <c r="S269" s="7">
        <f t="shared" si="63"/>
      </c>
      <c r="T269" s="7">
        <f t="shared" si="64"/>
      </c>
      <c r="U269" s="7">
        <f t="shared" si="59"/>
        <v/>
      </c>
    </row>
    <row r="270" spans="1:21" x14ac:dyDescent="0.3">
      <c r="A270" s="7">
        <f t="shared" si="60"/>
        <v/>
      </c>
      <c r="B270" s="7">
        <f>IF(C270=1,MAX(B$2:$B269)+1,IF(F270=0,"",B269))</f>
      </c>
      <c r="C270" s="7">
        <f>COUNTIF($F$2:$F270,F270)</f>
      </c>
      <c r="D270" s="7">
        <f>IF(F270=0,0,MAX($D$2:D269)+1)</f>
      </c>
      <c r="E270" s="7">
        <f>IF(H270=0,0,MAX($E$2:E269)+1)</f>
      </c>
      <c r="F270" s="177"/>
      <c r="G270" s="119"/>
      <c r="H270" s="119"/>
      <c r="I270" s="7">
        <f>IFERROR(VLOOKUP(H270,H$2:H269,1,FALSE),VLOOKUP(H270,H271:H$478,1,FALSE))</f>
      </c>
      <c r="J270" s="7">
        <f t="shared" si="54"/>
        <v/>
      </c>
      <c r="K270" s="7">
        <f t="shared" si="55"/>
        <v/>
      </c>
      <c r="L270" s="7">
        <f t="shared" si="56"/>
        <v/>
      </c>
      <c r="M270" s="19">
        <f t="shared" si="65"/>
        <v/>
      </c>
      <c r="N270" s="7">
        <f t="shared" si="57"/>
        <v/>
      </c>
      <c r="O270" s="7"/>
      <c r="P270" s="7">
        <f t="shared" si="61"/>
        <v/>
      </c>
      <c r="Q270" s="7">
        <f t="shared" si="58"/>
        <v/>
      </c>
      <c r="R270" s="7">
        <f t="shared" si="62"/>
      </c>
      <c r="S270" s="7">
        <f t="shared" si="63"/>
      </c>
      <c r="T270" s="7">
        <f t="shared" si="64"/>
      </c>
      <c r="U270" s="7">
        <f t="shared" si="59"/>
        <v/>
      </c>
    </row>
    <row r="271" spans="1:21" x14ac:dyDescent="0.3">
      <c r="A271" s="7">
        <f t="shared" si="60"/>
        <v/>
      </c>
      <c r="B271" s="7">
        <f>IF(C271=1,MAX(B$2:$B270)+1,IF(F271=0,"",B270))</f>
      </c>
      <c r="C271" s="7">
        <f>COUNTIF($F$2:$F271,F271)</f>
      </c>
      <c r="D271" s="7">
        <f>IF(F271=0,0,MAX($D$2:D270)+1)</f>
      </c>
      <c r="E271" s="7">
        <f>IF(H271=0,0,MAX($E$2:E270)+1)</f>
      </c>
      <c r="F271" s="177"/>
      <c r="G271" s="119"/>
      <c r="H271" s="119"/>
      <c r="I271" s="7">
        <f>IFERROR(VLOOKUP(H271,H$2:H270,1,FALSE),VLOOKUP(H271,H272:H$478,1,FALSE))</f>
      </c>
      <c r="J271" s="7">
        <f t="shared" si="54"/>
        <v/>
      </c>
      <c r="K271" s="7">
        <f t="shared" si="55"/>
        <v/>
      </c>
      <c r="L271" s="7">
        <f t="shared" si="56"/>
        <v/>
      </c>
      <c r="M271" s="19">
        <f t="shared" si="65"/>
        <v/>
      </c>
      <c r="N271" s="7">
        <f t="shared" si="57"/>
        <v/>
      </c>
      <c r="O271" s="7"/>
      <c r="P271" s="7">
        <f t="shared" si="61"/>
        <v/>
      </c>
      <c r="Q271" s="7">
        <f t="shared" si="58"/>
        <v/>
      </c>
      <c r="R271" s="7">
        <f t="shared" si="62"/>
      </c>
      <c r="S271" s="7">
        <f t="shared" si="63"/>
      </c>
      <c r="T271" s="7">
        <f t="shared" si="64"/>
      </c>
      <c r="U271" s="7">
        <f t="shared" si="59"/>
        <v/>
      </c>
    </row>
    <row r="272" spans="1:21" x14ac:dyDescent="0.3">
      <c r="A272" s="7">
        <f t="shared" si="60"/>
        <v/>
      </c>
      <c r="B272" s="7">
        <f>IF(C272=1,MAX(B$2:$B271)+1,IF(F272=0,"",B271))</f>
      </c>
      <c r="C272" s="7">
        <f>COUNTIF($F$2:$F272,F272)</f>
      </c>
      <c r="D272" s="7">
        <f>IF(F272=0,0,MAX($D$2:D271)+1)</f>
      </c>
      <c r="E272" s="7">
        <f>IF(H272=0,0,MAX($E$2:E271)+1)</f>
      </c>
      <c r="F272" s="177"/>
      <c r="G272" s="119"/>
      <c r="H272" s="119"/>
      <c r="I272" s="7">
        <f>IFERROR(VLOOKUP(H272,H$2:H271,1,FALSE),VLOOKUP(H272,H273:H$478,1,FALSE))</f>
      </c>
      <c r="J272" s="7">
        <f t="shared" si="54"/>
        <v/>
      </c>
      <c r="K272" s="7">
        <f t="shared" si="55"/>
        <v/>
      </c>
      <c r="L272" s="7">
        <f t="shared" si="56"/>
        <v/>
      </c>
      <c r="M272" s="19">
        <f t="shared" si="65"/>
        <v/>
      </c>
      <c r="N272" s="7">
        <f t="shared" si="57"/>
        <v/>
      </c>
      <c r="O272" s="7"/>
      <c r="P272" s="7">
        <f t="shared" si="61"/>
        <v/>
      </c>
      <c r="Q272" s="7">
        <f t="shared" si="58"/>
        <v/>
      </c>
      <c r="R272" s="7">
        <f t="shared" si="62"/>
      </c>
      <c r="S272" s="7">
        <f t="shared" si="63"/>
      </c>
      <c r="T272" s="7">
        <f t="shared" si="64"/>
      </c>
      <c r="U272" s="7">
        <f t="shared" si="59"/>
        <v/>
      </c>
    </row>
    <row r="273" spans="1:21" x14ac:dyDescent="0.3">
      <c r="A273" s="7">
        <f t="shared" si="60"/>
        <v/>
      </c>
      <c r="B273" s="7">
        <f>IF(C273=1,MAX(B$2:$B272)+1,IF(F273=0,"",B272))</f>
      </c>
      <c r="C273" s="7">
        <f>COUNTIF($F$2:$F273,F273)</f>
      </c>
      <c r="D273" s="7">
        <f>IF(F273=0,0,MAX($D$2:D272)+1)</f>
      </c>
      <c r="E273" s="7">
        <f>IF(H273=0,0,MAX($E$2:E272)+1)</f>
      </c>
      <c r="F273" s="177"/>
      <c r="G273" s="119"/>
      <c r="H273" s="119"/>
      <c r="I273" s="7">
        <f>IFERROR(VLOOKUP(H273,H$2:H272,1,FALSE),VLOOKUP(H273,H274:H$478,1,FALSE))</f>
      </c>
      <c r="J273" s="7">
        <f t="shared" si="54"/>
        <v/>
      </c>
      <c r="K273" s="7">
        <f t="shared" si="55"/>
        <v/>
      </c>
      <c r="L273" s="7">
        <f t="shared" si="56"/>
        <v/>
      </c>
      <c r="M273" s="19">
        <f t="shared" si="65"/>
        <v/>
      </c>
      <c r="N273" s="7">
        <f t="shared" si="57"/>
        <v/>
      </c>
      <c r="O273" s="7"/>
      <c r="P273" s="7">
        <f t="shared" si="61"/>
        <v/>
      </c>
      <c r="Q273" s="7">
        <f t="shared" si="58"/>
        <v/>
      </c>
      <c r="R273" s="7">
        <f t="shared" si="62"/>
      </c>
      <c r="S273" s="7">
        <f t="shared" si="63"/>
      </c>
      <c r="T273" s="7">
        <f t="shared" si="64"/>
      </c>
      <c r="U273" s="7">
        <f t="shared" si="59"/>
        <v/>
      </c>
    </row>
    <row r="274" spans="1:21" s="8" customFormat="1" ht="15" thickBot="1" x14ac:dyDescent="0.35">
      <c r="A274" s="47">
        <f t="shared" si="60"/>
        <v/>
      </c>
      <c r="B274" s="47">
        <f>IF(C274=1,MAX(B$2:$B273)+1,IF(F274=0,"",B273))</f>
      </c>
      <c r="C274" s="47">
        <f>COUNTIF($F$2:$F274,F274)</f>
      </c>
      <c r="D274" s="47">
        <f>IF(F274=0,0,MAX($D$2:D273)+1)</f>
      </c>
      <c r="E274" s="47">
        <f>IF(H274=0,0,MAX($E$2:E273)+1)</f>
      </c>
      <c r="F274" s="177"/>
      <c r="G274" s="175"/>
      <c r="H274" s="119"/>
      <c r="I274" s="47">
        <f>IFERROR(VLOOKUP(H274,H$2:H273,1,FALSE),VLOOKUP(H274,H275:H$478,1,FALSE))</f>
      </c>
      <c r="J274" s="47">
        <f t="shared" si="54"/>
        <v/>
      </c>
      <c r="K274" s="47">
        <f t="shared" si="55"/>
        <v/>
      </c>
      <c r="L274" s="47">
        <f t="shared" si="56"/>
        <v/>
      </c>
      <c r="M274" s="52">
        <f t="shared" si="65"/>
        <v/>
      </c>
      <c r="N274" s="47">
        <f t="shared" si="57"/>
        <v/>
      </c>
      <c r="O274" s="47"/>
      <c r="P274" s="47">
        <f t="shared" si="61"/>
        <v/>
      </c>
      <c r="Q274" s="47">
        <f t="shared" si="58"/>
        <v/>
      </c>
      <c r="R274" s="47">
        <f t="shared" si="62"/>
      </c>
      <c r="S274" s="47">
        <f t="shared" si="63"/>
      </c>
      <c r="T274" s="47">
        <f t="shared" si="64"/>
      </c>
      <c r="U274" s="47">
        <f t="shared" si="59"/>
        <v/>
      </c>
    </row>
    <row r="275" spans="1:21" x14ac:dyDescent="0.3">
      <c r="A275" s="7">
        <f t="shared" si="60"/>
        <v/>
      </c>
      <c r="B275" s="7">
        <f>IF(C275=1,MAX(B$2:$B274)+1,IF(F275=0,"",B274))</f>
      </c>
      <c r="C275" s="7">
        <f>COUNTIF($F$2:$F275,F275)</f>
      </c>
      <c r="D275" s="7">
        <f>IF(F275=0,0,MAX($D$2:D274)+1)</f>
      </c>
      <c r="E275" s="7">
        <f>IF(H275=0,0,MAX($E$2:E274)+1)</f>
      </c>
      <c r="F275" s="177"/>
      <c r="G275" s="119"/>
      <c r="H275" s="119"/>
      <c r="I275" s="7">
        <f>IFERROR(VLOOKUP(H275,H$2:H274,1,FALSE),VLOOKUP(H275,H276:H$478,1,FALSE))</f>
      </c>
      <c r="J275" s="7">
        <f t="shared" si="54"/>
        <v/>
      </c>
      <c r="K275" s="7">
        <f t="shared" si="55"/>
        <v/>
      </c>
      <c r="L275" s="7">
        <f t="shared" si="56"/>
        <v/>
      </c>
      <c r="M275" s="19">
        <f t="shared" si="65"/>
        <v/>
      </c>
      <c r="N275" s="7">
        <f t="shared" si="57"/>
        <v/>
      </c>
      <c r="O275" s="7"/>
      <c r="P275" s="7">
        <f t="shared" si="61"/>
        <v/>
      </c>
      <c r="Q275" s="7">
        <f t="shared" si="58"/>
        <v/>
      </c>
      <c r="R275" s="7">
        <f t="shared" si="62"/>
      </c>
      <c r="S275" s="7">
        <f t="shared" si="63"/>
      </c>
      <c r="T275" s="7">
        <f t="shared" si="64"/>
      </c>
      <c r="U275" s="7">
        <f t="shared" si="59"/>
        <v/>
      </c>
    </row>
    <row r="276" spans="1:21" x14ac:dyDescent="0.3">
      <c r="A276" s="7">
        <f t="shared" si="60"/>
        <v/>
      </c>
      <c r="B276" s="7">
        <f>IF(C276=1,MAX(B$2:$B275)+1,IF(F276=0,"",B275))</f>
      </c>
      <c r="C276" s="7">
        <f>COUNTIF($F$2:$F276,F276)</f>
      </c>
      <c r="D276" s="7">
        <f>IF(F276=0,0,MAX($D$2:D275)+1)</f>
      </c>
      <c r="E276" s="7">
        <f>IF(H276=0,0,MAX($E$2:E275)+1)</f>
      </c>
      <c r="F276" s="177"/>
      <c r="G276" s="177"/>
      <c r="H276" s="119"/>
      <c r="I276" s="7">
        <f>IFERROR(VLOOKUP(H276,H$2:H275,1,FALSE),VLOOKUP(H276,H277:H$478,1,FALSE))</f>
      </c>
      <c r="J276" s="7">
        <f t="shared" si="54"/>
        <v/>
      </c>
      <c r="K276" s="7">
        <f t="shared" si="55"/>
        <v/>
      </c>
      <c r="L276" s="7">
        <f t="shared" si="56"/>
        <v/>
      </c>
      <c r="M276" s="19">
        <f t="shared" si="65"/>
        <v/>
      </c>
      <c r="N276" s="7">
        <f t="shared" si="57"/>
        <v/>
      </c>
      <c r="O276" s="7"/>
      <c r="P276" s="7">
        <f t="shared" si="61"/>
        <v/>
      </c>
      <c r="Q276" s="7">
        <f t="shared" si="58"/>
        <v/>
      </c>
      <c r="R276" s="7">
        <f t="shared" si="62"/>
      </c>
      <c r="S276" s="7">
        <f t="shared" si="63"/>
      </c>
      <c r="T276" s="7">
        <f t="shared" si="64"/>
      </c>
      <c r="U276" s="7">
        <f t="shared" si="59"/>
        <v/>
      </c>
    </row>
    <row r="277" spans="1:21" x14ac:dyDescent="0.3">
      <c r="A277" s="7">
        <f t="shared" si="60"/>
        <v/>
      </c>
      <c r="B277" s="7">
        <f>IF(C277=1,MAX(B$2:$B276)+1,IF(F277=0,"",B276))</f>
      </c>
      <c r="C277" s="7">
        <f>COUNTIF($F$2:$F277,F277)</f>
      </c>
      <c r="D277" s="7">
        <f>IF(F277=0,0,MAX($D$2:D276)+1)</f>
      </c>
      <c r="E277" s="7">
        <f>IF(H277=0,0,MAX($E$2:E276)+1)</f>
      </c>
      <c r="F277" s="177"/>
      <c r="G277" s="119"/>
      <c r="H277" s="119"/>
      <c r="I277" s="7">
        <f>IFERROR(VLOOKUP(H277,H$2:H276,1,FALSE),VLOOKUP(H277,H278:H$478,1,FALSE))</f>
      </c>
      <c r="J277" s="7">
        <f t="shared" si="54"/>
        <v/>
      </c>
      <c r="K277" s="7">
        <f t="shared" si="55"/>
        <v/>
      </c>
      <c r="L277" s="7">
        <f t="shared" si="56"/>
        <v/>
      </c>
      <c r="M277" s="19">
        <f t="shared" si="65"/>
        <v/>
      </c>
      <c r="N277" s="7">
        <f t="shared" si="57"/>
        <v/>
      </c>
      <c r="O277" s="7"/>
      <c r="P277" s="7">
        <f t="shared" si="61"/>
        <v/>
      </c>
      <c r="Q277" s="7">
        <f t="shared" si="58"/>
        <v/>
      </c>
      <c r="R277" s="7">
        <f t="shared" si="62"/>
      </c>
      <c r="S277" s="7">
        <f t="shared" si="63"/>
      </c>
      <c r="T277" s="7">
        <f t="shared" si="64"/>
      </c>
      <c r="U277" s="7">
        <f t="shared" si="59"/>
        <v/>
      </c>
    </row>
    <row r="278" spans="1:21" x14ac:dyDescent="0.3">
      <c r="A278" s="7">
        <f t="shared" si="60"/>
        <v/>
      </c>
      <c r="B278" s="7">
        <f>IF(C278=1,MAX(B$2:$B277)+1,IF(F278=0,"",B277))</f>
      </c>
      <c r="C278" s="7">
        <f>COUNTIF($F$2:$F278,F278)</f>
      </c>
      <c r="D278" s="7">
        <f>IF(F278=0,0,MAX($D$2:D277)+1)</f>
      </c>
      <c r="E278" s="7">
        <f>IF(H278=0,0,MAX($E$2:E277)+1)</f>
      </c>
      <c r="F278" s="177"/>
      <c r="G278" s="119"/>
      <c r="H278" s="119"/>
      <c r="I278" s="7">
        <f>IFERROR(VLOOKUP(H278,H$2:H277,1,FALSE),VLOOKUP(H278,H279:H$478,1,FALSE))</f>
      </c>
      <c r="J278" s="7">
        <f t="shared" si="54"/>
        <v/>
      </c>
      <c r="K278" s="7">
        <f t="shared" si="55"/>
        <v/>
      </c>
      <c r="L278" s="7">
        <f t="shared" si="56"/>
        <v/>
      </c>
      <c r="M278" s="19">
        <f t="shared" si="65"/>
        <v/>
      </c>
      <c r="N278" s="7">
        <f t="shared" si="57"/>
        <v/>
      </c>
      <c r="O278" s="7"/>
      <c r="P278" s="7">
        <f t="shared" si="61"/>
        <v/>
      </c>
      <c r="Q278" s="7">
        <f t="shared" si="58"/>
        <v/>
      </c>
      <c r="R278" s="7">
        <f t="shared" si="62"/>
      </c>
      <c r="S278" s="7">
        <f t="shared" si="63"/>
      </c>
      <c r="T278" s="7">
        <f t="shared" si="64"/>
      </c>
      <c r="U278" s="7">
        <f t="shared" si="59"/>
        <v/>
      </c>
    </row>
    <row r="279" spans="1:21" x14ac:dyDescent="0.3">
      <c r="A279" s="7">
        <f t="shared" si="60"/>
        <v/>
      </c>
      <c r="B279" s="7">
        <f>IF(C279=1,MAX(B$2:$B278)+1,IF(F279=0,"",B278))</f>
      </c>
      <c r="C279" s="7">
        <f>COUNTIF($F$2:$F279,F279)</f>
      </c>
      <c r="D279" s="7">
        <f>IF(F279=0,0,MAX($D$2:D278)+1)</f>
      </c>
      <c r="E279" s="7">
        <f>IF(H279=0,0,MAX($E$2:E278)+1)</f>
      </c>
      <c r="F279" s="177"/>
      <c r="G279" s="119"/>
      <c r="H279" s="119"/>
      <c r="I279" s="7">
        <f>IFERROR(VLOOKUP(H279,H$2:H278,1,FALSE),VLOOKUP(H279,H280:H$478,1,FALSE))</f>
      </c>
      <c r="J279" s="7">
        <f t="shared" si="54"/>
        <v/>
      </c>
      <c r="K279" s="7">
        <f t="shared" si="55"/>
        <v/>
      </c>
      <c r="L279" s="7">
        <f t="shared" si="56"/>
        <v/>
      </c>
      <c r="M279" s="19">
        <f t="shared" si="65"/>
        <v/>
      </c>
      <c r="N279" s="7">
        <f t="shared" si="57"/>
        <v/>
      </c>
      <c r="O279" s="7"/>
      <c r="P279" s="7">
        <f t="shared" si="61"/>
        <v/>
      </c>
      <c r="Q279" s="7">
        <f t="shared" si="58"/>
        <v/>
      </c>
      <c r="R279" s="7">
        <f t="shared" si="62"/>
      </c>
      <c r="S279" s="7">
        <f t="shared" si="63"/>
      </c>
      <c r="T279" s="7">
        <f t="shared" si="64"/>
      </c>
      <c r="U279" s="7">
        <f t="shared" si="59"/>
        <v/>
      </c>
    </row>
    <row r="280" spans="1:21" x14ac:dyDescent="0.3">
      <c r="A280" s="7">
        <f t="shared" si="60"/>
        <v/>
      </c>
      <c r="B280" s="7">
        <f>IF(C280=1,MAX(B$2:$B279)+1,IF(F280=0,"",B279))</f>
      </c>
      <c r="C280" s="7">
        <f>COUNTIF($F$2:$F280,F280)</f>
      </c>
      <c r="D280" s="7">
        <f>IF(F280=0,0,MAX($D$2:D279)+1)</f>
      </c>
      <c r="E280" s="7">
        <f>IF(H280=0,0,MAX($E$2:E279)+1)</f>
      </c>
      <c r="F280" s="177"/>
      <c r="G280" s="119"/>
      <c r="H280" s="119"/>
      <c r="I280" s="7">
        <f>IFERROR(VLOOKUP(H280,H$2:H279,1,FALSE),VLOOKUP(H280,H281:H$478,1,FALSE))</f>
      </c>
      <c r="J280" s="7">
        <f t="shared" si="54"/>
        <v/>
      </c>
      <c r="K280" s="7">
        <f t="shared" si="55"/>
        <v/>
      </c>
      <c r="L280" s="7">
        <f t="shared" si="56"/>
        <v/>
      </c>
      <c r="M280" s="19">
        <f t="shared" si="65"/>
        <v/>
      </c>
      <c r="N280" s="7">
        <f t="shared" si="57"/>
        <v/>
      </c>
      <c r="O280" s="7"/>
      <c r="P280" s="7">
        <f t="shared" si="61"/>
        <v/>
      </c>
      <c r="Q280" s="7">
        <f t="shared" si="58"/>
        <v/>
      </c>
      <c r="R280" s="7">
        <f t="shared" si="62"/>
      </c>
      <c r="S280" s="7">
        <f t="shared" si="63"/>
      </c>
      <c r="T280" s="7">
        <f t="shared" si="64"/>
      </c>
      <c r="U280" s="7">
        <f t="shared" si="59"/>
        <v/>
      </c>
    </row>
    <row r="281" spans="1:21" x14ac:dyDescent="0.3">
      <c r="A281" s="7">
        <f t="shared" si="60"/>
        <v/>
      </c>
      <c r="B281" s="7">
        <f>IF(C281=1,MAX(B$2:$B280)+1,IF(F281=0,"",B280))</f>
      </c>
      <c r="C281" s="7">
        <f>COUNTIF($F$2:$F281,F281)</f>
      </c>
      <c r="D281" s="7">
        <f>IF(F281=0,0,MAX($D$2:D280)+1)</f>
      </c>
      <c r="E281" s="7">
        <f>IF(H281=0,0,MAX($E$2:E280)+1)</f>
      </c>
      <c r="F281" s="177"/>
      <c r="G281" s="119"/>
      <c r="H281" s="119"/>
      <c r="I281" s="7">
        <f>IFERROR(VLOOKUP(H281,H$2:H280,1,FALSE),VLOOKUP(H281,H282:H$478,1,FALSE))</f>
      </c>
      <c r="J281" s="7">
        <f t="shared" si="54"/>
        <v/>
      </c>
      <c r="K281" s="7">
        <f t="shared" si="55"/>
        <v/>
      </c>
      <c r="L281" s="7">
        <f t="shared" si="56"/>
        <v/>
      </c>
      <c r="M281" s="19">
        <f t="shared" si="65"/>
        <v/>
      </c>
      <c r="N281" s="7">
        <f t="shared" si="57"/>
        <v/>
      </c>
      <c r="O281" s="7"/>
      <c r="P281" s="7">
        <f t="shared" si="61"/>
        <v/>
      </c>
      <c r="Q281" s="7">
        <f t="shared" si="58"/>
        <v/>
      </c>
      <c r="R281" s="7">
        <f t="shared" si="62"/>
      </c>
      <c r="S281" s="7">
        <f t="shared" si="63"/>
      </c>
      <c r="T281" s="7">
        <f t="shared" si="64"/>
      </c>
      <c r="U281" s="7">
        <f t="shared" si="59"/>
        <v/>
      </c>
    </row>
    <row r="282" spans="1:21" x14ac:dyDescent="0.3">
      <c r="A282" s="7">
        <f t="shared" si="60"/>
        <v/>
      </c>
      <c r="B282" s="7">
        <f>IF(C282=1,MAX(B$2:$B281)+1,IF(F282=0,"",B281))</f>
      </c>
      <c r="C282" s="7">
        <f>COUNTIF($F$2:$F282,F282)</f>
      </c>
      <c r="D282" s="7">
        <f>IF(F282=0,0,MAX($D$2:D281)+1)</f>
      </c>
      <c r="E282" s="7">
        <f>IF(H282=0,0,MAX($E$2:E281)+1)</f>
      </c>
      <c r="F282" s="177"/>
      <c r="G282" s="119"/>
      <c r="H282" s="119"/>
      <c r="I282" s="7">
        <f>IFERROR(VLOOKUP(H282,H$2:H281,1,FALSE),VLOOKUP(H282,H283:H$478,1,FALSE))</f>
      </c>
      <c r="J282" s="7">
        <f t="shared" si="54"/>
        <v/>
      </c>
      <c r="K282" s="7">
        <f t="shared" si="55"/>
        <v/>
      </c>
      <c r="L282" s="7">
        <f t="shared" si="56"/>
        <v/>
      </c>
      <c r="M282" s="19">
        <f t="shared" si="65"/>
        <v/>
      </c>
      <c r="N282" s="7">
        <f t="shared" si="57"/>
        <v/>
      </c>
      <c r="O282" s="7"/>
      <c r="P282" s="7">
        <f t="shared" si="61"/>
        <v/>
      </c>
      <c r="Q282" s="7">
        <f t="shared" si="58"/>
        <v/>
      </c>
      <c r="R282" s="7">
        <f t="shared" si="62"/>
      </c>
      <c r="S282" s="7">
        <f t="shared" si="63"/>
      </c>
      <c r="T282" s="7">
        <f t="shared" si="64"/>
      </c>
      <c r="U282" s="7">
        <f t="shared" si="59"/>
        <v/>
      </c>
    </row>
    <row r="283" spans="1:21" x14ac:dyDescent="0.3">
      <c r="A283" s="7">
        <f t="shared" si="60"/>
        <v/>
      </c>
      <c r="B283" s="7">
        <f>IF(C283=1,MAX(B$2:$B282)+1,IF(F283=0,"",B282))</f>
      </c>
      <c r="C283" s="7">
        <f>COUNTIF($F$2:$F283,F283)</f>
      </c>
      <c r="D283" s="7">
        <f>IF(F283=0,0,MAX($D$2:D282)+1)</f>
      </c>
      <c r="E283" s="7">
        <f>IF(H283=0,0,MAX($E$2:E282)+1)</f>
      </c>
      <c r="F283" s="177"/>
      <c r="G283" s="119"/>
      <c r="H283" s="119"/>
      <c r="I283" s="7">
        <f>IFERROR(VLOOKUP(H283,H$2:H282,1,FALSE),VLOOKUP(H283,H284:H$478,1,FALSE))</f>
      </c>
      <c r="J283" s="7">
        <f t="shared" si="54"/>
        <v/>
      </c>
      <c r="K283" s="7">
        <f t="shared" si="55"/>
        <v/>
      </c>
      <c r="L283" s="7">
        <f t="shared" si="56"/>
        <v/>
      </c>
      <c r="M283" s="19">
        <f t="shared" si="65"/>
        <v/>
      </c>
      <c r="N283" s="7">
        <f t="shared" si="57"/>
        <v/>
      </c>
      <c r="O283" s="7"/>
      <c r="P283" s="7">
        <f t="shared" si="61"/>
        <v/>
      </c>
      <c r="Q283" s="7">
        <f t="shared" si="58"/>
        <v/>
      </c>
      <c r="R283" s="7">
        <f t="shared" si="62"/>
      </c>
      <c r="S283" s="7">
        <f t="shared" si="63"/>
      </c>
      <c r="T283" s="7">
        <f t="shared" si="64"/>
      </c>
      <c r="U283" s="7">
        <f t="shared" si="59"/>
        <v/>
      </c>
    </row>
    <row r="284" spans="1:21" x14ac:dyDescent="0.3">
      <c r="A284" s="7">
        <f t="shared" si="60"/>
        <v/>
      </c>
      <c r="B284" s="7">
        <f>IF(C284=1,MAX(B$2:$B283)+1,IF(F284=0,"",B283))</f>
      </c>
      <c r="C284" s="7">
        <f>COUNTIF($F$2:$F284,F284)</f>
      </c>
      <c r="D284" s="7">
        <f>IF(F284=0,0,MAX($D$2:D283)+1)</f>
      </c>
      <c r="E284" s="7">
        <f>IF(H284=0,0,MAX($E$2:E283)+1)</f>
      </c>
      <c r="F284" s="177"/>
      <c r="G284" s="119"/>
      <c r="H284" s="119"/>
      <c r="I284" s="7">
        <f>IFERROR(VLOOKUP(H284,H$2:H283,1,FALSE),VLOOKUP(H284,H285:H$478,1,FALSE))</f>
      </c>
      <c r="J284" s="7">
        <f t="shared" si="54"/>
        <v/>
      </c>
      <c r="K284" s="7">
        <f t="shared" si="55"/>
        <v/>
      </c>
      <c r="L284" s="7">
        <f t="shared" si="56"/>
        <v/>
      </c>
      <c r="M284" s="19">
        <f t="shared" si="65"/>
        <v/>
      </c>
      <c r="N284" s="7">
        <f t="shared" si="57"/>
        <v/>
      </c>
      <c r="O284" s="7"/>
      <c r="P284" s="7">
        <f t="shared" si="61"/>
        <v/>
      </c>
      <c r="Q284" s="7">
        <f t="shared" si="58"/>
        <v/>
      </c>
      <c r="R284" s="7">
        <f t="shared" si="62"/>
      </c>
      <c r="S284" s="7">
        <f t="shared" si="63"/>
      </c>
      <c r="T284" s="7">
        <f t="shared" si="64"/>
      </c>
      <c r="U284" s="7">
        <f t="shared" si="59"/>
        <v/>
      </c>
    </row>
    <row r="285" spans="1:21" x14ac:dyDescent="0.3">
      <c r="A285" s="7">
        <f t="shared" si="60"/>
        <v/>
      </c>
      <c r="B285" s="7">
        <f>IF(C285=1,MAX(B$2:$B284)+1,IF(F285=0,"",B284))</f>
      </c>
      <c r="C285" s="7">
        <f>COUNTIF($F$2:$F285,F285)</f>
      </c>
      <c r="D285" s="7">
        <f>IF(F285=0,0,MAX($D$2:D284)+1)</f>
      </c>
      <c r="E285" s="7">
        <f>IF(H285=0,0,MAX($E$2:E284)+1)</f>
      </c>
      <c r="F285" s="177"/>
      <c r="G285" s="119"/>
      <c r="H285" s="119"/>
      <c r="I285" s="7">
        <f>IFERROR(VLOOKUP(H285,H$2:H284,1,FALSE),VLOOKUP(H285,H286:H$478,1,FALSE))</f>
      </c>
      <c r="J285" s="7">
        <f t="shared" si="54"/>
        <v/>
      </c>
      <c r="K285" s="7">
        <f t="shared" si="55"/>
        <v/>
      </c>
      <c r="L285" s="7">
        <f t="shared" si="56"/>
        <v/>
      </c>
      <c r="M285" s="19">
        <f t="shared" si="65"/>
        <v/>
      </c>
      <c r="N285" s="7">
        <f t="shared" si="57"/>
        <v/>
      </c>
      <c r="O285" s="7"/>
      <c r="P285" s="7">
        <f t="shared" si="61"/>
        <v/>
      </c>
      <c r="Q285" s="7">
        <f t="shared" si="58"/>
        <v/>
      </c>
      <c r="R285" s="7">
        <f t="shared" si="62"/>
      </c>
      <c r="S285" s="7">
        <f t="shared" si="63"/>
      </c>
      <c r="T285" s="7">
        <f t="shared" si="64"/>
      </c>
      <c r="U285" s="7">
        <f t="shared" si="59"/>
        <v/>
      </c>
    </row>
    <row r="286" spans="1:21" x14ac:dyDescent="0.3">
      <c r="A286" s="7">
        <f t="shared" si="60"/>
        <v/>
      </c>
      <c r="B286" s="7">
        <f>IF(C286=1,MAX(B$2:$B285)+1,IF(F286=0,"",B285))</f>
      </c>
      <c r="C286" s="7">
        <f>COUNTIF($F$2:$F286,F286)</f>
      </c>
      <c r="D286" s="7">
        <f>IF(F286=0,0,MAX($D$2:D285)+1)</f>
      </c>
      <c r="E286" s="7">
        <f>IF(H286=0,0,MAX($E$2:E285)+1)</f>
      </c>
      <c r="F286" s="177"/>
      <c r="G286" s="119"/>
      <c r="H286" s="119"/>
      <c r="I286" s="7">
        <f>IFERROR(VLOOKUP(H286,H$2:H285,1,FALSE),VLOOKUP(H286,H287:H$478,1,FALSE))</f>
      </c>
      <c r="J286" s="7">
        <f t="shared" si="54"/>
        <v/>
      </c>
      <c r="K286" s="7">
        <f t="shared" si="55"/>
        <v/>
      </c>
      <c r="L286" s="7">
        <f t="shared" si="56"/>
        <v/>
      </c>
      <c r="M286" s="19">
        <f t="shared" si="65"/>
        <v/>
      </c>
      <c r="N286" s="7">
        <f t="shared" si="57"/>
        <v/>
      </c>
      <c r="O286" s="7"/>
      <c r="P286" s="7">
        <f t="shared" si="61"/>
        <v/>
      </c>
      <c r="Q286" s="7">
        <f t="shared" si="58"/>
        <v/>
      </c>
      <c r="R286" s="7">
        <f t="shared" si="62"/>
      </c>
      <c r="S286" s="7">
        <f t="shared" si="63"/>
      </c>
      <c r="T286" s="7">
        <f t="shared" si="64"/>
      </c>
      <c r="U286" s="7">
        <f t="shared" si="59"/>
        <v/>
      </c>
    </row>
    <row r="287" spans="1:21" x14ac:dyDescent="0.3">
      <c r="A287" s="7">
        <f t="shared" si="60"/>
        <v/>
      </c>
      <c r="B287" s="7">
        <f>IF(C287=1,MAX(B$2:$B286)+1,IF(F287=0,"",B286))</f>
      </c>
      <c r="C287" s="7">
        <f>COUNTIF($F$2:$F287,F287)</f>
      </c>
      <c r="D287" s="7">
        <f>IF(F287=0,0,MAX($D$2:D286)+1)</f>
      </c>
      <c r="E287" s="7">
        <f>IF(H287=0,0,MAX($E$2:E286)+1)</f>
      </c>
      <c r="F287" s="177"/>
      <c r="G287" s="119"/>
      <c r="H287" s="119"/>
      <c r="I287" s="7">
        <f>IFERROR(VLOOKUP(H287,H$2:H286,1,FALSE),VLOOKUP(H287,H288:H$478,1,FALSE))</f>
      </c>
      <c r="J287" s="7">
        <f t="shared" si="54"/>
        <v/>
      </c>
      <c r="K287" s="7">
        <f t="shared" si="55"/>
        <v/>
      </c>
      <c r="L287" s="7">
        <f t="shared" si="56"/>
        <v/>
      </c>
      <c r="M287" s="19">
        <f t="shared" si="65"/>
        <v/>
      </c>
      <c r="N287" s="7">
        <f t="shared" si="57"/>
        <v/>
      </c>
      <c r="O287" s="7"/>
      <c r="P287" s="7">
        <f t="shared" si="61"/>
        <v/>
      </c>
      <c r="Q287" s="7">
        <f t="shared" si="58"/>
        <v/>
      </c>
      <c r="R287" s="7">
        <f t="shared" si="62"/>
      </c>
      <c r="S287" s="7">
        <f t="shared" si="63"/>
      </c>
      <c r="T287" s="7">
        <f t="shared" si="64"/>
      </c>
      <c r="U287" s="7">
        <f t="shared" si="59"/>
        <v/>
      </c>
    </row>
    <row r="288" spans="1:21" x14ac:dyDescent="0.3">
      <c r="A288" s="7">
        <f t="shared" si="60"/>
        <v/>
      </c>
      <c r="B288" s="7">
        <f>IF(C288=1,MAX(B$2:$B287)+1,IF(F288=0,"",B287))</f>
      </c>
      <c r="C288" s="7">
        <f>COUNTIF($F$2:$F288,F288)</f>
      </c>
      <c r="D288" s="7">
        <f>IF(F288=0,0,MAX($D$2:D287)+1)</f>
      </c>
      <c r="E288" s="7">
        <f>IF(H288=0,0,MAX($E$2:E287)+1)</f>
      </c>
      <c r="F288" s="177"/>
      <c r="G288" s="119"/>
      <c r="H288" s="177"/>
      <c r="I288" s="7">
        <f>IFERROR(VLOOKUP(H288,H$2:H287,1,FALSE),VLOOKUP(H288,H289:H$478,1,FALSE))</f>
      </c>
      <c r="J288" s="7">
        <f t="shared" si="54"/>
        <v/>
      </c>
      <c r="K288" s="7">
        <f t="shared" si="55"/>
        <v/>
      </c>
      <c r="L288" s="7">
        <f t="shared" si="56"/>
        <v/>
      </c>
      <c r="M288" s="19">
        <f t="shared" si="65"/>
        <v/>
      </c>
      <c r="N288" s="7">
        <f t="shared" si="57"/>
        <v/>
      </c>
      <c r="O288" s="7"/>
      <c r="P288" s="7">
        <f t="shared" si="61"/>
        <v/>
      </c>
      <c r="Q288" s="7">
        <f t="shared" si="58"/>
        <v/>
      </c>
      <c r="R288" s="7">
        <f t="shared" si="62"/>
      </c>
      <c r="S288" s="7">
        <f t="shared" si="63"/>
      </c>
      <c r="T288" s="7">
        <f t="shared" si="64"/>
      </c>
      <c r="U288" s="7">
        <f t="shared" si="59"/>
        <v/>
      </c>
    </row>
    <row r="289" spans="1:21" x14ac:dyDescent="0.3">
      <c r="A289" s="7">
        <f t="shared" si="60"/>
        <v/>
      </c>
      <c r="B289" s="7">
        <f>IF(C289=1,MAX(B$2:$B288)+1,IF(F289=0,"",B288))</f>
      </c>
      <c r="C289" s="7">
        <f>COUNTIF($F$2:$F289,F289)</f>
      </c>
      <c r="D289" s="7">
        <f>IF(F289=0,0,MAX($D$2:D288)+1)</f>
      </c>
      <c r="E289" s="7">
        <f>IF(H289=0,0,MAX($E$2:E288)+1)</f>
      </c>
      <c r="F289" s="177"/>
      <c r="G289" s="119"/>
      <c r="H289" s="119"/>
      <c r="I289" s="7">
        <f>IFERROR(VLOOKUP(H289,H$2:H288,1,FALSE),VLOOKUP(H289,H290:H$478,1,FALSE))</f>
      </c>
      <c r="J289" s="7">
        <f t="shared" si="54"/>
        <v/>
      </c>
      <c r="K289" s="7">
        <f t="shared" si="55"/>
        <v/>
      </c>
      <c r="L289" s="7">
        <f t="shared" si="56"/>
        <v/>
      </c>
      <c r="M289" s="19">
        <f t="shared" si="65"/>
        <v/>
      </c>
      <c r="N289" s="7">
        <f t="shared" si="57"/>
        <v/>
      </c>
      <c r="O289" s="7"/>
      <c r="P289" s="7">
        <f t="shared" si="61"/>
        <v/>
      </c>
      <c r="Q289" s="7">
        <f t="shared" si="58"/>
        <v/>
      </c>
      <c r="R289" s="7">
        <f t="shared" si="62"/>
      </c>
      <c r="S289" s="7">
        <f t="shared" si="63"/>
      </c>
      <c r="T289" s="7">
        <f t="shared" si="64"/>
      </c>
      <c r="U289" s="7">
        <f t="shared" si="59"/>
        <v/>
      </c>
    </row>
    <row r="290" spans="1:21" x14ac:dyDescent="0.3">
      <c r="A290" s="7">
        <f t="shared" si="60"/>
        <v/>
      </c>
      <c r="B290" s="7">
        <f>IF(C290=1,MAX(B$2:$B289)+1,IF(F290=0,"",B289))</f>
      </c>
      <c r="C290" s="7">
        <f>COUNTIF($F$2:$F290,F290)</f>
      </c>
      <c r="D290" s="7">
        <f>IF(F290=0,0,MAX($D$2:D289)+1)</f>
      </c>
      <c r="E290" s="7">
        <f>IF(H290=0,0,MAX($E$2:E289)+1)</f>
      </c>
      <c r="F290" s="177"/>
      <c r="G290" s="177"/>
      <c r="H290" s="119"/>
      <c r="I290" s="7">
        <f>IFERROR(VLOOKUP(H290,H$2:H289,1,FALSE),VLOOKUP(H290,H291:H$478,1,FALSE))</f>
      </c>
      <c r="J290" s="7">
        <f t="shared" si="54"/>
        <v/>
      </c>
      <c r="K290" s="7">
        <f t="shared" si="55"/>
        <v/>
      </c>
      <c r="L290" s="7">
        <f t="shared" si="56"/>
        <v/>
      </c>
      <c r="M290" s="19">
        <f t="shared" si="65"/>
        <v/>
      </c>
      <c r="N290" s="7">
        <f t="shared" si="57"/>
        <v/>
      </c>
      <c r="O290" s="7"/>
      <c r="P290" s="7">
        <f t="shared" si="61"/>
        <v/>
      </c>
      <c r="Q290" s="7">
        <f t="shared" si="58"/>
        <v/>
      </c>
      <c r="R290" s="7">
        <f t="shared" si="62"/>
      </c>
      <c r="S290" s="7">
        <f t="shared" si="63"/>
      </c>
      <c r="T290" s="7">
        <f t="shared" si="64"/>
      </c>
      <c r="U290" s="7">
        <f t="shared" si="59"/>
        <v/>
      </c>
    </row>
    <row r="291" spans="1:21" s="8" customFormat="1" ht="15" thickBot="1" x14ac:dyDescent="0.35">
      <c r="A291" s="47">
        <f t="shared" si="60"/>
        <v/>
      </c>
      <c r="B291" s="47">
        <f>IF(C291=1,MAX(B$2:$B290)+1,IF(F291=0,"",B290))</f>
      </c>
      <c r="C291" s="47">
        <f>COUNTIF($F$2:$F291,F291)</f>
      </c>
      <c r="D291" s="47">
        <f>IF(F291=0,0,MAX($D$2:D290)+1)</f>
      </c>
      <c r="E291" s="47">
        <f>IF(H291=0,0,MAX($E$2:E290)+1)</f>
      </c>
      <c r="F291" s="177"/>
      <c r="G291" s="175"/>
      <c r="H291" s="175"/>
      <c r="I291" s="47">
        <f>IFERROR(VLOOKUP(H291,H$2:H290,1,FALSE),VLOOKUP(H291,H292:H$478,1,FALSE))</f>
      </c>
      <c r="J291" s="47">
        <f t="shared" si="54"/>
        <v/>
      </c>
      <c r="K291" s="47">
        <f t="shared" si="55"/>
        <v/>
      </c>
      <c r="L291" s="47">
        <f t="shared" si="56"/>
        <v/>
      </c>
      <c r="M291" s="52">
        <f t="shared" si="65"/>
        <v/>
      </c>
      <c r="N291" s="47">
        <f t="shared" si="57"/>
        <v/>
      </c>
      <c r="O291" s="47"/>
      <c r="P291" s="47">
        <f t="shared" si="61"/>
        <v/>
      </c>
      <c r="Q291" s="47">
        <f t="shared" si="58"/>
        <v/>
      </c>
      <c r="R291" s="47">
        <f t="shared" si="62"/>
      </c>
      <c r="S291" s="47">
        <f t="shared" si="63"/>
      </c>
      <c r="T291" s="47">
        <f t="shared" si="64"/>
      </c>
      <c r="U291" s="47">
        <f t="shared" si="59"/>
        <v/>
      </c>
    </row>
    <row r="292" spans="1:21" x14ac:dyDescent="0.3">
      <c r="A292" s="7">
        <f t="shared" si="60"/>
        <v/>
      </c>
      <c r="B292" s="7">
        <f>IF(C292=1,MAX(B$2:$B291)+1,IF(F292=0,"",B291))</f>
      </c>
      <c r="C292" s="7">
        <f>COUNTIF($F$2:$F292,F292)</f>
      </c>
      <c r="D292" s="7">
        <f>IF(F292=0,0,MAX($D$2:D291)+1)</f>
      </c>
      <c r="E292" s="7">
        <f>IF(H292=0,0,MAX($E$2:E291)+1)</f>
      </c>
      <c r="F292" s="177"/>
      <c r="G292" s="119"/>
      <c r="H292" s="172"/>
      <c r="I292" s="7">
        <f>IFERROR(VLOOKUP(H292,H$2:H291,1,FALSE),VLOOKUP(H292,H293:H$478,1,FALSE))</f>
      </c>
      <c r="J292" s="7">
        <f t="shared" si="54"/>
        <v/>
      </c>
      <c r="K292" s="7">
        <f t="shared" si="55"/>
        <v/>
      </c>
      <c r="L292" s="7">
        <f t="shared" si="56"/>
        <v/>
      </c>
      <c r="M292" s="19">
        <f t="shared" si="65"/>
        <v/>
      </c>
      <c r="N292" s="7">
        <f t="shared" si="57"/>
        <v/>
      </c>
      <c r="O292" s="7"/>
      <c r="P292" s="7">
        <f t="shared" si="61"/>
        <v/>
      </c>
      <c r="Q292" s="7">
        <f t="shared" si="58"/>
        <v/>
      </c>
      <c r="R292" s="7">
        <f t="shared" si="62"/>
      </c>
      <c r="S292" s="7">
        <f t="shared" si="63"/>
      </c>
      <c r="T292" s="7">
        <f t="shared" si="64"/>
      </c>
      <c r="U292" s="7">
        <f t="shared" si="59"/>
        <v/>
      </c>
    </row>
    <row r="293" spans="1:21" x14ac:dyDescent="0.3">
      <c r="A293" s="7">
        <f t="shared" si="60"/>
        <v/>
      </c>
      <c r="B293" s="7">
        <f>IF(C293=1,MAX(B$2:$B292)+1,IF(F293=0,"",B292))</f>
      </c>
      <c r="C293" s="7">
        <f>COUNTIF($F$2:$F293,F293)</f>
      </c>
      <c r="D293" s="7">
        <f>IF(F293=0,0,MAX($D$2:D292)+1)</f>
      </c>
      <c r="E293" s="7">
        <f>IF(H293=0,0,MAX($E$2:E292)+1)</f>
      </c>
      <c r="F293" s="177"/>
      <c r="G293" s="119"/>
      <c r="H293" s="119"/>
      <c r="I293" s="7">
        <f>IFERROR(VLOOKUP(H293,H$2:H292,1,FALSE),VLOOKUP(H293,H294:H$478,1,FALSE))</f>
      </c>
      <c r="J293" s="7">
        <f t="shared" si="54"/>
        <v/>
      </c>
      <c r="K293" s="7">
        <f t="shared" si="55"/>
        <v/>
      </c>
      <c r="L293" s="7">
        <f t="shared" si="56"/>
        <v/>
      </c>
      <c r="M293" s="19">
        <f t="shared" si="65"/>
        <v/>
      </c>
      <c r="N293" s="7">
        <f t="shared" si="57"/>
        <v/>
      </c>
      <c r="O293" s="7"/>
      <c r="P293" s="7">
        <f t="shared" si="61"/>
        <v/>
      </c>
      <c r="Q293" s="7">
        <f t="shared" si="58"/>
        <v/>
      </c>
      <c r="R293" s="7">
        <f t="shared" si="62"/>
      </c>
      <c r="S293" s="7">
        <f t="shared" si="63"/>
      </c>
      <c r="T293" s="7">
        <f t="shared" si="64"/>
      </c>
      <c r="U293" s="7">
        <f t="shared" si="59"/>
        <v/>
      </c>
    </row>
    <row r="294" spans="1:21" x14ac:dyDescent="0.3">
      <c r="A294" s="7">
        <f t="shared" si="60"/>
        <v/>
      </c>
      <c r="B294" s="7">
        <f>IF(C294=1,MAX(B$2:$B293)+1,IF(F294=0,"",B293))</f>
      </c>
      <c r="C294" s="7">
        <f>COUNTIF($F$2:$F294,F294)</f>
      </c>
      <c r="D294" s="7">
        <f>IF(F294=0,0,MAX($D$2:D293)+1)</f>
      </c>
      <c r="E294" s="7">
        <f>IF(H294=0,0,MAX($E$2:E293)+1)</f>
      </c>
      <c r="F294" s="177"/>
      <c r="G294" s="119"/>
      <c r="H294" s="119"/>
      <c r="I294" s="7">
        <f>IFERROR(VLOOKUP(H294,H$2:H293,1,FALSE),VLOOKUP(H294,H295:H$478,1,FALSE))</f>
      </c>
      <c r="J294" s="7">
        <f t="shared" si="54"/>
        <v/>
      </c>
      <c r="K294" s="7">
        <f t="shared" si="55"/>
        <v/>
      </c>
      <c r="L294" s="7">
        <f t="shared" si="56"/>
        <v/>
      </c>
      <c r="M294" s="19">
        <f t="shared" si="65"/>
        <v/>
      </c>
      <c r="N294" s="7">
        <f t="shared" si="57"/>
        <v/>
      </c>
      <c r="O294" s="7"/>
      <c r="P294" s="7">
        <f t="shared" si="61"/>
        <v/>
      </c>
      <c r="Q294" s="7">
        <f t="shared" si="58"/>
        <v/>
      </c>
      <c r="R294" s="7">
        <f t="shared" si="62"/>
      </c>
      <c r="S294" s="7">
        <f t="shared" si="63"/>
      </c>
      <c r="T294" s="7">
        <f t="shared" si="64"/>
      </c>
      <c r="U294" s="7">
        <f t="shared" si="59"/>
        <v/>
      </c>
    </row>
    <row r="295" spans="1:21" x14ac:dyDescent="0.3">
      <c r="A295" s="7">
        <f t="shared" si="60"/>
        <v/>
      </c>
      <c r="B295" s="7">
        <f>IF(C295=1,MAX(B$2:$B294)+1,IF(F295=0,"",B294))</f>
      </c>
      <c r="C295" s="7">
        <f>COUNTIF($F$2:$F295,F295)</f>
      </c>
      <c r="D295" s="7">
        <f>IF(F295=0,0,MAX($D$2:D294)+1)</f>
      </c>
      <c r="E295" s="7">
        <f>IF(H295=0,0,MAX($E$2:E294)+1)</f>
      </c>
      <c r="F295" s="177"/>
      <c r="G295" s="119"/>
      <c r="H295" s="119"/>
      <c r="I295" s="7">
        <f>IFERROR(VLOOKUP(H295,H$2:H294,1,FALSE),VLOOKUP(H295,H296:H$478,1,FALSE))</f>
      </c>
      <c r="J295" s="7">
        <f t="shared" si="54"/>
        <v/>
      </c>
      <c r="K295" s="7">
        <f t="shared" si="55"/>
        <v/>
      </c>
      <c r="L295" s="7">
        <f t="shared" si="56"/>
        <v/>
      </c>
      <c r="M295" s="19">
        <f t="shared" si="65"/>
        <v/>
      </c>
      <c r="N295" s="7">
        <f t="shared" si="57"/>
        <v/>
      </c>
      <c r="O295" s="7"/>
      <c r="P295" s="7">
        <f t="shared" si="61"/>
        <v/>
      </c>
      <c r="Q295" s="7">
        <f t="shared" si="58"/>
        <v/>
      </c>
      <c r="R295" s="7">
        <f t="shared" si="62"/>
      </c>
      <c r="S295" s="7">
        <f t="shared" si="63"/>
      </c>
      <c r="T295" s="7">
        <f t="shared" si="64"/>
      </c>
      <c r="U295" s="7">
        <f t="shared" si="59"/>
        <v/>
      </c>
    </row>
    <row r="296" spans="1:21" x14ac:dyDescent="0.3">
      <c r="A296" s="7">
        <f t="shared" si="60"/>
        <v/>
      </c>
      <c r="B296" s="7">
        <f>IF(C296=1,MAX(B$2:$B295)+1,IF(F296=0,"",B295))</f>
      </c>
      <c r="C296" s="7">
        <f>COUNTIF($F$2:$F296,F296)</f>
      </c>
      <c r="D296" s="7">
        <f>IF(F296=0,0,MAX($D$2:D295)+1)</f>
      </c>
      <c r="E296" s="7">
        <f>IF(H296=0,0,MAX($E$2:E295)+1)</f>
      </c>
      <c r="F296" s="177"/>
      <c r="G296" s="119"/>
      <c r="H296" s="119"/>
      <c r="I296" s="7">
        <f>IFERROR(VLOOKUP(H296,H$2:H295,1,FALSE),VLOOKUP(H296,H297:H$478,1,FALSE))</f>
      </c>
      <c r="J296" s="7">
        <f t="shared" si="54"/>
        <v/>
      </c>
      <c r="K296" s="7">
        <f t="shared" si="55"/>
        <v/>
      </c>
      <c r="L296" s="7">
        <f t="shared" si="56"/>
        <v/>
      </c>
      <c r="M296" s="19">
        <f t="shared" si="65"/>
        <v/>
      </c>
      <c r="N296" s="7">
        <f t="shared" si="57"/>
        <v/>
      </c>
      <c r="O296" s="7"/>
      <c r="P296" s="7">
        <f t="shared" si="61"/>
        <v/>
      </c>
      <c r="Q296" s="7">
        <f t="shared" si="58"/>
        <v/>
      </c>
      <c r="R296" s="7">
        <f t="shared" si="62"/>
      </c>
      <c r="S296" s="7">
        <f t="shared" si="63"/>
      </c>
      <c r="T296" s="7">
        <f t="shared" si="64"/>
      </c>
      <c r="U296" s="7">
        <f t="shared" si="59"/>
        <v/>
      </c>
    </row>
    <row r="297" spans="1:21" x14ac:dyDescent="0.3">
      <c r="A297" s="7">
        <f t="shared" si="60"/>
        <v/>
      </c>
      <c r="B297" s="7">
        <f>IF(C297=1,MAX(B$2:$B296)+1,IF(F297=0,"",B296))</f>
      </c>
      <c r="C297" s="7">
        <f>COUNTIF($F$2:$F297,F297)</f>
      </c>
      <c r="D297" s="7">
        <f>IF(F297=0,0,MAX($D$2:D296)+1)</f>
      </c>
      <c r="E297" s="7">
        <f>IF(H297=0,0,MAX($E$2:E296)+1)</f>
      </c>
      <c r="F297" s="177"/>
      <c r="G297" s="119"/>
      <c r="H297" s="119"/>
      <c r="I297" s="7">
        <f>IFERROR(VLOOKUP(H297,H$2:H296,1,FALSE),VLOOKUP(H297,H298:H$478,1,FALSE))</f>
      </c>
      <c r="J297" s="7">
        <f t="shared" si="54"/>
        <v/>
      </c>
      <c r="K297" s="7">
        <f t="shared" si="55"/>
        <v/>
      </c>
      <c r="L297" s="7">
        <f t="shared" si="56"/>
        <v/>
      </c>
      <c r="M297" s="19">
        <f t="shared" si="65"/>
        <v/>
      </c>
      <c r="N297" s="7">
        <f t="shared" si="57"/>
        <v/>
      </c>
      <c r="O297" s="7"/>
      <c r="P297" s="7">
        <f t="shared" si="61"/>
        <v/>
      </c>
      <c r="Q297" s="7">
        <f t="shared" si="58"/>
        <v/>
      </c>
      <c r="R297" s="7">
        <f t="shared" si="62"/>
      </c>
      <c r="S297" s="7">
        <f t="shared" si="63"/>
      </c>
      <c r="T297" s="7">
        <f t="shared" si="64"/>
      </c>
      <c r="U297" s="7">
        <f t="shared" si="59"/>
        <v/>
      </c>
    </row>
    <row r="298" spans="1:21" x14ac:dyDescent="0.3">
      <c r="A298" s="7">
        <f t="shared" si="60"/>
        <v/>
      </c>
      <c r="B298" s="7">
        <f>IF(C298=1,MAX(B$2:$B297)+1,IF(F298=0,"",B297))</f>
      </c>
      <c r="C298" s="7">
        <f>COUNTIF($F$2:$F298,F298)</f>
      </c>
      <c r="D298" s="7">
        <f>IF(F298=0,0,MAX($D$2:D297)+1)</f>
      </c>
      <c r="E298" s="7">
        <f>IF(H298=0,0,MAX($E$2:E297)+1)</f>
      </c>
      <c r="F298" s="177"/>
      <c r="G298" s="119"/>
      <c r="H298" s="119"/>
      <c r="I298" s="7">
        <f>IFERROR(VLOOKUP(H298,H$2:H297,1,FALSE),VLOOKUP(H298,H299:H$478,1,FALSE))</f>
      </c>
      <c r="J298" s="7">
        <f t="shared" si="54"/>
        <v/>
      </c>
      <c r="K298" s="7">
        <f t="shared" si="55"/>
        <v/>
      </c>
      <c r="L298" s="7">
        <f t="shared" si="56"/>
        <v/>
      </c>
      <c r="M298" s="19">
        <f t="shared" si="65"/>
        <v/>
      </c>
      <c r="N298" s="7">
        <f t="shared" si="57"/>
        <v/>
      </c>
      <c r="O298" s="7"/>
      <c r="P298" s="7">
        <f t="shared" si="61"/>
        <v/>
      </c>
      <c r="Q298" s="7">
        <f t="shared" si="58"/>
        <v/>
      </c>
      <c r="R298" s="7">
        <f t="shared" si="62"/>
      </c>
      <c r="S298" s="7">
        <f t="shared" si="63"/>
      </c>
      <c r="T298" s="7">
        <f t="shared" si="64"/>
      </c>
      <c r="U298" s="7">
        <f t="shared" si="59"/>
        <v/>
      </c>
    </row>
    <row r="299" spans="1:21" x14ac:dyDescent="0.3">
      <c r="A299" s="7">
        <f t="shared" si="60"/>
        <v/>
      </c>
      <c r="B299" s="7">
        <f>IF(C299=1,MAX(B$2:$B298)+1,IF(F299=0,"",B298))</f>
      </c>
      <c r="C299" s="7">
        <f>COUNTIF($F$2:$F299,F299)</f>
      </c>
      <c r="D299" s="7">
        <f>IF(F299=0,0,MAX($D$2:D298)+1)</f>
      </c>
      <c r="E299" s="7">
        <f>IF(H299=0,0,MAX($E$2:E298)+1)</f>
      </c>
      <c r="F299" s="177"/>
      <c r="G299" s="119"/>
      <c r="H299" s="119"/>
      <c r="I299" s="7">
        <f>IFERROR(VLOOKUP(H299,H$2:H298,1,FALSE),VLOOKUP(H299,H300:H$478,1,FALSE))</f>
      </c>
      <c r="J299" s="7">
        <f t="shared" si="54"/>
        <v/>
      </c>
      <c r="K299" s="7">
        <f t="shared" si="55"/>
        <v/>
      </c>
      <c r="L299" s="7">
        <f t="shared" si="56"/>
        <v/>
      </c>
      <c r="M299" s="19">
        <f t="shared" si="65"/>
        <v/>
      </c>
      <c r="N299" s="7">
        <f t="shared" si="57"/>
        <v/>
      </c>
      <c r="O299" s="7"/>
      <c r="P299" s="7">
        <f t="shared" si="61"/>
        <v/>
      </c>
      <c r="Q299" s="7">
        <f t="shared" si="58"/>
        <v/>
      </c>
      <c r="R299" s="7">
        <f t="shared" si="62"/>
      </c>
      <c r="S299" s="7">
        <f t="shared" si="63"/>
      </c>
      <c r="T299" s="7">
        <f t="shared" si="64"/>
      </c>
      <c r="U299" s="7">
        <f t="shared" si="59"/>
        <v/>
      </c>
    </row>
    <row r="300" spans="1:21" x14ac:dyDescent="0.3">
      <c r="A300" s="7">
        <f t="shared" si="60"/>
        <v/>
      </c>
      <c r="B300" s="7">
        <f>IF(C300=1,MAX(B$2:$B299)+1,IF(F300=0,"",B299))</f>
      </c>
      <c r="C300" s="7">
        <f>COUNTIF($F$2:$F300,F300)</f>
      </c>
      <c r="D300" s="7">
        <f>IF(F300=0,0,MAX($D$2:D299)+1)</f>
      </c>
      <c r="E300" s="7">
        <f>IF(H300=0,0,MAX($E$2:E299)+1)</f>
      </c>
      <c r="F300" s="177"/>
      <c r="G300" s="119"/>
      <c r="H300" s="119"/>
      <c r="I300" s="7">
        <f>IFERROR(VLOOKUP(H300,H$2:H299,1,FALSE),VLOOKUP(H300,H301:H$478,1,FALSE))</f>
      </c>
      <c r="J300" s="7">
        <f t="shared" si="54"/>
        <v/>
      </c>
      <c r="K300" s="7">
        <f t="shared" si="55"/>
        <v/>
      </c>
      <c r="L300" s="7">
        <f t="shared" si="56"/>
        <v/>
      </c>
      <c r="M300" s="19">
        <f t="shared" si="65"/>
        <v/>
      </c>
      <c r="N300" s="7">
        <f t="shared" si="57"/>
        <v/>
      </c>
      <c r="O300" s="7"/>
      <c r="P300" s="7">
        <f t="shared" si="61"/>
        <v/>
      </c>
      <c r="Q300" s="7">
        <f t="shared" si="58"/>
        <v/>
      </c>
      <c r="R300" s="7">
        <f t="shared" si="62"/>
      </c>
      <c r="S300" s="7">
        <f t="shared" si="63"/>
      </c>
      <c r="T300" s="7">
        <f t="shared" si="64"/>
      </c>
      <c r="U300" s="7">
        <f t="shared" si="59"/>
        <v/>
      </c>
    </row>
    <row r="301" spans="1:21" x14ac:dyDescent="0.3">
      <c r="A301" s="7">
        <f t="shared" si="60"/>
        <v/>
      </c>
      <c r="B301" s="7">
        <f>IF(C301=1,MAX(B$2:$B300)+1,IF(F301=0,"",B300))</f>
      </c>
      <c r="C301" s="7">
        <f>COUNTIF($F$2:$F301,F301)</f>
      </c>
      <c r="D301" s="7">
        <f>IF(F301=0,0,MAX($D$2:D300)+1)</f>
      </c>
      <c r="E301" s="7">
        <f>IF(H301=0,0,MAX($E$2:E300)+1)</f>
      </c>
      <c r="F301" s="177"/>
      <c r="G301" s="119"/>
      <c r="H301" s="119"/>
      <c r="I301" s="7">
        <f>IFERROR(VLOOKUP(H301,H$2:H300,1,FALSE),VLOOKUP(H301,H302:H$478,1,FALSE))</f>
      </c>
      <c r="J301" s="7">
        <f t="shared" si="54"/>
        <v/>
      </c>
      <c r="K301" s="7">
        <f t="shared" si="55"/>
        <v/>
      </c>
      <c r="L301" s="7">
        <f t="shared" si="56"/>
        <v/>
      </c>
      <c r="M301" s="19">
        <f t="shared" si="65"/>
        <v/>
      </c>
      <c r="N301" s="7">
        <f t="shared" si="57"/>
        <v/>
      </c>
      <c r="O301" s="7"/>
      <c r="P301" s="7">
        <f t="shared" si="61"/>
        <v/>
      </c>
      <c r="Q301" s="7">
        <f t="shared" si="58"/>
        <v/>
      </c>
      <c r="R301" s="7">
        <f t="shared" si="62"/>
      </c>
      <c r="S301" s="7">
        <f t="shared" si="63"/>
      </c>
      <c r="T301" s="7">
        <f t="shared" si="64"/>
      </c>
      <c r="U301" s="7">
        <f t="shared" si="59"/>
        <v/>
      </c>
    </row>
    <row r="302" spans="1:21" x14ac:dyDescent="0.3">
      <c r="A302" s="7">
        <f t="shared" si="60"/>
        <v/>
      </c>
      <c r="B302" s="7">
        <f>IF(C302=1,MAX(B$2:$B301)+1,IF(F302=0,"",B301))</f>
      </c>
      <c r="C302" s="7">
        <f>COUNTIF($F$2:$F302,F302)</f>
      </c>
      <c r="D302" s="7">
        <f>IF(F302=0,0,MAX($D$2:D301)+1)</f>
      </c>
      <c r="E302" s="7">
        <f>IF(H302=0,0,MAX($E$2:E301)+1)</f>
      </c>
      <c r="F302" s="177"/>
      <c r="G302" s="119"/>
      <c r="H302" s="119"/>
      <c r="I302" s="7">
        <f>IFERROR(VLOOKUP(H302,H$2:H301,1,FALSE),VLOOKUP(H302,H303:H$478,1,FALSE))</f>
      </c>
      <c r="J302" s="7">
        <f t="shared" si="54"/>
        <v/>
      </c>
      <c r="K302" s="7">
        <f t="shared" si="55"/>
        <v/>
      </c>
      <c r="L302" s="7">
        <f t="shared" si="56"/>
        <v/>
      </c>
      <c r="M302" s="19">
        <f t="shared" si="65"/>
        <v/>
      </c>
      <c r="N302" s="7">
        <f t="shared" si="57"/>
        <v/>
      </c>
      <c r="O302" s="7"/>
      <c r="P302" s="7">
        <f t="shared" si="61"/>
        <v/>
      </c>
      <c r="Q302" s="7">
        <f t="shared" si="58"/>
        <v/>
      </c>
      <c r="R302" s="7">
        <f t="shared" si="62"/>
      </c>
      <c r="S302" s="7">
        <f t="shared" si="63"/>
      </c>
      <c r="T302" s="7">
        <f t="shared" si="64"/>
      </c>
      <c r="U302" s="7">
        <f t="shared" si="59"/>
        <v/>
      </c>
    </row>
    <row r="303" spans="1:21" x14ac:dyDescent="0.3">
      <c r="A303" s="7">
        <f t="shared" si="60"/>
        <v/>
      </c>
      <c r="B303" s="7">
        <f>IF(C303=1,MAX(B$2:$B302)+1,IF(F303=0,"",B302))</f>
      </c>
      <c r="C303" s="7">
        <f>COUNTIF($F$2:$F303,F303)</f>
      </c>
      <c r="D303" s="7">
        <f>IF(F303=0,0,MAX($D$2:D302)+1)</f>
      </c>
      <c r="E303" s="7">
        <f>IF(H303=0,0,MAX($E$2:E302)+1)</f>
      </c>
      <c r="F303" s="177"/>
      <c r="G303" s="119"/>
      <c r="H303" s="119"/>
      <c r="I303" s="7">
        <f>IFERROR(VLOOKUP(H303,H$2:H302,1,FALSE),VLOOKUP(H303,H304:H$478,1,FALSE))</f>
      </c>
      <c r="J303" s="7">
        <f t="shared" si="54"/>
        <v/>
      </c>
      <c r="K303" s="7">
        <f t="shared" si="55"/>
        <v/>
      </c>
      <c r="L303" s="7">
        <f t="shared" si="56"/>
        <v/>
      </c>
      <c r="M303" s="19">
        <f t="shared" si="65"/>
        <v/>
      </c>
      <c r="N303" s="7">
        <f t="shared" si="57"/>
        <v/>
      </c>
      <c r="O303" s="7"/>
      <c r="P303" s="7">
        <f t="shared" si="61"/>
        <v/>
      </c>
      <c r="Q303" s="7">
        <f t="shared" si="58"/>
        <v/>
      </c>
      <c r="R303" s="7">
        <f t="shared" si="62"/>
      </c>
      <c r="S303" s="7">
        <f t="shared" si="63"/>
      </c>
      <c r="T303" s="7">
        <f t="shared" si="64"/>
      </c>
      <c r="U303" s="7">
        <f t="shared" si="59"/>
        <v/>
      </c>
    </row>
    <row r="304" spans="1:21" x14ac:dyDescent="0.3">
      <c r="A304" s="7">
        <f t="shared" si="60"/>
        <v/>
      </c>
      <c r="B304" s="7">
        <f>IF(C304=1,MAX(B$2:$B303)+1,IF(F304=0,"",B303))</f>
      </c>
      <c r="C304" s="7">
        <f>COUNTIF($F$2:$F304,F304)</f>
      </c>
      <c r="D304" s="7">
        <f>IF(F304=0,0,MAX($D$2:D303)+1)</f>
      </c>
      <c r="E304" s="7">
        <f>IF(H304=0,0,MAX($E$2:E303)+1)</f>
      </c>
      <c r="F304" s="177"/>
      <c r="G304" s="119"/>
      <c r="H304" s="119"/>
      <c r="I304" s="7">
        <f>IFERROR(VLOOKUP(H304,H$2:H303,1,FALSE),VLOOKUP(H304,H305:H$478,1,FALSE))</f>
      </c>
      <c r="J304" s="7">
        <f t="shared" si="54"/>
        <v/>
      </c>
      <c r="K304" s="7">
        <f t="shared" si="55"/>
        <v/>
      </c>
      <c r="L304" s="7">
        <f t="shared" si="56"/>
        <v/>
      </c>
      <c r="M304" s="19">
        <f t="shared" si="65"/>
        <v/>
      </c>
      <c r="N304" s="7">
        <f t="shared" si="57"/>
        <v/>
      </c>
      <c r="O304" s="7"/>
      <c r="P304" s="7">
        <f t="shared" si="61"/>
        <v/>
      </c>
      <c r="Q304" s="7">
        <f t="shared" si="58"/>
        <v/>
      </c>
      <c r="R304" s="7">
        <f t="shared" si="62"/>
      </c>
      <c r="S304" s="7">
        <f t="shared" si="63"/>
      </c>
      <c r="T304" s="7">
        <f t="shared" si="64"/>
      </c>
      <c r="U304" s="7">
        <f t="shared" si="59"/>
        <v/>
      </c>
    </row>
    <row r="305" spans="1:21" x14ac:dyDescent="0.3">
      <c r="A305" s="7">
        <f t="shared" si="60"/>
        <v/>
      </c>
      <c r="B305" s="7">
        <f>IF(C305=1,MAX(B$2:$B304)+1,IF(F305=0,"",B304))</f>
      </c>
      <c r="C305" s="7">
        <f>COUNTIF($F$2:$F305,F305)</f>
      </c>
      <c r="D305" s="7">
        <f>IF(F305=0,0,MAX($D$2:D304)+1)</f>
      </c>
      <c r="E305" s="7">
        <f>IF(H305=0,0,MAX($E$2:E304)+1)</f>
      </c>
      <c r="F305" s="177"/>
      <c r="G305" s="119"/>
      <c r="H305" s="119"/>
      <c r="I305" s="7">
        <f>IFERROR(VLOOKUP(H305,H$2:H304,1,FALSE),VLOOKUP(H305,H306:H$478,1,FALSE))</f>
      </c>
      <c r="J305" s="7">
        <f t="shared" si="54"/>
        <v/>
      </c>
      <c r="K305" s="7">
        <f t="shared" si="55"/>
        <v/>
      </c>
      <c r="L305" s="7">
        <f t="shared" si="56"/>
        <v/>
      </c>
      <c r="M305" s="19">
        <f t="shared" si="65"/>
        <v/>
      </c>
      <c r="N305" s="7">
        <f t="shared" si="57"/>
        <v/>
      </c>
      <c r="O305" s="7"/>
      <c r="P305" s="7">
        <f t="shared" si="61"/>
        <v/>
      </c>
      <c r="Q305" s="7">
        <f t="shared" si="58"/>
        <v/>
      </c>
      <c r="R305" s="7">
        <f t="shared" si="62"/>
      </c>
      <c r="S305" s="7">
        <f t="shared" si="63"/>
      </c>
      <c r="T305" s="7">
        <f t="shared" si="64"/>
      </c>
      <c r="U305" s="7">
        <f t="shared" si="59"/>
        <v/>
      </c>
    </row>
    <row r="306" spans="1:21" x14ac:dyDescent="0.3">
      <c r="A306" s="7">
        <f t="shared" si="60"/>
        <v/>
      </c>
      <c r="B306" s="7">
        <f>IF(C306=1,MAX(B$2:$B305)+1,IF(F306=0,"",B305))</f>
      </c>
      <c r="C306" s="7">
        <f>COUNTIF($F$2:$F306,F306)</f>
      </c>
      <c r="D306" s="7">
        <f>IF(F306=0,0,MAX($D$2:D305)+1)</f>
      </c>
      <c r="E306" s="7">
        <f>IF(H306=0,0,MAX($E$2:E305)+1)</f>
      </c>
      <c r="F306" s="177"/>
      <c r="G306" s="119"/>
      <c r="H306" s="119"/>
      <c r="I306" s="7">
        <f>IFERROR(VLOOKUP(H306,H$2:H305,1,FALSE),VLOOKUP(H306,H307:H$478,1,FALSE))</f>
      </c>
      <c r="J306" s="7">
        <f t="shared" si="54"/>
        <v/>
      </c>
      <c r="K306" s="7">
        <f t="shared" si="55"/>
        <v/>
      </c>
      <c r="L306" s="7">
        <f t="shared" si="56"/>
        <v/>
      </c>
      <c r="M306" s="19">
        <f t="shared" si="65"/>
        <v/>
      </c>
      <c r="N306" s="7">
        <f t="shared" si="57"/>
        <v/>
      </c>
      <c r="O306" s="7"/>
      <c r="P306" s="7">
        <f t="shared" si="61"/>
        <v/>
      </c>
      <c r="Q306" s="7">
        <f t="shared" si="58"/>
        <v/>
      </c>
      <c r="R306" s="7">
        <f t="shared" si="62"/>
      </c>
      <c r="S306" s="7">
        <f t="shared" si="63"/>
      </c>
      <c r="T306" s="7">
        <f t="shared" si="64"/>
      </c>
      <c r="U306" s="7">
        <f t="shared" si="59"/>
        <v/>
      </c>
    </row>
    <row r="307" spans="1:21" x14ac:dyDescent="0.3">
      <c r="A307" s="7">
        <f t="shared" si="60"/>
        <v/>
      </c>
      <c r="B307" s="7">
        <f>IF(C307=1,MAX(B$2:$B306)+1,IF(F307=0,"",B306))</f>
      </c>
      <c r="C307" s="7">
        <f>COUNTIF($F$2:$F307,F307)</f>
      </c>
      <c r="D307" s="7">
        <f>IF(F307=0,0,MAX($D$2:D306)+1)</f>
      </c>
      <c r="E307" s="7">
        <f>IF(H307=0,0,MAX($E$2:E306)+1)</f>
      </c>
      <c r="F307" s="177"/>
      <c r="G307" s="119"/>
      <c r="H307" s="119"/>
      <c r="I307" s="7">
        <f>IFERROR(VLOOKUP(H307,H$2:H306,1,FALSE),VLOOKUP(H307,H308:H$478,1,FALSE))</f>
      </c>
      <c r="J307" s="7">
        <f t="shared" si="54"/>
        <v/>
      </c>
      <c r="K307" s="7">
        <f t="shared" si="55"/>
        <v/>
      </c>
      <c r="L307" s="7">
        <f t="shared" si="56"/>
        <v/>
      </c>
      <c r="M307" s="19">
        <f t="shared" si="65"/>
        <v/>
      </c>
      <c r="N307" s="7">
        <f t="shared" si="57"/>
        <v/>
      </c>
      <c r="O307" s="7"/>
      <c r="P307" s="7">
        <f t="shared" si="61"/>
        <v/>
      </c>
      <c r="Q307" s="7">
        <f t="shared" si="58"/>
        <v/>
      </c>
      <c r="R307" s="7">
        <f t="shared" si="62"/>
      </c>
      <c r="S307" s="7">
        <f t="shared" si="63"/>
      </c>
      <c r="T307" s="7">
        <f t="shared" si="64"/>
      </c>
      <c r="U307" s="7">
        <f t="shared" si="59"/>
        <v/>
      </c>
    </row>
    <row r="308" spans="1:21" s="8" customFormat="1" ht="15" thickBot="1" x14ac:dyDescent="0.35">
      <c r="A308" s="47">
        <f t="shared" si="60"/>
        <v/>
      </c>
      <c r="B308" s="47">
        <f>IF(C308=1,MAX(B$2:$B307)+1,IF(F308=0,"",B307))</f>
      </c>
      <c r="C308" s="47">
        <f>COUNTIF($F$2:$F308,F308)</f>
      </c>
      <c r="D308" s="47">
        <f>IF(F308=0,0,MAX($D$2:D307)+1)</f>
      </c>
      <c r="E308" s="47">
        <f>IF(H308=0,0,MAX($E$2:E307)+1)</f>
      </c>
      <c r="F308" s="177"/>
      <c r="G308" s="119"/>
      <c r="H308" s="119"/>
      <c r="I308" s="47">
        <f>IFERROR(VLOOKUP(H308,H$2:H307,1,FALSE),VLOOKUP(H308,H309:H$478,1,FALSE))</f>
      </c>
      <c r="J308" s="47">
        <f t="shared" si="54"/>
        <v/>
      </c>
      <c r="K308" s="47">
        <f t="shared" si="55"/>
        <v/>
      </c>
      <c r="L308" s="47">
        <f t="shared" si="56"/>
        <v/>
      </c>
      <c r="M308" s="52">
        <f t="shared" si="65"/>
        <v/>
      </c>
      <c r="N308" s="47">
        <f t="shared" si="57"/>
        <v/>
      </c>
      <c r="O308" s="47"/>
      <c r="P308" s="47">
        <f t="shared" si="61"/>
        <v/>
      </c>
      <c r="Q308" s="47">
        <f t="shared" si="58"/>
        <v/>
      </c>
      <c r="R308" s="47">
        <f t="shared" si="62"/>
      </c>
      <c r="S308" s="47">
        <f t="shared" si="63"/>
      </c>
      <c r="T308" s="47">
        <f t="shared" si="64"/>
      </c>
      <c r="U308" s="47">
        <f t="shared" si="59"/>
        <v/>
      </c>
    </row>
    <row r="309" spans="1:21" x14ac:dyDescent="0.3">
      <c r="A309" s="7">
        <f t="shared" si="60"/>
        <v/>
      </c>
      <c r="B309" s="7">
        <f>IF(C309=1,MAX(B$2:$B308)+1,IF(F309=0,"",B308))</f>
      </c>
      <c r="C309" s="7">
        <f>COUNTIF($F$2:$F309,F309)</f>
      </c>
      <c r="D309" s="7">
        <f>IF(F309=0,0,MAX($D$2:D308)+1)</f>
      </c>
      <c r="E309" s="7">
        <f>IF(H309=0,0,MAX($E$2:E308)+1)</f>
      </c>
      <c r="F309" s="177"/>
      <c r="G309" s="119"/>
      <c r="H309" s="194"/>
      <c r="I309" s="7">
        <f>IFERROR(VLOOKUP(H309,H$2:H308,1,FALSE),VLOOKUP(H309,H310:H$478,1,FALSE))</f>
      </c>
      <c r="J309" s="7">
        <f t="shared" si="54"/>
        <v/>
      </c>
      <c r="K309" s="7">
        <f t="shared" si="55"/>
        <v/>
      </c>
      <c r="L309" s="7">
        <f t="shared" si="56"/>
        <v/>
      </c>
      <c r="M309" s="19">
        <f t="shared" si="65"/>
        <v/>
      </c>
      <c r="N309" s="7">
        <f t="shared" si="57"/>
        <v/>
      </c>
      <c r="O309" s="7"/>
      <c r="P309" s="7">
        <f t="shared" si="61"/>
        <v/>
      </c>
      <c r="Q309" s="7">
        <f t="shared" si="58"/>
        <v/>
      </c>
      <c r="R309" s="7">
        <f t="shared" si="62"/>
      </c>
      <c r="S309" s="7">
        <f t="shared" si="63"/>
      </c>
      <c r="T309" s="7">
        <f t="shared" si="64"/>
      </c>
      <c r="U309" s="7">
        <f t="shared" si="59"/>
        <v/>
      </c>
    </row>
    <row r="310" spans="1:21" x14ac:dyDescent="0.3">
      <c r="A310" s="7">
        <f t="shared" si="60"/>
        <v/>
      </c>
      <c r="B310" s="7">
        <f>IF(C310=1,MAX(B$2:$B309)+1,IF(F310=0,"",B309))</f>
      </c>
      <c r="C310" s="7">
        <f>COUNTIF($F$2:$F310,F310)</f>
      </c>
      <c r="D310" s="7">
        <f>IF(F310=0,0,MAX($D$2:D309)+1)</f>
      </c>
      <c r="E310" s="7">
        <f>IF(H310=0,0,MAX($E$2:E309)+1)</f>
      </c>
      <c r="F310" s="177"/>
      <c r="G310" s="195"/>
      <c r="H310" s="119"/>
      <c r="I310" s="108">
        <f>IFERROR(VLOOKUP(H310,H$2:H309,1,FALSE),VLOOKUP(H310,H311:H$478,1,FALSE))</f>
      </c>
      <c r="J310" s="7">
        <f t="shared" si="54"/>
        <v/>
      </c>
      <c r="K310" s="7">
        <f t="shared" si="55"/>
        <v/>
      </c>
      <c r="L310" s="7">
        <f t="shared" si="56"/>
        <v/>
      </c>
      <c r="M310" s="19">
        <f t="shared" si="65"/>
        <v/>
      </c>
      <c r="N310" s="7">
        <f t="shared" si="57"/>
        <v/>
      </c>
      <c r="O310" s="7"/>
      <c r="P310" s="7">
        <f t="shared" si="61"/>
        <v/>
      </c>
      <c r="Q310" s="7">
        <f t="shared" si="58"/>
        <v/>
      </c>
      <c r="R310" s="7">
        <f t="shared" si="62"/>
      </c>
      <c r="S310" s="7">
        <f t="shared" si="63"/>
      </c>
      <c r="T310" s="7">
        <f t="shared" si="64"/>
      </c>
      <c r="U310" s="7">
        <f t="shared" si="59"/>
        <v/>
      </c>
    </row>
    <row r="311" spans="1:21" x14ac:dyDescent="0.3">
      <c r="A311" s="7">
        <f t="shared" si="60"/>
        <v/>
      </c>
      <c r="B311" s="7">
        <f>IF(C311=1,MAX(B$2:$B310)+1,IF(F311=0,"",B310))</f>
      </c>
      <c r="C311" s="7">
        <f>COUNTIF($F$2:$F311,F311)</f>
      </c>
      <c r="D311" s="7">
        <f>IF(F311=0,0,MAX($D$2:D310)+1)</f>
      </c>
      <c r="E311" s="7">
        <f>IF(H311=0,0,MAX($E$2:E310)+1)</f>
      </c>
      <c r="F311" s="177"/>
      <c r="G311" s="119"/>
      <c r="H311" s="119"/>
      <c r="I311" s="7">
        <f>IFERROR(VLOOKUP(H311,H$2:H310,1,FALSE),VLOOKUP(H311,H312:H$478,1,FALSE))</f>
      </c>
      <c r="J311" s="7">
        <f t="shared" si="54"/>
        <v/>
      </c>
      <c r="K311" s="7">
        <f t="shared" si="55"/>
        <v/>
      </c>
      <c r="L311" s="7">
        <f t="shared" si="56"/>
        <v/>
      </c>
      <c r="M311" s="19">
        <f t="shared" si="65"/>
        <v/>
      </c>
      <c r="N311" s="7">
        <f t="shared" si="57"/>
        <v/>
      </c>
      <c r="O311" s="7"/>
      <c r="P311" s="7">
        <f t="shared" si="61"/>
        <v/>
      </c>
      <c r="Q311" s="7">
        <f t="shared" si="58"/>
        <v/>
      </c>
      <c r="R311" s="7">
        <f t="shared" si="62"/>
      </c>
      <c r="S311" s="7">
        <f t="shared" si="63"/>
      </c>
      <c r="T311" s="7">
        <f t="shared" si="64"/>
      </c>
      <c r="U311" s="7">
        <f t="shared" si="59"/>
        <v/>
      </c>
    </row>
    <row r="312" spans="1:21" x14ac:dyDescent="0.3">
      <c r="A312" s="7">
        <f t="shared" si="60"/>
        <v/>
      </c>
      <c r="B312" s="7">
        <f>IF(C312=1,MAX(B$2:$B311)+1,IF(F312=0,"",B311))</f>
      </c>
      <c r="C312" s="7">
        <f>COUNTIF($F$2:$F312,F312)</f>
      </c>
      <c r="D312" s="7">
        <f>IF(F312=0,0,MAX($D$2:D311)+1)</f>
      </c>
      <c r="E312" s="7">
        <f>IF(H312=0,0,MAX($E$2:E311)+1)</f>
      </c>
      <c r="F312" s="177"/>
      <c r="G312" s="119"/>
      <c r="H312" s="119"/>
      <c r="I312" s="7">
        <f>IFERROR(VLOOKUP(H312,H$2:H311,1,FALSE),VLOOKUP(H312,H313:H$478,1,FALSE))</f>
      </c>
      <c r="J312" s="7">
        <f>IF($H312=0,"",VLOOKUP($H312,Исходные_данные,36,FALSE))</f>
        <v/>
      </c>
      <c r="K312" s="7">
        <f>IF($H312=0,"",VLOOKUP($H312,Исходные_данные,37,FALSE))</f>
        <v/>
      </c>
      <c r="L312" s="7">
        <f>IF($H312=0,"",VLOOKUP($H312,Исходные_данные,38,FALSE))</f>
        <v/>
      </c>
      <c r="M312" s="19">
        <f>IFERROR(VLOOKUP(H312,Нагрузка_диапазон_1,4,FALSE),"")</f>
        <v/>
      </c>
      <c r="N312" s="7">
        <f>IF($H312=0,"",VLOOKUP($H312,Исходные_данные,39,FALSE))</f>
        <v/>
      </c>
      <c r="O312" s="7"/>
      <c r="P312" s="7">
        <f>IF($H312=0,"",VLOOKUP($H312,Исходные_данные,41,FALSE))</f>
        <v/>
      </c>
      <c r="Q312" s="7">
        <f>IF($H312=0,"",VLOOKUP($H312,Исходные_данные,8,FALSE))</f>
        <v/>
      </c>
      <c r="R312" s="7">
        <f t="shared" si="62"/>
      </c>
      <c r="S312" s="7">
        <f t="shared" si="63"/>
      </c>
      <c r="T312" s="7">
        <f t="shared" si="64"/>
      </c>
      <c r="U312" s="7">
        <f>IF($H312=0,"",VLOOKUP($H312,Исходные_данные,31,FALSE))</f>
        <v/>
      </c>
    </row>
    <row r="313" spans="1:21" x14ac:dyDescent="0.3">
      <c r="A313" s="7">
        <f t="shared" si="60"/>
        <v/>
      </c>
      <c r="B313" s="7">
        <f>IF(C313=1,MAX(B$2:$B312)+1,IF(F313=0,"",B312))</f>
      </c>
      <c r="C313" s="7">
        <f>COUNTIF($F$2:$F313,F313)</f>
      </c>
      <c r="D313" s="7">
        <f>IF(F313=0,0,MAX($D$2:D312)+1)</f>
      </c>
      <c r="E313" s="7">
        <f>IF(H313=0,0,MAX($E$2:E312)+1)</f>
      </c>
      <c r="F313" s="177"/>
      <c r="G313" s="119"/>
      <c r="H313" s="119"/>
      <c r="I313" s="7">
        <f>IFERROR(VLOOKUP(H313,H$2:H312,1,FALSE),VLOOKUP(H313,H314:H$478,1,FALSE))</f>
      </c>
      <c r="J313" s="7">
        <f t="shared" si="54"/>
        <v/>
      </c>
      <c r="K313" s="7">
        <f t="shared" si="55"/>
        <v/>
      </c>
      <c r="L313" s="7">
        <f t="shared" si="56"/>
        <v/>
      </c>
      <c r="M313" s="19">
        <f t="shared" si="65"/>
        <v/>
      </c>
      <c r="N313" s="7">
        <f t="shared" si="57"/>
        <v/>
      </c>
      <c r="O313" s="7"/>
      <c r="P313" s="7">
        <f t="shared" si="61"/>
        <v/>
      </c>
      <c r="Q313" s="7">
        <f t="shared" si="58"/>
        <v/>
      </c>
      <c r="R313" s="7">
        <f t="shared" si="62"/>
      </c>
      <c r="S313" s="7">
        <f t="shared" si="63"/>
      </c>
      <c r="T313" s="7">
        <f t="shared" si="64"/>
      </c>
      <c r="U313" s="7">
        <f t="shared" si="59"/>
        <v/>
      </c>
    </row>
    <row r="314" spans="1:21" x14ac:dyDescent="0.3">
      <c r="A314" s="7">
        <f t="shared" si="60"/>
        <v/>
      </c>
      <c r="B314" s="7">
        <f>IF(C314=1,MAX(B$2:$B313)+1,IF(F314=0,"",B313))</f>
      </c>
      <c r="C314" s="7">
        <f>COUNTIF($F$2:$F314,F314)</f>
      </c>
      <c r="D314" s="7">
        <f>IF(F314=0,0,MAX($D$2:D313)+1)</f>
      </c>
      <c r="E314" s="7">
        <f>IF(H314=0,0,MAX($E$2:E313)+1)</f>
      </c>
      <c r="F314" s="177"/>
      <c r="G314" s="119"/>
      <c r="H314" s="119"/>
      <c r="I314" s="7">
        <f>IFERROR(VLOOKUP(H314,H$2:H313,1,FALSE),VLOOKUP(H314,H315:H$478,1,FALSE))</f>
      </c>
      <c r="J314" s="7">
        <f t="shared" si="54"/>
        <v/>
      </c>
      <c r="K314" s="7">
        <f t="shared" si="55"/>
        <v/>
      </c>
      <c r="L314" s="7">
        <f t="shared" si="56"/>
        <v/>
      </c>
      <c r="M314" s="19">
        <f t="shared" si="65"/>
        <v/>
      </c>
      <c r="N314" s="7">
        <f t="shared" si="57"/>
        <v/>
      </c>
      <c r="O314" s="7"/>
      <c r="P314" s="7">
        <f t="shared" si="61"/>
        <v/>
      </c>
      <c r="Q314" s="7">
        <f t="shared" si="58"/>
        <v/>
      </c>
      <c r="R314" s="7">
        <f t="shared" si="62"/>
      </c>
      <c r="S314" s="7">
        <f t="shared" si="63"/>
      </c>
      <c r="T314" s="7">
        <f t="shared" si="64"/>
      </c>
      <c r="U314" s="7">
        <f t="shared" si="59"/>
        <v/>
      </c>
    </row>
    <row r="315" spans="1:21" x14ac:dyDescent="0.3">
      <c r="A315" s="7">
        <f t="shared" si="60"/>
        <v/>
      </c>
      <c r="B315" s="7">
        <f>IF(C315=1,MAX(B$2:$B314)+1,IF(F315=0,"",B314))</f>
      </c>
      <c r="C315" s="7">
        <f>COUNTIF($F$2:$F315,F315)</f>
      </c>
      <c r="D315" s="7">
        <f>IF(F315=0,0,MAX($D$2:D314)+1)</f>
      </c>
      <c r="E315" s="7">
        <f>IF(H315=0,0,MAX($E$2:E314)+1)</f>
      </c>
      <c r="F315" s="177"/>
      <c r="G315" s="119"/>
      <c r="H315" s="119"/>
      <c r="I315" s="7">
        <f>IFERROR(VLOOKUP(H315,H$2:H314,1,FALSE),VLOOKUP(H315,H316:H$478,1,FALSE))</f>
      </c>
      <c r="J315" s="7">
        <f t="shared" si="54"/>
        <v/>
      </c>
      <c r="K315" s="7">
        <f t="shared" si="55"/>
        <v/>
      </c>
      <c r="L315" s="7">
        <f t="shared" si="56"/>
        <v/>
      </c>
      <c r="M315" s="19">
        <f t="shared" si="65"/>
        <v/>
      </c>
      <c r="N315" s="7">
        <f t="shared" si="57"/>
        <v/>
      </c>
      <c r="O315" s="7"/>
      <c r="P315" s="7">
        <f t="shared" si="61"/>
        <v/>
      </c>
      <c r="Q315" s="7">
        <f t="shared" si="58"/>
        <v/>
      </c>
      <c r="R315" s="7">
        <f t="shared" si="62"/>
      </c>
      <c r="S315" s="7">
        <f t="shared" si="63"/>
      </c>
      <c r="T315" s="7">
        <f t="shared" si="64"/>
      </c>
      <c r="U315" s="7">
        <f t="shared" si="59"/>
        <v/>
      </c>
    </row>
    <row r="316" spans="1:21" x14ac:dyDescent="0.3">
      <c r="A316" s="7">
        <f t="shared" si="60"/>
        <v/>
      </c>
      <c r="B316" s="7">
        <f>IF(C316=1,MAX(B$2:$B315)+1,IF(F316=0,"",B315))</f>
      </c>
      <c r="C316" s="7">
        <f>COUNTIF($F$2:$F316,F316)</f>
      </c>
      <c r="D316" s="7">
        <f>IF(F316=0,0,MAX($D$2:D315)+1)</f>
      </c>
      <c r="E316" s="7">
        <f>IF(H316=0,0,MAX($E$2:E315)+1)</f>
      </c>
      <c r="F316" s="177"/>
      <c r="G316" s="119"/>
      <c r="H316" s="119"/>
      <c r="I316" s="7">
        <f>IFERROR(VLOOKUP(H316,H$2:H315,1,FALSE),VLOOKUP(H316,H317:H$478,1,FALSE))</f>
      </c>
      <c r="J316" s="7">
        <f t="shared" si="54"/>
        <v/>
      </c>
      <c r="K316" s="7">
        <f t="shared" si="55"/>
        <v/>
      </c>
      <c r="L316" s="7">
        <f t="shared" si="56"/>
        <v/>
      </c>
      <c r="M316" s="19">
        <f t="shared" si="65"/>
        <v/>
      </c>
      <c r="N316" s="7">
        <f t="shared" si="57"/>
        <v/>
      </c>
      <c r="O316" s="7"/>
      <c r="P316" s="7">
        <f t="shared" si="61"/>
        <v/>
      </c>
      <c r="Q316" s="7">
        <f t="shared" si="58"/>
        <v/>
      </c>
      <c r="R316" s="7">
        <f t="shared" si="62"/>
      </c>
      <c r="S316" s="7">
        <f t="shared" si="63"/>
      </c>
      <c r="T316" s="7">
        <f t="shared" si="64"/>
      </c>
      <c r="U316" s="7">
        <f t="shared" si="59"/>
        <v/>
      </c>
    </row>
    <row r="317" spans="1:21" x14ac:dyDescent="0.3">
      <c r="A317" s="7">
        <f t="shared" si="60"/>
        <v/>
      </c>
      <c r="B317" s="7">
        <f>IF(C317=1,MAX(B$2:$B316)+1,IF(F317=0,"",B316))</f>
      </c>
      <c r="C317" s="7">
        <f>COUNTIF($F$2:$F317,F317)</f>
      </c>
      <c r="D317" s="7">
        <f>IF(F317=0,0,MAX($D$2:D316)+1)</f>
      </c>
      <c r="E317" s="7">
        <f>IF(H317=0,0,MAX($E$2:E316)+1)</f>
      </c>
      <c r="F317" s="177"/>
      <c r="G317" s="119"/>
      <c r="H317" s="119"/>
      <c r="I317" s="7">
        <f>IFERROR(VLOOKUP(H317,H$2:H316,1,FALSE),VLOOKUP(H317,H318:H$478,1,FALSE))</f>
      </c>
      <c r="J317" s="7">
        <f t="shared" si="54"/>
        <v/>
      </c>
      <c r="K317" s="7">
        <f t="shared" si="55"/>
        <v/>
      </c>
      <c r="L317" s="7">
        <f t="shared" si="56"/>
        <v/>
      </c>
      <c r="M317" s="19">
        <f t="shared" si="65"/>
        <v/>
      </c>
      <c r="N317" s="7">
        <f t="shared" si="57"/>
        <v/>
      </c>
      <c r="O317" s="7"/>
      <c r="P317" s="7">
        <f t="shared" si="61"/>
        <v/>
      </c>
      <c r="Q317" s="7">
        <f t="shared" si="58"/>
        <v/>
      </c>
      <c r="R317" s="7">
        <f t="shared" si="62"/>
      </c>
      <c r="S317" s="7">
        <f t="shared" si="63"/>
      </c>
      <c r="T317" s="7">
        <f t="shared" si="64"/>
      </c>
      <c r="U317" s="7">
        <f t="shared" si="59"/>
        <v/>
      </c>
    </row>
    <row r="318" spans="1:21" x14ac:dyDescent="0.3">
      <c r="A318" s="7">
        <f t="shared" si="60"/>
        <v/>
      </c>
      <c r="B318" s="7">
        <f>IF(C318=1,MAX(B$2:$B317)+1,IF(F318=0,"",B317))</f>
      </c>
      <c r="C318" s="7">
        <f>COUNTIF($F$2:$F318,F318)</f>
      </c>
      <c r="D318" s="7">
        <f>IF(F318=0,0,MAX($D$2:D317)+1)</f>
      </c>
      <c r="E318" s="7">
        <f>IF(H318=0,0,MAX($E$2:E317)+1)</f>
      </c>
      <c r="F318" s="177"/>
      <c r="G318" s="177"/>
      <c r="H318" s="119"/>
      <c r="I318" s="7">
        <f>IFERROR(VLOOKUP(H318,H$2:H317,1,FALSE),VLOOKUP(H318,H319:H$478,1,FALSE))</f>
      </c>
      <c r="J318" s="7">
        <f t="shared" si="54"/>
        <v/>
      </c>
      <c r="K318" s="7">
        <f t="shared" si="55"/>
        <v/>
      </c>
      <c r="L318" s="7">
        <f t="shared" si="56"/>
        <v/>
      </c>
      <c r="M318" s="19">
        <f t="shared" si="65"/>
        <v/>
      </c>
      <c r="N318" s="7">
        <f t="shared" si="57"/>
        <v/>
      </c>
      <c r="O318" s="7"/>
      <c r="P318" s="7">
        <f t="shared" si="61"/>
        <v/>
      </c>
      <c r="Q318" s="7">
        <f t="shared" si="58"/>
        <v/>
      </c>
      <c r="R318" s="7">
        <f t="shared" si="62"/>
      </c>
      <c r="S318" s="7">
        <f t="shared" si="63"/>
      </c>
      <c r="T318" s="7">
        <f t="shared" si="64"/>
      </c>
      <c r="U318" s="7">
        <f t="shared" si="59"/>
        <v/>
      </c>
    </row>
    <row r="319" spans="1:21" x14ac:dyDescent="0.3">
      <c r="A319" s="7">
        <f t="shared" si="60"/>
        <v/>
      </c>
      <c r="B319" s="7">
        <f>IF(C319=1,MAX(B$2:$B318)+1,IF(F319=0,"",B318))</f>
      </c>
      <c r="C319" s="7">
        <f>COUNTIF($F$2:$F319,F319)</f>
      </c>
      <c r="D319" s="7">
        <f>IF(F319=0,0,MAX($D$2:D318)+1)</f>
      </c>
      <c r="E319" s="7">
        <f>IF(H319=0,0,MAX($E$2:E318)+1)</f>
      </c>
      <c r="F319" s="177"/>
      <c r="G319" s="119"/>
      <c r="H319" s="119"/>
      <c r="I319" s="7">
        <f>IFERROR(VLOOKUP(H319,H$2:H318,1,FALSE),VLOOKUP(H319,H320:H$478,1,FALSE))</f>
      </c>
      <c r="J319" s="7">
        <f t="shared" si="54"/>
        <v/>
      </c>
      <c r="K319" s="7">
        <f t="shared" si="55"/>
        <v/>
      </c>
      <c r="L319" s="7">
        <f t="shared" si="56"/>
        <v/>
      </c>
      <c r="M319" s="19">
        <f t="shared" si="65"/>
        <v/>
      </c>
      <c r="N319" s="7">
        <f t="shared" si="57"/>
        <v/>
      </c>
      <c r="O319" s="7"/>
      <c r="P319" s="7">
        <f t="shared" si="61"/>
        <v/>
      </c>
      <c r="Q319" s="7">
        <f t="shared" si="58"/>
        <v/>
      </c>
      <c r="R319" s="7">
        <f t="shared" si="62"/>
      </c>
      <c r="S319" s="7">
        <f t="shared" si="63"/>
      </c>
      <c r="T319" s="7">
        <f t="shared" si="64"/>
      </c>
      <c r="U319" s="7">
        <f t="shared" si="59"/>
        <v/>
      </c>
    </row>
    <row r="320" spans="1:21" x14ac:dyDescent="0.3">
      <c r="A320" s="7">
        <f t="shared" si="60"/>
        <v/>
      </c>
      <c r="B320" s="7">
        <f>IF(C320=1,MAX(B$2:$B319)+1,IF(F320=0,"",B319))</f>
      </c>
      <c r="C320" s="7">
        <f>COUNTIF($F$2:$F320,F320)</f>
      </c>
      <c r="D320" s="7">
        <f>IF(F320=0,0,MAX($D$2:D319)+1)</f>
      </c>
      <c r="E320" s="7">
        <f>IF(H320=0,0,MAX($E$2:E319)+1)</f>
      </c>
      <c r="F320" s="177"/>
      <c r="G320" s="119"/>
      <c r="H320" s="119"/>
      <c r="I320" s="7">
        <f>IFERROR(VLOOKUP(H320,H$2:H319,1,FALSE),VLOOKUP(H320,H321:H$478,1,FALSE))</f>
      </c>
      <c r="J320" s="7">
        <f t="shared" si="54"/>
        <v/>
      </c>
      <c r="K320" s="7">
        <f t="shared" si="55"/>
        <v/>
      </c>
      <c r="L320" s="7">
        <f t="shared" si="56"/>
        <v/>
      </c>
      <c r="M320" s="19">
        <f t="shared" si="65"/>
        <v/>
      </c>
      <c r="N320" s="7">
        <f t="shared" si="57"/>
        <v/>
      </c>
      <c r="O320" s="7"/>
      <c r="P320" s="7">
        <f t="shared" si="61"/>
        <v/>
      </c>
      <c r="Q320" s="7">
        <f t="shared" si="58"/>
        <v/>
      </c>
      <c r="R320" s="7">
        <f t="shared" si="62"/>
      </c>
      <c r="S320" s="7">
        <f t="shared" si="63"/>
      </c>
      <c r="T320" s="7">
        <f t="shared" si="64"/>
      </c>
      <c r="U320" s="7">
        <f t="shared" si="59"/>
        <v/>
      </c>
    </row>
    <row r="321" spans="1:21" x14ac:dyDescent="0.3">
      <c r="A321" s="7">
        <f t="shared" si="60"/>
        <v/>
      </c>
      <c r="B321" s="7">
        <f>IF(C321=1,MAX(B$2:$B320)+1,IF(F321=0,"",B320))</f>
      </c>
      <c r="C321" s="7">
        <f>COUNTIF($F$2:$F321,F321)</f>
      </c>
      <c r="D321" s="7">
        <f>IF(F321=0,0,MAX($D$2:D320)+1)</f>
      </c>
      <c r="E321" s="7">
        <f>IF(H321=0,0,MAX($E$2:E320)+1)</f>
      </c>
      <c r="F321" s="177"/>
      <c r="G321" s="119"/>
      <c r="H321" s="119"/>
      <c r="I321" s="7">
        <f>IFERROR(VLOOKUP(H321,H$2:H320,1,FALSE),VLOOKUP(H321,H322:H$478,1,FALSE))</f>
      </c>
      <c r="J321" s="7">
        <f t="shared" si="54"/>
        <v/>
      </c>
      <c r="K321" s="7">
        <f t="shared" si="55"/>
        <v/>
      </c>
      <c r="L321" s="7">
        <f t="shared" si="56"/>
        <v/>
      </c>
      <c r="M321" s="19">
        <f t="shared" si="65"/>
        <v/>
      </c>
      <c r="N321" s="7">
        <f t="shared" si="57"/>
        <v/>
      </c>
      <c r="O321" s="7"/>
      <c r="P321" s="7">
        <f t="shared" si="61"/>
        <v/>
      </c>
      <c r="Q321" s="7">
        <f t="shared" si="58"/>
        <v/>
      </c>
      <c r="R321" s="7">
        <f t="shared" si="62"/>
      </c>
      <c r="S321" s="7">
        <f t="shared" si="63"/>
      </c>
      <c r="T321" s="7">
        <f t="shared" si="64"/>
      </c>
      <c r="U321" s="7">
        <f t="shared" si="59"/>
        <v/>
      </c>
    </row>
    <row r="322" spans="1:21" x14ac:dyDescent="0.3">
      <c r="A322" s="7">
        <f t="shared" si="60"/>
        <v/>
      </c>
      <c r="B322" s="7">
        <f>IF(C322=1,MAX(B$2:$B321)+1,IF(F322=0,"",B321))</f>
      </c>
      <c r="C322" s="7">
        <f>COUNTIF($F$2:$F322,F322)</f>
      </c>
      <c r="D322" s="7">
        <f>IF(F322=0,0,MAX($D$2:D321)+1)</f>
      </c>
      <c r="E322" s="7">
        <f>IF(H322=0,0,MAX($E$2:E321)+1)</f>
      </c>
      <c r="F322" s="177"/>
      <c r="G322" s="119"/>
      <c r="H322" s="119"/>
      <c r="I322" s="7">
        <f>IFERROR(VLOOKUP(H322,H$2:H321,1,FALSE),VLOOKUP(H322,H323:H$478,1,FALSE))</f>
      </c>
      <c r="J322" s="7">
        <f t="shared" si="54"/>
        <v/>
      </c>
      <c r="K322" s="7">
        <f t="shared" si="55"/>
        <v/>
      </c>
      <c r="L322" s="7">
        <f t="shared" si="56"/>
        <v/>
      </c>
      <c r="M322" s="19">
        <f t="shared" si="65"/>
        <v/>
      </c>
      <c r="N322" s="7">
        <f t="shared" si="57"/>
        <v/>
      </c>
      <c r="O322" s="7"/>
      <c r="P322" s="7">
        <f t="shared" si="61"/>
        <v/>
      </c>
      <c r="Q322" s="7">
        <f t="shared" si="58"/>
        <v/>
      </c>
      <c r="R322" s="7">
        <f t="shared" si="62"/>
      </c>
      <c r="S322" s="7">
        <f t="shared" si="63"/>
      </c>
      <c r="T322" s="7">
        <f t="shared" si="64"/>
      </c>
      <c r="U322" s="7">
        <f t="shared" si="59"/>
        <v/>
      </c>
    </row>
    <row r="323" spans="1:21" x14ac:dyDescent="0.3">
      <c r="A323" s="7">
        <f t="shared" si="60"/>
        <v/>
      </c>
      <c r="B323" s="7">
        <f>IF(C323=1,MAX(B$2:$B322)+1,IF(F323=0,"",B322))</f>
      </c>
      <c r="C323" s="7">
        <f>COUNTIF($F$2:$F323,F323)</f>
      </c>
      <c r="D323" s="7">
        <f>IF(F323=0,0,MAX($D$2:D322)+1)</f>
      </c>
      <c r="E323" s="7">
        <f>IF(H323=0,0,MAX($E$2:E322)+1)</f>
      </c>
      <c r="F323" s="177"/>
      <c r="G323" s="119"/>
      <c r="H323" s="119"/>
      <c r="I323" s="7">
        <f>IFERROR(VLOOKUP(H323,H$2:H322,1,FALSE),VLOOKUP(H323,H324:H$478,1,FALSE))</f>
      </c>
      <c r="J323" s="7">
        <f t="shared" ref="J323:J386" si="66">IF($H323=0,"",VLOOKUP($H323,Исходные_данные,36,FALSE))</f>
        <v/>
      </c>
      <c r="K323" s="7">
        <f t="shared" ref="K323:K386" si="67">IF($H323=0,"",VLOOKUP($H323,Исходные_данные,37,FALSE))</f>
        <v/>
      </c>
      <c r="L323" s="7">
        <f t="shared" ref="L323:L386" si="68">IF($H323=0,"",VLOOKUP($H323,Исходные_данные,38,FALSE))</f>
        <v/>
      </c>
      <c r="M323" s="19">
        <f t="shared" si="65"/>
        <v/>
      </c>
      <c r="N323" s="7">
        <f t="shared" ref="N323:N386" si="69">IF($H323=0,"",VLOOKUP($H323,Исходные_данные,39,FALSE))</f>
        <v/>
      </c>
      <c r="O323" s="7"/>
      <c r="P323" s="7">
        <f t="shared" ref="P323:P386" si="70">IF($H323=0,"",VLOOKUP($H323,Исходные_данные,41,FALSE))</f>
        <v/>
      </c>
      <c r="Q323" s="7">
        <f t="shared" ref="Q323:Q386" si="71">IF($H323=0,"",VLOOKUP($H323,Исходные_данные,8,FALSE))</f>
        <v/>
      </c>
      <c r="R323" s="7">
        <f t="shared" si="62"/>
      </c>
      <c r="S323" s="7">
        <f t="shared" si="63"/>
      </c>
      <c r="T323" s="7">
        <f t="shared" si="64"/>
      </c>
      <c r="U323" s="7">
        <f t="shared" ref="U323:U386" si="72">IF($H323=0,"",VLOOKUP($H323,Исходные_данные,31,FALSE))</f>
        <v/>
      </c>
    </row>
    <row r="324" spans="1:21" x14ac:dyDescent="0.3">
      <c r="A324" s="7">
        <f t="shared" ref="A324:A387" si="73">IF(B324=B325,"",B324)</f>
        <v/>
      </c>
      <c r="B324" s="7">
        <f>IF(C324=1,MAX(B$2:$B323)+1,IF(F324=0,"",B323))</f>
      </c>
      <c r="C324" s="7">
        <f>COUNTIF($F$2:$F324,F324)</f>
      </c>
      <c r="D324" s="7">
        <f>IF(F324=0,0,MAX($D$2:D323)+1)</f>
      </c>
      <c r="E324" s="7">
        <f>IF(H324=0,0,MAX($E$2:E323)+1)</f>
      </c>
      <c r="F324" s="177"/>
      <c r="G324" s="119"/>
      <c r="H324" s="119"/>
      <c r="I324" s="7">
        <f>IFERROR(VLOOKUP(H324,H$2:H323,1,FALSE),VLOOKUP(H324,H325:H$478,1,FALSE))</f>
      </c>
      <c r="J324" s="7">
        <f t="shared" si="66"/>
        <v/>
      </c>
      <c r="K324" s="7">
        <f t="shared" si="67"/>
        <v/>
      </c>
      <c r="L324" s="7">
        <f t="shared" si="68"/>
        <v/>
      </c>
      <c r="M324" s="19">
        <f t="shared" si="65"/>
        <v/>
      </c>
      <c r="N324" s="7">
        <f t="shared" si="69"/>
        <v/>
      </c>
      <c r="O324" s="7"/>
      <c r="P324" s="7">
        <f t="shared" si="70"/>
        <v/>
      </c>
      <c r="Q324" s="7">
        <f t="shared" si="71"/>
        <v/>
      </c>
      <c r="R324" s="7">
        <f t="shared" ref="R324:R387" si="74">IF(Q324=3,"L1,L2,L3",0)</f>
      </c>
      <c r="S324" s="7">
        <f t="shared" ref="S324:S387" si="75">IF(C324=1,1,IF(Q324=3,S323,IF(S323=3,1,S323+1)))</f>
      </c>
      <c r="T324" s="7">
        <f t="shared" ref="T324:T387" si="76">IF(R324=0,"L"&amp;S324,R324)</f>
      </c>
      <c r="U324" s="7">
        <f t="shared" si="72"/>
        <v/>
      </c>
    </row>
    <row r="325" spans="1:21" s="8" customFormat="1" ht="15" thickBot="1" x14ac:dyDescent="0.35">
      <c r="A325" s="47">
        <f t="shared" si="73"/>
        <v/>
      </c>
      <c r="B325" s="47">
        <f>IF(C325=1,MAX(B$2:$B324)+1,IF(F325=0,"",B324))</f>
      </c>
      <c r="C325" s="47">
        <f>COUNTIF($F$2:$F325,F325)</f>
      </c>
      <c r="D325" s="47">
        <f>IF(F325=0,0,MAX($D$2:D324)+1)</f>
      </c>
      <c r="E325" s="47">
        <f>IF(H325=0,0,MAX($E$2:E324)+1)</f>
      </c>
      <c r="F325" s="177"/>
      <c r="G325" s="175"/>
      <c r="H325" s="175"/>
      <c r="I325" s="47">
        <f>IFERROR(VLOOKUP(H325,H$2:H324,1,FALSE),VLOOKUP(H325,H326:H$478,1,FALSE))</f>
      </c>
      <c r="J325" s="47">
        <f t="shared" si="66"/>
        <v/>
      </c>
      <c r="K325" s="47">
        <f t="shared" si="67"/>
        <v/>
      </c>
      <c r="L325" s="47">
        <f t="shared" si="68"/>
        <v/>
      </c>
      <c r="M325" s="52">
        <f t="shared" ref="M325:M388" si="77">IFERROR(VLOOKUP(H325,Нагрузка_диапазон_1,4,FALSE),"")</f>
        <v/>
      </c>
      <c r="N325" s="47">
        <f t="shared" si="69"/>
        <v/>
      </c>
      <c r="O325" s="47"/>
      <c r="P325" s="47">
        <f t="shared" si="70"/>
        <v/>
      </c>
      <c r="Q325" s="47">
        <f t="shared" si="71"/>
        <v/>
      </c>
      <c r="R325" s="47">
        <f t="shared" si="74"/>
      </c>
      <c r="S325" s="47">
        <f t="shared" si="75"/>
      </c>
      <c r="T325" s="47">
        <f t="shared" si="76"/>
      </c>
      <c r="U325" s="47">
        <f t="shared" si="72"/>
        <v/>
      </c>
    </row>
    <row r="326" spans="1:21" x14ac:dyDescent="0.3">
      <c r="A326" s="7">
        <f t="shared" si="73"/>
        <v/>
      </c>
      <c r="B326" s="7">
        <f>IF(C326=1,MAX(B$2:$B325)+1,IF(F326=0,"",B325))</f>
      </c>
      <c r="C326" s="7">
        <f>COUNTIF($F$2:$F326,F326)</f>
      </c>
      <c r="D326" s="7">
        <f>IF(F326=0,0,MAX($D$2:D325)+1)</f>
      </c>
      <c r="E326" s="7">
        <f>IF(H326=0,0,MAX($E$2:E325)+1)</f>
      </c>
      <c r="F326" s="177"/>
      <c r="G326" s="119"/>
      <c r="H326" s="194"/>
      <c r="I326" s="7">
        <f>IFERROR(VLOOKUP(H326,H$2:H325,1,FALSE),VLOOKUP(H326,H327:H$478,1,FALSE))</f>
      </c>
      <c r="J326" s="7">
        <f t="shared" si="66"/>
        <v/>
      </c>
      <c r="K326" s="7">
        <f t="shared" si="67"/>
        <v/>
      </c>
      <c r="L326" s="7">
        <f t="shared" si="68"/>
        <v/>
      </c>
      <c r="M326" s="19">
        <f t="shared" si="77"/>
        <v/>
      </c>
      <c r="N326" s="7">
        <f t="shared" si="69"/>
        <v/>
      </c>
      <c r="O326" s="7"/>
      <c r="P326" s="7">
        <f t="shared" si="70"/>
        <v/>
      </c>
      <c r="Q326" s="7">
        <f t="shared" si="71"/>
        <v/>
      </c>
      <c r="R326" s="7">
        <f t="shared" si="74"/>
      </c>
      <c r="S326" s="7">
        <f t="shared" si="75"/>
      </c>
      <c r="T326" s="7">
        <f t="shared" si="76"/>
      </c>
      <c r="U326" s="7">
        <f t="shared" si="72"/>
        <v/>
      </c>
    </row>
    <row r="327" spans="1:21" x14ac:dyDescent="0.3">
      <c r="A327" s="7">
        <f t="shared" si="73"/>
        <v/>
      </c>
      <c r="B327" s="7">
        <f>IF(C327=1,MAX(B$2:$B326)+1,IF(F327=0,"",B326))</f>
      </c>
      <c r="C327" s="7">
        <f>COUNTIF($F$2:$F327,F327)</f>
      </c>
      <c r="D327" s="7">
        <f>IF(F327=0,0,MAX($D$2:D326)+1)</f>
      </c>
      <c r="E327" s="7">
        <f>IF(H327=0,0,MAX($E$2:E326)+1)</f>
      </c>
      <c r="F327" s="177"/>
      <c r="G327" s="119"/>
      <c r="H327" s="119"/>
      <c r="I327" s="7">
        <f>IFERROR(VLOOKUP(H327,H$2:H326,1,FALSE),VLOOKUP(H327,H328:H$478,1,FALSE))</f>
      </c>
      <c r="J327" s="7">
        <f t="shared" si="66"/>
        <v/>
      </c>
      <c r="K327" s="7">
        <f t="shared" si="67"/>
        <v/>
      </c>
      <c r="L327" s="7">
        <f t="shared" si="68"/>
        <v/>
      </c>
      <c r="M327" s="19">
        <f t="shared" si="77"/>
        <v/>
      </c>
      <c r="N327" s="7">
        <f t="shared" si="69"/>
        <v/>
      </c>
      <c r="O327" s="7"/>
      <c r="P327" s="7">
        <f t="shared" si="70"/>
        <v/>
      </c>
      <c r="Q327" s="7">
        <f t="shared" si="71"/>
        <v/>
      </c>
      <c r="R327" s="7">
        <f t="shared" si="74"/>
      </c>
      <c r="S327" s="7">
        <f t="shared" si="75"/>
      </c>
      <c r="T327" s="7">
        <f t="shared" si="76"/>
      </c>
      <c r="U327" s="7">
        <f t="shared" si="72"/>
        <v/>
      </c>
    </row>
    <row r="328" spans="1:21" x14ac:dyDescent="0.3">
      <c r="A328" s="7">
        <f t="shared" si="73"/>
        <v/>
      </c>
      <c r="B328" s="7">
        <f>IF(C328=1,MAX(B$2:$B327)+1,IF(F328=0,"",B327))</f>
      </c>
      <c r="C328" s="7">
        <f>COUNTIF($F$2:$F328,F328)</f>
      </c>
      <c r="D328" s="7">
        <f>IF(F328=0,0,MAX($D$2:D327)+1)</f>
      </c>
      <c r="E328" s="7">
        <f>IF(H328=0,0,MAX($E$2:E327)+1)</f>
      </c>
      <c r="F328" s="177"/>
      <c r="G328" s="119"/>
      <c r="H328" s="119"/>
      <c r="I328" s="7">
        <f>IFERROR(VLOOKUP(H328,H$2:H327,1,FALSE),VLOOKUP(H328,H329:H$478,1,FALSE))</f>
      </c>
      <c r="J328" s="7">
        <f t="shared" si="66"/>
        <v/>
      </c>
      <c r="K328" s="7">
        <f t="shared" si="67"/>
        <v/>
      </c>
      <c r="L328" s="7">
        <f t="shared" si="68"/>
        <v/>
      </c>
      <c r="M328" s="19">
        <f t="shared" si="77"/>
        <v/>
      </c>
      <c r="N328" s="7">
        <f t="shared" si="69"/>
        <v/>
      </c>
      <c r="O328" s="7"/>
      <c r="P328" s="7">
        <f t="shared" si="70"/>
        <v/>
      </c>
      <c r="Q328" s="7">
        <f t="shared" si="71"/>
        <v/>
      </c>
      <c r="R328" s="7">
        <f t="shared" si="74"/>
      </c>
      <c r="S328" s="7">
        <f t="shared" si="75"/>
      </c>
      <c r="T328" s="7">
        <f t="shared" si="76"/>
      </c>
      <c r="U328" s="7">
        <f t="shared" si="72"/>
        <v/>
      </c>
    </row>
    <row r="329" spans="1:21" x14ac:dyDescent="0.3">
      <c r="A329" s="7">
        <f t="shared" si="73"/>
        <v/>
      </c>
      <c r="B329" s="7">
        <f>IF(C329=1,MAX(B$2:$B328)+1,IF(F329=0,"",B328))</f>
      </c>
      <c r="C329" s="7">
        <f>COUNTIF($F$2:$F329,F329)</f>
      </c>
      <c r="D329" s="7">
        <f>IF(F329=0,0,MAX($D$2:D328)+1)</f>
      </c>
      <c r="E329" s="7">
        <f>IF(H329=0,0,MAX($E$2:E328)+1)</f>
      </c>
      <c r="F329" s="177"/>
      <c r="G329" s="119"/>
      <c r="H329" s="119"/>
      <c r="I329" s="7">
        <f>IFERROR(VLOOKUP(H329,H$2:H328,1,FALSE),VLOOKUP(H329,H330:H$478,1,FALSE))</f>
      </c>
      <c r="J329" s="7">
        <f t="shared" si="66"/>
        <v/>
      </c>
      <c r="K329" s="7">
        <f t="shared" si="67"/>
        <v/>
      </c>
      <c r="L329" s="7">
        <f t="shared" si="68"/>
        <v/>
      </c>
      <c r="M329" s="19">
        <f t="shared" si="77"/>
        <v/>
      </c>
      <c r="N329" s="7">
        <f t="shared" si="69"/>
        <v/>
      </c>
      <c r="O329" s="7"/>
      <c r="P329" s="7">
        <f t="shared" si="70"/>
        <v/>
      </c>
      <c r="Q329" s="7">
        <f t="shared" si="71"/>
        <v/>
      </c>
      <c r="R329" s="7">
        <f t="shared" si="74"/>
      </c>
      <c r="S329" s="7">
        <f t="shared" si="75"/>
      </c>
      <c r="T329" s="7">
        <f t="shared" si="76"/>
      </c>
      <c r="U329" s="7">
        <f t="shared" si="72"/>
        <v/>
      </c>
    </row>
    <row r="330" spans="1:21" x14ac:dyDescent="0.3">
      <c r="A330" s="7">
        <f t="shared" si="73"/>
        <v/>
      </c>
      <c r="B330" s="7">
        <f>IF(C330=1,MAX(B$2:$B329)+1,IF(F330=0,"",B329))</f>
      </c>
      <c r="C330" s="7">
        <f>COUNTIF($F$2:$F330,F330)</f>
      </c>
      <c r="D330" s="7">
        <f>IF(F330=0,0,MAX($D$2:D329)+1)</f>
      </c>
      <c r="E330" s="7">
        <f>IF(H330=0,0,MAX($E$2:E329)+1)</f>
      </c>
      <c r="F330" s="177"/>
      <c r="G330" s="119"/>
      <c r="H330" s="119"/>
      <c r="I330" s="7">
        <f>IFERROR(VLOOKUP(H330,H$2:H329,1,FALSE),VLOOKUP(H330,H331:H$478,1,FALSE))</f>
      </c>
      <c r="J330" s="7">
        <f t="shared" si="66"/>
        <v/>
      </c>
      <c r="K330" s="7">
        <f t="shared" si="67"/>
        <v/>
      </c>
      <c r="L330" s="7">
        <f t="shared" si="68"/>
        <v/>
      </c>
      <c r="M330" s="19">
        <f t="shared" si="77"/>
        <v/>
      </c>
      <c r="N330" s="7">
        <f t="shared" si="69"/>
        <v/>
      </c>
      <c r="O330" s="7"/>
      <c r="P330" s="7">
        <f t="shared" si="70"/>
        <v/>
      </c>
      <c r="Q330" s="7">
        <f t="shared" si="71"/>
        <v/>
      </c>
      <c r="R330" s="7">
        <f t="shared" si="74"/>
      </c>
      <c r="S330" s="7">
        <f t="shared" si="75"/>
      </c>
      <c r="T330" s="7">
        <f t="shared" si="76"/>
      </c>
      <c r="U330" s="7">
        <f t="shared" si="72"/>
        <v/>
      </c>
    </row>
    <row r="331" spans="1:21" x14ac:dyDescent="0.3">
      <c r="A331" s="7">
        <f t="shared" si="73"/>
        <v/>
      </c>
      <c r="B331" s="7">
        <f>IF(C331=1,MAX(B$2:$B330)+1,IF(F331=0,"",B330))</f>
      </c>
      <c r="C331" s="7">
        <f>COUNTIF($F$2:$F331,F331)</f>
      </c>
      <c r="D331" s="7">
        <f>IF(F331=0,0,MAX($D$2:D330)+1)</f>
      </c>
      <c r="E331" s="7">
        <f>IF(H331=0,0,MAX($E$2:E330)+1)</f>
      </c>
      <c r="F331" s="177"/>
      <c r="G331" s="119"/>
      <c r="H331" s="119"/>
      <c r="I331" s="7">
        <f>IFERROR(VLOOKUP(H331,H$2:H330,1,FALSE),VLOOKUP(H331,H332:H$478,1,FALSE))</f>
      </c>
      <c r="J331" s="7">
        <f t="shared" si="66"/>
        <v/>
      </c>
      <c r="K331" s="7">
        <f t="shared" si="67"/>
        <v/>
      </c>
      <c r="L331" s="7">
        <f t="shared" si="68"/>
        <v/>
      </c>
      <c r="M331" s="19">
        <f t="shared" si="77"/>
        <v/>
      </c>
      <c r="N331" s="7">
        <f t="shared" si="69"/>
        <v/>
      </c>
      <c r="O331" s="7"/>
      <c r="P331" s="7">
        <f t="shared" si="70"/>
        <v/>
      </c>
      <c r="Q331" s="7">
        <f t="shared" si="71"/>
        <v/>
      </c>
      <c r="R331" s="7">
        <f t="shared" si="74"/>
      </c>
      <c r="S331" s="7">
        <f t="shared" si="75"/>
      </c>
      <c r="T331" s="7">
        <f t="shared" si="76"/>
      </c>
      <c r="U331" s="7">
        <f t="shared" si="72"/>
        <v/>
      </c>
    </row>
    <row r="332" spans="1:21" x14ac:dyDescent="0.3">
      <c r="A332" s="7">
        <f t="shared" si="73"/>
        <v/>
      </c>
      <c r="B332" s="7">
        <f>IF(C332=1,MAX(B$2:$B331)+1,IF(F332=0,"",B331))</f>
      </c>
      <c r="C332" s="7">
        <f>COUNTIF($F$2:$F332,F332)</f>
      </c>
      <c r="D332" s="7">
        <f>IF(F332=0,0,MAX($D$2:D331)+1)</f>
      </c>
      <c r="E332" s="7">
        <f>IF(H332=0,0,MAX($E$2:E331)+1)</f>
      </c>
      <c r="F332" s="177"/>
      <c r="G332" s="177"/>
      <c r="H332" s="119"/>
      <c r="I332" s="7">
        <f>IFERROR(VLOOKUP(H332,H$2:H331,1,FALSE),VLOOKUP(H332,H333:H$478,1,FALSE))</f>
      </c>
      <c r="J332" s="7">
        <f t="shared" si="66"/>
        <v/>
      </c>
      <c r="K332" s="7">
        <f t="shared" si="67"/>
        <v/>
      </c>
      <c r="L332" s="7">
        <f t="shared" si="68"/>
        <v/>
      </c>
      <c r="M332" s="19">
        <f t="shared" si="77"/>
        <v/>
      </c>
      <c r="N332" s="7">
        <f t="shared" si="69"/>
        <v/>
      </c>
      <c r="O332" s="7"/>
      <c r="P332" s="7">
        <f t="shared" si="70"/>
        <v/>
      </c>
      <c r="Q332" s="7">
        <f t="shared" si="71"/>
        <v/>
      </c>
      <c r="R332" s="7">
        <f t="shared" si="74"/>
      </c>
      <c r="S332" s="7">
        <f t="shared" si="75"/>
      </c>
      <c r="T332" s="7">
        <f t="shared" si="76"/>
      </c>
      <c r="U332" s="7">
        <f t="shared" si="72"/>
        <v/>
      </c>
    </row>
    <row r="333" spans="1:21" x14ac:dyDescent="0.3">
      <c r="A333" s="7">
        <f t="shared" si="73"/>
        <v/>
      </c>
      <c r="B333" s="7">
        <f>IF(C333=1,MAX(B$2:$B332)+1,IF(F333=0,"",B332))</f>
      </c>
      <c r="C333" s="7">
        <f>COUNTIF($F$2:$F333,F333)</f>
      </c>
      <c r="D333" s="7">
        <f>IF(F333=0,0,MAX($D$2:D332)+1)</f>
      </c>
      <c r="E333" s="7">
        <f>IF(H333=0,0,MAX($E$2:E332)+1)</f>
      </c>
      <c r="F333" s="177"/>
      <c r="G333" s="119"/>
      <c r="H333" s="119"/>
      <c r="I333" s="7">
        <f>IFERROR(VLOOKUP(H333,H$2:H332,1,FALSE),VLOOKUP(H333,H334:H$478,1,FALSE))</f>
      </c>
      <c r="J333" s="7">
        <f t="shared" si="66"/>
        <v/>
      </c>
      <c r="K333" s="7">
        <f t="shared" si="67"/>
        <v/>
      </c>
      <c r="L333" s="7">
        <f t="shared" si="68"/>
        <v/>
      </c>
      <c r="M333" s="19">
        <f t="shared" si="77"/>
        <v/>
      </c>
      <c r="N333" s="7">
        <f t="shared" si="69"/>
        <v/>
      </c>
      <c r="O333" s="7"/>
      <c r="P333" s="7">
        <f t="shared" si="70"/>
        <v/>
      </c>
      <c r="Q333" s="7">
        <f t="shared" si="71"/>
        <v/>
      </c>
      <c r="R333" s="7">
        <f t="shared" si="74"/>
      </c>
      <c r="S333" s="7">
        <f t="shared" si="75"/>
      </c>
      <c r="T333" s="7">
        <f t="shared" si="76"/>
      </c>
      <c r="U333" s="7">
        <f t="shared" si="72"/>
        <v/>
      </c>
    </row>
    <row r="334" spans="1:21" x14ac:dyDescent="0.3">
      <c r="A334" s="7">
        <f t="shared" si="73"/>
        <v/>
      </c>
      <c r="B334" s="7">
        <f>IF(C334=1,MAX(B$2:$B333)+1,IF(F334=0,"",B333))</f>
      </c>
      <c r="C334" s="7">
        <f>COUNTIF($F$2:$F334,F334)</f>
      </c>
      <c r="D334" s="7">
        <f>IF(F334=0,0,MAX($D$2:D333)+1)</f>
      </c>
      <c r="E334" s="7">
        <f>IF(H334=0,0,MAX($E$2:E333)+1)</f>
      </c>
      <c r="F334" s="177"/>
      <c r="G334" s="119"/>
      <c r="H334" s="119"/>
      <c r="I334" s="7">
        <f>IFERROR(VLOOKUP(H334,H$2:H333,1,FALSE),VLOOKUP(H334,H335:H$478,1,FALSE))</f>
      </c>
      <c r="J334" s="7">
        <f t="shared" si="66"/>
        <v/>
      </c>
      <c r="K334" s="7">
        <f t="shared" si="67"/>
        <v/>
      </c>
      <c r="L334" s="7">
        <f t="shared" si="68"/>
        <v/>
      </c>
      <c r="M334" s="19">
        <f t="shared" si="77"/>
        <v/>
      </c>
      <c r="N334" s="7">
        <f t="shared" si="69"/>
        <v/>
      </c>
      <c r="O334" s="7"/>
      <c r="P334" s="7">
        <f t="shared" si="70"/>
        <v/>
      </c>
      <c r="Q334" s="7">
        <f t="shared" si="71"/>
        <v/>
      </c>
      <c r="R334" s="7">
        <f t="shared" si="74"/>
      </c>
      <c r="S334" s="7">
        <f t="shared" si="75"/>
      </c>
      <c r="T334" s="7">
        <f t="shared" si="76"/>
      </c>
      <c r="U334" s="7">
        <f t="shared" si="72"/>
        <v/>
      </c>
    </row>
    <row r="335" spans="1:21" x14ac:dyDescent="0.3">
      <c r="A335" s="7">
        <f t="shared" si="73"/>
        <v/>
      </c>
      <c r="B335" s="7">
        <f>IF(C335=1,MAX(B$2:$B334)+1,IF(F335=0,"",B334))</f>
      </c>
      <c r="C335" s="7">
        <f>COUNTIF($F$2:$F335,F335)</f>
      </c>
      <c r="D335" s="7">
        <f>IF(F335=0,0,MAX($D$2:D334)+1)</f>
      </c>
      <c r="E335" s="7">
        <f>IF(H335=0,0,MAX($E$2:E334)+1)</f>
      </c>
      <c r="F335" s="177"/>
      <c r="G335" s="119"/>
      <c r="H335" s="119"/>
      <c r="I335" s="7">
        <f>IFERROR(VLOOKUP(H335,H$2:H334,1,FALSE),VLOOKUP(H335,H336:H$478,1,FALSE))</f>
      </c>
      <c r="J335" s="7">
        <f t="shared" si="66"/>
        <v/>
      </c>
      <c r="K335" s="7">
        <f t="shared" si="67"/>
        <v/>
      </c>
      <c r="L335" s="7">
        <f t="shared" si="68"/>
        <v/>
      </c>
      <c r="M335" s="19">
        <f t="shared" si="77"/>
        <v/>
      </c>
      <c r="N335" s="7">
        <f t="shared" si="69"/>
        <v/>
      </c>
      <c r="O335" s="7"/>
      <c r="P335" s="7">
        <f t="shared" si="70"/>
        <v/>
      </c>
      <c r="Q335" s="7">
        <f t="shared" si="71"/>
        <v/>
      </c>
      <c r="R335" s="7">
        <f t="shared" si="74"/>
      </c>
      <c r="S335" s="7">
        <f t="shared" si="75"/>
      </c>
      <c r="T335" s="7">
        <f t="shared" si="76"/>
      </c>
      <c r="U335" s="7">
        <f t="shared" si="72"/>
        <v/>
      </c>
    </row>
    <row r="336" spans="1:21" x14ac:dyDescent="0.3">
      <c r="A336" s="7">
        <f t="shared" si="73"/>
        <v/>
      </c>
      <c r="B336" s="7">
        <f>IF(C336=1,MAX(B$2:$B335)+1,IF(F336=0,"",B335))</f>
      </c>
      <c r="C336" s="7">
        <f>COUNTIF($F$2:$F336,F336)</f>
      </c>
      <c r="D336" s="7">
        <f>IF(F336=0,0,MAX($D$2:D335)+1)</f>
      </c>
      <c r="E336" s="7">
        <f>IF(H336=0,0,MAX($E$2:E335)+1)</f>
      </c>
      <c r="F336" s="177"/>
      <c r="G336" s="119"/>
      <c r="H336" s="119"/>
      <c r="I336" s="7">
        <f>IFERROR(VLOOKUP(H336,H$2:H335,1,FALSE),VLOOKUP(H336,H337:H$478,1,FALSE))</f>
      </c>
      <c r="J336" s="7">
        <f t="shared" si="66"/>
        <v/>
      </c>
      <c r="K336" s="7">
        <f t="shared" si="67"/>
        <v/>
      </c>
      <c r="L336" s="7">
        <f t="shared" si="68"/>
        <v/>
      </c>
      <c r="M336" s="19">
        <f t="shared" si="77"/>
        <v/>
      </c>
      <c r="N336" s="7">
        <f t="shared" si="69"/>
        <v/>
      </c>
      <c r="O336" s="7"/>
      <c r="P336" s="7">
        <f t="shared" si="70"/>
        <v/>
      </c>
      <c r="Q336" s="7">
        <f t="shared" si="71"/>
        <v/>
      </c>
      <c r="R336" s="7">
        <f t="shared" si="74"/>
      </c>
      <c r="S336" s="7">
        <f t="shared" si="75"/>
      </c>
      <c r="T336" s="7">
        <f t="shared" si="76"/>
      </c>
      <c r="U336" s="7">
        <f t="shared" si="72"/>
        <v/>
      </c>
    </row>
    <row r="337" spans="1:21" x14ac:dyDescent="0.3">
      <c r="A337" s="7">
        <f t="shared" si="73"/>
        <v/>
      </c>
      <c r="B337" s="7">
        <f>IF(C337=1,MAX(B$2:$B336)+1,IF(F337=0,"",B336))</f>
      </c>
      <c r="C337" s="7">
        <f>COUNTIF($F$2:$F337,F337)</f>
      </c>
      <c r="D337" s="7">
        <f>IF(F337=0,0,MAX($D$2:D336)+1)</f>
      </c>
      <c r="E337" s="7">
        <f>IF(H337=0,0,MAX($E$2:E336)+1)</f>
      </c>
      <c r="F337" s="177"/>
      <c r="G337" s="119"/>
      <c r="H337" s="119"/>
      <c r="I337" s="7">
        <f>IFERROR(VLOOKUP(H337,H$2:H336,1,FALSE),VLOOKUP(H337,H338:H$478,1,FALSE))</f>
      </c>
      <c r="J337" s="7">
        <f t="shared" si="66"/>
        <v/>
      </c>
      <c r="K337" s="7">
        <f t="shared" si="67"/>
        <v/>
      </c>
      <c r="L337" s="7">
        <f t="shared" si="68"/>
        <v/>
      </c>
      <c r="M337" s="19">
        <f t="shared" si="77"/>
        <v/>
      </c>
      <c r="N337" s="7">
        <f t="shared" si="69"/>
        <v/>
      </c>
      <c r="O337" s="7"/>
      <c r="P337" s="7">
        <f t="shared" si="70"/>
        <v/>
      </c>
      <c r="Q337" s="7">
        <f t="shared" si="71"/>
        <v/>
      </c>
      <c r="R337" s="7">
        <f t="shared" si="74"/>
      </c>
      <c r="S337" s="7">
        <f t="shared" si="75"/>
      </c>
      <c r="T337" s="7">
        <f t="shared" si="76"/>
      </c>
      <c r="U337" s="7">
        <f t="shared" si="72"/>
        <v/>
      </c>
    </row>
    <row r="338" spans="1:21" x14ac:dyDescent="0.3">
      <c r="A338" s="7">
        <f t="shared" si="73"/>
        <v/>
      </c>
      <c r="B338" s="7">
        <f>IF(C338=1,MAX(B$2:$B337)+1,IF(F338=0,"",B337))</f>
      </c>
      <c r="C338" s="7">
        <f>COUNTIF($F$2:$F338,F338)</f>
      </c>
      <c r="D338" s="7">
        <f>IF(F338=0,0,MAX($D$2:D337)+1)</f>
      </c>
      <c r="E338" s="7">
        <f>IF(H338=0,0,MAX($E$2:E337)+1)</f>
      </c>
      <c r="F338" s="177"/>
      <c r="G338" s="119"/>
      <c r="H338" s="119"/>
      <c r="I338" s="7">
        <f>IFERROR(VLOOKUP(H338,H$2:H337,1,FALSE),VLOOKUP(H338,H339:H$478,1,FALSE))</f>
      </c>
      <c r="J338" s="7">
        <f t="shared" si="66"/>
        <v/>
      </c>
      <c r="K338" s="7">
        <f t="shared" si="67"/>
        <v/>
      </c>
      <c r="L338" s="7">
        <f t="shared" si="68"/>
        <v/>
      </c>
      <c r="M338" s="19">
        <f t="shared" si="77"/>
        <v/>
      </c>
      <c r="N338" s="7">
        <f t="shared" si="69"/>
        <v/>
      </c>
      <c r="O338" s="7"/>
      <c r="P338" s="7">
        <f t="shared" si="70"/>
        <v/>
      </c>
      <c r="Q338" s="7">
        <f t="shared" si="71"/>
        <v/>
      </c>
      <c r="R338" s="7">
        <f t="shared" si="74"/>
      </c>
      <c r="S338" s="7">
        <f t="shared" si="75"/>
      </c>
      <c r="T338" s="7">
        <f t="shared" si="76"/>
      </c>
      <c r="U338" s="7">
        <f t="shared" si="72"/>
        <v/>
      </c>
    </row>
    <row r="339" spans="1:21" x14ac:dyDescent="0.3">
      <c r="A339" s="7">
        <f t="shared" si="73"/>
        <v/>
      </c>
      <c r="B339" s="7">
        <f>IF(C339=1,MAX(B$2:$B338)+1,IF(F339=0,"",B338))</f>
      </c>
      <c r="C339" s="7">
        <f>COUNTIF($F$2:$F339,F339)</f>
      </c>
      <c r="D339" s="7">
        <f>IF(F339=0,0,MAX($D$2:D338)+1)</f>
      </c>
      <c r="E339" s="7">
        <f>IF(H339=0,0,MAX($E$2:E338)+1)</f>
      </c>
      <c r="F339" s="177"/>
      <c r="G339" s="119"/>
      <c r="H339" s="119"/>
      <c r="I339" s="7">
        <f>IFERROR(VLOOKUP(H339,H$2:H338,1,FALSE),VLOOKUP(H339,H340:H$478,1,FALSE))</f>
      </c>
      <c r="J339" s="7">
        <f t="shared" si="66"/>
        <v/>
      </c>
      <c r="K339" s="7">
        <f t="shared" si="67"/>
        <v/>
      </c>
      <c r="L339" s="7">
        <f t="shared" si="68"/>
        <v/>
      </c>
      <c r="M339" s="19">
        <f t="shared" si="77"/>
        <v/>
      </c>
      <c r="N339" s="7">
        <f t="shared" si="69"/>
        <v/>
      </c>
      <c r="O339" s="7"/>
      <c r="P339" s="7">
        <f t="shared" si="70"/>
        <v/>
      </c>
      <c r="Q339" s="7">
        <f t="shared" si="71"/>
        <v/>
      </c>
      <c r="R339" s="7">
        <f t="shared" si="74"/>
      </c>
      <c r="S339" s="7">
        <f t="shared" si="75"/>
      </c>
      <c r="T339" s="7">
        <f t="shared" si="76"/>
      </c>
      <c r="U339" s="7">
        <f t="shared" si="72"/>
        <v/>
      </c>
    </row>
    <row r="340" spans="1:21" x14ac:dyDescent="0.3">
      <c r="A340" s="7">
        <f t="shared" si="73"/>
        <v/>
      </c>
      <c r="B340" s="7">
        <f>IF(C340=1,MAX(B$2:$B339)+1,IF(F340=0,"",B339))</f>
      </c>
      <c r="C340" s="7">
        <f>COUNTIF($F$2:$F340,F340)</f>
      </c>
      <c r="D340" s="7">
        <f>IF(F340=0,0,MAX($D$2:D339)+1)</f>
      </c>
      <c r="E340" s="7">
        <f>IF(H340=0,0,MAX($E$2:E339)+1)</f>
      </c>
      <c r="F340" s="177"/>
      <c r="G340" s="119"/>
      <c r="H340" s="119"/>
      <c r="I340" s="7">
        <f>IFERROR(VLOOKUP(H340,H$2:H339,1,FALSE),VLOOKUP(H340,H341:H$478,1,FALSE))</f>
      </c>
      <c r="J340" s="7">
        <f t="shared" si="66"/>
        <v/>
      </c>
      <c r="K340" s="7">
        <f t="shared" si="67"/>
        <v/>
      </c>
      <c r="L340" s="7">
        <f t="shared" si="68"/>
        <v/>
      </c>
      <c r="M340" s="19">
        <f t="shared" si="77"/>
        <v/>
      </c>
      <c r="N340" s="7">
        <f t="shared" si="69"/>
        <v/>
      </c>
      <c r="O340" s="7"/>
      <c r="P340" s="7">
        <f t="shared" si="70"/>
        <v/>
      </c>
      <c r="Q340" s="7">
        <f t="shared" si="71"/>
        <v/>
      </c>
      <c r="R340" s="7">
        <f t="shared" si="74"/>
      </c>
      <c r="S340" s="7">
        <f t="shared" si="75"/>
      </c>
      <c r="T340" s="7">
        <f t="shared" si="76"/>
      </c>
      <c r="U340" s="7">
        <f t="shared" si="72"/>
        <v/>
      </c>
    </row>
    <row r="341" spans="1:21" x14ac:dyDescent="0.3">
      <c r="A341" s="7">
        <f t="shared" si="73"/>
        <v/>
      </c>
      <c r="B341" s="7">
        <f>IF(C341=1,MAX(B$2:$B340)+1,IF(F341=0,"",B340))</f>
      </c>
      <c r="C341" s="7">
        <f>COUNTIF($F$2:$F341,F341)</f>
      </c>
      <c r="D341" s="7">
        <f>IF(F341=0,0,MAX($D$2:D340)+1)</f>
      </c>
      <c r="E341" s="7">
        <f>IF(H341=0,0,MAX($E$2:E340)+1)</f>
      </c>
      <c r="F341" s="177"/>
      <c r="G341" s="119"/>
      <c r="H341" s="119"/>
      <c r="I341" s="7">
        <f>IFERROR(VLOOKUP(H341,H$2:H340,1,FALSE),VLOOKUP(H341,H342:H$478,1,FALSE))</f>
      </c>
      <c r="J341" s="7">
        <f t="shared" si="66"/>
        <v/>
      </c>
      <c r="K341" s="7">
        <f t="shared" si="67"/>
        <v/>
      </c>
      <c r="L341" s="7">
        <f t="shared" si="68"/>
        <v/>
      </c>
      <c r="M341" s="19">
        <f t="shared" si="77"/>
        <v/>
      </c>
      <c r="N341" s="7">
        <f t="shared" si="69"/>
        <v/>
      </c>
      <c r="O341" s="7"/>
      <c r="P341" s="7">
        <f t="shared" si="70"/>
        <v/>
      </c>
      <c r="Q341" s="7">
        <f t="shared" si="71"/>
        <v/>
      </c>
      <c r="R341" s="7">
        <f t="shared" si="74"/>
      </c>
      <c r="S341" s="7">
        <f t="shared" si="75"/>
      </c>
      <c r="T341" s="7">
        <f t="shared" si="76"/>
      </c>
      <c r="U341" s="7">
        <f t="shared" si="72"/>
        <v/>
      </c>
    </row>
    <row r="342" spans="1:21" s="8" customFormat="1" ht="15" thickBot="1" x14ac:dyDescent="0.35">
      <c r="A342" s="47">
        <f t="shared" si="73"/>
        <v/>
      </c>
      <c r="B342" s="47">
        <f>IF(C342=1,MAX(B$2:$B341)+1,IF(F342=0,"",B341))</f>
      </c>
      <c r="C342" s="47">
        <f>COUNTIF($F$2:$F342,F342)</f>
      </c>
      <c r="D342" s="47">
        <f>IF(F342=0,0,MAX($D$2:D341)+1)</f>
      </c>
      <c r="E342" s="47">
        <f>IF(H342=0,0,MAX($E$2:E341)+1)</f>
      </c>
      <c r="F342" s="177"/>
      <c r="G342" s="175"/>
      <c r="H342" s="175"/>
      <c r="I342" s="47">
        <f>IFERROR(VLOOKUP(H342,H$2:H341,1,FALSE),VLOOKUP(H342,H343:H$478,1,FALSE))</f>
      </c>
      <c r="J342" s="47">
        <f t="shared" si="66"/>
        <v/>
      </c>
      <c r="K342" s="47">
        <f t="shared" si="67"/>
        <v/>
      </c>
      <c r="L342" s="47">
        <f t="shared" si="68"/>
        <v/>
      </c>
      <c r="M342" s="52">
        <f t="shared" si="77"/>
        <v/>
      </c>
      <c r="N342" s="47">
        <f t="shared" si="69"/>
        <v/>
      </c>
      <c r="O342" s="47"/>
      <c r="P342" s="47">
        <f t="shared" si="70"/>
        <v/>
      </c>
      <c r="Q342" s="47">
        <f t="shared" si="71"/>
        <v/>
      </c>
      <c r="R342" s="47">
        <f t="shared" si="74"/>
      </c>
      <c r="S342" s="47">
        <f t="shared" si="75"/>
      </c>
      <c r="T342" s="47">
        <f t="shared" si="76"/>
      </c>
      <c r="U342" s="47">
        <f t="shared" si="72"/>
        <v/>
      </c>
    </row>
    <row r="343" spans="1:21" x14ac:dyDescent="0.3">
      <c r="A343" s="7">
        <f t="shared" si="73"/>
        <v/>
      </c>
      <c r="B343" s="7">
        <f>IF(C343=1,MAX(B$2:$B342)+1,IF(F343=0,"",B342))</f>
      </c>
      <c r="C343" s="7">
        <f>COUNTIF($F$2:$F343,F343)</f>
      </c>
      <c r="D343" s="7">
        <f>IF(F343=0,0,MAX($D$2:D342)+1)</f>
      </c>
      <c r="E343" s="7">
        <f>IF(H343=0,0,MAX($E$2:E342)+1)</f>
      </c>
      <c r="F343" s="177"/>
      <c r="G343" s="119"/>
      <c r="H343" s="194"/>
      <c r="I343" s="7">
        <f>IFERROR(VLOOKUP(H343,H$2:H342,1,FALSE),VLOOKUP(H343,H344:H$478,1,FALSE))</f>
      </c>
      <c r="J343" s="7">
        <f t="shared" si="66"/>
        <v/>
      </c>
      <c r="K343" s="7">
        <f t="shared" si="67"/>
        <v/>
      </c>
      <c r="L343" s="7">
        <f t="shared" si="68"/>
        <v/>
      </c>
      <c r="M343" s="19">
        <f t="shared" si="77"/>
        <v/>
      </c>
      <c r="N343" s="7">
        <f t="shared" si="69"/>
        <v/>
      </c>
      <c r="O343" s="7"/>
      <c r="P343" s="7">
        <f t="shared" si="70"/>
        <v/>
      </c>
      <c r="Q343" s="7">
        <f t="shared" si="71"/>
        <v/>
      </c>
      <c r="R343" s="7">
        <f t="shared" si="74"/>
      </c>
      <c r="S343" s="7">
        <f t="shared" si="75"/>
      </c>
      <c r="T343" s="7">
        <f t="shared" si="76"/>
      </c>
      <c r="U343" s="7">
        <f t="shared" si="72"/>
        <v/>
      </c>
    </row>
    <row r="344" spans="1:21" x14ac:dyDescent="0.3">
      <c r="A344" s="7">
        <f t="shared" si="73"/>
        <v/>
      </c>
      <c r="B344" s="7">
        <f>IF(C344=1,MAX(B$2:$B343)+1,IF(F344=0,"",B343))</f>
      </c>
      <c r="C344" s="7">
        <f>COUNTIF($F$2:$F344,F344)</f>
      </c>
      <c r="D344" s="7">
        <f>IF(F344=0,0,MAX($D$2:D343)+1)</f>
      </c>
      <c r="E344" s="7">
        <f>IF(H344=0,0,MAX($E$2:E343)+1)</f>
      </c>
      <c r="F344" s="177"/>
      <c r="G344" s="119"/>
      <c r="H344" s="119"/>
      <c r="I344" s="7">
        <f>IFERROR(VLOOKUP(H344,H$2:H343,1,FALSE),VLOOKUP(H344,H345:H$478,1,FALSE))</f>
      </c>
      <c r="J344" s="7">
        <f t="shared" si="66"/>
        <v/>
      </c>
      <c r="K344" s="7">
        <f t="shared" si="67"/>
        <v/>
      </c>
      <c r="L344" s="7">
        <f t="shared" si="68"/>
        <v/>
      </c>
      <c r="M344" s="19">
        <f t="shared" si="77"/>
        <v/>
      </c>
      <c r="N344" s="7">
        <f t="shared" si="69"/>
        <v/>
      </c>
      <c r="O344" s="7"/>
      <c r="P344" s="7">
        <f t="shared" si="70"/>
        <v/>
      </c>
      <c r="Q344" s="7">
        <f t="shared" si="71"/>
        <v/>
      </c>
      <c r="R344" s="7">
        <f t="shared" si="74"/>
      </c>
      <c r="S344" s="7">
        <f t="shared" si="75"/>
      </c>
      <c r="T344" s="7">
        <f t="shared" si="76"/>
      </c>
      <c r="U344" s="7">
        <f t="shared" si="72"/>
        <v/>
      </c>
    </row>
    <row r="345" spans="1:21" x14ac:dyDescent="0.3">
      <c r="A345" s="7">
        <f t="shared" si="73"/>
        <v/>
      </c>
      <c r="B345" s="7">
        <f>IF(C345=1,MAX(B$2:$B344)+1,IF(F345=0,"",B344))</f>
      </c>
      <c r="C345" s="7">
        <f>COUNTIF($F$2:$F345,F345)</f>
      </c>
      <c r="D345" s="7">
        <f>IF(F345=0,0,MAX($D$2:D344)+1)</f>
      </c>
      <c r="E345" s="7">
        <f>IF(H345=0,0,MAX($E$2:E344)+1)</f>
      </c>
      <c r="F345" s="177"/>
      <c r="G345" s="119"/>
      <c r="H345" s="119"/>
      <c r="I345" s="7">
        <f>IFERROR(VLOOKUP(H345,H$2:H344,1,FALSE),VLOOKUP(H345,H346:H$478,1,FALSE))</f>
      </c>
      <c r="J345" s="7">
        <f t="shared" si="66"/>
        <v/>
      </c>
      <c r="K345" s="7">
        <f t="shared" si="67"/>
        <v/>
      </c>
      <c r="L345" s="7">
        <f t="shared" si="68"/>
        <v/>
      </c>
      <c r="M345" s="19">
        <f t="shared" si="77"/>
        <v/>
      </c>
      <c r="N345" s="7">
        <f t="shared" si="69"/>
        <v/>
      </c>
      <c r="O345" s="7"/>
      <c r="P345" s="7">
        <f t="shared" si="70"/>
        <v/>
      </c>
      <c r="Q345" s="7">
        <f t="shared" si="71"/>
        <v/>
      </c>
      <c r="R345" s="7">
        <f t="shared" si="74"/>
      </c>
      <c r="S345" s="7">
        <f t="shared" si="75"/>
      </c>
      <c r="T345" s="7">
        <f t="shared" si="76"/>
      </c>
      <c r="U345" s="7">
        <f t="shared" si="72"/>
        <v/>
      </c>
    </row>
    <row r="346" spans="1:21" x14ac:dyDescent="0.3">
      <c r="A346" s="7">
        <f t="shared" si="73"/>
        <v/>
      </c>
      <c r="B346" s="7">
        <f>IF(C346=1,MAX(B$2:$B345)+1,IF(F346=0,"",B345))</f>
      </c>
      <c r="C346" s="7">
        <f>COUNTIF($F$2:$F346,F346)</f>
      </c>
      <c r="D346" s="7">
        <f>IF(F346=0,0,MAX($D$2:D345)+1)</f>
      </c>
      <c r="E346" s="7">
        <f>IF(H346=0,0,MAX($E$2:E345)+1)</f>
      </c>
      <c r="F346" s="177"/>
      <c r="G346" s="177"/>
      <c r="H346" s="119"/>
      <c r="I346" s="7">
        <f>IFERROR(VLOOKUP(H346,H$2:H345,1,FALSE),VLOOKUP(H346,H347:H$478,1,FALSE))</f>
      </c>
      <c r="J346" s="7">
        <f t="shared" si="66"/>
        <v/>
      </c>
      <c r="K346" s="7">
        <f t="shared" si="67"/>
        <v/>
      </c>
      <c r="L346" s="7">
        <f t="shared" si="68"/>
        <v/>
      </c>
      <c r="M346" s="19">
        <f t="shared" si="77"/>
        <v/>
      </c>
      <c r="N346" s="7">
        <f t="shared" si="69"/>
        <v/>
      </c>
      <c r="O346" s="7"/>
      <c r="P346" s="7">
        <f t="shared" si="70"/>
        <v/>
      </c>
      <c r="Q346" s="7">
        <f t="shared" si="71"/>
        <v/>
      </c>
      <c r="R346" s="7">
        <f t="shared" si="74"/>
      </c>
      <c r="S346" s="7">
        <f t="shared" si="75"/>
      </c>
      <c r="T346" s="7">
        <f t="shared" si="76"/>
      </c>
      <c r="U346" s="7">
        <f t="shared" si="72"/>
        <v/>
      </c>
    </row>
    <row r="347" spans="1:21" x14ac:dyDescent="0.3">
      <c r="A347" s="7">
        <f t="shared" si="73"/>
        <v/>
      </c>
      <c r="B347" s="7">
        <f>IF(C347=1,MAX(B$2:$B346)+1,IF(F347=0,"",B346))</f>
      </c>
      <c r="C347" s="7">
        <f>COUNTIF($F$2:$F347,F347)</f>
      </c>
      <c r="D347" s="7">
        <f>IF(F347=0,0,MAX($D$2:D346)+1)</f>
      </c>
      <c r="E347" s="7">
        <f>IF(H347=0,0,MAX($E$2:E346)+1)</f>
      </c>
      <c r="F347" s="177"/>
      <c r="G347" s="119"/>
      <c r="H347" s="119"/>
      <c r="I347" s="7">
        <f>IFERROR(VLOOKUP(H347,H$2:H346,1,FALSE),VLOOKUP(H347,H348:H$478,1,FALSE))</f>
      </c>
      <c r="J347" s="7">
        <f t="shared" si="66"/>
        <v/>
      </c>
      <c r="K347" s="7">
        <f t="shared" si="67"/>
        <v/>
      </c>
      <c r="L347" s="7">
        <f t="shared" si="68"/>
        <v/>
      </c>
      <c r="M347" s="19">
        <f t="shared" si="77"/>
        <v/>
      </c>
      <c r="N347" s="7">
        <f t="shared" si="69"/>
        <v/>
      </c>
      <c r="O347" s="7"/>
      <c r="P347" s="7">
        <f t="shared" si="70"/>
        <v/>
      </c>
      <c r="Q347" s="7">
        <f t="shared" si="71"/>
        <v/>
      </c>
      <c r="R347" s="7">
        <f t="shared" si="74"/>
      </c>
      <c r="S347" s="7">
        <f t="shared" si="75"/>
      </c>
      <c r="T347" s="7">
        <f t="shared" si="76"/>
      </c>
      <c r="U347" s="7">
        <f t="shared" si="72"/>
        <v/>
      </c>
    </row>
    <row r="348" spans="1:21" x14ac:dyDescent="0.3">
      <c r="A348" s="7">
        <f t="shared" si="73"/>
        <v/>
      </c>
      <c r="B348" s="7">
        <f>IF(C348=1,MAX(B$2:$B347)+1,IF(F348=0,"",B347))</f>
      </c>
      <c r="C348" s="7">
        <f>COUNTIF($F$2:$F348,F348)</f>
      </c>
      <c r="D348" s="7">
        <f>IF(F348=0,0,MAX($D$2:D347)+1)</f>
      </c>
      <c r="E348" s="7">
        <f>IF(H348=0,0,MAX($E$2:E347)+1)</f>
      </c>
      <c r="F348" s="177"/>
      <c r="G348" s="119"/>
      <c r="H348" s="119"/>
      <c r="I348" s="7">
        <f>IFERROR(VLOOKUP(H348,H$2:H347,1,FALSE),VLOOKUP(H348,H349:H$478,1,FALSE))</f>
      </c>
      <c r="J348" s="7">
        <f t="shared" si="66"/>
        <v/>
      </c>
      <c r="K348" s="7">
        <f t="shared" si="67"/>
        <v/>
      </c>
      <c r="L348" s="7">
        <f t="shared" si="68"/>
        <v/>
      </c>
      <c r="M348" s="19">
        <f t="shared" si="77"/>
        <v/>
      </c>
      <c r="N348" s="7">
        <f t="shared" si="69"/>
        <v/>
      </c>
      <c r="O348" s="7"/>
      <c r="P348" s="7">
        <f t="shared" si="70"/>
        <v/>
      </c>
      <c r="Q348" s="7">
        <f t="shared" si="71"/>
        <v/>
      </c>
      <c r="R348" s="7">
        <f t="shared" si="74"/>
      </c>
      <c r="S348" s="7">
        <f t="shared" si="75"/>
      </c>
      <c r="T348" s="7">
        <f t="shared" si="76"/>
      </c>
      <c r="U348" s="7">
        <f t="shared" si="72"/>
        <v/>
      </c>
    </row>
    <row r="349" spans="1:21" x14ac:dyDescent="0.3">
      <c r="A349" s="7">
        <f t="shared" si="73"/>
        <v/>
      </c>
      <c r="B349" s="7">
        <f>IF(C349=1,MAX(B$2:$B348)+1,IF(F349=0,"",B348))</f>
      </c>
      <c r="C349" s="7">
        <f>COUNTIF($F$2:$F349,F349)</f>
      </c>
      <c r="D349" s="7">
        <f>IF(F349=0,0,MAX($D$2:D348)+1)</f>
      </c>
      <c r="E349" s="7">
        <f>IF(H349=0,0,MAX($E$2:E348)+1)</f>
      </c>
      <c r="F349" s="177"/>
      <c r="G349" s="119"/>
      <c r="H349" s="119"/>
      <c r="I349" s="7">
        <f>IFERROR(VLOOKUP(H349,H$2:H348,1,FALSE),VLOOKUP(H349,H350:H$478,1,FALSE))</f>
      </c>
      <c r="J349" s="7">
        <f t="shared" si="66"/>
        <v/>
      </c>
      <c r="K349" s="7">
        <f t="shared" si="67"/>
        <v/>
      </c>
      <c r="L349" s="7">
        <f t="shared" si="68"/>
        <v/>
      </c>
      <c r="M349" s="19">
        <f t="shared" si="77"/>
        <v/>
      </c>
      <c r="N349" s="7">
        <f t="shared" si="69"/>
        <v/>
      </c>
      <c r="O349" s="7"/>
      <c r="P349" s="7">
        <f t="shared" si="70"/>
        <v/>
      </c>
      <c r="Q349" s="7">
        <f t="shared" si="71"/>
        <v/>
      </c>
      <c r="R349" s="7">
        <f t="shared" si="74"/>
      </c>
      <c r="S349" s="7">
        <f t="shared" si="75"/>
      </c>
      <c r="T349" s="7">
        <f t="shared" si="76"/>
      </c>
      <c r="U349" s="7">
        <f t="shared" si="72"/>
        <v/>
      </c>
    </row>
    <row r="350" spans="1:21" x14ac:dyDescent="0.3">
      <c r="A350" s="7">
        <f t="shared" si="73"/>
        <v/>
      </c>
      <c r="B350" s="7">
        <f>IF(C350=1,MAX(B$2:$B349)+1,IF(F350=0,"",B349))</f>
      </c>
      <c r="C350" s="7">
        <f>COUNTIF($F$2:$F350,F350)</f>
      </c>
      <c r="D350" s="7">
        <f>IF(F350=0,0,MAX($D$2:D349)+1)</f>
      </c>
      <c r="E350" s="7">
        <f>IF(H350=0,0,MAX($E$2:E349)+1)</f>
      </c>
      <c r="F350" s="177"/>
      <c r="G350" s="119"/>
      <c r="H350" s="119"/>
      <c r="I350" s="7">
        <f>IFERROR(VLOOKUP(H350,H$2:H349,1,FALSE),VLOOKUP(H350,H351:H$478,1,FALSE))</f>
      </c>
      <c r="J350" s="7">
        <f t="shared" si="66"/>
        <v/>
      </c>
      <c r="K350" s="7">
        <f t="shared" si="67"/>
        <v/>
      </c>
      <c r="L350" s="7">
        <f t="shared" si="68"/>
        <v/>
      </c>
      <c r="M350" s="19">
        <f t="shared" si="77"/>
        <v/>
      </c>
      <c r="N350" s="7">
        <f t="shared" si="69"/>
        <v/>
      </c>
      <c r="O350" s="7"/>
      <c r="P350" s="7">
        <f t="shared" si="70"/>
        <v/>
      </c>
      <c r="Q350" s="7">
        <f t="shared" si="71"/>
        <v/>
      </c>
      <c r="R350" s="7">
        <f t="shared" si="74"/>
      </c>
      <c r="S350" s="7">
        <f t="shared" si="75"/>
      </c>
      <c r="T350" s="7">
        <f t="shared" si="76"/>
      </c>
      <c r="U350" s="7">
        <f t="shared" si="72"/>
        <v/>
      </c>
    </row>
    <row r="351" spans="1:21" x14ac:dyDescent="0.3">
      <c r="A351" s="7">
        <f t="shared" si="73"/>
        <v/>
      </c>
      <c r="B351" s="7">
        <f>IF(C351=1,MAX(B$2:$B350)+1,IF(F351=0,"",B350))</f>
      </c>
      <c r="C351" s="7">
        <f>COUNTIF($F$2:$F351,F351)</f>
      </c>
      <c r="D351" s="7">
        <f>IF(F351=0,0,MAX($D$2:D350)+1)</f>
      </c>
      <c r="E351" s="7">
        <f>IF(H351=0,0,MAX($E$2:E350)+1)</f>
      </c>
      <c r="F351" s="177"/>
      <c r="G351" s="119"/>
      <c r="H351" s="119"/>
      <c r="I351" s="7">
        <f>IFERROR(VLOOKUP(H351,H$2:H350,1,FALSE),VLOOKUP(H351,H352:H$478,1,FALSE))</f>
      </c>
      <c r="J351" s="7">
        <f t="shared" si="66"/>
        <v/>
      </c>
      <c r="K351" s="7">
        <f t="shared" si="67"/>
        <v/>
      </c>
      <c r="L351" s="7">
        <f t="shared" si="68"/>
        <v/>
      </c>
      <c r="M351" s="19">
        <f t="shared" si="77"/>
        <v/>
      </c>
      <c r="N351" s="7">
        <f t="shared" si="69"/>
        <v/>
      </c>
      <c r="O351" s="7"/>
      <c r="P351" s="7">
        <f t="shared" si="70"/>
        <v/>
      </c>
      <c r="Q351" s="7">
        <f t="shared" si="71"/>
        <v/>
      </c>
      <c r="R351" s="7">
        <f t="shared" si="74"/>
      </c>
      <c r="S351" s="7">
        <f t="shared" si="75"/>
      </c>
      <c r="T351" s="7">
        <f t="shared" si="76"/>
      </c>
      <c r="U351" s="7">
        <f t="shared" si="72"/>
        <v/>
      </c>
    </row>
    <row r="352" spans="1:21" x14ac:dyDescent="0.3">
      <c r="A352" s="7">
        <f t="shared" si="73"/>
        <v/>
      </c>
      <c r="B352" s="7">
        <f>IF(C352=1,MAX(B$2:$B351)+1,IF(F352=0,"",B351))</f>
      </c>
      <c r="C352" s="7">
        <f>COUNTIF($F$2:$F352,F352)</f>
      </c>
      <c r="D352" s="7">
        <f>IF(F352=0,0,MAX($D$2:D351)+1)</f>
      </c>
      <c r="E352" s="7">
        <f>IF(H352=0,0,MAX($E$2:E351)+1)</f>
      </c>
      <c r="F352" s="177"/>
      <c r="G352" s="119"/>
      <c r="H352" s="119"/>
      <c r="I352" s="7">
        <f>IFERROR(VLOOKUP(H352,H$2:H351,1,FALSE),VLOOKUP(H352,H353:H$478,1,FALSE))</f>
      </c>
      <c r="J352" s="7">
        <f t="shared" si="66"/>
        <v/>
      </c>
      <c r="K352" s="7">
        <f t="shared" si="67"/>
        <v/>
      </c>
      <c r="L352" s="7">
        <f t="shared" si="68"/>
        <v/>
      </c>
      <c r="M352" s="19">
        <f t="shared" si="77"/>
        <v/>
      </c>
      <c r="N352" s="7">
        <f t="shared" si="69"/>
        <v/>
      </c>
      <c r="O352" s="7"/>
      <c r="P352" s="7">
        <f t="shared" si="70"/>
        <v/>
      </c>
      <c r="Q352" s="7">
        <f t="shared" si="71"/>
        <v/>
      </c>
      <c r="R352" s="7">
        <f t="shared" si="74"/>
      </c>
      <c r="S352" s="7">
        <f t="shared" si="75"/>
      </c>
      <c r="T352" s="7">
        <f t="shared" si="76"/>
      </c>
      <c r="U352" s="7">
        <f t="shared" si="72"/>
        <v/>
      </c>
    </row>
    <row r="353" spans="1:21" x14ac:dyDescent="0.3">
      <c r="A353" s="7">
        <f t="shared" si="73"/>
        <v/>
      </c>
      <c r="B353" s="7">
        <f>IF(C353=1,MAX(B$2:$B352)+1,IF(F353=0,"",B352))</f>
      </c>
      <c r="C353" s="7">
        <f>COUNTIF($F$2:$F353,F353)</f>
      </c>
      <c r="D353" s="7">
        <f>IF(F353=0,0,MAX($D$2:D352)+1)</f>
      </c>
      <c r="E353" s="7">
        <f>IF(H353=0,0,MAX($E$2:E352)+1)</f>
      </c>
      <c r="F353" s="177"/>
      <c r="G353" s="119"/>
      <c r="H353" s="119"/>
      <c r="I353" s="7">
        <f>IFERROR(VLOOKUP(H353,H$2:H352,1,FALSE),VLOOKUP(H353,H354:H$478,1,FALSE))</f>
      </c>
      <c r="J353" s="7">
        <f t="shared" si="66"/>
        <v/>
      </c>
      <c r="K353" s="7">
        <f t="shared" si="67"/>
        <v/>
      </c>
      <c r="L353" s="7">
        <f t="shared" si="68"/>
        <v/>
      </c>
      <c r="M353" s="19">
        <f t="shared" si="77"/>
        <v/>
      </c>
      <c r="N353" s="7">
        <f t="shared" si="69"/>
        <v/>
      </c>
      <c r="O353" s="7"/>
      <c r="P353" s="7">
        <f t="shared" si="70"/>
        <v/>
      </c>
      <c r="Q353" s="7">
        <f t="shared" si="71"/>
        <v/>
      </c>
      <c r="R353" s="7">
        <f t="shared" si="74"/>
      </c>
      <c r="S353" s="7">
        <f t="shared" si="75"/>
      </c>
      <c r="T353" s="7">
        <f t="shared" si="76"/>
      </c>
      <c r="U353" s="7">
        <f t="shared" si="72"/>
        <v/>
      </c>
    </row>
    <row r="354" spans="1:21" x14ac:dyDescent="0.3">
      <c r="A354" s="7">
        <f t="shared" si="73"/>
        <v/>
      </c>
      <c r="B354" s="7">
        <f>IF(C354=1,MAX(B$2:$B353)+1,IF(F354=0,"",B353))</f>
      </c>
      <c r="C354" s="7">
        <f>COUNTIF($F$2:$F354,F354)</f>
      </c>
      <c r="D354" s="7">
        <f>IF(F354=0,0,MAX($D$2:D353)+1)</f>
      </c>
      <c r="E354" s="7">
        <f>IF(H354=0,0,MAX($E$2:E353)+1)</f>
      </c>
      <c r="F354" s="177"/>
      <c r="G354" s="119"/>
      <c r="H354" s="119"/>
      <c r="I354" s="7">
        <f>IFERROR(VLOOKUP(H354,H$2:H353,1,FALSE),VLOOKUP(H354,H355:H$478,1,FALSE))</f>
      </c>
      <c r="J354" s="7">
        <f t="shared" si="66"/>
        <v/>
      </c>
      <c r="K354" s="7">
        <f t="shared" si="67"/>
        <v/>
      </c>
      <c r="L354" s="7">
        <f t="shared" si="68"/>
        <v/>
      </c>
      <c r="M354" s="19">
        <f t="shared" si="77"/>
        <v/>
      </c>
      <c r="N354" s="7">
        <f t="shared" si="69"/>
        <v/>
      </c>
      <c r="O354" s="7"/>
      <c r="P354" s="7">
        <f t="shared" si="70"/>
        <v/>
      </c>
      <c r="Q354" s="7">
        <f t="shared" si="71"/>
        <v/>
      </c>
      <c r="R354" s="7">
        <f t="shared" si="74"/>
      </c>
      <c r="S354" s="7">
        <f t="shared" si="75"/>
      </c>
      <c r="T354" s="7">
        <f t="shared" si="76"/>
      </c>
      <c r="U354" s="7">
        <f t="shared" si="72"/>
        <v/>
      </c>
    </row>
    <row r="355" spans="1:21" x14ac:dyDescent="0.3">
      <c r="A355" s="7">
        <f t="shared" si="73"/>
        <v/>
      </c>
      <c r="B355" s="7">
        <f>IF(C355=1,MAX(B$2:$B354)+1,IF(F355=0,"",B354))</f>
      </c>
      <c r="C355" s="7">
        <f>COUNTIF($F$2:$F355,F355)</f>
      </c>
      <c r="D355" s="7">
        <f>IF(F355=0,0,MAX($D$2:D354)+1)</f>
      </c>
      <c r="E355" s="7">
        <f>IF(H355=0,0,MAX($E$2:E354)+1)</f>
      </c>
      <c r="F355" s="177"/>
      <c r="G355" s="119"/>
      <c r="H355" s="119"/>
      <c r="I355" s="7">
        <f>IFERROR(VLOOKUP(H355,H$2:H354,1,FALSE),VLOOKUP(H355,H356:H$478,1,FALSE))</f>
      </c>
      <c r="J355" s="7">
        <f t="shared" si="66"/>
        <v/>
      </c>
      <c r="K355" s="7">
        <f t="shared" si="67"/>
        <v/>
      </c>
      <c r="L355" s="7">
        <f t="shared" si="68"/>
        <v/>
      </c>
      <c r="M355" s="19">
        <f t="shared" si="77"/>
        <v/>
      </c>
      <c r="N355" s="7">
        <f t="shared" si="69"/>
        <v/>
      </c>
      <c r="O355" s="7"/>
      <c r="P355" s="7">
        <f t="shared" si="70"/>
        <v/>
      </c>
      <c r="Q355" s="7">
        <f t="shared" si="71"/>
        <v/>
      </c>
      <c r="R355" s="7">
        <f t="shared" si="74"/>
      </c>
      <c r="S355" s="7">
        <f t="shared" si="75"/>
      </c>
      <c r="T355" s="7">
        <f t="shared" si="76"/>
      </c>
      <c r="U355" s="7">
        <f t="shared" si="72"/>
        <v/>
      </c>
    </row>
    <row r="356" spans="1:21" x14ac:dyDescent="0.3">
      <c r="A356" s="7">
        <f t="shared" si="73"/>
        <v/>
      </c>
      <c r="B356" s="7">
        <f>IF(C356=1,MAX(B$2:$B355)+1,IF(F356=0,"",B355))</f>
      </c>
      <c r="C356" s="7">
        <f>COUNTIF($F$2:$F356,F356)</f>
      </c>
      <c r="D356" s="7">
        <f>IF(F356=0,0,MAX($D$2:D355)+1)</f>
      </c>
      <c r="E356" s="7">
        <f>IF(H356=0,0,MAX($E$2:E355)+1)</f>
      </c>
      <c r="F356" s="177"/>
      <c r="G356" s="119"/>
      <c r="H356" s="119"/>
      <c r="I356" s="7">
        <f>IFERROR(VLOOKUP(H356,H$2:H355,1,FALSE),VLOOKUP(H356,H357:H$478,1,FALSE))</f>
      </c>
      <c r="J356" s="7">
        <f t="shared" si="66"/>
        <v/>
      </c>
      <c r="K356" s="7">
        <f t="shared" si="67"/>
        <v/>
      </c>
      <c r="L356" s="7">
        <f t="shared" si="68"/>
        <v/>
      </c>
      <c r="M356" s="19">
        <f t="shared" si="77"/>
        <v/>
      </c>
      <c r="N356" s="7">
        <f t="shared" si="69"/>
        <v/>
      </c>
      <c r="O356" s="7"/>
      <c r="P356" s="7">
        <f t="shared" si="70"/>
        <v/>
      </c>
      <c r="Q356" s="7">
        <f t="shared" si="71"/>
        <v/>
      </c>
      <c r="R356" s="7">
        <f t="shared" si="74"/>
      </c>
      <c r="S356" s="7">
        <f t="shared" si="75"/>
      </c>
      <c r="T356" s="7">
        <f t="shared" si="76"/>
      </c>
      <c r="U356" s="7">
        <f t="shared" si="72"/>
        <v/>
      </c>
    </row>
    <row r="357" spans="1:21" x14ac:dyDescent="0.3">
      <c r="A357" s="7">
        <f t="shared" si="73"/>
        <v/>
      </c>
      <c r="B357" s="7">
        <f>IF(C357=1,MAX(B$2:$B356)+1,IF(F357=0,"",B356))</f>
      </c>
      <c r="C357" s="7">
        <f>COUNTIF($F$2:$F357,F357)</f>
      </c>
      <c r="D357" s="7">
        <f>IF(F357=0,0,MAX($D$2:D356)+1)</f>
      </c>
      <c r="E357" s="7">
        <f>IF(H357=0,0,MAX($E$2:E356)+1)</f>
      </c>
      <c r="F357" s="177"/>
      <c r="G357" s="119"/>
      <c r="H357" s="119"/>
      <c r="I357" s="7">
        <f>IFERROR(VLOOKUP(H357,H$2:H356,1,FALSE),VLOOKUP(H357,H358:H$478,1,FALSE))</f>
      </c>
      <c r="J357" s="7">
        <f t="shared" si="66"/>
        <v/>
      </c>
      <c r="K357" s="7">
        <f t="shared" si="67"/>
        <v/>
      </c>
      <c r="L357" s="7">
        <f t="shared" si="68"/>
        <v/>
      </c>
      <c r="M357" s="19">
        <f t="shared" si="77"/>
        <v/>
      </c>
      <c r="N357" s="7">
        <f t="shared" si="69"/>
        <v/>
      </c>
      <c r="O357" s="7"/>
      <c r="P357" s="7">
        <f t="shared" si="70"/>
        <v/>
      </c>
      <c r="Q357" s="7">
        <f t="shared" si="71"/>
        <v/>
      </c>
      <c r="R357" s="7">
        <f t="shared" si="74"/>
      </c>
      <c r="S357" s="7">
        <f t="shared" si="75"/>
      </c>
      <c r="T357" s="7">
        <f t="shared" si="76"/>
      </c>
      <c r="U357" s="7">
        <f t="shared" si="72"/>
        <v/>
      </c>
    </row>
    <row r="358" spans="1:21" x14ac:dyDescent="0.3">
      <c r="A358" s="7">
        <f t="shared" si="73"/>
        <v/>
      </c>
      <c r="B358" s="7">
        <f>IF(C358=1,MAX(B$2:$B357)+1,IF(F358=0,"",B357))</f>
      </c>
      <c r="C358" s="7">
        <f>COUNTIF($F$2:$F358,F358)</f>
      </c>
      <c r="D358" s="7">
        <f>IF(F358=0,0,MAX($D$2:D357)+1)</f>
      </c>
      <c r="E358" s="7">
        <f>IF(H358=0,0,MAX($E$2:E357)+1)</f>
      </c>
      <c r="F358" s="177"/>
      <c r="G358" s="119"/>
      <c r="H358" s="119"/>
      <c r="I358" s="7">
        <f>IFERROR(VLOOKUP(H358,H$2:H357,1,FALSE),VLOOKUP(H358,H359:H$478,1,FALSE))</f>
      </c>
      <c r="J358" s="7">
        <f t="shared" si="66"/>
        <v/>
      </c>
      <c r="K358" s="7">
        <f t="shared" si="67"/>
        <v/>
      </c>
      <c r="L358" s="7">
        <f t="shared" si="68"/>
        <v/>
      </c>
      <c r="M358" s="19">
        <f t="shared" si="77"/>
        <v/>
      </c>
      <c r="N358" s="7">
        <f t="shared" si="69"/>
        <v/>
      </c>
      <c r="O358" s="7"/>
      <c r="P358" s="7">
        <f t="shared" si="70"/>
        <v/>
      </c>
      <c r="Q358" s="7">
        <f t="shared" si="71"/>
        <v/>
      </c>
      <c r="R358" s="7">
        <f t="shared" si="74"/>
      </c>
      <c r="S358" s="7">
        <f t="shared" si="75"/>
      </c>
      <c r="T358" s="7">
        <f t="shared" si="76"/>
      </c>
      <c r="U358" s="7">
        <f t="shared" si="72"/>
        <v/>
      </c>
    </row>
    <row r="359" spans="1:21" s="8" customFormat="1" ht="15" thickBot="1" x14ac:dyDescent="0.35">
      <c r="A359" s="47">
        <f t="shared" si="73"/>
        <v/>
      </c>
      <c r="B359" s="47">
        <f>IF(C359=1,MAX(B$2:$B358)+1,IF(F359=0,"",B358))</f>
      </c>
      <c r="C359" s="47">
        <f>COUNTIF($F$2:$F359,F359)</f>
      </c>
      <c r="D359" s="47">
        <f>IF(F359=0,0,MAX($D$2:D358)+1)</f>
      </c>
      <c r="E359" s="47">
        <f>IF(H359=0,0,MAX($E$2:E358)+1)</f>
      </c>
      <c r="F359" s="177"/>
      <c r="G359" s="175"/>
      <c r="H359" s="119"/>
      <c r="I359" s="47">
        <f>IFERROR(VLOOKUP(H359,H$2:H358,1,FALSE),VLOOKUP(H359,H360:H$478,1,FALSE))</f>
      </c>
      <c r="J359" s="47">
        <f t="shared" si="66"/>
        <v/>
      </c>
      <c r="K359" s="47">
        <f t="shared" si="67"/>
        <v/>
      </c>
      <c r="L359" s="47">
        <f t="shared" si="68"/>
        <v/>
      </c>
      <c r="M359" s="52">
        <f t="shared" si="77"/>
        <v/>
      </c>
      <c r="N359" s="47">
        <f t="shared" si="69"/>
        <v/>
      </c>
      <c r="O359" s="47"/>
      <c r="P359" s="47">
        <f t="shared" si="70"/>
        <v/>
      </c>
      <c r="Q359" s="47">
        <f t="shared" si="71"/>
        <v/>
      </c>
      <c r="R359" s="47">
        <f t="shared" si="74"/>
      </c>
      <c r="S359" s="47">
        <f t="shared" si="75"/>
      </c>
      <c r="T359" s="47">
        <f t="shared" si="76"/>
      </c>
      <c r="U359" s="47">
        <f t="shared" si="72"/>
        <v/>
      </c>
    </row>
    <row r="360" spans="1:21" x14ac:dyDescent="0.3">
      <c r="A360" s="7">
        <f t="shared" si="73"/>
        <v/>
      </c>
      <c r="B360" s="7">
        <f>IF(C360=1,MAX(B$2:$B359)+1,IF(F360=0,"",B359))</f>
      </c>
      <c r="C360" s="7">
        <f>COUNTIF($F$2:$F360,F360)</f>
      </c>
      <c r="D360" s="7">
        <f>IF(F360=0,0,MAX($D$2:D359)+1)</f>
      </c>
      <c r="E360" s="7">
        <f>IF(H360=0,0,MAX($E$2:E359)+1)</f>
      </c>
      <c r="F360" s="177"/>
      <c r="G360" s="177"/>
      <c r="H360" s="119"/>
      <c r="I360" s="7">
        <f>IFERROR(VLOOKUP(H360,H$2:H359,1,FALSE),VLOOKUP(H360,H361:H$478,1,FALSE))</f>
      </c>
      <c r="J360" s="7">
        <f t="shared" si="66"/>
        <v/>
      </c>
      <c r="K360" s="7">
        <f t="shared" si="67"/>
        <v/>
      </c>
      <c r="L360" s="7">
        <f t="shared" si="68"/>
        <v/>
      </c>
      <c r="M360" s="19">
        <f t="shared" si="77"/>
        <v/>
      </c>
      <c r="N360" s="7">
        <f t="shared" si="69"/>
        <v/>
      </c>
      <c r="O360" s="7"/>
      <c r="P360" s="7">
        <f t="shared" si="70"/>
        <v/>
      </c>
      <c r="Q360" s="7">
        <f t="shared" si="71"/>
        <v/>
      </c>
      <c r="R360" s="7">
        <f t="shared" si="74"/>
      </c>
      <c r="S360" s="7">
        <f t="shared" si="75"/>
      </c>
      <c r="T360" s="7">
        <f t="shared" si="76"/>
      </c>
      <c r="U360" s="7">
        <f t="shared" si="72"/>
        <v/>
      </c>
    </row>
    <row r="361" spans="1:21" x14ac:dyDescent="0.3">
      <c r="A361" s="7">
        <f t="shared" si="73"/>
        <v/>
      </c>
      <c r="B361" s="7">
        <f>IF(C361=1,MAX(B$2:$B360)+1,IF(F361=0,"",B360))</f>
      </c>
      <c r="C361" s="7">
        <f>COUNTIF($F$2:$F361,F361)</f>
      </c>
      <c r="D361" s="7">
        <f>IF(F361=0,0,MAX($D$2:D360)+1)</f>
      </c>
      <c r="E361" s="7">
        <f>IF(H361=0,0,MAX($E$2:E360)+1)</f>
      </c>
      <c r="F361" s="177"/>
      <c r="G361" s="119"/>
      <c r="H361" s="119"/>
      <c r="I361" s="7">
        <f>IFERROR(VLOOKUP(H361,H$2:H360,1,FALSE),VLOOKUP(H361,H362:H$478,1,FALSE))</f>
      </c>
      <c r="J361" s="7">
        <f t="shared" si="66"/>
        <v/>
      </c>
      <c r="K361" s="7">
        <f t="shared" si="67"/>
        <v/>
      </c>
      <c r="L361" s="7">
        <f t="shared" si="68"/>
        <v/>
      </c>
      <c r="M361" s="19">
        <f t="shared" si="77"/>
        <v/>
      </c>
      <c r="N361" s="7">
        <f t="shared" si="69"/>
        <v/>
      </c>
      <c r="O361" s="7"/>
      <c r="P361" s="7">
        <f t="shared" si="70"/>
        <v/>
      </c>
      <c r="Q361" s="7">
        <f t="shared" si="71"/>
        <v/>
      </c>
      <c r="R361" s="7">
        <f t="shared" si="74"/>
      </c>
      <c r="S361" s="7">
        <f t="shared" si="75"/>
      </c>
      <c r="T361" s="7">
        <f t="shared" si="76"/>
      </c>
      <c r="U361" s="7">
        <f t="shared" si="72"/>
        <v/>
      </c>
    </row>
    <row r="362" spans="1:21" x14ac:dyDescent="0.3">
      <c r="A362" s="7">
        <f t="shared" si="73"/>
        <v/>
      </c>
      <c r="B362" s="7">
        <f>IF(C362=1,MAX(B$2:$B361)+1,IF(F362=0,"",B361))</f>
      </c>
      <c r="C362" s="7">
        <f>COUNTIF($F$2:$F362,F362)</f>
      </c>
      <c r="D362" s="7">
        <f>IF(F362=0,0,MAX($D$2:D361)+1)</f>
      </c>
      <c r="E362" s="7">
        <f>IF(H362=0,0,MAX($E$2:E361)+1)</f>
      </c>
      <c r="F362" s="177"/>
      <c r="G362" s="119"/>
      <c r="H362" s="119"/>
      <c r="I362" s="7">
        <f>IFERROR(VLOOKUP(H362,H$2:H361,1,FALSE),VLOOKUP(H362,H363:H$478,1,FALSE))</f>
      </c>
      <c r="J362" s="7">
        <f t="shared" si="66"/>
        <v/>
      </c>
      <c r="K362" s="7">
        <f t="shared" si="67"/>
        <v/>
      </c>
      <c r="L362" s="7">
        <f t="shared" si="68"/>
        <v/>
      </c>
      <c r="M362" s="19">
        <f t="shared" si="77"/>
        <v/>
      </c>
      <c r="N362" s="7">
        <f t="shared" si="69"/>
        <v/>
      </c>
      <c r="O362" s="7"/>
      <c r="P362" s="7">
        <f t="shared" si="70"/>
        <v/>
      </c>
      <c r="Q362" s="7">
        <f t="shared" si="71"/>
        <v/>
      </c>
      <c r="R362" s="7">
        <f t="shared" si="74"/>
      </c>
      <c r="S362" s="7">
        <f t="shared" si="75"/>
      </c>
      <c r="T362" s="7">
        <f t="shared" si="76"/>
      </c>
      <c r="U362" s="7">
        <f t="shared" si="72"/>
        <v/>
      </c>
    </row>
    <row r="363" spans="1:21" x14ac:dyDescent="0.3">
      <c r="A363" s="7">
        <f t="shared" si="73"/>
        <v/>
      </c>
      <c r="B363" s="7">
        <f>IF(C363=1,MAX(B$2:$B362)+1,IF(F363=0,"",B362))</f>
      </c>
      <c r="C363" s="7">
        <f>COUNTIF($F$2:$F363,F363)</f>
      </c>
      <c r="D363" s="7">
        <f>IF(F363=0,0,MAX($D$2:D362)+1)</f>
      </c>
      <c r="E363" s="7">
        <f>IF(H363=0,0,MAX($E$2:E362)+1)</f>
      </c>
      <c r="F363" s="177"/>
      <c r="G363" s="119"/>
      <c r="H363" s="119"/>
      <c r="I363" s="7">
        <f>IFERROR(VLOOKUP(H363,H$2:H362,1,FALSE),VLOOKUP(H363,H364:H$478,1,FALSE))</f>
      </c>
      <c r="J363" s="7">
        <f t="shared" si="66"/>
        <v/>
      </c>
      <c r="K363" s="7">
        <f t="shared" si="67"/>
        <v/>
      </c>
      <c r="L363" s="7">
        <f t="shared" si="68"/>
        <v/>
      </c>
      <c r="M363" s="19">
        <f t="shared" si="77"/>
        <v/>
      </c>
      <c r="N363" s="7">
        <f t="shared" si="69"/>
        <v/>
      </c>
      <c r="O363" s="7"/>
      <c r="P363" s="7">
        <f t="shared" si="70"/>
        <v/>
      </c>
      <c r="Q363" s="7">
        <f t="shared" si="71"/>
        <v/>
      </c>
      <c r="R363" s="7">
        <f t="shared" si="74"/>
      </c>
      <c r="S363" s="7">
        <f t="shared" si="75"/>
      </c>
      <c r="T363" s="7">
        <f t="shared" si="76"/>
      </c>
      <c r="U363" s="7">
        <f t="shared" si="72"/>
        <v/>
      </c>
    </row>
    <row r="364" spans="1:21" x14ac:dyDescent="0.3">
      <c r="A364" s="7">
        <f t="shared" si="73"/>
        <v/>
      </c>
      <c r="B364" s="7">
        <f>IF(C364=1,MAX(B$2:$B363)+1,IF(F364=0,"",B363))</f>
      </c>
      <c r="C364" s="7">
        <f>COUNTIF($F$2:$F364,F364)</f>
      </c>
      <c r="D364" s="7">
        <f>IF(F364=0,0,MAX($D$2:D363)+1)</f>
      </c>
      <c r="E364" s="7">
        <f>IF(H364=0,0,MAX($E$2:E363)+1)</f>
      </c>
      <c r="F364" s="177"/>
      <c r="G364" s="119"/>
      <c r="H364" s="119"/>
      <c r="I364" s="7">
        <f>IFERROR(VLOOKUP(H364,H$2:H363,1,FALSE),VLOOKUP(H364,H365:H$478,1,FALSE))</f>
      </c>
      <c r="J364" s="7">
        <f t="shared" si="66"/>
        <v/>
      </c>
      <c r="K364" s="7">
        <f t="shared" si="67"/>
        <v/>
      </c>
      <c r="L364" s="7">
        <f t="shared" si="68"/>
        <v/>
      </c>
      <c r="M364" s="19">
        <f t="shared" si="77"/>
        <v/>
      </c>
      <c r="N364" s="7">
        <f t="shared" si="69"/>
        <v/>
      </c>
      <c r="O364" s="7"/>
      <c r="P364" s="7">
        <f t="shared" si="70"/>
        <v/>
      </c>
      <c r="Q364" s="7">
        <f t="shared" si="71"/>
        <v/>
      </c>
      <c r="R364" s="7">
        <f t="shared" si="74"/>
      </c>
      <c r="S364" s="7">
        <f t="shared" si="75"/>
      </c>
      <c r="T364" s="7">
        <f t="shared" si="76"/>
      </c>
      <c r="U364" s="7">
        <f t="shared" si="72"/>
        <v/>
      </c>
    </row>
    <row r="365" spans="1:21" x14ac:dyDescent="0.3">
      <c r="A365" s="7">
        <f t="shared" si="73"/>
        <v/>
      </c>
      <c r="B365" s="7">
        <f>IF(C365=1,MAX(B$2:$B364)+1,IF(F365=0,"",B364))</f>
      </c>
      <c r="C365" s="7">
        <f>COUNTIF($F$2:$F365,F365)</f>
      </c>
      <c r="D365" s="7">
        <f>IF(F365=0,0,MAX($D$2:D364)+1)</f>
      </c>
      <c r="E365" s="7">
        <f>IF(H365=0,0,MAX($E$2:E364)+1)</f>
      </c>
      <c r="F365" s="177"/>
      <c r="G365" s="119"/>
      <c r="H365" s="119"/>
      <c r="I365" s="7">
        <f>IFERROR(VLOOKUP(H365,H$2:H364,1,FALSE),VLOOKUP(H365,H366:H$478,1,FALSE))</f>
      </c>
      <c r="J365" s="7">
        <f t="shared" si="66"/>
        <v/>
      </c>
      <c r="K365" s="7">
        <f t="shared" si="67"/>
        <v/>
      </c>
      <c r="L365" s="7">
        <f t="shared" si="68"/>
        <v/>
      </c>
      <c r="M365" s="19">
        <f t="shared" si="77"/>
        <v/>
      </c>
      <c r="N365" s="7">
        <f t="shared" si="69"/>
        <v/>
      </c>
      <c r="O365" s="7"/>
      <c r="P365" s="7">
        <f t="shared" si="70"/>
        <v/>
      </c>
      <c r="Q365" s="7">
        <f t="shared" si="71"/>
        <v/>
      </c>
      <c r="R365" s="7">
        <f t="shared" si="74"/>
      </c>
      <c r="S365" s="7">
        <f t="shared" si="75"/>
      </c>
      <c r="T365" s="7">
        <f t="shared" si="76"/>
      </c>
      <c r="U365" s="7">
        <f t="shared" si="72"/>
        <v/>
      </c>
    </row>
    <row r="366" spans="1:21" x14ac:dyDescent="0.3">
      <c r="A366" s="7">
        <f t="shared" si="73"/>
        <v/>
      </c>
      <c r="B366" s="7">
        <f>IF(C366=1,MAX(B$2:$B365)+1,IF(F366=0,"",B365))</f>
      </c>
      <c r="C366" s="7">
        <f>COUNTIF($F$2:$F366,F366)</f>
      </c>
      <c r="D366" s="7">
        <f>IF(F366=0,0,MAX($D$2:D365)+1)</f>
      </c>
      <c r="E366" s="7">
        <f>IF(H366=0,0,MAX($E$2:E365)+1)</f>
      </c>
      <c r="F366" s="177"/>
      <c r="G366" s="119"/>
      <c r="H366" s="119"/>
      <c r="I366" s="7">
        <f>IFERROR(VLOOKUP(H366,H$2:H365,1,FALSE),VLOOKUP(H366,H367:H$478,1,FALSE))</f>
      </c>
      <c r="J366" s="7">
        <f t="shared" si="66"/>
        <v/>
      </c>
      <c r="K366" s="7">
        <f t="shared" si="67"/>
        <v/>
      </c>
      <c r="L366" s="7">
        <f t="shared" si="68"/>
        <v/>
      </c>
      <c r="M366" s="19">
        <f t="shared" si="77"/>
        <v/>
      </c>
      <c r="N366" s="7">
        <f t="shared" si="69"/>
        <v/>
      </c>
      <c r="O366" s="7"/>
      <c r="P366" s="7">
        <f t="shared" si="70"/>
        <v/>
      </c>
      <c r="Q366" s="7">
        <f t="shared" si="71"/>
        <v/>
      </c>
      <c r="R366" s="7">
        <f t="shared" si="74"/>
      </c>
      <c r="S366" s="7">
        <f t="shared" si="75"/>
      </c>
      <c r="T366" s="7">
        <f t="shared" si="76"/>
      </c>
      <c r="U366" s="7">
        <f t="shared" si="72"/>
        <v/>
      </c>
    </row>
    <row r="367" spans="1:21" x14ac:dyDescent="0.3">
      <c r="A367" s="7">
        <f t="shared" si="73"/>
        <v/>
      </c>
      <c r="B367" s="7">
        <f>IF(C367=1,MAX(B$2:$B366)+1,IF(F367=0,"",B366))</f>
      </c>
      <c r="C367" s="7">
        <f>COUNTIF($F$2:$F367,F367)</f>
      </c>
      <c r="D367" s="7">
        <f>IF(F367=0,0,MAX($D$2:D366)+1)</f>
      </c>
      <c r="E367" s="7">
        <f>IF(H367=0,0,MAX($E$2:E366)+1)</f>
      </c>
      <c r="F367" s="177"/>
      <c r="G367" s="119"/>
      <c r="H367" s="119"/>
      <c r="I367" s="7">
        <f>IFERROR(VLOOKUP(H367,H$2:H366,1,FALSE),VLOOKUP(H367,H368:H$478,1,FALSE))</f>
      </c>
      <c r="J367" s="7">
        <f t="shared" si="66"/>
        <v/>
      </c>
      <c r="K367" s="7">
        <f t="shared" si="67"/>
        <v/>
      </c>
      <c r="L367" s="7">
        <f t="shared" si="68"/>
        <v/>
      </c>
      <c r="M367" s="19">
        <f t="shared" si="77"/>
        <v/>
      </c>
      <c r="N367" s="7">
        <f t="shared" si="69"/>
        <v/>
      </c>
      <c r="O367" s="7"/>
      <c r="P367" s="7">
        <f t="shared" si="70"/>
        <v/>
      </c>
      <c r="Q367" s="7">
        <f t="shared" si="71"/>
        <v/>
      </c>
      <c r="R367" s="7">
        <f t="shared" si="74"/>
      </c>
      <c r="S367" s="7">
        <f t="shared" si="75"/>
      </c>
      <c r="T367" s="7">
        <f t="shared" si="76"/>
      </c>
      <c r="U367" s="7">
        <f t="shared" si="72"/>
        <v/>
      </c>
    </row>
    <row r="368" spans="1:21" x14ac:dyDescent="0.3">
      <c r="A368" s="7">
        <f t="shared" si="73"/>
        <v/>
      </c>
      <c r="B368" s="7">
        <f>IF(C368=1,MAX(B$2:$B367)+1,IF(F368=0,"",B367))</f>
      </c>
      <c r="C368" s="7">
        <f>COUNTIF($F$2:$F368,F368)</f>
      </c>
      <c r="D368" s="7">
        <f>IF(F368=0,0,MAX($D$2:D367)+1)</f>
      </c>
      <c r="E368" s="7">
        <f>IF(H368=0,0,MAX($E$2:E367)+1)</f>
      </c>
      <c r="F368" s="177"/>
      <c r="G368" s="119"/>
      <c r="H368" s="119"/>
      <c r="I368" s="7">
        <f>IFERROR(VLOOKUP(H368,H$2:H367,1,FALSE),VLOOKUP(H368,H369:H$478,1,FALSE))</f>
      </c>
      <c r="J368" s="7">
        <f t="shared" si="66"/>
        <v/>
      </c>
      <c r="K368" s="7">
        <f t="shared" si="67"/>
        <v/>
      </c>
      <c r="L368" s="7">
        <f t="shared" si="68"/>
        <v/>
      </c>
      <c r="M368" s="19">
        <f t="shared" si="77"/>
        <v/>
      </c>
      <c r="N368" s="7">
        <f t="shared" si="69"/>
        <v/>
      </c>
      <c r="O368" s="7"/>
      <c r="P368" s="7">
        <f t="shared" si="70"/>
        <v/>
      </c>
      <c r="Q368" s="7">
        <f t="shared" si="71"/>
        <v/>
      </c>
      <c r="R368" s="7">
        <f t="shared" si="74"/>
      </c>
      <c r="S368" s="7">
        <f t="shared" si="75"/>
      </c>
      <c r="T368" s="7">
        <f t="shared" si="76"/>
      </c>
      <c r="U368" s="7">
        <f t="shared" si="72"/>
        <v/>
      </c>
    </row>
    <row r="369" spans="1:21" x14ac:dyDescent="0.3">
      <c r="A369" s="7">
        <f t="shared" si="73"/>
        <v/>
      </c>
      <c r="B369" s="7">
        <f>IF(C369=1,MAX(B$2:$B368)+1,IF(F369=0,"",B368))</f>
      </c>
      <c r="C369" s="7">
        <f>COUNTIF($F$2:$F369,F369)</f>
      </c>
      <c r="D369" s="7">
        <f>IF(F369=0,0,MAX($D$2:D368)+1)</f>
      </c>
      <c r="E369" s="7">
        <f>IF(H369=0,0,MAX($E$2:E368)+1)</f>
      </c>
      <c r="F369" s="177"/>
      <c r="G369" s="119"/>
      <c r="H369" s="119"/>
      <c r="I369" s="7">
        <f>IFERROR(VLOOKUP(H369,H$2:H368,1,FALSE),VLOOKUP(H369,H370:H$478,1,FALSE))</f>
      </c>
      <c r="J369" s="7">
        <f t="shared" si="66"/>
        <v/>
      </c>
      <c r="K369" s="7">
        <f t="shared" si="67"/>
        <v/>
      </c>
      <c r="L369" s="7">
        <f t="shared" si="68"/>
        <v/>
      </c>
      <c r="M369" s="19">
        <f t="shared" si="77"/>
        <v/>
      </c>
      <c r="N369" s="7">
        <f t="shared" si="69"/>
        <v/>
      </c>
      <c r="O369" s="7"/>
      <c r="P369" s="7">
        <f t="shared" si="70"/>
        <v/>
      </c>
      <c r="Q369" s="7">
        <f t="shared" si="71"/>
        <v/>
      </c>
      <c r="R369" s="7">
        <f t="shared" si="74"/>
      </c>
      <c r="S369" s="7">
        <f t="shared" si="75"/>
      </c>
      <c r="T369" s="7">
        <f t="shared" si="76"/>
      </c>
      <c r="U369" s="7">
        <f t="shared" si="72"/>
        <v/>
      </c>
    </row>
    <row r="370" spans="1:21" x14ac:dyDescent="0.3">
      <c r="A370" s="7">
        <f t="shared" si="73"/>
        <v/>
      </c>
      <c r="B370" s="7">
        <f>IF(C370=1,MAX(B$2:$B369)+1,IF(F370=0,"",B369))</f>
      </c>
      <c r="C370" s="7">
        <f>COUNTIF($F$2:$F370,F370)</f>
      </c>
      <c r="D370" s="7">
        <f>IF(F370=0,0,MAX($D$2:D369)+1)</f>
      </c>
      <c r="E370" s="7">
        <f>IF(H370=0,0,MAX($E$2:E369)+1)</f>
      </c>
      <c r="F370" s="177"/>
      <c r="G370" s="119"/>
      <c r="H370" s="119"/>
      <c r="I370" s="7">
        <f>IFERROR(VLOOKUP(H370,H$2:H369,1,FALSE),VLOOKUP(H370,H371:H$478,1,FALSE))</f>
      </c>
      <c r="J370" s="7">
        <f t="shared" si="66"/>
        <v/>
      </c>
      <c r="K370" s="7">
        <f t="shared" si="67"/>
        <v/>
      </c>
      <c r="L370" s="7">
        <f t="shared" si="68"/>
        <v/>
      </c>
      <c r="M370" s="19">
        <f t="shared" si="77"/>
        <v/>
      </c>
      <c r="N370" s="7">
        <f t="shared" si="69"/>
        <v/>
      </c>
      <c r="O370" s="7"/>
      <c r="P370" s="7">
        <f t="shared" si="70"/>
        <v/>
      </c>
      <c r="Q370" s="7">
        <f t="shared" si="71"/>
        <v/>
      </c>
      <c r="R370" s="7">
        <f t="shared" si="74"/>
      </c>
      <c r="S370" s="7">
        <f t="shared" si="75"/>
      </c>
      <c r="T370" s="7">
        <f t="shared" si="76"/>
      </c>
      <c r="U370" s="7">
        <f t="shared" si="72"/>
        <v/>
      </c>
    </row>
    <row r="371" spans="1:21" x14ac:dyDescent="0.3">
      <c r="A371" s="7">
        <f t="shared" si="73"/>
        <v/>
      </c>
      <c r="B371" s="7">
        <f>IF(C371=1,MAX(B$2:$B370)+1,IF(F371=0,"",B370))</f>
      </c>
      <c r="C371" s="7">
        <f>COUNTIF($F$2:$F371,F371)</f>
      </c>
      <c r="D371" s="7">
        <f>IF(F371=0,0,MAX($D$2:D370)+1)</f>
      </c>
      <c r="E371" s="7">
        <f>IF(H371=0,0,MAX($E$2:E370)+1)</f>
      </c>
      <c r="F371" s="177"/>
      <c r="G371" s="119"/>
      <c r="H371" s="119"/>
      <c r="I371" s="7">
        <f>IFERROR(VLOOKUP(H371,H$2:H370,1,FALSE),VLOOKUP(H371,H372:H$478,1,FALSE))</f>
      </c>
      <c r="J371" s="7">
        <f t="shared" si="66"/>
        <v/>
      </c>
      <c r="K371" s="7">
        <f t="shared" si="67"/>
        <v/>
      </c>
      <c r="L371" s="7">
        <f t="shared" si="68"/>
        <v/>
      </c>
      <c r="M371" s="19">
        <f t="shared" si="77"/>
        <v/>
      </c>
      <c r="N371" s="7">
        <f t="shared" si="69"/>
        <v/>
      </c>
      <c r="O371" s="7"/>
      <c r="P371" s="7">
        <f t="shared" si="70"/>
        <v/>
      </c>
      <c r="Q371" s="7">
        <f t="shared" si="71"/>
        <v/>
      </c>
      <c r="R371" s="7">
        <f t="shared" si="74"/>
      </c>
      <c r="S371" s="7">
        <f t="shared" si="75"/>
      </c>
      <c r="T371" s="7">
        <f t="shared" si="76"/>
      </c>
      <c r="U371" s="7">
        <f t="shared" si="72"/>
        <v/>
      </c>
    </row>
    <row r="372" spans="1:21" x14ac:dyDescent="0.3">
      <c r="A372" s="7">
        <f t="shared" si="73"/>
        <v/>
      </c>
      <c r="B372" s="7">
        <f>IF(C372=1,MAX(B$2:$B371)+1,IF(F372=0,"",B371))</f>
      </c>
      <c r="C372" s="7">
        <f>COUNTIF($F$2:$F372,F372)</f>
      </c>
      <c r="D372" s="7">
        <f>IF(F372=0,0,MAX($D$2:D371)+1)</f>
      </c>
      <c r="E372" s="7">
        <f>IF(H372=0,0,MAX($E$2:E371)+1)</f>
      </c>
      <c r="F372" s="177"/>
      <c r="G372" s="119"/>
      <c r="H372" s="119"/>
      <c r="I372" s="7">
        <f>IFERROR(VLOOKUP(H372,H$2:H371,1,FALSE),VLOOKUP(H372,H373:H$478,1,FALSE))</f>
      </c>
      <c r="J372" s="7">
        <f t="shared" si="66"/>
        <v/>
      </c>
      <c r="K372" s="7">
        <f t="shared" si="67"/>
        <v/>
      </c>
      <c r="L372" s="7">
        <f t="shared" si="68"/>
        <v/>
      </c>
      <c r="M372" s="19">
        <f t="shared" si="77"/>
        <v/>
      </c>
      <c r="N372" s="7">
        <f t="shared" si="69"/>
        <v/>
      </c>
      <c r="O372" s="7"/>
      <c r="P372" s="7">
        <f t="shared" si="70"/>
        <v/>
      </c>
      <c r="Q372" s="7">
        <f t="shared" si="71"/>
        <v/>
      </c>
      <c r="R372" s="7">
        <f t="shared" si="74"/>
      </c>
      <c r="S372" s="7">
        <f t="shared" si="75"/>
      </c>
      <c r="T372" s="7">
        <f t="shared" si="76"/>
      </c>
      <c r="U372" s="7">
        <f t="shared" si="72"/>
        <v/>
      </c>
    </row>
    <row r="373" spans="1:21" x14ac:dyDescent="0.3">
      <c r="A373" s="7">
        <f t="shared" si="73"/>
        <v/>
      </c>
      <c r="B373" s="7">
        <f>IF(C373=1,MAX(B$2:$B372)+1,IF(F373=0,"",B372))</f>
      </c>
      <c r="C373" s="7">
        <f>COUNTIF($F$2:$F373,F373)</f>
      </c>
      <c r="D373" s="7">
        <f>IF(F373=0,0,MAX($D$2:D372)+1)</f>
      </c>
      <c r="E373" s="7">
        <f>IF(H373=0,0,MAX($E$2:E372)+1)</f>
      </c>
      <c r="F373" s="177"/>
      <c r="G373" s="119"/>
      <c r="H373" s="119"/>
      <c r="I373" s="7">
        <f>IFERROR(VLOOKUP(H373,H$2:H372,1,FALSE),VLOOKUP(H373,H374:H$478,1,FALSE))</f>
      </c>
      <c r="J373" s="7">
        <f t="shared" si="66"/>
        <v/>
      </c>
      <c r="K373" s="7">
        <f t="shared" si="67"/>
        <v/>
      </c>
      <c r="L373" s="7">
        <f t="shared" si="68"/>
        <v/>
      </c>
      <c r="M373" s="19">
        <f t="shared" si="77"/>
        <v/>
      </c>
      <c r="N373" s="7">
        <f t="shared" si="69"/>
        <v/>
      </c>
      <c r="O373" s="7"/>
      <c r="P373" s="7">
        <f t="shared" si="70"/>
        <v/>
      </c>
      <c r="Q373" s="7">
        <f t="shared" si="71"/>
        <v/>
      </c>
      <c r="R373" s="7">
        <f t="shared" si="74"/>
      </c>
      <c r="S373" s="7">
        <f t="shared" si="75"/>
      </c>
      <c r="T373" s="7">
        <f t="shared" si="76"/>
      </c>
      <c r="U373" s="7">
        <f t="shared" si="72"/>
        <v/>
      </c>
    </row>
    <row r="374" spans="1:21" x14ac:dyDescent="0.3">
      <c r="A374" s="7">
        <f t="shared" si="73"/>
        <v/>
      </c>
      <c r="B374" s="7">
        <f>IF(C374=1,MAX(B$2:$B373)+1,IF(F374=0,"",B373))</f>
      </c>
      <c r="C374" s="7">
        <f>COUNTIF($F$2:$F374,F374)</f>
      </c>
      <c r="D374" s="7">
        <f>IF(F374=0,0,MAX($D$2:D373)+1)</f>
      </c>
      <c r="E374" s="7">
        <f>IF(H374=0,0,MAX($E$2:E373)+1)</f>
      </c>
      <c r="F374" s="177"/>
      <c r="G374" s="177"/>
      <c r="H374" s="119"/>
      <c r="I374" s="7">
        <f>IFERROR(VLOOKUP(H374,H$2:H373,1,FALSE),VLOOKUP(H374,H375:H$478,1,FALSE))</f>
      </c>
      <c r="J374" s="7">
        <f t="shared" si="66"/>
        <v/>
      </c>
      <c r="K374" s="7">
        <f t="shared" si="67"/>
        <v/>
      </c>
      <c r="L374" s="7">
        <f t="shared" si="68"/>
        <v/>
      </c>
      <c r="M374" s="19">
        <f t="shared" si="77"/>
        <v/>
      </c>
      <c r="N374" s="7">
        <f t="shared" si="69"/>
        <v/>
      </c>
      <c r="O374" s="7"/>
      <c r="P374" s="7">
        <f t="shared" si="70"/>
        <v/>
      </c>
      <c r="Q374" s="7">
        <f t="shared" si="71"/>
        <v/>
      </c>
      <c r="R374" s="7">
        <f t="shared" si="74"/>
      </c>
      <c r="S374" s="7">
        <f t="shared" si="75"/>
      </c>
      <c r="T374" s="7">
        <f t="shared" si="76"/>
      </c>
      <c r="U374" s="7">
        <f t="shared" si="72"/>
        <v/>
      </c>
    </row>
    <row r="375" spans="1:21" x14ac:dyDescent="0.3">
      <c r="A375" s="7">
        <f t="shared" si="73"/>
        <v/>
      </c>
      <c r="B375" s="7">
        <f>IF(C375=1,MAX(B$2:$B374)+1,IF(F375=0,"",B374))</f>
      </c>
      <c r="C375" s="7">
        <f>COUNTIF($F$2:$F375,F375)</f>
      </c>
      <c r="D375" s="7">
        <f>IF(F375=0,0,MAX($D$2:D374)+1)</f>
      </c>
      <c r="E375" s="7">
        <f>IF(H375=0,0,MAX($E$2:E374)+1)</f>
      </c>
      <c r="F375" s="177"/>
      <c r="G375" s="119"/>
      <c r="H375" s="119"/>
      <c r="I375" s="7">
        <f>IFERROR(VLOOKUP(H375,H$2:H374,1,FALSE),VLOOKUP(H375,H376:H$478,1,FALSE))</f>
      </c>
      <c r="J375" s="7">
        <f t="shared" si="66"/>
        <v/>
      </c>
      <c r="K375" s="7">
        <f t="shared" si="67"/>
        <v/>
      </c>
      <c r="L375" s="7">
        <f t="shared" si="68"/>
        <v/>
      </c>
      <c r="M375" s="19">
        <f t="shared" si="77"/>
        <v/>
      </c>
      <c r="N375" s="7">
        <f t="shared" si="69"/>
        <v/>
      </c>
      <c r="O375" s="7"/>
      <c r="P375" s="7">
        <f t="shared" si="70"/>
        <v/>
      </c>
      <c r="Q375" s="7">
        <f t="shared" si="71"/>
        <v/>
      </c>
      <c r="R375" s="7">
        <f t="shared" si="74"/>
      </c>
      <c r="S375" s="7">
        <f t="shared" si="75"/>
      </c>
      <c r="T375" s="7">
        <f t="shared" si="76"/>
      </c>
      <c r="U375" s="7">
        <f t="shared" si="72"/>
        <v/>
      </c>
    </row>
    <row r="376" spans="1:21" s="8" customFormat="1" ht="15" thickBot="1" x14ac:dyDescent="0.35">
      <c r="A376" s="47">
        <f t="shared" si="73"/>
        <v/>
      </c>
      <c r="B376" s="47">
        <f>IF(C376=1,MAX(B$2:$B375)+1,IF(F376=0,"",B375))</f>
      </c>
      <c r="C376" s="47">
        <f>COUNTIF($F$2:$F376,F376)</f>
      </c>
      <c r="D376" s="47">
        <f>IF(F376=0,0,MAX($D$2:D375)+1)</f>
      </c>
      <c r="E376" s="47">
        <f>IF(H376=0,0,MAX($E$2:E375)+1)</f>
      </c>
      <c r="F376" s="177"/>
      <c r="G376" s="175"/>
      <c r="H376" s="175"/>
      <c r="I376" s="47">
        <f>IFERROR(VLOOKUP(H376,H$2:H375,1,FALSE),VLOOKUP(H376,H377:H$478,1,FALSE))</f>
      </c>
      <c r="J376" s="47">
        <f t="shared" si="66"/>
        <v/>
      </c>
      <c r="K376" s="47">
        <f t="shared" si="67"/>
        <v/>
      </c>
      <c r="L376" s="47">
        <f t="shared" si="68"/>
        <v/>
      </c>
      <c r="M376" s="52">
        <f t="shared" si="77"/>
        <v/>
      </c>
      <c r="N376" s="47">
        <f t="shared" si="69"/>
        <v/>
      </c>
      <c r="O376" s="47"/>
      <c r="P376" s="47">
        <f t="shared" si="70"/>
        <v/>
      </c>
      <c r="Q376" s="47">
        <f t="shared" si="71"/>
        <v/>
      </c>
      <c r="R376" s="47">
        <f t="shared" si="74"/>
      </c>
      <c r="S376" s="47">
        <f t="shared" si="75"/>
      </c>
      <c r="T376" s="47">
        <f t="shared" si="76"/>
      </c>
      <c r="U376" s="47">
        <f t="shared" si="72"/>
        <v/>
      </c>
    </row>
    <row r="377" spans="1:21" x14ac:dyDescent="0.3">
      <c r="A377" s="7">
        <f t="shared" si="73"/>
        <v/>
      </c>
      <c r="B377" s="7">
        <f>IF(C377=1,MAX(B$2:$B376)+1,IF(F377=0,"",B376))</f>
      </c>
      <c r="C377" s="7">
        <f>COUNTIF($F$2:$F377,F377)</f>
      </c>
      <c r="D377" s="7">
        <f>IF(F377=0,0,MAX($D$2:D376)+1)</f>
      </c>
      <c r="E377" s="7">
        <f>IF(H377=0,0,MAX($E$2:E376)+1)</f>
      </c>
      <c r="F377" s="177"/>
      <c r="G377" s="119"/>
      <c r="H377" s="119"/>
      <c r="I377" s="7">
        <f>IFERROR(VLOOKUP(H377,H$2:H376,1,FALSE),VLOOKUP(H377,H378:H$478,1,FALSE))</f>
      </c>
      <c r="J377" s="7">
        <f t="shared" si="66"/>
        <v/>
      </c>
      <c r="K377" s="7">
        <f t="shared" si="67"/>
        <v/>
      </c>
      <c r="L377" s="7">
        <f t="shared" si="68"/>
        <v/>
      </c>
      <c r="M377" s="19">
        <f t="shared" si="77"/>
        <v/>
      </c>
      <c r="N377" s="7">
        <f t="shared" si="69"/>
        <v/>
      </c>
      <c r="O377" s="7"/>
      <c r="P377" s="7">
        <f t="shared" si="70"/>
        <v/>
      </c>
      <c r="Q377" s="7">
        <f t="shared" si="71"/>
        <v/>
      </c>
      <c r="R377" s="7">
        <f t="shared" si="74"/>
      </c>
      <c r="S377" s="7">
        <f t="shared" si="75"/>
      </c>
      <c r="T377" s="7">
        <f t="shared" si="76"/>
      </c>
      <c r="U377" s="7">
        <f t="shared" si="72"/>
        <v/>
      </c>
    </row>
    <row r="378" spans="1:21" x14ac:dyDescent="0.3">
      <c r="A378" s="7">
        <f t="shared" si="73"/>
        <v/>
      </c>
      <c r="B378" s="7">
        <f>IF(C378=1,MAX(B$2:$B377)+1,IF(F378=0,"",B377))</f>
      </c>
      <c r="C378" s="7">
        <f>COUNTIF($F$2:$F378,F378)</f>
      </c>
      <c r="D378" s="7">
        <f>IF(F378=0,0,MAX($D$2:D377)+1)</f>
      </c>
      <c r="E378" s="7">
        <f>IF(H378=0,0,MAX($E$2:E377)+1)</f>
      </c>
      <c r="F378" s="177"/>
      <c r="G378" s="119"/>
      <c r="H378" s="119"/>
      <c r="I378" s="7">
        <f>IFERROR(VLOOKUP(H378,H$2:H377,1,FALSE),VLOOKUP(H378,H379:H$478,1,FALSE))</f>
      </c>
      <c r="J378" s="7">
        <f t="shared" si="66"/>
        <v/>
      </c>
      <c r="K378" s="7">
        <f t="shared" si="67"/>
        <v/>
      </c>
      <c r="L378" s="7">
        <f t="shared" si="68"/>
        <v/>
      </c>
      <c r="M378" s="19">
        <f t="shared" si="77"/>
        <v/>
      </c>
      <c r="N378" s="7">
        <f t="shared" si="69"/>
        <v/>
      </c>
      <c r="O378" s="7"/>
      <c r="P378" s="7">
        <f t="shared" si="70"/>
        <v/>
      </c>
      <c r="Q378" s="7">
        <f t="shared" si="71"/>
        <v/>
      </c>
      <c r="R378" s="7">
        <f t="shared" si="74"/>
      </c>
      <c r="S378" s="7">
        <f t="shared" si="75"/>
      </c>
      <c r="T378" s="7">
        <f t="shared" si="76"/>
      </c>
      <c r="U378" s="7">
        <f t="shared" si="72"/>
        <v/>
      </c>
    </row>
    <row r="379" spans="1:21" x14ac:dyDescent="0.3">
      <c r="A379" s="7">
        <f t="shared" si="73"/>
        <v/>
      </c>
      <c r="B379" s="7">
        <f>IF(C379=1,MAX(B$2:$B378)+1,IF(F379=0,"",B378))</f>
      </c>
      <c r="C379" s="7">
        <f>COUNTIF($F$2:$F379,F379)</f>
      </c>
      <c r="D379" s="7">
        <f>IF(F379=0,0,MAX($D$2:D378)+1)</f>
      </c>
      <c r="E379" s="7">
        <f>IF(H379=0,0,MAX($E$2:E378)+1)</f>
      </c>
      <c r="F379" s="177"/>
      <c r="G379" s="119"/>
      <c r="H379" s="119"/>
      <c r="I379" s="7">
        <f>IFERROR(VLOOKUP(H379,H$2:H378,1,FALSE),VLOOKUP(H379,H380:H$478,1,FALSE))</f>
      </c>
      <c r="J379" s="7">
        <f t="shared" si="66"/>
        <v/>
      </c>
      <c r="K379" s="7">
        <f t="shared" si="67"/>
        <v/>
      </c>
      <c r="L379" s="7">
        <f t="shared" si="68"/>
        <v/>
      </c>
      <c r="M379" s="19">
        <f t="shared" si="77"/>
        <v/>
      </c>
      <c r="N379" s="7">
        <f t="shared" si="69"/>
        <v/>
      </c>
      <c r="O379" s="7"/>
      <c r="P379" s="7">
        <f t="shared" si="70"/>
        <v/>
      </c>
      <c r="Q379" s="7">
        <f t="shared" si="71"/>
        <v/>
      </c>
      <c r="R379" s="7">
        <f t="shared" si="74"/>
      </c>
      <c r="S379" s="7">
        <f t="shared" si="75"/>
      </c>
      <c r="T379" s="7">
        <f t="shared" si="76"/>
      </c>
      <c r="U379" s="7">
        <f t="shared" si="72"/>
        <v/>
      </c>
    </row>
    <row r="380" spans="1:21" x14ac:dyDescent="0.3">
      <c r="A380" s="7">
        <f t="shared" si="73"/>
        <v/>
      </c>
      <c r="B380" s="7">
        <f>IF(C380=1,MAX(B$2:$B379)+1,IF(F380=0,"",B379))</f>
      </c>
      <c r="C380" s="7">
        <f>COUNTIF($F$2:$F380,F380)</f>
      </c>
      <c r="D380" s="7">
        <f>IF(F380=0,0,MAX($D$2:D379)+1)</f>
      </c>
      <c r="E380" s="7">
        <f>IF(H380=0,0,MAX($E$2:E379)+1)</f>
      </c>
      <c r="F380" s="177"/>
      <c r="G380" s="119"/>
      <c r="H380" s="119"/>
      <c r="I380" s="7">
        <f>IFERROR(VLOOKUP(H380,H$2:H379,1,FALSE),VLOOKUP(H380,H381:H$478,1,FALSE))</f>
      </c>
      <c r="J380" s="7">
        <f t="shared" si="66"/>
        <v/>
      </c>
      <c r="K380" s="7">
        <f t="shared" si="67"/>
        <v/>
      </c>
      <c r="L380" s="7">
        <f t="shared" si="68"/>
        <v/>
      </c>
      <c r="M380" s="19">
        <f t="shared" si="77"/>
        <v/>
      </c>
      <c r="N380" s="7">
        <f t="shared" si="69"/>
        <v/>
      </c>
      <c r="O380" s="7"/>
      <c r="P380" s="7">
        <f t="shared" si="70"/>
        <v/>
      </c>
      <c r="Q380" s="7">
        <f t="shared" si="71"/>
        <v/>
      </c>
      <c r="R380" s="7">
        <f t="shared" si="74"/>
      </c>
      <c r="S380" s="7">
        <f t="shared" si="75"/>
      </c>
      <c r="T380" s="7">
        <f t="shared" si="76"/>
      </c>
      <c r="U380" s="7">
        <f t="shared" si="72"/>
        <v/>
      </c>
    </row>
    <row r="381" spans="1:21" x14ac:dyDescent="0.3">
      <c r="A381" s="7">
        <f t="shared" si="73"/>
        <v/>
      </c>
      <c r="B381" s="7">
        <f>IF(C381=1,MAX(B$2:$B380)+1,IF(F381=0,"",B380))</f>
      </c>
      <c r="C381" s="7">
        <f>COUNTIF($F$2:$F381,F381)</f>
      </c>
      <c r="D381" s="7">
        <f>IF(F381=0,0,MAX($D$2:D380)+1)</f>
      </c>
      <c r="E381" s="7">
        <f>IF(H381=0,0,MAX($E$2:E380)+1)</f>
      </c>
      <c r="F381" s="177"/>
      <c r="G381" s="119"/>
      <c r="H381" s="119"/>
      <c r="I381" s="7">
        <f>IFERROR(VLOOKUP(H381,H$2:H380,1,FALSE),VLOOKUP(H381,H382:H$478,1,FALSE))</f>
      </c>
      <c r="J381" s="7">
        <f t="shared" si="66"/>
        <v/>
      </c>
      <c r="K381" s="7">
        <f t="shared" si="67"/>
        <v/>
      </c>
      <c r="L381" s="7">
        <f t="shared" si="68"/>
        <v/>
      </c>
      <c r="M381" s="19">
        <f t="shared" si="77"/>
        <v/>
      </c>
      <c r="N381" s="7">
        <f t="shared" si="69"/>
        <v/>
      </c>
      <c r="O381" s="7"/>
      <c r="P381" s="7">
        <f t="shared" si="70"/>
        <v/>
      </c>
      <c r="Q381" s="7">
        <f t="shared" si="71"/>
        <v/>
      </c>
      <c r="R381" s="7">
        <f t="shared" si="74"/>
      </c>
      <c r="S381" s="7">
        <f t="shared" si="75"/>
      </c>
      <c r="T381" s="7">
        <f t="shared" si="76"/>
      </c>
      <c r="U381" s="7">
        <f t="shared" si="72"/>
        <v/>
      </c>
    </row>
    <row r="382" spans="1:21" x14ac:dyDescent="0.3">
      <c r="A382" s="7">
        <f t="shared" si="73"/>
        <v/>
      </c>
      <c r="B382" s="7">
        <f>IF(C382=1,MAX(B$2:$B381)+1,IF(F382=0,"",B381))</f>
      </c>
      <c r="C382" s="7">
        <f>COUNTIF($F$2:$F382,F382)</f>
      </c>
      <c r="D382" s="7">
        <f>IF(F382=0,0,MAX($D$2:D381)+1)</f>
      </c>
      <c r="E382" s="7">
        <f>IF(H382=0,0,MAX($E$2:E381)+1)</f>
      </c>
      <c r="F382" s="177"/>
      <c r="G382" s="119"/>
      <c r="H382" s="119"/>
      <c r="I382" s="7">
        <f>IFERROR(VLOOKUP(H382,H$2:H381,1,FALSE),VLOOKUP(H382,H383:H$478,1,FALSE))</f>
      </c>
      <c r="J382" s="7">
        <f t="shared" si="66"/>
        <v/>
      </c>
      <c r="K382" s="7">
        <f t="shared" si="67"/>
        <v/>
      </c>
      <c r="L382" s="7">
        <f t="shared" si="68"/>
        <v/>
      </c>
      <c r="M382" s="19">
        <f t="shared" si="77"/>
        <v/>
      </c>
      <c r="N382" s="7">
        <f t="shared" si="69"/>
        <v/>
      </c>
      <c r="O382" s="7"/>
      <c r="P382" s="7">
        <f t="shared" si="70"/>
        <v/>
      </c>
      <c r="Q382" s="7">
        <f t="shared" si="71"/>
        <v/>
      </c>
      <c r="R382" s="7">
        <f t="shared" si="74"/>
      </c>
      <c r="S382" s="7">
        <f t="shared" si="75"/>
      </c>
      <c r="T382" s="7">
        <f t="shared" si="76"/>
      </c>
      <c r="U382" s="7">
        <f t="shared" si="72"/>
        <v/>
      </c>
    </row>
    <row r="383" spans="1:21" x14ac:dyDescent="0.3">
      <c r="A383" s="7">
        <f t="shared" si="73"/>
        <v/>
      </c>
      <c r="B383" s="7">
        <f>IF(C383=1,MAX(B$2:$B382)+1,IF(F383=0,"",B382))</f>
      </c>
      <c r="C383" s="7">
        <f>COUNTIF($F$2:$F383,F383)</f>
      </c>
      <c r="D383" s="7">
        <f>IF(F383=0,0,MAX($D$2:D382)+1)</f>
      </c>
      <c r="E383" s="7">
        <f>IF(H383=0,0,MAX($E$2:E382)+1)</f>
      </c>
      <c r="F383" s="177"/>
      <c r="G383" s="119"/>
      <c r="H383" s="119"/>
      <c r="I383" s="7">
        <f>IFERROR(VLOOKUP(H383,H$2:H382,1,FALSE),VLOOKUP(H383,H384:H$478,1,FALSE))</f>
      </c>
      <c r="J383" s="7">
        <f t="shared" si="66"/>
        <v/>
      </c>
      <c r="K383" s="7">
        <f t="shared" si="67"/>
        <v/>
      </c>
      <c r="L383" s="7">
        <f t="shared" si="68"/>
        <v/>
      </c>
      <c r="M383" s="19">
        <f t="shared" si="77"/>
        <v/>
      </c>
      <c r="N383" s="7">
        <f t="shared" si="69"/>
        <v/>
      </c>
      <c r="O383" s="7"/>
      <c r="P383" s="7">
        <f t="shared" si="70"/>
        <v/>
      </c>
      <c r="Q383" s="7">
        <f t="shared" si="71"/>
        <v/>
      </c>
      <c r="R383" s="7">
        <f t="shared" si="74"/>
      </c>
      <c r="S383" s="7">
        <f t="shared" si="75"/>
      </c>
      <c r="T383" s="7">
        <f t="shared" si="76"/>
      </c>
      <c r="U383" s="7">
        <f t="shared" si="72"/>
        <v/>
      </c>
    </row>
    <row r="384" spans="1:21" x14ac:dyDescent="0.3">
      <c r="A384" s="7">
        <f t="shared" si="73"/>
        <v/>
      </c>
      <c r="B384" s="7">
        <f>IF(C384=1,MAX(B$2:$B383)+1,IF(F384=0,"",B383))</f>
      </c>
      <c r="C384" s="7">
        <f>COUNTIF($F$2:$F384,F384)</f>
      </c>
      <c r="D384" s="7">
        <f>IF(F384=0,0,MAX($D$2:D383)+1)</f>
      </c>
      <c r="E384" s="7">
        <f>IF(H384=0,0,MAX($E$2:E383)+1)</f>
      </c>
      <c r="F384" s="177"/>
      <c r="G384" s="119"/>
      <c r="H384" s="119"/>
      <c r="I384" s="7">
        <f>IFERROR(VLOOKUP(H384,H$2:H383,1,FALSE),VLOOKUP(H384,H385:H$478,1,FALSE))</f>
      </c>
      <c r="J384" s="7">
        <f t="shared" si="66"/>
        <v/>
      </c>
      <c r="K384" s="7">
        <f t="shared" si="67"/>
        <v/>
      </c>
      <c r="L384" s="7">
        <f t="shared" si="68"/>
        <v/>
      </c>
      <c r="M384" s="19">
        <f t="shared" si="77"/>
        <v/>
      </c>
      <c r="N384" s="7">
        <f t="shared" si="69"/>
        <v/>
      </c>
      <c r="O384" s="7"/>
      <c r="P384" s="7">
        <f t="shared" si="70"/>
        <v/>
      </c>
      <c r="Q384" s="7">
        <f t="shared" si="71"/>
        <v/>
      </c>
      <c r="R384" s="7">
        <f t="shared" si="74"/>
      </c>
      <c r="S384" s="7">
        <f t="shared" si="75"/>
      </c>
      <c r="T384" s="7">
        <f t="shared" si="76"/>
      </c>
      <c r="U384" s="7">
        <f t="shared" si="72"/>
        <v/>
      </c>
    </row>
    <row r="385" spans="1:21" x14ac:dyDescent="0.3">
      <c r="A385" s="7">
        <f t="shared" si="73"/>
        <v/>
      </c>
      <c r="B385" s="7">
        <f>IF(C385=1,MAX(B$2:$B384)+1,IF(F385=0,"",B384))</f>
      </c>
      <c r="C385" s="7">
        <f>COUNTIF($F$2:$F385,F385)</f>
      </c>
      <c r="D385" s="7">
        <f>IF(F385=0,0,MAX($D$2:D384)+1)</f>
      </c>
      <c r="E385" s="7">
        <f>IF(H385=0,0,MAX($E$2:E384)+1)</f>
      </c>
      <c r="F385" s="177"/>
      <c r="G385" s="119"/>
      <c r="H385" s="119"/>
      <c r="I385" s="7">
        <f>IFERROR(VLOOKUP(H385,H$2:H384,1,FALSE),VLOOKUP(H385,H386:H$478,1,FALSE))</f>
      </c>
      <c r="J385" s="7">
        <f t="shared" si="66"/>
        <v/>
      </c>
      <c r="K385" s="7">
        <f t="shared" si="67"/>
        <v/>
      </c>
      <c r="L385" s="7">
        <f t="shared" si="68"/>
        <v/>
      </c>
      <c r="M385" s="19">
        <f t="shared" si="77"/>
        <v/>
      </c>
      <c r="N385" s="7">
        <f t="shared" si="69"/>
        <v/>
      </c>
      <c r="O385" s="7"/>
      <c r="P385" s="7">
        <f t="shared" si="70"/>
        <v/>
      </c>
      <c r="Q385" s="7">
        <f t="shared" si="71"/>
        <v/>
      </c>
      <c r="R385" s="7">
        <f t="shared" si="74"/>
      </c>
      <c r="S385" s="7">
        <f t="shared" si="75"/>
      </c>
      <c r="T385" s="7">
        <f t="shared" si="76"/>
      </c>
      <c r="U385" s="7">
        <f t="shared" si="72"/>
        <v/>
      </c>
    </row>
    <row r="386" spans="1:21" x14ac:dyDescent="0.3">
      <c r="A386" s="7">
        <f t="shared" si="73"/>
        <v/>
      </c>
      <c r="B386" s="7">
        <f>IF(C386=1,MAX(B$2:$B385)+1,IF(F386=0,"",B385))</f>
      </c>
      <c r="C386" s="7">
        <f>COUNTIF($F$2:$F386,F386)</f>
      </c>
      <c r="D386" s="7">
        <f>IF(F386=0,0,MAX($D$2:D385)+1)</f>
      </c>
      <c r="E386" s="7">
        <f>IF(H386=0,0,MAX($E$2:E385)+1)</f>
      </c>
      <c r="F386" s="177"/>
      <c r="G386" s="119"/>
      <c r="H386" s="119"/>
      <c r="I386" s="7">
        <f>IFERROR(VLOOKUP(H386,H$2:H385,1,FALSE),VLOOKUP(H386,H387:H$478,1,FALSE))</f>
      </c>
      <c r="J386" s="7">
        <f t="shared" si="66"/>
        <v/>
      </c>
      <c r="K386" s="7">
        <f t="shared" si="67"/>
        <v/>
      </c>
      <c r="L386" s="7">
        <f t="shared" si="68"/>
        <v/>
      </c>
      <c r="M386" s="19">
        <f t="shared" si="77"/>
        <v/>
      </c>
      <c r="N386" s="7">
        <f t="shared" si="69"/>
        <v/>
      </c>
      <c r="O386" s="7"/>
      <c r="P386" s="7">
        <f t="shared" si="70"/>
        <v/>
      </c>
      <c r="Q386" s="7">
        <f t="shared" si="71"/>
        <v/>
      </c>
      <c r="R386" s="7">
        <f t="shared" si="74"/>
      </c>
      <c r="S386" s="7">
        <f t="shared" si="75"/>
      </c>
      <c r="T386" s="7">
        <f t="shared" si="76"/>
      </c>
      <c r="U386" s="7">
        <f t="shared" si="72"/>
        <v/>
      </c>
    </row>
    <row r="387" spans="1:21" x14ac:dyDescent="0.3">
      <c r="A387" s="7">
        <f t="shared" si="73"/>
        <v/>
      </c>
      <c r="B387" s="7">
        <f>IF(C387=1,MAX(B$2:$B386)+1,IF(F387=0,"",B386))</f>
      </c>
      <c r="C387" s="7">
        <f>COUNTIF($F$2:$F387,F387)</f>
      </c>
      <c r="D387" s="7">
        <f>IF(F387=0,0,MAX($D$2:D386)+1)</f>
      </c>
      <c r="E387" s="7">
        <f>IF(H387=0,0,MAX($E$2:E386)+1)</f>
      </c>
      <c r="F387" s="177"/>
      <c r="G387" s="119"/>
      <c r="H387" s="119"/>
      <c r="I387" s="7">
        <f>IFERROR(VLOOKUP(H387,H$2:H386,1,FALSE),VLOOKUP(H387,H388:H$478,1,FALSE))</f>
      </c>
      <c r="J387" s="7">
        <f t="shared" ref="J387:J450" si="78">IF($H387=0,"",VLOOKUP($H387,Исходные_данные,36,FALSE))</f>
        <v/>
      </c>
      <c r="K387" s="7">
        <f t="shared" ref="K387:K450" si="79">IF($H387=0,"",VLOOKUP($H387,Исходные_данные,37,FALSE))</f>
        <v/>
      </c>
      <c r="L387" s="7">
        <f t="shared" ref="L387:L450" si="80">IF($H387=0,"",VLOOKUP($H387,Исходные_данные,38,FALSE))</f>
        <v/>
      </c>
      <c r="M387" s="19">
        <f t="shared" si="77"/>
        <v/>
      </c>
      <c r="N387" s="7">
        <f t="shared" ref="N387:N450" si="81">IF($H387=0,"",VLOOKUP($H387,Исходные_данные,39,FALSE))</f>
        <v/>
      </c>
      <c r="O387" s="7"/>
      <c r="P387" s="7">
        <f t="shared" ref="P387:P450" si="82">IF($H387=0,"",VLOOKUP($H387,Исходные_данные,41,FALSE))</f>
        <v/>
      </c>
      <c r="Q387" s="7">
        <f t="shared" ref="Q387:Q450" si="83">IF($H387=0,"",VLOOKUP($H387,Исходные_данные,8,FALSE))</f>
        <v/>
      </c>
      <c r="R387" s="7">
        <f t="shared" si="74"/>
      </c>
      <c r="S387" s="7">
        <f t="shared" si="75"/>
      </c>
      <c r="T387" s="7">
        <f t="shared" si="76"/>
      </c>
      <c r="U387" s="7">
        <f t="shared" ref="U387:U450" si="84">IF($H387=0,"",VLOOKUP($H387,Исходные_данные,31,FALSE))</f>
        <v/>
      </c>
    </row>
    <row r="388" spans="1:21" x14ac:dyDescent="0.3">
      <c r="A388" s="7">
        <f t="shared" ref="A388:A451" si="85">IF(B388=B389,"",B388)</f>
        <v/>
      </c>
      <c r="B388" s="7">
        <f>IF(C388=1,MAX(B$2:$B387)+1,IF(F388=0,"",B387))</f>
      </c>
      <c r="C388" s="7">
        <f>COUNTIF($F$2:$F388,F388)</f>
      </c>
      <c r="D388" s="7">
        <f>IF(F388=0,0,MAX($D$2:D387)+1)</f>
      </c>
      <c r="E388" s="7">
        <f>IF(H388=0,0,MAX($E$2:E387)+1)</f>
      </c>
      <c r="F388" s="177"/>
      <c r="G388" s="177"/>
      <c r="H388" s="119"/>
      <c r="I388" s="7">
        <f>IFERROR(VLOOKUP(H388,H$2:H387,1,FALSE),VLOOKUP(H388,H389:H$478,1,FALSE))</f>
      </c>
      <c r="J388" s="7">
        <f t="shared" si="78"/>
        <v/>
      </c>
      <c r="K388" s="7">
        <f t="shared" si="79"/>
        <v/>
      </c>
      <c r="L388" s="7">
        <f t="shared" si="80"/>
        <v/>
      </c>
      <c r="M388" s="19">
        <f t="shared" si="77"/>
        <v/>
      </c>
      <c r="N388" s="7">
        <f t="shared" si="81"/>
        <v/>
      </c>
      <c r="O388" s="7"/>
      <c r="P388" s="7">
        <f t="shared" si="82"/>
        <v/>
      </c>
      <c r="Q388" s="7">
        <f t="shared" si="83"/>
        <v/>
      </c>
      <c r="R388" s="7">
        <f t="shared" ref="R388:R451" si="86">IF(Q388=3,"L1,L2,L3",0)</f>
      </c>
      <c r="S388" s="7">
        <f t="shared" ref="S388:S451" si="87">IF(C388=1,1,IF(Q388=3,S387,IF(S387=3,1,S387+1)))</f>
      </c>
      <c r="T388" s="7">
        <f t="shared" ref="T388:T451" si="88">IF(R388=0,"L"&amp;S388,R388)</f>
      </c>
      <c r="U388" s="7">
        <f t="shared" si="84"/>
        <v/>
      </c>
    </row>
    <row r="389" spans="1:21" x14ac:dyDescent="0.3">
      <c r="A389" s="7">
        <f t="shared" si="85"/>
        <v/>
      </c>
      <c r="B389" s="7">
        <f>IF(C389=1,MAX(B$2:$B388)+1,IF(F389=0,"",B388))</f>
      </c>
      <c r="C389" s="7">
        <f>COUNTIF($F$2:$F389,F389)</f>
      </c>
      <c r="D389" s="7">
        <f>IF(F389=0,0,MAX($D$2:D388)+1)</f>
      </c>
      <c r="E389" s="7">
        <f>IF(H389=0,0,MAX($E$2:E388)+1)</f>
      </c>
      <c r="F389" s="177"/>
      <c r="G389" s="119"/>
      <c r="H389" s="119"/>
      <c r="I389" s="7">
        <f>IFERROR(VLOOKUP(H389,H$2:H388,1,FALSE),VLOOKUP(H389,H390:H$478,1,FALSE))</f>
      </c>
      <c r="J389" s="7">
        <f t="shared" si="78"/>
        <v/>
      </c>
      <c r="K389" s="7">
        <f t="shared" si="79"/>
        <v/>
      </c>
      <c r="L389" s="7">
        <f t="shared" si="80"/>
        <v/>
      </c>
      <c r="M389" s="19">
        <f t="shared" ref="M389:M452" si="89">IFERROR(VLOOKUP(H389,Нагрузка_диапазон_1,4,FALSE),"")</f>
        <v/>
      </c>
      <c r="N389" s="7">
        <f t="shared" si="81"/>
        <v/>
      </c>
      <c r="O389" s="7"/>
      <c r="P389" s="7">
        <f t="shared" si="82"/>
        <v/>
      </c>
      <c r="Q389" s="7">
        <f t="shared" si="83"/>
        <v/>
      </c>
      <c r="R389" s="7">
        <f t="shared" si="86"/>
      </c>
      <c r="S389" s="7">
        <f t="shared" si="87"/>
      </c>
      <c r="T389" s="7">
        <f t="shared" si="88"/>
      </c>
      <c r="U389" s="7">
        <f t="shared" si="84"/>
        <v/>
      </c>
    </row>
    <row r="390" spans="1:21" x14ac:dyDescent="0.3">
      <c r="A390" s="7">
        <f t="shared" si="85"/>
        <v/>
      </c>
      <c r="B390" s="7">
        <f>IF(C390=1,MAX(B$2:$B389)+1,IF(F390=0,"",B389))</f>
      </c>
      <c r="C390" s="7">
        <f>COUNTIF($F$2:$F390,F390)</f>
      </c>
      <c r="D390" s="7">
        <f>IF(F390=0,0,MAX($D$2:D389)+1)</f>
      </c>
      <c r="E390" s="7">
        <f>IF(H390=0,0,MAX($E$2:E389)+1)</f>
      </c>
      <c r="F390" s="177"/>
      <c r="G390" s="119"/>
      <c r="H390" s="119"/>
      <c r="I390" s="7">
        <f>IFERROR(VLOOKUP(H390,H$2:H389,1,FALSE),VLOOKUP(H390,H391:H$478,1,FALSE))</f>
      </c>
      <c r="J390" s="7">
        <f t="shared" si="78"/>
        <v/>
      </c>
      <c r="K390" s="7">
        <f t="shared" si="79"/>
        <v/>
      </c>
      <c r="L390" s="7">
        <f t="shared" si="80"/>
        <v/>
      </c>
      <c r="M390" s="19">
        <f t="shared" si="89"/>
        <v/>
      </c>
      <c r="N390" s="7">
        <f t="shared" si="81"/>
        <v/>
      </c>
      <c r="O390" s="7"/>
      <c r="P390" s="7">
        <f t="shared" si="82"/>
        <v/>
      </c>
      <c r="Q390" s="7">
        <f t="shared" si="83"/>
        <v/>
      </c>
      <c r="R390" s="7">
        <f t="shared" si="86"/>
      </c>
      <c r="S390" s="7">
        <f t="shared" si="87"/>
      </c>
      <c r="T390" s="7">
        <f t="shared" si="88"/>
      </c>
      <c r="U390" s="7">
        <f t="shared" si="84"/>
        <v/>
      </c>
    </row>
    <row r="391" spans="1:21" x14ac:dyDescent="0.3">
      <c r="A391" s="7">
        <f t="shared" si="85"/>
        <v/>
      </c>
      <c r="B391" s="7">
        <f>IF(C391=1,MAX(B$2:$B390)+1,IF(F391=0,"",B390))</f>
      </c>
      <c r="C391" s="7">
        <f>COUNTIF($F$2:$F391,F391)</f>
      </c>
      <c r="D391" s="7">
        <f>IF(F391=0,0,MAX($D$2:D390)+1)</f>
      </c>
      <c r="E391" s="7">
        <f>IF(H391=0,0,MAX($E$2:E390)+1)</f>
      </c>
      <c r="F391" s="177"/>
      <c r="G391" s="119"/>
      <c r="H391" s="119"/>
      <c r="I391" s="7">
        <f>IFERROR(VLOOKUP(H391,H$2:H390,1,FALSE),VLOOKUP(H391,H392:H$478,1,FALSE))</f>
      </c>
      <c r="J391" s="7">
        <f t="shared" si="78"/>
        <v/>
      </c>
      <c r="K391" s="7">
        <f t="shared" si="79"/>
        <v/>
      </c>
      <c r="L391" s="7">
        <f t="shared" si="80"/>
        <v/>
      </c>
      <c r="M391" s="19">
        <f t="shared" si="89"/>
        <v/>
      </c>
      <c r="N391" s="7">
        <f t="shared" si="81"/>
        <v/>
      </c>
      <c r="O391" s="7"/>
      <c r="P391" s="7">
        <f t="shared" si="82"/>
        <v/>
      </c>
      <c r="Q391" s="7">
        <f t="shared" si="83"/>
        <v/>
      </c>
      <c r="R391" s="7">
        <f t="shared" si="86"/>
      </c>
      <c r="S391" s="7">
        <f t="shared" si="87"/>
      </c>
      <c r="T391" s="7">
        <f t="shared" si="88"/>
      </c>
      <c r="U391" s="7">
        <f t="shared" si="84"/>
        <v/>
      </c>
    </row>
    <row r="392" spans="1:21" x14ac:dyDescent="0.3">
      <c r="A392" s="7">
        <f t="shared" si="85"/>
        <v/>
      </c>
      <c r="B392" s="7">
        <f>IF(C392=1,MAX(B$2:$B391)+1,IF(F392=0,"",B391))</f>
      </c>
      <c r="C392" s="7">
        <f>COUNTIF($F$2:$F392,F392)</f>
      </c>
      <c r="D392" s="7">
        <f>IF(F392=0,0,MAX($D$2:D391)+1)</f>
      </c>
      <c r="E392" s="7">
        <f>IF(H392=0,0,MAX($E$2:E391)+1)</f>
      </c>
      <c r="F392" s="177"/>
      <c r="G392" s="119"/>
      <c r="H392" s="119"/>
      <c r="I392" s="7">
        <f>IFERROR(VLOOKUP(H392,H$2:H391,1,FALSE),VLOOKUP(H392,H393:H$478,1,FALSE))</f>
      </c>
      <c r="J392" s="7">
        <f t="shared" si="78"/>
        <v/>
      </c>
      <c r="K392" s="7">
        <f t="shared" si="79"/>
        <v/>
      </c>
      <c r="L392" s="7">
        <f t="shared" si="80"/>
        <v/>
      </c>
      <c r="M392" s="19">
        <f t="shared" si="89"/>
        <v/>
      </c>
      <c r="N392" s="7">
        <f t="shared" si="81"/>
        <v/>
      </c>
      <c r="O392" s="7"/>
      <c r="P392" s="7">
        <f t="shared" si="82"/>
        <v/>
      </c>
      <c r="Q392" s="7">
        <f t="shared" si="83"/>
        <v/>
      </c>
      <c r="R392" s="7">
        <f t="shared" si="86"/>
      </c>
      <c r="S392" s="7">
        <f t="shared" si="87"/>
      </c>
      <c r="T392" s="7">
        <f t="shared" si="88"/>
      </c>
      <c r="U392" s="7">
        <f t="shared" si="84"/>
        <v/>
      </c>
    </row>
    <row r="393" spans="1:21" s="8" customFormat="1" ht="15" thickBot="1" x14ac:dyDescent="0.35">
      <c r="A393" s="47">
        <f t="shared" si="85"/>
        <v/>
      </c>
      <c r="B393" s="47">
        <f>IF(C393=1,MAX(B$2:$B392)+1,IF(F393=0,"",B392))</f>
      </c>
      <c r="C393" s="47">
        <f>COUNTIF($F$2:$F393,F393)</f>
      </c>
      <c r="D393" s="47">
        <f>IF(F393=0,0,MAX($D$2:D392)+1)</f>
      </c>
      <c r="E393" s="47">
        <f>IF(H393=0,0,MAX($E$2:E392)+1)</f>
      </c>
      <c r="F393" s="177"/>
      <c r="G393" s="175"/>
      <c r="H393" s="175"/>
      <c r="I393" s="47">
        <f>IFERROR(VLOOKUP(H393,H$2:H392,1,FALSE),VLOOKUP(H393,H394:H$478,1,FALSE))</f>
      </c>
      <c r="J393" s="47">
        <f t="shared" si="78"/>
        <v/>
      </c>
      <c r="K393" s="47">
        <f t="shared" si="79"/>
        <v/>
      </c>
      <c r="L393" s="47">
        <f t="shared" si="80"/>
        <v/>
      </c>
      <c r="M393" s="52">
        <f t="shared" si="89"/>
        <v/>
      </c>
      <c r="N393" s="47">
        <f t="shared" si="81"/>
        <v/>
      </c>
      <c r="O393" s="47"/>
      <c r="P393" s="47">
        <f t="shared" si="82"/>
        <v/>
      </c>
      <c r="Q393" s="47">
        <f t="shared" si="83"/>
        <v/>
      </c>
      <c r="R393" s="47">
        <f t="shared" si="86"/>
      </c>
      <c r="S393" s="47">
        <f t="shared" si="87"/>
      </c>
      <c r="T393" s="47">
        <f t="shared" si="88"/>
      </c>
      <c r="U393" s="47">
        <f t="shared" si="84"/>
        <v/>
      </c>
    </row>
    <row r="394" spans="1:21" x14ac:dyDescent="0.3">
      <c r="A394" s="7">
        <f t="shared" si="85"/>
        <v/>
      </c>
      <c r="B394" s="7">
        <f>IF(C394=1,MAX(B$2:$B393)+1,IF(F394=0,"",B393))</f>
      </c>
      <c r="C394" s="7">
        <f>COUNTIF($F$2:$F394,F394)</f>
      </c>
      <c r="D394" s="7">
        <f>IF(F394=0,0,MAX($D$2:D393)+1)</f>
      </c>
      <c r="E394" s="7">
        <f>IF(H394=0,0,MAX($E$2:E393)+1)</f>
      </c>
      <c r="F394" s="177"/>
      <c r="G394" s="177"/>
      <c r="H394" s="177"/>
      <c r="I394" s="7">
        <f>IFERROR(VLOOKUP(H394,H$2:H393,1,FALSE),VLOOKUP(H394,H395:H$478,1,FALSE))</f>
      </c>
      <c r="J394" s="7">
        <f t="shared" si="78"/>
        <v/>
      </c>
      <c r="K394" s="7">
        <f t="shared" si="79"/>
        <v/>
      </c>
      <c r="L394" s="7">
        <f t="shared" si="80"/>
        <v/>
      </c>
      <c r="M394" s="19">
        <f t="shared" si="89"/>
        <v/>
      </c>
      <c r="N394" s="7">
        <f t="shared" si="81"/>
        <v/>
      </c>
      <c r="O394" s="7"/>
      <c r="P394" s="7">
        <f t="shared" si="82"/>
        <v/>
      </c>
      <c r="Q394" s="7">
        <f t="shared" si="83"/>
        <v/>
      </c>
      <c r="R394" s="7">
        <f t="shared" si="86"/>
      </c>
      <c r="S394" s="7">
        <f t="shared" si="87"/>
      </c>
      <c r="T394" s="7">
        <f t="shared" si="88"/>
      </c>
      <c r="U394" s="7">
        <f t="shared" si="84"/>
        <v/>
      </c>
    </row>
    <row r="395" spans="1:21" x14ac:dyDescent="0.3">
      <c r="A395" s="7">
        <f t="shared" si="85"/>
        <v/>
      </c>
      <c r="B395" s="7">
        <f>IF(C395=1,MAX(B$2:$B394)+1,IF(F395=0,"",B394))</f>
      </c>
      <c r="C395" s="7">
        <f>COUNTIF($F$2:$F395,F395)</f>
      </c>
      <c r="D395" s="7">
        <f>IF(F395=0,0,MAX($D$2:D394)+1)</f>
      </c>
      <c r="E395" s="7">
        <f>IF(H395=0,0,MAX($E$2:E394)+1)</f>
      </c>
      <c r="F395" s="177"/>
      <c r="G395" s="119"/>
      <c r="H395" s="119"/>
      <c r="I395" s="7">
        <f>IFERROR(VLOOKUP(H395,H$2:H394,1,FALSE),VLOOKUP(H395,H396:H$478,1,FALSE))</f>
      </c>
      <c r="J395" s="7">
        <f t="shared" si="78"/>
        <v/>
      </c>
      <c r="K395" s="7">
        <f t="shared" si="79"/>
        <v/>
      </c>
      <c r="L395" s="7">
        <f t="shared" si="80"/>
        <v/>
      </c>
      <c r="M395" s="19">
        <f t="shared" si="89"/>
        <v/>
      </c>
      <c r="N395" s="7">
        <f t="shared" si="81"/>
        <v/>
      </c>
      <c r="O395" s="7"/>
      <c r="P395" s="7">
        <f t="shared" si="82"/>
        <v/>
      </c>
      <c r="Q395" s="7">
        <f t="shared" si="83"/>
        <v/>
      </c>
      <c r="R395" s="7">
        <f t="shared" si="86"/>
      </c>
      <c r="S395" s="7">
        <f t="shared" si="87"/>
      </c>
      <c r="T395" s="7">
        <f t="shared" si="88"/>
      </c>
      <c r="U395" s="7">
        <f t="shared" si="84"/>
        <v/>
      </c>
    </row>
    <row r="396" spans="1:21" x14ac:dyDescent="0.3">
      <c r="A396" s="7">
        <f t="shared" si="85"/>
        <v/>
      </c>
      <c r="B396" s="7">
        <f>IF(C396=1,MAX(B$2:$B395)+1,IF(F396=0,"",B395))</f>
      </c>
      <c r="C396" s="7">
        <f>COUNTIF($F$2:$F396,F396)</f>
      </c>
      <c r="D396" s="7">
        <f>IF(F396=0,0,MAX($D$2:D395)+1)</f>
      </c>
      <c r="E396" s="7">
        <f>IF(H396=0,0,MAX($E$2:E395)+1)</f>
      </c>
      <c r="F396" s="177"/>
      <c r="G396" s="119"/>
      <c r="H396" s="119"/>
      <c r="I396" s="7">
        <f>IFERROR(VLOOKUP(H396,H$2:H395,1,FALSE),VLOOKUP(H396,H397:H$478,1,FALSE))</f>
      </c>
      <c r="J396" s="7">
        <f t="shared" si="78"/>
        <v/>
      </c>
      <c r="K396" s="7">
        <f t="shared" si="79"/>
        <v/>
      </c>
      <c r="L396" s="7">
        <f t="shared" si="80"/>
        <v/>
      </c>
      <c r="M396" s="19">
        <f t="shared" si="89"/>
        <v/>
      </c>
      <c r="N396" s="7">
        <f t="shared" si="81"/>
        <v/>
      </c>
      <c r="O396" s="7"/>
      <c r="P396" s="7">
        <f t="shared" si="82"/>
        <v/>
      </c>
      <c r="Q396" s="7">
        <f t="shared" si="83"/>
        <v/>
      </c>
      <c r="R396" s="7">
        <f t="shared" si="86"/>
      </c>
      <c r="S396" s="7">
        <f t="shared" si="87"/>
      </c>
      <c r="T396" s="7">
        <f t="shared" si="88"/>
      </c>
      <c r="U396" s="7">
        <f t="shared" si="84"/>
        <v/>
      </c>
    </row>
    <row r="397" spans="1:21" x14ac:dyDescent="0.3">
      <c r="A397" s="7">
        <f t="shared" si="85"/>
        <v/>
      </c>
      <c r="B397" s="7">
        <f>IF(C397=1,MAX(B$2:$B396)+1,IF(F397=0,"",B396))</f>
      </c>
      <c r="C397" s="7">
        <f>COUNTIF($F$2:$F397,F397)</f>
      </c>
      <c r="D397" s="7">
        <f>IF(F397=0,0,MAX($D$2:D396)+1)</f>
      </c>
      <c r="E397" s="7">
        <f>IF(H397=0,0,MAX($E$2:E396)+1)</f>
      </c>
      <c r="F397" s="177"/>
      <c r="G397" s="119"/>
      <c r="H397" s="119"/>
      <c r="I397" s="7">
        <f>IFERROR(VLOOKUP(H397,H$2:H396,1,FALSE),VLOOKUP(H397,H398:H$478,1,FALSE))</f>
      </c>
      <c r="J397" s="7">
        <f t="shared" si="78"/>
        <v/>
      </c>
      <c r="K397" s="7">
        <f t="shared" si="79"/>
        <v/>
      </c>
      <c r="L397" s="7">
        <f t="shared" si="80"/>
        <v/>
      </c>
      <c r="M397" s="19">
        <f t="shared" si="89"/>
        <v/>
      </c>
      <c r="N397" s="7">
        <f t="shared" si="81"/>
        <v/>
      </c>
      <c r="O397" s="7"/>
      <c r="P397" s="7">
        <f t="shared" si="82"/>
        <v/>
      </c>
      <c r="Q397" s="7">
        <f t="shared" si="83"/>
        <v/>
      </c>
      <c r="R397" s="7">
        <f t="shared" si="86"/>
      </c>
      <c r="S397" s="7">
        <f t="shared" si="87"/>
      </c>
      <c r="T397" s="7">
        <f t="shared" si="88"/>
      </c>
      <c r="U397" s="7">
        <f t="shared" si="84"/>
        <v/>
      </c>
    </row>
    <row r="398" spans="1:21" x14ac:dyDescent="0.3">
      <c r="A398" s="7">
        <f t="shared" si="85"/>
        <v/>
      </c>
      <c r="B398" s="7">
        <f>IF(C398=1,MAX(B$2:$B397)+1,IF(F398=0,"",B397))</f>
      </c>
      <c r="C398" s="7">
        <f>COUNTIF($F$2:$F398,F398)</f>
      </c>
      <c r="D398" s="7">
        <f>IF(F398=0,0,MAX($D$2:D397)+1)</f>
      </c>
      <c r="E398" s="7">
        <f>IF(H398=0,0,MAX($E$2:E397)+1)</f>
      </c>
      <c r="F398" s="177"/>
      <c r="G398" s="119"/>
      <c r="H398" s="119"/>
      <c r="I398" s="7">
        <f>IFERROR(VLOOKUP(H398,H$2:H397,1,FALSE),VLOOKUP(H398,H399:H$478,1,FALSE))</f>
      </c>
      <c r="J398" s="7">
        <f t="shared" si="78"/>
        <v/>
      </c>
      <c r="K398" s="7">
        <f t="shared" si="79"/>
        <v/>
      </c>
      <c r="L398" s="7">
        <f t="shared" si="80"/>
        <v/>
      </c>
      <c r="M398" s="19">
        <f t="shared" si="89"/>
        <v/>
      </c>
      <c r="N398" s="7">
        <f t="shared" si="81"/>
        <v/>
      </c>
      <c r="O398" s="7"/>
      <c r="P398" s="7">
        <f t="shared" si="82"/>
        <v/>
      </c>
      <c r="Q398" s="7">
        <f t="shared" si="83"/>
        <v/>
      </c>
      <c r="R398" s="7">
        <f t="shared" si="86"/>
      </c>
      <c r="S398" s="7">
        <f t="shared" si="87"/>
      </c>
      <c r="T398" s="7">
        <f t="shared" si="88"/>
      </c>
      <c r="U398" s="7">
        <f t="shared" si="84"/>
        <v/>
      </c>
    </row>
    <row r="399" spans="1:21" x14ac:dyDescent="0.3">
      <c r="A399" s="7">
        <f t="shared" si="85"/>
        <v/>
      </c>
      <c r="B399" s="7">
        <f>IF(C399=1,MAX(B$2:$B398)+1,IF(F399=0,"",B398))</f>
      </c>
      <c r="C399" s="7">
        <f>COUNTIF($F$2:$F399,F399)</f>
      </c>
      <c r="D399" s="7">
        <f>IF(F399=0,0,MAX($D$2:D398)+1)</f>
      </c>
      <c r="E399" s="7">
        <f>IF(H399=0,0,MAX($E$2:E398)+1)</f>
      </c>
      <c r="F399" s="177"/>
      <c r="G399" s="119"/>
      <c r="H399" s="119"/>
      <c r="I399" s="7">
        <f>IFERROR(VLOOKUP(H399,H$2:H398,1,FALSE),VLOOKUP(H399,H400:H$478,1,FALSE))</f>
      </c>
      <c r="J399" s="7">
        <f t="shared" si="78"/>
        <v/>
      </c>
      <c r="K399" s="7">
        <f t="shared" si="79"/>
        <v/>
      </c>
      <c r="L399" s="7">
        <f t="shared" si="80"/>
        <v/>
      </c>
      <c r="M399" s="19">
        <f t="shared" si="89"/>
        <v/>
      </c>
      <c r="N399" s="7">
        <f t="shared" si="81"/>
        <v/>
      </c>
      <c r="O399" s="7"/>
      <c r="P399" s="7">
        <f t="shared" si="82"/>
        <v/>
      </c>
      <c r="Q399" s="7">
        <f t="shared" si="83"/>
        <v/>
      </c>
      <c r="R399" s="7">
        <f t="shared" si="86"/>
      </c>
      <c r="S399" s="7">
        <f t="shared" si="87"/>
      </c>
      <c r="T399" s="7">
        <f t="shared" si="88"/>
      </c>
      <c r="U399" s="7">
        <f t="shared" si="84"/>
        <v/>
      </c>
    </row>
    <row r="400" spans="1:21" x14ac:dyDescent="0.3">
      <c r="A400" s="7">
        <f t="shared" si="85"/>
        <v/>
      </c>
      <c r="B400" s="7">
        <f>IF(C400=1,MAX(B$2:$B399)+1,IF(F400=0,"",B399))</f>
      </c>
      <c r="C400" s="7">
        <f>COUNTIF($F$2:$F400,F400)</f>
      </c>
      <c r="D400" s="7">
        <f>IF(F400=0,0,MAX($D$2:D399)+1)</f>
      </c>
      <c r="E400" s="7">
        <f>IF(H400=0,0,MAX($E$2:E399)+1)</f>
      </c>
      <c r="F400" s="177"/>
      <c r="G400" s="119"/>
      <c r="H400" s="119"/>
      <c r="I400" s="7">
        <f>IFERROR(VLOOKUP(H400,H$2:H399,1,FALSE),VLOOKUP(H400,H401:H$478,1,FALSE))</f>
      </c>
      <c r="J400" s="7">
        <f t="shared" si="78"/>
        <v/>
      </c>
      <c r="K400" s="7">
        <f t="shared" si="79"/>
        <v/>
      </c>
      <c r="L400" s="7">
        <f t="shared" si="80"/>
        <v/>
      </c>
      <c r="M400" s="19">
        <f t="shared" si="89"/>
        <v/>
      </c>
      <c r="N400" s="7">
        <f t="shared" si="81"/>
        <v/>
      </c>
      <c r="O400" s="7"/>
      <c r="P400" s="7">
        <f t="shared" si="82"/>
        <v/>
      </c>
      <c r="Q400" s="7">
        <f t="shared" si="83"/>
        <v/>
      </c>
      <c r="R400" s="7">
        <f t="shared" si="86"/>
      </c>
      <c r="S400" s="7">
        <f t="shared" si="87"/>
      </c>
      <c r="T400" s="7">
        <f t="shared" si="88"/>
      </c>
      <c r="U400" s="7">
        <f t="shared" si="84"/>
        <v/>
      </c>
    </row>
    <row r="401" spans="1:21" x14ac:dyDescent="0.3">
      <c r="A401" s="7">
        <f t="shared" si="85"/>
        <v/>
      </c>
      <c r="B401" s="7">
        <f>IF(C401=1,MAX(B$2:$B400)+1,IF(F401=0,"",B400))</f>
      </c>
      <c r="C401" s="7">
        <f>COUNTIF($F$2:$F401,F401)</f>
      </c>
      <c r="D401" s="7">
        <f>IF(F401=0,0,MAX($D$2:D400)+1)</f>
      </c>
      <c r="E401" s="7">
        <f>IF(H401=0,0,MAX($E$2:E400)+1)</f>
      </c>
      <c r="F401" s="177"/>
      <c r="G401" s="119"/>
      <c r="H401" s="119"/>
      <c r="I401" s="7">
        <f>IFERROR(VLOOKUP(H401,H$2:H400,1,FALSE),VLOOKUP(H401,H402:H$478,1,FALSE))</f>
      </c>
      <c r="J401" s="7">
        <f t="shared" si="78"/>
        <v/>
      </c>
      <c r="K401" s="7">
        <f t="shared" si="79"/>
        <v/>
      </c>
      <c r="L401" s="7">
        <f t="shared" si="80"/>
        <v/>
      </c>
      <c r="M401" s="19">
        <f t="shared" si="89"/>
        <v/>
      </c>
      <c r="N401" s="7">
        <f t="shared" si="81"/>
        <v/>
      </c>
      <c r="O401" s="7"/>
      <c r="P401" s="7">
        <f t="shared" si="82"/>
        <v/>
      </c>
      <c r="Q401" s="7">
        <f t="shared" si="83"/>
        <v/>
      </c>
      <c r="R401" s="7">
        <f t="shared" si="86"/>
      </c>
      <c r="S401" s="7">
        <f t="shared" si="87"/>
      </c>
      <c r="T401" s="7">
        <f t="shared" si="88"/>
      </c>
      <c r="U401" s="7">
        <f t="shared" si="84"/>
        <v/>
      </c>
    </row>
    <row r="402" spans="1:21" x14ac:dyDescent="0.3">
      <c r="A402" s="7">
        <f t="shared" si="85"/>
        <v/>
      </c>
      <c r="B402" s="7">
        <f>IF(C402=1,MAX(B$2:$B401)+1,IF(F402=0,"",B401))</f>
      </c>
      <c r="C402" s="7">
        <f>COUNTIF($F$2:$F402,F402)</f>
      </c>
      <c r="D402" s="7">
        <f>IF(F402=0,0,MAX($D$2:D401)+1)</f>
      </c>
      <c r="E402" s="7">
        <f>IF(H402=0,0,MAX($E$2:E401)+1)</f>
      </c>
      <c r="F402" s="177"/>
      <c r="G402" s="119"/>
      <c r="H402" s="119"/>
      <c r="I402" s="7">
        <f>IFERROR(VLOOKUP(H402,H$2:H401,1,FALSE),VLOOKUP(H402,H403:H$478,1,FALSE))</f>
      </c>
      <c r="J402" s="7">
        <f t="shared" si="78"/>
        <v/>
      </c>
      <c r="K402" s="7">
        <f t="shared" si="79"/>
        <v/>
      </c>
      <c r="L402" s="7">
        <f t="shared" si="80"/>
        <v/>
      </c>
      <c r="M402" s="19">
        <f t="shared" si="89"/>
        <v/>
      </c>
      <c r="N402" s="7">
        <f t="shared" si="81"/>
        <v/>
      </c>
      <c r="O402" s="7"/>
      <c r="P402" s="7">
        <f t="shared" si="82"/>
        <v/>
      </c>
      <c r="Q402" s="7">
        <f t="shared" si="83"/>
        <v/>
      </c>
      <c r="R402" s="7">
        <f t="shared" si="86"/>
      </c>
      <c r="S402" s="7">
        <f t="shared" si="87"/>
      </c>
      <c r="T402" s="7">
        <f t="shared" si="88"/>
      </c>
      <c r="U402" s="7">
        <f t="shared" si="84"/>
        <v/>
      </c>
    </row>
    <row r="403" spans="1:21" x14ac:dyDescent="0.3">
      <c r="A403" s="7">
        <f t="shared" si="85"/>
        <v/>
      </c>
      <c r="B403" s="7">
        <f>IF(C403=1,MAX(B$2:$B402)+1,IF(F403=0,"",B402))</f>
      </c>
      <c r="C403" s="7">
        <f>COUNTIF($F$2:$F403,F403)</f>
      </c>
      <c r="D403" s="7">
        <f>IF(F403=0,0,MAX($D$2:D402)+1)</f>
      </c>
      <c r="E403" s="7">
        <f>IF(H403=0,0,MAX($E$2:E402)+1)</f>
      </c>
      <c r="F403" s="177"/>
      <c r="G403" s="119"/>
      <c r="H403" s="119"/>
      <c r="I403" s="7">
        <f>IFERROR(VLOOKUP(H403,H$2:H402,1,FALSE),VLOOKUP(H403,H404:H$478,1,FALSE))</f>
      </c>
      <c r="J403" s="7">
        <f t="shared" si="78"/>
        <v/>
      </c>
      <c r="K403" s="7">
        <f t="shared" si="79"/>
        <v/>
      </c>
      <c r="L403" s="7">
        <f t="shared" si="80"/>
        <v/>
      </c>
      <c r="M403" s="19">
        <f t="shared" si="89"/>
        <v/>
      </c>
      <c r="N403" s="7">
        <f t="shared" si="81"/>
        <v/>
      </c>
      <c r="O403" s="7"/>
      <c r="P403" s="7">
        <f t="shared" si="82"/>
        <v/>
      </c>
      <c r="Q403" s="7">
        <f t="shared" si="83"/>
        <v/>
      </c>
      <c r="R403" s="7">
        <f t="shared" si="86"/>
      </c>
      <c r="S403" s="7">
        <f t="shared" si="87"/>
      </c>
      <c r="T403" s="7">
        <f t="shared" si="88"/>
      </c>
      <c r="U403" s="7">
        <f t="shared" si="84"/>
        <v/>
      </c>
    </row>
    <row r="404" spans="1:21" x14ac:dyDescent="0.3">
      <c r="A404" s="7">
        <f t="shared" si="85"/>
        <v/>
      </c>
      <c r="B404" s="7">
        <f>IF(C404=1,MAX(B$2:$B403)+1,IF(F404=0,"",B403))</f>
      </c>
      <c r="C404" s="7">
        <f>COUNTIF($F$2:$F404,F404)</f>
      </c>
      <c r="D404" s="7">
        <f>IF(F404=0,0,MAX($D$2:D403)+1)</f>
      </c>
      <c r="E404" s="7">
        <f>IF(H404=0,0,MAX($E$2:E403)+1)</f>
      </c>
      <c r="F404" s="177"/>
      <c r="G404" s="119"/>
      <c r="H404" s="119"/>
      <c r="I404" s="7">
        <f>IFERROR(VLOOKUP(H404,H$2:H403,1,FALSE),VLOOKUP(H404,H405:H$478,1,FALSE))</f>
      </c>
      <c r="J404" s="7">
        <f t="shared" si="78"/>
        <v/>
      </c>
      <c r="K404" s="7">
        <f t="shared" si="79"/>
        <v/>
      </c>
      <c r="L404" s="7">
        <f t="shared" si="80"/>
        <v/>
      </c>
      <c r="M404" s="19">
        <f t="shared" si="89"/>
        <v/>
      </c>
      <c r="N404" s="7">
        <f t="shared" si="81"/>
        <v/>
      </c>
      <c r="O404" s="7"/>
      <c r="P404" s="7">
        <f t="shared" si="82"/>
        <v/>
      </c>
      <c r="Q404" s="7">
        <f t="shared" si="83"/>
        <v/>
      </c>
      <c r="R404" s="7">
        <f t="shared" si="86"/>
      </c>
      <c r="S404" s="7">
        <f t="shared" si="87"/>
      </c>
      <c r="T404" s="7">
        <f t="shared" si="88"/>
      </c>
      <c r="U404" s="7">
        <f t="shared" si="84"/>
        <v/>
      </c>
    </row>
    <row r="405" spans="1:21" x14ac:dyDescent="0.3">
      <c r="A405" s="7">
        <f t="shared" si="85"/>
        <v/>
      </c>
      <c r="B405" s="7">
        <f>IF(C405=1,MAX(B$2:$B404)+1,IF(F405=0,"",B404))</f>
      </c>
      <c r="C405" s="7">
        <f>COUNTIF($F$2:$F405,F405)</f>
      </c>
      <c r="D405" s="7">
        <f>IF(F405=0,0,MAX($D$2:D404)+1)</f>
      </c>
      <c r="E405" s="7">
        <f>IF(H405=0,0,MAX($E$2:E404)+1)</f>
      </c>
      <c r="F405" s="177"/>
      <c r="G405" s="119"/>
      <c r="H405" s="119"/>
      <c r="I405" s="7">
        <f>IFERROR(VLOOKUP(H405,H$2:H404,1,FALSE),VLOOKUP(H405,H406:H$478,1,FALSE))</f>
      </c>
      <c r="J405" s="7">
        <f t="shared" si="78"/>
        <v/>
      </c>
      <c r="K405" s="7">
        <f t="shared" si="79"/>
        <v/>
      </c>
      <c r="L405" s="7">
        <f t="shared" si="80"/>
        <v/>
      </c>
      <c r="M405" s="19">
        <f t="shared" si="89"/>
        <v/>
      </c>
      <c r="N405" s="7">
        <f t="shared" si="81"/>
        <v/>
      </c>
      <c r="O405" s="7"/>
      <c r="P405" s="7">
        <f t="shared" si="82"/>
        <v/>
      </c>
      <c r="Q405" s="7">
        <f t="shared" si="83"/>
        <v/>
      </c>
      <c r="R405" s="7">
        <f t="shared" si="86"/>
      </c>
      <c r="S405" s="7">
        <f t="shared" si="87"/>
      </c>
      <c r="T405" s="7">
        <f t="shared" si="88"/>
      </c>
      <c r="U405" s="7">
        <f t="shared" si="84"/>
        <v/>
      </c>
    </row>
    <row r="406" spans="1:21" x14ac:dyDescent="0.3">
      <c r="A406" s="7">
        <f t="shared" si="85"/>
        <v/>
      </c>
      <c r="B406" s="7">
        <f>IF(C406=1,MAX(B$2:$B405)+1,IF(F406=0,"",B405))</f>
      </c>
      <c r="C406" s="7">
        <f>COUNTIF($F$2:$F406,F406)</f>
      </c>
      <c r="D406" s="7">
        <f>IF(F406=0,0,MAX($D$2:D405)+1)</f>
      </c>
      <c r="E406" s="7">
        <f>IF(H406=0,0,MAX($E$2:E405)+1)</f>
      </c>
      <c r="F406" s="177"/>
      <c r="G406" s="119"/>
      <c r="H406" s="119"/>
      <c r="I406" s="7">
        <f>IFERROR(VLOOKUP(H406,H$2:H405,1,FALSE),VLOOKUP(H406,H407:H$478,1,FALSE))</f>
      </c>
      <c r="J406" s="7">
        <f t="shared" si="78"/>
        <v/>
      </c>
      <c r="K406" s="7">
        <f t="shared" si="79"/>
        <v/>
      </c>
      <c r="L406" s="7">
        <f t="shared" si="80"/>
        <v/>
      </c>
      <c r="M406" s="19">
        <f t="shared" si="89"/>
        <v/>
      </c>
      <c r="N406" s="7">
        <f t="shared" si="81"/>
        <v/>
      </c>
      <c r="O406" s="7"/>
      <c r="P406" s="7">
        <f t="shared" si="82"/>
        <v/>
      </c>
      <c r="Q406" s="7">
        <f t="shared" si="83"/>
        <v/>
      </c>
      <c r="R406" s="7">
        <f t="shared" si="86"/>
      </c>
      <c r="S406" s="7">
        <f t="shared" si="87"/>
      </c>
      <c r="T406" s="7">
        <f t="shared" si="88"/>
      </c>
      <c r="U406" s="7">
        <f t="shared" si="84"/>
        <v/>
      </c>
    </row>
    <row r="407" spans="1:21" x14ac:dyDescent="0.3">
      <c r="A407" s="7">
        <f t="shared" si="85"/>
        <v/>
      </c>
      <c r="B407" s="7">
        <f>IF(C407=1,MAX(B$2:$B406)+1,IF(F407=0,"",B406))</f>
      </c>
      <c r="C407" s="7">
        <f>COUNTIF($F$2:$F407,F407)</f>
      </c>
      <c r="D407" s="7">
        <f>IF(F407=0,0,MAX($D$2:D406)+1)</f>
      </c>
      <c r="E407" s="7">
        <f>IF(H407=0,0,MAX($E$2:E406)+1)</f>
      </c>
      <c r="F407" s="177"/>
      <c r="G407" s="119"/>
      <c r="H407" s="119"/>
      <c r="I407" s="7">
        <f>IFERROR(VLOOKUP(H407,H$2:H406,1,FALSE),VLOOKUP(H407,H408:H$478,1,FALSE))</f>
      </c>
      <c r="J407" s="7">
        <f t="shared" si="78"/>
        <v/>
      </c>
      <c r="K407" s="7">
        <f t="shared" si="79"/>
        <v/>
      </c>
      <c r="L407" s="7">
        <f t="shared" si="80"/>
        <v/>
      </c>
      <c r="M407" s="19">
        <f t="shared" si="89"/>
        <v/>
      </c>
      <c r="N407" s="7">
        <f t="shared" si="81"/>
        <v/>
      </c>
      <c r="O407" s="7"/>
      <c r="P407" s="7">
        <f t="shared" si="82"/>
        <v/>
      </c>
      <c r="Q407" s="7">
        <f t="shared" si="83"/>
        <v/>
      </c>
      <c r="R407" s="7">
        <f t="shared" si="86"/>
      </c>
      <c r="S407" s="7">
        <f t="shared" si="87"/>
      </c>
      <c r="T407" s="7">
        <f t="shared" si="88"/>
      </c>
      <c r="U407" s="7">
        <f t="shared" si="84"/>
        <v/>
      </c>
    </row>
    <row r="408" spans="1:21" x14ac:dyDescent="0.3">
      <c r="A408" s="7">
        <f t="shared" si="85"/>
        <v/>
      </c>
      <c r="B408" s="7">
        <f>IF(C408=1,MAX(B$2:$B407)+1,IF(F408=0,"",B407))</f>
      </c>
      <c r="C408" s="7">
        <f>COUNTIF($F$2:$F408,F408)</f>
      </c>
      <c r="D408" s="7">
        <f>IF(F408=0,0,MAX($D$2:D407)+1)</f>
      </c>
      <c r="E408" s="7">
        <f>IF(H408=0,0,MAX($E$2:E407)+1)</f>
      </c>
      <c r="F408" s="177"/>
      <c r="G408" s="119"/>
      <c r="H408" s="119"/>
      <c r="I408" s="7">
        <f>IFERROR(VLOOKUP(H408,H$2:H407,1,FALSE),VLOOKUP(H408,H409:H$478,1,FALSE))</f>
      </c>
      <c r="J408" s="7">
        <f t="shared" si="78"/>
        <v/>
      </c>
      <c r="K408" s="7">
        <f t="shared" si="79"/>
        <v/>
      </c>
      <c r="L408" s="7">
        <f t="shared" si="80"/>
        <v/>
      </c>
      <c r="M408" s="19">
        <f t="shared" si="89"/>
        <v/>
      </c>
      <c r="N408" s="7">
        <f t="shared" si="81"/>
        <v/>
      </c>
      <c r="O408" s="7"/>
      <c r="P408" s="7">
        <f t="shared" si="82"/>
        <v/>
      </c>
      <c r="Q408" s="7">
        <f t="shared" si="83"/>
        <v/>
      </c>
      <c r="R408" s="7">
        <f t="shared" si="86"/>
      </c>
      <c r="S408" s="7">
        <f t="shared" si="87"/>
      </c>
      <c r="T408" s="7">
        <f t="shared" si="88"/>
      </c>
      <c r="U408" s="7">
        <f t="shared" si="84"/>
        <v/>
      </c>
    </row>
    <row r="409" spans="1:21" x14ac:dyDescent="0.3">
      <c r="A409" s="7">
        <f t="shared" si="85"/>
        <v/>
      </c>
      <c r="B409" s="7">
        <f>IF(C409=1,MAX(B$2:$B408)+1,IF(F409=0,"",B408))</f>
      </c>
      <c r="C409" s="7">
        <f>COUNTIF($F$2:$F409,F409)</f>
      </c>
      <c r="D409" s="7">
        <f>IF(F409=0,0,MAX($D$2:D408)+1)</f>
      </c>
      <c r="E409" s="7">
        <f>IF(H409=0,0,MAX($E$2:E408)+1)</f>
      </c>
      <c r="F409" s="177"/>
      <c r="G409" s="119"/>
      <c r="H409" s="119"/>
      <c r="I409" s="7">
        <f>IFERROR(VLOOKUP(H409,H$2:H408,1,FALSE),VLOOKUP(H409,H410:H$478,1,FALSE))</f>
      </c>
      <c r="J409" s="7">
        <f t="shared" si="78"/>
        <v/>
      </c>
      <c r="K409" s="7">
        <f t="shared" si="79"/>
        <v/>
      </c>
      <c r="L409" s="7">
        <f t="shared" si="80"/>
        <v/>
      </c>
      <c r="M409" s="19">
        <f t="shared" si="89"/>
        <v/>
      </c>
      <c r="N409" s="7">
        <f t="shared" si="81"/>
        <v/>
      </c>
      <c r="O409" s="7"/>
      <c r="P409" s="7">
        <f t="shared" si="82"/>
        <v/>
      </c>
      <c r="Q409" s="7">
        <f t="shared" si="83"/>
        <v/>
      </c>
      <c r="R409" s="7">
        <f t="shared" si="86"/>
      </c>
      <c r="S409" s="7">
        <f t="shared" si="87"/>
      </c>
      <c r="T409" s="7">
        <f t="shared" si="88"/>
      </c>
      <c r="U409" s="7">
        <f t="shared" si="84"/>
        <v/>
      </c>
    </row>
    <row r="410" spans="1:21" s="8" customFormat="1" ht="15" thickBot="1" x14ac:dyDescent="0.35">
      <c r="A410" s="47">
        <f t="shared" si="85"/>
        <v/>
      </c>
      <c r="B410" s="47">
        <f>IF(C410=1,MAX(B$2:$B409)+1,IF(F410=0,"",B409))</f>
      </c>
      <c r="C410" s="47">
        <f>COUNTIF($F$2:$F410,F410)</f>
      </c>
      <c r="D410" s="47">
        <f>IF(F410=0,0,MAX($D$2:D409)+1)</f>
      </c>
      <c r="E410" s="47">
        <f>IF(H410=0,0,MAX($E$2:E409)+1)</f>
      </c>
      <c r="F410" s="177"/>
      <c r="G410" s="175"/>
      <c r="H410" s="175"/>
      <c r="I410" s="47">
        <f>IFERROR(VLOOKUP(H410,H$2:H409,1,FALSE),VLOOKUP(H410,H411:H$478,1,FALSE))</f>
      </c>
      <c r="J410" s="47">
        <f t="shared" si="78"/>
        <v/>
      </c>
      <c r="K410" s="47">
        <f t="shared" si="79"/>
        <v/>
      </c>
      <c r="L410" s="47">
        <f t="shared" si="80"/>
        <v/>
      </c>
      <c r="M410" s="52">
        <f t="shared" si="89"/>
        <v/>
      </c>
      <c r="N410" s="47">
        <f t="shared" si="81"/>
        <v/>
      </c>
      <c r="O410" s="47"/>
      <c r="P410" s="47">
        <f t="shared" si="82"/>
        <v/>
      </c>
      <c r="Q410" s="47">
        <f t="shared" si="83"/>
        <v/>
      </c>
      <c r="R410" s="47">
        <f t="shared" si="86"/>
      </c>
      <c r="S410" s="47">
        <f t="shared" si="87"/>
      </c>
      <c r="T410" s="47">
        <f t="shared" si="88"/>
      </c>
      <c r="U410" s="47">
        <f t="shared" si="84"/>
        <v/>
      </c>
    </row>
    <row r="411" spans="1:21" x14ac:dyDescent="0.3">
      <c r="A411" s="7">
        <f t="shared" si="85"/>
        <v/>
      </c>
      <c r="B411" s="7">
        <f>IF(C411=1,MAX(B$2:$B410)+1,IF(F411=0,"",B410))</f>
      </c>
      <c r="C411" s="7">
        <f>COUNTIF($F$2:$F411,F411)</f>
      </c>
      <c r="D411" s="7">
        <f>IF(F411=0,0,MAX($D$2:D410)+1)</f>
      </c>
      <c r="E411" s="7">
        <f>IF(H411=0,0,MAX($E$2:E410)+1)</f>
      </c>
      <c r="F411" s="177"/>
      <c r="G411" s="119"/>
      <c r="H411" s="177"/>
      <c r="I411" s="7">
        <f>IFERROR(VLOOKUP(H411,H$2:H410,1,FALSE),VLOOKUP(H411,H412:H$478,1,FALSE))</f>
      </c>
      <c r="J411" s="7">
        <f t="shared" si="78"/>
        <v/>
      </c>
      <c r="K411" s="7">
        <f t="shared" si="79"/>
        <v/>
      </c>
      <c r="L411" s="7">
        <f t="shared" si="80"/>
        <v/>
      </c>
      <c r="M411" s="19">
        <f t="shared" si="89"/>
        <v/>
      </c>
      <c r="N411" s="7">
        <f t="shared" si="81"/>
        <v/>
      </c>
      <c r="O411" s="7"/>
      <c r="P411" s="7">
        <f t="shared" si="82"/>
        <v/>
      </c>
      <c r="Q411" s="7">
        <f t="shared" si="83"/>
        <v/>
      </c>
      <c r="R411" s="7">
        <f t="shared" si="86"/>
      </c>
      <c r="S411" s="7">
        <f t="shared" si="87"/>
      </c>
      <c r="T411" s="7">
        <f t="shared" si="88"/>
      </c>
      <c r="U411" s="7">
        <f t="shared" si="84"/>
        <v/>
      </c>
    </row>
    <row r="412" spans="1:21" x14ac:dyDescent="0.3">
      <c r="A412" s="7">
        <f t="shared" si="85"/>
        <v/>
      </c>
      <c r="B412" s="7">
        <f>IF(C412=1,MAX(B$2:$B411)+1,IF(F412=0,"",B411))</f>
      </c>
      <c r="C412" s="7">
        <f>COUNTIF($F$2:$F412,F412)</f>
      </c>
      <c r="D412" s="7">
        <f>IF(F412=0,0,MAX($D$2:D411)+1)</f>
      </c>
      <c r="E412" s="7">
        <f>IF(H412=0,0,MAX($E$2:E411)+1)</f>
      </c>
      <c r="F412" s="177"/>
      <c r="G412" s="119"/>
      <c r="H412" s="119"/>
      <c r="I412" s="7">
        <f>IFERROR(VLOOKUP(H412,H$2:H411,1,FALSE),VLOOKUP(H412,H413:H$478,1,FALSE))</f>
      </c>
      <c r="J412" s="7">
        <f t="shared" si="78"/>
        <v/>
      </c>
      <c r="K412" s="7">
        <f t="shared" si="79"/>
        <v/>
      </c>
      <c r="L412" s="7">
        <f t="shared" si="80"/>
        <v/>
      </c>
      <c r="M412" s="19">
        <f t="shared" si="89"/>
        <v/>
      </c>
      <c r="N412" s="7">
        <f t="shared" si="81"/>
        <v/>
      </c>
      <c r="O412" s="7"/>
      <c r="P412" s="7">
        <f t="shared" si="82"/>
        <v/>
      </c>
      <c r="Q412" s="7">
        <f t="shared" si="83"/>
        <v/>
      </c>
      <c r="R412" s="7">
        <f t="shared" si="86"/>
      </c>
      <c r="S412" s="7">
        <f t="shared" si="87"/>
      </c>
      <c r="T412" s="7">
        <f t="shared" si="88"/>
      </c>
      <c r="U412" s="7">
        <f t="shared" si="84"/>
        <v/>
      </c>
    </row>
    <row r="413" spans="1:21" x14ac:dyDescent="0.3">
      <c r="A413" s="7">
        <f t="shared" si="85"/>
        <v/>
      </c>
      <c r="B413" s="7">
        <f>IF(C413=1,MAX(B$2:$B412)+1,IF(F413=0,"",B412))</f>
      </c>
      <c r="C413" s="7">
        <f>COUNTIF($F$2:$F413,F413)</f>
      </c>
      <c r="D413" s="7">
        <f>IF(F413=0,0,MAX($D$2:D412)+1)</f>
      </c>
      <c r="E413" s="7">
        <f>IF(H413=0,0,MAX($E$2:E412)+1)</f>
      </c>
      <c r="F413" s="177"/>
      <c r="G413" s="119"/>
      <c r="H413" s="119"/>
      <c r="I413" s="7">
        <f>IFERROR(VLOOKUP(H413,H$2:H412,1,FALSE),VLOOKUP(H413,H414:H$478,1,FALSE))</f>
      </c>
      <c r="J413" s="7">
        <f t="shared" si="78"/>
        <v/>
      </c>
      <c r="K413" s="7">
        <f t="shared" si="79"/>
        <v/>
      </c>
      <c r="L413" s="7">
        <f t="shared" si="80"/>
        <v/>
      </c>
      <c r="M413" s="19">
        <f t="shared" si="89"/>
        <v/>
      </c>
      <c r="N413" s="7">
        <f t="shared" si="81"/>
        <v/>
      </c>
      <c r="O413" s="7"/>
      <c r="P413" s="7">
        <f t="shared" si="82"/>
        <v/>
      </c>
      <c r="Q413" s="7">
        <f t="shared" si="83"/>
        <v/>
      </c>
      <c r="R413" s="7">
        <f t="shared" si="86"/>
      </c>
      <c r="S413" s="7">
        <f t="shared" si="87"/>
      </c>
      <c r="T413" s="7">
        <f t="shared" si="88"/>
      </c>
      <c r="U413" s="7">
        <f t="shared" si="84"/>
        <v/>
      </c>
    </row>
    <row r="414" spans="1:21" x14ac:dyDescent="0.3">
      <c r="A414" s="7">
        <f t="shared" si="85"/>
        <v/>
      </c>
      <c r="B414" s="7">
        <f>IF(C414=1,MAX(B$2:$B413)+1,IF(F414=0,"",B413))</f>
      </c>
      <c r="C414" s="7">
        <f>COUNTIF($F$2:$F414,F414)</f>
      </c>
      <c r="D414" s="7">
        <f>IF(F414=0,0,MAX($D$2:D413)+1)</f>
      </c>
      <c r="E414" s="7">
        <f>IF(H414=0,0,MAX($E$2:E413)+1)</f>
      </c>
      <c r="F414" s="177"/>
      <c r="G414" s="119"/>
      <c r="H414" s="119"/>
      <c r="I414" s="7">
        <f>IFERROR(VLOOKUP(H414,H$2:H413,1,FALSE),VLOOKUP(H414,H415:H$478,1,FALSE))</f>
      </c>
      <c r="J414" s="7">
        <f t="shared" si="78"/>
        <v/>
      </c>
      <c r="K414" s="7">
        <f t="shared" si="79"/>
        <v/>
      </c>
      <c r="L414" s="7">
        <f t="shared" si="80"/>
        <v/>
      </c>
      <c r="M414" s="19">
        <f t="shared" si="89"/>
        <v/>
      </c>
      <c r="N414" s="7">
        <f t="shared" si="81"/>
        <v/>
      </c>
      <c r="O414" s="7"/>
      <c r="P414" s="7">
        <f t="shared" si="82"/>
        <v/>
      </c>
      <c r="Q414" s="7">
        <f t="shared" si="83"/>
        <v/>
      </c>
      <c r="R414" s="7">
        <f t="shared" si="86"/>
      </c>
      <c r="S414" s="7">
        <f t="shared" si="87"/>
      </c>
      <c r="T414" s="7">
        <f t="shared" si="88"/>
      </c>
      <c r="U414" s="7">
        <f t="shared" si="84"/>
        <v/>
      </c>
    </row>
    <row r="415" spans="1:21" x14ac:dyDescent="0.3">
      <c r="A415" s="7">
        <f t="shared" si="85"/>
        <v/>
      </c>
      <c r="B415" s="7">
        <f>IF(C415=1,MAX(B$2:$B414)+1,IF(F415=0,"",B414))</f>
      </c>
      <c r="C415" s="7">
        <f>COUNTIF($F$2:$F415,F415)</f>
      </c>
      <c r="D415" s="7">
        <f>IF(F415=0,0,MAX($D$2:D414)+1)</f>
      </c>
      <c r="E415" s="7">
        <f>IF(H415=0,0,MAX($E$2:E414)+1)</f>
      </c>
      <c r="F415" s="177"/>
      <c r="G415" s="119"/>
      <c r="H415" s="119"/>
      <c r="I415" s="7">
        <f>IFERROR(VLOOKUP(H415,H$2:H414,1,FALSE),VLOOKUP(H415,H416:H$478,1,FALSE))</f>
      </c>
      <c r="J415" s="7">
        <f t="shared" si="78"/>
        <v/>
      </c>
      <c r="K415" s="7">
        <f t="shared" si="79"/>
        <v/>
      </c>
      <c r="L415" s="7">
        <f t="shared" si="80"/>
        <v/>
      </c>
      <c r="M415" s="19">
        <f t="shared" si="89"/>
        <v/>
      </c>
      <c r="N415" s="7">
        <f t="shared" si="81"/>
        <v/>
      </c>
      <c r="O415" s="7"/>
      <c r="P415" s="7">
        <f t="shared" si="82"/>
        <v/>
      </c>
      <c r="Q415" s="7">
        <f t="shared" si="83"/>
        <v/>
      </c>
      <c r="R415" s="7">
        <f t="shared" si="86"/>
      </c>
      <c r="S415" s="7">
        <f t="shared" si="87"/>
      </c>
      <c r="T415" s="7">
        <f t="shared" si="88"/>
      </c>
      <c r="U415" s="7">
        <f t="shared" si="84"/>
        <v/>
      </c>
    </row>
    <row r="416" spans="1:21" x14ac:dyDescent="0.3">
      <c r="A416" s="7">
        <f t="shared" si="85"/>
        <v/>
      </c>
      <c r="B416" s="7">
        <f>IF(C416=1,MAX(B$2:$B415)+1,IF(F416=0,"",B415))</f>
      </c>
      <c r="C416" s="7">
        <f>COUNTIF($F$2:$F416,F416)</f>
      </c>
      <c r="D416" s="7">
        <f>IF(F416=0,0,MAX($D$2:D415)+1)</f>
      </c>
      <c r="E416" s="7">
        <f>IF(H416=0,0,MAX($E$2:E415)+1)</f>
      </c>
      <c r="F416" s="177"/>
      <c r="G416" s="177"/>
      <c r="H416" s="119"/>
      <c r="I416" s="7">
        <f>IFERROR(VLOOKUP(H416,H$2:H415,1,FALSE),VLOOKUP(H416,H417:H$478,1,FALSE))</f>
      </c>
      <c r="J416" s="7">
        <f t="shared" si="78"/>
        <v/>
      </c>
      <c r="K416" s="7">
        <f t="shared" si="79"/>
        <v/>
      </c>
      <c r="L416" s="7">
        <f t="shared" si="80"/>
        <v/>
      </c>
      <c r="M416" s="19">
        <f t="shared" si="89"/>
        <v/>
      </c>
      <c r="N416" s="7">
        <f t="shared" si="81"/>
        <v/>
      </c>
      <c r="O416" s="7"/>
      <c r="P416" s="7">
        <f t="shared" si="82"/>
        <v/>
      </c>
      <c r="Q416" s="7">
        <f t="shared" si="83"/>
        <v/>
      </c>
      <c r="R416" s="7">
        <f t="shared" si="86"/>
      </c>
      <c r="S416" s="7">
        <f t="shared" si="87"/>
      </c>
      <c r="T416" s="7">
        <f t="shared" si="88"/>
      </c>
      <c r="U416" s="7">
        <f t="shared" si="84"/>
        <v/>
      </c>
    </row>
    <row r="417" spans="1:21" x14ac:dyDescent="0.3">
      <c r="A417" s="7">
        <f t="shared" si="85"/>
        <v/>
      </c>
      <c r="B417" s="7">
        <f>IF(C417=1,MAX(B$2:$B416)+1,IF(F417=0,"",B416))</f>
      </c>
      <c r="C417" s="7">
        <f>COUNTIF($F$2:$F417,F417)</f>
      </c>
      <c r="D417" s="7">
        <f>IF(F417=0,0,MAX($D$2:D416)+1)</f>
      </c>
      <c r="E417" s="7">
        <f>IF(H417=0,0,MAX($E$2:E416)+1)</f>
      </c>
      <c r="F417" s="177"/>
      <c r="G417" s="119"/>
      <c r="H417" s="119"/>
      <c r="I417" s="7">
        <f>IFERROR(VLOOKUP(H417,H$2:H416,1,FALSE),VLOOKUP(H417,H418:H$478,1,FALSE))</f>
      </c>
      <c r="J417" s="7">
        <f t="shared" si="78"/>
        <v/>
      </c>
      <c r="K417" s="7">
        <f t="shared" si="79"/>
        <v/>
      </c>
      <c r="L417" s="7">
        <f t="shared" si="80"/>
        <v/>
      </c>
      <c r="M417" s="19">
        <f t="shared" si="89"/>
        <v/>
      </c>
      <c r="N417" s="7">
        <f t="shared" si="81"/>
        <v/>
      </c>
      <c r="O417" s="7"/>
      <c r="P417" s="7">
        <f t="shared" si="82"/>
        <v/>
      </c>
      <c r="Q417" s="7">
        <f t="shared" si="83"/>
        <v/>
      </c>
      <c r="R417" s="7">
        <f t="shared" si="86"/>
      </c>
      <c r="S417" s="7">
        <f t="shared" si="87"/>
      </c>
      <c r="T417" s="7">
        <f t="shared" si="88"/>
      </c>
      <c r="U417" s="7">
        <f t="shared" si="84"/>
        <v/>
      </c>
    </row>
    <row r="418" spans="1:21" x14ac:dyDescent="0.3">
      <c r="A418" s="7">
        <f t="shared" si="85"/>
        <v/>
      </c>
      <c r="B418" s="7">
        <f>IF(C418=1,MAX(B$2:$B417)+1,IF(F418=0,"",B417))</f>
      </c>
      <c r="C418" s="7">
        <f>COUNTIF($F$2:$F418,F418)</f>
      </c>
      <c r="D418" s="7">
        <f>IF(F418=0,0,MAX($D$2:D417)+1)</f>
      </c>
      <c r="E418" s="7">
        <f>IF(H418=0,0,MAX($E$2:E417)+1)</f>
      </c>
      <c r="F418" s="177"/>
      <c r="G418" s="119"/>
      <c r="H418" s="119"/>
      <c r="I418" s="7">
        <f>IFERROR(VLOOKUP(H418,H$2:H417,1,FALSE),VLOOKUP(H418,H419:H$478,1,FALSE))</f>
      </c>
      <c r="J418" s="7">
        <f t="shared" si="78"/>
        <v/>
      </c>
      <c r="K418" s="7">
        <f t="shared" si="79"/>
        <v/>
      </c>
      <c r="L418" s="7">
        <f t="shared" si="80"/>
        <v/>
      </c>
      <c r="M418" s="19">
        <f t="shared" si="89"/>
        <v/>
      </c>
      <c r="N418" s="7">
        <f t="shared" si="81"/>
        <v/>
      </c>
      <c r="O418" s="7"/>
      <c r="P418" s="7">
        <f t="shared" si="82"/>
        <v/>
      </c>
      <c r="Q418" s="7">
        <f t="shared" si="83"/>
        <v/>
      </c>
      <c r="R418" s="7">
        <f t="shared" si="86"/>
      </c>
      <c r="S418" s="7">
        <f t="shared" si="87"/>
      </c>
      <c r="T418" s="7">
        <f t="shared" si="88"/>
      </c>
      <c r="U418" s="7">
        <f t="shared" si="84"/>
        <v/>
      </c>
    </row>
    <row r="419" spans="1:21" x14ac:dyDescent="0.3">
      <c r="A419" s="7">
        <f t="shared" si="85"/>
        <v/>
      </c>
      <c r="B419" s="7">
        <f>IF(C419=1,MAX(B$2:$B418)+1,IF(F419=0,"",B418))</f>
      </c>
      <c r="C419" s="7">
        <f>COUNTIF($F$2:$F419,F419)</f>
      </c>
      <c r="D419" s="7">
        <f>IF(F419=0,0,MAX($D$2:D418)+1)</f>
      </c>
      <c r="E419" s="7">
        <f>IF(H419=0,0,MAX($E$2:E418)+1)</f>
      </c>
      <c r="F419" s="177"/>
      <c r="G419" s="119"/>
      <c r="H419" s="119"/>
      <c r="I419" s="7">
        <f>IFERROR(VLOOKUP(H419,H$2:H418,1,FALSE),VLOOKUP(H419,H420:H$478,1,FALSE))</f>
      </c>
      <c r="J419" s="7">
        <f t="shared" si="78"/>
        <v/>
      </c>
      <c r="K419" s="7">
        <f t="shared" si="79"/>
        <v/>
      </c>
      <c r="L419" s="7">
        <f t="shared" si="80"/>
        <v/>
      </c>
      <c r="M419" s="19">
        <f t="shared" si="89"/>
        <v/>
      </c>
      <c r="N419" s="7">
        <f t="shared" si="81"/>
        <v/>
      </c>
      <c r="O419" s="7"/>
      <c r="P419" s="7">
        <f t="shared" si="82"/>
        <v/>
      </c>
      <c r="Q419" s="7">
        <f t="shared" si="83"/>
        <v/>
      </c>
      <c r="R419" s="7">
        <f t="shared" si="86"/>
      </c>
      <c r="S419" s="7">
        <f t="shared" si="87"/>
      </c>
      <c r="T419" s="7">
        <f t="shared" si="88"/>
      </c>
      <c r="U419" s="7">
        <f t="shared" si="84"/>
        <v/>
      </c>
    </row>
    <row r="420" spans="1:21" x14ac:dyDescent="0.3">
      <c r="A420" s="7">
        <f t="shared" si="85"/>
        <v/>
      </c>
      <c r="B420" s="7">
        <f>IF(C420=1,MAX(B$2:$B419)+1,IF(F420=0,"",B419))</f>
      </c>
      <c r="C420" s="7">
        <f>COUNTIF($F$2:$F420,F420)</f>
      </c>
      <c r="D420" s="7">
        <f>IF(F420=0,0,MAX($D$2:D419)+1)</f>
      </c>
      <c r="E420" s="7">
        <f>IF(H420=0,0,MAX($E$2:E419)+1)</f>
      </c>
      <c r="F420" s="177"/>
      <c r="G420" s="119"/>
      <c r="H420" s="119"/>
      <c r="I420" s="7">
        <f>IFERROR(VLOOKUP(H420,H$2:H419,1,FALSE),VLOOKUP(H420,H421:H$478,1,FALSE))</f>
      </c>
      <c r="J420" s="7">
        <f t="shared" si="78"/>
        <v/>
      </c>
      <c r="K420" s="7">
        <f t="shared" si="79"/>
        <v/>
      </c>
      <c r="L420" s="7">
        <f t="shared" si="80"/>
        <v/>
      </c>
      <c r="M420" s="19">
        <f t="shared" si="89"/>
        <v/>
      </c>
      <c r="N420" s="7">
        <f t="shared" si="81"/>
        <v/>
      </c>
      <c r="O420" s="7"/>
      <c r="P420" s="7">
        <f t="shared" si="82"/>
        <v/>
      </c>
      <c r="Q420" s="7">
        <f t="shared" si="83"/>
        <v/>
      </c>
      <c r="R420" s="7">
        <f t="shared" si="86"/>
      </c>
      <c r="S420" s="7">
        <f t="shared" si="87"/>
      </c>
      <c r="T420" s="7">
        <f t="shared" si="88"/>
      </c>
      <c r="U420" s="7">
        <f t="shared" si="84"/>
        <v/>
      </c>
    </row>
    <row r="421" spans="1:21" x14ac:dyDescent="0.3">
      <c r="A421" s="7">
        <f t="shared" si="85"/>
        <v/>
      </c>
      <c r="B421" s="7">
        <f>IF(C421=1,MAX(B$2:$B420)+1,IF(F421=0,"",B420))</f>
      </c>
      <c r="C421" s="7">
        <f>COUNTIF($F$2:$F421,F421)</f>
      </c>
      <c r="D421" s="7">
        <f>IF(F421=0,0,MAX($D$2:D420)+1)</f>
      </c>
      <c r="E421" s="7">
        <f>IF(H421=0,0,MAX($E$2:E420)+1)</f>
      </c>
      <c r="F421" s="177"/>
      <c r="G421" s="119"/>
      <c r="H421" s="119"/>
      <c r="I421" s="7">
        <f>IFERROR(VLOOKUP(H421,H$2:H420,1,FALSE),VLOOKUP(H421,H422:H$478,1,FALSE))</f>
      </c>
      <c r="J421" s="7">
        <f t="shared" si="78"/>
        <v/>
      </c>
      <c r="K421" s="7">
        <f t="shared" si="79"/>
        <v/>
      </c>
      <c r="L421" s="7">
        <f t="shared" si="80"/>
        <v/>
      </c>
      <c r="M421" s="19">
        <f t="shared" si="89"/>
        <v/>
      </c>
      <c r="N421" s="7">
        <f t="shared" si="81"/>
        <v/>
      </c>
      <c r="O421" s="7"/>
      <c r="P421" s="7">
        <f t="shared" si="82"/>
        <v/>
      </c>
      <c r="Q421" s="7">
        <f t="shared" si="83"/>
        <v/>
      </c>
      <c r="R421" s="7">
        <f t="shared" si="86"/>
      </c>
      <c r="S421" s="7">
        <f t="shared" si="87"/>
      </c>
      <c r="T421" s="7">
        <f t="shared" si="88"/>
      </c>
      <c r="U421" s="7">
        <f t="shared" si="84"/>
        <v/>
      </c>
    </row>
    <row r="422" spans="1:21" x14ac:dyDescent="0.3">
      <c r="A422" s="7">
        <f t="shared" si="85"/>
        <v/>
      </c>
      <c r="B422" s="7">
        <f>IF(C422=1,MAX(B$2:$B421)+1,IF(F422=0,"",B421))</f>
      </c>
      <c r="C422" s="7">
        <f>COUNTIF($F$2:$F422,F422)</f>
      </c>
      <c r="D422" s="7">
        <f>IF(F422=0,0,MAX($D$2:D421)+1)</f>
      </c>
      <c r="E422" s="7">
        <f>IF(H422=0,0,MAX($E$2:E421)+1)</f>
      </c>
      <c r="F422" s="177"/>
      <c r="G422" s="119"/>
      <c r="H422" s="119"/>
      <c r="I422" s="7">
        <f>IFERROR(VLOOKUP(H422,H$2:H421,1,FALSE),VLOOKUP(H422,H423:H$478,1,FALSE))</f>
      </c>
      <c r="J422" s="7">
        <f t="shared" si="78"/>
        <v/>
      </c>
      <c r="K422" s="7">
        <f t="shared" si="79"/>
        <v/>
      </c>
      <c r="L422" s="7">
        <f t="shared" si="80"/>
        <v/>
      </c>
      <c r="M422" s="19">
        <f t="shared" si="89"/>
        <v/>
      </c>
      <c r="N422" s="7">
        <f t="shared" si="81"/>
        <v/>
      </c>
      <c r="O422" s="7"/>
      <c r="P422" s="7">
        <f t="shared" si="82"/>
        <v/>
      </c>
      <c r="Q422" s="7">
        <f t="shared" si="83"/>
        <v/>
      </c>
      <c r="R422" s="7">
        <f t="shared" si="86"/>
      </c>
      <c r="S422" s="7">
        <f t="shared" si="87"/>
      </c>
      <c r="T422" s="7">
        <f t="shared" si="88"/>
      </c>
      <c r="U422" s="7">
        <f t="shared" si="84"/>
        <v/>
      </c>
    </row>
    <row r="423" spans="1:21" x14ac:dyDescent="0.3">
      <c r="A423" s="7">
        <f t="shared" si="85"/>
        <v/>
      </c>
      <c r="B423" s="7">
        <f>IF(C423=1,MAX(B$2:$B422)+1,IF(F423=0,"",B422))</f>
      </c>
      <c r="C423" s="7">
        <f>COUNTIF($F$2:$F423,F423)</f>
      </c>
      <c r="D423" s="7">
        <f>IF(F423=0,0,MAX($D$2:D422)+1)</f>
      </c>
      <c r="E423" s="7">
        <f>IF(H423=0,0,MAX($E$2:E422)+1)</f>
      </c>
      <c r="F423" s="177"/>
      <c r="G423" s="119"/>
      <c r="H423" s="119"/>
      <c r="I423" s="7">
        <f>IFERROR(VLOOKUP(H423,H$2:H422,1,FALSE),VLOOKUP(H423,H424:H$478,1,FALSE))</f>
      </c>
      <c r="J423" s="7">
        <f t="shared" si="78"/>
        <v/>
      </c>
      <c r="K423" s="7">
        <f t="shared" si="79"/>
        <v/>
      </c>
      <c r="L423" s="7">
        <f t="shared" si="80"/>
        <v/>
      </c>
      <c r="M423" s="19">
        <f t="shared" si="89"/>
        <v/>
      </c>
      <c r="N423" s="7">
        <f t="shared" si="81"/>
        <v/>
      </c>
      <c r="O423" s="7"/>
      <c r="P423" s="7">
        <f t="shared" si="82"/>
        <v/>
      </c>
      <c r="Q423" s="7">
        <f t="shared" si="83"/>
        <v/>
      </c>
      <c r="R423" s="7">
        <f t="shared" si="86"/>
      </c>
      <c r="S423" s="7">
        <f t="shared" si="87"/>
      </c>
      <c r="T423" s="7">
        <f t="shared" si="88"/>
      </c>
      <c r="U423" s="7">
        <f t="shared" si="84"/>
        <v/>
      </c>
    </row>
    <row r="424" spans="1:21" x14ac:dyDescent="0.3">
      <c r="A424" s="7">
        <f t="shared" si="85"/>
        <v/>
      </c>
      <c r="B424" s="7">
        <f>IF(C424=1,MAX(B$2:$B423)+1,IF(F424=0,"",B423))</f>
      </c>
      <c r="C424" s="7">
        <f>COUNTIF($F$2:$F424,F424)</f>
      </c>
      <c r="D424" s="7">
        <f>IF(F424=0,0,MAX($D$2:D423)+1)</f>
      </c>
      <c r="E424" s="7">
        <f>IF(H424=0,0,MAX($E$2:E423)+1)</f>
      </c>
      <c r="F424" s="177"/>
      <c r="G424" s="119"/>
      <c r="H424" s="119"/>
      <c r="I424" s="7">
        <f>IFERROR(VLOOKUP(H424,H$2:H423,1,FALSE),VLOOKUP(H424,H425:H$478,1,FALSE))</f>
      </c>
      <c r="J424" s="7">
        <f t="shared" si="78"/>
        <v/>
      </c>
      <c r="K424" s="7">
        <f t="shared" si="79"/>
        <v/>
      </c>
      <c r="L424" s="7">
        <f t="shared" si="80"/>
        <v/>
      </c>
      <c r="M424" s="19">
        <f t="shared" si="89"/>
        <v/>
      </c>
      <c r="N424" s="7">
        <f t="shared" si="81"/>
        <v/>
      </c>
      <c r="O424" s="7"/>
      <c r="P424" s="7">
        <f t="shared" si="82"/>
        <v/>
      </c>
      <c r="Q424" s="7">
        <f t="shared" si="83"/>
        <v/>
      </c>
      <c r="R424" s="7">
        <f t="shared" si="86"/>
      </c>
      <c r="S424" s="7">
        <f t="shared" si="87"/>
      </c>
      <c r="T424" s="7">
        <f t="shared" si="88"/>
      </c>
      <c r="U424" s="7">
        <f t="shared" si="84"/>
        <v/>
      </c>
    </row>
    <row r="425" spans="1:21" x14ac:dyDescent="0.3">
      <c r="A425" s="7">
        <f t="shared" si="85"/>
        <v/>
      </c>
      <c r="B425" s="7">
        <f>IF(C425=1,MAX(B$2:$B424)+1,IF(F425=0,"",B424))</f>
      </c>
      <c r="C425" s="7">
        <f>COUNTIF($F$2:$F425,F425)</f>
      </c>
      <c r="D425" s="7">
        <f>IF(F425=0,0,MAX($D$2:D424)+1)</f>
      </c>
      <c r="E425" s="7">
        <f>IF(H425=0,0,MAX($E$2:E424)+1)</f>
      </c>
      <c r="F425" s="177"/>
      <c r="G425" s="119"/>
      <c r="H425" s="119"/>
      <c r="I425" s="7">
        <f>IFERROR(VLOOKUP(H425,H$2:H424,1,FALSE),VLOOKUP(H425,H426:H$478,1,FALSE))</f>
      </c>
      <c r="J425" s="7">
        <f t="shared" si="78"/>
        <v/>
      </c>
      <c r="K425" s="7">
        <f t="shared" si="79"/>
        <v/>
      </c>
      <c r="L425" s="7">
        <f t="shared" si="80"/>
        <v/>
      </c>
      <c r="M425" s="19">
        <f t="shared" si="89"/>
        <v/>
      </c>
      <c r="N425" s="7">
        <f t="shared" si="81"/>
        <v/>
      </c>
      <c r="O425" s="7"/>
      <c r="P425" s="7">
        <f t="shared" si="82"/>
        <v/>
      </c>
      <c r="Q425" s="7">
        <f t="shared" si="83"/>
        <v/>
      </c>
      <c r="R425" s="7">
        <f t="shared" si="86"/>
      </c>
      <c r="S425" s="7">
        <f t="shared" si="87"/>
      </c>
      <c r="T425" s="7">
        <f t="shared" si="88"/>
      </c>
      <c r="U425" s="7">
        <f t="shared" si="84"/>
        <v/>
      </c>
    </row>
    <row r="426" spans="1:21" x14ac:dyDescent="0.3">
      <c r="A426" s="7">
        <f t="shared" si="85"/>
        <v/>
      </c>
      <c r="B426" s="7">
        <f>IF(C426=1,MAX(B$2:$B425)+1,IF(F426=0,"",B425))</f>
      </c>
      <c r="C426" s="7">
        <f>COUNTIF($F$2:$F426,F426)</f>
      </c>
      <c r="D426" s="7">
        <f>IF(F426=0,0,MAX($D$2:D425)+1)</f>
      </c>
      <c r="E426" s="7">
        <f>IF(H426=0,0,MAX($E$2:E425)+1)</f>
      </c>
      <c r="F426" s="177"/>
      <c r="G426" s="119"/>
      <c r="H426" s="119"/>
      <c r="I426" s="7">
        <f>IFERROR(VLOOKUP(H426,H$2:H425,1,FALSE),VLOOKUP(H426,H427:H$478,1,FALSE))</f>
      </c>
      <c r="J426" s="7">
        <f t="shared" si="78"/>
        <v/>
      </c>
      <c r="K426" s="7">
        <f t="shared" si="79"/>
        <v/>
      </c>
      <c r="L426" s="7">
        <f t="shared" si="80"/>
        <v/>
      </c>
      <c r="M426" s="19">
        <f t="shared" si="89"/>
        <v/>
      </c>
      <c r="N426" s="7">
        <f t="shared" si="81"/>
        <v/>
      </c>
      <c r="O426" s="7"/>
      <c r="P426" s="7">
        <f t="shared" si="82"/>
        <v/>
      </c>
      <c r="Q426" s="7">
        <f t="shared" si="83"/>
        <v/>
      </c>
      <c r="R426" s="7">
        <f t="shared" si="86"/>
      </c>
      <c r="S426" s="7">
        <f t="shared" si="87"/>
      </c>
      <c r="T426" s="7">
        <f t="shared" si="88"/>
      </c>
      <c r="U426" s="7">
        <f t="shared" si="84"/>
        <v/>
      </c>
    </row>
    <row r="427" spans="1:21" s="8" customFormat="1" ht="15" thickBot="1" x14ac:dyDescent="0.35">
      <c r="A427" s="47">
        <f t="shared" si="85"/>
        <v/>
      </c>
      <c r="B427" s="47">
        <f>IF(C427=1,MAX(B$2:$B426)+1,IF(F427=0,"",B426))</f>
      </c>
      <c r="C427" s="47">
        <f>COUNTIF($F$2:$F427,F427)</f>
      </c>
      <c r="D427" s="47">
        <f>IF(F427=0,0,MAX($D$2:D426)+1)</f>
      </c>
      <c r="E427" s="47">
        <f>IF(H427=0,0,MAX($E$2:E426)+1)</f>
      </c>
      <c r="F427" s="177"/>
      <c r="G427" s="175"/>
      <c r="H427" s="175"/>
      <c r="I427" s="47">
        <f>IFERROR(VLOOKUP(H427,H$2:H426,1,FALSE),VLOOKUP(H427,H428:H$478,1,FALSE))</f>
      </c>
      <c r="J427" s="47">
        <f t="shared" si="78"/>
        <v/>
      </c>
      <c r="K427" s="47">
        <f t="shared" si="79"/>
        <v/>
      </c>
      <c r="L427" s="47">
        <f t="shared" si="80"/>
        <v/>
      </c>
      <c r="M427" s="52">
        <f t="shared" si="89"/>
        <v/>
      </c>
      <c r="N427" s="47">
        <f t="shared" si="81"/>
        <v/>
      </c>
      <c r="O427" s="47"/>
      <c r="P427" s="47">
        <f t="shared" si="82"/>
        <v/>
      </c>
      <c r="Q427" s="47">
        <f t="shared" si="83"/>
        <v/>
      </c>
      <c r="R427" s="47">
        <f t="shared" si="86"/>
      </c>
      <c r="S427" s="47">
        <f t="shared" si="87"/>
      </c>
      <c r="T427" s="47">
        <f t="shared" si="88"/>
      </c>
      <c r="U427" s="47">
        <f t="shared" si="84"/>
        <v/>
      </c>
    </row>
    <row r="428" spans="1:21" x14ac:dyDescent="0.3">
      <c r="A428" s="7">
        <f t="shared" si="85"/>
        <v/>
      </c>
      <c r="B428" s="7">
        <f>IF(C428=1,MAX(B$2:$B427)+1,IF(F428=0,"",B427))</f>
      </c>
      <c r="C428" s="7">
        <f>COUNTIF($F$2:$F428,F428)</f>
      </c>
      <c r="D428" s="7">
        <f>IF(F428=0,0,MAX($D$2:D427)+1)</f>
      </c>
      <c r="E428" s="7">
        <f>IF(H428=0,0,MAX($E$2:E427)+1)</f>
      </c>
      <c r="F428" s="177"/>
      <c r="G428" s="119"/>
      <c r="H428" s="172"/>
      <c r="I428" s="7">
        <f>IFERROR(VLOOKUP(H428,H$2:H427,1,FALSE),VLOOKUP(H428,H429:H$478,1,FALSE))</f>
      </c>
      <c r="J428" s="7">
        <f t="shared" si="78"/>
        <v/>
      </c>
      <c r="K428" s="7">
        <f t="shared" si="79"/>
        <v/>
      </c>
      <c r="L428" s="7">
        <f t="shared" si="80"/>
        <v/>
      </c>
      <c r="M428" s="19">
        <f t="shared" si="89"/>
        <v/>
      </c>
      <c r="N428" s="7">
        <f t="shared" si="81"/>
        <v/>
      </c>
      <c r="O428" s="7"/>
      <c r="P428" s="7">
        <f t="shared" si="82"/>
        <v/>
      </c>
      <c r="Q428" s="7">
        <f t="shared" si="83"/>
        <v/>
      </c>
      <c r="R428" s="7">
        <f t="shared" si="86"/>
      </c>
      <c r="S428" s="7">
        <f t="shared" si="87"/>
      </c>
      <c r="T428" s="7">
        <f t="shared" si="88"/>
      </c>
      <c r="U428" s="7">
        <f t="shared" si="84"/>
        <v/>
      </c>
    </row>
    <row r="429" spans="1:21" x14ac:dyDescent="0.3">
      <c r="A429" s="7">
        <f t="shared" si="85"/>
        <v/>
      </c>
      <c r="B429" s="7">
        <f>IF(C429=1,MAX(B$2:$B428)+1,IF(F429=0,"",B428))</f>
      </c>
      <c r="C429" s="7">
        <f>COUNTIF($F$2:$F429,F429)</f>
      </c>
      <c r="D429" s="7">
        <f>IF(F429=0,0,MAX($D$2:D428)+1)</f>
      </c>
      <c r="E429" s="7">
        <f>IF(H429=0,0,MAX($E$2:E428)+1)</f>
      </c>
      <c r="F429" s="177"/>
      <c r="G429" s="119"/>
      <c r="H429" s="119"/>
      <c r="I429" s="7">
        <f>IFERROR(VLOOKUP(H429,H$2:H428,1,FALSE),VLOOKUP(H429,H430:H$478,1,FALSE))</f>
      </c>
      <c r="J429" s="7">
        <f t="shared" si="78"/>
        <v/>
      </c>
      <c r="K429" s="7">
        <f t="shared" si="79"/>
        <v/>
      </c>
      <c r="L429" s="7">
        <f t="shared" si="80"/>
        <v/>
      </c>
      <c r="M429" s="19">
        <f t="shared" si="89"/>
        <v/>
      </c>
      <c r="N429" s="7">
        <f t="shared" si="81"/>
        <v/>
      </c>
      <c r="O429" s="7"/>
      <c r="P429" s="7">
        <f t="shared" si="82"/>
        <v/>
      </c>
      <c r="Q429" s="7">
        <f t="shared" si="83"/>
        <v/>
      </c>
      <c r="R429" s="7">
        <f t="shared" si="86"/>
      </c>
      <c r="S429" s="7">
        <f t="shared" si="87"/>
      </c>
      <c r="T429" s="7">
        <f t="shared" si="88"/>
      </c>
      <c r="U429" s="7">
        <f t="shared" si="84"/>
        <v/>
      </c>
    </row>
    <row r="430" spans="1:21" x14ac:dyDescent="0.3">
      <c r="A430" s="7">
        <f t="shared" si="85"/>
        <v/>
      </c>
      <c r="B430" s="7">
        <f>IF(C430=1,MAX(B$2:$B429)+1,IF(F430=0,"",B429))</f>
      </c>
      <c r="C430" s="7">
        <f>COUNTIF($F$2:$F430,F430)</f>
      </c>
      <c r="D430" s="7">
        <f>IF(F430=0,0,MAX($D$2:D429)+1)</f>
      </c>
      <c r="E430" s="7">
        <f>IF(H430=0,0,MAX($E$2:E429)+1)</f>
      </c>
      <c r="F430" s="177"/>
      <c r="G430" s="177"/>
      <c r="H430" s="119"/>
      <c r="I430" s="7">
        <f>IFERROR(VLOOKUP(H430,H$2:H429,1,FALSE),VLOOKUP(H430,H431:H$478,1,FALSE))</f>
      </c>
      <c r="J430" s="7">
        <f t="shared" si="78"/>
        <v/>
      </c>
      <c r="K430" s="7">
        <f t="shared" si="79"/>
        <v/>
      </c>
      <c r="L430" s="7">
        <f t="shared" si="80"/>
        <v/>
      </c>
      <c r="M430" s="19">
        <f t="shared" si="89"/>
        <v/>
      </c>
      <c r="N430" s="7">
        <f t="shared" si="81"/>
        <v/>
      </c>
      <c r="O430" s="7"/>
      <c r="P430" s="7">
        <f t="shared" si="82"/>
        <v/>
      </c>
      <c r="Q430" s="7">
        <f t="shared" si="83"/>
        <v/>
      </c>
      <c r="R430" s="7">
        <f t="shared" si="86"/>
      </c>
      <c r="S430" s="7">
        <f t="shared" si="87"/>
      </c>
      <c r="T430" s="7">
        <f t="shared" si="88"/>
      </c>
      <c r="U430" s="7">
        <f t="shared" si="84"/>
        <v/>
      </c>
    </row>
    <row r="431" spans="1:21" x14ac:dyDescent="0.3">
      <c r="A431" s="7">
        <f t="shared" si="85"/>
        <v/>
      </c>
      <c r="B431" s="7">
        <f>IF(C431=1,MAX(B$2:$B430)+1,IF(F431=0,"",B430))</f>
      </c>
      <c r="C431" s="7">
        <f>COUNTIF($F$2:$F431,F431)</f>
      </c>
      <c r="D431" s="7">
        <f>IF(F431=0,0,MAX($D$2:D430)+1)</f>
      </c>
      <c r="E431" s="7">
        <f>IF(H431=0,0,MAX($E$2:E430)+1)</f>
      </c>
      <c r="F431" s="177"/>
      <c r="G431" s="119"/>
      <c r="H431" s="119"/>
      <c r="I431" s="7">
        <f>IFERROR(VLOOKUP(H431,H$2:H430,1,FALSE),VLOOKUP(H431,H432:H$478,1,FALSE))</f>
      </c>
      <c r="J431" s="7">
        <f t="shared" si="78"/>
        <v/>
      </c>
      <c r="K431" s="7">
        <f t="shared" si="79"/>
        <v/>
      </c>
      <c r="L431" s="7">
        <f t="shared" si="80"/>
        <v/>
      </c>
      <c r="M431" s="19">
        <f t="shared" si="89"/>
        <v/>
      </c>
      <c r="N431" s="7">
        <f t="shared" si="81"/>
        <v/>
      </c>
      <c r="O431" s="7"/>
      <c r="P431" s="7">
        <f t="shared" si="82"/>
        <v/>
      </c>
      <c r="Q431" s="7">
        <f t="shared" si="83"/>
        <v/>
      </c>
      <c r="R431" s="7">
        <f t="shared" si="86"/>
      </c>
      <c r="S431" s="7">
        <f t="shared" si="87"/>
      </c>
      <c r="T431" s="7">
        <f t="shared" si="88"/>
      </c>
      <c r="U431" s="7">
        <f t="shared" si="84"/>
        <v/>
      </c>
    </row>
    <row r="432" spans="1:21" x14ac:dyDescent="0.3">
      <c r="A432" s="7">
        <f t="shared" si="85"/>
        <v/>
      </c>
      <c r="B432" s="7">
        <f>IF(C432=1,MAX(B$2:$B431)+1,IF(F432=0,"",B431))</f>
      </c>
      <c r="C432" s="7">
        <f>COUNTIF($F$2:$F432,F432)</f>
      </c>
      <c r="D432" s="7">
        <f>IF(F432=0,0,MAX($D$2:D431)+1)</f>
      </c>
      <c r="E432" s="7">
        <f>IF(H432=0,0,MAX($E$2:E431)+1)</f>
      </c>
      <c r="F432" s="177"/>
      <c r="G432" s="119"/>
      <c r="H432" s="119"/>
      <c r="I432" s="7">
        <f>IFERROR(VLOOKUP(H432,H$2:H431,1,FALSE),VLOOKUP(H432,H433:H$478,1,FALSE))</f>
      </c>
      <c r="J432" s="7">
        <f t="shared" si="78"/>
        <v/>
      </c>
      <c r="K432" s="7">
        <f t="shared" si="79"/>
        <v/>
      </c>
      <c r="L432" s="7">
        <f t="shared" si="80"/>
        <v/>
      </c>
      <c r="M432" s="19">
        <f t="shared" si="89"/>
        <v/>
      </c>
      <c r="N432" s="7">
        <f t="shared" si="81"/>
        <v/>
      </c>
      <c r="O432" s="7"/>
      <c r="P432" s="7">
        <f t="shared" si="82"/>
        <v/>
      </c>
      <c r="Q432" s="7">
        <f t="shared" si="83"/>
        <v/>
      </c>
      <c r="R432" s="7">
        <f t="shared" si="86"/>
      </c>
      <c r="S432" s="7">
        <f t="shared" si="87"/>
      </c>
      <c r="T432" s="7">
        <f t="shared" si="88"/>
      </c>
      <c r="U432" s="7">
        <f t="shared" si="84"/>
        <v/>
      </c>
    </row>
    <row r="433" spans="1:21" x14ac:dyDescent="0.3">
      <c r="A433" s="7">
        <f t="shared" si="85"/>
        <v/>
      </c>
      <c r="B433" s="7">
        <f>IF(C433=1,MAX(B$2:$B432)+1,IF(F433=0,"",B432))</f>
      </c>
      <c r="C433" s="7">
        <f>COUNTIF($F$2:$F433,F433)</f>
      </c>
      <c r="D433" s="7">
        <f>IF(F433=0,0,MAX($D$2:D432)+1)</f>
      </c>
      <c r="E433" s="7">
        <f>IF(H433=0,0,MAX($E$2:E432)+1)</f>
      </c>
      <c r="F433" s="177"/>
      <c r="G433" s="119"/>
      <c r="H433" s="119"/>
      <c r="I433" s="7">
        <f>IFERROR(VLOOKUP(H433,H$2:H432,1,FALSE),VLOOKUP(H433,H434:H$478,1,FALSE))</f>
      </c>
      <c r="J433" s="7">
        <f t="shared" si="78"/>
        <v/>
      </c>
      <c r="K433" s="7">
        <f t="shared" si="79"/>
        <v/>
      </c>
      <c r="L433" s="7">
        <f t="shared" si="80"/>
        <v/>
      </c>
      <c r="M433" s="19">
        <f t="shared" si="89"/>
        <v/>
      </c>
      <c r="N433" s="7">
        <f t="shared" si="81"/>
        <v/>
      </c>
      <c r="O433" s="7"/>
      <c r="P433" s="7">
        <f t="shared" si="82"/>
        <v/>
      </c>
      <c r="Q433" s="7">
        <f t="shared" si="83"/>
        <v/>
      </c>
      <c r="R433" s="7">
        <f t="shared" si="86"/>
      </c>
      <c r="S433" s="7">
        <f t="shared" si="87"/>
      </c>
      <c r="T433" s="7">
        <f t="shared" si="88"/>
      </c>
      <c r="U433" s="7">
        <f t="shared" si="84"/>
        <v/>
      </c>
    </row>
    <row r="434" spans="1:21" x14ac:dyDescent="0.3">
      <c r="A434" s="7">
        <f t="shared" si="85"/>
        <v/>
      </c>
      <c r="B434" s="7">
        <f>IF(C434=1,MAX(B$2:$B433)+1,IF(F434=0,"",B433))</f>
      </c>
      <c r="C434" s="7">
        <f>COUNTIF($F$2:$F434,F434)</f>
      </c>
      <c r="D434" s="7">
        <f>IF(F434=0,0,MAX($D$2:D433)+1)</f>
      </c>
      <c r="E434" s="7">
        <f>IF(H434=0,0,MAX($E$2:E433)+1)</f>
      </c>
      <c r="F434" s="177"/>
      <c r="G434" s="119"/>
      <c r="H434" s="119"/>
      <c r="I434" s="7">
        <f>IFERROR(VLOOKUP(H434,H$2:H433,1,FALSE),VLOOKUP(H434,H435:H$478,1,FALSE))</f>
      </c>
      <c r="J434" s="7">
        <f t="shared" si="78"/>
        <v/>
      </c>
      <c r="K434" s="7">
        <f t="shared" si="79"/>
        <v/>
      </c>
      <c r="L434" s="7">
        <f t="shared" si="80"/>
        <v/>
      </c>
      <c r="M434" s="19">
        <f t="shared" si="89"/>
        <v/>
      </c>
      <c r="N434" s="7">
        <f t="shared" si="81"/>
        <v/>
      </c>
      <c r="O434" s="7"/>
      <c r="P434" s="7">
        <f t="shared" si="82"/>
        <v/>
      </c>
      <c r="Q434" s="7">
        <f t="shared" si="83"/>
        <v/>
      </c>
      <c r="R434" s="7">
        <f t="shared" si="86"/>
      </c>
      <c r="S434" s="7">
        <f t="shared" si="87"/>
      </c>
      <c r="T434" s="7">
        <f t="shared" si="88"/>
      </c>
      <c r="U434" s="7">
        <f t="shared" si="84"/>
        <v/>
      </c>
    </row>
    <row r="435" spans="1:21" x14ac:dyDescent="0.3">
      <c r="A435" s="7">
        <f t="shared" si="85"/>
        <v/>
      </c>
      <c r="B435" s="7">
        <f>IF(C435=1,MAX(B$2:$B434)+1,IF(F435=0,"",B434))</f>
      </c>
      <c r="C435" s="7">
        <f>COUNTIF($F$2:$F435,F435)</f>
      </c>
      <c r="D435" s="7">
        <f>IF(F435=0,0,MAX($D$2:D434)+1)</f>
      </c>
      <c r="E435" s="7">
        <f>IF(H435=0,0,MAX($E$2:E434)+1)</f>
      </c>
      <c r="F435" s="177"/>
      <c r="G435" s="119"/>
      <c r="H435" s="119"/>
      <c r="I435" s="7">
        <f>IFERROR(VLOOKUP(H435,H$2:H434,1,FALSE),VLOOKUP(H435,H436:H$478,1,FALSE))</f>
      </c>
      <c r="J435" s="7">
        <f t="shared" si="78"/>
        <v/>
      </c>
      <c r="K435" s="7">
        <f t="shared" si="79"/>
        <v/>
      </c>
      <c r="L435" s="7">
        <f t="shared" si="80"/>
        <v/>
      </c>
      <c r="M435" s="19">
        <f t="shared" si="89"/>
        <v/>
      </c>
      <c r="N435" s="7">
        <f t="shared" si="81"/>
        <v/>
      </c>
      <c r="O435" s="7"/>
      <c r="P435" s="7">
        <f t="shared" si="82"/>
        <v/>
      </c>
      <c r="Q435" s="7">
        <f t="shared" si="83"/>
        <v/>
      </c>
      <c r="R435" s="7">
        <f t="shared" si="86"/>
      </c>
      <c r="S435" s="7">
        <f t="shared" si="87"/>
      </c>
      <c r="T435" s="7">
        <f t="shared" si="88"/>
      </c>
      <c r="U435" s="7">
        <f t="shared" si="84"/>
        <v/>
      </c>
    </row>
    <row r="436" spans="1:21" x14ac:dyDescent="0.3">
      <c r="A436" s="7">
        <f t="shared" si="85"/>
        <v/>
      </c>
      <c r="B436" s="7">
        <f>IF(C436=1,MAX(B$2:$B435)+1,IF(F436=0,"",B435))</f>
      </c>
      <c r="C436" s="7">
        <f>COUNTIF($F$2:$F436,F436)</f>
      </c>
      <c r="D436" s="7">
        <f>IF(F436=0,0,MAX($D$2:D435)+1)</f>
      </c>
      <c r="E436" s="7">
        <f>IF(H436=0,0,MAX($E$2:E435)+1)</f>
      </c>
      <c r="F436" s="177"/>
      <c r="G436" s="119"/>
      <c r="H436" s="119"/>
      <c r="I436" s="7">
        <f>IFERROR(VLOOKUP(H436,H$2:H435,1,FALSE),VLOOKUP(H436,H437:H$478,1,FALSE))</f>
      </c>
      <c r="J436" s="7">
        <f t="shared" si="78"/>
        <v/>
      </c>
      <c r="K436" s="7">
        <f t="shared" si="79"/>
        <v/>
      </c>
      <c r="L436" s="7">
        <f t="shared" si="80"/>
        <v/>
      </c>
      <c r="M436" s="19">
        <f t="shared" si="89"/>
        <v/>
      </c>
      <c r="N436" s="7">
        <f t="shared" si="81"/>
        <v/>
      </c>
      <c r="O436" s="7"/>
      <c r="P436" s="7">
        <f t="shared" si="82"/>
        <v/>
      </c>
      <c r="Q436" s="7">
        <f t="shared" si="83"/>
        <v/>
      </c>
      <c r="R436" s="7">
        <f t="shared" si="86"/>
      </c>
      <c r="S436" s="7">
        <f t="shared" si="87"/>
      </c>
      <c r="T436" s="7">
        <f t="shared" si="88"/>
      </c>
      <c r="U436" s="7">
        <f t="shared" si="84"/>
        <v/>
      </c>
    </row>
    <row r="437" spans="1:21" x14ac:dyDescent="0.3">
      <c r="A437" s="7">
        <f t="shared" si="85"/>
        <v/>
      </c>
      <c r="B437" s="7">
        <f>IF(C437=1,MAX(B$2:$B436)+1,IF(F437=0,"",B436))</f>
      </c>
      <c r="C437" s="7">
        <f>COUNTIF($F$2:$F437,F437)</f>
      </c>
      <c r="D437" s="7">
        <f>IF(F437=0,0,MAX($D$2:D436)+1)</f>
      </c>
      <c r="E437" s="7">
        <f>IF(H437=0,0,MAX($E$2:E436)+1)</f>
      </c>
      <c r="F437" s="177"/>
      <c r="G437" s="119"/>
      <c r="H437" s="119"/>
      <c r="I437" s="7">
        <f>IFERROR(VLOOKUP(H437,H$2:H436,1,FALSE),VLOOKUP(H437,H438:H$478,1,FALSE))</f>
      </c>
      <c r="J437" s="7">
        <f t="shared" si="78"/>
        <v/>
      </c>
      <c r="K437" s="7">
        <f t="shared" si="79"/>
        <v/>
      </c>
      <c r="L437" s="7">
        <f t="shared" si="80"/>
        <v/>
      </c>
      <c r="M437" s="19">
        <f t="shared" si="89"/>
        <v/>
      </c>
      <c r="N437" s="7">
        <f t="shared" si="81"/>
        <v/>
      </c>
      <c r="O437" s="7"/>
      <c r="P437" s="7">
        <f t="shared" si="82"/>
        <v/>
      </c>
      <c r="Q437" s="7">
        <f t="shared" si="83"/>
        <v/>
      </c>
      <c r="R437" s="7">
        <f t="shared" si="86"/>
      </c>
      <c r="S437" s="7">
        <f t="shared" si="87"/>
      </c>
      <c r="T437" s="7">
        <f t="shared" si="88"/>
      </c>
      <c r="U437" s="7">
        <f t="shared" si="84"/>
        <v/>
      </c>
    </row>
    <row r="438" spans="1:21" x14ac:dyDescent="0.3">
      <c r="A438" s="7">
        <f t="shared" si="85"/>
        <v/>
      </c>
      <c r="B438" s="7">
        <f>IF(C438=1,MAX(B$2:$B437)+1,IF(F438=0,"",B437))</f>
      </c>
      <c r="C438" s="7">
        <f>COUNTIF($F$2:$F438,F438)</f>
      </c>
      <c r="D438" s="7">
        <f>IF(F438=0,0,MAX($D$2:D437)+1)</f>
      </c>
      <c r="E438" s="7">
        <f>IF(H438=0,0,MAX($E$2:E437)+1)</f>
      </c>
      <c r="F438" s="177"/>
      <c r="G438" s="119"/>
      <c r="H438" s="119"/>
      <c r="I438" s="7">
        <f>IFERROR(VLOOKUP(H438,H$2:H437,1,FALSE),VLOOKUP(H438,H439:H$478,1,FALSE))</f>
      </c>
      <c r="J438" s="7">
        <f t="shared" si="78"/>
        <v/>
      </c>
      <c r="K438" s="7">
        <f t="shared" si="79"/>
        <v/>
      </c>
      <c r="L438" s="7">
        <f t="shared" si="80"/>
        <v/>
      </c>
      <c r="M438" s="19">
        <f t="shared" si="89"/>
        <v/>
      </c>
      <c r="N438" s="7">
        <f t="shared" si="81"/>
        <v/>
      </c>
      <c r="O438" s="7"/>
      <c r="P438" s="7">
        <f t="shared" si="82"/>
        <v/>
      </c>
      <c r="Q438" s="7">
        <f t="shared" si="83"/>
        <v/>
      </c>
      <c r="R438" s="7">
        <f t="shared" si="86"/>
      </c>
      <c r="S438" s="7">
        <f t="shared" si="87"/>
      </c>
      <c r="T438" s="7">
        <f t="shared" si="88"/>
      </c>
      <c r="U438" s="7">
        <f t="shared" si="84"/>
        <v/>
      </c>
    </row>
    <row r="439" spans="1:21" x14ac:dyDescent="0.3">
      <c r="A439" s="7">
        <f t="shared" si="85"/>
        <v/>
      </c>
      <c r="B439" s="7">
        <f>IF(C439=1,MAX(B$2:$B438)+1,IF(F439=0,"",B438))</f>
      </c>
      <c r="C439" s="7">
        <f>COUNTIF($F$2:$F439,F439)</f>
      </c>
      <c r="D439" s="7">
        <f>IF(F439=0,0,MAX($D$2:D438)+1)</f>
      </c>
      <c r="E439" s="7">
        <f>IF(H439=0,0,MAX($E$2:E438)+1)</f>
      </c>
      <c r="F439" s="177"/>
      <c r="G439" s="119"/>
      <c r="H439" s="119"/>
      <c r="I439" s="7">
        <f>IFERROR(VLOOKUP(H439,H$2:H438,1,FALSE),VLOOKUP(H439,H440:H$478,1,FALSE))</f>
      </c>
      <c r="J439" s="7">
        <f t="shared" si="78"/>
        <v/>
      </c>
      <c r="K439" s="7">
        <f t="shared" si="79"/>
        <v/>
      </c>
      <c r="L439" s="7">
        <f t="shared" si="80"/>
        <v/>
      </c>
      <c r="M439" s="19">
        <f t="shared" si="89"/>
        <v/>
      </c>
      <c r="N439" s="7">
        <f t="shared" si="81"/>
        <v/>
      </c>
      <c r="O439" s="7"/>
      <c r="P439" s="7">
        <f t="shared" si="82"/>
        <v/>
      </c>
      <c r="Q439" s="7">
        <f t="shared" si="83"/>
        <v/>
      </c>
      <c r="R439" s="7">
        <f t="shared" si="86"/>
      </c>
      <c r="S439" s="7">
        <f t="shared" si="87"/>
      </c>
      <c r="T439" s="7">
        <f t="shared" si="88"/>
      </c>
      <c r="U439" s="7">
        <f t="shared" si="84"/>
        <v/>
      </c>
    </row>
    <row r="440" spans="1:21" x14ac:dyDescent="0.3">
      <c r="A440" s="7">
        <f t="shared" si="85"/>
        <v/>
      </c>
      <c r="B440" s="7">
        <f>IF(C440=1,MAX(B$2:$B439)+1,IF(F440=0,"",B439))</f>
      </c>
      <c r="C440" s="7">
        <f>COUNTIF($F$2:$F440,F440)</f>
      </c>
      <c r="D440" s="7">
        <f>IF(F440=0,0,MAX($D$2:D439)+1)</f>
      </c>
      <c r="E440" s="7">
        <f>IF(H440=0,0,MAX($E$2:E439)+1)</f>
      </c>
      <c r="F440" s="177"/>
      <c r="G440" s="119"/>
      <c r="H440" s="119"/>
      <c r="I440" s="7">
        <f>IFERROR(VLOOKUP(H440,H$2:H439,1,FALSE),VLOOKUP(H440,H441:H$478,1,FALSE))</f>
      </c>
      <c r="J440" s="7">
        <f t="shared" si="78"/>
        <v/>
      </c>
      <c r="K440" s="7">
        <f t="shared" si="79"/>
        <v/>
      </c>
      <c r="L440" s="7">
        <f t="shared" si="80"/>
        <v/>
      </c>
      <c r="M440" s="19">
        <f t="shared" si="89"/>
        <v/>
      </c>
      <c r="N440" s="7">
        <f t="shared" si="81"/>
        <v/>
      </c>
      <c r="O440" s="7"/>
      <c r="P440" s="7">
        <f t="shared" si="82"/>
        <v/>
      </c>
      <c r="Q440" s="7">
        <f t="shared" si="83"/>
        <v/>
      </c>
      <c r="R440" s="7">
        <f t="shared" si="86"/>
      </c>
      <c r="S440" s="7">
        <f t="shared" si="87"/>
      </c>
      <c r="T440" s="7">
        <f t="shared" si="88"/>
      </c>
      <c r="U440" s="7">
        <f t="shared" si="84"/>
        <v/>
      </c>
    </row>
    <row r="441" spans="1:21" x14ac:dyDescent="0.3">
      <c r="A441" s="7">
        <f t="shared" si="85"/>
        <v/>
      </c>
      <c r="B441" s="7">
        <f>IF(C441=1,MAX(B$2:$B440)+1,IF(F441=0,"",B440))</f>
      </c>
      <c r="C441" s="7">
        <f>COUNTIF($F$2:$F441,F441)</f>
      </c>
      <c r="D441" s="7">
        <f>IF(F441=0,0,MAX($D$2:D440)+1)</f>
      </c>
      <c r="E441" s="7">
        <f>IF(H441=0,0,MAX($E$2:E440)+1)</f>
      </c>
      <c r="F441" s="177"/>
      <c r="G441" s="119"/>
      <c r="H441" s="119"/>
      <c r="I441" s="7">
        <f>IFERROR(VLOOKUP(H441,H$2:H440,1,FALSE),VLOOKUP(H441,H442:H$478,1,FALSE))</f>
      </c>
      <c r="J441" s="7">
        <f t="shared" si="78"/>
        <v/>
      </c>
      <c r="K441" s="7">
        <f t="shared" si="79"/>
        <v/>
      </c>
      <c r="L441" s="7">
        <f t="shared" si="80"/>
        <v/>
      </c>
      <c r="M441" s="19">
        <f t="shared" si="89"/>
        <v/>
      </c>
      <c r="N441" s="7">
        <f t="shared" si="81"/>
        <v/>
      </c>
      <c r="O441" s="7"/>
      <c r="P441" s="7">
        <f t="shared" si="82"/>
        <v/>
      </c>
      <c r="Q441" s="7">
        <f t="shared" si="83"/>
        <v/>
      </c>
      <c r="R441" s="7">
        <f t="shared" si="86"/>
      </c>
      <c r="S441" s="7">
        <f t="shared" si="87"/>
      </c>
      <c r="T441" s="7">
        <f t="shared" si="88"/>
      </c>
      <c r="U441" s="7">
        <f t="shared" si="84"/>
        <v/>
      </c>
    </row>
    <row r="442" spans="1:21" x14ac:dyDescent="0.3">
      <c r="A442" s="7">
        <f t="shared" si="85"/>
        <v/>
      </c>
      <c r="B442" s="7">
        <f>IF(C442=1,MAX(B$2:$B441)+1,IF(F442=0,"",B441))</f>
      </c>
      <c r="C442" s="7">
        <f>COUNTIF($F$2:$F442,F442)</f>
      </c>
      <c r="D442" s="7">
        <f>IF(F442=0,0,MAX($D$2:D441)+1)</f>
      </c>
      <c r="E442" s="7">
        <f>IF(H442=0,0,MAX($E$2:E441)+1)</f>
      </c>
      <c r="F442" s="177"/>
      <c r="G442" s="119"/>
      <c r="H442" s="119"/>
      <c r="I442" s="7">
        <f>IFERROR(VLOOKUP(H442,H$2:H441,1,FALSE),VLOOKUP(H442,H443:H$478,1,FALSE))</f>
      </c>
      <c r="J442" s="7">
        <f t="shared" si="78"/>
        <v/>
      </c>
      <c r="K442" s="7">
        <f t="shared" si="79"/>
        <v/>
      </c>
      <c r="L442" s="7">
        <f t="shared" si="80"/>
        <v/>
      </c>
      <c r="M442" s="19">
        <f t="shared" si="89"/>
        <v/>
      </c>
      <c r="N442" s="7">
        <f t="shared" si="81"/>
        <v/>
      </c>
      <c r="O442" s="7"/>
      <c r="P442" s="7">
        <f t="shared" si="82"/>
        <v/>
      </c>
      <c r="Q442" s="7">
        <f t="shared" si="83"/>
        <v/>
      </c>
      <c r="R442" s="7">
        <f t="shared" si="86"/>
      </c>
      <c r="S442" s="7">
        <f t="shared" si="87"/>
      </c>
      <c r="T442" s="7">
        <f t="shared" si="88"/>
      </c>
      <c r="U442" s="7">
        <f t="shared" si="84"/>
        <v/>
      </c>
    </row>
    <row r="443" spans="1:21" x14ac:dyDescent="0.3">
      <c r="A443" s="7">
        <f t="shared" si="85"/>
        <v/>
      </c>
      <c r="B443" s="7">
        <f>IF(C443=1,MAX(B$2:$B442)+1,IF(F443=0,"",B442))</f>
      </c>
      <c r="C443" s="7">
        <f>COUNTIF($F$2:$F443,F443)</f>
      </c>
      <c r="D443" s="7">
        <f>IF(F443=0,0,MAX($D$2:D442)+1)</f>
      </c>
      <c r="E443" s="7">
        <f>IF(H443=0,0,MAX($E$2:E442)+1)</f>
      </c>
      <c r="F443" s="177"/>
      <c r="G443" s="119"/>
      <c r="H443" s="119"/>
      <c r="I443" s="7">
        <f>IFERROR(VLOOKUP(H443,H$2:H442,1,FALSE),VLOOKUP(H443,H444:H$478,1,FALSE))</f>
      </c>
      <c r="J443" s="7">
        <f t="shared" si="78"/>
        <v/>
      </c>
      <c r="K443" s="7">
        <f t="shared" si="79"/>
        <v/>
      </c>
      <c r="L443" s="7">
        <f t="shared" si="80"/>
        <v/>
      </c>
      <c r="M443" s="19">
        <f t="shared" si="89"/>
        <v/>
      </c>
      <c r="N443" s="7">
        <f t="shared" si="81"/>
        <v/>
      </c>
      <c r="O443" s="7"/>
      <c r="P443" s="7">
        <f t="shared" si="82"/>
        <v/>
      </c>
      <c r="Q443" s="7">
        <f t="shared" si="83"/>
        <v/>
      </c>
      <c r="R443" s="7">
        <f t="shared" si="86"/>
      </c>
      <c r="S443" s="7">
        <f t="shared" si="87"/>
      </c>
      <c r="T443" s="7">
        <f t="shared" si="88"/>
      </c>
      <c r="U443" s="7">
        <f t="shared" si="84"/>
        <v/>
      </c>
    </row>
    <row r="444" spans="1:21" s="8" customFormat="1" ht="15" thickBot="1" x14ac:dyDescent="0.35">
      <c r="A444" s="47">
        <f t="shared" si="85"/>
        <v/>
      </c>
      <c r="B444" s="47">
        <f>IF(C444=1,MAX(B$2:$B443)+1,IF(F444=0,"",B443))</f>
      </c>
      <c r="C444" s="47">
        <f>COUNTIF($F$2:$F444,F444)</f>
      </c>
      <c r="D444" s="47">
        <f>IF(F444=0,0,MAX($D$2:D443)+1)</f>
      </c>
      <c r="E444" s="47">
        <f>IF(H444=0,0,MAX($E$2:E443)+1)</f>
      </c>
      <c r="F444" s="177"/>
      <c r="G444" s="175"/>
      <c r="H444" s="175"/>
      <c r="I444" s="47">
        <f>IFERROR(VLOOKUP(H444,H$2:H443,1,FALSE),VLOOKUP(H444,H445:H$478,1,FALSE))</f>
      </c>
      <c r="J444" s="47">
        <f t="shared" si="78"/>
        <v/>
      </c>
      <c r="K444" s="47">
        <f t="shared" si="79"/>
        <v/>
      </c>
      <c r="L444" s="47">
        <f t="shared" si="80"/>
        <v/>
      </c>
      <c r="M444" s="52">
        <f t="shared" si="89"/>
        <v/>
      </c>
      <c r="N444" s="47">
        <f t="shared" si="81"/>
        <v/>
      </c>
      <c r="O444" s="47"/>
      <c r="P444" s="47">
        <f t="shared" si="82"/>
        <v/>
      </c>
      <c r="Q444" s="47">
        <f t="shared" si="83"/>
        <v/>
      </c>
      <c r="R444" s="47">
        <f t="shared" si="86"/>
      </c>
      <c r="S444" s="47">
        <f t="shared" si="87"/>
      </c>
      <c r="T444" s="47">
        <f t="shared" si="88"/>
      </c>
      <c r="U444" s="47">
        <f t="shared" si="84"/>
        <v/>
      </c>
    </row>
    <row r="445" spans="1:21" s="8" customFormat="1" ht="15" thickBot="1" x14ac:dyDescent="0.35">
      <c r="A445" s="7">
        <f t="shared" si="85"/>
        <v/>
      </c>
      <c r="B445" s="7">
        <f>IF(C445=1,MAX(B$2:$B444)+1,IF(F445=0,"",B444))</f>
      </c>
      <c r="C445" s="7">
        <f>COUNTIF($F$2:$F445,F445)</f>
      </c>
      <c r="D445" s="7">
        <f>IF(F445=0,0,MAX($D$2:D444)+1)</f>
      </c>
      <c r="E445" s="7">
        <f>IF(H445=0,0,MAX($E$2:E444)+1)</f>
      </c>
      <c r="F445" s="177"/>
      <c r="G445" s="119"/>
      <c r="H445" s="119"/>
      <c r="I445" s="7">
        <f>IFERROR(VLOOKUP(H445,H$2:H444,1,FALSE),VLOOKUP(H445,H446:H$478,1,FALSE))</f>
      </c>
      <c r="J445" s="7">
        <f t="shared" si="78"/>
        <v/>
      </c>
      <c r="K445" s="7">
        <f t="shared" si="79"/>
        <v/>
      </c>
      <c r="L445" s="7">
        <f t="shared" si="80"/>
        <v/>
      </c>
      <c r="M445" s="19">
        <f t="shared" si="89"/>
        <v/>
      </c>
      <c r="N445" s="7">
        <f t="shared" si="81"/>
        <v/>
      </c>
      <c r="O445" s="7"/>
      <c r="P445" s="7">
        <f t="shared" si="82"/>
        <v/>
      </c>
      <c r="Q445" s="7">
        <f t="shared" si="83"/>
        <v/>
      </c>
      <c r="R445" s="7">
        <f t="shared" si="86"/>
      </c>
      <c r="S445" s="7">
        <f t="shared" si="87"/>
      </c>
      <c r="T445" s="7">
        <f t="shared" si="88"/>
      </c>
      <c r="U445" s="7">
        <f t="shared" si="84"/>
        <v/>
      </c>
    </row>
    <row r="446" spans="1:21" x14ac:dyDescent="0.3">
      <c r="A446" s="7">
        <f t="shared" si="85"/>
        <v/>
      </c>
      <c r="B446" s="7">
        <f>IF(C446=1,MAX(B$2:$B445)+1,IF(F446=0,"",B445))</f>
      </c>
      <c r="C446" s="7">
        <f>COUNTIF($F$2:$F446,F446)</f>
      </c>
      <c r="D446" s="7">
        <f>IF(F446=0,0,MAX($D$2:D445)+1)</f>
      </c>
      <c r="E446" s="7">
        <f>IF(H446=0,0,MAX($E$2:E445)+1)</f>
      </c>
      <c r="F446" s="177"/>
      <c r="G446" s="119"/>
      <c r="H446" s="119"/>
      <c r="I446" s="7">
        <f>IFERROR(VLOOKUP(H446,H$2:H445,1,FALSE),VLOOKUP(H446,H447:H$478,1,FALSE))</f>
      </c>
      <c r="J446" s="7">
        <f t="shared" si="78"/>
        <v/>
      </c>
      <c r="K446" s="7">
        <f t="shared" si="79"/>
        <v/>
      </c>
      <c r="L446" s="7">
        <f t="shared" si="80"/>
        <v/>
      </c>
      <c r="M446" s="19">
        <f t="shared" si="89"/>
        <v/>
      </c>
      <c r="N446" s="7">
        <f t="shared" si="81"/>
        <v/>
      </c>
      <c r="O446" s="7"/>
      <c r="P446" s="7">
        <f t="shared" si="82"/>
        <v/>
      </c>
      <c r="Q446" s="7">
        <f t="shared" si="83"/>
        <v/>
      </c>
      <c r="R446" s="7">
        <f t="shared" si="86"/>
      </c>
      <c r="S446" s="7">
        <f t="shared" si="87"/>
      </c>
      <c r="T446" s="7">
        <f t="shared" si="88"/>
      </c>
      <c r="U446" s="7">
        <f t="shared" si="84"/>
        <v/>
      </c>
    </row>
    <row r="447" spans="1:21" x14ac:dyDescent="0.3">
      <c r="A447" s="7">
        <f t="shared" si="85"/>
        <v/>
      </c>
      <c r="B447" s="7">
        <f>IF(C447=1,MAX(B$2:$B446)+1,IF(F447=0,"",B446))</f>
      </c>
      <c r="C447" s="7">
        <f>COUNTIF($F$2:$F447,F447)</f>
      </c>
      <c r="D447" s="7">
        <f>IF(F447=0,0,MAX($D$2:D446)+1)</f>
      </c>
      <c r="E447" s="7">
        <f>IF(H447=0,0,MAX($E$2:E446)+1)</f>
      </c>
      <c r="F447" s="177"/>
      <c r="G447" s="119"/>
      <c r="H447" s="119"/>
      <c r="I447" s="7">
        <f>IFERROR(VLOOKUP(H447,H$2:H446,1,FALSE),VLOOKUP(H447,H448:H$478,1,FALSE))</f>
      </c>
      <c r="J447" s="7">
        <f t="shared" si="78"/>
        <v/>
      </c>
      <c r="K447" s="7">
        <f t="shared" si="79"/>
        <v/>
      </c>
      <c r="L447" s="7">
        <f t="shared" si="80"/>
        <v/>
      </c>
      <c r="M447" s="19">
        <f t="shared" si="89"/>
        <v/>
      </c>
      <c r="N447" s="7">
        <f t="shared" si="81"/>
        <v/>
      </c>
      <c r="O447" s="7"/>
      <c r="P447" s="7">
        <f t="shared" si="82"/>
        <v/>
      </c>
      <c r="Q447" s="7">
        <f t="shared" si="83"/>
        <v/>
      </c>
      <c r="R447" s="7">
        <f t="shared" si="86"/>
      </c>
      <c r="S447" s="7">
        <f t="shared" si="87"/>
      </c>
      <c r="T447" s="7">
        <f t="shared" si="88"/>
      </c>
      <c r="U447" s="7">
        <f t="shared" si="84"/>
        <v/>
      </c>
    </row>
    <row r="448" spans="1:21" x14ac:dyDescent="0.3">
      <c r="A448" s="7">
        <f t="shared" si="85"/>
        <v/>
      </c>
      <c r="B448" s="7">
        <f>IF(C448=1,MAX(B$2:$B447)+1,IF(F448=0,"",B447))</f>
      </c>
      <c r="C448" s="7">
        <f>COUNTIF($F$2:$F448,F448)</f>
      </c>
      <c r="D448" s="7">
        <f>IF(F448=0,0,MAX($D$2:D447)+1)</f>
      </c>
      <c r="E448" s="7">
        <f>IF(H448=0,0,MAX($E$2:E447)+1)</f>
      </c>
      <c r="F448" s="177"/>
      <c r="G448" s="119"/>
      <c r="H448" s="119"/>
      <c r="I448" s="7">
        <f>IFERROR(VLOOKUP(H448,H$2:H447,1,FALSE),VLOOKUP(H448,H449:H$478,1,FALSE))</f>
      </c>
      <c r="J448" s="7">
        <f t="shared" si="78"/>
        <v/>
      </c>
      <c r="K448" s="7">
        <f t="shared" si="79"/>
        <v/>
      </c>
      <c r="L448" s="7">
        <f t="shared" si="80"/>
        <v/>
      </c>
      <c r="M448" s="19">
        <f t="shared" si="89"/>
        <v/>
      </c>
      <c r="N448" s="7">
        <f t="shared" si="81"/>
        <v/>
      </c>
      <c r="O448" s="7"/>
      <c r="P448" s="7">
        <f t="shared" si="82"/>
        <v/>
      </c>
      <c r="Q448" s="7">
        <f t="shared" si="83"/>
        <v/>
      </c>
      <c r="R448" s="7">
        <f t="shared" si="86"/>
      </c>
      <c r="S448" s="7">
        <f t="shared" si="87"/>
      </c>
      <c r="T448" s="7">
        <f t="shared" si="88"/>
      </c>
      <c r="U448" s="7">
        <f t="shared" si="84"/>
        <v/>
      </c>
    </row>
    <row r="449" spans="1:21" x14ac:dyDescent="0.3">
      <c r="A449" s="7">
        <f t="shared" si="85"/>
        <v/>
      </c>
      <c r="B449" s="7">
        <f>IF(C449=1,MAX(B$2:$B448)+1,IF(F449=0,"",B448))</f>
      </c>
      <c r="C449" s="7">
        <f>COUNTIF($F$2:$F449,F449)</f>
      </c>
      <c r="D449" s="7">
        <f>IF(F449=0,0,MAX($D$2:D448)+1)</f>
      </c>
      <c r="E449" s="7">
        <f>IF(H449=0,0,MAX($E$2:E448)+1)</f>
      </c>
      <c r="F449" s="177"/>
      <c r="G449" s="119"/>
      <c r="H449" s="119"/>
      <c r="I449" s="7">
        <f>IFERROR(VLOOKUP(H449,H$2:H448,1,FALSE),VLOOKUP(H449,H450:H$478,1,FALSE))</f>
      </c>
      <c r="J449" s="7">
        <f t="shared" si="78"/>
        <v/>
      </c>
      <c r="K449" s="7">
        <f t="shared" si="79"/>
        <v/>
      </c>
      <c r="L449" s="7">
        <f t="shared" si="80"/>
        <v/>
      </c>
      <c r="M449" s="19">
        <f t="shared" si="89"/>
        <v/>
      </c>
      <c r="N449" s="7">
        <f t="shared" si="81"/>
        <v/>
      </c>
      <c r="O449" s="7"/>
      <c r="P449" s="7">
        <f t="shared" si="82"/>
        <v/>
      </c>
      <c r="Q449" s="7">
        <f t="shared" si="83"/>
        <v/>
      </c>
      <c r="R449" s="7">
        <f t="shared" si="86"/>
      </c>
      <c r="S449" s="7">
        <f t="shared" si="87"/>
      </c>
      <c r="T449" s="7">
        <f t="shared" si="88"/>
      </c>
      <c r="U449" s="7">
        <f t="shared" si="84"/>
        <v/>
      </c>
    </row>
    <row r="450" spans="1:21" x14ac:dyDescent="0.3">
      <c r="A450" s="7">
        <f t="shared" si="85"/>
        <v/>
      </c>
      <c r="B450" s="7">
        <f>IF(C450=1,MAX(B$2:$B449)+1,IF(F450=0,"",B449))</f>
      </c>
      <c r="C450" s="7">
        <f>COUNTIF($F$2:$F450,F450)</f>
      </c>
      <c r="D450" s="7">
        <f>IF(F450=0,0,MAX($D$2:D449)+1)</f>
      </c>
      <c r="E450" s="7">
        <f>IF(H450=0,0,MAX($E$2:E449)+1)</f>
      </c>
      <c r="F450" s="177"/>
      <c r="G450" s="119"/>
      <c r="H450" s="119"/>
      <c r="I450" s="7">
        <f>IFERROR(VLOOKUP(H450,H$2:H449,1,FALSE),VLOOKUP(H450,H451:H$478,1,FALSE))</f>
      </c>
      <c r="J450" s="7">
        <f t="shared" si="78"/>
        <v/>
      </c>
      <c r="K450" s="7">
        <f t="shared" si="79"/>
        <v/>
      </c>
      <c r="L450" s="7">
        <f t="shared" si="80"/>
        <v/>
      </c>
      <c r="M450" s="19">
        <f t="shared" si="89"/>
        <v/>
      </c>
      <c r="N450" s="7">
        <f t="shared" si="81"/>
        <v/>
      </c>
      <c r="O450" s="7"/>
      <c r="P450" s="7">
        <f t="shared" si="82"/>
        <v/>
      </c>
      <c r="Q450" s="7">
        <f t="shared" si="83"/>
        <v/>
      </c>
      <c r="R450" s="7">
        <f t="shared" si="86"/>
      </c>
      <c r="S450" s="7">
        <f t="shared" si="87"/>
      </c>
      <c r="T450" s="7">
        <f t="shared" si="88"/>
      </c>
      <c r="U450" s="7">
        <f t="shared" si="84"/>
        <v/>
      </c>
    </row>
    <row r="451" spans="1:21" x14ac:dyDescent="0.3">
      <c r="A451" s="7">
        <f t="shared" si="85"/>
        <v/>
      </c>
      <c r="B451" s="7">
        <f>IF(C451=1,MAX(B$2:$B450)+1,IF(F451=0,"",B450))</f>
      </c>
      <c r="C451" s="7">
        <f>COUNTIF($F$2:$F451,F451)</f>
      </c>
      <c r="D451" s="7">
        <f>IF(F451=0,0,MAX($D$2:D450)+1)</f>
      </c>
      <c r="E451" s="7">
        <f>IF(H451=0,0,MAX($E$2:E450)+1)</f>
      </c>
      <c r="F451" s="177"/>
      <c r="G451" s="119"/>
      <c r="H451" s="119"/>
      <c r="I451" s="7">
        <f>IFERROR(VLOOKUP(H451,H$2:H450,1,FALSE),VLOOKUP(H451,H452:H$478,1,FALSE))</f>
      </c>
      <c r="J451" s="7">
        <f t="shared" ref="J451:J514" si="90">IF($H451=0,"",VLOOKUP($H451,Исходные_данные,36,FALSE))</f>
        <v/>
      </c>
      <c r="K451" s="7">
        <f t="shared" ref="K451:K514" si="91">IF($H451=0,"",VLOOKUP($H451,Исходные_данные,37,FALSE))</f>
        <v/>
      </c>
      <c r="L451" s="7">
        <f t="shared" ref="L451:L514" si="92">IF($H451=0,"",VLOOKUP($H451,Исходные_данные,38,FALSE))</f>
        <v/>
      </c>
      <c r="M451" s="19">
        <f t="shared" si="89"/>
        <v/>
      </c>
      <c r="N451" s="7">
        <f t="shared" ref="N451:N514" si="93">IF($H451=0,"",VLOOKUP($H451,Исходные_данные,39,FALSE))</f>
        <v/>
      </c>
      <c r="O451" s="7"/>
      <c r="P451" s="7">
        <f t="shared" ref="P451:P514" si="94">IF($H451=0,"",VLOOKUP($H451,Исходные_данные,41,FALSE))</f>
        <v/>
      </c>
      <c r="Q451" s="7">
        <f t="shared" ref="Q451:Q514" si="95">IF($H451=0,"",VLOOKUP($H451,Исходные_данные,8,FALSE))</f>
        <v/>
      </c>
      <c r="R451" s="7">
        <f t="shared" si="86"/>
      </c>
      <c r="S451" s="7">
        <f t="shared" si="87"/>
      </c>
      <c r="T451" s="7">
        <f t="shared" si="88"/>
      </c>
      <c r="U451" s="7">
        <f t="shared" ref="U451:U514" si="96">IF($H451=0,"",VLOOKUP($H451,Исходные_данные,31,FALSE))</f>
        <v/>
      </c>
    </row>
    <row r="452" spans="1:21" x14ac:dyDescent="0.3">
      <c r="A452" s="7">
        <f t="shared" ref="A452:A478" si="97">IF(B452=B453,"",B452)</f>
        <v/>
      </c>
      <c r="B452" s="7">
        <f>IF(C452=1,MAX(B$2:$B451)+1,IF(F452=0,"",B451))</f>
      </c>
      <c r="C452" s="7">
        <f>COUNTIF($F$2:$F452,F452)</f>
      </c>
      <c r="D452" s="7">
        <f>IF(F452=0,0,MAX($D$2:D451)+1)</f>
      </c>
      <c r="E452" s="7">
        <f>IF(H452=0,0,MAX($E$2:E451)+1)</f>
      </c>
      <c r="F452" s="177"/>
      <c r="G452" s="119"/>
      <c r="H452" s="119"/>
      <c r="I452" s="7">
        <f>IFERROR(VLOOKUP(H452,H$2:H451,1,FALSE),VLOOKUP(H452,H453:H$478,1,FALSE))</f>
      </c>
      <c r="J452" s="7">
        <f t="shared" si="90"/>
        <v/>
      </c>
      <c r="K452" s="7">
        <f t="shared" si="91"/>
        <v/>
      </c>
      <c r="L452" s="7">
        <f t="shared" si="92"/>
        <v/>
      </c>
      <c r="M452" s="19">
        <f t="shared" si="89"/>
        <v/>
      </c>
      <c r="N452" s="7">
        <f t="shared" si="93"/>
        <v/>
      </c>
      <c r="O452" s="7"/>
      <c r="P452" s="7">
        <f t="shared" si="94"/>
        <v/>
      </c>
      <c r="Q452" s="7">
        <f t="shared" si="95"/>
        <v/>
      </c>
      <c r="R452" s="7">
        <f t="shared" ref="R452:R478" si="98">IF(Q452=3,"L1,L2,L3",0)</f>
      </c>
      <c r="S452" s="7">
        <f t="shared" ref="S452:S478" si="99">IF(C452=1,1,IF(Q452=3,S451,IF(S451=3,1,S451+1)))</f>
      </c>
      <c r="T452" s="7">
        <f t="shared" ref="T452:T478" si="100">IF(R452=0,"L"&amp;S452,R452)</f>
      </c>
      <c r="U452" s="7">
        <f t="shared" si="96"/>
        <v/>
      </c>
    </row>
    <row r="453" spans="1:21" x14ac:dyDescent="0.3">
      <c r="A453" s="7">
        <f t="shared" si="97"/>
        <v/>
      </c>
      <c r="B453" s="7">
        <f>IF(C453=1,MAX(B$2:$B452)+1,IF(F453=0,"",B452))</f>
      </c>
      <c r="C453" s="7">
        <f>COUNTIF($F$2:$F453,F453)</f>
      </c>
      <c r="D453" s="7">
        <f>IF(F453=0,0,MAX($D$2:D452)+1)</f>
      </c>
      <c r="E453" s="7">
        <f>IF(H453=0,0,MAX($E$2:E452)+1)</f>
      </c>
      <c r="F453" s="177"/>
      <c r="G453" s="119"/>
      <c r="H453" s="119"/>
      <c r="I453" s="7">
        <f>IFERROR(VLOOKUP(H453,H$2:H452,1,FALSE),VLOOKUP(H453,H454:H$478,1,FALSE))</f>
      </c>
      <c r="J453" s="7">
        <f t="shared" si="90"/>
        <v/>
      </c>
      <c r="K453" s="7">
        <f t="shared" si="91"/>
        <v/>
      </c>
      <c r="L453" s="7">
        <f t="shared" si="92"/>
        <v/>
      </c>
      <c r="M453" s="19">
        <f t="shared" ref="M453:M478" si="101">IFERROR(VLOOKUP(H453,Нагрузка_диапазон_1,4,FALSE),"")</f>
        <v/>
      </c>
      <c r="N453" s="7">
        <f t="shared" si="93"/>
        <v/>
      </c>
      <c r="O453" s="7"/>
      <c r="P453" s="7">
        <f t="shared" si="94"/>
        <v/>
      </c>
      <c r="Q453" s="7">
        <f t="shared" si="95"/>
        <v/>
      </c>
      <c r="R453" s="7">
        <f t="shared" si="98"/>
      </c>
      <c r="S453" s="7">
        <f t="shared" si="99"/>
      </c>
      <c r="T453" s="7">
        <f t="shared" si="100"/>
      </c>
      <c r="U453" s="7">
        <f t="shared" si="96"/>
        <v/>
      </c>
    </row>
    <row r="454" spans="1:21" x14ac:dyDescent="0.3">
      <c r="A454" s="7">
        <f t="shared" si="97"/>
        <v/>
      </c>
      <c r="B454" s="7">
        <f>IF(C454=1,MAX(B$2:$B453)+1,IF(F454=0,"",B453))</f>
      </c>
      <c r="C454" s="7">
        <f>COUNTIF($F$2:$F454,F454)</f>
      </c>
      <c r="D454" s="7">
        <f>IF(F454=0,0,MAX($D$2:D453)+1)</f>
      </c>
      <c r="E454" s="7">
        <f>IF(H454=0,0,MAX($E$2:E453)+1)</f>
      </c>
      <c r="F454" s="177"/>
      <c r="G454" s="119"/>
      <c r="H454" s="119"/>
      <c r="I454" s="7">
        <f>IFERROR(VLOOKUP(H454,H$2:H453,1,FALSE),VLOOKUP(H454,H455:H$478,1,FALSE))</f>
      </c>
      <c r="J454" s="7">
        <f t="shared" si="90"/>
        <v/>
      </c>
      <c r="K454" s="7">
        <f t="shared" si="91"/>
        <v/>
      </c>
      <c r="L454" s="7">
        <f t="shared" si="92"/>
        <v/>
      </c>
      <c r="M454" s="19">
        <f t="shared" si="101"/>
        <v/>
      </c>
      <c r="N454" s="7">
        <f t="shared" si="93"/>
        <v/>
      </c>
      <c r="O454" s="7"/>
      <c r="P454" s="7">
        <f t="shared" si="94"/>
        <v/>
      </c>
      <c r="Q454" s="7">
        <f t="shared" si="95"/>
        <v/>
      </c>
      <c r="R454" s="7">
        <f t="shared" si="98"/>
      </c>
      <c r="S454" s="7">
        <f t="shared" si="99"/>
      </c>
      <c r="T454" s="7">
        <f t="shared" si="100"/>
      </c>
      <c r="U454" s="7">
        <f t="shared" si="96"/>
        <v/>
      </c>
    </row>
    <row r="455" spans="1:21" x14ac:dyDescent="0.3">
      <c r="A455" s="7">
        <f t="shared" si="97"/>
        <v/>
      </c>
      <c r="B455" s="7">
        <f>IF(C455=1,MAX(B$2:$B454)+1,IF(F455=0,"",B454))</f>
      </c>
      <c r="C455" s="7">
        <f>COUNTIF($F$2:$F455,F455)</f>
      </c>
      <c r="D455" s="7">
        <f>IF(F455=0,0,MAX($D$2:D454)+1)</f>
      </c>
      <c r="E455" s="7">
        <f>IF(H455=0,0,MAX($E$2:E454)+1)</f>
      </c>
      <c r="F455" s="177"/>
      <c r="G455" s="119"/>
      <c r="H455" s="119"/>
      <c r="I455" s="7">
        <f>IFERROR(VLOOKUP(H455,H$2:H454,1,FALSE),VLOOKUP(H455,H456:H$478,1,FALSE))</f>
      </c>
      <c r="J455" s="7">
        <f t="shared" si="90"/>
        <v/>
      </c>
      <c r="K455" s="7">
        <f t="shared" si="91"/>
        <v/>
      </c>
      <c r="L455" s="7">
        <f t="shared" si="92"/>
        <v/>
      </c>
      <c r="M455" s="19">
        <f t="shared" si="101"/>
        <v/>
      </c>
      <c r="N455" s="7">
        <f t="shared" si="93"/>
        <v/>
      </c>
      <c r="O455" s="7"/>
      <c r="P455" s="7">
        <f t="shared" si="94"/>
        <v/>
      </c>
      <c r="Q455" s="7">
        <f t="shared" si="95"/>
        <v/>
      </c>
      <c r="R455" s="7">
        <f t="shared" si="98"/>
      </c>
      <c r="S455" s="7">
        <f t="shared" si="99"/>
      </c>
      <c r="T455" s="7">
        <f t="shared" si="100"/>
      </c>
      <c r="U455" s="7">
        <f t="shared" si="96"/>
        <v/>
      </c>
    </row>
    <row r="456" spans="1:21" x14ac:dyDescent="0.3">
      <c r="A456" s="7">
        <f t="shared" si="97"/>
        <v/>
      </c>
      <c r="B456" s="7">
        <f>IF(C456=1,MAX(B$2:$B455)+1,IF(F456=0,"",B455))</f>
      </c>
      <c r="C456" s="7">
        <f>COUNTIF($F$2:$F456,F456)</f>
      </c>
      <c r="D456" s="7">
        <f>IF(F456=0,0,MAX($D$2:D455)+1)</f>
      </c>
      <c r="E456" s="7">
        <f>IF(H456=0,0,MAX($E$2:E455)+1)</f>
      </c>
      <c r="F456" s="177"/>
      <c r="G456" s="119"/>
      <c r="H456" s="119"/>
      <c r="I456" s="7">
        <f>IFERROR(VLOOKUP(H456,H$2:H455,1,FALSE),VLOOKUP(H456,H457:H$478,1,FALSE))</f>
      </c>
      <c r="J456" s="7">
        <f t="shared" si="90"/>
        <v/>
      </c>
      <c r="K456" s="7">
        <f t="shared" si="91"/>
        <v/>
      </c>
      <c r="L456" s="7">
        <f t="shared" si="92"/>
        <v/>
      </c>
      <c r="M456" s="19">
        <f t="shared" si="101"/>
        <v/>
      </c>
      <c r="N456" s="7">
        <f t="shared" si="93"/>
        <v/>
      </c>
      <c r="O456" s="7"/>
      <c r="P456" s="7">
        <f t="shared" si="94"/>
        <v/>
      </c>
      <c r="Q456" s="7">
        <f t="shared" si="95"/>
        <v/>
      </c>
      <c r="R456" s="7">
        <f t="shared" si="98"/>
      </c>
      <c r="S456" s="7">
        <f t="shared" si="99"/>
      </c>
      <c r="T456" s="7">
        <f t="shared" si="100"/>
      </c>
      <c r="U456" s="7">
        <f t="shared" si="96"/>
        <v/>
      </c>
    </row>
    <row r="457" spans="1:21" x14ac:dyDescent="0.3">
      <c r="A457" s="7">
        <f t="shared" si="97"/>
        <v/>
      </c>
      <c r="B457" s="7">
        <f>IF(C457=1,MAX(B$2:$B456)+1,IF(F457=0,"",B456))</f>
      </c>
      <c r="C457" s="7">
        <f>COUNTIF($F$2:$F457,F457)</f>
      </c>
      <c r="D457" s="7">
        <f>IF(F457=0,0,MAX($D$2:D456)+1)</f>
      </c>
      <c r="E457" s="7">
        <f>IF(H457=0,0,MAX($E$2:E456)+1)</f>
      </c>
      <c r="F457" s="177"/>
      <c r="G457" s="119"/>
      <c r="H457" s="119"/>
      <c r="I457" s="7">
        <f>IFERROR(VLOOKUP(H457,H$2:H456,1,FALSE),VLOOKUP(H457,H458:H$478,1,FALSE))</f>
      </c>
      <c r="J457" s="7">
        <f t="shared" si="90"/>
        <v/>
      </c>
      <c r="K457" s="7">
        <f t="shared" si="91"/>
        <v/>
      </c>
      <c r="L457" s="7">
        <f t="shared" si="92"/>
        <v/>
      </c>
      <c r="M457" s="19">
        <f t="shared" si="101"/>
        <v/>
      </c>
      <c r="N457" s="7">
        <f t="shared" si="93"/>
        <v/>
      </c>
      <c r="O457" s="7"/>
      <c r="P457" s="7">
        <f t="shared" si="94"/>
        <v/>
      </c>
      <c r="Q457" s="7">
        <f t="shared" si="95"/>
        <v/>
      </c>
      <c r="R457" s="7">
        <f t="shared" si="98"/>
      </c>
      <c r="S457" s="7">
        <f t="shared" si="99"/>
      </c>
      <c r="T457" s="7">
        <f t="shared" si="100"/>
      </c>
      <c r="U457" s="7">
        <f t="shared" si="96"/>
        <v/>
      </c>
    </row>
    <row r="458" spans="1:21" x14ac:dyDescent="0.3">
      <c r="A458" s="7">
        <f t="shared" si="97"/>
        <v/>
      </c>
      <c r="B458" s="7">
        <f>IF(C458=1,MAX(B$2:$B457)+1,IF(F458=0,"",B457))</f>
      </c>
      <c r="C458" s="7">
        <f>COUNTIF($F$2:$F458,F458)</f>
      </c>
      <c r="D458" s="7">
        <f>IF(F458=0,0,MAX($D$2:D457)+1)</f>
      </c>
      <c r="E458" s="7">
        <f>IF(H458=0,0,MAX($E$2:E457)+1)</f>
      </c>
      <c r="F458" s="177"/>
      <c r="G458" s="177"/>
      <c r="H458" s="119"/>
      <c r="I458" s="7">
        <f>IFERROR(VLOOKUP(H458,H$2:H457,1,FALSE),VLOOKUP(H458,H459:H$478,1,FALSE))</f>
      </c>
      <c r="J458" s="7">
        <f t="shared" si="90"/>
        <v/>
      </c>
      <c r="K458" s="7">
        <f t="shared" si="91"/>
        <v/>
      </c>
      <c r="L458" s="7">
        <f t="shared" si="92"/>
        <v/>
      </c>
      <c r="M458" s="19">
        <f t="shared" si="101"/>
        <v/>
      </c>
      <c r="N458" s="7">
        <f t="shared" si="93"/>
        <v/>
      </c>
      <c r="O458" s="7"/>
      <c r="P458" s="7">
        <f t="shared" si="94"/>
        <v/>
      </c>
      <c r="Q458" s="7">
        <f t="shared" si="95"/>
        <v/>
      </c>
      <c r="R458" s="7">
        <f t="shared" si="98"/>
      </c>
      <c r="S458" s="7">
        <f t="shared" si="99"/>
      </c>
      <c r="T458" s="7">
        <f t="shared" si="100"/>
      </c>
      <c r="U458" s="7">
        <f t="shared" si="96"/>
        <v/>
      </c>
    </row>
    <row r="459" spans="1:21" x14ac:dyDescent="0.3">
      <c r="A459" s="7">
        <f t="shared" si="97"/>
        <v/>
      </c>
      <c r="B459" s="7">
        <f>IF(C459=1,MAX(B$2:$B458)+1,IF(F459=0,"",B458))</f>
      </c>
      <c r="C459" s="7">
        <f>COUNTIF($F$2:$F459,F459)</f>
      </c>
      <c r="D459" s="7">
        <f>IF(F459=0,0,MAX($D$2:D458)+1)</f>
      </c>
      <c r="E459" s="7">
        <f>IF(H459=0,0,MAX($E$2:E458)+1)</f>
      </c>
      <c r="F459" s="177"/>
      <c r="G459" s="119"/>
      <c r="H459" s="119"/>
      <c r="I459" s="7">
        <f>IFERROR(VLOOKUP(H459,H$2:H458,1,FALSE),VLOOKUP(H459,H460:H$478,1,FALSE))</f>
      </c>
      <c r="J459" s="7">
        <f t="shared" si="90"/>
        <v/>
      </c>
      <c r="K459" s="7">
        <f t="shared" si="91"/>
        <v/>
      </c>
      <c r="L459" s="7">
        <f t="shared" si="92"/>
        <v/>
      </c>
      <c r="M459" s="19">
        <f t="shared" si="101"/>
        <v/>
      </c>
      <c r="N459" s="7">
        <f t="shared" si="93"/>
        <v/>
      </c>
      <c r="O459" s="7"/>
      <c r="P459" s="7">
        <f t="shared" si="94"/>
        <v/>
      </c>
      <c r="Q459" s="7">
        <f t="shared" si="95"/>
        <v/>
      </c>
      <c r="R459" s="7">
        <f t="shared" si="98"/>
      </c>
      <c r="S459" s="7">
        <f t="shared" si="99"/>
      </c>
      <c r="T459" s="7">
        <f t="shared" si="100"/>
      </c>
      <c r="U459" s="7">
        <f t="shared" si="96"/>
        <v/>
      </c>
    </row>
    <row r="460" spans="1:21" x14ac:dyDescent="0.3">
      <c r="A460" s="7">
        <f t="shared" si="97"/>
        <v/>
      </c>
      <c r="B460" s="7">
        <f>IF(C460=1,MAX(B$2:$B459)+1,IF(F460=0,"",B459))</f>
      </c>
      <c r="C460" s="7">
        <f>COUNTIF($F$2:$F460,F460)</f>
      </c>
      <c r="D460" s="7">
        <f>IF(F460=0,0,MAX($D$2:D459)+1)</f>
      </c>
      <c r="E460" s="7">
        <f>IF(H460=0,0,MAX($E$2:E459)+1)</f>
      </c>
      <c r="F460" s="177"/>
      <c r="G460" s="119"/>
      <c r="H460" s="119"/>
      <c r="I460" s="7">
        <f>IFERROR(VLOOKUP(H460,H$2:H459,1,FALSE),VLOOKUP(H460,H461:H$478,1,FALSE))</f>
      </c>
      <c r="J460" s="7">
        <f t="shared" si="90"/>
        <v/>
      </c>
      <c r="K460" s="7">
        <f t="shared" si="91"/>
        <v/>
      </c>
      <c r="L460" s="7">
        <f t="shared" si="92"/>
        <v/>
      </c>
      <c r="M460" s="19">
        <f t="shared" si="101"/>
        <v/>
      </c>
      <c r="N460" s="7">
        <f t="shared" si="93"/>
        <v/>
      </c>
      <c r="O460" s="7"/>
      <c r="P460" s="7">
        <f t="shared" si="94"/>
        <v/>
      </c>
      <c r="Q460" s="7">
        <f t="shared" si="95"/>
        <v/>
      </c>
      <c r="R460" s="7">
        <f t="shared" si="98"/>
      </c>
      <c r="S460" s="7">
        <f t="shared" si="99"/>
      </c>
      <c r="T460" s="7">
        <f t="shared" si="100"/>
      </c>
      <c r="U460" s="7">
        <f t="shared" si="96"/>
        <v/>
      </c>
    </row>
    <row r="461" spans="1:21" s="8" customFormat="1" ht="15" thickBot="1" x14ac:dyDescent="0.35">
      <c r="A461" s="47">
        <f t="shared" si="97"/>
        <v/>
      </c>
      <c r="B461" s="47">
        <f>IF(C461=1,MAX(B$2:$B460)+1,IF(F461=0,"",B460))</f>
      </c>
      <c r="C461" s="47">
        <f>COUNTIF($F$2:$F461,F461)</f>
      </c>
      <c r="D461" s="47">
        <f>IF(F461=0,0,MAX($D$2:D460)+1)</f>
      </c>
      <c r="E461" s="47">
        <f>IF(H461=0,0,MAX($E$2:E460)+1)</f>
      </c>
      <c r="F461" s="177"/>
      <c r="G461" s="175"/>
      <c r="H461" s="175"/>
      <c r="I461" s="47">
        <f>IFERROR(VLOOKUP(H461,H$2:H460,1,FALSE),VLOOKUP(H461,H462:H$478,1,FALSE))</f>
      </c>
      <c r="J461" s="47">
        <f t="shared" si="90"/>
        <v/>
      </c>
      <c r="K461" s="47">
        <f t="shared" si="91"/>
        <v/>
      </c>
      <c r="L461" s="47">
        <f t="shared" si="92"/>
        <v/>
      </c>
      <c r="M461" s="52">
        <f t="shared" si="101"/>
        <v/>
      </c>
      <c r="N461" s="47">
        <f t="shared" si="93"/>
        <v/>
      </c>
      <c r="O461" s="47"/>
      <c r="P461" s="47">
        <f t="shared" si="94"/>
        <v/>
      </c>
      <c r="Q461" s="47">
        <f t="shared" si="95"/>
        <v/>
      </c>
      <c r="R461" s="47">
        <f t="shared" si="98"/>
      </c>
      <c r="S461" s="47">
        <f t="shared" si="99"/>
      </c>
      <c r="T461" s="47">
        <f t="shared" si="100"/>
      </c>
      <c r="U461" s="47">
        <f t="shared" si="96"/>
        <v/>
      </c>
    </row>
    <row r="462" spans="1:21" x14ac:dyDescent="0.3">
      <c r="A462" s="7">
        <f t="shared" si="97"/>
        <v/>
      </c>
      <c r="B462" s="7">
        <f>IF(C462=1,MAX(B$2:$B461)+1,IF(F462=0,"",B461))</f>
      </c>
      <c r="C462" s="7">
        <f>COUNTIF($F$2:$F462,F462)</f>
      </c>
      <c r="D462" s="7">
        <f>IF(F462=0,0,MAX($D$2:D461)+1)</f>
      </c>
      <c r="E462" s="7">
        <f>IF(H462=0,0,MAX($E$2:E461)+1)</f>
      </c>
      <c r="F462" s="177"/>
      <c r="G462" s="177"/>
      <c r="H462" s="119"/>
      <c r="I462" s="7">
        <f>IFERROR(VLOOKUP(H462,H$2:H461,1,FALSE),VLOOKUP(H462,H463:H$478,1,FALSE))</f>
      </c>
      <c r="J462" s="7">
        <f t="shared" si="90"/>
        <v/>
      </c>
      <c r="K462" s="7">
        <f t="shared" si="91"/>
        <v/>
      </c>
      <c r="L462" s="7">
        <f t="shared" si="92"/>
        <v/>
      </c>
      <c r="M462" s="19">
        <f t="shared" si="101"/>
        <v/>
      </c>
      <c r="N462" s="7">
        <f t="shared" si="93"/>
        <v/>
      </c>
      <c r="O462" s="7"/>
      <c r="P462" s="7">
        <f t="shared" si="94"/>
        <v/>
      </c>
      <c r="Q462" s="7">
        <f t="shared" si="95"/>
        <v/>
      </c>
      <c r="R462" s="7">
        <f t="shared" si="98"/>
      </c>
      <c r="S462" s="7">
        <f t="shared" si="99"/>
      </c>
      <c r="T462" s="7">
        <f t="shared" si="100"/>
      </c>
      <c r="U462" s="7">
        <f t="shared" si="96"/>
        <v/>
      </c>
    </row>
    <row r="463" spans="1:21" x14ac:dyDescent="0.3">
      <c r="A463" s="7">
        <f t="shared" si="97"/>
        <v/>
      </c>
      <c r="B463" s="7">
        <f>IF(C463=1,MAX(B$2:$B462)+1,IF(F463=0,"",B462))</f>
      </c>
      <c r="C463" s="7">
        <f>COUNTIF($F$2:$F463,F463)</f>
      </c>
      <c r="D463" s="7">
        <f>IF(F463=0,0,MAX($D$2:D462)+1)</f>
      </c>
      <c r="E463" s="7">
        <f>IF(H463=0,0,MAX($E$2:E462)+1)</f>
      </c>
      <c r="F463" s="177"/>
      <c r="G463" s="119"/>
      <c r="H463" s="119"/>
      <c r="I463" s="7">
        <f>IFERROR(VLOOKUP(H463,H$2:H462,1,FALSE),VLOOKUP(H463,H464:H$478,1,FALSE))</f>
      </c>
      <c r="J463" s="7">
        <f t="shared" si="90"/>
        <v/>
      </c>
      <c r="K463" s="7">
        <f t="shared" si="91"/>
        <v/>
      </c>
      <c r="L463" s="7">
        <f t="shared" si="92"/>
        <v/>
      </c>
      <c r="M463" s="19">
        <f t="shared" si="101"/>
        <v/>
      </c>
      <c r="N463" s="7">
        <f t="shared" si="93"/>
        <v/>
      </c>
      <c r="O463" s="7"/>
      <c r="P463" s="7">
        <f t="shared" si="94"/>
        <v/>
      </c>
      <c r="Q463" s="7">
        <f t="shared" si="95"/>
        <v/>
      </c>
      <c r="R463" s="7">
        <f t="shared" si="98"/>
      </c>
      <c r="S463" s="7">
        <f t="shared" si="99"/>
      </c>
      <c r="T463" s="7">
        <f t="shared" si="100"/>
      </c>
      <c r="U463" s="7">
        <f t="shared" si="96"/>
        <v/>
      </c>
    </row>
    <row r="464" spans="1:21" x14ac:dyDescent="0.3">
      <c r="A464" s="7">
        <f t="shared" si="97"/>
        <v/>
      </c>
      <c r="B464" s="7">
        <f>IF(C464=1,MAX(B$2:$B463)+1,IF(F464=0,"",B463))</f>
      </c>
      <c r="C464" s="7">
        <f>COUNTIF($F$2:$F464,F464)</f>
      </c>
      <c r="D464" s="7">
        <f>IF(F464=0,0,MAX($D$2:D463)+1)</f>
      </c>
      <c r="E464" s="7">
        <f>IF(H464=0,0,MAX($E$2:E463)+1)</f>
      </c>
      <c r="F464" s="177"/>
      <c r="G464" s="119"/>
      <c r="H464" s="119"/>
      <c r="I464" s="7">
        <f>IFERROR(VLOOKUP(H464,H$2:H463,1,FALSE),VLOOKUP(H464,H465:H$478,1,FALSE))</f>
      </c>
      <c r="J464" s="7">
        <f t="shared" si="90"/>
        <v/>
      </c>
      <c r="K464" s="7">
        <f t="shared" si="91"/>
        <v/>
      </c>
      <c r="L464" s="7">
        <f t="shared" si="92"/>
        <v/>
      </c>
      <c r="M464" s="19">
        <f t="shared" si="101"/>
        <v/>
      </c>
      <c r="N464" s="7">
        <f t="shared" si="93"/>
        <v/>
      </c>
      <c r="O464" s="7"/>
      <c r="P464" s="7">
        <f t="shared" si="94"/>
        <v/>
      </c>
      <c r="Q464" s="7">
        <f t="shared" si="95"/>
        <v/>
      </c>
      <c r="R464" s="7">
        <f t="shared" si="98"/>
      </c>
      <c r="S464" s="7">
        <f t="shared" si="99"/>
      </c>
      <c r="T464" s="7">
        <f t="shared" si="100"/>
      </c>
      <c r="U464" s="7">
        <f t="shared" si="96"/>
        <v/>
      </c>
    </row>
    <row r="465" spans="1:21" x14ac:dyDescent="0.3">
      <c r="A465" s="7">
        <f t="shared" si="97"/>
        <v/>
      </c>
      <c r="B465" s="7">
        <f>IF(C465=1,MAX(B$2:$B464)+1,IF(F465=0,"",B464))</f>
      </c>
      <c r="C465" s="7">
        <f>COUNTIF($F$2:$F465,F465)</f>
      </c>
      <c r="D465" s="7">
        <f>IF(F465=0,0,MAX($D$2:D464)+1)</f>
      </c>
      <c r="E465" s="7">
        <f>IF(H465=0,0,MAX($E$2:E464)+1)</f>
      </c>
      <c r="F465" s="177"/>
      <c r="G465" s="119"/>
      <c r="H465" s="119"/>
      <c r="I465" s="7">
        <f>IFERROR(VLOOKUP(H465,H$2:H464,1,FALSE),VLOOKUP(H465,H466:H$478,1,FALSE))</f>
      </c>
      <c r="J465" s="7">
        <f t="shared" si="90"/>
        <v/>
      </c>
      <c r="K465" s="7">
        <f t="shared" si="91"/>
        <v/>
      </c>
      <c r="L465" s="7">
        <f t="shared" si="92"/>
        <v/>
      </c>
      <c r="M465" s="19">
        <f t="shared" si="101"/>
        <v/>
      </c>
      <c r="N465" s="7">
        <f t="shared" si="93"/>
        <v/>
      </c>
      <c r="O465" s="7"/>
      <c r="P465" s="7">
        <f t="shared" si="94"/>
        <v/>
      </c>
      <c r="Q465" s="7">
        <f t="shared" si="95"/>
        <v/>
      </c>
      <c r="R465" s="7">
        <f t="shared" si="98"/>
      </c>
      <c r="S465" s="7">
        <f t="shared" si="99"/>
      </c>
      <c r="T465" s="7">
        <f t="shared" si="100"/>
      </c>
      <c r="U465" s="7">
        <f t="shared" si="96"/>
        <v/>
      </c>
    </row>
    <row r="466" spans="1:21" x14ac:dyDescent="0.3">
      <c r="A466" s="7">
        <f t="shared" si="97"/>
      </c>
      <c r="B466" s="7">
        <f>IF(C466=1,MAX(B$2:$B465)+1,IF(F466=0,"",B465))</f>
      </c>
      <c r="C466" s="7">
        <f>COUNTIF($F$2:$F466,F466)</f>
      </c>
      <c r="D466" s="7">
        <f>IF(F466=0,0,MAX($D$2:D465)+1)</f>
      </c>
      <c r="E466" s="7">
        <f>IF(H466=0,0,MAX($E$2:E465)+1)</f>
      </c>
      <c r="F466" s="177"/>
      <c r="G466" s="119"/>
      <c r="H466" s="119"/>
      <c r="I466" s="7">
        <f>IFERROR(VLOOKUP(H466,H$2:H465,1,FALSE),VLOOKUP(H466,H467:H$478,1,FALSE))</f>
      </c>
      <c r="J466" s="7">
        <f t="shared" si="90"/>
        <v/>
      </c>
      <c r="K466" s="7">
        <f t="shared" si="91"/>
        <v/>
      </c>
      <c r="L466" s="7">
        <f t="shared" si="92"/>
        <v/>
      </c>
      <c r="M466" s="19">
        <f t="shared" si="101"/>
        <v/>
      </c>
      <c r="N466" s="7">
        <f t="shared" si="93"/>
        <v/>
      </c>
      <c r="O466" s="7"/>
      <c r="P466" s="7">
        <f t="shared" si="94"/>
        <v/>
      </c>
      <c r="Q466" s="7">
        <f t="shared" si="95"/>
        <v/>
      </c>
      <c r="R466" s="7">
        <f t="shared" si="98"/>
      </c>
      <c r="S466" s="7">
        <f t="shared" si="99"/>
      </c>
      <c r="T466" s="7">
        <f t="shared" si="100"/>
      </c>
      <c r="U466" s="7">
        <f t="shared" si="96"/>
        <v/>
      </c>
    </row>
    <row r="467" spans="1:21" x14ac:dyDescent="0.3">
      <c r="A467" s="7">
        <f t="shared" si="97"/>
        <v/>
      </c>
      <c r="B467" s="7">
        <f>IF(C467=1,MAX(B$2:$B466)+1,IF(F467=0,"",B466))</f>
        <v/>
      </c>
      <c r="C467" s="7">
        <f>COUNTIF($F$2:$F467,F467)</f>
      </c>
      <c r="D467" s="7">
        <f>IF(F467=0,0,MAX($D$2:D466)+1)</f>
      </c>
      <c r="E467" s="7">
        <f>IF(H467=0,0,MAX($E$2:E466)+1)</f>
      </c>
      <c r="F467" s="177"/>
      <c r="G467" s="119"/>
      <c r="H467" s="119"/>
      <c r="I467" s="7">
        <f>IFERROR(VLOOKUP(H467,H$2:H466,1,FALSE),VLOOKUP(H467,H468:H$478,1,FALSE))</f>
      </c>
      <c r="J467" s="7">
        <f t="shared" si="90"/>
        <v/>
      </c>
      <c r="K467" s="7">
        <f t="shared" si="91"/>
        <v/>
      </c>
      <c r="L467" s="7">
        <f t="shared" si="92"/>
        <v/>
      </c>
      <c r="M467" s="19">
        <f t="shared" si="101"/>
        <v/>
      </c>
      <c r="N467" s="7">
        <f t="shared" si="93"/>
        <v/>
      </c>
      <c r="O467" s="7"/>
      <c r="P467" s="7">
        <f t="shared" si="94"/>
        <v/>
      </c>
      <c r="Q467" s="7">
        <f t="shared" si="95"/>
        <v/>
      </c>
      <c r="R467" s="7">
        <f t="shared" si="98"/>
      </c>
      <c r="S467" s="7">
        <f t="shared" si="99"/>
      </c>
      <c r="T467" s="7">
        <f t="shared" si="100"/>
      </c>
      <c r="U467" s="7">
        <f t="shared" si="96"/>
        <v/>
      </c>
    </row>
    <row r="468" spans="1:21" x14ac:dyDescent="0.3">
      <c r="A468" s="7">
        <f t="shared" si="97"/>
        <v/>
      </c>
      <c r="B468" s="7">
        <f>IF(C468=1,MAX(B$2:$B467)+1,IF(F468=0,"",B467))</f>
        <v/>
      </c>
      <c r="C468" s="7">
        <f>COUNTIF($F$2:$F468,F468)</f>
      </c>
      <c r="D468" s="7">
        <f>IF(F468=0,0,MAX($D$2:D467)+1)</f>
      </c>
      <c r="E468" s="7">
        <f>IF(H468=0,0,MAX($E$2:E467)+1)</f>
      </c>
      <c r="F468" s="177"/>
      <c r="G468" s="119"/>
      <c r="H468" s="119"/>
      <c r="I468" s="7">
        <f>IFERROR(VLOOKUP(H468,H$2:H467,1,FALSE),VLOOKUP(H468,H469:H$478,1,FALSE))</f>
      </c>
      <c r="J468" s="7">
        <f t="shared" si="90"/>
        <v/>
      </c>
      <c r="K468" s="7">
        <f t="shared" si="91"/>
        <v/>
      </c>
      <c r="L468" s="7">
        <f t="shared" si="92"/>
        <v/>
      </c>
      <c r="M468" s="19">
        <f t="shared" si="101"/>
        <v/>
      </c>
      <c r="N468" s="7">
        <f t="shared" si="93"/>
        <v/>
      </c>
      <c r="O468" s="7"/>
      <c r="P468" s="7">
        <f t="shared" si="94"/>
        <v/>
      </c>
      <c r="Q468" s="7">
        <f t="shared" si="95"/>
        <v/>
      </c>
      <c r="R468" s="7">
        <f t="shared" si="98"/>
      </c>
      <c r="S468" s="7">
        <f t="shared" si="99"/>
      </c>
      <c r="T468" s="7">
        <f t="shared" si="100"/>
      </c>
      <c r="U468" s="7">
        <f t="shared" si="96"/>
        <v/>
      </c>
    </row>
    <row r="469" spans="1:21" x14ac:dyDescent="0.3">
      <c r="A469" s="7">
        <f t="shared" si="97"/>
        <v/>
      </c>
      <c r="B469" s="7">
        <f>IF(C469=1,MAX(B$2:$B468)+1,IF(F469=0,"",B468))</f>
        <v/>
      </c>
      <c r="C469" s="7">
        <f>COUNTIF($F$2:$F469,F469)</f>
      </c>
      <c r="D469" s="7">
        <f>IF(F469=0,0,MAX($D$2:D468)+1)</f>
      </c>
      <c r="E469" s="7">
        <f>IF(H469=0,0,MAX($E$2:E468)+1)</f>
      </c>
      <c r="F469" s="177"/>
      <c r="G469" s="119"/>
      <c r="H469" s="119"/>
      <c r="I469" s="7">
        <f>IFERROR(VLOOKUP(H469,H$2:H468,1,FALSE),VLOOKUP(H469,H470:H$478,1,FALSE))</f>
      </c>
      <c r="J469" s="7">
        <f t="shared" si="90"/>
        <v/>
      </c>
      <c r="K469" s="7">
        <f t="shared" si="91"/>
        <v/>
      </c>
      <c r="L469" s="7">
        <f t="shared" si="92"/>
        <v/>
      </c>
      <c r="M469" s="19">
        <f t="shared" si="101"/>
        <v/>
      </c>
      <c r="N469" s="7">
        <f t="shared" si="93"/>
        <v/>
      </c>
      <c r="O469" s="7"/>
      <c r="P469" s="7">
        <f t="shared" si="94"/>
        <v/>
      </c>
      <c r="Q469" s="7">
        <f t="shared" si="95"/>
        <v/>
      </c>
      <c r="R469" s="7">
        <f t="shared" si="98"/>
      </c>
      <c r="S469" s="7">
        <f t="shared" si="99"/>
      </c>
      <c r="T469" s="7">
        <f t="shared" si="100"/>
      </c>
      <c r="U469" s="7">
        <f t="shared" si="96"/>
        <v/>
      </c>
    </row>
    <row r="470" spans="1:21" x14ac:dyDescent="0.3">
      <c r="A470" s="7">
        <f t="shared" si="97"/>
        <v/>
      </c>
      <c r="B470" s="7">
        <f>IF(C470=1,MAX(B$2:$B469)+1,IF(F470=0,"",B469))</f>
        <v/>
      </c>
      <c r="C470" s="7">
        <f>COUNTIF($F$2:$F470,F470)</f>
      </c>
      <c r="D470" s="7">
        <f>IF(F470=0,0,MAX($D$2:D469)+1)</f>
      </c>
      <c r="E470" s="7">
        <f>IF(H470=0,0,MAX($E$2:E469)+1)</f>
      </c>
      <c r="F470" s="177"/>
      <c r="G470" s="119"/>
      <c r="H470" s="119"/>
      <c r="I470" s="7">
        <f>IFERROR(VLOOKUP(H470,H$2:H469,1,FALSE),VLOOKUP(H470,H471:H$478,1,FALSE))</f>
      </c>
      <c r="J470" s="7">
        <f t="shared" si="90"/>
        <v/>
      </c>
      <c r="K470" s="7">
        <f t="shared" si="91"/>
        <v/>
      </c>
      <c r="L470" s="7">
        <f t="shared" si="92"/>
        <v/>
      </c>
      <c r="M470" s="19">
        <f t="shared" si="101"/>
        <v/>
      </c>
      <c r="N470" s="7">
        <f t="shared" si="93"/>
        <v/>
      </c>
      <c r="O470" s="7"/>
      <c r="P470" s="7">
        <f t="shared" si="94"/>
        <v/>
      </c>
      <c r="Q470" s="7">
        <f t="shared" si="95"/>
        <v/>
      </c>
      <c r="R470" s="7">
        <f t="shared" si="98"/>
      </c>
      <c r="S470" s="7">
        <f t="shared" si="99"/>
      </c>
      <c r="T470" s="7">
        <f t="shared" si="100"/>
      </c>
      <c r="U470" s="7">
        <f t="shared" si="96"/>
        <v/>
      </c>
    </row>
    <row r="471" spans="1:21" x14ac:dyDescent="0.3">
      <c r="A471" s="7">
        <f>IF(B471=B477,"",B471)</f>
        <v/>
      </c>
      <c r="B471" s="7">
        <f>IF(C471=1,MAX(B$2:$B470)+1,IF(F471=0,"",B470))</f>
        <v/>
      </c>
      <c r="C471" s="7">
        <f>COUNTIF($F$2:$F471,F471)</f>
      </c>
      <c r="D471" s="7">
        <f>IF(F471=0,0,MAX($D$2:D470)+1)</f>
      </c>
      <c r="E471" s="7">
        <f>IF(H471=0,0,MAX($E$2:E470)+1)</f>
      </c>
      <c r="F471" s="177"/>
      <c r="G471" s="119"/>
      <c r="H471" s="119"/>
      <c r="I471" s="7">
        <f>IFERROR(VLOOKUP(H471,H$2:H470,1,FALSE),VLOOKUP(H471,H472:H$478,1,FALSE))</f>
      </c>
      <c r="J471" s="7">
        <f t="shared" si="90"/>
        <v/>
      </c>
      <c r="K471" s="7">
        <f t="shared" si="91"/>
        <v/>
      </c>
      <c r="L471" s="7">
        <f t="shared" si="92"/>
        <v/>
      </c>
      <c r="M471" s="19">
        <f t="shared" si="101"/>
        <v/>
      </c>
      <c r="N471" s="7">
        <f t="shared" si="93"/>
        <v/>
      </c>
      <c r="O471" s="7"/>
      <c r="P471" s="7">
        <f t="shared" si="94"/>
        <v/>
      </c>
      <c r="Q471" s="7">
        <f t="shared" si="95"/>
        <v/>
      </c>
      <c r="R471" s="7">
        <f t="shared" si="98"/>
      </c>
      <c r="S471" s="7">
        <f t="shared" si="99"/>
      </c>
      <c r="T471" s="7">
        <f t="shared" si="100"/>
      </c>
      <c r="U471" s="7">
        <f t="shared" si="96"/>
        <v/>
      </c>
    </row>
    <row r="472" spans="1:21" x14ac:dyDescent="0.3">
      <c r="A472" s="7">
        <f t="shared" ref="A472:A476" si="102">IF(B472=B478,"",B472)</f>
        <v/>
      </c>
      <c r="B472" s="7">
        <f>IF(C472=1,MAX(B$2:$B471)+1,IF(F472=0,"",B471))</f>
        <v/>
      </c>
      <c r="C472" s="7">
        <f>COUNTIF($F$2:$F472,F472)</f>
      </c>
      <c r="D472" s="7">
        <f>IF(F472=0,0,MAX($D$2:D471)+1)</f>
      </c>
      <c r="E472" s="7">
        <f>IF(H472=0,0,MAX($E$2:E471)+1)</f>
      </c>
      <c r="F472" s="177"/>
      <c r="G472" s="119"/>
      <c r="H472" s="119"/>
      <c r="I472" s="7">
        <f>IFERROR(VLOOKUP(H472,H$2:H471,1,FALSE),VLOOKUP(H472,H473:H$478,1,FALSE))</f>
      </c>
      <c r="J472" s="7">
        <f t="shared" si="90"/>
        <v/>
      </c>
      <c r="K472" s="7">
        <f t="shared" si="91"/>
        <v/>
      </c>
      <c r="L472" s="7">
        <f t="shared" si="92"/>
        <v/>
      </c>
      <c r="M472" s="19">
        <f t="shared" si="101"/>
        <v/>
      </c>
      <c r="N472" s="7">
        <f t="shared" si="93"/>
        <v/>
      </c>
      <c r="O472" s="7"/>
      <c r="P472" s="7">
        <f t="shared" si="94"/>
        <v/>
      </c>
      <c r="Q472" s="7">
        <f t="shared" si="95"/>
        <v/>
      </c>
      <c r="R472" s="7">
        <f t="shared" si="98"/>
      </c>
      <c r="S472" s="7">
        <f t="shared" si="99"/>
      </c>
      <c r="T472" s="7">
        <f t="shared" si="100"/>
      </c>
      <c r="U472" s="7">
        <f t="shared" si="96"/>
        <v/>
      </c>
    </row>
    <row r="473" spans="1:21" x14ac:dyDescent="0.3">
      <c r="A473" s="7">
        <f t="shared" si="102"/>
        <v/>
      </c>
      <c r="B473" s="7">
        <f>IF(C473=1,MAX(B$2:$B472)+1,IF(F473=0,"",B472))</f>
        <v/>
      </c>
      <c r="C473" s="7">
        <f>COUNTIF($F$2:$F473,F473)</f>
      </c>
      <c r="D473" s="7">
        <f>IF(F473=0,0,MAX($D$2:D472)+1)</f>
      </c>
      <c r="E473" s="7">
        <f>IF(H473=0,0,MAX($E$2:E472)+1)</f>
      </c>
      <c r="F473" s="177"/>
      <c r="G473" s="119"/>
      <c r="H473" s="119"/>
      <c r="I473" s="7">
        <f>IFERROR(VLOOKUP(H473,H$2:H472,1,FALSE),VLOOKUP(H473,H474:H$478,1,FALSE))</f>
      </c>
      <c r="J473" s="7">
        <f t="shared" si="90"/>
        <v/>
      </c>
      <c r="K473" s="7">
        <f t="shared" si="91"/>
        <v/>
      </c>
      <c r="L473" s="7">
        <f t="shared" si="92"/>
        <v/>
      </c>
      <c r="M473" s="19">
        <f t="shared" si="101"/>
        <v/>
      </c>
      <c r="N473" s="7">
        <f t="shared" si="93"/>
        <v/>
      </c>
      <c r="O473" s="7"/>
      <c r="P473" s="7">
        <f t="shared" si="94"/>
        <v/>
      </c>
      <c r="Q473" s="7">
        <f t="shared" si="95"/>
        <v/>
      </c>
      <c r="R473" s="7">
        <f t="shared" si="98"/>
      </c>
      <c r="S473" s="7">
        <f t="shared" si="99"/>
      </c>
      <c r="T473" s="7">
        <f t="shared" si="100"/>
      </c>
      <c r="U473" s="7">
        <f t="shared" si="96"/>
        <v/>
      </c>
    </row>
    <row r="474" spans="1:21" x14ac:dyDescent="0.3">
      <c r="A474" s="7">
        <f t="shared" si="102"/>
        <v/>
      </c>
      <c r="B474" s="7">
        <f>IF(C474=1,MAX(B$2:$B473)+1,IF(F474=0,"",B473))</f>
        <v/>
      </c>
      <c r="C474" s="7">
        <f>COUNTIF($F$2:$F474,F474)</f>
      </c>
      <c r="D474" s="7">
        <f>IF(F474=0,0,MAX($D$2:D473)+1)</f>
      </c>
      <c r="E474" s="7">
        <f>IF(H474=0,0,MAX($E$2:E473)+1)</f>
      </c>
      <c r="F474" s="177"/>
      <c r="G474" s="119"/>
      <c r="H474" s="119"/>
      <c r="I474" s="7">
        <f>IFERROR(VLOOKUP(H474,H$2:H473,1,FALSE),VLOOKUP(H474,H475:H$478,1,FALSE))</f>
      </c>
      <c r="J474" s="7">
        <f t="shared" si="90"/>
        <v/>
      </c>
      <c r="K474" s="7">
        <f t="shared" si="91"/>
        <v/>
      </c>
      <c r="L474" s="7">
        <f t="shared" si="92"/>
        <v/>
      </c>
      <c r="M474" s="19">
        <f t="shared" si="101"/>
        <v/>
      </c>
      <c r="N474" s="7">
        <f t="shared" si="93"/>
        <v/>
      </c>
      <c r="O474" s="7"/>
      <c r="P474" s="7">
        <f t="shared" si="94"/>
        <v/>
      </c>
      <c r="Q474" s="7">
        <f t="shared" si="95"/>
        <v/>
      </c>
      <c r="R474" s="7">
        <f t="shared" si="98"/>
      </c>
      <c r="S474" s="7">
        <f t="shared" si="99"/>
      </c>
      <c r="T474" s="7">
        <f t="shared" si="100"/>
      </c>
      <c r="U474" s="7">
        <f t="shared" si="96"/>
        <v/>
      </c>
    </row>
    <row r="475" spans="1:21" x14ac:dyDescent="0.3">
      <c r="A475" s="7">
        <f t="shared" si="102"/>
        <v/>
      </c>
      <c r="B475" s="7">
        <f>IF(C475=1,MAX(B$2:$B474)+1,IF(F475=0,"",B474))</f>
        <v/>
      </c>
      <c r="C475" s="7">
        <f>COUNTIF($F$2:$F475,F475)</f>
      </c>
      <c r="D475" s="7">
        <f>IF(F475=0,0,MAX($D$2:D474)+1)</f>
      </c>
      <c r="E475" s="7">
        <f>IF(H475=0,0,MAX($E$2:E474)+1)</f>
      </c>
      <c r="F475" s="177"/>
      <c r="G475" s="119"/>
      <c r="H475" s="119"/>
      <c r="I475" s="7">
        <f>IFERROR(VLOOKUP(H475,H$2:H474,1,FALSE),VLOOKUP(H475,H476:H$478,1,FALSE))</f>
      </c>
      <c r="J475" s="7">
        <f t="shared" si="90"/>
        <v/>
      </c>
      <c r="K475" s="7">
        <f t="shared" si="91"/>
        <v/>
      </c>
      <c r="L475" s="7">
        <f t="shared" si="92"/>
        <v/>
      </c>
      <c r="M475" s="19">
        <f t="shared" si="101"/>
        <v/>
      </c>
      <c r="N475" s="7">
        <f t="shared" si="93"/>
        <v/>
      </c>
      <c r="O475" s="7"/>
      <c r="P475" s="7">
        <f t="shared" si="94"/>
        <v/>
      </c>
      <c r="Q475" s="7">
        <f t="shared" si="95"/>
        <v/>
      </c>
      <c r="R475" s="7">
        <f t="shared" si="98"/>
      </c>
      <c r="S475" s="7">
        <f t="shared" si="99"/>
      </c>
      <c r="T475" s="7">
        <f t="shared" si="100"/>
      </c>
      <c r="U475" s="7">
        <f t="shared" si="96"/>
        <v/>
      </c>
    </row>
    <row r="476" spans="1:21" x14ac:dyDescent="0.3">
      <c r="A476" s="7">
        <f t="shared" si="102"/>
        <v/>
      </c>
      <c r="B476" s="7">
        <f>IF(C476=1,MAX(B$2:$B475)+1,IF(F476=0,"",B475))</f>
        <v/>
      </c>
      <c r="C476" s="7">
        <f>COUNTIF($F$2:$F476,F476)</f>
      </c>
      <c r="D476" s="7">
        <f>IF(F476=0,0,MAX($D$2:D475)+1)</f>
      </c>
      <c r="E476" s="7">
        <f>IF(H476=0,0,MAX($E$2:E475)+1)</f>
      </c>
      <c r="F476" s="177"/>
      <c r="G476" s="119"/>
      <c r="H476" s="119"/>
      <c r="I476" s="7">
        <f>IFERROR(VLOOKUP(H476,H$2:H475,1,FALSE),VLOOKUP(H476,H477:H$478,1,FALSE))</f>
      </c>
      <c r="J476" s="7">
        <f t="shared" si="90"/>
        <v/>
      </c>
      <c r="K476" s="7">
        <f t="shared" si="91"/>
        <v/>
      </c>
      <c r="L476" s="7">
        <f t="shared" si="92"/>
        <v/>
      </c>
      <c r="M476" s="19">
        <f t="shared" si="101"/>
        <v/>
      </c>
      <c r="N476" s="7">
        <f t="shared" si="93"/>
        <v/>
      </c>
      <c r="O476" s="7"/>
      <c r="P476" s="7">
        <f t="shared" si="94"/>
        <v/>
      </c>
      <c r="Q476" s="7">
        <f t="shared" si="95"/>
        <v/>
      </c>
      <c r="R476" s="7">
        <f t="shared" si="98"/>
      </c>
      <c r="S476" s="7">
        <f t="shared" si="99"/>
      </c>
      <c r="T476" s="7">
        <f t="shared" si="100"/>
      </c>
      <c r="U476" s="7">
        <f t="shared" si="96"/>
        <v/>
      </c>
    </row>
    <row r="477" spans="1:21" x14ac:dyDescent="0.3">
      <c r="A477" s="7">
        <f t="shared" si="97"/>
        <v/>
      </c>
      <c r="B477" s="7">
        <f>IF(C477=1,MAX(B$2:$B471)+1,IF(F477=0,"",B471))</f>
        <v/>
      </c>
      <c r="C477" s="7">
        <f>COUNTIF($F$2:$F477,F477)</f>
      </c>
      <c r="D477" s="7">
        <f>IF(F477=0,0,MAX($D$2:D471)+1)</f>
      </c>
      <c r="E477" s="7">
        <f>IF(H477=0,0,MAX($E$2:E471)+1)</f>
      </c>
      <c r="F477" s="177"/>
      <c r="G477" s="177"/>
      <c r="H477" s="119"/>
      <c r="I477" s="7">
        <f>IFERROR(VLOOKUP(H477,H$2:H476,1,FALSE),VLOOKUP(H477,H478:H$478,1,FALSE))</f>
      </c>
      <c r="J477" s="7">
        <f t="shared" si="90"/>
        <v/>
      </c>
      <c r="K477" s="7">
        <f t="shared" si="91"/>
        <v/>
      </c>
      <c r="L477" s="7">
        <f t="shared" si="92"/>
        <v/>
      </c>
      <c r="M477" s="19">
        <f t="shared" si="101"/>
        <v/>
      </c>
      <c r="N477" s="7">
        <f t="shared" si="93"/>
        <v/>
      </c>
      <c r="O477" s="7"/>
      <c r="P477" s="7">
        <f t="shared" si="94"/>
        <v/>
      </c>
      <c r="Q477" s="7">
        <f t="shared" si="95"/>
        <v/>
      </c>
      <c r="R477" s="7">
        <f t="shared" si="98"/>
      </c>
      <c r="S477" s="7">
        <f t="shared" si="99"/>
      </c>
      <c r="T477" s="7">
        <f t="shared" si="100"/>
      </c>
      <c r="U477" s="7">
        <f t="shared" si="96"/>
        <v/>
      </c>
    </row>
    <row r="478" spans="1:21" s="8" customFormat="1" ht="15" thickBot="1" x14ac:dyDescent="0.35">
      <c r="A478" s="47">
        <f t="shared" si="97"/>
        <v/>
      </c>
      <c r="B478" s="47">
        <f>IF(C478=1,MAX(B$2:$B477)+1,IF(F478=0,"",B477))</f>
        <v/>
      </c>
      <c r="C478" s="47">
        <f>COUNTIF($F$2:$F478,F478)</f>
      </c>
      <c r="D478" s="47">
        <f>IF(F478=0,0,MAX($D$2:D477)+1)</f>
      </c>
      <c r="E478" s="47">
        <f>IF(H478=0,0,MAX($E$2:E477)+1)</f>
      </c>
      <c r="F478" s="196"/>
      <c r="G478" s="175"/>
      <c r="H478" s="119"/>
      <c r="I478" s="47">
        <f>IFERROR(VLOOKUP(H478,H$2:H477,1,FALSE),VLOOKUP(H478,H$478:H479,1,FALSE))</f>
      </c>
      <c r="J478" s="47">
        <f t="shared" si="90"/>
        <v/>
      </c>
      <c r="K478" s="47">
        <f t="shared" si="91"/>
        <v/>
      </c>
      <c r="L478" s="47">
        <f t="shared" si="92"/>
        <v/>
      </c>
      <c r="M478" s="52">
        <f t="shared" si="101"/>
        <v/>
      </c>
      <c r="N478" s="47">
        <f t="shared" si="93"/>
        <v/>
      </c>
      <c r="O478" s="47"/>
      <c r="P478" s="47">
        <f t="shared" si="94"/>
        <v/>
      </c>
      <c r="Q478" s="47">
        <f t="shared" si="95"/>
        <v/>
      </c>
      <c r="R478" s="47">
        <f t="shared" si="98"/>
      </c>
      <c r="S478" s="47">
        <f t="shared" si="99"/>
      </c>
      <c r="T478" s="47">
        <f t="shared" si="100"/>
      </c>
      <c r="U478" s="47">
        <f t="shared" si="96"/>
        <v/>
      </c>
    </row>
    <row r="479" spans="1:21" x14ac:dyDescent="0.3">
      <c r="A479" s="7">
        <f t="shared" ref="A479:A542" si="103">IF(B479=B480,"",B479)</f>
        <v/>
      </c>
      <c r="B479" s="7">
        <f>IF(C479=1,MAX(B$2:$B478)+1,IF(F479=0,"",B478))</f>
        <v/>
      </c>
      <c r="C479" s="7">
        <f>COUNTIF($F$2:$F479,F479)</f>
      </c>
      <c r="D479" s="7">
        <f>IF(F479=0,0,MAX($D$2:D478)+1)</f>
      </c>
      <c r="E479" s="7">
        <f>IF(H479=0,0,MAX($E$2:E478)+1)</f>
      </c>
      <c r="F479" s="177"/>
      <c r="G479" s="177"/>
      <c r="H479" s="172"/>
      <c r="I479" s="7">
        <f>IFERROR(VLOOKUP(H479,H$2:H478,1,FALSE),VLOOKUP(H479,H$478:H480,1,FALSE))</f>
      </c>
      <c r="J479" s="7">
        <f t="shared" si="90"/>
        <v/>
      </c>
      <c r="K479" s="7">
        <f t="shared" si="91"/>
        <v/>
      </c>
      <c r="L479" s="7">
        <f t="shared" si="92"/>
        <v/>
      </c>
      <c r="M479" s="19">
        <f t="shared" ref="M479:M542" si="104">IFERROR(VLOOKUP(H479,Нагрузка_диапазон_1,4,FALSE),"")</f>
        <v/>
      </c>
      <c r="N479" s="7">
        <f t="shared" si="93"/>
        <v/>
      </c>
      <c r="O479" s="7"/>
      <c r="P479" s="7">
        <f t="shared" si="94"/>
        <v/>
      </c>
      <c r="Q479" s="7">
        <f t="shared" si="95"/>
        <v/>
      </c>
      <c r="R479" s="7">
        <f t="shared" ref="R479:R542" si="105">IF(Q479=3,"L1,L2,L3",0)</f>
      </c>
      <c r="S479" s="7">
        <f t="shared" ref="S479:S542" si="106">IF(C479=1,1,IF(Q479=3,S478,IF(S478=3,1,S478+1)))</f>
      </c>
      <c r="T479" s="7">
        <f t="shared" ref="T479:T542" si="107">IF(R479=0,"L"&amp;S479,R479)</f>
      </c>
      <c r="U479" s="7">
        <f t="shared" si="96"/>
        <v/>
      </c>
    </row>
    <row r="480" spans="1:21" x14ac:dyDescent="0.3">
      <c r="A480" s="4">
        <f t="shared" si="103"/>
        <v/>
      </c>
      <c r="B480" s="4">
        <f>IF(C480=1,MAX(B$2:$B479)+1,IF(F480=0,"",B479))</f>
        <v/>
      </c>
      <c r="C480" s="4">
        <f>COUNTIF($F$2:$F480,F480)</f>
      </c>
      <c r="D480" s="4">
        <f>IF(F480=0,0,MAX($D$2:D479)+1)</f>
      </c>
      <c r="E480" s="4">
        <f>IF(H480=0,0,MAX($E$2:E479)+1)</f>
      </c>
      <c r="F480" s="119"/>
      <c r="G480" s="119"/>
      <c r="H480" s="177"/>
      <c r="I480" s="4">
        <f>IFERROR(VLOOKUP(H480,H$2:H479,1,FALSE),VLOOKUP(H480,H$478:H481,1,FALSE))</f>
      </c>
      <c r="J480" s="4">
        <f t="shared" si="90"/>
        <v/>
      </c>
      <c r="K480" s="4">
        <f t="shared" si="91"/>
        <v/>
      </c>
      <c r="L480" s="4">
        <f t="shared" si="92"/>
        <v/>
      </c>
      <c r="M480" s="5">
        <f t="shared" si="104"/>
        <v/>
      </c>
      <c r="N480" s="4">
        <f t="shared" si="93"/>
        <v/>
      </c>
      <c r="O480" s="4"/>
      <c r="P480" s="4">
        <f t="shared" si="94"/>
        <v/>
      </c>
      <c r="Q480" s="4">
        <f t="shared" si="95"/>
        <v/>
      </c>
      <c r="R480" s="4">
        <f t="shared" si="105"/>
      </c>
      <c r="S480" s="4">
        <f t="shared" si="106"/>
      </c>
      <c r="T480" s="4">
        <f t="shared" si="107"/>
      </c>
      <c r="U480" s="4">
        <f t="shared" si="96"/>
        <v/>
      </c>
    </row>
    <row r="481" spans="1:21" x14ac:dyDescent="0.3">
      <c r="A481" s="4">
        <f t="shared" si="103"/>
        <v/>
      </c>
      <c r="B481" s="4">
        <f>IF(C481=1,MAX(B$2:$B480)+1,IF(F481=0,"",B480))</f>
        <v/>
      </c>
      <c r="C481" s="4">
        <f>COUNTIF($F$2:$F481,F481)</f>
      </c>
      <c r="D481" s="4">
        <f>IF(F481=0,0,MAX($D$2:D480)+1)</f>
      </c>
      <c r="E481" s="4">
        <f>IF(H481=0,0,MAX($E$2:E480)+1)</f>
      </c>
      <c r="F481" s="119"/>
      <c r="G481" s="119"/>
      <c r="H481" s="119"/>
      <c r="I481" s="4">
        <f>IFERROR(VLOOKUP(H481,H$2:H480,1,FALSE),VLOOKUP(H481,H$478:H482,1,FALSE))</f>
      </c>
      <c r="J481" s="4">
        <f t="shared" si="90"/>
        <v/>
      </c>
      <c r="K481" s="4">
        <f t="shared" si="91"/>
        <v/>
      </c>
      <c r="L481" s="4">
        <f t="shared" si="92"/>
        <v/>
      </c>
      <c r="M481" s="5">
        <f t="shared" si="104"/>
        <v/>
      </c>
      <c r="N481" s="4">
        <f t="shared" si="93"/>
        <v/>
      </c>
      <c r="O481" s="4"/>
      <c r="P481" s="4">
        <f t="shared" si="94"/>
        <v/>
      </c>
      <c r="Q481" s="4">
        <f t="shared" si="95"/>
        <v/>
      </c>
      <c r="R481" s="4">
        <f t="shared" si="105"/>
      </c>
      <c r="S481" s="4">
        <f t="shared" si="106"/>
      </c>
      <c r="T481" s="4">
        <f t="shared" si="107"/>
      </c>
      <c r="U481" s="4">
        <f t="shared" si="96"/>
        <v/>
      </c>
    </row>
    <row r="482" spans="1:21" x14ac:dyDescent="0.3">
      <c r="A482" s="4">
        <f t="shared" si="103"/>
        <v/>
      </c>
      <c r="B482" s="4">
        <f>IF(C482=1,MAX(B$2:$B481)+1,IF(F482=0,"",B481))</f>
        <v/>
      </c>
      <c r="C482" s="4">
        <f>COUNTIF($F$2:$F482,F482)</f>
      </c>
      <c r="D482" s="4">
        <f>IF(F482=0,0,MAX($D$2:D481)+1)</f>
      </c>
      <c r="E482" s="4">
        <f>IF(H482=0,0,MAX($E$2:E481)+1)</f>
      </c>
      <c r="F482" s="119"/>
      <c r="G482" s="119"/>
      <c r="H482" s="119"/>
      <c r="I482" s="4">
        <f>IFERROR(VLOOKUP(H482,H$2:H481,1,FALSE),VLOOKUP(H482,H$478:H483,1,FALSE))</f>
      </c>
      <c r="J482" s="4">
        <f t="shared" si="90"/>
        <v/>
      </c>
      <c r="K482" s="4">
        <f t="shared" si="91"/>
        <v/>
      </c>
      <c r="L482" s="4">
        <f t="shared" si="92"/>
        <v/>
      </c>
      <c r="M482" s="5">
        <f t="shared" si="104"/>
        <v/>
      </c>
      <c r="N482" s="4">
        <f t="shared" si="93"/>
        <v/>
      </c>
      <c r="O482" s="4"/>
      <c r="P482" s="4">
        <f t="shared" si="94"/>
        <v/>
      </c>
      <c r="Q482" s="4">
        <f t="shared" si="95"/>
        <v/>
      </c>
      <c r="R482" s="4">
        <f t="shared" si="105"/>
      </c>
      <c r="S482" s="4">
        <f t="shared" si="106"/>
      </c>
      <c r="T482" s="4">
        <f t="shared" si="107"/>
      </c>
      <c r="U482" s="4">
        <f t="shared" si="96"/>
        <v/>
      </c>
    </row>
    <row r="483" spans="1:21" x14ac:dyDescent="0.3">
      <c r="A483" s="4">
        <f t="shared" si="103"/>
        <v/>
      </c>
      <c r="B483" s="4">
        <f>IF(C483=1,MAX(B$2:$B482)+1,IF(F483=0,"",B482))</f>
        <v/>
      </c>
      <c r="C483" s="4">
        <f>COUNTIF($F$2:$F483,F483)</f>
      </c>
      <c r="D483" s="4">
        <f>IF(F483=0,0,MAX($D$2:D482)+1)</f>
      </c>
      <c r="E483" s="4">
        <f>IF(H483=0,0,MAX($E$2:E482)+1)</f>
      </c>
      <c r="F483" s="119"/>
      <c r="G483" s="119"/>
      <c r="H483" s="119"/>
      <c r="I483" s="4">
        <f>IFERROR(VLOOKUP(H483,H$2:H482,1,FALSE),VLOOKUP(H483,H$478:H484,1,FALSE))</f>
      </c>
      <c r="J483" s="4">
        <f t="shared" si="90"/>
        <v/>
      </c>
      <c r="K483" s="4">
        <f t="shared" si="91"/>
        <v/>
      </c>
      <c r="L483" s="4">
        <f t="shared" si="92"/>
        <v/>
      </c>
      <c r="M483" s="5">
        <f t="shared" si="104"/>
        <v/>
      </c>
      <c r="N483" s="4">
        <f t="shared" si="93"/>
        <v/>
      </c>
      <c r="O483" s="4"/>
      <c r="P483" s="4">
        <f t="shared" si="94"/>
        <v/>
      </c>
      <c r="Q483" s="4">
        <f t="shared" si="95"/>
        <v/>
      </c>
      <c r="R483" s="4">
        <f t="shared" si="105"/>
      </c>
      <c r="S483" s="4">
        <f t="shared" si="106"/>
      </c>
      <c r="T483" s="4">
        <f t="shared" si="107"/>
      </c>
      <c r="U483" s="4">
        <f t="shared" si="96"/>
        <v/>
      </c>
    </row>
    <row r="484" spans="1:21" x14ac:dyDescent="0.3">
      <c r="A484" s="4">
        <f t="shared" si="103"/>
        <v/>
      </c>
      <c r="B484" s="4">
        <f>IF(C484=1,MAX(B$2:$B483)+1,IF(F484=0,"",B483))</f>
        <v/>
      </c>
      <c r="C484" s="4">
        <f>COUNTIF($F$2:$F484,F484)</f>
      </c>
      <c r="D484" s="4">
        <f>IF(F484=0,0,MAX($D$2:D483)+1)</f>
      </c>
      <c r="E484" s="4">
        <f>IF(H484=0,0,MAX($E$2:E483)+1)</f>
      </c>
      <c r="F484" s="119"/>
      <c r="G484" s="119"/>
      <c r="H484" s="119"/>
      <c r="I484" s="4">
        <f>IFERROR(VLOOKUP(H484,H$2:H483,1,FALSE),VLOOKUP(H484,H$478:H485,1,FALSE))</f>
      </c>
      <c r="J484" s="4">
        <f t="shared" si="90"/>
        <v/>
      </c>
      <c r="K484" s="4">
        <f t="shared" si="91"/>
        <v/>
      </c>
      <c r="L484" s="4">
        <f t="shared" si="92"/>
        <v/>
      </c>
      <c r="M484" s="5">
        <f t="shared" si="104"/>
        <v/>
      </c>
      <c r="N484" s="4">
        <f t="shared" si="93"/>
        <v/>
      </c>
      <c r="O484" s="4"/>
      <c r="P484" s="4">
        <f t="shared" si="94"/>
        <v/>
      </c>
      <c r="Q484" s="4">
        <f t="shared" si="95"/>
        <v/>
      </c>
      <c r="R484" s="4">
        <f t="shared" si="105"/>
      </c>
      <c r="S484" s="4">
        <f t="shared" si="106"/>
      </c>
      <c r="T484" s="4">
        <f t="shared" si="107"/>
      </c>
      <c r="U484" s="4">
        <f t="shared" si="96"/>
        <v/>
      </c>
    </row>
    <row r="485" spans="1:21" x14ac:dyDescent="0.3">
      <c r="A485" s="4">
        <f t="shared" si="103"/>
        <v/>
      </c>
      <c r="B485" s="4">
        <f>IF(C485=1,MAX(B$2:$B484)+1,IF(F485=0,"",B484))</f>
        <v/>
      </c>
      <c r="C485" s="4">
        <f>COUNTIF($F$2:$F485,F485)</f>
      </c>
      <c r="D485" s="4">
        <f>IF(F485=0,0,MAX($D$2:D484)+1)</f>
      </c>
      <c r="E485" s="4">
        <f>IF(H485=0,0,MAX($E$2:E484)+1)</f>
      </c>
      <c r="F485" s="119"/>
      <c r="G485" s="119"/>
      <c r="H485" s="119"/>
      <c r="I485" s="4">
        <f>IFERROR(VLOOKUP(H485,H$2:H484,1,FALSE),VLOOKUP(H485,H$478:H486,1,FALSE))</f>
      </c>
      <c r="J485" s="4">
        <f t="shared" si="90"/>
        <v/>
      </c>
      <c r="K485" s="4">
        <f t="shared" si="91"/>
        <v/>
      </c>
      <c r="L485" s="4">
        <f t="shared" si="92"/>
        <v/>
      </c>
      <c r="M485" s="5">
        <f t="shared" si="104"/>
        <v/>
      </c>
      <c r="N485" s="4">
        <f t="shared" si="93"/>
        <v/>
      </c>
      <c r="O485" s="4"/>
      <c r="P485" s="4">
        <f t="shared" si="94"/>
        <v/>
      </c>
      <c r="Q485" s="4">
        <f t="shared" si="95"/>
        <v/>
      </c>
      <c r="R485" s="4">
        <f t="shared" si="105"/>
      </c>
      <c r="S485" s="4">
        <f t="shared" si="106"/>
      </c>
      <c r="T485" s="4">
        <f t="shared" si="107"/>
      </c>
      <c r="U485" s="4">
        <f t="shared" si="96"/>
        <v/>
      </c>
    </row>
    <row r="486" spans="1:21" x14ac:dyDescent="0.3">
      <c r="A486" s="4">
        <f t="shared" si="103"/>
        <v/>
      </c>
      <c r="B486" s="4">
        <f>IF(C486=1,MAX(B$2:$B485)+1,IF(F486=0,"",B485))</f>
        <v/>
      </c>
      <c r="C486" s="4">
        <f>COUNTIF($F$2:$F486,F486)</f>
      </c>
      <c r="D486" s="4">
        <f>IF(F486=0,0,MAX($D$2:D485)+1)</f>
      </c>
      <c r="E486" s="4">
        <f>IF(H486=0,0,MAX($E$2:E485)+1)</f>
      </c>
      <c r="F486" s="119"/>
      <c r="G486" s="119"/>
      <c r="H486" s="119"/>
      <c r="I486" s="4">
        <f>IFERROR(VLOOKUP(H486,H$2:H485,1,FALSE),VLOOKUP(H486,H$478:H487,1,FALSE))</f>
      </c>
      <c r="J486" s="4">
        <f t="shared" si="90"/>
        <v/>
      </c>
      <c r="K486" s="4">
        <f t="shared" si="91"/>
        <v/>
      </c>
      <c r="L486" s="4">
        <f t="shared" si="92"/>
        <v/>
      </c>
      <c r="M486" s="5">
        <f t="shared" si="104"/>
        <v/>
      </c>
      <c r="N486" s="4">
        <f t="shared" si="93"/>
        <v/>
      </c>
      <c r="O486" s="4"/>
      <c r="P486" s="4">
        <f t="shared" si="94"/>
        <v/>
      </c>
      <c r="Q486" s="4">
        <f t="shared" si="95"/>
        <v/>
      </c>
      <c r="R486" s="4">
        <f t="shared" si="105"/>
      </c>
      <c r="S486" s="4">
        <f t="shared" si="106"/>
      </c>
      <c r="T486" s="4">
        <f t="shared" si="107"/>
      </c>
      <c r="U486" s="4">
        <f t="shared" si="96"/>
        <v/>
      </c>
    </row>
    <row r="487" spans="1:21" x14ac:dyDescent="0.3">
      <c r="A487" s="4">
        <f t="shared" si="103"/>
        <v/>
      </c>
      <c r="B487" s="4">
        <f>IF(C487=1,MAX(B$2:$B486)+1,IF(F487=0,"",B486))</f>
        <v/>
      </c>
      <c r="C487" s="4">
        <f>COUNTIF($F$2:$F487,F487)</f>
      </c>
      <c r="D487" s="4">
        <f>IF(F487=0,0,MAX($D$2:D486)+1)</f>
      </c>
      <c r="E487" s="4">
        <f>IF(H487=0,0,MAX($E$2:E486)+1)</f>
      </c>
      <c r="F487" s="119"/>
      <c r="G487" s="119"/>
      <c r="H487" s="119"/>
      <c r="I487" s="4">
        <f>IFERROR(VLOOKUP(H487,H$2:H486,1,FALSE),VLOOKUP(H487,H$478:H488,1,FALSE))</f>
      </c>
      <c r="J487" s="4">
        <f t="shared" si="90"/>
        <v/>
      </c>
      <c r="K487" s="4">
        <f t="shared" si="91"/>
        <v/>
      </c>
      <c r="L487" s="4">
        <f t="shared" si="92"/>
        <v/>
      </c>
      <c r="M487" s="5">
        <f t="shared" si="104"/>
        <v/>
      </c>
      <c r="N487" s="4">
        <f t="shared" si="93"/>
        <v/>
      </c>
      <c r="O487" s="4"/>
      <c r="P487" s="4">
        <f t="shared" si="94"/>
        <v/>
      </c>
      <c r="Q487" s="4">
        <f t="shared" si="95"/>
        <v/>
      </c>
      <c r="R487" s="4">
        <f t="shared" si="105"/>
      </c>
      <c r="S487" s="4">
        <f t="shared" si="106"/>
      </c>
      <c r="T487" s="4">
        <f t="shared" si="107"/>
      </c>
      <c r="U487" s="4">
        <f t="shared" si="96"/>
        <v/>
      </c>
    </row>
    <row r="488" spans="1:21" x14ac:dyDescent="0.3">
      <c r="A488" s="4">
        <f t="shared" si="103"/>
        <v/>
      </c>
      <c r="B488" s="4">
        <f>IF(C488=1,MAX(B$2:$B487)+1,IF(F488=0,"",B487))</f>
        <v/>
      </c>
      <c r="C488" s="4">
        <f>COUNTIF($F$2:$F488,F488)</f>
      </c>
      <c r="D488" s="4">
        <f>IF(F488=0,0,MAX($D$2:D487)+1)</f>
      </c>
      <c r="E488" s="4">
        <f>IF(H488=0,0,MAX($E$2:E487)+1)</f>
      </c>
      <c r="F488" s="119"/>
      <c r="G488" s="119"/>
      <c r="H488" s="119"/>
      <c r="I488" s="4">
        <f>IFERROR(VLOOKUP(H488,H$2:H487,1,FALSE),VLOOKUP(H488,H$478:H489,1,FALSE))</f>
      </c>
      <c r="J488" s="4">
        <f t="shared" si="90"/>
        <v/>
      </c>
      <c r="K488" s="4">
        <f t="shared" si="91"/>
        <v/>
      </c>
      <c r="L488" s="4">
        <f t="shared" si="92"/>
        <v/>
      </c>
      <c r="M488" s="5">
        <f t="shared" si="104"/>
        <v/>
      </c>
      <c r="N488" s="4">
        <f t="shared" si="93"/>
        <v/>
      </c>
      <c r="O488" s="4"/>
      <c r="P488" s="4">
        <f t="shared" si="94"/>
        <v/>
      </c>
      <c r="Q488" s="4">
        <f t="shared" si="95"/>
        <v/>
      </c>
      <c r="R488" s="4">
        <f t="shared" si="105"/>
      </c>
      <c r="S488" s="4">
        <f t="shared" si="106"/>
      </c>
      <c r="T488" s="4">
        <f t="shared" si="107"/>
      </c>
      <c r="U488" s="4">
        <f t="shared" si="96"/>
        <v/>
      </c>
    </row>
    <row r="489" spans="1:21" x14ac:dyDescent="0.3">
      <c r="A489" s="4">
        <f t="shared" si="103"/>
        <v/>
      </c>
      <c r="B489" s="4">
        <f>IF(C489=1,MAX(B$2:$B488)+1,IF(F489=0,"",B488))</f>
        <v/>
      </c>
      <c r="C489" s="4">
        <f>COUNTIF($F$2:$F489,F489)</f>
      </c>
      <c r="D489" s="4">
        <f>IF(F489=0,0,MAX($D$2:D488)+1)</f>
      </c>
      <c r="E489" s="4">
        <f>IF(H489=0,0,MAX($E$2:E488)+1)</f>
      </c>
      <c r="F489" s="119"/>
      <c r="G489" s="119"/>
      <c r="H489" s="119"/>
      <c r="I489" s="4">
        <f>IFERROR(VLOOKUP(H489,H$2:H488,1,FALSE),VLOOKUP(H489,H$478:H490,1,FALSE))</f>
      </c>
      <c r="J489" s="4">
        <f t="shared" si="90"/>
        <v/>
      </c>
      <c r="K489" s="4">
        <f t="shared" si="91"/>
        <v/>
      </c>
      <c r="L489" s="4">
        <f t="shared" si="92"/>
        <v/>
      </c>
      <c r="M489" s="5">
        <f t="shared" si="104"/>
        <v/>
      </c>
      <c r="N489" s="4">
        <f t="shared" si="93"/>
        <v/>
      </c>
      <c r="O489" s="4"/>
      <c r="P489" s="4">
        <f t="shared" si="94"/>
        <v/>
      </c>
      <c r="Q489" s="4">
        <f t="shared" si="95"/>
        <v/>
      </c>
      <c r="R489" s="4">
        <f t="shared" si="105"/>
      </c>
      <c r="S489" s="4">
        <f t="shared" si="106"/>
      </c>
      <c r="T489" s="4">
        <f t="shared" si="107"/>
      </c>
      <c r="U489" s="4">
        <f t="shared" si="96"/>
        <v/>
      </c>
    </row>
    <row r="490" spans="1:21" x14ac:dyDescent="0.3">
      <c r="A490" s="4">
        <f t="shared" si="103"/>
        <v/>
      </c>
      <c r="B490" s="4">
        <f>IF(C490=1,MAX(B$2:$B489)+1,IF(F490=0,"",B489))</f>
        <v/>
      </c>
      <c r="C490" s="4">
        <f>COUNTIF($F$2:$F490,F490)</f>
      </c>
      <c r="D490" s="4">
        <f>IF(F490=0,0,MAX($D$2:D489)+1)</f>
      </c>
      <c r="E490" s="4">
        <f>IF(H490=0,0,MAX($E$2:E489)+1)</f>
      </c>
      <c r="F490" s="119"/>
      <c r="G490" s="119"/>
      <c r="H490" s="119"/>
      <c r="I490" s="4">
        <f>IFERROR(VLOOKUP(H490,H$2:H489,1,FALSE),VLOOKUP(H490,H$478:H491,1,FALSE))</f>
      </c>
      <c r="J490" s="4">
        <f t="shared" si="90"/>
        <v/>
      </c>
      <c r="K490" s="4">
        <f t="shared" si="91"/>
        <v/>
      </c>
      <c r="L490" s="4">
        <f t="shared" si="92"/>
        <v/>
      </c>
      <c r="M490" s="5">
        <f t="shared" si="104"/>
        <v/>
      </c>
      <c r="N490" s="4">
        <f t="shared" si="93"/>
        <v/>
      </c>
      <c r="O490" s="4"/>
      <c r="P490" s="4">
        <f t="shared" si="94"/>
        <v/>
      </c>
      <c r="Q490" s="4">
        <f t="shared" si="95"/>
        <v/>
      </c>
      <c r="R490" s="4">
        <f t="shared" si="105"/>
      </c>
      <c r="S490" s="4">
        <f t="shared" si="106"/>
      </c>
      <c r="T490" s="4">
        <f t="shared" si="107"/>
      </c>
      <c r="U490" s="4">
        <f t="shared" si="96"/>
        <v/>
      </c>
    </row>
    <row r="491" spans="1:21" x14ac:dyDescent="0.3">
      <c r="A491" s="4">
        <f t="shared" si="103"/>
        <v/>
      </c>
      <c r="B491" s="4">
        <f>IF(C491=1,MAX(B$2:$B490)+1,IF(F491=0,"",B490))</f>
        <v/>
      </c>
      <c r="C491" s="4">
        <f>COUNTIF($F$2:$F491,F491)</f>
      </c>
      <c r="D491" s="4">
        <f>IF(F491=0,0,MAX($D$2:D490)+1)</f>
      </c>
      <c r="E491" s="4">
        <f>IF(H491=0,0,MAX($E$2:E490)+1)</f>
      </c>
      <c r="F491" s="119"/>
      <c r="G491" s="119"/>
      <c r="H491" s="119"/>
      <c r="I491" s="4">
        <f>IFERROR(VLOOKUP(H491,H$2:H490,1,FALSE),VLOOKUP(H491,H$478:H492,1,FALSE))</f>
      </c>
      <c r="J491" s="4">
        <f t="shared" si="90"/>
        <v/>
      </c>
      <c r="K491" s="4">
        <f t="shared" si="91"/>
        <v/>
      </c>
      <c r="L491" s="4">
        <f t="shared" si="92"/>
        <v/>
      </c>
      <c r="M491" s="5">
        <f t="shared" si="104"/>
        <v/>
      </c>
      <c r="N491" s="4">
        <f t="shared" si="93"/>
        <v/>
      </c>
      <c r="O491" s="4"/>
      <c r="P491" s="4">
        <f t="shared" si="94"/>
        <v/>
      </c>
      <c r="Q491" s="4">
        <f t="shared" si="95"/>
        <v/>
      </c>
      <c r="R491" s="4">
        <f t="shared" si="105"/>
      </c>
      <c r="S491" s="4">
        <f t="shared" si="106"/>
      </c>
      <c r="T491" s="4">
        <f t="shared" si="107"/>
      </c>
      <c r="U491" s="4">
        <f t="shared" si="96"/>
        <v/>
      </c>
    </row>
    <row r="492" spans="1:21" x14ac:dyDescent="0.3">
      <c r="A492" s="4">
        <f t="shared" si="103"/>
        <v/>
      </c>
      <c r="B492" s="4">
        <f>IF(C492=1,MAX(B$2:$B491)+1,IF(F492=0,"",B491))</f>
        <v/>
      </c>
      <c r="C492" s="4">
        <f>COUNTIF($F$2:$F492,F492)</f>
      </c>
      <c r="D492" s="4">
        <f>IF(F492=0,0,MAX($D$2:D491)+1)</f>
      </c>
      <c r="E492" s="4">
        <f>IF(H492=0,0,MAX($E$2:E491)+1)</f>
      </c>
      <c r="F492" s="119"/>
      <c r="G492" s="119"/>
      <c r="H492" s="119"/>
      <c r="I492" s="4">
        <f>IFERROR(VLOOKUP(H492,H$2:H491,1,FALSE),VLOOKUP(H492,H$478:H493,1,FALSE))</f>
      </c>
      <c r="J492" s="4">
        <f t="shared" si="90"/>
        <v/>
      </c>
      <c r="K492" s="4">
        <f t="shared" si="91"/>
        <v/>
      </c>
      <c r="L492" s="4">
        <f t="shared" si="92"/>
        <v/>
      </c>
      <c r="M492" s="5">
        <f t="shared" si="104"/>
        <v/>
      </c>
      <c r="N492" s="4">
        <f t="shared" si="93"/>
        <v/>
      </c>
      <c r="O492" s="4"/>
      <c r="P492" s="4">
        <f t="shared" si="94"/>
        <v/>
      </c>
      <c r="Q492" s="4">
        <f t="shared" si="95"/>
        <v/>
      </c>
      <c r="R492" s="4">
        <f t="shared" si="105"/>
      </c>
      <c r="S492" s="4">
        <f t="shared" si="106"/>
      </c>
      <c r="T492" s="4">
        <f t="shared" si="107"/>
      </c>
      <c r="U492" s="4">
        <f t="shared" si="96"/>
        <v/>
      </c>
    </row>
    <row r="493" spans="1:21" x14ac:dyDescent="0.3">
      <c r="A493" s="4">
        <f t="shared" si="103"/>
        <v/>
      </c>
      <c r="B493" s="4">
        <f>IF(C493=1,MAX(B$2:$B492)+1,IF(F493=0,"",B492))</f>
        <v/>
      </c>
      <c r="C493" s="4">
        <f>COUNTIF($F$2:$F493,F493)</f>
      </c>
      <c r="D493" s="4">
        <f>IF(F493=0,0,MAX($D$2:D492)+1)</f>
      </c>
      <c r="E493" s="4">
        <f>IF(H493=0,0,MAX($E$2:E492)+1)</f>
      </c>
      <c r="F493" s="119"/>
      <c r="G493" s="119"/>
      <c r="H493" s="119"/>
      <c r="I493" s="4">
        <f>IFERROR(VLOOKUP(H493,H$2:H492,1,FALSE),VLOOKUP(H493,H$478:H494,1,FALSE))</f>
      </c>
      <c r="J493" s="4">
        <f t="shared" si="90"/>
        <v/>
      </c>
      <c r="K493" s="4">
        <f t="shared" si="91"/>
        <v/>
      </c>
      <c r="L493" s="4">
        <f t="shared" si="92"/>
        <v/>
      </c>
      <c r="M493" s="5">
        <f t="shared" si="104"/>
        <v/>
      </c>
      <c r="N493" s="4">
        <f t="shared" si="93"/>
        <v/>
      </c>
      <c r="O493" s="4"/>
      <c r="P493" s="4">
        <f t="shared" si="94"/>
        <v/>
      </c>
      <c r="Q493" s="4">
        <f t="shared" si="95"/>
        <v/>
      </c>
      <c r="R493" s="4">
        <f t="shared" si="105"/>
      </c>
      <c r="S493" s="4">
        <f t="shared" si="106"/>
      </c>
      <c r="T493" s="4">
        <f t="shared" si="107"/>
      </c>
      <c r="U493" s="4">
        <f t="shared" si="96"/>
        <v/>
      </c>
    </row>
    <row r="494" spans="1:21" x14ac:dyDescent="0.3">
      <c r="A494" s="4">
        <f t="shared" si="103"/>
        <v/>
      </c>
      <c r="B494" s="4">
        <f>IF(C494=1,MAX(B$2:$B493)+1,IF(F494=0,"",B493))</f>
        <v/>
      </c>
      <c r="C494" s="4">
        <f>COUNTIF($F$2:$F494,F494)</f>
      </c>
      <c r="D494" s="4">
        <f>IF(F494=0,0,MAX($D$2:D493)+1)</f>
      </c>
      <c r="E494" s="4">
        <f>IF(H494=0,0,MAX($E$2:E493)+1)</f>
      </c>
      <c r="F494" s="119"/>
      <c r="G494" s="119"/>
      <c r="H494" s="119"/>
      <c r="I494" s="4">
        <f>IFERROR(VLOOKUP(H494,H$2:H493,1,FALSE),VLOOKUP(H494,H$478:H495,1,FALSE))</f>
      </c>
      <c r="J494" s="4">
        <f t="shared" si="90"/>
        <v/>
      </c>
      <c r="K494" s="4">
        <f t="shared" si="91"/>
        <v/>
      </c>
      <c r="L494" s="4">
        <f t="shared" si="92"/>
        <v/>
      </c>
      <c r="M494" s="5">
        <f t="shared" si="104"/>
        <v/>
      </c>
      <c r="N494" s="4">
        <f t="shared" si="93"/>
        <v/>
      </c>
      <c r="O494" s="4"/>
      <c r="P494" s="4">
        <f t="shared" si="94"/>
        <v/>
      </c>
      <c r="Q494" s="4">
        <f t="shared" si="95"/>
        <v/>
      </c>
      <c r="R494" s="4">
        <f t="shared" si="105"/>
      </c>
      <c r="S494" s="4">
        <f t="shared" si="106"/>
      </c>
      <c r="T494" s="4">
        <f t="shared" si="107"/>
      </c>
      <c r="U494" s="4">
        <f t="shared" si="96"/>
        <v/>
      </c>
    </row>
    <row r="495" spans="1:21" ht="15" thickBot="1" x14ac:dyDescent="0.35">
      <c r="A495" s="4">
        <f t="shared" si="103"/>
        <v/>
      </c>
      <c r="B495" s="4">
        <f>IF(C495=1,MAX(B$2:$B494)+1,IF(F495=0,"",B494))</f>
        <v/>
      </c>
      <c r="C495" s="4">
        <f>COUNTIF($F$2:$F495,F495)</f>
      </c>
      <c r="D495" s="4">
        <f>IF(F495=0,0,MAX($D$2:D494)+1)</f>
      </c>
      <c r="E495" s="4">
        <f>IF(H495=0,0,MAX($E$2:E494)+1)</f>
      </c>
      <c r="F495" s="119"/>
      <c r="G495" s="119"/>
      <c r="H495" s="119"/>
      <c r="I495" s="4">
        <f>IFERROR(VLOOKUP(H495,H$2:H494,1,FALSE),VLOOKUP(H495,H$478:H496,1,FALSE))</f>
      </c>
      <c r="J495" s="4">
        <f t="shared" si="90"/>
        <v/>
      </c>
      <c r="K495" s="4">
        <f t="shared" si="91"/>
        <v/>
      </c>
      <c r="L495" s="4">
        <f t="shared" si="92"/>
        <v/>
      </c>
      <c r="M495" s="5">
        <f t="shared" si="104"/>
        <v/>
      </c>
      <c r="N495" s="4">
        <f t="shared" si="93"/>
        <v/>
      </c>
      <c r="O495" s="4"/>
      <c r="P495" s="4">
        <f t="shared" si="94"/>
        <v/>
      </c>
      <c r="Q495" s="4">
        <f t="shared" si="95"/>
        <v/>
      </c>
      <c r="R495" s="4">
        <f t="shared" si="105"/>
      </c>
      <c r="S495" s="4">
        <f t="shared" si="106"/>
      </c>
      <c r="T495" s="4">
        <f t="shared" si="107"/>
      </c>
      <c r="U495" s="4">
        <f t="shared" si="96"/>
        <v/>
      </c>
    </row>
    <row r="496" spans="1:21" x14ac:dyDescent="0.3">
      <c r="A496" s="4">
        <f t="shared" si="103"/>
        <v/>
      </c>
      <c r="B496" s="4">
        <f>IF(C496=1,MAX(B$2:$B495)+1,IF(F496=0,"",B495))</f>
        <v/>
      </c>
      <c r="C496" s="4">
        <f>COUNTIF($F$2:$F496,F496)</f>
      </c>
      <c r="D496" s="4">
        <f>IF(F496=0,0,MAX($D$2:D495)+1)</f>
      </c>
      <c r="E496" s="4">
        <f>IF(H496=0,0,MAX($E$2:E495)+1)</f>
      </c>
      <c r="F496" s="119"/>
      <c r="G496" s="119"/>
      <c r="H496" s="172"/>
      <c r="I496" s="4">
        <f>IFERROR(VLOOKUP(H496,H$2:H495,1,FALSE),VLOOKUP(H496,H$478:H497,1,FALSE))</f>
      </c>
      <c r="J496" s="4">
        <f t="shared" si="90"/>
        <v/>
      </c>
      <c r="K496" s="4">
        <f t="shared" si="91"/>
        <v/>
      </c>
      <c r="L496" s="4">
        <f t="shared" si="92"/>
        <v/>
      </c>
      <c r="M496" s="5">
        <f t="shared" si="104"/>
        <v/>
      </c>
      <c r="N496" s="4">
        <f t="shared" si="93"/>
        <v/>
      </c>
      <c r="O496" s="4"/>
      <c r="P496" s="4">
        <f t="shared" si="94"/>
        <v/>
      </c>
      <c r="Q496" s="4">
        <f t="shared" si="95"/>
        <v/>
      </c>
      <c r="R496" s="4">
        <f t="shared" si="105"/>
      </c>
      <c r="S496" s="4">
        <f t="shared" si="106"/>
      </c>
      <c r="T496" s="4">
        <f t="shared" si="107"/>
      </c>
      <c r="U496" s="4">
        <f t="shared" si="96"/>
        <v/>
      </c>
    </row>
    <row r="497" spans="1:21" x14ac:dyDescent="0.3">
      <c r="A497" s="4">
        <f t="shared" si="103"/>
        <v/>
      </c>
      <c r="B497" s="4">
        <f>IF(C497=1,MAX(B$2:$B496)+1,IF(F497=0,"",B496))</f>
        <v/>
      </c>
      <c r="C497" s="4">
        <f>COUNTIF($F$2:$F497,F497)</f>
      </c>
      <c r="D497" s="4">
        <f>IF(F497=0,0,MAX($D$2:D496)+1)</f>
      </c>
      <c r="E497" s="4">
        <f>IF(H497=0,0,MAX($E$2:E496)+1)</f>
      </c>
      <c r="F497" s="119"/>
      <c r="G497" s="119"/>
      <c r="H497" s="119"/>
      <c r="I497" s="4">
        <f>IFERROR(VLOOKUP(H497,H$2:H496,1,FALSE),VLOOKUP(H497,H$478:H498,1,FALSE))</f>
      </c>
      <c r="J497" s="4">
        <f t="shared" si="90"/>
        <v/>
      </c>
      <c r="K497" s="4">
        <f t="shared" si="91"/>
        <v/>
      </c>
      <c r="L497" s="4">
        <f t="shared" si="92"/>
        <v/>
      </c>
      <c r="M497" s="5">
        <f t="shared" si="104"/>
        <v/>
      </c>
      <c r="N497" s="4">
        <f t="shared" si="93"/>
        <v/>
      </c>
      <c r="O497" s="4"/>
      <c r="P497" s="4">
        <f t="shared" si="94"/>
        <v/>
      </c>
      <c r="Q497" s="4">
        <f t="shared" si="95"/>
        <v/>
      </c>
      <c r="R497" s="4">
        <f t="shared" si="105"/>
      </c>
      <c r="S497" s="4">
        <f t="shared" si="106"/>
      </c>
      <c r="T497" s="4">
        <f t="shared" si="107"/>
      </c>
      <c r="U497" s="4">
        <f t="shared" si="96"/>
        <v/>
      </c>
    </row>
    <row r="498" spans="1:21" x14ac:dyDescent="0.3">
      <c r="A498" s="4">
        <f t="shared" si="103"/>
        <v/>
      </c>
      <c r="B498" s="4">
        <f>IF(C498=1,MAX(B$2:$B497)+1,IF(F498=0,"",B497))</f>
        <v/>
      </c>
      <c r="C498" s="4">
        <f>COUNTIF($F$2:$F498,F498)</f>
      </c>
      <c r="D498" s="4">
        <f>IF(F498=0,0,MAX($D$2:D497)+1)</f>
      </c>
      <c r="E498" s="4">
        <f>IF(H498=0,0,MAX($E$2:E497)+1)</f>
      </c>
      <c r="F498" s="119"/>
      <c r="G498" s="119"/>
      <c r="H498" s="119"/>
      <c r="I498" s="4">
        <f>IFERROR(VLOOKUP(H498,H$2:H497,1,FALSE),VLOOKUP(H498,H$478:H499,1,FALSE))</f>
      </c>
      <c r="J498" s="4">
        <f t="shared" si="90"/>
        <v/>
      </c>
      <c r="K498" s="4">
        <f t="shared" si="91"/>
        <v/>
      </c>
      <c r="L498" s="4">
        <f t="shared" si="92"/>
        <v/>
      </c>
      <c r="M498" s="5">
        <f t="shared" si="104"/>
        <v/>
      </c>
      <c r="N498" s="4">
        <f t="shared" si="93"/>
        <v/>
      </c>
      <c r="O498" s="4"/>
      <c r="P498" s="4">
        <f t="shared" si="94"/>
        <v/>
      </c>
      <c r="Q498" s="4">
        <f t="shared" si="95"/>
        <v/>
      </c>
      <c r="R498" s="4">
        <f t="shared" si="105"/>
      </c>
      <c r="S498" s="4">
        <f t="shared" si="106"/>
      </c>
      <c r="T498" s="4">
        <f t="shared" si="107"/>
      </c>
      <c r="U498" s="4">
        <f t="shared" si="96"/>
        <v/>
      </c>
    </row>
    <row r="499" spans="1:21" x14ac:dyDescent="0.3">
      <c r="A499" s="4">
        <f t="shared" si="103"/>
        <v/>
      </c>
      <c r="B499" s="4">
        <f>IF(C499=1,MAX(B$2:$B498)+1,IF(F499=0,"",B498))</f>
        <v/>
      </c>
      <c r="C499" s="4">
        <f>COUNTIF($F$2:$F499,F499)</f>
      </c>
      <c r="D499" s="4">
        <f>IF(F499=0,0,MAX($D$2:D498)+1)</f>
      </c>
      <c r="E499" s="4">
        <f>IF(H499=0,0,MAX($E$2:E498)+1)</f>
      </c>
      <c r="F499" s="119"/>
      <c r="G499" s="119"/>
      <c r="H499" s="119"/>
      <c r="I499" s="4">
        <f>IFERROR(VLOOKUP(H499,H$2:H498,1,FALSE),VLOOKUP(H499,H$478:H500,1,FALSE))</f>
      </c>
      <c r="J499" s="4">
        <f t="shared" si="90"/>
        <v/>
      </c>
      <c r="K499" s="4">
        <f t="shared" si="91"/>
        <v/>
      </c>
      <c r="L499" s="4">
        <f t="shared" si="92"/>
        <v/>
      </c>
      <c r="M499" s="5">
        <f t="shared" si="104"/>
        <v/>
      </c>
      <c r="N499" s="4">
        <f t="shared" si="93"/>
        <v/>
      </c>
      <c r="O499" s="4"/>
      <c r="P499" s="4">
        <f t="shared" si="94"/>
        <v/>
      </c>
      <c r="Q499" s="4">
        <f t="shared" si="95"/>
        <v/>
      </c>
      <c r="R499" s="4">
        <f t="shared" si="105"/>
      </c>
      <c r="S499" s="4">
        <f t="shared" si="106"/>
      </c>
      <c r="T499" s="4">
        <f t="shared" si="107"/>
      </c>
      <c r="U499" s="4">
        <f t="shared" si="96"/>
        <v/>
      </c>
    </row>
    <row r="500" spans="1:21" x14ac:dyDescent="0.3">
      <c r="A500" s="4">
        <f t="shared" si="103"/>
        <v/>
      </c>
      <c r="B500" s="4">
        <f>IF(C500=1,MAX(B$2:$B499)+1,IF(F500=0,"",B499))</f>
        <v/>
      </c>
      <c r="C500" s="4">
        <f>COUNTIF($F$2:$F500,F500)</f>
      </c>
      <c r="D500" s="4">
        <f>IF(F500=0,0,MAX($D$2:D499)+1)</f>
      </c>
      <c r="E500" s="4">
        <f>IF(H500=0,0,MAX($E$2:E499)+1)</f>
      </c>
      <c r="F500" s="119"/>
      <c r="G500" s="119"/>
      <c r="H500" s="119"/>
      <c r="I500" s="4">
        <f>IFERROR(VLOOKUP(H500,H$2:H499,1,FALSE),VLOOKUP(H500,H$478:H501,1,FALSE))</f>
      </c>
      <c r="J500" s="4">
        <f t="shared" si="90"/>
        <v/>
      </c>
      <c r="K500" s="4">
        <f t="shared" si="91"/>
        <v/>
      </c>
      <c r="L500" s="4">
        <f t="shared" si="92"/>
        <v/>
      </c>
      <c r="M500" s="5">
        <f t="shared" si="104"/>
        <v/>
      </c>
      <c r="N500" s="4">
        <f t="shared" si="93"/>
        <v/>
      </c>
      <c r="O500" s="4"/>
      <c r="P500" s="4">
        <f t="shared" si="94"/>
        <v/>
      </c>
      <c r="Q500" s="4">
        <f t="shared" si="95"/>
        <v/>
      </c>
      <c r="R500" s="4">
        <f t="shared" si="105"/>
      </c>
      <c r="S500" s="4">
        <f t="shared" si="106"/>
      </c>
      <c r="T500" s="4">
        <f t="shared" si="107"/>
      </c>
      <c r="U500" s="4">
        <f t="shared" si="96"/>
        <v/>
      </c>
    </row>
    <row r="501" spans="1:21" x14ac:dyDescent="0.3">
      <c r="A501" s="4">
        <f t="shared" si="103"/>
        <v/>
      </c>
      <c r="B501" s="4">
        <f>IF(C501=1,MAX(B$2:$B500)+1,IF(F501=0,"",B500))</f>
        <v/>
      </c>
      <c r="C501" s="4">
        <f>COUNTIF($F$2:$F501,F501)</f>
      </c>
      <c r="D501" s="4">
        <f>IF(F501=0,0,MAX($D$2:D500)+1)</f>
      </c>
      <c r="E501" s="4">
        <f>IF(H501=0,0,MAX($E$2:E500)+1)</f>
      </c>
      <c r="F501" s="119"/>
      <c r="G501" s="119"/>
      <c r="H501" s="119"/>
      <c r="I501" s="4">
        <f>IFERROR(VLOOKUP(H501,H$2:H500,1,FALSE),VLOOKUP(H501,H$478:H502,1,FALSE))</f>
      </c>
      <c r="J501" s="4">
        <f t="shared" si="90"/>
        <v/>
      </c>
      <c r="K501" s="4">
        <f t="shared" si="91"/>
        <v/>
      </c>
      <c r="L501" s="4">
        <f t="shared" si="92"/>
        <v/>
      </c>
      <c r="M501" s="5">
        <f t="shared" si="104"/>
        <v/>
      </c>
      <c r="N501" s="4">
        <f t="shared" si="93"/>
        <v/>
      </c>
      <c r="O501" s="4"/>
      <c r="P501" s="4">
        <f t="shared" si="94"/>
        <v/>
      </c>
      <c r="Q501" s="4">
        <f t="shared" si="95"/>
        <v/>
      </c>
      <c r="R501" s="4">
        <f t="shared" si="105"/>
      </c>
      <c r="S501" s="4">
        <f t="shared" si="106"/>
      </c>
      <c r="T501" s="4">
        <f t="shared" si="107"/>
      </c>
      <c r="U501" s="4">
        <f t="shared" si="96"/>
        <v/>
      </c>
    </row>
    <row r="502" spans="1:21" x14ac:dyDescent="0.3">
      <c r="A502" s="4">
        <f t="shared" si="103"/>
        <v/>
      </c>
      <c r="B502" s="4">
        <f>IF(C502=1,MAX(B$2:$B501)+1,IF(F502=0,"",B501))</f>
        <v/>
      </c>
      <c r="C502" s="4">
        <f>COUNTIF($F$2:$F502,F502)</f>
      </c>
      <c r="D502" s="4">
        <f>IF(F502=0,0,MAX($D$2:D501)+1)</f>
      </c>
      <c r="E502" s="4">
        <f>IF(H502=0,0,MAX($E$2:E501)+1)</f>
      </c>
      <c r="F502" s="119"/>
      <c r="G502" s="119"/>
      <c r="H502" s="119"/>
      <c r="I502" s="4">
        <f>IFERROR(VLOOKUP(H502,H$2:H501,1,FALSE),VLOOKUP(H502,H$478:H503,1,FALSE))</f>
      </c>
      <c r="J502" s="4">
        <f t="shared" si="90"/>
        <v/>
      </c>
      <c r="K502" s="4">
        <f t="shared" si="91"/>
        <v/>
      </c>
      <c r="L502" s="4">
        <f t="shared" si="92"/>
        <v/>
      </c>
      <c r="M502" s="5">
        <f t="shared" si="104"/>
        <v/>
      </c>
      <c r="N502" s="4">
        <f t="shared" si="93"/>
        <v/>
      </c>
      <c r="O502" s="4"/>
      <c r="P502" s="4">
        <f t="shared" si="94"/>
        <v/>
      </c>
      <c r="Q502" s="4">
        <f t="shared" si="95"/>
        <v/>
      </c>
      <c r="R502" s="4">
        <f t="shared" si="105"/>
      </c>
      <c r="S502" s="4">
        <f t="shared" si="106"/>
      </c>
      <c r="T502" s="4">
        <f t="shared" si="107"/>
      </c>
      <c r="U502" s="4">
        <f t="shared" si="96"/>
        <v/>
      </c>
    </row>
    <row r="503" spans="1:21" x14ac:dyDescent="0.3">
      <c r="A503" s="4">
        <f t="shared" si="103"/>
        <v/>
      </c>
      <c r="B503" s="4">
        <f>IF(C503=1,MAX(B$2:$B502)+1,IF(F503=0,"",B502))</f>
        <v/>
      </c>
      <c r="C503" s="4">
        <f>COUNTIF($F$2:$F503,F503)</f>
      </c>
      <c r="D503" s="4">
        <f>IF(F503=0,0,MAX($D$2:D502)+1)</f>
      </c>
      <c r="E503" s="4">
        <f>IF(H503=0,0,MAX($E$2:E502)+1)</f>
      </c>
      <c r="F503" s="119"/>
      <c r="G503" s="119"/>
      <c r="H503" s="119"/>
      <c r="I503" s="4">
        <f>IFERROR(VLOOKUP(H503,H$2:H502,1,FALSE),VLOOKUP(H503,H$478:H504,1,FALSE))</f>
      </c>
      <c r="J503" s="4">
        <f t="shared" si="90"/>
        <v/>
      </c>
      <c r="K503" s="4">
        <f t="shared" si="91"/>
        <v/>
      </c>
      <c r="L503" s="4">
        <f t="shared" si="92"/>
        <v/>
      </c>
      <c r="M503" s="5">
        <f t="shared" si="104"/>
        <v/>
      </c>
      <c r="N503" s="4">
        <f t="shared" si="93"/>
        <v/>
      </c>
      <c r="O503" s="4"/>
      <c r="P503" s="4">
        <f t="shared" si="94"/>
        <v/>
      </c>
      <c r="Q503" s="4">
        <f t="shared" si="95"/>
        <v/>
      </c>
      <c r="R503" s="4">
        <f t="shared" si="105"/>
      </c>
      <c r="S503" s="4">
        <f t="shared" si="106"/>
      </c>
      <c r="T503" s="4">
        <f t="shared" si="107"/>
      </c>
      <c r="U503" s="4">
        <f t="shared" si="96"/>
        <v/>
      </c>
    </row>
    <row r="504" spans="1:21" x14ac:dyDescent="0.3">
      <c r="A504" s="4">
        <f t="shared" si="103"/>
        <v/>
      </c>
      <c r="B504" s="4">
        <f>IF(C504=1,MAX(B$2:$B503)+1,IF(F504=0,"",B503))</f>
        <v/>
      </c>
      <c r="C504" s="4">
        <f>COUNTIF($F$2:$F504,F504)</f>
      </c>
      <c r="D504" s="4">
        <f>IF(F504=0,0,MAX($D$2:D503)+1)</f>
      </c>
      <c r="E504" s="4">
        <f>IF(H504=0,0,MAX($E$2:E503)+1)</f>
      </c>
      <c r="F504" s="119"/>
      <c r="G504" s="119"/>
      <c r="H504" s="119"/>
      <c r="I504" s="4">
        <f>IFERROR(VLOOKUP(H504,H$2:H503,1,FALSE),VLOOKUP(H504,H$478:H505,1,FALSE))</f>
      </c>
      <c r="J504" s="4">
        <f t="shared" si="90"/>
        <v/>
      </c>
      <c r="K504" s="4">
        <f t="shared" si="91"/>
        <v/>
      </c>
      <c r="L504" s="4">
        <f t="shared" si="92"/>
        <v/>
      </c>
      <c r="M504" s="5">
        <f t="shared" si="104"/>
        <v/>
      </c>
      <c r="N504" s="4">
        <f t="shared" si="93"/>
        <v/>
      </c>
      <c r="O504" s="4"/>
      <c r="P504" s="4">
        <f t="shared" si="94"/>
        <v/>
      </c>
      <c r="Q504" s="4">
        <f t="shared" si="95"/>
        <v/>
      </c>
      <c r="R504" s="4">
        <f t="shared" si="105"/>
      </c>
      <c r="S504" s="4">
        <f t="shared" si="106"/>
      </c>
      <c r="T504" s="4">
        <f t="shared" si="107"/>
      </c>
      <c r="U504" s="4">
        <f t="shared" si="96"/>
        <v/>
      </c>
    </row>
    <row r="505" spans="1:21" x14ac:dyDescent="0.3">
      <c r="A505" s="4">
        <f t="shared" si="103"/>
        <v/>
      </c>
      <c r="B505" s="4">
        <f>IF(C505=1,MAX(B$2:$B504)+1,IF(F505=0,"",B504))</f>
        <v/>
      </c>
      <c r="C505" s="4">
        <f>COUNTIF($F$2:$F505,F505)</f>
      </c>
      <c r="D505" s="4">
        <f>IF(F505=0,0,MAX($D$2:D504)+1)</f>
      </c>
      <c r="E505" s="4">
        <f>IF(H505=0,0,MAX($E$2:E504)+1)</f>
      </c>
      <c r="F505" s="119"/>
      <c r="G505" s="119"/>
      <c r="H505" s="119"/>
      <c r="I505" s="4">
        <f>IFERROR(VLOOKUP(H505,H$2:H504,1,FALSE),VLOOKUP(H505,H$478:H506,1,FALSE))</f>
      </c>
      <c r="J505" s="4">
        <f t="shared" si="90"/>
        <v/>
      </c>
      <c r="K505" s="4">
        <f t="shared" si="91"/>
        <v/>
      </c>
      <c r="L505" s="4">
        <f t="shared" si="92"/>
        <v/>
      </c>
      <c r="M505" s="5">
        <f t="shared" si="104"/>
        <v/>
      </c>
      <c r="N505" s="4">
        <f t="shared" si="93"/>
        <v/>
      </c>
      <c r="O505" s="4"/>
      <c r="P505" s="4">
        <f t="shared" si="94"/>
        <v/>
      </c>
      <c r="Q505" s="4">
        <f t="shared" si="95"/>
        <v/>
      </c>
      <c r="R505" s="4">
        <f t="shared" si="105"/>
      </c>
      <c r="S505" s="4">
        <f t="shared" si="106"/>
      </c>
      <c r="T505" s="4">
        <f t="shared" si="107"/>
      </c>
      <c r="U505" s="4">
        <f t="shared" si="96"/>
        <v/>
      </c>
    </row>
    <row r="506" spans="1:21" x14ac:dyDescent="0.3">
      <c r="A506" s="4">
        <f t="shared" si="103"/>
        <v/>
      </c>
      <c r="B506" s="4">
        <f>IF(C506=1,MAX(B$2:$B505)+1,IF(F506=0,"",B505))</f>
        <v/>
      </c>
      <c r="C506" s="4">
        <f>COUNTIF($F$2:$F506,F506)</f>
      </c>
      <c r="D506" s="4">
        <f>IF(F506=0,0,MAX($D$2:D505)+1)</f>
      </c>
      <c r="E506" s="4">
        <f>IF(H506=0,0,MAX($E$2:E505)+1)</f>
      </c>
      <c r="F506" s="119"/>
      <c r="G506" s="119"/>
      <c r="H506" s="119"/>
      <c r="I506" s="4">
        <f>IFERROR(VLOOKUP(H506,H$2:H505,1,FALSE),VLOOKUP(H506,H$478:H507,1,FALSE))</f>
      </c>
      <c r="J506" s="4">
        <f t="shared" si="90"/>
        <v/>
      </c>
      <c r="K506" s="4">
        <f t="shared" si="91"/>
        <v/>
      </c>
      <c r="L506" s="4">
        <f t="shared" si="92"/>
        <v/>
      </c>
      <c r="M506" s="5">
        <f t="shared" si="104"/>
        <v/>
      </c>
      <c r="N506" s="4">
        <f t="shared" si="93"/>
        <v/>
      </c>
      <c r="O506" s="4"/>
      <c r="P506" s="4">
        <f t="shared" si="94"/>
        <v/>
      </c>
      <c r="Q506" s="4">
        <f t="shared" si="95"/>
        <v/>
      </c>
      <c r="R506" s="4">
        <f t="shared" si="105"/>
      </c>
      <c r="S506" s="4">
        <f t="shared" si="106"/>
      </c>
      <c r="T506" s="4">
        <f t="shared" si="107"/>
      </c>
      <c r="U506" s="4">
        <f t="shared" si="96"/>
        <v/>
      </c>
    </row>
    <row r="507" spans="1:21" x14ac:dyDescent="0.3">
      <c r="A507" s="4">
        <f t="shared" si="103"/>
        <v/>
      </c>
      <c r="B507" s="4">
        <f>IF(C507=1,MAX(B$2:$B506)+1,IF(F507=0,"",B506))</f>
        <v/>
      </c>
      <c r="C507" s="4">
        <f>COUNTIF($F$2:$F507,F507)</f>
      </c>
      <c r="D507" s="4">
        <f>IF(F507=0,0,MAX($D$2:D506)+1)</f>
      </c>
      <c r="E507" s="4">
        <f>IF(H507=0,0,MAX($E$2:E506)+1)</f>
      </c>
      <c r="F507" s="119"/>
      <c r="G507" s="119"/>
      <c r="H507" s="119"/>
      <c r="I507" s="4">
        <f>IFERROR(VLOOKUP(H507,H$2:H506,1,FALSE),VLOOKUP(H507,H$478:H508,1,FALSE))</f>
      </c>
      <c r="J507" s="4">
        <f t="shared" si="90"/>
        <v/>
      </c>
      <c r="K507" s="4">
        <f t="shared" si="91"/>
        <v/>
      </c>
      <c r="L507" s="4">
        <f t="shared" si="92"/>
        <v/>
      </c>
      <c r="M507" s="5">
        <f t="shared" si="104"/>
        <v/>
      </c>
      <c r="N507" s="4">
        <f t="shared" si="93"/>
        <v/>
      </c>
      <c r="O507" s="4"/>
      <c r="P507" s="4">
        <f t="shared" si="94"/>
        <v/>
      </c>
      <c r="Q507" s="4">
        <f t="shared" si="95"/>
        <v/>
      </c>
      <c r="R507" s="4">
        <f t="shared" si="105"/>
      </c>
      <c r="S507" s="4">
        <f t="shared" si="106"/>
      </c>
      <c r="T507" s="4">
        <f t="shared" si="107"/>
      </c>
      <c r="U507" s="4">
        <f t="shared" si="96"/>
        <v/>
      </c>
    </row>
    <row r="508" spans="1:21" x14ac:dyDescent="0.3">
      <c r="A508" s="4">
        <f t="shared" si="103"/>
        <v/>
      </c>
      <c r="B508" s="4">
        <f>IF(C508=1,MAX(B$2:$B507)+1,IF(F508=0,"",B507))</f>
        <v/>
      </c>
      <c r="C508" s="4">
        <f>COUNTIF($F$2:$F508,F508)</f>
      </c>
      <c r="D508" s="4">
        <f>IF(F508=0,0,MAX($D$2:D507)+1)</f>
      </c>
      <c r="E508" s="4">
        <f>IF(H508=0,0,MAX($E$2:E507)+1)</f>
      </c>
      <c r="F508" s="119"/>
      <c r="G508" s="119"/>
      <c r="H508" s="119"/>
      <c r="I508" s="4">
        <f>IFERROR(VLOOKUP(H508,H$2:H507,1,FALSE),VLOOKUP(H508,H$478:H509,1,FALSE))</f>
      </c>
      <c r="J508" s="4">
        <f t="shared" si="90"/>
        <v/>
      </c>
      <c r="K508" s="4">
        <f t="shared" si="91"/>
        <v/>
      </c>
      <c r="L508" s="4">
        <f t="shared" si="92"/>
        <v/>
      </c>
      <c r="M508" s="5">
        <f t="shared" si="104"/>
        <v/>
      </c>
      <c r="N508" s="4">
        <f t="shared" si="93"/>
        <v/>
      </c>
      <c r="O508" s="4"/>
      <c r="P508" s="4">
        <f t="shared" si="94"/>
        <v/>
      </c>
      <c r="Q508" s="4">
        <f t="shared" si="95"/>
        <v/>
      </c>
      <c r="R508" s="4">
        <f t="shared" si="105"/>
      </c>
      <c r="S508" s="4">
        <f t="shared" si="106"/>
      </c>
      <c r="T508" s="4">
        <f t="shared" si="107"/>
      </c>
      <c r="U508" s="4">
        <f t="shared" si="96"/>
        <v/>
      </c>
    </row>
    <row r="509" spans="1:21" x14ac:dyDescent="0.3">
      <c r="A509" s="4">
        <f t="shared" si="103"/>
        <v/>
      </c>
      <c r="B509" s="4">
        <f>IF(C509=1,MAX(B$2:$B508)+1,IF(F509=0,"",B508))</f>
        <v/>
      </c>
      <c r="C509" s="4">
        <f>COUNTIF($F$2:$F509,F509)</f>
      </c>
      <c r="D509" s="4">
        <f>IF(F509=0,0,MAX($D$2:D508)+1)</f>
      </c>
      <c r="E509" s="4">
        <f>IF(H509=0,0,MAX($E$2:E508)+1)</f>
      </c>
      <c r="F509" s="119"/>
      <c r="G509" s="119"/>
      <c r="H509" s="119"/>
      <c r="I509" s="4">
        <f>IFERROR(VLOOKUP(H509,H$2:H508,1,FALSE),VLOOKUP(H509,H$478:H510,1,FALSE))</f>
      </c>
      <c r="J509" s="4">
        <f t="shared" si="90"/>
        <v/>
      </c>
      <c r="K509" s="4">
        <f t="shared" si="91"/>
        <v/>
      </c>
      <c r="L509" s="4">
        <f t="shared" si="92"/>
        <v/>
      </c>
      <c r="M509" s="5">
        <f t="shared" si="104"/>
        <v/>
      </c>
      <c r="N509" s="4">
        <f t="shared" si="93"/>
        <v/>
      </c>
      <c r="O509" s="4"/>
      <c r="P509" s="4">
        <f t="shared" si="94"/>
        <v/>
      </c>
      <c r="Q509" s="4">
        <f t="shared" si="95"/>
        <v/>
      </c>
      <c r="R509" s="4">
        <f t="shared" si="105"/>
      </c>
      <c r="S509" s="4">
        <f t="shared" si="106"/>
      </c>
      <c r="T509" s="4">
        <f t="shared" si="107"/>
      </c>
      <c r="U509" s="4">
        <f t="shared" si="96"/>
        <v/>
      </c>
    </row>
    <row r="510" spans="1:21" x14ac:dyDescent="0.3">
      <c r="A510" s="4">
        <f t="shared" si="103"/>
        <v/>
      </c>
      <c r="B510" s="4">
        <f>IF(C510=1,MAX(B$2:$B509)+1,IF(F510=0,"",B509))</f>
        <v/>
      </c>
      <c r="C510" s="4">
        <f>COUNTIF($F$2:$F510,F510)</f>
      </c>
      <c r="D510" s="4">
        <f>IF(F510=0,0,MAX($D$2:D509)+1)</f>
      </c>
      <c r="E510" s="4">
        <f>IF(H510=0,0,MAX($E$2:E509)+1)</f>
      </c>
      <c r="F510" s="119"/>
      <c r="G510" s="119"/>
      <c r="H510" s="119"/>
      <c r="I510" s="4">
        <f>IFERROR(VLOOKUP(H510,H$2:H509,1,FALSE),VLOOKUP(H510,H$478:H511,1,FALSE))</f>
      </c>
      <c r="J510" s="4">
        <f t="shared" si="90"/>
        <v/>
      </c>
      <c r="K510" s="4">
        <f t="shared" si="91"/>
        <v/>
      </c>
      <c r="L510" s="4">
        <f t="shared" si="92"/>
        <v/>
      </c>
      <c r="M510" s="5">
        <f t="shared" si="104"/>
        <v/>
      </c>
      <c r="N510" s="4">
        <f t="shared" si="93"/>
        <v/>
      </c>
      <c r="O510" s="4"/>
      <c r="P510" s="4">
        <f t="shared" si="94"/>
        <v/>
      </c>
      <c r="Q510" s="4">
        <f t="shared" si="95"/>
        <v/>
      </c>
      <c r="R510" s="4">
        <f t="shared" si="105"/>
      </c>
      <c r="S510" s="4">
        <f t="shared" si="106"/>
      </c>
      <c r="T510" s="4">
        <f t="shared" si="107"/>
      </c>
      <c r="U510" s="4">
        <f t="shared" si="96"/>
        <v/>
      </c>
    </row>
    <row r="511" spans="1:21" x14ac:dyDescent="0.3">
      <c r="A511" s="4">
        <f t="shared" si="103"/>
        <v/>
      </c>
      <c r="B511" s="4">
        <f>IF(C511=1,MAX(B$2:$B510)+1,IF(F511=0,"",B510))</f>
        <v/>
      </c>
      <c r="C511" s="4">
        <f>COUNTIF($F$2:$F511,F511)</f>
      </c>
      <c r="D511" s="4">
        <f>IF(F511=0,0,MAX($D$2:D510)+1)</f>
      </c>
      <c r="E511" s="4">
        <f>IF(H511=0,0,MAX($E$2:E510)+1)</f>
      </c>
      <c r="F511" s="119"/>
      <c r="G511" s="119"/>
      <c r="H511" s="119"/>
      <c r="I511" s="4">
        <f>IFERROR(VLOOKUP(H511,H$2:H510,1,FALSE),VLOOKUP(H511,H$478:H512,1,FALSE))</f>
      </c>
      <c r="J511" s="4">
        <f t="shared" si="90"/>
        <v/>
      </c>
      <c r="K511" s="4">
        <f t="shared" si="91"/>
        <v/>
      </c>
      <c r="L511" s="4">
        <f t="shared" si="92"/>
        <v/>
      </c>
      <c r="M511" s="5">
        <f t="shared" si="104"/>
        <v/>
      </c>
      <c r="N511" s="4">
        <f t="shared" si="93"/>
        <v/>
      </c>
      <c r="O511" s="4"/>
      <c r="P511" s="4">
        <f t="shared" si="94"/>
        <v/>
      </c>
      <c r="Q511" s="4">
        <f t="shared" si="95"/>
        <v/>
      </c>
      <c r="R511" s="4">
        <f t="shared" si="105"/>
      </c>
      <c r="S511" s="4">
        <f t="shared" si="106"/>
      </c>
      <c r="T511" s="4">
        <f t="shared" si="107"/>
      </c>
      <c r="U511" s="4">
        <f t="shared" si="96"/>
        <v/>
      </c>
    </row>
    <row r="512" spans="1:21" ht="15" thickBot="1" x14ac:dyDescent="0.35">
      <c r="A512" s="4">
        <f t="shared" si="103"/>
        <v/>
      </c>
      <c r="B512" s="4">
        <f>IF(C512=1,MAX(B$2:$B511)+1,IF(F512=0,"",B511))</f>
        <v/>
      </c>
      <c r="C512" s="4">
        <f>COUNTIF($F$2:$F512,F512)</f>
      </c>
      <c r="D512" s="4">
        <f>IF(F512=0,0,MAX($D$2:D511)+1)</f>
      </c>
      <c r="E512" s="4">
        <f>IF(H512=0,0,MAX($E$2:E511)+1)</f>
      </c>
      <c r="F512" s="119"/>
      <c r="G512" s="119"/>
      <c r="H512" s="119"/>
      <c r="I512" s="4">
        <f>IFERROR(VLOOKUP(H512,H$2:H511,1,FALSE),VLOOKUP(H512,H$478:H513,1,FALSE))</f>
      </c>
      <c r="J512" s="4">
        <f t="shared" si="90"/>
        <v/>
      </c>
      <c r="K512" s="4">
        <f t="shared" si="91"/>
        <v/>
      </c>
      <c r="L512" s="4">
        <f t="shared" si="92"/>
        <v/>
      </c>
      <c r="M512" s="5">
        <f t="shared" si="104"/>
        <v/>
      </c>
      <c r="N512" s="4">
        <f t="shared" si="93"/>
        <v/>
      </c>
      <c r="O512" s="4"/>
      <c r="P512" s="4">
        <f t="shared" si="94"/>
        <v/>
      </c>
      <c r="Q512" s="4">
        <f t="shared" si="95"/>
        <v/>
      </c>
      <c r="R512" s="4">
        <f t="shared" si="105"/>
      </c>
      <c r="S512" s="4">
        <f t="shared" si="106"/>
      </c>
      <c r="T512" s="4">
        <f t="shared" si="107"/>
      </c>
      <c r="U512" s="4">
        <f t="shared" si="96"/>
        <v/>
      </c>
    </row>
    <row r="513" spans="1:21" x14ac:dyDescent="0.3">
      <c r="A513" s="4">
        <f t="shared" si="103"/>
        <v/>
      </c>
      <c r="B513" s="4">
        <f>IF(C513=1,MAX(B$2:$B512)+1,IF(F513=0,"",B512))</f>
        <v/>
      </c>
      <c r="C513" s="4">
        <f>COUNTIF($F$2:$F513,F513)</f>
      </c>
      <c r="D513" s="4">
        <f>IF(F513=0,0,MAX($D$2:D512)+1)</f>
      </c>
      <c r="E513" s="4">
        <f>IF(H513=0,0,MAX($E$2:E512)+1)</f>
      </c>
      <c r="F513" s="119"/>
      <c r="G513" s="119"/>
      <c r="H513" s="172"/>
      <c r="I513" s="4">
        <f>IFERROR(VLOOKUP(H513,H$2:H512,1,FALSE),VLOOKUP(H513,H$478:H514,1,FALSE))</f>
      </c>
      <c r="J513" s="4">
        <f t="shared" si="90"/>
        <v/>
      </c>
      <c r="K513" s="4">
        <f t="shared" si="91"/>
        <v/>
      </c>
      <c r="L513" s="4">
        <f t="shared" si="92"/>
        <v/>
      </c>
      <c r="M513" s="5">
        <f t="shared" si="104"/>
        <v/>
      </c>
      <c r="N513" s="4">
        <f t="shared" si="93"/>
        <v/>
      </c>
      <c r="O513" s="4"/>
      <c r="P513" s="4">
        <f t="shared" si="94"/>
        <v/>
      </c>
      <c r="Q513" s="4">
        <f t="shared" si="95"/>
        <v/>
      </c>
      <c r="R513" s="4">
        <f t="shared" si="105"/>
      </c>
      <c r="S513" s="4">
        <f t="shared" si="106"/>
      </c>
      <c r="T513" s="4">
        <f t="shared" si="107"/>
      </c>
      <c r="U513" s="4">
        <f t="shared" si="96"/>
        <v/>
      </c>
    </row>
    <row r="514" spans="1:21" x14ac:dyDescent="0.3">
      <c r="A514" s="4">
        <f t="shared" si="103"/>
        <v/>
      </c>
      <c r="B514" s="4">
        <f>IF(C514=1,MAX(B$2:$B513)+1,IF(F514=0,"",B513))</f>
        <v/>
      </c>
      <c r="C514" s="4">
        <f>COUNTIF($F$2:$F514,F514)</f>
      </c>
      <c r="D514" s="4">
        <f>IF(F514=0,0,MAX($D$2:D513)+1)</f>
      </c>
      <c r="E514" s="4">
        <f>IF(H514=0,0,MAX($E$2:E513)+1)</f>
      </c>
      <c r="F514" s="119"/>
      <c r="G514" s="119"/>
      <c r="H514" s="119"/>
      <c r="I514" s="4">
        <f>IFERROR(VLOOKUP(H514,H$2:H513,1,FALSE),VLOOKUP(H514,H$478:H515,1,FALSE))</f>
      </c>
      <c r="J514" s="4">
        <f t="shared" si="90"/>
        <v/>
      </c>
      <c r="K514" s="4">
        <f t="shared" si="91"/>
        <v/>
      </c>
      <c r="L514" s="4">
        <f t="shared" si="92"/>
        <v/>
      </c>
      <c r="M514" s="5">
        <f t="shared" si="104"/>
        <v/>
      </c>
      <c r="N514" s="4">
        <f t="shared" si="93"/>
        <v/>
      </c>
      <c r="O514" s="4"/>
      <c r="P514" s="4">
        <f t="shared" si="94"/>
        <v/>
      </c>
      <c r="Q514" s="4">
        <f t="shared" si="95"/>
        <v/>
      </c>
      <c r="R514" s="4">
        <f t="shared" si="105"/>
      </c>
      <c r="S514" s="4">
        <f t="shared" si="106"/>
      </c>
      <c r="T514" s="4">
        <f t="shared" si="107"/>
      </c>
      <c r="U514" s="4">
        <f t="shared" si="96"/>
        <v/>
      </c>
    </row>
    <row r="515" spans="1:21" x14ac:dyDescent="0.3">
      <c r="A515" s="4">
        <f t="shared" si="103"/>
        <v/>
      </c>
      <c r="B515" s="4">
        <f>IF(C515=1,MAX(B$2:$B514)+1,IF(F515=0,"",B514))</f>
        <v/>
      </c>
      <c r="C515" s="4">
        <f>COUNTIF($F$2:$F515,F515)</f>
      </c>
      <c r="D515" s="4">
        <f>IF(F515=0,0,MAX($D$2:D514)+1)</f>
      </c>
      <c r="E515" s="4">
        <f>IF(H515=0,0,MAX($E$2:E514)+1)</f>
      </c>
      <c r="F515" s="119"/>
      <c r="G515" s="119"/>
      <c r="H515" s="119"/>
      <c r="I515" s="4">
        <f>IFERROR(VLOOKUP(H515,H$2:H514,1,FALSE),VLOOKUP(H515,H$478:H516,1,FALSE))</f>
      </c>
      <c r="J515" s="4">
        <f t="shared" ref="J515:J578" si="108">IF($H515=0,"",VLOOKUP($H515,Исходные_данные,36,FALSE))</f>
        <v/>
      </c>
      <c r="K515" s="4">
        <f t="shared" ref="K515:K578" si="109">IF($H515=0,"",VLOOKUP($H515,Исходные_данные,37,FALSE))</f>
        <v/>
      </c>
      <c r="L515" s="4">
        <f t="shared" ref="L515:L578" si="110">IF($H515=0,"",VLOOKUP($H515,Исходные_данные,38,FALSE))</f>
        <v/>
      </c>
      <c r="M515" s="5">
        <f t="shared" si="104"/>
        <v/>
      </c>
      <c r="N515" s="4">
        <f t="shared" ref="N515:N578" si="111">IF($H515=0,"",VLOOKUP($H515,Исходные_данные,39,FALSE))</f>
        <v/>
      </c>
      <c r="O515" s="4"/>
      <c r="P515" s="4">
        <f t="shared" ref="P515:P578" si="112">IF($H515=0,"",VLOOKUP($H515,Исходные_данные,41,FALSE))</f>
        <v/>
      </c>
      <c r="Q515" s="4">
        <f t="shared" ref="Q515:Q578" si="113">IF($H515=0,"",VLOOKUP($H515,Исходные_данные,8,FALSE))</f>
        <v/>
      </c>
      <c r="R515" s="4">
        <f t="shared" si="105"/>
      </c>
      <c r="S515" s="4">
        <f t="shared" si="106"/>
      </c>
      <c r="T515" s="4">
        <f t="shared" si="107"/>
      </c>
      <c r="U515" s="4">
        <f t="shared" ref="U515:U578" si="114">IF($H515=0,"",VLOOKUP($H515,Исходные_данные,31,FALSE))</f>
        <v/>
      </c>
    </row>
    <row r="516" spans="1:21" x14ac:dyDescent="0.3">
      <c r="A516" s="4">
        <f t="shared" si="103"/>
        <v/>
      </c>
      <c r="B516" s="4">
        <f>IF(C516=1,MAX(B$2:$B515)+1,IF(F516=0,"",B515))</f>
        <v/>
      </c>
      <c r="C516" s="4">
        <f>COUNTIF($F$2:$F516,F516)</f>
      </c>
      <c r="D516" s="4">
        <f>IF(F516=0,0,MAX($D$2:D515)+1)</f>
      </c>
      <c r="E516" s="4">
        <f>IF(H516=0,0,MAX($E$2:E515)+1)</f>
      </c>
      <c r="F516" s="119"/>
      <c r="G516" s="119"/>
      <c r="H516" s="119"/>
      <c r="I516" s="4">
        <f>IFERROR(VLOOKUP(H516,H$2:H515,1,FALSE),VLOOKUP(H516,H$478:H517,1,FALSE))</f>
      </c>
      <c r="J516" s="4">
        <f t="shared" si="108"/>
        <v/>
      </c>
      <c r="K516" s="4">
        <f t="shared" si="109"/>
        <v/>
      </c>
      <c r="L516" s="4">
        <f t="shared" si="110"/>
        <v/>
      </c>
      <c r="M516" s="5">
        <f t="shared" si="104"/>
        <v/>
      </c>
      <c r="N516" s="4">
        <f t="shared" si="111"/>
        <v/>
      </c>
      <c r="O516" s="4"/>
      <c r="P516" s="4">
        <f t="shared" si="112"/>
        <v/>
      </c>
      <c r="Q516" s="4">
        <f t="shared" si="113"/>
        <v/>
      </c>
      <c r="R516" s="4">
        <f t="shared" si="105"/>
      </c>
      <c r="S516" s="4">
        <f t="shared" si="106"/>
      </c>
      <c r="T516" s="4">
        <f t="shared" si="107"/>
      </c>
      <c r="U516" s="4">
        <f t="shared" si="114"/>
        <v/>
      </c>
    </row>
    <row r="517" spans="1:21" x14ac:dyDescent="0.3">
      <c r="A517" s="4">
        <f t="shared" si="103"/>
        <v/>
      </c>
      <c r="B517" s="4">
        <f>IF(C517=1,MAX(B$2:$B516)+1,IF(F517=0,"",B516))</f>
        <v/>
      </c>
      <c r="C517" s="4">
        <f>COUNTIF($F$2:$F517,F517)</f>
      </c>
      <c r="D517" s="4">
        <f>IF(F517=0,0,MAX($D$2:D516)+1)</f>
      </c>
      <c r="E517" s="4">
        <f>IF(H517=0,0,MAX($E$2:E516)+1)</f>
      </c>
      <c r="F517" s="119"/>
      <c r="G517" s="119"/>
      <c r="H517" s="119"/>
      <c r="I517" s="4">
        <f>IFERROR(VLOOKUP(H517,H$2:H516,1,FALSE),VLOOKUP(H517,H$478:H518,1,FALSE))</f>
      </c>
      <c r="J517" s="4">
        <f t="shared" si="108"/>
        <v/>
      </c>
      <c r="K517" s="4">
        <f t="shared" si="109"/>
        <v/>
      </c>
      <c r="L517" s="4">
        <f t="shared" si="110"/>
        <v/>
      </c>
      <c r="M517" s="5">
        <f t="shared" si="104"/>
        <v/>
      </c>
      <c r="N517" s="4">
        <f t="shared" si="111"/>
        <v/>
      </c>
      <c r="O517" s="4"/>
      <c r="P517" s="4">
        <f t="shared" si="112"/>
        <v/>
      </c>
      <c r="Q517" s="4">
        <f t="shared" si="113"/>
        <v/>
      </c>
      <c r="R517" s="4">
        <f t="shared" si="105"/>
      </c>
      <c r="S517" s="4">
        <f t="shared" si="106"/>
      </c>
      <c r="T517" s="4">
        <f t="shared" si="107"/>
      </c>
      <c r="U517" s="4">
        <f t="shared" si="114"/>
        <v/>
      </c>
    </row>
    <row r="518" spans="1:21" x14ac:dyDescent="0.3">
      <c r="A518" s="4">
        <f t="shared" si="103"/>
        <v/>
      </c>
      <c r="B518" s="4">
        <f>IF(C518=1,MAX(B$2:$B517)+1,IF(F518=0,"",B517))</f>
        <v/>
      </c>
      <c r="C518" s="4">
        <f>COUNTIF($F$2:$F518,F518)</f>
      </c>
      <c r="D518" s="4">
        <f>IF(F518=0,0,MAX($D$2:D517)+1)</f>
      </c>
      <c r="E518" s="4">
        <f>IF(H518=0,0,MAX($E$2:E517)+1)</f>
      </c>
      <c r="F518" s="119"/>
      <c r="G518" s="119"/>
      <c r="H518" s="119"/>
      <c r="I518" s="4">
        <f>IFERROR(VLOOKUP(H518,H$2:H517,1,FALSE),VLOOKUP(H518,H$478:H519,1,FALSE))</f>
      </c>
      <c r="J518" s="4">
        <f t="shared" si="108"/>
        <v/>
      </c>
      <c r="K518" s="4">
        <f t="shared" si="109"/>
        <v/>
      </c>
      <c r="L518" s="4">
        <f t="shared" si="110"/>
        <v/>
      </c>
      <c r="M518" s="5">
        <f t="shared" si="104"/>
        <v/>
      </c>
      <c r="N518" s="4">
        <f t="shared" si="111"/>
        <v/>
      </c>
      <c r="O518" s="4"/>
      <c r="P518" s="4">
        <f t="shared" si="112"/>
        <v/>
      </c>
      <c r="Q518" s="4">
        <f t="shared" si="113"/>
        <v/>
      </c>
      <c r="R518" s="4">
        <f t="shared" si="105"/>
      </c>
      <c r="S518" s="4">
        <f t="shared" si="106"/>
      </c>
      <c r="T518" s="4">
        <f t="shared" si="107"/>
      </c>
      <c r="U518" s="4">
        <f t="shared" si="114"/>
        <v/>
      </c>
    </row>
    <row r="519" spans="1:21" x14ac:dyDescent="0.3">
      <c r="A519" s="4">
        <f t="shared" si="103"/>
        <v/>
      </c>
      <c r="B519" s="4">
        <f>IF(C519=1,MAX(B$2:$B518)+1,IF(F519=0,"",B518))</f>
        <v/>
      </c>
      <c r="C519" s="4">
        <f>COUNTIF($F$2:$F519,F519)</f>
      </c>
      <c r="D519" s="4">
        <f>IF(F519=0,0,MAX($D$2:D518)+1)</f>
      </c>
      <c r="E519" s="4">
        <f>IF(H519=0,0,MAX($E$2:E518)+1)</f>
      </c>
      <c r="F519" s="119"/>
      <c r="G519" s="119"/>
      <c r="H519" s="119"/>
      <c r="I519" s="4">
        <f>IFERROR(VLOOKUP(H519,H$2:H518,1,FALSE),VLOOKUP(H519,H$478:H520,1,FALSE))</f>
      </c>
      <c r="J519" s="4">
        <f t="shared" si="108"/>
        <v/>
      </c>
      <c r="K519" s="4">
        <f t="shared" si="109"/>
        <v/>
      </c>
      <c r="L519" s="4">
        <f t="shared" si="110"/>
        <v/>
      </c>
      <c r="M519" s="5">
        <f t="shared" si="104"/>
        <v/>
      </c>
      <c r="N519" s="4">
        <f t="shared" si="111"/>
        <v/>
      </c>
      <c r="O519" s="4"/>
      <c r="P519" s="4">
        <f t="shared" si="112"/>
        <v/>
      </c>
      <c r="Q519" s="4">
        <f t="shared" si="113"/>
        <v/>
      </c>
      <c r="R519" s="4">
        <f t="shared" si="105"/>
      </c>
      <c r="S519" s="4">
        <f t="shared" si="106"/>
      </c>
      <c r="T519" s="4">
        <f t="shared" si="107"/>
      </c>
      <c r="U519" s="4">
        <f t="shared" si="114"/>
        <v/>
      </c>
    </row>
    <row r="520" spans="1:21" x14ac:dyDescent="0.3">
      <c r="A520" s="4">
        <f t="shared" si="103"/>
        <v/>
      </c>
      <c r="B520" s="4">
        <f>IF(C520=1,MAX(B$2:$B519)+1,IF(F520=0,"",B519))</f>
        <v/>
      </c>
      <c r="C520" s="4">
        <f>COUNTIF($F$2:$F520,F520)</f>
      </c>
      <c r="D520" s="4">
        <f>IF(F520=0,0,MAX($D$2:D519)+1)</f>
      </c>
      <c r="E520" s="4">
        <f>IF(H520=0,0,MAX($E$2:E519)+1)</f>
      </c>
      <c r="F520" s="119"/>
      <c r="G520" s="119"/>
      <c r="H520" s="119"/>
      <c r="I520" s="4">
        <f>IFERROR(VLOOKUP(H520,H$2:H519,1,FALSE),VLOOKUP(H520,H$478:H521,1,FALSE))</f>
      </c>
      <c r="J520" s="4">
        <f t="shared" si="108"/>
        <v/>
      </c>
      <c r="K520" s="4">
        <f t="shared" si="109"/>
        <v/>
      </c>
      <c r="L520" s="4">
        <f t="shared" si="110"/>
        <v/>
      </c>
      <c r="M520" s="5">
        <f t="shared" si="104"/>
        <v/>
      </c>
      <c r="N520" s="4">
        <f t="shared" si="111"/>
        <v/>
      </c>
      <c r="O520" s="4"/>
      <c r="P520" s="4">
        <f t="shared" si="112"/>
        <v/>
      </c>
      <c r="Q520" s="4">
        <f t="shared" si="113"/>
        <v/>
      </c>
      <c r="R520" s="4">
        <f t="shared" si="105"/>
      </c>
      <c r="S520" s="4">
        <f t="shared" si="106"/>
      </c>
      <c r="T520" s="4">
        <f t="shared" si="107"/>
      </c>
      <c r="U520" s="4">
        <f t="shared" si="114"/>
        <v/>
      </c>
    </row>
    <row r="521" spans="1:21" x14ac:dyDescent="0.3">
      <c r="A521" s="4">
        <f t="shared" si="103"/>
        <v/>
      </c>
      <c r="B521" s="4">
        <f>IF(C521=1,MAX(B$2:$B520)+1,IF(F521=0,"",B520))</f>
        <v/>
      </c>
      <c r="C521" s="4">
        <f>COUNTIF($F$2:$F521,F521)</f>
      </c>
      <c r="D521" s="4">
        <f>IF(F521=0,0,MAX($D$2:D520)+1)</f>
      </c>
      <c r="E521" s="4">
        <f>IF(H521=0,0,MAX($E$2:E520)+1)</f>
      </c>
      <c r="F521" s="119"/>
      <c r="G521" s="119"/>
      <c r="H521" s="119"/>
      <c r="I521" s="4">
        <f>IFERROR(VLOOKUP(H521,H$2:H520,1,FALSE),VLOOKUP(H521,H$478:H522,1,FALSE))</f>
      </c>
      <c r="J521" s="4">
        <f t="shared" si="108"/>
        <v/>
      </c>
      <c r="K521" s="4">
        <f t="shared" si="109"/>
        <v/>
      </c>
      <c r="L521" s="4">
        <f t="shared" si="110"/>
        <v/>
      </c>
      <c r="M521" s="5">
        <f t="shared" si="104"/>
        <v/>
      </c>
      <c r="N521" s="4">
        <f t="shared" si="111"/>
        <v/>
      </c>
      <c r="O521" s="4"/>
      <c r="P521" s="4">
        <f t="shared" si="112"/>
        <v/>
      </c>
      <c r="Q521" s="4">
        <f t="shared" si="113"/>
        <v/>
      </c>
      <c r="R521" s="4">
        <f t="shared" si="105"/>
      </c>
      <c r="S521" s="4">
        <f t="shared" si="106"/>
      </c>
      <c r="T521" s="4">
        <f t="shared" si="107"/>
      </c>
      <c r="U521" s="4">
        <f t="shared" si="114"/>
        <v/>
      </c>
    </row>
    <row r="522" spans="1:21" x14ac:dyDescent="0.3">
      <c r="A522" s="4">
        <f t="shared" si="103"/>
        <v/>
      </c>
      <c r="B522" s="4">
        <f>IF(C522=1,MAX(B$2:$B521)+1,IF(F522=0,"",B521))</f>
        <v/>
      </c>
      <c r="C522" s="4">
        <f>COUNTIF($F$2:$F522,F522)</f>
      </c>
      <c r="D522" s="4">
        <f>IF(F522=0,0,MAX($D$2:D521)+1)</f>
      </c>
      <c r="E522" s="4">
        <f>IF(H522=0,0,MAX($E$2:E521)+1)</f>
      </c>
      <c r="F522" s="119"/>
      <c r="G522" s="119"/>
      <c r="H522" s="119"/>
      <c r="I522" s="4">
        <f>IFERROR(VLOOKUP(H522,H$2:H521,1,FALSE),VLOOKUP(H522,H$478:H523,1,FALSE))</f>
      </c>
      <c r="J522" s="4">
        <f t="shared" si="108"/>
        <v/>
      </c>
      <c r="K522" s="4">
        <f t="shared" si="109"/>
        <v/>
      </c>
      <c r="L522" s="4">
        <f t="shared" si="110"/>
        <v/>
      </c>
      <c r="M522" s="5">
        <f t="shared" si="104"/>
        <v/>
      </c>
      <c r="N522" s="4">
        <f t="shared" si="111"/>
        <v/>
      </c>
      <c r="O522" s="4"/>
      <c r="P522" s="4">
        <f t="shared" si="112"/>
        <v/>
      </c>
      <c r="Q522" s="4">
        <f t="shared" si="113"/>
        <v/>
      </c>
      <c r="R522" s="4">
        <f t="shared" si="105"/>
      </c>
      <c r="S522" s="4">
        <f t="shared" si="106"/>
      </c>
      <c r="T522" s="4">
        <f t="shared" si="107"/>
      </c>
      <c r="U522" s="4">
        <f t="shared" si="114"/>
        <v/>
      </c>
    </row>
    <row r="523" spans="1:21" x14ac:dyDescent="0.3">
      <c r="A523" s="4">
        <f t="shared" si="103"/>
        <v/>
      </c>
      <c r="B523" s="4">
        <f>IF(C523=1,MAX(B$2:$B522)+1,IF(F523=0,"",B522))</f>
        <v/>
      </c>
      <c r="C523" s="4">
        <f>COUNTIF($F$2:$F523,F523)</f>
      </c>
      <c r="D523" s="4">
        <f>IF(F523=0,0,MAX($D$2:D522)+1)</f>
      </c>
      <c r="E523" s="4">
        <f>IF(H523=0,0,MAX($E$2:E522)+1)</f>
      </c>
      <c r="F523" s="119"/>
      <c r="G523" s="119"/>
      <c r="H523" s="119"/>
      <c r="I523" s="4">
        <f>IFERROR(VLOOKUP(H523,H$2:H522,1,FALSE),VLOOKUP(H523,H$478:H524,1,FALSE))</f>
      </c>
      <c r="J523" s="4">
        <f t="shared" si="108"/>
        <v/>
      </c>
      <c r="K523" s="4">
        <f t="shared" si="109"/>
        <v/>
      </c>
      <c r="L523" s="4">
        <f t="shared" si="110"/>
        <v/>
      </c>
      <c r="M523" s="5">
        <f t="shared" si="104"/>
        <v/>
      </c>
      <c r="N523" s="4">
        <f t="shared" si="111"/>
        <v/>
      </c>
      <c r="O523" s="4"/>
      <c r="P523" s="4">
        <f t="shared" si="112"/>
        <v/>
      </c>
      <c r="Q523" s="4">
        <f t="shared" si="113"/>
        <v/>
      </c>
      <c r="R523" s="4">
        <f t="shared" si="105"/>
      </c>
      <c r="S523" s="4">
        <f t="shared" si="106"/>
      </c>
      <c r="T523" s="4">
        <f t="shared" si="107"/>
      </c>
      <c r="U523" s="4">
        <f t="shared" si="114"/>
        <v/>
      </c>
    </row>
    <row r="524" spans="1:21" x14ac:dyDescent="0.3">
      <c r="A524" s="4">
        <f t="shared" si="103"/>
        <v/>
      </c>
      <c r="B524" s="4">
        <f>IF(C524=1,MAX(B$2:$B523)+1,IF(F524=0,"",B523))</f>
        <v/>
      </c>
      <c r="C524" s="4">
        <f>COUNTIF($F$2:$F524,F524)</f>
      </c>
      <c r="D524" s="4">
        <f>IF(F524=0,0,MAX($D$2:D523)+1)</f>
      </c>
      <c r="E524" s="4">
        <f>IF(H524=0,0,MAX($E$2:E523)+1)</f>
      </c>
      <c r="F524" s="119"/>
      <c r="G524" s="119"/>
      <c r="H524" s="119"/>
      <c r="I524" s="4">
        <f>IFERROR(VLOOKUP(H524,H$2:H523,1,FALSE),VLOOKUP(H524,H$478:H525,1,FALSE))</f>
      </c>
      <c r="J524" s="4">
        <f t="shared" si="108"/>
        <v/>
      </c>
      <c r="K524" s="4">
        <f t="shared" si="109"/>
        <v/>
      </c>
      <c r="L524" s="4">
        <f t="shared" si="110"/>
        <v/>
      </c>
      <c r="M524" s="5">
        <f t="shared" si="104"/>
        <v/>
      </c>
      <c r="N524" s="4">
        <f t="shared" si="111"/>
        <v/>
      </c>
      <c r="O524" s="4"/>
      <c r="P524" s="4">
        <f t="shared" si="112"/>
        <v/>
      </c>
      <c r="Q524" s="4">
        <f t="shared" si="113"/>
        <v/>
      </c>
      <c r="R524" s="4">
        <f t="shared" si="105"/>
      </c>
      <c r="S524" s="4">
        <f t="shared" si="106"/>
      </c>
      <c r="T524" s="4">
        <f t="shared" si="107"/>
      </c>
      <c r="U524" s="4">
        <f t="shared" si="114"/>
        <v/>
      </c>
    </row>
    <row r="525" spans="1:21" x14ac:dyDescent="0.3">
      <c r="A525" s="4">
        <f t="shared" si="103"/>
        <v/>
      </c>
      <c r="B525" s="4">
        <f>IF(C525=1,MAX(B$2:$B524)+1,IF(F525=0,"",B524))</f>
        <v/>
      </c>
      <c r="C525" s="4">
        <f>COUNTIF($F$2:$F525,F525)</f>
      </c>
      <c r="D525" s="4">
        <f>IF(F525=0,0,MAX($D$2:D524)+1)</f>
      </c>
      <c r="E525" s="4">
        <f>IF(H525=0,0,MAX($E$2:E524)+1)</f>
      </c>
      <c r="F525" s="119"/>
      <c r="G525" s="119"/>
      <c r="H525" s="119"/>
      <c r="I525" s="4">
        <f>IFERROR(VLOOKUP(H525,H$2:H524,1,FALSE),VLOOKUP(H525,H$478:H526,1,FALSE))</f>
      </c>
      <c r="J525" s="4">
        <f t="shared" si="108"/>
        <v/>
      </c>
      <c r="K525" s="4">
        <f t="shared" si="109"/>
        <v/>
      </c>
      <c r="L525" s="4">
        <f t="shared" si="110"/>
        <v/>
      </c>
      <c r="M525" s="5">
        <f t="shared" si="104"/>
        <v/>
      </c>
      <c r="N525" s="4">
        <f t="shared" si="111"/>
        <v/>
      </c>
      <c r="O525" s="4"/>
      <c r="P525" s="4">
        <f t="shared" si="112"/>
        <v/>
      </c>
      <c r="Q525" s="4">
        <f t="shared" si="113"/>
        <v/>
      </c>
      <c r="R525" s="4">
        <f t="shared" si="105"/>
      </c>
      <c r="S525" s="4">
        <f t="shared" si="106"/>
      </c>
      <c r="T525" s="4">
        <f t="shared" si="107"/>
      </c>
      <c r="U525" s="4">
        <f t="shared" si="114"/>
        <v/>
      </c>
    </row>
    <row r="526" spans="1:21" x14ac:dyDescent="0.3">
      <c r="A526" s="4">
        <f t="shared" si="103"/>
        <v/>
      </c>
      <c r="B526" s="4">
        <f>IF(C526=1,MAX(B$2:$B525)+1,IF(F526=0,"",B525))</f>
        <v/>
      </c>
      <c r="C526" s="4">
        <f>COUNTIF($F$2:$F526,F526)</f>
      </c>
      <c r="D526" s="4">
        <f>IF(F526=0,0,MAX($D$2:D525)+1)</f>
      </c>
      <c r="E526" s="4">
        <f>IF(H526=0,0,MAX($E$2:E525)+1)</f>
      </c>
      <c r="F526" s="119"/>
      <c r="G526" s="119"/>
      <c r="H526" s="119"/>
      <c r="I526" s="4">
        <f>IFERROR(VLOOKUP(H526,H$2:H525,1,FALSE),VLOOKUP(H526,H$478:H527,1,FALSE))</f>
      </c>
      <c r="J526" s="4">
        <f t="shared" si="108"/>
        <v/>
      </c>
      <c r="K526" s="4">
        <f t="shared" si="109"/>
        <v/>
      </c>
      <c r="L526" s="4">
        <f t="shared" si="110"/>
        <v/>
      </c>
      <c r="M526" s="5">
        <f t="shared" si="104"/>
        <v/>
      </c>
      <c r="N526" s="4">
        <f t="shared" si="111"/>
        <v/>
      </c>
      <c r="O526" s="4"/>
      <c r="P526" s="4">
        <f t="shared" si="112"/>
        <v/>
      </c>
      <c r="Q526" s="4">
        <f t="shared" si="113"/>
        <v/>
      </c>
      <c r="R526" s="4">
        <f t="shared" si="105"/>
      </c>
      <c r="S526" s="4">
        <f t="shared" si="106"/>
      </c>
      <c r="T526" s="4">
        <f t="shared" si="107"/>
      </c>
      <c r="U526" s="4">
        <f t="shared" si="114"/>
        <v/>
      </c>
    </row>
    <row r="527" spans="1:21" x14ac:dyDescent="0.3">
      <c r="A527" s="4">
        <f t="shared" si="103"/>
        <v/>
      </c>
      <c r="B527" s="4">
        <f>IF(C527=1,MAX(B$2:$B526)+1,IF(F527=0,"",B526))</f>
        <v/>
      </c>
      <c r="C527" s="4">
        <f>COUNTIF($F$2:$F527,F527)</f>
      </c>
      <c r="D527" s="4">
        <f>IF(F527=0,0,MAX($D$2:D526)+1)</f>
      </c>
      <c r="E527" s="4">
        <f>IF(H527=0,0,MAX($E$2:E526)+1)</f>
      </c>
      <c r="F527" s="119"/>
      <c r="G527" s="119"/>
      <c r="H527" s="119"/>
      <c r="I527" s="4">
        <f>IFERROR(VLOOKUP(H527,H$2:H526,1,FALSE),VLOOKUP(H527,H$478:H528,1,FALSE))</f>
      </c>
      <c r="J527" s="4">
        <f t="shared" si="108"/>
        <v/>
      </c>
      <c r="K527" s="4">
        <f t="shared" si="109"/>
        <v/>
      </c>
      <c r="L527" s="4">
        <f t="shared" si="110"/>
        <v/>
      </c>
      <c r="M527" s="5">
        <f t="shared" si="104"/>
        <v/>
      </c>
      <c r="N527" s="4">
        <f t="shared" si="111"/>
        <v/>
      </c>
      <c r="O527" s="4"/>
      <c r="P527" s="4">
        <f t="shared" si="112"/>
        <v/>
      </c>
      <c r="Q527" s="4">
        <f t="shared" si="113"/>
        <v/>
      </c>
      <c r="R527" s="4">
        <f t="shared" si="105"/>
      </c>
      <c r="S527" s="4">
        <f t="shared" si="106"/>
      </c>
      <c r="T527" s="4">
        <f t="shared" si="107"/>
      </c>
      <c r="U527" s="4">
        <f t="shared" si="114"/>
        <v/>
      </c>
    </row>
    <row r="528" spans="1:21" x14ac:dyDescent="0.3">
      <c r="A528" s="4">
        <f t="shared" si="103"/>
        <v/>
      </c>
      <c r="B528" s="4">
        <f>IF(C528=1,MAX(B$2:$B527)+1,IF(F528=0,"",B527))</f>
        <v/>
      </c>
      <c r="C528" s="4">
        <f>COUNTIF($F$2:$F528,F528)</f>
      </c>
      <c r="D528" s="4">
        <f>IF(F528=0,0,MAX($D$2:D527)+1)</f>
      </c>
      <c r="E528" s="4">
        <f>IF(H528=0,0,MAX($E$2:E527)+1)</f>
      </c>
      <c r="F528" s="119"/>
      <c r="G528" s="119"/>
      <c r="H528" s="119"/>
      <c r="I528" s="4">
        <f>IFERROR(VLOOKUP(H528,H$2:H527,1,FALSE),VLOOKUP(H528,H$478:H529,1,FALSE))</f>
      </c>
      <c r="J528" s="4">
        <f t="shared" si="108"/>
        <v/>
      </c>
      <c r="K528" s="4">
        <f t="shared" si="109"/>
        <v/>
      </c>
      <c r="L528" s="4">
        <f t="shared" si="110"/>
        <v/>
      </c>
      <c r="M528" s="5">
        <f t="shared" si="104"/>
        <v/>
      </c>
      <c r="N528" s="4">
        <f t="shared" si="111"/>
        <v/>
      </c>
      <c r="O528" s="4"/>
      <c r="P528" s="4">
        <f t="shared" si="112"/>
        <v/>
      </c>
      <c r="Q528" s="4">
        <f t="shared" si="113"/>
        <v/>
      </c>
      <c r="R528" s="4">
        <f t="shared" si="105"/>
      </c>
      <c r="S528" s="4">
        <f t="shared" si="106"/>
      </c>
      <c r="T528" s="4">
        <f t="shared" si="107"/>
      </c>
      <c r="U528" s="4">
        <f t="shared" si="114"/>
        <v/>
      </c>
    </row>
    <row r="529" spans="1:21" ht="15" thickBot="1" x14ac:dyDescent="0.35">
      <c r="A529" s="4">
        <f t="shared" si="103"/>
        <v/>
      </c>
      <c r="B529" s="4">
        <f>IF(C529=1,MAX(B$2:$B528)+1,IF(F529=0,"",B528))</f>
        <v/>
      </c>
      <c r="C529" s="4">
        <f>COUNTIF($F$2:$F529,F529)</f>
      </c>
      <c r="D529" s="4">
        <f>IF(F529=0,0,MAX($D$2:D528)+1)</f>
      </c>
      <c r="E529" s="4">
        <f>IF(H529=0,0,MAX($E$2:E528)+1)</f>
      </c>
      <c r="F529" s="119"/>
      <c r="G529" s="119"/>
      <c r="H529" s="175"/>
      <c r="I529" s="4">
        <f>IFERROR(VLOOKUP(H529,H$2:H528,1,FALSE),VLOOKUP(H529,H$478:H530,1,FALSE))</f>
      </c>
      <c r="J529" s="4">
        <f t="shared" si="108"/>
        <v/>
      </c>
      <c r="K529" s="4">
        <f t="shared" si="109"/>
        <v/>
      </c>
      <c r="L529" s="4">
        <f t="shared" si="110"/>
        <v/>
      </c>
      <c r="M529" s="5">
        <f t="shared" si="104"/>
        <v/>
      </c>
      <c r="N529" s="4">
        <f t="shared" si="111"/>
        <v/>
      </c>
      <c r="O529" s="4"/>
      <c r="P529" s="4">
        <f t="shared" si="112"/>
        <v/>
      </c>
      <c r="Q529" s="4">
        <f t="shared" si="113"/>
        <v/>
      </c>
      <c r="R529" s="4">
        <f t="shared" si="105"/>
      </c>
      <c r="S529" s="4">
        <f t="shared" si="106"/>
      </c>
      <c r="T529" s="4">
        <f t="shared" si="107"/>
      </c>
      <c r="U529" s="4">
        <f t="shared" si="114"/>
        <v/>
      </c>
    </row>
    <row r="530" spans="1:21" x14ac:dyDescent="0.3">
      <c r="A530" s="4">
        <f t="shared" si="103"/>
        <v/>
      </c>
      <c r="B530" s="4">
        <f>IF(C530=1,MAX(B$2:$B529)+1,IF(F530=0,"",B529))</f>
        <v/>
      </c>
      <c r="C530" s="4">
        <f>COUNTIF($F$2:$F530,F530)</f>
      </c>
      <c r="D530" s="4">
        <f>IF(F530=0,0,MAX($D$2:D529)+1)</f>
      </c>
      <c r="E530" s="4">
        <f>IF(H530=0,0,MAX($E$2:E529)+1)</f>
      </c>
      <c r="F530" s="119"/>
      <c r="G530" s="119"/>
      <c r="H530" s="119"/>
      <c r="I530" s="4">
        <f>IFERROR(VLOOKUP(H530,H$2:H529,1,FALSE),VLOOKUP(H530,H$478:H531,1,FALSE))</f>
      </c>
      <c r="J530" s="4">
        <f t="shared" si="108"/>
        <v/>
      </c>
      <c r="K530" s="4">
        <f t="shared" si="109"/>
        <v/>
      </c>
      <c r="L530" s="4">
        <f t="shared" si="110"/>
        <v/>
      </c>
      <c r="M530" s="5">
        <f t="shared" si="104"/>
        <v/>
      </c>
      <c r="N530" s="4">
        <f t="shared" si="111"/>
        <v/>
      </c>
      <c r="O530" s="4"/>
      <c r="P530" s="4">
        <f t="shared" si="112"/>
        <v/>
      </c>
      <c r="Q530" s="4">
        <f t="shared" si="113"/>
        <v/>
      </c>
      <c r="R530" s="4">
        <f t="shared" si="105"/>
      </c>
      <c r="S530" s="4">
        <f t="shared" si="106"/>
      </c>
      <c r="T530" s="4">
        <f t="shared" si="107"/>
      </c>
      <c r="U530" s="4">
        <f t="shared" si="114"/>
        <v/>
      </c>
    </row>
    <row r="531" spans="1:21" x14ac:dyDescent="0.3">
      <c r="A531" s="4">
        <f t="shared" si="103"/>
        <v/>
      </c>
      <c r="B531" s="4">
        <f>IF(C531=1,MAX(B$2:$B530)+1,IF(F531=0,"",B530))</f>
        <v/>
      </c>
      <c r="C531" s="4">
        <f>COUNTIF($F$2:$F531,F531)</f>
      </c>
      <c r="D531" s="4">
        <f>IF(F531=0,0,MAX($D$2:D530)+1)</f>
      </c>
      <c r="E531" s="4">
        <f>IF(H531=0,0,MAX($E$2:E530)+1)</f>
      </c>
      <c r="F531" s="119"/>
      <c r="G531" s="119"/>
      <c r="H531" s="119"/>
      <c r="I531" s="4">
        <f>IFERROR(VLOOKUP(H531,H$2:H530,1,FALSE),VLOOKUP(H531,H$478:H532,1,FALSE))</f>
      </c>
      <c r="J531" s="4">
        <f t="shared" si="108"/>
        <v/>
      </c>
      <c r="K531" s="4">
        <f t="shared" si="109"/>
        <v/>
      </c>
      <c r="L531" s="4">
        <f t="shared" si="110"/>
        <v/>
      </c>
      <c r="M531" s="5">
        <f t="shared" si="104"/>
        <v/>
      </c>
      <c r="N531" s="4">
        <f t="shared" si="111"/>
        <v/>
      </c>
      <c r="O531" s="4"/>
      <c r="P531" s="4">
        <f t="shared" si="112"/>
        <v/>
      </c>
      <c r="Q531" s="4">
        <f t="shared" si="113"/>
        <v/>
      </c>
      <c r="R531" s="4">
        <f t="shared" si="105"/>
      </c>
      <c r="S531" s="4">
        <f t="shared" si="106"/>
      </c>
      <c r="T531" s="4">
        <f t="shared" si="107"/>
      </c>
      <c r="U531" s="4">
        <f t="shared" si="114"/>
        <v/>
      </c>
    </row>
    <row r="532" spans="1:21" x14ac:dyDescent="0.3">
      <c r="A532" s="4">
        <f t="shared" si="103"/>
        <v/>
      </c>
      <c r="B532" s="4">
        <f>IF(C532=1,MAX(B$2:$B531)+1,IF(F532=0,"",B531))</f>
        <v/>
      </c>
      <c r="C532" s="4">
        <f>COUNTIF($F$2:$F532,F532)</f>
      </c>
      <c r="D532" s="4">
        <f>IF(F532=0,0,MAX($D$2:D531)+1)</f>
      </c>
      <c r="E532" s="4">
        <f>IF(H532=0,0,MAX($E$2:E531)+1)</f>
      </c>
      <c r="F532" s="119"/>
      <c r="G532" s="119"/>
      <c r="H532" s="119"/>
      <c r="I532" s="4">
        <f>IFERROR(VLOOKUP(H532,H$2:H531,1,FALSE),VLOOKUP(H532,H$478:H533,1,FALSE))</f>
      </c>
      <c r="J532" s="4">
        <f t="shared" si="108"/>
        <v/>
      </c>
      <c r="K532" s="4">
        <f t="shared" si="109"/>
        <v/>
      </c>
      <c r="L532" s="4">
        <f t="shared" si="110"/>
        <v/>
      </c>
      <c r="M532" s="5">
        <f t="shared" si="104"/>
        <v/>
      </c>
      <c r="N532" s="4">
        <f t="shared" si="111"/>
        <v/>
      </c>
      <c r="O532" s="4"/>
      <c r="P532" s="4">
        <f t="shared" si="112"/>
        <v/>
      </c>
      <c r="Q532" s="4">
        <f t="shared" si="113"/>
        <v/>
      </c>
      <c r="R532" s="4">
        <f t="shared" si="105"/>
      </c>
      <c r="S532" s="4">
        <f t="shared" si="106"/>
      </c>
      <c r="T532" s="4">
        <f t="shared" si="107"/>
      </c>
      <c r="U532" s="4">
        <f t="shared" si="114"/>
        <v/>
      </c>
    </row>
    <row r="533" spans="1:21" x14ac:dyDescent="0.3">
      <c r="A533" s="4">
        <f t="shared" si="103"/>
        <v/>
      </c>
      <c r="B533" s="4">
        <f>IF(C533=1,MAX(B$2:$B532)+1,IF(F533=0,"",B532))</f>
        <v/>
      </c>
      <c r="C533" s="4">
        <f>COUNTIF($F$2:$F533,F533)</f>
      </c>
      <c r="D533" s="4">
        <f>IF(F533=0,0,MAX($D$2:D532)+1)</f>
      </c>
      <c r="E533" s="4">
        <f>IF(H533=0,0,MAX($E$2:E532)+1)</f>
      </c>
      <c r="F533" s="119"/>
      <c r="G533" s="119"/>
      <c r="H533" s="119"/>
      <c r="I533" s="4">
        <f>IFERROR(VLOOKUP(H533,H$2:H532,1,FALSE),VLOOKUP(H533,H$478:H534,1,FALSE))</f>
      </c>
      <c r="J533" s="4">
        <f t="shared" si="108"/>
        <v/>
      </c>
      <c r="K533" s="4">
        <f t="shared" si="109"/>
        <v/>
      </c>
      <c r="L533" s="4">
        <f t="shared" si="110"/>
        <v/>
      </c>
      <c r="M533" s="5">
        <f t="shared" si="104"/>
        <v/>
      </c>
      <c r="N533" s="4">
        <f t="shared" si="111"/>
        <v/>
      </c>
      <c r="O533" s="4"/>
      <c r="P533" s="4">
        <f t="shared" si="112"/>
        <v/>
      </c>
      <c r="Q533" s="4">
        <f t="shared" si="113"/>
        <v/>
      </c>
      <c r="R533" s="4">
        <f t="shared" si="105"/>
      </c>
      <c r="S533" s="4">
        <f t="shared" si="106"/>
      </c>
      <c r="T533" s="4">
        <f t="shared" si="107"/>
      </c>
      <c r="U533" s="4">
        <f t="shared" si="114"/>
        <v/>
      </c>
    </row>
    <row r="534" spans="1:21" x14ac:dyDescent="0.3">
      <c r="A534" s="4">
        <f t="shared" si="103"/>
        <v/>
      </c>
      <c r="B534" s="4">
        <f>IF(C534=1,MAX(B$2:$B533)+1,IF(F534=0,"",B533))</f>
        <v/>
      </c>
      <c r="C534" s="4">
        <f>COUNTIF($F$2:$F534,F534)</f>
      </c>
      <c r="D534" s="4">
        <f>IF(F534=0,0,MAX($D$2:D533)+1)</f>
      </c>
      <c r="E534" s="4">
        <f>IF(H534=0,0,MAX($E$2:E533)+1)</f>
      </c>
      <c r="F534" s="119"/>
      <c r="G534" s="119"/>
      <c r="H534" s="119"/>
      <c r="I534" s="4">
        <f>IFERROR(VLOOKUP(H534,H$2:H533,1,FALSE),VLOOKUP(H534,H$478:H535,1,FALSE))</f>
      </c>
      <c r="J534" s="4">
        <f t="shared" si="108"/>
        <v/>
      </c>
      <c r="K534" s="4">
        <f t="shared" si="109"/>
        <v/>
      </c>
      <c r="L534" s="4">
        <f t="shared" si="110"/>
        <v/>
      </c>
      <c r="M534" s="5">
        <f t="shared" si="104"/>
        <v/>
      </c>
      <c r="N534" s="4">
        <f t="shared" si="111"/>
        <v/>
      </c>
      <c r="O534" s="4"/>
      <c r="P534" s="4">
        <f t="shared" si="112"/>
        <v/>
      </c>
      <c r="Q534" s="4">
        <f t="shared" si="113"/>
        <v/>
      </c>
      <c r="R534" s="4">
        <f t="shared" si="105"/>
      </c>
      <c r="S534" s="4">
        <f t="shared" si="106"/>
      </c>
      <c r="T534" s="4">
        <f t="shared" si="107"/>
      </c>
      <c r="U534" s="4">
        <f t="shared" si="114"/>
        <v/>
      </c>
    </row>
    <row r="535" spans="1:21" x14ac:dyDescent="0.3">
      <c r="A535" s="4">
        <f t="shared" si="103"/>
        <v/>
      </c>
      <c r="B535" s="4">
        <f>IF(C535=1,MAX(B$2:$B534)+1,IF(F535=0,"",B534))</f>
        <v/>
      </c>
      <c r="C535" s="4">
        <f>COUNTIF($F$2:$F535,F535)</f>
      </c>
      <c r="D535" s="4">
        <f>IF(F535=0,0,MAX($D$2:D534)+1)</f>
      </c>
      <c r="E535" s="4">
        <f>IF(H535=0,0,MAX($E$2:E534)+1)</f>
      </c>
      <c r="F535" s="119"/>
      <c r="G535" s="119"/>
      <c r="H535" s="119"/>
      <c r="I535" s="4">
        <f>IFERROR(VLOOKUP(H535,H$2:H534,1,FALSE),VLOOKUP(H535,H$478:H536,1,FALSE))</f>
      </c>
      <c r="J535" s="4">
        <f t="shared" si="108"/>
        <v/>
      </c>
      <c r="K535" s="4">
        <f t="shared" si="109"/>
        <v/>
      </c>
      <c r="L535" s="4">
        <f t="shared" si="110"/>
        <v/>
      </c>
      <c r="M535" s="5">
        <f t="shared" si="104"/>
        <v/>
      </c>
      <c r="N535" s="4">
        <f t="shared" si="111"/>
        <v/>
      </c>
      <c r="O535" s="4"/>
      <c r="P535" s="4">
        <f t="shared" si="112"/>
        <v/>
      </c>
      <c r="Q535" s="4">
        <f t="shared" si="113"/>
        <v/>
      </c>
      <c r="R535" s="4">
        <f t="shared" si="105"/>
      </c>
      <c r="S535" s="4">
        <f t="shared" si="106"/>
      </c>
      <c r="T535" s="4">
        <f t="shared" si="107"/>
      </c>
      <c r="U535" s="4">
        <f t="shared" si="114"/>
        <v/>
      </c>
    </row>
    <row r="536" spans="1:21" x14ac:dyDescent="0.3">
      <c r="A536" s="4">
        <f t="shared" si="103"/>
        <v/>
      </c>
      <c r="B536" s="4">
        <f>IF(C536=1,MAX(B$2:$B535)+1,IF(F536=0,"",B535))</f>
        <v/>
      </c>
      <c r="C536" s="4">
        <f>COUNTIF($F$2:$F536,F536)</f>
      </c>
      <c r="D536" s="4">
        <f>IF(F536=0,0,MAX($D$2:D535)+1)</f>
      </c>
      <c r="E536" s="4">
        <f>IF(H536=0,0,MAX($E$2:E535)+1)</f>
      </c>
      <c r="F536" s="119"/>
      <c r="G536" s="119"/>
      <c r="H536" s="119"/>
      <c r="I536" s="4">
        <f>IFERROR(VLOOKUP(H536,H$2:H535,1,FALSE),VLOOKUP(H536,H$478:H537,1,FALSE))</f>
      </c>
      <c r="J536" s="4">
        <f t="shared" si="108"/>
        <v/>
      </c>
      <c r="K536" s="4">
        <f t="shared" si="109"/>
        <v/>
      </c>
      <c r="L536" s="4">
        <f t="shared" si="110"/>
        <v/>
      </c>
      <c r="M536" s="5">
        <f t="shared" si="104"/>
        <v/>
      </c>
      <c r="N536" s="4">
        <f t="shared" si="111"/>
        <v/>
      </c>
      <c r="O536" s="4"/>
      <c r="P536" s="4">
        <f t="shared" si="112"/>
        <v/>
      </c>
      <c r="Q536" s="4">
        <f t="shared" si="113"/>
        <v/>
      </c>
      <c r="R536" s="4">
        <f t="shared" si="105"/>
      </c>
      <c r="S536" s="4">
        <f t="shared" si="106"/>
      </c>
      <c r="T536" s="4">
        <f t="shared" si="107"/>
      </c>
      <c r="U536" s="4">
        <f t="shared" si="114"/>
        <v/>
      </c>
    </row>
    <row r="537" spans="1:21" x14ac:dyDescent="0.3">
      <c r="A537" s="4">
        <f t="shared" si="103"/>
        <v/>
      </c>
      <c r="B537" s="4">
        <f>IF(C537=1,MAX(B$2:$B536)+1,IF(F537=0,"",B536))</f>
        <v/>
      </c>
      <c r="C537" s="4">
        <f>COUNTIF($F$2:$F537,F537)</f>
      </c>
      <c r="D537" s="4">
        <f>IF(F537=0,0,MAX($D$2:D536)+1)</f>
      </c>
      <c r="E537" s="4">
        <f>IF(H537=0,0,MAX($E$2:E536)+1)</f>
      </c>
      <c r="F537" s="119"/>
      <c r="G537" s="119"/>
      <c r="H537" s="119"/>
      <c r="I537" s="4">
        <f>IFERROR(VLOOKUP(H537,H$2:H536,1,FALSE),VLOOKUP(H537,H$478:H538,1,FALSE))</f>
      </c>
      <c r="J537" s="4">
        <f t="shared" si="108"/>
        <v/>
      </c>
      <c r="K537" s="4">
        <f t="shared" si="109"/>
        <v/>
      </c>
      <c r="L537" s="4">
        <f t="shared" si="110"/>
        <v/>
      </c>
      <c r="M537" s="5">
        <f t="shared" si="104"/>
        <v/>
      </c>
      <c r="N537" s="4">
        <f t="shared" si="111"/>
        <v/>
      </c>
      <c r="O537" s="4"/>
      <c r="P537" s="4">
        <f t="shared" si="112"/>
        <v/>
      </c>
      <c r="Q537" s="4">
        <f t="shared" si="113"/>
        <v/>
      </c>
      <c r="R537" s="4">
        <f t="shared" si="105"/>
      </c>
      <c r="S537" s="4">
        <f t="shared" si="106"/>
      </c>
      <c r="T537" s="4">
        <f t="shared" si="107"/>
      </c>
      <c r="U537" s="4">
        <f t="shared" si="114"/>
        <v/>
      </c>
    </row>
    <row r="538" spans="1:21" x14ac:dyDescent="0.3">
      <c r="A538" s="4">
        <f t="shared" si="103"/>
        <v/>
      </c>
      <c r="B538" s="4">
        <f>IF(C538=1,MAX(B$2:$B537)+1,IF(F538=0,"",B537))</f>
        <v/>
      </c>
      <c r="C538" s="4">
        <f>COUNTIF($F$2:$F538,F538)</f>
      </c>
      <c r="D538" s="4">
        <f>IF(F538=0,0,MAX($D$2:D537)+1)</f>
      </c>
      <c r="E538" s="4">
        <f>IF(H538=0,0,MAX($E$2:E537)+1)</f>
      </c>
      <c r="F538" s="119"/>
      <c r="G538" s="119"/>
      <c r="H538" s="119"/>
      <c r="I538" s="4">
        <f>IFERROR(VLOOKUP(H538,H$2:H537,1,FALSE),VLOOKUP(H538,H$478:H539,1,FALSE))</f>
      </c>
      <c r="J538" s="4">
        <f t="shared" si="108"/>
        <v/>
      </c>
      <c r="K538" s="4">
        <f t="shared" si="109"/>
        <v/>
      </c>
      <c r="L538" s="4">
        <f t="shared" si="110"/>
        <v/>
      </c>
      <c r="M538" s="5">
        <f t="shared" si="104"/>
        <v/>
      </c>
      <c r="N538" s="4">
        <f t="shared" si="111"/>
        <v/>
      </c>
      <c r="O538" s="4"/>
      <c r="P538" s="4">
        <f t="shared" si="112"/>
        <v/>
      </c>
      <c r="Q538" s="4">
        <f t="shared" si="113"/>
        <v/>
      </c>
      <c r="R538" s="4">
        <f t="shared" si="105"/>
      </c>
      <c r="S538" s="4">
        <f t="shared" si="106"/>
      </c>
      <c r="T538" s="4">
        <f t="shared" si="107"/>
      </c>
      <c r="U538" s="4">
        <f t="shared" si="114"/>
        <v/>
      </c>
    </row>
    <row r="539" spans="1:21" x14ac:dyDescent="0.3">
      <c r="A539" s="4">
        <f t="shared" si="103"/>
        <v/>
      </c>
      <c r="B539" s="4">
        <f>IF(C539=1,MAX(B$2:$B538)+1,IF(F539=0,"",B538))</f>
        <v/>
      </c>
      <c r="C539" s="4">
        <f>COUNTIF($F$2:$F539,F539)</f>
      </c>
      <c r="D539" s="4">
        <f>IF(F539=0,0,MAX($D$2:D538)+1)</f>
      </c>
      <c r="E539" s="4">
        <f>IF(H539=0,0,MAX($E$2:E538)+1)</f>
      </c>
      <c r="F539" s="119"/>
      <c r="G539" s="119"/>
      <c r="H539" s="119"/>
      <c r="I539" s="4">
        <f>IFERROR(VLOOKUP(H539,H$2:H538,1,FALSE),VLOOKUP(H539,H$478:H540,1,FALSE))</f>
      </c>
      <c r="J539" s="4">
        <f t="shared" si="108"/>
        <v/>
      </c>
      <c r="K539" s="4">
        <f t="shared" si="109"/>
        <v/>
      </c>
      <c r="L539" s="4">
        <f t="shared" si="110"/>
        <v/>
      </c>
      <c r="M539" s="5">
        <f t="shared" si="104"/>
        <v/>
      </c>
      <c r="N539" s="4">
        <f t="shared" si="111"/>
        <v/>
      </c>
      <c r="O539" s="4"/>
      <c r="P539" s="4">
        <f t="shared" si="112"/>
        <v/>
      </c>
      <c r="Q539" s="4">
        <f t="shared" si="113"/>
        <v/>
      </c>
      <c r="R539" s="4">
        <f t="shared" si="105"/>
      </c>
      <c r="S539" s="4">
        <f t="shared" si="106"/>
      </c>
      <c r="T539" s="4">
        <f t="shared" si="107"/>
      </c>
      <c r="U539" s="4">
        <f t="shared" si="114"/>
        <v/>
      </c>
    </row>
    <row r="540" spans="1:21" x14ac:dyDescent="0.3">
      <c r="A540" s="4">
        <f t="shared" si="103"/>
        <v/>
      </c>
      <c r="B540" s="4">
        <f>IF(C540=1,MAX(B$2:$B539)+1,IF(F540=0,"",B539))</f>
        <v/>
      </c>
      <c r="C540" s="4">
        <f>COUNTIF($F$2:$F540,F540)</f>
      </c>
      <c r="D540" s="4">
        <f>IF(F540=0,0,MAX($D$2:D539)+1)</f>
      </c>
      <c r="E540" s="4">
        <f>IF(H540=0,0,MAX($E$2:E539)+1)</f>
      </c>
      <c r="F540" s="119"/>
      <c r="G540" s="119"/>
      <c r="H540" s="119"/>
      <c r="I540" s="4">
        <f>IFERROR(VLOOKUP(H540,H$2:H539,1,FALSE),VLOOKUP(H540,H$478:H541,1,FALSE))</f>
      </c>
      <c r="J540" s="4">
        <f t="shared" si="108"/>
        <v/>
      </c>
      <c r="K540" s="4">
        <f t="shared" si="109"/>
        <v/>
      </c>
      <c r="L540" s="4">
        <f t="shared" si="110"/>
        <v/>
      </c>
      <c r="M540" s="5">
        <f t="shared" si="104"/>
        <v/>
      </c>
      <c r="N540" s="4">
        <f t="shared" si="111"/>
        <v/>
      </c>
      <c r="O540" s="4"/>
      <c r="P540" s="4">
        <f t="shared" si="112"/>
        <v/>
      </c>
      <c r="Q540" s="4">
        <f t="shared" si="113"/>
        <v/>
      </c>
      <c r="R540" s="4">
        <f t="shared" si="105"/>
      </c>
      <c r="S540" s="4">
        <f t="shared" si="106"/>
      </c>
      <c r="T540" s="4">
        <f t="shared" si="107"/>
      </c>
      <c r="U540" s="4">
        <f t="shared" si="114"/>
        <v/>
      </c>
    </row>
    <row r="541" spans="1:21" x14ac:dyDescent="0.3">
      <c r="A541" s="4">
        <f t="shared" si="103"/>
        <v/>
      </c>
      <c r="B541" s="4">
        <f>IF(C541=1,MAX(B$2:$B540)+1,IF(F541=0,"",B540))</f>
        <v/>
      </c>
      <c r="C541" s="4">
        <f>COUNTIF($F$2:$F541,F541)</f>
      </c>
      <c r="D541" s="4">
        <f>IF(F541=0,0,MAX($D$2:D540)+1)</f>
      </c>
      <c r="E541" s="4">
        <f>IF(H541=0,0,MAX($E$2:E540)+1)</f>
      </c>
      <c r="F541" s="119"/>
      <c r="G541" s="119"/>
      <c r="H541" s="119"/>
      <c r="I541" s="4">
        <f>IFERROR(VLOOKUP(H541,H$2:H540,1,FALSE),VLOOKUP(H541,H$478:H542,1,FALSE))</f>
      </c>
      <c r="J541" s="4">
        <f t="shared" si="108"/>
        <v/>
      </c>
      <c r="K541" s="4">
        <f t="shared" si="109"/>
        <v/>
      </c>
      <c r="L541" s="4">
        <f t="shared" si="110"/>
        <v/>
      </c>
      <c r="M541" s="5">
        <f t="shared" si="104"/>
        <v/>
      </c>
      <c r="N541" s="4">
        <f t="shared" si="111"/>
        <v/>
      </c>
      <c r="O541" s="4"/>
      <c r="P541" s="4">
        <f t="shared" si="112"/>
        <v/>
      </c>
      <c r="Q541" s="4">
        <f t="shared" si="113"/>
        <v/>
      </c>
      <c r="R541" s="4">
        <f t="shared" si="105"/>
      </c>
      <c r="S541" s="4">
        <f t="shared" si="106"/>
      </c>
      <c r="T541" s="4">
        <f t="shared" si="107"/>
      </c>
      <c r="U541" s="4">
        <f t="shared" si="114"/>
        <v/>
      </c>
    </row>
    <row r="542" spans="1:21" x14ac:dyDescent="0.3">
      <c r="A542" s="4">
        <f t="shared" si="103"/>
        <v/>
      </c>
      <c r="B542" s="4">
        <f>IF(C542=1,MAX(B$2:$B541)+1,IF(F542=0,"",B541))</f>
        <v/>
      </c>
      <c r="C542" s="4">
        <f>COUNTIF($F$2:$F542,F542)</f>
      </c>
      <c r="D542" s="4">
        <f>IF(F542=0,0,MAX($D$2:D541)+1)</f>
      </c>
      <c r="E542" s="4">
        <f>IF(H542=0,0,MAX($E$2:E541)+1)</f>
      </c>
      <c r="F542" s="119"/>
      <c r="G542" s="119"/>
      <c r="H542" s="119"/>
      <c r="I542" s="4">
        <f>IFERROR(VLOOKUP(H542,H$2:H541,1,FALSE),VLOOKUP(H542,H$478:H543,1,FALSE))</f>
      </c>
      <c r="J542" s="4">
        <f t="shared" si="108"/>
        <v/>
      </c>
      <c r="K542" s="4">
        <f t="shared" si="109"/>
        <v/>
      </c>
      <c r="L542" s="4">
        <f t="shared" si="110"/>
        <v/>
      </c>
      <c r="M542" s="5">
        <f t="shared" si="104"/>
        <v/>
      </c>
      <c r="N542" s="4">
        <f t="shared" si="111"/>
        <v/>
      </c>
      <c r="O542" s="4"/>
      <c r="P542" s="4">
        <f t="shared" si="112"/>
        <v/>
      </c>
      <c r="Q542" s="4">
        <f t="shared" si="113"/>
        <v/>
      </c>
      <c r="R542" s="4">
        <f t="shared" si="105"/>
      </c>
      <c r="S542" s="4">
        <f t="shared" si="106"/>
      </c>
      <c r="T542" s="4">
        <f t="shared" si="107"/>
      </c>
      <c r="U542" s="4">
        <f t="shared" si="114"/>
        <v/>
      </c>
    </row>
    <row r="543" spans="1:21" x14ac:dyDescent="0.3">
      <c r="A543" s="4">
        <f t="shared" ref="A543:A606" si="115">IF(B543=B544,"",B543)</f>
        <v/>
      </c>
      <c r="B543" s="4">
        <f>IF(C543=1,MAX(B$2:$B542)+1,IF(F543=0,"",B542))</f>
        <v/>
      </c>
      <c r="C543" s="4">
        <f>COUNTIF($F$2:$F543,F543)</f>
      </c>
      <c r="D543" s="4">
        <f>IF(F543=0,0,MAX($D$2:D542)+1)</f>
      </c>
      <c r="E543" s="4">
        <f>IF(H543=0,0,MAX($E$2:E542)+1)</f>
      </c>
      <c r="F543" s="119"/>
      <c r="G543" s="119"/>
      <c r="H543" s="119"/>
      <c r="I543" s="4">
        <f>IFERROR(VLOOKUP(H543,H$2:H542,1,FALSE),VLOOKUP(H543,H$478:H544,1,FALSE))</f>
      </c>
      <c r="J543" s="4">
        <f t="shared" si="108"/>
        <v/>
      </c>
      <c r="K543" s="4">
        <f t="shared" si="109"/>
        <v/>
      </c>
      <c r="L543" s="4">
        <f t="shared" si="110"/>
        <v/>
      </c>
      <c r="M543" s="5">
        <f t="shared" ref="M543:M606" si="116">IFERROR(VLOOKUP(H543,Нагрузка_диапазон_1,4,FALSE),"")</f>
        <v/>
      </c>
      <c r="N543" s="4">
        <f t="shared" si="111"/>
        <v/>
      </c>
      <c r="O543" s="4"/>
      <c r="P543" s="4">
        <f t="shared" si="112"/>
        <v/>
      </c>
      <c r="Q543" s="4">
        <f t="shared" si="113"/>
        <v/>
      </c>
      <c r="R543" s="4">
        <f t="shared" ref="R543:R606" si="117">IF(Q543=3,"L1,L2,L3",0)</f>
      </c>
      <c r="S543" s="4">
        <f t="shared" ref="S543:S606" si="118">IF(C543=1,1,IF(Q543=3,S542,IF(S542=3,1,S542+1)))</f>
      </c>
      <c r="T543" s="4">
        <f t="shared" ref="T543:T606" si="119">IF(R543=0,"L"&amp;S543,R543)</f>
      </c>
      <c r="U543" s="4">
        <f t="shared" si="114"/>
        <v/>
      </c>
    </row>
    <row r="544" spans="1:21" x14ac:dyDescent="0.3">
      <c r="A544" s="4">
        <f t="shared" si="115"/>
        <v/>
      </c>
      <c r="B544" s="4">
        <f>IF(C544=1,MAX(B$2:$B543)+1,IF(F544=0,"",B543))</f>
        <v/>
      </c>
      <c r="C544" s="4">
        <f>COUNTIF($F$2:$F544,F544)</f>
      </c>
      <c r="D544" s="4">
        <f>IF(F544=0,0,MAX($D$2:D543)+1)</f>
      </c>
      <c r="E544" s="4">
        <f>IF(H544=0,0,MAX($E$2:E543)+1)</f>
      </c>
      <c r="F544" s="119"/>
      <c r="G544" s="119"/>
      <c r="H544" s="119"/>
      <c r="I544" s="4">
        <f>IFERROR(VLOOKUP(H544,H$2:H543,1,FALSE),VLOOKUP(H544,H$478:H545,1,FALSE))</f>
      </c>
      <c r="J544" s="4">
        <f t="shared" si="108"/>
        <v/>
      </c>
      <c r="K544" s="4">
        <f t="shared" si="109"/>
        <v/>
      </c>
      <c r="L544" s="4">
        <f t="shared" si="110"/>
        <v/>
      </c>
      <c r="M544" s="5">
        <f t="shared" si="116"/>
        <v/>
      </c>
      <c r="N544" s="4">
        <f t="shared" si="111"/>
        <v/>
      </c>
      <c r="O544" s="4"/>
      <c r="P544" s="4">
        <f t="shared" si="112"/>
        <v/>
      </c>
      <c r="Q544" s="4">
        <f t="shared" si="113"/>
        <v/>
      </c>
      <c r="R544" s="4">
        <f t="shared" si="117"/>
      </c>
      <c r="S544" s="4">
        <f t="shared" si="118"/>
      </c>
      <c r="T544" s="4">
        <f t="shared" si="119"/>
      </c>
      <c r="U544" s="4">
        <f t="shared" si="114"/>
        <v/>
      </c>
    </row>
    <row r="545" spans="1:21" x14ac:dyDescent="0.3">
      <c r="A545" s="4">
        <f t="shared" si="115"/>
        <v/>
      </c>
      <c r="B545" s="4">
        <f>IF(C545=1,MAX(B$2:$B544)+1,IF(F545=0,"",B544))</f>
        <v/>
      </c>
      <c r="C545" s="4">
        <f>COUNTIF($F$2:$F545,F545)</f>
      </c>
      <c r="D545" s="4">
        <f>IF(F545=0,0,MAX($D$2:D544)+1)</f>
      </c>
      <c r="E545" s="4">
        <f>IF(H545=0,0,MAX($E$2:E544)+1)</f>
      </c>
      <c r="F545" s="119"/>
      <c r="G545" s="119"/>
      <c r="H545" s="119"/>
      <c r="I545" s="4">
        <f>IFERROR(VLOOKUP(H545,H$2:H544,1,FALSE),VLOOKUP(H545,H$478:H546,1,FALSE))</f>
      </c>
      <c r="J545" s="4">
        <f t="shared" si="108"/>
        <v/>
      </c>
      <c r="K545" s="4">
        <f t="shared" si="109"/>
        <v/>
      </c>
      <c r="L545" s="4">
        <f t="shared" si="110"/>
        <v/>
      </c>
      <c r="M545" s="5">
        <f t="shared" si="116"/>
        <v/>
      </c>
      <c r="N545" s="4">
        <f t="shared" si="111"/>
        <v/>
      </c>
      <c r="O545" s="4"/>
      <c r="P545" s="4">
        <f t="shared" si="112"/>
        <v/>
      </c>
      <c r="Q545" s="4">
        <f t="shared" si="113"/>
        <v/>
      </c>
      <c r="R545" s="4">
        <f t="shared" si="117"/>
      </c>
      <c r="S545" s="4">
        <f t="shared" si="118"/>
      </c>
      <c r="T545" s="4">
        <f t="shared" si="119"/>
      </c>
      <c r="U545" s="4">
        <f t="shared" si="114"/>
        <v/>
      </c>
    </row>
    <row r="546" spans="1:21" ht="15" thickBot="1" x14ac:dyDescent="0.35">
      <c r="A546" s="4">
        <f t="shared" si="115"/>
        <v/>
      </c>
      <c r="B546" s="4">
        <f>IF(C546=1,MAX(B$2:$B545)+1,IF(F546=0,"",B545))</f>
        <v/>
      </c>
      <c r="C546" s="4">
        <f>COUNTIF($F$2:$F546,F546)</f>
      </c>
      <c r="D546" s="4">
        <f>IF(F546=0,0,MAX($D$2:D545)+1)</f>
      </c>
      <c r="E546" s="4">
        <f>IF(H546=0,0,MAX($E$2:E545)+1)</f>
      </c>
      <c r="F546" s="119"/>
      <c r="G546" s="119"/>
      <c r="H546" s="175"/>
      <c r="I546" s="4">
        <f>IFERROR(VLOOKUP(H546,H$2:H545,1,FALSE),VLOOKUP(H546,H$478:H547,1,FALSE))</f>
      </c>
      <c r="J546" s="4">
        <f t="shared" si="108"/>
        <v/>
      </c>
      <c r="K546" s="4">
        <f t="shared" si="109"/>
        <v/>
      </c>
      <c r="L546" s="4">
        <f t="shared" si="110"/>
        <v/>
      </c>
      <c r="M546" s="5">
        <f t="shared" si="116"/>
        <v/>
      </c>
      <c r="N546" s="4">
        <f t="shared" si="111"/>
        <v/>
      </c>
      <c r="O546" s="4"/>
      <c r="P546" s="4">
        <f t="shared" si="112"/>
        <v/>
      </c>
      <c r="Q546" s="4">
        <f t="shared" si="113"/>
        <v/>
      </c>
      <c r="R546" s="4">
        <f t="shared" si="117"/>
      </c>
      <c r="S546" s="4">
        <f t="shared" si="118"/>
      </c>
      <c r="T546" s="4">
        <f t="shared" si="119"/>
      </c>
      <c r="U546" s="4">
        <f t="shared" si="114"/>
        <v/>
      </c>
    </row>
    <row r="547" spans="1:21" x14ac:dyDescent="0.3">
      <c r="A547" s="4">
        <f t="shared" si="115"/>
        <v/>
      </c>
      <c r="B547" s="4">
        <f>IF(C547=1,MAX(B$2:$B546)+1,IF(F547=0,"",B546))</f>
        <v/>
      </c>
      <c r="C547" s="4">
        <f>COUNTIF($F$2:$F547,F547)</f>
      </c>
      <c r="D547" s="4">
        <f>IF(F547=0,0,MAX($D$2:D546)+1)</f>
      </c>
      <c r="E547" s="4">
        <f>IF(H547=0,0,MAX($E$2:E546)+1)</f>
      </c>
      <c r="F547" s="119"/>
      <c r="G547" s="119"/>
      <c r="H547" s="177"/>
      <c r="I547" s="4">
        <f>IFERROR(VLOOKUP(H547,H$2:H546,1,FALSE),VLOOKUP(H547,H$478:H548,1,FALSE))</f>
      </c>
      <c r="J547" s="4">
        <f t="shared" si="108"/>
        <v/>
      </c>
      <c r="K547" s="4">
        <f t="shared" si="109"/>
        <v/>
      </c>
      <c r="L547" s="4">
        <f t="shared" si="110"/>
        <v/>
      </c>
      <c r="M547" s="5">
        <f t="shared" si="116"/>
        <v/>
      </c>
      <c r="N547" s="4">
        <f t="shared" si="111"/>
        <v/>
      </c>
      <c r="O547" s="4"/>
      <c r="P547" s="4">
        <f t="shared" si="112"/>
        <v/>
      </c>
      <c r="Q547" s="4">
        <f t="shared" si="113"/>
        <v/>
      </c>
      <c r="R547" s="4">
        <f t="shared" si="117"/>
      </c>
      <c r="S547" s="4">
        <f t="shared" si="118"/>
      </c>
      <c r="T547" s="4">
        <f t="shared" si="119"/>
      </c>
      <c r="U547" s="4">
        <f t="shared" si="114"/>
        <v/>
      </c>
    </row>
    <row r="548" spans="1:21" x14ac:dyDescent="0.3">
      <c r="A548" s="4">
        <f t="shared" si="115"/>
        <v/>
      </c>
      <c r="B548" s="4">
        <f>IF(C548=1,MAX(B$2:$B547)+1,IF(F548=0,"",B547))</f>
        <v/>
      </c>
      <c r="C548" s="4">
        <f>COUNTIF($F$2:$F548,F548)</f>
      </c>
      <c r="D548" s="4">
        <f>IF(F548=0,0,MAX($D$2:D547)+1)</f>
      </c>
      <c r="E548" s="4">
        <f>IF(H548=0,0,MAX($E$2:E547)+1)</f>
      </c>
      <c r="F548" s="119"/>
      <c r="G548" s="119"/>
      <c r="H548" s="119"/>
      <c r="I548" s="4">
        <f>IFERROR(VLOOKUP(H548,H$2:H547,1,FALSE),VLOOKUP(H548,H$478:H549,1,FALSE))</f>
      </c>
      <c r="J548" s="4">
        <f t="shared" si="108"/>
        <v/>
      </c>
      <c r="K548" s="4">
        <f t="shared" si="109"/>
        <v/>
      </c>
      <c r="L548" s="4">
        <f t="shared" si="110"/>
        <v/>
      </c>
      <c r="M548" s="5">
        <f t="shared" si="116"/>
        <v/>
      </c>
      <c r="N548" s="4">
        <f t="shared" si="111"/>
        <v/>
      </c>
      <c r="O548" s="4"/>
      <c r="P548" s="4">
        <f t="shared" si="112"/>
        <v/>
      </c>
      <c r="Q548" s="4">
        <f t="shared" si="113"/>
        <v/>
      </c>
      <c r="R548" s="4">
        <f t="shared" si="117"/>
      </c>
      <c r="S548" s="4">
        <f t="shared" si="118"/>
      </c>
      <c r="T548" s="4">
        <f t="shared" si="119"/>
      </c>
      <c r="U548" s="4">
        <f t="shared" si="114"/>
        <v/>
      </c>
    </row>
    <row r="549" spans="1:21" x14ac:dyDescent="0.3">
      <c r="A549" s="4">
        <f t="shared" si="115"/>
        <v/>
      </c>
      <c r="B549" s="4">
        <f>IF(C549=1,MAX(B$2:$B548)+1,IF(F549=0,"",B548))</f>
        <v/>
      </c>
      <c r="C549" s="4">
        <f>COUNTIF($F$2:$F549,F549)</f>
      </c>
      <c r="D549" s="4">
        <f>IF(F549=0,0,MAX($D$2:D548)+1)</f>
      </c>
      <c r="E549" s="4">
        <f>IF(H549=0,0,MAX($E$2:E548)+1)</f>
      </c>
      <c r="F549" s="119"/>
      <c r="G549" s="119"/>
      <c r="H549" s="119"/>
      <c r="I549" s="4">
        <f>IFERROR(VLOOKUP(H549,H$2:H548,1,FALSE),VLOOKUP(H549,H$478:H550,1,FALSE))</f>
      </c>
      <c r="J549" s="4">
        <f t="shared" si="108"/>
        <v/>
      </c>
      <c r="K549" s="4">
        <f t="shared" si="109"/>
        <v/>
      </c>
      <c r="L549" s="4">
        <f t="shared" si="110"/>
        <v/>
      </c>
      <c r="M549" s="5">
        <f t="shared" si="116"/>
        <v/>
      </c>
      <c r="N549" s="4">
        <f t="shared" si="111"/>
        <v/>
      </c>
      <c r="O549" s="4"/>
      <c r="P549" s="4">
        <f t="shared" si="112"/>
        <v/>
      </c>
      <c r="Q549" s="4">
        <f t="shared" si="113"/>
        <v/>
      </c>
      <c r="R549" s="4">
        <f t="shared" si="117"/>
      </c>
      <c r="S549" s="4">
        <f t="shared" si="118"/>
      </c>
      <c r="T549" s="4">
        <f t="shared" si="119"/>
      </c>
      <c r="U549" s="4">
        <f t="shared" si="114"/>
        <v/>
      </c>
    </row>
    <row r="550" spans="1:21" x14ac:dyDescent="0.3">
      <c r="A550" s="4">
        <f t="shared" si="115"/>
        <v/>
      </c>
      <c r="B550" s="4">
        <f>IF(C550=1,MAX(B$2:$B549)+1,IF(F550=0,"",B549))</f>
        <v/>
      </c>
      <c r="C550" s="4">
        <f>COUNTIF($F$2:$F550,F550)</f>
      </c>
      <c r="D550" s="4">
        <f>IF(F550=0,0,MAX($D$2:D549)+1)</f>
      </c>
      <c r="E550" s="4">
        <f>IF(H550=0,0,MAX($E$2:E549)+1)</f>
      </c>
      <c r="F550" s="119"/>
      <c r="G550" s="119"/>
      <c r="H550" s="119"/>
      <c r="I550" s="4">
        <f>IFERROR(VLOOKUP(H550,H$2:H549,1,FALSE),VLOOKUP(H550,H$478:H551,1,FALSE))</f>
      </c>
      <c r="J550" s="4">
        <f t="shared" si="108"/>
        <v/>
      </c>
      <c r="K550" s="4">
        <f t="shared" si="109"/>
        <v/>
      </c>
      <c r="L550" s="4">
        <f t="shared" si="110"/>
        <v/>
      </c>
      <c r="M550" s="5">
        <f t="shared" si="116"/>
        <v/>
      </c>
      <c r="N550" s="4">
        <f t="shared" si="111"/>
        <v/>
      </c>
      <c r="O550" s="4"/>
      <c r="P550" s="4">
        <f t="shared" si="112"/>
        <v/>
      </c>
      <c r="Q550" s="4">
        <f t="shared" si="113"/>
        <v/>
      </c>
      <c r="R550" s="4">
        <f t="shared" si="117"/>
      </c>
      <c r="S550" s="4">
        <f t="shared" si="118"/>
      </c>
      <c r="T550" s="4">
        <f t="shared" si="119"/>
      </c>
      <c r="U550" s="4">
        <f t="shared" si="114"/>
        <v/>
      </c>
    </row>
    <row r="551" spans="1:21" x14ac:dyDescent="0.3">
      <c r="A551" s="4">
        <f t="shared" si="115"/>
        <v/>
      </c>
      <c r="B551" s="4">
        <f>IF(C551=1,MAX(B$2:$B550)+1,IF(F551=0,"",B550))</f>
        <v/>
      </c>
      <c r="C551" s="4">
        <f>COUNTIF($F$2:$F551,F551)</f>
      </c>
      <c r="D551" s="4">
        <f>IF(F551=0,0,MAX($D$2:D550)+1)</f>
      </c>
      <c r="E551" s="4">
        <f>IF(H551=0,0,MAX($E$2:E550)+1)</f>
      </c>
      <c r="F551" s="119"/>
      <c r="G551" s="119"/>
      <c r="H551" s="119"/>
      <c r="I551" s="4">
        <f>IFERROR(VLOOKUP(H551,H$2:H550,1,FALSE),VLOOKUP(H551,H$478:H552,1,FALSE))</f>
      </c>
      <c r="J551" s="4">
        <f t="shared" si="108"/>
        <v/>
      </c>
      <c r="K551" s="4">
        <f t="shared" si="109"/>
        <v/>
      </c>
      <c r="L551" s="4">
        <f t="shared" si="110"/>
        <v/>
      </c>
      <c r="M551" s="5">
        <f t="shared" si="116"/>
        <v/>
      </c>
      <c r="N551" s="4">
        <f t="shared" si="111"/>
        <v/>
      </c>
      <c r="O551" s="4"/>
      <c r="P551" s="4">
        <f t="shared" si="112"/>
        <v/>
      </c>
      <c r="Q551" s="4">
        <f t="shared" si="113"/>
        <v/>
      </c>
      <c r="R551" s="4">
        <f t="shared" si="117"/>
      </c>
      <c r="S551" s="4">
        <f t="shared" si="118"/>
      </c>
      <c r="T551" s="4">
        <f t="shared" si="119"/>
      </c>
      <c r="U551" s="4">
        <f t="shared" si="114"/>
        <v/>
      </c>
    </row>
    <row r="552" spans="1:21" x14ac:dyDescent="0.3">
      <c r="A552" s="4">
        <f t="shared" si="115"/>
        <v/>
      </c>
      <c r="B552" s="4">
        <f>IF(C552=1,MAX(B$2:$B551)+1,IF(F552=0,"",B551))</f>
        <v/>
      </c>
      <c r="C552" s="4">
        <f>COUNTIF($F$2:$F552,F552)</f>
      </c>
      <c r="D552" s="4">
        <f>IF(F552=0,0,MAX($D$2:D551)+1)</f>
      </c>
      <c r="E552" s="4">
        <f>IF(H552=0,0,MAX($E$2:E551)+1)</f>
      </c>
      <c r="F552" s="119"/>
      <c r="G552" s="119"/>
      <c r="H552" s="119"/>
      <c r="I552" s="4">
        <f>IFERROR(VLOOKUP(H552,H$2:H551,1,FALSE),VLOOKUP(H552,H$478:H553,1,FALSE))</f>
      </c>
      <c r="J552" s="4">
        <f t="shared" si="108"/>
        <v/>
      </c>
      <c r="K552" s="4">
        <f t="shared" si="109"/>
        <v/>
      </c>
      <c r="L552" s="4">
        <f t="shared" si="110"/>
        <v/>
      </c>
      <c r="M552" s="5">
        <f t="shared" si="116"/>
        <v/>
      </c>
      <c r="N552" s="4">
        <f t="shared" si="111"/>
        <v/>
      </c>
      <c r="O552" s="4"/>
      <c r="P552" s="4">
        <f t="shared" si="112"/>
        <v/>
      </c>
      <c r="Q552" s="4">
        <f t="shared" si="113"/>
        <v/>
      </c>
      <c r="R552" s="4">
        <f t="shared" si="117"/>
      </c>
      <c r="S552" s="4">
        <f t="shared" si="118"/>
      </c>
      <c r="T552" s="4">
        <f t="shared" si="119"/>
      </c>
      <c r="U552" s="4">
        <f t="shared" si="114"/>
        <v/>
      </c>
    </row>
    <row r="553" spans="1:21" x14ac:dyDescent="0.3">
      <c r="A553" s="4">
        <f t="shared" si="115"/>
        <v/>
      </c>
      <c r="B553" s="4">
        <f>IF(C553=1,MAX(B$2:$B552)+1,IF(F553=0,"",B552))</f>
        <v/>
      </c>
      <c r="C553" s="4">
        <f>COUNTIF($F$2:$F553,F553)</f>
      </c>
      <c r="D553" s="4">
        <f>IF(F553=0,0,MAX($D$2:D552)+1)</f>
      </c>
      <c r="E553" s="4">
        <f>IF(H553=0,0,MAX($E$2:E552)+1)</f>
      </c>
      <c r="F553" s="119"/>
      <c r="G553" s="119"/>
      <c r="H553" s="119"/>
      <c r="I553" s="4">
        <f>IFERROR(VLOOKUP(H553,H$2:H552,1,FALSE),VLOOKUP(H553,H$478:H554,1,FALSE))</f>
      </c>
      <c r="J553" s="4">
        <f t="shared" si="108"/>
        <v/>
      </c>
      <c r="K553" s="4">
        <f t="shared" si="109"/>
        <v/>
      </c>
      <c r="L553" s="4">
        <f t="shared" si="110"/>
        <v/>
      </c>
      <c r="M553" s="5">
        <f t="shared" si="116"/>
        <v/>
      </c>
      <c r="N553" s="4">
        <f t="shared" si="111"/>
        <v/>
      </c>
      <c r="O553" s="4"/>
      <c r="P553" s="4">
        <f t="shared" si="112"/>
        <v/>
      </c>
      <c r="Q553" s="4">
        <f t="shared" si="113"/>
        <v/>
      </c>
      <c r="R553" s="4">
        <f t="shared" si="117"/>
      </c>
      <c r="S553" s="4">
        <f t="shared" si="118"/>
      </c>
      <c r="T553" s="4">
        <f t="shared" si="119"/>
      </c>
      <c r="U553" s="4">
        <f t="shared" si="114"/>
        <v/>
      </c>
    </row>
    <row r="554" spans="1:21" x14ac:dyDescent="0.3">
      <c r="A554" s="4">
        <f t="shared" si="115"/>
        <v/>
      </c>
      <c r="B554" s="4">
        <f>IF(C554=1,MAX(B$2:$B553)+1,IF(F554=0,"",B553))</f>
        <v/>
      </c>
      <c r="C554" s="4">
        <f>COUNTIF($F$2:$F554,F554)</f>
      </c>
      <c r="D554" s="4">
        <f>IF(F554=0,0,MAX($D$2:D553)+1)</f>
      </c>
      <c r="E554" s="4">
        <f>IF(H554=0,0,MAX($E$2:E553)+1)</f>
      </c>
      <c r="F554" s="119"/>
      <c r="G554" s="119"/>
      <c r="H554" s="119"/>
      <c r="I554" s="4">
        <f>IFERROR(VLOOKUP(H554,H$2:H553,1,FALSE),VLOOKUP(H554,H$478:H555,1,FALSE))</f>
      </c>
      <c r="J554" s="4">
        <f t="shared" si="108"/>
        <v/>
      </c>
      <c r="K554" s="4">
        <f t="shared" si="109"/>
        <v/>
      </c>
      <c r="L554" s="4">
        <f t="shared" si="110"/>
        <v/>
      </c>
      <c r="M554" s="5">
        <f t="shared" si="116"/>
        <v/>
      </c>
      <c r="N554" s="4">
        <f t="shared" si="111"/>
        <v/>
      </c>
      <c r="O554" s="4"/>
      <c r="P554" s="4">
        <f t="shared" si="112"/>
        <v/>
      </c>
      <c r="Q554" s="4">
        <f t="shared" si="113"/>
        <v/>
      </c>
      <c r="R554" s="4">
        <f t="shared" si="117"/>
      </c>
      <c r="S554" s="4">
        <f t="shared" si="118"/>
      </c>
      <c r="T554" s="4">
        <f t="shared" si="119"/>
      </c>
      <c r="U554" s="4">
        <f t="shared" si="114"/>
        <v/>
      </c>
    </row>
    <row r="555" spans="1:21" x14ac:dyDescent="0.3">
      <c r="A555" s="4">
        <f t="shared" si="115"/>
        <v/>
      </c>
      <c r="B555" s="4">
        <f>IF(C555=1,MAX(B$2:$B554)+1,IF(F555=0,"",B554))</f>
        <v/>
      </c>
      <c r="C555" s="4">
        <f>COUNTIF($F$2:$F555,F555)</f>
      </c>
      <c r="D555" s="4">
        <f>IF(F555=0,0,MAX($D$2:D554)+1)</f>
      </c>
      <c r="E555" s="4">
        <f>IF(H555=0,0,MAX($E$2:E554)+1)</f>
      </c>
      <c r="F555" s="119"/>
      <c r="G555" s="119"/>
      <c r="H555" s="119"/>
      <c r="I555" s="4">
        <f>IFERROR(VLOOKUP(H555,H$2:H554,1,FALSE),VLOOKUP(H555,H$478:H556,1,FALSE))</f>
      </c>
      <c r="J555" s="4">
        <f t="shared" si="108"/>
        <v/>
      </c>
      <c r="K555" s="4">
        <f t="shared" si="109"/>
        <v/>
      </c>
      <c r="L555" s="4">
        <f t="shared" si="110"/>
        <v/>
      </c>
      <c r="M555" s="5">
        <f t="shared" si="116"/>
        <v/>
      </c>
      <c r="N555" s="4">
        <f t="shared" si="111"/>
        <v/>
      </c>
      <c r="O555" s="4"/>
      <c r="P555" s="4">
        <f t="shared" si="112"/>
        <v/>
      </c>
      <c r="Q555" s="4">
        <f t="shared" si="113"/>
        <v/>
      </c>
      <c r="R555" s="4">
        <f t="shared" si="117"/>
      </c>
      <c r="S555" s="4">
        <f t="shared" si="118"/>
      </c>
      <c r="T555" s="4">
        <f t="shared" si="119"/>
      </c>
      <c r="U555" s="4">
        <f t="shared" si="114"/>
        <v/>
      </c>
    </row>
    <row r="556" spans="1:21" x14ac:dyDescent="0.3">
      <c r="A556" s="4">
        <f t="shared" si="115"/>
        <v/>
      </c>
      <c r="B556" s="4">
        <f>IF(C556=1,MAX(B$2:$B555)+1,IF(F556=0,"",B555))</f>
        <v/>
      </c>
      <c r="C556" s="4">
        <f>COUNTIF($F$2:$F556,F556)</f>
      </c>
      <c r="D556" s="4">
        <f>IF(F556=0,0,MAX($D$2:D555)+1)</f>
      </c>
      <c r="E556" s="4">
        <f>IF(H556=0,0,MAX($E$2:E555)+1)</f>
      </c>
      <c r="F556" s="119"/>
      <c r="G556" s="119"/>
      <c r="H556" s="119"/>
      <c r="I556" s="4">
        <f>IFERROR(VLOOKUP(H556,H$2:H555,1,FALSE),VLOOKUP(H556,H$478:H557,1,FALSE))</f>
      </c>
      <c r="J556" s="4">
        <f t="shared" si="108"/>
        <v/>
      </c>
      <c r="K556" s="4">
        <f t="shared" si="109"/>
        <v/>
      </c>
      <c r="L556" s="4">
        <f t="shared" si="110"/>
        <v/>
      </c>
      <c r="M556" s="5">
        <f t="shared" si="116"/>
        <v/>
      </c>
      <c r="N556" s="4">
        <f t="shared" si="111"/>
        <v/>
      </c>
      <c r="O556" s="4"/>
      <c r="P556" s="4">
        <f t="shared" si="112"/>
        <v/>
      </c>
      <c r="Q556" s="4">
        <f t="shared" si="113"/>
        <v/>
      </c>
      <c r="R556" s="4">
        <f t="shared" si="117"/>
      </c>
      <c r="S556" s="4">
        <f t="shared" si="118"/>
      </c>
      <c r="T556" s="4">
        <f t="shared" si="119"/>
      </c>
      <c r="U556" s="4">
        <f t="shared" si="114"/>
        <v/>
      </c>
    </row>
    <row r="557" spans="1:21" x14ac:dyDescent="0.3">
      <c r="A557" s="4">
        <f t="shared" si="115"/>
        <v/>
      </c>
      <c r="B557" s="4">
        <f>IF(C557=1,MAX(B$2:$B556)+1,IF(F557=0,"",B556))</f>
        <v/>
      </c>
      <c r="C557" s="4">
        <f>COUNTIF($F$2:$F557,F557)</f>
      </c>
      <c r="D557" s="4">
        <f>IF(F557=0,0,MAX($D$2:D556)+1)</f>
      </c>
      <c r="E557" s="4">
        <f>IF(H557=0,0,MAX($E$2:E556)+1)</f>
      </c>
      <c r="F557" s="119"/>
      <c r="G557" s="119"/>
      <c r="H557" s="119"/>
      <c r="I557" s="4">
        <f>IFERROR(VLOOKUP(H557,H$2:H556,1,FALSE),VLOOKUP(H557,H$478:H558,1,FALSE))</f>
      </c>
      <c r="J557" s="4">
        <f t="shared" si="108"/>
        <v/>
      </c>
      <c r="K557" s="4">
        <f t="shared" si="109"/>
        <v/>
      </c>
      <c r="L557" s="4">
        <f t="shared" si="110"/>
        <v/>
      </c>
      <c r="M557" s="5">
        <f t="shared" si="116"/>
        <v/>
      </c>
      <c r="N557" s="4">
        <f t="shared" si="111"/>
        <v/>
      </c>
      <c r="O557" s="4"/>
      <c r="P557" s="4">
        <f t="shared" si="112"/>
        <v/>
      </c>
      <c r="Q557" s="4">
        <f t="shared" si="113"/>
        <v/>
      </c>
      <c r="R557" s="4">
        <f t="shared" si="117"/>
      </c>
      <c r="S557" s="4">
        <f t="shared" si="118"/>
      </c>
      <c r="T557" s="4">
        <f t="shared" si="119"/>
      </c>
      <c r="U557" s="4">
        <f t="shared" si="114"/>
        <v/>
      </c>
    </row>
    <row r="558" spans="1:21" x14ac:dyDescent="0.3">
      <c r="A558" s="4">
        <f t="shared" si="115"/>
        <v/>
      </c>
      <c r="B558" s="4">
        <f>IF(C558=1,MAX(B$2:$B557)+1,IF(F558=0,"",B557))</f>
        <v/>
      </c>
      <c r="C558" s="4">
        <f>COUNTIF($F$2:$F558,F558)</f>
      </c>
      <c r="D558" s="4">
        <f>IF(F558=0,0,MAX($D$2:D557)+1)</f>
      </c>
      <c r="E558" s="4">
        <f>IF(H558=0,0,MAX($E$2:E557)+1)</f>
      </c>
      <c r="F558" s="119"/>
      <c r="G558" s="119"/>
      <c r="H558" s="119"/>
      <c r="I558" s="4">
        <f>IFERROR(VLOOKUP(H558,H$2:H557,1,FALSE),VLOOKUP(H558,H$478:H559,1,FALSE))</f>
      </c>
      <c r="J558" s="4">
        <f t="shared" si="108"/>
        <v/>
      </c>
      <c r="K558" s="4">
        <f t="shared" si="109"/>
        <v/>
      </c>
      <c r="L558" s="4">
        <f t="shared" si="110"/>
        <v/>
      </c>
      <c r="M558" s="5">
        <f t="shared" si="116"/>
        <v/>
      </c>
      <c r="N558" s="4">
        <f t="shared" si="111"/>
        <v/>
      </c>
      <c r="O558" s="4"/>
      <c r="P558" s="4">
        <f t="shared" si="112"/>
        <v/>
      </c>
      <c r="Q558" s="4">
        <f t="shared" si="113"/>
        <v/>
      </c>
      <c r="R558" s="4">
        <f t="shared" si="117"/>
      </c>
      <c r="S558" s="4">
        <f t="shared" si="118"/>
      </c>
      <c r="T558" s="4">
        <f t="shared" si="119"/>
      </c>
      <c r="U558" s="4">
        <f t="shared" si="114"/>
        <v/>
      </c>
    </row>
    <row r="559" spans="1:21" x14ac:dyDescent="0.3">
      <c r="A559" s="4">
        <f t="shared" si="115"/>
        <v/>
      </c>
      <c r="B559" s="4">
        <f>IF(C559=1,MAX(B$2:$B558)+1,IF(F559=0,"",B558))</f>
        <v/>
      </c>
      <c r="C559" s="4">
        <f>COUNTIF($F$2:$F559,F559)</f>
      </c>
      <c r="D559" s="4">
        <f>IF(F559=0,0,MAX($D$2:D558)+1)</f>
      </c>
      <c r="E559" s="4">
        <f>IF(H559=0,0,MAX($E$2:E558)+1)</f>
      </c>
      <c r="F559" s="119"/>
      <c r="G559" s="119"/>
      <c r="H559" s="119"/>
      <c r="I559" s="4">
        <f>IFERROR(VLOOKUP(H559,H$2:H558,1,FALSE),VLOOKUP(H559,H$478:H560,1,FALSE))</f>
      </c>
      <c r="J559" s="4">
        <f t="shared" si="108"/>
        <v/>
      </c>
      <c r="K559" s="4">
        <f t="shared" si="109"/>
        <v/>
      </c>
      <c r="L559" s="4">
        <f t="shared" si="110"/>
        <v/>
      </c>
      <c r="M559" s="5">
        <f t="shared" si="116"/>
        <v/>
      </c>
      <c r="N559" s="4">
        <f t="shared" si="111"/>
        <v/>
      </c>
      <c r="O559" s="4"/>
      <c r="P559" s="4">
        <f t="shared" si="112"/>
        <v/>
      </c>
      <c r="Q559" s="4">
        <f t="shared" si="113"/>
        <v/>
      </c>
      <c r="R559" s="4">
        <f t="shared" si="117"/>
      </c>
      <c r="S559" s="4">
        <f t="shared" si="118"/>
      </c>
      <c r="T559" s="4">
        <f t="shared" si="119"/>
      </c>
      <c r="U559" s="4">
        <f t="shared" si="114"/>
        <v/>
      </c>
    </row>
    <row r="560" spans="1:21" x14ac:dyDescent="0.3">
      <c r="A560" s="4">
        <f t="shared" si="115"/>
        <v/>
      </c>
      <c r="B560" s="4">
        <f>IF(C560=1,MAX(B$2:$B559)+1,IF(F560=0,"",B559))</f>
        <v/>
      </c>
      <c r="C560" s="4">
        <f>COUNTIF($F$2:$F560,F560)</f>
      </c>
      <c r="D560" s="4">
        <f>IF(F560=0,0,MAX($D$2:D559)+1)</f>
      </c>
      <c r="E560" s="4">
        <f>IF(H560=0,0,MAX($E$2:E559)+1)</f>
      </c>
      <c r="F560" s="119"/>
      <c r="G560" s="119"/>
      <c r="H560" s="119"/>
      <c r="I560" s="4">
        <f>IFERROR(VLOOKUP(H560,H$2:H559,1,FALSE),VLOOKUP(H560,H$478:H561,1,FALSE))</f>
      </c>
      <c r="J560" s="4">
        <f t="shared" si="108"/>
        <v/>
      </c>
      <c r="K560" s="4">
        <f t="shared" si="109"/>
        <v/>
      </c>
      <c r="L560" s="4">
        <f t="shared" si="110"/>
        <v/>
      </c>
      <c r="M560" s="5">
        <f t="shared" si="116"/>
        <v/>
      </c>
      <c r="N560" s="4">
        <f t="shared" si="111"/>
        <v/>
      </c>
      <c r="O560" s="4"/>
      <c r="P560" s="4">
        <f t="shared" si="112"/>
        <v/>
      </c>
      <c r="Q560" s="4">
        <f t="shared" si="113"/>
        <v/>
      </c>
      <c r="R560" s="4">
        <f t="shared" si="117"/>
      </c>
      <c r="S560" s="4">
        <f t="shared" si="118"/>
      </c>
      <c r="T560" s="4">
        <f t="shared" si="119"/>
      </c>
      <c r="U560" s="4">
        <f t="shared" si="114"/>
        <v/>
      </c>
    </row>
    <row r="561" spans="1:21" x14ac:dyDescent="0.3">
      <c r="A561" s="4">
        <f t="shared" si="115"/>
        <v/>
      </c>
      <c r="B561" s="4">
        <f>IF(C561=1,MAX(B$2:$B560)+1,IF(F561=0,"",B560))</f>
        <v/>
      </c>
      <c r="C561" s="4">
        <f>COUNTIF($F$2:$F561,F561)</f>
      </c>
      <c r="D561" s="4">
        <f>IF(F561=0,0,MAX($D$2:D560)+1)</f>
      </c>
      <c r="E561" s="4">
        <f>IF(H561=0,0,MAX($E$2:E560)+1)</f>
      </c>
      <c r="F561" s="119"/>
      <c r="G561" s="119"/>
      <c r="H561" s="119"/>
      <c r="I561" s="4">
        <f>IFERROR(VLOOKUP(H561,H$2:H560,1,FALSE),VLOOKUP(H561,H$478:H562,1,FALSE))</f>
      </c>
      <c r="J561" s="4">
        <f t="shared" si="108"/>
        <v/>
      </c>
      <c r="K561" s="4">
        <f t="shared" si="109"/>
        <v/>
      </c>
      <c r="L561" s="4">
        <f t="shared" si="110"/>
        <v/>
      </c>
      <c r="M561" s="5">
        <f t="shared" si="116"/>
        <v/>
      </c>
      <c r="N561" s="4">
        <f t="shared" si="111"/>
        <v/>
      </c>
      <c r="O561" s="4"/>
      <c r="P561" s="4">
        <f t="shared" si="112"/>
        <v/>
      </c>
      <c r="Q561" s="4">
        <f t="shared" si="113"/>
        <v/>
      </c>
      <c r="R561" s="4">
        <f t="shared" si="117"/>
      </c>
      <c r="S561" s="4">
        <f t="shared" si="118"/>
      </c>
      <c r="T561" s="4">
        <f t="shared" si="119"/>
      </c>
      <c r="U561" s="4">
        <f t="shared" si="114"/>
        <v/>
      </c>
    </row>
    <row r="562" spans="1:21" x14ac:dyDescent="0.3">
      <c r="A562" s="4">
        <f t="shared" si="115"/>
        <v/>
      </c>
      <c r="B562" s="4">
        <f>IF(C562=1,MAX(B$2:$B561)+1,IF(F562=0,"",B561))</f>
        <v/>
      </c>
      <c r="C562" s="4">
        <f>COUNTIF($F$2:$F562,F562)</f>
      </c>
      <c r="D562" s="4">
        <f>IF(F562=0,0,MAX($D$2:D561)+1)</f>
      </c>
      <c r="E562" s="4">
        <f>IF(H562=0,0,MAX($E$2:E561)+1)</f>
      </c>
      <c r="F562" s="119"/>
      <c r="G562" s="119"/>
      <c r="H562" s="119"/>
      <c r="I562" s="4">
        <f>IFERROR(VLOOKUP(H562,H$2:H561,1,FALSE),VLOOKUP(H562,H$478:H563,1,FALSE))</f>
      </c>
      <c r="J562" s="4">
        <f t="shared" si="108"/>
        <v/>
      </c>
      <c r="K562" s="4">
        <f t="shared" si="109"/>
        <v/>
      </c>
      <c r="L562" s="4">
        <f t="shared" si="110"/>
        <v/>
      </c>
      <c r="M562" s="5">
        <f t="shared" si="116"/>
        <v/>
      </c>
      <c r="N562" s="4">
        <f t="shared" si="111"/>
        <v/>
      </c>
      <c r="O562" s="4"/>
      <c r="P562" s="4">
        <f t="shared" si="112"/>
        <v/>
      </c>
      <c r="Q562" s="4">
        <f t="shared" si="113"/>
        <v/>
      </c>
      <c r="R562" s="4">
        <f t="shared" si="117"/>
      </c>
      <c r="S562" s="4">
        <f t="shared" si="118"/>
      </c>
      <c r="T562" s="4">
        <f t="shared" si="119"/>
      </c>
      <c r="U562" s="4">
        <f t="shared" si="114"/>
        <v/>
      </c>
    </row>
    <row r="563" spans="1:21" ht="15" thickBot="1" x14ac:dyDescent="0.35">
      <c r="A563" s="4">
        <f t="shared" si="115"/>
        <v/>
      </c>
      <c r="B563" s="4">
        <f>IF(C563=1,MAX(B$2:$B562)+1,IF(F563=0,"",B562))</f>
        <v/>
      </c>
      <c r="C563" s="4">
        <f>COUNTIF($F$2:$F563,F563)</f>
      </c>
      <c r="D563" s="4">
        <f>IF(F563=0,0,MAX($D$2:D562)+1)</f>
      </c>
      <c r="E563" s="4">
        <f>IF(H563=0,0,MAX($E$2:E562)+1)</f>
      </c>
      <c r="F563" s="119"/>
      <c r="G563" s="119"/>
      <c r="H563" s="175"/>
      <c r="I563" s="4">
        <f>IFERROR(VLOOKUP(H563,H$2:H562,1,FALSE),VLOOKUP(H563,H$478:H564,1,FALSE))</f>
      </c>
      <c r="J563" s="4">
        <f t="shared" si="108"/>
        <v/>
      </c>
      <c r="K563" s="4">
        <f t="shared" si="109"/>
        <v/>
      </c>
      <c r="L563" s="4">
        <f t="shared" si="110"/>
        <v/>
      </c>
      <c r="M563" s="5">
        <f t="shared" si="116"/>
        <v/>
      </c>
      <c r="N563" s="4">
        <f t="shared" si="111"/>
        <v/>
      </c>
      <c r="O563" s="4"/>
      <c r="P563" s="4">
        <f t="shared" si="112"/>
        <v/>
      </c>
      <c r="Q563" s="4">
        <f t="shared" si="113"/>
        <v/>
      </c>
      <c r="R563" s="4">
        <f t="shared" si="117"/>
      </c>
      <c r="S563" s="4">
        <f t="shared" si="118"/>
      </c>
      <c r="T563" s="4">
        <f t="shared" si="119"/>
      </c>
      <c r="U563" s="4">
        <f t="shared" si="114"/>
        <v/>
      </c>
    </row>
    <row r="564" spans="1:21" x14ac:dyDescent="0.3">
      <c r="A564" s="4">
        <f t="shared" si="115"/>
        <v/>
      </c>
      <c r="B564" s="4">
        <f>IF(C564=1,MAX(B$2:$B563)+1,IF(F564=0,"",B563))</f>
        <v/>
      </c>
      <c r="C564" s="4">
        <f>COUNTIF($F$2:$F564,F564)</f>
      </c>
      <c r="D564" s="4">
        <f>IF(F564=0,0,MAX($D$2:D563)+1)</f>
      </c>
      <c r="E564" s="4">
        <f>IF(H564=0,0,MAX($E$2:E563)+1)</f>
      </c>
      <c r="F564" s="119"/>
      <c r="G564" s="119"/>
      <c r="H564" s="177"/>
      <c r="I564" s="4">
        <f>IFERROR(VLOOKUP(H564,H$2:H563,1,FALSE),VLOOKUP(H564,H$478:H565,1,FALSE))</f>
      </c>
      <c r="J564" s="4">
        <f t="shared" si="108"/>
        <v/>
      </c>
      <c r="K564" s="4">
        <f t="shared" si="109"/>
        <v/>
      </c>
      <c r="L564" s="4">
        <f t="shared" si="110"/>
        <v/>
      </c>
      <c r="M564" s="5">
        <f t="shared" si="116"/>
        <v/>
      </c>
      <c r="N564" s="4">
        <f t="shared" si="111"/>
        <v/>
      </c>
      <c r="O564" s="4"/>
      <c r="P564" s="4">
        <f t="shared" si="112"/>
        <v/>
      </c>
      <c r="Q564" s="4">
        <f t="shared" si="113"/>
        <v/>
      </c>
      <c r="R564" s="4">
        <f t="shared" si="117"/>
      </c>
      <c r="S564" s="4">
        <f t="shared" si="118"/>
      </c>
      <c r="T564" s="4">
        <f t="shared" si="119"/>
      </c>
      <c r="U564" s="4">
        <f t="shared" si="114"/>
        <v/>
      </c>
    </row>
    <row r="565" spans="1:21" x14ac:dyDescent="0.3">
      <c r="A565" s="4">
        <f t="shared" si="115"/>
        <v/>
      </c>
      <c r="B565" s="4">
        <f>IF(C565=1,MAX(B$2:$B564)+1,IF(F565=0,"",B564))</f>
        <v/>
      </c>
      <c r="C565" s="4">
        <f>COUNTIF($F$2:$F565,F565)</f>
      </c>
      <c r="D565" s="4">
        <f>IF(F565=0,0,MAX($D$2:D564)+1)</f>
      </c>
      <c r="E565" s="4">
        <f>IF(H565=0,0,MAX($E$2:E564)+1)</f>
      </c>
      <c r="F565" s="119"/>
      <c r="G565" s="119"/>
      <c r="H565" s="119"/>
      <c r="I565" s="4">
        <f>IFERROR(VLOOKUP(H565,H$2:H564,1,FALSE),VLOOKUP(H565,H$478:H566,1,FALSE))</f>
      </c>
      <c r="J565" s="4">
        <f t="shared" si="108"/>
        <v/>
      </c>
      <c r="K565" s="4">
        <f t="shared" si="109"/>
        <v/>
      </c>
      <c r="L565" s="4">
        <f t="shared" si="110"/>
        <v/>
      </c>
      <c r="M565" s="5">
        <f t="shared" si="116"/>
        <v/>
      </c>
      <c r="N565" s="4">
        <f t="shared" si="111"/>
        <v/>
      </c>
      <c r="O565" s="4"/>
      <c r="P565" s="4">
        <f t="shared" si="112"/>
        <v/>
      </c>
      <c r="Q565" s="4">
        <f t="shared" si="113"/>
        <v/>
      </c>
      <c r="R565" s="4">
        <f t="shared" si="117"/>
      </c>
      <c r="S565" s="4">
        <f t="shared" si="118"/>
      </c>
      <c r="T565" s="4">
        <f t="shared" si="119"/>
      </c>
      <c r="U565" s="4">
        <f t="shared" si="114"/>
        <v/>
      </c>
    </row>
    <row r="566" spans="1:21" x14ac:dyDescent="0.3">
      <c r="A566" s="4">
        <f t="shared" si="115"/>
        <v/>
      </c>
      <c r="B566" s="4">
        <f>IF(C566=1,MAX(B$2:$B565)+1,IF(F566=0,"",B565))</f>
        <v/>
      </c>
      <c r="C566" s="4">
        <f>COUNTIF($F$2:$F566,F566)</f>
      </c>
      <c r="D566" s="4">
        <f>IF(F566=0,0,MAX($D$2:D565)+1)</f>
      </c>
      <c r="E566" s="4">
        <f>IF(H566=0,0,MAX($E$2:E565)+1)</f>
      </c>
      <c r="F566" s="119"/>
      <c r="G566" s="119"/>
      <c r="H566" s="119"/>
      <c r="I566" s="4">
        <f>IFERROR(VLOOKUP(H566,H$2:H565,1,FALSE),VLOOKUP(H566,H$478:H567,1,FALSE))</f>
      </c>
      <c r="J566" s="4">
        <f t="shared" si="108"/>
        <v/>
      </c>
      <c r="K566" s="4">
        <f t="shared" si="109"/>
        <v/>
      </c>
      <c r="L566" s="4">
        <f t="shared" si="110"/>
        <v/>
      </c>
      <c r="M566" s="5">
        <f t="shared" si="116"/>
        <v/>
      </c>
      <c r="N566" s="4">
        <f t="shared" si="111"/>
        <v/>
      </c>
      <c r="O566" s="4"/>
      <c r="P566" s="4">
        <f t="shared" si="112"/>
        <v/>
      </c>
      <c r="Q566" s="4">
        <f t="shared" si="113"/>
        <v/>
      </c>
      <c r="R566" s="4">
        <f t="shared" si="117"/>
      </c>
      <c r="S566" s="4">
        <f t="shared" si="118"/>
      </c>
      <c r="T566" s="4">
        <f t="shared" si="119"/>
      </c>
      <c r="U566" s="4">
        <f t="shared" si="114"/>
        <v/>
      </c>
    </row>
    <row r="567" spans="1:21" x14ac:dyDescent="0.3">
      <c r="A567" s="4">
        <f t="shared" si="115"/>
        <v/>
      </c>
      <c r="B567" s="4">
        <f>IF(C567=1,MAX(B$2:$B566)+1,IF(F567=0,"",B566))</f>
        <v/>
      </c>
      <c r="C567" s="4">
        <f>COUNTIF($F$2:$F567,F567)</f>
      </c>
      <c r="D567" s="4">
        <f>IF(F567=0,0,MAX($D$2:D566)+1)</f>
      </c>
      <c r="E567" s="4">
        <f>IF(H567=0,0,MAX($E$2:E566)+1)</f>
      </c>
      <c r="F567" s="119"/>
      <c r="G567" s="119"/>
      <c r="H567" s="119"/>
      <c r="I567" s="4">
        <f>IFERROR(VLOOKUP(H567,H$2:H566,1,FALSE),VLOOKUP(H567,H$478:H568,1,FALSE))</f>
      </c>
      <c r="J567" s="4">
        <f t="shared" si="108"/>
        <v/>
      </c>
      <c r="K567" s="4">
        <f t="shared" si="109"/>
        <v/>
      </c>
      <c r="L567" s="4">
        <f t="shared" si="110"/>
        <v/>
      </c>
      <c r="M567" s="5">
        <f t="shared" si="116"/>
        <v/>
      </c>
      <c r="N567" s="4">
        <f t="shared" si="111"/>
        <v/>
      </c>
      <c r="O567" s="4"/>
      <c r="P567" s="4">
        <f t="shared" si="112"/>
        <v/>
      </c>
      <c r="Q567" s="4">
        <f t="shared" si="113"/>
        <v/>
      </c>
      <c r="R567" s="4">
        <f t="shared" si="117"/>
      </c>
      <c r="S567" s="4">
        <f t="shared" si="118"/>
      </c>
      <c r="T567" s="4">
        <f t="shared" si="119"/>
      </c>
      <c r="U567" s="4">
        <f t="shared" si="114"/>
        <v/>
      </c>
    </row>
    <row r="568" spans="1:21" x14ac:dyDescent="0.3">
      <c r="A568" s="4">
        <f t="shared" si="115"/>
        <v/>
      </c>
      <c r="B568" s="4">
        <f>IF(C568=1,MAX(B$2:$B567)+1,IF(F568=0,"",B567))</f>
        <v/>
      </c>
      <c r="C568" s="4">
        <f>COUNTIF($F$2:$F568,F568)</f>
      </c>
      <c r="D568" s="4">
        <f>IF(F568=0,0,MAX($D$2:D567)+1)</f>
      </c>
      <c r="E568" s="4">
        <f>IF(H568=0,0,MAX($E$2:E567)+1)</f>
      </c>
      <c r="F568" s="119"/>
      <c r="G568" s="119"/>
      <c r="H568" s="119"/>
      <c r="I568" s="4">
        <f>IFERROR(VLOOKUP(H568,H$2:H567,1,FALSE),VLOOKUP(H568,H$478:H569,1,FALSE))</f>
      </c>
      <c r="J568" s="4">
        <f t="shared" si="108"/>
        <v/>
      </c>
      <c r="K568" s="4">
        <f t="shared" si="109"/>
        <v/>
      </c>
      <c r="L568" s="4">
        <f t="shared" si="110"/>
        <v/>
      </c>
      <c r="M568" s="5">
        <f t="shared" si="116"/>
        <v/>
      </c>
      <c r="N568" s="4">
        <f t="shared" si="111"/>
        <v/>
      </c>
      <c r="O568" s="4"/>
      <c r="P568" s="4">
        <f t="shared" si="112"/>
        <v/>
      </c>
      <c r="Q568" s="4">
        <f t="shared" si="113"/>
        <v/>
      </c>
      <c r="R568" s="4">
        <f t="shared" si="117"/>
      </c>
      <c r="S568" s="4">
        <f t="shared" si="118"/>
      </c>
      <c r="T568" s="4">
        <f t="shared" si="119"/>
      </c>
      <c r="U568" s="4">
        <f t="shared" si="114"/>
        <v/>
      </c>
    </row>
    <row r="569" spans="1:21" x14ac:dyDescent="0.3">
      <c r="A569" s="4">
        <f t="shared" si="115"/>
        <v/>
      </c>
      <c r="B569" s="4">
        <f>IF(C569=1,MAX(B$2:$B568)+1,IF(F569=0,"",B568))</f>
        <v/>
      </c>
      <c r="C569" s="4">
        <f>COUNTIF($F$2:$F569,F569)</f>
      </c>
      <c r="D569" s="4">
        <f>IF(F569=0,0,MAX($D$2:D568)+1)</f>
      </c>
      <c r="E569" s="4">
        <f>IF(H569=0,0,MAX($E$2:E568)+1)</f>
      </c>
      <c r="F569" s="119"/>
      <c r="G569" s="119"/>
      <c r="H569" s="119"/>
      <c r="I569" s="4">
        <f>IFERROR(VLOOKUP(H569,H$2:H568,1,FALSE),VLOOKUP(H569,H$478:H570,1,FALSE))</f>
      </c>
      <c r="J569" s="4">
        <f t="shared" si="108"/>
        <v/>
      </c>
      <c r="K569" s="4">
        <f t="shared" si="109"/>
        <v/>
      </c>
      <c r="L569" s="4">
        <f t="shared" si="110"/>
        <v/>
      </c>
      <c r="M569" s="5">
        <f t="shared" si="116"/>
        <v/>
      </c>
      <c r="N569" s="4">
        <f t="shared" si="111"/>
        <v/>
      </c>
      <c r="O569" s="4"/>
      <c r="P569" s="4">
        <f t="shared" si="112"/>
        <v/>
      </c>
      <c r="Q569" s="4">
        <f t="shared" si="113"/>
        <v/>
      </c>
      <c r="R569" s="4">
        <f t="shared" si="117"/>
      </c>
      <c r="S569" s="4">
        <f t="shared" si="118"/>
      </c>
      <c r="T569" s="4">
        <f t="shared" si="119"/>
      </c>
      <c r="U569" s="4">
        <f t="shared" si="114"/>
        <v/>
      </c>
    </row>
    <row r="570" spans="1:21" x14ac:dyDescent="0.3">
      <c r="A570" s="4">
        <f t="shared" si="115"/>
        <v/>
      </c>
      <c r="B570" s="4">
        <f>IF(C570=1,MAX(B$2:$B569)+1,IF(F570=0,"",B569))</f>
        <v/>
      </c>
      <c r="C570" s="4">
        <f>COUNTIF($F$2:$F570,F570)</f>
      </c>
      <c r="D570" s="4">
        <f>IF(F570=0,0,MAX($D$2:D569)+1)</f>
      </c>
      <c r="E570" s="4">
        <f>IF(H570=0,0,MAX($E$2:E569)+1)</f>
      </c>
      <c r="F570" s="119"/>
      <c r="G570" s="119"/>
      <c r="H570" s="119"/>
      <c r="I570" s="4">
        <f>IFERROR(VLOOKUP(H570,H$2:H569,1,FALSE),VLOOKUP(H570,H$478:H571,1,FALSE))</f>
      </c>
      <c r="J570" s="4">
        <f t="shared" si="108"/>
        <v/>
      </c>
      <c r="K570" s="4">
        <f t="shared" si="109"/>
        <v/>
      </c>
      <c r="L570" s="4">
        <f t="shared" si="110"/>
        <v/>
      </c>
      <c r="M570" s="5">
        <f t="shared" si="116"/>
        <v/>
      </c>
      <c r="N570" s="4">
        <f t="shared" si="111"/>
        <v/>
      </c>
      <c r="O570" s="4"/>
      <c r="P570" s="4">
        <f t="shared" si="112"/>
        <v/>
      </c>
      <c r="Q570" s="4">
        <f t="shared" si="113"/>
        <v/>
      </c>
      <c r="R570" s="4">
        <f t="shared" si="117"/>
      </c>
      <c r="S570" s="4">
        <f t="shared" si="118"/>
      </c>
      <c r="T570" s="4">
        <f t="shared" si="119"/>
      </c>
      <c r="U570" s="4">
        <f t="shared" si="114"/>
        <v/>
      </c>
    </row>
    <row r="571" spans="1:21" x14ac:dyDescent="0.3">
      <c r="A571" s="4">
        <f t="shared" si="115"/>
        <v/>
      </c>
      <c r="B571" s="4">
        <f>IF(C571=1,MAX(B$2:$B570)+1,IF(F571=0,"",B570))</f>
        <v/>
      </c>
      <c r="C571" s="4">
        <f>COUNTIF($F$2:$F571,F571)</f>
      </c>
      <c r="D571" s="4">
        <f>IF(F571=0,0,MAX($D$2:D570)+1)</f>
      </c>
      <c r="E571" s="4">
        <f>IF(H571=0,0,MAX($E$2:E570)+1)</f>
      </c>
      <c r="F571" s="119"/>
      <c r="G571" s="119"/>
      <c r="H571" s="119"/>
      <c r="I571" s="4">
        <f>IFERROR(VLOOKUP(H571,H$2:H570,1,FALSE),VLOOKUP(H571,H$478:H572,1,FALSE))</f>
      </c>
      <c r="J571" s="4">
        <f t="shared" si="108"/>
        <v/>
      </c>
      <c r="K571" s="4">
        <f t="shared" si="109"/>
        <v/>
      </c>
      <c r="L571" s="4">
        <f t="shared" si="110"/>
        <v/>
      </c>
      <c r="M571" s="5">
        <f t="shared" si="116"/>
        <v/>
      </c>
      <c r="N571" s="4">
        <f t="shared" si="111"/>
        <v/>
      </c>
      <c r="O571" s="4"/>
      <c r="P571" s="4">
        <f t="shared" si="112"/>
        <v/>
      </c>
      <c r="Q571" s="4">
        <f t="shared" si="113"/>
        <v/>
      </c>
      <c r="R571" s="4">
        <f t="shared" si="117"/>
      </c>
      <c r="S571" s="4">
        <f t="shared" si="118"/>
      </c>
      <c r="T571" s="4">
        <f t="shared" si="119"/>
      </c>
      <c r="U571" s="4">
        <f t="shared" si="114"/>
        <v/>
      </c>
    </row>
    <row r="572" spans="1:21" x14ac:dyDescent="0.3">
      <c r="A572" s="4">
        <f t="shared" si="115"/>
        <v/>
      </c>
      <c r="B572" s="4">
        <f>IF(C572=1,MAX(B$2:$B571)+1,IF(F572=0,"",B571))</f>
        <v/>
      </c>
      <c r="C572" s="4">
        <f>COUNTIF($F$2:$F572,F572)</f>
      </c>
      <c r="D572" s="4">
        <f>IF(F572=0,0,MAX($D$2:D571)+1)</f>
      </c>
      <c r="E572" s="4">
        <f>IF(H572=0,0,MAX($E$2:E571)+1)</f>
      </c>
      <c r="F572" s="119"/>
      <c r="G572" s="119"/>
      <c r="H572" s="119"/>
      <c r="I572" s="4">
        <f>IFERROR(VLOOKUP(H572,H$2:H571,1,FALSE),VLOOKUP(H572,H$478:H573,1,FALSE))</f>
      </c>
      <c r="J572" s="4">
        <f t="shared" si="108"/>
        <v/>
      </c>
      <c r="K572" s="4">
        <f t="shared" si="109"/>
        <v/>
      </c>
      <c r="L572" s="4">
        <f t="shared" si="110"/>
        <v/>
      </c>
      <c r="M572" s="5">
        <f t="shared" si="116"/>
        <v/>
      </c>
      <c r="N572" s="4">
        <f t="shared" si="111"/>
        <v/>
      </c>
      <c r="O572" s="4"/>
      <c r="P572" s="4">
        <f t="shared" si="112"/>
        <v/>
      </c>
      <c r="Q572" s="4">
        <f t="shared" si="113"/>
        <v/>
      </c>
      <c r="R572" s="4">
        <f t="shared" si="117"/>
      </c>
      <c r="S572" s="4">
        <f t="shared" si="118"/>
      </c>
      <c r="T572" s="4">
        <f t="shared" si="119"/>
      </c>
      <c r="U572" s="4">
        <f t="shared" si="114"/>
        <v/>
      </c>
    </row>
    <row r="573" spans="1:21" x14ac:dyDescent="0.3">
      <c r="A573" s="4">
        <f t="shared" si="115"/>
        <v/>
      </c>
      <c r="B573" s="4">
        <f>IF(C573=1,MAX(B$2:$B572)+1,IF(F573=0,"",B572))</f>
        <v/>
      </c>
      <c r="C573" s="4">
        <f>COUNTIF($F$2:$F573,F573)</f>
      </c>
      <c r="D573" s="4">
        <f>IF(F573=0,0,MAX($D$2:D572)+1)</f>
      </c>
      <c r="E573" s="4">
        <f>IF(H573=0,0,MAX($E$2:E572)+1)</f>
      </c>
      <c r="F573" s="119"/>
      <c r="G573" s="119"/>
      <c r="H573" s="119"/>
      <c r="I573" s="4">
        <f>IFERROR(VLOOKUP(H573,H$2:H572,1,FALSE),VLOOKUP(H573,H$478:H574,1,FALSE))</f>
      </c>
      <c r="J573" s="4">
        <f t="shared" si="108"/>
        <v/>
      </c>
      <c r="K573" s="4">
        <f t="shared" si="109"/>
        <v/>
      </c>
      <c r="L573" s="4">
        <f t="shared" si="110"/>
        <v/>
      </c>
      <c r="M573" s="5">
        <f t="shared" si="116"/>
        <v/>
      </c>
      <c r="N573" s="4">
        <f t="shared" si="111"/>
        <v/>
      </c>
      <c r="O573" s="4"/>
      <c r="P573" s="4">
        <f t="shared" si="112"/>
        <v/>
      </c>
      <c r="Q573" s="4">
        <f t="shared" si="113"/>
        <v/>
      </c>
      <c r="R573" s="4">
        <f t="shared" si="117"/>
      </c>
      <c r="S573" s="4">
        <f t="shared" si="118"/>
      </c>
      <c r="T573" s="4">
        <f t="shared" si="119"/>
      </c>
      <c r="U573" s="4">
        <f t="shared" si="114"/>
        <v/>
      </c>
    </row>
    <row r="574" spans="1:21" x14ac:dyDescent="0.3">
      <c r="A574" s="4">
        <f t="shared" si="115"/>
        <v/>
      </c>
      <c r="B574" s="4">
        <f>IF(C574=1,MAX(B$2:$B573)+1,IF(F574=0,"",B573))</f>
        <v/>
      </c>
      <c r="C574" s="4">
        <f>COUNTIF($F$2:$F574,F574)</f>
      </c>
      <c r="D574" s="4">
        <f>IF(F574=0,0,MAX($D$2:D573)+1)</f>
      </c>
      <c r="E574" s="4">
        <f>IF(H574=0,0,MAX($E$2:E573)+1)</f>
      </c>
      <c r="F574" s="119"/>
      <c r="G574" s="119"/>
      <c r="H574" s="119"/>
      <c r="I574" s="4">
        <f>IFERROR(VLOOKUP(H574,H$2:H573,1,FALSE),VLOOKUP(H574,H$478:H575,1,FALSE))</f>
      </c>
      <c r="J574" s="4">
        <f t="shared" si="108"/>
        <v/>
      </c>
      <c r="K574" s="4">
        <f t="shared" si="109"/>
        <v/>
      </c>
      <c r="L574" s="4">
        <f t="shared" si="110"/>
        <v/>
      </c>
      <c r="M574" s="5">
        <f t="shared" si="116"/>
        <v/>
      </c>
      <c r="N574" s="4">
        <f t="shared" si="111"/>
        <v/>
      </c>
      <c r="O574" s="4"/>
      <c r="P574" s="4">
        <f t="shared" si="112"/>
        <v/>
      </c>
      <c r="Q574" s="4">
        <f t="shared" si="113"/>
        <v/>
      </c>
      <c r="R574" s="4">
        <f t="shared" si="117"/>
      </c>
      <c r="S574" s="4">
        <f t="shared" si="118"/>
      </c>
      <c r="T574" s="4">
        <f t="shared" si="119"/>
      </c>
      <c r="U574" s="4">
        <f t="shared" si="114"/>
        <v/>
      </c>
    </row>
    <row r="575" spans="1:21" x14ac:dyDescent="0.3">
      <c r="A575" s="4">
        <f t="shared" si="115"/>
        <v/>
      </c>
      <c r="B575" s="4">
        <f>IF(C575=1,MAX(B$2:$B574)+1,IF(F575=0,"",B574))</f>
        <v/>
      </c>
      <c r="C575" s="4">
        <f>COUNTIF($F$2:$F575,F575)</f>
      </c>
      <c r="D575" s="4">
        <f>IF(F575=0,0,MAX($D$2:D574)+1)</f>
      </c>
      <c r="E575" s="4">
        <f>IF(H575=0,0,MAX($E$2:E574)+1)</f>
      </c>
      <c r="F575" s="119"/>
      <c r="G575" s="119"/>
      <c r="H575" s="119"/>
      <c r="I575" s="4">
        <f>IFERROR(VLOOKUP(H575,H$2:H574,1,FALSE),VLOOKUP(H575,H$478:H576,1,FALSE))</f>
      </c>
      <c r="J575" s="4">
        <f t="shared" si="108"/>
        <v/>
      </c>
      <c r="K575" s="4">
        <f t="shared" si="109"/>
        <v/>
      </c>
      <c r="L575" s="4">
        <f t="shared" si="110"/>
        <v/>
      </c>
      <c r="M575" s="5">
        <f t="shared" si="116"/>
        <v/>
      </c>
      <c r="N575" s="4">
        <f t="shared" si="111"/>
        <v/>
      </c>
      <c r="O575" s="4"/>
      <c r="P575" s="4">
        <f t="shared" si="112"/>
        <v/>
      </c>
      <c r="Q575" s="4">
        <f t="shared" si="113"/>
        <v/>
      </c>
      <c r="R575" s="4">
        <f t="shared" si="117"/>
      </c>
      <c r="S575" s="4">
        <f t="shared" si="118"/>
      </c>
      <c r="T575" s="4">
        <f t="shared" si="119"/>
      </c>
      <c r="U575" s="4">
        <f t="shared" si="114"/>
        <v/>
      </c>
    </row>
    <row r="576" spans="1:21" x14ac:dyDescent="0.3">
      <c r="A576" s="4">
        <f t="shared" si="115"/>
        <v/>
      </c>
      <c r="B576" s="4">
        <f>IF(C576=1,MAX(B$2:$B575)+1,IF(F576=0,"",B575))</f>
        <v/>
      </c>
      <c r="C576" s="4">
        <f>COUNTIF($F$2:$F576,F576)</f>
      </c>
      <c r="D576" s="4">
        <f>IF(F576=0,0,MAX($D$2:D575)+1)</f>
      </c>
      <c r="E576" s="4">
        <f>IF(H576=0,0,MAX($E$2:E575)+1)</f>
      </c>
      <c r="F576" s="119"/>
      <c r="G576" s="119"/>
      <c r="H576" s="119"/>
      <c r="I576" s="4">
        <f>IFERROR(VLOOKUP(H576,H$2:H575,1,FALSE),VLOOKUP(H576,H$478:H577,1,FALSE))</f>
      </c>
      <c r="J576" s="4">
        <f t="shared" si="108"/>
        <v/>
      </c>
      <c r="K576" s="4">
        <f t="shared" si="109"/>
        <v/>
      </c>
      <c r="L576" s="4">
        <f t="shared" si="110"/>
        <v/>
      </c>
      <c r="M576" s="5">
        <f t="shared" si="116"/>
        <v/>
      </c>
      <c r="N576" s="4">
        <f t="shared" si="111"/>
        <v/>
      </c>
      <c r="O576" s="4"/>
      <c r="P576" s="4">
        <f t="shared" si="112"/>
        <v/>
      </c>
      <c r="Q576" s="4">
        <f t="shared" si="113"/>
        <v/>
      </c>
      <c r="R576" s="4">
        <f t="shared" si="117"/>
      </c>
      <c r="S576" s="4">
        <f t="shared" si="118"/>
      </c>
      <c r="T576" s="4">
        <f t="shared" si="119"/>
      </c>
      <c r="U576" s="4">
        <f t="shared" si="114"/>
        <v/>
      </c>
    </row>
    <row r="577" spans="1:21" x14ac:dyDescent="0.3">
      <c r="A577" s="4">
        <f t="shared" si="115"/>
        <v/>
      </c>
      <c r="B577" s="4">
        <f>IF(C577=1,MAX(B$2:$B576)+1,IF(F577=0,"",B576))</f>
        <v/>
      </c>
      <c r="C577" s="4">
        <f>COUNTIF($F$2:$F577,F577)</f>
      </c>
      <c r="D577" s="4">
        <f>IF(F577=0,0,MAX($D$2:D576)+1)</f>
      </c>
      <c r="E577" s="4">
        <f>IF(H577=0,0,MAX($E$2:E576)+1)</f>
      </c>
      <c r="F577" s="119"/>
      <c r="G577" s="119"/>
      <c r="H577" s="119"/>
      <c r="I577" s="4">
        <f>IFERROR(VLOOKUP(H577,H$2:H576,1,FALSE),VLOOKUP(H577,H$478:H578,1,FALSE))</f>
      </c>
      <c r="J577" s="4">
        <f t="shared" si="108"/>
        <v/>
      </c>
      <c r="K577" s="4">
        <f t="shared" si="109"/>
        <v/>
      </c>
      <c r="L577" s="4">
        <f t="shared" si="110"/>
        <v/>
      </c>
      <c r="M577" s="5">
        <f t="shared" si="116"/>
        <v/>
      </c>
      <c r="N577" s="4">
        <f t="shared" si="111"/>
        <v/>
      </c>
      <c r="O577" s="4"/>
      <c r="P577" s="4">
        <f t="shared" si="112"/>
        <v/>
      </c>
      <c r="Q577" s="4">
        <f t="shared" si="113"/>
        <v/>
      </c>
      <c r="R577" s="4">
        <f t="shared" si="117"/>
      </c>
      <c r="S577" s="4">
        <f t="shared" si="118"/>
      </c>
      <c r="T577" s="4">
        <f t="shared" si="119"/>
      </c>
      <c r="U577" s="4">
        <f t="shared" si="114"/>
        <v/>
      </c>
    </row>
    <row r="578" spans="1:21" x14ac:dyDescent="0.3">
      <c r="A578" s="4">
        <f t="shared" si="115"/>
        <v/>
      </c>
      <c r="B578" s="4">
        <f>IF(C578=1,MAX(B$2:$B577)+1,IF(F578=0,"",B577))</f>
        <v/>
      </c>
      <c r="C578" s="4">
        <f>COUNTIF($F$2:$F578,F578)</f>
      </c>
      <c r="D578" s="4">
        <f>IF(F578=0,0,MAX($D$2:D577)+1)</f>
      </c>
      <c r="E578" s="4">
        <f>IF(H578=0,0,MAX($E$2:E577)+1)</f>
      </c>
      <c r="F578" s="119"/>
      <c r="G578" s="119"/>
      <c r="H578" s="119"/>
      <c r="I578" s="4">
        <f>IFERROR(VLOOKUP(H578,H$2:H577,1,FALSE),VLOOKUP(H578,H$478:H579,1,FALSE))</f>
      </c>
      <c r="J578" s="4">
        <f t="shared" si="108"/>
        <v/>
      </c>
      <c r="K578" s="4">
        <f t="shared" si="109"/>
        <v/>
      </c>
      <c r="L578" s="4">
        <f t="shared" si="110"/>
        <v/>
      </c>
      <c r="M578" s="5">
        <f t="shared" si="116"/>
        <v/>
      </c>
      <c r="N578" s="4">
        <f t="shared" si="111"/>
        <v/>
      </c>
      <c r="O578" s="4"/>
      <c r="P578" s="4">
        <f t="shared" si="112"/>
        <v/>
      </c>
      <c r="Q578" s="4">
        <f t="shared" si="113"/>
        <v/>
      </c>
      <c r="R578" s="4">
        <f t="shared" si="117"/>
      </c>
      <c r="S578" s="4">
        <f t="shared" si="118"/>
      </c>
      <c r="T578" s="4">
        <f t="shared" si="119"/>
      </c>
      <c r="U578" s="4">
        <f t="shared" si="114"/>
        <v/>
      </c>
    </row>
    <row r="579" spans="1:21" x14ac:dyDescent="0.3">
      <c r="A579" s="4">
        <f t="shared" si="115"/>
        <v/>
      </c>
      <c r="B579" s="4">
        <f>IF(C579=1,MAX(B$2:$B578)+1,IF(F579=0,"",B578))</f>
        <v/>
      </c>
      <c r="C579" s="4">
        <f>COUNTIF($F$2:$F579,F579)</f>
      </c>
      <c r="D579" s="4">
        <f>IF(F579=0,0,MAX($D$2:D578)+1)</f>
      </c>
      <c r="E579" s="4">
        <f>IF(H579=0,0,MAX($E$2:E578)+1)</f>
      </c>
      <c r="F579" s="119"/>
      <c r="G579" s="119"/>
      <c r="H579" s="119"/>
      <c r="I579" s="4">
        <f>IFERROR(VLOOKUP(H579,H$2:H578,1,FALSE),VLOOKUP(H579,H$478:H580,1,FALSE))</f>
      </c>
      <c r="J579" s="4">
        <f t="shared" ref="J579:J642" si="120">IF($H579=0,"",VLOOKUP($H579,Исходные_данные,36,FALSE))</f>
        <v/>
      </c>
      <c r="K579" s="4">
        <f t="shared" ref="K579:K642" si="121">IF($H579=0,"",VLOOKUP($H579,Исходные_данные,37,FALSE))</f>
        <v/>
      </c>
      <c r="L579" s="4">
        <f t="shared" ref="L579:L642" si="122">IF($H579=0,"",VLOOKUP($H579,Исходные_данные,38,FALSE))</f>
        <v/>
      </c>
      <c r="M579" s="5">
        <f t="shared" si="116"/>
        <v/>
      </c>
      <c r="N579" s="4">
        <f t="shared" ref="N579:N642" si="123">IF($H579=0,"",VLOOKUP($H579,Исходные_данные,39,FALSE))</f>
        <v/>
      </c>
      <c r="O579" s="4"/>
      <c r="P579" s="4">
        <f t="shared" ref="P579:P642" si="124">IF($H579=0,"",VLOOKUP($H579,Исходные_данные,41,FALSE))</f>
        <v/>
      </c>
      <c r="Q579" s="4">
        <f t="shared" ref="Q579:Q642" si="125">IF($H579=0,"",VLOOKUP($H579,Исходные_данные,8,FALSE))</f>
        <v/>
      </c>
      <c r="R579" s="4">
        <f t="shared" si="117"/>
      </c>
      <c r="S579" s="4">
        <f t="shared" si="118"/>
      </c>
      <c r="T579" s="4">
        <f t="shared" si="119"/>
      </c>
      <c r="U579" s="4">
        <f t="shared" ref="U579:U642" si="126">IF($H579=0,"",VLOOKUP($H579,Исходные_данные,31,FALSE))</f>
        <v/>
      </c>
    </row>
    <row r="580" spans="1:21" ht="15" thickBot="1" x14ac:dyDescent="0.35">
      <c r="A580" s="4">
        <f t="shared" si="115"/>
        <v/>
      </c>
      <c r="B580" s="4">
        <f>IF(C580=1,MAX(B$2:$B579)+1,IF(F580=0,"",B579))</f>
        <v/>
      </c>
      <c r="C580" s="4">
        <f>COUNTIF($F$2:$F580,F580)</f>
      </c>
      <c r="D580" s="4">
        <f>IF(F580=0,0,MAX($D$2:D579)+1)</f>
      </c>
      <c r="E580" s="4">
        <f>IF(H580=0,0,MAX($E$2:E579)+1)</f>
      </c>
      <c r="F580" s="119"/>
      <c r="G580" s="119"/>
      <c r="H580" s="175"/>
      <c r="I580" s="4">
        <f>IFERROR(VLOOKUP(H580,H$2:H579,1,FALSE),VLOOKUP(H580,H$478:H581,1,FALSE))</f>
      </c>
      <c r="J580" s="4">
        <f t="shared" si="120"/>
        <v/>
      </c>
      <c r="K580" s="4">
        <f t="shared" si="121"/>
        <v/>
      </c>
      <c r="L580" s="4">
        <f t="shared" si="122"/>
        <v/>
      </c>
      <c r="M580" s="5">
        <f t="shared" si="116"/>
        <v/>
      </c>
      <c r="N580" s="4">
        <f t="shared" si="123"/>
        <v/>
      </c>
      <c r="O580" s="4"/>
      <c r="P580" s="4">
        <f t="shared" si="124"/>
        <v/>
      </c>
      <c r="Q580" s="4">
        <f t="shared" si="125"/>
        <v/>
      </c>
      <c r="R580" s="4">
        <f t="shared" si="117"/>
      </c>
      <c r="S580" s="4">
        <f t="shared" si="118"/>
      </c>
      <c r="T580" s="4">
        <f t="shared" si="119"/>
      </c>
      <c r="U580" s="4">
        <f t="shared" si="126"/>
        <v/>
      </c>
    </row>
    <row r="581" spans="1:21" x14ac:dyDescent="0.3">
      <c r="A581" s="4">
        <f t="shared" si="115"/>
        <v/>
      </c>
      <c r="B581" s="4">
        <f>IF(C581=1,MAX(B$2:$B580)+1,IF(F581=0,"",B580))</f>
        <v/>
      </c>
      <c r="C581" s="4">
        <f>COUNTIF($F$2:$F581,F581)</f>
      </c>
      <c r="D581" s="4">
        <f>IF(F581=0,0,MAX($D$2:D580)+1)</f>
      </c>
      <c r="E581" s="4">
        <f>IF(H581=0,0,MAX($E$2:E580)+1)</f>
      </c>
      <c r="F581" s="119"/>
      <c r="G581" s="119"/>
      <c r="H581" s="177"/>
      <c r="I581" s="4">
        <f>IFERROR(VLOOKUP(H581,H$2:H580,1,FALSE),VLOOKUP(H581,H$478:H582,1,FALSE))</f>
      </c>
      <c r="J581" s="4">
        <f t="shared" si="120"/>
        <v/>
      </c>
      <c r="K581" s="4">
        <f t="shared" si="121"/>
        <v/>
      </c>
      <c r="L581" s="4">
        <f t="shared" si="122"/>
        <v/>
      </c>
      <c r="M581" s="5">
        <f t="shared" si="116"/>
        <v/>
      </c>
      <c r="N581" s="4">
        <f t="shared" si="123"/>
        <v/>
      </c>
      <c r="O581" s="4"/>
      <c r="P581" s="4">
        <f t="shared" si="124"/>
        <v/>
      </c>
      <c r="Q581" s="4">
        <f t="shared" si="125"/>
        <v/>
      </c>
      <c r="R581" s="4">
        <f t="shared" si="117"/>
      </c>
      <c r="S581" s="4">
        <f t="shared" si="118"/>
      </c>
      <c r="T581" s="4">
        <f t="shared" si="119"/>
      </c>
      <c r="U581" s="4">
        <f t="shared" si="126"/>
        <v/>
      </c>
    </row>
    <row r="582" spans="1:21" x14ac:dyDescent="0.3">
      <c r="A582" s="4">
        <f t="shared" si="115"/>
        <v/>
      </c>
      <c r="B582" s="4">
        <f>IF(C582=1,MAX(B$2:$B581)+1,IF(F582=0,"",B581))</f>
        <v/>
      </c>
      <c r="C582" s="4">
        <f>COUNTIF($F$2:$F582,F582)</f>
      </c>
      <c r="D582" s="4">
        <f>IF(F582=0,0,MAX($D$2:D581)+1)</f>
      </c>
      <c r="E582" s="4">
        <f>IF(H582=0,0,MAX($E$2:E581)+1)</f>
      </c>
      <c r="F582" s="119"/>
      <c r="G582" s="119"/>
      <c r="H582" s="119"/>
      <c r="I582" s="4">
        <f>IFERROR(VLOOKUP(H582,H$2:H581,1,FALSE),VLOOKUP(H582,H$478:H583,1,FALSE))</f>
      </c>
      <c r="J582" s="4">
        <f t="shared" si="120"/>
        <v/>
      </c>
      <c r="K582" s="4">
        <f t="shared" si="121"/>
        <v/>
      </c>
      <c r="L582" s="4">
        <f t="shared" si="122"/>
        <v/>
      </c>
      <c r="M582" s="5">
        <f t="shared" si="116"/>
        <v/>
      </c>
      <c r="N582" s="4">
        <f t="shared" si="123"/>
        <v/>
      </c>
      <c r="O582" s="4"/>
      <c r="P582" s="4">
        <f t="shared" si="124"/>
        <v/>
      </c>
      <c r="Q582" s="4">
        <f t="shared" si="125"/>
        <v/>
      </c>
      <c r="R582" s="4">
        <f t="shared" si="117"/>
      </c>
      <c r="S582" s="4">
        <f t="shared" si="118"/>
      </c>
      <c r="T582" s="4">
        <f t="shared" si="119"/>
      </c>
      <c r="U582" s="4">
        <f t="shared" si="126"/>
        <v/>
      </c>
    </row>
    <row r="583" spans="1:21" x14ac:dyDescent="0.3">
      <c r="A583" s="4">
        <f t="shared" si="115"/>
        <v/>
      </c>
      <c r="B583" s="4">
        <f>IF(C583=1,MAX(B$2:$B582)+1,IF(F583=0,"",B582))</f>
        <v/>
      </c>
      <c r="C583" s="4">
        <f>COUNTIF($F$2:$F583,F583)</f>
      </c>
      <c r="D583" s="4">
        <f>IF(F583=0,0,MAX($D$2:D582)+1)</f>
      </c>
      <c r="E583" s="4">
        <f>IF(H583=0,0,MAX($E$2:E582)+1)</f>
      </c>
      <c r="F583" s="119"/>
      <c r="G583" s="119"/>
      <c r="H583" s="119"/>
      <c r="I583" s="4">
        <f>IFERROR(VLOOKUP(H583,H$2:H582,1,FALSE),VLOOKUP(H583,H$478:H584,1,FALSE))</f>
      </c>
      <c r="J583" s="4">
        <f t="shared" si="120"/>
        <v/>
      </c>
      <c r="K583" s="4">
        <f t="shared" si="121"/>
        <v/>
      </c>
      <c r="L583" s="4">
        <f t="shared" si="122"/>
        <v/>
      </c>
      <c r="M583" s="5">
        <f t="shared" si="116"/>
        <v/>
      </c>
      <c r="N583" s="4">
        <f t="shared" si="123"/>
        <v/>
      </c>
      <c r="O583" s="4"/>
      <c r="P583" s="4">
        <f t="shared" si="124"/>
        <v/>
      </c>
      <c r="Q583" s="4">
        <f t="shared" si="125"/>
        <v/>
      </c>
      <c r="R583" s="4">
        <f t="shared" si="117"/>
      </c>
      <c r="S583" s="4">
        <f t="shared" si="118"/>
      </c>
      <c r="T583" s="4">
        <f t="shared" si="119"/>
      </c>
      <c r="U583" s="4">
        <f t="shared" si="126"/>
        <v/>
      </c>
    </row>
    <row r="584" spans="1:21" x14ac:dyDescent="0.3">
      <c r="A584" s="4">
        <f t="shared" si="115"/>
        <v/>
      </c>
      <c r="B584" s="4">
        <f>IF(C584=1,MAX(B$2:$B583)+1,IF(F584=0,"",B583))</f>
        <v/>
      </c>
      <c r="C584" s="4">
        <f>COUNTIF($F$2:$F584,F584)</f>
      </c>
      <c r="D584" s="4">
        <f>IF(F584=0,0,MAX($D$2:D583)+1)</f>
      </c>
      <c r="E584" s="4">
        <f>IF(H584=0,0,MAX($E$2:E583)+1)</f>
      </c>
      <c r="F584" s="119"/>
      <c r="G584" s="119"/>
      <c r="H584" s="119"/>
      <c r="I584" s="4">
        <f>IFERROR(VLOOKUP(H584,H$2:H583,1,FALSE),VLOOKUP(H584,H$478:H585,1,FALSE))</f>
      </c>
      <c r="J584" s="4">
        <f t="shared" si="120"/>
        <v/>
      </c>
      <c r="K584" s="4">
        <f t="shared" si="121"/>
        <v/>
      </c>
      <c r="L584" s="4">
        <f t="shared" si="122"/>
        <v/>
      </c>
      <c r="M584" s="5">
        <f t="shared" si="116"/>
        <v/>
      </c>
      <c r="N584" s="4">
        <f t="shared" si="123"/>
        <v/>
      </c>
      <c r="O584" s="4"/>
      <c r="P584" s="4">
        <f t="shared" si="124"/>
        <v/>
      </c>
      <c r="Q584" s="4">
        <f t="shared" si="125"/>
        <v/>
      </c>
      <c r="R584" s="4">
        <f t="shared" si="117"/>
      </c>
      <c r="S584" s="4">
        <f t="shared" si="118"/>
      </c>
      <c r="T584" s="4">
        <f t="shared" si="119"/>
      </c>
      <c r="U584" s="4">
        <f t="shared" si="126"/>
        <v/>
      </c>
    </row>
    <row r="585" spans="1:21" x14ac:dyDescent="0.3">
      <c r="A585" s="4">
        <f t="shared" si="115"/>
        <v/>
      </c>
      <c r="B585" s="4">
        <f>IF(C585=1,MAX(B$2:$B584)+1,IF(F585=0,"",B584))</f>
        <v/>
      </c>
      <c r="C585" s="4">
        <f>COUNTIF($F$2:$F585,F585)</f>
      </c>
      <c r="D585" s="4">
        <f>IF(F585=0,0,MAX($D$2:D584)+1)</f>
      </c>
      <c r="E585" s="4">
        <f>IF(H585=0,0,MAX($E$2:E584)+1)</f>
      </c>
      <c r="F585" s="119"/>
      <c r="G585" s="119"/>
      <c r="H585" s="119"/>
      <c r="I585" s="4">
        <f>IFERROR(VLOOKUP(H585,H$2:H584,1,FALSE),VLOOKUP(H585,H$478:H586,1,FALSE))</f>
      </c>
      <c r="J585" s="4">
        <f t="shared" si="120"/>
        <v/>
      </c>
      <c r="K585" s="4">
        <f t="shared" si="121"/>
        <v/>
      </c>
      <c r="L585" s="4">
        <f t="shared" si="122"/>
        <v/>
      </c>
      <c r="M585" s="5">
        <f t="shared" si="116"/>
        <v/>
      </c>
      <c r="N585" s="4">
        <f t="shared" si="123"/>
        <v/>
      </c>
      <c r="O585" s="4"/>
      <c r="P585" s="4">
        <f t="shared" si="124"/>
        <v/>
      </c>
      <c r="Q585" s="4">
        <f t="shared" si="125"/>
        <v/>
      </c>
      <c r="R585" s="4">
        <f t="shared" si="117"/>
      </c>
      <c r="S585" s="4">
        <f t="shared" si="118"/>
      </c>
      <c r="T585" s="4">
        <f t="shared" si="119"/>
      </c>
      <c r="U585" s="4">
        <f t="shared" si="126"/>
        <v/>
      </c>
    </row>
    <row r="586" spans="1:21" x14ac:dyDescent="0.3">
      <c r="A586" s="4">
        <f t="shared" si="115"/>
        <v/>
      </c>
      <c r="B586" s="4">
        <f>IF(C586=1,MAX(B$2:$B585)+1,IF(F586=0,"",B585))</f>
        <v/>
      </c>
      <c r="C586" s="4">
        <f>COUNTIF($F$2:$F586,F586)</f>
      </c>
      <c r="D586" s="4">
        <f>IF(F586=0,0,MAX($D$2:D585)+1)</f>
      </c>
      <c r="E586" s="4">
        <f>IF(H586=0,0,MAX($E$2:E585)+1)</f>
      </c>
      <c r="F586" s="119"/>
      <c r="G586" s="119"/>
      <c r="H586" s="119"/>
      <c r="I586" s="4">
        <f>IFERROR(VLOOKUP(H586,H$2:H585,1,FALSE),VLOOKUP(H586,H$478:H587,1,FALSE))</f>
      </c>
      <c r="J586" s="4">
        <f t="shared" si="120"/>
        <v/>
      </c>
      <c r="K586" s="4">
        <f t="shared" si="121"/>
        <v/>
      </c>
      <c r="L586" s="4">
        <f t="shared" si="122"/>
        <v/>
      </c>
      <c r="M586" s="5">
        <f t="shared" si="116"/>
        <v/>
      </c>
      <c r="N586" s="4">
        <f t="shared" si="123"/>
        <v/>
      </c>
      <c r="O586" s="4"/>
      <c r="P586" s="4">
        <f t="shared" si="124"/>
        <v/>
      </c>
      <c r="Q586" s="4">
        <f t="shared" si="125"/>
        <v/>
      </c>
      <c r="R586" s="4">
        <f t="shared" si="117"/>
      </c>
      <c r="S586" s="4">
        <f t="shared" si="118"/>
      </c>
      <c r="T586" s="4">
        <f t="shared" si="119"/>
      </c>
      <c r="U586" s="4">
        <f t="shared" si="126"/>
        <v/>
      </c>
    </row>
    <row r="587" spans="1:21" x14ac:dyDescent="0.3">
      <c r="A587" s="4">
        <f t="shared" si="115"/>
        <v/>
      </c>
      <c r="B587" s="4">
        <f>IF(C587=1,MAX(B$2:$B586)+1,IF(F587=0,"",B586))</f>
        <v/>
      </c>
      <c r="C587" s="4">
        <f>COUNTIF($F$2:$F587,F587)</f>
      </c>
      <c r="D587" s="4">
        <f>IF(F587=0,0,MAX($D$2:D586)+1)</f>
      </c>
      <c r="E587" s="4">
        <f>IF(H587=0,0,MAX($E$2:E586)+1)</f>
      </c>
      <c r="F587" s="119"/>
      <c r="G587" s="119"/>
      <c r="H587" s="119"/>
      <c r="I587" s="4">
        <f>IFERROR(VLOOKUP(H587,H$2:H586,1,FALSE),VLOOKUP(H587,H$478:H588,1,FALSE))</f>
      </c>
      <c r="J587" s="4">
        <f t="shared" si="120"/>
        <v/>
      </c>
      <c r="K587" s="4">
        <f t="shared" si="121"/>
        <v/>
      </c>
      <c r="L587" s="4">
        <f t="shared" si="122"/>
        <v/>
      </c>
      <c r="M587" s="5">
        <f t="shared" si="116"/>
        <v/>
      </c>
      <c r="N587" s="4">
        <f t="shared" si="123"/>
        <v/>
      </c>
      <c r="O587" s="4"/>
      <c r="P587" s="4">
        <f t="shared" si="124"/>
        <v/>
      </c>
      <c r="Q587" s="4">
        <f t="shared" si="125"/>
        <v/>
      </c>
      <c r="R587" s="4">
        <f t="shared" si="117"/>
      </c>
      <c r="S587" s="4">
        <f t="shared" si="118"/>
      </c>
      <c r="T587" s="4">
        <f t="shared" si="119"/>
      </c>
      <c r="U587" s="4">
        <f t="shared" si="126"/>
        <v/>
      </c>
    </row>
    <row r="588" spans="1:21" x14ac:dyDescent="0.3">
      <c r="A588" s="4">
        <f t="shared" si="115"/>
        <v/>
      </c>
      <c r="B588" s="4">
        <f>IF(C588=1,MAX(B$2:$B587)+1,IF(F588=0,"",B587))</f>
        <v/>
      </c>
      <c r="C588" s="4">
        <f>COUNTIF($F$2:$F588,F588)</f>
      </c>
      <c r="D588" s="4">
        <f>IF(F588=0,0,MAX($D$2:D587)+1)</f>
      </c>
      <c r="E588" s="4">
        <f>IF(H588=0,0,MAX($E$2:E587)+1)</f>
      </c>
      <c r="F588" s="119"/>
      <c r="G588" s="119"/>
      <c r="H588" s="119"/>
      <c r="I588" s="4">
        <f>IFERROR(VLOOKUP(H588,H$2:H587,1,FALSE),VLOOKUP(H588,H$478:H589,1,FALSE))</f>
      </c>
      <c r="J588" s="4">
        <f t="shared" si="120"/>
        <v/>
      </c>
      <c r="K588" s="4">
        <f t="shared" si="121"/>
        <v/>
      </c>
      <c r="L588" s="4">
        <f t="shared" si="122"/>
        <v/>
      </c>
      <c r="M588" s="5">
        <f t="shared" si="116"/>
        <v/>
      </c>
      <c r="N588" s="4">
        <f t="shared" si="123"/>
        <v/>
      </c>
      <c r="O588" s="4"/>
      <c r="P588" s="4">
        <f t="shared" si="124"/>
        <v/>
      </c>
      <c r="Q588" s="4">
        <f t="shared" si="125"/>
        <v/>
      </c>
      <c r="R588" s="4">
        <f t="shared" si="117"/>
      </c>
      <c r="S588" s="4">
        <f t="shared" si="118"/>
      </c>
      <c r="T588" s="4">
        <f t="shared" si="119"/>
      </c>
      <c r="U588" s="4">
        <f t="shared" si="126"/>
        <v/>
      </c>
    </row>
    <row r="589" spans="1:21" x14ac:dyDescent="0.3">
      <c r="A589" s="4">
        <f t="shared" si="115"/>
        <v/>
      </c>
      <c r="B589" s="4">
        <f>IF(C589=1,MAX(B$2:$B588)+1,IF(F589=0,"",B588))</f>
        <v/>
      </c>
      <c r="C589" s="4">
        <f>COUNTIF($F$2:$F589,F589)</f>
      </c>
      <c r="D589" s="4">
        <f>IF(F589=0,0,MAX($D$2:D588)+1)</f>
      </c>
      <c r="E589" s="4">
        <f>IF(H589=0,0,MAX($E$2:E588)+1)</f>
      </c>
      <c r="F589" s="119"/>
      <c r="G589" s="119"/>
      <c r="H589" s="119"/>
      <c r="I589" s="4">
        <f>IFERROR(VLOOKUP(H589,H$2:H588,1,FALSE),VLOOKUP(H589,H$478:H590,1,FALSE))</f>
      </c>
      <c r="J589" s="4">
        <f t="shared" si="120"/>
        <v/>
      </c>
      <c r="K589" s="4">
        <f t="shared" si="121"/>
        <v/>
      </c>
      <c r="L589" s="4">
        <f t="shared" si="122"/>
        <v/>
      </c>
      <c r="M589" s="5">
        <f t="shared" si="116"/>
        <v/>
      </c>
      <c r="N589" s="4">
        <f t="shared" si="123"/>
        <v/>
      </c>
      <c r="O589" s="4"/>
      <c r="P589" s="4">
        <f t="shared" si="124"/>
        <v/>
      </c>
      <c r="Q589" s="4">
        <f t="shared" si="125"/>
        <v/>
      </c>
      <c r="R589" s="4">
        <f t="shared" si="117"/>
      </c>
      <c r="S589" s="4">
        <f t="shared" si="118"/>
      </c>
      <c r="T589" s="4">
        <f t="shared" si="119"/>
      </c>
      <c r="U589" s="4">
        <f t="shared" si="126"/>
        <v/>
      </c>
    </row>
    <row r="590" spans="1:21" x14ac:dyDescent="0.3">
      <c r="A590" s="4">
        <f t="shared" si="115"/>
        <v/>
      </c>
      <c r="B590" s="4">
        <f>IF(C590=1,MAX(B$2:$B589)+1,IF(F590=0,"",B589))</f>
        <v/>
      </c>
      <c r="C590" s="4">
        <f>COUNTIF($F$2:$F590,F590)</f>
      </c>
      <c r="D590" s="4">
        <f>IF(F590=0,0,MAX($D$2:D589)+1)</f>
      </c>
      <c r="E590" s="4">
        <f>IF(H590=0,0,MAX($E$2:E589)+1)</f>
      </c>
      <c r="F590" s="119"/>
      <c r="G590" s="119"/>
      <c r="H590" s="119"/>
      <c r="I590" s="4">
        <f>IFERROR(VLOOKUP(H590,H$2:H589,1,FALSE),VLOOKUP(H590,H$478:H591,1,FALSE))</f>
      </c>
      <c r="J590" s="4">
        <f t="shared" si="120"/>
        <v/>
      </c>
      <c r="K590" s="4">
        <f t="shared" si="121"/>
        <v/>
      </c>
      <c r="L590" s="4">
        <f t="shared" si="122"/>
        <v/>
      </c>
      <c r="M590" s="5">
        <f t="shared" si="116"/>
        <v/>
      </c>
      <c r="N590" s="4">
        <f t="shared" si="123"/>
        <v/>
      </c>
      <c r="O590" s="4"/>
      <c r="P590" s="4">
        <f t="shared" si="124"/>
        <v/>
      </c>
      <c r="Q590" s="4">
        <f t="shared" si="125"/>
        <v/>
      </c>
      <c r="R590" s="4">
        <f t="shared" si="117"/>
      </c>
      <c r="S590" s="4">
        <f t="shared" si="118"/>
      </c>
      <c r="T590" s="4">
        <f t="shared" si="119"/>
      </c>
      <c r="U590" s="4">
        <f t="shared" si="126"/>
        <v/>
      </c>
    </row>
    <row r="591" spans="1:21" x14ac:dyDescent="0.3">
      <c r="A591" s="4">
        <f t="shared" si="115"/>
        <v/>
      </c>
      <c r="B591" s="4">
        <f>IF(C591=1,MAX(B$2:$B590)+1,IF(F591=0,"",B590))</f>
        <v/>
      </c>
      <c r="C591" s="4">
        <f>COUNTIF($F$2:$F591,F591)</f>
      </c>
      <c r="D591" s="4">
        <f>IF(F591=0,0,MAX($D$2:D590)+1)</f>
      </c>
      <c r="E591" s="4">
        <f>IF(H591=0,0,MAX($E$2:E590)+1)</f>
      </c>
      <c r="F591" s="119"/>
      <c r="G591" s="119"/>
      <c r="H591" s="119"/>
      <c r="I591" s="4">
        <f>IFERROR(VLOOKUP(H591,H$2:H590,1,FALSE),VLOOKUP(H591,H$478:H592,1,FALSE))</f>
      </c>
      <c r="J591" s="4">
        <f t="shared" si="120"/>
        <v/>
      </c>
      <c r="K591" s="4">
        <f t="shared" si="121"/>
        <v/>
      </c>
      <c r="L591" s="4">
        <f t="shared" si="122"/>
        <v/>
      </c>
      <c r="M591" s="5">
        <f t="shared" si="116"/>
        <v/>
      </c>
      <c r="N591" s="4">
        <f t="shared" si="123"/>
        <v/>
      </c>
      <c r="O591" s="4"/>
      <c r="P591" s="4">
        <f t="shared" si="124"/>
        <v/>
      </c>
      <c r="Q591" s="4">
        <f t="shared" si="125"/>
        <v/>
      </c>
      <c r="R591" s="4">
        <f t="shared" si="117"/>
      </c>
      <c r="S591" s="4">
        <f t="shared" si="118"/>
      </c>
      <c r="T591" s="4">
        <f t="shared" si="119"/>
      </c>
      <c r="U591" s="4">
        <f t="shared" si="126"/>
        <v/>
      </c>
    </row>
    <row r="592" spans="1:21" x14ac:dyDescent="0.3">
      <c r="A592" s="4">
        <f t="shared" si="115"/>
        <v/>
      </c>
      <c r="B592" s="4">
        <f>IF(C592=1,MAX(B$2:$B591)+1,IF(F592=0,"",B591))</f>
        <v/>
      </c>
      <c r="C592" s="4">
        <f>COUNTIF($F$2:$F592,F592)</f>
      </c>
      <c r="D592" s="4">
        <f>IF(F592=0,0,MAX($D$2:D591)+1)</f>
      </c>
      <c r="E592" s="4">
        <f>IF(H592=0,0,MAX($E$2:E591)+1)</f>
      </c>
      <c r="F592" s="119"/>
      <c r="G592" s="119"/>
      <c r="H592" s="119"/>
      <c r="I592" s="4">
        <f>IFERROR(VLOOKUP(H592,H$2:H591,1,FALSE),VLOOKUP(H592,H$478:H593,1,FALSE))</f>
      </c>
      <c r="J592" s="4">
        <f t="shared" si="120"/>
        <v/>
      </c>
      <c r="K592" s="4">
        <f t="shared" si="121"/>
        <v/>
      </c>
      <c r="L592" s="4">
        <f t="shared" si="122"/>
        <v/>
      </c>
      <c r="M592" s="5">
        <f t="shared" si="116"/>
        <v/>
      </c>
      <c r="N592" s="4">
        <f t="shared" si="123"/>
        <v/>
      </c>
      <c r="O592" s="4"/>
      <c r="P592" s="4">
        <f t="shared" si="124"/>
        <v/>
      </c>
      <c r="Q592" s="4">
        <f t="shared" si="125"/>
        <v/>
      </c>
      <c r="R592" s="4">
        <f t="shared" si="117"/>
      </c>
      <c r="S592" s="4">
        <f t="shared" si="118"/>
      </c>
      <c r="T592" s="4">
        <f t="shared" si="119"/>
      </c>
      <c r="U592" s="4">
        <f t="shared" si="126"/>
        <v/>
      </c>
    </row>
    <row r="593" spans="1:21" x14ac:dyDescent="0.3">
      <c r="A593" s="4">
        <f t="shared" si="115"/>
        <v/>
      </c>
      <c r="B593" s="4">
        <f>IF(C593=1,MAX(B$2:$B592)+1,IF(F593=0,"",B592))</f>
        <v/>
      </c>
      <c r="C593" s="4">
        <f>COUNTIF($F$2:$F593,F593)</f>
      </c>
      <c r="D593" s="4">
        <f>IF(F593=0,0,MAX($D$2:D592)+1)</f>
      </c>
      <c r="E593" s="4">
        <f>IF(H593=0,0,MAX($E$2:E592)+1)</f>
      </c>
      <c r="F593" s="119"/>
      <c r="G593" s="119"/>
      <c r="H593" s="119"/>
      <c r="I593" s="4">
        <f>IFERROR(VLOOKUP(H593,H$2:H592,1,FALSE),VLOOKUP(H593,H$478:H594,1,FALSE))</f>
      </c>
      <c r="J593" s="4">
        <f t="shared" si="120"/>
        <v/>
      </c>
      <c r="K593" s="4">
        <f t="shared" si="121"/>
        <v/>
      </c>
      <c r="L593" s="4">
        <f t="shared" si="122"/>
        <v/>
      </c>
      <c r="M593" s="5">
        <f t="shared" si="116"/>
        <v/>
      </c>
      <c r="N593" s="4">
        <f t="shared" si="123"/>
        <v/>
      </c>
      <c r="O593" s="4"/>
      <c r="P593" s="4">
        <f t="shared" si="124"/>
        <v/>
      </c>
      <c r="Q593" s="4">
        <f t="shared" si="125"/>
        <v/>
      </c>
      <c r="R593" s="4">
        <f t="shared" si="117"/>
      </c>
      <c r="S593" s="4">
        <f t="shared" si="118"/>
      </c>
      <c r="T593" s="4">
        <f t="shared" si="119"/>
      </c>
      <c r="U593" s="4">
        <f t="shared" si="126"/>
        <v/>
      </c>
    </row>
    <row r="594" spans="1:21" x14ac:dyDescent="0.3">
      <c r="A594" s="4">
        <f t="shared" si="115"/>
        <v/>
      </c>
      <c r="B594" s="4">
        <f>IF(C594=1,MAX(B$2:$B593)+1,IF(F594=0,"",B593))</f>
        <v/>
      </c>
      <c r="C594" s="4">
        <f>COUNTIF($F$2:$F594,F594)</f>
      </c>
      <c r="D594" s="4">
        <f>IF(F594=0,0,MAX($D$2:D593)+1)</f>
      </c>
      <c r="E594" s="4">
        <f>IF(H594=0,0,MAX($E$2:E593)+1)</f>
      </c>
      <c r="F594" s="119"/>
      <c r="G594" s="119"/>
      <c r="H594" s="119"/>
      <c r="I594" s="4">
        <f>IFERROR(VLOOKUP(H594,H$2:H593,1,FALSE),VLOOKUP(H594,H$478:H595,1,FALSE))</f>
      </c>
      <c r="J594" s="4">
        <f t="shared" si="120"/>
        <v/>
      </c>
      <c r="K594" s="4">
        <f t="shared" si="121"/>
        <v/>
      </c>
      <c r="L594" s="4">
        <f t="shared" si="122"/>
        <v/>
      </c>
      <c r="M594" s="5">
        <f t="shared" si="116"/>
        <v/>
      </c>
      <c r="N594" s="4">
        <f t="shared" si="123"/>
        <v/>
      </c>
      <c r="O594" s="4"/>
      <c r="P594" s="4">
        <f t="shared" si="124"/>
        <v/>
      </c>
      <c r="Q594" s="4">
        <f t="shared" si="125"/>
        <v/>
      </c>
      <c r="R594" s="4">
        <f t="shared" si="117"/>
      </c>
      <c r="S594" s="4">
        <f t="shared" si="118"/>
      </c>
      <c r="T594" s="4">
        <f t="shared" si="119"/>
      </c>
      <c r="U594" s="4">
        <f t="shared" si="126"/>
        <v/>
      </c>
    </row>
    <row r="595" spans="1:21" x14ac:dyDescent="0.3">
      <c r="A595" s="4">
        <f t="shared" si="115"/>
        <v/>
      </c>
      <c r="B595" s="4">
        <f>IF(C595=1,MAX(B$2:$B594)+1,IF(F595=0,"",B594))</f>
        <v/>
      </c>
      <c r="C595" s="4">
        <f>COUNTIF($F$2:$F595,F595)</f>
      </c>
      <c r="D595" s="4">
        <f>IF(F595=0,0,MAX($D$2:D594)+1)</f>
      </c>
      <c r="E595" s="4">
        <f>IF(H595=0,0,MAX($E$2:E594)+1)</f>
      </c>
      <c r="F595" s="119"/>
      <c r="G595" s="119"/>
      <c r="H595" s="119"/>
      <c r="I595" s="4">
        <f>IFERROR(VLOOKUP(H595,H$2:H594,1,FALSE),VLOOKUP(H595,H$478:H596,1,FALSE))</f>
      </c>
      <c r="J595" s="4">
        <f t="shared" si="120"/>
        <v/>
      </c>
      <c r="K595" s="4">
        <f t="shared" si="121"/>
        <v/>
      </c>
      <c r="L595" s="4">
        <f t="shared" si="122"/>
        <v/>
      </c>
      <c r="M595" s="5">
        <f t="shared" si="116"/>
        <v/>
      </c>
      <c r="N595" s="4">
        <f t="shared" si="123"/>
        <v/>
      </c>
      <c r="O595" s="4"/>
      <c r="P595" s="4">
        <f t="shared" si="124"/>
        <v/>
      </c>
      <c r="Q595" s="4">
        <f t="shared" si="125"/>
        <v/>
      </c>
      <c r="R595" s="4">
        <f t="shared" si="117"/>
      </c>
      <c r="S595" s="4">
        <f t="shared" si="118"/>
      </c>
      <c r="T595" s="4">
        <f t="shared" si="119"/>
      </c>
      <c r="U595" s="4">
        <f t="shared" si="126"/>
        <v/>
      </c>
    </row>
    <row r="596" spans="1:21" x14ac:dyDescent="0.3">
      <c r="A596" s="4">
        <f t="shared" si="115"/>
        <v/>
      </c>
      <c r="B596" s="4">
        <f>IF(C596=1,MAX(B$2:$B595)+1,IF(F596=0,"",B595))</f>
        <v/>
      </c>
      <c r="C596" s="4">
        <f>COUNTIF($F$2:$F596,F596)</f>
      </c>
      <c r="D596" s="4">
        <f>IF(F596=0,0,MAX($D$2:D595)+1)</f>
      </c>
      <c r="E596" s="4">
        <f>IF(H596=0,0,MAX($E$2:E595)+1)</f>
      </c>
      <c r="F596" s="119"/>
      <c r="G596" s="119"/>
      <c r="H596" s="119"/>
      <c r="I596" s="4">
        <f>IFERROR(VLOOKUP(H596,H$2:H595,1,FALSE),VLOOKUP(H596,H$478:H597,1,FALSE))</f>
      </c>
      <c r="J596" s="4">
        <f t="shared" si="120"/>
        <v/>
      </c>
      <c r="K596" s="4">
        <f t="shared" si="121"/>
        <v/>
      </c>
      <c r="L596" s="4">
        <f t="shared" si="122"/>
        <v/>
      </c>
      <c r="M596" s="5">
        <f t="shared" si="116"/>
        <v/>
      </c>
      <c r="N596" s="4">
        <f t="shared" si="123"/>
        <v/>
      </c>
      <c r="O596" s="4"/>
      <c r="P596" s="4">
        <f t="shared" si="124"/>
        <v/>
      </c>
      <c r="Q596" s="4">
        <f t="shared" si="125"/>
        <v/>
      </c>
      <c r="R596" s="4">
        <f t="shared" si="117"/>
      </c>
      <c r="S596" s="4">
        <f t="shared" si="118"/>
      </c>
      <c r="T596" s="4">
        <f t="shared" si="119"/>
      </c>
      <c r="U596" s="4">
        <f t="shared" si="126"/>
        <v/>
      </c>
    </row>
    <row r="597" spans="1:21" ht="15" thickBot="1" x14ac:dyDescent="0.35">
      <c r="A597" s="4">
        <f t="shared" si="115"/>
        <v/>
      </c>
      <c r="B597" s="4">
        <f>IF(C597=1,MAX(B$2:$B596)+1,IF(F597=0,"",B596))</f>
        <v/>
      </c>
      <c r="C597" s="4">
        <f>COUNTIF($F$2:$F597,F597)</f>
      </c>
      <c r="D597" s="4">
        <f>IF(F597=0,0,MAX($D$2:D596)+1)</f>
      </c>
      <c r="E597" s="4">
        <f>IF(H597=0,0,MAX($E$2:E596)+1)</f>
      </c>
      <c r="F597" s="119"/>
      <c r="G597" s="119"/>
      <c r="H597" s="175"/>
      <c r="I597" s="4">
        <f>IFERROR(VLOOKUP(H597,H$2:H596,1,FALSE),VLOOKUP(H597,H$478:H598,1,FALSE))</f>
      </c>
      <c r="J597" s="4">
        <f t="shared" si="120"/>
        <v/>
      </c>
      <c r="K597" s="4">
        <f t="shared" si="121"/>
        <v/>
      </c>
      <c r="L597" s="4">
        <f t="shared" si="122"/>
        <v/>
      </c>
      <c r="M597" s="5">
        <f t="shared" si="116"/>
        <v/>
      </c>
      <c r="N597" s="4">
        <f t="shared" si="123"/>
        <v/>
      </c>
      <c r="O597" s="4"/>
      <c r="P597" s="4">
        <f t="shared" si="124"/>
        <v/>
      </c>
      <c r="Q597" s="4">
        <f t="shared" si="125"/>
        <v/>
      </c>
      <c r="R597" s="4">
        <f t="shared" si="117"/>
      </c>
      <c r="S597" s="4">
        <f t="shared" si="118"/>
      </c>
      <c r="T597" s="4">
        <f t="shared" si="119"/>
      </c>
      <c r="U597" s="4">
        <f t="shared" si="126"/>
        <v/>
      </c>
    </row>
    <row r="598" spans="1:21" x14ac:dyDescent="0.3">
      <c r="A598" s="4">
        <f t="shared" si="115"/>
        <v/>
      </c>
      <c r="B598" s="4">
        <f>IF(C598=1,MAX(B$2:$B597)+1,IF(F598=0,"",B597))</f>
        <v/>
      </c>
      <c r="C598" s="4">
        <f>COUNTIF($F$2:$F598,F598)</f>
      </c>
      <c r="D598" s="4">
        <f>IF(F598=0,0,MAX($D$2:D597)+1)</f>
      </c>
      <c r="E598" s="4">
        <f>IF(H598=0,0,MAX($E$2:E597)+1)</f>
      </c>
      <c r="F598" s="119"/>
      <c r="G598" s="119"/>
      <c r="H598" s="177"/>
      <c r="I598" s="4">
        <f>IFERROR(VLOOKUP(H598,H$2:H597,1,FALSE),VLOOKUP(H598,H$478:H599,1,FALSE))</f>
      </c>
      <c r="J598" s="4">
        <f t="shared" si="120"/>
        <v/>
      </c>
      <c r="K598" s="4">
        <f t="shared" si="121"/>
        <v/>
      </c>
      <c r="L598" s="4">
        <f t="shared" si="122"/>
        <v/>
      </c>
      <c r="M598" s="5">
        <f t="shared" si="116"/>
        <v/>
      </c>
      <c r="N598" s="4">
        <f t="shared" si="123"/>
        <v/>
      </c>
      <c r="O598" s="4"/>
      <c r="P598" s="4">
        <f t="shared" si="124"/>
        <v/>
      </c>
      <c r="Q598" s="4">
        <f t="shared" si="125"/>
        <v/>
      </c>
      <c r="R598" s="4">
        <f t="shared" si="117"/>
      </c>
      <c r="S598" s="4">
        <f t="shared" si="118"/>
      </c>
      <c r="T598" s="4">
        <f t="shared" si="119"/>
      </c>
      <c r="U598" s="4">
        <f t="shared" si="126"/>
        <v/>
      </c>
    </row>
    <row r="599" spans="1:21" x14ac:dyDescent="0.3">
      <c r="A599" s="4">
        <f t="shared" si="115"/>
        <v/>
      </c>
      <c r="B599" s="4">
        <f>IF(C599=1,MAX(B$2:$B598)+1,IF(F599=0,"",B598))</f>
        <v/>
      </c>
      <c r="C599" s="4">
        <f>COUNTIF($F$2:$F599,F599)</f>
      </c>
      <c r="D599" s="4">
        <f>IF(F599=0,0,MAX($D$2:D598)+1)</f>
      </c>
      <c r="E599" s="4">
        <f>IF(H599=0,0,MAX($E$2:E598)+1)</f>
      </c>
      <c r="F599" s="119"/>
      <c r="G599" s="119"/>
      <c r="H599" s="119"/>
      <c r="I599" s="4">
        <f>IFERROR(VLOOKUP(H599,H$2:H598,1,FALSE),VLOOKUP(H599,H$478:H600,1,FALSE))</f>
      </c>
      <c r="J599" s="4">
        <f t="shared" si="120"/>
        <v/>
      </c>
      <c r="K599" s="4">
        <f t="shared" si="121"/>
        <v/>
      </c>
      <c r="L599" s="4">
        <f t="shared" si="122"/>
        <v/>
      </c>
      <c r="M599" s="5">
        <f t="shared" si="116"/>
        <v/>
      </c>
      <c r="N599" s="4">
        <f t="shared" si="123"/>
        <v/>
      </c>
      <c r="O599" s="4"/>
      <c r="P599" s="4">
        <f t="shared" si="124"/>
        <v/>
      </c>
      <c r="Q599" s="4">
        <f t="shared" si="125"/>
        <v/>
      </c>
      <c r="R599" s="4">
        <f t="shared" si="117"/>
      </c>
      <c r="S599" s="4">
        <f t="shared" si="118"/>
      </c>
      <c r="T599" s="4">
        <f t="shared" si="119"/>
      </c>
      <c r="U599" s="4">
        <f t="shared" si="126"/>
        <v/>
      </c>
    </row>
    <row r="600" spans="1:21" x14ac:dyDescent="0.3">
      <c r="A600" s="4">
        <f t="shared" si="115"/>
        <v/>
      </c>
      <c r="B600" s="4">
        <f>IF(C600=1,MAX(B$2:$B599)+1,IF(F600=0,"",B599))</f>
        <v/>
      </c>
      <c r="C600" s="4">
        <f>COUNTIF($F$2:$F600,F600)</f>
      </c>
      <c r="D600" s="4">
        <f>IF(F600=0,0,MAX($D$2:D599)+1)</f>
      </c>
      <c r="E600" s="4">
        <f>IF(H600=0,0,MAX($E$2:E599)+1)</f>
      </c>
      <c r="F600" s="119"/>
      <c r="G600" s="119"/>
      <c r="H600" s="119"/>
      <c r="I600" s="4">
        <f>IFERROR(VLOOKUP(H600,H$2:H599,1,FALSE),VLOOKUP(H600,H$478:H601,1,FALSE))</f>
      </c>
      <c r="J600" s="4">
        <f t="shared" si="120"/>
        <v/>
      </c>
      <c r="K600" s="4">
        <f t="shared" si="121"/>
        <v/>
      </c>
      <c r="L600" s="4">
        <f t="shared" si="122"/>
        <v/>
      </c>
      <c r="M600" s="5">
        <f t="shared" si="116"/>
        <v/>
      </c>
      <c r="N600" s="4">
        <f t="shared" si="123"/>
        <v/>
      </c>
      <c r="O600" s="4"/>
      <c r="P600" s="4">
        <f t="shared" si="124"/>
        <v/>
      </c>
      <c r="Q600" s="4">
        <f t="shared" si="125"/>
        <v/>
      </c>
      <c r="R600" s="4">
        <f t="shared" si="117"/>
      </c>
      <c r="S600" s="4">
        <f t="shared" si="118"/>
      </c>
      <c r="T600" s="4">
        <f t="shared" si="119"/>
      </c>
      <c r="U600" s="4">
        <f t="shared" si="126"/>
        <v/>
      </c>
    </row>
    <row r="601" spans="1:21" x14ac:dyDescent="0.3">
      <c r="A601" s="4">
        <f t="shared" si="115"/>
        <v/>
      </c>
      <c r="B601" s="4">
        <f>IF(C601=1,MAX(B$2:$B600)+1,IF(F601=0,"",B600))</f>
        <v/>
      </c>
      <c r="C601" s="4">
        <f>COUNTIF($F$2:$F601,F601)</f>
      </c>
      <c r="D601" s="4">
        <f>IF(F601=0,0,MAX($D$2:D600)+1)</f>
      </c>
      <c r="E601" s="4">
        <f>IF(H601=0,0,MAX($E$2:E600)+1)</f>
      </c>
      <c r="F601" s="119"/>
      <c r="G601" s="119"/>
      <c r="H601" s="119"/>
      <c r="I601" s="4">
        <f>IFERROR(VLOOKUP(H601,H$2:H600,1,FALSE),VLOOKUP(H601,H$478:H602,1,FALSE))</f>
      </c>
      <c r="J601" s="4">
        <f t="shared" si="120"/>
        <v/>
      </c>
      <c r="K601" s="4">
        <f t="shared" si="121"/>
        <v/>
      </c>
      <c r="L601" s="4">
        <f t="shared" si="122"/>
        <v/>
      </c>
      <c r="M601" s="5">
        <f t="shared" si="116"/>
        <v/>
      </c>
      <c r="N601" s="4">
        <f t="shared" si="123"/>
        <v/>
      </c>
      <c r="O601" s="4"/>
      <c r="P601" s="4">
        <f t="shared" si="124"/>
        <v/>
      </c>
      <c r="Q601" s="4">
        <f t="shared" si="125"/>
        <v/>
      </c>
      <c r="R601" s="4">
        <f t="shared" si="117"/>
      </c>
      <c r="S601" s="4">
        <f t="shared" si="118"/>
      </c>
      <c r="T601" s="4">
        <f t="shared" si="119"/>
      </c>
      <c r="U601" s="4">
        <f t="shared" si="126"/>
        <v/>
      </c>
    </row>
    <row r="602" spans="1:21" x14ac:dyDescent="0.3">
      <c r="A602" s="4">
        <f t="shared" si="115"/>
        <v/>
      </c>
      <c r="B602" s="4">
        <f>IF(C602=1,MAX(B$2:$B601)+1,IF(F602=0,"",B601))</f>
        <v/>
      </c>
      <c r="C602" s="4">
        <f>COUNTIF($F$2:$F602,F602)</f>
      </c>
      <c r="D602" s="4">
        <f>IF(F602=0,0,MAX($D$2:D601)+1)</f>
      </c>
      <c r="E602" s="4">
        <f>IF(H602=0,0,MAX($E$2:E601)+1)</f>
      </c>
      <c r="F602" s="119"/>
      <c r="G602" s="119"/>
      <c r="H602" s="119"/>
      <c r="I602" s="4">
        <f>IFERROR(VLOOKUP(H602,H$2:H601,1,FALSE),VLOOKUP(H602,H$478:H603,1,FALSE))</f>
      </c>
      <c r="J602" s="4">
        <f t="shared" si="120"/>
        <v/>
      </c>
      <c r="K602" s="4">
        <f t="shared" si="121"/>
        <v/>
      </c>
      <c r="L602" s="4">
        <f t="shared" si="122"/>
        <v/>
      </c>
      <c r="M602" s="5">
        <f t="shared" si="116"/>
        <v/>
      </c>
      <c r="N602" s="4">
        <f t="shared" si="123"/>
        <v/>
      </c>
      <c r="O602" s="4"/>
      <c r="P602" s="4">
        <f t="shared" si="124"/>
        <v/>
      </c>
      <c r="Q602" s="4">
        <f t="shared" si="125"/>
        <v/>
      </c>
      <c r="R602" s="4">
        <f t="shared" si="117"/>
      </c>
      <c r="S602" s="4">
        <f t="shared" si="118"/>
      </c>
      <c r="T602" s="4">
        <f t="shared" si="119"/>
      </c>
      <c r="U602" s="4">
        <f t="shared" si="126"/>
        <v/>
      </c>
    </row>
    <row r="603" spans="1:21" x14ac:dyDescent="0.3">
      <c r="A603" s="4">
        <f t="shared" si="115"/>
        <v/>
      </c>
      <c r="B603" s="4">
        <f>IF(C603=1,MAX(B$2:$B602)+1,IF(F603=0,"",B602))</f>
        <v/>
      </c>
      <c r="C603" s="4">
        <f>COUNTIF($F$2:$F603,F603)</f>
      </c>
      <c r="D603" s="4">
        <f>IF(F603=0,0,MAX($D$2:D602)+1)</f>
      </c>
      <c r="E603" s="4">
        <f>IF(H603=0,0,MAX($E$2:E602)+1)</f>
      </c>
      <c r="F603" s="119"/>
      <c r="G603" s="119"/>
      <c r="H603" s="119"/>
      <c r="I603" s="4">
        <f>IFERROR(VLOOKUP(H603,H$2:H602,1,FALSE),VLOOKUP(H603,H$478:H604,1,FALSE))</f>
      </c>
      <c r="J603" s="4">
        <f t="shared" si="120"/>
        <v/>
      </c>
      <c r="K603" s="4">
        <f t="shared" si="121"/>
        <v/>
      </c>
      <c r="L603" s="4">
        <f t="shared" si="122"/>
        <v/>
      </c>
      <c r="M603" s="5">
        <f t="shared" si="116"/>
        <v/>
      </c>
      <c r="N603" s="4">
        <f t="shared" si="123"/>
        <v/>
      </c>
      <c r="O603" s="4"/>
      <c r="P603" s="4">
        <f t="shared" si="124"/>
        <v/>
      </c>
      <c r="Q603" s="4">
        <f t="shared" si="125"/>
        <v/>
      </c>
      <c r="R603" s="4">
        <f t="shared" si="117"/>
      </c>
      <c r="S603" s="4">
        <f t="shared" si="118"/>
      </c>
      <c r="T603" s="4">
        <f t="shared" si="119"/>
      </c>
      <c r="U603" s="4">
        <f t="shared" si="126"/>
        <v/>
      </c>
    </row>
    <row r="604" spans="1:21" x14ac:dyDescent="0.3">
      <c r="A604" s="4">
        <f t="shared" si="115"/>
        <v/>
      </c>
      <c r="B604" s="4">
        <f>IF(C604=1,MAX(B$2:$B603)+1,IF(F604=0,"",B603))</f>
        <v/>
      </c>
      <c r="C604" s="4">
        <f>COUNTIF($F$2:$F604,F604)</f>
      </c>
      <c r="D604" s="4">
        <f>IF(F604=0,0,MAX($D$2:D603)+1)</f>
      </c>
      <c r="E604" s="4">
        <f>IF(H604=0,0,MAX($E$2:E603)+1)</f>
      </c>
      <c r="F604" s="119"/>
      <c r="G604" s="119"/>
      <c r="H604" s="119"/>
      <c r="I604" s="4">
        <f>IFERROR(VLOOKUP(H604,H$2:H603,1,FALSE),VLOOKUP(H604,H$478:H605,1,FALSE))</f>
      </c>
      <c r="J604" s="4">
        <f t="shared" si="120"/>
        <v/>
      </c>
      <c r="K604" s="4">
        <f t="shared" si="121"/>
        <v/>
      </c>
      <c r="L604" s="4">
        <f t="shared" si="122"/>
        <v/>
      </c>
      <c r="M604" s="5">
        <f t="shared" si="116"/>
        <v/>
      </c>
      <c r="N604" s="4">
        <f t="shared" si="123"/>
        <v/>
      </c>
      <c r="O604" s="4"/>
      <c r="P604" s="4">
        <f t="shared" si="124"/>
        <v/>
      </c>
      <c r="Q604" s="4">
        <f t="shared" si="125"/>
        <v/>
      </c>
      <c r="R604" s="4">
        <f t="shared" si="117"/>
      </c>
      <c r="S604" s="4">
        <f t="shared" si="118"/>
      </c>
      <c r="T604" s="4">
        <f t="shared" si="119"/>
      </c>
      <c r="U604" s="4">
        <f t="shared" si="126"/>
        <v/>
      </c>
    </row>
    <row r="605" spans="1:21" x14ac:dyDescent="0.3">
      <c r="A605" s="4">
        <f t="shared" si="115"/>
        <v/>
      </c>
      <c r="B605" s="4">
        <f>IF(C605=1,MAX(B$2:$B604)+1,IF(F605=0,"",B604))</f>
        <v/>
      </c>
      <c r="C605" s="4">
        <f>COUNTIF($F$2:$F605,F605)</f>
      </c>
      <c r="D605" s="4">
        <f>IF(F605=0,0,MAX($D$2:D604)+1)</f>
      </c>
      <c r="E605" s="4">
        <f>IF(H605=0,0,MAX($E$2:E604)+1)</f>
      </c>
      <c r="F605" s="119"/>
      <c r="G605" s="119"/>
      <c r="H605" s="119"/>
      <c r="I605" s="4">
        <f>IFERROR(VLOOKUP(H605,H$2:H604,1,FALSE),VLOOKUP(H605,H$478:H606,1,FALSE))</f>
      </c>
      <c r="J605" s="4">
        <f t="shared" si="120"/>
        <v/>
      </c>
      <c r="K605" s="4">
        <f t="shared" si="121"/>
        <v/>
      </c>
      <c r="L605" s="4">
        <f t="shared" si="122"/>
        <v/>
      </c>
      <c r="M605" s="5">
        <f t="shared" si="116"/>
        <v/>
      </c>
      <c r="N605" s="4">
        <f t="shared" si="123"/>
        <v/>
      </c>
      <c r="O605" s="4"/>
      <c r="P605" s="4">
        <f t="shared" si="124"/>
        <v/>
      </c>
      <c r="Q605" s="4">
        <f t="shared" si="125"/>
        <v/>
      </c>
      <c r="R605" s="4">
        <f t="shared" si="117"/>
      </c>
      <c r="S605" s="4">
        <f t="shared" si="118"/>
      </c>
      <c r="T605" s="4">
        <f t="shared" si="119"/>
      </c>
      <c r="U605" s="4">
        <f t="shared" si="126"/>
        <v/>
      </c>
    </row>
    <row r="606" spans="1:21" x14ac:dyDescent="0.3">
      <c r="A606" s="4">
        <f t="shared" si="115"/>
        <v/>
      </c>
      <c r="B606" s="4">
        <f>IF(C606=1,MAX(B$2:$B605)+1,IF(F606=0,"",B605))</f>
        <v/>
      </c>
      <c r="C606" s="4">
        <f>COUNTIF($F$2:$F606,F606)</f>
      </c>
      <c r="D606" s="4">
        <f>IF(F606=0,0,MAX($D$2:D605)+1)</f>
      </c>
      <c r="E606" s="4">
        <f>IF(H606=0,0,MAX($E$2:E605)+1)</f>
      </c>
      <c r="F606" s="119"/>
      <c r="G606" s="119"/>
      <c r="H606" s="119"/>
      <c r="I606" s="4">
        <f>IFERROR(VLOOKUP(H606,H$2:H605,1,FALSE),VLOOKUP(H606,H$478:H607,1,FALSE))</f>
      </c>
      <c r="J606" s="4">
        <f t="shared" si="120"/>
        <v/>
      </c>
      <c r="K606" s="4">
        <f t="shared" si="121"/>
        <v/>
      </c>
      <c r="L606" s="4">
        <f t="shared" si="122"/>
        <v/>
      </c>
      <c r="M606" s="5">
        <f t="shared" si="116"/>
        <v/>
      </c>
      <c r="N606" s="4">
        <f t="shared" si="123"/>
        <v/>
      </c>
      <c r="O606" s="4"/>
      <c r="P606" s="4">
        <f t="shared" si="124"/>
        <v/>
      </c>
      <c r="Q606" s="4">
        <f t="shared" si="125"/>
        <v/>
      </c>
      <c r="R606" s="4">
        <f t="shared" si="117"/>
      </c>
      <c r="S606" s="4">
        <f t="shared" si="118"/>
      </c>
      <c r="T606" s="4">
        <f t="shared" si="119"/>
      </c>
      <c r="U606" s="4">
        <f t="shared" si="126"/>
        <v/>
      </c>
    </row>
    <row r="607" spans="1:21" x14ac:dyDescent="0.3">
      <c r="A607" s="4">
        <f t="shared" ref="A607:A670" si="127">IF(B607=B608,"",B607)</f>
        <v/>
      </c>
      <c r="B607" s="4">
        <f>IF(C607=1,MAX(B$2:$B606)+1,IF(F607=0,"",B606))</f>
        <v/>
      </c>
      <c r="C607" s="4">
        <f>COUNTIF($F$2:$F607,F607)</f>
      </c>
      <c r="D607" s="4">
        <f>IF(F607=0,0,MAX($D$2:D606)+1)</f>
      </c>
      <c r="E607" s="4">
        <f>IF(H607=0,0,MAX($E$2:E606)+1)</f>
      </c>
      <c r="F607" s="119"/>
      <c r="G607" s="119"/>
      <c r="H607" s="119"/>
      <c r="I607" s="4">
        <f>IFERROR(VLOOKUP(H607,H$2:H606,1,FALSE),VLOOKUP(H607,H$478:H608,1,FALSE))</f>
      </c>
      <c r="J607" s="4">
        <f t="shared" si="120"/>
        <v/>
      </c>
      <c r="K607" s="4">
        <f t="shared" si="121"/>
        <v/>
      </c>
      <c r="L607" s="4">
        <f t="shared" si="122"/>
        <v/>
      </c>
      <c r="M607" s="5">
        <f t="shared" ref="M607:M670" si="128">IFERROR(VLOOKUP(H607,Нагрузка_диапазон_1,4,FALSE),"")</f>
        <v/>
      </c>
      <c r="N607" s="4">
        <f t="shared" si="123"/>
        <v/>
      </c>
      <c r="O607" s="4"/>
      <c r="P607" s="4">
        <f t="shared" si="124"/>
        <v/>
      </c>
      <c r="Q607" s="4">
        <f t="shared" si="125"/>
        <v/>
      </c>
      <c r="R607" s="4">
        <f t="shared" ref="R607:R670" si="129">IF(Q607=3,"L1,L2,L3",0)</f>
      </c>
      <c r="S607" s="4">
        <f t="shared" ref="S607:S670" si="130">IF(C607=1,1,IF(Q607=3,S606,IF(S606=3,1,S606+1)))</f>
      </c>
      <c r="T607" s="4">
        <f t="shared" ref="T607:T670" si="131">IF(R607=0,"L"&amp;S607,R607)</f>
      </c>
      <c r="U607" s="4">
        <f t="shared" si="126"/>
        <v/>
      </c>
    </row>
    <row r="608" spans="1:21" x14ac:dyDescent="0.3">
      <c r="A608" s="4">
        <f t="shared" si="127"/>
        <v/>
      </c>
      <c r="B608" s="4">
        <f>IF(C608=1,MAX(B$2:$B607)+1,IF(F608=0,"",B607))</f>
        <v/>
      </c>
      <c r="C608" s="4">
        <f>COUNTIF($F$2:$F608,F608)</f>
      </c>
      <c r="D608" s="4">
        <f>IF(F608=0,0,MAX($D$2:D607)+1)</f>
      </c>
      <c r="E608" s="4">
        <f>IF(H608=0,0,MAX($E$2:E607)+1)</f>
      </c>
      <c r="F608" s="119"/>
      <c r="G608" s="119"/>
      <c r="H608" s="119"/>
      <c r="I608" s="4">
        <f>IFERROR(VLOOKUP(H608,H$2:H607,1,FALSE),VLOOKUP(H608,H$478:H609,1,FALSE))</f>
      </c>
      <c r="J608" s="4">
        <f t="shared" si="120"/>
        <v/>
      </c>
      <c r="K608" s="4">
        <f t="shared" si="121"/>
        <v/>
      </c>
      <c r="L608" s="4">
        <f t="shared" si="122"/>
        <v/>
      </c>
      <c r="M608" s="5">
        <f t="shared" si="128"/>
        <v/>
      </c>
      <c r="N608" s="4">
        <f t="shared" si="123"/>
        <v/>
      </c>
      <c r="O608" s="4"/>
      <c r="P608" s="4">
        <f t="shared" si="124"/>
        <v/>
      </c>
      <c r="Q608" s="4">
        <f t="shared" si="125"/>
        <v/>
      </c>
      <c r="R608" s="4">
        <f t="shared" si="129"/>
      </c>
      <c r="S608" s="4">
        <f t="shared" si="130"/>
      </c>
      <c r="T608" s="4">
        <f t="shared" si="131"/>
      </c>
      <c r="U608" s="4">
        <f t="shared" si="126"/>
        <v/>
      </c>
    </row>
    <row r="609" spans="1:21" x14ac:dyDescent="0.3">
      <c r="A609" s="4">
        <f t="shared" si="127"/>
        <v/>
      </c>
      <c r="B609" s="4">
        <f>IF(C609=1,MAX(B$2:$B608)+1,IF(F609=0,"",B608))</f>
        <v/>
      </c>
      <c r="C609" s="4">
        <f>COUNTIF($F$2:$F609,F609)</f>
      </c>
      <c r="D609" s="4">
        <f>IF(F609=0,0,MAX($D$2:D608)+1)</f>
      </c>
      <c r="E609" s="4">
        <f>IF(H609=0,0,MAX($E$2:E608)+1)</f>
      </c>
      <c r="F609" s="119"/>
      <c r="G609" s="119"/>
      <c r="H609" s="119"/>
      <c r="I609" s="4">
        <f>IFERROR(VLOOKUP(H609,H$2:H608,1,FALSE),VLOOKUP(H609,H$478:H610,1,FALSE))</f>
      </c>
      <c r="J609" s="4">
        <f t="shared" si="120"/>
        <v/>
      </c>
      <c r="K609" s="4">
        <f t="shared" si="121"/>
        <v/>
      </c>
      <c r="L609" s="4">
        <f t="shared" si="122"/>
        <v/>
      </c>
      <c r="M609" s="5">
        <f t="shared" si="128"/>
        <v/>
      </c>
      <c r="N609" s="4">
        <f t="shared" si="123"/>
        <v/>
      </c>
      <c r="O609" s="4"/>
      <c r="P609" s="4">
        <f t="shared" si="124"/>
        <v/>
      </c>
      <c r="Q609" s="4">
        <f t="shared" si="125"/>
        <v/>
      </c>
      <c r="R609" s="4">
        <f t="shared" si="129"/>
      </c>
      <c r="S609" s="4">
        <f t="shared" si="130"/>
      </c>
      <c r="T609" s="4">
        <f t="shared" si="131"/>
      </c>
      <c r="U609" s="4">
        <f t="shared" si="126"/>
        <v/>
      </c>
    </row>
    <row r="610" spans="1:21" x14ac:dyDescent="0.3">
      <c r="A610" s="4">
        <f t="shared" si="127"/>
        <v/>
      </c>
      <c r="B610" s="4">
        <f>IF(C610=1,MAX(B$2:$B609)+1,IF(F610=0,"",B609))</f>
        <v/>
      </c>
      <c r="C610" s="4">
        <f>COUNTIF($F$2:$F610,F610)</f>
      </c>
      <c r="D610" s="4">
        <f>IF(F610=0,0,MAX($D$2:D609)+1)</f>
      </c>
      <c r="E610" s="4">
        <f>IF(H610=0,0,MAX($E$2:E609)+1)</f>
      </c>
      <c r="F610" s="119"/>
      <c r="G610" s="119"/>
      <c r="H610" s="119"/>
      <c r="I610" s="4">
        <f>IFERROR(VLOOKUP(H610,H$2:H609,1,FALSE),VLOOKUP(H610,H$478:H611,1,FALSE))</f>
      </c>
      <c r="J610" s="4">
        <f t="shared" si="120"/>
        <v/>
      </c>
      <c r="K610" s="4">
        <f t="shared" si="121"/>
        <v/>
      </c>
      <c r="L610" s="4">
        <f t="shared" si="122"/>
        <v/>
      </c>
      <c r="M610" s="5">
        <f t="shared" si="128"/>
        <v/>
      </c>
      <c r="N610" s="4">
        <f t="shared" si="123"/>
        <v/>
      </c>
      <c r="O610" s="4"/>
      <c r="P610" s="4">
        <f t="shared" si="124"/>
        <v/>
      </c>
      <c r="Q610" s="4">
        <f t="shared" si="125"/>
        <v/>
      </c>
      <c r="R610" s="4">
        <f t="shared" si="129"/>
      </c>
      <c r="S610" s="4">
        <f t="shared" si="130"/>
      </c>
      <c r="T610" s="4">
        <f t="shared" si="131"/>
      </c>
      <c r="U610" s="4">
        <f t="shared" si="126"/>
        <v/>
      </c>
    </row>
    <row r="611" spans="1:21" x14ac:dyDescent="0.3">
      <c r="A611" s="4">
        <f t="shared" si="127"/>
        <v/>
      </c>
      <c r="B611" s="4">
        <f>IF(C611=1,MAX(B$2:$B610)+1,IF(F611=0,"",B610))</f>
        <v/>
      </c>
      <c r="C611" s="4">
        <f>COUNTIF($F$2:$F611,F611)</f>
      </c>
      <c r="D611" s="4">
        <f>IF(F611=0,0,MAX($D$2:D610)+1)</f>
      </c>
      <c r="E611" s="4">
        <f>IF(H611=0,0,MAX($E$2:E610)+1)</f>
      </c>
      <c r="F611" s="119"/>
      <c r="G611" s="119"/>
      <c r="H611" s="119"/>
      <c r="I611" s="4">
        <f>IFERROR(VLOOKUP(H611,H$2:H610,1,FALSE),VLOOKUP(H611,H$478:H612,1,FALSE))</f>
      </c>
      <c r="J611" s="4">
        <f t="shared" si="120"/>
        <v/>
      </c>
      <c r="K611" s="4">
        <f t="shared" si="121"/>
        <v/>
      </c>
      <c r="L611" s="4">
        <f t="shared" si="122"/>
        <v/>
      </c>
      <c r="M611" s="5">
        <f t="shared" si="128"/>
        <v/>
      </c>
      <c r="N611" s="4">
        <f t="shared" si="123"/>
        <v/>
      </c>
      <c r="O611" s="4"/>
      <c r="P611" s="4">
        <f t="shared" si="124"/>
        <v/>
      </c>
      <c r="Q611" s="4">
        <f t="shared" si="125"/>
        <v/>
      </c>
      <c r="R611" s="4">
        <f t="shared" si="129"/>
      </c>
      <c r="S611" s="4">
        <f t="shared" si="130"/>
      </c>
      <c r="T611" s="4">
        <f t="shared" si="131"/>
      </c>
      <c r="U611" s="4">
        <f t="shared" si="126"/>
        <v/>
      </c>
    </row>
    <row r="612" spans="1:21" x14ac:dyDescent="0.3">
      <c r="A612" s="4">
        <f t="shared" si="127"/>
        <v/>
      </c>
      <c r="B612" s="4">
        <f>IF(C612=1,MAX(B$2:$B611)+1,IF(F612=0,"",B611))</f>
        <v/>
      </c>
      <c r="C612" s="4">
        <f>COUNTIF($F$2:$F612,F612)</f>
      </c>
      <c r="D612" s="4">
        <f>IF(F612=0,0,MAX($D$2:D611)+1)</f>
      </c>
      <c r="E612" s="4">
        <f>IF(H612=0,0,MAX($E$2:E611)+1)</f>
      </c>
      <c r="F612" s="119"/>
      <c r="G612" s="119"/>
      <c r="H612" s="119"/>
      <c r="I612" s="4">
        <f>IFERROR(VLOOKUP(H612,H$2:H611,1,FALSE),VLOOKUP(H612,H$478:H613,1,FALSE))</f>
      </c>
      <c r="J612" s="4">
        <f t="shared" si="120"/>
        <v/>
      </c>
      <c r="K612" s="4">
        <f t="shared" si="121"/>
        <v/>
      </c>
      <c r="L612" s="4">
        <f t="shared" si="122"/>
        <v/>
      </c>
      <c r="M612" s="5">
        <f t="shared" si="128"/>
        <v/>
      </c>
      <c r="N612" s="4">
        <f t="shared" si="123"/>
        <v/>
      </c>
      <c r="O612" s="4"/>
      <c r="P612" s="4">
        <f t="shared" si="124"/>
        <v/>
      </c>
      <c r="Q612" s="4">
        <f t="shared" si="125"/>
        <v/>
      </c>
      <c r="R612" s="4">
        <f t="shared" si="129"/>
      </c>
      <c r="S612" s="4">
        <f t="shared" si="130"/>
      </c>
      <c r="T612" s="4">
        <f t="shared" si="131"/>
      </c>
      <c r="U612" s="4">
        <f t="shared" si="126"/>
        <v/>
      </c>
    </row>
    <row r="613" spans="1:21" x14ac:dyDescent="0.3">
      <c r="A613" s="4">
        <f t="shared" si="127"/>
        <v/>
      </c>
      <c r="B613" s="4">
        <f>IF(C613=1,MAX(B$2:$B612)+1,IF(F613=0,"",B612))</f>
        <v/>
      </c>
      <c r="C613" s="4">
        <f>COUNTIF($F$2:$F613,F613)</f>
      </c>
      <c r="D613" s="4">
        <f>IF(F613=0,0,MAX($D$2:D612)+1)</f>
      </c>
      <c r="E613" s="4">
        <f>IF(H613=0,0,MAX($E$2:E612)+1)</f>
      </c>
      <c r="F613" s="119"/>
      <c r="G613" s="119"/>
      <c r="H613" s="119"/>
      <c r="I613" s="4">
        <f>IFERROR(VLOOKUP(H613,H$2:H612,1,FALSE),VLOOKUP(H613,H$478:H614,1,FALSE))</f>
      </c>
      <c r="J613" s="4">
        <f t="shared" si="120"/>
        <v/>
      </c>
      <c r="K613" s="4">
        <f t="shared" si="121"/>
        <v/>
      </c>
      <c r="L613" s="4">
        <f t="shared" si="122"/>
        <v/>
      </c>
      <c r="M613" s="5">
        <f t="shared" si="128"/>
        <v/>
      </c>
      <c r="N613" s="4">
        <f t="shared" si="123"/>
        <v/>
      </c>
      <c r="O613" s="4"/>
      <c r="P613" s="4">
        <f t="shared" si="124"/>
        <v/>
      </c>
      <c r="Q613" s="4">
        <f t="shared" si="125"/>
        <v/>
      </c>
      <c r="R613" s="4">
        <f t="shared" si="129"/>
      </c>
      <c r="S613" s="4">
        <f t="shared" si="130"/>
      </c>
      <c r="T613" s="4">
        <f t="shared" si="131"/>
      </c>
      <c r="U613" s="4">
        <f t="shared" si="126"/>
        <v/>
      </c>
    </row>
    <row r="614" spans="1:21" ht="15" thickBot="1" x14ac:dyDescent="0.35">
      <c r="A614" s="4">
        <f t="shared" si="127"/>
        <v/>
      </c>
      <c r="B614" s="4">
        <f>IF(C614=1,MAX(B$2:$B613)+1,IF(F614=0,"",B613))</f>
        <v/>
      </c>
      <c r="C614" s="4">
        <f>COUNTIF($F$2:$F614,F614)</f>
      </c>
      <c r="D614" s="4">
        <f>IF(F614=0,0,MAX($D$2:D613)+1)</f>
      </c>
      <c r="E614" s="4">
        <f>IF(H614=0,0,MAX($E$2:E613)+1)</f>
      </c>
      <c r="F614" s="119"/>
      <c r="G614" s="119"/>
      <c r="H614" s="175"/>
      <c r="I614" s="4">
        <f>IFERROR(VLOOKUP(H614,H$2:H613,1,FALSE),VLOOKUP(H614,H$478:H615,1,FALSE))</f>
      </c>
      <c r="J614" s="4">
        <f t="shared" si="120"/>
        <v/>
      </c>
      <c r="K614" s="4">
        <f t="shared" si="121"/>
        <v/>
      </c>
      <c r="L614" s="4">
        <f t="shared" si="122"/>
        <v/>
      </c>
      <c r="M614" s="5">
        <f t="shared" si="128"/>
        <v/>
      </c>
      <c r="N614" s="4">
        <f t="shared" si="123"/>
        <v/>
      </c>
      <c r="O614" s="4"/>
      <c r="P614" s="4">
        <f t="shared" si="124"/>
        <v/>
      </c>
      <c r="Q614" s="4">
        <f t="shared" si="125"/>
        <v/>
      </c>
      <c r="R614" s="4">
        <f t="shared" si="129"/>
      </c>
      <c r="S614" s="4">
        <f t="shared" si="130"/>
      </c>
      <c r="T614" s="4">
        <f t="shared" si="131"/>
      </c>
      <c r="U614" s="4">
        <f t="shared" si="126"/>
        <v/>
      </c>
    </row>
    <row r="615" spans="1:21" x14ac:dyDescent="0.3">
      <c r="A615" s="4">
        <f t="shared" si="127"/>
        <v/>
      </c>
      <c r="B615" s="4">
        <f>IF(C615=1,MAX(B$2:$B614)+1,IF(F615=0,"",B614))</f>
        <v/>
      </c>
      <c r="C615" s="4">
        <f>COUNTIF($F$2:$F615,F615)</f>
      </c>
      <c r="D615" s="4">
        <f>IF(F615=0,0,MAX($D$2:D614)+1)</f>
      </c>
      <c r="E615" s="4">
        <f>IF(H615=0,0,MAX($E$2:E614)+1)</f>
      </c>
      <c r="F615" s="119"/>
      <c r="G615" s="119"/>
      <c r="H615" s="177"/>
      <c r="I615" s="4">
        <f>IFERROR(VLOOKUP(H615,H$2:H614,1,FALSE),VLOOKUP(H615,H$478:H616,1,FALSE))</f>
      </c>
      <c r="J615" s="4">
        <f t="shared" si="120"/>
        <v/>
      </c>
      <c r="K615" s="4">
        <f t="shared" si="121"/>
        <v/>
      </c>
      <c r="L615" s="4">
        <f t="shared" si="122"/>
        <v/>
      </c>
      <c r="M615" s="5">
        <f t="shared" si="128"/>
        <v/>
      </c>
      <c r="N615" s="4">
        <f t="shared" si="123"/>
        <v/>
      </c>
      <c r="O615" s="4"/>
      <c r="P615" s="4">
        <f t="shared" si="124"/>
        <v/>
      </c>
      <c r="Q615" s="4">
        <f t="shared" si="125"/>
        <v/>
      </c>
      <c r="R615" s="4">
        <f t="shared" si="129"/>
      </c>
      <c r="S615" s="4">
        <f t="shared" si="130"/>
      </c>
      <c r="T615" s="4">
        <f t="shared" si="131"/>
      </c>
      <c r="U615" s="4">
        <f t="shared" si="126"/>
        <v/>
      </c>
    </row>
    <row r="616" spans="1:21" x14ac:dyDescent="0.3">
      <c r="A616" s="4">
        <f t="shared" si="127"/>
        <v/>
      </c>
      <c r="B616" s="4">
        <f>IF(C616=1,MAX(B$2:$B615)+1,IF(F616=0,"",B615))</f>
        <v/>
      </c>
      <c r="C616" s="4">
        <f>COUNTIF($F$2:$F616,F616)</f>
      </c>
      <c r="D616" s="4">
        <f>IF(F616=0,0,MAX($D$2:D615)+1)</f>
      </c>
      <c r="E616" s="4">
        <f>IF(H616=0,0,MAX($E$2:E615)+1)</f>
      </c>
      <c r="F616" s="119"/>
      <c r="G616" s="119"/>
      <c r="H616" s="119"/>
      <c r="I616" s="4">
        <f>IFERROR(VLOOKUP(H616,H$2:H615,1,FALSE),VLOOKUP(H616,H$478:H617,1,FALSE))</f>
      </c>
      <c r="J616" s="4">
        <f t="shared" si="120"/>
        <v/>
      </c>
      <c r="K616" s="4">
        <f t="shared" si="121"/>
        <v/>
      </c>
      <c r="L616" s="4">
        <f t="shared" si="122"/>
        <v/>
      </c>
      <c r="M616" s="5">
        <f t="shared" si="128"/>
        <v/>
      </c>
      <c r="N616" s="4">
        <f t="shared" si="123"/>
        <v/>
      </c>
      <c r="O616" s="4"/>
      <c r="P616" s="4">
        <f t="shared" si="124"/>
        <v/>
      </c>
      <c r="Q616" s="4">
        <f t="shared" si="125"/>
        <v/>
      </c>
      <c r="R616" s="4">
        <f t="shared" si="129"/>
      </c>
      <c r="S616" s="4">
        <f t="shared" si="130"/>
      </c>
      <c r="T616" s="4">
        <f t="shared" si="131"/>
      </c>
      <c r="U616" s="4">
        <f t="shared" si="126"/>
        <v/>
      </c>
    </row>
    <row r="617" spans="1:21" x14ac:dyDescent="0.3">
      <c r="A617" s="4">
        <f t="shared" si="127"/>
        <v/>
      </c>
      <c r="B617" s="4">
        <f>IF(C617=1,MAX(B$2:$B616)+1,IF(F617=0,"",B616))</f>
        <v/>
      </c>
      <c r="C617" s="4">
        <f>COUNTIF($F$2:$F617,F617)</f>
      </c>
      <c r="D617" s="4">
        <f>IF(F617=0,0,MAX($D$2:D616)+1)</f>
      </c>
      <c r="E617" s="4">
        <f>IF(H617=0,0,MAX($E$2:E616)+1)</f>
      </c>
      <c r="F617" s="119"/>
      <c r="G617" s="119"/>
      <c r="H617" s="119"/>
      <c r="I617" s="4">
        <f>IFERROR(VLOOKUP(H617,H$2:H616,1,FALSE),VLOOKUP(H617,H$478:H618,1,FALSE))</f>
      </c>
      <c r="J617" s="4">
        <f t="shared" si="120"/>
        <v/>
      </c>
      <c r="K617" s="4">
        <f t="shared" si="121"/>
        <v/>
      </c>
      <c r="L617" s="4">
        <f t="shared" si="122"/>
        <v/>
      </c>
      <c r="M617" s="5">
        <f t="shared" si="128"/>
        <v/>
      </c>
      <c r="N617" s="4">
        <f t="shared" si="123"/>
        <v/>
      </c>
      <c r="O617" s="4"/>
      <c r="P617" s="4">
        <f t="shared" si="124"/>
        <v/>
      </c>
      <c r="Q617" s="4">
        <f t="shared" si="125"/>
        <v/>
      </c>
      <c r="R617" s="4">
        <f t="shared" si="129"/>
      </c>
      <c r="S617" s="4">
        <f t="shared" si="130"/>
      </c>
      <c r="T617" s="4">
        <f t="shared" si="131"/>
      </c>
      <c r="U617" s="4">
        <f t="shared" si="126"/>
        <v/>
      </c>
    </row>
    <row r="618" spans="1:21" x14ac:dyDescent="0.3">
      <c r="A618" s="4">
        <f t="shared" si="127"/>
        <v/>
      </c>
      <c r="B618" s="4">
        <f>IF(C618=1,MAX(B$2:$B617)+1,IF(F618=0,"",B617))</f>
        <v/>
      </c>
      <c r="C618" s="4">
        <f>COUNTIF($F$2:$F618,F618)</f>
      </c>
      <c r="D618" s="4">
        <f>IF(F618=0,0,MAX($D$2:D617)+1)</f>
      </c>
      <c r="E618" s="4">
        <f>IF(H618=0,0,MAX($E$2:E617)+1)</f>
      </c>
      <c r="F618" s="119"/>
      <c r="G618" s="119"/>
      <c r="H618" s="119"/>
      <c r="I618" s="4">
        <f>IFERROR(VLOOKUP(H618,H$2:H617,1,FALSE),VLOOKUP(H618,H$478:H619,1,FALSE))</f>
      </c>
      <c r="J618" s="4">
        <f t="shared" si="120"/>
        <v/>
      </c>
      <c r="K618" s="4">
        <f t="shared" si="121"/>
        <v/>
      </c>
      <c r="L618" s="4">
        <f t="shared" si="122"/>
        <v/>
      </c>
      <c r="M618" s="5">
        <f t="shared" si="128"/>
        <v/>
      </c>
      <c r="N618" s="4">
        <f t="shared" si="123"/>
        <v/>
      </c>
      <c r="O618" s="4"/>
      <c r="P618" s="4">
        <f t="shared" si="124"/>
        <v/>
      </c>
      <c r="Q618" s="4">
        <f t="shared" si="125"/>
        <v/>
      </c>
      <c r="R618" s="4">
        <f t="shared" si="129"/>
      </c>
      <c r="S618" s="4">
        <f t="shared" si="130"/>
      </c>
      <c r="T618" s="4">
        <f t="shared" si="131"/>
      </c>
      <c r="U618" s="4">
        <f t="shared" si="126"/>
        <v/>
      </c>
    </row>
    <row r="619" spans="1:21" x14ac:dyDescent="0.3">
      <c r="A619" s="4">
        <f t="shared" si="127"/>
        <v/>
      </c>
      <c r="B619" s="4">
        <f>IF(C619=1,MAX(B$2:$B618)+1,IF(F619=0,"",B618))</f>
        <v/>
      </c>
      <c r="C619" s="4">
        <f>COUNTIF($F$2:$F619,F619)</f>
      </c>
      <c r="D619" s="4">
        <f>IF(F619=0,0,MAX($D$2:D618)+1)</f>
      </c>
      <c r="E619" s="4">
        <f>IF(H619=0,0,MAX($E$2:E618)+1)</f>
      </c>
      <c r="F619" s="119"/>
      <c r="G619" s="119"/>
      <c r="H619" s="119"/>
      <c r="I619" s="4">
        <f>IFERROR(VLOOKUP(H619,H$2:H618,1,FALSE),VLOOKUP(H619,H$478:H620,1,FALSE))</f>
      </c>
      <c r="J619" s="4">
        <f t="shared" si="120"/>
        <v/>
      </c>
      <c r="K619" s="4">
        <f t="shared" si="121"/>
        <v/>
      </c>
      <c r="L619" s="4">
        <f t="shared" si="122"/>
        <v/>
      </c>
      <c r="M619" s="5">
        <f t="shared" si="128"/>
        <v/>
      </c>
      <c r="N619" s="4">
        <f t="shared" si="123"/>
        <v/>
      </c>
      <c r="O619" s="4"/>
      <c r="P619" s="4">
        <f t="shared" si="124"/>
        <v/>
      </c>
      <c r="Q619" s="4">
        <f t="shared" si="125"/>
        <v/>
      </c>
      <c r="R619" s="4">
        <f t="shared" si="129"/>
      </c>
      <c r="S619" s="4">
        <f t="shared" si="130"/>
      </c>
      <c r="T619" s="4">
        <f t="shared" si="131"/>
      </c>
      <c r="U619" s="4">
        <f t="shared" si="126"/>
        <v/>
      </c>
    </row>
    <row r="620" spans="1:21" x14ac:dyDescent="0.3">
      <c r="A620" s="4">
        <f t="shared" si="127"/>
        <v/>
      </c>
      <c r="B620" s="4">
        <f>IF(C620=1,MAX(B$2:$B619)+1,IF(F620=0,"",B619))</f>
        <v/>
      </c>
      <c r="C620" s="4">
        <f>COUNTIF($F$2:$F620,F620)</f>
      </c>
      <c r="D620" s="4">
        <f>IF(F620=0,0,MAX($D$2:D619)+1)</f>
      </c>
      <c r="E620" s="4">
        <f>IF(H620=0,0,MAX($E$2:E619)+1)</f>
      </c>
      <c r="F620" s="119"/>
      <c r="G620" s="119"/>
      <c r="H620" s="119"/>
      <c r="I620" s="4">
        <f>IFERROR(VLOOKUP(H620,H$2:H619,1,FALSE),VLOOKUP(H620,H$478:H621,1,FALSE))</f>
      </c>
      <c r="J620" s="4">
        <f t="shared" si="120"/>
        <v/>
      </c>
      <c r="K620" s="4">
        <f t="shared" si="121"/>
        <v/>
      </c>
      <c r="L620" s="4">
        <f t="shared" si="122"/>
        <v/>
      </c>
      <c r="M620" s="5">
        <f t="shared" si="128"/>
        <v/>
      </c>
      <c r="N620" s="4">
        <f t="shared" si="123"/>
        <v/>
      </c>
      <c r="O620" s="4"/>
      <c r="P620" s="4">
        <f t="shared" si="124"/>
        <v/>
      </c>
      <c r="Q620" s="4">
        <f t="shared" si="125"/>
        <v/>
      </c>
      <c r="R620" s="4">
        <f t="shared" si="129"/>
      </c>
      <c r="S620" s="4">
        <f t="shared" si="130"/>
      </c>
      <c r="T620" s="4">
        <f t="shared" si="131"/>
      </c>
      <c r="U620" s="4">
        <f t="shared" si="126"/>
        <v/>
      </c>
    </row>
    <row r="621" spans="1:21" x14ac:dyDescent="0.3">
      <c r="A621" s="4">
        <f t="shared" si="127"/>
        <v/>
      </c>
      <c r="B621" s="4">
        <f>IF(C621=1,MAX(B$2:$B620)+1,IF(F621=0,"",B620))</f>
        <v/>
      </c>
      <c r="C621" s="4">
        <f>COUNTIF($F$2:$F621,F621)</f>
      </c>
      <c r="D621" s="4">
        <f>IF(F621=0,0,MAX($D$2:D620)+1)</f>
      </c>
      <c r="E621" s="4">
        <f>IF(H621=0,0,MAX($E$2:E620)+1)</f>
      </c>
      <c r="F621" s="119"/>
      <c r="G621" s="119"/>
      <c r="H621" s="119"/>
      <c r="I621" s="4">
        <f>IFERROR(VLOOKUP(H621,H$2:H620,1,FALSE),VLOOKUP(H621,H$478:H622,1,FALSE))</f>
      </c>
      <c r="J621" s="4">
        <f t="shared" si="120"/>
        <v/>
      </c>
      <c r="K621" s="4">
        <f t="shared" si="121"/>
        <v/>
      </c>
      <c r="L621" s="4">
        <f t="shared" si="122"/>
        <v/>
      </c>
      <c r="M621" s="5">
        <f t="shared" si="128"/>
        <v/>
      </c>
      <c r="N621" s="4">
        <f t="shared" si="123"/>
        <v/>
      </c>
      <c r="O621" s="4"/>
      <c r="P621" s="4">
        <f t="shared" si="124"/>
        <v/>
      </c>
      <c r="Q621" s="4">
        <f t="shared" si="125"/>
        <v/>
      </c>
      <c r="R621" s="4">
        <f t="shared" si="129"/>
      </c>
      <c r="S621" s="4">
        <f t="shared" si="130"/>
      </c>
      <c r="T621" s="4">
        <f t="shared" si="131"/>
      </c>
      <c r="U621" s="4">
        <f t="shared" si="126"/>
        <v/>
      </c>
    </row>
    <row r="622" spans="1:21" x14ac:dyDescent="0.3">
      <c r="A622" s="4">
        <f t="shared" si="127"/>
        <v/>
      </c>
      <c r="B622" s="4">
        <f>IF(C622=1,MAX(B$2:$B621)+1,IF(F622=0,"",B621))</f>
        <v/>
      </c>
      <c r="C622" s="4">
        <f>COUNTIF($F$2:$F622,F622)</f>
      </c>
      <c r="D622" s="4">
        <f>IF(F622=0,0,MAX($D$2:D621)+1)</f>
      </c>
      <c r="E622" s="4">
        <f>IF(H622=0,0,MAX($E$2:E621)+1)</f>
      </c>
      <c r="F622" s="119"/>
      <c r="G622" s="119"/>
      <c r="H622" s="119"/>
      <c r="I622" s="4">
        <f>IFERROR(VLOOKUP(H622,H$2:H621,1,FALSE),VLOOKUP(H622,H$478:H623,1,FALSE))</f>
      </c>
      <c r="J622" s="4">
        <f t="shared" si="120"/>
        <v/>
      </c>
      <c r="K622" s="4">
        <f t="shared" si="121"/>
        <v/>
      </c>
      <c r="L622" s="4">
        <f t="shared" si="122"/>
        <v/>
      </c>
      <c r="M622" s="5">
        <f t="shared" si="128"/>
        <v/>
      </c>
      <c r="N622" s="4">
        <f t="shared" si="123"/>
        <v/>
      </c>
      <c r="O622" s="4"/>
      <c r="P622" s="4">
        <f t="shared" si="124"/>
        <v/>
      </c>
      <c r="Q622" s="4">
        <f t="shared" si="125"/>
        <v/>
      </c>
      <c r="R622" s="4">
        <f t="shared" si="129"/>
      </c>
      <c r="S622" s="4">
        <f t="shared" si="130"/>
      </c>
      <c r="T622" s="4">
        <f t="shared" si="131"/>
      </c>
      <c r="U622" s="4">
        <f t="shared" si="126"/>
        <v/>
      </c>
    </row>
    <row r="623" spans="1:21" x14ac:dyDescent="0.3">
      <c r="A623" s="4">
        <f t="shared" si="127"/>
        <v/>
      </c>
      <c r="B623" s="4">
        <f>IF(C623=1,MAX(B$2:$B622)+1,IF(F623=0,"",B622))</f>
        <v/>
      </c>
      <c r="C623" s="4">
        <f>COUNTIF($F$2:$F623,F623)</f>
      </c>
      <c r="D623" s="4">
        <f>IF(F623=0,0,MAX($D$2:D622)+1)</f>
      </c>
      <c r="E623" s="4">
        <f>IF(H623=0,0,MAX($E$2:E622)+1)</f>
      </c>
      <c r="F623" s="119"/>
      <c r="G623" s="119"/>
      <c r="H623" s="119"/>
      <c r="I623" s="4">
        <f>IFERROR(VLOOKUP(H623,H$2:H622,1,FALSE),VLOOKUP(H623,H$478:H624,1,FALSE))</f>
      </c>
      <c r="J623" s="4">
        <f t="shared" si="120"/>
        <v/>
      </c>
      <c r="K623" s="4">
        <f t="shared" si="121"/>
        <v/>
      </c>
      <c r="L623" s="4">
        <f t="shared" si="122"/>
        <v/>
      </c>
      <c r="M623" s="5">
        <f t="shared" si="128"/>
        <v/>
      </c>
      <c r="N623" s="4">
        <f t="shared" si="123"/>
        <v/>
      </c>
      <c r="O623" s="4"/>
      <c r="P623" s="4">
        <f t="shared" si="124"/>
        <v/>
      </c>
      <c r="Q623" s="4">
        <f t="shared" si="125"/>
        <v/>
      </c>
      <c r="R623" s="4">
        <f t="shared" si="129"/>
      </c>
      <c r="S623" s="4">
        <f t="shared" si="130"/>
      </c>
      <c r="T623" s="4">
        <f t="shared" si="131"/>
      </c>
      <c r="U623" s="4">
        <f t="shared" si="126"/>
        <v/>
      </c>
    </row>
    <row r="624" spans="1:21" x14ac:dyDescent="0.3">
      <c r="A624" s="4">
        <f t="shared" si="127"/>
        <v/>
      </c>
      <c r="B624" s="4">
        <f>IF(C624=1,MAX(B$2:$B623)+1,IF(F624=0,"",B623))</f>
        <v/>
      </c>
      <c r="C624" s="4">
        <f>COUNTIF($F$2:$F624,F624)</f>
      </c>
      <c r="D624" s="4">
        <f>IF(F624=0,0,MAX($D$2:D623)+1)</f>
      </c>
      <c r="E624" s="4">
        <f>IF(H624=0,0,MAX($E$2:E623)+1)</f>
      </c>
      <c r="F624" s="119"/>
      <c r="G624" s="119"/>
      <c r="H624" s="119"/>
      <c r="I624" s="4">
        <f>IFERROR(VLOOKUP(H624,H$2:H623,1,FALSE),VLOOKUP(H624,H$478:H625,1,FALSE))</f>
      </c>
      <c r="J624" s="4">
        <f t="shared" si="120"/>
        <v/>
      </c>
      <c r="K624" s="4">
        <f t="shared" si="121"/>
        <v/>
      </c>
      <c r="L624" s="4">
        <f t="shared" si="122"/>
        <v/>
      </c>
      <c r="M624" s="5">
        <f t="shared" si="128"/>
        <v/>
      </c>
      <c r="N624" s="4">
        <f t="shared" si="123"/>
        <v/>
      </c>
      <c r="O624" s="4"/>
      <c r="P624" s="4">
        <f t="shared" si="124"/>
        <v/>
      </c>
      <c r="Q624" s="4">
        <f t="shared" si="125"/>
        <v/>
      </c>
      <c r="R624" s="4">
        <f t="shared" si="129"/>
      </c>
      <c r="S624" s="4">
        <f t="shared" si="130"/>
      </c>
      <c r="T624" s="4">
        <f t="shared" si="131"/>
      </c>
      <c r="U624" s="4">
        <f t="shared" si="126"/>
        <v/>
      </c>
    </row>
    <row r="625" spans="1:21" x14ac:dyDescent="0.3">
      <c r="A625" s="4">
        <f t="shared" si="127"/>
        <v/>
      </c>
      <c r="B625" s="4">
        <f>IF(C625=1,MAX(B$2:$B624)+1,IF(F625=0,"",B624))</f>
        <v/>
      </c>
      <c r="C625" s="4">
        <f>COUNTIF($F$2:$F625,F625)</f>
      </c>
      <c r="D625" s="4">
        <f>IF(F625=0,0,MAX($D$2:D624)+1)</f>
      </c>
      <c r="E625" s="4">
        <f>IF(H625=0,0,MAX($E$2:E624)+1)</f>
      </c>
      <c r="F625" s="119"/>
      <c r="G625" s="119"/>
      <c r="H625" s="119"/>
      <c r="I625" s="4">
        <f>IFERROR(VLOOKUP(H625,H$2:H624,1,FALSE),VLOOKUP(H625,H$478:H626,1,FALSE))</f>
      </c>
      <c r="J625" s="4">
        <f t="shared" si="120"/>
        <v/>
      </c>
      <c r="K625" s="4">
        <f t="shared" si="121"/>
        <v/>
      </c>
      <c r="L625" s="4">
        <f t="shared" si="122"/>
        <v/>
      </c>
      <c r="M625" s="5">
        <f t="shared" si="128"/>
        <v/>
      </c>
      <c r="N625" s="4">
        <f t="shared" si="123"/>
        <v/>
      </c>
      <c r="O625" s="4"/>
      <c r="P625" s="4">
        <f t="shared" si="124"/>
        <v/>
      </c>
      <c r="Q625" s="4">
        <f t="shared" si="125"/>
        <v/>
      </c>
      <c r="R625" s="4">
        <f t="shared" si="129"/>
      </c>
      <c r="S625" s="4">
        <f t="shared" si="130"/>
      </c>
      <c r="T625" s="4">
        <f t="shared" si="131"/>
      </c>
      <c r="U625" s="4">
        <f t="shared" si="126"/>
        <v/>
      </c>
    </row>
    <row r="626" spans="1:21" x14ac:dyDescent="0.3">
      <c r="A626" s="4">
        <f t="shared" si="127"/>
        <v/>
      </c>
      <c r="B626" s="4">
        <f>IF(C626=1,MAX(B$2:$B625)+1,IF(F626=0,"",B625))</f>
        <v/>
      </c>
      <c r="C626" s="4">
        <f>COUNTIF($F$2:$F626,F626)</f>
      </c>
      <c r="D626" s="4">
        <f>IF(F626=0,0,MAX($D$2:D625)+1)</f>
      </c>
      <c r="E626" s="4">
        <f>IF(H626=0,0,MAX($E$2:E625)+1)</f>
      </c>
      <c r="F626" s="119"/>
      <c r="G626" s="119"/>
      <c r="H626" s="119"/>
      <c r="I626" s="4">
        <f>IFERROR(VLOOKUP(H626,H$2:H625,1,FALSE),VLOOKUP(H626,H$478:H627,1,FALSE))</f>
      </c>
      <c r="J626" s="4">
        <f t="shared" si="120"/>
        <v/>
      </c>
      <c r="K626" s="4">
        <f t="shared" si="121"/>
        <v/>
      </c>
      <c r="L626" s="4">
        <f t="shared" si="122"/>
        <v/>
      </c>
      <c r="M626" s="5">
        <f t="shared" si="128"/>
        <v/>
      </c>
      <c r="N626" s="4">
        <f t="shared" si="123"/>
        <v/>
      </c>
      <c r="O626" s="4"/>
      <c r="P626" s="4">
        <f t="shared" si="124"/>
        <v/>
      </c>
      <c r="Q626" s="4">
        <f t="shared" si="125"/>
        <v/>
      </c>
      <c r="R626" s="4">
        <f t="shared" si="129"/>
      </c>
      <c r="S626" s="4">
        <f t="shared" si="130"/>
      </c>
      <c r="T626" s="4">
        <f t="shared" si="131"/>
      </c>
      <c r="U626" s="4">
        <f t="shared" si="126"/>
        <v/>
      </c>
    </row>
    <row r="627" spans="1:21" x14ac:dyDescent="0.3">
      <c r="A627" s="4">
        <f t="shared" si="127"/>
        <v/>
      </c>
      <c r="B627" s="4">
        <f>IF(C627=1,MAX(B$2:$B626)+1,IF(F627=0,"",B626))</f>
        <v/>
      </c>
      <c r="C627" s="4">
        <f>COUNTIF($F$2:$F627,F627)</f>
      </c>
      <c r="D627" s="4">
        <f>IF(F627=0,0,MAX($D$2:D626)+1)</f>
      </c>
      <c r="E627" s="4">
        <f>IF(H627=0,0,MAX($E$2:E626)+1)</f>
      </c>
      <c r="F627" s="119"/>
      <c r="G627" s="119"/>
      <c r="H627" s="119"/>
      <c r="I627" s="4">
        <f>IFERROR(VLOOKUP(H627,H$2:H626,1,FALSE),VLOOKUP(H627,H$478:H628,1,FALSE))</f>
      </c>
      <c r="J627" s="4">
        <f t="shared" si="120"/>
        <v/>
      </c>
      <c r="K627" s="4">
        <f t="shared" si="121"/>
        <v/>
      </c>
      <c r="L627" s="4">
        <f t="shared" si="122"/>
        <v/>
      </c>
      <c r="M627" s="5">
        <f t="shared" si="128"/>
        <v/>
      </c>
      <c r="N627" s="4">
        <f t="shared" si="123"/>
        <v/>
      </c>
      <c r="O627" s="4"/>
      <c r="P627" s="4">
        <f t="shared" si="124"/>
        <v/>
      </c>
      <c r="Q627" s="4">
        <f t="shared" si="125"/>
        <v/>
      </c>
      <c r="R627" s="4">
        <f t="shared" si="129"/>
      </c>
      <c r="S627" s="4">
        <f t="shared" si="130"/>
      </c>
      <c r="T627" s="4">
        <f t="shared" si="131"/>
      </c>
      <c r="U627" s="4">
        <f t="shared" si="126"/>
        <v/>
      </c>
    </row>
    <row r="628" spans="1:21" x14ac:dyDescent="0.3">
      <c r="A628" s="4">
        <f t="shared" si="127"/>
        <v/>
      </c>
      <c r="B628" s="4">
        <f>IF(C628=1,MAX(B$2:$B627)+1,IF(F628=0,"",B627))</f>
        <v/>
      </c>
      <c r="C628" s="4">
        <f>COUNTIF($F$2:$F628,F628)</f>
      </c>
      <c r="D628" s="4">
        <f>IF(F628=0,0,MAX($D$2:D627)+1)</f>
      </c>
      <c r="E628" s="4">
        <f>IF(H628=0,0,MAX($E$2:E627)+1)</f>
      </c>
      <c r="F628" s="119"/>
      <c r="G628" s="119"/>
      <c r="H628" s="119"/>
      <c r="I628" s="4">
        <f>IFERROR(VLOOKUP(H628,H$2:H627,1,FALSE),VLOOKUP(H628,H$478:H629,1,FALSE))</f>
      </c>
      <c r="J628" s="4">
        <f t="shared" si="120"/>
        <v/>
      </c>
      <c r="K628" s="4">
        <f t="shared" si="121"/>
        <v/>
      </c>
      <c r="L628" s="4">
        <f t="shared" si="122"/>
        <v/>
      </c>
      <c r="M628" s="5">
        <f t="shared" si="128"/>
        <v/>
      </c>
      <c r="N628" s="4">
        <f t="shared" si="123"/>
        <v/>
      </c>
      <c r="O628" s="4"/>
      <c r="P628" s="4">
        <f t="shared" si="124"/>
        <v/>
      </c>
      <c r="Q628" s="4">
        <f t="shared" si="125"/>
        <v/>
      </c>
      <c r="R628" s="4">
        <f t="shared" si="129"/>
      </c>
      <c r="S628" s="4">
        <f t="shared" si="130"/>
      </c>
      <c r="T628" s="4">
        <f t="shared" si="131"/>
      </c>
      <c r="U628" s="4">
        <f t="shared" si="126"/>
        <v/>
      </c>
    </row>
    <row r="629" spans="1:21" x14ac:dyDescent="0.3">
      <c r="A629" s="4">
        <f t="shared" si="127"/>
        <v/>
      </c>
      <c r="B629" s="4">
        <f>IF(C629=1,MAX(B$2:$B628)+1,IF(F629=0,"",B628))</f>
        <v/>
      </c>
      <c r="C629" s="4">
        <f>COUNTIF($F$2:$F629,F629)</f>
      </c>
      <c r="D629" s="4">
        <f>IF(F629=0,0,MAX($D$2:D628)+1)</f>
      </c>
      <c r="E629" s="4">
        <f>IF(H629=0,0,MAX($E$2:E628)+1)</f>
      </c>
      <c r="F629" s="119"/>
      <c r="G629" s="119"/>
      <c r="H629" s="119"/>
      <c r="I629" s="4">
        <f>IFERROR(VLOOKUP(H629,H$2:H628,1,FALSE),VLOOKUP(H629,H$478:H630,1,FALSE))</f>
      </c>
      <c r="J629" s="4">
        <f t="shared" si="120"/>
        <v/>
      </c>
      <c r="K629" s="4">
        <f t="shared" si="121"/>
        <v/>
      </c>
      <c r="L629" s="4">
        <f t="shared" si="122"/>
        <v/>
      </c>
      <c r="M629" s="5">
        <f t="shared" si="128"/>
        <v/>
      </c>
      <c r="N629" s="4">
        <f t="shared" si="123"/>
        <v/>
      </c>
      <c r="O629" s="4"/>
      <c r="P629" s="4">
        <f t="shared" si="124"/>
        <v/>
      </c>
      <c r="Q629" s="4">
        <f t="shared" si="125"/>
        <v/>
      </c>
      <c r="R629" s="4">
        <f t="shared" si="129"/>
      </c>
      <c r="S629" s="4">
        <f t="shared" si="130"/>
      </c>
      <c r="T629" s="4">
        <f t="shared" si="131"/>
      </c>
      <c r="U629" s="4">
        <f t="shared" si="126"/>
        <v/>
      </c>
    </row>
    <row r="630" spans="1:21" x14ac:dyDescent="0.3">
      <c r="A630" s="4">
        <f t="shared" si="127"/>
        <v/>
      </c>
      <c r="B630" s="4">
        <f>IF(C630=1,MAX(B$2:$B629)+1,IF(F630=0,"",B629))</f>
        <v/>
      </c>
      <c r="C630" s="4">
        <f>COUNTIF($F$2:$F630,F630)</f>
      </c>
      <c r="D630" s="4">
        <f>IF(F630=0,0,MAX($D$2:D629)+1)</f>
      </c>
      <c r="E630" s="4">
        <f>IF(H630=0,0,MAX($E$2:E629)+1)</f>
      </c>
      <c r="F630" s="119"/>
      <c r="G630" s="119"/>
      <c r="H630" s="119"/>
      <c r="I630" s="4">
        <f>IFERROR(VLOOKUP(H630,H$2:H629,1,FALSE),VLOOKUP(H630,H$478:H631,1,FALSE))</f>
      </c>
      <c r="J630" s="4">
        <f t="shared" si="120"/>
        <v/>
      </c>
      <c r="K630" s="4">
        <f t="shared" si="121"/>
        <v/>
      </c>
      <c r="L630" s="4">
        <f t="shared" si="122"/>
        <v/>
      </c>
      <c r="M630" s="5">
        <f t="shared" si="128"/>
        <v/>
      </c>
      <c r="N630" s="4">
        <f t="shared" si="123"/>
        <v/>
      </c>
      <c r="O630" s="4"/>
      <c r="P630" s="4">
        <f t="shared" si="124"/>
        <v/>
      </c>
      <c r="Q630" s="4">
        <f t="shared" si="125"/>
        <v/>
      </c>
      <c r="R630" s="4">
        <f t="shared" si="129"/>
      </c>
      <c r="S630" s="4">
        <f t="shared" si="130"/>
      </c>
      <c r="T630" s="4">
        <f t="shared" si="131"/>
      </c>
      <c r="U630" s="4">
        <f t="shared" si="126"/>
        <v/>
      </c>
    </row>
    <row r="631" spans="1:21" ht="15" thickBot="1" x14ac:dyDescent="0.35">
      <c r="A631" s="4">
        <f t="shared" si="127"/>
        <v/>
      </c>
      <c r="B631" s="4">
        <f>IF(C631=1,MAX(B$2:$B630)+1,IF(F631=0,"",B630))</f>
        <v/>
      </c>
      <c r="C631" s="4">
        <f>COUNTIF($F$2:$F631,F631)</f>
      </c>
      <c r="D631" s="4">
        <f>IF(F631=0,0,MAX($D$2:D630)+1)</f>
      </c>
      <c r="E631" s="4">
        <f>IF(H631=0,0,MAX($E$2:E630)+1)</f>
      </c>
      <c r="F631" s="119"/>
      <c r="G631" s="119"/>
      <c r="H631" s="175"/>
      <c r="I631" s="4">
        <f>IFERROR(VLOOKUP(H631,H$2:H630,1,FALSE),VLOOKUP(H631,H$478:H632,1,FALSE))</f>
      </c>
      <c r="J631" s="4">
        <f t="shared" si="120"/>
        <v/>
      </c>
      <c r="K631" s="4">
        <f t="shared" si="121"/>
        <v/>
      </c>
      <c r="L631" s="4">
        <f t="shared" si="122"/>
        <v/>
      </c>
      <c r="M631" s="5">
        <f t="shared" si="128"/>
        <v/>
      </c>
      <c r="N631" s="4">
        <f t="shared" si="123"/>
        <v/>
      </c>
      <c r="O631" s="4"/>
      <c r="P631" s="4">
        <f t="shared" si="124"/>
        <v/>
      </c>
      <c r="Q631" s="4">
        <f t="shared" si="125"/>
        <v/>
      </c>
      <c r="R631" s="4">
        <f t="shared" si="129"/>
      </c>
      <c r="S631" s="4">
        <f t="shared" si="130"/>
      </c>
      <c r="T631" s="4">
        <f t="shared" si="131"/>
      </c>
      <c r="U631" s="4">
        <f t="shared" si="126"/>
        <v/>
      </c>
    </row>
    <row r="632" spans="1:21" x14ac:dyDescent="0.3">
      <c r="A632" s="4">
        <f t="shared" si="127"/>
        <v/>
      </c>
      <c r="B632" s="4">
        <f>IF(C632=1,MAX(B$2:$B631)+1,IF(F632=0,"",B631))</f>
        <v/>
      </c>
      <c r="C632" s="4">
        <f>COUNTIF($F$2:$F632,F632)</f>
      </c>
      <c r="D632" s="4">
        <f>IF(F632=0,0,MAX($D$2:D631)+1)</f>
      </c>
      <c r="E632" s="4">
        <f>IF(H632=0,0,MAX($E$2:E631)+1)</f>
      </c>
      <c r="F632" s="119"/>
      <c r="G632" s="119"/>
      <c r="H632" s="177"/>
      <c r="I632" s="4">
        <f>IFERROR(VLOOKUP(H632,H$2:H631,1,FALSE),VLOOKUP(H632,H$478:H633,1,FALSE))</f>
      </c>
      <c r="J632" s="4">
        <f t="shared" si="120"/>
        <v/>
      </c>
      <c r="K632" s="4">
        <f t="shared" si="121"/>
        <v/>
      </c>
      <c r="L632" s="4">
        <f t="shared" si="122"/>
        <v/>
      </c>
      <c r="M632" s="5">
        <f t="shared" si="128"/>
        <v/>
      </c>
      <c r="N632" s="4">
        <f t="shared" si="123"/>
        <v/>
      </c>
      <c r="O632" s="4"/>
      <c r="P632" s="4">
        <f t="shared" si="124"/>
        <v/>
      </c>
      <c r="Q632" s="4">
        <f t="shared" si="125"/>
        <v/>
      </c>
      <c r="R632" s="4">
        <f t="shared" si="129"/>
      </c>
      <c r="S632" s="4">
        <f t="shared" si="130"/>
      </c>
      <c r="T632" s="4">
        <f t="shared" si="131"/>
      </c>
      <c r="U632" s="4">
        <f t="shared" si="126"/>
        <v/>
      </c>
    </row>
    <row r="633" spans="1:21" x14ac:dyDescent="0.3">
      <c r="A633" s="4">
        <f t="shared" si="127"/>
        <v/>
      </c>
      <c r="B633" s="4">
        <f>IF(C633=1,MAX(B$2:$B632)+1,IF(F633=0,"",B632))</f>
        <v/>
      </c>
      <c r="C633" s="4">
        <f>COUNTIF($F$2:$F633,F633)</f>
      </c>
      <c r="D633" s="4">
        <f>IF(F633=0,0,MAX($D$2:D632)+1)</f>
      </c>
      <c r="E633" s="4">
        <f>IF(H633=0,0,MAX($E$2:E632)+1)</f>
      </c>
      <c r="F633" s="119"/>
      <c r="G633" s="119"/>
      <c r="H633" s="119"/>
      <c r="I633" s="4">
        <f>IFERROR(VLOOKUP(H633,H$2:H632,1,FALSE),VLOOKUP(H633,H$478:H634,1,FALSE))</f>
      </c>
      <c r="J633" s="4">
        <f t="shared" si="120"/>
        <v/>
      </c>
      <c r="K633" s="4">
        <f t="shared" si="121"/>
        <v/>
      </c>
      <c r="L633" s="4">
        <f t="shared" si="122"/>
        <v/>
      </c>
      <c r="M633" s="5">
        <f t="shared" si="128"/>
        <v/>
      </c>
      <c r="N633" s="4">
        <f t="shared" si="123"/>
        <v/>
      </c>
      <c r="O633" s="4"/>
      <c r="P633" s="4">
        <f t="shared" si="124"/>
        <v/>
      </c>
      <c r="Q633" s="4">
        <f t="shared" si="125"/>
        <v/>
      </c>
      <c r="R633" s="4">
        <f t="shared" si="129"/>
      </c>
      <c r="S633" s="4">
        <f t="shared" si="130"/>
      </c>
      <c r="T633" s="4">
        <f t="shared" si="131"/>
      </c>
      <c r="U633" s="4">
        <f t="shared" si="126"/>
        <v/>
      </c>
    </row>
    <row r="634" spans="1:21" x14ac:dyDescent="0.3">
      <c r="A634" s="4">
        <f t="shared" si="127"/>
        <v/>
      </c>
      <c r="B634" s="4">
        <f>IF(C634=1,MAX(B$2:$B633)+1,IF(F634=0,"",B633))</f>
        <v/>
      </c>
      <c r="C634" s="4">
        <f>COUNTIF($F$2:$F634,F634)</f>
      </c>
      <c r="D634" s="4">
        <f>IF(F634=0,0,MAX($D$2:D633)+1)</f>
      </c>
      <c r="E634" s="4">
        <f>IF(H634=0,0,MAX($E$2:E633)+1)</f>
      </c>
      <c r="F634" s="119"/>
      <c r="G634" s="119"/>
      <c r="H634" s="119"/>
      <c r="I634" s="4">
        <f>IFERROR(VLOOKUP(H634,H$2:H633,1,FALSE),VLOOKUP(H634,H$478:H635,1,FALSE))</f>
      </c>
      <c r="J634" s="4">
        <f t="shared" si="120"/>
        <v/>
      </c>
      <c r="K634" s="4">
        <f t="shared" si="121"/>
        <v/>
      </c>
      <c r="L634" s="4">
        <f t="shared" si="122"/>
        <v/>
      </c>
      <c r="M634" s="5">
        <f t="shared" si="128"/>
        <v/>
      </c>
      <c r="N634" s="4">
        <f t="shared" si="123"/>
        <v/>
      </c>
      <c r="O634" s="4"/>
      <c r="P634" s="4">
        <f t="shared" si="124"/>
        <v/>
      </c>
      <c r="Q634" s="4">
        <f t="shared" si="125"/>
        <v/>
      </c>
      <c r="R634" s="4">
        <f t="shared" si="129"/>
      </c>
      <c r="S634" s="4">
        <f t="shared" si="130"/>
      </c>
      <c r="T634" s="4">
        <f t="shared" si="131"/>
      </c>
      <c r="U634" s="4">
        <f t="shared" si="126"/>
        <v/>
      </c>
    </row>
    <row r="635" spans="1:21" x14ac:dyDescent="0.3">
      <c r="A635" s="4">
        <f t="shared" si="127"/>
        <v/>
      </c>
      <c r="B635" s="4">
        <f>IF(C635=1,MAX(B$2:$B634)+1,IF(F635=0,"",B634))</f>
        <v/>
      </c>
      <c r="C635" s="4">
        <f>COUNTIF($F$2:$F635,F635)</f>
      </c>
      <c r="D635" s="4">
        <f>IF(F635=0,0,MAX($D$2:D634)+1)</f>
      </c>
      <c r="E635" s="4">
        <f>IF(H635=0,0,MAX($E$2:E634)+1)</f>
      </c>
      <c r="F635" s="119"/>
      <c r="G635" s="119"/>
      <c r="H635" s="119"/>
      <c r="I635" s="4">
        <f>IFERROR(VLOOKUP(H635,H$2:H634,1,FALSE),VLOOKUP(H635,H$478:H636,1,FALSE))</f>
      </c>
      <c r="J635" s="4">
        <f t="shared" si="120"/>
        <v/>
      </c>
      <c r="K635" s="4">
        <f t="shared" si="121"/>
        <v/>
      </c>
      <c r="L635" s="4">
        <f t="shared" si="122"/>
        <v/>
      </c>
      <c r="M635" s="5">
        <f t="shared" si="128"/>
        <v/>
      </c>
      <c r="N635" s="4">
        <f t="shared" si="123"/>
        <v/>
      </c>
      <c r="O635" s="4"/>
      <c r="P635" s="4">
        <f t="shared" si="124"/>
        <v/>
      </c>
      <c r="Q635" s="4">
        <f t="shared" si="125"/>
        <v/>
      </c>
      <c r="R635" s="4">
        <f t="shared" si="129"/>
      </c>
      <c r="S635" s="4">
        <f t="shared" si="130"/>
      </c>
      <c r="T635" s="4">
        <f t="shared" si="131"/>
      </c>
      <c r="U635" s="4">
        <f t="shared" si="126"/>
        <v/>
      </c>
    </row>
    <row r="636" spans="1:21" x14ac:dyDescent="0.3">
      <c r="A636" s="4">
        <f t="shared" si="127"/>
        <v/>
      </c>
      <c r="B636" s="4">
        <f>IF(C636=1,MAX(B$2:$B635)+1,IF(F636=0,"",B635))</f>
        <v/>
      </c>
      <c r="C636" s="4">
        <f>COUNTIF($F$2:$F636,F636)</f>
      </c>
      <c r="D636" s="4">
        <f>IF(F636=0,0,MAX($D$2:D635)+1)</f>
      </c>
      <c r="E636" s="4">
        <f>IF(H636=0,0,MAX($E$2:E635)+1)</f>
      </c>
      <c r="F636" s="119"/>
      <c r="G636" s="119"/>
      <c r="H636" s="119"/>
      <c r="I636" s="4">
        <f>IFERROR(VLOOKUP(H636,H$2:H635,1,FALSE),VLOOKUP(H636,H$478:H637,1,FALSE))</f>
      </c>
      <c r="J636" s="4">
        <f t="shared" si="120"/>
        <v/>
      </c>
      <c r="K636" s="4">
        <f t="shared" si="121"/>
        <v/>
      </c>
      <c r="L636" s="4">
        <f t="shared" si="122"/>
        <v/>
      </c>
      <c r="M636" s="5">
        <f t="shared" si="128"/>
        <v/>
      </c>
      <c r="N636" s="4">
        <f t="shared" si="123"/>
        <v/>
      </c>
      <c r="O636" s="4"/>
      <c r="P636" s="4">
        <f t="shared" si="124"/>
        <v/>
      </c>
      <c r="Q636" s="4">
        <f t="shared" si="125"/>
        <v/>
      </c>
      <c r="R636" s="4">
        <f t="shared" si="129"/>
      </c>
      <c r="S636" s="4">
        <f t="shared" si="130"/>
      </c>
      <c r="T636" s="4">
        <f t="shared" si="131"/>
      </c>
      <c r="U636" s="4">
        <f t="shared" si="126"/>
        <v/>
      </c>
    </row>
    <row r="637" spans="1:21" x14ac:dyDescent="0.3">
      <c r="A637" s="4">
        <f t="shared" si="127"/>
        <v/>
      </c>
      <c r="B637" s="4">
        <f>IF(C637=1,MAX(B$2:$B636)+1,IF(F637=0,"",B636))</f>
        <v/>
      </c>
      <c r="C637" s="4">
        <f>COUNTIF($F$2:$F637,F637)</f>
      </c>
      <c r="D637" s="4">
        <f>IF(F637=0,0,MAX($D$2:D636)+1)</f>
      </c>
      <c r="E637" s="4">
        <f>IF(H637=0,0,MAX($E$2:E636)+1)</f>
      </c>
      <c r="F637" s="119"/>
      <c r="G637" s="119"/>
      <c r="H637" s="119"/>
      <c r="I637" s="4">
        <f>IFERROR(VLOOKUP(H637,H$2:H636,1,FALSE),VLOOKUP(H637,H$478:H638,1,FALSE))</f>
      </c>
      <c r="J637" s="4">
        <f t="shared" si="120"/>
        <v/>
      </c>
      <c r="K637" s="4">
        <f t="shared" si="121"/>
        <v/>
      </c>
      <c r="L637" s="4">
        <f t="shared" si="122"/>
        <v/>
      </c>
      <c r="M637" s="5">
        <f t="shared" si="128"/>
        <v/>
      </c>
      <c r="N637" s="4">
        <f t="shared" si="123"/>
        <v/>
      </c>
      <c r="O637" s="4"/>
      <c r="P637" s="4">
        <f t="shared" si="124"/>
        <v/>
      </c>
      <c r="Q637" s="4">
        <f t="shared" si="125"/>
        <v/>
      </c>
      <c r="R637" s="4">
        <f t="shared" si="129"/>
      </c>
      <c r="S637" s="4">
        <f t="shared" si="130"/>
      </c>
      <c r="T637" s="4">
        <f t="shared" si="131"/>
      </c>
      <c r="U637" s="4">
        <f t="shared" si="126"/>
        <v/>
      </c>
    </row>
    <row r="638" spans="1:21" x14ac:dyDescent="0.3">
      <c r="A638" s="4">
        <f t="shared" si="127"/>
        <v/>
      </c>
      <c r="B638" s="4">
        <f>IF(C638=1,MAX(B$2:$B637)+1,IF(F638=0,"",B637))</f>
        <v/>
      </c>
      <c r="C638" s="4">
        <f>COUNTIF($F$2:$F638,F638)</f>
      </c>
      <c r="D638" s="4">
        <f>IF(F638=0,0,MAX($D$2:D637)+1)</f>
      </c>
      <c r="E638" s="4">
        <f>IF(H638=0,0,MAX($E$2:E637)+1)</f>
      </c>
      <c r="F638" s="119"/>
      <c r="G638" s="119"/>
      <c r="H638" s="119"/>
      <c r="I638" s="4">
        <f>IFERROR(VLOOKUP(H638,H$2:H637,1,FALSE),VLOOKUP(H638,H$478:H639,1,FALSE))</f>
      </c>
      <c r="J638" s="4">
        <f t="shared" si="120"/>
        <v/>
      </c>
      <c r="K638" s="4">
        <f t="shared" si="121"/>
        <v/>
      </c>
      <c r="L638" s="4">
        <f t="shared" si="122"/>
        <v/>
      </c>
      <c r="M638" s="5">
        <f t="shared" si="128"/>
        <v/>
      </c>
      <c r="N638" s="4">
        <f t="shared" si="123"/>
        <v/>
      </c>
      <c r="O638" s="4"/>
      <c r="P638" s="4">
        <f t="shared" si="124"/>
        <v/>
      </c>
      <c r="Q638" s="4">
        <f t="shared" si="125"/>
        <v/>
      </c>
      <c r="R638" s="4">
        <f t="shared" si="129"/>
      </c>
      <c r="S638" s="4">
        <f t="shared" si="130"/>
      </c>
      <c r="T638" s="4">
        <f t="shared" si="131"/>
      </c>
      <c r="U638" s="4">
        <f t="shared" si="126"/>
        <v/>
      </c>
    </row>
    <row r="639" spans="1:21" x14ac:dyDescent="0.3">
      <c r="A639" s="4">
        <f t="shared" si="127"/>
        <v/>
      </c>
      <c r="B639" s="4">
        <f>IF(C639=1,MAX(B$2:$B638)+1,IF(F639=0,"",B638))</f>
        <v/>
      </c>
      <c r="C639" s="4">
        <f>COUNTIF($F$2:$F639,F639)</f>
      </c>
      <c r="D639" s="4">
        <f>IF(F639=0,0,MAX($D$2:D638)+1)</f>
      </c>
      <c r="E639" s="4">
        <f>IF(H639=0,0,MAX($E$2:E638)+1)</f>
      </c>
      <c r="F639" s="119"/>
      <c r="G639" s="119"/>
      <c r="H639" s="119"/>
      <c r="I639" s="4">
        <f>IFERROR(VLOOKUP(H639,H$2:H638,1,FALSE),VLOOKUP(H639,H$478:H640,1,FALSE))</f>
      </c>
      <c r="J639" s="4">
        <f t="shared" si="120"/>
        <v/>
      </c>
      <c r="K639" s="4">
        <f t="shared" si="121"/>
        <v/>
      </c>
      <c r="L639" s="4">
        <f t="shared" si="122"/>
        <v/>
      </c>
      <c r="M639" s="5">
        <f t="shared" si="128"/>
        <v/>
      </c>
      <c r="N639" s="4">
        <f t="shared" si="123"/>
        <v/>
      </c>
      <c r="O639" s="4"/>
      <c r="P639" s="4">
        <f t="shared" si="124"/>
        <v/>
      </c>
      <c r="Q639" s="4">
        <f t="shared" si="125"/>
        <v/>
      </c>
      <c r="R639" s="4">
        <f t="shared" si="129"/>
      </c>
      <c r="S639" s="4">
        <f t="shared" si="130"/>
      </c>
      <c r="T639" s="4">
        <f t="shared" si="131"/>
      </c>
      <c r="U639" s="4">
        <f t="shared" si="126"/>
        <v/>
      </c>
    </row>
    <row r="640" spans="1:21" x14ac:dyDescent="0.3">
      <c r="A640" s="4">
        <f t="shared" si="127"/>
        <v/>
      </c>
      <c r="B640" s="4">
        <f>IF(C640=1,MAX(B$2:$B639)+1,IF(F640=0,"",B639))</f>
        <v/>
      </c>
      <c r="C640" s="4">
        <f>COUNTIF($F$2:$F640,F640)</f>
      </c>
      <c r="D640" s="4">
        <f>IF(F640=0,0,MAX($D$2:D639)+1)</f>
      </c>
      <c r="E640" s="4">
        <f>IF(H640=0,0,MAX($E$2:E639)+1)</f>
      </c>
      <c r="F640" s="119"/>
      <c r="G640" s="119"/>
      <c r="H640" s="119"/>
      <c r="I640" s="4">
        <f>IFERROR(VLOOKUP(H640,H$2:H639,1,FALSE),VLOOKUP(H640,H$478:H641,1,FALSE))</f>
      </c>
      <c r="J640" s="4">
        <f t="shared" si="120"/>
        <v/>
      </c>
      <c r="K640" s="4">
        <f t="shared" si="121"/>
        <v/>
      </c>
      <c r="L640" s="4">
        <f t="shared" si="122"/>
        <v/>
      </c>
      <c r="M640" s="5">
        <f t="shared" si="128"/>
        <v/>
      </c>
      <c r="N640" s="4">
        <f t="shared" si="123"/>
        <v/>
      </c>
      <c r="O640" s="4"/>
      <c r="P640" s="4">
        <f t="shared" si="124"/>
        <v/>
      </c>
      <c r="Q640" s="4">
        <f t="shared" si="125"/>
        <v/>
      </c>
      <c r="R640" s="4">
        <f t="shared" si="129"/>
      </c>
      <c r="S640" s="4">
        <f t="shared" si="130"/>
      </c>
      <c r="T640" s="4">
        <f t="shared" si="131"/>
      </c>
      <c r="U640" s="4">
        <f t="shared" si="126"/>
        <v/>
      </c>
    </row>
    <row r="641" spans="1:21" x14ac:dyDescent="0.3">
      <c r="A641" s="4">
        <f t="shared" si="127"/>
        <v/>
      </c>
      <c r="B641" s="4">
        <f>IF(C641=1,MAX(B$2:$B640)+1,IF(F641=0,"",B640))</f>
        <v/>
      </c>
      <c r="C641" s="4">
        <f>COUNTIF($F$2:$F641,F641)</f>
      </c>
      <c r="D641" s="4">
        <f>IF(F641=0,0,MAX($D$2:D640)+1)</f>
      </c>
      <c r="E641" s="4">
        <f>IF(H641=0,0,MAX($E$2:E640)+1)</f>
      </c>
      <c r="F641" s="119"/>
      <c r="G641" s="119"/>
      <c r="H641" s="119"/>
      <c r="I641" s="4">
        <f>IFERROR(VLOOKUP(H641,H$2:H640,1,FALSE),VLOOKUP(H641,H$478:H642,1,FALSE))</f>
      </c>
      <c r="J641" s="4">
        <f t="shared" si="120"/>
        <v/>
      </c>
      <c r="K641" s="4">
        <f t="shared" si="121"/>
        <v/>
      </c>
      <c r="L641" s="4">
        <f t="shared" si="122"/>
        <v/>
      </c>
      <c r="M641" s="5">
        <f t="shared" si="128"/>
        <v/>
      </c>
      <c r="N641" s="4">
        <f t="shared" si="123"/>
        <v/>
      </c>
      <c r="O641" s="4"/>
      <c r="P641" s="4">
        <f t="shared" si="124"/>
        <v/>
      </c>
      <c r="Q641" s="4">
        <f t="shared" si="125"/>
        <v/>
      </c>
      <c r="R641" s="4">
        <f t="shared" si="129"/>
      </c>
      <c r="S641" s="4">
        <f t="shared" si="130"/>
      </c>
      <c r="T641" s="4">
        <f t="shared" si="131"/>
      </c>
      <c r="U641" s="4">
        <f t="shared" si="126"/>
        <v/>
      </c>
    </row>
    <row r="642" spans="1:21" x14ac:dyDescent="0.3">
      <c r="A642" s="4">
        <f t="shared" si="127"/>
        <v/>
      </c>
      <c r="B642" s="4">
        <f>IF(C642=1,MAX(B$2:$B641)+1,IF(F642=0,"",B641))</f>
        <v/>
      </c>
      <c r="C642" s="4">
        <f>COUNTIF($F$2:$F642,F642)</f>
      </c>
      <c r="D642" s="4">
        <f>IF(F642=0,0,MAX($D$2:D641)+1)</f>
      </c>
      <c r="E642" s="4">
        <f>IF(H642=0,0,MAX($E$2:E641)+1)</f>
      </c>
      <c r="F642" s="119"/>
      <c r="G642" s="119"/>
      <c r="H642" s="119"/>
      <c r="I642" s="4">
        <f>IFERROR(VLOOKUP(H642,H$2:H641,1,FALSE),VLOOKUP(H642,H$478:H643,1,FALSE))</f>
      </c>
      <c r="J642" s="4">
        <f t="shared" si="120"/>
        <v/>
      </c>
      <c r="K642" s="4">
        <f t="shared" si="121"/>
        <v/>
      </c>
      <c r="L642" s="4">
        <f t="shared" si="122"/>
        <v/>
      </c>
      <c r="M642" s="5">
        <f t="shared" si="128"/>
        <v/>
      </c>
      <c r="N642" s="4">
        <f t="shared" si="123"/>
        <v/>
      </c>
      <c r="O642" s="4"/>
      <c r="P642" s="4">
        <f t="shared" si="124"/>
        <v/>
      </c>
      <c r="Q642" s="4">
        <f t="shared" si="125"/>
        <v/>
      </c>
      <c r="R642" s="4">
        <f t="shared" si="129"/>
      </c>
      <c r="S642" s="4">
        <f t="shared" si="130"/>
      </c>
      <c r="T642" s="4">
        <f t="shared" si="131"/>
      </c>
      <c r="U642" s="4">
        <f t="shared" si="126"/>
        <v/>
      </c>
    </row>
    <row r="643" spans="1:21" x14ac:dyDescent="0.3">
      <c r="A643" s="4">
        <f t="shared" si="127"/>
        <v/>
      </c>
      <c r="B643" s="4">
        <f>IF(C643=1,MAX(B$2:$B642)+1,IF(F643=0,"",B642))</f>
        <v/>
      </c>
      <c r="C643" s="4">
        <f>COUNTIF($F$2:$F643,F643)</f>
      </c>
      <c r="D643" s="4">
        <f>IF(F643=0,0,MAX($D$2:D642)+1)</f>
      </c>
      <c r="E643" s="4">
        <f>IF(H643=0,0,MAX($E$2:E642)+1)</f>
      </c>
      <c r="F643" s="119"/>
      <c r="G643" s="119"/>
      <c r="H643" s="119"/>
      <c r="I643" s="4">
        <f>IFERROR(VLOOKUP(H643,H$2:H642,1,FALSE),VLOOKUP(H643,H$478:H644,1,FALSE))</f>
      </c>
      <c r="J643" s="4">
        <f t="shared" ref="J643:J706" si="132">IF($H643=0,"",VLOOKUP($H643,Исходные_данные,36,FALSE))</f>
        <v/>
      </c>
      <c r="K643" s="4">
        <f t="shared" ref="K643:K706" si="133">IF($H643=0,"",VLOOKUP($H643,Исходные_данные,37,FALSE))</f>
        <v/>
      </c>
      <c r="L643" s="4">
        <f t="shared" ref="L643:L706" si="134">IF($H643=0,"",VLOOKUP($H643,Исходные_данные,38,FALSE))</f>
        <v/>
      </c>
      <c r="M643" s="5">
        <f t="shared" si="128"/>
        <v/>
      </c>
      <c r="N643" s="4">
        <f t="shared" ref="N643:N706" si="135">IF($H643=0,"",VLOOKUP($H643,Исходные_данные,39,FALSE))</f>
        <v/>
      </c>
      <c r="O643" s="4"/>
      <c r="P643" s="4">
        <f t="shared" ref="P643:P706" si="136">IF($H643=0,"",VLOOKUP($H643,Исходные_данные,41,FALSE))</f>
        <v/>
      </c>
      <c r="Q643" s="4">
        <f t="shared" ref="Q643:Q706" si="137">IF($H643=0,"",VLOOKUP($H643,Исходные_данные,8,FALSE))</f>
        <v/>
      </c>
      <c r="R643" s="4">
        <f t="shared" si="129"/>
      </c>
      <c r="S643" s="4">
        <f t="shared" si="130"/>
      </c>
      <c r="T643" s="4">
        <f t="shared" si="131"/>
      </c>
      <c r="U643" s="4">
        <f t="shared" ref="U643:U706" si="138">IF($H643=0,"",VLOOKUP($H643,Исходные_данные,31,FALSE))</f>
        <v/>
      </c>
    </row>
    <row r="644" spans="1:21" x14ac:dyDescent="0.3">
      <c r="A644" s="4">
        <f t="shared" si="127"/>
        <v/>
      </c>
      <c r="B644" s="4">
        <f>IF(C644=1,MAX(B$2:$B643)+1,IF(F644=0,"",B643))</f>
        <v/>
      </c>
      <c r="C644" s="4">
        <f>COUNTIF($F$2:$F644,F644)</f>
      </c>
      <c r="D644" s="4">
        <f>IF(F644=0,0,MAX($D$2:D643)+1)</f>
      </c>
      <c r="E644" s="4">
        <f>IF(H644=0,0,MAX($E$2:E643)+1)</f>
      </c>
      <c r="F644" s="119"/>
      <c r="G644" s="119"/>
      <c r="H644" s="119"/>
      <c r="I644" s="4">
        <f>IFERROR(VLOOKUP(H644,H$2:H643,1,FALSE),VLOOKUP(H644,H$478:H645,1,FALSE))</f>
      </c>
      <c r="J644" s="4">
        <f t="shared" si="132"/>
        <v/>
      </c>
      <c r="K644" s="4">
        <f t="shared" si="133"/>
        <v/>
      </c>
      <c r="L644" s="4">
        <f t="shared" si="134"/>
        <v/>
      </c>
      <c r="M644" s="5">
        <f t="shared" si="128"/>
        <v/>
      </c>
      <c r="N644" s="4">
        <f t="shared" si="135"/>
        <v/>
      </c>
      <c r="O644" s="4"/>
      <c r="P644" s="4">
        <f t="shared" si="136"/>
        <v/>
      </c>
      <c r="Q644" s="4">
        <f t="shared" si="137"/>
        <v/>
      </c>
      <c r="R644" s="4">
        <f t="shared" si="129"/>
      </c>
      <c r="S644" s="4">
        <f t="shared" si="130"/>
      </c>
      <c r="T644" s="4">
        <f t="shared" si="131"/>
      </c>
      <c r="U644" s="4">
        <f t="shared" si="138"/>
        <v/>
      </c>
    </row>
    <row r="645" spans="1:21" x14ac:dyDescent="0.3">
      <c r="A645" s="4">
        <f t="shared" si="127"/>
        <v/>
      </c>
      <c r="B645" s="4">
        <f>IF(C645=1,MAX(B$2:$B644)+1,IF(F645=0,"",B644))</f>
        <v/>
      </c>
      <c r="C645" s="4">
        <f>COUNTIF($F$2:$F645,F645)</f>
      </c>
      <c r="D645" s="4">
        <f>IF(F645=0,0,MAX($D$2:D644)+1)</f>
      </c>
      <c r="E645" s="4">
        <f>IF(H645=0,0,MAX($E$2:E644)+1)</f>
      </c>
      <c r="F645" s="119"/>
      <c r="G645" s="119"/>
      <c r="H645" s="119"/>
      <c r="I645" s="4">
        <f>IFERROR(VLOOKUP(H645,H$2:H644,1,FALSE),VLOOKUP(H645,H$478:H646,1,FALSE))</f>
      </c>
      <c r="J645" s="4">
        <f t="shared" si="132"/>
        <v/>
      </c>
      <c r="K645" s="4">
        <f t="shared" si="133"/>
        <v/>
      </c>
      <c r="L645" s="4">
        <f t="shared" si="134"/>
        <v/>
      </c>
      <c r="M645" s="5">
        <f t="shared" si="128"/>
        <v/>
      </c>
      <c r="N645" s="4">
        <f t="shared" si="135"/>
        <v/>
      </c>
      <c r="O645" s="4"/>
      <c r="P645" s="4">
        <f t="shared" si="136"/>
        <v/>
      </c>
      <c r="Q645" s="4">
        <f t="shared" si="137"/>
        <v/>
      </c>
      <c r="R645" s="4">
        <f t="shared" si="129"/>
      </c>
      <c r="S645" s="4">
        <f t="shared" si="130"/>
      </c>
      <c r="T645" s="4">
        <f t="shared" si="131"/>
      </c>
      <c r="U645" s="4">
        <f t="shared" si="138"/>
        <v/>
      </c>
    </row>
    <row r="646" spans="1:21" x14ac:dyDescent="0.3">
      <c r="A646" s="4">
        <f t="shared" si="127"/>
        <v/>
      </c>
      <c r="B646" s="4">
        <f>IF(C646=1,MAX(B$2:$B645)+1,IF(F646=0,"",B645))</f>
        <v/>
      </c>
      <c r="C646" s="4">
        <f>COUNTIF($F$2:$F646,F646)</f>
      </c>
      <c r="D646" s="4">
        <f>IF(F646=0,0,MAX($D$2:D645)+1)</f>
      </c>
      <c r="E646" s="4">
        <f>IF(H646=0,0,MAX($E$2:E645)+1)</f>
      </c>
      <c r="F646" s="119"/>
      <c r="G646" s="119"/>
      <c r="H646" s="119"/>
      <c r="I646" s="4">
        <f>IFERROR(VLOOKUP(H646,H$2:H645,1,FALSE),VLOOKUP(H646,H$478:H647,1,FALSE))</f>
      </c>
      <c r="J646" s="4">
        <f t="shared" si="132"/>
        <v/>
      </c>
      <c r="K646" s="4">
        <f t="shared" si="133"/>
        <v/>
      </c>
      <c r="L646" s="4">
        <f t="shared" si="134"/>
        <v/>
      </c>
      <c r="M646" s="5">
        <f t="shared" si="128"/>
        <v/>
      </c>
      <c r="N646" s="4">
        <f t="shared" si="135"/>
        <v/>
      </c>
      <c r="O646" s="4"/>
      <c r="P646" s="4">
        <f t="shared" si="136"/>
        <v/>
      </c>
      <c r="Q646" s="4">
        <f t="shared" si="137"/>
        <v/>
      </c>
      <c r="R646" s="4">
        <f t="shared" si="129"/>
      </c>
      <c r="S646" s="4">
        <f t="shared" si="130"/>
      </c>
      <c r="T646" s="4">
        <f t="shared" si="131"/>
      </c>
      <c r="U646" s="4">
        <f t="shared" si="138"/>
        <v/>
      </c>
    </row>
    <row r="647" spans="1:21" x14ac:dyDescent="0.3">
      <c r="A647" s="4">
        <f t="shared" si="127"/>
        <v/>
      </c>
      <c r="B647" s="4">
        <f>IF(C647=1,MAX(B$2:$B646)+1,IF(F647=0,"",B646))</f>
        <v/>
      </c>
      <c r="C647" s="4">
        <f>COUNTIF($F$2:$F647,F647)</f>
      </c>
      <c r="D647" s="4">
        <f>IF(F647=0,0,MAX($D$2:D646)+1)</f>
      </c>
      <c r="E647" s="4">
        <f>IF(H647=0,0,MAX($E$2:E646)+1)</f>
      </c>
      <c r="F647" s="119"/>
      <c r="G647" s="119"/>
      <c r="H647" s="119"/>
      <c r="I647" s="4">
        <f>IFERROR(VLOOKUP(H647,H$2:H646,1,FALSE),VLOOKUP(H647,H$478:H648,1,FALSE))</f>
      </c>
      <c r="J647" s="4">
        <f t="shared" si="132"/>
        <v/>
      </c>
      <c r="K647" s="4">
        <f t="shared" si="133"/>
        <v/>
      </c>
      <c r="L647" s="4">
        <f t="shared" si="134"/>
        <v/>
      </c>
      <c r="M647" s="5">
        <f t="shared" si="128"/>
        <v/>
      </c>
      <c r="N647" s="4">
        <f t="shared" si="135"/>
        <v/>
      </c>
      <c r="O647" s="4"/>
      <c r="P647" s="4">
        <f t="shared" si="136"/>
        <v/>
      </c>
      <c r="Q647" s="4">
        <f t="shared" si="137"/>
        <v/>
      </c>
      <c r="R647" s="4">
        <f t="shared" si="129"/>
      </c>
      <c r="S647" s="4">
        <f t="shared" si="130"/>
      </c>
      <c r="T647" s="4">
        <f t="shared" si="131"/>
      </c>
      <c r="U647" s="4">
        <f t="shared" si="138"/>
        <v/>
      </c>
    </row>
    <row r="648" spans="1:21" ht="15" thickBot="1" x14ac:dyDescent="0.35">
      <c r="A648" s="4">
        <f t="shared" si="127"/>
        <v/>
      </c>
      <c r="B648" s="4">
        <f>IF(C648=1,MAX(B$2:$B647)+1,IF(F648=0,"",B647))</f>
        <v/>
      </c>
      <c r="C648" s="4">
        <f>COUNTIF($F$2:$F648,F648)</f>
      </c>
      <c r="D648" s="4">
        <f>IF(F648=0,0,MAX($D$2:D647)+1)</f>
      </c>
      <c r="E648" s="4">
        <f>IF(H648=0,0,MAX($E$2:E647)+1)</f>
      </c>
      <c r="F648" s="119"/>
      <c r="G648" s="119"/>
      <c r="H648" s="175"/>
      <c r="I648" s="4">
        <f>IFERROR(VLOOKUP(H648,H$2:H647,1,FALSE),VLOOKUP(H648,H$478:H649,1,FALSE))</f>
      </c>
      <c r="J648" s="4">
        <f t="shared" si="132"/>
        <v/>
      </c>
      <c r="K648" s="4">
        <f t="shared" si="133"/>
        <v/>
      </c>
      <c r="L648" s="4">
        <f t="shared" si="134"/>
        <v/>
      </c>
      <c r="M648" s="5">
        <f t="shared" si="128"/>
        <v/>
      </c>
      <c r="N648" s="4">
        <f t="shared" si="135"/>
        <v/>
      </c>
      <c r="O648" s="4"/>
      <c r="P648" s="4">
        <f t="shared" si="136"/>
        <v/>
      </c>
      <c r="Q648" s="4">
        <f t="shared" si="137"/>
        <v/>
      </c>
      <c r="R648" s="4">
        <f t="shared" si="129"/>
      </c>
      <c r="S648" s="4">
        <f t="shared" si="130"/>
      </c>
      <c r="T648" s="4">
        <f t="shared" si="131"/>
      </c>
      <c r="U648" s="4">
        <f t="shared" si="138"/>
        <v/>
      </c>
    </row>
    <row r="649" spans="1:21" x14ac:dyDescent="0.3">
      <c r="A649" s="4">
        <f t="shared" si="127"/>
        <v/>
      </c>
      <c r="B649" s="4">
        <f>IF(C649=1,MAX(B$2:$B648)+1,IF(F649=0,"",B648))</f>
        <v/>
      </c>
      <c r="C649" s="4">
        <f>COUNTIF($F$2:$F649,F649)</f>
      </c>
      <c r="D649" s="4">
        <f>IF(F649=0,0,MAX($D$2:D648)+1)</f>
      </c>
      <c r="E649" s="4">
        <f>IF(H649=0,0,MAX($E$2:E648)+1)</f>
      </c>
      <c r="F649" s="119"/>
      <c r="G649" s="119"/>
      <c r="H649" s="177"/>
      <c r="I649" s="4">
        <f>IFERROR(VLOOKUP(H649,H$2:H648,1,FALSE),VLOOKUP(H649,H$478:H650,1,FALSE))</f>
      </c>
      <c r="J649" s="4">
        <f t="shared" si="132"/>
        <v/>
      </c>
      <c r="K649" s="4">
        <f t="shared" si="133"/>
        <v/>
      </c>
      <c r="L649" s="4">
        <f t="shared" si="134"/>
        <v/>
      </c>
      <c r="M649" s="5">
        <f t="shared" si="128"/>
        <v/>
      </c>
      <c r="N649" s="4">
        <f t="shared" si="135"/>
        <v/>
      </c>
      <c r="O649" s="4"/>
      <c r="P649" s="4">
        <f t="shared" si="136"/>
        <v/>
      </c>
      <c r="Q649" s="4">
        <f t="shared" si="137"/>
        <v/>
      </c>
      <c r="R649" s="4">
        <f t="shared" si="129"/>
      </c>
      <c r="S649" s="4">
        <f t="shared" si="130"/>
      </c>
      <c r="T649" s="4">
        <f t="shared" si="131"/>
      </c>
      <c r="U649" s="4">
        <f t="shared" si="138"/>
        <v/>
      </c>
    </row>
    <row r="650" spans="1:21" x14ac:dyDescent="0.3">
      <c r="A650" s="4">
        <f t="shared" si="127"/>
        <v/>
      </c>
      <c r="B650" s="4">
        <f>IF(C650=1,MAX(B$2:$B649)+1,IF(F650=0,"",B649))</f>
        <v/>
      </c>
      <c r="C650" s="4">
        <f>COUNTIF($F$2:$F650,F650)</f>
      </c>
      <c r="D650" s="4">
        <f>IF(F650=0,0,MAX($D$2:D649)+1)</f>
      </c>
      <c r="E650" s="4">
        <f>IF(H650=0,0,MAX($E$2:E649)+1)</f>
      </c>
      <c r="F650" s="119"/>
      <c r="G650" s="119"/>
      <c r="H650" s="119"/>
      <c r="I650" s="4">
        <f>IFERROR(VLOOKUP(H650,H$2:H649,1,FALSE),VLOOKUP(H650,H$478:H651,1,FALSE))</f>
      </c>
      <c r="J650" s="4">
        <f t="shared" si="132"/>
        <v/>
      </c>
      <c r="K650" s="4">
        <f t="shared" si="133"/>
        <v/>
      </c>
      <c r="L650" s="4">
        <f t="shared" si="134"/>
        <v/>
      </c>
      <c r="M650" s="5">
        <f t="shared" si="128"/>
        <v/>
      </c>
      <c r="N650" s="4">
        <f t="shared" si="135"/>
        <v/>
      </c>
      <c r="O650" s="4"/>
      <c r="P650" s="4">
        <f t="shared" si="136"/>
        <v/>
      </c>
      <c r="Q650" s="4">
        <f t="shared" si="137"/>
        <v/>
      </c>
      <c r="R650" s="4">
        <f t="shared" si="129"/>
      </c>
      <c r="S650" s="4">
        <f t="shared" si="130"/>
      </c>
      <c r="T650" s="4">
        <f t="shared" si="131"/>
      </c>
      <c r="U650" s="4">
        <f t="shared" si="138"/>
        <v/>
      </c>
    </row>
    <row r="651" spans="1:21" x14ac:dyDescent="0.3">
      <c r="A651" s="4">
        <f t="shared" si="127"/>
        <v/>
      </c>
      <c r="B651" s="4">
        <f>IF(C651=1,MAX(B$2:$B650)+1,IF(F651=0,"",B650))</f>
        <v/>
      </c>
      <c r="C651" s="4">
        <f>COUNTIF($F$2:$F651,F651)</f>
      </c>
      <c r="D651" s="4">
        <f>IF(F651=0,0,MAX($D$2:D650)+1)</f>
      </c>
      <c r="E651" s="4">
        <f>IF(H651=0,0,MAX($E$2:E650)+1)</f>
      </c>
      <c r="F651" s="119"/>
      <c r="G651" s="119"/>
      <c r="H651" s="119"/>
      <c r="I651" s="4">
        <f>IFERROR(VLOOKUP(H651,H$2:H650,1,FALSE),VLOOKUP(H651,H$478:H652,1,FALSE))</f>
      </c>
      <c r="J651" s="4">
        <f t="shared" si="132"/>
        <v/>
      </c>
      <c r="K651" s="4">
        <f t="shared" si="133"/>
        <v/>
      </c>
      <c r="L651" s="4">
        <f t="shared" si="134"/>
        <v/>
      </c>
      <c r="M651" s="5">
        <f t="shared" si="128"/>
        <v/>
      </c>
      <c r="N651" s="4">
        <f t="shared" si="135"/>
        <v/>
      </c>
      <c r="O651" s="4"/>
      <c r="P651" s="4">
        <f t="shared" si="136"/>
        <v/>
      </c>
      <c r="Q651" s="4">
        <f t="shared" si="137"/>
        <v/>
      </c>
      <c r="R651" s="4">
        <f t="shared" si="129"/>
      </c>
      <c r="S651" s="4">
        <f t="shared" si="130"/>
      </c>
      <c r="T651" s="4">
        <f t="shared" si="131"/>
      </c>
      <c r="U651" s="4">
        <f t="shared" si="138"/>
        <v/>
      </c>
    </row>
    <row r="652" spans="1:21" x14ac:dyDescent="0.3">
      <c r="A652" s="4">
        <f t="shared" si="127"/>
        <v/>
      </c>
      <c r="B652" s="4">
        <f>IF(C652=1,MAX(B$2:$B651)+1,IF(F652=0,"",B651))</f>
        <v/>
      </c>
      <c r="C652" s="4">
        <f>COUNTIF($F$2:$F652,F652)</f>
      </c>
      <c r="D652" s="4">
        <f>IF(F652=0,0,MAX($D$2:D651)+1)</f>
      </c>
      <c r="E652" s="4">
        <f>IF(H652=0,0,MAX($E$2:E651)+1)</f>
      </c>
      <c r="F652" s="119"/>
      <c r="G652" s="119"/>
      <c r="H652" s="119"/>
      <c r="I652" s="4">
        <f>IFERROR(VLOOKUP(H652,H$2:H651,1,FALSE),VLOOKUP(H652,H$478:H653,1,FALSE))</f>
      </c>
      <c r="J652" s="4">
        <f t="shared" si="132"/>
        <v/>
      </c>
      <c r="K652" s="4">
        <f t="shared" si="133"/>
        <v/>
      </c>
      <c r="L652" s="4">
        <f t="shared" si="134"/>
        <v/>
      </c>
      <c r="M652" s="5">
        <f t="shared" si="128"/>
        <v/>
      </c>
      <c r="N652" s="4">
        <f t="shared" si="135"/>
        <v/>
      </c>
      <c r="O652" s="4"/>
      <c r="P652" s="4">
        <f t="shared" si="136"/>
        <v/>
      </c>
      <c r="Q652" s="4">
        <f t="shared" si="137"/>
        <v/>
      </c>
      <c r="R652" s="4">
        <f t="shared" si="129"/>
      </c>
      <c r="S652" s="4">
        <f t="shared" si="130"/>
      </c>
      <c r="T652" s="4">
        <f t="shared" si="131"/>
      </c>
      <c r="U652" s="4">
        <f t="shared" si="138"/>
        <v/>
      </c>
    </row>
    <row r="653" spans="1:21" x14ac:dyDescent="0.3">
      <c r="A653" s="4">
        <f t="shared" si="127"/>
        <v/>
      </c>
      <c r="B653" s="4">
        <f>IF(C653=1,MAX(B$2:$B652)+1,IF(F653=0,"",B652))</f>
        <v/>
      </c>
      <c r="C653" s="4">
        <f>COUNTIF($F$2:$F653,F653)</f>
      </c>
      <c r="D653" s="4">
        <f>IF(F653=0,0,MAX($D$2:D652)+1)</f>
      </c>
      <c r="E653" s="4">
        <f>IF(H653=0,0,MAX($E$2:E652)+1)</f>
      </c>
      <c r="F653" s="119"/>
      <c r="G653" s="119"/>
      <c r="H653" s="119"/>
      <c r="I653" s="4">
        <f>IFERROR(VLOOKUP(H653,H$2:H652,1,FALSE),VLOOKUP(H653,H$478:H654,1,FALSE))</f>
      </c>
      <c r="J653" s="4">
        <f t="shared" si="132"/>
        <v/>
      </c>
      <c r="K653" s="4">
        <f t="shared" si="133"/>
        <v/>
      </c>
      <c r="L653" s="4">
        <f t="shared" si="134"/>
        <v/>
      </c>
      <c r="M653" s="5">
        <f t="shared" si="128"/>
        <v/>
      </c>
      <c r="N653" s="4">
        <f t="shared" si="135"/>
        <v/>
      </c>
      <c r="O653" s="4"/>
      <c r="P653" s="4">
        <f t="shared" si="136"/>
        <v/>
      </c>
      <c r="Q653" s="4">
        <f t="shared" si="137"/>
        <v/>
      </c>
      <c r="R653" s="4">
        <f t="shared" si="129"/>
      </c>
      <c r="S653" s="4">
        <f t="shared" si="130"/>
      </c>
      <c r="T653" s="4">
        <f t="shared" si="131"/>
      </c>
      <c r="U653" s="4">
        <f t="shared" si="138"/>
        <v/>
      </c>
    </row>
    <row r="654" spans="1:21" x14ac:dyDescent="0.3">
      <c r="A654" s="4">
        <f t="shared" si="127"/>
        <v/>
      </c>
      <c r="B654" s="4">
        <f>IF(C654=1,MAX(B$2:$B653)+1,IF(F654=0,"",B653))</f>
        <v/>
      </c>
      <c r="C654" s="4">
        <f>COUNTIF($F$2:$F654,F654)</f>
      </c>
      <c r="D654" s="4">
        <f>IF(F654=0,0,MAX($D$2:D653)+1)</f>
      </c>
      <c r="E654" s="4">
        <f>IF(H654=0,0,MAX($E$2:E653)+1)</f>
      </c>
      <c r="F654" s="119"/>
      <c r="G654" s="119"/>
      <c r="H654" s="119"/>
      <c r="I654" s="4">
        <f>IFERROR(VLOOKUP(H654,H$2:H653,1,FALSE),VLOOKUP(H654,H$478:H655,1,FALSE))</f>
      </c>
      <c r="J654" s="4">
        <f t="shared" si="132"/>
        <v/>
      </c>
      <c r="K654" s="4">
        <f t="shared" si="133"/>
        <v/>
      </c>
      <c r="L654" s="4">
        <f t="shared" si="134"/>
        <v/>
      </c>
      <c r="M654" s="5">
        <f t="shared" si="128"/>
        <v/>
      </c>
      <c r="N654" s="4">
        <f t="shared" si="135"/>
        <v/>
      </c>
      <c r="O654" s="4"/>
      <c r="P654" s="4">
        <f t="shared" si="136"/>
        <v/>
      </c>
      <c r="Q654" s="4">
        <f t="shared" si="137"/>
        <v/>
      </c>
      <c r="R654" s="4">
        <f t="shared" si="129"/>
      </c>
      <c r="S654" s="4">
        <f t="shared" si="130"/>
      </c>
      <c r="T654" s="4">
        <f t="shared" si="131"/>
      </c>
      <c r="U654" s="4">
        <f t="shared" si="138"/>
        <v/>
      </c>
    </row>
    <row r="655" spans="1:21" x14ac:dyDescent="0.3">
      <c r="A655" s="4">
        <f t="shared" si="127"/>
        <v/>
      </c>
      <c r="B655" s="4">
        <f>IF(C655=1,MAX(B$2:$B654)+1,IF(F655=0,"",B654))</f>
        <v/>
      </c>
      <c r="C655" s="4">
        <f>COUNTIF($F$2:$F655,F655)</f>
      </c>
      <c r="D655" s="4">
        <f>IF(F655=0,0,MAX($D$2:D654)+1)</f>
      </c>
      <c r="E655" s="4">
        <f>IF(H655=0,0,MAX($E$2:E654)+1)</f>
      </c>
      <c r="F655" s="119"/>
      <c r="G655" s="119"/>
      <c r="H655" s="119"/>
      <c r="I655" s="4">
        <f>IFERROR(VLOOKUP(H655,H$2:H654,1,FALSE),VLOOKUP(H655,H$478:H656,1,FALSE))</f>
      </c>
      <c r="J655" s="4">
        <f t="shared" si="132"/>
        <v/>
      </c>
      <c r="K655" s="4">
        <f t="shared" si="133"/>
        <v/>
      </c>
      <c r="L655" s="4">
        <f t="shared" si="134"/>
        <v/>
      </c>
      <c r="M655" s="5">
        <f t="shared" si="128"/>
        <v/>
      </c>
      <c r="N655" s="4">
        <f t="shared" si="135"/>
        <v/>
      </c>
      <c r="O655" s="4"/>
      <c r="P655" s="4">
        <f t="shared" si="136"/>
        <v/>
      </c>
      <c r="Q655" s="4">
        <f t="shared" si="137"/>
        <v/>
      </c>
      <c r="R655" s="4">
        <f t="shared" si="129"/>
      </c>
      <c r="S655" s="4">
        <f t="shared" si="130"/>
      </c>
      <c r="T655" s="4">
        <f t="shared" si="131"/>
      </c>
      <c r="U655" s="4">
        <f t="shared" si="138"/>
        <v/>
      </c>
    </row>
    <row r="656" spans="1:21" x14ac:dyDescent="0.3">
      <c r="A656" s="4">
        <f t="shared" si="127"/>
        <v/>
      </c>
      <c r="B656" s="4">
        <f>IF(C656=1,MAX(B$2:$B655)+1,IF(F656=0,"",B655))</f>
        <v/>
      </c>
      <c r="C656" s="4">
        <f>COUNTIF($F$2:$F656,F656)</f>
      </c>
      <c r="D656" s="4">
        <f>IF(F656=0,0,MAX($D$2:D655)+1)</f>
      </c>
      <c r="E656" s="4">
        <f>IF(H656=0,0,MAX($E$2:E655)+1)</f>
      </c>
      <c r="F656" s="119"/>
      <c r="G656" s="119"/>
      <c r="H656" s="119"/>
      <c r="I656" s="4">
        <f>IFERROR(VLOOKUP(H656,H$2:H655,1,FALSE),VLOOKUP(H656,H$478:H657,1,FALSE))</f>
      </c>
      <c r="J656" s="4">
        <f t="shared" si="132"/>
        <v/>
      </c>
      <c r="K656" s="4">
        <f t="shared" si="133"/>
        <v/>
      </c>
      <c r="L656" s="4">
        <f t="shared" si="134"/>
        <v/>
      </c>
      <c r="M656" s="5">
        <f t="shared" si="128"/>
        <v/>
      </c>
      <c r="N656" s="4">
        <f t="shared" si="135"/>
        <v/>
      </c>
      <c r="O656" s="4"/>
      <c r="P656" s="4">
        <f t="shared" si="136"/>
        <v/>
      </c>
      <c r="Q656" s="4">
        <f t="shared" si="137"/>
        <v/>
      </c>
      <c r="R656" s="4">
        <f t="shared" si="129"/>
      </c>
      <c r="S656" s="4">
        <f t="shared" si="130"/>
      </c>
      <c r="T656" s="4">
        <f t="shared" si="131"/>
      </c>
      <c r="U656" s="4">
        <f t="shared" si="138"/>
        <v/>
      </c>
    </row>
    <row r="657" spans="1:21" x14ac:dyDescent="0.3">
      <c r="A657" s="4">
        <f t="shared" si="127"/>
        <v/>
      </c>
      <c r="B657" s="4">
        <f>IF(C657=1,MAX(B$2:$B656)+1,IF(F657=0,"",B656))</f>
        <v/>
      </c>
      <c r="C657" s="4">
        <f>COUNTIF($F$2:$F657,F657)</f>
      </c>
      <c r="D657" s="4">
        <f>IF(F657=0,0,MAX($D$2:D656)+1)</f>
      </c>
      <c r="E657" s="4">
        <f>IF(H657=0,0,MAX($E$2:E656)+1)</f>
      </c>
      <c r="F657" s="119"/>
      <c r="G657" s="119"/>
      <c r="H657" s="119"/>
      <c r="I657" s="4">
        <f>IFERROR(VLOOKUP(H657,H$2:H656,1,FALSE),VLOOKUP(H657,H$478:H658,1,FALSE))</f>
      </c>
      <c r="J657" s="4">
        <f t="shared" si="132"/>
        <v/>
      </c>
      <c r="K657" s="4">
        <f t="shared" si="133"/>
        <v/>
      </c>
      <c r="L657" s="4">
        <f t="shared" si="134"/>
        <v/>
      </c>
      <c r="M657" s="5">
        <f t="shared" si="128"/>
        <v/>
      </c>
      <c r="N657" s="4">
        <f t="shared" si="135"/>
        <v/>
      </c>
      <c r="O657" s="4"/>
      <c r="P657" s="4">
        <f t="shared" si="136"/>
        <v/>
      </c>
      <c r="Q657" s="4">
        <f t="shared" si="137"/>
        <v/>
      </c>
      <c r="R657" s="4">
        <f t="shared" si="129"/>
      </c>
      <c r="S657" s="4">
        <f t="shared" si="130"/>
      </c>
      <c r="T657" s="4">
        <f t="shared" si="131"/>
      </c>
      <c r="U657" s="4">
        <f t="shared" si="138"/>
        <v/>
      </c>
    </row>
    <row r="658" spans="1:21" x14ac:dyDescent="0.3">
      <c r="A658" s="4">
        <f t="shared" si="127"/>
        <v/>
      </c>
      <c r="B658" s="4">
        <f>IF(C658=1,MAX(B$2:$B657)+1,IF(F658=0,"",B657))</f>
        <v/>
      </c>
      <c r="C658" s="4">
        <f>COUNTIF($F$2:$F658,F658)</f>
      </c>
      <c r="D658" s="4">
        <f>IF(F658=0,0,MAX($D$2:D657)+1)</f>
      </c>
      <c r="E658" s="4">
        <f>IF(H658=0,0,MAX($E$2:E657)+1)</f>
      </c>
      <c r="F658" s="119"/>
      <c r="G658" s="119"/>
      <c r="H658" s="119"/>
      <c r="I658" s="4">
        <f>IFERROR(VLOOKUP(H658,H$2:H657,1,FALSE),VLOOKUP(H658,H$478:H659,1,FALSE))</f>
      </c>
      <c r="J658" s="4">
        <f t="shared" si="132"/>
        <v/>
      </c>
      <c r="K658" s="4">
        <f t="shared" si="133"/>
        <v/>
      </c>
      <c r="L658" s="4">
        <f t="shared" si="134"/>
        <v/>
      </c>
      <c r="M658" s="5">
        <f t="shared" si="128"/>
        <v/>
      </c>
      <c r="N658" s="4">
        <f t="shared" si="135"/>
        <v/>
      </c>
      <c r="O658" s="4"/>
      <c r="P658" s="4">
        <f t="shared" si="136"/>
        <v/>
      </c>
      <c r="Q658" s="4">
        <f t="shared" si="137"/>
        <v/>
      </c>
      <c r="R658" s="4">
        <f t="shared" si="129"/>
      </c>
      <c r="S658" s="4">
        <f t="shared" si="130"/>
      </c>
      <c r="T658" s="4">
        <f t="shared" si="131"/>
      </c>
      <c r="U658" s="4">
        <f t="shared" si="138"/>
        <v/>
      </c>
    </row>
    <row r="659" spans="1:21" x14ac:dyDescent="0.3">
      <c r="A659" s="4">
        <f t="shared" si="127"/>
        <v/>
      </c>
      <c r="B659" s="4">
        <f>IF(C659=1,MAX(B$2:$B658)+1,IF(F659=0,"",B658))</f>
        <v/>
      </c>
      <c r="C659" s="4">
        <f>COUNTIF($F$2:$F659,F659)</f>
      </c>
      <c r="D659" s="4">
        <f>IF(F659=0,0,MAX($D$2:D658)+1)</f>
      </c>
      <c r="E659" s="4">
        <f>IF(H659=0,0,MAX($E$2:E658)+1)</f>
      </c>
      <c r="F659" s="119"/>
      <c r="G659" s="119"/>
      <c r="H659" s="119"/>
      <c r="I659" s="4">
        <f>IFERROR(VLOOKUP(H659,H$2:H658,1,FALSE),VLOOKUP(H659,H$478:H660,1,FALSE))</f>
      </c>
      <c r="J659" s="4">
        <f t="shared" si="132"/>
        <v/>
      </c>
      <c r="K659" s="4">
        <f t="shared" si="133"/>
        <v/>
      </c>
      <c r="L659" s="4">
        <f t="shared" si="134"/>
        <v/>
      </c>
      <c r="M659" s="5">
        <f t="shared" si="128"/>
        <v/>
      </c>
      <c r="N659" s="4">
        <f t="shared" si="135"/>
        <v/>
      </c>
      <c r="O659" s="4"/>
      <c r="P659" s="4">
        <f t="shared" si="136"/>
        <v/>
      </c>
      <c r="Q659" s="4">
        <f t="shared" si="137"/>
        <v/>
      </c>
      <c r="R659" s="4">
        <f t="shared" si="129"/>
      </c>
      <c r="S659" s="4">
        <f t="shared" si="130"/>
      </c>
      <c r="T659" s="4">
        <f t="shared" si="131"/>
      </c>
      <c r="U659" s="4">
        <f t="shared" si="138"/>
        <v/>
      </c>
    </row>
    <row r="660" spans="1:21" x14ac:dyDescent="0.3">
      <c r="A660" s="4">
        <f t="shared" si="127"/>
        <v/>
      </c>
      <c r="B660" s="4">
        <f>IF(C660=1,MAX(B$2:$B659)+1,IF(F660=0,"",B659))</f>
        <v/>
      </c>
      <c r="C660" s="4">
        <f>COUNTIF($F$2:$F660,F660)</f>
      </c>
      <c r="D660" s="4">
        <f>IF(F660=0,0,MAX($D$2:D659)+1)</f>
      </c>
      <c r="E660" s="4">
        <f>IF(H660=0,0,MAX($E$2:E659)+1)</f>
      </c>
      <c r="F660" s="119"/>
      <c r="G660" s="119"/>
      <c r="H660" s="119"/>
      <c r="I660" s="4">
        <f>IFERROR(VLOOKUP(H660,H$2:H659,1,FALSE),VLOOKUP(H660,H$478:H661,1,FALSE))</f>
      </c>
      <c r="J660" s="4">
        <f t="shared" si="132"/>
        <v/>
      </c>
      <c r="K660" s="4">
        <f t="shared" si="133"/>
        <v/>
      </c>
      <c r="L660" s="4">
        <f t="shared" si="134"/>
        <v/>
      </c>
      <c r="M660" s="5">
        <f t="shared" si="128"/>
        <v/>
      </c>
      <c r="N660" s="4">
        <f t="shared" si="135"/>
        <v/>
      </c>
      <c r="O660" s="4"/>
      <c r="P660" s="4">
        <f t="shared" si="136"/>
        <v/>
      </c>
      <c r="Q660" s="4">
        <f t="shared" si="137"/>
        <v/>
      </c>
      <c r="R660" s="4">
        <f t="shared" si="129"/>
      </c>
      <c r="S660" s="4">
        <f t="shared" si="130"/>
      </c>
      <c r="T660" s="4">
        <f t="shared" si="131"/>
      </c>
      <c r="U660" s="4">
        <f t="shared" si="138"/>
        <v/>
      </c>
    </row>
    <row r="661" spans="1:21" x14ac:dyDescent="0.3">
      <c r="A661" s="4">
        <f t="shared" si="127"/>
        <v/>
      </c>
      <c r="B661" s="4">
        <f>IF(C661=1,MAX(B$2:$B660)+1,IF(F661=0,"",B660))</f>
        <v/>
      </c>
      <c r="C661" s="4">
        <f>COUNTIF($F$2:$F661,F661)</f>
      </c>
      <c r="D661" s="4">
        <f>IF(F661=0,0,MAX($D$2:D660)+1)</f>
      </c>
      <c r="E661" s="4">
        <f>IF(H661=0,0,MAX($E$2:E660)+1)</f>
      </c>
      <c r="F661" s="119"/>
      <c r="G661" s="119"/>
      <c r="H661" s="119"/>
      <c r="I661" s="4">
        <f>IFERROR(VLOOKUP(H661,H$2:H660,1,FALSE),VLOOKUP(H661,H$478:H662,1,FALSE))</f>
      </c>
      <c r="J661" s="4">
        <f t="shared" si="132"/>
        <v/>
      </c>
      <c r="K661" s="4">
        <f t="shared" si="133"/>
        <v/>
      </c>
      <c r="L661" s="4">
        <f t="shared" si="134"/>
        <v/>
      </c>
      <c r="M661" s="5">
        <f t="shared" si="128"/>
        <v/>
      </c>
      <c r="N661" s="4">
        <f t="shared" si="135"/>
        <v/>
      </c>
      <c r="O661" s="4"/>
      <c r="P661" s="4">
        <f t="shared" si="136"/>
        <v/>
      </c>
      <c r="Q661" s="4">
        <f t="shared" si="137"/>
        <v/>
      </c>
      <c r="R661" s="4">
        <f t="shared" si="129"/>
      </c>
      <c r="S661" s="4">
        <f t="shared" si="130"/>
      </c>
      <c r="T661" s="4">
        <f t="shared" si="131"/>
      </c>
      <c r="U661" s="4">
        <f t="shared" si="138"/>
        <v/>
      </c>
    </row>
    <row r="662" spans="1:21" x14ac:dyDescent="0.3">
      <c r="A662" s="4">
        <f t="shared" si="127"/>
        <v/>
      </c>
      <c r="B662" s="4">
        <f>IF(C662=1,MAX(B$2:$B661)+1,IF(F662=0,"",B661))</f>
        <v/>
      </c>
      <c r="C662" s="4">
        <f>COUNTIF($F$2:$F662,F662)</f>
      </c>
      <c r="D662" s="4">
        <f>IF(F662=0,0,MAX($D$2:D661)+1)</f>
      </c>
      <c r="E662" s="4">
        <f>IF(H662=0,0,MAX($E$2:E661)+1)</f>
      </c>
      <c r="F662" s="119"/>
      <c r="G662" s="119"/>
      <c r="H662" s="119"/>
      <c r="I662" s="4">
        <f>IFERROR(VLOOKUP(H662,H$2:H661,1,FALSE),VLOOKUP(H662,H$478:H663,1,FALSE))</f>
      </c>
      <c r="J662" s="4">
        <f t="shared" si="132"/>
        <v/>
      </c>
      <c r="K662" s="4">
        <f t="shared" si="133"/>
        <v/>
      </c>
      <c r="L662" s="4">
        <f t="shared" si="134"/>
        <v/>
      </c>
      <c r="M662" s="5">
        <f t="shared" si="128"/>
        <v/>
      </c>
      <c r="N662" s="4">
        <f t="shared" si="135"/>
        <v/>
      </c>
      <c r="O662" s="4"/>
      <c r="P662" s="4">
        <f t="shared" si="136"/>
        <v/>
      </c>
      <c r="Q662" s="4">
        <f t="shared" si="137"/>
        <v/>
      </c>
      <c r="R662" s="4">
        <f t="shared" si="129"/>
      </c>
      <c r="S662" s="4">
        <f t="shared" si="130"/>
      </c>
      <c r="T662" s="4">
        <f t="shared" si="131"/>
      </c>
      <c r="U662" s="4">
        <f t="shared" si="138"/>
        <v/>
      </c>
    </row>
    <row r="663" spans="1:21" x14ac:dyDescent="0.3">
      <c r="A663" s="4">
        <f t="shared" si="127"/>
        <v/>
      </c>
      <c r="B663" s="4">
        <f>IF(C663=1,MAX(B$2:$B662)+1,IF(F663=0,"",B662))</f>
        <v/>
      </c>
      <c r="C663" s="4">
        <f>COUNTIF($F$2:$F663,F663)</f>
      </c>
      <c r="D663" s="4">
        <f>IF(F663=0,0,MAX($D$2:D662)+1)</f>
      </c>
      <c r="E663" s="4">
        <f>IF(H663=0,0,MAX($E$2:E662)+1)</f>
      </c>
      <c r="F663" s="119"/>
      <c r="G663" s="119"/>
      <c r="H663" s="119"/>
      <c r="I663" s="4">
        <f>IFERROR(VLOOKUP(H663,H$2:H662,1,FALSE),VLOOKUP(H663,H$478:H664,1,FALSE))</f>
      </c>
      <c r="J663" s="4">
        <f t="shared" si="132"/>
        <v/>
      </c>
      <c r="K663" s="4">
        <f t="shared" si="133"/>
        <v/>
      </c>
      <c r="L663" s="4">
        <f t="shared" si="134"/>
        <v/>
      </c>
      <c r="M663" s="5">
        <f t="shared" si="128"/>
        <v/>
      </c>
      <c r="N663" s="4">
        <f t="shared" si="135"/>
        <v/>
      </c>
      <c r="O663" s="4"/>
      <c r="P663" s="4">
        <f t="shared" si="136"/>
        <v/>
      </c>
      <c r="Q663" s="4">
        <f t="shared" si="137"/>
        <v/>
      </c>
      <c r="R663" s="4">
        <f t="shared" si="129"/>
      </c>
      <c r="S663" s="4">
        <f t="shared" si="130"/>
      </c>
      <c r="T663" s="4">
        <f t="shared" si="131"/>
      </c>
      <c r="U663" s="4">
        <f t="shared" si="138"/>
        <v/>
      </c>
    </row>
    <row r="664" spans="1:21" x14ac:dyDescent="0.3">
      <c r="A664" s="4">
        <f t="shared" si="127"/>
        <v/>
      </c>
      <c r="B664" s="4">
        <f>IF(C664=1,MAX(B$2:$B663)+1,IF(F664=0,"",B663))</f>
        <v/>
      </c>
      <c r="C664" s="4">
        <f>COUNTIF($F$2:$F664,F664)</f>
      </c>
      <c r="D664" s="4">
        <f>IF(F664=0,0,MAX($D$2:D663)+1)</f>
      </c>
      <c r="E664" s="4">
        <f>IF(H664=0,0,MAX($E$2:E663)+1)</f>
      </c>
      <c r="F664" s="119"/>
      <c r="G664" s="119"/>
      <c r="H664" s="119"/>
      <c r="I664" s="4">
        <f>IFERROR(VLOOKUP(H664,H$2:H663,1,FALSE),VLOOKUP(H664,H$478:H665,1,FALSE))</f>
      </c>
      <c r="J664" s="4">
        <f t="shared" si="132"/>
        <v/>
      </c>
      <c r="K664" s="4">
        <f t="shared" si="133"/>
        <v/>
      </c>
      <c r="L664" s="4">
        <f t="shared" si="134"/>
        <v/>
      </c>
      <c r="M664" s="5">
        <f t="shared" si="128"/>
        <v/>
      </c>
      <c r="N664" s="4">
        <f t="shared" si="135"/>
        <v/>
      </c>
      <c r="O664" s="4"/>
      <c r="P664" s="4">
        <f t="shared" si="136"/>
        <v/>
      </c>
      <c r="Q664" s="4">
        <f t="shared" si="137"/>
        <v/>
      </c>
      <c r="R664" s="4">
        <f t="shared" si="129"/>
      </c>
      <c r="S664" s="4">
        <f t="shared" si="130"/>
      </c>
      <c r="T664" s="4">
        <f t="shared" si="131"/>
      </c>
      <c r="U664" s="4">
        <f t="shared" si="138"/>
        <v/>
      </c>
    </row>
    <row r="665" spans="1:21" ht="15" thickBot="1" x14ac:dyDescent="0.35">
      <c r="A665" s="4">
        <f t="shared" si="127"/>
        <v/>
      </c>
      <c r="B665" s="4">
        <f>IF(C665=1,MAX(B$2:$B664)+1,IF(F665=0,"",B664))</f>
        <v/>
      </c>
      <c r="C665" s="4">
        <f>COUNTIF($F$2:$F665,F665)</f>
      </c>
      <c r="D665" s="4">
        <f>IF(F665=0,0,MAX($D$2:D664)+1)</f>
      </c>
      <c r="E665" s="4">
        <f>IF(H665=0,0,MAX($E$2:E664)+1)</f>
      </c>
      <c r="F665" s="119"/>
      <c r="G665" s="119"/>
      <c r="H665" s="175"/>
      <c r="I665" s="4">
        <f>IFERROR(VLOOKUP(H665,H$2:H664,1,FALSE),VLOOKUP(H665,H$478:H666,1,FALSE))</f>
      </c>
      <c r="J665" s="4">
        <f t="shared" si="132"/>
        <v/>
      </c>
      <c r="K665" s="4">
        <f t="shared" si="133"/>
        <v/>
      </c>
      <c r="L665" s="4">
        <f t="shared" si="134"/>
        <v/>
      </c>
      <c r="M665" s="5">
        <f t="shared" si="128"/>
        <v/>
      </c>
      <c r="N665" s="4">
        <f t="shared" si="135"/>
        <v/>
      </c>
      <c r="O665" s="4"/>
      <c r="P665" s="4">
        <f t="shared" si="136"/>
        <v/>
      </c>
      <c r="Q665" s="4">
        <f t="shared" si="137"/>
        <v/>
      </c>
      <c r="R665" s="4">
        <f t="shared" si="129"/>
      </c>
      <c r="S665" s="4">
        <f t="shared" si="130"/>
      </c>
      <c r="T665" s="4">
        <f t="shared" si="131"/>
      </c>
      <c r="U665" s="4">
        <f t="shared" si="138"/>
        <v/>
      </c>
    </row>
    <row r="666" spans="1:21" x14ac:dyDescent="0.3">
      <c r="A666" s="4">
        <f t="shared" si="127"/>
        <v/>
      </c>
      <c r="B666" s="4">
        <f>IF(C666=1,MAX(B$2:$B665)+1,IF(F666=0,"",B665))</f>
        <v/>
      </c>
      <c r="C666" s="4">
        <f>COUNTIF($F$2:$F666,F666)</f>
      </c>
      <c r="D666" s="4">
        <f>IF(F666=0,0,MAX($D$2:D665)+1)</f>
      </c>
      <c r="E666" s="4">
        <f>IF(H666=0,0,MAX($E$2:E665)+1)</f>
      </c>
      <c r="F666" s="119"/>
      <c r="G666" s="119"/>
      <c r="H666" s="177"/>
      <c r="I666" s="4">
        <f>IFERROR(VLOOKUP(H666,H$2:H665,1,FALSE),VLOOKUP(H666,H$478:H667,1,FALSE))</f>
      </c>
      <c r="J666" s="4">
        <f t="shared" si="132"/>
        <v/>
      </c>
      <c r="K666" s="4">
        <f t="shared" si="133"/>
        <v/>
      </c>
      <c r="L666" s="4">
        <f t="shared" si="134"/>
        <v/>
      </c>
      <c r="M666" s="5">
        <f t="shared" si="128"/>
        <v/>
      </c>
      <c r="N666" s="4">
        <f t="shared" si="135"/>
        <v/>
      </c>
      <c r="O666" s="4"/>
      <c r="P666" s="4">
        <f t="shared" si="136"/>
        <v/>
      </c>
      <c r="Q666" s="4">
        <f t="shared" si="137"/>
        <v/>
      </c>
      <c r="R666" s="4">
        <f t="shared" si="129"/>
      </c>
      <c r="S666" s="4">
        <f t="shared" si="130"/>
      </c>
      <c r="T666" s="4">
        <f t="shared" si="131"/>
      </c>
      <c r="U666" s="4">
        <f t="shared" si="138"/>
        <v/>
      </c>
    </row>
    <row r="667" spans="1:21" x14ac:dyDescent="0.3">
      <c r="A667" s="4">
        <f t="shared" si="127"/>
        <v/>
      </c>
      <c r="B667" s="4">
        <f>IF(C667=1,MAX(B$2:$B666)+1,IF(F667=0,"",B666))</f>
        <v/>
      </c>
      <c r="C667" s="4">
        <f>COUNTIF($F$2:$F667,F667)</f>
      </c>
      <c r="D667" s="4">
        <f>IF(F667=0,0,MAX($D$2:D666)+1)</f>
      </c>
      <c r="E667" s="4">
        <f>IF(H667=0,0,MAX($E$2:E666)+1)</f>
      </c>
      <c r="F667" s="119"/>
      <c r="G667" s="119"/>
      <c r="H667" s="119"/>
      <c r="I667" s="4">
        <f>IFERROR(VLOOKUP(H667,H$2:H666,1,FALSE),VLOOKUP(H667,H$478:H668,1,FALSE))</f>
      </c>
      <c r="J667" s="4">
        <f t="shared" si="132"/>
        <v/>
      </c>
      <c r="K667" s="4">
        <f t="shared" si="133"/>
        <v/>
      </c>
      <c r="L667" s="4">
        <f t="shared" si="134"/>
        <v/>
      </c>
      <c r="M667" s="5">
        <f t="shared" si="128"/>
        <v/>
      </c>
      <c r="N667" s="4">
        <f t="shared" si="135"/>
        <v/>
      </c>
      <c r="O667" s="4"/>
      <c r="P667" s="4">
        <f t="shared" si="136"/>
        <v/>
      </c>
      <c r="Q667" s="4">
        <f t="shared" si="137"/>
        <v/>
      </c>
      <c r="R667" s="4">
        <f t="shared" si="129"/>
      </c>
      <c r="S667" s="4">
        <f t="shared" si="130"/>
      </c>
      <c r="T667" s="4">
        <f t="shared" si="131"/>
      </c>
      <c r="U667" s="4">
        <f t="shared" si="138"/>
        <v/>
      </c>
    </row>
    <row r="668" spans="1:21" x14ac:dyDescent="0.3">
      <c r="A668" s="4">
        <f t="shared" si="127"/>
        <v/>
      </c>
      <c r="B668" s="4">
        <f>IF(C668=1,MAX(B$2:$B667)+1,IF(F668=0,"",B667))</f>
        <v/>
      </c>
      <c r="C668" s="4">
        <f>COUNTIF($F$2:$F668,F668)</f>
      </c>
      <c r="D668" s="4">
        <f>IF(F668=0,0,MAX($D$2:D667)+1)</f>
      </c>
      <c r="E668" s="4">
        <f>IF(H668=0,0,MAX($E$2:E667)+1)</f>
      </c>
      <c r="F668" s="119"/>
      <c r="G668" s="119"/>
      <c r="H668" s="119"/>
      <c r="I668" s="4">
        <f>IFERROR(VLOOKUP(H668,H$2:H667,1,FALSE),VLOOKUP(H668,H$478:H669,1,FALSE))</f>
      </c>
      <c r="J668" s="4">
        <f t="shared" si="132"/>
        <v/>
      </c>
      <c r="K668" s="4">
        <f t="shared" si="133"/>
        <v/>
      </c>
      <c r="L668" s="4">
        <f t="shared" si="134"/>
        <v/>
      </c>
      <c r="M668" s="5">
        <f t="shared" si="128"/>
        <v/>
      </c>
      <c r="N668" s="4">
        <f t="shared" si="135"/>
        <v/>
      </c>
      <c r="O668" s="4"/>
      <c r="P668" s="4">
        <f t="shared" si="136"/>
        <v/>
      </c>
      <c r="Q668" s="4">
        <f t="shared" si="137"/>
        <v/>
      </c>
      <c r="R668" s="4">
        <f t="shared" si="129"/>
      </c>
      <c r="S668" s="4">
        <f t="shared" si="130"/>
      </c>
      <c r="T668" s="4">
        <f t="shared" si="131"/>
      </c>
      <c r="U668" s="4">
        <f t="shared" si="138"/>
        <v/>
      </c>
    </row>
    <row r="669" spans="1:21" x14ac:dyDescent="0.3">
      <c r="A669" s="4">
        <f t="shared" si="127"/>
        <v/>
      </c>
      <c r="B669" s="4">
        <f>IF(C669=1,MAX(B$2:$B668)+1,IF(F669=0,"",B668))</f>
        <v/>
      </c>
      <c r="C669" s="4">
        <f>COUNTIF($F$2:$F669,F669)</f>
      </c>
      <c r="D669" s="4">
        <f>IF(F669=0,0,MAX($D$2:D668)+1)</f>
      </c>
      <c r="E669" s="4">
        <f>IF(H669=0,0,MAX($E$2:E668)+1)</f>
      </c>
      <c r="F669" s="119"/>
      <c r="G669" s="119"/>
      <c r="H669" s="119"/>
      <c r="I669" s="4">
        <f>IFERROR(VLOOKUP(H669,H$2:H668,1,FALSE),VLOOKUP(H669,H$478:H670,1,FALSE))</f>
      </c>
      <c r="J669" s="4">
        <f t="shared" si="132"/>
        <v/>
      </c>
      <c r="K669" s="4">
        <f t="shared" si="133"/>
        <v/>
      </c>
      <c r="L669" s="4">
        <f t="shared" si="134"/>
        <v/>
      </c>
      <c r="M669" s="5">
        <f t="shared" si="128"/>
        <v/>
      </c>
      <c r="N669" s="4">
        <f t="shared" si="135"/>
        <v/>
      </c>
      <c r="O669" s="4"/>
      <c r="P669" s="4">
        <f t="shared" si="136"/>
        <v/>
      </c>
      <c r="Q669" s="4">
        <f t="shared" si="137"/>
        <v/>
      </c>
      <c r="R669" s="4">
        <f t="shared" si="129"/>
      </c>
      <c r="S669" s="4">
        <f t="shared" si="130"/>
      </c>
      <c r="T669" s="4">
        <f t="shared" si="131"/>
      </c>
      <c r="U669" s="4">
        <f t="shared" si="138"/>
        <v/>
      </c>
    </row>
    <row r="670" spans="1:21" x14ac:dyDescent="0.3">
      <c r="A670" s="4">
        <f t="shared" si="127"/>
        <v/>
      </c>
      <c r="B670" s="4">
        <f>IF(C670=1,MAX(B$2:$B669)+1,IF(F670=0,"",B669))</f>
        <v/>
      </c>
      <c r="C670" s="4">
        <f>COUNTIF($F$2:$F670,F670)</f>
      </c>
      <c r="D670" s="4">
        <f>IF(F670=0,0,MAX($D$2:D669)+1)</f>
      </c>
      <c r="E670" s="4">
        <f>IF(H670=0,0,MAX($E$2:E669)+1)</f>
      </c>
      <c r="F670" s="119"/>
      <c r="G670" s="119"/>
      <c r="H670" s="119"/>
      <c r="I670" s="4">
        <f>IFERROR(VLOOKUP(H670,H$2:H669,1,FALSE),VLOOKUP(H670,H$478:H671,1,FALSE))</f>
      </c>
      <c r="J670" s="4">
        <f t="shared" si="132"/>
        <v/>
      </c>
      <c r="K670" s="4">
        <f t="shared" si="133"/>
        <v/>
      </c>
      <c r="L670" s="4">
        <f t="shared" si="134"/>
        <v/>
      </c>
      <c r="M670" s="5">
        <f t="shared" si="128"/>
        <v/>
      </c>
      <c r="N670" s="4">
        <f t="shared" si="135"/>
        <v/>
      </c>
      <c r="O670" s="4"/>
      <c r="P670" s="4">
        <f t="shared" si="136"/>
        <v/>
      </c>
      <c r="Q670" s="4">
        <f t="shared" si="137"/>
        <v/>
      </c>
      <c r="R670" s="4">
        <f t="shared" si="129"/>
      </c>
      <c r="S670" s="4">
        <f t="shared" si="130"/>
      </c>
      <c r="T670" s="4">
        <f t="shared" si="131"/>
      </c>
      <c r="U670" s="4">
        <f t="shared" si="138"/>
        <v/>
      </c>
    </row>
    <row r="671" spans="1:21" x14ac:dyDescent="0.3">
      <c r="A671" s="4">
        <f t="shared" ref="A671:A734" si="139">IF(B671=B672,"",B671)</f>
        <v/>
      </c>
      <c r="B671" s="4">
        <f>IF(C671=1,MAX(B$2:$B670)+1,IF(F671=0,"",B670))</f>
        <v/>
      </c>
      <c r="C671" s="4">
        <f>COUNTIF($F$2:$F671,F671)</f>
      </c>
      <c r="D671" s="4">
        <f>IF(F671=0,0,MAX($D$2:D670)+1)</f>
      </c>
      <c r="E671" s="4">
        <f>IF(H671=0,0,MAX($E$2:E670)+1)</f>
      </c>
      <c r="F671" s="119"/>
      <c r="G671" s="119"/>
      <c r="H671" s="119"/>
      <c r="I671" s="4">
        <f>IFERROR(VLOOKUP(H671,H$2:H670,1,FALSE),VLOOKUP(H671,H$478:H672,1,FALSE))</f>
      </c>
      <c r="J671" s="4">
        <f t="shared" si="132"/>
        <v/>
      </c>
      <c r="K671" s="4">
        <f t="shared" si="133"/>
        <v/>
      </c>
      <c r="L671" s="4">
        <f t="shared" si="134"/>
        <v/>
      </c>
      <c r="M671" s="5">
        <f t="shared" ref="M671:M734" si="140">IFERROR(VLOOKUP(H671,Нагрузка_диапазон_1,4,FALSE),"")</f>
        <v/>
      </c>
      <c r="N671" s="4">
        <f t="shared" si="135"/>
        <v/>
      </c>
      <c r="O671" s="4"/>
      <c r="P671" s="4">
        <f t="shared" si="136"/>
        <v/>
      </c>
      <c r="Q671" s="4">
        <f t="shared" si="137"/>
        <v/>
      </c>
      <c r="R671" s="4">
        <f t="shared" ref="R671:R734" si="141">IF(Q671=3,"L1,L2,L3",0)</f>
      </c>
      <c r="S671" s="4">
        <f t="shared" ref="S671:S734" si="142">IF(C671=1,1,IF(Q671=3,S670,IF(S670=3,1,S670+1)))</f>
      </c>
      <c r="T671" s="4">
        <f t="shared" ref="T671:T734" si="143">IF(R671=0,"L"&amp;S671,R671)</f>
      </c>
      <c r="U671" s="4">
        <f t="shared" si="138"/>
        <v/>
      </c>
    </row>
    <row r="672" spans="1:21" x14ac:dyDescent="0.3">
      <c r="A672" s="4">
        <f t="shared" si="139"/>
        <v/>
      </c>
      <c r="B672" s="4">
        <f>IF(C672=1,MAX(B$2:$B671)+1,IF(F672=0,"",B671))</f>
        <v/>
      </c>
      <c r="C672" s="4">
        <f>COUNTIF($F$2:$F672,F672)</f>
      </c>
      <c r="D672" s="4">
        <f>IF(F672=0,0,MAX($D$2:D671)+1)</f>
      </c>
      <c r="E672" s="4">
        <f>IF(H672=0,0,MAX($E$2:E671)+1)</f>
      </c>
      <c r="F672" s="119"/>
      <c r="G672" s="119"/>
      <c r="H672" s="119"/>
      <c r="I672" s="4">
        <f>IFERROR(VLOOKUP(H672,H$2:H671,1,FALSE),VLOOKUP(H672,H$478:H673,1,FALSE))</f>
      </c>
      <c r="J672" s="4">
        <f t="shared" si="132"/>
        <v/>
      </c>
      <c r="K672" s="4">
        <f t="shared" si="133"/>
        <v/>
      </c>
      <c r="L672" s="4">
        <f t="shared" si="134"/>
        <v/>
      </c>
      <c r="M672" s="5">
        <f t="shared" si="140"/>
        <v/>
      </c>
      <c r="N672" s="4">
        <f t="shared" si="135"/>
        <v/>
      </c>
      <c r="O672" s="4"/>
      <c r="P672" s="4">
        <f t="shared" si="136"/>
        <v/>
      </c>
      <c r="Q672" s="4">
        <f t="shared" si="137"/>
        <v/>
      </c>
      <c r="R672" s="4">
        <f t="shared" si="141"/>
      </c>
      <c r="S672" s="4">
        <f t="shared" si="142"/>
      </c>
      <c r="T672" s="4">
        <f t="shared" si="143"/>
      </c>
      <c r="U672" s="4">
        <f t="shared" si="138"/>
        <v/>
      </c>
    </row>
    <row r="673" spans="1:21" x14ac:dyDescent="0.3">
      <c r="A673" s="4">
        <f t="shared" si="139"/>
        <v/>
      </c>
      <c r="B673" s="4">
        <f>IF(C673=1,MAX(B$2:$B672)+1,IF(F673=0,"",B672))</f>
        <v/>
      </c>
      <c r="C673" s="4">
        <f>COUNTIF($F$2:$F673,F673)</f>
      </c>
      <c r="D673" s="4">
        <f>IF(F673=0,0,MAX($D$2:D672)+1)</f>
      </c>
      <c r="E673" s="4">
        <f>IF(H673=0,0,MAX($E$2:E672)+1)</f>
      </c>
      <c r="F673" s="119"/>
      <c r="G673" s="119"/>
      <c r="H673" s="119"/>
      <c r="I673" s="4">
        <f>IFERROR(VLOOKUP(H673,H$2:H672,1,FALSE),VLOOKUP(H673,H$478:H674,1,FALSE))</f>
      </c>
      <c r="J673" s="4">
        <f t="shared" si="132"/>
        <v/>
      </c>
      <c r="K673" s="4">
        <f t="shared" si="133"/>
        <v/>
      </c>
      <c r="L673" s="4">
        <f t="shared" si="134"/>
        <v/>
      </c>
      <c r="M673" s="5">
        <f t="shared" si="140"/>
        <v/>
      </c>
      <c r="N673" s="4">
        <f t="shared" si="135"/>
        <v/>
      </c>
      <c r="O673" s="4"/>
      <c r="P673" s="4">
        <f t="shared" si="136"/>
        <v/>
      </c>
      <c r="Q673" s="4">
        <f t="shared" si="137"/>
        <v/>
      </c>
      <c r="R673" s="4">
        <f t="shared" si="141"/>
      </c>
      <c r="S673" s="4">
        <f t="shared" si="142"/>
      </c>
      <c r="T673" s="4">
        <f t="shared" si="143"/>
      </c>
      <c r="U673" s="4">
        <f t="shared" si="138"/>
        <v/>
      </c>
    </row>
    <row r="674" spans="1:21" x14ac:dyDescent="0.3">
      <c r="A674" s="4">
        <f t="shared" si="139"/>
        <v/>
      </c>
      <c r="B674" s="4">
        <f>IF(C674=1,MAX(B$2:$B673)+1,IF(F674=0,"",B673))</f>
        <v/>
      </c>
      <c r="C674" s="4">
        <f>COUNTIF($F$2:$F674,F674)</f>
      </c>
      <c r="D674" s="4">
        <f>IF(F674=0,0,MAX($D$2:D673)+1)</f>
      </c>
      <c r="E674" s="4">
        <f>IF(H674=0,0,MAX($E$2:E673)+1)</f>
      </c>
      <c r="F674" s="119"/>
      <c r="G674" s="119"/>
      <c r="H674" s="119"/>
      <c r="I674" s="4">
        <f>IFERROR(VLOOKUP(H674,H$2:H673,1,FALSE),VLOOKUP(H674,H$478:H675,1,FALSE))</f>
      </c>
      <c r="J674" s="4">
        <f t="shared" si="132"/>
        <v/>
      </c>
      <c r="K674" s="4">
        <f t="shared" si="133"/>
        <v/>
      </c>
      <c r="L674" s="4">
        <f t="shared" si="134"/>
        <v/>
      </c>
      <c r="M674" s="5">
        <f t="shared" si="140"/>
        <v/>
      </c>
      <c r="N674" s="4">
        <f t="shared" si="135"/>
        <v/>
      </c>
      <c r="O674" s="4"/>
      <c r="P674" s="4">
        <f t="shared" si="136"/>
        <v/>
      </c>
      <c r="Q674" s="4">
        <f t="shared" si="137"/>
        <v/>
      </c>
      <c r="R674" s="4">
        <f t="shared" si="141"/>
      </c>
      <c r="S674" s="4">
        <f t="shared" si="142"/>
      </c>
      <c r="T674" s="4">
        <f t="shared" si="143"/>
      </c>
      <c r="U674" s="4">
        <f t="shared" si="138"/>
        <v/>
      </c>
    </row>
    <row r="675" spans="1:21" x14ac:dyDescent="0.3">
      <c r="A675" s="4">
        <f t="shared" si="139"/>
        <v/>
      </c>
      <c r="B675" s="4">
        <f>IF(C675=1,MAX(B$2:$B674)+1,IF(F675=0,"",B674))</f>
        <v/>
      </c>
      <c r="C675" s="4">
        <f>COUNTIF($F$2:$F675,F675)</f>
      </c>
      <c r="D675" s="4">
        <f>IF(F675=0,0,MAX($D$2:D674)+1)</f>
      </c>
      <c r="E675" s="4">
        <f>IF(H675=0,0,MAX($E$2:E674)+1)</f>
      </c>
      <c r="F675" s="119"/>
      <c r="G675" s="119"/>
      <c r="H675" s="119"/>
      <c r="I675" s="4">
        <f>IFERROR(VLOOKUP(H675,H$2:H674,1,FALSE),VLOOKUP(H675,H$478:H676,1,FALSE))</f>
      </c>
      <c r="J675" s="4">
        <f t="shared" si="132"/>
        <v/>
      </c>
      <c r="K675" s="4">
        <f t="shared" si="133"/>
        <v/>
      </c>
      <c r="L675" s="4">
        <f t="shared" si="134"/>
        <v/>
      </c>
      <c r="M675" s="5">
        <f t="shared" si="140"/>
        <v/>
      </c>
      <c r="N675" s="4">
        <f t="shared" si="135"/>
        <v/>
      </c>
      <c r="O675" s="4"/>
      <c r="P675" s="4">
        <f t="shared" si="136"/>
        <v/>
      </c>
      <c r="Q675" s="4">
        <f t="shared" si="137"/>
        <v/>
      </c>
      <c r="R675" s="4">
        <f t="shared" si="141"/>
      </c>
      <c r="S675" s="4">
        <f t="shared" si="142"/>
      </c>
      <c r="T675" s="4">
        <f t="shared" si="143"/>
      </c>
      <c r="U675" s="4">
        <f t="shared" si="138"/>
        <v/>
      </c>
    </row>
    <row r="676" spans="1:21" x14ac:dyDescent="0.3">
      <c r="A676" s="4">
        <f t="shared" si="139"/>
        <v/>
      </c>
      <c r="B676" s="4">
        <f>IF(C676=1,MAX(B$2:$B675)+1,IF(F676=0,"",B675))</f>
        <v/>
      </c>
      <c r="C676" s="4">
        <f>COUNTIF($F$2:$F676,F676)</f>
      </c>
      <c r="D676" s="4">
        <f>IF(F676=0,0,MAX($D$2:D675)+1)</f>
      </c>
      <c r="E676" s="4">
        <f>IF(H676=0,0,MAX($E$2:E675)+1)</f>
      </c>
      <c r="F676" s="119"/>
      <c r="G676" s="119"/>
      <c r="H676" s="119"/>
      <c r="I676" s="4">
        <f>IFERROR(VLOOKUP(H676,H$2:H675,1,FALSE),VLOOKUP(H676,H$478:H677,1,FALSE))</f>
      </c>
      <c r="J676" s="4">
        <f t="shared" si="132"/>
        <v/>
      </c>
      <c r="K676" s="4">
        <f t="shared" si="133"/>
        <v/>
      </c>
      <c r="L676" s="4">
        <f t="shared" si="134"/>
        <v/>
      </c>
      <c r="M676" s="5">
        <f t="shared" si="140"/>
        <v/>
      </c>
      <c r="N676" s="4">
        <f t="shared" si="135"/>
        <v/>
      </c>
      <c r="O676" s="4"/>
      <c r="P676" s="4">
        <f t="shared" si="136"/>
        <v/>
      </c>
      <c r="Q676" s="4">
        <f t="shared" si="137"/>
        <v/>
      </c>
      <c r="R676" s="4">
        <f t="shared" si="141"/>
      </c>
      <c r="S676" s="4">
        <f t="shared" si="142"/>
      </c>
      <c r="T676" s="4">
        <f t="shared" si="143"/>
      </c>
      <c r="U676" s="4">
        <f t="shared" si="138"/>
        <v/>
      </c>
    </row>
    <row r="677" spans="1:21" x14ac:dyDescent="0.3">
      <c r="A677" s="4">
        <f t="shared" si="139"/>
        <v/>
      </c>
      <c r="B677" s="4">
        <f>IF(C677=1,MAX(B$2:$B676)+1,IF(F677=0,"",B676))</f>
        <v/>
      </c>
      <c r="C677" s="4">
        <f>COUNTIF($F$2:$F677,F677)</f>
      </c>
      <c r="D677" s="4">
        <f>IF(F677=0,0,MAX($D$2:D676)+1)</f>
      </c>
      <c r="E677" s="4">
        <f>IF(H677=0,0,MAX($E$2:E676)+1)</f>
      </c>
      <c r="F677" s="119"/>
      <c r="G677" s="119"/>
      <c r="H677" s="119"/>
      <c r="I677" s="4">
        <f>IFERROR(VLOOKUP(H677,H$2:H676,1,FALSE),VLOOKUP(H677,H$478:H678,1,FALSE))</f>
      </c>
      <c r="J677" s="4">
        <f t="shared" si="132"/>
        <v/>
      </c>
      <c r="K677" s="4">
        <f t="shared" si="133"/>
        <v/>
      </c>
      <c r="L677" s="4">
        <f t="shared" si="134"/>
        <v/>
      </c>
      <c r="M677" s="5">
        <f t="shared" si="140"/>
        <v/>
      </c>
      <c r="N677" s="4">
        <f t="shared" si="135"/>
        <v/>
      </c>
      <c r="O677" s="4"/>
      <c r="P677" s="4">
        <f t="shared" si="136"/>
        <v/>
      </c>
      <c r="Q677" s="4">
        <f t="shared" si="137"/>
        <v/>
      </c>
      <c r="R677" s="4">
        <f t="shared" si="141"/>
      </c>
      <c r="S677" s="4">
        <f t="shared" si="142"/>
      </c>
      <c r="T677" s="4">
        <f t="shared" si="143"/>
      </c>
      <c r="U677" s="4">
        <f t="shared" si="138"/>
        <v/>
      </c>
    </row>
    <row r="678" spans="1:21" x14ac:dyDescent="0.3">
      <c r="A678" s="4">
        <f t="shared" si="139"/>
        <v/>
      </c>
      <c r="B678" s="4">
        <f>IF(C678=1,MAX(B$2:$B677)+1,IF(F678=0,"",B677))</f>
        <v/>
      </c>
      <c r="C678" s="4">
        <f>COUNTIF($F$2:$F678,F678)</f>
      </c>
      <c r="D678" s="4">
        <f>IF(F678=0,0,MAX($D$2:D677)+1)</f>
      </c>
      <c r="E678" s="4">
        <f>IF(H678=0,0,MAX($E$2:E677)+1)</f>
      </c>
      <c r="F678" s="119"/>
      <c r="G678" s="119"/>
      <c r="H678" s="119"/>
      <c r="I678" s="4">
        <f>IFERROR(VLOOKUP(H678,H$2:H677,1,FALSE),VLOOKUP(H678,H$478:H679,1,FALSE))</f>
      </c>
      <c r="J678" s="4">
        <f t="shared" si="132"/>
        <v/>
      </c>
      <c r="K678" s="4">
        <f t="shared" si="133"/>
        <v/>
      </c>
      <c r="L678" s="4">
        <f t="shared" si="134"/>
        <v/>
      </c>
      <c r="M678" s="5">
        <f t="shared" si="140"/>
        <v/>
      </c>
      <c r="N678" s="4">
        <f t="shared" si="135"/>
        <v/>
      </c>
      <c r="O678" s="4"/>
      <c r="P678" s="4">
        <f t="shared" si="136"/>
        <v/>
      </c>
      <c r="Q678" s="4">
        <f t="shared" si="137"/>
        <v/>
      </c>
      <c r="R678" s="4">
        <f t="shared" si="141"/>
      </c>
      <c r="S678" s="4">
        <f t="shared" si="142"/>
      </c>
      <c r="T678" s="4">
        <f t="shared" si="143"/>
      </c>
      <c r="U678" s="4">
        <f t="shared" si="138"/>
        <v/>
      </c>
    </row>
    <row r="679" spans="1:21" x14ac:dyDescent="0.3">
      <c r="A679" s="4">
        <f t="shared" si="139"/>
        <v/>
      </c>
      <c r="B679" s="4">
        <f>IF(C679=1,MAX(B$2:$B678)+1,IF(F679=0,"",B678))</f>
        <v/>
      </c>
      <c r="C679" s="4">
        <f>COUNTIF($F$2:$F679,F679)</f>
      </c>
      <c r="D679" s="4">
        <f>IF(F679=0,0,MAX($D$2:D678)+1)</f>
      </c>
      <c r="E679" s="4">
        <f>IF(H679=0,0,MAX($E$2:E678)+1)</f>
      </c>
      <c r="F679" s="119"/>
      <c r="G679" s="119"/>
      <c r="H679" s="119"/>
      <c r="I679" s="4">
        <f>IFERROR(VLOOKUP(H679,H$2:H678,1,FALSE),VLOOKUP(H679,H$478:H680,1,FALSE))</f>
      </c>
      <c r="J679" s="4">
        <f t="shared" si="132"/>
        <v/>
      </c>
      <c r="K679" s="4">
        <f t="shared" si="133"/>
        <v/>
      </c>
      <c r="L679" s="4">
        <f t="shared" si="134"/>
        <v/>
      </c>
      <c r="M679" s="5">
        <f t="shared" si="140"/>
        <v/>
      </c>
      <c r="N679" s="4">
        <f t="shared" si="135"/>
        <v/>
      </c>
      <c r="O679" s="4"/>
      <c r="P679" s="4">
        <f t="shared" si="136"/>
        <v/>
      </c>
      <c r="Q679" s="4">
        <f t="shared" si="137"/>
        <v/>
      </c>
      <c r="R679" s="4">
        <f t="shared" si="141"/>
      </c>
      <c r="S679" s="4">
        <f t="shared" si="142"/>
      </c>
      <c r="T679" s="4">
        <f t="shared" si="143"/>
      </c>
      <c r="U679" s="4">
        <f t="shared" si="138"/>
        <v/>
      </c>
    </row>
    <row r="680" spans="1:21" x14ac:dyDescent="0.3">
      <c r="A680" s="4">
        <f t="shared" si="139"/>
        <v/>
      </c>
      <c r="B680" s="4">
        <f>IF(C680=1,MAX(B$2:$B679)+1,IF(F680=0,"",B679))</f>
        <v/>
      </c>
      <c r="C680" s="4">
        <f>COUNTIF($F$2:$F680,F680)</f>
      </c>
      <c r="D680" s="4">
        <f>IF(F680=0,0,MAX($D$2:D679)+1)</f>
      </c>
      <c r="E680" s="4">
        <f>IF(H680=0,0,MAX($E$2:E679)+1)</f>
      </c>
      <c r="F680" s="119"/>
      <c r="G680" s="119"/>
      <c r="H680" s="119"/>
      <c r="I680" s="4">
        <f>IFERROR(VLOOKUP(H680,H$2:H679,1,FALSE),VLOOKUP(H680,H$478:H681,1,FALSE))</f>
      </c>
      <c r="J680" s="4">
        <f t="shared" si="132"/>
        <v/>
      </c>
      <c r="K680" s="4">
        <f t="shared" si="133"/>
        <v/>
      </c>
      <c r="L680" s="4">
        <f t="shared" si="134"/>
        <v/>
      </c>
      <c r="M680" s="5">
        <f t="shared" si="140"/>
        <v/>
      </c>
      <c r="N680" s="4">
        <f t="shared" si="135"/>
        <v/>
      </c>
      <c r="O680" s="4"/>
      <c r="P680" s="4">
        <f t="shared" si="136"/>
        <v/>
      </c>
      <c r="Q680" s="4">
        <f t="shared" si="137"/>
        <v/>
      </c>
      <c r="R680" s="4">
        <f t="shared" si="141"/>
      </c>
      <c r="S680" s="4">
        <f t="shared" si="142"/>
      </c>
      <c r="T680" s="4">
        <f t="shared" si="143"/>
      </c>
      <c r="U680" s="4">
        <f t="shared" si="138"/>
        <v/>
      </c>
    </row>
    <row r="681" spans="1:21" x14ac:dyDescent="0.3">
      <c r="A681" s="4">
        <f t="shared" si="139"/>
        <v/>
      </c>
      <c r="B681" s="4">
        <f>IF(C681=1,MAX(B$2:$B680)+1,IF(F681=0,"",B680))</f>
        <v/>
      </c>
      <c r="C681" s="4">
        <f>COUNTIF($F$2:$F681,F681)</f>
      </c>
      <c r="D681" s="4">
        <f>IF(F681=0,0,MAX($D$2:D680)+1)</f>
      </c>
      <c r="E681" s="4">
        <f>IF(H681=0,0,MAX($E$2:E680)+1)</f>
      </c>
      <c r="F681" s="119"/>
      <c r="G681" s="119"/>
      <c r="H681" s="119"/>
      <c r="I681" s="4">
        <f>IFERROR(VLOOKUP(H681,H$2:H680,1,FALSE),VLOOKUP(H681,H$478:H682,1,FALSE))</f>
      </c>
      <c r="J681" s="4">
        <f t="shared" si="132"/>
        <v/>
      </c>
      <c r="K681" s="4">
        <f t="shared" si="133"/>
        <v/>
      </c>
      <c r="L681" s="4">
        <f t="shared" si="134"/>
        <v/>
      </c>
      <c r="M681" s="5">
        <f t="shared" si="140"/>
        <v/>
      </c>
      <c r="N681" s="4">
        <f t="shared" si="135"/>
        <v/>
      </c>
      <c r="O681" s="4"/>
      <c r="P681" s="4">
        <f t="shared" si="136"/>
        <v/>
      </c>
      <c r="Q681" s="4">
        <f t="shared" si="137"/>
        <v/>
      </c>
      <c r="R681" s="4">
        <f t="shared" si="141"/>
      </c>
      <c r="S681" s="4">
        <f t="shared" si="142"/>
      </c>
      <c r="T681" s="4">
        <f t="shared" si="143"/>
      </c>
      <c r="U681" s="4">
        <f t="shared" si="138"/>
        <v/>
      </c>
    </row>
    <row r="682" spans="1:21" ht="15" thickBot="1" x14ac:dyDescent="0.35">
      <c r="A682" s="4">
        <f t="shared" si="139"/>
        <v/>
      </c>
      <c r="B682" s="4">
        <f>IF(C682=1,MAX(B$2:$B681)+1,IF(F682=0,"",B681))</f>
        <v/>
      </c>
      <c r="C682" s="4">
        <f>COUNTIF($F$2:$F682,F682)</f>
      </c>
      <c r="D682" s="4">
        <f>IF(F682=0,0,MAX($D$2:D681)+1)</f>
      </c>
      <c r="E682" s="4">
        <f>IF(H682=0,0,MAX($E$2:E681)+1)</f>
      </c>
      <c r="F682" s="119"/>
      <c r="G682" s="119"/>
      <c r="H682" s="175"/>
      <c r="I682" s="4">
        <f>IFERROR(VLOOKUP(H682,H$2:H681,1,FALSE),VLOOKUP(H682,H$478:H683,1,FALSE))</f>
      </c>
      <c r="J682" s="4">
        <f t="shared" si="132"/>
        <v/>
      </c>
      <c r="K682" s="4">
        <f t="shared" si="133"/>
        <v/>
      </c>
      <c r="L682" s="4">
        <f t="shared" si="134"/>
        <v/>
      </c>
      <c r="M682" s="5">
        <f t="shared" si="140"/>
        <v/>
      </c>
      <c r="N682" s="4">
        <f t="shared" si="135"/>
        <v/>
      </c>
      <c r="O682" s="4"/>
      <c r="P682" s="4">
        <f t="shared" si="136"/>
        <v/>
      </c>
      <c r="Q682" s="4">
        <f t="shared" si="137"/>
        <v/>
      </c>
      <c r="R682" s="4">
        <f t="shared" si="141"/>
      </c>
      <c r="S682" s="4">
        <f t="shared" si="142"/>
      </c>
      <c r="T682" s="4">
        <f t="shared" si="143"/>
      </c>
      <c r="U682" s="4">
        <f t="shared" si="138"/>
        <v/>
      </c>
    </row>
    <row r="683" spans="1:21" x14ac:dyDescent="0.3">
      <c r="A683" s="4">
        <f t="shared" si="139"/>
        <v/>
      </c>
      <c r="B683" s="4">
        <f>IF(C683=1,MAX(B$2:$B682)+1,IF(F683=0,"",B682))</f>
        <v/>
      </c>
      <c r="C683" s="4">
        <f>COUNTIF($F$2:$F683,F683)</f>
      </c>
      <c r="D683" s="4">
        <f>IF(F683=0,0,MAX($D$2:D682)+1)</f>
      </c>
      <c r="E683" s="4">
        <f>IF(H683=0,0,MAX($E$2:E682)+1)</f>
      </c>
      <c r="F683" s="119"/>
      <c r="G683" s="119"/>
      <c r="H683" s="177"/>
      <c r="I683" s="4">
        <f>IFERROR(VLOOKUP(H683,H$2:H682,1,FALSE),VLOOKUP(H683,H$478:H684,1,FALSE))</f>
      </c>
      <c r="J683" s="4">
        <f t="shared" si="132"/>
        <v/>
      </c>
      <c r="K683" s="4">
        <f t="shared" si="133"/>
        <v/>
      </c>
      <c r="L683" s="4">
        <f t="shared" si="134"/>
        <v/>
      </c>
      <c r="M683" s="5">
        <f t="shared" si="140"/>
        <v/>
      </c>
      <c r="N683" s="4">
        <f t="shared" si="135"/>
        <v/>
      </c>
      <c r="O683" s="4"/>
      <c r="P683" s="4">
        <f t="shared" si="136"/>
        <v/>
      </c>
      <c r="Q683" s="4">
        <f t="shared" si="137"/>
        <v/>
      </c>
      <c r="R683" s="4">
        <f t="shared" si="141"/>
      </c>
      <c r="S683" s="4">
        <f t="shared" si="142"/>
      </c>
      <c r="T683" s="4">
        <f t="shared" si="143"/>
      </c>
      <c r="U683" s="4">
        <f t="shared" si="138"/>
        <v/>
      </c>
    </row>
    <row r="684" spans="1:21" x14ac:dyDescent="0.3">
      <c r="A684" s="4">
        <f t="shared" si="139"/>
        <v/>
      </c>
      <c r="B684" s="4">
        <f>IF(C684=1,MAX(B$2:$B683)+1,IF(F684=0,"",B683))</f>
        <v/>
      </c>
      <c r="C684" s="4">
        <f>COUNTIF($F$2:$F684,F684)</f>
      </c>
      <c r="D684" s="4">
        <f>IF(F684=0,0,MAX($D$2:D683)+1)</f>
      </c>
      <c r="E684" s="4">
        <f>IF(H684=0,0,MAX($E$2:E683)+1)</f>
      </c>
      <c r="F684" s="119"/>
      <c r="G684" s="119"/>
      <c r="H684" s="119"/>
      <c r="I684" s="4">
        <f>IFERROR(VLOOKUP(H684,H$2:H683,1,FALSE),VLOOKUP(H684,H$478:H685,1,FALSE))</f>
      </c>
      <c r="J684" s="4">
        <f t="shared" si="132"/>
        <v/>
      </c>
      <c r="K684" s="4">
        <f t="shared" si="133"/>
        <v/>
      </c>
      <c r="L684" s="4">
        <f t="shared" si="134"/>
        <v/>
      </c>
      <c r="M684" s="5">
        <f t="shared" si="140"/>
        <v/>
      </c>
      <c r="N684" s="4">
        <f t="shared" si="135"/>
        <v/>
      </c>
      <c r="O684" s="4"/>
      <c r="P684" s="4">
        <f t="shared" si="136"/>
        <v/>
      </c>
      <c r="Q684" s="4">
        <f t="shared" si="137"/>
        <v/>
      </c>
      <c r="R684" s="4">
        <f t="shared" si="141"/>
      </c>
      <c r="S684" s="4">
        <f t="shared" si="142"/>
      </c>
      <c r="T684" s="4">
        <f t="shared" si="143"/>
      </c>
      <c r="U684" s="4">
        <f t="shared" si="138"/>
        <v/>
      </c>
    </row>
    <row r="685" spans="1:21" x14ac:dyDescent="0.3">
      <c r="A685" s="4">
        <f t="shared" si="139"/>
        <v/>
      </c>
      <c r="B685" s="4">
        <f>IF(C685=1,MAX(B$2:$B684)+1,IF(F685=0,"",B684))</f>
        <v/>
      </c>
      <c r="C685" s="4">
        <f>COUNTIF($F$2:$F685,F685)</f>
      </c>
      <c r="D685" s="4">
        <f>IF(F685=0,0,MAX($D$2:D684)+1)</f>
      </c>
      <c r="E685" s="4">
        <f>IF(H685=0,0,MAX($E$2:E684)+1)</f>
      </c>
      <c r="F685" s="119"/>
      <c r="G685" s="119"/>
      <c r="H685" s="119"/>
      <c r="I685" s="4">
        <f>IFERROR(VLOOKUP(H685,H$2:H684,1,FALSE),VLOOKUP(H685,H$478:H686,1,FALSE))</f>
      </c>
      <c r="J685" s="4">
        <f t="shared" si="132"/>
        <v/>
      </c>
      <c r="K685" s="4">
        <f t="shared" si="133"/>
        <v/>
      </c>
      <c r="L685" s="4">
        <f t="shared" si="134"/>
        <v/>
      </c>
      <c r="M685" s="5">
        <f t="shared" si="140"/>
        <v/>
      </c>
      <c r="N685" s="4">
        <f t="shared" si="135"/>
        <v/>
      </c>
      <c r="O685" s="4"/>
      <c r="P685" s="4">
        <f t="shared" si="136"/>
        <v/>
      </c>
      <c r="Q685" s="4">
        <f t="shared" si="137"/>
        <v/>
      </c>
      <c r="R685" s="4">
        <f t="shared" si="141"/>
      </c>
      <c r="S685" s="4">
        <f t="shared" si="142"/>
      </c>
      <c r="T685" s="4">
        <f t="shared" si="143"/>
      </c>
      <c r="U685" s="4">
        <f t="shared" si="138"/>
        <v/>
      </c>
    </row>
    <row r="686" spans="1:21" x14ac:dyDescent="0.3">
      <c r="A686" s="4">
        <f t="shared" si="139"/>
        <v/>
      </c>
      <c r="B686" s="4">
        <f>IF(C686=1,MAX(B$2:$B685)+1,IF(F686=0,"",B685))</f>
        <v/>
      </c>
      <c r="C686" s="4">
        <f>COUNTIF($F$2:$F686,F686)</f>
      </c>
      <c r="D686" s="4">
        <f>IF(F686=0,0,MAX($D$2:D685)+1)</f>
      </c>
      <c r="E686" s="4">
        <f>IF(H686=0,0,MAX($E$2:E685)+1)</f>
      </c>
      <c r="F686" s="119"/>
      <c r="G686" s="119"/>
      <c r="H686" s="119"/>
      <c r="I686" s="4">
        <f>IFERROR(VLOOKUP(H686,H$2:H685,1,FALSE),VLOOKUP(H686,H$478:H687,1,FALSE))</f>
      </c>
      <c r="J686" s="4">
        <f t="shared" si="132"/>
        <v/>
      </c>
      <c r="K686" s="4">
        <f t="shared" si="133"/>
        <v/>
      </c>
      <c r="L686" s="4">
        <f t="shared" si="134"/>
        <v/>
      </c>
      <c r="M686" s="5">
        <f t="shared" si="140"/>
        <v/>
      </c>
      <c r="N686" s="4">
        <f t="shared" si="135"/>
        <v/>
      </c>
      <c r="O686" s="4"/>
      <c r="P686" s="4">
        <f t="shared" si="136"/>
        <v/>
      </c>
      <c r="Q686" s="4">
        <f t="shared" si="137"/>
        <v/>
      </c>
      <c r="R686" s="4">
        <f t="shared" si="141"/>
      </c>
      <c r="S686" s="4">
        <f t="shared" si="142"/>
      </c>
      <c r="T686" s="4">
        <f t="shared" si="143"/>
      </c>
      <c r="U686" s="4">
        <f t="shared" si="138"/>
        <v/>
      </c>
    </row>
    <row r="687" spans="1:21" x14ac:dyDescent="0.3">
      <c r="A687" s="4">
        <f t="shared" si="139"/>
        <v/>
      </c>
      <c r="B687" s="4">
        <f>IF(C687=1,MAX(B$2:$B686)+1,IF(F687=0,"",B686))</f>
        <v/>
      </c>
      <c r="C687" s="4">
        <f>COUNTIF($F$2:$F687,F687)</f>
      </c>
      <c r="D687" s="4">
        <f>IF(F687=0,0,MAX($D$2:D686)+1)</f>
      </c>
      <c r="E687" s="4">
        <f>IF(H687=0,0,MAX($E$2:E686)+1)</f>
      </c>
      <c r="F687" s="119"/>
      <c r="G687" s="119"/>
      <c r="H687" s="119"/>
      <c r="I687" s="4">
        <f>IFERROR(VLOOKUP(H687,H$2:H686,1,FALSE),VLOOKUP(H687,H$478:H688,1,FALSE))</f>
      </c>
      <c r="J687" s="4">
        <f t="shared" si="132"/>
        <v/>
      </c>
      <c r="K687" s="4">
        <f t="shared" si="133"/>
        <v/>
      </c>
      <c r="L687" s="4">
        <f t="shared" si="134"/>
        <v/>
      </c>
      <c r="M687" s="5">
        <f t="shared" si="140"/>
        <v/>
      </c>
      <c r="N687" s="4">
        <f t="shared" si="135"/>
        <v/>
      </c>
      <c r="O687" s="4"/>
      <c r="P687" s="4">
        <f t="shared" si="136"/>
        <v/>
      </c>
      <c r="Q687" s="4">
        <f t="shared" si="137"/>
        <v/>
      </c>
      <c r="R687" s="4">
        <f t="shared" si="141"/>
      </c>
      <c r="S687" s="4">
        <f t="shared" si="142"/>
      </c>
      <c r="T687" s="4">
        <f t="shared" si="143"/>
      </c>
      <c r="U687" s="4">
        <f t="shared" si="138"/>
        <v/>
      </c>
    </row>
    <row r="688" spans="1:21" x14ac:dyDescent="0.3">
      <c r="A688" s="4">
        <f t="shared" si="139"/>
        <v/>
      </c>
      <c r="B688" s="4">
        <f>IF(C688=1,MAX(B$2:$B687)+1,IF(F688=0,"",B687))</f>
        <v/>
      </c>
      <c r="C688" s="4">
        <f>COUNTIF($F$2:$F688,F688)</f>
      </c>
      <c r="D688" s="4">
        <f>IF(F688=0,0,MAX($D$2:D687)+1)</f>
      </c>
      <c r="E688" s="4">
        <f>IF(H688=0,0,MAX($E$2:E687)+1)</f>
      </c>
      <c r="F688" s="119"/>
      <c r="G688" s="119"/>
      <c r="H688" s="119"/>
      <c r="I688" s="4">
        <f>IFERROR(VLOOKUP(H688,H$2:H687,1,FALSE),VLOOKUP(H688,H$478:H689,1,FALSE))</f>
      </c>
      <c r="J688" s="4">
        <f t="shared" si="132"/>
        <v/>
      </c>
      <c r="K688" s="4">
        <f t="shared" si="133"/>
        <v/>
      </c>
      <c r="L688" s="4">
        <f t="shared" si="134"/>
        <v/>
      </c>
      <c r="M688" s="5">
        <f t="shared" si="140"/>
        <v/>
      </c>
      <c r="N688" s="4">
        <f t="shared" si="135"/>
        <v/>
      </c>
      <c r="O688" s="4"/>
      <c r="P688" s="4">
        <f t="shared" si="136"/>
        <v/>
      </c>
      <c r="Q688" s="4">
        <f t="shared" si="137"/>
        <v/>
      </c>
      <c r="R688" s="4">
        <f t="shared" si="141"/>
      </c>
      <c r="S688" s="4">
        <f t="shared" si="142"/>
      </c>
      <c r="T688" s="4">
        <f t="shared" si="143"/>
      </c>
      <c r="U688" s="4">
        <f t="shared" si="138"/>
        <v/>
      </c>
    </row>
    <row r="689" spans="1:21" x14ac:dyDescent="0.3">
      <c r="A689" s="4">
        <f t="shared" si="139"/>
        <v/>
      </c>
      <c r="B689" s="4">
        <f>IF(C689=1,MAX(B$2:$B688)+1,IF(F689=0,"",B688))</f>
        <v/>
      </c>
      <c r="C689" s="4">
        <f>COUNTIF($F$2:$F689,F689)</f>
      </c>
      <c r="D689" s="4">
        <f>IF(F689=0,0,MAX($D$2:D688)+1)</f>
      </c>
      <c r="E689" s="4">
        <f>IF(H689=0,0,MAX($E$2:E688)+1)</f>
      </c>
      <c r="F689" s="119"/>
      <c r="G689" s="119"/>
      <c r="H689" s="119"/>
      <c r="I689" s="4">
        <f>IFERROR(VLOOKUP(H689,H$2:H688,1,FALSE),VLOOKUP(H689,H$478:H690,1,FALSE))</f>
      </c>
      <c r="J689" s="4">
        <f t="shared" si="132"/>
        <v/>
      </c>
      <c r="K689" s="4">
        <f t="shared" si="133"/>
        <v/>
      </c>
      <c r="L689" s="4">
        <f t="shared" si="134"/>
        <v/>
      </c>
      <c r="M689" s="5">
        <f t="shared" si="140"/>
        <v/>
      </c>
      <c r="N689" s="4">
        <f t="shared" si="135"/>
        <v/>
      </c>
      <c r="O689" s="4"/>
      <c r="P689" s="4">
        <f t="shared" si="136"/>
        <v/>
      </c>
      <c r="Q689" s="4">
        <f t="shared" si="137"/>
        <v/>
      </c>
      <c r="R689" s="4">
        <f t="shared" si="141"/>
      </c>
      <c r="S689" s="4">
        <f t="shared" si="142"/>
      </c>
      <c r="T689" s="4">
        <f t="shared" si="143"/>
      </c>
      <c r="U689" s="4">
        <f t="shared" si="138"/>
        <v/>
      </c>
    </row>
    <row r="690" spans="1:21" x14ac:dyDescent="0.3">
      <c r="A690" s="4">
        <f t="shared" si="139"/>
        <v/>
      </c>
      <c r="B690" s="4">
        <f>IF(C690=1,MAX(B$2:$B689)+1,IF(F690=0,"",B689))</f>
        <v/>
      </c>
      <c r="C690" s="4">
        <f>COUNTIF($F$2:$F690,F690)</f>
      </c>
      <c r="D690" s="4">
        <f>IF(F690=0,0,MAX($D$2:D689)+1)</f>
      </c>
      <c r="E690" s="4">
        <f>IF(H690=0,0,MAX($E$2:E689)+1)</f>
      </c>
      <c r="F690" s="119"/>
      <c r="G690" s="119"/>
      <c r="H690" s="119"/>
      <c r="I690" s="4">
        <f>IFERROR(VLOOKUP(H690,H$2:H689,1,FALSE),VLOOKUP(H690,H$478:H691,1,FALSE))</f>
      </c>
      <c r="J690" s="4">
        <f t="shared" si="132"/>
        <v/>
      </c>
      <c r="K690" s="4">
        <f t="shared" si="133"/>
        <v/>
      </c>
      <c r="L690" s="4">
        <f t="shared" si="134"/>
        <v/>
      </c>
      <c r="M690" s="5">
        <f t="shared" si="140"/>
        <v/>
      </c>
      <c r="N690" s="4">
        <f t="shared" si="135"/>
        <v/>
      </c>
      <c r="O690" s="4"/>
      <c r="P690" s="4">
        <f t="shared" si="136"/>
        <v/>
      </c>
      <c r="Q690" s="4">
        <f t="shared" si="137"/>
        <v/>
      </c>
      <c r="R690" s="4">
        <f t="shared" si="141"/>
      </c>
      <c r="S690" s="4">
        <f t="shared" si="142"/>
      </c>
      <c r="T690" s="4">
        <f t="shared" si="143"/>
      </c>
      <c r="U690" s="4">
        <f t="shared" si="138"/>
        <v/>
      </c>
    </row>
    <row r="691" spans="1:21" x14ac:dyDescent="0.3">
      <c r="A691" s="4">
        <f t="shared" si="139"/>
        <v/>
      </c>
      <c r="B691" s="4">
        <f>IF(C691=1,MAX(B$2:$B690)+1,IF(F691=0,"",B690))</f>
        <v/>
      </c>
      <c r="C691" s="4">
        <f>COUNTIF($F$2:$F691,F691)</f>
      </c>
      <c r="D691" s="4">
        <f>IF(F691=0,0,MAX($D$2:D690)+1)</f>
      </c>
      <c r="E691" s="4">
        <f>IF(H691=0,0,MAX($E$2:E690)+1)</f>
      </c>
      <c r="F691" s="119"/>
      <c r="G691" s="119"/>
      <c r="H691" s="119"/>
      <c r="I691" s="4">
        <f>IFERROR(VLOOKUP(H691,H$2:H690,1,FALSE),VLOOKUP(H691,H$478:H692,1,FALSE))</f>
      </c>
      <c r="J691" s="4">
        <f t="shared" si="132"/>
        <v/>
      </c>
      <c r="K691" s="4">
        <f t="shared" si="133"/>
        <v/>
      </c>
      <c r="L691" s="4">
        <f t="shared" si="134"/>
        <v/>
      </c>
      <c r="M691" s="5">
        <f t="shared" si="140"/>
        <v/>
      </c>
      <c r="N691" s="4">
        <f t="shared" si="135"/>
        <v/>
      </c>
      <c r="O691" s="4"/>
      <c r="P691" s="4">
        <f t="shared" si="136"/>
        <v/>
      </c>
      <c r="Q691" s="4">
        <f t="shared" si="137"/>
        <v/>
      </c>
      <c r="R691" s="4">
        <f t="shared" si="141"/>
      </c>
      <c r="S691" s="4">
        <f t="shared" si="142"/>
      </c>
      <c r="T691" s="4">
        <f t="shared" si="143"/>
      </c>
      <c r="U691" s="4">
        <f t="shared" si="138"/>
        <v/>
      </c>
    </row>
    <row r="692" spans="1:21" x14ac:dyDescent="0.3">
      <c r="A692" s="4">
        <f t="shared" si="139"/>
        <v/>
      </c>
      <c r="B692" s="4">
        <f>IF(C692=1,MAX(B$2:$B691)+1,IF(F692=0,"",B691))</f>
        <v/>
      </c>
      <c r="C692" s="4">
        <f>COUNTIF($F$2:$F692,F692)</f>
      </c>
      <c r="D692" s="4">
        <f>IF(F692=0,0,MAX($D$2:D691)+1)</f>
      </c>
      <c r="E692" s="4">
        <f>IF(H692=0,0,MAX($E$2:E691)+1)</f>
      </c>
      <c r="F692" s="119"/>
      <c r="G692" s="119"/>
      <c r="H692" s="119"/>
      <c r="I692" s="4">
        <f>IFERROR(VLOOKUP(H692,H$2:H691,1,FALSE),VLOOKUP(H692,H$478:H693,1,FALSE))</f>
      </c>
      <c r="J692" s="4">
        <f t="shared" si="132"/>
        <v/>
      </c>
      <c r="K692" s="4">
        <f t="shared" si="133"/>
        <v/>
      </c>
      <c r="L692" s="4">
        <f t="shared" si="134"/>
        <v/>
      </c>
      <c r="M692" s="5">
        <f t="shared" si="140"/>
        <v/>
      </c>
      <c r="N692" s="4">
        <f t="shared" si="135"/>
        <v/>
      </c>
      <c r="O692" s="4"/>
      <c r="P692" s="4">
        <f t="shared" si="136"/>
        <v/>
      </c>
      <c r="Q692" s="4">
        <f t="shared" si="137"/>
        <v/>
      </c>
      <c r="R692" s="4">
        <f t="shared" si="141"/>
      </c>
      <c r="S692" s="4">
        <f t="shared" si="142"/>
      </c>
      <c r="T692" s="4">
        <f t="shared" si="143"/>
      </c>
      <c r="U692" s="4">
        <f t="shared" si="138"/>
        <v/>
      </c>
    </row>
    <row r="693" spans="1:21" x14ac:dyDescent="0.3">
      <c r="A693" s="4">
        <f t="shared" si="139"/>
        <v/>
      </c>
      <c r="B693" s="4">
        <f>IF(C693=1,MAX(B$2:$B692)+1,IF(F693=0,"",B692))</f>
        <v/>
      </c>
      <c r="C693" s="4">
        <f>COUNTIF($F$2:$F693,F693)</f>
      </c>
      <c r="D693" s="4">
        <f>IF(F693=0,0,MAX($D$2:D692)+1)</f>
      </c>
      <c r="E693" s="4">
        <f>IF(H693=0,0,MAX($E$2:E692)+1)</f>
      </c>
      <c r="F693" s="119"/>
      <c r="G693" s="119"/>
      <c r="H693" s="119"/>
      <c r="I693" s="4">
        <f>IFERROR(VLOOKUP(H693,H$2:H692,1,FALSE),VLOOKUP(H693,H$478:H694,1,FALSE))</f>
      </c>
      <c r="J693" s="4">
        <f t="shared" si="132"/>
        <v/>
      </c>
      <c r="K693" s="4">
        <f t="shared" si="133"/>
        <v/>
      </c>
      <c r="L693" s="4">
        <f t="shared" si="134"/>
        <v/>
      </c>
      <c r="M693" s="5">
        <f t="shared" si="140"/>
        <v/>
      </c>
      <c r="N693" s="4">
        <f t="shared" si="135"/>
        <v/>
      </c>
      <c r="O693" s="4"/>
      <c r="P693" s="4">
        <f t="shared" si="136"/>
        <v/>
      </c>
      <c r="Q693" s="4">
        <f t="shared" si="137"/>
        <v/>
      </c>
      <c r="R693" s="4">
        <f t="shared" si="141"/>
      </c>
      <c r="S693" s="4">
        <f t="shared" si="142"/>
      </c>
      <c r="T693" s="4">
        <f t="shared" si="143"/>
      </c>
      <c r="U693" s="4">
        <f t="shared" si="138"/>
        <v/>
      </c>
    </row>
    <row r="694" spans="1:21" x14ac:dyDescent="0.3">
      <c r="A694" s="4">
        <f t="shared" si="139"/>
        <v/>
      </c>
      <c r="B694" s="4">
        <f>IF(C694=1,MAX(B$2:$B693)+1,IF(F694=0,"",B693))</f>
        <v/>
      </c>
      <c r="C694" s="4">
        <f>COUNTIF($F$2:$F694,F694)</f>
      </c>
      <c r="D694" s="4">
        <f>IF(F694=0,0,MAX($D$2:D693)+1)</f>
      </c>
      <c r="E694" s="4">
        <f>IF(H694=0,0,MAX($E$2:E693)+1)</f>
      </c>
      <c r="F694" s="119"/>
      <c r="G694" s="119"/>
      <c r="H694" s="119"/>
      <c r="I694" s="4">
        <f>IFERROR(VLOOKUP(H694,H$2:H693,1,FALSE),VLOOKUP(H694,H$478:H695,1,FALSE))</f>
      </c>
      <c r="J694" s="4">
        <f t="shared" si="132"/>
        <v/>
      </c>
      <c r="K694" s="4">
        <f t="shared" si="133"/>
        <v/>
      </c>
      <c r="L694" s="4">
        <f t="shared" si="134"/>
        <v/>
      </c>
      <c r="M694" s="5">
        <f t="shared" si="140"/>
        <v/>
      </c>
      <c r="N694" s="4">
        <f t="shared" si="135"/>
        <v/>
      </c>
      <c r="O694" s="4"/>
      <c r="P694" s="4">
        <f t="shared" si="136"/>
        <v/>
      </c>
      <c r="Q694" s="4">
        <f t="shared" si="137"/>
        <v/>
      </c>
      <c r="R694" s="4">
        <f t="shared" si="141"/>
      </c>
      <c r="S694" s="4">
        <f t="shared" si="142"/>
      </c>
      <c r="T694" s="4">
        <f t="shared" si="143"/>
      </c>
      <c r="U694" s="4">
        <f t="shared" si="138"/>
        <v/>
      </c>
    </row>
    <row r="695" spans="1:21" x14ac:dyDescent="0.3">
      <c r="A695" s="4">
        <f t="shared" si="139"/>
        <v/>
      </c>
      <c r="B695" s="4">
        <f>IF(C695=1,MAX(B$2:$B694)+1,IF(F695=0,"",B694))</f>
        <v/>
      </c>
      <c r="C695" s="4">
        <f>COUNTIF($F$2:$F695,F695)</f>
      </c>
      <c r="D695" s="4">
        <f>IF(F695=0,0,MAX($D$2:D694)+1)</f>
      </c>
      <c r="E695" s="4">
        <f>IF(H695=0,0,MAX($E$2:E694)+1)</f>
      </c>
      <c r="F695" s="119"/>
      <c r="G695" s="119"/>
      <c r="H695" s="119"/>
      <c r="I695" s="4">
        <f>IFERROR(VLOOKUP(H695,H$2:H694,1,FALSE),VLOOKUP(H695,H$478:H696,1,FALSE))</f>
      </c>
      <c r="J695" s="4">
        <f t="shared" si="132"/>
        <v/>
      </c>
      <c r="K695" s="4">
        <f t="shared" si="133"/>
        <v/>
      </c>
      <c r="L695" s="4">
        <f t="shared" si="134"/>
        <v/>
      </c>
      <c r="M695" s="5">
        <f t="shared" si="140"/>
        <v/>
      </c>
      <c r="N695" s="4">
        <f t="shared" si="135"/>
        <v/>
      </c>
      <c r="O695" s="4"/>
      <c r="P695" s="4">
        <f t="shared" si="136"/>
        <v/>
      </c>
      <c r="Q695" s="4">
        <f t="shared" si="137"/>
        <v/>
      </c>
      <c r="R695" s="4">
        <f t="shared" si="141"/>
      </c>
      <c r="S695" s="4">
        <f t="shared" si="142"/>
      </c>
      <c r="T695" s="4">
        <f t="shared" si="143"/>
      </c>
      <c r="U695" s="4">
        <f t="shared" si="138"/>
        <v/>
      </c>
    </row>
    <row r="696" spans="1:21" x14ac:dyDescent="0.3">
      <c r="A696" s="4">
        <f t="shared" si="139"/>
        <v/>
      </c>
      <c r="B696" s="4">
        <f>IF(C696=1,MAX(B$2:$B695)+1,IF(F696=0,"",B695))</f>
        <v/>
      </c>
      <c r="C696" s="4">
        <f>COUNTIF($F$2:$F696,F696)</f>
      </c>
      <c r="D696" s="4">
        <f>IF(F696=0,0,MAX($D$2:D695)+1)</f>
      </c>
      <c r="E696" s="4">
        <f>IF(H696=0,0,MAX($E$2:E695)+1)</f>
      </c>
      <c r="F696" s="119"/>
      <c r="G696" s="119"/>
      <c r="H696" s="119"/>
      <c r="I696" s="4">
        <f>IFERROR(VLOOKUP(H696,H$2:H695,1,FALSE),VLOOKUP(H696,H$478:H697,1,FALSE))</f>
      </c>
      <c r="J696" s="4">
        <f t="shared" si="132"/>
        <v/>
      </c>
      <c r="K696" s="4">
        <f t="shared" si="133"/>
        <v/>
      </c>
      <c r="L696" s="4">
        <f t="shared" si="134"/>
        <v/>
      </c>
      <c r="M696" s="5">
        <f t="shared" si="140"/>
        <v/>
      </c>
      <c r="N696" s="4">
        <f t="shared" si="135"/>
        <v/>
      </c>
      <c r="O696" s="4"/>
      <c r="P696" s="4">
        <f t="shared" si="136"/>
        <v/>
      </c>
      <c r="Q696" s="4">
        <f t="shared" si="137"/>
        <v/>
      </c>
      <c r="R696" s="4">
        <f t="shared" si="141"/>
      </c>
      <c r="S696" s="4">
        <f t="shared" si="142"/>
      </c>
      <c r="T696" s="4">
        <f t="shared" si="143"/>
      </c>
      <c r="U696" s="4">
        <f t="shared" si="138"/>
        <v/>
      </c>
    </row>
    <row r="697" spans="1:21" x14ac:dyDescent="0.3">
      <c r="A697" s="4">
        <f t="shared" si="139"/>
        <v/>
      </c>
      <c r="B697" s="4">
        <f>IF(C697=1,MAX(B$2:$B696)+1,IF(F697=0,"",B696))</f>
        <v/>
      </c>
      <c r="C697" s="4">
        <f>COUNTIF($F$2:$F697,F697)</f>
      </c>
      <c r="D697" s="4">
        <f>IF(F697=0,0,MAX($D$2:D696)+1)</f>
      </c>
      <c r="E697" s="4">
        <f>IF(H697=0,0,MAX($E$2:E696)+1)</f>
      </c>
      <c r="F697" s="119"/>
      <c r="G697" s="119"/>
      <c r="H697" s="119"/>
      <c r="I697" s="4">
        <f>IFERROR(VLOOKUP(H697,H$2:H696,1,FALSE),VLOOKUP(H697,H$478:H698,1,FALSE))</f>
      </c>
      <c r="J697" s="4">
        <f t="shared" si="132"/>
        <v/>
      </c>
      <c r="K697" s="4">
        <f t="shared" si="133"/>
        <v/>
      </c>
      <c r="L697" s="4">
        <f t="shared" si="134"/>
        <v/>
      </c>
      <c r="M697" s="5">
        <f t="shared" si="140"/>
        <v/>
      </c>
      <c r="N697" s="4">
        <f t="shared" si="135"/>
        <v/>
      </c>
      <c r="O697" s="4"/>
      <c r="P697" s="4">
        <f t="shared" si="136"/>
        <v/>
      </c>
      <c r="Q697" s="4">
        <f t="shared" si="137"/>
        <v/>
      </c>
      <c r="R697" s="4">
        <f t="shared" si="141"/>
      </c>
      <c r="S697" s="4">
        <f t="shared" si="142"/>
      </c>
      <c r="T697" s="4">
        <f t="shared" si="143"/>
      </c>
      <c r="U697" s="4">
        <f t="shared" si="138"/>
        <v/>
      </c>
    </row>
    <row r="698" spans="1:21" x14ac:dyDescent="0.3">
      <c r="A698" s="4">
        <f t="shared" si="139"/>
        <v/>
      </c>
      <c r="B698" s="4">
        <f>IF(C698=1,MAX(B$2:$B697)+1,IF(F698=0,"",B697))</f>
        <v/>
      </c>
      <c r="C698" s="4">
        <f>COUNTIF($F$2:$F698,F698)</f>
      </c>
      <c r="D698" s="4">
        <f>IF(F698=0,0,MAX($D$2:D697)+1)</f>
      </c>
      <c r="E698" s="4">
        <f>IF(H698=0,0,MAX($E$2:E697)+1)</f>
      </c>
      <c r="F698" s="119"/>
      <c r="G698" s="119"/>
      <c r="H698" s="119"/>
      <c r="I698" s="4">
        <f>IFERROR(VLOOKUP(H698,H$2:H697,1,FALSE),VLOOKUP(H698,H$478:H699,1,FALSE))</f>
      </c>
      <c r="J698" s="4">
        <f t="shared" si="132"/>
        <v/>
      </c>
      <c r="K698" s="4">
        <f t="shared" si="133"/>
        <v/>
      </c>
      <c r="L698" s="4">
        <f t="shared" si="134"/>
        <v/>
      </c>
      <c r="M698" s="5">
        <f t="shared" si="140"/>
        <v/>
      </c>
      <c r="N698" s="4">
        <f t="shared" si="135"/>
        <v/>
      </c>
      <c r="O698" s="4"/>
      <c r="P698" s="4">
        <f t="shared" si="136"/>
        <v/>
      </c>
      <c r="Q698" s="4">
        <f t="shared" si="137"/>
        <v/>
      </c>
      <c r="R698" s="4">
        <f t="shared" si="141"/>
      </c>
      <c r="S698" s="4">
        <f t="shared" si="142"/>
      </c>
      <c r="T698" s="4">
        <f t="shared" si="143"/>
      </c>
      <c r="U698" s="4">
        <f t="shared" si="138"/>
        <v/>
      </c>
    </row>
    <row r="699" spans="1:21" ht="15" thickBot="1" x14ac:dyDescent="0.35">
      <c r="A699" s="4">
        <f t="shared" si="139"/>
        <v/>
      </c>
      <c r="B699" s="4">
        <f>IF(C699=1,MAX(B$2:$B698)+1,IF(F699=0,"",B698))</f>
        <v/>
      </c>
      <c r="C699" s="4">
        <f>COUNTIF($F$2:$F699,F699)</f>
      </c>
      <c r="D699" s="4">
        <f>IF(F699=0,0,MAX($D$2:D698)+1)</f>
      </c>
      <c r="E699" s="4">
        <f>IF(H699=0,0,MAX($E$2:E698)+1)</f>
      </c>
      <c r="F699" s="119"/>
      <c r="G699" s="119"/>
      <c r="H699" s="175"/>
      <c r="I699" s="4">
        <f>IFERROR(VLOOKUP(H699,H$2:H698,1,FALSE),VLOOKUP(H699,H$478:H700,1,FALSE))</f>
      </c>
      <c r="J699" s="4">
        <f t="shared" si="132"/>
        <v/>
      </c>
      <c r="K699" s="4">
        <f t="shared" si="133"/>
        <v/>
      </c>
      <c r="L699" s="4">
        <f t="shared" si="134"/>
        <v/>
      </c>
      <c r="M699" s="5">
        <f t="shared" si="140"/>
        <v/>
      </c>
      <c r="N699" s="4">
        <f t="shared" si="135"/>
        <v/>
      </c>
      <c r="O699" s="4"/>
      <c r="P699" s="4">
        <f t="shared" si="136"/>
        <v/>
      </c>
      <c r="Q699" s="4">
        <f t="shared" si="137"/>
        <v/>
      </c>
      <c r="R699" s="4">
        <f t="shared" si="141"/>
      </c>
      <c r="S699" s="4">
        <f t="shared" si="142"/>
      </c>
      <c r="T699" s="4">
        <f t="shared" si="143"/>
      </c>
      <c r="U699" s="4">
        <f t="shared" si="138"/>
        <v/>
      </c>
    </row>
    <row r="700" spans="1:21" x14ac:dyDescent="0.3">
      <c r="A700" s="4">
        <f t="shared" si="139"/>
        <v/>
      </c>
      <c r="B700" s="4">
        <f>IF(C700=1,MAX(B$2:$B699)+1,IF(F700=0,"",B699))</f>
        <v/>
      </c>
      <c r="C700" s="4">
        <f>COUNTIF($F$2:$F700,F700)</f>
      </c>
      <c r="D700" s="4">
        <f>IF(F700=0,0,MAX($D$2:D699)+1)</f>
      </c>
      <c r="E700" s="4">
        <f>IF(H700=0,0,MAX($E$2:E699)+1)</f>
      </c>
      <c r="F700" s="119"/>
      <c r="G700" s="119"/>
      <c r="H700" s="177"/>
      <c r="I700" s="4">
        <f>IFERROR(VLOOKUP(H700,H$2:H699,1,FALSE),VLOOKUP(H700,H$478:H701,1,FALSE))</f>
      </c>
      <c r="J700" s="4">
        <f t="shared" si="132"/>
        <v/>
      </c>
      <c r="K700" s="4">
        <f t="shared" si="133"/>
        <v/>
      </c>
      <c r="L700" s="4">
        <f t="shared" si="134"/>
        <v/>
      </c>
      <c r="M700" s="5">
        <f t="shared" si="140"/>
        <v/>
      </c>
      <c r="N700" s="4">
        <f t="shared" si="135"/>
        <v/>
      </c>
      <c r="O700" s="4"/>
      <c r="P700" s="4">
        <f t="shared" si="136"/>
        <v/>
      </c>
      <c r="Q700" s="4">
        <f t="shared" si="137"/>
        <v/>
      </c>
      <c r="R700" s="4">
        <f t="shared" si="141"/>
      </c>
      <c r="S700" s="4">
        <f t="shared" si="142"/>
      </c>
      <c r="T700" s="4">
        <f t="shared" si="143"/>
      </c>
      <c r="U700" s="4">
        <f t="shared" si="138"/>
        <v/>
      </c>
    </row>
    <row r="701" spans="1:21" x14ac:dyDescent="0.3">
      <c r="A701" s="4">
        <f t="shared" si="139"/>
        <v/>
      </c>
      <c r="B701" s="4">
        <f>IF(C701=1,MAX(B$2:$B700)+1,IF(F701=0,"",B700))</f>
        <v/>
      </c>
      <c r="C701" s="4">
        <f>COUNTIF($F$2:$F701,F701)</f>
      </c>
      <c r="D701" s="4">
        <f>IF(F701=0,0,MAX($D$2:D700)+1)</f>
      </c>
      <c r="E701" s="4">
        <f>IF(H701=0,0,MAX($E$2:E700)+1)</f>
      </c>
      <c r="F701" s="119"/>
      <c r="G701" s="119"/>
      <c r="H701" s="119"/>
      <c r="I701" s="4">
        <f>IFERROR(VLOOKUP(H701,H$2:H700,1,FALSE),VLOOKUP(H701,H$478:H702,1,FALSE))</f>
      </c>
      <c r="J701" s="4">
        <f t="shared" si="132"/>
        <v/>
      </c>
      <c r="K701" s="4">
        <f t="shared" si="133"/>
        <v/>
      </c>
      <c r="L701" s="4">
        <f t="shared" si="134"/>
        <v/>
      </c>
      <c r="M701" s="5">
        <f t="shared" si="140"/>
        <v/>
      </c>
      <c r="N701" s="4">
        <f t="shared" si="135"/>
        <v/>
      </c>
      <c r="O701" s="4"/>
      <c r="P701" s="4">
        <f t="shared" si="136"/>
        <v/>
      </c>
      <c r="Q701" s="4">
        <f t="shared" si="137"/>
        <v/>
      </c>
      <c r="R701" s="4">
        <f t="shared" si="141"/>
      </c>
      <c r="S701" s="4">
        <f t="shared" si="142"/>
      </c>
      <c r="T701" s="4">
        <f t="shared" si="143"/>
      </c>
      <c r="U701" s="4">
        <f t="shared" si="138"/>
        <v/>
      </c>
    </row>
    <row r="702" spans="1:21" x14ac:dyDescent="0.3">
      <c r="A702" s="4">
        <f t="shared" si="139"/>
        <v/>
      </c>
      <c r="B702" s="4">
        <f>IF(C702=1,MAX(B$2:$B701)+1,IF(F702=0,"",B701))</f>
        <v/>
      </c>
      <c r="C702" s="4">
        <f>COUNTIF($F$2:$F702,F702)</f>
      </c>
      <c r="D702" s="4">
        <f>IF(F702=0,0,MAX($D$2:D701)+1)</f>
      </c>
      <c r="E702" s="4">
        <f>IF(H702=0,0,MAX($E$2:E701)+1)</f>
      </c>
      <c r="F702" s="119"/>
      <c r="G702" s="119"/>
      <c r="H702" s="119"/>
      <c r="I702" s="4">
        <f>IFERROR(VLOOKUP(H702,H$2:H701,1,FALSE),VLOOKUP(H702,H$478:H703,1,FALSE))</f>
      </c>
      <c r="J702" s="4">
        <f t="shared" si="132"/>
        <v/>
      </c>
      <c r="K702" s="4">
        <f t="shared" si="133"/>
        <v/>
      </c>
      <c r="L702" s="4">
        <f t="shared" si="134"/>
        <v/>
      </c>
      <c r="M702" s="5">
        <f t="shared" si="140"/>
        <v/>
      </c>
      <c r="N702" s="4">
        <f t="shared" si="135"/>
        <v/>
      </c>
      <c r="O702" s="4"/>
      <c r="P702" s="4">
        <f t="shared" si="136"/>
        <v/>
      </c>
      <c r="Q702" s="4">
        <f t="shared" si="137"/>
        <v/>
      </c>
      <c r="R702" s="4">
        <f t="shared" si="141"/>
      </c>
      <c r="S702" s="4">
        <f t="shared" si="142"/>
      </c>
      <c r="T702" s="4">
        <f t="shared" si="143"/>
      </c>
      <c r="U702" s="4">
        <f t="shared" si="138"/>
        <v/>
      </c>
    </row>
    <row r="703" spans="1:21" x14ac:dyDescent="0.3">
      <c r="A703" s="4">
        <f t="shared" si="139"/>
        <v/>
      </c>
      <c r="B703" s="4">
        <f>IF(C703=1,MAX(B$2:$B702)+1,IF(F703=0,"",B702))</f>
        <v/>
      </c>
      <c r="C703" s="4">
        <f>COUNTIF($F$2:$F703,F703)</f>
      </c>
      <c r="D703" s="4">
        <f>IF(F703=0,0,MAX($D$2:D702)+1)</f>
      </c>
      <c r="E703" s="4">
        <f>IF(H703=0,0,MAX($E$2:E702)+1)</f>
      </c>
      <c r="F703" s="119"/>
      <c r="G703" s="119"/>
      <c r="H703" s="119"/>
      <c r="I703" s="4">
        <f>IFERROR(VLOOKUP(H703,H$2:H702,1,FALSE),VLOOKUP(H703,H$478:H704,1,FALSE))</f>
      </c>
      <c r="J703" s="4">
        <f t="shared" si="132"/>
        <v/>
      </c>
      <c r="K703" s="4">
        <f t="shared" si="133"/>
        <v/>
      </c>
      <c r="L703" s="4">
        <f t="shared" si="134"/>
        <v/>
      </c>
      <c r="M703" s="5">
        <f t="shared" si="140"/>
        <v/>
      </c>
      <c r="N703" s="4">
        <f t="shared" si="135"/>
        <v/>
      </c>
      <c r="O703" s="4"/>
      <c r="P703" s="4">
        <f t="shared" si="136"/>
        <v/>
      </c>
      <c r="Q703" s="4">
        <f t="shared" si="137"/>
        <v/>
      </c>
      <c r="R703" s="4">
        <f t="shared" si="141"/>
      </c>
      <c r="S703" s="4">
        <f t="shared" si="142"/>
      </c>
      <c r="T703" s="4">
        <f t="shared" si="143"/>
      </c>
      <c r="U703" s="4">
        <f t="shared" si="138"/>
        <v/>
      </c>
    </row>
    <row r="704" spans="1:21" x14ac:dyDescent="0.3">
      <c r="A704" s="4">
        <f t="shared" si="139"/>
        <v/>
      </c>
      <c r="B704" s="4">
        <f>IF(C704=1,MAX(B$2:$B703)+1,IF(F704=0,"",B703))</f>
        <v/>
      </c>
      <c r="C704" s="4">
        <f>COUNTIF($F$2:$F704,F704)</f>
      </c>
      <c r="D704" s="4">
        <f>IF(F704=0,0,MAX($D$2:D703)+1)</f>
      </c>
      <c r="E704" s="4">
        <f>IF(H704=0,0,MAX($E$2:E703)+1)</f>
      </c>
      <c r="F704" s="119"/>
      <c r="G704" s="119"/>
      <c r="H704" s="119"/>
      <c r="I704" s="4">
        <f>IFERROR(VLOOKUP(H704,H$2:H703,1,FALSE),VLOOKUP(H704,H$478:H705,1,FALSE))</f>
      </c>
      <c r="J704" s="4">
        <f t="shared" si="132"/>
        <v/>
      </c>
      <c r="K704" s="4">
        <f t="shared" si="133"/>
        <v/>
      </c>
      <c r="L704" s="4">
        <f t="shared" si="134"/>
        <v/>
      </c>
      <c r="M704" s="5">
        <f t="shared" si="140"/>
        <v/>
      </c>
      <c r="N704" s="4">
        <f t="shared" si="135"/>
        <v/>
      </c>
      <c r="O704" s="4"/>
      <c r="P704" s="4">
        <f t="shared" si="136"/>
        <v/>
      </c>
      <c r="Q704" s="4">
        <f t="shared" si="137"/>
        <v/>
      </c>
      <c r="R704" s="4">
        <f t="shared" si="141"/>
      </c>
      <c r="S704" s="4">
        <f t="shared" si="142"/>
      </c>
      <c r="T704" s="4">
        <f t="shared" si="143"/>
      </c>
      <c r="U704" s="4">
        <f t="shared" si="138"/>
        <v/>
      </c>
    </row>
    <row r="705" spans="1:21" x14ac:dyDescent="0.3">
      <c r="A705" s="4">
        <f t="shared" si="139"/>
        <v/>
      </c>
      <c r="B705" s="4">
        <f>IF(C705=1,MAX(B$2:$B704)+1,IF(F705=0,"",B704))</f>
        <v/>
      </c>
      <c r="C705" s="4">
        <f>COUNTIF($F$2:$F705,F705)</f>
      </c>
      <c r="D705" s="4">
        <f>IF(F705=0,0,MAX($D$2:D704)+1)</f>
      </c>
      <c r="E705" s="4">
        <f>IF(H705=0,0,MAX($E$2:E704)+1)</f>
      </c>
      <c r="F705" s="119"/>
      <c r="G705" s="119"/>
      <c r="H705" s="119"/>
      <c r="I705" s="4">
        <f>IFERROR(VLOOKUP(H705,H$2:H704,1,FALSE),VLOOKUP(H705,H$478:H706,1,FALSE))</f>
      </c>
      <c r="J705" s="4">
        <f t="shared" si="132"/>
        <v/>
      </c>
      <c r="K705" s="4">
        <f t="shared" si="133"/>
        <v/>
      </c>
      <c r="L705" s="4">
        <f t="shared" si="134"/>
        <v/>
      </c>
      <c r="M705" s="5">
        <f t="shared" si="140"/>
        <v/>
      </c>
      <c r="N705" s="4">
        <f t="shared" si="135"/>
        <v/>
      </c>
      <c r="O705" s="4"/>
      <c r="P705" s="4">
        <f t="shared" si="136"/>
        <v/>
      </c>
      <c r="Q705" s="4">
        <f t="shared" si="137"/>
        <v/>
      </c>
      <c r="R705" s="4">
        <f t="shared" si="141"/>
      </c>
      <c r="S705" s="4">
        <f t="shared" si="142"/>
      </c>
      <c r="T705" s="4">
        <f t="shared" si="143"/>
      </c>
      <c r="U705" s="4">
        <f t="shared" si="138"/>
        <v/>
      </c>
    </row>
    <row r="706" spans="1:21" x14ac:dyDescent="0.3">
      <c r="A706" s="4">
        <f t="shared" si="139"/>
        <v/>
      </c>
      <c r="B706" s="4">
        <f>IF(C706=1,MAX(B$2:$B705)+1,IF(F706=0,"",B705))</f>
        <v/>
      </c>
      <c r="C706" s="4">
        <f>COUNTIF($F$2:$F706,F706)</f>
      </c>
      <c r="D706" s="4">
        <f>IF(F706=0,0,MAX($D$2:D705)+1)</f>
      </c>
      <c r="E706" s="4">
        <f>IF(H706=0,0,MAX($E$2:E705)+1)</f>
      </c>
      <c r="F706" s="119"/>
      <c r="G706" s="119"/>
      <c r="H706" s="119"/>
      <c r="I706" s="4">
        <f>IFERROR(VLOOKUP(H706,H$2:H705,1,FALSE),VLOOKUP(H706,H$478:H707,1,FALSE))</f>
      </c>
      <c r="J706" s="4">
        <f t="shared" si="132"/>
        <v/>
      </c>
      <c r="K706" s="4">
        <f t="shared" si="133"/>
        <v/>
      </c>
      <c r="L706" s="4">
        <f t="shared" si="134"/>
        <v/>
      </c>
      <c r="M706" s="5">
        <f t="shared" si="140"/>
        <v/>
      </c>
      <c r="N706" s="4">
        <f t="shared" si="135"/>
        <v/>
      </c>
      <c r="O706" s="4"/>
      <c r="P706" s="4">
        <f t="shared" si="136"/>
        <v/>
      </c>
      <c r="Q706" s="4">
        <f t="shared" si="137"/>
        <v/>
      </c>
      <c r="R706" s="4">
        <f t="shared" si="141"/>
      </c>
      <c r="S706" s="4">
        <f t="shared" si="142"/>
      </c>
      <c r="T706" s="4">
        <f t="shared" si="143"/>
      </c>
      <c r="U706" s="4">
        <f t="shared" si="138"/>
        <v/>
      </c>
    </row>
    <row r="707" spans="1:21" x14ac:dyDescent="0.3">
      <c r="A707" s="4">
        <f t="shared" si="139"/>
        <v/>
      </c>
      <c r="B707" s="4">
        <f>IF(C707=1,MAX(B$2:$B706)+1,IF(F707=0,"",B706))</f>
        <v/>
      </c>
      <c r="C707" s="4">
        <f>COUNTIF($F$2:$F707,F707)</f>
      </c>
      <c r="D707" s="4">
        <f>IF(F707=0,0,MAX($D$2:D706)+1)</f>
      </c>
      <c r="E707" s="4">
        <f>IF(H707=0,0,MAX($E$2:E706)+1)</f>
      </c>
      <c r="F707" s="119"/>
      <c r="G707" s="119"/>
      <c r="H707" s="119"/>
      <c r="I707" s="4">
        <f>IFERROR(VLOOKUP(H707,H$2:H706,1,FALSE),VLOOKUP(H707,H$478:H708,1,FALSE))</f>
      </c>
      <c r="J707" s="4">
        <f t="shared" ref="J707:J770" si="144">IF($H707=0,"",VLOOKUP($H707,Исходные_данные,36,FALSE))</f>
        <v/>
      </c>
      <c r="K707" s="4">
        <f t="shared" ref="K707:K770" si="145">IF($H707=0,"",VLOOKUP($H707,Исходные_данные,37,FALSE))</f>
        <v/>
      </c>
      <c r="L707" s="4">
        <f t="shared" ref="L707:L770" si="146">IF($H707=0,"",VLOOKUP($H707,Исходные_данные,38,FALSE))</f>
        <v/>
      </c>
      <c r="M707" s="5">
        <f t="shared" si="140"/>
        <v/>
      </c>
      <c r="N707" s="4">
        <f t="shared" ref="N707:N770" si="147">IF($H707=0,"",VLOOKUP($H707,Исходные_данные,39,FALSE))</f>
        <v/>
      </c>
      <c r="O707" s="4"/>
      <c r="P707" s="4">
        <f t="shared" ref="P707:P770" si="148">IF($H707=0,"",VLOOKUP($H707,Исходные_данные,41,FALSE))</f>
        <v/>
      </c>
      <c r="Q707" s="4">
        <f t="shared" ref="Q707:Q770" si="149">IF($H707=0,"",VLOOKUP($H707,Исходные_данные,8,FALSE))</f>
        <v/>
      </c>
      <c r="R707" s="4">
        <f t="shared" si="141"/>
      </c>
      <c r="S707" s="4">
        <f t="shared" si="142"/>
      </c>
      <c r="T707" s="4">
        <f t="shared" si="143"/>
      </c>
      <c r="U707" s="4">
        <f t="shared" ref="U707:U770" si="150">IF($H707=0,"",VLOOKUP($H707,Исходные_данные,31,FALSE))</f>
        <v/>
      </c>
    </row>
    <row r="708" spans="1:21" x14ac:dyDescent="0.3">
      <c r="A708" s="4">
        <f t="shared" si="139"/>
        <v/>
      </c>
      <c r="B708" s="4">
        <f>IF(C708=1,MAX(B$2:$B707)+1,IF(F708=0,"",B707))</f>
        <v/>
      </c>
      <c r="C708" s="4">
        <f>COUNTIF($F$2:$F708,F708)</f>
      </c>
      <c r="D708" s="4">
        <f>IF(F708=0,0,MAX($D$2:D707)+1)</f>
      </c>
      <c r="E708" s="4">
        <f>IF(H708=0,0,MAX($E$2:E707)+1)</f>
      </c>
      <c r="F708" s="119"/>
      <c r="G708" s="119"/>
      <c r="H708" s="119"/>
      <c r="I708" s="4">
        <f>IFERROR(VLOOKUP(H708,H$2:H707,1,FALSE),VLOOKUP(H708,H$478:H709,1,FALSE))</f>
      </c>
      <c r="J708" s="4">
        <f t="shared" si="144"/>
        <v/>
      </c>
      <c r="K708" s="4">
        <f t="shared" si="145"/>
        <v/>
      </c>
      <c r="L708" s="4">
        <f t="shared" si="146"/>
        <v/>
      </c>
      <c r="M708" s="5">
        <f t="shared" si="140"/>
        <v/>
      </c>
      <c r="N708" s="4">
        <f t="shared" si="147"/>
        <v/>
      </c>
      <c r="O708" s="4"/>
      <c r="P708" s="4">
        <f t="shared" si="148"/>
        <v/>
      </c>
      <c r="Q708" s="4">
        <f t="shared" si="149"/>
        <v/>
      </c>
      <c r="R708" s="4">
        <f t="shared" si="141"/>
      </c>
      <c r="S708" s="4">
        <f t="shared" si="142"/>
      </c>
      <c r="T708" s="4">
        <f t="shared" si="143"/>
      </c>
      <c r="U708" s="4">
        <f t="shared" si="150"/>
        <v/>
      </c>
    </row>
    <row r="709" spans="1:21" x14ac:dyDescent="0.3">
      <c r="A709" s="4">
        <f t="shared" si="139"/>
        <v/>
      </c>
      <c r="B709" s="4">
        <f>IF(C709=1,MAX(B$2:$B708)+1,IF(F709=0,"",B708))</f>
        <v/>
      </c>
      <c r="C709" s="4">
        <f>COUNTIF($F$2:$F709,F709)</f>
      </c>
      <c r="D709" s="4">
        <f>IF(F709=0,0,MAX($D$2:D708)+1)</f>
      </c>
      <c r="E709" s="4">
        <f>IF(H709=0,0,MAX($E$2:E708)+1)</f>
      </c>
      <c r="F709" s="119"/>
      <c r="G709" s="119"/>
      <c r="H709" s="119"/>
      <c r="I709" s="4">
        <f>IFERROR(VLOOKUP(H709,H$2:H708,1,FALSE),VLOOKUP(H709,H$478:H710,1,FALSE))</f>
      </c>
      <c r="J709" s="4">
        <f t="shared" si="144"/>
        <v/>
      </c>
      <c r="K709" s="4">
        <f t="shared" si="145"/>
        <v/>
      </c>
      <c r="L709" s="4">
        <f t="shared" si="146"/>
        <v/>
      </c>
      <c r="M709" s="5">
        <f t="shared" si="140"/>
        <v/>
      </c>
      <c r="N709" s="4">
        <f t="shared" si="147"/>
        <v/>
      </c>
      <c r="O709" s="4"/>
      <c r="P709" s="4">
        <f t="shared" si="148"/>
        <v/>
      </c>
      <c r="Q709" s="4">
        <f t="shared" si="149"/>
        <v/>
      </c>
      <c r="R709" s="4">
        <f t="shared" si="141"/>
      </c>
      <c r="S709" s="4">
        <f t="shared" si="142"/>
      </c>
      <c r="T709" s="4">
        <f t="shared" si="143"/>
      </c>
      <c r="U709" s="4">
        <f t="shared" si="150"/>
        <v/>
      </c>
    </row>
    <row r="710" spans="1:21" x14ac:dyDescent="0.3">
      <c r="A710" s="4">
        <f t="shared" si="139"/>
        <v/>
      </c>
      <c r="B710" s="4">
        <f>IF(C710=1,MAX(B$2:$B709)+1,IF(F710=0,"",B709))</f>
        <v/>
      </c>
      <c r="C710" s="4">
        <f>COUNTIF($F$2:$F710,F710)</f>
      </c>
      <c r="D710" s="4">
        <f>IF(F710=0,0,MAX($D$2:D709)+1)</f>
      </c>
      <c r="E710" s="4">
        <f>IF(H710=0,0,MAX($E$2:E709)+1)</f>
      </c>
      <c r="F710" s="119"/>
      <c r="G710" s="119"/>
      <c r="H710" s="119"/>
      <c r="I710" s="4">
        <f>IFERROR(VLOOKUP(H710,H$2:H709,1,FALSE),VLOOKUP(H710,H$478:H711,1,FALSE))</f>
      </c>
      <c r="J710" s="4">
        <f t="shared" si="144"/>
        <v/>
      </c>
      <c r="K710" s="4">
        <f t="shared" si="145"/>
        <v/>
      </c>
      <c r="L710" s="4">
        <f t="shared" si="146"/>
        <v/>
      </c>
      <c r="M710" s="5">
        <f t="shared" si="140"/>
        <v/>
      </c>
      <c r="N710" s="4">
        <f t="shared" si="147"/>
        <v/>
      </c>
      <c r="O710" s="4"/>
      <c r="P710" s="4">
        <f t="shared" si="148"/>
        <v/>
      </c>
      <c r="Q710" s="4">
        <f t="shared" si="149"/>
        <v/>
      </c>
      <c r="R710" s="4">
        <f t="shared" si="141"/>
      </c>
      <c r="S710" s="4">
        <f t="shared" si="142"/>
      </c>
      <c r="T710" s="4">
        <f t="shared" si="143"/>
      </c>
      <c r="U710" s="4">
        <f t="shared" si="150"/>
        <v/>
      </c>
    </row>
    <row r="711" spans="1:21" x14ac:dyDescent="0.3">
      <c r="A711" s="4">
        <f t="shared" si="139"/>
        <v/>
      </c>
      <c r="B711" s="4">
        <f>IF(C711=1,MAX(B$2:$B710)+1,IF(F711=0,"",B710))</f>
        <v/>
      </c>
      <c r="C711" s="4">
        <f>COUNTIF($F$2:$F711,F711)</f>
      </c>
      <c r="D711" s="4">
        <f>IF(F711=0,0,MAX($D$2:D710)+1)</f>
      </c>
      <c r="E711" s="4">
        <f>IF(H711=0,0,MAX($E$2:E710)+1)</f>
      </c>
      <c r="F711" s="119"/>
      <c r="G711" s="119"/>
      <c r="H711" s="119"/>
      <c r="I711" s="4">
        <f>IFERROR(VLOOKUP(H711,H$2:H710,1,FALSE),VLOOKUP(H711,H$478:H712,1,FALSE))</f>
      </c>
      <c r="J711" s="4">
        <f t="shared" si="144"/>
        <v/>
      </c>
      <c r="K711" s="4">
        <f t="shared" si="145"/>
        <v/>
      </c>
      <c r="L711" s="4">
        <f t="shared" si="146"/>
        <v/>
      </c>
      <c r="M711" s="5">
        <f t="shared" si="140"/>
        <v/>
      </c>
      <c r="N711" s="4">
        <f t="shared" si="147"/>
        <v/>
      </c>
      <c r="O711" s="4"/>
      <c r="P711" s="4">
        <f t="shared" si="148"/>
        <v/>
      </c>
      <c r="Q711" s="4">
        <f t="shared" si="149"/>
        <v/>
      </c>
      <c r="R711" s="4">
        <f t="shared" si="141"/>
      </c>
      <c r="S711" s="4">
        <f t="shared" si="142"/>
      </c>
      <c r="T711" s="4">
        <f t="shared" si="143"/>
      </c>
      <c r="U711" s="4">
        <f t="shared" si="150"/>
        <v/>
      </c>
    </row>
    <row r="712" spans="1:21" x14ac:dyDescent="0.3">
      <c r="A712" s="4">
        <f t="shared" si="139"/>
        <v/>
      </c>
      <c r="B712" s="4">
        <f>IF(C712=1,MAX(B$2:$B711)+1,IF(F712=0,"",B711))</f>
        <v/>
      </c>
      <c r="C712" s="4">
        <f>COUNTIF($F$2:$F712,F712)</f>
      </c>
      <c r="D712" s="4">
        <f>IF(F712=0,0,MAX($D$2:D711)+1)</f>
      </c>
      <c r="E712" s="4">
        <f>IF(H712=0,0,MAX($E$2:E711)+1)</f>
      </c>
      <c r="F712" s="119"/>
      <c r="G712" s="119"/>
      <c r="H712" s="119"/>
      <c r="I712" s="4">
        <f>IFERROR(VLOOKUP(H712,H$2:H711,1,FALSE),VLOOKUP(H712,H$478:H713,1,FALSE))</f>
      </c>
      <c r="J712" s="4">
        <f t="shared" si="144"/>
        <v/>
      </c>
      <c r="K712" s="4">
        <f t="shared" si="145"/>
        <v/>
      </c>
      <c r="L712" s="4">
        <f t="shared" si="146"/>
        <v/>
      </c>
      <c r="M712" s="5">
        <f t="shared" si="140"/>
        <v/>
      </c>
      <c r="N712" s="4">
        <f t="shared" si="147"/>
        <v/>
      </c>
      <c r="O712" s="4"/>
      <c r="P712" s="4">
        <f t="shared" si="148"/>
        <v/>
      </c>
      <c r="Q712" s="4">
        <f t="shared" si="149"/>
        <v/>
      </c>
      <c r="R712" s="4">
        <f t="shared" si="141"/>
      </c>
      <c r="S712" s="4">
        <f t="shared" si="142"/>
      </c>
      <c r="T712" s="4">
        <f t="shared" si="143"/>
      </c>
      <c r="U712" s="4">
        <f t="shared" si="150"/>
        <v/>
      </c>
    </row>
    <row r="713" spans="1:21" x14ac:dyDescent="0.3">
      <c r="A713" s="4">
        <f t="shared" si="139"/>
        <v/>
      </c>
      <c r="B713" s="4">
        <f>IF(C713=1,MAX(B$2:$B712)+1,IF(F713=0,"",B712))</f>
        <v/>
      </c>
      <c r="C713" s="4">
        <f>COUNTIF($F$2:$F713,F713)</f>
      </c>
      <c r="D713" s="4">
        <f>IF(F713=0,0,MAX($D$2:D712)+1)</f>
      </c>
      <c r="E713" s="4">
        <f>IF(H713=0,0,MAX($E$2:E712)+1)</f>
      </c>
      <c r="F713" s="119"/>
      <c r="G713" s="119"/>
      <c r="H713" s="119"/>
      <c r="I713" s="4">
        <f>IFERROR(VLOOKUP(H713,H$2:H712,1,FALSE),VLOOKUP(H713,H$478:H714,1,FALSE))</f>
      </c>
      <c r="J713" s="4">
        <f t="shared" si="144"/>
        <v/>
      </c>
      <c r="K713" s="4">
        <f t="shared" si="145"/>
        <v/>
      </c>
      <c r="L713" s="4">
        <f t="shared" si="146"/>
        <v/>
      </c>
      <c r="M713" s="5">
        <f t="shared" si="140"/>
        <v/>
      </c>
      <c r="N713" s="4">
        <f t="shared" si="147"/>
        <v/>
      </c>
      <c r="O713" s="4"/>
      <c r="P713" s="4">
        <f t="shared" si="148"/>
        <v/>
      </c>
      <c r="Q713" s="4">
        <f t="shared" si="149"/>
        <v/>
      </c>
      <c r="R713" s="4">
        <f t="shared" si="141"/>
      </c>
      <c r="S713" s="4">
        <f t="shared" si="142"/>
      </c>
      <c r="T713" s="4">
        <f t="shared" si="143"/>
      </c>
      <c r="U713" s="4">
        <f t="shared" si="150"/>
        <v/>
      </c>
    </row>
    <row r="714" spans="1:21" x14ac:dyDescent="0.3">
      <c r="A714" s="4">
        <f t="shared" si="139"/>
        <v/>
      </c>
      <c r="B714" s="4">
        <f>IF(C714=1,MAX(B$2:$B713)+1,IF(F714=0,"",B713))</f>
        <v/>
      </c>
      <c r="C714" s="4">
        <f>COUNTIF($F$2:$F714,F714)</f>
      </c>
      <c r="D714" s="4">
        <f>IF(F714=0,0,MAX($D$2:D713)+1)</f>
      </c>
      <c r="E714" s="4">
        <f>IF(H714=0,0,MAX($E$2:E713)+1)</f>
      </c>
      <c r="F714" s="119"/>
      <c r="G714" s="119"/>
      <c r="H714" s="119"/>
      <c r="I714" s="4">
        <f>IFERROR(VLOOKUP(H714,H$2:H713,1,FALSE),VLOOKUP(H714,H$478:H715,1,FALSE))</f>
      </c>
      <c r="J714" s="4">
        <f t="shared" si="144"/>
        <v/>
      </c>
      <c r="K714" s="4">
        <f t="shared" si="145"/>
        <v/>
      </c>
      <c r="L714" s="4">
        <f t="shared" si="146"/>
        <v/>
      </c>
      <c r="M714" s="5">
        <f t="shared" si="140"/>
        <v/>
      </c>
      <c r="N714" s="4">
        <f t="shared" si="147"/>
        <v/>
      </c>
      <c r="O714" s="4"/>
      <c r="P714" s="4">
        <f t="shared" si="148"/>
        <v/>
      </c>
      <c r="Q714" s="4">
        <f t="shared" si="149"/>
        <v/>
      </c>
      <c r="R714" s="4">
        <f t="shared" si="141"/>
      </c>
      <c r="S714" s="4">
        <f t="shared" si="142"/>
      </c>
      <c r="T714" s="4">
        <f t="shared" si="143"/>
      </c>
      <c r="U714" s="4">
        <f t="shared" si="150"/>
        <v/>
      </c>
    </row>
    <row r="715" spans="1:21" x14ac:dyDescent="0.3">
      <c r="A715" s="4">
        <f t="shared" si="139"/>
        <v/>
      </c>
      <c r="B715" s="4">
        <f>IF(C715=1,MAX(B$2:$B714)+1,IF(F715=0,"",B714))</f>
        <v/>
      </c>
      <c r="C715" s="4">
        <f>COUNTIF($F$2:$F715,F715)</f>
      </c>
      <c r="D715" s="4">
        <f>IF(F715=0,0,MAX($D$2:D714)+1)</f>
      </c>
      <c r="E715" s="4">
        <f>IF(H715=0,0,MAX($E$2:E714)+1)</f>
      </c>
      <c r="F715" s="119"/>
      <c r="G715" s="119"/>
      <c r="H715" s="119"/>
      <c r="I715" s="4">
        <f>IFERROR(VLOOKUP(H715,H$2:H714,1,FALSE),VLOOKUP(H715,H$478:H716,1,FALSE))</f>
      </c>
      <c r="J715" s="4">
        <f t="shared" si="144"/>
        <v/>
      </c>
      <c r="K715" s="4">
        <f t="shared" si="145"/>
        <v/>
      </c>
      <c r="L715" s="4">
        <f t="shared" si="146"/>
        <v/>
      </c>
      <c r="M715" s="5">
        <f t="shared" si="140"/>
        <v/>
      </c>
      <c r="N715" s="4">
        <f t="shared" si="147"/>
        <v/>
      </c>
      <c r="O715" s="4"/>
      <c r="P715" s="4">
        <f t="shared" si="148"/>
        <v/>
      </c>
      <c r="Q715" s="4">
        <f t="shared" si="149"/>
        <v/>
      </c>
      <c r="R715" s="4">
        <f t="shared" si="141"/>
      </c>
      <c r="S715" s="4">
        <f t="shared" si="142"/>
      </c>
      <c r="T715" s="4">
        <f t="shared" si="143"/>
      </c>
      <c r="U715" s="4">
        <f t="shared" si="150"/>
        <v/>
      </c>
    </row>
    <row r="716" spans="1:21" ht="15" thickBot="1" x14ac:dyDescent="0.35">
      <c r="A716" s="4">
        <f t="shared" si="139"/>
        <v/>
      </c>
      <c r="B716" s="4">
        <f>IF(C716=1,MAX(B$2:$B715)+1,IF(F716=0,"",B715))</f>
        <v/>
      </c>
      <c r="C716" s="4">
        <f>COUNTIF($F$2:$F716,F716)</f>
      </c>
      <c r="D716" s="4">
        <f>IF(F716=0,0,MAX($D$2:D715)+1)</f>
      </c>
      <c r="E716" s="4">
        <f>IF(H716=0,0,MAX($E$2:E715)+1)</f>
      </c>
      <c r="F716" s="119"/>
      <c r="G716" s="119"/>
      <c r="H716" s="175"/>
      <c r="I716" s="4">
        <f>IFERROR(VLOOKUP(H716,H$2:H715,1,FALSE),VLOOKUP(H716,H$478:H717,1,FALSE))</f>
      </c>
      <c r="J716" s="4">
        <f t="shared" si="144"/>
        <v/>
      </c>
      <c r="K716" s="4">
        <f t="shared" si="145"/>
        <v/>
      </c>
      <c r="L716" s="4">
        <f t="shared" si="146"/>
        <v/>
      </c>
      <c r="M716" s="5">
        <f t="shared" si="140"/>
        <v/>
      </c>
      <c r="N716" s="4">
        <f t="shared" si="147"/>
        <v/>
      </c>
      <c r="O716" s="4"/>
      <c r="P716" s="4">
        <f t="shared" si="148"/>
        <v/>
      </c>
      <c r="Q716" s="4">
        <f t="shared" si="149"/>
        <v/>
      </c>
      <c r="R716" s="4">
        <f t="shared" si="141"/>
      </c>
      <c r="S716" s="4">
        <f t="shared" si="142"/>
      </c>
      <c r="T716" s="4">
        <f t="shared" si="143"/>
      </c>
      <c r="U716" s="4">
        <f t="shared" si="150"/>
        <v/>
      </c>
    </row>
    <row r="717" spans="1:21" x14ac:dyDescent="0.3">
      <c r="A717" s="4">
        <f t="shared" si="139"/>
        <v/>
      </c>
      <c r="B717" s="4">
        <f>IF(C717=1,MAX(B$2:$B716)+1,IF(F717=0,"",B716))</f>
        <v/>
      </c>
      <c r="C717" s="4">
        <f>COUNTIF($F$2:$F717,F717)</f>
      </c>
      <c r="D717" s="4">
        <f>IF(F717=0,0,MAX($D$2:D716)+1)</f>
      </c>
      <c r="E717" s="4">
        <f>IF(H717=0,0,MAX($E$2:E716)+1)</f>
      </c>
      <c r="F717" s="119"/>
      <c r="G717" s="119"/>
      <c r="H717" s="177"/>
      <c r="I717" s="4">
        <f>IFERROR(VLOOKUP(H717,H$2:H716,1,FALSE),VLOOKUP(H717,H$478:H718,1,FALSE))</f>
      </c>
      <c r="J717" s="4">
        <f t="shared" si="144"/>
        <v/>
      </c>
      <c r="K717" s="4">
        <f t="shared" si="145"/>
        <v/>
      </c>
      <c r="L717" s="4">
        <f t="shared" si="146"/>
        <v/>
      </c>
      <c r="M717" s="5">
        <f t="shared" si="140"/>
        <v/>
      </c>
      <c r="N717" s="4">
        <f t="shared" si="147"/>
        <v/>
      </c>
      <c r="O717" s="4"/>
      <c r="P717" s="4">
        <f t="shared" si="148"/>
        <v/>
      </c>
      <c r="Q717" s="4">
        <f t="shared" si="149"/>
        <v/>
      </c>
      <c r="R717" s="4">
        <f t="shared" si="141"/>
      </c>
      <c r="S717" s="4">
        <f t="shared" si="142"/>
      </c>
      <c r="T717" s="4">
        <f t="shared" si="143"/>
      </c>
      <c r="U717" s="4">
        <f t="shared" si="150"/>
        <v/>
      </c>
    </row>
    <row r="718" spans="1:21" x14ac:dyDescent="0.3">
      <c r="A718" s="4">
        <f t="shared" si="139"/>
        <v/>
      </c>
      <c r="B718" s="4">
        <f>IF(C718=1,MAX(B$2:$B717)+1,IF(F718=0,"",B717))</f>
        <v/>
      </c>
      <c r="C718" s="4">
        <f>COUNTIF($F$2:$F718,F718)</f>
      </c>
      <c r="D718" s="4">
        <f>IF(F718=0,0,MAX($D$2:D717)+1)</f>
      </c>
      <c r="E718" s="4">
        <f>IF(H718=0,0,MAX($E$2:E717)+1)</f>
      </c>
      <c r="F718" s="119"/>
      <c r="G718" s="119"/>
      <c r="H718" s="119"/>
      <c r="I718" s="4">
        <f>IFERROR(VLOOKUP(H718,H$2:H717,1,FALSE),VLOOKUP(H718,H$478:H719,1,FALSE))</f>
      </c>
      <c r="J718" s="4">
        <f t="shared" si="144"/>
        <v/>
      </c>
      <c r="K718" s="4">
        <f t="shared" si="145"/>
        <v/>
      </c>
      <c r="L718" s="4">
        <f t="shared" si="146"/>
        <v/>
      </c>
      <c r="M718" s="5">
        <f t="shared" si="140"/>
        <v/>
      </c>
      <c r="N718" s="4">
        <f t="shared" si="147"/>
        <v/>
      </c>
      <c r="O718" s="4"/>
      <c r="P718" s="4">
        <f t="shared" si="148"/>
        <v/>
      </c>
      <c r="Q718" s="4">
        <f t="shared" si="149"/>
        <v/>
      </c>
      <c r="R718" s="4">
        <f t="shared" si="141"/>
      </c>
      <c r="S718" s="4">
        <f t="shared" si="142"/>
      </c>
      <c r="T718" s="4">
        <f t="shared" si="143"/>
      </c>
      <c r="U718" s="4">
        <f t="shared" si="150"/>
        <v/>
      </c>
    </row>
    <row r="719" spans="1:21" x14ac:dyDescent="0.3">
      <c r="A719" s="4">
        <f t="shared" si="139"/>
        <v/>
      </c>
      <c r="B719" s="4">
        <f>IF(C719=1,MAX(B$2:$B718)+1,IF(F719=0,"",B718))</f>
        <v/>
      </c>
      <c r="C719" s="4">
        <f>COUNTIF($F$2:$F719,F719)</f>
      </c>
      <c r="D719" s="4">
        <f>IF(F719=0,0,MAX($D$2:D718)+1)</f>
      </c>
      <c r="E719" s="4">
        <f>IF(H719=0,0,MAX($E$2:E718)+1)</f>
      </c>
      <c r="F719" s="119"/>
      <c r="G719" s="119"/>
      <c r="H719" s="119"/>
      <c r="I719" s="4">
        <f>IFERROR(VLOOKUP(H719,H$2:H718,1,FALSE),VLOOKUP(H719,H$478:H720,1,FALSE))</f>
      </c>
      <c r="J719" s="4">
        <f t="shared" si="144"/>
        <v/>
      </c>
      <c r="K719" s="4">
        <f t="shared" si="145"/>
        <v/>
      </c>
      <c r="L719" s="4">
        <f t="shared" si="146"/>
        <v/>
      </c>
      <c r="M719" s="5">
        <f t="shared" si="140"/>
        <v/>
      </c>
      <c r="N719" s="4">
        <f t="shared" si="147"/>
        <v/>
      </c>
      <c r="O719" s="4"/>
      <c r="P719" s="4">
        <f t="shared" si="148"/>
        <v/>
      </c>
      <c r="Q719" s="4">
        <f t="shared" si="149"/>
        <v/>
      </c>
      <c r="R719" s="4">
        <f t="shared" si="141"/>
      </c>
      <c r="S719" s="4">
        <f t="shared" si="142"/>
      </c>
      <c r="T719" s="4">
        <f t="shared" si="143"/>
      </c>
      <c r="U719" s="4">
        <f t="shared" si="150"/>
        <v/>
      </c>
    </row>
    <row r="720" spans="1:21" x14ac:dyDescent="0.3">
      <c r="A720" s="4">
        <f t="shared" si="139"/>
        <v/>
      </c>
      <c r="B720" s="4">
        <f>IF(C720=1,MAX(B$2:$B719)+1,IF(F720=0,"",B719))</f>
        <v/>
      </c>
      <c r="C720" s="4">
        <f>COUNTIF($F$2:$F720,F720)</f>
      </c>
      <c r="D720" s="4">
        <f>IF(F720=0,0,MAX($D$2:D719)+1)</f>
      </c>
      <c r="E720" s="4">
        <f>IF(H720=0,0,MAX($E$2:E719)+1)</f>
      </c>
      <c r="F720" s="119"/>
      <c r="G720" s="119"/>
      <c r="H720" s="119"/>
      <c r="I720" s="4">
        <f>IFERROR(VLOOKUP(H720,H$2:H719,1,FALSE),VLOOKUP(H720,H$478:H721,1,FALSE))</f>
      </c>
      <c r="J720" s="4">
        <f t="shared" si="144"/>
        <v/>
      </c>
      <c r="K720" s="4">
        <f t="shared" si="145"/>
        <v/>
      </c>
      <c r="L720" s="4">
        <f t="shared" si="146"/>
        <v/>
      </c>
      <c r="M720" s="5">
        <f t="shared" si="140"/>
        <v/>
      </c>
      <c r="N720" s="4">
        <f t="shared" si="147"/>
        <v/>
      </c>
      <c r="O720" s="4"/>
      <c r="P720" s="4">
        <f t="shared" si="148"/>
        <v/>
      </c>
      <c r="Q720" s="4">
        <f t="shared" si="149"/>
        <v/>
      </c>
      <c r="R720" s="4">
        <f t="shared" si="141"/>
      </c>
      <c r="S720" s="4">
        <f t="shared" si="142"/>
      </c>
      <c r="T720" s="4">
        <f t="shared" si="143"/>
      </c>
      <c r="U720" s="4">
        <f t="shared" si="150"/>
        <v/>
      </c>
    </row>
    <row r="721" spans="1:21" x14ac:dyDescent="0.3">
      <c r="A721" s="4">
        <f t="shared" si="139"/>
        <v/>
      </c>
      <c r="B721" s="4">
        <f>IF(C721=1,MAX(B$2:$B720)+1,IF(F721=0,"",B720))</f>
        <v/>
      </c>
      <c r="C721" s="4">
        <f>COUNTIF($F$2:$F721,F721)</f>
      </c>
      <c r="D721" s="4">
        <f>IF(F721=0,0,MAX($D$2:D720)+1)</f>
      </c>
      <c r="E721" s="4">
        <f>IF(H721=0,0,MAX($E$2:E720)+1)</f>
      </c>
      <c r="F721" s="119"/>
      <c r="G721" s="119"/>
      <c r="H721" s="119"/>
      <c r="I721" s="4">
        <f>IFERROR(VLOOKUP(H721,H$2:H720,1,FALSE),VLOOKUP(H721,H$478:H722,1,FALSE))</f>
      </c>
      <c r="J721" s="4">
        <f t="shared" si="144"/>
        <v/>
      </c>
      <c r="K721" s="4">
        <f t="shared" si="145"/>
        <v/>
      </c>
      <c r="L721" s="4">
        <f t="shared" si="146"/>
        <v/>
      </c>
      <c r="M721" s="5">
        <f t="shared" si="140"/>
        <v/>
      </c>
      <c r="N721" s="4">
        <f t="shared" si="147"/>
        <v/>
      </c>
      <c r="O721" s="4"/>
      <c r="P721" s="4">
        <f t="shared" si="148"/>
        <v/>
      </c>
      <c r="Q721" s="4">
        <f t="shared" si="149"/>
        <v/>
      </c>
      <c r="R721" s="4">
        <f t="shared" si="141"/>
      </c>
      <c r="S721" s="4">
        <f t="shared" si="142"/>
      </c>
      <c r="T721" s="4">
        <f t="shared" si="143"/>
      </c>
      <c r="U721" s="4">
        <f t="shared" si="150"/>
        <v/>
      </c>
    </row>
    <row r="722" spans="1:21" x14ac:dyDescent="0.3">
      <c r="A722" s="4">
        <f t="shared" si="139"/>
        <v/>
      </c>
      <c r="B722" s="4">
        <f>IF(C722=1,MAX(B$2:$B721)+1,IF(F722=0,"",B721))</f>
        <v/>
      </c>
      <c r="C722" s="4">
        <f>COUNTIF($F$2:$F722,F722)</f>
      </c>
      <c r="D722" s="4">
        <f>IF(F722=0,0,MAX($D$2:D721)+1)</f>
      </c>
      <c r="E722" s="4">
        <f>IF(H722=0,0,MAX($E$2:E721)+1)</f>
      </c>
      <c r="F722" s="119"/>
      <c r="G722" s="119"/>
      <c r="H722" s="119"/>
      <c r="I722" s="4">
        <f>IFERROR(VLOOKUP(H722,H$2:H721,1,FALSE),VLOOKUP(H722,H$478:H723,1,FALSE))</f>
      </c>
      <c r="J722" s="4">
        <f t="shared" si="144"/>
        <v/>
      </c>
      <c r="K722" s="4">
        <f t="shared" si="145"/>
        <v/>
      </c>
      <c r="L722" s="4">
        <f t="shared" si="146"/>
        <v/>
      </c>
      <c r="M722" s="5">
        <f t="shared" si="140"/>
        <v/>
      </c>
      <c r="N722" s="4">
        <f t="shared" si="147"/>
        <v/>
      </c>
      <c r="O722" s="4"/>
      <c r="P722" s="4">
        <f t="shared" si="148"/>
        <v/>
      </c>
      <c r="Q722" s="4">
        <f t="shared" si="149"/>
        <v/>
      </c>
      <c r="R722" s="4">
        <f t="shared" si="141"/>
      </c>
      <c r="S722" s="4">
        <f t="shared" si="142"/>
      </c>
      <c r="T722" s="4">
        <f t="shared" si="143"/>
      </c>
      <c r="U722" s="4">
        <f t="shared" si="150"/>
        <v/>
      </c>
    </row>
    <row r="723" spans="1:21" x14ac:dyDescent="0.3">
      <c r="A723" s="4">
        <f t="shared" si="139"/>
        <v/>
      </c>
      <c r="B723" s="4">
        <f>IF(C723=1,MAX(B$2:$B722)+1,IF(F723=0,"",B722))</f>
        <v/>
      </c>
      <c r="C723" s="4">
        <f>COUNTIF($F$2:$F723,F723)</f>
      </c>
      <c r="D723" s="4">
        <f>IF(F723=0,0,MAX($D$2:D722)+1)</f>
      </c>
      <c r="E723" s="4">
        <f>IF(H723=0,0,MAX($E$2:E722)+1)</f>
      </c>
      <c r="F723" s="119"/>
      <c r="G723" s="119"/>
      <c r="H723" s="119"/>
      <c r="I723" s="4">
        <f>IFERROR(VLOOKUP(H723,H$2:H722,1,FALSE),VLOOKUP(H723,H$478:H724,1,FALSE))</f>
      </c>
      <c r="J723" s="4">
        <f t="shared" si="144"/>
        <v/>
      </c>
      <c r="K723" s="4">
        <f t="shared" si="145"/>
        <v/>
      </c>
      <c r="L723" s="4">
        <f t="shared" si="146"/>
        <v/>
      </c>
      <c r="M723" s="5">
        <f t="shared" si="140"/>
        <v/>
      </c>
      <c r="N723" s="4">
        <f t="shared" si="147"/>
        <v/>
      </c>
      <c r="O723" s="4"/>
      <c r="P723" s="4">
        <f t="shared" si="148"/>
        <v/>
      </c>
      <c r="Q723" s="4">
        <f t="shared" si="149"/>
        <v/>
      </c>
      <c r="R723" s="4">
        <f t="shared" si="141"/>
      </c>
      <c r="S723" s="4">
        <f t="shared" si="142"/>
      </c>
      <c r="T723" s="4">
        <f t="shared" si="143"/>
      </c>
      <c r="U723" s="4">
        <f t="shared" si="150"/>
        <v/>
      </c>
    </row>
    <row r="724" spans="1:21" x14ac:dyDescent="0.3">
      <c r="A724" s="4">
        <f t="shared" si="139"/>
        <v/>
      </c>
      <c r="B724" s="4">
        <f>IF(C724=1,MAX(B$2:$B723)+1,IF(F724=0,"",B723))</f>
        <v/>
      </c>
      <c r="C724" s="4">
        <f>COUNTIF($F$2:$F724,F724)</f>
      </c>
      <c r="D724" s="4">
        <f>IF(F724=0,0,MAX($D$2:D723)+1)</f>
      </c>
      <c r="E724" s="4">
        <f>IF(H724=0,0,MAX($E$2:E723)+1)</f>
      </c>
      <c r="F724" s="119"/>
      <c r="G724" s="119"/>
      <c r="H724" s="119"/>
      <c r="I724" s="4">
        <f>IFERROR(VLOOKUP(H724,H$2:H723,1,FALSE),VLOOKUP(H724,H$478:H725,1,FALSE))</f>
      </c>
      <c r="J724" s="4">
        <f t="shared" si="144"/>
        <v/>
      </c>
      <c r="K724" s="4">
        <f t="shared" si="145"/>
        <v/>
      </c>
      <c r="L724" s="4">
        <f t="shared" si="146"/>
        <v/>
      </c>
      <c r="M724" s="5">
        <f t="shared" si="140"/>
        <v/>
      </c>
      <c r="N724" s="4">
        <f t="shared" si="147"/>
        <v/>
      </c>
      <c r="O724" s="4"/>
      <c r="P724" s="4">
        <f t="shared" si="148"/>
        <v/>
      </c>
      <c r="Q724" s="4">
        <f t="shared" si="149"/>
        <v/>
      </c>
      <c r="R724" s="4">
        <f t="shared" si="141"/>
      </c>
      <c r="S724" s="4">
        <f t="shared" si="142"/>
      </c>
      <c r="T724" s="4">
        <f t="shared" si="143"/>
      </c>
      <c r="U724" s="4">
        <f t="shared" si="150"/>
        <v/>
      </c>
    </row>
    <row r="725" spans="1:21" x14ac:dyDescent="0.3">
      <c r="A725" s="4">
        <f t="shared" si="139"/>
        <v/>
      </c>
      <c r="B725" s="4">
        <f>IF(C725=1,MAX(B$2:$B724)+1,IF(F725=0,"",B724))</f>
        <v/>
      </c>
      <c r="C725" s="4">
        <f>COUNTIF($F$2:$F725,F725)</f>
      </c>
      <c r="D725" s="4">
        <f>IF(F725=0,0,MAX($D$2:D724)+1)</f>
      </c>
      <c r="E725" s="4">
        <f>IF(H725=0,0,MAX($E$2:E724)+1)</f>
      </c>
      <c r="F725" s="119"/>
      <c r="G725" s="119"/>
      <c r="H725" s="119"/>
      <c r="I725" s="4">
        <f>IFERROR(VLOOKUP(H725,H$2:H724,1,FALSE),VLOOKUP(H725,H$478:H726,1,FALSE))</f>
      </c>
      <c r="J725" s="4">
        <f t="shared" si="144"/>
        <v/>
      </c>
      <c r="K725" s="4">
        <f t="shared" si="145"/>
        <v/>
      </c>
      <c r="L725" s="4">
        <f t="shared" si="146"/>
        <v/>
      </c>
      <c r="M725" s="5">
        <f t="shared" si="140"/>
        <v/>
      </c>
      <c r="N725" s="4">
        <f t="shared" si="147"/>
        <v/>
      </c>
      <c r="O725" s="4"/>
      <c r="P725" s="4">
        <f t="shared" si="148"/>
        <v/>
      </c>
      <c r="Q725" s="4">
        <f t="shared" si="149"/>
        <v/>
      </c>
      <c r="R725" s="4">
        <f t="shared" si="141"/>
      </c>
      <c r="S725" s="4">
        <f t="shared" si="142"/>
      </c>
      <c r="T725" s="4">
        <f t="shared" si="143"/>
      </c>
      <c r="U725" s="4">
        <f t="shared" si="150"/>
        <v/>
      </c>
    </row>
    <row r="726" spans="1:21" x14ac:dyDescent="0.3">
      <c r="A726" s="4">
        <f t="shared" si="139"/>
        <v/>
      </c>
      <c r="B726" s="4">
        <f>IF(C726=1,MAX(B$2:$B725)+1,IF(F726=0,"",B725))</f>
        <v/>
      </c>
      <c r="C726" s="4">
        <f>COUNTIF($F$2:$F726,F726)</f>
      </c>
      <c r="D726" s="4">
        <f>IF(F726=0,0,MAX($D$2:D725)+1)</f>
      </c>
      <c r="E726" s="4">
        <f>IF(H726=0,0,MAX($E$2:E725)+1)</f>
      </c>
      <c r="F726" s="119"/>
      <c r="G726" s="119"/>
      <c r="H726" s="119"/>
      <c r="I726" s="4">
        <f>IFERROR(VLOOKUP(H726,H$2:H725,1,FALSE),VLOOKUP(H726,H$478:H727,1,FALSE))</f>
      </c>
      <c r="J726" s="4">
        <f t="shared" si="144"/>
        <v/>
      </c>
      <c r="K726" s="4">
        <f t="shared" si="145"/>
        <v/>
      </c>
      <c r="L726" s="4">
        <f t="shared" si="146"/>
        <v/>
      </c>
      <c r="M726" s="5">
        <f t="shared" si="140"/>
        <v/>
      </c>
      <c r="N726" s="4">
        <f t="shared" si="147"/>
        <v/>
      </c>
      <c r="O726" s="4"/>
      <c r="P726" s="4">
        <f t="shared" si="148"/>
        <v/>
      </c>
      <c r="Q726" s="4">
        <f t="shared" si="149"/>
        <v/>
      </c>
      <c r="R726" s="4">
        <f t="shared" si="141"/>
      </c>
      <c r="S726" s="4">
        <f t="shared" si="142"/>
      </c>
      <c r="T726" s="4">
        <f t="shared" si="143"/>
      </c>
      <c r="U726" s="4">
        <f t="shared" si="150"/>
        <v/>
      </c>
    </row>
    <row r="727" spans="1:21" x14ac:dyDescent="0.3">
      <c r="A727" s="4">
        <f t="shared" si="139"/>
        <v/>
      </c>
      <c r="B727" s="4">
        <f>IF(C727=1,MAX(B$2:$B726)+1,IF(F727=0,"",B726))</f>
        <v/>
      </c>
      <c r="C727" s="4">
        <f>COUNTIF($F$2:$F727,F727)</f>
      </c>
      <c r="D727" s="4">
        <f>IF(F727=0,0,MAX($D$2:D726)+1)</f>
      </c>
      <c r="E727" s="4">
        <f>IF(H727=0,0,MAX($E$2:E726)+1)</f>
      </c>
      <c r="F727" s="119"/>
      <c r="G727" s="119"/>
      <c r="H727" s="119"/>
      <c r="I727" s="4">
        <f>IFERROR(VLOOKUP(H727,H$2:H726,1,FALSE),VLOOKUP(H727,H$478:H728,1,FALSE))</f>
      </c>
      <c r="J727" s="4">
        <f t="shared" si="144"/>
        <v/>
      </c>
      <c r="K727" s="4">
        <f t="shared" si="145"/>
        <v/>
      </c>
      <c r="L727" s="4">
        <f t="shared" si="146"/>
        <v/>
      </c>
      <c r="M727" s="5">
        <f t="shared" si="140"/>
        <v/>
      </c>
      <c r="N727" s="4">
        <f t="shared" si="147"/>
        <v/>
      </c>
      <c r="O727" s="4"/>
      <c r="P727" s="4">
        <f t="shared" si="148"/>
        <v/>
      </c>
      <c r="Q727" s="4">
        <f t="shared" si="149"/>
        <v/>
      </c>
      <c r="R727" s="4">
        <f t="shared" si="141"/>
      </c>
      <c r="S727" s="4">
        <f t="shared" si="142"/>
      </c>
      <c r="T727" s="4">
        <f t="shared" si="143"/>
      </c>
      <c r="U727" s="4">
        <f t="shared" si="150"/>
        <v/>
      </c>
    </row>
    <row r="728" spans="1:21" x14ac:dyDescent="0.3">
      <c r="A728" s="4">
        <f t="shared" si="139"/>
        <v/>
      </c>
      <c r="B728" s="4">
        <f>IF(C728=1,MAX(B$2:$B727)+1,IF(F728=0,"",B727))</f>
        <v/>
      </c>
      <c r="C728" s="4">
        <f>COUNTIF($F$2:$F728,F728)</f>
      </c>
      <c r="D728" s="4">
        <f>IF(F728=0,0,MAX($D$2:D727)+1)</f>
      </c>
      <c r="E728" s="4">
        <f>IF(H728=0,0,MAX($E$2:E727)+1)</f>
      </c>
      <c r="F728" s="119"/>
      <c r="G728" s="119"/>
      <c r="H728" s="119"/>
      <c r="I728" s="4">
        <f>IFERROR(VLOOKUP(H728,H$2:H727,1,FALSE),VLOOKUP(H728,H$478:H729,1,FALSE))</f>
      </c>
      <c r="J728" s="4">
        <f t="shared" si="144"/>
        <v/>
      </c>
      <c r="K728" s="4">
        <f t="shared" si="145"/>
        <v/>
      </c>
      <c r="L728" s="4">
        <f t="shared" si="146"/>
        <v/>
      </c>
      <c r="M728" s="5">
        <f t="shared" si="140"/>
        <v/>
      </c>
      <c r="N728" s="4">
        <f t="shared" si="147"/>
        <v/>
      </c>
      <c r="O728" s="4"/>
      <c r="P728" s="4">
        <f t="shared" si="148"/>
        <v/>
      </c>
      <c r="Q728" s="4">
        <f t="shared" si="149"/>
        <v/>
      </c>
      <c r="R728" s="4">
        <f t="shared" si="141"/>
      </c>
      <c r="S728" s="4">
        <f t="shared" si="142"/>
      </c>
      <c r="T728" s="4">
        <f t="shared" si="143"/>
      </c>
      <c r="U728" s="4">
        <f t="shared" si="150"/>
        <v/>
      </c>
    </row>
    <row r="729" spans="1:21" x14ac:dyDescent="0.3">
      <c r="A729" s="4">
        <f t="shared" si="139"/>
        <v/>
      </c>
      <c r="B729" s="4">
        <f>IF(C729=1,MAX(B$2:$B728)+1,IF(F729=0,"",B728))</f>
        <v/>
      </c>
      <c r="C729" s="4">
        <f>COUNTIF($F$2:$F729,F729)</f>
      </c>
      <c r="D729" s="4">
        <f>IF(F729=0,0,MAX($D$2:D728)+1)</f>
      </c>
      <c r="E729" s="4">
        <f>IF(H729=0,0,MAX($E$2:E728)+1)</f>
      </c>
      <c r="F729" s="119"/>
      <c r="G729" s="119"/>
      <c r="H729" s="119"/>
      <c r="I729" s="4">
        <f>IFERROR(VLOOKUP(H729,H$2:H728,1,FALSE),VLOOKUP(H729,H$478:H730,1,FALSE))</f>
      </c>
      <c r="J729" s="4">
        <f t="shared" si="144"/>
        <v/>
      </c>
      <c r="K729" s="4">
        <f t="shared" si="145"/>
        <v/>
      </c>
      <c r="L729" s="4">
        <f t="shared" si="146"/>
        <v/>
      </c>
      <c r="M729" s="5">
        <f t="shared" si="140"/>
        <v/>
      </c>
      <c r="N729" s="4">
        <f t="shared" si="147"/>
        <v/>
      </c>
      <c r="O729" s="4"/>
      <c r="P729" s="4">
        <f t="shared" si="148"/>
        <v/>
      </c>
      <c r="Q729" s="4">
        <f t="shared" si="149"/>
        <v/>
      </c>
      <c r="R729" s="4">
        <f t="shared" si="141"/>
      </c>
      <c r="S729" s="4">
        <f t="shared" si="142"/>
      </c>
      <c r="T729" s="4">
        <f t="shared" si="143"/>
      </c>
      <c r="U729" s="4">
        <f t="shared" si="150"/>
        <v/>
      </c>
    </row>
    <row r="730" spans="1:21" x14ac:dyDescent="0.3">
      <c r="A730" s="4">
        <f t="shared" si="139"/>
        <v/>
      </c>
      <c r="B730" s="4">
        <f>IF(C730=1,MAX(B$2:$B729)+1,IF(F730=0,"",B729))</f>
        <v/>
      </c>
      <c r="C730" s="4">
        <f>COUNTIF($F$2:$F730,F730)</f>
      </c>
      <c r="D730" s="4">
        <f>IF(F730=0,0,MAX($D$2:D729)+1)</f>
      </c>
      <c r="E730" s="4">
        <f>IF(H730=0,0,MAX($E$2:E729)+1)</f>
      </c>
      <c r="F730" s="119"/>
      <c r="G730" s="119"/>
      <c r="H730" s="119"/>
      <c r="I730" s="4">
        <f>IFERROR(VLOOKUP(H730,H$2:H729,1,FALSE),VLOOKUP(H730,H$478:H731,1,FALSE))</f>
      </c>
      <c r="J730" s="4">
        <f t="shared" si="144"/>
        <v/>
      </c>
      <c r="K730" s="4">
        <f t="shared" si="145"/>
        <v/>
      </c>
      <c r="L730" s="4">
        <f t="shared" si="146"/>
        <v/>
      </c>
      <c r="M730" s="5">
        <f t="shared" si="140"/>
        <v/>
      </c>
      <c r="N730" s="4">
        <f t="shared" si="147"/>
        <v/>
      </c>
      <c r="O730" s="4"/>
      <c r="P730" s="4">
        <f t="shared" si="148"/>
        <v/>
      </c>
      <c r="Q730" s="4">
        <f t="shared" si="149"/>
        <v/>
      </c>
      <c r="R730" s="4">
        <f t="shared" si="141"/>
      </c>
      <c r="S730" s="4">
        <f t="shared" si="142"/>
      </c>
      <c r="T730" s="4">
        <f t="shared" si="143"/>
      </c>
      <c r="U730" s="4">
        <f t="shared" si="150"/>
        <v/>
      </c>
    </row>
    <row r="731" spans="1:21" x14ac:dyDescent="0.3">
      <c r="A731" s="4">
        <f t="shared" si="139"/>
        <v/>
      </c>
      <c r="B731" s="4">
        <f>IF(C731=1,MAX(B$2:$B730)+1,IF(F731=0,"",B730))</f>
        <v/>
      </c>
      <c r="C731" s="4">
        <f>COUNTIF($F$2:$F731,F731)</f>
      </c>
      <c r="D731" s="4">
        <f>IF(F731=0,0,MAX($D$2:D730)+1)</f>
      </c>
      <c r="E731" s="4">
        <f>IF(H731=0,0,MAX($E$2:E730)+1)</f>
      </c>
      <c r="F731" s="119"/>
      <c r="G731" s="119"/>
      <c r="H731" s="119"/>
      <c r="I731" s="4">
        <f>IFERROR(VLOOKUP(H731,H$2:H730,1,FALSE),VLOOKUP(H731,H$478:H732,1,FALSE))</f>
      </c>
      <c r="J731" s="4">
        <f t="shared" si="144"/>
        <v/>
      </c>
      <c r="K731" s="4">
        <f t="shared" si="145"/>
        <v/>
      </c>
      <c r="L731" s="4">
        <f t="shared" si="146"/>
        <v/>
      </c>
      <c r="M731" s="5">
        <f t="shared" si="140"/>
        <v/>
      </c>
      <c r="N731" s="4">
        <f t="shared" si="147"/>
        <v/>
      </c>
      <c r="O731" s="4"/>
      <c r="P731" s="4">
        <f t="shared" si="148"/>
        <v/>
      </c>
      <c r="Q731" s="4">
        <f t="shared" si="149"/>
        <v/>
      </c>
      <c r="R731" s="4">
        <f t="shared" si="141"/>
      </c>
      <c r="S731" s="4">
        <f t="shared" si="142"/>
      </c>
      <c r="T731" s="4">
        <f t="shared" si="143"/>
      </c>
      <c r="U731" s="4">
        <f t="shared" si="150"/>
        <v/>
      </c>
    </row>
    <row r="732" spans="1:21" x14ac:dyDescent="0.3">
      <c r="A732" s="4">
        <f t="shared" si="139"/>
        <v/>
      </c>
      <c r="B732" s="4">
        <f>IF(C732=1,MAX(B$2:$B731)+1,IF(F732=0,"",B731))</f>
        <v/>
      </c>
      <c r="C732" s="4">
        <f>COUNTIF($F$2:$F732,F732)</f>
      </c>
      <c r="D732" s="4">
        <f>IF(F732=0,0,MAX($D$2:D731)+1)</f>
      </c>
      <c r="E732" s="4">
        <f>IF(H732=0,0,MAX($E$2:E731)+1)</f>
      </c>
      <c r="F732" s="119"/>
      <c r="G732" s="119"/>
      <c r="H732" s="119"/>
      <c r="I732" s="4">
        <f>IFERROR(VLOOKUP(H732,H$2:H731,1,FALSE),VLOOKUP(H732,H$478:H733,1,FALSE))</f>
      </c>
      <c r="J732" s="4">
        <f t="shared" si="144"/>
        <v/>
      </c>
      <c r="K732" s="4">
        <f t="shared" si="145"/>
        <v/>
      </c>
      <c r="L732" s="4">
        <f t="shared" si="146"/>
        <v/>
      </c>
      <c r="M732" s="5">
        <f t="shared" si="140"/>
        <v/>
      </c>
      <c r="N732" s="4">
        <f t="shared" si="147"/>
        <v/>
      </c>
      <c r="O732" s="4"/>
      <c r="P732" s="4">
        <f t="shared" si="148"/>
        <v/>
      </c>
      <c r="Q732" s="4">
        <f t="shared" si="149"/>
        <v/>
      </c>
      <c r="R732" s="4">
        <f t="shared" si="141"/>
      </c>
      <c r="S732" s="4">
        <f t="shared" si="142"/>
      </c>
      <c r="T732" s="4">
        <f t="shared" si="143"/>
      </c>
      <c r="U732" s="4">
        <f t="shared" si="150"/>
        <v/>
      </c>
    </row>
    <row r="733" spans="1:21" x14ac:dyDescent="0.3">
      <c r="A733" s="4">
        <f t="shared" si="139"/>
        <v/>
      </c>
      <c r="B733" s="4">
        <f>IF(C733=1,MAX(B$2:$B732)+1,IF(F733=0,"",B732))</f>
        <v/>
      </c>
      <c r="C733" s="4">
        <f>COUNTIF($F$2:$F733,F733)</f>
      </c>
      <c r="D733" s="4">
        <f>IF(F733=0,0,MAX($D$2:D732)+1)</f>
      </c>
      <c r="E733" s="4">
        <f>IF(H733=0,0,MAX($E$2:E732)+1)</f>
      </c>
      <c r="F733" s="119"/>
      <c r="G733" s="119"/>
      <c r="H733" s="119"/>
      <c r="I733" s="4">
        <f>IFERROR(VLOOKUP(H733,H$2:H732,1,FALSE),VLOOKUP(H733,H$478:H734,1,FALSE))</f>
      </c>
      <c r="J733" s="4">
        <f t="shared" si="144"/>
        <v/>
      </c>
      <c r="K733" s="4">
        <f t="shared" si="145"/>
        <v/>
      </c>
      <c r="L733" s="4">
        <f t="shared" si="146"/>
        <v/>
      </c>
      <c r="M733" s="5">
        <f t="shared" si="140"/>
        <v/>
      </c>
      <c r="N733" s="4">
        <f t="shared" si="147"/>
        <v/>
      </c>
      <c r="O733" s="4"/>
      <c r="P733" s="4">
        <f t="shared" si="148"/>
        <v/>
      </c>
      <c r="Q733" s="4">
        <f t="shared" si="149"/>
        <v/>
      </c>
      <c r="R733" s="4">
        <f t="shared" si="141"/>
      </c>
      <c r="S733" s="4">
        <f t="shared" si="142"/>
      </c>
      <c r="T733" s="4">
        <f t="shared" si="143"/>
      </c>
      <c r="U733" s="4">
        <f t="shared" si="150"/>
        <v/>
      </c>
    </row>
    <row r="734" spans="1:21" x14ac:dyDescent="0.3">
      <c r="A734" s="4">
        <f t="shared" si="139"/>
        <v/>
      </c>
      <c r="B734" s="4">
        <f>IF(C734=1,MAX(B$2:$B733)+1,IF(F734=0,"",B733))</f>
        <v/>
      </c>
      <c r="C734" s="4">
        <f>COUNTIF($F$2:$F734,F734)</f>
      </c>
      <c r="D734" s="4">
        <f>IF(F734=0,0,MAX($D$2:D733)+1)</f>
      </c>
      <c r="E734" s="4">
        <f>IF(H734=0,0,MAX($E$2:E733)+1)</f>
      </c>
      <c r="F734" s="119"/>
      <c r="G734" s="119"/>
      <c r="H734" s="119"/>
      <c r="I734" s="4">
        <f>IFERROR(VLOOKUP(H734,H$2:H733,1,FALSE),VLOOKUP(H734,H$478:H735,1,FALSE))</f>
      </c>
      <c r="J734" s="4">
        <f t="shared" si="144"/>
        <v/>
      </c>
      <c r="K734" s="4">
        <f t="shared" si="145"/>
        <v/>
      </c>
      <c r="L734" s="4">
        <f t="shared" si="146"/>
        <v/>
      </c>
      <c r="M734" s="5">
        <f t="shared" si="140"/>
        <v/>
      </c>
      <c r="N734" s="4">
        <f t="shared" si="147"/>
        <v/>
      </c>
      <c r="O734" s="4"/>
      <c r="P734" s="4">
        <f t="shared" si="148"/>
        <v/>
      </c>
      <c r="Q734" s="4">
        <f t="shared" si="149"/>
        <v/>
      </c>
      <c r="R734" s="4">
        <f t="shared" si="141"/>
      </c>
      <c r="S734" s="4">
        <f t="shared" si="142"/>
      </c>
      <c r="T734" s="4">
        <f t="shared" si="143"/>
      </c>
      <c r="U734" s="4">
        <f t="shared" si="150"/>
        <v/>
      </c>
    </row>
    <row r="735" spans="1:21" x14ac:dyDescent="0.3">
      <c r="A735" s="4">
        <f t="shared" ref="A735:A798" si="151">IF(B735=B736,"",B735)</f>
        <v/>
      </c>
      <c r="B735" s="4">
        <f>IF(C735=1,MAX(B$2:$B734)+1,IF(F735=0,"",B734))</f>
        <v/>
      </c>
      <c r="C735" s="4">
        <f>COUNTIF($F$2:$F735,F735)</f>
      </c>
      <c r="D735" s="4">
        <f>IF(F735=0,0,MAX($D$2:D734)+1)</f>
      </c>
      <c r="E735" s="4">
        <f>IF(H735=0,0,MAX($E$2:E734)+1)</f>
      </c>
      <c r="F735" s="119"/>
      <c r="G735" s="119"/>
      <c r="H735" s="119"/>
      <c r="I735" s="4">
        <f>IFERROR(VLOOKUP(H735,H$2:H734,1,FALSE),VLOOKUP(H735,H$478:H736,1,FALSE))</f>
      </c>
      <c r="J735" s="4">
        <f t="shared" si="144"/>
        <v/>
      </c>
      <c r="K735" s="4">
        <f t="shared" si="145"/>
        <v/>
      </c>
      <c r="L735" s="4">
        <f t="shared" si="146"/>
        <v/>
      </c>
      <c r="M735" s="5">
        <f t="shared" ref="M735:M798" si="152">IFERROR(VLOOKUP(H735,Нагрузка_диапазон_1,4,FALSE),"")</f>
        <v/>
      </c>
      <c r="N735" s="4">
        <f t="shared" si="147"/>
        <v/>
      </c>
      <c r="O735" s="4"/>
      <c r="P735" s="4">
        <f t="shared" si="148"/>
        <v/>
      </c>
      <c r="Q735" s="4">
        <f t="shared" si="149"/>
        <v/>
      </c>
      <c r="R735" s="4">
        <f t="shared" ref="R735:R798" si="153">IF(Q735=3,"L1,L2,L3",0)</f>
      </c>
      <c r="S735" s="4">
        <f t="shared" ref="S735:S798" si="154">IF(C735=1,1,IF(Q735=3,S734,IF(S734=3,1,S734+1)))</f>
      </c>
      <c r="T735" s="4">
        <f t="shared" ref="T735:T798" si="155">IF(R735=0,"L"&amp;S735,R735)</f>
      </c>
      <c r="U735" s="4">
        <f t="shared" si="150"/>
        <v/>
      </c>
    </row>
    <row r="736" spans="1:21" x14ac:dyDescent="0.3">
      <c r="A736" s="4">
        <f t="shared" si="151"/>
        <v/>
      </c>
      <c r="B736" s="4">
        <f>IF(C736=1,MAX(B$2:$B735)+1,IF(F736=0,"",B735))</f>
        <v/>
      </c>
      <c r="C736" s="4">
        <f>COUNTIF($F$2:$F736,F736)</f>
      </c>
      <c r="D736" s="4">
        <f>IF(F736=0,0,MAX($D$2:D735)+1)</f>
      </c>
      <c r="E736" s="4">
        <f>IF(H736=0,0,MAX($E$2:E735)+1)</f>
      </c>
      <c r="F736" s="119"/>
      <c r="G736" s="119"/>
      <c r="H736" s="119"/>
      <c r="I736" s="4">
        <f>IFERROR(VLOOKUP(H736,H$2:H735,1,FALSE),VLOOKUP(H736,H$478:H737,1,FALSE))</f>
      </c>
      <c r="J736" s="4">
        <f t="shared" si="144"/>
        <v/>
      </c>
      <c r="K736" s="4">
        <f t="shared" si="145"/>
        <v/>
      </c>
      <c r="L736" s="4">
        <f t="shared" si="146"/>
        <v/>
      </c>
      <c r="M736" s="5">
        <f t="shared" si="152"/>
        <v/>
      </c>
      <c r="N736" s="4">
        <f t="shared" si="147"/>
        <v/>
      </c>
      <c r="O736" s="4"/>
      <c r="P736" s="4">
        <f t="shared" si="148"/>
        <v/>
      </c>
      <c r="Q736" s="4">
        <f t="shared" si="149"/>
        <v/>
      </c>
      <c r="R736" s="4">
        <f t="shared" si="153"/>
      </c>
      <c r="S736" s="4">
        <f t="shared" si="154"/>
      </c>
      <c r="T736" s="4">
        <f t="shared" si="155"/>
      </c>
      <c r="U736" s="4">
        <f t="shared" si="150"/>
        <v/>
      </c>
    </row>
    <row r="737" spans="1:21" x14ac:dyDescent="0.3">
      <c r="A737" s="4">
        <f t="shared" si="151"/>
        <v/>
      </c>
      <c r="B737" s="4">
        <f>IF(C737=1,MAX(B$2:$B736)+1,IF(F737=0,"",B736))</f>
        <v/>
      </c>
      <c r="C737" s="4">
        <f>COUNTIF($F$2:$F737,F737)</f>
      </c>
      <c r="D737" s="4">
        <f>IF(F737=0,0,MAX($D$2:D736)+1)</f>
      </c>
      <c r="E737" s="4">
        <f>IF(H737=0,0,MAX($E$2:E736)+1)</f>
      </c>
      <c r="F737" s="119"/>
      <c r="G737" s="119"/>
      <c r="H737" s="119"/>
      <c r="I737" s="4">
        <f>IFERROR(VLOOKUP(H737,H$2:H736,1,FALSE),VLOOKUP(H737,H$478:H738,1,FALSE))</f>
      </c>
      <c r="J737" s="4">
        <f t="shared" si="144"/>
        <v/>
      </c>
      <c r="K737" s="4">
        <f t="shared" si="145"/>
        <v/>
      </c>
      <c r="L737" s="4">
        <f t="shared" si="146"/>
        <v/>
      </c>
      <c r="M737" s="5">
        <f t="shared" si="152"/>
        <v/>
      </c>
      <c r="N737" s="4">
        <f t="shared" si="147"/>
        <v/>
      </c>
      <c r="O737" s="4"/>
      <c r="P737" s="4">
        <f t="shared" si="148"/>
        <v/>
      </c>
      <c r="Q737" s="4">
        <f t="shared" si="149"/>
        <v/>
      </c>
      <c r="R737" s="4">
        <f t="shared" si="153"/>
      </c>
      <c r="S737" s="4">
        <f t="shared" si="154"/>
      </c>
      <c r="T737" s="4">
        <f t="shared" si="155"/>
      </c>
      <c r="U737" s="4">
        <f t="shared" si="150"/>
        <v/>
      </c>
    </row>
    <row r="738" spans="1:21" x14ac:dyDescent="0.3">
      <c r="A738" s="4">
        <f t="shared" si="151"/>
        <v/>
      </c>
      <c r="B738" s="4">
        <f>IF(C738=1,MAX(B$2:$B737)+1,IF(F738=0,"",B737))</f>
        <v/>
      </c>
      <c r="C738" s="4">
        <f>COUNTIF($F$2:$F738,F738)</f>
      </c>
      <c r="D738" s="4">
        <f>IF(F738=0,0,MAX($D$2:D737)+1)</f>
      </c>
      <c r="E738" s="4">
        <f>IF(H738=0,0,MAX($E$2:E737)+1)</f>
      </c>
      <c r="F738" s="119"/>
      <c r="G738" s="119"/>
      <c r="H738" s="119"/>
      <c r="I738" s="4">
        <f>IFERROR(VLOOKUP(H738,H$2:H737,1,FALSE),VLOOKUP(H738,H$478:H739,1,FALSE))</f>
      </c>
      <c r="J738" s="4">
        <f t="shared" si="144"/>
        <v/>
      </c>
      <c r="K738" s="4">
        <f t="shared" si="145"/>
        <v/>
      </c>
      <c r="L738" s="4">
        <f t="shared" si="146"/>
        <v/>
      </c>
      <c r="M738" s="5">
        <f t="shared" si="152"/>
        <v/>
      </c>
      <c r="N738" s="4">
        <f t="shared" si="147"/>
        <v/>
      </c>
      <c r="O738" s="4"/>
      <c r="P738" s="4">
        <f t="shared" si="148"/>
        <v/>
      </c>
      <c r="Q738" s="4">
        <f t="shared" si="149"/>
        <v/>
      </c>
      <c r="R738" s="4">
        <f t="shared" si="153"/>
      </c>
      <c r="S738" s="4">
        <f t="shared" si="154"/>
      </c>
      <c r="T738" s="4">
        <f t="shared" si="155"/>
      </c>
      <c r="U738" s="4">
        <f t="shared" si="150"/>
        <v/>
      </c>
    </row>
    <row r="739" spans="1:21" x14ac:dyDescent="0.3">
      <c r="A739" s="4">
        <f t="shared" si="151"/>
        <v/>
      </c>
      <c r="B739" s="4">
        <f>IF(C739=1,MAX(B$2:$B738)+1,IF(F739=0,"",B738))</f>
        <v/>
      </c>
      <c r="C739" s="4">
        <f>COUNTIF($F$2:$F739,F739)</f>
      </c>
      <c r="D739" s="4">
        <f>IF(F739=0,0,MAX($D$2:D738)+1)</f>
      </c>
      <c r="E739" s="4">
        <f>IF(H739=0,0,MAX($E$2:E738)+1)</f>
      </c>
      <c r="F739" s="119"/>
      <c r="G739" s="119"/>
      <c r="H739" s="119"/>
      <c r="I739" s="4">
        <f>IFERROR(VLOOKUP(H739,H$2:H738,1,FALSE),VLOOKUP(H739,H$478:H740,1,FALSE))</f>
      </c>
      <c r="J739" s="4">
        <f t="shared" si="144"/>
        <v/>
      </c>
      <c r="K739" s="4">
        <f t="shared" si="145"/>
        <v/>
      </c>
      <c r="L739" s="4">
        <f t="shared" si="146"/>
        <v/>
      </c>
      <c r="M739" s="5">
        <f t="shared" si="152"/>
        <v/>
      </c>
      <c r="N739" s="4">
        <f t="shared" si="147"/>
        <v/>
      </c>
      <c r="O739" s="4"/>
      <c r="P739" s="4">
        <f t="shared" si="148"/>
        <v/>
      </c>
      <c r="Q739" s="4">
        <f t="shared" si="149"/>
        <v/>
      </c>
      <c r="R739" s="4">
        <f t="shared" si="153"/>
      </c>
      <c r="S739" s="4">
        <f t="shared" si="154"/>
      </c>
      <c r="T739" s="4">
        <f t="shared" si="155"/>
      </c>
      <c r="U739" s="4">
        <f t="shared" si="150"/>
        <v/>
      </c>
    </row>
    <row r="740" spans="1:21" x14ac:dyDescent="0.3">
      <c r="A740" s="4">
        <f t="shared" si="151"/>
        <v/>
      </c>
      <c r="B740" s="4">
        <f>IF(C740=1,MAX(B$2:$B739)+1,IF(F740=0,"",B739))</f>
        <v/>
      </c>
      <c r="C740" s="4">
        <f>COUNTIF($F$2:$F740,F740)</f>
      </c>
      <c r="D740" s="4">
        <f>IF(F740=0,0,MAX($D$2:D739)+1)</f>
      </c>
      <c r="E740" s="4">
        <f>IF(H740=0,0,MAX($E$2:E739)+1)</f>
      </c>
      <c r="F740" s="119"/>
      <c r="G740" s="119"/>
      <c r="H740" s="119"/>
      <c r="I740" s="4">
        <f>IFERROR(VLOOKUP(H740,H$2:H739,1,FALSE),VLOOKUP(H740,H$478:H741,1,FALSE))</f>
      </c>
      <c r="J740" s="4">
        <f t="shared" si="144"/>
        <v/>
      </c>
      <c r="K740" s="4">
        <f t="shared" si="145"/>
        <v/>
      </c>
      <c r="L740" s="4">
        <f t="shared" si="146"/>
        <v/>
      </c>
      <c r="M740" s="5">
        <f t="shared" si="152"/>
        <v/>
      </c>
      <c r="N740" s="4">
        <f t="shared" si="147"/>
        <v/>
      </c>
      <c r="O740" s="4"/>
      <c r="P740" s="4">
        <f t="shared" si="148"/>
        <v/>
      </c>
      <c r="Q740" s="4">
        <f t="shared" si="149"/>
        <v/>
      </c>
      <c r="R740" s="4">
        <f t="shared" si="153"/>
      </c>
      <c r="S740" s="4">
        <f t="shared" si="154"/>
      </c>
      <c r="T740" s="4">
        <f t="shared" si="155"/>
      </c>
      <c r="U740" s="4">
        <f t="shared" si="150"/>
        <v/>
      </c>
    </row>
    <row r="741" spans="1:21" x14ac:dyDescent="0.3">
      <c r="A741" s="4">
        <f t="shared" si="151"/>
        <v/>
      </c>
      <c r="B741" s="4">
        <f>IF(C741=1,MAX(B$2:$B740)+1,IF(F741=0,"",B740))</f>
        <v/>
      </c>
      <c r="C741" s="4">
        <f>COUNTIF($F$2:$F741,F741)</f>
      </c>
      <c r="D741" s="4">
        <f>IF(F741=0,0,MAX($D$2:D740)+1)</f>
      </c>
      <c r="E741" s="4">
        <f>IF(H741=0,0,MAX($E$2:E740)+1)</f>
      </c>
      <c r="F741" s="119"/>
      <c r="G741" s="119"/>
      <c r="H741" s="119"/>
      <c r="I741" s="4">
        <f>IFERROR(VLOOKUP(H741,H$2:H740,1,FALSE),VLOOKUP(H741,H$478:H742,1,FALSE))</f>
      </c>
      <c r="J741" s="4">
        <f t="shared" si="144"/>
        <v/>
      </c>
      <c r="K741" s="4">
        <f t="shared" si="145"/>
        <v/>
      </c>
      <c r="L741" s="4">
        <f t="shared" si="146"/>
        <v/>
      </c>
      <c r="M741" s="5">
        <f t="shared" si="152"/>
        <v/>
      </c>
      <c r="N741" s="4">
        <f t="shared" si="147"/>
        <v/>
      </c>
      <c r="O741" s="4"/>
      <c r="P741" s="4">
        <f t="shared" si="148"/>
        <v/>
      </c>
      <c r="Q741" s="4">
        <f t="shared" si="149"/>
        <v/>
      </c>
      <c r="R741" s="4">
        <f t="shared" si="153"/>
      </c>
      <c r="S741" s="4">
        <f t="shared" si="154"/>
      </c>
      <c r="T741" s="4">
        <f t="shared" si="155"/>
      </c>
      <c r="U741" s="4">
        <f t="shared" si="150"/>
        <v/>
      </c>
    </row>
    <row r="742" spans="1:21" x14ac:dyDescent="0.3">
      <c r="A742" s="4">
        <f t="shared" si="151"/>
        <v/>
      </c>
      <c r="B742" s="4">
        <f>IF(C742=1,MAX(B$2:$B741)+1,IF(F742=0,"",B741))</f>
        <v/>
      </c>
      <c r="C742" s="4">
        <f>COUNTIF($F$2:$F742,F742)</f>
      </c>
      <c r="D742" s="4">
        <f>IF(F742=0,0,MAX($D$2:D741)+1)</f>
      </c>
      <c r="E742" s="4">
        <f>IF(H742=0,0,MAX($E$2:E741)+1)</f>
      </c>
      <c r="F742" s="119"/>
      <c r="G742" s="119"/>
      <c r="H742" s="119"/>
      <c r="I742" s="4">
        <f>IFERROR(VLOOKUP(H742,H$2:H741,1,FALSE),VLOOKUP(H742,H$478:H743,1,FALSE))</f>
      </c>
      <c r="J742" s="4">
        <f t="shared" si="144"/>
        <v/>
      </c>
      <c r="K742" s="4">
        <f t="shared" si="145"/>
        <v/>
      </c>
      <c r="L742" s="4">
        <f t="shared" si="146"/>
        <v/>
      </c>
      <c r="M742" s="5">
        <f t="shared" si="152"/>
        <v/>
      </c>
      <c r="N742" s="4">
        <f t="shared" si="147"/>
        <v/>
      </c>
      <c r="O742" s="4"/>
      <c r="P742" s="4">
        <f t="shared" si="148"/>
        <v/>
      </c>
      <c r="Q742" s="4">
        <f t="shared" si="149"/>
        <v/>
      </c>
      <c r="R742" s="4">
        <f t="shared" si="153"/>
      </c>
      <c r="S742" s="4">
        <f t="shared" si="154"/>
      </c>
      <c r="T742" s="4">
        <f t="shared" si="155"/>
      </c>
      <c r="U742" s="4">
        <f t="shared" si="150"/>
        <v/>
      </c>
    </row>
    <row r="743" spans="1:21" x14ac:dyDescent="0.3">
      <c r="A743" s="4">
        <f t="shared" si="151"/>
        <v/>
      </c>
      <c r="B743" s="4">
        <f>IF(C743=1,MAX(B$2:$B742)+1,IF(F743=0,"",B742))</f>
        <v/>
      </c>
      <c r="C743" s="4">
        <f>COUNTIF($F$2:$F743,F743)</f>
      </c>
      <c r="D743" s="4">
        <f>IF(F743=0,0,MAX($D$2:D742)+1)</f>
      </c>
      <c r="E743" s="4">
        <f>IF(H743=0,0,MAX($E$2:E742)+1)</f>
      </c>
      <c r="F743" s="119"/>
      <c r="G743" s="119"/>
      <c r="H743" s="119"/>
      <c r="I743" s="4">
        <f>IFERROR(VLOOKUP(H743,H$2:H742,1,FALSE),VLOOKUP(H743,H$478:H744,1,FALSE))</f>
      </c>
      <c r="J743" s="4">
        <f t="shared" si="144"/>
        <v/>
      </c>
      <c r="K743" s="4">
        <f t="shared" si="145"/>
        <v/>
      </c>
      <c r="L743" s="4">
        <f t="shared" si="146"/>
        <v/>
      </c>
      <c r="M743" s="5">
        <f t="shared" si="152"/>
        <v/>
      </c>
      <c r="N743" s="4">
        <f t="shared" si="147"/>
        <v/>
      </c>
      <c r="O743" s="4"/>
      <c r="P743" s="4">
        <f t="shared" si="148"/>
        <v/>
      </c>
      <c r="Q743" s="4">
        <f t="shared" si="149"/>
        <v/>
      </c>
      <c r="R743" s="4">
        <f t="shared" si="153"/>
      </c>
      <c r="S743" s="4">
        <f t="shared" si="154"/>
      </c>
      <c r="T743" s="4">
        <f t="shared" si="155"/>
      </c>
      <c r="U743" s="4">
        <f t="shared" si="150"/>
        <v/>
      </c>
    </row>
    <row r="744" spans="1:21" x14ac:dyDescent="0.3">
      <c r="A744" s="4">
        <f t="shared" si="151"/>
        <v/>
      </c>
      <c r="B744" s="4">
        <f>IF(C744=1,MAX(B$2:$B743)+1,IF(F744=0,"",B743))</f>
        <v/>
      </c>
      <c r="C744" s="4">
        <f>COUNTIF($F$2:$F744,F744)</f>
      </c>
      <c r="D744" s="4">
        <f>IF(F744=0,0,MAX($D$2:D743)+1)</f>
      </c>
      <c r="E744" s="4">
        <f>IF(H744=0,0,MAX($E$2:E743)+1)</f>
      </c>
      <c r="F744" s="119"/>
      <c r="G744" s="119"/>
      <c r="H744" s="119"/>
      <c r="I744" s="4">
        <f>IFERROR(VLOOKUP(H744,H$2:H743,1,FALSE),VLOOKUP(H744,H$478:H745,1,FALSE))</f>
      </c>
      <c r="J744" s="4">
        <f t="shared" si="144"/>
        <v/>
      </c>
      <c r="K744" s="4">
        <f t="shared" si="145"/>
        <v/>
      </c>
      <c r="L744" s="4">
        <f t="shared" si="146"/>
        <v/>
      </c>
      <c r="M744" s="5">
        <f t="shared" si="152"/>
        <v/>
      </c>
      <c r="N744" s="4">
        <f t="shared" si="147"/>
        <v/>
      </c>
      <c r="O744" s="4"/>
      <c r="P744" s="4">
        <f t="shared" si="148"/>
        <v/>
      </c>
      <c r="Q744" s="4">
        <f t="shared" si="149"/>
        <v/>
      </c>
      <c r="R744" s="4">
        <f t="shared" si="153"/>
      </c>
      <c r="S744" s="4">
        <f t="shared" si="154"/>
      </c>
      <c r="T744" s="4">
        <f t="shared" si="155"/>
      </c>
      <c r="U744" s="4">
        <f t="shared" si="150"/>
        <v/>
      </c>
    </row>
    <row r="745" spans="1:21" x14ac:dyDescent="0.3">
      <c r="A745" s="4">
        <f t="shared" si="151"/>
        <v/>
      </c>
      <c r="B745" s="4">
        <f>IF(C745=1,MAX(B$2:$B744)+1,IF(F745=0,"",B744))</f>
        <v/>
      </c>
      <c r="C745" s="4">
        <f>COUNTIF($F$2:$F745,F745)</f>
      </c>
      <c r="D745" s="4">
        <f>IF(F745=0,0,MAX($D$2:D744)+1)</f>
      </c>
      <c r="E745" s="4">
        <f>IF(H745=0,0,MAX($E$2:E744)+1)</f>
      </c>
      <c r="F745" s="119"/>
      <c r="G745" s="119"/>
      <c r="H745" s="119"/>
      <c r="I745" s="4">
        <f>IFERROR(VLOOKUP(H745,H$2:H744,1,FALSE),VLOOKUP(H745,H$478:H746,1,FALSE))</f>
      </c>
      <c r="J745" s="4">
        <f t="shared" si="144"/>
        <v/>
      </c>
      <c r="K745" s="4">
        <f t="shared" si="145"/>
        <v/>
      </c>
      <c r="L745" s="4">
        <f t="shared" si="146"/>
        <v/>
      </c>
      <c r="M745" s="5">
        <f t="shared" si="152"/>
        <v/>
      </c>
      <c r="N745" s="4">
        <f t="shared" si="147"/>
        <v/>
      </c>
      <c r="O745" s="4"/>
      <c r="P745" s="4">
        <f t="shared" si="148"/>
        <v/>
      </c>
      <c r="Q745" s="4">
        <f t="shared" si="149"/>
        <v/>
      </c>
      <c r="R745" s="4">
        <f t="shared" si="153"/>
      </c>
      <c r="S745" s="4">
        <f t="shared" si="154"/>
      </c>
      <c r="T745" s="4">
        <f t="shared" si="155"/>
      </c>
      <c r="U745" s="4">
        <f t="shared" si="150"/>
        <v/>
      </c>
    </row>
    <row r="746" spans="1:21" x14ac:dyDescent="0.3">
      <c r="A746" s="4">
        <f t="shared" si="151"/>
        <v/>
      </c>
      <c r="B746" s="4">
        <f>IF(C746=1,MAX(B$2:$B745)+1,IF(F746=0,"",B745))</f>
        <v/>
      </c>
      <c r="C746" s="4">
        <f>COUNTIF($F$2:$F746,F746)</f>
      </c>
      <c r="D746" s="4">
        <f>IF(F746=0,0,MAX($D$2:D745)+1)</f>
      </c>
      <c r="E746" s="4">
        <f>IF(H746=0,0,MAX($E$2:E745)+1)</f>
      </c>
      <c r="F746" s="119"/>
      <c r="G746" s="119"/>
      <c r="H746" s="119"/>
      <c r="I746" s="4">
        <f>IFERROR(VLOOKUP(H746,H$2:H745,1,FALSE),VLOOKUP(H746,H$478:H747,1,FALSE))</f>
      </c>
      <c r="J746" s="4">
        <f t="shared" si="144"/>
        <v/>
      </c>
      <c r="K746" s="4">
        <f t="shared" si="145"/>
        <v/>
      </c>
      <c r="L746" s="4">
        <f t="shared" si="146"/>
        <v/>
      </c>
      <c r="M746" s="5">
        <f t="shared" si="152"/>
        <v/>
      </c>
      <c r="N746" s="4">
        <f t="shared" si="147"/>
        <v/>
      </c>
      <c r="O746" s="4"/>
      <c r="P746" s="4">
        <f t="shared" si="148"/>
        <v/>
      </c>
      <c r="Q746" s="4">
        <f t="shared" si="149"/>
        <v/>
      </c>
      <c r="R746" s="4">
        <f t="shared" si="153"/>
      </c>
      <c r="S746" s="4">
        <f t="shared" si="154"/>
      </c>
      <c r="T746" s="4">
        <f t="shared" si="155"/>
      </c>
      <c r="U746" s="4">
        <f t="shared" si="150"/>
        <v/>
      </c>
    </row>
    <row r="747" spans="1:21" x14ac:dyDescent="0.3">
      <c r="A747" s="4">
        <f t="shared" si="151"/>
        <v/>
      </c>
      <c r="B747" s="4">
        <f>IF(C747=1,MAX(B$2:$B746)+1,IF(F747=0,"",B746))</f>
        <v/>
      </c>
      <c r="C747" s="4">
        <f>COUNTIF($F$2:$F747,F747)</f>
      </c>
      <c r="D747" s="4">
        <f>IF(F747=0,0,MAX($D$2:D746)+1)</f>
      </c>
      <c r="E747" s="4">
        <f>IF(H747=0,0,MAX($E$2:E746)+1)</f>
      </c>
      <c r="F747" s="119"/>
      <c r="G747" s="119"/>
      <c r="H747" s="119"/>
      <c r="I747" s="4">
        <f>IFERROR(VLOOKUP(H747,H$2:H746,1,FALSE),VLOOKUP(H747,H$478:H748,1,FALSE))</f>
      </c>
      <c r="J747" s="4">
        <f t="shared" si="144"/>
        <v/>
      </c>
      <c r="K747" s="4">
        <f t="shared" si="145"/>
        <v/>
      </c>
      <c r="L747" s="4">
        <f t="shared" si="146"/>
        <v/>
      </c>
      <c r="M747" s="5">
        <f t="shared" si="152"/>
        <v/>
      </c>
      <c r="N747" s="4">
        <f t="shared" si="147"/>
        <v/>
      </c>
      <c r="O747" s="4"/>
      <c r="P747" s="4">
        <f t="shared" si="148"/>
        <v/>
      </c>
      <c r="Q747" s="4">
        <f t="shared" si="149"/>
        <v/>
      </c>
      <c r="R747" s="4">
        <f t="shared" si="153"/>
      </c>
      <c r="S747" s="4">
        <f t="shared" si="154"/>
      </c>
      <c r="T747" s="4">
        <f t="shared" si="155"/>
      </c>
      <c r="U747" s="4">
        <f t="shared" si="150"/>
        <v/>
      </c>
    </row>
    <row r="748" spans="1:21" x14ac:dyDescent="0.3">
      <c r="A748" s="4">
        <f t="shared" si="151"/>
        <v/>
      </c>
      <c r="B748" s="4">
        <f>IF(C748=1,MAX(B$2:$B747)+1,IF(F748=0,"",B747))</f>
        <v/>
      </c>
      <c r="C748" s="4">
        <f>COUNTIF($F$2:$F748,F748)</f>
      </c>
      <c r="D748" s="4">
        <f>IF(F748=0,0,MAX($D$2:D747)+1)</f>
      </c>
      <c r="E748" s="4">
        <f>IF(H748=0,0,MAX($E$2:E747)+1)</f>
      </c>
      <c r="F748" s="119"/>
      <c r="G748" s="119"/>
      <c r="H748" s="119"/>
      <c r="I748" s="4">
        <f>IFERROR(VLOOKUP(H748,H$2:H747,1,FALSE),VLOOKUP(H748,H$478:H749,1,FALSE))</f>
      </c>
      <c r="J748" s="4">
        <f t="shared" si="144"/>
        <v/>
      </c>
      <c r="K748" s="4">
        <f t="shared" si="145"/>
        <v/>
      </c>
      <c r="L748" s="4">
        <f t="shared" si="146"/>
        <v/>
      </c>
      <c r="M748" s="5">
        <f t="shared" si="152"/>
        <v/>
      </c>
      <c r="N748" s="4">
        <f t="shared" si="147"/>
        <v/>
      </c>
      <c r="O748" s="4"/>
      <c r="P748" s="4">
        <f t="shared" si="148"/>
        <v/>
      </c>
      <c r="Q748" s="4">
        <f t="shared" si="149"/>
        <v/>
      </c>
      <c r="R748" s="4">
        <f t="shared" si="153"/>
      </c>
      <c r="S748" s="4">
        <f t="shared" si="154"/>
      </c>
      <c r="T748" s="4">
        <f t="shared" si="155"/>
      </c>
      <c r="U748" s="4">
        <f t="shared" si="150"/>
        <v/>
      </c>
    </row>
    <row r="749" spans="1:21" x14ac:dyDescent="0.3">
      <c r="A749" s="4">
        <f t="shared" si="151"/>
        <v/>
      </c>
      <c r="B749" s="4">
        <f>IF(C749=1,MAX(B$2:$B748)+1,IF(F749=0,"",B748))</f>
        <v/>
      </c>
      <c r="C749" s="4">
        <f>COUNTIF($F$2:$F749,F749)</f>
      </c>
      <c r="D749" s="4">
        <f>IF(F749=0,0,MAX($D$2:D748)+1)</f>
      </c>
      <c r="E749" s="4">
        <f>IF(H749=0,0,MAX($E$2:E748)+1)</f>
      </c>
      <c r="F749" s="119"/>
      <c r="G749" s="119"/>
      <c r="H749" s="119"/>
      <c r="I749" s="4">
        <f>IFERROR(VLOOKUP(H749,H$2:H748,1,FALSE),VLOOKUP(H749,H$478:H750,1,FALSE))</f>
      </c>
      <c r="J749" s="4">
        <f t="shared" si="144"/>
        <v/>
      </c>
      <c r="K749" s="4">
        <f t="shared" si="145"/>
        <v/>
      </c>
      <c r="L749" s="4">
        <f t="shared" si="146"/>
        <v/>
      </c>
      <c r="M749" s="5">
        <f t="shared" si="152"/>
        <v/>
      </c>
      <c r="N749" s="4">
        <f t="shared" si="147"/>
        <v/>
      </c>
      <c r="O749" s="4"/>
      <c r="P749" s="4">
        <f t="shared" si="148"/>
        <v/>
      </c>
      <c r="Q749" s="4">
        <f t="shared" si="149"/>
        <v/>
      </c>
      <c r="R749" s="4">
        <f t="shared" si="153"/>
      </c>
      <c r="S749" s="4">
        <f t="shared" si="154"/>
      </c>
      <c r="T749" s="4">
        <f t="shared" si="155"/>
      </c>
      <c r="U749" s="4">
        <f t="shared" si="150"/>
        <v/>
      </c>
    </row>
    <row r="750" spans="1:21" x14ac:dyDescent="0.3">
      <c r="A750" s="4">
        <f t="shared" si="151"/>
        <v/>
      </c>
      <c r="B750" s="4">
        <f>IF(C750=1,MAX(B$2:$B749)+1,IF(F750=0,"",B749))</f>
        <v/>
      </c>
      <c r="C750" s="4">
        <f>COUNTIF($F$2:$F750,F750)</f>
      </c>
      <c r="D750" s="4">
        <f>IF(F750=0,0,MAX($D$2:D749)+1)</f>
      </c>
      <c r="E750" s="4">
        <f>IF(H750=0,0,MAX($E$2:E749)+1)</f>
      </c>
      <c r="F750" s="119"/>
      <c r="G750" s="119"/>
      <c r="H750" s="119"/>
      <c r="I750" s="4">
        <f>IFERROR(VLOOKUP(H750,H$2:H749,1,FALSE),VLOOKUP(H750,H$478:H751,1,FALSE))</f>
      </c>
      <c r="J750" s="4">
        <f t="shared" si="144"/>
        <v/>
      </c>
      <c r="K750" s="4">
        <f t="shared" si="145"/>
        <v/>
      </c>
      <c r="L750" s="4">
        <f t="shared" si="146"/>
        <v/>
      </c>
      <c r="M750" s="5">
        <f t="shared" si="152"/>
        <v/>
      </c>
      <c r="N750" s="4">
        <f t="shared" si="147"/>
        <v/>
      </c>
      <c r="O750" s="4"/>
      <c r="P750" s="4">
        <f t="shared" si="148"/>
        <v/>
      </c>
      <c r="Q750" s="4">
        <f t="shared" si="149"/>
        <v/>
      </c>
      <c r="R750" s="4">
        <f t="shared" si="153"/>
      </c>
      <c r="S750" s="4">
        <f t="shared" si="154"/>
      </c>
      <c r="T750" s="4">
        <f t="shared" si="155"/>
      </c>
      <c r="U750" s="4">
        <f t="shared" si="150"/>
        <v/>
      </c>
    </row>
    <row r="751" spans="1:21" x14ac:dyDescent="0.3">
      <c r="A751" s="4">
        <f t="shared" si="151"/>
        <v/>
      </c>
      <c r="B751" s="4">
        <f>IF(C751=1,MAX(B$2:$B750)+1,IF(F751=0,"",B750))</f>
        <v/>
      </c>
      <c r="C751" s="4">
        <f>COUNTIF($F$2:$F751,F751)</f>
      </c>
      <c r="D751" s="4">
        <f>IF(F751=0,0,MAX($D$2:D750)+1)</f>
      </c>
      <c r="E751" s="4">
        <f>IF(H751=0,0,MAX($E$2:E750)+1)</f>
      </c>
      <c r="F751" s="119"/>
      <c r="G751" s="119"/>
      <c r="H751" s="119"/>
      <c r="I751" s="4">
        <f>IFERROR(VLOOKUP(H751,H$2:H750,1,FALSE),VLOOKUP(H751,H$478:H752,1,FALSE))</f>
      </c>
      <c r="J751" s="4">
        <f t="shared" si="144"/>
        <v/>
      </c>
      <c r="K751" s="4">
        <f t="shared" si="145"/>
        <v/>
      </c>
      <c r="L751" s="4">
        <f t="shared" si="146"/>
        <v/>
      </c>
      <c r="M751" s="5">
        <f t="shared" si="152"/>
        <v/>
      </c>
      <c r="N751" s="4">
        <f t="shared" si="147"/>
        <v/>
      </c>
      <c r="O751" s="4"/>
      <c r="P751" s="4">
        <f t="shared" si="148"/>
        <v/>
      </c>
      <c r="Q751" s="4">
        <f t="shared" si="149"/>
        <v/>
      </c>
      <c r="R751" s="4">
        <f t="shared" si="153"/>
      </c>
      <c r="S751" s="4">
        <f t="shared" si="154"/>
      </c>
      <c r="T751" s="4">
        <f t="shared" si="155"/>
      </c>
      <c r="U751" s="4">
        <f t="shared" si="150"/>
        <v/>
      </c>
    </row>
    <row r="752" spans="1:21" x14ac:dyDescent="0.3">
      <c r="A752" s="4">
        <f t="shared" si="151"/>
        <v/>
      </c>
      <c r="B752" s="4">
        <f>IF(C752=1,MAX(B$2:$B751)+1,IF(F752=0,"",B751))</f>
        <v/>
      </c>
      <c r="C752" s="4">
        <f>COUNTIF($F$2:$F752,F752)</f>
      </c>
      <c r="D752" s="4">
        <f>IF(F752=0,0,MAX($D$2:D751)+1)</f>
      </c>
      <c r="E752" s="4">
        <f>IF(H752=0,0,MAX($E$2:E751)+1)</f>
      </c>
      <c r="F752" s="119"/>
      <c r="G752" s="119"/>
      <c r="H752" s="119"/>
      <c r="I752" s="4">
        <f>IFERROR(VLOOKUP(H752,H$2:H751,1,FALSE),VLOOKUP(H752,H$478:H753,1,FALSE))</f>
      </c>
      <c r="J752" s="4">
        <f t="shared" si="144"/>
        <v/>
      </c>
      <c r="K752" s="4">
        <f t="shared" si="145"/>
        <v/>
      </c>
      <c r="L752" s="4">
        <f t="shared" si="146"/>
        <v/>
      </c>
      <c r="M752" s="5">
        <f t="shared" si="152"/>
        <v/>
      </c>
      <c r="N752" s="4">
        <f t="shared" si="147"/>
        <v/>
      </c>
      <c r="O752" s="4"/>
      <c r="P752" s="4">
        <f t="shared" si="148"/>
        <v/>
      </c>
      <c r="Q752" s="4">
        <f t="shared" si="149"/>
        <v/>
      </c>
      <c r="R752" s="4">
        <f t="shared" si="153"/>
      </c>
      <c r="S752" s="4">
        <f t="shared" si="154"/>
      </c>
      <c r="T752" s="4">
        <f t="shared" si="155"/>
      </c>
      <c r="U752" s="4">
        <f t="shared" si="150"/>
        <v/>
      </c>
    </row>
    <row r="753" spans="1:21" x14ac:dyDescent="0.3">
      <c r="A753" s="4">
        <f t="shared" si="151"/>
        <v/>
      </c>
      <c r="B753" s="4">
        <f>IF(C753=1,MAX(B$2:$B752)+1,IF(F753=0,"",B752))</f>
        <v/>
      </c>
      <c r="C753" s="4">
        <f>COUNTIF($F$2:$F753,F753)</f>
      </c>
      <c r="D753" s="4">
        <f>IF(F753=0,0,MAX($D$2:D752)+1)</f>
      </c>
      <c r="E753" s="4">
        <f>IF(H753=0,0,MAX($E$2:E752)+1)</f>
      </c>
      <c r="F753" s="119"/>
      <c r="G753" s="119"/>
      <c r="H753" s="119"/>
      <c r="I753" s="4">
        <f>IFERROR(VLOOKUP(H753,H$2:H752,1,FALSE),VLOOKUP(H753,H$478:H754,1,FALSE))</f>
      </c>
      <c r="J753" s="4">
        <f t="shared" si="144"/>
        <v/>
      </c>
      <c r="K753" s="4">
        <f t="shared" si="145"/>
        <v/>
      </c>
      <c r="L753" s="4">
        <f t="shared" si="146"/>
        <v/>
      </c>
      <c r="M753" s="5">
        <f t="shared" si="152"/>
        <v/>
      </c>
      <c r="N753" s="4">
        <f t="shared" si="147"/>
        <v/>
      </c>
      <c r="O753" s="4"/>
      <c r="P753" s="4">
        <f t="shared" si="148"/>
        <v/>
      </c>
      <c r="Q753" s="4">
        <f t="shared" si="149"/>
        <v/>
      </c>
      <c r="R753" s="4">
        <f t="shared" si="153"/>
      </c>
      <c r="S753" s="4">
        <f t="shared" si="154"/>
      </c>
      <c r="T753" s="4">
        <f t="shared" si="155"/>
      </c>
      <c r="U753" s="4">
        <f t="shared" si="150"/>
        <v/>
      </c>
    </row>
    <row r="754" spans="1:21" x14ac:dyDescent="0.3">
      <c r="A754" s="4">
        <f t="shared" si="151"/>
        <v/>
      </c>
      <c r="B754" s="4">
        <f>IF(C754=1,MAX(B$2:$B753)+1,IF(F754=0,"",B753))</f>
        <v/>
      </c>
      <c r="C754" s="4">
        <f>COUNTIF($F$2:$F754,F754)</f>
      </c>
      <c r="D754" s="4">
        <f>IF(F754=0,0,MAX($D$2:D753)+1)</f>
      </c>
      <c r="E754" s="4">
        <f>IF(H754=0,0,MAX($E$2:E753)+1)</f>
      </c>
      <c r="F754" s="119"/>
      <c r="G754" s="119"/>
      <c r="H754" s="119"/>
      <c r="I754" s="4">
        <f>IFERROR(VLOOKUP(H754,H$2:H753,1,FALSE),VLOOKUP(H754,H$478:H755,1,FALSE))</f>
      </c>
      <c r="J754" s="4">
        <f t="shared" si="144"/>
        <v/>
      </c>
      <c r="K754" s="4">
        <f t="shared" si="145"/>
        <v/>
      </c>
      <c r="L754" s="4">
        <f t="shared" si="146"/>
        <v/>
      </c>
      <c r="M754" s="5">
        <f t="shared" si="152"/>
        <v/>
      </c>
      <c r="N754" s="4">
        <f t="shared" si="147"/>
        <v/>
      </c>
      <c r="O754" s="4"/>
      <c r="P754" s="4">
        <f t="shared" si="148"/>
        <v/>
      </c>
      <c r="Q754" s="4">
        <f t="shared" si="149"/>
        <v/>
      </c>
      <c r="R754" s="4">
        <f t="shared" si="153"/>
      </c>
      <c r="S754" s="4">
        <f t="shared" si="154"/>
      </c>
      <c r="T754" s="4">
        <f t="shared" si="155"/>
      </c>
      <c r="U754" s="4">
        <f t="shared" si="150"/>
        <v/>
      </c>
    </row>
    <row r="755" spans="1:21" x14ac:dyDescent="0.3">
      <c r="A755" s="4">
        <f t="shared" si="151"/>
        <v/>
      </c>
      <c r="B755" s="4">
        <f>IF(C755=1,MAX(B$2:$B754)+1,IF(F755=0,"",B754))</f>
        <v/>
      </c>
      <c r="C755" s="4">
        <f>COUNTIF($F$2:$F755,F755)</f>
      </c>
      <c r="D755" s="4">
        <f>IF(F755=0,0,MAX($D$2:D754)+1)</f>
      </c>
      <c r="E755" s="4">
        <f>IF(H755=0,0,MAX($E$2:E754)+1)</f>
      </c>
      <c r="F755" s="119"/>
      <c r="G755" s="119"/>
      <c r="H755" s="119"/>
      <c r="I755" s="4">
        <f>IFERROR(VLOOKUP(H755,H$2:H754,1,FALSE),VLOOKUP(H755,H$478:H756,1,FALSE))</f>
      </c>
      <c r="J755" s="4">
        <f t="shared" si="144"/>
        <v/>
      </c>
      <c r="K755" s="4">
        <f t="shared" si="145"/>
        <v/>
      </c>
      <c r="L755" s="4">
        <f t="shared" si="146"/>
        <v/>
      </c>
      <c r="M755" s="5">
        <f t="shared" si="152"/>
        <v/>
      </c>
      <c r="N755" s="4">
        <f t="shared" si="147"/>
        <v/>
      </c>
      <c r="O755" s="4"/>
      <c r="P755" s="4">
        <f t="shared" si="148"/>
        <v/>
      </c>
      <c r="Q755" s="4">
        <f t="shared" si="149"/>
        <v/>
      </c>
      <c r="R755" s="4">
        <f t="shared" si="153"/>
      </c>
      <c r="S755" s="4">
        <f t="shared" si="154"/>
      </c>
      <c r="T755" s="4">
        <f t="shared" si="155"/>
      </c>
      <c r="U755" s="4">
        <f t="shared" si="150"/>
        <v/>
      </c>
    </row>
    <row r="756" spans="1:21" x14ac:dyDescent="0.3">
      <c r="A756" s="4">
        <f t="shared" si="151"/>
        <v/>
      </c>
      <c r="B756" s="4">
        <f>IF(C756=1,MAX(B$2:$B755)+1,IF(F756=0,"",B755))</f>
        <v/>
      </c>
      <c r="C756" s="4">
        <f>COUNTIF($F$2:$F756,F756)</f>
      </c>
      <c r="D756" s="4">
        <f>IF(F756=0,0,MAX($D$2:D755)+1)</f>
      </c>
      <c r="E756" s="4">
        <f>IF(H756=0,0,MAX($E$2:E755)+1)</f>
      </c>
      <c r="F756" s="119"/>
      <c r="G756" s="119"/>
      <c r="H756" s="119"/>
      <c r="I756" s="4">
        <f>IFERROR(VLOOKUP(H756,H$2:H755,1,FALSE),VLOOKUP(H756,H$478:H757,1,FALSE))</f>
      </c>
      <c r="J756" s="4">
        <f t="shared" si="144"/>
        <v/>
      </c>
      <c r="K756" s="4">
        <f t="shared" si="145"/>
        <v/>
      </c>
      <c r="L756" s="4">
        <f t="shared" si="146"/>
        <v/>
      </c>
      <c r="M756" s="5">
        <f t="shared" si="152"/>
        <v/>
      </c>
      <c r="N756" s="4">
        <f t="shared" si="147"/>
        <v/>
      </c>
      <c r="O756" s="4"/>
      <c r="P756" s="4">
        <f t="shared" si="148"/>
        <v/>
      </c>
      <c r="Q756" s="4">
        <f t="shared" si="149"/>
        <v/>
      </c>
      <c r="R756" s="4">
        <f t="shared" si="153"/>
      </c>
      <c r="S756" s="4">
        <f t="shared" si="154"/>
      </c>
      <c r="T756" s="4">
        <f t="shared" si="155"/>
      </c>
      <c r="U756" s="4">
        <f t="shared" si="150"/>
        <v/>
      </c>
    </row>
    <row r="757" spans="1:21" x14ac:dyDescent="0.3">
      <c r="A757" s="4">
        <f t="shared" si="151"/>
        <v/>
      </c>
      <c r="B757" s="4">
        <f>IF(C757=1,MAX(B$2:$B756)+1,IF(F757=0,"",B756))</f>
        <v/>
      </c>
      <c r="C757" s="4">
        <f>COUNTIF($F$2:$F757,F757)</f>
      </c>
      <c r="D757" s="4">
        <f>IF(F757=0,0,MAX($D$2:D756)+1)</f>
      </c>
      <c r="E757" s="4">
        <f>IF(H757=0,0,MAX($E$2:E756)+1)</f>
      </c>
      <c r="F757" s="119"/>
      <c r="G757" s="119"/>
      <c r="H757" s="119"/>
      <c r="I757" s="4">
        <f>IFERROR(VLOOKUP(H757,H$2:H756,1,FALSE),VLOOKUP(H757,H$478:H758,1,FALSE))</f>
      </c>
      <c r="J757" s="4">
        <f t="shared" si="144"/>
        <v/>
      </c>
      <c r="K757" s="4">
        <f t="shared" si="145"/>
        <v/>
      </c>
      <c r="L757" s="4">
        <f t="shared" si="146"/>
        <v/>
      </c>
      <c r="M757" s="5">
        <f t="shared" si="152"/>
        <v/>
      </c>
      <c r="N757" s="4">
        <f t="shared" si="147"/>
        <v/>
      </c>
      <c r="O757" s="4"/>
      <c r="P757" s="4">
        <f t="shared" si="148"/>
        <v/>
      </c>
      <c r="Q757" s="4">
        <f t="shared" si="149"/>
        <v/>
      </c>
      <c r="R757" s="4">
        <f t="shared" si="153"/>
      </c>
      <c r="S757" s="4">
        <f t="shared" si="154"/>
      </c>
      <c r="T757" s="4">
        <f t="shared" si="155"/>
      </c>
      <c r="U757" s="4">
        <f t="shared" si="150"/>
        <v/>
      </c>
    </row>
    <row r="758" spans="1:21" x14ac:dyDescent="0.3">
      <c r="A758" s="4">
        <f t="shared" si="151"/>
        <v/>
      </c>
      <c r="B758" s="4">
        <f>IF(C758=1,MAX(B$2:$B757)+1,IF(F758=0,"",B757))</f>
        <v/>
      </c>
      <c r="C758" s="4">
        <f>COUNTIF($F$2:$F758,F758)</f>
      </c>
      <c r="D758" s="4">
        <f>IF(F758=0,0,MAX($D$2:D757)+1)</f>
      </c>
      <c r="E758" s="4">
        <f>IF(H758=0,0,MAX($E$2:E757)+1)</f>
      </c>
      <c r="F758" s="119"/>
      <c r="G758" s="119"/>
      <c r="H758" s="119"/>
      <c r="I758" s="4">
        <f>IFERROR(VLOOKUP(H758,H$2:H757,1,FALSE),VLOOKUP(H758,H$478:H759,1,FALSE))</f>
      </c>
      <c r="J758" s="4">
        <f t="shared" si="144"/>
        <v/>
      </c>
      <c r="K758" s="4">
        <f t="shared" si="145"/>
        <v/>
      </c>
      <c r="L758" s="4">
        <f t="shared" si="146"/>
        <v/>
      </c>
      <c r="M758" s="5">
        <f t="shared" si="152"/>
        <v/>
      </c>
      <c r="N758" s="4">
        <f t="shared" si="147"/>
        <v/>
      </c>
      <c r="O758" s="4"/>
      <c r="P758" s="4">
        <f t="shared" si="148"/>
        <v/>
      </c>
      <c r="Q758" s="4">
        <f t="shared" si="149"/>
        <v/>
      </c>
      <c r="R758" s="4">
        <f t="shared" si="153"/>
      </c>
      <c r="S758" s="4">
        <f t="shared" si="154"/>
      </c>
      <c r="T758" s="4">
        <f t="shared" si="155"/>
      </c>
      <c r="U758" s="4">
        <f t="shared" si="150"/>
        <v/>
      </c>
    </row>
    <row r="759" spans="1:21" x14ac:dyDescent="0.3">
      <c r="A759" s="4">
        <f t="shared" si="151"/>
        <v/>
      </c>
      <c r="B759" s="4">
        <f>IF(C759=1,MAX(B$2:$B758)+1,IF(F759=0,"",B758))</f>
        <v/>
      </c>
      <c r="C759" s="4">
        <f>COUNTIF($F$2:$F759,F759)</f>
      </c>
      <c r="D759" s="4">
        <f>IF(F759=0,0,MAX($D$2:D758)+1)</f>
      </c>
      <c r="E759" s="4">
        <f>IF(H759=0,0,MAX($E$2:E758)+1)</f>
      </c>
      <c r="F759" s="119"/>
      <c r="G759" s="119"/>
      <c r="H759" s="119"/>
      <c r="I759" s="4">
        <f>IFERROR(VLOOKUP(H759,H$2:H758,1,FALSE),VLOOKUP(H759,H$478:H760,1,FALSE))</f>
      </c>
      <c r="J759" s="4">
        <f t="shared" si="144"/>
        <v/>
      </c>
      <c r="K759" s="4">
        <f t="shared" si="145"/>
        <v/>
      </c>
      <c r="L759" s="4">
        <f t="shared" si="146"/>
        <v/>
      </c>
      <c r="M759" s="5">
        <f t="shared" si="152"/>
        <v/>
      </c>
      <c r="N759" s="4">
        <f t="shared" si="147"/>
        <v/>
      </c>
      <c r="O759" s="4"/>
      <c r="P759" s="4">
        <f t="shared" si="148"/>
        <v/>
      </c>
      <c r="Q759" s="4">
        <f t="shared" si="149"/>
        <v/>
      </c>
      <c r="R759" s="4">
        <f t="shared" si="153"/>
      </c>
      <c r="S759" s="4">
        <f t="shared" si="154"/>
      </c>
      <c r="T759" s="4">
        <f t="shared" si="155"/>
      </c>
      <c r="U759" s="4">
        <f t="shared" si="150"/>
        <v/>
      </c>
    </row>
    <row r="760" spans="1:21" x14ac:dyDescent="0.3">
      <c r="A760" s="4">
        <f t="shared" si="151"/>
        <v/>
      </c>
      <c r="B760" s="4">
        <f>IF(C760=1,MAX(B$2:$B759)+1,IF(F760=0,"",B759))</f>
        <v/>
      </c>
      <c r="C760" s="4">
        <f>COUNTIF($F$2:$F760,F760)</f>
      </c>
      <c r="D760" s="4">
        <f>IF(F760=0,0,MAX($D$2:D759)+1)</f>
      </c>
      <c r="E760" s="4">
        <f>IF(H760=0,0,MAX($E$2:E759)+1)</f>
      </c>
      <c r="F760" s="119"/>
      <c r="G760" s="119"/>
      <c r="H760" s="119"/>
      <c r="I760" s="4">
        <f>IFERROR(VLOOKUP(H760,H$2:H759,1,FALSE),VLOOKUP(H760,H$478:H761,1,FALSE))</f>
      </c>
      <c r="J760" s="4">
        <f t="shared" si="144"/>
        <v/>
      </c>
      <c r="K760" s="4">
        <f t="shared" si="145"/>
        <v/>
      </c>
      <c r="L760" s="4">
        <f t="shared" si="146"/>
        <v/>
      </c>
      <c r="M760" s="5">
        <f t="shared" si="152"/>
        <v/>
      </c>
      <c r="N760" s="4">
        <f t="shared" si="147"/>
        <v/>
      </c>
      <c r="O760" s="4"/>
      <c r="P760" s="4">
        <f t="shared" si="148"/>
        <v/>
      </c>
      <c r="Q760" s="4">
        <f t="shared" si="149"/>
        <v/>
      </c>
      <c r="R760" s="4">
        <f t="shared" si="153"/>
      </c>
      <c r="S760" s="4">
        <f t="shared" si="154"/>
      </c>
      <c r="T760" s="4">
        <f t="shared" si="155"/>
      </c>
      <c r="U760" s="4">
        <f t="shared" si="150"/>
        <v/>
      </c>
    </row>
    <row r="761" spans="1:21" x14ac:dyDescent="0.3">
      <c r="A761" s="4">
        <f t="shared" si="151"/>
        <v/>
      </c>
      <c r="B761" s="4">
        <f>IF(C761=1,MAX(B$2:$B760)+1,IF(F761=0,"",B760))</f>
        <v/>
      </c>
      <c r="C761" s="4">
        <f>COUNTIF($F$2:$F761,F761)</f>
      </c>
      <c r="D761" s="4">
        <f>IF(F761=0,0,MAX($D$2:D760)+1)</f>
      </c>
      <c r="E761" s="4">
        <f>IF(H761=0,0,MAX($E$2:E760)+1)</f>
      </c>
      <c r="F761" s="119"/>
      <c r="G761" s="119"/>
      <c r="H761" s="119"/>
      <c r="I761" s="4">
        <f>IFERROR(VLOOKUP(H761,H$2:H760,1,FALSE),VLOOKUP(H761,H$478:H762,1,FALSE))</f>
      </c>
      <c r="J761" s="4">
        <f t="shared" si="144"/>
        <v/>
      </c>
      <c r="K761" s="4">
        <f t="shared" si="145"/>
        <v/>
      </c>
      <c r="L761" s="4">
        <f t="shared" si="146"/>
        <v/>
      </c>
      <c r="M761" s="5">
        <f t="shared" si="152"/>
        <v/>
      </c>
      <c r="N761" s="4">
        <f t="shared" si="147"/>
        <v/>
      </c>
      <c r="O761" s="4"/>
      <c r="P761" s="4">
        <f t="shared" si="148"/>
        <v/>
      </c>
      <c r="Q761" s="4">
        <f t="shared" si="149"/>
        <v/>
      </c>
      <c r="R761" s="4">
        <f t="shared" si="153"/>
      </c>
      <c r="S761" s="4">
        <f t="shared" si="154"/>
      </c>
      <c r="T761" s="4">
        <f t="shared" si="155"/>
      </c>
      <c r="U761" s="4">
        <f t="shared" si="150"/>
        <v/>
      </c>
    </row>
    <row r="762" spans="1:21" x14ac:dyDescent="0.3">
      <c r="A762" s="4">
        <f t="shared" si="151"/>
        <v/>
      </c>
      <c r="B762" s="4">
        <f>IF(C762=1,MAX(B$2:$B761)+1,IF(F762=0,"",B761))</f>
        <v/>
      </c>
      <c r="C762" s="4">
        <f>COUNTIF($F$2:$F762,F762)</f>
      </c>
      <c r="D762" s="4">
        <f>IF(F762=0,0,MAX($D$2:D761)+1)</f>
      </c>
      <c r="E762" s="4">
        <f>IF(H762=0,0,MAX($E$2:E761)+1)</f>
      </c>
      <c r="F762" s="119"/>
      <c r="G762" s="119"/>
      <c r="H762" s="119"/>
      <c r="I762" s="4">
        <f>IFERROR(VLOOKUP(H762,H$2:H761,1,FALSE),VLOOKUP(H762,H$478:H763,1,FALSE))</f>
      </c>
      <c r="J762" s="4">
        <f t="shared" si="144"/>
        <v/>
      </c>
      <c r="K762" s="4">
        <f t="shared" si="145"/>
        <v/>
      </c>
      <c r="L762" s="4">
        <f t="shared" si="146"/>
        <v/>
      </c>
      <c r="M762" s="5">
        <f t="shared" si="152"/>
        <v/>
      </c>
      <c r="N762" s="4">
        <f t="shared" si="147"/>
        <v/>
      </c>
      <c r="O762" s="4"/>
      <c r="P762" s="4">
        <f t="shared" si="148"/>
        <v/>
      </c>
      <c r="Q762" s="4">
        <f t="shared" si="149"/>
        <v/>
      </c>
      <c r="R762" s="4">
        <f t="shared" si="153"/>
      </c>
      <c r="S762" s="4">
        <f t="shared" si="154"/>
      </c>
      <c r="T762" s="4">
        <f t="shared" si="155"/>
      </c>
      <c r="U762" s="4">
        <f t="shared" si="150"/>
        <v/>
      </c>
    </row>
    <row r="763" spans="1:21" x14ac:dyDescent="0.3">
      <c r="A763" s="4">
        <f t="shared" si="151"/>
        <v/>
      </c>
      <c r="B763" s="4">
        <f>IF(C763=1,MAX(B$2:$B762)+1,IF(F763=0,"",B762))</f>
        <v/>
      </c>
      <c r="C763" s="4">
        <f>COUNTIF($F$2:$F763,F763)</f>
      </c>
      <c r="D763" s="4">
        <f>IF(F763=0,0,MAX($D$2:D762)+1)</f>
      </c>
      <c r="E763" s="4">
        <f>IF(H763=0,0,MAX($E$2:E762)+1)</f>
      </c>
      <c r="F763" s="119"/>
      <c r="G763" s="119"/>
      <c r="H763" s="119"/>
      <c r="I763" s="4">
        <f>IFERROR(VLOOKUP(H763,H$2:H762,1,FALSE),VLOOKUP(H763,H$478:H764,1,FALSE))</f>
      </c>
      <c r="J763" s="4">
        <f t="shared" si="144"/>
        <v/>
      </c>
      <c r="K763" s="4">
        <f t="shared" si="145"/>
        <v/>
      </c>
      <c r="L763" s="4">
        <f t="shared" si="146"/>
        <v/>
      </c>
      <c r="M763" s="5">
        <f t="shared" si="152"/>
        <v/>
      </c>
      <c r="N763" s="4">
        <f t="shared" si="147"/>
        <v/>
      </c>
      <c r="O763" s="4"/>
      <c r="P763" s="4">
        <f t="shared" si="148"/>
        <v/>
      </c>
      <c r="Q763" s="4">
        <f t="shared" si="149"/>
        <v/>
      </c>
      <c r="R763" s="4">
        <f t="shared" si="153"/>
      </c>
      <c r="S763" s="4">
        <f t="shared" si="154"/>
      </c>
      <c r="T763" s="4">
        <f t="shared" si="155"/>
      </c>
      <c r="U763" s="4">
        <f t="shared" si="150"/>
        <v/>
      </c>
    </row>
    <row r="764" spans="1:21" x14ac:dyDescent="0.3">
      <c r="A764" s="4">
        <f t="shared" si="151"/>
        <v/>
      </c>
      <c r="B764" s="4">
        <f>IF(C764=1,MAX(B$2:$B763)+1,IF(F764=0,"",B763))</f>
        <v/>
      </c>
      <c r="C764" s="4">
        <f>COUNTIF($F$2:$F764,F764)</f>
      </c>
      <c r="D764" s="4">
        <f>IF(F764=0,0,MAX($D$2:D763)+1)</f>
      </c>
      <c r="E764" s="4">
        <f>IF(H764=0,0,MAX($E$2:E763)+1)</f>
      </c>
      <c r="F764" s="119"/>
      <c r="G764" s="119"/>
      <c r="H764" s="119"/>
      <c r="I764" s="4">
        <f>IFERROR(VLOOKUP(H764,H$2:H763,1,FALSE),VLOOKUP(H764,H$478:H765,1,FALSE))</f>
      </c>
      <c r="J764" s="4">
        <f t="shared" si="144"/>
        <v/>
      </c>
      <c r="K764" s="4">
        <f t="shared" si="145"/>
        <v/>
      </c>
      <c r="L764" s="4">
        <f t="shared" si="146"/>
        <v/>
      </c>
      <c r="M764" s="5">
        <f t="shared" si="152"/>
        <v/>
      </c>
      <c r="N764" s="4">
        <f t="shared" si="147"/>
        <v/>
      </c>
      <c r="O764" s="4"/>
      <c r="P764" s="4">
        <f t="shared" si="148"/>
        <v/>
      </c>
      <c r="Q764" s="4">
        <f t="shared" si="149"/>
        <v/>
      </c>
      <c r="R764" s="4">
        <f t="shared" si="153"/>
      </c>
      <c r="S764" s="4">
        <f t="shared" si="154"/>
      </c>
      <c r="T764" s="4">
        <f t="shared" si="155"/>
      </c>
      <c r="U764" s="4">
        <f t="shared" si="150"/>
        <v/>
      </c>
    </row>
    <row r="765" spans="1:21" x14ac:dyDescent="0.3">
      <c r="A765" s="4">
        <f t="shared" si="151"/>
        <v/>
      </c>
      <c r="B765" s="4">
        <f>IF(C765=1,MAX(B$2:$B764)+1,IF(F765=0,"",B764))</f>
        <v/>
      </c>
      <c r="C765" s="4">
        <f>COUNTIF($F$2:$F765,F765)</f>
      </c>
      <c r="D765" s="4">
        <f>IF(F765=0,0,MAX($D$2:D764)+1)</f>
      </c>
      <c r="E765" s="4">
        <f>IF(H765=0,0,MAX($E$2:E764)+1)</f>
      </c>
      <c r="F765" s="119"/>
      <c r="G765" s="119"/>
      <c r="H765" s="119"/>
      <c r="I765" s="4">
        <f>IFERROR(VLOOKUP(H765,H$2:H764,1,FALSE),VLOOKUP(H765,H$478:H766,1,FALSE))</f>
      </c>
      <c r="J765" s="4">
        <f t="shared" si="144"/>
        <v/>
      </c>
      <c r="K765" s="4">
        <f t="shared" si="145"/>
        <v/>
      </c>
      <c r="L765" s="4">
        <f t="shared" si="146"/>
        <v/>
      </c>
      <c r="M765" s="5">
        <f t="shared" si="152"/>
        <v/>
      </c>
      <c r="N765" s="4">
        <f t="shared" si="147"/>
        <v/>
      </c>
      <c r="O765" s="4"/>
      <c r="P765" s="4">
        <f t="shared" si="148"/>
        <v/>
      </c>
      <c r="Q765" s="4">
        <f t="shared" si="149"/>
        <v/>
      </c>
      <c r="R765" s="4">
        <f t="shared" si="153"/>
      </c>
      <c r="S765" s="4">
        <f t="shared" si="154"/>
      </c>
      <c r="T765" s="4">
        <f t="shared" si="155"/>
      </c>
      <c r="U765" s="4">
        <f t="shared" si="150"/>
        <v/>
      </c>
    </row>
    <row r="766" spans="1:21" x14ac:dyDescent="0.3">
      <c r="A766" s="4">
        <f t="shared" si="151"/>
        <v/>
      </c>
      <c r="B766" s="4">
        <f>IF(C766=1,MAX(B$2:$B765)+1,IF(F766=0,"",B765))</f>
        <v/>
      </c>
      <c r="C766" s="4">
        <f>COUNTIF($F$2:$F766,F766)</f>
      </c>
      <c r="D766" s="4">
        <f>IF(F766=0,0,MAX($D$2:D765)+1)</f>
      </c>
      <c r="E766" s="4">
        <f>IF(H766=0,0,MAX($E$2:E765)+1)</f>
      </c>
      <c r="F766" s="119"/>
      <c r="G766" s="119"/>
      <c r="H766" s="119"/>
      <c r="I766" s="4">
        <f>IFERROR(VLOOKUP(H766,H$2:H765,1,FALSE),VLOOKUP(H766,H$478:H767,1,FALSE))</f>
      </c>
      <c r="J766" s="4">
        <f t="shared" si="144"/>
        <v/>
      </c>
      <c r="K766" s="4">
        <f t="shared" si="145"/>
        <v/>
      </c>
      <c r="L766" s="4">
        <f t="shared" si="146"/>
        <v/>
      </c>
      <c r="M766" s="5">
        <f t="shared" si="152"/>
        <v/>
      </c>
      <c r="N766" s="4">
        <f t="shared" si="147"/>
        <v/>
      </c>
      <c r="O766" s="4"/>
      <c r="P766" s="4">
        <f t="shared" si="148"/>
        <v/>
      </c>
      <c r="Q766" s="4">
        <f t="shared" si="149"/>
        <v/>
      </c>
      <c r="R766" s="4">
        <f t="shared" si="153"/>
      </c>
      <c r="S766" s="4">
        <f t="shared" si="154"/>
      </c>
      <c r="T766" s="4">
        <f t="shared" si="155"/>
      </c>
      <c r="U766" s="4">
        <f t="shared" si="150"/>
        <v/>
      </c>
    </row>
    <row r="767" spans="1:21" x14ac:dyDescent="0.3">
      <c r="A767" s="4">
        <f t="shared" si="151"/>
        <v/>
      </c>
      <c r="B767" s="4">
        <f>IF(C767=1,MAX(B$2:$B766)+1,IF(F767=0,"",B766))</f>
        <v/>
      </c>
      <c r="C767" s="4">
        <f>COUNTIF($F$2:$F767,F767)</f>
      </c>
      <c r="D767" s="4">
        <f>IF(F767=0,0,MAX($D$2:D766)+1)</f>
      </c>
      <c r="E767" s="4">
        <f>IF(H767=0,0,MAX($E$2:E766)+1)</f>
      </c>
      <c r="F767" s="119"/>
      <c r="G767" s="119"/>
      <c r="H767" s="119"/>
      <c r="I767" s="4">
        <f>IFERROR(VLOOKUP(H767,H$2:H766,1,FALSE),VLOOKUP(H767,H$478:H768,1,FALSE))</f>
      </c>
      <c r="J767" s="4">
        <f t="shared" si="144"/>
        <v/>
      </c>
      <c r="K767" s="4">
        <f t="shared" si="145"/>
        <v/>
      </c>
      <c r="L767" s="4">
        <f t="shared" si="146"/>
        <v/>
      </c>
      <c r="M767" s="5">
        <f t="shared" si="152"/>
        <v/>
      </c>
      <c r="N767" s="4">
        <f t="shared" si="147"/>
        <v/>
      </c>
      <c r="O767" s="4"/>
      <c r="P767" s="4">
        <f t="shared" si="148"/>
        <v/>
      </c>
      <c r="Q767" s="4">
        <f t="shared" si="149"/>
        <v/>
      </c>
      <c r="R767" s="4">
        <f t="shared" si="153"/>
      </c>
      <c r="S767" s="4">
        <f t="shared" si="154"/>
      </c>
      <c r="T767" s="4">
        <f t="shared" si="155"/>
      </c>
      <c r="U767" s="4">
        <f t="shared" si="150"/>
        <v/>
      </c>
    </row>
    <row r="768" spans="1:21" x14ac:dyDescent="0.3">
      <c r="A768" s="4">
        <f t="shared" si="151"/>
        <v/>
      </c>
      <c r="B768" s="4">
        <f>IF(C768=1,MAX(B$2:$B767)+1,IF(F768=0,"",B767))</f>
        <v/>
      </c>
      <c r="C768" s="4">
        <f>COUNTIF($F$2:$F768,F768)</f>
      </c>
      <c r="D768" s="4">
        <f>IF(F768=0,0,MAX($D$2:D767)+1)</f>
      </c>
      <c r="E768" s="4">
        <f>IF(H768=0,0,MAX($E$2:E767)+1)</f>
      </c>
      <c r="F768" s="119"/>
      <c r="G768" s="119"/>
      <c r="H768" s="119"/>
      <c r="I768" s="4">
        <f>IFERROR(VLOOKUP(H768,H$2:H767,1,FALSE),VLOOKUP(H768,H$478:H769,1,FALSE))</f>
      </c>
      <c r="J768" s="4">
        <f t="shared" si="144"/>
        <v/>
      </c>
      <c r="K768" s="4">
        <f t="shared" si="145"/>
        <v/>
      </c>
      <c r="L768" s="4">
        <f t="shared" si="146"/>
        <v/>
      </c>
      <c r="M768" s="5">
        <f t="shared" si="152"/>
        <v/>
      </c>
      <c r="N768" s="4">
        <f t="shared" si="147"/>
        <v/>
      </c>
      <c r="O768" s="4"/>
      <c r="P768" s="4">
        <f t="shared" si="148"/>
        <v/>
      </c>
      <c r="Q768" s="4">
        <f t="shared" si="149"/>
        <v/>
      </c>
      <c r="R768" s="4">
        <f t="shared" si="153"/>
      </c>
      <c r="S768" s="4">
        <f t="shared" si="154"/>
      </c>
      <c r="T768" s="4">
        <f t="shared" si="155"/>
      </c>
      <c r="U768" s="4">
        <f t="shared" si="150"/>
        <v/>
      </c>
    </row>
    <row r="769" spans="1:21" x14ac:dyDescent="0.3">
      <c r="A769" s="4">
        <f t="shared" si="151"/>
        <v/>
      </c>
      <c r="B769" s="4">
        <f>IF(C769=1,MAX(B$2:$B768)+1,IF(F769=0,"",B768))</f>
        <v/>
      </c>
      <c r="C769" s="4">
        <f>COUNTIF($F$2:$F769,F769)</f>
      </c>
      <c r="D769" s="4">
        <f>IF(F769=0,0,MAX($D$2:D768)+1)</f>
      </c>
      <c r="E769" s="4">
        <f>IF(H769=0,0,MAX($E$2:E768)+1)</f>
      </c>
      <c r="F769" s="119"/>
      <c r="G769" s="119"/>
      <c r="H769" s="119"/>
      <c r="I769" s="4">
        <f>IFERROR(VLOOKUP(H769,H$2:H768,1,FALSE),VLOOKUP(H769,H$478:H770,1,FALSE))</f>
      </c>
      <c r="J769" s="4">
        <f t="shared" si="144"/>
        <v/>
      </c>
      <c r="K769" s="4">
        <f t="shared" si="145"/>
        <v/>
      </c>
      <c r="L769" s="4">
        <f t="shared" si="146"/>
        <v/>
      </c>
      <c r="M769" s="5">
        <f t="shared" si="152"/>
        <v/>
      </c>
      <c r="N769" s="4">
        <f t="shared" si="147"/>
        <v/>
      </c>
      <c r="O769" s="4"/>
      <c r="P769" s="4">
        <f t="shared" si="148"/>
        <v/>
      </c>
      <c r="Q769" s="4">
        <f t="shared" si="149"/>
        <v/>
      </c>
      <c r="R769" s="4">
        <f t="shared" si="153"/>
      </c>
      <c r="S769" s="4">
        <f t="shared" si="154"/>
      </c>
      <c r="T769" s="4">
        <f t="shared" si="155"/>
      </c>
      <c r="U769" s="4">
        <f t="shared" si="150"/>
        <v/>
      </c>
    </row>
    <row r="770" spans="1:21" x14ac:dyDescent="0.3">
      <c r="A770" s="4">
        <f t="shared" si="151"/>
        <v/>
      </c>
      <c r="B770" s="4">
        <f>IF(C770=1,MAX(B$2:$B769)+1,IF(F770=0,"",B769))</f>
        <v/>
      </c>
      <c r="C770" s="4">
        <f>COUNTIF($F$2:$F770,F770)</f>
      </c>
      <c r="D770" s="4">
        <f>IF(F770=0,0,MAX($D$2:D769)+1)</f>
      </c>
      <c r="E770" s="4">
        <f>IF(H770=0,0,MAX($E$2:E769)+1)</f>
      </c>
      <c r="F770" s="119"/>
      <c r="G770" s="119"/>
      <c r="H770" s="119"/>
      <c r="I770" s="4">
        <f>IFERROR(VLOOKUP(H770,H$2:H769,1,FALSE),VLOOKUP(H770,H$478:H771,1,FALSE))</f>
      </c>
      <c r="J770" s="4">
        <f t="shared" si="144"/>
        <v/>
      </c>
      <c r="K770" s="4">
        <f t="shared" si="145"/>
        <v/>
      </c>
      <c r="L770" s="4">
        <f t="shared" si="146"/>
        <v/>
      </c>
      <c r="M770" s="5">
        <f t="shared" si="152"/>
        <v/>
      </c>
      <c r="N770" s="4">
        <f t="shared" si="147"/>
        <v/>
      </c>
      <c r="O770" s="4"/>
      <c r="P770" s="4">
        <f t="shared" si="148"/>
        <v/>
      </c>
      <c r="Q770" s="4">
        <f t="shared" si="149"/>
        <v/>
      </c>
      <c r="R770" s="4">
        <f t="shared" si="153"/>
      </c>
      <c r="S770" s="4">
        <f t="shared" si="154"/>
      </c>
      <c r="T770" s="4">
        <f t="shared" si="155"/>
      </c>
      <c r="U770" s="4">
        <f t="shared" si="150"/>
        <v/>
      </c>
    </row>
    <row r="771" spans="1:21" x14ac:dyDescent="0.3">
      <c r="A771" s="4">
        <f t="shared" si="151"/>
        <v/>
      </c>
      <c r="B771" s="4">
        <f>IF(C771=1,MAX(B$2:$B770)+1,IF(F771=0,"",B770))</f>
        <v/>
      </c>
      <c r="C771" s="4">
        <f>COUNTIF($F$2:$F771,F771)</f>
      </c>
      <c r="D771" s="4">
        <f>IF(F771=0,0,MAX($D$2:D770)+1)</f>
      </c>
      <c r="E771" s="4">
        <f>IF(H771=0,0,MAX($E$2:E770)+1)</f>
      </c>
      <c r="F771" s="119"/>
      <c r="G771" s="119"/>
      <c r="H771" s="119"/>
      <c r="I771" s="4">
        <f>IFERROR(VLOOKUP(H771,H$2:H770,1,FALSE),VLOOKUP(H771,H$478:H772,1,FALSE))</f>
      </c>
      <c r="J771" s="4">
        <f t="shared" ref="J771:J834" si="156">IF($H771=0,"",VLOOKUP($H771,Исходные_данные,36,FALSE))</f>
        <v/>
      </c>
      <c r="K771" s="4">
        <f t="shared" ref="K771:K834" si="157">IF($H771=0,"",VLOOKUP($H771,Исходные_данные,37,FALSE))</f>
        <v/>
      </c>
      <c r="L771" s="4">
        <f t="shared" ref="L771:L834" si="158">IF($H771=0,"",VLOOKUP($H771,Исходные_данные,38,FALSE))</f>
        <v/>
      </c>
      <c r="M771" s="5">
        <f t="shared" si="152"/>
        <v/>
      </c>
      <c r="N771" s="4">
        <f t="shared" ref="N771:N834" si="159">IF($H771=0,"",VLOOKUP($H771,Исходные_данные,39,FALSE))</f>
        <v/>
      </c>
      <c r="O771" s="4"/>
      <c r="P771" s="4">
        <f t="shared" ref="P771:P834" si="160">IF($H771=0,"",VLOOKUP($H771,Исходные_данные,41,FALSE))</f>
        <v/>
      </c>
      <c r="Q771" s="4">
        <f t="shared" ref="Q771:Q834" si="161">IF($H771=0,"",VLOOKUP($H771,Исходные_данные,8,FALSE))</f>
        <v/>
      </c>
      <c r="R771" s="4">
        <f t="shared" si="153"/>
      </c>
      <c r="S771" s="4">
        <f t="shared" si="154"/>
      </c>
      <c r="T771" s="4">
        <f t="shared" si="155"/>
      </c>
      <c r="U771" s="4">
        <f t="shared" ref="U771:U834" si="162">IF($H771=0,"",VLOOKUP($H771,Исходные_данные,31,FALSE))</f>
        <v/>
      </c>
    </row>
    <row r="772" spans="1:21" x14ac:dyDescent="0.3">
      <c r="A772" s="4">
        <f t="shared" si="151"/>
        <v/>
      </c>
      <c r="B772" s="4">
        <f>IF(C772=1,MAX(B$2:$B771)+1,IF(F772=0,"",B771))</f>
        <v/>
      </c>
      <c r="C772" s="4">
        <f>COUNTIF($F$2:$F772,F772)</f>
      </c>
      <c r="D772" s="4">
        <f>IF(F772=0,0,MAX($D$2:D771)+1)</f>
      </c>
      <c r="E772" s="4">
        <f>IF(H772=0,0,MAX($E$2:E771)+1)</f>
      </c>
      <c r="F772" s="119"/>
      <c r="G772" s="119"/>
      <c r="H772" s="119"/>
      <c r="I772" s="4">
        <f>IFERROR(VLOOKUP(H772,H$2:H771,1,FALSE),VLOOKUP(H772,H$478:H773,1,FALSE))</f>
      </c>
      <c r="J772" s="4">
        <f t="shared" si="156"/>
        <v/>
      </c>
      <c r="K772" s="4">
        <f t="shared" si="157"/>
        <v/>
      </c>
      <c r="L772" s="4">
        <f t="shared" si="158"/>
        <v/>
      </c>
      <c r="M772" s="5">
        <f t="shared" si="152"/>
        <v/>
      </c>
      <c r="N772" s="4">
        <f t="shared" si="159"/>
        <v/>
      </c>
      <c r="O772" s="4"/>
      <c r="P772" s="4">
        <f t="shared" si="160"/>
        <v/>
      </c>
      <c r="Q772" s="4">
        <f t="shared" si="161"/>
        <v/>
      </c>
      <c r="R772" s="4">
        <f t="shared" si="153"/>
      </c>
      <c r="S772" s="4">
        <f t="shared" si="154"/>
      </c>
      <c r="T772" s="4">
        <f t="shared" si="155"/>
      </c>
      <c r="U772" s="4">
        <f t="shared" si="162"/>
        <v/>
      </c>
    </row>
    <row r="773" spans="1:21" x14ac:dyDescent="0.3">
      <c r="A773" s="4">
        <f t="shared" si="151"/>
        <v/>
      </c>
      <c r="B773" s="4">
        <f>IF(C773=1,MAX(B$2:$B772)+1,IF(F773=0,"",B772))</f>
        <v/>
      </c>
      <c r="C773" s="4">
        <f>COUNTIF($F$2:$F773,F773)</f>
      </c>
      <c r="D773" s="4">
        <f>IF(F773=0,0,MAX($D$2:D772)+1)</f>
      </c>
      <c r="E773" s="4">
        <f>IF(H773=0,0,MAX($E$2:E772)+1)</f>
      </c>
      <c r="F773" s="119"/>
      <c r="G773" s="119"/>
      <c r="H773" s="119"/>
      <c r="I773" s="4">
        <f>IFERROR(VLOOKUP(H773,H$2:H772,1,FALSE),VLOOKUP(H773,H$478:H774,1,FALSE))</f>
      </c>
      <c r="J773" s="4">
        <f t="shared" si="156"/>
        <v/>
      </c>
      <c r="K773" s="4">
        <f t="shared" si="157"/>
        <v/>
      </c>
      <c r="L773" s="4">
        <f t="shared" si="158"/>
        <v/>
      </c>
      <c r="M773" s="5">
        <f t="shared" si="152"/>
        <v/>
      </c>
      <c r="N773" s="4">
        <f t="shared" si="159"/>
        <v/>
      </c>
      <c r="O773" s="4"/>
      <c r="P773" s="4">
        <f t="shared" si="160"/>
        <v/>
      </c>
      <c r="Q773" s="4">
        <f t="shared" si="161"/>
        <v/>
      </c>
      <c r="R773" s="4">
        <f t="shared" si="153"/>
      </c>
      <c r="S773" s="4">
        <f t="shared" si="154"/>
      </c>
      <c r="T773" s="4">
        <f t="shared" si="155"/>
      </c>
      <c r="U773" s="4">
        <f t="shared" si="162"/>
        <v/>
      </c>
    </row>
    <row r="774" spans="1:21" x14ac:dyDescent="0.3">
      <c r="A774" s="4">
        <f t="shared" si="151"/>
        <v/>
      </c>
      <c r="B774" s="4">
        <f>IF(C774=1,MAX(B$2:$B773)+1,IF(F774=0,"",B773))</f>
        <v/>
      </c>
      <c r="C774" s="4">
        <f>COUNTIF($F$2:$F774,F774)</f>
      </c>
      <c r="D774" s="4">
        <f>IF(F774=0,0,MAX($D$2:D773)+1)</f>
      </c>
      <c r="E774" s="4">
        <f>IF(H774=0,0,MAX($E$2:E773)+1)</f>
      </c>
      <c r="F774" s="119"/>
      <c r="G774" s="119"/>
      <c r="H774" s="119"/>
      <c r="I774" s="4">
        <f>IFERROR(VLOOKUP(H774,H$2:H773,1,FALSE),VLOOKUP(H774,H$478:H775,1,FALSE))</f>
      </c>
      <c r="J774" s="4">
        <f t="shared" si="156"/>
        <v/>
      </c>
      <c r="K774" s="4">
        <f t="shared" si="157"/>
        <v/>
      </c>
      <c r="L774" s="4">
        <f t="shared" si="158"/>
        <v/>
      </c>
      <c r="M774" s="5">
        <f t="shared" si="152"/>
        <v/>
      </c>
      <c r="N774" s="4">
        <f t="shared" si="159"/>
        <v/>
      </c>
      <c r="O774" s="4"/>
      <c r="P774" s="4">
        <f t="shared" si="160"/>
        <v/>
      </c>
      <c r="Q774" s="4">
        <f t="shared" si="161"/>
        <v/>
      </c>
      <c r="R774" s="4">
        <f t="shared" si="153"/>
      </c>
      <c r="S774" s="4">
        <f t="shared" si="154"/>
      </c>
      <c r="T774" s="4">
        <f t="shared" si="155"/>
      </c>
      <c r="U774" s="4">
        <f t="shared" si="162"/>
        <v/>
      </c>
    </row>
    <row r="775" spans="1:21" x14ac:dyDescent="0.3">
      <c r="A775" s="4">
        <f t="shared" si="151"/>
        <v/>
      </c>
      <c r="B775" s="4">
        <f>IF(C775=1,MAX(B$2:$B774)+1,IF(F775=0,"",B774))</f>
        <v/>
      </c>
      <c r="C775" s="4">
        <f>COUNTIF($F$2:$F775,F775)</f>
      </c>
      <c r="D775" s="4">
        <f>IF(F775=0,0,MAX($D$2:D774)+1)</f>
      </c>
      <c r="E775" s="4">
        <f>IF(H775=0,0,MAX($E$2:E774)+1)</f>
      </c>
      <c r="F775" s="119"/>
      <c r="G775" s="119"/>
      <c r="H775" s="119"/>
      <c r="I775" s="4">
        <f>IFERROR(VLOOKUP(H775,H$2:H774,1,FALSE),VLOOKUP(H775,H$478:H776,1,FALSE))</f>
      </c>
      <c r="J775" s="4">
        <f t="shared" si="156"/>
        <v/>
      </c>
      <c r="K775" s="4">
        <f t="shared" si="157"/>
        <v/>
      </c>
      <c r="L775" s="4">
        <f t="shared" si="158"/>
        <v/>
      </c>
      <c r="M775" s="5">
        <f t="shared" si="152"/>
        <v/>
      </c>
      <c r="N775" s="4">
        <f t="shared" si="159"/>
        <v/>
      </c>
      <c r="O775" s="4"/>
      <c r="P775" s="4">
        <f t="shared" si="160"/>
        <v/>
      </c>
      <c r="Q775" s="4">
        <f t="shared" si="161"/>
        <v/>
      </c>
      <c r="R775" s="4">
        <f t="shared" si="153"/>
      </c>
      <c r="S775" s="4">
        <f t="shared" si="154"/>
      </c>
      <c r="T775" s="4">
        <f t="shared" si="155"/>
      </c>
      <c r="U775" s="4">
        <f t="shared" si="162"/>
        <v/>
      </c>
    </row>
    <row r="776" spans="1:21" x14ac:dyDescent="0.3">
      <c r="A776" s="4">
        <f t="shared" si="151"/>
        <v/>
      </c>
      <c r="B776" s="4">
        <f>IF(C776=1,MAX(B$2:$B775)+1,IF(F776=0,"",B775))</f>
        <v/>
      </c>
      <c r="C776" s="4">
        <f>COUNTIF($F$2:$F776,F776)</f>
      </c>
      <c r="D776" s="4">
        <f>IF(F776=0,0,MAX($D$2:D775)+1)</f>
      </c>
      <c r="E776" s="4">
        <f>IF(H776=0,0,MAX($E$2:E775)+1)</f>
      </c>
      <c r="F776" s="119"/>
      <c r="G776" s="119"/>
      <c r="H776" s="119"/>
      <c r="I776" s="4">
        <f>IFERROR(VLOOKUP(H776,H$2:H775,1,FALSE),VLOOKUP(H776,H$478:H777,1,FALSE))</f>
      </c>
      <c r="J776" s="4">
        <f t="shared" si="156"/>
        <v/>
      </c>
      <c r="K776" s="4">
        <f t="shared" si="157"/>
        <v/>
      </c>
      <c r="L776" s="4">
        <f t="shared" si="158"/>
        <v/>
      </c>
      <c r="M776" s="5">
        <f t="shared" si="152"/>
        <v/>
      </c>
      <c r="N776" s="4">
        <f t="shared" si="159"/>
        <v/>
      </c>
      <c r="O776" s="4"/>
      <c r="P776" s="4">
        <f t="shared" si="160"/>
        <v/>
      </c>
      <c r="Q776" s="4">
        <f t="shared" si="161"/>
        <v/>
      </c>
      <c r="R776" s="4">
        <f t="shared" si="153"/>
      </c>
      <c r="S776" s="4">
        <f t="shared" si="154"/>
      </c>
      <c r="T776" s="4">
        <f t="shared" si="155"/>
      </c>
      <c r="U776" s="4">
        <f t="shared" si="162"/>
        <v/>
      </c>
    </row>
    <row r="777" spans="1:21" x14ac:dyDescent="0.3">
      <c r="A777" s="4">
        <f t="shared" si="151"/>
        <v/>
      </c>
      <c r="B777" s="4">
        <f>IF(C777=1,MAX(B$2:$B776)+1,IF(F777=0,"",B776))</f>
        <v/>
      </c>
      <c r="C777" s="4">
        <f>COUNTIF($F$2:$F777,F777)</f>
      </c>
      <c r="D777" s="4">
        <f>IF(F777=0,0,MAX($D$2:D776)+1)</f>
      </c>
      <c r="E777" s="4">
        <f>IF(H777=0,0,MAX($E$2:E776)+1)</f>
      </c>
      <c r="F777" s="119"/>
      <c r="G777" s="119"/>
      <c r="H777" s="119"/>
      <c r="I777" s="4">
        <f>IFERROR(VLOOKUP(H777,H$2:H776,1,FALSE),VLOOKUP(H777,H$478:H778,1,FALSE))</f>
      </c>
      <c r="J777" s="4">
        <f t="shared" si="156"/>
        <v/>
      </c>
      <c r="K777" s="4">
        <f t="shared" si="157"/>
        <v/>
      </c>
      <c r="L777" s="4">
        <f t="shared" si="158"/>
        <v/>
      </c>
      <c r="M777" s="5">
        <f t="shared" si="152"/>
        <v/>
      </c>
      <c r="N777" s="4">
        <f t="shared" si="159"/>
        <v/>
      </c>
      <c r="O777" s="4"/>
      <c r="P777" s="4">
        <f t="shared" si="160"/>
        <v/>
      </c>
      <c r="Q777" s="4">
        <f t="shared" si="161"/>
        <v/>
      </c>
      <c r="R777" s="4">
        <f t="shared" si="153"/>
      </c>
      <c r="S777" s="4">
        <f t="shared" si="154"/>
      </c>
      <c r="T777" s="4">
        <f t="shared" si="155"/>
      </c>
      <c r="U777" s="4">
        <f t="shared" si="162"/>
        <v/>
      </c>
    </row>
    <row r="778" spans="1:21" x14ac:dyDescent="0.3">
      <c r="A778" s="4">
        <f t="shared" si="151"/>
        <v/>
      </c>
      <c r="B778" s="4">
        <f>IF(C778=1,MAX(B$2:$B777)+1,IF(F778=0,"",B777))</f>
        <v/>
      </c>
      <c r="C778" s="4">
        <f>COUNTIF($F$2:$F778,F778)</f>
      </c>
      <c r="D778" s="4">
        <f>IF(F778=0,0,MAX($D$2:D777)+1)</f>
      </c>
      <c r="E778" s="4">
        <f>IF(H778=0,0,MAX($E$2:E777)+1)</f>
      </c>
      <c r="F778" s="119"/>
      <c r="G778" s="119"/>
      <c r="H778" s="119"/>
      <c r="I778" s="4">
        <f>IFERROR(VLOOKUP(H778,H$2:H777,1,FALSE),VLOOKUP(H778,H$478:H779,1,FALSE))</f>
      </c>
      <c r="J778" s="4">
        <f t="shared" si="156"/>
        <v/>
      </c>
      <c r="K778" s="4">
        <f t="shared" si="157"/>
        <v/>
      </c>
      <c r="L778" s="4">
        <f t="shared" si="158"/>
        <v/>
      </c>
      <c r="M778" s="5">
        <f t="shared" si="152"/>
        <v/>
      </c>
      <c r="N778" s="4">
        <f t="shared" si="159"/>
        <v/>
      </c>
      <c r="O778" s="4"/>
      <c r="P778" s="4">
        <f t="shared" si="160"/>
        <v/>
      </c>
      <c r="Q778" s="4">
        <f t="shared" si="161"/>
        <v/>
      </c>
      <c r="R778" s="4">
        <f t="shared" si="153"/>
      </c>
      <c r="S778" s="4">
        <f t="shared" si="154"/>
      </c>
      <c r="T778" s="4">
        <f t="shared" si="155"/>
      </c>
      <c r="U778" s="4">
        <f t="shared" si="162"/>
        <v/>
      </c>
    </row>
    <row r="779" spans="1:21" x14ac:dyDescent="0.3">
      <c r="A779" s="4">
        <f t="shared" si="151"/>
        <v/>
      </c>
      <c r="B779" s="4">
        <f>IF(C779=1,MAX(B$2:$B778)+1,IF(F779=0,"",B778))</f>
        <v/>
      </c>
      <c r="C779" s="4">
        <f>COUNTIF($F$2:$F779,F779)</f>
      </c>
      <c r="D779" s="4">
        <f>IF(F779=0,0,MAX($D$2:D778)+1)</f>
      </c>
      <c r="E779" s="4">
        <f>IF(H779=0,0,MAX($E$2:E778)+1)</f>
      </c>
      <c r="F779" s="119"/>
      <c r="G779" s="119"/>
      <c r="H779" s="119"/>
      <c r="I779" s="4">
        <f>IFERROR(VLOOKUP(H779,H$2:H778,1,FALSE),VLOOKUP(H779,H$478:H780,1,FALSE))</f>
      </c>
      <c r="J779" s="4">
        <f t="shared" si="156"/>
        <v/>
      </c>
      <c r="K779" s="4">
        <f t="shared" si="157"/>
        <v/>
      </c>
      <c r="L779" s="4">
        <f t="shared" si="158"/>
        <v/>
      </c>
      <c r="M779" s="5">
        <f t="shared" si="152"/>
        <v/>
      </c>
      <c r="N779" s="4">
        <f t="shared" si="159"/>
        <v/>
      </c>
      <c r="O779" s="4"/>
      <c r="P779" s="4">
        <f t="shared" si="160"/>
        <v/>
      </c>
      <c r="Q779" s="4">
        <f t="shared" si="161"/>
        <v/>
      </c>
      <c r="R779" s="4">
        <f t="shared" si="153"/>
      </c>
      <c r="S779" s="4">
        <f t="shared" si="154"/>
      </c>
      <c r="T779" s="4">
        <f t="shared" si="155"/>
      </c>
      <c r="U779" s="4">
        <f t="shared" si="162"/>
        <v/>
      </c>
    </row>
    <row r="780" spans="1:21" x14ac:dyDescent="0.3">
      <c r="A780" s="4">
        <f t="shared" si="151"/>
        <v/>
      </c>
      <c r="B780" s="4">
        <f>IF(C780=1,MAX(B$2:$B779)+1,IF(F780=0,"",B779))</f>
        <v/>
      </c>
      <c r="C780" s="4">
        <f>COUNTIF($F$2:$F780,F780)</f>
      </c>
      <c r="D780" s="4">
        <f>IF(F780=0,0,MAX($D$2:D779)+1)</f>
      </c>
      <c r="E780" s="4">
        <f>IF(H780=0,0,MAX($E$2:E779)+1)</f>
      </c>
      <c r="F780" s="119"/>
      <c r="G780" s="119"/>
      <c r="H780" s="119"/>
      <c r="I780" s="4">
        <f>IFERROR(VLOOKUP(H780,H$2:H779,1,FALSE),VLOOKUP(H780,H$478:H781,1,FALSE))</f>
      </c>
      <c r="J780" s="4">
        <f t="shared" si="156"/>
        <v/>
      </c>
      <c r="K780" s="4">
        <f t="shared" si="157"/>
        <v/>
      </c>
      <c r="L780" s="4">
        <f t="shared" si="158"/>
        <v/>
      </c>
      <c r="M780" s="5">
        <f t="shared" si="152"/>
        <v/>
      </c>
      <c r="N780" s="4">
        <f t="shared" si="159"/>
        <v/>
      </c>
      <c r="O780" s="4"/>
      <c r="P780" s="4">
        <f t="shared" si="160"/>
        <v/>
      </c>
      <c r="Q780" s="4">
        <f t="shared" si="161"/>
        <v/>
      </c>
      <c r="R780" s="4">
        <f t="shared" si="153"/>
      </c>
      <c r="S780" s="4">
        <f t="shared" si="154"/>
      </c>
      <c r="T780" s="4">
        <f t="shared" si="155"/>
      </c>
      <c r="U780" s="4">
        <f t="shared" si="162"/>
        <v/>
      </c>
    </row>
    <row r="781" spans="1:21" x14ac:dyDescent="0.3">
      <c r="A781" s="4">
        <f t="shared" si="151"/>
        <v/>
      </c>
      <c r="B781" s="4">
        <f>IF(C781=1,MAX(B$2:$B780)+1,IF(F781=0,"",B780))</f>
        <v/>
      </c>
      <c r="C781" s="4">
        <f>COUNTIF($F$2:$F781,F781)</f>
      </c>
      <c r="D781" s="4">
        <f>IF(F781=0,0,MAX($D$2:D780)+1)</f>
      </c>
      <c r="E781" s="4">
        <f>IF(H781=0,0,MAX($E$2:E780)+1)</f>
      </c>
      <c r="F781" s="119"/>
      <c r="G781" s="119"/>
      <c r="H781" s="119"/>
      <c r="I781" s="4">
        <f>IFERROR(VLOOKUP(H781,H$2:H780,1,FALSE),VLOOKUP(H781,H$478:H782,1,FALSE))</f>
      </c>
      <c r="J781" s="4">
        <f t="shared" si="156"/>
        <v/>
      </c>
      <c r="K781" s="4">
        <f t="shared" si="157"/>
        <v/>
      </c>
      <c r="L781" s="4">
        <f t="shared" si="158"/>
        <v/>
      </c>
      <c r="M781" s="5">
        <f t="shared" si="152"/>
        <v/>
      </c>
      <c r="N781" s="4">
        <f t="shared" si="159"/>
        <v/>
      </c>
      <c r="O781" s="4"/>
      <c r="P781" s="4">
        <f t="shared" si="160"/>
        <v/>
      </c>
      <c r="Q781" s="4">
        <f t="shared" si="161"/>
        <v/>
      </c>
      <c r="R781" s="4">
        <f t="shared" si="153"/>
      </c>
      <c r="S781" s="4">
        <f t="shared" si="154"/>
      </c>
      <c r="T781" s="4">
        <f t="shared" si="155"/>
      </c>
      <c r="U781" s="4">
        <f t="shared" si="162"/>
        <v/>
      </c>
    </row>
    <row r="782" spans="1:21" x14ac:dyDescent="0.3">
      <c r="A782" s="4">
        <f t="shared" si="151"/>
        <v/>
      </c>
      <c r="B782" s="4">
        <f>IF(C782=1,MAX(B$2:$B781)+1,IF(F782=0,"",B781))</f>
        <v/>
      </c>
      <c r="C782" s="4">
        <f>COUNTIF($F$2:$F782,F782)</f>
      </c>
      <c r="D782" s="4">
        <f>IF(F782=0,0,MAX($D$2:D781)+1)</f>
      </c>
      <c r="E782" s="4">
        <f>IF(H782=0,0,MAX($E$2:E781)+1)</f>
      </c>
      <c r="F782" s="119"/>
      <c r="G782" s="119"/>
      <c r="H782" s="119"/>
      <c r="I782" s="4">
        <f>IFERROR(VLOOKUP(H782,H$2:H781,1,FALSE),VLOOKUP(H782,H$478:H783,1,FALSE))</f>
      </c>
      <c r="J782" s="4">
        <f t="shared" si="156"/>
        <v/>
      </c>
      <c r="K782" s="4">
        <f t="shared" si="157"/>
        <v/>
      </c>
      <c r="L782" s="4">
        <f t="shared" si="158"/>
        <v/>
      </c>
      <c r="M782" s="5">
        <f t="shared" si="152"/>
        <v/>
      </c>
      <c r="N782" s="4">
        <f t="shared" si="159"/>
        <v/>
      </c>
      <c r="O782" s="4"/>
      <c r="P782" s="4">
        <f t="shared" si="160"/>
        <v/>
      </c>
      <c r="Q782" s="4">
        <f t="shared" si="161"/>
        <v/>
      </c>
      <c r="R782" s="4">
        <f t="shared" si="153"/>
      </c>
      <c r="S782" s="4">
        <f t="shared" si="154"/>
      </c>
      <c r="T782" s="4">
        <f t="shared" si="155"/>
      </c>
      <c r="U782" s="4">
        <f t="shared" si="162"/>
        <v/>
      </c>
    </row>
    <row r="783" spans="1:21" x14ac:dyDescent="0.3">
      <c r="A783" s="4">
        <f t="shared" si="151"/>
        <v/>
      </c>
      <c r="B783" s="4">
        <f>IF(C783=1,MAX(B$2:$B782)+1,IF(F783=0,"",B782))</f>
        <v/>
      </c>
      <c r="C783" s="4">
        <f>COUNTIF($F$2:$F783,F783)</f>
      </c>
      <c r="D783" s="4">
        <f>IF(F783=0,0,MAX($D$2:D782)+1)</f>
      </c>
      <c r="E783" s="4">
        <f>IF(H783=0,0,MAX($E$2:E782)+1)</f>
      </c>
      <c r="F783" s="119"/>
      <c r="G783" s="119"/>
      <c r="H783" s="119"/>
      <c r="I783" s="4">
        <f>IFERROR(VLOOKUP(H783,H$2:H782,1,FALSE),VLOOKUP(H783,H$478:H784,1,FALSE))</f>
      </c>
      <c r="J783" s="4">
        <f t="shared" si="156"/>
        <v/>
      </c>
      <c r="K783" s="4">
        <f t="shared" si="157"/>
        <v/>
      </c>
      <c r="L783" s="4">
        <f t="shared" si="158"/>
        <v/>
      </c>
      <c r="M783" s="5">
        <f t="shared" si="152"/>
        <v/>
      </c>
      <c r="N783" s="4">
        <f t="shared" si="159"/>
        <v/>
      </c>
      <c r="O783" s="4"/>
      <c r="P783" s="4">
        <f t="shared" si="160"/>
        <v/>
      </c>
      <c r="Q783" s="4">
        <f t="shared" si="161"/>
        <v/>
      </c>
      <c r="R783" s="4">
        <f t="shared" si="153"/>
      </c>
      <c r="S783" s="4">
        <f t="shared" si="154"/>
      </c>
      <c r="T783" s="4">
        <f t="shared" si="155"/>
      </c>
      <c r="U783" s="4">
        <f t="shared" si="162"/>
        <v/>
      </c>
    </row>
    <row r="784" spans="1:21" x14ac:dyDescent="0.3">
      <c r="A784" s="4">
        <f t="shared" si="151"/>
        <v/>
      </c>
      <c r="B784" s="4">
        <f>IF(C784=1,MAX(B$2:$B783)+1,IF(F784=0,"",B783))</f>
        <v/>
      </c>
      <c r="C784" s="4">
        <f>COUNTIF($F$2:$F784,F784)</f>
      </c>
      <c r="D784" s="4">
        <f>IF(F784=0,0,MAX($D$2:D783)+1)</f>
      </c>
      <c r="E784" s="4">
        <f>IF(H784=0,0,MAX($E$2:E783)+1)</f>
      </c>
      <c r="F784" s="119"/>
      <c r="G784" s="119"/>
      <c r="H784" s="119"/>
      <c r="I784" s="4">
        <f>IFERROR(VLOOKUP(H784,H$2:H783,1,FALSE),VLOOKUP(H784,H$478:H785,1,FALSE))</f>
      </c>
      <c r="J784" s="4">
        <f t="shared" si="156"/>
        <v/>
      </c>
      <c r="K784" s="4">
        <f t="shared" si="157"/>
        <v/>
      </c>
      <c r="L784" s="4">
        <f t="shared" si="158"/>
        <v/>
      </c>
      <c r="M784" s="5">
        <f t="shared" si="152"/>
        <v/>
      </c>
      <c r="N784" s="4">
        <f t="shared" si="159"/>
        <v/>
      </c>
      <c r="O784" s="4"/>
      <c r="P784" s="4">
        <f t="shared" si="160"/>
        <v/>
      </c>
      <c r="Q784" s="4">
        <f t="shared" si="161"/>
        <v/>
      </c>
      <c r="R784" s="4">
        <f t="shared" si="153"/>
      </c>
      <c r="S784" s="4">
        <f t="shared" si="154"/>
      </c>
      <c r="T784" s="4">
        <f t="shared" si="155"/>
      </c>
      <c r="U784" s="4">
        <f t="shared" si="162"/>
        <v/>
      </c>
    </row>
    <row r="785" spans="1:21" x14ac:dyDescent="0.3">
      <c r="A785" s="4">
        <f t="shared" si="151"/>
        <v/>
      </c>
      <c r="B785" s="4">
        <f>IF(C785=1,MAX(B$2:$B784)+1,IF(F785=0,"",B784))</f>
        <v/>
      </c>
      <c r="C785" s="4">
        <f>COUNTIF($F$2:$F785,F785)</f>
      </c>
      <c r="D785" s="4">
        <f>IF(F785=0,0,MAX($D$2:D784)+1)</f>
      </c>
      <c r="E785" s="4">
        <f>IF(H785=0,0,MAX($E$2:E784)+1)</f>
      </c>
      <c r="F785" s="119"/>
      <c r="G785" s="119"/>
      <c r="H785" s="119"/>
      <c r="I785" s="4">
        <f>IFERROR(VLOOKUP(H785,H$2:H784,1,FALSE),VLOOKUP(H785,H$478:H786,1,FALSE))</f>
      </c>
      <c r="J785" s="4">
        <f t="shared" si="156"/>
        <v/>
      </c>
      <c r="K785" s="4">
        <f t="shared" si="157"/>
        <v/>
      </c>
      <c r="L785" s="4">
        <f t="shared" si="158"/>
        <v/>
      </c>
      <c r="M785" s="5">
        <f t="shared" si="152"/>
        <v/>
      </c>
      <c r="N785" s="4">
        <f t="shared" si="159"/>
        <v/>
      </c>
      <c r="O785" s="4"/>
      <c r="P785" s="4">
        <f t="shared" si="160"/>
        <v/>
      </c>
      <c r="Q785" s="4">
        <f t="shared" si="161"/>
        <v/>
      </c>
      <c r="R785" s="4">
        <f t="shared" si="153"/>
      </c>
      <c r="S785" s="4">
        <f t="shared" si="154"/>
      </c>
      <c r="T785" s="4">
        <f t="shared" si="155"/>
      </c>
      <c r="U785" s="4">
        <f t="shared" si="162"/>
        <v/>
      </c>
    </row>
    <row r="786" spans="1:21" x14ac:dyDescent="0.3">
      <c r="A786" s="4">
        <f t="shared" si="151"/>
        <v/>
      </c>
      <c r="B786" s="4">
        <f>IF(C786=1,MAX(B$2:$B785)+1,IF(F786=0,"",B785))</f>
        <v/>
      </c>
      <c r="C786" s="4">
        <f>COUNTIF($F$2:$F786,F786)</f>
      </c>
      <c r="D786" s="4">
        <f>IF(F786=0,0,MAX($D$2:D785)+1)</f>
      </c>
      <c r="E786" s="4">
        <f>IF(H786=0,0,MAX($E$2:E785)+1)</f>
      </c>
      <c r="F786" s="119"/>
      <c r="G786" s="119"/>
      <c r="H786" s="119"/>
      <c r="I786" s="4">
        <f>IFERROR(VLOOKUP(H786,H$2:H785,1,FALSE),VLOOKUP(H786,H$478:H787,1,FALSE))</f>
      </c>
      <c r="J786" s="4">
        <f t="shared" si="156"/>
        <v/>
      </c>
      <c r="K786" s="4">
        <f t="shared" si="157"/>
        <v/>
      </c>
      <c r="L786" s="4">
        <f t="shared" si="158"/>
        <v/>
      </c>
      <c r="M786" s="5">
        <f t="shared" si="152"/>
        <v/>
      </c>
      <c r="N786" s="4">
        <f t="shared" si="159"/>
        <v/>
      </c>
      <c r="O786" s="4"/>
      <c r="P786" s="4">
        <f t="shared" si="160"/>
        <v/>
      </c>
      <c r="Q786" s="4">
        <f t="shared" si="161"/>
        <v/>
      </c>
      <c r="R786" s="4">
        <f t="shared" si="153"/>
      </c>
      <c r="S786" s="4">
        <f t="shared" si="154"/>
      </c>
      <c r="T786" s="4">
        <f t="shared" si="155"/>
      </c>
      <c r="U786" s="4">
        <f t="shared" si="162"/>
        <v/>
      </c>
    </row>
    <row r="787" spans="1:21" x14ac:dyDescent="0.3">
      <c r="A787" s="4">
        <f t="shared" si="151"/>
        <v/>
      </c>
      <c r="B787" s="4">
        <f>IF(C787=1,MAX(B$2:$B786)+1,IF(F787=0,"",B786))</f>
        <v/>
      </c>
      <c r="C787" s="4">
        <f>COUNTIF($F$2:$F787,F787)</f>
      </c>
      <c r="D787" s="4">
        <f>IF(F787=0,0,MAX($D$2:D786)+1)</f>
      </c>
      <c r="E787" s="4">
        <f>IF(H787=0,0,MAX($E$2:E786)+1)</f>
      </c>
      <c r="F787" s="119"/>
      <c r="G787" s="119"/>
      <c r="H787" s="119"/>
      <c r="I787" s="4">
        <f>IFERROR(VLOOKUP(H787,H$2:H786,1,FALSE),VLOOKUP(H787,H$478:H788,1,FALSE))</f>
      </c>
      <c r="J787" s="4">
        <f t="shared" si="156"/>
        <v/>
      </c>
      <c r="K787" s="4">
        <f t="shared" si="157"/>
        <v/>
      </c>
      <c r="L787" s="4">
        <f t="shared" si="158"/>
        <v/>
      </c>
      <c r="M787" s="5">
        <f t="shared" si="152"/>
        <v/>
      </c>
      <c r="N787" s="4">
        <f t="shared" si="159"/>
        <v/>
      </c>
      <c r="O787" s="4"/>
      <c r="P787" s="4">
        <f t="shared" si="160"/>
        <v/>
      </c>
      <c r="Q787" s="4">
        <f t="shared" si="161"/>
        <v/>
      </c>
      <c r="R787" s="4">
        <f t="shared" si="153"/>
      </c>
      <c r="S787" s="4">
        <f t="shared" si="154"/>
      </c>
      <c r="T787" s="4">
        <f t="shared" si="155"/>
      </c>
      <c r="U787" s="4">
        <f t="shared" si="162"/>
        <v/>
      </c>
    </row>
    <row r="788" spans="1:21" x14ac:dyDescent="0.3">
      <c r="A788" s="4">
        <f t="shared" si="151"/>
        <v/>
      </c>
      <c r="B788" s="4">
        <f>IF(C788=1,MAX(B$2:$B787)+1,IF(F788=0,"",B787))</f>
        <v/>
      </c>
      <c r="C788" s="4">
        <f>COUNTIF($F$2:$F788,F788)</f>
      </c>
      <c r="D788" s="4">
        <f>IF(F788=0,0,MAX($D$2:D787)+1)</f>
      </c>
      <c r="E788" s="4">
        <f>IF(H788=0,0,MAX($E$2:E787)+1)</f>
      </c>
      <c r="F788" s="119"/>
      <c r="G788" s="119"/>
      <c r="H788" s="119"/>
      <c r="I788" s="4">
        <f>IFERROR(VLOOKUP(H788,H$2:H787,1,FALSE),VLOOKUP(H788,H$478:H789,1,FALSE))</f>
      </c>
      <c r="J788" s="4">
        <f t="shared" si="156"/>
        <v/>
      </c>
      <c r="K788" s="4">
        <f t="shared" si="157"/>
        <v/>
      </c>
      <c r="L788" s="4">
        <f t="shared" si="158"/>
        <v/>
      </c>
      <c r="M788" s="5">
        <f t="shared" si="152"/>
        <v/>
      </c>
      <c r="N788" s="4">
        <f t="shared" si="159"/>
        <v/>
      </c>
      <c r="O788" s="4"/>
      <c r="P788" s="4">
        <f t="shared" si="160"/>
        <v/>
      </c>
      <c r="Q788" s="4">
        <f t="shared" si="161"/>
        <v/>
      </c>
      <c r="R788" s="4">
        <f t="shared" si="153"/>
      </c>
      <c r="S788" s="4">
        <f t="shared" si="154"/>
      </c>
      <c r="T788" s="4">
        <f t="shared" si="155"/>
      </c>
      <c r="U788" s="4">
        <f t="shared" si="162"/>
        <v/>
      </c>
    </row>
    <row r="789" spans="1:21" x14ac:dyDescent="0.3">
      <c r="A789" s="4">
        <f t="shared" si="151"/>
        <v/>
      </c>
      <c r="B789" s="4">
        <f>IF(C789=1,MAX(B$2:$B788)+1,IF(F789=0,"",B788))</f>
        <v/>
      </c>
      <c r="C789" s="4">
        <f>COUNTIF($F$2:$F789,F789)</f>
      </c>
      <c r="D789" s="4">
        <f>IF(F789=0,0,MAX($D$2:D788)+1)</f>
      </c>
      <c r="E789" s="4">
        <f>IF(H789=0,0,MAX($E$2:E788)+1)</f>
      </c>
      <c r="F789" s="119"/>
      <c r="G789" s="119"/>
      <c r="H789" s="119"/>
      <c r="I789" s="4">
        <f>IFERROR(VLOOKUP(H789,H$2:H788,1,FALSE),VLOOKUP(H789,H$478:H790,1,FALSE))</f>
      </c>
      <c r="J789" s="4">
        <f t="shared" si="156"/>
        <v/>
      </c>
      <c r="K789" s="4">
        <f t="shared" si="157"/>
        <v/>
      </c>
      <c r="L789" s="4">
        <f t="shared" si="158"/>
        <v/>
      </c>
      <c r="M789" s="5">
        <f t="shared" si="152"/>
        <v/>
      </c>
      <c r="N789" s="4">
        <f t="shared" si="159"/>
        <v/>
      </c>
      <c r="O789" s="4"/>
      <c r="P789" s="4">
        <f t="shared" si="160"/>
        <v/>
      </c>
      <c r="Q789" s="4">
        <f t="shared" si="161"/>
        <v/>
      </c>
      <c r="R789" s="4">
        <f t="shared" si="153"/>
      </c>
      <c r="S789" s="4">
        <f t="shared" si="154"/>
      </c>
      <c r="T789" s="4">
        <f t="shared" si="155"/>
      </c>
      <c r="U789" s="4">
        <f t="shared" si="162"/>
        <v/>
      </c>
    </row>
    <row r="790" spans="1:21" x14ac:dyDescent="0.3">
      <c r="A790" s="4">
        <f t="shared" si="151"/>
        <v/>
      </c>
      <c r="B790" s="4">
        <f>IF(C790=1,MAX(B$2:$B789)+1,IF(F790=0,"",B789))</f>
        <v/>
      </c>
      <c r="C790" s="4">
        <f>COUNTIF($F$2:$F790,F790)</f>
      </c>
      <c r="D790" s="4">
        <f>IF(F790=0,0,MAX($D$2:D789)+1)</f>
      </c>
      <c r="E790" s="4">
        <f>IF(H790=0,0,MAX($E$2:E789)+1)</f>
      </c>
      <c r="F790" s="119"/>
      <c r="G790" s="119"/>
      <c r="H790" s="119"/>
      <c r="I790" s="4">
        <f>IFERROR(VLOOKUP(H790,H$2:H789,1,FALSE),VLOOKUP(H790,H$478:H791,1,FALSE))</f>
      </c>
      <c r="J790" s="4">
        <f t="shared" si="156"/>
        <v/>
      </c>
      <c r="K790" s="4">
        <f t="shared" si="157"/>
        <v/>
      </c>
      <c r="L790" s="4">
        <f t="shared" si="158"/>
        <v/>
      </c>
      <c r="M790" s="5">
        <f t="shared" si="152"/>
        <v/>
      </c>
      <c r="N790" s="4">
        <f t="shared" si="159"/>
        <v/>
      </c>
      <c r="O790" s="4"/>
      <c r="P790" s="4">
        <f t="shared" si="160"/>
        <v/>
      </c>
      <c r="Q790" s="4">
        <f t="shared" si="161"/>
        <v/>
      </c>
      <c r="R790" s="4">
        <f t="shared" si="153"/>
      </c>
      <c r="S790" s="4">
        <f t="shared" si="154"/>
      </c>
      <c r="T790" s="4">
        <f t="shared" si="155"/>
      </c>
      <c r="U790" s="4">
        <f t="shared" si="162"/>
        <v/>
      </c>
    </row>
    <row r="791" spans="1:21" x14ac:dyDescent="0.3">
      <c r="A791" s="4">
        <f t="shared" si="151"/>
        <v/>
      </c>
      <c r="B791" s="4">
        <f>IF(C791=1,MAX(B$2:$B790)+1,IF(F791=0,"",B790))</f>
        <v/>
      </c>
      <c r="C791" s="4">
        <f>COUNTIF($F$2:$F791,F791)</f>
      </c>
      <c r="D791" s="4">
        <f>IF(F791=0,0,MAX($D$2:D790)+1)</f>
      </c>
      <c r="E791" s="4">
        <f>IF(H791=0,0,MAX($E$2:E790)+1)</f>
      </c>
      <c r="F791" s="119"/>
      <c r="G791" s="119"/>
      <c r="H791" s="119"/>
      <c r="I791" s="4">
        <f>IFERROR(VLOOKUP(H791,H$2:H790,1,FALSE),VLOOKUP(H791,H$478:H792,1,FALSE))</f>
      </c>
      <c r="J791" s="4">
        <f t="shared" si="156"/>
        <v/>
      </c>
      <c r="K791" s="4">
        <f t="shared" si="157"/>
        <v/>
      </c>
      <c r="L791" s="4">
        <f t="shared" si="158"/>
        <v/>
      </c>
      <c r="M791" s="5">
        <f t="shared" si="152"/>
        <v/>
      </c>
      <c r="N791" s="4">
        <f t="shared" si="159"/>
        <v/>
      </c>
      <c r="O791" s="4"/>
      <c r="P791" s="4">
        <f t="shared" si="160"/>
        <v/>
      </c>
      <c r="Q791" s="4">
        <f t="shared" si="161"/>
        <v/>
      </c>
      <c r="R791" s="4">
        <f t="shared" si="153"/>
      </c>
      <c r="S791" s="4">
        <f t="shared" si="154"/>
      </c>
      <c r="T791" s="4">
        <f t="shared" si="155"/>
      </c>
      <c r="U791" s="4">
        <f t="shared" si="162"/>
        <v/>
      </c>
    </row>
    <row r="792" spans="1:21" x14ac:dyDescent="0.3">
      <c r="A792" s="4">
        <f t="shared" si="151"/>
        <v/>
      </c>
      <c r="B792" s="4">
        <f>IF(C792=1,MAX(B$2:$B791)+1,IF(F792=0,"",B791))</f>
        <v/>
      </c>
      <c r="C792" s="4">
        <f>COUNTIF($F$2:$F792,F792)</f>
      </c>
      <c r="D792" s="4">
        <f>IF(F792=0,0,MAX($D$2:D791)+1)</f>
      </c>
      <c r="E792" s="4">
        <f>IF(H792=0,0,MAX($E$2:E791)+1)</f>
      </c>
      <c r="F792" s="119"/>
      <c r="G792" s="119"/>
      <c r="H792" s="119"/>
      <c r="I792" s="4">
        <f>IFERROR(VLOOKUP(H792,H$2:H791,1,FALSE),VLOOKUP(H792,H$478:H793,1,FALSE))</f>
      </c>
      <c r="J792" s="4">
        <f t="shared" si="156"/>
        <v/>
      </c>
      <c r="K792" s="4">
        <f t="shared" si="157"/>
        <v/>
      </c>
      <c r="L792" s="4">
        <f t="shared" si="158"/>
        <v/>
      </c>
      <c r="M792" s="5">
        <f t="shared" si="152"/>
        <v/>
      </c>
      <c r="N792" s="4">
        <f t="shared" si="159"/>
        <v/>
      </c>
      <c r="O792" s="4"/>
      <c r="P792" s="4">
        <f t="shared" si="160"/>
        <v/>
      </c>
      <c r="Q792" s="4">
        <f t="shared" si="161"/>
        <v/>
      </c>
      <c r="R792" s="4">
        <f t="shared" si="153"/>
      </c>
      <c r="S792" s="4">
        <f t="shared" si="154"/>
      </c>
      <c r="T792" s="4">
        <f t="shared" si="155"/>
      </c>
      <c r="U792" s="4">
        <f t="shared" si="162"/>
        <v/>
      </c>
    </row>
    <row r="793" spans="1:21" x14ac:dyDescent="0.3">
      <c r="A793" s="4">
        <f t="shared" si="151"/>
        <v/>
      </c>
      <c r="B793" s="4">
        <f>IF(C793=1,MAX(B$2:$B792)+1,IF(F793=0,"",B792))</f>
        <v/>
      </c>
      <c r="C793" s="4">
        <f>COUNTIF($F$2:$F793,F793)</f>
      </c>
      <c r="D793" s="4">
        <f>IF(F793=0,0,MAX($D$2:D792)+1)</f>
      </c>
      <c r="E793" s="4">
        <f>IF(H793=0,0,MAX($E$2:E792)+1)</f>
      </c>
      <c r="F793" s="119"/>
      <c r="G793" s="119"/>
      <c r="H793" s="119"/>
      <c r="I793" s="4">
        <f>IFERROR(VLOOKUP(H793,H$2:H792,1,FALSE),VLOOKUP(H793,H$478:H794,1,FALSE))</f>
      </c>
      <c r="J793" s="4">
        <f t="shared" si="156"/>
        <v/>
      </c>
      <c r="K793" s="4">
        <f t="shared" si="157"/>
        <v/>
      </c>
      <c r="L793" s="4">
        <f t="shared" si="158"/>
        <v/>
      </c>
      <c r="M793" s="5">
        <f t="shared" si="152"/>
        <v/>
      </c>
      <c r="N793" s="4">
        <f t="shared" si="159"/>
        <v/>
      </c>
      <c r="O793" s="4"/>
      <c r="P793" s="4">
        <f t="shared" si="160"/>
        <v/>
      </c>
      <c r="Q793" s="4">
        <f t="shared" si="161"/>
        <v/>
      </c>
      <c r="R793" s="4">
        <f t="shared" si="153"/>
      </c>
      <c r="S793" s="4">
        <f t="shared" si="154"/>
      </c>
      <c r="T793" s="4">
        <f t="shared" si="155"/>
      </c>
      <c r="U793" s="4">
        <f t="shared" si="162"/>
        <v/>
      </c>
    </row>
    <row r="794" spans="1:21" x14ac:dyDescent="0.3">
      <c r="A794" s="4">
        <f t="shared" si="151"/>
        <v/>
      </c>
      <c r="B794" s="4">
        <f>IF(C794=1,MAX(B$2:$B793)+1,IF(F794=0,"",B793))</f>
        <v/>
      </c>
      <c r="C794" s="4">
        <f>COUNTIF($F$2:$F794,F794)</f>
      </c>
      <c r="D794" s="4">
        <f>IF(F794=0,0,MAX($D$2:D793)+1)</f>
      </c>
      <c r="E794" s="4">
        <f>IF(H794=0,0,MAX($E$2:E793)+1)</f>
      </c>
      <c r="F794" s="119"/>
      <c r="G794" s="119"/>
      <c r="H794" s="119"/>
      <c r="I794" s="4">
        <f>IFERROR(VLOOKUP(H794,H$2:H793,1,FALSE),VLOOKUP(H794,H$478:H795,1,FALSE))</f>
      </c>
      <c r="J794" s="4">
        <f t="shared" si="156"/>
        <v/>
      </c>
      <c r="K794" s="4">
        <f t="shared" si="157"/>
        <v/>
      </c>
      <c r="L794" s="4">
        <f t="shared" si="158"/>
        <v/>
      </c>
      <c r="M794" s="5">
        <f t="shared" si="152"/>
        <v/>
      </c>
      <c r="N794" s="4">
        <f t="shared" si="159"/>
        <v/>
      </c>
      <c r="O794" s="4"/>
      <c r="P794" s="4">
        <f t="shared" si="160"/>
        <v/>
      </c>
      <c r="Q794" s="4">
        <f t="shared" si="161"/>
        <v/>
      </c>
      <c r="R794" s="4">
        <f t="shared" si="153"/>
      </c>
      <c r="S794" s="4">
        <f t="shared" si="154"/>
      </c>
      <c r="T794" s="4">
        <f t="shared" si="155"/>
      </c>
      <c r="U794" s="4">
        <f t="shared" si="162"/>
        <v/>
      </c>
    </row>
    <row r="795" spans="1:21" x14ac:dyDescent="0.3">
      <c r="A795" s="4">
        <f t="shared" si="151"/>
        <v/>
      </c>
      <c r="B795" s="4">
        <f>IF(C795=1,MAX(B$2:$B794)+1,IF(F795=0,"",B794))</f>
        <v/>
      </c>
      <c r="C795" s="4">
        <f>COUNTIF($F$2:$F795,F795)</f>
      </c>
      <c r="D795" s="4">
        <f>IF(F795=0,0,MAX($D$2:D794)+1)</f>
      </c>
      <c r="E795" s="4">
        <f>IF(H795=0,0,MAX($E$2:E794)+1)</f>
      </c>
      <c r="F795" s="119"/>
      <c r="G795" s="119"/>
      <c r="H795" s="119"/>
      <c r="I795" s="4">
        <f>IFERROR(VLOOKUP(H795,H$2:H794,1,FALSE),VLOOKUP(H795,H$478:H796,1,FALSE))</f>
      </c>
      <c r="J795" s="4">
        <f t="shared" si="156"/>
        <v/>
      </c>
      <c r="K795" s="4">
        <f t="shared" si="157"/>
        <v/>
      </c>
      <c r="L795" s="4">
        <f t="shared" si="158"/>
        <v/>
      </c>
      <c r="M795" s="5">
        <f t="shared" si="152"/>
        <v/>
      </c>
      <c r="N795" s="4">
        <f t="shared" si="159"/>
        <v/>
      </c>
      <c r="O795" s="4"/>
      <c r="P795" s="4">
        <f t="shared" si="160"/>
        <v/>
      </c>
      <c r="Q795" s="4">
        <f t="shared" si="161"/>
        <v/>
      </c>
      <c r="R795" s="4">
        <f t="shared" si="153"/>
      </c>
      <c r="S795" s="4">
        <f t="shared" si="154"/>
      </c>
      <c r="T795" s="4">
        <f t="shared" si="155"/>
      </c>
      <c r="U795" s="4">
        <f t="shared" si="162"/>
        <v/>
      </c>
    </row>
    <row r="796" spans="1:21" x14ac:dyDescent="0.3">
      <c r="A796" s="4">
        <f t="shared" si="151"/>
        <v/>
      </c>
      <c r="B796" s="4">
        <f>IF(C796=1,MAX(B$2:$B795)+1,IF(F796=0,"",B795))</f>
        <v/>
      </c>
      <c r="C796" s="4">
        <f>COUNTIF($F$2:$F796,F796)</f>
      </c>
      <c r="D796" s="4">
        <f>IF(F796=0,0,MAX($D$2:D795)+1)</f>
      </c>
      <c r="E796" s="4">
        <f>IF(H796=0,0,MAX($E$2:E795)+1)</f>
      </c>
      <c r="F796" s="119"/>
      <c r="G796" s="119"/>
      <c r="H796" s="119"/>
      <c r="I796" s="4">
        <f>IFERROR(VLOOKUP(H796,H$2:H795,1,FALSE),VLOOKUP(H796,H$478:H797,1,FALSE))</f>
      </c>
      <c r="J796" s="4">
        <f t="shared" si="156"/>
        <v/>
      </c>
      <c r="K796" s="4">
        <f t="shared" si="157"/>
        <v/>
      </c>
      <c r="L796" s="4">
        <f t="shared" si="158"/>
        <v/>
      </c>
      <c r="M796" s="5">
        <f t="shared" si="152"/>
        <v/>
      </c>
      <c r="N796" s="4">
        <f t="shared" si="159"/>
        <v/>
      </c>
      <c r="O796" s="4"/>
      <c r="P796" s="4">
        <f t="shared" si="160"/>
        <v/>
      </c>
      <c r="Q796" s="4">
        <f t="shared" si="161"/>
        <v/>
      </c>
      <c r="R796" s="4">
        <f t="shared" si="153"/>
      </c>
      <c r="S796" s="4">
        <f t="shared" si="154"/>
      </c>
      <c r="T796" s="4">
        <f t="shared" si="155"/>
      </c>
      <c r="U796" s="4">
        <f t="shared" si="162"/>
        <v/>
      </c>
    </row>
    <row r="797" spans="1:21" x14ac:dyDescent="0.3">
      <c r="A797" s="4">
        <f t="shared" si="151"/>
        <v/>
      </c>
      <c r="B797" s="4">
        <f>IF(C797=1,MAX(B$2:$B796)+1,IF(F797=0,"",B796))</f>
        <v/>
      </c>
      <c r="C797" s="4">
        <f>COUNTIF($F$2:$F797,F797)</f>
      </c>
      <c r="D797" s="4">
        <f>IF(F797=0,0,MAX($D$2:D796)+1)</f>
      </c>
      <c r="E797" s="4">
        <f>IF(H797=0,0,MAX($E$2:E796)+1)</f>
      </c>
      <c r="F797" s="119"/>
      <c r="G797" s="119"/>
      <c r="H797" s="119"/>
      <c r="I797" s="4">
        <f>IFERROR(VLOOKUP(H797,H$2:H796,1,FALSE),VLOOKUP(H797,H$478:H798,1,FALSE))</f>
      </c>
      <c r="J797" s="4">
        <f t="shared" si="156"/>
        <v/>
      </c>
      <c r="K797" s="4">
        <f t="shared" si="157"/>
        <v/>
      </c>
      <c r="L797" s="4">
        <f t="shared" si="158"/>
        <v/>
      </c>
      <c r="M797" s="5">
        <f t="shared" si="152"/>
        <v/>
      </c>
      <c r="N797" s="4">
        <f t="shared" si="159"/>
        <v/>
      </c>
      <c r="O797" s="4"/>
      <c r="P797" s="4">
        <f t="shared" si="160"/>
        <v/>
      </c>
      <c r="Q797" s="4">
        <f t="shared" si="161"/>
        <v/>
      </c>
      <c r="R797" s="4">
        <f t="shared" si="153"/>
      </c>
      <c r="S797" s="4">
        <f t="shared" si="154"/>
      </c>
      <c r="T797" s="4">
        <f t="shared" si="155"/>
      </c>
      <c r="U797" s="4">
        <f t="shared" si="162"/>
        <v/>
      </c>
    </row>
    <row r="798" spans="1:21" x14ac:dyDescent="0.3">
      <c r="A798" s="4">
        <f t="shared" si="151"/>
        <v/>
      </c>
      <c r="B798" s="4">
        <f>IF(C798=1,MAX(B$2:$B797)+1,IF(F798=0,"",B797))</f>
        <v/>
      </c>
      <c r="C798" s="4">
        <f>COUNTIF($F$2:$F798,F798)</f>
      </c>
      <c r="D798" s="4">
        <f>IF(F798=0,0,MAX($D$2:D797)+1)</f>
      </c>
      <c r="E798" s="4">
        <f>IF(H798=0,0,MAX($E$2:E797)+1)</f>
      </c>
      <c r="F798" s="119"/>
      <c r="G798" s="119"/>
      <c r="H798" s="119"/>
      <c r="I798" s="4">
        <f>IFERROR(VLOOKUP(H798,H$2:H797,1,FALSE),VLOOKUP(H798,H$478:H799,1,FALSE))</f>
      </c>
      <c r="J798" s="4">
        <f t="shared" si="156"/>
        <v/>
      </c>
      <c r="K798" s="4">
        <f t="shared" si="157"/>
        <v/>
      </c>
      <c r="L798" s="4">
        <f t="shared" si="158"/>
        <v/>
      </c>
      <c r="M798" s="5">
        <f t="shared" si="152"/>
        <v/>
      </c>
      <c r="N798" s="4">
        <f t="shared" si="159"/>
        <v/>
      </c>
      <c r="O798" s="4"/>
      <c r="P798" s="4">
        <f t="shared" si="160"/>
        <v/>
      </c>
      <c r="Q798" s="4">
        <f t="shared" si="161"/>
        <v/>
      </c>
      <c r="R798" s="4">
        <f t="shared" si="153"/>
      </c>
      <c r="S798" s="4">
        <f t="shared" si="154"/>
      </c>
      <c r="T798" s="4">
        <f t="shared" si="155"/>
      </c>
      <c r="U798" s="4">
        <f t="shared" si="162"/>
        <v/>
      </c>
    </row>
    <row r="799" spans="1:21" x14ac:dyDescent="0.3">
      <c r="A799" s="4">
        <f t="shared" ref="A799:A862" si="163">IF(B799=B800,"",B799)</f>
        <v/>
      </c>
      <c r="B799" s="4">
        <f>IF(C799=1,MAX(B$2:$B798)+1,IF(F799=0,"",B798))</f>
        <v/>
      </c>
      <c r="C799" s="4">
        <f>COUNTIF($F$2:$F799,F799)</f>
      </c>
      <c r="D799" s="4">
        <f>IF(F799=0,0,MAX($D$2:D798)+1)</f>
      </c>
      <c r="E799" s="4">
        <f>IF(H799=0,0,MAX($E$2:E798)+1)</f>
      </c>
      <c r="F799" s="119"/>
      <c r="G799" s="119"/>
      <c r="H799" s="119"/>
      <c r="I799" s="4">
        <f>IFERROR(VLOOKUP(H799,H$2:H798,1,FALSE),VLOOKUP(H799,H$478:H800,1,FALSE))</f>
      </c>
      <c r="J799" s="4">
        <f t="shared" si="156"/>
        <v/>
      </c>
      <c r="K799" s="4">
        <f t="shared" si="157"/>
        <v/>
      </c>
      <c r="L799" s="4">
        <f t="shared" si="158"/>
        <v/>
      </c>
      <c r="M799" s="5">
        <f t="shared" ref="M799:M862" si="164">IFERROR(VLOOKUP(H799,Нагрузка_диапазон_1,4,FALSE),"")</f>
        <v/>
      </c>
      <c r="N799" s="4">
        <f t="shared" si="159"/>
        <v/>
      </c>
      <c r="O799" s="4"/>
      <c r="P799" s="4">
        <f t="shared" si="160"/>
        <v/>
      </c>
      <c r="Q799" s="4">
        <f t="shared" si="161"/>
        <v/>
      </c>
      <c r="R799" s="4">
        <f t="shared" ref="R799:R862" si="165">IF(Q799=3,"L1,L2,L3",0)</f>
      </c>
      <c r="S799" s="4">
        <f t="shared" ref="S799:S862" si="166">IF(C799=1,1,IF(Q799=3,S798,IF(S798=3,1,S798+1)))</f>
      </c>
      <c r="T799" s="4">
        <f t="shared" ref="T799:T862" si="167">IF(R799=0,"L"&amp;S799,R799)</f>
      </c>
      <c r="U799" s="4">
        <f t="shared" si="162"/>
        <v/>
      </c>
    </row>
    <row r="800" spans="1:21" x14ac:dyDescent="0.3">
      <c r="A800" s="4">
        <f t="shared" si="163"/>
        <v/>
      </c>
      <c r="B800" s="4">
        <f>IF(C800=1,MAX(B$2:$B799)+1,IF(F800=0,"",B799))</f>
        <v/>
      </c>
      <c r="C800" s="4">
        <f>COUNTIF($F$2:$F800,F800)</f>
      </c>
      <c r="D800" s="4">
        <f>IF(F800=0,0,MAX($D$2:D799)+1)</f>
      </c>
      <c r="E800" s="4">
        <f>IF(H800=0,0,MAX($E$2:E799)+1)</f>
      </c>
      <c r="F800" s="119"/>
      <c r="G800" s="119"/>
      <c r="H800" s="119"/>
      <c r="I800" s="4">
        <f>IFERROR(VLOOKUP(H800,H$2:H799,1,FALSE),VLOOKUP(H800,H$478:H801,1,FALSE))</f>
      </c>
      <c r="J800" s="4">
        <f t="shared" si="156"/>
        <v/>
      </c>
      <c r="K800" s="4">
        <f t="shared" si="157"/>
        <v/>
      </c>
      <c r="L800" s="4">
        <f t="shared" si="158"/>
        <v/>
      </c>
      <c r="M800" s="5">
        <f t="shared" si="164"/>
        <v/>
      </c>
      <c r="N800" s="4">
        <f t="shared" si="159"/>
        <v/>
      </c>
      <c r="O800" s="4"/>
      <c r="P800" s="4">
        <f t="shared" si="160"/>
        <v/>
      </c>
      <c r="Q800" s="4">
        <f t="shared" si="161"/>
        <v/>
      </c>
      <c r="R800" s="4">
        <f t="shared" si="165"/>
      </c>
      <c r="S800" s="4">
        <f t="shared" si="166"/>
      </c>
      <c r="T800" s="4">
        <f t="shared" si="167"/>
      </c>
      <c r="U800" s="4">
        <f t="shared" si="162"/>
        <v/>
      </c>
    </row>
    <row r="801" spans="1:21" x14ac:dyDescent="0.3">
      <c r="A801" s="4">
        <f t="shared" si="163"/>
        <v/>
      </c>
      <c r="B801" s="4">
        <f>IF(C801=1,MAX(B$2:$B800)+1,IF(F801=0,"",B800))</f>
        <v/>
      </c>
      <c r="C801" s="4">
        <f>COUNTIF($F$2:$F801,F801)</f>
      </c>
      <c r="D801" s="4">
        <f>IF(F801=0,0,MAX($D$2:D800)+1)</f>
      </c>
      <c r="E801" s="4">
        <f>IF(H801=0,0,MAX($E$2:E800)+1)</f>
      </c>
      <c r="F801" s="119"/>
      <c r="G801" s="119"/>
      <c r="H801" s="119"/>
      <c r="I801" s="4">
        <f>IFERROR(VLOOKUP(H801,H$2:H800,1,FALSE),VLOOKUP(H801,H$478:H802,1,FALSE))</f>
      </c>
      <c r="J801" s="4">
        <f t="shared" si="156"/>
        <v/>
      </c>
      <c r="K801" s="4">
        <f t="shared" si="157"/>
        <v/>
      </c>
      <c r="L801" s="4">
        <f t="shared" si="158"/>
        <v/>
      </c>
      <c r="M801" s="5">
        <f t="shared" si="164"/>
        <v/>
      </c>
      <c r="N801" s="4">
        <f t="shared" si="159"/>
        <v/>
      </c>
      <c r="O801" s="4"/>
      <c r="P801" s="4">
        <f t="shared" si="160"/>
        <v/>
      </c>
      <c r="Q801" s="4">
        <f t="shared" si="161"/>
        <v/>
      </c>
      <c r="R801" s="4">
        <f t="shared" si="165"/>
      </c>
      <c r="S801" s="4">
        <f t="shared" si="166"/>
      </c>
      <c r="T801" s="4">
        <f t="shared" si="167"/>
      </c>
      <c r="U801" s="4">
        <f t="shared" si="162"/>
        <v/>
      </c>
    </row>
    <row r="802" spans="1:21" x14ac:dyDescent="0.3">
      <c r="A802" s="4">
        <f t="shared" si="163"/>
        <v/>
      </c>
      <c r="B802" s="4">
        <f>IF(C802=1,MAX(B$2:$B801)+1,IF(F802=0,"",B801))</f>
        <v/>
      </c>
      <c r="C802" s="4">
        <f>COUNTIF($F$2:$F802,F802)</f>
      </c>
      <c r="D802" s="4">
        <f>IF(F802=0,0,MAX($D$2:D801)+1)</f>
      </c>
      <c r="E802" s="4">
        <f>IF(H802=0,0,MAX($E$2:E801)+1)</f>
      </c>
      <c r="F802" s="119"/>
      <c r="G802" s="119"/>
      <c r="H802" s="119"/>
      <c r="I802" s="4">
        <f>IFERROR(VLOOKUP(H802,H$2:H801,1,FALSE),VLOOKUP(H802,H$478:H803,1,FALSE))</f>
      </c>
      <c r="J802" s="4">
        <f t="shared" si="156"/>
        <v/>
      </c>
      <c r="K802" s="4">
        <f t="shared" si="157"/>
        <v/>
      </c>
      <c r="L802" s="4">
        <f t="shared" si="158"/>
        <v/>
      </c>
      <c r="M802" s="5">
        <f t="shared" si="164"/>
        <v/>
      </c>
      <c r="N802" s="4">
        <f t="shared" si="159"/>
        <v/>
      </c>
      <c r="O802" s="4"/>
      <c r="P802" s="4">
        <f t="shared" si="160"/>
        <v/>
      </c>
      <c r="Q802" s="4">
        <f t="shared" si="161"/>
        <v/>
      </c>
      <c r="R802" s="4">
        <f t="shared" si="165"/>
      </c>
      <c r="S802" s="4">
        <f t="shared" si="166"/>
      </c>
      <c r="T802" s="4">
        <f t="shared" si="167"/>
      </c>
      <c r="U802" s="4">
        <f t="shared" si="162"/>
        <v/>
      </c>
    </row>
    <row r="803" spans="1:21" x14ac:dyDescent="0.3">
      <c r="A803" s="4">
        <f t="shared" si="163"/>
        <v/>
      </c>
      <c r="B803" s="4">
        <f>IF(C803=1,MAX(B$2:$B802)+1,IF(F803=0,"",B802))</f>
        <v/>
      </c>
      <c r="C803" s="4">
        <f>COUNTIF($F$2:$F803,F803)</f>
      </c>
      <c r="D803" s="4">
        <f>IF(F803=0,0,MAX($D$2:D802)+1)</f>
      </c>
      <c r="E803" s="4">
        <f>IF(H803=0,0,MAX($E$2:E802)+1)</f>
      </c>
      <c r="F803" s="119"/>
      <c r="G803" s="119"/>
      <c r="H803" s="119"/>
      <c r="I803" s="4">
        <f>IFERROR(VLOOKUP(H803,H$2:H802,1,FALSE),VLOOKUP(H803,H$478:H804,1,FALSE))</f>
      </c>
      <c r="J803" s="4">
        <f t="shared" si="156"/>
        <v/>
      </c>
      <c r="K803" s="4">
        <f t="shared" si="157"/>
        <v/>
      </c>
      <c r="L803" s="4">
        <f t="shared" si="158"/>
        <v/>
      </c>
      <c r="M803" s="5">
        <f t="shared" si="164"/>
        <v/>
      </c>
      <c r="N803" s="4">
        <f t="shared" si="159"/>
        <v/>
      </c>
      <c r="O803" s="4"/>
      <c r="P803" s="4">
        <f t="shared" si="160"/>
        <v/>
      </c>
      <c r="Q803" s="4">
        <f t="shared" si="161"/>
        <v/>
      </c>
      <c r="R803" s="4">
        <f t="shared" si="165"/>
      </c>
      <c r="S803" s="4">
        <f t="shared" si="166"/>
      </c>
      <c r="T803" s="4">
        <f t="shared" si="167"/>
      </c>
      <c r="U803" s="4">
        <f t="shared" si="162"/>
        <v/>
      </c>
    </row>
    <row r="804" spans="1:21" x14ac:dyDescent="0.3">
      <c r="A804" s="4">
        <f t="shared" si="163"/>
        <v/>
      </c>
      <c r="B804" s="4">
        <f>IF(C804=1,MAX(B$2:$B803)+1,IF(F804=0,"",B803))</f>
        <v/>
      </c>
      <c r="C804" s="4">
        <f>COUNTIF($F$2:$F804,F804)</f>
      </c>
      <c r="D804" s="4">
        <f>IF(F804=0,0,MAX($D$2:D803)+1)</f>
      </c>
      <c r="E804" s="4">
        <f>IF(H804=0,0,MAX($E$2:E803)+1)</f>
      </c>
      <c r="F804" s="119"/>
      <c r="G804" s="119"/>
      <c r="H804" s="119"/>
      <c r="I804" s="4">
        <f>IFERROR(VLOOKUP(H804,H$2:H803,1,FALSE),VLOOKUP(H804,H$478:H805,1,FALSE))</f>
      </c>
      <c r="J804" s="4">
        <f t="shared" si="156"/>
        <v/>
      </c>
      <c r="K804" s="4">
        <f t="shared" si="157"/>
        <v/>
      </c>
      <c r="L804" s="4">
        <f t="shared" si="158"/>
        <v/>
      </c>
      <c r="M804" s="5">
        <f t="shared" si="164"/>
        <v/>
      </c>
      <c r="N804" s="4">
        <f t="shared" si="159"/>
        <v/>
      </c>
      <c r="O804" s="4"/>
      <c r="P804" s="4">
        <f t="shared" si="160"/>
        <v/>
      </c>
      <c r="Q804" s="4">
        <f t="shared" si="161"/>
        <v/>
      </c>
      <c r="R804" s="4">
        <f t="shared" si="165"/>
      </c>
      <c r="S804" s="4">
        <f t="shared" si="166"/>
      </c>
      <c r="T804" s="4">
        <f t="shared" si="167"/>
      </c>
      <c r="U804" s="4">
        <f t="shared" si="162"/>
        <v/>
      </c>
    </row>
    <row r="805" spans="1:21" x14ac:dyDescent="0.3">
      <c r="A805" s="4">
        <f t="shared" si="163"/>
        <v/>
      </c>
      <c r="B805" s="4">
        <f>IF(C805=1,MAX(B$2:$B804)+1,IF(F805=0,"",B804))</f>
        <v/>
      </c>
      <c r="C805" s="4">
        <f>COUNTIF($F$2:$F805,F805)</f>
      </c>
      <c r="D805" s="4">
        <f>IF(F805=0,0,MAX($D$2:D804)+1)</f>
      </c>
      <c r="E805" s="4">
        <f>IF(H805=0,0,MAX($E$2:E804)+1)</f>
      </c>
      <c r="F805" s="119"/>
      <c r="G805" s="119"/>
      <c r="H805" s="119"/>
      <c r="I805" s="4">
        <f>IFERROR(VLOOKUP(H805,H$2:H804,1,FALSE),VLOOKUP(H805,H$478:H806,1,FALSE))</f>
      </c>
      <c r="J805" s="4">
        <f t="shared" si="156"/>
        <v/>
      </c>
      <c r="K805" s="4">
        <f t="shared" si="157"/>
        <v/>
      </c>
      <c r="L805" s="4">
        <f t="shared" si="158"/>
        <v/>
      </c>
      <c r="M805" s="5">
        <f t="shared" si="164"/>
        <v/>
      </c>
      <c r="N805" s="4">
        <f t="shared" si="159"/>
        <v/>
      </c>
      <c r="O805" s="4"/>
      <c r="P805" s="4">
        <f t="shared" si="160"/>
        <v/>
      </c>
      <c r="Q805" s="4">
        <f t="shared" si="161"/>
        <v/>
      </c>
      <c r="R805" s="4">
        <f t="shared" si="165"/>
      </c>
      <c r="S805" s="4">
        <f t="shared" si="166"/>
      </c>
      <c r="T805" s="4">
        <f t="shared" si="167"/>
      </c>
      <c r="U805" s="4">
        <f t="shared" si="162"/>
        <v/>
      </c>
    </row>
    <row r="806" spans="1:21" x14ac:dyDescent="0.3">
      <c r="A806" s="4">
        <f t="shared" si="163"/>
        <v/>
      </c>
      <c r="B806" s="4">
        <f>IF(C806=1,MAX(B$2:$B805)+1,IF(F806=0,"",B805))</f>
        <v/>
      </c>
      <c r="C806" s="4">
        <f>COUNTIF($F$2:$F806,F806)</f>
      </c>
      <c r="D806" s="4">
        <f>IF(F806=0,0,MAX($D$2:D805)+1)</f>
      </c>
      <c r="E806" s="4">
        <f>IF(H806=0,0,MAX($E$2:E805)+1)</f>
      </c>
      <c r="F806" s="119"/>
      <c r="G806" s="119"/>
      <c r="H806" s="119"/>
      <c r="I806" s="4">
        <f>IFERROR(VLOOKUP(H806,H$2:H805,1,FALSE),VLOOKUP(H806,H$478:H807,1,FALSE))</f>
      </c>
      <c r="J806" s="4">
        <f t="shared" si="156"/>
        <v/>
      </c>
      <c r="K806" s="4">
        <f t="shared" si="157"/>
        <v/>
      </c>
      <c r="L806" s="4">
        <f t="shared" si="158"/>
        <v/>
      </c>
      <c r="M806" s="5">
        <f t="shared" si="164"/>
        <v/>
      </c>
      <c r="N806" s="4">
        <f t="shared" si="159"/>
        <v/>
      </c>
      <c r="O806" s="4"/>
      <c r="P806" s="4">
        <f t="shared" si="160"/>
        <v/>
      </c>
      <c r="Q806" s="4">
        <f t="shared" si="161"/>
        <v/>
      </c>
      <c r="R806" s="4">
        <f t="shared" si="165"/>
      </c>
      <c r="S806" s="4">
        <f t="shared" si="166"/>
      </c>
      <c r="T806" s="4">
        <f t="shared" si="167"/>
      </c>
      <c r="U806" s="4">
        <f t="shared" si="162"/>
        <v/>
      </c>
    </row>
    <row r="807" spans="1:21" x14ac:dyDescent="0.3">
      <c r="A807" s="4">
        <f t="shared" si="163"/>
        <v/>
      </c>
      <c r="B807" s="4">
        <f>IF(C807=1,MAX(B$2:$B806)+1,IF(F807=0,"",B806))</f>
        <v/>
      </c>
      <c r="C807" s="4">
        <f>COUNTIF($F$2:$F807,F807)</f>
      </c>
      <c r="D807" s="4">
        <f>IF(F807=0,0,MAX($D$2:D806)+1)</f>
      </c>
      <c r="E807" s="4">
        <f>IF(H807=0,0,MAX($E$2:E806)+1)</f>
      </c>
      <c r="F807" s="119"/>
      <c r="G807" s="119"/>
      <c r="H807" s="119"/>
      <c r="I807" s="4">
        <f>IFERROR(VLOOKUP(H807,H$2:H806,1,FALSE),VLOOKUP(H807,H$478:H808,1,FALSE))</f>
      </c>
      <c r="J807" s="4">
        <f t="shared" si="156"/>
        <v/>
      </c>
      <c r="K807" s="4">
        <f t="shared" si="157"/>
        <v/>
      </c>
      <c r="L807" s="4">
        <f t="shared" si="158"/>
        <v/>
      </c>
      <c r="M807" s="5">
        <f t="shared" si="164"/>
        <v/>
      </c>
      <c r="N807" s="4">
        <f t="shared" si="159"/>
        <v/>
      </c>
      <c r="O807" s="4"/>
      <c r="P807" s="4">
        <f t="shared" si="160"/>
        <v/>
      </c>
      <c r="Q807" s="4">
        <f t="shared" si="161"/>
        <v/>
      </c>
      <c r="R807" s="4">
        <f t="shared" si="165"/>
      </c>
      <c r="S807" s="4">
        <f t="shared" si="166"/>
      </c>
      <c r="T807" s="4">
        <f t="shared" si="167"/>
      </c>
      <c r="U807" s="4">
        <f t="shared" si="162"/>
        <v/>
      </c>
    </row>
    <row r="808" spans="1:21" x14ac:dyDescent="0.3">
      <c r="A808" s="4">
        <f t="shared" si="163"/>
        <v/>
      </c>
      <c r="B808" s="4">
        <f>IF(C808=1,MAX(B$2:$B807)+1,IF(F808=0,"",B807))</f>
        <v/>
      </c>
      <c r="C808" s="4">
        <f>COUNTIF($F$2:$F808,F808)</f>
      </c>
      <c r="D808" s="4">
        <f>IF(F808=0,0,MAX($D$2:D807)+1)</f>
      </c>
      <c r="E808" s="4">
        <f>IF(H808=0,0,MAX($E$2:E807)+1)</f>
      </c>
      <c r="F808" s="119"/>
      <c r="G808" s="119"/>
      <c r="H808" s="119"/>
      <c r="I808" s="4">
        <f>IFERROR(VLOOKUP(H808,H$2:H807,1,FALSE),VLOOKUP(H808,H$478:H809,1,FALSE))</f>
      </c>
      <c r="J808" s="4">
        <f t="shared" si="156"/>
        <v/>
      </c>
      <c r="K808" s="4">
        <f t="shared" si="157"/>
        <v/>
      </c>
      <c r="L808" s="4">
        <f t="shared" si="158"/>
        <v/>
      </c>
      <c r="M808" s="5">
        <f t="shared" si="164"/>
        <v/>
      </c>
      <c r="N808" s="4">
        <f t="shared" si="159"/>
        <v/>
      </c>
      <c r="O808" s="4"/>
      <c r="P808" s="4">
        <f t="shared" si="160"/>
        <v/>
      </c>
      <c r="Q808" s="4">
        <f t="shared" si="161"/>
        <v/>
      </c>
      <c r="R808" s="4">
        <f t="shared" si="165"/>
      </c>
      <c r="S808" s="4">
        <f t="shared" si="166"/>
      </c>
      <c r="T808" s="4">
        <f t="shared" si="167"/>
      </c>
      <c r="U808" s="4">
        <f t="shared" si="162"/>
        <v/>
      </c>
    </row>
    <row r="809" spans="1:21" x14ac:dyDescent="0.3">
      <c r="A809" s="4">
        <f t="shared" si="163"/>
        <v/>
      </c>
      <c r="B809" s="4">
        <f>IF(C809=1,MAX(B$2:$B808)+1,IF(F809=0,"",B808))</f>
        <v/>
      </c>
      <c r="C809" s="4">
        <f>COUNTIF($F$2:$F809,F809)</f>
      </c>
      <c r="D809" s="4">
        <f>IF(F809=0,0,MAX($D$2:D808)+1)</f>
      </c>
      <c r="E809" s="4">
        <f>IF(H809=0,0,MAX($E$2:E808)+1)</f>
      </c>
      <c r="F809" s="119"/>
      <c r="G809" s="119"/>
      <c r="H809" s="119"/>
      <c r="I809" s="4">
        <f>IFERROR(VLOOKUP(H809,H$2:H808,1,FALSE),VLOOKUP(H809,H$478:H810,1,FALSE))</f>
      </c>
      <c r="J809" s="4">
        <f t="shared" si="156"/>
        <v/>
      </c>
      <c r="K809" s="4">
        <f t="shared" si="157"/>
        <v/>
      </c>
      <c r="L809" s="4">
        <f t="shared" si="158"/>
        <v/>
      </c>
      <c r="M809" s="5">
        <f t="shared" si="164"/>
        <v/>
      </c>
      <c r="N809" s="4">
        <f t="shared" si="159"/>
        <v/>
      </c>
      <c r="O809" s="4"/>
      <c r="P809" s="4">
        <f t="shared" si="160"/>
        <v/>
      </c>
      <c r="Q809" s="4">
        <f t="shared" si="161"/>
        <v/>
      </c>
      <c r="R809" s="4">
        <f t="shared" si="165"/>
      </c>
      <c r="S809" s="4">
        <f t="shared" si="166"/>
      </c>
      <c r="T809" s="4">
        <f t="shared" si="167"/>
      </c>
      <c r="U809" s="4">
        <f t="shared" si="162"/>
        <v/>
      </c>
    </row>
    <row r="810" spans="1:21" x14ac:dyDescent="0.3">
      <c r="A810" s="4">
        <f t="shared" si="163"/>
        <v/>
      </c>
      <c r="B810" s="4">
        <f>IF(C810=1,MAX(B$2:$B809)+1,IF(F810=0,"",B809))</f>
        <v/>
      </c>
      <c r="C810" s="4">
        <f>COUNTIF($F$2:$F810,F810)</f>
      </c>
      <c r="D810" s="4">
        <f>IF(F810=0,0,MAX($D$2:D809)+1)</f>
      </c>
      <c r="E810" s="4">
        <f>IF(H810=0,0,MAX($E$2:E809)+1)</f>
      </c>
      <c r="F810" s="119"/>
      <c r="G810" s="119"/>
      <c r="H810" s="119"/>
      <c r="I810" s="4">
        <f>IFERROR(VLOOKUP(H810,H$2:H809,1,FALSE),VLOOKUP(H810,H$478:H811,1,FALSE))</f>
      </c>
      <c r="J810" s="4">
        <f t="shared" si="156"/>
        <v/>
      </c>
      <c r="K810" s="4">
        <f t="shared" si="157"/>
        <v/>
      </c>
      <c r="L810" s="4">
        <f t="shared" si="158"/>
        <v/>
      </c>
      <c r="M810" s="5">
        <f t="shared" si="164"/>
        <v/>
      </c>
      <c r="N810" s="4">
        <f t="shared" si="159"/>
        <v/>
      </c>
      <c r="O810" s="4"/>
      <c r="P810" s="4">
        <f t="shared" si="160"/>
        <v/>
      </c>
      <c r="Q810" s="4">
        <f t="shared" si="161"/>
        <v/>
      </c>
      <c r="R810" s="4">
        <f t="shared" si="165"/>
      </c>
      <c r="S810" s="4">
        <f t="shared" si="166"/>
      </c>
      <c r="T810" s="4">
        <f t="shared" si="167"/>
      </c>
      <c r="U810" s="4">
        <f t="shared" si="162"/>
        <v/>
      </c>
    </row>
    <row r="811" spans="1:21" x14ac:dyDescent="0.3">
      <c r="A811" s="4">
        <f t="shared" si="163"/>
        <v/>
      </c>
      <c r="B811" s="4">
        <f>IF(C811=1,MAX(B$2:$B810)+1,IF(F811=0,"",B810))</f>
        <v/>
      </c>
      <c r="C811" s="4">
        <f>COUNTIF($F$2:$F811,F811)</f>
      </c>
      <c r="D811" s="4">
        <f>IF(F811=0,0,MAX($D$2:D810)+1)</f>
      </c>
      <c r="E811" s="4">
        <f>IF(H811=0,0,MAX($E$2:E810)+1)</f>
      </c>
      <c r="F811" s="119"/>
      <c r="G811" s="119"/>
      <c r="H811" s="119"/>
      <c r="I811" s="4">
        <f>IFERROR(VLOOKUP(H811,H$2:H810,1,FALSE),VLOOKUP(H811,H$478:H812,1,FALSE))</f>
      </c>
      <c r="J811" s="4">
        <f t="shared" si="156"/>
        <v/>
      </c>
      <c r="K811" s="4">
        <f t="shared" si="157"/>
        <v/>
      </c>
      <c r="L811" s="4">
        <f t="shared" si="158"/>
        <v/>
      </c>
      <c r="M811" s="5">
        <f t="shared" si="164"/>
        <v/>
      </c>
      <c r="N811" s="4">
        <f t="shared" si="159"/>
        <v/>
      </c>
      <c r="O811" s="4"/>
      <c r="P811" s="4">
        <f t="shared" si="160"/>
        <v/>
      </c>
      <c r="Q811" s="4">
        <f t="shared" si="161"/>
        <v/>
      </c>
      <c r="R811" s="4">
        <f t="shared" si="165"/>
      </c>
      <c r="S811" s="4">
        <f t="shared" si="166"/>
      </c>
      <c r="T811" s="4">
        <f t="shared" si="167"/>
      </c>
      <c r="U811" s="4">
        <f t="shared" si="162"/>
        <v/>
      </c>
    </row>
    <row r="812" spans="1:21" x14ac:dyDescent="0.3">
      <c r="A812" s="4">
        <f t="shared" si="163"/>
        <v/>
      </c>
      <c r="B812" s="4">
        <f>IF(C812=1,MAX(B$2:$B811)+1,IF(F812=0,"",B811))</f>
        <v/>
      </c>
      <c r="C812" s="4">
        <f>COUNTIF($F$2:$F812,F812)</f>
      </c>
      <c r="D812" s="4">
        <f>IF(F812=0,0,MAX($D$2:D811)+1)</f>
      </c>
      <c r="E812" s="4">
        <f>IF(H812=0,0,MAX($E$2:E811)+1)</f>
      </c>
      <c r="F812" s="119"/>
      <c r="G812" s="119"/>
      <c r="H812" s="119"/>
      <c r="I812" s="4">
        <f>IFERROR(VLOOKUP(H812,H$2:H811,1,FALSE),VLOOKUP(H812,H$478:H813,1,FALSE))</f>
      </c>
      <c r="J812" s="4">
        <f t="shared" si="156"/>
        <v/>
      </c>
      <c r="K812" s="4">
        <f t="shared" si="157"/>
        <v/>
      </c>
      <c r="L812" s="4">
        <f t="shared" si="158"/>
        <v/>
      </c>
      <c r="M812" s="5">
        <f t="shared" si="164"/>
        <v/>
      </c>
      <c r="N812" s="4">
        <f t="shared" si="159"/>
        <v/>
      </c>
      <c r="O812" s="4"/>
      <c r="P812" s="4">
        <f t="shared" si="160"/>
        <v/>
      </c>
      <c r="Q812" s="4">
        <f t="shared" si="161"/>
        <v/>
      </c>
      <c r="R812" s="4">
        <f t="shared" si="165"/>
      </c>
      <c r="S812" s="4">
        <f t="shared" si="166"/>
      </c>
      <c r="T812" s="4">
        <f t="shared" si="167"/>
      </c>
      <c r="U812" s="4">
        <f t="shared" si="162"/>
        <v/>
      </c>
    </row>
    <row r="813" spans="1:21" x14ac:dyDescent="0.3">
      <c r="A813" s="4">
        <f t="shared" si="163"/>
        <v/>
      </c>
      <c r="B813" s="4">
        <f>IF(C813=1,MAX(B$2:$B812)+1,IF(F813=0,"",B812))</f>
        <v/>
      </c>
      <c r="C813" s="4">
        <f>COUNTIF($F$2:$F813,F813)</f>
      </c>
      <c r="D813" s="4">
        <f>IF(F813=0,0,MAX($D$2:D812)+1)</f>
      </c>
      <c r="E813" s="4">
        <f>IF(H813=0,0,MAX($E$2:E812)+1)</f>
      </c>
      <c r="F813" s="119"/>
      <c r="G813" s="119"/>
      <c r="H813" s="119"/>
      <c r="I813" s="4">
        <f>IFERROR(VLOOKUP(H813,H$2:H812,1,FALSE),VLOOKUP(H813,H$478:H814,1,FALSE))</f>
      </c>
      <c r="J813" s="4">
        <f t="shared" si="156"/>
        <v/>
      </c>
      <c r="K813" s="4">
        <f t="shared" si="157"/>
        <v/>
      </c>
      <c r="L813" s="4">
        <f t="shared" si="158"/>
        <v/>
      </c>
      <c r="M813" s="5">
        <f t="shared" si="164"/>
        <v/>
      </c>
      <c r="N813" s="4">
        <f t="shared" si="159"/>
        <v/>
      </c>
      <c r="O813" s="4"/>
      <c r="P813" s="4">
        <f t="shared" si="160"/>
        <v/>
      </c>
      <c r="Q813" s="4">
        <f t="shared" si="161"/>
        <v/>
      </c>
      <c r="R813" s="4">
        <f t="shared" si="165"/>
      </c>
      <c r="S813" s="4">
        <f t="shared" si="166"/>
      </c>
      <c r="T813" s="4">
        <f t="shared" si="167"/>
      </c>
      <c r="U813" s="4">
        <f t="shared" si="162"/>
        <v/>
      </c>
    </row>
    <row r="814" spans="1:21" x14ac:dyDescent="0.3">
      <c r="A814" s="4">
        <f t="shared" si="163"/>
        <v/>
      </c>
      <c r="B814" s="4">
        <f>IF(C814=1,MAX(B$2:$B813)+1,IF(F814=0,"",B813))</f>
        <v/>
      </c>
      <c r="C814" s="4">
        <f>COUNTIF($F$2:$F814,F814)</f>
      </c>
      <c r="D814" s="4">
        <f>IF(F814=0,0,MAX($D$2:D813)+1)</f>
      </c>
      <c r="E814" s="4">
        <f>IF(H814=0,0,MAX($E$2:E813)+1)</f>
      </c>
      <c r="F814" s="119"/>
      <c r="G814" s="119"/>
      <c r="H814" s="119"/>
      <c r="I814" s="4">
        <f>IFERROR(VLOOKUP(H814,H$2:H813,1,FALSE),VLOOKUP(H814,H$478:H815,1,FALSE))</f>
      </c>
      <c r="J814" s="4">
        <f t="shared" si="156"/>
        <v/>
      </c>
      <c r="K814" s="4">
        <f t="shared" si="157"/>
        <v/>
      </c>
      <c r="L814" s="4">
        <f t="shared" si="158"/>
        <v/>
      </c>
      <c r="M814" s="5">
        <f t="shared" si="164"/>
        <v/>
      </c>
      <c r="N814" s="4">
        <f t="shared" si="159"/>
        <v/>
      </c>
      <c r="O814" s="4"/>
      <c r="P814" s="4">
        <f t="shared" si="160"/>
        <v/>
      </c>
      <c r="Q814" s="4">
        <f t="shared" si="161"/>
        <v/>
      </c>
      <c r="R814" s="4">
        <f t="shared" si="165"/>
      </c>
      <c r="S814" s="4">
        <f t="shared" si="166"/>
      </c>
      <c r="T814" s="4">
        <f t="shared" si="167"/>
      </c>
      <c r="U814" s="4">
        <f t="shared" si="162"/>
        <v/>
      </c>
    </row>
    <row r="815" spans="1:21" x14ac:dyDescent="0.3">
      <c r="A815" s="4">
        <f t="shared" si="163"/>
        <v/>
      </c>
      <c r="B815" s="4">
        <f>IF(C815=1,MAX(B$2:$B814)+1,IF(F815=0,"",B814))</f>
        <v/>
      </c>
      <c r="C815" s="4">
        <f>COUNTIF($F$2:$F815,F815)</f>
      </c>
      <c r="D815" s="4">
        <f>IF(F815=0,0,MAX($D$2:D814)+1)</f>
      </c>
      <c r="E815" s="4">
        <f>IF(H815=0,0,MAX($E$2:E814)+1)</f>
      </c>
      <c r="F815" s="119"/>
      <c r="G815" s="119"/>
      <c r="H815" s="119"/>
      <c r="I815" s="4">
        <f>IFERROR(VLOOKUP(H815,H$2:H814,1,FALSE),VLOOKUP(H815,H$478:H816,1,FALSE))</f>
      </c>
      <c r="J815" s="4">
        <f t="shared" si="156"/>
        <v/>
      </c>
      <c r="K815" s="4">
        <f t="shared" si="157"/>
        <v/>
      </c>
      <c r="L815" s="4">
        <f t="shared" si="158"/>
        <v/>
      </c>
      <c r="M815" s="5">
        <f t="shared" si="164"/>
        <v/>
      </c>
      <c r="N815" s="4">
        <f t="shared" si="159"/>
        <v/>
      </c>
      <c r="O815" s="4"/>
      <c r="P815" s="4">
        <f t="shared" si="160"/>
        <v/>
      </c>
      <c r="Q815" s="4">
        <f t="shared" si="161"/>
        <v/>
      </c>
      <c r="R815" s="4">
        <f t="shared" si="165"/>
      </c>
      <c r="S815" s="4">
        <f t="shared" si="166"/>
      </c>
      <c r="T815" s="4">
        <f t="shared" si="167"/>
      </c>
      <c r="U815" s="4">
        <f t="shared" si="162"/>
        <v/>
      </c>
    </row>
    <row r="816" spans="1:21" x14ac:dyDescent="0.3">
      <c r="A816" s="4">
        <f t="shared" si="163"/>
        <v/>
      </c>
      <c r="B816" s="4">
        <f>IF(C816=1,MAX(B$2:$B815)+1,IF(F816=0,"",B815))</f>
        <v/>
      </c>
      <c r="C816" s="4">
        <f>COUNTIF($F$2:$F816,F816)</f>
      </c>
      <c r="D816" s="4">
        <f>IF(F816=0,0,MAX($D$2:D815)+1)</f>
      </c>
      <c r="E816" s="4">
        <f>IF(H816=0,0,MAX($E$2:E815)+1)</f>
      </c>
      <c r="F816" s="119"/>
      <c r="G816" s="119"/>
      <c r="H816" s="119"/>
      <c r="I816" s="4">
        <f>IFERROR(VLOOKUP(H816,H$2:H815,1,FALSE),VLOOKUP(H816,H$478:H817,1,FALSE))</f>
      </c>
      <c r="J816" s="4">
        <f t="shared" si="156"/>
        <v/>
      </c>
      <c r="K816" s="4">
        <f t="shared" si="157"/>
        <v/>
      </c>
      <c r="L816" s="4">
        <f t="shared" si="158"/>
        <v/>
      </c>
      <c r="M816" s="5">
        <f t="shared" si="164"/>
        <v/>
      </c>
      <c r="N816" s="4">
        <f t="shared" si="159"/>
        <v/>
      </c>
      <c r="O816" s="4"/>
      <c r="P816" s="4">
        <f t="shared" si="160"/>
        <v/>
      </c>
      <c r="Q816" s="4">
        <f t="shared" si="161"/>
        <v/>
      </c>
      <c r="R816" s="4">
        <f t="shared" si="165"/>
      </c>
      <c r="S816" s="4">
        <f t="shared" si="166"/>
      </c>
      <c r="T816" s="4">
        <f t="shared" si="167"/>
      </c>
      <c r="U816" s="4">
        <f t="shared" si="162"/>
        <v/>
      </c>
    </row>
    <row r="817" spans="1:21" x14ac:dyDescent="0.3">
      <c r="A817" s="4">
        <f t="shared" si="163"/>
        <v/>
      </c>
      <c r="B817" s="4">
        <f>IF(C817=1,MAX(B$2:$B816)+1,IF(F817=0,"",B816))</f>
        <v/>
      </c>
      <c r="C817" s="4">
        <f>COUNTIF($F$2:$F817,F817)</f>
      </c>
      <c r="D817" s="4">
        <f>IF(F817=0,0,MAX($D$2:D816)+1)</f>
      </c>
      <c r="E817" s="4">
        <f>IF(H817=0,0,MAX($E$2:E816)+1)</f>
      </c>
      <c r="F817" s="119"/>
      <c r="G817" s="119"/>
      <c r="H817" s="119"/>
      <c r="I817" s="4">
        <f>IFERROR(VLOOKUP(H817,H$2:H816,1,FALSE),VLOOKUP(H817,H$478:H818,1,FALSE))</f>
      </c>
      <c r="J817" s="4">
        <f t="shared" si="156"/>
        <v/>
      </c>
      <c r="K817" s="4">
        <f t="shared" si="157"/>
        <v/>
      </c>
      <c r="L817" s="4">
        <f t="shared" si="158"/>
        <v/>
      </c>
      <c r="M817" s="5">
        <f t="shared" si="164"/>
        <v/>
      </c>
      <c r="N817" s="4">
        <f t="shared" si="159"/>
        <v/>
      </c>
      <c r="O817" s="4"/>
      <c r="P817" s="4">
        <f t="shared" si="160"/>
        <v/>
      </c>
      <c r="Q817" s="4">
        <f t="shared" si="161"/>
        <v/>
      </c>
      <c r="R817" s="4">
        <f t="shared" si="165"/>
      </c>
      <c r="S817" s="4">
        <f t="shared" si="166"/>
      </c>
      <c r="T817" s="4">
        <f t="shared" si="167"/>
      </c>
      <c r="U817" s="4">
        <f t="shared" si="162"/>
        <v/>
      </c>
    </row>
    <row r="818" spans="1:21" x14ac:dyDescent="0.3">
      <c r="A818" s="4">
        <f t="shared" si="163"/>
        <v/>
      </c>
      <c r="B818" s="4">
        <f>IF(C818=1,MAX(B$2:$B817)+1,IF(F818=0,"",B817))</f>
        <v/>
      </c>
      <c r="C818" s="4">
        <f>COUNTIF($F$2:$F818,F818)</f>
      </c>
      <c r="D818" s="4">
        <f>IF(F818=0,0,MAX($D$2:D817)+1)</f>
      </c>
      <c r="E818" s="4">
        <f>IF(H818=0,0,MAX($E$2:E817)+1)</f>
      </c>
      <c r="F818" s="119"/>
      <c r="G818" s="119"/>
      <c r="H818" s="119"/>
      <c r="I818" s="4">
        <f>IFERROR(VLOOKUP(H818,H$2:H817,1,FALSE),VLOOKUP(H818,H$478:H819,1,FALSE))</f>
      </c>
      <c r="J818" s="4">
        <f t="shared" si="156"/>
        <v/>
      </c>
      <c r="K818" s="4">
        <f t="shared" si="157"/>
        <v/>
      </c>
      <c r="L818" s="4">
        <f t="shared" si="158"/>
        <v/>
      </c>
      <c r="M818" s="5">
        <f t="shared" si="164"/>
        <v/>
      </c>
      <c r="N818" s="4">
        <f t="shared" si="159"/>
        <v/>
      </c>
      <c r="O818" s="4"/>
      <c r="P818" s="4">
        <f t="shared" si="160"/>
        <v/>
      </c>
      <c r="Q818" s="4">
        <f t="shared" si="161"/>
        <v/>
      </c>
      <c r="R818" s="4">
        <f t="shared" si="165"/>
      </c>
      <c r="S818" s="4">
        <f t="shared" si="166"/>
      </c>
      <c r="T818" s="4">
        <f t="shared" si="167"/>
      </c>
      <c r="U818" s="4">
        <f t="shared" si="162"/>
        <v/>
      </c>
    </row>
    <row r="819" spans="1:21" x14ac:dyDescent="0.3">
      <c r="A819" s="4">
        <f t="shared" si="163"/>
        <v/>
      </c>
      <c r="B819" s="4">
        <f>IF(C819=1,MAX(B$2:$B818)+1,IF(F819=0,"",B818))</f>
        <v/>
      </c>
      <c r="C819" s="4">
        <f>COUNTIF($F$2:$F819,F819)</f>
      </c>
      <c r="D819" s="4">
        <f>IF(F819=0,0,MAX($D$2:D818)+1)</f>
      </c>
      <c r="E819" s="4">
        <f>IF(H819=0,0,MAX($E$2:E818)+1)</f>
      </c>
      <c r="F819" s="119"/>
      <c r="G819" s="119"/>
      <c r="H819" s="119"/>
      <c r="I819" s="4">
        <f>IFERROR(VLOOKUP(H819,H$2:H818,1,FALSE),VLOOKUP(H819,H$478:H820,1,FALSE))</f>
      </c>
      <c r="J819" s="4">
        <f t="shared" si="156"/>
        <v/>
      </c>
      <c r="K819" s="4">
        <f t="shared" si="157"/>
        <v/>
      </c>
      <c r="L819" s="4">
        <f t="shared" si="158"/>
        <v/>
      </c>
      <c r="M819" s="5">
        <f t="shared" si="164"/>
        <v/>
      </c>
      <c r="N819" s="4">
        <f t="shared" si="159"/>
        <v/>
      </c>
      <c r="O819" s="4"/>
      <c r="P819" s="4">
        <f t="shared" si="160"/>
        <v/>
      </c>
      <c r="Q819" s="4">
        <f t="shared" si="161"/>
        <v/>
      </c>
      <c r="R819" s="4">
        <f t="shared" si="165"/>
      </c>
      <c r="S819" s="4">
        <f t="shared" si="166"/>
      </c>
      <c r="T819" s="4">
        <f t="shared" si="167"/>
      </c>
      <c r="U819" s="4">
        <f t="shared" si="162"/>
        <v/>
      </c>
    </row>
    <row r="820" spans="1:21" x14ac:dyDescent="0.3">
      <c r="A820" s="4">
        <f t="shared" si="163"/>
        <v/>
      </c>
      <c r="B820" s="4">
        <f>IF(C820=1,MAX(B$2:$B819)+1,IF(F820=0,"",B819))</f>
        <v/>
      </c>
      <c r="C820" s="4">
        <f>COUNTIF($F$2:$F820,F820)</f>
      </c>
      <c r="D820" s="4">
        <f>IF(F820=0,0,MAX($D$2:D819)+1)</f>
      </c>
      <c r="E820" s="4">
        <f>IF(H820=0,0,MAX($E$2:E819)+1)</f>
      </c>
      <c r="F820" s="119"/>
      <c r="G820" s="119"/>
      <c r="H820" s="119"/>
      <c r="I820" s="4">
        <f>IFERROR(VLOOKUP(H820,H$2:H819,1,FALSE),VLOOKUP(H820,H$478:H821,1,FALSE))</f>
      </c>
      <c r="J820" s="4">
        <f t="shared" si="156"/>
        <v/>
      </c>
      <c r="K820" s="4">
        <f t="shared" si="157"/>
        <v/>
      </c>
      <c r="L820" s="4">
        <f t="shared" si="158"/>
        <v/>
      </c>
      <c r="M820" s="5">
        <f t="shared" si="164"/>
        <v/>
      </c>
      <c r="N820" s="4">
        <f t="shared" si="159"/>
        <v/>
      </c>
      <c r="O820" s="4"/>
      <c r="P820" s="4">
        <f t="shared" si="160"/>
        <v/>
      </c>
      <c r="Q820" s="4">
        <f t="shared" si="161"/>
        <v/>
      </c>
      <c r="R820" s="4">
        <f t="shared" si="165"/>
      </c>
      <c r="S820" s="4">
        <f t="shared" si="166"/>
      </c>
      <c r="T820" s="4">
        <f t="shared" si="167"/>
      </c>
      <c r="U820" s="4">
        <f t="shared" si="162"/>
        <v/>
      </c>
    </row>
    <row r="821" spans="1:21" x14ac:dyDescent="0.3">
      <c r="A821" s="4">
        <f t="shared" si="163"/>
        <v/>
      </c>
      <c r="B821" s="4">
        <f>IF(C821=1,MAX(B$2:$B820)+1,IF(F821=0,"",B820))</f>
        <v/>
      </c>
      <c r="C821" s="4">
        <f>COUNTIF($F$2:$F821,F821)</f>
      </c>
      <c r="D821" s="4">
        <f>IF(F821=0,0,MAX($D$2:D820)+1)</f>
      </c>
      <c r="E821" s="4">
        <f>IF(H821=0,0,MAX($E$2:E820)+1)</f>
      </c>
      <c r="F821" s="119"/>
      <c r="G821" s="119"/>
      <c r="H821" s="119"/>
      <c r="I821" s="4">
        <f>IFERROR(VLOOKUP(H821,H$2:H820,1,FALSE),VLOOKUP(H821,H$478:H822,1,FALSE))</f>
      </c>
      <c r="J821" s="4">
        <f t="shared" si="156"/>
        <v/>
      </c>
      <c r="K821" s="4">
        <f t="shared" si="157"/>
        <v/>
      </c>
      <c r="L821" s="4">
        <f t="shared" si="158"/>
        <v/>
      </c>
      <c r="M821" s="5">
        <f t="shared" si="164"/>
        <v/>
      </c>
      <c r="N821" s="4">
        <f t="shared" si="159"/>
        <v/>
      </c>
      <c r="O821" s="4"/>
      <c r="P821" s="4">
        <f t="shared" si="160"/>
        <v/>
      </c>
      <c r="Q821" s="4">
        <f t="shared" si="161"/>
        <v/>
      </c>
      <c r="R821" s="4">
        <f t="shared" si="165"/>
      </c>
      <c r="S821" s="4">
        <f t="shared" si="166"/>
      </c>
      <c r="T821" s="4">
        <f t="shared" si="167"/>
      </c>
      <c r="U821" s="4">
        <f t="shared" si="162"/>
        <v/>
      </c>
    </row>
    <row r="822" spans="1:21" x14ac:dyDescent="0.3">
      <c r="A822" s="4">
        <f t="shared" si="163"/>
        <v/>
      </c>
      <c r="B822" s="4">
        <f>IF(C822=1,MAX(B$2:$B821)+1,IF(F822=0,"",B821))</f>
        <v/>
      </c>
      <c r="C822" s="4">
        <f>COUNTIF($F$2:$F822,F822)</f>
      </c>
      <c r="D822" s="4">
        <f>IF(F822=0,0,MAX($D$2:D821)+1)</f>
      </c>
      <c r="E822" s="4">
        <f>IF(H822=0,0,MAX($E$2:E821)+1)</f>
      </c>
      <c r="F822" s="119"/>
      <c r="G822" s="119"/>
      <c r="H822" s="119"/>
      <c r="I822" s="4">
        <f>IFERROR(VLOOKUP(H822,H$2:H821,1,FALSE),VLOOKUP(H822,H$478:H823,1,FALSE))</f>
      </c>
      <c r="J822" s="4">
        <f t="shared" si="156"/>
        <v/>
      </c>
      <c r="K822" s="4">
        <f t="shared" si="157"/>
        <v/>
      </c>
      <c r="L822" s="4">
        <f t="shared" si="158"/>
        <v/>
      </c>
      <c r="M822" s="5">
        <f t="shared" si="164"/>
        <v/>
      </c>
      <c r="N822" s="4">
        <f t="shared" si="159"/>
        <v/>
      </c>
      <c r="O822" s="4"/>
      <c r="P822" s="4">
        <f t="shared" si="160"/>
        <v/>
      </c>
      <c r="Q822" s="4">
        <f t="shared" si="161"/>
        <v/>
      </c>
      <c r="R822" s="4">
        <f t="shared" si="165"/>
      </c>
      <c r="S822" s="4">
        <f t="shared" si="166"/>
      </c>
      <c r="T822" s="4">
        <f t="shared" si="167"/>
      </c>
      <c r="U822" s="4">
        <f t="shared" si="162"/>
        <v/>
      </c>
    </row>
    <row r="823" spans="1:21" x14ac:dyDescent="0.3">
      <c r="A823" s="4">
        <f t="shared" si="163"/>
        <v/>
      </c>
      <c r="B823" s="4">
        <f>IF(C823=1,MAX(B$2:$B822)+1,IF(F823=0,"",B822))</f>
        <v/>
      </c>
      <c r="C823" s="4">
        <f>COUNTIF($F$2:$F823,F823)</f>
      </c>
      <c r="D823" s="4">
        <f>IF(F823=0,0,MAX($D$2:D822)+1)</f>
      </c>
      <c r="E823" s="4">
        <f>IF(H823=0,0,MAX($E$2:E822)+1)</f>
      </c>
      <c r="F823" s="119"/>
      <c r="G823" s="119"/>
      <c r="H823" s="119"/>
      <c r="I823" s="4">
        <f>IFERROR(VLOOKUP(H823,H$2:H822,1,FALSE),VLOOKUP(H823,H$478:H824,1,FALSE))</f>
      </c>
      <c r="J823" s="4">
        <f t="shared" si="156"/>
        <v/>
      </c>
      <c r="K823" s="4">
        <f t="shared" si="157"/>
        <v/>
      </c>
      <c r="L823" s="4">
        <f t="shared" si="158"/>
        <v/>
      </c>
      <c r="M823" s="5">
        <f t="shared" si="164"/>
        <v/>
      </c>
      <c r="N823" s="4">
        <f t="shared" si="159"/>
        <v/>
      </c>
      <c r="O823" s="4"/>
      <c r="P823" s="4">
        <f t="shared" si="160"/>
        <v/>
      </c>
      <c r="Q823" s="4">
        <f t="shared" si="161"/>
        <v/>
      </c>
      <c r="R823" s="4">
        <f t="shared" si="165"/>
      </c>
      <c r="S823" s="4">
        <f t="shared" si="166"/>
      </c>
      <c r="T823" s="4">
        <f t="shared" si="167"/>
      </c>
      <c r="U823" s="4">
        <f t="shared" si="162"/>
        <v/>
      </c>
    </row>
    <row r="824" spans="1:21" x14ac:dyDescent="0.3">
      <c r="A824" s="4">
        <f t="shared" si="163"/>
        <v/>
      </c>
      <c r="B824" s="4">
        <f>IF(C824=1,MAX(B$2:$B823)+1,IF(F824=0,"",B823))</f>
        <v/>
      </c>
      <c r="C824" s="4">
        <f>COUNTIF($F$2:$F824,F824)</f>
      </c>
      <c r="D824" s="4">
        <f>IF(F824=0,0,MAX($D$2:D823)+1)</f>
      </c>
      <c r="E824" s="4">
        <f>IF(H824=0,0,MAX($E$2:E823)+1)</f>
      </c>
      <c r="F824" s="119"/>
      <c r="G824" s="119"/>
      <c r="H824" s="119"/>
      <c r="I824" s="4">
        <f>IFERROR(VLOOKUP(H824,H$2:H823,1,FALSE),VLOOKUP(H824,H$478:H825,1,FALSE))</f>
      </c>
      <c r="J824" s="4">
        <f t="shared" si="156"/>
        <v/>
      </c>
      <c r="K824" s="4">
        <f t="shared" si="157"/>
        <v/>
      </c>
      <c r="L824" s="4">
        <f t="shared" si="158"/>
        <v/>
      </c>
      <c r="M824" s="5">
        <f t="shared" si="164"/>
        <v/>
      </c>
      <c r="N824" s="4">
        <f t="shared" si="159"/>
        <v/>
      </c>
      <c r="O824" s="4"/>
      <c r="P824" s="4">
        <f t="shared" si="160"/>
        <v/>
      </c>
      <c r="Q824" s="4">
        <f t="shared" si="161"/>
        <v/>
      </c>
      <c r="R824" s="4">
        <f t="shared" si="165"/>
      </c>
      <c r="S824" s="4">
        <f t="shared" si="166"/>
      </c>
      <c r="T824" s="4">
        <f t="shared" si="167"/>
      </c>
      <c r="U824" s="4">
        <f t="shared" si="162"/>
        <v/>
      </c>
    </row>
    <row r="825" spans="1:21" x14ac:dyDescent="0.3">
      <c r="A825" s="4">
        <f t="shared" si="163"/>
        <v/>
      </c>
      <c r="B825" s="4">
        <f>IF(C825=1,MAX(B$2:$B824)+1,IF(F825=0,"",B824))</f>
        <v/>
      </c>
      <c r="C825" s="4">
        <f>COUNTIF($F$2:$F825,F825)</f>
      </c>
      <c r="D825" s="4">
        <f>IF(F825=0,0,MAX($D$2:D824)+1)</f>
      </c>
      <c r="E825" s="4">
        <f>IF(H825=0,0,MAX($E$2:E824)+1)</f>
      </c>
      <c r="F825" s="119"/>
      <c r="G825" s="119"/>
      <c r="H825" s="119"/>
      <c r="I825" s="4">
        <f>IFERROR(VLOOKUP(H825,H$2:H824,1,FALSE),VLOOKUP(H825,H$478:H826,1,FALSE))</f>
      </c>
      <c r="J825" s="4">
        <f t="shared" si="156"/>
        <v/>
      </c>
      <c r="K825" s="4">
        <f t="shared" si="157"/>
        <v/>
      </c>
      <c r="L825" s="4">
        <f t="shared" si="158"/>
        <v/>
      </c>
      <c r="M825" s="5">
        <f t="shared" si="164"/>
        <v/>
      </c>
      <c r="N825" s="4">
        <f t="shared" si="159"/>
        <v/>
      </c>
      <c r="O825" s="4"/>
      <c r="P825" s="4">
        <f t="shared" si="160"/>
        <v/>
      </c>
      <c r="Q825" s="4">
        <f t="shared" si="161"/>
        <v/>
      </c>
      <c r="R825" s="4">
        <f t="shared" si="165"/>
      </c>
      <c r="S825" s="4">
        <f t="shared" si="166"/>
      </c>
      <c r="T825" s="4">
        <f t="shared" si="167"/>
      </c>
      <c r="U825" s="4">
        <f t="shared" si="162"/>
        <v/>
      </c>
    </row>
    <row r="826" spans="1:21" x14ac:dyDescent="0.3">
      <c r="A826" s="4">
        <f t="shared" si="163"/>
        <v/>
      </c>
      <c r="B826" s="4">
        <f>IF(C826=1,MAX(B$2:$B825)+1,IF(F826=0,"",B825))</f>
        <v/>
      </c>
      <c r="C826" s="4">
        <f>COUNTIF($F$2:$F826,F826)</f>
      </c>
      <c r="D826" s="4">
        <f>IF(F826=0,0,MAX($D$2:D825)+1)</f>
      </c>
      <c r="E826" s="4">
        <f>IF(H826=0,0,MAX($E$2:E825)+1)</f>
      </c>
      <c r="F826" s="119"/>
      <c r="G826" s="119"/>
      <c r="H826" s="119"/>
      <c r="I826" s="4">
        <f>IFERROR(VLOOKUP(H826,H$2:H825,1,FALSE),VLOOKUP(H826,H$478:H827,1,FALSE))</f>
      </c>
      <c r="J826" s="4">
        <f t="shared" si="156"/>
        <v/>
      </c>
      <c r="K826" s="4">
        <f t="shared" si="157"/>
        <v/>
      </c>
      <c r="L826" s="4">
        <f t="shared" si="158"/>
        <v/>
      </c>
      <c r="M826" s="5">
        <f t="shared" si="164"/>
        <v/>
      </c>
      <c r="N826" s="4">
        <f t="shared" si="159"/>
        <v/>
      </c>
      <c r="O826" s="4"/>
      <c r="P826" s="4">
        <f t="shared" si="160"/>
        <v/>
      </c>
      <c r="Q826" s="4">
        <f t="shared" si="161"/>
        <v/>
      </c>
      <c r="R826" s="4">
        <f t="shared" si="165"/>
      </c>
      <c r="S826" s="4">
        <f t="shared" si="166"/>
      </c>
      <c r="T826" s="4">
        <f t="shared" si="167"/>
      </c>
      <c r="U826" s="4">
        <f t="shared" si="162"/>
        <v/>
      </c>
    </row>
    <row r="827" spans="1:21" x14ac:dyDescent="0.3">
      <c r="A827" s="4">
        <f t="shared" si="163"/>
        <v/>
      </c>
      <c r="B827" s="4">
        <f>IF(C827=1,MAX(B$2:$B826)+1,IF(F827=0,"",B826))</f>
        <v/>
      </c>
      <c r="C827" s="4">
        <f>COUNTIF($F$2:$F827,F827)</f>
      </c>
      <c r="D827" s="4">
        <f>IF(F827=0,0,MAX($D$2:D826)+1)</f>
      </c>
      <c r="E827" s="4">
        <f>IF(H827=0,0,MAX($E$2:E826)+1)</f>
      </c>
      <c r="F827" s="119"/>
      <c r="G827" s="119"/>
      <c r="H827" s="119"/>
      <c r="I827" s="4">
        <f>IFERROR(VLOOKUP(H827,H$2:H826,1,FALSE),VLOOKUP(H827,H$478:H828,1,FALSE))</f>
      </c>
      <c r="J827" s="4">
        <f t="shared" si="156"/>
        <v/>
      </c>
      <c r="K827" s="4">
        <f t="shared" si="157"/>
        <v/>
      </c>
      <c r="L827" s="4">
        <f t="shared" si="158"/>
        <v/>
      </c>
      <c r="M827" s="5">
        <f t="shared" si="164"/>
        <v/>
      </c>
      <c r="N827" s="4">
        <f t="shared" si="159"/>
        <v/>
      </c>
      <c r="O827" s="4"/>
      <c r="P827" s="4">
        <f t="shared" si="160"/>
        <v/>
      </c>
      <c r="Q827" s="4">
        <f t="shared" si="161"/>
        <v/>
      </c>
      <c r="R827" s="4">
        <f t="shared" si="165"/>
      </c>
      <c r="S827" s="4">
        <f t="shared" si="166"/>
      </c>
      <c r="T827" s="4">
        <f t="shared" si="167"/>
      </c>
      <c r="U827" s="4">
        <f t="shared" si="162"/>
        <v/>
      </c>
    </row>
    <row r="828" spans="1:21" x14ac:dyDescent="0.3">
      <c r="A828" s="4">
        <f t="shared" si="163"/>
        <v/>
      </c>
      <c r="B828" s="4">
        <f>IF(C828=1,MAX(B$2:$B827)+1,IF(F828=0,"",B827))</f>
        <v/>
      </c>
      <c r="C828" s="4">
        <f>COUNTIF($F$2:$F828,F828)</f>
      </c>
      <c r="D828" s="4">
        <f>IF(F828=0,0,MAX($D$2:D827)+1)</f>
      </c>
      <c r="E828" s="4">
        <f>IF(H828=0,0,MAX($E$2:E827)+1)</f>
      </c>
      <c r="F828" s="119"/>
      <c r="G828" s="119"/>
      <c r="H828" s="119"/>
      <c r="I828" s="4">
        <f>IFERROR(VLOOKUP(H828,H$2:H827,1,FALSE),VLOOKUP(H828,H$478:H829,1,FALSE))</f>
      </c>
      <c r="J828" s="4">
        <f t="shared" si="156"/>
        <v/>
      </c>
      <c r="K828" s="4">
        <f t="shared" si="157"/>
        <v/>
      </c>
      <c r="L828" s="4">
        <f t="shared" si="158"/>
        <v/>
      </c>
      <c r="M828" s="5">
        <f t="shared" si="164"/>
        <v/>
      </c>
      <c r="N828" s="4">
        <f t="shared" si="159"/>
        <v/>
      </c>
      <c r="O828" s="4"/>
      <c r="P828" s="4">
        <f t="shared" si="160"/>
        <v/>
      </c>
      <c r="Q828" s="4">
        <f t="shared" si="161"/>
        <v/>
      </c>
      <c r="R828" s="4">
        <f t="shared" si="165"/>
      </c>
      <c r="S828" s="4">
        <f t="shared" si="166"/>
      </c>
      <c r="T828" s="4">
        <f t="shared" si="167"/>
      </c>
      <c r="U828" s="4">
        <f t="shared" si="162"/>
        <v/>
      </c>
    </row>
    <row r="829" spans="1:21" x14ac:dyDescent="0.3">
      <c r="A829" s="4">
        <f t="shared" si="163"/>
        <v/>
      </c>
      <c r="B829" s="4">
        <f>IF(C829=1,MAX(B$2:$B828)+1,IF(F829=0,"",B828))</f>
        <v/>
      </c>
      <c r="C829" s="4">
        <f>COUNTIF($F$2:$F829,F829)</f>
      </c>
      <c r="D829" s="4">
        <f>IF(F829=0,0,MAX($D$2:D828)+1)</f>
      </c>
      <c r="E829" s="4">
        <f>IF(H829=0,0,MAX($E$2:E828)+1)</f>
      </c>
      <c r="F829" s="119"/>
      <c r="G829" s="119"/>
      <c r="H829" s="119"/>
      <c r="I829" s="4">
        <f>IFERROR(VLOOKUP(H829,H$2:H828,1,FALSE),VLOOKUP(H829,H$478:H830,1,FALSE))</f>
      </c>
      <c r="J829" s="4">
        <f t="shared" si="156"/>
        <v/>
      </c>
      <c r="K829" s="4">
        <f t="shared" si="157"/>
        <v/>
      </c>
      <c r="L829" s="4">
        <f t="shared" si="158"/>
        <v/>
      </c>
      <c r="M829" s="5">
        <f t="shared" si="164"/>
        <v/>
      </c>
      <c r="N829" s="4">
        <f t="shared" si="159"/>
        <v/>
      </c>
      <c r="O829" s="4"/>
      <c r="P829" s="4">
        <f t="shared" si="160"/>
        <v/>
      </c>
      <c r="Q829" s="4">
        <f t="shared" si="161"/>
        <v/>
      </c>
      <c r="R829" s="4">
        <f t="shared" si="165"/>
      </c>
      <c r="S829" s="4">
        <f t="shared" si="166"/>
      </c>
      <c r="T829" s="4">
        <f t="shared" si="167"/>
      </c>
      <c r="U829" s="4">
        <f t="shared" si="162"/>
        <v/>
      </c>
    </row>
    <row r="830" spans="1:21" x14ac:dyDescent="0.3">
      <c r="A830" s="4">
        <f t="shared" si="163"/>
        <v/>
      </c>
      <c r="B830" s="4">
        <f>IF(C830=1,MAX(B$2:$B829)+1,IF(F830=0,"",B829))</f>
        <v/>
      </c>
      <c r="C830" s="4">
        <f>COUNTIF($F$2:$F830,F830)</f>
      </c>
      <c r="D830" s="4">
        <f>IF(F830=0,0,MAX($D$2:D829)+1)</f>
      </c>
      <c r="E830" s="4">
        <f>IF(H830=0,0,MAX($E$2:E829)+1)</f>
      </c>
      <c r="F830" s="119"/>
      <c r="G830" s="119"/>
      <c r="H830" s="119"/>
      <c r="I830" s="4">
        <f>IFERROR(VLOOKUP(H830,H$2:H829,1,FALSE),VLOOKUP(H830,H$478:H831,1,FALSE))</f>
      </c>
      <c r="J830" s="4">
        <f t="shared" si="156"/>
        <v/>
      </c>
      <c r="K830" s="4">
        <f t="shared" si="157"/>
        <v/>
      </c>
      <c r="L830" s="4">
        <f t="shared" si="158"/>
        <v/>
      </c>
      <c r="M830" s="5">
        <f t="shared" si="164"/>
        <v/>
      </c>
      <c r="N830" s="4">
        <f t="shared" si="159"/>
        <v/>
      </c>
      <c r="O830" s="4"/>
      <c r="P830" s="4">
        <f t="shared" si="160"/>
        <v/>
      </c>
      <c r="Q830" s="4">
        <f t="shared" si="161"/>
        <v/>
      </c>
      <c r="R830" s="4">
        <f t="shared" si="165"/>
      </c>
      <c r="S830" s="4">
        <f t="shared" si="166"/>
      </c>
      <c r="T830" s="4">
        <f t="shared" si="167"/>
      </c>
      <c r="U830" s="4">
        <f t="shared" si="162"/>
        <v/>
      </c>
    </row>
    <row r="831" spans="1:21" x14ac:dyDescent="0.3">
      <c r="A831" s="4">
        <f t="shared" si="163"/>
        <v/>
      </c>
      <c r="B831" s="4">
        <f>IF(C831=1,MAX(B$2:$B830)+1,IF(F831=0,"",B830))</f>
        <v/>
      </c>
      <c r="C831" s="4">
        <f>COUNTIF($F$2:$F831,F831)</f>
      </c>
      <c r="D831" s="4">
        <f>IF(F831=0,0,MAX($D$2:D830)+1)</f>
      </c>
      <c r="E831" s="4">
        <f>IF(H831=0,0,MAX($E$2:E830)+1)</f>
      </c>
      <c r="F831" s="119"/>
      <c r="G831" s="119"/>
      <c r="H831" s="119"/>
      <c r="I831" s="4">
        <f>IFERROR(VLOOKUP(H831,H$2:H830,1,FALSE),VLOOKUP(H831,H$478:H832,1,FALSE))</f>
      </c>
      <c r="J831" s="4">
        <f t="shared" si="156"/>
        <v/>
      </c>
      <c r="K831" s="4">
        <f t="shared" si="157"/>
        <v/>
      </c>
      <c r="L831" s="4">
        <f t="shared" si="158"/>
        <v/>
      </c>
      <c r="M831" s="5">
        <f t="shared" si="164"/>
        <v/>
      </c>
      <c r="N831" s="4">
        <f t="shared" si="159"/>
        <v/>
      </c>
      <c r="O831" s="4"/>
      <c r="P831" s="4">
        <f t="shared" si="160"/>
        <v/>
      </c>
      <c r="Q831" s="4">
        <f t="shared" si="161"/>
        <v/>
      </c>
      <c r="R831" s="4">
        <f t="shared" si="165"/>
      </c>
      <c r="S831" s="4">
        <f t="shared" si="166"/>
      </c>
      <c r="T831" s="4">
        <f t="shared" si="167"/>
      </c>
      <c r="U831" s="4">
        <f t="shared" si="162"/>
        <v/>
      </c>
    </row>
    <row r="832" spans="1:21" x14ac:dyDescent="0.3">
      <c r="A832" s="4">
        <f t="shared" si="163"/>
        <v/>
      </c>
      <c r="B832" s="4">
        <f>IF(C832=1,MAX(B$2:$B831)+1,IF(F832=0,"",B831))</f>
        <v/>
      </c>
      <c r="C832" s="4">
        <f>COUNTIF($F$2:$F832,F832)</f>
      </c>
      <c r="D832" s="4">
        <f>IF(F832=0,0,MAX($D$2:D831)+1)</f>
      </c>
      <c r="E832" s="4">
        <f>IF(H832=0,0,MAX($E$2:E831)+1)</f>
      </c>
      <c r="F832" s="119"/>
      <c r="G832" s="119"/>
      <c r="H832" s="119"/>
      <c r="I832" s="4">
        <f>IFERROR(VLOOKUP(H832,H$2:H831,1,FALSE),VLOOKUP(H832,H$478:H833,1,FALSE))</f>
      </c>
      <c r="J832" s="4">
        <f t="shared" si="156"/>
        <v/>
      </c>
      <c r="K832" s="4">
        <f t="shared" si="157"/>
        <v/>
      </c>
      <c r="L832" s="4">
        <f t="shared" si="158"/>
        <v/>
      </c>
      <c r="M832" s="5">
        <f t="shared" si="164"/>
        <v/>
      </c>
      <c r="N832" s="4">
        <f t="shared" si="159"/>
        <v/>
      </c>
      <c r="O832" s="4"/>
      <c r="P832" s="4">
        <f t="shared" si="160"/>
        <v/>
      </c>
      <c r="Q832" s="4">
        <f t="shared" si="161"/>
        <v/>
      </c>
      <c r="R832" s="4">
        <f t="shared" si="165"/>
      </c>
      <c r="S832" s="4">
        <f t="shared" si="166"/>
      </c>
      <c r="T832" s="4">
        <f t="shared" si="167"/>
      </c>
      <c r="U832" s="4">
        <f t="shared" si="162"/>
        <v/>
      </c>
    </row>
    <row r="833" spans="1:21" x14ac:dyDescent="0.3">
      <c r="A833" s="4">
        <f t="shared" si="163"/>
        <v/>
      </c>
      <c r="B833" s="4">
        <f>IF(C833=1,MAX(B$2:$B832)+1,IF(F833=0,"",B832))</f>
        <v/>
      </c>
      <c r="C833" s="4">
        <f>COUNTIF($F$2:$F833,F833)</f>
      </c>
      <c r="D833" s="4">
        <f>IF(F833=0,0,MAX($D$2:D832)+1)</f>
      </c>
      <c r="E833" s="4">
        <f>IF(H833=0,0,MAX($E$2:E832)+1)</f>
      </c>
      <c r="F833" s="119"/>
      <c r="G833" s="119"/>
      <c r="H833" s="119"/>
      <c r="I833" s="4">
        <f>IFERROR(VLOOKUP(H833,H$2:H832,1,FALSE),VLOOKUP(H833,H$478:H834,1,FALSE))</f>
      </c>
      <c r="J833" s="4">
        <f t="shared" si="156"/>
        <v/>
      </c>
      <c r="K833" s="4">
        <f t="shared" si="157"/>
        <v/>
      </c>
      <c r="L833" s="4">
        <f t="shared" si="158"/>
        <v/>
      </c>
      <c r="M833" s="5">
        <f t="shared" si="164"/>
        <v/>
      </c>
      <c r="N833" s="4">
        <f t="shared" si="159"/>
        <v/>
      </c>
      <c r="O833" s="4"/>
      <c r="P833" s="4">
        <f t="shared" si="160"/>
        <v/>
      </c>
      <c r="Q833" s="4">
        <f t="shared" si="161"/>
        <v/>
      </c>
      <c r="R833" s="4">
        <f t="shared" si="165"/>
      </c>
      <c r="S833" s="4">
        <f t="shared" si="166"/>
      </c>
      <c r="T833" s="4">
        <f t="shared" si="167"/>
      </c>
      <c r="U833" s="4">
        <f t="shared" si="162"/>
        <v/>
      </c>
    </row>
    <row r="834" spans="1:21" x14ac:dyDescent="0.3">
      <c r="A834" s="4">
        <f t="shared" si="163"/>
        <v/>
      </c>
      <c r="B834" s="4">
        <f>IF(C834=1,MAX(B$2:$B833)+1,IF(F834=0,"",B833))</f>
        <v/>
      </c>
      <c r="C834" s="4">
        <f>COUNTIF($F$2:$F834,F834)</f>
      </c>
      <c r="D834" s="4">
        <f>IF(F834=0,0,MAX($D$2:D833)+1)</f>
      </c>
      <c r="E834" s="4">
        <f>IF(H834=0,0,MAX($E$2:E833)+1)</f>
      </c>
      <c r="F834" s="119"/>
      <c r="G834" s="119"/>
      <c r="H834" s="119"/>
      <c r="I834" s="4">
        <f>IFERROR(VLOOKUP(H834,H$2:H833,1,FALSE),VLOOKUP(H834,H$478:H835,1,FALSE))</f>
      </c>
      <c r="J834" s="4">
        <f t="shared" si="156"/>
        <v/>
      </c>
      <c r="K834" s="4">
        <f t="shared" si="157"/>
        <v/>
      </c>
      <c r="L834" s="4">
        <f t="shared" si="158"/>
        <v/>
      </c>
      <c r="M834" s="5">
        <f t="shared" si="164"/>
        <v/>
      </c>
      <c r="N834" s="4">
        <f t="shared" si="159"/>
        <v/>
      </c>
      <c r="O834" s="4"/>
      <c r="P834" s="4">
        <f t="shared" si="160"/>
        <v/>
      </c>
      <c r="Q834" s="4">
        <f t="shared" si="161"/>
        <v/>
      </c>
      <c r="R834" s="4">
        <f t="shared" si="165"/>
      </c>
      <c r="S834" s="4">
        <f t="shared" si="166"/>
      </c>
      <c r="T834" s="4">
        <f t="shared" si="167"/>
      </c>
      <c r="U834" s="4">
        <f t="shared" si="162"/>
        <v/>
      </c>
    </row>
    <row r="835" spans="1:21" x14ac:dyDescent="0.3">
      <c r="A835" s="4">
        <f t="shared" si="163"/>
        <v/>
      </c>
      <c r="B835" s="4">
        <f>IF(C835=1,MAX(B$2:$B834)+1,IF(F835=0,"",B834))</f>
        <v/>
      </c>
      <c r="C835" s="4">
        <f>COUNTIF($F$2:$F835,F835)</f>
      </c>
      <c r="D835" s="4">
        <f>IF(F835=0,0,MAX($D$2:D834)+1)</f>
      </c>
      <c r="E835" s="4">
        <f>IF(H835=0,0,MAX($E$2:E834)+1)</f>
      </c>
      <c r="F835" s="119"/>
      <c r="G835" s="119"/>
      <c r="H835" s="119"/>
      <c r="I835" s="4">
        <f>IFERROR(VLOOKUP(H835,H$2:H834,1,FALSE),VLOOKUP(H835,H$478:H836,1,FALSE))</f>
      </c>
      <c r="J835" s="4">
        <f t="shared" ref="J835:J898" si="168">IF($H835=0,"",VLOOKUP($H835,Исходные_данные,36,FALSE))</f>
        <v/>
      </c>
      <c r="K835" s="4">
        <f t="shared" ref="K835:K898" si="169">IF($H835=0,"",VLOOKUP($H835,Исходные_данные,37,FALSE))</f>
        <v/>
      </c>
      <c r="L835" s="4">
        <f t="shared" ref="L835:L898" si="170">IF($H835=0,"",VLOOKUP($H835,Исходные_данные,38,FALSE))</f>
        <v/>
      </c>
      <c r="M835" s="5">
        <f t="shared" si="164"/>
        <v/>
      </c>
      <c r="N835" s="4">
        <f t="shared" ref="N835:N898" si="171">IF($H835=0,"",VLOOKUP($H835,Исходные_данные,39,FALSE))</f>
        <v/>
      </c>
      <c r="O835" s="4"/>
      <c r="P835" s="4">
        <f t="shared" ref="P835:P898" si="172">IF($H835=0,"",VLOOKUP($H835,Исходные_данные,41,FALSE))</f>
        <v/>
      </c>
      <c r="Q835" s="4">
        <f t="shared" ref="Q835:Q898" si="173">IF($H835=0,"",VLOOKUP($H835,Исходные_данные,8,FALSE))</f>
        <v/>
      </c>
      <c r="R835" s="4">
        <f t="shared" si="165"/>
      </c>
      <c r="S835" s="4">
        <f t="shared" si="166"/>
      </c>
      <c r="T835" s="4">
        <f t="shared" si="167"/>
      </c>
      <c r="U835" s="4">
        <f t="shared" ref="U835:U898" si="174">IF($H835=0,"",VLOOKUP($H835,Исходные_данные,31,FALSE))</f>
        <v/>
      </c>
    </row>
    <row r="836" spans="1:21" x14ac:dyDescent="0.3">
      <c r="A836" s="4">
        <f t="shared" si="163"/>
        <v/>
      </c>
      <c r="B836" s="4">
        <f>IF(C836=1,MAX(B$2:$B835)+1,IF(F836=0,"",B835))</f>
        <v/>
      </c>
      <c r="C836" s="4">
        <f>COUNTIF($F$2:$F836,F836)</f>
      </c>
      <c r="D836" s="4">
        <f>IF(F836=0,0,MAX($D$2:D835)+1)</f>
      </c>
      <c r="E836" s="4">
        <f>IF(H836=0,0,MAX($E$2:E835)+1)</f>
      </c>
      <c r="F836" s="119"/>
      <c r="G836" s="119"/>
      <c r="H836" s="119"/>
      <c r="I836" s="4">
        <f>IFERROR(VLOOKUP(H836,H$2:H835,1,FALSE),VLOOKUP(H836,H$478:H837,1,FALSE))</f>
      </c>
      <c r="J836" s="4">
        <f t="shared" si="168"/>
        <v/>
      </c>
      <c r="K836" s="4">
        <f t="shared" si="169"/>
        <v/>
      </c>
      <c r="L836" s="4">
        <f t="shared" si="170"/>
        <v/>
      </c>
      <c r="M836" s="5">
        <f t="shared" si="164"/>
        <v/>
      </c>
      <c r="N836" s="4">
        <f t="shared" si="171"/>
        <v/>
      </c>
      <c r="O836" s="4"/>
      <c r="P836" s="4">
        <f t="shared" si="172"/>
        <v/>
      </c>
      <c r="Q836" s="4">
        <f t="shared" si="173"/>
        <v/>
      </c>
      <c r="R836" s="4">
        <f t="shared" si="165"/>
      </c>
      <c r="S836" s="4">
        <f t="shared" si="166"/>
      </c>
      <c r="T836" s="4">
        <f t="shared" si="167"/>
      </c>
      <c r="U836" s="4">
        <f t="shared" si="174"/>
        <v/>
      </c>
    </row>
    <row r="837" spans="1:21" x14ac:dyDescent="0.3">
      <c r="A837" s="4">
        <f t="shared" si="163"/>
        <v/>
      </c>
      <c r="B837" s="4">
        <f>IF(C837=1,MAX(B$2:$B836)+1,IF(F837=0,"",B836))</f>
        <v/>
      </c>
      <c r="C837" s="4">
        <f>COUNTIF($F$2:$F837,F837)</f>
      </c>
      <c r="D837" s="4">
        <f>IF(F837=0,0,MAX($D$2:D836)+1)</f>
      </c>
      <c r="E837" s="4">
        <f>IF(H837=0,0,MAX($E$2:E836)+1)</f>
      </c>
      <c r="F837" s="119"/>
      <c r="G837" s="119"/>
      <c r="H837" s="119"/>
      <c r="I837" s="4">
        <f>IFERROR(VLOOKUP(H837,H$2:H836,1,FALSE),VLOOKUP(H837,H$478:H838,1,FALSE))</f>
      </c>
      <c r="J837" s="4">
        <f t="shared" si="168"/>
        <v/>
      </c>
      <c r="K837" s="4">
        <f t="shared" si="169"/>
        <v/>
      </c>
      <c r="L837" s="4">
        <f t="shared" si="170"/>
        <v/>
      </c>
      <c r="M837" s="5">
        <f t="shared" si="164"/>
        <v/>
      </c>
      <c r="N837" s="4">
        <f t="shared" si="171"/>
        <v/>
      </c>
      <c r="O837" s="4"/>
      <c r="P837" s="4">
        <f t="shared" si="172"/>
        <v/>
      </c>
      <c r="Q837" s="4">
        <f t="shared" si="173"/>
        <v/>
      </c>
      <c r="R837" s="4">
        <f t="shared" si="165"/>
      </c>
      <c r="S837" s="4">
        <f t="shared" si="166"/>
      </c>
      <c r="T837" s="4">
        <f t="shared" si="167"/>
      </c>
      <c r="U837" s="4">
        <f t="shared" si="174"/>
        <v/>
      </c>
    </row>
    <row r="838" spans="1:21" x14ac:dyDescent="0.3">
      <c r="A838" s="4">
        <f t="shared" si="163"/>
        <v/>
      </c>
      <c r="B838" s="4">
        <f>IF(C838=1,MAX(B$2:$B837)+1,IF(F838=0,"",B837))</f>
        <v/>
      </c>
      <c r="C838" s="4">
        <f>COUNTIF($F$2:$F838,F838)</f>
      </c>
      <c r="D838" s="4">
        <f>IF(F838=0,0,MAX($D$2:D837)+1)</f>
      </c>
      <c r="E838" s="4">
        <f>IF(H838=0,0,MAX($E$2:E837)+1)</f>
      </c>
      <c r="F838" s="119"/>
      <c r="G838" s="119"/>
      <c r="H838" s="119"/>
      <c r="I838" s="4">
        <f>IFERROR(VLOOKUP(H838,H$2:H837,1,FALSE),VLOOKUP(H838,H$478:H839,1,FALSE))</f>
      </c>
      <c r="J838" s="4">
        <f t="shared" si="168"/>
        <v/>
      </c>
      <c r="K838" s="4">
        <f t="shared" si="169"/>
        <v/>
      </c>
      <c r="L838" s="4">
        <f t="shared" si="170"/>
        <v/>
      </c>
      <c r="M838" s="5">
        <f t="shared" si="164"/>
        <v/>
      </c>
      <c r="N838" s="4">
        <f t="shared" si="171"/>
        <v/>
      </c>
      <c r="O838" s="4"/>
      <c r="P838" s="4">
        <f t="shared" si="172"/>
        <v/>
      </c>
      <c r="Q838" s="4">
        <f t="shared" si="173"/>
        <v/>
      </c>
      <c r="R838" s="4">
        <f t="shared" si="165"/>
      </c>
      <c r="S838" s="4">
        <f t="shared" si="166"/>
      </c>
      <c r="T838" s="4">
        <f t="shared" si="167"/>
      </c>
      <c r="U838" s="4">
        <f t="shared" si="174"/>
        <v/>
      </c>
    </row>
    <row r="839" spans="1:21" x14ac:dyDescent="0.3">
      <c r="A839" s="4">
        <f t="shared" si="163"/>
        <v/>
      </c>
      <c r="B839" s="4">
        <f>IF(C839=1,MAX(B$2:$B838)+1,IF(F839=0,"",B838))</f>
        <v/>
      </c>
      <c r="C839" s="4">
        <f>COUNTIF($F$2:$F839,F839)</f>
      </c>
      <c r="D839" s="4">
        <f>IF(F839=0,0,MAX($D$2:D838)+1)</f>
      </c>
      <c r="E839" s="4">
        <f>IF(H839=0,0,MAX($E$2:E838)+1)</f>
      </c>
      <c r="F839" s="119"/>
      <c r="G839" s="119"/>
      <c r="H839" s="119"/>
      <c r="I839" s="4">
        <f>IFERROR(VLOOKUP(H839,H$2:H838,1,FALSE),VLOOKUP(H839,H$478:H840,1,FALSE))</f>
      </c>
      <c r="J839" s="4">
        <f t="shared" si="168"/>
        <v/>
      </c>
      <c r="K839" s="4">
        <f t="shared" si="169"/>
        <v/>
      </c>
      <c r="L839" s="4">
        <f t="shared" si="170"/>
        <v/>
      </c>
      <c r="M839" s="5">
        <f t="shared" si="164"/>
        <v/>
      </c>
      <c r="N839" s="4">
        <f t="shared" si="171"/>
        <v/>
      </c>
      <c r="O839" s="4"/>
      <c r="P839" s="4">
        <f t="shared" si="172"/>
        <v/>
      </c>
      <c r="Q839" s="4">
        <f t="shared" si="173"/>
        <v/>
      </c>
      <c r="R839" s="4">
        <f t="shared" si="165"/>
      </c>
      <c r="S839" s="4">
        <f t="shared" si="166"/>
      </c>
      <c r="T839" s="4">
        <f t="shared" si="167"/>
      </c>
      <c r="U839" s="4">
        <f t="shared" si="174"/>
        <v/>
      </c>
    </row>
    <row r="840" spans="1:21" x14ac:dyDescent="0.3">
      <c r="A840" s="4">
        <f t="shared" si="163"/>
        <v/>
      </c>
      <c r="B840" s="4">
        <f>IF(C840=1,MAX(B$2:$B839)+1,IF(F840=0,"",B839))</f>
        <v/>
      </c>
      <c r="C840" s="4">
        <f>COUNTIF($F$2:$F840,F840)</f>
      </c>
      <c r="D840" s="4">
        <f>IF(F840=0,0,MAX($D$2:D839)+1)</f>
      </c>
      <c r="E840" s="4">
        <f>IF(H840=0,0,MAX($E$2:E839)+1)</f>
      </c>
      <c r="F840" s="119"/>
      <c r="G840" s="119"/>
      <c r="H840" s="119"/>
      <c r="I840" s="4">
        <f>IFERROR(VLOOKUP(H840,H$2:H839,1,FALSE),VLOOKUP(H840,H$478:H841,1,FALSE))</f>
      </c>
      <c r="J840" s="4">
        <f t="shared" si="168"/>
        <v/>
      </c>
      <c r="K840" s="4">
        <f t="shared" si="169"/>
        <v/>
      </c>
      <c r="L840" s="4">
        <f t="shared" si="170"/>
        <v/>
      </c>
      <c r="M840" s="5">
        <f t="shared" si="164"/>
        <v/>
      </c>
      <c r="N840" s="4">
        <f t="shared" si="171"/>
        <v/>
      </c>
      <c r="O840" s="4"/>
      <c r="P840" s="4">
        <f t="shared" si="172"/>
        <v/>
      </c>
      <c r="Q840" s="4">
        <f t="shared" si="173"/>
        <v/>
      </c>
      <c r="R840" s="4">
        <f t="shared" si="165"/>
      </c>
      <c r="S840" s="4">
        <f t="shared" si="166"/>
      </c>
      <c r="T840" s="4">
        <f t="shared" si="167"/>
      </c>
      <c r="U840" s="4">
        <f t="shared" si="174"/>
        <v/>
      </c>
    </row>
    <row r="841" spans="1:21" x14ac:dyDescent="0.3">
      <c r="A841" s="4">
        <f t="shared" si="163"/>
        <v/>
      </c>
      <c r="B841" s="4">
        <f>IF(C841=1,MAX(B$2:$B840)+1,IF(F841=0,"",B840))</f>
        <v/>
      </c>
      <c r="C841" s="4">
        <f>COUNTIF($F$2:$F841,F841)</f>
      </c>
      <c r="D841" s="4">
        <f>IF(F841=0,0,MAX($D$2:D840)+1)</f>
      </c>
      <c r="E841" s="4">
        <f>IF(H841=0,0,MAX($E$2:E840)+1)</f>
      </c>
      <c r="F841" s="119"/>
      <c r="G841" s="119"/>
      <c r="H841" s="119"/>
      <c r="I841" s="4">
        <f>IFERROR(VLOOKUP(H841,H$2:H840,1,FALSE),VLOOKUP(H841,H$478:H842,1,FALSE))</f>
      </c>
      <c r="J841" s="4">
        <f t="shared" si="168"/>
        <v/>
      </c>
      <c r="K841" s="4">
        <f t="shared" si="169"/>
        <v/>
      </c>
      <c r="L841" s="4">
        <f t="shared" si="170"/>
        <v/>
      </c>
      <c r="M841" s="5">
        <f t="shared" si="164"/>
        <v/>
      </c>
      <c r="N841" s="4">
        <f t="shared" si="171"/>
        <v/>
      </c>
      <c r="O841" s="4"/>
      <c r="P841" s="4">
        <f t="shared" si="172"/>
        <v/>
      </c>
      <c r="Q841" s="4">
        <f t="shared" si="173"/>
        <v/>
      </c>
      <c r="R841" s="4">
        <f t="shared" si="165"/>
      </c>
      <c r="S841" s="4">
        <f t="shared" si="166"/>
      </c>
      <c r="T841" s="4">
        <f t="shared" si="167"/>
      </c>
      <c r="U841" s="4">
        <f t="shared" si="174"/>
        <v/>
      </c>
    </row>
    <row r="842" spans="1:21" x14ac:dyDescent="0.3">
      <c r="A842" s="4">
        <f t="shared" si="163"/>
        <v/>
      </c>
      <c r="B842" s="4">
        <f>IF(C842=1,MAX(B$2:$B841)+1,IF(F842=0,"",B841))</f>
        <v/>
      </c>
      <c r="C842" s="4">
        <f>COUNTIF($F$2:$F842,F842)</f>
      </c>
      <c r="D842" s="4">
        <f>IF(F842=0,0,MAX($D$2:D841)+1)</f>
      </c>
      <c r="E842" s="4">
        <f>IF(H842=0,0,MAX($E$2:E841)+1)</f>
      </c>
      <c r="F842" s="119"/>
      <c r="G842" s="119"/>
      <c r="H842" s="119"/>
      <c r="I842" s="4">
        <f>IFERROR(VLOOKUP(H842,H$2:H841,1,FALSE),VLOOKUP(H842,H$478:H843,1,FALSE))</f>
      </c>
      <c r="J842" s="4">
        <f t="shared" si="168"/>
        <v/>
      </c>
      <c r="K842" s="4">
        <f t="shared" si="169"/>
        <v/>
      </c>
      <c r="L842" s="4">
        <f t="shared" si="170"/>
        <v/>
      </c>
      <c r="M842" s="5">
        <f t="shared" si="164"/>
        <v/>
      </c>
      <c r="N842" s="4">
        <f t="shared" si="171"/>
        <v/>
      </c>
      <c r="O842" s="4"/>
      <c r="P842" s="4">
        <f t="shared" si="172"/>
        <v/>
      </c>
      <c r="Q842" s="4">
        <f t="shared" si="173"/>
        <v/>
      </c>
      <c r="R842" s="4">
        <f t="shared" si="165"/>
      </c>
      <c r="S842" s="4">
        <f t="shared" si="166"/>
      </c>
      <c r="T842" s="4">
        <f t="shared" si="167"/>
      </c>
      <c r="U842" s="4">
        <f t="shared" si="174"/>
        <v/>
      </c>
    </row>
    <row r="843" spans="1:21" x14ac:dyDescent="0.3">
      <c r="A843" s="4">
        <f t="shared" si="163"/>
        <v/>
      </c>
      <c r="B843" s="4">
        <f>IF(C843=1,MAX(B$2:$B842)+1,IF(F843=0,"",B842))</f>
        <v/>
      </c>
      <c r="C843" s="4">
        <f>COUNTIF($F$2:$F843,F843)</f>
      </c>
      <c r="D843" s="4">
        <f>IF(F843=0,0,MAX($D$2:D842)+1)</f>
      </c>
      <c r="E843" s="4">
        <f>IF(H843=0,0,MAX($E$2:E842)+1)</f>
      </c>
      <c r="F843" s="119"/>
      <c r="G843" s="119"/>
      <c r="H843" s="119"/>
      <c r="I843" s="4">
        <f>IFERROR(VLOOKUP(H843,H$2:H842,1,FALSE),VLOOKUP(H843,H$478:H844,1,FALSE))</f>
      </c>
      <c r="J843" s="4">
        <f t="shared" si="168"/>
        <v/>
      </c>
      <c r="K843" s="4">
        <f t="shared" si="169"/>
        <v/>
      </c>
      <c r="L843" s="4">
        <f t="shared" si="170"/>
        <v/>
      </c>
      <c r="M843" s="5">
        <f t="shared" si="164"/>
        <v/>
      </c>
      <c r="N843" s="4">
        <f t="shared" si="171"/>
        <v/>
      </c>
      <c r="O843" s="4"/>
      <c r="P843" s="4">
        <f t="shared" si="172"/>
        <v/>
      </c>
      <c r="Q843" s="4">
        <f t="shared" si="173"/>
        <v/>
      </c>
      <c r="R843" s="4">
        <f t="shared" si="165"/>
      </c>
      <c r="S843" s="4">
        <f t="shared" si="166"/>
      </c>
      <c r="T843" s="4">
        <f t="shared" si="167"/>
      </c>
      <c r="U843" s="4">
        <f t="shared" si="174"/>
        <v/>
      </c>
    </row>
    <row r="844" spans="1:21" x14ac:dyDescent="0.3">
      <c r="A844" s="4">
        <f t="shared" si="163"/>
        <v/>
      </c>
      <c r="B844" s="4">
        <f>IF(C844=1,MAX(B$2:$B843)+1,IF(F844=0,"",B843))</f>
        <v/>
      </c>
      <c r="C844" s="4">
        <f>COUNTIF($F$2:$F844,F844)</f>
      </c>
      <c r="D844" s="4">
        <f>IF(F844=0,0,MAX($D$2:D843)+1)</f>
      </c>
      <c r="E844" s="4">
        <f>IF(H844=0,0,MAX($E$2:E843)+1)</f>
      </c>
      <c r="F844" s="119"/>
      <c r="G844" s="119"/>
      <c r="H844" s="119"/>
      <c r="I844" s="4">
        <f>IFERROR(VLOOKUP(H844,H$2:H843,1,FALSE),VLOOKUP(H844,H$478:H845,1,FALSE))</f>
      </c>
      <c r="J844" s="4">
        <f t="shared" si="168"/>
        <v/>
      </c>
      <c r="K844" s="4">
        <f t="shared" si="169"/>
        <v/>
      </c>
      <c r="L844" s="4">
        <f t="shared" si="170"/>
        <v/>
      </c>
      <c r="M844" s="5">
        <f t="shared" si="164"/>
        <v/>
      </c>
      <c r="N844" s="4">
        <f t="shared" si="171"/>
        <v/>
      </c>
      <c r="O844" s="4"/>
      <c r="P844" s="4">
        <f t="shared" si="172"/>
        <v/>
      </c>
      <c r="Q844" s="4">
        <f t="shared" si="173"/>
        <v/>
      </c>
      <c r="R844" s="4">
        <f t="shared" si="165"/>
      </c>
      <c r="S844" s="4">
        <f t="shared" si="166"/>
      </c>
      <c r="T844" s="4">
        <f t="shared" si="167"/>
      </c>
      <c r="U844" s="4">
        <f t="shared" si="174"/>
        <v/>
      </c>
    </row>
    <row r="845" spans="1:21" x14ac:dyDescent="0.3">
      <c r="A845" s="4">
        <f t="shared" si="163"/>
        <v/>
      </c>
      <c r="B845" s="4">
        <f>IF(C845=1,MAX(B$2:$B844)+1,IF(F845=0,"",B844))</f>
        <v/>
      </c>
      <c r="C845" s="4">
        <f>COUNTIF($F$2:$F845,F845)</f>
      </c>
      <c r="D845" s="4">
        <f>IF(F845=0,0,MAX($D$2:D844)+1)</f>
      </c>
      <c r="E845" s="4">
        <f>IF(H845=0,0,MAX($E$2:E844)+1)</f>
      </c>
      <c r="F845" s="119"/>
      <c r="G845" s="119"/>
      <c r="H845" s="119"/>
      <c r="I845" s="4">
        <f>IFERROR(VLOOKUP(H845,H$2:H844,1,FALSE),VLOOKUP(H845,H$478:H846,1,FALSE))</f>
      </c>
      <c r="J845" s="4">
        <f t="shared" si="168"/>
        <v/>
      </c>
      <c r="K845" s="4">
        <f t="shared" si="169"/>
        <v/>
      </c>
      <c r="L845" s="4">
        <f t="shared" si="170"/>
        <v/>
      </c>
      <c r="M845" s="5">
        <f t="shared" si="164"/>
        <v/>
      </c>
      <c r="N845" s="4">
        <f t="shared" si="171"/>
        <v/>
      </c>
      <c r="O845" s="4"/>
      <c r="P845" s="4">
        <f t="shared" si="172"/>
        <v/>
      </c>
      <c r="Q845" s="4">
        <f t="shared" si="173"/>
        <v/>
      </c>
      <c r="R845" s="4">
        <f t="shared" si="165"/>
      </c>
      <c r="S845" s="4">
        <f t="shared" si="166"/>
      </c>
      <c r="T845" s="4">
        <f t="shared" si="167"/>
      </c>
      <c r="U845" s="4">
        <f t="shared" si="174"/>
        <v/>
      </c>
    </row>
    <row r="846" spans="1:21" x14ac:dyDescent="0.3">
      <c r="A846" s="4">
        <f t="shared" si="163"/>
        <v/>
      </c>
      <c r="B846" s="4">
        <f>IF(C846=1,MAX(B$2:$B845)+1,IF(F846=0,"",B845))</f>
        <v/>
      </c>
      <c r="C846" s="4">
        <f>COUNTIF($F$2:$F846,F846)</f>
      </c>
      <c r="D846" s="4">
        <f>IF(F846=0,0,MAX($D$2:D845)+1)</f>
      </c>
      <c r="E846" s="4">
        <f>IF(H846=0,0,MAX($E$2:E845)+1)</f>
      </c>
      <c r="F846" s="119"/>
      <c r="G846" s="119"/>
      <c r="H846" s="119"/>
      <c r="I846" s="4">
        <f>IFERROR(VLOOKUP(H846,H$2:H845,1,FALSE),VLOOKUP(H846,H$478:H847,1,FALSE))</f>
      </c>
      <c r="J846" s="4">
        <f t="shared" si="168"/>
        <v/>
      </c>
      <c r="K846" s="4">
        <f t="shared" si="169"/>
        <v/>
      </c>
      <c r="L846" s="4">
        <f t="shared" si="170"/>
        <v/>
      </c>
      <c r="M846" s="5">
        <f t="shared" si="164"/>
        <v/>
      </c>
      <c r="N846" s="4">
        <f t="shared" si="171"/>
        <v/>
      </c>
      <c r="O846" s="4"/>
      <c r="P846" s="4">
        <f t="shared" si="172"/>
        <v/>
      </c>
      <c r="Q846" s="4">
        <f t="shared" si="173"/>
        <v/>
      </c>
      <c r="R846" s="4">
        <f t="shared" si="165"/>
      </c>
      <c r="S846" s="4">
        <f t="shared" si="166"/>
      </c>
      <c r="T846" s="4">
        <f t="shared" si="167"/>
      </c>
      <c r="U846" s="4">
        <f t="shared" si="174"/>
        <v/>
      </c>
    </row>
    <row r="847" spans="1:21" x14ac:dyDescent="0.3">
      <c r="A847" s="4">
        <f t="shared" si="163"/>
        <v/>
      </c>
      <c r="B847" s="4">
        <f>IF(C847=1,MAX(B$2:$B846)+1,IF(F847=0,"",B846))</f>
        <v/>
      </c>
      <c r="C847" s="4">
        <f>COUNTIF($F$2:$F847,F847)</f>
      </c>
      <c r="D847" s="4">
        <f>IF(F847=0,0,MAX($D$2:D846)+1)</f>
      </c>
      <c r="E847" s="4">
        <f>IF(H847=0,0,MAX($E$2:E846)+1)</f>
      </c>
      <c r="F847" s="119"/>
      <c r="G847" s="119"/>
      <c r="H847" s="119"/>
      <c r="I847" s="4">
        <f>IFERROR(VLOOKUP(H847,H$2:H846,1,FALSE),VLOOKUP(H847,H$478:H848,1,FALSE))</f>
      </c>
      <c r="J847" s="4">
        <f t="shared" si="168"/>
        <v/>
      </c>
      <c r="K847" s="4">
        <f t="shared" si="169"/>
        <v/>
      </c>
      <c r="L847" s="4">
        <f t="shared" si="170"/>
        <v/>
      </c>
      <c r="M847" s="5">
        <f t="shared" si="164"/>
        <v/>
      </c>
      <c r="N847" s="4">
        <f t="shared" si="171"/>
        <v/>
      </c>
      <c r="O847" s="4"/>
      <c r="P847" s="4">
        <f t="shared" si="172"/>
        <v/>
      </c>
      <c r="Q847" s="4">
        <f t="shared" si="173"/>
        <v/>
      </c>
      <c r="R847" s="4">
        <f t="shared" si="165"/>
      </c>
      <c r="S847" s="4">
        <f t="shared" si="166"/>
      </c>
      <c r="T847" s="4">
        <f t="shared" si="167"/>
      </c>
      <c r="U847" s="4">
        <f t="shared" si="174"/>
        <v/>
      </c>
    </row>
    <row r="848" spans="1:21" x14ac:dyDescent="0.3">
      <c r="A848" s="4">
        <f t="shared" si="163"/>
        <v/>
      </c>
      <c r="B848" s="4">
        <f>IF(C848=1,MAX(B$2:$B847)+1,IF(F848=0,"",B847))</f>
        <v/>
      </c>
      <c r="C848" s="4">
        <f>COUNTIF($F$2:$F848,F848)</f>
      </c>
      <c r="D848" s="4">
        <f>IF(F848=0,0,MAX($D$2:D847)+1)</f>
      </c>
      <c r="E848" s="4">
        <f>IF(H848=0,0,MAX($E$2:E847)+1)</f>
      </c>
      <c r="F848" s="119"/>
      <c r="G848" s="119"/>
      <c r="H848" s="119"/>
      <c r="I848" s="4">
        <f>IFERROR(VLOOKUP(H848,H$2:H847,1,FALSE),VLOOKUP(H848,H$478:H849,1,FALSE))</f>
      </c>
      <c r="J848" s="4">
        <f t="shared" si="168"/>
        <v/>
      </c>
      <c r="K848" s="4">
        <f t="shared" si="169"/>
        <v/>
      </c>
      <c r="L848" s="4">
        <f t="shared" si="170"/>
        <v/>
      </c>
      <c r="M848" s="5">
        <f t="shared" si="164"/>
        <v/>
      </c>
      <c r="N848" s="4">
        <f t="shared" si="171"/>
        <v/>
      </c>
      <c r="O848" s="4"/>
      <c r="P848" s="4">
        <f t="shared" si="172"/>
        <v/>
      </c>
      <c r="Q848" s="4">
        <f t="shared" si="173"/>
        <v/>
      </c>
      <c r="R848" s="4">
        <f t="shared" si="165"/>
      </c>
      <c r="S848" s="4">
        <f t="shared" si="166"/>
      </c>
      <c r="T848" s="4">
        <f t="shared" si="167"/>
      </c>
      <c r="U848" s="4">
        <f t="shared" si="174"/>
        <v/>
      </c>
    </row>
    <row r="849" spans="1:21" x14ac:dyDescent="0.3">
      <c r="A849" s="4">
        <f t="shared" si="163"/>
        <v/>
      </c>
      <c r="B849" s="4">
        <f>IF(C849=1,MAX(B$2:$B848)+1,IF(F849=0,"",B848))</f>
        <v/>
      </c>
      <c r="C849" s="4">
        <f>COUNTIF($F$2:$F849,F849)</f>
      </c>
      <c r="D849" s="4">
        <f>IF(F849=0,0,MAX($D$2:D848)+1)</f>
      </c>
      <c r="E849" s="4">
        <f>IF(H849=0,0,MAX($E$2:E848)+1)</f>
      </c>
      <c r="F849" s="119"/>
      <c r="G849" s="119"/>
      <c r="H849" s="119"/>
      <c r="I849" s="4">
        <f>IFERROR(VLOOKUP(H849,H$2:H848,1,FALSE),VLOOKUP(H849,H$478:H850,1,FALSE))</f>
      </c>
      <c r="J849" s="4">
        <f t="shared" si="168"/>
        <v/>
      </c>
      <c r="K849" s="4">
        <f t="shared" si="169"/>
        <v/>
      </c>
      <c r="L849" s="4">
        <f t="shared" si="170"/>
        <v/>
      </c>
      <c r="M849" s="5">
        <f t="shared" si="164"/>
        <v/>
      </c>
      <c r="N849" s="4">
        <f t="shared" si="171"/>
        <v/>
      </c>
      <c r="O849" s="4"/>
      <c r="P849" s="4">
        <f t="shared" si="172"/>
        <v/>
      </c>
      <c r="Q849" s="4">
        <f t="shared" si="173"/>
        <v/>
      </c>
      <c r="R849" s="4">
        <f t="shared" si="165"/>
      </c>
      <c r="S849" s="4">
        <f t="shared" si="166"/>
      </c>
      <c r="T849" s="4">
        <f t="shared" si="167"/>
      </c>
      <c r="U849" s="4">
        <f t="shared" si="174"/>
        <v/>
      </c>
    </row>
    <row r="850" spans="1:21" x14ac:dyDescent="0.3">
      <c r="A850" s="4">
        <f t="shared" si="163"/>
        <v/>
      </c>
      <c r="B850" s="4">
        <f>IF(C850=1,MAX(B$2:$B849)+1,IF(F850=0,"",B849))</f>
        <v/>
      </c>
      <c r="C850" s="4">
        <f>COUNTIF($F$2:$F850,F850)</f>
      </c>
      <c r="D850" s="4">
        <f>IF(F850=0,0,MAX($D$2:D849)+1)</f>
      </c>
      <c r="E850" s="4">
        <f>IF(H850=0,0,MAX($E$2:E849)+1)</f>
      </c>
      <c r="F850" s="119"/>
      <c r="G850" s="119"/>
      <c r="H850" s="119"/>
      <c r="I850" s="4">
        <f>IFERROR(VLOOKUP(H850,H$2:H849,1,FALSE),VLOOKUP(H850,H$478:H851,1,FALSE))</f>
      </c>
      <c r="J850" s="4">
        <f t="shared" si="168"/>
        <v/>
      </c>
      <c r="K850" s="4">
        <f t="shared" si="169"/>
        <v/>
      </c>
      <c r="L850" s="4">
        <f t="shared" si="170"/>
        <v/>
      </c>
      <c r="M850" s="5">
        <f t="shared" si="164"/>
        <v/>
      </c>
      <c r="N850" s="4">
        <f t="shared" si="171"/>
        <v/>
      </c>
      <c r="O850" s="4"/>
      <c r="P850" s="4">
        <f t="shared" si="172"/>
        <v/>
      </c>
      <c r="Q850" s="4">
        <f t="shared" si="173"/>
        <v/>
      </c>
      <c r="R850" s="4">
        <f t="shared" si="165"/>
      </c>
      <c r="S850" s="4">
        <f t="shared" si="166"/>
      </c>
      <c r="T850" s="4">
        <f t="shared" si="167"/>
      </c>
      <c r="U850" s="4">
        <f t="shared" si="174"/>
        <v/>
      </c>
    </row>
    <row r="851" spans="1:21" x14ac:dyDescent="0.3">
      <c r="A851" s="4">
        <f t="shared" si="163"/>
        <v/>
      </c>
      <c r="B851" s="4">
        <f>IF(C851=1,MAX(B$2:$B850)+1,IF(F851=0,"",B850))</f>
        <v/>
      </c>
      <c r="C851" s="4">
        <f>COUNTIF($F$2:$F851,F851)</f>
      </c>
      <c r="D851" s="4">
        <f>IF(F851=0,0,MAX($D$2:D850)+1)</f>
      </c>
      <c r="E851" s="4">
        <f>IF(H851=0,0,MAX($E$2:E850)+1)</f>
      </c>
      <c r="F851" s="119"/>
      <c r="G851" s="119"/>
      <c r="H851" s="119"/>
      <c r="I851" s="4">
        <f>IFERROR(VLOOKUP(H851,H$2:H850,1,FALSE),VLOOKUP(H851,H$478:H852,1,FALSE))</f>
      </c>
      <c r="J851" s="4">
        <f t="shared" si="168"/>
        <v/>
      </c>
      <c r="K851" s="4">
        <f t="shared" si="169"/>
        <v/>
      </c>
      <c r="L851" s="4">
        <f t="shared" si="170"/>
        <v/>
      </c>
      <c r="M851" s="5">
        <f t="shared" si="164"/>
        <v/>
      </c>
      <c r="N851" s="4">
        <f t="shared" si="171"/>
        <v/>
      </c>
      <c r="O851" s="4"/>
      <c r="P851" s="4">
        <f t="shared" si="172"/>
        <v/>
      </c>
      <c r="Q851" s="4">
        <f t="shared" si="173"/>
        <v/>
      </c>
      <c r="R851" s="4">
        <f t="shared" si="165"/>
      </c>
      <c r="S851" s="4">
        <f t="shared" si="166"/>
      </c>
      <c r="T851" s="4">
        <f t="shared" si="167"/>
      </c>
      <c r="U851" s="4">
        <f t="shared" si="174"/>
        <v/>
      </c>
    </row>
    <row r="852" spans="1:21" x14ac:dyDescent="0.3">
      <c r="A852" s="4">
        <f t="shared" si="163"/>
        <v/>
      </c>
      <c r="B852" s="4">
        <f>IF(C852=1,MAX(B$2:$B851)+1,IF(F852=0,"",B851))</f>
        <v/>
      </c>
      <c r="C852" s="4">
        <f>COUNTIF($F$2:$F852,F852)</f>
      </c>
      <c r="D852" s="4">
        <f>IF(F852=0,0,MAX($D$2:D851)+1)</f>
      </c>
      <c r="E852" s="4">
        <f>IF(H852=0,0,MAX($E$2:E851)+1)</f>
      </c>
      <c r="F852" s="119"/>
      <c r="G852" s="119"/>
      <c r="H852" s="119"/>
      <c r="I852" s="4">
        <f>IFERROR(VLOOKUP(H852,H$2:H851,1,FALSE),VLOOKUP(H852,H$478:H853,1,FALSE))</f>
      </c>
      <c r="J852" s="4">
        <f t="shared" si="168"/>
        <v/>
      </c>
      <c r="K852" s="4">
        <f t="shared" si="169"/>
        <v/>
      </c>
      <c r="L852" s="4">
        <f t="shared" si="170"/>
        <v/>
      </c>
      <c r="M852" s="5">
        <f t="shared" si="164"/>
        <v/>
      </c>
      <c r="N852" s="4">
        <f t="shared" si="171"/>
        <v/>
      </c>
      <c r="O852" s="4"/>
      <c r="P852" s="4">
        <f t="shared" si="172"/>
        <v/>
      </c>
      <c r="Q852" s="4">
        <f t="shared" si="173"/>
        <v/>
      </c>
      <c r="R852" s="4">
        <f t="shared" si="165"/>
      </c>
      <c r="S852" s="4">
        <f t="shared" si="166"/>
      </c>
      <c r="T852" s="4">
        <f t="shared" si="167"/>
      </c>
      <c r="U852" s="4">
        <f t="shared" si="174"/>
        <v/>
      </c>
    </row>
    <row r="853" spans="1:21" x14ac:dyDescent="0.3">
      <c r="A853" s="4">
        <f t="shared" si="163"/>
        <v/>
      </c>
      <c r="B853" s="4">
        <f>IF(C853=1,MAX(B$2:$B852)+1,IF(F853=0,"",B852))</f>
        <v/>
      </c>
      <c r="C853" s="4">
        <f>COUNTIF($F$2:$F853,F853)</f>
      </c>
      <c r="D853" s="4">
        <f>IF(F853=0,0,MAX($D$2:D852)+1)</f>
      </c>
      <c r="E853" s="4">
        <f>IF(H853=0,0,MAX($E$2:E852)+1)</f>
      </c>
      <c r="F853" s="119"/>
      <c r="G853" s="119"/>
      <c r="H853" s="119"/>
      <c r="I853" s="4">
        <f>IFERROR(VLOOKUP(H853,H$2:H852,1,FALSE),VLOOKUP(H853,H$478:H854,1,FALSE))</f>
      </c>
      <c r="J853" s="4">
        <f t="shared" si="168"/>
        <v/>
      </c>
      <c r="K853" s="4">
        <f t="shared" si="169"/>
        <v/>
      </c>
      <c r="L853" s="4">
        <f t="shared" si="170"/>
        <v/>
      </c>
      <c r="M853" s="5">
        <f t="shared" si="164"/>
        <v/>
      </c>
      <c r="N853" s="4">
        <f t="shared" si="171"/>
        <v/>
      </c>
      <c r="O853" s="4"/>
      <c r="P853" s="4">
        <f t="shared" si="172"/>
        <v/>
      </c>
      <c r="Q853" s="4">
        <f t="shared" si="173"/>
        <v/>
      </c>
      <c r="R853" s="4">
        <f t="shared" si="165"/>
      </c>
      <c r="S853" s="4">
        <f t="shared" si="166"/>
      </c>
      <c r="T853" s="4">
        <f t="shared" si="167"/>
      </c>
      <c r="U853" s="4">
        <f t="shared" si="174"/>
        <v/>
      </c>
    </row>
    <row r="854" spans="1:21" x14ac:dyDescent="0.3">
      <c r="A854" s="4">
        <f t="shared" si="163"/>
        <v/>
      </c>
      <c r="B854" s="4">
        <f>IF(C854=1,MAX(B$2:$B853)+1,IF(F854=0,"",B853))</f>
        <v/>
      </c>
      <c r="C854" s="4">
        <f>COUNTIF($F$2:$F854,F854)</f>
      </c>
      <c r="D854" s="4">
        <f>IF(F854=0,0,MAX($D$2:D853)+1)</f>
      </c>
      <c r="E854" s="4">
        <f>IF(H854=0,0,MAX($E$2:E853)+1)</f>
      </c>
      <c r="F854" s="119"/>
      <c r="G854" s="119"/>
      <c r="H854" s="119"/>
      <c r="I854" s="4">
        <f>IFERROR(VLOOKUP(H854,H$2:H853,1,FALSE),VLOOKUP(H854,H$478:H855,1,FALSE))</f>
      </c>
      <c r="J854" s="4">
        <f t="shared" si="168"/>
        <v/>
      </c>
      <c r="K854" s="4">
        <f t="shared" si="169"/>
        <v/>
      </c>
      <c r="L854" s="4">
        <f t="shared" si="170"/>
        <v/>
      </c>
      <c r="M854" s="5">
        <f t="shared" si="164"/>
        <v/>
      </c>
      <c r="N854" s="4">
        <f t="shared" si="171"/>
        <v/>
      </c>
      <c r="O854" s="4"/>
      <c r="P854" s="4">
        <f t="shared" si="172"/>
        <v/>
      </c>
      <c r="Q854" s="4">
        <f t="shared" si="173"/>
        <v/>
      </c>
      <c r="R854" s="4">
        <f t="shared" si="165"/>
      </c>
      <c r="S854" s="4">
        <f t="shared" si="166"/>
      </c>
      <c r="T854" s="4">
        <f t="shared" si="167"/>
      </c>
      <c r="U854" s="4">
        <f t="shared" si="174"/>
        <v/>
      </c>
    </row>
    <row r="855" spans="1:21" x14ac:dyDescent="0.3">
      <c r="A855" s="4">
        <f t="shared" si="163"/>
        <v/>
      </c>
      <c r="B855" s="4">
        <f>IF(C855=1,MAX(B$2:$B854)+1,IF(F855=0,"",B854))</f>
        <v/>
      </c>
      <c r="C855" s="4">
        <f>COUNTIF($F$2:$F855,F855)</f>
      </c>
      <c r="D855" s="4">
        <f>IF(F855=0,0,MAX($D$2:D854)+1)</f>
      </c>
      <c r="E855" s="4">
        <f>IF(H855=0,0,MAX($E$2:E854)+1)</f>
      </c>
      <c r="F855" s="119"/>
      <c r="G855" s="119"/>
      <c r="H855" s="119"/>
      <c r="I855" s="4">
        <f>IFERROR(VLOOKUP(H855,H$2:H854,1,FALSE),VLOOKUP(H855,H$478:H856,1,FALSE))</f>
      </c>
      <c r="J855" s="4">
        <f t="shared" si="168"/>
        <v/>
      </c>
      <c r="K855" s="4">
        <f t="shared" si="169"/>
        <v/>
      </c>
      <c r="L855" s="4">
        <f t="shared" si="170"/>
        <v/>
      </c>
      <c r="M855" s="5">
        <f t="shared" si="164"/>
        <v/>
      </c>
      <c r="N855" s="4">
        <f t="shared" si="171"/>
        <v/>
      </c>
      <c r="O855" s="4"/>
      <c r="P855" s="4">
        <f t="shared" si="172"/>
        <v/>
      </c>
      <c r="Q855" s="4">
        <f t="shared" si="173"/>
        <v/>
      </c>
      <c r="R855" s="4">
        <f t="shared" si="165"/>
      </c>
      <c r="S855" s="4">
        <f t="shared" si="166"/>
      </c>
      <c r="T855" s="4">
        <f t="shared" si="167"/>
      </c>
      <c r="U855" s="4">
        <f t="shared" si="174"/>
        <v/>
      </c>
    </row>
    <row r="856" spans="1:21" x14ac:dyDescent="0.3">
      <c r="A856" s="4">
        <f t="shared" si="163"/>
        <v/>
      </c>
      <c r="B856" s="4">
        <f>IF(C856=1,MAX(B$2:$B855)+1,IF(F856=0,"",B855))</f>
        <v/>
      </c>
      <c r="C856" s="4">
        <f>COUNTIF($F$2:$F856,F856)</f>
      </c>
      <c r="D856" s="4">
        <f>IF(F856=0,0,MAX($D$2:D855)+1)</f>
      </c>
      <c r="E856" s="4">
        <f>IF(H856=0,0,MAX($E$2:E855)+1)</f>
      </c>
      <c r="F856" s="119"/>
      <c r="G856" s="119"/>
      <c r="H856" s="119"/>
      <c r="I856" s="4">
        <f>IFERROR(VLOOKUP(H856,H$2:H855,1,FALSE),VLOOKUP(H856,H$478:H857,1,FALSE))</f>
      </c>
      <c r="J856" s="4">
        <f t="shared" si="168"/>
        <v/>
      </c>
      <c r="K856" s="4">
        <f t="shared" si="169"/>
        <v/>
      </c>
      <c r="L856" s="4">
        <f t="shared" si="170"/>
        <v/>
      </c>
      <c r="M856" s="5">
        <f t="shared" si="164"/>
        <v/>
      </c>
      <c r="N856" s="4">
        <f t="shared" si="171"/>
        <v/>
      </c>
      <c r="O856" s="4"/>
      <c r="P856" s="4">
        <f t="shared" si="172"/>
        <v/>
      </c>
      <c r="Q856" s="4">
        <f t="shared" si="173"/>
        <v/>
      </c>
      <c r="R856" s="4">
        <f t="shared" si="165"/>
      </c>
      <c r="S856" s="4">
        <f t="shared" si="166"/>
      </c>
      <c r="T856" s="4">
        <f t="shared" si="167"/>
      </c>
      <c r="U856" s="4">
        <f t="shared" si="174"/>
        <v/>
      </c>
    </row>
    <row r="857" spans="1:21" x14ac:dyDescent="0.3">
      <c r="A857" s="4">
        <f t="shared" si="163"/>
        <v/>
      </c>
      <c r="B857" s="4">
        <f>IF(C857=1,MAX(B$2:$B856)+1,IF(F857=0,"",B856))</f>
        <v/>
      </c>
      <c r="C857" s="4">
        <f>COUNTIF($F$2:$F857,F857)</f>
      </c>
      <c r="D857" s="4">
        <f>IF(F857=0,0,MAX($D$2:D856)+1)</f>
      </c>
      <c r="E857" s="4">
        <f>IF(H857=0,0,MAX($E$2:E856)+1)</f>
      </c>
      <c r="F857" s="119"/>
      <c r="G857" s="119"/>
      <c r="H857" s="119"/>
      <c r="I857" s="4">
        <f>IFERROR(VLOOKUP(H857,H$2:H856,1,FALSE),VLOOKUP(H857,H$478:H858,1,FALSE))</f>
      </c>
      <c r="J857" s="4">
        <f t="shared" si="168"/>
        <v/>
      </c>
      <c r="K857" s="4">
        <f t="shared" si="169"/>
        <v/>
      </c>
      <c r="L857" s="4">
        <f t="shared" si="170"/>
        <v/>
      </c>
      <c r="M857" s="5">
        <f t="shared" si="164"/>
        <v/>
      </c>
      <c r="N857" s="4">
        <f t="shared" si="171"/>
        <v/>
      </c>
      <c r="O857" s="4"/>
      <c r="P857" s="4">
        <f t="shared" si="172"/>
        <v/>
      </c>
      <c r="Q857" s="4">
        <f t="shared" si="173"/>
        <v/>
      </c>
      <c r="R857" s="4">
        <f t="shared" si="165"/>
      </c>
      <c r="S857" s="4">
        <f t="shared" si="166"/>
      </c>
      <c r="T857" s="4">
        <f t="shared" si="167"/>
      </c>
      <c r="U857" s="4">
        <f t="shared" si="174"/>
        <v/>
      </c>
    </row>
    <row r="858" spans="1:21" x14ac:dyDescent="0.3">
      <c r="A858" s="4">
        <f t="shared" si="163"/>
        <v/>
      </c>
      <c r="B858" s="4">
        <f>IF(C858=1,MAX(B$2:$B857)+1,IF(F858=0,"",B857))</f>
        <v/>
      </c>
      <c r="C858" s="4">
        <f>COUNTIF($F$2:$F858,F858)</f>
      </c>
      <c r="D858" s="4">
        <f>IF(F858=0,0,MAX($D$2:D857)+1)</f>
      </c>
      <c r="E858" s="4">
        <f>IF(H858=0,0,MAX($E$2:E857)+1)</f>
      </c>
      <c r="F858" s="119"/>
      <c r="G858" s="119"/>
      <c r="H858" s="119"/>
      <c r="I858" s="4">
        <f>IFERROR(VLOOKUP(H858,H$2:H857,1,FALSE),VLOOKUP(H858,H$478:H859,1,FALSE))</f>
      </c>
      <c r="J858" s="4">
        <f t="shared" si="168"/>
        <v/>
      </c>
      <c r="K858" s="4">
        <f t="shared" si="169"/>
        <v/>
      </c>
      <c r="L858" s="4">
        <f t="shared" si="170"/>
        <v/>
      </c>
      <c r="M858" s="5">
        <f t="shared" si="164"/>
        <v/>
      </c>
      <c r="N858" s="4">
        <f t="shared" si="171"/>
        <v/>
      </c>
      <c r="O858" s="4"/>
      <c r="P858" s="4">
        <f t="shared" si="172"/>
        <v/>
      </c>
      <c r="Q858" s="4">
        <f t="shared" si="173"/>
        <v/>
      </c>
      <c r="R858" s="4">
        <f t="shared" si="165"/>
      </c>
      <c r="S858" s="4">
        <f t="shared" si="166"/>
      </c>
      <c r="T858" s="4">
        <f t="shared" si="167"/>
      </c>
      <c r="U858" s="4">
        <f t="shared" si="174"/>
        <v/>
      </c>
    </row>
    <row r="859" spans="1:21" x14ac:dyDescent="0.3">
      <c r="A859" s="4">
        <f t="shared" si="163"/>
        <v/>
      </c>
      <c r="B859" s="4">
        <f>IF(C859=1,MAX(B$2:$B858)+1,IF(F859=0,"",B858))</f>
        <v/>
      </c>
      <c r="C859" s="4">
        <f>COUNTIF($F$2:$F859,F859)</f>
      </c>
      <c r="D859" s="4">
        <f>IF(F859=0,0,MAX($D$2:D858)+1)</f>
      </c>
      <c r="E859" s="4">
        <f>IF(H859=0,0,MAX($E$2:E858)+1)</f>
      </c>
      <c r="F859" s="119"/>
      <c r="G859" s="119"/>
      <c r="H859" s="119"/>
      <c r="I859" s="4">
        <f>IFERROR(VLOOKUP(H859,H$2:H858,1,FALSE),VLOOKUP(H859,H$478:H860,1,FALSE))</f>
      </c>
      <c r="J859" s="4">
        <f t="shared" si="168"/>
        <v/>
      </c>
      <c r="K859" s="4">
        <f t="shared" si="169"/>
        <v/>
      </c>
      <c r="L859" s="4">
        <f t="shared" si="170"/>
        <v/>
      </c>
      <c r="M859" s="5">
        <f t="shared" si="164"/>
        <v/>
      </c>
      <c r="N859" s="4">
        <f t="shared" si="171"/>
        <v/>
      </c>
      <c r="O859" s="4"/>
      <c r="P859" s="4">
        <f t="shared" si="172"/>
        <v/>
      </c>
      <c r="Q859" s="4">
        <f t="shared" si="173"/>
        <v/>
      </c>
      <c r="R859" s="4">
        <f t="shared" si="165"/>
      </c>
      <c r="S859" s="4">
        <f t="shared" si="166"/>
      </c>
      <c r="T859" s="4">
        <f t="shared" si="167"/>
      </c>
      <c r="U859" s="4">
        <f t="shared" si="174"/>
        <v/>
      </c>
    </row>
    <row r="860" spans="1:21" x14ac:dyDescent="0.3">
      <c r="A860" s="4">
        <f t="shared" si="163"/>
        <v/>
      </c>
      <c r="B860" s="4">
        <f>IF(C860=1,MAX(B$2:$B859)+1,IF(F860=0,"",B859))</f>
        <v/>
      </c>
      <c r="C860" s="4">
        <f>COUNTIF($F$2:$F860,F860)</f>
      </c>
      <c r="D860" s="4">
        <f>IF(F860=0,0,MAX($D$2:D859)+1)</f>
      </c>
      <c r="E860" s="4">
        <f>IF(H860=0,0,MAX($E$2:E859)+1)</f>
      </c>
      <c r="F860" s="119"/>
      <c r="G860" s="119"/>
      <c r="H860" s="119"/>
      <c r="I860" s="4">
        <f>IFERROR(VLOOKUP(H860,H$2:H859,1,FALSE),VLOOKUP(H860,H$478:H861,1,FALSE))</f>
      </c>
      <c r="J860" s="4">
        <f t="shared" si="168"/>
        <v/>
      </c>
      <c r="K860" s="4">
        <f t="shared" si="169"/>
        <v/>
      </c>
      <c r="L860" s="4">
        <f t="shared" si="170"/>
        <v/>
      </c>
      <c r="M860" s="5">
        <f t="shared" si="164"/>
        <v/>
      </c>
      <c r="N860" s="4">
        <f t="shared" si="171"/>
        <v/>
      </c>
      <c r="O860" s="4"/>
      <c r="P860" s="4">
        <f t="shared" si="172"/>
        <v/>
      </c>
      <c r="Q860" s="4">
        <f t="shared" si="173"/>
        <v/>
      </c>
      <c r="R860" s="4">
        <f t="shared" si="165"/>
      </c>
      <c r="S860" s="4">
        <f t="shared" si="166"/>
      </c>
      <c r="T860" s="4">
        <f t="shared" si="167"/>
      </c>
      <c r="U860" s="4">
        <f t="shared" si="174"/>
        <v/>
      </c>
    </row>
    <row r="861" spans="1:21" x14ac:dyDescent="0.3">
      <c r="A861" s="4">
        <f t="shared" si="163"/>
        <v/>
      </c>
      <c r="B861" s="4">
        <f>IF(C861=1,MAX(B$2:$B860)+1,IF(F861=0,"",B860))</f>
        <v/>
      </c>
      <c r="C861" s="4">
        <f>COUNTIF($F$2:$F861,F861)</f>
      </c>
      <c r="D861" s="4">
        <f>IF(F861=0,0,MAX($D$2:D860)+1)</f>
      </c>
      <c r="E861" s="4">
        <f>IF(H861=0,0,MAX($E$2:E860)+1)</f>
      </c>
      <c r="F861" s="119"/>
      <c r="G861" s="119"/>
      <c r="H861" s="119"/>
      <c r="I861" s="4">
        <f>IFERROR(VLOOKUP(H861,H$2:H860,1,FALSE),VLOOKUP(H861,H$478:H862,1,FALSE))</f>
      </c>
      <c r="J861" s="4">
        <f t="shared" si="168"/>
        <v/>
      </c>
      <c r="K861" s="4">
        <f t="shared" si="169"/>
        <v/>
      </c>
      <c r="L861" s="4">
        <f t="shared" si="170"/>
        <v/>
      </c>
      <c r="M861" s="5">
        <f t="shared" si="164"/>
        <v/>
      </c>
      <c r="N861" s="4">
        <f t="shared" si="171"/>
        <v/>
      </c>
      <c r="O861" s="4"/>
      <c r="P861" s="4">
        <f t="shared" si="172"/>
        <v/>
      </c>
      <c r="Q861" s="4">
        <f t="shared" si="173"/>
        <v/>
      </c>
      <c r="R861" s="4">
        <f t="shared" si="165"/>
      </c>
      <c r="S861" s="4">
        <f t="shared" si="166"/>
      </c>
      <c r="T861" s="4">
        <f t="shared" si="167"/>
      </c>
      <c r="U861" s="4">
        <f t="shared" si="174"/>
        <v/>
      </c>
    </row>
    <row r="862" spans="1:21" x14ac:dyDescent="0.3">
      <c r="A862" s="4">
        <f t="shared" si="163"/>
        <v/>
      </c>
      <c r="B862" s="4">
        <f>IF(C862=1,MAX(B$2:$B861)+1,IF(F862=0,"",B861))</f>
        <v/>
      </c>
      <c r="C862" s="4">
        <f>COUNTIF($F$2:$F862,F862)</f>
      </c>
      <c r="D862" s="4">
        <f>IF(F862=0,0,MAX($D$2:D861)+1)</f>
      </c>
      <c r="E862" s="4">
        <f>IF(H862=0,0,MAX($E$2:E861)+1)</f>
      </c>
      <c r="F862" s="119"/>
      <c r="G862" s="119"/>
      <c r="H862" s="119"/>
      <c r="I862" s="4">
        <f>IFERROR(VLOOKUP(H862,H$2:H861,1,FALSE),VLOOKUP(H862,H$478:H863,1,FALSE))</f>
      </c>
      <c r="J862" s="4">
        <f t="shared" si="168"/>
        <v/>
      </c>
      <c r="K862" s="4">
        <f t="shared" si="169"/>
        <v/>
      </c>
      <c r="L862" s="4">
        <f t="shared" si="170"/>
        <v/>
      </c>
      <c r="M862" s="5">
        <f t="shared" si="164"/>
        <v/>
      </c>
      <c r="N862" s="4">
        <f t="shared" si="171"/>
        <v/>
      </c>
      <c r="O862" s="4"/>
      <c r="P862" s="4">
        <f t="shared" si="172"/>
        <v/>
      </c>
      <c r="Q862" s="4">
        <f t="shared" si="173"/>
        <v/>
      </c>
      <c r="R862" s="4">
        <f t="shared" si="165"/>
      </c>
      <c r="S862" s="4">
        <f t="shared" si="166"/>
      </c>
      <c r="T862" s="4">
        <f t="shared" si="167"/>
      </c>
      <c r="U862" s="4">
        <f t="shared" si="174"/>
        <v/>
      </c>
    </row>
    <row r="863" spans="1:21" x14ac:dyDescent="0.3">
      <c r="A863" s="4">
        <f t="shared" ref="A863:A926" si="175">IF(B863=B864,"",B863)</f>
        <v/>
      </c>
      <c r="B863" s="4">
        <f>IF(C863=1,MAX(B$2:$B862)+1,IF(F863=0,"",B862))</f>
        <v/>
      </c>
      <c r="C863" s="4">
        <f>COUNTIF($F$2:$F863,F863)</f>
      </c>
      <c r="D863" s="4">
        <f>IF(F863=0,0,MAX($D$2:D862)+1)</f>
      </c>
      <c r="E863" s="4">
        <f>IF(H863=0,0,MAX($E$2:E862)+1)</f>
      </c>
      <c r="F863" s="119"/>
      <c r="G863" s="119"/>
      <c r="H863" s="119"/>
      <c r="I863" s="4">
        <f>IFERROR(VLOOKUP(H863,H$2:H862,1,FALSE),VLOOKUP(H863,H$478:H864,1,FALSE))</f>
      </c>
      <c r="J863" s="4">
        <f t="shared" si="168"/>
        <v/>
      </c>
      <c r="K863" s="4">
        <f t="shared" si="169"/>
        <v/>
      </c>
      <c r="L863" s="4">
        <f t="shared" si="170"/>
        <v/>
      </c>
      <c r="M863" s="5">
        <f t="shared" ref="M863:M926" si="176">IFERROR(VLOOKUP(H863,Нагрузка_диапазон_1,4,FALSE),"")</f>
        <v/>
      </c>
      <c r="N863" s="4">
        <f t="shared" si="171"/>
        <v/>
      </c>
      <c r="O863" s="4"/>
      <c r="P863" s="4">
        <f t="shared" si="172"/>
        <v/>
      </c>
      <c r="Q863" s="4">
        <f t="shared" si="173"/>
        <v/>
      </c>
      <c r="R863" s="4">
        <f t="shared" ref="R863:R926" si="177">IF(Q863=3,"L1,L2,L3",0)</f>
      </c>
      <c r="S863" s="4">
        <f t="shared" ref="S863:S926" si="178">IF(C863=1,1,IF(Q863=3,S862,IF(S862=3,1,S862+1)))</f>
      </c>
      <c r="T863" s="4">
        <f t="shared" ref="T863:T926" si="179">IF(R863=0,"L"&amp;S863,R863)</f>
      </c>
      <c r="U863" s="4">
        <f t="shared" si="174"/>
        <v/>
      </c>
    </row>
    <row r="864" spans="1:21" x14ac:dyDescent="0.3">
      <c r="A864" s="4">
        <f t="shared" si="175"/>
        <v/>
      </c>
      <c r="B864" s="4">
        <f>IF(C864=1,MAX(B$2:$B863)+1,IF(F864=0,"",B863))</f>
        <v/>
      </c>
      <c r="C864" s="4">
        <f>COUNTIF($F$2:$F864,F864)</f>
      </c>
      <c r="D864" s="4">
        <f>IF(F864=0,0,MAX($D$2:D863)+1)</f>
      </c>
      <c r="E864" s="4">
        <f>IF(H864=0,0,MAX($E$2:E863)+1)</f>
      </c>
      <c r="F864" s="119"/>
      <c r="G864" s="119"/>
      <c r="H864" s="119"/>
      <c r="I864" s="4">
        <f>IFERROR(VLOOKUP(H864,H$2:H863,1,FALSE),VLOOKUP(H864,H$478:H865,1,FALSE))</f>
      </c>
      <c r="J864" s="4">
        <f t="shared" si="168"/>
        <v/>
      </c>
      <c r="K864" s="4">
        <f t="shared" si="169"/>
        <v/>
      </c>
      <c r="L864" s="4">
        <f t="shared" si="170"/>
        <v/>
      </c>
      <c r="M864" s="5">
        <f t="shared" si="176"/>
        <v/>
      </c>
      <c r="N864" s="4">
        <f t="shared" si="171"/>
        <v/>
      </c>
      <c r="O864" s="4"/>
      <c r="P864" s="4">
        <f t="shared" si="172"/>
        <v/>
      </c>
      <c r="Q864" s="4">
        <f t="shared" si="173"/>
        <v/>
      </c>
      <c r="R864" s="4">
        <f t="shared" si="177"/>
      </c>
      <c r="S864" s="4">
        <f t="shared" si="178"/>
      </c>
      <c r="T864" s="4">
        <f t="shared" si="179"/>
      </c>
      <c r="U864" s="4">
        <f t="shared" si="174"/>
        <v/>
      </c>
    </row>
    <row r="865" spans="1:21" x14ac:dyDescent="0.3">
      <c r="A865" s="4">
        <f t="shared" si="175"/>
        <v/>
      </c>
      <c r="B865" s="4">
        <f>IF(C865=1,MAX(B$2:$B864)+1,IF(F865=0,"",B864))</f>
        <v/>
      </c>
      <c r="C865" s="4">
        <f>COUNTIF($F$2:$F865,F865)</f>
      </c>
      <c r="D865" s="4">
        <f>IF(F865=0,0,MAX($D$2:D864)+1)</f>
      </c>
      <c r="E865" s="4">
        <f>IF(H865=0,0,MAX($E$2:E864)+1)</f>
      </c>
      <c r="F865" s="119"/>
      <c r="G865" s="119"/>
      <c r="H865" s="119"/>
      <c r="I865" s="4">
        <f>IFERROR(VLOOKUP(H865,H$2:H864,1,FALSE),VLOOKUP(H865,H$478:H866,1,FALSE))</f>
      </c>
      <c r="J865" s="4">
        <f t="shared" si="168"/>
        <v/>
      </c>
      <c r="K865" s="4">
        <f t="shared" si="169"/>
        <v/>
      </c>
      <c r="L865" s="4">
        <f t="shared" si="170"/>
        <v/>
      </c>
      <c r="M865" s="5">
        <f t="shared" si="176"/>
        <v/>
      </c>
      <c r="N865" s="4">
        <f t="shared" si="171"/>
        <v/>
      </c>
      <c r="O865" s="4"/>
      <c r="P865" s="4">
        <f t="shared" si="172"/>
        <v/>
      </c>
      <c r="Q865" s="4">
        <f t="shared" si="173"/>
        <v/>
      </c>
      <c r="R865" s="4">
        <f t="shared" si="177"/>
      </c>
      <c r="S865" s="4">
        <f t="shared" si="178"/>
      </c>
      <c r="T865" s="4">
        <f t="shared" si="179"/>
      </c>
      <c r="U865" s="4">
        <f t="shared" si="174"/>
        <v/>
      </c>
    </row>
    <row r="866" spans="1:21" x14ac:dyDescent="0.3">
      <c r="A866" s="4">
        <f t="shared" si="175"/>
        <v/>
      </c>
      <c r="B866" s="4">
        <f>IF(C866=1,MAX(B$2:$B865)+1,IF(F866=0,"",B865))</f>
        <v/>
      </c>
      <c r="C866" s="4">
        <f>COUNTIF($F$2:$F866,F866)</f>
      </c>
      <c r="D866" s="4">
        <f>IF(F866=0,0,MAX($D$2:D865)+1)</f>
      </c>
      <c r="E866" s="4">
        <f>IF(H866=0,0,MAX($E$2:E865)+1)</f>
      </c>
      <c r="F866" s="119"/>
      <c r="G866" s="119"/>
      <c r="H866" s="119"/>
      <c r="I866" s="4">
        <f>IFERROR(VLOOKUP(H866,H$2:H865,1,FALSE),VLOOKUP(H866,H$478:H867,1,FALSE))</f>
      </c>
      <c r="J866" s="4">
        <f t="shared" si="168"/>
        <v/>
      </c>
      <c r="K866" s="4">
        <f t="shared" si="169"/>
        <v/>
      </c>
      <c r="L866" s="4">
        <f t="shared" si="170"/>
        <v/>
      </c>
      <c r="M866" s="5">
        <f t="shared" si="176"/>
        <v/>
      </c>
      <c r="N866" s="4">
        <f t="shared" si="171"/>
        <v/>
      </c>
      <c r="O866" s="4"/>
      <c r="P866" s="4">
        <f t="shared" si="172"/>
        <v/>
      </c>
      <c r="Q866" s="4">
        <f t="shared" si="173"/>
        <v/>
      </c>
      <c r="R866" s="4">
        <f t="shared" si="177"/>
      </c>
      <c r="S866" s="4">
        <f t="shared" si="178"/>
      </c>
      <c r="T866" s="4">
        <f t="shared" si="179"/>
      </c>
      <c r="U866" s="4">
        <f t="shared" si="174"/>
        <v/>
      </c>
    </row>
    <row r="867" spans="1:21" x14ac:dyDescent="0.3">
      <c r="A867" s="4">
        <f t="shared" si="175"/>
        <v/>
      </c>
      <c r="B867" s="4">
        <f>IF(C867=1,MAX(B$2:$B866)+1,IF(F867=0,"",B866))</f>
        <v/>
      </c>
      <c r="C867" s="4">
        <f>COUNTIF($F$2:$F867,F867)</f>
      </c>
      <c r="D867" s="4">
        <f>IF(F867=0,0,MAX($D$2:D866)+1)</f>
      </c>
      <c r="E867" s="4">
        <f>IF(H867=0,0,MAX($E$2:E866)+1)</f>
      </c>
      <c r="F867" s="119"/>
      <c r="G867" s="119"/>
      <c r="H867" s="119"/>
      <c r="I867" s="4">
        <f>IFERROR(VLOOKUP(H867,H$2:H866,1,FALSE),VLOOKUP(H867,H$478:H868,1,FALSE))</f>
      </c>
      <c r="J867" s="4">
        <f t="shared" si="168"/>
        <v/>
      </c>
      <c r="K867" s="4">
        <f t="shared" si="169"/>
        <v/>
      </c>
      <c r="L867" s="4">
        <f t="shared" si="170"/>
        <v/>
      </c>
      <c r="M867" s="5">
        <f t="shared" si="176"/>
        <v/>
      </c>
      <c r="N867" s="4">
        <f t="shared" si="171"/>
        <v/>
      </c>
      <c r="O867" s="4"/>
      <c r="P867" s="4">
        <f t="shared" si="172"/>
        <v/>
      </c>
      <c r="Q867" s="4">
        <f t="shared" si="173"/>
        <v/>
      </c>
      <c r="R867" s="4">
        <f t="shared" si="177"/>
      </c>
      <c r="S867" s="4">
        <f t="shared" si="178"/>
      </c>
      <c r="T867" s="4">
        <f t="shared" si="179"/>
      </c>
      <c r="U867" s="4">
        <f t="shared" si="174"/>
        <v/>
      </c>
    </row>
    <row r="868" spans="1:21" x14ac:dyDescent="0.3">
      <c r="A868" s="4">
        <f t="shared" si="175"/>
        <v/>
      </c>
      <c r="B868" s="4">
        <f>IF(C868=1,MAX(B$2:$B867)+1,IF(F868=0,"",B867))</f>
        <v/>
      </c>
      <c r="C868" s="4">
        <f>COUNTIF($F$2:$F868,F868)</f>
      </c>
      <c r="D868" s="4">
        <f>IF(F868=0,0,MAX($D$2:D867)+1)</f>
      </c>
      <c r="E868" s="4">
        <f>IF(H868=0,0,MAX($E$2:E867)+1)</f>
      </c>
      <c r="F868" s="119"/>
      <c r="G868" s="119"/>
      <c r="H868" s="119"/>
      <c r="I868" s="4">
        <f>IFERROR(VLOOKUP(H868,H$2:H867,1,FALSE),VLOOKUP(H868,H$478:H869,1,FALSE))</f>
      </c>
      <c r="J868" s="4">
        <f t="shared" si="168"/>
        <v/>
      </c>
      <c r="K868" s="4">
        <f t="shared" si="169"/>
        <v/>
      </c>
      <c r="L868" s="4">
        <f t="shared" si="170"/>
        <v/>
      </c>
      <c r="M868" s="5">
        <f t="shared" si="176"/>
        <v/>
      </c>
      <c r="N868" s="4">
        <f t="shared" si="171"/>
        <v/>
      </c>
      <c r="O868" s="4"/>
      <c r="P868" s="4">
        <f t="shared" si="172"/>
        <v/>
      </c>
      <c r="Q868" s="4">
        <f t="shared" si="173"/>
        <v/>
      </c>
      <c r="R868" s="4">
        <f t="shared" si="177"/>
      </c>
      <c r="S868" s="4">
        <f t="shared" si="178"/>
      </c>
      <c r="T868" s="4">
        <f t="shared" si="179"/>
      </c>
      <c r="U868" s="4">
        <f t="shared" si="174"/>
        <v/>
      </c>
    </row>
    <row r="869" spans="1:21" x14ac:dyDescent="0.3">
      <c r="A869" s="4">
        <f t="shared" si="175"/>
        <v/>
      </c>
      <c r="B869" s="4">
        <f>IF(C869=1,MAX(B$2:$B868)+1,IF(F869=0,"",B868))</f>
        <v/>
      </c>
      <c r="C869" s="4">
        <f>COUNTIF($F$2:$F869,F869)</f>
      </c>
      <c r="D869" s="4">
        <f>IF(F869=0,0,MAX($D$2:D868)+1)</f>
      </c>
      <c r="E869" s="4">
        <f>IF(H869=0,0,MAX($E$2:E868)+1)</f>
      </c>
      <c r="F869" s="119"/>
      <c r="G869" s="119"/>
      <c r="H869" s="119"/>
      <c r="I869" s="4">
        <f>IFERROR(VLOOKUP(H869,H$2:H868,1,FALSE),VLOOKUP(H869,H$478:H870,1,FALSE))</f>
      </c>
      <c r="J869" s="4">
        <f t="shared" si="168"/>
        <v/>
      </c>
      <c r="K869" s="4">
        <f t="shared" si="169"/>
        <v/>
      </c>
      <c r="L869" s="4">
        <f t="shared" si="170"/>
        <v/>
      </c>
      <c r="M869" s="5">
        <f t="shared" si="176"/>
        <v/>
      </c>
      <c r="N869" s="4">
        <f t="shared" si="171"/>
        <v/>
      </c>
      <c r="O869" s="4"/>
      <c r="P869" s="4">
        <f t="shared" si="172"/>
        <v/>
      </c>
      <c r="Q869" s="4">
        <f t="shared" si="173"/>
        <v/>
      </c>
      <c r="R869" s="4">
        <f t="shared" si="177"/>
      </c>
      <c r="S869" s="4">
        <f t="shared" si="178"/>
      </c>
      <c r="T869" s="4">
        <f t="shared" si="179"/>
      </c>
      <c r="U869" s="4">
        <f t="shared" si="174"/>
        <v/>
      </c>
    </row>
    <row r="870" spans="1:21" x14ac:dyDescent="0.3">
      <c r="A870" s="4">
        <f t="shared" si="175"/>
        <v/>
      </c>
      <c r="B870" s="4">
        <f>IF(C870=1,MAX(B$2:$B869)+1,IF(F870=0,"",B869))</f>
        <v/>
      </c>
      <c r="C870" s="4">
        <f>COUNTIF($F$2:$F870,F870)</f>
      </c>
      <c r="D870" s="4">
        <f>IF(F870=0,0,MAX($D$2:D869)+1)</f>
      </c>
      <c r="E870" s="4">
        <f>IF(H870=0,0,MAX($E$2:E869)+1)</f>
      </c>
      <c r="F870" s="119"/>
      <c r="G870" s="119"/>
      <c r="H870" s="119"/>
      <c r="I870" s="4">
        <f>IFERROR(VLOOKUP(H870,H$2:H869,1,FALSE),VLOOKUP(H870,H$478:H871,1,FALSE))</f>
      </c>
      <c r="J870" s="4">
        <f t="shared" si="168"/>
        <v/>
      </c>
      <c r="K870" s="4">
        <f t="shared" si="169"/>
        <v/>
      </c>
      <c r="L870" s="4">
        <f t="shared" si="170"/>
        <v/>
      </c>
      <c r="M870" s="5">
        <f t="shared" si="176"/>
        <v/>
      </c>
      <c r="N870" s="4">
        <f t="shared" si="171"/>
        <v/>
      </c>
      <c r="O870" s="4"/>
      <c r="P870" s="4">
        <f t="shared" si="172"/>
        <v/>
      </c>
      <c r="Q870" s="4">
        <f t="shared" si="173"/>
        <v/>
      </c>
      <c r="R870" s="4">
        <f t="shared" si="177"/>
      </c>
      <c r="S870" s="4">
        <f t="shared" si="178"/>
      </c>
      <c r="T870" s="4">
        <f t="shared" si="179"/>
      </c>
      <c r="U870" s="4">
        <f t="shared" si="174"/>
        <v/>
      </c>
    </row>
    <row r="871" spans="1:21" x14ac:dyDescent="0.3">
      <c r="A871" s="4">
        <f t="shared" si="175"/>
        <v/>
      </c>
      <c r="B871" s="4">
        <f>IF(C871=1,MAX(B$2:$B870)+1,IF(F871=0,"",B870))</f>
        <v/>
      </c>
      <c r="C871" s="4">
        <f>COUNTIF($F$2:$F871,F871)</f>
      </c>
      <c r="D871" s="4">
        <f>IF(F871=0,0,MAX($D$2:D870)+1)</f>
      </c>
      <c r="E871" s="4">
        <f>IF(H871=0,0,MAX($E$2:E870)+1)</f>
      </c>
      <c r="F871" s="119"/>
      <c r="G871" s="119"/>
      <c r="H871" s="119"/>
      <c r="I871" s="4">
        <f>IFERROR(VLOOKUP(H871,H$2:H870,1,FALSE),VLOOKUP(H871,H$478:H872,1,FALSE))</f>
      </c>
      <c r="J871" s="4">
        <f t="shared" si="168"/>
        <v/>
      </c>
      <c r="K871" s="4">
        <f t="shared" si="169"/>
        <v/>
      </c>
      <c r="L871" s="4">
        <f t="shared" si="170"/>
        <v/>
      </c>
      <c r="M871" s="5">
        <f t="shared" si="176"/>
        <v/>
      </c>
      <c r="N871" s="4">
        <f t="shared" si="171"/>
        <v/>
      </c>
      <c r="O871" s="4"/>
      <c r="P871" s="4">
        <f t="shared" si="172"/>
        <v/>
      </c>
      <c r="Q871" s="4">
        <f t="shared" si="173"/>
        <v/>
      </c>
      <c r="R871" s="4">
        <f t="shared" si="177"/>
      </c>
      <c r="S871" s="4">
        <f t="shared" si="178"/>
      </c>
      <c r="T871" s="4">
        <f t="shared" si="179"/>
      </c>
      <c r="U871" s="4">
        <f t="shared" si="174"/>
        <v/>
      </c>
    </row>
    <row r="872" spans="1:21" x14ac:dyDescent="0.3">
      <c r="A872" s="4">
        <f t="shared" si="175"/>
        <v/>
      </c>
      <c r="B872" s="4">
        <f>IF(C872=1,MAX(B$2:$B871)+1,IF(F872=0,"",B871))</f>
        <v/>
      </c>
      <c r="C872" s="4">
        <f>COUNTIF($F$2:$F872,F872)</f>
      </c>
      <c r="D872" s="4">
        <f>IF(F872=0,0,MAX($D$2:D871)+1)</f>
      </c>
      <c r="E872" s="4">
        <f>IF(H872=0,0,MAX($E$2:E871)+1)</f>
      </c>
      <c r="F872" s="119"/>
      <c r="G872" s="119"/>
      <c r="H872" s="119"/>
      <c r="I872" s="4">
        <f>IFERROR(VLOOKUP(H872,H$2:H871,1,FALSE),VLOOKUP(H872,H$478:H873,1,FALSE))</f>
      </c>
      <c r="J872" s="4">
        <f t="shared" si="168"/>
        <v/>
      </c>
      <c r="K872" s="4">
        <f t="shared" si="169"/>
        <v/>
      </c>
      <c r="L872" s="4">
        <f t="shared" si="170"/>
        <v/>
      </c>
      <c r="M872" s="5">
        <f t="shared" si="176"/>
        <v/>
      </c>
      <c r="N872" s="4">
        <f t="shared" si="171"/>
        <v/>
      </c>
      <c r="O872" s="4"/>
      <c r="P872" s="4">
        <f t="shared" si="172"/>
        <v/>
      </c>
      <c r="Q872" s="4">
        <f t="shared" si="173"/>
        <v/>
      </c>
      <c r="R872" s="4">
        <f t="shared" si="177"/>
      </c>
      <c r="S872" s="4">
        <f t="shared" si="178"/>
      </c>
      <c r="T872" s="4">
        <f t="shared" si="179"/>
      </c>
      <c r="U872" s="4">
        <f t="shared" si="174"/>
        <v/>
      </c>
    </row>
    <row r="873" spans="1:21" x14ac:dyDescent="0.3">
      <c r="A873" s="4">
        <f t="shared" si="175"/>
        <v/>
      </c>
      <c r="B873" s="4">
        <f>IF(C873=1,MAX(B$2:$B872)+1,IF(F873=0,"",B872))</f>
        <v/>
      </c>
      <c r="C873" s="4">
        <f>COUNTIF($F$2:$F873,F873)</f>
      </c>
      <c r="D873" s="4">
        <f>IF(F873=0,0,MAX($D$2:D872)+1)</f>
      </c>
      <c r="E873" s="4">
        <f>IF(H873=0,0,MAX($E$2:E872)+1)</f>
      </c>
      <c r="F873" s="119"/>
      <c r="G873" s="119"/>
      <c r="H873" s="119"/>
      <c r="I873" s="4">
        <f>IFERROR(VLOOKUP(H873,H$2:H872,1,FALSE),VLOOKUP(H873,H$478:H874,1,FALSE))</f>
      </c>
      <c r="J873" s="4">
        <f t="shared" si="168"/>
        <v/>
      </c>
      <c r="K873" s="4">
        <f t="shared" si="169"/>
        <v/>
      </c>
      <c r="L873" s="4">
        <f t="shared" si="170"/>
        <v/>
      </c>
      <c r="M873" s="5">
        <f t="shared" si="176"/>
        <v/>
      </c>
      <c r="N873" s="4">
        <f t="shared" si="171"/>
        <v/>
      </c>
      <c r="O873" s="4"/>
      <c r="P873" s="4">
        <f t="shared" si="172"/>
        <v/>
      </c>
      <c r="Q873" s="4">
        <f t="shared" si="173"/>
        <v/>
      </c>
      <c r="R873" s="4">
        <f t="shared" si="177"/>
      </c>
      <c r="S873" s="4">
        <f t="shared" si="178"/>
      </c>
      <c r="T873" s="4">
        <f t="shared" si="179"/>
      </c>
      <c r="U873" s="4">
        <f t="shared" si="174"/>
        <v/>
      </c>
    </row>
    <row r="874" spans="1:21" x14ac:dyDescent="0.3">
      <c r="A874" s="4">
        <f t="shared" si="175"/>
        <v/>
      </c>
      <c r="B874" s="4">
        <f>IF(C874=1,MAX(B$2:$B873)+1,IF(F874=0,"",B873))</f>
        <v/>
      </c>
      <c r="C874" s="4">
        <f>COUNTIF($F$2:$F874,F874)</f>
      </c>
      <c r="D874" s="4">
        <f>IF(F874=0,0,MAX($D$2:D873)+1)</f>
      </c>
      <c r="E874" s="4">
        <f>IF(H874=0,0,MAX($E$2:E873)+1)</f>
      </c>
      <c r="F874" s="119"/>
      <c r="G874" s="119"/>
      <c r="H874" s="119"/>
      <c r="I874" s="4">
        <f>IFERROR(VLOOKUP(H874,H$2:H873,1,FALSE),VLOOKUP(H874,H$478:H875,1,FALSE))</f>
      </c>
      <c r="J874" s="4">
        <f t="shared" si="168"/>
        <v/>
      </c>
      <c r="K874" s="4">
        <f t="shared" si="169"/>
        <v/>
      </c>
      <c r="L874" s="4">
        <f t="shared" si="170"/>
        <v/>
      </c>
      <c r="M874" s="5">
        <f t="shared" si="176"/>
        <v/>
      </c>
      <c r="N874" s="4">
        <f t="shared" si="171"/>
        <v/>
      </c>
      <c r="O874" s="4"/>
      <c r="P874" s="4">
        <f t="shared" si="172"/>
        <v/>
      </c>
      <c r="Q874" s="4">
        <f t="shared" si="173"/>
        <v/>
      </c>
      <c r="R874" s="4">
        <f t="shared" si="177"/>
      </c>
      <c r="S874" s="4">
        <f t="shared" si="178"/>
      </c>
      <c r="T874" s="4">
        <f t="shared" si="179"/>
      </c>
      <c r="U874" s="4">
        <f t="shared" si="174"/>
        <v/>
      </c>
    </row>
    <row r="875" spans="1:21" x14ac:dyDescent="0.3">
      <c r="A875" s="4">
        <f t="shared" si="175"/>
        <v/>
      </c>
      <c r="B875" s="4">
        <f>IF(C875=1,MAX(B$2:$B874)+1,IF(F875=0,"",B874))</f>
        <v/>
      </c>
      <c r="C875" s="4">
        <f>COUNTIF($F$2:$F875,F875)</f>
      </c>
      <c r="D875" s="4">
        <f>IF(F875=0,0,MAX($D$2:D874)+1)</f>
      </c>
      <c r="E875" s="4">
        <f>IF(H875=0,0,MAX($E$2:E874)+1)</f>
      </c>
      <c r="F875" s="119"/>
      <c r="G875" s="119"/>
      <c r="H875" s="119"/>
      <c r="I875" s="4">
        <f>IFERROR(VLOOKUP(H875,H$2:H874,1,FALSE),VLOOKUP(H875,H$478:H876,1,FALSE))</f>
      </c>
      <c r="J875" s="4">
        <f t="shared" si="168"/>
        <v/>
      </c>
      <c r="K875" s="4">
        <f t="shared" si="169"/>
        <v/>
      </c>
      <c r="L875" s="4">
        <f t="shared" si="170"/>
        <v/>
      </c>
      <c r="M875" s="5">
        <f t="shared" si="176"/>
        <v/>
      </c>
      <c r="N875" s="4">
        <f t="shared" si="171"/>
        <v/>
      </c>
      <c r="O875" s="4"/>
      <c r="P875" s="4">
        <f t="shared" si="172"/>
        <v/>
      </c>
      <c r="Q875" s="4">
        <f t="shared" si="173"/>
        <v/>
      </c>
      <c r="R875" s="4">
        <f t="shared" si="177"/>
      </c>
      <c r="S875" s="4">
        <f t="shared" si="178"/>
      </c>
      <c r="T875" s="4">
        <f t="shared" si="179"/>
      </c>
      <c r="U875" s="4">
        <f t="shared" si="174"/>
        <v/>
      </c>
    </row>
    <row r="876" spans="1:21" x14ac:dyDescent="0.3">
      <c r="A876" s="4">
        <f t="shared" si="175"/>
        <v/>
      </c>
      <c r="B876" s="4">
        <f>IF(C876=1,MAX(B$2:$B875)+1,IF(F876=0,"",B875))</f>
        <v/>
      </c>
      <c r="C876" s="4">
        <f>COUNTIF($F$2:$F876,F876)</f>
      </c>
      <c r="D876" s="4">
        <f>IF(F876=0,0,MAX($D$2:D875)+1)</f>
      </c>
      <c r="E876" s="4">
        <f>IF(H876=0,0,MAX($E$2:E875)+1)</f>
      </c>
      <c r="F876" s="119"/>
      <c r="G876" s="119"/>
      <c r="H876" s="119"/>
      <c r="I876" s="4">
        <f>IFERROR(VLOOKUP(H876,H$2:H875,1,FALSE),VLOOKUP(H876,H$478:H877,1,FALSE))</f>
      </c>
      <c r="J876" s="4">
        <f t="shared" si="168"/>
        <v/>
      </c>
      <c r="K876" s="4">
        <f t="shared" si="169"/>
        <v/>
      </c>
      <c r="L876" s="4">
        <f t="shared" si="170"/>
        <v/>
      </c>
      <c r="M876" s="5">
        <f t="shared" si="176"/>
        <v/>
      </c>
      <c r="N876" s="4">
        <f t="shared" si="171"/>
        <v/>
      </c>
      <c r="O876" s="4"/>
      <c r="P876" s="4">
        <f t="shared" si="172"/>
        <v/>
      </c>
      <c r="Q876" s="4">
        <f t="shared" si="173"/>
        <v/>
      </c>
      <c r="R876" s="4">
        <f t="shared" si="177"/>
      </c>
      <c r="S876" s="4">
        <f t="shared" si="178"/>
      </c>
      <c r="T876" s="4">
        <f t="shared" si="179"/>
      </c>
      <c r="U876" s="4">
        <f t="shared" si="174"/>
        <v/>
      </c>
    </row>
    <row r="877" spans="1:21" x14ac:dyDescent="0.3">
      <c r="A877" s="4">
        <f t="shared" si="175"/>
        <v/>
      </c>
      <c r="B877" s="4">
        <f>IF(C877=1,MAX(B$2:$B876)+1,IF(F877=0,"",B876))</f>
        <v/>
      </c>
      <c r="C877" s="4">
        <f>COUNTIF($F$2:$F877,F877)</f>
      </c>
      <c r="D877" s="4">
        <f>IF(F877=0,0,MAX($D$2:D876)+1)</f>
      </c>
      <c r="E877" s="4">
        <f>IF(H877=0,0,MAX($E$2:E876)+1)</f>
      </c>
      <c r="F877" s="119"/>
      <c r="G877" s="119"/>
      <c r="H877" s="119"/>
      <c r="I877" s="4">
        <f>IFERROR(VLOOKUP(H877,H$2:H876,1,FALSE),VLOOKUP(H877,H$478:H878,1,FALSE))</f>
      </c>
      <c r="J877" s="4">
        <f t="shared" si="168"/>
        <v/>
      </c>
      <c r="K877" s="4">
        <f t="shared" si="169"/>
        <v/>
      </c>
      <c r="L877" s="4">
        <f t="shared" si="170"/>
        <v/>
      </c>
      <c r="M877" s="5">
        <f t="shared" si="176"/>
        <v/>
      </c>
      <c r="N877" s="4">
        <f t="shared" si="171"/>
        <v/>
      </c>
      <c r="O877" s="4"/>
      <c r="P877" s="4">
        <f t="shared" si="172"/>
        <v/>
      </c>
      <c r="Q877" s="4">
        <f t="shared" si="173"/>
        <v/>
      </c>
      <c r="R877" s="4">
        <f t="shared" si="177"/>
      </c>
      <c r="S877" s="4">
        <f t="shared" si="178"/>
      </c>
      <c r="T877" s="4">
        <f t="shared" si="179"/>
      </c>
      <c r="U877" s="4">
        <f t="shared" si="174"/>
        <v/>
      </c>
    </row>
    <row r="878" spans="1:21" x14ac:dyDescent="0.3">
      <c r="A878" s="4">
        <f t="shared" si="175"/>
        <v/>
      </c>
      <c r="B878" s="4">
        <f>IF(C878=1,MAX(B$2:$B877)+1,IF(F878=0,"",B877))</f>
        <v/>
      </c>
      <c r="C878" s="4">
        <f>COUNTIF($F$2:$F878,F878)</f>
      </c>
      <c r="D878" s="4">
        <f>IF(F878=0,0,MAX($D$2:D877)+1)</f>
      </c>
      <c r="E878" s="4">
        <f>IF(H878=0,0,MAX($E$2:E877)+1)</f>
      </c>
      <c r="F878" s="119"/>
      <c r="G878" s="119"/>
      <c r="H878" s="119"/>
      <c r="I878" s="4">
        <f>IFERROR(VLOOKUP(H878,H$2:H877,1,FALSE),VLOOKUP(H878,H$478:H879,1,FALSE))</f>
      </c>
      <c r="J878" s="4">
        <f t="shared" si="168"/>
        <v/>
      </c>
      <c r="K878" s="4">
        <f t="shared" si="169"/>
        <v/>
      </c>
      <c r="L878" s="4">
        <f t="shared" si="170"/>
        <v/>
      </c>
      <c r="M878" s="5">
        <f t="shared" si="176"/>
        <v/>
      </c>
      <c r="N878" s="4">
        <f t="shared" si="171"/>
        <v/>
      </c>
      <c r="O878" s="4"/>
      <c r="P878" s="4">
        <f t="shared" si="172"/>
        <v/>
      </c>
      <c r="Q878" s="4">
        <f t="shared" si="173"/>
        <v/>
      </c>
      <c r="R878" s="4">
        <f t="shared" si="177"/>
      </c>
      <c r="S878" s="4">
        <f t="shared" si="178"/>
      </c>
      <c r="T878" s="4">
        <f t="shared" si="179"/>
      </c>
      <c r="U878" s="4">
        <f t="shared" si="174"/>
        <v/>
      </c>
    </row>
    <row r="879" spans="1:21" x14ac:dyDescent="0.3">
      <c r="A879" s="4">
        <f t="shared" si="175"/>
        <v/>
      </c>
      <c r="B879" s="4">
        <f>IF(C879=1,MAX(B$2:$B878)+1,IF(F879=0,"",B878))</f>
        <v/>
      </c>
      <c r="C879" s="4">
        <f>COUNTIF($F$2:$F879,F879)</f>
      </c>
      <c r="D879" s="4">
        <f>IF(F879=0,0,MAX($D$2:D878)+1)</f>
      </c>
      <c r="E879" s="4">
        <f>IF(H879=0,0,MAX($E$2:E878)+1)</f>
      </c>
      <c r="F879" s="119"/>
      <c r="G879" s="119"/>
      <c r="H879" s="119"/>
      <c r="I879" s="4">
        <f>IFERROR(VLOOKUP(H879,H$2:H878,1,FALSE),VLOOKUP(H879,H$478:H880,1,FALSE))</f>
      </c>
      <c r="J879" s="4">
        <f t="shared" si="168"/>
        <v/>
      </c>
      <c r="K879" s="4">
        <f t="shared" si="169"/>
        <v/>
      </c>
      <c r="L879" s="4">
        <f t="shared" si="170"/>
        <v/>
      </c>
      <c r="M879" s="5">
        <f t="shared" si="176"/>
        <v/>
      </c>
      <c r="N879" s="4">
        <f t="shared" si="171"/>
        <v/>
      </c>
      <c r="O879" s="4"/>
      <c r="P879" s="4">
        <f t="shared" si="172"/>
        <v/>
      </c>
      <c r="Q879" s="4">
        <f t="shared" si="173"/>
        <v/>
      </c>
      <c r="R879" s="4">
        <f t="shared" si="177"/>
      </c>
      <c r="S879" s="4">
        <f t="shared" si="178"/>
      </c>
      <c r="T879" s="4">
        <f t="shared" si="179"/>
      </c>
      <c r="U879" s="4">
        <f t="shared" si="174"/>
        <v/>
      </c>
    </row>
    <row r="880" spans="1:21" x14ac:dyDescent="0.3">
      <c r="A880" s="4">
        <f t="shared" si="175"/>
        <v/>
      </c>
      <c r="B880" s="4">
        <f>IF(C880=1,MAX(B$2:$B879)+1,IF(F880=0,"",B879))</f>
        <v/>
      </c>
      <c r="C880" s="4">
        <f>COUNTIF($F$2:$F880,F880)</f>
      </c>
      <c r="D880" s="4">
        <f>IF(F880=0,0,MAX($D$2:D879)+1)</f>
      </c>
      <c r="E880" s="4">
        <f>IF(H880=0,0,MAX($E$2:E879)+1)</f>
      </c>
      <c r="F880" s="119"/>
      <c r="G880" s="119"/>
      <c r="H880" s="119"/>
      <c r="I880" s="4">
        <f>IFERROR(VLOOKUP(H880,H$2:H879,1,FALSE),VLOOKUP(H880,H$478:H881,1,FALSE))</f>
      </c>
      <c r="J880" s="4">
        <f t="shared" si="168"/>
        <v/>
      </c>
      <c r="K880" s="4">
        <f t="shared" si="169"/>
        <v/>
      </c>
      <c r="L880" s="4">
        <f t="shared" si="170"/>
        <v/>
      </c>
      <c r="M880" s="5">
        <f t="shared" si="176"/>
        <v/>
      </c>
      <c r="N880" s="4">
        <f t="shared" si="171"/>
        <v/>
      </c>
      <c r="O880" s="4"/>
      <c r="P880" s="4">
        <f t="shared" si="172"/>
        <v/>
      </c>
      <c r="Q880" s="4">
        <f t="shared" si="173"/>
        <v/>
      </c>
      <c r="R880" s="4">
        <f t="shared" si="177"/>
      </c>
      <c r="S880" s="4">
        <f t="shared" si="178"/>
      </c>
      <c r="T880" s="4">
        <f t="shared" si="179"/>
      </c>
      <c r="U880" s="4">
        <f t="shared" si="174"/>
        <v/>
      </c>
    </row>
    <row r="881" spans="1:21" x14ac:dyDescent="0.3">
      <c r="A881" s="4">
        <f t="shared" si="175"/>
        <v/>
      </c>
      <c r="B881" s="4">
        <f>IF(C881=1,MAX(B$2:$B880)+1,IF(F881=0,"",B880))</f>
        <v/>
      </c>
      <c r="C881" s="4">
        <f>COUNTIF($F$2:$F881,F881)</f>
      </c>
      <c r="D881" s="4">
        <f>IF(F881=0,0,MAX($D$2:D880)+1)</f>
      </c>
      <c r="E881" s="4">
        <f>IF(H881=0,0,MAX($E$2:E880)+1)</f>
      </c>
      <c r="F881" s="59"/>
      <c r="G881" s="59"/>
      <c r="H881" s="59"/>
      <c r="I881" s="4">
        <f>IFERROR(VLOOKUP(H881,H$2:H880,1,FALSE),VLOOKUP(H881,H$478:H882,1,FALSE))</f>
      </c>
      <c r="J881" s="4">
        <f t="shared" si="168"/>
        <v/>
      </c>
      <c r="K881" s="4">
        <f t="shared" si="169"/>
        <v/>
      </c>
      <c r="L881" s="4">
        <f t="shared" si="170"/>
        <v/>
      </c>
      <c r="M881" s="5">
        <f t="shared" si="176"/>
        <v/>
      </c>
      <c r="N881" s="4">
        <f t="shared" si="171"/>
        <v/>
      </c>
      <c r="O881" s="4"/>
      <c r="P881" s="4">
        <f t="shared" si="172"/>
        <v/>
      </c>
      <c r="Q881" s="4">
        <f t="shared" si="173"/>
        <v/>
      </c>
      <c r="R881" s="4">
        <f t="shared" si="177"/>
      </c>
      <c r="S881" s="4">
        <f t="shared" si="178"/>
      </c>
      <c r="T881" s="4">
        <f t="shared" si="179"/>
      </c>
      <c r="U881" s="4">
        <f t="shared" si="174"/>
        <v/>
      </c>
    </row>
    <row r="882" spans="1:21" x14ac:dyDescent="0.3">
      <c r="A882" s="4">
        <f t="shared" si="175"/>
        <v/>
      </c>
      <c r="B882" s="4">
        <f>IF(C882=1,MAX(B$2:$B881)+1,IF(F882=0,"",B881))</f>
        <v/>
      </c>
      <c r="C882" s="4">
        <f>COUNTIF($F$2:$F882,F882)</f>
      </c>
      <c r="D882" s="4">
        <f>IF(F882=0,0,MAX($D$2:D881)+1)</f>
      </c>
      <c r="E882" s="4">
        <f>IF(H882=0,0,MAX($E$2:E881)+1)</f>
      </c>
      <c r="F882" s="59"/>
      <c r="G882" s="59"/>
      <c r="H882" s="59"/>
      <c r="I882" s="4">
        <f>IFERROR(VLOOKUP(H882,H$2:H881,1,FALSE),VLOOKUP(H882,H$478:H883,1,FALSE))</f>
      </c>
      <c r="J882" s="4">
        <f t="shared" si="168"/>
        <v/>
      </c>
      <c r="K882" s="4">
        <f t="shared" si="169"/>
        <v/>
      </c>
      <c r="L882" s="4">
        <f t="shared" si="170"/>
        <v/>
      </c>
      <c r="M882" s="5">
        <f t="shared" si="176"/>
        <v/>
      </c>
      <c r="N882" s="4">
        <f t="shared" si="171"/>
        <v/>
      </c>
      <c r="O882" s="4"/>
      <c r="P882" s="4">
        <f t="shared" si="172"/>
        <v/>
      </c>
      <c r="Q882" s="4">
        <f t="shared" si="173"/>
        <v/>
      </c>
      <c r="R882" s="4">
        <f t="shared" si="177"/>
      </c>
      <c r="S882" s="4">
        <f t="shared" si="178"/>
      </c>
      <c r="T882" s="4">
        <f t="shared" si="179"/>
      </c>
      <c r="U882" s="4">
        <f t="shared" si="174"/>
        <v/>
      </c>
    </row>
    <row r="883" spans="1:21" x14ac:dyDescent="0.3">
      <c r="A883" s="4">
        <f t="shared" si="175"/>
        <v/>
      </c>
      <c r="B883" s="4">
        <f>IF(C883=1,MAX(B$2:$B882)+1,IF(F883=0,"",B882))</f>
        <v/>
      </c>
      <c r="C883" s="4">
        <f>COUNTIF($F$2:$F883,F883)</f>
      </c>
      <c r="D883" s="4">
        <f>IF(F883=0,0,MAX($D$2:D882)+1)</f>
      </c>
      <c r="E883" s="4">
        <f>IF(H883=0,0,MAX($E$2:E882)+1)</f>
      </c>
      <c r="F883" s="59"/>
      <c r="G883" s="59"/>
      <c r="H883" s="59"/>
      <c r="I883" s="4">
        <f>IFERROR(VLOOKUP(H883,H$2:H882,1,FALSE),VLOOKUP(H883,H$478:H884,1,FALSE))</f>
      </c>
      <c r="J883" s="4">
        <f t="shared" si="168"/>
        <v/>
      </c>
      <c r="K883" s="4">
        <f t="shared" si="169"/>
        <v/>
      </c>
      <c r="L883" s="4">
        <f t="shared" si="170"/>
        <v/>
      </c>
      <c r="M883" s="5">
        <f t="shared" si="176"/>
        <v/>
      </c>
      <c r="N883" s="4">
        <f t="shared" si="171"/>
        <v/>
      </c>
      <c r="O883" s="4"/>
      <c r="P883" s="4">
        <f t="shared" si="172"/>
        <v/>
      </c>
      <c r="Q883" s="4">
        <f t="shared" si="173"/>
        <v/>
      </c>
      <c r="R883" s="4">
        <f t="shared" si="177"/>
      </c>
      <c r="S883" s="4">
        <f t="shared" si="178"/>
      </c>
      <c r="T883" s="4">
        <f t="shared" si="179"/>
      </c>
      <c r="U883" s="4">
        <f t="shared" si="174"/>
        <v/>
      </c>
    </row>
    <row r="884" spans="1:21" x14ac:dyDescent="0.3">
      <c r="A884" s="4">
        <f t="shared" si="175"/>
        <v/>
      </c>
      <c r="B884" s="4">
        <f>IF(C884=1,MAX(B$2:$B883)+1,IF(F884=0,"",B883))</f>
        <v/>
      </c>
      <c r="C884" s="4">
        <f>COUNTIF($F$2:$F884,F884)</f>
      </c>
      <c r="D884" s="4">
        <f>IF(F884=0,0,MAX($D$2:D883)+1)</f>
      </c>
      <c r="E884" s="4">
        <f>IF(H884=0,0,MAX($E$2:E883)+1)</f>
      </c>
      <c r="F884" s="59"/>
      <c r="G884" s="59"/>
      <c r="H884" s="59"/>
      <c r="I884" s="4">
        <f>IFERROR(VLOOKUP(H884,H$2:H883,1,FALSE),VLOOKUP(H884,H$478:H885,1,FALSE))</f>
      </c>
      <c r="J884" s="4">
        <f t="shared" si="168"/>
        <v/>
      </c>
      <c r="K884" s="4">
        <f t="shared" si="169"/>
        <v/>
      </c>
      <c r="L884" s="4">
        <f t="shared" si="170"/>
        <v/>
      </c>
      <c r="M884" s="5">
        <f t="shared" si="176"/>
        <v/>
      </c>
      <c r="N884" s="4">
        <f t="shared" si="171"/>
        <v/>
      </c>
      <c r="O884" s="4"/>
      <c r="P884" s="4">
        <f t="shared" si="172"/>
        <v/>
      </c>
      <c r="Q884" s="4">
        <f t="shared" si="173"/>
        <v/>
      </c>
      <c r="R884" s="4">
        <f t="shared" si="177"/>
      </c>
      <c r="S884" s="4">
        <f t="shared" si="178"/>
      </c>
      <c r="T884" s="4">
        <f t="shared" si="179"/>
      </c>
      <c r="U884" s="4">
        <f t="shared" si="174"/>
        <v/>
      </c>
    </row>
    <row r="885" spans="1:21" x14ac:dyDescent="0.3">
      <c r="A885" s="4">
        <f t="shared" si="175"/>
        <v/>
      </c>
      <c r="B885" s="4">
        <f>IF(C885=1,MAX(B$2:$B884)+1,IF(F885=0,"",B884))</f>
        <v/>
      </c>
      <c r="C885" s="4">
        <f>COUNTIF($F$2:$F885,F885)</f>
      </c>
      <c r="D885" s="4">
        <f>IF(F885=0,0,MAX($D$2:D884)+1)</f>
      </c>
      <c r="E885" s="4">
        <f>IF(H885=0,0,MAX($E$2:E884)+1)</f>
      </c>
      <c r="F885" s="59"/>
      <c r="G885" s="59"/>
      <c r="H885" s="59"/>
      <c r="I885" s="4">
        <f>IFERROR(VLOOKUP(H885,H$2:H884,1,FALSE),VLOOKUP(H885,H$478:H886,1,FALSE))</f>
      </c>
      <c r="J885" s="4">
        <f t="shared" si="168"/>
        <v/>
      </c>
      <c r="K885" s="4">
        <f t="shared" si="169"/>
        <v/>
      </c>
      <c r="L885" s="4">
        <f t="shared" si="170"/>
        <v/>
      </c>
      <c r="M885" s="5">
        <f t="shared" si="176"/>
        <v/>
      </c>
      <c r="N885" s="4">
        <f t="shared" si="171"/>
        <v/>
      </c>
      <c r="O885" s="4"/>
      <c r="P885" s="4">
        <f t="shared" si="172"/>
        <v/>
      </c>
      <c r="Q885" s="4">
        <f t="shared" si="173"/>
        <v/>
      </c>
      <c r="R885" s="4">
        <f t="shared" si="177"/>
      </c>
      <c r="S885" s="4">
        <f t="shared" si="178"/>
      </c>
      <c r="T885" s="4">
        <f t="shared" si="179"/>
      </c>
      <c r="U885" s="4">
        <f t="shared" si="174"/>
        <v/>
      </c>
    </row>
    <row r="886" spans="1:21" x14ac:dyDescent="0.3">
      <c r="A886" s="4">
        <f t="shared" si="175"/>
        <v/>
      </c>
      <c r="B886" s="4">
        <f>IF(C886=1,MAX(B$2:$B885)+1,IF(F886=0,"",B885))</f>
        <v/>
      </c>
      <c r="C886" s="4">
        <f>COUNTIF($F$2:$F886,F886)</f>
      </c>
      <c r="D886" s="4">
        <f>IF(F886=0,0,MAX($D$2:D885)+1)</f>
      </c>
      <c r="E886" s="4">
        <f>IF(H886=0,0,MAX($E$2:E885)+1)</f>
      </c>
      <c r="F886" s="59"/>
      <c r="G886" s="59"/>
      <c r="H886" s="59"/>
      <c r="I886" s="4">
        <f>IFERROR(VLOOKUP(H886,H$2:H885,1,FALSE),VLOOKUP(H886,H$478:H887,1,FALSE))</f>
      </c>
      <c r="J886" s="4">
        <f t="shared" si="168"/>
        <v/>
      </c>
      <c r="K886" s="4">
        <f t="shared" si="169"/>
        <v/>
      </c>
      <c r="L886" s="4">
        <f t="shared" si="170"/>
        <v/>
      </c>
      <c r="M886" s="5">
        <f t="shared" si="176"/>
        <v/>
      </c>
      <c r="N886" s="4">
        <f t="shared" si="171"/>
        <v/>
      </c>
      <c r="O886" s="4"/>
      <c r="P886" s="4">
        <f t="shared" si="172"/>
        <v/>
      </c>
      <c r="Q886" s="4">
        <f t="shared" si="173"/>
        <v/>
      </c>
      <c r="R886" s="4">
        <f t="shared" si="177"/>
      </c>
      <c r="S886" s="4">
        <f t="shared" si="178"/>
      </c>
      <c r="T886" s="4">
        <f t="shared" si="179"/>
      </c>
      <c r="U886" s="4">
        <f t="shared" si="174"/>
        <v/>
      </c>
    </row>
    <row r="887" spans="1:21" x14ac:dyDescent="0.3">
      <c r="A887" s="4">
        <f t="shared" si="175"/>
        <v/>
      </c>
      <c r="B887" s="4">
        <f>IF(C887=1,MAX(B$2:$B886)+1,IF(F887=0,"",B886))</f>
        <v/>
      </c>
      <c r="C887" s="4">
        <f>COUNTIF($F$2:$F887,F887)</f>
      </c>
      <c r="D887" s="4">
        <f>IF(F887=0,0,MAX($D$2:D886)+1)</f>
      </c>
      <c r="E887" s="4">
        <f>IF(H887=0,0,MAX($E$2:E886)+1)</f>
      </c>
      <c r="F887" s="59"/>
      <c r="G887" s="59"/>
      <c r="H887" s="59"/>
      <c r="I887" s="4">
        <f>IFERROR(VLOOKUP(H887,H$2:H886,1,FALSE),VLOOKUP(H887,H$478:H888,1,FALSE))</f>
      </c>
      <c r="J887" s="4">
        <f t="shared" si="168"/>
        <v/>
      </c>
      <c r="K887" s="4">
        <f t="shared" si="169"/>
        <v/>
      </c>
      <c r="L887" s="4">
        <f t="shared" si="170"/>
        <v/>
      </c>
      <c r="M887" s="5">
        <f t="shared" si="176"/>
        <v/>
      </c>
      <c r="N887" s="4">
        <f t="shared" si="171"/>
        <v/>
      </c>
      <c r="O887" s="4"/>
      <c r="P887" s="4">
        <f t="shared" si="172"/>
        <v/>
      </c>
      <c r="Q887" s="4">
        <f t="shared" si="173"/>
        <v/>
      </c>
      <c r="R887" s="4">
        <f t="shared" si="177"/>
      </c>
      <c r="S887" s="4">
        <f t="shared" si="178"/>
      </c>
      <c r="T887" s="4">
        <f t="shared" si="179"/>
      </c>
      <c r="U887" s="4">
        <f t="shared" si="174"/>
        <v/>
      </c>
    </row>
    <row r="888" spans="1:21" x14ac:dyDescent="0.3">
      <c r="A888" s="4">
        <f t="shared" si="175"/>
        <v/>
      </c>
      <c r="B888" s="4">
        <f>IF(C888=1,MAX(B$2:$B887)+1,IF(F888=0,"",B887))</f>
        <v/>
      </c>
      <c r="C888" s="4">
        <f>COUNTIF($F$2:$F888,F888)</f>
      </c>
      <c r="D888" s="4">
        <f>IF(F888=0,0,MAX($D$2:D887)+1)</f>
      </c>
      <c r="E888" s="4">
        <f>IF(H888=0,0,MAX($E$2:E887)+1)</f>
      </c>
      <c r="F888" s="59"/>
      <c r="G888" s="59"/>
      <c r="H888" s="59"/>
      <c r="I888" s="4">
        <f>IFERROR(VLOOKUP(H888,H$2:H887,1,FALSE),VLOOKUP(H888,H$478:H889,1,FALSE))</f>
      </c>
      <c r="J888" s="4">
        <f t="shared" si="168"/>
        <v/>
      </c>
      <c r="K888" s="4">
        <f t="shared" si="169"/>
        <v/>
      </c>
      <c r="L888" s="4">
        <f t="shared" si="170"/>
        <v/>
      </c>
      <c r="M888" s="5">
        <f t="shared" si="176"/>
        <v/>
      </c>
      <c r="N888" s="4">
        <f t="shared" si="171"/>
        <v/>
      </c>
      <c r="O888" s="4"/>
      <c r="P888" s="4">
        <f t="shared" si="172"/>
        <v/>
      </c>
      <c r="Q888" s="4">
        <f t="shared" si="173"/>
        <v/>
      </c>
      <c r="R888" s="4">
        <f t="shared" si="177"/>
      </c>
      <c r="S888" s="4">
        <f t="shared" si="178"/>
      </c>
      <c r="T888" s="4">
        <f t="shared" si="179"/>
      </c>
      <c r="U888" s="4">
        <f t="shared" si="174"/>
        <v/>
      </c>
    </row>
    <row r="889" spans="1:21" x14ac:dyDescent="0.3">
      <c r="A889" s="4">
        <f t="shared" si="175"/>
        <v/>
      </c>
      <c r="B889" s="4">
        <f>IF(C889=1,MAX(B$2:$B888)+1,IF(F889=0,"",B888))</f>
        <v/>
      </c>
      <c r="C889" s="4">
        <f>COUNTIF($F$2:$F889,F889)</f>
      </c>
      <c r="D889" s="4">
        <f>IF(F889=0,0,MAX($D$2:D888)+1)</f>
      </c>
      <c r="E889" s="4">
        <f>IF(H889=0,0,MAX($E$2:E888)+1)</f>
      </c>
      <c r="F889" s="59"/>
      <c r="G889" s="59"/>
      <c r="H889" s="59"/>
      <c r="I889" s="4">
        <f>IFERROR(VLOOKUP(H889,H$2:H888,1,FALSE),VLOOKUP(H889,H$478:H890,1,FALSE))</f>
      </c>
      <c r="J889" s="4">
        <f t="shared" si="168"/>
        <v/>
      </c>
      <c r="K889" s="4">
        <f t="shared" si="169"/>
        <v/>
      </c>
      <c r="L889" s="4">
        <f t="shared" si="170"/>
        <v/>
      </c>
      <c r="M889" s="5">
        <f t="shared" si="176"/>
        <v/>
      </c>
      <c r="N889" s="4">
        <f t="shared" si="171"/>
        <v/>
      </c>
      <c r="O889" s="4"/>
      <c r="P889" s="4">
        <f t="shared" si="172"/>
        <v/>
      </c>
      <c r="Q889" s="4">
        <f t="shared" si="173"/>
        <v/>
      </c>
      <c r="R889" s="4">
        <f t="shared" si="177"/>
      </c>
      <c r="S889" s="4">
        <f t="shared" si="178"/>
      </c>
      <c r="T889" s="4">
        <f t="shared" si="179"/>
      </c>
      <c r="U889" s="4">
        <f t="shared" si="174"/>
        <v/>
      </c>
    </row>
    <row r="890" spans="1:21" x14ac:dyDescent="0.3">
      <c r="A890" s="4">
        <f t="shared" si="175"/>
        <v/>
      </c>
      <c r="B890" s="4">
        <f>IF(C890=1,MAX(B$2:$B889)+1,IF(F890=0,"",B889))</f>
        <v/>
      </c>
      <c r="C890" s="4">
        <f>COUNTIF($F$2:$F890,F890)</f>
      </c>
      <c r="D890" s="4">
        <f>IF(F890=0,0,MAX($D$2:D889)+1)</f>
      </c>
      <c r="E890" s="4">
        <f>IF(H890=0,0,MAX($E$2:E889)+1)</f>
      </c>
      <c r="F890" s="59"/>
      <c r="G890" s="59"/>
      <c r="H890" s="59"/>
      <c r="I890" s="4">
        <f>IFERROR(VLOOKUP(H890,H$2:H889,1,FALSE),VLOOKUP(H890,H$478:H891,1,FALSE))</f>
      </c>
      <c r="J890" s="4">
        <f t="shared" si="168"/>
        <v/>
      </c>
      <c r="K890" s="4">
        <f t="shared" si="169"/>
        <v/>
      </c>
      <c r="L890" s="4">
        <f t="shared" si="170"/>
        <v/>
      </c>
      <c r="M890" s="5">
        <f t="shared" si="176"/>
        <v/>
      </c>
      <c r="N890" s="4">
        <f t="shared" si="171"/>
        <v/>
      </c>
      <c r="O890" s="4"/>
      <c r="P890" s="4">
        <f t="shared" si="172"/>
        <v/>
      </c>
      <c r="Q890" s="4">
        <f t="shared" si="173"/>
        <v/>
      </c>
      <c r="R890" s="4">
        <f t="shared" si="177"/>
      </c>
      <c r="S890" s="4">
        <f t="shared" si="178"/>
      </c>
      <c r="T890" s="4">
        <f t="shared" si="179"/>
      </c>
      <c r="U890" s="4">
        <f t="shared" si="174"/>
        <v/>
      </c>
    </row>
    <row r="891" spans="1:21" x14ac:dyDescent="0.3">
      <c r="A891" s="4">
        <f t="shared" si="175"/>
        <v/>
      </c>
      <c r="B891" s="4">
        <f>IF(C891=1,MAX(B$2:$B890)+1,IF(F891=0,"",B890))</f>
        <v/>
      </c>
      <c r="C891" s="4">
        <f>COUNTIF($F$2:$F891,F891)</f>
      </c>
      <c r="D891" s="4">
        <f>IF(F891=0,0,MAX($D$2:D890)+1)</f>
      </c>
      <c r="E891" s="4">
        <f>IF(H891=0,0,MAX($E$2:E890)+1)</f>
      </c>
      <c r="F891" s="59"/>
      <c r="G891" s="59"/>
      <c r="H891" s="59"/>
      <c r="I891" s="4">
        <f>IFERROR(VLOOKUP(H891,H$2:H890,1,FALSE),VLOOKUP(H891,H$478:H892,1,FALSE))</f>
      </c>
      <c r="J891" s="4">
        <f t="shared" si="168"/>
        <v/>
      </c>
      <c r="K891" s="4">
        <f t="shared" si="169"/>
        <v/>
      </c>
      <c r="L891" s="4">
        <f t="shared" si="170"/>
        <v/>
      </c>
      <c r="M891" s="5">
        <f t="shared" si="176"/>
        <v/>
      </c>
      <c r="N891" s="4">
        <f t="shared" si="171"/>
        <v/>
      </c>
      <c r="O891" s="4"/>
      <c r="P891" s="4">
        <f t="shared" si="172"/>
        <v/>
      </c>
      <c r="Q891" s="4">
        <f t="shared" si="173"/>
        <v/>
      </c>
      <c r="R891" s="4">
        <f t="shared" si="177"/>
      </c>
      <c r="S891" s="4">
        <f t="shared" si="178"/>
      </c>
      <c r="T891" s="4">
        <f t="shared" si="179"/>
      </c>
      <c r="U891" s="4">
        <f t="shared" si="174"/>
        <v/>
      </c>
    </row>
    <row r="892" spans="1:21" x14ac:dyDescent="0.3">
      <c r="A892" s="4">
        <f t="shared" si="175"/>
        <v/>
      </c>
      <c r="B892" s="4">
        <f>IF(C892=1,MAX(B$2:$B891)+1,IF(F892=0,"",B891))</f>
        <v/>
      </c>
      <c r="C892" s="4">
        <f>COUNTIF($F$2:$F892,F892)</f>
      </c>
      <c r="D892" s="4">
        <f>IF(F892=0,0,MAX($D$2:D891)+1)</f>
      </c>
      <c r="E892" s="4">
        <f>IF(H892=0,0,MAX($E$2:E891)+1)</f>
      </c>
      <c r="F892" s="59"/>
      <c r="G892" s="59"/>
      <c r="H892" s="59"/>
      <c r="I892" s="4">
        <f>IFERROR(VLOOKUP(H892,H$2:H891,1,FALSE),VLOOKUP(H892,H$478:H893,1,FALSE))</f>
      </c>
      <c r="J892" s="4">
        <f t="shared" si="168"/>
        <v/>
      </c>
      <c r="K892" s="4">
        <f t="shared" si="169"/>
        <v/>
      </c>
      <c r="L892" s="4">
        <f t="shared" si="170"/>
        <v/>
      </c>
      <c r="M892" s="5">
        <f t="shared" si="176"/>
        <v/>
      </c>
      <c r="N892" s="4">
        <f t="shared" si="171"/>
        <v/>
      </c>
      <c r="O892" s="4"/>
      <c r="P892" s="4">
        <f t="shared" si="172"/>
        <v/>
      </c>
      <c r="Q892" s="4">
        <f t="shared" si="173"/>
        <v/>
      </c>
      <c r="R892" s="4">
        <f t="shared" si="177"/>
      </c>
      <c r="S892" s="4">
        <f t="shared" si="178"/>
      </c>
      <c r="T892" s="4">
        <f t="shared" si="179"/>
      </c>
      <c r="U892" s="4">
        <f t="shared" si="174"/>
        <v/>
      </c>
    </row>
    <row r="893" spans="1:21" x14ac:dyDescent="0.3">
      <c r="A893" s="4">
        <f t="shared" si="175"/>
        <v/>
      </c>
      <c r="B893" s="4">
        <f>IF(C893=1,MAX(B$2:$B892)+1,IF(F893=0,"",B892))</f>
        <v/>
      </c>
      <c r="C893" s="4">
        <f>COUNTIF($F$2:$F893,F893)</f>
      </c>
      <c r="D893" s="4">
        <f>IF(F893=0,0,MAX($D$2:D892)+1)</f>
      </c>
      <c r="E893" s="4">
        <f>IF(H893=0,0,MAX($E$2:E892)+1)</f>
      </c>
      <c r="F893" s="59"/>
      <c r="G893" s="59"/>
      <c r="H893" s="59"/>
      <c r="I893" s="4">
        <f>IFERROR(VLOOKUP(H893,H$2:H892,1,FALSE),VLOOKUP(H893,H$478:H894,1,FALSE))</f>
      </c>
      <c r="J893" s="4">
        <f t="shared" si="168"/>
        <v/>
      </c>
      <c r="K893" s="4">
        <f t="shared" si="169"/>
        <v/>
      </c>
      <c r="L893" s="4">
        <f t="shared" si="170"/>
        <v/>
      </c>
      <c r="M893" s="5">
        <f t="shared" si="176"/>
        <v/>
      </c>
      <c r="N893" s="4">
        <f t="shared" si="171"/>
        <v/>
      </c>
      <c r="O893" s="4"/>
      <c r="P893" s="4">
        <f t="shared" si="172"/>
        <v/>
      </c>
      <c r="Q893" s="4">
        <f t="shared" si="173"/>
        <v/>
      </c>
      <c r="R893" s="4">
        <f t="shared" si="177"/>
      </c>
      <c r="S893" s="4">
        <f t="shared" si="178"/>
      </c>
      <c r="T893" s="4">
        <f t="shared" si="179"/>
      </c>
      <c r="U893" s="4">
        <f t="shared" si="174"/>
        <v/>
      </c>
    </row>
    <row r="894" spans="1:21" x14ac:dyDescent="0.3">
      <c r="A894" s="4">
        <f t="shared" si="175"/>
        <v/>
      </c>
      <c r="B894" s="4">
        <f>IF(C894=1,MAX(B$2:$B893)+1,IF(F894=0,"",B893))</f>
        <v/>
      </c>
      <c r="C894" s="4">
        <f>COUNTIF($F$2:$F894,F894)</f>
      </c>
      <c r="D894" s="4">
        <f>IF(F894=0,0,MAX($D$2:D893)+1)</f>
      </c>
      <c r="E894" s="4">
        <f>IF(H894=0,0,MAX($E$2:E893)+1)</f>
      </c>
      <c r="F894" s="59"/>
      <c r="G894" s="59"/>
      <c r="H894" s="59"/>
      <c r="I894" s="4">
        <f>IFERROR(VLOOKUP(H894,H$2:H893,1,FALSE),VLOOKUP(H894,H$478:H895,1,FALSE))</f>
      </c>
      <c r="J894" s="4">
        <f t="shared" si="168"/>
        <v/>
      </c>
      <c r="K894" s="4">
        <f t="shared" si="169"/>
        <v/>
      </c>
      <c r="L894" s="4">
        <f t="shared" si="170"/>
        <v/>
      </c>
      <c r="M894" s="5">
        <f t="shared" si="176"/>
        <v/>
      </c>
      <c r="N894" s="4">
        <f t="shared" si="171"/>
        <v/>
      </c>
      <c r="O894" s="4"/>
      <c r="P894" s="4">
        <f t="shared" si="172"/>
        <v/>
      </c>
      <c r="Q894" s="4">
        <f t="shared" si="173"/>
        <v/>
      </c>
      <c r="R894" s="4">
        <f t="shared" si="177"/>
      </c>
      <c r="S894" s="4">
        <f t="shared" si="178"/>
      </c>
      <c r="T894" s="4">
        <f t="shared" si="179"/>
      </c>
      <c r="U894" s="4">
        <f t="shared" si="174"/>
        <v/>
      </c>
    </row>
    <row r="895" spans="1:21" x14ac:dyDescent="0.3">
      <c r="A895" s="4">
        <f t="shared" si="175"/>
        <v/>
      </c>
      <c r="B895" s="4">
        <f>IF(C895=1,MAX(B$2:$B894)+1,IF(F895=0,"",B894))</f>
        <v/>
      </c>
      <c r="C895" s="4">
        <f>COUNTIF($F$2:$F895,F895)</f>
      </c>
      <c r="D895" s="4">
        <f>IF(F895=0,0,MAX($D$2:D894)+1)</f>
      </c>
      <c r="E895" s="4">
        <f>IF(H895=0,0,MAX($E$2:E894)+1)</f>
      </c>
      <c r="F895" s="59"/>
      <c r="G895" s="59"/>
      <c r="H895" s="59"/>
      <c r="I895" s="4">
        <f>IFERROR(VLOOKUP(H895,H$2:H894,1,FALSE),VLOOKUP(H895,H$478:H896,1,FALSE))</f>
      </c>
      <c r="J895" s="4">
        <f t="shared" si="168"/>
        <v/>
      </c>
      <c r="K895" s="4">
        <f t="shared" si="169"/>
        <v/>
      </c>
      <c r="L895" s="4">
        <f t="shared" si="170"/>
        <v/>
      </c>
      <c r="M895" s="5">
        <f t="shared" si="176"/>
        <v/>
      </c>
      <c r="N895" s="4">
        <f t="shared" si="171"/>
        <v/>
      </c>
      <c r="O895" s="4"/>
      <c r="P895" s="4">
        <f t="shared" si="172"/>
        <v/>
      </c>
      <c r="Q895" s="4">
        <f t="shared" si="173"/>
        <v/>
      </c>
      <c r="R895" s="4">
        <f t="shared" si="177"/>
      </c>
      <c r="S895" s="4">
        <f t="shared" si="178"/>
      </c>
      <c r="T895" s="4">
        <f t="shared" si="179"/>
      </c>
      <c r="U895" s="4">
        <f t="shared" si="174"/>
        <v/>
      </c>
    </row>
    <row r="896" spans="1:21" x14ac:dyDescent="0.3">
      <c r="A896" s="4">
        <f t="shared" si="175"/>
        <v/>
      </c>
      <c r="B896" s="4">
        <f>IF(C896=1,MAX(B$2:$B895)+1,IF(F896=0,"",B895))</f>
        <v/>
      </c>
      <c r="C896" s="4">
        <f>COUNTIF($F$2:$F896,F896)</f>
      </c>
      <c r="D896" s="4">
        <f>IF(F896=0,0,MAX($D$2:D895)+1)</f>
      </c>
      <c r="E896" s="4">
        <f>IF(H896=0,0,MAX($E$2:E895)+1)</f>
      </c>
      <c r="F896" s="59"/>
      <c r="G896" s="59"/>
      <c r="H896" s="59"/>
      <c r="I896" s="4">
        <f>IFERROR(VLOOKUP(H896,H$2:H895,1,FALSE),VLOOKUP(H896,H$478:H897,1,FALSE))</f>
      </c>
      <c r="J896" s="4">
        <f t="shared" si="168"/>
        <v/>
      </c>
      <c r="K896" s="4">
        <f t="shared" si="169"/>
        <v/>
      </c>
      <c r="L896" s="4">
        <f t="shared" si="170"/>
        <v/>
      </c>
      <c r="M896" s="5">
        <f t="shared" si="176"/>
        <v/>
      </c>
      <c r="N896" s="4">
        <f t="shared" si="171"/>
        <v/>
      </c>
      <c r="O896" s="4"/>
      <c r="P896" s="4">
        <f t="shared" si="172"/>
        <v/>
      </c>
      <c r="Q896" s="4">
        <f t="shared" si="173"/>
        <v/>
      </c>
      <c r="R896" s="4">
        <f t="shared" si="177"/>
      </c>
      <c r="S896" s="4">
        <f t="shared" si="178"/>
      </c>
      <c r="T896" s="4">
        <f t="shared" si="179"/>
      </c>
      <c r="U896" s="4">
        <f t="shared" si="174"/>
        <v/>
      </c>
    </row>
    <row r="897" spans="1:21" x14ac:dyDescent="0.3">
      <c r="A897" s="4">
        <f t="shared" si="175"/>
        <v/>
      </c>
      <c r="B897" s="4">
        <f>IF(C897=1,MAX(B$2:$B896)+1,IF(F897=0,"",B896))</f>
        <v/>
      </c>
      <c r="C897" s="4">
        <f>COUNTIF($F$2:$F897,F897)</f>
      </c>
      <c r="D897" s="4">
        <f>IF(F897=0,0,MAX($D$2:D896)+1)</f>
      </c>
      <c r="E897" s="4">
        <f>IF(H897=0,0,MAX($E$2:E896)+1)</f>
      </c>
      <c r="F897" s="59"/>
      <c r="G897" s="59"/>
      <c r="H897" s="59"/>
      <c r="I897" s="4">
        <f>IFERROR(VLOOKUP(H897,H$2:H896,1,FALSE),VLOOKUP(H897,H$478:H898,1,FALSE))</f>
      </c>
      <c r="J897" s="4">
        <f t="shared" si="168"/>
        <v/>
      </c>
      <c r="K897" s="4">
        <f t="shared" si="169"/>
        <v/>
      </c>
      <c r="L897" s="4">
        <f t="shared" si="170"/>
        <v/>
      </c>
      <c r="M897" s="5">
        <f t="shared" si="176"/>
        <v/>
      </c>
      <c r="N897" s="4">
        <f t="shared" si="171"/>
        <v/>
      </c>
      <c r="O897" s="4"/>
      <c r="P897" s="4">
        <f t="shared" si="172"/>
        <v/>
      </c>
      <c r="Q897" s="4">
        <f t="shared" si="173"/>
        <v/>
      </c>
      <c r="R897" s="4">
        <f t="shared" si="177"/>
      </c>
      <c r="S897" s="4">
        <f t="shared" si="178"/>
      </c>
      <c r="T897" s="4">
        <f t="shared" si="179"/>
      </c>
      <c r="U897" s="4">
        <f t="shared" si="174"/>
        <v/>
      </c>
    </row>
    <row r="898" spans="1:21" x14ac:dyDescent="0.3">
      <c r="A898" s="4">
        <f t="shared" si="175"/>
        <v/>
      </c>
      <c r="B898" s="4">
        <f>IF(C898=1,MAX(B$2:$B897)+1,IF(F898=0,"",B897))</f>
        <v/>
      </c>
      <c r="C898" s="4">
        <f>COUNTIF($F$2:$F898,F898)</f>
      </c>
      <c r="D898" s="4">
        <f>IF(F898=0,0,MAX($D$2:D897)+1)</f>
      </c>
      <c r="E898" s="4">
        <f>IF(H898=0,0,MAX($E$2:E897)+1)</f>
      </c>
      <c r="F898" s="59"/>
      <c r="G898" s="59"/>
      <c r="H898" s="59"/>
      <c r="I898" s="4">
        <f>IFERROR(VLOOKUP(H898,H$2:H897,1,FALSE),VLOOKUP(H898,H$478:H899,1,FALSE))</f>
      </c>
      <c r="J898" s="4">
        <f t="shared" si="168"/>
        <v/>
      </c>
      <c r="K898" s="4">
        <f t="shared" si="169"/>
        <v/>
      </c>
      <c r="L898" s="4">
        <f t="shared" si="170"/>
        <v/>
      </c>
      <c r="M898" s="5">
        <f t="shared" si="176"/>
        <v/>
      </c>
      <c r="N898" s="4">
        <f t="shared" si="171"/>
        <v/>
      </c>
      <c r="O898" s="4"/>
      <c r="P898" s="4">
        <f t="shared" si="172"/>
        <v/>
      </c>
      <c r="Q898" s="4">
        <f t="shared" si="173"/>
        <v/>
      </c>
      <c r="R898" s="4">
        <f t="shared" si="177"/>
      </c>
      <c r="S898" s="4">
        <f t="shared" si="178"/>
      </c>
      <c r="T898" s="4">
        <f t="shared" si="179"/>
      </c>
      <c r="U898" s="4">
        <f t="shared" si="174"/>
        <v/>
      </c>
    </row>
    <row r="899" spans="1:21" x14ac:dyDescent="0.3">
      <c r="A899" s="4">
        <f t="shared" si="175"/>
        <v/>
      </c>
      <c r="B899" s="4">
        <f>IF(C899=1,MAX(B$2:$B898)+1,IF(F899=0,"",B898))</f>
        <v/>
      </c>
      <c r="C899" s="4">
        <f>COUNTIF($F$2:$F899,F899)</f>
      </c>
      <c r="D899" s="4">
        <f>IF(F899=0,0,MAX($D$2:D898)+1)</f>
      </c>
      <c r="E899" s="4">
        <f>IF(H899=0,0,MAX($E$2:E898)+1)</f>
      </c>
      <c r="F899" s="59"/>
      <c r="G899" s="59"/>
      <c r="H899" s="59"/>
      <c r="I899" s="4">
        <f>IFERROR(VLOOKUP(H899,H$2:H898,1,FALSE),VLOOKUP(H899,H$478:H900,1,FALSE))</f>
      </c>
      <c r="J899" s="4">
        <f t="shared" ref="J899:J962" si="180">IF($H899=0,"",VLOOKUP($H899,Исходные_данные,36,FALSE))</f>
        <v/>
      </c>
      <c r="K899" s="4">
        <f t="shared" ref="K899:K962" si="181">IF($H899=0,"",VLOOKUP($H899,Исходные_данные,37,FALSE))</f>
        <v/>
      </c>
      <c r="L899" s="4">
        <f t="shared" ref="L899:L962" si="182">IF($H899=0,"",VLOOKUP($H899,Исходные_данные,38,FALSE))</f>
        <v/>
      </c>
      <c r="M899" s="5">
        <f t="shared" si="176"/>
        <v/>
      </c>
      <c r="N899" s="4">
        <f t="shared" ref="N899:N962" si="183">IF($H899=0,"",VLOOKUP($H899,Исходные_данные,39,FALSE))</f>
        <v/>
      </c>
      <c r="O899" s="4"/>
      <c r="P899" s="4">
        <f t="shared" ref="P899:P962" si="184">IF($H899=0,"",VLOOKUP($H899,Исходные_данные,41,FALSE))</f>
        <v/>
      </c>
      <c r="Q899" s="4">
        <f t="shared" ref="Q899:Q962" si="185">IF($H899=0,"",VLOOKUP($H899,Исходные_данные,8,FALSE))</f>
        <v/>
      </c>
      <c r="R899" s="4">
        <f t="shared" si="177"/>
      </c>
      <c r="S899" s="4">
        <f t="shared" si="178"/>
      </c>
      <c r="T899" s="4">
        <f t="shared" si="179"/>
      </c>
      <c r="U899" s="4">
        <f t="shared" ref="U899:U962" si="186">IF($H899=0,"",VLOOKUP($H899,Исходные_данные,31,FALSE))</f>
        <v/>
      </c>
    </row>
    <row r="900" spans="1:21" x14ac:dyDescent="0.3">
      <c r="A900" s="4">
        <f t="shared" si="175"/>
        <v/>
      </c>
      <c r="B900" s="4">
        <f>IF(C900=1,MAX(B$2:$B899)+1,IF(F900=0,"",B899))</f>
        <v/>
      </c>
      <c r="C900" s="4">
        <f>COUNTIF($F$2:$F900,F900)</f>
      </c>
      <c r="D900" s="4">
        <f>IF(F900=0,0,MAX($D$2:D899)+1)</f>
      </c>
      <c r="E900" s="4">
        <f>IF(H900=0,0,MAX($E$2:E899)+1)</f>
      </c>
      <c r="F900" s="59"/>
      <c r="G900" s="59"/>
      <c r="H900" s="59"/>
      <c r="I900" s="4">
        <f>IFERROR(VLOOKUP(H900,H$2:H899,1,FALSE),VLOOKUP(H900,H$478:H901,1,FALSE))</f>
      </c>
      <c r="J900" s="4">
        <f t="shared" si="180"/>
        <v/>
      </c>
      <c r="K900" s="4">
        <f t="shared" si="181"/>
        <v/>
      </c>
      <c r="L900" s="4">
        <f t="shared" si="182"/>
        <v/>
      </c>
      <c r="M900" s="5">
        <f t="shared" si="176"/>
        <v/>
      </c>
      <c r="N900" s="4">
        <f t="shared" si="183"/>
        <v/>
      </c>
      <c r="O900" s="4"/>
      <c r="P900" s="4">
        <f t="shared" si="184"/>
        <v/>
      </c>
      <c r="Q900" s="4">
        <f t="shared" si="185"/>
        <v/>
      </c>
      <c r="R900" s="4">
        <f t="shared" si="177"/>
      </c>
      <c r="S900" s="4">
        <f t="shared" si="178"/>
      </c>
      <c r="T900" s="4">
        <f t="shared" si="179"/>
      </c>
      <c r="U900" s="4">
        <f t="shared" si="186"/>
        <v/>
      </c>
    </row>
    <row r="901" spans="1:21" x14ac:dyDescent="0.3">
      <c r="A901" s="4">
        <f t="shared" si="175"/>
        <v/>
      </c>
      <c r="B901" s="4">
        <f>IF(C901=1,MAX(B$2:$B900)+1,IF(F901=0,"",B900))</f>
        <v/>
      </c>
      <c r="C901" s="4">
        <f>COUNTIF($F$2:$F901,F901)</f>
      </c>
      <c r="D901" s="4">
        <f>IF(F901=0,0,MAX($D$2:D900)+1)</f>
      </c>
      <c r="E901" s="4">
        <f>IF(H901=0,0,MAX($E$2:E900)+1)</f>
      </c>
      <c r="F901" s="59"/>
      <c r="G901" s="59"/>
      <c r="H901" s="59"/>
      <c r="I901" s="4">
        <f>IFERROR(VLOOKUP(H901,H$2:H900,1,FALSE),VLOOKUP(H901,H$478:H902,1,FALSE))</f>
      </c>
      <c r="J901" s="4">
        <f t="shared" si="180"/>
        <v/>
      </c>
      <c r="K901" s="4">
        <f t="shared" si="181"/>
        <v/>
      </c>
      <c r="L901" s="4">
        <f t="shared" si="182"/>
        <v/>
      </c>
      <c r="M901" s="5">
        <f t="shared" si="176"/>
        <v/>
      </c>
      <c r="N901" s="4">
        <f t="shared" si="183"/>
        <v/>
      </c>
      <c r="O901" s="4"/>
      <c r="P901" s="4">
        <f t="shared" si="184"/>
        <v/>
      </c>
      <c r="Q901" s="4">
        <f t="shared" si="185"/>
        <v/>
      </c>
      <c r="R901" s="4">
        <f t="shared" si="177"/>
      </c>
      <c r="S901" s="4">
        <f t="shared" si="178"/>
      </c>
      <c r="T901" s="4">
        <f t="shared" si="179"/>
      </c>
      <c r="U901" s="4">
        <f t="shared" si="186"/>
        <v/>
      </c>
    </row>
    <row r="902" spans="1:21" x14ac:dyDescent="0.3">
      <c r="A902" s="4">
        <f t="shared" si="175"/>
        <v/>
      </c>
      <c r="B902" s="4">
        <f>IF(C902=1,MAX(B$2:$B901)+1,IF(F902=0,"",B901))</f>
        <v/>
      </c>
      <c r="C902" s="4">
        <f>COUNTIF($F$2:$F902,F902)</f>
      </c>
      <c r="D902" s="4">
        <f>IF(F902=0,0,MAX($D$2:D901)+1)</f>
      </c>
      <c r="E902" s="4">
        <f>IF(H902=0,0,MAX($E$2:E901)+1)</f>
      </c>
      <c r="F902" s="59"/>
      <c r="G902" s="59"/>
      <c r="H902" s="59"/>
      <c r="I902" s="4">
        <f>IFERROR(VLOOKUP(H902,H$2:H901,1,FALSE),VLOOKUP(H902,H$478:H903,1,FALSE))</f>
      </c>
      <c r="J902" s="4">
        <f t="shared" si="180"/>
        <v/>
      </c>
      <c r="K902" s="4">
        <f t="shared" si="181"/>
        <v/>
      </c>
      <c r="L902" s="4">
        <f t="shared" si="182"/>
        <v/>
      </c>
      <c r="M902" s="5">
        <f t="shared" si="176"/>
        <v/>
      </c>
      <c r="N902" s="4">
        <f t="shared" si="183"/>
        <v/>
      </c>
      <c r="O902" s="4"/>
      <c r="P902" s="4">
        <f t="shared" si="184"/>
        <v/>
      </c>
      <c r="Q902" s="4">
        <f t="shared" si="185"/>
        <v/>
      </c>
      <c r="R902" s="4">
        <f t="shared" si="177"/>
      </c>
      <c r="S902" s="4">
        <f t="shared" si="178"/>
      </c>
      <c r="T902" s="4">
        <f t="shared" si="179"/>
      </c>
      <c r="U902" s="4">
        <f t="shared" si="186"/>
        <v/>
      </c>
    </row>
    <row r="903" spans="1:21" x14ac:dyDescent="0.3">
      <c r="A903" s="4">
        <f t="shared" si="175"/>
        <v/>
      </c>
      <c r="B903" s="4">
        <f>IF(C903=1,MAX(B$2:$B902)+1,IF(F903=0,"",B902))</f>
        <v/>
      </c>
      <c r="C903" s="4">
        <f>COUNTIF($F$2:$F903,F903)</f>
      </c>
      <c r="D903" s="4">
        <f>IF(F903=0,0,MAX($D$2:D902)+1)</f>
      </c>
      <c r="E903" s="4">
        <f>IF(H903=0,0,MAX($E$2:E902)+1)</f>
      </c>
      <c r="F903" s="59"/>
      <c r="G903" s="59"/>
      <c r="H903" s="59"/>
      <c r="I903" s="4">
        <f>IFERROR(VLOOKUP(H903,H$2:H902,1,FALSE),VLOOKUP(H903,H$478:H904,1,FALSE))</f>
      </c>
      <c r="J903" s="4">
        <f t="shared" si="180"/>
        <v/>
      </c>
      <c r="K903" s="4">
        <f t="shared" si="181"/>
        <v/>
      </c>
      <c r="L903" s="4">
        <f t="shared" si="182"/>
        <v/>
      </c>
      <c r="M903" s="5">
        <f t="shared" si="176"/>
        <v/>
      </c>
      <c r="N903" s="4">
        <f t="shared" si="183"/>
        <v/>
      </c>
      <c r="O903" s="4"/>
      <c r="P903" s="4">
        <f t="shared" si="184"/>
        <v/>
      </c>
      <c r="Q903" s="4">
        <f t="shared" si="185"/>
        <v/>
      </c>
      <c r="R903" s="4">
        <f t="shared" si="177"/>
      </c>
      <c r="S903" s="4">
        <f t="shared" si="178"/>
      </c>
      <c r="T903" s="4">
        <f t="shared" si="179"/>
      </c>
      <c r="U903" s="4">
        <f t="shared" si="186"/>
        <v/>
      </c>
    </row>
    <row r="904" spans="1:21" x14ac:dyDescent="0.3">
      <c r="A904" s="4">
        <f t="shared" si="175"/>
        <v/>
      </c>
      <c r="B904" s="4">
        <f>IF(C904=1,MAX(B$2:$B903)+1,IF(F904=0,"",B903))</f>
        <v/>
      </c>
      <c r="C904" s="4">
        <f>COUNTIF($F$2:$F904,F904)</f>
      </c>
      <c r="D904" s="4">
        <f>IF(F904=0,0,MAX($D$2:D903)+1)</f>
      </c>
      <c r="E904" s="4">
        <f>IF(H904=0,0,MAX($E$2:E903)+1)</f>
      </c>
      <c r="F904" s="59"/>
      <c r="G904" s="59"/>
      <c r="H904" s="59"/>
      <c r="I904" s="4">
        <f>IFERROR(VLOOKUP(H904,H$2:H903,1,FALSE),VLOOKUP(H904,H$478:H905,1,FALSE))</f>
      </c>
      <c r="J904" s="4">
        <f t="shared" si="180"/>
        <v/>
      </c>
      <c r="K904" s="4">
        <f t="shared" si="181"/>
        <v/>
      </c>
      <c r="L904" s="4">
        <f t="shared" si="182"/>
        <v/>
      </c>
      <c r="M904" s="5">
        <f t="shared" si="176"/>
        <v/>
      </c>
      <c r="N904" s="4">
        <f t="shared" si="183"/>
        <v/>
      </c>
      <c r="O904" s="4"/>
      <c r="P904" s="4">
        <f t="shared" si="184"/>
        <v/>
      </c>
      <c r="Q904" s="4">
        <f t="shared" si="185"/>
        <v/>
      </c>
      <c r="R904" s="4">
        <f t="shared" si="177"/>
      </c>
      <c r="S904" s="4">
        <f t="shared" si="178"/>
      </c>
      <c r="T904" s="4">
        <f t="shared" si="179"/>
      </c>
      <c r="U904" s="4">
        <f t="shared" si="186"/>
        <v/>
      </c>
    </row>
    <row r="905" spans="1:21" x14ac:dyDescent="0.3">
      <c r="A905" s="4">
        <f t="shared" si="175"/>
        <v/>
      </c>
      <c r="B905" s="4">
        <f>IF(C905=1,MAX(B$2:$B904)+1,IF(F905=0,"",B904))</f>
        <v/>
      </c>
      <c r="C905" s="4">
        <f>COUNTIF($F$2:$F905,F905)</f>
      </c>
      <c r="D905" s="4">
        <f>IF(F905=0,0,MAX($D$2:D904)+1)</f>
      </c>
      <c r="E905" s="4">
        <f>IF(H905=0,0,MAX($E$2:E904)+1)</f>
      </c>
      <c r="F905" s="59"/>
      <c r="G905" s="59"/>
      <c r="H905" s="59"/>
      <c r="I905" s="4">
        <f>IFERROR(VLOOKUP(H905,H$2:H904,1,FALSE),VLOOKUP(H905,H$478:H906,1,FALSE))</f>
      </c>
      <c r="J905" s="4">
        <f t="shared" si="180"/>
        <v/>
      </c>
      <c r="K905" s="4">
        <f t="shared" si="181"/>
        <v/>
      </c>
      <c r="L905" s="4">
        <f t="shared" si="182"/>
        <v/>
      </c>
      <c r="M905" s="5">
        <f t="shared" si="176"/>
        <v/>
      </c>
      <c r="N905" s="4">
        <f t="shared" si="183"/>
        <v/>
      </c>
      <c r="O905" s="4"/>
      <c r="P905" s="4">
        <f t="shared" si="184"/>
        <v/>
      </c>
      <c r="Q905" s="4">
        <f t="shared" si="185"/>
        <v/>
      </c>
      <c r="R905" s="4">
        <f t="shared" si="177"/>
      </c>
      <c r="S905" s="4">
        <f t="shared" si="178"/>
      </c>
      <c r="T905" s="4">
        <f t="shared" si="179"/>
      </c>
      <c r="U905" s="4">
        <f t="shared" si="186"/>
        <v/>
      </c>
    </row>
    <row r="906" spans="1:21" x14ac:dyDescent="0.3">
      <c r="A906" s="4">
        <f t="shared" si="175"/>
        <v/>
      </c>
      <c r="B906" s="4">
        <f>IF(C906=1,MAX(B$2:$B905)+1,IF(F906=0,"",B905))</f>
        <v/>
      </c>
      <c r="C906" s="4">
        <f>COUNTIF($F$2:$F906,F906)</f>
      </c>
      <c r="D906" s="4">
        <f>IF(F906=0,0,MAX($D$2:D905)+1)</f>
      </c>
      <c r="E906" s="4">
        <f>IF(H906=0,0,MAX($E$2:E905)+1)</f>
      </c>
      <c r="F906" s="59"/>
      <c r="G906" s="59"/>
      <c r="H906" s="59"/>
      <c r="I906" s="4">
        <f>IFERROR(VLOOKUP(H906,H$2:H905,1,FALSE),VLOOKUP(H906,H$478:H907,1,FALSE))</f>
      </c>
      <c r="J906" s="4">
        <f t="shared" si="180"/>
        <v/>
      </c>
      <c r="K906" s="4">
        <f t="shared" si="181"/>
        <v/>
      </c>
      <c r="L906" s="4">
        <f t="shared" si="182"/>
        <v/>
      </c>
      <c r="M906" s="5">
        <f t="shared" si="176"/>
        <v/>
      </c>
      <c r="N906" s="4">
        <f t="shared" si="183"/>
        <v/>
      </c>
      <c r="O906" s="4"/>
      <c r="P906" s="4">
        <f t="shared" si="184"/>
        <v/>
      </c>
      <c r="Q906" s="4">
        <f t="shared" si="185"/>
        <v/>
      </c>
      <c r="R906" s="4">
        <f t="shared" si="177"/>
      </c>
      <c r="S906" s="4">
        <f t="shared" si="178"/>
      </c>
      <c r="T906" s="4">
        <f t="shared" si="179"/>
      </c>
      <c r="U906" s="4">
        <f t="shared" si="186"/>
        <v/>
      </c>
    </row>
    <row r="907" spans="1:21" x14ac:dyDescent="0.3">
      <c r="A907" s="4">
        <f t="shared" si="175"/>
        <v/>
      </c>
      <c r="B907" s="4">
        <f>IF(C907=1,MAX(B$2:$B906)+1,IF(F907=0,"",B906))</f>
        <v/>
      </c>
      <c r="C907" s="4">
        <f>COUNTIF($F$2:$F907,F907)</f>
      </c>
      <c r="D907" s="4">
        <f>IF(F907=0,0,MAX($D$2:D906)+1)</f>
      </c>
      <c r="E907" s="4">
        <f>IF(H907=0,0,MAX($E$2:E906)+1)</f>
      </c>
      <c r="F907" s="59"/>
      <c r="G907" s="59"/>
      <c r="H907" s="59"/>
      <c r="I907" s="4">
        <f>IFERROR(VLOOKUP(H907,H$2:H906,1,FALSE),VLOOKUP(H907,H$478:H908,1,FALSE))</f>
      </c>
      <c r="J907" s="4">
        <f t="shared" si="180"/>
        <v/>
      </c>
      <c r="K907" s="4">
        <f t="shared" si="181"/>
        <v/>
      </c>
      <c r="L907" s="4">
        <f t="shared" si="182"/>
        <v/>
      </c>
      <c r="M907" s="5">
        <f t="shared" si="176"/>
        <v/>
      </c>
      <c r="N907" s="4">
        <f t="shared" si="183"/>
        <v/>
      </c>
      <c r="O907" s="4"/>
      <c r="P907" s="4">
        <f t="shared" si="184"/>
        <v/>
      </c>
      <c r="Q907" s="4">
        <f t="shared" si="185"/>
        <v/>
      </c>
      <c r="R907" s="4">
        <f t="shared" si="177"/>
      </c>
      <c r="S907" s="4">
        <f t="shared" si="178"/>
      </c>
      <c r="T907" s="4">
        <f t="shared" si="179"/>
      </c>
      <c r="U907" s="4">
        <f t="shared" si="186"/>
        <v/>
      </c>
    </row>
    <row r="908" spans="1:21" x14ac:dyDescent="0.3">
      <c r="A908" s="4">
        <f t="shared" si="175"/>
        <v/>
      </c>
      <c r="B908" s="4">
        <f>IF(C908=1,MAX(B$2:$B907)+1,IF(F908=0,"",B907))</f>
        <v/>
      </c>
      <c r="C908" s="4">
        <f>COUNTIF($F$2:$F908,F908)</f>
      </c>
      <c r="D908" s="4">
        <f>IF(F908=0,0,MAX($D$2:D907)+1)</f>
      </c>
      <c r="E908" s="4">
        <f>IF(H908=0,0,MAX($E$2:E907)+1)</f>
      </c>
      <c r="F908" s="59"/>
      <c r="G908" s="59"/>
      <c r="H908" s="59"/>
      <c r="I908" s="4">
        <f>IFERROR(VLOOKUP(H908,H$2:H907,1,FALSE),VLOOKUP(H908,H$478:H909,1,FALSE))</f>
      </c>
      <c r="J908" s="4">
        <f t="shared" si="180"/>
        <v/>
      </c>
      <c r="K908" s="4">
        <f t="shared" si="181"/>
        <v/>
      </c>
      <c r="L908" s="4">
        <f t="shared" si="182"/>
        <v/>
      </c>
      <c r="M908" s="5">
        <f t="shared" si="176"/>
        <v/>
      </c>
      <c r="N908" s="4">
        <f t="shared" si="183"/>
        <v/>
      </c>
      <c r="O908" s="4"/>
      <c r="P908" s="4">
        <f t="shared" si="184"/>
        <v/>
      </c>
      <c r="Q908" s="4">
        <f t="shared" si="185"/>
        <v/>
      </c>
      <c r="R908" s="4">
        <f t="shared" si="177"/>
      </c>
      <c r="S908" s="4">
        <f t="shared" si="178"/>
      </c>
      <c r="T908" s="4">
        <f t="shared" si="179"/>
      </c>
      <c r="U908" s="4">
        <f t="shared" si="186"/>
        <v/>
      </c>
    </row>
    <row r="909" spans="1:21" x14ac:dyDescent="0.3">
      <c r="A909" s="4">
        <f t="shared" si="175"/>
        <v/>
      </c>
      <c r="B909" s="4">
        <f>IF(C909=1,MAX(B$2:$B908)+1,IF(F909=0,"",B908))</f>
        <v/>
      </c>
      <c r="C909" s="4">
        <f>COUNTIF($F$2:$F909,F909)</f>
      </c>
      <c r="D909" s="4">
        <f>IF(F909=0,0,MAX($D$2:D908)+1)</f>
      </c>
      <c r="E909" s="4">
        <f>IF(H909=0,0,MAX($E$2:E908)+1)</f>
      </c>
      <c r="F909" s="59"/>
      <c r="G909" s="59"/>
      <c r="H909" s="59"/>
      <c r="I909" s="4">
        <f>IFERROR(VLOOKUP(H909,H$2:H908,1,FALSE),VLOOKUP(H909,H$478:H910,1,FALSE))</f>
      </c>
      <c r="J909" s="4">
        <f t="shared" si="180"/>
        <v/>
      </c>
      <c r="K909" s="4">
        <f t="shared" si="181"/>
        <v/>
      </c>
      <c r="L909" s="4">
        <f t="shared" si="182"/>
        <v/>
      </c>
      <c r="M909" s="5">
        <f t="shared" si="176"/>
        <v/>
      </c>
      <c r="N909" s="4">
        <f t="shared" si="183"/>
        <v/>
      </c>
      <c r="O909" s="4"/>
      <c r="P909" s="4">
        <f t="shared" si="184"/>
        <v/>
      </c>
      <c r="Q909" s="4">
        <f t="shared" si="185"/>
        <v/>
      </c>
      <c r="R909" s="4">
        <f t="shared" si="177"/>
      </c>
      <c r="S909" s="4">
        <f t="shared" si="178"/>
      </c>
      <c r="T909" s="4">
        <f t="shared" si="179"/>
      </c>
      <c r="U909" s="4">
        <f t="shared" si="186"/>
        <v/>
      </c>
    </row>
    <row r="910" spans="1:21" x14ac:dyDescent="0.3">
      <c r="A910" s="4">
        <f t="shared" si="175"/>
        <v/>
      </c>
      <c r="B910" s="4">
        <f>IF(C910=1,MAX(B$2:$B909)+1,IF(F910=0,"",B909))</f>
        <v/>
      </c>
      <c r="C910" s="4">
        <f>COUNTIF($F$2:$F910,F910)</f>
      </c>
      <c r="D910" s="4">
        <f>IF(F910=0,0,MAX($D$2:D909)+1)</f>
      </c>
      <c r="E910" s="4">
        <f>IF(H910=0,0,MAX($E$2:E909)+1)</f>
      </c>
      <c r="F910" s="59"/>
      <c r="G910" s="59"/>
      <c r="H910" s="59"/>
      <c r="I910" s="4">
        <f>IFERROR(VLOOKUP(H910,H$2:H909,1,FALSE),VLOOKUP(H910,H$478:H911,1,FALSE))</f>
      </c>
      <c r="J910" s="4">
        <f t="shared" si="180"/>
        <v/>
      </c>
      <c r="K910" s="4">
        <f t="shared" si="181"/>
        <v/>
      </c>
      <c r="L910" s="4">
        <f t="shared" si="182"/>
        <v/>
      </c>
      <c r="M910" s="5">
        <f t="shared" si="176"/>
        <v/>
      </c>
      <c r="N910" s="4">
        <f t="shared" si="183"/>
        <v/>
      </c>
      <c r="O910" s="4"/>
      <c r="P910" s="4">
        <f t="shared" si="184"/>
        <v/>
      </c>
      <c r="Q910" s="4">
        <f t="shared" si="185"/>
        <v/>
      </c>
      <c r="R910" s="4">
        <f t="shared" si="177"/>
      </c>
      <c r="S910" s="4">
        <f t="shared" si="178"/>
      </c>
      <c r="T910" s="4">
        <f t="shared" si="179"/>
      </c>
      <c r="U910" s="4">
        <f t="shared" si="186"/>
        <v/>
      </c>
    </row>
    <row r="911" spans="1:21" x14ac:dyDescent="0.3">
      <c r="A911" s="4">
        <f t="shared" si="175"/>
        <v/>
      </c>
      <c r="B911" s="4">
        <f>IF(C911=1,MAX(B$2:$B910)+1,IF(F911=0,"",B910))</f>
        <v/>
      </c>
      <c r="C911" s="4">
        <f>COUNTIF($F$2:$F911,F911)</f>
      </c>
      <c r="D911" s="4">
        <f>IF(F911=0,0,MAX($D$2:D910)+1)</f>
      </c>
      <c r="E911" s="4">
        <f>IF(H911=0,0,MAX($E$2:E910)+1)</f>
      </c>
      <c r="F911" s="59"/>
      <c r="G911" s="59"/>
      <c r="H911" s="59"/>
      <c r="I911" s="4">
        <f>IFERROR(VLOOKUP(H911,H$2:H910,1,FALSE),VLOOKUP(H911,H$478:H912,1,FALSE))</f>
      </c>
      <c r="J911" s="4">
        <f t="shared" si="180"/>
        <v/>
      </c>
      <c r="K911" s="4">
        <f t="shared" si="181"/>
        <v/>
      </c>
      <c r="L911" s="4">
        <f t="shared" si="182"/>
        <v/>
      </c>
      <c r="M911" s="5">
        <f t="shared" si="176"/>
        <v/>
      </c>
      <c r="N911" s="4">
        <f t="shared" si="183"/>
        <v/>
      </c>
      <c r="O911" s="4"/>
      <c r="P911" s="4">
        <f t="shared" si="184"/>
        <v/>
      </c>
      <c r="Q911" s="4">
        <f t="shared" si="185"/>
        <v/>
      </c>
      <c r="R911" s="4">
        <f t="shared" si="177"/>
      </c>
      <c r="S911" s="4">
        <f t="shared" si="178"/>
      </c>
      <c r="T911" s="4">
        <f t="shared" si="179"/>
      </c>
      <c r="U911" s="4">
        <f t="shared" si="186"/>
        <v/>
      </c>
    </row>
    <row r="912" spans="1:21" x14ac:dyDescent="0.3">
      <c r="A912" s="4">
        <f t="shared" si="175"/>
        <v/>
      </c>
      <c r="B912" s="4">
        <f>IF(C912=1,MAX(B$2:$B911)+1,IF(F912=0,"",B911))</f>
        <v/>
      </c>
      <c r="C912" s="4">
        <f>COUNTIF($F$2:$F912,F912)</f>
      </c>
      <c r="D912" s="4">
        <f>IF(F912=0,0,MAX($D$2:D911)+1)</f>
      </c>
      <c r="E912" s="4">
        <f>IF(H912=0,0,MAX($E$2:E911)+1)</f>
      </c>
      <c r="F912" s="59"/>
      <c r="G912" s="59"/>
      <c r="H912" s="59"/>
      <c r="I912" s="4">
        <f>IFERROR(VLOOKUP(H912,H$2:H911,1,FALSE),VLOOKUP(H912,H$478:H913,1,FALSE))</f>
      </c>
      <c r="J912" s="4">
        <f t="shared" si="180"/>
        <v/>
      </c>
      <c r="K912" s="4">
        <f t="shared" si="181"/>
        <v/>
      </c>
      <c r="L912" s="4">
        <f t="shared" si="182"/>
        <v/>
      </c>
      <c r="M912" s="5">
        <f t="shared" si="176"/>
        <v/>
      </c>
      <c r="N912" s="4">
        <f t="shared" si="183"/>
        <v/>
      </c>
      <c r="O912" s="4"/>
      <c r="P912" s="4">
        <f t="shared" si="184"/>
        <v/>
      </c>
      <c r="Q912" s="4">
        <f t="shared" si="185"/>
        <v/>
      </c>
      <c r="R912" s="4">
        <f t="shared" si="177"/>
      </c>
      <c r="S912" s="4">
        <f t="shared" si="178"/>
      </c>
      <c r="T912" s="4">
        <f t="shared" si="179"/>
      </c>
      <c r="U912" s="4">
        <f t="shared" si="186"/>
        <v/>
      </c>
    </row>
    <row r="913" spans="1:21" x14ac:dyDescent="0.3">
      <c r="A913" s="4">
        <f t="shared" si="175"/>
        <v/>
      </c>
      <c r="B913" s="4">
        <f>IF(C913=1,MAX(B$2:$B912)+1,IF(F913=0,"",B912))</f>
        <v/>
      </c>
      <c r="C913" s="4">
        <f>COUNTIF($F$2:$F913,F913)</f>
      </c>
      <c r="D913" s="4">
        <f>IF(F913=0,0,MAX($D$2:D912)+1)</f>
      </c>
      <c r="E913" s="4">
        <f>IF(H913=0,0,MAX($E$2:E912)+1)</f>
      </c>
      <c r="F913" s="59"/>
      <c r="G913" s="59"/>
      <c r="H913" s="59"/>
      <c r="I913" s="4">
        <f>IFERROR(VLOOKUP(H913,H$2:H912,1,FALSE),VLOOKUP(H913,H$478:H914,1,FALSE))</f>
      </c>
      <c r="J913" s="4">
        <f t="shared" si="180"/>
        <v/>
      </c>
      <c r="K913" s="4">
        <f t="shared" si="181"/>
        <v/>
      </c>
      <c r="L913" s="4">
        <f t="shared" si="182"/>
        <v/>
      </c>
      <c r="M913" s="5">
        <f t="shared" si="176"/>
        <v/>
      </c>
      <c r="N913" s="4">
        <f t="shared" si="183"/>
        <v/>
      </c>
      <c r="O913" s="4"/>
      <c r="P913" s="4">
        <f t="shared" si="184"/>
        <v/>
      </c>
      <c r="Q913" s="4">
        <f t="shared" si="185"/>
        <v/>
      </c>
      <c r="R913" s="4">
        <f t="shared" si="177"/>
      </c>
      <c r="S913" s="4">
        <f t="shared" si="178"/>
      </c>
      <c r="T913" s="4">
        <f t="shared" si="179"/>
      </c>
      <c r="U913" s="4">
        <f t="shared" si="186"/>
        <v/>
      </c>
    </row>
    <row r="914" spans="1:21" x14ac:dyDescent="0.3">
      <c r="A914" s="4">
        <f t="shared" si="175"/>
        <v/>
      </c>
      <c r="B914" s="4">
        <f>IF(C914=1,MAX(B$2:$B913)+1,IF(F914=0,"",B913))</f>
        <v/>
      </c>
      <c r="C914" s="4">
        <f>COUNTIF($F$2:$F914,F914)</f>
      </c>
      <c r="D914" s="4">
        <f>IF(F914=0,0,MAX($D$2:D913)+1)</f>
      </c>
      <c r="E914" s="4">
        <f>IF(H914=0,0,MAX($E$2:E913)+1)</f>
      </c>
      <c r="F914" s="59"/>
      <c r="G914" s="59"/>
      <c r="H914" s="59"/>
      <c r="I914" s="4">
        <f>IFERROR(VLOOKUP(H914,H$2:H913,1,FALSE),VLOOKUP(H914,H$478:H915,1,FALSE))</f>
      </c>
      <c r="J914" s="4">
        <f t="shared" si="180"/>
        <v/>
      </c>
      <c r="K914" s="4">
        <f t="shared" si="181"/>
        <v/>
      </c>
      <c r="L914" s="4">
        <f t="shared" si="182"/>
        <v/>
      </c>
      <c r="M914" s="5">
        <f t="shared" si="176"/>
        <v/>
      </c>
      <c r="N914" s="4">
        <f t="shared" si="183"/>
        <v/>
      </c>
      <c r="O914" s="4"/>
      <c r="P914" s="4">
        <f t="shared" si="184"/>
        <v/>
      </c>
      <c r="Q914" s="4">
        <f t="shared" si="185"/>
        <v/>
      </c>
      <c r="R914" s="4">
        <f t="shared" si="177"/>
      </c>
      <c r="S914" s="4">
        <f t="shared" si="178"/>
      </c>
      <c r="T914" s="4">
        <f t="shared" si="179"/>
      </c>
      <c r="U914" s="4">
        <f t="shared" si="186"/>
        <v/>
      </c>
    </row>
    <row r="915" spans="1:21" x14ac:dyDescent="0.3">
      <c r="A915" s="4">
        <f t="shared" si="175"/>
        <v/>
      </c>
      <c r="B915" s="4">
        <f>IF(C915=1,MAX(B$2:$B914)+1,IF(F915=0,"",B914))</f>
        <v/>
      </c>
      <c r="C915" s="4">
        <f>COUNTIF($F$2:$F915,F915)</f>
      </c>
      <c r="D915" s="4">
        <f>IF(F915=0,0,MAX($D$2:D914)+1)</f>
      </c>
      <c r="E915" s="4">
        <f>IF(H915=0,0,MAX($E$2:E914)+1)</f>
      </c>
      <c r="F915" s="59"/>
      <c r="G915" s="59"/>
      <c r="H915" s="59"/>
      <c r="I915" s="4">
        <f>IFERROR(VLOOKUP(H915,H$2:H914,1,FALSE),VLOOKUP(H915,H$478:H916,1,FALSE))</f>
      </c>
      <c r="J915" s="4">
        <f t="shared" si="180"/>
        <v/>
      </c>
      <c r="K915" s="4">
        <f t="shared" si="181"/>
        <v/>
      </c>
      <c r="L915" s="4">
        <f t="shared" si="182"/>
        <v/>
      </c>
      <c r="M915" s="5">
        <f t="shared" si="176"/>
        <v/>
      </c>
      <c r="N915" s="4">
        <f t="shared" si="183"/>
        <v/>
      </c>
      <c r="O915" s="4"/>
      <c r="P915" s="4">
        <f t="shared" si="184"/>
        <v/>
      </c>
      <c r="Q915" s="4">
        <f t="shared" si="185"/>
        <v/>
      </c>
      <c r="R915" s="4">
        <f t="shared" si="177"/>
      </c>
      <c r="S915" s="4">
        <f t="shared" si="178"/>
      </c>
      <c r="T915" s="4">
        <f t="shared" si="179"/>
      </c>
      <c r="U915" s="4">
        <f t="shared" si="186"/>
        <v/>
      </c>
    </row>
    <row r="916" spans="1:21" x14ac:dyDescent="0.3">
      <c r="A916" s="4">
        <f t="shared" si="175"/>
        <v/>
      </c>
      <c r="B916" s="4">
        <f>IF(C916=1,MAX(B$2:$B915)+1,IF(F916=0,"",B915))</f>
        <v/>
      </c>
      <c r="C916" s="4">
        <f>COUNTIF($F$2:$F916,F916)</f>
      </c>
      <c r="D916" s="4">
        <f>IF(F916=0,0,MAX($D$2:D915)+1)</f>
      </c>
      <c r="E916" s="4">
        <f>IF(H916=0,0,MAX($E$2:E915)+1)</f>
      </c>
      <c r="F916" s="59"/>
      <c r="G916" s="59"/>
      <c r="H916" s="59"/>
      <c r="I916" s="4">
        <f>IFERROR(VLOOKUP(H916,H$2:H915,1,FALSE),VLOOKUP(H916,H$478:H917,1,FALSE))</f>
      </c>
      <c r="J916" s="4">
        <f t="shared" si="180"/>
        <v/>
      </c>
      <c r="K916" s="4">
        <f t="shared" si="181"/>
        <v/>
      </c>
      <c r="L916" s="4">
        <f t="shared" si="182"/>
        <v/>
      </c>
      <c r="M916" s="5">
        <f t="shared" si="176"/>
        <v/>
      </c>
      <c r="N916" s="4">
        <f t="shared" si="183"/>
        <v/>
      </c>
      <c r="O916" s="4"/>
      <c r="P916" s="4">
        <f t="shared" si="184"/>
        <v/>
      </c>
      <c r="Q916" s="4">
        <f t="shared" si="185"/>
        <v/>
      </c>
      <c r="R916" s="4">
        <f t="shared" si="177"/>
      </c>
      <c r="S916" s="4">
        <f t="shared" si="178"/>
      </c>
      <c r="T916" s="4">
        <f t="shared" si="179"/>
      </c>
      <c r="U916" s="4">
        <f t="shared" si="186"/>
        <v/>
      </c>
    </row>
    <row r="917" spans="1:21" x14ac:dyDescent="0.3">
      <c r="A917" s="4">
        <f t="shared" si="175"/>
        <v/>
      </c>
      <c r="B917" s="4">
        <f>IF(C917=1,MAX(B$2:$B916)+1,IF(F917=0,"",B916))</f>
        <v/>
      </c>
      <c r="C917" s="4">
        <f>COUNTIF($F$2:$F917,F917)</f>
      </c>
      <c r="D917" s="4">
        <f>IF(F917=0,0,MAX($D$2:D916)+1)</f>
      </c>
      <c r="E917" s="4">
        <f>IF(H917=0,0,MAX($E$2:E916)+1)</f>
      </c>
      <c r="F917" s="59"/>
      <c r="G917" s="59"/>
      <c r="H917" s="59"/>
      <c r="I917" s="4">
        <f>IFERROR(VLOOKUP(H917,H$2:H916,1,FALSE),VLOOKUP(H917,H$478:H918,1,FALSE))</f>
      </c>
      <c r="J917" s="4">
        <f t="shared" si="180"/>
        <v/>
      </c>
      <c r="K917" s="4">
        <f t="shared" si="181"/>
        <v/>
      </c>
      <c r="L917" s="4">
        <f t="shared" si="182"/>
        <v/>
      </c>
      <c r="M917" s="5">
        <f t="shared" si="176"/>
        <v/>
      </c>
      <c r="N917" s="4">
        <f t="shared" si="183"/>
        <v/>
      </c>
      <c r="O917" s="4"/>
      <c r="P917" s="4">
        <f t="shared" si="184"/>
        <v/>
      </c>
      <c r="Q917" s="4">
        <f t="shared" si="185"/>
        <v/>
      </c>
      <c r="R917" s="4">
        <f t="shared" si="177"/>
      </c>
      <c r="S917" s="4">
        <f t="shared" si="178"/>
      </c>
      <c r="T917" s="4">
        <f t="shared" si="179"/>
      </c>
      <c r="U917" s="4">
        <f t="shared" si="186"/>
        <v/>
      </c>
    </row>
    <row r="918" spans="1:21" x14ac:dyDescent="0.3">
      <c r="A918" s="4">
        <f t="shared" si="175"/>
        <v/>
      </c>
      <c r="B918" s="4">
        <f>IF(C918=1,MAX(B$2:$B917)+1,IF(F918=0,"",B917))</f>
        <v/>
      </c>
      <c r="C918" s="4">
        <f>COUNTIF($F$2:$F918,F918)</f>
      </c>
      <c r="D918" s="4">
        <f>IF(F918=0,0,MAX($D$2:D917)+1)</f>
      </c>
      <c r="E918" s="4">
        <f>IF(H918=0,0,MAX($E$2:E917)+1)</f>
      </c>
      <c r="F918" s="59"/>
      <c r="G918" s="59"/>
      <c r="H918" s="59"/>
      <c r="I918" s="4">
        <f>IFERROR(VLOOKUP(H918,H$2:H917,1,FALSE),VLOOKUP(H918,H$478:H919,1,FALSE))</f>
      </c>
      <c r="J918" s="4">
        <f t="shared" si="180"/>
        <v/>
      </c>
      <c r="K918" s="4">
        <f t="shared" si="181"/>
        <v/>
      </c>
      <c r="L918" s="4">
        <f t="shared" si="182"/>
        <v/>
      </c>
      <c r="M918" s="5">
        <f t="shared" si="176"/>
        <v/>
      </c>
      <c r="N918" s="4">
        <f t="shared" si="183"/>
        <v/>
      </c>
      <c r="O918" s="4"/>
      <c r="P918" s="4">
        <f t="shared" si="184"/>
        <v/>
      </c>
      <c r="Q918" s="4">
        <f t="shared" si="185"/>
        <v/>
      </c>
      <c r="R918" s="4">
        <f t="shared" si="177"/>
      </c>
      <c r="S918" s="4">
        <f t="shared" si="178"/>
      </c>
      <c r="T918" s="4">
        <f t="shared" si="179"/>
      </c>
      <c r="U918" s="4">
        <f t="shared" si="186"/>
        <v/>
      </c>
    </row>
    <row r="919" spans="1:21" x14ac:dyDescent="0.3">
      <c r="A919" s="4">
        <f t="shared" si="175"/>
        <v/>
      </c>
      <c r="B919" s="4">
        <f>IF(C919=1,MAX(B$2:$B918)+1,IF(F919=0,"",B918))</f>
        <v/>
      </c>
      <c r="C919" s="4">
        <f>COUNTIF($F$2:$F919,F919)</f>
      </c>
      <c r="D919" s="4">
        <f>IF(F919=0,0,MAX($D$2:D918)+1)</f>
      </c>
      <c r="E919" s="4">
        <f>IF(H919=0,0,MAX($E$2:E918)+1)</f>
      </c>
      <c r="F919" s="59"/>
      <c r="G919" s="59"/>
      <c r="H919" s="59"/>
      <c r="I919" s="4">
        <f>IFERROR(VLOOKUP(H919,H$2:H918,1,FALSE),VLOOKUP(H919,H$478:H920,1,FALSE))</f>
      </c>
      <c r="J919" s="4">
        <f t="shared" si="180"/>
        <v/>
      </c>
      <c r="K919" s="4">
        <f t="shared" si="181"/>
        <v/>
      </c>
      <c r="L919" s="4">
        <f t="shared" si="182"/>
        <v/>
      </c>
      <c r="M919" s="5">
        <f t="shared" si="176"/>
        <v/>
      </c>
      <c r="N919" s="4">
        <f t="shared" si="183"/>
        <v/>
      </c>
      <c r="O919" s="4"/>
      <c r="P919" s="4">
        <f t="shared" si="184"/>
        <v/>
      </c>
      <c r="Q919" s="4">
        <f t="shared" si="185"/>
        <v/>
      </c>
      <c r="R919" s="4">
        <f t="shared" si="177"/>
      </c>
      <c r="S919" s="4">
        <f t="shared" si="178"/>
      </c>
      <c r="T919" s="4">
        <f t="shared" si="179"/>
      </c>
      <c r="U919" s="4">
        <f t="shared" si="186"/>
        <v/>
      </c>
    </row>
    <row r="920" spans="1:21" x14ac:dyDescent="0.3">
      <c r="A920" s="4">
        <f t="shared" si="175"/>
        <v/>
      </c>
      <c r="B920" s="4">
        <f>IF(C920=1,MAX(B$2:$B919)+1,IF(F920=0,"",B919))</f>
        <v/>
      </c>
      <c r="C920" s="4">
        <f>COUNTIF($F$2:$F920,F920)</f>
      </c>
      <c r="D920" s="4">
        <f>IF(F920=0,0,MAX($D$2:D919)+1)</f>
      </c>
      <c r="E920" s="4">
        <f>IF(H920=0,0,MAX($E$2:E919)+1)</f>
      </c>
      <c r="F920" s="59"/>
      <c r="G920" s="59"/>
      <c r="H920" s="59"/>
      <c r="I920" s="4">
        <f>IFERROR(VLOOKUP(H920,H$2:H919,1,FALSE),VLOOKUP(H920,H$478:H921,1,FALSE))</f>
      </c>
      <c r="J920" s="4">
        <f t="shared" si="180"/>
        <v/>
      </c>
      <c r="K920" s="4">
        <f t="shared" si="181"/>
        <v/>
      </c>
      <c r="L920" s="4">
        <f t="shared" si="182"/>
        <v/>
      </c>
      <c r="M920" s="5">
        <f t="shared" si="176"/>
        <v/>
      </c>
      <c r="N920" s="4">
        <f t="shared" si="183"/>
        <v/>
      </c>
      <c r="O920" s="4"/>
      <c r="P920" s="4">
        <f t="shared" si="184"/>
        <v/>
      </c>
      <c r="Q920" s="4">
        <f t="shared" si="185"/>
        <v/>
      </c>
      <c r="R920" s="4">
        <f t="shared" si="177"/>
      </c>
      <c r="S920" s="4">
        <f t="shared" si="178"/>
      </c>
      <c r="T920" s="4">
        <f t="shared" si="179"/>
      </c>
      <c r="U920" s="4">
        <f t="shared" si="186"/>
        <v/>
      </c>
    </row>
    <row r="921" spans="1:21" x14ac:dyDescent="0.3">
      <c r="A921" s="4">
        <f t="shared" si="175"/>
        <v/>
      </c>
      <c r="B921" s="4">
        <f>IF(C921=1,MAX(B$2:$B920)+1,IF(F921=0,"",B920))</f>
        <v/>
      </c>
      <c r="C921" s="4">
        <f>COUNTIF($F$2:$F921,F921)</f>
      </c>
      <c r="D921" s="4">
        <f>IF(F921=0,0,MAX($D$2:D920)+1)</f>
      </c>
      <c r="E921" s="4">
        <f>IF(H921=0,0,MAX($E$2:E920)+1)</f>
      </c>
      <c r="F921" s="59"/>
      <c r="G921" s="59"/>
      <c r="H921" s="59"/>
      <c r="I921" s="4">
        <f>IFERROR(VLOOKUP(H921,H$2:H920,1,FALSE),VLOOKUP(H921,H$478:H922,1,FALSE))</f>
      </c>
      <c r="J921" s="4">
        <f t="shared" si="180"/>
        <v/>
      </c>
      <c r="K921" s="4">
        <f t="shared" si="181"/>
        <v/>
      </c>
      <c r="L921" s="4">
        <f t="shared" si="182"/>
        <v/>
      </c>
      <c r="M921" s="5">
        <f t="shared" si="176"/>
        <v/>
      </c>
      <c r="N921" s="4">
        <f t="shared" si="183"/>
        <v/>
      </c>
      <c r="O921" s="4"/>
      <c r="P921" s="4">
        <f t="shared" si="184"/>
        <v/>
      </c>
      <c r="Q921" s="4">
        <f t="shared" si="185"/>
        <v/>
      </c>
      <c r="R921" s="4">
        <f t="shared" si="177"/>
      </c>
      <c r="S921" s="4">
        <f t="shared" si="178"/>
      </c>
      <c r="T921" s="4">
        <f t="shared" si="179"/>
      </c>
      <c r="U921" s="4">
        <f t="shared" si="186"/>
        <v/>
      </c>
    </row>
    <row r="922" spans="1:21" x14ac:dyDescent="0.3">
      <c r="A922" s="4">
        <f t="shared" si="175"/>
        <v/>
      </c>
      <c r="B922" s="4">
        <f>IF(C922=1,MAX(B$2:$B921)+1,IF(F922=0,"",B921))</f>
        <v/>
      </c>
      <c r="C922" s="4">
        <f>COUNTIF($F$2:$F922,F922)</f>
      </c>
      <c r="D922" s="4">
        <f>IF(F922=0,0,MAX($D$2:D921)+1)</f>
      </c>
      <c r="E922" s="4">
        <f>IF(H922=0,0,MAX($E$2:E921)+1)</f>
      </c>
      <c r="F922" s="59"/>
      <c r="G922" s="59"/>
      <c r="H922" s="59"/>
      <c r="I922" s="4">
        <f>IFERROR(VLOOKUP(H922,H$2:H921,1,FALSE),VLOOKUP(H922,H$478:H923,1,FALSE))</f>
      </c>
      <c r="J922" s="4">
        <f t="shared" si="180"/>
        <v/>
      </c>
      <c r="K922" s="4">
        <f t="shared" si="181"/>
        <v/>
      </c>
      <c r="L922" s="4">
        <f t="shared" si="182"/>
        <v/>
      </c>
      <c r="M922" s="5">
        <f t="shared" si="176"/>
        <v/>
      </c>
      <c r="N922" s="4">
        <f t="shared" si="183"/>
        <v/>
      </c>
      <c r="O922" s="4"/>
      <c r="P922" s="4">
        <f t="shared" si="184"/>
        <v/>
      </c>
      <c r="Q922" s="4">
        <f t="shared" si="185"/>
        <v/>
      </c>
      <c r="R922" s="4">
        <f t="shared" si="177"/>
      </c>
      <c r="S922" s="4">
        <f t="shared" si="178"/>
      </c>
      <c r="T922" s="4">
        <f t="shared" si="179"/>
      </c>
      <c r="U922" s="4">
        <f t="shared" si="186"/>
        <v/>
      </c>
    </row>
    <row r="923" spans="1:21" x14ac:dyDescent="0.3">
      <c r="A923" s="4">
        <f t="shared" si="175"/>
        <v/>
      </c>
      <c r="B923" s="4">
        <f>IF(C923=1,MAX(B$2:$B922)+1,IF(F923=0,"",B922))</f>
        <v/>
      </c>
      <c r="C923" s="4">
        <f>COUNTIF($F$2:$F923,F923)</f>
      </c>
      <c r="D923" s="4">
        <f>IF(F923=0,0,MAX($D$2:D922)+1)</f>
      </c>
      <c r="E923" s="4">
        <f>IF(H923=0,0,MAX($E$2:E922)+1)</f>
      </c>
      <c r="F923" s="59"/>
      <c r="G923" s="59"/>
      <c r="H923" s="59"/>
      <c r="I923" s="4">
        <f>IFERROR(VLOOKUP(H923,H$2:H922,1,FALSE),VLOOKUP(H923,H$478:H924,1,FALSE))</f>
      </c>
      <c r="J923" s="4">
        <f t="shared" si="180"/>
        <v/>
      </c>
      <c r="K923" s="4">
        <f t="shared" si="181"/>
        <v/>
      </c>
      <c r="L923" s="4">
        <f t="shared" si="182"/>
        <v/>
      </c>
      <c r="M923" s="5">
        <f t="shared" si="176"/>
        <v/>
      </c>
      <c r="N923" s="4">
        <f t="shared" si="183"/>
        <v/>
      </c>
      <c r="O923" s="4"/>
      <c r="P923" s="4">
        <f t="shared" si="184"/>
        <v/>
      </c>
      <c r="Q923" s="4">
        <f t="shared" si="185"/>
        <v/>
      </c>
      <c r="R923" s="4">
        <f t="shared" si="177"/>
      </c>
      <c r="S923" s="4">
        <f t="shared" si="178"/>
      </c>
      <c r="T923" s="4">
        <f t="shared" si="179"/>
      </c>
      <c r="U923" s="4">
        <f t="shared" si="186"/>
        <v/>
      </c>
    </row>
    <row r="924" spans="1:21" x14ac:dyDescent="0.3">
      <c r="A924" s="4">
        <f t="shared" si="175"/>
        <v/>
      </c>
      <c r="B924" s="4">
        <f>IF(C924=1,MAX(B$2:$B923)+1,IF(F924=0,"",B923))</f>
        <v/>
      </c>
      <c r="C924" s="4">
        <f>COUNTIF($F$2:$F924,F924)</f>
      </c>
      <c r="D924" s="4">
        <f>IF(F924=0,0,MAX($D$2:D923)+1)</f>
      </c>
      <c r="E924" s="4">
        <f>IF(H924=0,0,MAX($E$2:E923)+1)</f>
      </c>
      <c r="F924" s="59"/>
      <c r="G924" s="59"/>
      <c r="H924" s="59"/>
      <c r="I924" s="4">
        <f>IFERROR(VLOOKUP(H924,H$2:H923,1,FALSE),VLOOKUP(H924,H$478:H925,1,FALSE))</f>
      </c>
      <c r="J924" s="4">
        <f t="shared" si="180"/>
        <v/>
      </c>
      <c r="K924" s="4">
        <f t="shared" si="181"/>
        <v/>
      </c>
      <c r="L924" s="4">
        <f t="shared" si="182"/>
        <v/>
      </c>
      <c r="M924" s="5">
        <f t="shared" si="176"/>
        <v/>
      </c>
      <c r="N924" s="4">
        <f t="shared" si="183"/>
        <v/>
      </c>
      <c r="O924" s="4"/>
      <c r="P924" s="4">
        <f t="shared" si="184"/>
        <v/>
      </c>
      <c r="Q924" s="4">
        <f t="shared" si="185"/>
        <v/>
      </c>
      <c r="R924" s="4">
        <f t="shared" si="177"/>
      </c>
      <c r="S924" s="4">
        <f t="shared" si="178"/>
      </c>
      <c r="T924" s="4">
        <f t="shared" si="179"/>
      </c>
      <c r="U924" s="4">
        <f t="shared" si="186"/>
        <v/>
      </c>
    </row>
    <row r="925" spans="1:21" x14ac:dyDescent="0.3">
      <c r="A925" s="4">
        <f t="shared" si="175"/>
        <v/>
      </c>
      <c r="B925" s="4">
        <f>IF(C925=1,MAX(B$2:$B924)+1,IF(F925=0,"",B924))</f>
        <v/>
      </c>
      <c r="C925" s="4">
        <f>COUNTIF($F$2:$F925,F925)</f>
      </c>
      <c r="D925" s="4">
        <f>IF(F925=0,0,MAX($D$2:D924)+1)</f>
      </c>
      <c r="E925" s="4">
        <f>IF(H925=0,0,MAX($E$2:E924)+1)</f>
      </c>
      <c r="F925" s="59"/>
      <c r="G925" s="59"/>
      <c r="H925" s="59"/>
      <c r="I925" s="4">
        <f>IFERROR(VLOOKUP(H925,H$2:H924,1,FALSE),VLOOKUP(H925,H$478:H926,1,FALSE))</f>
      </c>
      <c r="J925" s="4">
        <f t="shared" si="180"/>
        <v/>
      </c>
      <c r="K925" s="4">
        <f t="shared" si="181"/>
        <v/>
      </c>
      <c r="L925" s="4">
        <f t="shared" si="182"/>
        <v/>
      </c>
      <c r="M925" s="5">
        <f t="shared" si="176"/>
        <v/>
      </c>
      <c r="N925" s="4">
        <f t="shared" si="183"/>
        <v/>
      </c>
      <c r="O925" s="4"/>
      <c r="P925" s="4">
        <f t="shared" si="184"/>
        <v/>
      </c>
      <c r="Q925" s="4">
        <f t="shared" si="185"/>
        <v/>
      </c>
      <c r="R925" s="4">
        <f t="shared" si="177"/>
      </c>
      <c r="S925" s="4">
        <f t="shared" si="178"/>
      </c>
      <c r="T925" s="4">
        <f t="shared" si="179"/>
      </c>
      <c r="U925" s="4">
        <f t="shared" si="186"/>
        <v/>
      </c>
    </row>
    <row r="926" spans="1:21" x14ac:dyDescent="0.3">
      <c r="A926" s="4">
        <f t="shared" si="175"/>
        <v/>
      </c>
      <c r="B926" s="4">
        <f>IF(C926=1,MAX(B$2:$B925)+1,IF(F926=0,"",B925))</f>
        <v/>
      </c>
      <c r="C926" s="4">
        <f>COUNTIF($F$2:$F926,F926)</f>
      </c>
      <c r="D926" s="4">
        <f>IF(F926=0,0,MAX($D$2:D925)+1)</f>
      </c>
      <c r="E926" s="4">
        <f>IF(H926=0,0,MAX($E$2:E925)+1)</f>
      </c>
      <c r="F926" s="59"/>
      <c r="G926" s="59"/>
      <c r="H926" s="59"/>
      <c r="I926" s="4">
        <f>IFERROR(VLOOKUP(H926,H$2:H925,1,FALSE),VLOOKUP(H926,H$478:H927,1,FALSE))</f>
      </c>
      <c r="J926" s="4">
        <f t="shared" si="180"/>
        <v/>
      </c>
      <c r="K926" s="4">
        <f t="shared" si="181"/>
        <v/>
      </c>
      <c r="L926" s="4">
        <f t="shared" si="182"/>
        <v/>
      </c>
      <c r="M926" s="5">
        <f t="shared" si="176"/>
        <v/>
      </c>
      <c r="N926" s="4">
        <f t="shared" si="183"/>
        <v/>
      </c>
      <c r="O926" s="4"/>
      <c r="P926" s="4">
        <f t="shared" si="184"/>
        <v/>
      </c>
      <c r="Q926" s="4">
        <f t="shared" si="185"/>
        <v/>
      </c>
      <c r="R926" s="4">
        <f t="shared" si="177"/>
      </c>
      <c r="S926" s="4">
        <f t="shared" si="178"/>
      </c>
      <c r="T926" s="4">
        <f t="shared" si="179"/>
      </c>
      <c r="U926" s="4">
        <f t="shared" si="186"/>
        <v/>
      </c>
    </row>
    <row r="927" spans="1:21" x14ac:dyDescent="0.3">
      <c r="A927" s="4">
        <f t="shared" ref="A927:A990" si="187">IF(B927=B928,"",B927)</f>
        <v/>
      </c>
      <c r="B927" s="4">
        <f>IF(C927=1,MAX(B$2:$B926)+1,IF(F927=0,"",B926))</f>
        <v/>
      </c>
      <c r="C927" s="4">
        <f>COUNTIF($F$2:$F927,F927)</f>
      </c>
      <c r="D927" s="4">
        <f>IF(F927=0,0,MAX($D$2:D926)+1)</f>
      </c>
      <c r="E927" s="4">
        <f>IF(H927=0,0,MAX($E$2:E926)+1)</f>
      </c>
      <c r="F927" s="59"/>
      <c r="G927" s="59"/>
      <c r="H927" s="59"/>
      <c r="I927" s="4">
        <f>IFERROR(VLOOKUP(H927,H$2:H926,1,FALSE),VLOOKUP(H927,H$478:H928,1,FALSE))</f>
      </c>
      <c r="J927" s="4">
        <f t="shared" si="180"/>
        <v/>
      </c>
      <c r="K927" s="4">
        <f t="shared" si="181"/>
        <v/>
      </c>
      <c r="L927" s="4">
        <f t="shared" si="182"/>
        <v/>
      </c>
      <c r="M927" s="5">
        <f t="shared" ref="M927:M990" si="188">IFERROR(VLOOKUP(H927,Нагрузка_диапазон_1,4,FALSE),"")</f>
        <v/>
      </c>
      <c r="N927" s="4">
        <f t="shared" si="183"/>
        <v/>
      </c>
      <c r="O927" s="4"/>
      <c r="P927" s="4">
        <f t="shared" si="184"/>
        <v/>
      </c>
      <c r="Q927" s="4">
        <f t="shared" si="185"/>
        <v/>
      </c>
      <c r="R927" s="4">
        <f t="shared" ref="R927:R990" si="189">IF(Q927=3,"L1,L2,L3",0)</f>
      </c>
      <c r="S927" s="4">
        <f t="shared" ref="S927:S990" si="190">IF(C927=1,1,IF(Q927=3,S926,IF(S926=3,1,S926+1)))</f>
      </c>
      <c r="T927" s="4">
        <f t="shared" ref="T927:T990" si="191">IF(R927=0,"L"&amp;S927,R927)</f>
      </c>
      <c r="U927" s="4">
        <f t="shared" si="186"/>
        <v/>
      </c>
    </row>
    <row r="928" spans="1:21" x14ac:dyDescent="0.3">
      <c r="A928" s="4">
        <f t="shared" si="187"/>
        <v/>
      </c>
      <c r="B928" s="4">
        <f>IF(C928=1,MAX(B$2:$B927)+1,IF(F928=0,"",B927))</f>
        <v/>
      </c>
      <c r="C928" s="4">
        <f>COUNTIF($F$2:$F928,F928)</f>
      </c>
      <c r="D928" s="4">
        <f>IF(F928=0,0,MAX($D$2:D927)+1)</f>
      </c>
      <c r="E928" s="4">
        <f>IF(H928=0,0,MAX($E$2:E927)+1)</f>
      </c>
      <c r="F928" s="59"/>
      <c r="G928" s="59"/>
      <c r="H928" s="59"/>
      <c r="I928" s="4">
        <f>IFERROR(VLOOKUP(H928,H$2:H927,1,FALSE),VLOOKUP(H928,H$478:H929,1,FALSE))</f>
      </c>
      <c r="J928" s="4">
        <f t="shared" si="180"/>
        <v/>
      </c>
      <c r="K928" s="4">
        <f t="shared" si="181"/>
        <v/>
      </c>
      <c r="L928" s="4">
        <f t="shared" si="182"/>
        <v/>
      </c>
      <c r="M928" s="5">
        <f t="shared" si="188"/>
        <v/>
      </c>
      <c r="N928" s="4">
        <f t="shared" si="183"/>
        <v/>
      </c>
      <c r="O928" s="4"/>
      <c r="P928" s="4">
        <f t="shared" si="184"/>
        <v/>
      </c>
      <c r="Q928" s="4">
        <f t="shared" si="185"/>
        <v/>
      </c>
      <c r="R928" s="4">
        <f t="shared" si="189"/>
      </c>
      <c r="S928" s="4">
        <f t="shared" si="190"/>
      </c>
      <c r="T928" s="4">
        <f t="shared" si="191"/>
      </c>
      <c r="U928" s="4">
        <f t="shared" si="186"/>
        <v/>
      </c>
    </row>
    <row r="929" spans="1:21" x14ac:dyDescent="0.3">
      <c r="A929" s="4">
        <f t="shared" si="187"/>
        <v/>
      </c>
      <c r="B929" s="4">
        <f>IF(C929=1,MAX(B$2:$B928)+1,IF(F929=0,"",B928))</f>
        <v/>
      </c>
      <c r="C929" s="4">
        <f>COUNTIF($F$2:$F929,F929)</f>
      </c>
      <c r="D929" s="4">
        <f>IF(F929=0,0,MAX($D$2:D928)+1)</f>
      </c>
      <c r="E929" s="4">
        <f>IF(H929=0,0,MAX($E$2:E928)+1)</f>
      </c>
      <c r="F929" s="59"/>
      <c r="G929" s="59"/>
      <c r="H929" s="59"/>
      <c r="I929" s="4">
        <f>IFERROR(VLOOKUP(H929,H$2:H928,1,FALSE),VLOOKUP(H929,H$478:H930,1,FALSE))</f>
      </c>
      <c r="J929" s="4">
        <f t="shared" si="180"/>
        <v/>
      </c>
      <c r="K929" s="4">
        <f t="shared" si="181"/>
        <v/>
      </c>
      <c r="L929" s="4">
        <f t="shared" si="182"/>
        <v/>
      </c>
      <c r="M929" s="5">
        <f t="shared" si="188"/>
        <v/>
      </c>
      <c r="N929" s="4">
        <f t="shared" si="183"/>
        <v/>
      </c>
      <c r="O929" s="4"/>
      <c r="P929" s="4">
        <f t="shared" si="184"/>
        <v/>
      </c>
      <c r="Q929" s="4">
        <f t="shared" si="185"/>
        <v/>
      </c>
      <c r="R929" s="4">
        <f t="shared" si="189"/>
      </c>
      <c r="S929" s="4">
        <f t="shared" si="190"/>
      </c>
      <c r="T929" s="4">
        <f t="shared" si="191"/>
      </c>
      <c r="U929" s="4">
        <f t="shared" si="186"/>
        <v/>
      </c>
    </row>
    <row r="930" spans="1:21" x14ac:dyDescent="0.3">
      <c r="A930" s="4">
        <f t="shared" si="187"/>
        <v/>
      </c>
      <c r="B930" s="4">
        <f>IF(C930=1,MAX(B$2:$B929)+1,IF(F930=0,"",B929))</f>
        <v/>
      </c>
      <c r="C930" s="4">
        <f>COUNTIF($F$2:$F930,F930)</f>
      </c>
      <c r="D930" s="4">
        <f>IF(F930=0,0,MAX($D$2:D929)+1)</f>
      </c>
      <c r="E930" s="4">
        <f>IF(H930=0,0,MAX($E$2:E929)+1)</f>
      </c>
      <c r="F930" s="59"/>
      <c r="G930" s="59"/>
      <c r="H930" s="59"/>
      <c r="I930" s="4">
        <f>IFERROR(VLOOKUP(H930,H$2:H929,1,FALSE),VLOOKUP(H930,H$478:H931,1,FALSE))</f>
      </c>
      <c r="J930" s="4">
        <f t="shared" si="180"/>
        <v/>
      </c>
      <c r="K930" s="4">
        <f t="shared" si="181"/>
        <v/>
      </c>
      <c r="L930" s="4">
        <f t="shared" si="182"/>
        <v/>
      </c>
      <c r="M930" s="5">
        <f t="shared" si="188"/>
        <v/>
      </c>
      <c r="N930" s="4">
        <f t="shared" si="183"/>
        <v/>
      </c>
      <c r="O930" s="4"/>
      <c r="P930" s="4">
        <f t="shared" si="184"/>
        <v/>
      </c>
      <c r="Q930" s="4">
        <f t="shared" si="185"/>
        <v/>
      </c>
      <c r="R930" s="4">
        <f t="shared" si="189"/>
      </c>
      <c r="S930" s="4">
        <f t="shared" si="190"/>
      </c>
      <c r="T930" s="4">
        <f t="shared" si="191"/>
      </c>
      <c r="U930" s="4">
        <f t="shared" si="186"/>
        <v/>
      </c>
    </row>
    <row r="931" spans="1:21" x14ac:dyDescent="0.3">
      <c r="A931" s="4">
        <f t="shared" si="187"/>
        <v/>
      </c>
      <c r="B931" s="4">
        <f>IF(C931=1,MAX(B$2:$B930)+1,IF(F931=0,"",B930))</f>
        <v/>
      </c>
      <c r="C931" s="4">
        <f>COUNTIF($F$2:$F931,F931)</f>
      </c>
      <c r="D931" s="4">
        <f>IF(F931=0,0,MAX($D$2:D930)+1)</f>
      </c>
      <c r="E931" s="4">
        <f>IF(H931=0,0,MAX($E$2:E930)+1)</f>
      </c>
      <c r="F931" s="59"/>
      <c r="G931" s="59"/>
      <c r="H931" s="59"/>
      <c r="I931" s="4">
        <f>IFERROR(VLOOKUP(H931,H$2:H930,1,FALSE),VLOOKUP(H931,H$478:H932,1,FALSE))</f>
      </c>
      <c r="J931" s="4">
        <f t="shared" si="180"/>
        <v/>
      </c>
      <c r="K931" s="4">
        <f t="shared" si="181"/>
        <v/>
      </c>
      <c r="L931" s="4">
        <f t="shared" si="182"/>
        <v/>
      </c>
      <c r="M931" s="5">
        <f t="shared" si="188"/>
        <v/>
      </c>
      <c r="N931" s="4">
        <f t="shared" si="183"/>
        <v/>
      </c>
      <c r="O931" s="4"/>
      <c r="P931" s="4">
        <f t="shared" si="184"/>
        <v/>
      </c>
      <c r="Q931" s="4">
        <f t="shared" si="185"/>
        <v/>
      </c>
      <c r="R931" s="4">
        <f t="shared" si="189"/>
      </c>
      <c r="S931" s="4">
        <f t="shared" si="190"/>
      </c>
      <c r="T931" s="4">
        <f t="shared" si="191"/>
      </c>
      <c r="U931" s="4">
        <f t="shared" si="186"/>
        <v/>
      </c>
    </row>
    <row r="932" spans="1:21" x14ac:dyDescent="0.3">
      <c r="A932" s="4">
        <f t="shared" si="187"/>
        <v/>
      </c>
      <c r="B932" s="4">
        <f>IF(C932=1,MAX(B$2:$B931)+1,IF(F932=0,"",B931))</f>
        <v/>
      </c>
      <c r="C932" s="4">
        <f>COUNTIF($F$2:$F932,F932)</f>
      </c>
      <c r="D932" s="4">
        <f>IF(F932=0,0,MAX($D$2:D931)+1)</f>
      </c>
      <c r="E932" s="4">
        <f>IF(H932=0,0,MAX($E$2:E931)+1)</f>
      </c>
      <c r="F932" s="59"/>
      <c r="G932" s="59"/>
      <c r="H932" s="59"/>
      <c r="I932" s="4">
        <f>IFERROR(VLOOKUP(H932,H$2:H931,1,FALSE),VLOOKUP(H932,H$478:H933,1,FALSE))</f>
      </c>
      <c r="J932" s="4">
        <f t="shared" si="180"/>
        <v/>
      </c>
      <c r="K932" s="4">
        <f t="shared" si="181"/>
        <v/>
      </c>
      <c r="L932" s="4">
        <f t="shared" si="182"/>
        <v/>
      </c>
      <c r="M932" s="5">
        <f t="shared" si="188"/>
        <v/>
      </c>
      <c r="N932" s="4">
        <f t="shared" si="183"/>
        <v/>
      </c>
      <c r="O932" s="4"/>
      <c r="P932" s="4">
        <f t="shared" si="184"/>
        <v/>
      </c>
      <c r="Q932" s="4">
        <f t="shared" si="185"/>
        <v/>
      </c>
      <c r="R932" s="4">
        <f t="shared" si="189"/>
      </c>
      <c r="S932" s="4">
        <f t="shared" si="190"/>
      </c>
      <c r="T932" s="4">
        <f t="shared" si="191"/>
      </c>
      <c r="U932" s="4">
        <f t="shared" si="186"/>
        <v/>
      </c>
    </row>
    <row r="933" spans="1:21" x14ac:dyDescent="0.3">
      <c r="A933" s="4">
        <f t="shared" si="187"/>
        <v/>
      </c>
      <c r="B933" s="4">
        <f>IF(C933=1,MAX(B$2:$B932)+1,IF(F933=0,"",B932))</f>
        <v/>
      </c>
      <c r="C933" s="4">
        <f>COUNTIF($F$2:$F933,F933)</f>
      </c>
      <c r="D933" s="4">
        <f>IF(F933=0,0,MAX($D$2:D932)+1)</f>
      </c>
      <c r="E933" s="4">
        <f>IF(H933=0,0,MAX($E$2:E932)+1)</f>
      </c>
      <c r="F933" s="59"/>
      <c r="G933" s="59"/>
      <c r="H933" s="59"/>
      <c r="I933" s="4">
        <f>IFERROR(VLOOKUP(H933,H$2:H932,1,FALSE),VLOOKUP(H933,H$478:H934,1,FALSE))</f>
      </c>
      <c r="J933" s="4">
        <f t="shared" si="180"/>
        <v/>
      </c>
      <c r="K933" s="4">
        <f t="shared" si="181"/>
        <v/>
      </c>
      <c r="L933" s="4">
        <f t="shared" si="182"/>
        <v/>
      </c>
      <c r="M933" s="5">
        <f t="shared" si="188"/>
        <v/>
      </c>
      <c r="N933" s="4">
        <f t="shared" si="183"/>
        <v/>
      </c>
      <c r="O933" s="4"/>
      <c r="P933" s="4">
        <f t="shared" si="184"/>
        <v/>
      </c>
      <c r="Q933" s="4">
        <f t="shared" si="185"/>
        <v/>
      </c>
      <c r="R933" s="4">
        <f t="shared" si="189"/>
      </c>
      <c r="S933" s="4">
        <f t="shared" si="190"/>
      </c>
      <c r="T933" s="4">
        <f t="shared" si="191"/>
      </c>
      <c r="U933" s="4">
        <f t="shared" si="186"/>
        <v/>
      </c>
    </row>
    <row r="934" spans="1:21" x14ac:dyDescent="0.3">
      <c r="A934" s="4">
        <f t="shared" si="187"/>
        <v/>
      </c>
      <c r="B934" s="4">
        <f>IF(C934=1,MAX(B$2:$B933)+1,IF(F934=0,"",B933))</f>
        <v/>
      </c>
      <c r="C934" s="4">
        <f>COUNTIF($F$2:$F934,F934)</f>
      </c>
      <c r="D934" s="4">
        <f>IF(F934=0,0,MAX($D$2:D933)+1)</f>
      </c>
      <c r="E934" s="4">
        <f>IF(H934=0,0,MAX($E$2:E933)+1)</f>
      </c>
      <c r="F934" s="59"/>
      <c r="G934" s="59"/>
      <c r="H934" s="59"/>
      <c r="I934" s="4">
        <f>IFERROR(VLOOKUP(H934,H$2:H933,1,FALSE),VLOOKUP(H934,H$478:H935,1,FALSE))</f>
      </c>
      <c r="J934" s="4">
        <f t="shared" si="180"/>
        <v/>
      </c>
      <c r="K934" s="4">
        <f t="shared" si="181"/>
        <v/>
      </c>
      <c r="L934" s="4">
        <f t="shared" si="182"/>
        <v/>
      </c>
      <c r="M934" s="5">
        <f t="shared" si="188"/>
        <v/>
      </c>
      <c r="N934" s="4">
        <f t="shared" si="183"/>
        <v/>
      </c>
      <c r="O934" s="4"/>
      <c r="P934" s="4">
        <f t="shared" si="184"/>
        <v/>
      </c>
      <c r="Q934" s="4">
        <f t="shared" si="185"/>
        <v/>
      </c>
      <c r="R934" s="4">
        <f t="shared" si="189"/>
      </c>
      <c r="S934" s="4">
        <f t="shared" si="190"/>
      </c>
      <c r="T934" s="4">
        <f t="shared" si="191"/>
      </c>
      <c r="U934" s="4">
        <f t="shared" si="186"/>
        <v/>
      </c>
    </row>
    <row r="935" spans="1:21" x14ac:dyDescent="0.3">
      <c r="A935" s="4">
        <f t="shared" si="187"/>
        <v/>
      </c>
      <c r="B935" s="4">
        <f>IF(C935=1,MAX(B$2:$B934)+1,IF(F935=0,"",B934))</f>
        <v/>
      </c>
      <c r="C935" s="4">
        <f>COUNTIF($F$2:$F935,F935)</f>
      </c>
      <c r="D935" s="4">
        <f>IF(F935=0,0,MAX($D$2:D934)+1)</f>
      </c>
      <c r="E935" s="4">
        <f>IF(H935=0,0,MAX($E$2:E934)+1)</f>
      </c>
      <c r="F935" s="59"/>
      <c r="G935" s="59"/>
      <c r="H935" s="59"/>
      <c r="I935" s="4">
        <f>IFERROR(VLOOKUP(H935,H$2:H934,1,FALSE),VLOOKUP(H935,H$478:H936,1,FALSE))</f>
      </c>
      <c r="J935" s="4">
        <f t="shared" si="180"/>
        <v/>
      </c>
      <c r="K935" s="4">
        <f t="shared" si="181"/>
        <v/>
      </c>
      <c r="L935" s="4">
        <f t="shared" si="182"/>
        <v/>
      </c>
      <c r="M935" s="5">
        <f t="shared" si="188"/>
        <v/>
      </c>
      <c r="N935" s="4">
        <f t="shared" si="183"/>
        <v/>
      </c>
      <c r="O935" s="4"/>
      <c r="P935" s="4">
        <f t="shared" si="184"/>
        <v/>
      </c>
      <c r="Q935" s="4">
        <f t="shared" si="185"/>
        <v/>
      </c>
      <c r="R935" s="4">
        <f t="shared" si="189"/>
      </c>
      <c r="S935" s="4">
        <f t="shared" si="190"/>
      </c>
      <c r="T935" s="4">
        <f t="shared" si="191"/>
      </c>
      <c r="U935" s="4">
        <f t="shared" si="186"/>
        <v/>
      </c>
    </row>
    <row r="936" spans="1:21" x14ac:dyDescent="0.3">
      <c r="A936" s="4">
        <f t="shared" si="187"/>
        <v/>
      </c>
      <c r="B936" s="4">
        <f>IF(C936=1,MAX(B$2:$B935)+1,IF(F936=0,"",B935))</f>
        <v/>
      </c>
      <c r="C936" s="4">
        <f>COUNTIF($F$2:$F936,F936)</f>
      </c>
      <c r="D936" s="4">
        <f>IF(F936=0,0,MAX($D$2:D935)+1)</f>
      </c>
      <c r="E936" s="4">
        <f>IF(H936=0,0,MAX($E$2:E935)+1)</f>
      </c>
      <c r="F936" s="59"/>
      <c r="G936" s="59"/>
      <c r="H936" s="59"/>
      <c r="I936" s="4">
        <f>IFERROR(VLOOKUP(H936,H$2:H935,1,FALSE),VLOOKUP(H936,H$478:H937,1,FALSE))</f>
      </c>
      <c r="J936" s="4">
        <f t="shared" si="180"/>
        <v/>
      </c>
      <c r="K936" s="4">
        <f t="shared" si="181"/>
        <v/>
      </c>
      <c r="L936" s="4">
        <f t="shared" si="182"/>
        <v/>
      </c>
      <c r="M936" s="5">
        <f t="shared" si="188"/>
        <v/>
      </c>
      <c r="N936" s="4">
        <f t="shared" si="183"/>
        <v/>
      </c>
      <c r="O936" s="4"/>
      <c r="P936" s="4">
        <f t="shared" si="184"/>
        <v/>
      </c>
      <c r="Q936" s="4">
        <f t="shared" si="185"/>
        <v/>
      </c>
      <c r="R936" s="4">
        <f t="shared" si="189"/>
      </c>
      <c r="S936" s="4">
        <f t="shared" si="190"/>
      </c>
      <c r="T936" s="4">
        <f t="shared" si="191"/>
      </c>
      <c r="U936" s="4">
        <f t="shared" si="186"/>
        <v/>
      </c>
    </row>
    <row r="937" spans="1:21" x14ac:dyDescent="0.3">
      <c r="A937" s="4">
        <f t="shared" si="187"/>
        <v/>
      </c>
      <c r="B937" s="4">
        <f>IF(C937=1,MAX(B$2:$B936)+1,IF(F937=0,"",B936))</f>
        <v/>
      </c>
      <c r="C937" s="4">
        <f>COUNTIF($F$2:$F937,F937)</f>
      </c>
      <c r="D937" s="4">
        <f>IF(F937=0,0,MAX($D$2:D936)+1)</f>
      </c>
      <c r="E937" s="4">
        <f>IF(H937=0,0,MAX($E$2:E936)+1)</f>
      </c>
      <c r="F937" s="59"/>
      <c r="G937" s="59"/>
      <c r="H937" s="59"/>
      <c r="I937" s="4">
        <f>IFERROR(VLOOKUP(H937,H$2:H936,1,FALSE),VLOOKUP(H937,H$478:H938,1,FALSE))</f>
      </c>
      <c r="J937" s="4">
        <f t="shared" si="180"/>
        <v/>
      </c>
      <c r="K937" s="4">
        <f t="shared" si="181"/>
        <v/>
      </c>
      <c r="L937" s="4">
        <f t="shared" si="182"/>
        <v/>
      </c>
      <c r="M937" s="5">
        <f t="shared" si="188"/>
        <v/>
      </c>
      <c r="N937" s="4">
        <f t="shared" si="183"/>
        <v/>
      </c>
      <c r="O937" s="4"/>
      <c r="P937" s="4">
        <f t="shared" si="184"/>
        <v/>
      </c>
      <c r="Q937" s="4">
        <f t="shared" si="185"/>
        <v/>
      </c>
      <c r="R937" s="4">
        <f t="shared" si="189"/>
      </c>
      <c r="S937" s="4">
        <f t="shared" si="190"/>
      </c>
      <c r="T937" s="4">
        <f t="shared" si="191"/>
      </c>
      <c r="U937" s="4">
        <f t="shared" si="186"/>
        <v/>
      </c>
    </row>
    <row r="938" spans="1:21" x14ac:dyDescent="0.3">
      <c r="A938" s="4">
        <f t="shared" si="187"/>
        <v/>
      </c>
      <c r="B938" s="4">
        <f>IF(C938=1,MAX(B$2:$B937)+1,IF(F938=0,"",B937))</f>
        <v/>
      </c>
      <c r="C938" s="4">
        <f>COUNTIF($F$2:$F938,F938)</f>
      </c>
      <c r="D938" s="4">
        <f>IF(F938=0,0,MAX($D$2:D937)+1)</f>
      </c>
      <c r="E938" s="4">
        <f>IF(H938=0,0,MAX($E$2:E937)+1)</f>
      </c>
      <c r="F938" s="59"/>
      <c r="G938" s="59"/>
      <c r="H938" s="59"/>
      <c r="I938" s="4">
        <f>IFERROR(VLOOKUP(H938,H$2:H937,1,FALSE),VLOOKUP(H938,H$478:H939,1,FALSE))</f>
      </c>
      <c r="J938" s="4">
        <f t="shared" si="180"/>
        <v/>
      </c>
      <c r="K938" s="4">
        <f t="shared" si="181"/>
        <v/>
      </c>
      <c r="L938" s="4">
        <f t="shared" si="182"/>
        <v/>
      </c>
      <c r="M938" s="5">
        <f t="shared" si="188"/>
        <v/>
      </c>
      <c r="N938" s="4">
        <f t="shared" si="183"/>
        <v/>
      </c>
      <c r="O938" s="4"/>
      <c r="P938" s="4">
        <f t="shared" si="184"/>
        <v/>
      </c>
      <c r="Q938" s="4">
        <f t="shared" si="185"/>
        <v/>
      </c>
      <c r="R938" s="4">
        <f t="shared" si="189"/>
      </c>
      <c r="S938" s="4">
        <f t="shared" si="190"/>
      </c>
      <c r="T938" s="4">
        <f t="shared" si="191"/>
      </c>
      <c r="U938" s="4">
        <f t="shared" si="186"/>
        <v/>
      </c>
    </row>
    <row r="939" spans="1:21" x14ac:dyDescent="0.3">
      <c r="A939" s="4">
        <f t="shared" si="187"/>
        <v/>
      </c>
      <c r="B939" s="4">
        <f>IF(C939=1,MAX(B$2:$B938)+1,IF(F939=0,"",B938))</f>
        <v/>
      </c>
      <c r="C939" s="4">
        <f>COUNTIF($F$2:$F939,F939)</f>
      </c>
      <c r="D939" s="4">
        <f>IF(F939=0,0,MAX($D$2:D938)+1)</f>
      </c>
      <c r="E939" s="4">
        <f>IF(H939=0,0,MAX($E$2:E938)+1)</f>
      </c>
      <c r="F939" s="59"/>
      <c r="G939" s="59"/>
      <c r="H939" s="59"/>
      <c r="I939" s="4">
        <f>IFERROR(VLOOKUP(H939,H$2:H938,1,FALSE),VLOOKUP(H939,H$478:H940,1,FALSE))</f>
      </c>
      <c r="J939" s="4">
        <f t="shared" si="180"/>
        <v/>
      </c>
      <c r="K939" s="4">
        <f t="shared" si="181"/>
        <v/>
      </c>
      <c r="L939" s="4">
        <f t="shared" si="182"/>
        <v/>
      </c>
      <c r="M939" s="5">
        <f t="shared" si="188"/>
        <v/>
      </c>
      <c r="N939" s="4">
        <f t="shared" si="183"/>
        <v/>
      </c>
      <c r="O939" s="4"/>
      <c r="P939" s="4">
        <f t="shared" si="184"/>
        <v/>
      </c>
      <c r="Q939" s="4">
        <f t="shared" si="185"/>
        <v/>
      </c>
      <c r="R939" s="4">
        <f t="shared" si="189"/>
      </c>
      <c r="S939" s="4">
        <f t="shared" si="190"/>
      </c>
      <c r="T939" s="4">
        <f t="shared" si="191"/>
      </c>
      <c r="U939" s="4">
        <f t="shared" si="186"/>
        <v/>
      </c>
    </row>
    <row r="940" spans="1:21" x14ac:dyDescent="0.3">
      <c r="A940" s="4">
        <f t="shared" si="187"/>
        <v/>
      </c>
      <c r="B940" s="4">
        <f>IF(C940=1,MAX(B$2:$B939)+1,IF(F940=0,"",B939))</f>
        <v/>
      </c>
      <c r="C940" s="4">
        <f>COUNTIF($F$2:$F940,F940)</f>
      </c>
      <c r="D940" s="4">
        <f>IF(F940=0,0,MAX($D$2:D939)+1)</f>
      </c>
      <c r="E940" s="4">
        <f>IF(H940=0,0,MAX($E$2:E939)+1)</f>
      </c>
      <c r="F940" s="59"/>
      <c r="G940" s="59"/>
      <c r="H940" s="59"/>
      <c r="I940" s="4">
        <f>IFERROR(VLOOKUP(H940,H$2:H939,1,FALSE),VLOOKUP(H940,H$478:H941,1,FALSE))</f>
      </c>
      <c r="J940" s="4">
        <f t="shared" si="180"/>
        <v/>
      </c>
      <c r="K940" s="4">
        <f t="shared" si="181"/>
        <v/>
      </c>
      <c r="L940" s="4">
        <f t="shared" si="182"/>
        <v/>
      </c>
      <c r="M940" s="5">
        <f t="shared" si="188"/>
        <v/>
      </c>
      <c r="N940" s="4">
        <f t="shared" si="183"/>
        <v/>
      </c>
      <c r="O940" s="4"/>
      <c r="P940" s="4">
        <f t="shared" si="184"/>
        <v/>
      </c>
      <c r="Q940" s="4">
        <f t="shared" si="185"/>
        <v/>
      </c>
      <c r="R940" s="4">
        <f t="shared" si="189"/>
      </c>
      <c r="S940" s="4">
        <f t="shared" si="190"/>
      </c>
      <c r="T940" s="4">
        <f t="shared" si="191"/>
      </c>
      <c r="U940" s="4">
        <f t="shared" si="186"/>
        <v/>
      </c>
    </row>
    <row r="941" spans="1:21" x14ac:dyDescent="0.3">
      <c r="A941" s="4">
        <f t="shared" si="187"/>
        <v/>
      </c>
      <c r="B941" s="4">
        <f>IF(C941=1,MAX(B$2:$B940)+1,IF(F941=0,"",B940))</f>
        <v/>
      </c>
      <c r="C941" s="4">
        <f>COUNTIF($F$2:$F941,F941)</f>
      </c>
      <c r="D941" s="4">
        <f>IF(F941=0,0,MAX($D$2:D940)+1)</f>
      </c>
      <c r="E941" s="4">
        <f>IF(H941=0,0,MAX($E$2:E940)+1)</f>
      </c>
      <c r="F941" s="59"/>
      <c r="G941" s="59"/>
      <c r="H941" s="59"/>
      <c r="I941" s="4">
        <f>IFERROR(VLOOKUP(H941,H$2:H940,1,FALSE),VLOOKUP(H941,H$478:H942,1,FALSE))</f>
      </c>
      <c r="J941" s="4">
        <f t="shared" si="180"/>
        <v/>
      </c>
      <c r="K941" s="4">
        <f t="shared" si="181"/>
        <v/>
      </c>
      <c r="L941" s="4">
        <f t="shared" si="182"/>
        <v/>
      </c>
      <c r="M941" s="5">
        <f t="shared" si="188"/>
        <v/>
      </c>
      <c r="N941" s="4">
        <f t="shared" si="183"/>
        <v/>
      </c>
      <c r="O941" s="4"/>
      <c r="P941" s="4">
        <f t="shared" si="184"/>
        <v/>
      </c>
      <c r="Q941" s="4">
        <f t="shared" si="185"/>
        <v/>
      </c>
      <c r="R941" s="4">
        <f t="shared" si="189"/>
      </c>
      <c r="S941" s="4">
        <f t="shared" si="190"/>
      </c>
      <c r="T941" s="4">
        <f t="shared" si="191"/>
      </c>
      <c r="U941" s="4">
        <f t="shared" si="186"/>
        <v/>
      </c>
    </row>
    <row r="942" spans="1:21" x14ac:dyDescent="0.3">
      <c r="A942" s="4">
        <f t="shared" si="187"/>
        <v/>
      </c>
      <c r="B942" s="4">
        <f>IF(C942=1,MAX(B$2:$B941)+1,IF(F942=0,"",B941))</f>
        <v/>
      </c>
      <c r="C942" s="4">
        <f>COUNTIF($F$2:$F942,F942)</f>
      </c>
      <c r="D942" s="4">
        <f>IF(F942=0,0,MAX($D$2:D941)+1)</f>
      </c>
      <c r="E942" s="4">
        <f>IF(H942=0,0,MAX($E$2:E941)+1)</f>
      </c>
      <c r="F942" s="59"/>
      <c r="G942" s="59"/>
      <c r="H942" s="59"/>
      <c r="I942" s="4">
        <f>IFERROR(VLOOKUP(H942,H$2:H941,1,FALSE),VLOOKUP(H942,H$478:H943,1,FALSE))</f>
      </c>
      <c r="J942" s="4">
        <f t="shared" si="180"/>
        <v/>
      </c>
      <c r="K942" s="4">
        <f t="shared" si="181"/>
        <v/>
      </c>
      <c r="L942" s="4">
        <f t="shared" si="182"/>
        <v/>
      </c>
      <c r="M942" s="5">
        <f t="shared" si="188"/>
        <v/>
      </c>
      <c r="N942" s="4">
        <f t="shared" si="183"/>
        <v/>
      </c>
      <c r="O942" s="4"/>
      <c r="P942" s="4">
        <f t="shared" si="184"/>
        <v/>
      </c>
      <c r="Q942" s="4">
        <f t="shared" si="185"/>
        <v/>
      </c>
      <c r="R942" s="4">
        <f t="shared" si="189"/>
      </c>
      <c r="S942" s="4">
        <f t="shared" si="190"/>
      </c>
      <c r="T942" s="4">
        <f t="shared" si="191"/>
      </c>
      <c r="U942" s="4">
        <f t="shared" si="186"/>
        <v/>
      </c>
    </row>
    <row r="943" spans="1:21" x14ac:dyDescent="0.3">
      <c r="A943" s="4">
        <f t="shared" si="187"/>
        <v/>
      </c>
      <c r="B943" s="4">
        <f>IF(C943=1,MAX(B$2:$B942)+1,IF(F943=0,"",B942))</f>
        <v/>
      </c>
      <c r="C943" s="4">
        <f>COUNTIF($F$2:$F943,F943)</f>
      </c>
      <c r="D943" s="4">
        <f>IF(F943=0,0,MAX($D$2:D942)+1)</f>
      </c>
      <c r="E943" s="4">
        <f>IF(H943=0,0,MAX($E$2:E942)+1)</f>
      </c>
      <c r="F943" s="59"/>
      <c r="G943" s="59"/>
      <c r="H943" s="59"/>
      <c r="I943" s="4">
        <f>IFERROR(VLOOKUP(H943,H$2:H942,1,FALSE),VLOOKUP(H943,H$478:H944,1,FALSE))</f>
      </c>
      <c r="J943" s="4">
        <f t="shared" si="180"/>
        <v/>
      </c>
      <c r="K943" s="4">
        <f t="shared" si="181"/>
        <v/>
      </c>
      <c r="L943" s="4">
        <f t="shared" si="182"/>
        <v/>
      </c>
      <c r="M943" s="5">
        <f t="shared" si="188"/>
        <v/>
      </c>
      <c r="N943" s="4">
        <f t="shared" si="183"/>
        <v/>
      </c>
      <c r="O943" s="4"/>
      <c r="P943" s="4">
        <f t="shared" si="184"/>
        <v/>
      </c>
      <c r="Q943" s="4">
        <f t="shared" si="185"/>
        <v/>
      </c>
      <c r="R943" s="4">
        <f t="shared" si="189"/>
      </c>
      <c r="S943" s="4">
        <f t="shared" si="190"/>
      </c>
      <c r="T943" s="4">
        <f t="shared" si="191"/>
      </c>
      <c r="U943" s="4">
        <f t="shared" si="186"/>
        <v/>
      </c>
    </row>
    <row r="944" spans="1:21" x14ac:dyDescent="0.3">
      <c r="A944" s="4">
        <f t="shared" si="187"/>
        <v/>
      </c>
      <c r="B944" s="4">
        <f>IF(C944=1,MAX(B$2:$B943)+1,IF(F944=0,"",B943))</f>
        <v/>
      </c>
      <c r="C944" s="4">
        <f>COUNTIF($F$2:$F944,F944)</f>
      </c>
      <c r="D944" s="4">
        <f>IF(F944=0,0,MAX($D$2:D943)+1)</f>
      </c>
      <c r="E944" s="4">
        <f>IF(H944=0,0,MAX($E$2:E943)+1)</f>
      </c>
      <c r="F944" s="59"/>
      <c r="G944" s="59"/>
      <c r="H944" s="59"/>
      <c r="I944" s="4">
        <f>IFERROR(VLOOKUP(H944,H$2:H943,1,FALSE),VLOOKUP(H944,H$478:H945,1,FALSE))</f>
      </c>
      <c r="J944" s="4">
        <f t="shared" si="180"/>
        <v/>
      </c>
      <c r="K944" s="4">
        <f t="shared" si="181"/>
        <v/>
      </c>
      <c r="L944" s="4">
        <f t="shared" si="182"/>
        <v/>
      </c>
      <c r="M944" s="5">
        <f t="shared" si="188"/>
        <v/>
      </c>
      <c r="N944" s="4">
        <f t="shared" si="183"/>
        <v/>
      </c>
      <c r="O944" s="4"/>
      <c r="P944" s="4">
        <f t="shared" si="184"/>
        <v/>
      </c>
      <c r="Q944" s="4">
        <f t="shared" si="185"/>
        <v/>
      </c>
      <c r="R944" s="4">
        <f t="shared" si="189"/>
      </c>
      <c r="S944" s="4">
        <f t="shared" si="190"/>
      </c>
      <c r="T944" s="4">
        <f t="shared" si="191"/>
      </c>
      <c r="U944" s="4">
        <f t="shared" si="186"/>
        <v/>
      </c>
    </row>
    <row r="945" spans="1:21" x14ac:dyDescent="0.3">
      <c r="A945" s="4">
        <f t="shared" si="187"/>
        <v/>
      </c>
      <c r="B945" s="4">
        <f>IF(C945=1,MAX(B$2:$B944)+1,IF(F945=0,"",B944))</f>
        <v/>
      </c>
      <c r="C945" s="4">
        <f>COUNTIF($F$2:$F945,F945)</f>
      </c>
      <c r="D945" s="4">
        <f>IF(F945=0,0,MAX($D$2:D944)+1)</f>
      </c>
      <c r="E945" s="4">
        <f>IF(H945=0,0,MAX($E$2:E944)+1)</f>
      </c>
      <c r="F945" s="59"/>
      <c r="G945" s="59"/>
      <c r="H945" s="59"/>
      <c r="I945" s="4">
        <f>IFERROR(VLOOKUP(H945,H$2:H944,1,FALSE),VLOOKUP(H945,H$478:H946,1,FALSE))</f>
      </c>
      <c r="J945" s="4">
        <f t="shared" si="180"/>
        <v/>
      </c>
      <c r="K945" s="4">
        <f t="shared" si="181"/>
        <v/>
      </c>
      <c r="L945" s="4">
        <f t="shared" si="182"/>
        <v/>
      </c>
      <c r="M945" s="5">
        <f t="shared" si="188"/>
        <v/>
      </c>
      <c r="N945" s="4">
        <f t="shared" si="183"/>
        <v/>
      </c>
      <c r="O945" s="4"/>
      <c r="P945" s="4">
        <f t="shared" si="184"/>
        <v/>
      </c>
      <c r="Q945" s="4">
        <f t="shared" si="185"/>
        <v/>
      </c>
      <c r="R945" s="4">
        <f t="shared" si="189"/>
      </c>
      <c r="S945" s="4">
        <f t="shared" si="190"/>
      </c>
      <c r="T945" s="4">
        <f t="shared" si="191"/>
      </c>
      <c r="U945" s="4">
        <f t="shared" si="186"/>
        <v/>
      </c>
    </row>
    <row r="946" spans="1:21" x14ac:dyDescent="0.3">
      <c r="A946" s="4">
        <f t="shared" si="187"/>
        <v/>
      </c>
      <c r="B946" s="4">
        <f>IF(C946=1,MAX(B$2:$B945)+1,IF(F946=0,"",B945))</f>
        <v/>
      </c>
      <c r="C946" s="4">
        <f>COUNTIF($F$2:$F946,F946)</f>
      </c>
      <c r="D946" s="4">
        <f>IF(F946=0,0,MAX($D$2:D945)+1)</f>
      </c>
      <c r="E946" s="4">
        <f>IF(H946=0,0,MAX($E$2:E945)+1)</f>
      </c>
      <c r="F946" s="59"/>
      <c r="G946" s="59"/>
      <c r="H946" s="59"/>
      <c r="I946" s="4">
        <f>IFERROR(VLOOKUP(H946,H$2:H945,1,FALSE),VLOOKUP(H946,H$478:H947,1,FALSE))</f>
      </c>
      <c r="J946" s="4">
        <f t="shared" si="180"/>
        <v/>
      </c>
      <c r="K946" s="4">
        <f t="shared" si="181"/>
        <v/>
      </c>
      <c r="L946" s="4">
        <f t="shared" si="182"/>
        <v/>
      </c>
      <c r="M946" s="5">
        <f t="shared" si="188"/>
        <v/>
      </c>
      <c r="N946" s="4">
        <f t="shared" si="183"/>
        <v/>
      </c>
      <c r="O946" s="4"/>
      <c r="P946" s="4">
        <f t="shared" si="184"/>
        <v/>
      </c>
      <c r="Q946" s="4">
        <f t="shared" si="185"/>
        <v/>
      </c>
      <c r="R946" s="4">
        <f t="shared" si="189"/>
      </c>
      <c r="S946" s="4">
        <f t="shared" si="190"/>
      </c>
      <c r="T946" s="4">
        <f t="shared" si="191"/>
      </c>
      <c r="U946" s="4">
        <f t="shared" si="186"/>
        <v/>
      </c>
    </row>
    <row r="947" spans="1:21" x14ac:dyDescent="0.3">
      <c r="A947" s="4">
        <f t="shared" si="187"/>
        <v/>
      </c>
      <c r="B947" s="4">
        <f>IF(C947=1,MAX(B$2:$B946)+1,IF(F947=0,"",B946))</f>
        <v/>
      </c>
      <c r="C947" s="4">
        <f>COUNTIF($F$2:$F947,F947)</f>
      </c>
      <c r="D947" s="4">
        <f>IF(F947=0,0,MAX($D$2:D946)+1)</f>
      </c>
      <c r="E947" s="4">
        <f>IF(H947=0,0,MAX($E$2:E946)+1)</f>
      </c>
      <c r="F947" s="59"/>
      <c r="G947" s="59"/>
      <c r="H947" s="59"/>
      <c r="I947" s="4">
        <f>IFERROR(VLOOKUP(H947,H$2:H946,1,FALSE),VLOOKUP(H947,H$478:H948,1,FALSE))</f>
      </c>
      <c r="J947" s="4">
        <f t="shared" si="180"/>
        <v/>
      </c>
      <c r="K947" s="4">
        <f t="shared" si="181"/>
        <v/>
      </c>
      <c r="L947" s="4">
        <f t="shared" si="182"/>
        <v/>
      </c>
      <c r="M947" s="5">
        <f t="shared" si="188"/>
        <v/>
      </c>
      <c r="N947" s="4">
        <f t="shared" si="183"/>
        <v/>
      </c>
      <c r="O947" s="4"/>
      <c r="P947" s="4">
        <f t="shared" si="184"/>
        <v/>
      </c>
      <c r="Q947" s="4">
        <f t="shared" si="185"/>
        <v/>
      </c>
      <c r="R947" s="4">
        <f t="shared" si="189"/>
      </c>
      <c r="S947" s="4">
        <f t="shared" si="190"/>
      </c>
      <c r="T947" s="4">
        <f t="shared" si="191"/>
      </c>
      <c r="U947" s="4">
        <f t="shared" si="186"/>
        <v/>
      </c>
    </row>
    <row r="948" spans="1:21" x14ac:dyDescent="0.3">
      <c r="A948" s="4">
        <f t="shared" si="187"/>
        <v/>
      </c>
      <c r="B948" s="4">
        <f>IF(C948=1,MAX(B$2:$B947)+1,IF(F948=0,"",B947))</f>
        <v/>
      </c>
      <c r="C948" s="4">
        <f>COUNTIF($F$2:$F948,F948)</f>
      </c>
      <c r="D948" s="4">
        <f>IF(F948=0,0,MAX($D$2:D947)+1)</f>
      </c>
      <c r="E948" s="4">
        <f>IF(H948=0,0,MAX($E$2:E947)+1)</f>
      </c>
      <c r="F948" s="59"/>
      <c r="G948" s="59"/>
      <c r="H948" s="59"/>
      <c r="I948" s="4">
        <f>IFERROR(VLOOKUP(H948,H$2:H947,1,FALSE),VLOOKUP(H948,H$478:H949,1,FALSE))</f>
      </c>
      <c r="J948" s="4">
        <f t="shared" si="180"/>
        <v/>
      </c>
      <c r="K948" s="4">
        <f t="shared" si="181"/>
        <v/>
      </c>
      <c r="L948" s="4">
        <f t="shared" si="182"/>
        <v/>
      </c>
      <c r="M948" s="5">
        <f t="shared" si="188"/>
        <v/>
      </c>
      <c r="N948" s="4">
        <f t="shared" si="183"/>
        <v/>
      </c>
      <c r="O948" s="4"/>
      <c r="P948" s="4">
        <f t="shared" si="184"/>
        <v/>
      </c>
      <c r="Q948" s="4">
        <f t="shared" si="185"/>
        <v/>
      </c>
      <c r="R948" s="4">
        <f t="shared" si="189"/>
      </c>
      <c r="S948" s="4">
        <f t="shared" si="190"/>
      </c>
      <c r="T948" s="4">
        <f t="shared" si="191"/>
      </c>
      <c r="U948" s="4">
        <f t="shared" si="186"/>
        <v/>
      </c>
    </row>
    <row r="949" spans="1:21" x14ac:dyDescent="0.3">
      <c r="A949" s="4">
        <f t="shared" si="187"/>
        <v/>
      </c>
      <c r="B949" s="4">
        <f>IF(C949=1,MAX(B$2:$B948)+1,IF(F949=0,"",B948))</f>
        <v/>
      </c>
      <c r="C949" s="4">
        <f>COUNTIF($F$2:$F949,F949)</f>
      </c>
      <c r="D949" s="4">
        <f>IF(F949=0,0,MAX($D$2:D948)+1)</f>
      </c>
      <c r="E949" s="4">
        <f>IF(H949=0,0,MAX($E$2:E948)+1)</f>
      </c>
      <c r="F949" s="59"/>
      <c r="G949" s="59"/>
      <c r="H949" s="59"/>
      <c r="I949" s="4">
        <f>IFERROR(VLOOKUP(H949,H$2:H948,1,FALSE),VLOOKUP(H949,H$478:H950,1,FALSE))</f>
      </c>
      <c r="J949" s="4">
        <f t="shared" si="180"/>
        <v/>
      </c>
      <c r="K949" s="4">
        <f t="shared" si="181"/>
        <v/>
      </c>
      <c r="L949" s="4">
        <f t="shared" si="182"/>
        <v/>
      </c>
      <c r="M949" s="5">
        <f t="shared" si="188"/>
        <v/>
      </c>
      <c r="N949" s="4">
        <f t="shared" si="183"/>
        <v/>
      </c>
      <c r="O949" s="4"/>
      <c r="P949" s="4">
        <f t="shared" si="184"/>
        <v/>
      </c>
      <c r="Q949" s="4">
        <f t="shared" si="185"/>
        <v/>
      </c>
      <c r="R949" s="4">
        <f t="shared" si="189"/>
      </c>
      <c r="S949" s="4">
        <f t="shared" si="190"/>
      </c>
      <c r="T949" s="4">
        <f t="shared" si="191"/>
      </c>
      <c r="U949" s="4">
        <f t="shared" si="186"/>
        <v/>
      </c>
    </row>
    <row r="950" spans="1:21" x14ac:dyDescent="0.3">
      <c r="A950" s="4">
        <f t="shared" si="187"/>
        <v/>
      </c>
      <c r="B950" s="4">
        <f>IF(C950=1,MAX(B$2:$B949)+1,IF(F950=0,"",B949))</f>
        <v/>
      </c>
      <c r="C950" s="4">
        <f>COUNTIF($F$2:$F950,F950)</f>
      </c>
      <c r="D950" s="4">
        <f>IF(F950=0,0,MAX($D$2:D949)+1)</f>
      </c>
      <c r="E950" s="4">
        <f>IF(H950=0,0,MAX($E$2:E949)+1)</f>
      </c>
      <c r="F950" s="59"/>
      <c r="G950" s="59"/>
      <c r="H950" s="59"/>
      <c r="I950" s="4">
        <f>IFERROR(VLOOKUP(H950,H$2:H949,1,FALSE),VLOOKUP(H950,H$478:H951,1,FALSE))</f>
      </c>
      <c r="J950" s="4">
        <f t="shared" si="180"/>
        <v/>
      </c>
      <c r="K950" s="4">
        <f t="shared" si="181"/>
        <v/>
      </c>
      <c r="L950" s="4">
        <f t="shared" si="182"/>
        <v/>
      </c>
      <c r="M950" s="5">
        <f t="shared" si="188"/>
        <v/>
      </c>
      <c r="N950" s="4">
        <f t="shared" si="183"/>
        <v/>
      </c>
      <c r="O950" s="4"/>
      <c r="P950" s="4">
        <f t="shared" si="184"/>
        <v/>
      </c>
      <c r="Q950" s="4">
        <f t="shared" si="185"/>
        <v/>
      </c>
      <c r="R950" s="4">
        <f t="shared" si="189"/>
      </c>
      <c r="S950" s="4">
        <f t="shared" si="190"/>
      </c>
      <c r="T950" s="4">
        <f t="shared" si="191"/>
      </c>
      <c r="U950" s="4">
        <f t="shared" si="186"/>
        <v/>
      </c>
    </row>
    <row r="951" spans="1:21" x14ac:dyDescent="0.3">
      <c r="A951" s="4">
        <f t="shared" si="187"/>
        <v/>
      </c>
      <c r="B951" s="4">
        <f>IF(C951=1,MAX(B$2:$B950)+1,IF(F951=0,"",B950))</f>
        <v/>
      </c>
      <c r="C951" s="4">
        <f>COUNTIF($F$2:$F951,F951)</f>
      </c>
      <c r="D951" s="4">
        <f>IF(F951=0,0,MAX($D$2:D950)+1)</f>
      </c>
      <c r="E951" s="4">
        <f>IF(H951=0,0,MAX($E$2:E950)+1)</f>
      </c>
      <c r="F951" s="59"/>
      <c r="G951" s="59"/>
      <c r="H951" s="59"/>
      <c r="I951" s="4">
        <f>IFERROR(VLOOKUP(H951,H$2:H950,1,FALSE),VLOOKUP(H951,H$478:H952,1,FALSE))</f>
      </c>
      <c r="J951" s="4">
        <f t="shared" si="180"/>
        <v/>
      </c>
      <c r="K951" s="4">
        <f t="shared" si="181"/>
        <v/>
      </c>
      <c r="L951" s="4">
        <f t="shared" si="182"/>
        <v/>
      </c>
      <c r="M951" s="5">
        <f t="shared" si="188"/>
        <v/>
      </c>
      <c r="N951" s="4">
        <f t="shared" si="183"/>
        <v/>
      </c>
      <c r="O951" s="4"/>
      <c r="P951" s="4">
        <f t="shared" si="184"/>
        <v/>
      </c>
      <c r="Q951" s="4">
        <f t="shared" si="185"/>
        <v/>
      </c>
      <c r="R951" s="4">
        <f t="shared" si="189"/>
      </c>
      <c r="S951" s="4">
        <f t="shared" si="190"/>
      </c>
      <c r="T951" s="4">
        <f t="shared" si="191"/>
      </c>
      <c r="U951" s="4">
        <f t="shared" si="186"/>
        <v/>
      </c>
    </row>
    <row r="952" spans="1:21" x14ac:dyDescent="0.3">
      <c r="A952" s="4">
        <f t="shared" si="187"/>
        <v/>
      </c>
      <c r="B952" s="4">
        <f>IF(C952=1,MAX(B$2:$B951)+1,IF(F952=0,"",B951))</f>
        <v/>
      </c>
      <c r="C952" s="4">
        <f>COUNTIF($F$2:$F952,F952)</f>
      </c>
      <c r="D952" s="4">
        <f>IF(F952=0,0,MAX($D$2:D951)+1)</f>
      </c>
      <c r="E952" s="4">
        <f>IF(H952=0,0,MAX($E$2:E951)+1)</f>
      </c>
      <c r="F952" s="59"/>
      <c r="G952" s="59"/>
      <c r="H952" s="59"/>
      <c r="I952" s="4">
        <f>IFERROR(VLOOKUP(H952,H$2:H951,1,FALSE),VLOOKUP(H952,H$478:H953,1,FALSE))</f>
      </c>
      <c r="J952" s="4">
        <f t="shared" si="180"/>
        <v/>
      </c>
      <c r="K952" s="4">
        <f t="shared" si="181"/>
        <v/>
      </c>
      <c r="L952" s="4">
        <f t="shared" si="182"/>
        <v/>
      </c>
      <c r="M952" s="5">
        <f t="shared" si="188"/>
        <v/>
      </c>
      <c r="N952" s="4">
        <f t="shared" si="183"/>
        <v/>
      </c>
      <c r="O952" s="4"/>
      <c r="P952" s="4">
        <f t="shared" si="184"/>
        <v/>
      </c>
      <c r="Q952" s="4">
        <f t="shared" si="185"/>
        <v/>
      </c>
      <c r="R952" s="4">
        <f t="shared" si="189"/>
      </c>
      <c r="S952" s="4">
        <f t="shared" si="190"/>
      </c>
      <c r="T952" s="4">
        <f t="shared" si="191"/>
      </c>
      <c r="U952" s="4">
        <f t="shared" si="186"/>
        <v/>
      </c>
    </row>
    <row r="953" spans="1:21" x14ac:dyDescent="0.3">
      <c r="A953" s="4">
        <f t="shared" si="187"/>
        <v/>
      </c>
      <c r="B953" s="4">
        <f>IF(C953=1,MAX(B$2:$B952)+1,IF(F953=0,"",B952))</f>
        <v/>
      </c>
      <c r="C953" s="4">
        <f>COUNTIF($F$2:$F953,F953)</f>
      </c>
      <c r="D953" s="4">
        <f>IF(F953=0,0,MAX($D$2:D952)+1)</f>
      </c>
      <c r="E953" s="4">
        <f>IF(H953=0,0,MAX($E$2:E952)+1)</f>
      </c>
      <c r="F953" s="59"/>
      <c r="G953" s="59"/>
      <c r="H953" s="59"/>
      <c r="I953" s="4">
        <f>IFERROR(VLOOKUP(H953,H$2:H952,1,FALSE),VLOOKUP(H953,H$478:H954,1,FALSE))</f>
      </c>
      <c r="J953" s="4">
        <f t="shared" si="180"/>
        <v/>
      </c>
      <c r="K953" s="4">
        <f t="shared" si="181"/>
        <v/>
      </c>
      <c r="L953" s="4">
        <f t="shared" si="182"/>
        <v/>
      </c>
      <c r="M953" s="5">
        <f t="shared" si="188"/>
        <v/>
      </c>
      <c r="N953" s="4">
        <f t="shared" si="183"/>
        <v/>
      </c>
      <c r="O953" s="4"/>
      <c r="P953" s="4">
        <f t="shared" si="184"/>
        <v/>
      </c>
      <c r="Q953" s="4">
        <f t="shared" si="185"/>
        <v/>
      </c>
      <c r="R953" s="4">
        <f t="shared" si="189"/>
      </c>
      <c r="S953" s="4">
        <f t="shared" si="190"/>
      </c>
      <c r="T953" s="4">
        <f t="shared" si="191"/>
      </c>
      <c r="U953" s="4">
        <f t="shared" si="186"/>
        <v/>
      </c>
    </row>
    <row r="954" spans="1:21" x14ac:dyDescent="0.3">
      <c r="A954" s="4">
        <f t="shared" si="187"/>
        <v/>
      </c>
      <c r="B954" s="4">
        <f>IF(C954=1,MAX(B$2:$B953)+1,IF(F954=0,"",B953))</f>
        <v/>
      </c>
      <c r="C954" s="4">
        <f>COUNTIF($F$2:$F954,F954)</f>
      </c>
      <c r="D954" s="4">
        <f>IF(F954=0,0,MAX($D$2:D953)+1)</f>
      </c>
      <c r="E954" s="4">
        <f>IF(H954=0,0,MAX($E$2:E953)+1)</f>
      </c>
      <c r="F954" s="59"/>
      <c r="G954" s="59"/>
      <c r="H954" s="59"/>
      <c r="I954" s="4">
        <f>IFERROR(VLOOKUP(H954,H$2:H953,1,FALSE),VLOOKUP(H954,H$478:H955,1,FALSE))</f>
      </c>
      <c r="J954" s="4">
        <f t="shared" si="180"/>
        <v/>
      </c>
      <c r="K954" s="4">
        <f t="shared" si="181"/>
        <v/>
      </c>
      <c r="L954" s="4">
        <f t="shared" si="182"/>
        <v/>
      </c>
      <c r="M954" s="5">
        <f t="shared" si="188"/>
        <v/>
      </c>
      <c r="N954" s="4">
        <f t="shared" si="183"/>
        <v/>
      </c>
      <c r="O954" s="4"/>
      <c r="P954" s="4">
        <f t="shared" si="184"/>
        <v/>
      </c>
      <c r="Q954" s="4">
        <f t="shared" si="185"/>
        <v/>
      </c>
      <c r="R954" s="4">
        <f t="shared" si="189"/>
      </c>
      <c r="S954" s="4">
        <f t="shared" si="190"/>
      </c>
      <c r="T954" s="4">
        <f t="shared" si="191"/>
      </c>
      <c r="U954" s="4">
        <f t="shared" si="186"/>
        <v/>
      </c>
    </row>
    <row r="955" spans="1:21" x14ac:dyDescent="0.3">
      <c r="A955" s="4">
        <f t="shared" si="187"/>
        <v/>
      </c>
      <c r="B955" s="4">
        <f>IF(C955=1,MAX(B$2:$B954)+1,IF(F955=0,"",B954))</f>
        <v/>
      </c>
      <c r="C955" s="4">
        <f>COUNTIF($F$2:$F955,F955)</f>
      </c>
      <c r="D955" s="4">
        <f>IF(F955=0,0,MAX($D$2:D954)+1)</f>
      </c>
      <c r="E955" s="4">
        <f>IF(H955=0,0,MAX($E$2:E954)+1)</f>
      </c>
      <c r="F955" s="59"/>
      <c r="G955" s="59"/>
      <c r="H955" s="59"/>
      <c r="I955" s="4">
        <f>IFERROR(VLOOKUP(H955,H$2:H954,1,FALSE),VLOOKUP(H955,H$478:H956,1,FALSE))</f>
      </c>
      <c r="J955" s="4">
        <f t="shared" si="180"/>
        <v/>
      </c>
      <c r="K955" s="4">
        <f t="shared" si="181"/>
        <v/>
      </c>
      <c r="L955" s="4">
        <f t="shared" si="182"/>
        <v/>
      </c>
      <c r="M955" s="5">
        <f t="shared" si="188"/>
        <v/>
      </c>
      <c r="N955" s="4">
        <f t="shared" si="183"/>
        <v/>
      </c>
      <c r="O955" s="4"/>
      <c r="P955" s="4">
        <f t="shared" si="184"/>
        <v/>
      </c>
      <c r="Q955" s="4">
        <f t="shared" si="185"/>
        <v/>
      </c>
      <c r="R955" s="4">
        <f t="shared" si="189"/>
      </c>
      <c r="S955" s="4">
        <f t="shared" si="190"/>
      </c>
      <c r="T955" s="4">
        <f t="shared" si="191"/>
      </c>
      <c r="U955" s="4">
        <f t="shared" si="186"/>
        <v/>
      </c>
    </row>
    <row r="956" spans="1:21" x14ac:dyDescent="0.3">
      <c r="A956" s="4">
        <f t="shared" si="187"/>
        <v/>
      </c>
      <c r="B956" s="4">
        <f>IF(C956=1,MAX(B$2:$B955)+1,IF(F956=0,"",B955))</f>
        <v/>
      </c>
      <c r="C956" s="4">
        <f>COUNTIF($F$2:$F956,F956)</f>
      </c>
      <c r="D956" s="4">
        <f>IF(F956=0,0,MAX($D$2:D955)+1)</f>
      </c>
      <c r="E956" s="4">
        <f>IF(H956=0,0,MAX($E$2:E955)+1)</f>
      </c>
      <c r="F956" s="59"/>
      <c r="G956" s="59"/>
      <c r="H956" s="59"/>
      <c r="I956" s="4">
        <f>IFERROR(VLOOKUP(H956,H$2:H955,1,FALSE),VLOOKUP(H956,H$478:H957,1,FALSE))</f>
      </c>
      <c r="J956" s="4">
        <f t="shared" si="180"/>
        <v/>
      </c>
      <c r="K956" s="4">
        <f t="shared" si="181"/>
        <v/>
      </c>
      <c r="L956" s="4">
        <f t="shared" si="182"/>
        <v/>
      </c>
      <c r="M956" s="5">
        <f t="shared" si="188"/>
        <v/>
      </c>
      <c r="N956" s="4">
        <f t="shared" si="183"/>
        <v/>
      </c>
      <c r="O956" s="4"/>
      <c r="P956" s="4">
        <f t="shared" si="184"/>
        <v/>
      </c>
      <c r="Q956" s="4">
        <f t="shared" si="185"/>
        <v/>
      </c>
      <c r="R956" s="4">
        <f t="shared" si="189"/>
      </c>
      <c r="S956" s="4">
        <f t="shared" si="190"/>
      </c>
      <c r="T956" s="4">
        <f t="shared" si="191"/>
      </c>
      <c r="U956" s="4">
        <f t="shared" si="186"/>
        <v/>
      </c>
    </row>
    <row r="957" spans="1:21" x14ac:dyDescent="0.3">
      <c r="A957" s="4">
        <f t="shared" si="187"/>
        <v/>
      </c>
      <c r="B957" s="4">
        <f>IF(C957=1,MAX(B$2:$B956)+1,IF(F957=0,"",B956))</f>
        <v/>
      </c>
      <c r="C957" s="4">
        <f>COUNTIF($F$2:$F957,F957)</f>
      </c>
      <c r="D957" s="4">
        <f>IF(F957=0,0,MAX($D$2:D956)+1)</f>
      </c>
      <c r="E957" s="4">
        <f>IF(H957=0,0,MAX($E$2:E956)+1)</f>
      </c>
      <c r="F957" s="59"/>
      <c r="G957" s="59"/>
      <c r="H957" s="59"/>
      <c r="I957" s="4">
        <f>IFERROR(VLOOKUP(H957,H$2:H956,1,FALSE),VLOOKUP(H957,H$478:H958,1,FALSE))</f>
      </c>
      <c r="J957" s="4">
        <f t="shared" si="180"/>
        <v/>
      </c>
      <c r="K957" s="4">
        <f t="shared" si="181"/>
        <v/>
      </c>
      <c r="L957" s="4">
        <f t="shared" si="182"/>
        <v/>
      </c>
      <c r="M957" s="5">
        <f t="shared" si="188"/>
        <v/>
      </c>
      <c r="N957" s="4">
        <f t="shared" si="183"/>
        <v/>
      </c>
      <c r="O957" s="4"/>
      <c r="P957" s="4">
        <f t="shared" si="184"/>
        <v/>
      </c>
      <c r="Q957" s="4">
        <f t="shared" si="185"/>
        <v/>
      </c>
      <c r="R957" s="4">
        <f t="shared" si="189"/>
      </c>
      <c r="S957" s="4">
        <f t="shared" si="190"/>
      </c>
      <c r="T957" s="4">
        <f t="shared" si="191"/>
      </c>
      <c r="U957" s="4">
        <f t="shared" si="186"/>
        <v/>
      </c>
    </row>
    <row r="958" spans="1:21" x14ac:dyDescent="0.3">
      <c r="A958" s="4">
        <f t="shared" si="187"/>
        <v/>
      </c>
      <c r="B958" s="4">
        <f>IF(C958=1,MAX(B$2:$B957)+1,IF(F958=0,"",B957))</f>
        <v/>
      </c>
      <c r="C958" s="4">
        <f>COUNTIF($F$2:$F958,F958)</f>
      </c>
      <c r="D958" s="4">
        <f>IF(F958=0,0,MAX($D$2:D957)+1)</f>
      </c>
      <c r="E958" s="4">
        <f>IF(H958=0,0,MAX($E$2:E957)+1)</f>
      </c>
      <c r="F958" s="59"/>
      <c r="G958" s="59"/>
      <c r="H958" s="59"/>
      <c r="I958" s="4">
        <f>IFERROR(VLOOKUP(H958,H$2:H957,1,FALSE),VLOOKUP(H958,H$478:H959,1,FALSE))</f>
      </c>
      <c r="J958" s="4">
        <f t="shared" si="180"/>
        <v/>
      </c>
      <c r="K958" s="4">
        <f t="shared" si="181"/>
        <v/>
      </c>
      <c r="L958" s="4">
        <f t="shared" si="182"/>
        <v/>
      </c>
      <c r="M958" s="5">
        <f t="shared" si="188"/>
        <v/>
      </c>
      <c r="N958" s="4">
        <f t="shared" si="183"/>
        <v/>
      </c>
      <c r="O958" s="4"/>
      <c r="P958" s="4">
        <f t="shared" si="184"/>
        <v/>
      </c>
      <c r="Q958" s="4">
        <f t="shared" si="185"/>
        <v/>
      </c>
      <c r="R958" s="4">
        <f t="shared" si="189"/>
      </c>
      <c r="S958" s="4">
        <f t="shared" si="190"/>
      </c>
      <c r="T958" s="4">
        <f t="shared" si="191"/>
      </c>
      <c r="U958" s="4">
        <f t="shared" si="186"/>
        <v/>
      </c>
    </row>
    <row r="959" spans="1:21" x14ac:dyDescent="0.3">
      <c r="A959" s="4">
        <f t="shared" si="187"/>
        <v/>
      </c>
      <c r="B959" s="4">
        <f>IF(C959=1,MAX(B$2:$B958)+1,IF(F959=0,"",B958))</f>
        <v/>
      </c>
      <c r="C959" s="4">
        <f>COUNTIF($F$2:$F959,F959)</f>
      </c>
      <c r="D959" s="4">
        <f>IF(F959=0,0,MAX($D$2:D958)+1)</f>
      </c>
      <c r="E959" s="4">
        <f>IF(H959=0,0,MAX($E$2:E958)+1)</f>
      </c>
      <c r="F959" s="59"/>
      <c r="G959" s="59"/>
      <c r="H959" s="59"/>
      <c r="I959" s="4">
        <f>IFERROR(VLOOKUP(H959,H$2:H958,1,FALSE),VLOOKUP(H959,H$478:H960,1,FALSE))</f>
      </c>
      <c r="J959" s="4">
        <f t="shared" si="180"/>
        <v/>
      </c>
      <c r="K959" s="4">
        <f t="shared" si="181"/>
        <v/>
      </c>
      <c r="L959" s="4">
        <f t="shared" si="182"/>
        <v/>
      </c>
      <c r="M959" s="5">
        <f t="shared" si="188"/>
        <v/>
      </c>
      <c r="N959" s="4">
        <f t="shared" si="183"/>
        <v/>
      </c>
      <c r="O959" s="4"/>
      <c r="P959" s="4">
        <f t="shared" si="184"/>
        <v/>
      </c>
      <c r="Q959" s="4">
        <f t="shared" si="185"/>
        <v/>
      </c>
      <c r="R959" s="4">
        <f t="shared" si="189"/>
      </c>
      <c r="S959" s="4">
        <f t="shared" si="190"/>
      </c>
      <c r="T959" s="4">
        <f t="shared" si="191"/>
      </c>
      <c r="U959" s="4">
        <f t="shared" si="186"/>
        <v/>
      </c>
    </row>
    <row r="960" spans="1:21" x14ac:dyDescent="0.3">
      <c r="A960" s="4">
        <f t="shared" si="187"/>
        <v/>
      </c>
      <c r="B960" s="4">
        <f>IF(C960=1,MAX(B$2:$B959)+1,IF(F960=0,"",B959))</f>
        <v/>
      </c>
      <c r="C960" s="4">
        <f>COUNTIF($F$2:$F960,F960)</f>
      </c>
      <c r="D960" s="4">
        <f>IF(F960=0,0,MAX($D$2:D959)+1)</f>
      </c>
      <c r="E960" s="4">
        <f>IF(H960=0,0,MAX($E$2:E959)+1)</f>
      </c>
      <c r="F960" s="59"/>
      <c r="G960" s="59"/>
      <c r="H960" s="59"/>
      <c r="I960" s="4">
        <f>IFERROR(VLOOKUP(H960,H$2:H959,1,FALSE),VLOOKUP(H960,H$478:H961,1,FALSE))</f>
      </c>
      <c r="J960" s="4">
        <f t="shared" si="180"/>
        <v/>
      </c>
      <c r="K960" s="4">
        <f t="shared" si="181"/>
        <v/>
      </c>
      <c r="L960" s="4">
        <f t="shared" si="182"/>
        <v/>
      </c>
      <c r="M960" s="5">
        <f t="shared" si="188"/>
        <v/>
      </c>
      <c r="N960" s="4">
        <f t="shared" si="183"/>
        <v/>
      </c>
      <c r="O960" s="4"/>
      <c r="P960" s="4">
        <f t="shared" si="184"/>
        <v/>
      </c>
      <c r="Q960" s="4">
        <f t="shared" si="185"/>
        <v/>
      </c>
      <c r="R960" s="4">
        <f t="shared" si="189"/>
      </c>
      <c r="S960" s="4">
        <f t="shared" si="190"/>
      </c>
      <c r="T960" s="4">
        <f t="shared" si="191"/>
      </c>
      <c r="U960" s="4">
        <f t="shared" si="186"/>
        <v/>
      </c>
    </row>
    <row r="961" spans="1:21" x14ac:dyDescent="0.3">
      <c r="A961" s="4">
        <f t="shared" si="187"/>
        <v/>
      </c>
      <c r="B961" s="4">
        <f>IF(C961=1,MAX(B$2:$B960)+1,IF(F961=0,"",B960))</f>
        <v/>
      </c>
      <c r="C961" s="4">
        <f>COUNTIF($F$2:$F961,F961)</f>
      </c>
      <c r="D961" s="4">
        <f>IF(F961=0,0,MAX($D$2:D960)+1)</f>
      </c>
      <c r="E961" s="4">
        <f>IF(H961=0,0,MAX($E$2:E960)+1)</f>
      </c>
      <c r="F961" s="59"/>
      <c r="G961" s="59"/>
      <c r="H961" s="59"/>
      <c r="I961" s="4">
        <f>IFERROR(VLOOKUP(H961,H$2:H960,1,FALSE),VLOOKUP(H961,H$478:H962,1,FALSE))</f>
      </c>
      <c r="J961" s="4">
        <f t="shared" si="180"/>
        <v/>
      </c>
      <c r="K961" s="4">
        <f t="shared" si="181"/>
        <v/>
      </c>
      <c r="L961" s="4">
        <f t="shared" si="182"/>
        <v/>
      </c>
      <c r="M961" s="5">
        <f t="shared" si="188"/>
        <v/>
      </c>
      <c r="N961" s="4">
        <f t="shared" si="183"/>
        <v/>
      </c>
      <c r="O961" s="4"/>
      <c r="P961" s="4">
        <f t="shared" si="184"/>
        <v/>
      </c>
      <c r="Q961" s="4">
        <f t="shared" si="185"/>
        <v/>
      </c>
      <c r="R961" s="4">
        <f t="shared" si="189"/>
      </c>
      <c r="S961" s="4">
        <f t="shared" si="190"/>
      </c>
      <c r="T961" s="4">
        <f t="shared" si="191"/>
      </c>
      <c r="U961" s="4">
        <f t="shared" si="186"/>
        <v/>
      </c>
    </row>
    <row r="962" spans="1:21" x14ac:dyDescent="0.3">
      <c r="A962" s="4">
        <f t="shared" si="187"/>
        <v/>
      </c>
      <c r="B962" s="4">
        <f>IF(C962=1,MAX(B$2:$B961)+1,IF(F962=0,"",B961))</f>
        <v/>
      </c>
      <c r="C962" s="4">
        <f>COUNTIF($F$2:$F962,F962)</f>
      </c>
      <c r="D962" s="4">
        <f>IF(F962=0,0,MAX($D$2:D961)+1)</f>
      </c>
      <c r="E962" s="4">
        <f>IF(H962=0,0,MAX($E$2:E961)+1)</f>
      </c>
      <c r="F962" s="59"/>
      <c r="G962" s="59"/>
      <c r="H962" s="59"/>
      <c r="I962" s="4">
        <f>IFERROR(VLOOKUP(H962,H$2:H961,1,FALSE),VLOOKUP(H962,H$478:H963,1,FALSE))</f>
      </c>
      <c r="J962" s="4">
        <f t="shared" si="180"/>
        <v/>
      </c>
      <c r="K962" s="4">
        <f t="shared" si="181"/>
        <v/>
      </c>
      <c r="L962" s="4">
        <f t="shared" si="182"/>
        <v/>
      </c>
      <c r="M962" s="5">
        <f t="shared" si="188"/>
        <v/>
      </c>
      <c r="N962" s="4">
        <f t="shared" si="183"/>
        <v/>
      </c>
      <c r="O962" s="4"/>
      <c r="P962" s="4">
        <f t="shared" si="184"/>
        <v/>
      </c>
      <c r="Q962" s="4">
        <f t="shared" si="185"/>
        <v/>
      </c>
      <c r="R962" s="4">
        <f t="shared" si="189"/>
      </c>
      <c r="S962" s="4">
        <f t="shared" si="190"/>
      </c>
      <c r="T962" s="4">
        <f t="shared" si="191"/>
      </c>
      <c r="U962" s="4">
        <f t="shared" si="186"/>
        <v/>
      </c>
    </row>
    <row r="963" spans="1:21" x14ac:dyDescent="0.3">
      <c r="A963" s="4">
        <f t="shared" si="187"/>
        <v/>
      </c>
      <c r="B963" s="4">
        <f>IF(C963=1,MAX(B$2:$B962)+1,IF(F963=0,"",B962))</f>
        <v/>
      </c>
      <c r="C963" s="4">
        <f>COUNTIF($F$2:$F963,F963)</f>
      </c>
      <c r="D963" s="4">
        <f>IF(F963=0,0,MAX($D$2:D962)+1)</f>
      </c>
      <c r="E963" s="4">
        <f>IF(H963=0,0,MAX($E$2:E962)+1)</f>
      </c>
      <c r="F963" s="59"/>
      <c r="G963" s="59"/>
      <c r="H963" s="59"/>
      <c r="I963" s="4">
        <f>IFERROR(VLOOKUP(H963,H$2:H962,1,FALSE),VLOOKUP(H963,H$478:H964,1,FALSE))</f>
      </c>
      <c r="J963" s="4">
        <f t="shared" ref="J963:J1000" si="192">IF($H963=0,"",VLOOKUP($H963,Исходные_данные,36,FALSE))</f>
        <v/>
      </c>
      <c r="K963" s="4">
        <f t="shared" ref="K963:K1000" si="193">IF($H963=0,"",VLOOKUP($H963,Исходные_данные,37,FALSE))</f>
        <v/>
      </c>
      <c r="L963" s="4">
        <f t="shared" ref="L963:L1000" si="194">IF($H963=0,"",VLOOKUP($H963,Исходные_данные,38,FALSE))</f>
        <v/>
      </c>
      <c r="M963" s="5">
        <f t="shared" si="188"/>
        <v/>
      </c>
      <c r="N963" s="4">
        <f t="shared" ref="N963:N1000" si="195">IF($H963=0,"",VLOOKUP($H963,Исходные_данные,39,FALSE))</f>
        <v/>
      </c>
      <c r="O963" s="4"/>
      <c r="P963" s="4">
        <f t="shared" ref="P963:P1000" si="196">IF($H963=0,"",VLOOKUP($H963,Исходные_данные,41,FALSE))</f>
        <v/>
      </c>
      <c r="Q963" s="4">
        <f t="shared" ref="Q963:Q1000" si="197">IF($H963=0,"",VLOOKUP($H963,Исходные_данные,8,FALSE))</f>
        <v/>
      </c>
      <c r="R963" s="4">
        <f t="shared" si="189"/>
      </c>
      <c r="S963" s="4">
        <f t="shared" si="190"/>
      </c>
      <c r="T963" s="4">
        <f t="shared" si="191"/>
      </c>
      <c r="U963" s="4">
        <f t="shared" ref="U963:U1000" si="198">IF($H963=0,"",VLOOKUP($H963,Исходные_данные,31,FALSE))</f>
        <v/>
      </c>
    </row>
    <row r="964" spans="1:21" x14ac:dyDescent="0.3">
      <c r="A964" s="4">
        <f t="shared" si="187"/>
        <v/>
      </c>
      <c r="B964" s="4">
        <f>IF(C964=1,MAX(B$2:$B963)+1,IF(F964=0,"",B963))</f>
        <v/>
      </c>
      <c r="C964" s="4">
        <f>COUNTIF($F$2:$F964,F964)</f>
      </c>
      <c r="D964" s="4">
        <f>IF(F964=0,0,MAX($D$2:D963)+1)</f>
      </c>
      <c r="E964" s="4">
        <f>IF(H964=0,0,MAX($E$2:E963)+1)</f>
      </c>
      <c r="F964" s="59"/>
      <c r="G964" s="59"/>
      <c r="H964" s="59"/>
      <c r="I964" s="4">
        <f>IFERROR(VLOOKUP(H964,H$2:H963,1,FALSE),VLOOKUP(H964,H$478:H965,1,FALSE))</f>
      </c>
      <c r="J964" s="4">
        <f t="shared" si="192"/>
        <v/>
      </c>
      <c r="K964" s="4">
        <f t="shared" si="193"/>
        <v/>
      </c>
      <c r="L964" s="4">
        <f t="shared" si="194"/>
        <v/>
      </c>
      <c r="M964" s="5">
        <f t="shared" si="188"/>
        <v/>
      </c>
      <c r="N964" s="4">
        <f t="shared" si="195"/>
        <v/>
      </c>
      <c r="O964" s="4"/>
      <c r="P964" s="4">
        <f t="shared" si="196"/>
        <v/>
      </c>
      <c r="Q964" s="4">
        <f t="shared" si="197"/>
        <v/>
      </c>
      <c r="R964" s="4">
        <f t="shared" si="189"/>
      </c>
      <c r="S964" s="4">
        <f t="shared" si="190"/>
      </c>
      <c r="T964" s="4">
        <f t="shared" si="191"/>
      </c>
      <c r="U964" s="4">
        <f t="shared" si="198"/>
        <v/>
      </c>
    </row>
    <row r="965" spans="1:21" x14ac:dyDescent="0.3">
      <c r="A965" s="4">
        <f t="shared" si="187"/>
        <v/>
      </c>
      <c r="B965" s="4">
        <f>IF(C965=1,MAX(B$2:$B964)+1,IF(F965=0,"",B964))</f>
        <v/>
      </c>
      <c r="C965" s="4">
        <f>COUNTIF($F$2:$F965,F965)</f>
      </c>
      <c r="D965" s="4">
        <f>IF(F965=0,0,MAX($D$2:D964)+1)</f>
      </c>
      <c r="E965" s="4">
        <f>IF(H965=0,0,MAX($E$2:E964)+1)</f>
      </c>
      <c r="F965" s="59"/>
      <c r="G965" s="59"/>
      <c r="H965" s="59"/>
      <c r="I965" s="4">
        <f>IFERROR(VLOOKUP(H965,H$2:H964,1,FALSE),VLOOKUP(H965,H$478:H966,1,FALSE))</f>
      </c>
      <c r="J965" s="4">
        <f t="shared" si="192"/>
        <v/>
      </c>
      <c r="K965" s="4">
        <f t="shared" si="193"/>
        <v/>
      </c>
      <c r="L965" s="4">
        <f t="shared" si="194"/>
        <v/>
      </c>
      <c r="M965" s="5">
        <f t="shared" si="188"/>
        <v/>
      </c>
      <c r="N965" s="4">
        <f t="shared" si="195"/>
        <v/>
      </c>
      <c r="O965" s="4"/>
      <c r="P965" s="4">
        <f t="shared" si="196"/>
        <v/>
      </c>
      <c r="Q965" s="4">
        <f t="shared" si="197"/>
        <v/>
      </c>
      <c r="R965" s="4">
        <f t="shared" si="189"/>
      </c>
      <c r="S965" s="4">
        <f t="shared" si="190"/>
      </c>
      <c r="T965" s="4">
        <f t="shared" si="191"/>
      </c>
      <c r="U965" s="4">
        <f t="shared" si="198"/>
        <v/>
      </c>
    </row>
    <row r="966" spans="1:21" x14ac:dyDescent="0.3">
      <c r="A966" s="4">
        <f t="shared" si="187"/>
        <v/>
      </c>
      <c r="B966" s="4">
        <f>IF(C966=1,MAX(B$2:$B965)+1,IF(F966=0,"",B965))</f>
        <v/>
      </c>
      <c r="C966" s="4">
        <f>COUNTIF($F$2:$F966,F966)</f>
      </c>
      <c r="D966" s="4">
        <f>IF(F966=0,0,MAX($D$2:D965)+1)</f>
      </c>
      <c r="E966" s="4">
        <f>IF(H966=0,0,MAX($E$2:E965)+1)</f>
      </c>
      <c r="F966" s="59"/>
      <c r="G966" s="59"/>
      <c r="H966" s="59"/>
      <c r="I966" s="4">
        <f>IFERROR(VLOOKUP(H966,H$2:H965,1,FALSE),VLOOKUP(H966,H$478:H967,1,FALSE))</f>
      </c>
      <c r="J966" s="4">
        <f t="shared" si="192"/>
        <v/>
      </c>
      <c r="K966" s="4">
        <f t="shared" si="193"/>
        <v/>
      </c>
      <c r="L966" s="4">
        <f t="shared" si="194"/>
        <v/>
      </c>
      <c r="M966" s="5">
        <f t="shared" si="188"/>
        <v/>
      </c>
      <c r="N966" s="4">
        <f t="shared" si="195"/>
        <v/>
      </c>
      <c r="O966" s="4"/>
      <c r="P966" s="4">
        <f t="shared" si="196"/>
        <v/>
      </c>
      <c r="Q966" s="4">
        <f t="shared" si="197"/>
        <v/>
      </c>
      <c r="R966" s="4">
        <f t="shared" si="189"/>
      </c>
      <c r="S966" s="4">
        <f t="shared" si="190"/>
      </c>
      <c r="T966" s="4">
        <f t="shared" si="191"/>
      </c>
      <c r="U966" s="4">
        <f t="shared" si="198"/>
        <v/>
      </c>
    </row>
    <row r="967" spans="1:21" x14ac:dyDescent="0.3">
      <c r="A967" s="4">
        <f t="shared" si="187"/>
        <v/>
      </c>
      <c r="B967" s="4">
        <f>IF(C967=1,MAX(B$2:$B966)+1,IF(F967=0,"",B966))</f>
        <v/>
      </c>
      <c r="C967" s="4">
        <f>COUNTIF($F$2:$F967,F967)</f>
      </c>
      <c r="D967" s="4">
        <f>IF(F967=0,0,MAX($D$2:D966)+1)</f>
      </c>
      <c r="E967" s="4">
        <f>IF(H967=0,0,MAX($E$2:E966)+1)</f>
      </c>
      <c r="F967" s="59"/>
      <c r="G967" s="59"/>
      <c r="H967" s="59"/>
      <c r="I967" s="4">
        <f>IFERROR(VLOOKUP(H967,H$2:H966,1,FALSE),VLOOKUP(H967,H$478:H968,1,FALSE))</f>
      </c>
      <c r="J967" s="4">
        <f t="shared" si="192"/>
        <v/>
      </c>
      <c r="K967" s="4">
        <f t="shared" si="193"/>
        <v/>
      </c>
      <c r="L967" s="4">
        <f t="shared" si="194"/>
        <v/>
      </c>
      <c r="M967" s="5">
        <f t="shared" si="188"/>
        <v/>
      </c>
      <c r="N967" s="4">
        <f t="shared" si="195"/>
        <v/>
      </c>
      <c r="O967" s="4"/>
      <c r="P967" s="4">
        <f t="shared" si="196"/>
        <v/>
      </c>
      <c r="Q967" s="4">
        <f t="shared" si="197"/>
        <v/>
      </c>
      <c r="R967" s="4">
        <f t="shared" si="189"/>
      </c>
      <c r="S967" s="4">
        <f t="shared" si="190"/>
      </c>
      <c r="T967" s="4">
        <f t="shared" si="191"/>
      </c>
      <c r="U967" s="4">
        <f t="shared" si="198"/>
        <v/>
      </c>
    </row>
    <row r="968" spans="1:21" x14ac:dyDescent="0.3">
      <c r="A968" s="4">
        <f t="shared" si="187"/>
        <v/>
      </c>
      <c r="B968" s="4">
        <f>IF(C968=1,MAX(B$2:$B967)+1,IF(F968=0,"",B967))</f>
        <v/>
      </c>
      <c r="C968" s="4">
        <f>COUNTIF($F$2:$F968,F968)</f>
      </c>
      <c r="D968" s="4">
        <f>IF(F968=0,0,MAX($D$2:D967)+1)</f>
      </c>
      <c r="E968" s="4">
        <f>IF(H968=0,0,MAX($E$2:E967)+1)</f>
      </c>
      <c r="F968" s="59"/>
      <c r="G968" s="59"/>
      <c r="H968" s="59"/>
      <c r="I968" s="4">
        <f>IFERROR(VLOOKUP(H968,H$2:H967,1,FALSE),VLOOKUP(H968,H$478:H969,1,FALSE))</f>
      </c>
      <c r="J968" s="4">
        <f t="shared" si="192"/>
        <v/>
      </c>
      <c r="K968" s="4">
        <f t="shared" si="193"/>
        <v/>
      </c>
      <c r="L968" s="4">
        <f t="shared" si="194"/>
        <v/>
      </c>
      <c r="M968" s="5">
        <f t="shared" si="188"/>
        <v/>
      </c>
      <c r="N968" s="4">
        <f t="shared" si="195"/>
        <v/>
      </c>
      <c r="O968" s="4"/>
      <c r="P968" s="4">
        <f t="shared" si="196"/>
        <v/>
      </c>
      <c r="Q968" s="4">
        <f t="shared" si="197"/>
        <v/>
      </c>
      <c r="R968" s="4">
        <f t="shared" si="189"/>
      </c>
      <c r="S968" s="4">
        <f t="shared" si="190"/>
      </c>
      <c r="T968" s="4">
        <f t="shared" si="191"/>
      </c>
      <c r="U968" s="4">
        <f t="shared" si="198"/>
        <v/>
      </c>
    </row>
    <row r="969" spans="1:21" x14ac:dyDescent="0.3">
      <c r="A969" s="4">
        <f t="shared" si="187"/>
        <v/>
      </c>
      <c r="B969" s="4">
        <f>IF(C969=1,MAX(B$2:$B968)+1,IF(F969=0,"",B968))</f>
        <v/>
      </c>
      <c r="C969" s="4">
        <f>COUNTIF($F$2:$F969,F969)</f>
      </c>
      <c r="D969" s="4">
        <f>IF(F969=0,0,MAX($D$2:D968)+1)</f>
      </c>
      <c r="E969" s="4">
        <f>IF(H969=0,0,MAX($E$2:E968)+1)</f>
      </c>
      <c r="F969" s="59"/>
      <c r="G969" s="59"/>
      <c r="H969" s="59"/>
      <c r="I969" s="4">
        <f>IFERROR(VLOOKUP(H969,H$2:H968,1,FALSE),VLOOKUP(H969,H$478:H970,1,FALSE))</f>
      </c>
      <c r="J969" s="4">
        <f t="shared" si="192"/>
        <v/>
      </c>
      <c r="K969" s="4">
        <f t="shared" si="193"/>
        <v/>
      </c>
      <c r="L969" s="4">
        <f t="shared" si="194"/>
        <v/>
      </c>
      <c r="M969" s="5">
        <f t="shared" si="188"/>
        <v/>
      </c>
      <c r="N969" s="4">
        <f t="shared" si="195"/>
        <v/>
      </c>
      <c r="O969" s="4"/>
      <c r="P969" s="4">
        <f t="shared" si="196"/>
        <v/>
      </c>
      <c r="Q969" s="4">
        <f t="shared" si="197"/>
        <v/>
      </c>
      <c r="R969" s="4">
        <f t="shared" si="189"/>
      </c>
      <c r="S969" s="4">
        <f t="shared" si="190"/>
      </c>
      <c r="T969" s="4">
        <f t="shared" si="191"/>
      </c>
      <c r="U969" s="4">
        <f t="shared" si="198"/>
        <v/>
      </c>
    </row>
    <row r="970" spans="1:21" x14ac:dyDescent="0.3">
      <c r="A970" s="4">
        <f t="shared" si="187"/>
        <v/>
      </c>
      <c r="B970" s="4">
        <f>IF(C970=1,MAX(B$2:$B969)+1,IF(F970=0,"",B969))</f>
        <v/>
      </c>
      <c r="C970" s="4">
        <f>COUNTIF($F$2:$F970,F970)</f>
      </c>
      <c r="D970" s="4">
        <f>IF(F970=0,0,MAX($D$2:D969)+1)</f>
      </c>
      <c r="E970" s="4">
        <f>IF(H970=0,0,MAX($E$2:E969)+1)</f>
      </c>
      <c r="F970" s="59"/>
      <c r="G970" s="59"/>
      <c r="H970" s="59"/>
      <c r="I970" s="4">
        <f>IFERROR(VLOOKUP(H970,H$2:H969,1,FALSE),VLOOKUP(H970,H$478:H971,1,FALSE))</f>
      </c>
      <c r="J970" s="4">
        <f t="shared" si="192"/>
        <v/>
      </c>
      <c r="K970" s="4">
        <f t="shared" si="193"/>
        <v/>
      </c>
      <c r="L970" s="4">
        <f t="shared" si="194"/>
        <v/>
      </c>
      <c r="M970" s="5">
        <f t="shared" si="188"/>
        <v/>
      </c>
      <c r="N970" s="4">
        <f t="shared" si="195"/>
        <v/>
      </c>
      <c r="O970" s="4"/>
      <c r="P970" s="4">
        <f t="shared" si="196"/>
        <v/>
      </c>
      <c r="Q970" s="4">
        <f t="shared" si="197"/>
        <v/>
      </c>
      <c r="R970" s="4">
        <f t="shared" si="189"/>
      </c>
      <c r="S970" s="4">
        <f t="shared" si="190"/>
      </c>
      <c r="T970" s="4">
        <f t="shared" si="191"/>
      </c>
      <c r="U970" s="4">
        <f t="shared" si="198"/>
        <v/>
      </c>
    </row>
    <row r="971" spans="1:21" x14ac:dyDescent="0.3">
      <c r="A971" s="4">
        <f t="shared" si="187"/>
        <v/>
      </c>
      <c r="B971" s="4">
        <f>IF(C971=1,MAX(B$2:$B970)+1,IF(F971=0,"",B970))</f>
        <v/>
      </c>
      <c r="C971" s="4">
        <f>COUNTIF($F$2:$F971,F971)</f>
      </c>
      <c r="D971" s="4">
        <f>IF(F971=0,0,MAX($D$2:D970)+1)</f>
      </c>
      <c r="E971" s="4">
        <f>IF(H971=0,0,MAX($E$2:E970)+1)</f>
      </c>
      <c r="F971" s="59"/>
      <c r="G971" s="59"/>
      <c r="H971" s="59"/>
      <c r="I971" s="4">
        <f>IFERROR(VLOOKUP(H971,H$2:H970,1,FALSE),VLOOKUP(H971,H$478:H972,1,FALSE))</f>
      </c>
      <c r="J971" s="4">
        <f t="shared" si="192"/>
        <v/>
      </c>
      <c r="K971" s="4">
        <f t="shared" si="193"/>
        <v/>
      </c>
      <c r="L971" s="4">
        <f t="shared" si="194"/>
        <v/>
      </c>
      <c r="M971" s="5">
        <f t="shared" si="188"/>
        <v/>
      </c>
      <c r="N971" s="4">
        <f t="shared" si="195"/>
        <v/>
      </c>
      <c r="O971" s="4"/>
      <c r="P971" s="4">
        <f t="shared" si="196"/>
        <v/>
      </c>
      <c r="Q971" s="4">
        <f t="shared" si="197"/>
        <v/>
      </c>
      <c r="R971" s="4">
        <f t="shared" si="189"/>
      </c>
      <c r="S971" s="4">
        <f t="shared" si="190"/>
      </c>
      <c r="T971" s="4">
        <f t="shared" si="191"/>
      </c>
      <c r="U971" s="4">
        <f t="shared" si="198"/>
        <v/>
      </c>
    </row>
    <row r="972" spans="1:21" x14ac:dyDescent="0.3">
      <c r="A972" s="4">
        <f t="shared" si="187"/>
        <v/>
      </c>
      <c r="B972" s="4">
        <f>IF(C972=1,MAX(B$2:$B971)+1,IF(F972=0,"",B971))</f>
        <v/>
      </c>
      <c r="C972" s="4">
        <f>COUNTIF($F$2:$F972,F972)</f>
      </c>
      <c r="D972" s="4">
        <f>IF(F972=0,0,MAX($D$2:D971)+1)</f>
      </c>
      <c r="E972" s="4">
        <f>IF(H972=0,0,MAX($E$2:E971)+1)</f>
      </c>
      <c r="F972" s="59"/>
      <c r="G972" s="59"/>
      <c r="H972" s="59"/>
      <c r="I972" s="4">
        <f>IFERROR(VLOOKUP(H972,H$2:H971,1,FALSE),VLOOKUP(H972,H$478:H973,1,FALSE))</f>
      </c>
      <c r="J972" s="4">
        <f t="shared" si="192"/>
        <v/>
      </c>
      <c r="K972" s="4">
        <f t="shared" si="193"/>
        <v/>
      </c>
      <c r="L972" s="4">
        <f t="shared" si="194"/>
        <v/>
      </c>
      <c r="M972" s="5">
        <f t="shared" si="188"/>
        <v/>
      </c>
      <c r="N972" s="4">
        <f t="shared" si="195"/>
        <v/>
      </c>
      <c r="O972" s="4"/>
      <c r="P972" s="4">
        <f t="shared" si="196"/>
        <v/>
      </c>
      <c r="Q972" s="4">
        <f t="shared" si="197"/>
        <v/>
      </c>
      <c r="R972" s="4">
        <f t="shared" si="189"/>
      </c>
      <c r="S972" s="4">
        <f t="shared" si="190"/>
      </c>
      <c r="T972" s="4">
        <f t="shared" si="191"/>
      </c>
      <c r="U972" s="4">
        <f t="shared" si="198"/>
        <v/>
      </c>
    </row>
    <row r="973" spans="1:21" x14ac:dyDescent="0.3">
      <c r="A973" s="4">
        <f t="shared" si="187"/>
        <v/>
      </c>
      <c r="B973" s="4">
        <f>IF(C973=1,MAX(B$2:$B972)+1,IF(F973=0,"",B972))</f>
        <v/>
      </c>
      <c r="C973" s="4">
        <f>COUNTIF($F$2:$F973,F973)</f>
      </c>
      <c r="D973" s="4">
        <f>IF(F973=0,0,MAX($D$2:D972)+1)</f>
      </c>
      <c r="E973" s="4">
        <f>IF(H973=0,0,MAX($E$2:E972)+1)</f>
      </c>
      <c r="F973" s="59"/>
      <c r="G973" s="59"/>
      <c r="H973" s="59"/>
      <c r="I973" s="4">
        <f>IFERROR(VLOOKUP(H973,H$2:H972,1,FALSE),VLOOKUP(H973,H$478:H974,1,FALSE))</f>
      </c>
      <c r="J973" s="4">
        <f t="shared" si="192"/>
        <v/>
      </c>
      <c r="K973" s="4">
        <f t="shared" si="193"/>
        <v/>
      </c>
      <c r="L973" s="4">
        <f t="shared" si="194"/>
        <v/>
      </c>
      <c r="M973" s="5">
        <f t="shared" si="188"/>
        <v/>
      </c>
      <c r="N973" s="4">
        <f t="shared" si="195"/>
        <v/>
      </c>
      <c r="O973" s="4"/>
      <c r="P973" s="4">
        <f t="shared" si="196"/>
        <v/>
      </c>
      <c r="Q973" s="4">
        <f t="shared" si="197"/>
        <v/>
      </c>
      <c r="R973" s="4">
        <f t="shared" si="189"/>
      </c>
      <c r="S973" s="4">
        <f t="shared" si="190"/>
      </c>
      <c r="T973" s="4">
        <f t="shared" si="191"/>
      </c>
      <c r="U973" s="4">
        <f t="shared" si="198"/>
        <v/>
      </c>
    </row>
    <row r="974" spans="1:21" x14ac:dyDescent="0.3">
      <c r="A974" s="4">
        <f t="shared" si="187"/>
        <v/>
      </c>
      <c r="B974" s="4">
        <f>IF(C974=1,MAX(B$2:$B973)+1,IF(F974=0,"",B973))</f>
        <v/>
      </c>
      <c r="C974" s="4">
        <f>COUNTIF($F$2:$F974,F974)</f>
      </c>
      <c r="D974" s="4">
        <f>IF(F974=0,0,MAX($D$2:D973)+1)</f>
      </c>
      <c r="E974" s="4">
        <f>IF(H974=0,0,MAX($E$2:E973)+1)</f>
      </c>
      <c r="F974" s="59"/>
      <c r="G974" s="59"/>
      <c r="H974" s="59"/>
      <c r="I974" s="4">
        <f>IFERROR(VLOOKUP(H974,H$2:H973,1,FALSE),VLOOKUP(H974,H$478:H975,1,FALSE))</f>
      </c>
      <c r="J974" s="4">
        <f t="shared" si="192"/>
        <v/>
      </c>
      <c r="K974" s="4">
        <f t="shared" si="193"/>
        <v/>
      </c>
      <c r="L974" s="4">
        <f t="shared" si="194"/>
        <v/>
      </c>
      <c r="M974" s="5">
        <f t="shared" si="188"/>
        <v/>
      </c>
      <c r="N974" s="4">
        <f t="shared" si="195"/>
        <v/>
      </c>
      <c r="O974" s="4"/>
      <c r="P974" s="4">
        <f t="shared" si="196"/>
        <v/>
      </c>
      <c r="Q974" s="4">
        <f t="shared" si="197"/>
        <v/>
      </c>
      <c r="R974" s="4">
        <f t="shared" si="189"/>
      </c>
      <c r="S974" s="4">
        <f t="shared" si="190"/>
      </c>
      <c r="T974" s="4">
        <f t="shared" si="191"/>
      </c>
      <c r="U974" s="4">
        <f t="shared" si="198"/>
        <v/>
      </c>
    </row>
    <row r="975" spans="1:21" x14ac:dyDescent="0.3">
      <c r="A975" s="4">
        <f t="shared" si="187"/>
        <v/>
      </c>
      <c r="B975" s="4">
        <f>IF(C975=1,MAX(B$2:$B974)+1,IF(F975=0,"",B974))</f>
        <v/>
      </c>
      <c r="C975" s="4">
        <f>COUNTIF($F$2:$F975,F975)</f>
      </c>
      <c r="D975" s="4">
        <f>IF(F975=0,0,MAX($D$2:D974)+1)</f>
      </c>
      <c r="E975" s="4">
        <f>IF(H975=0,0,MAX($E$2:E974)+1)</f>
      </c>
      <c r="F975" s="59"/>
      <c r="G975" s="59"/>
      <c r="H975" s="59"/>
      <c r="I975" s="4">
        <f>IFERROR(VLOOKUP(H975,H$2:H974,1,FALSE),VLOOKUP(H975,H$478:H976,1,FALSE))</f>
      </c>
      <c r="J975" s="4">
        <f t="shared" si="192"/>
        <v/>
      </c>
      <c r="K975" s="4">
        <f t="shared" si="193"/>
        <v/>
      </c>
      <c r="L975" s="4">
        <f t="shared" si="194"/>
        <v/>
      </c>
      <c r="M975" s="5">
        <f t="shared" si="188"/>
        <v/>
      </c>
      <c r="N975" s="4">
        <f t="shared" si="195"/>
        <v/>
      </c>
      <c r="O975" s="4"/>
      <c r="P975" s="4">
        <f t="shared" si="196"/>
        <v/>
      </c>
      <c r="Q975" s="4">
        <f t="shared" si="197"/>
        <v/>
      </c>
      <c r="R975" s="4">
        <f t="shared" si="189"/>
      </c>
      <c r="S975" s="4">
        <f t="shared" si="190"/>
      </c>
      <c r="T975" s="4">
        <f t="shared" si="191"/>
      </c>
      <c r="U975" s="4">
        <f t="shared" si="198"/>
        <v/>
      </c>
    </row>
    <row r="976" spans="1:21" x14ac:dyDescent="0.3">
      <c r="A976" s="4">
        <f t="shared" si="187"/>
        <v/>
      </c>
      <c r="B976" s="4">
        <f>IF(C976=1,MAX(B$2:$B975)+1,IF(F976=0,"",B975))</f>
        <v/>
      </c>
      <c r="C976" s="4">
        <f>COUNTIF($F$2:$F976,F976)</f>
      </c>
      <c r="D976" s="4">
        <f>IF(F976=0,0,MAX($D$2:D975)+1)</f>
      </c>
      <c r="E976" s="4">
        <f>IF(H976=0,0,MAX($E$2:E975)+1)</f>
      </c>
      <c r="F976" s="59"/>
      <c r="G976" s="59"/>
      <c r="H976" s="59"/>
      <c r="I976" s="4">
        <f>IFERROR(VLOOKUP(H976,H$2:H975,1,FALSE),VLOOKUP(H976,H$478:H977,1,FALSE))</f>
      </c>
      <c r="J976" s="4">
        <f t="shared" si="192"/>
        <v/>
      </c>
      <c r="K976" s="4">
        <f t="shared" si="193"/>
        <v/>
      </c>
      <c r="L976" s="4">
        <f t="shared" si="194"/>
        <v/>
      </c>
      <c r="M976" s="5">
        <f t="shared" si="188"/>
        <v/>
      </c>
      <c r="N976" s="4">
        <f t="shared" si="195"/>
        <v/>
      </c>
      <c r="O976" s="4"/>
      <c r="P976" s="4">
        <f t="shared" si="196"/>
        <v/>
      </c>
      <c r="Q976" s="4">
        <f t="shared" si="197"/>
        <v/>
      </c>
      <c r="R976" s="4">
        <f t="shared" si="189"/>
      </c>
      <c r="S976" s="4">
        <f t="shared" si="190"/>
      </c>
      <c r="T976" s="4">
        <f t="shared" si="191"/>
      </c>
      <c r="U976" s="4">
        <f t="shared" si="198"/>
        <v/>
      </c>
    </row>
    <row r="977" spans="1:21" x14ac:dyDescent="0.3">
      <c r="A977" s="4">
        <f t="shared" si="187"/>
        <v/>
      </c>
      <c r="B977" s="4">
        <f>IF(C977=1,MAX(B$2:$B976)+1,IF(F977=0,"",B976))</f>
        <v/>
      </c>
      <c r="C977" s="4">
        <f>COUNTIF($F$2:$F977,F977)</f>
      </c>
      <c r="D977" s="4">
        <f>IF(F977=0,0,MAX($D$2:D976)+1)</f>
      </c>
      <c r="E977" s="4">
        <f>IF(H977=0,0,MAX($E$2:E976)+1)</f>
      </c>
      <c r="F977" s="59"/>
      <c r="G977" s="59"/>
      <c r="H977" s="59"/>
      <c r="I977" s="4">
        <f>IFERROR(VLOOKUP(H977,H$2:H976,1,FALSE),VLOOKUP(H977,H$478:H978,1,FALSE))</f>
      </c>
      <c r="J977" s="4">
        <f t="shared" si="192"/>
        <v/>
      </c>
      <c r="K977" s="4">
        <f t="shared" si="193"/>
        <v/>
      </c>
      <c r="L977" s="4">
        <f t="shared" si="194"/>
        <v/>
      </c>
      <c r="M977" s="5">
        <f t="shared" si="188"/>
        <v/>
      </c>
      <c r="N977" s="4">
        <f t="shared" si="195"/>
        <v/>
      </c>
      <c r="O977" s="4"/>
      <c r="P977" s="4">
        <f t="shared" si="196"/>
        <v/>
      </c>
      <c r="Q977" s="4">
        <f t="shared" si="197"/>
        <v/>
      </c>
      <c r="R977" s="4">
        <f t="shared" si="189"/>
      </c>
      <c r="S977" s="4">
        <f t="shared" si="190"/>
      </c>
      <c r="T977" s="4">
        <f t="shared" si="191"/>
      </c>
      <c r="U977" s="4">
        <f t="shared" si="198"/>
        <v/>
      </c>
    </row>
    <row r="978" spans="1:21" x14ac:dyDescent="0.3">
      <c r="A978" s="4">
        <f t="shared" si="187"/>
        <v/>
      </c>
      <c r="B978" s="4">
        <f>IF(C978=1,MAX(B$2:$B977)+1,IF(F978=0,"",B977))</f>
        <v/>
      </c>
      <c r="C978" s="4">
        <f>COUNTIF($F$2:$F978,F978)</f>
      </c>
      <c r="D978" s="4">
        <f>IF(F978=0,0,MAX($D$2:D977)+1)</f>
      </c>
      <c r="E978" s="4">
        <f>IF(H978=0,0,MAX($E$2:E977)+1)</f>
      </c>
      <c r="F978" s="59"/>
      <c r="G978" s="59"/>
      <c r="H978" s="59"/>
      <c r="I978" s="4">
        <f>IFERROR(VLOOKUP(H978,H$2:H977,1,FALSE),VLOOKUP(H978,H$478:H979,1,FALSE))</f>
      </c>
      <c r="J978" s="4">
        <f t="shared" si="192"/>
        <v/>
      </c>
      <c r="K978" s="4">
        <f t="shared" si="193"/>
        <v/>
      </c>
      <c r="L978" s="4">
        <f t="shared" si="194"/>
        <v/>
      </c>
      <c r="M978" s="5">
        <f t="shared" si="188"/>
        <v/>
      </c>
      <c r="N978" s="4">
        <f t="shared" si="195"/>
        <v/>
      </c>
      <c r="O978" s="4"/>
      <c r="P978" s="4">
        <f t="shared" si="196"/>
        <v/>
      </c>
      <c r="Q978" s="4">
        <f t="shared" si="197"/>
        <v/>
      </c>
      <c r="R978" s="4">
        <f t="shared" si="189"/>
      </c>
      <c r="S978" s="4">
        <f t="shared" si="190"/>
      </c>
      <c r="T978" s="4">
        <f t="shared" si="191"/>
      </c>
      <c r="U978" s="4">
        <f t="shared" si="198"/>
        <v/>
      </c>
    </row>
    <row r="979" spans="1:21" x14ac:dyDescent="0.3">
      <c r="A979" s="4">
        <f t="shared" si="187"/>
        <v/>
      </c>
      <c r="B979" s="4">
        <f>IF(C979=1,MAX(B$2:$B978)+1,IF(F979=0,"",B978))</f>
        <v/>
      </c>
      <c r="C979" s="4">
        <f>COUNTIF($F$2:$F979,F979)</f>
      </c>
      <c r="D979" s="4">
        <f>IF(F979=0,0,MAX($D$2:D978)+1)</f>
      </c>
      <c r="E979" s="4">
        <f>IF(H979=0,0,MAX($E$2:E978)+1)</f>
      </c>
      <c r="F979" s="59"/>
      <c r="G979" s="59"/>
      <c r="H979" s="59"/>
      <c r="I979" s="4">
        <f>IFERROR(VLOOKUP(H979,H$2:H978,1,FALSE),VLOOKUP(H979,H$478:H980,1,FALSE))</f>
      </c>
      <c r="J979" s="4">
        <f t="shared" si="192"/>
        <v/>
      </c>
      <c r="K979" s="4">
        <f t="shared" si="193"/>
        <v/>
      </c>
      <c r="L979" s="4">
        <f t="shared" si="194"/>
        <v/>
      </c>
      <c r="M979" s="5">
        <f t="shared" si="188"/>
        <v/>
      </c>
      <c r="N979" s="4">
        <f t="shared" si="195"/>
        <v/>
      </c>
      <c r="O979" s="4"/>
      <c r="P979" s="4">
        <f t="shared" si="196"/>
        <v/>
      </c>
      <c r="Q979" s="4">
        <f t="shared" si="197"/>
        <v/>
      </c>
      <c r="R979" s="4">
        <f t="shared" si="189"/>
      </c>
      <c r="S979" s="4">
        <f t="shared" si="190"/>
      </c>
      <c r="T979" s="4">
        <f t="shared" si="191"/>
      </c>
      <c r="U979" s="4">
        <f t="shared" si="198"/>
        <v/>
      </c>
    </row>
    <row r="980" spans="1:21" x14ac:dyDescent="0.3">
      <c r="A980" s="4">
        <f t="shared" si="187"/>
        <v/>
      </c>
      <c r="B980" s="4">
        <f>IF(C980=1,MAX(B$2:$B979)+1,IF(F980=0,"",B979))</f>
        <v/>
      </c>
      <c r="C980" s="4">
        <f>COUNTIF($F$2:$F980,F980)</f>
      </c>
      <c r="D980" s="4">
        <f>IF(F980=0,0,MAX($D$2:D979)+1)</f>
      </c>
      <c r="E980" s="4">
        <f>IF(H980=0,0,MAX($E$2:E979)+1)</f>
      </c>
      <c r="F980" s="59"/>
      <c r="G980" s="59"/>
      <c r="H980" s="59"/>
      <c r="I980" s="4">
        <f>IFERROR(VLOOKUP(H980,H$2:H979,1,FALSE),VLOOKUP(H980,H$478:H981,1,FALSE))</f>
      </c>
      <c r="J980" s="4">
        <f t="shared" si="192"/>
        <v/>
      </c>
      <c r="K980" s="4">
        <f t="shared" si="193"/>
        <v/>
      </c>
      <c r="L980" s="4">
        <f t="shared" si="194"/>
        <v/>
      </c>
      <c r="M980" s="5">
        <f t="shared" si="188"/>
        <v/>
      </c>
      <c r="N980" s="4">
        <f t="shared" si="195"/>
        <v/>
      </c>
      <c r="O980" s="4"/>
      <c r="P980" s="4">
        <f t="shared" si="196"/>
        <v/>
      </c>
      <c r="Q980" s="4">
        <f t="shared" si="197"/>
        <v/>
      </c>
      <c r="R980" s="4">
        <f t="shared" si="189"/>
      </c>
      <c r="S980" s="4">
        <f t="shared" si="190"/>
      </c>
      <c r="T980" s="4">
        <f t="shared" si="191"/>
      </c>
      <c r="U980" s="4">
        <f t="shared" si="198"/>
        <v/>
      </c>
    </row>
    <row r="981" spans="1:21" x14ac:dyDescent="0.3">
      <c r="A981" s="4">
        <f t="shared" si="187"/>
        <v/>
      </c>
      <c r="B981" s="4">
        <f>IF(C981=1,MAX(B$2:$B980)+1,IF(F981=0,"",B980))</f>
        <v/>
      </c>
      <c r="C981" s="4">
        <f>COUNTIF($F$2:$F981,F981)</f>
      </c>
      <c r="D981" s="4">
        <f>IF(F981=0,0,MAX($D$2:D980)+1)</f>
      </c>
      <c r="E981" s="4">
        <f>IF(H981=0,0,MAX($E$2:E980)+1)</f>
      </c>
      <c r="F981" s="59"/>
      <c r="G981" s="59"/>
      <c r="H981" s="59"/>
      <c r="I981" s="4">
        <f>IFERROR(VLOOKUP(H981,H$2:H980,1,FALSE),VLOOKUP(H981,H$478:H982,1,FALSE))</f>
      </c>
      <c r="J981" s="4">
        <f t="shared" si="192"/>
        <v/>
      </c>
      <c r="K981" s="4">
        <f t="shared" si="193"/>
        <v/>
      </c>
      <c r="L981" s="4">
        <f t="shared" si="194"/>
        <v/>
      </c>
      <c r="M981" s="5">
        <f t="shared" si="188"/>
        <v/>
      </c>
      <c r="N981" s="4">
        <f t="shared" si="195"/>
        <v/>
      </c>
      <c r="O981" s="4"/>
      <c r="P981" s="4">
        <f t="shared" si="196"/>
        <v/>
      </c>
      <c r="Q981" s="4">
        <f t="shared" si="197"/>
        <v/>
      </c>
      <c r="R981" s="4">
        <f t="shared" si="189"/>
      </c>
      <c r="S981" s="4">
        <f t="shared" si="190"/>
      </c>
      <c r="T981" s="4">
        <f t="shared" si="191"/>
      </c>
      <c r="U981" s="4">
        <f t="shared" si="198"/>
        <v/>
      </c>
    </row>
    <row r="982" spans="1:21" x14ac:dyDescent="0.3">
      <c r="A982" s="4">
        <f t="shared" si="187"/>
        <v/>
      </c>
      <c r="B982" s="4">
        <f>IF(C982=1,MAX(B$2:$B981)+1,IF(F982=0,"",B981))</f>
        <v/>
      </c>
      <c r="C982" s="4">
        <f>COUNTIF($F$2:$F982,F982)</f>
      </c>
      <c r="D982" s="4">
        <f>IF(F982=0,0,MAX($D$2:D981)+1)</f>
      </c>
      <c r="E982" s="4">
        <f>IF(H982=0,0,MAX($E$2:E981)+1)</f>
      </c>
      <c r="F982" s="59"/>
      <c r="G982" s="59"/>
      <c r="H982" s="59"/>
      <c r="I982" s="4">
        <f>IFERROR(VLOOKUP(H982,H$2:H981,1,FALSE),VLOOKUP(H982,H$478:H983,1,FALSE))</f>
      </c>
      <c r="J982" s="4">
        <f t="shared" si="192"/>
        <v/>
      </c>
      <c r="K982" s="4">
        <f t="shared" si="193"/>
        <v/>
      </c>
      <c r="L982" s="4">
        <f t="shared" si="194"/>
        <v/>
      </c>
      <c r="M982" s="5">
        <f t="shared" si="188"/>
        <v/>
      </c>
      <c r="N982" s="4">
        <f t="shared" si="195"/>
        <v/>
      </c>
      <c r="O982" s="4"/>
      <c r="P982" s="4">
        <f t="shared" si="196"/>
        <v/>
      </c>
      <c r="Q982" s="4">
        <f t="shared" si="197"/>
        <v/>
      </c>
      <c r="R982" s="4">
        <f t="shared" si="189"/>
      </c>
      <c r="S982" s="4">
        <f t="shared" si="190"/>
      </c>
      <c r="T982" s="4">
        <f t="shared" si="191"/>
      </c>
      <c r="U982" s="4">
        <f t="shared" si="198"/>
        <v/>
      </c>
    </row>
    <row r="983" spans="1:21" x14ac:dyDescent="0.3">
      <c r="A983" s="4">
        <f t="shared" si="187"/>
        <v/>
      </c>
      <c r="B983" s="4">
        <f>IF(C983=1,MAX(B$2:$B982)+1,IF(F983=0,"",B982))</f>
        <v/>
      </c>
      <c r="C983" s="4">
        <f>COUNTIF($F$2:$F983,F983)</f>
      </c>
      <c r="D983" s="4">
        <f>IF(F983=0,0,MAX($D$2:D982)+1)</f>
      </c>
      <c r="E983" s="4">
        <f>IF(H983=0,0,MAX($E$2:E982)+1)</f>
      </c>
      <c r="F983" s="59"/>
      <c r="G983" s="59"/>
      <c r="H983" s="59"/>
      <c r="I983" s="4">
        <f>IFERROR(VLOOKUP(H983,H$2:H982,1,FALSE),VLOOKUP(H983,H$478:H984,1,FALSE))</f>
      </c>
      <c r="J983" s="4">
        <f t="shared" si="192"/>
        <v/>
      </c>
      <c r="K983" s="4">
        <f t="shared" si="193"/>
        <v/>
      </c>
      <c r="L983" s="4">
        <f t="shared" si="194"/>
        <v/>
      </c>
      <c r="M983" s="5">
        <f t="shared" si="188"/>
        <v/>
      </c>
      <c r="N983" s="4">
        <f t="shared" si="195"/>
        <v/>
      </c>
      <c r="O983" s="4"/>
      <c r="P983" s="4">
        <f t="shared" si="196"/>
        <v/>
      </c>
      <c r="Q983" s="4">
        <f t="shared" si="197"/>
        <v/>
      </c>
      <c r="R983" s="4">
        <f t="shared" si="189"/>
      </c>
      <c r="S983" s="4">
        <f t="shared" si="190"/>
      </c>
      <c r="T983" s="4">
        <f t="shared" si="191"/>
      </c>
      <c r="U983" s="4">
        <f t="shared" si="198"/>
        <v/>
      </c>
    </row>
    <row r="984" spans="1:21" x14ac:dyDescent="0.3">
      <c r="A984" s="4">
        <f t="shared" si="187"/>
        <v/>
      </c>
      <c r="B984" s="4">
        <f>IF(C984=1,MAX(B$2:$B983)+1,IF(F984=0,"",B983))</f>
        <v/>
      </c>
      <c r="C984" s="4">
        <f>COUNTIF($F$2:$F984,F984)</f>
      </c>
      <c r="D984" s="4">
        <f>IF(F984=0,0,MAX($D$2:D983)+1)</f>
      </c>
      <c r="E984" s="4">
        <f>IF(H984=0,0,MAX($E$2:E983)+1)</f>
      </c>
      <c r="F984" s="59"/>
      <c r="G984" s="59"/>
      <c r="H984" s="59"/>
      <c r="I984" s="4">
        <f>IFERROR(VLOOKUP(H984,H$2:H983,1,FALSE),VLOOKUP(H984,H$478:H985,1,FALSE))</f>
      </c>
      <c r="J984" s="4">
        <f t="shared" si="192"/>
        <v/>
      </c>
      <c r="K984" s="4">
        <f t="shared" si="193"/>
        <v/>
      </c>
      <c r="L984" s="4">
        <f t="shared" si="194"/>
        <v/>
      </c>
      <c r="M984" s="5">
        <f t="shared" si="188"/>
        <v/>
      </c>
      <c r="N984" s="4">
        <f t="shared" si="195"/>
        <v/>
      </c>
      <c r="O984" s="4"/>
      <c r="P984" s="4">
        <f t="shared" si="196"/>
        <v/>
      </c>
      <c r="Q984" s="4">
        <f t="shared" si="197"/>
        <v/>
      </c>
      <c r="R984" s="4">
        <f t="shared" si="189"/>
      </c>
      <c r="S984" s="4">
        <f t="shared" si="190"/>
      </c>
      <c r="T984" s="4">
        <f t="shared" si="191"/>
      </c>
      <c r="U984" s="4">
        <f t="shared" si="198"/>
        <v/>
      </c>
    </row>
    <row r="985" spans="1:21" x14ac:dyDescent="0.3">
      <c r="A985" s="4">
        <f t="shared" si="187"/>
        <v/>
      </c>
      <c r="B985" s="4">
        <f>IF(C985=1,MAX(B$2:$B984)+1,IF(F985=0,"",B984))</f>
        <v/>
      </c>
      <c r="C985" s="4">
        <f>COUNTIF($F$2:$F985,F985)</f>
      </c>
      <c r="D985" s="4">
        <f>IF(F985=0,0,MAX($D$2:D984)+1)</f>
      </c>
      <c r="E985" s="4">
        <f>IF(H985=0,0,MAX($E$2:E984)+1)</f>
      </c>
      <c r="F985" s="59"/>
      <c r="G985" s="59"/>
      <c r="H985" s="59"/>
      <c r="I985" s="4">
        <f>IFERROR(VLOOKUP(H985,H$2:H984,1,FALSE),VLOOKUP(H985,H$478:H986,1,FALSE))</f>
      </c>
      <c r="J985" s="4">
        <f t="shared" si="192"/>
        <v/>
      </c>
      <c r="K985" s="4">
        <f t="shared" si="193"/>
        <v/>
      </c>
      <c r="L985" s="4">
        <f t="shared" si="194"/>
        <v/>
      </c>
      <c r="M985" s="5">
        <f t="shared" si="188"/>
        <v/>
      </c>
      <c r="N985" s="4">
        <f t="shared" si="195"/>
        <v/>
      </c>
      <c r="O985" s="4"/>
      <c r="P985" s="4">
        <f t="shared" si="196"/>
        <v/>
      </c>
      <c r="Q985" s="4">
        <f t="shared" si="197"/>
        <v/>
      </c>
      <c r="R985" s="4">
        <f t="shared" si="189"/>
      </c>
      <c r="S985" s="4">
        <f t="shared" si="190"/>
      </c>
      <c r="T985" s="4">
        <f t="shared" si="191"/>
      </c>
      <c r="U985" s="4">
        <f t="shared" si="198"/>
        <v/>
      </c>
    </row>
    <row r="986" spans="1:21" x14ac:dyDescent="0.3">
      <c r="A986" s="4">
        <f t="shared" si="187"/>
        <v/>
      </c>
      <c r="B986" s="4">
        <f>IF(C986=1,MAX(B$2:$B985)+1,IF(F986=0,"",B985))</f>
        <v/>
      </c>
      <c r="C986" s="4">
        <f>COUNTIF($F$2:$F986,F986)</f>
      </c>
      <c r="D986" s="4">
        <f>IF(F986=0,0,MAX($D$2:D985)+1)</f>
      </c>
      <c r="E986" s="4">
        <f>IF(H986=0,0,MAX($E$2:E985)+1)</f>
      </c>
      <c r="F986" s="59"/>
      <c r="G986" s="59"/>
      <c r="H986" s="59"/>
      <c r="I986" s="4">
        <f>IFERROR(VLOOKUP(H986,H$2:H985,1,FALSE),VLOOKUP(H986,H$478:H987,1,FALSE))</f>
      </c>
      <c r="J986" s="4">
        <f t="shared" si="192"/>
        <v/>
      </c>
      <c r="K986" s="4">
        <f t="shared" si="193"/>
        <v/>
      </c>
      <c r="L986" s="4">
        <f t="shared" si="194"/>
        <v/>
      </c>
      <c r="M986" s="5">
        <f t="shared" si="188"/>
        <v/>
      </c>
      <c r="N986" s="4">
        <f t="shared" si="195"/>
        <v/>
      </c>
      <c r="O986" s="4"/>
      <c r="P986" s="4">
        <f t="shared" si="196"/>
        <v/>
      </c>
      <c r="Q986" s="4">
        <f t="shared" si="197"/>
        <v/>
      </c>
      <c r="R986" s="4">
        <f t="shared" si="189"/>
      </c>
      <c r="S986" s="4">
        <f t="shared" si="190"/>
      </c>
      <c r="T986" s="4">
        <f t="shared" si="191"/>
      </c>
      <c r="U986" s="4">
        <f t="shared" si="198"/>
        <v/>
      </c>
    </row>
    <row r="987" spans="1:21" x14ac:dyDescent="0.3">
      <c r="A987" s="4">
        <f t="shared" si="187"/>
        <v/>
      </c>
      <c r="B987" s="4">
        <f>IF(C987=1,MAX(B$2:$B986)+1,IF(F987=0,"",B986))</f>
        <v/>
      </c>
      <c r="C987" s="4">
        <f>COUNTIF($F$2:$F987,F987)</f>
      </c>
      <c r="D987" s="4">
        <f>IF(F987=0,0,MAX($D$2:D986)+1)</f>
      </c>
      <c r="E987" s="4">
        <f>IF(H987=0,0,MAX($E$2:E986)+1)</f>
      </c>
      <c r="F987" s="59"/>
      <c r="G987" s="59"/>
      <c r="H987" s="59"/>
      <c r="I987" s="4">
        <f>IFERROR(VLOOKUP(H987,H$2:H986,1,FALSE),VLOOKUP(H987,H$478:H988,1,FALSE))</f>
      </c>
      <c r="J987" s="4">
        <f t="shared" si="192"/>
        <v/>
      </c>
      <c r="K987" s="4">
        <f t="shared" si="193"/>
        <v/>
      </c>
      <c r="L987" s="4">
        <f t="shared" si="194"/>
        <v/>
      </c>
      <c r="M987" s="5">
        <f t="shared" si="188"/>
        <v/>
      </c>
      <c r="N987" s="4">
        <f t="shared" si="195"/>
        <v/>
      </c>
      <c r="O987" s="4"/>
      <c r="P987" s="4">
        <f t="shared" si="196"/>
        <v/>
      </c>
      <c r="Q987" s="4">
        <f t="shared" si="197"/>
        <v/>
      </c>
      <c r="R987" s="4">
        <f t="shared" si="189"/>
      </c>
      <c r="S987" s="4">
        <f t="shared" si="190"/>
      </c>
      <c r="T987" s="4">
        <f t="shared" si="191"/>
      </c>
      <c r="U987" s="4">
        <f t="shared" si="198"/>
        <v/>
      </c>
    </row>
    <row r="988" spans="1:21" x14ac:dyDescent="0.3">
      <c r="A988" s="4">
        <f t="shared" si="187"/>
        <v/>
      </c>
      <c r="B988" s="4">
        <f>IF(C988=1,MAX(B$2:$B987)+1,IF(F988=0,"",B987))</f>
        <v/>
      </c>
      <c r="C988" s="4">
        <f>COUNTIF($F$2:$F988,F988)</f>
      </c>
      <c r="D988" s="4">
        <f>IF(F988=0,0,MAX($D$2:D987)+1)</f>
      </c>
      <c r="E988" s="4">
        <f>IF(H988=0,0,MAX($E$2:E987)+1)</f>
      </c>
      <c r="F988" s="59"/>
      <c r="G988" s="59"/>
      <c r="H988" s="59"/>
      <c r="I988" s="4">
        <f>IFERROR(VLOOKUP(H988,H$2:H987,1,FALSE),VLOOKUP(H988,H$478:H989,1,FALSE))</f>
      </c>
      <c r="J988" s="4">
        <f t="shared" si="192"/>
        <v/>
      </c>
      <c r="K988" s="4">
        <f t="shared" si="193"/>
        <v/>
      </c>
      <c r="L988" s="4">
        <f t="shared" si="194"/>
        <v/>
      </c>
      <c r="M988" s="5">
        <f t="shared" si="188"/>
        <v/>
      </c>
      <c r="N988" s="4">
        <f t="shared" si="195"/>
        <v/>
      </c>
      <c r="O988" s="4"/>
      <c r="P988" s="4">
        <f t="shared" si="196"/>
        <v/>
      </c>
      <c r="Q988" s="4">
        <f t="shared" si="197"/>
        <v/>
      </c>
      <c r="R988" s="4">
        <f t="shared" si="189"/>
      </c>
      <c r="S988" s="4">
        <f t="shared" si="190"/>
      </c>
      <c r="T988" s="4">
        <f t="shared" si="191"/>
      </c>
      <c r="U988" s="4">
        <f t="shared" si="198"/>
        <v/>
      </c>
    </row>
    <row r="989" spans="1:21" x14ac:dyDescent="0.3">
      <c r="A989" s="4">
        <f t="shared" si="187"/>
        <v/>
      </c>
      <c r="B989" s="4">
        <f>IF(C989=1,MAX(B$2:$B988)+1,IF(F989=0,"",B988))</f>
        <v/>
      </c>
      <c r="C989" s="4">
        <f>COUNTIF($F$2:$F989,F989)</f>
      </c>
      <c r="D989" s="4">
        <f>IF(F989=0,0,MAX($D$2:D988)+1)</f>
      </c>
      <c r="E989" s="4">
        <f>IF(H989=0,0,MAX($E$2:E988)+1)</f>
      </c>
      <c r="F989" s="59"/>
      <c r="G989" s="59"/>
      <c r="H989" s="59"/>
      <c r="I989" s="4">
        <f>IFERROR(VLOOKUP(H989,H$2:H988,1,FALSE),VLOOKUP(H989,H$478:H990,1,FALSE))</f>
      </c>
      <c r="J989" s="4">
        <f t="shared" si="192"/>
        <v/>
      </c>
      <c r="K989" s="4">
        <f t="shared" si="193"/>
        <v/>
      </c>
      <c r="L989" s="4">
        <f t="shared" si="194"/>
        <v/>
      </c>
      <c r="M989" s="5">
        <f t="shared" si="188"/>
        <v/>
      </c>
      <c r="N989" s="4">
        <f t="shared" si="195"/>
        <v/>
      </c>
      <c r="O989" s="4"/>
      <c r="P989" s="4">
        <f t="shared" si="196"/>
        <v/>
      </c>
      <c r="Q989" s="4">
        <f t="shared" si="197"/>
        <v/>
      </c>
      <c r="R989" s="4">
        <f t="shared" si="189"/>
      </c>
      <c r="S989" s="4">
        <f t="shared" si="190"/>
      </c>
      <c r="T989" s="4">
        <f t="shared" si="191"/>
      </c>
      <c r="U989" s="4">
        <f t="shared" si="198"/>
        <v/>
      </c>
    </row>
    <row r="990" spans="1:21" x14ac:dyDescent="0.3">
      <c r="A990" s="4">
        <f t="shared" si="187"/>
        <v/>
      </c>
      <c r="B990" s="4">
        <f>IF(C990=1,MAX(B$2:$B989)+1,IF(F990=0,"",B989))</f>
        <v/>
      </c>
      <c r="C990" s="4">
        <f>COUNTIF($F$2:$F990,F990)</f>
      </c>
      <c r="D990" s="4">
        <f>IF(F990=0,0,MAX($D$2:D989)+1)</f>
      </c>
      <c r="E990" s="4">
        <f>IF(H990=0,0,MAX($E$2:E989)+1)</f>
      </c>
      <c r="F990" s="59"/>
      <c r="G990" s="59"/>
      <c r="H990" s="59"/>
      <c r="I990" s="4">
        <f>IFERROR(VLOOKUP(H990,H$2:H989,1,FALSE),VLOOKUP(H990,H$478:H991,1,FALSE))</f>
      </c>
      <c r="J990" s="4">
        <f t="shared" si="192"/>
        <v/>
      </c>
      <c r="K990" s="4">
        <f t="shared" si="193"/>
        <v/>
      </c>
      <c r="L990" s="4">
        <f t="shared" si="194"/>
        <v/>
      </c>
      <c r="M990" s="5">
        <f t="shared" si="188"/>
        <v/>
      </c>
      <c r="N990" s="4">
        <f t="shared" si="195"/>
        <v/>
      </c>
      <c r="O990" s="4"/>
      <c r="P990" s="4">
        <f t="shared" si="196"/>
        <v/>
      </c>
      <c r="Q990" s="4">
        <f t="shared" si="197"/>
        <v/>
      </c>
      <c r="R990" s="4">
        <f t="shared" si="189"/>
      </c>
      <c r="S990" s="4">
        <f t="shared" si="190"/>
      </c>
      <c r="T990" s="4">
        <f t="shared" si="191"/>
      </c>
      <c r="U990" s="4">
        <f t="shared" si="198"/>
        <v/>
      </c>
    </row>
    <row r="991" spans="1:21" x14ac:dyDescent="0.3">
      <c r="A991" s="4">
        <f t="shared" ref="A991:A1000" si="199">IF(B991=B992,"",B991)</f>
        <v/>
      </c>
      <c r="B991" s="4">
        <f>IF(C991=1,MAX(B$2:$B990)+1,IF(F991=0,"",B990))</f>
        <v/>
      </c>
      <c r="C991" s="4">
        <f>COUNTIF($F$2:$F991,F991)</f>
      </c>
      <c r="D991" s="4">
        <f>IF(F991=0,0,MAX($D$2:D990)+1)</f>
      </c>
      <c r="E991" s="4">
        <f>IF(H991=0,0,MAX($E$2:E990)+1)</f>
      </c>
      <c r="F991" s="59"/>
      <c r="G991" s="59"/>
      <c r="H991" s="59"/>
      <c r="I991" s="4">
        <f>IFERROR(VLOOKUP(H991,H$2:H990,1,FALSE),VLOOKUP(H991,H$478:H992,1,FALSE))</f>
      </c>
      <c r="J991" s="4">
        <f t="shared" si="192"/>
        <v/>
      </c>
      <c r="K991" s="4">
        <f t="shared" si="193"/>
        <v/>
      </c>
      <c r="L991" s="4">
        <f t="shared" si="194"/>
        <v/>
      </c>
      <c r="M991" s="5">
        <f t="shared" ref="M991:M1000" si="200">IFERROR(VLOOKUP(H991,Нагрузка_диапазон_1,4,FALSE),"")</f>
        <v/>
      </c>
      <c r="N991" s="4">
        <f t="shared" si="195"/>
        <v/>
      </c>
      <c r="O991" s="4"/>
      <c r="P991" s="4">
        <f t="shared" si="196"/>
        <v/>
      </c>
      <c r="Q991" s="4">
        <f t="shared" si="197"/>
        <v/>
      </c>
      <c r="R991" s="4">
        <f t="shared" ref="R991:R1000" si="201">IF(Q991=3,"L1,L2,L3",0)</f>
      </c>
      <c r="S991" s="4">
        <f t="shared" ref="S991:S1000" si="202">IF(C991=1,1,IF(Q991=3,S990,IF(S990=3,1,S990+1)))</f>
      </c>
      <c r="T991" s="4">
        <f t="shared" ref="T991:T1000" si="203">IF(R991=0,"L"&amp;S991,R991)</f>
      </c>
      <c r="U991" s="4">
        <f t="shared" si="198"/>
        <v/>
      </c>
    </row>
    <row r="992" spans="1:21" x14ac:dyDescent="0.3">
      <c r="A992" s="4">
        <f t="shared" si="199"/>
        <v/>
      </c>
      <c r="B992" s="4">
        <f>IF(C992=1,MAX(B$2:$B991)+1,IF(F992=0,"",B991))</f>
        <v/>
      </c>
      <c r="C992" s="4">
        <f>COUNTIF($F$2:$F992,F992)</f>
      </c>
      <c r="D992" s="4">
        <f>IF(F992=0,0,MAX($D$2:D991)+1)</f>
      </c>
      <c r="E992" s="4">
        <f>IF(H992=0,0,MAX($E$2:E991)+1)</f>
      </c>
      <c r="F992" s="59"/>
      <c r="G992" s="59"/>
      <c r="H992" s="59"/>
      <c r="I992" s="4">
        <f>IFERROR(VLOOKUP(H992,H$2:H991,1,FALSE),VLOOKUP(H992,H$478:H993,1,FALSE))</f>
      </c>
      <c r="J992" s="4">
        <f t="shared" si="192"/>
        <v/>
      </c>
      <c r="K992" s="4">
        <f t="shared" si="193"/>
        <v/>
      </c>
      <c r="L992" s="4">
        <f t="shared" si="194"/>
        <v/>
      </c>
      <c r="M992" s="5">
        <f t="shared" si="200"/>
        <v/>
      </c>
      <c r="N992" s="4">
        <f t="shared" si="195"/>
        <v/>
      </c>
      <c r="O992" s="4"/>
      <c r="P992" s="4">
        <f t="shared" si="196"/>
        <v/>
      </c>
      <c r="Q992" s="4">
        <f t="shared" si="197"/>
        <v/>
      </c>
      <c r="R992" s="4">
        <f t="shared" si="201"/>
      </c>
      <c r="S992" s="4">
        <f t="shared" si="202"/>
      </c>
      <c r="T992" s="4">
        <f t="shared" si="203"/>
      </c>
      <c r="U992" s="4">
        <f t="shared" si="198"/>
        <v/>
      </c>
    </row>
    <row r="993" spans="1:21" x14ac:dyDescent="0.3">
      <c r="A993" s="4">
        <f t="shared" si="199"/>
        <v/>
      </c>
      <c r="B993" s="4">
        <f>IF(C993=1,MAX(B$2:$B992)+1,IF(F993=0,"",B992))</f>
        <v/>
      </c>
      <c r="C993" s="4">
        <f>COUNTIF($F$2:$F993,F993)</f>
      </c>
      <c r="D993" s="4">
        <f>IF(F993=0,0,MAX($D$2:D992)+1)</f>
      </c>
      <c r="E993" s="4">
        <f>IF(H993=0,0,MAX($E$2:E992)+1)</f>
      </c>
      <c r="F993" s="59"/>
      <c r="G993" s="59"/>
      <c r="H993" s="59"/>
      <c r="I993" s="4">
        <f>IFERROR(VLOOKUP(H993,H$2:H992,1,FALSE),VLOOKUP(H993,H$478:H994,1,FALSE))</f>
      </c>
      <c r="J993" s="4">
        <f t="shared" si="192"/>
        <v/>
      </c>
      <c r="K993" s="4">
        <f t="shared" si="193"/>
        <v/>
      </c>
      <c r="L993" s="4">
        <f t="shared" si="194"/>
        <v/>
      </c>
      <c r="M993" s="5">
        <f t="shared" si="200"/>
        <v/>
      </c>
      <c r="N993" s="4">
        <f t="shared" si="195"/>
        <v/>
      </c>
      <c r="O993" s="4"/>
      <c r="P993" s="4">
        <f t="shared" si="196"/>
        <v/>
      </c>
      <c r="Q993" s="4">
        <f t="shared" si="197"/>
        <v/>
      </c>
      <c r="R993" s="4">
        <f t="shared" si="201"/>
      </c>
      <c r="S993" s="4">
        <f t="shared" si="202"/>
      </c>
      <c r="T993" s="4">
        <f t="shared" si="203"/>
      </c>
      <c r="U993" s="4">
        <f t="shared" si="198"/>
        <v/>
      </c>
    </row>
    <row r="994" spans="1:21" x14ac:dyDescent="0.3">
      <c r="A994" s="4">
        <f t="shared" si="199"/>
        <v/>
      </c>
      <c r="B994" s="4">
        <f>IF(C994=1,MAX(B$2:$B993)+1,IF(F994=0,"",B993))</f>
        <v/>
      </c>
      <c r="C994" s="4">
        <f>COUNTIF($F$2:$F994,F994)</f>
      </c>
      <c r="D994" s="4">
        <f>IF(F994=0,0,MAX($D$2:D993)+1)</f>
      </c>
      <c r="E994" s="4">
        <f>IF(H994=0,0,MAX($E$2:E993)+1)</f>
      </c>
      <c r="F994" s="59"/>
      <c r="G994" s="59"/>
      <c r="H994" s="59"/>
      <c r="I994" s="4">
        <f>IFERROR(VLOOKUP(H994,H$2:H993,1,FALSE),VLOOKUP(H994,H$478:H995,1,FALSE))</f>
      </c>
      <c r="J994" s="4">
        <f t="shared" si="192"/>
        <v/>
      </c>
      <c r="K994" s="4">
        <f t="shared" si="193"/>
        <v/>
      </c>
      <c r="L994" s="4">
        <f t="shared" si="194"/>
        <v/>
      </c>
      <c r="M994" s="5">
        <f t="shared" si="200"/>
        <v/>
      </c>
      <c r="N994" s="4">
        <f t="shared" si="195"/>
        <v/>
      </c>
      <c r="O994" s="4"/>
      <c r="P994" s="4">
        <f t="shared" si="196"/>
        <v/>
      </c>
      <c r="Q994" s="4">
        <f t="shared" si="197"/>
        <v/>
      </c>
      <c r="R994" s="4">
        <f t="shared" si="201"/>
      </c>
      <c r="S994" s="4">
        <f t="shared" si="202"/>
      </c>
      <c r="T994" s="4">
        <f t="shared" si="203"/>
      </c>
      <c r="U994" s="4">
        <f t="shared" si="198"/>
        <v/>
      </c>
    </row>
    <row r="995" spans="1:21" x14ac:dyDescent="0.3">
      <c r="A995" s="4">
        <f t="shared" si="199"/>
        <v/>
      </c>
      <c r="B995" s="4">
        <f>IF(C995=1,MAX(B$2:$B994)+1,IF(F995=0,"",B994))</f>
        <v/>
      </c>
      <c r="C995" s="4">
        <f>COUNTIF($F$2:$F995,F995)</f>
      </c>
      <c r="D995" s="4">
        <f>IF(F995=0,0,MAX($D$2:D994)+1)</f>
      </c>
      <c r="E995" s="4">
        <f>IF(H995=0,0,MAX($E$2:E994)+1)</f>
      </c>
      <c r="F995" s="59"/>
      <c r="G995" s="59"/>
      <c r="H995" s="59"/>
      <c r="I995" s="4">
        <f>IFERROR(VLOOKUP(H995,H$2:H994,1,FALSE),VLOOKUP(H995,H$478:H996,1,FALSE))</f>
      </c>
      <c r="J995" s="4">
        <f t="shared" si="192"/>
        <v/>
      </c>
      <c r="K995" s="4">
        <f t="shared" si="193"/>
        <v/>
      </c>
      <c r="L995" s="4">
        <f t="shared" si="194"/>
        <v/>
      </c>
      <c r="M995" s="5">
        <f t="shared" si="200"/>
        <v/>
      </c>
      <c r="N995" s="4">
        <f t="shared" si="195"/>
        <v/>
      </c>
      <c r="O995" s="4"/>
      <c r="P995" s="4">
        <f t="shared" si="196"/>
        <v/>
      </c>
      <c r="Q995" s="4">
        <f t="shared" si="197"/>
        <v/>
      </c>
      <c r="R995" s="4">
        <f t="shared" si="201"/>
      </c>
      <c r="S995" s="4">
        <f t="shared" si="202"/>
      </c>
      <c r="T995" s="4">
        <f t="shared" si="203"/>
      </c>
      <c r="U995" s="4">
        <f t="shared" si="198"/>
        <v/>
      </c>
    </row>
    <row r="996" spans="1:21" x14ac:dyDescent="0.3">
      <c r="A996" s="4">
        <f t="shared" si="199"/>
        <v/>
      </c>
      <c r="B996" s="4">
        <f>IF(C996=1,MAX(B$2:$B995)+1,IF(F996=0,"",B995))</f>
        <v/>
      </c>
      <c r="C996" s="4">
        <f>COUNTIF($F$2:$F996,F996)</f>
      </c>
      <c r="D996" s="4">
        <f>IF(F996=0,0,MAX($D$2:D995)+1)</f>
      </c>
      <c r="E996" s="4">
        <f>IF(H996=0,0,MAX($E$2:E995)+1)</f>
      </c>
      <c r="F996" s="59"/>
      <c r="G996" s="59"/>
      <c r="H996" s="59"/>
      <c r="I996" s="4">
        <f>IFERROR(VLOOKUP(H996,H$2:H995,1,FALSE),VLOOKUP(H996,H$478:H997,1,FALSE))</f>
      </c>
      <c r="J996" s="4">
        <f t="shared" si="192"/>
        <v/>
      </c>
      <c r="K996" s="4">
        <f t="shared" si="193"/>
        <v/>
      </c>
      <c r="L996" s="4">
        <f t="shared" si="194"/>
        <v/>
      </c>
      <c r="M996" s="5">
        <f t="shared" si="200"/>
        <v/>
      </c>
      <c r="N996" s="4">
        <f t="shared" si="195"/>
        <v/>
      </c>
      <c r="O996" s="4"/>
      <c r="P996" s="4">
        <f t="shared" si="196"/>
        <v/>
      </c>
      <c r="Q996" s="4">
        <f t="shared" si="197"/>
        <v/>
      </c>
      <c r="R996" s="4">
        <f t="shared" si="201"/>
      </c>
      <c r="S996" s="4">
        <f t="shared" si="202"/>
      </c>
      <c r="T996" s="4">
        <f t="shared" si="203"/>
      </c>
      <c r="U996" s="4">
        <f t="shared" si="198"/>
        <v/>
      </c>
    </row>
    <row r="997" spans="1:21" x14ac:dyDescent="0.3">
      <c r="A997" s="4">
        <f t="shared" si="199"/>
        <v/>
      </c>
      <c r="B997" s="4">
        <f>IF(C997=1,MAX(B$2:$B996)+1,IF(F997=0,"",B996))</f>
        <v/>
      </c>
      <c r="C997" s="4">
        <f>COUNTIF($F$2:$F997,F997)</f>
      </c>
      <c r="D997" s="4">
        <f>IF(F997=0,0,MAX($D$2:D996)+1)</f>
      </c>
      <c r="E997" s="4">
        <f>IF(H997=0,0,MAX($E$2:E996)+1)</f>
      </c>
      <c r="F997" s="59"/>
      <c r="G997" s="59"/>
      <c r="H997" s="59"/>
      <c r="I997" s="4">
        <f>IFERROR(VLOOKUP(H997,H$2:H996,1,FALSE),VLOOKUP(H997,H$478:H998,1,FALSE))</f>
      </c>
      <c r="J997" s="4">
        <f t="shared" si="192"/>
        <v/>
      </c>
      <c r="K997" s="4">
        <f t="shared" si="193"/>
        <v/>
      </c>
      <c r="L997" s="4">
        <f t="shared" si="194"/>
        <v/>
      </c>
      <c r="M997" s="5">
        <f t="shared" si="200"/>
        <v/>
      </c>
      <c r="N997" s="4">
        <f t="shared" si="195"/>
        <v/>
      </c>
      <c r="O997" s="4"/>
      <c r="P997" s="4">
        <f t="shared" si="196"/>
        <v/>
      </c>
      <c r="Q997" s="4">
        <f t="shared" si="197"/>
        <v/>
      </c>
      <c r="R997" s="4">
        <f t="shared" si="201"/>
      </c>
      <c r="S997" s="4">
        <f t="shared" si="202"/>
      </c>
      <c r="T997" s="4">
        <f t="shared" si="203"/>
      </c>
      <c r="U997" s="4">
        <f t="shared" si="198"/>
        <v/>
      </c>
    </row>
    <row r="998" spans="1:21" x14ac:dyDescent="0.3">
      <c r="A998" s="4">
        <f t="shared" si="199"/>
        <v/>
      </c>
      <c r="B998" s="4">
        <f>IF(C998=1,MAX(B$2:$B997)+1,IF(F998=0,"",B997))</f>
        <v/>
      </c>
      <c r="C998" s="4">
        <f>COUNTIF($F$2:$F998,F998)</f>
      </c>
      <c r="D998" s="4">
        <f>IF(F998=0,0,MAX($D$2:D997)+1)</f>
      </c>
      <c r="E998" s="4">
        <f>IF(H998=0,0,MAX($E$2:E997)+1)</f>
      </c>
      <c r="F998" s="59"/>
      <c r="G998" s="59"/>
      <c r="H998" s="59"/>
      <c r="I998" s="4">
        <f>IFERROR(VLOOKUP(H998,H$2:H997,1,FALSE),VLOOKUP(H998,H$478:H999,1,FALSE))</f>
      </c>
      <c r="J998" s="4">
        <f t="shared" si="192"/>
        <v/>
      </c>
      <c r="K998" s="4">
        <f t="shared" si="193"/>
        <v/>
      </c>
      <c r="L998" s="4">
        <f t="shared" si="194"/>
        <v/>
      </c>
      <c r="M998" s="5">
        <f t="shared" si="200"/>
        <v/>
      </c>
      <c r="N998" s="4">
        <f t="shared" si="195"/>
        <v/>
      </c>
      <c r="O998" s="4"/>
      <c r="P998" s="4">
        <f t="shared" si="196"/>
        <v/>
      </c>
      <c r="Q998" s="4">
        <f t="shared" si="197"/>
        <v/>
      </c>
      <c r="R998" s="4">
        <f t="shared" si="201"/>
      </c>
      <c r="S998" s="4">
        <f t="shared" si="202"/>
      </c>
      <c r="T998" s="4">
        <f t="shared" si="203"/>
      </c>
      <c r="U998" s="4">
        <f t="shared" si="198"/>
        <v/>
      </c>
    </row>
    <row r="999" spans="1:21" x14ac:dyDescent="0.3">
      <c r="A999" s="4">
        <f t="shared" si="199"/>
        <v/>
      </c>
      <c r="B999" s="4">
        <f>IF(C999=1,MAX(B$2:$B998)+1,IF(F999=0,"",B998))</f>
        <v/>
      </c>
      <c r="C999" s="4">
        <f>COUNTIF($F$2:$F999,F999)</f>
      </c>
      <c r="D999" s="4">
        <f>IF(F999=0,0,MAX($D$2:D998)+1)</f>
      </c>
      <c r="E999" s="4">
        <f>IF(H999=0,0,MAX($E$2:E998)+1)</f>
      </c>
      <c r="F999" s="59"/>
      <c r="G999" s="59"/>
      <c r="H999" s="59"/>
      <c r="I999" s="4">
        <f>IFERROR(VLOOKUP(H999,H$2:H998,1,FALSE),VLOOKUP(H999,H$478:H1000,1,FALSE))</f>
      </c>
      <c r="J999" s="4">
        <f t="shared" si="192"/>
        <v/>
      </c>
      <c r="K999" s="4">
        <f t="shared" si="193"/>
        <v/>
      </c>
      <c r="L999" s="4">
        <f t="shared" si="194"/>
        <v/>
      </c>
      <c r="M999" s="5">
        <f t="shared" si="200"/>
        <v/>
      </c>
      <c r="N999" s="4">
        <f t="shared" si="195"/>
        <v/>
      </c>
      <c r="O999" s="4"/>
      <c r="P999" s="4">
        <f t="shared" si="196"/>
        <v/>
      </c>
      <c r="Q999" s="4">
        <f t="shared" si="197"/>
        <v/>
      </c>
      <c r="R999" s="4">
        <f t="shared" si="201"/>
      </c>
      <c r="S999" s="4">
        <f t="shared" si="202"/>
      </c>
      <c r="T999" s="4">
        <f t="shared" si="203"/>
      </c>
      <c r="U999" s="4">
        <f t="shared" si="198"/>
        <v/>
      </c>
    </row>
    <row r="1000" spans="1:21" x14ac:dyDescent="0.3">
      <c r="A1000" s="4">
        <f t="shared" si="199"/>
        <v/>
      </c>
      <c r="B1000" s="4">
        <f>IF(C1000=1,MAX(B$2:$B999)+1,IF(F1000=0,"",B999))</f>
        <v/>
      </c>
      <c r="C1000" s="4">
        <f>COUNTIF($F$2:$F1000,F1000)</f>
      </c>
      <c r="D1000" s="4">
        <f>IF(F1000=0,0,MAX($D$2:D999)+1)</f>
      </c>
      <c r="E1000" s="4">
        <f>IF(H1000=0,0,MAX($E$2:E999)+1)</f>
      </c>
      <c r="F1000" s="59"/>
      <c r="G1000" s="59"/>
      <c r="H1000" s="59"/>
      <c r="I1000" s="4">
        <f>IFERROR(VLOOKUP(H1000,H$2:H999,1,FALSE),VLOOKUP(H1000,H$478:H1001,1,FALSE))</f>
      </c>
      <c r="J1000" s="4">
        <f t="shared" si="192"/>
        <v/>
      </c>
      <c r="K1000" s="4">
        <f t="shared" si="193"/>
        <v/>
      </c>
      <c r="L1000" s="4">
        <f t="shared" si="194"/>
        <v/>
      </c>
      <c r="M1000" s="5">
        <f t="shared" si="200"/>
        <v/>
      </c>
      <c r="N1000" s="4">
        <f t="shared" si="195"/>
        <v/>
      </c>
      <c r="O1000" s="4"/>
      <c r="P1000" s="4">
        <f t="shared" si="196"/>
        <v/>
      </c>
      <c r="Q1000" s="4">
        <f t="shared" si="197"/>
        <v/>
      </c>
      <c r="R1000" s="4">
        <f t="shared" si="201"/>
      </c>
      <c r="S1000" s="4">
        <f t="shared" si="202"/>
      </c>
      <c r="T1000" s="4">
        <f t="shared" si="203"/>
      </c>
      <c r="U1000" s="4">
        <f t="shared" si="198"/>
        <v/>
      </c>
    </row>
  </sheetData>
  <phoneticPr fontId="3" type="noConversion"/>
  <conditionalFormatting sqref="A3:F1000">
    <cfRule type="expression" dxfId="7054" priority="12382">
      <formula>_xlfn.ISFORMULA(A3)=TRUE</formula>
    </cfRule>
  </conditionalFormatting>
  <conditionalFormatting sqref="F36:G37">
    <cfRule type="expression" dxfId="7053" priority="13602">
      <formula>TRUE</formula>
    </cfRule>
  </conditionalFormatting>
  <conditionalFormatting sqref="F3:H3">
    <cfRule type="expression" dxfId="7052" priority="13598">
      <formula>TRUE</formula>
    </cfRule>
  </conditionalFormatting>
  <conditionalFormatting sqref="F19:H20">
    <cfRule type="expression" dxfId="7051" priority="13600">
      <formula>TRUE</formula>
    </cfRule>
  </conditionalFormatting>
  <conditionalFormatting sqref="F79:H1000 F53:G78">
    <cfRule type="expression" dxfId="7050" priority="13604">
      <formula>AND(ROW()&gt;=19,MOD(ROW()-19,17)&lt;2)</formula>
    </cfRule>
  </conditionalFormatting>
  <conditionalFormatting sqref="F2:U2 W2">
    <cfRule type="expression" dxfId="7049" priority="13597">
      <formula>_xlfn.ISFORMULA(F2)=TRUE</formula>
    </cfRule>
  </conditionalFormatting>
  <conditionalFormatting sqref="G3:G49">
    <cfRule type="expression" dxfId="7048" priority="7213">
      <formula>_xlfn.ISFORMULA(G3)=TRUE</formula>
    </cfRule>
  </conditionalFormatting>
  <conditionalFormatting sqref="G49">
    <cfRule type="duplicateValues" dxfId="7047" priority="7207"/>
    <cfRule type="duplicateValues" dxfId="7046" priority="7206"/>
    <cfRule type="duplicateValues" dxfId="7045" priority="7204"/>
    <cfRule type="duplicateValues" dxfId="7044" priority="7212"/>
    <cfRule type="duplicateValues" dxfId="7043" priority="7205"/>
    <cfRule type="duplicateValues" dxfId="7042" priority="7211"/>
    <cfRule type="duplicateValues" dxfId="7041" priority="7210"/>
    <cfRule type="duplicateValues" dxfId="7040" priority="7209"/>
    <cfRule type="expression" dxfId="7039" priority="7208">
      <formula>_xlfn.ISFORMULA(G49)=TRUE</formula>
    </cfRule>
  </conditionalFormatting>
  <conditionalFormatting sqref="G50">
    <cfRule type="expression" dxfId="7038" priority="7203">
      <formula>_xlfn.ISFORMULA(G50)=TRUE</formula>
    </cfRule>
    <cfRule type="duplicateValues" dxfId="7037" priority="7202"/>
    <cfRule type="duplicateValues" dxfId="7036" priority="7201"/>
    <cfRule type="duplicateValues" dxfId="7035" priority="7200"/>
    <cfRule type="duplicateValues" dxfId="7034" priority="7199"/>
    <cfRule type="expression" dxfId="7033" priority="7198">
      <formula>_xlfn.ISFORMULA(G50)=TRUE</formula>
    </cfRule>
    <cfRule type="duplicateValues" dxfId="7032" priority="7197"/>
    <cfRule type="duplicateValues" dxfId="7031" priority="7196"/>
    <cfRule type="duplicateValues" dxfId="7030" priority="7195"/>
    <cfRule type="duplicateValues" dxfId="7029" priority="7194"/>
  </conditionalFormatting>
  <conditionalFormatting sqref="G51:G100">
    <cfRule type="expression" dxfId="7028" priority="9274">
      <formula>_xlfn.ISFORMULA(G51)=TRUE</formula>
    </cfRule>
  </conditionalFormatting>
  <conditionalFormatting sqref="G99:G100">
    <cfRule type="duplicateValues" dxfId="7027" priority="9271"/>
    <cfRule type="duplicateValues" dxfId="7026" priority="9270"/>
    <cfRule type="duplicateValues" dxfId="7025" priority="9269"/>
    <cfRule type="duplicateValues" dxfId="7024" priority="9273"/>
    <cfRule type="expression" dxfId="7023" priority="9272">
      <formula>_xlfn.ISFORMULA(G99)=TRUE</formula>
    </cfRule>
  </conditionalFormatting>
  <conditionalFormatting sqref="G101:G112">
    <cfRule type="expression" dxfId="7022" priority="10666">
      <formula>_xlfn.ISFORMULA(G101)=TRUE</formula>
    </cfRule>
  </conditionalFormatting>
  <conditionalFormatting sqref="G111:G112">
    <cfRule type="duplicateValues" dxfId="7021" priority="10661"/>
    <cfRule type="duplicateValues" dxfId="7020" priority="10665"/>
    <cfRule type="expression" dxfId="7019" priority="10664">
      <formula>_xlfn.ISFORMULA(G111)=TRUE</formula>
    </cfRule>
    <cfRule type="duplicateValues" dxfId="7018" priority="10663"/>
    <cfRule type="duplicateValues" dxfId="7017" priority="10662"/>
  </conditionalFormatting>
  <conditionalFormatting sqref="G113">
    <cfRule type="duplicateValues" dxfId="7016" priority="10659"/>
    <cfRule type="duplicateValues" dxfId="7015" priority="10657"/>
    <cfRule type="duplicateValues" dxfId="7014" priority="10656"/>
    <cfRule type="duplicateValues" dxfId="7013" priority="10655"/>
    <cfRule type="expression" dxfId="7012" priority="10658">
      <formula>_xlfn.ISFORMULA(G113)=TRUE</formula>
    </cfRule>
  </conditionalFormatting>
  <conditionalFormatting sqref="G113:G119">
    <cfRule type="expression" dxfId="7011" priority="10660">
      <formula>_xlfn.ISFORMULA(G113)=TRUE</formula>
    </cfRule>
  </conditionalFormatting>
  <conditionalFormatting sqref="G120:G121">
    <cfRule type="duplicateValues" dxfId="7010" priority="9085"/>
    <cfRule type="duplicateValues" dxfId="7009" priority="9082"/>
    <cfRule type="expression" dxfId="7008" priority="9084">
      <formula>_xlfn.ISFORMULA(G120)=TRUE</formula>
    </cfRule>
    <cfRule type="duplicateValues" dxfId="7007" priority="9083"/>
    <cfRule type="duplicateValues" dxfId="7006" priority="9081"/>
  </conditionalFormatting>
  <conditionalFormatting sqref="G120:G212">
    <cfRule type="expression" dxfId="7005" priority="9086">
      <formula>_xlfn.ISFORMULA(G120)=TRUE</formula>
    </cfRule>
  </conditionalFormatting>
  <conditionalFormatting sqref="G213:G214">
    <cfRule type="duplicateValues" dxfId="7004" priority="5888"/>
    <cfRule type="duplicateValues" dxfId="7003" priority="5889"/>
    <cfRule type="duplicateValues" dxfId="7002" priority="5890"/>
  </conditionalFormatting>
  <conditionalFormatting sqref="G213:G238">
    <cfRule type="expression" dxfId="7001" priority="5891">
      <formula>_xlfn.ISFORMULA(G213)=TRUE</formula>
    </cfRule>
  </conditionalFormatting>
  <conditionalFormatting sqref="G239">
    <cfRule type="duplicateValues" dxfId="7000" priority="5576"/>
    <cfRule type="duplicateValues" dxfId="6999" priority="5573"/>
    <cfRule type="duplicateValues" dxfId="6998" priority="5575"/>
    <cfRule type="duplicateValues" dxfId="6997" priority="5571"/>
    <cfRule type="expression" dxfId="6996" priority="5570">
      <formula>_xlfn.ISFORMULA(G239)=TRUE</formula>
    </cfRule>
    <cfRule type="duplicateValues" dxfId="6995" priority="5569"/>
    <cfRule type="duplicateValues" dxfId="6994" priority="5568"/>
    <cfRule type="expression" dxfId="6993" priority="5574">
      <formula>_xlfn.ISFORMULA(G239)=TRUE</formula>
    </cfRule>
    <cfRule type="expression" dxfId="6992" priority="5566">
      <formula>_xlfn.ISFORMULA(G239)=TRUE</formula>
    </cfRule>
    <cfRule type="duplicateValues" dxfId="6991" priority="5565"/>
    <cfRule type="duplicateValues" dxfId="6990" priority="5567"/>
    <cfRule type="expression" dxfId="6989" priority="5582">
      <formula>_xlfn.ISFORMULA(G239)=TRUE</formula>
    </cfRule>
    <cfRule type="duplicateValues" dxfId="6988" priority="5564"/>
    <cfRule type="duplicateValues" dxfId="6987" priority="5581"/>
    <cfRule type="duplicateValues" dxfId="6986" priority="5563"/>
    <cfRule type="duplicateValues" dxfId="6985" priority="5580"/>
    <cfRule type="duplicateValues" dxfId="6984" priority="5579"/>
    <cfRule type="duplicateValues" dxfId="6983" priority="5578"/>
    <cfRule type="expression" dxfId="6982" priority="5577">
      <formula>_xlfn.ISFORMULA(G239)=TRUE</formula>
    </cfRule>
    <cfRule type="duplicateValues" dxfId="6981" priority="5572"/>
  </conditionalFormatting>
  <conditionalFormatting sqref="G240:G304">
    <cfRule type="expression" dxfId="6980" priority="7027">
      <formula>_xlfn.ISFORMULA(G240)=TRUE</formula>
    </cfRule>
  </conditionalFormatting>
  <conditionalFormatting sqref="G298:G304">
    <cfRule type="duplicateValues" dxfId="6979" priority="7026"/>
    <cfRule type="duplicateValues" dxfId="6978" priority="7025"/>
    <cfRule type="duplicateValues" dxfId="6977" priority="7024"/>
  </conditionalFormatting>
  <conditionalFormatting sqref="G305">
    <cfRule type="duplicateValues" dxfId="6976" priority="4218"/>
    <cfRule type="duplicateValues" dxfId="6975" priority="4215"/>
    <cfRule type="duplicateValues" dxfId="6974" priority="4216"/>
    <cfRule type="expression" dxfId="6973" priority="4219">
      <formula>_xlfn.ISFORMULA(G305)=TRUE</formula>
    </cfRule>
    <cfRule type="duplicateValues" dxfId="6972" priority="4223"/>
    <cfRule type="duplicateValues" dxfId="6971" priority="4224"/>
    <cfRule type="duplicateValues" dxfId="6970" priority="4225"/>
    <cfRule type="duplicateValues" dxfId="6969" priority="4226"/>
    <cfRule type="expression" dxfId="6968" priority="4227">
      <formula>_xlfn.ISFORMULA(G305)=TRUE</formula>
    </cfRule>
    <cfRule type="duplicateValues" dxfId="6967" priority="4217"/>
  </conditionalFormatting>
  <conditionalFormatting sqref="G306:G308">
    <cfRule type="duplicateValues" dxfId="6966" priority="6836"/>
    <cfRule type="duplicateValues" dxfId="6965" priority="6835"/>
    <cfRule type="duplicateValues" dxfId="6964" priority="6837"/>
    <cfRule type="expression" dxfId="6963" priority="6838">
      <formula>_xlfn.ISFORMULA(G306)=TRUE</formula>
    </cfRule>
  </conditionalFormatting>
  <conditionalFormatting sqref="G309:G383">
    <cfRule type="expression" dxfId="6962" priority="13320">
      <formula>_xlfn.ISFORMULA(G309)=TRUE</formula>
    </cfRule>
  </conditionalFormatting>
  <conditionalFormatting sqref="G379:G381">
    <cfRule type="duplicateValues" dxfId="6961" priority="13318"/>
    <cfRule type="duplicateValues" dxfId="6960" priority="13319"/>
  </conditionalFormatting>
  <conditionalFormatting sqref="G384:G387">
    <cfRule type="duplicateValues" dxfId="6959" priority="13315"/>
    <cfRule type="duplicateValues" dxfId="6958" priority="13316"/>
  </conditionalFormatting>
  <conditionalFormatting sqref="G384:G388">
    <cfRule type="expression" dxfId="6957" priority="13317">
      <formula>_xlfn.ISFORMULA(G384)=TRUE</formula>
    </cfRule>
  </conditionalFormatting>
  <conditionalFormatting sqref="G389:G392">
    <cfRule type="duplicateValues" dxfId="6956" priority="13312"/>
    <cfRule type="duplicateValues" dxfId="6955" priority="13313"/>
    <cfRule type="expression" dxfId="6954" priority="13314">
      <formula>_xlfn.ISFORMULA(G389)=TRUE</formula>
    </cfRule>
  </conditionalFormatting>
  <conditionalFormatting sqref="G393:G394">
    <cfRule type="expression" dxfId="6953" priority="13039">
      <formula>_xlfn.ISFORMULA(G393)=TRUE</formula>
    </cfRule>
  </conditionalFormatting>
  <conditionalFormatting sqref="G395:G404">
    <cfRule type="expression" dxfId="6952" priority="13311">
      <formula>_xlfn.ISFORMULA(G395)=TRUE</formula>
    </cfRule>
  </conditionalFormatting>
  <conditionalFormatting sqref="G396:G403">
    <cfRule type="duplicateValues" dxfId="6951" priority="13309"/>
    <cfRule type="duplicateValues" dxfId="6950" priority="13310"/>
  </conditionalFormatting>
  <conditionalFormatting sqref="G405:G408">
    <cfRule type="duplicateValues" dxfId="6949" priority="13306"/>
    <cfRule type="duplicateValues" dxfId="6948" priority="13307"/>
  </conditionalFormatting>
  <conditionalFormatting sqref="G405:G735">
    <cfRule type="expression" dxfId="6947" priority="13308">
      <formula>_xlfn.ISFORMULA(G405)=TRUE</formula>
    </cfRule>
  </conditionalFormatting>
  <conditionalFormatting sqref="G305:H305">
    <cfRule type="expression" dxfId="6946" priority="4211">
      <formula>_xlfn.ISFORMULA(G305)=TRUE</formula>
    </cfRule>
  </conditionalFormatting>
  <conditionalFormatting sqref="G736:H1000">
    <cfRule type="expression" dxfId="6945" priority="13579">
      <formula>_xlfn.ISFORMULA(G736)=TRUE</formula>
    </cfRule>
  </conditionalFormatting>
  <conditionalFormatting sqref="H3 H12:H13 H19:H20">
    <cfRule type="expression" dxfId="6944" priority="12616">
      <formula>_xlfn.ISFORMULA(H3)=TRUE</formula>
    </cfRule>
  </conditionalFormatting>
  <conditionalFormatting sqref="H3 H19:H20 H12:H13">
    <cfRule type="duplicateValues" dxfId="6943" priority="12612"/>
    <cfRule type="duplicateValues" dxfId="6942" priority="12615"/>
    <cfRule type="duplicateValues" dxfId="6941" priority="12602"/>
    <cfRule type="duplicateValues" dxfId="6940" priority="12611"/>
  </conditionalFormatting>
  <conditionalFormatting sqref="H4:H5">
    <cfRule type="duplicateValues" dxfId="6939" priority="12599"/>
    <cfRule type="duplicateValues" dxfId="6938" priority="12597"/>
    <cfRule type="duplicateValues" dxfId="6937" priority="12596"/>
    <cfRule type="expression" dxfId="6936" priority="12601">
      <formula>_xlfn.ISFORMULA(H4)=TRUE</formula>
    </cfRule>
    <cfRule type="duplicateValues" dxfId="6935" priority="12600"/>
    <cfRule type="duplicateValues" dxfId="6934" priority="12598"/>
  </conditionalFormatting>
  <conditionalFormatting sqref="H6">
    <cfRule type="duplicateValues" dxfId="6933" priority="11055"/>
    <cfRule type="duplicateValues" dxfId="6932" priority="11056"/>
    <cfRule type="expression" dxfId="6931" priority="11057">
      <formula>_xlfn.ISFORMULA(H6)=TRUE</formula>
    </cfRule>
    <cfRule type="duplicateValues" dxfId="6930" priority="11053"/>
    <cfRule type="duplicateValues" dxfId="6929" priority="11054"/>
    <cfRule type="duplicateValues" dxfId="6928" priority="11052"/>
  </conditionalFormatting>
  <conditionalFormatting sqref="H7 H9">
    <cfRule type="duplicateValues" dxfId="6927" priority="12592"/>
    <cfRule type="duplicateValues" dxfId="6926" priority="12593"/>
    <cfRule type="duplicateValues" dxfId="6925" priority="12590"/>
    <cfRule type="duplicateValues" dxfId="6924" priority="12591"/>
    <cfRule type="expression" dxfId="6923" priority="12595">
      <formula>_xlfn.ISFORMULA(H7)=TRUE</formula>
    </cfRule>
    <cfRule type="duplicateValues" dxfId="6922" priority="12594"/>
  </conditionalFormatting>
  <conditionalFormatting sqref="H8">
    <cfRule type="duplicateValues" dxfId="6921" priority="11526"/>
    <cfRule type="duplicateValues" dxfId="6920" priority="11527"/>
    <cfRule type="duplicateValues" dxfId="6919" priority="11528"/>
    <cfRule type="duplicateValues" dxfId="6918" priority="11529"/>
    <cfRule type="expression" dxfId="6917" priority="11531">
      <formula>_xlfn.ISFORMULA(H8)=TRUE</formula>
    </cfRule>
    <cfRule type="duplicateValues" dxfId="6916" priority="11530"/>
  </conditionalFormatting>
  <conditionalFormatting sqref="H9">
    <cfRule type="duplicateValues" dxfId="6915" priority="695"/>
    <cfRule type="expression" dxfId="6914" priority="697">
      <formula>_xlfn.ISFORMULA(H9)=TRUE</formula>
    </cfRule>
    <cfRule type="duplicateValues" dxfId="6913" priority="696"/>
    <cfRule type="duplicateValues" dxfId="6912" priority="694"/>
    <cfRule type="duplicateValues" dxfId="6911" priority="693"/>
    <cfRule type="duplicateValues" dxfId="6910" priority="692"/>
  </conditionalFormatting>
  <conditionalFormatting sqref="H9:H15">
    <cfRule type="duplicateValues" dxfId="6909" priority="12584"/>
    <cfRule type="duplicateValues" dxfId="6908" priority="12588"/>
    <cfRule type="expression" dxfId="6907" priority="12589">
      <formula>_xlfn.ISFORMULA(H9)=TRUE</formula>
    </cfRule>
    <cfRule type="duplicateValues" dxfId="6906" priority="12586"/>
    <cfRule type="duplicateValues" dxfId="6905" priority="12585"/>
    <cfRule type="duplicateValues" dxfId="6904" priority="12587"/>
  </conditionalFormatting>
  <conditionalFormatting sqref="H10:H11">
    <cfRule type="duplicateValues" dxfId="6903" priority="11563"/>
    <cfRule type="duplicateValues" dxfId="6902" priority="11564"/>
    <cfRule type="duplicateValues" dxfId="6901" priority="11566"/>
    <cfRule type="duplicateValues" dxfId="6900" priority="11567"/>
    <cfRule type="expression" dxfId="6899" priority="11568">
      <formula>_xlfn.ISFORMULA(H10)=TRUE</formula>
    </cfRule>
    <cfRule type="duplicateValues" dxfId="6898" priority="11565"/>
  </conditionalFormatting>
  <conditionalFormatting sqref="H14">
    <cfRule type="expression" dxfId="6897" priority="12504">
      <formula>_xlfn.ISFORMULA(H14)=TRUE</formula>
    </cfRule>
    <cfRule type="expression" dxfId="6896" priority="12498">
      <formula>_xlfn.ISFORMULA(H14)=TRUE</formula>
    </cfRule>
    <cfRule type="duplicateValues" dxfId="6895" priority="12505"/>
    <cfRule type="duplicateValues" dxfId="6894" priority="12506"/>
    <cfRule type="expression" dxfId="6893" priority="12507">
      <formula>_xlfn.ISFORMULA(H14)=TRUE</formula>
    </cfRule>
    <cfRule type="duplicateValues" dxfId="6892" priority="12509"/>
    <cfRule type="expression" dxfId="6891" priority="12510">
      <formula>_xlfn.ISFORMULA(H14)=TRUE</formula>
    </cfRule>
    <cfRule type="duplicateValues" dxfId="6890" priority="12511"/>
    <cfRule type="duplicateValues" dxfId="6889" priority="12512"/>
    <cfRule type="duplicateValues" dxfId="6888" priority="12497"/>
    <cfRule type="duplicateValues" dxfId="6887" priority="12515"/>
    <cfRule type="expression" dxfId="6886" priority="12516">
      <formula>_xlfn.ISFORMULA(H14)=TRUE</formula>
    </cfRule>
    <cfRule type="duplicateValues" dxfId="6885" priority="12520"/>
    <cfRule type="duplicateValues" dxfId="6884" priority="12521"/>
    <cfRule type="duplicateValues" dxfId="6883" priority="12522"/>
    <cfRule type="expression" dxfId="6882" priority="12523">
      <formula>_xlfn.ISFORMULA(H14)=TRUE</formula>
    </cfRule>
    <cfRule type="duplicateValues" dxfId="6881" priority="12496"/>
    <cfRule type="expression" dxfId="6880" priority="12513">
      <formula>_xlfn.ISFORMULA(H14)=TRUE</formula>
    </cfRule>
    <cfRule type="duplicateValues" dxfId="6879" priority="12494"/>
    <cfRule type="duplicateValues" dxfId="6878" priority="12493"/>
    <cfRule type="duplicateValues" dxfId="6877" priority="12495"/>
    <cfRule type="duplicateValues" dxfId="6876" priority="12503"/>
    <cfRule type="duplicateValues" dxfId="6875" priority="12502"/>
    <cfRule type="duplicateValues" dxfId="6874" priority="12501"/>
    <cfRule type="expression" dxfId="6873" priority="12500">
      <formula>_xlfn.ISFORMULA(H14)=TRUE</formula>
    </cfRule>
    <cfRule type="duplicateValues" dxfId="6872" priority="12499"/>
  </conditionalFormatting>
  <conditionalFormatting sqref="H14:H15">
    <cfRule type="expression" dxfId="6871" priority="11573">
      <formula>_xlfn.ISFORMULA(H14)=TRUE</formula>
    </cfRule>
    <cfRule type="duplicateValues" dxfId="6870" priority="11572"/>
    <cfRule type="duplicateValues" dxfId="6869" priority="11571"/>
    <cfRule type="duplicateValues" dxfId="6868" priority="11570"/>
    <cfRule type="duplicateValues" dxfId="6867" priority="11569"/>
  </conditionalFormatting>
  <conditionalFormatting sqref="H15">
    <cfRule type="expression" dxfId="6866" priority="12528">
      <formula>_xlfn.ISFORMULA(H15)=TRUE</formula>
    </cfRule>
    <cfRule type="duplicateValues" dxfId="6865" priority="12524"/>
    <cfRule type="duplicateValues" dxfId="6864" priority="12525"/>
    <cfRule type="duplicateValues" dxfId="6863" priority="12526"/>
    <cfRule type="duplicateValues" dxfId="6862" priority="12527"/>
  </conditionalFormatting>
  <conditionalFormatting sqref="H15:H18">
    <cfRule type="duplicateValues" dxfId="6861" priority="12580"/>
    <cfRule type="expression" dxfId="6860" priority="12583">
      <formula>_xlfn.ISFORMULA(H15)=TRUE</formula>
    </cfRule>
    <cfRule type="duplicateValues" dxfId="6859" priority="12581"/>
    <cfRule type="duplicateValues" dxfId="6858" priority="12582"/>
    <cfRule type="duplicateValues" dxfId="6857" priority="12579"/>
  </conditionalFormatting>
  <conditionalFormatting sqref="H16">
    <cfRule type="duplicateValues" dxfId="6856" priority="7334"/>
    <cfRule type="expression" dxfId="6855" priority="11546">
      <formula>_xlfn.ISFORMULA(H16)=TRUE</formula>
    </cfRule>
    <cfRule type="duplicateValues" dxfId="6854" priority="7331"/>
    <cfRule type="expression" dxfId="6853" priority="7332">
      <formula>_xlfn.ISFORMULA(H16)=TRUE</formula>
    </cfRule>
    <cfRule type="duplicateValues" dxfId="6852" priority="11544"/>
    <cfRule type="duplicateValues" dxfId="6851" priority="11545"/>
    <cfRule type="duplicateValues" dxfId="6850" priority="11548"/>
    <cfRule type="expression" dxfId="6849" priority="11549">
      <formula>_xlfn.ISFORMULA(H16)=TRUE</formula>
    </cfRule>
    <cfRule type="duplicateValues" dxfId="6848" priority="11550"/>
    <cfRule type="duplicateValues" dxfId="6847" priority="11551"/>
    <cfRule type="expression" dxfId="6846" priority="11552">
      <formula>_xlfn.ISFORMULA(H16)=TRUE</formula>
    </cfRule>
    <cfRule type="duplicateValues" dxfId="6845" priority="11554"/>
    <cfRule type="expression" dxfId="6844" priority="11555">
      <formula>_xlfn.ISFORMULA(H16)=TRUE</formula>
    </cfRule>
    <cfRule type="duplicateValues" dxfId="6843" priority="11559"/>
    <cfRule type="duplicateValues" dxfId="6842" priority="11560"/>
    <cfRule type="duplicateValues" dxfId="6841" priority="11561"/>
    <cfRule type="expression" dxfId="6840" priority="11562">
      <formula>_xlfn.ISFORMULA(H16)=TRUE</formula>
    </cfRule>
    <cfRule type="duplicateValues" dxfId="6839" priority="7337"/>
    <cfRule type="duplicateValues" dxfId="6838" priority="7336"/>
    <cfRule type="duplicateValues" dxfId="6837" priority="7335"/>
    <cfRule type="duplicateValues" dxfId="6836" priority="7329"/>
    <cfRule type="duplicateValues" dxfId="6835" priority="7333"/>
    <cfRule type="duplicateValues" dxfId="6834" priority="11538"/>
    <cfRule type="duplicateValues" dxfId="6833" priority="7323"/>
    <cfRule type="duplicateValues" dxfId="6832" priority="7324"/>
    <cfRule type="duplicateValues" dxfId="6831" priority="7325"/>
    <cfRule type="expression" dxfId="6830" priority="11543">
      <formula>_xlfn.ISFORMULA(H16)=TRUE</formula>
    </cfRule>
    <cfRule type="duplicateValues" dxfId="6829" priority="11542"/>
    <cfRule type="duplicateValues" dxfId="6828" priority="11541"/>
    <cfRule type="duplicateValues" dxfId="6827" priority="11540"/>
    <cfRule type="expression" dxfId="6826" priority="11539">
      <formula>_xlfn.ISFORMULA(H16)=TRUE</formula>
    </cfRule>
    <cfRule type="expression" dxfId="6825" priority="11537">
      <formula>_xlfn.ISFORMULA(H16)=TRUE</formula>
    </cfRule>
    <cfRule type="duplicateValues" dxfId="6824" priority="11536"/>
    <cfRule type="duplicateValues" dxfId="6823" priority="11535"/>
    <cfRule type="duplicateValues" dxfId="6822" priority="11534"/>
    <cfRule type="duplicateValues" dxfId="6821" priority="11533"/>
    <cfRule type="duplicateValues" dxfId="6820" priority="11532"/>
    <cfRule type="expression" dxfId="6819" priority="7338">
      <formula>_xlfn.ISFORMULA(H16)=TRUE</formula>
    </cfRule>
    <cfRule type="duplicateValues" dxfId="6818" priority="7328"/>
    <cfRule type="duplicateValues" dxfId="6817" priority="7330"/>
    <cfRule type="expression" dxfId="6816" priority="7327">
      <formula>_xlfn.ISFORMULA(H16)=TRUE</formula>
    </cfRule>
    <cfRule type="duplicateValues" dxfId="6815" priority="7326"/>
  </conditionalFormatting>
  <conditionalFormatting sqref="H17">
    <cfRule type="duplicateValues" dxfId="6814" priority="7265"/>
    <cfRule type="duplicateValues" dxfId="6813" priority="7264"/>
    <cfRule type="duplicateValues" dxfId="6812" priority="7263"/>
    <cfRule type="duplicateValues" dxfId="6811" priority="7262"/>
    <cfRule type="duplicateValues" dxfId="6810" priority="7261"/>
    <cfRule type="expression" dxfId="6809" priority="7260">
      <formula>_xlfn.ISFORMULA(H17)=TRUE</formula>
    </cfRule>
    <cfRule type="duplicateValues" dxfId="6808" priority="7259"/>
    <cfRule type="duplicateValues" dxfId="6807" priority="7258"/>
    <cfRule type="duplicateValues" dxfId="6806" priority="7257"/>
    <cfRule type="duplicateValues" dxfId="6805" priority="7256"/>
    <cfRule type="duplicateValues" dxfId="6804" priority="7255"/>
    <cfRule type="expression" dxfId="6803" priority="7254">
      <formula>_xlfn.ISFORMULA(H17)=TRUE</formula>
    </cfRule>
    <cfRule type="expression" dxfId="6802" priority="7322">
      <formula>_xlfn.ISFORMULA(H17)=TRUE</formula>
    </cfRule>
    <cfRule type="duplicateValues" dxfId="6801" priority="7321"/>
    <cfRule type="duplicateValues" dxfId="6800" priority="7320"/>
    <cfRule type="duplicateValues" dxfId="6799" priority="7301"/>
    <cfRule type="duplicateValues" dxfId="6798" priority="7319"/>
    <cfRule type="expression" dxfId="6797" priority="7315">
      <formula>_xlfn.ISFORMULA(H17)=TRUE</formula>
    </cfRule>
    <cfRule type="duplicateValues" dxfId="6796" priority="7314"/>
    <cfRule type="expression" dxfId="6795" priority="7312">
      <formula>_xlfn.ISFORMULA(H17)=TRUE</formula>
    </cfRule>
    <cfRule type="duplicateValues" dxfId="6794" priority="7311"/>
    <cfRule type="duplicateValues" dxfId="6793" priority="7310"/>
    <cfRule type="duplicateValues" dxfId="6792" priority="7302"/>
    <cfRule type="expression" dxfId="6791" priority="7303">
      <formula>_xlfn.ISFORMULA(H17)=TRUE</formula>
    </cfRule>
    <cfRule type="duplicateValues" dxfId="6790" priority="7305"/>
    <cfRule type="duplicateValues" dxfId="6789" priority="7296"/>
    <cfRule type="expression" dxfId="6788" priority="7297">
      <formula>_xlfn.ISFORMULA(H17)=TRUE</formula>
    </cfRule>
    <cfRule type="duplicateValues" dxfId="6787" priority="7298"/>
    <cfRule type="expression" dxfId="6786" priority="7299">
      <formula>_xlfn.ISFORMULA(H17)=TRUE</formula>
    </cfRule>
    <cfRule type="duplicateValues" dxfId="6785" priority="7300"/>
    <cfRule type="expression" dxfId="6784" priority="7309">
      <formula>_xlfn.ISFORMULA(H17)=TRUE</formula>
    </cfRule>
    <cfRule type="duplicateValues" dxfId="6783" priority="7246"/>
    <cfRule type="duplicateValues" dxfId="6782" priority="7247"/>
    <cfRule type="duplicateValues" dxfId="6781" priority="7248"/>
    <cfRule type="expression" dxfId="6780" priority="7249">
      <formula>_xlfn.ISFORMULA(H17)=TRUE</formula>
    </cfRule>
    <cfRule type="duplicateValues" dxfId="6779" priority="7308"/>
    <cfRule type="expression" dxfId="6778" priority="7306">
      <formula>_xlfn.ISFORMULA(H17)=TRUE</formula>
    </cfRule>
    <cfRule type="duplicateValues" dxfId="6777" priority="7279"/>
    <cfRule type="duplicateValues" dxfId="6776" priority="7280"/>
    <cfRule type="expression" dxfId="6775" priority="7281">
      <formula>_xlfn.ISFORMULA(H17)=TRUE</formula>
    </cfRule>
    <cfRule type="duplicateValues" dxfId="6774" priority="7283"/>
    <cfRule type="expression" dxfId="6773" priority="7284">
      <formula>_xlfn.ISFORMULA(H17)=TRUE</formula>
    </cfRule>
    <cfRule type="duplicateValues" dxfId="6772" priority="7288"/>
    <cfRule type="duplicateValues" dxfId="6771" priority="7289"/>
    <cfRule type="duplicateValues" dxfId="6770" priority="7290"/>
    <cfRule type="expression" dxfId="6769" priority="7291">
      <formula>_xlfn.ISFORMULA(H17)=TRUE</formula>
    </cfRule>
    <cfRule type="duplicateValues" dxfId="6768" priority="7292"/>
    <cfRule type="duplicateValues" dxfId="6767" priority="7293"/>
    <cfRule type="duplicateValues" dxfId="6766" priority="7294"/>
    <cfRule type="duplicateValues" dxfId="6765" priority="7295"/>
    <cfRule type="duplicateValues" dxfId="6764" priority="7245"/>
    <cfRule type="duplicateValues" dxfId="6763" priority="7250"/>
    <cfRule type="duplicateValues" dxfId="6762" priority="7251"/>
    <cfRule type="expression" dxfId="6761" priority="7266">
      <formula>_xlfn.ISFORMULA(H17)=TRUE</formula>
    </cfRule>
    <cfRule type="duplicateValues" dxfId="6760" priority="7267"/>
    <cfRule type="duplicateValues" dxfId="6759" priority="7304"/>
    <cfRule type="duplicateValues" dxfId="6758" priority="7253"/>
    <cfRule type="expression" dxfId="6757" priority="7268">
      <formula>_xlfn.ISFORMULA(H17)=TRUE</formula>
    </cfRule>
    <cfRule type="duplicateValues" dxfId="6756" priority="7252"/>
    <cfRule type="duplicateValues" dxfId="6755" priority="7269"/>
    <cfRule type="duplicateValues" dxfId="6754" priority="7270"/>
    <cfRule type="duplicateValues" dxfId="6753" priority="7271"/>
    <cfRule type="expression" dxfId="6752" priority="7272">
      <formula>_xlfn.ISFORMULA(H17)=TRUE</formula>
    </cfRule>
    <cfRule type="duplicateValues" dxfId="6751" priority="7273"/>
    <cfRule type="duplicateValues" dxfId="6750" priority="7274"/>
    <cfRule type="expression" dxfId="6749" priority="7275">
      <formula>_xlfn.ISFORMULA(H17)=TRUE</formula>
    </cfRule>
    <cfRule type="duplicateValues" dxfId="6748" priority="7277"/>
    <cfRule type="expression" dxfId="6747" priority="7278">
      <formula>_xlfn.ISFORMULA(H17)=TRUE</formula>
    </cfRule>
  </conditionalFormatting>
  <conditionalFormatting sqref="H18">
    <cfRule type="duplicateValues" dxfId="6746" priority="7236"/>
    <cfRule type="expression" dxfId="6745" priority="7237">
      <formula>_xlfn.ISFORMULA(H18)=TRUE</formula>
    </cfRule>
    <cfRule type="duplicateValues" dxfId="6744" priority="7220"/>
    <cfRule type="expression" dxfId="6743" priority="7221">
      <formula>_xlfn.ISFORMULA(H18)=TRUE</formula>
    </cfRule>
    <cfRule type="duplicateValues" dxfId="6742" priority="7222"/>
    <cfRule type="duplicateValues" dxfId="6741" priority="7223"/>
    <cfRule type="duplicateValues" dxfId="6740" priority="7224"/>
    <cfRule type="duplicateValues" dxfId="6739" priority="7241"/>
    <cfRule type="duplicateValues" dxfId="6738" priority="7242"/>
    <cfRule type="duplicateValues" dxfId="6737" priority="7226"/>
    <cfRule type="duplicateValues" dxfId="6736" priority="7227"/>
    <cfRule type="expression" dxfId="6735" priority="7228">
      <formula>_xlfn.ISFORMULA(H18)=TRUE</formula>
    </cfRule>
    <cfRule type="duplicateValues" dxfId="6734" priority="7230"/>
    <cfRule type="expression" dxfId="6733" priority="7231">
      <formula>_xlfn.ISFORMULA(H18)=TRUE</formula>
    </cfRule>
    <cfRule type="duplicateValues" dxfId="6732" priority="7243"/>
    <cfRule type="expression" dxfId="6731" priority="7244">
      <formula>_xlfn.ISFORMULA(H18)=TRUE</formula>
    </cfRule>
    <cfRule type="duplicateValues" dxfId="6730" priority="7214"/>
    <cfRule type="duplicateValues" dxfId="6729" priority="7215"/>
    <cfRule type="duplicateValues" dxfId="6728" priority="7216"/>
    <cfRule type="expression" dxfId="6727" priority="7225">
      <formula>_xlfn.ISFORMULA(H18)=TRUE</formula>
    </cfRule>
    <cfRule type="duplicateValues" dxfId="6726" priority="7217"/>
    <cfRule type="duplicateValues" dxfId="6725" priority="7218"/>
    <cfRule type="duplicateValues" dxfId="6724" priority="7233"/>
    <cfRule type="expression" dxfId="6723" priority="7234">
      <formula>_xlfn.ISFORMULA(H18)=TRUE</formula>
    </cfRule>
    <cfRule type="expression" dxfId="6722" priority="7219">
      <formula>_xlfn.ISFORMULA(H18)=TRUE</formula>
    </cfRule>
    <cfRule type="duplicateValues" dxfId="6721" priority="7232"/>
  </conditionalFormatting>
  <conditionalFormatting sqref="H21">
    <cfRule type="expression" dxfId="6720" priority="158">
      <formula>_xlfn.ISFORMULA(H21)=TRUE</formula>
    </cfRule>
    <cfRule type="duplicateValues" dxfId="6719" priority="157"/>
    <cfRule type="duplicateValues" dxfId="6718" priority="155"/>
    <cfRule type="duplicateValues" dxfId="6717" priority="156"/>
    <cfRule type="duplicateValues" dxfId="6716" priority="154"/>
  </conditionalFormatting>
  <conditionalFormatting sqref="H21:H78">
    <cfRule type="duplicateValues" dxfId="6715" priority="1"/>
  </conditionalFormatting>
  <conditionalFormatting sqref="H22:H28">
    <cfRule type="expression" dxfId="6714" priority="203">
      <formula>_xlfn.ISFORMULA(H22)=TRUE</formula>
    </cfRule>
    <cfRule type="duplicateValues" dxfId="6713" priority="202"/>
    <cfRule type="duplicateValues" dxfId="6712" priority="201"/>
    <cfRule type="duplicateValues" dxfId="6711" priority="200"/>
    <cfRule type="duplicateValues" dxfId="6710" priority="199"/>
  </conditionalFormatting>
  <conditionalFormatting sqref="H28:H30">
    <cfRule type="expression" dxfId="6709" priority="198">
      <formula>_xlfn.ISFORMULA(H28)=TRUE</formula>
    </cfRule>
    <cfRule type="duplicateValues" dxfId="6708" priority="197"/>
    <cfRule type="duplicateValues" dxfId="6707" priority="196"/>
    <cfRule type="duplicateValues" dxfId="6706" priority="195"/>
    <cfRule type="duplicateValues" dxfId="6705" priority="194"/>
  </conditionalFormatting>
  <conditionalFormatting sqref="H30">
    <cfRule type="duplicateValues" dxfId="6704" priority="189"/>
    <cfRule type="expression" dxfId="6703" priority="193">
      <formula>_xlfn.ISFORMULA(H30)=TRUE</formula>
    </cfRule>
    <cfRule type="duplicateValues" dxfId="6702" priority="192"/>
    <cfRule type="duplicateValues" dxfId="6701" priority="191"/>
    <cfRule type="duplicateValues" dxfId="6700" priority="190"/>
  </conditionalFormatting>
  <conditionalFormatting sqref="H31">
    <cfRule type="duplicateValues" dxfId="6699" priority="169"/>
    <cfRule type="duplicateValues" dxfId="6698" priority="170"/>
    <cfRule type="duplicateValues" dxfId="6697" priority="172"/>
    <cfRule type="expression" dxfId="6696" priority="173">
      <formula>_xlfn.ISFORMULA(H31)=TRUE</formula>
    </cfRule>
    <cfRule type="duplicateValues" dxfId="6695" priority="185"/>
    <cfRule type="duplicateValues" dxfId="6694" priority="184"/>
    <cfRule type="duplicateValues" dxfId="6693" priority="171"/>
    <cfRule type="expression" dxfId="6692" priority="188">
      <formula>_xlfn.ISFORMULA(H31)=TRUE</formula>
    </cfRule>
    <cfRule type="duplicateValues" dxfId="6691" priority="187"/>
    <cfRule type="duplicateValues" dxfId="6690" priority="186"/>
  </conditionalFormatting>
  <conditionalFormatting sqref="H32">
    <cfRule type="duplicateValues" dxfId="6689" priority="165"/>
    <cfRule type="duplicateValues" dxfId="6688" priority="164"/>
    <cfRule type="duplicateValues" dxfId="6687" priority="166"/>
    <cfRule type="duplicateValues" dxfId="6686" priority="167"/>
    <cfRule type="expression" dxfId="6685" priority="168">
      <formula>_xlfn.ISFORMULA(H32)=TRUE</formula>
    </cfRule>
  </conditionalFormatting>
  <conditionalFormatting sqref="H32:H34">
    <cfRule type="duplicateValues" dxfId="6684" priority="179"/>
    <cfRule type="duplicateValues" dxfId="6683" priority="180"/>
    <cfRule type="expression" dxfId="6682" priority="183">
      <formula>_xlfn.ISFORMULA(H32)=TRUE</formula>
    </cfRule>
    <cfRule type="duplicateValues" dxfId="6681" priority="181"/>
    <cfRule type="duplicateValues" dxfId="6680" priority="182"/>
  </conditionalFormatting>
  <conditionalFormatting sqref="H34">
    <cfRule type="expression" dxfId="6679" priority="178">
      <formula>_xlfn.ISFORMULA(H34)=TRUE</formula>
    </cfRule>
    <cfRule type="duplicateValues" dxfId="6678" priority="175"/>
    <cfRule type="duplicateValues" dxfId="6677" priority="176"/>
    <cfRule type="duplicateValues" dxfId="6676" priority="177"/>
    <cfRule type="duplicateValues" dxfId="6675" priority="174"/>
  </conditionalFormatting>
  <conditionalFormatting sqref="H35">
    <cfRule type="duplicateValues" dxfId="6674" priority="161"/>
    <cfRule type="duplicateValues" dxfId="6673" priority="159"/>
    <cfRule type="expression" dxfId="6672" priority="163">
      <formula>_xlfn.ISFORMULA(H35)=TRUE</formula>
    </cfRule>
    <cfRule type="duplicateValues" dxfId="6671" priority="162"/>
    <cfRule type="duplicateValues" dxfId="6670" priority="160"/>
  </conditionalFormatting>
  <conditionalFormatting sqref="H35:H36 H41 H43 H45:H46 H49 H58 H61 H66:H67 H70:H71">
    <cfRule type="duplicateValues" dxfId="6669" priority="214"/>
    <cfRule type="duplicateValues" dxfId="6668" priority="213"/>
    <cfRule type="duplicateValues" dxfId="6667" priority="218"/>
    <cfRule type="expression" dxfId="6666" priority="219">
      <formula>_xlfn.ISFORMULA(H35)=TRUE</formula>
    </cfRule>
  </conditionalFormatting>
  <conditionalFormatting sqref="H35:H36 H41 H43 H45:H46 H49 H58 H61:H62 H64 H66:H67 H70:H71">
    <cfRule type="duplicateValues" dxfId="6665" priority="204"/>
  </conditionalFormatting>
  <conditionalFormatting sqref="H35:H36">
    <cfRule type="expression" dxfId="6664" priority="217">
      <formula>_xlfn.ISFORMULA(H35)=TRUE</formula>
    </cfRule>
  </conditionalFormatting>
  <conditionalFormatting sqref="H36:H37">
    <cfRule type="expression" dxfId="6663" priority="220">
      <formula>TRUE</formula>
    </cfRule>
  </conditionalFormatting>
  <conditionalFormatting sqref="H37">
    <cfRule type="duplicateValues" dxfId="6662" priority="8"/>
    <cfRule type="duplicateValues" dxfId="6661" priority="9"/>
    <cfRule type="duplicateValues" dxfId="6660" priority="10"/>
    <cfRule type="expression" dxfId="6659" priority="15">
      <formula>_xlfn.ISFORMULA(H37)=TRUE</formula>
    </cfRule>
    <cfRule type="duplicateValues" dxfId="6658" priority="14"/>
    <cfRule type="expression" dxfId="6657" priority="11">
      <formula>_xlfn.ISFORMULA(H37)=TRUE</formula>
    </cfRule>
    <cfRule type="duplicateValues" dxfId="6656" priority="13"/>
    <cfRule type="duplicateValues" dxfId="6655" priority="12"/>
  </conditionalFormatting>
  <conditionalFormatting sqref="H38">
    <cfRule type="expression" dxfId="6654" priority="153">
      <formula>_xlfn.ISFORMULA(H38)=TRUE</formula>
    </cfRule>
    <cfRule type="duplicateValues" dxfId="6653" priority="147"/>
    <cfRule type="duplicateValues" dxfId="6652" priority="146"/>
    <cfRule type="expression" dxfId="6651" priority="149">
      <formula>_xlfn.ISFORMULA(H38)=TRUE</formula>
    </cfRule>
    <cfRule type="duplicateValues" dxfId="6650" priority="150"/>
    <cfRule type="duplicateValues" dxfId="6649" priority="151"/>
    <cfRule type="duplicateValues" dxfId="6648" priority="152"/>
    <cfRule type="duplicateValues" dxfId="6647" priority="148"/>
  </conditionalFormatting>
  <conditionalFormatting sqref="H40">
    <cfRule type="duplicateValues" dxfId="6646" priority="137"/>
    <cfRule type="duplicateValues" dxfId="6645" priority="136"/>
    <cfRule type="duplicateValues" dxfId="6644" priority="135"/>
    <cfRule type="duplicateValues" dxfId="6643" priority="134"/>
    <cfRule type="expression" dxfId="6642" priority="133">
      <formula>_xlfn.ISFORMULA(H40)=TRUE</formula>
    </cfRule>
    <cfRule type="duplicateValues" dxfId="6641" priority="132"/>
    <cfRule type="duplicateValues" dxfId="6640" priority="131"/>
    <cfRule type="duplicateValues" dxfId="6639" priority="130"/>
    <cfRule type="expression" dxfId="6638" priority="129">
      <formula>_xlfn.ISFORMULA(H40)=TRUE</formula>
    </cfRule>
    <cfRule type="duplicateValues" dxfId="6637" priority="128"/>
    <cfRule type="duplicateValues" dxfId="6636" priority="127"/>
    <cfRule type="duplicateValues" dxfId="6635" priority="126"/>
    <cfRule type="expression" dxfId="6634" priority="145">
      <formula>_xlfn.ISFORMULA(H40)=TRUE</formula>
    </cfRule>
    <cfRule type="duplicateValues" dxfId="6633" priority="144"/>
    <cfRule type="duplicateValues" dxfId="6632" priority="143"/>
    <cfRule type="duplicateValues" dxfId="6631" priority="142"/>
    <cfRule type="expression" dxfId="6630" priority="141">
      <formula>_xlfn.ISFORMULA(H40)=TRUE</formula>
    </cfRule>
    <cfRule type="duplicateValues" dxfId="6629" priority="140"/>
    <cfRule type="expression" dxfId="6628" priority="139">
      <formula>_xlfn.ISFORMULA(H40)=TRUE</formula>
    </cfRule>
    <cfRule type="duplicateValues" dxfId="6627" priority="138"/>
  </conditionalFormatting>
  <conditionalFormatting sqref="H41 H43">
    <cfRule type="expression" dxfId="6626" priority="215">
      <formula>_xlfn.ISFORMULA(H41)=TRUE</formula>
    </cfRule>
  </conditionalFormatting>
  <conditionalFormatting sqref="H45:H46 H49">
    <cfRule type="expression" dxfId="6625" priority="216">
      <formula>_xlfn.ISFORMULA(H45)=TRUE</formula>
    </cfRule>
  </conditionalFormatting>
  <conditionalFormatting sqref="H47:H48">
    <cfRule type="duplicateValues" dxfId="6624" priority="122"/>
    <cfRule type="expression" dxfId="6623" priority="125">
      <formula>_xlfn.ISFORMULA(H47)=TRUE</formula>
    </cfRule>
    <cfRule type="expression" dxfId="6622" priority="123">
      <formula>_xlfn.ISFORMULA(H47)=TRUE</formula>
    </cfRule>
    <cfRule type="duplicateValues" dxfId="6621" priority="121"/>
    <cfRule type="duplicateValues" dxfId="6620" priority="120"/>
    <cfRule type="duplicateValues" dxfId="6619" priority="124"/>
  </conditionalFormatting>
  <conditionalFormatting sqref="H50">
    <cfRule type="expression" dxfId="6618" priority="117">
      <formula>_xlfn.ISFORMULA(H50)=TRUE</formula>
    </cfRule>
    <cfRule type="duplicateValues" dxfId="6617" priority="116"/>
    <cfRule type="duplicateValues" dxfId="6616" priority="115"/>
    <cfRule type="duplicateValues" dxfId="6615" priority="114"/>
    <cfRule type="expression" dxfId="6614" priority="119">
      <formula>_xlfn.ISFORMULA(H50)=TRUE</formula>
    </cfRule>
    <cfRule type="duplicateValues" dxfId="6613" priority="118"/>
  </conditionalFormatting>
  <conditionalFormatting sqref="H51:H52">
    <cfRule type="expression" dxfId="6612" priority="113">
      <formula>_xlfn.ISFORMULA(H51)=TRUE</formula>
    </cfRule>
    <cfRule type="duplicateValues" dxfId="6611" priority="112"/>
    <cfRule type="expression" dxfId="6610" priority="111">
      <formula>_xlfn.ISFORMULA(H51)=TRUE</formula>
    </cfRule>
    <cfRule type="duplicateValues" dxfId="6609" priority="108"/>
    <cfRule type="duplicateValues" dxfId="6608" priority="109"/>
    <cfRule type="duplicateValues" dxfId="6607" priority="110"/>
  </conditionalFormatting>
  <conditionalFormatting sqref="H53">
    <cfRule type="duplicateValues" dxfId="6606" priority="102"/>
    <cfRule type="expression" dxfId="6605" priority="107">
      <formula>_xlfn.ISFORMULA(H53)=TRUE</formula>
    </cfRule>
    <cfRule type="duplicateValues" dxfId="6604" priority="103"/>
    <cfRule type="duplicateValues" dxfId="6603" priority="104"/>
    <cfRule type="expression" dxfId="6602" priority="105">
      <formula>_xlfn.ISFORMULA(H53)=TRUE</formula>
    </cfRule>
    <cfRule type="duplicateValues" dxfId="6601" priority="106"/>
  </conditionalFormatting>
  <conditionalFormatting sqref="H53:H78">
    <cfRule type="expression" dxfId="6600" priority="221">
      <formula>AND(ROW()&gt;=19,MOD(ROW()-19,17)&lt;2)</formula>
    </cfRule>
  </conditionalFormatting>
  <conditionalFormatting sqref="H54">
    <cfRule type="duplicateValues" dxfId="6599" priority="6"/>
    <cfRule type="expression" dxfId="6598" priority="7">
      <formula>_xlfn.ISFORMULA(H54)=TRUE</formula>
    </cfRule>
    <cfRule type="duplicateValues" dxfId="6597" priority="2"/>
    <cfRule type="duplicateValues" dxfId="6596" priority="3"/>
    <cfRule type="duplicateValues" dxfId="6595" priority="4"/>
    <cfRule type="expression" dxfId="6594" priority="5">
      <formula>_xlfn.ISFORMULA(H54)=TRUE</formula>
    </cfRule>
  </conditionalFormatting>
  <conditionalFormatting sqref="H55">
    <cfRule type="expression" dxfId="6593" priority="99">
      <formula>_xlfn.ISFORMULA(H55)=TRUE</formula>
    </cfRule>
    <cfRule type="duplicateValues" dxfId="6592" priority="98"/>
    <cfRule type="duplicateValues" dxfId="6591" priority="97"/>
    <cfRule type="duplicateValues" dxfId="6590" priority="96"/>
    <cfRule type="expression" dxfId="6589" priority="101">
      <formula>_xlfn.ISFORMULA(H55)=TRUE</formula>
    </cfRule>
    <cfRule type="duplicateValues" dxfId="6588" priority="100"/>
  </conditionalFormatting>
  <conditionalFormatting sqref="H56:H57">
    <cfRule type="duplicateValues" dxfId="6587" priority="94"/>
    <cfRule type="expression" dxfId="6586" priority="95">
      <formula>_xlfn.ISFORMULA(H56)=TRUE</formula>
    </cfRule>
    <cfRule type="expression" dxfId="6585" priority="93">
      <formula>_xlfn.ISFORMULA(H56)=TRUE</formula>
    </cfRule>
    <cfRule type="duplicateValues" dxfId="6584" priority="90"/>
    <cfRule type="duplicateValues" dxfId="6583" priority="91"/>
    <cfRule type="duplicateValues" dxfId="6582" priority="92"/>
  </conditionalFormatting>
  <conditionalFormatting sqref="H59:H60">
    <cfRule type="duplicateValues" dxfId="6581" priority="85"/>
    <cfRule type="expression" dxfId="6580" priority="89">
      <formula>_xlfn.ISFORMULA(H59)=TRUE</formula>
    </cfRule>
    <cfRule type="duplicateValues" dxfId="6579" priority="88"/>
    <cfRule type="duplicateValues" dxfId="6578" priority="87"/>
    <cfRule type="duplicateValues" dxfId="6577" priority="86"/>
  </conditionalFormatting>
  <conditionalFormatting sqref="H62">
    <cfRule type="expression" dxfId="6576" priority="208">
      <formula>_xlfn.ISFORMULA(H62)=TRUE</formula>
    </cfRule>
    <cfRule type="duplicateValues" dxfId="6575" priority="206"/>
    <cfRule type="duplicateValues" dxfId="6574" priority="207"/>
    <cfRule type="duplicateValues" dxfId="6573" priority="205"/>
  </conditionalFormatting>
  <conditionalFormatting sqref="H63">
    <cfRule type="expression" dxfId="6572" priority="84">
      <formula>_xlfn.ISFORMULA(H63)=TRUE</formula>
    </cfRule>
    <cfRule type="duplicateValues" dxfId="6571" priority="82"/>
    <cfRule type="duplicateValues" dxfId="6570" priority="80"/>
    <cfRule type="duplicateValues" dxfId="6569" priority="81"/>
    <cfRule type="duplicateValues" dxfId="6568" priority="83"/>
  </conditionalFormatting>
  <conditionalFormatting sqref="H64">
    <cfRule type="expression" dxfId="6567" priority="212">
      <formula>_xlfn.ISFORMULA(H64)=TRUE</formula>
    </cfRule>
    <cfRule type="duplicateValues" dxfId="6566" priority="211"/>
    <cfRule type="duplicateValues" dxfId="6565" priority="209"/>
    <cfRule type="duplicateValues" dxfId="6564" priority="210"/>
  </conditionalFormatting>
  <conditionalFormatting sqref="H65">
    <cfRule type="duplicateValues" dxfId="6563" priority="76"/>
    <cfRule type="duplicateValues" dxfId="6562" priority="77"/>
    <cfRule type="duplicateValues" dxfId="6561" priority="75"/>
    <cfRule type="duplicateValues" dxfId="6560" priority="78"/>
    <cfRule type="expression" dxfId="6559" priority="79">
      <formula>_xlfn.ISFORMULA(H65)=TRUE</formula>
    </cfRule>
  </conditionalFormatting>
  <conditionalFormatting sqref="H68">
    <cfRule type="expression" dxfId="6558" priority="35">
      <formula>_xlfn.ISFORMULA(H68)=TRUE</formula>
    </cfRule>
    <cfRule type="duplicateValues" dxfId="6557" priority="34"/>
    <cfRule type="duplicateValues" dxfId="6556" priority="32"/>
    <cfRule type="duplicateValues" dxfId="6555" priority="31"/>
    <cfRule type="expression" dxfId="6554" priority="30">
      <formula>_xlfn.ISFORMULA(H68)=TRUE</formula>
    </cfRule>
    <cfRule type="duplicateValues" dxfId="6553" priority="29"/>
    <cfRule type="duplicateValues" dxfId="6552" priority="28"/>
    <cfRule type="duplicateValues" dxfId="6551" priority="27"/>
    <cfRule type="duplicateValues" dxfId="6550" priority="26"/>
    <cfRule type="duplicateValues" dxfId="6549" priority="33"/>
  </conditionalFormatting>
  <conditionalFormatting sqref="H69">
    <cfRule type="duplicateValues" dxfId="6548" priority="16"/>
    <cfRule type="duplicateValues" dxfId="6547" priority="18"/>
    <cfRule type="duplicateValues" dxfId="6546" priority="19"/>
    <cfRule type="expression" dxfId="6545" priority="20">
      <formula>_xlfn.ISFORMULA(H69)=TRUE</formula>
    </cfRule>
    <cfRule type="duplicateValues" dxfId="6544" priority="21"/>
    <cfRule type="duplicateValues" dxfId="6543" priority="22"/>
    <cfRule type="duplicateValues" dxfId="6542" priority="23"/>
    <cfRule type="duplicateValues" dxfId="6541" priority="24"/>
    <cfRule type="expression" dxfId="6540" priority="25">
      <formula>_xlfn.ISFORMULA(H69)=TRUE</formula>
    </cfRule>
    <cfRule type="duplicateValues" dxfId="6539" priority="17"/>
  </conditionalFormatting>
  <conditionalFormatting sqref="H73">
    <cfRule type="duplicateValues" dxfId="6538" priority="67"/>
    <cfRule type="duplicateValues" dxfId="6537" priority="68"/>
    <cfRule type="expression" dxfId="6536" priority="69">
      <formula>_xlfn.ISFORMULA(H73)=TRUE</formula>
    </cfRule>
    <cfRule type="duplicateValues" dxfId="6535" priority="62"/>
    <cfRule type="duplicateValues" dxfId="6534" priority="63"/>
    <cfRule type="duplicateValues" dxfId="6533" priority="64"/>
    <cfRule type="expression" dxfId="6532" priority="65">
      <formula>_xlfn.ISFORMULA(H73)=TRUE</formula>
    </cfRule>
    <cfRule type="duplicateValues" dxfId="6531" priority="66"/>
  </conditionalFormatting>
  <conditionalFormatting sqref="H75">
    <cfRule type="duplicateValues" dxfId="6530" priority="51"/>
    <cfRule type="duplicateValues" dxfId="6529" priority="60"/>
    <cfRule type="expression" dxfId="6528" priority="61">
      <formula>_xlfn.ISFORMULA(H75)=TRUE</formula>
    </cfRule>
    <cfRule type="expression" dxfId="6527" priority="57">
      <formula>_xlfn.ISFORMULA(H75)=TRUE</formula>
    </cfRule>
    <cfRule type="duplicateValues" dxfId="6526" priority="56"/>
    <cfRule type="expression" dxfId="6525" priority="55">
      <formula>_xlfn.ISFORMULA(H75)=TRUE</formula>
    </cfRule>
    <cfRule type="duplicateValues" dxfId="6524" priority="54"/>
    <cfRule type="duplicateValues" dxfId="6523" priority="53"/>
    <cfRule type="duplicateValues" dxfId="6522" priority="52"/>
    <cfRule type="duplicateValues" dxfId="6521" priority="58"/>
    <cfRule type="duplicateValues" dxfId="6520" priority="50"/>
    <cfRule type="expression" dxfId="6519" priority="49">
      <formula>_xlfn.ISFORMULA(H75)=TRUE</formula>
    </cfRule>
    <cfRule type="duplicateValues" dxfId="6518" priority="48"/>
    <cfRule type="duplicateValues" dxfId="6517" priority="47"/>
    <cfRule type="duplicateValues" dxfId="6516" priority="46"/>
    <cfRule type="expression" dxfId="6515" priority="45">
      <formula>_xlfn.ISFORMULA(H75)=TRUE</formula>
    </cfRule>
    <cfRule type="duplicateValues" dxfId="6514" priority="44"/>
    <cfRule type="duplicateValues" dxfId="6513" priority="43"/>
    <cfRule type="duplicateValues" dxfId="6512" priority="42"/>
    <cfRule type="duplicateValues" dxfId="6511" priority="59"/>
  </conditionalFormatting>
  <conditionalFormatting sqref="H76">
    <cfRule type="duplicateValues" dxfId="6510" priority="70"/>
    <cfRule type="duplicateValues" dxfId="6509" priority="71"/>
    <cfRule type="duplicateValues" dxfId="6508" priority="72"/>
    <cfRule type="duplicateValues" dxfId="6507" priority="73"/>
    <cfRule type="expression" dxfId="6506" priority="74">
      <formula>_xlfn.ISFORMULA(H76)=TRUE</formula>
    </cfRule>
  </conditionalFormatting>
  <conditionalFormatting sqref="H78">
    <cfRule type="duplicateValues" dxfId="6505" priority="40"/>
    <cfRule type="expression" dxfId="6504" priority="41">
      <formula>_xlfn.ISFORMULA(H78)=TRUE</formula>
    </cfRule>
    <cfRule type="expression" dxfId="6503" priority="39">
      <formula>_xlfn.ISFORMULA(H78)=TRUE</formula>
    </cfRule>
    <cfRule type="duplicateValues" dxfId="6502" priority="38"/>
    <cfRule type="duplicateValues" dxfId="6501" priority="37"/>
    <cfRule type="duplicateValues" dxfId="6500" priority="36"/>
  </conditionalFormatting>
  <conditionalFormatting sqref="H79:H86">
    <cfRule type="expression" dxfId="6499" priority="11019">
      <formula>_xlfn.ISFORMULA(H79)=TRUE</formula>
    </cfRule>
  </conditionalFormatting>
  <conditionalFormatting sqref="H87">
    <cfRule type="expression" dxfId="6498" priority="11289">
      <formula>_xlfn.ISFORMULA(H87)=TRUE</formula>
    </cfRule>
    <cfRule type="duplicateValues" dxfId="6497" priority="11288"/>
    <cfRule type="duplicateValues" dxfId="6496" priority="11287"/>
    <cfRule type="duplicateValues" dxfId="6495" priority="11285"/>
    <cfRule type="duplicateValues" dxfId="6494" priority="11286"/>
  </conditionalFormatting>
  <conditionalFormatting sqref="H88:H92">
    <cfRule type="expression" dxfId="6493" priority="10672">
      <formula>_xlfn.ISFORMULA(H88)=TRUE</formula>
    </cfRule>
  </conditionalFormatting>
  <conditionalFormatting sqref="H91">
    <cfRule type="duplicateValues" dxfId="6492" priority="9253"/>
    <cfRule type="duplicateValues" dxfId="6491" priority="9252"/>
    <cfRule type="duplicateValues" dxfId="6490" priority="9251"/>
    <cfRule type="duplicateValues" dxfId="6489" priority="9157"/>
    <cfRule type="duplicateValues" dxfId="6488" priority="9158"/>
    <cfRule type="duplicateValues" dxfId="6487" priority="9159"/>
    <cfRule type="duplicateValues" dxfId="6486" priority="9161"/>
    <cfRule type="expression" dxfId="6485" priority="9162">
      <formula>_xlfn.ISFORMULA(H91)=TRUE</formula>
    </cfRule>
    <cfRule type="expression" dxfId="6484" priority="9254">
      <formula>_xlfn.ISFORMULA(H91)=TRUE</formula>
    </cfRule>
    <cfRule type="duplicateValues" dxfId="6483" priority="9255"/>
    <cfRule type="expression" dxfId="6482" priority="9256">
      <formula>_xlfn.ISFORMULA(H91)=TRUE</formula>
    </cfRule>
    <cfRule type="expression" dxfId="6481" priority="9160">
      <formula>_xlfn.ISFORMULA(H91)=TRUE</formula>
    </cfRule>
  </conditionalFormatting>
  <conditionalFormatting sqref="H91:H92">
    <cfRule type="duplicateValues" dxfId="6480" priority="10667"/>
    <cfRule type="duplicateValues" dxfId="6479" priority="10668"/>
    <cfRule type="duplicateValues" dxfId="6478" priority="10669"/>
    <cfRule type="expression" dxfId="6477" priority="10670">
      <formula>_xlfn.ISFORMULA(H91)=TRUE</formula>
    </cfRule>
    <cfRule type="duplicateValues" dxfId="6476" priority="10671"/>
  </conditionalFormatting>
  <conditionalFormatting sqref="H92">
    <cfRule type="duplicateValues" dxfId="6475" priority="9165"/>
    <cfRule type="expression" dxfId="6474" priority="9166">
      <formula>_xlfn.ISFORMULA(H92)=TRUE</formula>
    </cfRule>
    <cfRule type="duplicateValues" dxfId="6473" priority="9167"/>
    <cfRule type="duplicateValues" dxfId="6472" priority="9239"/>
    <cfRule type="expression" dxfId="6471" priority="9168">
      <formula>_xlfn.ISFORMULA(H92)=TRUE</formula>
    </cfRule>
    <cfRule type="duplicateValues" dxfId="6470" priority="9163"/>
    <cfRule type="duplicateValues" dxfId="6469" priority="9164"/>
    <cfRule type="expression" dxfId="6468" priority="9244">
      <formula>_xlfn.ISFORMULA(H92)=TRUE</formula>
    </cfRule>
    <cfRule type="duplicateValues" dxfId="6467" priority="9243"/>
    <cfRule type="expression" dxfId="6466" priority="9242">
      <formula>_xlfn.ISFORMULA(H92)=TRUE</formula>
    </cfRule>
    <cfRule type="duplicateValues" dxfId="6465" priority="9241"/>
    <cfRule type="duplicateValues" dxfId="6464" priority="9240"/>
  </conditionalFormatting>
  <conditionalFormatting sqref="H93">
    <cfRule type="duplicateValues" dxfId="6463" priority="10547"/>
    <cfRule type="duplicateValues" dxfId="6462" priority="11012"/>
    <cfRule type="duplicateValues" dxfId="6461" priority="11013"/>
    <cfRule type="duplicateValues" dxfId="6460" priority="9246"/>
    <cfRule type="duplicateValues" dxfId="6459" priority="9152"/>
    <cfRule type="duplicateValues" dxfId="6458" priority="9153"/>
    <cfRule type="duplicateValues" dxfId="6457" priority="9154"/>
    <cfRule type="duplicateValues" dxfId="6456" priority="9155"/>
    <cfRule type="expression" dxfId="6455" priority="11014">
      <formula>_xlfn.ISFORMULA(H93)=TRUE</formula>
    </cfRule>
    <cfRule type="expression" dxfId="6454" priority="9250">
      <formula>_xlfn.ISFORMULA(H93)=TRUE</formula>
    </cfRule>
    <cfRule type="duplicateValues" dxfId="6453" priority="9247"/>
    <cfRule type="expression" dxfId="6452" priority="11016">
      <formula>_xlfn.ISFORMULA(H93)=TRUE</formula>
    </cfRule>
    <cfRule type="duplicateValues" dxfId="6451" priority="9249"/>
    <cfRule type="expression" dxfId="6450" priority="9156">
      <formula>_xlfn.ISFORMULA(H93)=TRUE</formula>
    </cfRule>
    <cfRule type="duplicateValues" dxfId="6449" priority="10545"/>
    <cfRule type="duplicateValues" dxfId="6448" priority="11011"/>
    <cfRule type="duplicateValues" dxfId="6447" priority="10544"/>
    <cfRule type="expression" dxfId="6446" priority="9248">
      <formula>_xlfn.ISFORMULA(H93)=TRUE</formula>
    </cfRule>
    <cfRule type="expression" dxfId="6445" priority="10548">
      <formula>_xlfn.ISFORMULA(H93)=TRUE</formula>
    </cfRule>
    <cfRule type="duplicateValues" dxfId="6444" priority="11015"/>
    <cfRule type="expression" dxfId="6443" priority="10546">
      <formula>_xlfn.ISFORMULA(H93)=TRUE</formula>
    </cfRule>
    <cfRule type="duplicateValues" dxfId="6442" priority="10543"/>
    <cfRule type="duplicateValues" dxfId="6441" priority="9245"/>
  </conditionalFormatting>
  <conditionalFormatting sqref="H94">
    <cfRule type="expression" dxfId="6440" priority="9238">
      <formula>_xlfn.ISFORMULA(H94)=TRUE</formula>
    </cfRule>
    <cfRule type="duplicateValues" dxfId="6439" priority="10551"/>
    <cfRule type="expression" dxfId="6438" priority="10552">
      <formula>_xlfn.ISFORMULA(H94)=TRUE</formula>
    </cfRule>
    <cfRule type="duplicateValues" dxfId="6437" priority="10553"/>
    <cfRule type="expression" dxfId="6436" priority="10554">
      <formula>_xlfn.ISFORMULA(H94)=TRUE</formula>
    </cfRule>
    <cfRule type="expression" dxfId="6435" priority="10648">
      <formula>_xlfn.ISFORMULA(H94)=TRUE</formula>
    </cfRule>
    <cfRule type="duplicateValues" dxfId="6434" priority="10647"/>
    <cfRule type="expression" dxfId="6433" priority="10646">
      <formula>_xlfn.ISFORMULA(H94)=TRUE</formula>
    </cfRule>
    <cfRule type="duplicateValues" dxfId="6432" priority="10643"/>
    <cfRule type="duplicateValues" dxfId="6431" priority="10549"/>
    <cfRule type="duplicateValues" dxfId="6430" priority="10645"/>
    <cfRule type="duplicateValues" dxfId="6429" priority="10644"/>
    <cfRule type="duplicateValues" dxfId="6428" priority="9175"/>
    <cfRule type="duplicateValues" dxfId="6427" priority="9176"/>
    <cfRule type="duplicateValues" dxfId="6426" priority="9177"/>
    <cfRule type="expression" dxfId="6425" priority="9178">
      <formula>_xlfn.ISFORMULA(H94)=TRUE</formula>
    </cfRule>
    <cfRule type="duplicateValues" dxfId="6424" priority="9179"/>
    <cfRule type="expression" dxfId="6423" priority="9180">
      <formula>_xlfn.ISFORMULA(H94)=TRUE</formula>
    </cfRule>
    <cfRule type="duplicateValues" dxfId="6422" priority="10550"/>
    <cfRule type="duplicateValues" dxfId="6421" priority="9234"/>
    <cfRule type="duplicateValues" dxfId="6420" priority="9235"/>
    <cfRule type="duplicateValues" dxfId="6419" priority="9236"/>
    <cfRule type="duplicateValues" dxfId="6418" priority="9237"/>
  </conditionalFormatting>
  <conditionalFormatting sqref="H95">
    <cfRule type="expression" dxfId="6417" priority="9115">
      <formula>_xlfn.ISFORMULA(H95)=TRUE</formula>
    </cfRule>
    <cfRule type="duplicateValues" dxfId="6416" priority="9267"/>
    <cfRule type="expression" dxfId="6415" priority="9266">
      <formula>_xlfn.ISFORMULA(H95)=TRUE</formula>
    </cfRule>
    <cfRule type="duplicateValues" dxfId="6414" priority="9265"/>
    <cfRule type="duplicateValues" dxfId="6413" priority="9264"/>
    <cfRule type="duplicateValues" dxfId="6412" priority="10541"/>
    <cfRule type="duplicateValues" dxfId="6411" priority="9263"/>
    <cfRule type="expression" dxfId="6410" priority="10654">
      <formula>_xlfn.ISFORMULA(H95)=TRUE</formula>
    </cfRule>
    <cfRule type="duplicateValues" dxfId="6409" priority="10653"/>
    <cfRule type="expression" dxfId="6408" priority="10652">
      <formula>_xlfn.ISFORMULA(H95)=TRUE</formula>
    </cfRule>
    <cfRule type="duplicateValues" dxfId="6407" priority="10651"/>
    <cfRule type="duplicateValues" dxfId="6406" priority="10540"/>
    <cfRule type="expression" dxfId="6405" priority="9268">
      <formula>_xlfn.ISFORMULA(H95)=TRUE</formula>
    </cfRule>
    <cfRule type="duplicateValues" dxfId="6404" priority="10649"/>
    <cfRule type="duplicateValues" dxfId="6403" priority="10538"/>
    <cfRule type="duplicateValues" dxfId="6402" priority="9110"/>
    <cfRule type="duplicateValues" dxfId="6401" priority="9111"/>
    <cfRule type="duplicateValues" dxfId="6400" priority="9112"/>
    <cfRule type="expression" dxfId="6399" priority="9113">
      <formula>_xlfn.ISFORMULA(H95)=TRUE</formula>
    </cfRule>
    <cfRule type="duplicateValues" dxfId="6398" priority="9114"/>
    <cfRule type="duplicateValues" dxfId="6397" priority="10650"/>
    <cfRule type="expression" dxfId="6396" priority="10542">
      <formula>_xlfn.ISFORMULA(H95)=TRUE</formula>
    </cfRule>
    <cfRule type="duplicateValues" dxfId="6395" priority="10539"/>
  </conditionalFormatting>
  <conditionalFormatting sqref="H96">
    <cfRule type="expression" dxfId="6394" priority="9119">
      <formula>_xlfn.ISFORMULA(H96)=TRUE</formula>
    </cfRule>
    <cfRule type="duplicateValues" dxfId="6393" priority="9120"/>
    <cfRule type="expression" dxfId="6392" priority="9121">
      <formula>_xlfn.ISFORMULA(H96)=TRUE</formula>
    </cfRule>
    <cfRule type="duplicateValues" dxfId="6391" priority="9122"/>
    <cfRule type="duplicateValues" dxfId="6390" priority="9123"/>
    <cfRule type="duplicateValues" dxfId="6389" priority="9124"/>
    <cfRule type="expression" dxfId="6388" priority="9125">
      <formula>_xlfn.ISFORMULA(H96)=TRUE</formula>
    </cfRule>
    <cfRule type="duplicateValues" dxfId="6387" priority="9126"/>
    <cfRule type="expression" dxfId="6386" priority="9127">
      <formula>_xlfn.ISFORMULA(H96)=TRUE</formula>
    </cfRule>
    <cfRule type="duplicateValues" dxfId="6385" priority="9196"/>
    <cfRule type="expression" dxfId="6384" priority="9195">
      <formula>_xlfn.ISFORMULA(H96)=TRUE</formula>
    </cfRule>
    <cfRule type="duplicateValues" dxfId="6383" priority="9194"/>
    <cfRule type="duplicateValues" dxfId="6382" priority="9193"/>
    <cfRule type="duplicateValues" dxfId="6381" priority="9192"/>
    <cfRule type="expression" dxfId="6380" priority="10642">
      <formula>_xlfn.ISFORMULA(H96)=TRUE</formula>
    </cfRule>
    <cfRule type="duplicateValues" dxfId="6379" priority="10641"/>
    <cfRule type="duplicateValues" dxfId="6378" priority="10640"/>
    <cfRule type="duplicateValues" dxfId="6377" priority="10639"/>
    <cfRule type="duplicateValues" dxfId="6376" priority="10638"/>
    <cfRule type="expression" dxfId="6375" priority="9149">
      <formula>_xlfn.ISFORMULA(H96)=TRUE</formula>
    </cfRule>
    <cfRule type="duplicateValues" dxfId="6374" priority="9148"/>
    <cfRule type="duplicateValues" dxfId="6373" priority="9147"/>
    <cfRule type="duplicateValues" dxfId="6372" priority="9146"/>
    <cfRule type="expression" dxfId="6371" priority="9139">
      <formula>_xlfn.ISFORMULA(H96)=TRUE</formula>
    </cfRule>
    <cfRule type="expression" dxfId="6370" priority="9151">
      <formula>_xlfn.ISFORMULA(H96)=TRUE</formula>
    </cfRule>
    <cfRule type="duplicateValues" dxfId="6369" priority="9150"/>
    <cfRule type="duplicateValues" dxfId="6368" priority="9138"/>
    <cfRule type="expression" dxfId="6367" priority="9137">
      <formula>_xlfn.ISFORMULA(H96)=TRUE</formula>
    </cfRule>
    <cfRule type="duplicateValues" dxfId="6366" priority="9136"/>
    <cfRule type="duplicateValues" dxfId="6365" priority="9135"/>
    <cfRule type="duplicateValues" dxfId="6364" priority="9134"/>
    <cfRule type="expression" dxfId="6363" priority="9197">
      <formula>_xlfn.ISFORMULA(H96)=TRUE</formula>
    </cfRule>
    <cfRule type="expression" dxfId="6362" priority="10566">
      <formula>_xlfn.ISFORMULA(H96)=TRUE</formula>
    </cfRule>
    <cfRule type="duplicateValues" dxfId="6361" priority="10565"/>
    <cfRule type="expression" dxfId="6360" priority="10564">
      <formula>_xlfn.ISFORMULA(H96)=TRUE</formula>
    </cfRule>
    <cfRule type="duplicateValues" dxfId="6359" priority="10563"/>
    <cfRule type="duplicateValues" dxfId="6358" priority="10562"/>
    <cfRule type="duplicateValues" dxfId="6357" priority="10561"/>
    <cfRule type="duplicateValues" dxfId="6356" priority="9116"/>
    <cfRule type="duplicateValues" dxfId="6355" priority="9117"/>
    <cfRule type="duplicateValues" dxfId="6354" priority="9118"/>
  </conditionalFormatting>
  <conditionalFormatting sqref="H97">
    <cfRule type="expression" dxfId="6353" priority="9221">
      <formula>_xlfn.ISFORMULA(H97)=TRUE</formula>
    </cfRule>
    <cfRule type="duplicateValues" dxfId="6352" priority="9198"/>
    <cfRule type="duplicateValues" dxfId="6351" priority="11236"/>
    <cfRule type="duplicateValues" dxfId="6350" priority="11237"/>
    <cfRule type="duplicateValues" dxfId="6349" priority="11238"/>
    <cfRule type="duplicateValues" dxfId="6348" priority="11240"/>
    <cfRule type="expression" dxfId="6347" priority="11239">
      <formula>_xlfn.ISFORMULA(H97)=TRUE</formula>
    </cfRule>
    <cfRule type="expression" dxfId="6346" priority="11241">
      <formula>_xlfn.ISFORMULA(H97)=TRUE</formula>
    </cfRule>
    <cfRule type="expression" dxfId="6345" priority="9109">
      <formula>_xlfn.ISFORMULA(H97)=TRUE</formula>
    </cfRule>
    <cfRule type="duplicateValues" dxfId="6344" priority="9108"/>
    <cfRule type="duplicateValues" dxfId="6343" priority="9107"/>
    <cfRule type="duplicateValues" dxfId="6342" priority="9106"/>
    <cfRule type="duplicateValues" dxfId="6341" priority="9200"/>
    <cfRule type="expression" dxfId="6340" priority="9201">
      <formula>_xlfn.ISFORMULA(H97)=TRUE</formula>
    </cfRule>
    <cfRule type="duplicateValues" dxfId="6339" priority="9202"/>
    <cfRule type="expression" dxfId="6338" priority="10499">
      <formula>_xlfn.ISFORMULA(H97)=TRUE</formula>
    </cfRule>
    <cfRule type="duplicateValues" dxfId="6337" priority="9199"/>
    <cfRule type="expression" dxfId="6336" priority="9203">
      <formula>_xlfn.ISFORMULA(H97)=TRUE</formula>
    </cfRule>
    <cfRule type="duplicateValues" dxfId="6335" priority="9105"/>
    <cfRule type="expression" dxfId="6334" priority="9231">
      <formula>_xlfn.ISFORMULA(H97)=TRUE</formula>
    </cfRule>
    <cfRule type="duplicateValues" dxfId="6333" priority="9204"/>
    <cfRule type="duplicateValues" dxfId="6332" priority="9205"/>
    <cfRule type="duplicateValues" dxfId="6331" priority="9206"/>
    <cfRule type="expression" dxfId="6330" priority="9207">
      <formula>_xlfn.ISFORMULA(H97)=TRUE</formula>
    </cfRule>
    <cfRule type="duplicateValues" dxfId="6329" priority="10498"/>
    <cfRule type="expression" dxfId="6328" priority="9209">
      <formula>_xlfn.ISFORMULA(H97)=TRUE</formula>
    </cfRule>
    <cfRule type="duplicateValues" dxfId="6327" priority="10500"/>
    <cfRule type="duplicateValues" dxfId="6326" priority="9228"/>
    <cfRule type="duplicateValues" dxfId="6325" priority="9229"/>
    <cfRule type="duplicateValues" dxfId="6324" priority="9230"/>
    <cfRule type="expression" dxfId="6323" priority="9233">
      <formula>_xlfn.ISFORMULA(H97)=TRUE</formula>
    </cfRule>
    <cfRule type="duplicateValues" dxfId="6322" priority="9232"/>
    <cfRule type="expression" dxfId="6321" priority="10501">
      <formula>_xlfn.ISFORMULA(H97)=TRUE</formula>
    </cfRule>
    <cfRule type="duplicateValues" dxfId="6320" priority="9216"/>
    <cfRule type="duplicateValues" dxfId="6319" priority="9217"/>
    <cfRule type="duplicateValues" dxfId="6318" priority="9218"/>
    <cfRule type="duplicateValues" dxfId="6317" priority="10497"/>
    <cfRule type="duplicateValues" dxfId="6316" priority="9208"/>
    <cfRule type="duplicateValues" dxfId="6315" priority="10496"/>
    <cfRule type="expression" dxfId="6314" priority="9219">
      <formula>_xlfn.ISFORMULA(H97)=TRUE</formula>
    </cfRule>
    <cfRule type="duplicateValues" dxfId="6313" priority="9220"/>
  </conditionalFormatting>
  <conditionalFormatting sqref="H98">
    <cfRule type="expression" dxfId="6312" priority="9133">
      <formula>_xlfn.ISFORMULA(H98)=TRUE</formula>
    </cfRule>
    <cfRule type="duplicateValues" dxfId="6311" priority="9130"/>
    <cfRule type="duplicateValues" dxfId="6310" priority="9129"/>
    <cfRule type="duplicateValues" dxfId="6309" priority="9128"/>
    <cfRule type="expression" dxfId="6308" priority="9191">
      <formula>_xlfn.ISFORMULA(H98)=TRUE</formula>
    </cfRule>
    <cfRule type="duplicateValues" dxfId="6307" priority="9190"/>
    <cfRule type="duplicateValues" dxfId="6306" priority="10596"/>
    <cfRule type="duplicateValues" dxfId="6305" priority="9132"/>
    <cfRule type="duplicateValues" dxfId="6304" priority="9189"/>
    <cfRule type="duplicateValues" dxfId="6303" priority="9188"/>
    <cfRule type="duplicateValues" dxfId="6302" priority="9187"/>
    <cfRule type="expression" dxfId="6301" priority="10537">
      <formula>_xlfn.ISFORMULA(H98)=TRUE</formula>
    </cfRule>
    <cfRule type="duplicateValues" dxfId="6300" priority="10536"/>
    <cfRule type="expression" dxfId="6299" priority="10535">
      <formula>_xlfn.ISFORMULA(H98)=TRUE</formula>
    </cfRule>
    <cfRule type="duplicateValues" dxfId="6298" priority="10534"/>
    <cfRule type="duplicateValues" dxfId="6297" priority="10533"/>
    <cfRule type="duplicateValues" dxfId="6296" priority="10532"/>
    <cfRule type="duplicateValues" dxfId="6295" priority="9142"/>
    <cfRule type="expression" dxfId="6294" priority="10525">
      <formula>_xlfn.ISFORMULA(H98)=TRUE</formula>
    </cfRule>
    <cfRule type="duplicateValues" dxfId="6293" priority="10524"/>
    <cfRule type="expression" dxfId="6292" priority="10523">
      <formula>_xlfn.ISFORMULA(H98)=TRUE</formula>
    </cfRule>
    <cfRule type="duplicateValues" dxfId="6291" priority="10522"/>
    <cfRule type="duplicateValues" dxfId="6290" priority="10521"/>
    <cfRule type="duplicateValues" dxfId="6289" priority="10520"/>
    <cfRule type="duplicateValues" dxfId="6288" priority="9140"/>
    <cfRule type="duplicateValues" dxfId="6287" priority="9141"/>
    <cfRule type="expression" dxfId="6286" priority="9143">
      <formula>_xlfn.ISFORMULA(H98)=TRUE</formula>
    </cfRule>
    <cfRule type="expression" dxfId="6285" priority="9131">
      <formula>_xlfn.ISFORMULA(H98)=TRUE</formula>
    </cfRule>
    <cfRule type="expression" dxfId="6284" priority="10513">
      <formula>_xlfn.ISFORMULA(H98)=TRUE</formula>
    </cfRule>
    <cfRule type="duplicateValues" dxfId="6283" priority="10512"/>
    <cfRule type="expression" dxfId="6282" priority="10511">
      <formula>_xlfn.ISFORMULA(H98)=TRUE</formula>
    </cfRule>
    <cfRule type="duplicateValues" dxfId="6281" priority="10510"/>
    <cfRule type="duplicateValues" dxfId="6280" priority="10509"/>
    <cfRule type="duplicateValues" dxfId="6279" priority="10508"/>
    <cfRule type="expression" dxfId="6278" priority="10507">
      <formula>_xlfn.ISFORMULA(H98)=TRUE</formula>
    </cfRule>
    <cfRule type="duplicateValues" dxfId="6277" priority="10506"/>
    <cfRule type="expression" dxfId="6276" priority="10505">
      <formula>_xlfn.ISFORMULA(H98)=TRUE</formula>
    </cfRule>
    <cfRule type="duplicateValues" dxfId="6275" priority="10504"/>
    <cfRule type="expression" dxfId="6274" priority="9145">
      <formula>_xlfn.ISFORMULA(H98)=TRUE</formula>
    </cfRule>
    <cfRule type="duplicateValues" dxfId="6273" priority="9144"/>
    <cfRule type="expression" dxfId="6272" priority="10601">
      <formula>_xlfn.ISFORMULA(H98)=TRUE</formula>
    </cfRule>
    <cfRule type="duplicateValues" dxfId="6271" priority="10600"/>
    <cfRule type="expression" dxfId="6270" priority="10599">
      <formula>_xlfn.ISFORMULA(H98)=TRUE</formula>
    </cfRule>
    <cfRule type="duplicateValues" dxfId="6269" priority="10598"/>
    <cfRule type="duplicateValues" dxfId="6268" priority="10597"/>
    <cfRule type="duplicateValues" dxfId="6267" priority="10503"/>
    <cfRule type="duplicateValues" dxfId="6266" priority="10502"/>
  </conditionalFormatting>
  <conditionalFormatting sqref="H99">
    <cfRule type="expression" dxfId="6265" priority="10607">
      <formula>_xlfn.ISFORMULA(H99)=TRUE</formula>
    </cfRule>
    <cfRule type="duplicateValues" dxfId="6264" priority="10606"/>
    <cfRule type="expression" dxfId="6263" priority="10605">
      <formula>_xlfn.ISFORMULA(H99)=TRUE</formula>
    </cfRule>
    <cfRule type="duplicateValues" dxfId="6262" priority="10632"/>
    <cfRule type="duplicateValues" dxfId="6261" priority="10621"/>
    <cfRule type="duplicateValues" dxfId="6260" priority="10620"/>
    <cfRule type="duplicateValues" dxfId="6259" priority="10604"/>
    <cfRule type="duplicateValues" dxfId="6258" priority="10603"/>
    <cfRule type="duplicateValues" dxfId="6257" priority="10602"/>
    <cfRule type="duplicateValues" dxfId="6256" priority="10491"/>
    <cfRule type="duplicateValues" dxfId="6255" priority="10493"/>
    <cfRule type="expression" dxfId="6254" priority="10637">
      <formula>_xlfn.ISFORMULA(H99)=TRUE</formula>
    </cfRule>
    <cfRule type="duplicateValues" dxfId="6253" priority="10636"/>
    <cfRule type="expression" dxfId="6252" priority="10635">
      <formula>_xlfn.ISFORMULA(H99)=TRUE</formula>
    </cfRule>
    <cfRule type="duplicateValues" dxfId="6251" priority="9101"/>
    <cfRule type="duplicateValues" dxfId="6250" priority="10634"/>
    <cfRule type="expression" dxfId="6249" priority="10623">
      <formula>_xlfn.ISFORMULA(H99)=TRUE</formula>
    </cfRule>
    <cfRule type="duplicateValues" dxfId="6248" priority="10624"/>
    <cfRule type="expression" dxfId="6247" priority="10625">
      <formula>_xlfn.ISFORMULA(H99)=TRUE</formula>
    </cfRule>
    <cfRule type="expression" dxfId="6246" priority="9215">
      <formula>_xlfn.ISFORMULA(H99)=TRUE</formula>
    </cfRule>
    <cfRule type="duplicateValues" dxfId="6245" priority="9214"/>
    <cfRule type="duplicateValues" dxfId="6244" priority="10633"/>
    <cfRule type="duplicateValues" dxfId="6243" priority="9100"/>
    <cfRule type="expression" dxfId="6242" priority="9227">
      <formula>_xlfn.ISFORMULA(H99)=TRUE</formula>
    </cfRule>
    <cfRule type="duplicateValues" dxfId="6241" priority="9099"/>
    <cfRule type="expression" dxfId="6240" priority="9213">
      <formula>_xlfn.ISFORMULA(H99)=TRUE</formula>
    </cfRule>
    <cfRule type="duplicateValues" dxfId="6239" priority="9212"/>
    <cfRule type="duplicateValues" dxfId="6238" priority="9211"/>
    <cfRule type="duplicateValues" dxfId="6237" priority="9210"/>
    <cfRule type="expression" dxfId="6236" priority="10613">
      <formula>_xlfn.ISFORMULA(H99)=TRUE</formula>
    </cfRule>
    <cfRule type="duplicateValues" dxfId="6235" priority="10492"/>
    <cfRule type="expression" dxfId="6234" priority="9102">
      <formula>_xlfn.ISFORMULA(H99)=TRUE</formula>
    </cfRule>
    <cfRule type="duplicateValues" dxfId="6233" priority="9103"/>
    <cfRule type="expression" dxfId="6232" priority="9104">
      <formula>_xlfn.ISFORMULA(H99)=TRUE</formula>
    </cfRule>
    <cfRule type="duplicateValues" dxfId="6231" priority="10612"/>
    <cfRule type="expression" dxfId="6230" priority="10611">
      <formula>_xlfn.ISFORMULA(H99)=TRUE</formula>
    </cfRule>
    <cfRule type="duplicateValues" dxfId="6229" priority="10494"/>
    <cfRule type="expression" dxfId="6228" priority="10495">
      <formula>_xlfn.ISFORMULA(H99)=TRUE</formula>
    </cfRule>
    <cfRule type="duplicateValues" dxfId="6227" priority="9222"/>
    <cfRule type="duplicateValues" dxfId="6226" priority="10608"/>
    <cfRule type="duplicateValues" dxfId="6225" priority="10609"/>
    <cfRule type="duplicateValues" dxfId="6224" priority="10610"/>
    <cfRule type="duplicateValues" dxfId="6223" priority="9226"/>
    <cfRule type="expression" dxfId="6222" priority="9225">
      <formula>_xlfn.ISFORMULA(H99)=TRUE</formula>
    </cfRule>
    <cfRule type="duplicateValues" dxfId="6221" priority="9224"/>
    <cfRule type="duplicateValues" dxfId="6220" priority="9223"/>
    <cfRule type="duplicateValues" dxfId="6219" priority="10622"/>
  </conditionalFormatting>
  <conditionalFormatting sqref="H100">
    <cfRule type="duplicateValues" dxfId="6218" priority="9183"/>
    <cfRule type="expression" dxfId="6217" priority="9184">
      <formula>_xlfn.ISFORMULA(H100)=TRUE</formula>
    </cfRule>
    <cfRule type="duplicateValues" dxfId="6216" priority="9185"/>
    <cfRule type="expression" dxfId="6215" priority="9186">
      <formula>_xlfn.ISFORMULA(H100)=TRUE</formula>
    </cfRule>
    <cfRule type="expression" dxfId="6214" priority="10595">
      <formula>_xlfn.ISFORMULA(H100)=TRUE</formula>
    </cfRule>
    <cfRule type="duplicateValues" dxfId="6213" priority="10593"/>
    <cfRule type="duplicateValues" dxfId="6212" priority="10592"/>
    <cfRule type="duplicateValues" dxfId="6211" priority="10591"/>
    <cfRule type="expression" dxfId="6210" priority="10531">
      <formula>_xlfn.ISFORMULA(H100)=TRUE</formula>
    </cfRule>
    <cfRule type="duplicateValues" dxfId="6209" priority="10530"/>
    <cfRule type="expression" dxfId="6208" priority="10529">
      <formula>_xlfn.ISFORMULA(H100)=TRUE</formula>
    </cfRule>
    <cfRule type="duplicateValues" dxfId="6207" priority="10528"/>
    <cfRule type="duplicateValues" dxfId="6206" priority="10527"/>
    <cfRule type="duplicateValues" dxfId="6205" priority="10526"/>
    <cfRule type="expression" dxfId="6204" priority="10519">
      <formula>_xlfn.ISFORMULA(H100)=TRUE</formula>
    </cfRule>
    <cfRule type="duplicateValues" dxfId="6203" priority="10518"/>
    <cfRule type="expression" dxfId="6202" priority="10517">
      <formula>_xlfn.ISFORMULA(H100)=TRUE</formula>
    </cfRule>
    <cfRule type="duplicateValues" dxfId="6201" priority="10516"/>
    <cfRule type="duplicateValues" dxfId="6200" priority="10515"/>
    <cfRule type="duplicateValues" dxfId="6199" priority="10514"/>
    <cfRule type="duplicateValues" dxfId="6198" priority="9169"/>
    <cfRule type="duplicateValues" dxfId="6197" priority="9170"/>
    <cfRule type="duplicateValues" dxfId="6196" priority="9171"/>
    <cfRule type="expression" dxfId="6195" priority="9172">
      <formula>_xlfn.ISFORMULA(H100)=TRUE</formula>
    </cfRule>
    <cfRule type="duplicateValues" dxfId="6194" priority="9173"/>
    <cfRule type="expression" dxfId="6193" priority="9174">
      <formula>_xlfn.ISFORMULA(H100)=TRUE</formula>
    </cfRule>
    <cfRule type="duplicateValues" dxfId="6192" priority="10594"/>
    <cfRule type="duplicateValues" dxfId="6191" priority="9181"/>
    <cfRule type="duplicateValues" dxfId="6190" priority="9182"/>
  </conditionalFormatting>
  <conditionalFormatting sqref="H101">
    <cfRule type="duplicateValues" dxfId="6189" priority="10487"/>
    <cfRule type="duplicateValues" dxfId="6188" priority="9261"/>
    <cfRule type="expression" dxfId="6187" priority="9262">
      <formula>_xlfn.ISFORMULA(H101)=TRUE</formula>
    </cfRule>
    <cfRule type="duplicateValues" dxfId="6186" priority="9097"/>
    <cfRule type="expression" dxfId="6185" priority="9096">
      <formula>_xlfn.ISFORMULA(H101)=TRUE</formula>
    </cfRule>
    <cfRule type="expression" dxfId="6184" priority="10488">
      <formula>_xlfn.ISFORMULA(H101)=TRUE</formula>
    </cfRule>
    <cfRule type="duplicateValues" dxfId="6183" priority="9095"/>
    <cfRule type="duplicateValues" dxfId="6182" priority="9094"/>
    <cfRule type="duplicateValues" dxfId="6181" priority="9093"/>
    <cfRule type="duplicateValues" dxfId="6180" priority="10628"/>
    <cfRule type="duplicateValues" dxfId="6179" priority="10627"/>
    <cfRule type="duplicateValues" dxfId="6178" priority="10626"/>
    <cfRule type="duplicateValues" dxfId="6177" priority="10615"/>
    <cfRule type="expression" dxfId="6176" priority="10617">
      <formula>_xlfn.ISFORMULA(H101)=TRUE</formula>
    </cfRule>
    <cfRule type="duplicateValues" dxfId="6175" priority="9257"/>
    <cfRule type="duplicateValues" dxfId="6174" priority="9258"/>
    <cfRule type="duplicateValues" dxfId="6173" priority="9259"/>
    <cfRule type="duplicateValues" dxfId="6172" priority="10486"/>
    <cfRule type="duplicateValues" dxfId="6171" priority="10485"/>
    <cfRule type="expression" dxfId="6170" priority="10631">
      <formula>_xlfn.ISFORMULA(H101)=TRUE</formula>
    </cfRule>
    <cfRule type="expression" dxfId="6169" priority="10490">
      <formula>_xlfn.ISFORMULA(H101)=TRUE</formula>
    </cfRule>
    <cfRule type="duplicateValues" dxfId="6168" priority="10616"/>
    <cfRule type="duplicateValues" dxfId="6167" priority="10489"/>
    <cfRule type="expression" dxfId="6166" priority="9260">
      <formula>_xlfn.ISFORMULA(H101)=TRUE</formula>
    </cfRule>
    <cfRule type="duplicateValues" dxfId="6165" priority="10630"/>
    <cfRule type="expression" dxfId="6164" priority="10619">
      <formula>_xlfn.ISFORMULA(H101)=TRUE</formula>
    </cfRule>
    <cfRule type="duplicateValues" dxfId="6163" priority="10618"/>
    <cfRule type="expression" dxfId="6162" priority="10629">
      <formula>_xlfn.ISFORMULA(H101)=TRUE</formula>
    </cfRule>
    <cfRule type="duplicateValues" dxfId="6161" priority="10614"/>
    <cfRule type="expression" dxfId="6160" priority="9098">
      <formula>_xlfn.ISFORMULA(H101)=TRUE</formula>
    </cfRule>
  </conditionalFormatting>
  <conditionalFormatting sqref="H102">
    <cfRule type="expression" dxfId="6159" priority="10590">
      <formula>_xlfn.ISFORMULA(H102)=TRUE</formula>
    </cfRule>
    <cfRule type="expression" dxfId="6158" priority="10588">
      <formula>_xlfn.ISFORMULA(H102)=TRUE</formula>
    </cfRule>
    <cfRule type="duplicateValues" dxfId="6157" priority="10587"/>
    <cfRule type="duplicateValues" dxfId="6156" priority="10586"/>
    <cfRule type="duplicateValues" dxfId="6155" priority="10585"/>
    <cfRule type="expression" dxfId="6154" priority="10560">
      <formula>_xlfn.ISFORMULA(H102)=TRUE</formula>
    </cfRule>
    <cfRule type="duplicateValues" dxfId="6153" priority="10559"/>
    <cfRule type="expression" dxfId="6152" priority="10558">
      <formula>_xlfn.ISFORMULA(H102)=TRUE</formula>
    </cfRule>
    <cfRule type="duplicateValues" dxfId="6151" priority="10557"/>
    <cfRule type="duplicateValues" dxfId="6150" priority="10556"/>
    <cfRule type="duplicateValues" dxfId="6149" priority="10555"/>
    <cfRule type="duplicateValues" dxfId="6148" priority="10589"/>
  </conditionalFormatting>
  <conditionalFormatting sqref="H103">
    <cfRule type="duplicateValues" dxfId="6147" priority="7090"/>
    <cfRule type="duplicateValues" dxfId="6146" priority="7091"/>
    <cfRule type="expression" dxfId="6145" priority="7093">
      <formula>_xlfn.ISFORMULA(H103)=TRUE</formula>
    </cfRule>
    <cfRule type="duplicateValues" dxfId="6144" priority="7092"/>
  </conditionalFormatting>
  <conditionalFormatting sqref="H104">
    <cfRule type="duplicateValues" dxfId="6143" priority="10583"/>
    <cfRule type="expression" dxfId="6142" priority="10584">
      <formula>_xlfn.ISFORMULA(H104)=TRUE</formula>
    </cfRule>
    <cfRule type="expression" dxfId="6141" priority="10582">
      <formula>_xlfn.ISFORMULA(H104)=TRUE</formula>
    </cfRule>
    <cfRule type="duplicateValues" dxfId="6140" priority="10579"/>
    <cfRule type="duplicateValues" dxfId="6139" priority="10580"/>
    <cfRule type="duplicateValues" dxfId="6138" priority="10581"/>
  </conditionalFormatting>
  <conditionalFormatting sqref="H105">
    <cfRule type="duplicateValues" dxfId="6137" priority="11988"/>
    <cfRule type="duplicateValues" dxfId="6136" priority="11987"/>
    <cfRule type="expression" dxfId="6135" priority="12012">
      <formula>_xlfn.ISFORMULA(H105)=TRUE</formula>
    </cfRule>
    <cfRule type="duplicateValues" dxfId="6134" priority="11989"/>
  </conditionalFormatting>
  <conditionalFormatting sqref="H106:H107">
    <cfRule type="duplicateValues" dxfId="6133" priority="10573"/>
    <cfRule type="duplicateValues" dxfId="6132" priority="10577"/>
    <cfRule type="expression" dxfId="6131" priority="10578">
      <formula>_xlfn.ISFORMULA(H106)=TRUE</formula>
    </cfRule>
    <cfRule type="duplicateValues" dxfId="6130" priority="10574"/>
    <cfRule type="duplicateValues" dxfId="6129" priority="10575"/>
    <cfRule type="expression" dxfId="6128" priority="10576">
      <formula>_xlfn.ISFORMULA(H106)=TRUE</formula>
    </cfRule>
  </conditionalFormatting>
  <conditionalFormatting sqref="H108">
    <cfRule type="duplicateValues" dxfId="6127" priority="9449"/>
    <cfRule type="duplicateValues" dxfId="6126" priority="9451"/>
    <cfRule type="expression" dxfId="6125" priority="9454">
      <formula>_xlfn.ISFORMULA(H108)=TRUE</formula>
    </cfRule>
    <cfRule type="duplicateValues" dxfId="6124" priority="9453"/>
    <cfRule type="expression" dxfId="6123" priority="9452">
      <formula>_xlfn.ISFORMULA(H108)=TRUE</formula>
    </cfRule>
    <cfRule type="duplicateValues" dxfId="6122" priority="9450"/>
  </conditionalFormatting>
  <conditionalFormatting sqref="H109">
    <cfRule type="duplicateValues" dxfId="6121" priority="9345"/>
    <cfRule type="expression" dxfId="6120" priority="9344">
      <formula>_xlfn.ISFORMULA(H109)=TRUE</formula>
    </cfRule>
    <cfRule type="duplicateValues" dxfId="6119" priority="9343"/>
    <cfRule type="duplicateValues" dxfId="6118" priority="9342"/>
    <cfRule type="duplicateValues" dxfId="6117" priority="9341"/>
    <cfRule type="expression" dxfId="6116" priority="9346">
      <formula>_xlfn.ISFORMULA(H109)=TRUE</formula>
    </cfRule>
  </conditionalFormatting>
  <conditionalFormatting sqref="H110">
    <cfRule type="duplicateValues" dxfId="6115" priority="9336"/>
    <cfRule type="expression" dxfId="6114" priority="9338">
      <formula>_xlfn.ISFORMULA(H110)=TRUE</formula>
    </cfRule>
    <cfRule type="duplicateValues" dxfId="6113" priority="9339"/>
    <cfRule type="expression" dxfId="6112" priority="9340">
      <formula>_xlfn.ISFORMULA(H110)=TRUE</formula>
    </cfRule>
    <cfRule type="duplicateValues" dxfId="6111" priority="9335"/>
    <cfRule type="duplicateValues" dxfId="6110" priority="9337"/>
  </conditionalFormatting>
  <conditionalFormatting sqref="H111">
    <cfRule type="expression" dxfId="6109" priority="9332">
      <formula>_xlfn.ISFORMULA(H111)=TRUE</formula>
    </cfRule>
    <cfRule type="duplicateValues" dxfId="6108" priority="9331"/>
    <cfRule type="duplicateValues" dxfId="6107" priority="9330"/>
    <cfRule type="duplicateValues" dxfId="6106" priority="9329"/>
    <cfRule type="duplicateValues" dxfId="6105" priority="9333"/>
    <cfRule type="expression" dxfId="6104" priority="9334">
      <formula>_xlfn.ISFORMULA(H111)=TRUE</formula>
    </cfRule>
  </conditionalFormatting>
  <conditionalFormatting sqref="H112">
    <cfRule type="duplicateValues" dxfId="6103" priority="9323"/>
    <cfRule type="expression" dxfId="6102" priority="9328">
      <formula>_xlfn.ISFORMULA(H112)=TRUE</formula>
    </cfRule>
    <cfRule type="duplicateValues" dxfId="6101" priority="9327"/>
    <cfRule type="expression" dxfId="6100" priority="9326">
      <formula>_xlfn.ISFORMULA(H112)=TRUE</formula>
    </cfRule>
    <cfRule type="duplicateValues" dxfId="6099" priority="9325"/>
    <cfRule type="duplicateValues" dxfId="6098" priority="9324"/>
  </conditionalFormatting>
  <conditionalFormatting sqref="H113">
    <cfRule type="duplicateValues" dxfId="6097" priority="9321"/>
    <cfRule type="expression" dxfId="6096" priority="9320">
      <formula>_xlfn.ISFORMULA(H113)=TRUE</formula>
    </cfRule>
    <cfRule type="duplicateValues" dxfId="6095" priority="9317"/>
    <cfRule type="expression" dxfId="6094" priority="9322">
      <formula>_xlfn.ISFORMULA(H113)=TRUE</formula>
    </cfRule>
    <cfRule type="duplicateValues" dxfId="6093" priority="9319"/>
    <cfRule type="duplicateValues" dxfId="6092" priority="9318"/>
  </conditionalFormatting>
  <conditionalFormatting sqref="H114">
    <cfRule type="duplicateValues" dxfId="6091" priority="9315"/>
    <cfRule type="duplicateValues" dxfId="6090" priority="9311"/>
    <cfRule type="duplicateValues" dxfId="6089" priority="9312"/>
    <cfRule type="expression" dxfId="6088" priority="9314">
      <formula>_xlfn.ISFORMULA(H114)=TRUE</formula>
    </cfRule>
    <cfRule type="expression" dxfId="6087" priority="9316">
      <formula>_xlfn.ISFORMULA(H114)=TRUE</formula>
    </cfRule>
    <cfRule type="duplicateValues" dxfId="6086" priority="9313"/>
  </conditionalFormatting>
  <conditionalFormatting sqref="H115">
    <cfRule type="duplicateValues" dxfId="6085" priority="9307"/>
    <cfRule type="duplicateValues" dxfId="6084" priority="9306"/>
    <cfRule type="duplicateValues" dxfId="6083" priority="9305"/>
    <cfRule type="duplicateValues" dxfId="6082" priority="9309"/>
    <cfRule type="expression" dxfId="6081" priority="9310">
      <formula>_xlfn.ISFORMULA(H115)=TRUE</formula>
    </cfRule>
    <cfRule type="expression" dxfId="6080" priority="9308">
      <formula>_xlfn.ISFORMULA(H115)=TRUE</formula>
    </cfRule>
  </conditionalFormatting>
  <conditionalFormatting sqref="H116">
    <cfRule type="duplicateValues" dxfId="6079" priority="9301"/>
    <cfRule type="expression" dxfId="6078" priority="9302">
      <formula>_xlfn.ISFORMULA(H116)=TRUE</formula>
    </cfRule>
    <cfRule type="duplicateValues" dxfId="6077" priority="9303"/>
    <cfRule type="expression" dxfId="6076" priority="9304">
      <formula>_xlfn.ISFORMULA(H116)=TRUE</formula>
    </cfRule>
    <cfRule type="duplicateValues" dxfId="6075" priority="9299"/>
    <cfRule type="duplicateValues" dxfId="6074" priority="9300"/>
  </conditionalFormatting>
  <conditionalFormatting sqref="H117">
    <cfRule type="duplicateValues" dxfId="6073" priority="9295"/>
    <cfRule type="duplicateValues" dxfId="6072" priority="9294"/>
    <cfRule type="duplicateValues" dxfId="6071" priority="9297"/>
    <cfRule type="duplicateValues" dxfId="6070" priority="9293"/>
    <cfRule type="expression" dxfId="6069" priority="9298">
      <formula>_xlfn.ISFORMULA(H117)=TRUE</formula>
    </cfRule>
    <cfRule type="expression" dxfId="6068" priority="9296">
      <formula>_xlfn.ISFORMULA(H117)=TRUE</formula>
    </cfRule>
  </conditionalFormatting>
  <conditionalFormatting sqref="H118">
    <cfRule type="duplicateValues" dxfId="6067" priority="9291"/>
    <cfRule type="duplicateValues" dxfId="6066" priority="9287"/>
    <cfRule type="expression" dxfId="6065" priority="9292">
      <formula>_xlfn.ISFORMULA(H118)=TRUE</formula>
    </cfRule>
    <cfRule type="expression" dxfId="6064" priority="9290">
      <formula>_xlfn.ISFORMULA(H118)=TRUE</formula>
    </cfRule>
    <cfRule type="duplicateValues" dxfId="6063" priority="9289"/>
    <cfRule type="duplicateValues" dxfId="6062" priority="9288"/>
  </conditionalFormatting>
  <conditionalFormatting sqref="H119">
    <cfRule type="expression" dxfId="6061" priority="9286">
      <formula>_xlfn.ISFORMULA(H119)=TRUE</formula>
    </cfRule>
    <cfRule type="duplicateValues" dxfId="6060" priority="9285"/>
    <cfRule type="expression" dxfId="6059" priority="9284">
      <formula>_xlfn.ISFORMULA(H119)=TRUE</formula>
    </cfRule>
    <cfRule type="duplicateValues" dxfId="6058" priority="9283"/>
    <cfRule type="duplicateValues" dxfId="6057" priority="9282"/>
    <cfRule type="duplicateValues" dxfId="6056" priority="9281"/>
  </conditionalFormatting>
  <conditionalFormatting sqref="H120">
    <cfRule type="duplicateValues" dxfId="6055" priority="9277"/>
    <cfRule type="duplicateValues" dxfId="6054" priority="9276"/>
    <cfRule type="duplicateValues" dxfId="6053" priority="9275"/>
    <cfRule type="expression" dxfId="6052" priority="9278">
      <formula>_xlfn.ISFORMULA(H120)=TRUE</formula>
    </cfRule>
    <cfRule type="duplicateValues" dxfId="6051" priority="9279"/>
    <cfRule type="expression" dxfId="6050" priority="9280">
      <formula>_xlfn.ISFORMULA(H120)=TRUE</formula>
    </cfRule>
  </conditionalFormatting>
  <conditionalFormatting sqref="H121">
    <cfRule type="duplicateValues" dxfId="6049" priority="11877"/>
    <cfRule type="expression" dxfId="6048" priority="11876">
      <formula>_xlfn.ISFORMULA(H121)=TRUE</formula>
    </cfRule>
    <cfRule type="duplicateValues" dxfId="6047" priority="11875"/>
    <cfRule type="duplicateValues" dxfId="6046" priority="11874"/>
    <cfRule type="duplicateValues" dxfId="6045" priority="11873"/>
    <cfRule type="expression" dxfId="6044" priority="11878">
      <formula>_xlfn.ISFORMULA(H121)=TRUE</formula>
    </cfRule>
  </conditionalFormatting>
  <conditionalFormatting sqref="H122">
    <cfRule type="expression" dxfId="6043" priority="11736">
      <formula>_xlfn.ISFORMULA(H122)=TRUE</formula>
    </cfRule>
    <cfRule type="duplicateValues" dxfId="6042" priority="11792"/>
    <cfRule type="expression" dxfId="6041" priority="11734">
      <formula>_xlfn.ISFORMULA(H122)=TRUE</formula>
    </cfRule>
    <cfRule type="duplicateValues" dxfId="6040" priority="11793"/>
    <cfRule type="duplicateValues" dxfId="6039" priority="11707"/>
    <cfRule type="expression" dxfId="6038" priority="11800">
      <formula>_xlfn.ISFORMULA(H122)=TRUE</formula>
    </cfRule>
    <cfRule type="duplicateValues" dxfId="6037" priority="11791"/>
    <cfRule type="duplicateValues" dxfId="6036" priority="11711"/>
    <cfRule type="expression" dxfId="6035" priority="11712">
      <formula>_xlfn.ISFORMULA(H122)=TRUE</formula>
    </cfRule>
    <cfRule type="expression" dxfId="6034" priority="11710">
      <formula>_xlfn.ISFORMULA(H122)=TRUE</formula>
    </cfRule>
    <cfRule type="duplicateValues" dxfId="6033" priority="11709"/>
    <cfRule type="duplicateValues" dxfId="6032" priority="11708"/>
    <cfRule type="duplicateValues" dxfId="6031" priority="11732"/>
    <cfRule type="duplicateValues" dxfId="6030" priority="11733"/>
    <cfRule type="duplicateValues" dxfId="6029" priority="11735"/>
    <cfRule type="duplicateValues" dxfId="6028" priority="11731"/>
  </conditionalFormatting>
  <conditionalFormatting sqref="H123:H124">
    <cfRule type="duplicateValues" dxfId="6027" priority="9079"/>
    <cfRule type="duplicateValues" dxfId="6026" priority="9077"/>
    <cfRule type="duplicateValues" dxfId="6025" priority="9076"/>
    <cfRule type="expression" dxfId="6024" priority="9078">
      <formula>_xlfn.ISFORMULA(H123)=TRUE</formula>
    </cfRule>
    <cfRule type="duplicateValues" dxfId="6023" priority="9075"/>
    <cfRule type="expression" dxfId="6022" priority="9080">
      <formula>_xlfn.ISFORMULA(H123)=TRUE</formula>
    </cfRule>
  </conditionalFormatting>
  <conditionalFormatting sqref="H125">
    <cfRule type="expression" dxfId="6021" priority="9364">
      <formula>_xlfn.ISFORMULA(H125)=TRUE</formula>
    </cfRule>
    <cfRule type="duplicateValues" dxfId="6020" priority="9363"/>
    <cfRule type="expression" dxfId="6019" priority="9362">
      <formula>_xlfn.ISFORMULA(H125)=TRUE</formula>
    </cfRule>
    <cfRule type="duplicateValues" dxfId="6018" priority="9361"/>
    <cfRule type="duplicateValues" dxfId="6017" priority="9360"/>
    <cfRule type="duplicateValues" dxfId="6016" priority="9359"/>
    <cfRule type="expression" dxfId="6015" priority="8627">
      <formula>_xlfn.ISFORMULA(H125)=TRUE</formula>
    </cfRule>
    <cfRule type="duplicateValues" dxfId="6014" priority="8626"/>
    <cfRule type="expression" dxfId="6013" priority="8625">
      <formula>_xlfn.ISFORMULA(H125)=TRUE</formula>
    </cfRule>
    <cfRule type="duplicateValues" dxfId="6012" priority="8624"/>
    <cfRule type="duplicateValues" dxfId="6011" priority="8622"/>
    <cfRule type="expression" dxfId="6010" priority="8603">
      <formula>_xlfn.ISFORMULA(H125)=TRUE</formula>
    </cfRule>
    <cfRule type="duplicateValues" dxfId="6009" priority="8602"/>
    <cfRule type="expression" dxfId="6008" priority="8601">
      <formula>_xlfn.ISFORMULA(H125)=TRUE</formula>
    </cfRule>
    <cfRule type="duplicateValues" dxfId="6007" priority="8600"/>
    <cfRule type="duplicateValues" dxfId="6006" priority="8599"/>
    <cfRule type="duplicateValues" dxfId="6005" priority="8598"/>
    <cfRule type="duplicateValues" dxfId="6004" priority="8623"/>
  </conditionalFormatting>
  <conditionalFormatting sqref="H126">
    <cfRule type="duplicateValues" dxfId="6003" priority="9007"/>
    <cfRule type="expression" dxfId="6002" priority="9006">
      <formula>_xlfn.ISFORMULA(H126)=TRUE</formula>
    </cfRule>
    <cfRule type="duplicateValues" dxfId="6001" priority="8596"/>
    <cfRule type="expression" dxfId="6000" priority="8597">
      <formula>_xlfn.ISFORMULA(H126)=TRUE</formula>
    </cfRule>
    <cfRule type="duplicateValues" dxfId="5999" priority="8594"/>
    <cfRule type="duplicateValues" dxfId="5998" priority="8593"/>
    <cfRule type="duplicateValues" dxfId="5997" priority="8592"/>
    <cfRule type="expression" dxfId="5996" priority="9008">
      <formula>_xlfn.ISFORMULA(H126)=TRUE</formula>
    </cfRule>
    <cfRule type="expression" dxfId="5995" priority="8595">
      <formula>_xlfn.ISFORMULA(H126)=TRUE</formula>
    </cfRule>
    <cfRule type="duplicateValues" dxfId="5994" priority="8688"/>
    <cfRule type="duplicateValues" dxfId="5993" priority="8689"/>
    <cfRule type="duplicateValues" dxfId="5992" priority="8690"/>
    <cfRule type="expression" dxfId="5991" priority="8691">
      <formula>_xlfn.ISFORMULA(H126)=TRUE</formula>
    </cfRule>
    <cfRule type="duplicateValues" dxfId="5990" priority="8692"/>
    <cfRule type="expression" dxfId="5989" priority="8693">
      <formula>_xlfn.ISFORMULA(H126)=TRUE</formula>
    </cfRule>
    <cfRule type="duplicateValues" dxfId="5988" priority="8980"/>
    <cfRule type="duplicateValues" dxfId="5987" priority="9005"/>
    <cfRule type="duplicateValues" dxfId="5986" priority="9004"/>
    <cfRule type="duplicateValues" dxfId="5985" priority="9003"/>
    <cfRule type="expression" dxfId="5984" priority="8984">
      <formula>_xlfn.ISFORMULA(H126)=TRUE</formula>
    </cfRule>
    <cfRule type="duplicateValues" dxfId="5983" priority="8983"/>
    <cfRule type="expression" dxfId="5982" priority="8982">
      <formula>_xlfn.ISFORMULA(H126)=TRUE</formula>
    </cfRule>
    <cfRule type="duplicateValues" dxfId="5981" priority="8981"/>
    <cfRule type="duplicateValues" dxfId="5980" priority="8979"/>
  </conditionalFormatting>
  <conditionalFormatting sqref="H127">
    <cfRule type="duplicateValues" dxfId="5979" priority="4190"/>
    <cfRule type="expression" dxfId="5978" priority="4177">
      <formula>_xlfn.ISFORMULA(H127)=TRUE</formula>
    </cfRule>
    <cfRule type="duplicateValues" dxfId="5977" priority="4176"/>
    <cfRule type="expression" dxfId="5976" priority="4175">
      <formula>_xlfn.ISFORMULA(H127)=TRUE</formula>
    </cfRule>
    <cfRule type="duplicateValues" dxfId="5975" priority="4174"/>
    <cfRule type="duplicateValues" dxfId="5974" priority="4173"/>
    <cfRule type="duplicateValues" dxfId="5973" priority="4172"/>
    <cfRule type="duplicateValues" dxfId="5972" priority="8617"/>
    <cfRule type="duplicateValues" dxfId="5971" priority="8618"/>
    <cfRule type="expression" dxfId="5970" priority="4120">
      <formula>_xlfn.ISFORMULA(H127)=TRUE</formula>
    </cfRule>
    <cfRule type="duplicateValues" dxfId="5969" priority="8619"/>
    <cfRule type="duplicateValues" dxfId="5968" priority="8536"/>
    <cfRule type="duplicateValues" dxfId="5967" priority="8620"/>
    <cfRule type="expression" dxfId="5966" priority="8621">
      <formula>_xlfn.ISFORMULA(H127)=TRUE</formula>
    </cfRule>
    <cfRule type="expression" dxfId="5965" priority="4165">
      <formula>_xlfn.ISFORMULA(H127)=TRUE</formula>
    </cfRule>
    <cfRule type="expression" dxfId="5964" priority="4163">
      <formula>_xlfn.ISFORMULA(H127)=TRUE</formula>
    </cfRule>
    <cfRule type="duplicateValues" dxfId="5963" priority="4162"/>
    <cfRule type="duplicateValues" dxfId="5962" priority="4161"/>
    <cfRule type="duplicateValues" dxfId="5961" priority="4160"/>
    <cfRule type="duplicateValues" dxfId="5960" priority="8537"/>
    <cfRule type="expression" dxfId="5959" priority="8538">
      <formula>_xlfn.ISFORMULA(H127)=TRUE</formula>
    </cfRule>
    <cfRule type="duplicateValues" dxfId="5958" priority="8539"/>
    <cfRule type="expression" dxfId="5957" priority="8540">
      <formula>_xlfn.ISFORMULA(H127)=TRUE</formula>
    </cfRule>
    <cfRule type="duplicateValues" dxfId="5956" priority="4164"/>
    <cfRule type="duplicateValues" dxfId="5955" priority="3974"/>
    <cfRule type="duplicateValues" dxfId="5954" priority="3973"/>
    <cfRule type="duplicateValues" dxfId="5953" priority="3975"/>
    <cfRule type="expression" dxfId="5952" priority="4153">
      <formula>_xlfn.ISFORMULA(H127)=TRUE</formula>
    </cfRule>
    <cfRule type="duplicateValues" dxfId="5951" priority="4152"/>
    <cfRule type="expression" dxfId="5950" priority="3923">
      <formula>_xlfn.ISFORMULA(H127)=TRUE</formula>
    </cfRule>
    <cfRule type="duplicateValues" dxfId="5949" priority="3922"/>
    <cfRule type="expression" dxfId="5948" priority="3921">
      <formula>_xlfn.ISFORMULA(H127)=TRUE</formula>
    </cfRule>
    <cfRule type="expression" dxfId="5947" priority="4151">
      <formula>_xlfn.ISFORMULA(H127)=TRUE</formula>
    </cfRule>
    <cfRule type="duplicateValues" dxfId="5946" priority="3920"/>
    <cfRule type="duplicateValues" dxfId="5945" priority="3919"/>
    <cfRule type="expression" dxfId="5944" priority="3976">
      <formula>_xlfn.ISFORMULA(H127)=TRUE</formula>
    </cfRule>
    <cfRule type="duplicateValues" dxfId="5943" priority="3977"/>
    <cfRule type="expression" dxfId="5942" priority="3978">
      <formula>_xlfn.ISFORMULA(H127)=TRUE</formula>
    </cfRule>
    <cfRule type="duplicateValues" dxfId="5941" priority="4117"/>
    <cfRule type="duplicateValues" dxfId="5940" priority="4118"/>
    <cfRule type="duplicateValues" dxfId="5939" priority="4119"/>
    <cfRule type="duplicateValues" dxfId="5938" priority="3918"/>
    <cfRule type="duplicateValues" dxfId="5937" priority="4121"/>
    <cfRule type="duplicateValues" dxfId="5936" priority="4194"/>
    <cfRule type="expression" dxfId="5935" priority="4193">
      <formula>_xlfn.ISFORMULA(H127)=TRUE</formula>
    </cfRule>
    <cfRule type="duplicateValues" dxfId="5934" priority="4192"/>
    <cfRule type="expression" dxfId="5933" priority="4122">
      <formula>_xlfn.ISFORMULA(H127)=TRUE</formula>
    </cfRule>
    <cfRule type="expression" dxfId="5932" priority="9074">
      <formula>_xlfn.ISFORMULA(H127)=TRUE</formula>
    </cfRule>
    <cfRule type="duplicateValues" dxfId="5931" priority="9073"/>
    <cfRule type="expression" dxfId="5930" priority="9072">
      <formula>_xlfn.ISFORMULA(H127)=TRUE</formula>
    </cfRule>
    <cfRule type="duplicateValues" dxfId="5929" priority="9071"/>
    <cfRule type="duplicateValues" dxfId="5928" priority="9070"/>
    <cfRule type="duplicateValues" dxfId="5927" priority="9069"/>
    <cfRule type="expression" dxfId="5926" priority="4195">
      <formula>_xlfn.ISFORMULA(H127)=TRUE</formula>
    </cfRule>
    <cfRule type="duplicateValues" dxfId="5925" priority="4191"/>
    <cfRule type="expression" dxfId="5924" priority="8978">
      <formula>_xlfn.ISFORMULA(H127)=TRUE</formula>
    </cfRule>
    <cfRule type="duplicateValues" dxfId="5923" priority="8977"/>
    <cfRule type="expression" dxfId="5922" priority="8976">
      <formula>_xlfn.ISFORMULA(H127)=TRUE</formula>
    </cfRule>
    <cfRule type="duplicateValues" dxfId="5921" priority="8975"/>
    <cfRule type="duplicateValues" dxfId="5920" priority="8974"/>
    <cfRule type="duplicateValues" dxfId="5919" priority="8973"/>
    <cfRule type="duplicateValues" dxfId="5918" priority="4150"/>
    <cfRule type="duplicateValues" dxfId="5917" priority="4149"/>
    <cfRule type="duplicateValues" dxfId="5916" priority="4148"/>
    <cfRule type="duplicateValues" dxfId="5915" priority="8535"/>
  </conditionalFormatting>
  <conditionalFormatting sqref="H128">
    <cfRule type="expression" dxfId="5914" priority="4000">
      <formula>_xlfn.ISFORMULA(H128)=TRUE</formula>
    </cfRule>
    <cfRule type="duplicateValues" dxfId="5913" priority="3999"/>
    <cfRule type="duplicateValues" dxfId="5912" priority="3998"/>
    <cfRule type="duplicateValues" dxfId="5911" priority="3997"/>
    <cfRule type="expression" dxfId="5910" priority="3996">
      <formula>_xlfn.ISFORMULA(H128)=TRUE</formula>
    </cfRule>
    <cfRule type="duplicateValues" dxfId="5909" priority="3995"/>
    <cfRule type="expression" dxfId="5908" priority="3994">
      <formula>_xlfn.ISFORMULA(H128)=TRUE</formula>
    </cfRule>
    <cfRule type="duplicateValues" dxfId="5907" priority="3993"/>
    <cfRule type="duplicateValues" dxfId="5906" priority="3992"/>
    <cfRule type="duplicateValues" dxfId="5905" priority="3991"/>
    <cfRule type="expression" dxfId="5904" priority="3990">
      <formula>_xlfn.ISFORMULA(H128)=TRUE</formula>
    </cfRule>
    <cfRule type="duplicateValues" dxfId="5903" priority="3989"/>
    <cfRule type="expression" dxfId="5902" priority="3988">
      <formula>_xlfn.ISFORMULA(H128)=TRUE</formula>
    </cfRule>
    <cfRule type="duplicateValues" dxfId="5901" priority="3987"/>
    <cfRule type="duplicateValues" dxfId="5900" priority="3986"/>
    <cfRule type="duplicateValues" dxfId="5899" priority="3985"/>
    <cfRule type="expression" dxfId="5898" priority="3959">
      <formula>_xlfn.ISFORMULA(H128)=TRUE</formula>
    </cfRule>
    <cfRule type="duplicateValues" dxfId="5897" priority="3958"/>
    <cfRule type="expression" dxfId="5896" priority="3957">
      <formula>_xlfn.ISFORMULA(H128)=TRUE</formula>
    </cfRule>
    <cfRule type="duplicateValues" dxfId="5895" priority="3956"/>
    <cfRule type="duplicateValues" dxfId="5894" priority="3955"/>
    <cfRule type="duplicateValues" dxfId="5893" priority="3954"/>
    <cfRule type="expression" dxfId="5892" priority="3947">
      <formula>_xlfn.ISFORMULA(H128)=TRUE</formula>
    </cfRule>
    <cfRule type="duplicateValues" dxfId="5891" priority="3946"/>
    <cfRule type="expression" dxfId="5890" priority="3945">
      <formula>_xlfn.ISFORMULA(H128)=TRUE</formula>
    </cfRule>
    <cfRule type="duplicateValues" dxfId="5889" priority="3944"/>
    <cfRule type="duplicateValues" dxfId="5888" priority="3943"/>
    <cfRule type="duplicateValues" dxfId="5887" priority="3942"/>
    <cfRule type="expression" dxfId="5886" priority="3935">
      <formula>_xlfn.ISFORMULA(H128)=TRUE</formula>
    </cfRule>
    <cfRule type="duplicateValues" dxfId="5885" priority="3934"/>
    <cfRule type="expression" dxfId="5884" priority="3933">
      <formula>_xlfn.ISFORMULA(H128)=TRUE</formula>
    </cfRule>
    <cfRule type="duplicateValues" dxfId="5883" priority="3932"/>
    <cfRule type="duplicateValues" dxfId="5882" priority="3931"/>
    <cfRule type="duplicateValues" dxfId="5881" priority="3930"/>
    <cfRule type="expression" dxfId="5880" priority="3929">
      <formula>_xlfn.ISFORMULA(H128)=TRUE</formula>
    </cfRule>
    <cfRule type="expression" dxfId="5879" priority="3927">
      <formula>_xlfn.ISFORMULA(H128)=TRUE</formula>
    </cfRule>
    <cfRule type="duplicateValues" dxfId="5878" priority="3926"/>
    <cfRule type="duplicateValues" dxfId="5877" priority="3925"/>
    <cfRule type="duplicateValues" dxfId="5876" priority="3924"/>
    <cfRule type="duplicateValues" dxfId="5875" priority="8640"/>
    <cfRule type="duplicateValues" dxfId="5874" priority="8641"/>
    <cfRule type="duplicateValues" dxfId="5873" priority="8642"/>
    <cfRule type="expression" dxfId="5872" priority="8643">
      <formula>_xlfn.ISFORMULA(H128)=TRUE</formula>
    </cfRule>
    <cfRule type="duplicateValues" dxfId="5871" priority="8644"/>
    <cfRule type="expression" dxfId="5870" priority="8645">
      <formula>_xlfn.ISFORMULA(H128)=TRUE</formula>
    </cfRule>
    <cfRule type="duplicateValues" dxfId="5869" priority="8652"/>
    <cfRule type="duplicateValues" dxfId="5868" priority="8653"/>
    <cfRule type="duplicateValues" dxfId="5867" priority="8654"/>
    <cfRule type="expression" dxfId="5866" priority="8655">
      <formula>_xlfn.ISFORMULA(H128)=TRUE</formula>
    </cfRule>
    <cfRule type="duplicateValues" dxfId="5865" priority="8656"/>
    <cfRule type="expression" dxfId="5864" priority="8657">
      <formula>_xlfn.ISFORMULA(H128)=TRUE</formula>
    </cfRule>
    <cfRule type="expression" dxfId="5863" priority="8921">
      <formula>_xlfn.ISFORMULA(H128)=TRUE</formula>
    </cfRule>
    <cfRule type="duplicateValues" dxfId="5862" priority="8664"/>
    <cfRule type="duplicateValues" dxfId="5861" priority="8665"/>
    <cfRule type="duplicateValues" dxfId="5860" priority="8666"/>
    <cfRule type="expression" dxfId="5859" priority="8667">
      <formula>_xlfn.ISFORMULA(H128)=TRUE</formula>
    </cfRule>
    <cfRule type="duplicateValues" dxfId="5858" priority="8668"/>
    <cfRule type="expression" dxfId="5857" priority="8669">
      <formula>_xlfn.ISFORMULA(H128)=TRUE</formula>
    </cfRule>
    <cfRule type="duplicateValues" dxfId="5856" priority="8920"/>
    <cfRule type="expression" dxfId="5855" priority="8919">
      <formula>_xlfn.ISFORMULA(H128)=TRUE</formula>
    </cfRule>
    <cfRule type="duplicateValues" dxfId="5854" priority="8682"/>
    <cfRule type="duplicateValues" dxfId="5853" priority="8683"/>
    <cfRule type="duplicateValues" dxfId="5852" priority="8684"/>
    <cfRule type="expression" dxfId="5851" priority="8685">
      <formula>_xlfn.ISFORMULA(H128)=TRUE</formula>
    </cfRule>
    <cfRule type="duplicateValues" dxfId="5850" priority="8686"/>
    <cfRule type="expression" dxfId="5849" priority="8687">
      <formula>_xlfn.ISFORMULA(H128)=TRUE</formula>
    </cfRule>
    <cfRule type="duplicateValues" dxfId="5848" priority="8918"/>
    <cfRule type="duplicateValues" dxfId="5847" priority="8917"/>
    <cfRule type="duplicateValues" dxfId="5846" priority="8916"/>
    <cfRule type="duplicateValues" dxfId="5845" priority="4130"/>
    <cfRule type="duplicateValues" dxfId="5844" priority="4131"/>
    <cfRule type="duplicateValues" dxfId="5843" priority="4132"/>
    <cfRule type="expression" dxfId="5842" priority="4133">
      <formula>_xlfn.ISFORMULA(H128)=TRUE</formula>
    </cfRule>
    <cfRule type="duplicateValues" dxfId="5841" priority="4134"/>
    <cfRule type="expression" dxfId="5840" priority="4135">
      <formula>_xlfn.ISFORMULA(H128)=TRUE</formula>
    </cfRule>
    <cfRule type="duplicateValues" dxfId="5839" priority="3928"/>
    <cfRule type="duplicateValues" dxfId="5838" priority="8586"/>
    <cfRule type="duplicateValues" dxfId="5837" priority="8587"/>
    <cfRule type="duplicateValues" dxfId="5836" priority="8588"/>
    <cfRule type="expression" dxfId="5835" priority="8589">
      <formula>_xlfn.ISFORMULA(H128)=TRUE</formula>
    </cfRule>
    <cfRule type="expression" dxfId="5834" priority="9002">
      <formula>_xlfn.ISFORMULA(H128)=TRUE</formula>
    </cfRule>
    <cfRule type="duplicateValues" dxfId="5833" priority="9001"/>
    <cfRule type="duplicateValues" dxfId="5832" priority="9000"/>
    <cfRule type="duplicateValues" dxfId="5831" priority="8999"/>
    <cfRule type="duplicateValues" dxfId="5830" priority="8998"/>
    <cfRule type="duplicateValues" dxfId="5829" priority="8590"/>
    <cfRule type="expression" dxfId="5828" priority="8591">
      <formula>_xlfn.ISFORMULA(H128)=TRUE</formula>
    </cfRule>
    <cfRule type="expression" dxfId="5827" priority="4074">
      <formula>_xlfn.ISFORMULA(H128)=TRUE</formula>
    </cfRule>
    <cfRule type="duplicateValues" dxfId="5826" priority="4073"/>
    <cfRule type="expression" dxfId="5825" priority="4072">
      <formula>_xlfn.ISFORMULA(H128)=TRUE</formula>
    </cfRule>
    <cfRule type="duplicateValues" dxfId="5824" priority="4071"/>
    <cfRule type="duplicateValues" dxfId="5823" priority="4070"/>
    <cfRule type="duplicateValues" dxfId="5822" priority="4069"/>
    <cfRule type="expression" dxfId="5821" priority="4014">
      <formula>_xlfn.ISFORMULA(H128)=TRUE</formula>
    </cfRule>
    <cfRule type="duplicateValues" dxfId="5820" priority="4013"/>
    <cfRule type="expression" dxfId="5819" priority="4012">
      <formula>_xlfn.ISFORMULA(H128)=TRUE</formula>
    </cfRule>
    <cfRule type="duplicateValues" dxfId="5818" priority="4011"/>
    <cfRule type="duplicateValues" dxfId="5817" priority="4010"/>
    <cfRule type="duplicateValues" dxfId="5816" priority="4009"/>
    <cfRule type="expression" dxfId="5815" priority="4002">
      <formula>_xlfn.ISFORMULA(H128)=TRUE</formula>
    </cfRule>
    <cfRule type="duplicateValues" dxfId="5814" priority="4001"/>
  </conditionalFormatting>
  <conditionalFormatting sqref="H129">
    <cfRule type="duplicateValues" dxfId="5813" priority="4075"/>
    <cfRule type="duplicateValues" dxfId="5812" priority="3913"/>
    <cfRule type="duplicateValues" dxfId="5811" priority="4146"/>
    <cfRule type="duplicateValues" dxfId="5810" priority="9037"/>
    <cfRule type="expression" dxfId="5809" priority="4145">
      <formula>_xlfn.ISFORMULA(H129)=TRUE</formula>
    </cfRule>
    <cfRule type="duplicateValues" dxfId="5808" priority="4144"/>
    <cfRule type="duplicateValues" dxfId="5807" priority="4143"/>
    <cfRule type="duplicateValues" dxfId="5806" priority="4142"/>
    <cfRule type="duplicateValues" dxfId="5805" priority="4093"/>
    <cfRule type="duplicateValues" dxfId="5804" priority="9023"/>
    <cfRule type="duplicateValues" dxfId="5803" priority="9022"/>
    <cfRule type="expression" dxfId="5802" priority="4110">
      <formula>_xlfn.ISFORMULA(H129)=TRUE</formula>
    </cfRule>
    <cfRule type="duplicateValues" dxfId="5801" priority="4109"/>
    <cfRule type="expression" dxfId="5800" priority="4108">
      <formula>_xlfn.ISFORMULA(H129)=TRUE</formula>
    </cfRule>
    <cfRule type="duplicateValues" dxfId="5799" priority="4107"/>
    <cfRule type="duplicateValues" dxfId="5798" priority="4106"/>
    <cfRule type="duplicateValues" dxfId="5797" priority="4105"/>
    <cfRule type="expression" dxfId="5796" priority="4098">
      <formula>_xlfn.ISFORMULA(H129)=TRUE</formula>
    </cfRule>
    <cfRule type="expression" dxfId="5795" priority="8534">
      <formula>_xlfn.ISFORMULA(H129)=TRUE</formula>
    </cfRule>
    <cfRule type="duplicateValues" dxfId="5794" priority="4097"/>
    <cfRule type="expression" dxfId="5793" priority="4096">
      <formula>_xlfn.ISFORMULA(H129)=TRUE</formula>
    </cfRule>
    <cfRule type="duplicateValues" dxfId="5792" priority="4095"/>
    <cfRule type="duplicateValues" dxfId="5791" priority="4094"/>
    <cfRule type="expression" dxfId="5790" priority="4086">
      <formula>_xlfn.ISFORMULA(H129)=TRUE</formula>
    </cfRule>
    <cfRule type="duplicateValues" dxfId="5789" priority="4085"/>
    <cfRule type="duplicateValues" dxfId="5788" priority="8533"/>
    <cfRule type="expression" dxfId="5787" priority="8532">
      <formula>_xlfn.ISFORMULA(H129)=TRUE</formula>
    </cfRule>
    <cfRule type="duplicateValues" dxfId="5786" priority="8531"/>
    <cfRule type="duplicateValues" dxfId="5785" priority="8530"/>
    <cfRule type="duplicateValues" dxfId="5784" priority="8529"/>
    <cfRule type="expression" dxfId="5783" priority="4084">
      <formula>_xlfn.ISFORMULA(H129)=TRUE</formula>
    </cfRule>
    <cfRule type="duplicateValues" dxfId="5782" priority="4083"/>
    <cfRule type="duplicateValues" dxfId="5781" priority="4082"/>
    <cfRule type="expression" dxfId="5780" priority="4189">
      <formula>_xlfn.ISFORMULA(H129)=TRUE</formula>
    </cfRule>
    <cfRule type="duplicateValues" dxfId="5779" priority="4188"/>
    <cfRule type="expression" dxfId="5778" priority="4187">
      <formula>_xlfn.ISFORMULA(H129)=TRUE</formula>
    </cfRule>
    <cfRule type="duplicateValues" dxfId="5777" priority="4186"/>
    <cfRule type="duplicateValues" dxfId="5776" priority="9063"/>
    <cfRule type="duplicateValues" dxfId="5775" priority="4185"/>
    <cfRule type="duplicateValues" dxfId="5774" priority="4184"/>
    <cfRule type="duplicateValues" dxfId="5773" priority="4081"/>
    <cfRule type="expression" dxfId="5772" priority="9026">
      <formula>_xlfn.ISFORMULA(H129)=TRUE</formula>
    </cfRule>
    <cfRule type="duplicateValues" dxfId="5771" priority="9025"/>
    <cfRule type="duplicateValues" dxfId="5770" priority="9021"/>
    <cfRule type="expression" dxfId="5769" priority="4080">
      <formula>_xlfn.ISFORMULA(H129)=TRUE</formula>
    </cfRule>
    <cfRule type="expression" dxfId="5768" priority="8972">
      <formula>_xlfn.ISFORMULA(H129)=TRUE</formula>
    </cfRule>
    <cfRule type="duplicateValues" dxfId="5767" priority="8971"/>
    <cfRule type="expression" dxfId="5766" priority="8970">
      <formula>_xlfn.ISFORMULA(H129)=TRUE</formula>
    </cfRule>
    <cfRule type="duplicateValues" dxfId="5765" priority="8969"/>
    <cfRule type="expression" dxfId="5764" priority="3972">
      <formula>_xlfn.ISFORMULA(H129)=TRUE</formula>
    </cfRule>
    <cfRule type="duplicateValues" dxfId="5763" priority="3971"/>
    <cfRule type="expression" dxfId="5762" priority="3970">
      <formula>_xlfn.ISFORMULA(H129)=TRUE</formula>
    </cfRule>
    <cfRule type="duplicateValues" dxfId="5761" priority="3969"/>
    <cfRule type="duplicateValues" dxfId="5760" priority="3968"/>
    <cfRule type="duplicateValues" dxfId="5759" priority="3967"/>
    <cfRule type="duplicateValues" dxfId="5758" priority="3966"/>
    <cfRule type="expression" dxfId="5757" priority="9038">
      <formula>_xlfn.ISFORMULA(H129)=TRUE</formula>
    </cfRule>
    <cfRule type="expression" dxfId="5756" priority="9024">
      <formula>_xlfn.ISFORMULA(H129)=TRUE</formula>
    </cfRule>
    <cfRule type="duplicateValues" dxfId="5755" priority="9033"/>
    <cfRule type="duplicateValues" dxfId="5754" priority="9034"/>
    <cfRule type="duplicateValues" dxfId="5753" priority="4079"/>
    <cfRule type="expression" dxfId="5752" priority="4171">
      <formula>_xlfn.ISFORMULA(H129)=TRUE</formula>
    </cfRule>
    <cfRule type="expression" dxfId="5751" priority="4078">
      <formula>_xlfn.ISFORMULA(H129)=TRUE</formula>
    </cfRule>
    <cfRule type="duplicateValues" dxfId="5750" priority="4077"/>
    <cfRule type="duplicateValues" dxfId="5749" priority="4076"/>
    <cfRule type="duplicateValues" dxfId="5748" priority="8968"/>
    <cfRule type="duplicateValues" dxfId="5747" priority="8967"/>
    <cfRule type="duplicateValues" dxfId="5746" priority="3912"/>
    <cfRule type="duplicateValues" dxfId="5745" priority="8611"/>
    <cfRule type="expression" dxfId="5744" priority="9068">
      <formula>_xlfn.ISFORMULA(H129)=TRUE</formula>
    </cfRule>
    <cfRule type="duplicateValues" dxfId="5743" priority="9067"/>
    <cfRule type="expression" dxfId="5742" priority="9066">
      <formula>_xlfn.ISFORMULA(H129)=TRUE</formula>
    </cfRule>
    <cfRule type="duplicateValues" dxfId="5741" priority="9065"/>
    <cfRule type="duplicateValues" dxfId="5740" priority="9064"/>
    <cfRule type="duplicateValues" dxfId="5739" priority="8612"/>
    <cfRule type="duplicateValues" dxfId="5738" priority="8613"/>
    <cfRule type="expression" dxfId="5737" priority="8614">
      <formula>_xlfn.ISFORMULA(H129)=TRUE</formula>
    </cfRule>
    <cfRule type="duplicateValues" dxfId="5736" priority="8615"/>
    <cfRule type="expression" dxfId="5735" priority="8616">
      <formula>_xlfn.ISFORMULA(H129)=TRUE</formula>
    </cfRule>
    <cfRule type="duplicateValues" dxfId="5734" priority="4170"/>
    <cfRule type="expression" dxfId="5733" priority="4169">
      <formula>_xlfn.ISFORMULA(H129)=TRUE</formula>
    </cfRule>
    <cfRule type="duplicateValues" dxfId="5732" priority="4168"/>
    <cfRule type="duplicateValues" dxfId="5731" priority="4167"/>
    <cfRule type="duplicateValues" dxfId="5730" priority="4166"/>
    <cfRule type="expression" dxfId="5729" priority="4159">
      <formula>_xlfn.ISFORMULA(H129)=TRUE</formula>
    </cfRule>
    <cfRule type="duplicateValues" dxfId="5728" priority="4158"/>
    <cfRule type="expression" dxfId="5727" priority="4157">
      <formula>_xlfn.ISFORMULA(H129)=TRUE</formula>
    </cfRule>
    <cfRule type="duplicateValues" dxfId="5726" priority="4156"/>
    <cfRule type="expression" dxfId="5725" priority="9036">
      <formula>_xlfn.ISFORMULA(H129)=TRUE</formula>
    </cfRule>
    <cfRule type="duplicateValues" dxfId="5724" priority="4155"/>
    <cfRule type="expression" dxfId="5723" priority="9050">
      <formula>_xlfn.ISFORMULA(H129)=TRUE</formula>
    </cfRule>
    <cfRule type="duplicateValues" dxfId="5722" priority="9049"/>
    <cfRule type="expression" dxfId="5721" priority="9048">
      <formula>_xlfn.ISFORMULA(H129)=TRUE</formula>
    </cfRule>
    <cfRule type="duplicateValues" dxfId="5720" priority="9035"/>
    <cfRule type="duplicateValues" dxfId="5719" priority="4154"/>
    <cfRule type="expression" dxfId="5718" priority="4147">
      <formula>_xlfn.ISFORMULA(H129)=TRUE</formula>
    </cfRule>
    <cfRule type="duplicateValues" dxfId="5717" priority="9047"/>
    <cfRule type="duplicateValues" dxfId="5716" priority="9046"/>
    <cfRule type="duplicateValues" dxfId="5715" priority="9045"/>
    <cfRule type="expression" dxfId="5714" priority="3917">
      <formula>_xlfn.ISFORMULA(H129)=TRUE</formula>
    </cfRule>
    <cfRule type="duplicateValues" dxfId="5713" priority="3916"/>
    <cfRule type="expression" dxfId="5712" priority="3915">
      <formula>_xlfn.ISFORMULA(H129)=TRUE</formula>
    </cfRule>
    <cfRule type="duplicateValues" dxfId="5711" priority="3914"/>
  </conditionalFormatting>
  <conditionalFormatting sqref="H130">
    <cfRule type="duplicateValues" dxfId="5710" priority="8551"/>
    <cfRule type="expression" dxfId="5709" priority="8550">
      <formula>_xlfn.ISFORMULA(H130)=TRUE</formula>
    </cfRule>
    <cfRule type="duplicateValues" dxfId="5708" priority="8549"/>
    <cfRule type="duplicateValues" dxfId="5707" priority="8548"/>
    <cfRule type="duplicateValues" dxfId="5706" priority="8547"/>
    <cfRule type="expression" dxfId="5705" priority="8546">
      <formula>_xlfn.ISFORMULA(H130)=TRUE</formula>
    </cfRule>
    <cfRule type="expression" dxfId="5704" priority="4068">
      <formula>_xlfn.ISFORMULA(H130)=TRUE</formula>
    </cfRule>
    <cfRule type="duplicateValues" dxfId="5703" priority="4067"/>
    <cfRule type="expression" dxfId="5702" priority="4066">
      <formula>_xlfn.ISFORMULA(H130)=TRUE</formula>
    </cfRule>
    <cfRule type="duplicateValues" dxfId="5701" priority="4065"/>
    <cfRule type="duplicateValues" dxfId="5700" priority="4064"/>
    <cfRule type="duplicateValues" dxfId="5699" priority="4063"/>
    <cfRule type="duplicateValues" dxfId="5698" priority="8545"/>
    <cfRule type="expression" dxfId="5697" priority="8544">
      <formula>_xlfn.ISFORMULA(H130)=TRUE</formula>
    </cfRule>
    <cfRule type="duplicateValues" dxfId="5696" priority="8543"/>
    <cfRule type="duplicateValues" dxfId="5695" priority="8542"/>
    <cfRule type="duplicateValues" dxfId="5694" priority="8541"/>
    <cfRule type="expression" dxfId="5693" priority="4008">
      <formula>_xlfn.ISFORMULA(H130)=TRUE</formula>
    </cfRule>
    <cfRule type="duplicateValues" dxfId="5692" priority="4007"/>
    <cfRule type="expression" dxfId="5691" priority="4006">
      <formula>_xlfn.ISFORMULA(H130)=TRUE</formula>
    </cfRule>
    <cfRule type="duplicateValues" dxfId="5690" priority="4005"/>
    <cfRule type="duplicateValues" dxfId="5689" priority="4004"/>
    <cfRule type="duplicateValues" dxfId="5688" priority="4003"/>
    <cfRule type="duplicateValues" dxfId="5687" priority="8636"/>
    <cfRule type="expression" dxfId="5686" priority="3941">
      <formula>_xlfn.ISFORMULA(H130)=TRUE</formula>
    </cfRule>
    <cfRule type="expression" dxfId="5685" priority="3953">
      <formula>_xlfn.ISFORMULA(H130)=TRUE</formula>
    </cfRule>
    <cfRule type="duplicateValues" dxfId="5684" priority="3952"/>
    <cfRule type="expression" dxfId="5683" priority="3951">
      <formula>_xlfn.ISFORMULA(H130)=TRUE</formula>
    </cfRule>
    <cfRule type="duplicateValues" dxfId="5682" priority="3950"/>
    <cfRule type="duplicateValues" dxfId="5681" priority="3949"/>
    <cfRule type="duplicateValues" dxfId="5680" priority="3948"/>
    <cfRule type="duplicateValues" dxfId="5679" priority="8571"/>
    <cfRule type="expression" dxfId="5678" priority="8564">
      <formula>_xlfn.ISFORMULA(H130)=TRUE</formula>
    </cfRule>
    <cfRule type="duplicateValues" dxfId="5677" priority="8572"/>
    <cfRule type="duplicateValues" dxfId="5676" priority="3940"/>
    <cfRule type="expression" dxfId="5675" priority="3939">
      <formula>_xlfn.ISFORMULA(H130)=TRUE</formula>
    </cfRule>
    <cfRule type="duplicateValues" dxfId="5674" priority="3938"/>
    <cfRule type="duplicateValues" dxfId="5673" priority="3937"/>
    <cfRule type="duplicateValues" dxfId="5672" priority="3936"/>
    <cfRule type="duplicateValues" dxfId="5671" priority="8563"/>
    <cfRule type="expression" dxfId="5670" priority="8552">
      <formula>_xlfn.ISFORMULA(H130)=TRUE</formula>
    </cfRule>
    <cfRule type="duplicateValues" dxfId="5669" priority="8659"/>
    <cfRule type="duplicateValues" dxfId="5668" priority="8660"/>
    <cfRule type="expression" dxfId="5667" priority="8661">
      <formula>_xlfn.ISFORMULA(H130)=TRUE</formula>
    </cfRule>
    <cfRule type="duplicateValues" dxfId="5666" priority="8662"/>
    <cfRule type="expression" dxfId="5665" priority="8663">
      <formula>_xlfn.ISFORMULA(H130)=TRUE</formula>
    </cfRule>
    <cfRule type="expression" dxfId="5664" priority="8574">
      <formula>_xlfn.ISFORMULA(H130)=TRUE</formula>
    </cfRule>
    <cfRule type="expression" dxfId="5663" priority="4127">
      <formula>_xlfn.ISFORMULA(H130)=TRUE</formula>
    </cfRule>
    <cfRule type="duplicateValues" dxfId="5662" priority="4126"/>
    <cfRule type="duplicateValues" dxfId="5661" priority="4125"/>
    <cfRule type="duplicateValues" dxfId="5660" priority="4124"/>
    <cfRule type="duplicateValues" dxfId="5659" priority="4123"/>
    <cfRule type="duplicateValues" dxfId="5658" priority="8676"/>
    <cfRule type="duplicateValues" dxfId="5657" priority="8677"/>
    <cfRule type="duplicateValues" dxfId="5656" priority="8678"/>
    <cfRule type="expression" dxfId="5655" priority="8679">
      <formula>_xlfn.ISFORMULA(H130)=TRUE</formula>
    </cfRule>
    <cfRule type="duplicateValues" dxfId="5654" priority="8680"/>
    <cfRule type="expression" dxfId="5653" priority="8681">
      <formula>_xlfn.ISFORMULA(H130)=TRUE</formula>
    </cfRule>
    <cfRule type="duplicateValues" dxfId="5652" priority="8575"/>
    <cfRule type="duplicateValues" dxfId="5651" priority="8646"/>
    <cfRule type="duplicateValues" dxfId="5650" priority="8647"/>
    <cfRule type="duplicateValues" dxfId="5649" priority="8648"/>
    <cfRule type="expression" dxfId="5648" priority="8649">
      <formula>_xlfn.ISFORMULA(H130)=TRUE</formula>
    </cfRule>
    <cfRule type="duplicateValues" dxfId="5647" priority="8650"/>
    <cfRule type="expression" dxfId="5646" priority="8651">
      <formula>_xlfn.ISFORMULA(H130)=TRUE</formula>
    </cfRule>
    <cfRule type="expression" dxfId="5645" priority="8576">
      <formula>_xlfn.ISFORMULA(H130)=TRUE</formula>
    </cfRule>
    <cfRule type="duplicateValues" dxfId="5644" priority="8658"/>
    <cfRule type="expression" dxfId="5643" priority="8562">
      <formula>_xlfn.ISFORMULA(H130)=TRUE</formula>
    </cfRule>
    <cfRule type="duplicateValues" dxfId="5642" priority="8561"/>
    <cfRule type="duplicateValues" dxfId="5641" priority="8560"/>
    <cfRule type="duplicateValues" dxfId="5640" priority="8559"/>
    <cfRule type="expression" dxfId="5639" priority="8997">
      <formula>_xlfn.ISFORMULA(H130)=TRUE</formula>
    </cfRule>
    <cfRule type="duplicateValues" dxfId="5638" priority="8996"/>
    <cfRule type="expression" dxfId="5637" priority="8995">
      <formula>_xlfn.ISFORMULA(H130)=TRUE</formula>
    </cfRule>
    <cfRule type="duplicateValues" dxfId="5636" priority="8994"/>
    <cfRule type="duplicateValues" dxfId="5635" priority="8993"/>
    <cfRule type="duplicateValues" dxfId="5634" priority="8992"/>
    <cfRule type="duplicateValues" dxfId="5633" priority="8638"/>
    <cfRule type="expression" dxfId="5632" priority="8639">
      <formula>_xlfn.ISFORMULA(H130)=TRUE</formula>
    </cfRule>
    <cfRule type="duplicateValues" dxfId="5631" priority="8635"/>
    <cfRule type="duplicateValues" dxfId="5630" priority="8634"/>
    <cfRule type="expression" dxfId="5629" priority="8637">
      <formula>_xlfn.ISFORMULA(H130)=TRUE</formula>
    </cfRule>
    <cfRule type="duplicateValues" dxfId="5628" priority="8573"/>
    <cfRule type="expression" dxfId="5627" priority="4129">
      <formula>_xlfn.ISFORMULA(H130)=TRUE</formula>
    </cfRule>
    <cfRule type="duplicateValues" dxfId="5626" priority="4128"/>
    <cfRule type="duplicateValues" dxfId="5625" priority="8910"/>
    <cfRule type="duplicateValues" dxfId="5624" priority="8911"/>
    <cfRule type="duplicateValues" dxfId="5623" priority="8912"/>
    <cfRule type="expression" dxfId="5622" priority="8913">
      <formula>_xlfn.ISFORMULA(H130)=TRUE</formula>
    </cfRule>
    <cfRule type="duplicateValues" dxfId="5621" priority="8914"/>
    <cfRule type="expression" dxfId="5620" priority="8915">
      <formula>_xlfn.ISFORMULA(H130)=TRUE</formula>
    </cfRule>
  </conditionalFormatting>
  <conditionalFormatting sqref="H131">
    <cfRule type="duplicateValues" dxfId="5619" priority="3888"/>
    <cfRule type="expression" dxfId="5618" priority="4183">
      <formula>_xlfn.ISFORMULA(H131)=TRUE</formula>
    </cfRule>
    <cfRule type="duplicateValues" dxfId="5617" priority="4182"/>
    <cfRule type="expression" dxfId="5616" priority="4181">
      <formula>_xlfn.ISFORMULA(H131)=TRUE</formula>
    </cfRule>
    <cfRule type="duplicateValues" dxfId="5615" priority="4180"/>
    <cfRule type="duplicateValues" dxfId="5614" priority="4179"/>
    <cfRule type="duplicateValues" dxfId="5613" priority="4178"/>
    <cfRule type="duplicateValues" dxfId="5612" priority="8605"/>
    <cfRule type="duplicateValues" dxfId="5611" priority="8604"/>
    <cfRule type="duplicateValues" dxfId="5610" priority="8606"/>
    <cfRule type="duplicateValues" dxfId="5609" priority="8607"/>
    <cfRule type="expression" dxfId="5608" priority="8608">
      <formula>_xlfn.ISFORMULA(H131)=TRUE</formula>
    </cfRule>
    <cfRule type="duplicateValues" dxfId="5607" priority="8609"/>
    <cfRule type="duplicateValues" dxfId="5606" priority="8924"/>
    <cfRule type="expression" dxfId="5605" priority="8925">
      <formula>_xlfn.ISFORMULA(H131)=TRUE</formula>
    </cfRule>
    <cfRule type="duplicateValues" dxfId="5604" priority="8926"/>
    <cfRule type="expression" dxfId="5603" priority="8927">
      <formula>_xlfn.ISFORMULA(H131)=TRUE</formula>
    </cfRule>
    <cfRule type="duplicateValues" dxfId="5602" priority="8928"/>
    <cfRule type="duplicateValues" dxfId="5601" priority="8929"/>
    <cfRule type="duplicateValues" dxfId="5600" priority="8930"/>
    <cfRule type="expression" dxfId="5599" priority="8931">
      <formula>_xlfn.ISFORMULA(H131)=TRUE</formula>
    </cfRule>
    <cfRule type="duplicateValues" dxfId="5598" priority="8932"/>
    <cfRule type="expression" dxfId="5597" priority="8528">
      <formula>_xlfn.ISFORMULA(H131)=TRUE</formula>
    </cfRule>
    <cfRule type="expression" dxfId="5596" priority="8526">
      <formula>_xlfn.ISFORMULA(H131)=TRUE</formula>
    </cfRule>
    <cfRule type="duplicateValues" dxfId="5595" priority="8525"/>
    <cfRule type="expression" dxfId="5594" priority="9032">
      <formula>_xlfn.ISFORMULA(H131)=TRUE</formula>
    </cfRule>
    <cfRule type="duplicateValues" dxfId="5593" priority="9031"/>
    <cfRule type="expression" dxfId="5592" priority="9030">
      <formula>_xlfn.ISFORMULA(H131)=TRUE</formula>
    </cfRule>
    <cfRule type="duplicateValues" dxfId="5591" priority="9028"/>
    <cfRule type="expression" dxfId="5590" priority="9044">
      <formula>_xlfn.ISFORMULA(H131)=TRUE</formula>
    </cfRule>
    <cfRule type="duplicateValues" dxfId="5589" priority="9043"/>
    <cfRule type="duplicateValues" dxfId="5588" priority="9027"/>
    <cfRule type="expression" dxfId="5587" priority="9020">
      <formula>_xlfn.ISFORMULA(H131)=TRUE</formula>
    </cfRule>
    <cfRule type="duplicateValues" dxfId="5586" priority="9019"/>
    <cfRule type="expression" dxfId="5585" priority="9018">
      <formula>_xlfn.ISFORMULA(H131)=TRUE</formula>
    </cfRule>
    <cfRule type="duplicateValues" dxfId="5584" priority="9040"/>
    <cfRule type="duplicateValues" dxfId="5583" priority="9039"/>
    <cfRule type="duplicateValues" dxfId="5582" priority="8524"/>
    <cfRule type="duplicateValues" dxfId="5581" priority="8523"/>
    <cfRule type="duplicateValues" dxfId="5580" priority="9017"/>
    <cfRule type="duplicateValues" dxfId="5579" priority="9029"/>
    <cfRule type="duplicateValues" dxfId="5578" priority="8527"/>
    <cfRule type="expression" dxfId="5577" priority="9042">
      <formula>_xlfn.ISFORMULA(H131)=TRUE</formula>
    </cfRule>
    <cfRule type="duplicateValues" dxfId="5576" priority="9041"/>
    <cfRule type="duplicateValues" dxfId="5575" priority="9015"/>
    <cfRule type="duplicateValues" dxfId="5574" priority="9016"/>
    <cfRule type="expression" dxfId="5573" priority="9062">
      <formula>_xlfn.ISFORMULA(H131)=TRUE</formula>
    </cfRule>
    <cfRule type="duplicateValues" dxfId="5572" priority="9061"/>
    <cfRule type="expression" dxfId="5571" priority="9060">
      <formula>_xlfn.ISFORMULA(H131)=TRUE</formula>
    </cfRule>
    <cfRule type="duplicateValues" dxfId="5570" priority="9059"/>
    <cfRule type="duplicateValues" dxfId="5569" priority="9058"/>
    <cfRule type="duplicateValues" dxfId="5568" priority="9057"/>
    <cfRule type="duplicateValues" dxfId="5567" priority="8944"/>
    <cfRule type="expression" dxfId="5566" priority="8943">
      <formula>_xlfn.ISFORMULA(H131)=TRUE</formula>
    </cfRule>
    <cfRule type="duplicateValues" dxfId="5565" priority="8942"/>
    <cfRule type="duplicateValues" dxfId="5564" priority="4103"/>
    <cfRule type="expression" dxfId="5563" priority="4102">
      <formula>_xlfn.ISFORMULA(H131)=TRUE</formula>
    </cfRule>
    <cfRule type="duplicateValues" dxfId="5562" priority="4101"/>
    <cfRule type="duplicateValues" dxfId="5561" priority="4100"/>
    <cfRule type="duplicateValues" dxfId="5560" priority="4099"/>
    <cfRule type="expression" dxfId="5559" priority="8610">
      <formula>_xlfn.ISFORMULA(H131)=TRUE</formula>
    </cfRule>
    <cfRule type="duplicateValues" dxfId="5558" priority="8941"/>
    <cfRule type="duplicateValues" dxfId="5557" priority="8940"/>
    <cfRule type="expression" dxfId="5556" priority="3911">
      <formula>_xlfn.ISFORMULA(H131)=TRUE</formula>
    </cfRule>
    <cfRule type="duplicateValues" dxfId="5555" priority="3910"/>
    <cfRule type="expression" dxfId="5554" priority="3905">
      <formula>_xlfn.ISFORMULA(H131)=TRUE</formula>
    </cfRule>
    <cfRule type="expression" dxfId="5553" priority="4092">
      <formula>_xlfn.ISFORMULA(H131)=TRUE</formula>
    </cfRule>
    <cfRule type="expression" dxfId="5552" priority="3909">
      <formula>_xlfn.ISFORMULA(H131)=TRUE</formula>
    </cfRule>
    <cfRule type="duplicateValues" dxfId="5551" priority="3908"/>
    <cfRule type="duplicateValues" dxfId="5550" priority="3907"/>
    <cfRule type="duplicateValues" dxfId="5549" priority="3906"/>
    <cfRule type="duplicateValues" dxfId="5548" priority="3904"/>
    <cfRule type="expression" dxfId="5547" priority="3903">
      <formula>_xlfn.ISFORMULA(H131)=TRUE</formula>
    </cfRule>
    <cfRule type="duplicateValues" dxfId="5546" priority="4091"/>
    <cfRule type="expression" dxfId="5545" priority="4090">
      <formula>_xlfn.ISFORMULA(H131)=TRUE</formula>
    </cfRule>
    <cfRule type="duplicateValues" dxfId="5544" priority="4089"/>
    <cfRule type="duplicateValues" dxfId="5543" priority="4088"/>
    <cfRule type="duplicateValues" dxfId="5542" priority="4087"/>
    <cfRule type="expression" dxfId="5541" priority="4104">
      <formula>_xlfn.ISFORMULA(H131)=TRUE</formula>
    </cfRule>
    <cfRule type="duplicateValues" dxfId="5540" priority="3902"/>
    <cfRule type="duplicateValues" dxfId="5539" priority="3901"/>
    <cfRule type="duplicateValues" dxfId="5538" priority="3900"/>
    <cfRule type="expression" dxfId="5537" priority="3899">
      <formula>_xlfn.ISFORMULA(H131)=TRUE</formula>
    </cfRule>
    <cfRule type="duplicateValues" dxfId="5536" priority="3898"/>
    <cfRule type="expression" dxfId="5535" priority="3897">
      <formula>_xlfn.ISFORMULA(H131)=TRUE</formula>
    </cfRule>
    <cfRule type="duplicateValues" dxfId="5534" priority="3896"/>
    <cfRule type="duplicateValues" dxfId="5533" priority="3895"/>
    <cfRule type="duplicateValues" dxfId="5532" priority="3894"/>
    <cfRule type="expression" dxfId="5531" priority="3893">
      <formula>_xlfn.ISFORMULA(H131)=TRUE</formula>
    </cfRule>
    <cfRule type="duplicateValues" dxfId="5530" priority="3892"/>
    <cfRule type="expression" dxfId="5529" priority="3891">
      <formula>_xlfn.ISFORMULA(H131)=TRUE</formula>
    </cfRule>
    <cfRule type="duplicateValues" dxfId="5528" priority="3890"/>
    <cfRule type="duplicateValues" dxfId="5527" priority="3889"/>
    <cfRule type="duplicateValues" dxfId="5526" priority="8922"/>
    <cfRule type="duplicateValues" dxfId="5525" priority="8923"/>
    <cfRule type="expression" dxfId="5524" priority="8957">
      <formula>_xlfn.ISFORMULA(H131)=TRUE</formula>
    </cfRule>
    <cfRule type="duplicateValues" dxfId="5523" priority="8956"/>
    <cfRule type="expression" dxfId="5522" priority="8955">
      <formula>_xlfn.ISFORMULA(H131)=TRUE</formula>
    </cfRule>
    <cfRule type="duplicateValues" dxfId="5521" priority="8954"/>
    <cfRule type="duplicateValues" dxfId="5520" priority="8953"/>
    <cfRule type="duplicateValues" dxfId="5519" priority="8952"/>
    <cfRule type="expression" dxfId="5518" priority="8945">
      <formula>_xlfn.ISFORMULA(H131)=TRUE</formula>
    </cfRule>
    <cfRule type="expression" dxfId="5517" priority="8933">
      <formula>_xlfn.ISFORMULA(H131)=TRUE</formula>
    </cfRule>
  </conditionalFormatting>
  <conditionalFormatting sqref="H132">
    <cfRule type="duplicateValues" dxfId="5516" priority="4061"/>
    <cfRule type="expression" dxfId="5515" priority="4060">
      <formula>_xlfn.ISFORMULA(H132)=TRUE</formula>
    </cfRule>
    <cfRule type="duplicateValues" dxfId="5514" priority="4059"/>
    <cfRule type="duplicateValues" dxfId="5513" priority="4058"/>
    <cfRule type="duplicateValues" dxfId="5512" priority="4057"/>
    <cfRule type="expression" dxfId="5511" priority="4056">
      <formula>_xlfn.ISFORMULA(H132)=TRUE</formula>
    </cfRule>
    <cfRule type="duplicateValues" dxfId="5510" priority="4055"/>
    <cfRule type="expression" dxfId="5509" priority="4054">
      <formula>_xlfn.ISFORMULA(H132)=TRUE</formula>
    </cfRule>
    <cfRule type="duplicateValues" dxfId="5508" priority="4053"/>
    <cfRule type="duplicateValues" dxfId="5507" priority="4052"/>
    <cfRule type="duplicateValues" dxfId="5506" priority="4051"/>
    <cfRule type="duplicateValues" dxfId="5505" priority="3964"/>
    <cfRule type="expression" dxfId="5504" priority="4050">
      <formula>_xlfn.ISFORMULA(H132)=TRUE</formula>
    </cfRule>
    <cfRule type="duplicateValues" dxfId="5503" priority="4049"/>
    <cfRule type="expression" dxfId="5502" priority="4048">
      <formula>_xlfn.ISFORMULA(H132)=TRUE</formula>
    </cfRule>
    <cfRule type="duplicateValues" dxfId="5501" priority="4047"/>
    <cfRule type="duplicateValues" dxfId="5500" priority="4046"/>
    <cfRule type="duplicateValues" dxfId="5499" priority="4045"/>
    <cfRule type="expression" dxfId="5498" priority="4044">
      <formula>_xlfn.ISFORMULA(H132)=TRUE</formula>
    </cfRule>
    <cfRule type="duplicateValues" dxfId="5497" priority="4043"/>
    <cfRule type="expression" dxfId="5496" priority="4042">
      <formula>_xlfn.ISFORMULA(H132)=TRUE</formula>
    </cfRule>
    <cfRule type="duplicateValues" dxfId="5495" priority="4041"/>
    <cfRule type="duplicateValues" dxfId="5494" priority="4040"/>
    <cfRule type="duplicateValues" dxfId="5493" priority="4039"/>
    <cfRule type="expression" dxfId="5492" priority="8989">
      <formula>_xlfn.ISFORMULA(H132)=TRUE</formula>
    </cfRule>
    <cfRule type="duplicateValues" dxfId="5491" priority="8988"/>
    <cfRule type="duplicateValues" dxfId="5490" priority="8987"/>
    <cfRule type="duplicateValues" dxfId="5489" priority="8986"/>
    <cfRule type="duplicateValues" dxfId="5488" priority="8985"/>
    <cfRule type="expression" dxfId="5487" priority="8909">
      <formula>_xlfn.ISFORMULA(H132)=TRUE</formula>
    </cfRule>
    <cfRule type="duplicateValues" dxfId="5486" priority="8908"/>
    <cfRule type="expression" dxfId="5485" priority="8907">
      <formula>_xlfn.ISFORMULA(H132)=TRUE</formula>
    </cfRule>
    <cfRule type="duplicateValues" dxfId="5484" priority="8906"/>
    <cfRule type="duplicateValues" dxfId="5483" priority="8905"/>
    <cfRule type="duplicateValues" dxfId="5482" priority="8904"/>
    <cfRule type="expression" dxfId="5481" priority="8675">
      <formula>_xlfn.ISFORMULA(H132)=TRUE</formula>
    </cfRule>
    <cfRule type="duplicateValues" dxfId="5480" priority="8674"/>
    <cfRule type="expression" dxfId="5479" priority="8673">
      <formula>_xlfn.ISFORMULA(H132)=TRUE</formula>
    </cfRule>
    <cfRule type="duplicateValues" dxfId="5478" priority="8672"/>
    <cfRule type="duplicateValues" dxfId="5477" priority="8671"/>
    <cfRule type="duplicateValues" dxfId="5476" priority="8670"/>
    <cfRule type="expression" dxfId="5475" priority="8570">
      <formula>_xlfn.ISFORMULA(H132)=TRUE</formula>
    </cfRule>
    <cfRule type="duplicateValues" dxfId="5474" priority="8569"/>
    <cfRule type="expression" dxfId="5473" priority="8568">
      <formula>_xlfn.ISFORMULA(H132)=TRUE</formula>
    </cfRule>
    <cfRule type="duplicateValues" dxfId="5472" priority="8567"/>
    <cfRule type="duplicateValues" dxfId="5471" priority="8566"/>
    <cfRule type="duplicateValues" dxfId="5470" priority="8565"/>
    <cfRule type="expression" dxfId="5469" priority="8558">
      <formula>_xlfn.ISFORMULA(H132)=TRUE</formula>
    </cfRule>
    <cfRule type="duplicateValues" dxfId="5468" priority="8557"/>
    <cfRule type="expression" dxfId="5467" priority="8556">
      <formula>_xlfn.ISFORMULA(H132)=TRUE</formula>
    </cfRule>
    <cfRule type="duplicateValues" dxfId="5466" priority="8555"/>
    <cfRule type="duplicateValues" dxfId="5465" priority="8554"/>
    <cfRule type="duplicateValues" dxfId="5464" priority="8553"/>
    <cfRule type="expression" dxfId="5463" priority="3965">
      <formula>_xlfn.ISFORMULA(H132)=TRUE</formula>
    </cfRule>
    <cfRule type="expression" dxfId="5462" priority="3984">
      <formula>_xlfn.ISFORMULA(H132)=TRUE</formula>
    </cfRule>
    <cfRule type="duplicateValues" dxfId="5461" priority="3983"/>
    <cfRule type="expression" dxfId="5460" priority="3982">
      <formula>_xlfn.ISFORMULA(H132)=TRUE</formula>
    </cfRule>
    <cfRule type="duplicateValues" dxfId="5459" priority="3981"/>
    <cfRule type="duplicateValues" dxfId="5458" priority="3980"/>
    <cfRule type="duplicateValues" dxfId="5457" priority="3979"/>
    <cfRule type="expression" dxfId="5456" priority="8991">
      <formula>_xlfn.ISFORMULA(H132)=TRUE</formula>
    </cfRule>
    <cfRule type="duplicateValues" dxfId="5455" priority="8990"/>
    <cfRule type="expression" dxfId="5454" priority="4062">
      <formula>_xlfn.ISFORMULA(H132)=TRUE</formula>
    </cfRule>
  </conditionalFormatting>
  <conditionalFormatting sqref="H133">
    <cfRule type="expression" dxfId="5453" priority="8504">
      <formula>_xlfn.ISFORMULA(H133)=TRUE</formula>
    </cfRule>
    <cfRule type="expression" dxfId="5452" priority="9056">
      <formula>_xlfn.ISFORMULA(H133)=TRUE</formula>
    </cfRule>
    <cfRule type="duplicateValues" dxfId="5451" priority="9055"/>
    <cfRule type="expression" dxfId="5450" priority="9054">
      <formula>_xlfn.ISFORMULA(H133)=TRUE</formula>
    </cfRule>
    <cfRule type="duplicateValues" dxfId="5449" priority="9053"/>
    <cfRule type="duplicateValues" dxfId="5448" priority="9052"/>
    <cfRule type="duplicateValues" dxfId="5447" priority="9051"/>
    <cfRule type="duplicateValues" dxfId="5446" priority="8513"/>
    <cfRule type="duplicateValues" dxfId="5445" priority="8512"/>
    <cfRule type="duplicateValues" dxfId="5444" priority="8511"/>
    <cfRule type="expression" dxfId="5443" priority="8510">
      <formula>_xlfn.ISFORMULA(H133)=TRUE</formula>
    </cfRule>
    <cfRule type="duplicateValues" dxfId="5442" priority="8509"/>
    <cfRule type="expression" dxfId="5441" priority="8508">
      <formula>_xlfn.ISFORMULA(H133)=TRUE</formula>
    </cfRule>
    <cfRule type="duplicateValues" dxfId="5440" priority="8507"/>
    <cfRule type="duplicateValues" dxfId="5439" priority="8506"/>
    <cfRule type="duplicateValues" dxfId="5438" priority="8505"/>
    <cfRule type="expression" dxfId="5437" priority="8514">
      <formula>_xlfn.ISFORMULA(H133)=TRUE</formula>
    </cfRule>
    <cfRule type="duplicateValues" dxfId="5436" priority="8503"/>
    <cfRule type="expression" dxfId="5435" priority="8502">
      <formula>_xlfn.ISFORMULA(H133)=TRUE</formula>
    </cfRule>
    <cfRule type="duplicateValues" dxfId="5434" priority="8501"/>
    <cfRule type="duplicateValues" dxfId="5433" priority="8500"/>
    <cfRule type="duplicateValues" dxfId="5432" priority="8499"/>
    <cfRule type="duplicateValues" dxfId="5431" priority="4137"/>
    <cfRule type="duplicateValues" dxfId="5430" priority="3864"/>
    <cfRule type="duplicateValues" dxfId="5429" priority="4136"/>
    <cfRule type="expression" dxfId="5428" priority="4141">
      <formula>_xlfn.ISFORMULA(H133)=TRUE</formula>
    </cfRule>
    <cfRule type="duplicateValues" dxfId="5427" priority="4140"/>
    <cfRule type="expression" dxfId="5426" priority="4139">
      <formula>_xlfn.ISFORMULA(H133)=TRUE</formula>
    </cfRule>
    <cfRule type="duplicateValues" dxfId="5425" priority="4138"/>
    <cfRule type="duplicateValues" dxfId="5424" priority="3865"/>
    <cfRule type="duplicateValues" dxfId="5423" priority="3866"/>
    <cfRule type="expression" dxfId="5422" priority="3867">
      <formula>_xlfn.ISFORMULA(H133)=TRUE</formula>
    </cfRule>
    <cfRule type="duplicateValues" dxfId="5421" priority="3868"/>
    <cfRule type="expression" dxfId="5420" priority="3869">
      <formula>_xlfn.ISFORMULA(H133)=TRUE</formula>
    </cfRule>
    <cfRule type="duplicateValues" dxfId="5419" priority="3870"/>
    <cfRule type="duplicateValues" dxfId="5418" priority="3871"/>
    <cfRule type="duplicateValues" dxfId="5417" priority="3872"/>
    <cfRule type="expression" dxfId="5416" priority="4116">
      <formula>_xlfn.ISFORMULA(H133)=TRUE</formula>
    </cfRule>
    <cfRule type="duplicateValues" dxfId="5415" priority="4115"/>
    <cfRule type="expression" dxfId="5414" priority="3873">
      <formula>_xlfn.ISFORMULA(H133)=TRUE</formula>
    </cfRule>
    <cfRule type="duplicateValues" dxfId="5413" priority="3874"/>
    <cfRule type="duplicateValues" dxfId="5412" priority="3876"/>
    <cfRule type="duplicateValues" dxfId="5411" priority="3877"/>
    <cfRule type="duplicateValues" dxfId="5410" priority="3878"/>
    <cfRule type="expression" dxfId="5409" priority="3879">
      <formula>_xlfn.ISFORMULA(H133)=TRUE</formula>
    </cfRule>
    <cfRule type="duplicateValues" dxfId="5408" priority="3880"/>
    <cfRule type="expression" dxfId="5407" priority="3881">
      <formula>_xlfn.ISFORMULA(H133)=TRUE</formula>
    </cfRule>
    <cfRule type="duplicateValues" dxfId="5406" priority="3882"/>
    <cfRule type="duplicateValues" dxfId="5405" priority="3883"/>
    <cfRule type="duplicateValues" dxfId="5404" priority="3884"/>
    <cfRule type="expression" dxfId="5403" priority="3885">
      <formula>_xlfn.ISFORMULA(H133)=TRUE</formula>
    </cfRule>
    <cfRule type="duplicateValues" dxfId="5402" priority="3886"/>
    <cfRule type="expression" dxfId="5401" priority="3887">
      <formula>_xlfn.ISFORMULA(H133)=TRUE</formula>
    </cfRule>
    <cfRule type="expression" dxfId="5400" priority="8951">
      <formula>_xlfn.ISFORMULA(H133)=TRUE</formula>
    </cfRule>
    <cfRule type="duplicateValues" dxfId="5399" priority="8950"/>
    <cfRule type="expression" dxfId="5398" priority="8949">
      <formula>_xlfn.ISFORMULA(H133)=TRUE</formula>
    </cfRule>
    <cfRule type="duplicateValues" dxfId="5397" priority="8948"/>
    <cfRule type="duplicateValues" dxfId="5396" priority="8947"/>
    <cfRule type="duplicateValues" dxfId="5395" priority="8946"/>
    <cfRule type="expression" dxfId="5394" priority="8939">
      <formula>_xlfn.ISFORMULA(H133)=TRUE</formula>
    </cfRule>
    <cfRule type="duplicateValues" dxfId="5393" priority="8938"/>
    <cfRule type="expression" dxfId="5392" priority="8937">
      <formula>_xlfn.ISFORMULA(H133)=TRUE</formula>
    </cfRule>
    <cfRule type="duplicateValues" dxfId="5391" priority="8936"/>
    <cfRule type="duplicateValues" dxfId="5390" priority="8935"/>
    <cfRule type="duplicateValues" dxfId="5389" priority="8934"/>
    <cfRule type="expression" dxfId="5388" priority="3875">
      <formula>_xlfn.ISFORMULA(H133)=TRUE</formula>
    </cfRule>
    <cfRule type="expression" dxfId="5387" priority="8522">
      <formula>_xlfn.ISFORMULA(H133)=TRUE</formula>
    </cfRule>
    <cfRule type="duplicateValues" dxfId="5386" priority="8521"/>
    <cfRule type="expression" dxfId="5385" priority="8520">
      <formula>_xlfn.ISFORMULA(H133)=TRUE</formula>
    </cfRule>
    <cfRule type="duplicateValues" dxfId="5384" priority="8519"/>
    <cfRule type="duplicateValues" dxfId="5383" priority="8518"/>
    <cfRule type="duplicateValues" dxfId="5382" priority="8517"/>
    <cfRule type="expression" dxfId="5381" priority="8516">
      <formula>_xlfn.ISFORMULA(H133)=TRUE</formula>
    </cfRule>
    <cfRule type="duplicateValues" dxfId="5380" priority="8515"/>
  </conditionalFormatting>
  <conditionalFormatting sqref="H134">
    <cfRule type="expression" dxfId="5379" priority="4036">
      <formula>_xlfn.ISFORMULA(H134)=TRUE</formula>
    </cfRule>
    <cfRule type="duplicateValues" dxfId="5378" priority="4035"/>
    <cfRule type="duplicateValues" dxfId="5377" priority="4034"/>
    <cfRule type="duplicateValues" dxfId="5376" priority="4033"/>
    <cfRule type="expression" dxfId="5375" priority="4032">
      <formula>_xlfn.ISFORMULA(H134)=TRUE</formula>
    </cfRule>
    <cfRule type="duplicateValues" dxfId="5374" priority="4031"/>
    <cfRule type="duplicateValues" dxfId="5373" priority="4022"/>
    <cfRule type="duplicateValues" dxfId="5372" priority="4021"/>
    <cfRule type="expression" dxfId="5371" priority="4020">
      <formula>_xlfn.ISFORMULA(H134)=TRUE</formula>
    </cfRule>
    <cfRule type="duplicateValues" dxfId="5370" priority="4019"/>
    <cfRule type="expression" dxfId="5369" priority="4030">
      <formula>_xlfn.ISFORMULA(H134)=TRUE</formula>
    </cfRule>
    <cfRule type="duplicateValues" dxfId="5368" priority="4029"/>
    <cfRule type="duplicateValues" dxfId="5367" priority="4028"/>
    <cfRule type="duplicateValues" dxfId="5366" priority="4027"/>
    <cfRule type="duplicateValues" dxfId="5365" priority="4023"/>
    <cfRule type="expression" dxfId="5364" priority="4026">
      <formula>_xlfn.ISFORMULA(H134)=TRUE</formula>
    </cfRule>
    <cfRule type="duplicateValues" dxfId="5363" priority="8880"/>
    <cfRule type="duplicateValues" dxfId="5362" priority="8881"/>
    <cfRule type="duplicateValues" dxfId="5361" priority="8882"/>
    <cfRule type="expression" dxfId="5360" priority="8883">
      <formula>_xlfn.ISFORMULA(H134)=TRUE</formula>
    </cfRule>
    <cfRule type="duplicateValues" dxfId="5359" priority="8884"/>
    <cfRule type="expression" dxfId="5358" priority="8885">
      <formula>_xlfn.ISFORMULA(H134)=TRUE</formula>
    </cfRule>
    <cfRule type="duplicateValues" dxfId="5357" priority="8886"/>
    <cfRule type="duplicateValues" dxfId="5356" priority="8887"/>
    <cfRule type="duplicateValues" dxfId="5355" priority="8629"/>
    <cfRule type="expression" dxfId="5354" priority="8889">
      <formula>_xlfn.ISFORMULA(H134)=TRUE</formula>
    </cfRule>
    <cfRule type="duplicateValues" dxfId="5353" priority="8890"/>
    <cfRule type="expression" dxfId="5352" priority="8891">
      <formula>_xlfn.ISFORMULA(H134)=TRUE</formula>
    </cfRule>
    <cfRule type="duplicateValues" dxfId="5351" priority="8892"/>
    <cfRule type="duplicateValues" dxfId="5350" priority="8893"/>
    <cfRule type="expression" dxfId="5349" priority="8895">
      <formula>_xlfn.ISFORMULA(H134)=TRUE</formula>
    </cfRule>
    <cfRule type="duplicateValues" dxfId="5348" priority="8896"/>
    <cfRule type="expression" dxfId="5347" priority="8897">
      <formula>_xlfn.ISFORMULA(H134)=TRUE</formula>
    </cfRule>
    <cfRule type="duplicateValues" dxfId="5346" priority="8898"/>
    <cfRule type="duplicateValues" dxfId="5345" priority="8899"/>
    <cfRule type="expression" dxfId="5344" priority="4018">
      <formula>_xlfn.ISFORMULA(H134)=TRUE</formula>
    </cfRule>
    <cfRule type="duplicateValues" dxfId="5343" priority="4017"/>
    <cfRule type="duplicateValues" dxfId="5342" priority="4016"/>
    <cfRule type="duplicateValues" dxfId="5341" priority="4015"/>
    <cfRule type="duplicateValues" dxfId="5340" priority="3962"/>
    <cfRule type="expression" dxfId="5339" priority="3963">
      <formula>_xlfn.ISFORMULA(H134)=TRUE</formula>
    </cfRule>
    <cfRule type="duplicateValues" dxfId="5338" priority="8900"/>
    <cfRule type="expression" dxfId="5337" priority="8901">
      <formula>_xlfn.ISFORMULA(H134)=TRUE</formula>
    </cfRule>
    <cfRule type="duplicateValues" dxfId="5336" priority="8894"/>
    <cfRule type="duplicateValues" dxfId="5335" priority="8632"/>
    <cfRule type="expression" dxfId="5334" priority="8631">
      <formula>_xlfn.ISFORMULA(H134)=TRUE</formula>
    </cfRule>
    <cfRule type="duplicateValues" dxfId="5333" priority="8630"/>
    <cfRule type="duplicateValues" dxfId="5332" priority="8902"/>
    <cfRule type="duplicateValues" dxfId="5331" priority="8628"/>
    <cfRule type="expression" dxfId="5330" priority="8585">
      <formula>_xlfn.ISFORMULA(H134)=TRUE</formula>
    </cfRule>
    <cfRule type="duplicateValues" dxfId="5329" priority="8584"/>
    <cfRule type="expression" dxfId="5328" priority="8903">
      <formula>_xlfn.ISFORMULA(H134)=TRUE</formula>
    </cfRule>
    <cfRule type="duplicateValues" dxfId="5327" priority="8888"/>
    <cfRule type="duplicateValues" dxfId="5326" priority="3960"/>
    <cfRule type="duplicateValues" dxfId="5325" priority="4025"/>
    <cfRule type="expression" dxfId="5324" priority="4024">
      <formula>_xlfn.ISFORMULA(H134)=TRUE</formula>
    </cfRule>
    <cfRule type="expression" dxfId="5323" priority="3961">
      <formula>_xlfn.ISFORMULA(H134)=TRUE</formula>
    </cfRule>
    <cfRule type="expression" dxfId="5322" priority="4038">
      <formula>_xlfn.ISFORMULA(H134)=TRUE</formula>
    </cfRule>
    <cfRule type="duplicateValues" dxfId="5321" priority="4037"/>
    <cfRule type="expression" dxfId="5320" priority="8633">
      <formula>_xlfn.ISFORMULA(H134)=TRUE</formula>
    </cfRule>
  </conditionalFormatting>
  <conditionalFormatting sqref="H135">
    <cfRule type="expression" dxfId="5319" priority="8486">
      <formula>_xlfn.ISFORMULA(H135)=TRUE</formula>
    </cfRule>
    <cfRule type="duplicateValues" dxfId="5318" priority="8487"/>
    <cfRule type="duplicateValues" dxfId="5317" priority="8488"/>
    <cfRule type="duplicateValues" dxfId="5316" priority="8489"/>
    <cfRule type="expression" dxfId="5315" priority="8490">
      <formula>_xlfn.ISFORMULA(H135)=TRUE</formula>
    </cfRule>
    <cfRule type="expression" dxfId="5314" priority="8492">
      <formula>_xlfn.ISFORMULA(H135)=TRUE</formula>
    </cfRule>
    <cfRule type="duplicateValues" dxfId="5313" priority="8493"/>
    <cfRule type="duplicateValues" dxfId="5312" priority="8494"/>
    <cfRule type="duplicateValues" dxfId="5311" priority="8495"/>
    <cfRule type="expression" dxfId="5310" priority="8496">
      <formula>_xlfn.ISFORMULA(H135)=TRUE</formula>
    </cfRule>
    <cfRule type="duplicateValues" dxfId="5309" priority="8497"/>
    <cfRule type="expression" dxfId="5308" priority="8498">
      <formula>_xlfn.ISFORMULA(H135)=TRUE</formula>
    </cfRule>
    <cfRule type="expression" dxfId="5307" priority="3863">
      <formula>_xlfn.ISFORMULA(H135)=TRUE</formula>
    </cfRule>
    <cfRule type="duplicateValues" dxfId="5306" priority="3862"/>
    <cfRule type="expression" dxfId="5305" priority="3861">
      <formula>_xlfn.ISFORMULA(H135)=TRUE</formula>
    </cfRule>
    <cfRule type="duplicateValues" dxfId="5304" priority="3860"/>
    <cfRule type="duplicateValues" dxfId="5303" priority="3859"/>
    <cfRule type="duplicateValues" dxfId="5302" priority="3858"/>
    <cfRule type="expression" dxfId="5301" priority="3857">
      <formula>_xlfn.ISFORMULA(H135)=TRUE</formula>
    </cfRule>
    <cfRule type="duplicateValues" dxfId="5300" priority="3856"/>
    <cfRule type="expression" dxfId="5299" priority="3855">
      <formula>_xlfn.ISFORMULA(H135)=TRUE</formula>
    </cfRule>
    <cfRule type="duplicateValues" dxfId="5298" priority="3854"/>
    <cfRule type="duplicateValues" dxfId="5297" priority="3853"/>
    <cfRule type="duplicateValues" dxfId="5296" priority="3852"/>
    <cfRule type="expression" dxfId="5295" priority="3851">
      <formula>_xlfn.ISFORMULA(H135)=TRUE</formula>
    </cfRule>
    <cfRule type="duplicateValues" dxfId="5294" priority="3850"/>
    <cfRule type="expression" dxfId="5293" priority="3849">
      <formula>_xlfn.ISFORMULA(H135)=TRUE</formula>
    </cfRule>
    <cfRule type="duplicateValues" dxfId="5292" priority="3848"/>
    <cfRule type="duplicateValues" dxfId="5291" priority="3847"/>
    <cfRule type="duplicateValues" dxfId="5290" priority="3846"/>
    <cfRule type="expression" dxfId="5289" priority="3845">
      <formula>_xlfn.ISFORMULA(H135)=TRUE</formula>
    </cfRule>
    <cfRule type="duplicateValues" dxfId="5288" priority="3844"/>
    <cfRule type="expression" dxfId="5287" priority="3843">
      <formula>_xlfn.ISFORMULA(H135)=TRUE</formula>
    </cfRule>
    <cfRule type="duplicateValues" dxfId="5286" priority="3842"/>
    <cfRule type="duplicateValues" dxfId="5285" priority="8965"/>
    <cfRule type="expression" dxfId="5284" priority="8966">
      <formula>_xlfn.ISFORMULA(H135)=TRUE</formula>
    </cfRule>
    <cfRule type="duplicateValues" dxfId="5283" priority="3841"/>
    <cfRule type="duplicateValues" dxfId="5282" priority="3840"/>
    <cfRule type="expression" dxfId="5281" priority="4114">
      <formula>_xlfn.ISFORMULA(H135)=TRUE</formula>
    </cfRule>
    <cfRule type="duplicateValues" dxfId="5280" priority="4113"/>
    <cfRule type="expression" dxfId="5279" priority="4112">
      <formula>_xlfn.ISFORMULA(H135)=TRUE</formula>
    </cfRule>
    <cfRule type="duplicateValues" dxfId="5278" priority="4111"/>
    <cfRule type="expression" dxfId="5277" priority="3821">
      <formula>_xlfn.ISFORMULA(H135)=TRUE</formula>
    </cfRule>
    <cfRule type="duplicateValues" dxfId="5276" priority="3820"/>
    <cfRule type="expression" dxfId="5275" priority="3819">
      <formula>_xlfn.ISFORMULA(H135)=TRUE</formula>
    </cfRule>
    <cfRule type="duplicateValues" dxfId="5274" priority="3818"/>
    <cfRule type="duplicateValues" dxfId="5273" priority="3817"/>
    <cfRule type="duplicateValues" dxfId="5272" priority="3816"/>
    <cfRule type="duplicateValues" dxfId="5271" priority="8491"/>
    <cfRule type="expression" dxfId="5270" priority="9014">
      <formula>_xlfn.ISFORMULA(H135)=TRUE</formula>
    </cfRule>
    <cfRule type="duplicateValues" dxfId="5269" priority="9013"/>
    <cfRule type="expression" dxfId="5268" priority="9012">
      <formula>_xlfn.ISFORMULA(H135)=TRUE</formula>
    </cfRule>
    <cfRule type="duplicateValues" dxfId="5267" priority="9011"/>
    <cfRule type="duplicateValues" dxfId="5266" priority="9010"/>
    <cfRule type="duplicateValues" dxfId="5265" priority="9009"/>
    <cfRule type="duplicateValues" dxfId="5264" priority="8475"/>
    <cfRule type="duplicateValues" dxfId="5263" priority="8476"/>
    <cfRule type="duplicateValues" dxfId="5262" priority="8477"/>
    <cfRule type="expression" dxfId="5261" priority="8478">
      <formula>_xlfn.ISFORMULA(H135)=TRUE</formula>
    </cfRule>
    <cfRule type="duplicateValues" dxfId="5260" priority="8479"/>
    <cfRule type="expression" dxfId="5259" priority="8480">
      <formula>_xlfn.ISFORMULA(H135)=TRUE</formula>
    </cfRule>
    <cfRule type="duplicateValues" dxfId="5258" priority="8481"/>
    <cfRule type="duplicateValues" dxfId="5257" priority="8482"/>
    <cfRule type="duplicateValues" dxfId="5256" priority="8483"/>
    <cfRule type="expression" dxfId="5255" priority="8484">
      <formula>_xlfn.ISFORMULA(H135)=TRUE</formula>
    </cfRule>
    <cfRule type="duplicateValues" dxfId="5254" priority="8485"/>
  </conditionalFormatting>
  <conditionalFormatting sqref="H136 H132 H134">
    <cfRule type="duplicateValues" dxfId="5253" priority="8577"/>
    <cfRule type="duplicateValues" dxfId="5252" priority="8579"/>
    <cfRule type="duplicateValues" dxfId="5251" priority="8578"/>
  </conditionalFormatting>
  <conditionalFormatting sqref="H136">
    <cfRule type="duplicateValues" dxfId="5250" priority="8864"/>
    <cfRule type="expression" dxfId="5249" priority="3825">
      <formula>_xlfn.ISFORMULA(H136)=TRUE</formula>
    </cfRule>
    <cfRule type="duplicateValues" dxfId="5248" priority="8580"/>
    <cfRule type="duplicateValues" dxfId="5247" priority="3822"/>
    <cfRule type="duplicateValues" dxfId="5246" priority="3823"/>
    <cfRule type="duplicateValues" dxfId="5245" priority="3824"/>
    <cfRule type="expression" dxfId="5244" priority="3827">
      <formula>_xlfn.ISFORMULA(H136)=TRUE</formula>
    </cfRule>
    <cfRule type="duplicateValues" dxfId="5243" priority="8860"/>
    <cfRule type="expression" dxfId="5242" priority="8583">
      <formula>_xlfn.ISFORMULA(H136)=TRUE</formula>
    </cfRule>
    <cfRule type="duplicateValues" dxfId="5241" priority="8582"/>
    <cfRule type="duplicateValues" dxfId="5240" priority="8856"/>
    <cfRule type="duplicateValues" dxfId="5239" priority="8857"/>
    <cfRule type="duplicateValues" dxfId="5238" priority="8858"/>
    <cfRule type="expression" dxfId="5237" priority="8859">
      <formula>_xlfn.ISFORMULA(H136)=TRUE</formula>
    </cfRule>
    <cfRule type="expression" dxfId="5236" priority="8861">
      <formula>_xlfn.ISFORMULA(H136)=TRUE</formula>
    </cfRule>
    <cfRule type="duplicateValues" dxfId="5235" priority="8862"/>
    <cfRule type="duplicateValues" dxfId="5234" priority="8863"/>
    <cfRule type="expression" dxfId="5233" priority="8581">
      <formula>_xlfn.ISFORMULA(H136)=TRUE</formula>
    </cfRule>
    <cfRule type="expression" dxfId="5232" priority="8865">
      <formula>_xlfn.ISFORMULA(H136)=TRUE</formula>
    </cfRule>
    <cfRule type="duplicateValues" dxfId="5231" priority="8866"/>
    <cfRule type="expression" dxfId="5230" priority="8867">
      <formula>_xlfn.ISFORMULA(H136)=TRUE</formula>
    </cfRule>
    <cfRule type="duplicateValues" dxfId="5229" priority="8868"/>
    <cfRule type="duplicateValues" dxfId="5228" priority="8869"/>
    <cfRule type="duplicateValues" dxfId="5227" priority="8870"/>
    <cfRule type="expression" dxfId="5226" priority="8871">
      <formula>_xlfn.ISFORMULA(H136)=TRUE</formula>
    </cfRule>
    <cfRule type="duplicateValues" dxfId="5225" priority="8872"/>
    <cfRule type="expression" dxfId="5224" priority="8873">
      <formula>_xlfn.ISFORMULA(H136)=TRUE</formula>
    </cfRule>
    <cfRule type="duplicateValues" dxfId="5223" priority="8874"/>
    <cfRule type="duplicateValues" dxfId="5222" priority="8875"/>
    <cfRule type="duplicateValues" dxfId="5221" priority="8876"/>
    <cfRule type="expression" dxfId="5220" priority="8877">
      <formula>_xlfn.ISFORMULA(H136)=TRUE</formula>
    </cfRule>
    <cfRule type="duplicateValues" dxfId="5219" priority="8878"/>
    <cfRule type="expression" dxfId="5218" priority="8879">
      <formula>_xlfn.ISFORMULA(H136)=TRUE</formula>
    </cfRule>
    <cfRule type="duplicateValues" dxfId="5217" priority="3826"/>
  </conditionalFormatting>
  <conditionalFormatting sqref="H137 H133 H135">
    <cfRule type="duplicateValues" dxfId="5216" priority="8959"/>
    <cfRule type="duplicateValues" dxfId="5215" priority="8960"/>
    <cfRule type="duplicateValues" dxfId="5214" priority="8958"/>
  </conditionalFormatting>
  <conditionalFormatting sqref="H137">
    <cfRule type="duplicateValues" dxfId="5213" priority="8455"/>
    <cfRule type="expression" dxfId="5212" priority="8456">
      <formula>_xlfn.ISFORMULA(H137)=TRUE</formula>
    </cfRule>
    <cfRule type="duplicateValues" dxfId="5211" priority="8458"/>
    <cfRule type="duplicateValues" dxfId="5210" priority="8452"/>
    <cfRule type="duplicateValues" dxfId="5209" priority="8469"/>
    <cfRule type="duplicateValues" dxfId="5208" priority="8470"/>
    <cfRule type="duplicateValues" dxfId="5207" priority="8471"/>
    <cfRule type="duplicateValues" dxfId="5206" priority="8451"/>
    <cfRule type="duplicateValues" dxfId="5205" priority="8473"/>
    <cfRule type="expression" dxfId="5204" priority="8474">
      <formula>_xlfn.ISFORMULA(H137)=TRUE</formula>
    </cfRule>
    <cfRule type="duplicateValues" dxfId="5203" priority="8459"/>
    <cfRule type="duplicateValues" dxfId="5202" priority="3812"/>
    <cfRule type="duplicateValues" dxfId="5201" priority="8963"/>
    <cfRule type="expression" dxfId="5200" priority="8962">
      <formula>_xlfn.ISFORMULA(H137)=TRUE</formula>
    </cfRule>
    <cfRule type="duplicateValues" dxfId="5199" priority="8961"/>
    <cfRule type="duplicateValues" dxfId="5198" priority="3811"/>
    <cfRule type="duplicateValues" dxfId="5197" priority="3814"/>
    <cfRule type="expression" dxfId="5196" priority="3815">
      <formula>_xlfn.ISFORMULA(H137)=TRUE</formula>
    </cfRule>
    <cfRule type="duplicateValues" dxfId="5195" priority="3813"/>
    <cfRule type="expression" dxfId="5194" priority="8964">
      <formula>_xlfn.ISFORMULA(H137)=TRUE</formula>
    </cfRule>
    <cfRule type="duplicateValues" dxfId="5193" priority="3828"/>
    <cfRule type="duplicateValues" dxfId="5192" priority="3829"/>
    <cfRule type="duplicateValues" dxfId="5191" priority="3830"/>
    <cfRule type="expression" dxfId="5190" priority="3831">
      <formula>_xlfn.ISFORMULA(H137)=TRUE</formula>
    </cfRule>
    <cfRule type="duplicateValues" dxfId="5189" priority="3832"/>
    <cfRule type="expression" dxfId="5188" priority="3833">
      <formula>_xlfn.ISFORMULA(H137)=TRUE</formula>
    </cfRule>
    <cfRule type="duplicateValues" dxfId="5187" priority="3834"/>
    <cfRule type="duplicateValues" dxfId="5186" priority="3835"/>
    <cfRule type="duplicateValues" dxfId="5185" priority="3836"/>
    <cfRule type="expression" dxfId="5184" priority="8472">
      <formula>_xlfn.ISFORMULA(H137)=TRUE</formula>
    </cfRule>
    <cfRule type="duplicateValues" dxfId="5183" priority="8457"/>
    <cfRule type="expression" dxfId="5182" priority="3837">
      <formula>_xlfn.ISFORMULA(H137)=TRUE</formula>
    </cfRule>
    <cfRule type="duplicateValues" dxfId="5181" priority="3838"/>
    <cfRule type="expression" dxfId="5180" priority="3839">
      <formula>_xlfn.ISFORMULA(H137)=TRUE</formula>
    </cfRule>
    <cfRule type="expression" dxfId="5179" priority="8460">
      <formula>_xlfn.ISFORMULA(H137)=TRUE</formula>
    </cfRule>
    <cfRule type="duplicateValues" dxfId="5178" priority="8461"/>
    <cfRule type="expression" dxfId="5177" priority="8462">
      <formula>_xlfn.ISFORMULA(H137)=TRUE</formula>
    </cfRule>
    <cfRule type="duplicateValues" dxfId="5176" priority="8463"/>
    <cfRule type="duplicateValues" dxfId="5175" priority="8464"/>
    <cfRule type="duplicateValues" dxfId="5174" priority="8465"/>
    <cfRule type="expression" dxfId="5173" priority="8466">
      <formula>_xlfn.ISFORMULA(H137)=TRUE</formula>
    </cfRule>
    <cfRule type="duplicateValues" dxfId="5172" priority="8467"/>
    <cfRule type="expression" dxfId="5171" priority="8468">
      <formula>_xlfn.ISFORMULA(H137)=TRUE</formula>
    </cfRule>
    <cfRule type="duplicateValues" dxfId="5170" priority="8453"/>
    <cfRule type="expression" dxfId="5169" priority="8454">
      <formula>_xlfn.ISFORMULA(H137)=TRUE</formula>
    </cfRule>
  </conditionalFormatting>
  <conditionalFormatting sqref="H138">
    <cfRule type="duplicateValues" dxfId="5168" priority="8844"/>
    <cfRule type="duplicateValues" dxfId="5167" priority="8845"/>
    <cfRule type="duplicateValues" dxfId="5166" priority="8846"/>
    <cfRule type="expression" dxfId="5165" priority="8847">
      <formula>_xlfn.ISFORMULA(H138)=TRUE</formula>
    </cfRule>
    <cfRule type="duplicateValues" dxfId="5164" priority="8848"/>
    <cfRule type="expression" dxfId="5163" priority="8849">
      <formula>_xlfn.ISFORMULA(H138)=TRUE</formula>
    </cfRule>
    <cfRule type="duplicateValues" dxfId="5162" priority="8850"/>
    <cfRule type="duplicateValues" dxfId="5161" priority="8851"/>
    <cfRule type="expression" dxfId="5160" priority="8837">
      <formula>_xlfn.ISFORMULA(H138)=TRUE</formula>
    </cfRule>
    <cfRule type="expression" dxfId="5159" priority="8835">
      <formula>_xlfn.ISFORMULA(H138)=TRUE</formula>
    </cfRule>
    <cfRule type="duplicateValues" dxfId="5158" priority="8834"/>
    <cfRule type="duplicateValues" dxfId="5157" priority="8833"/>
    <cfRule type="expression" dxfId="5156" priority="8843">
      <formula>_xlfn.ISFORMULA(H138)=TRUE</formula>
    </cfRule>
    <cfRule type="expression" dxfId="5155" priority="8855">
      <formula>_xlfn.ISFORMULA(H138)=TRUE</formula>
    </cfRule>
    <cfRule type="duplicateValues" dxfId="5154" priority="8854"/>
    <cfRule type="duplicateValues" dxfId="5153" priority="8836"/>
    <cfRule type="expression" dxfId="5152" priority="8841">
      <formula>_xlfn.ISFORMULA(H138)=TRUE</formula>
    </cfRule>
    <cfRule type="expression" dxfId="5151" priority="8853">
      <formula>_xlfn.ISFORMULA(H138)=TRUE</formula>
    </cfRule>
    <cfRule type="duplicateValues" dxfId="5150" priority="8840"/>
    <cfRule type="duplicateValues" dxfId="5149" priority="8852"/>
    <cfRule type="duplicateValues" dxfId="5148" priority="8839"/>
    <cfRule type="duplicateValues" dxfId="5147" priority="8842"/>
    <cfRule type="duplicateValues" dxfId="5146" priority="8838"/>
    <cfRule type="duplicateValues" dxfId="5145" priority="8832"/>
  </conditionalFormatting>
  <conditionalFormatting sqref="H139">
    <cfRule type="expression" dxfId="5144" priority="11678">
      <formula>_xlfn.ISFORMULA(H139)=TRUE</formula>
    </cfRule>
    <cfRule type="duplicateValues" dxfId="5143" priority="11677"/>
    <cfRule type="duplicateValues" dxfId="5142" priority="11676"/>
    <cfRule type="duplicateValues" dxfId="5141" priority="11672"/>
  </conditionalFormatting>
  <conditionalFormatting sqref="H140">
    <cfRule type="duplicateValues" dxfId="5140" priority="8826"/>
    <cfRule type="expression" dxfId="5139" priority="8825">
      <formula>_xlfn.ISFORMULA(H140)=TRUE</formula>
    </cfRule>
    <cfRule type="duplicateValues" dxfId="5138" priority="8824"/>
    <cfRule type="expression" dxfId="5137" priority="8823">
      <formula>_xlfn.ISFORMULA(H140)=TRUE</formula>
    </cfRule>
    <cfRule type="duplicateValues" dxfId="5136" priority="8822"/>
    <cfRule type="duplicateValues" dxfId="5135" priority="8821"/>
    <cfRule type="expression" dxfId="5134" priority="8829">
      <formula>_xlfn.ISFORMULA(H140)=TRUE</formula>
    </cfRule>
    <cfRule type="duplicateValues" dxfId="5133" priority="8820"/>
    <cfRule type="duplicateValues" dxfId="5132" priority="3798"/>
    <cfRule type="duplicateValues" dxfId="5131" priority="3779"/>
    <cfRule type="duplicateValues" dxfId="5130" priority="3778"/>
    <cfRule type="expression" dxfId="5129" priority="3784">
      <formula>_xlfn.ISFORMULA(H140)=TRUE</formula>
    </cfRule>
    <cfRule type="duplicateValues" dxfId="5128" priority="3783"/>
    <cfRule type="duplicateValues" dxfId="5127" priority="8830"/>
    <cfRule type="expression" dxfId="5126" priority="8831">
      <formula>_xlfn.ISFORMULA(H140)=TRUE</formula>
    </cfRule>
    <cfRule type="expression" dxfId="5125" priority="3782">
      <formula>_xlfn.ISFORMULA(H140)=TRUE</formula>
    </cfRule>
    <cfRule type="duplicateValues" dxfId="5124" priority="3781"/>
    <cfRule type="duplicateValues" dxfId="5123" priority="3780"/>
    <cfRule type="duplicateValues" dxfId="5122" priority="8828"/>
    <cfRule type="duplicateValues" dxfId="5121" priority="8827"/>
  </conditionalFormatting>
  <conditionalFormatting sqref="H141">
    <cfRule type="duplicateValues" dxfId="5120" priority="10303"/>
    <cfRule type="duplicateValues" dxfId="5119" priority="3804"/>
    <cfRule type="expression" dxfId="5118" priority="3803">
      <formula>_xlfn.ISFORMULA(H141)=TRUE</formula>
    </cfRule>
    <cfRule type="duplicateValues" dxfId="5117" priority="3802"/>
    <cfRule type="duplicateValues" dxfId="5116" priority="3801"/>
    <cfRule type="duplicateValues" dxfId="5115" priority="3800"/>
    <cfRule type="expression" dxfId="5114" priority="3796">
      <formula>_xlfn.ISFORMULA(H141)=TRUE</formula>
    </cfRule>
    <cfRule type="expression" dxfId="5113" priority="10308">
      <formula>_xlfn.ISFORMULA(H141)=TRUE</formula>
    </cfRule>
    <cfRule type="duplicateValues" dxfId="5112" priority="10307"/>
    <cfRule type="expression" dxfId="5111" priority="10306">
      <formula>_xlfn.ISFORMULA(H141)=TRUE</formula>
    </cfRule>
    <cfRule type="duplicateValues" dxfId="5110" priority="10305"/>
    <cfRule type="expression" dxfId="5109" priority="10031">
      <formula>_xlfn.ISFORMULA(H141)=TRUE</formula>
    </cfRule>
    <cfRule type="duplicateValues" dxfId="5108" priority="10030"/>
    <cfRule type="expression" dxfId="5107" priority="10029">
      <formula>_xlfn.ISFORMULA(H141)=TRUE</formula>
    </cfRule>
    <cfRule type="duplicateValues" dxfId="5106" priority="10028"/>
    <cfRule type="duplicateValues" dxfId="5105" priority="3795"/>
    <cfRule type="duplicateValues" dxfId="5104" priority="10026"/>
    <cfRule type="expression" dxfId="5103" priority="3794">
      <formula>_xlfn.ISFORMULA(H141)=TRUE</formula>
    </cfRule>
    <cfRule type="duplicateValues" dxfId="5102" priority="3805"/>
    <cfRule type="duplicateValues" dxfId="5101" priority="3793"/>
    <cfRule type="duplicateValues" dxfId="5100" priority="3792"/>
    <cfRule type="duplicateValues" dxfId="5099" priority="3791"/>
    <cfRule type="expression" dxfId="5098" priority="3806">
      <formula>_xlfn.ISFORMULA(H141)=TRUE</formula>
    </cfRule>
    <cfRule type="duplicateValues" dxfId="5097" priority="10304"/>
    <cfRule type="duplicateValues" dxfId="5096" priority="10027"/>
  </conditionalFormatting>
  <conditionalFormatting sqref="H142">
    <cfRule type="duplicateValues" dxfId="5095" priority="3797"/>
    <cfRule type="expression" dxfId="5094" priority="8737">
      <formula>_xlfn.ISFORMULA(H142)=TRUE</formula>
    </cfRule>
    <cfRule type="duplicateValues" dxfId="5093" priority="8736"/>
    <cfRule type="expression" dxfId="5092" priority="8735">
      <formula>_xlfn.ISFORMULA(H142)=TRUE</formula>
    </cfRule>
    <cfRule type="duplicateValues" dxfId="5091" priority="8734"/>
    <cfRule type="duplicateValues" dxfId="5090" priority="8733"/>
    <cfRule type="duplicateValues" dxfId="5089" priority="8732"/>
  </conditionalFormatting>
  <conditionalFormatting sqref="H143">
    <cfRule type="duplicateValues" dxfId="5088" priority="8799"/>
    <cfRule type="duplicateValues" dxfId="5087" priority="8800"/>
    <cfRule type="expression" dxfId="5086" priority="8801">
      <formula>_xlfn.ISFORMULA(H143)=TRUE</formula>
    </cfRule>
    <cfRule type="duplicateValues" dxfId="5085" priority="8802"/>
    <cfRule type="expression" dxfId="5084" priority="8803">
      <formula>_xlfn.ISFORMULA(H143)=TRUE</formula>
    </cfRule>
    <cfRule type="expression" dxfId="5083" priority="3790">
      <formula>_xlfn.ISFORMULA(H143)=TRUE</formula>
    </cfRule>
    <cfRule type="duplicateValues" dxfId="5082" priority="3789"/>
    <cfRule type="expression" dxfId="5081" priority="3788">
      <formula>_xlfn.ISFORMULA(H143)=TRUE</formula>
    </cfRule>
    <cfRule type="duplicateValues" dxfId="5080" priority="3787"/>
    <cfRule type="duplicateValues" dxfId="5079" priority="3786"/>
    <cfRule type="duplicateValues" dxfId="5078" priority="3785"/>
    <cfRule type="duplicateValues" dxfId="5077" priority="8798"/>
  </conditionalFormatting>
  <conditionalFormatting sqref="H144">
    <cfRule type="duplicateValues" dxfId="5076" priority="8728"/>
    <cfRule type="expression" dxfId="5075" priority="8731">
      <formula>_xlfn.ISFORMULA(H144)=TRUE</formula>
    </cfRule>
    <cfRule type="duplicateValues" dxfId="5074" priority="8727"/>
    <cfRule type="duplicateValues" dxfId="5073" priority="8729"/>
    <cfRule type="duplicateValues" dxfId="5072" priority="8730"/>
  </conditionalFormatting>
  <conditionalFormatting sqref="H145 H147">
    <cfRule type="duplicateValues" dxfId="5071" priority="8808"/>
  </conditionalFormatting>
  <conditionalFormatting sqref="H145">
    <cfRule type="duplicateValues" dxfId="5070" priority="8778"/>
    <cfRule type="expression" dxfId="5069" priority="8777">
      <formula>_xlfn.ISFORMULA(H145)=TRUE</formula>
    </cfRule>
    <cfRule type="duplicateValues" dxfId="5068" priority="3808"/>
    <cfRule type="duplicateValues" dxfId="5067" priority="8776"/>
    <cfRule type="duplicateValues" dxfId="5066" priority="8775"/>
    <cfRule type="expression" dxfId="5065" priority="3810">
      <formula>_xlfn.ISFORMULA(H145)=TRUE</formula>
    </cfRule>
    <cfRule type="duplicateValues" dxfId="5064" priority="3809"/>
    <cfRule type="duplicateValues" dxfId="5063" priority="3807"/>
    <cfRule type="expression" dxfId="5062" priority="8767">
      <formula>_xlfn.ISFORMULA(H145)=TRUE</formula>
    </cfRule>
    <cfRule type="duplicateValues" dxfId="5061" priority="8764"/>
    <cfRule type="duplicateValues" dxfId="5060" priority="8751"/>
    <cfRule type="expression" dxfId="5059" priority="8797">
      <formula>_xlfn.ISFORMULA(H145)=TRUE</formula>
    </cfRule>
    <cfRule type="duplicateValues" dxfId="5058" priority="8796"/>
    <cfRule type="expression" dxfId="5057" priority="8795">
      <formula>_xlfn.ISFORMULA(H145)=TRUE</formula>
    </cfRule>
    <cfRule type="duplicateValues" dxfId="5056" priority="8793"/>
    <cfRule type="duplicateValues" dxfId="5055" priority="8792"/>
    <cfRule type="expression" dxfId="5054" priority="8765">
      <formula>_xlfn.ISFORMULA(H145)=TRUE</formula>
    </cfRule>
    <cfRule type="duplicateValues" dxfId="5053" priority="8766"/>
    <cfRule type="duplicateValues" dxfId="5052" priority="8794"/>
    <cfRule type="duplicateValues" dxfId="5051" priority="8752"/>
    <cfRule type="expression" dxfId="5050" priority="8753">
      <formula>_xlfn.ISFORMULA(H145)=TRUE</formula>
    </cfRule>
    <cfRule type="duplicateValues" dxfId="5049" priority="8754"/>
    <cfRule type="expression" dxfId="5048" priority="8755">
      <formula>_xlfn.ISFORMULA(H145)=TRUE</formula>
    </cfRule>
    <cfRule type="duplicateValues" dxfId="5047" priority="8762"/>
    <cfRule type="duplicateValues" dxfId="5046" priority="8763"/>
    <cfRule type="duplicateValues" dxfId="5045" priority="8774"/>
    <cfRule type="duplicateValues" dxfId="5044" priority="8750"/>
    <cfRule type="expression" dxfId="5043" priority="8779">
      <formula>_xlfn.ISFORMULA(H145)=TRUE</formula>
    </cfRule>
  </conditionalFormatting>
  <conditionalFormatting sqref="H146">
    <cfRule type="expression" dxfId="5042" priority="8724">
      <formula>_xlfn.ISFORMULA(H146)=TRUE</formula>
    </cfRule>
    <cfRule type="duplicateValues" dxfId="5041" priority="8725"/>
    <cfRule type="duplicateValues" dxfId="5040" priority="8722"/>
    <cfRule type="duplicateValues" dxfId="5039" priority="8721"/>
    <cfRule type="duplicateValues" dxfId="5038" priority="3799"/>
    <cfRule type="duplicateValues" dxfId="5037" priority="8806"/>
    <cfRule type="duplicateValues" dxfId="5036" priority="8723"/>
    <cfRule type="expression" dxfId="5035" priority="8726">
      <formula>_xlfn.ISFORMULA(H146)=TRUE</formula>
    </cfRule>
  </conditionalFormatting>
  <conditionalFormatting sqref="H147">
    <cfRule type="expression" dxfId="5034" priority="8761">
      <formula>_xlfn.ISFORMULA(H147)=TRUE</formula>
    </cfRule>
    <cfRule type="duplicateValues" dxfId="5033" priority="8760"/>
    <cfRule type="expression" dxfId="5032" priority="8759">
      <formula>_xlfn.ISFORMULA(H147)=TRUE</formula>
    </cfRule>
    <cfRule type="duplicateValues" dxfId="5031" priority="8758"/>
    <cfRule type="duplicateValues" dxfId="5030" priority="8757"/>
    <cfRule type="duplicateValues" dxfId="5029" priority="8756"/>
    <cfRule type="expression" dxfId="5028" priority="8749">
      <formula>_xlfn.ISFORMULA(H147)=TRUE</formula>
    </cfRule>
    <cfRule type="duplicateValues" dxfId="5027" priority="8748"/>
    <cfRule type="expression" dxfId="5026" priority="8747">
      <formula>_xlfn.ISFORMULA(H147)=TRUE</formula>
    </cfRule>
    <cfRule type="expression" dxfId="5025" priority="8791">
      <formula>_xlfn.ISFORMULA(H147)=TRUE</formula>
    </cfRule>
    <cfRule type="duplicateValues" dxfId="5024" priority="8746"/>
    <cfRule type="duplicateValues" dxfId="5023" priority="8745"/>
    <cfRule type="duplicateValues" dxfId="5022" priority="8790"/>
    <cfRule type="expression" dxfId="5021" priority="8789">
      <formula>_xlfn.ISFORMULA(H147)=TRUE</formula>
    </cfRule>
    <cfRule type="duplicateValues" dxfId="5020" priority="8788"/>
    <cfRule type="duplicateValues" dxfId="5019" priority="8787"/>
    <cfRule type="duplicateValues" dxfId="5018" priority="8786"/>
    <cfRule type="duplicateValues" dxfId="5017" priority="8744"/>
    <cfRule type="duplicateValues" dxfId="5016" priority="8772"/>
    <cfRule type="expression" dxfId="5015" priority="8771">
      <formula>_xlfn.ISFORMULA(H147)=TRUE</formula>
    </cfRule>
    <cfRule type="duplicateValues" dxfId="5014" priority="8770"/>
    <cfRule type="duplicateValues" dxfId="5013" priority="8769"/>
    <cfRule type="expression" dxfId="5012" priority="8773">
      <formula>_xlfn.ISFORMULA(H147)=TRUE</formula>
    </cfRule>
    <cfRule type="duplicateValues" dxfId="5011" priority="8768"/>
  </conditionalFormatting>
  <conditionalFormatting sqref="H148">
    <cfRule type="duplicateValues" dxfId="5010" priority="8716"/>
    <cfRule type="duplicateValues" dxfId="5009" priority="8805"/>
    <cfRule type="duplicateValues" dxfId="5008" priority="8714"/>
    <cfRule type="duplicateValues" dxfId="5007" priority="8715"/>
    <cfRule type="duplicateValues" dxfId="5006" priority="8717"/>
    <cfRule type="expression" dxfId="5005" priority="8718">
      <formula>_xlfn.ISFORMULA(H148)=TRUE</formula>
    </cfRule>
    <cfRule type="duplicateValues" dxfId="5004" priority="3770"/>
    <cfRule type="duplicateValues" dxfId="5003" priority="3771"/>
    <cfRule type="duplicateValues" dxfId="5002" priority="3772"/>
    <cfRule type="expression" dxfId="5001" priority="3773">
      <formula>_xlfn.ISFORMULA(H148)=TRUE</formula>
    </cfRule>
    <cfRule type="duplicateValues" dxfId="5000" priority="8719"/>
    <cfRule type="expression" dxfId="4999" priority="8720">
      <formula>_xlfn.ISFORMULA(H148)=TRUE</formula>
    </cfRule>
  </conditionalFormatting>
  <conditionalFormatting sqref="H149">
    <cfRule type="duplicateValues" dxfId="4998" priority="8810"/>
    <cfRule type="duplicateValues" dxfId="4997" priority="8809"/>
    <cfRule type="duplicateValues" dxfId="4996" priority="8780"/>
    <cfRule type="expression" dxfId="4995" priority="8812">
      <formula>_xlfn.ISFORMULA(H149)=TRUE</formula>
    </cfRule>
    <cfRule type="duplicateValues" dxfId="4994" priority="8811"/>
    <cfRule type="duplicateValues" dxfId="4993" priority="8813"/>
    <cfRule type="duplicateValues" dxfId="4992" priority="8814"/>
    <cfRule type="expression" dxfId="4991" priority="8785">
      <formula>_xlfn.ISFORMULA(H149)=TRUE</formula>
    </cfRule>
    <cfRule type="expression" dxfId="4990" priority="8815">
      <formula>_xlfn.ISFORMULA(H149)=TRUE</formula>
    </cfRule>
    <cfRule type="duplicateValues" dxfId="4989" priority="8784"/>
    <cfRule type="duplicateValues" dxfId="4988" priority="8781"/>
    <cfRule type="expression" dxfId="4987" priority="8783">
      <formula>_xlfn.ISFORMULA(H149)=TRUE</formula>
    </cfRule>
    <cfRule type="duplicateValues" dxfId="4986" priority="8782"/>
  </conditionalFormatting>
  <conditionalFormatting sqref="H150">
    <cfRule type="duplicateValues" dxfId="4985" priority="8804"/>
    <cfRule type="duplicateValues" dxfId="4984" priority="3774"/>
    <cfRule type="duplicateValues" dxfId="4983" priority="3775"/>
    <cfRule type="duplicateValues" dxfId="4982" priority="3776"/>
    <cfRule type="expression" dxfId="4981" priority="3777">
      <formula>_xlfn.ISFORMULA(H150)=TRUE</formula>
    </cfRule>
  </conditionalFormatting>
  <conditionalFormatting sqref="H151">
    <cfRule type="duplicateValues" dxfId="4980" priority="8738"/>
    <cfRule type="expression" dxfId="4979" priority="8743">
      <formula>_xlfn.ISFORMULA(H151)=TRUE</formula>
    </cfRule>
    <cfRule type="duplicateValues" dxfId="4978" priority="8742"/>
    <cfRule type="expression" dxfId="4977" priority="8741">
      <formula>_xlfn.ISFORMULA(H151)=TRUE</formula>
    </cfRule>
    <cfRule type="duplicateValues" dxfId="4976" priority="8740"/>
    <cfRule type="duplicateValues" dxfId="4975" priority="8739"/>
  </conditionalFormatting>
  <conditionalFormatting sqref="H152">
    <cfRule type="duplicateValues" dxfId="4974" priority="3769"/>
  </conditionalFormatting>
  <conditionalFormatting sqref="H153">
    <cfRule type="expression" dxfId="4973" priority="8819">
      <formula>_xlfn.ISFORMULA(H153)=TRUE</formula>
    </cfRule>
    <cfRule type="duplicateValues" dxfId="4972" priority="8817"/>
    <cfRule type="duplicateValues" dxfId="4971" priority="8816"/>
    <cfRule type="duplicateValues" dxfId="4970" priority="8818"/>
  </conditionalFormatting>
  <conditionalFormatting sqref="H154">
    <cfRule type="duplicateValues" dxfId="4969" priority="8807"/>
    <cfRule type="duplicateValues" dxfId="4968" priority="3768"/>
  </conditionalFormatting>
  <conditionalFormatting sqref="H155">
    <cfRule type="duplicateValues" dxfId="4967" priority="11646"/>
    <cfRule type="duplicateValues" dxfId="4966" priority="11644"/>
    <cfRule type="duplicateValues" dxfId="4965" priority="11643"/>
    <cfRule type="duplicateValues" dxfId="4964" priority="11642"/>
    <cfRule type="expression" dxfId="4963" priority="11648">
      <formula>_xlfn.ISFORMULA(H155)=TRUE</formula>
    </cfRule>
    <cfRule type="expression" dxfId="4962" priority="11645">
      <formula>_xlfn.ISFORMULA(H155)=TRUE</formula>
    </cfRule>
    <cfRule type="duplicateValues" dxfId="4961" priority="11647"/>
  </conditionalFormatting>
  <conditionalFormatting sqref="H156">
    <cfRule type="duplicateValues" dxfId="4960" priority="11611"/>
    <cfRule type="expression" dxfId="4959" priority="11613">
      <formula>_xlfn.ISFORMULA(H156)=TRUE</formula>
    </cfRule>
    <cfRule type="duplicateValues" dxfId="4958" priority="11612"/>
    <cfRule type="expression" dxfId="4957" priority="10056">
      <formula>_xlfn.ISFORMULA(H156)=TRUE</formula>
    </cfRule>
    <cfRule type="duplicateValues" dxfId="4956" priority="10054"/>
    <cfRule type="duplicateValues" dxfId="4955" priority="11610"/>
    <cfRule type="duplicateValues" dxfId="4954" priority="10055"/>
    <cfRule type="duplicateValues" dxfId="4953" priority="10053"/>
  </conditionalFormatting>
  <conditionalFormatting sqref="H157">
    <cfRule type="duplicateValues" dxfId="4952" priority="3764"/>
    <cfRule type="duplicateValues" dxfId="4951" priority="3765"/>
    <cfRule type="expression" dxfId="4950" priority="3767">
      <formula>_xlfn.ISFORMULA(H157)=TRUE</formula>
    </cfRule>
    <cfRule type="duplicateValues" dxfId="4949" priority="3766"/>
    <cfRule type="duplicateValues" dxfId="4948" priority="8713"/>
  </conditionalFormatting>
  <conditionalFormatting sqref="H158">
    <cfRule type="duplicateValues" dxfId="4947" priority="9719"/>
    <cfRule type="expression" dxfId="4946" priority="9720">
      <formula>_xlfn.ISFORMULA(H158)=TRUE</formula>
    </cfRule>
    <cfRule type="duplicateValues" dxfId="4945" priority="3762"/>
    <cfRule type="duplicateValues" dxfId="4944" priority="3761"/>
    <cfRule type="duplicateValues" dxfId="4943" priority="3760"/>
    <cfRule type="expression" dxfId="4942" priority="9718">
      <formula>_xlfn.ISFORMULA(H158)=TRUE</formula>
    </cfRule>
    <cfRule type="duplicateValues" dxfId="4941" priority="9715"/>
    <cfRule type="duplicateValues" dxfId="4940" priority="9716"/>
    <cfRule type="duplicateValues" dxfId="4939" priority="9717"/>
    <cfRule type="expression" dxfId="4938" priority="3763">
      <formula>_xlfn.ISFORMULA(H158)=TRUE</formula>
    </cfRule>
  </conditionalFormatting>
  <conditionalFormatting sqref="H159">
    <cfRule type="expression" dxfId="4937" priority="3743">
      <formula>_xlfn.ISFORMULA(H159)=TRUE</formula>
    </cfRule>
    <cfRule type="expression" dxfId="4936" priority="8708">
      <formula>_xlfn.ISFORMULA(H159)=TRUE</formula>
    </cfRule>
    <cfRule type="expression" dxfId="4935" priority="3749">
      <formula>_xlfn.ISFORMULA(H159)=TRUE</formula>
    </cfRule>
    <cfRule type="duplicateValues" dxfId="4934" priority="8705"/>
    <cfRule type="duplicateValues" dxfId="4933" priority="3740"/>
    <cfRule type="duplicateValues" dxfId="4932" priority="3741"/>
    <cfRule type="duplicateValues" dxfId="4931" priority="3742"/>
    <cfRule type="duplicateValues" dxfId="4930" priority="8706"/>
    <cfRule type="duplicateValues" dxfId="4929" priority="3744"/>
    <cfRule type="duplicateValues" dxfId="4928" priority="3745"/>
    <cfRule type="duplicateValues" dxfId="4927" priority="3746"/>
    <cfRule type="expression" dxfId="4926" priority="3747">
      <formula>_xlfn.ISFORMULA(H159)=TRUE</formula>
    </cfRule>
    <cfRule type="duplicateValues" dxfId="4925" priority="3748"/>
    <cfRule type="duplicateValues" dxfId="4924" priority="8707"/>
  </conditionalFormatting>
  <conditionalFormatting sqref="H160">
    <cfRule type="duplicateValues" dxfId="4923" priority="3750"/>
    <cfRule type="duplicateValues" dxfId="4922" priority="3751"/>
    <cfRule type="duplicateValues" dxfId="4921" priority="3752"/>
    <cfRule type="expression" dxfId="4920" priority="3753">
      <formula>_xlfn.ISFORMULA(H160)=TRUE</formula>
    </cfRule>
    <cfRule type="duplicateValues" dxfId="4919" priority="3754"/>
    <cfRule type="expression" dxfId="4918" priority="3759">
      <formula>_xlfn.ISFORMULA(H160)=TRUE</formula>
    </cfRule>
    <cfRule type="duplicateValues" dxfId="4917" priority="3755"/>
    <cfRule type="expression" dxfId="4916" priority="3757">
      <formula>_xlfn.ISFORMULA(H160)=TRUE</formula>
    </cfRule>
    <cfRule type="duplicateValues" dxfId="4915" priority="3758"/>
    <cfRule type="duplicateValues" dxfId="4914" priority="3756"/>
  </conditionalFormatting>
  <conditionalFormatting sqref="H161">
    <cfRule type="duplicateValues" dxfId="4913" priority="3718"/>
    <cfRule type="duplicateValues" dxfId="4912" priority="3719"/>
    <cfRule type="duplicateValues" dxfId="4911" priority="3720"/>
    <cfRule type="expression" dxfId="4910" priority="3721">
      <formula>_xlfn.ISFORMULA(H161)=TRUE</formula>
    </cfRule>
  </conditionalFormatting>
  <conditionalFormatting sqref="H161:H162">
    <cfRule type="duplicateValues" dxfId="4909" priority="8711"/>
    <cfRule type="expression" dxfId="4908" priority="8712">
      <formula>_xlfn.ISFORMULA(H161)=TRUE</formula>
    </cfRule>
    <cfRule type="duplicateValues" dxfId="4907" priority="8709"/>
    <cfRule type="duplicateValues" dxfId="4906" priority="8710"/>
  </conditionalFormatting>
  <conditionalFormatting sqref="H162 H164">
    <cfRule type="duplicateValues" dxfId="4905" priority="8697"/>
  </conditionalFormatting>
  <conditionalFormatting sqref="H163 H165">
    <cfRule type="duplicateValues" dxfId="4904" priority="3713"/>
  </conditionalFormatting>
  <conditionalFormatting sqref="H163">
    <cfRule type="duplicateValues" dxfId="4903" priority="3714"/>
    <cfRule type="duplicateValues" dxfId="4902" priority="3715"/>
    <cfRule type="duplicateValues" dxfId="4901" priority="3716"/>
    <cfRule type="expression" dxfId="4900" priority="3717">
      <formula>_xlfn.ISFORMULA(H163)=TRUE</formula>
    </cfRule>
    <cfRule type="duplicateValues" dxfId="4899" priority="8696"/>
  </conditionalFormatting>
  <conditionalFormatting sqref="H164">
    <cfRule type="duplicateValues" dxfId="4898" priority="3712"/>
  </conditionalFormatting>
  <conditionalFormatting sqref="H165">
    <cfRule type="duplicateValues" dxfId="4897" priority="8695"/>
  </conditionalFormatting>
  <conditionalFormatting sqref="H166">
    <cfRule type="duplicateValues" dxfId="4896" priority="8699"/>
    <cfRule type="duplicateValues" dxfId="4895" priority="8700"/>
    <cfRule type="expression" dxfId="4894" priority="8701">
      <formula>_xlfn.ISFORMULA(H166)=TRUE</formula>
    </cfRule>
    <cfRule type="duplicateValues" dxfId="4893" priority="8702"/>
    <cfRule type="duplicateValues" dxfId="4892" priority="8703"/>
    <cfRule type="expression" dxfId="4891" priority="8704">
      <formula>_xlfn.ISFORMULA(H166)=TRUE</formula>
    </cfRule>
    <cfRule type="duplicateValues" dxfId="4890" priority="3711"/>
    <cfRule type="duplicateValues" dxfId="4889" priority="8698"/>
    <cfRule type="duplicateValues" dxfId="4888" priority="3703"/>
  </conditionalFormatting>
  <conditionalFormatting sqref="H167">
    <cfRule type="duplicateValues" dxfId="4887" priority="3704"/>
    <cfRule type="duplicateValues" dxfId="4886" priority="3705"/>
    <cfRule type="duplicateValues" dxfId="4885" priority="3706"/>
    <cfRule type="expression" dxfId="4884" priority="3707">
      <formula>_xlfn.ISFORMULA(H167)=TRUE</formula>
    </cfRule>
    <cfRule type="duplicateValues" dxfId="4883" priority="3709"/>
    <cfRule type="expression" dxfId="4882" priority="3710">
      <formula>_xlfn.ISFORMULA(H167)=TRUE</formula>
    </cfRule>
    <cfRule type="duplicateValues" dxfId="4881" priority="3708"/>
    <cfRule type="duplicateValues" dxfId="4880" priority="8694"/>
  </conditionalFormatting>
  <conditionalFormatting sqref="H168">
    <cfRule type="duplicateValues" dxfId="4879" priority="3698"/>
    <cfRule type="duplicateValues" dxfId="4878" priority="3702"/>
    <cfRule type="duplicateValues" dxfId="4877" priority="3699"/>
    <cfRule type="expression" dxfId="4876" priority="3701">
      <formula>_xlfn.ISFORMULA(H168)=TRUE</formula>
    </cfRule>
    <cfRule type="duplicateValues" dxfId="4875" priority="3700"/>
    <cfRule type="duplicateValues" dxfId="4874" priority="10786"/>
    <cfRule type="duplicateValues" dxfId="4873" priority="10787"/>
    <cfRule type="duplicateValues" dxfId="4872" priority="10788"/>
    <cfRule type="expression" dxfId="4871" priority="10789">
      <formula>_xlfn.ISFORMULA(H168)=TRUE</formula>
    </cfRule>
  </conditionalFormatting>
  <conditionalFormatting sqref="H169:H171">
    <cfRule type="duplicateValues" dxfId="4870" priority="7086"/>
    <cfRule type="duplicateValues" dxfId="4869" priority="7087"/>
    <cfRule type="expression" dxfId="4868" priority="7089">
      <formula>_xlfn.ISFORMULA(H169)=TRUE</formula>
    </cfRule>
    <cfRule type="duplicateValues" dxfId="4867" priority="7088"/>
  </conditionalFormatting>
  <conditionalFormatting sqref="H172">
    <cfRule type="duplicateValues" dxfId="4866" priority="7082"/>
    <cfRule type="duplicateValues" dxfId="4865" priority="7083"/>
    <cfRule type="duplicateValues" dxfId="4864" priority="7084"/>
    <cfRule type="expression" dxfId="4863" priority="7085">
      <formula>_xlfn.ISFORMULA(H172)=TRUE</formula>
    </cfRule>
  </conditionalFormatting>
  <conditionalFormatting sqref="H173 H189">
    <cfRule type="duplicateValues" dxfId="4862" priority="10043"/>
    <cfRule type="duplicateValues" dxfId="4861" priority="10042"/>
    <cfRule type="duplicateValues" dxfId="4860" priority="11574"/>
    <cfRule type="expression" dxfId="4859" priority="11577">
      <formula>_xlfn.ISFORMULA(H173)=TRUE</formula>
    </cfRule>
    <cfRule type="expression" dxfId="4858" priority="10045">
      <formula>_xlfn.ISFORMULA(H173)=TRUE</formula>
    </cfRule>
    <cfRule type="duplicateValues" dxfId="4857" priority="10044"/>
  </conditionalFormatting>
  <conditionalFormatting sqref="H174">
    <cfRule type="duplicateValues" dxfId="4856" priority="10475"/>
    <cfRule type="duplicateValues" dxfId="4855" priority="10476"/>
    <cfRule type="duplicateValues" dxfId="4854" priority="10477"/>
    <cfRule type="expression" dxfId="4853" priority="10478">
      <formula>_xlfn.ISFORMULA(H174)=TRUE</formula>
    </cfRule>
    <cfRule type="duplicateValues" dxfId="4852" priority="3661"/>
  </conditionalFormatting>
  <conditionalFormatting sqref="H175">
    <cfRule type="duplicateValues" dxfId="4851" priority="3675"/>
    <cfRule type="duplicateValues" dxfId="4850" priority="3674"/>
    <cfRule type="duplicateValues" dxfId="4849" priority="3676"/>
    <cfRule type="expression" dxfId="4848" priority="3677">
      <formula>_xlfn.ISFORMULA(H175)=TRUE</formula>
    </cfRule>
  </conditionalFormatting>
  <conditionalFormatting sqref="H176:H177">
    <cfRule type="duplicateValues" dxfId="4847" priority="10750"/>
    <cfRule type="duplicateValues" dxfId="4846" priority="10751"/>
    <cfRule type="duplicateValues" dxfId="4845" priority="10752"/>
    <cfRule type="expression" dxfId="4844" priority="10753">
      <formula>_xlfn.ISFORMULA(H176)=TRUE</formula>
    </cfRule>
  </conditionalFormatting>
  <conditionalFormatting sqref="H176:H179">
    <cfRule type="duplicateValues" dxfId="4843" priority="3673"/>
  </conditionalFormatting>
  <conditionalFormatting sqref="H177 H179">
    <cfRule type="duplicateValues" dxfId="4842" priority="9528"/>
  </conditionalFormatting>
  <conditionalFormatting sqref="H177">
    <cfRule type="expression" dxfId="4841" priority="3665">
      <formula>_xlfn.ISFORMULA(H177)=TRUE</formula>
    </cfRule>
    <cfRule type="duplicateValues" dxfId="4840" priority="3664"/>
    <cfRule type="duplicateValues" dxfId="4839" priority="3663"/>
    <cfRule type="duplicateValues" dxfId="4838" priority="3662"/>
    <cfRule type="duplicateValues" dxfId="4837" priority="3687"/>
    <cfRule type="duplicateValues" dxfId="4836" priority="3688"/>
    <cfRule type="duplicateValues" dxfId="4835" priority="3689"/>
    <cfRule type="expression" dxfId="4834" priority="3690">
      <formula>_xlfn.ISFORMULA(H177)=TRUE</formula>
    </cfRule>
    <cfRule type="duplicateValues" dxfId="4833" priority="3691"/>
    <cfRule type="duplicateValues" dxfId="4832" priority="3692"/>
    <cfRule type="expression" dxfId="4831" priority="3693">
      <formula>_xlfn.ISFORMULA(H177)=TRUE</formula>
    </cfRule>
  </conditionalFormatting>
  <conditionalFormatting sqref="H178">
    <cfRule type="duplicateValues" dxfId="4830" priority="9526"/>
  </conditionalFormatting>
  <conditionalFormatting sqref="H178:H179">
    <cfRule type="duplicateValues" dxfId="4829" priority="3682"/>
    <cfRule type="expression" dxfId="4828" priority="3685">
      <formula>_xlfn.ISFORMULA(H178)=TRUE</formula>
    </cfRule>
    <cfRule type="duplicateValues" dxfId="4827" priority="3684"/>
    <cfRule type="duplicateValues" dxfId="4826" priority="3683"/>
  </conditionalFormatting>
  <conditionalFormatting sqref="H179">
    <cfRule type="duplicateValues" dxfId="4825" priority="3668"/>
    <cfRule type="duplicateValues" dxfId="4824" priority="3667"/>
    <cfRule type="duplicateValues" dxfId="4823" priority="3666"/>
    <cfRule type="expression" dxfId="4822" priority="3697">
      <formula>_xlfn.ISFORMULA(H179)=TRUE</formula>
    </cfRule>
    <cfRule type="expression" dxfId="4821" priority="3672">
      <formula>_xlfn.ISFORMULA(H179)=TRUE</formula>
    </cfRule>
    <cfRule type="duplicateValues" dxfId="4820" priority="3678"/>
    <cfRule type="duplicateValues" dxfId="4819" priority="3694"/>
    <cfRule type="duplicateValues" dxfId="4818" priority="3671"/>
    <cfRule type="duplicateValues" dxfId="4817" priority="3679"/>
    <cfRule type="duplicateValues" dxfId="4816" priority="3695"/>
    <cfRule type="duplicateValues" dxfId="4815" priority="3680"/>
    <cfRule type="expression" dxfId="4814" priority="3681">
      <formula>_xlfn.ISFORMULA(H179)=TRUE</formula>
    </cfRule>
    <cfRule type="duplicateValues" dxfId="4813" priority="3670"/>
    <cfRule type="expression" dxfId="4812" priority="3669">
      <formula>_xlfn.ISFORMULA(H179)=TRUE</formula>
    </cfRule>
    <cfRule type="duplicateValues" dxfId="4811" priority="3696"/>
  </conditionalFormatting>
  <conditionalFormatting sqref="H180">
    <cfRule type="expression" dxfId="4810" priority="3660">
      <formula>_xlfn.ISFORMULA(H180)=TRUE</formula>
    </cfRule>
    <cfRule type="duplicateValues" dxfId="4809" priority="3659"/>
    <cfRule type="duplicateValues" dxfId="4808" priority="3658"/>
    <cfRule type="duplicateValues" dxfId="4807" priority="3657"/>
    <cfRule type="duplicateValues" dxfId="4806" priority="3655"/>
    <cfRule type="duplicateValues" dxfId="4805" priority="3654"/>
    <cfRule type="duplicateValues" dxfId="4804" priority="3653"/>
    <cfRule type="expression" dxfId="4803" priority="3651">
      <formula>_xlfn.ISFORMULA(H180)=TRUE</formula>
    </cfRule>
    <cfRule type="duplicateValues" dxfId="4802" priority="3650"/>
    <cfRule type="duplicateValues" dxfId="4801" priority="3648"/>
    <cfRule type="duplicateValues" dxfId="4800" priority="7079"/>
    <cfRule type="expression" dxfId="4799" priority="3643">
      <formula>_xlfn.ISFORMULA(H180)=TRUE</formula>
    </cfRule>
    <cfRule type="duplicateValues" dxfId="4798" priority="3644"/>
    <cfRule type="duplicateValues" dxfId="4797" priority="3645"/>
    <cfRule type="duplicateValues" dxfId="4796" priority="3646"/>
    <cfRule type="expression" dxfId="4795" priority="3647">
      <formula>_xlfn.ISFORMULA(H180)=TRUE</formula>
    </cfRule>
    <cfRule type="expression" dxfId="4794" priority="7081">
      <formula>_xlfn.ISFORMULA(H180)=TRUE</formula>
    </cfRule>
    <cfRule type="duplicateValues" dxfId="4793" priority="7080"/>
    <cfRule type="duplicateValues" dxfId="4792" priority="7078"/>
    <cfRule type="expression" dxfId="4791" priority="3656">
      <formula>_xlfn.ISFORMULA(H180)=TRUE</formula>
    </cfRule>
    <cfRule type="duplicateValues" dxfId="4790" priority="3649"/>
    <cfRule type="duplicateValues" dxfId="4789" priority="3641"/>
    <cfRule type="duplicateValues" dxfId="4788" priority="3642"/>
  </conditionalFormatting>
  <conditionalFormatting sqref="H181">
    <cfRule type="duplicateValues" dxfId="4787" priority="3630"/>
    <cfRule type="duplicateValues" dxfId="4786" priority="3629"/>
    <cfRule type="duplicateValues" dxfId="4785" priority="3632"/>
    <cfRule type="duplicateValues" dxfId="4784" priority="3634"/>
    <cfRule type="expression" dxfId="4783" priority="3633">
      <formula>_xlfn.ISFORMULA(H181)=TRUE</formula>
    </cfRule>
    <cfRule type="duplicateValues" dxfId="4782" priority="3639"/>
    <cfRule type="duplicateValues" dxfId="4781" priority="3638"/>
    <cfRule type="duplicateValues" dxfId="4780" priority="3635"/>
    <cfRule type="expression" dxfId="4779" priority="3636">
      <formula>_xlfn.ISFORMULA(H181)=TRUE</formula>
    </cfRule>
    <cfRule type="duplicateValues" dxfId="4778" priority="3637"/>
    <cfRule type="expression" dxfId="4777" priority="3640">
      <formula>_xlfn.ISFORMULA(H181)=TRUE</formula>
    </cfRule>
    <cfRule type="duplicateValues" dxfId="4776" priority="3631"/>
  </conditionalFormatting>
  <conditionalFormatting sqref="H182">
    <cfRule type="expression" dxfId="4775" priority="3628">
      <formula>_xlfn.ISFORMULA(H182)=TRUE</formula>
    </cfRule>
    <cfRule type="duplicateValues" dxfId="4774" priority="3626"/>
    <cfRule type="duplicateValues" dxfId="4773" priority="3625"/>
    <cfRule type="expression" dxfId="4772" priority="3624">
      <formula>_xlfn.ISFORMULA(H182)=TRUE</formula>
    </cfRule>
    <cfRule type="duplicateValues" dxfId="4771" priority="3623"/>
    <cfRule type="duplicateValues" dxfId="4770" priority="3605"/>
    <cfRule type="duplicateValues" dxfId="4769" priority="8248"/>
    <cfRule type="expression" dxfId="4768" priority="3606">
      <formula>_xlfn.ISFORMULA(H182)=TRUE</formula>
    </cfRule>
    <cfRule type="duplicateValues" dxfId="4767" priority="3607"/>
    <cfRule type="duplicateValues" dxfId="4766" priority="3604"/>
    <cfRule type="expression" dxfId="4765" priority="3603">
      <formula>_xlfn.ISFORMULA(H182)=TRUE</formula>
    </cfRule>
    <cfRule type="duplicateValues" dxfId="4764" priority="3602"/>
    <cfRule type="duplicateValues" dxfId="4763" priority="3601"/>
    <cfRule type="duplicateValues" dxfId="4762" priority="3609"/>
    <cfRule type="expression" dxfId="4761" priority="3610">
      <formula>_xlfn.ISFORMULA(H182)=TRUE</formula>
    </cfRule>
    <cfRule type="duplicateValues" dxfId="4760" priority="3599"/>
    <cfRule type="duplicateValues" dxfId="4759" priority="9524"/>
    <cfRule type="duplicateValues" dxfId="4758" priority="3627"/>
    <cfRule type="duplicateValues" dxfId="4757" priority="3608"/>
    <cfRule type="duplicateValues" dxfId="4756" priority="3618"/>
    <cfRule type="duplicateValues" dxfId="4755" priority="3619"/>
    <cfRule type="duplicateValues" dxfId="4754" priority="3620"/>
    <cfRule type="expression" dxfId="4753" priority="3621">
      <formula>_xlfn.ISFORMULA(H182)=TRUE</formula>
    </cfRule>
    <cfRule type="duplicateValues" dxfId="4752" priority="3622"/>
    <cfRule type="duplicateValues" dxfId="4751" priority="3600"/>
  </conditionalFormatting>
  <conditionalFormatting sqref="H183">
    <cfRule type="duplicateValues" dxfId="4750" priority="3596"/>
    <cfRule type="duplicateValues" dxfId="4749" priority="3597"/>
    <cfRule type="duplicateValues" dxfId="4748" priority="3590"/>
    <cfRule type="expression" dxfId="4747" priority="3591">
      <formula>_xlfn.ISFORMULA(H183)=TRUE</formula>
    </cfRule>
    <cfRule type="duplicateValues" dxfId="4746" priority="3612"/>
    <cfRule type="duplicateValues" dxfId="4745" priority="3613"/>
    <cfRule type="duplicateValues" dxfId="4744" priority="3588"/>
    <cfRule type="duplicateValues" dxfId="4743" priority="3611"/>
    <cfRule type="expression" dxfId="4742" priority="3598">
      <formula>_xlfn.ISFORMULA(H183)=TRUE</formula>
    </cfRule>
    <cfRule type="duplicateValues" dxfId="4741" priority="3589"/>
    <cfRule type="duplicateValues" dxfId="4740" priority="3593"/>
    <cfRule type="expression" dxfId="4739" priority="3594">
      <formula>_xlfn.ISFORMULA(H183)=TRUE</formula>
    </cfRule>
    <cfRule type="duplicateValues" dxfId="4738" priority="3595"/>
    <cfRule type="duplicateValues" dxfId="4737" priority="3592"/>
  </conditionalFormatting>
  <conditionalFormatting sqref="H183:H185">
    <cfRule type="expression" dxfId="4736" priority="3617">
      <formula>_xlfn.ISFORMULA(H183)=TRUE</formula>
    </cfRule>
    <cfRule type="duplicateValues" dxfId="4735" priority="3614"/>
    <cfRule type="duplicateValues" dxfId="4734" priority="3615"/>
    <cfRule type="duplicateValues" dxfId="4733" priority="3616"/>
  </conditionalFormatting>
  <conditionalFormatting sqref="H184">
    <cfRule type="duplicateValues" dxfId="4732" priority="3137"/>
    <cfRule type="duplicateValues" dxfId="4731" priority="3136"/>
    <cfRule type="duplicateValues" dxfId="4730" priority="3138"/>
  </conditionalFormatting>
  <conditionalFormatting sqref="H184:H185">
    <cfRule type="expression" dxfId="4729" priority="3139">
      <formula>_xlfn.ISFORMULA(H184)=TRUE</formula>
    </cfRule>
  </conditionalFormatting>
  <conditionalFormatting sqref="H185">
    <cfRule type="duplicateValues" dxfId="4728" priority="3141"/>
    <cfRule type="duplicateValues" dxfId="4727" priority="3142"/>
    <cfRule type="duplicateValues" dxfId="4726" priority="3143"/>
    <cfRule type="duplicateValues" dxfId="4725" priority="3146"/>
    <cfRule type="duplicateValues" dxfId="4724" priority="3150"/>
    <cfRule type="duplicateValues" dxfId="4723" priority="9973"/>
    <cfRule type="duplicateValues" dxfId="4722" priority="9972"/>
    <cfRule type="duplicateValues" dxfId="4721" priority="3147"/>
    <cfRule type="expression" dxfId="4720" priority="3148">
      <formula>_xlfn.ISFORMULA(H185)=TRUE</formula>
    </cfRule>
    <cfRule type="expression" dxfId="4719" priority="3152">
      <formula>_xlfn.ISFORMULA(H185)=TRUE</formula>
    </cfRule>
    <cfRule type="duplicateValues" dxfId="4718" priority="9971"/>
    <cfRule type="expression" dxfId="4717" priority="3144">
      <formula>_xlfn.ISFORMULA(H185)=TRUE</formula>
    </cfRule>
    <cfRule type="duplicateValues" dxfId="4716" priority="3151"/>
    <cfRule type="expression" dxfId="4715" priority="9974">
      <formula>_xlfn.ISFORMULA(H185)=TRUE</formula>
    </cfRule>
  </conditionalFormatting>
  <conditionalFormatting sqref="H186">
    <cfRule type="duplicateValues" dxfId="4714" priority="3574"/>
    <cfRule type="duplicateValues" dxfId="4713" priority="3575"/>
    <cfRule type="expression" dxfId="4712" priority="3576">
      <formula>_xlfn.ISFORMULA(H186)=TRUE</formula>
    </cfRule>
    <cfRule type="expression" dxfId="4711" priority="3565">
      <formula>_xlfn.ISFORMULA(H186)=TRUE</formula>
    </cfRule>
    <cfRule type="duplicateValues" dxfId="4710" priority="3564"/>
    <cfRule type="duplicateValues" dxfId="4709" priority="3563"/>
  </conditionalFormatting>
  <conditionalFormatting sqref="H186:H187">
    <cfRule type="duplicateValues" dxfId="4708" priority="3570"/>
    <cfRule type="expression" dxfId="4707" priority="3579">
      <formula>_xlfn.ISFORMULA(H186)=TRUE</formula>
    </cfRule>
    <cfRule type="duplicateValues" dxfId="4706" priority="3577"/>
    <cfRule type="duplicateValues" dxfId="4705" priority="3586"/>
    <cfRule type="duplicateValues" dxfId="4704" priority="3584"/>
    <cfRule type="duplicateValues" dxfId="4703" priority="3585"/>
    <cfRule type="expression" dxfId="4702" priority="3587">
      <formula>_xlfn.ISFORMULA(H186)=TRUE</formula>
    </cfRule>
    <cfRule type="duplicateValues" dxfId="4701" priority="3568"/>
    <cfRule type="duplicateValues" dxfId="4700" priority="3567"/>
    <cfRule type="duplicateValues" dxfId="4699" priority="3566"/>
    <cfRule type="expression" dxfId="4698" priority="3569">
      <formula>_xlfn.ISFORMULA(H186)=TRUE</formula>
    </cfRule>
    <cfRule type="duplicateValues" dxfId="4697" priority="3578"/>
  </conditionalFormatting>
  <conditionalFormatting sqref="H186:H189">
    <cfRule type="duplicateValues" dxfId="4696" priority="9527"/>
  </conditionalFormatting>
  <conditionalFormatting sqref="H187">
    <cfRule type="duplicateValues" dxfId="4695" priority="3571"/>
    <cfRule type="duplicateValues" dxfId="4694" priority="3572"/>
    <cfRule type="expression" dxfId="4693" priority="3573">
      <formula>_xlfn.ISFORMULA(H187)=TRUE</formula>
    </cfRule>
    <cfRule type="duplicateValues" dxfId="4692" priority="3580"/>
    <cfRule type="duplicateValues" dxfId="4691" priority="3556"/>
    <cfRule type="duplicateValues" dxfId="4690" priority="3557"/>
    <cfRule type="duplicateValues" dxfId="4689" priority="3558"/>
    <cfRule type="duplicateValues" dxfId="4688" priority="3560"/>
    <cfRule type="expression" dxfId="4687" priority="8259">
      <formula>_xlfn.ISFORMULA(H187)=TRUE</formula>
    </cfRule>
    <cfRule type="duplicateValues" dxfId="4686" priority="8258"/>
    <cfRule type="duplicateValues" dxfId="4685" priority="8257"/>
    <cfRule type="duplicateValues" dxfId="4684" priority="8256"/>
    <cfRule type="duplicateValues" dxfId="4683" priority="3561"/>
    <cfRule type="expression" dxfId="4682" priority="3562">
      <formula>_xlfn.ISFORMULA(H187)=TRUE</formula>
    </cfRule>
    <cfRule type="expression" dxfId="4681" priority="3559">
      <formula>_xlfn.ISFORMULA(H187)=TRUE</formula>
    </cfRule>
    <cfRule type="expression" dxfId="4680" priority="10459">
      <formula>_xlfn.ISFORMULA(H187)=TRUE</formula>
    </cfRule>
    <cfRule type="duplicateValues" dxfId="4679" priority="10458"/>
    <cfRule type="duplicateValues" dxfId="4678" priority="10457"/>
    <cfRule type="expression" dxfId="4677" priority="10456">
      <formula>_xlfn.ISFORMULA(H187)=TRUE</formula>
    </cfRule>
    <cfRule type="duplicateValues" dxfId="4676" priority="10455"/>
    <cfRule type="duplicateValues" dxfId="4675" priority="10454"/>
    <cfRule type="duplicateValues" dxfId="4674" priority="10453"/>
    <cfRule type="duplicateValues" dxfId="4673" priority="3581"/>
    <cfRule type="duplicateValues" dxfId="4672" priority="3582"/>
    <cfRule type="expression" dxfId="4671" priority="3583">
      <formula>_xlfn.ISFORMULA(H187)=TRUE</formula>
    </cfRule>
  </conditionalFormatting>
  <conditionalFormatting sqref="H188">
    <cfRule type="duplicateValues" dxfId="4670" priority="3542"/>
    <cfRule type="duplicateValues" dxfId="4669" priority="3543"/>
    <cfRule type="expression" dxfId="4668" priority="3541">
      <formula>_xlfn.ISFORMULA(H188)=TRUE</formula>
    </cfRule>
    <cfRule type="duplicateValues" dxfId="4667" priority="3547"/>
    <cfRule type="duplicateValues" dxfId="4666" priority="3539"/>
    <cfRule type="expression" dxfId="4665" priority="3548">
      <formula>_xlfn.ISFORMULA(H188)=TRUE</formula>
    </cfRule>
    <cfRule type="duplicateValues" dxfId="4664" priority="3549"/>
    <cfRule type="duplicateValues" dxfId="4663" priority="3550"/>
    <cfRule type="expression" dxfId="4662" priority="3551">
      <formula>_xlfn.ISFORMULA(H188)=TRUE</formula>
    </cfRule>
    <cfRule type="duplicateValues" dxfId="4661" priority="3546"/>
    <cfRule type="duplicateValues" dxfId="4660" priority="3545"/>
    <cfRule type="duplicateValues" dxfId="4659" priority="3552"/>
    <cfRule type="duplicateValues" dxfId="4658" priority="3553"/>
    <cfRule type="duplicateValues" dxfId="4657" priority="3554"/>
    <cfRule type="expression" dxfId="4656" priority="3555">
      <formula>_xlfn.ISFORMULA(H188)=TRUE</formula>
    </cfRule>
    <cfRule type="expression" dxfId="4655" priority="3544">
      <formula>_xlfn.ISFORMULA(H188)=TRUE</formula>
    </cfRule>
    <cfRule type="duplicateValues" dxfId="4654" priority="3540"/>
    <cfRule type="duplicateValues" dxfId="4653" priority="3538"/>
  </conditionalFormatting>
  <conditionalFormatting sqref="H188:H189">
    <cfRule type="expression" dxfId="4652" priority="10451">
      <formula>_xlfn.ISFORMULA(H188)=TRUE</formula>
    </cfRule>
    <cfRule type="duplicateValues" dxfId="4651" priority="10448"/>
    <cfRule type="duplicateValues" dxfId="4650" priority="10449"/>
    <cfRule type="duplicateValues" dxfId="4649" priority="10450"/>
  </conditionalFormatting>
  <conditionalFormatting sqref="H189 H173">
    <cfRule type="duplicateValues" dxfId="4648" priority="11575"/>
    <cfRule type="duplicateValues" dxfId="4647" priority="11576"/>
  </conditionalFormatting>
  <conditionalFormatting sqref="H189">
    <cfRule type="duplicateValues" dxfId="4646" priority="8262"/>
    <cfRule type="duplicateValues" dxfId="4645" priority="8261"/>
    <cfRule type="expression" dxfId="4644" priority="8263">
      <formula>_xlfn.ISFORMULA(H189)=TRUE</formula>
    </cfRule>
    <cfRule type="duplicateValues" dxfId="4643" priority="8260"/>
    <cfRule type="expression" dxfId="4642" priority="8266">
      <formula>_xlfn.ISFORMULA(H189)=TRUE</formula>
    </cfRule>
    <cfRule type="duplicateValues" dxfId="4641" priority="8265"/>
    <cfRule type="duplicateValues" dxfId="4640" priority="8264"/>
  </conditionalFormatting>
  <conditionalFormatting sqref="H190 H206">
    <cfRule type="expression" dxfId="4639" priority="10041">
      <formula>_xlfn.ISFORMULA(H190)=TRUE</formula>
    </cfRule>
    <cfRule type="duplicateValues" dxfId="4638" priority="8430"/>
    <cfRule type="duplicateValues" dxfId="4637" priority="8429"/>
    <cfRule type="duplicateValues" dxfId="4636" priority="8428"/>
    <cfRule type="duplicateValues" dxfId="4635" priority="10038"/>
    <cfRule type="expression" dxfId="4634" priority="8431">
      <formula>_xlfn.ISFORMULA(H190)=TRUE</formula>
    </cfRule>
  </conditionalFormatting>
  <conditionalFormatting sqref="H190 H206:H207 H223:H224 H240:H241 H274:H275 H291:H292 H309 H325:H411">
    <cfRule type="expression" dxfId="4633" priority="13237">
      <formula>_xlfn.ISFORMULA(H190)=TRUE</formula>
    </cfRule>
  </conditionalFormatting>
  <conditionalFormatting sqref="H190 H274:H275 H291:H292 H309 H206:H207 H223:H224 H240:H241 H325:H411">
    <cfRule type="duplicateValues" dxfId="4632" priority="13139"/>
    <cfRule type="duplicateValues" dxfId="4631" priority="13159"/>
  </conditionalFormatting>
  <conditionalFormatting sqref="H190">
    <cfRule type="duplicateValues" dxfId="4630" priority="10468"/>
    <cfRule type="duplicateValues" dxfId="4629" priority="10469"/>
    <cfRule type="duplicateValues" dxfId="4628" priority="10470"/>
    <cfRule type="expression" dxfId="4627" priority="10471">
      <formula>_xlfn.ISFORMULA(H190)=TRUE</formula>
    </cfRule>
    <cfRule type="duplicateValues" dxfId="4626" priority="10473"/>
    <cfRule type="duplicateValues" dxfId="4625" priority="10472"/>
    <cfRule type="expression" dxfId="4624" priority="10474">
      <formula>_xlfn.ISFORMULA(H190)=TRUE</formula>
    </cfRule>
    <cfRule type="expression" dxfId="4623" priority="8342">
      <formula>_xlfn.ISFORMULA(H190)=TRUE</formula>
    </cfRule>
    <cfRule type="duplicateValues" dxfId="4622" priority="8341"/>
    <cfRule type="duplicateValues" dxfId="4621" priority="8340"/>
    <cfRule type="duplicateValues" dxfId="4620" priority="8339"/>
  </conditionalFormatting>
  <conditionalFormatting sqref="H191 H207">
    <cfRule type="expression" dxfId="4619" priority="10467">
      <formula>_xlfn.ISFORMULA(H191)=TRUE</formula>
    </cfRule>
    <cfRule type="duplicateValues" dxfId="4618" priority="10465"/>
    <cfRule type="duplicateValues" dxfId="4617" priority="10464"/>
    <cfRule type="duplicateValues" dxfId="4616" priority="10466"/>
  </conditionalFormatting>
  <conditionalFormatting sqref="H191">
    <cfRule type="duplicateValues" dxfId="4615" priority="3524"/>
    <cfRule type="duplicateValues" dxfId="4614" priority="3525"/>
    <cfRule type="expression" dxfId="4613" priority="3526">
      <formula>_xlfn.ISFORMULA(H191)=TRUE</formula>
    </cfRule>
    <cfRule type="duplicateValues" dxfId="4612" priority="3527"/>
    <cfRule type="duplicateValues" dxfId="4611" priority="3528"/>
    <cfRule type="duplicateValues" dxfId="4610" priority="3529"/>
    <cfRule type="expression" dxfId="4609" priority="3530">
      <formula>_xlfn.ISFORMULA(H191)=TRUE</formula>
    </cfRule>
    <cfRule type="duplicateValues" dxfId="4608" priority="3531"/>
    <cfRule type="duplicateValues" dxfId="4607" priority="3532"/>
    <cfRule type="expression" dxfId="4606" priority="3533">
      <formula>_xlfn.ISFORMULA(H191)=TRUE</formula>
    </cfRule>
    <cfRule type="duplicateValues" dxfId="4605" priority="3534"/>
    <cfRule type="duplicateValues" dxfId="4604" priority="3535"/>
    <cfRule type="duplicateValues" dxfId="4603" priority="3536"/>
    <cfRule type="expression" dxfId="4602" priority="3537">
      <formula>_xlfn.ISFORMULA(H191)=TRUE</formula>
    </cfRule>
    <cfRule type="duplicateValues" dxfId="4601" priority="9881"/>
    <cfRule type="duplicateValues" dxfId="4600" priority="9882"/>
    <cfRule type="duplicateValues" dxfId="4599" priority="9883"/>
    <cfRule type="expression" dxfId="4598" priority="8416">
      <formula>_xlfn.ISFORMULA(H191)=TRUE</formula>
    </cfRule>
    <cfRule type="duplicateValues" dxfId="4597" priority="8415"/>
    <cfRule type="duplicateValues" dxfId="4596" priority="8414"/>
    <cfRule type="duplicateValues" dxfId="4595" priority="8413"/>
    <cfRule type="expression" dxfId="4594" priority="9884">
      <formula>_xlfn.ISFORMULA(H191)=TRUE</formula>
    </cfRule>
    <cfRule type="duplicateValues" dxfId="4593" priority="3520"/>
    <cfRule type="duplicateValues" dxfId="4592" priority="3521"/>
    <cfRule type="duplicateValues" dxfId="4591" priority="3522"/>
    <cfRule type="expression" dxfId="4590" priority="3523">
      <formula>_xlfn.ISFORMULA(H191)=TRUE</formula>
    </cfRule>
  </conditionalFormatting>
  <conditionalFormatting sqref="H191:H194">
    <cfRule type="duplicateValues" dxfId="4589" priority="10746"/>
    <cfRule type="expression" dxfId="4588" priority="10749">
      <formula>_xlfn.ISFORMULA(H191)=TRUE</formula>
    </cfRule>
    <cfRule type="duplicateValues" dxfId="4587" priority="10748"/>
    <cfRule type="duplicateValues" dxfId="4586" priority="10747"/>
  </conditionalFormatting>
  <conditionalFormatting sqref="H192">
    <cfRule type="duplicateValues" dxfId="4585" priority="10435"/>
    <cfRule type="duplicateValues" dxfId="4584" priority="10434"/>
    <cfRule type="duplicateValues" dxfId="4583" priority="10433"/>
    <cfRule type="expression" dxfId="4582" priority="10436">
      <formula>_xlfn.ISFORMULA(H192)=TRUE</formula>
    </cfRule>
    <cfRule type="duplicateValues" dxfId="4581" priority="8421"/>
    <cfRule type="duplicateValues" dxfId="4580" priority="8422"/>
    <cfRule type="expression" dxfId="4579" priority="8423">
      <formula>_xlfn.ISFORMULA(H192)=TRUE</formula>
    </cfRule>
  </conditionalFormatting>
  <conditionalFormatting sqref="H192:H194">
    <cfRule type="expression" dxfId="4578" priority="10447">
      <formula>_xlfn.ISFORMULA(H192)=TRUE</formula>
    </cfRule>
    <cfRule type="duplicateValues" dxfId="4577" priority="9962"/>
    <cfRule type="expression" dxfId="4576" priority="9963">
      <formula>_xlfn.ISFORMULA(H192)=TRUE</formula>
    </cfRule>
    <cfRule type="duplicateValues" dxfId="4575" priority="9960"/>
    <cfRule type="duplicateValues" dxfId="4574" priority="9961"/>
    <cfRule type="duplicateValues" dxfId="4573" priority="10438"/>
    <cfRule type="duplicateValues" dxfId="4572" priority="10446"/>
    <cfRule type="duplicateValues" dxfId="4571" priority="10445"/>
  </conditionalFormatting>
  <conditionalFormatting sqref="H192:H198">
    <cfRule type="duplicateValues" dxfId="4570" priority="10742"/>
    <cfRule type="duplicateValues" dxfId="4569" priority="10743"/>
    <cfRule type="duplicateValues" dxfId="4568" priority="10744"/>
    <cfRule type="expression" dxfId="4567" priority="10745">
      <formula>_xlfn.ISFORMULA(H192)=TRUE</formula>
    </cfRule>
  </conditionalFormatting>
  <conditionalFormatting sqref="H193">
    <cfRule type="duplicateValues" dxfId="4566" priority="10442"/>
    <cfRule type="duplicateValues" dxfId="4565" priority="8418"/>
    <cfRule type="duplicateValues" dxfId="4564" priority="8419"/>
    <cfRule type="expression" dxfId="4563" priority="8420">
      <formula>_xlfn.ISFORMULA(H193)=TRUE</formula>
    </cfRule>
    <cfRule type="expression" dxfId="4562" priority="10444">
      <formula>_xlfn.ISFORMULA(H193)=TRUE</formula>
    </cfRule>
    <cfRule type="duplicateValues" dxfId="4561" priority="10443"/>
  </conditionalFormatting>
  <conditionalFormatting sqref="H194">
    <cfRule type="duplicateValues" dxfId="4560" priority="8411"/>
    <cfRule type="duplicateValues" dxfId="4559" priority="8410"/>
    <cfRule type="expression" dxfId="4558" priority="8409">
      <formula>_xlfn.ISFORMULA(H194)=TRUE</formula>
    </cfRule>
    <cfRule type="duplicateValues" dxfId="4557" priority="8408"/>
    <cfRule type="duplicateValues" dxfId="4556" priority="8407"/>
    <cfRule type="duplicateValues" dxfId="4555" priority="8406"/>
    <cfRule type="duplicateValues" dxfId="4554" priority="10440"/>
    <cfRule type="duplicateValues" dxfId="4553" priority="10439"/>
    <cfRule type="duplicateValues" dxfId="4552" priority="3490"/>
    <cfRule type="expression" dxfId="4551" priority="8412">
      <formula>_xlfn.ISFORMULA(H194)=TRUE</formula>
    </cfRule>
    <cfRule type="duplicateValues" dxfId="4550" priority="3489"/>
    <cfRule type="duplicateValues" dxfId="4549" priority="3491"/>
    <cfRule type="expression" dxfId="4548" priority="3492">
      <formula>_xlfn.ISFORMULA(H194)=TRUE</formula>
    </cfRule>
    <cfRule type="expression" dxfId="4547" priority="10441">
      <formula>_xlfn.ISFORMULA(H194)=TRUE</formula>
    </cfRule>
  </conditionalFormatting>
  <conditionalFormatting sqref="H195">
    <cfRule type="expression" dxfId="4546" priority="8401">
      <formula>_xlfn.ISFORMULA(H195)=TRUE</formula>
    </cfRule>
    <cfRule type="duplicateValues" dxfId="4545" priority="8400"/>
    <cfRule type="duplicateValues" dxfId="4544" priority="8399"/>
    <cfRule type="expression" dxfId="4543" priority="8398">
      <formula>_xlfn.ISFORMULA(H195)=TRUE</formula>
    </cfRule>
    <cfRule type="duplicateValues" dxfId="4542" priority="8396"/>
    <cfRule type="duplicateValues" dxfId="4541" priority="8395"/>
    <cfRule type="duplicateValues" dxfId="4540" priority="3514"/>
    <cfRule type="duplicateValues" dxfId="4539" priority="10428"/>
    <cfRule type="duplicateValues" dxfId="4538" priority="10427"/>
    <cfRule type="duplicateValues" dxfId="4537" priority="3513"/>
    <cfRule type="expression" dxfId="4536" priority="3477">
      <formula>_xlfn.ISFORMULA(H195)=TRUE</formula>
    </cfRule>
    <cfRule type="duplicateValues" dxfId="4535" priority="3476"/>
    <cfRule type="expression" dxfId="4534" priority="10429">
      <formula>_xlfn.ISFORMULA(H195)=TRUE</formula>
    </cfRule>
    <cfRule type="duplicateValues" dxfId="4533" priority="10431"/>
    <cfRule type="expression" dxfId="4532" priority="10432">
      <formula>_xlfn.ISFORMULA(H195)=TRUE</formula>
    </cfRule>
    <cfRule type="duplicateValues" dxfId="4531" priority="10430"/>
    <cfRule type="duplicateValues" dxfId="4530" priority="10426"/>
    <cfRule type="duplicateValues" dxfId="4529" priority="3475"/>
    <cfRule type="expression" dxfId="4528" priority="3474">
      <formula>_xlfn.ISFORMULA(H195)=TRUE</formula>
    </cfRule>
    <cfRule type="duplicateValues" dxfId="4527" priority="3472"/>
    <cfRule type="duplicateValues" dxfId="4526" priority="3473"/>
    <cfRule type="duplicateValues" dxfId="4525" priority="3471"/>
    <cfRule type="duplicateValues" dxfId="4524" priority="3515"/>
    <cfRule type="expression" dxfId="4523" priority="3516">
      <formula>_xlfn.ISFORMULA(H195)=TRUE</formula>
    </cfRule>
    <cfRule type="duplicateValues" dxfId="4522" priority="8397"/>
  </conditionalFormatting>
  <conditionalFormatting sqref="H196">
    <cfRule type="duplicateValues" dxfId="4521" priority="3504"/>
    <cfRule type="expression" dxfId="4520" priority="8394">
      <formula>_xlfn.ISFORMULA(H196)=TRUE</formula>
    </cfRule>
    <cfRule type="duplicateValues" dxfId="4519" priority="3502"/>
    <cfRule type="duplicateValues" dxfId="4518" priority="3503"/>
    <cfRule type="expression" dxfId="4517" priority="3505">
      <formula>_xlfn.ISFORMULA(H196)=TRUE</formula>
    </cfRule>
    <cfRule type="expression" dxfId="4516" priority="10421">
      <formula>_xlfn.ISFORMULA(H196)=TRUE</formula>
    </cfRule>
    <cfRule type="duplicateValues" dxfId="4515" priority="3506"/>
    <cfRule type="duplicateValues" dxfId="4514" priority="3507"/>
    <cfRule type="expression" dxfId="4513" priority="3508">
      <formula>_xlfn.ISFORMULA(H196)=TRUE</formula>
    </cfRule>
    <cfRule type="duplicateValues" dxfId="4512" priority="10420"/>
    <cfRule type="duplicateValues" dxfId="4511" priority="10419"/>
    <cfRule type="expression" dxfId="4510" priority="10418">
      <formula>_xlfn.ISFORMULA(H196)=TRUE</formula>
    </cfRule>
    <cfRule type="duplicateValues" dxfId="4509" priority="10417"/>
    <cfRule type="duplicateValues" dxfId="4508" priority="10416"/>
    <cfRule type="duplicateValues" dxfId="4507" priority="10415"/>
    <cfRule type="duplicateValues" dxfId="4506" priority="8388"/>
    <cfRule type="duplicateValues" dxfId="4505" priority="8389"/>
    <cfRule type="duplicateValues" dxfId="4504" priority="8390"/>
    <cfRule type="expression" dxfId="4503" priority="8391">
      <formula>_xlfn.ISFORMULA(H196)=TRUE</formula>
    </cfRule>
    <cfRule type="duplicateValues" dxfId="4502" priority="8392"/>
    <cfRule type="duplicateValues" dxfId="4501" priority="8393"/>
  </conditionalFormatting>
  <conditionalFormatting sqref="H196:H198">
    <cfRule type="duplicateValues" dxfId="4500" priority="3497"/>
    <cfRule type="duplicateValues" dxfId="4499" priority="3498"/>
    <cfRule type="expression" dxfId="4498" priority="3500">
      <formula>_xlfn.ISFORMULA(H196)=TRUE</formula>
    </cfRule>
    <cfRule type="duplicateValues" dxfId="4497" priority="3499"/>
  </conditionalFormatting>
  <conditionalFormatting sqref="H197">
    <cfRule type="expression" dxfId="4496" priority="10414">
      <formula>_xlfn.ISFORMULA(H197)=TRUE</formula>
    </cfRule>
    <cfRule type="duplicateValues" dxfId="4495" priority="8381"/>
    <cfRule type="duplicateValues" dxfId="4494" priority="8382"/>
    <cfRule type="duplicateValues" dxfId="4493" priority="8383"/>
    <cfRule type="duplicateValues" dxfId="4492" priority="8385"/>
    <cfRule type="duplicateValues" dxfId="4491" priority="8386"/>
    <cfRule type="expression" dxfId="4490" priority="8387">
      <formula>_xlfn.ISFORMULA(H197)=TRUE</formula>
    </cfRule>
    <cfRule type="duplicateValues" dxfId="4489" priority="3485"/>
    <cfRule type="duplicateValues" dxfId="4488" priority="3486"/>
    <cfRule type="duplicateValues" dxfId="4487" priority="3487"/>
    <cfRule type="expression" dxfId="4486" priority="3488">
      <formula>_xlfn.ISFORMULA(H197)=TRUE</formula>
    </cfRule>
    <cfRule type="expression" dxfId="4485" priority="8384">
      <formula>_xlfn.ISFORMULA(H197)=TRUE</formula>
    </cfRule>
    <cfRule type="duplicateValues" dxfId="4484" priority="10408"/>
    <cfRule type="duplicateValues" dxfId="4483" priority="10409"/>
    <cfRule type="duplicateValues" dxfId="4482" priority="10410"/>
    <cfRule type="expression" dxfId="4481" priority="10411">
      <formula>_xlfn.ISFORMULA(H197)=TRUE</formula>
    </cfRule>
    <cfRule type="duplicateValues" dxfId="4480" priority="10412"/>
    <cfRule type="duplicateValues" dxfId="4479" priority="10413"/>
  </conditionalFormatting>
  <conditionalFormatting sqref="H197:H198">
    <cfRule type="expression" dxfId="4478" priority="3519">
      <formula>_xlfn.ISFORMULA(H197)=TRUE</formula>
    </cfRule>
    <cfRule type="duplicateValues" dxfId="4477" priority="3517"/>
    <cfRule type="duplicateValues" dxfId="4476" priority="3518"/>
  </conditionalFormatting>
  <conditionalFormatting sqref="H198">
    <cfRule type="expression" dxfId="4475" priority="3512">
      <formula>_xlfn.ISFORMULA(H198)=TRUE</formula>
    </cfRule>
    <cfRule type="expression" dxfId="4474" priority="10407">
      <formula>_xlfn.ISFORMULA(H198)=TRUE</formula>
    </cfRule>
    <cfRule type="duplicateValues" dxfId="4473" priority="8379"/>
    <cfRule type="duplicateValues" dxfId="4472" priority="8378"/>
    <cfRule type="expression" dxfId="4471" priority="8377">
      <formula>_xlfn.ISFORMULA(H198)=TRUE</formula>
    </cfRule>
    <cfRule type="duplicateValues" dxfId="4470" priority="8376"/>
    <cfRule type="duplicateValues" dxfId="4469" priority="8375"/>
    <cfRule type="duplicateValues" dxfId="4468" priority="8374"/>
    <cfRule type="duplicateValues" dxfId="4467" priority="3479"/>
    <cfRule type="expression" dxfId="4466" priority="3496">
      <formula>_xlfn.ISFORMULA(H198)=TRUE</formula>
    </cfRule>
    <cfRule type="duplicateValues" dxfId="4465" priority="3495"/>
    <cfRule type="duplicateValues" dxfId="4464" priority="3494"/>
    <cfRule type="duplicateValues" dxfId="4463" priority="3478"/>
    <cfRule type="duplicateValues" dxfId="4462" priority="3493"/>
    <cfRule type="expression" dxfId="4461" priority="3481">
      <formula>_xlfn.ISFORMULA(H198)=TRUE</formula>
    </cfRule>
    <cfRule type="duplicateValues" dxfId="4460" priority="3480"/>
    <cfRule type="expression" dxfId="4459" priority="3484">
      <formula>_xlfn.ISFORMULA(H198)=TRUE</formula>
    </cfRule>
    <cfRule type="duplicateValues" dxfId="4458" priority="3483"/>
    <cfRule type="duplicateValues" dxfId="4457" priority="3510"/>
    <cfRule type="duplicateValues" dxfId="4456" priority="3509"/>
    <cfRule type="expression" dxfId="4455" priority="8380">
      <formula>_xlfn.ISFORMULA(H198)=TRUE</formula>
    </cfRule>
    <cfRule type="duplicateValues" dxfId="4454" priority="10401"/>
    <cfRule type="duplicateValues" dxfId="4453" priority="10402"/>
    <cfRule type="duplicateValues" dxfId="4452" priority="10403"/>
    <cfRule type="expression" dxfId="4451" priority="10404">
      <formula>_xlfn.ISFORMULA(H198)=TRUE</formula>
    </cfRule>
    <cfRule type="duplicateValues" dxfId="4450" priority="10405"/>
    <cfRule type="duplicateValues" dxfId="4449" priority="10406"/>
    <cfRule type="duplicateValues" dxfId="4448" priority="3482"/>
    <cfRule type="duplicateValues" dxfId="4447" priority="3511"/>
  </conditionalFormatting>
  <conditionalFormatting sqref="H199">
    <cfRule type="duplicateValues" dxfId="4446" priority="3449"/>
    <cfRule type="duplicateValues" dxfId="4445" priority="3462"/>
    <cfRule type="expression" dxfId="4444" priority="3467">
      <formula>_xlfn.ISFORMULA(H199)=TRUE</formula>
    </cfRule>
    <cfRule type="duplicateValues" dxfId="4443" priority="3448"/>
    <cfRule type="duplicateValues" dxfId="4442" priority="3382"/>
    <cfRule type="duplicateValues" dxfId="4441" priority="3433"/>
    <cfRule type="duplicateValues" dxfId="4440" priority="3383"/>
    <cfRule type="duplicateValues" dxfId="4439" priority="3384"/>
    <cfRule type="expression" dxfId="4438" priority="3385">
      <formula>_xlfn.ISFORMULA(H199)=TRUE</formula>
    </cfRule>
    <cfRule type="duplicateValues" dxfId="4437" priority="3450"/>
    <cfRule type="expression" dxfId="4436" priority="3451">
      <formula>_xlfn.ISFORMULA(H199)=TRUE</formula>
    </cfRule>
    <cfRule type="expression" dxfId="4435" priority="3465">
      <formula>_xlfn.ISFORMULA(H199)=TRUE</formula>
    </cfRule>
    <cfRule type="duplicateValues" dxfId="4434" priority="3466"/>
    <cfRule type="duplicateValues" dxfId="4433" priority="3464"/>
    <cfRule type="duplicateValues" dxfId="4432" priority="3463"/>
    <cfRule type="duplicateValues" dxfId="4431" priority="3432"/>
    <cfRule type="duplicateValues" dxfId="4430" priority="3434"/>
    <cfRule type="expression" dxfId="4429" priority="3435">
      <formula>_xlfn.ISFORMULA(H199)=TRUE</formula>
    </cfRule>
  </conditionalFormatting>
  <conditionalFormatting sqref="H199:H201">
    <cfRule type="duplicateValues" dxfId="4428" priority="3440"/>
    <cfRule type="duplicateValues" dxfId="4427" priority="3468"/>
    <cfRule type="expression" dxfId="4426" priority="3470">
      <formula>_xlfn.ISFORMULA(H199)=TRUE</formula>
    </cfRule>
    <cfRule type="duplicateValues" dxfId="4425" priority="3442"/>
    <cfRule type="duplicateValues" dxfId="4424" priority="3441"/>
    <cfRule type="expression" dxfId="4423" priority="3443">
      <formula>_xlfn.ISFORMULA(H199)=TRUE</formula>
    </cfRule>
    <cfRule type="duplicateValues" dxfId="4422" priority="3469"/>
  </conditionalFormatting>
  <conditionalFormatting sqref="H200">
    <cfRule type="duplicateValues" dxfId="4421" priority="3420"/>
    <cfRule type="duplicateValues" dxfId="4420" priority="3394"/>
    <cfRule type="duplicateValues" dxfId="4419" priority="3395"/>
    <cfRule type="duplicateValues" dxfId="4418" priority="3391"/>
    <cfRule type="expression" dxfId="4417" priority="3423">
      <formula>_xlfn.ISFORMULA(H200)=TRUE</formula>
    </cfRule>
    <cfRule type="duplicateValues" dxfId="4416" priority="3422"/>
    <cfRule type="duplicateValues" dxfId="4415" priority="3421"/>
    <cfRule type="expression" dxfId="4414" priority="3396">
      <formula>_xlfn.ISFORMULA(H200)=TRUE</formula>
    </cfRule>
    <cfRule type="duplicateValues" dxfId="4413" priority="3393"/>
    <cfRule type="duplicateValues" dxfId="4412" priority="3397"/>
    <cfRule type="duplicateValues" dxfId="4411" priority="3390"/>
    <cfRule type="expression" dxfId="4410" priority="3398">
      <formula>_xlfn.ISFORMULA(H200)=TRUE</formula>
    </cfRule>
    <cfRule type="expression" dxfId="4409" priority="3392">
      <formula>_xlfn.ISFORMULA(H200)=TRUE</formula>
    </cfRule>
  </conditionalFormatting>
  <conditionalFormatting sqref="H200:H201">
    <cfRule type="duplicateValues" dxfId="4408" priority="3425"/>
    <cfRule type="duplicateValues" dxfId="4407" priority="3429"/>
    <cfRule type="duplicateValues" dxfId="4406" priority="3430"/>
    <cfRule type="expression" dxfId="4405" priority="3431">
      <formula>_xlfn.ISFORMULA(H200)=TRUE</formula>
    </cfRule>
  </conditionalFormatting>
  <conditionalFormatting sqref="H201 H203">
    <cfRule type="duplicateValues" dxfId="4404" priority="3444"/>
    <cfRule type="duplicateValues" dxfId="4403" priority="3445"/>
    <cfRule type="expression" dxfId="4402" priority="3447">
      <formula>_xlfn.ISFORMULA(H201)=TRUE</formula>
    </cfRule>
    <cfRule type="duplicateValues" dxfId="4401" priority="3446"/>
  </conditionalFormatting>
  <conditionalFormatting sqref="H201">
    <cfRule type="duplicateValues" dxfId="4400" priority="3427"/>
    <cfRule type="expression" dxfId="4399" priority="3428">
      <formula>_xlfn.ISFORMULA(H201)=TRUE</formula>
    </cfRule>
    <cfRule type="duplicateValues" dxfId="4398" priority="3456"/>
    <cfRule type="duplicateValues" dxfId="4397" priority="3458"/>
    <cfRule type="duplicateValues" dxfId="4396" priority="3388"/>
    <cfRule type="expression" dxfId="4395" priority="3389">
      <formula>_xlfn.ISFORMULA(H201)=TRUE</formula>
    </cfRule>
    <cfRule type="duplicateValues" dxfId="4394" priority="3387"/>
    <cfRule type="duplicateValues" dxfId="4393" priority="3457"/>
    <cfRule type="expression" dxfId="4392" priority="3461">
      <formula>_xlfn.ISFORMULA(H201)=TRUE</formula>
    </cfRule>
    <cfRule type="duplicateValues" dxfId="4391" priority="3460"/>
    <cfRule type="duplicateValues" dxfId="4390" priority="3426"/>
    <cfRule type="expression" dxfId="4389" priority="3459">
      <formula>_xlfn.ISFORMULA(H201)=TRUE</formula>
    </cfRule>
  </conditionalFormatting>
  <conditionalFormatting sqref="H202">
    <cfRule type="duplicateValues" dxfId="4388" priority="3298"/>
    <cfRule type="expression" dxfId="4387" priority="3299">
      <formula>_xlfn.ISFORMULA(H202)=TRUE</formula>
    </cfRule>
    <cfRule type="duplicateValues" dxfId="4386" priority="3296"/>
    <cfRule type="duplicateValues" dxfId="4385" priority="3297"/>
  </conditionalFormatting>
  <conditionalFormatting sqref="H203">
    <cfRule type="duplicateValues" dxfId="4384" priority="3320"/>
    <cfRule type="duplicateValues" dxfId="4383" priority="3319"/>
    <cfRule type="expression" dxfId="4382" priority="3318">
      <formula>_xlfn.ISFORMULA(H203)=TRUE</formula>
    </cfRule>
    <cfRule type="duplicateValues" dxfId="4381" priority="3317"/>
    <cfRule type="duplicateValues" dxfId="4380" priority="3316"/>
    <cfRule type="duplicateValues" dxfId="4379" priority="3315"/>
    <cfRule type="duplicateValues" dxfId="4378" priority="3355"/>
    <cfRule type="duplicateValues" dxfId="4377" priority="3356"/>
    <cfRule type="expression" dxfId="4376" priority="3357">
      <formula>_xlfn.ISFORMULA(H203)=TRUE</formula>
    </cfRule>
    <cfRule type="duplicateValues" dxfId="4375" priority="3358"/>
    <cfRule type="duplicateValues" dxfId="4374" priority="3359"/>
    <cfRule type="expression" dxfId="4373" priority="3360">
      <formula>_xlfn.ISFORMULA(H203)=TRUE</formula>
    </cfRule>
    <cfRule type="duplicateValues" dxfId="4372" priority="3375"/>
    <cfRule type="duplicateValues" dxfId="4371" priority="3376"/>
    <cfRule type="duplicateValues" dxfId="4370" priority="3377"/>
    <cfRule type="expression" dxfId="4369" priority="3378">
      <formula>_xlfn.ISFORMULA(H203)=TRUE</formula>
    </cfRule>
    <cfRule type="duplicateValues" dxfId="4368" priority="3379"/>
    <cfRule type="duplicateValues" dxfId="4367" priority="3380"/>
    <cfRule type="expression" dxfId="4366" priority="3381">
      <formula>_xlfn.ISFORMULA(H203)=TRUE</formula>
    </cfRule>
    <cfRule type="duplicateValues" dxfId="4365" priority="3413"/>
    <cfRule type="duplicateValues" dxfId="4364" priority="3414"/>
    <cfRule type="duplicateValues" dxfId="4363" priority="3415"/>
    <cfRule type="expression" dxfId="4362" priority="3416">
      <formula>_xlfn.ISFORMULA(H203)=TRUE</formula>
    </cfRule>
    <cfRule type="duplicateValues" dxfId="4361" priority="3417"/>
    <cfRule type="duplicateValues" dxfId="4360" priority="3418"/>
    <cfRule type="expression" dxfId="4359" priority="3419">
      <formula>_xlfn.ISFORMULA(H203)=TRUE</formula>
    </cfRule>
    <cfRule type="duplicateValues" dxfId="4358" priority="3338"/>
    <cfRule type="expression" dxfId="4357" priority="3321">
      <formula>_xlfn.ISFORMULA(H203)=TRUE</formula>
    </cfRule>
    <cfRule type="duplicateValues" dxfId="4356" priority="3336"/>
    <cfRule type="duplicateValues" dxfId="4355" priority="3337"/>
    <cfRule type="expression" dxfId="4354" priority="3339">
      <formula>_xlfn.ISFORMULA(H203)=TRUE</formula>
    </cfRule>
    <cfRule type="duplicateValues" dxfId="4353" priority="3340"/>
    <cfRule type="duplicateValues" dxfId="4352" priority="3341"/>
    <cfRule type="expression" dxfId="4351" priority="3342">
      <formula>_xlfn.ISFORMULA(H203)=TRUE</formula>
    </cfRule>
    <cfRule type="duplicateValues" dxfId="4350" priority="3343"/>
    <cfRule type="duplicateValues" dxfId="4349" priority="3344"/>
    <cfRule type="duplicateValues" dxfId="4348" priority="3345"/>
    <cfRule type="expression" dxfId="4347" priority="3346">
      <formula>_xlfn.ISFORMULA(H203)=TRUE</formula>
    </cfRule>
    <cfRule type="duplicateValues" dxfId="4346" priority="3351"/>
    <cfRule type="duplicateValues" dxfId="4345" priority="3352"/>
    <cfRule type="expression" dxfId="4344" priority="3353">
      <formula>_xlfn.ISFORMULA(H203)=TRUE</formula>
    </cfRule>
    <cfRule type="duplicateValues" dxfId="4343" priority="3354"/>
  </conditionalFormatting>
  <conditionalFormatting sqref="H203:H204">
    <cfRule type="expression" dxfId="4342" priority="3350">
      <formula>_xlfn.ISFORMULA(H203)=TRUE</formula>
    </cfRule>
    <cfRule type="duplicateValues" dxfId="4341" priority="3349"/>
    <cfRule type="duplicateValues" dxfId="4340" priority="3348"/>
    <cfRule type="duplicateValues" dxfId="4339" priority="3347"/>
  </conditionalFormatting>
  <conditionalFormatting sqref="H203:H205 H199:H201">
    <cfRule type="duplicateValues" dxfId="4338" priority="3300"/>
  </conditionalFormatting>
  <conditionalFormatting sqref="H203:H205">
    <cfRule type="duplicateValues" dxfId="4337" priority="3438"/>
    <cfRule type="duplicateValues" dxfId="4336" priority="3437"/>
    <cfRule type="duplicateValues" dxfId="4335" priority="3436"/>
    <cfRule type="expression" dxfId="4334" priority="3439">
      <formula>_xlfn.ISFORMULA(H203)=TRUE</formula>
    </cfRule>
    <cfRule type="duplicateValues" dxfId="4333" priority="3452"/>
    <cfRule type="duplicateValues" dxfId="4332" priority="3453"/>
    <cfRule type="duplicateValues" dxfId="4331" priority="3454"/>
    <cfRule type="expression" dxfId="4330" priority="3455">
      <formula>_xlfn.ISFORMULA(H203)=TRUE</formula>
    </cfRule>
  </conditionalFormatting>
  <conditionalFormatting sqref="H204">
    <cfRule type="expression" dxfId="4329" priority="3314">
      <formula>_xlfn.ISFORMULA(H204)=TRUE</formula>
    </cfRule>
    <cfRule type="duplicateValues" dxfId="4328" priority="3313"/>
    <cfRule type="duplicateValues" dxfId="4327" priority="3312"/>
    <cfRule type="expression" dxfId="4326" priority="3311">
      <formula>_xlfn.ISFORMULA(H204)=TRUE</formula>
    </cfRule>
    <cfRule type="duplicateValues" dxfId="4325" priority="3310"/>
    <cfRule type="duplicateValues" dxfId="4324" priority="3309"/>
    <cfRule type="duplicateValues" dxfId="4323" priority="3331"/>
    <cfRule type="expression" dxfId="4322" priority="3332">
      <formula>_xlfn.ISFORMULA(H204)=TRUE</formula>
    </cfRule>
    <cfRule type="duplicateValues" dxfId="4321" priority="3333"/>
    <cfRule type="duplicateValues" dxfId="4320" priority="3334"/>
    <cfRule type="expression" dxfId="4319" priority="3335">
      <formula>_xlfn.ISFORMULA(H204)=TRUE</formula>
    </cfRule>
    <cfRule type="duplicateValues" dxfId="4318" priority="3373"/>
    <cfRule type="expression" dxfId="4317" priority="3374">
      <formula>_xlfn.ISFORMULA(H204)=TRUE</formula>
    </cfRule>
    <cfRule type="duplicateValues" dxfId="4316" priority="3407"/>
    <cfRule type="duplicateValues" dxfId="4315" priority="3372"/>
    <cfRule type="expression" dxfId="4314" priority="3371">
      <formula>_xlfn.ISFORMULA(H204)=TRUE</formula>
    </cfRule>
    <cfRule type="duplicateValues" dxfId="4313" priority="3368"/>
    <cfRule type="duplicateValues" dxfId="4312" priority="3370"/>
    <cfRule type="duplicateValues" dxfId="4311" priority="3329"/>
    <cfRule type="duplicateValues" dxfId="4310" priority="3369"/>
    <cfRule type="expression" dxfId="4309" priority="3412">
      <formula>_xlfn.ISFORMULA(H204)=TRUE</formula>
    </cfRule>
    <cfRule type="duplicateValues" dxfId="4308" priority="3411"/>
    <cfRule type="duplicateValues" dxfId="4307" priority="3410"/>
    <cfRule type="expression" dxfId="4306" priority="3409">
      <formula>_xlfn.ISFORMULA(H204)=TRUE</formula>
    </cfRule>
    <cfRule type="duplicateValues" dxfId="4305" priority="3408"/>
    <cfRule type="duplicateValues" dxfId="4304" priority="3308"/>
    <cfRule type="duplicateValues" dxfId="4303" priority="3406"/>
    <cfRule type="duplicateValues" dxfId="4302" priority="3330"/>
  </conditionalFormatting>
  <conditionalFormatting sqref="H205">
    <cfRule type="duplicateValues" dxfId="4301" priority="3403"/>
    <cfRule type="duplicateValues" dxfId="4300" priority="3322"/>
    <cfRule type="duplicateValues" dxfId="4299" priority="3302"/>
    <cfRule type="duplicateValues" dxfId="4298" priority="3303"/>
    <cfRule type="expression" dxfId="4297" priority="3304">
      <formula>_xlfn.ISFORMULA(H205)=TRUE</formula>
    </cfRule>
    <cfRule type="duplicateValues" dxfId="4296" priority="3323"/>
    <cfRule type="duplicateValues" dxfId="4295" priority="3365"/>
    <cfRule type="duplicateValues" dxfId="4294" priority="3305"/>
    <cfRule type="expression" dxfId="4293" priority="3364">
      <formula>_xlfn.ISFORMULA(H205)=TRUE</formula>
    </cfRule>
    <cfRule type="duplicateValues" dxfId="4292" priority="3363"/>
    <cfRule type="expression" dxfId="4291" priority="3328">
      <formula>_xlfn.ISFORMULA(H205)=TRUE</formula>
    </cfRule>
    <cfRule type="duplicateValues" dxfId="4290" priority="3362"/>
    <cfRule type="expression" dxfId="4289" priority="3405">
      <formula>_xlfn.ISFORMULA(H205)=TRUE</formula>
    </cfRule>
    <cfRule type="duplicateValues" dxfId="4288" priority="3404"/>
    <cfRule type="duplicateValues" dxfId="4287" priority="3361"/>
    <cfRule type="expression" dxfId="4286" priority="3402">
      <formula>_xlfn.ISFORMULA(H205)=TRUE</formula>
    </cfRule>
    <cfRule type="duplicateValues" dxfId="4285" priority="3401"/>
    <cfRule type="duplicateValues" dxfId="4284" priority="3400"/>
    <cfRule type="duplicateValues" dxfId="4283" priority="3399"/>
    <cfRule type="duplicateValues" dxfId="4282" priority="3326"/>
    <cfRule type="expression" dxfId="4281" priority="3307">
      <formula>_xlfn.ISFORMULA(H205)=TRUE</formula>
    </cfRule>
    <cfRule type="duplicateValues" dxfId="4280" priority="3327"/>
    <cfRule type="duplicateValues" dxfId="4279" priority="3306"/>
    <cfRule type="expression" dxfId="4278" priority="3325">
      <formula>_xlfn.ISFORMULA(H205)=TRUE</formula>
    </cfRule>
    <cfRule type="duplicateValues" dxfId="4277" priority="3324"/>
    <cfRule type="duplicateValues" dxfId="4276" priority="3301"/>
    <cfRule type="duplicateValues" dxfId="4275" priority="3366"/>
    <cfRule type="expression" dxfId="4274" priority="3367">
      <formula>_xlfn.ISFORMULA(H205)=TRUE</formula>
    </cfRule>
  </conditionalFormatting>
  <conditionalFormatting sqref="H206 H190">
    <cfRule type="duplicateValues" dxfId="4273" priority="10040"/>
    <cfRule type="duplicateValues" dxfId="4272" priority="10039"/>
  </conditionalFormatting>
  <conditionalFormatting sqref="H206">
    <cfRule type="duplicateValues" dxfId="4271" priority="9854"/>
    <cfRule type="expression" dxfId="4270" priority="9857">
      <formula>_xlfn.ISFORMULA(H206)=TRUE</formula>
    </cfRule>
    <cfRule type="duplicateValues" dxfId="4269" priority="8333"/>
    <cfRule type="expression" dxfId="4268" priority="8338">
      <formula>_xlfn.ISFORMULA(H206)=TRUE</formula>
    </cfRule>
    <cfRule type="duplicateValues" dxfId="4267" priority="8332"/>
    <cfRule type="duplicateValues" dxfId="4266" priority="8334"/>
    <cfRule type="expression" dxfId="4265" priority="8335">
      <formula>_xlfn.ISFORMULA(H206)=TRUE</formula>
    </cfRule>
    <cfRule type="duplicateValues" dxfId="4264" priority="8336"/>
    <cfRule type="duplicateValues" dxfId="4263" priority="8337"/>
    <cfRule type="duplicateValues" dxfId="4262" priority="9856"/>
    <cfRule type="duplicateValues" dxfId="4261" priority="9855"/>
  </conditionalFormatting>
  <conditionalFormatting sqref="H207 H223">
    <cfRule type="duplicateValues" dxfId="4260" priority="8328"/>
    <cfRule type="expression" dxfId="4259" priority="8427">
      <formula>_xlfn.ISFORMULA(H207)=TRUE</formula>
    </cfRule>
    <cfRule type="duplicateValues" dxfId="4258" priority="8424"/>
    <cfRule type="duplicateValues" dxfId="4257" priority="8329"/>
    <cfRule type="expression" dxfId="4256" priority="8331">
      <formula>_xlfn.ISFORMULA(H207)=TRUE</formula>
    </cfRule>
    <cfRule type="duplicateValues" dxfId="4255" priority="8330"/>
  </conditionalFormatting>
  <conditionalFormatting sqref="H207">
    <cfRule type="duplicateValues" dxfId="4254" priority="8446"/>
    <cfRule type="duplicateValues" dxfId="4253" priority="8445"/>
    <cfRule type="duplicateValues" dxfId="4252" priority="8447"/>
    <cfRule type="duplicateValues" dxfId="4251" priority="8449"/>
    <cfRule type="expression" dxfId="4250" priority="8448">
      <formula>_xlfn.ISFORMULA(H207)=TRUE</formula>
    </cfRule>
    <cfRule type="expression" dxfId="4249" priority="8450">
      <formula>_xlfn.ISFORMULA(H207)=TRUE</formula>
    </cfRule>
    <cfRule type="duplicateValues" dxfId="4248" priority="9874"/>
    <cfRule type="duplicateValues" dxfId="4247" priority="9878"/>
    <cfRule type="duplicateValues" dxfId="4246" priority="9876"/>
    <cfRule type="expression" dxfId="4245" priority="9880">
      <formula>_xlfn.ISFORMULA(H207)=TRUE</formula>
    </cfRule>
    <cfRule type="duplicateValues" dxfId="4244" priority="9879"/>
    <cfRule type="expression" dxfId="4243" priority="9877">
      <formula>_xlfn.ISFORMULA(H207)=TRUE</formula>
    </cfRule>
    <cfRule type="duplicateValues" dxfId="4242" priority="9875"/>
  </conditionalFormatting>
  <conditionalFormatting sqref="H208">
    <cfRule type="duplicateValues" dxfId="4241" priority="3183"/>
    <cfRule type="duplicateValues" dxfId="4240" priority="3181"/>
    <cfRule type="expression" dxfId="4239" priority="3184">
      <formula>_xlfn.ISFORMULA(H208)=TRUE</formula>
    </cfRule>
    <cfRule type="duplicateValues" dxfId="4238" priority="3182"/>
  </conditionalFormatting>
  <conditionalFormatting sqref="H209">
    <cfRule type="expression" dxfId="4237" priority="3224">
      <formula>_xlfn.ISFORMULA(H209)=TRUE</formula>
    </cfRule>
    <cfRule type="expression" dxfId="4236" priority="3248">
      <formula>_xlfn.ISFORMULA(H209)=TRUE</formula>
    </cfRule>
    <cfRule type="duplicateValues" dxfId="4235" priority="3247"/>
    <cfRule type="duplicateValues" dxfId="4234" priority="3246"/>
    <cfRule type="expression" dxfId="4233" priority="3245">
      <formula>_xlfn.ISFORMULA(H209)=TRUE</formula>
    </cfRule>
    <cfRule type="duplicateValues" dxfId="4232" priority="3244"/>
    <cfRule type="duplicateValues" dxfId="4231" priority="3243"/>
    <cfRule type="duplicateValues" dxfId="4230" priority="3242"/>
    <cfRule type="expression" dxfId="4229" priority="3287">
      <formula>_xlfn.ISFORMULA(H209)=TRUE</formula>
    </cfRule>
    <cfRule type="duplicateValues" dxfId="4228" priority="3286"/>
    <cfRule type="duplicateValues" dxfId="4227" priority="3285"/>
    <cfRule type="expression" dxfId="4226" priority="3284">
      <formula>_xlfn.ISFORMULA(H209)=TRUE</formula>
    </cfRule>
    <cfRule type="duplicateValues" dxfId="4225" priority="3283"/>
    <cfRule type="duplicateValues" dxfId="4224" priority="3282"/>
    <cfRule type="duplicateValues" dxfId="4223" priority="3281"/>
    <cfRule type="expression" dxfId="4222" priority="3280">
      <formula>_xlfn.ISFORMULA(H209)=TRUE</formula>
    </cfRule>
    <cfRule type="duplicateValues" dxfId="4221" priority="3279"/>
    <cfRule type="duplicateValues" dxfId="4220" priority="3278"/>
    <cfRule type="duplicateValues" dxfId="4219" priority="3223"/>
    <cfRule type="duplicateValues" dxfId="4218" priority="3222"/>
    <cfRule type="duplicateValues" dxfId="4217" priority="3221"/>
    <cfRule type="expression" dxfId="4216" priority="3220">
      <formula>_xlfn.ISFORMULA(H209)=TRUE</formula>
    </cfRule>
    <cfRule type="expression" dxfId="4215" priority="3273">
      <formula>_xlfn.ISFORMULA(H209)=TRUE</formula>
    </cfRule>
    <cfRule type="duplicateValues" dxfId="4214" priority="3272"/>
    <cfRule type="duplicateValues" dxfId="4213" priority="3271"/>
    <cfRule type="duplicateValues" dxfId="4212" priority="3270"/>
    <cfRule type="expression" dxfId="4211" priority="3269">
      <formula>_xlfn.ISFORMULA(H209)=TRUE</formula>
    </cfRule>
    <cfRule type="duplicateValues" dxfId="4210" priority="3268"/>
    <cfRule type="duplicateValues" dxfId="4209" priority="3267"/>
    <cfRule type="expression" dxfId="4208" priority="3266">
      <formula>_xlfn.ISFORMULA(H209)=TRUE</formula>
    </cfRule>
    <cfRule type="duplicateValues" dxfId="4207" priority="3265"/>
    <cfRule type="duplicateValues" dxfId="4206" priority="3264"/>
    <cfRule type="duplicateValues" dxfId="4205" priority="3263"/>
    <cfRule type="duplicateValues" dxfId="4204" priority="3219"/>
    <cfRule type="duplicateValues" dxfId="4203" priority="3218"/>
    <cfRule type="expression" dxfId="4202" priority="3217">
      <formula>_xlfn.ISFORMULA(H209)=TRUE</formula>
    </cfRule>
    <cfRule type="duplicateValues" dxfId="4201" priority="3216"/>
    <cfRule type="duplicateValues" dxfId="4200" priority="3215"/>
    <cfRule type="duplicateValues" dxfId="4199" priority="3214"/>
    <cfRule type="expression" dxfId="4198" priority="3199">
      <formula>_xlfn.ISFORMULA(H209)=TRUE</formula>
    </cfRule>
    <cfRule type="duplicateValues" dxfId="4197" priority="3197"/>
    <cfRule type="expression" dxfId="4196" priority="3196">
      <formula>_xlfn.ISFORMULA(H209)=TRUE</formula>
    </cfRule>
    <cfRule type="duplicateValues" dxfId="4195" priority="3195"/>
    <cfRule type="duplicateValues" dxfId="4194" priority="3194"/>
    <cfRule type="duplicateValues" dxfId="4193" priority="3193"/>
    <cfRule type="duplicateValues" dxfId="4192" priority="3198"/>
  </conditionalFormatting>
  <conditionalFormatting sqref="H209:H210">
    <cfRule type="duplicateValues" dxfId="4191" priority="3275"/>
    <cfRule type="duplicateValues" dxfId="4190" priority="3274"/>
    <cfRule type="expression" dxfId="4189" priority="3277">
      <formula>_xlfn.ISFORMULA(H209)=TRUE</formula>
    </cfRule>
    <cfRule type="duplicateValues" dxfId="4188" priority="3276"/>
  </conditionalFormatting>
  <conditionalFormatting sqref="H209:H211">
    <cfRule type="duplicateValues" dxfId="4187" priority="3294"/>
    <cfRule type="duplicateValues" dxfId="4186" priority="3293"/>
    <cfRule type="duplicateValues" dxfId="4185" priority="3292"/>
    <cfRule type="expression" dxfId="4184" priority="3291">
      <formula>_xlfn.ISFORMULA(H209)=TRUE</formula>
    </cfRule>
    <cfRule type="duplicateValues" dxfId="4183" priority="3290"/>
    <cfRule type="duplicateValues" dxfId="4182" priority="3289"/>
    <cfRule type="duplicateValues" dxfId="4181" priority="3288"/>
    <cfRule type="expression" dxfId="4180" priority="3295">
      <formula>_xlfn.ISFORMULA(H209)=TRUE</formula>
    </cfRule>
    <cfRule type="duplicateValues" dxfId="4179" priority="3185"/>
  </conditionalFormatting>
  <conditionalFormatting sqref="H210">
    <cfRule type="expression" dxfId="4178" priority="3262">
      <formula>_xlfn.ISFORMULA(H210)=TRUE</formula>
    </cfRule>
    <cfRule type="duplicateValues" dxfId="4177" priority="3261"/>
    <cfRule type="duplicateValues" dxfId="4176" priority="3260"/>
    <cfRule type="expression" dxfId="4175" priority="3259">
      <formula>_xlfn.ISFORMULA(H210)=TRUE</formula>
    </cfRule>
    <cfRule type="duplicateValues" dxfId="4174" priority="3258"/>
    <cfRule type="duplicateValues" dxfId="4173" priority="3257"/>
    <cfRule type="duplicateValues" dxfId="4172" priority="3256"/>
    <cfRule type="expression" dxfId="4171" priority="3241">
      <formula>_xlfn.ISFORMULA(H210)=TRUE</formula>
    </cfRule>
    <cfRule type="duplicateValues" dxfId="4170" priority="3239"/>
    <cfRule type="expression" dxfId="4169" priority="3238">
      <formula>_xlfn.ISFORMULA(H210)=TRUE</formula>
    </cfRule>
    <cfRule type="duplicateValues" dxfId="4168" priority="3237"/>
    <cfRule type="duplicateValues" dxfId="4167" priority="3236"/>
    <cfRule type="duplicateValues" dxfId="4166" priority="3235"/>
    <cfRule type="expression" dxfId="4165" priority="3213">
      <formula>_xlfn.ISFORMULA(H210)=TRUE</formula>
    </cfRule>
    <cfRule type="duplicateValues" dxfId="4164" priority="3212"/>
    <cfRule type="duplicateValues" dxfId="4163" priority="3211"/>
    <cfRule type="expression" dxfId="4162" priority="3210">
      <formula>_xlfn.ISFORMULA(H210)=TRUE</formula>
    </cfRule>
    <cfRule type="duplicateValues" dxfId="4161" priority="3209"/>
    <cfRule type="duplicateValues" dxfId="4160" priority="3208"/>
    <cfRule type="duplicateValues" dxfId="4159" priority="3207"/>
    <cfRule type="expression" dxfId="4158" priority="3192">
      <formula>_xlfn.ISFORMULA(H210)=TRUE</formula>
    </cfRule>
    <cfRule type="duplicateValues" dxfId="4157" priority="3191"/>
    <cfRule type="duplicateValues" dxfId="4156" priority="3190"/>
    <cfRule type="expression" dxfId="4155" priority="3189">
      <formula>_xlfn.ISFORMULA(H210)=TRUE</formula>
    </cfRule>
    <cfRule type="duplicateValues" dxfId="4154" priority="3188"/>
    <cfRule type="duplicateValues" dxfId="4153" priority="3187"/>
    <cfRule type="duplicateValues" dxfId="4152" priority="3186"/>
    <cfRule type="duplicateValues" dxfId="4151" priority="3240"/>
  </conditionalFormatting>
  <conditionalFormatting sqref="H211">
    <cfRule type="duplicateValues" dxfId="4150" priority="3226"/>
    <cfRule type="duplicateValues" dxfId="4149" priority="3225"/>
    <cfRule type="expression" dxfId="4148" priority="3255">
      <formula>_xlfn.ISFORMULA(H211)=TRUE</formula>
    </cfRule>
    <cfRule type="duplicateValues" dxfId="4147" priority="3254"/>
    <cfRule type="duplicateValues" dxfId="4146" priority="3253"/>
    <cfRule type="expression" dxfId="4145" priority="3252">
      <formula>_xlfn.ISFORMULA(H211)=TRUE</formula>
    </cfRule>
    <cfRule type="duplicateValues" dxfId="4144" priority="3251"/>
    <cfRule type="duplicateValues" dxfId="4143" priority="3250"/>
    <cfRule type="duplicateValues" dxfId="4142" priority="3249"/>
    <cfRule type="expression" dxfId="4141" priority="3206">
      <formula>_xlfn.ISFORMULA(H211)=TRUE</formula>
    </cfRule>
    <cfRule type="duplicateValues" dxfId="4140" priority="3205"/>
    <cfRule type="duplicateValues" dxfId="4139" priority="3204"/>
    <cfRule type="expression" dxfId="4138" priority="3203">
      <formula>_xlfn.ISFORMULA(H211)=TRUE</formula>
    </cfRule>
    <cfRule type="duplicateValues" dxfId="4137" priority="3202"/>
    <cfRule type="duplicateValues" dxfId="4136" priority="3201"/>
    <cfRule type="duplicateValues" dxfId="4135" priority="3200"/>
    <cfRule type="expression" dxfId="4134" priority="3234">
      <formula>_xlfn.ISFORMULA(H211)=TRUE</formula>
    </cfRule>
    <cfRule type="duplicateValues" dxfId="4133" priority="3233"/>
    <cfRule type="duplicateValues" dxfId="4132" priority="3232"/>
    <cfRule type="expression" dxfId="4131" priority="3231">
      <formula>_xlfn.ISFORMULA(H211)=TRUE</formula>
    </cfRule>
    <cfRule type="duplicateValues" dxfId="4130" priority="3230"/>
    <cfRule type="duplicateValues" dxfId="4129" priority="3229"/>
    <cfRule type="duplicateValues" dxfId="4128" priority="3228"/>
    <cfRule type="expression" dxfId="4127" priority="3227">
      <formula>_xlfn.ISFORMULA(H211)=TRUE</formula>
    </cfRule>
  </conditionalFormatting>
  <conditionalFormatting sqref="H212">
    <cfRule type="expression" dxfId="4126" priority="3180">
      <formula>_xlfn.ISFORMULA(H212)=TRUE</formula>
    </cfRule>
    <cfRule type="duplicateValues" dxfId="4125" priority="3179"/>
    <cfRule type="duplicateValues" dxfId="4124" priority="3178"/>
    <cfRule type="duplicateValues" dxfId="4123" priority="3177"/>
    <cfRule type="duplicateValues" dxfId="4122" priority="3176"/>
    <cfRule type="expression" dxfId="4121" priority="3175">
      <formula>_xlfn.ISFORMULA(H212)=TRUE</formula>
    </cfRule>
    <cfRule type="duplicateValues" dxfId="4120" priority="3174"/>
    <cfRule type="duplicateValues" dxfId="4119" priority="3173"/>
    <cfRule type="duplicateValues" dxfId="4118" priority="3172"/>
    <cfRule type="duplicateValues" dxfId="4117" priority="3171"/>
  </conditionalFormatting>
  <conditionalFormatting sqref="H213 H217:H219 H223">
    <cfRule type="expression" dxfId="4116" priority="10729">
      <formula>_xlfn.ISFORMULA(H213)=TRUE</formula>
    </cfRule>
  </conditionalFormatting>
  <conditionalFormatting sqref="H213 H217:H219">
    <cfRule type="expression" dxfId="4115" priority="9955">
      <formula>_xlfn.ISFORMULA(H213)=TRUE</formula>
    </cfRule>
    <cfRule type="duplicateValues" dxfId="4114" priority="9954"/>
    <cfRule type="duplicateValues" dxfId="4113" priority="9953"/>
    <cfRule type="duplicateValues" dxfId="4112" priority="9952"/>
  </conditionalFormatting>
  <conditionalFormatting sqref="H213 H223 H217:H219">
    <cfRule type="duplicateValues" dxfId="4111" priority="10726"/>
    <cfRule type="duplicateValues" dxfId="4110" priority="10727"/>
    <cfRule type="duplicateValues" dxfId="4109" priority="10728"/>
  </conditionalFormatting>
  <conditionalFormatting sqref="H213 H240:H281 H182 H206:H207 H185:H198 H217:H238 H306:H314 H736:H1048576 H316:H411 H1:H20 H283:H304 H79:H180">
    <cfRule type="duplicateValues" dxfId="4108" priority="6504"/>
  </conditionalFormatting>
  <conditionalFormatting sqref="H213">
    <cfRule type="duplicateValues" dxfId="4107" priority="8037"/>
    <cfRule type="expression" dxfId="4106" priority="8038">
      <formula>_xlfn.ISFORMULA(H213)=TRUE</formula>
    </cfRule>
    <cfRule type="duplicateValues" dxfId="4105" priority="8053"/>
    <cfRule type="duplicateValues" dxfId="4104" priority="8054"/>
    <cfRule type="duplicateValues" dxfId="4103" priority="8055"/>
    <cfRule type="expression" dxfId="4102" priority="8056">
      <formula>_xlfn.ISFORMULA(H213)=TRUE</formula>
    </cfRule>
    <cfRule type="duplicateValues" dxfId="4101" priority="8057"/>
    <cfRule type="duplicateValues" dxfId="4100" priority="8058"/>
    <cfRule type="expression" dxfId="4099" priority="8059">
      <formula>_xlfn.ISFORMULA(H213)=TRUE</formula>
    </cfRule>
    <cfRule type="duplicateValues" dxfId="4098" priority="8071"/>
    <cfRule type="duplicateValues" dxfId="4097" priority="8072"/>
    <cfRule type="duplicateValues" dxfId="4096" priority="8073"/>
    <cfRule type="expression" dxfId="4095" priority="8074">
      <formula>_xlfn.ISFORMULA(H213)=TRUE</formula>
    </cfRule>
    <cfRule type="duplicateValues" dxfId="4094" priority="9821"/>
    <cfRule type="duplicateValues" dxfId="4093" priority="9822"/>
    <cfRule type="duplicateValues" dxfId="4092" priority="9823"/>
    <cfRule type="expression" dxfId="4091" priority="9824">
      <formula>_xlfn.ISFORMULA(H213)=TRUE</formula>
    </cfRule>
    <cfRule type="duplicateValues" dxfId="4090" priority="9825"/>
    <cfRule type="expression" dxfId="4089" priority="9827">
      <formula>_xlfn.ISFORMULA(H213)=TRUE</formula>
    </cfRule>
    <cfRule type="duplicateValues" dxfId="4088" priority="8285"/>
    <cfRule type="expression" dxfId="4087" priority="8287">
      <formula>_xlfn.ISFORMULA(H213)=TRUE</formula>
    </cfRule>
    <cfRule type="duplicateValues" dxfId="4086" priority="8286"/>
    <cfRule type="expression" dxfId="4085" priority="8284">
      <formula>_xlfn.ISFORMULA(H213)=TRUE</formula>
    </cfRule>
    <cfRule type="duplicateValues" dxfId="4084" priority="8283"/>
    <cfRule type="duplicateValues" dxfId="4083" priority="8282"/>
    <cfRule type="duplicateValues" dxfId="4082" priority="8281"/>
    <cfRule type="duplicateValues" dxfId="4081" priority="9826"/>
    <cfRule type="duplicateValues" dxfId="4080" priority="8033"/>
    <cfRule type="duplicateValues" dxfId="4079" priority="8034"/>
    <cfRule type="expression" dxfId="4078" priority="8035">
      <formula>_xlfn.ISFORMULA(H213)=TRUE</formula>
    </cfRule>
    <cfRule type="duplicateValues" dxfId="4077" priority="8036"/>
    <cfRule type="duplicateValues" dxfId="4076" priority="8032"/>
  </conditionalFormatting>
  <conditionalFormatting sqref="H214:H216">
    <cfRule type="expression" dxfId="4075" priority="3166">
      <formula>_xlfn.ISFORMULA(H214)=TRUE</formula>
    </cfRule>
    <cfRule type="duplicateValues" dxfId="4074" priority="3165"/>
    <cfRule type="duplicateValues" dxfId="4073" priority="3164"/>
    <cfRule type="duplicateValues" dxfId="4072" priority="3163"/>
    <cfRule type="expression" dxfId="4071" priority="3162">
      <formula>_xlfn.ISFORMULA(H214)=TRUE</formula>
    </cfRule>
    <cfRule type="duplicateValues" dxfId="4070" priority="3161"/>
    <cfRule type="duplicateValues" dxfId="4069" priority="3160"/>
    <cfRule type="duplicateValues" dxfId="4068" priority="3159"/>
    <cfRule type="duplicateValues" dxfId="4067" priority="3154"/>
  </conditionalFormatting>
  <conditionalFormatting sqref="H216">
    <cfRule type="expression" dxfId="4066" priority="3158">
      <formula>_xlfn.ISFORMULA(H216)=TRUE</formula>
    </cfRule>
    <cfRule type="duplicateValues" dxfId="4065" priority="3157"/>
    <cfRule type="duplicateValues" dxfId="4064" priority="3156"/>
    <cfRule type="duplicateValues" dxfId="4063" priority="3155"/>
  </conditionalFormatting>
  <conditionalFormatting sqref="H217">
    <cfRule type="duplicateValues" dxfId="4062" priority="8094"/>
    <cfRule type="duplicateValues" dxfId="4061" priority="8092"/>
    <cfRule type="duplicateValues" dxfId="4060" priority="8009"/>
    <cfRule type="duplicateValues" dxfId="4059" priority="8008"/>
    <cfRule type="expression" dxfId="4058" priority="3120">
      <formula>_xlfn.ISFORMULA(H217)=TRUE</formula>
    </cfRule>
    <cfRule type="duplicateValues" dxfId="4057" priority="3119"/>
    <cfRule type="duplicateValues" dxfId="4056" priority="3118"/>
    <cfRule type="duplicateValues" dxfId="4055" priority="3117"/>
    <cfRule type="duplicateValues" dxfId="4054" priority="7984"/>
    <cfRule type="duplicateValues" dxfId="4053" priority="8133"/>
    <cfRule type="expression" dxfId="4052" priority="8134">
      <formula>_xlfn.ISFORMULA(H217)=TRUE</formula>
    </cfRule>
    <cfRule type="expression" dxfId="4051" priority="8098">
      <formula>_xlfn.ISFORMULA(H217)=TRUE</formula>
    </cfRule>
    <cfRule type="duplicateValues" dxfId="4050" priority="8113"/>
    <cfRule type="duplicateValues" dxfId="4049" priority="8114"/>
    <cfRule type="duplicateValues" dxfId="4048" priority="8115"/>
    <cfRule type="expression" dxfId="4047" priority="8116">
      <formula>_xlfn.ISFORMULA(H217)=TRUE</formula>
    </cfRule>
    <cfRule type="duplicateValues" dxfId="4046" priority="8093"/>
    <cfRule type="duplicateValues" dxfId="4045" priority="8117"/>
    <cfRule type="duplicateValues" dxfId="4044" priority="8118"/>
    <cfRule type="expression" dxfId="4043" priority="8119">
      <formula>_xlfn.ISFORMULA(H217)=TRUE</formula>
    </cfRule>
    <cfRule type="duplicateValues" dxfId="4042" priority="8131"/>
    <cfRule type="duplicateValues" dxfId="4041" priority="8132"/>
    <cfRule type="duplicateValues" dxfId="4040" priority="7983"/>
    <cfRule type="duplicateValues" dxfId="4039" priority="7985"/>
    <cfRule type="expression" dxfId="4038" priority="7986">
      <formula>_xlfn.ISFORMULA(H217)=TRUE</formula>
    </cfRule>
    <cfRule type="duplicateValues" dxfId="4037" priority="7987"/>
    <cfRule type="duplicateValues" dxfId="4036" priority="7988"/>
    <cfRule type="expression" dxfId="4035" priority="7989">
      <formula>_xlfn.ISFORMULA(H217)=TRUE</formula>
    </cfRule>
    <cfRule type="duplicateValues" dxfId="4034" priority="8004"/>
    <cfRule type="duplicateValues" dxfId="4033" priority="8005"/>
    <cfRule type="duplicateValues" dxfId="4032" priority="8097"/>
    <cfRule type="duplicateValues" dxfId="4031" priority="8096"/>
    <cfRule type="expression" dxfId="4030" priority="8010">
      <formula>_xlfn.ISFORMULA(H217)=TRUE</formula>
    </cfRule>
    <cfRule type="expression" dxfId="4029" priority="8007">
      <formula>_xlfn.ISFORMULA(H217)=TRUE</formula>
    </cfRule>
    <cfRule type="duplicateValues" dxfId="4028" priority="8006"/>
    <cfRule type="expression" dxfId="4027" priority="8095">
      <formula>_xlfn.ISFORMULA(H217)=TRUE</formula>
    </cfRule>
  </conditionalFormatting>
  <conditionalFormatting sqref="H217:H219">
    <cfRule type="expression" dxfId="4026" priority="3135">
      <formula>_xlfn.ISFORMULA(H217)=TRUE</formula>
    </cfRule>
    <cfRule type="duplicateValues" dxfId="4025" priority="3134"/>
    <cfRule type="duplicateValues" dxfId="4024" priority="3133"/>
    <cfRule type="duplicateValues" dxfId="4023" priority="3132"/>
    <cfRule type="expression" dxfId="4022" priority="3131">
      <formula>_xlfn.ISFORMULA(H217)=TRUE</formula>
    </cfRule>
    <cfRule type="duplicateValues" dxfId="4021" priority="3130"/>
    <cfRule type="duplicateValues" dxfId="4020" priority="3129"/>
    <cfRule type="duplicateValues" dxfId="4019" priority="3128"/>
  </conditionalFormatting>
  <conditionalFormatting sqref="H218">
    <cfRule type="expression" dxfId="4018" priority="8109">
      <formula>_xlfn.ISFORMULA(H218)=TRUE</formula>
    </cfRule>
    <cfRule type="duplicateValues" dxfId="4017" priority="8106"/>
    <cfRule type="duplicateValues" dxfId="4016" priority="8023"/>
    <cfRule type="duplicateValues" dxfId="4015" priority="8022"/>
    <cfRule type="duplicateValues" dxfId="4014" priority="8089"/>
    <cfRule type="expression" dxfId="4013" priority="8024">
      <formula>_xlfn.ISFORMULA(H218)=TRUE</formula>
    </cfRule>
    <cfRule type="duplicateValues" dxfId="4012" priority="8086"/>
    <cfRule type="expression" dxfId="4011" priority="8088">
      <formula>_xlfn.ISFORMULA(H218)=TRUE</formula>
    </cfRule>
    <cfRule type="duplicateValues" dxfId="4010" priority="8087"/>
    <cfRule type="duplicateValues" dxfId="4009" priority="8085"/>
    <cfRule type="duplicateValues" dxfId="4008" priority="7997"/>
    <cfRule type="duplicateValues" dxfId="4007" priority="7998"/>
    <cfRule type="duplicateValues" dxfId="4006" priority="7999"/>
    <cfRule type="expression" dxfId="4005" priority="8091">
      <formula>_xlfn.ISFORMULA(H218)=TRUE</formula>
    </cfRule>
    <cfRule type="expression" dxfId="4004" priority="8000">
      <formula>_xlfn.ISFORMULA(H218)=TRUE</formula>
    </cfRule>
    <cfRule type="duplicateValues" dxfId="4003" priority="8001"/>
    <cfRule type="duplicateValues" dxfId="4002" priority="8002"/>
    <cfRule type="expression" dxfId="4001" priority="8003">
      <formula>_xlfn.ISFORMULA(H218)=TRUE</formula>
    </cfRule>
    <cfRule type="duplicateValues" dxfId="4000" priority="8107"/>
    <cfRule type="duplicateValues" dxfId="3999" priority="8108"/>
    <cfRule type="duplicateValues" dxfId="3998" priority="8090"/>
    <cfRule type="expression" dxfId="3997" priority="8112">
      <formula>_xlfn.ISFORMULA(H218)=TRUE</formula>
    </cfRule>
    <cfRule type="duplicateValues" dxfId="3996" priority="8111"/>
    <cfRule type="duplicateValues" dxfId="3995" priority="8110"/>
  </conditionalFormatting>
  <conditionalFormatting sqref="H219">
    <cfRule type="expression" dxfId="3994" priority="3123">
      <formula>_xlfn.ISFORMULA(H219)=TRUE</formula>
    </cfRule>
    <cfRule type="duplicateValues" dxfId="3993" priority="3122"/>
    <cfRule type="duplicateValues" dxfId="3992" priority="3121"/>
    <cfRule type="duplicateValues" dxfId="3991" priority="3126"/>
    <cfRule type="expression" dxfId="3990" priority="8298">
      <formula>_xlfn.ISFORMULA(H219)=TRUE</formula>
    </cfRule>
    <cfRule type="duplicateValues" dxfId="3989" priority="8297"/>
    <cfRule type="duplicateValues" dxfId="3988" priority="8296"/>
    <cfRule type="duplicateValues" dxfId="3987" priority="8295"/>
    <cfRule type="expression" dxfId="3986" priority="3127">
      <formula>_xlfn.ISFORMULA(H219)=TRUE</formula>
    </cfRule>
    <cfRule type="duplicateValues" dxfId="3985" priority="3125"/>
    <cfRule type="duplicateValues" dxfId="3984" priority="3124"/>
  </conditionalFormatting>
  <conditionalFormatting sqref="H220">
    <cfRule type="expression" dxfId="3983" priority="3102">
      <formula>_xlfn.ISFORMULA(H220)=TRUE</formula>
    </cfRule>
    <cfRule type="duplicateValues" dxfId="3982" priority="3098"/>
    <cfRule type="duplicateValues" dxfId="3981" priority="3089"/>
    <cfRule type="duplicateValues" dxfId="3980" priority="3099"/>
    <cfRule type="expression" dxfId="3979" priority="3100">
      <formula>_xlfn.ISFORMULA(H220)=TRUE</formula>
    </cfRule>
    <cfRule type="duplicateValues" dxfId="3978" priority="3101"/>
    <cfRule type="duplicateValues" dxfId="3977" priority="3087"/>
    <cfRule type="duplicateValues" dxfId="3976" priority="3097"/>
    <cfRule type="expression" dxfId="3975" priority="3090">
      <formula>_xlfn.ISFORMULA(H220)=TRUE</formula>
    </cfRule>
    <cfRule type="duplicateValues" dxfId="3974" priority="3088"/>
  </conditionalFormatting>
  <conditionalFormatting sqref="H220:H222">
    <cfRule type="expression" dxfId="3973" priority="3116">
      <formula>_xlfn.ISFORMULA(H220)=TRUE</formula>
    </cfRule>
    <cfRule type="duplicateValues" dxfId="3972" priority="7976"/>
    <cfRule type="duplicateValues" dxfId="3971" priority="7977"/>
    <cfRule type="expression" dxfId="3970" priority="7978">
      <formula>_xlfn.ISFORMULA(H220)=TRUE</formula>
    </cfRule>
    <cfRule type="duplicateValues" dxfId="3969" priority="7980"/>
    <cfRule type="duplicateValues" dxfId="3968" priority="3112"/>
    <cfRule type="duplicateValues" dxfId="3967" priority="7979"/>
    <cfRule type="expression" dxfId="3966" priority="3113">
      <formula>_xlfn.ISFORMULA(H220)=TRUE</formula>
    </cfRule>
    <cfRule type="duplicateValues" dxfId="3965" priority="3111"/>
    <cfRule type="duplicateValues" dxfId="3964" priority="7981"/>
    <cfRule type="duplicateValues" dxfId="3963" priority="3114"/>
    <cfRule type="duplicateValues" dxfId="3962" priority="3115"/>
    <cfRule type="expression" dxfId="3961" priority="7982">
      <formula>_xlfn.ISFORMULA(H220)=TRUE</formula>
    </cfRule>
    <cfRule type="duplicateValues" dxfId="3960" priority="7975"/>
    <cfRule type="duplicateValues" dxfId="3959" priority="3107"/>
  </conditionalFormatting>
  <conditionalFormatting sqref="H221">
    <cfRule type="duplicateValues" dxfId="3958" priority="3080"/>
    <cfRule type="expression" dxfId="3957" priority="3079">
      <formula>_xlfn.ISFORMULA(H221)=TRUE</formula>
    </cfRule>
    <cfRule type="duplicateValues" dxfId="3956" priority="3078"/>
    <cfRule type="expression" dxfId="3955" priority="3082">
      <formula>_xlfn.ISFORMULA(H221)=TRUE</formula>
    </cfRule>
    <cfRule type="duplicateValues" dxfId="3954" priority="3074"/>
    <cfRule type="duplicateValues" dxfId="3953" priority="3075"/>
    <cfRule type="duplicateValues" dxfId="3952" priority="3076"/>
    <cfRule type="expression" dxfId="3951" priority="3077">
      <formula>_xlfn.ISFORMULA(H221)=TRUE</formula>
    </cfRule>
    <cfRule type="duplicateValues" dxfId="3950" priority="3081"/>
  </conditionalFormatting>
  <conditionalFormatting sqref="H221:H222">
    <cfRule type="duplicateValues" dxfId="3949" priority="3103"/>
    <cfRule type="duplicateValues" dxfId="3948" priority="3104"/>
    <cfRule type="duplicateValues" dxfId="3947" priority="3105"/>
    <cfRule type="expression" dxfId="3946" priority="3106">
      <formula>_xlfn.ISFORMULA(H221)=TRUE</formula>
    </cfRule>
  </conditionalFormatting>
  <conditionalFormatting sqref="H222">
    <cfRule type="expression" dxfId="3945" priority="3094">
      <formula>_xlfn.ISFORMULA(H222)=TRUE</formula>
    </cfRule>
    <cfRule type="duplicateValues" dxfId="3944" priority="3109"/>
    <cfRule type="expression" dxfId="3943" priority="3086">
      <formula>_xlfn.ISFORMULA(H222)=TRUE</formula>
    </cfRule>
    <cfRule type="duplicateValues" dxfId="3942" priority="3085"/>
    <cfRule type="duplicateValues" dxfId="3941" priority="3084"/>
    <cfRule type="duplicateValues" dxfId="3940" priority="3083"/>
    <cfRule type="duplicateValues" dxfId="3939" priority="7972"/>
    <cfRule type="expression" dxfId="3938" priority="7974">
      <formula>_xlfn.ISFORMULA(H222)=TRUE</formula>
    </cfRule>
    <cfRule type="duplicateValues" dxfId="3937" priority="7973"/>
    <cfRule type="duplicateValues" dxfId="3936" priority="7971"/>
    <cfRule type="expression" dxfId="3935" priority="3096">
      <formula>_xlfn.ISFORMULA(H222)=TRUE</formula>
    </cfRule>
    <cfRule type="duplicateValues" dxfId="3934" priority="3095"/>
    <cfRule type="duplicateValues" dxfId="3933" priority="3093"/>
    <cfRule type="duplicateValues" dxfId="3932" priority="3092"/>
    <cfRule type="duplicateValues" dxfId="3931" priority="3108"/>
    <cfRule type="duplicateValues" dxfId="3930" priority="3091"/>
    <cfRule type="expression" dxfId="3929" priority="3110">
      <formula>_xlfn.ISFORMULA(H222)=TRUE</formula>
    </cfRule>
  </conditionalFormatting>
  <conditionalFormatting sqref="H223 H207">
    <cfRule type="duplicateValues" dxfId="3928" priority="8425"/>
    <cfRule type="duplicateValues" dxfId="3927" priority="8426"/>
  </conditionalFormatting>
  <conditionalFormatting sqref="H224 H240">
    <cfRule type="duplicateValues" dxfId="3926" priority="8324"/>
    <cfRule type="expression" dxfId="3925" priority="8327">
      <formula>_xlfn.ISFORMULA(H224)=TRUE</formula>
    </cfRule>
  </conditionalFormatting>
  <conditionalFormatting sqref="H224">
    <cfRule type="duplicateValues" dxfId="3924" priority="8356"/>
    <cfRule type="duplicateValues" dxfId="3923" priority="9870"/>
    <cfRule type="duplicateValues" dxfId="3922" priority="9871"/>
    <cfRule type="expression" dxfId="3921" priority="10725">
      <formula>_xlfn.ISFORMULA(H224)=TRUE</formula>
    </cfRule>
    <cfRule type="duplicateValues" dxfId="3920" priority="9872"/>
    <cfRule type="expression" dxfId="3919" priority="9873">
      <formula>_xlfn.ISFORMULA(H224)=TRUE</formula>
    </cfRule>
    <cfRule type="duplicateValues" dxfId="3918" priority="10719"/>
    <cfRule type="duplicateValues" dxfId="3917" priority="8352"/>
    <cfRule type="duplicateValues" dxfId="3916" priority="10724"/>
    <cfRule type="duplicateValues" dxfId="3915" priority="8353"/>
    <cfRule type="expression" dxfId="3914" priority="10463">
      <formula>_xlfn.ISFORMULA(H224)=TRUE</formula>
    </cfRule>
    <cfRule type="duplicateValues" dxfId="3913" priority="10461"/>
    <cfRule type="duplicateValues" dxfId="3912" priority="10460"/>
    <cfRule type="expression" dxfId="3911" priority="8357">
      <formula>_xlfn.ISFORMULA(H224)=TRUE</formula>
    </cfRule>
    <cfRule type="duplicateValues" dxfId="3910" priority="10723"/>
    <cfRule type="duplicateValues" dxfId="3909" priority="8354"/>
    <cfRule type="expression" dxfId="3908" priority="8355">
      <formula>_xlfn.ISFORMULA(H224)=TRUE</formula>
    </cfRule>
    <cfRule type="duplicateValues" dxfId="3907" priority="10462"/>
  </conditionalFormatting>
  <conditionalFormatting sqref="H225">
    <cfRule type="expression" dxfId="3906" priority="3070">
      <formula>_xlfn.ISFORMULA(H225)=TRUE</formula>
    </cfRule>
    <cfRule type="duplicateValues" dxfId="3905" priority="3071"/>
    <cfRule type="duplicateValues" dxfId="3904" priority="3072"/>
    <cfRule type="expression" dxfId="3903" priority="3073">
      <formula>_xlfn.ISFORMULA(H225)=TRUE</formula>
    </cfRule>
    <cfRule type="expression" dxfId="3902" priority="7967">
      <formula>_xlfn.ISFORMULA(H225)=TRUE</formula>
    </cfRule>
    <cfRule type="duplicateValues" dxfId="3901" priority="7966"/>
    <cfRule type="duplicateValues" dxfId="3900" priority="7965"/>
    <cfRule type="duplicateValues" dxfId="3899" priority="7964"/>
    <cfRule type="duplicateValues" dxfId="3898" priority="3067"/>
    <cfRule type="duplicateValues" dxfId="3897" priority="3068"/>
    <cfRule type="duplicateValues" dxfId="3896" priority="3069"/>
  </conditionalFormatting>
  <conditionalFormatting sqref="H225:H226">
    <cfRule type="duplicateValues" dxfId="3895" priority="3048"/>
    <cfRule type="duplicateValues" dxfId="3894" priority="3049"/>
    <cfRule type="duplicateValues" dxfId="3893" priority="3047"/>
    <cfRule type="duplicateValues" dxfId="3892" priority="3059"/>
    <cfRule type="expression" dxfId="3891" priority="3062">
      <formula>_xlfn.ISFORMULA(H225)=TRUE</formula>
    </cfRule>
    <cfRule type="duplicateValues" dxfId="3890" priority="3061"/>
    <cfRule type="expression" dxfId="3889" priority="3050">
      <formula>_xlfn.ISFORMULA(H225)=TRUE</formula>
    </cfRule>
    <cfRule type="duplicateValues" dxfId="3888" priority="3060"/>
  </conditionalFormatting>
  <conditionalFormatting sqref="H225:H227">
    <cfRule type="duplicateValues" dxfId="3887" priority="8185"/>
    <cfRule type="duplicateValues" dxfId="3886" priority="8186"/>
    <cfRule type="duplicateValues" dxfId="3885" priority="8187"/>
    <cfRule type="expression" dxfId="3884" priority="8188">
      <formula>_xlfn.ISFORMULA(H225)=TRUE</formula>
    </cfRule>
    <cfRule type="expression" dxfId="3883" priority="8184">
      <formula>_xlfn.ISFORMULA(H225)=TRUE</formula>
    </cfRule>
    <cfRule type="duplicateValues" dxfId="3882" priority="8181"/>
    <cfRule type="duplicateValues" dxfId="3881" priority="8182"/>
    <cfRule type="duplicateValues" dxfId="3880" priority="8183"/>
  </conditionalFormatting>
  <conditionalFormatting sqref="H225:H230">
    <cfRule type="duplicateValues" dxfId="3879" priority="3064"/>
    <cfRule type="expression" dxfId="3878" priority="3054">
      <formula>_xlfn.ISFORMULA(H225)=TRUE</formula>
    </cfRule>
    <cfRule type="duplicateValues" dxfId="3877" priority="3065"/>
    <cfRule type="expression" dxfId="3876" priority="3066">
      <formula>_xlfn.ISFORMULA(H225)=TRUE</formula>
    </cfRule>
    <cfRule type="duplicateValues" dxfId="3875" priority="3051"/>
    <cfRule type="duplicateValues" dxfId="3874" priority="3053"/>
    <cfRule type="duplicateValues" dxfId="3873" priority="3052"/>
    <cfRule type="duplicateValues" dxfId="3872" priority="3063"/>
  </conditionalFormatting>
  <conditionalFormatting sqref="H226:H230">
    <cfRule type="duplicateValues" dxfId="3871" priority="3055"/>
    <cfRule type="duplicateValues" dxfId="3870" priority="3056"/>
    <cfRule type="duplicateValues" dxfId="3869" priority="3057"/>
    <cfRule type="expression" dxfId="3868" priority="3058">
      <formula>_xlfn.ISFORMULA(H226)=TRUE</formula>
    </cfRule>
  </conditionalFormatting>
  <conditionalFormatting sqref="H227">
    <cfRule type="duplicateValues" dxfId="3867" priority="7968"/>
    <cfRule type="duplicateValues" dxfId="3866" priority="7969"/>
    <cfRule type="expression" dxfId="3865" priority="7970">
      <formula>_xlfn.ISFORMULA(H227)=TRUE</formula>
    </cfRule>
    <cfRule type="duplicateValues" dxfId="3864" priority="8173"/>
    <cfRule type="duplicateValues" dxfId="3863" priority="8174"/>
    <cfRule type="duplicateValues" dxfId="3862" priority="8175"/>
    <cfRule type="expression" dxfId="3861" priority="8176">
      <formula>_xlfn.ISFORMULA(H227)=TRUE</formula>
    </cfRule>
  </conditionalFormatting>
  <conditionalFormatting sqref="H228">
    <cfRule type="duplicateValues" dxfId="3860" priority="7938"/>
    <cfRule type="duplicateValues" dxfId="3859" priority="7936"/>
    <cfRule type="duplicateValues" dxfId="3858" priority="7923"/>
    <cfRule type="duplicateValues" dxfId="3857" priority="7937"/>
    <cfRule type="expression" dxfId="3856" priority="7939">
      <formula>_xlfn.ISFORMULA(H228)=TRUE</formula>
    </cfRule>
    <cfRule type="duplicateValues" dxfId="3855" priority="7940"/>
    <cfRule type="duplicateValues" dxfId="3854" priority="7924"/>
    <cfRule type="duplicateValues" dxfId="3853" priority="7922"/>
    <cfRule type="expression" dxfId="3852" priority="7941">
      <formula>_xlfn.ISFORMULA(H228)=TRUE</formula>
    </cfRule>
    <cfRule type="expression" dxfId="3851" priority="7925">
      <formula>_xlfn.ISFORMULA(H228)=TRUE</formula>
    </cfRule>
  </conditionalFormatting>
  <conditionalFormatting sqref="H228:H231">
    <cfRule type="duplicateValues" dxfId="3850" priority="7954"/>
    <cfRule type="duplicateValues" dxfId="3849" priority="7959"/>
    <cfRule type="expression" dxfId="3848" priority="7960">
      <formula>_xlfn.ISFORMULA(H228)=TRUE</formula>
    </cfRule>
    <cfRule type="duplicateValues" dxfId="3847" priority="7961"/>
    <cfRule type="duplicateValues" dxfId="3846" priority="7962"/>
    <cfRule type="expression" dxfId="3845" priority="7963">
      <formula>_xlfn.ISFORMULA(H228)=TRUE</formula>
    </cfRule>
    <cfRule type="duplicateValues" dxfId="3844" priority="7958"/>
  </conditionalFormatting>
  <conditionalFormatting sqref="H229">
    <cfRule type="duplicateValues" dxfId="3843" priority="7910"/>
    <cfRule type="duplicateValues" dxfId="3842" priority="7909"/>
    <cfRule type="expression" dxfId="3841" priority="7914">
      <formula>_xlfn.ISFORMULA(H229)=TRUE</formula>
    </cfRule>
    <cfRule type="expression" dxfId="3840" priority="7917">
      <formula>_xlfn.ISFORMULA(H229)=TRUE</formula>
    </cfRule>
    <cfRule type="duplicateValues" dxfId="3839" priority="7916"/>
    <cfRule type="duplicateValues" dxfId="3838" priority="7915"/>
    <cfRule type="duplicateValues" dxfId="3837" priority="7913"/>
    <cfRule type="expression" dxfId="3836" priority="7912">
      <formula>_xlfn.ISFORMULA(H229)=TRUE</formula>
    </cfRule>
    <cfRule type="duplicateValues" dxfId="3835" priority="7911"/>
  </conditionalFormatting>
  <conditionalFormatting sqref="H229:H232">
    <cfRule type="duplicateValues" dxfId="3834" priority="7947"/>
    <cfRule type="duplicateValues" dxfId="3833" priority="7946"/>
    <cfRule type="duplicateValues" dxfId="3832" priority="7948"/>
    <cfRule type="expression" dxfId="3831" priority="7949">
      <formula>_xlfn.ISFORMULA(H229)=TRUE</formula>
    </cfRule>
  </conditionalFormatting>
  <conditionalFormatting sqref="H230">
    <cfRule type="duplicateValues" dxfId="3830" priority="7934"/>
    <cfRule type="duplicateValues" dxfId="3829" priority="7955"/>
    <cfRule type="duplicateValues" dxfId="3828" priority="7956"/>
    <cfRule type="expression" dxfId="3827" priority="7957">
      <formula>_xlfn.ISFORMULA(H230)=TRUE</formula>
    </cfRule>
    <cfRule type="expression" dxfId="3826" priority="7933">
      <formula>_xlfn.ISFORMULA(H230)=TRUE</formula>
    </cfRule>
    <cfRule type="expression" dxfId="3825" priority="7935">
      <formula>_xlfn.ISFORMULA(H230)=TRUE</formula>
    </cfRule>
    <cfRule type="duplicateValues" dxfId="3824" priority="7930"/>
    <cfRule type="duplicateValues" dxfId="3823" priority="7931"/>
    <cfRule type="duplicateValues" dxfId="3822" priority="7932"/>
  </conditionalFormatting>
  <conditionalFormatting sqref="H230:H232">
    <cfRule type="duplicateValues" dxfId="3821" priority="7919"/>
    <cfRule type="duplicateValues" dxfId="3820" priority="7920"/>
    <cfRule type="expression" dxfId="3819" priority="7921">
      <formula>_xlfn.ISFORMULA(H230)=TRUE</formula>
    </cfRule>
    <cfRule type="duplicateValues" dxfId="3818" priority="7918"/>
  </conditionalFormatting>
  <conditionalFormatting sqref="H231">
    <cfRule type="duplicateValues" dxfId="3817" priority="3026"/>
    <cfRule type="expression" dxfId="3816" priority="3031">
      <formula>_xlfn.ISFORMULA(H231)=TRUE</formula>
    </cfRule>
    <cfRule type="duplicateValues" dxfId="3815" priority="3030"/>
    <cfRule type="expression" dxfId="3814" priority="3029">
      <formula>_xlfn.ISFORMULA(H231)=TRUE</formula>
    </cfRule>
    <cfRule type="duplicateValues" dxfId="3813" priority="3028"/>
    <cfRule type="duplicateValues" dxfId="3812" priority="3027"/>
  </conditionalFormatting>
  <conditionalFormatting sqref="H231:H232">
    <cfRule type="duplicateValues" dxfId="3811" priority="3032"/>
    <cfRule type="expression" dxfId="3810" priority="3039">
      <formula>_xlfn.ISFORMULA(H231)=TRUE</formula>
    </cfRule>
    <cfRule type="expression" dxfId="3809" priority="3035">
      <formula>_xlfn.ISFORMULA(H231)=TRUE</formula>
    </cfRule>
    <cfRule type="duplicateValues" dxfId="3808" priority="3034"/>
    <cfRule type="duplicateValues" dxfId="3807" priority="3033"/>
    <cfRule type="duplicateValues" dxfId="3806" priority="3038"/>
    <cfRule type="duplicateValues" dxfId="3805" priority="3037"/>
    <cfRule type="duplicateValues" dxfId="3804" priority="3036"/>
    <cfRule type="expression" dxfId="3803" priority="3043">
      <formula>_xlfn.ISFORMULA(H231)=TRUE</formula>
    </cfRule>
    <cfRule type="duplicateValues" dxfId="3802" priority="3042"/>
    <cfRule type="duplicateValues" dxfId="3801" priority="3040"/>
    <cfRule type="duplicateValues" dxfId="3800" priority="3041"/>
  </conditionalFormatting>
  <conditionalFormatting sqref="H231:H236">
    <cfRule type="duplicateValues" dxfId="3799" priority="7951"/>
    <cfRule type="duplicateValues" dxfId="3798" priority="7952"/>
    <cfRule type="expression" dxfId="3797" priority="7953">
      <formula>_xlfn.ISFORMULA(H231)=TRUE</formula>
    </cfRule>
    <cfRule type="duplicateValues" dxfId="3796" priority="7928"/>
    <cfRule type="duplicateValues" dxfId="3795" priority="7950"/>
    <cfRule type="expression" dxfId="3794" priority="7929">
      <formula>_xlfn.ISFORMULA(H231)=TRUE</formula>
    </cfRule>
    <cfRule type="duplicateValues" dxfId="3793" priority="7927"/>
    <cfRule type="duplicateValues" dxfId="3792" priority="7926"/>
  </conditionalFormatting>
  <conditionalFormatting sqref="H232">
    <cfRule type="duplicateValues" dxfId="3791" priority="3020"/>
    <cfRule type="expression" dxfId="3790" priority="3016">
      <formula>_xlfn.ISFORMULA(H232)=TRUE</formula>
    </cfRule>
    <cfRule type="duplicateValues" dxfId="3789" priority="3017"/>
    <cfRule type="expression" dxfId="3788" priority="3025">
      <formula>_xlfn.ISFORMULA(H232)=TRUE</formula>
    </cfRule>
    <cfRule type="duplicateValues" dxfId="3787" priority="3021"/>
    <cfRule type="expression" dxfId="3786" priority="3022">
      <formula>_xlfn.ISFORMULA(H232)=TRUE</formula>
    </cfRule>
    <cfRule type="expression" dxfId="3785" priority="3046">
      <formula>_xlfn.ISFORMULA(H232)=TRUE</formula>
    </cfRule>
    <cfRule type="duplicateValues" dxfId="3784" priority="3024"/>
    <cfRule type="duplicateValues" dxfId="3783" priority="3015"/>
    <cfRule type="duplicateValues" dxfId="3782" priority="3045"/>
    <cfRule type="duplicateValues" dxfId="3781" priority="3044"/>
    <cfRule type="duplicateValues" dxfId="3780" priority="3023"/>
    <cfRule type="duplicateValues" dxfId="3779" priority="3014"/>
    <cfRule type="duplicateValues" dxfId="3778" priority="3013"/>
    <cfRule type="expression" dxfId="3777" priority="3018">
      <formula>_xlfn.ISFORMULA(H232)=TRUE</formula>
    </cfRule>
    <cfRule type="duplicateValues" dxfId="3776" priority="3019"/>
  </conditionalFormatting>
  <conditionalFormatting sqref="H232:H236">
    <cfRule type="duplicateValues" dxfId="3775" priority="7944"/>
    <cfRule type="expression" dxfId="3774" priority="7945">
      <formula>_xlfn.ISFORMULA(H232)=TRUE</formula>
    </cfRule>
    <cfRule type="duplicateValues" dxfId="3773" priority="7943"/>
    <cfRule type="duplicateValues" dxfId="3772" priority="7942"/>
  </conditionalFormatting>
  <conditionalFormatting sqref="H233">
    <cfRule type="expression" dxfId="3771" priority="3000">
      <formula>_xlfn.ISFORMULA(H233)=TRUE</formula>
    </cfRule>
    <cfRule type="duplicateValues" dxfId="3770" priority="3001"/>
    <cfRule type="duplicateValues" dxfId="3769" priority="3002"/>
    <cfRule type="duplicateValues" dxfId="3768" priority="3003"/>
    <cfRule type="expression" dxfId="3767" priority="3004">
      <formula>_xlfn.ISFORMULA(H233)=TRUE</formula>
    </cfRule>
    <cfRule type="duplicateValues" dxfId="3766" priority="3005"/>
    <cfRule type="duplicateValues" dxfId="3765" priority="3006"/>
    <cfRule type="expression" dxfId="3764" priority="3007">
      <formula>_xlfn.ISFORMULA(H233)=TRUE</formula>
    </cfRule>
    <cfRule type="duplicateValues" dxfId="3763" priority="3008"/>
    <cfRule type="duplicateValues" dxfId="3762" priority="3009"/>
    <cfRule type="duplicateValues" dxfId="3761" priority="3010"/>
    <cfRule type="duplicateValues" dxfId="3760" priority="3011"/>
    <cfRule type="expression" dxfId="3759" priority="3012">
      <formula>_xlfn.ISFORMULA(H233)=TRUE</formula>
    </cfRule>
    <cfRule type="duplicateValues" dxfId="3758" priority="2993"/>
    <cfRule type="duplicateValues" dxfId="3757" priority="2994"/>
    <cfRule type="duplicateValues" dxfId="3756" priority="2995"/>
    <cfRule type="expression" dxfId="3755" priority="2996">
      <formula>_xlfn.ISFORMULA(H233)=TRUE</formula>
    </cfRule>
    <cfRule type="duplicateValues" dxfId="3754" priority="2997"/>
    <cfRule type="duplicateValues" dxfId="3753" priority="2998"/>
    <cfRule type="duplicateValues" dxfId="3752" priority="2999"/>
  </conditionalFormatting>
  <conditionalFormatting sqref="H234">
    <cfRule type="expression" dxfId="3751" priority="2271">
      <formula>_xlfn.ISFORMULA(H234)=TRUE</formula>
    </cfRule>
    <cfRule type="duplicateValues" dxfId="3750" priority="2268"/>
    <cfRule type="duplicateValues" dxfId="3749" priority="2269"/>
    <cfRule type="duplicateValues" dxfId="3748" priority="2270"/>
  </conditionalFormatting>
  <conditionalFormatting sqref="H237">
    <cfRule type="expression" dxfId="3747" priority="7886">
      <formula>_xlfn.ISFORMULA(H237)=TRUE</formula>
    </cfRule>
    <cfRule type="duplicateValues" dxfId="3746" priority="7885"/>
    <cfRule type="expression" dxfId="3745" priority="7884">
      <formula>_xlfn.ISFORMULA(H237)=TRUE</formula>
    </cfRule>
    <cfRule type="duplicateValues" dxfId="3744" priority="7883"/>
    <cfRule type="duplicateValues" dxfId="3743" priority="7881"/>
    <cfRule type="duplicateValues" dxfId="3742" priority="7882"/>
  </conditionalFormatting>
  <conditionalFormatting sqref="H237:H238">
    <cfRule type="duplicateValues" dxfId="3741" priority="7892"/>
    <cfRule type="duplicateValues" dxfId="3740" priority="7893"/>
    <cfRule type="expression" dxfId="3739" priority="7894">
      <formula>_xlfn.ISFORMULA(H237)=TRUE</formula>
    </cfRule>
    <cfRule type="duplicateValues" dxfId="3738" priority="7895"/>
    <cfRule type="duplicateValues" dxfId="3737" priority="7899"/>
    <cfRule type="duplicateValues" dxfId="3736" priority="7900"/>
    <cfRule type="expression" dxfId="3735" priority="7905">
      <formula>_xlfn.ISFORMULA(H237)=TRUE</formula>
    </cfRule>
    <cfRule type="duplicateValues" dxfId="3734" priority="7904"/>
    <cfRule type="duplicateValues" dxfId="3733" priority="7903"/>
    <cfRule type="duplicateValues" dxfId="3732" priority="7902"/>
    <cfRule type="expression" dxfId="3731" priority="7901">
      <formula>_xlfn.ISFORMULA(H237)=TRUE</formula>
    </cfRule>
    <cfRule type="duplicateValues" dxfId="3730" priority="7891"/>
  </conditionalFormatting>
  <conditionalFormatting sqref="H238">
    <cfRule type="duplicateValues" dxfId="3729" priority="7863"/>
    <cfRule type="duplicateValues" dxfId="3728" priority="7872"/>
    <cfRule type="duplicateValues" dxfId="3727" priority="7873"/>
    <cfRule type="expression" dxfId="3726" priority="7874">
      <formula>_xlfn.ISFORMULA(H238)=TRUE</formula>
    </cfRule>
    <cfRule type="duplicateValues" dxfId="3725" priority="7862"/>
    <cfRule type="duplicateValues" dxfId="3724" priority="7869"/>
    <cfRule type="duplicateValues" dxfId="3723" priority="7868"/>
    <cfRule type="expression" dxfId="3722" priority="7867">
      <formula>_xlfn.ISFORMULA(H238)=TRUE</formula>
    </cfRule>
    <cfRule type="duplicateValues" dxfId="3721" priority="7866"/>
    <cfRule type="expression" dxfId="3720" priority="7865">
      <formula>_xlfn.ISFORMULA(H238)=TRUE</formula>
    </cfRule>
    <cfRule type="duplicateValues" dxfId="3719" priority="7864"/>
    <cfRule type="duplicateValues" dxfId="3718" priority="7870"/>
    <cfRule type="expression" dxfId="3717" priority="7908">
      <formula>_xlfn.ISFORMULA(H238)=TRUE</formula>
    </cfRule>
    <cfRule type="duplicateValues" dxfId="3716" priority="7907"/>
    <cfRule type="duplicateValues" dxfId="3715" priority="7906"/>
    <cfRule type="expression" dxfId="3714" priority="7871">
      <formula>_xlfn.ISFORMULA(H238)=TRUE</formula>
    </cfRule>
  </conditionalFormatting>
  <conditionalFormatting sqref="H239">
    <cfRule type="duplicateValues" dxfId="3713" priority="5240"/>
    <cfRule type="duplicateValues" dxfId="3712" priority="5241"/>
    <cfRule type="duplicateValues" dxfId="3711" priority="5229"/>
    <cfRule type="duplicateValues" dxfId="3710" priority="5228"/>
    <cfRule type="duplicateValues" dxfId="3709" priority="5227"/>
    <cfRule type="expression" dxfId="3708" priority="5226">
      <formula>_xlfn.ISFORMULA(H239)=TRUE</formula>
    </cfRule>
    <cfRule type="duplicateValues" dxfId="3707" priority="5225"/>
    <cfRule type="duplicateValues" dxfId="3706" priority="5224"/>
    <cfRule type="duplicateValues" dxfId="3705" priority="5223"/>
    <cfRule type="expression" dxfId="3704" priority="5242">
      <formula>_xlfn.ISFORMULA(H239)=TRUE</formula>
    </cfRule>
    <cfRule type="duplicateValues" dxfId="3703" priority="5238"/>
    <cfRule type="expression" dxfId="3702" priority="5237">
      <formula>_xlfn.ISFORMULA(H239)=TRUE</formula>
    </cfRule>
    <cfRule type="duplicateValues" dxfId="3701" priority="5236"/>
    <cfRule type="duplicateValues" dxfId="3700" priority="5235"/>
    <cfRule type="expression" dxfId="3699" priority="5234">
      <formula>_xlfn.ISFORMULA(H239)=TRUE</formula>
    </cfRule>
    <cfRule type="duplicateValues" dxfId="3698" priority="5232"/>
    <cfRule type="duplicateValues" dxfId="3697" priority="5231"/>
    <cfRule type="duplicateValues" dxfId="3696" priority="5233"/>
    <cfRule type="expression" dxfId="3695" priority="5230">
      <formula>_xlfn.ISFORMULA(H239)=TRUE</formula>
    </cfRule>
    <cfRule type="duplicateValues" dxfId="3694" priority="5239"/>
  </conditionalFormatting>
  <conditionalFormatting sqref="H240 H224">
    <cfRule type="duplicateValues" dxfId="3693" priority="8326"/>
    <cfRule type="duplicateValues" dxfId="3692" priority="8325"/>
  </conditionalFormatting>
  <conditionalFormatting sqref="H240">
    <cfRule type="duplicateValues" dxfId="3691" priority="5854"/>
    <cfRule type="expression" dxfId="3690" priority="5855">
      <formula>_xlfn.ISFORMULA(H240)=TRUE</formula>
    </cfRule>
    <cfRule type="duplicateValues" dxfId="3689" priority="5856"/>
    <cfRule type="duplicateValues" dxfId="3688" priority="5857"/>
    <cfRule type="expression" dxfId="3687" priority="5858">
      <formula>_xlfn.ISFORMULA(H240)=TRUE</formula>
    </cfRule>
    <cfRule type="duplicateValues" dxfId="3686" priority="5865"/>
    <cfRule type="duplicateValues" dxfId="3685" priority="5866"/>
    <cfRule type="duplicateValues" dxfId="3684" priority="5867"/>
    <cfRule type="expression" dxfId="3683" priority="5868">
      <formula>_xlfn.ISFORMULA(H240)=TRUE</formula>
    </cfRule>
    <cfRule type="duplicateValues" dxfId="3682" priority="10382"/>
    <cfRule type="duplicateValues" dxfId="3681" priority="5869"/>
    <cfRule type="duplicateValues" dxfId="3680" priority="5870"/>
    <cfRule type="duplicateValues" dxfId="3679" priority="5871"/>
    <cfRule type="expression" dxfId="3678" priority="5851">
      <formula>_xlfn.ISFORMULA(H240)=TRUE</formula>
    </cfRule>
    <cfRule type="duplicateValues" dxfId="3677" priority="5850"/>
    <cfRule type="duplicateValues" dxfId="3676" priority="9937"/>
    <cfRule type="expression" dxfId="3675" priority="5849">
      <formula>_xlfn.ISFORMULA(H240)=TRUE</formula>
    </cfRule>
    <cfRule type="duplicateValues" dxfId="3674" priority="5848"/>
    <cfRule type="duplicateValues" dxfId="3673" priority="5847"/>
    <cfRule type="duplicateValues" dxfId="3672" priority="5846"/>
    <cfRule type="expression" dxfId="3671" priority="5879">
      <formula>_xlfn.ISFORMULA(H240)=TRUE</formula>
    </cfRule>
    <cfRule type="duplicateValues" dxfId="3670" priority="5852"/>
    <cfRule type="expression" dxfId="3669" priority="10385">
      <formula>_xlfn.ISFORMULA(H240)=TRUE</formula>
    </cfRule>
    <cfRule type="duplicateValues" dxfId="3668" priority="10384"/>
    <cfRule type="duplicateValues" dxfId="3667" priority="10383"/>
    <cfRule type="duplicateValues" dxfId="3666" priority="5853"/>
    <cfRule type="expression" dxfId="3665" priority="5872">
      <formula>_xlfn.ISFORMULA(H240)=TRUE</formula>
    </cfRule>
    <cfRule type="duplicateValues" dxfId="3664" priority="5873"/>
    <cfRule type="duplicateValues" dxfId="3663" priority="5874"/>
    <cfRule type="duplicateValues" dxfId="3662" priority="5875"/>
    <cfRule type="expression" dxfId="3661" priority="5876">
      <formula>_xlfn.ISFORMULA(H240)=TRUE</formula>
    </cfRule>
    <cfRule type="duplicateValues" dxfId="3660" priority="5877"/>
    <cfRule type="duplicateValues" dxfId="3659" priority="5878"/>
    <cfRule type="duplicateValues" dxfId="3658" priority="9938"/>
    <cfRule type="expression" dxfId="3657" priority="9939">
      <formula>_xlfn.ISFORMULA(H240)=TRUE</formula>
    </cfRule>
    <cfRule type="duplicateValues" dxfId="3656" priority="9936"/>
  </conditionalFormatting>
  <conditionalFormatting sqref="H241">
    <cfRule type="duplicateValues" dxfId="3655" priority="9867"/>
    <cfRule type="duplicateValues" dxfId="3654" priority="9868"/>
    <cfRule type="expression" dxfId="3653" priority="9869">
      <formula>_xlfn.ISFORMULA(H241)=TRUE</formula>
    </cfRule>
    <cfRule type="duplicateValues" dxfId="3652" priority="9929"/>
    <cfRule type="duplicateValues" dxfId="3651" priority="9933"/>
    <cfRule type="duplicateValues" dxfId="3650" priority="9934"/>
    <cfRule type="expression" dxfId="3649" priority="9935">
      <formula>_xlfn.ISFORMULA(H241)=TRUE</formula>
    </cfRule>
    <cfRule type="duplicateValues" dxfId="3648" priority="9866"/>
    <cfRule type="duplicateValues" dxfId="3647" priority="10706"/>
    <cfRule type="duplicateValues" dxfId="3646" priority="10707"/>
    <cfRule type="duplicateValues" dxfId="3645" priority="10708"/>
    <cfRule type="expression" dxfId="3644" priority="10709">
      <formula>_xlfn.ISFORMULA(H241)=TRUE</formula>
    </cfRule>
  </conditionalFormatting>
  <conditionalFormatting sqref="H242">
    <cfRule type="expression" dxfId="3643" priority="5547">
      <formula>_xlfn.ISFORMULA(H242)=TRUE</formula>
    </cfRule>
    <cfRule type="duplicateValues" dxfId="3642" priority="5546"/>
    <cfRule type="duplicateValues" dxfId="3641" priority="5545"/>
    <cfRule type="duplicateValues" dxfId="3640" priority="5544"/>
    <cfRule type="duplicateValues" dxfId="3639" priority="7074"/>
    <cfRule type="duplicateValues" dxfId="3638" priority="7075"/>
    <cfRule type="duplicateValues" dxfId="3637" priority="7076"/>
    <cfRule type="expression" dxfId="3636" priority="7077">
      <formula>_xlfn.ISFORMULA(H242)=TRUE</formula>
    </cfRule>
    <cfRule type="expression" dxfId="3635" priority="5842">
      <formula>_xlfn.ISFORMULA(H242)=TRUE</formula>
    </cfRule>
    <cfRule type="duplicateValues" dxfId="3634" priority="5523"/>
    <cfRule type="duplicateValues" dxfId="3633" priority="5524"/>
    <cfRule type="duplicateValues" dxfId="3632" priority="5525"/>
    <cfRule type="expression" dxfId="3631" priority="5526">
      <formula>_xlfn.ISFORMULA(H242)=TRUE</formula>
    </cfRule>
    <cfRule type="duplicateValues" dxfId="3630" priority="5527"/>
    <cfRule type="expression" dxfId="3629" priority="5528">
      <formula>_xlfn.ISFORMULA(H242)=TRUE</formula>
    </cfRule>
    <cfRule type="duplicateValues" dxfId="3628" priority="5843"/>
    <cfRule type="duplicateValues" dxfId="3627" priority="5844"/>
    <cfRule type="expression" dxfId="3626" priority="5845">
      <formula>_xlfn.ISFORMULA(H242)=TRUE</formula>
    </cfRule>
    <cfRule type="duplicateValues" dxfId="3625" priority="5831"/>
    <cfRule type="duplicateValues" dxfId="3624" priority="5832"/>
    <cfRule type="duplicateValues" dxfId="3623" priority="5833"/>
    <cfRule type="expression" dxfId="3622" priority="5834">
      <formula>_xlfn.ISFORMULA(H242)=TRUE</formula>
    </cfRule>
    <cfRule type="duplicateValues" dxfId="3621" priority="5835"/>
    <cfRule type="duplicateValues" dxfId="3620" priority="5836"/>
    <cfRule type="duplicateValues" dxfId="3619" priority="5837"/>
    <cfRule type="expression" dxfId="3618" priority="5838">
      <formula>_xlfn.ISFORMULA(H242)=TRUE</formula>
    </cfRule>
    <cfRule type="duplicateValues" dxfId="3617" priority="5839"/>
    <cfRule type="duplicateValues" dxfId="3616" priority="5840"/>
    <cfRule type="duplicateValues" dxfId="3615" priority="5841"/>
  </conditionalFormatting>
  <conditionalFormatting sqref="H242:H243">
    <cfRule type="duplicateValues" dxfId="3614" priority="5539"/>
    <cfRule type="duplicateValues" dxfId="3613" priority="5529"/>
    <cfRule type="duplicateValues" dxfId="3612" priority="5530"/>
    <cfRule type="duplicateValues" dxfId="3611" priority="5531"/>
    <cfRule type="duplicateValues" dxfId="3610" priority="5538"/>
    <cfRule type="duplicateValues" dxfId="3609" priority="5537"/>
    <cfRule type="expression" dxfId="3608" priority="5536">
      <formula>_xlfn.ISFORMULA(H242)=TRUE</formula>
    </cfRule>
    <cfRule type="duplicateValues" dxfId="3607" priority="5535"/>
    <cfRule type="duplicateValues" dxfId="3606" priority="5534"/>
    <cfRule type="duplicateValues" dxfId="3605" priority="5533"/>
    <cfRule type="expression" dxfId="3604" priority="5532">
      <formula>_xlfn.ISFORMULA(H242)=TRUE</formula>
    </cfRule>
    <cfRule type="expression" dxfId="3603" priority="5540">
      <formula>_xlfn.ISFORMULA(H242)=TRUE</formula>
    </cfRule>
  </conditionalFormatting>
  <conditionalFormatting sqref="H243">
    <cfRule type="duplicateValues" dxfId="3602" priority="5823"/>
    <cfRule type="expression" dxfId="3601" priority="5824">
      <formula>_xlfn.ISFORMULA(H243)=TRUE</formula>
    </cfRule>
    <cfRule type="expression" dxfId="3600" priority="5562">
      <formula>_xlfn.ISFORMULA(H243)=TRUE</formula>
    </cfRule>
    <cfRule type="duplicateValues" dxfId="3599" priority="5561"/>
    <cfRule type="duplicateValues" dxfId="3598" priority="5560"/>
    <cfRule type="expression" dxfId="3597" priority="5559">
      <formula>_xlfn.ISFORMULA(H243)=TRUE</formula>
    </cfRule>
    <cfRule type="duplicateValues" dxfId="3596" priority="5558"/>
    <cfRule type="duplicateValues" dxfId="3595" priority="5557"/>
    <cfRule type="duplicateValues" dxfId="3594" priority="5556"/>
    <cfRule type="expression" dxfId="3593" priority="5555">
      <formula>_xlfn.ISFORMULA(H243)=TRUE</formula>
    </cfRule>
    <cfRule type="duplicateValues" dxfId="3592" priority="5554"/>
    <cfRule type="duplicateValues" dxfId="3591" priority="5553"/>
    <cfRule type="duplicateValues" dxfId="3590" priority="5552"/>
    <cfRule type="expression" dxfId="3589" priority="5551">
      <formula>_xlfn.ISFORMULA(H243)=TRUE</formula>
    </cfRule>
    <cfRule type="duplicateValues" dxfId="3588" priority="5550"/>
    <cfRule type="duplicateValues" dxfId="3587" priority="5549"/>
    <cfRule type="duplicateValues" dxfId="3586" priority="5548"/>
    <cfRule type="expression" dxfId="3585" priority="5543">
      <formula>_xlfn.ISFORMULA(H243)=TRUE</formula>
    </cfRule>
    <cfRule type="duplicateValues" dxfId="3584" priority="5542"/>
    <cfRule type="duplicateValues" dxfId="3583" priority="5541"/>
    <cfRule type="expression" dxfId="3582" priority="5522">
      <formula>_xlfn.ISFORMULA(H243)=TRUE</formula>
    </cfRule>
    <cfRule type="duplicateValues" dxfId="3581" priority="5521"/>
    <cfRule type="duplicateValues" dxfId="3580" priority="5520"/>
    <cfRule type="expression" dxfId="3579" priority="5519">
      <formula>_xlfn.ISFORMULA(H243)=TRUE</formula>
    </cfRule>
    <cfRule type="duplicateValues" dxfId="3578" priority="5518"/>
    <cfRule type="duplicateValues" dxfId="3577" priority="5517"/>
    <cfRule type="duplicateValues" dxfId="3576" priority="5516"/>
    <cfRule type="duplicateValues" dxfId="3575" priority="5514"/>
    <cfRule type="expression" dxfId="3574" priority="5513">
      <formula>_xlfn.ISFORMULA(H243)=TRUE</formula>
    </cfRule>
    <cfRule type="duplicateValues" dxfId="3573" priority="5512"/>
    <cfRule type="duplicateValues" dxfId="3572" priority="5511"/>
    <cfRule type="duplicateValues" dxfId="3571" priority="5510"/>
    <cfRule type="expression" dxfId="3570" priority="5515">
      <formula>_xlfn.ISFORMULA(H243)=TRUE</formula>
    </cfRule>
    <cfRule type="duplicateValues" dxfId="3569" priority="5821"/>
    <cfRule type="duplicateValues" dxfId="3568" priority="5822"/>
  </conditionalFormatting>
  <conditionalFormatting sqref="H243:H254">
    <cfRule type="expression" dxfId="3567" priority="7134">
      <formula>_xlfn.ISFORMULA(H243)=TRUE</formula>
    </cfRule>
    <cfRule type="duplicateValues" dxfId="3566" priority="7133"/>
    <cfRule type="duplicateValues" dxfId="3565" priority="7132"/>
    <cfRule type="duplicateValues" dxfId="3564" priority="7131"/>
  </conditionalFormatting>
  <conditionalFormatting sqref="H244">
    <cfRule type="duplicateValues" dxfId="3563" priority="5584"/>
    <cfRule type="duplicateValues" dxfId="3562" priority="5756"/>
    <cfRule type="duplicateValues" dxfId="3561" priority="5757"/>
    <cfRule type="expression" dxfId="3560" priority="5758">
      <formula>_xlfn.ISFORMULA(H244)=TRUE</formula>
    </cfRule>
    <cfRule type="duplicateValues" dxfId="3559" priority="5599"/>
    <cfRule type="duplicateValues" dxfId="3558" priority="5598"/>
    <cfRule type="duplicateValues" dxfId="3557" priority="5591"/>
    <cfRule type="expression" dxfId="3556" priority="5590">
      <formula>_xlfn.ISFORMULA(H244)=TRUE</formula>
    </cfRule>
    <cfRule type="duplicateValues" dxfId="3555" priority="5589"/>
    <cfRule type="expression" dxfId="3554" priority="5597">
      <formula>_xlfn.ISFORMULA(H244)=TRUE</formula>
    </cfRule>
    <cfRule type="duplicateValues" dxfId="3553" priority="5596"/>
    <cfRule type="duplicateValues" dxfId="3552" priority="5588"/>
    <cfRule type="duplicateValues" dxfId="3551" priority="5587"/>
    <cfRule type="duplicateValues" dxfId="3550" priority="5583"/>
    <cfRule type="duplicateValues" dxfId="3549" priority="5595"/>
    <cfRule type="expression" dxfId="3548" priority="5586">
      <formula>_xlfn.ISFORMULA(H244)=TRUE</formula>
    </cfRule>
    <cfRule type="duplicateValues" dxfId="3547" priority="5585"/>
    <cfRule type="expression" dxfId="3546" priority="5594">
      <formula>_xlfn.ISFORMULA(H244)=TRUE</formula>
    </cfRule>
    <cfRule type="duplicateValues" dxfId="3545" priority="5593"/>
    <cfRule type="duplicateValues" dxfId="3544" priority="5592"/>
    <cfRule type="expression" dxfId="3543" priority="5271">
      <formula>_xlfn.ISFORMULA(H244)=TRUE</formula>
    </cfRule>
    <cfRule type="expression" dxfId="3542" priority="5601">
      <formula>_xlfn.ISFORMULA(H244)=TRUE</formula>
    </cfRule>
    <cfRule type="duplicateValues" dxfId="3541" priority="5270"/>
    <cfRule type="duplicateValues" dxfId="3540" priority="5269"/>
    <cfRule type="duplicateValues" dxfId="3539" priority="5600"/>
    <cfRule type="duplicateValues" dxfId="3538" priority="5268"/>
    <cfRule type="duplicateValues" dxfId="3537" priority="5755"/>
  </conditionalFormatting>
  <conditionalFormatting sqref="H245">
    <cfRule type="duplicateValues" dxfId="3536" priority="5628"/>
    <cfRule type="duplicateValues" dxfId="3535" priority="5629"/>
    <cfRule type="duplicateValues" dxfId="3534" priority="5627"/>
    <cfRule type="expression" dxfId="3533" priority="5630">
      <formula>_xlfn.ISFORMULA(H245)=TRUE</formula>
    </cfRule>
  </conditionalFormatting>
  <conditionalFormatting sqref="H248">
    <cfRule type="duplicateValues" dxfId="3532" priority="5483"/>
    <cfRule type="duplicateValues" dxfId="3531" priority="5484"/>
    <cfRule type="expression" dxfId="3530" priority="5485">
      <formula>_xlfn.ISFORMULA(H248)=TRUE</formula>
    </cfRule>
  </conditionalFormatting>
  <conditionalFormatting sqref="H249">
    <cfRule type="duplicateValues" dxfId="3529" priority="7069"/>
    <cfRule type="duplicateValues" dxfId="3528" priority="5504"/>
    <cfRule type="duplicateValues" dxfId="3527" priority="5486"/>
    <cfRule type="duplicateValues" dxfId="3526" priority="5487"/>
    <cfRule type="expression" dxfId="3525" priority="5488">
      <formula>_xlfn.ISFORMULA(H249)=TRUE</formula>
    </cfRule>
    <cfRule type="expression" dxfId="3524" priority="5506">
      <formula>_xlfn.ISFORMULA(H249)=TRUE</formula>
    </cfRule>
    <cfRule type="duplicateValues" dxfId="3523" priority="7068"/>
    <cfRule type="expression" dxfId="3522" priority="7070">
      <formula>_xlfn.ISFORMULA(H249)=TRUE</formula>
    </cfRule>
    <cfRule type="duplicateValues" dxfId="3521" priority="5422"/>
    <cfRule type="duplicateValues" dxfId="3520" priority="5421"/>
    <cfRule type="duplicateValues" dxfId="3519" priority="5505"/>
    <cfRule type="duplicateValues" dxfId="3518" priority="5452"/>
    <cfRule type="duplicateValues" dxfId="3517" priority="5453"/>
    <cfRule type="expression" dxfId="3516" priority="5454">
      <formula>_xlfn.ISFORMULA(H249)=TRUE</formula>
    </cfRule>
    <cfRule type="duplicateValues" dxfId="3515" priority="5359"/>
    <cfRule type="duplicateValues" dxfId="3514" priority="5360"/>
    <cfRule type="expression" dxfId="3513" priority="5361">
      <formula>_xlfn.ISFORMULA(H249)=TRUE</formula>
    </cfRule>
    <cfRule type="expression" dxfId="3512" priority="5423">
      <formula>_xlfn.ISFORMULA(H249)=TRUE</formula>
    </cfRule>
  </conditionalFormatting>
  <conditionalFormatting sqref="H250">
    <cfRule type="duplicateValues" dxfId="3511" priority="7071"/>
    <cfRule type="expression" dxfId="3510" priority="7073">
      <formula>_xlfn.ISFORMULA(H250)=TRUE</formula>
    </cfRule>
    <cfRule type="duplicateValues" dxfId="3509" priority="5297"/>
    <cfRule type="duplicateValues" dxfId="3508" priority="5298"/>
    <cfRule type="expression" dxfId="3507" priority="5299">
      <formula>_xlfn.ISFORMULA(H250)=TRUE</formula>
    </cfRule>
    <cfRule type="duplicateValues" dxfId="3506" priority="7072"/>
    <cfRule type="duplicateValues" dxfId="3505" priority="5479"/>
    <cfRule type="duplicateValues" dxfId="3504" priority="5480"/>
    <cfRule type="duplicateValues" dxfId="3503" priority="5481"/>
    <cfRule type="duplicateValues" dxfId="3502" priority="7117"/>
    <cfRule type="duplicateValues" dxfId="3501" priority="7118"/>
    <cfRule type="expression" dxfId="3500" priority="7119">
      <formula>_xlfn.ISFORMULA(H250)=TRUE</formula>
    </cfRule>
    <cfRule type="expression" dxfId="3499" priority="5482">
      <formula>_xlfn.ISFORMULA(H250)=TRUE</formula>
    </cfRule>
    <cfRule type="duplicateValues" dxfId="3498" priority="5328"/>
    <cfRule type="duplicateValues" dxfId="3497" priority="5329"/>
    <cfRule type="expression" dxfId="3496" priority="5330">
      <formula>_xlfn.ISFORMULA(H250)=TRUE</formula>
    </cfRule>
    <cfRule type="duplicateValues" dxfId="3495" priority="5784"/>
    <cfRule type="expression" dxfId="3494" priority="5457">
      <formula>_xlfn.ISFORMULA(H250)=TRUE</formula>
    </cfRule>
    <cfRule type="duplicateValues" dxfId="3493" priority="5390"/>
    <cfRule type="duplicateValues" dxfId="3492" priority="5785"/>
    <cfRule type="expression" dxfId="3491" priority="5786">
      <formula>_xlfn.ISFORMULA(H250)=TRUE</formula>
    </cfRule>
    <cfRule type="duplicateValues" dxfId="3490" priority="5456"/>
    <cfRule type="duplicateValues" dxfId="3489" priority="5391"/>
    <cfRule type="expression" dxfId="3488" priority="5392">
      <formula>_xlfn.ISFORMULA(H250)=TRUE</formula>
    </cfRule>
    <cfRule type="expression" dxfId="3487" priority="5426">
      <formula>_xlfn.ISFORMULA(H250)=TRUE</formula>
    </cfRule>
    <cfRule type="duplicateValues" dxfId="3486" priority="5455"/>
    <cfRule type="expression" dxfId="3485" priority="5817">
      <formula>_xlfn.ISFORMULA(H250)=TRUE</formula>
    </cfRule>
    <cfRule type="expression" dxfId="3484" priority="5509">
      <formula>_xlfn.ISFORMULA(H250)=TRUE</formula>
    </cfRule>
    <cfRule type="duplicateValues" dxfId="3483" priority="5458"/>
    <cfRule type="duplicateValues" dxfId="3482" priority="5459"/>
    <cfRule type="expression" dxfId="3481" priority="5460">
      <formula>_xlfn.ISFORMULA(H250)=TRUE</formula>
    </cfRule>
    <cfRule type="duplicateValues" dxfId="3480" priority="5427"/>
    <cfRule type="duplicateValues" dxfId="3479" priority="5508"/>
    <cfRule type="duplicateValues" dxfId="3478" priority="5507"/>
    <cfRule type="duplicateValues" dxfId="3477" priority="5362"/>
    <cfRule type="duplicateValues" dxfId="3476" priority="5425"/>
    <cfRule type="expression" dxfId="3475" priority="5364">
      <formula>_xlfn.ISFORMULA(H250)=TRUE</formula>
    </cfRule>
    <cfRule type="duplicateValues" dxfId="3474" priority="5365"/>
    <cfRule type="duplicateValues" dxfId="3473" priority="5366"/>
    <cfRule type="expression" dxfId="3472" priority="5367">
      <formula>_xlfn.ISFORMULA(H250)=TRUE</formula>
    </cfRule>
    <cfRule type="duplicateValues" dxfId="3471" priority="5815"/>
    <cfRule type="duplicateValues" dxfId="3470" priority="5816"/>
    <cfRule type="expression" dxfId="3469" priority="5720">
      <formula>_xlfn.ISFORMULA(H250)=TRUE</formula>
    </cfRule>
    <cfRule type="duplicateValues" dxfId="3468" priority="5719"/>
    <cfRule type="duplicateValues" dxfId="3467" priority="5718"/>
    <cfRule type="expression" dxfId="3466" priority="5429">
      <formula>_xlfn.ISFORMULA(H250)=TRUE</formula>
    </cfRule>
    <cfRule type="duplicateValues" dxfId="3465" priority="5428"/>
    <cfRule type="duplicateValues" dxfId="3464" priority="5424"/>
    <cfRule type="duplicateValues" dxfId="3463" priority="5363"/>
  </conditionalFormatting>
  <conditionalFormatting sqref="H251">
    <cfRule type="duplicateValues" dxfId="3462" priority="7065"/>
    <cfRule type="duplicateValues" dxfId="3461" priority="7066"/>
    <cfRule type="expression" dxfId="3460" priority="7067">
      <formula>_xlfn.ISFORMULA(H251)=TRUE</formula>
    </cfRule>
    <cfRule type="duplicateValues" dxfId="3459" priority="5393"/>
    <cfRule type="duplicateValues" dxfId="3458" priority="5394"/>
    <cfRule type="duplicateValues" dxfId="3457" priority="5749"/>
    <cfRule type="duplicateValues" dxfId="3456" priority="5750"/>
    <cfRule type="expression" dxfId="3455" priority="5751">
      <formula>_xlfn.ISFORMULA(H251)=TRUE</formula>
    </cfRule>
    <cfRule type="expression" dxfId="3454" priority="5395">
      <formula>_xlfn.ISFORMULA(H251)=TRUE</formula>
    </cfRule>
    <cfRule type="duplicateValues" dxfId="3453" priority="5396"/>
    <cfRule type="duplicateValues" dxfId="3452" priority="5397"/>
    <cfRule type="expression" dxfId="3451" priority="5398">
      <formula>_xlfn.ISFORMULA(H251)=TRUE</formula>
    </cfRule>
    <cfRule type="expression" dxfId="3450" priority="5471">
      <formula>_xlfn.ISFORMULA(H251)=TRUE</formula>
    </cfRule>
    <cfRule type="duplicateValues" dxfId="3449" priority="5472"/>
    <cfRule type="duplicateValues" dxfId="3448" priority="5473"/>
    <cfRule type="duplicateValues" dxfId="3447" priority="5469"/>
    <cfRule type="duplicateValues" dxfId="3446" priority="5331"/>
    <cfRule type="duplicateValues" dxfId="3445" priority="5332"/>
    <cfRule type="expression" dxfId="3444" priority="5333">
      <formula>_xlfn.ISFORMULA(H251)=TRUE</formula>
    </cfRule>
    <cfRule type="duplicateValues" dxfId="3443" priority="5334"/>
    <cfRule type="duplicateValues" dxfId="3442" priority="5335"/>
    <cfRule type="expression" dxfId="3441" priority="5336">
      <formula>_xlfn.ISFORMULA(H251)=TRUE</formula>
    </cfRule>
    <cfRule type="expression" dxfId="3440" priority="5475">
      <formula>_xlfn.ISFORMULA(H251)=TRUE</formula>
    </cfRule>
    <cfRule type="duplicateValues" dxfId="3439" priority="5476"/>
    <cfRule type="duplicateValues" dxfId="3438" priority="5477"/>
    <cfRule type="expression" dxfId="3437" priority="5478">
      <formula>_xlfn.ISFORMULA(H251)=TRUE</formula>
    </cfRule>
    <cfRule type="duplicateValues" dxfId="3436" priority="5417"/>
    <cfRule type="duplicateValues" dxfId="3435" priority="5787"/>
    <cfRule type="duplicateValues" dxfId="3434" priority="5418"/>
    <cfRule type="duplicateValues" dxfId="3433" priority="5419"/>
    <cfRule type="expression" dxfId="3432" priority="5420">
      <formula>_xlfn.ISFORMULA(H251)=TRUE</formula>
    </cfRule>
    <cfRule type="duplicateValues" dxfId="3431" priority="5474"/>
    <cfRule type="duplicateValues" dxfId="3430" priority="7128"/>
    <cfRule type="duplicateValues" dxfId="3429" priority="7129"/>
    <cfRule type="expression" dxfId="3428" priority="7130">
      <formula>_xlfn.ISFORMULA(H251)=TRUE</formula>
    </cfRule>
    <cfRule type="expression" dxfId="3427" priority="5689">
      <formula>_xlfn.ISFORMULA(H251)=TRUE</formula>
    </cfRule>
    <cfRule type="duplicateValues" dxfId="3426" priority="5688"/>
    <cfRule type="duplicateValues" dxfId="3425" priority="5687"/>
    <cfRule type="duplicateValues" dxfId="3424" priority="5461"/>
    <cfRule type="duplicateValues" dxfId="3423" priority="5462"/>
    <cfRule type="expression" dxfId="3422" priority="5463">
      <formula>_xlfn.ISFORMULA(H251)=TRUE</formula>
    </cfRule>
    <cfRule type="duplicateValues" dxfId="3421" priority="5464"/>
    <cfRule type="duplicateValues" dxfId="3420" priority="5465"/>
    <cfRule type="duplicateValues" dxfId="3419" priority="5466"/>
    <cfRule type="duplicateValues" dxfId="3418" priority="5355"/>
    <cfRule type="duplicateValues" dxfId="3417" priority="5356"/>
    <cfRule type="duplicateValues" dxfId="3416" priority="5357"/>
    <cfRule type="expression" dxfId="3415" priority="5358">
      <formula>_xlfn.ISFORMULA(H251)=TRUE</formula>
    </cfRule>
    <cfRule type="expression" dxfId="3414" priority="5658">
      <formula>_xlfn.ISFORMULA(H251)=TRUE</formula>
    </cfRule>
    <cfRule type="duplicateValues" dxfId="3413" priority="5657"/>
    <cfRule type="duplicateValues" dxfId="3412" priority="5656"/>
    <cfRule type="duplicateValues" dxfId="3411" priority="5300"/>
    <cfRule type="duplicateValues" dxfId="3410" priority="5301"/>
    <cfRule type="expression" dxfId="3409" priority="5302">
      <formula>_xlfn.ISFORMULA(H251)=TRUE</formula>
    </cfRule>
    <cfRule type="duplicateValues" dxfId="3408" priority="5303"/>
    <cfRule type="expression" dxfId="3407" priority="5305">
      <formula>_xlfn.ISFORMULA(H251)=TRUE</formula>
    </cfRule>
    <cfRule type="duplicateValues" dxfId="3406" priority="5430"/>
    <cfRule type="duplicateValues" dxfId="3405" priority="5788"/>
    <cfRule type="duplicateValues" dxfId="3404" priority="5369"/>
    <cfRule type="expression" dxfId="3403" priority="5370">
      <formula>_xlfn.ISFORMULA(H251)=TRUE</formula>
    </cfRule>
    <cfRule type="expression" dxfId="3402" priority="5789">
      <formula>_xlfn.ISFORMULA(H251)=TRUE</formula>
    </cfRule>
    <cfRule type="duplicateValues" dxfId="3401" priority="5790"/>
    <cfRule type="duplicateValues" dxfId="3400" priority="5791"/>
    <cfRule type="expression" dxfId="3399" priority="5792">
      <formula>_xlfn.ISFORMULA(H251)=TRUE</formula>
    </cfRule>
    <cfRule type="duplicateValues" dxfId="3398" priority="5431"/>
    <cfRule type="expression" dxfId="3397" priority="5432">
      <formula>_xlfn.ISFORMULA(H251)=TRUE</formula>
    </cfRule>
    <cfRule type="duplicateValues" dxfId="3396" priority="5818"/>
    <cfRule type="duplicateValues" dxfId="3395" priority="5819"/>
    <cfRule type="expression" dxfId="3394" priority="5820">
      <formula>_xlfn.ISFORMULA(H251)=TRUE</formula>
    </cfRule>
    <cfRule type="duplicateValues" dxfId="3393" priority="5825"/>
    <cfRule type="duplicateValues" dxfId="3392" priority="5826"/>
    <cfRule type="expression" dxfId="3391" priority="5827">
      <formula>_xlfn.ISFORMULA(H251)=TRUE</formula>
    </cfRule>
    <cfRule type="expression" dxfId="3390" priority="5726">
      <formula>_xlfn.ISFORMULA(H251)=TRUE</formula>
    </cfRule>
    <cfRule type="duplicateValues" dxfId="3389" priority="5725"/>
    <cfRule type="duplicateValues" dxfId="3388" priority="5724"/>
    <cfRule type="expression" dxfId="3387" priority="5723">
      <formula>_xlfn.ISFORMULA(H251)=TRUE</formula>
    </cfRule>
    <cfRule type="duplicateValues" dxfId="3386" priority="5722"/>
    <cfRule type="duplicateValues" dxfId="3385" priority="5721"/>
    <cfRule type="duplicateValues" dxfId="3384" priority="5304"/>
    <cfRule type="duplicateValues" dxfId="3383" priority="5470"/>
    <cfRule type="duplicateValues" dxfId="3382" priority="7064"/>
    <cfRule type="duplicateValues" dxfId="3381" priority="5448"/>
    <cfRule type="duplicateValues" dxfId="3380" priority="5449"/>
    <cfRule type="duplicateValues" dxfId="3379" priority="5450"/>
    <cfRule type="expression" dxfId="3378" priority="5451">
      <formula>_xlfn.ISFORMULA(H251)=TRUE</formula>
    </cfRule>
    <cfRule type="duplicateValues" dxfId="3377" priority="5368"/>
    <cfRule type="expression" dxfId="3376" priority="5264">
      <formula>_xlfn.ISFORMULA(H251)=TRUE</formula>
    </cfRule>
    <cfRule type="duplicateValues" dxfId="3375" priority="5263"/>
    <cfRule type="duplicateValues" dxfId="3374" priority="5262"/>
    <cfRule type="expression" dxfId="3373" priority="5467">
      <formula>_xlfn.ISFORMULA(H251)=TRUE</formula>
    </cfRule>
    <cfRule type="duplicateValues" dxfId="3372" priority="5468"/>
  </conditionalFormatting>
  <conditionalFormatting sqref="H252">
    <cfRule type="duplicateValues" dxfId="3371" priority="7059"/>
    <cfRule type="expression" dxfId="3370" priority="7060">
      <formula>_xlfn.ISFORMULA(H252)=TRUE</formula>
    </cfRule>
    <cfRule type="duplicateValues" dxfId="3369" priority="7061"/>
    <cfRule type="duplicateValues" dxfId="3368" priority="7062"/>
    <cfRule type="expression" dxfId="3367" priority="7063">
      <formula>_xlfn.ISFORMULA(H252)=TRUE</formula>
    </cfRule>
    <cfRule type="duplicateValues" dxfId="3366" priority="7055"/>
    <cfRule type="duplicateValues" dxfId="3365" priority="7054"/>
    <cfRule type="duplicateValues" dxfId="3364" priority="7053"/>
    <cfRule type="expression" dxfId="3363" priority="7052">
      <formula>_xlfn.ISFORMULA(H252)=TRUE</formula>
    </cfRule>
    <cfRule type="expression" dxfId="3362" priority="5754">
      <formula>_xlfn.ISFORMULA(H252)=TRUE</formula>
    </cfRule>
    <cfRule type="duplicateValues" dxfId="3361" priority="5753"/>
    <cfRule type="duplicateValues" dxfId="3360" priority="5752"/>
    <cfRule type="expression" dxfId="3359" priority="5729">
      <formula>_xlfn.ISFORMULA(H252)=TRUE</formula>
    </cfRule>
    <cfRule type="duplicateValues" dxfId="3358" priority="5728"/>
    <cfRule type="duplicateValues" dxfId="3357" priority="5727"/>
    <cfRule type="duplicateValues" dxfId="3356" priority="7057"/>
    <cfRule type="duplicateValues" dxfId="3355" priority="7058"/>
    <cfRule type="expression" dxfId="3354" priority="5327">
      <formula>_xlfn.ISFORMULA(H252)=TRUE</formula>
    </cfRule>
    <cfRule type="duplicateValues" dxfId="3353" priority="5337"/>
    <cfRule type="duplicateValues" dxfId="3352" priority="5338"/>
    <cfRule type="expression" dxfId="3351" priority="5339">
      <formula>_xlfn.ISFORMULA(H252)=TRUE</formula>
    </cfRule>
    <cfRule type="duplicateValues" dxfId="3350" priority="5340"/>
    <cfRule type="duplicateValues" dxfId="3349" priority="5341"/>
    <cfRule type="duplicateValues" dxfId="3348" priority="5342"/>
    <cfRule type="expression" dxfId="3347" priority="5343">
      <formula>_xlfn.ISFORMULA(H252)=TRUE</formula>
    </cfRule>
    <cfRule type="duplicateValues" dxfId="3346" priority="5344"/>
    <cfRule type="duplicateValues" dxfId="3345" priority="5345"/>
    <cfRule type="duplicateValues" dxfId="3344" priority="5346"/>
    <cfRule type="expression" dxfId="3343" priority="5347">
      <formula>_xlfn.ISFORMULA(H252)=TRUE</formula>
    </cfRule>
    <cfRule type="duplicateValues" dxfId="3342" priority="5348"/>
    <cfRule type="duplicateValues" dxfId="3341" priority="5349"/>
    <cfRule type="duplicateValues" dxfId="3340" priority="5350"/>
    <cfRule type="expression" dxfId="3339" priority="5351">
      <formula>_xlfn.ISFORMULA(H252)=TRUE</formula>
    </cfRule>
    <cfRule type="duplicateValues" dxfId="3338" priority="5352"/>
    <cfRule type="duplicateValues" dxfId="3337" priority="5353"/>
    <cfRule type="expression" dxfId="3336" priority="5354">
      <formula>_xlfn.ISFORMULA(H252)=TRUE</formula>
    </cfRule>
    <cfRule type="duplicateValues" dxfId="3335" priority="5386"/>
    <cfRule type="duplicateValues" dxfId="3334" priority="5387"/>
    <cfRule type="duplicateValues" dxfId="3333" priority="5388"/>
    <cfRule type="expression" dxfId="3332" priority="5389">
      <formula>_xlfn.ISFORMULA(H252)=TRUE</formula>
    </cfRule>
    <cfRule type="duplicateValues" dxfId="3331" priority="5399"/>
    <cfRule type="duplicateValues" dxfId="3330" priority="5400"/>
    <cfRule type="expression" dxfId="3329" priority="5401">
      <formula>_xlfn.ISFORMULA(H252)=TRUE</formula>
    </cfRule>
    <cfRule type="duplicateValues" dxfId="3328" priority="5402"/>
    <cfRule type="duplicateValues" dxfId="3327" priority="5403"/>
    <cfRule type="duplicateValues" dxfId="3326" priority="5404"/>
    <cfRule type="expression" dxfId="3325" priority="5405">
      <formula>_xlfn.ISFORMULA(H252)=TRUE</formula>
    </cfRule>
    <cfRule type="duplicateValues" dxfId="3324" priority="5406"/>
    <cfRule type="duplicateValues" dxfId="3323" priority="5407"/>
    <cfRule type="duplicateValues" dxfId="3322" priority="5408"/>
    <cfRule type="expression" dxfId="3321" priority="5409">
      <formula>_xlfn.ISFORMULA(H252)=TRUE</formula>
    </cfRule>
    <cfRule type="duplicateValues" dxfId="3320" priority="5410"/>
    <cfRule type="duplicateValues" dxfId="3319" priority="5411"/>
    <cfRule type="duplicateValues" dxfId="3318" priority="5412"/>
    <cfRule type="expression" dxfId="3317" priority="5413">
      <formula>_xlfn.ISFORMULA(H252)=TRUE</formula>
    </cfRule>
    <cfRule type="duplicateValues" dxfId="3316" priority="5414"/>
    <cfRule type="duplicateValues" dxfId="3315" priority="5415"/>
    <cfRule type="expression" dxfId="3314" priority="5416">
      <formula>_xlfn.ISFORMULA(H252)=TRUE</formula>
    </cfRule>
    <cfRule type="duplicateValues" dxfId="3313" priority="5433"/>
    <cfRule type="duplicateValues" dxfId="3312" priority="5434"/>
    <cfRule type="duplicateValues" dxfId="3311" priority="5435"/>
    <cfRule type="expression" dxfId="3310" priority="5436">
      <formula>_xlfn.ISFORMULA(H252)=TRUE</formula>
    </cfRule>
    <cfRule type="duplicateValues" dxfId="3309" priority="5437"/>
    <cfRule type="duplicateValues" dxfId="3308" priority="5438"/>
    <cfRule type="duplicateValues" dxfId="3307" priority="5439"/>
    <cfRule type="expression" dxfId="3306" priority="5440">
      <formula>_xlfn.ISFORMULA(H252)=TRUE</formula>
    </cfRule>
    <cfRule type="duplicateValues" dxfId="3305" priority="5441"/>
    <cfRule type="duplicateValues" dxfId="3304" priority="5442"/>
    <cfRule type="duplicateValues" dxfId="3303" priority="5443"/>
    <cfRule type="expression" dxfId="3302" priority="5444">
      <formula>_xlfn.ISFORMULA(H252)=TRUE</formula>
    </cfRule>
    <cfRule type="duplicateValues" dxfId="3301" priority="5445"/>
    <cfRule type="duplicateValues" dxfId="3300" priority="5446"/>
    <cfRule type="duplicateValues" dxfId="3299" priority="7051"/>
    <cfRule type="duplicateValues" dxfId="3298" priority="7050"/>
    <cfRule type="duplicateValues" dxfId="3297" priority="7049"/>
    <cfRule type="expression" dxfId="3296" priority="5447">
      <formula>_xlfn.ISFORMULA(H252)=TRUE</formula>
    </cfRule>
    <cfRule type="duplicateValues" dxfId="3295" priority="5265"/>
    <cfRule type="duplicateValues" dxfId="3294" priority="5621"/>
    <cfRule type="duplicateValues" dxfId="3293" priority="5622"/>
    <cfRule type="expression" dxfId="3292" priority="5623">
      <formula>_xlfn.ISFORMULA(H252)=TRUE</formula>
    </cfRule>
    <cfRule type="duplicateValues" dxfId="3291" priority="5659"/>
    <cfRule type="duplicateValues" dxfId="3290" priority="5660"/>
    <cfRule type="expression" dxfId="3289" priority="5661">
      <formula>_xlfn.ISFORMULA(H252)=TRUE</formula>
    </cfRule>
    <cfRule type="duplicateValues" dxfId="3288" priority="5662"/>
    <cfRule type="duplicateValues" dxfId="3287" priority="5663"/>
    <cfRule type="expression" dxfId="3286" priority="5664">
      <formula>_xlfn.ISFORMULA(H252)=TRUE</formula>
    </cfRule>
    <cfRule type="duplicateValues" dxfId="3285" priority="5690"/>
    <cfRule type="duplicateValues" dxfId="3284" priority="5691"/>
    <cfRule type="expression" dxfId="3283" priority="5692">
      <formula>_xlfn.ISFORMULA(H252)=TRUE</formula>
    </cfRule>
    <cfRule type="duplicateValues" dxfId="3282" priority="5693"/>
    <cfRule type="duplicateValues" dxfId="3281" priority="5694"/>
    <cfRule type="expression" dxfId="3280" priority="5695">
      <formula>_xlfn.ISFORMULA(H252)=TRUE</formula>
    </cfRule>
    <cfRule type="duplicateValues" dxfId="3279" priority="5714"/>
    <cfRule type="duplicateValues" dxfId="3278" priority="5715"/>
    <cfRule type="duplicateValues" dxfId="3277" priority="5716"/>
    <cfRule type="duplicateValues" dxfId="3276" priority="5266"/>
    <cfRule type="expression" dxfId="3275" priority="5267">
      <formula>_xlfn.ISFORMULA(H252)=TRUE</formula>
    </cfRule>
    <cfRule type="duplicateValues" dxfId="3274" priority="5272"/>
    <cfRule type="expression" dxfId="3273" priority="5717">
      <formula>_xlfn.ISFORMULA(H252)=TRUE</formula>
    </cfRule>
    <cfRule type="duplicateValues" dxfId="3272" priority="5293"/>
    <cfRule type="duplicateValues" dxfId="3271" priority="5294"/>
    <cfRule type="duplicateValues" dxfId="3270" priority="5295"/>
    <cfRule type="expression" dxfId="3269" priority="5296">
      <formula>_xlfn.ISFORMULA(H252)=TRUE</formula>
    </cfRule>
    <cfRule type="expression" dxfId="3268" priority="7056">
      <formula>_xlfn.ISFORMULA(H252)=TRUE</formula>
    </cfRule>
    <cfRule type="duplicateValues" dxfId="3267" priority="5306"/>
    <cfRule type="duplicateValues" dxfId="3266" priority="5273"/>
    <cfRule type="expression" dxfId="3265" priority="5308">
      <formula>_xlfn.ISFORMULA(H252)=TRUE</formula>
    </cfRule>
    <cfRule type="duplicateValues" dxfId="3264" priority="5307"/>
    <cfRule type="expression" dxfId="3263" priority="5274">
      <formula>_xlfn.ISFORMULA(H252)=TRUE</formula>
    </cfRule>
    <cfRule type="expression" dxfId="3262" priority="5830">
      <formula>_xlfn.ISFORMULA(H252)=TRUE</formula>
    </cfRule>
    <cfRule type="duplicateValues" dxfId="3261" priority="5829"/>
    <cfRule type="duplicateValues" dxfId="3260" priority="5828"/>
    <cfRule type="expression" dxfId="3259" priority="5814">
      <formula>_xlfn.ISFORMULA(H252)=TRUE</formula>
    </cfRule>
    <cfRule type="duplicateValues" dxfId="3258" priority="5813"/>
    <cfRule type="duplicateValues" dxfId="3257" priority="5812"/>
    <cfRule type="duplicateValues" dxfId="3256" priority="5811"/>
    <cfRule type="expression" dxfId="3255" priority="5795">
      <formula>_xlfn.ISFORMULA(H252)=TRUE</formula>
    </cfRule>
    <cfRule type="duplicateValues" dxfId="3254" priority="5794"/>
    <cfRule type="duplicateValues" dxfId="3253" priority="5793"/>
    <cfRule type="expression" dxfId="3252" priority="5783">
      <formula>_xlfn.ISFORMULA(H252)=TRUE</formula>
    </cfRule>
    <cfRule type="duplicateValues" dxfId="3251" priority="5782"/>
    <cfRule type="duplicateValues" dxfId="3250" priority="5781"/>
    <cfRule type="duplicateValues" dxfId="3249" priority="5780"/>
    <cfRule type="expression" dxfId="3248" priority="5761">
      <formula>_xlfn.ISFORMULA(H252)=TRUE</formula>
    </cfRule>
    <cfRule type="duplicateValues" dxfId="3247" priority="5324"/>
    <cfRule type="duplicateValues" dxfId="3246" priority="5325"/>
    <cfRule type="duplicateValues" dxfId="3245" priority="5326"/>
    <cfRule type="duplicateValues" dxfId="3244" priority="5760"/>
    <cfRule type="duplicateValues" dxfId="3243" priority="5759"/>
  </conditionalFormatting>
  <conditionalFormatting sqref="H252:H257">
    <cfRule type="duplicateValues" dxfId="3242" priority="7038"/>
    <cfRule type="duplicateValues" dxfId="3241" priority="7041"/>
    <cfRule type="expression" dxfId="3240" priority="7039">
      <formula>_xlfn.ISFORMULA(H252)=TRUE</formula>
    </cfRule>
    <cfRule type="duplicateValues" dxfId="3239" priority="7040"/>
    <cfRule type="duplicateValues" dxfId="3238" priority="7033"/>
    <cfRule type="duplicateValues" dxfId="3237" priority="7034"/>
    <cfRule type="expression" dxfId="3236" priority="7047">
      <formula>_xlfn.ISFORMULA(H252)=TRUE</formula>
    </cfRule>
    <cfRule type="duplicateValues" dxfId="3235" priority="7046"/>
    <cfRule type="duplicateValues" dxfId="3234" priority="7045"/>
    <cfRule type="duplicateValues" dxfId="3233" priority="7044"/>
    <cfRule type="expression" dxfId="3232" priority="7043">
      <formula>_xlfn.ISFORMULA(H252)=TRUE</formula>
    </cfRule>
    <cfRule type="duplicateValues" dxfId="3231" priority="7042"/>
    <cfRule type="expression" dxfId="3230" priority="7035">
      <formula>_xlfn.ISFORMULA(H252)=TRUE</formula>
    </cfRule>
    <cfRule type="duplicateValues" dxfId="3229" priority="7036"/>
    <cfRule type="duplicateValues" dxfId="3228" priority="7037"/>
    <cfRule type="duplicateValues" dxfId="3227" priority="7032"/>
  </conditionalFormatting>
  <conditionalFormatting sqref="H253">
    <cfRule type="duplicateValues" dxfId="3226" priority="5697"/>
    <cfRule type="expression" dxfId="3225" priority="5698">
      <formula>_xlfn.ISFORMULA(H253)=TRUE</formula>
    </cfRule>
    <cfRule type="duplicateValues" dxfId="3224" priority="5699"/>
    <cfRule type="duplicateValues" dxfId="3223" priority="5700"/>
    <cfRule type="duplicateValues" dxfId="3222" priority="5701"/>
    <cfRule type="expression" dxfId="3221" priority="5702">
      <formula>_xlfn.ISFORMULA(H253)=TRUE</formula>
    </cfRule>
    <cfRule type="duplicateValues" dxfId="3220" priority="5703"/>
    <cfRule type="duplicateValues" dxfId="3219" priority="5666"/>
    <cfRule type="duplicateValues" dxfId="3218" priority="5704"/>
    <cfRule type="duplicateValues" dxfId="3217" priority="5705"/>
    <cfRule type="expression" dxfId="3216" priority="5706">
      <formula>_xlfn.ISFORMULA(H253)=TRUE</formula>
    </cfRule>
    <cfRule type="duplicateValues" dxfId="3215" priority="5707"/>
    <cfRule type="duplicateValues" dxfId="3214" priority="5708"/>
    <cfRule type="duplicateValues" dxfId="3213" priority="5709"/>
    <cfRule type="expression" dxfId="3212" priority="5710">
      <formula>_xlfn.ISFORMULA(H253)=TRUE</formula>
    </cfRule>
    <cfRule type="duplicateValues" dxfId="3211" priority="5711"/>
    <cfRule type="duplicateValues" dxfId="3210" priority="5712"/>
    <cfRule type="expression" dxfId="3209" priority="5713">
      <formula>_xlfn.ISFORMULA(H253)=TRUE</formula>
    </cfRule>
    <cfRule type="duplicateValues" dxfId="3208" priority="5258"/>
    <cfRule type="duplicateValues" dxfId="3207" priority="5259"/>
    <cfRule type="duplicateValues" dxfId="3206" priority="5260"/>
    <cfRule type="expression" dxfId="3205" priority="5261">
      <formula>_xlfn.ISFORMULA(H253)=TRUE</formula>
    </cfRule>
    <cfRule type="expression" dxfId="3204" priority="5385">
      <formula>_xlfn.ISFORMULA(H253)=TRUE</formula>
    </cfRule>
    <cfRule type="duplicateValues" dxfId="3203" priority="5383"/>
    <cfRule type="duplicateValues" dxfId="3202" priority="5624"/>
    <cfRule type="duplicateValues" dxfId="3201" priority="5625"/>
    <cfRule type="expression" dxfId="3200" priority="5626">
      <formula>_xlfn.ISFORMULA(H253)=TRUE</formula>
    </cfRule>
    <cfRule type="expression" dxfId="3199" priority="5382">
      <formula>_xlfn.ISFORMULA(H253)=TRUE</formula>
    </cfRule>
    <cfRule type="duplicateValues" dxfId="3198" priority="5381"/>
    <cfRule type="duplicateValues" dxfId="3197" priority="5380"/>
    <cfRule type="duplicateValues" dxfId="3196" priority="5379"/>
    <cfRule type="duplicateValues" dxfId="3195" priority="5631"/>
    <cfRule type="duplicateValues" dxfId="3194" priority="5632"/>
    <cfRule type="expression" dxfId="3193" priority="5633">
      <formula>_xlfn.ISFORMULA(H253)=TRUE</formula>
    </cfRule>
    <cfRule type="expression" dxfId="3192" priority="5378">
      <formula>_xlfn.ISFORMULA(H253)=TRUE</formula>
    </cfRule>
    <cfRule type="duplicateValues" dxfId="3191" priority="5377"/>
    <cfRule type="duplicateValues" dxfId="3190" priority="5376"/>
    <cfRule type="duplicateValues" dxfId="3189" priority="5375"/>
    <cfRule type="expression" dxfId="3188" priority="5374">
      <formula>_xlfn.ISFORMULA(H253)=TRUE</formula>
    </cfRule>
    <cfRule type="duplicateValues" dxfId="3187" priority="5373"/>
    <cfRule type="duplicateValues" dxfId="3186" priority="5769"/>
    <cfRule type="duplicateValues" dxfId="3185" priority="5809"/>
    <cfRule type="duplicateValues" dxfId="3184" priority="5808"/>
    <cfRule type="expression" dxfId="3183" priority="5807">
      <formula>_xlfn.ISFORMULA(H253)=TRUE</formula>
    </cfRule>
    <cfRule type="duplicateValues" dxfId="3182" priority="5806"/>
    <cfRule type="duplicateValues" dxfId="3181" priority="5805"/>
    <cfRule type="duplicateValues" dxfId="3180" priority="5804"/>
    <cfRule type="expression" dxfId="3179" priority="5803">
      <formula>_xlfn.ISFORMULA(H253)=TRUE</formula>
    </cfRule>
    <cfRule type="duplicateValues" dxfId="3178" priority="5802"/>
    <cfRule type="duplicateValues" dxfId="3177" priority="5801"/>
    <cfRule type="duplicateValues" dxfId="3176" priority="5800"/>
    <cfRule type="expression" dxfId="3175" priority="5799">
      <formula>_xlfn.ISFORMULA(H253)=TRUE</formula>
    </cfRule>
    <cfRule type="duplicateValues" dxfId="3174" priority="5798"/>
    <cfRule type="duplicateValues" dxfId="3173" priority="5797"/>
    <cfRule type="duplicateValues" dxfId="3172" priority="5796"/>
    <cfRule type="duplicateValues" dxfId="3171" priority="5372"/>
    <cfRule type="duplicateValues" dxfId="3170" priority="5371"/>
    <cfRule type="expression" dxfId="3169" priority="5779">
      <formula>_xlfn.ISFORMULA(H253)=TRUE</formula>
    </cfRule>
    <cfRule type="duplicateValues" dxfId="3168" priority="5275"/>
    <cfRule type="duplicateValues" dxfId="3167" priority="5276"/>
    <cfRule type="expression" dxfId="3166" priority="5277">
      <formula>_xlfn.ISFORMULA(H253)=TRUE</formula>
    </cfRule>
    <cfRule type="duplicateValues" dxfId="3165" priority="5278"/>
    <cfRule type="duplicateValues" dxfId="3164" priority="5279"/>
    <cfRule type="duplicateValues" dxfId="3163" priority="5280"/>
    <cfRule type="expression" dxfId="3162" priority="5281">
      <formula>_xlfn.ISFORMULA(H253)=TRUE</formula>
    </cfRule>
    <cfRule type="duplicateValues" dxfId="3161" priority="5282"/>
    <cfRule type="duplicateValues" dxfId="3160" priority="5283"/>
    <cfRule type="duplicateValues" dxfId="3159" priority="5284"/>
    <cfRule type="expression" dxfId="3158" priority="5285">
      <formula>_xlfn.ISFORMULA(H253)=TRUE</formula>
    </cfRule>
    <cfRule type="duplicateValues" dxfId="3157" priority="5286"/>
    <cfRule type="duplicateValues" dxfId="3156" priority="5287"/>
    <cfRule type="duplicateValues" dxfId="3155" priority="5288"/>
    <cfRule type="expression" dxfId="3154" priority="5289">
      <formula>_xlfn.ISFORMULA(H253)=TRUE</formula>
    </cfRule>
    <cfRule type="duplicateValues" dxfId="3153" priority="5290"/>
    <cfRule type="duplicateValues" dxfId="3152" priority="5291"/>
    <cfRule type="expression" dxfId="3151" priority="5292">
      <formula>_xlfn.ISFORMULA(H253)=TRUE</formula>
    </cfRule>
    <cfRule type="duplicateValues" dxfId="3150" priority="5778"/>
    <cfRule type="duplicateValues" dxfId="3149" priority="5309"/>
    <cfRule type="duplicateValues" dxfId="3148" priority="5310"/>
    <cfRule type="duplicateValues" dxfId="3147" priority="5311"/>
    <cfRule type="expression" dxfId="3146" priority="5312">
      <formula>_xlfn.ISFORMULA(H253)=TRUE</formula>
    </cfRule>
    <cfRule type="duplicateValues" dxfId="3145" priority="5313"/>
    <cfRule type="duplicateValues" dxfId="3144" priority="5314"/>
    <cfRule type="duplicateValues" dxfId="3143" priority="5315"/>
    <cfRule type="expression" dxfId="3142" priority="5316">
      <formula>_xlfn.ISFORMULA(H253)=TRUE</formula>
    </cfRule>
    <cfRule type="duplicateValues" dxfId="3141" priority="5317"/>
    <cfRule type="duplicateValues" dxfId="3140" priority="5384"/>
    <cfRule type="duplicateValues" dxfId="3139" priority="5318"/>
    <cfRule type="duplicateValues" dxfId="3138" priority="5319"/>
    <cfRule type="expression" dxfId="3137" priority="5320">
      <formula>_xlfn.ISFORMULA(H253)=TRUE</formula>
    </cfRule>
    <cfRule type="duplicateValues" dxfId="3136" priority="5321"/>
    <cfRule type="duplicateValues" dxfId="3135" priority="5322"/>
    <cfRule type="duplicateValues" dxfId="3134" priority="5777"/>
    <cfRule type="expression" dxfId="3133" priority="5323">
      <formula>_xlfn.ISFORMULA(H253)=TRUE</formula>
    </cfRule>
    <cfRule type="expression" dxfId="3132" priority="5776">
      <formula>_xlfn.ISFORMULA(H253)=TRUE</formula>
    </cfRule>
    <cfRule type="duplicateValues" dxfId="3131" priority="5775"/>
    <cfRule type="duplicateValues" dxfId="3130" priority="5774"/>
    <cfRule type="duplicateValues" dxfId="3129" priority="5773"/>
    <cfRule type="expression" dxfId="3128" priority="5772">
      <formula>_xlfn.ISFORMULA(H253)=TRUE</formula>
    </cfRule>
    <cfRule type="duplicateValues" dxfId="3127" priority="5771"/>
    <cfRule type="duplicateValues" dxfId="3126" priority="5770"/>
    <cfRule type="expression" dxfId="3125" priority="5768">
      <formula>_xlfn.ISFORMULA(H253)=TRUE</formula>
    </cfRule>
    <cfRule type="duplicateValues" dxfId="3124" priority="5767"/>
    <cfRule type="duplicateValues" dxfId="3123" priority="5766"/>
    <cfRule type="duplicateValues" dxfId="3122" priority="5765"/>
    <cfRule type="expression" dxfId="3121" priority="5764">
      <formula>_xlfn.ISFORMULA(H253)=TRUE</formula>
    </cfRule>
    <cfRule type="duplicateValues" dxfId="3120" priority="5763"/>
    <cfRule type="duplicateValues" dxfId="3119" priority="5762"/>
    <cfRule type="expression" dxfId="3118" priority="5748">
      <formula>_xlfn.ISFORMULA(H253)=TRUE</formula>
    </cfRule>
    <cfRule type="duplicateValues" dxfId="3117" priority="5747"/>
    <cfRule type="duplicateValues" dxfId="3116" priority="5746"/>
    <cfRule type="duplicateValues" dxfId="3115" priority="5745"/>
    <cfRule type="duplicateValues" dxfId="3114" priority="5652"/>
    <cfRule type="duplicateValues" dxfId="3113" priority="5653"/>
    <cfRule type="duplicateValues" dxfId="3112" priority="5654"/>
    <cfRule type="expression" dxfId="3111" priority="5655">
      <formula>_xlfn.ISFORMULA(H253)=TRUE</formula>
    </cfRule>
    <cfRule type="duplicateValues" dxfId="3110" priority="5665"/>
    <cfRule type="expression" dxfId="3109" priority="5810">
      <formula>_xlfn.ISFORMULA(H253)=TRUE</formula>
    </cfRule>
    <cfRule type="expression" dxfId="3108" priority="5667">
      <formula>_xlfn.ISFORMULA(H253)=TRUE</formula>
    </cfRule>
    <cfRule type="duplicateValues" dxfId="3107" priority="5683"/>
    <cfRule type="duplicateValues" dxfId="3106" priority="5684"/>
    <cfRule type="duplicateValues" dxfId="3105" priority="5685"/>
    <cfRule type="expression" dxfId="3104" priority="5686">
      <formula>_xlfn.ISFORMULA(H253)=TRUE</formula>
    </cfRule>
    <cfRule type="duplicateValues" dxfId="3103" priority="5696"/>
  </conditionalFormatting>
  <conditionalFormatting sqref="H254">
    <cfRule type="duplicateValues" dxfId="3102" priority="5734"/>
    <cfRule type="expression" dxfId="3101" priority="5682">
      <formula>_xlfn.ISFORMULA(H254)=TRUE</formula>
    </cfRule>
    <cfRule type="duplicateValues" dxfId="3100" priority="5672"/>
    <cfRule type="expression" dxfId="3099" priority="5675">
      <formula>_xlfn.ISFORMULA(H254)=TRUE</formula>
    </cfRule>
    <cfRule type="duplicateValues" dxfId="3098" priority="5646"/>
    <cfRule type="expression" dxfId="3097" priority="5648">
      <formula>_xlfn.ISFORMULA(H254)=TRUE</formula>
    </cfRule>
    <cfRule type="duplicateValues" dxfId="3096" priority="5730"/>
    <cfRule type="duplicateValues" dxfId="3095" priority="5731"/>
    <cfRule type="duplicateValues" dxfId="3094" priority="5732"/>
    <cfRule type="expression" dxfId="3093" priority="5733">
      <formula>_xlfn.ISFORMULA(H254)=TRUE</formula>
    </cfRule>
    <cfRule type="expression" dxfId="3092" priority="5254">
      <formula>_xlfn.ISFORMULA(H254)=TRUE</formula>
    </cfRule>
    <cfRule type="duplicateValues" dxfId="3091" priority="5735"/>
    <cfRule type="duplicateValues" dxfId="3090" priority="5736"/>
    <cfRule type="duplicateValues" dxfId="3089" priority="5738"/>
    <cfRule type="duplicateValues" dxfId="3088" priority="5739"/>
    <cfRule type="duplicateValues" dxfId="3087" priority="5740"/>
    <cfRule type="expression" dxfId="3086" priority="5741">
      <formula>_xlfn.ISFORMULA(H254)=TRUE</formula>
    </cfRule>
    <cfRule type="duplicateValues" dxfId="3085" priority="5742"/>
    <cfRule type="duplicateValues" dxfId="3084" priority="5743"/>
    <cfRule type="expression" dxfId="3083" priority="5744">
      <formula>_xlfn.ISFORMULA(H254)=TRUE</formula>
    </cfRule>
    <cfRule type="duplicateValues" dxfId="3082" priority="5650"/>
    <cfRule type="duplicateValues" dxfId="3081" priority="5676"/>
    <cfRule type="expression" dxfId="3080" priority="5679">
      <formula>_xlfn.ISFORMULA(H254)=TRUE</formula>
    </cfRule>
    <cfRule type="expression" dxfId="3079" priority="5737">
      <formula>_xlfn.ISFORMULA(H254)=TRUE</formula>
    </cfRule>
    <cfRule type="expression" dxfId="3078" priority="5651">
      <formula>_xlfn.ISFORMULA(H254)=TRUE</formula>
    </cfRule>
    <cfRule type="duplicateValues" dxfId="3077" priority="5647"/>
    <cfRule type="expression" dxfId="3076" priority="5640">
      <formula>_xlfn.ISFORMULA(H254)=TRUE</formula>
    </cfRule>
    <cfRule type="duplicateValues" dxfId="3075" priority="5255"/>
    <cfRule type="duplicateValues" dxfId="3074" priority="5641"/>
    <cfRule type="duplicateValues" dxfId="3073" priority="5642"/>
    <cfRule type="duplicateValues" dxfId="3072" priority="5643"/>
    <cfRule type="expression" dxfId="3071" priority="5644">
      <formula>_xlfn.ISFORMULA(H254)=TRUE</formula>
    </cfRule>
    <cfRule type="expression" dxfId="3070" priority="5257">
      <formula>_xlfn.ISFORMULA(H254)=TRUE</formula>
    </cfRule>
    <cfRule type="duplicateValues" dxfId="3069" priority="5618"/>
    <cfRule type="duplicateValues" dxfId="3068" priority="5256"/>
    <cfRule type="duplicateValues" dxfId="3067" priority="5645"/>
    <cfRule type="duplicateValues" dxfId="3066" priority="5243"/>
    <cfRule type="expression" dxfId="3065" priority="5671">
      <formula>_xlfn.ISFORMULA(H254)=TRUE</formula>
    </cfRule>
    <cfRule type="duplicateValues" dxfId="3064" priority="5670"/>
    <cfRule type="duplicateValues" dxfId="3063" priority="5669"/>
    <cfRule type="duplicateValues" dxfId="3062" priority="5668"/>
    <cfRule type="duplicateValues" dxfId="3061" priority="5244"/>
    <cfRule type="duplicateValues" dxfId="3060" priority="5617"/>
    <cfRule type="duplicateValues" dxfId="3059" priority="5253"/>
    <cfRule type="duplicateValues" dxfId="3058" priority="5619"/>
    <cfRule type="expression" dxfId="3057" priority="5620">
      <formula>_xlfn.ISFORMULA(H254)=TRUE</formula>
    </cfRule>
    <cfRule type="duplicateValues" dxfId="3056" priority="5677"/>
    <cfRule type="duplicateValues" dxfId="3055" priority="5678"/>
    <cfRule type="duplicateValues" dxfId="3054" priority="5637"/>
    <cfRule type="duplicateValues" dxfId="3053" priority="5673"/>
    <cfRule type="duplicateValues" dxfId="3052" priority="5634"/>
    <cfRule type="duplicateValues" dxfId="3051" priority="5681"/>
    <cfRule type="duplicateValues" dxfId="3050" priority="5680"/>
    <cfRule type="duplicateValues" dxfId="3049" priority="5635"/>
    <cfRule type="expression" dxfId="3048" priority="5636">
      <formula>_xlfn.ISFORMULA(H254)=TRUE</formula>
    </cfRule>
    <cfRule type="duplicateValues" dxfId="3047" priority="5245"/>
    <cfRule type="duplicateValues" dxfId="3046" priority="5638"/>
    <cfRule type="duplicateValues" dxfId="3045" priority="5252"/>
    <cfRule type="duplicateValues" dxfId="3044" priority="5251"/>
    <cfRule type="expression" dxfId="3043" priority="5250">
      <formula>_xlfn.ISFORMULA(H254)=TRUE</formula>
    </cfRule>
    <cfRule type="duplicateValues" dxfId="3042" priority="5249"/>
    <cfRule type="duplicateValues" dxfId="3041" priority="5248"/>
    <cfRule type="duplicateValues" dxfId="3040" priority="5247"/>
    <cfRule type="expression" dxfId="3039" priority="5246">
      <formula>_xlfn.ISFORMULA(H254)=TRUE</formula>
    </cfRule>
    <cfRule type="duplicateValues" dxfId="3038" priority="5639"/>
    <cfRule type="duplicateValues" dxfId="3037" priority="5674"/>
    <cfRule type="duplicateValues" dxfId="3036" priority="5649"/>
  </conditionalFormatting>
  <conditionalFormatting sqref="H254:H260">
    <cfRule type="duplicateValues" dxfId="3035" priority="7126"/>
    <cfRule type="duplicateValues" dxfId="3034" priority="7124"/>
    <cfRule type="duplicateValues" dxfId="3033" priority="7125"/>
    <cfRule type="expression" dxfId="3032" priority="7127">
      <formula>_xlfn.ISFORMULA(H254)=TRUE</formula>
    </cfRule>
  </conditionalFormatting>
  <conditionalFormatting sqref="H255">
    <cfRule type="duplicateValues" dxfId="3031" priority="5602"/>
    <cfRule type="duplicateValues" dxfId="3030" priority="5603"/>
    <cfRule type="duplicateValues" dxfId="3029" priority="5604"/>
    <cfRule type="expression" dxfId="3028" priority="5605">
      <formula>_xlfn.ISFORMULA(H255)=TRUE</formula>
    </cfRule>
    <cfRule type="duplicateValues" dxfId="3027" priority="5606"/>
    <cfRule type="expression" dxfId="3026" priority="5609">
      <formula>_xlfn.ISFORMULA(H255)=TRUE</formula>
    </cfRule>
    <cfRule type="duplicateValues" dxfId="3025" priority="5610"/>
    <cfRule type="duplicateValues" dxfId="3024" priority="5611"/>
    <cfRule type="duplicateValues" dxfId="3023" priority="5612"/>
    <cfRule type="expression" dxfId="3022" priority="5613">
      <formula>_xlfn.ISFORMULA(H255)=TRUE</formula>
    </cfRule>
    <cfRule type="duplicateValues" dxfId="3021" priority="5614"/>
    <cfRule type="duplicateValues" dxfId="3020" priority="5615"/>
    <cfRule type="expression" dxfId="3019" priority="5616">
      <formula>_xlfn.ISFORMULA(H255)=TRUE</formula>
    </cfRule>
    <cfRule type="duplicateValues" dxfId="3018" priority="5608"/>
    <cfRule type="duplicateValues" dxfId="3017" priority="5607"/>
  </conditionalFormatting>
  <conditionalFormatting sqref="H256">
    <cfRule type="duplicateValues" dxfId="3016" priority="5497"/>
    <cfRule type="expression" dxfId="3015" priority="5500">
      <formula>_xlfn.ISFORMULA(H256)=TRUE</formula>
    </cfRule>
    <cfRule type="duplicateValues" dxfId="3014" priority="5494"/>
    <cfRule type="duplicateValues" dxfId="3013" priority="5498"/>
    <cfRule type="duplicateValues" dxfId="3012" priority="5499"/>
    <cfRule type="duplicateValues" dxfId="3011" priority="5501"/>
    <cfRule type="duplicateValues" dxfId="3010" priority="5493"/>
    <cfRule type="duplicateValues" dxfId="3009" priority="5495"/>
    <cfRule type="duplicateValues" dxfId="3008" priority="5489"/>
    <cfRule type="duplicateValues" dxfId="3007" priority="5490"/>
    <cfRule type="duplicateValues" dxfId="3006" priority="5491"/>
    <cfRule type="expression" dxfId="3005" priority="5492">
      <formula>_xlfn.ISFORMULA(H256)=TRUE</formula>
    </cfRule>
    <cfRule type="expression" dxfId="3004" priority="5503">
      <formula>_xlfn.ISFORMULA(H256)=TRUE</formula>
    </cfRule>
    <cfRule type="duplicateValues" dxfId="3003" priority="5502"/>
    <cfRule type="expression" dxfId="3002" priority="5496">
      <formula>_xlfn.ISFORMULA(H256)=TRUE</formula>
    </cfRule>
  </conditionalFormatting>
  <conditionalFormatting sqref="H257">
    <cfRule type="duplicateValues" dxfId="3001" priority="7095"/>
    <cfRule type="duplicateValues" dxfId="3000" priority="7096"/>
    <cfRule type="expression" dxfId="2999" priority="7097">
      <formula>_xlfn.ISFORMULA(H257)=TRUE</formula>
    </cfRule>
    <cfRule type="duplicateValues" dxfId="2998" priority="7098"/>
    <cfRule type="duplicateValues" dxfId="2997" priority="7099"/>
    <cfRule type="expression" dxfId="2996" priority="7108">
      <formula>_xlfn.ISFORMULA(H257)=TRUE</formula>
    </cfRule>
    <cfRule type="duplicateValues" dxfId="2995" priority="7094"/>
    <cfRule type="duplicateValues" dxfId="2994" priority="7106"/>
    <cfRule type="duplicateValues" dxfId="2993" priority="7107"/>
    <cfRule type="duplicateValues" dxfId="2992" priority="7100"/>
    <cfRule type="expression" dxfId="2991" priority="7101">
      <formula>_xlfn.ISFORMULA(H257)=TRUE</formula>
    </cfRule>
    <cfRule type="duplicateValues" dxfId="2990" priority="7102"/>
    <cfRule type="duplicateValues" dxfId="2989" priority="7103"/>
    <cfRule type="duplicateValues" dxfId="2988" priority="7104"/>
    <cfRule type="expression" dxfId="2987" priority="7105">
      <formula>_xlfn.ISFORMULA(H257)=TRUE</formula>
    </cfRule>
  </conditionalFormatting>
  <conditionalFormatting sqref="H259:H260">
    <cfRule type="expression" dxfId="2986" priority="7791">
      <formula>_xlfn.ISFORMULA(H259)=TRUE</formula>
    </cfRule>
    <cfRule type="duplicateValues" dxfId="2985" priority="7773"/>
    <cfRule type="duplicateValues" dxfId="2984" priority="7789"/>
    <cfRule type="duplicateValues" dxfId="2983" priority="7788"/>
    <cfRule type="duplicateValues" dxfId="2982" priority="7771"/>
    <cfRule type="duplicateValues" dxfId="2981" priority="7790"/>
    <cfRule type="duplicateValues" dxfId="2980" priority="7782"/>
    <cfRule type="duplicateValues" dxfId="2979" priority="7781"/>
    <cfRule type="duplicateValues" dxfId="2978" priority="7780"/>
    <cfRule type="expression" dxfId="2977" priority="7774">
      <formula>_xlfn.ISFORMULA(H259)=TRUE</formula>
    </cfRule>
    <cfRule type="duplicateValues" dxfId="2976" priority="7772"/>
    <cfRule type="expression" dxfId="2975" priority="7783">
      <formula>_xlfn.ISFORMULA(H259)=TRUE</formula>
    </cfRule>
  </conditionalFormatting>
  <conditionalFormatting sqref="H259:H264">
    <cfRule type="duplicateValues" dxfId="2974" priority="7113"/>
    <cfRule type="duplicateValues" dxfId="2973" priority="7114"/>
    <cfRule type="duplicateValues" dxfId="2972" priority="7115"/>
    <cfRule type="expression" dxfId="2971" priority="7116">
      <formula>_xlfn.ISFORMULA(H259)=TRUE</formula>
    </cfRule>
  </conditionalFormatting>
  <conditionalFormatting sqref="H263:H264">
    <cfRule type="duplicateValues" dxfId="2970" priority="7028"/>
    <cfRule type="expression" dxfId="2969" priority="7031">
      <formula>_xlfn.ISFORMULA(H263)=TRUE</formula>
    </cfRule>
    <cfRule type="duplicateValues" dxfId="2968" priority="7030"/>
    <cfRule type="duplicateValues" dxfId="2967" priority="7029"/>
  </conditionalFormatting>
  <conditionalFormatting sqref="H265:H266">
    <cfRule type="duplicateValues" dxfId="2966" priority="7109"/>
    <cfRule type="expression" dxfId="2965" priority="7112">
      <formula>_xlfn.ISFORMULA(H265)=TRUE</formula>
    </cfRule>
    <cfRule type="duplicateValues" dxfId="2964" priority="7111"/>
    <cfRule type="duplicateValues" dxfId="2963" priority="7110"/>
  </conditionalFormatting>
  <conditionalFormatting sqref="H267:H269">
    <cfRule type="expression" dxfId="2962" priority="7741">
      <formula>_xlfn.ISFORMULA(H267)=TRUE</formula>
    </cfRule>
    <cfRule type="duplicateValues" dxfId="2961" priority="7732"/>
    <cfRule type="duplicateValues" dxfId="2960" priority="7733"/>
    <cfRule type="duplicateValues" dxfId="2959" priority="7734"/>
    <cfRule type="expression" dxfId="2958" priority="7735">
      <formula>_xlfn.ISFORMULA(H267)=TRUE</formula>
    </cfRule>
    <cfRule type="duplicateValues" dxfId="2957" priority="7738"/>
    <cfRule type="duplicateValues" dxfId="2956" priority="7739"/>
    <cfRule type="duplicateValues" dxfId="2955" priority="7740"/>
  </conditionalFormatting>
  <conditionalFormatting sqref="H268">
    <cfRule type="duplicateValues" dxfId="2954" priority="7743"/>
    <cfRule type="duplicateValues" dxfId="2953" priority="7744"/>
    <cfRule type="expression" dxfId="2952" priority="7745">
      <formula>_xlfn.ISFORMULA(H268)=TRUE</formula>
    </cfRule>
  </conditionalFormatting>
  <conditionalFormatting sqref="H269 H274:H275">
    <cfRule type="duplicateValues" dxfId="2951" priority="9773"/>
    <cfRule type="duplicateValues" dxfId="2950" priority="9772"/>
    <cfRule type="duplicateValues" dxfId="2949" priority="9774"/>
    <cfRule type="expression" dxfId="2948" priority="9775">
      <formula>_xlfn.ISFORMULA(H269)=TRUE</formula>
    </cfRule>
  </conditionalFormatting>
  <conditionalFormatting sqref="H269">
    <cfRule type="expression" dxfId="2947" priority="10685">
      <formula>_xlfn.ISFORMULA(H269)=TRUE</formula>
    </cfRule>
    <cfRule type="duplicateValues" dxfId="2946" priority="10684"/>
    <cfRule type="duplicateValues" dxfId="2945" priority="10683"/>
    <cfRule type="duplicateValues" dxfId="2944" priority="10355"/>
    <cfRule type="duplicateValues" dxfId="2943" priority="10356"/>
    <cfRule type="duplicateValues" dxfId="2942" priority="10682"/>
    <cfRule type="expression" dxfId="2941" priority="9911">
      <formula>_xlfn.ISFORMULA(H269)=TRUE</formula>
    </cfRule>
    <cfRule type="duplicateValues" dxfId="2940" priority="9908"/>
    <cfRule type="duplicateValues" dxfId="2939" priority="9909"/>
    <cfRule type="duplicateValues" dxfId="2938" priority="9910"/>
    <cfRule type="duplicateValues" dxfId="2937" priority="10357"/>
    <cfRule type="expression" dxfId="2936" priority="10358">
      <formula>_xlfn.ISFORMULA(H269)=TRUE</formula>
    </cfRule>
    <cfRule type="duplicateValues" dxfId="2935" priority="7339"/>
    <cfRule type="duplicateValues" dxfId="2934" priority="7340"/>
    <cfRule type="expression" dxfId="2933" priority="7341">
      <formula>_xlfn.ISFORMULA(H269)=TRUE</formula>
    </cfRule>
  </conditionalFormatting>
  <conditionalFormatting sqref="H270">
    <cfRule type="duplicateValues" dxfId="2932" priority="7352"/>
    <cfRule type="duplicateValues" dxfId="2931" priority="7351"/>
    <cfRule type="duplicateValues" dxfId="2930" priority="7350"/>
    <cfRule type="expression" dxfId="2929" priority="7357">
      <formula>_xlfn.ISFORMULA(H270)=TRUE</formula>
    </cfRule>
    <cfRule type="duplicateValues" dxfId="2928" priority="7356"/>
    <cfRule type="duplicateValues" dxfId="2927" priority="7355"/>
    <cfRule type="duplicateValues" dxfId="2926" priority="7354"/>
    <cfRule type="expression" dxfId="2925" priority="7353">
      <formula>_xlfn.ISFORMULA(H270)=TRUE</formula>
    </cfRule>
    <cfRule type="duplicateValues" dxfId="2924" priority="7342"/>
    <cfRule type="duplicateValues" dxfId="2923" priority="7343"/>
    <cfRule type="duplicateValues" dxfId="2922" priority="7344"/>
    <cfRule type="expression" dxfId="2921" priority="7345">
      <formula>_xlfn.ISFORMULA(H270)=TRUE</formula>
    </cfRule>
    <cfRule type="duplicateValues" dxfId="2920" priority="7346"/>
    <cfRule type="duplicateValues" dxfId="2919" priority="7347"/>
    <cfRule type="duplicateValues" dxfId="2918" priority="7348"/>
    <cfRule type="expression" dxfId="2917" priority="7349">
      <formula>_xlfn.ISFORMULA(H270)=TRUE</formula>
    </cfRule>
  </conditionalFormatting>
  <conditionalFormatting sqref="H270:H273">
    <cfRule type="duplicateValues" dxfId="2916" priority="7720"/>
    <cfRule type="duplicateValues" dxfId="2915" priority="7725"/>
    <cfRule type="expression" dxfId="2914" priority="7722">
      <formula>_xlfn.ISFORMULA(H270)=TRUE</formula>
    </cfRule>
    <cfRule type="duplicateValues" dxfId="2913" priority="7724"/>
    <cfRule type="duplicateValues" dxfId="2912" priority="7721"/>
    <cfRule type="duplicateValues" dxfId="2911" priority="7726"/>
    <cfRule type="duplicateValues" dxfId="2910" priority="7719"/>
    <cfRule type="expression" dxfId="2909" priority="7727">
      <formula>_xlfn.ISFORMULA(H270)=TRUE</formula>
    </cfRule>
  </conditionalFormatting>
  <conditionalFormatting sqref="H273">
    <cfRule type="expression" dxfId="2908" priority="7718">
      <formula>_xlfn.ISFORMULA(H273)=TRUE</formula>
    </cfRule>
    <cfRule type="duplicateValues" dxfId="2907" priority="7717"/>
    <cfRule type="duplicateValues" dxfId="2906" priority="7716"/>
    <cfRule type="duplicateValues" dxfId="2905" priority="7729"/>
    <cfRule type="duplicateValues" dxfId="2904" priority="7730"/>
    <cfRule type="duplicateValues" dxfId="2903" priority="7715"/>
    <cfRule type="expression" dxfId="2902" priority="7731">
      <formula>_xlfn.ISFORMULA(H273)=TRUE</formula>
    </cfRule>
  </conditionalFormatting>
  <conditionalFormatting sqref="H274">
    <cfRule type="duplicateValues" dxfId="2901" priority="10352"/>
    <cfRule type="duplicateValues" dxfId="2900" priority="10351"/>
    <cfRule type="duplicateValues" dxfId="2899" priority="10350"/>
    <cfRule type="expression" dxfId="2898" priority="10353">
      <formula>_xlfn.ISFORMULA(H274)=TRUE</formula>
    </cfRule>
  </conditionalFormatting>
  <conditionalFormatting sqref="H276">
    <cfRule type="expression" dxfId="2897" priority="7361">
      <formula>_xlfn.ISFORMULA(H276)=TRUE</formula>
    </cfRule>
    <cfRule type="duplicateValues" dxfId="2896" priority="7364"/>
    <cfRule type="duplicateValues" dxfId="2895" priority="7365"/>
    <cfRule type="expression" dxfId="2894" priority="7366">
      <formula>_xlfn.ISFORMULA(H276)=TRUE</formula>
    </cfRule>
    <cfRule type="duplicateValues" dxfId="2893" priority="7360"/>
    <cfRule type="duplicateValues" dxfId="2892" priority="7358"/>
    <cfRule type="duplicateValues" dxfId="2891" priority="7359"/>
  </conditionalFormatting>
  <conditionalFormatting sqref="H277">
    <cfRule type="duplicateValues" dxfId="2890" priority="7376"/>
    <cfRule type="expression" dxfId="2889" priority="7378">
      <formula>_xlfn.ISFORMULA(H277)=TRUE</formula>
    </cfRule>
    <cfRule type="duplicateValues" dxfId="2888" priority="7377"/>
  </conditionalFormatting>
  <conditionalFormatting sqref="H277:H281">
    <cfRule type="duplicateValues" dxfId="2887" priority="7707"/>
    <cfRule type="duplicateValues" dxfId="2886" priority="7706"/>
    <cfRule type="duplicateValues" dxfId="2885" priority="7702"/>
    <cfRule type="duplicateValues" dxfId="2884" priority="7701"/>
    <cfRule type="duplicateValues" dxfId="2883" priority="7700"/>
    <cfRule type="expression" dxfId="2882" priority="7703">
      <formula>_xlfn.ISFORMULA(H277)=TRUE</formula>
    </cfRule>
    <cfRule type="expression" dxfId="2881" priority="7709">
      <formula>_xlfn.ISFORMULA(H277)=TRUE</formula>
    </cfRule>
    <cfRule type="duplicateValues" dxfId="2880" priority="7708"/>
  </conditionalFormatting>
  <conditionalFormatting sqref="H281">
    <cfRule type="duplicateValues" dxfId="2879" priority="9896"/>
    <cfRule type="duplicateValues" dxfId="2878" priority="10342"/>
    <cfRule type="duplicateValues" dxfId="2877" priority="10343"/>
    <cfRule type="duplicateValues" dxfId="2876" priority="9898"/>
    <cfRule type="duplicateValues" dxfId="2875" priority="10344"/>
    <cfRule type="expression" dxfId="2874" priority="10345">
      <formula>_xlfn.ISFORMULA(H281)=TRUE</formula>
    </cfRule>
    <cfRule type="expression" dxfId="2873" priority="7375">
      <formula>_xlfn.ISFORMULA(H281)=TRUE</formula>
    </cfRule>
    <cfRule type="duplicateValues" dxfId="2872" priority="9763"/>
    <cfRule type="expression" dxfId="2871" priority="9764">
      <formula>_xlfn.ISFORMULA(H281)=TRUE</formula>
    </cfRule>
    <cfRule type="duplicateValues" dxfId="2870" priority="9897"/>
    <cfRule type="duplicateValues" dxfId="2869" priority="9761"/>
    <cfRule type="duplicateValues" dxfId="2868" priority="9762"/>
    <cfRule type="expression" dxfId="2867" priority="9899">
      <formula>_xlfn.ISFORMULA(H281)=TRUE</formula>
    </cfRule>
  </conditionalFormatting>
  <conditionalFormatting sqref="H282">
    <cfRule type="expression" dxfId="2866" priority="691">
      <formula>_xlfn.ISFORMULA(H282)=TRUE</formula>
    </cfRule>
    <cfRule type="duplicateValues" dxfId="2865" priority="688"/>
    <cfRule type="duplicateValues" dxfId="2864" priority="689"/>
    <cfRule type="duplicateValues" dxfId="2863" priority="690"/>
  </conditionalFormatting>
  <conditionalFormatting sqref="H283">
    <cfRule type="duplicateValues" dxfId="2862" priority="7367"/>
    <cfRule type="duplicateValues" dxfId="2861" priority="7372"/>
    <cfRule type="expression" dxfId="2860" priority="7370">
      <formula>_xlfn.ISFORMULA(H283)=TRUE</formula>
    </cfRule>
    <cfRule type="duplicateValues" dxfId="2859" priority="7369"/>
    <cfRule type="expression" dxfId="2858" priority="7374">
      <formula>_xlfn.ISFORMULA(H283)=TRUE</formula>
    </cfRule>
    <cfRule type="duplicateValues" dxfId="2857" priority="7368"/>
    <cfRule type="duplicateValues" dxfId="2856" priority="7373"/>
    <cfRule type="duplicateValues" dxfId="2855" priority="7371"/>
  </conditionalFormatting>
  <conditionalFormatting sqref="H283:H287">
    <cfRule type="expression" dxfId="2854" priority="7685">
      <formula>_xlfn.ISFORMULA(H283)=TRUE</formula>
    </cfRule>
    <cfRule type="duplicateValues" dxfId="2853" priority="7697"/>
    <cfRule type="duplicateValues" dxfId="2852" priority="7698"/>
    <cfRule type="expression" dxfId="2851" priority="7699">
      <formula>_xlfn.ISFORMULA(H283)=TRUE</formula>
    </cfRule>
  </conditionalFormatting>
  <conditionalFormatting sqref="H284:H287">
    <cfRule type="duplicateValues" dxfId="2850" priority="7683"/>
    <cfRule type="duplicateValues" dxfId="2849" priority="7684"/>
    <cfRule type="duplicateValues" dxfId="2848" priority="7682"/>
  </conditionalFormatting>
  <conditionalFormatting sqref="H287:H290">
    <cfRule type="duplicateValues" dxfId="2847" priority="7674"/>
    <cfRule type="duplicateValues" dxfId="2846" priority="7672"/>
    <cfRule type="expression" dxfId="2845" priority="7675">
      <formula>_xlfn.ISFORMULA(H287)=TRUE</formula>
    </cfRule>
    <cfRule type="duplicateValues" dxfId="2844" priority="7678"/>
    <cfRule type="duplicateValues" dxfId="2843" priority="7673"/>
    <cfRule type="duplicateValues" dxfId="2842" priority="7679"/>
    <cfRule type="duplicateValues" dxfId="2841" priority="7680"/>
    <cfRule type="expression" dxfId="2840" priority="7681">
      <formula>_xlfn.ISFORMULA(H287)=TRUE</formula>
    </cfRule>
  </conditionalFormatting>
  <conditionalFormatting sqref="H290:H291">
    <cfRule type="expression" dxfId="2839" priority="9759">
      <formula>_xlfn.ISFORMULA(H290)=TRUE</formula>
    </cfRule>
    <cfRule type="duplicateValues" dxfId="2838" priority="9757"/>
    <cfRule type="duplicateValues" dxfId="2837" priority="9758"/>
    <cfRule type="duplicateValues" dxfId="2836" priority="10334"/>
    <cfRule type="duplicateValues" dxfId="2835" priority="10335"/>
    <cfRule type="duplicateValues" dxfId="2834" priority="10336"/>
    <cfRule type="expression" dxfId="2833" priority="10337">
      <formula>_xlfn.ISFORMULA(H290)=TRUE</formula>
    </cfRule>
    <cfRule type="duplicateValues" dxfId="2832" priority="9756"/>
  </conditionalFormatting>
  <conditionalFormatting sqref="H293:H295 H297">
    <cfRule type="duplicateValues" dxfId="2831" priority="7661"/>
    <cfRule type="duplicateValues" dxfId="2830" priority="7660"/>
    <cfRule type="expression" dxfId="2829" priority="7671">
      <formula>_xlfn.ISFORMULA(H293)=TRUE</formula>
    </cfRule>
    <cfRule type="duplicateValues" dxfId="2828" priority="7670"/>
    <cfRule type="duplicateValues" dxfId="2827" priority="7669"/>
    <cfRule type="duplicateValues" dxfId="2826" priority="7668"/>
    <cfRule type="expression" dxfId="2825" priority="7663">
      <formula>_xlfn.ISFORMULA(H293)=TRUE</formula>
    </cfRule>
    <cfRule type="duplicateValues" dxfId="2824" priority="7662"/>
  </conditionalFormatting>
  <conditionalFormatting sqref="H294">
    <cfRule type="expression" dxfId="2823" priority="7533">
      <formula>_xlfn.ISFORMULA(H294)=TRUE</formula>
    </cfRule>
  </conditionalFormatting>
  <conditionalFormatting sqref="H296">
    <cfRule type="expression" dxfId="2822" priority="7522">
      <formula>_xlfn.ISFORMULA(H296)=TRUE</formula>
    </cfRule>
    <cfRule type="duplicateValues" dxfId="2821" priority="7523"/>
    <cfRule type="duplicateValues" dxfId="2820" priority="7524"/>
    <cfRule type="duplicateValues" dxfId="2819" priority="7525"/>
    <cfRule type="expression" dxfId="2818" priority="7526">
      <formula>_xlfn.ISFORMULA(H296)=TRUE</formula>
    </cfRule>
    <cfRule type="duplicateValues" dxfId="2817" priority="7529"/>
    <cfRule type="duplicateValues" dxfId="2816" priority="7530"/>
    <cfRule type="duplicateValues" dxfId="2815" priority="7531"/>
    <cfRule type="expression" dxfId="2814" priority="7532">
      <formula>_xlfn.ISFORMULA(H296)=TRUE</formula>
    </cfRule>
  </conditionalFormatting>
  <conditionalFormatting sqref="H298:H304">
    <cfRule type="duplicateValues" dxfId="2813" priority="6845"/>
    <cfRule type="duplicateValues" dxfId="2812" priority="6844"/>
    <cfRule type="duplicateValues" dxfId="2811" priority="6843"/>
    <cfRule type="expression" dxfId="2810" priority="6846">
      <formula>_xlfn.ISFORMULA(H298)=TRUE</formula>
    </cfRule>
  </conditionalFormatting>
  <conditionalFormatting sqref="H305">
    <cfRule type="expression" dxfId="2809" priority="4203">
      <formula>_xlfn.ISFORMULA(H305)=TRUE</formula>
    </cfRule>
    <cfRule type="duplicateValues" dxfId="2808" priority="4202"/>
    <cfRule type="duplicateValues" dxfId="2807" priority="4200"/>
    <cfRule type="duplicateValues" dxfId="2806" priority="4208"/>
    <cfRule type="duplicateValues" dxfId="2805" priority="4199"/>
    <cfRule type="expression" dxfId="2804" priority="4196">
      <formula>_xlfn.ISFORMULA(H305)=TRUE</formula>
    </cfRule>
    <cfRule type="duplicateValues" dxfId="2803" priority="4201"/>
    <cfRule type="duplicateValues" dxfId="2802" priority="4209"/>
    <cfRule type="duplicateValues" dxfId="2801" priority="4210"/>
    <cfRule type="duplicateValues" dxfId="2800" priority="4207"/>
  </conditionalFormatting>
  <conditionalFormatting sqref="H306 H308">
    <cfRule type="duplicateValues" dxfId="2799" priority="6841"/>
    <cfRule type="duplicateValues" dxfId="2798" priority="6840"/>
    <cfRule type="duplicateValues" dxfId="2797" priority="6839"/>
    <cfRule type="expression" dxfId="2796" priority="6842">
      <formula>_xlfn.ISFORMULA(H306)=TRUE</formula>
    </cfRule>
  </conditionalFormatting>
  <conditionalFormatting sqref="H307">
    <cfRule type="duplicateValues" dxfId="2795" priority="6831"/>
    <cfRule type="duplicateValues" dxfId="2794" priority="6832"/>
    <cfRule type="duplicateValues" dxfId="2793" priority="6833"/>
    <cfRule type="expression" dxfId="2792" priority="6834">
      <formula>_xlfn.ISFORMULA(H307)=TRUE</formula>
    </cfRule>
  </conditionalFormatting>
  <conditionalFormatting sqref="H309 H325">
    <cfRule type="duplicateValues" dxfId="2791" priority="13072"/>
    <cfRule type="duplicateValues" dxfId="2790" priority="13071"/>
    <cfRule type="duplicateValues" dxfId="2789" priority="13073"/>
    <cfRule type="expression" dxfId="2788" priority="13074">
      <formula>_xlfn.ISFORMULA(H309)=TRUE</formula>
    </cfRule>
  </conditionalFormatting>
  <conditionalFormatting sqref="H310">
    <cfRule type="duplicateValues" dxfId="2787" priority="3169"/>
    <cfRule type="duplicateValues" dxfId="2786" priority="3168"/>
    <cfRule type="expression" dxfId="2785" priority="3170">
      <formula>_xlfn.ISFORMULA(H310)=TRUE</formula>
    </cfRule>
    <cfRule type="duplicateValues" dxfId="2784" priority="3167"/>
  </conditionalFormatting>
  <conditionalFormatting sqref="H310:H314">
    <cfRule type="duplicateValues" dxfId="2783" priority="2950"/>
    <cfRule type="duplicateValues" dxfId="2782" priority="2951"/>
    <cfRule type="duplicateValues" dxfId="2781" priority="2952"/>
    <cfRule type="expression" dxfId="2780" priority="2953">
      <formula>_xlfn.ISFORMULA(H310)=TRUE</formula>
    </cfRule>
  </conditionalFormatting>
  <conditionalFormatting sqref="H311 H313">
    <cfRule type="duplicateValues" dxfId="2779" priority="7473"/>
    <cfRule type="duplicateValues" dxfId="2778" priority="7474"/>
  </conditionalFormatting>
  <conditionalFormatting sqref="H311 H313:H314">
    <cfRule type="duplicateValues" dxfId="2777" priority="7469"/>
    <cfRule type="duplicateValues" dxfId="2776" priority="7463"/>
    <cfRule type="duplicateValues" dxfId="2775" priority="7465"/>
    <cfRule type="expression" dxfId="2774" priority="7475">
      <formula>_xlfn.ISFORMULA(H311)=TRUE</formula>
    </cfRule>
    <cfRule type="expression" dxfId="2773" priority="7470">
      <formula>_xlfn.ISFORMULA(H311)=TRUE</formula>
    </cfRule>
    <cfRule type="duplicateValues" dxfId="2772" priority="7468"/>
    <cfRule type="expression" dxfId="2771" priority="7466">
      <formula>_xlfn.ISFORMULA(H311)=TRUE</formula>
    </cfRule>
    <cfRule type="duplicateValues" dxfId="2770" priority="7464"/>
  </conditionalFormatting>
  <conditionalFormatting sqref="H311:H314">
    <cfRule type="expression" dxfId="2769" priority="6826">
      <formula>_xlfn.ISFORMULA(H311)=TRUE</formula>
    </cfRule>
  </conditionalFormatting>
  <conditionalFormatting sqref="H312">
    <cfRule type="duplicateValues" dxfId="2768" priority="6823"/>
    <cfRule type="duplicateValues" dxfId="2767" priority="6824"/>
    <cfRule type="duplicateValues" dxfId="2766" priority="6825"/>
  </conditionalFormatting>
  <conditionalFormatting sqref="H313:H314">
    <cfRule type="duplicateValues" dxfId="2765" priority="2970"/>
    <cfRule type="duplicateValues" dxfId="2764" priority="2971"/>
    <cfRule type="expression" dxfId="2763" priority="2972">
      <formula>_xlfn.ISFORMULA(H313)=TRUE</formula>
    </cfRule>
    <cfRule type="duplicateValues" dxfId="2762" priority="2974"/>
    <cfRule type="duplicateValues" dxfId="2761" priority="2975"/>
    <cfRule type="duplicateValues" dxfId="2760" priority="2976"/>
    <cfRule type="expression" dxfId="2759" priority="2977">
      <formula>_xlfn.ISFORMULA(H313)=TRUE</formula>
    </cfRule>
    <cfRule type="duplicateValues" dxfId="2758" priority="2979"/>
    <cfRule type="duplicateValues" dxfId="2757" priority="2980"/>
    <cfRule type="expression" dxfId="2756" priority="2981">
      <formula>_xlfn.ISFORMULA(H313)=TRUE</formula>
    </cfRule>
    <cfRule type="duplicateValues" dxfId="2755" priority="2984"/>
    <cfRule type="duplicateValues" dxfId="2754" priority="2986"/>
    <cfRule type="expression" dxfId="2753" priority="2987">
      <formula>_xlfn.ISFORMULA(H313)=TRUE</formula>
    </cfRule>
    <cfRule type="duplicateValues" dxfId="2752" priority="2990"/>
    <cfRule type="duplicateValues" dxfId="2751" priority="2991"/>
    <cfRule type="expression" dxfId="2750" priority="2992">
      <formula>_xlfn.ISFORMULA(H313)=TRUE</formula>
    </cfRule>
    <cfRule type="duplicateValues" dxfId="2749" priority="2985"/>
    <cfRule type="duplicateValues" dxfId="2748" priority="2957"/>
    <cfRule type="duplicateValues" dxfId="2747" priority="2958"/>
    <cfRule type="duplicateValues" dxfId="2746" priority="2959"/>
    <cfRule type="expression" dxfId="2745" priority="2960">
      <formula>_xlfn.ISFORMULA(H313)=TRUE</formula>
    </cfRule>
    <cfRule type="expression" dxfId="2744" priority="2963">
      <formula>_xlfn.ISFORMULA(H313)=TRUE</formula>
    </cfRule>
    <cfRule type="duplicateValues" dxfId="2743" priority="2965"/>
    <cfRule type="duplicateValues" dxfId="2742" priority="2966"/>
    <cfRule type="duplicateValues" dxfId="2741" priority="2967"/>
    <cfRule type="expression" dxfId="2740" priority="2968">
      <formula>_xlfn.ISFORMULA(H313)=TRUE</formula>
    </cfRule>
  </conditionalFormatting>
  <conditionalFormatting sqref="H314">
    <cfRule type="expression" dxfId="2739" priority="7484">
      <formula>_xlfn.ISFORMULA(H314)=TRUE</formula>
    </cfRule>
    <cfRule type="duplicateValues" dxfId="2738" priority="2961"/>
    <cfRule type="duplicateValues" dxfId="2737" priority="2962"/>
    <cfRule type="duplicateValues" dxfId="2736" priority="7483"/>
    <cfRule type="duplicateValues" dxfId="2735" priority="7480"/>
    <cfRule type="duplicateValues" dxfId="2734" priority="7478"/>
    <cfRule type="expression" dxfId="2733" priority="7481">
      <formula>_xlfn.ISFORMULA(H314)=TRUE</formula>
    </cfRule>
    <cfRule type="duplicateValues" dxfId="2732" priority="7482"/>
    <cfRule type="duplicateValues" dxfId="2731" priority="7479"/>
  </conditionalFormatting>
  <conditionalFormatting sqref="H315">
    <cfRule type="duplicateValues" dxfId="2730" priority="2262"/>
    <cfRule type="duplicateValues" dxfId="2729" priority="2263"/>
    <cfRule type="duplicateValues" dxfId="2728" priority="2264"/>
    <cfRule type="expression" dxfId="2727" priority="2265">
      <formula>_xlfn.ISFORMULA(H315)=TRUE</formula>
    </cfRule>
    <cfRule type="expression" dxfId="2726" priority="2267">
      <formula>_xlfn.ISFORMULA(H315)=TRUE</formula>
    </cfRule>
    <cfRule type="duplicateValues" dxfId="2725" priority="2266"/>
  </conditionalFormatting>
  <conditionalFormatting sqref="H316">
    <cfRule type="duplicateValues" dxfId="2724" priority="6514"/>
    <cfRule type="duplicateValues" dxfId="2723" priority="6515"/>
    <cfRule type="expression" dxfId="2722" priority="6516">
      <formula>_xlfn.ISFORMULA(H316)=TRUE</formula>
    </cfRule>
    <cfRule type="duplicateValues" dxfId="2721" priority="6513"/>
  </conditionalFormatting>
  <conditionalFormatting sqref="H316:H1048576 H1:H20 H283:H314 H79:H281">
    <cfRule type="duplicateValues" dxfId="2720" priority="2272"/>
  </conditionalFormatting>
  <conditionalFormatting sqref="H317">
    <cfRule type="duplicateValues" dxfId="2719" priority="6506"/>
    <cfRule type="duplicateValues" dxfId="2718" priority="6507"/>
    <cfRule type="expression" dxfId="2717" priority="6508">
      <formula>_xlfn.ISFORMULA(H317)=TRUE</formula>
    </cfRule>
    <cfRule type="duplicateValues" dxfId="2716" priority="6505"/>
  </conditionalFormatting>
  <conditionalFormatting sqref="H318:H323">
    <cfRule type="duplicateValues" dxfId="2715" priority="6509"/>
    <cfRule type="duplicateValues" dxfId="2714" priority="6510"/>
    <cfRule type="duplicateValues" dxfId="2713" priority="6511"/>
  </conditionalFormatting>
  <conditionalFormatting sqref="H318:H324">
    <cfRule type="expression" dxfId="2712" priority="6512">
      <formula>_xlfn.ISFORMULA(H318)=TRUE</formula>
    </cfRule>
  </conditionalFormatting>
  <conditionalFormatting sqref="H322:H324">
    <cfRule type="duplicateValues" dxfId="2711" priority="7422"/>
    <cfRule type="expression" dxfId="2710" priority="7423">
      <formula>_xlfn.ISFORMULA(H322)=TRUE</formula>
    </cfRule>
    <cfRule type="expression" dxfId="2709" priority="6950">
      <formula>_xlfn.ISFORMULA(H322)=TRUE</formula>
    </cfRule>
    <cfRule type="duplicateValues" dxfId="2708" priority="6949"/>
    <cfRule type="duplicateValues" dxfId="2707" priority="7426"/>
    <cfRule type="duplicateValues" dxfId="2706" priority="6947"/>
    <cfRule type="expression" dxfId="2705" priority="7427">
      <formula>_xlfn.ISFORMULA(H322)=TRUE</formula>
    </cfRule>
    <cfRule type="duplicateValues" dxfId="2704" priority="7431"/>
    <cfRule type="duplicateValues" dxfId="2703" priority="7432"/>
    <cfRule type="duplicateValues" dxfId="2702" priority="7433"/>
    <cfRule type="expression" dxfId="2701" priority="7434">
      <formula>_xlfn.ISFORMULA(H322)=TRUE</formula>
    </cfRule>
    <cfRule type="duplicateValues" dxfId="2700" priority="7438"/>
    <cfRule type="duplicateValues" dxfId="2699" priority="7439"/>
    <cfRule type="expression" dxfId="2698" priority="7440">
      <formula>_xlfn.ISFORMULA(H322)=TRUE</formula>
    </cfRule>
    <cfRule type="duplicateValues" dxfId="2697" priority="7425"/>
    <cfRule type="duplicateValues" dxfId="2696" priority="6948"/>
    <cfRule type="expression" dxfId="2695" priority="6976">
      <formula>_xlfn.ISFORMULA(H322)=TRUE</formula>
    </cfRule>
    <cfRule type="duplicateValues" dxfId="2694" priority="6975"/>
    <cfRule type="duplicateValues" dxfId="2693" priority="6974"/>
    <cfRule type="expression" dxfId="2692" priority="6971">
      <formula>_xlfn.ISFORMULA(H322)=TRUE</formula>
    </cfRule>
    <cfRule type="duplicateValues" dxfId="2691" priority="6970"/>
    <cfRule type="duplicateValues" dxfId="2690" priority="6969"/>
    <cfRule type="duplicateValues" dxfId="2689" priority="6968"/>
    <cfRule type="expression" dxfId="2688" priority="6953">
      <formula>_xlfn.ISFORMULA(H322)=TRUE</formula>
    </cfRule>
    <cfRule type="duplicateValues" dxfId="2687" priority="7420"/>
    <cfRule type="duplicateValues" dxfId="2686" priority="7421"/>
  </conditionalFormatting>
  <conditionalFormatting sqref="H322:H325">
    <cfRule type="expression" dxfId="2685" priority="7010">
      <formula>_xlfn.ISFORMULA(H322)=TRUE</formula>
    </cfRule>
  </conditionalFormatting>
  <conditionalFormatting sqref="H323:H324">
    <cfRule type="duplicateValues" dxfId="2684" priority="6952"/>
    <cfRule type="duplicateValues" dxfId="2683" priority="6951"/>
  </conditionalFormatting>
  <conditionalFormatting sqref="H325">
    <cfRule type="duplicateValues" dxfId="2682" priority="7009"/>
    <cfRule type="duplicateValues" dxfId="2681" priority="7007"/>
    <cfRule type="duplicateValues" dxfId="2680" priority="7008"/>
    <cfRule type="duplicateValues" dxfId="2679" priority="7602"/>
    <cfRule type="duplicateValues" dxfId="2678" priority="7604"/>
    <cfRule type="expression" dxfId="2677" priority="7605">
      <formula>_xlfn.ISFORMULA(H325)=TRUE</formula>
    </cfRule>
    <cfRule type="duplicateValues" dxfId="2676" priority="7603"/>
  </conditionalFormatting>
  <conditionalFormatting sqref="H325:H326 H328:H342">
    <cfRule type="expression" dxfId="2675" priority="10060">
      <formula>_xlfn.ISFORMULA(H325)=TRUE</formula>
    </cfRule>
    <cfRule type="expression" dxfId="2674" priority="7618">
      <formula>_xlfn.ISFORMULA(H325)=TRUE</formula>
    </cfRule>
  </conditionalFormatting>
  <conditionalFormatting sqref="H326 H328:H342">
    <cfRule type="duplicateValues" dxfId="2673" priority="10057"/>
    <cfRule type="duplicateValues" dxfId="2672" priority="10058"/>
    <cfRule type="duplicateValues" dxfId="2671" priority="10059"/>
  </conditionalFormatting>
  <conditionalFormatting sqref="H326 H341:H342">
    <cfRule type="duplicateValues" dxfId="2670" priority="7617"/>
    <cfRule type="duplicateValues" dxfId="2669" priority="7616"/>
    <cfRule type="duplicateValues" dxfId="2668" priority="7615"/>
  </conditionalFormatting>
  <conditionalFormatting sqref="H326 H342">
    <cfRule type="duplicateValues" dxfId="2667" priority="7020"/>
    <cfRule type="duplicateValues" dxfId="2666" priority="7021"/>
    <cfRule type="duplicateValues" dxfId="2665" priority="7022"/>
    <cfRule type="expression" dxfId="2664" priority="7023">
      <formula>_xlfn.ISFORMULA(H326)=TRUE</formula>
    </cfRule>
  </conditionalFormatting>
  <conditionalFormatting sqref="H326">
    <cfRule type="duplicateValues" dxfId="2663" priority="2232"/>
    <cfRule type="duplicateValues" dxfId="2662" priority="2233"/>
    <cfRule type="duplicateValues" dxfId="2661" priority="2234"/>
  </conditionalFormatting>
  <conditionalFormatting sqref="H326:H335">
    <cfRule type="duplicateValues" dxfId="2660" priority="2252"/>
    <cfRule type="duplicateValues" dxfId="2659" priority="2253"/>
    <cfRule type="duplicateValues" dxfId="2658" priority="2254"/>
  </conditionalFormatting>
  <conditionalFormatting sqref="H326:H340">
    <cfRule type="expression" dxfId="2657" priority="2235">
      <formula>_xlfn.ISFORMULA(H326)=TRUE</formula>
    </cfRule>
    <cfRule type="duplicateValues" dxfId="2656" priority="2241"/>
    <cfRule type="expression" dxfId="2655" priority="2244">
      <formula>_xlfn.ISFORMULA(H326)=TRUE</formula>
    </cfRule>
    <cfRule type="duplicateValues" dxfId="2654" priority="2243"/>
    <cfRule type="duplicateValues" dxfId="2653" priority="2242"/>
  </conditionalFormatting>
  <conditionalFormatting sqref="H326:H341">
    <cfRule type="expression" dxfId="2652" priority="2255">
      <formula>_xlfn.ISFORMULA(H326)=TRUE</formula>
    </cfRule>
  </conditionalFormatting>
  <conditionalFormatting sqref="H327">
    <cfRule type="duplicateValues" dxfId="2651" priority="4288"/>
    <cfRule type="expression" dxfId="2650" priority="4292">
      <formula>_xlfn.ISFORMULA(H327)=TRUE</formula>
    </cfRule>
    <cfRule type="duplicateValues" dxfId="2649" priority="4291"/>
    <cfRule type="duplicateValues" dxfId="2648" priority="4290"/>
    <cfRule type="duplicateValues" dxfId="2647" priority="4283"/>
    <cfRule type="expression" dxfId="2646" priority="4287">
      <formula>_xlfn.ISFORMULA(H327)=TRUE</formula>
    </cfRule>
    <cfRule type="duplicateValues" dxfId="2645" priority="4284"/>
    <cfRule type="duplicateValues" dxfId="2644" priority="4285"/>
    <cfRule type="duplicateValues" dxfId="2643" priority="4286"/>
    <cfRule type="duplicateValues" dxfId="2642" priority="4289"/>
  </conditionalFormatting>
  <conditionalFormatting sqref="H327:H330">
    <cfRule type="expression" dxfId="2641" priority="2126">
      <formula>_xlfn.ISFORMULA(H327)=TRUE</formula>
    </cfRule>
    <cfRule type="duplicateValues" dxfId="2640" priority="2128"/>
    <cfRule type="duplicateValues" dxfId="2639" priority="2111"/>
    <cfRule type="duplicateValues" dxfId="2638" priority="2112"/>
    <cfRule type="duplicateValues" dxfId="2637" priority="2113"/>
    <cfRule type="expression" dxfId="2636" priority="2114">
      <formula>_xlfn.ISFORMULA(H327)=TRUE</formula>
    </cfRule>
    <cfRule type="duplicateValues" dxfId="2635" priority="2129"/>
    <cfRule type="expression" dxfId="2634" priority="2130">
      <formula>_xlfn.ISFORMULA(H327)=TRUE</formula>
    </cfRule>
    <cfRule type="duplicateValues" dxfId="2633" priority="1116"/>
    <cfRule type="duplicateValues" dxfId="2632" priority="2118"/>
    <cfRule type="duplicateValues" dxfId="2631" priority="2117"/>
    <cfRule type="duplicateValues" dxfId="2630" priority="2206"/>
    <cfRule type="duplicateValues" dxfId="2629" priority="2207"/>
    <cfRule type="expression" dxfId="2628" priority="2119">
      <formula>_xlfn.ISFORMULA(H327)=TRUE</formula>
    </cfRule>
    <cfRule type="duplicateValues" dxfId="2627" priority="2123"/>
    <cfRule type="duplicateValues" dxfId="2626" priority="2124"/>
    <cfRule type="duplicateValues" dxfId="2625" priority="1570"/>
    <cfRule type="duplicateValues" dxfId="2624" priority="1569"/>
    <cfRule type="duplicateValues" dxfId="2623" priority="1500"/>
    <cfRule type="duplicateValues" dxfId="2622" priority="1499"/>
    <cfRule type="expression" dxfId="2621" priority="1827">
      <formula>_xlfn.ISFORMULA(H327)=TRUE</formula>
    </cfRule>
    <cfRule type="duplicateValues" dxfId="2620" priority="1826"/>
    <cfRule type="duplicateValues" dxfId="2619" priority="1831"/>
    <cfRule type="duplicateValues" dxfId="2618" priority="2125"/>
    <cfRule type="duplicateValues" dxfId="2617" priority="1825"/>
    <cfRule type="expression" dxfId="2616" priority="1822">
      <formula>_xlfn.ISFORMULA(H327)=TRUE</formula>
    </cfRule>
    <cfRule type="duplicateValues" dxfId="2615" priority="1821"/>
    <cfRule type="duplicateValues" dxfId="2614" priority="1820"/>
    <cfRule type="duplicateValues" dxfId="2613" priority="1819"/>
    <cfRule type="duplicateValues" dxfId="2612" priority="1832"/>
    <cfRule type="duplicateValues" dxfId="2611" priority="1833"/>
    <cfRule type="expression" dxfId="2610" priority="1834">
      <formula>_xlfn.ISFORMULA(H327)=TRUE</formula>
    </cfRule>
    <cfRule type="duplicateValues" dxfId="2609" priority="1836"/>
    <cfRule type="duplicateValues" dxfId="2608" priority="1837"/>
    <cfRule type="duplicateValues" dxfId="2607" priority="1148"/>
    <cfRule type="duplicateValues" dxfId="2606" priority="1147"/>
    <cfRule type="expression" dxfId="2605" priority="1135">
      <formula>_xlfn.ISFORMULA(H327)=TRUE</formula>
    </cfRule>
    <cfRule type="duplicateValues" dxfId="2604" priority="1134"/>
    <cfRule type="duplicateValues" dxfId="2603" priority="1133"/>
    <cfRule type="expression" dxfId="2602" priority="1131">
      <formula>_xlfn.ISFORMULA(H327)=TRUE</formula>
    </cfRule>
    <cfRule type="duplicateValues" dxfId="2601" priority="1130"/>
    <cfRule type="duplicateValues" dxfId="2600" priority="1129"/>
    <cfRule type="duplicateValues" dxfId="2599" priority="1128"/>
    <cfRule type="expression" dxfId="2598" priority="1124">
      <formula>_xlfn.ISFORMULA(H327)=TRUE</formula>
    </cfRule>
    <cfRule type="duplicateValues" dxfId="2597" priority="1123"/>
    <cfRule type="duplicateValues" dxfId="2596" priority="1122"/>
    <cfRule type="expression" dxfId="2595" priority="1119">
      <formula>_xlfn.ISFORMULA(H327)=TRUE</formula>
    </cfRule>
    <cfRule type="duplicateValues" dxfId="2594" priority="1118"/>
    <cfRule type="duplicateValues" dxfId="2593" priority="1117"/>
  </conditionalFormatting>
  <conditionalFormatting sqref="H327:H331">
    <cfRule type="duplicateValues" dxfId="2592" priority="1080"/>
    <cfRule type="duplicateValues" dxfId="2591" priority="1079"/>
    <cfRule type="duplicateValues" dxfId="2590" priority="1078"/>
    <cfRule type="expression" dxfId="2589" priority="2208">
      <formula>_xlfn.ISFORMULA(H327)=TRUE</formula>
    </cfRule>
    <cfRule type="expression" dxfId="2588" priority="2214">
      <formula>_xlfn.ISFORMULA(H327)=TRUE</formula>
    </cfRule>
    <cfRule type="expression" dxfId="2587" priority="1073">
      <formula>_xlfn.ISFORMULA(H327)=TRUE</formula>
    </cfRule>
    <cfRule type="duplicateValues" dxfId="2586" priority="1860"/>
    <cfRule type="expression" dxfId="2585" priority="1492">
      <formula>_xlfn.ISFORMULA(H327)=TRUE</formula>
    </cfRule>
    <cfRule type="duplicateValues" dxfId="2584" priority="1494"/>
    <cfRule type="duplicateValues" dxfId="2583" priority="1495"/>
    <cfRule type="duplicateValues" dxfId="2582" priority="1491"/>
    <cfRule type="expression" dxfId="2581" priority="1496">
      <formula>_xlfn.ISFORMULA(H327)=TRUE</formula>
    </cfRule>
    <cfRule type="expression" dxfId="2580" priority="1501">
      <formula>_xlfn.ISFORMULA(H327)=TRUE</formula>
    </cfRule>
    <cfRule type="expression" dxfId="2579" priority="1149">
      <formula>_xlfn.ISFORMULA(H327)=TRUE</formula>
    </cfRule>
    <cfRule type="duplicateValues" dxfId="2578" priority="1489"/>
    <cfRule type="duplicateValues" dxfId="2577" priority="1490"/>
    <cfRule type="duplicateValues" dxfId="2576" priority="1861"/>
    <cfRule type="expression" dxfId="2575" priority="1571">
      <formula>_xlfn.ISFORMULA(H327)=TRUE</formula>
    </cfRule>
    <cfRule type="duplicateValues" dxfId="2574" priority="1071"/>
    <cfRule type="duplicateValues" dxfId="2573" priority="1072"/>
    <cfRule type="expression" dxfId="2572" priority="1866">
      <formula>_xlfn.ISFORMULA(H327)=TRUE</formula>
    </cfRule>
    <cfRule type="duplicateValues" dxfId="2571" priority="2001"/>
    <cfRule type="expression" dxfId="2570" priority="1862">
      <formula>_xlfn.ISFORMULA(H327)=TRUE</formula>
    </cfRule>
    <cfRule type="duplicateValues" dxfId="2569" priority="1864"/>
    <cfRule type="duplicateValues" dxfId="2568" priority="1865"/>
    <cfRule type="duplicateValues" dxfId="2567" priority="2000"/>
    <cfRule type="duplicateValues" dxfId="2566" priority="1999"/>
    <cfRule type="expression" dxfId="2565" priority="1994">
      <formula>_xlfn.ISFORMULA(H327)=TRUE</formula>
    </cfRule>
    <cfRule type="duplicateValues" dxfId="2564" priority="1993"/>
    <cfRule type="duplicateValues" dxfId="2563" priority="1992"/>
    <cfRule type="duplicateValues" dxfId="2562" priority="1991"/>
    <cfRule type="duplicateValues" dxfId="2561" priority="1859"/>
    <cfRule type="expression" dxfId="2560" priority="1577">
      <formula>_xlfn.ISFORMULA(H327)=TRUE</formula>
    </cfRule>
    <cfRule type="duplicateValues" dxfId="2559" priority="1070"/>
  </conditionalFormatting>
  <conditionalFormatting sqref="H327:H335">
    <cfRule type="duplicateValues" dxfId="2558" priority="1186"/>
    <cfRule type="duplicateValues" dxfId="2557" priority="1185"/>
    <cfRule type="duplicateValues" dxfId="2556" priority="1184"/>
    <cfRule type="expression" dxfId="2555" priority="1838">
      <formula>_xlfn.ISFORMULA(H327)=TRUE</formula>
    </cfRule>
    <cfRule type="duplicateValues" dxfId="2554" priority="1843"/>
    <cfRule type="duplicateValues" dxfId="2553" priority="1844"/>
    <cfRule type="expression" dxfId="2552" priority="1487">
      <formula>_xlfn.ISFORMULA(H327)=TRUE</formula>
    </cfRule>
    <cfRule type="duplicateValues" dxfId="2551" priority="1845"/>
  </conditionalFormatting>
  <conditionalFormatting sqref="H327:H336">
    <cfRule type="duplicateValues" dxfId="2550" priority="1595"/>
    <cfRule type="duplicateValues" dxfId="2549" priority="1596"/>
    <cfRule type="expression" dxfId="2548" priority="1597">
      <formula>_xlfn.ISFORMULA(H327)=TRUE</formula>
    </cfRule>
    <cfRule type="expression" dxfId="2547" priority="1817">
      <formula>_xlfn.ISFORMULA(H327)=TRUE</formula>
    </cfRule>
    <cfRule type="expression" dxfId="2546" priority="1857">
      <formula>_xlfn.ISFORMULA(H327)=TRUE</formula>
    </cfRule>
    <cfRule type="expression" dxfId="2545" priority="1872">
      <formula>_xlfn.ISFORMULA(H327)=TRUE</formula>
    </cfRule>
    <cfRule type="duplicateValues" dxfId="2544" priority="1877"/>
    <cfRule type="duplicateValues" dxfId="2543" priority="1878"/>
    <cfRule type="duplicateValues" dxfId="2542" priority="1879"/>
    <cfRule type="expression" dxfId="2541" priority="1880">
      <formula>_xlfn.ISFORMULA(H327)=TRUE</formula>
    </cfRule>
    <cfRule type="expression" dxfId="2540" priority="2002">
      <formula>_xlfn.ISFORMULA(H327)=TRUE</formula>
    </cfRule>
    <cfRule type="duplicateValues" dxfId="2539" priority="2005"/>
    <cfRule type="duplicateValues" dxfId="2538" priority="2006"/>
    <cfRule type="duplicateValues" dxfId="2537" priority="2007"/>
    <cfRule type="expression" dxfId="2536" priority="2008">
      <formula>_xlfn.ISFORMULA(H327)=TRUE</formula>
    </cfRule>
    <cfRule type="duplicateValues" dxfId="2535" priority="2011"/>
    <cfRule type="duplicateValues" dxfId="2534" priority="2012"/>
    <cfRule type="expression" dxfId="2533" priority="2013">
      <formula>_xlfn.ISFORMULA(H327)=TRUE</formula>
    </cfRule>
    <cfRule type="expression" dxfId="2532" priority="2109">
      <formula>_xlfn.ISFORMULA(H327)=TRUE</formula>
    </cfRule>
    <cfRule type="duplicateValues" dxfId="2531" priority="2223"/>
    <cfRule type="duplicateValues" dxfId="2530" priority="2224"/>
    <cfRule type="duplicateValues" dxfId="2529" priority="2225"/>
    <cfRule type="expression" dxfId="2528" priority="2226">
      <formula>_xlfn.ISFORMULA(H327)=TRUE</formula>
    </cfRule>
    <cfRule type="duplicateValues" dxfId="2527" priority="2229"/>
    <cfRule type="duplicateValues" dxfId="2526" priority="2230"/>
    <cfRule type="expression" dxfId="2525" priority="2231">
      <formula>_xlfn.ISFORMULA(H327)=TRUE</formula>
    </cfRule>
    <cfRule type="expression" dxfId="2524" priority="1846">
      <formula>_xlfn.ISFORMULA(H327)=TRUE</formula>
    </cfRule>
    <cfRule type="expression" dxfId="2523" priority="1081">
      <formula>_xlfn.ISFORMULA(H327)=TRUE</formula>
    </cfRule>
    <cfRule type="duplicateValues" dxfId="2522" priority="1084"/>
    <cfRule type="duplicateValues" dxfId="2521" priority="1085"/>
    <cfRule type="duplicateValues" dxfId="2520" priority="1086"/>
    <cfRule type="expression" dxfId="2519" priority="1087">
      <formula>_xlfn.ISFORMULA(H327)=TRUE</formula>
    </cfRule>
    <cfRule type="duplicateValues" dxfId="2518" priority="1090"/>
    <cfRule type="duplicateValues" dxfId="2517" priority="1091"/>
    <cfRule type="expression" dxfId="2516" priority="1092">
      <formula>_xlfn.ISFORMULA(H327)=TRUE</formula>
    </cfRule>
    <cfRule type="expression" dxfId="2515" priority="1114">
      <formula>_xlfn.ISFORMULA(H327)=TRUE</formula>
    </cfRule>
    <cfRule type="expression" dxfId="2514" priority="1142">
      <formula>_xlfn.ISFORMULA(H327)=TRUE</formula>
    </cfRule>
    <cfRule type="expression" dxfId="2513" priority="1155">
      <formula>_xlfn.ISFORMULA(H327)=TRUE</formula>
    </cfRule>
    <cfRule type="duplicateValues" dxfId="2512" priority="1160"/>
    <cfRule type="duplicateValues" dxfId="2511" priority="1161"/>
    <cfRule type="duplicateValues" dxfId="2510" priority="1162"/>
    <cfRule type="expression" dxfId="2509" priority="1163">
      <formula>_xlfn.ISFORMULA(H327)=TRUE</formula>
    </cfRule>
    <cfRule type="duplicateValues" dxfId="2508" priority="1166"/>
    <cfRule type="duplicateValues" dxfId="2507" priority="1167"/>
    <cfRule type="expression" dxfId="2506" priority="1168">
      <formula>_xlfn.ISFORMULA(H327)=TRUE</formula>
    </cfRule>
    <cfRule type="duplicateValues" dxfId="2505" priority="1173"/>
    <cfRule type="duplicateValues" dxfId="2504" priority="1174"/>
    <cfRule type="duplicateValues" dxfId="2503" priority="1175"/>
    <cfRule type="expression" dxfId="2502" priority="1176">
      <formula>_xlfn.ISFORMULA(H327)=TRUE</formula>
    </cfRule>
    <cfRule type="duplicateValues" dxfId="2501" priority="1589"/>
    <cfRule type="duplicateValues" dxfId="2500" priority="1590"/>
    <cfRule type="duplicateValues" dxfId="2499" priority="1591"/>
    <cfRule type="expression" dxfId="2498" priority="1592">
      <formula>_xlfn.ISFORMULA(H327)=TRUE</formula>
    </cfRule>
  </conditionalFormatting>
  <conditionalFormatting sqref="H327:H340">
    <cfRule type="expression" dxfId="2497" priority="2220">
      <formula>_xlfn.ISFORMULA(H327)=TRUE</formula>
    </cfRule>
    <cfRule type="expression" dxfId="2496" priority="2197">
      <formula>_xlfn.ISFORMULA(H327)=TRUE</formula>
    </cfRule>
  </conditionalFormatting>
  <conditionalFormatting sqref="H327:H341">
    <cfRule type="expression" dxfId="2495" priority="1187">
      <formula>_xlfn.ISFORMULA(H327)=TRUE</formula>
    </cfRule>
    <cfRule type="expression" dxfId="2494" priority="1560">
      <formula>_xlfn.ISFORMULA(H327)=TRUE</formula>
    </cfRule>
  </conditionalFormatting>
  <conditionalFormatting sqref="H327:H342">
    <cfRule type="duplicateValues" dxfId="2493" priority="1623"/>
    <cfRule type="duplicateValues" dxfId="2492" priority="1622"/>
    <cfRule type="duplicateValues" dxfId="2491" priority="1621"/>
    <cfRule type="expression" dxfId="2490" priority="1612">
      <formula>_xlfn.ISFORMULA(H327)=TRUE</formula>
    </cfRule>
    <cfRule type="expression" dxfId="2489" priority="1624">
      <formula>_xlfn.ISFORMULA(H327)=TRUE</formula>
    </cfRule>
    <cfRule type="expression" dxfId="2488" priority="1586">
      <formula>_xlfn.ISFORMULA(H327)=TRUE</formula>
    </cfRule>
  </conditionalFormatting>
  <conditionalFormatting sqref="H328:H330">
    <cfRule type="duplicateValues" dxfId="2487" priority="6316"/>
    <cfRule type="duplicateValues" dxfId="2486" priority="6327"/>
    <cfRule type="duplicateValues" dxfId="2485" priority="6328"/>
    <cfRule type="duplicateValues" dxfId="2484" priority="6323"/>
    <cfRule type="duplicateValues" dxfId="2483" priority="6310"/>
    <cfRule type="duplicateValues" dxfId="2482" priority="6311"/>
    <cfRule type="duplicateValues" dxfId="2481" priority="6324"/>
    <cfRule type="duplicateValues" dxfId="2480" priority="6929"/>
    <cfRule type="duplicateValues" dxfId="2479" priority="6342"/>
    <cfRule type="duplicateValues" dxfId="2478" priority="7408"/>
    <cfRule type="duplicateValues" dxfId="2477" priority="7409"/>
    <cfRule type="duplicateValues" dxfId="2476" priority="6312"/>
    <cfRule type="expression" dxfId="2475" priority="6313">
      <formula>_xlfn.ISFORMULA(H328)=TRUE</formula>
    </cfRule>
    <cfRule type="duplicateValues" dxfId="2474" priority="6341"/>
    <cfRule type="expression" dxfId="2473" priority="6329">
      <formula>_xlfn.ISFORMULA(H328)=TRUE</formula>
    </cfRule>
    <cfRule type="duplicateValues" dxfId="2472" priority="6928"/>
    <cfRule type="expression" dxfId="2471" priority="6325">
      <formula>_xlfn.ISFORMULA(H328)=TRUE</formula>
    </cfRule>
    <cfRule type="duplicateValues" dxfId="2470" priority="6317"/>
    <cfRule type="expression" dxfId="2469" priority="6318">
      <formula>_xlfn.ISFORMULA(H328)=TRUE</formula>
    </cfRule>
    <cfRule type="duplicateValues" dxfId="2468" priority="6322"/>
  </conditionalFormatting>
  <conditionalFormatting sqref="H328:H331">
    <cfRule type="duplicateValues" dxfId="2467" priority="6923"/>
    <cfRule type="duplicateValues" dxfId="2466" priority="6264"/>
    <cfRule type="duplicateValues" dxfId="2465" priority="6918"/>
    <cfRule type="duplicateValues" dxfId="2464" priority="6919"/>
    <cfRule type="expression" dxfId="2463" priority="6921">
      <formula>_xlfn.ISFORMULA(H328)=TRUE</formula>
    </cfRule>
    <cfRule type="duplicateValues" dxfId="2462" priority="6920"/>
    <cfRule type="expression" dxfId="2461" priority="7410">
      <formula>_xlfn.ISFORMULA(H328)=TRUE</formula>
    </cfRule>
    <cfRule type="duplicateValues" dxfId="2460" priority="6924"/>
    <cfRule type="expression" dxfId="2459" priority="6930">
      <formula>_xlfn.ISFORMULA(H328)=TRUE</formula>
    </cfRule>
    <cfRule type="expression" dxfId="2458" priority="6925">
      <formula>_xlfn.ISFORMULA(H328)=TRUE</formula>
    </cfRule>
    <cfRule type="expression" dxfId="2457" priority="7416">
      <formula>_xlfn.ISFORMULA(H328)=TRUE</formula>
    </cfRule>
    <cfRule type="expression" dxfId="2456" priority="6343">
      <formula>_xlfn.ISFORMULA(H328)=TRUE</formula>
    </cfRule>
    <cfRule type="duplicateValues" dxfId="2455" priority="6265"/>
    <cfRule type="duplicateValues" dxfId="2454" priority="6274"/>
    <cfRule type="duplicateValues" dxfId="2453" priority="6273"/>
    <cfRule type="duplicateValues" dxfId="2452" priority="6272"/>
    <cfRule type="expression" dxfId="2451" priority="6267">
      <formula>_xlfn.ISFORMULA(H328)=TRUE</formula>
    </cfRule>
    <cfRule type="duplicateValues" dxfId="2450" priority="6266"/>
  </conditionalFormatting>
  <conditionalFormatting sqref="H328:H335">
    <cfRule type="duplicateValues" dxfId="2449" priority="6379"/>
    <cfRule type="duplicateValues" dxfId="2448" priority="6380"/>
    <cfRule type="expression" dxfId="2447" priority="6916">
      <formula>_xlfn.ISFORMULA(H328)=TRUE</formula>
    </cfRule>
    <cfRule type="duplicateValues" dxfId="2446" priority="6378"/>
  </conditionalFormatting>
  <conditionalFormatting sqref="H328:H336">
    <cfRule type="duplicateValues" dxfId="2445" priority="6369"/>
    <cfRule type="expression" dxfId="2444" priority="6370">
      <formula>_xlfn.ISFORMULA(H328)=TRUE</formula>
    </cfRule>
    <cfRule type="duplicateValues" dxfId="2443" priority="6278"/>
    <cfRule type="expression" dxfId="2442" priority="6381">
      <formula>_xlfn.ISFORMULA(H328)=TRUE</formula>
    </cfRule>
    <cfRule type="expression" dxfId="2441" priority="6336">
      <formula>_xlfn.ISFORMULA(H328)=TRUE</formula>
    </cfRule>
    <cfRule type="expression" dxfId="2440" priority="6349">
      <formula>_xlfn.ISFORMULA(H328)=TRUE</formula>
    </cfRule>
    <cfRule type="duplicateValues" dxfId="2439" priority="6354"/>
    <cfRule type="duplicateValues" dxfId="2438" priority="6355"/>
    <cfRule type="duplicateValues" dxfId="2437" priority="6356"/>
    <cfRule type="duplicateValues" dxfId="2436" priority="7557"/>
    <cfRule type="duplicateValues" dxfId="2435" priority="7556"/>
    <cfRule type="duplicateValues" dxfId="2434" priority="7555"/>
    <cfRule type="duplicateValues" dxfId="2433" priority="7561"/>
    <cfRule type="expression" dxfId="2432" priority="6357">
      <formula>_xlfn.ISFORMULA(H328)=TRUE</formula>
    </cfRule>
    <cfRule type="duplicateValues" dxfId="2431" priority="6360"/>
    <cfRule type="expression" dxfId="2430" priority="6286">
      <formula>_xlfn.ISFORMULA(H328)=TRUE</formula>
    </cfRule>
    <cfRule type="expression" dxfId="2429" priority="6308">
      <formula>_xlfn.ISFORMULA(H328)=TRUE</formula>
    </cfRule>
    <cfRule type="expression" dxfId="2428" priority="7563">
      <formula>_xlfn.ISFORMULA(H328)=TRUE</formula>
    </cfRule>
    <cfRule type="expression" dxfId="2427" priority="7558">
      <formula>_xlfn.ISFORMULA(H328)=TRUE</formula>
    </cfRule>
    <cfRule type="duplicateValues" dxfId="2426" priority="6284"/>
    <cfRule type="expression" dxfId="2425" priority="6281">
      <formula>_xlfn.ISFORMULA(H328)=TRUE</formula>
    </cfRule>
    <cfRule type="duplicateValues" dxfId="2424" priority="6280"/>
    <cfRule type="duplicateValues" dxfId="2423" priority="6279"/>
    <cfRule type="expression" dxfId="2422" priority="6275">
      <formula>_xlfn.ISFORMULA(H328)=TRUE</formula>
    </cfRule>
    <cfRule type="duplicateValues" dxfId="2421" priority="6285"/>
    <cfRule type="duplicateValues" dxfId="2420" priority="6361"/>
    <cfRule type="duplicateValues" dxfId="2419" priority="7562"/>
    <cfRule type="expression" dxfId="2418" priority="6362">
      <formula>_xlfn.ISFORMULA(H328)=TRUE</formula>
    </cfRule>
    <cfRule type="duplicateValues" dxfId="2417" priority="6367"/>
    <cfRule type="duplicateValues" dxfId="2416" priority="6368"/>
  </conditionalFormatting>
  <conditionalFormatting sqref="H328:H341">
    <cfRule type="expression" dxfId="2415" priority="7399">
      <formula>_xlfn.ISFORMULA(H328)=TRUE</formula>
    </cfRule>
  </conditionalFormatting>
  <conditionalFormatting sqref="H328:H342">
    <cfRule type="expression" dxfId="2414" priority="7552">
      <formula>_xlfn.ISFORMULA(H328)=TRUE</formula>
    </cfRule>
  </conditionalFormatting>
  <conditionalFormatting sqref="H331">
    <cfRule type="duplicateValues" dxfId="2413" priority="6938"/>
    <cfRule type="duplicateValues" dxfId="2412" priority="7414"/>
    <cfRule type="duplicateValues" dxfId="2411" priority="7413"/>
    <cfRule type="duplicateValues" dxfId="2410" priority="1575"/>
    <cfRule type="duplicateValues" dxfId="2409" priority="1576"/>
    <cfRule type="duplicateValues" dxfId="2408" priority="2211"/>
    <cfRule type="duplicateValues" dxfId="2407" priority="6933"/>
    <cfRule type="duplicateValues" dxfId="2406" priority="6347"/>
    <cfRule type="duplicateValues" dxfId="2405" priority="6348"/>
    <cfRule type="duplicateValues" dxfId="2404" priority="2213"/>
    <cfRule type="duplicateValues" dxfId="2403" priority="1154"/>
    <cfRule type="duplicateValues" dxfId="2402" priority="1153"/>
    <cfRule type="duplicateValues" dxfId="2401" priority="2212"/>
    <cfRule type="duplicateValues" dxfId="2400" priority="6937"/>
    <cfRule type="expression" dxfId="2399" priority="6936">
      <formula>_xlfn.ISFORMULA(H331)=TRUE</formula>
    </cfRule>
    <cfRule type="duplicateValues" dxfId="2398" priority="1574"/>
    <cfRule type="duplicateValues" dxfId="2397" priority="6934"/>
    <cfRule type="duplicateValues" dxfId="2396" priority="1152"/>
    <cfRule type="duplicateValues" dxfId="2395" priority="1504"/>
    <cfRule type="duplicateValues" dxfId="2394" priority="1505"/>
    <cfRule type="duplicateValues" dxfId="2393" priority="1506"/>
    <cfRule type="expression" dxfId="2392" priority="1507">
      <formula>_xlfn.ISFORMULA(H331)=TRUE</formula>
    </cfRule>
    <cfRule type="duplicateValues" dxfId="2391" priority="1508"/>
    <cfRule type="duplicateValues" dxfId="2390" priority="1509"/>
    <cfRule type="duplicateValues" dxfId="2389" priority="7415"/>
    <cfRule type="duplicateValues" dxfId="2388" priority="6346"/>
    <cfRule type="duplicateValues" dxfId="2387" priority="6935"/>
  </conditionalFormatting>
  <conditionalFormatting sqref="H331:H336">
    <cfRule type="duplicateValues" dxfId="2386" priority="1113"/>
    <cfRule type="duplicateValues" dxfId="2385" priority="2108"/>
    <cfRule type="duplicateValues" dxfId="2384" priority="2107"/>
    <cfRule type="expression" dxfId="2383" priority="2103">
      <formula>_xlfn.ISFORMULA(H331)=TRUE</formula>
    </cfRule>
    <cfRule type="duplicateValues" dxfId="2382" priority="2102"/>
    <cfRule type="duplicateValues" dxfId="2381" priority="2101"/>
    <cfRule type="duplicateValues" dxfId="2380" priority="2100"/>
    <cfRule type="expression" dxfId="2379" priority="2096">
      <formula>_xlfn.ISFORMULA(H331)=TRUE</formula>
    </cfRule>
    <cfRule type="duplicateValues" dxfId="2378" priority="2095"/>
    <cfRule type="duplicateValues" dxfId="2377" priority="2094"/>
    <cfRule type="expression" dxfId="2376" priority="2092">
      <formula>_xlfn.ISFORMULA(H331)=TRUE</formula>
    </cfRule>
    <cfRule type="duplicateValues" dxfId="2375" priority="2091"/>
    <cfRule type="duplicateValues" dxfId="2374" priority="2090"/>
    <cfRule type="duplicateValues" dxfId="2373" priority="2089"/>
    <cfRule type="duplicateValues" dxfId="2372" priority="6294"/>
    <cfRule type="duplicateValues" dxfId="2371" priority="1797"/>
    <cfRule type="duplicateValues" dxfId="2370" priority="1798"/>
    <cfRule type="duplicateValues" dxfId="2369" priority="1799"/>
    <cfRule type="expression" dxfId="2368" priority="1800">
      <formula>_xlfn.ISFORMULA(H331)=TRUE</formula>
    </cfRule>
    <cfRule type="duplicateValues" dxfId="2367" priority="1802"/>
    <cfRule type="duplicateValues" dxfId="2366" priority="1803"/>
    <cfRule type="expression" dxfId="2365" priority="1804">
      <formula>_xlfn.ISFORMULA(H331)=TRUE</formula>
    </cfRule>
    <cfRule type="duplicateValues" dxfId="2364" priority="1808"/>
    <cfRule type="duplicateValues" dxfId="2363" priority="1809"/>
    <cfRule type="duplicateValues" dxfId="2362" priority="1810"/>
    <cfRule type="expression" dxfId="2361" priority="1811">
      <formula>_xlfn.ISFORMULA(H331)=TRUE</formula>
    </cfRule>
    <cfRule type="duplicateValues" dxfId="2360" priority="1815"/>
    <cfRule type="duplicateValues" dxfId="2359" priority="1816"/>
    <cfRule type="duplicateValues" dxfId="2358" priority="6307"/>
    <cfRule type="duplicateValues" dxfId="2357" priority="6306"/>
    <cfRule type="expression" dxfId="2356" priority="6302">
      <formula>_xlfn.ISFORMULA(H331)=TRUE</formula>
    </cfRule>
    <cfRule type="duplicateValues" dxfId="2355" priority="6301"/>
    <cfRule type="duplicateValues" dxfId="2354" priority="6300"/>
    <cfRule type="duplicateValues" dxfId="2353" priority="6299"/>
    <cfRule type="expression" dxfId="2352" priority="6295">
      <formula>_xlfn.ISFORMULA(H331)=TRUE</formula>
    </cfRule>
    <cfRule type="duplicateValues" dxfId="2351" priority="6293"/>
    <cfRule type="expression" dxfId="2350" priority="6291">
      <formula>_xlfn.ISFORMULA(H331)=TRUE</formula>
    </cfRule>
    <cfRule type="duplicateValues" dxfId="2349" priority="6290"/>
    <cfRule type="duplicateValues" dxfId="2348" priority="6289"/>
    <cfRule type="duplicateValues" dxfId="2347" priority="6288"/>
    <cfRule type="duplicateValues" dxfId="2346" priority="1094"/>
    <cfRule type="duplicateValues" dxfId="2345" priority="1095"/>
    <cfRule type="duplicateValues" dxfId="2344" priority="1096"/>
    <cfRule type="expression" dxfId="2343" priority="1097">
      <formula>_xlfn.ISFORMULA(H331)=TRUE</formula>
    </cfRule>
    <cfRule type="duplicateValues" dxfId="2342" priority="1099"/>
    <cfRule type="duplicateValues" dxfId="2341" priority="1100"/>
    <cfRule type="expression" dxfId="2340" priority="1101">
      <formula>_xlfn.ISFORMULA(H331)=TRUE</formula>
    </cfRule>
    <cfRule type="duplicateValues" dxfId="2339" priority="1105"/>
    <cfRule type="duplicateValues" dxfId="2338" priority="1106"/>
    <cfRule type="duplicateValues" dxfId="2337" priority="1107"/>
    <cfRule type="expression" dxfId="2336" priority="1108">
      <formula>_xlfn.ISFORMULA(H331)=TRUE</formula>
    </cfRule>
    <cfRule type="duplicateValues" dxfId="2335" priority="1112"/>
  </conditionalFormatting>
  <conditionalFormatting sqref="H331:H337">
    <cfRule type="expression" dxfId="2334" priority="2047">
      <formula>_xlfn.ISFORMULA(H331)=TRUE</formula>
    </cfRule>
  </conditionalFormatting>
  <conditionalFormatting sqref="H331:H340">
    <cfRule type="expression" dxfId="2333" priority="6939">
      <formula>_xlfn.ISFORMULA(H331)=TRUE</formula>
    </cfRule>
    <cfRule type="expression" dxfId="2332" priority="1510">
      <formula>_xlfn.ISFORMULA(H331)=TRUE</formula>
    </cfRule>
    <cfRule type="expression" dxfId="2331" priority="1793">
      <formula>_xlfn.ISFORMULA(H331)=TRUE</formula>
    </cfRule>
  </conditionalFormatting>
  <conditionalFormatting sqref="H332">
    <cfRule type="duplicateValues" dxfId="2330" priority="6251"/>
    <cfRule type="duplicateValues" dxfId="2329" priority="1058"/>
    <cfRule type="duplicateValues" dxfId="2328" priority="1978"/>
    <cfRule type="duplicateValues" dxfId="2327" priority="1979"/>
    <cfRule type="duplicateValues" dxfId="2326" priority="1980"/>
    <cfRule type="duplicateValues" dxfId="2325" priority="1057"/>
    <cfRule type="duplicateValues" dxfId="2324" priority="1059"/>
    <cfRule type="duplicateValues" dxfId="2323" priority="6253"/>
    <cfRule type="duplicateValues" dxfId="2322" priority="6252"/>
  </conditionalFormatting>
  <conditionalFormatting sqref="H332:H335">
    <cfRule type="expression" dxfId="2321" priority="6900">
      <formula>_xlfn.ISFORMULA(H332)=TRUE</formula>
    </cfRule>
    <cfRule type="duplicateValues" dxfId="2320" priority="6903"/>
    <cfRule type="duplicateValues" dxfId="2319" priority="6904"/>
    <cfRule type="expression" dxfId="2318" priority="6905">
      <formula>_xlfn.ISFORMULA(H332)=TRUE</formula>
    </cfRule>
    <cfRule type="duplicateValues" dxfId="2317" priority="6909"/>
    <cfRule type="duplicateValues" dxfId="2316" priority="6910"/>
    <cfRule type="duplicateValues" dxfId="2315" priority="6911"/>
    <cfRule type="duplicateValues" dxfId="2314" priority="1481"/>
    <cfRule type="duplicateValues" dxfId="2313" priority="1482"/>
    <cfRule type="duplicateValues" dxfId="2312" priority="6898"/>
    <cfRule type="duplicateValues" dxfId="2311" priority="1480"/>
    <cfRule type="expression" dxfId="2310" priority="1476">
      <formula>_xlfn.ISFORMULA(H332)=TRUE</formula>
    </cfRule>
    <cfRule type="duplicateValues" dxfId="2309" priority="1475"/>
    <cfRule type="duplicateValues" dxfId="2308" priority="1474"/>
    <cfRule type="expression" dxfId="2307" priority="1471">
      <formula>_xlfn.ISFORMULA(H332)=TRUE</formula>
    </cfRule>
    <cfRule type="duplicateValues" dxfId="2306" priority="1470"/>
    <cfRule type="duplicateValues" dxfId="2305" priority="1469"/>
    <cfRule type="duplicateValues" dxfId="2304" priority="1468"/>
    <cfRule type="duplicateValues" dxfId="2303" priority="1855"/>
    <cfRule type="duplicateValues" dxfId="2302" priority="6914"/>
    <cfRule type="duplicateValues" dxfId="2301" priority="1486"/>
    <cfRule type="duplicateValues" dxfId="2300" priority="1856"/>
    <cfRule type="duplicateValues" dxfId="2299" priority="6915"/>
    <cfRule type="duplicateValues" dxfId="2298" priority="1485"/>
    <cfRule type="duplicateValues" dxfId="2297" priority="6897"/>
    <cfRule type="expression" dxfId="2296" priority="6912">
      <formula>_xlfn.ISFORMULA(H332)=TRUE</formula>
    </cfRule>
    <cfRule type="duplicateValues" dxfId="2295" priority="6899"/>
    <cfRule type="expression" dxfId="2294" priority="1483">
      <formula>_xlfn.ISFORMULA(H332)=TRUE</formula>
    </cfRule>
  </conditionalFormatting>
  <conditionalFormatting sqref="H332:H336">
    <cfRule type="expression" dxfId="2293" priority="1060">
      <formula>_xlfn.ISFORMULA(H332)=TRUE</formula>
    </cfRule>
    <cfRule type="duplicateValues" dxfId="2292" priority="1063"/>
    <cfRule type="duplicateValues" dxfId="2291" priority="1064"/>
    <cfRule type="duplicateValues" dxfId="2290" priority="1140"/>
    <cfRule type="duplicateValues" dxfId="2289" priority="1139"/>
    <cfRule type="expression" dxfId="2288" priority="1987">
      <formula>_xlfn.ISFORMULA(H332)=TRUE</formula>
    </cfRule>
    <cfRule type="duplicateValues" dxfId="2287" priority="1986"/>
    <cfRule type="duplicateValues" dxfId="2286" priority="1985"/>
    <cfRule type="duplicateValues" dxfId="2285" priority="1984"/>
    <cfRule type="expression" dxfId="2284" priority="1066">
      <formula>_xlfn.ISFORMULA(H332)=TRUE</formula>
    </cfRule>
    <cfRule type="expression" dxfId="2283" priority="1981">
      <formula>_xlfn.ISFORMULA(H332)=TRUE</formula>
    </cfRule>
    <cfRule type="duplicateValues" dxfId="2282" priority="1065"/>
    <cfRule type="duplicateValues" dxfId="2281" priority="1141"/>
    <cfRule type="expression" dxfId="2280" priority="6260">
      <formula>_xlfn.ISFORMULA(H332)=TRUE</formula>
    </cfRule>
    <cfRule type="duplicateValues" dxfId="2279" priority="6259"/>
    <cfRule type="duplicateValues" dxfId="2278" priority="6258"/>
    <cfRule type="duplicateValues" dxfId="2277" priority="6257"/>
    <cfRule type="expression" dxfId="2276" priority="6254">
      <formula>_xlfn.ISFORMULA(H332)=TRUE</formula>
    </cfRule>
    <cfRule type="duplicateValues" dxfId="2275" priority="6335"/>
    <cfRule type="duplicateValues" dxfId="2274" priority="6334"/>
    <cfRule type="duplicateValues" dxfId="2273" priority="6333"/>
  </conditionalFormatting>
  <conditionalFormatting sqref="H332:H340">
    <cfRule type="duplicateValues" dxfId="2272" priority="1557"/>
    <cfRule type="duplicateValues" dxfId="2271" priority="1558"/>
    <cfRule type="duplicateValues" dxfId="2270" priority="1559"/>
    <cfRule type="duplicateValues" dxfId="2269" priority="7398"/>
    <cfRule type="duplicateValues" dxfId="2268" priority="7397"/>
    <cfRule type="duplicateValues" dxfId="2267" priority="7396"/>
    <cfRule type="expression" dxfId="2266" priority="2189">
      <formula>_xlfn.ISFORMULA(H332)=TRUE</formula>
    </cfRule>
    <cfRule type="duplicateValues" dxfId="2265" priority="2194"/>
    <cfRule type="duplicateValues" dxfId="2264" priority="2195"/>
    <cfRule type="duplicateValues" dxfId="2263" priority="2196"/>
  </conditionalFormatting>
  <conditionalFormatting sqref="H332:H341">
    <cfRule type="expression" dxfId="2262" priority="1466">
      <formula>_xlfn.ISFORMULA(H332)=TRUE</formula>
    </cfRule>
    <cfRule type="expression" dxfId="2261" priority="6895">
      <formula>_xlfn.ISFORMULA(H332)=TRUE</formula>
    </cfRule>
  </conditionalFormatting>
  <conditionalFormatting sqref="H333:H339">
    <cfRule type="expression" dxfId="2260" priority="6247">
      <formula>_xlfn.ISFORMULA(H333)=TRUE</formula>
    </cfRule>
    <cfRule type="expression" dxfId="2259" priority="1053">
      <formula>_xlfn.ISFORMULA(H333)=TRUE</formula>
    </cfRule>
  </conditionalFormatting>
  <conditionalFormatting sqref="H335:H336">
    <cfRule type="duplicateValues" dxfId="2258" priority="6262"/>
    <cfRule type="duplicateValues" dxfId="2257" priority="6261"/>
    <cfRule type="expression" dxfId="2256" priority="1990">
      <formula>_xlfn.ISFORMULA(H335)=TRUE</formula>
    </cfRule>
    <cfRule type="duplicateValues" dxfId="2255" priority="1989"/>
    <cfRule type="duplicateValues" dxfId="2254" priority="1988"/>
    <cfRule type="expression" dxfId="2253" priority="1069">
      <formula>_xlfn.ISFORMULA(H335)=TRUE</formula>
    </cfRule>
    <cfRule type="duplicateValues" dxfId="2252" priority="1068"/>
    <cfRule type="duplicateValues" dxfId="2251" priority="1067"/>
    <cfRule type="expression" dxfId="2250" priority="6263">
      <formula>_xlfn.ISFORMULA(H335)=TRUE</formula>
    </cfRule>
  </conditionalFormatting>
  <conditionalFormatting sqref="H336">
    <cfRule type="duplicateValues" dxfId="2249" priority="1869"/>
    <cfRule type="duplicateValues" dxfId="2248" priority="1870"/>
    <cfRule type="duplicateValues" dxfId="2247" priority="1871"/>
  </conditionalFormatting>
  <conditionalFormatting sqref="H336:H341">
    <cfRule type="duplicateValues" dxfId="2246" priority="6876"/>
    <cfRule type="duplicateValues" dxfId="2245" priority="6877"/>
    <cfRule type="expression" dxfId="2244" priority="6878">
      <formula>_xlfn.ISFORMULA(H336)=TRUE</formula>
    </cfRule>
    <cfRule type="duplicateValues" dxfId="2243" priority="6880"/>
    <cfRule type="duplicateValues" dxfId="2242" priority="6881"/>
    <cfRule type="expression" dxfId="2241" priority="6882">
      <formula>_xlfn.ISFORMULA(H336)=TRUE</formula>
    </cfRule>
    <cfRule type="duplicateValues" dxfId="2240" priority="6886"/>
    <cfRule type="duplicateValues" dxfId="2239" priority="6887"/>
    <cfRule type="duplicateValues" dxfId="2238" priority="6888"/>
    <cfRule type="expression" dxfId="2237" priority="6889">
      <formula>_xlfn.ISFORMULA(H336)=TRUE</formula>
    </cfRule>
    <cfRule type="duplicateValues" dxfId="2236" priority="6893"/>
    <cfRule type="duplicateValues" dxfId="2235" priority="6894"/>
    <cfRule type="expression" dxfId="2234" priority="1453">
      <formula>_xlfn.ISFORMULA(H336)=TRUE</formula>
    </cfRule>
    <cfRule type="duplicateValues" dxfId="2233" priority="1446"/>
    <cfRule type="duplicateValues" dxfId="2232" priority="1447"/>
    <cfRule type="duplicateValues" dxfId="2231" priority="1448"/>
    <cfRule type="expression" dxfId="2230" priority="1449">
      <formula>_xlfn.ISFORMULA(H336)=TRUE</formula>
    </cfRule>
    <cfRule type="duplicateValues" dxfId="2229" priority="1451"/>
    <cfRule type="duplicateValues" dxfId="2228" priority="1452"/>
    <cfRule type="duplicateValues" dxfId="2227" priority="1457"/>
    <cfRule type="duplicateValues" dxfId="2226" priority="1458"/>
    <cfRule type="duplicateValues" dxfId="2225" priority="1459"/>
    <cfRule type="expression" dxfId="2224" priority="1460">
      <formula>_xlfn.ISFORMULA(H336)=TRUE</formula>
    </cfRule>
    <cfRule type="duplicateValues" dxfId="2223" priority="1464"/>
    <cfRule type="duplicateValues" dxfId="2222" priority="1465"/>
    <cfRule type="expression" dxfId="2221" priority="6874">
      <formula>_xlfn.ISFORMULA(H336)=TRUE</formula>
    </cfRule>
    <cfRule type="duplicateValues" dxfId="2220" priority="6875"/>
  </conditionalFormatting>
  <conditionalFormatting sqref="H337">
    <cfRule type="expression" dxfId="2219" priority="2155">
      <formula>_xlfn.ISFORMULA(H337)=TRUE</formula>
    </cfRule>
    <cfRule type="duplicateValues" dxfId="2218" priority="2154"/>
    <cfRule type="duplicateValues" dxfId="2217" priority="2044"/>
    <cfRule type="duplicateValues" dxfId="2216" priority="2045"/>
    <cfRule type="duplicateValues" dxfId="2215" priority="2046"/>
    <cfRule type="duplicateValues" dxfId="2214" priority="2153"/>
    <cfRule type="duplicateValues" dxfId="2213" priority="2188"/>
    <cfRule type="duplicateValues" dxfId="2212" priority="2187"/>
    <cfRule type="duplicateValues" dxfId="2211" priority="2186"/>
    <cfRule type="duplicateValues" dxfId="2210" priority="2152"/>
  </conditionalFormatting>
  <conditionalFormatting sqref="H337:H338">
    <cfRule type="duplicateValues" dxfId="2209" priority="1051"/>
    <cfRule type="duplicateValues" dxfId="2208" priority="1047"/>
    <cfRule type="expression" dxfId="2207" priority="1048">
      <formula>_xlfn.ISFORMULA(H337)=TRUE</formula>
    </cfRule>
    <cfRule type="duplicateValues" dxfId="2206" priority="1050"/>
    <cfRule type="duplicateValues" dxfId="2205" priority="1052"/>
    <cfRule type="duplicateValues" dxfId="2204" priority="6244"/>
    <cfRule type="duplicateValues" dxfId="2203" priority="1037"/>
    <cfRule type="expression" dxfId="2202" priority="6242">
      <formula>_xlfn.ISFORMULA(H337)=TRUE</formula>
    </cfRule>
    <cfRule type="duplicateValues" dxfId="2201" priority="6245"/>
    <cfRule type="duplicateValues" dxfId="2200" priority="6246"/>
    <cfRule type="duplicateValues" dxfId="2199" priority="6231"/>
    <cfRule type="duplicateValues" dxfId="2198" priority="6232"/>
    <cfRule type="duplicateValues" dxfId="2197" priority="6233"/>
    <cfRule type="expression" dxfId="2196" priority="6234">
      <formula>_xlfn.ISFORMULA(H337)=TRUE</formula>
    </cfRule>
    <cfRule type="duplicateValues" dxfId="2195" priority="6240"/>
    <cfRule type="duplicateValues" dxfId="2194" priority="6241"/>
    <cfRule type="duplicateValues" dxfId="2193" priority="1038"/>
    <cfRule type="duplicateValues" dxfId="2192" priority="1039"/>
    <cfRule type="expression" dxfId="2191" priority="1040">
      <formula>_xlfn.ISFORMULA(H337)=TRUE</formula>
    </cfRule>
    <cfRule type="duplicateValues" dxfId="2190" priority="1046"/>
  </conditionalFormatting>
  <conditionalFormatting sqref="H337:H340">
    <cfRule type="duplicateValues" dxfId="2189" priority="6203"/>
    <cfRule type="duplicateValues" dxfId="2188" priority="1585"/>
    <cfRule type="duplicateValues" dxfId="2187" priority="1584"/>
    <cfRule type="duplicateValues" dxfId="2186" priority="1032"/>
    <cfRule type="expression" dxfId="2185" priority="1033">
      <formula>_xlfn.ISFORMULA(H337)=TRUE</formula>
    </cfRule>
    <cfRule type="duplicateValues" dxfId="2184" priority="2218"/>
    <cfRule type="duplicateValues" dxfId="2183" priority="2219"/>
    <cfRule type="expression" dxfId="2182" priority="1021">
      <formula>_xlfn.ISFORMULA(H337)=TRUE</formula>
    </cfRule>
    <cfRule type="duplicateValues" dxfId="2181" priority="1020"/>
    <cfRule type="duplicateValues" dxfId="2180" priority="1019"/>
    <cfRule type="duplicateValues" dxfId="2179" priority="1018"/>
    <cfRule type="expression" dxfId="2178" priority="1014">
      <formula>_xlfn.ISFORMULA(H337)=TRUE</formula>
    </cfRule>
    <cfRule type="duplicateValues" dxfId="2177" priority="1013"/>
    <cfRule type="duplicateValues" dxfId="2176" priority="1012"/>
    <cfRule type="expression" dxfId="2175" priority="1010">
      <formula>_xlfn.ISFORMULA(H337)=TRUE</formula>
    </cfRule>
    <cfRule type="duplicateValues" dxfId="2174" priority="1764"/>
    <cfRule type="duplicateValues" dxfId="2173" priority="1008"/>
    <cfRule type="expression" dxfId="2172" priority="1006">
      <formula>_xlfn.ISFORMULA(H337)=TRUE</formula>
    </cfRule>
    <cfRule type="duplicateValues" dxfId="2171" priority="1005"/>
    <cfRule type="duplicateValues" dxfId="2170" priority="1004"/>
    <cfRule type="expression" dxfId="2169" priority="1002">
      <formula>_xlfn.ISFORMULA(H337)=TRUE</formula>
    </cfRule>
    <cfRule type="duplicateValues" dxfId="2168" priority="1001"/>
    <cfRule type="duplicateValues" dxfId="2167" priority="1000"/>
    <cfRule type="duplicateValues" dxfId="2166" priority="999"/>
    <cfRule type="duplicateValues" dxfId="2165" priority="6202"/>
    <cfRule type="duplicateValues" dxfId="2164" priority="1009"/>
    <cfRule type="expression" dxfId="2163" priority="6200">
      <formula>_xlfn.ISFORMULA(H337)=TRUE</formula>
    </cfRule>
    <cfRule type="duplicateValues" dxfId="2162" priority="6193"/>
    <cfRule type="duplicateValues" dxfId="2161" priority="7551"/>
    <cfRule type="duplicateValues" dxfId="2160" priority="6199"/>
    <cfRule type="duplicateValues" dxfId="2159" priority="6198"/>
    <cfRule type="expression" dxfId="2158" priority="6196">
      <formula>_xlfn.ISFORMULA(H337)=TRUE</formula>
    </cfRule>
    <cfRule type="duplicateValues" dxfId="2157" priority="6195"/>
    <cfRule type="duplicateValues" dxfId="2156" priority="6194"/>
    <cfRule type="expression" dxfId="2155" priority="1026">
      <formula>_xlfn.ISFORMULA(H337)=TRUE</formula>
    </cfRule>
    <cfRule type="duplicateValues" dxfId="2154" priority="1030"/>
    <cfRule type="duplicateValues" dxfId="2153" priority="1025"/>
    <cfRule type="duplicateValues" dxfId="2152" priority="1024"/>
    <cfRule type="duplicateValues" dxfId="2151" priority="1792"/>
    <cfRule type="duplicateValues" dxfId="2150" priority="1791"/>
    <cfRule type="duplicateValues" dxfId="2149" priority="1031"/>
    <cfRule type="expression" dxfId="2148" priority="1785">
      <formula>_xlfn.ISFORMULA(H337)=TRUE</formula>
    </cfRule>
    <cfRule type="duplicateValues" dxfId="2147" priority="1784"/>
    <cfRule type="duplicateValues" dxfId="2146" priority="1783"/>
    <cfRule type="duplicateValues" dxfId="2145" priority="1782"/>
    <cfRule type="expression" dxfId="2144" priority="1778">
      <formula>_xlfn.ISFORMULA(H337)=TRUE</formula>
    </cfRule>
    <cfRule type="duplicateValues" dxfId="2143" priority="1777"/>
    <cfRule type="duplicateValues" dxfId="2142" priority="1776"/>
    <cfRule type="expression" dxfId="2141" priority="1773">
      <formula>_xlfn.ISFORMULA(H337)=TRUE</formula>
    </cfRule>
    <cfRule type="duplicateValues" dxfId="2140" priority="1772"/>
    <cfRule type="duplicateValues" dxfId="2139" priority="1771"/>
    <cfRule type="duplicateValues" dxfId="2138" priority="1770"/>
    <cfRule type="duplicateValues" dxfId="2137" priority="1790"/>
    <cfRule type="duplicateValues" dxfId="2136" priority="7550"/>
    <cfRule type="expression" dxfId="2135" priority="1766">
      <formula>_xlfn.ISFORMULA(H337)=TRUE</formula>
    </cfRule>
    <cfRule type="duplicateValues" dxfId="2134" priority="1765"/>
    <cfRule type="expression" dxfId="2133" priority="6227">
      <formula>_xlfn.ISFORMULA(H337)=TRUE</formula>
    </cfRule>
    <cfRule type="duplicateValues" dxfId="2132" priority="6226"/>
    <cfRule type="duplicateValues" dxfId="2131" priority="6225"/>
    <cfRule type="duplicateValues" dxfId="2130" priority="6224"/>
    <cfRule type="expression" dxfId="2129" priority="6220">
      <formula>_xlfn.ISFORMULA(H337)=TRUE</formula>
    </cfRule>
    <cfRule type="duplicateValues" dxfId="2128" priority="6219"/>
    <cfRule type="duplicateValues" dxfId="2127" priority="6218"/>
    <cfRule type="expression" dxfId="2126" priority="6215">
      <formula>_xlfn.ISFORMULA(H337)=TRUE</formula>
    </cfRule>
    <cfRule type="duplicateValues" dxfId="2125" priority="6214"/>
    <cfRule type="duplicateValues" dxfId="2124" priority="6213"/>
    <cfRule type="duplicateValues" dxfId="2123" priority="6212"/>
    <cfRule type="expression" dxfId="2122" priority="6208">
      <formula>_xlfn.ISFORMULA(H337)=TRUE</formula>
    </cfRule>
    <cfRule type="duplicateValues" dxfId="2121" priority="6207"/>
    <cfRule type="duplicateValues" dxfId="2120" priority="6206"/>
    <cfRule type="expression" dxfId="2119" priority="6204">
      <formula>_xlfn.ISFORMULA(H337)=TRUE</formula>
    </cfRule>
  </conditionalFormatting>
  <conditionalFormatting sqref="H337:H341">
    <cfRule type="expression" dxfId="2118" priority="1760">
      <formula>_xlfn.ISFORMULA(H337)=TRUE</formula>
    </cfRule>
    <cfRule type="expression" dxfId="2117" priority="996">
      <formula>_xlfn.ISFORMULA(H337)=TRUE</formula>
    </cfRule>
    <cfRule type="expression" dxfId="2116" priority="6190">
      <formula>_xlfn.ISFORMULA(H337)=TRUE</formula>
    </cfRule>
  </conditionalFormatting>
  <conditionalFormatting sqref="H337:H354">
    <cfRule type="expression" dxfId="2115" priority="2181">
      <formula>_xlfn.ISFORMULA(H337)=TRUE</formula>
    </cfRule>
    <cfRule type="expression" dxfId="2114" priority="2168">
      <formula>_xlfn.ISFORMULA(H337)=TRUE</formula>
    </cfRule>
  </conditionalFormatting>
  <conditionalFormatting sqref="H338 H353:H354">
    <cfRule type="duplicateValues" dxfId="2113" priority="2165"/>
    <cfRule type="duplicateValues" dxfId="2112" priority="2167"/>
    <cfRule type="duplicateValues" dxfId="2111" priority="2166"/>
  </conditionalFormatting>
  <conditionalFormatting sqref="H338 H354">
    <cfRule type="expression" dxfId="2110" priority="2060">
      <formula>_xlfn.ISFORMULA(H338)=TRUE</formula>
    </cfRule>
    <cfRule type="duplicateValues" dxfId="2109" priority="2058"/>
    <cfRule type="duplicateValues" dxfId="2108" priority="2057"/>
    <cfRule type="duplicateValues" dxfId="2107" priority="2059"/>
  </conditionalFormatting>
  <conditionalFormatting sqref="H338:H354">
    <cfRule type="duplicateValues" dxfId="2106" priority="2178"/>
    <cfRule type="duplicateValues" dxfId="2105" priority="2179"/>
    <cfRule type="duplicateValues" dxfId="2104" priority="2180"/>
  </conditionalFormatting>
  <conditionalFormatting sqref="H339:H342">
    <cfRule type="duplicateValues" dxfId="2103" priority="1966"/>
    <cfRule type="duplicateValues" dxfId="2102" priority="1965"/>
    <cfRule type="duplicateValues" dxfId="2101" priority="2078"/>
    <cfRule type="duplicateValues" dxfId="2100" priority="2077"/>
  </conditionalFormatting>
  <conditionalFormatting sqref="H339:H343">
    <cfRule type="expression" dxfId="2099" priority="1967">
      <formula>_xlfn.ISFORMULA(H339)=TRUE</formula>
    </cfRule>
    <cfRule type="expression" dxfId="2098" priority="1962">
      <formula>_xlfn.ISFORMULA(H339)=TRUE</formula>
    </cfRule>
    <cfRule type="duplicateValues" dxfId="2097" priority="1961"/>
    <cfRule type="duplicateValues" dxfId="2096" priority="1955"/>
    <cfRule type="duplicateValues" dxfId="2095" priority="1956"/>
    <cfRule type="duplicateValues" dxfId="2094" priority="1957"/>
    <cfRule type="expression" dxfId="2093" priority="2085">
      <formula>_xlfn.ISFORMULA(H339)=TRUE</formula>
    </cfRule>
    <cfRule type="expression" dxfId="2092" priority="2079">
      <formula>_xlfn.ISFORMULA(H339)=TRUE</formula>
    </cfRule>
    <cfRule type="duplicateValues" dxfId="2091" priority="1960"/>
    <cfRule type="expression" dxfId="2090" priority="1958">
      <formula>_xlfn.ISFORMULA(H339)=TRUE</formula>
    </cfRule>
  </conditionalFormatting>
  <conditionalFormatting sqref="H339:H347">
    <cfRule type="expression" dxfId="2089" priority="1953">
      <formula>_xlfn.ISFORMULA(H339)=TRUE</formula>
    </cfRule>
  </conditionalFormatting>
  <conditionalFormatting sqref="H339:H348">
    <cfRule type="duplicateValues" dxfId="2088" priority="2140"/>
    <cfRule type="duplicateValues" dxfId="2087" priority="2146"/>
    <cfRule type="expression" dxfId="2086" priority="2143">
      <formula>_xlfn.ISFORMULA(H339)=TRUE</formula>
    </cfRule>
    <cfRule type="expression" dxfId="2085" priority="2148">
      <formula>_xlfn.ISFORMULA(H339)=TRUE</formula>
    </cfRule>
    <cfRule type="duplicateValues" dxfId="2084" priority="2141"/>
    <cfRule type="duplicateValues" dxfId="2083" priority="2142"/>
    <cfRule type="duplicateValues" dxfId="2082" priority="2147"/>
  </conditionalFormatting>
  <conditionalFormatting sqref="H339:H353">
    <cfRule type="expression" dxfId="2081" priority="2068">
      <formula>_xlfn.ISFORMULA(H339)=TRUE</formula>
    </cfRule>
  </conditionalFormatting>
  <conditionalFormatting sqref="H339:H354">
    <cfRule type="expression" dxfId="2080" priority="2137">
      <formula>_xlfn.ISFORMULA(H339)=TRUE</formula>
    </cfRule>
  </conditionalFormatting>
  <conditionalFormatting sqref="H341">
    <cfRule type="expression" dxfId="2079" priority="1736">
      <formula>_xlfn.ISFORMULA(H341)=TRUE</formula>
    </cfRule>
    <cfRule type="duplicateValues" dxfId="2078" priority="1735"/>
    <cfRule type="duplicateValues" dxfId="2077" priority="1734"/>
    <cfRule type="duplicateValues" dxfId="2076" priority="1733"/>
    <cfRule type="duplicateValues" dxfId="2075" priority="6178"/>
    <cfRule type="duplicateValues" dxfId="2074" priority="6179"/>
    <cfRule type="expression" dxfId="2073" priority="6180">
      <formula>_xlfn.ISFORMULA(H341)=TRUE</formula>
    </cfRule>
    <cfRule type="duplicateValues" dxfId="2072" priority="6182"/>
    <cfRule type="duplicateValues" dxfId="2071" priority="6183"/>
    <cfRule type="expression" dxfId="2070" priority="6184">
      <formula>_xlfn.ISFORMULA(H341)=TRUE</formula>
    </cfRule>
    <cfRule type="duplicateValues" dxfId="2069" priority="6187"/>
    <cfRule type="duplicateValues" dxfId="2068" priority="6188"/>
    <cfRule type="duplicateValues" dxfId="2067" priority="6189"/>
    <cfRule type="duplicateValues" dxfId="2066" priority="1741"/>
    <cfRule type="expression" dxfId="2065" priority="954">
      <formula>_xlfn.ISFORMULA(H341)=TRUE</formula>
    </cfRule>
    <cfRule type="duplicateValues" dxfId="2064" priority="955"/>
    <cfRule type="duplicateValues" dxfId="2063" priority="956"/>
    <cfRule type="duplicateValues" dxfId="2062" priority="957"/>
    <cfRule type="expression" dxfId="2061" priority="958">
      <formula>_xlfn.ISFORMULA(H341)=TRUE</formula>
    </cfRule>
    <cfRule type="duplicateValues" dxfId="2060" priority="960"/>
    <cfRule type="duplicateValues" dxfId="2059" priority="961"/>
    <cfRule type="expression" dxfId="2058" priority="962">
      <formula>_xlfn.ISFORMULA(H341)=TRUE</formula>
    </cfRule>
    <cfRule type="duplicateValues" dxfId="2057" priority="966"/>
    <cfRule type="duplicateValues" dxfId="2056" priority="967"/>
    <cfRule type="duplicateValues" dxfId="2055" priority="968"/>
    <cfRule type="expression" dxfId="2054" priority="969">
      <formula>_xlfn.ISFORMULA(H341)=TRUE</formula>
    </cfRule>
    <cfRule type="duplicateValues" dxfId="2053" priority="970"/>
    <cfRule type="duplicateValues" dxfId="2052" priority="6177"/>
    <cfRule type="expression" dxfId="2051" priority="6173">
      <formula>_xlfn.ISFORMULA(H341)=TRUE</formula>
    </cfRule>
    <cfRule type="duplicateValues" dxfId="2050" priority="6172"/>
    <cfRule type="duplicateValues" dxfId="2049" priority="6171"/>
    <cfRule type="duplicateValues" dxfId="2048" priority="6170"/>
    <cfRule type="expression" dxfId="2047" priority="6166">
      <formula>_xlfn.ISFORMULA(H341)=TRUE</formula>
    </cfRule>
    <cfRule type="duplicateValues" dxfId="2046" priority="6165"/>
    <cfRule type="duplicateValues" dxfId="2045" priority="6164"/>
    <cfRule type="expression" dxfId="2044" priority="6163">
      <formula>_xlfn.ISFORMULA(H341)=TRUE</formula>
    </cfRule>
    <cfRule type="duplicateValues" dxfId="2043" priority="6162"/>
    <cfRule type="duplicateValues" dxfId="2042" priority="6161"/>
    <cfRule type="duplicateValues" dxfId="2041" priority="6160"/>
    <cfRule type="expression" dxfId="2040" priority="6156">
      <formula>_xlfn.ISFORMULA(H341)=TRUE</formula>
    </cfRule>
    <cfRule type="duplicateValues" dxfId="2039" priority="6155"/>
    <cfRule type="duplicateValues" dxfId="2038" priority="6154"/>
    <cfRule type="expression" dxfId="2037" priority="6152">
      <formula>_xlfn.ISFORMULA(H341)=TRUE</formula>
    </cfRule>
    <cfRule type="duplicateValues" dxfId="2036" priority="6151"/>
    <cfRule type="duplicateValues" dxfId="2035" priority="6150"/>
    <cfRule type="duplicateValues" dxfId="2034" priority="971"/>
    <cfRule type="expression" dxfId="2033" priority="972">
      <formula>_xlfn.ISFORMULA(H341)=TRUE</formula>
    </cfRule>
    <cfRule type="duplicateValues" dxfId="2032" priority="976"/>
    <cfRule type="duplicateValues" dxfId="2031" priority="977"/>
    <cfRule type="duplicateValues" dxfId="2030" priority="6149"/>
    <cfRule type="expression" dxfId="2029" priority="6148">
      <formula>_xlfn.ISFORMULA(H341)=TRUE</formula>
    </cfRule>
    <cfRule type="duplicateValues" dxfId="2028" priority="978"/>
    <cfRule type="expression" dxfId="2027" priority="979">
      <formula>_xlfn.ISFORMULA(H341)=TRUE</formula>
    </cfRule>
    <cfRule type="duplicateValues" dxfId="2026" priority="983"/>
    <cfRule type="duplicateValues" dxfId="2025" priority="984"/>
    <cfRule type="duplicateValues" dxfId="2024" priority="985"/>
    <cfRule type="expression" dxfId="2023" priority="986">
      <formula>_xlfn.ISFORMULA(H341)=TRUE</formula>
    </cfRule>
    <cfRule type="duplicateValues" dxfId="2022" priority="988"/>
    <cfRule type="duplicateValues" dxfId="2021" priority="989"/>
    <cfRule type="expression" dxfId="2020" priority="990">
      <formula>_xlfn.ISFORMULA(H341)=TRUE</formula>
    </cfRule>
    <cfRule type="duplicateValues" dxfId="2019" priority="993"/>
    <cfRule type="duplicateValues" dxfId="2018" priority="994"/>
    <cfRule type="duplicateValues" dxfId="2017" priority="995"/>
    <cfRule type="duplicateValues" dxfId="2016" priority="1759"/>
    <cfRule type="duplicateValues" dxfId="2015" priority="1758"/>
    <cfRule type="duplicateValues" dxfId="2014" priority="1757"/>
    <cfRule type="expression" dxfId="2013" priority="1753">
      <formula>_xlfn.ISFORMULA(H341)=TRUE</formula>
    </cfRule>
    <cfRule type="duplicateValues" dxfId="2012" priority="1752"/>
    <cfRule type="duplicateValues" dxfId="2011" priority="1751"/>
    <cfRule type="duplicateValues" dxfId="2010" priority="1750"/>
    <cfRule type="expression" dxfId="2009" priority="1747">
      <formula>_xlfn.ISFORMULA(H341)=TRUE</formula>
    </cfRule>
    <cfRule type="duplicateValues" dxfId="2008" priority="1746"/>
    <cfRule type="duplicateValues" dxfId="2007" priority="1745"/>
    <cfRule type="expression" dxfId="2006" priority="1743">
      <formula>_xlfn.ISFORMULA(H341)=TRUE</formula>
    </cfRule>
    <cfRule type="duplicateValues" dxfId="2005" priority="1742"/>
    <cfRule type="duplicateValues" dxfId="2004" priority="1740"/>
  </conditionalFormatting>
  <conditionalFormatting sqref="H341:H342">
    <cfRule type="duplicateValues" dxfId="2003" priority="1610"/>
    <cfRule type="duplicateValues" dxfId="2002" priority="1611"/>
    <cfRule type="duplicateValues" dxfId="2001" priority="1609"/>
  </conditionalFormatting>
  <conditionalFormatting sqref="H341:H358">
    <cfRule type="expression" dxfId="2000" priority="1604">
      <formula>_xlfn.ISFORMULA(H341)=TRUE</formula>
    </cfRule>
    <cfRule type="expression" dxfId="1999" priority="7609">
      <formula>_xlfn.ISFORMULA(H341)=TRUE</formula>
    </cfRule>
  </conditionalFormatting>
  <conditionalFormatting sqref="H342">
    <cfRule type="expression" dxfId="1998" priority="1552">
      <formula>_xlfn.ISFORMULA(H342)=TRUE</formula>
    </cfRule>
    <cfRule type="duplicateValues" dxfId="1997" priority="6992"/>
    <cfRule type="expression" dxfId="1996" priority="6995">
      <formula>_xlfn.ISFORMULA(H342)=TRUE</formula>
    </cfRule>
    <cfRule type="duplicateValues" dxfId="1995" priority="1526"/>
    <cfRule type="duplicateValues" dxfId="1994" priority="6994"/>
    <cfRule type="duplicateValues" dxfId="1993" priority="1527"/>
    <cfRule type="duplicateValues" dxfId="1992" priority="1528"/>
    <cfRule type="duplicateValues" dxfId="1991" priority="1551"/>
    <cfRule type="duplicateValues" dxfId="1990" priority="1550"/>
    <cfRule type="duplicateValues" dxfId="1989" priority="1549"/>
    <cfRule type="expression" dxfId="1988" priority="1529">
      <formula>_xlfn.ISFORMULA(H342)=TRUE</formula>
    </cfRule>
    <cfRule type="duplicateValues" dxfId="1987" priority="6993"/>
  </conditionalFormatting>
  <conditionalFormatting sqref="H342:H357">
    <cfRule type="expression" dxfId="1986" priority="7000">
      <formula>_xlfn.ISFORMULA(H342)=TRUE</formula>
    </cfRule>
    <cfRule type="expression" dxfId="1985" priority="1544">
      <formula>_xlfn.ISFORMULA(H342)=TRUE</formula>
    </cfRule>
    <cfRule type="expression" dxfId="1984" priority="1534">
      <formula>_xlfn.ISFORMULA(H342)=TRUE</formula>
    </cfRule>
    <cfRule type="expression" dxfId="1983" priority="7014">
      <formula>_xlfn.ISFORMULA(H342)=TRUE</formula>
    </cfRule>
  </conditionalFormatting>
  <conditionalFormatting sqref="H343">
    <cfRule type="duplicateValues" dxfId="1982" priority="1972"/>
    <cfRule type="expression" dxfId="1981" priority="1973">
      <formula>_xlfn.ISFORMULA(H343)=TRUE</formula>
    </cfRule>
    <cfRule type="duplicateValues" dxfId="1980" priority="1974"/>
    <cfRule type="duplicateValues" dxfId="1979" priority="6999"/>
    <cfRule type="duplicateValues" dxfId="1978" priority="6998"/>
    <cfRule type="duplicateValues" dxfId="1977" priority="6997"/>
    <cfRule type="duplicateValues" dxfId="1976" priority="1532"/>
    <cfRule type="duplicateValues" dxfId="1975" priority="1533"/>
    <cfRule type="duplicateValues" dxfId="1974" priority="1531"/>
    <cfRule type="duplicateValues" dxfId="1973" priority="1975"/>
    <cfRule type="duplicateValues" dxfId="1972" priority="2082"/>
    <cfRule type="duplicateValues" dxfId="1971" priority="2083"/>
    <cfRule type="duplicateValues" dxfId="1970" priority="1970"/>
    <cfRule type="duplicateValues" dxfId="1969" priority="1971"/>
    <cfRule type="duplicateValues" dxfId="1968" priority="2084"/>
  </conditionalFormatting>
  <conditionalFormatting sqref="H343:H352">
    <cfRule type="duplicateValues" dxfId="1967" priority="1601"/>
    <cfRule type="duplicateValues" dxfId="1966" priority="1602"/>
    <cfRule type="duplicateValues" dxfId="1965" priority="1603"/>
    <cfRule type="expression" dxfId="1964" priority="1976">
      <formula>_xlfn.ISFORMULA(H343)=TRUE</formula>
    </cfRule>
    <cfRule type="duplicateValues" dxfId="1963" priority="7608"/>
    <cfRule type="duplicateValues" dxfId="1962" priority="7607"/>
    <cfRule type="duplicateValues" dxfId="1961" priority="7606"/>
  </conditionalFormatting>
  <conditionalFormatting sqref="H343:H357">
    <cfRule type="duplicateValues" dxfId="1960" priority="7012"/>
    <cfRule type="duplicateValues" dxfId="1959" priority="7011"/>
    <cfRule type="duplicateValues" dxfId="1958" priority="7013"/>
    <cfRule type="duplicateValues" dxfId="1957" priority="1541"/>
    <cfRule type="duplicateValues" dxfId="1956" priority="1542"/>
    <cfRule type="duplicateValues" dxfId="1955" priority="1543"/>
  </conditionalFormatting>
  <conditionalFormatting sqref="H344:H347">
    <cfRule type="expression" dxfId="1954" priority="6098">
      <formula>_xlfn.ISFORMULA(H344)=TRUE</formula>
    </cfRule>
    <cfRule type="duplicateValues" dxfId="1953" priority="891"/>
    <cfRule type="duplicateValues" dxfId="1952" priority="5165"/>
    <cfRule type="duplicateValues" dxfId="1951" priority="1934"/>
    <cfRule type="duplicateValues" dxfId="1950" priority="1935"/>
    <cfRule type="duplicateValues" dxfId="1949" priority="1936"/>
    <cfRule type="expression" dxfId="1948" priority="1937">
      <formula>_xlfn.ISFORMULA(H344)=TRUE</formula>
    </cfRule>
    <cfRule type="duplicateValues" dxfId="1947" priority="1940"/>
    <cfRule type="duplicateValues" dxfId="1946" priority="1941"/>
    <cfRule type="expression" dxfId="1945" priority="4714">
      <formula>_xlfn.ISFORMULA(H344)=TRUE</formula>
    </cfRule>
    <cfRule type="duplicateValues" dxfId="1944" priority="4717"/>
    <cfRule type="duplicateValues" dxfId="1943" priority="4718"/>
    <cfRule type="duplicateValues" dxfId="1942" priority="1669"/>
    <cfRule type="duplicateValues" dxfId="1941" priority="1671"/>
    <cfRule type="duplicateValues" dxfId="1940" priority="4713"/>
    <cfRule type="duplicateValues" dxfId="1939" priority="4712"/>
    <cfRule type="duplicateValues" dxfId="1938" priority="4711"/>
    <cfRule type="duplicateValues" dxfId="1937" priority="903"/>
    <cfRule type="duplicateValues" dxfId="1936" priority="902"/>
    <cfRule type="duplicateValues" dxfId="1935" priority="901"/>
    <cfRule type="expression" dxfId="1934" priority="897">
      <formula>_xlfn.ISFORMULA(H344)=TRUE</formula>
    </cfRule>
    <cfRule type="duplicateValues" dxfId="1933" priority="896"/>
    <cfRule type="expression" dxfId="1932" priority="4719">
      <formula>_xlfn.ISFORMULA(H344)=TRUE</formula>
    </cfRule>
    <cfRule type="duplicateValues" dxfId="1931" priority="4723"/>
    <cfRule type="duplicateValues" dxfId="1930" priority="4724"/>
    <cfRule type="expression" dxfId="1929" priority="1942">
      <formula>_xlfn.ISFORMULA(H344)=TRUE</formula>
    </cfRule>
    <cfRule type="duplicateValues" dxfId="1928" priority="4725"/>
    <cfRule type="expression" dxfId="1927" priority="4726">
      <formula>_xlfn.ISFORMULA(H344)=TRUE</formula>
    </cfRule>
    <cfRule type="duplicateValues" dxfId="1926" priority="4728"/>
    <cfRule type="duplicateValues" dxfId="1925" priority="4729"/>
    <cfRule type="expression" dxfId="1924" priority="904">
      <formula>_xlfn.ISFORMULA(H344)=TRUE</formula>
    </cfRule>
    <cfRule type="duplicateValues" dxfId="1923" priority="906"/>
    <cfRule type="duplicateValues" dxfId="1922" priority="907"/>
    <cfRule type="duplicateValues" dxfId="1921" priority="1946"/>
    <cfRule type="duplicateValues" dxfId="1920" priority="1947"/>
    <cfRule type="duplicateValues" dxfId="1919" priority="1948"/>
    <cfRule type="expression" dxfId="1918" priority="1949">
      <formula>_xlfn.ISFORMULA(H344)=TRUE</formula>
    </cfRule>
    <cfRule type="duplicateValues" dxfId="1917" priority="1951"/>
    <cfRule type="duplicateValues" dxfId="1916" priority="1952"/>
    <cfRule type="duplicateValues" dxfId="1915" priority="5164"/>
    <cfRule type="expression" dxfId="1914" priority="892">
      <formula>_xlfn.ISFORMULA(H344)=TRUE</formula>
    </cfRule>
    <cfRule type="duplicateValues" dxfId="1913" priority="6744"/>
    <cfRule type="duplicateValues" dxfId="1912" priority="6745"/>
    <cfRule type="duplicateValues" dxfId="1911" priority="6746"/>
    <cfRule type="expression" dxfId="1910" priority="6747">
      <formula>_xlfn.ISFORMULA(H344)=TRUE</formula>
    </cfRule>
    <cfRule type="duplicateValues" dxfId="1909" priority="6750"/>
    <cfRule type="duplicateValues" dxfId="1908" priority="6751"/>
    <cfRule type="expression" dxfId="1907" priority="6752">
      <formula>_xlfn.ISFORMULA(H344)=TRUE</formula>
    </cfRule>
    <cfRule type="duplicateValues" dxfId="1906" priority="6756"/>
    <cfRule type="duplicateValues" dxfId="1905" priority="6757"/>
    <cfRule type="duplicateValues" dxfId="1904" priority="6758"/>
    <cfRule type="expression" dxfId="1903" priority="6759">
      <formula>_xlfn.ISFORMULA(H344)=TRUE</formula>
    </cfRule>
    <cfRule type="duplicateValues" dxfId="1902" priority="6761"/>
    <cfRule type="duplicateValues" dxfId="1901" priority="6762"/>
    <cfRule type="expression" dxfId="1900" priority="6763">
      <formula>_xlfn.ISFORMULA(H344)=TRUE</formula>
    </cfRule>
    <cfRule type="expression" dxfId="1899" priority="4730">
      <formula>_xlfn.ISFORMULA(H344)=TRUE</formula>
    </cfRule>
    <cfRule type="duplicateValues" dxfId="1898" priority="4742"/>
    <cfRule type="duplicateValues" dxfId="1897" priority="4743"/>
    <cfRule type="duplicateValues" dxfId="1896" priority="6096"/>
    <cfRule type="duplicateValues" dxfId="1895" priority="895"/>
    <cfRule type="duplicateValues" dxfId="1894" priority="1356"/>
    <cfRule type="duplicateValues" dxfId="1893" priority="1357"/>
    <cfRule type="duplicateValues" dxfId="1892" priority="1358"/>
    <cfRule type="expression" dxfId="1891" priority="1359">
      <formula>_xlfn.ISFORMULA(H344)=TRUE</formula>
    </cfRule>
    <cfRule type="duplicateValues" dxfId="1890" priority="1362"/>
    <cfRule type="duplicateValues" dxfId="1889" priority="1363"/>
    <cfRule type="expression" dxfId="1888" priority="1364">
      <formula>_xlfn.ISFORMULA(H344)=TRUE</formula>
    </cfRule>
    <cfRule type="duplicateValues" dxfId="1887" priority="1368"/>
    <cfRule type="duplicateValues" dxfId="1886" priority="1722"/>
    <cfRule type="duplicateValues" dxfId="1885" priority="1369"/>
    <cfRule type="duplicateValues" dxfId="1884" priority="6101"/>
    <cfRule type="duplicateValues" dxfId="1883" priority="6100"/>
    <cfRule type="duplicateValues" dxfId="1882" priority="6097"/>
    <cfRule type="duplicateValues" dxfId="1881" priority="1670"/>
    <cfRule type="duplicateValues" dxfId="1880" priority="6095"/>
    <cfRule type="expression" dxfId="1879" priority="6091">
      <formula>_xlfn.ISFORMULA(H344)=TRUE</formula>
    </cfRule>
    <cfRule type="duplicateValues" dxfId="1878" priority="6090"/>
    <cfRule type="duplicateValues" dxfId="1877" priority="1721"/>
    <cfRule type="duplicateValues" dxfId="1876" priority="1720"/>
    <cfRule type="duplicateValues" dxfId="1875" priority="6863"/>
    <cfRule type="duplicateValues" dxfId="1874" priority="6864"/>
    <cfRule type="duplicateValues" dxfId="1873" priority="6089"/>
    <cfRule type="expression" dxfId="1872" priority="6086">
      <formula>_xlfn.ISFORMULA(H344)=TRUE</formula>
    </cfRule>
    <cfRule type="duplicateValues" dxfId="1871" priority="6085"/>
    <cfRule type="duplicateValues" dxfId="1870" priority="6084"/>
    <cfRule type="duplicateValues" dxfId="1869" priority="6083"/>
    <cfRule type="duplicateValues" dxfId="1868" priority="1370"/>
    <cfRule type="duplicateValues" dxfId="1867" priority="5095"/>
    <cfRule type="duplicateValues" dxfId="1866" priority="5094"/>
    <cfRule type="expression" dxfId="1865" priority="1371">
      <formula>_xlfn.ISFORMULA(H344)=TRUE</formula>
    </cfRule>
    <cfRule type="duplicateValues" dxfId="1864" priority="1373"/>
    <cfRule type="duplicateValues" dxfId="1863" priority="1374"/>
    <cfRule type="expression" dxfId="1862" priority="1375">
      <formula>_xlfn.ISFORMULA(H344)=TRUE</formula>
    </cfRule>
    <cfRule type="duplicateValues" dxfId="1861" priority="889"/>
    <cfRule type="duplicateValues" dxfId="1860" priority="1434"/>
    <cfRule type="duplicateValues" dxfId="1859" priority="1435"/>
    <cfRule type="duplicateValues" dxfId="1858" priority="890"/>
  </conditionalFormatting>
  <conditionalFormatting sqref="H344:H348">
    <cfRule type="duplicateValues" dxfId="1857" priority="5086"/>
    <cfRule type="duplicateValues" dxfId="1856" priority="1699"/>
    <cfRule type="duplicateValues" dxfId="1855" priority="6624"/>
    <cfRule type="duplicateValues" dxfId="1854" priority="6625"/>
    <cfRule type="duplicateValues" dxfId="1853" priority="6626"/>
    <cfRule type="expression" dxfId="1852" priority="6627">
      <formula>_xlfn.ISFORMULA(H344)=TRUE</formula>
    </cfRule>
    <cfRule type="duplicateValues" dxfId="1851" priority="6632"/>
    <cfRule type="expression" dxfId="1850" priority="6126">
      <formula>_xlfn.ISFORMULA(H344)=TRUE</formula>
    </cfRule>
    <cfRule type="duplicateValues" dxfId="1849" priority="1276"/>
    <cfRule type="expression" dxfId="1848" priority="6865">
      <formula>_xlfn.ISFORMULA(H344)=TRUE</formula>
    </cfRule>
    <cfRule type="expression" dxfId="1847" priority="1277">
      <formula>_xlfn.ISFORMULA(H344)=TRUE</formula>
    </cfRule>
    <cfRule type="duplicateValues" dxfId="1846" priority="1282"/>
    <cfRule type="duplicateValues" dxfId="1845" priority="4665"/>
    <cfRule type="duplicateValues" dxfId="1844" priority="1283"/>
    <cfRule type="duplicateValues" dxfId="1843" priority="6123"/>
    <cfRule type="expression" dxfId="1842" priority="5087">
      <formula>_xlfn.ISFORMULA(H344)=TRUE</formula>
    </cfRule>
    <cfRule type="duplicateValues" dxfId="1841" priority="5089"/>
    <cfRule type="duplicateValues" dxfId="1840" priority="6128"/>
    <cfRule type="expression" dxfId="1839" priority="6130">
      <formula>_xlfn.ISFORMULA(H344)=TRUE</formula>
    </cfRule>
    <cfRule type="expression" dxfId="1838" priority="1442">
      <formula>_xlfn.ISFORMULA(H344)=TRUE</formula>
    </cfRule>
    <cfRule type="duplicateValues" dxfId="1837" priority="1284"/>
    <cfRule type="duplicateValues" dxfId="1836" priority="5084"/>
    <cfRule type="expression" dxfId="1835" priority="4744">
      <formula>_xlfn.ISFORMULA(H344)=TRUE</formula>
    </cfRule>
    <cfRule type="duplicateValues" dxfId="1834" priority="5085"/>
    <cfRule type="duplicateValues" dxfId="1833" priority="6124"/>
    <cfRule type="expression" dxfId="1832" priority="1436">
      <formula>_xlfn.ISFORMULA(H344)=TRUE</formula>
    </cfRule>
    <cfRule type="duplicateValues" dxfId="1831" priority="6634"/>
    <cfRule type="duplicateValues" dxfId="1830" priority="6633"/>
    <cfRule type="duplicateValues" dxfId="1829" priority="1274"/>
    <cfRule type="duplicateValues" dxfId="1828" priority="1275"/>
    <cfRule type="duplicateValues" dxfId="1827" priority="6125"/>
    <cfRule type="duplicateValues" dxfId="1826" priority="1647"/>
    <cfRule type="duplicateValues" dxfId="1825" priority="1648"/>
    <cfRule type="duplicateValues" dxfId="1824" priority="1649"/>
    <cfRule type="expression" dxfId="1823" priority="1650">
      <formula>_xlfn.ISFORMULA(H344)=TRUE</formula>
    </cfRule>
    <cfRule type="expression" dxfId="1822" priority="5096">
      <formula>_xlfn.ISFORMULA(H344)=TRUE</formula>
    </cfRule>
    <cfRule type="expression" dxfId="1821" priority="5166">
      <formula>_xlfn.ISFORMULA(H344)=TRUE</formula>
    </cfRule>
    <cfRule type="expression" dxfId="1820" priority="5172">
      <formula>_xlfn.ISFORMULA(H344)=TRUE</formula>
    </cfRule>
    <cfRule type="duplicateValues" dxfId="1819" priority="1652"/>
    <cfRule type="duplicateValues" dxfId="1818" priority="1653"/>
    <cfRule type="expression" dxfId="1817" priority="6871">
      <formula>_xlfn.ISFORMULA(H344)=TRUE</formula>
    </cfRule>
    <cfRule type="duplicateValues" dxfId="1816" priority="6129"/>
    <cfRule type="duplicateValues" dxfId="1815" priority="931"/>
    <cfRule type="duplicateValues" dxfId="1814" priority="1698"/>
    <cfRule type="duplicateValues" dxfId="1813" priority="1700"/>
    <cfRule type="expression" dxfId="1812" priority="1701">
      <formula>_xlfn.ISFORMULA(H344)=TRUE</formula>
    </cfRule>
    <cfRule type="duplicateValues" dxfId="1811" priority="1703"/>
    <cfRule type="duplicateValues" dxfId="1810" priority="1704"/>
    <cfRule type="expression" dxfId="1809" priority="936">
      <formula>_xlfn.ISFORMULA(H344)=TRUE</formula>
    </cfRule>
    <cfRule type="duplicateValues" dxfId="1808" priority="935"/>
    <cfRule type="duplicateValues" dxfId="1807" priority="934"/>
    <cfRule type="expression" dxfId="1806" priority="932">
      <formula>_xlfn.ISFORMULA(H344)=TRUE</formula>
    </cfRule>
    <cfRule type="duplicateValues" dxfId="1805" priority="930"/>
    <cfRule type="duplicateValues" dxfId="1804" priority="929"/>
    <cfRule type="expression" dxfId="1803" priority="5091">
      <formula>_xlfn.ISFORMULA(H344)=TRUE</formula>
    </cfRule>
    <cfRule type="duplicateValues" dxfId="1802" priority="5090"/>
    <cfRule type="duplicateValues" dxfId="1801" priority="4675"/>
    <cfRule type="duplicateValues" dxfId="1800" priority="4674"/>
    <cfRule type="duplicateValues" dxfId="1799" priority="4673"/>
    <cfRule type="expression" dxfId="1798" priority="4668">
      <formula>_xlfn.ISFORMULA(H344)=TRUE</formula>
    </cfRule>
    <cfRule type="duplicateValues" dxfId="1797" priority="4667"/>
    <cfRule type="duplicateValues" dxfId="1796" priority="4666"/>
  </conditionalFormatting>
  <conditionalFormatting sqref="H344:H352">
    <cfRule type="duplicateValues" dxfId="1795" priority="1659"/>
    <cfRule type="duplicateValues" dxfId="1794" priority="1660"/>
    <cfRule type="duplicateValues" dxfId="1793" priority="1661"/>
    <cfRule type="expression" dxfId="1792" priority="1662">
      <formula>_xlfn.ISFORMULA(H344)=TRUE</formula>
    </cfRule>
    <cfRule type="duplicateValues" dxfId="1791" priority="1634"/>
    <cfRule type="duplicateValues" dxfId="1790" priority="1712"/>
    <cfRule type="expression" dxfId="1789" priority="1713">
      <formula>_xlfn.ISFORMULA(H344)=TRUE</formula>
    </cfRule>
    <cfRule type="expression" dxfId="1788" priority="1672">
      <formula>_xlfn.ISFORMULA(H344)=TRUE</formula>
    </cfRule>
    <cfRule type="duplicateValues" dxfId="1787" priority="1683"/>
    <cfRule type="duplicateValues" dxfId="1786" priority="1684"/>
    <cfRule type="duplicateValues" dxfId="1785" priority="1685"/>
    <cfRule type="duplicateValues" dxfId="1784" priority="1711"/>
    <cfRule type="expression" dxfId="1783" priority="1696">
      <formula>_xlfn.ISFORMULA(H344)=TRUE</formula>
    </cfRule>
    <cfRule type="duplicateValues" dxfId="1782" priority="915"/>
    <cfRule type="duplicateValues" dxfId="1781" priority="914"/>
    <cfRule type="duplicateValues" dxfId="1780" priority="913"/>
    <cfRule type="expression" dxfId="1779" priority="908">
      <formula>_xlfn.ISFORMULA(H344)=TRUE</formula>
    </cfRule>
    <cfRule type="duplicateValues" dxfId="1778" priority="2067"/>
    <cfRule type="duplicateValues" dxfId="1777" priority="2065"/>
    <cfRule type="expression" dxfId="1776" priority="1635">
      <formula>_xlfn.ISFORMULA(H344)=TRUE</formula>
    </cfRule>
    <cfRule type="expression" dxfId="1775" priority="6102">
      <formula>_xlfn.ISFORMULA(H344)=TRUE</formula>
    </cfRule>
    <cfRule type="expression" dxfId="1774" priority="1645">
      <formula>_xlfn.ISFORMULA(H344)=TRUE</formula>
    </cfRule>
    <cfRule type="expression" dxfId="1773" priority="1705">
      <formula>_xlfn.ISFORMULA(H344)=TRUE</formula>
    </cfRule>
    <cfRule type="duplicateValues" dxfId="1772" priority="2066"/>
    <cfRule type="duplicateValues" dxfId="1771" priority="6107"/>
    <cfRule type="duplicateValues" dxfId="1770" priority="6108"/>
    <cfRule type="duplicateValues" dxfId="1769" priority="1710"/>
    <cfRule type="duplicateValues" dxfId="1768" priority="4781"/>
    <cfRule type="duplicateValues" dxfId="1767" priority="4780"/>
    <cfRule type="duplicateValues" dxfId="1766" priority="4779"/>
    <cfRule type="expression" dxfId="1765" priority="5082">
      <formula>_xlfn.ISFORMULA(H344)=TRUE</formula>
    </cfRule>
    <cfRule type="duplicateValues" dxfId="1764" priority="6109"/>
    <cfRule type="duplicateValues" dxfId="1763" priority="1632"/>
    <cfRule type="duplicateValues" dxfId="1762" priority="1633"/>
    <cfRule type="expression" dxfId="1761" priority="1654">
      <formula>_xlfn.ISFORMULA(H344)=TRUE</formula>
    </cfRule>
    <cfRule type="expression" dxfId="1760" priority="1686">
      <formula>_xlfn.ISFORMULA(H344)=TRUE</formula>
    </cfRule>
  </conditionalFormatting>
  <conditionalFormatting sqref="H344:H353">
    <cfRule type="expression" dxfId="1759" priority="887">
      <formula>_xlfn.ISFORMULA(H344)=TRUE</formula>
    </cfRule>
    <cfRule type="duplicateValues" dxfId="1758" priority="1517"/>
    <cfRule type="duplicateValues" dxfId="1757" priority="1518"/>
    <cfRule type="duplicateValues" dxfId="1756" priority="1519"/>
    <cfRule type="expression" dxfId="1755" priority="1520">
      <formula>_xlfn.ISFORMULA(H344)=TRUE</formula>
    </cfRule>
    <cfRule type="duplicateValues" dxfId="1754" priority="1523"/>
    <cfRule type="duplicateValues" dxfId="1753" priority="1524"/>
    <cfRule type="expression" dxfId="1752" priority="1525">
      <formula>_xlfn.ISFORMULA(H344)=TRUE</formula>
    </cfRule>
    <cfRule type="expression" dxfId="1751" priority="6635">
      <formula>_xlfn.ISFORMULA(H344)=TRUE</formula>
    </cfRule>
    <cfRule type="duplicateValues" dxfId="1750" priority="6638"/>
    <cfRule type="duplicateValues" dxfId="1749" priority="6639"/>
    <cfRule type="duplicateValues" dxfId="1748" priority="6640"/>
    <cfRule type="expression" dxfId="1747" priority="6641">
      <formula>_xlfn.ISFORMULA(H344)=TRUE</formula>
    </cfRule>
    <cfRule type="duplicateValues" dxfId="1746" priority="6644"/>
    <cfRule type="duplicateValues" dxfId="1745" priority="6645"/>
    <cfRule type="expression" dxfId="1744" priority="6646">
      <formula>_xlfn.ISFORMULA(H344)=TRUE</formula>
    </cfRule>
    <cfRule type="expression" dxfId="1743" priority="6144">
      <formula>_xlfn.ISFORMULA(H344)=TRUE</formula>
    </cfRule>
    <cfRule type="duplicateValues" dxfId="1742" priority="6143"/>
    <cfRule type="duplicateValues" dxfId="1741" priority="5184"/>
    <cfRule type="duplicateValues" dxfId="1740" priority="5185"/>
    <cfRule type="duplicateValues" dxfId="1739" priority="5186"/>
    <cfRule type="expression" dxfId="1738" priority="5187">
      <formula>_xlfn.ISFORMULA(H344)=TRUE</formula>
    </cfRule>
    <cfRule type="duplicateValues" dxfId="1737" priority="5190"/>
    <cfRule type="duplicateValues" dxfId="1736" priority="5191"/>
    <cfRule type="expression" dxfId="1735" priority="5192">
      <formula>_xlfn.ISFORMULA(H344)=TRUE</formula>
    </cfRule>
    <cfRule type="duplicateValues" dxfId="1734" priority="6142"/>
    <cfRule type="duplicateValues" dxfId="1733" priority="6141"/>
    <cfRule type="expression" dxfId="1732" priority="6136">
      <formula>_xlfn.ISFORMULA(H344)=TRUE</formula>
    </cfRule>
    <cfRule type="expression" dxfId="1731" priority="916">
      <formula>_xlfn.ISFORMULA(H344)=TRUE</formula>
    </cfRule>
    <cfRule type="expression" dxfId="1730" priority="6742">
      <formula>_xlfn.ISFORMULA(H344)=TRUE</formula>
    </cfRule>
    <cfRule type="expression" dxfId="1729" priority="4737">
      <formula>_xlfn.ISFORMULA(H344)=TRUE</formula>
    </cfRule>
    <cfRule type="expression" dxfId="1728" priority="4750">
      <formula>_xlfn.ISFORMULA(H344)=TRUE</formula>
    </cfRule>
    <cfRule type="duplicateValues" dxfId="1727" priority="4755"/>
    <cfRule type="duplicateValues" dxfId="1726" priority="4756"/>
    <cfRule type="duplicateValues" dxfId="1725" priority="4757"/>
    <cfRule type="expression" dxfId="1724" priority="4758">
      <formula>_xlfn.ISFORMULA(H344)=TRUE</formula>
    </cfRule>
    <cfRule type="duplicateValues" dxfId="1723" priority="4761"/>
    <cfRule type="duplicateValues" dxfId="1722" priority="4762"/>
    <cfRule type="expression" dxfId="1721" priority="4763">
      <formula>_xlfn.ISFORMULA(H344)=TRUE</formula>
    </cfRule>
    <cfRule type="duplicateValues" dxfId="1720" priority="4768"/>
    <cfRule type="expression" dxfId="1719" priority="1932">
      <formula>_xlfn.ISFORMULA(H344)=TRUE</formula>
    </cfRule>
    <cfRule type="duplicateValues" dxfId="1718" priority="4769"/>
    <cfRule type="expression" dxfId="1717" priority="950">
      <formula>_xlfn.ISFORMULA(H344)=TRUE</formula>
    </cfRule>
    <cfRule type="duplicateValues" dxfId="1716" priority="949"/>
    <cfRule type="duplicateValues" dxfId="1715" priority="948"/>
    <cfRule type="duplicateValues" dxfId="1714" priority="947"/>
    <cfRule type="expression" dxfId="1713" priority="942">
      <formula>_xlfn.ISFORMULA(H344)=TRUE</formula>
    </cfRule>
    <cfRule type="duplicateValues" dxfId="1712" priority="4770"/>
    <cfRule type="expression" dxfId="1711" priority="4771">
      <formula>_xlfn.ISFORMULA(H344)=TRUE</formula>
    </cfRule>
    <cfRule type="expression" dxfId="1710" priority="6121">
      <formula>_xlfn.ISFORMULA(H344)=TRUE</formula>
    </cfRule>
    <cfRule type="expression" dxfId="1709" priority="6081">
      <formula>_xlfn.ISFORMULA(H344)=TRUE</formula>
    </cfRule>
    <cfRule type="duplicateValues" dxfId="1708" priority="6983"/>
    <cfRule type="duplicateValues" dxfId="1707" priority="6984"/>
    <cfRule type="duplicateValues" dxfId="1706" priority="6985"/>
    <cfRule type="expression" dxfId="1705" priority="6986">
      <formula>_xlfn.ISFORMULA(H344)=TRUE</formula>
    </cfRule>
    <cfRule type="duplicateValues" dxfId="1704" priority="6989"/>
    <cfRule type="duplicateValues" dxfId="1703" priority="6990"/>
    <cfRule type="expression" dxfId="1702" priority="6991">
      <formula>_xlfn.ISFORMULA(H344)=TRUE</formula>
    </cfRule>
    <cfRule type="expression" dxfId="1701" priority="927">
      <formula>_xlfn.ISFORMULA(H344)=TRUE</formula>
    </cfRule>
    <cfRule type="expression" dxfId="1700" priority="1723">
      <formula>_xlfn.ISFORMULA(H344)=TRUE</formula>
    </cfRule>
    <cfRule type="expression" dxfId="1699" priority="1285">
      <formula>_xlfn.ISFORMULA(H344)=TRUE</formula>
    </cfRule>
    <cfRule type="duplicateValues" dxfId="1698" priority="1288"/>
    <cfRule type="duplicateValues" dxfId="1697" priority="1289"/>
    <cfRule type="expression" dxfId="1696" priority="4709">
      <formula>_xlfn.ISFORMULA(H344)=TRUE</formula>
    </cfRule>
    <cfRule type="expression" dxfId="1695" priority="4687">
      <formula>_xlfn.ISFORMULA(H344)=TRUE</formula>
    </cfRule>
    <cfRule type="duplicateValues" dxfId="1694" priority="4686"/>
    <cfRule type="duplicateValues" dxfId="1693" priority="4685"/>
    <cfRule type="expression" dxfId="1692" priority="4682">
      <formula>_xlfn.ISFORMULA(H344)=TRUE</formula>
    </cfRule>
    <cfRule type="duplicateValues" dxfId="1691" priority="4681"/>
    <cfRule type="duplicateValues" dxfId="1690" priority="4680"/>
    <cfRule type="duplicateValues" dxfId="1689" priority="4679"/>
    <cfRule type="expression" dxfId="1688" priority="4676">
      <formula>_xlfn.ISFORMULA(H344)=TRUE</formula>
    </cfRule>
    <cfRule type="duplicateValues" dxfId="1687" priority="1290"/>
    <cfRule type="expression" dxfId="1686" priority="1291">
      <formula>_xlfn.ISFORMULA(H344)=TRUE</formula>
    </cfRule>
    <cfRule type="duplicateValues" dxfId="1685" priority="1294"/>
    <cfRule type="duplicateValues" dxfId="1684" priority="1295"/>
    <cfRule type="expression" dxfId="1683" priority="1296">
      <formula>_xlfn.ISFORMULA(H344)=TRUE</formula>
    </cfRule>
    <cfRule type="expression" dxfId="1682" priority="1354">
      <formula>_xlfn.ISFORMULA(H344)=TRUE</formula>
    </cfRule>
    <cfRule type="expression" dxfId="1681" priority="6110">
      <formula>_xlfn.ISFORMULA(H344)=TRUE</formula>
    </cfRule>
  </conditionalFormatting>
  <conditionalFormatting sqref="H344:H357">
    <cfRule type="expression" dxfId="1680" priority="1514">
      <formula>_xlfn.ISFORMULA(H344)=TRUE</formula>
    </cfRule>
    <cfRule type="expression" dxfId="1679" priority="6980">
      <formula>_xlfn.ISFORMULA(H344)=TRUE</formula>
    </cfRule>
    <cfRule type="expression" dxfId="1678" priority="6854">
      <formula>_xlfn.ISFORMULA(H344)=TRUE</formula>
    </cfRule>
    <cfRule type="expression" dxfId="1677" priority="1425">
      <formula>_xlfn.ISFORMULA(H344)=TRUE</formula>
    </cfRule>
  </conditionalFormatting>
  <conditionalFormatting sqref="H344:H358">
    <cfRule type="expression" dxfId="1676" priority="5155">
      <formula>_xlfn.ISFORMULA(H344)=TRUE</formula>
    </cfRule>
    <cfRule type="expression" dxfId="1675" priority="4782">
      <formula>_xlfn.ISFORMULA(H344)=TRUE</formula>
    </cfRule>
  </conditionalFormatting>
  <conditionalFormatting sqref="H344:H359">
    <cfRule type="expression" dxfId="1674" priority="5181">
      <formula>_xlfn.ISFORMULA(H344)=TRUE</formula>
    </cfRule>
    <cfRule type="duplicateValues" dxfId="1673" priority="5217"/>
    <cfRule type="expression" dxfId="1672" priority="5207">
      <formula>_xlfn.ISFORMULA(H344)=TRUE</formula>
    </cfRule>
    <cfRule type="duplicateValues" dxfId="1671" priority="5216"/>
    <cfRule type="expression" dxfId="1670" priority="5219">
      <formula>_xlfn.ISFORMULA(H344)=TRUE</formula>
    </cfRule>
    <cfRule type="duplicateValues" dxfId="1669" priority="5218"/>
  </conditionalFormatting>
  <conditionalFormatting sqref="H348">
    <cfRule type="expression" dxfId="1668" priority="5102">
      <formula>_xlfn.ISFORMULA(H348)=TRUE</formula>
    </cfRule>
    <cfRule type="duplicateValues" dxfId="1667" priority="5103"/>
    <cfRule type="duplicateValues" dxfId="1666" priority="5169"/>
    <cfRule type="duplicateValues" dxfId="1665" priority="5170"/>
    <cfRule type="duplicateValues" dxfId="1664" priority="5171"/>
    <cfRule type="duplicateValues" dxfId="1663" priority="1440"/>
    <cfRule type="duplicateValues" dxfId="1662" priority="6870"/>
    <cfRule type="duplicateValues" dxfId="1661" priority="6869"/>
    <cfRule type="duplicateValues" dxfId="1660" priority="6868"/>
    <cfRule type="duplicateValues" dxfId="1659" priority="1441"/>
    <cfRule type="duplicateValues" dxfId="1658" priority="5101"/>
    <cfRule type="duplicateValues" dxfId="1657" priority="5099"/>
    <cfRule type="duplicateValues" dxfId="1656" priority="4749"/>
    <cfRule type="duplicateValues" dxfId="1655" priority="4747"/>
    <cfRule type="duplicateValues" dxfId="1654" priority="5100"/>
    <cfRule type="duplicateValues" dxfId="1653" priority="1439"/>
    <cfRule type="duplicateValues" dxfId="1652" priority="4748"/>
    <cfRule type="duplicateValues" dxfId="1651" priority="5104"/>
  </conditionalFormatting>
  <conditionalFormatting sqref="H348:H353">
    <cfRule type="duplicateValues" dxfId="1650" priority="6074"/>
    <cfRule type="expression" dxfId="1649" priority="6075">
      <formula>_xlfn.ISFORMULA(H348)=TRUE</formula>
    </cfRule>
    <cfRule type="duplicateValues" dxfId="1648" priority="6079"/>
    <cfRule type="duplicateValues" dxfId="1647" priority="6080"/>
    <cfRule type="duplicateValues" dxfId="1646" priority="6741"/>
    <cfRule type="duplicateValues" dxfId="1645" priority="1334"/>
    <cfRule type="duplicateValues" dxfId="1644" priority="1335"/>
    <cfRule type="duplicateValues" dxfId="1643" priority="1336"/>
    <cfRule type="expression" dxfId="1642" priority="1337">
      <formula>_xlfn.ISFORMULA(H348)=TRUE</formula>
    </cfRule>
    <cfRule type="duplicateValues" dxfId="1641" priority="879"/>
    <cfRule type="duplicateValues" dxfId="1640" priority="6740"/>
    <cfRule type="expression" dxfId="1639" priority="6736">
      <formula>_xlfn.ISFORMULA(H348)=TRUE</formula>
    </cfRule>
    <cfRule type="duplicateValues" dxfId="1638" priority="6735"/>
    <cfRule type="duplicateValues" dxfId="1637" priority="6734"/>
    <cfRule type="duplicateValues" dxfId="1636" priority="6733"/>
    <cfRule type="expression" dxfId="1635" priority="6729">
      <formula>_xlfn.ISFORMULA(H348)=TRUE</formula>
    </cfRule>
    <cfRule type="duplicateValues" dxfId="1634" priority="6728"/>
    <cfRule type="duplicateValues" dxfId="1633" priority="6727"/>
    <cfRule type="expression" dxfId="1632" priority="6725">
      <formula>_xlfn.ISFORMULA(H348)=TRUE</formula>
    </cfRule>
    <cfRule type="duplicateValues" dxfId="1631" priority="6724"/>
    <cfRule type="duplicateValues" dxfId="1630" priority="6723"/>
    <cfRule type="duplicateValues" dxfId="1629" priority="6722"/>
    <cfRule type="duplicateValues" dxfId="1628" priority="878"/>
    <cfRule type="duplicateValues" dxfId="1627" priority="1339"/>
    <cfRule type="duplicateValues" dxfId="1626" priority="1340"/>
    <cfRule type="expression" dxfId="1625" priority="1341">
      <formula>_xlfn.ISFORMULA(H348)=TRUE</formula>
    </cfRule>
    <cfRule type="duplicateValues" dxfId="1624" priority="1346"/>
    <cfRule type="duplicateValues" dxfId="1623" priority="1347"/>
    <cfRule type="duplicateValues" dxfId="1622" priority="1931"/>
    <cfRule type="duplicateValues" dxfId="1621" priority="1930"/>
    <cfRule type="expression" dxfId="1620" priority="1926">
      <formula>_xlfn.ISFORMULA(H348)=TRUE</formula>
    </cfRule>
    <cfRule type="duplicateValues" dxfId="1619" priority="1925"/>
    <cfRule type="duplicateValues" dxfId="1618" priority="1924"/>
    <cfRule type="duplicateValues" dxfId="1617" priority="1923"/>
    <cfRule type="expression" dxfId="1616" priority="1919">
      <formula>_xlfn.ISFORMULA(H348)=TRUE</formula>
    </cfRule>
    <cfRule type="expression" dxfId="1615" priority="874">
      <formula>_xlfn.ISFORMULA(H348)=TRUE</formula>
    </cfRule>
    <cfRule type="expression" dxfId="1614" priority="1348">
      <formula>_xlfn.ISFORMULA(H348)=TRUE</formula>
    </cfRule>
    <cfRule type="duplicateValues" dxfId="1613" priority="1352"/>
    <cfRule type="duplicateValues" dxfId="1612" priority="1353"/>
    <cfRule type="duplicateValues" dxfId="1611" priority="873"/>
    <cfRule type="duplicateValues" dxfId="1610" priority="872"/>
    <cfRule type="expression" dxfId="1609" priority="870">
      <formula>_xlfn.ISFORMULA(H348)=TRUE</formula>
    </cfRule>
    <cfRule type="duplicateValues" dxfId="1608" priority="1913"/>
    <cfRule type="duplicateValues" dxfId="1607" priority="869"/>
    <cfRule type="duplicateValues" dxfId="1606" priority="868"/>
    <cfRule type="duplicateValues" dxfId="1605" priority="867"/>
    <cfRule type="duplicateValues" dxfId="1604" priority="1914"/>
    <cfRule type="expression" dxfId="1603" priority="1915">
      <formula>_xlfn.ISFORMULA(H348)=TRUE</formula>
    </cfRule>
    <cfRule type="duplicateValues" dxfId="1602" priority="1912"/>
    <cfRule type="duplicateValues" dxfId="1601" priority="886"/>
    <cfRule type="duplicateValues" dxfId="1600" priority="885"/>
    <cfRule type="expression" dxfId="1599" priority="881">
      <formula>_xlfn.ISFORMULA(H348)=TRUE</formula>
    </cfRule>
    <cfRule type="duplicateValues" dxfId="1598" priority="1345"/>
    <cfRule type="duplicateValues" dxfId="1597" priority="880"/>
    <cfRule type="duplicateValues" dxfId="1596" priority="6062"/>
    <cfRule type="duplicateValues" dxfId="1595" priority="4708"/>
    <cfRule type="duplicateValues" dxfId="1594" priority="4707"/>
    <cfRule type="expression" dxfId="1593" priority="4703">
      <formula>_xlfn.ISFORMULA(H348)=TRUE</formula>
    </cfRule>
    <cfRule type="duplicateValues" dxfId="1592" priority="4702"/>
    <cfRule type="duplicateValues" dxfId="1591" priority="4701"/>
    <cfRule type="duplicateValues" dxfId="1590" priority="4700"/>
    <cfRule type="expression" dxfId="1589" priority="4696">
      <formula>_xlfn.ISFORMULA(H348)=TRUE</formula>
    </cfRule>
    <cfRule type="duplicateValues" dxfId="1588" priority="4695"/>
    <cfRule type="duplicateValues" dxfId="1587" priority="4694"/>
    <cfRule type="expression" dxfId="1586" priority="4692">
      <formula>_xlfn.ISFORMULA(H348)=TRUE</formula>
    </cfRule>
    <cfRule type="duplicateValues" dxfId="1585" priority="4691"/>
    <cfRule type="duplicateValues" dxfId="1584" priority="4690"/>
    <cfRule type="duplicateValues" dxfId="1583" priority="4689"/>
    <cfRule type="duplicateValues" dxfId="1582" priority="6061"/>
    <cfRule type="duplicateValues" dxfId="1581" priority="6063"/>
    <cfRule type="expression" dxfId="1580" priority="6064">
      <formula>_xlfn.ISFORMULA(H348)=TRUE</formula>
    </cfRule>
    <cfRule type="duplicateValues" dxfId="1579" priority="6066"/>
    <cfRule type="duplicateValues" dxfId="1578" priority="1917"/>
    <cfRule type="duplicateValues" dxfId="1577" priority="1918"/>
    <cfRule type="duplicateValues" dxfId="1576" priority="6067"/>
    <cfRule type="expression" dxfId="1575" priority="6068">
      <formula>_xlfn.ISFORMULA(H348)=TRUE</formula>
    </cfRule>
    <cfRule type="duplicateValues" dxfId="1574" priority="6072"/>
    <cfRule type="duplicateValues" dxfId="1573" priority="6073"/>
  </conditionalFormatting>
  <conditionalFormatting sqref="H348:H354">
    <cfRule type="expression" dxfId="1572" priority="6680">
      <formula>_xlfn.ISFORMULA(H348)=TRUE</formula>
    </cfRule>
    <cfRule type="expression" dxfId="1571" priority="1300">
      <formula>_xlfn.ISFORMULA(H348)=TRUE</formula>
    </cfRule>
  </conditionalFormatting>
  <conditionalFormatting sqref="H348:H357">
    <cfRule type="expression" dxfId="1570" priority="5105">
      <formula>_xlfn.ISFORMULA(H348)=TRUE</formula>
    </cfRule>
    <cfRule type="expression" dxfId="1569" priority="863">
      <formula>_xlfn.ISFORMULA(H348)=TRUE</formula>
    </cfRule>
    <cfRule type="expression" dxfId="1568" priority="6057">
      <formula>_xlfn.ISFORMULA(H348)=TRUE</formula>
    </cfRule>
  </conditionalFormatting>
  <conditionalFormatting sqref="H349">
    <cfRule type="duplicateValues" dxfId="1567" priority="1261"/>
    <cfRule type="duplicateValues" dxfId="1566" priority="6613"/>
    <cfRule type="duplicateValues" dxfId="1565" priority="6612"/>
    <cfRule type="duplicateValues" dxfId="1564" priority="6611"/>
    <cfRule type="duplicateValues" dxfId="1563" priority="4652"/>
    <cfRule type="duplicateValues" dxfId="1562" priority="1263"/>
    <cfRule type="duplicateValues" dxfId="1561" priority="1262"/>
    <cfRule type="duplicateValues" dxfId="1560" priority="4654"/>
    <cfRule type="duplicateValues" dxfId="1559" priority="4653"/>
  </conditionalFormatting>
  <conditionalFormatting sqref="H349:H352">
    <cfRule type="duplicateValues" dxfId="1558" priority="2136"/>
    <cfRule type="duplicateValues" dxfId="1557" priority="5070"/>
    <cfRule type="duplicateValues" dxfId="1556" priority="5065"/>
    <cfRule type="duplicateValues" dxfId="1555" priority="5063"/>
    <cfRule type="expression" dxfId="1554" priority="5078">
      <formula>_xlfn.ISFORMULA(H349)=TRUE</formula>
    </cfRule>
    <cfRule type="duplicateValues" dxfId="1553" priority="5080"/>
    <cfRule type="duplicateValues" dxfId="1552" priority="5081"/>
    <cfRule type="duplicateValues" dxfId="1551" priority="1644"/>
    <cfRule type="duplicateValues" dxfId="1550" priority="1643"/>
    <cfRule type="expression" dxfId="1549" priority="5071">
      <formula>_xlfn.ISFORMULA(H349)=TRUE</formula>
    </cfRule>
    <cfRule type="duplicateValues" dxfId="1548" priority="1694"/>
    <cfRule type="duplicateValues" dxfId="1547" priority="1695"/>
    <cfRule type="duplicateValues" dxfId="1546" priority="5075"/>
    <cfRule type="duplicateValues" dxfId="1545" priority="5069"/>
    <cfRule type="duplicateValues" dxfId="1544" priority="5076"/>
    <cfRule type="duplicateValues" dxfId="1543" priority="5077"/>
    <cfRule type="expression" dxfId="1542" priority="5066">
      <formula>_xlfn.ISFORMULA(H349)=TRUE</formula>
    </cfRule>
    <cfRule type="duplicateValues" dxfId="1541" priority="925"/>
    <cfRule type="duplicateValues" dxfId="1540" priority="2135"/>
    <cfRule type="duplicateValues" dxfId="1539" priority="926"/>
    <cfRule type="duplicateValues" dxfId="1538" priority="5064"/>
    <cfRule type="duplicateValues" dxfId="1537" priority="6120"/>
    <cfRule type="duplicateValues" dxfId="1536" priority="6119"/>
  </conditionalFormatting>
  <conditionalFormatting sqref="H349:H353">
    <cfRule type="expression" dxfId="1535" priority="1264">
      <formula>_xlfn.ISFORMULA(H349)=TRUE</formula>
    </cfRule>
    <cfRule type="expression" dxfId="1534" priority="6614">
      <formula>_xlfn.ISFORMULA(H349)=TRUE</formula>
    </cfRule>
    <cfRule type="duplicateValues" dxfId="1533" priority="6617"/>
    <cfRule type="duplicateValues" dxfId="1532" priority="6618"/>
    <cfRule type="duplicateValues" dxfId="1531" priority="6619"/>
    <cfRule type="expression" dxfId="1530" priority="6620">
      <formula>_xlfn.ISFORMULA(H349)=TRUE</formula>
    </cfRule>
    <cfRule type="duplicateValues" dxfId="1529" priority="4734"/>
    <cfRule type="duplicateValues" dxfId="1528" priority="4735"/>
    <cfRule type="expression" dxfId="1527" priority="1270">
      <formula>_xlfn.ISFORMULA(H349)=TRUE</formula>
    </cfRule>
    <cfRule type="duplicateValues" dxfId="1526" priority="1269"/>
    <cfRule type="expression" dxfId="1525" priority="4661">
      <formula>_xlfn.ISFORMULA(H349)=TRUE</formula>
    </cfRule>
    <cfRule type="duplicateValues" dxfId="1524" priority="4660"/>
    <cfRule type="duplicateValues" dxfId="1523" priority="4659"/>
    <cfRule type="duplicateValues" dxfId="1522" priority="4658"/>
    <cfRule type="expression" dxfId="1521" priority="4655">
      <formula>_xlfn.ISFORMULA(H349)=TRUE</formula>
    </cfRule>
    <cfRule type="duplicateValues" dxfId="1520" priority="1268"/>
    <cfRule type="duplicateValues" dxfId="1519" priority="4736"/>
    <cfRule type="duplicateValues" dxfId="1518" priority="1267"/>
  </conditionalFormatting>
  <conditionalFormatting sqref="H349:H357">
    <cfRule type="duplicateValues" dxfId="1517" priority="1424"/>
    <cfRule type="duplicateValues" dxfId="1516" priority="1423"/>
    <cfRule type="duplicateValues" dxfId="1515" priority="1422"/>
    <cfRule type="expression" dxfId="1514" priority="1417">
      <formula>_xlfn.ISFORMULA(H349)=TRUE</formula>
    </cfRule>
    <cfRule type="expression" dxfId="1513" priority="6822">
      <formula>_xlfn.ISFORMULA(H349)=TRUE</formula>
    </cfRule>
    <cfRule type="duplicateValues" dxfId="1512" priority="6851"/>
    <cfRule type="duplicateValues" dxfId="1511" priority="6852"/>
    <cfRule type="duplicateValues" dxfId="1510" priority="6853"/>
    <cfRule type="duplicateValues" dxfId="1509" priority="5153"/>
    <cfRule type="duplicateValues" dxfId="1508" priority="5154"/>
    <cfRule type="duplicateValues" dxfId="1507" priority="5152"/>
  </conditionalFormatting>
  <conditionalFormatting sqref="H349:H358">
    <cfRule type="expression" dxfId="1506" priority="5061">
      <formula>_xlfn.ISFORMULA(H349)=TRUE</formula>
    </cfRule>
  </conditionalFormatting>
  <conditionalFormatting sqref="H350:H353">
    <cfRule type="expression" dxfId="1505" priority="6610">
      <formula>_xlfn.ISFORMULA(H350)=TRUE</formula>
    </cfRule>
  </conditionalFormatting>
  <conditionalFormatting sqref="H350:H356">
    <cfRule type="expression" dxfId="1504" priority="4648">
      <formula>_xlfn.ISFORMULA(H350)=TRUE</formula>
    </cfRule>
  </conditionalFormatting>
  <conditionalFormatting sqref="H352:H353">
    <cfRule type="duplicateValues" dxfId="1503" priority="4662"/>
    <cfRule type="expression" dxfId="1502" priority="1273">
      <formula>_xlfn.ISFORMULA(H352)=TRUE</formula>
    </cfRule>
    <cfRule type="duplicateValues" dxfId="1501" priority="1272"/>
    <cfRule type="expression" dxfId="1500" priority="4664">
      <formula>_xlfn.ISFORMULA(H352)=TRUE</formula>
    </cfRule>
    <cfRule type="duplicateValues" dxfId="1499" priority="1271"/>
    <cfRule type="expression" dxfId="1498" priority="6623">
      <formula>_xlfn.ISFORMULA(H352)=TRUE</formula>
    </cfRule>
    <cfRule type="duplicateValues" dxfId="1497" priority="6622"/>
    <cfRule type="duplicateValues" dxfId="1496" priority="6621"/>
    <cfRule type="duplicateValues" dxfId="1495" priority="4663"/>
  </conditionalFormatting>
  <conditionalFormatting sqref="H353">
    <cfRule type="duplicateValues" dxfId="1494" priority="6133"/>
    <cfRule type="duplicateValues" dxfId="1493" priority="939"/>
    <cfRule type="duplicateValues" dxfId="1492" priority="940"/>
    <cfRule type="duplicateValues" dxfId="1491" priority="941"/>
    <cfRule type="duplicateValues" dxfId="1490" priority="6134"/>
    <cfRule type="duplicateValues" dxfId="1489" priority="6135"/>
  </conditionalFormatting>
  <conditionalFormatting sqref="H353:H358">
    <cfRule type="expression" dxfId="1488" priority="5048">
      <formula>_xlfn.ISFORMULA(H353)=TRUE</formula>
    </cfRule>
    <cfRule type="duplicateValues" dxfId="1487" priority="5047"/>
    <cfRule type="duplicateValues" dxfId="1486" priority="5046"/>
    <cfRule type="expression" dxfId="1485" priority="5044">
      <formula>_xlfn.ISFORMULA(H353)=TRUE</formula>
    </cfRule>
    <cfRule type="duplicateValues" dxfId="1484" priority="5043"/>
    <cfRule type="duplicateValues" dxfId="1483" priority="5042"/>
    <cfRule type="duplicateValues" dxfId="1482" priority="5041"/>
    <cfRule type="duplicateValues" dxfId="1481" priority="5054"/>
    <cfRule type="duplicateValues" dxfId="1480" priority="5053"/>
    <cfRule type="duplicateValues" dxfId="1479" priority="5052"/>
    <cfRule type="duplicateValues" dxfId="1478" priority="5060"/>
    <cfRule type="duplicateValues" dxfId="1477" priority="5059"/>
    <cfRule type="expression" dxfId="1476" priority="5055">
      <formula>_xlfn.ISFORMULA(H353)=TRUE</formula>
    </cfRule>
  </conditionalFormatting>
  <conditionalFormatting sqref="H353:H369">
    <cfRule type="expression" dxfId="1475" priority="2159">
      <formula>_xlfn.ISFORMULA(H353)=TRUE</formula>
    </cfRule>
  </conditionalFormatting>
  <conditionalFormatting sqref="H354">
    <cfRule type="duplicateValues" dxfId="1474" priority="1299"/>
    <cfRule type="duplicateValues" dxfId="1473" priority="6786"/>
    <cfRule type="duplicateValues" dxfId="1472" priority="6785"/>
    <cfRule type="duplicateValues" dxfId="1471" priority="6679"/>
    <cfRule type="duplicateValues" dxfId="1470" priority="1297"/>
    <cfRule type="duplicateValues" dxfId="1469" priority="1298"/>
    <cfRule type="duplicateValues" dxfId="1468" priority="2030"/>
    <cfRule type="duplicateValues" dxfId="1467" priority="6677"/>
    <cfRule type="duplicateValues" dxfId="1466" priority="6678"/>
    <cfRule type="expression" dxfId="1465" priority="1394">
      <formula>_xlfn.ISFORMULA(H354)=TRUE</formula>
    </cfRule>
    <cfRule type="duplicateValues" dxfId="1464" priority="1393"/>
    <cfRule type="duplicateValues" dxfId="1463" priority="1392"/>
    <cfRule type="duplicateValues" dxfId="1462" priority="1391"/>
    <cfRule type="expression" dxfId="1461" priority="2032">
      <formula>_xlfn.ISFORMULA(H354)=TRUE</formula>
    </cfRule>
    <cfRule type="duplicateValues" dxfId="1460" priority="6821"/>
    <cfRule type="duplicateValues" dxfId="1459" priority="6820"/>
    <cfRule type="duplicateValues" dxfId="1458" priority="6819"/>
    <cfRule type="expression" dxfId="1457" priority="6788">
      <formula>_xlfn.ISFORMULA(H354)=TRUE</formula>
    </cfRule>
    <cfRule type="duplicateValues" dxfId="1456" priority="6787"/>
    <cfRule type="duplicateValues" dxfId="1455" priority="2029"/>
    <cfRule type="duplicateValues" dxfId="1454" priority="2031"/>
    <cfRule type="duplicateValues" dxfId="1453" priority="1414"/>
    <cfRule type="duplicateValues" dxfId="1452" priority="1415"/>
    <cfRule type="duplicateValues" dxfId="1451" priority="1416"/>
  </conditionalFormatting>
  <conditionalFormatting sqref="H354:H355">
    <cfRule type="expression" dxfId="1450" priority="4635">
      <formula>_xlfn.ISFORMULA(H354)=TRUE</formula>
    </cfRule>
    <cfRule type="duplicateValues" dxfId="1449" priority="4634"/>
    <cfRule type="duplicateValues" dxfId="1448" priority="4642"/>
    <cfRule type="duplicateValues" dxfId="1447" priority="4645"/>
    <cfRule type="duplicateValues" dxfId="1446" priority="4632"/>
    <cfRule type="expression" dxfId="1445" priority="4643">
      <formula>_xlfn.ISFORMULA(H354)=TRUE</formula>
    </cfRule>
    <cfRule type="duplicateValues" dxfId="1444" priority="4646"/>
    <cfRule type="duplicateValues" dxfId="1443" priority="4633"/>
    <cfRule type="duplicateValues" dxfId="1442" priority="4647"/>
    <cfRule type="duplicateValues" dxfId="1441" priority="4641"/>
  </conditionalFormatting>
  <conditionalFormatting sqref="H354:H357">
    <cfRule type="duplicateValues" dxfId="1440" priority="853"/>
    <cfRule type="expression" dxfId="1439" priority="6030">
      <formula>_xlfn.ISFORMULA(H354)=TRUE</formula>
    </cfRule>
    <cfRule type="duplicateValues" dxfId="1438" priority="6034"/>
    <cfRule type="duplicateValues" dxfId="1437" priority="6035"/>
    <cfRule type="duplicateValues" dxfId="1436" priority="6036"/>
    <cfRule type="expression" dxfId="1435" priority="6037">
      <formula>_xlfn.ISFORMULA(H354)=TRUE</formula>
    </cfRule>
    <cfRule type="duplicateValues" dxfId="1434" priority="6040"/>
    <cfRule type="duplicateValues" dxfId="1433" priority="6041"/>
    <cfRule type="duplicateValues" dxfId="1432" priority="4613"/>
    <cfRule type="expression" dxfId="1431" priority="4609">
      <formula>_xlfn.ISFORMULA(H354)=TRUE</formula>
    </cfRule>
    <cfRule type="duplicateValues" dxfId="1430" priority="4608"/>
    <cfRule type="duplicateValues" dxfId="1429" priority="4607"/>
    <cfRule type="expression" dxfId="1428" priority="4605">
      <formula>_xlfn.ISFORMULA(H354)=TRUE</formula>
    </cfRule>
    <cfRule type="duplicateValues" dxfId="1427" priority="4604"/>
    <cfRule type="duplicateValues" dxfId="1426" priority="4603"/>
    <cfRule type="expression" dxfId="1425" priority="4601">
      <formula>_xlfn.ISFORMULA(H354)=TRUE</formula>
    </cfRule>
    <cfRule type="duplicateValues" dxfId="1424" priority="4600"/>
    <cfRule type="duplicateValues" dxfId="1423" priority="4599"/>
    <cfRule type="expression" dxfId="1422" priority="4597">
      <formula>_xlfn.ISFORMULA(H354)=TRUE</formula>
    </cfRule>
    <cfRule type="duplicateValues" dxfId="1421" priority="4596"/>
    <cfRule type="expression" dxfId="1420" priority="6042">
      <formula>_xlfn.ISFORMULA(H354)=TRUE</formula>
    </cfRule>
    <cfRule type="duplicateValues" dxfId="1419" priority="4595"/>
    <cfRule type="duplicateValues" dxfId="1418" priority="4594"/>
    <cfRule type="duplicateValues" dxfId="1417" priority="6046"/>
    <cfRule type="duplicateValues" dxfId="1416" priority="6047"/>
    <cfRule type="duplicateValues" dxfId="1415" priority="6048"/>
    <cfRule type="expression" dxfId="1414" priority="6049">
      <formula>_xlfn.ISFORMULA(H354)=TRUE</formula>
    </cfRule>
    <cfRule type="duplicateValues" dxfId="1413" priority="6054"/>
    <cfRule type="duplicateValues" dxfId="1412" priority="1513"/>
    <cfRule type="duplicateValues" dxfId="1411" priority="1512"/>
    <cfRule type="duplicateValues" dxfId="1410" priority="834"/>
    <cfRule type="duplicateValues" dxfId="1409" priority="835"/>
    <cfRule type="expression" dxfId="1408" priority="836">
      <formula>_xlfn.ISFORMULA(H354)=TRUE</formula>
    </cfRule>
    <cfRule type="duplicateValues" dxfId="1407" priority="840"/>
    <cfRule type="duplicateValues" dxfId="1406" priority="841"/>
    <cfRule type="duplicateValues" dxfId="1405" priority="842"/>
    <cfRule type="expression" dxfId="1404" priority="843">
      <formula>_xlfn.ISFORMULA(H354)=TRUE</formula>
    </cfRule>
    <cfRule type="duplicateValues" dxfId="1403" priority="846"/>
    <cfRule type="duplicateValues" dxfId="1402" priority="847"/>
    <cfRule type="expression" dxfId="1401" priority="848">
      <formula>_xlfn.ISFORMULA(H354)=TRUE</formula>
    </cfRule>
    <cfRule type="duplicateValues" dxfId="1400" priority="852"/>
    <cfRule type="duplicateValues" dxfId="1399" priority="854"/>
    <cfRule type="expression" dxfId="1398" priority="855">
      <formula>_xlfn.ISFORMULA(H354)=TRUE</formula>
    </cfRule>
    <cfRule type="duplicateValues" dxfId="1397" priority="860"/>
    <cfRule type="duplicateValues" dxfId="1396" priority="861"/>
    <cfRule type="duplicateValues" dxfId="1395" priority="6055"/>
    <cfRule type="duplicateValues" dxfId="1394" priority="6056"/>
    <cfRule type="expression" dxfId="1393" priority="4616">
      <formula>_xlfn.ISFORMULA(H354)=TRUE</formula>
    </cfRule>
    <cfRule type="duplicateValues" dxfId="1392" priority="862"/>
    <cfRule type="duplicateValues" dxfId="1391" priority="6978"/>
    <cfRule type="duplicateValues" dxfId="1390" priority="6979"/>
    <cfRule type="duplicateValues" dxfId="1389" priority="6028"/>
    <cfRule type="duplicateValues" dxfId="1388" priority="6029"/>
    <cfRule type="duplicateValues" dxfId="1387" priority="5180"/>
    <cfRule type="duplicateValues" dxfId="1386" priority="5179"/>
    <cfRule type="expression" dxfId="1385" priority="4628">
      <formula>_xlfn.ISFORMULA(H354)=TRUE</formula>
    </cfRule>
    <cfRule type="duplicateValues" dxfId="1384" priority="4627"/>
    <cfRule type="duplicateValues" dxfId="1383" priority="4626"/>
    <cfRule type="duplicateValues" dxfId="1382" priority="4625"/>
    <cfRule type="expression" dxfId="1381" priority="4621">
      <formula>_xlfn.ISFORMULA(H354)=TRUE</formula>
    </cfRule>
    <cfRule type="duplicateValues" dxfId="1380" priority="4620"/>
    <cfRule type="duplicateValues" dxfId="1379" priority="4619"/>
    <cfRule type="duplicateValues" dxfId="1378" priority="4615"/>
    <cfRule type="duplicateValues" dxfId="1377" priority="4614"/>
  </conditionalFormatting>
  <conditionalFormatting sqref="H354:H358">
    <cfRule type="expression" dxfId="1376" priority="6024">
      <formula>_xlfn.ISFORMULA(H354)=TRUE</formula>
    </cfRule>
    <cfRule type="expression" dxfId="1375" priority="830">
      <formula>_xlfn.ISFORMULA(H354)=TRUE</formula>
    </cfRule>
    <cfRule type="expression" dxfId="1374" priority="4591">
      <formula>_xlfn.ISFORMULA(H354)=TRUE</formula>
    </cfRule>
  </conditionalFormatting>
  <conditionalFormatting sqref="H354:H369">
    <cfRule type="expression" dxfId="1373" priority="2037">
      <formula>_xlfn.ISFORMULA(H354)=TRUE</formula>
    </cfRule>
    <cfRule type="expression" dxfId="1372" priority="2051">
      <formula>_xlfn.ISFORMULA(H354)=TRUE</formula>
    </cfRule>
    <cfRule type="expression" dxfId="1371" priority="1399">
      <formula>_xlfn.ISFORMULA(H354)=TRUE</formula>
    </cfRule>
    <cfRule type="expression" dxfId="1370" priority="1409">
      <formula>_xlfn.ISFORMULA(H354)=TRUE</formula>
    </cfRule>
  </conditionalFormatting>
  <conditionalFormatting sqref="H354:H371">
    <cfRule type="expression" dxfId="1369" priority="6814">
      <formula>_xlfn.ISFORMULA(H354)=TRUE</formula>
    </cfRule>
    <cfRule type="expression" dxfId="1368" priority="6801">
      <formula>_xlfn.ISFORMULA(H354)=TRUE</formula>
    </cfRule>
  </conditionalFormatting>
  <conditionalFormatting sqref="H355 H370:H371">
    <cfRule type="duplicateValues" dxfId="1367" priority="6799"/>
    <cfRule type="duplicateValues" dxfId="1366" priority="6798"/>
    <cfRule type="duplicateValues" dxfId="1365" priority="6800"/>
  </conditionalFormatting>
  <conditionalFormatting sqref="H355 H371">
    <cfRule type="duplicateValues" dxfId="1364" priority="6692"/>
    <cfRule type="duplicateValues" dxfId="1363" priority="6691"/>
    <cfRule type="duplicateValues" dxfId="1362" priority="6690"/>
    <cfRule type="expression" dxfId="1361" priority="6693">
      <formula>_xlfn.ISFORMULA(H355)=TRUE</formula>
    </cfRule>
  </conditionalFormatting>
  <conditionalFormatting sqref="H355">
    <cfRule type="duplicateValues" dxfId="1360" priority="1303"/>
    <cfRule type="duplicateValues" dxfId="1359" priority="2034"/>
    <cfRule type="duplicateValues" dxfId="1358" priority="2035"/>
    <cfRule type="duplicateValues" dxfId="1357" priority="2036"/>
    <cfRule type="duplicateValues" dxfId="1356" priority="1302"/>
    <cfRule type="expression" dxfId="1355" priority="1305">
      <formula>_xlfn.ISFORMULA(H355)=TRUE</formula>
    </cfRule>
    <cfRule type="duplicateValues" dxfId="1354" priority="1304"/>
    <cfRule type="duplicateValues" dxfId="1353" priority="1396"/>
    <cfRule type="duplicateValues" dxfId="1352" priority="1397"/>
    <cfRule type="duplicateValues" dxfId="1351" priority="1398"/>
  </conditionalFormatting>
  <conditionalFormatting sqref="H355:H364">
    <cfRule type="duplicateValues" dxfId="1350" priority="2158"/>
    <cfRule type="duplicateValues" dxfId="1349" priority="2157"/>
    <cfRule type="duplicateValues" dxfId="1348" priority="2156"/>
  </conditionalFormatting>
  <conditionalFormatting sqref="H355:H369">
    <cfRule type="duplicateValues" dxfId="1347" priority="2048"/>
    <cfRule type="duplicateValues" dxfId="1346" priority="1406"/>
    <cfRule type="duplicateValues" dxfId="1345" priority="2049"/>
    <cfRule type="duplicateValues" dxfId="1344" priority="2050"/>
    <cfRule type="duplicateValues" dxfId="1343" priority="1408"/>
    <cfRule type="duplicateValues" dxfId="1342" priority="1407"/>
  </conditionalFormatting>
  <conditionalFormatting sqref="H355:H371">
    <cfRule type="duplicateValues" dxfId="1341" priority="6811"/>
    <cfRule type="duplicateValues" dxfId="1340" priority="6812"/>
    <cfRule type="duplicateValues" dxfId="1339" priority="6813"/>
  </conditionalFormatting>
  <conditionalFormatting sqref="H356:H359">
    <cfRule type="duplicateValues" dxfId="1338" priority="1249"/>
    <cfRule type="duplicateValues" dxfId="1337" priority="1248"/>
    <cfRule type="duplicateValues" dxfId="1336" priority="1900"/>
    <cfRule type="duplicateValues" dxfId="1335" priority="1901"/>
    <cfRule type="duplicateValues" dxfId="1334" priority="6711"/>
    <cfRule type="duplicateValues" dxfId="1333" priority="1322"/>
    <cfRule type="duplicateValues" dxfId="1332" priority="1323"/>
    <cfRule type="duplicateValues" dxfId="1331" priority="6710"/>
    <cfRule type="duplicateValues" dxfId="1330" priority="6598"/>
    <cfRule type="duplicateValues" dxfId="1329" priority="6599"/>
  </conditionalFormatting>
  <conditionalFormatting sqref="H356:H360">
    <cfRule type="expression" dxfId="1328" priority="1902">
      <formula>_xlfn.ISFORMULA(H356)=TRUE</formula>
    </cfRule>
    <cfRule type="expression" dxfId="1327" priority="1908">
      <formula>_xlfn.ISFORMULA(H356)=TRUE</formula>
    </cfRule>
    <cfRule type="expression" dxfId="1326" priority="6718">
      <formula>_xlfn.ISFORMULA(H356)=TRUE</formula>
    </cfRule>
    <cfRule type="expression" dxfId="1325" priority="6712">
      <formula>_xlfn.ISFORMULA(H356)=TRUE</formula>
    </cfRule>
    <cfRule type="expression" dxfId="1324" priority="1324">
      <formula>_xlfn.ISFORMULA(H356)=TRUE</formula>
    </cfRule>
    <cfRule type="expression" dxfId="1323" priority="1250">
      <formula>_xlfn.ISFORMULA(H356)=TRUE</formula>
    </cfRule>
    <cfRule type="expression" dxfId="1322" priority="1245">
      <formula>_xlfn.ISFORMULA(H356)=TRUE</formula>
    </cfRule>
    <cfRule type="duplicateValues" dxfId="1321" priority="1244"/>
    <cfRule type="duplicateValues" dxfId="1320" priority="1243"/>
    <cfRule type="expression" dxfId="1319" priority="1241">
      <formula>_xlfn.ISFORMULA(H356)=TRUE</formula>
    </cfRule>
    <cfRule type="expression" dxfId="1318" priority="1330">
      <formula>_xlfn.ISFORMULA(H356)=TRUE</formula>
    </cfRule>
    <cfRule type="expression" dxfId="1317" priority="6600">
      <formula>_xlfn.ISFORMULA(H356)=TRUE</formula>
    </cfRule>
    <cfRule type="duplicateValues" dxfId="1316" priority="1240"/>
    <cfRule type="duplicateValues" dxfId="1315" priority="6588"/>
    <cfRule type="duplicateValues" dxfId="1314" priority="6589"/>
    <cfRule type="duplicateValues" dxfId="1313" priority="6590"/>
    <cfRule type="expression" dxfId="1312" priority="6591">
      <formula>_xlfn.ISFORMULA(H356)=TRUE</formula>
    </cfRule>
    <cfRule type="duplicateValues" dxfId="1311" priority="6593"/>
    <cfRule type="duplicateValues" dxfId="1310" priority="6594"/>
    <cfRule type="expression" dxfId="1309" priority="6595">
      <formula>_xlfn.ISFORMULA(H356)=TRUE</formula>
    </cfRule>
    <cfRule type="duplicateValues" dxfId="1308" priority="1239"/>
    <cfRule type="duplicateValues" dxfId="1307" priority="1238"/>
  </conditionalFormatting>
  <conditionalFormatting sqref="H356:H364">
    <cfRule type="expression" dxfId="1306" priority="1236">
      <formula>_xlfn.ISFORMULA(H356)=TRUE</formula>
    </cfRule>
    <cfRule type="expression" dxfId="1305" priority="6586">
      <formula>_xlfn.ISFORMULA(H356)=TRUE</formula>
    </cfRule>
  </conditionalFormatting>
  <conditionalFormatting sqref="H356:H365">
    <cfRule type="duplicateValues" dxfId="1304" priority="2027"/>
    <cfRule type="duplicateValues" dxfId="1303" priority="2026"/>
    <cfRule type="duplicateValues" dxfId="1302" priority="1382"/>
    <cfRule type="expression" dxfId="1301" priority="6776">
      <formula>_xlfn.ISFORMULA(H356)=TRUE</formula>
    </cfRule>
    <cfRule type="expression" dxfId="1300" priority="2023">
      <formula>_xlfn.ISFORMULA(H356)=TRUE</formula>
    </cfRule>
    <cfRule type="duplicateValues" dxfId="1299" priority="2022"/>
    <cfRule type="expression" dxfId="1298" priority="1390">
      <formula>_xlfn.ISFORMULA(H356)=TRUE</formula>
    </cfRule>
    <cfRule type="duplicateValues" dxfId="1297" priority="6775"/>
    <cfRule type="duplicateValues" dxfId="1296" priority="6774"/>
    <cfRule type="duplicateValues" dxfId="1295" priority="6773"/>
    <cfRule type="duplicateValues" dxfId="1294" priority="1384"/>
    <cfRule type="duplicateValues" dxfId="1293" priority="2021"/>
    <cfRule type="duplicateValues" dxfId="1292" priority="2020"/>
    <cfRule type="duplicateValues" dxfId="1291" priority="1388"/>
    <cfRule type="duplicateValues" dxfId="1290" priority="1389"/>
    <cfRule type="expression" dxfId="1289" priority="1385">
      <formula>_xlfn.ISFORMULA(H356)=TRUE</formula>
    </cfRule>
    <cfRule type="duplicateValues" dxfId="1288" priority="6780"/>
    <cfRule type="expression" dxfId="1287" priority="6781">
      <formula>_xlfn.ISFORMULA(H356)=TRUE</formula>
    </cfRule>
    <cfRule type="duplicateValues" dxfId="1286" priority="6779"/>
    <cfRule type="expression" dxfId="1285" priority="2028">
      <formula>_xlfn.ISFORMULA(H356)=TRUE</formula>
    </cfRule>
    <cfRule type="duplicateValues" dxfId="1284" priority="1383"/>
  </conditionalFormatting>
  <conditionalFormatting sqref="H356:H369">
    <cfRule type="expression" dxfId="1283" priority="1379">
      <formula>_xlfn.ISFORMULA(H356)=TRUE</formula>
    </cfRule>
    <cfRule type="expression" dxfId="1282" priority="2017">
      <formula>_xlfn.ISFORMULA(H356)=TRUE</formula>
    </cfRule>
    <cfRule type="expression" dxfId="1281" priority="1891">
      <formula>_xlfn.ISFORMULA(H356)=TRUE</formula>
    </cfRule>
    <cfRule type="expression" dxfId="1280" priority="1313">
      <formula>_xlfn.ISFORMULA(H356)=TRUE</formula>
    </cfRule>
  </conditionalFormatting>
  <conditionalFormatting sqref="H356:H370">
    <cfRule type="expression" dxfId="1279" priority="6701">
      <formula>_xlfn.ISFORMULA(H356)=TRUE</formula>
    </cfRule>
  </conditionalFormatting>
  <conditionalFormatting sqref="H356:H371">
    <cfRule type="expression" dxfId="1278" priority="6770">
      <formula>_xlfn.ISFORMULA(H356)=TRUE</formula>
    </cfRule>
  </conditionalFormatting>
  <conditionalFormatting sqref="H358">
    <cfRule type="duplicateValues" dxfId="1277" priority="5999"/>
    <cfRule type="expression" dxfId="1276" priority="6000">
      <formula>_xlfn.ISFORMULA(H358)=TRUE</formula>
    </cfRule>
    <cfRule type="duplicateValues" dxfId="1275" priority="6004"/>
    <cfRule type="duplicateValues" dxfId="1274" priority="6005"/>
    <cfRule type="duplicateValues" dxfId="1273" priority="6006"/>
    <cfRule type="expression" dxfId="1272" priority="6007">
      <formula>_xlfn.ISFORMULA(H358)=TRUE</formula>
    </cfRule>
    <cfRule type="duplicateValues" dxfId="1271" priority="6009"/>
    <cfRule type="duplicateValues" dxfId="1270" priority="6010"/>
    <cfRule type="expression" dxfId="1269" priority="6011">
      <formula>_xlfn.ISFORMULA(H358)=TRUE</formula>
    </cfRule>
    <cfRule type="duplicateValues" dxfId="1268" priority="6014"/>
    <cfRule type="duplicateValues" dxfId="1267" priority="6015"/>
    <cfRule type="duplicateValues" dxfId="1266" priority="6016"/>
    <cfRule type="expression" dxfId="1265" priority="6017">
      <formula>_xlfn.ISFORMULA(H358)=TRUE</formula>
    </cfRule>
    <cfRule type="duplicateValues" dxfId="1264" priority="6021"/>
    <cfRule type="duplicateValues" dxfId="1263" priority="6022"/>
    <cfRule type="duplicateValues" dxfId="1262" priority="6023"/>
    <cfRule type="duplicateValues" dxfId="1261" priority="4584"/>
    <cfRule type="duplicateValues" dxfId="1260" priority="805"/>
    <cfRule type="expression" dxfId="1259" priority="806">
      <formula>_xlfn.ISFORMULA(H358)=TRUE</formula>
    </cfRule>
    <cfRule type="duplicateValues" dxfId="1258" priority="810"/>
    <cfRule type="duplicateValues" dxfId="1257" priority="811"/>
    <cfRule type="duplicateValues" dxfId="1256" priority="812"/>
    <cfRule type="expression" dxfId="1255" priority="813">
      <formula>_xlfn.ISFORMULA(H358)=TRUE</formula>
    </cfRule>
    <cfRule type="duplicateValues" dxfId="1254" priority="815"/>
    <cfRule type="duplicateValues" dxfId="1253" priority="816"/>
    <cfRule type="expression" dxfId="1252" priority="817">
      <formula>_xlfn.ISFORMULA(H358)=TRUE</formula>
    </cfRule>
    <cfRule type="duplicateValues" dxfId="1251" priority="820"/>
    <cfRule type="duplicateValues" dxfId="1250" priority="821"/>
    <cfRule type="duplicateValues" dxfId="1249" priority="822"/>
    <cfRule type="expression" dxfId="1248" priority="823">
      <formula>_xlfn.ISFORMULA(H358)=TRUE</formula>
    </cfRule>
    <cfRule type="duplicateValues" dxfId="1247" priority="4590"/>
    <cfRule type="duplicateValues" dxfId="1246" priority="4589"/>
    <cfRule type="duplicateValues" dxfId="1245" priority="4588"/>
    <cfRule type="expression" dxfId="1244" priority="4585">
      <formula>_xlfn.ISFORMULA(H358)=TRUE</formula>
    </cfRule>
    <cfRule type="duplicateValues" dxfId="1243" priority="4583"/>
    <cfRule type="expression" dxfId="1242" priority="4581">
      <formula>_xlfn.ISFORMULA(H358)=TRUE</formula>
    </cfRule>
    <cfRule type="duplicateValues" dxfId="1241" priority="4580"/>
    <cfRule type="duplicateValues" dxfId="1240" priority="4579"/>
    <cfRule type="duplicateValues" dxfId="1239" priority="4578"/>
    <cfRule type="expression" dxfId="1238" priority="4574">
      <formula>_xlfn.ISFORMULA(H358)=TRUE</formula>
    </cfRule>
    <cfRule type="duplicateValues" dxfId="1237" priority="4573"/>
    <cfRule type="duplicateValues" dxfId="1236" priority="4572"/>
    <cfRule type="duplicateValues" dxfId="1235" priority="4571"/>
    <cfRule type="expression" dxfId="1234" priority="4567">
      <formula>_xlfn.ISFORMULA(H358)=TRUE</formula>
    </cfRule>
    <cfRule type="duplicateValues" dxfId="1233" priority="4566"/>
    <cfRule type="duplicateValues" dxfId="1232" priority="4565"/>
    <cfRule type="expression" dxfId="1231" priority="4564">
      <formula>_xlfn.ISFORMULA(H358)=TRUE</formula>
    </cfRule>
    <cfRule type="duplicateValues" dxfId="1230" priority="4563"/>
    <cfRule type="duplicateValues" dxfId="1229" priority="4562"/>
    <cfRule type="duplicateValues" dxfId="1228" priority="4561"/>
    <cfRule type="expression" dxfId="1227" priority="4557">
      <formula>_xlfn.ISFORMULA(H358)=TRUE</formula>
    </cfRule>
    <cfRule type="duplicateValues" dxfId="1226" priority="4556"/>
    <cfRule type="duplicateValues" dxfId="1225" priority="4555"/>
    <cfRule type="expression" dxfId="1224" priority="4553">
      <formula>_xlfn.ISFORMULA(H358)=TRUE</formula>
    </cfRule>
    <cfRule type="duplicateValues" dxfId="1223" priority="4552"/>
    <cfRule type="duplicateValues" dxfId="1222" priority="827"/>
    <cfRule type="duplicateValues" dxfId="1221" priority="828"/>
    <cfRule type="duplicateValues" dxfId="1220" priority="829"/>
    <cfRule type="duplicateValues" dxfId="1219" priority="4551"/>
    <cfRule type="expression" dxfId="1218" priority="800">
      <formula>_xlfn.ISFORMULA(H358)=TRUE</formula>
    </cfRule>
    <cfRule type="duplicateValues" dxfId="1217" priority="803"/>
    <cfRule type="duplicateValues" dxfId="1216" priority="4550"/>
    <cfRule type="expression" dxfId="1215" priority="4549">
      <formula>_xlfn.ISFORMULA(H358)=TRUE</formula>
    </cfRule>
    <cfRule type="duplicateValues" dxfId="1214" priority="804"/>
    <cfRule type="duplicateValues" dxfId="1213" priority="5997"/>
    <cfRule type="duplicateValues" dxfId="1212" priority="5998"/>
  </conditionalFormatting>
  <conditionalFormatting sqref="H358:H359">
    <cfRule type="duplicateValues" dxfId="1211" priority="5205"/>
    <cfRule type="duplicateValues" dxfId="1210" priority="5206"/>
    <cfRule type="duplicateValues" dxfId="1209" priority="5204"/>
  </conditionalFormatting>
  <conditionalFormatting sqref="H358:H375">
    <cfRule type="expression" dxfId="1208" priority="5199">
      <formula>_xlfn.ISFORMULA(H358)=TRUE</formula>
    </cfRule>
  </conditionalFormatting>
  <conditionalFormatting sqref="H359">
    <cfRule type="duplicateValues" dxfId="1207" priority="5122"/>
    <cfRule type="duplicateValues" dxfId="1206" priority="5146"/>
    <cfRule type="duplicateValues" dxfId="1205" priority="5121"/>
    <cfRule type="duplicateValues" dxfId="1204" priority="5145"/>
    <cfRule type="duplicateValues" dxfId="1203" priority="5144"/>
    <cfRule type="expression" dxfId="1202" priority="5124">
      <formula>_xlfn.ISFORMULA(H359)=TRUE</formula>
    </cfRule>
    <cfRule type="expression" dxfId="1201" priority="5147">
      <formula>_xlfn.ISFORMULA(H359)=TRUE</formula>
    </cfRule>
    <cfRule type="duplicateValues" dxfId="1200" priority="5123"/>
  </conditionalFormatting>
  <conditionalFormatting sqref="H359:H374">
    <cfRule type="expression" dxfId="1199" priority="5139">
      <formula>_xlfn.ISFORMULA(H359)=TRUE</formula>
    </cfRule>
    <cfRule type="expression" dxfId="1198" priority="5129">
      <formula>_xlfn.ISFORMULA(H359)=TRUE</formula>
    </cfRule>
  </conditionalFormatting>
  <conditionalFormatting sqref="H360">
    <cfRule type="expression" dxfId="1197" priority="1256">
      <formula>_xlfn.ISFORMULA(H360)=TRUE</formula>
    </cfRule>
    <cfRule type="duplicateValues" dxfId="1196" priority="6715"/>
    <cfRule type="duplicateValues" dxfId="1195" priority="1905"/>
    <cfRule type="duplicateValues" dxfId="1194" priority="1906"/>
    <cfRule type="duplicateValues" dxfId="1193" priority="1907"/>
    <cfRule type="duplicateValues" dxfId="1192" priority="1258"/>
    <cfRule type="duplicateValues" dxfId="1191" priority="6608"/>
    <cfRule type="duplicateValues" dxfId="1190" priority="6717"/>
    <cfRule type="duplicateValues" dxfId="1189" priority="5126"/>
    <cfRule type="duplicateValues" dxfId="1188" priority="5127"/>
    <cfRule type="duplicateValues" dxfId="1187" priority="1327"/>
    <cfRule type="duplicateValues" dxfId="1186" priority="1328"/>
    <cfRule type="duplicateValues" dxfId="1185" priority="1257"/>
    <cfRule type="duplicateValues" dxfId="1184" priority="1329"/>
    <cfRule type="duplicateValues" dxfId="1183" priority="5128"/>
    <cfRule type="duplicateValues" dxfId="1182" priority="6603"/>
    <cfRule type="duplicateValues" dxfId="1181" priority="6604"/>
    <cfRule type="duplicateValues" dxfId="1180" priority="6605"/>
    <cfRule type="expression" dxfId="1179" priority="6606">
      <formula>_xlfn.ISFORMULA(H360)=TRUE</formula>
    </cfRule>
    <cfRule type="duplicateValues" dxfId="1178" priority="6607"/>
    <cfRule type="duplicateValues" dxfId="1177" priority="6716"/>
    <cfRule type="duplicateValues" dxfId="1176" priority="1253"/>
    <cfRule type="duplicateValues" dxfId="1175" priority="1254"/>
    <cfRule type="duplicateValues" dxfId="1174" priority="1255"/>
  </conditionalFormatting>
  <conditionalFormatting sqref="H360:H369">
    <cfRule type="expression" dxfId="1173" priority="1259">
      <formula>_xlfn.ISFORMULA(H360)=TRUE</formula>
    </cfRule>
    <cfRule type="expression" dxfId="1172" priority="6609">
      <formula>_xlfn.ISFORMULA(H360)=TRUE</formula>
    </cfRule>
    <cfRule type="duplicateValues" dxfId="1171" priority="5198"/>
    <cfRule type="duplicateValues" dxfId="1170" priority="5197"/>
    <cfRule type="duplicateValues" dxfId="1169" priority="5196"/>
  </conditionalFormatting>
  <conditionalFormatting sqref="H360:H374">
    <cfRule type="duplicateValues" dxfId="1168" priority="5136"/>
    <cfRule type="duplicateValues" dxfId="1167" priority="5137"/>
    <cfRule type="duplicateValues" dxfId="1166" priority="5138"/>
  </conditionalFormatting>
  <conditionalFormatting sqref="H361:H364">
    <cfRule type="duplicateValues" dxfId="1165" priority="4958"/>
    <cfRule type="duplicateValues" dxfId="1164" priority="4957"/>
    <cfRule type="expression" dxfId="1163" priority="4954">
      <formula>_xlfn.ISFORMULA(H361)=TRUE</formula>
    </cfRule>
    <cfRule type="duplicateValues" dxfId="1162" priority="4964"/>
    <cfRule type="duplicateValues" dxfId="1161" priority="791"/>
    <cfRule type="duplicateValues" dxfId="1160" priority="792"/>
    <cfRule type="duplicateValues" dxfId="1159" priority="4953"/>
    <cfRule type="duplicateValues" dxfId="1158" priority="4952"/>
    <cfRule type="duplicateValues" dxfId="1157" priority="4951"/>
    <cfRule type="duplicateValues" dxfId="1156" priority="1234"/>
    <cfRule type="duplicateValues" dxfId="1155" priority="1235"/>
    <cfRule type="duplicateValues" dxfId="1154" priority="4965"/>
    <cfRule type="duplicateValues" dxfId="1153" priority="790"/>
    <cfRule type="expression" dxfId="1152" priority="4966">
      <formula>_xlfn.ISFORMULA(H361)=TRUE</formula>
    </cfRule>
    <cfRule type="duplicateValues" dxfId="1151" priority="4968"/>
    <cfRule type="duplicateValues" dxfId="1150" priority="4969"/>
    <cfRule type="duplicateValues" dxfId="1149" priority="5986"/>
    <cfRule type="duplicateValues" dxfId="1148" priority="5985"/>
    <cfRule type="duplicateValues" dxfId="1147" priority="5935"/>
    <cfRule type="duplicateValues" dxfId="1146" priority="5934"/>
    <cfRule type="duplicateValues" dxfId="1145" priority="5933"/>
    <cfRule type="duplicateValues" dxfId="1144" priority="1229"/>
    <cfRule type="expression" dxfId="1143" priority="1225">
      <formula>_xlfn.ISFORMULA(H361)=TRUE</formula>
    </cfRule>
    <cfRule type="duplicateValues" dxfId="1142" priority="1224"/>
    <cfRule type="duplicateValues" dxfId="1141" priority="1223"/>
    <cfRule type="duplicateValues" dxfId="1140" priority="5029"/>
    <cfRule type="expression" dxfId="1139" priority="1232">
      <formula>_xlfn.ISFORMULA(H361)=TRUE</formula>
    </cfRule>
    <cfRule type="duplicateValues" dxfId="1138" priority="4501"/>
    <cfRule type="duplicateValues" dxfId="1137" priority="4498"/>
    <cfRule type="duplicateValues" dxfId="1136" priority="1230"/>
    <cfRule type="duplicateValues" dxfId="1135" priority="4963"/>
    <cfRule type="expression" dxfId="1134" priority="4959">
      <formula>_xlfn.ISFORMULA(H361)=TRUE</formula>
    </cfRule>
    <cfRule type="duplicateValues" dxfId="1133" priority="4497"/>
    <cfRule type="duplicateValues" dxfId="1132" priority="4496"/>
    <cfRule type="expression" dxfId="1131" priority="4492">
      <formula>_xlfn.ISFORMULA(H361)=TRUE</formula>
    </cfRule>
    <cfRule type="duplicateValues" dxfId="1130" priority="4491"/>
    <cfRule type="duplicateValues" dxfId="1129" priority="4490"/>
    <cfRule type="duplicateValues" dxfId="1128" priority="6567"/>
    <cfRule type="expression" dxfId="1127" priority="4487">
      <formula>_xlfn.ISFORMULA(H361)=TRUE</formula>
    </cfRule>
    <cfRule type="duplicateValues" dxfId="1126" priority="6569"/>
    <cfRule type="expression" dxfId="1125" priority="6570">
      <formula>_xlfn.ISFORMULA(H361)=TRUE</formula>
    </cfRule>
    <cfRule type="duplicateValues" dxfId="1124" priority="6573"/>
    <cfRule type="duplicateValues" dxfId="1123" priority="6574"/>
    <cfRule type="expression" dxfId="1122" priority="6575">
      <formula>_xlfn.ISFORMULA(H361)=TRUE</formula>
    </cfRule>
    <cfRule type="duplicateValues" dxfId="1121" priority="6579"/>
    <cfRule type="duplicateValues" dxfId="1120" priority="6580"/>
    <cfRule type="duplicateValues" dxfId="1119" priority="6581"/>
    <cfRule type="expression" dxfId="1118" priority="6582">
      <formula>_xlfn.ISFORMULA(H361)=TRUE</formula>
    </cfRule>
    <cfRule type="duplicateValues" dxfId="1117" priority="6584"/>
    <cfRule type="duplicateValues" dxfId="1116" priority="6585"/>
    <cfRule type="duplicateValues" dxfId="1115" priority="4486"/>
    <cfRule type="duplicateValues" dxfId="1114" priority="4485"/>
    <cfRule type="expression" dxfId="1113" priority="4499">
      <formula>_xlfn.ISFORMULA(H361)=TRUE</formula>
    </cfRule>
    <cfRule type="duplicateValues" dxfId="1112" priority="4484"/>
    <cfRule type="duplicateValues" dxfId="1111" priority="739"/>
    <cfRule type="duplicateValues" dxfId="1110" priority="740"/>
    <cfRule type="duplicateValues" dxfId="1109" priority="741"/>
    <cfRule type="expression" dxfId="1108" priority="1220">
      <formula>_xlfn.ISFORMULA(H361)=TRUE</formula>
    </cfRule>
    <cfRule type="duplicateValues" dxfId="1107" priority="1219"/>
    <cfRule type="duplicateValues" dxfId="1106" priority="1218"/>
    <cfRule type="duplicateValues" dxfId="1105" priority="1217"/>
    <cfRule type="expression" dxfId="1104" priority="4970">
      <formula>_xlfn.ISFORMULA(H361)=TRUE</formula>
    </cfRule>
    <cfRule type="duplicateValues" dxfId="1103" priority="4502"/>
    <cfRule type="duplicateValues" dxfId="1102" priority="5984"/>
    <cfRule type="duplicateValues" dxfId="1101" priority="5030"/>
    <cfRule type="duplicateValues" dxfId="1100" priority="1231"/>
    <cfRule type="duplicateValues" dxfId="1099" priority="6568"/>
  </conditionalFormatting>
  <conditionalFormatting sqref="H361:H365">
    <cfRule type="duplicateValues" dxfId="1098" priority="5963"/>
    <cfRule type="duplicateValues" dxfId="1097" priority="5964"/>
    <cfRule type="expression" dxfId="1096" priority="5965">
      <formula>_xlfn.ISFORMULA(H361)=TRUE</formula>
    </cfRule>
    <cfRule type="duplicateValues" dxfId="1095" priority="5967"/>
    <cfRule type="duplicateValues" dxfId="1094" priority="5968"/>
    <cfRule type="duplicateValues" dxfId="1093" priority="4525"/>
    <cfRule type="duplicateValues" dxfId="1092" priority="774"/>
    <cfRule type="duplicateValues" dxfId="1091" priority="773"/>
    <cfRule type="expression" dxfId="1090" priority="771">
      <formula>_xlfn.ISFORMULA(H361)=TRUE</formula>
    </cfRule>
    <cfRule type="duplicateValues" dxfId="1089" priority="770"/>
    <cfRule type="duplicateValues" dxfId="1088" priority="769"/>
    <cfRule type="duplicateValues" dxfId="1087" priority="768"/>
    <cfRule type="duplicateValues" dxfId="1086" priority="723"/>
    <cfRule type="duplicateValues" dxfId="1085" priority="722"/>
    <cfRule type="expression" dxfId="1084" priority="720">
      <formula>_xlfn.ISFORMULA(H361)=TRUE</formula>
    </cfRule>
    <cfRule type="duplicateValues" dxfId="1083" priority="719"/>
    <cfRule type="duplicateValues" dxfId="1082" priority="718"/>
    <cfRule type="duplicateValues" dxfId="1081" priority="717"/>
    <cfRule type="expression" dxfId="1080" priority="5037">
      <formula>_xlfn.ISFORMULA(H361)=TRUE</formula>
    </cfRule>
    <cfRule type="expression" dxfId="1079" priority="5031">
      <formula>_xlfn.ISFORMULA(H361)=TRUE</formula>
    </cfRule>
    <cfRule type="duplicateValues" dxfId="1078" priority="4879"/>
    <cfRule type="duplicateValues" dxfId="1077" priority="4878"/>
    <cfRule type="duplicateValues" dxfId="1076" priority="4877"/>
    <cfRule type="expression" dxfId="1075" priority="4872">
      <formula>_xlfn.ISFORMULA(H361)=TRUE</formula>
    </cfRule>
    <cfRule type="duplicateValues" dxfId="1074" priority="4871"/>
    <cfRule type="duplicateValues" dxfId="1073" priority="4870"/>
    <cfRule type="duplicateValues" dxfId="1072" priority="4869"/>
    <cfRule type="expression" dxfId="1071" priority="4531">
      <formula>_xlfn.ISFORMULA(H361)=TRUE</formula>
    </cfRule>
    <cfRule type="duplicateValues" dxfId="1070" priority="4530"/>
    <cfRule type="duplicateValues" dxfId="1069" priority="4529"/>
    <cfRule type="expression" dxfId="1068" priority="4527">
      <formula>_xlfn.ISFORMULA(H361)=TRUE</formula>
    </cfRule>
    <cfRule type="duplicateValues" dxfId="1067" priority="4526"/>
    <cfRule type="duplicateValues" dxfId="1066" priority="4524"/>
    <cfRule type="duplicateValues" dxfId="1065" priority="5911"/>
    <cfRule type="duplicateValues" dxfId="1064" priority="5912"/>
    <cfRule type="duplicateValues" dxfId="1063" priority="5913"/>
    <cfRule type="expression" dxfId="1062" priority="5914">
      <formula>_xlfn.ISFORMULA(H361)=TRUE</formula>
    </cfRule>
    <cfRule type="duplicateValues" dxfId="1061" priority="5916"/>
    <cfRule type="duplicateValues" dxfId="1060" priority="5917"/>
    <cfRule type="duplicateValues" dxfId="1059" priority="5962"/>
  </conditionalFormatting>
  <conditionalFormatting sqref="H361:H369">
    <cfRule type="duplicateValues" dxfId="1058" priority="1311"/>
    <cfRule type="duplicateValues" dxfId="1057" priority="755"/>
    <cfRule type="expression" dxfId="1056" priority="715">
      <formula>_xlfn.ISFORMULA(H361)=TRUE</formula>
    </cfRule>
    <cfRule type="duplicateValues" dxfId="1055" priority="5948"/>
    <cfRule type="duplicateValues" dxfId="1054" priority="5947"/>
    <cfRule type="expression" dxfId="1053" priority="705">
      <formula>_xlfn.ISFORMULA(H361)=TRUE</formula>
    </cfRule>
    <cfRule type="duplicateValues" dxfId="1052" priority="704"/>
    <cfRule type="duplicateValues" dxfId="1051" priority="703"/>
    <cfRule type="duplicateValues" dxfId="1050" priority="702"/>
    <cfRule type="expression" dxfId="1049" priority="698">
      <formula>_xlfn.ISFORMULA(H361)=TRUE</formula>
    </cfRule>
    <cfRule type="expression" dxfId="1048" priority="5960">
      <formula>_xlfn.ISFORMULA(H361)=TRUE</formula>
    </cfRule>
    <cfRule type="expression" dxfId="1047" priority="5936">
      <formula>_xlfn.ISFORMULA(H361)=TRUE</formula>
    </cfRule>
    <cfRule type="expression" dxfId="1046" priority="5926">
      <formula>_xlfn.ISFORMULA(H361)=TRUE</formula>
    </cfRule>
    <cfRule type="duplicateValues" dxfId="1045" priority="5925"/>
    <cfRule type="duplicateValues" dxfId="1044" priority="5924"/>
    <cfRule type="duplicateValues" dxfId="1043" priority="780"/>
    <cfRule type="expression" dxfId="1042" priority="775">
      <formula>_xlfn.ISFORMULA(H361)=TRUE</formula>
    </cfRule>
    <cfRule type="expression" dxfId="1041" priority="766">
      <formula>_xlfn.ISFORMULA(H361)=TRUE</formula>
    </cfRule>
    <cfRule type="expression" dxfId="1040" priority="724">
      <formula>_xlfn.ISFORMULA(H361)=TRUE</formula>
    </cfRule>
    <cfRule type="expression" dxfId="1039" priority="5950">
      <formula>_xlfn.ISFORMULA(H361)=TRUE</formula>
    </cfRule>
    <cfRule type="duplicateValues" dxfId="1038" priority="730"/>
    <cfRule type="duplicateValues" dxfId="1037" priority="731"/>
    <cfRule type="expression" dxfId="1036" priority="732">
      <formula>_xlfn.ISFORMULA(H361)=TRUE</formula>
    </cfRule>
    <cfRule type="duplicateValues" dxfId="1035" priority="1310"/>
    <cfRule type="duplicateValues" dxfId="1034" priority="782"/>
    <cfRule type="duplicateValues" dxfId="1033" priority="1312"/>
    <cfRule type="duplicateValues" dxfId="1032" priority="5923"/>
    <cfRule type="expression" dxfId="1031" priority="5918">
      <formula>_xlfn.ISFORMULA(H361)=TRUE</formula>
    </cfRule>
    <cfRule type="duplicateValues" dxfId="1030" priority="1888"/>
    <cfRule type="duplicateValues" dxfId="1029" priority="1889"/>
    <cfRule type="expression" dxfId="1028" priority="5909">
      <formula>_xlfn.ISFORMULA(H361)=TRUE</formula>
    </cfRule>
    <cfRule type="expression" dxfId="1027" priority="783">
      <formula>_xlfn.ISFORMULA(H361)=TRUE</formula>
    </cfRule>
    <cfRule type="duplicateValues" dxfId="1026" priority="781"/>
    <cfRule type="expression" dxfId="1025" priority="5899">
      <formula>_xlfn.ISFORMULA(H361)=TRUE</formula>
    </cfRule>
    <cfRule type="duplicateValues" dxfId="1024" priority="5898"/>
    <cfRule type="duplicateValues" dxfId="1023" priority="5897"/>
    <cfRule type="duplicateValues" dxfId="1022" priority="5896"/>
    <cfRule type="expression" dxfId="1021" priority="742">
      <formula>_xlfn.ISFORMULA(H361)=TRUE</formula>
    </cfRule>
    <cfRule type="duplicateValues" dxfId="1020" priority="753"/>
    <cfRule type="duplicateValues" dxfId="1019" priority="754"/>
    <cfRule type="duplicateValues" dxfId="1018" priority="5949"/>
    <cfRule type="expression" dxfId="1017" priority="5969">
      <formula>_xlfn.ISFORMULA(H361)=TRUE</formula>
    </cfRule>
    <cfRule type="duplicateValues" dxfId="1016" priority="5974"/>
    <cfRule type="duplicateValues" dxfId="1015" priority="5975"/>
    <cfRule type="duplicateValues" dxfId="1014" priority="5976"/>
    <cfRule type="expression" dxfId="1013" priority="5977">
      <formula>_xlfn.ISFORMULA(H361)=TRUE</formula>
    </cfRule>
    <cfRule type="expression" dxfId="1012" priority="5987">
      <formula>_xlfn.ISFORMULA(H361)=TRUE</formula>
    </cfRule>
    <cfRule type="duplicateValues" dxfId="1011" priority="1890"/>
    <cfRule type="duplicateValues" dxfId="1010" priority="6700"/>
    <cfRule type="duplicateValues" dxfId="1009" priority="6699"/>
    <cfRule type="duplicateValues" dxfId="1008" priority="6698"/>
    <cfRule type="duplicateValues" dxfId="1007" priority="4510"/>
    <cfRule type="duplicateValues" dxfId="1006" priority="4509"/>
    <cfRule type="duplicateValues" dxfId="1005" priority="4508"/>
    <cfRule type="expression" dxfId="1004" priority="4503">
      <formula>_xlfn.ISFORMULA(H361)=TRUE</formula>
    </cfRule>
    <cfRule type="duplicateValues" dxfId="1003" priority="729"/>
    <cfRule type="expression" dxfId="1002" priority="793">
      <formula>_xlfn.ISFORMULA(H361)=TRUE</formula>
    </cfRule>
    <cfRule type="expression" dxfId="1001" priority="1215">
      <formula>_xlfn.ISFORMULA(H361)=TRUE</formula>
    </cfRule>
    <cfRule type="expression" dxfId="1000" priority="756">
      <formula>_xlfn.ISFORMULA(H361)=TRUE</formula>
    </cfRule>
  </conditionalFormatting>
  <conditionalFormatting sqref="H361:H370">
    <cfRule type="expression" dxfId="999" priority="4891">
      <formula>_xlfn.ISFORMULA(H361)=TRUE</formula>
    </cfRule>
    <cfRule type="duplicateValues" dxfId="998" priority="4890"/>
    <cfRule type="duplicateValues" dxfId="997" priority="4889"/>
    <cfRule type="expression" dxfId="996" priority="4886">
      <formula>_xlfn.ISFORMULA(H361)=TRUE</formula>
    </cfRule>
    <cfRule type="duplicateValues" dxfId="995" priority="4885"/>
    <cfRule type="duplicateValues" dxfId="994" priority="4884"/>
    <cfRule type="duplicateValues" dxfId="993" priority="4883"/>
    <cfRule type="expression" dxfId="992" priority="4880">
      <formula>_xlfn.ISFORMULA(H361)=TRUE</formula>
    </cfRule>
    <cfRule type="duplicateValues" dxfId="991" priority="5118"/>
    <cfRule type="expression" dxfId="990" priority="4949">
      <formula>_xlfn.ISFORMULA(H361)=TRUE</formula>
    </cfRule>
    <cfRule type="expression" dxfId="989" priority="4545">
      <formula>_xlfn.ISFORMULA(H361)=TRUE</formula>
    </cfRule>
    <cfRule type="duplicateValues" dxfId="988" priority="4544"/>
    <cfRule type="duplicateValues" dxfId="987" priority="4543"/>
    <cfRule type="duplicateValues" dxfId="986" priority="4542"/>
    <cfRule type="duplicateValues" dxfId="985" priority="5119"/>
    <cfRule type="expression" dxfId="984" priority="5115">
      <formula>_xlfn.ISFORMULA(H361)=TRUE</formula>
    </cfRule>
    <cfRule type="duplicateValues" dxfId="983" priority="5114"/>
    <cfRule type="duplicateValues" dxfId="982" priority="5113"/>
    <cfRule type="duplicateValues" dxfId="981" priority="5112"/>
    <cfRule type="expression" dxfId="980" priority="4537">
      <formula>_xlfn.ISFORMULA(H361)=TRUE</formula>
    </cfRule>
    <cfRule type="expression" dxfId="979" priority="6565">
      <formula>_xlfn.ISFORMULA(H361)=TRUE</formula>
    </cfRule>
    <cfRule type="expression" dxfId="978" priority="4511">
      <formula>_xlfn.ISFORMULA(H361)=TRUE</formula>
    </cfRule>
    <cfRule type="expression" dxfId="977" priority="4522">
      <formula>_xlfn.ISFORMULA(H361)=TRUE</formula>
    </cfRule>
    <cfRule type="expression" dxfId="976" priority="5120">
      <formula>_xlfn.ISFORMULA(H361)=TRUE</formula>
    </cfRule>
    <cfRule type="expression" dxfId="975" priority="4482">
      <formula>_xlfn.ISFORMULA(H361)=TRUE</formula>
    </cfRule>
  </conditionalFormatting>
  <conditionalFormatting sqref="H361:H374">
    <cfRule type="expression" dxfId="974" priority="5020">
      <formula>_xlfn.ISFORMULA(H361)=TRUE</formula>
    </cfRule>
    <cfRule type="expression" dxfId="973" priority="5109">
      <formula>_xlfn.ISFORMULA(H361)=TRUE</formula>
    </cfRule>
  </conditionalFormatting>
  <conditionalFormatting sqref="H365">
    <cfRule type="duplicateValues" dxfId="972" priority="5034"/>
    <cfRule type="duplicateValues" dxfId="971" priority="5035"/>
    <cfRule type="duplicateValues" dxfId="970" priority="5036"/>
  </conditionalFormatting>
  <conditionalFormatting sqref="H365:H369">
    <cfRule type="duplicateValues" dxfId="969" priority="1207"/>
    <cfRule type="duplicateValues" dxfId="968" priority="1206"/>
    <cfRule type="expression" dxfId="967" priority="1202">
      <formula>_xlfn.ISFORMULA(H365)=TRUE</formula>
    </cfRule>
    <cfRule type="duplicateValues" dxfId="966" priority="1201"/>
    <cfRule type="duplicateValues" dxfId="965" priority="1200"/>
    <cfRule type="expression" dxfId="964" priority="1198">
      <formula>_xlfn.ISFORMULA(H365)=TRUE</formula>
    </cfRule>
    <cfRule type="duplicateValues" dxfId="963" priority="1197"/>
    <cfRule type="duplicateValues" dxfId="962" priority="1196"/>
    <cfRule type="duplicateValues" dxfId="961" priority="1195"/>
    <cfRule type="duplicateValues" dxfId="960" priority="1214"/>
    <cfRule type="expression" dxfId="959" priority="1209">
      <formula>_xlfn.ISFORMULA(H365)=TRUE</formula>
    </cfRule>
    <cfRule type="duplicateValues" dxfId="958" priority="1213"/>
    <cfRule type="duplicateValues" dxfId="957" priority="1208"/>
  </conditionalFormatting>
  <conditionalFormatting sqref="H365:H370">
    <cfRule type="duplicateValues" dxfId="956" priority="4468"/>
    <cfRule type="duplicateValues" dxfId="955" priority="6564"/>
    <cfRule type="duplicateValues" dxfId="954" priority="6563"/>
    <cfRule type="expression" dxfId="953" priority="6559">
      <formula>_xlfn.ISFORMULA(H365)=TRUE</formula>
    </cfRule>
    <cfRule type="duplicateValues" dxfId="952" priority="6558"/>
    <cfRule type="duplicateValues" dxfId="951" priority="6557"/>
    <cfRule type="duplicateValues" dxfId="950" priority="6556"/>
    <cfRule type="expression" dxfId="949" priority="6552">
      <formula>_xlfn.ISFORMULA(H365)=TRUE</formula>
    </cfRule>
    <cfRule type="duplicateValues" dxfId="948" priority="6551"/>
    <cfRule type="duplicateValues" dxfId="947" priority="6550"/>
    <cfRule type="expression" dxfId="946" priority="6548">
      <formula>_xlfn.ISFORMULA(H365)=TRUE</formula>
    </cfRule>
    <cfRule type="expression" dxfId="945" priority="6544">
      <formula>_xlfn.ISFORMULA(H365)=TRUE</formula>
    </cfRule>
    <cfRule type="duplicateValues" dxfId="944" priority="4467"/>
    <cfRule type="expression" dxfId="943" priority="4465">
      <formula>_xlfn.ISFORMULA(H365)=TRUE</formula>
    </cfRule>
    <cfRule type="duplicateValues" dxfId="942" priority="4464"/>
    <cfRule type="duplicateValues" dxfId="941" priority="4463"/>
    <cfRule type="duplicateValues" dxfId="940" priority="6547"/>
    <cfRule type="duplicateValues" dxfId="939" priority="6546"/>
    <cfRule type="duplicateValues" dxfId="938" priority="6545"/>
    <cfRule type="expression" dxfId="937" priority="4932">
      <formula>_xlfn.ISFORMULA(H365)=TRUE</formula>
    </cfRule>
    <cfRule type="duplicateValues" dxfId="936" priority="4934"/>
    <cfRule type="duplicateValues" dxfId="935" priority="4935"/>
    <cfRule type="expression" dxfId="934" priority="4936">
      <formula>_xlfn.ISFORMULA(H365)=TRUE</formula>
    </cfRule>
    <cfRule type="duplicateValues" dxfId="933" priority="4940"/>
    <cfRule type="duplicateValues" dxfId="932" priority="4941"/>
    <cfRule type="expression" dxfId="931" priority="4943">
      <formula>_xlfn.ISFORMULA(H365)=TRUE</formula>
    </cfRule>
    <cfRule type="duplicateValues" dxfId="930" priority="4474"/>
    <cfRule type="duplicateValues" dxfId="929" priority="4475"/>
    <cfRule type="expression" dxfId="928" priority="4476">
      <formula>_xlfn.ISFORMULA(H365)=TRUE</formula>
    </cfRule>
    <cfRule type="duplicateValues" dxfId="927" priority="4480"/>
    <cfRule type="duplicateValues" dxfId="926" priority="4481"/>
    <cfRule type="duplicateValues" dxfId="925" priority="4947"/>
    <cfRule type="duplicateValues" dxfId="924" priority="4462"/>
    <cfRule type="duplicateValues" dxfId="923" priority="4942"/>
    <cfRule type="duplicateValues" dxfId="922" priority="4948"/>
    <cfRule type="duplicateValues" dxfId="921" priority="4931"/>
    <cfRule type="duplicateValues" dxfId="920" priority="4930"/>
    <cfRule type="duplicateValues" dxfId="919" priority="4929"/>
    <cfRule type="duplicateValues" dxfId="918" priority="4473"/>
    <cfRule type="expression" dxfId="917" priority="4469">
      <formula>_xlfn.ISFORMULA(H365)=TRUE</formula>
    </cfRule>
  </conditionalFormatting>
  <conditionalFormatting sqref="H365:H371">
    <cfRule type="expression" dxfId="916" priority="4895">
      <formula>_xlfn.ISFORMULA(H365)=TRUE</formula>
    </cfRule>
  </conditionalFormatting>
  <conditionalFormatting sqref="H365:H374">
    <cfRule type="expression" dxfId="915" priority="4458">
      <formula>_xlfn.ISFORMULA(H365)=TRUE</formula>
    </cfRule>
  </conditionalFormatting>
  <conditionalFormatting sqref="H366">
    <cfRule type="duplicateValues" dxfId="914" priority="4858"/>
    <cfRule type="duplicateValues" dxfId="913" priority="4857"/>
    <cfRule type="duplicateValues" dxfId="912" priority="4856"/>
  </conditionalFormatting>
  <conditionalFormatting sqref="H366:H369">
    <cfRule type="duplicateValues" dxfId="911" priority="1378"/>
    <cfRule type="duplicateValues" dxfId="910" priority="6769"/>
    <cfRule type="duplicateValues" dxfId="909" priority="5907"/>
    <cfRule type="duplicateValues" dxfId="908" priority="4521"/>
    <cfRule type="duplicateValues" dxfId="907" priority="765"/>
    <cfRule type="duplicateValues" dxfId="906" priority="764"/>
    <cfRule type="duplicateValues" dxfId="905" priority="2015"/>
    <cfRule type="duplicateValues" dxfId="904" priority="5908"/>
    <cfRule type="duplicateValues" dxfId="903" priority="1377"/>
    <cfRule type="duplicateValues" dxfId="902" priority="4520"/>
    <cfRule type="duplicateValues" dxfId="901" priority="713"/>
    <cfRule type="duplicateValues" dxfId="900" priority="714"/>
    <cfRule type="duplicateValues" dxfId="899" priority="6768"/>
    <cfRule type="duplicateValues" dxfId="898" priority="2016"/>
    <cfRule type="duplicateValues" dxfId="897" priority="5958"/>
    <cfRule type="duplicateValues" dxfId="896" priority="5959"/>
  </conditionalFormatting>
  <conditionalFormatting sqref="H366:H370">
    <cfRule type="expression" dxfId="895" priority="4859">
      <formula>_xlfn.ISFORMULA(H366)=TRUE</formula>
    </cfRule>
    <cfRule type="duplicateValues" dxfId="894" priority="4862"/>
    <cfRule type="duplicateValues" dxfId="893" priority="4863"/>
    <cfRule type="duplicateValues" dxfId="892" priority="4864"/>
    <cfRule type="expression" dxfId="891" priority="4865">
      <formula>_xlfn.ISFORMULA(H366)=TRUE</formula>
    </cfRule>
  </conditionalFormatting>
  <conditionalFormatting sqref="H366:H374">
    <cfRule type="expression" dxfId="890" priority="5012">
      <formula>_xlfn.ISFORMULA(H366)=TRUE</formula>
    </cfRule>
    <cfRule type="duplicateValues" dxfId="889" priority="5017"/>
    <cfRule type="duplicateValues" dxfId="888" priority="5018"/>
    <cfRule type="duplicateValues" dxfId="887" priority="5019"/>
  </conditionalFormatting>
  <conditionalFormatting sqref="H369:H370">
    <cfRule type="duplicateValues" dxfId="886" priority="4866"/>
    <cfRule type="duplicateValues" dxfId="885" priority="4867"/>
    <cfRule type="expression" dxfId="884" priority="4868">
      <formula>_xlfn.ISFORMULA(H369)=TRUE</formula>
    </cfRule>
  </conditionalFormatting>
  <conditionalFormatting sqref="H370">
    <cfRule type="duplicateValues" dxfId="883" priority="4535"/>
    <cfRule type="duplicateValues" dxfId="882" priority="4536"/>
    <cfRule type="duplicateValues" dxfId="881" priority="4534"/>
  </conditionalFormatting>
  <conditionalFormatting sqref="H370:H386">
    <cfRule type="expression" dxfId="880" priority="6792">
      <formula>_xlfn.ISFORMULA(H370)=TRUE</formula>
    </cfRule>
  </conditionalFormatting>
  <conditionalFormatting sqref="H371">
    <cfRule type="duplicateValues" dxfId="879" priority="4988"/>
    <cfRule type="duplicateValues" dxfId="878" priority="6662"/>
    <cfRule type="duplicateValues" dxfId="877" priority="5009"/>
    <cfRule type="expression" dxfId="876" priority="6665">
      <formula>_xlfn.ISFORMULA(H371)=TRUE</formula>
    </cfRule>
    <cfRule type="duplicateValues" dxfId="875" priority="5010"/>
    <cfRule type="duplicateValues" dxfId="874" priority="5011"/>
    <cfRule type="duplicateValues" dxfId="873" priority="6664"/>
    <cfRule type="duplicateValues" dxfId="872" priority="6663"/>
    <cfRule type="duplicateValues" dxfId="871" priority="4986"/>
    <cfRule type="duplicateValues" dxfId="870" priority="4892"/>
    <cfRule type="duplicateValues" dxfId="869" priority="4893"/>
    <cfRule type="duplicateValues" dxfId="868" priority="4894"/>
    <cfRule type="duplicateValues" dxfId="867" priority="4987"/>
    <cfRule type="expression" dxfId="866" priority="4989">
      <formula>_xlfn.ISFORMULA(H371)=TRUE</formula>
    </cfRule>
  </conditionalFormatting>
  <conditionalFormatting sqref="H371:H374">
    <cfRule type="duplicateValues" dxfId="865" priority="4442"/>
    <cfRule type="duplicateValues" dxfId="864" priority="4441"/>
    <cfRule type="expression" dxfId="863" priority="4438">
      <formula>_xlfn.ISFORMULA(H371)=TRUE</formula>
    </cfRule>
    <cfRule type="duplicateValues" dxfId="862" priority="4437"/>
    <cfRule type="duplicateValues" dxfId="861" priority="4436"/>
    <cfRule type="duplicateValues" dxfId="860" priority="4435"/>
    <cfRule type="expression" dxfId="859" priority="4431">
      <formula>_xlfn.ISFORMULA(H371)=TRUE</formula>
    </cfRule>
    <cfRule type="duplicateValues" dxfId="858" priority="4430"/>
    <cfRule type="duplicateValues" dxfId="857" priority="5108"/>
    <cfRule type="duplicateValues" dxfId="856" priority="5107"/>
    <cfRule type="duplicateValues" dxfId="855" priority="4429"/>
    <cfRule type="duplicateValues" dxfId="854" priority="4457"/>
    <cfRule type="duplicateValues" dxfId="853" priority="4456"/>
    <cfRule type="duplicateValues" dxfId="852" priority="4455"/>
    <cfRule type="expression" dxfId="851" priority="4450">
      <formula>_xlfn.ISFORMULA(H371)=TRUE</formula>
    </cfRule>
    <cfRule type="duplicateValues" dxfId="850" priority="4449"/>
    <cfRule type="duplicateValues" dxfId="849" priority="4448"/>
    <cfRule type="duplicateValues" dxfId="848" priority="4447"/>
    <cfRule type="expression" dxfId="847" priority="4443">
      <formula>_xlfn.ISFORMULA(H371)=TRUE</formula>
    </cfRule>
  </conditionalFormatting>
  <conditionalFormatting sqref="H371:H375">
    <cfRule type="expression" dxfId="846" priority="4425">
      <formula>_xlfn.ISFORMULA(H371)=TRUE</formula>
    </cfRule>
  </conditionalFormatting>
  <conditionalFormatting sqref="H371:H386">
    <cfRule type="expression" dxfId="845" priority="6684">
      <formula>_xlfn.ISFORMULA(H371)=TRUE</formula>
    </cfRule>
    <cfRule type="expression" dxfId="844" priority="6670">
      <formula>_xlfn.ISFORMULA(H371)=TRUE</formula>
    </cfRule>
    <cfRule type="expression" dxfId="843" priority="5004">
      <formula>_xlfn.ISFORMULA(H371)=TRUE</formula>
    </cfRule>
    <cfRule type="expression" dxfId="842" priority="4994">
      <formula>_xlfn.ISFORMULA(H371)=TRUE</formula>
    </cfRule>
  </conditionalFormatting>
  <conditionalFormatting sqref="H372">
    <cfRule type="duplicateValues" dxfId="841" priority="6668"/>
    <cfRule type="duplicateValues" dxfId="840" priority="6667"/>
    <cfRule type="duplicateValues" dxfId="839" priority="4991"/>
    <cfRule type="expression" dxfId="838" priority="4900">
      <formula>_xlfn.ISFORMULA(H372)=TRUE</formula>
    </cfRule>
    <cfRule type="duplicateValues" dxfId="837" priority="4992"/>
    <cfRule type="duplicateValues" dxfId="836" priority="6669"/>
    <cfRule type="duplicateValues" dxfId="835" priority="4993"/>
    <cfRule type="duplicateValues" dxfId="834" priority="4897"/>
    <cfRule type="duplicateValues" dxfId="833" priority="4898"/>
    <cfRule type="duplicateValues" dxfId="832" priority="4899"/>
  </conditionalFormatting>
  <conditionalFormatting sqref="H372:H381">
    <cfRule type="duplicateValues" dxfId="831" priority="6789"/>
    <cfRule type="duplicateValues" dxfId="830" priority="6790"/>
    <cfRule type="duplicateValues" dxfId="829" priority="6791"/>
  </conditionalFormatting>
  <conditionalFormatting sqref="H372:H386">
    <cfRule type="duplicateValues" dxfId="828" priority="6683"/>
    <cfRule type="duplicateValues" dxfId="827" priority="6682"/>
    <cfRule type="duplicateValues" dxfId="826" priority="6681"/>
    <cfRule type="duplicateValues" dxfId="825" priority="5003"/>
    <cfRule type="duplicateValues" dxfId="824" priority="5002"/>
    <cfRule type="duplicateValues" dxfId="823" priority="5001"/>
  </conditionalFormatting>
  <conditionalFormatting sqref="H373:H376">
    <cfRule type="duplicateValues" dxfId="822" priority="4843"/>
    <cfRule type="duplicateValues" dxfId="821" priority="4918"/>
    <cfRule type="duplicateValues" dxfId="820" priority="4917"/>
    <cfRule type="duplicateValues" dxfId="819" priority="4844"/>
    <cfRule type="duplicateValues" dxfId="818" priority="6534"/>
    <cfRule type="duplicateValues" dxfId="817" priority="6533"/>
  </conditionalFormatting>
  <conditionalFormatting sqref="H373:H377">
    <cfRule type="expression" dxfId="816" priority="4845">
      <formula>_xlfn.ISFORMULA(H373)=TRUE</formula>
    </cfRule>
    <cfRule type="expression" dxfId="815" priority="6535">
      <formula>_xlfn.ISFORMULA(H373)=TRUE</formula>
    </cfRule>
    <cfRule type="expression" dxfId="814" priority="6541">
      <formula>_xlfn.ISFORMULA(H373)=TRUE</formula>
    </cfRule>
    <cfRule type="duplicateValues" dxfId="813" priority="4839"/>
    <cfRule type="expression" dxfId="812" priority="4840">
      <formula>_xlfn.ISFORMULA(H373)=TRUE</formula>
    </cfRule>
    <cfRule type="duplicateValues" dxfId="811" priority="4838"/>
    <cfRule type="expression" dxfId="810" priority="4836">
      <formula>_xlfn.ISFORMULA(H373)=TRUE</formula>
    </cfRule>
    <cfRule type="duplicateValues" dxfId="809" priority="4835"/>
    <cfRule type="expression" dxfId="808" priority="4919">
      <formula>_xlfn.ISFORMULA(H373)=TRUE</formula>
    </cfRule>
    <cfRule type="duplicateValues" dxfId="807" priority="4833"/>
    <cfRule type="expression" dxfId="806" priority="4925">
      <formula>_xlfn.ISFORMULA(H373)=TRUE</formula>
    </cfRule>
    <cfRule type="duplicateValues" dxfId="805" priority="4834"/>
  </conditionalFormatting>
  <conditionalFormatting sqref="H373:H381">
    <cfRule type="expression" dxfId="804" priority="4831">
      <formula>_xlfn.ISFORMULA(H373)=TRUE</formula>
    </cfRule>
  </conditionalFormatting>
  <conditionalFormatting sqref="H373:H382">
    <cfRule type="duplicateValues" dxfId="803" priority="6655"/>
    <cfRule type="duplicateValues" dxfId="802" priority="6654"/>
    <cfRule type="duplicateValues" dxfId="801" priority="4979"/>
    <cfRule type="duplicateValues" dxfId="800" priority="4978"/>
    <cfRule type="duplicateValues" dxfId="799" priority="4977"/>
    <cfRule type="expression" dxfId="798" priority="6656">
      <formula>_xlfn.ISFORMULA(H373)=TRUE</formula>
    </cfRule>
    <cfRule type="duplicateValues" dxfId="797" priority="6660"/>
    <cfRule type="duplicateValues" dxfId="796" priority="6653"/>
    <cfRule type="expression" dxfId="795" priority="6661">
      <formula>_xlfn.ISFORMULA(H373)=TRUE</formula>
    </cfRule>
    <cfRule type="expression" dxfId="794" priority="4985">
      <formula>_xlfn.ISFORMULA(H373)=TRUE</formula>
    </cfRule>
    <cfRule type="duplicateValues" dxfId="793" priority="4984"/>
    <cfRule type="duplicateValues" dxfId="792" priority="6659"/>
    <cfRule type="duplicateValues" dxfId="791" priority="4983"/>
    <cfRule type="expression" dxfId="790" priority="4980">
      <formula>_xlfn.ISFORMULA(H373)=TRUE</formula>
    </cfRule>
  </conditionalFormatting>
  <conditionalFormatting sqref="H373:H386">
    <cfRule type="expression" dxfId="789" priority="4974">
      <formula>_xlfn.ISFORMULA(H373)=TRUE</formula>
    </cfRule>
    <cfRule type="expression" dxfId="788" priority="4908">
      <formula>_xlfn.ISFORMULA(H373)=TRUE</formula>
    </cfRule>
    <cfRule type="expression" dxfId="787" priority="6650">
      <formula>_xlfn.ISFORMULA(H373)=TRUE</formula>
    </cfRule>
    <cfRule type="expression" dxfId="786" priority="6524">
      <formula>_xlfn.ISFORMULA(H373)=TRUE</formula>
    </cfRule>
  </conditionalFormatting>
  <conditionalFormatting sqref="H375">
    <cfRule type="expression" dxfId="785" priority="4395">
      <formula>_xlfn.ISFORMULA(H375)=TRUE</formula>
    </cfRule>
    <cfRule type="duplicateValues" dxfId="784" priority="4416"/>
    <cfRule type="duplicateValues" dxfId="783" priority="4424"/>
    <cfRule type="duplicateValues" dxfId="782" priority="4423"/>
    <cfRule type="duplicateValues" dxfId="781" priority="4422"/>
    <cfRule type="expression" dxfId="780" priority="4418">
      <formula>_xlfn.ISFORMULA(H375)=TRUE</formula>
    </cfRule>
    <cfRule type="duplicateValues" dxfId="779" priority="4417"/>
    <cfRule type="duplicateValues" dxfId="778" priority="4415"/>
    <cfRule type="expression" dxfId="777" priority="4412">
      <formula>_xlfn.ISFORMULA(H375)=TRUE</formula>
    </cfRule>
    <cfRule type="duplicateValues" dxfId="776" priority="4411"/>
    <cfRule type="duplicateValues" dxfId="775" priority="4410"/>
    <cfRule type="expression" dxfId="774" priority="4408">
      <formula>_xlfn.ISFORMULA(H375)=TRUE</formula>
    </cfRule>
    <cfRule type="duplicateValues" dxfId="773" priority="4407"/>
    <cfRule type="duplicateValues" dxfId="772" priority="4406"/>
    <cfRule type="duplicateValues" dxfId="771" priority="4405"/>
    <cfRule type="expression" dxfId="770" priority="4401">
      <formula>_xlfn.ISFORMULA(H375)=TRUE</formula>
    </cfRule>
    <cfRule type="duplicateValues" dxfId="769" priority="4400"/>
    <cfRule type="duplicateValues" dxfId="768" priority="4399"/>
    <cfRule type="duplicateValues" dxfId="767" priority="4398"/>
  </conditionalFormatting>
  <conditionalFormatting sqref="H377">
    <cfRule type="duplicateValues" dxfId="766" priority="4849"/>
    <cfRule type="duplicateValues" dxfId="765" priority="4852"/>
    <cfRule type="duplicateValues" dxfId="764" priority="4848"/>
    <cfRule type="expression" dxfId="763" priority="4851">
      <formula>_xlfn.ISFORMULA(H377)=TRUE</formula>
    </cfRule>
    <cfRule type="duplicateValues" dxfId="762" priority="4850"/>
    <cfRule type="duplicateValues" dxfId="761" priority="4853"/>
    <cfRule type="duplicateValues" dxfId="760" priority="4922"/>
    <cfRule type="duplicateValues" dxfId="759" priority="6540"/>
    <cfRule type="duplicateValues" dxfId="758" priority="4924"/>
    <cfRule type="duplicateValues" dxfId="757" priority="4923"/>
    <cfRule type="duplicateValues" dxfId="756" priority="6539"/>
    <cfRule type="duplicateValues" dxfId="755" priority="6538"/>
  </conditionalFormatting>
  <conditionalFormatting sqref="H377:H386">
    <cfRule type="expression" dxfId="754" priority="4854">
      <formula>_xlfn.ISFORMULA(H377)=TRUE</formula>
    </cfRule>
  </conditionalFormatting>
  <conditionalFormatting sqref="H378:H381">
    <cfRule type="duplicateValues" dxfId="753" priority="4385"/>
    <cfRule type="duplicateValues" dxfId="752" priority="4386"/>
    <cfRule type="expression" dxfId="751" priority="4820">
      <formula>_xlfn.ISFORMULA(H378)=TRUE</formula>
    </cfRule>
    <cfRule type="duplicateValues" dxfId="750" priority="4819"/>
    <cfRule type="duplicateValues" dxfId="749" priority="4818"/>
    <cfRule type="expression" dxfId="748" priority="4815">
      <formula>_xlfn.ISFORMULA(H378)=TRUE</formula>
    </cfRule>
    <cfRule type="duplicateValues" dxfId="747" priority="4814"/>
    <cfRule type="duplicateValues" dxfId="746" priority="4813"/>
    <cfRule type="duplicateValues" dxfId="745" priority="4812"/>
    <cfRule type="expression" dxfId="744" priority="4827">
      <formula>_xlfn.ISFORMULA(H378)=TRUE</formula>
    </cfRule>
    <cfRule type="duplicateValues" dxfId="743" priority="4335"/>
    <cfRule type="duplicateValues" dxfId="742" priority="4830"/>
    <cfRule type="duplicateValues" dxfId="741" priority="4829"/>
    <cfRule type="duplicateValues" dxfId="740" priority="4826"/>
    <cfRule type="duplicateValues" dxfId="739" priority="4825"/>
    <cfRule type="duplicateValues" dxfId="738" priority="4824"/>
    <cfRule type="duplicateValues" dxfId="737" priority="4387"/>
    <cfRule type="duplicateValues" dxfId="736" priority="4336"/>
    <cfRule type="duplicateValues" dxfId="735" priority="4334"/>
  </conditionalFormatting>
  <conditionalFormatting sqref="H378:H382">
    <cfRule type="duplicateValues" dxfId="734" priority="4312"/>
    <cfRule type="duplicateValues" dxfId="733" priority="4313"/>
    <cfRule type="duplicateValues" dxfId="732" priority="4369"/>
    <cfRule type="duplicateValues" dxfId="731" priority="4368"/>
    <cfRule type="expression" dxfId="730" priority="4366">
      <formula>_xlfn.ISFORMULA(H378)=TRUE</formula>
    </cfRule>
    <cfRule type="duplicateValues" dxfId="729" priority="4365"/>
    <cfRule type="duplicateValues" dxfId="728" priority="4364"/>
    <cfRule type="expression" dxfId="727" priority="4315">
      <formula>_xlfn.ISFORMULA(H378)=TRUE</formula>
    </cfRule>
    <cfRule type="duplicateValues" dxfId="726" priority="4363"/>
    <cfRule type="duplicateValues" dxfId="725" priority="4314"/>
    <cfRule type="duplicateValues" dxfId="724" priority="4317"/>
    <cfRule type="duplicateValues" dxfId="723" priority="4318"/>
  </conditionalFormatting>
  <conditionalFormatting sqref="H378:H386">
    <cfRule type="expression" dxfId="722" priority="4378">
      <formula>_xlfn.ISFORMULA(H378)=TRUE</formula>
    </cfRule>
    <cfRule type="expression" dxfId="721" priority="4810">
      <formula>_xlfn.ISFORMULA(H378)=TRUE</formula>
    </cfRule>
    <cfRule type="expression" dxfId="720" priority="4388">
      <formula>_xlfn.ISFORMULA(H378)=TRUE</formula>
    </cfRule>
    <cfRule type="duplicateValues" dxfId="719" priority="4377"/>
    <cfRule type="duplicateValues" dxfId="718" priority="4376"/>
    <cfRule type="duplicateValues" dxfId="717" priority="4375"/>
    <cfRule type="expression" dxfId="716" priority="4370">
      <formula>_xlfn.ISFORMULA(H378)=TRUE</formula>
    </cfRule>
    <cfRule type="expression" dxfId="715" priority="4361">
      <formula>_xlfn.ISFORMULA(H378)=TRUE</formula>
    </cfRule>
    <cfRule type="duplicateValues" dxfId="714" priority="4905"/>
    <cfRule type="duplicateValues" dxfId="713" priority="4906"/>
    <cfRule type="duplicateValues" dxfId="712" priority="4907"/>
    <cfRule type="expression" dxfId="711" priority="6517">
      <formula>_xlfn.ISFORMULA(H378)=TRUE</formula>
    </cfRule>
    <cfRule type="duplicateValues" dxfId="710" priority="6521"/>
    <cfRule type="duplicateValues" dxfId="709" priority="6522"/>
    <cfRule type="duplicateValues" dxfId="708" priority="6523"/>
    <cfRule type="expression" dxfId="707" priority="4293">
      <formula>_xlfn.ISFORMULA(H378)=TRUE</formula>
    </cfRule>
    <cfRule type="duplicateValues" dxfId="706" priority="4297"/>
    <cfRule type="duplicateValues" dxfId="705" priority="4298"/>
    <cfRule type="duplicateValues" dxfId="704" priority="4299"/>
    <cfRule type="expression" dxfId="703" priority="4300">
      <formula>_xlfn.ISFORMULA(H378)=TRUE</formula>
    </cfRule>
    <cfRule type="expression" dxfId="702" priority="4310">
      <formula>_xlfn.ISFORMULA(H378)=TRUE</formula>
    </cfRule>
    <cfRule type="expression" dxfId="701" priority="4319">
      <formula>_xlfn.ISFORMULA(H378)=TRUE</formula>
    </cfRule>
    <cfRule type="duplicateValues" dxfId="700" priority="4324"/>
    <cfRule type="duplicateValues" dxfId="699" priority="4325"/>
    <cfRule type="duplicateValues" dxfId="698" priority="4326"/>
    <cfRule type="expression" dxfId="697" priority="4327">
      <formula>_xlfn.ISFORMULA(H378)=TRUE</formula>
    </cfRule>
    <cfRule type="expression" dxfId="696" priority="4337">
      <formula>_xlfn.ISFORMULA(H378)=TRUE</formula>
    </cfRule>
    <cfRule type="duplicateValues" dxfId="695" priority="4348"/>
    <cfRule type="duplicateValues" dxfId="694" priority="4349"/>
    <cfRule type="duplicateValues" dxfId="693" priority="4350"/>
    <cfRule type="expression" dxfId="692" priority="4351">
      <formula>_xlfn.ISFORMULA(H378)=TRUE</formula>
    </cfRule>
  </conditionalFormatting>
  <conditionalFormatting sqref="H382:H386">
    <cfRule type="expression" dxfId="691" priority="4804">
      <formula>_xlfn.ISFORMULA(H382)=TRUE</formula>
    </cfRule>
    <cfRule type="duplicateValues" dxfId="690" priority="4803"/>
    <cfRule type="duplicateValues" dxfId="689" priority="4801"/>
    <cfRule type="expression" dxfId="688" priority="4797">
      <formula>_xlfn.ISFORMULA(H382)=TRUE</formula>
    </cfRule>
    <cfRule type="duplicateValues" dxfId="687" priority="4796"/>
    <cfRule type="duplicateValues" dxfId="686" priority="4795"/>
    <cfRule type="expression" dxfId="685" priority="4793">
      <formula>_xlfn.ISFORMULA(H382)=TRUE</formula>
    </cfRule>
    <cfRule type="duplicateValues" dxfId="684" priority="4792"/>
    <cfRule type="duplicateValues" dxfId="683" priority="4791"/>
    <cfRule type="duplicateValues" dxfId="682" priority="4790"/>
    <cfRule type="duplicateValues" dxfId="681" priority="4802"/>
    <cfRule type="duplicateValues" dxfId="680" priority="4808"/>
    <cfRule type="duplicateValues" dxfId="679" priority="4809"/>
  </conditionalFormatting>
  <conditionalFormatting sqref="H383:H386">
    <cfRule type="duplicateValues" dxfId="678" priority="4308"/>
    <cfRule type="duplicateValues" dxfId="677" priority="4973"/>
    <cfRule type="duplicateValues" dxfId="676" priority="6649"/>
    <cfRule type="duplicateValues" dxfId="675" priority="4359"/>
    <cfRule type="duplicateValues" dxfId="674" priority="6648"/>
    <cfRule type="duplicateValues" dxfId="673" priority="4972"/>
    <cfRule type="duplicateValues" dxfId="672" priority="4309"/>
    <cfRule type="duplicateValues" dxfId="671" priority="4360"/>
  </conditionalFormatting>
  <conditionalFormatting sqref="H412:H414">
    <cfRule type="duplicateValues" dxfId="670" priority="2912"/>
    <cfRule type="expression" dxfId="669" priority="2913">
      <formula>_xlfn.ISFORMULA(H412)=TRUE</formula>
    </cfRule>
    <cfRule type="duplicateValues" dxfId="668" priority="2908"/>
    <cfRule type="duplicateValues" dxfId="667" priority="2909"/>
    <cfRule type="duplicateValues" dxfId="666" priority="2910"/>
    <cfRule type="duplicateValues" dxfId="665" priority="2911"/>
  </conditionalFormatting>
  <conditionalFormatting sqref="H415:H417">
    <cfRule type="duplicateValues" dxfId="664" priority="2903"/>
    <cfRule type="duplicateValues" dxfId="663" priority="2904"/>
    <cfRule type="duplicateValues" dxfId="662" priority="2905"/>
    <cfRule type="duplicateValues" dxfId="661" priority="2906"/>
    <cfRule type="expression" dxfId="660" priority="2907">
      <formula>_xlfn.ISFORMULA(H415)=TRUE</formula>
    </cfRule>
    <cfRule type="duplicateValues" dxfId="659" priority="2902"/>
  </conditionalFormatting>
  <conditionalFormatting sqref="H417:H423">
    <cfRule type="duplicateValues" dxfId="658" priority="2896"/>
    <cfRule type="duplicateValues" dxfId="657" priority="2897"/>
    <cfRule type="duplicateValues" dxfId="656" priority="2898"/>
    <cfRule type="duplicateValues" dxfId="655" priority="2899"/>
    <cfRule type="duplicateValues" dxfId="654" priority="2900"/>
    <cfRule type="expression" dxfId="653" priority="2901">
      <formula>_xlfn.ISFORMULA(H417)=TRUE</formula>
    </cfRule>
  </conditionalFormatting>
  <conditionalFormatting sqref="H418:H419">
    <cfRule type="duplicateValues" dxfId="652" priority="2431"/>
    <cfRule type="duplicateValues" dxfId="651" priority="2430"/>
    <cfRule type="duplicateValues" dxfId="650" priority="2428"/>
    <cfRule type="duplicateValues" dxfId="649" priority="2429"/>
    <cfRule type="expression" dxfId="648" priority="2433">
      <formula>_xlfn.ISFORMULA(H418)=TRUE</formula>
    </cfRule>
    <cfRule type="duplicateValues" dxfId="647" priority="2432"/>
  </conditionalFormatting>
  <conditionalFormatting sqref="H420:H421 H427:H428 H443:H444 H449 H451 H453:H454 H457 H466 H469 H474:H475 H478:H479">
    <cfRule type="expression" dxfId="646" priority="2948">
      <formula>_xlfn.ISFORMULA(H420)=TRUE</formula>
    </cfRule>
  </conditionalFormatting>
  <conditionalFormatting sqref="H422">
    <cfRule type="expression" dxfId="645" priority="2822">
      <formula>_xlfn.ISFORMULA(H422)=TRUE</formula>
    </cfRule>
    <cfRule type="duplicateValues" dxfId="644" priority="2823"/>
    <cfRule type="duplicateValues" dxfId="643" priority="2824"/>
    <cfRule type="expression" dxfId="642" priority="2825">
      <formula>_xlfn.ISFORMULA(H422)=TRUE</formula>
    </cfRule>
    <cfRule type="duplicateValues" dxfId="641" priority="2827"/>
    <cfRule type="expression" dxfId="640" priority="2828">
      <formula>_xlfn.ISFORMULA(H422)=TRUE</formula>
    </cfRule>
    <cfRule type="duplicateValues" dxfId="639" priority="2832"/>
    <cfRule type="duplicateValues" dxfId="638" priority="2833"/>
    <cfRule type="duplicateValues" dxfId="637" priority="2834"/>
    <cfRule type="expression" dxfId="636" priority="2835">
      <formula>_xlfn.ISFORMULA(H422)=TRUE</formula>
    </cfRule>
    <cfRule type="duplicateValues" dxfId="635" priority="2805"/>
    <cfRule type="duplicateValues" dxfId="634" priority="2807"/>
    <cfRule type="duplicateValues" dxfId="633" priority="2809"/>
    <cfRule type="duplicateValues" dxfId="632" priority="2821"/>
    <cfRule type="expression" dxfId="631" priority="2810">
      <formula>_xlfn.ISFORMULA(H422)=TRUE</formula>
    </cfRule>
    <cfRule type="duplicateValues" dxfId="630" priority="2811"/>
    <cfRule type="expression" dxfId="629" priority="2812">
      <formula>_xlfn.ISFORMULA(H422)=TRUE</formula>
    </cfRule>
    <cfRule type="duplicateValues" dxfId="628" priority="2813"/>
    <cfRule type="duplicateValues" dxfId="627" priority="2814"/>
    <cfRule type="duplicateValues" dxfId="626" priority="2808"/>
    <cfRule type="duplicateValues" dxfId="625" priority="2815"/>
    <cfRule type="expression" dxfId="624" priority="2816">
      <formula>_xlfn.ISFORMULA(H422)=TRUE</formula>
    </cfRule>
    <cfRule type="duplicateValues" dxfId="623" priority="2817"/>
    <cfRule type="duplicateValues" dxfId="622" priority="2818"/>
    <cfRule type="expression" dxfId="621" priority="2819">
      <formula>_xlfn.ISFORMULA(H422)=TRUE</formula>
    </cfRule>
    <cfRule type="duplicateValues" dxfId="620" priority="2806"/>
  </conditionalFormatting>
  <conditionalFormatting sqref="H422:H423">
    <cfRule type="duplicateValues" dxfId="619" priority="2436"/>
    <cfRule type="duplicateValues" dxfId="618" priority="2434"/>
    <cfRule type="duplicateValues" dxfId="617" priority="2435"/>
    <cfRule type="duplicateValues" dxfId="616" priority="2437"/>
    <cfRule type="expression" dxfId="615" priority="2438">
      <formula>_xlfn.ISFORMULA(H422)=TRUE</formula>
    </cfRule>
  </conditionalFormatting>
  <conditionalFormatting sqref="H423">
    <cfRule type="duplicateValues" dxfId="614" priority="2836"/>
    <cfRule type="duplicateValues" dxfId="613" priority="2837"/>
    <cfRule type="duplicateValues" dxfId="612" priority="2838"/>
    <cfRule type="expression" dxfId="611" priority="2840">
      <formula>_xlfn.ISFORMULA(H423)=TRUE</formula>
    </cfRule>
    <cfRule type="duplicateValues" dxfId="610" priority="2839"/>
  </conditionalFormatting>
  <conditionalFormatting sqref="H423:H426">
    <cfRule type="duplicateValues" dxfId="609" priority="2891"/>
    <cfRule type="duplicateValues" dxfId="608" priority="2893"/>
    <cfRule type="duplicateValues" dxfId="607" priority="2894"/>
    <cfRule type="duplicateValues" dxfId="606" priority="2892"/>
    <cfRule type="expression" dxfId="605" priority="2895">
      <formula>_xlfn.ISFORMULA(H423)=TRUE</formula>
    </cfRule>
  </conditionalFormatting>
  <conditionalFormatting sqref="H424">
    <cfRule type="expression" dxfId="604" priority="2408">
      <formula>_xlfn.ISFORMULA(H424)=TRUE</formula>
    </cfRule>
    <cfRule type="duplicateValues" dxfId="603" priority="2409"/>
    <cfRule type="duplicateValues" dxfId="602" priority="2410"/>
    <cfRule type="expression" dxfId="601" priority="2411">
      <formula>_xlfn.ISFORMULA(H424)=TRUE</formula>
    </cfRule>
    <cfRule type="duplicateValues" dxfId="600" priority="2413"/>
    <cfRule type="expression" dxfId="599" priority="2414">
      <formula>_xlfn.ISFORMULA(H424)=TRUE</formula>
    </cfRule>
    <cfRule type="duplicateValues" dxfId="598" priority="2415"/>
    <cfRule type="duplicateValues" dxfId="597" priority="2416"/>
    <cfRule type="duplicateValues" dxfId="596" priority="2400"/>
    <cfRule type="duplicateValues" dxfId="595" priority="2399"/>
    <cfRule type="duplicateValues" dxfId="594" priority="2398"/>
    <cfRule type="duplicateValues" dxfId="593" priority="2403"/>
    <cfRule type="duplicateValues" dxfId="592" priority="2425"/>
    <cfRule type="duplicateValues" dxfId="591" priority="2406"/>
    <cfRule type="duplicateValues" dxfId="590" priority="2426"/>
    <cfRule type="expression" dxfId="589" priority="2404">
      <formula>_xlfn.ISFORMULA(H424)=TRUE</formula>
    </cfRule>
    <cfRule type="duplicateValues" dxfId="588" priority="2424"/>
    <cfRule type="duplicateValues" dxfId="587" priority="2419"/>
    <cfRule type="expression" dxfId="586" priority="2420">
      <formula>_xlfn.ISFORMULA(H424)=TRUE</formula>
    </cfRule>
    <cfRule type="expression" dxfId="585" priority="2417">
      <formula>_xlfn.ISFORMULA(H424)=TRUE</formula>
    </cfRule>
    <cfRule type="expression" dxfId="584" priority="2402">
      <formula>_xlfn.ISFORMULA(H424)=TRUE</formula>
    </cfRule>
    <cfRule type="duplicateValues" dxfId="583" priority="2407"/>
    <cfRule type="duplicateValues" dxfId="582" priority="2405"/>
    <cfRule type="duplicateValues" dxfId="581" priority="2397"/>
    <cfRule type="duplicateValues" dxfId="580" priority="2401"/>
    <cfRule type="expression" dxfId="579" priority="2427">
      <formula>_xlfn.ISFORMULA(H424)=TRUE</formula>
    </cfRule>
  </conditionalFormatting>
  <conditionalFormatting sqref="H427:H428 H443:H444 H449 H451 H453:H454 H457 H466 H469 H474:H475 H420:H421 H478:H479">
    <cfRule type="duplicateValues" dxfId="578" priority="2947"/>
  </conditionalFormatting>
  <conditionalFormatting sqref="H427:H428 H443:H444 H449 H451 H453:H454 H457 H466 H469:H470 H472 H496 H508 H474:H475 H513 H530 H536 H538 H547 H556 H560:H561 H564 H572 H578:H581 H594:H610 H420:H421 H614:H632 H699:H700 H716:H717 H640 H478:H479 H644:H677 H679:H689 H727:H733 H735">
    <cfRule type="duplicateValues" dxfId="577" priority="2914"/>
  </conditionalFormatting>
  <conditionalFormatting sqref="H429">
    <cfRule type="duplicateValues" dxfId="576" priority="2844"/>
    <cfRule type="duplicateValues" dxfId="575" priority="2843"/>
    <cfRule type="duplicateValues" dxfId="574" priority="2842"/>
    <cfRule type="duplicateValues" dxfId="573" priority="2841"/>
    <cfRule type="expression" dxfId="572" priority="2845">
      <formula>_xlfn.ISFORMULA(H429)=TRUE</formula>
    </cfRule>
  </conditionalFormatting>
  <conditionalFormatting sqref="H430:H436">
    <cfRule type="duplicateValues" dxfId="571" priority="2889"/>
    <cfRule type="duplicateValues" dxfId="570" priority="2888"/>
    <cfRule type="duplicateValues" dxfId="569" priority="2887"/>
    <cfRule type="duplicateValues" dxfId="568" priority="2886"/>
    <cfRule type="expression" dxfId="567" priority="2890">
      <formula>_xlfn.ISFORMULA(H430)=TRUE</formula>
    </cfRule>
  </conditionalFormatting>
  <conditionalFormatting sqref="H436:H438">
    <cfRule type="duplicateValues" dxfId="566" priority="2882"/>
    <cfRule type="duplicateValues" dxfId="565" priority="2881"/>
    <cfRule type="expression" dxfId="564" priority="2885">
      <formula>_xlfn.ISFORMULA(H436)=TRUE</formula>
    </cfRule>
    <cfRule type="duplicateValues" dxfId="563" priority="2884"/>
    <cfRule type="duplicateValues" dxfId="562" priority="2883"/>
  </conditionalFormatting>
  <conditionalFormatting sqref="H438">
    <cfRule type="duplicateValues" dxfId="561" priority="2876"/>
    <cfRule type="duplicateValues" dxfId="560" priority="2877"/>
    <cfRule type="duplicateValues" dxfId="559" priority="2878"/>
    <cfRule type="duplicateValues" dxfId="558" priority="2879"/>
    <cfRule type="expression" dxfId="557" priority="2880">
      <formula>_xlfn.ISFORMULA(H438)=TRUE</formula>
    </cfRule>
  </conditionalFormatting>
  <conditionalFormatting sqref="H439">
    <cfRule type="duplicateValues" dxfId="556" priority="2857"/>
    <cfRule type="duplicateValues" dxfId="555" priority="2859"/>
    <cfRule type="expression" dxfId="554" priority="2860">
      <formula>_xlfn.ISFORMULA(H439)=TRUE</formula>
    </cfRule>
    <cfRule type="duplicateValues" dxfId="553" priority="2858"/>
    <cfRule type="expression" dxfId="552" priority="2875">
      <formula>_xlfn.ISFORMULA(H439)=TRUE</formula>
    </cfRule>
    <cfRule type="duplicateValues" dxfId="551" priority="2874"/>
    <cfRule type="duplicateValues" dxfId="550" priority="2873"/>
    <cfRule type="duplicateValues" dxfId="549" priority="2872"/>
    <cfRule type="duplicateValues" dxfId="548" priority="2871"/>
    <cfRule type="duplicateValues" dxfId="547" priority="2856"/>
  </conditionalFormatting>
  <conditionalFormatting sqref="H440">
    <cfRule type="duplicateValues" dxfId="546" priority="2851"/>
    <cfRule type="expression" dxfId="545" priority="2855">
      <formula>_xlfn.ISFORMULA(H440)=TRUE</formula>
    </cfRule>
    <cfRule type="duplicateValues" dxfId="544" priority="2854"/>
    <cfRule type="duplicateValues" dxfId="543" priority="2853"/>
    <cfRule type="duplicateValues" dxfId="542" priority="2852"/>
  </conditionalFormatting>
  <conditionalFormatting sqref="H440:H442">
    <cfRule type="expression" dxfId="541" priority="2870">
      <formula>_xlfn.ISFORMULA(H440)=TRUE</formula>
    </cfRule>
    <cfRule type="duplicateValues" dxfId="540" priority="2867"/>
    <cfRule type="duplicateValues" dxfId="539" priority="2869"/>
    <cfRule type="duplicateValues" dxfId="538" priority="2868"/>
    <cfRule type="duplicateValues" dxfId="537" priority="2866"/>
  </conditionalFormatting>
  <conditionalFormatting sqref="H442">
    <cfRule type="duplicateValues" dxfId="536" priority="2861"/>
    <cfRule type="duplicateValues" dxfId="535" priority="2862"/>
    <cfRule type="duplicateValues" dxfId="534" priority="2863"/>
    <cfRule type="duplicateValues" dxfId="533" priority="2864"/>
    <cfRule type="expression" dxfId="532" priority="2865">
      <formula>_xlfn.ISFORMULA(H442)=TRUE</formula>
    </cfRule>
  </conditionalFormatting>
  <conditionalFormatting sqref="H443">
    <cfRule type="expression" dxfId="531" priority="2850">
      <formula>_xlfn.ISFORMULA(H443)=TRUE</formula>
    </cfRule>
    <cfRule type="duplicateValues" dxfId="530" priority="2846"/>
    <cfRule type="duplicateValues" dxfId="529" priority="2847"/>
    <cfRule type="duplicateValues" dxfId="528" priority="2848"/>
    <cfRule type="duplicateValues" dxfId="527" priority="2849"/>
  </conditionalFormatting>
  <conditionalFormatting sqref="H443:H444">
    <cfRule type="expression" dxfId="526" priority="2946">
      <formula>_xlfn.ISFORMULA(H443)=TRUE</formula>
    </cfRule>
  </conditionalFormatting>
  <conditionalFormatting sqref="H445">
    <cfRule type="duplicateValues" dxfId="525" priority="2305"/>
    <cfRule type="duplicateValues" dxfId="524" priority="2304"/>
    <cfRule type="duplicateValues" dxfId="523" priority="2300"/>
    <cfRule type="duplicateValues" dxfId="522" priority="2301"/>
    <cfRule type="expression" dxfId="521" priority="2302">
      <formula>_xlfn.ISFORMULA(H445)=TRUE</formula>
    </cfRule>
    <cfRule type="duplicateValues" dxfId="520" priority="2303"/>
    <cfRule type="duplicateValues" dxfId="519" priority="2299"/>
    <cfRule type="expression" dxfId="518" priority="2306">
      <formula>_xlfn.ISFORMULA(H445)=TRUE</formula>
    </cfRule>
  </conditionalFormatting>
  <conditionalFormatting sqref="H446">
    <cfRule type="duplicateValues" dxfId="517" priority="2798"/>
    <cfRule type="duplicateValues" dxfId="516" priority="2799"/>
    <cfRule type="expression" dxfId="515" priority="2800">
      <formula>_xlfn.ISFORMULA(H446)=TRUE</formula>
    </cfRule>
    <cfRule type="duplicateValues" dxfId="514" priority="2801"/>
    <cfRule type="duplicateValues" dxfId="513" priority="2802"/>
    <cfRule type="duplicateValues" dxfId="512" priority="2803"/>
    <cfRule type="expression" dxfId="511" priority="2804">
      <formula>_xlfn.ISFORMULA(H446)=TRUE</formula>
    </cfRule>
    <cfRule type="duplicateValues" dxfId="510" priority="2797"/>
  </conditionalFormatting>
  <conditionalFormatting sqref="H448">
    <cfRule type="expression" dxfId="509" priority="2784">
      <formula>_xlfn.ISFORMULA(H448)=TRUE</formula>
    </cfRule>
    <cfRule type="duplicateValues" dxfId="508" priority="2785"/>
    <cfRule type="duplicateValues" dxfId="507" priority="2786"/>
    <cfRule type="duplicateValues" dxfId="506" priority="2787"/>
    <cfRule type="duplicateValues" dxfId="505" priority="2788"/>
    <cfRule type="expression" dxfId="504" priority="2790">
      <formula>_xlfn.ISFORMULA(H448)=TRUE</formula>
    </cfRule>
    <cfRule type="duplicateValues" dxfId="503" priority="2791"/>
    <cfRule type="duplicateValues" dxfId="502" priority="2783"/>
    <cfRule type="duplicateValues" dxfId="501" priority="2789"/>
    <cfRule type="expression" dxfId="500" priority="2796">
      <formula>_xlfn.ISFORMULA(H448)=TRUE</formula>
    </cfRule>
    <cfRule type="duplicateValues" dxfId="499" priority="2795"/>
    <cfRule type="duplicateValues" dxfId="498" priority="2794"/>
    <cfRule type="duplicateValues" dxfId="497" priority="2793"/>
    <cfRule type="expression" dxfId="496" priority="2792">
      <formula>_xlfn.ISFORMULA(H448)=TRUE</formula>
    </cfRule>
    <cfRule type="duplicateValues" dxfId="495" priority="2777"/>
    <cfRule type="duplicateValues" dxfId="494" priority="2778"/>
    <cfRule type="duplicateValues" dxfId="493" priority="2779"/>
    <cfRule type="expression" dxfId="492" priority="2780">
      <formula>_xlfn.ISFORMULA(H448)=TRUE</formula>
    </cfRule>
    <cfRule type="duplicateValues" dxfId="491" priority="2781"/>
    <cfRule type="duplicateValues" dxfId="490" priority="2782"/>
  </conditionalFormatting>
  <conditionalFormatting sqref="H449 H451 H453:H454 H457">
    <cfRule type="expression" dxfId="489" priority="2945">
      <formula>_xlfn.ISFORMULA(H449)=TRUE</formula>
    </cfRule>
  </conditionalFormatting>
  <conditionalFormatting sqref="H455:H456">
    <cfRule type="duplicateValues" dxfId="488" priority="2772"/>
    <cfRule type="expression" dxfId="487" priority="2776">
      <formula>_xlfn.ISFORMULA(H455)=TRUE</formula>
    </cfRule>
    <cfRule type="duplicateValues" dxfId="486" priority="2775"/>
    <cfRule type="expression" dxfId="485" priority="2774">
      <formula>_xlfn.ISFORMULA(H455)=TRUE</formula>
    </cfRule>
    <cfRule type="duplicateValues" dxfId="484" priority="2773"/>
    <cfRule type="duplicateValues" dxfId="483" priority="2771"/>
  </conditionalFormatting>
  <conditionalFormatting sqref="H458">
    <cfRule type="expression" dxfId="482" priority="2770">
      <formula>_xlfn.ISFORMULA(H458)=TRUE</formula>
    </cfRule>
    <cfRule type="duplicateValues" dxfId="481" priority="2769"/>
    <cfRule type="expression" dxfId="480" priority="2768">
      <formula>_xlfn.ISFORMULA(H458)=TRUE</formula>
    </cfRule>
    <cfRule type="duplicateValues" dxfId="479" priority="2767"/>
    <cfRule type="duplicateValues" dxfId="478" priority="2766"/>
    <cfRule type="duplicateValues" dxfId="477" priority="2765"/>
  </conditionalFormatting>
  <conditionalFormatting sqref="H459:H460">
    <cfRule type="expression" dxfId="476" priority="2762">
      <formula>_xlfn.ISFORMULA(H459)=TRUE</formula>
    </cfRule>
    <cfRule type="duplicateValues" dxfId="475" priority="2761"/>
    <cfRule type="duplicateValues" dxfId="474" priority="2763"/>
    <cfRule type="duplicateValues" dxfId="473" priority="2760"/>
    <cfRule type="duplicateValues" dxfId="472" priority="2759"/>
    <cfRule type="expression" dxfId="471" priority="2764">
      <formula>_xlfn.ISFORMULA(H459)=TRUE</formula>
    </cfRule>
  </conditionalFormatting>
  <conditionalFormatting sqref="H461">
    <cfRule type="duplicateValues" dxfId="470" priority="2753"/>
    <cfRule type="expression" dxfId="469" priority="2758">
      <formula>_xlfn.ISFORMULA(H461)=TRUE</formula>
    </cfRule>
    <cfRule type="duplicateValues" dxfId="468" priority="2757"/>
    <cfRule type="expression" dxfId="467" priority="2756">
      <formula>_xlfn.ISFORMULA(H461)=TRUE</formula>
    </cfRule>
    <cfRule type="duplicateValues" dxfId="466" priority="2755"/>
    <cfRule type="duplicateValues" dxfId="465" priority="2754"/>
  </conditionalFormatting>
  <conditionalFormatting sqref="H462">
    <cfRule type="duplicateValues" dxfId="464" priority="2294"/>
    <cfRule type="duplicateValues" dxfId="463" priority="2295"/>
    <cfRule type="expression" dxfId="462" priority="2296">
      <formula>_xlfn.ISFORMULA(H462)=TRUE</formula>
    </cfRule>
    <cfRule type="duplicateValues" dxfId="461" priority="2297"/>
    <cfRule type="expression" dxfId="460" priority="2298">
      <formula>_xlfn.ISFORMULA(H462)=TRUE</formula>
    </cfRule>
    <cfRule type="duplicateValues" dxfId="459" priority="2293"/>
  </conditionalFormatting>
  <conditionalFormatting sqref="H463">
    <cfRule type="duplicateValues" dxfId="458" priority="2747"/>
    <cfRule type="expression" dxfId="457" priority="2752">
      <formula>_xlfn.ISFORMULA(H463)=TRUE</formula>
    </cfRule>
    <cfRule type="duplicateValues" dxfId="456" priority="2751"/>
    <cfRule type="expression" dxfId="455" priority="2750">
      <formula>_xlfn.ISFORMULA(H463)=TRUE</formula>
    </cfRule>
    <cfRule type="duplicateValues" dxfId="454" priority="2749"/>
    <cfRule type="duplicateValues" dxfId="453" priority="2748"/>
  </conditionalFormatting>
  <conditionalFormatting sqref="H464:H465">
    <cfRule type="expression" dxfId="452" priority="2744">
      <formula>_xlfn.ISFORMULA(H464)=TRUE</formula>
    </cfRule>
    <cfRule type="duplicateValues" dxfId="451" priority="2743"/>
    <cfRule type="duplicateValues" dxfId="450" priority="2742"/>
    <cfRule type="duplicateValues" dxfId="449" priority="2741"/>
    <cfRule type="duplicateValues" dxfId="448" priority="2745"/>
    <cfRule type="expression" dxfId="447" priority="2746">
      <formula>_xlfn.ISFORMULA(H464)=TRUE</formula>
    </cfRule>
  </conditionalFormatting>
  <conditionalFormatting sqref="H467:H468">
    <cfRule type="duplicateValues" dxfId="446" priority="2738"/>
    <cfRule type="expression" dxfId="445" priority="2740">
      <formula>_xlfn.ISFORMULA(H467)=TRUE</formula>
    </cfRule>
    <cfRule type="duplicateValues" dxfId="444" priority="2737"/>
    <cfRule type="duplicateValues" dxfId="443" priority="2736"/>
    <cfRule type="duplicateValues" dxfId="442" priority="2739"/>
  </conditionalFormatting>
  <conditionalFormatting sqref="H470">
    <cfRule type="expression" dxfId="441" priority="2918">
      <formula>_xlfn.ISFORMULA(H470)=TRUE</formula>
    </cfRule>
    <cfRule type="duplicateValues" dxfId="440" priority="2917"/>
    <cfRule type="duplicateValues" dxfId="439" priority="2916"/>
    <cfRule type="duplicateValues" dxfId="438" priority="2915"/>
  </conditionalFormatting>
  <conditionalFormatting sqref="H471">
    <cfRule type="expression" dxfId="437" priority="2735">
      <formula>_xlfn.ISFORMULA(H471)=TRUE</formula>
    </cfRule>
    <cfRule type="duplicateValues" dxfId="436" priority="2734"/>
    <cfRule type="duplicateValues" dxfId="435" priority="2733"/>
    <cfRule type="duplicateValues" dxfId="434" priority="2732"/>
    <cfRule type="duplicateValues" dxfId="433" priority="2731"/>
  </conditionalFormatting>
  <conditionalFormatting sqref="H472">
    <cfRule type="duplicateValues" dxfId="432" priority="2920"/>
    <cfRule type="duplicateValues" dxfId="431" priority="2921"/>
    <cfRule type="expression" dxfId="430" priority="2922">
      <formula>_xlfn.ISFORMULA(H472)=TRUE</formula>
    </cfRule>
    <cfRule type="duplicateValues" dxfId="429" priority="2919"/>
  </conditionalFormatting>
  <conditionalFormatting sqref="H473">
    <cfRule type="duplicateValues" dxfId="428" priority="2728"/>
    <cfRule type="duplicateValues" dxfId="427" priority="2729"/>
    <cfRule type="duplicateValues" dxfId="426" priority="2726"/>
    <cfRule type="duplicateValues" dxfId="425" priority="2727"/>
    <cfRule type="expression" dxfId="424" priority="2730">
      <formula>_xlfn.ISFORMULA(H473)=TRUE</formula>
    </cfRule>
  </conditionalFormatting>
  <conditionalFormatting sqref="H476">
    <cfRule type="duplicateValues" dxfId="423" priority="2325"/>
    <cfRule type="duplicateValues" dxfId="422" priority="2324"/>
    <cfRule type="duplicateValues" dxfId="421" priority="2322"/>
    <cfRule type="expression" dxfId="420" priority="2321">
      <formula>_xlfn.ISFORMULA(H476)=TRUE</formula>
    </cfRule>
    <cfRule type="duplicateValues" dxfId="419" priority="2320"/>
    <cfRule type="duplicateValues" dxfId="418" priority="2319"/>
    <cfRule type="duplicateValues" dxfId="417" priority="2323"/>
    <cfRule type="expression" dxfId="416" priority="2326">
      <formula>_xlfn.ISFORMULA(H476)=TRUE</formula>
    </cfRule>
    <cfRule type="duplicateValues" dxfId="415" priority="2317"/>
    <cfRule type="duplicateValues" dxfId="414" priority="2318"/>
  </conditionalFormatting>
  <conditionalFormatting sqref="H477">
    <cfRule type="expression" dxfId="413" priority="2311">
      <formula>_xlfn.ISFORMULA(H477)=TRUE</formula>
    </cfRule>
    <cfRule type="duplicateValues" dxfId="412" priority="2312"/>
    <cfRule type="duplicateValues" dxfId="411" priority="2313"/>
    <cfRule type="expression" dxfId="410" priority="2316">
      <formula>_xlfn.ISFORMULA(H477)=TRUE</formula>
    </cfRule>
    <cfRule type="duplicateValues" dxfId="409" priority="2307"/>
    <cfRule type="duplicateValues" dxfId="408" priority="2315"/>
    <cfRule type="duplicateValues" dxfId="407" priority="2308"/>
    <cfRule type="duplicateValues" dxfId="406" priority="2309"/>
    <cfRule type="duplicateValues" dxfId="405" priority="2314"/>
    <cfRule type="duplicateValues" dxfId="404" priority="2310"/>
  </conditionalFormatting>
  <conditionalFormatting sqref="H481">
    <cfRule type="duplicateValues" dxfId="403" priority="2390"/>
    <cfRule type="expression" dxfId="402" priority="2392">
      <formula>_xlfn.ISFORMULA(H481)=TRUE</formula>
    </cfRule>
    <cfRule type="duplicateValues" dxfId="401" priority="2393"/>
    <cfRule type="duplicateValues" dxfId="400" priority="2394"/>
    <cfRule type="duplicateValues" dxfId="399" priority="2395"/>
    <cfRule type="expression" dxfId="398" priority="2396">
      <formula>_xlfn.ISFORMULA(H481)=TRUE</formula>
    </cfRule>
    <cfRule type="duplicateValues" dxfId="397" priority="2391"/>
    <cfRule type="duplicateValues" dxfId="396" priority="2389"/>
  </conditionalFormatting>
  <conditionalFormatting sqref="H483">
    <cfRule type="expression" dxfId="395" priority="2388">
      <formula>_xlfn.ISFORMULA(H483)=TRUE</formula>
    </cfRule>
    <cfRule type="duplicateValues" dxfId="394" priority="2378"/>
    <cfRule type="expression" dxfId="393" priority="2384">
      <formula>_xlfn.ISFORMULA(H483)=TRUE</formula>
    </cfRule>
    <cfRule type="duplicateValues" dxfId="392" priority="2370"/>
    <cfRule type="duplicateValues" dxfId="391" priority="2371"/>
    <cfRule type="duplicateValues" dxfId="390" priority="2373"/>
    <cfRule type="duplicateValues" dxfId="389" priority="2374"/>
    <cfRule type="duplicateValues" dxfId="388" priority="2375"/>
    <cfRule type="expression" dxfId="387" priority="2376">
      <formula>_xlfn.ISFORMULA(H483)=TRUE</formula>
    </cfRule>
    <cfRule type="duplicateValues" dxfId="386" priority="2377"/>
    <cfRule type="duplicateValues" dxfId="385" priority="2379"/>
    <cfRule type="duplicateValues" dxfId="384" priority="2380"/>
    <cfRule type="duplicateValues" dxfId="383" priority="2381"/>
    <cfRule type="duplicateValues" dxfId="382" priority="2387"/>
    <cfRule type="duplicateValues" dxfId="381" priority="2385"/>
    <cfRule type="duplicateValues" dxfId="380" priority="2369"/>
    <cfRule type="expression" dxfId="379" priority="2372">
      <formula>_xlfn.ISFORMULA(H483)=TRUE</formula>
    </cfRule>
    <cfRule type="expression" dxfId="378" priority="2382">
      <formula>_xlfn.ISFORMULA(H483)=TRUE</formula>
    </cfRule>
    <cfRule type="duplicateValues" dxfId="377" priority="2383"/>
    <cfRule type="duplicateValues" dxfId="376" priority="2386"/>
  </conditionalFormatting>
  <conditionalFormatting sqref="H484">
    <cfRule type="expression" dxfId="375" priority="2725">
      <formula>_xlfn.ISFORMULA(H484)=TRUE</formula>
    </cfRule>
    <cfRule type="duplicateValues" dxfId="374" priority="2724"/>
    <cfRule type="duplicateValues" dxfId="373" priority="2723"/>
    <cfRule type="duplicateValues" dxfId="372" priority="2722"/>
    <cfRule type="duplicateValues" dxfId="371" priority="2721"/>
  </conditionalFormatting>
  <conditionalFormatting sqref="H486">
    <cfRule type="duplicateValues" dxfId="370" priority="2365"/>
    <cfRule type="expression" dxfId="369" priority="2366">
      <formula>_xlfn.ISFORMULA(H486)=TRUE</formula>
    </cfRule>
    <cfRule type="duplicateValues" dxfId="368" priority="2367"/>
    <cfRule type="expression" dxfId="367" priority="2368">
      <formula>_xlfn.ISFORMULA(H486)=TRUE</formula>
    </cfRule>
    <cfRule type="duplicateValues" dxfId="366" priority="2363"/>
    <cfRule type="duplicateValues" dxfId="365" priority="2364"/>
  </conditionalFormatting>
  <conditionalFormatting sqref="H488">
    <cfRule type="duplicateValues" dxfId="364" priority="2717"/>
    <cfRule type="expression" dxfId="363" priority="2720">
      <formula>_xlfn.ISFORMULA(H488)=TRUE</formula>
    </cfRule>
    <cfRule type="duplicateValues" dxfId="362" priority="2716"/>
    <cfRule type="duplicateValues" dxfId="361" priority="2718"/>
    <cfRule type="duplicateValues" dxfId="360" priority="2719"/>
  </conditionalFormatting>
  <conditionalFormatting sqref="H489:H494">
    <cfRule type="expression" dxfId="359" priority="2359">
      <formula>_xlfn.ISFORMULA(H489)=TRUE</formula>
    </cfRule>
  </conditionalFormatting>
  <conditionalFormatting sqref="H495">
    <cfRule type="duplicateValues" dxfId="358" priority="2713"/>
    <cfRule type="duplicateValues" dxfId="357" priority="2712"/>
    <cfRule type="duplicateValues" dxfId="356" priority="2711"/>
    <cfRule type="expression" dxfId="355" priority="2715">
      <formula>_xlfn.ISFORMULA(H495)=TRUE</formula>
    </cfRule>
    <cfRule type="duplicateValues" dxfId="354" priority="2714"/>
  </conditionalFormatting>
  <conditionalFormatting sqref="H496 H513 H530 H547 H556 H560:H561 H564 H572 H578:H581 H594:H610 H614:H632 H640 H644:H677 H679:H689 H699:H700 H716:H717 H727:H733 H735">
    <cfRule type="expression" dxfId="353" priority="2949">
      <formula>_xlfn.ISFORMULA(H496)=TRUE</formula>
    </cfRule>
  </conditionalFormatting>
  <conditionalFormatting sqref="H497:H501">
    <cfRule type="expression" dxfId="352" priority="2356">
      <formula>_xlfn.ISFORMULA(H497)=TRUE</formula>
    </cfRule>
  </conditionalFormatting>
  <conditionalFormatting sqref="H502">
    <cfRule type="expression" dxfId="351" priority="2710">
      <formula>_xlfn.ISFORMULA(H502)=TRUE</formula>
    </cfRule>
    <cfRule type="duplicateValues" dxfId="350" priority="2709"/>
    <cfRule type="duplicateValues" dxfId="349" priority="2708"/>
    <cfRule type="duplicateValues" dxfId="348" priority="2707"/>
    <cfRule type="duplicateValues" dxfId="347" priority="2706"/>
  </conditionalFormatting>
  <conditionalFormatting sqref="H503:H504">
    <cfRule type="expression" dxfId="346" priority="2705">
      <formula>_xlfn.ISFORMULA(H503)=TRUE</formula>
    </cfRule>
    <cfRule type="duplicateValues" dxfId="345" priority="2704"/>
    <cfRule type="duplicateValues" dxfId="344" priority="2701"/>
    <cfRule type="duplicateValues" dxfId="343" priority="2702"/>
    <cfRule type="expression" dxfId="342" priority="2703">
      <formula>_xlfn.ISFORMULA(H503)=TRUE</formula>
    </cfRule>
    <cfRule type="duplicateValues" dxfId="341" priority="2700"/>
  </conditionalFormatting>
  <conditionalFormatting sqref="H505:H506">
    <cfRule type="duplicateValues" dxfId="340" priority="2698"/>
    <cfRule type="expression" dxfId="339" priority="2697">
      <formula>_xlfn.ISFORMULA(H505)=TRUE</formula>
    </cfRule>
    <cfRule type="expression" dxfId="338" priority="2699">
      <formula>_xlfn.ISFORMULA(H505)=TRUE</formula>
    </cfRule>
    <cfRule type="duplicateValues" dxfId="337" priority="2694"/>
    <cfRule type="duplicateValues" dxfId="336" priority="2695"/>
    <cfRule type="duplicateValues" dxfId="335" priority="2696"/>
  </conditionalFormatting>
  <conditionalFormatting sqref="H507">
    <cfRule type="expression" dxfId="334" priority="2693">
      <formula>_xlfn.ISFORMULA(H507)=TRUE</formula>
    </cfRule>
    <cfRule type="duplicateValues" dxfId="333" priority="2688"/>
    <cfRule type="duplicateValues" dxfId="332" priority="2689"/>
    <cfRule type="duplicateValues" dxfId="331" priority="2690"/>
    <cfRule type="expression" dxfId="330" priority="2691">
      <formula>_xlfn.ISFORMULA(H507)=TRUE</formula>
    </cfRule>
    <cfRule type="duplicateValues" dxfId="329" priority="2692"/>
  </conditionalFormatting>
  <conditionalFormatting sqref="H508">
    <cfRule type="duplicateValues" dxfId="328" priority="2943"/>
    <cfRule type="expression" dxfId="327" priority="2944">
      <formula>_xlfn.ISFORMULA(H508)=TRUE</formula>
    </cfRule>
  </conditionalFormatting>
  <conditionalFormatting sqref="H509:H510">
    <cfRule type="duplicateValues" dxfId="326" priority="2682"/>
    <cfRule type="expression" dxfId="325" priority="2685">
      <formula>_xlfn.ISFORMULA(H509)=TRUE</formula>
    </cfRule>
    <cfRule type="expression" dxfId="324" priority="2687">
      <formula>_xlfn.ISFORMULA(H509)=TRUE</formula>
    </cfRule>
    <cfRule type="duplicateValues" dxfId="323" priority="2686"/>
    <cfRule type="duplicateValues" dxfId="322" priority="2684"/>
    <cfRule type="duplicateValues" dxfId="321" priority="2683"/>
  </conditionalFormatting>
  <conditionalFormatting sqref="H511">
    <cfRule type="duplicateValues" dxfId="320" priority="2676"/>
    <cfRule type="duplicateValues" dxfId="319" priority="2680"/>
    <cfRule type="expression" dxfId="318" priority="2679">
      <formula>_xlfn.ISFORMULA(H511)=TRUE</formula>
    </cfRule>
    <cfRule type="duplicateValues" dxfId="317" priority="2678"/>
    <cfRule type="duplicateValues" dxfId="316" priority="2677"/>
    <cfRule type="expression" dxfId="315" priority="2681">
      <formula>_xlfn.ISFORMULA(H511)=TRUE</formula>
    </cfRule>
  </conditionalFormatting>
  <conditionalFormatting sqref="H512">
    <cfRule type="duplicateValues" dxfId="314" priority="2647"/>
    <cfRule type="duplicateValues" dxfId="313" priority="2649"/>
    <cfRule type="duplicateValues" dxfId="312" priority="2650"/>
    <cfRule type="expression" dxfId="311" priority="2651">
      <formula>_xlfn.ISFORMULA(H512)=TRUE</formula>
    </cfRule>
    <cfRule type="duplicateValues" dxfId="310" priority="2648"/>
  </conditionalFormatting>
  <conditionalFormatting sqref="H514">
    <cfRule type="expression" dxfId="309" priority="2673">
      <formula>_xlfn.ISFORMULA(H514)=TRUE</formula>
    </cfRule>
    <cfRule type="expression" dxfId="308" priority="2675">
      <formula>_xlfn.ISFORMULA(H514)=TRUE</formula>
    </cfRule>
    <cfRule type="duplicateValues" dxfId="307" priority="2674"/>
    <cfRule type="duplicateValues" dxfId="306" priority="2672"/>
    <cfRule type="duplicateValues" dxfId="305" priority="2671"/>
    <cfRule type="duplicateValues" dxfId="304" priority="2670"/>
  </conditionalFormatting>
  <conditionalFormatting sqref="H515">
    <cfRule type="duplicateValues" dxfId="303" priority="2652"/>
    <cfRule type="expression" dxfId="302" priority="2657">
      <formula>_xlfn.ISFORMULA(H515)=TRUE</formula>
    </cfRule>
    <cfRule type="duplicateValues" dxfId="301" priority="2656"/>
    <cfRule type="expression" dxfId="300" priority="2655">
      <formula>_xlfn.ISFORMULA(H515)=TRUE</formula>
    </cfRule>
    <cfRule type="duplicateValues" dxfId="299" priority="2654"/>
    <cfRule type="duplicateValues" dxfId="298" priority="2653"/>
  </conditionalFormatting>
  <conditionalFormatting sqref="H516">
    <cfRule type="duplicateValues" dxfId="297" priority="2665"/>
    <cfRule type="duplicateValues" dxfId="296" priority="2664"/>
    <cfRule type="duplicateValues" dxfId="295" priority="2666"/>
    <cfRule type="expression" dxfId="294" priority="2669">
      <formula>_xlfn.ISFORMULA(H516)=TRUE</formula>
    </cfRule>
    <cfRule type="duplicateValues" dxfId="293" priority="2668"/>
    <cfRule type="expression" dxfId="292" priority="2667">
      <formula>_xlfn.ISFORMULA(H516)=TRUE</formula>
    </cfRule>
  </conditionalFormatting>
  <conditionalFormatting sqref="H517">
    <cfRule type="expression" dxfId="291" priority="2661">
      <formula>_xlfn.ISFORMULA(H517)=TRUE</formula>
    </cfRule>
    <cfRule type="duplicateValues" dxfId="290" priority="2658"/>
    <cfRule type="duplicateValues" dxfId="289" priority="2659"/>
    <cfRule type="duplicateValues" dxfId="288" priority="2662"/>
    <cfRule type="expression" dxfId="287" priority="2663">
      <formula>_xlfn.ISFORMULA(H517)=TRUE</formula>
    </cfRule>
    <cfRule type="duplicateValues" dxfId="286" priority="2660"/>
  </conditionalFormatting>
  <conditionalFormatting sqref="H518">
    <cfRule type="duplicateValues" dxfId="285" priority="2645"/>
    <cfRule type="duplicateValues" dxfId="284" priority="2641"/>
    <cfRule type="duplicateValues" dxfId="283" priority="2643"/>
    <cfRule type="expression" dxfId="282" priority="2644">
      <formula>_xlfn.ISFORMULA(H518)=TRUE</formula>
    </cfRule>
    <cfRule type="expression" dxfId="281" priority="2646">
      <formula>_xlfn.ISFORMULA(H518)=TRUE</formula>
    </cfRule>
    <cfRule type="duplicateValues" dxfId="280" priority="2642"/>
  </conditionalFormatting>
  <conditionalFormatting sqref="H519">
    <cfRule type="duplicateValues" dxfId="279" priority="2639"/>
    <cfRule type="duplicateValues" dxfId="278" priority="2635"/>
    <cfRule type="duplicateValues" dxfId="277" priority="2636"/>
    <cfRule type="duplicateValues" dxfId="276" priority="2637"/>
    <cfRule type="expression" dxfId="275" priority="2638">
      <formula>_xlfn.ISFORMULA(H519)=TRUE</formula>
    </cfRule>
    <cfRule type="expression" dxfId="274" priority="2640">
      <formula>_xlfn.ISFORMULA(H519)=TRUE</formula>
    </cfRule>
  </conditionalFormatting>
  <conditionalFormatting sqref="H520:H522">
    <cfRule type="duplicateValues" dxfId="273" priority="2629"/>
    <cfRule type="expression" dxfId="272" priority="2632">
      <formula>_xlfn.ISFORMULA(H520)=TRUE</formula>
    </cfRule>
    <cfRule type="duplicateValues" dxfId="271" priority="2630"/>
    <cfRule type="duplicateValues" dxfId="270" priority="2631"/>
    <cfRule type="duplicateValues" dxfId="269" priority="2633"/>
    <cfRule type="expression" dxfId="268" priority="2634">
      <formula>_xlfn.ISFORMULA(H520)=TRUE</formula>
    </cfRule>
  </conditionalFormatting>
  <conditionalFormatting sqref="H523">
    <cfRule type="duplicateValues" dxfId="267" priority="2625"/>
    <cfRule type="duplicateValues" dxfId="266" priority="2624"/>
    <cfRule type="expression" dxfId="265" priority="2626">
      <formula>_xlfn.ISFORMULA(H523)=TRUE</formula>
    </cfRule>
    <cfRule type="duplicateValues" dxfId="264" priority="2627"/>
    <cfRule type="expression" dxfId="263" priority="2628">
      <formula>_xlfn.ISFORMULA(H523)=TRUE</formula>
    </cfRule>
    <cfRule type="duplicateValues" dxfId="262" priority="2623"/>
  </conditionalFormatting>
  <conditionalFormatting sqref="H524">
    <cfRule type="duplicateValues" dxfId="261" priority="2621"/>
    <cfRule type="expression" dxfId="260" priority="2620">
      <formula>_xlfn.ISFORMULA(H524)=TRUE</formula>
    </cfRule>
    <cfRule type="duplicateValues" dxfId="259" priority="2619"/>
    <cfRule type="duplicateValues" dxfId="258" priority="2618"/>
    <cfRule type="expression" dxfId="257" priority="2622">
      <formula>_xlfn.ISFORMULA(H524)=TRUE</formula>
    </cfRule>
    <cfRule type="duplicateValues" dxfId="256" priority="2617"/>
  </conditionalFormatting>
  <conditionalFormatting sqref="H525">
    <cfRule type="expression" dxfId="255" priority="2616">
      <formula>_xlfn.ISFORMULA(H525)=TRUE</formula>
    </cfRule>
    <cfRule type="duplicateValues" dxfId="254" priority="2612"/>
    <cfRule type="duplicateValues" dxfId="253" priority="2613"/>
    <cfRule type="expression" dxfId="252" priority="2614">
      <formula>_xlfn.ISFORMULA(H525)=TRUE</formula>
    </cfRule>
    <cfRule type="duplicateValues" dxfId="251" priority="2615"/>
    <cfRule type="duplicateValues" dxfId="250" priority="2611"/>
  </conditionalFormatting>
  <conditionalFormatting sqref="H526">
    <cfRule type="duplicateValues" dxfId="249" priority="2605"/>
    <cfRule type="duplicateValues" dxfId="248" priority="2606"/>
    <cfRule type="expression" dxfId="247" priority="2608">
      <formula>_xlfn.ISFORMULA(H526)=TRUE</formula>
    </cfRule>
    <cfRule type="duplicateValues" dxfId="246" priority="2607"/>
    <cfRule type="duplicateValues" dxfId="245" priority="2609"/>
    <cfRule type="expression" dxfId="244" priority="2610">
      <formula>_xlfn.ISFORMULA(H526)=TRUE</formula>
    </cfRule>
  </conditionalFormatting>
  <conditionalFormatting sqref="H527">
    <cfRule type="expression" dxfId="243" priority="2602">
      <formula>_xlfn.ISFORMULA(H527)=TRUE</formula>
    </cfRule>
    <cfRule type="expression" dxfId="242" priority="2604">
      <formula>_xlfn.ISFORMULA(H527)=TRUE</formula>
    </cfRule>
    <cfRule type="duplicateValues" dxfId="241" priority="2603"/>
    <cfRule type="duplicateValues" dxfId="240" priority="2599"/>
    <cfRule type="duplicateValues" dxfId="239" priority="2600"/>
    <cfRule type="duplicateValues" dxfId="238" priority="2601"/>
  </conditionalFormatting>
  <conditionalFormatting sqref="H528">
    <cfRule type="expression" dxfId="237" priority="2598">
      <formula>_xlfn.ISFORMULA(H528)=TRUE</formula>
    </cfRule>
    <cfRule type="duplicateValues" dxfId="236" priority="2595"/>
    <cfRule type="duplicateValues" dxfId="235" priority="2594"/>
    <cfRule type="duplicateValues" dxfId="234" priority="2593"/>
    <cfRule type="duplicateValues" dxfId="233" priority="2597"/>
    <cfRule type="expression" dxfId="232" priority="2596">
      <formula>_xlfn.ISFORMULA(H528)=TRUE</formula>
    </cfRule>
  </conditionalFormatting>
  <conditionalFormatting sqref="H529">
    <cfRule type="duplicateValues" dxfId="231" priority="2558"/>
    <cfRule type="expression" dxfId="230" priority="2562">
      <formula>_xlfn.ISFORMULA(H529)=TRUE</formula>
    </cfRule>
    <cfRule type="duplicateValues" dxfId="229" priority="2561"/>
    <cfRule type="expression" dxfId="228" priority="2560">
      <formula>_xlfn.ISFORMULA(H529)=TRUE</formula>
    </cfRule>
    <cfRule type="duplicateValues" dxfId="227" priority="2559"/>
    <cfRule type="duplicateValues" dxfId="226" priority="2557"/>
  </conditionalFormatting>
  <conditionalFormatting sqref="H530">
    <cfRule type="expression" dxfId="225" priority="2508">
      <formula>_xlfn.ISFORMULA(H530)=TRUE</formula>
    </cfRule>
    <cfRule type="expression" dxfId="224" priority="2532">
      <formula>_xlfn.ISFORMULA(H530)=TRUE</formula>
    </cfRule>
    <cfRule type="duplicateValues" dxfId="223" priority="2528"/>
    <cfRule type="duplicateValues" dxfId="222" priority="2503"/>
    <cfRule type="duplicateValues" dxfId="221" priority="2504"/>
    <cfRule type="duplicateValues" dxfId="220" priority="2505"/>
    <cfRule type="expression" dxfId="219" priority="2506">
      <formula>_xlfn.ISFORMULA(H530)=TRUE</formula>
    </cfRule>
    <cfRule type="duplicateValues" dxfId="218" priority="2529"/>
    <cfRule type="expression" dxfId="217" priority="2530">
      <formula>_xlfn.ISFORMULA(H530)=TRUE</formula>
    </cfRule>
    <cfRule type="duplicateValues" dxfId="216" priority="2531"/>
    <cfRule type="duplicateValues" dxfId="215" priority="2527"/>
    <cfRule type="duplicateValues" dxfId="214" priority="2507"/>
  </conditionalFormatting>
  <conditionalFormatting sqref="H531">
    <cfRule type="expression" dxfId="213" priority="2500">
      <formula>_xlfn.ISFORMULA(H531)=TRUE</formula>
    </cfRule>
    <cfRule type="duplicateValues" dxfId="212" priority="2499"/>
    <cfRule type="duplicateValues" dxfId="211" priority="2498"/>
    <cfRule type="duplicateValues" dxfId="210" priority="2521"/>
    <cfRule type="duplicateValues" dxfId="209" priority="2522"/>
    <cfRule type="duplicateValues" dxfId="208" priority="2523"/>
    <cfRule type="expression" dxfId="207" priority="2524">
      <formula>_xlfn.ISFORMULA(H531)=TRUE</formula>
    </cfRule>
    <cfRule type="duplicateValues" dxfId="206" priority="2525"/>
    <cfRule type="duplicateValues" dxfId="205" priority="2587"/>
    <cfRule type="duplicateValues" dxfId="204" priority="2588"/>
    <cfRule type="duplicateValues" dxfId="203" priority="2589"/>
    <cfRule type="expression" dxfId="202" priority="2590">
      <formula>_xlfn.ISFORMULA(H531)=TRUE</formula>
    </cfRule>
    <cfRule type="expression" dxfId="201" priority="2556">
      <formula>_xlfn.ISFORMULA(H531)=TRUE</formula>
    </cfRule>
    <cfRule type="duplicateValues" dxfId="200" priority="2555"/>
    <cfRule type="expression" dxfId="199" priority="2554">
      <formula>_xlfn.ISFORMULA(H531)=TRUE</formula>
    </cfRule>
    <cfRule type="duplicateValues" dxfId="198" priority="2553"/>
    <cfRule type="duplicateValues" dxfId="197" priority="2552"/>
    <cfRule type="duplicateValues" dxfId="196" priority="2551"/>
    <cfRule type="duplicateValues" dxfId="195" priority="2591"/>
    <cfRule type="expression" dxfId="194" priority="2592">
      <formula>_xlfn.ISFORMULA(H531)=TRUE</formula>
    </cfRule>
    <cfRule type="expression" dxfId="193" priority="2526">
      <formula>_xlfn.ISFORMULA(H531)=TRUE</formula>
    </cfRule>
    <cfRule type="duplicateValues" dxfId="192" priority="2497"/>
    <cfRule type="expression" dxfId="191" priority="2502">
      <formula>_xlfn.ISFORMULA(H531)=TRUE</formula>
    </cfRule>
    <cfRule type="duplicateValues" dxfId="190" priority="2501"/>
  </conditionalFormatting>
  <conditionalFormatting sqref="H532">
    <cfRule type="duplicateValues" dxfId="189" priority="2585"/>
    <cfRule type="expression" dxfId="188" priority="2586">
      <formula>_xlfn.ISFORMULA(H532)=TRUE</formula>
    </cfRule>
    <cfRule type="duplicateValues" dxfId="187" priority="2516"/>
    <cfRule type="duplicateValues" dxfId="186" priority="2583"/>
    <cfRule type="duplicateValues" dxfId="185" priority="2582"/>
    <cfRule type="expression" dxfId="184" priority="2584">
      <formula>_xlfn.ISFORMULA(H532)=TRUE</formula>
    </cfRule>
    <cfRule type="duplicateValues" dxfId="183" priority="2515"/>
    <cfRule type="duplicateValues" dxfId="182" priority="2547"/>
    <cfRule type="duplicateValues" dxfId="181" priority="2581"/>
    <cfRule type="expression" dxfId="180" priority="2520">
      <formula>_xlfn.ISFORMULA(H532)=TRUE</formula>
    </cfRule>
    <cfRule type="duplicateValues" dxfId="179" priority="2519"/>
    <cfRule type="expression" dxfId="178" priority="2518">
      <formula>_xlfn.ISFORMULA(H532)=TRUE</formula>
    </cfRule>
    <cfRule type="duplicateValues" dxfId="177" priority="2517"/>
    <cfRule type="duplicateValues" dxfId="176" priority="2546"/>
    <cfRule type="duplicateValues" dxfId="175" priority="2545"/>
    <cfRule type="expression" dxfId="174" priority="2550">
      <formula>_xlfn.ISFORMULA(H532)=TRUE</formula>
    </cfRule>
    <cfRule type="duplicateValues" dxfId="173" priority="2549"/>
    <cfRule type="expression" dxfId="172" priority="2548">
      <formula>_xlfn.ISFORMULA(H532)=TRUE</formula>
    </cfRule>
    <cfRule type="expression" dxfId="171" priority="2496">
      <formula>_xlfn.ISFORMULA(H532)=TRUE</formula>
    </cfRule>
    <cfRule type="duplicateValues" dxfId="170" priority="2495"/>
    <cfRule type="expression" dxfId="169" priority="2494">
      <formula>_xlfn.ISFORMULA(H532)=TRUE</formula>
    </cfRule>
    <cfRule type="duplicateValues" dxfId="168" priority="2493"/>
    <cfRule type="duplicateValues" dxfId="167" priority="2492"/>
    <cfRule type="duplicateValues" dxfId="166" priority="2491"/>
  </conditionalFormatting>
  <conditionalFormatting sqref="H533">
    <cfRule type="duplicateValues" dxfId="165" priority="2509"/>
    <cfRule type="duplicateValues" dxfId="164" priority="2577"/>
    <cfRule type="duplicateValues" dxfId="163" priority="2579"/>
    <cfRule type="expression" dxfId="162" priority="2580">
      <formula>_xlfn.ISFORMULA(H533)=TRUE</formula>
    </cfRule>
    <cfRule type="expression" dxfId="161" priority="2578">
      <formula>_xlfn.ISFORMULA(H533)=TRUE</formula>
    </cfRule>
    <cfRule type="expression" dxfId="160" priority="2544">
      <formula>_xlfn.ISFORMULA(H533)=TRUE</formula>
    </cfRule>
    <cfRule type="duplicateValues" dxfId="159" priority="2543"/>
    <cfRule type="duplicateValues" dxfId="158" priority="2541"/>
    <cfRule type="duplicateValues" dxfId="157" priority="2540"/>
    <cfRule type="expression" dxfId="156" priority="2542">
      <formula>_xlfn.ISFORMULA(H533)=TRUE</formula>
    </cfRule>
    <cfRule type="duplicateValues" dxfId="155" priority="2539"/>
    <cfRule type="duplicateValues" dxfId="154" priority="2511"/>
    <cfRule type="duplicateValues" dxfId="153" priority="2576"/>
    <cfRule type="expression" dxfId="152" priority="2514">
      <formula>_xlfn.ISFORMULA(H533)=TRUE</formula>
    </cfRule>
    <cfRule type="duplicateValues" dxfId="151" priority="2513"/>
    <cfRule type="expression" dxfId="150" priority="2512">
      <formula>_xlfn.ISFORMULA(H533)=TRUE</formula>
    </cfRule>
    <cfRule type="duplicateValues" dxfId="149" priority="2575"/>
    <cfRule type="duplicateValues" dxfId="148" priority="2510"/>
    <cfRule type="expression" dxfId="147" priority="2490">
      <formula>_xlfn.ISFORMULA(H533)=TRUE</formula>
    </cfRule>
    <cfRule type="duplicateValues" dxfId="146" priority="2489"/>
    <cfRule type="expression" dxfId="145" priority="2488">
      <formula>_xlfn.ISFORMULA(H533)=TRUE</formula>
    </cfRule>
    <cfRule type="duplicateValues" dxfId="144" priority="2487"/>
    <cfRule type="duplicateValues" dxfId="143" priority="2486"/>
    <cfRule type="duplicateValues" dxfId="142" priority="2485"/>
  </conditionalFormatting>
  <conditionalFormatting sqref="H534">
    <cfRule type="duplicateValues" dxfId="141" priority="2533"/>
    <cfRule type="duplicateValues" dxfId="140" priority="2569"/>
    <cfRule type="duplicateValues" dxfId="139" priority="2570"/>
    <cfRule type="duplicateValues" dxfId="138" priority="2571"/>
    <cfRule type="expression" dxfId="137" priority="2572">
      <formula>_xlfn.ISFORMULA(H534)=TRUE</formula>
    </cfRule>
    <cfRule type="duplicateValues" dxfId="136" priority="2573"/>
    <cfRule type="expression" dxfId="135" priority="2574">
      <formula>_xlfn.ISFORMULA(H534)=TRUE</formula>
    </cfRule>
    <cfRule type="expression" dxfId="134" priority="2538">
      <formula>_xlfn.ISFORMULA(H534)=TRUE</formula>
    </cfRule>
    <cfRule type="duplicateValues" dxfId="133" priority="2537"/>
    <cfRule type="expression" dxfId="132" priority="2536">
      <formula>_xlfn.ISFORMULA(H534)=TRUE</formula>
    </cfRule>
    <cfRule type="duplicateValues" dxfId="131" priority="2535"/>
    <cfRule type="duplicateValues" dxfId="130" priority="2534"/>
  </conditionalFormatting>
  <conditionalFormatting sqref="H535">
    <cfRule type="duplicateValues" dxfId="129" priority="2563"/>
    <cfRule type="duplicateValues" dxfId="128" priority="2564"/>
    <cfRule type="duplicateValues" dxfId="127" priority="2565"/>
    <cfRule type="expression" dxfId="126" priority="2566">
      <formula>_xlfn.ISFORMULA(H535)=TRUE</formula>
    </cfRule>
    <cfRule type="duplicateValues" dxfId="125" priority="2567"/>
    <cfRule type="expression" dxfId="124" priority="2568">
      <formula>_xlfn.ISFORMULA(H535)=TRUE</formula>
    </cfRule>
  </conditionalFormatting>
  <conditionalFormatting sqref="H536">
    <cfRule type="expression" dxfId="123" priority="2942">
      <formula>_xlfn.ISFORMULA(H536)=TRUE</formula>
    </cfRule>
    <cfRule type="duplicateValues" dxfId="122" priority="2941"/>
  </conditionalFormatting>
  <conditionalFormatting sqref="H537">
    <cfRule type="expression" dxfId="121" priority="2482">
      <formula>_xlfn.ISFORMULA(H537)=TRUE</formula>
    </cfRule>
    <cfRule type="duplicateValues" dxfId="120" priority="2481"/>
    <cfRule type="duplicateValues" dxfId="119" priority="2480"/>
    <cfRule type="duplicateValues" dxfId="118" priority="2479"/>
    <cfRule type="expression" dxfId="117" priority="2484">
      <formula>_xlfn.ISFORMULA(H537)=TRUE</formula>
    </cfRule>
    <cfRule type="duplicateValues" dxfId="116" priority="2483"/>
  </conditionalFormatting>
  <conditionalFormatting sqref="H538">
    <cfRule type="duplicateValues" dxfId="115" priority="2937"/>
    <cfRule type="expression" dxfId="114" priority="2940">
      <formula>_xlfn.ISFORMULA(H538)=TRUE</formula>
    </cfRule>
    <cfRule type="duplicateValues" dxfId="113" priority="2939"/>
    <cfRule type="expression" dxfId="112" priority="2938">
      <formula>_xlfn.ISFORMULA(H538)=TRUE</formula>
    </cfRule>
  </conditionalFormatting>
  <conditionalFormatting sqref="H556">
    <cfRule type="duplicateValues" dxfId="111" priority="2932"/>
    <cfRule type="duplicateValues" dxfId="110" priority="2933"/>
    <cfRule type="expression" dxfId="109" priority="2934">
      <formula>_xlfn.ISFORMULA(H556)=TRUE</formula>
    </cfRule>
  </conditionalFormatting>
  <conditionalFormatting sqref="H557:H559">
    <cfRule type="duplicateValues" dxfId="108" priority="2475"/>
    <cfRule type="duplicateValues" dxfId="107" priority="2476"/>
    <cfRule type="duplicateValues" dxfId="106" priority="2474"/>
    <cfRule type="expression" dxfId="105" priority="2477">
      <formula>_xlfn.ISFORMULA(H557)=TRUE</formula>
    </cfRule>
  </conditionalFormatting>
  <conditionalFormatting sqref="H560">
    <cfRule type="duplicateValues" dxfId="104" priority="2930"/>
    <cfRule type="expression" dxfId="103" priority="2931">
      <formula>_xlfn.ISFORMULA(H560)=TRUE</formula>
    </cfRule>
    <cfRule type="duplicateValues" dxfId="102" priority="2929"/>
  </conditionalFormatting>
  <conditionalFormatting sqref="H561">
    <cfRule type="duplicateValues" dxfId="101" priority="2926"/>
    <cfRule type="duplicateValues" dxfId="100" priority="2927"/>
    <cfRule type="expression" dxfId="99" priority="2928">
      <formula>_xlfn.ISFORMULA(H561)=TRUE</formula>
    </cfRule>
  </conditionalFormatting>
  <conditionalFormatting sqref="H562:H563">
    <cfRule type="duplicateValues" dxfId="98" priority="2471"/>
    <cfRule type="expression" dxfId="97" priority="2473">
      <formula>_xlfn.ISFORMULA(H562)=TRUE</formula>
    </cfRule>
    <cfRule type="duplicateValues" dxfId="96" priority="2472"/>
    <cfRule type="expression" dxfId="95" priority="2470">
      <formula>_xlfn.ISFORMULA(H562)=TRUE</formula>
    </cfRule>
    <cfRule type="duplicateValues" dxfId="94" priority="2469"/>
    <cfRule type="duplicateValues" dxfId="93" priority="2468"/>
    <cfRule type="duplicateValues" dxfId="92" priority="2467"/>
  </conditionalFormatting>
  <conditionalFormatting sqref="H565">
    <cfRule type="duplicateValues" dxfId="91" priority="2460"/>
    <cfRule type="expression" dxfId="90" priority="2463">
      <formula>_xlfn.ISFORMULA(H565)=TRUE</formula>
    </cfRule>
    <cfRule type="duplicateValues" dxfId="89" priority="2462"/>
    <cfRule type="duplicateValues" dxfId="88" priority="2461"/>
    <cfRule type="expression" dxfId="87" priority="2466">
      <formula>_xlfn.ISFORMULA(H565)=TRUE</formula>
    </cfRule>
    <cfRule type="duplicateValues" dxfId="86" priority="2465"/>
    <cfRule type="duplicateValues" dxfId="85" priority="2464"/>
  </conditionalFormatting>
  <conditionalFormatting sqref="H566">
    <cfRule type="duplicateValues" dxfId="84" priority="2455"/>
    <cfRule type="expression" dxfId="83" priority="2456">
      <formula>_xlfn.ISFORMULA(H566)=TRUE</formula>
    </cfRule>
    <cfRule type="duplicateValues" dxfId="82" priority="2457"/>
    <cfRule type="duplicateValues" dxfId="81" priority="2458"/>
    <cfRule type="expression" dxfId="80" priority="2459">
      <formula>_xlfn.ISFORMULA(H566)=TRUE</formula>
    </cfRule>
    <cfRule type="duplicateValues" dxfId="79" priority="2454"/>
    <cfRule type="duplicateValues" dxfId="78" priority="2453"/>
  </conditionalFormatting>
  <conditionalFormatting sqref="H567">
    <cfRule type="duplicateValues" dxfId="77" priority="2447"/>
    <cfRule type="expression" dxfId="76" priority="2452">
      <formula>_xlfn.ISFORMULA(H567)=TRUE</formula>
    </cfRule>
    <cfRule type="duplicateValues" dxfId="75" priority="2451"/>
    <cfRule type="duplicateValues" dxfId="74" priority="2450"/>
    <cfRule type="expression" dxfId="73" priority="2449">
      <formula>_xlfn.ISFORMULA(H567)=TRUE</formula>
    </cfRule>
    <cfRule type="duplicateValues" dxfId="72" priority="2448"/>
    <cfRule type="duplicateValues" dxfId="71" priority="2446"/>
  </conditionalFormatting>
  <conditionalFormatting sqref="H568">
    <cfRule type="duplicateValues" dxfId="70" priority="2439"/>
    <cfRule type="expression" dxfId="69" priority="2445">
      <formula>_xlfn.ISFORMULA(H568)=TRUE</formula>
    </cfRule>
    <cfRule type="duplicateValues" dxfId="68" priority="2444"/>
    <cfRule type="duplicateValues" dxfId="67" priority="2443"/>
    <cfRule type="expression" dxfId="66" priority="2442">
      <formula>_xlfn.ISFORMULA(H568)=TRUE</formula>
    </cfRule>
    <cfRule type="duplicateValues" dxfId="65" priority="2441"/>
    <cfRule type="duplicateValues" dxfId="64" priority="2440"/>
  </conditionalFormatting>
  <conditionalFormatting sqref="H611">
    <cfRule type="duplicateValues" dxfId="63" priority="2346"/>
    <cfRule type="duplicateValues" dxfId="62" priority="2345"/>
    <cfRule type="expression" dxfId="61" priority="2350">
      <formula>_xlfn.ISFORMULA(H611)=TRUE</formula>
    </cfRule>
    <cfRule type="duplicateValues" dxfId="60" priority="2349"/>
    <cfRule type="expression" dxfId="59" priority="2348">
      <formula>_xlfn.ISFORMULA(H611)=TRUE</formula>
    </cfRule>
    <cfRule type="duplicateValues" dxfId="58" priority="2347"/>
  </conditionalFormatting>
  <conditionalFormatting sqref="H612">
    <cfRule type="expression" dxfId="57" priority="2355">
      <formula>_xlfn.ISFORMULA(H612)=TRUE</formula>
    </cfRule>
    <cfRule type="duplicateValues" dxfId="56" priority="2353"/>
    <cfRule type="duplicateValues" dxfId="55" priority="2352"/>
    <cfRule type="duplicateValues" dxfId="54" priority="2351"/>
    <cfRule type="duplicateValues" dxfId="53" priority="2354"/>
  </conditionalFormatting>
  <conditionalFormatting sqref="H613">
    <cfRule type="expression" dxfId="52" priority="2344">
      <formula>_xlfn.ISFORMULA(H613)=TRUE</formula>
    </cfRule>
    <cfRule type="duplicateValues" dxfId="51" priority="2339"/>
    <cfRule type="duplicateValues" dxfId="50" priority="2340"/>
    <cfRule type="duplicateValues" dxfId="49" priority="2341"/>
    <cfRule type="expression" dxfId="48" priority="2342">
      <formula>_xlfn.ISFORMULA(H613)=TRUE</formula>
    </cfRule>
    <cfRule type="duplicateValues" dxfId="47" priority="2343"/>
  </conditionalFormatting>
  <conditionalFormatting sqref="H629">
    <cfRule type="expression" dxfId="46" priority="2925">
      <formula>_xlfn.ISFORMULA(H629)=TRUE</formula>
    </cfRule>
    <cfRule type="duplicateValues" dxfId="45" priority="2923"/>
    <cfRule type="duplicateValues" dxfId="44" priority="2924"/>
  </conditionalFormatting>
  <conditionalFormatting sqref="H630:H632 H556 H594:H610 H640 H427:H428 H443:H444 H449 H451 H453:H454 H457 H466 H469 H496 H508 H474:H475 H513 H530 H536 H538 H547 H560:H561 H564 H572 H578:H581 H420:H421 H614:H628 H699:H700 H716:H717 H478:H479 H644:H677 H679:H689 H727:H733 H735">
    <cfRule type="duplicateValues" dxfId="43" priority="2936"/>
  </conditionalFormatting>
  <conditionalFormatting sqref="H630:H632 H594:H610 H640 H427:H428 H443:H444 H449 H451 H453:H454 H457 H466 H469 H496 H508 H474:H475 H513 H530 H536 H538 H547 H556 H560:H561 H564 H572 H578:H581 H420:H421 H614:H628 H699:H700 H716:H717 H478:H479 H644:H677 H679:H689 H727:H733 H735">
    <cfRule type="duplicateValues" dxfId="42" priority="2935"/>
  </conditionalFormatting>
  <conditionalFormatting sqref="H633:H639">
    <cfRule type="duplicateValues" dxfId="41" priority="2327"/>
    <cfRule type="expression" dxfId="40" priority="2330">
      <formula>_xlfn.ISFORMULA(H633)=TRUE</formula>
    </cfRule>
    <cfRule type="duplicateValues" dxfId="39" priority="2329"/>
    <cfRule type="duplicateValues" dxfId="38" priority="2328"/>
  </conditionalFormatting>
  <conditionalFormatting sqref="H641:H643">
    <cfRule type="expression" dxfId="37" priority="2337">
      <formula>_xlfn.ISFORMULA(H641)=TRUE</formula>
    </cfRule>
    <cfRule type="duplicateValues" dxfId="36" priority="2336"/>
    <cfRule type="duplicateValues" dxfId="35" priority="2335"/>
    <cfRule type="duplicateValues" dxfId="34" priority="2334"/>
  </conditionalFormatting>
  <conditionalFormatting sqref="H678">
    <cfRule type="expression" dxfId="33" priority="2284">
      <formula>_xlfn.ISFORMULA(H678)=TRUE</formula>
    </cfRule>
    <cfRule type="duplicateValues" dxfId="32" priority="2283"/>
    <cfRule type="duplicateValues" dxfId="31" priority="2282"/>
    <cfRule type="duplicateValues" dxfId="30" priority="2281"/>
    <cfRule type="duplicateValues" dxfId="29" priority="2280"/>
    <cfRule type="expression" dxfId="28" priority="2277">
      <formula>_xlfn.ISFORMULA(H678)=TRUE</formula>
    </cfRule>
    <cfRule type="expression" dxfId="27" priority="2292">
      <formula>_xlfn.ISFORMULA(H678)=TRUE</formula>
    </cfRule>
    <cfRule type="duplicateValues" dxfId="26" priority="2291"/>
    <cfRule type="duplicateValues" dxfId="25" priority="2290"/>
    <cfRule type="duplicateValues" dxfId="24" priority="2289"/>
    <cfRule type="duplicateValues" dxfId="23" priority="2288"/>
  </conditionalFormatting>
  <conditionalFormatting sqref="H690:H698">
    <cfRule type="expression" dxfId="22" priority="2333">
      <formula>_xlfn.ISFORMULA(H690)=TRUE</formula>
    </cfRule>
  </conditionalFormatting>
  <conditionalFormatting sqref="H701:H715">
    <cfRule type="expression" dxfId="21" priority="2332">
      <formula>_xlfn.ISFORMULA(H701)=TRUE</formula>
    </cfRule>
  </conditionalFormatting>
  <conditionalFormatting sqref="H718:H726">
    <cfRule type="expression" dxfId="20" priority="2331">
      <formula>_xlfn.ISFORMULA(H718)=TRUE</formula>
    </cfRule>
  </conditionalFormatting>
  <conditionalFormatting sqref="H734">
    <cfRule type="duplicateValues" dxfId="19" priority="2275"/>
    <cfRule type="duplicateValues" dxfId="18" priority="2274"/>
    <cfRule type="duplicateValues" dxfId="17" priority="2273"/>
    <cfRule type="expression" dxfId="16" priority="2276">
      <formula>_xlfn.ISFORMULA(H734)=TRUE</formula>
    </cfRule>
  </conditionalFormatting>
  <conditionalFormatting sqref="H736:H1000">
    <cfRule type="expression" dxfId="15" priority="13575">
      <formula>IF(H736&lt;&gt;I736,"ЛОЖЬ","ИСТИНА")</formula>
    </cfRule>
  </conditionalFormatting>
  <conditionalFormatting sqref="H736:H1048576 H316:H411 H1:H20 H283:H314 H79:H281">
    <cfRule type="duplicateValues" dxfId="14" priority="3153"/>
  </conditionalFormatting>
  <conditionalFormatting sqref="I3:U1000">
    <cfRule type="expression" dxfId="13" priority="13573">
      <formula>_xlfn.ISFORMULA(I3)=TRUE</formula>
    </cfRule>
  </conditionalFormatting>
  <conditionalFormatting sqref="O3">
    <cfRule type="expression" dxfId="12" priority="13599">
      <formula>TRUE</formula>
    </cfRule>
  </conditionalFormatting>
  <conditionalFormatting sqref="O19:O20">
    <cfRule type="expression" dxfId="11" priority="13601">
      <formula>TRUE</formula>
    </cfRule>
  </conditionalFormatting>
  <conditionalFormatting sqref="O36:O37">
    <cfRule type="expression" dxfId="10" priority="13603">
      <formula>TRUE</formula>
    </cfRule>
  </conditionalFormatting>
  <conditionalFormatting sqref="O53:O1000">
    <cfRule type="expression" dxfId="9" priority="13605">
      <formula>AND(ROW()&gt;=19,MOD(ROW()-19,17)&lt;2)</formula>
    </cfRule>
  </conditionalFormatting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3606" id="{0A650EB6-4289-49BD-BA0E-CEE924E897AA}">
            <xm:f>ISNUMBER(SEARCH(Справочная!$AQ$4,IFERROR(INDEX('Исходные данные'!$AY$3:$AY$1000,MATCH(H3,'Исходные данные'!$D$3:$D$1000,0)),"")))</xm:f>
            <x14:dxf>
              <fill>
                <patternFill patternType="solid">
                  <fgColor indexed="64"/>
                  <bgColor rgb="FFF4B183"/>
                </patternFill>
              </fill>
            </x14:dxf>
          </x14:cfRule>
          <xm:sqref>H3:H1000</xm:sqref>
        </x14:conditionalFormatting>
        <x14:conditionalFormatting xmlns:xm="http://schemas.microsoft.com/office/excel/2006/main">
          <x14:cfRule type="expression" priority="13607" id="{5365E129-D330-4D76-9608-D4ABF825DD3E}">
            <xm:f>ISNUMBER(SEARCH(Справочная!$AQ$5,IFERROR(INDEX('Исходные данные'!$AY$3:$AY$1000,MATCH(H3,'Исходные данные'!$D$3:$D$1000,0)),"")))</xm:f>
            <x14:dxf>
              <fill>
                <patternFill patternType="solid">
                  <fgColor indexed="64"/>
                  <bgColor rgb="FF9DC3E6"/>
                </patternFill>
              </fill>
            </x14:dxf>
          </x14:cfRule>
          <xm:sqref>H3:H1000</xm:sqref>
        </x14:conditionalFormatting>
        <x14:conditionalFormatting xmlns:xm="http://schemas.microsoft.com/office/excel/2006/main">
          <x14:cfRule type="expression" priority="13608" id="{606FFB22-B277-41BA-B6D0-7FC8B4F5C6E8}">
            <xm:f>ISNUMBER(SEARCH(Справочная!$AQ$6,IFERROR(INDEX('Исходные данные'!$AY$3:$AY$1000,MATCH(H3,'Исходные данные'!$D$3:$D$1000,0)),"")))</xm:f>
            <x14:dxf>
              <fill>
                <patternFill patternType="solid">
                  <fgColor indexed="64"/>
                  <bgColor rgb="FFC6EFCE"/>
                </patternFill>
              </fill>
            </x14:dxf>
          </x14:cfRule>
          <xm:sqref>H3:H1000</xm:sqref>
        </x14:conditionalFormatting>
        <x14:conditionalFormatting xmlns:xm="http://schemas.microsoft.com/office/excel/2006/main">
          <x14:cfRule type="expression" priority="13609" id="{A705836F-7A16-458E-B0B1-4D0DDA651E2B}">
            <xm:f>ISNUMBER(SEARCH(Справочная!$AQ$4,IFERROR(INDEX('Исходные данные'!$AY$3:$AY$1000,MATCH(H3,'Исходные данные'!$D$3:$D$1000,0)),"")))</xm:f>
            <x14:dxf>
              <fill>
                <patternFill patternType="solid">
                  <fgColor indexed="64"/>
                  <bgColor rgb="FFF4B183"/>
                </patternFill>
              </fill>
            </x14:dxf>
          </x14:cfRule>
          <xm:sqref>N3:N1000</xm:sqref>
        </x14:conditionalFormatting>
        <x14:conditionalFormatting xmlns:xm="http://schemas.microsoft.com/office/excel/2006/main">
          <x14:cfRule type="expression" priority="13610" id="{D281DF1F-CBD0-4415-931F-C4297EB47266}">
            <xm:f>ISNUMBER(SEARCH(Справочная!$AQ$5,IFERROR(INDEX('Исходные данные'!$AY$3:$AY$1000,MATCH(H3,'Исходные данные'!$D$3:$D$1000,0)),"")))</xm:f>
            <x14:dxf>
              <fill>
                <patternFill patternType="solid">
                  <fgColor indexed="64"/>
                  <bgColor rgb="FF9DC3E6"/>
                </patternFill>
              </fill>
            </x14:dxf>
          </x14:cfRule>
          <xm:sqref>N3:N1000</xm:sqref>
        </x14:conditionalFormatting>
        <x14:conditionalFormatting xmlns:xm="http://schemas.microsoft.com/office/excel/2006/main">
          <x14:cfRule type="expression" priority="13611" id="{47CB6DD9-F480-40FB-841D-3E5766B0A7FC}">
            <xm:f>ISNUMBER(SEARCH(Справочная!$AQ$6,IFERROR(INDEX('Исходные данные'!$AY$3:$AY$1000,MATCH(H3,'Исходные данные'!$D$3:$D$1000,0)),"")))</xm:f>
            <x14:dxf>
              <fill>
                <patternFill patternType="solid">
                  <fgColor indexed="64"/>
                  <bgColor rgb="FFC6EFCE"/>
                </patternFill>
              </fill>
            </x14:dxf>
          </x14:cfRule>
          <xm:sqref>N3:N1000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AD47"/>
    <outlinePr summaryBelow="0" summaryRight="0"/>
  </sheetPr>
  <dimension ref="A1:BL1000"/>
  <sheetViews>
    <sheetView tabSelected="1" zoomScale="85" zoomScaleNormal="85" workbookViewId="0">
      <pane xSplit="3" ySplit="2" topLeftCell="D54" activePane="bottomRight" state="frozen"/>
      <selection pane="topRight"/>
      <selection pane="bottomLeft"/>
      <selection pane="bottomRight" activeCell="N64" sqref="N64"/>
    </sheetView>
  </sheetViews>
  <sheetFormatPr defaultRowHeight="14.4" outlineLevelCol="1" x14ac:dyDescent="0.3"/>
  <cols>
    <col min="1" max="3" width="6" customWidth="1"/>
    <col min="4" max="4" width="9" customWidth="1"/>
    <col min="5" max="5" width="15" customWidth="1"/>
    <col min="6" max="7" width="8" customWidth="1"/>
    <col min="8" max="8" width="15" customWidth="1"/>
    <col min="9" max="9" width="15.33203125" customWidth="1"/>
    <col min="10" max="10" width="17.88671875" customWidth="1"/>
    <col min="11" max="11" width="20.5546875" customWidth="1"/>
    <col min="12" max="12" width="12" customWidth="1"/>
    <col min="13" max="13" width="7" customWidth="1"/>
    <col min="14" max="14" width="9" customWidth="1"/>
    <col min="15" max="15" width="6" customWidth="1"/>
    <col min="16" max="16" width="14" customWidth="1"/>
    <col min="17" max="17" width="26" customWidth="1"/>
    <col min="18" max="18" width="16" customWidth="1"/>
    <col min="19" max="19" width="40" customWidth="1"/>
    <col min="20" max="21" width="7" customWidth="1"/>
    <col min="22" max="22" width="6" customWidth="1"/>
    <col outlineLevel="1" hidden="1" min="23" max="23" width="17" customWidth="1"/>
    <col outlineLevel="1" hidden="1" min="24" max="24" width="14" customWidth="1"/>
    <col min="25" max="25" width="11" customWidth="1"/>
    <col outlineLevel="1" hidden="1" min="26" max="27" width="8" customWidth="1"/>
    <col outlineLevel="1" hidden="1" min="28" max="28" width="9" customWidth="1"/>
    <col outlineLevel="1" hidden="1" min="29" max="29" width="11" customWidth="1"/>
    <col outlineLevel="1" hidden="1" min="30" max="30" width="50" customWidth="1"/>
    <col min="31" max="31" width="3" customWidth="1" collapsed="1"/>
    <col min="32" max="53" width="9" hidden="1" customWidth="1" outlineLevel="1"/>
    <col min="54" max="54" width="6" hidden="1" customWidth="1" outlineLevel="1"/>
    <col min="55" max="64" width="6" hidden="1" customWidth="1"/>
    <col min="65" max="72" width="8" hidden="1" outlineLevel="1" customWidth="1"/>
    <col min="73" max="77" width="8" hidden="1" outlineLevel="1" customWidth="1"/>
  </cols>
  <sheetData>
    <row r="1" spans="1:64" ht="21.6" customHeight="1" x14ac:dyDescent="0.3">
      <c r="A1" s="210" t="s">
        <v>716</v>
      </c>
      <c r="B1" s="211"/>
      <c r="C1" s="211"/>
      <c r="D1" s="142" t="s">
        <v>717</v>
      </c>
      <c r="E1" s="214" t="s">
        <v>718</v>
      </c>
      <c r="F1" s="215"/>
      <c r="G1" s="215"/>
      <c r="H1" s="215"/>
      <c r="I1" s="216" t="s">
        <v>719</v>
      </c>
      <c r="J1" s="217"/>
      <c r="K1" s="217"/>
      <c r="L1" s="218" t="s">
        <v>720</v>
      </c>
      <c r="M1" s="219"/>
      <c r="N1" s="219"/>
      <c r="O1" s="219"/>
      <c r="P1" s="151" t="s">
        <v>721</v>
      </c>
      <c r="Q1" s="137" t="s">
        <v>722</v>
      </c>
      <c r="R1" s="210" t="s">
        <v>723</v>
      </c>
      <c r="S1" s="211"/>
      <c r="T1" s="211"/>
      <c r="U1" s="211"/>
      <c r="V1" s="211"/>
      <c r="W1" s="210" t="s">
        <v>724</v>
      </c>
      <c r="X1" s="211"/>
      <c r="Y1" s="212" t="s">
        <v>725</v>
      </c>
      <c r="Z1" s="213"/>
      <c r="AA1" s="213"/>
      <c r="AB1" s="213"/>
      <c r="AC1" s="213"/>
      <c r="AD1" s="213"/>
      <c r="AE1" s="212">
        <f>"Ошибок: "&amp;COUNTIF($BU$3:$BU$1000,2)&amp;"   Предупреждений: "&amp;COUNTIF($BU$3:$BU$1000,1)</f>
      </c>
      <c r="AF1" s="131" t="s">
        <v>726</v>
      </c>
      <c r="BC1" s="129" t="s">
        <v>727</v>
      </c>
    </row>
    <row r="2" spans="1:64" ht="84" customHeight="1" x14ac:dyDescent="0.3">
      <c r="A2" s="136" t="s">
        <v>12</v>
      </c>
      <c r="B2" s="139" t="s">
        <v>728</v>
      </c>
      <c r="C2" s="139" t="s">
        <v>729</v>
      </c>
      <c r="D2" s="141" t="s">
        <v>730</v>
      </c>
      <c r="E2" s="141" t="s">
        <v>731</v>
      </c>
      <c r="F2" s="144" t="s">
        <v>732</v>
      </c>
      <c r="G2" s="146" t="s">
        <v>733</v>
      </c>
      <c r="H2" s="146" t="s">
        <v>16</v>
      </c>
      <c r="I2" s="141" t="s">
        <v>734</v>
      </c>
      <c r="J2" s="144" t="s">
        <v>735</v>
      </c>
      <c r="K2" s="144" t="s">
        <v>736</v>
      </c>
      <c r="L2" s="141" t="s">
        <v>737</v>
      </c>
      <c r="M2" s="148" t="s">
        <v>738</v>
      </c>
      <c r="N2" s="144" t="s">
        <v>739</v>
      </c>
      <c r="O2" s="148" t="s">
        <v>740</v>
      </c>
      <c r="P2" s="150" t="s">
        <v>741</v>
      </c>
      <c r="Q2" s="136" t="s">
        <v>18</v>
      </c>
      <c r="R2" s="136" t="s">
        <v>742</v>
      </c>
      <c r="S2" s="139" t="s">
        <v>14</v>
      </c>
      <c r="T2" s="139" t="s">
        <v>743</v>
      </c>
      <c r="U2" s="139" t="s">
        <v>744</v>
      </c>
      <c r="V2" s="139" t="s">
        <v>745</v>
      </c>
      <c r="W2" s="136" t="s">
        <v>16</v>
      </c>
      <c r="X2" s="139" t="s">
        <v>740</v>
      </c>
      <c r="Y2" s="141" t="s">
        <v>746</v>
      </c>
      <c r="Z2" s="159" t="s">
        <v>747</v>
      </c>
      <c r="AA2" s="159" t="s">
        <v>748</v>
      </c>
      <c r="AB2" s="159" t="s">
        <v>1031</v>
      </c>
      <c r="AC2" s="159" t="s">
        <v>749</v>
      </c>
      <c r="AD2" s="159" t="s">
        <v>750</v>
      </c>
      <c r="AE2" s="159" t="inlineStr">
        <is>
          <t xml:space="preserve">Статус строки
(что проверить)</t>
        </is>
      </c>
      <c r="AF2" s="130" t="s">
        <v>751</v>
      </c>
      <c r="AG2" s="130" t="s">
        <v>752</v>
      </c>
      <c r="AH2" s="130" t="s">
        <v>753</v>
      </c>
      <c r="AI2" s="130" t="s">
        <v>754</v>
      </c>
      <c r="AJ2" s="130" t="s">
        <v>755</v>
      </c>
      <c r="AK2" s="130" t="s">
        <v>756</v>
      </c>
      <c r="AL2" s="130" t="s">
        <v>757</v>
      </c>
      <c r="AM2" s="130" t="s">
        <v>758</v>
      </c>
      <c r="AN2" s="130" t="s">
        <v>759</v>
      </c>
      <c r="AO2" s="130" t="s">
        <v>760</v>
      </c>
      <c r="AP2" s="130" t="s">
        <v>761</v>
      </c>
      <c r="AQ2" s="130" t="s">
        <v>762</v>
      </c>
      <c r="AR2" s="130" t="s">
        <v>763</v>
      </c>
      <c r="AS2" s="130" t="s">
        <v>764</v>
      </c>
      <c r="AT2" s="130" t="s">
        <v>765</v>
      </c>
      <c r="AU2" s="130" t="s">
        <v>766</v>
      </c>
      <c r="AV2" s="130" t="s">
        <v>767</v>
      </c>
      <c r="AW2" s="130" t="s">
        <v>768</v>
      </c>
      <c r="AX2" s="130" t="s">
        <v>769</v>
      </c>
      <c r="AY2" s="130" t="s">
        <v>770</v>
      </c>
      <c r="AZ2" s="130" t="s">
        <v>771</v>
      </c>
      <c r="BA2" s="130" t="s">
        <v>772</v>
      </c>
      <c r="BB2" s="130" t="s">
        <v>1032</v>
      </c>
      <c r="BD2" s="130" t="s">
        <v>773</v>
      </c>
      <c r="BE2" s="130" t="s">
        <v>774</v>
      </c>
      <c r="BF2" s="130" t="s">
        <v>775</v>
      </c>
      <c r="BG2" s="130" t="s">
        <v>776</v>
      </c>
      <c r="BH2" s="130" t="s">
        <v>777</v>
      </c>
      <c r="BI2" s="130" t="s">
        <v>778</v>
      </c>
      <c r="BJ2" s="130" t="s">
        <v>779</v>
      </c>
      <c r="BK2" s="130" t="s">
        <v>780</v>
      </c>
      <c r="BL2" s="130" t="s">
        <v>781</v>
      </c>
      <c r="BM2" s="130" t="inlineStr">
        <is>
          <t xml:space="preserve">тип автомата №</t>
        </is>
      </c>
      <c r="BN2" s="130" t="inlineStr">
        <is>
          <t xml:space="preserve">аппарат 1 №</t>
        </is>
      </c>
      <c r="BO2" s="130" t="inlineStr">
        <is>
          <t xml:space="preserve">аппарат 2 №</t>
        </is>
      </c>
      <c r="BP2" s="130" t="inlineStr">
        <is>
          <t xml:space="preserve">аппарат 3 №</t>
        </is>
      </c>
      <c r="BQ2" s="130" t="inlineStr">
        <is>
          <t xml:space="preserve">кабель клеммы</t>
        </is>
      </c>
      <c r="BR2" s="130" t="inlineStr">
        <is>
          <t xml:space="preserve">вид клеммы №</t>
        </is>
      </c>
      <c r="BS2" s="130" t="inlineStr">
        <is>
          <t xml:space="preserve">модуль №</t>
        </is>
      </c>
      <c r="BT2" s="130" t="inlineStr">
        <is>
          <t xml:space="preserve">модель №</t>
        </is>
      </c>
      <c r="BU2" s="130" t="inlineStr">
        <is>
          <t xml:space="preserve">уровень</t>
        </is>
      </c>
      <c r="BV2" s="130" t="inlineStr">
        <is>
          <t xml:space="preserve">№ линии</t>
        </is>
      </c>
      <c r="BW2" s="130" t="inlineStr">
        <is>
          <t xml:space="preserve">3L клемм</t>
        </is>
      </c>
      <c r="BX2" s="130" t="inlineStr">
        <is>
          <t xml:space="preserve">доп. проходных</t>
        </is>
      </c>
      <c r="BY2" s="130" t="inlineStr">
        <is>
          <t xml:space="preserve">УГО (рус)</t>
        </is>
      </c>
    </row>
    <row r="3" spans="1:64" x14ac:dyDescent="0.3">
      <c r="A3" s="135">
        <f>IF(Разбивка_по_щитам!F3=0,"",Разбивка_по_щитам!F3)</f>
      </c>
      <c r="B3" s="138">
        <f>IF(A3="","",Разбивка_по_щитам!C3)</f>
      </c>
      <c r="C3" s="138">
        <f t="shared" ref="C3:C66" si="0">IF(B3="","",INT((B3-1)/Столбцов_на_лист)+1)</f>
      </c>
      <c r="D3" s="266"/>
      <c r="E3" s="266"/>
      <c r="F3" s="267"/>
      <c r="G3" s="145">
        <f t="shared" ref="G3:G18" si="1">IF(OR(R3&lt;&gt;"",O3&lt;&gt;"",AY3=1),AG3,"")</f>
        <v/>
      </c>
      <c r="H3" s="145">
        <f t="shared" ref="H3:H18" si="2">IF(E3="","",IF(AND(E3&lt;&gt;"авто",E3&lt;&gt;"+"),E3,AT3&amp;" С"&amp;AQ3&amp;"А"&amp;IF(AS3=1," 30мА","")))</f>
        <v/>
      </c>
      <c r="I3" s="266"/>
      <c r="J3" s="267"/>
      <c r="K3" s="267"/>
      <c r="L3" s="266"/>
      <c r="M3" s="147">
        <f t="shared" ref="M3:M18" si="3">IF(OR(O3&lt;&gt;"",AND(L3&lt;&gt;"",L3&lt;&gt;"-")),AH3,"")</f>
        <v/>
      </c>
      <c r="N3" s="267"/>
      <c r="O3" s="147">
        <f t="shared" ref="O3:O18" si="4">IF(N3="=",AX2,IF(ISNUMBER(N3),N3,IF(AH3="","",IF(OR(R3&lt;&gt;"",N3="+",N3="р"),IF(OR(AW3&lt;&gt;"",AX2=""),1,AX2+1),""))))</f>
        <v/>
      </c>
      <c r="P3" s="268">
        <f>IF(AY3=1,"XT"&amp;COUNTIFS($A$3:A3,A3,$AY$3:AY3,1),"")</f>
        <v/>
      </c>
      <c r="Q3" s="152">
        <f>IF(R3="","",IFERROR(SUBSTITUTE(Разбивка_по_щитам!P3,CHAR(10)," "),""))</f>
        <v/>
      </c>
      <c r="R3" s="153">
        <f>IF(OR(Разбивка_по_щитам!H3="",Разбивка_по_щитам!H3=0),"",Разбивка_по_щитам!H3)</f>
        <v/>
      </c>
      <c r="S3" s="154">
        <f>IF(R3="","",IFERROR(Разбивка_по_щитам!J3&amp;"",""))</f>
        <v/>
      </c>
      <c r="T3" s="155">
        <f>IF(R3="","",IFERROR(--Разбивка_по_щитам!L3,""))</f>
        <v/>
      </c>
      <c r="U3" s="155">
        <f>IF(R3="","",IFERROR(--Разбивка_по_щитам!K3,""))</f>
        <v/>
      </c>
      <c r="V3" s="138">
        <f>IF(R3="","",IFERROR(IF(Разбивка_по_щитам!M3=0,"",Разбивка_по_щитам!M3),""))</f>
        <v/>
      </c>
      <c r="W3" s="156">
        <f t="shared" ref="W3:W66" si="5">IF(E3="","",IF(NOT(ISNUMBER(AU3)),"",IF(Z3&gt;AU3,"ПЕРЕГРУЗ",IF(AND(BA3=0,AP3&gt;0,AU3&gt;AP3),"КАБЕЛЬ НЕ ЗАЩИЩЁН","ok"))))</f>
        <v/>
      </c>
      <c r="X3" s="157">
        <f t="shared" ref="X3:X66" si="6">IF(OR(O3="",AH3=""),"",IF(O3&gt;IFERROR(VLOOKUP(AI3,Модули_спр,3,FALSE),99),"ЛИШНИЙ КАНАЛ",IF(AND(N3&lt;&gt;"=",COUNTIFS($AH$3:$AH$1000,AH3,$O$3:$O$1000,O3,$N$3:$N$1000,"&lt;&gt;=")&gt;1),"ДУБЛЬ КАНАЛА","")))</f>
        <v/>
      </c>
      <c r="Y3" s="266"/>
      <c r="Z3" s="158">
        <f t="shared" ref="Z3:Z66" si="7">IF(E3="","",SUMIFS($U$3:$U$1000,$AF$3:$AF$1000,AF3,$A$3:$A$1000,A3,$AN$3:$AN$1000,0))</f>
        <v/>
      </c>
      <c r="AA3" s="160">
        <f t="shared" ref="AA3:AA66" si="8">IF(E3="","",IFERROR(VLOOKUP(Z3,Автомат_номиналы,2,TRUE),""))</f>
        <v/>
      </c>
      <c r="AB3" s="160">
        <f>IF(R3="","",IFERROR(LOOKUP(INDEX(Справочная!$I$4:$I$19,MATCH(VLOOKUP(R3,Исходные_данные,22,FALSE),Справочная!$J$4:$J$19,0)+1),{6,10,16,20,25,32,40,50,63,80,100,125}),""))</f>
        <v/>
      </c>
      <c r="AC3" s="160">
        <f t="shared" ref="AC3:AC66" si="9">IF(M3="","",AI3)</f>
        <v/>
      </c>
      <c r="AD3" s="161">
        <f t="shared" ref="AD3:AD66" si="10">IF(AND(R3="",O3="",P3=""),"",_xlfn.TEXTJOIN(" → ",TRUE,AG3,AZ3,IF(AH3&lt;&gt;"",AH3&amp;IF(O3&lt;&gt;""," к."&amp;O3,""),IF(O3&lt;&gt;"","к."&amp;O3,"")),P3,IF(AN3=1,"(в кабель выше)","")))</f>
        <v/>
      </c>
      <c r="AE3" s="161">
        <f>IF(AND(R3="",G3=""),"",_xlfn.TEXTJOIN("; ",TRUE,IF(AND(R3&lt;&gt;"",V3=""),"нет фазы",""),IF(AND(R3&lt;&gt;"",N(T3)=0),"нет мощности",""),IF(AND(P3&lt;&gt;"",COUNTIFS($A$3:$A$1000,A3,$P$3:$P$1000,P3)&gt;1),"дубль клеммы "&amp;P3,""),IF(AND(W3&lt;&gt;"",W3&lt;&gt;"ok"),W3,""),IF(X3&lt;&gt;"",X3,""),IF(AND(ISNUMBER(SEARCH("(5х",Q3)),N(AK3)=1),"5 жил на 1 фазе",""),IF(AND(AL3="R",E3&lt;&gt;"",N(AS3)=0),"розетка без 30 мА",""),IF(IFERROR(_xlfn.NUMBERVALUE(MID(Q3,FIND("-",Q3,FIND("L=",Q3))+1,FIND("%",Q3)-FIND("-",Q3,FIND("L=",Q3))-1),","),0)&gt;4,"потери &gt; 4 %","")))</f>
      </c>
      <c r="AF3" s="129">
        <f>IF(E3&lt;&gt;"",COUNTIFS($A$3:A3,A3,$E$3:E3,"?*"),IF(OR(A3&lt;&gt;A2,Y3="вручную"),"",AF2))</f>
        <v/>
      </c>
      <c r="AG3" s="129">
        <f t="shared" ref="AG3:AG66" si="11">IF(AJ3&lt;&gt;"",AJ3,IF(OR(A3&lt;&gt;A2,Y3="вручную"),"",AG2))</f>
        <v/>
      </c>
      <c r="AH3" s="129">
        <f t="shared" ref="AH3:AH66" si="12">IF(L3="-","",IF(AW3&lt;&gt;"",AW3,IF(A3&lt;&gt;A2,"",AH2)))</f>
        <v/>
      </c>
      <c r="AI3" s="129">
        <f t="shared" ref="AI3:AI66" si="13">IF(AH3="","",IF(AND(L3&lt;&gt;"",L3&lt;&gt;"-"),L3,AI2))</f>
        <v/>
      </c>
      <c r="AJ3" s="129">
        <f t="shared" ref="AJ3:AJ66" si="14">IF(E3="","",IF(AS3=1,"QFD","QF")&amp;AF3)</f>
        <v/>
      </c>
      <c r="AK3" s="129">
        <f t="shared" ref="AK3:AK66" si="15">IF(R3="","",IFERROR(--VLOOKUP(R3,Исходные_данные,8,FALSE),1))</f>
        <v/>
      </c>
      <c r="AL3" s="129">
        <f t="shared" ref="AL3:AL66" si="16">IF(R3="","",IFERROR(LEFT(R3,FIND(".",R3)-1),R3))</f>
        <v/>
      </c>
      <c r="AM3" s="129">
        <f t="shared" ref="AM3:AM66" si="17">IF(AL3="",0,IFERROR(IF(VLOOKUP(R3,УГО_спр,3,FALSE)="да",1,0),IFERROR(IF(VLOOKUP(AL3,УГО_спр,3,FALSE)="да",1,0),IFERROR(IF(VLOOKUP(LEFT(AL3,2),УГО_спр,3,FALSE)="да",1,0),0))))</f>
      </c>
      <c r="AN3" s="129">
        <f t="shared" ref="AN3:AN66" si="18">IF(OR(N3="+",AND(R3&lt;&gt;"",R3=R2)),1,0)</f>
      </c>
      <c r="AO3" s="129">
        <f t="shared" ref="AO3:AO66" si="19">IF(E3="","",MAX(N(AA3),_xlfn.MAXIFS($BB$3:$BB$1000,$AF$3:$AF$1000,AF3,$A$3:$A$1000,A3)))</f>
        <v/>
      </c>
      <c r="AP3" s="129">
        <f t="shared" ref="AP3:AP66" si="20">IF(E3="","",_xlfn.MINIFS($AB$3:$AB$1000,$AF$3:$AF$1000,AF3,$A$3:$A$1000,A3))</f>
        <v/>
      </c>
      <c r="AQ3" s="129">
        <f t="shared" ref="AQ3:AQ66" si="21">IF(E3="","",IF(BA3=1,MAX(AO3,Мин_автомат_БП),AO3))</f>
        <v/>
      </c>
      <c r="AR3" s="129">
        <f t="shared" ref="AR3:AR66" si="22">IF(E3="","",MAX(1,_xlfn.MAXIFS($AK$3:$AK$1000,$AF$3:$AF$1000,AF3,$A$3:$A$1000,A3)))</f>
        <v/>
      </c>
      <c r="AS3" s="129">
        <f t="shared" ref="AS3:AS66" si="23">IF(E3="","",IF(AND(E3&lt;&gt;"авто",E3&lt;&gt;"+"),IF(ISNUMBER(SEARCH("мА",E3)),1,0),IF(F3="да",1,IF(F3="нет",0,IF(_xlfn.MAXIFS($AM$3:$AM$1000,$AF$3:$AF$1000,AF3,$A$3:$A$1000,A3)&gt;0,1,0)))))</f>
        <v/>
      </c>
      <c r="AT3" s="129">
        <f t="shared" ref="AT3:AT66" si="24">IF(E3="","",IF(AR3&gt;=3,IF(AS3=1,"4P","3P"),IF(AS3=1,"2P","1P")))</f>
        <v/>
      </c>
      <c r="AU3" s="129">
        <f t="shared" ref="AU3:AU66" si="25">IF(H3="","",IFERROR(--MID(SUBSTITUTE(SUBSTITUTE(UPPER(H3),"С","C"),"А","A"),FIND("C",SUBSTITUTE(SUBSTITUTE(UPPER(H3),"С","C"),"А","A"))+1,FIND("A",SUBSTITUTE(SUBSTITUTE(UPPER(H3),"С","C"),"А","A")&amp;"A",FIND("C",SUBSTITUTE(SUBSTITUTE(UPPER(H3),"С","C"),"А","A")))-FIND("C",SUBSTITUTE(SUBSTITUTE(UPPER(H3),"С","C"),"А","A"))-1),""))</f>
        <v/>
      </c>
      <c r="AV3" s="129">
        <f t="shared" ref="AV3:AV66" si="26">IF(OR(L3="",L3="-"),"",IFERROR(VLOOKUP(L3,Модули_спр,2,FALSE),"R"))</f>
        <v/>
      </c>
      <c r="AW3" s="129">
        <f>IF(AV3="","",AV3&amp;"."&amp;COUNTIFS($A$3:A3,A3,$AV$3:AV3,AV3))</f>
        <v/>
      </c>
      <c r="AX3" s="129">
        <f t="shared" ref="AX3:AX66" si="27">IF(O3&lt;&gt;"",O3,IF(OR(A3&lt;&gt;A2,L3="-",AW3&lt;&gt;""),"",AX2))</f>
        <v/>
      </c>
      <c r="AY3" s="129">
        <f>IF(N3="б/к",0,IF(OR(ISNUMBER(SEARCH("L=",Разбивка_по_щитам!P3)),N3="+",N3="="),1,0))</f>
      </c>
      <c r="AZ3" s="129">
        <f t="shared" ref="AZ3:AZ66" si="28">IF(AJ3&lt;&gt;"",_xlfn.TEXTJOIN(" → ",TRUE,I3,J3,K3),IF(AG3="","",AZ2))</f>
        <v/>
      </c>
      <c r="BA3" s="129">
        <f t="shared" ref="BA3:BA66" si="29">IF(AZ3="",0,IF(OR(LEFT(AZ3,2)="T ",LEFT(AZ3,2)="Т ",ISNUMBER(SEARCH("→ T ",AZ3)),ISNUMBER(SEARCH("→ Т ",AZ3)),ISNUMBER(SEARCH("БП",AZ3))),1,0))</f>
      </c>
      <c r="BB3" s="129">
        <f t="shared" ref="BB3:BB66" si="30">IF(R3="",0,MAX(IFERROR(--VLOOKUP(R3,Исходные_данные,18,FALSE),0),IFERROR(--VLOOKUP(R3,УГО_спр,4,FALSE),IFERROR(--VLOOKUP(AL3,УГО_спр,4,FALSE),IFERROR(--VLOOKUP(LEFT(AL3,2),УГО_спр,4,FALSE),0)))))</f>
      </c>
      <c r="BD3" s="129">
        <f t="shared" ref="BD3:BD66" si="31">IF(Y3="вручную",0,1)</f>
      </c>
      <c r="BE3" s="129">
        <f t="shared" ref="BE3:BE66" si="32">IF(D3="",0,1)</f>
      </c>
      <c r="BF3" s="129">
        <f t="shared" ref="BF3:BF66" si="33">IF(AJ3="",0,IF(LEFT(AJ3,3)="QFD",1,0))</f>
      </c>
      <c r="BG3" s="129">
        <f t="shared" ref="BG3:BG66" si="34">IF(N3="=","=",IF(N3="+","+",IF(N3="р","R","")))</f>
        <v/>
      </c>
      <c r="BH3" s="129">
        <f t="shared" ref="BH3:BH66" si="35">IF(I3="","",IF(OR(LEFT(I3,1)="T",LEFT(I3,1)="Т"),"T",IF(LEFT(UPPER(I3),2)="БП","PS",IF(OR(LEFT(UPPER(I3),2)="МК",LEFT(UPPER(I3),2)="MK"),"MK",IF(OR(LEFT(UPPER(I3),2)="КМ",LEFT(UPPER(I3),2)="KM"),"KM","X")))))</f>
        <v/>
      </c>
      <c r="BI3" s="129">
        <f t="shared" ref="BI3:BI66" si="36">IF(J3="","",IF(OR(LEFT(J3,1)="T",LEFT(J3,1)="Т"),"T",IF(LEFT(UPPER(J3),2)="БП","PS",IF(OR(LEFT(UPPER(J3),2)="МК",LEFT(UPPER(J3),2)="MK"),"MK",IF(OR(LEFT(UPPER(J3),2)="КМ",LEFT(UPPER(J3),2)="KM"),"KM","X")))))</f>
        <v/>
      </c>
      <c r="BJ3" s="129">
        <f t="shared" ref="BJ3:BJ66" si="37">IF(K3="","",IF(OR(LEFT(K3,1)="T",LEFT(K3,1)="Т"),"T",IF(LEFT(UPPER(K3),2)="БП","PS",IF(OR(LEFT(UPPER(K3),2)="МК",LEFT(UPPER(K3),2)="MK"),"MK",IF(OR(LEFT(UPPER(K3),2)="КМ",LEFT(UPPER(K3),2)="KM"),"KM","X")))))</f>
        <v/>
      </c>
      <c r="BK3" s="129">
        <f>IF(R3="","",IF(OR(BY3="",BY3=0),"BOX",IFERROR(IF(VLOOKUP(BY3,УГО_блоки,3,FALSE)&amp;""&lt;&gt;"",VLOOKUP(BY3,УГО_блоки,3,FALSE),VLOOKUP(BY3,УГО_блоки,2,FALSE)),BY3)))</f>
      </c>
      <c r="BL3" s="129">
        <f t="shared" ref="BL3:BL66" si="39">IF(R3="",0,1)</f>
      </c>
      <c r="BM3" s="129">
        <f>IF(H3="","",IF(COUNTIF($H$3:H3,H3)=1,MAX($BM$2:BM2)+1,""))</f>
      </c>
      <c r="BN3" s="129">
        <f>IF(I3="","",IF(COUNTIF($I$3:I3,I3)+COUNTIF($J$2:J2,I3)+COUNTIF($K$2:K2,I3)=1,MAX($BN$2:BP2)+1,""))</f>
      </c>
      <c r="BO3" s="129">
        <f>IF(J3="","",IF(COUNTIF($I$3:I3,J3)+COUNTIF($J$3:J3,J3)+COUNTIF($K$2:K2,J3)=1,MAX($BN$2:BP2,BN3)+1,""))</f>
      </c>
      <c r="BP3" s="129">
        <f>IF(K3="","",IF(COUNTIF($I$3:I3,K3)+COUNTIF($J$3:J3,K3)+COUNTIF($K$3:K3,K3)=1,MAX($BN$2:BP2,BN3,BO3)+1,""))</f>
      </c>
      <c r="BQ3" s="129">
        <f>IF(AY3=1,IFERROR(MID(Q3,FIND(" (",Q3)+2,FIND(")",Q3,FIND(" (",Q3))-FIND(" (",Q3)-2),"?"),"")</f>
      </c>
      <c r="BR3" s="129">
        <f>IF(BQ3="","",IF(COUNTIF($BQ$3:BQ3,BQ3)=1,MAX($BR$2:BR2)+1,""))</f>
      </c>
      <c r="BS3" s="129">
        <f>IF(AW3="","",COUNTIF($AW$3:AW3,"?*"))</f>
      </c>
      <c r="BT3" s="129">
        <f>IF(OR(AW3="",AI3=""),"",IF(COUNTIFS($AW$3:AW3,"?*",$AI$3:AI3,AI3)=1,MAX($BT$2:BT2)+1,""))</f>
      </c>
      <c r="BU3" s="129">
        <f>IF(AE3="",0,IF(OR(ISNUMBER(SEARCH("дубль",AE3)),ISNUMBER(SEARCH("ПЕРЕГРУЗ",AE3)),ISNUMBER(SEARCH("ЗАЩИЩ",AE3)),ISNUMBER(SEARCH("КАНАЛ",AE3)),ISNUMBER(SEARCH("без 30",AE3))),2,1))</f>
      </c>
      <c r="BV3" s="129">
        <f>IF(R3="","",COUNTIF($R$3:R3,"?*"))</f>
      </c>
      <c r="BW3" s="129">
        <f>IF(AY3&lt;&gt;1,0,IF(MAX(IFERROR(--VLOOKUP(R3,УГО_спр,5,FALSE),0),IFERROR(--VLOOKUP(AL3,УГО_спр,5,FALSE),0),IFERROR(--VLOOKUP(LEFT(AL3,2),УГО_спр,5,FALSE),0))&gt;0,MAX(IFERROR(--VLOOKUP(R3,УГО_спр,5,FALSE),0),IFERROR(--VLOOKUP(AL3,УГО_спр,5,FALSE),0),IFERROR(--VLOOKUP(LEFT(AL3,2),УГО_спр,5,FALSE),0)),IF(IFERROR(--LEFT(SUBSTITUTE(BQ3,"x","х"),FIND("х",SUBSTITUTE(BQ3,"x","х"))-1),3)&gt;3,Каталог!$S$9,1)))</f>
      </c>
      <c r="BX3" s="129">
        <f>IF(AY3&lt;&gt;1,0,MAX(0,IFERROR(--LEFT(SUBSTITUTE(BQ3,"x","х"),FIND("х",SUBSTITUTE(BQ3,"x","х"))-1),3)-3*BW3))</f>
      </c>
      <c r="BY3" s="129">
        <f>IF(R3="","",IFERROR(VLOOKUP(R3,УГО_спр,2,FALSE),IFERROR(VLOOKUP(AL3,УГО_спр,2,FALSE),IFERROR(VLOOKUP(LEFT(AL3,2),УГО_спр,2,FALSE),""))))</f>
      </c>
    </row>
    <row r="4" spans="1:64" x14ac:dyDescent="0.3">
      <c r="A4" s="135">
        <f>IF(Разбивка_по_щитам!F4=0,"",Разбивка_по_щитам!F4)</f>
      </c>
      <c r="B4" s="138">
        <f>IF(A4="","",Разбивка_по_щитам!C4)</f>
      </c>
      <c r="C4" s="138">
        <f t="shared" si="0"/>
      </c>
      <c r="D4" s="266"/>
      <c r="E4" s="266"/>
      <c r="F4" s="267"/>
      <c r="G4" s="145">
        <f t="shared" si="1"/>
        <v/>
      </c>
      <c r="H4" s="145">
        <f t="shared" si="2"/>
        <v/>
      </c>
      <c r="I4" s="266"/>
      <c r="J4" s="267"/>
      <c r="K4" s="267"/>
      <c r="L4" s="266"/>
      <c r="M4" s="147">
        <f t="shared" si="3"/>
        <v/>
      </c>
      <c r="N4" s="267"/>
      <c r="O4" s="147">
        <f t="shared" si="4"/>
        <v/>
      </c>
      <c r="P4" s="268">
        <f>IF(AY4=1,"XT"&amp;COUNTIFS($A$3:A4,A4,$AY$3:AY4,1),"")</f>
        <v/>
      </c>
      <c r="Q4" s="152">
        <f>IF(R4="","",IFERROR(SUBSTITUTE(Разбивка_по_щитам!P4,CHAR(10)," "),""))</f>
        <v/>
      </c>
      <c r="R4" s="153">
        <f>IF(OR(Разбивка_по_щитам!H4="",Разбивка_по_щитам!H4=0),"",Разбивка_по_щитам!H4)</f>
        <v/>
      </c>
      <c r="S4" s="154">
        <f>IF(R4="","",IFERROR(Разбивка_по_щитам!J4&amp;"",""))</f>
        <v/>
      </c>
      <c r="T4" s="155">
        <f>IF(R4="","",IFERROR(--Разбивка_по_щитам!L4,""))</f>
        <v/>
      </c>
      <c r="U4" s="155">
        <f>IF(R4="","",IFERROR(--Разбивка_по_щитам!K4,""))</f>
        <v/>
      </c>
      <c r="V4" s="138">
        <f>IF(R4="","",IFERROR(IF(Разбивка_по_щитам!M4=0,"",Разбивка_по_щитам!M4),""))</f>
        <v/>
      </c>
      <c r="W4" s="156">
        <f t="shared" si="5"/>
        <v/>
      </c>
      <c r="X4" s="157">
        <f t="shared" si="6"/>
        <v/>
      </c>
      <c r="Y4" s="266"/>
      <c r="Z4" s="158">
        <f t="shared" si="7"/>
        <v/>
      </c>
      <c r="AA4" s="160">
        <f t="shared" si="8"/>
        <v/>
      </c>
      <c r="AB4" s="160">
        <f>IF(R4="","",IFERROR(LOOKUP(INDEX(Справочная!$I$4:$I$19,MATCH(VLOOKUP(R4,Исходные_данные,22,FALSE),Справочная!$J$4:$J$19,0)+1),{6,10,16,20,25,32,40,50,63,80,100,125}),""))</f>
        <v/>
      </c>
      <c r="AC4" s="160">
        <f t="shared" si="9"/>
        <v/>
      </c>
      <c r="AD4" s="161">
        <f t="shared" si="10"/>
        <v/>
      </c>
      <c r="AE4" s="161">
        <f>IF(AND(R4="",G4=""),"",_xlfn.TEXTJOIN("; ",TRUE,IF(AND(R4&lt;&gt;"",V4=""),"нет фазы",""),IF(AND(R4&lt;&gt;"",N(T4)=0),"нет мощности",""),IF(AND(P4&lt;&gt;"",COUNTIFS($A$3:$A$1000,A4,$P$3:$P$1000,P4)&gt;1),"дубль клеммы "&amp;P4,""),IF(AND(W4&lt;&gt;"",W4&lt;&gt;"ok"),W4,""),IF(X4&lt;&gt;"",X4,""),IF(AND(ISNUMBER(SEARCH("(5х",Q4)),N(AK4)=1),"5 жил на 1 фазе",""),IF(AND(AL4="R",E4&lt;&gt;"",N(AS4)=0),"розетка без 30 мА",""),IF(IFERROR(_xlfn.NUMBERVALUE(MID(Q4,FIND("-",Q4,FIND("L=",Q4))+1,FIND("%",Q4)-FIND("-",Q4,FIND("L=",Q4))-1),","),0)&gt;4,"потери &gt; 4 %","")))</f>
      </c>
      <c r="AF4" s="129">
        <f>IF(E4&lt;&gt;"",COUNTIFS($A$3:A4,A4,$E$3:E4,"?*"),IF(OR(A4&lt;&gt;A3,Y4="вручную"),"",AF3))</f>
        <v/>
      </c>
      <c r="AG4" s="129">
        <f t="shared" si="11"/>
        <v/>
      </c>
      <c r="AH4" s="129">
        <f t="shared" si="12"/>
        <v/>
      </c>
      <c r="AI4" s="129">
        <f t="shared" si="13"/>
        <v/>
      </c>
      <c r="AJ4" s="129">
        <f t="shared" si="14"/>
        <v/>
      </c>
      <c r="AK4" s="129">
        <f t="shared" si="15"/>
        <v/>
      </c>
      <c r="AL4" s="129">
        <f t="shared" si="16"/>
        <v/>
      </c>
      <c r="AM4" s="129">
        <f t="shared" si="17"/>
      </c>
      <c r="AN4" s="129">
        <f t="shared" si="18"/>
      </c>
      <c r="AO4" s="129">
        <f t="shared" si="19"/>
        <v/>
      </c>
      <c r="AP4" s="129">
        <f t="shared" si="20"/>
        <v/>
      </c>
      <c r="AQ4" s="129">
        <f t="shared" si="21"/>
        <v/>
      </c>
      <c r="AR4" s="129">
        <f t="shared" si="22"/>
        <v/>
      </c>
      <c r="AS4" s="129">
        <f t="shared" si="23"/>
        <v/>
      </c>
      <c r="AT4" s="129">
        <f t="shared" si="24"/>
        <v/>
      </c>
      <c r="AU4" s="129">
        <f t="shared" si="25"/>
        <v/>
      </c>
      <c r="AV4" s="129">
        <f t="shared" si="26"/>
        <v/>
      </c>
      <c r="AW4" s="129">
        <f>IF(AV4="","",AV4&amp;"."&amp;COUNTIFS($A$3:A4,A4,$AV$3:AV4,AV4))</f>
        <v/>
      </c>
      <c r="AX4" s="129">
        <f t="shared" si="27"/>
        <v/>
      </c>
      <c r="AY4" s="129">
        <f>IF(N4="б/к",0,IF(OR(ISNUMBER(SEARCH("L=",Разбивка_по_щитам!P4)),N4="+",N4="="),1,0))</f>
      </c>
      <c r="AZ4" s="129">
        <f t="shared" si="28"/>
        <v/>
      </c>
      <c r="BA4" s="129">
        <f t="shared" si="29"/>
      </c>
      <c r="BB4" s="129">
        <f t="shared" si="30"/>
      </c>
      <c r="BD4" s="129">
        <f t="shared" si="31"/>
      </c>
      <c r="BE4" s="129">
        <f t="shared" si="32"/>
      </c>
      <c r="BF4" s="129">
        <f t="shared" si="33"/>
      </c>
      <c r="BG4" s="129">
        <f t="shared" si="34"/>
        <v/>
      </c>
      <c r="BH4" s="129">
        <f t="shared" si="35"/>
        <v/>
      </c>
      <c r="BI4" s="129">
        <f t="shared" si="36"/>
        <v/>
      </c>
      <c r="BJ4" s="129">
        <f t="shared" si="37"/>
        <v/>
      </c>
      <c r="BK4" s="129">
        <f>IF(R4="","",IF(OR(BY4="",BY4=0),"BOX",IFERROR(IF(VLOOKUP(BY4,УГО_блоки,3,FALSE)&amp;""&lt;&gt;"",VLOOKUP(BY4,УГО_блоки,3,FALSE),VLOOKUP(BY4,УГО_блоки,2,FALSE)),BY4)))</f>
      </c>
      <c r="BL4" s="129">
        <f t="shared" si="39"/>
      </c>
      <c r="BM4" s="129">
        <f>IF(H4="","",IF(COUNTIF($H$3:H4,H4)=1,MAX($BM$2:BM3)+1,""))</f>
      </c>
      <c r="BN4" s="129">
        <f>IF(I4="","",IF(COUNTIF($I$3:I4,I4)+COUNTIF($J$2:J3,I4)+COUNTIF($K$2:K3,I4)=1,MAX($BN$2:BP3)+1,""))</f>
      </c>
      <c r="BO4" s="129">
        <f>IF(J4="","",IF(COUNTIF($I$3:I4,J4)+COUNTIF($J$3:J4,J4)+COUNTIF($K$2:K3,J4)=1,MAX($BN$2:BP3,BN4)+1,""))</f>
      </c>
      <c r="BP4" s="129">
        <f>IF(K4="","",IF(COUNTIF($I$3:I4,K4)+COUNTIF($J$3:J4,K4)+COUNTIF($K$3:K4,K4)=1,MAX($BN$2:BP3,BN4,BO4)+1,""))</f>
      </c>
      <c r="BQ4" s="129">
        <f>IF(AY4=1,IFERROR(MID(Q4,FIND(" (",Q4)+2,FIND(")",Q4,FIND(" (",Q4))-FIND(" (",Q4)-2),"?"),"")</f>
      </c>
      <c r="BR4" s="129">
        <f>IF(BQ4="","",IF(COUNTIF($BQ$3:BQ4,BQ4)=1,MAX($BR$2:BR3)+1,""))</f>
      </c>
      <c r="BS4" s="129">
        <f>IF(AW4="","",COUNTIF($AW$3:AW4,"?*"))</f>
      </c>
      <c r="BT4" s="129">
        <f>IF(OR(AW4="",AI4=""),"",IF(COUNTIFS($AW$3:AW4,"?*",$AI$3:AI4,AI4)=1,MAX($BT$2:BT3)+1,""))</f>
      </c>
      <c r="BU4" s="129">
        <f>IF(AE4="",0,IF(OR(ISNUMBER(SEARCH("дубль",AE4)),ISNUMBER(SEARCH("ПЕРЕГРУЗ",AE4)),ISNUMBER(SEARCH("ЗАЩИЩ",AE4)),ISNUMBER(SEARCH("КАНАЛ",AE4)),ISNUMBER(SEARCH("без 30",AE4))),2,1))</f>
      </c>
      <c r="BV4" s="129">
        <f>IF(R4="","",COUNTIF($R$3:R4,"?*"))</f>
      </c>
      <c r="BW4" s="129">
        <f>IF(AY4&lt;&gt;1,0,IF(MAX(IFERROR(--VLOOKUP(R4,УГО_спр,5,FALSE),0),IFERROR(--VLOOKUP(AL4,УГО_спр,5,FALSE),0),IFERROR(--VLOOKUP(LEFT(AL4,2),УГО_спр,5,FALSE),0))&gt;0,MAX(IFERROR(--VLOOKUP(R4,УГО_спр,5,FALSE),0),IFERROR(--VLOOKUP(AL4,УГО_спр,5,FALSE),0),IFERROR(--VLOOKUP(LEFT(AL4,2),УГО_спр,5,FALSE),0)),IF(IFERROR(--LEFT(SUBSTITUTE(BQ4,"x","х"),FIND("х",SUBSTITUTE(BQ4,"x","х"))-1),3)&gt;3,Каталог!$S$9,1)))</f>
      </c>
      <c r="BX4" s="129">
        <f>IF(AY4&lt;&gt;1,0,MAX(0,IFERROR(--LEFT(SUBSTITUTE(BQ4,"x","х"),FIND("х",SUBSTITUTE(BQ4,"x","х"))-1),3)-3*BW4))</f>
      </c>
      <c r="BY4" s="129">
        <f>IF(R4="","",IFERROR(VLOOKUP(R4,УГО_спр,2,FALSE),IFERROR(VLOOKUP(AL4,УГО_спр,2,FALSE),IFERROR(VLOOKUP(LEFT(AL4,2),УГО_спр,2,FALSE),""))))</f>
      </c>
    </row>
    <row r="5" spans="1:64" x14ac:dyDescent="0.3">
      <c r="A5" s="135">
        <f>IF(Разбивка_по_щитам!F5=0,"",Разбивка_по_щитам!F5)</f>
      </c>
      <c r="B5" s="138">
        <f>IF(A5="","",Разбивка_по_щитам!C5)</f>
      </c>
      <c r="C5" s="138">
        <f t="shared" si="0"/>
      </c>
      <c r="D5" s="266"/>
      <c r="E5" s="266"/>
      <c r="F5" s="267"/>
      <c r="G5" s="145">
        <f t="shared" si="1"/>
        <v/>
      </c>
      <c r="H5" s="145">
        <f t="shared" si="2"/>
        <v/>
      </c>
      <c r="I5" s="266"/>
      <c r="J5" s="267"/>
      <c r="K5" s="267"/>
      <c r="L5" s="266"/>
      <c r="M5" s="147">
        <f t="shared" si="3"/>
        <v/>
      </c>
      <c r="N5" s="267"/>
      <c r="O5" s="147">
        <f t="shared" si="4"/>
        <v/>
      </c>
      <c r="P5" s="268">
        <f>IF(AY5=1,"XT"&amp;COUNTIFS($A$3:A5,A5,$AY$3:AY5,1),"")</f>
        <v/>
      </c>
      <c r="Q5" s="152">
        <f>IF(R5="","",IFERROR(SUBSTITUTE(Разбивка_по_щитам!P5,CHAR(10)," "),""))</f>
        <v/>
      </c>
      <c r="R5" s="153">
        <f>IF(OR(Разбивка_по_щитам!H5="",Разбивка_по_щитам!H5=0),"",Разбивка_по_щитам!H5)</f>
        <v/>
      </c>
      <c r="S5" s="154">
        <f>IF(R5="","",IFERROR(Разбивка_по_щитам!J5&amp;"",""))</f>
        <v/>
      </c>
      <c r="T5" s="155">
        <f>IF(R5="","",IFERROR(--Разбивка_по_щитам!L5,""))</f>
        <v/>
      </c>
      <c r="U5" s="155">
        <f>IF(R5="","",IFERROR(--Разбивка_по_щитам!K5,""))</f>
        <v/>
      </c>
      <c r="V5" s="138">
        <f>IF(R5="","",IFERROR(IF(Разбивка_по_щитам!M5=0,"",Разбивка_по_щитам!M5),""))</f>
        <v/>
      </c>
      <c r="W5" s="156">
        <f t="shared" si="5"/>
        <v/>
      </c>
      <c r="X5" s="157">
        <f t="shared" si="6"/>
        <v/>
      </c>
      <c r="Y5" s="266"/>
      <c r="Z5" s="158">
        <f t="shared" si="7"/>
        <v/>
      </c>
      <c r="AA5" s="160">
        <f t="shared" si="8"/>
        <v/>
      </c>
      <c r="AB5" s="160">
        <f>IF(R5="","",IFERROR(LOOKUP(INDEX(Справочная!$I$4:$I$19,MATCH(VLOOKUP(R5,Исходные_данные,22,FALSE),Справочная!$J$4:$J$19,0)+1),{6,10,16,20,25,32,40,50,63,80,100,125}),""))</f>
        <v/>
      </c>
      <c r="AC5" s="160">
        <f t="shared" si="9"/>
        <v/>
      </c>
      <c r="AD5" s="161">
        <f t="shared" si="10"/>
        <v/>
      </c>
      <c r="AE5" s="161">
        <f>IF(AND(R5="",G5=""),"",_xlfn.TEXTJOIN("; ",TRUE,IF(AND(R5&lt;&gt;"",V5=""),"нет фазы",""),IF(AND(R5&lt;&gt;"",N(T5)=0),"нет мощности",""),IF(AND(P5&lt;&gt;"",COUNTIFS($A$3:$A$1000,A5,$P$3:$P$1000,P5)&gt;1),"дубль клеммы "&amp;P5,""),IF(AND(W5&lt;&gt;"",W5&lt;&gt;"ok"),W5,""),IF(X5&lt;&gt;"",X5,""),IF(AND(ISNUMBER(SEARCH("(5х",Q5)),N(AK5)=1),"5 жил на 1 фазе",""),IF(AND(AL5="R",E5&lt;&gt;"",N(AS5)=0),"розетка без 30 мА",""),IF(IFERROR(_xlfn.NUMBERVALUE(MID(Q5,FIND("-",Q5,FIND("L=",Q5))+1,FIND("%",Q5)-FIND("-",Q5,FIND("L=",Q5))-1),","),0)&gt;4,"потери &gt; 4 %","")))</f>
      </c>
      <c r="AF5" s="129">
        <f>IF(E5&lt;&gt;"",COUNTIFS($A$3:A5,A5,$E$3:E5,"?*"),IF(OR(A5&lt;&gt;A4,Y5="вручную"),"",AF4))</f>
        <v/>
      </c>
      <c r="AG5" s="129">
        <f t="shared" si="11"/>
        <v/>
      </c>
      <c r="AH5" s="129">
        <f t="shared" si="12"/>
        <v/>
      </c>
      <c r="AI5" s="129">
        <f t="shared" si="13"/>
        <v/>
      </c>
      <c r="AJ5" s="129">
        <f t="shared" si="14"/>
        <v/>
      </c>
      <c r="AK5" s="129">
        <f t="shared" si="15"/>
        <v/>
      </c>
      <c r="AL5" s="129">
        <f t="shared" si="16"/>
        <v/>
      </c>
      <c r="AM5" s="129">
        <f t="shared" si="17"/>
      </c>
      <c r="AN5" s="129">
        <f t="shared" si="18"/>
      </c>
      <c r="AO5" s="129">
        <f t="shared" si="19"/>
        <v/>
      </c>
      <c r="AP5" s="129">
        <f t="shared" si="20"/>
        <v/>
      </c>
      <c r="AQ5" s="129">
        <f t="shared" si="21"/>
        <v/>
      </c>
      <c r="AR5" s="129">
        <f t="shared" si="22"/>
        <v/>
      </c>
      <c r="AS5" s="129">
        <f t="shared" si="23"/>
        <v/>
      </c>
      <c r="AT5" s="129">
        <f t="shared" si="24"/>
        <v/>
      </c>
      <c r="AU5" s="129">
        <f t="shared" si="25"/>
        <v/>
      </c>
      <c r="AV5" s="129">
        <f t="shared" si="26"/>
        <v/>
      </c>
      <c r="AW5" s="129">
        <f>IF(AV5="","",AV5&amp;"."&amp;COUNTIFS($A$3:A5,A5,$AV$3:AV5,AV5))</f>
        <v/>
      </c>
      <c r="AX5" s="129">
        <f t="shared" si="27"/>
        <v/>
      </c>
      <c r="AY5" s="129">
        <f>IF(N5="б/к",0,IF(OR(ISNUMBER(SEARCH("L=",Разбивка_по_щитам!P5)),N5="+",N5="="),1,0))</f>
      </c>
      <c r="AZ5" s="129">
        <f t="shared" si="28"/>
        <v/>
      </c>
      <c r="BA5" s="129">
        <f t="shared" si="29"/>
      </c>
      <c r="BB5" s="129">
        <f t="shared" si="30"/>
      </c>
      <c r="BD5" s="129">
        <f t="shared" si="31"/>
      </c>
      <c r="BE5" s="129">
        <f t="shared" si="32"/>
      </c>
      <c r="BF5" s="129">
        <f t="shared" si="33"/>
      </c>
      <c r="BG5" s="129">
        <f t="shared" si="34"/>
        <v/>
      </c>
      <c r="BH5" s="129">
        <f t="shared" si="35"/>
        <v/>
      </c>
      <c r="BI5" s="129">
        <f t="shared" si="36"/>
        <v/>
      </c>
      <c r="BJ5" s="129">
        <f t="shared" si="37"/>
        <v/>
      </c>
      <c r="BK5" s="129">
        <f>IF(R5="","",IF(OR(BY5="",BY5=0),"BOX",IFERROR(IF(VLOOKUP(BY5,УГО_блоки,3,FALSE)&amp;""&lt;&gt;"",VLOOKUP(BY5,УГО_блоки,3,FALSE),VLOOKUP(BY5,УГО_блоки,2,FALSE)),BY5)))</f>
      </c>
      <c r="BL5" s="129">
        <f t="shared" si="39"/>
      </c>
      <c r="BM5" s="129">
        <f>IF(H5="","",IF(COUNTIF($H$3:H5,H5)=1,MAX($BM$2:BM4)+1,""))</f>
      </c>
      <c r="BN5" s="129">
        <f>IF(I5="","",IF(COUNTIF($I$3:I5,I5)+COUNTIF($J$2:J4,I5)+COUNTIF($K$2:K4,I5)=1,MAX($BN$2:BP4)+1,""))</f>
      </c>
      <c r="BO5" s="129">
        <f>IF(J5="","",IF(COUNTIF($I$3:I5,J5)+COUNTIF($J$3:J5,J5)+COUNTIF($K$2:K4,J5)=1,MAX($BN$2:BP4,BN5)+1,""))</f>
      </c>
      <c r="BP5" s="129">
        <f>IF(K5="","",IF(COUNTIF($I$3:I5,K5)+COUNTIF($J$3:J5,K5)+COUNTIF($K$3:K5,K5)=1,MAX($BN$2:BP4,BN5,BO5)+1,""))</f>
      </c>
      <c r="BQ5" s="129">
        <f>IF(AY5=1,IFERROR(MID(Q5,FIND(" (",Q5)+2,FIND(")",Q5,FIND(" (",Q5))-FIND(" (",Q5)-2),"?"),"")</f>
      </c>
      <c r="BR5" s="129">
        <f>IF(BQ5="","",IF(COUNTIF($BQ$3:BQ5,BQ5)=1,MAX($BR$2:BR4)+1,""))</f>
      </c>
      <c r="BS5" s="129">
        <f>IF(AW5="","",COUNTIF($AW$3:AW5,"?*"))</f>
      </c>
      <c r="BT5" s="129">
        <f>IF(OR(AW5="",AI5=""),"",IF(COUNTIFS($AW$3:AW5,"?*",$AI$3:AI5,AI5)=1,MAX($BT$2:BT4)+1,""))</f>
      </c>
      <c r="BU5" s="129">
        <f>IF(AE5="",0,IF(OR(ISNUMBER(SEARCH("дубль",AE5)),ISNUMBER(SEARCH("ПЕРЕГРУЗ",AE5)),ISNUMBER(SEARCH("ЗАЩИЩ",AE5)),ISNUMBER(SEARCH("КАНАЛ",AE5)),ISNUMBER(SEARCH("без 30",AE5))),2,1))</f>
      </c>
      <c r="BV5" s="129">
        <f>IF(R5="","",COUNTIF($R$3:R5,"?*"))</f>
      </c>
      <c r="BW5" s="129">
        <f>IF(AY5&lt;&gt;1,0,IF(MAX(IFERROR(--VLOOKUP(R5,УГО_спр,5,FALSE),0),IFERROR(--VLOOKUP(AL5,УГО_спр,5,FALSE),0),IFERROR(--VLOOKUP(LEFT(AL5,2),УГО_спр,5,FALSE),0))&gt;0,MAX(IFERROR(--VLOOKUP(R5,УГО_спр,5,FALSE),0),IFERROR(--VLOOKUP(AL5,УГО_спр,5,FALSE),0),IFERROR(--VLOOKUP(LEFT(AL5,2),УГО_спр,5,FALSE),0)),IF(IFERROR(--LEFT(SUBSTITUTE(BQ5,"x","х"),FIND("х",SUBSTITUTE(BQ5,"x","х"))-1),3)&gt;3,Каталог!$S$9,1)))</f>
      </c>
      <c r="BX5" s="129">
        <f>IF(AY5&lt;&gt;1,0,MAX(0,IFERROR(--LEFT(SUBSTITUTE(BQ5,"x","х"),FIND("х",SUBSTITUTE(BQ5,"x","х"))-1),3)-3*BW5))</f>
      </c>
      <c r="BY5" s="129">
        <f>IF(R5="","",IFERROR(VLOOKUP(R5,УГО_спр,2,FALSE),IFERROR(VLOOKUP(AL5,УГО_спр,2,FALSE),IFERROR(VLOOKUP(LEFT(AL5,2),УГО_спр,2,FALSE),""))))</f>
      </c>
    </row>
    <row r="6" spans="1:64" x14ac:dyDescent="0.3">
      <c r="A6" s="135">
        <f>IF(Разбивка_по_щитам!F6=0,"",Разбивка_по_щитам!F6)</f>
      </c>
      <c r="B6" s="138">
        <f>IF(A6="","",Разбивка_по_щитам!C6)</f>
      </c>
      <c r="C6" s="138">
        <f t="shared" si="0"/>
      </c>
      <c r="D6" s="266"/>
      <c r="E6" s="266"/>
      <c r="F6" s="267"/>
      <c r="G6" s="145">
        <f t="shared" si="1"/>
        <v/>
      </c>
      <c r="H6" s="145">
        <f t="shared" si="2"/>
        <v/>
      </c>
      <c r="I6" s="266"/>
      <c r="J6" s="267"/>
      <c r="K6" s="267"/>
      <c r="L6" s="266"/>
      <c r="M6" s="147">
        <f t="shared" si="3"/>
        <v/>
      </c>
      <c r="N6" s="267"/>
      <c r="O6" s="147">
        <f t="shared" si="4"/>
        <v/>
      </c>
      <c r="P6" s="268">
        <f>IF(AY6=1,"XT"&amp;COUNTIFS($A$3:A6,A6,$AY$3:AY6,1),"")</f>
        <v/>
      </c>
      <c r="Q6" s="152">
        <f>IF(R6="","",IFERROR(SUBSTITUTE(Разбивка_по_щитам!P6,CHAR(10)," "),""))</f>
        <v/>
      </c>
      <c r="R6" s="153">
        <f>IF(OR(Разбивка_по_щитам!H6="",Разбивка_по_щитам!H6=0),"",Разбивка_по_щитам!H6)</f>
        <v/>
      </c>
      <c r="S6" s="154">
        <f>IF(R6="","",IFERROR(Разбивка_по_щитам!J6&amp;"",""))</f>
        <v/>
      </c>
      <c r="T6" s="155">
        <f>IF(R6="","",IFERROR(--Разбивка_по_щитам!L6,""))</f>
        <v/>
      </c>
      <c r="U6" s="155">
        <f>IF(R6="","",IFERROR(--Разбивка_по_щитам!K6,""))</f>
        <v/>
      </c>
      <c r="V6" s="138">
        <f>IF(R6="","",IFERROR(IF(Разбивка_по_щитам!M6=0,"",Разбивка_по_щитам!M6),""))</f>
        <v/>
      </c>
      <c r="W6" s="156">
        <f t="shared" si="5"/>
        <v/>
      </c>
      <c r="X6" s="157">
        <f t="shared" si="6"/>
        <v/>
      </c>
      <c r="Y6" s="266"/>
      <c r="Z6" s="158">
        <f t="shared" si="7"/>
        <v/>
      </c>
      <c r="AA6" s="160">
        <f t="shared" si="8"/>
        <v/>
      </c>
      <c r="AB6" s="160">
        <f>IF(R6="","",IFERROR(LOOKUP(INDEX(Справочная!$I$4:$I$19,MATCH(VLOOKUP(R6,Исходные_данные,22,FALSE),Справочная!$J$4:$J$19,0)+1),{6,10,16,20,25,32,40,50,63,80,100,125}),""))</f>
        <v/>
      </c>
      <c r="AC6" s="160">
        <f t="shared" si="9"/>
        <v/>
      </c>
      <c r="AD6" s="161">
        <f t="shared" si="10"/>
        <v/>
      </c>
      <c r="AE6" s="161">
        <f>IF(AND(R6="",G6=""),"",_xlfn.TEXTJOIN("; ",TRUE,IF(AND(R6&lt;&gt;"",V6=""),"нет фазы",""),IF(AND(R6&lt;&gt;"",N(T6)=0),"нет мощности",""),IF(AND(P6&lt;&gt;"",COUNTIFS($A$3:$A$1000,A6,$P$3:$P$1000,P6)&gt;1),"дубль клеммы "&amp;P6,""),IF(AND(W6&lt;&gt;"",W6&lt;&gt;"ok"),W6,""),IF(X6&lt;&gt;"",X6,""),IF(AND(ISNUMBER(SEARCH("(5х",Q6)),N(AK6)=1),"5 жил на 1 фазе",""),IF(AND(AL6="R",E6&lt;&gt;"",N(AS6)=0),"розетка без 30 мА",""),IF(IFERROR(_xlfn.NUMBERVALUE(MID(Q6,FIND("-",Q6,FIND("L=",Q6))+1,FIND("%",Q6)-FIND("-",Q6,FIND("L=",Q6))-1),","),0)&gt;4,"потери &gt; 4 %","")))</f>
      </c>
      <c r="AF6" s="129">
        <f>IF(E6&lt;&gt;"",COUNTIFS($A$3:A6,A6,$E$3:E6,"?*"),IF(OR(A6&lt;&gt;A5,Y6="вручную"),"",AF5))</f>
        <v/>
      </c>
      <c r="AG6" s="129">
        <f t="shared" si="11"/>
        <v/>
      </c>
      <c r="AH6" s="129">
        <f t="shared" si="12"/>
        <v/>
      </c>
      <c r="AI6" s="129">
        <f t="shared" si="13"/>
        <v/>
      </c>
      <c r="AJ6" s="129">
        <f t="shared" si="14"/>
        <v/>
      </c>
      <c r="AK6" s="129">
        <f t="shared" si="15"/>
        <v/>
      </c>
      <c r="AL6" s="129">
        <f t="shared" si="16"/>
        <v/>
      </c>
      <c r="AM6" s="129">
        <f t="shared" si="17"/>
      </c>
      <c r="AN6" s="129">
        <f t="shared" si="18"/>
      </c>
      <c r="AO6" s="129">
        <f t="shared" si="19"/>
        <v/>
      </c>
      <c r="AP6" s="129">
        <f t="shared" si="20"/>
        <v/>
      </c>
      <c r="AQ6" s="129">
        <f t="shared" si="21"/>
        <v/>
      </c>
      <c r="AR6" s="129">
        <f t="shared" si="22"/>
        <v/>
      </c>
      <c r="AS6" s="129">
        <f t="shared" si="23"/>
        <v/>
      </c>
      <c r="AT6" s="129">
        <f t="shared" si="24"/>
        <v/>
      </c>
      <c r="AU6" s="129">
        <f t="shared" si="25"/>
        <v/>
      </c>
      <c r="AV6" s="129">
        <f t="shared" si="26"/>
        <v/>
      </c>
      <c r="AW6" s="129">
        <f>IF(AV6="","",AV6&amp;"."&amp;COUNTIFS($A$3:A6,A6,$AV$3:AV6,AV6))</f>
        <v/>
      </c>
      <c r="AX6" s="129">
        <f t="shared" si="27"/>
        <v/>
      </c>
      <c r="AY6" s="129">
        <f>IF(N6="б/к",0,IF(OR(ISNUMBER(SEARCH("L=",Разбивка_по_щитам!P6)),N6="+",N6="="),1,0))</f>
      </c>
      <c r="AZ6" s="129">
        <f t="shared" si="28"/>
        <v/>
      </c>
      <c r="BA6" s="129">
        <f t="shared" si="29"/>
      </c>
      <c r="BB6" s="129">
        <f t="shared" si="30"/>
      </c>
      <c r="BD6" s="129">
        <f t="shared" si="31"/>
      </c>
      <c r="BE6" s="129">
        <f t="shared" si="32"/>
      </c>
      <c r="BF6" s="129">
        <f t="shared" si="33"/>
      </c>
      <c r="BG6" s="129">
        <f t="shared" si="34"/>
        <v/>
      </c>
      <c r="BH6" s="129">
        <f t="shared" si="35"/>
        <v/>
      </c>
      <c r="BI6" s="129">
        <f t="shared" si="36"/>
        <v/>
      </c>
      <c r="BJ6" s="129">
        <f t="shared" si="37"/>
        <v/>
      </c>
      <c r="BK6" s="129">
        <f>IF(R6="","",IF(OR(BY6="",BY6=0),"BOX",IFERROR(IF(VLOOKUP(BY6,УГО_блоки,3,FALSE)&amp;""&lt;&gt;"",VLOOKUP(BY6,УГО_блоки,3,FALSE),VLOOKUP(BY6,УГО_блоки,2,FALSE)),BY6)))</f>
      </c>
      <c r="BL6" s="129">
        <f t="shared" si="39"/>
      </c>
      <c r="BM6" s="129">
        <f>IF(H6="","",IF(COUNTIF($H$3:H6,H6)=1,MAX($BM$2:BM5)+1,""))</f>
      </c>
      <c r="BN6" s="129">
        <f>IF(I6="","",IF(COUNTIF($I$3:I6,I6)+COUNTIF($J$2:J5,I6)+COUNTIF($K$2:K5,I6)=1,MAX($BN$2:BP5)+1,""))</f>
      </c>
      <c r="BO6" s="129">
        <f>IF(J6="","",IF(COUNTIF($I$3:I6,J6)+COUNTIF($J$3:J6,J6)+COUNTIF($K$2:K5,J6)=1,MAX($BN$2:BP5,BN6)+1,""))</f>
      </c>
      <c r="BP6" s="129">
        <f>IF(K6="","",IF(COUNTIF($I$3:I6,K6)+COUNTIF($J$3:J6,K6)+COUNTIF($K$3:K6,K6)=1,MAX($BN$2:BP5,BN6,BO6)+1,""))</f>
      </c>
      <c r="BQ6" s="129">
        <f>IF(AY6=1,IFERROR(MID(Q6,FIND(" (",Q6)+2,FIND(")",Q6,FIND(" (",Q6))-FIND(" (",Q6)-2),"?"),"")</f>
      </c>
      <c r="BR6" s="129">
        <f>IF(BQ6="","",IF(COUNTIF($BQ$3:BQ6,BQ6)=1,MAX($BR$2:BR5)+1,""))</f>
      </c>
      <c r="BS6" s="129">
        <f>IF(AW6="","",COUNTIF($AW$3:AW6,"?*"))</f>
      </c>
      <c r="BT6" s="129">
        <f>IF(OR(AW6="",AI6=""),"",IF(COUNTIFS($AW$3:AW6,"?*",$AI$3:AI6,AI6)=1,MAX($BT$2:BT5)+1,""))</f>
      </c>
      <c r="BU6" s="129">
        <f>IF(AE6="",0,IF(OR(ISNUMBER(SEARCH("дубль",AE6)),ISNUMBER(SEARCH("ПЕРЕГРУЗ",AE6)),ISNUMBER(SEARCH("ЗАЩИЩ",AE6)),ISNUMBER(SEARCH("КАНАЛ",AE6)),ISNUMBER(SEARCH("без 30",AE6))),2,1))</f>
      </c>
      <c r="BV6" s="129">
        <f>IF(R6="","",COUNTIF($R$3:R6,"?*"))</f>
      </c>
      <c r="BW6" s="129">
        <f>IF(AY6&lt;&gt;1,0,IF(MAX(IFERROR(--VLOOKUP(R6,УГО_спр,5,FALSE),0),IFERROR(--VLOOKUP(AL6,УГО_спр,5,FALSE),0),IFERROR(--VLOOKUP(LEFT(AL6,2),УГО_спр,5,FALSE),0))&gt;0,MAX(IFERROR(--VLOOKUP(R6,УГО_спр,5,FALSE),0),IFERROR(--VLOOKUP(AL6,УГО_спр,5,FALSE),0),IFERROR(--VLOOKUP(LEFT(AL6,2),УГО_спр,5,FALSE),0)),IF(IFERROR(--LEFT(SUBSTITUTE(BQ6,"x","х"),FIND("х",SUBSTITUTE(BQ6,"x","х"))-1),3)&gt;3,Каталог!$S$9,1)))</f>
      </c>
      <c r="BX6" s="129">
        <f>IF(AY6&lt;&gt;1,0,MAX(0,IFERROR(--LEFT(SUBSTITUTE(BQ6,"x","х"),FIND("х",SUBSTITUTE(BQ6,"x","х"))-1),3)-3*BW6))</f>
      </c>
      <c r="BY6" s="129">
        <f>IF(R6="","",IFERROR(VLOOKUP(R6,УГО_спр,2,FALSE),IFERROR(VLOOKUP(AL6,УГО_спр,2,FALSE),IFERROR(VLOOKUP(LEFT(AL6,2),УГО_спр,2,FALSE),""))))</f>
      </c>
    </row>
    <row r="7" spans="1:64" x14ac:dyDescent="0.3">
      <c r="A7" s="135">
        <f>IF(Разбивка_по_щитам!F7=0,"",Разбивка_по_щитам!F7)</f>
      </c>
      <c r="B7" s="138">
        <f>IF(A7="","",Разбивка_по_щитам!C7)</f>
      </c>
      <c r="C7" s="138">
        <f t="shared" si="0"/>
      </c>
      <c r="D7" s="266"/>
      <c r="E7" s="266"/>
      <c r="F7" s="267"/>
      <c r="G7" s="145">
        <f t="shared" si="1"/>
        <v/>
      </c>
      <c r="H7" s="145">
        <f t="shared" si="2"/>
        <v/>
      </c>
      <c r="I7" s="266"/>
      <c r="J7" s="267"/>
      <c r="K7" s="267"/>
      <c r="L7" s="266"/>
      <c r="M7" s="147">
        <f t="shared" si="3"/>
        <v/>
      </c>
      <c r="N7" s="267"/>
      <c r="O7" s="147">
        <f t="shared" si="4"/>
        <v/>
      </c>
      <c r="P7" s="268">
        <f>IF(AY7=1,"XT"&amp;COUNTIFS($A$3:A7,A7,$AY$3:AY7,1),"")</f>
        <v/>
      </c>
      <c r="Q7" s="152">
        <f>IF(R7="","",IFERROR(SUBSTITUTE(Разбивка_по_щитам!P7,CHAR(10)," "),""))</f>
        <v/>
      </c>
      <c r="R7" s="153">
        <f>IF(OR(Разбивка_по_щитам!H7="",Разбивка_по_щитам!H7=0),"",Разбивка_по_щитам!H7)</f>
        <v/>
      </c>
      <c r="S7" s="154">
        <f>IF(R7="","",IFERROR(Разбивка_по_щитам!J7&amp;"",""))</f>
        <v/>
      </c>
      <c r="T7" s="155">
        <f>IF(R7="","",IFERROR(--Разбивка_по_щитам!L7,""))</f>
        <v/>
      </c>
      <c r="U7" s="155">
        <f>IF(R7="","",IFERROR(--Разбивка_по_щитам!K7,""))</f>
        <v/>
      </c>
      <c r="V7" s="138">
        <f>IF(R7="","",IFERROR(IF(Разбивка_по_щитам!M7=0,"",Разбивка_по_щитам!M7),""))</f>
        <v/>
      </c>
      <c r="W7" s="156">
        <f t="shared" si="5"/>
        <v/>
      </c>
      <c r="X7" s="157">
        <f t="shared" si="6"/>
        <v/>
      </c>
      <c r="Y7" s="266"/>
      <c r="Z7" s="158">
        <f t="shared" si="7"/>
        <v/>
      </c>
      <c r="AA7" s="160">
        <f t="shared" si="8"/>
        <v/>
      </c>
      <c r="AB7" s="160">
        <f>IF(R7="","",IFERROR(LOOKUP(INDEX(Справочная!$I$4:$I$19,MATCH(VLOOKUP(R7,Исходные_данные,22,FALSE),Справочная!$J$4:$J$19,0)+1),{6,10,16,20,25,32,40,50,63,80,100,125}),""))</f>
        <v/>
      </c>
      <c r="AC7" s="160">
        <f t="shared" si="9"/>
        <v/>
      </c>
      <c r="AD7" s="161">
        <f t="shared" si="10"/>
        <v/>
      </c>
      <c r="AE7" s="161">
        <f>IF(AND(R7="",G7=""),"",_xlfn.TEXTJOIN("; ",TRUE,IF(AND(R7&lt;&gt;"",V7=""),"нет фазы",""),IF(AND(R7&lt;&gt;"",N(T7)=0),"нет мощности",""),IF(AND(P7&lt;&gt;"",COUNTIFS($A$3:$A$1000,A7,$P$3:$P$1000,P7)&gt;1),"дубль клеммы "&amp;P7,""),IF(AND(W7&lt;&gt;"",W7&lt;&gt;"ok"),W7,""),IF(X7&lt;&gt;"",X7,""),IF(AND(ISNUMBER(SEARCH("(5х",Q7)),N(AK7)=1),"5 жил на 1 фазе",""),IF(AND(AL7="R",E7&lt;&gt;"",N(AS7)=0),"розетка без 30 мА",""),IF(IFERROR(_xlfn.NUMBERVALUE(MID(Q7,FIND("-",Q7,FIND("L=",Q7))+1,FIND("%",Q7)-FIND("-",Q7,FIND("L=",Q7))-1),","),0)&gt;4,"потери &gt; 4 %","")))</f>
      </c>
      <c r="AF7" s="129">
        <f>IF(E7&lt;&gt;"",COUNTIFS($A$3:A7,A7,$E$3:E7,"?*"),IF(OR(A7&lt;&gt;A6,Y7="вручную"),"",AF6))</f>
        <v/>
      </c>
      <c r="AG7" s="129">
        <f t="shared" si="11"/>
        <v/>
      </c>
      <c r="AH7" s="129">
        <f t="shared" si="12"/>
        <v/>
      </c>
      <c r="AI7" s="129">
        <f t="shared" si="13"/>
        <v/>
      </c>
      <c r="AJ7" s="129">
        <f t="shared" si="14"/>
        <v/>
      </c>
      <c r="AK7" s="129">
        <f t="shared" si="15"/>
        <v/>
      </c>
      <c r="AL7" s="129">
        <f t="shared" si="16"/>
        <v/>
      </c>
      <c r="AM7" s="129">
        <f t="shared" si="17"/>
      </c>
      <c r="AN7" s="129">
        <f t="shared" si="18"/>
      </c>
      <c r="AO7" s="129">
        <f t="shared" si="19"/>
        <v/>
      </c>
      <c r="AP7" s="129">
        <f t="shared" si="20"/>
        <v/>
      </c>
      <c r="AQ7" s="129">
        <f t="shared" si="21"/>
        <v/>
      </c>
      <c r="AR7" s="129">
        <f t="shared" si="22"/>
        <v/>
      </c>
      <c r="AS7" s="129">
        <f t="shared" si="23"/>
        <v/>
      </c>
      <c r="AT7" s="129">
        <f t="shared" si="24"/>
        <v/>
      </c>
      <c r="AU7" s="129">
        <f t="shared" si="25"/>
        <v/>
      </c>
      <c r="AV7" s="129">
        <f t="shared" si="26"/>
        <v/>
      </c>
      <c r="AW7" s="129">
        <f>IF(AV7="","",AV7&amp;"."&amp;COUNTIFS($A$3:A7,A7,$AV$3:AV7,AV7))</f>
        <v/>
      </c>
      <c r="AX7" s="129">
        <f t="shared" si="27"/>
        <v/>
      </c>
      <c r="AY7" s="129">
        <f>IF(N7="б/к",0,IF(OR(ISNUMBER(SEARCH("L=",Разбивка_по_щитам!P7)),N7="+",N7="="),1,0))</f>
      </c>
      <c r="AZ7" s="129">
        <f t="shared" si="28"/>
        <v/>
      </c>
      <c r="BA7" s="129">
        <f t="shared" si="29"/>
      </c>
      <c r="BB7" s="129">
        <f t="shared" si="30"/>
      </c>
      <c r="BD7" s="129">
        <f t="shared" si="31"/>
      </c>
      <c r="BE7" s="129">
        <f t="shared" si="32"/>
      </c>
      <c r="BF7" s="129">
        <f t="shared" si="33"/>
      </c>
      <c r="BG7" s="129">
        <f t="shared" si="34"/>
        <v/>
      </c>
      <c r="BH7" s="129">
        <f t="shared" si="35"/>
        <v/>
      </c>
      <c r="BI7" s="129">
        <f t="shared" si="36"/>
        <v/>
      </c>
      <c r="BJ7" s="129">
        <f t="shared" si="37"/>
        <v/>
      </c>
      <c r="BK7" s="129">
        <f>IF(R7="","",IF(OR(BY7="",BY7=0),"BOX",IFERROR(IF(VLOOKUP(BY7,УГО_блоки,3,FALSE)&amp;""&lt;&gt;"",VLOOKUP(BY7,УГО_блоки,3,FALSE),VLOOKUP(BY7,УГО_блоки,2,FALSE)),BY7)))</f>
      </c>
      <c r="BL7" s="129">
        <f t="shared" si="39"/>
      </c>
      <c r="BM7" s="129">
        <f>IF(H7="","",IF(COUNTIF($H$3:H7,H7)=1,MAX($BM$2:BM6)+1,""))</f>
      </c>
      <c r="BN7" s="129">
        <f>IF(I7="","",IF(COUNTIF($I$3:I7,I7)+COUNTIF($J$2:J6,I7)+COUNTIF($K$2:K6,I7)=1,MAX($BN$2:BP6)+1,""))</f>
      </c>
      <c r="BO7" s="129">
        <f>IF(J7="","",IF(COUNTIF($I$3:I7,J7)+COUNTIF($J$3:J7,J7)+COUNTIF($K$2:K6,J7)=1,MAX($BN$2:BP6,BN7)+1,""))</f>
      </c>
      <c r="BP7" s="129">
        <f>IF(K7="","",IF(COUNTIF($I$3:I7,K7)+COUNTIF($J$3:J7,K7)+COUNTIF($K$3:K7,K7)=1,MAX($BN$2:BP6,BN7,BO7)+1,""))</f>
      </c>
      <c r="BQ7" s="129">
        <f>IF(AY7=1,IFERROR(MID(Q7,FIND(" (",Q7)+2,FIND(")",Q7,FIND(" (",Q7))-FIND(" (",Q7)-2),"?"),"")</f>
      </c>
      <c r="BR7" s="129">
        <f>IF(BQ7="","",IF(COUNTIF($BQ$3:BQ7,BQ7)=1,MAX($BR$2:BR6)+1,""))</f>
      </c>
      <c r="BS7" s="129">
        <f>IF(AW7="","",COUNTIF($AW$3:AW7,"?*"))</f>
      </c>
      <c r="BT7" s="129">
        <f>IF(OR(AW7="",AI7=""),"",IF(COUNTIFS($AW$3:AW7,"?*",$AI$3:AI7,AI7)=1,MAX($BT$2:BT6)+1,""))</f>
      </c>
      <c r="BU7" s="129">
        <f>IF(AE7="",0,IF(OR(ISNUMBER(SEARCH("дубль",AE7)),ISNUMBER(SEARCH("ПЕРЕГРУЗ",AE7)),ISNUMBER(SEARCH("ЗАЩИЩ",AE7)),ISNUMBER(SEARCH("КАНАЛ",AE7)),ISNUMBER(SEARCH("без 30",AE7))),2,1))</f>
      </c>
      <c r="BV7" s="129">
        <f>IF(R7="","",COUNTIF($R$3:R7,"?*"))</f>
      </c>
      <c r="BW7" s="129">
        <f>IF(AY7&lt;&gt;1,0,IF(MAX(IFERROR(--VLOOKUP(R7,УГО_спр,5,FALSE),0),IFERROR(--VLOOKUP(AL7,УГО_спр,5,FALSE),0),IFERROR(--VLOOKUP(LEFT(AL7,2),УГО_спр,5,FALSE),0))&gt;0,MAX(IFERROR(--VLOOKUP(R7,УГО_спр,5,FALSE),0),IFERROR(--VLOOKUP(AL7,УГО_спр,5,FALSE),0),IFERROR(--VLOOKUP(LEFT(AL7,2),УГО_спр,5,FALSE),0)),IF(IFERROR(--LEFT(SUBSTITUTE(BQ7,"x","х"),FIND("х",SUBSTITUTE(BQ7,"x","х"))-1),3)&gt;3,Каталог!$S$9,1)))</f>
      </c>
      <c r="BX7" s="129">
        <f>IF(AY7&lt;&gt;1,0,MAX(0,IFERROR(--LEFT(SUBSTITUTE(BQ7,"x","х"),FIND("х",SUBSTITUTE(BQ7,"x","х"))-1),3)-3*BW7))</f>
      </c>
      <c r="BY7" s="129">
        <f>IF(R7="","",IFERROR(VLOOKUP(R7,УГО_спр,2,FALSE),IFERROR(VLOOKUP(AL7,УГО_спр,2,FALSE),IFERROR(VLOOKUP(LEFT(AL7,2),УГО_спр,2,FALSE),""))))</f>
      </c>
    </row>
    <row r="8" spans="1:64" x14ac:dyDescent="0.3">
      <c r="A8" s="135">
        <f>IF(Разбивка_по_щитам!F8=0,"",Разбивка_по_щитам!F8)</f>
      </c>
      <c r="B8" s="138">
        <f>IF(A8="","",Разбивка_по_щитам!C8)</f>
      </c>
      <c r="C8" s="138">
        <f t="shared" si="0"/>
      </c>
      <c r="D8" s="266"/>
      <c r="E8" s="266"/>
      <c r="F8" s="267"/>
      <c r="G8" s="145">
        <f t="shared" si="1"/>
        <v/>
      </c>
      <c r="H8" s="145">
        <f t="shared" si="2"/>
        <v/>
      </c>
      <c r="I8" s="266"/>
      <c r="J8" s="267"/>
      <c r="K8" s="267"/>
      <c r="L8" s="266"/>
      <c r="M8" s="147">
        <f t="shared" si="3"/>
        <v/>
      </c>
      <c r="N8" s="267"/>
      <c r="O8" s="147">
        <f t="shared" si="4"/>
        <v/>
      </c>
      <c r="P8" s="268">
        <f>IF(AY8=1,"XT"&amp;COUNTIFS($A$3:A8,A8,$AY$3:AY8,1),"")</f>
        <v/>
      </c>
      <c r="Q8" s="152">
        <f>IF(R8="","",IFERROR(SUBSTITUTE(Разбивка_по_щитам!P8,CHAR(10)," "),""))</f>
        <v/>
      </c>
      <c r="R8" s="153">
        <f>IF(OR(Разбивка_по_щитам!H8="",Разбивка_по_щитам!H8=0),"",Разбивка_по_щитам!H8)</f>
        <v/>
      </c>
      <c r="S8" s="154">
        <f>IF(R8="","",IFERROR(Разбивка_по_щитам!J8&amp;"",""))</f>
        <v/>
      </c>
      <c r="T8" s="155">
        <f>IF(R8="","",IFERROR(--Разбивка_по_щитам!L8,""))</f>
        <v/>
      </c>
      <c r="U8" s="155">
        <f>IF(R8="","",IFERROR(--Разбивка_по_щитам!K8,""))</f>
        <v/>
      </c>
      <c r="V8" s="138">
        <f>IF(R8="","",IFERROR(IF(Разбивка_по_щитам!M8=0,"",Разбивка_по_щитам!M8),""))</f>
        <v/>
      </c>
      <c r="W8" s="156">
        <f t="shared" si="5"/>
        <v/>
      </c>
      <c r="X8" s="157">
        <f t="shared" si="6"/>
        <v/>
      </c>
      <c r="Y8" s="266"/>
      <c r="Z8" s="158">
        <f t="shared" si="7"/>
        <v/>
      </c>
      <c r="AA8" s="160">
        <f t="shared" si="8"/>
        <v/>
      </c>
      <c r="AB8" s="160">
        <f>IF(R8="","",IFERROR(LOOKUP(INDEX(Справочная!$I$4:$I$19,MATCH(VLOOKUP(R8,Исходные_данные,22,FALSE),Справочная!$J$4:$J$19,0)+1),{6,10,16,20,25,32,40,50,63,80,100,125}),""))</f>
        <v/>
      </c>
      <c r="AC8" s="160">
        <f t="shared" si="9"/>
        <v/>
      </c>
      <c r="AD8" s="161">
        <f t="shared" si="10"/>
        <v/>
      </c>
      <c r="AE8" s="161">
        <f>IF(AND(R8="",G8=""),"",_xlfn.TEXTJOIN("; ",TRUE,IF(AND(R8&lt;&gt;"",V8=""),"нет фазы",""),IF(AND(R8&lt;&gt;"",N(T8)=0),"нет мощности",""),IF(AND(P8&lt;&gt;"",COUNTIFS($A$3:$A$1000,A8,$P$3:$P$1000,P8)&gt;1),"дубль клеммы "&amp;P8,""),IF(AND(W8&lt;&gt;"",W8&lt;&gt;"ok"),W8,""),IF(X8&lt;&gt;"",X8,""),IF(AND(ISNUMBER(SEARCH("(5х",Q8)),N(AK8)=1),"5 жил на 1 фазе",""),IF(AND(AL8="R",E8&lt;&gt;"",N(AS8)=0),"розетка без 30 мА",""),IF(IFERROR(_xlfn.NUMBERVALUE(MID(Q8,FIND("-",Q8,FIND("L=",Q8))+1,FIND("%",Q8)-FIND("-",Q8,FIND("L=",Q8))-1),","),0)&gt;4,"потери &gt; 4 %","")))</f>
      </c>
      <c r="AF8" s="129">
        <f>IF(E8&lt;&gt;"",COUNTIFS($A$3:A8,A8,$E$3:E8,"?*"),IF(OR(A8&lt;&gt;A7,Y8="вручную"),"",AF7))</f>
        <v/>
      </c>
      <c r="AG8" s="129">
        <f t="shared" si="11"/>
        <v/>
      </c>
      <c r="AH8" s="129">
        <f t="shared" si="12"/>
        <v/>
      </c>
      <c r="AI8" s="129">
        <f t="shared" si="13"/>
        <v/>
      </c>
      <c r="AJ8" s="129">
        <f t="shared" si="14"/>
        <v/>
      </c>
      <c r="AK8" s="129">
        <f t="shared" si="15"/>
        <v/>
      </c>
      <c r="AL8" s="129">
        <f t="shared" si="16"/>
        <v/>
      </c>
      <c r="AM8" s="129">
        <f t="shared" si="17"/>
      </c>
      <c r="AN8" s="129">
        <f t="shared" si="18"/>
      </c>
      <c r="AO8" s="129">
        <f t="shared" si="19"/>
        <v/>
      </c>
      <c r="AP8" s="129">
        <f t="shared" si="20"/>
        <v/>
      </c>
      <c r="AQ8" s="129">
        <f t="shared" si="21"/>
        <v/>
      </c>
      <c r="AR8" s="129">
        <f t="shared" si="22"/>
        <v/>
      </c>
      <c r="AS8" s="129">
        <f t="shared" si="23"/>
        <v/>
      </c>
      <c r="AT8" s="129">
        <f t="shared" si="24"/>
        <v/>
      </c>
      <c r="AU8" s="129">
        <f t="shared" si="25"/>
        <v/>
      </c>
      <c r="AV8" s="129">
        <f t="shared" si="26"/>
        <v/>
      </c>
      <c r="AW8" s="129">
        <f>IF(AV8="","",AV8&amp;"."&amp;COUNTIFS($A$3:A8,A8,$AV$3:AV8,AV8))</f>
        <v/>
      </c>
      <c r="AX8" s="129">
        <f t="shared" si="27"/>
        <v/>
      </c>
      <c r="AY8" s="129">
        <f>IF(N8="б/к",0,IF(OR(ISNUMBER(SEARCH("L=",Разбивка_по_щитам!P8)),N8="+",N8="="),1,0))</f>
      </c>
      <c r="AZ8" s="129">
        <f t="shared" si="28"/>
        <v/>
      </c>
      <c r="BA8" s="129">
        <f t="shared" si="29"/>
      </c>
      <c r="BB8" s="129">
        <f t="shared" si="30"/>
      </c>
      <c r="BD8" s="129">
        <f t="shared" si="31"/>
      </c>
      <c r="BE8" s="129">
        <f t="shared" si="32"/>
      </c>
      <c r="BF8" s="129">
        <f t="shared" si="33"/>
      </c>
      <c r="BG8" s="129">
        <f t="shared" si="34"/>
        <v/>
      </c>
      <c r="BH8" s="129">
        <f t="shared" si="35"/>
        <v/>
      </c>
      <c r="BI8" s="129">
        <f t="shared" si="36"/>
        <v/>
      </c>
      <c r="BJ8" s="129">
        <f t="shared" si="37"/>
        <v/>
      </c>
      <c r="BK8" s="129">
        <f>IF(R8="","",IF(OR(BY8="",BY8=0),"BOX",IFERROR(IF(VLOOKUP(BY8,УГО_блоки,3,FALSE)&amp;""&lt;&gt;"",VLOOKUP(BY8,УГО_блоки,3,FALSE),VLOOKUP(BY8,УГО_блоки,2,FALSE)),BY8)))</f>
      </c>
      <c r="BL8" s="129">
        <f t="shared" si="39"/>
      </c>
      <c r="BM8" s="129">
        <f>IF(H8="","",IF(COUNTIF($H$3:H8,H8)=1,MAX($BM$2:BM7)+1,""))</f>
      </c>
      <c r="BN8" s="129">
        <f>IF(I8="","",IF(COUNTIF($I$3:I8,I8)+COUNTIF($J$2:J7,I8)+COUNTIF($K$2:K7,I8)=1,MAX($BN$2:BP7)+1,""))</f>
      </c>
      <c r="BO8" s="129">
        <f>IF(J8="","",IF(COUNTIF($I$3:I8,J8)+COUNTIF($J$3:J8,J8)+COUNTIF($K$2:K7,J8)=1,MAX($BN$2:BP7,BN8)+1,""))</f>
      </c>
      <c r="BP8" s="129">
        <f>IF(K8="","",IF(COUNTIF($I$3:I8,K8)+COUNTIF($J$3:J8,K8)+COUNTIF($K$3:K8,K8)=1,MAX($BN$2:BP7,BN8,BO8)+1,""))</f>
      </c>
      <c r="BQ8" s="129">
        <f>IF(AY8=1,IFERROR(MID(Q8,FIND(" (",Q8)+2,FIND(")",Q8,FIND(" (",Q8))-FIND(" (",Q8)-2),"?"),"")</f>
      </c>
      <c r="BR8" s="129">
        <f>IF(BQ8="","",IF(COUNTIF($BQ$3:BQ8,BQ8)=1,MAX($BR$2:BR7)+1,""))</f>
      </c>
      <c r="BS8" s="129">
        <f>IF(AW8="","",COUNTIF($AW$3:AW8,"?*"))</f>
      </c>
      <c r="BT8" s="129">
        <f>IF(OR(AW8="",AI8=""),"",IF(COUNTIFS($AW$3:AW8,"?*",$AI$3:AI8,AI8)=1,MAX($BT$2:BT7)+1,""))</f>
      </c>
      <c r="BU8" s="129">
        <f>IF(AE8="",0,IF(OR(ISNUMBER(SEARCH("дубль",AE8)),ISNUMBER(SEARCH("ПЕРЕГРУЗ",AE8)),ISNUMBER(SEARCH("ЗАЩИЩ",AE8)),ISNUMBER(SEARCH("КАНАЛ",AE8)),ISNUMBER(SEARCH("без 30",AE8))),2,1))</f>
      </c>
      <c r="BV8" s="129">
        <f>IF(R8="","",COUNTIF($R$3:R8,"?*"))</f>
      </c>
      <c r="BW8" s="129">
        <f>IF(AY8&lt;&gt;1,0,IF(MAX(IFERROR(--VLOOKUP(R8,УГО_спр,5,FALSE),0),IFERROR(--VLOOKUP(AL8,УГО_спр,5,FALSE),0),IFERROR(--VLOOKUP(LEFT(AL8,2),УГО_спр,5,FALSE),0))&gt;0,MAX(IFERROR(--VLOOKUP(R8,УГО_спр,5,FALSE),0),IFERROR(--VLOOKUP(AL8,УГО_спр,5,FALSE),0),IFERROR(--VLOOKUP(LEFT(AL8,2),УГО_спр,5,FALSE),0)),IF(IFERROR(--LEFT(SUBSTITUTE(BQ8,"x","х"),FIND("х",SUBSTITUTE(BQ8,"x","х"))-1),3)&gt;3,Каталог!$S$9,1)))</f>
      </c>
      <c r="BX8" s="129">
        <f>IF(AY8&lt;&gt;1,0,MAX(0,IFERROR(--LEFT(SUBSTITUTE(BQ8,"x","х"),FIND("х",SUBSTITUTE(BQ8,"x","х"))-1),3)-3*BW8))</f>
      </c>
      <c r="BY8" s="129">
        <f>IF(R8="","",IFERROR(VLOOKUP(R8,УГО_спр,2,FALSE),IFERROR(VLOOKUP(AL8,УГО_спр,2,FALSE),IFERROR(VLOOKUP(LEFT(AL8,2),УГО_спр,2,FALSE),""))))</f>
      </c>
    </row>
    <row r="9" spans="1:64" x14ac:dyDescent="0.3">
      <c r="A9" s="135">
        <f>IF(Разбивка_по_щитам!F9=0,"",Разбивка_по_щитам!F9)</f>
      </c>
      <c r="B9" s="138">
        <f>IF(A9="","",Разбивка_по_щитам!C9)</f>
      </c>
      <c r="C9" s="138">
        <f t="shared" si="0"/>
      </c>
      <c r="D9" s="266"/>
      <c r="E9" s="266"/>
      <c r="F9" s="267"/>
      <c r="G9" s="145">
        <f t="shared" si="1"/>
        <v/>
      </c>
      <c r="H9" s="145">
        <f t="shared" si="2"/>
        <v/>
      </c>
      <c r="I9" s="266"/>
      <c r="J9" s="267"/>
      <c r="K9" s="267"/>
      <c r="L9" s="266"/>
      <c r="M9" s="147">
        <f t="shared" si="3"/>
        <v/>
      </c>
      <c r="N9" s="267"/>
      <c r="O9" s="147">
        <f t="shared" si="4"/>
        <v/>
      </c>
      <c r="P9" s="268">
        <f>IF(AY9=1,"XT"&amp;COUNTIFS($A$3:A9,A9,$AY$3:AY9,1),"")</f>
        <v/>
      </c>
      <c r="Q9" s="152">
        <f>IF(R9="","",IFERROR(SUBSTITUTE(Разбивка_по_щитам!P9,CHAR(10)," "),""))</f>
        <v/>
      </c>
      <c r="R9" s="153">
        <f>IF(OR(Разбивка_по_щитам!H9="",Разбивка_по_щитам!H9=0),"",Разбивка_по_щитам!H9)</f>
        <v/>
      </c>
      <c r="S9" s="154">
        <f>IF(R9="","",IFERROR(Разбивка_по_щитам!J9&amp;"",""))</f>
        <v/>
      </c>
      <c r="T9" s="155">
        <f>IF(R9="","",IFERROR(--Разбивка_по_щитам!L9,""))</f>
        <v/>
      </c>
      <c r="U9" s="155">
        <f>IF(R9="","",IFERROR(--Разбивка_по_щитам!K9,""))</f>
        <v/>
      </c>
      <c r="V9" s="138">
        <f>IF(R9="","",IFERROR(IF(Разбивка_по_щитам!M9=0,"",Разбивка_по_щитам!M9),""))</f>
        <v/>
      </c>
      <c r="W9" s="156">
        <f t="shared" si="5"/>
        <v/>
      </c>
      <c r="X9" s="157">
        <f t="shared" si="6"/>
        <v/>
      </c>
      <c r="Y9" s="266"/>
      <c r="Z9" s="158">
        <f t="shared" si="7"/>
        <v/>
      </c>
      <c r="AA9" s="160">
        <f t="shared" si="8"/>
        <v/>
      </c>
      <c r="AB9" s="160">
        <f>IF(R9="","",IFERROR(LOOKUP(INDEX(Справочная!$I$4:$I$19,MATCH(VLOOKUP(R9,Исходные_данные,22,FALSE),Справочная!$J$4:$J$19,0)+1),{6,10,16,20,25,32,40,50,63,80,100,125}),""))</f>
        <v/>
      </c>
      <c r="AC9" s="160">
        <f t="shared" si="9"/>
        <v/>
      </c>
      <c r="AD9" s="161">
        <f t="shared" si="10"/>
        <v/>
      </c>
      <c r="AE9" s="161">
        <f>IF(AND(R9="",G9=""),"",_xlfn.TEXTJOIN("; ",TRUE,IF(AND(R9&lt;&gt;"",V9=""),"нет фазы",""),IF(AND(R9&lt;&gt;"",N(T9)=0),"нет мощности",""),IF(AND(P9&lt;&gt;"",COUNTIFS($A$3:$A$1000,A9,$P$3:$P$1000,P9)&gt;1),"дубль клеммы "&amp;P9,""),IF(AND(W9&lt;&gt;"",W9&lt;&gt;"ok"),W9,""),IF(X9&lt;&gt;"",X9,""),IF(AND(ISNUMBER(SEARCH("(5х",Q9)),N(AK9)=1),"5 жил на 1 фазе",""),IF(AND(AL9="R",E9&lt;&gt;"",N(AS9)=0),"розетка без 30 мА",""),IF(IFERROR(_xlfn.NUMBERVALUE(MID(Q9,FIND("-",Q9,FIND("L=",Q9))+1,FIND("%",Q9)-FIND("-",Q9,FIND("L=",Q9))-1),","),0)&gt;4,"потери &gt; 4 %","")))</f>
      </c>
      <c r="AF9" s="129">
        <f>IF(E9&lt;&gt;"",COUNTIFS($A$3:A9,A9,$E$3:E9,"?*"),IF(OR(A9&lt;&gt;A8,Y9="вручную"),"",AF8))</f>
        <v/>
      </c>
      <c r="AG9" s="129">
        <f t="shared" si="11"/>
        <v/>
      </c>
      <c r="AH9" s="129">
        <f t="shared" si="12"/>
        <v/>
      </c>
      <c r="AI9" s="129">
        <f t="shared" si="13"/>
        <v/>
      </c>
      <c r="AJ9" s="129">
        <f t="shared" si="14"/>
        <v/>
      </c>
      <c r="AK9" s="129">
        <f t="shared" si="15"/>
        <v/>
      </c>
      <c r="AL9" s="129">
        <f t="shared" si="16"/>
        <v/>
      </c>
      <c r="AM9" s="129">
        <f t="shared" si="17"/>
      </c>
      <c r="AN9" s="129">
        <f t="shared" si="18"/>
      </c>
      <c r="AO9" s="129">
        <f t="shared" si="19"/>
        <v/>
      </c>
      <c r="AP9" s="129">
        <f t="shared" si="20"/>
        <v/>
      </c>
      <c r="AQ9" s="129">
        <f t="shared" si="21"/>
        <v/>
      </c>
      <c r="AR9" s="129">
        <f t="shared" si="22"/>
        <v/>
      </c>
      <c r="AS9" s="129">
        <f t="shared" si="23"/>
        <v/>
      </c>
      <c r="AT9" s="129">
        <f t="shared" si="24"/>
        <v/>
      </c>
      <c r="AU9" s="129">
        <f t="shared" si="25"/>
        <v/>
      </c>
      <c r="AV9" s="129">
        <f t="shared" si="26"/>
        <v/>
      </c>
      <c r="AW9" s="129">
        <f>IF(AV9="","",AV9&amp;"."&amp;COUNTIFS($A$3:A9,A9,$AV$3:AV9,AV9))</f>
        <v/>
      </c>
      <c r="AX9" s="129">
        <f t="shared" si="27"/>
        <v/>
      </c>
      <c r="AY9" s="129">
        <f>IF(N9="б/к",0,IF(OR(ISNUMBER(SEARCH("L=",Разбивка_по_щитам!P9)),N9="+",N9="="),1,0))</f>
      </c>
      <c r="AZ9" s="129">
        <f t="shared" si="28"/>
        <v/>
      </c>
      <c r="BA9" s="129">
        <f t="shared" si="29"/>
      </c>
      <c r="BB9" s="129">
        <f t="shared" si="30"/>
      </c>
      <c r="BD9" s="129">
        <f t="shared" si="31"/>
      </c>
      <c r="BE9" s="129">
        <f t="shared" si="32"/>
      </c>
      <c r="BF9" s="129">
        <f t="shared" si="33"/>
      </c>
      <c r="BG9" s="129">
        <f t="shared" si="34"/>
        <v/>
      </c>
      <c r="BH9" s="129">
        <f t="shared" si="35"/>
        <v/>
      </c>
      <c r="BI9" s="129">
        <f t="shared" si="36"/>
        <v/>
      </c>
      <c r="BJ9" s="129">
        <f t="shared" si="37"/>
        <v/>
      </c>
      <c r="BK9" s="129">
        <f>IF(R9="","",IF(OR(BY9="",BY9=0),"BOX",IFERROR(IF(VLOOKUP(BY9,УГО_блоки,3,FALSE)&amp;""&lt;&gt;"",VLOOKUP(BY9,УГО_блоки,3,FALSE),VLOOKUP(BY9,УГО_блоки,2,FALSE)),BY9)))</f>
      </c>
      <c r="BL9" s="129">
        <f t="shared" si="39"/>
      </c>
      <c r="BM9" s="129">
        <f>IF(H9="","",IF(COUNTIF($H$3:H9,H9)=1,MAX($BM$2:BM8)+1,""))</f>
      </c>
      <c r="BN9" s="129">
        <f>IF(I9="","",IF(COUNTIF($I$3:I9,I9)+COUNTIF($J$2:J8,I9)+COUNTIF($K$2:K8,I9)=1,MAX($BN$2:BP8)+1,""))</f>
      </c>
      <c r="BO9" s="129">
        <f>IF(J9="","",IF(COUNTIF($I$3:I9,J9)+COUNTIF($J$3:J9,J9)+COUNTIF($K$2:K8,J9)=1,MAX($BN$2:BP8,BN9)+1,""))</f>
      </c>
      <c r="BP9" s="129">
        <f>IF(K9="","",IF(COUNTIF($I$3:I9,K9)+COUNTIF($J$3:J9,K9)+COUNTIF($K$3:K9,K9)=1,MAX($BN$2:BP8,BN9,BO9)+1,""))</f>
      </c>
      <c r="BQ9" s="129">
        <f>IF(AY9=1,IFERROR(MID(Q9,FIND(" (",Q9)+2,FIND(")",Q9,FIND(" (",Q9))-FIND(" (",Q9)-2),"?"),"")</f>
      </c>
      <c r="BR9" s="129">
        <f>IF(BQ9="","",IF(COUNTIF($BQ$3:BQ9,BQ9)=1,MAX($BR$2:BR8)+1,""))</f>
      </c>
      <c r="BS9" s="129">
        <f>IF(AW9="","",COUNTIF($AW$3:AW9,"?*"))</f>
      </c>
      <c r="BT9" s="129">
        <f>IF(OR(AW9="",AI9=""),"",IF(COUNTIFS($AW$3:AW9,"?*",$AI$3:AI9,AI9)=1,MAX($BT$2:BT8)+1,""))</f>
      </c>
      <c r="BU9" s="129">
        <f>IF(AE9="",0,IF(OR(ISNUMBER(SEARCH("дубль",AE9)),ISNUMBER(SEARCH("ПЕРЕГРУЗ",AE9)),ISNUMBER(SEARCH("ЗАЩИЩ",AE9)),ISNUMBER(SEARCH("КАНАЛ",AE9)),ISNUMBER(SEARCH("без 30",AE9))),2,1))</f>
      </c>
      <c r="BV9" s="129">
        <f>IF(R9="","",COUNTIF($R$3:R9,"?*"))</f>
      </c>
      <c r="BW9" s="129">
        <f>IF(AY9&lt;&gt;1,0,IF(MAX(IFERROR(--VLOOKUP(R9,УГО_спр,5,FALSE),0),IFERROR(--VLOOKUP(AL9,УГО_спр,5,FALSE),0),IFERROR(--VLOOKUP(LEFT(AL9,2),УГО_спр,5,FALSE),0))&gt;0,MAX(IFERROR(--VLOOKUP(R9,УГО_спр,5,FALSE),0),IFERROR(--VLOOKUP(AL9,УГО_спр,5,FALSE),0),IFERROR(--VLOOKUP(LEFT(AL9,2),УГО_спр,5,FALSE),0)),IF(IFERROR(--LEFT(SUBSTITUTE(BQ9,"x","х"),FIND("х",SUBSTITUTE(BQ9,"x","х"))-1),3)&gt;3,Каталог!$S$9,1)))</f>
      </c>
      <c r="BX9" s="129">
        <f>IF(AY9&lt;&gt;1,0,MAX(0,IFERROR(--LEFT(SUBSTITUTE(BQ9,"x","х"),FIND("х",SUBSTITUTE(BQ9,"x","х"))-1),3)-3*BW9))</f>
      </c>
      <c r="BY9" s="129">
        <f>IF(R9="","",IFERROR(VLOOKUP(R9,УГО_спр,2,FALSE),IFERROR(VLOOKUP(AL9,УГО_спр,2,FALSE),IFERROR(VLOOKUP(LEFT(AL9,2),УГО_спр,2,FALSE),""))))</f>
      </c>
    </row>
    <row r="10" spans="1:64" x14ac:dyDescent="0.3">
      <c r="A10" s="135">
        <f>IF(Разбивка_по_щитам!F10=0,"",Разбивка_по_щитам!F10)</f>
      </c>
      <c r="B10" s="138">
        <f>IF(A10="","",Разбивка_по_щитам!C10)</f>
      </c>
      <c r="C10" s="138">
        <f t="shared" si="0"/>
      </c>
      <c r="D10" s="266"/>
      <c r="E10" s="266"/>
      <c r="F10" s="267"/>
      <c r="G10" s="145">
        <f t="shared" si="1"/>
        <v/>
      </c>
      <c r="H10" s="145">
        <f t="shared" si="2"/>
        <v/>
      </c>
      <c r="I10" s="266"/>
      <c r="J10" s="267"/>
      <c r="K10" s="267"/>
      <c r="L10" s="266"/>
      <c r="M10" s="147">
        <f t="shared" si="3"/>
        <v/>
      </c>
      <c r="N10" s="267"/>
      <c r="O10" s="147">
        <f t="shared" si="4"/>
        <v/>
      </c>
      <c r="P10" s="268">
        <f>IF(AY10=1,"XT"&amp;COUNTIFS($A$3:A10,A10,$AY$3:AY10,1),"")</f>
        <v/>
      </c>
      <c r="Q10" s="152">
        <f>IF(R10="","",IFERROR(SUBSTITUTE(Разбивка_по_щитам!P10,CHAR(10)," "),""))</f>
        <v/>
      </c>
      <c r="R10" s="153">
        <f>IF(OR(Разбивка_по_щитам!H10="",Разбивка_по_щитам!H10=0),"",Разбивка_по_щитам!H10)</f>
        <v/>
      </c>
      <c r="S10" s="154">
        <f>IF(R10="","",IFERROR(Разбивка_по_щитам!J10&amp;"",""))</f>
        <v/>
      </c>
      <c r="T10" s="155">
        <f>IF(R10="","",IFERROR(--Разбивка_по_щитам!L10,""))</f>
        <v/>
      </c>
      <c r="U10" s="155">
        <f>IF(R10="","",IFERROR(--Разбивка_по_щитам!K10,""))</f>
        <v/>
      </c>
      <c r="V10" s="138">
        <f>IF(R10="","",IFERROR(IF(Разбивка_по_щитам!M10=0,"",Разбивка_по_щитам!M10),""))</f>
        <v/>
      </c>
      <c r="W10" s="156">
        <f t="shared" si="5"/>
        <v/>
      </c>
      <c r="X10" s="157">
        <f t="shared" si="6"/>
        <v/>
      </c>
      <c r="Y10" s="266"/>
      <c r="Z10" s="158">
        <f t="shared" si="7"/>
        <v/>
      </c>
      <c r="AA10" s="160">
        <f t="shared" si="8"/>
        <v/>
      </c>
      <c r="AB10" s="160">
        <f>IF(R10="","",IFERROR(LOOKUP(INDEX(Справочная!$I$4:$I$19,MATCH(VLOOKUP(R10,Исходные_данные,22,FALSE),Справочная!$J$4:$J$19,0)+1),{6,10,16,20,25,32,40,50,63,80,100,125}),""))</f>
        <v/>
      </c>
      <c r="AC10" s="160">
        <f t="shared" si="9"/>
        <v/>
      </c>
      <c r="AD10" s="161">
        <f t="shared" si="10"/>
        <v/>
      </c>
      <c r="AE10" s="161">
        <f>IF(AND(R10="",G10=""),"",_xlfn.TEXTJOIN("; ",TRUE,IF(AND(R10&lt;&gt;"",V10=""),"нет фазы",""),IF(AND(R10&lt;&gt;"",N(T10)=0),"нет мощности",""),IF(AND(P10&lt;&gt;"",COUNTIFS($A$3:$A$1000,A10,$P$3:$P$1000,P10)&gt;1),"дубль клеммы "&amp;P10,""),IF(AND(W10&lt;&gt;"",W10&lt;&gt;"ok"),W10,""),IF(X10&lt;&gt;"",X10,""),IF(AND(ISNUMBER(SEARCH("(5х",Q10)),N(AK10)=1),"5 жил на 1 фазе",""),IF(AND(AL10="R",E10&lt;&gt;"",N(AS10)=0),"розетка без 30 мА",""),IF(IFERROR(_xlfn.NUMBERVALUE(MID(Q10,FIND("-",Q10,FIND("L=",Q10))+1,FIND("%",Q10)-FIND("-",Q10,FIND("L=",Q10))-1),","),0)&gt;4,"потери &gt; 4 %","")))</f>
      </c>
      <c r="AF10" s="129">
        <f>IF(E10&lt;&gt;"",COUNTIFS($A$3:A10,A10,$E$3:E10,"?*"),IF(OR(A10&lt;&gt;A9,Y10="вручную"),"",AF9))</f>
        <v/>
      </c>
      <c r="AG10" s="129">
        <f t="shared" si="11"/>
        <v/>
      </c>
      <c r="AH10" s="129">
        <f t="shared" si="12"/>
        <v/>
      </c>
      <c r="AI10" s="129">
        <f t="shared" si="13"/>
        <v/>
      </c>
      <c r="AJ10" s="129">
        <f t="shared" si="14"/>
        <v/>
      </c>
      <c r="AK10" s="129">
        <f t="shared" si="15"/>
        <v/>
      </c>
      <c r="AL10" s="129">
        <f t="shared" si="16"/>
        <v/>
      </c>
      <c r="AM10" s="129">
        <f t="shared" si="17"/>
      </c>
      <c r="AN10" s="129">
        <f t="shared" si="18"/>
      </c>
      <c r="AO10" s="129">
        <f t="shared" si="19"/>
        <v/>
      </c>
      <c r="AP10" s="129">
        <f t="shared" si="20"/>
        <v/>
      </c>
      <c r="AQ10" s="129">
        <f t="shared" si="21"/>
        <v/>
      </c>
      <c r="AR10" s="129">
        <f t="shared" si="22"/>
        <v/>
      </c>
      <c r="AS10" s="129">
        <f t="shared" si="23"/>
        <v/>
      </c>
      <c r="AT10" s="129">
        <f t="shared" si="24"/>
        <v/>
      </c>
      <c r="AU10" s="129">
        <f t="shared" si="25"/>
        <v/>
      </c>
      <c r="AV10" s="129">
        <f t="shared" si="26"/>
        <v/>
      </c>
      <c r="AW10" s="129">
        <f>IF(AV10="","",AV10&amp;"."&amp;COUNTIFS($A$3:A10,A10,$AV$3:AV10,AV10))</f>
        <v/>
      </c>
      <c r="AX10" s="129">
        <f t="shared" si="27"/>
        <v/>
      </c>
      <c r="AY10" s="129">
        <f>IF(N10="б/к",0,IF(OR(ISNUMBER(SEARCH("L=",Разбивка_по_щитам!P10)),N10="+",N10="="),1,0))</f>
      </c>
      <c r="AZ10" s="129">
        <f t="shared" si="28"/>
        <v/>
      </c>
      <c r="BA10" s="129">
        <f t="shared" si="29"/>
      </c>
      <c r="BB10" s="129">
        <f t="shared" si="30"/>
      </c>
      <c r="BD10" s="129">
        <f t="shared" si="31"/>
      </c>
      <c r="BE10" s="129">
        <f t="shared" si="32"/>
      </c>
      <c r="BF10" s="129">
        <f t="shared" si="33"/>
      </c>
      <c r="BG10" s="129">
        <f t="shared" si="34"/>
        <v/>
      </c>
      <c r="BH10" s="129">
        <f t="shared" si="35"/>
        <v/>
      </c>
      <c r="BI10" s="129">
        <f t="shared" si="36"/>
        <v/>
      </c>
      <c r="BJ10" s="129">
        <f t="shared" si="37"/>
        <v/>
      </c>
      <c r="BK10" s="129">
        <f>IF(R10="","",IF(OR(BY10="",BY10=0),"BOX",IFERROR(IF(VLOOKUP(BY10,УГО_блоки,3,FALSE)&amp;""&lt;&gt;"",VLOOKUP(BY10,УГО_блоки,3,FALSE),VLOOKUP(BY10,УГО_блоки,2,FALSE)),BY10)))</f>
      </c>
      <c r="BL10" s="129">
        <f t="shared" si="39"/>
      </c>
      <c r="BM10" s="129">
        <f>IF(H10="","",IF(COUNTIF($H$3:H10,H10)=1,MAX($BM$2:BM9)+1,""))</f>
      </c>
      <c r="BN10" s="129">
        <f>IF(I10="","",IF(COUNTIF($I$3:I10,I10)+COUNTIF($J$2:J9,I10)+COUNTIF($K$2:K9,I10)=1,MAX($BN$2:BP9)+1,""))</f>
      </c>
      <c r="BO10" s="129">
        <f>IF(J10="","",IF(COUNTIF($I$3:I10,J10)+COUNTIF($J$3:J10,J10)+COUNTIF($K$2:K9,J10)=1,MAX($BN$2:BP9,BN10)+1,""))</f>
      </c>
      <c r="BP10" s="129">
        <f>IF(K10="","",IF(COUNTIF($I$3:I10,K10)+COUNTIF($J$3:J10,K10)+COUNTIF($K$3:K10,K10)=1,MAX($BN$2:BP9,BN10,BO10)+1,""))</f>
      </c>
      <c r="BQ10" s="129">
        <f>IF(AY10=1,IFERROR(MID(Q10,FIND(" (",Q10)+2,FIND(")",Q10,FIND(" (",Q10))-FIND(" (",Q10)-2),"?"),"")</f>
      </c>
      <c r="BR10" s="129">
        <f>IF(BQ10="","",IF(COUNTIF($BQ$3:BQ10,BQ10)=1,MAX($BR$2:BR9)+1,""))</f>
      </c>
      <c r="BS10" s="129">
        <f>IF(AW10="","",COUNTIF($AW$3:AW10,"?*"))</f>
      </c>
      <c r="BT10" s="129">
        <f>IF(OR(AW10="",AI10=""),"",IF(COUNTIFS($AW$3:AW10,"?*",$AI$3:AI10,AI10)=1,MAX($BT$2:BT9)+1,""))</f>
      </c>
      <c r="BU10" s="129">
        <f>IF(AE10="",0,IF(OR(ISNUMBER(SEARCH("дубль",AE10)),ISNUMBER(SEARCH("ПЕРЕГРУЗ",AE10)),ISNUMBER(SEARCH("ЗАЩИЩ",AE10)),ISNUMBER(SEARCH("КАНАЛ",AE10)),ISNUMBER(SEARCH("без 30",AE10))),2,1))</f>
      </c>
      <c r="BV10" s="129">
        <f>IF(R10="","",COUNTIF($R$3:R10,"?*"))</f>
      </c>
      <c r="BW10" s="129">
        <f>IF(AY10&lt;&gt;1,0,IF(MAX(IFERROR(--VLOOKUP(R10,УГО_спр,5,FALSE),0),IFERROR(--VLOOKUP(AL10,УГО_спр,5,FALSE),0),IFERROR(--VLOOKUP(LEFT(AL10,2),УГО_спр,5,FALSE),0))&gt;0,MAX(IFERROR(--VLOOKUP(R10,УГО_спр,5,FALSE),0),IFERROR(--VLOOKUP(AL10,УГО_спр,5,FALSE),0),IFERROR(--VLOOKUP(LEFT(AL10,2),УГО_спр,5,FALSE),0)),IF(IFERROR(--LEFT(SUBSTITUTE(BQ10,"x","х"),FIND("х",SUBSTITUTE(BQ10,"x","х"))-1),3)&gt;3,Каталог!$S$9,1)))</f>
      </c>
      <c r="BX10" s="129">
        <f>IF(AY10&lt;&gt;1,0,MAX(0,IFERROR(--LEFT(SUBSTITUTE(BQ10,"x","х"),FIND("х",SUBSTITUTE(BQ10,"x","х"))-1),3)-3*BW10))</f>
      </c>
      <c r="BY10" s="129">
        <f>IF(R10="","",IFERROR(VLOOKUP(R10,УГО_спр,2,FALSE),IFERROR(VLOOKUP(AL10,УГО_спр,2,FALSE),IFERROR(VLOOKUP(LEFT(AL10,2),УГО_спр,2,FALSE),""))))</f>
      </c>
    </row>
    <row r="11" spans="1:64" x14ac:dyDescent="0.3">
      <c r="A11" s="135">
        <f>IF(Разбивка_по_щитам!F11=0,"",Разбивка_по_щитам!F11)</f>
      </c>
      <c r="B11" s="138">
        <f>IF(A11="","",Разбивка_по_щитам!C11)</f>
      </c>
      <c r="C11" s="138">
        <f t="shared" si="0"/>
      </c>
      <c r="D11" s="266"/>
      <c r="E11" s="266"/>
      <c r="F11" s="267"/>
      <c r="G11" s="145">
        <f t="shared" si="1"/>
        <v/>
      </c>
      <c r="H11" s="145">
        <f t="shared" si="2"/>
        <v/>
      </c>
      <c r="I11" s="266"/>
      <c r="J11" s="267"/>
      <c r="K11" s="267"/>
      <c r="L11" s="266"/>
      <c r="M11" s="147">
        <f t="shared" si="3"/>
        <v/>
      </c>
      <c r="N11" s="267"/>
      <c r="O11" s="147">
        <f t="shared" si="4"/>
        <v/>
      </c>
      <c r="P11" s="268">
        <f>IF(AY11=1,"XT"&amp;COUNTIFS($A$3:A11,A11,$AY$3:AY11,1),"")</f>
        <v/>
      </c>
      <c r="Q11" s="152">
        <f>IF(R11="","",IFERROR(SUBSTITUTE(Разбивка_по_щитам!P11,CHAR(10)," "),""))</f>
        <v/>
      </c>
      <c r="R11" s="153">
        <f>IF(OR(Разбивка_по_щитам!H11="",Разбивка_по_щитам!H11=0),"",Разбивка_по_щитам!H11)</f>
        <v/>
      </c>
      <c r="S11" s="154">
        <f>IF(R11="","",IFERROR(Разбивка_по_щитам!J11&amp;"",""))</f>
        <v/>
      </c>
      <c r="T11" s="155">
        <f>IF(R11="","",IFERROR(--Разбивка_по_щитам!L11,""))</f>
        <v/>
      </c>
      <c r="U11" s="155">
        <f>IF(R11="","",IFERROR(--Разбивка_по_щитам!K11,""))</f>
        <v/>
      </c>
      <c r="V11" s="138">
        <f>IF(R11="","",IFERROR(IF(Разбивка_по_щитам!M11=0,"",Разбивка_по_щитам!M11),""))</f>
        <v/>
      </c>
      <c r="W11" s="156">
        <f t="shared" si="5"/>
        <v/>
      </c>
      <c r="X11" s="157">
        <f t="shared" si="6"/>
        <v/>
      </c>
      <c r="Y11" s="266"/>
      <c r="Z11" s="158">
        <f t="shared" si="7"/>
        <v/>
      </c>
      <c r="AA11" s="160">
        <f t="shared" si="8"/>
        <v/>
      </c>
      <c r="AB11" s="160">
        <f>IF(R11="","",IFERROR(LOOKUP(INDEX(Справочная!$I$4:$I$19,MATCH(VLOOKUP(R11,Исходные_данные,22,FALSE),Справочная!$J$4:$J$19,0)+1),{6,10,16,20,25,32,40,50,63,80,100,125}),""))</f>
        <v/>
      </c>
      <c r="AC11" s="160">
        <f t="shared" si="9"/>
        <v/>
      </c>
      <c r="AD11" s="161">
        <f t="shared" si="10"/>
        <v/>
      </c>
      <c r="AE11" s="161">
        <f>IF(AND(R11="",G11=""),"",_xlfn.TEXTJOIN("; ",TRUE,IF(AND(R11&lt;&gt;"",V11=""),"нет фазы",""),IF(AND(R11&lt;&gt;"",N(T11)=0),"нет мощности",""),IF(AND(P11&lt;&gt;"",COUNTIFS($A$3:$A$1000,A11,$P$3:$P$1000,P11)&gt;1),"дубль клеммы "&amp;P11,""),IF(AND(W11&lt;&gt;"",W11&lt;&gt;"ok"),W11,""),IF(X11&lt;&gt;"",X11,""),IF(AND(ISNUMBER(SEARCH("(5х",Q11)),N(AK11)=1),"5 жил на 1 фазе",""),IF(AND(AL11="R",E11&lt;&gt;"",N(AS11)=0),"розетка без 30 мА",""),IF(IFERROR(_xlfn.NUMBERVALUE(MID(Q11,FIND("-",Q11,FIND("L=",Q11))+1,FIND("%",Q11)-FIND("-",Q11,FIND("L=",Q11))-1),","),0)&gt;4,"потери &gt; 4 %","")))</f>
      </c>
      <c r="AF11" s="129">
        <f>IF(E11&lt;&gt;"",COUNTIFS($A$3:A11,A11,$E$3:E11,"?*"),IF(OR(A11&lt;&gt;A10,Y11="вручную"),"",AF10))</f>
        <v/>
      </c>
      <c r="AG11" s="129">
        <f t="shared" si="11"/>
        <v/>
      </c>
      <c r="AH11" s="129">
        <f t="shared" si="12"/>
        <v/>
      </c>
      <c r="AI11" s="129">
        <f t="shared" si="13"/>
        <v/>
      </c>
      <c r="AJ11" s="129">
        <f t="shared" si="14"/>
        <v/>
      </c>
      <c r="AK11" s="129">
        <f t="shared" si="15"/>
        <v/>
      </c>
      <c r="AL11" s="129">
        <f t="shared" si="16"/>
        <v/>
      </c>
      <c r="AM11" s="129">
        <f t="shared" si="17"/>
      </c>
      <c r="AN11" s="129">
        <f t="shared" si="18"/>
      </c>
      <c r="AO11" s="129">
        <f t="shared" si="19"/>
        <v/>
      </c>
      <c r="AP11" s="129">
        <f t="shared" si="20"/>
        <v/>
      </c>
      <c r="AQ11" s="129">
        <f t="shared" si="21"/>
        <v/>
      </c>
      <c r="AR11" s="129">
        <f t="shared" si="22"/>
        <v/>
      </c>
      <c r="AS11" s="129">
        <f t="shared" si="23"/>
        <v/>
      </c>
      <c r="AT11" s="129">
        <f t="shared" si="24"/>
        <v/>
      </c>
      <c r="AU11" s="129">
        <f t="shared" si="25"/>
        <v/>
      </c>
      <c r="AV11" s="129">
        <f t="shared" si="26"/>
        <v/>
      </c>
      <c r="AW11" s="129">
        <f>IF(AV11="","",AV11&amp;"."&amp;COUNTIFS($A$3:A11,A11,$AV$3:AV11,AV11))</f>
        <v/>
      </c>
      <c r="AX11" s="129">
        <f t="shared" si="27"/>
        <v/>
      </c>
      <c r="AY11" s="129">
        <f>IF(N11="б/к",0,IF(OR(ISNUMBER(SEARCH("L=",Разбивка_по_щитам!P11)),N11="+",N11="="),1,0))</f>
      </c>
      <c r="AZ11" s="129">
        <f t="shared" si="28"/>
        <v/>
      </c>
      <c r="BA11" s="129">
        <f t="shared" si="29"/>
      </c>
      <c r="BB11" s="129">
        <f t="shared" si="30"/>
      </c>
      <c r="BD11" s="129">
        <f t="shared" si="31"/>
      </c>
      <c r="BE11" s="129">
        <f t="shared" si="32"/>
      </c>
      <c r="BF11" s="129">
        <f t="shared" si="33"/>
      </c>
      <c r="BG11" s="129">
        <f t="shared" si="34"/>
        <v/>
      </c>
      <c r="BH11" s="129">
        <f t="shared" si="35"/>
        <v/>
      </c>
      <c r="BI11" s="129">
        <f t="shared" si="36"/>
        <v/>
      </c>
      <c r="BJ11" s="129">
        <f t="shared" si="37"/>
        <v/>
      </c>
      <c r="BK11" s="129">
        <f>IF(R11="","",IF(OR(BY11="",BY11=0),"BOX",IFERROR(IF(VLOOKUP(BY11,УГО_блоки,3,FALSE)&amp;""&lt;&gt;"",VLOOKUP(BY11,УГО_блоки,3,FALSE),VLOOKUP(BY11,УГО_блоки,2,FALSE)),BY11)))</f>
      </c>
      <c r="BL11" s="129">
        <f t="shared" si="39"/>
      </c>
      <c r="BM11" s="129">
        <f>IF(H11="","",IF(COUNTIF($H$3:H11,H11)=1,MAX($BM$2:BM10)+1,""))</f>
      </c>
      <c r="BN11" s="129">
        <f>IF(I11="","",IF(COUNTIF($I$3:I11,I11)+COUNTIF($J$2:J10,I11)+COUNTIF($K$2:K10,I11)=1,MAX($BN$2:BP10)+1,""))</f>
      </c>
      <c r="BO11" s="129">
        <f>IF(J11="","",IF(COUNTIF($I$3:I11,J11)+COUNTIF($J$3:J11,J11)+COUNTIF($K$2:K10,J11)=1,MAX($BN$2:BP10,BN11)+1,""))</f>
      </c>
      <c r="BP11" s="129">
        <f>IF(K11="","",IF(COUNTIF($I$3:I11,K11)+COUNTIF($J$3:J11,K11)+COUNTIF($K$3:K11,K11)=1,MAX($BN$2:BP10,BN11,BO11)+1,""))</f>
      </c>
      <c r="BQ11" s="129">
        <f>IF(AY11=1,IFERROR(MID(Q11,FIND(" (",Q11)+2,FIND(")",Q11,FIND(" (",Q11))-FIND(" (",Q11)-2),"?"),"")</f>
      </c>
      <c r="BR11" s="129">
        <f>IF(BQ11="","",IF(COUNTIF($BQ$3:BQ11,BQ11)=1,MAX($BR$2:BR10)+1,""))</f>
      </c>
      <c r="BS11" s="129">
        <f>IF(AW11="","",COUNTIF($AW$3:AW11,"?*"))</f>
      </c>
      <c r="BT11" s="129">
        <f>IF(OR(AW11="",AI11=""),"",IF(COUNTIFS($AW$3:AW11,"?*",$AI$3:AI11,AI11)=1,MAX($BT$2:BT10)+1,""))</f>
      </c>
      <c r="BU11" s="129">
        <f>IF(AE11="",0,IF(OR(ISNUMBER(SEARCH("дубль",AE11)),ISNUMBER(SEARCH("ПЕРЕГРУЗ",AE11)),ISNUMBER(SEARCH("ЗАЩИЩ",AE11)),ISNUMBER(SEARCH("КАНАЛ",AE11)),ISNUMBER(SEARCH("без 30",AE11))),2,1))</f>
      </c>
      <c r="BV11" s="129">
        <f>IF(R11="","",COUNTIF($R$3:R11,"?*"))</f>
      </c>
      <c r="BW11" s="129">
        <f>IF(AY11&lt;&gt;1,0,IF(MAX(IFERROR(--VLOOKUP(R11,УГО_спр,5,FALSE),0),IFERROR(--VLOOKUP(AL11,УГО_спр,5,FALSE),0),IFERROR(--VLOOKUP(LEFT(AL11,2),УГО_спр,5,FALSE),0))&gt;0,MAX(IFERROR(--VLOOKUP(R11,УГО_спр,5,FALSE),0),IFERROR(--VLOOKUP(AL11,УГО_спр,5,FALSE),0),IFERROR(--VLOOKUP(LEFT(AL11,2),УГО_спр,5,FALSE),0)),IF(IFERROR(--LEFT(SUBSTITUTE(BQ11,"x","х"),FIND("х",SUBSTITUTE(BQ11,"x","х"))-1),3)&gt;3,Каталог!$S$9,1)))</f>
      </c>
      <c r="BX11" s="129">
        <f>IF(AY11&lt;&gt;1,0,MAX(0,IFERROR(--LEFT(SUBSTITUTE(BQ11,"x","х"),FIND("х",SUBSTITUTE(BQ11,"x","х"))-1),3)-3*BW11))</f>
      </c>
      <c r="BY11" s="129">
        <f>IF(R11="","",IFERROR(VLOOKUP(R11,УГО_спр,2,FALSE),IFERROR(VLOOKUP(AL11,УГО_спр,2,FALSE),IFERROR(VLOOKUP(LEFT(AL11,2),УГО_спр,2,FALSE),""))))</f>
      </c>
    </row>
    <row r="12" spans="1:64" x14ac:dyDescent="0.3">
      <c r="A12" s="135">
        <f>IF(Разбивка_по_щитам!F12=0,"",Разбивка_по_щитам!F12)</f>
      </c>
      <c r="B12" s="138">
        <f>IF(A12="","",Разбивка_по_щитам!C12)</f>
      </c>
      <c r="C12" s="138">
        <f t="shared" si="0"/>
      </c>
      <c r="D12" s="266"/>
      <c r="E12" s="266"/>
      <c r="F12" s="267"/>
      <c r="G12" s="145">
        <f t="shared" si="1"/>
        <v/>
      </c>
      <c r="H12" s="145">
        <f t="shared" si="2"/>
        <v/>
      </c>
      <c r="I12" s="266"/>
      <c r="J12" s="267"/>
      <c r="K12" s="267"/>
      <c r="L12" s="266"/>
      <c r="M12" s="147">
        <f t="shared" si="3"/>
        <v/>
      </c>
      <c r="N12" s="267"/>
      <c r="O12" s="147">
        <f t="shared" si="4"/>
        <v/>
      </c>
      <c r="P12" s="268">
        <f>IF(AY12=1,"XT"&amp;COUNTIFS($A$3:A12,A12,$AY$3:AY12,1),"")</f>
        <v/>
      </c>
      <c r="Q12" s="152">
        <f>IF(R12="","",IFERROR(SUBSTITUTE(Разбивка_по_щитам!P12,CHAR(10)," "),""))</f>
        <v/>
      </c>
      <c r="R12" s="153">
        <f>IF(OR(Разбивка_по_щитам!H12="",Разбивка_по_щитам!H12=0),"",Разбивка_по_щитам!H12)</f>
        <v/>
      </c>
      <c r="S12" s="154">
        <f>IF(R12="","",IFERROR(Разбивка_по_щитам!J12&amp;"",""))</f>
        <v/>
      </c>
      <c r="T12" s="155">
        <f>IF(R12="","",IFERROR(--Разбивка_по_щитам!L12,""))</f>
        <v/>
      </c>
      <c r="U12" s="155">
        <f>IF(R12="","",IFERROR(--Разбивка_по_щитам!K12,""))</f>
        <v/>
      </c>
      <c r="V12" s="138">
        <f>IF(R12="","",IFERROR(IF(Разбивка_по_щитам!M12=0,"",Разбивка_по_щитам!M12),""))</f>
        <v/>
      </c>
      <c r="W12" s="156">
        <f t="shared" si="5"/>
        <v/>
      </c>
      <c r="X12" s="157">
        <f t="shared" si="6"/>
        <v/>
      </c>
      <c r="Y12" s="266"/>
      <c r="Z12" s="158">
        <f t="shared" si="7"/>
        <v/>
      </c>
      <c r="AA12" s="160">
        <f t="shared" si="8"/>
        <v/>
      </c>
      <c r="AB12" s="160">
        <f>IF(R12="","",IFERROR(LOOKUP(INDEX(Справочная!$I$4:$I$19,MATCH(VLOOKUP(R12,Исходные_данные,22,FALSE),Справочная!$J$4:$J$19,0)+1),{6,10,16,20,25,32,40,50,63,80,100,125}),""))</f>
        <v/>
      </c>
      <c r="AC12" s="160">
        <f t="shared" si="9"/>
        <v/>
      </c>
      <c r="AD12" s="161">
        <f t="shared" si="10"/>
        <v/>
      </c>
      <c r="AE12" s="161">
        <f>IF(AND(R12="",G12=""),"",_xlfn.TEXTJOIN("; ",TRUE,IF(AND(R12&lt;&gt;"",V12=""),"нет фазы",""),IF(AND(R12&lt;&gt;"",N(T12)=0),"нет мощности",""),IF(AND(P12&lt;&gt;"",COUNTIFS($A$3:$A$1000,A12,$P$3:$P$1000,P12)&gt;1),"дубль клеммы "&amp;P12,""),IF(AND(W12&lt;&gt;"",W12&lt;&gt;"ok"),W12,""),IF(X12&lt;&gt;"",X12,""),IF(AND(ISNUMBER(SEARCH("(5х",Q12)),N(AK12)=1),"5 жил на 1 фазе",""),IF(AND(AL12="R",E12&lt;&gt;"",N(AS12)=0),"розетка без 30 мА",""),IF(IFERROR(_xlfn.NUMBERVALUE(MID(Q12,FIND("-",Q12,FIND("L=",Q12))+1,FIND("%",Q12)-FIND("-",Q12,FIND("L=",Q12))-1),","),0)&gt;4,"потери &gt; 4 %","")))</f>
      </c>
      <c r="AF12" s="129">
        <f>IF(E12&lt;&gt;"",COUNTIFS($A$3:A12,A12,$E$3:E12,"?*"),IF(OR(A12&lt;&gt;A11,Y12="вручную"),"",AF11))</f>
        <v/>
      </c>
      <c r="AG12" s="129">
        <f t="shared" si="11"/>
        <v/>
      </c>
      <c r="AH12" s="129">
        <f t="shared" si="12"/>
        <v/>
      </c>
      <c r="AI12" s="129">
        <f t="shared" si="13"/>
        <v/>
      </c>
      <c r="AJ12" s="129">
        <f t="shared" si="14"/>
        <v/>
      </c>
      <c r="AK12" s="129">
        <f t="shared" si="15"/>
        <v/>
      </c>
      <c r="AL12" s="129">
        <f t="shared" si="16"/>
        <v/>
      </c>
      <c r="AM12" s="129">
        <f t="shared" si="17"/>
      </c>
      <c r="AN12" s="129">
        <f t="shared" si="18"/>
      </c>
      <c r="AO12" s="129">
        <f t="shared" si="19"/>
        <v/>
      </c>
      <c r="AP12" s="129">
        <f t="shared" si="20"/>
        <v/>
      </c>
      <c r="AQ12" s="129">
        <f t="shared" si="21"/>
        <v/>
      </c>
      <c r="AR12" s="129">
        <f t="shared" si="22"/>
        <v/>
      </c>
      <c r="AS12" s="129">
        <f t="shared" si="23"/>
        <v/>
      </c>
      <c r="AT12" s="129">
        <f t="shared" si="24"/>
        <v/>
      </c>
      <c r="AU12" s="129">
        <f t="shared" si="25"/>
        <v/>
      </c>
      <c r="AV12" s="129">
        <f t="shared" si="26"/>
        <v/>
      </c>
      <c r="AW12" s="129">
        <f>IF(AV12="","",AV12&amp;"."&amp;COUNTIFS($A$3:A12,A12,$AV$3:AV12,AV12))</f>
        <v/>
      </c>
      <c r="AX12" s="129">
        <f t="shared" si="27"/>
        <v/>
      </c>
      <c r="AY12" s="129">
        <f>IF(N12="б/к",0,IF(OR(ISNUMBER(SEARCH("L=",Разбивка_по_щитам!P12)),N12="+",N12="="),1,0))</f>
      </c>
      <c r="AZ12" s="129">
        <f t="shared" si="28"/>
        <v/>
      </c>
      <c r="BA12" s="129">
        <f t="shared" si="29"/>
      </c>
      <c r="BB12" s="129">
        <f t="shared" si="30"/>
      </c>
      <c r="BD12" s="129">
        <f t="shared" si="31"/>
      </c>
      <c r="BE12" s="129">
        <f t="shared" si="32"/>
      </c>
      <c r="BF12" s="129">
        <f t="shared" si="33"/>
      </c>
      <c r="BG12" s="129">
        <f t="shared" si="34"/>
        <v/>
      </c>
      <c r="BH12" s="129">
        <f t="shared" si="35"/>
        <v/>
      </c>
      <c r="BI12" s="129">
        <f t="shared" si="36"/>
        <v/>
      </c>
      <c r="BJ12" s="129">
        <f t="shared" si="37"/>
        <v/>
      </c>
      <c r="BK12" s="129">
        <f>IF(R12="","",IF(OR(BY12="",BY12=0),"BOX",IFERROR(IF(VLOOKUP(BY12,УГО_блоки,3,FALSE)&amp;""&lt;&gt;"",VLOOKUP(BY12,УГО_блоки,3,FALSE),VLOOKUP(BY12,УГО_блоки,2,FALSE)),BY12)))</f>
      </c>
      <c r="BL12" s="129">
        <f t="shared" si="39"/>
      </c>
      <c r="BM12" s="129">
        <f>IF(H12="","",IF(COUNTIF($H$3:H12,H12)=1,MAX($BM$2:BM11)+1,""))</f>
      </c>
      <c r="BN12" s="129">
        <f>IF(I12="","",IF(COUNTIF($I$3:I12,I12)+COUNTIF($J$2:J11,I12)+COUNTIF($K$2:K11,I12)=1,MAX($BN$2:BP11)+1,""))</f>
      </c>
      <c r="BO12" s="129">
        <f>IF(J12="","",IF(COUNTIF($I$3:I12,J12)+COUNTIF($J$3:J12,J12)+COUNTIF($K$2:K11,J12)=1,MAX($BN$2:BP11,BN12)+1,""))</f>
      </c>
      <c r="BP12" s="129">
        <f>IF(K12="","",IF(COUNTIF($I$3:I12,K12)+COUNTIF($J$3:J12,K12)+COUNTIF($K$3:K12,K12)=1,MAX($BN$2:BP11,BN12,BO12)+1,""))</f>
      </c>
      <c r="BQ12" s="129">
        <f>IF(AY12=1,IFERROR(MID(Q12,FIND(" (",Q12)+2,FIND(")",Q12,FIND(" (",Q12))-FIND(" (",Q12)-2),"?"),"")</f>
      </c>
      <c r="BR12" s="129">
        <f>IF(BQ12="","",IF(COUNTIF($BQ$3:BQ12,BQ12)=1,MAX($BR$2:BR11)+1,""))</f>
      </c>
      <c r="BS12" s="129">
        <f>IF(AW12="","",COUNTIF($AW$3:AW12,"?*"))</f>
      </c>
      <c r="BT12" s="129">
        <f>IF(OR(AW12="",AI12=""),"",IF(COUNTIFS($AW$3:AW12,"?*",$AI$3:AI12,AI12)=1,MAX($BT$2:BT11)+1,""))</f>
      </c>
      <c r="BU12" s="129">
        <f>IF(AE12="",0,IF(OR(ISNUMBER(SEARCH("дубль",AE12)),ISNUMBER(SEARCH("ПЕРЕГРУЗ",AE12)),ISNUMBER(SEARCH("ЗАЩИЩ",AE12)),ISNUMBER(SEARCH("КАНАЛ",AE12)),ISNUMBER(SEARCH("без 30",AE12))),2,1))</f>
      </c>
      <c r="BV12" s="129">
        <f>IF(R12="","",COUNTIF($R$3:R12,"?*"))</f>
      </c>
      <c r="BW12" s="129">
        <f>IF(AY12&lt;&gt;1,0,IF(MAX(IFERROR(--VLOOKUP(R12,УГО_спр,5,FALSE),0),IFERROR(--VLOOKUP(AL12,УГО_спр,5,FALSE),0),IFERROR(--VLOOKUP(LEFT(AL12,2),УГО_спр,5,FALSE),0))&gt;0,MAX(IFERROR(--VLOOKUP(R12,УГО_спр,5,FALSE),0),IFERROR(--VLOOKUP(AL12,УГО_спр,5,FALSE),0),IFERROR(--VLOOKUP(LEFT(AL12,2),УГО_спр,5,FALSE),0)),IF(IFERROR(--LEFT(SUBSTITUTE(BQ12,"x","х"),FIND("х",SUBSTITUTE(BQ12,"x","х"))-1),3)&gt;3,Каталог!$S$9,1)))</f>
      </c>
      <c r="BX12" s="129">
        <f>IF(AY12&lt;&gt;1,0,MAX(0,IFERROR(--LEFT(SUBSTITUTE(BQ12,"x","х"),FIND("х",SUBSTITUTE(BQ12,"x","х"))-1),3)-3*BW12))</f>
      </c>
      <c r="BY12" s="129">
        <f>IF(R12="","",IFERROR(VLOOKUP(R12,УГО_спр,2,FALSE),IFERROR(VLOOKUP(AL12,УГО_спр,2,FALSE),IFERROR(VLOOKUP(LEFT(AL12,2),УГО_спр,2,FALSE),""))))</f>
      </c>
    </row>
    <row r="13" spans="1:64" x14ac:dyDescent="0.3">
      <c r="A13" s="135">
        <f>IF(Разбивка_по_щитам!F13=0,"",Разбивка_по_щитам!F13)</f>
      </c>
      <c r="B13" s="138">
        <f>IF(A13="","",Разбивка_по_щитам!C13)</f>
      </c>
      <c r="C13" s="138">
        <f t="shared" si="0"/>
      </c>
      <c r="D13" s="266"/>
      <c r="E13" s="266"/>
      <c r="F13" s="267"/>
      <c r="G13" s="145">
        <f t="shared" si="1"/>
        <v/>
      </c>
      <c r="H13" s="145">
        <f t="shared" si="2"/>
        <v/>
      </c>
      <c r="I13" s="266"/>
      <c r="J13" s="267"/>
      <c r="K13" s="267"/>
      <c r="L13" s="266"/>
      <c r="M13" s="147">
        <f t="shared" si="3"/>
        <v/>
      </c>
      <c r="N13" s="267"/>
      <c r="O13" s="147">
        <f t="shared" si="4"/>
        <v/>
      </c>
      <c r="P13" s="268">
        <f>IF(AY13=1,"XT"&amp;COUNTIFS($A$3:A13,A13,$AY$3:AY13,1),"")</f>
        <v/>
      </c>
      <c r="Q13" s="152">
        <f>IF(R13="","",IFERROR(SUBSTITUTE(Разбивка_по_щитам!P13,CHAR(10)," "),""))</f>
        <v/>
      </c>
      <c r="R13" s="153">
        <f>IF(OR(Разбивка_по_щитам!H13="",Разбивка_по_щитам!H13=0),"",Разбивка_по_щитам!H13)</f>
        <v/>
      </c>
      <c r="S13" s="154">
        <f>IF(R13="","",IFERROR(Разбивка_по_щитам!J13&amp;"",""))</f>
        <v/>
      </c>
      <c r="T13" s="155">
        <f>IF(R13="","",IFERROR(--Разбивка_по_щитам!L13,""))</f>
        <v/>
      </c>
      <c r="U13" s="155">
        <f>IF(R13="","",IFERROR(--Разбивка_по_щитам!K13,""))</f>
        <v/>
      </c>
      <c r="V13" s="138">
        <f>IF(R13="","",IFERROR(IF(Разбивка_по_щитам!M13=0,"",Разбивка_по_щитам!M13),""))</f>
        <v/>
      </c>
      <c r="W13" s="156">
        <f t="shared" si="5"/>
        <v/>
      </c>
      <c r="X13" s="157">
        <f t="shared" si="6"/>
        <v/>
      </c>
      <c r="Y13" s="266"/>
      <c r="Z13" s="158">
        <f t="shared" si="7"/>
        <v/>
      </c>
      <c r="AA13" s="160">
        <f t="shared" si="8"/>
        <v/>
      </c>
      <c r="AB13" s="160">
        <f>IF(R13="","",IFERROR(LOOKUP(INDEX(Справочная!$I$4:$I$19,MATCH(VLOOKUP(R13,Исходные_данные,22,FALSE),Справочная!$J$4:$J$19,0)+1),{6,10,16,20,25,32,40,50,63,80,100,125}),""))</f>
        <v/>
      </c>
      <c r="AC13" s="160">
        <f t="shared" si="9"/>
        <v/>
      </c>
      <c r="AD13" s="161">
        <f t="shared" si="10"/>
        <v/>
      </c>
      <c r="AE13" s="161">
        <f>IF(AND(R13="",G13=""),"",_xlfn.TEXTJOIN("; ",TRUE,IF(AND(R13&lt;&gt;"",V13=""),"нет фазы",""),IF(AND(R13&lt;&gt;"",N(T13)=0),"нет мощности",""),IF(AND(P13&lt;&gt;"",COUNTIFS($A$3:$A$1000,A13,$P$3:$P$1000,P13)&gt;1),"дубль клеммы "&amp;P13,""),IF(AND(W13&lt;&gt;"",W13&lt;&gt;"ok"),W13,""),IF(X13&lt;&gt;"",X13,""),IF(AND(ISNUMBER(SEARCH("(5х",Q13)),N(AK13)=1),"5 жил на 1 фазе",""),IF(AND(AL13="R",E13&lt;&gt;"",N(AS13)=0),"розетка без 30 мА",""),IF(IFERROR(_xlfn.NUMBERVALUE(MID(Q13,FIND("-",Q13,FIND("L=",Q13))+1,FIND("%",Q13)-FIND("-",Q13,FIND("L=",Q13))-1),","),0)&gt;4,"потери &gt; 4 %","")))</f>
      </c>
      <c r="AF13" s="129">
        <f>IF(E13&lt;&gt;"",COUNTIFS($A$3:A13,A13,$E$3:E13,"?*"),IF(OR(A13&lt;&gt;A12,Y13="вручную"),"",AF12))</f>
        <v/>
      </c>
      <c r="AG13" s="129">
        <f t="shared" si="11"/>
        <v/>
      </c>
      <c r="AH13" s="129">
        <f t="shared" si="12"/>
        <v/>
      </c>
      <c r="AI13" s="129">
        <f t="shared" si="13"/>
        <v/>
      </c>
      <c r="AJ13" s="129">
        <f t="shared" si="14"/>
        <v/>
      </c>
      <c r="AK13" s="129">
        <f t="shared" si="15"/>
        <v/>
      </c>
      <c r="AL13" s="129">
        <f t="shared" si="16"/>
        <v/>
      </c>
      <c r="AM13" s="129">
        <f t="shared" si="17"/>
      </c>
      <c r="AN13" s="129">
        <f t="shared" si="18"/>
      </c>
      <c r="AO13" s="129">
        <f t="shared" si="19"/>
        <v/>
      </c>
      <c r="AP13" s="129">
        <f t="shared" si="20"/>
        <v/>
      </c>
      <c r="AQ13" s="129">
        <f t="shared" si="21"/>
        <v/>
      </c>
      <c r="AR13" s="129">
        <f t="shared" si="22"/>
        <v/>
      </c>
      <c r="AS13" s="129">
        <f t="shared" si="23"/>
        <v/>
      </c>
      <c r="AT13" s="129">
        <f t="shared" si="24"/>
        <v/>
      </c>
      <c r="AU13" s="129">
        <f t="shared" si="25"/>
        <v/>
      </c>
      <c r="AV13" s="129">
        <f t="shared" si="26"/>
        <v/>
      </c>
      <c r="AW13" s="129">
        <f>IF(AV13="","",AV13&amp;"."&amp;COUNTIFS($A$3:A13,A13,$AV$3:AV13,AV13))</f>
        <v/>
      </c>
      <c r="AX13" s="129">
        <f t="shared" si="27"/>
        <v/>
      </c>
      <c r="AY13" s="129">
        <f>IF(N13="б/к",0,IF(OR(ISNUMBER(SEARCH("L=",Разбивка_по_щитам!P13)),N13="+",N13="="),1,0))</f>
      </c>
      <c r="AZ13" s="129">
        <f t="shared" si="28"/>
        <v/>
      </c>
      <c r="BA13" s="129">
        <f t="shared" si="29"/>
      </c>
      <c r="BB13" s="129">
        <f t="shared" si="30"/>
      </c>
      <c r="BD13" s="129">
        <f t="shared" si="31"/>
      </c>
      <c r="BE13" s="129">
        <f t="shared" si="32"/>
      </c>
      <c r="BF13" s="129">
        <f t="shared" si="33"/>
      </c>
      <c r="BG13" s="129">
        <f t="shared" si="34"/>
        <v/>
      </c>
      <c r="BH13" s="129">
        <f t="shared" si="35"/>
        <v/>
      </c>
      <c r="BI13" s="129">
        <f t="shared" si="36"/>
        <v/>
      </c>
      <c r="BJ13" s="129">
        <f t="shared" si="37"/>
        <v/>
      </c>
      <c r="BK13" s="129">
        <f>IF(R13="","",IF(OR(BY13="",BY13=0),"BOX",IFERROR(IF(VLOOKUP(BY13,УГО_блоки,3,FALSE)&amp;""&lt;&gt;"",VLOOKUP(BY13,УГО_блоки,3,FALSE),VLOOKUP(BY13,УГО_блоки,2,FALSE)),BY13)))</f>
      </c>
      <c r="BL13" s="129">
        <f t="shared" si="39"/>
      </c>
      <c r="BM13" s="129">
        <f>IF(H13="","",IF(COUNTIF($H$3:H13,H13)=1,MAX($BM$2:BM12)+1,""))</f>
      </c>
      <c r="BN13" s="129">
        <f>IF(I13="","",IF(COUNTIF($I$3:I13,I13)+COUNTIF($J$2:J12,I13)+COUNTIF($K$2:K12,I13)=1,MAX($BN$2:BP12)+1,""))</f>
      </c>
      <c r="BO13" s="129">
        <f>IF(J13="","",IF(COUNTIF($I$3:I13,J13)+COUNTIF($J$3:J13,J13)+COUNTIF($K$2:K12,J13)=1,MAX($BN$2:BP12,BN13)+1,""))</f>
      </c>
      <c r="BP13" s="129">
        <f>IF(K13="","",IF(COUNTIF($I$3:I13,K13)+COUNTIF($J$3:J13,K13)+COUNTIF($K$3:K13,K13)=1,MAX($BN$2:BP12,BN13,BO13)+1,""))</f>
      </c>
      <c r="BQ13" s="129">
        <f>IF(AY13=1,IFERROR(MID(Q13,FIND(" (",Q13)+2,FIND(")",Q13,FIND(" (",Q13))-FIND(" (",Q13)-2),"?"),"")</f>
      </c>
      <c r="BR13" s="129">
        <f>IF(BQ13="","",IF(COUNTIF($BQ$3:BQ13,BQ13)=1,MAX($BR$2:BR12)+1,""))</f>
      </c>
      <c r="BS13" s="129">
        <f>IF(AW13="","",COUNTIF($AW$3:AW13,"?*"))</f>
      </c>
      <c r="BT13" s="129">
        <f>IF(OR(AW13="",AI13=""),"",IF(COUNTIFS($AW$3:AW13,"?*",$AI$3:AI13,AI13)=1,MAX($BT$2:BT12)+1,""))</f>
      </c>
      <c r="BU13" s="129">
        <f>IF(AE13="",0,IF(OR(ISNUMBER(SEARCH("дубль",AE13)),ISNUMBER(SEARCH("ПЕРЕГРУЗ",AE13)),ISNUMBER(SEARCH("ЗАЩИЩ",AE13)),ISNUMBER(SEARCH("КАНАЛ",AE13)),ISNUMBER(SEARCH("без 30",AE13))),2,1))</f>
      </c>
      <c r="BV13" s="129">
        <f>IF(R13="","",COUNTIF($R$3:R13,"?*"))</f>
      </c>
      <c r="BW13" s="129">
        <f>IF(AY13&lt;&gt;1,0,IF(MAX(IFERROR(--VLOOKUP(R13,УГО_спр,5,FALSE),0),IFERROR(--VLOOKUP(AL13,УГО_спр,5,FALSE),0),IFERROR(--VLOOKUP(LEFT(AL13,2),УГО_спр,5,FALSE),0))&gt;0,MAX(IFERROR(--VLOOKUP(R13,УГО_спр,5,FALSE),0),IFERROR(--VLOOKUP(AL13,УГО_спр,5,FALSE),0),IFERROR(--VLOOKUP(LEFT(AL13,2),УГО_спр,5,FALSE),0)),IF(IFERROR(--LEFT(SUBSTITUTE(BQ13,"x","х"),FIND("х",SUBSTITUTE(BQ13,"x","х"))-1),3)&gt;3,Каталог!$S$9,1)))</f>
      </c>
      <c r="BX13" s="129">
        <f>IF(AY13&lt;&gt;1,0,MAX(0,IFERROR(--LEFT(SUBSTITUTE(BQ13,"x","х"),FIND("х",SUBSTITUTE(BQ13,"x","х"))-1),3)-3*BW13))</f>
      </c>
      <c r="BY13" s="129">
        <f>IF(R13="","",IFERROR(VLOOKUP(R13,УГО_спр,2,FALSE),IFERROR(VLOOKUP(AL13,УГО_спр,2,FALSE),IFERROR(VLOOKUP(LEFT(AL13,2),УГО_спр,2,FALSE),""))))</f>
      </c>
    </row>
    <row r="14" spans="1:64" x14ac:dyDescent="0.3">
      <c r="A14" s="135">
        <f>IF(Разбивка_по_щитам!F14=0,"",Разбивка_по_щитам!F14)</f>
      </c>
      <c r="B14" s="138">
        <f>IF(A14="","",Разбивка_по_щитам!C14)</f>
      </c>
      <c r="C14" s="138">
        <f t="shared" si="0"/>
      </c>
      <c r="D14" s="266"/>
      <c r="E14" s="266"/>
      <c r="F14" s="267"/>
      <c r="G14" s="145">
        <f t="shared" si="1"/>
        <v/>
      </c>
      <c r="H14" s="145">
        <f t="shared" si="2"/>
        <v/>
      </c>
      <c r="I14" s="266"/>
      <c r="J14" s="267"/>
      <c r="K14" s="267"/>
      <c r="L14" s="266"/>
      <c r="M14" s="147">
        <f t="shared" si="3"/>
        <v/>
      </c>
      <c r="N14" s="267"/>
      <c r="O14" s="147">
        <f t="shared" si="4"/>
        <v/>
      </c>
      <c r="P14" s="268">
        <f>IF(AY14=1,"XT"&amp;COUNTIFS($A$3:A14,A14,$AY$3:AY14,1),"")</f>
        <v/>
      </c>
      <c r="Q14" s="152">
        <f>IF(R14="","",IFERROR(SUBSTITUTE(Разбивка_по_щитам!P14,CHAR(10)," "),""))</f>
        <v/>
      </c>
      <c r="R14" s="153">
        <f>IF(OR(Разбивка_по_щитам!H14="",Разбивка_по_щитам!H14=0),"",Разбивка_по_щитам!H14)</f>
        <v/>
      </c>
      <c r="S14" s="154">
        <f>IF(R14="","",IFERROR(Разбивка_по_щитам!J14&amp;"",""))</f>
        <v/>
      </c>
      <c r="T14" s="155">
        <f>IF(R14="","",IFERROR(--Разбивка_по_щитам!L14,""))</f>
        <v/>
      </c>
      <c r="U14" s="155">
        <f>IF(R14="","",IFERROR(--Разбивка_по_щитам!K14,""))</f>
        <v/>
      </c>
      <c r="V14" s="138">
        <f>IF(R14="","",IFERROR(IF(Разбивка_по_щитам!M14=0,"",Разбивка_по_щитам!M14),""))</f>
        <v/>
      </c>
      <c r="W14" s="156">
        <f t="shared" si="5"/>
        <v/>
      </c>
      <c r="X14" s="157">
        <f t="shared" si="6"/>
        <v/>
      </c>
      <c r="Y14" s="266"/>
      <c r="Z14" s="158">
        <f t="shared" si="7"/>
        <v/>
      </c>
      <c r="AA14" s="160">
        <f t="shared" si="8"/>
        <v/>
      </c>
      <c r="AB14" s="160">
        <f>IF(R14="","",IFERROR(LOOKUP(INDEX(Справочная!$I$4:$I$19,MATCH(VLOOKUP(R14,Исходные_данные,22,FALSE),Справочная!$J$4:$J$19,0)+1),{6,10,16,20,25,32,40,50,63,80,100,125}),""))</f>
        <v/>
      </c>
      <c r="AC14" s="160">
        <f t="shared" si="9"/>
        <v/>
      </c>
      <c r="AD14" s="161">
        <f t="shared" si="10"/>
        <v/>
      </c>
      <c r="AE14" s="161">
        <f>IF(AND(R14="",G14=""),"",_xlfn.TEXTJOIN("; ",TRUE,IF(AND(R14&lt;&gt;"",V14=""),"нет фазы",""),IF(AND(R14&lt;&gt;"",N(T14)=0),"нет мощности",""),IF(AND(P14&lt;&gt;"",COUNTIFS($A$3:$A$1000,A14,$P$3:$P$1000,P14)&gt;1),"дубль клеммы "&amp;P14,""),IF(AND(W14&lt;&gt;"",W14&lt;&gt;"ok"),W14,""),IF(X14&lt;&gt;"",X14,""),IF(AND(ISNUMBER(SEARCH("(5х",Q14)),N(AK14)=1),"5 жил на 1 фазе",""),IF(AND(AL14="R",E14&lt;&gt;"",N(AS14)=0),"розетка без 30 мА",""),IF(IFERROR(_xlfn.NUMBERVALUE(MID(Q14,FIND("-",Q14,FIND("L=",Q14))+1,FIND("%",Q14)-FIND("-",Q14,FIND("L=",Q14))-1),","),0)&gt;4,"потери &gt; 4 %","")))</f>
      </c>
      <c r="AF14" s="129">
        <f>IF(E14&lt;&gt;"",COUNTIFS($A$3:A14,A14,$E$3:E14,"?*"),IF(OR(A14&lt;&gt;A13,Y14="вручную"),"",AF13))</f>
        <v/>
      </c>
      <c r="AG14" s="129">
        <f t="shared" si="11"/>
        <v/>
      </c>
      <c r="AH14" s="129">
        <f t="shared" si="12"/>
        <v/>
      </c>
      <c r="AI14" s="129">
        <f t="shared" si="13"/>
        <v/>
      </c>
      <c r="AJ14" s="129">
        <f t="shared" si="14"/>
        <v/>
      </c>
      <c r="AK14" s="129">
        <f t="shared" si="15"/>
        <v/>
      </c>
      <c r="AL14" s="129">
        <f t="shared" si="16"/>
        <v/>
      </c>
      <c r="AM14" s="129">
        <f t="shared" si="17"/>
      </c>
      <c r="AN14" s="129">
        <f t="shared" si="18"/>
      </c>
      <c r="AO14" s="129">
        <f t="shared" si="19"/>
        <v/>
      </c>
      <c r="AP14" s="129">
        <f t="shared" si="20"/>
        <v/>
      </c>
      <c r="AQ14" s="129">
        <f t="shared" si="21"/>
        <v/>
      </c>
      <c r="AR14" s="129">
        <f t="shared" si="22"/>
        <v/>
      </c>
      <c r="AS14" s="129">
        <f t="shared" si="23"/>
        <v/>
      </c>
      <c r="AT14" s="129">
        <f t="shared" si="24"/>
        <v/>
      </c>
      <c r="AU14" s="129">
        <f t="shared" si="25"/>
        <v/>
      </c>
      <c r="AV14" s="129">
        <f t="shared" si="26"/>
        <v/>
      </c>
      <c r="AW14" s="129">
        <f>IF(AV14="","",AV14&amp;"."&amp;COUNTIFS($A$3:A14,A14,$AV$3:AV14,AV14))</f>
        <v/>
      </c>
      <c r="AX14" s="129">
        <f t="shared" si="27"/>
        <v/>
      </c>
      <c r="AY14" s="129">
        <f>IF(N14="б/к",0,IF(OR(ISNUMBER(SEARCH("L=",Разбивка_по_щитам!P14)),N14="+",N14="="),1,0))</f>
      </c>
      <c r="AZ14" s="129">
        <f t="shared" si="28"/>
        <v/>
      </c>
      <c r="BA14" s="129">
        <f t="shared" si="29"/>
      </c>
      <c r="BB14" s="129">
        <f t="shared" si="30"/>
      </c>
      <c r="BD14" s="129">
        <f t="shared" si="31"/>
      </c>
      <c r="BE14" s="129">
        <f t="shared" si="32"/>
      </c>
      <c r="BF14" s="129">
        <f t="shared" si="33"/>
      </c>
      <c r="BG14" s="129">
        <f t="shared" si="34"/>
        <v/>
      </c>
      <c r="BH14" s="129">
        <f t="shared" si="35"/>
        <v/>
      </c>
      <c r="BI14" s="129">
        <f t="shared" si="36"/>
        <v/>
      </c>
      <c r="BJ14" s="129">
        <f t="shared" si="37"/>
        <v/>
      </c>
      <c r="BK14" s="129">
        <f>IF(R14="","",IF(OR(BY14="",BY14=0),"BOX",IFERROR(IF(VLOOKUP(BY14,УГО_блоки,3,FALSE)&amp;""&lt;&gt;"",VLOOKUP(BY14,УГО_блоки,3,FALSE),VLOOKUP(BY14,УГО_блоки,2,FALSE)),BY14)))</f>
      </c>
      <c r="BL14" s="129">
        <f t="shared" si="39"/>
      </c>
      <c r="BM14" s="129">
        <f>IF(H14="","",IF(COUNTIF($H$3:H14,H14)=1,MAX($BM$2:BM13)+1,""))</f>
      </c>
      <c r="BN14" s="129">
        <f>IF(I14="","",IF(COUNTIF($I$3:I14,I14)+COUNTIF($J$2:J13,I14)+COUNTIF($K$2:K13,I14)=1,MAX($BN$2:BP13)+1,""))</f>
      </c>
      <c r="BO14" s="129">
        <f>IF(J14="","",IF(COUNTIF($I$3:I14,J14)+COUNTIF($J$3:J14,J14)+COUNTIF($K$2:K13,J14)=1,MAX($BN$2:BP13,BN14)+1,""))</f>
      </c>
      <c r="BP14" s="129">
        <f>IF(K14="","",IF(COUNTIF($I$3:I14,K14)+COUNTIF($J$3:J14,K14)+COUNTIF($K$3:K14,K14)=1,MAX($BN$2:BP13,BN14,BO14)+1,""))</f>
      </c>
      <c r="BQ14" s="129">
        <f>IF(AY14=1,IFERROR(MID(Q14,FIND(" (",Q14)+2,FIND(")",Q14,FIND(" (",Q14))-FIND(" (",Q14)-2),"?"),"")</f>
      </c>
      <c r="BR14" s="129">
        <f>IF(BQ14="","",IF(COUNTIF($BQ$3:BQ14,BQ14)=1,MAX($BR$2:BR13)+1,""))</f>
      </c>
      <c r="BS14" s="129">
        <f>IF(AW14="","",COUNTIF($AW$3:AW14,"?*"))</f>
      </c>
      <c r="BT14" s="129">
        <f>IF(OR(AW14="",AI14=""),"",IF(COUNTIFS($AW$3:AW14,"?*",$AI$3:AI14,AI14)=1,MAX($BT$2:BT13)+1,""))</f>
      </c>
      <c r="BU14" s="129">
        <f>IF(AE14="",0,IF(OR(ISNUMBER(SEARCH("дубль",AE14)),ISNUMBER(SEARCH("ПЕРЕГРУЗ",AE14)),ISNUMBER(SEARCH("ЗАЩИЩ",AE14)),ISNUMBER(SEARCH("КАНАЛ",AE14)),ISNUMBER(SEARCH("без 30",AE14))),2,1))</f>
      </c>
      <c r="BV14" s="129">
        <f>IF(R14="","",COUNTIF($R$3:R14,"?*"))</f>
      </c>
      <c r="BW14" s="129">
        <f>IF(AY14&lt;&gt;1,0,IF(MAX(IFERROR(--VLOOKUP(R14,УГО_спр,5,FALSE),0),IFERROR(--VLOOKUP(AL14,УГО_спр,5,FALSE),0),IFERROR(--VLOOKUP(LEFT(AL14,2),УГО_спр,5,FALSE),0))&gt;0,MAX(IFERROR(--VLOOKUP(R14,УГО_спр,5,FALSE),0),IFERROR(--VLOOKUP(AL14,УГО_спр,5,FALSE),0),IFERROR(--VLOOKUP(LEFT(AL14,2),УГО_спр,5,FALSE),0)),IF(IFERROR(--LEFT(SUBSTITUTE(BQ14,"x","х"),FIND("х",SUBSTITUTE(BQ14,"x","х"))-1),3)&gt;3,Каталог!$S$9,1)))</f>
      </c>
      <c r="BX14" s="129">
        <f>IF(AY14&lt;&gt;1,0,MAX(0,IFERROR(--LEFT(SUBSTITUTE(BQ14,"x","х"),FIND("х",SUBSTITUTE(BQ14,"x","х"))-1),3)-3*BW14))</f>
      </c>
      <c r="BY14" s="129">
        <f>IF(R14="","",IFERROR(VLOOKUP(R14,УГО_спр,2,FALSE),IFERROR(VLOOKUP(AL14,УГО_спр,2,FALSE),IFERROR(VLOOKUP(LEFT(AL14,2),УГО_спр,2,FALSE),""))))</f>
      </c>
    </row>
    <row r="15" spans="1:64" x14ac:dyDescent="0.3">
      <c r="A15" s="135">
        <f>IF(Разбивка_по_щитам!F15=0,"",Разбивка_по_щитам!F15)</f>
      </c>
      <c r="B15" s="138">
        <f>IF(A15="","",Разбивка_по_щитам!C15)</f>
      </c>
      <c r="C15" s="138">
        <f t="shared" si="0"/>
      </c>
      <c r="D15" s="266"/>
      <c r="E15" s="266"/>
      <c r="F15" s="267"/>
      <c r="G15" s="145">
        <f t="shared" si="1"/>
        <v/>
      </c>
      <c r="H15" s="145">
        <f t="shared" si="2"/>
        <v/>
      </c>
      <c r="I15" s="266"/>
      <c r="J15" s="267"/>
      <c r="K15" s="267"/>
      <c r="L15" s="266"/>
      <c r="M15" s="147">
        <f t="shared" si="3"/>
        <v/>
      </c>
      <c r="N15" s="267"/>
      <c r="O15" s="147">
        <f t="shared" si="4"/>
        <v/>
      </c>
      <c r="P15" s="268">
        <f>IF(AY15=1,"XT"&amp;COUNTIFS($A$3:A15,A15,$AY$3:AY15,1),"")</f>
        <v/>
      </c>
      <c r="Q15" s="152">
        <f>IF(R15="","",IFERROR(SUBSTITUTE(Разбивка_по_щитам!P15,CHAR(10)," "),""))</f>
        <v/>
      </c>
      <c r="R15" s="153">
        <f>IF(OR(Разбивка_по_щитам!H15="",Разбивка_по_щитам!H15=0),"",Разбивка_по_щитам!H15)</f>
        <v/>
      </c>
      <c r="S15" s="154">
        <f>IF(R15="","",IFERROR(Разбивка_по_щитам!J15&amp;"",""))</f>
        <v/>
      </c>
      <c r="T15" s="155">
        <f>IF(R15="","",IFERROR(--Разбивка_по_щитам!L15,""))</f>
        <v/>
      </c>
      <c r="U15" s="155">
        <f>IF(R15="","",IFERROR(--Разбивка_по_щитам!K15,""))</f>
        <v/>
      </c>
      <c r="V15" s="138">
        <f>IF(R15="","",IFERROR(IF(Разбивка_по_щитам!M15=0,"",Разбивка_по_щитам!M15),""))</f>
        <v/>
      </c>
      <c r="W15" s="156">
        <f t="shared" si="5"/>
        <v/>
      </c>
      <c r="X15" s="157">
        <f t="shared" si="6"/>
        <v/>
      </c>
      <c r="Y15" s="266"/>
      <c r="Z15" s="158">
        <f t="shared" si="7"/>
        <v/>
      </c>
      <c r="AA15" s="160">
        <f t="shared" si="8"/>
        <v/>
      </c>
      <c r="AB15" s="160">
        <f>IF(R15="","",IFERROR(LOOKUP(INDEX(Справочная!$I$4:$I$19,MATCH(VLOOKUP(R15,Исходные_данные,22,FALSE),Справочная!$J$4:$J$19,0)+1),{6,10,16,20,25,32,40,50,63,80,100,125}),""))</f>
        <v/>
      </c>
      <c r="AC15" s="160">
        <f t="shared" si="9"/>
        <v/>
      </c>
      <c r="AD15" s="161">
        <f t="shared" si="10"/>
        <v/>
      </c>
      <c r="AE15" s="161">
        <f>IF(AND(R15="",G15=""),"",_xlfn.TEXTJOIN("; ",TRUE,IF(AND(R15&lt;&gt;"",V15=""),"нет фазы",""),IF(AND(R15&lt;&gt;"",N(T15)=0),"нет мощности",""),IF(AND(P15&lt;&gt;"",COUNTIFS($A$3:$A$1000,A15,$P$3:$P$1000,P15)&gt;1),"дубль клеммы "&amp;P15,""),IF(AND(W15&lt;&gt;"",W15&lt;&gt;"ok"),W15,""),IF(X15&lt;&gt;"",X15,""),IF(AND(ISNUMBER(SEARCH("(5х",Q15)),N(AK15)=1),"5 жил на 1 фазе",""),IF(AND(AL15="R",E15&lt;&gt;"",N(AS15)=0),"розетка без 30 мА",""),IF(IFERROR(_xlfn.NUMBERVALUE(MID(Q15,FIND("-",Q15,FIND("L=",Q15))+1,FIND("%",Q15)-FIND("-",Q15,FIND("L=",Q15))-1),","),0)&gt;4,"потери &gt; 4 %","")))</f>
      </c>
      <c r="AF15" s="129">
        <f>IF(E15&lt;&gt;"",COUNTIFS($A$3:A15,A15,$E$3:E15,"?*"),IF(OR(A15&lt;&gt;A14,Y15="вручную"),"",AF14))</f>
        <v/>
      </c>
      <c r="AG15" s="129">
        <f t="shared" si="11"/>
        <v/>
      </c>
      <c r="AH15" s="129">
        <f t="shared" si="12"/>
        <v/>
      </c>
      <c r="AI15" s="129">
        <f t="shared" si="13"/>
        <v/>
      </c>
      <c r="AJ15" s="129">
        <f t="shared" si="14"/>
        <v/>
      </c>
      <c r="AK15" s="129">
        <f t="shared" si="15"/>
        <v/>
      </c>
      <c r="AL15" s="129">
        <f t="shared" si="16"/>
        <v/>
      </c>
      <c r="AM15" s="129">
        <f t="shared" si="17"/>
      </c>
      <c r="AN15" s="129">
        <f t="shared" si="18"/>
      </c>
      <c r="AO15" s="129">
        <f t="shared" si="19"/>
        <v/>
      </c>
      <c r="AP15" s="129">
        <f t="shared" si="20"/>
        <v/>
      </c>
      <c r="AQ15" s="129">
        <f t="shared" si="21"/>
        <v/>
      </c>
      <c r="AR15" s="129">
        <f t="shared" si="22"/>
        <v/>
      </c>
      <c r="AS15" s="129">
        <f t="shared" si="23"/>
        <v/>
      </c>
      <c r="AT15" s="129">
        <f t="shared" si="24"/>
        <v/>
      </c>
      <c r="AU15" s="129">
        <f t="shared" si="25"/>
        <v/>
      </c>
      <c r="AV15" s="129">
        <f t="shared" si="26"/>
        <v/>
      </c>
      <c r="AW15" s="129">
        <f>IF(AV15="","",AV15&amp;"."&amp;COUNTIFS($A$3:A15,A15,$AV$3:AV15,AV15))</f>
        <v/>
      </c>
      <c r="AX15" s="129">
        <f t="shared" si="27"/>
        <v/>
      </c>
      <c r="AY15" s="129">
        <f>IF(N15="б/к",0,IF(OR(ISNUMBER(SEARCH("L=",Разбивка_по_щитам!P15)),N15="+",N15="="),1,0))</f>
      </c>
      <c r="AZ15" s="129">
        <f t="shared" si="28"/>
        <v/>
      </c>
      <c r="BA15" s="129">
        <f t="shared" si="29"/>
      </c>
      <c r="BB15" s="129">
        <f t="shared" si="30"/>
      </c>
      <c r="BD15" s="129">
        <f t="shared" si="31"/>
      </c>
      <c r="BE15" s="129">
        <f t="shared" si="32"/>
      </c>
      <c r="BF15" s="129">
        <f t="shared" si="33"/>
      </c>
      <c r="BG15" s="129">
        <f t="shared" si="34"/>
        <v/>
      </c>
      <c r="BH15" s="129">
        <f t="shared" si="35"/>
        <v/>
      </c>
      <c r="BI15" s="129">
        <f t="shared" si="36"/>
        <v/>
      </c>
      <c r="BJ15" s="129">
        <f t="shared" si="37"/>
        <v/>
      </c>
      <c r="BK15" s="129">
        <f>IF(R15="","",IF(OR(BY15="",BY15=0),"BOX",IFERROR(IF(VLOOKUP(BY15,УГО_блоки,3,FALSE)&amp;""&lt;&gt;"",VLOOKUP(BY15,УГО_блоки,3,FALSE),VLOOKUP(BY15,УГО_блоки,2,FALSE)),BY15)))</f>
      </c>
      <c r="BL15" s="129">
        <f t="shared" si="39"/>
      </c>
      <c r="BM15" s="129">
        <f>IF(H15="","",IF(COUNTIF($H$3:H15,H15)=1,MAX($BM$2:BM14)+1,""))</f>
      </c>
      <c r="BN15" s="129">
        <f>IF(I15="","",IF(COUNTIF($I$3:I15,I15)+COUNTIF($J$2:J14,I15)+COUNTIF($K$2:K14,I15)=1,MAX($BN$2:BP14)+1,""))</f>
      </c>
      <c r="BO15" s="129">
        <f>IF(J15="","",IF(COUNTIF($I$3:I15,J15)+COUNTIF($J$3:J15,J15)+COUNTIF($K$2:K14,J15)=1,MAX($BN$2:BP14,BN15)+1,""))</f>
      </c>
      <c r="BP15" s="129">
        <f>IF(K15="","",IF(COUNTIF($I$3:I15,K15)+COUNTIF($J$3:J15,K15)+COUNTIF($K$3:K15,K15)=1,MAX($BN$2:BP14,BN15,BO15)+1,""))</f>
      </c>
      <c r="BQ15" s="129">
        <f>IF(AY15=1,IFERROR(MID(Q15,FIND(" (",Q15)+2,FIND(")",Q15,FIND(" (",Q15))-FIND(" (",Q15)-2),"?"),"")</f>
      </c>
      <c r="BR15" s="129">
        <f>IF(BQ15="","",IF(COUNTIF($BQ$3:BQ15,BQ15)=1,MAX($BR$2:BR14)+1,""))</f>
      </c>
      <c r="BS15" s="129">
        <f>IF(AW15="","",COUNTIF($AW$3:AW15,"?*"))</f>
      </c>
      <c r="BT15" s="129">
        <f>IF(OR(AW15="",AI15=""),"",IF(COUNTIFS($AW$3:AW15,"?*",$AI$3:AI15,AI15)=1,MAX($BT$2:BT14)+1,""))</f>
      </c>
      <c r="BU15" s="129">
        <f>IF(AE15="",0,IF(OR(ISNUMBER(SEARCH("дубль",AE15)),ISNUMBER(SEARCH("ПЕРЕГРУЗ",AE15)),ISNUMBER(SEARCH("ЗАЩИЩ",AE15)),ISNUMBER(SEARCH("КАНАЛ",AE15)),ISNUMBER(SEARCH("без 30",AE15))),2,1))</f>
      </c>
      <c r="BV15" s="129">
        <f>IF(R15="","",COUNTIF($R$3:R15,"?*"))</f>
      </c>
      <c r="BW15" s="129">
        <f>IF(AY15&lt;&gt;1,0,IF(MAX(IFERROR(--VLOOKUP(R15,УГО_спр,5,FALSE),0),IFERROR(--VLOOKUP(AL15,УГО_спр,5,FALSE),0),IFERROR(--VLOOKUP(LEFT(AL15,2),УГО_спр,5,FALSE),0))&gt;0,MAX(IFERROR(--VLOOKUP(R15,УГО_спр,5,FALSE),0),IFERROR(--VLOOKUP(AL15,УГО_спр,5,FALSE),0),IFERROR(--VLOOKUP(LEFT(AL15,2),УГО_спр,5,FALSE),0)),IF(IFERROR(--LEFT(SUBSTITUTE(BQ15,"x","х"),FIND("х",SUBSTITUTE(BQ15,"x","х"))-1),3)&gt;3,Каталог!$S$9,1)))</f>
      </c>
      <c r="BX15" s="129">
        <f>IF(AY15&lt;&gt;1,0,MAX(0,IFERROR(--LEFT(SUBSTITUTE(BQ15,"x","х"),FIND("х",SUBSTITUTE(BQ15,"x","х"))-1),3)-3*BW15))</f>
      </c>
      <c r="BY15" s="129">
        <f>IF(R15="","",IFERROR(VLOOKUP(R15,УГО_спр,2,FALSE),IFERROR(VLOOKUP(AL15,УГО_спр,2,FALSE),IFERROR(VLOOKUP(LEFT(AL15,2),УГО_спр,2,FALSE),""))))</f>
      </c>
    </row>
    <row r="16" spans="1:64" x14ac:dyDescent="0.3">
      <c r="A16" s="135">
        <f>IF(Разбивка_по_щитам!F16=0,"",Разбивка_по_щитам!F16)</f>
      </c>
      <c r="B16" s="138">
        <f>IF(A16="","",Разбивка_по_щитам!C16)</f>
      </c>
      <c r="C16" s="138">
        <f t="shared" si="0"/>
      </c>
      <c r="D16" s="266"/>
      <c r="E16" s="266"/>
      <c r="F16" s="267"/>
      <c r="G16" s="145">
        <f t="shared" si="1"/>
        <v/>
      </c>
      <c r="H16" s="145">
        <f t="shared" si="2"/>
        <v/>
      </c>
      <c r="I16" s="266"/>
      <c r="J16" s="267"/>
      <c r="K16" s="267"/>
      <c r="L16" s="266"/>
      <c r="M16" s="147">
        <f t="shared" si="3"/>
        <v/>
      </c>
      <c r="N16" s="267"/>
      <c r="O16" s="147">
        <f t="shared" si="4"/>
        <v/>
      </c>
      <c r="P16" s="268">
        <f>IF(AY16=1,"XT"&amp;COUNTIFS($A$3:A16,A16,$AY$3:AY16,1),"")</f>
        <v/>
      </c>
      <c r="Q16" s="152">
        <f>IF(R16="","",IFERROR(SUBSTITUTE(Разбивка_по_щитам!P16,CHAR(10)," "),""))</f>
        <v/>
      </c>
      <c r="R16" s="153">
        <f>IF(OR(Разбивка_по_щитам!H16="",Разбивка_по_щитам!H16=0),"",Разбивка_по_щитам!H16)</f>
        <v/>
      </c>
      <c r="S16" s="154">
        <f>IF(R16="","",IFERROR(Разбивка_по_щитам!J16&amp;"",""))</f>
        <v/>
      </c>
      <c r="T16" s="155">
        <f>IF(R16="","",IFERROR(--Разбивка_по_щитам!L16,""))</f>
        <v/>
      </c>
      <c r="U16" s="155">
        <f>IF(R16="","",IFERROR(--Разбивка_по_щитам!K16,""))</f>
        <v/>
      </c>
      <c r="V16" s="138">
        <f>IF(R16="","",IFERROR(IF(Разбивка_по_щитам!M16=0,"",Разбивка_по_щитам!M16),""))</f>
        <v/>
      </c>
      <c r="W16" s="156">
        <f t="shared" si="5"/>
        <v/>
      </c>
      <c r="X16" s="157">
        <f t="shared" si="6"/>
        <v/>
      </c>
      <c r="Y16" s="266"/>
      <c r="Z16" s="158">
        <f t="shared" si="7"/>
        <v/>
      </c>
      <c r="AA16" s="160">
        <f t="shared" si="8"/>
        <v/>
      </c>
      <c r="AB16" s="160">
        <f>IF(R16="","",IFERROR(LOOKUP(INDEX(Справочная!$I$4:$I$19,MATCH(VLOOKUP(R16,Исходные_данные,22,FALSE),Справочная!$J$4:$J$19,0)+1),{6,10,16,20,25,32,40,50,63,80,100,125}),""))</f>
        <v/>
      </c>
      <c r="AC16" s="160">
        <f t="shared" si="9"/>
        <v/>
      </c>
      <c r="AD16" s="161">
        <f t="shared" si="10"/>
        <v/>
      </c>
      <c r="AE16" s="161">
        <f>IF(AND(R16="",G16=""),"",_xlfn.TEXTJOIN("; ",TRUE,IF(AND(R16&lt;&gt;"",V16=""),"нет фазы",""),IF(AND(R16&lt;&gt;"",N(T16)=0),"нет мощности",""),IF(AND(P16&lt;&gt;"",COUNTIFS($A$3:$A$1000,A16,$P$3:$P$1000,P16)&gt;1),"дубль клеммы "&amp;P16,""),IF(AND(W16&lt;&gt;"",W16&lt;&gt;"ok"),W16,""),IF(X16&lt;&gt;"",X16,""),IF(AND(ISNUMBER(SEARCH("(5х",Q16)),N(AK16)=1),"5 жил на 1 фазе",""),IF(AND(AL16="R",E16&lt;&gt;"",N(AS16)=0),"розетка без 30 мА",""),IF(IFERROR(_xlfn.NUMBERVALUE(MID(Q16,FIND("-",Q16,FIND("L=",Q16))+1,FIND("%",Q16)-FIND("-",Q16,FIND("L=",Q16))-1),","),0)&gt;4,"потери &gt; 4 %","")))</f>
      </c>
      <c r="AF16" s="129">
        <f>IF(E16&lt;&gt;"",COUNTIFS($A$3:A16,A16,$E$3:E16,"?*"),IF(OR(A16&lt;&gt;A15,Y16="вручную"),"",AF15))</f>
        <v/>
      </c>
      <c r="AG16" s="129">
        <f t="shared" si="11"/>
        <v/>
      </c>
      <c r="AH16" s="129">
        <f t="shared" si="12"/>
        <v/>
      </c>
      <c r="AI16" s="129">
        <f t="shared" si="13"/>
        <v/>
      </c>
      <c r="AJ16" s="129">
        <f t="shared" si="14"/>
        <v/>
      </c>
      <c r="AK16" s="129">
        <f t="shared" si="15"/>
        <v/>
      </c>
      <c r="AL16" s="129">
        <f t="shared" si="16"/>
        <v/>
      </c>
      <c r="AM16" s="129">
        <f t="shared" si="17"/>
      </c>
      <c r="AN16" s="129">
        <f t="shared" si="18"/>
      </c>
      <c r="AO16" s="129">
        <f t="shared" si="19"/>
        <v/>
      </c>
      <c r="AP16" s="129">
        <f t="shared" si="20"/>
        <v/>
      </c>
      <c r="AQ16" s="129">
        <f t="shared" si="21"/>
        <v/>
      </c>
      <c r="AR16" s="129">
        <f t="shared" si="22"/>
        <v/>
      </c>
      <c r="AS16" s="129">
        <f t="shared" si="23"/>
        <v/>
      </c>
      <c r="AT16" s="129">
        <f t="shared" si="24"/>
        <v/>
      </c>
      <c r="AU16" s="129">
        <f t="shared" si="25"/>
        <v/>
      </c>
      <c r="AV16" s="129">
        <f t="shared" si="26"/>
        <v/>
      </c>
      <c r="AW16" s="129">
        <f>IF(AV16="","",AV16&amp;"."&amp;COUNTIFS($A$3:A16,A16,$AV$3:AV16,AV16))</f>
        <v/>
      </c>
      <c r="AX16" s="129">
        <f t="shared" si="27"/>
        <v/>
      </c>
      <c r="AY16" s="129">
        <f>IF(N16="б/к",0,IF(OR(ISNUMBER(SEARCH("L=",Разбивка_по_щитам!P16)),N16="+",N16="="),1,0))</f>
      </c>
      <c r="AZ16" s="129">
        <f t="shared" si="28"/>
        <v/>
      </c>
      <c r="BA16" s="129">
        <f t="shared" si="29"/>
      </c>
      <c r="BB16" s="129">
        <f t="shared" si="30"/>
      </c>
      <c r="BD16" s="129">
        <f t="shared" si="31"/>
      </c>
      <c r="BE16" s="129">
        <f t="shared" si="32"/>
      </c>
      <c r="BF16" s="129">
        <f t="shared" si="33"/>
      </c>
      <c r="BG16" s="129">
        <f t="shared" si="34"/>
        <v/>
      </c>
      <c r="BH16" s="129">
        <f t="shared" si="35"/>
        <v/>
      </c>
      <c r="BI16" s="129">
        <f t="shared" si="36"/>
        <v/>
      </c>
      <c r="BJ16" s="129">
        <f t="shared" si="37"/>
        <v/>
      </c>
      <c r="BK16" s="129">
        <f>IF(R16="","",IF(OR(BY16="",BY16=0),"BOX",IFERROR(IF(VLOOKUP(BY16,УГО_блоки,3,FALSE)&amp;""&lt;&gt;"",VLOOKUP(BY16,УГО_блоки,3,FALSE),VLOOKUP(BY16,УГО_блоки,2,FALSE)),BY16)))</f>
      </c>
      <c r="BL16" s="129">
        <f t="shared" si="39"/>
      </c>
      <c r="BM16" s="129">
        <f>IF(H16="","",IF(COUNTIF($H$3:H16,H16)=1,MAX($BM$2:BM15)+1,""))</f>
      </c>
      <c r="BN16" s="129">
        <f>IF(I16="","",IF(COUNTIF($I$3:I16,I16)+COUNTIF($J$2:J15,I16)+COUNTIF($K$2:K15,I16)=1,MAX($BN$2:BP15)+1,""))</f>
      </c>
      <c r="BO16" s="129">
        <f>IF(J16="","",IF(COUNTIF($I$3:I16,J16)+COUNTIF($J$3:J16,J16)+COUNTIF($K$2:K15,J16)=1,MAX($BN$2:BP15,BN16)+1,""))</f>
      </c>
      <c r="BP16" s="129">
        <f>IF(K16="","",IF(COUNTIF($I$3:I16,K16)+COUNTIF($J$3:J16,K16)+COUNTIF($K$3:K16,K16)=1,MAX($BN$2:BP15,BN16,BO16)+1,""))</f>
      </c>
      <c r="BQ16" s="129">
        <f>IF(AY16=1,IFERROR(MID(Q16,FIND(" (",Q16)+2,FIND(")",Q16,FIND(" (",Q16))-FIND(" (",Q16)-2),"?"),"")</f>
      </c>
      <c r="BR16" s="129">
        <f>IF(BQ16="","",IF(COUNTIF($BQ$3:BQ16,BQ16)=1,MAX($BR$2:BR15)+1,""))</f>
      </c>
      <c r="BS16" s="129">
        <f>IF(AW16="","",COUNTIF($AW$3:AW16,"?*"))</f>
      </c>
      <c r="BT16" s="129">
        <f>IF(OR(AW16="",AI16=""),"",IF(COUNTIFS($AW$3:AW16,"?*",$AI$3:AI16,AI16)=1,MAX($BT$2:BT15)+1,""))</f>
      </c>
      <c r="BU16" s="129">
        <f>IF(AE16="",0,IF(OR(ISNUMBER(SEARCH("дубль",AE16)),ISNUMBER(SEARCH("ПЕРЕГРУЗ",AE16)),ISNUMBER(SEARCH("ЗАЩИЩ",AE16)),ISNUMBER(SEARCH("КАНАЛ",AE16)),ISNUMBER(SEARCH("без 30",AE16))),2,1))</f>
      </c>
      <c r="BV16" s="129">
        <f>IF(R16="","",COUNTIF($R$3:R16,"?*"))</f>
      </c>
      <c r="BW16" s="129">
        <f>IF(AY16&lt;&gt;1,0,IF(MAX(IFERROR(--VLOOKUP(R16,УГО_спр,5,FALSE),0),IFERROR(--VLOOKUP(AL16,УГО_спр,5,FALSE),0),IFERROR(--VLOOKUP(LEFT(AL16,2),УГО_спр,5,FALSE),0))&gt;0,MAX(IFERROR(--VLOOKUP(R16,УГО_спр,5,FALSE),0),IFERROR(--VLOOKUP(AL16,УГО_спр,5,FALSE),0),IFERROR(--VLOOKUP(LEFT(AL16,2),УГО_спр,5,FALSE),0)),IF(IFERROR(--LEFT(SUBSTITUTE(BQ16,"x","х"),FIND("х",SUBSTITUTE(BQ16,"x","х"))-1),3)&gt;3,Каталог!$S$9,1)))</f>
      </c>
      <c r="BX16" s="129">
        <f>IF(AY16&lt;&gt;1,0,MAX(0,IFERROR(--LEFT(SUBSTITUTE(BQ16,"x","х"),FIND("х",SUBSTITUTE(BQ16,"x","х"))-1),3)-3*BW16))</f>
      </c>
      <c r="BY16" s="129">
        <f>IF(R16="","",IFERROR(VLOOKUP(R16,УГО_спр,2,FALSE),IFERROR(VLOOKUP(AL16,УГО_спр,2,FALSE),IFERROR(VLOOKUP(LEFT(AL16,2),УГО_спр,2,FALSE),""))))</f>
      </c>
    </row>
    <row r="17" spans="1:64" x14ac:dyDescent="0.3">
      <c r="A17" s="135">
        <f>IF(Разбивка_по_щитам!F17=0,"",Разбивка_по_щитам!F17)</f>
      </c>
      <c r="B17" s="138">
        <f>IF(A17="","",Разбивка_по_щитам!C17)</f>
      </c>
      <c r="C17" s="138">
        <f t="shared" si="0"/>
      </c>
      <c r="D17" s="266"/>
      <c r="E17" s="266"/>
      <c r="F17" s="267"/>
      <c r="G17" s="145">
        <f t="shared" si="1"/>
        <v/>
      </c>
      <c r="H17" s="145">
        <f t="shared" si="2"/>
        <v/>
      </c>
      <c r="I17" s="266"/>
      <c r="J17" s="267"/>
      <c r="K17" s="267"/>
      <c r="L17" s="266"/>
      <c r="M17" s="147">
        <f t="shared" si="3"/>
        <v/>
      </c>
      <c r="N17" s="267"/>
      <c r="O17" s="147">
        <f t="shared" si="4"/>
        <v/>
      </c>
      <c r="P17" s="268">
        <f>IF(AY17=1,"XT"&amp;COUNTIFS($A$3:A17,A17,$AY$3:AY17,1),"")</f>
        <v/>
      </c>
      <c r="Q17" s="152">
        <f>IF(R17="","",IFERROR(SUBSTITUTE(Разбивка_по_щитам!P17,CHAR(10)," "),""))</f>
        <v/>
      </c>
      <c r="R17" s="153">
        <f>IF(OR(Разбивка_по_щитам!H17="",Разбивка_по_щитам!H17=0),"",Разбивка_по_щитам!H17)</f>
        <v/>
      </c>
      <c r="S17" s="154">
        <f>IF(R17="","",IFERROR(Разбивка_по_щитам!J17&amp;"",""))</f>
        <v/>
      </c>
      <c r="T17" s="155">
        <f>IF(R17="","",IFERROR(--Разбивка_по_щитам!L17,""))</f>
        <v/>
      </c>
      <c r="U17" s="155">
        <f>IF(R17="","",IFERROR(--Разбивка_по_щитам!K17,""))</f>
        <v/>
      </c>
      <c r="V17" s="138">
        <f>IF(R17="","",IFERROR(IF(Разбивка_по_щитам!M17=0,"",Разбивка_по_щитам!M17),""))</f>
        <v/>
      </c>
      <c r="W17" s="156">
        <f t="shared" si="5"/>
        <v/>
      </c>
      <c r="X17" s="157">
        <f t="shared" si="6"/>
        <v/>
      </c>
      <c r="Y17" s="266"/>
      <c r="Z17" s="158">
        <f t="shared" si="7"/>
        <v/>
      </c>
      <c r="AA17" s="160">
        <f t="shared" si="8"/>
        <v/>
      </c>
      <c r="AB17" s="160">
        <f>IF(R17="","",IFERROR(LOOKUP(INDEX(Справочная!$I$4:$I$19,MATCH(VLOOKUP(R17,Исходные_данные,22,FALSE),Справочная!$J$4:$J$19,0)+1),{6,10,16,20,25,32,40,50,63,80,100,125}),""))</f>
        <v/>
      </c>
      <c r="AC17" s="160">
        <f t="shared" si="9"/>
        <v/>
      </c>
      <c r="AD17" s="161">
        <f t="shared" si="10"/>
        <v/>
      </c>
      <c r="AE17" s="161">
        <f>IF(AND(R17="",G17=""),"",_xlfn.TEXTJOIN("; ",TRUE,IF(AND(R17&lt;&gt;"",V17=""),"нет фазы",""),IF(AND(R17&lt;&gt;"",N(T17)=0),"нет мощности",""),IF(AND(P17&lt;&gt;"",COUNTIFS($A$3:$A$1000,A17,$P$3:$P$1000,P17)&gt;1),"дубль клеммы "&amp;P17,""),IF(AND(W17&lt;&gt;"",W17&lt;&gt;"ok"),W17,""),IF(X17&lt;&gt;"",X17,""),IF(AND(ISNUMBER(SEARCH("(5х",Q17)),N(AK17)=1),"5 жил на 1 фазе",""),IF(AND(AL17="R",E17&lt;&gt;"",N(AS17)=0),"розетка без 30 мА",""),IF(IFERROR(_xlfn.NUMBERVALUE(MID(Q17,FIND("-",Q17,FIND("L=",Q17))+1,FIND("%",Q17)-FIND("-",Q17,FIND("L=",Q17))-1),","),0)&gt;4,"потери &gt; 4 %","")))</f>
      </c>
      <c r="AF17" s="129">
        <f>IF(E17&lt;&gt;"",COUNTIFS($A$3:A17,A17,$E$3:E17,"?*"),IF(OR(A17&lt;&gt;A16,Y17="вручную"),"",AF16))</f>
        <v/>
      </c>
      <c r="AG17" s="129">
        <f t="shared" si="11"/>
        <v/>
      </c>
      <c r="AH17" s="129">
        <f t="shared" si="12"/>
        <v/>
      </c>
      <c r="AI17" s="129">
        <f t="shared" si="13"/>
        <v/>
      </c>
      <c r="AJ17" s="129">
        <f t="shared" si="14"/>
        <v/>
      </c>
      <c r="AK17" s="129">
        <f t="shared" si="15"/>
        <v/>
      </c>
      <c r="AL17" s="129">
        <f t="shared" si="16"/>
        <v/>
      </c>
      <c r="AM17" s="129">
        <f t="shared" si="17"/>
      </c>
      <c r="AN17" s="129">
        <f t="shared" si="18"/>
      </c>
      <c r="AO17" s="129">
        <f t="shared" si="19"/>
        <v/>
      </c>
      <c r="AP17" s="129">
        <f t="shared" si="20"/>
        <v/>
      </c>
      <c r="AQ17" s="129">
        <f t="shared" si="21"/>
        <v/>
      </c>
      <c r="AR17" s="129">
        <f t="shared" si="22"/>
        <v/>
      </c>
      <c r="AS17" s="129">
        <f t="shared" si="23"/>
        <v/>
      </c>
      <c r="AT17" s="129">
        <f t="shared" si="24"/>
        <v/>
      </c>
      <c r="AU17" s="129">
        <f t="shared" si="25"/>
        <v/>
      </c>
      <c r="AV17" s="129">
        <f t="shared" si="26"/>
        <v/>
      </c>
      <c r="AW17" s="129">
        <f>IF(AV17="","",AV17&amp;"."&amp;COUNTIFS($A$3:A17,A17,$AV$3:AV17,AV17))</f>
        <v/>
      </c>
      <c r="AX17" s="129">
        <f t="shared" si="27"/>
        <v/>
      </c>
      <c r="AY17" s="129">
        <f>IF(N17="б/к",0,IF(OR(ISNUMBER(SEARCH("L=",Разбивка_по_щитам!P17)),N17="+",N17="="),1,0))</f>
      </c>
      <c r="AZ17" s="129">
        <f t="shared" si="28"/>
        <v/>
      </c>
      <c r="BA17" s="129">
        <f t="shared" si="29"/>
      </c>
      <c r="BB17" s="129">
        <f t="shared" si="30"/>
      </c>
      <c r="BD17" s="129">
        <f t="shared" si="31"/>
      </c>
      <c r="BE17" s="129">
        <f t="shared" si="32"/>
      </c>
      <c r="BF17" s="129">
        <f t="shared" si="33"/>
      </c>
      <c r="BG17" s="129">
        <f t="shared" si="34"/>
        <v/>
      </c>
      <c r="BH17" s="129">
        <f t="shared" si="35"/>
        <v/>
      </c>
      <c r="BI17" s="129">
        <f t="shared" si="36"/>
        <v/>
      </c>
      <c r="BJ17" s="129">
        <f t="shared" si="37"/>
        <v/>
      </c>
      <c r="BK17" s="129">
        <f>IF(R17="","",IF(OR(BY17="",BY17=0),"BOX",IFERROR(IF(VLOOKUP(BY17,УГО_блоки,3,FALSE)&amp;""&lt;&gt;"",VLOOKUP(BY17,УГО_блоки,3,FALSE),VLOOKUP(BY17,УГО_блоки,2,FALSE)),BY17)))</f>
      </c>
      <c r="BL17" s="129">
        <f t="shared" si="39"/>
      </c>
      <c r="BM17" s="129">
        <f>IF(H17="","",IF(COUNTIF($H$3:H17,H17)=1,MAX($BM$2:BM16)+1,""))</f>
      </c>
      <c r="BN17" s="129">
        <f>IF(I17="","",IF(COUNTIF($I$3:I17,I17)+COUNTIF($J$2:J16,I17)+COUNTIF($K$2:K16,I17)=1,MAX($BN$2:BP16)+1,""))</f>
      </c>
      <c r="BO17" s="129">
        <f>IF(J17="","",IF(COUNTIF($I$3:I17,J17)+COUNTIF($J$3:J17,J17)+COUNTIF($K$2:K16,J17)=1,MAX($BN$2:BP16,BN17)+1,""))</f>
      </c>
      <c r="BP17" s="129">
        <f>IF(K17="","",IF(COUNTIF($I$3:I17,K17)+COUNTIF($J$3:J17,K17)+COUNTIF($K$3:K17,K17)=1,MAX($BN$2:BP16,BN17,BO17)+1,""))</f>
      </c>
      <c r="BQ17" s="129">
        <f>IF(AY17=1,IFERROR(MID(Q17,FIND(" (",Q17)+2,FIND(")",Q17,FIND(" (",Q17))-FIND(" (",Q17)-2),"?"),"")</f>
      </c>
      <c r="BR17" s="129">
        <f>IF(BQ17="","",IF(COUNTIF($BQ$3:BQ17,BQ17)=1,MAX($BR$2:BR16)+1,""))</f>
      </c>
      <c r="BS17" s="129">
        <f>IF(AW17="","",COUNTIF($AW$3:AW17,"?*"))</f>
      </c>
      <c r="BT17" s="129">
        <f>IF(OR(AW17="",AI17=""),"",IF(COUNTIFS($AW$3:AW17,"?*",$AI$3:AI17,AI17)=1,MAX($BT$2:BT16)+1,""))</f>
      </c>
      <c r="BU17" s="129">
        <f>IF(AE17="",0,IF(OR(ISNUMBER(SEARCH("дубль",AE17)),ISNUMBER(SEARCH("ПЕРЕГРУЗ",AE17)),ISNUMBER(SEARCH("ЗАЩИЩ",AE17)),ISNUMBER(SEARCH("КАНАЛ",AE17)),ISNUMBER(SEARCH("без 30",AE17))),2,1))</f>
      </c>
      <c r="BV17" s="129">
        <f>IF(R17="","",COUNTIF($R$3:R17,"?*"))</f>
      </c>
      <c r="BW17" s="129">
        <f>IF(AY17&lt;&gt;1,0,IF(MAX(IFERROR(--VLOOKUP(R17,УГО_спр,5,FALSE),0),IFERROR(--VLOOKUP(AL17,УГО_спр,5,FALSE),0),IFERROR(--VLOOKUP(LEFT(AL17,2),УГО_спр,5,FALSE),0))&gt;0,MAX(IFERROR(--VLOOKUP(R17,УГО_спр,5,FALSE),0),IFERROR(--VLOOKUP(AL17,УГО_спр,5,FALSE),0),IFERROR(--VLOOKUP(LEFT(AL17,2),УГО_спр,5,FALSE),0)),IF(IFERROR(--LEFT(SUBSTITUTE(BQ17,"x","х"),FIND("х",SUBSTITUTE(BQ17,"x","х"))-1),3)&gt;3,Каталог!$S$9,1)))</f>
      </c>
      <c r="BX17" s="129">
        <f>IF(AY17&lt;&gt;1,0,MAX(0,IFERROR(--LEFT(SUBSTITUTE(BQ17,"x","х"),FIND("х",SUBSTITUTE(BQ17,"x","х"))-1),3)-3*BW17))</f>
      </c>
      <c r="BY17" s="129">
        <f>IF(R17="","",IFERROR(VLOOKUP(R17,УГО_спр,2,FALSE),IFERROR(VLOOKUP(AL17,УГО_спр,2,FALSE),IFERROR(VLOOKUP(LEFT(AL17,2),УГО_спр,2,FALSE),""))))</f>
      </c>
    </row>
    <row r="18" spans="1:64" x14ac:dyDescent="0.3">
      <c r="A18" s="135">
        <f>IF(Разбивка_по_щитам!F18=0,"",Разбивка_по_щитам!F18)</f>
      </c>
      <c r="B18" s="138">
        <f>IF(A18="","",Разбивка_по_щитам!C18)</f>
      </c>
      <c r="C18" s="138">
        <f t="shared" si="0"/>
      </c>
      <c r="D18" s="266"/>
      <c r="E18" s="266"/>
      <c r="F18" s="267"/>
      <c r="G18" s="145">
        <f t="shared" si="1"/>
        <v/>
      </c>
      <c r="H18" s="145">
        <f t="shared" si="2"/>
        <v/>
      </c>
      <c r="I18" s="266"/>
      <c r="J18" s="267"/>
      <c r="K18" s="267"/>
      <c r="L18" s="266"/>
      <c r="M18" s="147">
        <f t="shared" si="3"/>
        <v/>
      </c>
      <c r="N18" s="267"/>
      <c r="O18" s="147">
        <f t="shared" si="4"/>
        <v/>
      </c>
      <c r="P18" s="268">
        <f>IF(AY18=1,"XT"&amp;COUNTIFS($A$3:A18,A18,$AY$3:AY18,1),"")</f>
        <v/>
      </c>
      <c r="Q18" s="152">
        <f>IF(R18="","",IFERROR(SUBSTITUTE(Разбивка_по_щитам!P18,CHAR(10)," "),""))</f>
        <v/>
      </c>
      <c r="R18" s="153">
        <f>IF(OR(Разбивка_по_щитам!H18="",Разбивка_по_щитам!H18=0),"",Разбивка_по_щитам!H18)</f>
        <v/>
      </c>
      <c r="S18" s="154">
        <f>IF(R18="","",IFERROR(Разбивка_по_щитам!J18&amp;"",""))</f>
        <v/>
      </c>
      <c r="T18" s="155">
        <f>IF(R18="","",IFERROR(--Разбивка_по_щитам!L18,""))</f>
        <v/>
      </c>
      <c r="U18" s="155">
        <f>IF(R18="","",IFERROR(--Разбивка_по_щитам!K18,""))</f>
        <v/>
      </c>
      <c r="V18" s="138">
        <f>IF(R18="","",IFERROR(IF(Разбивка_по_щитам!M18=0,"",Разбивка_по_щитам!M18),""))</f>
        <v/>
      </c>
      <c r="W18" s="156">
        <f t="shared" si="5"/>
        <v/>
      </c>
      <c r="X18" s="157">
        <f t="shared" si="6"/>
        <v/>
      </c>
      <c r="Y18" s="266"/>
      <c r="Z18" s="158">
        <f t="shared" si="7"/>
        <v/>
      </c>
      <c r="AA18" s="160">
        <f t="shared" si="8"/>
        <v/>
      </c>
      <c r="AB18" s="160">
        <f>IF(R18="","",IFERROR(LOOKUP(INDEX(Справочная!$I$4:$I$19,MATCH(VLOOKUP(R18,Исходные_данные,22,FALSE),Справочная!$J$4:$J$19,0)+1),{6,10,16,20,25,32,40,50,63,80,100,125}),""))</f>
        <v/>
      </c>
      <c r="AC18" s="160">
        <f t="shared" si="9"/>
        <v/>
      </c>
      <c r="AD18" s="161">
        <f t="shared" si="10"/>
        <v/>
      </c>
      <c r="AE18" s="161">
        <f>IF(AND(R18="",G18=""),"",_xlfn.TEXTJOIN("; ",TRUE,IF(AND(R18&lt;&gt;"",V18=""),"нет фазы",""),IF(AND(R18&lt;&gt;"",N(T18)=0),"нет мощности",""),IF(AND(P18&lt;&gt;"",COUNTIFS($A$3:$A$1000,A18,$P$3:$P$1000,P18)&gt;1),"дубль клеммы "&amp;P18,""),IF(AND(W18&lt;&gt;"",W18&lt;&gt;"ok"),W18,""),IF(X18&lt;&gt;"",X18,""),IF(AND(ISNUMBER(SEARCH("(5х",Q18)),N(AK18)=1),"5 жил на 1 фазе",""),IF(AND(AL18="R",E18&lt;&gt;"",N(AS18)=0),"розетка без 30 мА",""),IF(IFERROR(_xlfn.NUMBERVALUE(MID(Q18,FIND("-",Q18,FIND("L=",Q18))+1,FIND("%",Q18)-FIND("-",Q18,FIND("L=",Q18))-1),","),0)&gt;4,"потери &gt; 4 %","")))</f>
      </c>
      <c r="AF18" s="129">
        <f>IF(E18&lt;&gt;"",COUNTIFS($A$3:A18,A18,$E$3:E18,"?*"),IF(OR(A18&lt;&gt;A17,Y18="вручную"),"",AF17))</f>
        <v/>
      </c>
      <c r="AG18" s="129">
        <f t="shared" si="11"/>
        <v/>
      </c>
      <c r="AH18" s="129">
        <f t="shared" si="12"/>
        <v/>
      </c>
      <c r="AI18" s="129">
        <f t="shared" si="13"/>
        <v/>
      </c>
      <c r="AJ18" s="129">
        <f t="shared" si="14"/>
        <v/>
      </c>
      <c r="AK18" s="129">
        <f t="shared" si="15"/>
        <v/>
      </c>
      <c r="AL18" s="129">
        <f t="shared" si="16"/>
        <v/>
      </c>
      <c r="AM18" s="129">
        <f t="shared" si="17"/>
      </c>
      <c r="AN18" s="129">
        <f t="shared" si="18"/>
      </c>
      <c r="AO18" s="129">
        <f t="shared" si="19"/>
        <v/>
      </c>
      <c r="AP18" s="129">
        <f t="shared" si="20"/>
        <v/>
      </c>
      <c r="AQ18" s="129">
        <f t="shared" si="21"/>
        <v/>
      </c>
      <c r="AR18" s="129">
        <f t="shared" si="22"/>
        <v/>
      </c>
      <c r="AS18" s="129">
        <f t="shared" si="23"/>
        <v/>
      </c>
      <c r="AT18" s="129">
        <f t="shared" si="24"/>
        <v/>
      </c>
      <c r="AU18" s="129">
        <f t="shared" si="25"/>
        <v/>
      </c>
      <c r="AV18" s="129">
        <f t="shared" si="26"/>
        <v/>
      </c>
      <c r="AW18" s="129">
        <f>IF(AV18="","",AV18&amp;"."&amp;COUNTIFS($A$3:A18,A18,$AV$3:AV18,AV18))</f>
        <v/>
      </c>
      <c r="AX18" s="129">
        <f t="shared" si="27"/>
        <v/>
      </c>
      <c r="AY18" s="129">
        <f>IF(N18="б/к",0,IF(OR(ISNUMBER(SEARCH("L=",Разбивка_по_щитам!P18)),N18="+",N18="="),1,0))</f>
      </c>
      <c r="AZ18" s="129">
        <f t="shared" si="28"/>
        <v/>
      </c>
      <c r="BA18" s="129">
        <f t="shared" si="29"/>
      </c>
      <c r="BB18" s="129">
        <f t="shared" si="30"/>
      </c>
      <c r="BD18" s="129">
        <f t="shared" si="31"/>
      </c>
      <c r="BE18" s="129">
        <f t="shared" si="32"/>
      </c>
      <c r="BF18" s="129">
        <f t="shared" si="33"/>
      </c>
      <c r="BG18" s="129">
        <f t="shared" si="34"/>
        <v/>
      </c>
      <c r="BH18" s="129">
        <f t="shared" si="35"/>
        <v/>
      </c>
      <c r="BI18" s="129">
        <f t="shared" si="36"/>
        <v/>
      </c>
      <c r="BJ18" s="129">
        <f t="shared" si="37"/>
        <v/>
      </c>
      <c r="BK18" s="129">
        <f>IF(R18="","",IF(OR(BY18="",BY18=0),"BOX",IFERROR(IF(VLOOKUP(BY18,УГО_блоки,3,FALSE)&amp;""&lt;&gt;"",VLOOKUP(BY18,УГО_блоки,3,FALSE),VLOOKUP(BY18,УГО_блоки,2,FALSE)),BY18)))</f>
      </c>
      <c r="BL18" s="129">
        <f t="shared" si="39"/>
      </c>
      <c r="BM18" s="129">
        <f>IF(H18="","",IF(COUNTIF($H$3:H18,H18)=1,MAX($BM$2:BM17)+1,""))</f>
      </c>
      <c r="BN18" s="129">
        <f>IF(I18="","",IF(COUNTIF($I$3:I18,I18)+COUNTIF($J$2:J17,I18)+COUNTIF($K$2:K17,I18)=1,MAX($BN$2:BP17)+1,""))</f>
      </c>
      <c r="BO18" s="129">
        <f>IF(J18="","",IF(COUNTIF($I$3:I18,J18)+COUNTIF($J$3:J18,J18)+COUNTIF($K$2:K17,J18)=1,MAX($BN$2:BP17,BN18)+1,""))</f>
      </c>
      <c r="BP18" s="129">
        <f>IF(K18="","",IF(COUNTIF($I$3:I18,K18)+COUNTIF($J$3:J18,K18)+COUNTIF($K$3:K18,K18)=1,MAX($BN$2:BP17,BN18,BO18)+1,""))</f>
      </c>
      <c r="BQ18" s="129">
        <f>IF(AY18=1,IFERROR(MID(Q18,FIND(" (",Q18)+2,FIND(")",Q18,FIND(" (",Q18))-FIND(" (",Q18)-2),"?"),"")</f>
      </c>
      <c r="BR18" s="129">
        <f>IF(BQ18="","",IF(COUNTIF($BQ$3:BQ18,BQ18)=1,MAX($BR$2:BR17)+1,""))</f>
      </c>
      <c r="BS18" s="129">
        <f>IF(AW18="","",COUNTIF($AW$3:AW18,"?*"))</f>
      </c>
      <c r="BT18" s="129">
        <f>IF(OR(AW18="",AI18=""),"",IF(COUNTIFS($AW$3:AW18,"?*",$AI$3:AI18,AI18)=1,MAX($BT$2:BT17)+1,""))</f>
      </c>
      <c r="BU18" s="129">
        <f>IF(AE18="",0,IF(OR(ISNUMBER(SEARCH("дубль",AE18)),ISNUMBER(SEARCH("ПЕРЕГРУЗ",AE18)),ISNUMBER(SEARCH("ЗАЩИЩ",AE18)),ISNUMBER(SEARCH("КАНАЛ",AE18)),ISNUMBER(SEARCH("без 30",AE18))),2,1))</f>
      </c>
      <c r="BV18" s="129">
        <f>IF(R18="","",COUNTIF($R$3:R18,"?*"))</f>
      </c>
      <c r="BW18" s="129">
        <f>IF(AY18&lt;&gt;1,0,IF(MAX(IFERROR(--VLOOKUP(R18,УГО_спр,5,FALSE),0),IFERROR(--VLOOKUP(AL18,УГО_спр,5,FALSE),0),IFERROR(--VLOOKUP(LEFT(AL18,2),УГО_спр,5,FALSE),0))&gt;0,MAX(IFERROR(--VLOOKUP(R18,УГО_спр,5,FALSE),0),IFERROR(--VLOOKUP(AL18,УГО_спр,5,FALSE),0),IFERROR(--VLOOKUP(LEFT(AL18,2),УГО_спр,5,FALSE),0)),IF(IFERROR(--LEFT(SUBSTITUTE(BQ18,"x","х"),FIND("х",SUBSTITUTE(BQ18,"x","х"))-1),3)&gt;3,Каталог!$S$9,1)))</f>
      </c>
      <c r="BX18" s="129">
        <f>IF(AY18&lt;&gt;1,0,MAX(0,IFERROR(--LEFT(SUBSTITUTE(BQ18,"x","х"),FIND("х",SUBSTITUTE(BQ18,"x","х"))-1),3)-3*BW18))</f>
      </c>
      <c r="BY18" s="129">
        <f>IF(R18="","",IFERROR(VLOOKUP(R18,УГО_спр,2,FALSE),IFERROR(VLOOKUP(AL18,УГО_спр,2,FALSE),IFERROR(VLOOKUP(LEFT(AL18,2),УГО_спр,2,FALSE),""))))</f>
      </c>
    </row>
    <row r="19" spans="1:64" x14ac:dyDescent="0.3">
      <c r="A19" s="135">
        <f>IF(Разбивка_по_щитам!F19=0,"",Разбивка_по_щитам!F19)</f>
      </c>
      <c r="B19" s="138">
        <f>IF(A19="","",Разбивка_по_щитам!C19)</f>
      </c>
      <c r="C19" s="138">
        <f t="shared" si="0"/>
      </c>
      <c r="D19" s="266"/>
      <c r="E19" s="266"/>
      <c r="F19" s="267"/>
      <c r="G19" s="145">
        <f t="shared" ref="G19:G66" si="40">IF(OR(R19&lt;&gt;"",O19&lt;&gt;"",AY19=1),AG19,"")</f>
        <v/>
      </c>
      <c r="H19" s="145">
        <f t="shared" ref="H19:H66" si="41">IF(E19="","",IF(AND(E19&lt;&gt;"авто",E19&lt;&gt;"+"),E19,AT19&amp;" С"&amp;AQ19&amp;"А"&amp;IF(AS19=1," 30мА","")))</f>
        <v/>
      </c>
      <c r="I19" s="266"/>
      <c r="J19" s="267"/>
      <c r="K19" s="267"/>
      <c r="L19" s="266"/>
      <c r="M19" s="147">
        <f t="shared" ref="M19:M66" si="42">IF(OR(O19&lt;&gt;"",AND(L19&lt;&gt;"",L19&lt;&gt;"-")),AH19,"")</f>
        <v/>
      </c>
      <c r="N19" s="267"/>
      <c r="O19" s="147">
        <f t="shared" ref="O19:O66" si="43">IF(N19="=",AX18,IF(ISNUMBER(N19),N19,IF(AH19="","",IF(OR(R19&lt;&gt;"",N19="+",N19="р"),IF(OR(AW19&lt;&gt;"",AX18=""),1,AX18+1),""))))</f>
        <v/>
      </c>
      <c r="P19" s="268">
        <f>IF(AY19=1,"XT"&amp;COUNTIFS($A$3:A19,A19,$AY$3:AY19,1),"")</f>
        <v/>
      </c>
      <c r="Q19" s="152">
        <f>IF(R19="","",IFERROR(SUBSTITUTE(Разбивка_по_щитам!P19,CHAR(10)," "),""))</f>
        <v/>
      </c>
      <c r="R19" s="153">
        <f>IF(OR(Разбивка_по_щитам!H19="",Разбивка_по_щитам!H19=0),"",Разбивка_по_щитам!H19)</f>
        <v/>
      </c>
      <c r="S19" s="154">
        <f>IF(R19="","",IFERROR(Разбивка_по_щитам!J19&amp;"",""))</f>
        <v/>
      </c>
      <c r="T19" s="155">
        <f>IF(R19="","",IFERROR(--Разбивка_по_щитам!L19,""))</f>
        <v/>
      </c>
      <c r="U19" s="155">
        <f>IF(R19="","",IFERROR(--Разбивка_по_щитам!K19,""))</f>
        <v/>
      </c>
      <c r="V19" s="138">
        <f>IF(R19="","",IFERROR(IF(Разбивка_по_щитам!M19=0,"",Разбивка_по_щитам!M19),""))</f>
        <v/>
      </c>
      <c r="W19" s="156">
        <f t="shared" si="5"/>
        <v/>
      </c>
      <c r="X19" s="157">
        <f t="shared" si="6"/>
        <v/>
      </c>
      <c r="Y19" s="266"/>
      <c r="Z19" s="158">
        <f t="shared" si="7"/>
        <v/>
      </c>
      <c r="AA19" s="160">
        <f t="shared" si="8"/>
        <v/>
      </c>
      <c r="AB19" s="160">
        <f>IF(R19="","",IFERROR(LOOKUP(INDEX(Справочная!$I$4:$I$19,MATCH(VLOOKUP(R19,Исходные_данные,22,FALSE),Справочная!$J$4:$J$19,0)+1),{6,10,16,20,25,32,40,50,63,80,100,125}),""))</f>
        <v/>
      </c>
      <c r="AC19" s="160">
        <f t="shared" si="9"/>
        <v/>
      </c>
      <c r="AD19" s="161">
        <f t="shared" si="10"/>
        <v/>
      </c>
      <c r="AE19" s="161">
        <f>IF(AND(R19="",G19=""),"",_xlfn.TEXTJOIN("; ",TRUE,IF(AND(R19&lt;&gt;"",V19=""),"нет фазы",""),IF(AND(R19&lt;&gt;"",N(T19)=0),"нет мощности",""),IF(AND(P19&lt;&gt;"",COUNTIFS($A$3:$A$1000,A19,$P$3:$P$1000,P19)&gt;1),"дубль клеммы "&amp;P19,""),IF(AND(W19&lt;&gt;"",W19&lt;&gt;"ok"),W19,""),IF(X19&lt;&gt;"",X19,""),IF(AND(ISNUMBER(SEARCH("(5х",Q19)),N(AK19)=1),"5 жил на 1 фазе",""),IF(AND(AL19="R",E19&lt;&gt;"",N(AS19)=0),"розетка без 30 мА",""),IF(IFERROR(_xlfn.NUMBERVALUE(MID(Q19,FIND("-",Q19,FIND("L=",Q19))+1,FIND("%",Q19)-FIND("-",Q19,FIND("L=",Q19))-1),","),0)&gt;4,"потери &gt; 4 %","")))</f>
      </c>
      <c r="AF19" s="129">
        <f>IF(E19&lt;&gt;"",COUNTIFS($A$3:A19,A19,$E$3:E19,"?*"),IF(OR(A19&lt;&gt;A18,Y19="вручную"),"",AF18))</f>
        <v/>
      </c>
      <c r="AG19" s="129">
        <f t="shared" si="11"/>
        <v/>
      </c>
      <c r="AH19" s="129">
        <f t="shared" si="12"/>
        <v/>
      </c>
      <c r="AI19" s="129">
        <f t="shared" si="13"/>
        <v/>
      </c>
      <c r="AJ19" s="129">
        <f t="shared" si="14"/>
        <v/>
      </c>
      <c r="AK19" s="129">
        <f t="shared" si="15"/>
        <v/>
      </c>
      <c r="AL19" s="129">
        <f t="shared" si="16"/>
        <v/>
      </c>
      <c r="AM19" s="129">
        <f t="shared" si="17"/>
      </c>
      <c r="AN19" s="129">
        <f t="shared" si="18"/>
      </c>
      <c r="AO19" s="129">
        <f t="shared" si="19"/>
        <v/>
      </c>
      <c r="AP19" s="129">
        <f t="shared" si="20"/>
        <v/>
      </c>
      <c r="AQ19" s="129">
        <f t="shared" si="21"/>
        <v/>
      </c>
      <c r="AR19" s="129">
        <f t="shared" si="22"/>
        <v/>
      </c>
      <c r="AS19" s="129">
        <f t="shared" si="23"/>
        <v/>
      </c>
      <c r="AT19" s="129">
        <f t="shared" si="24"/>
        <v/>
      </c>
      <c r="AU19" s="129">
        <f t="shared" si="25"/>
        <v/>
      </c>
      <c r="AV19" s="129">
        <f t="shared" si="26"/>
        <v/>
      </c>
      <c r="AW19" s="129">
        <f>IF(AV19="","",AV19&amp;"."&amp;COUNTIFS($A$3:A19,A19,$AV$3:AV19,AV19))</f>
        <v/>
      </c>
      <c r="AX19" s="129">
        <f t="shared" si="27"/>
        <v/>
      </c>
      <c r="AY19" s="129">
        <f>IF(N19="б/к",0,IF(OR(ISNUMBER(SEARCH("L=",Разбивка_по_щитам!P19)),N19="+",N19="="),1,0))</f>
      </c>
      <c r="AZ19" s="129">
        <f t="shared" si="28"/>
        <v/>
      </c>
      <c r="BA19" s="129">
        <f t="shared" si="29"/>
      </c>
      <c r="BB19" s="129">
        <f t="shared" si="30"/>
      </c>
      <c r="BD19" s="129">
        <f t="shared" si="31"/>
      </c>
      <c r="BE19" s="129">
        <f t="shared" si="32"/>
      </c>
      <c r="BF19" s="129">
        <f t="shared" si="33"/>
      </c>
      <c r="BG19" s="129">
        <f t="shared" si="34"/>
        <v/>
      </c>
      <c r="BH19" s="129">
        <f t="shared" si="35"/>
        <v/>
      </c>
      <c r="BI19" s="129">
        <f t="shared" si="36"/>
        <v/>
      </c>
      <c r="BJ19" s="129">
        <f t="shared" si="37"/>
        <v/>
      </c>
      <c r="BK19" s="129">
        <f>IF(R19="","",IF(OR(BY19="",BY19=0),"BOX",IFERROR(IF(VLOOKUP(BY19,УГО_блоки,3,FALSE)&amp;""&lt;&gt;"",VLOOKUP(BY19,УГО_блоки,3,FALSE),VLOOKUP(BY19,УГО_блоки,2,FALSE)),BY19)))</f>
      </c>
      <c r="BL19" s="129">
        <f t="shared" si="39"/>
      </c>
      <c r="BM19" s="129">
        <f>IF(H19="","",IF(COUNTIF($H$3:H19,H19)=1,MAX($BM$2:BM18)+1,""))</f>
      </c>
      <c r="BN19" s="129">
        <f>IF(I19="","",IF(COUNTIF($I$3:I19,I19)+COUNTIF($J$2:J18,I19)+COUNTIF($K$2:K18,I19)=1,MAX($BN$2:BP18)+1,""))</f>
      </c>
      <c r="BO19" s="129">
        <f>IF(J19="","",IF(COUNTIF($I$3:I19,J19)+COUNTIF($J$3:J19,J19)+COUNTIF($K$2:K18,J19)=1,MAX($BN$2:BP18,BN19)+1,""))</f>
      </c>
      <c r="BP19" s="129">
        <f>IF(K19="","",IF(COUNTIF($I$3:I19,K19)+COUNTIF($J$3:J19,K19)+COUNTIF($K$3:K19,K19)=1,MAX($BN$2:BP18,BN19,BO19)+1,""))</f>
      </c>
      <c r="BQ19" s="129">
        <f>IF(AY19=1,IFERROR(MID(Q19,FIND(" (",Q19)+2,FIND(")",Q19,FIND(" (",Q19))-FIND(" (",Q19)-2),"?"),"")</f>
      </c>
      <c r="BR19" s="129">
        <f>IF(BQ19="","",IF(COUNTIF($BQ$3:BQ19,BQ19)=1,MAX($BR$2:BR18)+1,""))</f>
      </c>
      <c r="BS19" s="129">
        <f>IF(AW19="","",COUNTIF($AW$3:AW19,"?*"))</f>
      </c>
      <c r="BT19" s="129">
        <f>IF(OR(AW19="",AI19=""),"",IF(COUNTIFS($AW$3:AW19,"?*",$AI$3:AI19,AI19)=1,MAX($BT$2:BT18)+1,""))</f>
      </c>
      <c r="BU19" s="129">
        <f>IF(AE19="",0,IF(OR(ISNUMBER(SEARCH("дубль",AE19)),ISNUMBER(SEARCH("ПЕРЕГРУЗ",AE19)),ISNUMBER(SEARCH("ЗАЩИЩ",AE19)),ISNUMBER(SEARCH("КАНАЛ",AE19)),ISNUMBER(SEARCH("без 30",AE19))),2,1))</f>
      </c>
      <c r="BV19" s="129">
        <f>IF(R19="","",COUNTIF($R$3:R19,"?*"))</f>
      </c>
      <c r="BW19" s="129">
        <f>IF(AY19&lt;&gt;1,0,IF(MAX(IFERROR(--VLOOKUP(R19,УГО_спр,5,FALSE),0),IFERROR(--VLOOKUP(AL19,УГО_спр,5,FALSE),0),IFERROR(--VLOOKUP(LEFT(AL19,2),УГО_спр,5,FALSE),0))&gt;0,MAX(IFERROR(--VLOOKUP(R19,УГО_спр,5,FALSE),0),IFERROR(--VLOOKUP(AL19,УГО_спр,5,FALSE),0),IFERROR(--VLOOKUP(LEFT(AL19,2),УГО_спр,5,FALSE),0)),IF(IFERROR(--LEFT(SUBSTITUTE(BQ19,"x","х"),FIND("х",SUBSTITUTE(BQ19,"x","х"))-1),3)&gt;3,Каталог!$S$9,1)))</f>
      </c>
      <c r="BX19" s="129">
        <f>IF(AY19&lt;&gt;1,0,MAX(0,IFERROR(--LEFT(SUBSTITUTE(BQ19,"x","х"),FIND("х",SUBSTITUTE(BQ19,"x","х"))-1),3)-3*BW19))</f>
      </c>
      <c r="BY19" s="129">
        <f>IF(R19="","",IFERROR(VLOOKUP(R19,УГО_спр,2,FALSE),IFERROR(VLOOKUP(AL19,УГО_спр,2,FALSE),IFERROR(VLOOKUP(LEFT(AL19,2),УГО_спр,2,FALSE),""))))</f>
      </c>
    </row>
    <row r="20" spans="1:64" x14ac:dyDescent="0.3">
      <c r="A20" s="135">
        <f>IF(Разбивка_по_щитам!F20=0,"",Разбивка_по_щитам!F20)</f>
      </c>
      <c r="B20" s="138">
        <f>IF(A20="","",Разбивка_по_щитам!C20)</f>
      </c>
      <c r="C20" s="138">
        <f t="shared" si="0"/>
      </c>
      <c r="D20" s="266"/>
      <c r="E20" s="266"/>
      <c r="F20" s="267"/>
      <c r="G20" s="145">
        <f t="shared" si="40"/>
        <v/>
      </c>
      <c r="H20" s="145">
        <f t="shared" si="41"/>
        <v/>
      </c>
      <c r="I20" s="266"/>
      <c r="J20" s="267"/>
      <c r="K20" s="267"/>
      <c r="L20" s="266"/>
      <c r="M20" s="147">
        <f t="shared" si="42"/>
        <v/>
      </c>
      <c r="N20" s="267"/>
      <c r="O20" s="147">
        <f t="shared" si="43"/>
        <v/>
      </c>
      <c r="P20" s="268">
        <f>IF(AY20=1,"XT"&amp;COUNTIFS($A$3:A20,A20,$AY$3:AY20,1),"")</f>
        <v/>
      </c>
      <c r="Q20" s="152">
        <f>IF(R20="","",IFERROR(SUBSTITUTE(Разбивка_по_щитам!P20,CHAR(10)," "),""))</f>
        <v/>
      </c>
      <c r="R20" s="153">
        <f>IF(OR(Разбивка_по_щитам!H20="",Разбивка_по_щитам!H20=0),"",Разбивка_по_щитам!H20)</f>
        <v/>
      </c>
      <c r="S20" s="154">
        <f>IF(R20="","",IFERROR(Разбивка_по_щитам!J20&amp;"",""))</f>
        <v/>
      </c>
      <c r="T20" s="155">
        <f>IF(R20="","",IFERROR(--Разбивка_по_щитам!L20,""))</f>
        <v/>
      </c>
      <c r="U20" s="155">
        <f>IF(R20="","",IFERROR(--Разбивка_по_щитам!K20,""))</f>
        <v/>
      </c>
      <c r="V20" s="138">
        <f>IF(R20="","",IFERROR(IF(Разбивка_по_щитам!M20=0,"",Разбивка_по_щитам!M20),""))</f>
        <v/>
      </c>
      <c r="W20" s="156">
        <f t="shared" si="5"/>
        <v/>
      </c>
      <c r="X20" s="157">
        <f t="shared" si="6"/>
        <v/>
      </c>
      <c r="Y20" s="266"/>
      <c r="Z20" s="158">
        <f t="shared" si="7"/>
        <v/>
      </c>
      <c r="AA20" s="160">
        <f t="shared" si="8"/>
        <v/>
      </c>
      <c r="AB20" s="160">
        <f>IF(R20="","",IFERROR(LOOKUP(INDEX(Справочная!$I$4:$I$19,MATCH(VLOOKUP(R20,Исходные_данные,22,FALSE),Справочная!$J$4:$J$19,0)+1),{6,10,16,20,25,32,40,50,63,80,100,125}),""))</f>
        <v/>
      </c>
      <c r="AC20" s="160">
        <f t="shared" si="9"/>
        <v/>
      </c>
      <c r="AD20" s="161">
        <f t="shared" si="10"/>
        <v/>
      </c>
      <c r="AE20" s="161">
        <f>IF(AND(R20="",G20=""),"",_xlfn.TEXTJOIN("; ",TRUE,IF(AND(R20&lt;&gt;"",V20=""),"нет фазы",""),IF(AND(R20&lt;&gt;"",N(T20)=0),"нет мощности",""),IF(AND(P20&lt;&gt;"",COUNTIFS($A$3:$A$1000,A20,$P$3:$P$1000,P20)&gt;1),"дубль клеммы "&amp;P20,""),IF(AND(W20&lt;&gt;"",W20&lt;&gt;"ok"),W20,""),IF(X20&lt;&gt;"",X20,""),IF(AND(ISNUMBER(SEARCH("(5х",Q20)),N(AK20)=1),"5 жил на 1 фазе",""),IF(AND(AL20="R",E20&lt;&gt;"",N(AS20)=0),"розетка без 30 мА",""),IF(IFERROR(_xlfn.NUMBERVALUE(MID(Q20,FIND("-",Q20,FIND("L=",Q20))+1,FIND("%",Q20)-FIND("-",Q20,FIND("L=",Q20))-1),","),0)&gt;4,"потери &gt; 4 %","")))</f>
      </c>
      <c r="AF20" s="129">
        <f>IF(E20&lt;&gt;"",COUNTIFS($A$3:A20,A20,$E$3:E20,"?*"),IF(OR(A20&lt;&gt;A19,Y20="вручную"),"",AF19))</f>
        <v/>
      </c>
      <c r="AG20" s="129">
        <f t="shared" si="11"/>
        <v/>
      </c>
      <c r="AH20" s="129">
        <f t="shared" si="12"/>
        <v/>
      </c>
      <c r="AI20" s="129">
        <f t="shared" si="13"/>
        <v/>
      </c>
      <c r="AJ20" s="129">
        <f t="shared" si="14"/>
        <v/>
      </c>
      <c r="AK20" s="129">
        <f t="shared" si="15"/>
        <v/>
      </c>
      <c r="AL20" s="129">
        <f t="shared" si="16"/>
        <v/>
      </c>
      <c r="AM20" s="129">
        <f t="shared" si="17"/>
      </c>
      <c r="AN20" s="129">
        <f t="shared" si="18"/>
      </c>
      <c r="AO20" s="129">
        <f t="shared" si="19"/>
        <v/>
      </c>
      <c r="AP20" s="129">
        <f t="shared" si="20"/>
        <v/>
      </c>
      <c r="AQ20" s="129">
        <f t="shared" si="21"/>
        <v/>
      </c>
      <c r="AR20" s="129">
        <f t="shared" si="22"/>
        <v/>
      </c>
      <c r="AS20" s="129">
        <f t="shared" si="23"/>
        <v/>
      </c>
      <c r="AT20" s="129">
        <f t="shared" si="24"/>
        <v/>
      </c>
      <c r="AU20" s="129">
        <f t="shared" si="25"/>
        <v/>
      </c>
      <c r="AV20" s="129">
        <f t="shared" si="26"/>
        <v/>
      </c>
      <c r="AW20" s="129">
        <f>IF(AV20="","",AV20&amp;"."&amp;COUNTIFS($A$3:A20,A20,$AV$3:AV20,AV20))</f>
        <v/>
      </c>
      <c r="AX20" s="129">
        <f t="shared" si="27"/>
        <v/>
      </c>
      <c r="AY20" s="129">
        <f>IF(N20="б/к",0,IF(OR(ISNUMBER(SEARCH("L=",Разбивка_по_щитам!P20)),N20="+",N20="="),1,0))</f>
      </c>
      <c r="AZ20" s="129">
        <f t="shared" si="28"/>
        <v/>
      </c>
      <c r="BA20" s="129">
        <f t="shared" si="29"/>
      </c>
      <c r="BB20" s="129">
        <f t="shared" si="30"/>
      </c>
      <c r="BD20" s="129">
        <f t="shared" si="31"/>
      </c>
      <c r="BE20" s="129">
        <f t="shared" si="32"/>
      </c>
      <c r="BF20" s="129">
        <f t="shared" si="33"/>
      </c>
      <c r="BG20" s="129">
        <f t="shared" si="34"/>
        <v/>
      </c>
      <c r="BH20" s="129">
        <f t="shared" si="35"/>
        <v/>
      </c>
      <c r="BI20" s="129">
        <f t="shared" si="36"/>
        <v/>
      </c>
      <c r="BJ20" s="129">
        <f t="shared" si="37"/>
        <v/>
      </c>
      <c r="BK20" s="129">
        <f>IF(R20="","",IF(OR(BY20="",BY20=0),"BOX",IFERROR(IF(VLOOKUP(BY20,УГО_блоки,3,FALSE)&amp;""&lt;&gt;"",VLOOKUP(BY20,УГО_блоки,3,FALSE),VLOOKUP(BY20,УГО_блоки,2,FALSE)),BY20)))</f>
      </c>
      <c r="BL20" s="129">
        <f t="shared" si="39"/>
      </c>
      <c r="BM20" s="129">
        <f>IF(H20="","",IF(COUNTIF($H$3:H20,H20)=1,MAX($BM$2:BM19)+1,""))</f>
      </c>
      <c r="BN20" s="129">
        <f>IF(I20="","",IF(COUNTIF($I$3:I20,I20)+COUNTIF($J$2:J19,I20)+COUNTIF($K$2:K19,I20)=1,MAX($BN$2:BP19)+1,""))</f>
      </c>
      <c r="BO20" s="129">
        <f>IF(J20="","",IF(COUNTIF($I$3:I20,J20)+COUNTIF($J$3:J20,J20)+COUNTIF($K$2:K19,J20)=1,MAX($BN$2:BP19,BN20)+1,""))</f>
      </c>
      <c r="BP20" s="129">
        <f>IF(K20="","",IF(COUNTIF($I$3:I20,K20)+COUNTIF($J$3:J20,K20)+COUNTIF($K$3:K20,K20)=1,MAX($BN$2:BP19,BN20,BO20)+1,""))</f>
      </c>
      <c r="BQ20" s="129">
        <f>IF(AY20=1,IFERROR(MID(Q20,FIND(" (",Q20)+2,FIND(")",Q20,FIND(" (",Q20))-FIND(" (",Q20)-2),"?"),"")</f>
      </c>
      <c r="BR20" s="129">
        <f>IF(BQ20="","",IF(COUNTIF($BQ$3:BQ20,BQ20)=1,MAX($BR$2:BR19)+1,""))</f>
      </c>
      <c r="BS20" s="129">
        <f>IF(AW20="","",COUNTIF($AW$3:AW20,"?*"))</f>
      </c>
      <c r="BT20" s="129">
        <f>IF(OR(AW20="",AI20=""),"",IF(COUNTIFS($AW$3:AW20,"?*",$AI$3:AI20,AI20)=1,MAX($BT$2:BT19)+1,""))</f>
      </c>
      <c r="BU20" s="129">
        <f>IF(AE20="",0,IF(OR(ISNUMBER(SEARCH("дубль",AE20)),ISNUMBER(SEARCH("ПЕРЕГРУЗ",AE20)),ISNUMBER(SEARCH("ЗАЩИЩ",AE20)),ISNUMBER(SEARCH("КАНАЛ",AE20)),ISNUMBER(SEARCH("без 30",AE20))),2,1))</f>
      </c>
      <c r="BV20" s="129">
        <f>IF(R20="","",COUNTIF($R$3:R20,"?*"))</f>
      </c>
      <c r="BW20" s="129">
        <f>IF(AY20&lt;&gt;1,0,IF(MAX(IFERROR(--VLOOKUP(R20,УГО_спр,5,FALSE),0),IFERROR(--VLOOKUP(AL20,УГО_спр,5,FALSE),0),IFERROR(--VLOOKUP(LEFT(AL20,2),УГО_спр,5,FALSE),0))&gt;0,MAX(IFERROR(--VLOOKUP(R20,УГО_спр,5,FALSE),0),IFERROR(--VLOOKUP(AL20,УГО_спр,5,FALSE),0),IFERROR(--VLOOKUP(LEFT(AL20,2),УГО_спр,5,FALSE),0)),IF(IFERROR(--LEFT(SUBSTITUTE(BQ20,"x","х"),FIND("х",SUBSTITUTE(BQ20,"x","х"))-1),3)&gt;3,Каталог!$S$9,1)))</f>
      </c>
      <c r="BX20" s="129">
        <f>IF(AY20&lt;&gt;1,0,MAX(0,IFERROR(--LEFT(SUBSTITUTE(BQ20,"x","х"),FIND("х",SUBSTITUTE(BQ20,"x","х"))-1),3)-3*BW20))</f>
      </c>
      <c r="BY20" s="129">
        <f>IF(R20="","",IFERROR(VLOOKUP(R20,УГО_спр,2,FALSE),IFERROR(VLOOKUP(AL20,УГО_спр,2,FALSE),IFERROR(VLOOKUP(LEFT(AL20,2),УГО_спр,2,FALSE),""))))</f>
      </c>
    </row>
    <row r="21" spans="1:64" x14ac:dyDescent="0.3">
      <c r="A21" s="135">
        <f>IF(Разбивка_по_щитам!F21=0,"",Разбивка_по_щитам!F21)</f>
      </c>
      <c r="B21" s="138">
        <f>IF(A21="","",Разбивка_по_щитам!C21)</f>
      </c>
      <c r="C21" s="138">
        <f t="shared" si="0"/>
      </c>
      <c r="D21" s="266"/>
      <c r="E21" s="266"/>
      <c r="F21" s="267"/>
      <c r="G21" s="145">
        <f t="shared" si="40"/>
      </c>
      <c r="H21" s="145">
        <f t="shared" si="41"/>
      </c>
      <c r="I21" s="266"/>
      <c r="J21" s="267"/>
      <c r="K21" s="267"/>
      <c r="L21" s="266"/>
      <c r="M21" s="147">
        <f t="shared" si="42"/>
        <v/>
      </c>
      <c r="N21" s="267"/>
      <c r="O21" s="147">
        <f t="shared" si="43"/>
        <v/>
      </c>
      <c r="P21" s="268"/>
      <c r="Q21" s="152">
        <f>IF(R21="","",IFERROR(SUBSTITUTE(Разбивка_по_щитам!P21,CHAR(10)," "),""))</f>
      </c>
      <c r="R21" s="153">
        <f>IF(OR(Разбивка_по_щитам!H21="",Разбивка_по_щитам!H21=0),"",Разбивка_по_щитам!H21)</f>
      </c>
      <c r="S21" s="154">
        <f>IF(R21="","",IFERROR(Разбивка_по_щитам!J21&amp;"",""))</f>
      </c>
      <c r="T21" s="155">
        <f>IF(R21="","",IFERROR(--Разбивка_по_щитам!L21,""))</f>
      </c>
      <c r="U21" s="155">
        <f>IF(R21="","",IFERROR(--Разбивка_по_щитам!K21,""))</f>
      </c>
      <c r="V21" s="138">
        <f>IF(R21="","",IFERROR(IF(Разбивка_по_щитам!M21=0,"",Разбивка_по_щитам!M21),""))</f>
        <v/>
      </c>
      <c r="W21" s="156">
        <f t="shared" si="5"/>
      </c>
      <c r="X21" s="157">
        <f t="shared" si="6"/>
        <v/>
      </c>
      <c r="Y21" s="266"/>
      <c r="Z21" s="158">
        <f t="shared" si="7"/>
      </c>
      <c r="AA21" s="160">
        <f t="shared" si="8"/>
      </c>
      <c r="AB21" s="160">
        <f>IF(R21="","",IFERROR(LOOKUP(INDEX(Справочная!$I$4:$I$19,MATCH(VLOOKUP(R21,Исходные_данные,22,FALSE),Справочная!$J$4:$J$19,0)+1),{6,10,16,20,25,32,40,50,63,80,100,125}),""))</f>
      </c>
      <c r="AC21" s="160">
        <f t="shared" si="9"/>
        <v/>
      </c>
      <c r="AD21" s="161">
        <f t="shared" si="10"/>
      </c>
      <c r="AE21" s="161">
        <f>IF(AND(R21="",G21=""),"",_xlfn.TEXTJOIN("; ",TRUE,IF(AND(R21&lt;&gt;"",V21=""),"нет фазы",""),IF(AND(R21&lt;&gt;"",N(T21)=0),"нет мощности",""),IF(AND(P21&lt;&gt;"",COUNTIFS($A$3:$A$1000,A21,$P$3:$P$1000,P21)&gt;1),"дубль клеммы "&amp;P21,""),IF(AND(W21&lt;&gt;"",W21&lt;&gt;"ok"),W21,""),IF(X21&lt;&gt;"",X21,""),IF(AND(ISNUMBER(SEARCH("(5х",Q21)),N(AK21)=1),"5 жил на 1 фазе",""),IF(AND(AL21="R",E21&lt;&gt;"",N(AS21)=0),"розетка без 30 мА",""),IF(IFERROR(_xlfn.NUMBERVALUE(MID(Q21,FIND("-",Q21,FIND("L=",Q21))+1,FIND("%",Q21)-FIND("-",Q21,FIND("L=",Q21))-1),","),0)&gt;4,"потери &gt; 4 %","")))</f>
      </c>
      <c r="AF21" s="129">
        <f>IF(E21&lt;&gt;"",COUNTIFS($A$3:A21,A21,$E$3:E21,"?*"),IF(OR(A21&lt;&gt;A20,Y21="вручную"),"",AF20))</f>
      </c>
      <c r="AG21" s="129">
        <f t="shared" si="11"/>
      </c>
      <c r="AH21" s="129">
        <f t="shared" si="12"/>
        <v/>
      </c>
      <c r="AI21" s="129">
        <f t="shared" si="13"/>
        <v/>
      </c>
      <c r="AJ21" s="129">
        <f t="shared" si="14"/>
      </c>
      <c r="AK21" s="129">
        <f t="shared" si="15"/>
      </c>
      <c r="AL21" s="129">
        <f t="shared" si="16"/>
      </c>
      <c r="AM21" s="129">
        <f t="shared" si="17"/>
      </c>
      <c r="AN21" s="129">
        <f t="shared" si="18"/>
      </c>
      <c r="AO21" s="129">
        <f t="shared" si="19"/>
      </c>
      <c r="AP21" s="129">
        <f t="shared" si="20"/>
      </c>
      <c r="AQ21" s="129">
        <f t="shared" si="21"/>
      </c>
      <c r="AR21" s="129">
        <f t="shared" si="22"/>
      </c>
      <c r="AS21" s="129">
        <f t="shared" si="23"/>
      </c>
      <c r="AT21" s="129">
        <f t="shared" si="24"/>
      </c>
      <c r="AU21" s="129">
        <f t="shared" si="25"/>
      </c>
      <c r="AV21" s="129">
        <f t="shared" si="26"/>
        <v/>
      </c>
      <c r="AW21" s="129">
        <f>IF(AV21="","",AV21&amp;"."&amp;COUNTIFS($A$3:A21,A21,$AV$3:AV21,AV21))</f>
        <v/>
      </c>
      <c r="AX21" s="129">
        <f t="shared" si="27"/>
        <v/>
      </c>
      <c r="AY21" s="129">
        <f>IF(N21="б/к",0,IF(OR(ISNUMBER(SEARCH("L=",Разбивка_по_щитам!P21)),N21="+",N21="="),1,0))</f>
      </c>
      <c r="AZ21" s="129">
        <f t="shared" si="28"/>
        <v/>
      </c>
      <c r="BA21" s="129">
        <f t="shared" si="29"/>
      </c>
      <c r="BB21" s="129">
        <f t="shared" si="30"/>
      </c>
      <c r="BD21" s="129">
        <f t="shared" si="31"/>
      </c>
      <c r="BE21" s="129">
        <f t="shared" si="32"/>
      </c>
      <c r="BF21" s="129">
        <f t="shared" si="33"/>
      </c>
      <c r="BG21" s="129">
        <f t="shared" si="34"/>
        <v/>
      </c>
      <c r="BH21" s="129">
        <f t="shared" si="35"/>
        <v/>
      </c>
      <c r="BI21" s="129">
        <f t="shared" si="36"/>
        <v/>
      </c>
      <c r="BJ21" s="129">
        <f t="shared" si="37"/>
        <v/>
      </c>
      <c r="BK21" s="129">
        <f>IF(R21="","",IF(OR(BY21="",BY21=0),"BOX",IFERROR(IF(VLOOKUP(BY21,УГО_блоки,3,FALSE)&amp;""&lt;&gt;"",VLOOKUP(BY21,УГО_блоки,3,FALSE),VLOOKUP(BY21,УГО_блоки,2,FALSE)),BY21)))</f>
      </c>
      <c r="BL21" s="129">
        <f t="shared" si="39"/>
      </c>
      <c r="BM21" s="129">
        <f>IF(H21="","",IF(COUNTIF($H$3:H21,H21)=1,MAX($BM$2:BM20)+1,""))</f>
      </c>
      <c r="BN21" s="129">
        <f>IF(I21="","",IF(COUNTIF($I$3:I21,I21)+COUNTIF($J$2:J20,I21)+COUNTIF($K$2:K20,I21)=1,MAX($BN$2:BP20)+1,""))</f>
      </c>
      <c r="BO21" s="129">
        <f>IF(J21="","",IF(COUNTIF($I$3:I21,J21)+COUNTIF($J$3:J21,J21)+COUNTIF($K$2:K20,J21)=1,MAX($BN$2:BP20,BN21)+1,""))</f>
      </c>
      <c r="BP21" s="129">
        <f>IF(K21="","",IF(COUNTIF($I$3:I21,K21)+COUNTIF($J$3:J21,K21)+COUNTIF($K$3:K21,K21)=1,MAX($BN$2:BP20,BN21,BO21)+1,""))</f>
      </c>
      <c r="BQ21" s="129">
        <f>IF(AY21=1,IFERROR(MID(Q21,FIND(" (",Q21)+2,FIND(")",Q21,FIND(" (",Q21))-FIND(" (",Q21)-2),"?"),"")</f>
      </c>
      <c r="BR21" s="129">
        <f>IF(BQ21="","",IF(COUNTIF($BQ$3:BQ21,BQ21)=1,MAX($BR$2:BR20)+1,""))</f>
      </c>
      <c r="BS21" s="129">
        <f>IF(AW21="","",COUNTIF($AW$3:AW21,"?*"))</f>
      </c>
      <c r="BT21" s="129">
        <f>IF(OR(AW21="",AI21=""),"",IF(COUNTIFS($AW$3:AW21,"?*",$AI$3:AI21,AI21)=1,MAX($BT$2:BT20)+1,""))</f>
      </c>
      <c r="BU21" s="129">
        <f>IF(AE21="",0,IF(OR(ISNUMBER(SEARCH("дубль",AE21)),ISNUMBER(SEARCH("ПЕРЕГРУЗ",AE21)),ISNUMBER(SEARCH("ЗАЩИЩ",AE21)),ISNUMBER(SEARCH("КАНАЛ",AE21)),ISNUMBER(SEARCH("без 30",AE21))),2,1))</f>
      </c>
      <c r="BV21" s="129">
        <f>IF(R21="","",COUNTIF($R$3:R21,"?*"))</f>
      </c>
      <c r="BW21" s="129">
        <f>IF(AY21&lt;&gt;1,0,IF(MAX(IFERROR(--VLOOKUP(R21,УГО_спр,5,FALSE),0),IFERROR(--VLOOKUP(AL21,УГО_спр,5,FALSE),0),IFERROR(--VLOOKUP(LEFT(AL21,2),УГО_спр,5,FALSE),0))&gt;0,MAX(IFERROR(--VLOOKUP(R21,УГО_спр,5,FALSE),0),IFERROR(--VLOOKUP(AL21,УГО_спр,5,FALSE),0),IFERROR(--VLOOKUP(LEFT(AL21,2),УГО_спр,5,FALSE),0)),IF(IFERROR(--LEFT(SUBSTITUTE(BQ21,"x","х"),FIND("х",SUBSTITUTE(BQ21,"x","х"))-1),3)&gt;3,Каталог!$S$9,1)))</f>
      </c>
      <c r="BX21" s="129">
        <f>IF(AY21&lt;&gt;1,0,MAX(0,IFERROR(--LEFT(SUBSTITUTE(BQ21,"x","х"),FIND("х",SUBSTITUTE(BQ21,"x","х"))-1),3)-3*BW21))</f>
      </c>
      <c r="BY21" s="129">
        <f>IF(R21="","",IFERROR(VLOOKUP(R21,УГО_спр,2,FALSE),IFERROR(VLOOKUP(AL21,УГО_спр,2,FALSE),IFERROR(VLOOKUP(LEFT(AL21,2),УГО_спр,2,FALSE),""))))</f>
      </c>
    </row>
    <row r="22" spans="1:64" x14ac:dyDescent="0.3">
      <c r="A22" s="135">
        <f>IF(Разбивка_по_щитам!F22=0,"",Разбивка_по_щитам!F22)</f>
      </c>
      <c r="B22" s="138">
        <f>IF(A22="","",Разбивка_по_щитам!C22)</f>
      </c>
      <c r="C22" s="138">
        <f t="shared" si="0"/>
      </c>
      <c r="D22" s="266"/>
      <c r="E22" s="266"/>
      <c r="F22" s="267"/>
      <c r="G22" s="145">
        <f t="shared" si="40"/>
      </c>
      <c r="H22" s="145">
        <f t="shared" si="41"/>
        <v/>
      </c>
      <c r="I22" s="266"/>
      <c r="J22" s="267"/>
      <c r="K22" s="267"/>
      <c r="L22" s="266"/>
      <c r="M22" s="147">
        <f t="shared" si="42"/>
        <v/>
      </c>
      <c r="N22" s="267"/>
      <c r="O22" s="147">
        <f t="shared" si="43"/>
        <v/>
      </c>
      <c r="P22" s="268">
        <f>IF(AY22=1,"XT"&amp;COUNTIFS($A$3:A22,A22,$AY$3:AY22,1),"")</f>
      </c>
      <c r="Q22" s="152">
        <f>IF(R22="","",IFERROR(SUBSTITUTE(Разбивка_по_щитам!P22,CHAR(10)," "),""))</f>
      </c>
      <c r="R22" s="153">
        <f>IF(OR(Разбивка_по_щитам!H22="",Разбивка_по_щитам!H22=0),"",Разбивка_по_щитам!H22)</f>
      </c>
      <c r="S22" s="154">
        <f>IF(R22="","",IFERROR(Разбивка_по_щитам!J22&amp;"",""))</f>
      </c>
      <c r="T22" s="155">
        <f>IF(R22="","",IFERROR(--Разбивка_по_щитам!L22,""))</f>
      </c>
      <c r="U22" s="155">
        <f>IF(R22="","",IFERROR(--Разбивка_по_щитам!K22,""))</f>
      </c>
      <c r="V22" s="138">
        <f>IF(R22="","",IFERROR(IF(Разбивка_по_щитам!M22=0,"",Разбивка_по_щитам!M22),""))</f>
        <v/>
      </c>
      <c r="W22" s="156">
        <f t="shared" si="5"/>
        <v/>
      </c>
      <c r="X22" s="157">
        <f t="shared" si="6"/>
        <v/>
      </c>
      <c r="Y22" s="266"/>
      <c r="Z22" s="158">
        <f t="shared" si="7"/>
        <v/>
      </c>
      <c r="AA22" s="160">
        <f t="shared" si="8"/>
        <v/>
      </c>
      <c r="AB22" s="160">
        <f>IF(R22="","",IFERROR(LOOKUP(INDEX(Справочная!$I$4:$I$19,MATCH(VLOOKUP(R22,Исходные_данные,22,FALSE),Справочная!$J$4:$J$19,0)+1),{6,10,16,20,25,32,40,50,63,80,100,125}),""))</f>
      </c>
      <c r="AC22" s="160">
        <f t="shared" si="9"/>
        <v/>
      </c>
      <c r="AD22" s="161">
        <f t="shared" si="10"/>
      </c>
      <c r="AE22" s="161">
        <f>IF(AND(R22="",G22=""),"",_xlfn.TEXTJOIN("; ",TRUE,IF(AND(R22&lt;&gt;"",V22=""),"нет фазы",""),IF(AND(R22&lt;&gt;"",N(T22)=0),"нет мощности",""),IF(AND(P22&lt;&gt;"",COUNTIFS($A$3:$A$1000,A22,$P$3:$P$1000,P22)&gt;1),"дубль клеммы "&amp;P22,""),IF(AND(W22&lt;&gt;"",W22&lt;&gt;"ok"),W22,""),IF(X22&lt;&gt;"",X22,""),IF(AND(ISNUMBER(SEARCH("(5х",Q22)),N(AK22)=1),"5 жил на 1 фазе",""),IF(AND(AL22="R",E22&lt;&gt;"",N(AS22)=0),"розетка без 30 мА",""),IF(IFERROR(_xlfn.NUMBERVALUE(MID(Q22,FIND("-",Q22,FIND("L=",Q22))+1,FIND("%",Q22)-FIND("-",Q22,FIND("L=",Q22))-1),","),0)&gt;4,"потери &gt; 4 %","")))</f>
      </c>
      <c r="AF22" s="129">
        <f>IF(E22&lt;&gt;"",COUNTIFS($A$3:A22,A22,$E$3:E22,"?*"),IF(OR(A22&lt;&gt;A21,Y22="вручную"),"",AF21))</f>
      </c>
      <c r="AG22" s="129">
        <f t="shared" si="11"/>
      </c>
      <c r="AH22" s="129">
        <f t="shared" si="12"/>
        <v/>
      </c>
      <c r="AI22" s="129">
        <f t="shared" si="13"/>
        <v/>
      </c>
      <c r="AJ22" s="129">
        <f t="shared" si="14"/>
        <v/>
      </c>
      <c r="AK22" s="129">
        <f t="shared" si="15"/>
      </c>
      <c r="AL22" s="129">
        <f t="shared" si="16"/>
      </c>
      <c r="AM22" s="129">
        <f t="shared" si="17"/>
      </c>
      <c r="AN22" s="129">
        <f t="shared" si="18"/>
      </c>
      <c r="AO22" s="129">
        <f t="shared" si="19"/>
        <v/>
      </c>
      <c r="AP22" s="129">
        <f t="shared" si="20"/>
        <v/>
      </c>
      <c r="AQ22" s="129">
        <f t="shared" si="21"/>
        <v/>
      </c>
      <c r="AR22" s="129">
        <f t="shared" si="22"/>
        <v/>
      </c>
      <c r="AS22" s="129">
        <f t="shared" si="23"/>
        <v/>
      </c>
      <c r="AT22" s="129">
        <f t="shared" si="24"/>
        <v/>
      </c>
      <c r="AU22" s="129">
        <f t="shared" si="25"/>
        <v/>
      </c>
      <c r="AV22" s="129">
        <f t="shared" si="26"/>
        <v/>
      </c>
      <c r="AW22" s="129">
        <f>IF(AV22="","",AV22&amp;"."&amp;COUNTIFS($A$3:A22,A22,$AV$3:AV22,AV22))</f>
        <v/>
      </c>
      <c r="AX22" s="129">
        <f t="shared" si="27"/>
        <v/>
      </c>
      <c r="AY22" s="129">
        <f>IF(N22="б/к",0,IF(OR(ISNUMBER(SEARCH("L=",Разбивка_по_щитам!P22)),N22="+",N22="="),1,0))</f>
      </c>
      <c r="AZ22" s="129">
        <f t="shared" si="28"/>
        <v/>
      </c>
      <c r="BA22" s="129">
        <f t="shared" si="29"/>
      </c>
      <c r="BB22" s="129">
        <f t="shared" si="30"/>
      </c>
      <c r="BD22" s="129">
        <f t="shared" si="31"/>
      </c>
      <c r="BE22" s="129">
        <f t="shared" si="32"/>
      </c>
      <c r="BF22" s="129">
        <f t="shared" si="33"/>
      </c>
      <c r="BG22" s="129">
        <f t="shared" si="34"/>
        <v/>
      </c>
      <c r="BH22" s="129">
        <f t="shared" si="35"/>
        <v/>
      </c>
      <c r="BI22" s="129">
        <f t="shared" si="36"/>
        <v/>
      </c>
      <c r="BJ22" s="129">
        <f t="shared" si="37"/>
        <v/>
      </c>
      <c r="BK22" s="129">
        <f>IF(R22="","",IF(OR(BY22="",BY22=0),"BOX",IFERROR(IF(VLOOKUP(BY22,УГО_блоки,3,FALSE)&amp;""&lt;&gt;"",VLOOKUP(BY22,УГО_блоки,3,FALSE),VLOOKUP(BY22,УГО_блоки,2,FALSE)),BY22)))</f>
      </c>
      <c r="BL22" s="129">
        <f t="shared" si="39"/>
      </c>
      <c r="BM22" s="129">
        <f>IF(H22="","",IF(COUNTIF($H$3:H22,H22)=1,MAX($BM$2:BM21)+1,""))</f>
      </c>
      <c r="BN22" s="129">
        <f>IF(I22="","",IF(COUNTIF($I$3:I22,I22)+COUNTIF($J$2:J21,I22)+COUNTIF($K$2:K21,I22)=1,MAX($BN$2:BP21)+1,""))</f>
      </c>
      <c r="BO22" s="129">
        <f>IF(J22="","",IF(COUNTIF($I$3:I22,J22)+COUNTIF($J$3:J22,J22)+COUNTIF($K$2:K21,J22)=1,MAX($BN$2:BP21,BN22)+1,""))</f>
      </c>
      <c r="BP22" s="129">
        <f>IF(K22="","",IF(COUNTIF($I$3:I22,K22)+COUNTIF($J$3:J22,K22)+COUNTIF($K$3:K22,K22)=1,MAX($BN$2:BP21,BN22,BO22)+1,""))</f>
      </c>
      <c r="BQ22" s="129">
        <f>IF(AY22=1,IFERROR(MID(Q22,FIND(" (",Q22)+2,FIND(")",Q22,FIND(" (",Q22))-FIND(" (",Q22)-2),"?"),"")</f>
      </c>
      <c r="BR22" s="129">
        <f>IF(BQ22="","",IF(COUNTIF($BQ$3:BQ22,BQ22)=1,MAX($BR$2:BR21)+1,""))</f>
      </c>
      <c r="BS22" s="129">
        <f>IF(AW22="","",COUNTIF($AW$3:AW22,"?*"))</f>
      </c>
      <c r="BT22" s="129">
        <f>IF(OR(AW22="",AI22=""),"",IF(COUNTIFS($AW$3:AW22,"?*",$AI$3:AI22,AI22)=1,MAX($BT$2:BT21)+1,""))</f>
      </c>
      <c r="BU22" s="129">
        <f>IF(AE22="",0,IF(OR(ISNUMBER(SEARCH("дубль",AE22)),ISNUMBER(SEARCH("ПЕРЕГРУЗ",AE22)),ISNUMBER(SEARCH("ЗАЩИЩ",AE22)),ISNUMBER(SEARCH("КАНАЛ",AE22)),ISNUMBER(SEARCH("без 30",AE22))),2,1))</f>
      </c>
      <c r="BV22" s="129">
        <f>IF(R22="","",COUNTIF($R$3:R22,"?*"))</f>
      </c>
      <c r="BW22" s="129">
        <f>IF(AY22&lt;&gt;1,0,IF(MAX(IFERROR(--VLOOKUP(R22,УГО_спр,5,FALSE),0),IFERROR(--VLOOKUP(AL22,УГО_спр,5,FALSE),0),IFERROR(--VLOOKUP(LEFT(AL22,2),УГО_спр,5,FALSE),0))&gt;0,MAX(IFERROR(--VLOOKUP(R22,УГО_спр,5,FALSE),0),IFERROR(--VLOOKUP(AL22,УГО_спр,5,FALSE),0),IFERROR(--VLOOKUP(LEFT(AL22,2),УГО_спр,5,FALSE),0)),IF(IFERROR(--LEFT(SUBSTITUTE(BQ22,"x","х"),FIND("х",SUBSTITUTE(BQ22,"x","х"))-1),3)&gt;3,Каталог!$S$9,1)))</f>
      </c>
      <c r="BX22" s="129">
        <f>IF(AY22&lt;&gt;1,0,MAX(0,IFERROR(--LEFT(SUBSTITUTE(BQ22,"x","х"),FIND("х",SUBSTITUTE(BQ22,"x","х"))-1),3)-3*BW22))</f>
      </c>
      <c r="BY22" s="129">
        <f>IF(R22="","",IFERROR(VLOOKUP(R22,УГО_спр,2,FALSE),IFERROR(VLOOKUP(AL22,УГО_спр,2,FALSE),IFERROR(VLOOKUP(LEFT(AL22,2),УГО_спр,2,FALSE),""))))</f>
      </c>
    </row>
    <row r="23" spans="1:64" x14ac:dyDescent="0.3">
      <c r="A23" s="135">
        <f>IF(Разбивка_по_щитам!F23=0,"",Разбивка_по_щитам!F23)</f>
      </c>
      <c r="B23" s="138">
        <f>IF(A23="","",Разбивка_по_щитам!C23)</f>
      </c>
      <c r="C23" s="138">
        <f t="shared" si="0"/>
      </c>
      <c r="D23" s="266"/>
      <c r="E23" s="266"/>
      <c r="F23" s="267"/>
      <c r="G23" s="145">
        <f t="shared" si="40"/>
      </c>
      <c r="H23" s="145">
        <f t="shared" si="41"/>
      </c>
      <c r="I23" s="266"/>
      <c r="J23" s="267"/>
      <c r="K23" s="267"/>
      <c r="L23" s="266"/>
      <c r="M23" s="147">
        <f t="shared" si="42"/>
        <v/>
      </c>
      <c r="N23" s="267"/>
      <c r="O23" s="147">
        <f t="shared" si="43"/>
        <v/>
      </c>
      <c r="P23" s="268"/>
      <c r="Q23" s="152">
        <f>IF(R23="","",IFERROR(SUBSTITUTE(Разбивка_по_щитам!P23,CHAR(10)," "),""))</f>
      </c>
      <c r="R23" s="153">
        <f>IF(OR(Разбивка_по_щитам!H23="",Разбивка_по_щитам!H23=0),"",Разбивка_по_щитам!H23)</f>
      </c>
      <c r="S23" s="154">
        <f>IF(R23="","",IFERROR(Разбивка_по_щитам!J23&amp;"",""))</f>
      </c>
      <c r="T23" s="155">
        <f>IF(R23="","",IFERROR(--Разбивка_по_щитам!L23,""))</f>
      </c>
      <c r="U23" s="155">
        <f>IF(R23="","",IFERROR(--Разбивка_по_щитам!K23,""))</f>
      </c>
      <c r="V23" s="138">
        <f>IF(R23="","",IFERROR(IF(Разбивка_по_щитам!M23=0,"",Разбивка_по_щитам!M23),""))</f>
        <v/>
      </c>
      <c r="W23" s="156">
        <f t="shared" si="5"/>
      </c>
      <c r="X23" s="157">
        <f t="shared" si="6"/>
        <v/>
      </c>
      <c r="Y23" s="266"/>
      <c r="Z23" s="158">
        <f t="shared" si="7"/>
      </c>
      <c r="AA23" s="160">
        <f t="shared" si="8"/>
      </c>
      <c r="AB23" s="160">
        <f>IF(R23="","",IFERROR(LOOKUP(INDEX(Справочная!$I$4:$I$19,MATCH(VLOOKUP(R23,Исходные_данные,22,FALSE),Справочная!$J$4:$J$19,0)+1),{6,10,16,20,25,32,40,50,63,80,100,125}),""))</f>
      </c>
      <c r="AC23" s="160">
        <f t="shared" si="9"/>
        <v/>
      </c>
      <c r="AD23" s="161">
        <f t="shared" si="10"/>
      </c>
      <c r="AE23" s="161">
        <f>IF(AND(R23="",G23=""),"",_xlfn.TEXTJOIN("; ",TRUE,IF(AND(R23&lt;&gt;"",V23=""),"нет фазы",""),IF(AND(R23&lt;&gt;"",N(T23)=0),"нет мощности",""),IF(AND(P23&lt;&gt;"",COUNTIFS($A$3:$A$1000,A23,$P$3:$P$1000,P23)&gt;1),"дубль клеммы "&amp;P23,""),IF(AND(W23&lt;&gt;"",W23&lt;&gt;"ok"),W23,""),IF(X23&lt;&gt;"",X23,""),IF(AND(ISNUMBER(SEARCH("(5х",Q23)),N(AK23)=1),"5 жил на 1 фазе",""),IF(AND(AL23="R",E23&lt;&gt;"",N(AS23)=0),"розетка без 30 мА",""),IF(IFERROR(_xlfn.NUMBERVALUE(MID(Q23,FIND("-",Q23,FIND("L=",Q23))+1,FIND("%",Q23)-FIND("-",Q23,FIND("L=",Q23))-1),","),0)&gt;4,"потери &gt; 4 %","")))</f>
      </c>
      <c r="AF23" s="129">
        <f>IF(E23&lt;&gt;"",COUNTIFS($A$3:A23,A23,$E$3:E23,"?*"),IF(OR(A23&lt;&gt;A22,Y23="вручную"),"",AF22))</f>
      </c>
      <c r="AG23" s="129">
        <f t="shared" si="11"/>
      </c>
      <c r="AH23" s="129">
        <f t="shared" si="12"/>
        <v/>
      </c>
      <c r="AI23" s="129">
        <f t="shared" si="13"/>
        <v/>
      </c>
      <c r="AJ23" s="129">
        <f t="shared" si="14"/>
      </c>
      <c r="AK23" s="129">
        <f t="shared" si="15"/>
      </c>
      <c r="AL23" s="129">
        <f t="shared" si="16"/>
      </c>
      <c r="AM23" s="129">
        <f t="shared" si="17"/>
      </c>
      <c r="AN23" s="129">
        <f t="shared" si="18"/>
      </c>
      <c r="AO23" s="129">
        <f t="shared" si="19"/>
      </c>
      <c r="AP23" s="129">
        <f t="shared" si="20"/>
      </c>
      <c r="AQ23" s="129">
        <f t="shared" si="21"/>
      </c>
      <c r="AR23" s="129">
        <f t="shared" si="22"/>
      </c>
      <c r="AS23" s="129">
        <f t="shared" si="23"/>
      </c>
      <c r="AT23" s="129">
        <f t="shared" si="24"/>
      </c>
      <c r="AU23" s="129">
        <f t="shared" si="25"/>
      </c>
      <c r="AV23" s="129">
        <f t="shared" si="26"/>
        <v/>
      </c>
      <c r="AW23" s="129">
        <f>IF(AV23="","",AV23&amp;"."&amp;COUNTIFS($A$3:A23,A23,$AV$3:AV23,AV23))</f>
        <v/>
      </c>
      <c r="AX23" s="129">
        <f t="shared" si="27"/>
        <v/>
      </c>
      <c r="AY23" s="129">
        <f>IF(N23="б/к",0,IF(OR(ISNUMBER(SEARCH("L=",Разбивка_по_щитам!P23)),N23="+",N23="="),1,0))</f>
      </c>
      <c r="AZ23" s="129">
        <f t="shared" si="28"/>
        <v/>
      </c>
      <c r="BA23" s="129">
        <f t="shared" si="29"/>
      </c>
      <c r="BB23" s="129">
        <f t="shared" si="30"/>
      </c>
      <c r="BD23" s="129">
        <f t="shared" si="31"/>
      </c>
      <c r="BE23" s="129">
        <f t="shared" si="32"/>
      </c>
      <c r="BF23" s="129">
        <f t="shared" si="33"/>
      </c>
      <c r="BG23" s="129">
        <f t="shared" si="34"/>
        <v/>
      </c>
      <c r="BH23" s="129">
        <f t="shared" si="35"/>
        <v/>
      </c>
      <c r="BI23" s="129">
        <f t="shared" si="36"/>
        <v/>
      </c>
      <c r="BJ23" s="129">
        <f t="shared" si="37"/>
        <v/>
      </c>
      <c r="BK23" s="129">
        <f>IF(R23="","",IF(OR(BY23="",BY23=0),"BOX",IFERROR(IF(VLOOKUP(BY23,УГО_блоки,3,FALSE)&amp;""&lt;&gt;"",VLOOKUP(BY23,УГО_блоки,3,FALSE),VLOOKUP(BY23,УГО_блоки,2,FALSE)),BY23)))</f>
      </c>
      <c r="BL23" s="129">
        <f t="shared" si="39"/>
      </c>
      <c r="BM23" s="129">
        <f>IF(H23="","",IF(COUNTIF($H$3:H23,H23)=1,MAX($BM$2:BM22)+1,""))</f>
      </c>
      <c r="BN23" s="129">
        <f>IF(I23="","",IF(COUNTIF($I$3:I23,I23)+COUNTIF($J$2:J22,I23)+COUNTIF($K$2:K22,I23)=1,MAX($BN$2:BP22)+1,""))</f>
      </c>
      <c r="BO23" s="129">
        <f>IF(J23="","",IF(COUNTIF($I$3:I23,J23)+COUNTIF($J$3:J23,J23)+COUNTIF($K$2:K22,J23)=1,MAX($BN$2:BP22,BN23)+1,""))</f>
      </c>
      <c r="BP23" s="129">
        <f>IF(K23="","",IF(COUNTIF($I$3:I23,K23)+COUNTIF($J$3:J23,K23)+COUNTIF($K$3:K23,K23)=1,MAX($BN$2:BP22,BN23,BO23)+1,""))</f>
      </c>
      <c r="BQ23" s="129">
        <f>IF(AY23=1,IFERROR(MID(Q23,FIND(" (",Q23)+2,FIND(")",Q23,FIND(" (",Q23))-FIND(" (",Q23)-2),"?"),"")</f>
      </c>
      <c r="BR23" s="129">
        <f>IF(BQ23="","",IF(COUNTIF($BQ$3:BQ23,BQ23)=1,MAX($BR$2:BR22)+1,""))</f>
      </c>
      <c r="BS23" s="129">
        <f>IF(AW23="","",COUNTIF($AW$3:AW23,"?*"))</f>
      </c>
      <c r="BT23" s="129">
        <f>IF(OR(AW23="",AI23=""),"",IF(COUNTIFS($AW$3:AW23,"?*",$AI$3:AI23,AI23)=1,MAX($BT$2:BT22)+1,""))</f>
      </c>
      <c r="BU23" s="129">
        <f>IF(AE23="",0,IF(OR(ISNUMBER(SEARCH("дубль",AE23)),ISNUMBER(SEARCH("ПЕРЕГРУЗ",AE23)),ISNUMBER(SEARCH("ЗАЩИЩ",AE23)),ISNUMBER(SEARCH("КАНАЛ",AE23)),ISNUMBER(SEARCH("без 30",AE23))),2,1))</f>
      </c>
      <c r="BV23" s="129">
        <f>IF(R23="","",COUNTIF($R$3:R23,"?*"))</f>
      </c>
      <c r="BW23" s="129">
        <f>IF(AY23&lt;&gt;1,0,IF(MAX(IFERROR(--VLOOKUP(R23,УГО_спр,5,FALSE),0),IFERROR(--VLOOKUP(AL23,УГО_спр,5,FALSE),0),IFERROR(--VLOOKUP(LEFT(AL23,2),УГО_спр,5,FALSE),0))&gt;0,MAX(IFERROR(--VLOOKUP(R23,УГО_спр,5,FALSE),0),IFERROR(--VLOOKUP(AL23,УГО_спр,5,FALSE),0),IFERROR(--VLOOKUP(LEFT(AL23,2),УГО_спр,5,FALSE),0)),IF(IFERROR(--LEFT(SUBSTITUTE(BQ23,"x","х"),FIND("х",SUBSTITUTE(BQ23,"x","х"))-1),3)&gt;3,Каталог!$S$9,1)))</f>
      </c>
      <c r="BX23" s="129">
        <f>IF(AY23&lt;&gt;1,0,MAX(0,IFERROR(--LEFT(SUBSTITUTE(BQ23,"x","х"),FIND("х",SUBSTITUTE(BQ23,"x","х"))-1),3)-3*BW23))</f>
      </c>
      <c r="BY23" s="129">
        <f>IF(R23="","",IFERROR(VLOOKUP(R23,УГО_спр,2,FALSE),IFERROR(VLOOKUP(AL23,УГО_спр,2,FALSE),IFERROR(VLOOKUP(LEFT(AL23,2),УГО_спр,2,FALSE),""))))</f>
      </c>
    </row>
    <row r="24" spans="1:64" x14ac:dyDescent="0.3">
      <c r="A24" s="135">
        <f>IF(Разбивка_по_щитам!F24=0,"",Разбивка_по_щитам!F24)</f>
      </c>
      <c r="B24" s="138">
        <f>IF(A24="","",Разбивка_по_щитам!C24)</f>
      </c>
      <c r="C24" s="138">
        <f t="shared" si="0"/>
      </c>
      <c r="D24" s="266"/>
      <c r="E24" s="266"/>
      <c r="F24" s="267"/>
      <c r="G24" s="145">
        <f t="shared" si="40"/>
      </c>
      <c r="H24" s="145">
        <f t="shared" si="41"/>
      </c>
      <c r="I24" s="266"/>
      <c r="J24" s="267"/>
      <c r="K24" s="267"/>
      <c r="L24" s="266"/>
      <c r="M24" s="147">
        <f t="shared" si="42"/>
        <v/>
      </c>
      <c r="N24" s="267"/>
      <c r="O24" s="147">
        <f t="shared" si="43"/>
        <v/>
      </c>
      <c r="P24" s="268"/>
      <c r="Q24" s="152">
        <f>IF(R24="","",IFERROR(SUBSTITUTE(Разбивка_по_щитам!P24,CHAR(10)," "),""))</f>
      </c>
      <c r="R24" s="153">
        <f>IF(OR(Разбивка_по_щитам!H24="",Разбивка_по_щитам!H24=0),"",Разбивка_по_щитам!H24)</f>
      </c>
      <c r="S24" s="154">
        <f>IF(R24="","",IFERROR(Разбивка_по_щитам!J24&amp;"",""))</f>
      </c>
      <c r="T24" s="155">
        <f>IF(R24="","",IFERROR(--Разбивка_по_щитам!L24,""))</f>
      </c>
      <c r="U24" s="155">
        <f>IF(R24="","",IFERROR(--Разбивка_по_щитам!K24,""))</f>
      </c>
      <c r="V24" s="138">
        <f>IF(R24="","",IFERROR(IF(Разбивка_по_щитам!M24=0,"",Разбивка_по_щитам!M24),""))</f>
        <v/>
      </c>
      <c r="W24" s="156">
        <f t="shared" si="5"/>
      </c>
      <c r="X24" s="157">
        <f t="shared" si="6"/>
        <v/>
      </c>
      <c r="Y24" s="266"/>
      <c r="Z24" s="158">
        <f t="shared" si="7"/>
      </c>
      <c r="AA24" s="160">
        <f t="shared" si="8"/>
      </c>
      <c r="AB24" s="160">
        <f>IF(R24="","",IFERROR(LOOKUP(INDEX(Справочная!$I$4:$I$19,MATCH(VLOOKUP(R24,Исходные_данные,22,FALSE),Справочная!$J$4:$J$19,0)+1),{6,10,16,20,25,32,40,50,63,80,100,125}),""))</f>
      </c>
      <c r="AC24" s="160">
        <f t="shared" si="9"/>
        <v/>
      </c>
      <c r="AD24" s="161">
        <f t="shared" si="10"/>
      </c>
      <c r="AE24" s="161">
        <f>IF(AND(R24="",G24=""),"",_xlfn.TEXTJOIN("; ",TRUE,IF(AND(R24&lt;&gt;"",V24=""),"нет фазы",""),IF(AND(R24&lt;&gt;"",N(T24)=0),"нет мощности",""),IF(AND(P24&lt;&gt;"",COUNTIFS($A$3:$A$1000,A24,$P$3:$P$1000,P24)&gt;1),"дубль клеммы "&amp;P24,""),IF(AND(W24&lt;&gt;"",W24&lt;&gt;"ok"),W24,""),IF(X24&lt;&gt;"",X24,""),IF(AND(ISNUMBER(SEARCH("(5х",Q24)),N(AK24)=1),"5 жил на 1 фазе",""),IF(AND(AL24="R",E24&lt;&gt;"",N(AS24)=0),"розетка без 30 мА",""),IF(IFERROR(_xlfn.NUMBERVALUE(MID(Q24,FIND("-",Q24,FIND("L=",Q24))+1,FIND("%",Q24)-FIND("-",Q24,FIND("L=",Q24))-1),","),0)&gt;4,"потери &gt; 4 %","")))</f>
      </c>
      <c r="AF24" s="129">
        <f>IF(E24&lt;&gt;"",COUNTIFS($A$3:A24,A24,$E$3:E24,"?*"),IF(OR(A24&lt;&gt;A23,Y24="вручную"),"",AF23))</f>
      </c>
      <c r="AG24" s="129">
        <f t="shared" si="11"/>
      </c>
      <c r="AH24" s="129">
        <f t="shared" si="12"/>
        <v/>
      </c>
      <c r="AI24" s="129">
        <f t="shared" si="13"/>
        <v/>
      </c>
      <c r="AJ24" s="129">
        <f t="shared" si="14"/>
      </c>
      <c r="AK24" s="129">
        <f t="shared" si="15"/>
      </c>
      <c r="AL24" s="129">
        <f t="shared" si="16"/>
      </c>
      <c r="AM24" s="129">
        <f t="shared" si="17"/>
      </c>
      <c r="AN24" s="129">
        <f t="shared" si="18"/>
      </c>
      <c r="AO24" s="129">
        <f t="shared" si="19"/>
      </c>
      <c r="AP24" s="129">
        <f t="shared" si="20"/>
      </c>
      <c r="AQ24" s="129">
        <f t="shared" si="21"/>
      </c>
      <c r="AR24" s="129">
        <f t="shared" si="22"/>
      </c>
      <c r="AS24" s="129">
        <f t="shared" si="23"/>
      </c>
      <c r="AT24" s="129">
        <f t="shared" si="24"/>
      </c>
      <c r="AU24" s="129">
        <f t="shared" si="25"/>
      </c>
      <c r="AV24" s="129">
        <f t="shared" si="26"/>
        <v/>
      </c>
      <c r="AW24" s="129">
        <f>IF(AV24="","",AV24&amp;"."&amp;COUNTIFS($A$3:A24,A24,$AV$3:AV24,AV24))</f>
        <v/>
      </c>
      <c r="AX24" s="129">
        <f t="shared" si="27"/>
        <v/>
      </c>
      <c r="AY24" s="129">
        <f>IF(N24="б/к",0,IF(OR(ISNUMBER(SEARCH("L=",Разбивка_по_щитам!P24)),N24="+",N24="="),1,0))</f>
      </c>
      <c r="AZ24" s="129">
        <f t="shared" si="28"/>
        <v/>
      </c>
      <c r="BA24" s="129">
        <f t="shared" si="29"/>
      </c>
      <c r="BB24" s="129">
        <f t="shared" si="30"/>
      </c>
      <c r="BD24" s="129">
        <f t="shared" si="31"/>
      </c>
      <c r="BE24" s="129">
        <f t="shared" si="32"/>
      </c>
      <c r="BF24" s="129">
        <f t="shared" si="33"/>
      </c>
      <c r="BG24" s="129">
        <f t="shared" si="34"/>
        <v/>
      </c>
      <c r="BH24" s="129">
        <f t="shared" si="35"/>
        <v/>
      </c>
      <c r="BI24" s="129">
        <f t="shared" si="36"/>
        <v/>
      </c>
      <c r="BJ24" s="129">
        <f t="shared" si="37"/>
        <v/>
      </c>
      <c r="BK24" s="129">
        <f>IF(R24="","",IF(OR(BY24="",BY24=0),"BOX",IFERROR(IF(VLOOKUP(BY24,УГО_блоки,3,FALSE)&amp;""&lt;&gt;"",VLOOKUP(BY24,УГО_блоки,3,FALSE),VLOOKUP(BY24,УГО_блоки,2,FALSE)),BY24)))</f>
      </c>
      <c r="BL24" s="129">
        <f t="shared" si="39"/>
      </c>
      <c r="BM24" s="129">
        <f>IF(H24="","",IF(COUNTIF($H$3:H24,H24)=1,MAX($BM$2:BM23)+1,""))</f>
      </c>
      <c r="BN24" s="129">
        <f>IF(I24="","",IF(COUNTIF($I$3:I24,I24)+COUNTIF($J$2:J23,I24)+COUNTIF($K$2:K23,I24)=1,MAX($BN$2:BP23)+1,""))</f>
      </c>
      <c r="BO24" s="129">
        <f>IF(J24="","",IF(COUNTIF($I$3:I24,J24)+COUNTIF($J$3:J24,J24)+COUNTIF($K$2:K23,J24)=1,MAX($BN$2:BP23,BN24)+1,""))</f>
      </c>
      <c r="BP24" s="129">
        <f>IF(K24="","",IF(COUNTIF($I$3:I24,K24)+COUNTIF($J$3:J24,K24)+COUNTIF($K$3:K24,K24)=1,MAX($BN$2:BP23,BN24,BO24)+1,""))</f>
      </c>
      <c r="BQ24" s="129">
        <f>IF(AY24=1,IFERROR(MID(Q24,FIND(" (",Q24)+2,FIND(")",Q24,FIND(" (",Q24))-FIND(" (",Q24)-2),"?"),"")</f>
      </c>
      <c r="BR24" s="129">
        <f>IF(BQ24="","",IF(COUNTIF($BQ$3:BQ24,BQ24)=1,MAX($BR$2:BR23)+1,""))</f>
      </c>
      <c r="BS24" s="129">
        <f>IF(AW24="","",COUNTIF($AW$3:AW24,"?*"))</f>
      </c>
      <c r="BT24" s="129">
        <f>IF(OR(AW24="",AI24=""),"",IF(COUNTIFS($AW$3:AW24,"?*",$AI$3:AI24,AI24)=1,MAX($BT$2:BT23)+1,""))</f>
      </c>
      <c r="BU24" s="129">
        <f>IF(AE24="",0,IF(OR(ISNUMBER(SEARCH("дубль",AE24)),ISNUMBER(SEARCH("ПЕРЕГРУЗ",AE24)),ISNUMBER(SEARCH("ЗАЩИЩ",AE24)),ISNUMBER(SEARCH("КАНАЛ",AE24)),ISNUMBER(SEARCH("без 30",AE24))),2,1))</f>
      </c>
      <c r="BV24" s="129">
        <f>IF(R24="","",COUNTIF($R$3:R24,"?*"))</f>
      </c>
      <c r="BW24" s="129">
        <f>IF(AY24&lt;&gt;1,0,IF(MAX(IFERROR(--VLOOKUP(R24,УГО_спр,5,FALSE),0),IFERROR(--VLOOKUP(AL24,УГО_спр,5,FALSE),0),IFERROR(--VLOOKUP(LEFT(AL24,2),УГО_спр,5,FALSE),0))&gt;0,MAX(IFERROR(--VLOOKUP(R24,УГО_спр,5,FALSE),0),IFERROR(--VLOOKUP(AL24,УГО_спр,5,FALSE),0),IFERROR(--VLOOKUP(LEFT(AL24,2),УГО_спр,5,FALSE),0)),IF(IFERROR(--LEFT(SUBSTITUTE(BQ24,"x","х"),FIND("х",SUBSTITUTE(BQ24,"x","х"))-1),3)&gt;3,Каталог!$S$9,1)))</f>
      </c>
      <c r="BX24" s="129">
        <f>IF(AY24&lt;&gt;1,0,MAX(0,IFERROR(--LEFT(SUBSTITUTE(BQ24,"x","х"),FIND("х",SUBSTITUTE(BQ24,"x","х"))-1),3)-3*BW24))</f>
      </c>
      <c r="BY24" s="129">
        <f>IF(R24="","",IFERROR(VLOOKUP(R24,УГО_спр,2,FALSE),IFERROR(VLOOKUP(AL24,УГО_спр,2,FALSE),IFERROR(VLOOKUP(LEFT(AL24,2),УГО_спр,2,FALSE),""))))</f>
      </c>
    </row>
    <row r="25" spans="1:64" x14ac:dyDescent="0.3">
      <c r="A25" s="135">
        <f>IF(Разбивка_по_щитам!F25=0,"",Разбивка_по_щитам!F25)</f>
      </c>
      <c r="B25" s="138">
        <f>IF(A25="","",Разбивка_по_щитам!C25)</f>
      </c>
      <c r="C25" s="138">
        <f t="shared" si="0"/>
      </c>
      <c r="D25" s="266"/>
      <c r="E25" s="266"/>
      <c r="F25" s="267"/>
      <c r="G25" s="145">
        <f t="shared" si="40"/>
      </c>
      <c r="H25" s="145">
        <f t="shared" si="41"/>
      </c>
      <c r="I25" s="266"/>
      <c r="J25" s="267"/>
      <c r="K25" s="267"/>
      <c r="L25" s="266"/>
      <c r="M25" s="147">
        <f t="shared" si="42"/>
        <v/>
      </c>
      <c r="N25" s="267"/>
      <c r="O25" s="147">
        <f t="shared" si="43"/>
        <v/>
      </c>
      <c r="P25" s="268"/>
      <c r="Q25" s="152">
        <f>IF(R25="","",IFERROR(SUBSTITUTE(Разбивка_по_щитам!P25,CHAR(10)," "),""))</f>
      </c>
      <c r="R25" s="153">
        <f>IF(OR(Разбивка_по_щитам!H25="",Разбивка_по_щитам!H25=0),"",Разбивка_по_щитам!H25)</f>
      </c>
      <c r="S25" s="154">
        <f>IF(R25="","",IFERROR(Разбивка_по_щитам!J25&amp;"",""))</f>
      </c>
      <c r="T25" s="155">
        <f>IF(R25="","",IFERROR(--Разбивка_по_щитам!L25,""))</f>
      </c>
      <c r="U25" s="155">
        <f>IF(R25="","",IFERROR(--Разбивка_по_щитам!K25,""))</f>
      </c>
      <c r="V25" s="138">
        <f>IF(R25="","",IFERROR(IF(Разбивка_по_щитам!M25=0,"",Разбивка_по_щитам!M25),""))</f>
      </c>
      <c r="W25" s="156">
        <f t="shared" si="5"/>
      </c>
      <c r="X25" s="157">
        <f t="shared" si="6"/>
        <v/>
      </c>
      <c r="Y25" s="266"/>
      <c r="Z25" s="158">
        <f t="shared" si="7"/>
      </c>
      <c r="AA25" s="160">
        <f t="shared" si="8"/>
      </c>
      <c r="AB25" s="160">
        <f>IF(R25="","",IFERROR(LOOKUP(INDEX(Справочная!$I$4:$I$19,MATCH(VLOOKUP(R25,Исходные_данные,22,FALSE),Справочная!$J$4:$J$19,0)+1),{6,10,16,20,25,32,40,50,63,80,100,125}),""))</f>
      </c>
      <c r="AC25" s="160">
        <f t="shared" si="9"/>
        <v/>
      </c>
      <c r="AD25" s="161">
        <f t="shared" si="10"/>
      </c>
      <c r="AE25" s="161">
        <f>IF(AND(R25="",G25=""),"",_xlfn.TEXTJOIN("; ",TRUE,IF(AND(R25&lt;&gt;"",V25=""),"нет фазы",""),IF(AND(R25&lt;&gt;"",N(T25)=0),"нет мощности",""),IF(AND(P25&lt;&gt;"",COUNTIFS($A$3:$A$1000,A25,$P$3:$P$1000,P25)&gt;1),"дубль клеммы "&amp;P25,""),IF(AND(W25&lt;&gt;"",W25&lt;&gt;"ok"),W25,""),IF(X25&lt;&gt;"",X25,""),IF(AND(ISNUMBER(SEARCH("(5х",Q25)),N(AK25)=1),"5 жил на 1 фазе",""),IF(AND(AL25="R",E25&lt;&gt;"",N(AS25)=0),"розетка без 30 мА",""),IF(IFERROR(_xlfn.NUMBERVALUE(MID(Q25,FIND("-",Q25,FIND("L=",Q25))+1,FIND("%",Q25)-FIND("-",Q25,FIND("L=",Q25))-1),","),0)&gt;4,"потери &gt; 4 %","")))</f>
      </c>
      <c r="AF25" s="129">
        <f>IF(E25&lt;&gt;"",COUNTIFS($A$3:A25,A25,$E$3:E25,"?*"),IF(OR(A25&lt;&gt;A24,Y25="вручную"),"",AF24))</f>
      </c>
      <c r="AG25" s="129">
        <f t="shared" si="11"/>
      </c>
      <c r="AH25" s="129">
        <f t="shared" si="12"/>
        <v/>
      </c>
      <c r="AI25" s="129">
        <f t="shared" si="13"/>
        <v/>
      </c>
      <c r="AJ25" s="129">
        <f t="shared" si="14"/>
      </c>
      <c r="AK25" s="129">
        <f t="shared" si="15"/>
      </c>
      <c r="AL25" s="129">
        <f t="shared" si="16"/>
      </c>
      <c r="AM25" s="129">
        <f t="shared" si="17"/>
      </c>
      <c r="AN25" s="129">
        <f t="shared" si="18"/>
      </c>
      <c r="AO25" s="129">
        <f t="shared" si="19"/>
      </c>
      <c r="AP25" s="129">
        <f t="shared" si="20"/>
      </c>
      <c r="AQ25" s="129">
        <f t="shared" si="21"/>
      </c>
      <c r="AR25" s="129">
        <f t="shared" si="22"/>
      </c>
      <c r="AS25" s="129">
        <f t="shared" si="23"/>
      </c>
      <c r="AT25" s="129">
        <f t="shared" si="24"/>
      </c>
      <c r="AU25" s="129">
        <f t="shared" si="25"/>
      </c>
      <c r="AV25" s="129">
        <f t="shared" si="26"/>
        <v/>
      </c>
      <c r="AW25" s="129">
        <f>IF(AV25="","",AV25&amp;"."&amp;COUNTIFS($A$3:A25,A25,$AV$3:AV25,AV25))</f>
        <v/>
      </c>
      <c r="AX25" s="129">
        <f t="shared" si="27"/>
        <v/>
      </c>
      <c r="AY25" s="129">
        <f>IF(N25="б/к",0,IF(OR(ISNUMBER(SEARCH("L=",Разбивка_по_щитам!P25)),N25="+",N25="="),1,0))</f>
      </c>
      <c r="AZ25" s="129">
        <f t="shared" si="28"/>
        <v/>
      </c>
      <c r="BA25" s="129">
        <f t="shared" si="29"/>
      </c>
      <c r="BB25" s="129">
        <f t="shared" si="30"/>
      </c>
      <c r="BD25" s="129">
        <f t="shared" si="31"/>
      </c>
      <c r="BE25" s="129">
        <f t="shared" si="32"/>
      </c>
      <c r="BF25" s="129">
        <f t="shared" si="33"/>
      </c>
      <c r="BG25" s="129">
        <f t="shared" si="34"/>
        <v/>
      </c>
      <c r="BH25" s="129">
        <f t="shared" si="35"/>
        <v/>
      </c>
      <c r="BI25" s="129">
        <f t="shared" si="36"/>
        <v/>
      </c>
      <c r="BJ25" s="129">
        <f t="shared" si="37"/>
        <v/>
      </c>
      <c r="BK25" s="129">
        <f>IF(R25="","",IF(OR(BY25="",BY25=0),"BOX",IFERROR(IF(VLOOKUP(BY25,УГО_блоки,3,FALSE)&amp;""&lt;&gt;"",VLOOKUP(BY25,УГО_блоки,3,FALSE),VLOOKUP(BY25,УГО_блоки,2,FALSE)),BY25)))</f>
      </c>
      <c r="BL25" s="129">
        <f t="shared" si="39"/>
      </c>
      <c r="BM25" s="129">
        <f>IF(H25="","",IF(COUNTIF($H$3:H25,H25)=1,MAX($BM$2:BM24)+1,""))</f>
      </c>
      <c r="BN25" s="129">
        <f>IF(I25="","",IF(COUNTIF($I$3:I25,I25)+COUNTIF($J$2:J24,I25)+COUNTIF($K$2:K24,I25)=1,MAX($BN$2:BP24)+1,""))</f>
      </c>
      <c r="BO25" s="129">
        <f>IF(J25="","",IF(COUNTIF($I$3:I25,J25)+COUNTIF($J$3:J25,J25)+COUNTIF($K$2:K24,J25)=1,MAX($BN$2:BP24,BN25)+1,""))</f>
      </c>
      <c r="BP25" s="129">
        <f>IF(K25="","",IF(COUNTIF($I$3:I25,K25)+COUNTIF($J$3:J25,K25)+COUNTIF($K$3:K25,K25)=1,MAX($BN$2:BP24,BN25,BO25)+1,""))</f>
      </c>
      <c r="BQ25" s="129">
        <f>IF(AY25=1,IFERROR(MID(Q25,FIND(" (",Q25)+2,FIND(")",Q25,FIND(" (",Q25))-FIND(" (",Q25)-2),"?"),"")</f>
      </c>
      <c r="BR25" s="129">
        <f>IF(BQ25="","",IF(COUNTIF($BQ$3:BQ25,BQ25)=1,MAX($BR$2:BR24)+1,""))</f>
      </c>
      <c r="BS25" s="129">
        <f>IF(AW25="","",COUNTIF($AW$3:AW25,"?*"))</f>
      </c>
      <c r="BT25" s="129">
        <f>IF(OR(AW25="",AI25=""),"",IF(COUNTIFS($AW$3:AW25,"?*",$AI$3:AI25,AI25)=1,MAX($BT$2:BT24)+1,""))</f>
      </c>
      <c r="BU25" s="129">
        <f>IF(AE25="",0,IF(OR(ISNUMBER(SEARCH("дубль",AE25)),ISNUMBER(SEARCH("ПЕРЕГРУЗ",AE25)),ISNUMBER(SEARCH("ЗАЩИЩ",AE25)),ISNUMBER(SEARCH("КАНАЛ",AE25)),ISNUMBER(SEARCH("без 30",AE25))),2,1))</f>
      </c>
      <c r="BV25" s="129">
        <f>IF(R25="","",COUNTIF($R$3:R25,"?*"))</f>
      </c>
      <c r="BW25" s="129">
        <f>IF(AY25&lt;&gt;1,0,IF(MAX(IFERROR(--VLOOKUP(R25,УГО_спр,5,FALSE),0),IFERROR(--VLOOKUP(AL25,УГО_спр,5,FALSE),0),IFERROR(--VLOOKUP(LEFT(AL25,2),УГО_спр,5,FALSE),0))&gt;0,MAX(IFERROR(--VLOOKUP(R25,УГО_спр,5,FALSE),0),IFERROR(--VLOOKUP(AL25,УГО_спр,5,FALSE),0),IFERROR(--VLOOKUP(LEFT(AL25,2),УГО_спр,5,FALSE),0)),IF(IFERROR(--LEFT(SUBSTITUTE(BQ25,"x","х"),FIND("х",SUBSTITUTE(BQ25,"x","х"))-1),3)&gt;3,Каталог!$S$9,1)))</f>
      </c>
      <c r="BX25" s="129">
        <f>IF(AY25&lt;&gt;1,0,MAX(0,IFERROR(--LEFT(SUBSTITUTE(BQ25,"x","х"),FIND("х",SUBSTITUTE(BQ25,"x","х"))-1),3)-3*BW25))</f>
      </c>
      <c r="BY25" s="129">
        <f>IF(R25="","",IFERROR(VLOOKUP(R25,УГО_спр,2,FALSE),IFERROR(VLOOKUP(AL25,УГО_спр,2,FALSE),IFERROR(VLOOKUP(LEFT(AL25,2),УГО_спр,2,FALSE),""))))</f>
      </c>
    </row>
    <row r="26" spans="1:64" x14ac:dyDescent="0.3">
      <c r="A26" s="135">
        <f>IF(Разбивка_по_щитам!F26=0,"",Разбивка_по_щитам!F26)</f>
      </c>
      <c r="B26" s="138">
        <f>IF(A26="","",Разбивка_по_щитам!C26)</f>
      </c>
      <c r="C26" s="138">
        <f t="shared" si="0"/>
      </c>
      <c r="D26" s="266"/>
      <c r="E26" s="266"/>
      <c r="F26" s="267"/>
      <c r="G26" s="145">
        <f t="shared" si="40"/>
      </c>
      <c r="H26" s="145">
        <f t="shared" si="41"/>
      </c>
      <c r="I26" s="266"/>
      <c r="J26" s="267"/>
      <c r="K26" s="267"/>
      <c r="L26" s="266"/>
      <c r="M26" s="147">
        <f t="shared" si="42"/>
        <v/>
      </c>
      <c r="N26" s="267"/>
      <c r="O26" s="147">
        <f t="shared" si="43"/>
        <v/>
      </c>
      <c r="P26" s="268"/>
      <c r="Q26" s="152">
        <f>IF(R26="","",IFERROR(SUBSTITUTE(Разбивка_по_щитам!P26,CHAR(10)," "),""))</f>
      </c>
      <c r="R26" s="153">
        <f>IF(OR(Разбивка_по_щитам!H26="",Разбивка_по_щитам!H26=0),"",Разбивка_по_щитам!H26)</f>
      </c>
      <c r="S26" s="154">
        <f>IF(R26="","",IFERROR(Разбивка_по_щитам!J26&amp;"",""))</f>
      </c>
      <c r="T26" s="155">
        <f>IF(R26="","",IFERROR(--Разбивка_по_щитам!L26,""))</f>
      </c>
      <c r="U26" s="155">
        <f>IF(R26="","",IFERROR(--Разбивка_по_щитам!K26,""))</f>
      </c>
      <c r="V26" s="138">
        <f>IF(R26="","",IFERROR(IF(Разбивка_по_щитам!M26=0,"",Разбивка_по_щитам!M26),""))</f>
      </c>
      <c r="W26" s="156">
        <f t="shared" si="5"/>
      </c>
      <c r="X26" s="157">
        <f t="shared" si="6"/>
        <v/>
      </c>
      <c r="Y26" s="266"/>
      <c r="Z26" s="158">
        <f t="shared" si="7"/>
      </c>
      <c r="AA26" s="160">
        <f t="shared" si="8"/>
      </c>
      <c r="AB26" s="160">
        <f>IF(R26="","",IFERROR(LOOKUP(INDEX(Справочная!$I$4:$I$19,MATCH(VLOOKUP(R26,Исходные_данные,22,FALSE),Справочная!$J$4:$J$19,0)+1),{6,10,16,20,25,32,40,50,63,80,100,125}),""))</f>
      </c>
      <c r="AC26" s="160">
        <f t="shared" si="9"/>
        <v/>
      </c>
      <c r="AD26" s="161">
        <f t="shared" si="10"/>
      </c>
      <c r="AE26" s="161">
        <f>IF(AND(R26="",G26=""),"",_xlfn.TEXTJOIN("; ",TRUE,IF(AND(R26&lt;&gt;"",V26=""),"нет фазы",""),IF(AND(R26&lt;&gt;"",N(T26)=0),"нет мощности",""),IF(AND(P26&lt;&gt;"",COUNTIFS($A$3:$A$1000,A26,$P$3:$P$1000,P26)&gt;1),"дубль клеммы "&amp;P26,""),IF(AND(W26&lt;&gt;"",W26&lt;&gt;"ok"),W26,""),IF(X26&lt;&gt;"",X26,""),IF(AND(ISNUMBER(SEARCH("(5х",Q26)),N(AK26)=1),"5 жил на 1 фазе",""),IF(AND(AL26="R",E26&lt;&gt;"",N(AS26)=0),"розетка без 30 мА",""),IF(IFERROR(_xlfn.NUMBERVALUE(MID(Q26,FIND("-",Q26,FIND("L=",Q26))+1,FIND("%",Q26)-FIND("-",Q26,FIND("L=",Q26))-1),","),0)&gt;4,"потери &gt; 4 %","")))</f>
      </c>
      <c r="AF26" s="129">
        <f>IF(E26&lt;&gt;"",COUNTIFS($A$3:A26,A26,$E$3:E26,"?*"),IF(OR(A26&lt;&gt;A25,Y26="вручную"),"",AF25))</f>
      </c>
      <c r="AG26" s="129">
        <f t="shared" si="11"/>
      </c>
      <c r="AH26" s="129">
        <f t="shared" si="12"/>
        <v/>
      </c>
      <c r="AI26" s="129">
        <f t="shared" si="13"/>
        <v/>
      </c>
      <c r="AJ26" s="129">
        <f t="shared" si="14"/>
      </c>
      <c r="AK26" s="129">
        <f t="shared" si="15"/>
      </c>
      <c r="AL26" s="129">
        <f t="shared" si="16"/>
      </c>
      <c r="AM26" s="129">
        <f t="shared" si="17"/>
      </c>
      <c r="AN26" s="129">
        <f t="shared" si="18"/>
      </c>
      <c r="AO26" s="129">
        <f t="shared" si="19"/>
      </c>
      <c r="AP26" s="129">
        <f t="shared" si="20"/>
      </c>
      <c r="AQ26" s="129">
        <f t="shared" si="21"/>
      </c>
      <c r="AR26" s="129">
        <f t="shared" si="22"/>
      </c>
      <c r="AS26" s="129">
        <f t="shared" si="23"/>
      </c>
      <c r="AT26" s="129">
        <f t="shared" si="24"/>
      </c>
      <c r="AU26" s="129">
        <f t="shared" si="25"/>
      </c>
      <c r="AV26" s="129">
        <f t="shared" si="26"/>
        <v/>
      </c>
      <c r="AW26" s="129">
        <f>IF(AV26="","",AV26&amp;"."&amp;COUNTIFS($A$3:A26,A26,$AV$3:AV26,AV26))</f>
        <v/>
      </c>
      <c r="AX26" s="129">
        <f t="shared" si="27"/>
        <v/>
      </c>
      <c r="AY26" s="129">
        <f>IF(N26="б/к",0,IF(OR(ISNUMBER(SEARCH("L=",Разбивка_по_щитам!P26)),N26="+",N26="="),1,0))</f>
      </c>
      <c r="AZ26" s="129">
        <f t="shared" si="28"/>
        <v/>
      </c>
      <c r="BA26" s="129">
        <f t="shared" si="29"/>
      </c>
      <c r="BB26" s="129">
        <f t="shared" si="30"/>
      </c>
      <c r="BD26" s="129">
        <f t="shared" si="31"/>
      </c>
      <c r="BE26" s="129">
        <f t="shared" si="32"/>
      </c>
      <c r="BF26" s="129">
        <f t="shared" si="33"/>
      </c>
      <c r="BG26" s="129">
        <f t="shared" si="34"/>
        <v/>
      </c>
      <c r="BH26" s="129">
        <f t="shared" si="35"/>
        <v/>
      </c>
      <c r="BI26" s="129">
        <f t="shared" si="36"/>
        <v/>
      </c>
      <c r="BJ26" s="129">
        <f t="shared" si="37"/>
        <v/>
      </c>
      <c r="BK26" s="129">
        <f>IF(R26="","",IF(OR(BY26="",BY26=0),"BOX",IFERROR(IF(VLOOKUP(BY26,УГО_блоки,3,FALSE)&amp;""&lt;&gt;"",VLOOKUP(BY26,УГО_блоки,3,FALSE),VLOOKUP(BY26,УГО_блоки,2,FALSE)),BY26)))</f>
      </c>
      <c r="BL26" s="129">
        <f t="shared" si="39"/>
      </c>
      <c r="BM26" s="129">
        <f>IF(H26="","",IF(COUNTIF($H$3:H26,H26)=1,MAX($BM$2:BM25)+1,""))</f>
      </c>
      <c r="BN26" s="129">
        <f>IF(I26="","",IF(COUNTIF($I$3:I26,I26)+COUNTIF($J$2:J25,I26)+COUNTIF($K$2:K25,I26)=1,MAX($BN$2:BP25)+1,""))</f>
      </c>
      <c r="BO26" s="129">
        <f>IF(J26="","",IF(COUNTIF($I$3:I26,J26)+COUNTIF($J$3:J26,J26)+COUNTIF($K$2:K25,J26)=1,MAX($BN$2:BP25,BN26)+1,""))</f>
      </c>
      <c r="BP26" s="129">
        <f>IF(K26="","",IF(COUNTIF($I$3:I26,K26)+COUNTIF($J$3:J26,K26)+COUNTIF($K$3:K26,K26)=1,MAX($BN$2:BP25,BN26,BO26)+1,""))</f>
      </c>
      <c r="BQ26" s="129">
        <f>IF(AY26=1,IFERROR(MID(Q26,FIND(" (",Q26)+2,FIND(")",Q26,FIND(" (",Q26))-FIND(" (",Q26)-2),"?"),"")</f>
      </c>
      <c r="BR26" s="129">
        <f>IF(BQ26="","",IF(COUNTIF($BQ$3:BQ26,BQ26)=1,MAX($BR$2:BR25)+1,""))</f>
      </c>
      <c r="BS26" s="129">
        <f>IF(AW26="","",COUNTIF($AW$3:AW26,"?*"))</f>
      </c>
      <c r="BT26" s="129">
        <f>IF(OR(AW26="",AI26=""),"",IF(COUNTIFS($AW$3:AW26,"?*",$AI$3:AI26,AI26)=1,MAX($BT$2:BT25)+1,""))</f>
      </c>
      <c r="BU26" s="129">
        <f>IF(AE26="",0,IF(OR(ISNUMBER(SEARCH("дубль",AE26)),ISNUMBER(SEARCH("ПЕРЕГРУЗ",AE26)),ISNUMBER(SEARCH("ЗАЩИЩ",AE26)),ISNUMBER(SEARCH("КАНАЛ",AE26)),ISNUMBER(SEARCH("без 30",AE26))),2,1))</f>
      </c>
      <c r="BV26" s="129">
        <f>IF(R26="","",COUNTIF($R$3:R26,"?*"))</f>
      </c>
      <c r="BW26" s="129">
        <f>IF(AY26&lt;&gt;1,0,IF(MAX(IFERROR(--VLOOKUP(R26,УГО_спр,5,FALSE),0),IFERROR(--VLOOKUP(AL26,УГО_спр,5,FALSE),0),IFERROR(--VLOOKUP(LEFT(AL26,2),УГО_спр,5,FALSE),0))&gt;0,MAX(IFERROR(--VLOOKUP(R26,УГО_спр,5,FALSE),0),IFERROR(--VLOOKUP(AL26,УГО_спр,5,FALSE),0),IFERROR(--VLOOKUP(LEFT(AL26,2),УГО_спр,5,FALSE),0)),IF(IFERROR(--LEFT(SUBSTITUTE(BQ26,"x","х"),FIND("х",SUBSTITUTE(BQ26,"x","х"))-1),3)&gt;3,Каталог!$S$9,1)))</f>
      </c>
      <c r="BX26" s="129">
        <f>IF(AY26&lt;&gt;1,0,MAX(0,IFERROR(--LEFT(SUBSTITUTE(BQ26,"x","х"),FIND("х",SUBSTITUTE(BQ26,"x","х"))-1),3)-3*BW26))</f>
      </c>
      <c r="BY26" s="129">
        <f>IF(R26="","",IFERROR(VLOOKUP(R26,УГО_спр,2,FALSE),IFERROR(VLOOKUP(AL26,УГО_спр,2,FALSE),IFERROR(VLOOKUP(LEFT(AL26,2),УГО_спр,2,FALSE),""))))</f>
      </c>
    </row>
    <row r="27" spans="1:64" x14ac:dyDescent="0.3">
      <c r="A27" s="135">
        <f>IF(Разбивка_по_щитам!F27=0,"",Разбивка_по_щитам!F27)</f>
      </c>
      <c r="B27" s="138">
        <f>IF(A27="","",Разбивка_по_щитам!C27)</f>
      </c>
      <c r="C27" s="138">
        <f t="shared" si="0"/>
      </c>
      <c r="D27" s="266"/>
      <c r="E27" s="266"/>
      <c r="F27" s="267"/>
      <c r="G27" s="145">
        <f t="shared" si="40"/>
      </c>
      <c r="H27" s="145">
        <f t="shared" si="41"/>
      </c>
      <c r="I27" s="266"/>
      <c r="J27" s="267"/>
      <c r="K27" s="267"/>
      <c r="L27" s="266"/>
      <c r="M27" s="147">
        <f t="shared" si="42"/>
        <v/>
      </c>
      <c r="N27" s="267"/>
      <c r="O27" s="147">
        <f t="shared" si="43"/>
        <v/>
      </c>
      <c r="P27" s="268"/>
      <c r="Q27" s="152">
        <f>IF(R27="","",IFERROR(SUBSTITUTE(Разбивка_по_щитам!P27,CHAR(10)," "),""))</f>
      </c>
      <c r="R27" s="153">
        <f>IF(OR(Разбивка_по_щитам!H27="",Разбивка_по_щитам!H27=0),"",Разбивка_по_щитам!H27)</f>
      </c>
      <c r="S27" s="154">
        <f>IF(R27="","",IFERROR(Разбивка_по_щитам!J27&amp;"",""))</f>
      </c>
      <c r="T27" s="155">
        <f>IF(R27="","",IFERROR(--Разбивка_по_щитам!L27,""))</f>
      </c>
      <c r="U27" s="155">
        <f>IF(R27="","",IFERROR(--Разбивка_по_щитам!K27,""))</f>
      </c>
      <c r="V27" s="138">
        <f>IF(R27="","",IFERROR(IF(Разбивка_по_щитам!M27=0,"",Разбивка_по_щитам!M27),""))</f>
      </c>
      <c r="W27" s="156">
        <f t="shared" si="5"/>
      </c>
      <c r="X27" s="157">
        <f t="shared" si="6"/>
        <v/>
      </c>
      <c r="Y27" s="266"/>
      <c r="Z27" s="158">
        <f t="shared" si="7"/>
      </c>
      <c r="AA27" s="160">
        <f t="shared" si="8"/>
      </c>
      <c r="AB27" s="160">
        <f>IF(R27="","",IFERROR(LOOKUP(INDEX(Справочная!$I$4:$I$19,MATCH(VLOOKUP(R27,Исходные_данные,22,FALSE),Справочная!$J$4:$J$19,0)+1),{6,10,16,20,25,32,40,50,63,80,100,125}),""))</f>
      </c>
      <c r="AC27" s="160">
        <f t="shared" si="9"/>
        <v/>
      </c>
      <c r="AD27" s="161">
        <f t="shared" si="10"/>
      </c>
      <c r="AE27" s="161">
        <f>IF(AND(R27="",G27=""),"",_xlfn.TEXTJOIN("; ",TRUE,IF(AND(R27&lt;&gt;"",V27=""),"нет фазы",""),IF(AND(R27&lt;&gt;"",N(T27)=0),"нет мощности",""),IF(AND(P27&lt;&gt;"",COUNTIFS($A$3:$A$1000,A27,$P$3:$P$1000,P27)&gt;1),"дубль клеммы "&amp;P27,""),IF(AND(W27&lt;&gt;"",W27&lt;&gt;"ok"),W27,""),IF(X27&lt;&gt;"",X27,""),IF(AND(ISNUMBER(SEARCH("(5х",Q27)),N(AK27)=1),"5 жил на 1 фазе",""),IF(AND(AL27="R",E27&lt;&gt;"",N(AS27)=0),"розетка без 30 мА",""),IF(IFERROR(_xlfn.NUMBERVALUE(MID(Q27,FIND("-",Q27,FIND("L=",Q27))+1,FIND("%",Q27)-FIND("-",Q27,FIND("L=",Q27))-1),","),0)&gt;4,"потери &gt; 4 %","")))</f>
      </c>
      <c r="AF27" s="129">
        <f>IF(E27&lt;&gt;"",COUNTIFS($A$3:A27,A27,$E$3:E27,"?*"),IF(OR(A27&lt;&gt;A26,Y27="вручную"),"",AF26))</f>
      </c>
      <c r="AG27" s="129">
        <f t="shared" si="11"/>
      </c>
      <c r="AH27" s="129">
        <f t="shared" si="12"/>
        <v/>
      </c>
      <c r="AI27" s="129">
        <f t="shared" si="13"/>
        <v/>
      </c>
      <c r="AJ27" s="129">
        <f t="shared" si="14"/>
      </c>
      <c r="AK27" s="129">
        <f t="shared" si="15"/>
      </c>
      <c r="AL27" s="129">
        <f t="shared" si="16"/>
      </c>
      <c r="AM27" s="129">
        <f t="shared" si="17"/>
      </c>
      <c r="AN27" s="129">
        <f t="shared" si="18"/>
      </c>
      <c r="AO27" s="129">
        <f t="shared" si="19"/>
      </c>
      <c r="AP27" s="129">
        <f t="shared" si="20"/>
      </c>
      <c r="AQ27" s="129">
        <f t="shared" si="21"/>
      </c>
      <c r="AR27" s="129">
        <f t="shared" si="22"/>
      </c>
      <c r="AS27" s="129">
        <f t="shared" si="23"/>
      </c>
      <c r="AT27" s="129">
        <f t="shared" si="24"/>
      </c>
      <c r="AU27" s="129">
        <f t="shared" si="25"/>
      </c>
      <c r="AV27" s="129">
        <f t="shared" si="26"/>
        <v/>
      </c>
      <c r="AW27" s="129">
        <f>IF(AV27="","",AV27&amp;"."&amp;COUNTIFS($A$3:A27,A27,$AV$3:AV27,AV27))</f>
        <v/>
      </c>
      <c r="AX27" s="129">
        <f t="shared" si="27"/>
        <v/>
      </c>
      <c r="AY27" s="129">
        <f>IF(N27="б/к",0,IF(OR(ISNUMBER(SEARCH("L=",Разбивка_по_щитам!P27)),N27="+",N27="="),1,0))</f>
      </c>
      <c r="AZ27" s="129">
        <f t="shared" si="28"/>
        <v/>
      </c>
      <c r="BA27" s="129">
        <f t="shared" si="29"/>
      </c>
      <c r="BB27" s="129">
        <f t="shared" si="30"/>
      </c>
      <c r="BD27" s="129">
        <f t="shared" si="31"/>
      </c>
      <c r="BE27" s="129">
        <f t="shared" si="32"/>
      </c>
      <c r="BF27" s="129">
        <f t="shared" si="33"/>
      </c>
      <c r="BG27" s="129">
        <f t="shared" si="34"/>
        <v/>
      </c>
      <c r="BH27" s="129">
        <f t="shared" si="35"/>
        <v/>
      </c>
      <c r="BI27" s="129">
        <f t="shared" si="36"/>
        <v/>
      </c>
      <c r="BJ27" s="129">
        <f t="shared" si="37"/>
        <v/>
      </c>
      <c r="BK27" s="129">
        <f>IF(R27="","",IF(OR(BY27="",BY27=0),"BOX",IFERROR(IF(VLOOKUP(BY27,УГО_блоки,3,FALSE)&amp;""&lt;&gt;"",VLOOKUP(BY27,УГО_блоки,3,FALSE),VLOOKUP(BY27,УГО_блоки,2,FALSE)),BY27)))</f>
      </c>
      <c r="BL27" s="129">
        <f t="shared" si="39"/>
      </c>
      <c r="BM27" s="129">
        <f>IF(H27="","",IF(COUNTIF($H$3:H27,H27)=1,MAX($BM$2:BM26)+1,""))</f>
      </c>
      <c r="BN27" s="129">
        <f>IF(I27="","",IF(COUNTIF($I$3:I27,I27)+COUNTIF($J$2:J26,I27)+COUNTIF($K$2:K26,I27)=1,MAX($BN$2:BP26)+1,""))</f>
      </c>
      <c r="BO27" s="129">
        <f>IF(J27="","",IF(COUNTIF($I$3:I27,J27)+COUNTIF($J$3:J27,J27)+COUNTIF($K$2:K26,J27)=1,MAX($BN$2:BP26,BN27)+1,""))</f>
      </c>
      <c r="BP27" s="129">
        <f>IF(K27="","",IF(COUNTIF($I$3:I27,K27)+COUNTIF($J$3:J27,K27)+COUNTIF($K$3:K27,K27)=1,MAX($BN$2:BP26,BN27,BO27)+1,""))</f>
      </c>
      <c r="BQ27" s="129">
        <f>IF(AY27=1,IFERROR(MID(Q27,FIND(" (",Q27)+2,FIND(")",Q27,FIND(" (",Q27))-FIND(" (",Q27)-2),"?"),"")</f>
      </c>
      <c r="BR27" s="129">
        <f>IF(BQ27="","",IF(COUNTIF($BQ$3:BQ27,BQ27)=1,MAX($BR$2:BR26)+1,""))</f>
      </c>
      <c r="BS27" s="129">
        <f>IF(AW27="","",COUNTIF($AW$3:AW27,"?*"))</f>
      </c>
      <c r="BT27" s="129">
        <f>IF(OR(AW27="",AI27=""),"",IF(COUNTIFS($AW$3:AW27,"?*",$AI$3:AI27,AI27)=1,MAX($BT$2:BT26)+1,""))</f>
      </c>
      <c r="BU27" s="129">
        <f>IF(AE27="",0,IF(OR(ISNUMBER(SEARCH("дубль",AE27)),ISNUMBER(SEARCH("ПЕРЕГРУЗ",AE27)),ISNUMBER(SEARCH("ЗАЩИЩ",AE27)),ISNUMBER(SEARCH("КАНАЛ",AE27)),ISNUMBER(SEARCH("без 30",AE27))),2,1))</f>
      </c>
      <c r="BV27" s="129">
        <f>IF(R27="","",COUNTIF($R$3:R27,"?*"))</f>
      </c>
      <c r="BW27" s="129">
        <f>IF(AY27&lt;&gt;1,0,IF(MAX(IFERROR(--VLOOKUP(R27,УГО_спр,5,FALSE),0),IFERROR(--VLOOKUP(AL27,УГО_спр,5,FALSE),0),IFERROR(--VLOOKUP(LEFT(AL27,2),УГО_спр,5,FALSE),0))&gt;0,MAX(IFERROR(--VLOOKUP(R27,УГО_спр,5,FALSE),0),IFERROR(--VLOOKUP(AL27,УГО_спр,5,FALSE),0),IFERROR(--VLOOKUP(LEFT(AL27,2),УГО_спр,5,FALSE),0)),IF(IFERROR(--LEFT(SUBSTITUTE(BQ27,"x","х"),FIND("х",SUBSTITUTE(BQ27,"x","х"))-1),3)&gt;3,Каталог!$S$9,1)))</f>
      </c>
      <c r="BX27" s="129">
        <f>IF(AY27&lt;&gt;1,0,MAX(0,IFERROR(--LEFT(SUBSTITUTE(BQ27,"x","х"),FIND("х",SUBSTITUTE(BQ27,"x","х"))-1),3)-3*BW27))</f>
      </c>
      <c r="BY27" s="129">
        <f>IF(R27="","",IFERROR(VLOOKUP(R27,УГО_спр,2,FALSE),IFERROR(VLOOKUP(AL27,УГО_спр,2,FALSE),IFERROR(VLOOKUP(LEFT(AL27,2),УГО_спр,2,FALSE),""))))</f>
      </c>
    </row>
    <row r="28" spans="1:64" x14ac:dyDescent="0.3">
      <c r="A28" s="135">
        <f>IF(Разбивка_по_щитам!F28=0,"",Разбивка_по_щитам!F28)</f>
      </c>
      <c r="B28" s="138">
        <f>IF(A28="","",Разбивка_по_щитам!C28)</f>
      </c>
      <c r="C28" s="138">
        <f t="shared" si="0"/>
      </c>
      <c r="D28" s="266"/>
      <c r="E28" s="266"/>
      <c r="F28" s="267"/>
      <c r="G28" s="145">
        <f t="shared" si="40"/>
      </c>
      <c r="H28" s="145">
        <f t="shared" si="41"/>
      </c>
      <c r="I28" s="266"/>
      <c r="J28" s="267"/>
      <c r="K28" s="267"/>
      <c r="L28" s="266"/>
      <c r="M28" s="147">
        <f t="shared" si="42"/>
        <v/>
      </c>
      <c r="N28" s="267"/>
      <c r="O28" s="147">
        <f t="shared" si="43"/>
        <v/>
      </c>
      <c r="P28" s="268"/>
      <c r="Q28" s="152">
        <f>IF(R28="","",IFERROR(SUBSTITUTE(Разбивка_по_щитам!P28,CHAR(10)," "),""))</f>
      </c>
      <c r="R28" s="153">
        <f>IF(OR(Разбивка_по_щитам!H28="",Разбивка_по_щитам!H28=0),"",Разбивка_по_щитам!H28)</f>
      </c>
      <c r="S28" s="154">
        <f>IF(R28="","",IFERROR(Разбивка_по_щитам!J28&amp;"",""))</f>
      </c>
      <c r="T28" s="155">
        <f>IF(R28="","",IFERROR(--Разбивка_по_щитам!L28,""))</f>
      </c>
      <c r="U28" s="155">
        <f>IF(R28="","",IFERROR(--Разбивка_по_щитам!K28,""))</f>
      </c>
      <c r="V28" s="138">
        <f>IF(R28="","",IFERROR(IF(Разбивка_по_щитам!M28=0,"",Разбивка_по_щитам!M28),""))</f>
      </c>
      <c r="W28" s="156">
        <f t="shared" si="5"/>
      </c>
      <c r="X28" s="157">
        <f t="shared" si="6"/>
        <v/>
      </c>
      <c r="Y28" s="266"/>
      <c r="Z28" s="158">
        <f t="shared" si="7"/>
      </c>
      <c r="AA28" s="160">
        <f t="shared" si="8"/>
      </c>
      <c r="AB28" s="160">
        <f>IF(R28="","",IFERROR(LOOKUP(INDEX(Справочная!$I$4:$I$19,MATCH(VLOOKUP(R28,Исходные_данные,22,FALSE),Справочная!$J$4:$J$19,0)+1),{6,10,16,20,25,32,40,50,63,80,100,125}),""))</f>
      </c>
      <c r="AC28" s="160">
        <f t="shared" si="9"/>
        <v/>
      </c>
      <c r="AD28" s="161">
        <f t="shared" si="10"/>
      </c>
      <c r="AE28" s="161">
        <f>IF(AND(R28="",G28=""),"",_xlfn.TEXTJOIN("; ",TRUE,IF(AND(R28&lt;&gt;"",V28=""),"нет фазы",""),IF(AND(R28&lt;&gt;"",N(T28)=0),"нет мощности",""),IF(AND(P28&lt;&gt;"",COUNTIFS($A$3:$A$1000,A28,$P$3:$P$1000,P28)&gt;1),"дубль клеммы "&amp;P28,""),IF(AND(W28&lt;&gt;"",W28&lt;&gt;"ok"),W28,""),IF(X28&lt;&gt;"",X28,""),IF(AND(ISNUMBER(SEARCH("(5х",Q28)),N(AK28)=1),"5 жил на 1 фазе",""),IF(AND(AL28="R",E28&lt;&gt;"",N(AS28)=0),"розетка без 30 мА",""),IF(IFERROR(_xlfn.NUMBERVALUE(MID(Q28,FIND("-",Q28,FIND("L=",Q28))+1,FIND("%",Q28)-FIND("-",Q28,FIND("L=",Q28))-1),","),0)&gt;4,"потери &gt; 4 %","")))</f>
      </c>
      <c r="AF28" s="129">
        <f>IF(E28&lt;&gt;"",COUNTIFS($A$3:A28,A28,$E$3:E28,"?*"),IF(OR(A28&lt;&gt;A27,Y28="вручную"),"",AF27))</f>
      </c>
      <c r="AG28" s="129">
        <f t="shared" si="11"/>
      </c>
      <c r="AH28" s="129">
        <f t="shared" si="12"/>
        <v/>
      </c>
      <c r="AI28" s="129">
        <f t="shared" si="13"/>
        <v/>
      </c>
      <c r="AJ28" s="129">
        <f t="shared" si="14"/>
      </c>
      <c r="AK28" s="129">
        <f t="shared" si="15"/>
      </c>
      <c r="AL28" s="129">
        <f t="shared" si="16"/>
      </c>
      <c r="AM28" s="129">
        <f t="shared" si="17"/>
      </c>
      <c r="AN28" s="129">
        <f t="shared" si="18"/>
      </c>
      <c r="AO28" s="129">
        <f t="shared" si="19"/>
      </c>
      <c r="AP28" s="129">
        <f t="shared" si="20"/>
      </c>
      <c r="AQ28" s="129">
        <f t="shared" si="21"/>
      </c>
      <c r="AR28" s="129">
        <f t="shared" si="22"/>
      </c>
      <c r="AS28" s="129">
        <f t="shared" si="23"/>
      </c>
      <c r="AT28" s="129">
        <f t="shared" si="24"/>
      </c>
      <c r="AU28" s="129">
        <f t="shared" si="25"/>
      </c>
      <c r="AV28" s="129">
        <f t="shared" si="26"/>
        <v/>
      </c>
      <c r="AW28" s="129">
        <f>IF(AV28="","",AV28&amp;"."&amp;COUNTIFS($A$3:A28,A28,$AV$3:AV28,AV28))</f>
        <v/>
      </c>
      <c r="AX28" s="129">
        <f t="shared" si="27"/>
        <v/>
      </c>
      <c r="AY28" s="129">
        <f>IF(N28="б/к",0,IF(OR(ISNUMBER(SEARCH("L=",Разбивка_по_щитам!P28)),N28="+",N28="="),1,0))</f>
      </c>
      <c r="AZ28" s="129">
        <f t="shared" si="28"/>
        <v/>
      </c>
      <c r="BA28" s="129">
        <f t="shared" si="29"/>
      </c>
      <c r="BB28" s="129">
        <f t="shared" si="30"/>
      </c>
      <c r="BD28" s="129">
        <f t="shared" si="31"/>
      </c>
      <c r="BE28" s="129">
        <f t="shared" si="32"/>
      </c>
      <c r="BF28" s="129">
        <f t="shared" si="33"/>
      </c>
      <c r="BG28" s="129">
        <f t="shared" si="34"/>
        <v/>
      </c>
      <c r="BH28" s="129">
        <f t="shared" si="35"/>
        <v/>
      </c>
      <c r="BI28" s="129">
        <f t="shared" si="36"/>
        <v/>
      </c>
      <c r="BJ28" s="129">
        <f t="shared" si="37"/>
        <v/>
      </c>
      <c r="BK28" s="129">
        <f>IF(R28="","",IF(OR(BY28="",BY28=0),"BOX",IFERROR(IF(VLOOKUP(BY28,УГО_блоки,3,FALSE)&amp;""&lt;&gt;"",VLOOKUP(BY28,УГО_блоки,3,FALSE),VLOOKUP(BY28,УГО_блоки,2,FALSE)),BY28)))</f>
      </c>
      <c r="BL28" s="129">
        <f t="shared" si="39"/>
      </c>
      <c r="BM28" s="129">
        <f>IF(H28="","",IF(COUNTIF($H$3:H28,H28)=1,MAX($BM$2:BM27)+1,""))</f>
      </c>
      <c r="BN28" s="129">
        <f>IF(I28="","",IF(COUNTIF($I$3:I28,I28)+COUNTIF($J$2:J27,I28)+COUNTIF($K$2:K27,I28)=1,MAX($BN$2:BP27)+1,""))</f>
      </c>
      <c r="BO28" s="129">
        <f>IF(J28="","",IF(COUNTIF($I$3:I28,J28)+COUNTIF($J$3:J28,J28)+COUNTIF($K$2:K27,J28)=1,MAX($BN$2:BP27,BN28)+1,""))</f>
      </c>
      <c r="BP28" s="129">
        <f>IF(K28="","",IF(COUNTIF($I$3:I28,K28)+COUNTIF($J$3:J28,K28)+COUNTIF($K$3:K28,K28)=1,MAX($BN$2:BP27,BN28,BO28)+1,""))</f>
      </c>
      <c r="BQ28" s="129">
        <f>IF(AY28=1,IFERROR(MID(Q28,FIND(" (",Q28)+2,FIND(")",Q28,FIND(" (",Q28))-FIND(" (",Q28)-2),"?"),"")</f>
      </c>
      <c r="BR28" s="129">
        <f>IF(BQ28="","",IF(COUNTIF($BQ$3:BQ28,BQ28)=1,MAX($BR$2:BR27)+1,""))</f>
      </c>
      <c r="BS28" s="129">
        <f>IF(AW28="","",COUNTIF($AW$3:AW28,"?*"))</f>
      </c>
      <c r="BT28" s="129">
        <f>IF(OR(AW28="",AI28=""),"",IF(COUNTIFS($AW$3:AW28,"?*",$AI$3:AI28,AI28)=1,MAX($BT$2:BT27)+1,""))</f>
      </c>
      <c r="BU28" s="129">
        <f>IF(AE28="",0,IF(OR(ISNUMBER(SEARCH("дубль",AE28)),ISNUMBER(SEARCH("ПЕРЕГРУЗ",AE28)),ISNUMBER(SEARCH("ЗАЩИЩ",AE28)),ISNUMBER(SEARCH("КАНАЛ",AE28)),ISNUMBER(SEARCH("без 30",AE28))),2,1))</f>
      </c>
      <c r="BV28" s="129">
        <f>IF(R28="","",COUNTIF($R$3:R28,"?*"))</f>
      </c>
      <c r="BW28" s="129">
        <f>IF(AY28&lt;&gt;1,0,IF(MAX(IFERROR(--VLOOKUP(R28,УГО_спр,5,FALSE),0),IFERROR(--VLOOKUP(AL28,УГО_спр,5,FALSE),0),IFERROR(--VLOOKUP(LEFT(AL28,2),УГО_спр,5,FALSE),0))&gt;0,MAX(IFERROR(--VLOOKUP(R28,УГО_спр,5,FALSE),0),IFERROR(--VLOOKUP(AL28,УГО_спр,5,FALSE),0),IFERROR(--VLOOKUP(LEFT(AL28,2),УГО_спр,5,FALSE),0)),IF(IFERROR(--LEFT(SUBSTITUTE(BQ28,"x","х"),FIND("х",SUBSTITUTE(BQ28,"x","х"))-1),3)&gt;3,Каталог!$S$9,1)))</f>
      </c>
      <c r="BX28" s="129">
        <f>IF(AY28&lt;&gt;1,0,MAX(0,IFERROR(--LEFT(SUBSTITUTE(BQ28,"x","х"),FIND("х",SUBSTITUTE(BQ28,"x","х"))-1),3)-3*BW28))</f>
      </c>
      <c r="BY28" s="129">
        <f>IF(R28="","",IFERROR(VLOOKUP(R28,УГО_спр,2,FALSE),IFERROR(VLOOKUP(AL28,УГО_спр,2,FALSE),IFERROR(VLOOKUP(LEFT(AL28,2),УГО_спр,2,FALSE),""))))</f>
      </c>
    </row>
    <row r="29" spans="1:64" x14ac:dyDescent="0.3">
      <c r="A29" s="135">
        <f>IF(Разбивка_по_щитам!F29=0,"",Разбивка_по_щитам!F29)</f>
      </c>
      <c r="B29" s="138">
        <f>IF(A29="","",Разбивка_по_щитам!C29)</f>
      </c>
      <c r="C29" s="138">
        <f t="shared" si="0"/>
      </c>
      <c r="D29" s="266"/>
      <c r="E29" s="266"/>
      <c r="F29" s="267"/>
      <c r="G29" s="145">
        <f t="shared" si="40"/>
      </c>
      <c r="H29" s="145">
        <f t="shared" si="41"/>
      </c>
      <c r="I29" s="266"/>
      <c r="J29" s="267"/>
      <c r="K29" s="267"/>
      <c r="L29" s="266"/>
      <c r="M29" s="147">
        <f t="shared" si="42"/>
        <v/>
      </c>
      <c r="N29" s="267"/>
      <c r="O29" s="147">
        <f t="shared" si="43"/>
        <v/>
      </c>
      <c r="P29" s="268"/>
      <c r="Q29" s="152">
        <f>IF(R29="","",IFERROR(SUBSTITUTE(Разбивка_по_щитам!P29,CHAR(10)," "),""))</f>
      </c>
      <c r="R29" s="153">
        <f>IF(OR(Разбивка_по_щитам!H29="",Разбивка_по_щитам!H29=0),"",Разбивка_по_щитам!H29)</f>
      </c>
      <c r="S29" s="154">
        <f>IF(R29="","",IFERROR(Разбивка_по_щитам!J29&amp;"",""))</f>
      </c>
      <c r="T29" s="155">
        <f>IF(R29="","",IFERROR(--Разбивка_по_щитам!L29,""))</f>
      </c>
      <c r="U29" s="155">
        <f>IF(R29="","",IFERROR(--Разбивка_по_щитам!K29,""))</f>
      </c>
      <c r="V29" s="138">
        <f>IF(R29="","",IFERROR(IF(Разбивка_по_щитам!M29=0,"",Разбивка_по_щитам!M29),""))</f>
      </c>
      <c r="W29" s="156">
        <f t="shared" si="5"/>
      </c>
      <c r="X29" s="157">
        <f t="shared" si="6"/>
        <v/>
      </c>
      <c r="Y29" s="266"/>
      <c r="Z29" s="158">
        <f t="shared" si="7"/>
      </c>
      <c r="AA29" s="160">
        <f t="shared" si="8"/>
      </c>
      <c r="AB29" s="160">
        <f>IF(R29="","",IFERROR(LOOKUP(INDEX(Справочная!$I$4:$I$19,MATCH(VLOOKUP(R29,Исходные_данные,22,FALSE),Справочная!$J$4:$J$19,0)+1),{6,10,16,20,25,32,40,50,63,80,100,125}),""))</f>
      </c>
      <c r="AC29" s="160">
        <f t="shared" si="9"/>
        <v/>
      </c>
      <c r="AD29" s="161">
        <f t="shared" si="10"/>
      </c>
      <c r="AE29" s="161">
        <f>IF(AND(R29="",G29=""),"",_xlfn.TEXTJOIN("; ",TRUE,IF(AND(R29&lt;&gt;"",V29=""),"нет фазы",""),IF(AND(R29&lt;&gt;"",N(T29)=0),"нет мощности",""),IF(AND(P29&lt;&gt;"",COUNTIFS($A$3:$A$1000,A29,$P$3:$P$1000,P29)&gt;1),"дубль клеммы "&amp;P29,""),IF(AND(W29&lt;&gt;"",W29&lt;&gt;"ok"),W29,""),IF(X29&lt;&gt;"",X29,""),IF(AND(ISNUMBER(SEARCH("(5х",Q29)),N(AK29)=1),"5 жил на 1 фазе",""),IF(AND(AL29="R",E29&lt;&gt;"",N(AS29)=0),"розетка без 30 мА",""),IF(IFERROR(_xlfn.NUMBERVALUE(MID(Q29,FIND("-",Q29,FIND("L=",Q29))+1,FIND("%",Q29)-FIND("-",Q29,FIND("L=",Q29))-1),","),0)&gt;4,"потери &gt; 4 %","")))</f>
      </c>
      <c r="AF29" s="129">
        <f>IF(E29&lt;&gt;"",COUNTIFS($A$3:A29,A29,$E$3:E29,"?*"),IF(OR(A29&lt;&gt;A28,Y29="вручную"),"",AF28))</f>
      </c>
      <c r="AG29" s="129">
        <f t="shared" si="11"/>
      </c>
      <c r="AH29" s="129">
        <f t="shared" si="12"/>
        <v/>
      </c>
      <c r="AI29" s="129">
        <f t="shared" si="13"/>
        <v/>
      </c>
      <c r="AJ29" s="129">
        <f t="shared" si="14"/>
      </c>
      <c r="AK29" s="129">
        <f t="shared" si="15"/>
      </c>
      <c r="AL29" s="129">
        <f t="shared" si="16"/>
      </c>
      <c r="AM29" s="129">
        <f t="shared" si="17"/>
      </c>
      <c r="AN29" s="129">
        <f t="shared" si="18"/>
      </c>
      <c r="AO29" s="129">
        <f t="shared" si="19"/>
      </c>
      <c r="AP29" s="129">
        <f t="shared" si="20"/>
      </c>
      <c r="AQ29" s="129">
        <f t="shared" si="21"/>
      </c>
      <c r="AR29" s="129">
        <f t="shared" si="22"/>
      </c>
      <c r="AS29" s="129">
        <f t="shared" si="23"/>
      </c>
      <c r="AT29" s="129">
        <f t="shared" si="24"/>
      </c>
      <c r="AU29" s="129">
        <f t="shared" si="25"/>
      </c>
      <c r="AV29" s="129">
        <f t="shared" si="26"/>
        <v/>
      </c>
      <c r="AW29" s="129">
        <f>IF(AV29="","",AV29&amp;"."&amp;COUNTIFS($A$3:A29,A29,$AV$3:AV29,AV29))</f>
        <v/>
      </c>
      <c r="AX29" s="129">
        <f t="shared" si="27"/>
        <v/>
      </c>
      <c r="AY29" s="129">
        <f>IF(N29="б/к",0,IF(OR(ISNUMBER(SEARCH("L=",Разбивка_по_щитам!P29)),N29="+",N29="="),1,0))</f>
      </c>
      <c r="AZ29" s="129">
        <f t="shared" si="28"/>
        <v/>
      </c>
      <c r="BA29" s="129">
        <f t="shared" si="29"/>
      </c>
      <c r="BB29" s="129">
        <f t="shared" si="30"/>
      </c>
      <c r="BD29" s="129">
        <f t="shared" si="31"/>
      </c>
      <c r="BE29" s="129">
        <f t="shared" si="32"/>
      </c>
      <c r="BF29" s="129">
        <f t="shared" si="33"/>
      </c>
      <c r="BG29" s="129">
        <f t="shared" si="34"/>
        <v/>
      </c>
      <c r="BH29" s="129">
        <f t="shared" si="35"/>
        <v/>
      </c>
      <c r="BI29" s="129">
        <f t="shared" si="36"/>
        <v/>
      </c>
      <c r="BJ29" s="129">
        <f t="shared" si="37"/>
        <v/>
      </c>
      <c r="BK29" s="129">
        <f>IF(R29="","",IF(OR(BY29="",BY29=0),"BOX",IFERROR(IF(VLOOKUP(BY29,УГО_блоки,3,FALSE)&amp;""&lt;&gt;"",VLOOKUP(BY29,УГО_блоки,3,FALSE),VLOOKUP(BY29,УГО_блоки,2,FALSE)),BY29)))</f>
      </c>
      <c r="BL29" s="129">
        <f t="shared" si="39"/>
      </c>
      <c r="BM29" s="129">
        <f>IF(H29="","",IF(COUNTIF($H$3:H29,H29)=1,MAX($BM$2:BM28)+1,""))</f>
      </c>
      <c r="BN29" s="129">
        <f>IF(I29="","",IF(COUNTIF($I$3:I29,I29)+COUNTIF($J$2:J28,I29)+COUNTIF($K$2:K28,I29)=1,MAX($BN$2:BP28)+1,""))</f>
      </c>
      <c r="BO29" s="129">
        <f>IF(J29="","",IF(COUNTIF($I$3:I29,J29)+COUNTIF($J$3:J29,J29)+COUNTIF($K$2:K28,J29)=1,MAX($BN$2:BP28,BN29)+1,""))</f>
      </c>
      <c r="BP29" s="129">
        <f>IF(K29="","",IF(COUNTIF($I$3:I29,K29)+COUNTIF($J$3:J29,K29)+COUNTIF($K$3:K29,K29)=1,MAX($BN$2:BP28,BN29,BO29)+1,""))</f>
      </c>
      <c r="BQ29" s="129">
        <f>IF(AY29=1,IFERROR(MID(Q29,FIND(" (",Q29)+2,FIND(")",Q29,FIND(" (",Q29))-FIND(" (",Q29)-2),"?"),"")</f>
      </c>
      <c r="BR29" s="129">
        <f>IF(BQ29="","",IF(COUNTIF($BQ$3:BQ29,BQ29)=1,MAX($BR$2:BR28)+1,""))</f>
      </c>
      <c r="BS29" s="129">
        <f>IF(AW29="","",COUNTIF($AW$3:AW29,"?*"))</f>
      </c>
      <c r="BT29" s="129">
        <f>IF(OR(AW29="",AI29=""),"",IF(COUNTIFS($AW$3:AW29,"?*",$AI$3:AI29,AI29)=1,MAX($BT$2:BT28)+1,""))</f>
      </c>
      <c r="BU29" s="129">
        <f>IF(AE29="",0,IF(OR(ISNUMBER(SEARCH("дубль",AE29)),ISNUMBER(SEARCH("ПЕРЕГРУЗ",AE29)),ISNUMBER(SEARCH("ЗАЩИЩ",AE29)),ISNUMBER(SEARCH("КАНАЛ",AE29)),ISNUMBER(SEARCH("без 30",AE29))),2,1))</f>
      </c>
      <c r="BV29" s="129">
        <f>IF(R29="","",COUNTIF($R$3:R29,"?*"))</f>
      </c>
      <c r="BW29" s="129">
        <f>IF(AY29&lt;&gt;1,0,IF(MAX(IFERROR(--VLOOKUP(R29,УГО_спр,5,FALSE),0),IFERROR(--VLOOKUP(AL29,УГО_спр,5,FALSE),0),IFERROR(--VLOOKUP(LEFT(AL29,2),УГО_спр,5,FALSE),0))&gt;0,MAX(IFERROR(--VLOOKUP(R29,УГО_спр,5,FALSE),0),IFERROR(--VLOOKUP(AL29,УГО_спр,5,FALSE),0),IFERROR(--VLOOKUP(LEFT(AL29,2),УГО_спр,5,FALSE),0)),IF(IFERROR(--LEFT(SUBSTITUTE(BQ29,"x","х"),FIND("х",SUBSTITUTE(BQ29,"x","х"))-1),3)&gt;3,Каталог!$S$9,1)))</f>
      </c>
      <c r="BX29" s="129">
        <f>IF(AY29&lt;&gt;1,0,MAX(0,IFERROR(--LEFT(SUBSTITUTE(BQ29,"x","х"),FIND("х",SUBSTITUTE(BQ29,"x","х"))-1),3)-3*BW29))</f>
      </c>
      <c r="BY29" s="129">
        <f>IF(R29="","",IFERROR(VLOOKUP(R29,УГО_спр,2,FALSE),IFERROR(VLOOKUP(AL29,УГО_спр,2,FALSE),IFERROR(VLOOKUP(LEFT(AL29,2),УГО_спр,2,FALSE),""))))</f>
      </c>
    </row>
    <row r="30" spans="1:64" x14ac:dyDescent="0.3">
      <c r="A30" s="135">
        <f>IF(Разбивка_по_щитам!F30=0,"",Разбивка_по_щитам!F30)</f>
      </c>
      <c r="B30" s="138">
        <f>IF(A30="","",Разбивка_по_щитам!C30)</f>
      </c>
      <c r="C30" s="138">
        <f t="shared" si="0"/>
      </c>
      <c r="D30" s="266"/>
      <c r="E30" s="266"/>
      <c r="F30" s="267"/>
      <c r="G30" s="145">
        <f t="shared" si="40"/>
      </c>
      <c r="H30" s="145">
        <f t="shared" si="41"/>
      </c>
      <c r="I30" s="266"/>
      <c r="J30" s="267"/>
      <c r="K30" s="267"/>
      <c r="L30" s="266"/>
      <c r="M30" s="147">
        <f t="shared" si="42"/>
        <v/>
      </c>
      <c r="N30" s="267"/>
      <c r="O30" s="147">
        <f t="shared" si="43"/>
        <v/>
      </c>
      <c r="P30" s="268"/>
      <c r="Q30" s="152">
        <f>IF(R30="","",IFERROR(SUBSTITUTE(Разбивка_по_щитам!P30,CHAR(10)," "),""))</f>
      </c>
      <c r="R30" s="153">
        <f>IF(OR(Разбивка_по_щитам!H30="",Разбивка_по_щитам!H30=0),"",Разбивка_по_щитам!H30)</f>
      </c>
      <c r="S30" s="154">
        <f>IF(R30="","",IFERROR(Разбивка_по_щитам!J30&amp;"",""))</f>
      </c>
      <c r="T30" s="155">
        <f>IF(R30="","",IFERROR(--Разбивка_по_щитам!L30,""))</f>
      </c>
      <c r="U30" s="155">
        <f>IF(R30="","",IFERROR(--Разбивка_по_щитам!K30,""))</f>
      </c>
      <c r="V30" s="138">
        <f>IF(R30="","",IFERROR(IF(Разбивка_по_щитам!M30=0,"",Разбивка_по_щитам!M30),""))</f>
      </c>
      <c r="W30" s="156">
        <f t="shared" si="5"/>
      </c>
      <c r="X30" s="157">
        <f t="shared" si="6"/>
        <v/>
      </c>
      <c r="Y30" s="266"/>
      <c r="Z30" s="158">
        <f t="shared" si="7"/>
      </c>
      <c r="AA30" s="160">
        <f t="shared" si="8"/>
      </c>
      <c r="AB30" s="160">
        <f>IF(R30="","",IFERROR(LOOKUP(INDEX(Справочная!$I$4:$I$19,MATCH(VLOOKUP(R30,Исходные_данные,22,FALSE),Справочная!$J$4:$J$19,0)+1),{6,10,16,20,25,32,40,50,63,80,100,125}),""))</f>
      </c>
      <c r="AC30" s="160">
        <f t="shared" si="9"/>
        <v/>
      </c>
      <c r="AD30" s="161">
        <f t="shared" si="10"/>
      </c>
      <c r="AE30" s="161">
        <f>IF(AND(R30="",G30=""),"",_xlfn.TEXTJOIN("; ",TRUE,IF(AND(R30&lt;&gt;"",V30=""),"нет фазы",""),IF(AND(R30&lt;&gt;"",N(T30)=0),"нет мощности",""),IF(AND(P30&lt;&gt;"",COUNTIFS($A$3:$A$1000,A30,$P$3:$P$1000,P30)&gt;1),"дубль клеммы "&amp;P30,""),IF(AND(W30&lt;&gt;"",W30&lt;&gt;"ok"),W30,""),IF(X30&lt;&gt;"",X30,""),IF(AND(ISNUMBER(SEARCH("(5х",Q30)),N(AK30)=1),"5 жил на 1 фазе",""),IF(AND(AL30="R",E30&lt;&gt;"",N(AS30)=0),"розетка без 30 мА",""),IF(IFERROR(_xlfn.NUMBERVALUE(MID(Q30,FIND("-",Q30,FIND("L=",Q30))+1,FIND("%",Q30)-FIND("-",Q30,FIND("L=",Q30))-1),","),0)&gt;4,"потери &gt; 4 %","")))</f>
      </c>
      <c r="AF30" s="129">
        <f>IF(E30&lt;&gt;"",COUNTIFS($A$3:A30,A30,$E$3:E30,"?*"),IF(OR(A30&lt;&gt;A29,Y30="вручную"),"",AF29))</f>
      </c>
      <c r="AG30" s="129">
        <f t="shared" si="11"/>
      </c>
      <c r="AH30" s="129">
        <f t="shared" si="12"/>
        <v/>
      </c>
      <c r="AI30" s="129">
        <f t="shared" si="13"/>
        <v/>
      </c>
      <c r="AJ30" s="129">
        <f t="shared" si="14"/>
      </c>
      <c r="AK30" s="129">
        <f t="shared" si="15"/>
      </c>
      <c r="AL30" s="129">
        <f t="shared" si="16"/>
      </c>
      <c r="AM30" s="129">
        <f t="shared" si="17"/>
      </c>
      <c r="AN30" s="129">
        <f t="shared" si="18"/>
      </c>
      <c r="AO30" s="129">
        <f t="shared" si="19"/>
      </c>
      <c r="AP30" s="129">
        <f t="shared" si="20"/>
      </c>
      <c r="AQ30" s="129">
        <f t="shared" si="21"/>
      </c>
      <c r="AR30" s="129">
        <f t="shared" si="22"/>
      </c>
      <c r="AS30" s="129">
        <f t="shared" si="23"/>
      </c>
      <c r="AT30" s="129">
        <f t="shared" si="24"/>
      </c>
      <c r="AU30" s="129">
        <f t="shared" si="25"/>
      </c>
      <c r="AV30" s="129">
        <f t="shared" si="26"/>
        <v/>
      </c>
      <c r="AW30" s="129">
        <f>IF(AV30="","",AV30&amp;"."&amp;COUNTIFS($A$3:A30,A30,$AV$3:AV30,AV30))</f>
        <v/>
      </c>
      <c r="AX30" s="129">
        <f t="shared" si="27"/>
        <v/>
      </c>
      <c r="AY30" s="129">
        <f>IF(N30="б/к",0,IF(OR(ISNUMBER(SEARCH("L=",Разбивка_по_щитам!P30)),N30="+",N30="="),1,0))</f>
      </c>
      <c r="AZ30" s="129">
        <f t="shared" si="28"/>
        <v/>
      </c>
      <c r="BA30" s="129">
        <f t="shared" si="29"/>
      </c>
      <c r="BB30" s="129">
        <f t="shared" si="30"/>
      </c>
      <c r="BD30" s="129">
        <f t="shared" si="31"/>
      </c>
      <c r="BE30" s="129">
        <f t="shared" si="32"/>
      </c>
      <c r="BF30" s="129">
        <f t="shared" si="33"/>
      </c>
      <c r="BG30" s="129">
        <f t="shared" si="34"/>
        <v/>
      </c>
      <c r="BH30" s="129">
        <f t="shared" si="35"/>
        <v/>
      </c>
      <c r="BI30" s="129">
        <f t="shared" si="36"/>
        <v/>
      </c>
      <c r="BJ30" s="129">
        <f t="shared" si="37"/>
        <v/>
      </c>
      <c r="BK30" s="129">
        <f>IF(R30="","",IF(OR(BY30="",BY30=0),"BOX",IFERROR(IF(VLOOKUP(BY30,УГО_блоки,3,FALSE)&amp;""&lt;&gt;"",VLOOKUP(BY30,УГО_блоки,3,FALSE),VLOOKUP(BY30,УГО_блоки,2,FALSE)),BY30)))</f>
      </c>
      <c r="BL30" s="129">
        <f t="shared" si="39"/>
      </c>
      <c r="BM30" s="129">
        <f>IF(H30="","",IF(COUNTIF($H$3:H30,H30)=1,MAX($BM$2:BM29)+1,""))</f>
      </c>
      <c r="BN30" s="129">
        <f>IF(I30="","",IF(COUNTIF($I$3:I30,I30)+COUNTIF($J$2:J29,I30)+COUNTIF($K$2:K29,I30)=1,MAX($BN$2:BP29)+1,""))</f>
      </c>
      <c r="BO30" s="129">
        <f>IF(J30="","",IF(COUNTIF($I$3:I30,J30)+COUNTIF($J$3:J30,J30)+COUNTIF($K$2:K29,J30)=1,MAX($BN$2:BP29,BN30)+1,""))</f>
      </c>
      <c r="BP30" s="129">
        <f>IF(K30="","",IF(COUNTIF($I$3:I30,K30)+COUNTIF($J$3:J30,K30)+COUNTIF($K$3:K30,K30)=1,MAX($BN$2:BP29,BN30,BO30)+1,""))</f>
      </c>
      <c r="BQ30" s="129">
        <f>IF(AY30=1,IFERROR(MID(Q30,FIND(" (",Q30)+2,FIND(")",Q30,FIND(" (",Q30))-FIND(" (",Q30)-2),"?"),"")</f>
      </c>
      <c r="BR30" s="129">
        <f>IF(BQ30="","",IF(COUNTIF($BQ$3:BQ30,BQ30)=1,MAX($BR$2:BR29)+1,""))</f>
      </c>
      <c r="BS30" s="129">
        <f>IF(AW30="","",COUNTIF($AW$3:AW30,"?*"))</f>
      </c>
      <c r="BT30" s="129">
        <f>IF(OR(AW30="",AI30=""),"",IF(COUNTIFS($AW$3:AW30,"?*",$AI$3:AI30,AI30)=1,MAX($BT$2:BT29)+1,""))</f>
      </c>
      <c r="BU30" s="129">
        <f>IF(AE30="",0,IF(OR(ISNUMBER(SEARCH("дубль",AE30)),ISNUMBER(SEARCH("ПЕРЕГРУЗ",AE30)),ISNUMBER(SEARCH("ЗАЩИЩ",AE30)),ISNUMBER(SEARCH("КАНАЛ",AE30)),ISNUMBER(SEARCH("без 30",AE30))),2,1))</f>
      </c>
      <c r="BV30" s="129">
        <f>IF(R30="","",COUNTIF($R$3:R30,"?*"))</f>
      </c>
      <c r="BW30" s="129">
        <f>IF(AY30&lt;&gt;1,0,IF(MAX(IFERROR(--VLOOKUP(R30,УГО_спр,5,FALSE),0),IFERROR(--VLOOKUP(AL30,УГО_спр,5,FALSE),0),IFERROR(--VLOOKUP(LEFT(AL30,2),УГО_спр,5,FALSE),0))&gt;0,MAX(IFERROR(--VLOOKUP(R30,УГО_спр,5,FALSE),0),IFERROR(--VLOOKUP(AL30,УГО_спр,5,FALSE),0),IFERROR(--VLOOKUP(LEFT(AL30,2),УГО_спр,5,FALSE),0)),IF(IFERROR(--LEFT(SUBSTITUTE(BQ30,"x","х"),FIND("х",SUBSTITUTE(BQ30,"x","х"))-1),3)&gt;3,Каталог!$S$9,1)))</f>
      </c>
      <c r="BX30" s="129">
        <f>IF(AY30&lt;&gt;1,0,MAX(0,IFERROR(--LEFT(SUBSTITUTE(BQ30,"x","х"),FIND("х",SUBSTITUTE(BQ30,"x","х"))-1),3)-3*BW30))</f>
      </c>
      <c r="BY30" s="129">
        <f>IF(R30="","",IFERROR(VLOOKUP(R30,УГО_спр,2,FALSE),IFERROR(VLOOKUP(AL30,УГО_спр,2,FALSE),IFERROR(VLOOKUP(LEFT(AL30,2),УГО_спр,2,FALSE),""))))</f>
      </c>
    </row>
    <row r="31" spans="1:64" x14ac:dyDescent="0.3">
      <c r="A31" s="135">
        <f>IF(Разбивка_по_щитам!F31=0,"",Разбивка_по_щитам!F31)</f>
      </c>
      <c r="B31" s="138">
        <f>IF(A31="","",Разбивка_по_щитам!C31)</f>
      </c>
      <c r="C31" s="138">
        <f t="shared" si="0"/>
      </c>
      <c r="D31" s="266"/>
      <c r="E31" s="266"/>
      <c r="F31" s="267"/>
      <c r="G31" s="145">
        <f t="shared" si="40"/>
      </c>
      <c r="H31" s="145">
        <f t="shared" si="41"/>
      </c>
      <c r="I31" s="266"/>
      <c r="J31" s="267"/>
      <c r="K31" s="267"/>
      <c r="L31" s="266"/>
      <c r="M31" s="147">
        <f t="shared" si="42"/>
        <v/>
      </c>
      <c r="N31" s="267"/>
      <c r="O31" s="147">
        <f t="shared" si="43"/>
        <v/>
      </c>
      <c r="P31" s="268"/>
      <c r="Q31" s="152">
        <f>IF(R31="","",IFERROR(SUBSTITUTE(Разбивка_по_щитам!P31,CHAR(10)," "),""))</f>
      </c>
      <c r="R31" s="153">
        <f>IF(OR(Разбивка_по_щитам!H31="",Разбивка_по_щитам!H31=0),"",Разбивка_по_щитам!H31)</f>
      </c>
      <c r="S31" s="154">
        <f>IF(R31="","",IFERROR(Разбивка_по_щитам!J31&amp;"",""))</f>
      </c>
      <c r="T31" s="155">
        <f>IF(R31="","",IFERROR(--Разбивка_по_щитам!L31,""))</f>
      </c>
      <c r="U31" s="155">
        <f>IF(R31="","",IFERROR(--Разбивка_по_щитам!K31,""))</f>
      </c>
      <c r="V31" s="138">
        <f>IF(R31="","",IFERROR(IF(Разбивка_по_щитам!M31=0,"",Разбивка_по_щитам!M31),""))</f>
      </c>
      <c r="W31" s="156">
        <f t="shared" si="5"/>
      </c>
      <c r="X31" s="157">
        <f t="shared" si="6"/>
        <v/>
      </c>
      <c r="Y31" s="266"/>
      <c r="Z31" s="158">
        <f t="shared" si="7"/>
      </c>
      <c r="AA31" s="160">
        <f t="shared" si="8"/>
      </c>
      <c r="AB31" s="160">
        <f>IF(R31="","",IFERROR(LOOKUP(INDEX(Справочная!$I$4:$I$19,MATCH(VLOOKUP(R31,Исходные_данные,22,FALSE),Справочная!$J$4:$J$19,0)+1),{6,10,16,20,25,32,40,50,63,80,100,125}),""))</f>
      </c>
      <c r="AC31" s="160">
        <f t="shared" si="9"/>
        <v/>
      </c>
      <c r="AD31" s="161">
        <f t="shared" si="10"/>
      </c>
      <c r="AE31" s="161">
        <f>IF(AND(R31="",G31=""),"",_xlfn.TEXTJOIN("; ",TRUE,IF(AND(R31&lt;&gt;"",V31=""),"нет фазы",""),IF(AND(R31&lt;&gt;"",N(T31)=0),"нет мощности",""),IF(AND(P31&lt;&gt;"",COUNTIFS($A$3:$A$1000,A31,$P$3:$P$1000,P31)&gt;1),"дубль клеммы "&amp;P31,""),IF(AND(W31&lt;&gt;"",W31&lt;&gt;"ok"),W31,""),IF(X31&lt;&gt;"",X31,""),IF(AND(ISNUMBER(SEARCH("(5х",Q31)),N(AK31)=1),"5 жил на 1 фазе",""),IF(AND(AL31="R",E31&lt;&gt;"",N(AS31)=0),"розетка без 30 мА",""),IF(IFERROR(_xlfn.NUMBERVALUE(MID(Q31,FIND("-",Q31,FIND("L=",Q31))+1,FIND("%",Q31)-FIND("-",Q31,FIND("L=",Q31))-1),","),0)&gt;4,"потери &gt; 4 %","")))</f>
      </c>
      <c r="AF31" s="129">
        <f>IF(E31&lt;&gt;"",COUNTIFS($A$3:A31,A31,$E$3:E31,"?*"),IF(OR(A31&lt;&gt;A30,Y31="вручную"),"",AF30))</f>
      </c>
      <c r="AG31" s="129">
        <f t="shared" si="11"/>
      </c>
      <c r="AH31" s="129">
        <f t="shared" si="12"/>
        <v/>
      </c>
      <c r="AI31" s="129">
        <f t="shared" si="13"/>
        <v/>
      </c>
      <c r="AJ31" s="129">
        <f t="shared" si="14"/>
      </c>
      <c r="AK31" s="129">
        <f t="shared" si="15"/>
      </c>
      <c r="AL31" s="129">
        <f t="shared" si="16"/>
      </c>
      <c r="AM31" s="129">
        <f t="shared" si="17"/>
      </c>
      <c r="AN31" s="129">
        <f t="shared" si="18"/>
      </c>
      <c r="AO31" s="129">
        <f t="shared" si="19"/>
      </c>
      <c r="AP31" s="129">
        <f t="shared" si="20"/>
      </c>
      <c r="AQ31" s="129">
        <f t="shared" si="21"/>
      </c>
      <c r="AR31" s="129">
        <f t="shared" si="22"/>
      </c>
      <c r="AS31" s="129">
        <f t="shared" si="23"/>
      </c>
      <c r="AT31" s="129">
        <f t="shared" si="24"/>
      </c>
      <c r="AU31" s="129">
        <f t="shared" si="25"/>
      </c>
      <c r="AV31" s="129">
        <f t="shared" si="26"/>
        <v/>
      </c>
      <c r="AW31" s="129">
        <f>IF(AV31="","",AV31&amp;"."&amp;COUNTIFS($A$3:A31,A31,$AV$3:AV31,AV31))</f>
        <v/>
      </c>
      <c r="AX31" s="129">
        <f t="shared" si="27"/>
        <v/>
      </c>
      <c r="AY31" s="129">
        <f>IF(N31="б/к",0,IF(OR(ISNUMBER(SEARCH("L=",Разбивка_по_щитам!P31)),N31="+",N31="="),1,0))</f>
      </c>
      <c r="AZ31" s="129">
        <f t="shared" si="28"/>
        <v/>
      </c>
      <c r="BA31" s="129">
        <f t="shared" si="29"/>
      </c>
      <c r="BB31" s="129">
        <f t="shared" si="30"/>
      </c>
      <c r="BD31" s="129">
        <f t="shared" si="31"/>
      </c>
      <c r="BE31" s="129">
        <f t="shared" si="32"/>
      </c>
      <c r="BF31" s="129">
        <f t="shared" si="33"/>
      </c>
      <c r="BG31" s="129">
        <f t="shared" si="34"/>
        <v/>
      </c>
      <c r="BH31" s="129">
        <f t="shared" si="35"/>
        <v/>
      </c>
      <c r="BI31" s="129">
        <f t="shared" si="36"/>
        <v/>
      </c>
      <c r="BJ31" s="129">
        <f t="shared" si="37"/>
        <v/>
      </c>
      <c r="BK31" s="129">
        <f>IF(R31="","",IF(OR(BY31="",BY31=0),"BOX",IFERROR(IF(VLOOKUP(BY31,УГО_блоки,3,FALSE)&amp;""&lt;&gt;"",VLOOKUP(BY31,УГО_блоки,3,FALSE),VLOOKUP(BY31,УГО_блоки,2,FALSE)),BY31)))</f>
      </c>
      <c r="BL31" s="129">
        <f t="shared" si="39"/>
      </c>
      <c r="BM31" s="129">
        <f>IF(H31="","",IF(COUNTIF($H$3:H31,H31)=1,MAX($BM$2:BM30)+1,""))</f>
      </c>
      <c r="BN31" s="129">
        <f>IF(I31="","",IF(COUNTIF($I$3:I31,I31)+COUNTIF($J$2:J30,I31)+COUNTIF($K$2:K30,I31)=1,MAX($BN$2:BP30)+1,""))</f>
      </c>
      <c r="BO31" s="129">
        <f>IF(J31="","",IF(COUNTIF($I$3:I31,J31)+COUNTIF($J$3:J31,J31)+COUNTIF($K$2:K30,J31)=1,MAX($BN$2:BP30,BN31)+1,""))</f>
      </c>
      <c r="BP31" s="129">
        <f>IF(K31="","",IF(COUNTIF($I$3:I31,K31)+COUNTIF($J$3:J31,K31)+COUNTIF($K$3:K31,K31)=1,MAX($BN$2:BP30,BN31,BO31)+1,""))</f>
      </c>
      <c r="BQ31" s="129">
        <f>IF(AY31=1,IFERROR(MID(Q31,FIND(" (",Q31)+2,FIND(")",Q31,FIND(" (",Q31))-FIND(" (",Q31)-2),"?"),"")</f>
      </c>
      <c r="BR31" s="129">
        <f>IF(BQ31="","",IF(COUNTIF($BQ$3:BQ31,BQ31)=1,MAX($BR$2:BR30)+1,""))</f>
      </c>
      <c r="BS31" s="129">
        <f>IF(AW31="","",COUNTIF($AW$3:AW31,"?*"))</f>
      </c>
      <c r="BT31" s="129">
        <f>IF(OR(AW31="",AI31=""),"",IF(COUNTIFS($AW$3:AW31,"?*",$AI$3:AI31,AI31)=1,MAX($BT$2:BT30)+1,""))</f>
      </c>
      <c r="BU31" s="129">
        <f>IF(AE31="",0,IF(OR(ISNUMBER(SEARCH("дубль",AE31)),ISNUMBER(SEARCH("ПЕРЕГРУЗ",AE31)),ISNUMBER(SEARCH("ЗАЩИЩ",AE31)),ISNUMBER(SEARCH("КАНАЛ",AE31)),ISNUMBER(SEARCH("без 30",AE31))),2,1))</f>
      </c>
      <c r="BV31" s="129">
        <f>IF(R31="","",COUNTIF($R$3:R31,"?*"))</f>
      </c>
      <c r="BW31" s="129">
        <f>IF(AY31&lt;&gt;1,0,IF(MAX(IFERROR(--VLOOKUP(R31,УГО_спр,5,FALSE),0),IFERROR(--VLOOKUP(AL31,УГО_спр,5,FALSE),0),IFERROR(--VLOOKUP(LEFT(AL31,2),УГО_спр,5,FALSE),0))&gt;0,MAX(IFERROR(--VLOOKUP(R31,УГО_спр,5,FALSE),0),IFERROR(--VLOOKUP(AL31,УГО_спр,5,FALSE),0),IFERROR(--VLOOKUP(LEFT(AL31,2),УГО_спр,5,FALSE),0)),IF(IFERROR(--LEFT(SUBSTITUTE(BQ31,"x","х"),FIND("х",SUBSTITUTE(BQ31,"x","х"))-1),3)&gt;3,Каталог!$S$9,1)))</f>
      </c>
      <c r="BX31" s="129">
        <f>IF(AY31&lt;&gt;1,0,MAX(0,IFERROR(--LEFT(SUBSTITUTE(BQ31,"x","х"),FIND("х",SUBSTITUTE(BQ31,"x","х"))-1),3)-3*BW31))</f>
      </c>
      <c r="BY31" s="129">
        <f>IF(R31="","",IFERROR(VLOOKUP(R31,УГО_спр,2,FALSE),IFERROR(VLOOKUP(AL31,УГО_спр,2,FALSE),IFERROR(VLOOKUP(LEFT(AL31,2),УГО_спр,2,FALSE),""))))</f>
      </c>
    </row>
    <row r="32" spans="1:64" x14ac:dyDescent="0.3">
      <c r="A32" s="135">
        <f>IF(Разбивка_по_щитам!F32=0,"",Разбивка_по_щитам!F32)</f>
      </c>
      <c r="B32" s="138">
        <f>IF(A32="","",Разбивка_по_щитам!C32)</f>
      </c>
      <c r="C32" s="138">
        <f t="shared" si="0"/>
      </c>
      <c r="D32" s="266"/>
      <c r="E32" s="266"/>
      <c r="F32" s="267"/>
      <c r="G32" s="145">
        <f t="shared" si="40"/>
      </c>
      <c r="H32" s="145">
        <f t="shared" si="41"/>
      </c>
      <c r="I32" s="266"/>
      <c r="J32" s="267"/>
      <c r="K32" s="267"/>
      <c r="L32" s="266"/>
      <c r="M32" s="147">
        <f t="shared" si="42"/>
        <v/>
      </c>
      <c r="N32" s="267"/>
      <c r="O32" s="147">
        <f t="shared" si="43"/>
        <v/>
      </c>
      <c r="P32" s="268"/>
      <c r="Q32" s="152">
        <f>IF(R32="","",IFERROR(SUBSTITUTE(Разбивка_по_щитам!P32,CHAR(10)," "),""))</f>
      </c>
      <c r="R32" s="153">
        <f>IF(OR(Разбивка_по_щитам!H32="",Разбивка_по_щитам!H32=0),"",Разбивка_по_щитам!H32)</f>
      </c>
      <c r="S32" s="154">
        <f>IF(R32="","",IFERROR(Разбивка_по_щитам!J32&amp;"",""))</f>
      </c>
      <c r="T32" s="155">
        <f>IF(R32="","",IFERROR(--Разбивка_по_щитам!L32,""))</f>
      </c>
      <c r="U32" s="155">
        <f>IF(R32="","",IFERROR(--Разбивка_по_щитам!K32,""))</f>
      </c>
      <c r="V32" s="138">
        <f>IF(R32="","",IFERROR(IF(Разбивка_по_щитам!M32=0,"",Разбивка_по_щитам!M32),""))</f>
      </c>
      <c r="W32" s="156">
        <f t="shared" si="5"/>
      </c>
      <c r="X32" s="157">
        <f t="shared" si="6"/>
        <v/>
      </c>
      <c r="Y32" s="266"/>
      <c r="Z32" s="158">
        <f t="shared" si="7"/>
      </c>
      <c r="AA32" s="160">
        <f t="shared" si="8"/>
      </c>
      <c r="AB32" s="160">
        <f>IF(R32="","",IFERROR(LOOKUP(INDEX(Справочная!$I$4:$I$19,MATCH(VLOOKUP(R32,Исходные_данные,22,FALSE),Справочная!$J$4:$J$19,0)+1),{6,10,16,20,25,32,40,50,63,80,100,125}),""))</f>
      </c>
      <c r="AC32" s="160">
        <f t="shared" si="9"/>
        <v/>
      </c>
      <c r="AD32" s="161">
        <f t="shared" si="10"/>
      </c>
      <c r="AE32" s="161">
        <f>IF(AND(R32="",G32=""),"",_xlfn.TEXTJOIN("; ",TRUE,IF(AND(R32&lt;&gt;"",V32=""),"нет фазы",""),IF(AND(R32&lt;&gt;"",N(T32)=0),"нет мощности",""),IF(AND(P32&lt;&gt;"",COUNTIFS($A$3:$A$1000,A32,$P$3:$P$1000,P32)&gt;1),"дубль клеммы "&amp;P32,""),IF(AND(W32&lt;&gt;"",W32&lt;&gt;"ok"),W32,""),IF(X32&lt;&gt;"",X32,""),IF(AND(ISNUMBER(SEARCH("(5х",Q32)),N(AK32)=1),"5 жил на 1 фазе",""),IF(AND(AL32="R",E32&lt;&gt;"",N(AS32)=0),"розетка без 30 мА",""),IF(IFERROR(_xlfn.NUMBERVALUE(MID(Q32,FIND("-",Q32,FIND("L=",Q32))+1,FIND("%",Q32)-FIND("-",Q32,FIND("L=",Q32))-1),","),0)&gt;4,"потери &gt; 4 %","")))</f>
      </c>
      <c r="AF32" s="129">
        <f>IF(E32&lt;&gt;"",COUNTIFS($A$3:A32,A32,$E$3:E32,"?*"),IF(OR(A32&lt;&gt;A31,Y32="вручную"),"",AF31))</f>
      </c>
      <c r="AG32" s="129">
        <f t="shared" si="11"/>
      </c>
      <c r="AH32" s="129">
        <f t="shared" si="12"/>
        <v/>
      </c>
      <c r="AI32" s="129">
        <f t="shared" si="13"/>
        <v/>
      </c>
      <c r="AJ32" s="129">
        <f t="shared" si="14"/>
      </c>
      <c r="AK32" s="129">
        <f t="shared" si="15"/>
      </c>
      <c r="AL32" s="129">
        <f t="shared" si="16"/>
      </c>
      <c r="AM32" s="129">
        <f t="shared" si="17"/>
      </c>
      <c r="AN32" s="129">
        <f t="shared" si="18"/>
      </c>
      <c r="AO32" s="129">
        <f t="shared" si="19"/>
      </c>
      <c r="AP32" s="129">
        <f t="shared" si="20"/>
      </c>
      <c r="AQ32" s="129">
        <f t="shared" si="21"/>
      </c>
      <c r="AR32" s="129">
        <f t="shared" si="22"/>
      </c>
      <c r="AS32" s="129">
        <f t="shared" si="23"/>
      </c>
      <c r="AT32" s="129">
        <f t="shared" si="24"/>
      </c>
      <c r="AU32" s="129">
        <f t="shared" si="25"/>
      </c>
      <c r="AV32" s="129">
        <f t="shared" si="26"/>
        <v/>
      </c>
      <c r="AW32" s="129">
        <f>IF(AV32="","",AV32&amp;"."&amp;COUNTIFS($A$3:A32,A32,$AV$3:AV32,AV32))</f>
        <v/>
      </c>
      <c r="AX32" s="129">
        <f t="shared" si="27"/>
        <v/>
      </c>
      <c r="AY32" s="129">
        <f>IF(N32="б/к",0,IF(OR(ISNUMBER(SEARCH("L=",Разбивка_по_щитам!P32)),N32="+",N32="="),1,0))</f>
      </c>
      <c r="AZ32" s="129">
        <f t="shared" si="28"/>
        <v/>
      </c>
      <c r="BA32" s="129">
        <f t="shared" si="29"/>
      </c>
      <c r="BB32" s="129">
        <f t="shared" si="30"/>
      </c>
      <c r="BD32" s="129">
        <f t="shared" si="31"/>
      </c>
      <c r="BE32" s="129">
        <f t="shared" si="32"/>
      </c>
      <c r="BF32" s="129">
        <f t="shared" si="33"/>
      </c>
      <c r="BG32" s="129">
        <f t="shared" si="34"/>
        <v/>
      </c>
      <c r="BH32" s="129">
        <f t="shared" si="35"/>
        <v/>
      </c>
      <c r="BI32" s="129">
        <f t="shared" si="36"/>
        <v/>
      </c>
      <c r="BJ32" s="129">
        <f t="shared" si="37"/>
        <v/>
      </c>
      <c r="BK32" s="129">
        <f>IF(R32="","",IF(OR(BY32="",BY32=0),"BOX",IFERROR(IF(VLOOKUP(BY32,УГО_блоки,3,FALSE)&amp;""&lt;&gt;"",VLOOKUP(BY32,УГО_блоки,3,FALSE),VLOOKUP(BY32,УГО_блоки,2,FALSE)),BY32)))</f>
      </c>
      <c r="BL32" s="129">
        <f t="shared" si="39"/>
      </c>
      <c r="BM32" s="129">
        <f>IF(H32="","",IF(COUNTIF($H$3:H32,H32)=1,MAX($BM$2:BM31)+1,""))</f>
      </c>
      <c r="BN32" s="129">
        <f>IF(I32="","",IF(COUNTIF($I$3:I32,I32)+COUNTIF($J$2:J31,I32)+COUNTIF($K$2:K31,I32)=1,MAX($BN$2:BP31)+1,""))</f>
      </c>
      <c r="BO32" s="129">
        <f>IF(J32="","",IF(COUNTIF($I$3:I32,J32)+COUNTIF($J$3:J32,J32)+COUNTIF($K$2:K31,J32)=1,MAX($BN$2:BP31,BN32)+1,""))</f>
      </c>
      <c r="BP32" s="129">
        <f>IF(K32="","",IF(COUNTIF($I$3:I32,K32)+COUNTIF($J$3:J32,K32)+COUNTIF($K$3:K32,K32)=1,MAX($BN$2:BP31,BN32,BO32)+1,""))</f>
      </c>
      <c r="BQ32" s="129">
        <f>IF(AY32=1,IFERROR(MID(Q32,FIND(" (",Q32)+2,FIND(")",Q32,FIND(" (",Q32))-FIND(" (",Q32)-2),"?"),"")</f>
      </c>
      <c r="BR32" s="129">
        <f>IF(BQ32="","",IF(COUNTIF($BQ$3:BQ32,BQ32)=1,MAX($BR$2:BR31)+1,""))</f>
      </c>
      <c r="BS32" s="129">
        <f>IF(AW32="","",COUNTIF($AW$3:AW32,"?*"))</f>
      </c>
      <c r="BT32" s="129">
        <f>IF(OR(AW32="",AI32=""),"",IF(COUNTIFS($AW$3:AW32,"?*",$AI$3:AI32,AI32)=1,MAX($BT$2:BT31)+1,""))</f>
      </c>
      <c r="BU32" s="129">
        <f>IF(AE32="",0,IF(OR(ISNUMBER(SEARCH("дубль",AE32)),ISNUMBER(SEARCH("ПЕРЕГРУЗ",AE32)),ISNUMBER(SEARCH("ЗАЩИЩ",AE32)),ISNUMBER(SEARCH("КАНАЛ",AE32)),ISNUMBER(SEARCH("без 30",AE32))),2,1))</f>
      </c>
      <c r="BV32" s="129">
        <f>IF(R32="","",COUNTIF($R$3:R32,"?*"))</f>
      </c>
      <c r="BW32" s="129">
        <f>IF(AY32&lt;&gt;1,0,IF(MAX(IFERROR(--VLOOKUP(R32,УГО_спр,5,FALSE),0),IFERROR(--VLOOKUP(AL32,УГО_спр,5,FALSE),0),IFERROR(--VLOOKUP(LEFT(AL32,2),УГО_спр,5,FALSE),0))&gt;0,MAX(IFERROR(--VLOOKUP(R32,УГО_спр,5,FALSE),0),IFERROR(--VLOOKUP(AL32,УГО_спр,5,FALSE),0),IFERROR(--VLOOKUP(LEFT(AL32,2),УГО_спр,5,FALSE),0)),IF(IFERROR(--LEFT(SUBSTITUTE(BQ32,"x","х"),FIND("х",SUBSTITUTE(BQ32,"x","х"))-1),3)&gt;3,Каталог!$S$9,1)))</f>
      </c>
      <c r="BX32" s="129">
        <f>IF(AY32&lt;&gt;1,0,MAX(0,IFERROR(--LEFT(SUBSTITUTE(BQ32,"x","х"),FIND("х",SUBSTITUTE(BQ32,"x","х"))-1),3)-3*BW32))</f>
      </c>
      <c r="BY32" s="129">
        <f>IF(R32="","",IFERROR(VLOOKUP(R32,УГО_спр,2,FALSE),IFERROR(VLOOKUP(AL32,УГО_спр,2,FALSE),IFERROR(VLOOKUP(LEFT(AL32,2),УГО_спр,2,FALSE),""))))</f>
      </c>
    </row>
    <row r="33" spans="1:64" x14ac:dyDescent="0.3">
      <c r="A33" s="135">
        <f>IF(Разбивка_по_щитам!F33=0,"",Разбивка_по_щитам!F33)</f>
      </c>
      <c r="B33" s="138">
        <f>IF(A33="","",Разбивка_по_щитам!C33)</f>
      </c>
      <c r="C33" s="138">
        <f t="shared" si="0"/>
      </c>
      <c r="D33" s="266"/>
      <c r="E33" s="266"/>
      <c r="F33" s="267"/>
      <c r="G33" s="145">
        <f t="shared" si="40"/>
      </c>
      <c r="H33" s="145">
        <f t="shared" si="41"/>
      </c>
      <c r="I33" s="266"/>
      <c r="J33" s="267"/>
      <c r="K33" s="267"/>
      <c r="L33" s="266"/>
      <c r="M33" s="147">
        <f t="shared" si="42"/>
        <v/>
      </c>
      <c r="N33" s="267"/>
      <c r="O33" s="147">
        <f t="shared" si="43"/>
        <v/>
      </c>
      <c r="P33" s="268"/>
      <c r="Q33" s="152">
        <f>IF(R33="","",IFERROR(SUBSTITUTE(Разбивка_по_щитам!P33,CHAR(10)," "),""))</f>
      </c>
      <c r="R33" s="153">
        <f>IF(OR(Разбивка_по_щитам!H33="",Разбивка_по_щитам!H33=0),"",Разбивка_по_щитам!H33)</f>
      </c>
      <c r="S33" s="154">
        <f>IF(R33="","",IFERROR(Разбивка_по_щитам!J33&amp;"",""))</f>
      </c>
      <c r="T33" s="155">
        <f>IF(R33="","",IFERROR(--Разбивка_по_щитам!L33,""))</f>
      </c>
      <c r="U33" s="155">
        <f>IF(R33="","",IFERROR(--Разбивка_по_щитам!K33,""))</f>
      </c>
      <c r="V33" s="138">
        <f>IF(R33="","",IFERROR(IF(Разбивка_по_щитам!M33=0,"",Разбивка_по_щитам!M33),""))</f>
      </c>
      <c r="W33" s="156">
        <f t="shared" si="5"/>
      </c>
      <c r="X33" s="157">
        <f t="shared" si="6"/>
        <v/>
      </c>
      <c r="Y33" s="266"/>
      <c r="Z33" s="158">
        <f t="shared" si="7"/>
      </c>
      <c r="AA33" s="160">
        <f t="shared" si="8"/>
      </c>
      <c r="AB33" s="160">
        <f>IF(R33="","",IFERROR(LOOKUP(INDEX(Справочная!$I$4:$I$19,MATCH(VLOOKUP(R33,Исходные_данные,22,FALSE),Справочная!$J$4:$J$19,0)+1),{6,10,16,20,25,32,40,50,63,80,100,125}),""))</f>
      </c>
      <c r="AC33" s="160">
        <f t="shared" si="9"/>
        <v/>
      </c>
      <c r="AD33" s="161">
        <f t="shared" si="10"/>
      </c>
      <c r="AE33" s="161">
        <f>IF(AND(R33="",G33=""),"",_xlfn.TEXTJOIN("; ",TRUE,IF(AND(R33&lt;&gt;"",V33=""),"нет фазы",""),IF(AND(R33&lt;&gt;"",N(T33)=0),"нет мощности",""),IF(AND(P33&lt;&gt;"",COUNTIFS($A$3:$A$1000,A33,$P$3:$P$1000,P33)&gt;1),"дубль клеммы "&amp;P33,""),IF(AND(W33&lt;&gt;"",W33&lt;&gt;"ok"),W33,""),IF(X33&lt;&gt;"",X33,""),IF(AND(ISNUMBER(SEARCH("(5х",Q33)),N(AK33)=1),"5 жил на 1 фазе",""),IF(AND(AL33="R",E33&lt;&gt;"",N(AS33)=0),"розетка без 30 мА",""),IF(IFERROR(_xlfn.NUMBERVALUE(MID(Q33,FIND("-",Q33,FIND("L=",Q33))+1,FIND("%",Q33)-FIND("-",Q33,FIND("L=",Q33))-1),","),0)&gt;4,"потери &gt; 4 %","")))</f>
      </c>
      <c r="AF33" s="129">
        <f>IF(E33&lt;&gt;"",COUNTIFS($A$3:A33,A33,$E$3:E33,"?*"),IF(OR(A33&lt;&gt;A32,Y33="вручную"),"",AF32))</f>
      </c>
      <c r="AG33" s="129">
        <f t="shared" si="11"/>
      </c>
      <c r="AH33" s="129">
        <f t="shared" si="12"/>
        <v/>
      </c>
      <c r="AI33" s="129">
        <f t="shared" si="13"/>
        <v/>
      </c>
      <c r="AJ33" s="129">
        <f t="shared" si="14"/>
      </c>
      <c r="AK33" s="129">
        <f t="shared" si="15"/>
      </c>
      <c r="AL33" s="129">
        <f t="shared" si="16"/>
      </c>
      <c r="AM33" s="129">
        <f t="shared" si="17"/>
      </c>
      <c r="AN33" s="129">
        <f t="shared" si="18"/>
      </c>
      <c r="AO33" s="129">
        <f t="shared" si="19"/>
      </c>
      <c r="AP33" s="129">
        <f t="shared" si="20"/>
      </c>
      <c r="AQ33" s="129">
        <f t="shared" si="21"/>
      </c>
      <c r="AR33" s="129">
        <f t="shared" si="22"/>
      </c>
      <c r="AS33" s="129">
        <f t="shared" si="23"/>
      </c>
      <c r="AT33" s="129">
        <f t="shared" si="24"/>
      </c>
      <c r="AU33" s="129">
        <f t="shared" si="25"/>
      </c>
      <c r="AV33" s="129">
        <f t="shared" si="26"/>
        <v/>
      </c>
      <c r="AW33" s="129">
        <f>IF(AV33="","",AV33&amp;"."&amp;COUNTIFS($A$3:A33,A33,$AV$3:AV33,AV33))</f>
        <v/>
      </c>
      <c r="AX33" s="129">
        <f t="shared" si="27"/>
        <v/>
      </c>
      <c r="AY33" s="129">
        <f>IF(N33="б/к",0,IF(OR(ISNUMBER(SEARCH("L=",Разбивка_по_щитам!P33)),N33="+",N33="="),1,0))</f>
      </c>
      <c r="AZ33" s="129">
        <f t="shared" si="28"/>
        <v/>
      </c>
      <c r="BA33" s="129">
        <f t="shared" si="29"/>
      </c>
      <c r="BB33" s="129">
        <f t="shared" si="30"/>
      </c>
      <c r="BD33" s="129">
        <f t="shared" si="31"/>
      </c>
      <c r="BE33" s="129">
        <f t="shared" si="32"/>
      </c>
      <c r="BF33" s="129">
        <f t="shared" si="33"/>
      </c>
      <c r="BG33" s="129">
        <f t="shared" si="34"/>
        <v/>
      </c>
      <c r="BH33" s="129">
        <f t="shared" si="35"/>
        <v/>
      </c>
      <c r="BI33" s="129">
        <f t="shared" si="36"/>
        <v/>
      </c>
      <c r="BJ33" s="129">
        <f t="shared" si="37"/>
        <v/>
      </c>
      <c r="BK33" s="129">
        <f>IF(R33="","",IF(OR(BY33="",BY33=0),"BOX",IFERROR(IF(VLOOKUP(BY33,УГО_блоки,3,FALSE)&amp;""&lt;&gt;"",VLOOKUP(BY33,УГО_блоки,3,FALSE),VLOOKUP(BY33,УГО_блоки,2,FALSE)),BY33)))</f>
      </c>
      <c r="BL33" s="129">
        <f t="shared" si="39"/>
      </c>
      <c r="BM33" s="129">
        <f>IF(H33="","",IF(COUNTIF($H$3:H33,H33)=1,MAX($BM$2:BM32)+1,""))</f>
      </c>
      <c r="BN33" s="129">
        <f>IF(I33="","",IF(COUNTIF($I$3:I33,I33)+COUNTIF($J$2:J32,I33)+COUNTIF($K$2:K32,I33)=1,MAX($BN$2:BP32)+1,""))</f>
      </c>
      <c r="BO33" s="129">
        <f>IF(J33="","",IF(COUNTIF($I$3:I33,J33)+COUNTIF($J$3:J33,J33)+COUNTIF($K$2:K32,J33)=1,MAX($BN$2:BP32,BN33)+1,""))</f>
      </c>
      <c r="BP33" s="129">
        <f>IF(K33="","",IF(COUNTIF($I$3:I33,K33)+COUNTIF($J$3:J33,K33)+COUNTIF($K$3:K33,K33)=1,MAX($BN$2:BP32,BN33,BO33)+1,""))</f>
      </c>
      <c r="BQ33" s="129">
        <f>IF(AY33=1,IFERROR(MID(Q33,FIND(" (",Q33)+2,FIND(")",Q33,FIND(" (",Q33))-FIND(" (",Q33)-2),"?"),"")</f>
      </c>
      <c r="BR33" s="129">
        <f>IF(BQ33="","",IF(COUNTIF($BQ$3:BQ33,BQ33)=1,MAX($BR$2:BR32)+1,""))</f>
      </c>
      <c r="BS33" s="129">
        <f>IF(AW33="","",COUNTIF($AW$3:AW33,"?*"))</f>
      </c>
      <c r="BT33" s="129">
        <f>IF(OR(AW33="",AI33=""),"",IF(COUNTIFS($AW$3:AW33,"?*",$AI$3:AI33,AI33)=1,MAX($BT$2:BT32)+1,""))</f>
      </c>
      <c r="BU33" s="129">
        <f>IF(AE33="",0,IF(OR(ISNUMBER(SEARCH("дубль",AE33)),ISNUMBER(SEARCH("ПЕРЕГРУЗ",AE33)),ISNUMBER(SEARCH("ЗАЩИЩ",AE33)),ISNUMBER(SEARCH("КАНАЛ",AE33)),ISNUMBER(SEARCH("без 30",AE33))),2,1))</f>
      </c>
      <c r="BV33" s="129">
        <f>IF(R33="","",COUNTIF($R$3:R33,"?*"))</f>
      </c>
      <c r="BW33" s="129">
        <f>IF(AY33&lt;&gt;1,0,IF(MAX(IFERROR(--VLOOKUP(R33,УГО_спр,5,FALSE),0),IFERROR(--VLOOKUP(AL33,УГО_спр,5,FALSE),0),IFERROR(--VLOOKUP(LEFT(AL33,2),УГО_спр,5,FALSE),0))&gt;0,MAX(IFERROR(--VLOOKUP(R33,УГО_спр,5,FALSE),0),IFERROR(--VLOOKUP(AL33,УГО_спр,5,FALSE),0),IFERROR(--VLOOKUP(LEFT(AL33,2),УГО_спр,5,FALSE),0)),IF(IFERROR(--LEFT(SUBSTITUTE(BQ33,"x","х"),FIND("х",SUBSTITUTE(BQ33,"x","х"))-1),3)&gt;3,Каталог!$S$9,1)))</f>
      </c>
      <c r="BX33" s="129">
        <f>IF(AY33&lt;&gt;1,0,MAX(0,IFERROR(--LEFT(SUBSTITUTE(BQ33,"x","х"),FIND("х",SUBSTITUTE(BQ33,"x","х"))-1),3)-3*BW33))</f>
      </c>
      <c r="BY33" s="129">
        <f>IF(R33="","",IFERROR(VLOOKUP(R33,УГО_спр,2,FALSE),IFERROR(VLOOKUP(AL33,УГО_спр,2,FALSE),IFERROR(VLOOKUP(LEFT(AL33,2),УГО_спр,2,FALSE),""))))</f>
      </c>
    </row>
    <row r="34" spans="1:64" x14ac:dyDescent="0.3">
      <c r="A34" s="135">
        <f>IF(Разбивка_по_щитам!F34=0,"",Разбивка_по_щитам!F34)</f>
      </c>
      <c r="B34" s="138">
        <f>IF(A34="","",Разбивка_по_щитам!C34)</f>
      </c>
      <c r="C34" s="138">
        <f t="shared" si="0"/>
      </c>
      <c r="D34" s="266"/>
      <c r="E34" s="266"/>
      <c r="F34" s="267"/>
      <c r="G34" s="145">
        <f t="shared" si="40"/>
      </c>
      <c r="H34" s="145">
        <f t="shared" si="41"/>
      </c>
      <c r="I34" s="266"/>
      <c r="J34" s="267"/>
      <c r="K34" s="267"/>
      <c r="L34" s="266"/>
      <c r="M34" s="147">
        <f t="shared" si="42"/>
        <v/>
      </c>
      <c r="N34" s="267"/>
      <c r="O34" s="147">
        <f t="shared" si="43"/>
        <v/>
      </c>
      <c r="P34" s="268"/>
      <c r="Q34" s="152">
        <f>IF(R34="","",IFERROR(SUBSTITUTE(Разбивка_по_щитам!P34,CHAR(10)," "),""))</f>
      </c>
      <c r="R34" s="153">
        <f>IF(OR(Разбивка_по_щитам!H34="",Разбивка_по_щитам!H34=0),"",Разбивка_по_щитам!H34)</f>
      </c>
      <c r="S34" s="154">
        <f>IF(R34="","",IFERROR(Разбивка_по_щитам!J34&amp;"",""))</f>
      </c>
      <c r="T34" s="155">
        <f>IF(R34="","",IFERROR(--Разбивка_по_щитам!L34,""))</f>
      </c>
      <c r="U34" s="155">
        <f>IF(R34="","",IFERROR(--Разбивка_по_щитам!K34,""))</f>
      </c>
      <c r="V34" s="138">
        <f>IF(R34="","",IFERROR(IF(Разбивка_по_щитам!M34=0,"",Разбивка_по_щитам!M34),""))</f>
      </c>
      <c r="W34" s="156">
        <f t="shared" si="5"/>
      </c>
      <c r="X34" s="157">
        <f t="shared" si="6"/>
        <v/>
      </c>
      <c r="Y34" s="266"/>
      <c r="Z34" s="158">
        <f t="shared" si="7"/>
      </c>
      <c r="AA34" s="160">
        <f t="shared" si="8"/>
      </c>
      <c r="AB34" s="160">
        <f>IF(R34="","",IFERROR(LOOKUP(INDEX(Справочная!$I$4:$I$19,MATCH(VLOOKUP(R34,Исходные_данные,22,FALSE),Справочная!$J$4:$J$19,0)+1),{6,10,16,20,25,32,40,50,63,80,100,125}),""))</f>
      </c>
      <c r="AC34" s="160">
        <f t="shared" si="9"/>
        <v/>
      </c>
      <c r="AD34" s="161">
        <f t="shared" si="10"/>
      </c>
      <c r="AE34" s="161">
        <f>IF(AND(R34="",G34=""),"",_xlfn.TEXTJOIN("; ",TRUE,IF(AND(R34&lt;&gt;"",V34=""),"нет фазы",""),IF(AND(R34&lt;&gt;"",N(T34)=0),"нет мощности",""),IF(AND(P34&lt;&gt;"",COUNTIFS($A$3:$A$1000,A34,$P$3:$P$1000,P34)&gt;1),"дубль клеммы "&amp;P34,""),IF(AND(W34&lt;&gt;"",W34&lt;&gt;"ok"),W34,""),IF(X34&lt;&gt;"",X34,""),IF(AND(ISNUMBER(SEARCH("(5х",Q34)),N(AK34)=1),"5 жил на 1 фазе",""),IF(AND(AL34="R",E34&lt;&gt;"",N(AS34)=0),"розетка без 30 мА",""),IF(IFERROR(_xlfn.NUMBERVALUE(MID(Q34,FIND("-",Q34,FIND("L=",Q34))+1,FIND("%",Q34)-FIND("-",Q34,FIND("L=",Q34))-1),","),0)&gt;4,"потери &gt; 4 %","")))</f>
      </c>
      <c r="AF34" s="129">
        <f>IF(E34&lt;&gt;"",COUNTIFS($A$3:A34,A34,$E$3:E34,"?*"),IF(OR(A34&lt;&gt;A33,Y34="вручную"),"",AF33))</f>
      </c>
      <c r="AG34" s="129">
        <f t="shared" si="11"/>
      </c>
      <c r="AH34" s="129">
        <f t="shared" si="12"/>
        <v/>
      </c>
      <c r="AI34" s="129">
        <f t="shared" si="13"/>
        <v/>
      </c>
      <c r="AJ34" s="129">
        <f t="shared" si="14"/>
      </c>
      <c r="AK34" s="129">
        <f t="shared" si="15"/>
      </c>
      <c r="AL34" s="129">
        <f t="shared" si="16"/>
      </c>
      <c r="AM34" s="129">
        <f t="shared" si="17"/>
      </c>
      <c r="AN34" s="129">
        <f t="shared" si="18"/>
      </c>
      <c r="AO34" s="129">
        <f t="shared" si="19"/>
      </c>
      <c r="AP34" s="129">
        <f t="shared" si="20"/>
      </c>
      <c r="AQ34" s="129">
        <f t="shared" si="21"/>
      </c>
      <c r="AR34" s="129">
        <f t="shared" si="22"/>
      </c>
      <c r="AS34" s="129">
        <f t="shared" si="23"/>
      </c>
      <c r="AT34" s="129">
        <f t="shared" si="24"/>
      </c>
      <c r="AU34" s="129">
        <f t="shared" si="25"/>
      </c>
      <c r="AV34" s="129">
        <f t="shared" si="26"/>
        <v/>
      </c>
      <c r="AW34" s="129">
        <f>IF(AV34="","",AV34&amp;"."&amp;COUNTIFS($A$3:A34,A34,$AV$3:AV34,AV34))</f>
        <v/>
      </c>
      <c r="AX34" s="129">
        <f t="shared" si="27"/>
        <v/>
      </c>
      <c r="AY34" s="129">
        <f>IF(N34="б/к",0,IF(OR(ISNUMBER(SEARCH("L=",Разбивка_по_щитам!P34)),N34="+",N34="="),1,0))</f>
      </c>
      <c r="AZ34" s="129">
        <f t="shared" si="28"/>
        <v/>
      </c>
      <c r="BA34" s="129">
        <f t="shared" si="29"/>
      </c>
      <c r="BB34" s="129">
        <f t="shared" si="30"/>
      </c>
      <c r="BD34" s="129">
        <f t="shared" si="31"/>
      </c>
      <c r="BE34" s="129">
        <f t="shared" si="32"/>
      </c>
      <c r="BF34" s="129">
        <f t="shared" si="33"/>
      </c>
      <c r="BG34" s="129">
        <f t="shared" si="34"/>
        <v/>
      </c>
      <c r="BH34" s="129">
        <f t="shared" si="35"/>
        <v/>
      </c>
      <c r="BI34" s="129">
        <f t="shared" si="36"/>
        <v/>
      </c>
      <c r="BJ34" s="129">
        <f t="shared" si="37"/>
        <v/>
      </c>
      <c r="BK34" s="129">
        <f>IF(R34="","",IF(OR(BY34="",BY34=0),"BOX",IFERROR(IF(VLOOKUP(BY34,УГО_блоки,3,FALSE)&amp;""&lt;&gt;"",VLOOKUP(BY34,УГО_блоки,3,FALSE),VLOOKUP(BY34,УГО_блоки,2,FALSE)),BY34)))</f>
      </c>
      <c r="BL34" s="129">
        <f t="shared" si="39"/>
      </c>
      <c r="BM34" s="129">
        <f>IF(H34="","",IF(COUNTIF($H$3:H34,H34)=1,MAX($BM$2:BM33)+1,""))</f>
      </c>
      <c r="BN34" s="129">
        <f>IF(I34="","",IF(COUNTIF($I$3:I34,I34)+COUNTIF($J$2:J33,I34)+COUNTIF($K$2:K33,I34)=1,MAX($BN$2:BP33)+1,""))</f>
      </c>
      <c r="BO34" s="129">
        <f>IF(J34="","",IF(COUNTIF($I$3:I34,J34)+COUNTIF($J$3:J34,J34)+COUNTIF($K$2:K33,J34)=1,MAX($BN$2:BP33,BN34)+1,""))</f>
      </c>
      <c r="BP34" s="129">
        <f>IF(K34="","",IF(COUNTIF($I$3:I34,K34)+COUNTIF($J$3:J34,K34)+COUNTIF($K$3:K34,K34)=1,MAX($BN$2:BP33,BN34,BO34)+1,""))</f>
      </c>
      <c r="BQ34" s="129">
        <f>IF(AY34=1,IFERROR(MID(Q34,FIND(" (",Q34)+2,FIND(")",Q34,FIND(" (",Q34))-FIND(" (",Q34)-2),"?"),"")</f>
      </c>
      <c r="BR34" s="129">
        <f>IF(BQ34="","",IF(COUNTIF($BQ$3:BQ34,BQ34)=1,MAX($BR$2:BR33)+1,""))</f>
      </c>
      <c r="BS34" s="129">
        <f>IF(AW34="","",COUNTIF($AW$3:AW34,"?*"))</f>
      </c>
      <c r="BT34" s="129">
        <f>IF(OR(AW34="",AI34=""),"",IF(COUNTIFS($AW$3:AW34,"?*",$AI$3:AI34,AI34)=1,MAX($BT$2:BT33)+1,""))</f>
      </c>
      <c r="BU34" s="129">
        <f>IF(AE34="",0,IF(OR(ISNUMBER(SEARCH("дубль",AE34)),ISNUMBER(SEARCH("ПЕРЕГРУЗ",AE34)),ISNUMBER(SEARCH("ЗАЩИЩ",AE34)),ISNUMBER(SEARCH("КАНАЛ",AE34)),ISNUMBER(SEARCH("без 30",AE34))),2,1))</f>
      </c>
      <c r="BV34" s="129">
        <f>IF(R34="","",COUNTIF($R$3:R34,"?*"))</f>
      </c>
      <c r="BW34" s="129">
        <f>IF(AY34&lt;&gt;1,0,IF(MAX(IFERROR(--VLOOKUP(R34,УГО_спр,5,FALSE),0),IFERROR(--VLOOKUP(AL34,УГО_спр,5,FALSE),0),IFERROR(--VLOOKUP(LEFT(AL34,2),УГО_спр,5,FALSE),0))&gt;0,MAX(IFERROR(--VLOOKUP(R34,УГО_спр,5,FALSE),0),IFERROR(--VLOOKUP(AL34,УГО_спр,5,FALSE),0),IFERROR(--VLOOKUP(LEFT(AL34,2),УГО_спр,5,FALSE),0)),IF(IFERROR(--LEFT(SUBSTITUTE(BQ34,"x","х"),FIND("х",SUBSTITUTE(BQ34,"x","х"))-1),3)&gt;3,Каталог!$S$9,1)))</f>
      </c>
      <c r="BX34" s="129">
        <f>IF(AY34&lt;&gt;1,0,MAX(0,IFERROR(--LEFT(SUBSTITUTE(BQ34,"x","х"),FIND("х",SUBSTITUTE(BQ34,"x","х"))-1),3)-3*BW34))</f>
      </c>
      <c r="BY34" s="129">
        <f>IF(R34="","",IFERROR(VLOOKUP(R34,УГО_спр,2,FALSE),IFERROR(VLOOKUP(AL34,УГО_спр,2,FALSE),IFERROR(VLOOKUP(LEFT(AL34,2),УГО_спр,2,FALSE),""))))</f>
      </c>
    </row>
    <row r="35" spans="1:64" x14ac:dyDescent="0.3">
      <c r="A35" s="135">
        <f>IF(Разбивка_по_щитам!F35=0,"",Разбивка_по_щитам!F35)</f>
      </c>
      <c r="B35" s="138">
        <f>IF(A35="","",Разбивка_по_щитам!C35)</f>
      </c>
      <c r="C35" s="138">
        <f t="shared" si="0"/>
      </c>
      <c r="D35" s="266"/>
      <c r="E35" s="266"/>
      <c r="F35" s="267"/>
      <c r="G35" s="145">
        <f t="shared" si="40"/>
      </c>
      <c r="H35" s="145">
        <f t="shared" si="41"/>
      </c>
      <c r="I35" s="266"/>
      <c r="J35" s="267"/>
      <c r="K35" s="267"/>
      <c r="L35" s="266"/>
      <c r="M35" s="147">
        <f t="shared" si="42"/>
        <v/>
      </c>
      <c r="N35" s="267"/>
      <c r="O35" s="147">
        <f t="shared" si="43"/>
        <v/>
      </c>
      <c r="P35" s="268"/>
      <c r="Q35" s="152">
        <f>IF(R35="","",IFERROR(SUBSTITUTE(Разбивка_по_щитам!P35,CHAR(10)," "),""))</f>
      </c>
      <c r="R35" s="153">
        <f>IF(OR(Разбивка_по_щитам!H35="",Разбивка_по_щитам!H35=0),"",Разбивка_по_щитам!H35)</f>
      </c>
      <c r="S35" s="154">
        <f>IF(R35="","",IFERROR(Разбивка_по_щитам!J35&amp;"",""))</f>
      </c>
      <c r="T35" s="155">
        <f>IF(R35="","",IFERROR(--Разбивка_по_щитам!L35,""))</f>
      </c>
      <c r="U35" s="155">
        <f>IF(R35="","",IFERROR(--Разбивка_по_щитам!K35,""))</f>
      </c>
      <c r="V35" s="138">
        <f>IF(R35="","",IFERROR(IF(Разбивка_по_щитам!M35=0,"",Разбивка_по_щитам!M35),""))</f>
      </c>
      <c r="W35" s="156">
        <f t="shared" si="5"/>
      </c>
      <c r="X35" s="157">
        <f t="shared" si="6"/>
        <v/>
      </c>
      <c r="Y35" s="266"/>
      <c r="Z35" s="158">
        <f t="shared" si="7"/>
      </c>
      <c r="AA35" s="160">
        <f t="shared" si="8"/>
      </c>
      <c r="AB35" s="160">
        <f>IF(R35="","",IFERROR(LOOKUP(INDEX(Справочная!$I$4:$I$19,MATCH(VLOOKUP(R35,Исходные_данные,22,FALSE),Справочная!$J$4:$J$19,0)+1),{6,10,16,20,25,32,40,50,63,80,100,125}),""))</f>
      </c>
      <c r="AC35" s="160">
        <f t="shared" si="9"/>
        <v/>
      </c>
      <c r="AD35" s="161">
        <f t="shared" si="10"/>
      </c>
      <c r="AE35" s="161">
        <f>IF(AND(R35="",G35=""),"",_xlfn.TEXTJOIN("; ",TRUE,IF(AND(R35&lt;&gt;"",V35=""),"нет фазы",""),IF(AND(R35&lt;&gt;"",N(T35)=0),"нет мощности",""),IF(AND(P35&lt;&gt;"",COUNTIFS($A$3:$A$1000,A35,$P$3:$P$1000,P35)&gt;1),"дубль клеммы "&amp;P35,""),IF(AND(W35&lt;&gt;"",W35&lt;&gt;"ok"),W35,""),IF(X35&lt;&gt;"",X35,""),IF(AND(ISNUMBER(SEARCH("(5х",Q35)),N(AK35)=1),"5 жил на 1 фазе",""),IF(AND(AL35="R",E35&lt;&gt;"",N(AS35)=0),"розетка без 30 мА",""),IF(IFERROR(_xlfn.NUMBERVALUE(MID(Q35,FIND("-",Q35,FIND("L=",Q35))+1,FIND("%",Q35)-FIND("-",Q35,FIND("L=",Q35))-1),","),0)&gt;4,"потери &gt; 4 %","")))</f>
      </c>
      <c r="AF35" s="129">
        <f>IF(E35&lt;&gt;"",COUNTIFS($A$3:A35,A35,$E$3:E35,"?*"),IF(OR(A35&lt;&gt;A34,Y35="вручную"),"",AF34))</f>
      </c>
      <c r="AG35" s="129">
        <f t="shared" si="11"/>
      </c>
      <c r="AH35" s="129">
        <f t="shared" si="12"/>
        <v/>
      </c>
      <c r="AI35" s="129">
        <f t="shared" si="13"/>
        <v/>
      </c>
      <c r="AJ35" s="129">
        <f t="shared" si="14"/>
      </c>
      <c r="AK35" s="129">
        <f t="shared" si="15"/>
      </c>
      <c r="AL35" s="129">
        <f t="shared" si="16"/>
      </c>
      <c r="AM35" s="129">
        <f t="shared" si="17"/>
      </c>
      <c r="AN35" s="129">
        <f t="shared" si="18"/>
      </c>
      <c r="AO35" s="129">
        <f t="shared" si="19"/>
      </c>
      <c r="AP35" s="129">
        <f t="shared" si="20"/>
      </c>
      <c r="AQ35" s="129">
        <f t="shared" si="21"/>
      </c>
      <c r="AR35" s="129">
        <f t="shared" si="22"/>
      </c>
      <c r="AS35" s="129">
        <f t="shared" si="23"/>
      </c>
      <c r="AT35" s="129">
        <f t="shared" si="24"/>
      </c>
      <c r="AU35" s="129">
        <f t="shared" si="25"/>
      </c>
      <c r="AV35" s="129">
        <f t="shared" si="26"/>
        <v/>
      </c>
      <c r="AW35" s="129">
        <f>IF(AV35="","",AV35&amp;"."&amp;COUNTIFS($A$3:A35,A35,$AV$3:AV35,AV35))</f>
        <v/>
      </c>
      <c r="AX35" s="129">
        <f t="shared" si="27"/>
        <v/>
      </c>
      <c r="AY35" s="129">
        <f>IF(N35="б/к",0,IF(OR(ISNUMBER(SEARCH("L=",Разбивка_по_щитам!P35)),N35="+",N35="="),1,0))</f>
      </c>
      <c r="AZ35" s="129">
        <f t="shared" si="28"/>
        <v/>
      </c>
      <c r="BA35" s="129">
        <f t="shared" si="29"/>
      </c>
      <c r="BB35" s="129">
        <f t="shared" si="30"/>
      </c>
      <c r="BD35" s="129">
        <f t="shared" si="31"/>
      </c>
      <c r="BE35" s="129">
        <f t="shared" si="32"/>
      </c>
      <c r="BF35" s="129">
        <f t="shared" si="33"/>
      </c>
      <c r="BG35" s="129">
        <f t="shared" si="34"/>
        <v/>
      </c>
      <c r="BH35" s="129">
        <f t="shared" si="35"/>
        <v/>
      </c>
      <c r="BI35" s="129">
        <f t="shared" si="36"/>
        <v/>
      </c>
      <c r="BJ35" s="129">
        <f t="shared" si="37"/>
        <v/>
      </c>
      <c r="BK35" s="129">
        <f>IF(R35="","",IF(OR(BY35="",BY35=0),"BOX",IFERROR(IF(VLOOKUP(BY35,УГО_блоки,3,FALSE)&amp;""&lt;&gt;"",VLOOKUP(BY35,УГО_блоки,3,FALSE),VLOOKUP(BY35,УГО_блоки,2,FALSE)),BY35)))</f>
      </c>
      <c r="BL35" s="129">
        <f t="shared" si="39"/>
      </c>
      <c r="BM35" s="129">
        <f>IF(H35="","",IF(COUNTIF($H$3:H35,H35)=1,MAX($BM$2:BM34)+1,""))</f>
      </c>
      <c r="BN35" s="129">
        <f>IF(I35="","",IF(COUNTIF($I$3:I35,I35)+COUNTIF($J$2:J34,I35)+COUNTIF($K$2:K34,I35)=1,MAX($BN$2:BP34)+1,""))</f>
      </c>
      <c r="BO35" s="129">
        <f>IF(J35="","",IF(COUNTIF($I$3:I35,J35)+COUNTIF($J$3:J35,J35)+COUNTIF($K$2:K34,J35)=1,MAX($BN$2:BP34,BN35)+1,""))</f>
      </c>
      <c r="BP35" s="129">
        <f>IF(K35="","",IF(COUNTIF($I$3:I35,K35)+COUNTIF($J$3:J35,K35)+COUNTIF($K$3:K35,K35)=1,MAX($BN$2:BP34,BN35,BO35)+1,""))</f>
      </c>
      <c r="BQ35" s="129">
        <f>IF(AY35=1,IFERROR(MID(Q35,FIND(" (",Q35)+2,FIND(")",Q35,FIND(" (",Q35))-FIND(" (",Q35)-2),"?"),"")</f>
      </c>
      <c r="BR35" s="129">
        <f>IF(BQ35="","",IF(COUNTIF($BQ$3:BQ35,BQ35)=1,MAX($BR$2:BR34)+1,""))</f>
      </c>
      <c r="BS35" s="129">
        <f>IF(AW35="","",COUNTIF($AW$3:AW35,"?*"))</f>
      </c>
      <c r="BT35" s="129">
        <f>IF(OR(AW35="",AI35=""),"",IF(COUNTIFS($AW$3:AW35,"?*",$AI$3:AI35,AI35)=1,MAX($BT$2:BT34)+1,""))</f>
      </c>
      <c r="BU35" s="129">
        <f>IF(AE35="",0,IF(OR(ISNUMBER(SEARCH("дубль",AE35)),ISNUMBER(SEARCH("ПЕРЕГРУЗ",AE35)),ISNUMBER(SEARCH("ЗАЩИЩ",AE35)),ISNUMBER(SEARCH("КАНАЛ",AE35)),ISNUMBER(SEARCH("без 30",AE35))),2,1))</f>
      </c>
      <c r="BV35" s="129">
        <f>IF(R35="","",COUNTIF($R$3:R35,"?*"))</f>
      </c>
      <c r="BW35" s="129">
        <f>IF(AY35&lt;&gt;1,0,IF(MAX(IFERROR(--VLOOKUP(R35,УГО_спр,5,FALSE),0),IFERROR(--VLOOKUP(AL35,УГО_спр,5,FALSE),0),IFERROR(--VLOOKUP(LEFT(AL35,2),УГО_спр,5,FALSE),0))&gt;0,MAX(IFERROR(--VLOOKUP(R35,УГО_спр,5,FALSE),0),IFERROR(--VLOOKUP(AL35,УГО_спр,5,FALSE),0),IFERROR(--VLOOKUP(LEFT(AL35,2),УГО_спр,5,FALSE),0)),IF(IFERROR(--LEFT(SUBSTITUTE(BQ35,"x","х"),FIND("х",SUBSTITUTE(BQ35,"x","х"))-1),3)&gt;3,Каталог!$S$9,1)))</f>
      </c>
      <c r="BX35" s="129">
        <f>IF(AY35&lt;&gt;1,0,MAX(0,IFERROR(--LEFT(SUBSTITUTE(BQ35,"x","х"),FIND("х",SUBSTITUTE(BQ35,"x","х"))-1),3)-3*BW35))</f>
      </c>
      <c r="BY35" s="129">
        <f>IF(R35="","",IFERROR(VLOOKUP(R35,УГО_спр,2,FALSE),IFERROR(VLOOKUP(AL35,УГО_спр,2,FALSE),IFERROR(VLOOKUP(LEFT(AL35,2),УГО_спр,2,FALSE),""))))</f>
      </c>
    </row>
    <row r="36" spans="1:64" x14ac:dyDescent="0.3">
      <c r="A36" s="135">
        <f>IF(Разбивка_по_щитам!F36=0,"",Разбивка_по_щитам!F36)</f>
      </c>
      <c r="B36" s="138">
        <f>IF(A36="","",Разбивка_по_щитам!C36)</f>
      </c>
      <c r="C36" s="138">
        <f t="shared" si="0"/>
      </c>
      <c r="D36" s="266"/>
      <c r="E36" s="266"/>
      <c r="F36" s="267"/>
      <c r="G36" s="145">
        <f t="shared" si="40"/>
        <v/>
      </c>
      <c r="H36" s="145">
        <f t="shared" si="41"/>
        <v/>
      </c>
      <c r="I36" s="266"/>
      <c r="J36" s="267"/>
      <c r="K36" s="267"/>
      <c r="L36" s="266"/>
      <c r="M36" s="147">
        <f t="shared" si="42"/>
        <v/>
      </c>
      <c r="N36" s="267"/>
      <c r="O36" s="147">
        <f t="shared" si="43"/>
        <v/>
      </c>
      <c r="P36" s="268">
        <f>IF(AY36=1,"XT"&amp;COUNTIFS($A$3:A36,A36,$AY$3:AY36,1),"")</f>
        <v/>
      </c>
      <c r="Q36" s="152">
        <f>IF(R36="","",IFERROR(SUBSTITUTE(Разбивка_по_щитам!P36,CHAR(10)," "),""))</f>
        <v/>
      </c>
      <c r="R36" s="153">
        <f>IF(OR(Разбивка_по_щитам!H36="",Разбивка_по_щитам!H36=0),"",Разбивка_по_щитам!H36)</f>
        <v/>
      </c>
      <c r="S36" s="154">
        <f>IF(R36="","",IFERROR(Разбивка_по_щитам!J36&amp;"",""))</f>
        <v/>
      </c>
      <c r="T36" s="155">
        <f>IF(R36="","",IFERROR(--Разбивка_по_щитам!L36,""))</f>
        <v/>
      </c>
      <c r="U36" s="155">
        <f>IF(R36="","",IFERROR(--Разбивка_по_щитам!K36,""))</f>
        <v/>
      </c>
      <c r="V36" s="138">
        <f>IF(R36="","",IFERROR(IF(Разбивка_по_щитам!M36=0,"",Разбивка_по_щитам!M36),""))</f>
        <v/>
      </c>
      <c r="W36" s="156">
        <f t="shared" si="5"/>
        <v/>
      </c>
      <c r="X36" s="157">
        <f t="shared" si="6"/>
        <v/>
      </c>
      <c r="Y36" s="266"/>
      <c r="Z36" s="158">
        <f t="shared" si="7"/>
        <v/>
      </c>
      <c r="AA36" s="160">
        <f t="shared" si="8"/>
        <v/>
      </c>
      <c r="AB36" s="160">
        <f>IF(R36="","",IFERROR(LOOKUP(INDEX(Справочная!$I$4:$I$19,MATCH(VLOOKUP(R36,Исходные_данные,22,FALSE),Справочная!$J$4:$J$19,0)+1),{6,10,16,20,25,32,40,50,63,80,100,125}),""))</f>
        <v/>
      </c>
      <c r="AC36" s="160">
        <f t="shared" si="9"/>
        <v/>
      </c>
      <c r="AD36" s="161">
        <f t="shared" si="10"/>
        <v/>
      </c>
      <c r="AE36" s="161">
        <f>IF(AND(R36="",G36=""),"",_xlfn.TEXTJOIN("; ",TRUE,IF(AND(R36&lt;&gt;"",V36=""),"нет фазы",""),IF(AND(R36&lt;&gt;"",N(T36)=0),"нет мощности",""),IF(AND(P36&lt;&gt;"",COUNTIFS($A$3:$A$1000,A36,$P$3:$P$1000,P36)&gt;1),"дубль клеммы "&amp;P36,""),IF(AND(W36&lt;&gt;"",W36&lt;&gt;"ok"),W36,""),IF(X36&lt;&gt;"",X36,""),IF(AND(ISNUMBER(SEARCH("(5х",Q36)),N(AK36)=1),"5 жил на 1 фазе",""),IF(AND(AL36="R",E36&lt;&gt;"",N(AS36)=0),"розетка без 30 мА",""),IF(IFERROR(_xlfn.NUMBERVALUE(MID(Q36,FIND("-",Q36,FIND("L=",Q36))+1,FIND("%",Q36)-FIND("-",Q36,FIND("L=",Q36))-1),","),0)&gt;4,"потери &gt; 4 %","")))</f>
      </c>
      <c r="AF36" s="129">
        <f>IF(E36&lt;&gt;"",COUNTIFS($A$3:A36,A36,$E$3:E36,"?*"),IF(OR(A36&lt;&gt;A35,Y36="вручную"),"",AF35))</f>
      </c>
      <c r="AG36" s="129">
        <f t="shared" si="11"/>
      </c>
      <c r="AH36" s="129">
        <f t="shared" si="12"/>
        <v/>
      </c>
      <c r="AI36" s="129">
        <f t="shared" si="13"/>
        <v/>
      </c>
      <c r="AJ36" s="129">
        <f t="shared" si="14"/>
        <v/>
      </c>
      <c r="AK36" s="129">
        <f t="shared" si="15"/>
        <v/>
      </c>
      <c r="AL36" s="129">
        <f t="shared" si="16"/>
        <v/>
      </c>
      <c r="AM36" s="129">
        <f t="shared" si="17"/>
      </c>
      <c r="AN36" s="129">
        <f t="shared" si="18"/>
      </c>
      <c r="AO36" s="129">
        <f t="shared" si="19"/>
        <v/>
      </c>
      <c r="AP36" s="129">
        <f t="shared" si="20"/>
        <v/>
      </c>
      <c r="AQ36" s="129">
        <f t="shared" si="21"/>
        <v/>
      </c>
      <c r="AR36" s="129">
        <f t="shared" si="22"/>
        <v/>
      </c>
      <c r="AS36" s="129">
        <f t="shared" si="23"/>
        <v/>
      </c>
      <c r="AT36" s="129">
        <f t="shared" si="24"/>
        <v/>
      </c>
      <c r="AU36" s="129">
        <f t="shared" si="25"/>
        <v/>
      </c>
      <c r="AV36" s="129">
        <f t="shared" si="26"/>
        <v/>
      </c>
      <c r="AW36" s="129">
        <f>IF(AV36="","",AV36&amp;"."&amp;COUNTIFS($A$3:A36,A36,$AV$3:AV36,AV36))</f>
        <v/>
      </c>
      <c r="AX36" s="129">
        <f t="shared" si="27"/>
        <v/>
      </c>
      <c r="AY36" s="129">
        <f>IF(N36="б/к",0,IF(OR(ISNUMBER(SEARCH("L=",Разбивка_по_щитам!P36)),N36="+",N36="="),1,0))</f>
      </c>
      <c r="AZ36" s="129">
        <f t="shared" si="28"/>
        <v/>
      </c>
      <c r="BA36" s="129">
        <f t="shared" si="29"/>
      </c>
      <c r="BB36" s="129">
        <f t="shared" si="30"/>
      </c>
      <c r="BD36" s="129">
        <f t="shared" si="31"/>
      </c>
      <c r="BE36" s="129">
        <f t="shared" si="32"/>
      </c>
      <c r="BF36" s="129">
        <f t="shared" si="33"/>
      </c>
      <c r="BG36" s="129">
        <f t="shared" si="34"/>
        <v/>
      </c>
      <c r="BH36" s="129">
        <f t="shared" si="35"/>
        <v/>
      </c>
      <c r="BI36" s="129">
        <f t="shared" si="36"/>
        <v/>
      </c>
      <c r="BJ36" s="129">
        <f t="shared" si="37"/>
        <v/>
      </c>
      <c r="BK36" s="129">
        <f>IF(R36="","",IF(OR(BY36="",BY36=0),"BOX",IFERROR(IF(VLOOKUP(BY36,УГО_блоки,3,FALSE)&amp;""&lt;&gt;"",VLOOKUP(BY36,УГО_блоки,3,FALSE),VLOOKUP(BY36,УГО_блоки,2,FALSE)),BY36)))</f>
      </c>
      <c r="BL36" s="129">
        <f t="shared" si="39"/>
      </c>
      <c r="BM36" s="129">
        <f>IF(H36="","",IF(COUNTIF($H$3:H36,H36)=1,MAX($BM$2:BM35)+1,""))</f>
      </c>
      <c r="BN36" s="129">
        <f>IF(I36="","",IF(COUNTIF($I$3:I36,I36)+COUNTIF($J$2:J35,I36)+COUNTIF($K$2:K35,I36)=1,MAX($BN$2:BP35)+1,""))</f>
      </c>
      <c r="BO36" s="129">
        <f>IF(J36="","",IF(COUNTIF($I$3:I36,J36)+COUNTIF($J$3:J36,J36)+COUNTIF($K$2:K35,J36)=1,MAX($BN$2:BP35,BN36)+1,""))</f>
      </c>
      <c r="BP36" s="129">
        <f>IF(K36="","",IF(COUNTIF($I$3:I36,K36)+COUNTIF($J$3:J36,K36)+COUNTIF($K$3:K36,K36)=1,MAX($BN$2:BP35,BN36,BO36)+1,""))</f>
      </c>
      <c r="BQ36" s="129">
        <f>IF(AY36=1,IFERROR(MID(Q36,FIND(" (",Q36)+2,FIND(")",Q36,FIND(" (",Q36))-FIND(" (",Q36)-2),"?"),"")</f>
      </c>
      <c r="BR36" s="129">
        <f>IF(BQ36="","",IF(COUNTIF($BQ$3:BQ36,BQ36)=1,MAX($BR$2:BR35)+1,""))</f>
      </c>
      <c r="BS36" s="129">
        <f>IF(AW36="","",COUNTIF($AW$3:AW36,"?*"))</f>
      </c>
      <c r="BT36" s="129">
        <f>IF(OR(AW36="",AI36=""),"",IF(COUNTIFS($AW$3:AW36,"?*",$AI$3:AI36,AI36)=1,MAX($BT$2:BT35)+1,""))</f>
      </c>
      <c r="BU36" s="129">
        <f>IF(AE36="",0,IF(OR(ISNUMBER(SEARCH("дубль",AE36)),ISNUMBER(SEARCH("ПЕРЕГРУЗ",AE36)),ISNUMBER(SEARCH("ЗАЩИЩ",AE36)),ISNUMBER(SEARCH("КАНАЛ",AE36)),ISNUMBER(SEARCH("без 30",AE36))),2,1))</f>
      </c>
      <c r="BV36" s="129">
        <f>IF(R36="","",COUNTIF($R$3:R36,"?*"))</f>
      </c>
      <c r="BW36" s="129">
        <f>IF(AY36&lt;&gt;1,0,IF(MAX(IFERROR(--VLOOKUP(R36,УГО_спр,5,FALSE),0),IFERROR(--VLOOKUP(AL36,УГО_спр,5,FALSE),0),IFERROR(--VLOOKUP(LEFT(AL36,2),УГО_спр,5,FALSE),0))&gt;0,MAX(IFERROR(--VLOOKUP(R36,УГО_спр,5,FALSE),0),IFERROR(--VLOOKUP(AL36,УГО_спр,5,FALSE),0),IFERROR(--VLOOKUP(LEFT(AL36,2),УГО_спр,5,FALSE),0)),IF(IFERROR(--LEFT(SUBSTITUTE(BQ36,"x","х"),FIND("х",SUBSTITUTE(BQ36,"x","х"))-1),3)&gt;3,Каталог!$S$9,1)))</f>
      </c>
      <c r="BX36" s="129">
        <f>IF(AY36&lt;&gt;1,0,MAX(0,IFERROR(--LEFT(SUBSTITUTE(BQ36,"x","х"),FIND("х",SUBSTITUTE(BQ36,"x","х"))-1),3)-3*BW36))</f>
      </c>
      <c r="BY36" s="129">
        <f>IF(R36="","",IFERROR(VLOOKUP(R36,УГО_спр,2,FALSE),IFERROR(VLOOKUP(AL36,УГО_спр,2,FALSE),IFERROR(VLOOKUP(LEFT(AL36,2),УГО_спр,2,FALSE),""))))</f>
      </c>
    </row>
    <row r="37" spans="1:64" x14ac:dyDescent="0.3">
      <c r="A37" s="135">
        <f>IF(Разбивка_по_щитам!F37=0,"",Разбивка_по_щитам!F37)</f>
      </c>
      <c r="B37" s="138">
        <f>IF(A37="","",Разбивка_по_щитам!C37)</f>
      </c>
      <c r="C37" s="138">
        <f t="shared" si="0"/>
      </c>
      <c r="D37" s="266"/>
      <c r="E37" s="266"/>
      <c r="F37" s="267"/>
      <c r="G37" s="145">
        <f t="shared" si="40"/>
        <v/>
      </c>
      <c r="H37" s="145">
        <f t="shared" si="41"/>
        <v/>
      </c>
      <c r="I37" s="266"/>
      <c r="J37" s="267"/>
      <c r="K37" s="267"/>
      <c r="L37" s="266"/>
      <c r="M37" s="147">
        <f t="shared" si="42"/>
        <v/>
      </c>
      <c r="N37" s="267"/>
      <c r="O37" s="147">
        <f t="shared" si="43"/>
        <v/>
      </c>
      <c r="P37" s="268">
        <f>IF(AY37=1,"XT"&amp;COUNTIFS($A$3:A37,A37,$AY$3:AY37,1),"")</f>
        <v/>
      </c>
      <c r="Q37" s="152">
        <f>IF(R37="","",IFERROR(SUBSTITUTE(Разбивка_по_щитам!P37,CHAR(10)," "),""))</f>
        <v/>
      </c>
      <c r="R37" s="153">
        <f>IF(OR(Разбивка_по_щитам!H37="",Разбивка_по_щитам!H37=0),"",Разбивка_по_щитам!H37)</f>
        <v/>
      </c>
      <c r="S37" s="154">
        <f>IF(R37="","",IFERROR(Разбивка_по_щитам!J37&amp;"",""))</f>
        <v/>
      </c>
      <c r="T37" s="155">
        <f>IF(R37="","",IFERROR(--Разбивка_по_щитам!L37,""))</f>
        <v/>
      </c>
      <c r="U37" s="155">
        <f>IF(R37="","",IFERROR(--Разбивка_по_щитам!K37,""))</f>
        <v/>
      </c>
      <c r="V37" s="138">
        <f>IF(R37="","",IFERROR(IF(Разбивка_по_щитам!M37=0,"",Разбивка_по_щитам!M37),""))</f>
        <v/>
      </c>
      <c r="W37" s="156">
        <f t="shared" si="5"/>
        <v/>
      </c>
      <c r="X37" s="157">
        <f t="shared" si="6"/>
        <v/>
      </c>
      <c r="Y37" s="266"/>
      <c r="Z37" s="158">
        <f t="shared" si="7"/>
        <v/>
      </c>
      <c r="AA37" s="160">
        <f t="shared" si="8"/>
        <v/>
      </c>
      <c r="AB37" s="160">
        <f>IF(R37="","",IFERROR(LOOKUP(INDEX(Справочная!$I$4:$I$19,MATCH(VLOOKUP(R37,Исходные_данные,22,FALSE),Справочная!$J$4:$J$19,0)+1),{6,10,16,20,25,32,40,50,63,80,100,125}),""))</f>
        <v/>
      </c>
      <c r="AC37" s="160">
        <f t="shared" si="9"/>
        <v/>
      </c>
      <c r="AD37" s="161">
        <f t="shared" si="10"/>
        <v/>
      </c>
      <c r="AE37" s="161">
        <f>IF(AND(R37="",G37=""),"",_xlfn.TEXTJOIN("; ",TRUE,IF(AND(R37&lt;&gt;"",V37=""),"нет фазы",""),IF(AND(R37&lt;&gt;"",N(T37)=0),"нет мощности",""),IF(AND(P37&lt;&gt;"",COUNTIFS($A$3:$A$1000,A37,$P$3:$P$1000,P37)&gt;1),"дубль клеммы "&amp;P37,""),IF(AND(W37&lt;&gt;"",W37&lt;&gt;"ok"),W37,""),IF(X37&lt;&gt;"",X37,""),IF(AND(ISNUMBER(SEARCH("(5х",Q37)),N(AK37)=1),"5 жил на 1 фазе",""),IF(AND(AL37="R",E37&lt;&gt;"",N(AS37)=0),"розетка без 30 мА",""),IF(IFERROR(_xlfn.NUMBERVALUE(MID(Q37,FIND("-",Q37,FIND("L=",Q37))+1,FIND("%",Q37)-FIND("-",Q37,FIND("L=",Q37))-1),","),0)&gt;4,"потери &gt; 4 %","")))</f>
      </c>
      <c r="AF37" s="129">
        <f>IF(E37&lt;&gt;"",COUNTIFS($A$3:A37,A37,$E$3:E37,"?*"),IF(OR(A37&lt;&gt;A36,Y37="вручную"),"",AF36))</f>
      </c>
      <c r="AG37" s="129">
        <f t="shared" si="11"/>
      </c>
      <c r="AH37" s="129">
        <f t="shared" si="12"/>
        <v/>
      </c>
      <c r="AI37" s="129">
        <f t="shared" si="13"/>
        <v/>
      </c>
      <c r="AJ37" s="129">
        <f t="shared" si="14"/>
        <v/>
      </c>
      <c r="AK37" s="129">
        <f t="shared" si="15"/>
        <v/>
      </c>
      <c r="AL37" s="129">
        <f t="shared" si="16"/>
        <v/>
      </c>
      <c r="AM37" s="129">
        <f t="shared" si="17"/>
      </c>
      <c r="AN37" s="129">
        <f t="shared" si="18"/>
      </c>
      <c r="AO37" s="129">
        <f t="shared" si="19"/>
        <v/>
      </c>
      <c r="AP37" s="129">
        <f t="shared" si="20"/>
        <v/>
      </c>
      <c r="AQ37" s="129">
        <f t="shared" si="21"/>
        <v/>
      </c>
      <c r="AR37" s="129">
        <f t="shared" si="22"/>
        <v/>
      </c>
      <c r="AS37" s="129">
        <f t="shared" si="23"/>
        <v/>
      </c>
      <c r="AT37" s="129">
        <f t="shared" si="24"/>
        <v/>
      </c>
      <c r="AU37" s="129">
        <f t="shared" si="25"/>
        <v/>
      </c>
      <c r="AV37" s="129">
        <f t="shared" si="26"/>
        <v/>
      </c>
      <c r="AW37" s="129">
        <f>IF(AV37="","",AV37&amp;"."&amp;COUNTIFS($A$3:A37,A37,$AV$3:AV37,AV37))</f>
        <v/>
      </c>
      <c r="AX37" s="129">
        <f t="shared" si="27"/>
        <v/>
      </c>
      <c r="AY37" s="129">
        <f>IF(N37="б/к",0,IF(OR(ISNUMBER(SEARCH("L=",Разбивка_по_щитам!P37)),N37="+",N37="="),1,0))</f>
      </c>
      <c r="AZ37" s="129">
        <f t="shared" si="28"/>
        <v/>
      </c>
      <c r="BA37" s="129">
        <f t="shared" si="29"/>
      </c>
      <c r="BB37" s="129">
        <f t="shared" si="30"/>
      </c>
      <c r="BD37" s="129">
        <f t="shared" si="31"/>
      </c>
      <c r="BE37" s="129">
        <f t="shared" si="32"/>
      </c>
      <c r="BF37" s="129">
        <f t="shared" si="33"/>
      </c>
      <c r="BG37" s="129">
        <f t="shared" si="34"/>
        <v/>
      </c>
      <c r="BH37" s="129">
        <f t="shared" si="35"/>
        <v/>
      </c>
      <c r="BI37" s="129">
        <f t="shared" si="36"/>
        <v/>
      </c>
      <c r="BJ37" s="129">
        <f t="shared" si="37"/>
        <v/>
      </c>
      <c r="BK37" s="129">
        <f>IF(R37="","",IF(OR(BY37="",BY37=0),"BOX",IFERROR(IF(VLOOKUP(BY37,УГО_блоки,3,FALSE)&amp;""&lt;&gt;"",VLOOKUP(BY37,УГО_блоки,3,FALSE),VLOOKUP(BY37,УГО_блоки,2,FALSE)),BY37)))</f>
      </c>
      <c r="BL37" s="129">
        <f t="shared" si="39"/>
      </c>
      <c r="BM37" s="129">
        <f>IF(H37="","",IF(COUNTIF($H$3:H37,H37)=1,MAX($BM$2:BM36)+1,""))</f>
      </c>
      <c r="BN37" s="129">
        <f>IF(I37="","",IF(COUNTIF($I$3:I37,I37)+COUNTIF($J$2:J36,I37)+COUNTIF($K$2:K36,I37)=1,MAX($BN$2:BP36)+1,""))</f>
      </c>
      <c r="BO37" s="129">
        <f>IF(J37="","",IF(COUNTIF($I$3:I37,J37)+COUNTIF($J$3:J37,J37)+COUNTIF($K$2:K36,J37)=1,MAX($BN$2:BP36,BN37)+1,""))</f>
      </c>
      <c r="BP37" s="129">
        <f>IF(K37="","",IF(COUNTIF($I$3:I37,K37)+COUNTIF($J$3:J37,K37)+COUNTIF($K$3:K37,K37)=1,MAX($BN$2:BP36,BN37,BO37)+1,""))</f>
      </c>
      <c r="BQ37" s="129">
        <f>IF(AY37=1,IFERROR(MID(Q37,FIND(" (",Q37)+2,FIND(")",Q37,FIND(" (",Q37))-FIND(" (",Q37)-2),"?"),"")</f>
      </c>
      <c r="BR37" s="129">
        <f>IF(BQ37="","",IF(COUNTIF($BQ$3:BQ37,BQ37)=1,MAX($BR$2:BR36)+1,""))</f>
      </c>
      <c r="BS37" s="129">
        <f>IF(AW37="","",COUNTIF($AW$3:AW37,"?*"))</f>
      </c>
      <c r="BT37" s="129">
        <f>IF(OR(AW37="",AI37=""),"",IF(COUNTIFS($AW$3:AW37,"?*",$AI$3:AI37,AI37)=1,MAX($BT$2:BT36)+1,""))</f>
      </c>
      <c r="BU37" s="129">
        <f>IF(AE37="",0,IF(OR(ISNUMBER(SEARCH("дубль",AE37)),ISNUMBER(SEARCH("ПЕРЕГРУЗ",AE37)),ISNUMBER(SEARCH("ЗАЩИЩ",AE37)),ISNUMBER(SEARCH("КАНАЛ",AE37)),ISNUMBER(SEARCH("без 30",AE37))),2,1))</f>
      </c>
      <c r="BV37" s="129">
        <f>IF(R37="","",COUNTIF($R$3:R37,"?*"))</f>
      </c>
      <c r="BW37" s="129">
        <f>IF(AY37&lt;&gt;1,0,IF(MAX(IFERROR(--VLOOKUP(R37,УГО_спр,5,FALSE),0),IFERROR(--VLOOKUP(AL37,УГО_спр,5,FALSE),0),IFERROR(--VLOOKUP(LEFT(AL37,2),УГО_спр,5,FALSE),0))&gt;0,MAX(IFERROR(--VLOOKUP(R37,УГО_спр,5,FALSE),0),IFERROR(--VLOOKUP(AL37,УГО_спр,5,FALSE),0),IFERROR(--VLOOKUP(LEFT(AL37,2),УГО_спр,5,FALSE),0)),IF(IFERROR(--LEFT(SUBSTITUTE(BQ37,"x","х"),FIND("х",SUBSTITUTE(BQ37,"x","х"))-1),3)&gt;3,Каталог!$S$9,1)))</f>
      </c>
      <c r="BX37" s="129">
        <f>IF(AY37&lt;&gt;1,0,MAX(0,IFERROR(--LEFT(SUBSTITUTE(BQ37,"x","х"),FIND("х",SUBSTITUTE(BQ37,"x","х"))-1),3)-3*BW37))</f>
      </c>
      <c r="BY37" s="129">
        <f>IF(R37="","",IFERROR(VLOOKUP(R37,УГО_спр,2,FALSE),IFERROR(VLOOKUP(AL37,УГО_спр,2,FALSE),IFERROR(VLOOKUP(LEFT(AL37,2),УГО_спр,2,FALSE),""))))</f>
      </c>
    </row>
    <row r="38" spans="1:64" x14ac:dyDescent="0.3">
      <c r="A38" s="135">
        <f>IF(Разбивка_по_щитам!F38=0,"",Разбивка_по_щитам!F38)</f>
      </c>
      <c r="B38" s="138">
        <f>IF(A38="","",Разбивка_по_щитам!C38)</f>
      </c>
      <c r="C38" s="138">
        <f t="shared" si="0"/>
      </c>
      <c r="D38" s="266"/>
      <c r="E38" s="266"/>
      <c r="F38" s="267"/>
      <c r="G38" s="145">
        <f t="shared" si="40"/>
      </c>
      <c r="H38" s="145">
        <f t="shared" si="41"/>
      </c>
      <c r="I38" s="266"/>
      <c r="J38" s="267"/>
      <c r="K38" s="267"/>
      <c r="L38" s="266"/>
      <c r="M38" s="147">
        <f t="shared" si="42"/>
        <v/>
      </c>
      <c r="N38" s="267"/>
      <c r="O38" s="147">
        <f t="shared" si="43"/>
        <v/>
      </c>
      <c r="P38" s="268">
        <f>IF(AY38=1,"XT"&amp;COUNTIFS($A$3:A38,A38,$AY$3:AY38,1),"")</f>
      </c>
      <c r="Q38" s="152">
        <f>IF(R38="","",IFERROR(SUBSTITUTE(Разбивка_по_щитам!P38,CHAR(10)," "),""))</f>
      </c>
      <c r="R38" s="153">
        <f>IF(OR(Разбивка_по_щитам!H38="",Разбивка_по_щитам!H38=0),"",Разбивка_по_щитам!H38)</f>
      </c>
      <c r="S38" s="154">
        <f>IF(R38="","",IFERROR(Разбивка_по_щитам!J38&amp;"",""))</f>
      </c>
      <c r="T38" s="155">
        <f>IF(R38="","",IFERROR(--Разбивка_по_щитам!L38,""))</f>
      </c>
      <c r="U38" s="155">
        <f>IF(R38="","",IFERROR(--Разбивка_по_щитам!K38,""))</f>
      </c>
      <c r="V38" s="138">
        <f>IF(R38="","",IFERROR(IF(Разбивка_по_щитам!M38=0,"",Разбивка_по_щитам!M38),""))</f>
      </c>
      <c r="W38" s="156">
        <f t="shared" si="5"/>
      </c>
      <c r="X38" s="157">
        <f t="shared" si="6"/>
        <v/>
      </c>
      <c r="Y38" s="266"/>
      <c r="Z38" s="158">
        <f t="shared" si="7"/>
      </c>
      <c r="AA38" s="160">
        <f t="shared" si="8"/>
      </c>
      <c r="AB38" s="160">
        <f>IF(R38="","",IFERROR(LOOKUP(INDEX(Справочная!$I$4:$I$19,MATCH(VLOOKUP(R38,Исходные_данные,22,FALSE),Справочная!$J$4:$J$19,0)+1),{6,10,16,20,25,32,40,50,63,80,100,125}),""))</f>
      </c>
      <c r="AC38" s="160">
        <f t="shared" si="9"/>
        <v/>
      </c>
      <c r="AD38" s="161">
        <f t="shared" si="10"/>
      </c>
      <c r="AE38" s="161">
        <f>IF(AND(R38="",G38=""),"",_xlfn.TEXTJOIN("; ",TRUE,IF(AND(R38&lt;&gt;"",V38=""),"нет фазы",""),IF(AND(R38&lt;&gt;"",N(T38)=0),"нет мощности",""),IF(AND(P38&lt;&gt;"",COUNTIFS($A$3:$A$1000,A38,$P$3:$P$1000,P38)&gt;1),"дубль клеммы "&amp;P38,""),IF(AND(W38&lt;&gt;"",W38&lt;&gt;"ok"),W38,""),IF(X38&lt;&gt;"",X38,""),IF(AND(ISNUMBER(SEARCH("(5х",Q38)),N(AK38)=1),"5 жил на 1 фазе",""),IF(AND(AL38="R",E38&lt;&gt;"",N(AS38)=0),"розетка без 30 мА",""),IF(IFERROR(_xlfn.NUMBERVALUE(MID(Q38,FIND("-",Q38,FIND("L=",Q38))+1,FIND("%",Q38)-FIND("-",Q38,FIND("L=",Q38))-1),","),0)&gt;4,"потери &gt; 4 %","")))</f>
      </c>
      <c r="AF38" s="129">
        <f>IF(E38&lt;&gt;"",COUNTIFS($A$3:A38,A38,$E$3:E38,"?*"),IF(OR(A38&lt;&gt;A37,Y38="вручную"),"",AF37))</f>
      </c>
      <c r="AG38" s="129">
        <f t="shared" si="11"/>
      </c>
      <c r="AH38" s="129">
        <f t="shared" si="12"/>
        <v/>
      </c>
      <c r="AI38" s="129">
        <f t="shared" si="13"/>
        <v/>
      </c>
      <c r="AJ38" s="129">
        <f t="shared" si="14"/>
      </c>
      <c r="AK38" s="129">
        <f t="shared" si="15"/>
      </c>
      <c r="AL38" s="129">
        <f t="shared" si="16"/>
      </c>
      <c r="AM38" s="129">
        <f t="shared" si="17"/>
      </c>
      <c r="AN38" s="129">
        <f t="shared" si="18"/>
      </c>
      <c r="AO38" s="129">
        <f t="shared" si="19"/>
      </c>
      <c r="AP38" s="129">
        <f t="shared" si="20"/>
      </c>
      <c r="AQ38" s="129">
        <f t="shared" si="21"/>
      </c>
      <c r="AR38" s="129">
        <f t="shared" si="22"/>
      </c>
      <c r="AS38" s="129">
        <f t="shared" si="23"/>
      </c>
      <c r="AT38" s="129">
        <f t="shared" si="24"/>
      </c>
      <c r="AU38" s="129">
        <f t="shared" si="25"/>
      </c>
      <c r="AV38" s="129">
        <f t="shared" si="26"/>
        <v/>
      </c>
      <c r="AW38" s="129">
        <f>IF(AV38="","",AV38&amp;"."&amp;COUNTIFS($A$3:A38,A38,$AV$3:AV38,AV38))</f>
        <v/>
      </c>
      <c r="AX38" s="129">
        <f t="shared" si="27"/>
        <v/>
      </c>
      <c r="AY38" s="129">
        <f>IF(N38="б/к",0,IF(OR(ISNUMBER(SEARCH("L=",Разбивка_по_щитам!P38)),N38="+",N38="="),1,0))</f>
      </c>
      <c r="AZ38" s="129">
        <f t="shared" si="28"/>
        <v/>
      </c>
      <c r="BA38" s="129">
        <f t="shared" si="29"/>
      </c>
      <c r="BB38" s="129">
        <f t="shared" si="30"/>
      </c>
      <c r="BD38" s="129">
        <f t="shared" si="31"/>
      </c>
      <c r="BE38" s="129">
        <f t="shared" si="32"/>
      </c>
      <c r="BF38" s="129">
        <f t="shared" si="33"/>
      </c>
      <c r="BG38" s="129">
        <f t="shared" si="34"/>
        <v/>
      </c>
      <c r="BH38" s="129">
        <f t="shared" si="35"/>
        <v/>
      </c>
      <c r="BI38" s="129">
        <f t="shared" si="36"/>
        <v/>
      </c>
      <c r="BJ38" s="129">
        <f t="shared" si="37"/>
        <v/>
      </c>
      <c r="BK38" s="129">
        <f>IF(R38="","",IF(OR(BY38="",BY38=0),"BOX",IFERROR(IF(VLOOKUP(BY38,УГО_блоки,3,FALSE)&amp;""&lt;&gt;"",VLOOKUP(BY38,УГО_блоки,3,FALSE),VLOOKUP(BY38,УГО_блоки,2,FALSE)),BY38)))</f>
      </c>
      <c r="BL38" s="129">
        <f t="shared" si="39"/>
      </c>
      <c r="BM38" s="129">
        <f>IF(H38="","",IF(COUNTIF($H$3:H38,H38)=1,MAX($BM$2:BM37)+1,""))</f>
      </c>
      <c r="BN38" s="129">
        <f>IF(I38="","",IF(COUNTIF($I$3:I38,I38)+COUNTIF($J$2:J37,I38)+COUNTIF($K$2:K37,I38)=1,MAX($BN$2:BP37)+1,""))</f>
      </c>
      <c r="BO38" s="129">
        <f>IF(J38="","",IF(COUNTIF($I$3:I38,J38)+COUNTIF($J$3:J38,J38)+COUNTIF($K$2:K37,J38)=1,MAX($BN$2:BP37,BN38)+1,""))</f>
      </c>
      <c r="BP38" s="129">
        <f>IF(K38="","",IF(COUNTIF($I$3:I38,K38)+COUNTIF($J$3:J38,K38)+COUNTIF($K$3:K38,K38)=1,MAX($BN$2:BP37,BN38,BO38)+1,""))</f>
      </c>
      <c r="BQ38" s="129">
        <f>IF(AY38=1,IFERROR(MID(Q38,FIND(" (",Q38)+2,FIND(")",Q38,FIND(" (",Q38))-FIND(" (",Q38)-2),"?"),"")</f>
      </c>
      <c r="BR38" s="129">
        <f>IF(BQ38="","",IF(COUNTIF($BQ$3:BQ38,BQ38)=1,MAX($BR$2:BR37)+1,""))</f>
      </c>
      <c r="BS38" s="129">
        <f>IF(AW38="","",COUNTIF($AW$3:AW38,"?*"))</f>
      </c>
      <c r="BT38" s="129">
        <f>IF(OR(AW38="",AI38=""),"",IF(COUNTIFS($AW$3:AW38,"?*",$AI$3:AI38,AI38)=1,MAX($BT$2:BT37)+1,""))</f>
      </c>
      <c r="BU38" s="129">
        <f>IF(AE38="",0,IF(OR(ISNUMBER(SEARCH("дубль",AE38)),ISNUMBER(SEARCH("ПЕРЕГРУЗ",AE38)),ISNUMBER(SEARCH("ЗАЩИЩ",AE38)),ISNUMBER(SEARCH("КАНАЛ",AE38)),ISNUMBER(SEARCH("без 30",AE38))),2,1))</f>
      </c>
      <c r="BV38" s="129">
        <f>IF(R38="","",COUNTIF($R$3:R38,"?*"))</f>
      </c>
      <c r="BW38" s="129">
        <f>IF(AY38&lt;&gt;1,0,IF(MAX(IFERROR(--VLOOKUP(R38,УГО_спр,5,FALSE),0),IFERROR(--VLOOKUP(AL38,УГО_спр,5,FALSE),0),IFERROR(--VLOOKUP(LEFT(AL38,2),УГО_спр,5,FALSE),0))&gt;0,MAX(IFERROR(--VLOOKUP(R38,УГО_спр,5,FALSE),0),IFERROR(--VLOOKUP(AL38,УГО_спр,5,FALSE),0),IFERROR(--VLOOKUP(LEFT(AL38,2),УГО_спр,5,FALSE),0)),IF(IFERROR(--LEFT(SUBSTITUTE(BQ38,"x","х"),FIND("х",SUBSTITUTE(BQ38,"x","х"))-1),3)&gt;3,Каталог!$S$9,1)))</f>
      </c>
      <c r="BX38" s="129">
        <f>IF(AY38&lt;&gt;1,0,MAX(0,IFERROR(--LEFT(SUBSTITUTE(BQ38,"x","х"),FIND("х",SUBSTITUTE(BQ38,"x","х"))-1),3)-3*BW38))</f>
      </c>
      <c r="BY38" s="129">
        <f>IF(R38="","",IFERROR(VLOOKUP(R38,УГО_спр,2,FALSE),IFERROR(VLOOKUP(AL38,УГО_спр,2,FALSE),IFERROR(VLOOKUP(LEFT(AL38,2),УГО_спр,2,FALSE),""))))</f>
      </c>
    </row>
    <row r="39" spans="1:64" x14ac:dyDescent="0.3">
      <c r="A39" s="135">
        <f>IF(Разбивка_по_щитам!F39=0,"",Разбивка_по_щитам!F39)</f>
      </c>
      <c r="B39" s="138">
        <f>IF(A39="","",Разбивка_по_щитам!C39)</f>
      </c>
      <c r="C39" s="138">
        <f t="shared" si="0"/>
      </c>
      <c r="D39" s="266"/>
      <c r="E39" s="266"/>
      <c r="F39" s="267"/>
      <c r="G39" s="145">
        <f t="shared" si="40"/>
      </c>
      <c r="H39" s="145">
        <f t="shared" si="41"/>
      </c>
      <c r="I39" s="266"/>
      <c r="J39" s="267"/>
      <c r="K39" s="267"/>
      <c r="L39" s="266"/>
      <c r="M39" s="147">
        <f t="shared" si="42"/>
        <v/>
      </c>
      <c r="N39" s="267"/>
      <c r="O39" s="147">
        <f t="shared" si="43"/>
        <v/>
      </c>
      <c r="P39" s="268">
        <f>IF(AY39=1,"XT"&amp;COUNTIFS($A$3:A39,A39,$AY$3:AY39,1),"")</f>
      </c>
      <c r="Q39" s="152">
        <f>IF(R39="","",IFERROR(SUBSTITUTE(Разбивка_по_щитам!P39,CHAR(10)," "),""))</f>
      </c>
      <c r="R39" s="153">
        <f>IF(OR(Разбивка_по_щитам!H39="",Разбивка_по_щитам!H39=0),"",Разбивка_по_щитам!H39)</f>
      </c>
      <c r="S39" s="154">
        <f>IF(R39="","",IFERROR(Разбивка_по_щитам!J39&amp;"",""))</f>
      </c>
      <c r="T39" s="155">
        <f>IF(R39="","",IFERROR(--Разбивка_по_щитам!L39,""))</f>
      </c>
      <c r="U39" s="155">
        <f>IF(R39="","",IFERROR(--Разбивка_по_щитам!K39,""))</f>
      </c>
      <c r="V39" s="138">
        <f>IF(R39="","",IFERROR(IF(Разбивка_по_щитам!M39=0,"",Разбивка_по_щитам!M39),""))</f>
      </c>
      <c r="W39" s="156">
        <f t="shared" si="5"/>
      </c>
      <c r="X39" s="157">
        <f t="shared" si="6"/>
        <v/>
      </c>
      <c r="Y39" s="266"/>
      <c r="Z39" s="158">
        <f t="shared" si="7"/>
      </c>
      <c r="AA39" s="160">
        <f t="shared" si="8"/>
      </c>
      <c r="AB39" s="160">
        <f>IF(R39="","",IFERROR(LOOKUP(INDEX(Справочная!$I$4:$I$19,MATCH(VLOOKUP(R39,Исходные_данные,22,FALSE),Справочная!$J$4:$J$19,0)+1),{6,10,16,20,25,32,40,50,63,80,100,125}),""))</f>
      </c>
      <c r="AC39" s="160">
        <f t="shared" si="9"/>
        <v/>
      </c>
      <c r="AD39" s="161">
        <f t="shared" si="10"/>
      </c>
      <c r="AE39" s="161">
        <f>IF(AND(R39="",G39=""),"",_xlfn.TEXTJOIN("; ",TRUE,IF(AND(R39&lt;&gt;"",V39=""),"нет фазы",""),IF(AND(R39&lt;&gt;"",N(T39)=0),"нет мощности",""),IF(AND(P39&lt;&gt;"",COUNTIFS($A$3:$A$1000,A39,$P$3:$P$1000,P39)&gt;1),"дубль клеммы "&amp;P39,""),IF(AND(W39&lt;&gt;"",W39&lt;&gt;"ok"),W39,""),IF(X39&lt;&gt;"",X39,""),IF(AND(ISNUMBER(SEARCH("(5х",Q39)),N(AK39)=1),"5 жил на 1 фазе",""),IF(AND(AL39="R",E39&lt;&gt;"",N(AS39)=0),"розетка без 30 мА",""),IF(IFERROR(_xlfn.NUMBERVALUE(MID(Q39,FIND("-",Q39,FIND("L=",Q39))+1,FIND("%",Q39)-FIND("-",Q39,FIND("L=",Q39))-1),","),0)&gt;4,"потери &gt; 4 %","")))</f>
      </c>
      <c r="AF39" s="129">
        <f>IF(E39&lt;&gt;"",COUNTIFS($A$3:A39,A39,$E$3:E39,"?*"),IF(OR(A39&lt;&gt;A38,Y39="вручную"),"",AF38))</f>
      </c>
      <c r="AG39" s="129">
        <f t="shared" si="11"/>
      </c>
      <c r="AH39" s="129">
        <f t="shared" si="12"/>
        <v/>
      </c>
      <c r="AI39" s="129">
        <f t="shared" si="13"/>
        <v/>
      </c>
      <c r="AJ39" s="129">
        <f t="shared" si="14"/>
      </c>
      <c r="AK39" s="129">
        <f t="shared" si="15"/>
      </c>
      <c r="AL39" s="129">
        <f t="shared" si="16"/>
      </c>
      <c r="AM39" s="129">
        <f t="shared" si="17"/>
      </c>
      <c r="AN39" s="129">
        <f t="shared" si="18"/>
      </c>
      <c r="AO39" s="129">
        <f t="shared" si="19"/>
      </c>
      <c r="AP39" s="129">
        <f t="shared" si="20"/>
      </c>
      <c r="AQ39" s="129">
        <f t="shared" si="21"/>
      </c>
      <c r="AR39" s="129">
        <f t="shared" si="22"/>
      </c>
      <c r="AS39" s="129">
        <f t="shared" si="23"/>
      </c>
      <c r="AT39" s="129">
        <f t="shared" si="24"/>
      </c>
      <c r="AU39" s="129">
        <f t="shared" si="25"/>
      </c>
      <c r="AV39" s="129">
        <f t="shared" si="26"/>
        <v/>
      </c>
      <c r="AW39" s="129">
        <f>IF(AV39="","",AV39&amp;"."&amp;COUNTIFS($A$3:A39,A39,$AV$3:AV39,AV39))</f>
        <v/>
      </c>
      <c r="AX39" s="129">
        <f t="shared" si="27"/>
        <v/>
      </c>
      <c r="AY39" s="129">
        <f>IF(N39="б/к",0,IF(OR(ISNUMBER(SEARCH("L=",Разбивка_по_щитам!P39)),N39="+",N39="="),1,0))</f>
      </c>
      <c r="AZ39" s="129">
        <f t="shared" si="28"/>
        <v/>
      </c>
      <c r="BA39" s="129">
        <f t="shared" si="29"/>
      </c>
      <c r="BB39" s="129">
        <f t="shared" si="30"/>
      </c>
      <c r="BD39" s="129">
        <f t="shared" si="31"/>
      </c>
      <c r="BE39" s="129">
        <f t="shared" si="32"/>
      </c>
      <c r="BF39" s="129">
        <f t="shared" si="33"/>
      </c>
      <c r="BG39" s="129">
        <f t="shared" si="34"/>
        <v/>
      </c>
      <c r="BH39" s="129">
        <f t="shared" si="35"/>
        <v/>
      </c>
      <c r="BI39" s="129">
        <f t="shared" si="36"/>
        <v/>
      </c>
      <c r="BJ39" s="129">
        <f t="shared" si="37"/>
        <v/>
      </c>
      <c r="BK39" s="129">
        <f>IF(R39="","",IF(OR(BY39="",BY39=0),"BOX",IFERROR(IF(VLOOKUP(BY39,УГО_блоки,3,FALSE)&amp;""&lt;&gt;"",VLOOKUP(BY39,УГО_блоки,3,FALSE),VLOOKUP(BY39,УГО_блоки,2,FALSE)),BY39)))</f>
      </c>
      <c r="BL39" s="129">
        <f t="shared" si="39"/>
      </c>
      <c r="BM39" s="129">
        <f>IF(H39="","",IF(COUNTIF($H$3:H39,H39)=1,MAX($BM$2:BM38)+1,""))</f>
      </c>
      <c r="BN39" s="129">
        <f>IF(I39="","",IF(COUNTIF($I$3:I39,I39)+COUNTIF($J$2:J38,I39)+COUNTIF($K$2:K38,I39)=1,MAX($BN$2:BP38)+1,""))</f>
      </c>
      <c r="BO39" s="129">
        <f>IF(J39="","",IF(COUNTIF($I$3:I39,J39)+COUNTIF($J$3:J39,J39)+COUNTIF($K$2:K38,J39)=1,MAX($BN$2:BP38,BN39)+1,""))</f>
      </c>
      <c r="BP39" s="129">
        <f>IF(K39="","",IF(COUNTIF($I$3:I39,K39)+COUNTIF($J$3:J39,K39)+COUNTIF($K$3:K39,K39)=1,MAX($BN$2:BP38,BN39,BO39)+1,""))</f>
      </c>
      <c r="BQ39" s="129">
        <f>IF(AY39=1,IFERROR(MID(Q39,FIND(" (",Q39)+2,FIND(")",Q39,FIND(" (",Q39))-FIND(" (",Q39)-2),"?"),"")</f>
      </c>
      <c r="BR39" s="129">
        <f>IF(BQ39="","",IF(COUNTIF($BQ$3:BQ39,BQ39)=1,MAX($BR$2:BR38)+1,""))</f>
      </c>
      <c r="BS39" s="129">
        <f>IF(AW39="","",COUNTIF($AW$3:AW39,"?*"))</f>
      </c>
      <c r="BT39" s="129">
        <f>IF(OR(AW39="",AI39=""),"",IF(COUNTIFS($AW$3:AW39,"?*",$AI$3:AI39,AI39)=1,MAX($BT$2:BT38)+1,""))</f>
      </c>
      <c r="BU39" s="129">
        <f>IF(AE39="",0,IF(OR(ISNUMBER(SEARCH("дубль",AE39)),ISNUMBER(SEARCH("ПЕРЕГРУЗ",AE39)),ISNUMBER(SEARCH("ЗАЩИЩ",AE39)),ISNUMBER(SEARCH("КАНАЛ",AE39)),ISNUMBER(SEARCH("без 30",AE39))),2,1))</f>
      </c>
      <c r="BV39" s="129">
        <f>IF(R39="","",COUNTIF($R$3:R39,"?*"))</f>
      </c>
      <c r="BW39" s="129">
        <f>IF(AY39&lt;&gt;1,0,IF(MAX(IFERROR(--VLOOKUP(R39,УГО_спр,5,FALSE),0),IFERROR(--VLOOKUP(AL39,УГО_спр,5,FALSE),0),IFERROR(--VLOOKUP(LEFT(AL39,2),УГО_спр,5,FALSE),0))&gt;0,MAX(IFERROR(--VLOOKUP(R39,УГО_спр,5,FALSE),0),IFERROR(--VLOOKUP(AL39,УГО_спр,5,FALSE),0),IFERROR(--VLOOKUP(LEFT(AL39,2),УГО_спр,5,FALSE),0)),IF(IFERROR(--LEFT(SUBSTITUTE(BQ39,"x","х"),FIND("х",SUBSTITUTE(BQ39,"x","х"))-1),3)&gt;3,Каталог!$S$9,1)))</f>
      </c>
      <c r="BX39" s="129">
        <f>IF(AY39&lt;&gt;1,0,MAX(0,IFERROR(--LEFT(SUBSTITUTE(BQ39,"x","х"),FIND("х",SUBSTITUTE(BQ39,"x","х"))-1),3)-3*BW39))</f>
      </c>
      <c r="BY39" s="129">
        <f>IF(R39="","",IFERROR(VLOOKUP(R39,УГО_спр,2,FALSE),IFERROR(VLOOKUP(AL39,УГО_спр,2,FALSE),IFERROR(VLOOKUP(LEFT(AL39,2),УГО_спр,2,FALSE),""))))</f>
      </c>
    </row>
    <row r="40" spans="1:64" x14ac:dyDescent="0.3">
      <c r="A40" s="135">
        <f>IF(Разбивка_по_щитам!F40=0,"",Разбивка_по_щитам!F40)</f>
      </c>
      <c r="B40" s="138">
        <f>IF(A40="","",Разбивка_по_щитам!C40)</f>
      </c>
      <c r="C40" s="138">
        <f t="shared" si="0"/>
      </c>
      <c r="D40" s="266"/>
      <c r="E40" s="266"/>
      <c r="F40" s="267"/>
      <c r="G40" s="145">
        <f t="shared" si="40"/>
      </c>
      <c r="H40" s="145">
        <f t="shared" si="41"/>
      </c>
      <c r="I40" s="266"/>
      <c r="J40" s="267"/>
      <c r="K40" s="267"/>
      <c r="L40" s="266"/>
      <c r="M40" s="147">
        <f t="shared" si="42"/>
        <v/>
      </c>
      <c r="N40" s="267"/>
      <c r="O40" s="147">
        <f t="shared" si="43"/>
        <v/>
      </c>
      <c r="P40" s="268"/>
      <c r="Q40" s="152">
        <f>IF(R40="","",IFERROR(SUBSTITUTE(Разбивка_по_щитам!P40,CHAR(10)," "),""))</f>
      </c>
      <c r="R40" s="153">
        <f>IF(OR(Разбивка_по_щитам!H40="",Разбивка_по_щитам!H40=0),"",Разбивка_по_щитам!H40)</f>
      </c>
      <c r="S40" s="154">
        <f>IF(R40="","",IFERROR(Разбивка_по_щитам!J40&amp;"",""))</f>
      </c>
      <c r="T40" s="155">
        <f>IF(R40="","",IFERROR(--Разбивка_по_щитам!L40,""))</f>
      </c>
      <c r="U40" s="155">
        <f>IF(R40="","",IFERROR(--Разбивка_по_щитам!K40,""))</f>
      </c>
      <c r="V40" s="138">
        <f>IF(R40="","",IFERROR(IF(Разбивка_по_щитам!M40=0,"",Разбивка_по_щитам!M40),""))</f>
      </c>
      <c r="W40" s="156">
        <f t="shared" si="5"/>
      </c>
      <c r="X40" s="157">
        <f t="shared" si="6"/>
        <v/>
      </c>
      <c r="Y40" s="266"/>
      <c r="Z40" s="158">
        <f t="shared" si="7"/>
      </c>
      <c r="AA40" s="160">
        <f t="shared" si="8"/>
      </c>
      <c r="AB40" s="160">
        <f>IF(R40="","",IFERROR(LOOKUP(INDEX(Справочная!$I$4:$I$19,MATCH(VLOOKUP(R40,Исходные_данные,22,FALSE),Справочная!$J$4:$J$19,0)+1),{6,10,16,20,25,32,40,50,63,80,100,125}),""))</f>
      </c>
      <c r="AC40" s="160">
        <f t="shared" si="9"/>
        <v/>
      </c>
      <c r="AD40" s="161">
        <f t="shared" si="10"/>
      </c>
      <c r="AE40" s="161">
        <f>IF(AND(R40="",G40=""),"",_xlfn.TEXTJOIN("; ",TRUE,IF(AND(R40&lt;&gt;"",V40=""),"нет фазы",""),IF(AND(R40&lt;&gt;"",N(T40)=0),"нет мощности",""),IF(AND(P40&lt;&gt;"",COUNTIFS($A$3:$A$1000,A40,$P$3:$P$1000,P40)&gt;1),"дубль клеммы "&amp;P40,""),IF(AND(W40&lt;&gt;"",W40&lt;&gt;"ok"),W40,""),IF(X40&lt;&gt;"",X40,""),IF(AND(ISNUMBER(SEARCH("(5х",Q40)),N(AK40)=1),"5 жил на 1 фазе",""),IF(AND(AL40="R",E40&lt;&gt;"",N(AS40)=0),"розетка без 30 мА",""),IF(IFERROR(_xlfn.NUMBERVALUE(MID(Q40,FIND("-",Q40,FIND("L=",Q40))+1,FIND("%",Q40)-FIND("-",Q40,FIND("L=",Q40))-1),","),0)&gt;4,"потери &gt; 4 %","")))</f>
      </c>
      <c r="AF40" s="129">
        <f>IF(E40&lt;&gt;"",COUNTIFS($A$3:A40,A40,$E$3:E40,"?*"),IF(OR(A40&lt;&gt;A39,Y40="вручную"),"",AF39))</f>
      </c>
      <c r="AG40" s="129">
        <f t="shared" si="11"/>
      </c>
      <c r="AH40" s="129">
        <f t="shared" si="12"/>
        <v/>
      </c>
      <c r="AI40" s="129">
        <f t="shared" si="13"/>
        <v/>
      </c>
      <c r="AJ40" s="129">
        <f t="shared" si="14"/>
      </c>
      <c r="AK40" s="129">
        <f t="shared" si="15"/>
      </c>
      <c r="AL40" s="129">
        <f t="shared" si="16"/>
      </c>
      <c r="AM40" s="129">
        <f t="shared" si="17"/>
      </c>
      <c r="AN40" s="129">
        <f t="shared" si="18"/>
      </c>
      <c r="AO40" s="129">
        <f t="shared" si="19"/>
      </c>
      <c r="AP40" s="129">
        <f t="shared" si="20"/>
      </c>
      <c r="AQ40" s="129">
        <f t="shared" si="21"/>
      </c>
      <c r="AR40" s="129">
        <f t="shared" si="22"/>
      </c>
      <c r="AS40" s="129">
        <f t="shared" si="23"/>
      </c>
      <c r="AT40" s="129">
        <f t="shared" si="24"/>
      </c>
      <c r="AU40" s="129">
        <f t="shared" si="25"/>
      </c>
      <c r="AV40" s="129">
        <f t="shared" si="26"/>
        <v/>
      </c>
      <c r="AW40" s="129">
        <f>IF(AV40="","",AV40&amp;"."&amp;COUNTIFS($A$3:A40,A40,$AV$3:AV40,AV40))</f>
        <v/>
      </c>
      <c r="AX40" s="129">
        <f t="shared" si="27"/>
        <v/>
      </c>
      <c r="AY40" s="129">
        <f>IF(N40="б/к",0,IF(OR(ISNUMBER(SEARCH("L=",Разбивка_по_щитам!P40)),N40="+",N40="="),1,0))</f>
      </c>
      <c r="AZ40" s="129">
        <f t="shared" si="28"/>
        <v/>
      </c>
      <c r="BA40" s="129">
        <f t="shared" si="29"/>
      </c>
      <c r="BB40" s="129">
        <f t="shared" si="30"/>
      </c>
      <c r="BD40" s="129">
        <f t="shared" si="31"/>
      </c>
      <c r="BE40" s="129">
        <f t="shared" si="32"/>
      </c>
      <c r="BF40" s="129">
        <f t="shared" si="33"/>
      </c>
      <c r="BG40" s="129">
        <f t="shared" si="34"/>
        <v/>
      </c>
      <c r="BH40" s="129">
        <f t="shared" si="35"/>
        <v/>
      </c>
      <c r="BI40" s="129">
        <f t="shared" si="36"/>
        <v/>
      </c>
      <c r="BJ40" s="129">
        <f t="shared" si="37"/>
        <v/>
      </c>
      <c r="BK40" s="129">
        <f>IF(R40="","",IF(OR(BY40="",BY40=0),"BOX",IFERROR(IF(VLOOKUP(BY40,УГО_блоки,3,FALSE)&amp;""&lt;&gt;"",VLOOKUP(BY40,УГО_блоки,3,FALSE),VLOOKUP(BY40,УГО_блоки,2,FALSE)),BY40)))</f>
      </c>
      <c r="BL40" s="129">
        <f t="shared" si="39"/>
      </c>
      <c r="BM40" s="129">
        <f>IF(H40="","",IF(COUNTIF($H$3:H40,H40)=1,MAX($BM$2:BM39)+1,""))</f>
      </c>
      <c r="BN40" s="129">
        <f>IF(I40="","",IF(COUNTIF($I$3:I40,I40)+COUNTIF($J$2:J39,I40)+COUNTIF($K$2:K39,I40)=1,MAX($BN$2:BP39)+1,""))</f>
      </c>
      <c r="BO40" s="129">
        <f>IF(J40="","",IF(COUNTIF($I$3:I40,J40)+COUNTIF($J$3:J40,J40)+COUNTIF($K$2:K39,J40)=1,MAX($BN$2:BP39,BN40)+1,""))</f>
      </c>
      <c r="BP40" s="129">
        <f>IF(K40="","",IF(COUNTIF($I$3:I40,K40)+COUNTIF($J$3:J40,K40)+COUNTIF($K$3:K40,K40)=1,MAX($BN$2:BP39,BN40,BO40)+1,""))</f>
      </c>
      <c r="BQ40" s="129">
        <f>IF(AY40=1,IFERROR(MID(Q40,FIND(" (",Q40)+2,FIND(")",Q40,FIND(" (",Q40))-FIND(" (",Q40)-2),"?"),"")</f>
      </c>
      <c r="BR40" s="129">
        <f>IF(BQ40="","",IF(COUNTIF($BQ$3:BQ40,BQ40)=1,MAX($BR$2:BR39)+1,""))</f>
      </c>
      <c r="BS40" s="129">
        <f>IF(AW40="","",COUNTIF($AW$3:AW40,"?*"))</f>
      </c>
      <c r="BT40" s="129">
        <f>IF(OR(AW40="",AI40=""),"",IF(COUNTIFS($AW$3:AW40,"?*",$AI$3:AI40,AI40)=1,MAX($BT$2:BT39)+1,""))</f>
      </c>
      <c r="BU40" s="129">
        <f>IF(AE40="",0,IF(OR(ISNUMBER(SEARCH("дубль",AE40)),ISNUMBER(SEARCH("ПЕРЕГРУЗ",AE40)),ISNUMBER(SEARCH("ЗАЩИЩ",AE40)),ISNUMBER(SEARCH("КАНАЛ",AE40)),ISNUMBER(SEARCH("без 30",AE40))),2,1))</f>
      </c>
      <c r="BV40" s="129">
        <f>IF(R40="","",COUNTIF($R$3:R40,"?*"))</f>
      </c>
      <c r="BW40" s="129">
        <f>IF(AY40&lt;&gt;1,0,IF(MAX(IFERROR(--VLOOKUP(R40,УГО_спр,5,FALSE),0),IFERROR(--VLOOKUP(AL40,УГО_спр,5,FALSE),0),IFERROR(--VLOOKUP(LEFT(AL40,2),УГО_спр,5,FALSE),0))&gt;0,MAX(IFERROR(--VLOOKUP(R40,УГО_спр,5,FALSE),0),IFERROR(--VLOOKUP(AL40,УГО_спр,5,FALSE),0),IFERROR(--VLOOKUP(LEFT(AL40,2),УГО_спр,5,FALSE),0)),IF(IFERROR(--LEFT(SUBSTITUTE(BQ40,"x","х"),FIND("х",SUBSTITUTE(BQ40,"x","х"))-1),3)&gt;3,Каталог!$S$9,1)))</f>
      </c>
      <c r="BX40" s="129">
        <f>IF(AY40&lt;&gt;1,0,MAX(0,IFERROR(--LEFT(SUBSTITUTE(BQ40,"x","х"),FIND("х",SUBSTITUTE(BQ40,"x","х"))-1),3)-3*BW40))</f>
      </c>
      <c r="BY40" s="129">
        <f>IF(R40="","",IFERROR(VLOOKUP(R40,УГО_спр,2,FALSE),IFERROR(VLOOKUP(AL40,УГО_спр,2,FALSE),IFERROR(VLOOKUP(LEFT(AL40,2),УГО_спр,2,FALSE),""))))</f>
      </c>
    </row>
    <row r="41" spans="1:64" x14ac:dyDescent="0.3">
      <c r="A41" s="135">
        <f>IF(Разбивка_по_щитам!F41=0,"",Разбивка_по_щитам!F41)</f>
      </c>
      <c r="B41" s="138">
        <f>IF(A41="","",Разбивка_по_щитам!C41)</f>
      </c>
      <c r="C41" s="138">
        <f t="shared" si="0"/>
      </c>
      <c r="D41" s="266"/>
      <c r="E41" s="266"/>
      <c r="F41" s="267"/>
      <c r="G41" s="145">
        <f t="shared" si="40"/>
      </c>
      <c r="H41" s="145">
        <f t="shared" si="41"/>
      </c>
      <c r="I41" s="266"/>
      <c r="J41" s="267"/>
      <c r="K41" s="267"/>
      <c r="L41" s="266"/>
      <c r="M41" s="147">
        <f t="shared" si="42"/>
        <v/>
      </c>
      <c r="N41" s="267"/>
      <c r="O41" s="147">
        <f t="shared" si="43"/>
        <v/>
      </c>
      <c r="P41" s="268"/>
      <c r="Q41" s="152">
        <f>IF(R41="","",IFERROR(SUBSTITUTE(Разбивка_по_щитам!P41,CHAR(10)," "),""))</f>
      </c>
      <c r="R41" s="153">
        <f>IF(OR(Разбивка_по_щитам!H41="",Разбивка_по_щитам!H41=0),"",Разбивка_по_щитам!H41)</f>
      </c>
      <c r="S41" s="154">
        <f>IF(R41="","",IFERROR(Разбивка_по_щитам!J41&amp;"",""))</f>
      </c>
      <c r="T41" s="155">
        <f>IF(R41="","",IFERROR(--Разбивка_по_щитам!L41,""))</f>
      </c>
      <c r="U41" s="155">
        <f>IF(R41="","",IFERROR(--Разбивка_по_щитам!K41,""))</f>
      </c>
      <c r="V41" s="138">
        <f>IF(R41="","",IFERROR(IF(Разбивка_по_щитам!M41=0,"",Разбивка_по_щитам!M41),""))</f>
      </c>
      <c r="W41" s="156">
        <f t="shared" si="5"/>
      </c>
      <c r="X41" s="157">
        <f t="shared" si="6"/>
        <v/>
      </c>
      <c r="Y41" s="266"/>
      <c r="Z41" s="158">
        <f t="shared" si="7"/>
      </c>
      <c r="AA41" s="160">
        <f t="shared" si="8"/>
      </c>
      <c r="AB41" s="160">
        <f>IF(R41="","",IFERROR(LOOKUP(INDEX(Справочная!$I$4:$I$19,MATCH(VLOOKUP(R41,Исходные_данные,22,FALSE),Справочная!$J$4:$J$19,0)+1),{6,10,16,20,25,32,40,50,63,80,100,125}),""))</f>
      </c>
      <c r="AC41" s="160">
        <f t="shared" si="9"/>
        <v/>
      </c>
      <c r="AD41" s="161">
        <f t="shared" si="10"/>
      </c>
      <c r="AE41" s="161">
        <f>IF(AND(R41="",G41=""),"",_xlfn.TEXTJOIN("; ",TRUE,IF(AND(R41&lt;&gt;"",V41=""),"нет фазы",""),IF(AND(R41&lt;&gt;"",N(T41)=0),"нет мощности",""),IF(AND(P41&lt;&gt;"",COUNTIFS($A$3:$A$1000,A41,$P$3:$P$1000,P41)&gt;1),"дубль клеммы "&amp;P41,""),IF(AND(W41&lt;&gt;"",W41&lt;&gt;"ok"),W41,""),IF(X41&lt;&gt;"",X41,""),IF(AND(ISNUMBER(SEARCH("(5х",Q41)),N(AK41)=1),"5 жил на 1 фазе",""),IF(AND(AL41="R",E41&lt;&gt;"",N(AS41)=0),"розетка без 30 мА",""),IF(IFERROR(_xlfn.NUMBERVALUE(MID(Q41,FIND("-",Q41,FIND("L=",Q41))+1,FIND("%",Q41)-FIND("-",Q41,FIND("L=",Q41))-1),","),0)&gt;4,"потери &gt; 4 %","")))</f>
      </c>
      <c r="AF41" s="129">
        <f>IF(E41&lt;&gt;"",COUNTIFS($A$3:A41,A41,$E$3:E41,"?*"),IF(OR(A41&lt;&gt;A40,Y41="вручную"),"",AF40))</f>
      </c>
      <c r="AG41" s="129">
        <f t="shared" si="11"/>
      </c>
      <c r="AH41" s="129">
        <f t="shared" si="12"/>
        <v/>
      </c>
      <c r="AI41" s="129">
        <f t="shared" si="13"/>
        <v/>
      </c>
      <c r="AJ41" s="129">
        <f t="shared" si="14"/>
      </c>
      <c r="AK41" s="129">
        <f t="shared" si="15"/>
      </c>
      <c r="AL41" s="129">
        <f t="shared" si="16"/>
      </c>
      <c r="AM41" s="129">
        <f t="shared" si="17"/>
      </c>
      <c r="AN41" s="129">
        <f t="shared" si="18"/>
      </c>
      <c r="AO41" s="129">
        <f t="shared" si="19"/>
      </c>
      <c r="AP41" s="129">
        <f t="shared" si="20"/>
      </c>
      <c r="AQ41" s="129">
        <f t="shared" si="21"/>
      </c>
      <c r="AR41" s="129">
        <f t="shared" si="22"/>
      </c>
      <c r="AS41" s="129">
        <f t="shared" si="23"/>
      </c>
      <c r="AT41" s="129">
        <f t="shared" si="24"/>
      </c>
      <c r="AU41" s="129">
        <f t="shared" si="25"/>
      </c>
      <c r="AV41" s="129">
        <f t="shared" si="26"/>
        <v/>
      </c>
      <c r="AW41" s="129">
        <f>IF(AV41="","",AV41&amp;"."&amp;COUNTIFS($A$3:A41,A41,$AV$3:AV41,AV41))</f>
        <v/>
      </c>
      <c r="AX41" s="129">
        <f t="shared" si="27"/>
        <v/>
      </c>
      <c r="AY41" s="129">
        <f>IF(N41="б/к",0,IF(OR(ISNUMBER(SEARCH("L=",Разбивка_по_щитам!P41)),N41="+",N41="="),1,0))</f>
      </c>
      <c r="AZ41" s="129">
        <f t="shared" si="28"/>
        <v/>
      </c>
      <c r="BA41" s="129">
        <f t="shared" si="29"/>
      </c>
      <c r="BB41" s="129">
        <f t="shared" si="30"/>
      </c>
      <c r="BD41" s="129">
        <f t="shared" si="31"/>
      </c>
      <c r="BE41" s="129">
        <f t="shared" si="32"/>
      </c>
      <c r="BF41" s="129">
        <f t="shared" si="33"/>
      </c>
      <c r="BG41" s="129">
        <f t="shared" si="34"/>
        <v/>
      </c>
      <c r="BH41" s="129">
        <f t="shared" si="35"/>
        <v/>
      </c>
      <c r="BI41" s="129">
        <f t="shared" si="36"/>
        <v/>
      </c>
      <c r="BJ41" s="129">
        <f t="shared" si="37"/>
        <v/>
      </c>
      <c r="BK41" s="129">
        <f>IF(R41="","",IF(OR(BY41="",BY41=0),"BOX",IFERROR(IF(VLOOKUP(BY41,УГО_блоки,3,FALSE)&amp;""&lt;&gt;"",VLOOKUP(BY41,УГО_блоки,3,FALSE),VLOOKUP(BY41,УГО_блоки,2,FALSE)),BY41)))</f>
      </c>
      <c r="BL41" s="129">
        <f t="shared" si="39"/>
      </c>
      <c r="BM41" s="129">
        <f>IF(H41="","",IF(COUNTIF($H$3:H41,H41)=1,MAX($BM$2:BM40)+1,""))</f>
      </c>
      <c r="BN41" s="129">
        <f>IF(I41="","",IF(COUNTIF($I$3:I41,I41)+COUNTIF($J$2:J40,I41)+COUNTIF($K$2:K40,I41)=1,MAX($BN$2:BP40)+1,""))</f>
      </c>
      <c r="BO41" s="129">
        <f>IF(J41="","",IF(COUNTIF($I$3:I41,J41)+COUNTIF($J$3:J41,J41)+COUNTIF($K$2:K40,J41)=1,MAX($BN$2:BP40,BN41)+1,""))</f>
      </c>
      <c r="BP41" s="129">
        <f>IF(K41="","",IF(COUNTIF($I$3:I41,K41)+COUNTIF($J$3:J41,K41)+COUNTIF($K$3:K41,K41)=1,MAX($BN$2:BP40,BN41,BO41)+1,""))</f>
      </c>
      <c r="BQ41" s="129">
        <f>IF(AY41=1,IFERROR(MID(Q41,FIND(" (",Q41)+2,FIND(")",Q41,FIND(" (",Q41))-FIND(" (",Q41)-2),"?"),"")</f>
      </c>
      <c r="BR41" s="129">
        <f>IF(BQ41="","",IF(COUNTIF($BQ$3:BQ41,BQ41)=1,MAX($BR$2:BR40)+1,""))</f>
      </c>
      <c r="BS41" s="129">
        <f>IF(AW41="","",COUNTIF($AW$3:AW41,"?*"))</f>
      </c>
      <c r="BT41" s="129">
        <f>IF(OR(AW41="",AI41=""),"",IF(COUNTIFS($AW$3:AW41,"?*",$AI$3:AI41,AI41)=1,MAX($BT$2:BT40)+1,""))</f>
      </c>
      <c r="BU41" s="129">
        <f>IF(AE41="",0,IF(OR(ISNUMBER(SEARCH("дубль",AE41)),ISNUMBER(SEARCH("ПЕРЕГРУЗ",AE41)),ISNUMBER(SEARCH("ЗАЩИЩ",AE41)),ISNUMBER(SEARCH("КАНАЛ",AE41)),ISNUMBER(SEARCH("без 30",AE41))),2,1))</f>
      </c>
      <c r="BV41" s="129">
        <f>IF(R41="","",COUNTIF($R$3:R41,"?*"))</f>
      </c>
      <c r="BW41" s="129">
        <f>IF(AY41&lt;&gt;1,0,IF(MAX(IFERROR(--VLOOKUP(R41,УГО_спр,5,FALSE),0),IFERROR(--VLOOKUP(AL41,УГО_спр,5,FALSE),0),IFERROR(--VLOOKUP(LEFT(AL41,2),УГО_спр,5,FALSE),0))&gt;0,MAX(IFERROR(--VLOOKUP(R41,УГО_спр,5,FALSE),0),IFERROR(--VLOOKUP(AL41,УГО_спр,5,FALSE),0),IFERROR(--VLOOKUP(LEFT(AL41,2),УГО_спр,5,FALSE),0)),IF(IFERROR(--LEFT(SUBSTITUTE(BQ41,"x","х"),FIND("х",SUBSTITUTE(BQ41,"x","х"))-1),3)&gt;3,Каталог!$S$9,1)))</f>
      </c>
      <c r="BX41" s="129">
        <f>IF(AY41&lt;&gt;1,0,MAX(0,IFERROR(--LEFT(SUBSTITUTE(BQ41,"x","х"),FIND("х",SUBSTITUTE(BQ41,"x","х"))-1),3)-3*BW41))</f>
      </c>
      <c r="BY41" s="129">
        <f>IF(R41="","",IFERROR(VLOOKUP(R41,УГО_спр,2,FALSE),IFERROR(VLOOKUP(AL41,УГО_спр,2,FALSE),IFERROR(VLOOKUP(LEFT(AL41,2),УГО_спр,2,FALSE),""))))</f>
      </c>
    </row>
    <row r="42" spans="1:64" x14ac:dyDescent="0.3">
      <c r="A42" s="135">
        <f>IF(Разбивка_по_щитам!F42=0,"",Разбивка_по_щитам!F42)</f>
      </c>
      <c r="B42" s="138">
        <f>IF(A42="","",Разбивка_по_щитам!C42)</f>
      </c>
      <c r="C42" s="138">
        <f t="shared" si="0"/>
      </c>
      <c r="D42" s="266"/>
      <c r="E42" s="266"/>
      <c r="F42" s="267"/>
      <c r="G42" s="145">
        <f t="shared" si="40"/>
      </c>
      <c r="H42" s="145">
        <f t="shared" si="41"/>
      </c>
      <c r="I42" s="266"/>
      <c r="J42" s="267"/>
      <c r="K42" s="267"/>
      <c r="L42" s="266"/>
      <c r="M42" s="147">
        <f t="shared" si="42"/>
        <v/>
      </c>
      <c r="N42" s="267"/>
      <c r="O42" s="147">
        <f t="shared" si="43"/>
        <v/>
      </c>
      <c r="P42" s="268"/>
      <c r="Q42" s="152">
        <f>IF(R42="","",IFERROR(SUBSTITUTE(Разбивка_по_щитам!P42,CHAR(10)," "),""))</f>
      </c>
      <c r="R42" s="153">
        <f>IF(OR(Разбивка_по_щитам!H42="",Разбивка_по_щитам!H42=0),"",Разбивка_по_щитам!H42)</f>
      </c>
      <c r="S42" s="154">
        <f>IF(R42="","",IFERROR(Разбивка_по_щитам!J42&amp;"",""))</f>
      </c>
      <c r="T42" s="155">
        <f>IF(R42="","",IFERROR(--Разбивка_по_щитам!L42,""))</f>
      </c>
      <c r="U42" s="155">
        <f>IF(R42="","",IFERROR(--Разбивка_по_щитам!K42,""))</f>
      </c>
      <c r="V42" s="138">
        <f>IF(R42="","",IFERROR(IF(Разбивка_по_щитам!M42=0,"",Разбивка_по_щитам!M42),""))</f>
      </c>
      <c r="W42" s="156">
        <f t="shared" si="5"/>
      </c>
      <c r="X42" s="157">
        <f t="shared" si="6"/>
        <v/>
      </c>
      <c r="Y42" s="266"/>
      <c r="Z42" s="158">
        <f t="shared" si="7"/>
      </c>
      <c r="AA42" s="160">
        <f t="shared" si="8"/>
      </c>
      <c r="AB42" s="160">
        <f>IF(R42="","",IFERROR(LOOKUP(INDEX(Справочная!$I$4:$I$19,MATCH(VLOOKUP(R42,Исходные_данные,22,FALSE),Справочная!$J$4:$J$19,0)+1),{6,10,16,20,25,32,40,50,63,80,100,125}),""))</f>
      </c>
      <c r="AC42" s="160">
        <f t="shared" si="9"/>
        <v/>
      </c>
      <c r="AD42" s="161">
        <f t="shared" si="10"/>
      </c>
      <c r="AE42" s="161">
        <f>IF(AND(R42="",G42=""),"",_xlfn.TEXTJOIN("; ",TRUE,IF(AND(R42&lt;&gt;"",V42=""),"нет фазы",""),IF(AND(R42&lt;&gt;"",N(T42)=0),"нет мощности",""),IF(AND(P42&lt;&gt;"",COUNTIFS($A$3:$A$1000,A42,$P$3:$P$1000,P42)&gt;1),"дубль клеммы "&amp;P42,""),IF(AND(W42&lt;&gt;"",W42&lt;&gt;"ok"),W42,""),IF(X42&lt;&gt;"",X42,""),IF(AND(ISNUMBER(SEARCH("(5х",Q42)),N(AK42)=1),"5 жил на 1 фазе",""),IF(AND(AL42="R",E42&lt;&gt;"",N(AS42)=0),"розетка без 30 мА",""),IF(IFERROR(_xlfn.NUMBERVALUE(MID(Q42,FIND("-",Q42,FIND("L=",Q42))+1,FIND("%",Q42)-FIND("-",Q42,FIND("L=",Q42))-1),","),0)&gt;4,"потери &gt; 4 %","")))</f>
      </c>
      <c r="AF42" s="129">
        <f>IF(E42&lt;&gt;"",COUNTIFS($A$3:A42,A42,$E$3:E42,"?*"),IF(OR(A42&lt;&gt;A41,Y42="вручную"),"",AF41))</f>
      </c>
      <c r="AG42" s="129">
        <f t="shared" si="11"/>
      </c>
      <c r="AH42" s="129">
        <f t="shared" si="12"/>
        <v/>
      </c>
      <c r="AI42" s="129">
        <f t="shared" si="13"/>
        <v/>
      </c>
      <c r="AJ42" s="129">
        <f t="shared" si="14"/>
      </c>
      <c r="AK42" s="129">
        <f t="shared" si="15"/>
      </c>
      <c r="AL42" s="129">
        <f t="shared" si="16"/>
      </c>
      <c r="AM42" s="129">
        <f t="shared" si="17"/>
      </c>
      <c r="AN42" s="129">
        <f t="shared" si="18"/>
      </c>
      <c r="AO42" s="129">
        <f t="shared" si="19"/>
      </c>
      <c r="AP42" s="129">
        <f t="shared" si="20"/>
      </c>
      <c r="AQ42" s="129">
        <f t="shared" si="21"/>
      </c>
      <c r="AR42" s="129">
        <f t="shared" si="22"/>
      </c>
      <c r="AS42" s="129">
        <f t="shared" si="23"/>
      </c>
      <c r="AT42" s="129">
        <f t="shared" si="24"/>
      </c>
      <c r="AU42" s="129">
        <f t="shared" si="25"/>
      </c>
      <c r="AV42" s="129">
        <f t="shared" si="26"/>
        <v/>
      </c>
      <c r="AW42" s="129">
        <f>IF(AV42="","",AV42&amp;"."&amp;COUNTIFS($A$3:A42,A42,$AV$3:AV42,AV42))</f>
        <v/>
      </c>
      <c r="AX42" s="129">
        <f t="shared" si="27"/>
        <v/>
      </c>
      <c r="AY42" s="129">
        <f>IF(N42="б/к",0,IF(OR(ISNUMBER(SEARCH("L=",Разбивка_по_щитам!P42)),N42="+",N42="="),1,0))</f>
      </c>
      <c r="AZ42" s="129">
        <f t="shared" si="28"/>
        <v/>
      </c>
      <c r="BA42" s="129">
        <f t="shared" si="29"/>
      </c>
      <c r="BB42" s="129">
        <f t="shared" si="30"/>
      </c>
      <c r="BD42" s="129">
        <f t="shared" si="31"/>
      </c>
      <c r="BE42" s="129">
        <f t="shared" si="32"/>
      </c>
      <c r="BF42" s="129">
        <f t="shared" si="33"/>
      </c>
      <c r="BG42" s="129">
        <f t="shared" si="34"/>
        <v/>
      </c>
      <c r="BH42" s="129">
        <f t="shared" si="35"/>
        <v/>
      </c>
      <c r="BI42" s="129">
        <f t="shared" si="36"/>
        <v/>
      </c>
      <c r="BJ42" s="129">
        <f t="shared" si="37"/>
        <v/>
      </c>
      <c r="BK42" s="129">
        <f>IF(R42="","",IF(OR(BY42="",BY42=0),"BOX",IFERROR(IF(VLOOKUP(BY42,УГО_блоки,3,FALSE)&amp;""&lt;&gt;"",VLOOKUP(BY42,УГО_блоки,3,FALSE),VLOOKUP(BY42,УГО_блоки,2,FALSE)),BY42)))</f>
      </c>
      <c r="BL42" s="129">
        <f t="shared" si="39"/>
      </c>
      <c r="BM42" s="129">
        <f>IF(H42="","",IF(COUNTIF($H$3:H42,H42)=1,MAX($BM$2:BM41)+1,""))</f>
      </c>
      <c r="BN42" s="129">
        <f>IF(I42="","",IF(COUNTIF($I$3:I42,I42)+COUNTIF($J$2:J41,I42)+COUNTIF($K$2:K41,I42)=1,MAX($BN$2:BP41)+1,""))</f>
      </c>
      <c r="BO42" s="129">
        <f>IF(J42="","",IF(COUNTIF($I$3:I42,J42)+COUNTIF($J$3:J42,J42)+COUNTIF($K$2:K41,J42)=1,MAX($BN$2:BP41,BN42)+1,""))</f>
      </c>
      <c r="BP42" s="129">
        <f>IF(K42="","",IF(COUNTIF($I$3:I42,K42)+COUNTIF($J$3:J42,K42)+COUNTIF($K$3:K42,K42)=1,MAX($BN$2:BP41,BN42,BO42)+1,""))</f>
      </c>
      <c r="BQ42" s="129">
        <f>IF(AY42=1,IFERROR(MID(Q42,FIND(" (",Q42)+2,FIND(")",Q42,FIND(" (",Q42))-FIND(" (",Q42)-2),"?"),"")</f>
      </c>
      <c r="BR42" s="129">
        <f>IF(BQ42="","",IF(COUNTIF($BQ$3:BQ42,BQ42)=1,MAX($BR$2:BR41)+1,""))</f>
      </c>
      <c r="BS42" s="129">
        <f>IF(AW42="","",COUNTIF($AW$3:AW42,"?*"))</f>
      </c>
      <c r="BT42" s="129">
        <f>IF(OR(AW42="",AI42=""),"",IF(COUNTIFS($AW$3:AW42,"?*",$AI$3:AI42,AI42)=1,MAX($BT$2:BT41)+1,""))</f>
      </c>
      <c r="BU42" s="129">
        <f>IF(AE42="",0,IF(OR(ISNUMBER(SEARCH("дубль",AE42)),ISNUMBER(SEARCH("ПЕРЕГРУЗ",AE42)),ISNUMBER(SEARCH("ЗАЩИЩ",AE42)),ISNUMBER(SEARCH("КАНАЛ",AE42)),ISNUMBER(SEARCH("без 30",AE42))),2,1))</f>
      </c>
      <c r="BV42" s="129">
        <f>IF(R42="","",COUNTIF($R$3:R42,"?*"))</f>
      </c>
      <c r="BW42" s="129">
        <f>IF(AY42&lt;&gt;1,0,IF(MAX(IFERROR(--VLOOKUP(R42,УГО_спр,5,FALSE),0),IFERROR(--VLOOKUP(AL42,УГО_спр,5,FALSE),0),IFERROR(--VLOOKUP(LEFT(AL42,2),УГО_спр,5,FALSE),0))&gt;0,MAX(IFERROR(--VLOOKUP(R42,УГО_спр,5,FALSE),0),IFERROR(--VLOOKUP(AL42,УГО_спр,5,FALSE),0),IFERROR(--VLOOKUP(LEFT(AL42,2),УГО_спр,5,FALSE),0)),IF(IFERROR(--LEFT(SUBSTITUTE(BQ42,"x","х"),FIND("х",SUBSTITUTE(BQ42,"x","х"))-1),3)&gt;3,Каталог!$S$9,1)))</f>
      </c>
      <c r="BX42" s="129">
        <f>IF(AY42&lt;&gt;1,0,MAX(0,IFERROR(--LEFT(SUBSTITUTE(BQ42,"x","х"),FIND("х",SUBSTITUTE(BQ42,"x","х"))-1),3)-3*BW42))</f>
      </c>
      <c r="BY42" s="129">
        <f>IF(R42="","",IFERROR(VLOOKUP(R42,УГО_спр,2,FALSE),IFERROR(VLOOKUP(AL42,УГО_спр,2,FALSE),IFERROR(VLOOKUP(LEFT(AL42,2),УГО_спр,2,FALSE),""))))</f>
      </c>
    </row>
    <row r="43" spans="1:64" x14ac:dyDescent="0.3">
      <c r="A43" s="135">
        <f>IF(Разбивка_по_щитам!F43=0,"",Разбивка_по_щитам!F43)</f>
      </c>
      <c r="B43" s="138">
        <f>IF(A43="","",Разбивка_по_щитам!C43)</f>
      </c>
      <c r="C43" s="138">
        <f t="shared" si="0"/>
      </c>
      <c r="D43" s="266"/>
      <c r="E43" s="266"/>
      <c r="F43" s="267"/>
      <c r="G43" s="145">
        <f t="shared" si="40"/>
      </c>
      <c r="H43" s="145">
        <f t="shared" si="41"/>
      </c>
      <c r="I43" s="266"/>
      <c r="J43" s="267"/>
      <c r="K43" s="267"/>
      <c r="L43" s="266"/>
      <c r="M43" s="147">
        <f t="shared" si="42"/>
        <v/>
      </c>
      <c r="N43" s="267"/>
      <c r="O43" s="147">
        <f t="shared" si="43"/>
        <v/>
      </c>
      <c r="P43" s="268"/>
      <c r="Q43" s="152">
        <f>IF(R43="","",IFERROR(SUBSTITUTE(Разбивка_по_щитам!P43,CHAR(10)," "),""))</f>
      </c>
      <c r="R43" s="153">
        <f>IF(OR(Разбивка_по_щитам!H43="",Разбивка_по_щитам!H43=0),"",Разбивка_по_щитам!H43)</f>
      </c>
      <c r="S43" s="154">
        <f>IF(R43="","",IFERROR(Разбивка_по_щитам!J43&amp;"",""))</f>
      </c>
      <c r="T43" s="155">
        <f>IF(R43="","",IFERROR(--Разбивка_по_щитам!L43,""))</f>
      </c>
      <c r="U43" s="155">
        <f>IF(R43="","",IFERROR(--Разбивка_по_щитам!K43,""))</f>
      </c>
      <c r="V43" s="138">
        <f>IF(R43="","",IFERROR(IF(Разбивка_по_щитам!M43=0,"",Разбивка_по_щитам!M43),""))</f>
      </c>
      <c r="W43" s="156">
        <f t="shared" si="5"/>
      </c>
      <c r="X43" s="157">
        <f t="shared" si="6"/>
        <v/>
      </c>
      <c r="Y43" s="266"/>
      <c r="Z43" s="158">
        <f t="shared" si="7"/>
      </c>
      <c r="AA43" s="160">
        <f t="shared" si="8"/>
      </c>
      <c r="AB43" s="160">
        <f>IF(R43="","",IFERROR(LOOKUP(INDEX(Справочная!$I$4:$I$19,MATCH(VLOOKUP(R43,Исходные_данные,22,FALSE),Справочная!$J$4:$J$19,0)+1),{6,10,16,20,25,32,40,50,63,80,100,125}),""))</f>
      </c>
      <c r="AC43" s="160">
        <f t="shared" si="9"/>
        <v/>
      </c>
      <c r="AD43" s="161">
        <f t="shared" si="10"/>
      </c>
      <c r="AE43" s="161">
        <f>IF(AND(R43="",G43=""),"",_xlfn.TEXTJOIN("; ",TRUE,IF(AND(R43&lt;&gt;"",V43=""),"нет фазы",""),IF(AND(R43&lt;&gt;"",N(T43)=0),"нет мощности",""),IF(AND(P43&lt;&gt;"",COUNTIFS($A$3:$A$1000,A43,$P$3:$P$1000,P43)&gt;1),"дубль клеммы "&amp;P43,""),IF(AND(W43&lt;&gt;"",W43&lt;&gt;"ok"),W43,""),IF(X43&lt;&gt;"",X43,""),IF(AND(ISNUMBER(SEARCH("(5х",Q43)),N(AK43)=1),"5 жил на 1 фазе",""),IF(AND(AL43="R",E43&lt;&gt;"",N(AS43)=0),"розетка без 30 мА",""),IF(IFERROR(_xlfn.NUMBERVALUE(MID(Q43,FIND("-",Q43,FIND("L=",Q43))+1,FIND("%",Q43)-FIND("-",Q43,FIND("L=",Q43))-1),","),0)&gt;4,"потери &gt; 4 %","")))</f>
      </c>
      <c r="AF43" s="129">
        <f>IF(E43&lt;&gt;"",COUNTIFS($A$3:A43,A43,$E$3:E43,"?*"),IF(OR(A43&lt;&gt;A42,Y43="вручную"),"",AF42))</f>
      </c>
      <c r="AG43" s="129">
        <f t="shared" si="11"/>
      </c>
      <c r="AH43" s="129">
        <f t="shared" si="12"/>
        <v/>
      </c>
      <c r="AI43" s="129">
        <f t="shared" si="13"/>
        <v/>
      </c>
      <c r="AJ43" s="129">
        <f t="shared" si="14"/>
      </c>
      <c r="AK43" s="129">
        <f t="shared" si="15"/>
      </c>
      <c r="AL43" s="129">
        <f t="shared" si="16"/>
      </c>
      <c r="AM43" s="129">
        <f t="shared" si="17"/>
      </c>
      <c r="AN43" s="129">
        <f t="shared" si="18"/>
      </c>
      <c r="AO43" s="129">
        <f t="shared" si="19"/>
      </c>
      <c r="AP43" s="129">
        <f t="shared" si="20"/>
      </c>
      <c r="AQ43" s="129">
        <f t="shared" si="21"/>
      </c>
      <c r="AR43" s="129">
        <f t="shared" si="22"/>
      </c>
      <c r="AS43" s="129">
        <f t="shared" si="23"/>
      </c>
      <c r="AT43" s="129">
        <f t="shared" si="24"/>
      </c>
      <c r="AU43" s="129">
        <f t="shared" si="25"/>
      </c>
      <c r="AV43" s="129">
        <f t="shared" si="26"/>
        <v/>
      </c>
      <c r="AW43" s="129">
        <f>IF(AV43="","",AV43&amp;"."&amp;COUNTIFS($A$3:A43,A43,$AV$3:AV43,AV43))</f>
        <v/>
      </c>
      <c r="AX43" s="129">
        <f t="shared" si="27"/>
        <v/>
      </c>
      <c r="AY43" s="129">
        <f>IF(N43="б/к",0,IF(OR(ISNUMBER(SEARCH("L=",Разбивка_по_щитам!P43)),N43="+",N43="="),1,0))</f>
      </c>
      <c r="AZ43" s="129">
        <f t="shared" si="28"/>
        <v/>
      </c>
      <c r="BA43" s="129">
        <f t="shared" si="29"/>
      </c>
      <c r="BB43" s="129">
        <f t="shared" si="30"/>
      </c>
      <c r="BD43" s="129">
        <f t="shared" si="31"/>
      </c>
      <c r="BE43" s="129">
        <f t="shared" si="32"/>
      </c>
      <c r="BF43" s="129">
        <f t="shared" si="33"/>
      </c>
      <c r="BG43" s="129">
        <f t="shared" si="34"/>
        <v/>
      </c>
      <c r="BH43" s="129">
        <f t="shared" si="35"/>
        <v/>
      </c>
      <c r="BI43" s="129">
        <f t="shared" si="36"/>
        <v/>
      </c>
      <c r="BJ43" s="129">
        <f t="shared" si="37"/>
        <v/>
      </c>
      <c r="BK43" s="129">
        <f>IF(R43="","",IF(OR(BY43="",BY43=0),"BOX",IFERROR(IF(VLOOKUP(BY43,УГО_блоки,3,FALSE)&amp;""&lt;&gt;"",VLOOKUP(BY43,УГО_блоки,3,FALSE),VLOOKUP(BY43,УГО_блоки,2,FALSE)),BY43)))</f>
      </c>
      <c r="BL43" s="129">
        <f t="shared" si="39"/>
      </c>
      <c r="BM43" s="129">
        <f>IF(H43="","",IF(COUNTIF($H$3:H43,H43)=1,MAX($BM$2:BM42)+1,""))</f>
      </c>
      <c r="BN43" s="129">
        <f>IF(I43="","",IF(COUNTIF($I$3:I43,I43)+COUNTIF($J$2:J42,I43)+COUNTIF($K$2:K42,I43)=1,MAX($BN$2:BP42)+1,""))</f>
      </c>
      <c r="BO43" s="129">
        <f>IF(J43="","",IF(COUNTIF($I$3:I43,J43)+COUNTIF($J$3:J43,J43)+COUNTIF($K$2:K42,J43)=1,MAX($BN$2:BP42,BN43)+1,""))</f>
      </c>
      <c r="BP43" s="129">
        <f>IF(K43="","",IF(COUNTIF($I$3:I43,K43)+COUNTIF($J$3:J43,K43)+COUNTIF($K$3:K43,K43)=1,MAX($BN$2:BP42,BN43,BO43)+1,""))</f>
      </c>
      <c r="BQ43" s="129">
        <f>IF(AY43=1,IFERROR(MID(Q43,FIND(" (",Q43)+2,FIND(")",Q43,FIND(" (",Q43))-FIND(" (",Q43)-2),"?"),"")</f>
      </c>
      <c r="BR43" s="129">
        <f>IF(BQ43="","",IF(COUNTIF($BQ$3:BQ43,BQ43)=1,MAX($BR$2:BR42)+1,""))</f>
      </c>
      <c r="BS43" s="129">
        <f>IF(AW43="","",COUNTIF($AW$3:AW43,"?*"))</f>
      </c>
      <c r="BT43" s="129">
        <f>IF(OR(AW43="",AI43=""),"",IF(COUNTIFS($AW$3:AW43,"?*",$AI$3:AI43,AI43)=1,MAX($BT$2:BT42)+1,""))</f>
      </c>
      <c r="BU43" s="129">
        <f>IF(AE43="",0,IF(OR(ISNUMBER(SEARCH("дубль",AE43)),ISNUMBER(SEARCH("ПЕРЕГРУЗ",AE43)),ISNUMBER(SEARCH("ЗАЩИЩ",AE43)),ISNUMBER(SEARCH("КАНАЛ",AE43)),ISNUMBER(SEARCH("без 30",AE43))),2,1))</f>
      </c>
      <c r="BV43" s="129">
        <f>IF(R43="","",COUNTIF($R$3:R43,"?*"))</f>
      </c>
      <c r="BW43" s="129">
        <f>IF(AY43&lt;&gt;1,0,IF(MAX(IFERROR(--VLOOKUP(R43,УГО_спр,5,FALSE),0),IFERROR(--VLOOKUP(AL43,УГО_спр,5,FALSE),0),IFERROR(--VLOOKUP(LEFT(AL43,2),УГО_спр,5,FALSE),0))&gt;0,MAX(IFERROR(--VLOOKUP(R43,УГО_спр,5,FALSE),0),IFERROR(--VLOOKUP(AL43,УГО_спр,5,FALSE),0),IFERROR(--VLOOKUP(LEFT(AL43,2),УГО_спр,5,FALSE),0)),IF(IFERROR(--LEFT(SUBSTITUTE(BQ43,"x","х"),FIND("х",SUBSTITUTE(BQ43,"x","х"))-1),3)&gt;3,Каталог!$S$9,1)))</f>
      </c>
      <c r="BX43" s="129">
        <f>IF(AY43&lt;&gt;1,0,MAX(0,IFERROR(--LEFT(SUBSTITUTE(BQ43,"x","х"),FIND("х",SUBSTITUTE(BQ43,"x","х"))-1),3)-3*BW43))</f>
      </c>
      <c r="BY43" s="129">
        <f>IF(R43="","",IFERROR(VLOOKUP(R43,УГО_спр,2,FALSE),IFERROR(VLOOKUP(AL43,УГО_спр,2,FALSE),IFERROR(VLOOKUP(LEFT(AL43,2),УГО_спр,2,FALSE),""))))</f>
      </c>
    </row>
    <row r="44" spans="1:64" x14ac:dyDescent="0.3">
      <c r="A44" s="135">
        <f>IF(Разбивка_по_щитам!F44=0,"",Разбивка_по_щитам!F44)</f>
      </c>
      <c r="B44" s="138">
        <f>IF(A44="","",Разбивка_по_щитам!C44)</f>
      </c>
      <c r="C44" s="138">
        <f t="shared" si="0"/>
      </c>
      <c r="D44" s="266"/>
      <c r="E44" s="266"/>
      <c r="F44" s="267"/>
      <c r="G44" s="145">
        <f t="shared" si="40"/>
      </c>
      <c r="H44" s="145">
        <f t="shared" si="41"/>
      </c>
      <c r="I44" s="266"/>
      <c r="J44" s="267"/>
      <c r="K44" s="267"/>
      <c r="L44" s="266"/>
      <c r="M44" s="147">
        <f t="shared" si="42"/>
        <v/>
      </c>
      <c r="N44" s="267"/>
      <c r="O44" s="147">
        <f t="shared" si="43"/>
        <v/>
      </c>
      <c r="P44" s="268"/>
      <c r="Q44" s="152">
        <f>IF(R44="","",IFERROR(SUBSTITUTE(Разбивка_по_щитам!P44,CHAR(10)," "),""))</f>
      </c>
      <c r="R44" s="153">
        <f>IF(OR(Разбивка_по_щитам!H44="",Разбивка_по_щитам!H44=0),"",Разбивка_по_щитам!H44)</f>
      </c>
      <c r="S44" s="154">
        <f>IF(R44="","",IFERROR(Разбивка_по_щитам!J44&amp;"",""))</f>
      </c>
      <c r="T44" s="155">
        <f>IF(R44="","",IFERROR(--Разбивка_по_щитам!L44,""))</f>
      </c>
      <c r="U44" s="155">
        <f>IF(R44="","",IFERROR(--Разбивка_по_щитам!K44,""))</f>
      </c>
      <c r="V44" s="138">
        <f>IF(R44="","",IFERROR(IF(Разбивка_по_щитам!M44=0,"",Разбивка_по_щитам!M44),""))</f>
      </c>
      <c r="W44" s="156">
        <f t="shared" si="5"/>
      </c>
      <c r="X44" s="157">
        <f t="shared" si="6"/>
        <v/>
      </c>
      <c r="Y44" s="266"/>
      <c r="Z44" s="158">
        <f t="shared" si="7"/>
      </c>
      <c r="AA44" s="160">
        <f t="shared" si="8"/>
      </c>
      <c r="AB44" s="160">
        <f>IF(R44="","",IFERROR(LOOKUP(INDEX(Справочная!$I$4:$I$19,MATCH(VLOOKUP(R44,Исходные_данные,22,FALSE),Справочная!$J$4:$J$19,0)+1),{6,10,16,20,25,32,40,50,63,80,100,125}),""))</f>
      </c>
      <c r="AC44" s="160">
        <f t="shared" si="9"/>
        <v/>
      </c>
      <c r="AD44" s="161">
        <f t="shared" si="10"/>
      </c>
      <c r="AE44" s="161">
        <f>IF(AND(R44="",G44=""),"",_xlfn.TEXTJOIN("; ",TRUE,IF(AND(R44&lt;&gt;"",V44=""),"нет фазы",""),IF(AND(R44&lt;&gt;"",N(T44)=0),"нет мощности",""),IF(AND(P44&lt;&gt;"",COUNTIFS($A$3:$A$1000,A44,$P$3:$P$1000,P44)&gt;1),"дубль клеммы "&amp;P44,""),IF(AND(W44&lt;&gt;"",W44&lt;&gt;"ok"),W44,""),IF(X44&lt;&gt;"",X44,""),IF(AND(ISNUMBER(SEARCH("(5х",Q44)),N(AK44)=1),"5 жил на 1 фазе",""),IF(AND(AL44="R",E44&lt;&gt;"",N(AS44)=0),"розетка без 30 мА",""),IF(IFERROR(_xlfn.NUMBERVALUE(MID(Q44,FIND("-",Q44,FIND("L=",Q44))+1,FIND("%",Q44)-FIND("-",Q44,FIND("L=",Q44))-1),","),0)&gt;4,"потери &gt; 4 %","")))</f>
      </c>
      <c r="AF44" s="129">
        <f>IF(E44&lt;&gt;"",COUNTIFS($A$3:A44,A44,$E$3:E44,"?*"),IF(OR(A44&lt;&gt;A43,Y44="вручную"),"",AF43))</f>
      </c>
      <c r="AG44" s="129">
        <f t="shared" si="11"/>
      </c>
      <c r="AH44" s="129">
        <f t="shared" si="12"/>
        <v/>
      </c>
      <c r="AI44" s="129">
        <f t="shared" si="13"/>
        <v/>
      </c>
      <c r="AJ44" s="129">
        <f t="shared" si="14"/>
      </c>
      <c r="AK44" s="129">
        <f t="shared" si="15"/>
      </c>
      <c r="AL44" s="129">
        <f t="shared" si="16"/>
      </c>
      <c r="AM44" s="129">
        <f t="shared" si="17"/>
      </c>
      <c r="AN44" s="129">
        <f t="shared" si="18"/>
      </c>
      <c r="AO44" s="129">
        <f t="shared" si="19"/>
      </c>
      <c r="AP44" s="129">
        <f t="shared" si="20"/>
      </c>
      <c r="AQ44" s="129">
        <f t="shared" si="21"/>
      </c>
      <c r="AR44" s="129">
        <f t="shared" si="22"/>
      </c>
      <c r="AS44" s="129">
        <f t="shared" si="23"/>
      </c>
      <c r="AT44" s="129">
        <f t="shared" si="24"/>
      </c>
      <c r="AU44" s="129">
        <f t="shared" si="25"/>
      </c>
      <c r="AV44" s="129">
        <f t="shared" si="26"/>
        <v/>
      </c>
      <c r="AW44" s="129">
        <f>IF(AV44="","",AV44&amp;"."&amp;COUNTIFS($A$3:A44,A44,$AV$3:AV44,AV44))</f>
        <v/>
      </c>
      <c r="AX44" s="129">
        <f t="shared" si="27"/>
        <v/>
      </c>
      <c r="AY44" s="129">
        <f>IF(N44="б/к",0,IF(OR(ISNUMBER(SEARCH("L=",Разбивка_по_щитам!P44)),N44="+",N44="="),1,0))</f>
      </c>
      <c r="AZ44" s="129">
        <f t="shared" si="28"/>
        <v/>
      </c>
      <c r="BA44" s="129">
        <f t="shared" si="29"/>
      </c>
      <c r="BB44" s="129">
        <f t="shared" si="30"/>
      </c>
      <c r="BD44" s="129">
        <f t="shared" si="31"/>
      </c>
      <c r="BE44" s="129">
        <f t="shared" si="32"/>
      </c>
      <c r="BF44" s="129">
        <f t="shared" si="33"/>
      </c>
      <c r="BG44" s="129">
        <f t="shared" si="34"/>
        <v/>
      </c>
      <c r="BH44" s="129">
        <f t="shared" si="35"/>
        <v/>
      </c>
      <c r="BI44" s="129">
        <f t="shared" si="36"/>
        <v/>
      </c>
      <c r="BJ44" s="129">
        <f t="shared" si="37"/>
        <v/>
      </c>
      <c r="BK44" s="129">
        <f>IF(R44="","",IF(OR(BY44="",BY44=0),"BOX",IFERROR(IF(VLOOKUP(BY44,УГО_блоки,3,FALSE)&amp;""&lt;&gt;"",VLOOKUP(BY44,УГО_блоки,3,FALSE),VLOOKUP(BY44,УГО_блоки,2,FALSE)),BY44)))</f>
      </c>
      <c r="BL44" s="129">
        <f t="shared" si="39"/>
      </c>
      <c r="BM44" s="129">
        <f>IF(H44="","",IF(COUNTIF($H$3:H44,H44)=1,MAX($BM$2:BM43)+1,""))</f>
      </c>
      <c r="BN44" s="129">
        <f>IF(I44="","",IF(COUNTIF($I$3:I44,I44)+COUNTIF($J$2:J43,I44)+COUNTIF($K$2:K43,I44)=1,MAX($BN$2:BP43)+1,""))</f>
      </c>
      <c r="BO44" s="129">
        <f>IF(J44="","",IF(COUNTIF($I$3:I44,J44)+COUNTIF($J$3:J44,J44)+COUNTIF($K$2:K43,J44)=1,MAX($BN$2:BP43,BN44)+1,""))</f>
      </c>
      <c r="BP44" s="129">
        <f>IF(K44="","",IF(COUNTIF($I$3:I44,K44)+COUNTIF($J$3:J44,K44)+COUNTIF($K$3:K44,K44)=1,MAX($BN$2:BP43,BN44,BO44)+1,""))</f>
      </c>
      <c r="BQ44" s="129">
        <f>IF(AY44=1,IFERROR(MID(Q44,FIND(" (",Q44)+2,FIND(")",Q44,FIND(" (",Q44))-FIND(" (",Q44)-2),"?"),"")</f>
      </c>
      <c r="BR44" s="129">
        <f>IF(BQ44="","",IF(COUNTIF($BQ$3:BQ44,BQ44)=1,MAX($BR$2:BR43)+1,""))</f>
      </c>
      <c r="BS44" s="129">
        <f>IF(AW44="","",COUNTIF($AW$3:AW44,"?*"))</f>
      </c>
      <c r="BT44" s="129">
        <f>IF(OR(AW44="",AI44=""),"",IF(COUNTIFS($AW$3:AW44,"?*",$AI$3:AI44,AI44)=1,MAX($BT$2:BT43)+1,""))</f>
      </c>
      <c r="BU44" s="129">
        <f>IF(AE44="",0,IF(OR(ISNUMBER(SEARCH("дубль",AE44)),ISNUMBER(SEARCH("ПЕРЕГРУЗ",AE44)),ISNUMBER(SEARCH("ЗАЩИЩ",AE44)),ISNUMBER(SEARCH("КАНАЛ",AE44)),ISNUMBER(SEARCH("без 30",AE44))),2,1))</f>
      </c>
      <c r="BV44" s="129">
        <f>IF(R44="","",COUNTIF($R$3:R44,"?*"))</f>
      </c>
      <c r="BW44" s="129">
        <f>IF(AY44&lt;&gt;1,0,IF(MAX(IFERROR(--VLOOKUP(R44,УГО_спр,5,FALSE),0),IFERROR(--VLOOKUP(AL44,УГО_спр,5,FALSE),0),IFERROR(--VLOOKUP(LEFT(AL44,2),УГО_спр,5,FALSE),0))&gt;0,MAX(IFERROR(--VLOOKUP(R44,УГО_спр,5,FALSE),0),IFERROR(--VLOOKUP(AL44,УГО_спр,5,FALSE),0),IFERROR(--VLOOKUP(LEFT(AL44,2),УГО_спр,5,FALSE),0)),IF(IFERROR(--LEFT(SUBSTITUTE(BQ44,"x","х"),FIND("х",SUBSTITUTE(BQ44,"x","х"))-1),3)&gt;3,Каталог!$S$9,1)))</f>
      </c>
      <c r="BX44" s="129">
        <f>IF(AY44&lt;&gt;1,0,MAX(0,IFERROR(--LEFT(SUBSTITUTE(BQ44,"x","х"),FIND("х",SUBSTITUTE(BQ44,"x","х"))-1),3)-3*BW44))</f>
      </c>
      <c r="BY44" s="129">
        <f>IF(R44="","",IFERROR(VLOOKUP(R44,УГО_спр,2,FALSE),IFERROR(VLOOKUP(AL44,УГО_спр,2,FALSE),IFERROR(VLOOKUP(LEFT(AL44,2),УГО_спр,2,FALSE),""))))</f>
      </c>
    </row>
    <row r="45" spans="1:64" x14ac:dyDescent="0.3">
      <c r="A45" s="135">
        <f>IF(Разбивка_по_щитам!F45=0,"",Разбивка_по_щитам!F45)</f>
      </c>
      <c r="B45" s="138">
        <f>IF(A45="","",Разбивка_по_щитам!C45)</f>
      </c>
      <c r="C45" s="138">
        <f t="shared" si="0"/>
      </c>
      <c r="D45" s="266"/>
      <c r="E45" s="266"/>
      <c r="F45" s="267"/>
      <c r="G45" s="145">
        <f t="shared" si="40"/>
      </c>
      <c r="H45" s="145">
        <f t="shared" si="41"/>
      </c>
      <c r="I45" s="266"/>
      <c r="J45" s="267"/>
      <c r="K45" s="267"/>
      <c r="L45" s="266"/>
      <c r="M45" s="147">
        <f t="shared" si="42"/>
        <v/>
      </c>
      <c r="N45" s="267"/>
      <c r="O45" s="147">
        <f t="shared" si="43"/>
        <v/>
      </c>
      <c r="P45" s="268"/>
      <c r="Q45" s="152">
        <f>IF(R45="","",IFERROR(SUBSTITUTE(Разбивка_по_щитам!P45,CHAR(10)," "),""))</f>
      </c>
      <c r="R45" s="153">
        <f>IF(OR(Разбивка_по_щитам!H45="",Разбивка_по_щитам!H45=0),"",Разбивка_по_щитам!H45)</f>
      </c>
      <c r="S45" s="154">
        <f>IF(R45="","",IFERROR(Разбивка_по_щитам!J45&amp;"",""))</f>
      </c>
      <c r="T45" s="155">
        <f>IF(R45="","",IFERROR(--Разбивка_по_щитам!L45,""))</f>
      </c>
      <c r="U45" s="155">
        <f>IF(R45="","",IFERROR(--Разбивка_по_щитам!K45,""))</f>
      </c>
      <c r="V45" s="138">
        <f>IF(R45="","",IFERROR(IF(Разбивка_по_щитам!M45=0,"",Разбивка_по_щитам!M45),""))</f>
      </c>
      <c r="W45" s="156">
        <f t="shared" si="5"/>
      </c>
      <c r="X45" s="157">
        <f t="shared" si="6"/>
        <v/>
      </c>
      <c r="Y45" s="266"/>
      <c r="Z45" s="158">
        <f t="shared" si="7"/>
      </c>
      <c r="AA45" s="160">
        <f t="shared" si="8"/>
      </c>
      <c r="AB45" s="160">
        <f>IF(R45="","",IFERROR(LOOKUP(INDEX(Справочная!$I$4:$I$19,MATCH(VLOOKUP(R45,Исходные_данные,22,FALSE),Справочная!$J$4:$J$19,0)+1),{6,10,16,20,25,32,40,50,63,80,100,125}),""))</f>
      </c>
      <c r="AC45" s="160">
        <f t="shared" si="9"/>
        <v/>
      </c>
      <c r="AD45" s="161">
        <f t="shared" si="10"/>
      </c>
      <c r="AE45" s="161">
        <f>IF(AND(R45="",G45=""),"",_xlfn.TEXTJOIN("; ",TRUE,IF(AND(R45&lt;&gt;"",V45=""),"нет фазы",""),IF(AND(R45&lt;&gt;"",N(T45)=0),"нет мощности",""),IF(AND(P45&lt;&gt;"",COUNTIFS($A$3:$A$1000,A45,$P$3:$P$1000,P45)&gt;1),"дубль клеммы "&amp;P45,""),IF(AND(W45&lt;&gt;"",W45&lt;&gt;"ok"),W45,""),IF(X45&lt;&gt;"",X45,""),IF(AND(ISNUMBER(SEARCH("(5х",Q45)),N(AK45)=1),"5 жил на 1 фазе",""),IF(AND(AL45="R",E45&lt;&gt;"",N(AS45)=0),"розетка без 30 мА",""),IF(IFERROR(_xlfn.NUMBERVALUE(MID(Q45,FIND("-",Q45,FIND("L=",Q45))+1,FIND("%",Q45)-FIND("-",Q45,FIND("L=",Q45))-1),","),0)&gt;4,"потери &gt; 4 %","")))</f>
      </c>
      <c r="AF45" s="129">
        <f>IF(E45&lt;&gt;"",COUNTIFS($A$3:A45,A45,$E$3:E45,"?*"),IF(OR(A45&lt;&gt;A44,Y45="вручную"),"",AF44))</f>
      </c>
      <c r="AG45" s="129">
        <f t="shared" si="11"/>
      </c>
      <c r="AH45" s="129">
        <f t="shared" si="12"/>
        <v/>
      </c>
      <c r="AI45" s="129">
        <f t="shared" si="13"/>
        <v/>
      </c>
      <c r="AJ45" s="129">
        <f t="shared" si="14"/>
      </c>
      <c r="AK45" s="129">
        <f t="shared" si="15"/>
      </c>
      <c r="AL45" s="129">
        <f t="shared" si="16"/>
      </c>
      <c r="AM45" s="129">
        <f t="shared" si="17"/>
      </c>
      <c r="AN45" s="129">
        <f t="shared" si="18"/>
      </c>
      <c r="AO45" s="129">
        <f t="shared" si="19"/>
      </c>
      <c r="AP45" s="129">
        <f t="shared" si="20"/>
      </c>
      <c r="AQ45" s="129">
        <f t="shared" si="21"/>
      </c>
      <c r="AR45" s="129">
        <f t="shared" si="22"/>
      </c>
      <c r="AS45" s="129">
        <f t="shared" si="23"/>
      </c>
      <c r="AT45" s="129">
        <f t="shared" si="24"/>
      </c>
      <c r="AU45" s="129">
        <f t="shared" si="25"/>
      </c>
      <c r="AV45" s="129">
        <f t="shared" si="26"/>
        <v/>
      </c>
      <c r="AW45" s="129">
        <f>IF(AV45="","",AV45&amp;"."&amp;COUNTIFS($A$3:A45,A45,$AV$3:AV45,AV45))</f>
        <v/>
      </c>
      <c r="AX45" s="129">
        <f t="shared" si="27"/>
        <v/>
      </c>
      <c r="AY45" s="129">
        <f>IF(N45="б/к",0,IF(OR(ISNUMBER(SEARCH("L=",Разбивка_по_щитам!P45)),N45="+",N45="="),1,0))</f>
      </c>
      <c r="AZ45" s="129">
        <f t="shared" si="28"/>
        <v/>
      </c>
      <c r="BA45" s="129">
        <f t="shared" si="29"/>
      </c>
      <c r="BB45" s="129">
        <f t="shared" si="30"/>
      </c>
      <c r="BD45" s="129">
        <f t="shared" si="31"/>
      </c>
      <c r="BE45" s="129">
        <f t="shared" si="32"/>
      </c>
      <c r="BF45" s="129">
        <f t="shared" si="33"/>
      </c>
      <c r="BG45" s="129">
        <f t="shared" si="34"/>
        <v/>
      </c>
      <c r="BH45" s="129">
        <f t="shared" si="35"/>
        <v/>
      </c>
      <c r="BI45" s="129">
        <f t="shared" si="36"/>
        <v/>
      </c>
      <c r="BJ45" s="129">
        <f t="shared" si="37"/>
        <v/>
      </c>
      <c r="BK45" s="129">
        <f>IF(R45="","",IF(OR(BY45="",BY45=0),"BOX",IFERROR(IF(VLOOKUP(BY45,УГО_блоки,3,FALSE)&amp;""&lt;&gt;"",VLOOKUP(BY45,УГО_блоки,3,FALSE),VLOOKUP(BY45,УГО_блоки,2,FALSE)),BY45)))</f>
      </c>
      <c r="BL45" s="129">
        <f t="shared" si="39"/>
      </c>
      <c r="BM45" s="129">
        <f>IF(H45="","",IF(COUNTIF($H$3:H45,H45)=1,MAX($BM$2:BM44)+1,""))</f>
      </c>
      <c r="BN45" s="129">
        <f>IF(I45="","",IF(COUNTIF($I$3:I45,I45)+COUNTIF($J$2:J44,I45)+COUNTIF($K$2:K44,I45)=1,MAX($BN$2:BP44)+1,""))</f>
      </c>
      <c r="BO45" s="129">
        <f>IF(J45="","",IF(COUNTIF($I$3:I45,J45)+COUNTIF($J$3:J45,J45)+COUNTIF($K$2:K44,J45)=1,MAX($BN$2:BP44,BN45)+1,""))</f>
      </c>
      <c r="BP45" s="129">
        <f>IF(K45="","",IF(COUNTIF($I$3:I45,K45)+COUNTIF($J$3:J45,K45)+COUNTIF($K$3:K45,K45)=1,MAX($BN$2:BP44,BN45,BO45)+1,""))</f>
      </c>
      <c r="BQ45" s="129">
        <f>IF(AY45=1,IFERROR(MID(Q45,FIND(" (",Q45)+2,FIND(")",Q45,FIND(" (",Q45))-FIND(" (",Q45)-2),"?"),"")</f>
      </c>
      <c r="BR45" s="129">
        <f>IF(BQ45="","",IF(COUNTIF($BQ$3:BQ45,BQ45)=1,MAX($BR$2:BR44)+1,""))</f>
      </c>
      <c r="BS45" s="129">
        <f>IF(AW45="","",COUNTIF($AW$3:AW45,"?*"))</f>
      </c>
      <c r="BT45" s="129">
        <f>IF(OR(AW45="",AI45=""),"",IF(COUNTIFS($AW$3:AW45,"?*",$AI$3:AI45,AI45)=1,MAX($BT$2:BT44)+1,""))</f>
      </c>
      <c r="BU45" s="129">
        <f>IF(AE45="",0,IF(OR(ISNUMBER(SEARCH("дубль",AE45)),ISNUMBER(SEARCH("ПЕРЕГРУЗ",AE45)),ISNUMBER(SEARCH("ЗАЩИЩ",AE45)),ISNUMBER(SEARCH("КАНАЛ",AE45)),ISNUMBER(SEARCH("без 30",AE45))),2,1))</f>
      </c>
      <c r="BV45" s="129">
        <f>IF(R45="","",COUNTIF($R$3:R45,"?*"))</f>
      </c>
      <c r="BW45" s="129">
        <f>IF(AY45&lt;&gt;1,0,IF(MAX(IFERROR(--VLOOKUP(R45,УГО_спр,5,FALSE),0),IFERROR(--VLOOKUP(AL45,УГО_спр,5,FALSE),0),IFERROR(--VLOOKUP(LEFT(AL45,2),УГО_спр,5,FALSE),0))&gt;0,MAX(IFERROR(--VLOOKUP(R45,УГО_спр,5,FALSE),0),IFERROR(--VLOOKUP(AL45,УГО_спр,5,FALSE),0),IFERROR(--VLOOKUP(LEFT(AL45,2),УГО_спр,5,FALSE),0)),IF(IFERROR(--LEFT(SUBSTITUTE(BQ45,"x","х"),FIND("х",SUBSTITUTE(BQ45,"x","х"))-1),3)&gt;3,Каталог!$S$9,1)))</f>
      </c>
      <c r="BX45" s="129">
        <f>IF(AY45&lt;&gt;1,0,MAX(0,IFERROR(--LEFT(SUBSTITUTE(BQ45,"x","х"),FIND("х",SUBSTITUTE(BQ45,"x","х"))-1),3)-3*BW45))</f>
      </c>
      <c r="BY45" s="129">
        <f>IF(R45="","",IFERROR(VLOOKUP(R45,УГО_спр,2,FALSE),IFERROR(VLOOKUP(AL45,УГО_спр,2,FALSE),IFERROR(VLOOKUP(LEFT(AL45,2),УГО_спр,2,FALSE),""))))</f>
      </c>
    </row>
    <row r="46" spans="1:64" x14ac:dyDescent="0.3">
      <c r="A46" s="135">
        <f>IF(Разбивка_по_щитам!F46=0,"",Разбивка_по_щитам!F46)</f>
      </c>
      <c r="B46" s="138">
        <f>IF(A46="","",Разбивка_по_щитам!C46)</f>
      </c>
      <c r="C46" s="138">
        <f t="shared" si="0"/>
      </c>
      <c r="D46" s="266"/>
      <c r="E46" s="266"/>
      <c r="F46" s="267"/>
      <c r="G46" s="145">
        <f t="shared" si="40"/>
      </c>
      <c r="H46" s="145">
        <f t="shared" si="41"/>
      </c>
      <c r="I46" s="266"/>
      <c r="J46" s="267"/>
      <c r="K46" s="267"/>
      <c r="L46" s="266"/>
      <c r="M46" s="147">
        <f t="shared" si="42"/>
        <v/>
      </c>
      <c r="N46" s="267"/>
      <c r="O46" s="147">
        <f t="shared" si="43"/>
        <v/>
      </c>
      <c r="P46" s="268"/>
      <c r="Q46" s="152">
        <f>IF(R46="","",IFERROR(SUBSTITUTE(Разбивка_по_щитам!P46,CHAR(10)," "),""))</f>
      </c>
      <c r="R46" s="153">
        <f>IF(OR(Разбивка_по_щитам!H46="",Разбивка_по_щитам!H46=0),"",Разбивка_по_щитам!H46)</f>
      </c>
      <c r="S46" s="154">
        <f>IF(R46="","",IFERROR(Разбивка_по_щитам!J46&amp;"",""))</f>
      </c>
      <c r="T46" s="155">
        <f>IF(R46="","",IFERROR(--Разбивка_по_щитам!L46,""))</f>
      </c>
      <c r="U46" s="155">
        <f>IF(R46="","",IFERROR(--Разбивка_по_щитам!K46,""))</f>
      </c>
      <c r="V46" s="138">
        <f>IF(R46="","",IFERROR(IF(Разбивка_по_щитам!M46=0,"",Разбивка_по_щитам!M46),""))</f>
      </c>
      <c r="W46" s="156">
        <f t="shared" si="5"/>
      </c>
      <c r="X46" s="157">
        <f t="shared" si="6"/>
        <v/>
      </c>
      <c r="Y46" s="266"/>
      <c r="Z46" s="158">
        <f t="shared" si="7"/>
      </c>
      <c r="AA46" s="160">
        <f t="shared" si="8"/>
      </c>
      <c r="AB46" s="160">
        <f>IF(R46="","",IFERROR(LOOKUP(INDEX(Справочная!$I$4:$I$19,MATCH(VLOOKUP(R46,Исходные_данные,22,FALSE),Справочная!$J$4:$J$19,0)+1),{6,10,16,20,25,32,40,50,63,80,100,125}),""))</f>
      </c>
      <c r="AC46" s="160">
        <f t="shared" si="9"/>
        <v/>
      </c>
      <c r="AD46" s="161">
        <f t="shared" si="10"/>
      </c>
      <c r="AE46" s="161">
        <f>IF(AND(R46="",G46=""),"",_xlfn.TEXTJOIN("; ",TRUE,IF(AND(R46&lt;&gt;"",V46=""),"нет фазы",""),IF(AND(R46&lt;&gt;"",N(T46)=0),"нет мощности",""),IF(AND(P46&lt;&gt;"",COUNTIFS($A$3:$A$1000,A46,$P$3:$P$1000,P46)&gt;1),"дубль клеммы "&amp;P46,""),IF(AND(W46&lt;&gt;"",W46&lt;&gt;"ok"),W46,""),IF(X46&lt;&gt;"",X46,""),IF(AND(ISNUMBER(SEARCH("(5х",Q46)),N(AK46)=1),"5 жил на 1 фазе",""),IF(AND(AL46="R",E46&lt;&gt;"",N(AS46)=0),"розетка без 30 мА",""),IF(IFERROR(_xlfn.NUMBERVALUE(MID(Q46,FIND("-",Q46,FIND("L=",Q46))+1,FIND("%",Q46)-FIND("-",Q46,FIND("L=",Q46))-1),","),0)&gt;4,"потери &gt; 4 %","")))</f>
      </c>
      <c r="AF46" s="129">
        <f>IF(E46&lt;&gt;"",COUNTIFS($A$3:A46,A46,$E$3:E46,"?*"),IF(OR(A46&lt;&gt;A45,Y46="вручную"),"",AF45))</f>
      </c>
      <c r="AG46" s="129">
        <f t="shared" si="11"/>
      </c>
      <c r="AH46" s="129">
        <f t="shared" si="12"/>
        <v/>
      </c>
      <c r="AI46" s="129">
        <f t="shared" si="13"/>
        <v/>
      </c>
      <c r="AJ46" s="129">
        <f t="shared" si="14"/>
      </c>
      <c r="AK46" s="129">
        <f t="shared" si="15"/>
      </c>
      <c r="AL46" s="129">
        <f t="shared" si="16"/>
      </c>
      <c r="AM46" s="129">
        <f t="shared" si="17"/>
      </c>
      <c r="AN46" s="129">
        <f t="shared" si="18"/>
      </c>
      <c r="AO46" s="129">
        <f t="shared" si="19"/>
      </c>
      <c r="AP46" s="129">
        <f t="shared" si="20"/>
      </c>
      <c r="AQ46" s="129">
        <f t="shared" si="21"/>
      </c>
      <c r="AR46" s="129">
        <f t="shared" si="22"/>
      </c>
      <c r="AS46" s="129">
        <f t="shared" si="23"/>
      </c>
      <c r="AT46" s="129">
        <f t="shared" si="24"/>
      </c>
      <c r="AU46" s="129">
        <f t="shared" si="25"/>
      </c>
      <c r="AV46" s="129">
        <f t="shared" si="26"/>
        <v/>
      </c>
      <c r="AW46" s="129">
        <f>IF(AV46="","",AV46&amp;"."&amp;COUNTIFS($A$3:A46,A46,$AV$3:AV46,AV46))</f>
        <v/>
      </c>
      <c r="AX46" s="129">
        <f t="shared" si="27"/>
        <v/>
      </c>
      <c r="AY46" s="129">
        <f>IF(N46="б/к",0,IF(OR(ISNUMBER(SEARCH("L=",Разбивка_по_щитам!P46)),N46="+",N46="="),1,0))</f>
      </c>
      <c r="AZ46" s="129">
        <f t="shared" si="28"/>
        <v/>
      </c>
      <c r="BA46" s="129">
        <f t="shared" si="29"/>
      </c>
      <c r="BB46" s="129">
        <f t="shared" si="30"/>
      </c>
      <c r="BD46" s="129">
        <f t="shared" si="31"/>
      </c>
      <c r="BE46" s="129">
        <f t="shared" si="32"/>
      </c>
      <c r="BF46" s="129">
        <f t="shared" si="33"/>
      </c>
      <c r="BG46" s="129">
        <f t="shared" si="34"/>
        <v/>
      </c>
      <c r="BH46" s="129">
        <f t="shared" si="35"/>
        <v/>
      </c>
      <c r="BI46" s="129">
        <f t="shared" si="36"/>
        <v/>
      </c>
      <c r="BJ46" s="129">
        <f t="shared" si="37"/>
        <v/>
      </c>
      <c r="BK46" s="129">
        <f>IF(R46="","",IF(OR(BY46="",BY46=0),"BOX",IFERROR(IF(VLOOKUP(BY46,УГО_блоки,3,FALSE)&amp;""&lt;&gt;"",VLOOKUP(BY46,УГО_блоки,3,FALSE),VLOOKUP(BY46,УГО_блоки,2,FALSE)),BY46)))</f>
      </c>
      <c r="BL46" s="129">
        <f t="shared" si="39"/>
      </c>
      <c r="BM46" s="129">
        <f>IF(H46="","",IF(COUNTIF($H$3:H46,H46)=1,MAX($BM$2:BM45)+1,""))</f>
      </c>
      <c r="BN46" s="129">
        <f>IF(I46="","",IF(COUNTIF($I$3:I46,I46)+COUNTIF($J$2:J45,I46)+COUNTIF($K$2:K45,I46)=1,MAX($BN$2:BP45)+1,""))</f>
      </c>
      <c r="BO46" s="129">
        <f>IF(J46="","",IF(COUNTIF($I$3:I46,J46)+COUNTIF($J$3:J46,J46)+COUNTIF($K$2:K45,J46)=1,MAX($BN$2:BP45,BN46)+1,""))</f>
      </c>
      <c r="BP46" s="129">
        <f>IF(K46="","",IF(COUNTIF($I$3:I46,K46)+COUNTIF($J$3:J46,K46)+COUNTIF($K$3:K46,K46)=1,MAX($BN$2:BP45,BN46,BO46)+1,""))</f>
      </c>
      <c r="BQ46" s="129">
        <f>IF(AY46=1,IFERROR(MID(Q46,FIND(" (",Q46)+2,FIND(")",Q46,FIND(" (",Q46))-FIND(" (",Q46)-2),"?"),"")</f>
      </c>
      <c r="BR46" s="129">
        <f>IF(BQ46="","",IF(COUNTIF($BQ$3:BQ46,BQ46)=1,MAX($BR$2:BR45)+1,""))</f>
      </c>
      <c r="BS46" s="129">
        <f>IF(AW46="","",COUNTIF($AW$3:AW46,"?*"))</f>
      </c>
      <c r="BT46" s="129">
        <f>IF(OR(AW46="",AI46=""),"",IF(COUNTIFS($AW$3:AW46,"?*",$AI$3:AI46,AI46)=1,MAX($BT$2:BT45)+1,""))</f>
      </c>
      <c r="BU46" s="129">
        <f>IF(AE46="",0,IF(OR(ISNUMBER(SEARCH("дубль",AE46)),ISNUMBER(SEARCH("ПЕРЕГРУЗ",AE46)),ISNUMBER(SEARCH("ЗАЩИЩ",AE46)),ISNUMBER(SEARCH("КАНАЛ",AE46)),ISNUMBER(SEARCH("без 30",AE46))),2,1))</f>
      </c>
      <c r="BV46" s="129">
        <f>IF(R46="","",COUNTIF($R$3:R46,"?*"))</f>
      </c>
      <c r="BW46" s="129">
        <f>IF(AY46&lt;&gt;1,0,IF(MAX(IFERROR(--VLOOKUP(R46,УГО_спр,5,FALSE),0),IFERROR(--VLOOKUP(AL46,УГО_спр,5,FALSE),0),IFERROR(--VLOOKUP(LEFT(AL46,2),УГО_спр,5,FALSE),0))&gt;0,MAX(IFERROR(--VLOOKUP(R46,УГО_спр,5,FALSE),0),IFERROR(--VLOOKUP(AL46,УГО_спр,5,FALSE),0),IFERROR(--VLOOKUP(LEFT(AL46,2),УГО_спр,5,FALSE),0)),IF(IFERROR(--LEFT(SUBSTITUTE(BQ46,"x","х"),FIND("х",SUBSTITUTE(BQ46,"x","х"))-1),3)&gt;3,Каталог!$S$9,1)))</f>
      </c>
      <c r="BX46" s="129">
        <f>IF(AY46&lt;&gt;1,0,MAX(0,IFERROR(--LEFT(SUBSTITUTE(BQ46,"x","х"),FIND("х",SUBSTITUTE(BQ46,"x","х"))-1),3)-3*BW46))</f>
      </c>
      <c r="BY46" s="129">
        <f>IF(R46="","",IFERROR(VLOOKUP(R46,УГО_спр,2,FALSE),IFERROR(VLOOKUP(AL46,УГО_спр,2,FALSE),IFERROR(VLOOKUP(LEFT(AL46,2),УГО_спр,2,FALSE),""))))</f>
      </c>
    </row>
    <row r="47" spans="1:64" x14ac:dyDescent="0.3">
      <c r="A47" s="135">
        <f>IF(Разбивка_по_щитам!F47=0,"",Разбивка_по_щитам!F47)</f>
      </c>
      <c r="B47" s="138">
        <f>IF(A47="","",Разбивка_по_щитам!C47)</f>
      </c>
      <c r="C47" s="138">
        <f t="shared" si="0"/>
      </c>
      <c r="D47" s="266"/>
      <c r="E47" s="266"/>
      <c r="F47" s="267"/>
      <c r="G47" s="145">
        <f t="shared" si="40"/>
      </c>
      <c r="H47" s="145">
        <f t="shared" si="41"/>
      </c>
      <c r="I47" s="266"/>
      <c r="J47" s="267"/>
      <c r="K47" s="267"/>
      <c r="L47" s="266"/>
      <c r="M47" s="147">
        <f t="shared" si="42"/>
        <v/>
      </c>
      <c r="N47" s="267"/>
      <c r="O47" s="147">
        <f t="shared" si="43"/>
        <v/>
      </c>
      <c r="P47" s="268"/>
      <c r="Q47" s="152">
        <f>IF(R47="","",IFERROR(SUBSTITUTE(Разбивка_по_щитам!P47,CHAR(10)," "),""))</f>
      </c>
      <c r="R47" s="153">
        <f>IF(OR(Разбивка_по_щитам!H47="",Разбивка_по_щитам!H47=0),"",Разбивка_по_щитам!H47)</f>
      </c>
      <c r="S47" s="154">
        <f>IF(R47="","",IFERROR(Разбивка_по_щитам!J47&amp;"",""))</f>
      </c>
      <c r="T47" s="155">
        <f>IF(R47="","",IFERROR(--Разбивка_по_щитам!L47,""))</f>
      </c>
      <c r="U47" s="155">
        <f>IF(R47="","",IFERROR(--Разбивка_по_щитам!K47,""))</f>
      </c>
      <c r="V47" s="138">
        <f>IF(R47="","",IFERROR(IF(Разбивка_по_щитам!M47=0,"",Разбивка_по_щитам!M47),""))</f>
      </c>
      <c r="W47" s="156">
        <f t="shared" si="5"/>
      </c>
      <c r="X47" s="157">
        <f t="shared" si="6"/>
        <v/>
      </c>
      <c r="Y47" s="266"/>
      <c r="Z47" s="158">
        <f t="shared" si="7"/>
      </c>
      <c r="AA47" s="160">
        <f t="shared" si="8"/>
      </c>
      <c r="AB47" s="160">
        <f>IF(R47="","",IFERROR(LOOKUP(INDEX(Справочная!$I$4:$I$19,MATCH(VLOOKUP(R47,Исходные_данные,22,FALSE),Справочная!$J$4:$J$19,0)+1),{6,10,16,20,25,32,40,50,63,80,100,125}),""))</f>
      </c>
      <c r="AC47" s="160">
        <f t="shared" si="9"/>
        <v/>
      </c>
      <c r="AD47" s="161">
        <f t="shared" si="10"/>
      </c>
      <c r="AE47" s="161">
        <f>IF(AND(R47="",G47=""),"",_xlfn.TEXTJOIN("; ",TRUE,IF(AND(R47&lt;&gt;"",V47=""),"нет фазы",""),IF(AND(R47&lt;&gt;"",N(T47)=0),"нет мощности",""),IF(AND(P47&lt;&gt;"",COUNTIFS($A$3:$A$1000,A47,$P$3:$P$1000,P47)&gt;1),"дубль клеммы "&amp;P47,""),IF(AND(W47&lt;&gt;"",W47&lt;&gt;"ok"),W47,""),IF(X47&lt;&gt;"",X47,""),IF(AND(ISNUMBER(SEARCH("(5х",Q47)),N(AK47)=1),"5 жил на 1 фазе",""),IF(AND(AL47="R",E47&lt;&gt;"",N(AS47)=0),"розетка без 30 мА",""),IF(IFERROR(_xlfn.NUMBERVALUE(MID(Q47,FIND("-",Q47,FIND("L=",Q47))+1,FIND("%",Q47)-FIND("-",Q47,FIND("L=",Q47))-1),","),0)&gt;4,"потери &gt; 4 %","")))</f>
      </c>
      <c r="AF47" s="129">
        <f>IF(E47&lt;&gt;"",COUNTIFS($A$3:A47,A47,$E$3:E47,"?*"),IF(OR(A47&lt;&gt;A46,Y47="вручную"),"",AF46))</f>
      </c>
      <c r="AG47" s="129">
        <f t="shared" si="11"/>
      </c>
      <c r="AH47" s="129">
        <f t="shared" si="12"/>
        <v/>
      </c>
      <c r="AI47" s="129">
        <f t="shared" si="13"/>
        <v/>
      </c>
      <c r="AJ47" s="129">
        <f t="shared" si="14"/>
      </c>
      <c r="AK47" s="129">
        <f t="shared" si="15"/>
      </c>
      <c r="AL47" s="129">
        <f t="shared" si="16"/>
      </c>
      <c r="AM47" s="129">
        <f t="shared" si="17"/>
      </c>
      <c r="AN47" s="129">
        <f t="shared" si="18"/>
      </c>
      <c r="AO47" s="129">
        <f t="shared" si="19"/>
      </c>
      <c r="AP47" s="129">
        <f t="shared" si="20"/>
      </c>
      <c r="AQ47" s="129">
        <f t="shared" si="21"/>
      </c>
      <c r="AR47" s="129">
        <f t="shared" si="22"/>
      </c>
      <c r="AS47" s="129">
        <f t="shared" si="23"/>
      </c>
      <c r="AT47" s="129">
        <f t="shared" si="24"/>
      </c>
      <c r="AU47" s="129">
        <f t="shared" si="25"/>
      </c>
      <c r="AV47" s="129">
        <f t="shared" si="26"/>
        <v/>
      </c>
      <c r="AW47" s="129">
        <f>IF(AV47="","",AV47&amp;"."&amp;COUNTIFS($A$3:A47,A47,$AV$3:AV47,AV47))</f>
        <v/>
      </c>
      <c r="AX47" s="129">
        <f t="shared" si="27"/>
        <v/>
      </c>
      <c r="AY47" s="129">
        <f>IF(N47="б/к",0,IF(OR(ISNUMBER(SEARCH("L=",Разбивка_по_щитам!P47)),N47="+",N47="="),1,0))</f>
      </c>
      <c r="AZ47" s="129">
        <f t="shared" si="28"/>
        <v/>
      </c>
      <c r="BA47" s="129">
        <f t="shared" si="29"/>
      </c>
      <c r="BB47" s="129">
        <f t="shared" si="30"/>
      </c>
      <c r="BD47" s="129">
        <f t="shared" si="31"/>
      </c>
      <c r="BE47" s="129">
        <f t="shared" si="32"/>
      </c>
      <c r="BF47" s="129">
        <f t="shared" si="33"/>
      </c>
      <c r="BG47" s="129">
        <f t="shared" si="34"/>
        <v/>
      </c>
      <c r="BH47" s="129">
        <f t="shared" si="35"/>
        <v/>
      </c>
      <c r="BI47" s="129">
        <f t="shared" si="36"/>
        <v/>
      </c>
      <c r="BJ47" s="129">
        <f t="shared" si="37"/>
        <v/>
      </c>
      <c r="BK47" s="129">
        <f>IF(R47="","",IF(OR(BY47="",BY47=0),"BOX",IFERROR(IF(VLOOKUP(BY47,УГО_блоки,3,FALSE)&amp;""&lt;&gt;"",VLOOKUP(BY47,УГО_блоки,3,FALSE),VLOOKUP(BY47,УГО_блоки,2,FALSE)),BY47)))</f>
      </c>
      <c r="BL47" s="129">
        <f t="shared" si="39"/>
      </c>
      <c r="BM47" s="129">
        <f>IF(H47="","",IF(COUNTIF($H$3:H47,H47)=1,MAX($BM$2:BM46)+1,""))</f>
      </c>
      <c r="BN47" s="129">
        <f>IF(I47="","",IF(COUNTIF($I$3:I47,I47)+COUNTIF($J$2:J46,I47)+COUNTIF($K$2:K46,I47)=1,MAX($BN$2:BP46)+1,""))</f>
      </c>
      <c r="BO47" s="129">
        <f>IF(J47="","",IF(COUNTIF($I$3:I47,J47)+COUNTIF($J$3:J47,J47)+COUNTIF($K$2:K46,J47)=1,MAX($BN$2:BP46,BN47)+1,""))</f>
      </c>
      <c r="BP47" s="129">
        <f>IF(K47="","",IF(COUNTIF($I$3:I47,K47)+COUNTIF($J$3:J47,K47)+COUNTIF($K$3:K47,K47)=1,MAX($BN$2:BP46,BN47,BO47)+1,""))</f>
      </c>
      <c r="BQ47" s="129">
        <f>IF(AY47=1,IFERROR(MID(Q47,FIND(" (",Q47)+2,FIND(")",Q47,FIND(" (",Q47))-FIND(" (",Q47)-2),"?"),"")</f>
      </c>
      <c r="BR47" s="129">
        <f>IF(BQ47="","",IF(COUNTIF($BQ$3:BQ47,BQ47)=1,MAX($BR$2:BR46)+1,""))</f>
      </c>
      <c r="BS47" s="129">
        <f>IF(AW47="","",COUNTIF($AW$3:AW47,"?*"))</f>
      </c>
      <c r="BT47" s="129">
        <f>IF(OR(AW47="",AI47=""),"",IF(COUNTIFS($AW$3:AW47,"?*",$AI$3:AI47,AI47)=1,MAX($BT$2:BT46)+1,""))</f>
      </c>
      <c r="BU47" s="129">
        <f>IF(AE47="",0,IF(OR(ISNUMBER(SEARCH("дубль",AE47)),ISNUMBER(SEARCH("ПЕРЕГРУЗ",AE47)),ISNUMBER(SEARCH("ЗАЩИЩ",AE47)),ISNUMBER(SEARCH("КАНАЛ",AE47)),ISNUMBER(SEARCH("без 30",AE47))),2,1))</f>
      </c>
      <c r="BV47" s="129">
        <f>IF(R47="","",COUNTIF($R$3:R47,"?*"))</f>
      </c>
      <c r="BW47" s="129">
        <f>IF(AY47&lt;&gt;1,0,IF(MAX(IFERROR(--VLOOKUP(R47,УГО_спр,5,FALSE),0),IFERROR(--VLOOKUP(AL47,УГО_спр,5,FALSE),0),IFERROR(--VLOOKUP(LEFT(AL47,2),УГО_спр,5,FALSE),0))&gt;0,MAX(IFERROR(--VLOOKUP(R47,УГО_спр,5,FALSE),0),IFERROR(--VLOOKUP(AL47,УГО_спр,5,FALSE),0),IFERROR(--VLOOKUP(LEFT(AL47,2),УГО_спр,5,FALSE),0)),IF(IFERROR(--LEFT(SUBSTITUTE(BQ47,"x","х"),FIND("х",SUBSTITUTE(BQ47,"x","х"))-1),3)&gt;3,Каталог!$S$9,1)))</f>
      </c>
      <c r="BX47" s="129">
        <f>IF(AY47&lt;&gt;1,0,MAX(0,IFERROR(--LEFT(SUBSTITUTE(BQ47,"x","х"),FIND("х",SUBSTITUTE(BQ47,"x","х"))-1),3)-3*BW47))</f>
      </c>
      <c r="BY47" s="129">
        <f>IF(R47="","",IFERROR(VLOOKUP(R47,УГО_спр,2,FALSE),IFERROR(VLOOKUP(AL47,УГО_спр,2,FALSE),IFERROR(VLOOKUP(LEFT(AL47,2),УГО_спр,2,FALSE),""))))</f>
      </c>
    </row>
    <row r="48" spans="1:64" x14ac:dyDescent="0.3">
      <c r="A48" s="135">
        <f>IF(Разбивка_по_щитам!F48=0,"",Разбивка_по_щитам!F48)</f>
      </c>
      <c r="B48" s="138">
        <f>IF(A48="","",Разбивка_по_щитам!C48)</f>
      </c>
      <c r="C48" s="138">
        <f t="shared" si="0"/>
      </c>
      <c r="D48" s="266"/>
      <c r="E48" s="266"/>
      <c r="F48" s="267"/>
      <c r="G48" s="145">
        <f t="shared" si="40"/>
      </c>
      <c r="H48" s="145">
        <f t="shared" si="41"/>
      </c>
      <c r="I48" s="266"/>
      <c r="J48" s="267"/>
      <c r="K48" s="267"/>
      <c r="L48" s="266"/>
      <c r="M48" s="147">
        <f t="shared" si="42"/>
        <v/>
      </c>
      <c r="N48" s="267"/>
      <c r="O48" s="147">
        <f t="shared" si="43"/>
        <v/>
      </c>
      <c r="P48" s="268"/>
      <c r="Q48" s="152">
        <f>IF(R48="","",IFERROR(SUBSTITUTE(Разбивка_по_щитам!P48,CHAR(10)," "),""))</f>
      </c>
      <c r="R48" s="153">
        <f>IF(OR(Разбивка_по_щитам!H48="",Разбивка_по_щитам!H48=0),"",Разбивка_по_щитам!H48)</f>
      </c>
      <c r="S48" s="154">
        <f>IF(R48="","",IFERROR(Разбивка_по_щитам!J48&amp;"",""))</f>
      </c>
      <c r="T48" s="155">
        <f>IF(R48="","",IFERROR(--Разбивка_по_щитам!L48,""))</f>
      </c>
      <c r="U48" s="155">
        <f>IF(R48="","",IFERROR(--Разбивка_по_щитам!K48,""))</f>
      </c>
      <c r="V48" s="138">
        <f>IF(R48="","",IFERROR(IF(Разбивка_по_щитам!M48=0,"",Разбивка_по_щитам!M48),""))</f>
      </c>
      <c r="W48" s="156">
        <f t="shared" si="5"/>
      </c>
      <c r="X48" s="157">
        <f t="shared" si="6"/>
        <v/>
      </c>
      <c r="Y48" s="266"/>
      <c r="Z48" s="158">
        <f t="shared" si="7"/>
      </c>
      <c r="AA48" s="160">
        <f t="shared" si="8"/>
      </c>
      <c r="AB48" s="160">
        <f>IF(R48="","",IFERROR(LOOKUP(INDEX(Справочная!$I$4:$I$19,MATCH(VLOOKUP(R48,Исходные_данные,22,FALSE),Справочная!$J$4:$J$19,0)+1),{6,10,16,20,25,32,40,50,63,80,100,125}),""))</f>
      </c>
      <c r="AC48" s="160">
        <f t="shared" si="9"/>
        <v/>
      </c>
      <c r="AD48" s="161">
        <f t="shared" si="10"/>
      </c>
      <c r="AE48" s="161">
        <f>IF(AND(R48="",G48=""),"",_xlfn.TEXTJOIN("; ",TRUE,IF(AND(R48&lt;&gt;"",V48=""),"нет фазы",""),IF(AND(R48&lt;&gt;"",N(T48)=0),"нет мощности",""),IF(AND(P48&lt;&gt;"",COUNTIFS($A$3:$A$1000,A48,$P$3:$P$1000,P48)&gt;1),"дубль клеммы "&amp;P48,""),IF(AND(W48&lt;&gt;"",W48&lt;&gt;"ok"),W48,""),IF(X48&lt;&gt;"",X48,""),IF(AND(ISNUMBER(SEARCH("(5х",Q48)),N(AK48)=1),"5 жил на 1 фазе",""),IF(AND(AL48="R",E48&lt;&gt;"",N(AS48)=0),"розетка без 30 мА",""),IF(IFERROR(_xlfn.NUMBERVALUE(MID(Q48,FIND("-",Q48,FIND("L=",Q48))+1,FIND("%",Q48)-FIND("-",Q48,FIND("L=",Q48))-1),","),0)&gt;4,"потери &gt; 4 %","")))</f>
      </c>
      <c r="AF48" s="129">
        <f>IF(E48&lt;&gt;"",COUNTIFS($A$3:A48,A48,$E$3:E48,"?*"),IF(OR(A48&lt;&gt;A47,Y48="вручную"),"",AF47))</f>
      </c>
      <c r="AG48" s="129">
        <f t="shared" si="11"/>
      </c>
      <c r="AH48" s="129">
        <f t="shared" si="12"/>
        <v/>
      </c>
      <c r="AI48" s="129">
        <f t="shared" si="13"/>
        <v/>
      </c>
      <c r="AJ48" s="129">
        <f t="shared" si="14"/>
      </c>
      <c r="AK48" s="129">
        <f t="shared" si="15"/>
      </c>
      <c r="AL48" s="129">
        <f t="shared" si="16"/>
      </c>
      <c r="AM48" s="129">
        <f t="shared" si="17"/>
      </c>
      <c r="AN48" s="129">
        <f t="shared" si="18"/>
      </c>
      <c r="AO48" s="129">
        <f t="shared" si="19"/>
      </c>
      <c r="AP48" s="129">
        <f t="shared" si="20"/>
      </c>
      <c r="AQ48" s="129">
        <f t="shared" si="21"/>
      </c>
      <c r="AR48" s="129">
        <f t="shared" si="22"/>
      </c>
      <c r="AS48" s="129">
        <f t="shared" si="23"/>
      </c>
      <c r="AT48" s="129">
        <f t="shared" si="24"/>
      </c>
      <c r="AU48" s="129">
        <f t="shared" si="25"/>
      </c>
      <c r="AV48" s="129">
        <f t="shared" si="26"/>
        <v/>
      </c>
      <c r="AW48" s="129">
        <f>IF(AV48="","",AV48&amp;"."&amp;COUNTIFS($A$3:A48,A48,$AV$3:AV48,AV48))</f>
        <v/>
      </c>
      <c r="AX48" s="129">
        <f t="shared" si="27"/>
        <v/>
      </c>
      <c r="AY48" s="129">
        <f>IF(N48="б/к",0,IF(OR(ISNUMBER(SEARCH("L=",Разбивка_по_щитам!P48)),N48="+",N48="="),1,0))</f>
      </c>
      <c r="AZ48" s="129">
        <f t="shared" si="28"/>
        <v/>
      </c>
      <c r="BA48" s="129">
        <f t="shared" si="29"/>
      </c>
      <c r="BB48" s="129">
        <f t="shared" si="30"/>
      </c>
      <c r="BD48" s="129">
        <f t="shared" si="31"/>
      </c>
      <c r="BE48" s="129">
        <f t="shared" si="32"/>
      </c>
      <c r="BF48" s="129">
        <f t="shared" si="33"/>
      </c>
      <c r="BG48" s="129">
        <f t="shared" si="34"/>
        <v/>
      </c>
      <c r="BH48" s="129">
        <f t="shared" si="35"/>
        <v/>
      </c>
      <c r="BI48" s="129">
        <f t="shared" si="36"/>
        <v/>
      </c>
      <c r="BJ48" s="129">
        <f t="shared" si="37"/>
        <v/>
      </c>
      <c r="BK48" s="129">
        <f>IF(R48="","",IF(OR(BY48="",BY48=0),"BOX",IFERROR(IF(VLOOKUP(BY48,УГО_блоки,3,FALSE)&amp;""&lt;&gt;"",VLOOKUP(BY48,УГО_блоки,3,FALSE),VLOOKUP(BY48,УГО_блоки,2,FALSE)),BY48)))</f>
      </c>
      <c r="BL48" s="129">
        <f t="shared" si="39"/>
      </c>
      <c r="BM48" s="129">
        <f>IF(H48="","",IF(COUNTIF($H$3:H48,H48)=1,MAX($BM$2:BM47)+1,""))</f>
      </c>
      <c r="BN48" s="129">
        <f>IF(I48="","",IF(COUNTIF($I$3:I48,I48)+COUNTIF($J$2:J47,I48)+COUNTIF($K$2:K47,I48)=1,MAX($BN$2:BP47)+1,""))</f>
      </c>
      <c r="BO48" s="129">
        <f>IF(J48="","",IF(COUNTIF($I$3:I48,J48)+COUNTIF($J$3:J48,J48)+COUNTIF($K$2:K47,J48)=1,MAX($BN$2:BP47,BN48)+1,""))</f>
      </c>
      <c r="BP48" s="129">
        <f>IF(K48="","",IF(COUNTIF($I$3:I48,K48)+COUNTIF($J$3:J48,K48)+COUNTIF($K$3:K48,K48)=1,MAX($BN$2:BP47,BN48,BO48)+1,""))</f>
      </c>
      <c r="BQ48" s="129">
        <f>IF(AY48=1,IFERROR(MID(Q48,FIND(" (",Q48)+2,FIND(")",Q48,FIND(" (",Q48))-FIND(" (",Q48)-2),"?"),"")</f>
      </c>
      <c r="BR48" s="129">
        <f>IF(BQ48="","",IF(COUNTIF($BQ$3:BQ48,BQ48)=1,MAX($BR$2:BR47)+1,""))</f>
      </c>
      <c r="BS48" s="129">
        <f>IF(AW48="","",COUNTIF($AW$3:AW48,"?*"))</f>
      </c>
      <c r="BT48" s="129">
        <f>IF(OR(AW48="",AI48=""),"",IF(COUNTIFS($AW$3:AW48,"?*",$AI$3:AI48,AI48)=1,MAX($BT$2:BT47)+1,""))</f>
      </c>
      <c r="BU48" s="129">
        <f>IF(AE48="",0,IF(OR(ISNUMBER(SEARCH("дубль",AE48)),ISNUMBER(SEARCH("ПЕРЕГРУЗ",AE48)),ISNUMBER(SEARCH("ЗАЩИЩ",AE48)),ISNUMBER(SEARCH("КАНАЛ",AE48)),ISNUMBER(SEARCH("без 30",AE48))),2,1))</f>
      </c>
      <c r="BV48" s="129">
        <f>IF(R48="","",COUNTIF($R$3:R48,"?*"))</f>
      </c>
      <c r="BW48" s="129">
        <f>IF(AY48&lt;&gt;1,0,IF(MAX(IFERROR(--VLOOKUP(R48,УГО_спр,5,FALSE),0),IFERROR(--VLOOKUP(AL48,УГО_спр,5,FALSE),0),IFERROR(--VLOOKUP(LEFT(AL48,2),УГО_спр,5,FALSE),0))&gt;0,MAX(IFERROR(--VLOOKUP(R48,УГО_спр,5,FALSE),0),IFERROR(--VLOOKUP(AL48,УГО_спр,5,FALSE),0),IFERROR(--VLOOKUP(LEFT(AL48,2),УГО_спр,5,FALSE),0)),IF(IFERROR(--LEFT(SUBSTITUTE(BQ48,"x","х"),FIND("х",SUBSTITUTE(BQ48,"x","х"))-1),3)&gt;3,Каталог!$S$9,1)))</f>
      </c>
      <c r="BX48" s="129">
        <f>IF(AY48&lt;&gt;1,0,MAX(0,IFERROR(--LEFT(SUBSTITUTE(BQ48,"x","х"),FIND("х",SUBSTITUTE(BQ48,"x","х"))-1),3)-3*BW48))</f>
      </c>
      <c r="BY48" s="129">
        <f>IF(R48="","",IFERROR(VLOOKUP(R48,УГО_спр,2,FALSE),IFERROR(VLOOKUP(AL48,УГО_спр,2,FALSE),IFERROR(VLOOKUP(LEFT(AL48,2),УГО_спр,2,FALSE),""))))</f>
      </c>
    </row>
    <row r="49" spans="1:64" x14ac:dyDescent="0.3">
      <c r="A49" s="135">
        <f>IF(Разбивка_по_щитам!F49=0,"",Разбивка_по_щитам!F49)</f>
      </c>
      <c r="B49" s="138">
        <f>IF(A49="","",Разбивка_по_щитам!C49)</f>
      </c>
      <c r="C49" s="138">
        <f t="shared" si="0"/>
      </c>
      <c r="D49" s="266"/>
      <c r="E49" s="266"/>
      <c r="F49" s="267"/>
      <c r="G49" s="145">
        <f t="shared" si="40"/>
      </c>
      <c r="H49" s="145">
        <f t="shared" si="41"/>
      </c>
      <c r="I49" s="266"/>
      <c r="J49" s="267"/>
      <c r="K49" s="267"/>
      <c r="L49" s="266"/>
      <c r="M49" s="147">
        <f t="shared" si="42"/>
        <v/>
      </c>
      <c r="N49" s="267"/>
      <c r="O49" s="147">
        <f t="shared" si="43"/>
        <v/>
      </c>
      <c r="P49" s="268"/>
      <c r="Q49" s="152">
        <f>IF(R49="","",IFERROR(SUBSTITUTE(Разбивка_по_щитам!P49,CHAR(10)," "),""))</f>
      </c>
      <c r="R49" s="153">
        <f>IF(OR(Разбивка_по_щитам!H49="",Разбивка_по_щитам!H49=0),"",Разбивка_по_щитам!H49)</f>
      </c>
      <c r="S49" s="154">
        <f>IF(R49="","",IFERROR(Разбивка_по_щитам!J49&amp;"",""))</f>
      </c>
      <c r="T49" s="155">
        <f>IF(R49="","",IFERROR(--Разбивка_по_щитам!L49,""))</f>
      </c>
      <c r="U49" s="155">
        <f>IF(R49="","",IFERROR(--Разбивка_по_щитам!K49,""))</f>
      </c>
      <c r="V49" s="138">
        <f>IF(R49="","",IFERROR(IF(Разбивка_по_щитам!M49=0,"",Разбивка_по_щитам!M49),""))</f>
      </c>
      <c r="W49" s="156">
        <f t="shared" si="5"/>
      </c>
      <c r="X49" s="157">
        <f t="shared" si="6"/>
        <v/>
      </c>
      <c r="Y49" s="266"/>
      <c r="Z49" s="158">
        <f t="shared" si="7"/>
      </c>
      <c r="AA49" s="160">
        <f t="shared" si="8"/>
      </c>
      <c r="AB49" s="160">
        <f>IF(R49="","",IFERROR(LOOKUP(INDEX(Справочная!$I$4:$I$19,MATCH(VLOOKUP(R49,Исходные_данные,22,FALSE),Справочная!$J$4:$J$19,0)+1),{6,10,16,20,25,32,40,50,63,80,100,125}),""))</f>
      </c>
      <c r="AC49" s="160">
        <f t="shared" si="9"/>
        <v/>
      </c>
      <c r="AD49" s="161">
        <f t="shared" si="10"/>
      </c>
      <c r="AE49" s="161">
        <f>IF(AND(R49="",G49=""),"",_xlfn.TEXTJOIN("; ",TRUE,IF(AND(R49&lt;&gt;"",V49=""),"нет фазы",""),IF(AND(R49&lt;&gt;"",N(T49)=0),"нет мощности",""),IF(AND(P49&lt;&gt;"",COUNTIFS($A$3:$A$1000,A49,$P$3:$P$1000,P49)&gt;1),"дубль клеммы "&amp;P49,""),IF(AND(W49&lt;&gt;"",W49&lt;&gt;"ok"),W49,""),IF(X49&lt;&gt;"",X49,""),IF(AND(ISNUMBER(SEARCH("(5х",Q49)),N(AK49)=1),"5 жил на 1 фазе",""),IF(AND(AL49="R",E49&lt;&gt;"",N(AS49)=0),"розетка без 30 мА",""),IF(IFERROR(_xlfn.NUMBERVALUE(MID(Q49,FIND("-",Q49,FIND("L=",Q49))+1,FIND("%",Q49)-FIND("-",Q49,FIND("L=",Q49))-1),","),0)&gt;4,"потери &gt; 4 %","")))</f>
      </c>
      <c r="AF49" s="129">
        <f>IF(E49&lt;&gt;"",COUNTIFS($A$3:A49,A49,$E$3:E49,"?*"),IF(OR(A49&lt;&gt;A48,Y49="вручную"),"",AF48))</f>
      </c>
      <c r="AG49" s="129">
        <f t="shared" si="11"/>
      </c>
      <c r="AH49" s="129">
        <f t="shared" si="12"/>
        <v/>
      </c>
      <c r="AI49" s="129">
        <f t="shared" si="13"/>
        <v/>
      </c>
      <c r="AJ49" s="129">
        <f t="shared" si="14"/>
      </c>
      <c r="AK49" s="129">
        <f t="shared" si="15"/>
      </c>
      <c r="AL49" s="129">
        <f t="shared" si="16"/>
      </c>
      <c r="AM49" s="129">
        <f t="shared" si="17"/>
      </c>
      <c r="AN49" s="129">
        <f t="shared" si="18"/>
      </c>
      <c r="AO49" s="129">
        <f t="shared" si="19"/>
      </c>
      <c r="AP49" s="129">
        <f t="shared" si="20"/>
      </c>
      <c r="AQ49" s="129">
        <f t="shared" si="21"/>
      </c>
      <c r="AR49" s="129">
        <f t="shared" si="22"/>
      </c>
      <c r="AS49" s="129">
        <f t="shared" si="23"/>
      </c>
      <c r="AT49" s="129">
        <f t="shared" si="24"/>
      </c>
      <c r="AU49" s="129">
        <f t="shared" si="25"/>
      </c>
      <c r="AV49" s="129">
        <f t="shared" si="26"/>
        <v/>
      </c>
      <c r="AW49" s="129">
        <f>IF(AV49="","",AV49&amp;"."&amp;COUNTIFS($A$3:A49,A49,$AV$3:AV49,AV49))</f>
        <v/>
      </c>
      <c r="AX49" s="129">
        <f t="shared" si="27"/>
        <v/>
      </c>
      <c r="AY49" s="129">
        <f>IF(N49="б/к",0,IF(OR(ISNUMBER(SEARCH("L=",Разбивка_по_щитам!P49)),N49="+",N49="="),1,0))</f>
      </c>
      <c r="AZ49" s="129">
        <f t="shared" si="28"/>
        <v/>
      </c>
      <c r="BA49" s="129">
        <f t="shared" si="29"/>
      </c>
      <c r="BB49" s="129">
        <f t="shared" si="30"/>
      </c>
      <c r="BD49" s="129">
        <f t="shared" si="31"/>
      </c>
      <c r="BE49" s="129">
        <f t="shared" si="32"/>
      </c>
      <c r="BF49" s="129">
        <f t="shared" si="33"/>
      </c>
      <c r="BG49" s="129">
        <f t="shared" si="34"/>
        <v/>
      </c>
      <c r="BH49" s="129">
        <f t="shared" si="35"/>
        <v/>
      </c>
      <c r="BI49" s="129">
        <f t="shared" si="36"/>
        <v/>
      </c>
      <c r="BJ49" s="129">
        <f t="shared" si="37"/>
        <v/>
      </c>
      <c r="BK49" s="129">
        <f>IF(R49="","",IF(OR(BY49="",BY49=0),"BOX",IFERROR(IF(VLOOKUP(BY49,УГО_блоки,3,FALSE)&amp;""&lt;&gt;"",VLOOKUP(BY49,УГО_блоки,3,FALSE),VLOOKUP(BY49,УГО_блоки,2,FALSE)),BY49)))</f>
      </c>
      <c r="BL49" s="129">
        <f t="shared" si="39"/>
      </c>
      <c r="BM49" s="129">
        <f>IF(H49="","",IF(COUNTIF($H$3:H49,H49)=1,MAX($BM$2:BM48)+1,""))</f>
      </c>
      <c r="BN49" s="129">
        <f>IF(I49="","",IF(COUNTIF($I$3:I49,I49)+COUNTIF($J$2:J48,I49)+COUNTIF($K$2:K48,I49)=1,MAX($BN$2:BP48)+1,""))</f>
      </c>
      <c r="BO49" s="129">
        <f>IF(J49="","",IF(COUNTIF($I$3:I49,J49)+COUNTIF($J$3:J49,J49)+COUNTIF($K$2:K48,J49)=1,MAX($BN$2:BP48,BN49)+1,""))</f>
      </c>
      <c r="BP49" s="129">
        <f>IF(K49="","",IF(COUNTIF($I$3:I49,K49)+COUNTIF($J$3:J49,K49)+COUNTIF($K$3:K49,K49)=1,MAX($BN$2:BP48,BN49,BO49)+1,""))</f>
      </c>
      <c r="BQ49" s="129">
        <f>IF(AY49=1,IFERROR(MID(Q49,FIND(" (",Q49)+2,FIND(")",Q49,FIND(" (",Q49))-FIND(" (",Q49)-2),"?"),"")</f>
      </c>
      <c r="BR49" s="129">
        <f>IF(BQ49="","",IF(COUNTIF($BQ$3:BQ49,BQ49)=1,MAX($BR$2:BR48)+1,""))</f>
      </c>
      <c r="BS49" s="129">
        <f>IF(AW49="","",COUNTIF($AW$3:AW49,"?*"))</f>
      </c>
      <c r="BT49" s="129">
        <f>IF(OR(AW49="",AI49=""),"",IF(COUNTIFS($AW$3:AW49,"?*",$AI$3:AI49,AI49)=1,MAX($BT$2:BT48)+1,""))</f>
      </c>
      <c r="BU49" s="129">
        <f>IF(AE49="",0,IF(OR(ISNUMBER(SEARCH("дубль",AE49)),ISNUMBER(SEARCH("ПЕРЕГРУЗ",AE49)),ISNUMBER(SEARCH("ЗАЩИЩ",AE49)),ISNUMBER(SEARCH("КАНАЛ",AE49)),ISNUMBER(SEARCH("без 30",AE49))),2,1))</f>
      </c>
      <c r="BV49" s="129">
        <f>IF(R49="","",COUNTIF($R$3:R49,"?*"))</f>
      </c>
      <c r="BW49" s="129">
        <f>IF(AY49&lt;&gt;1,0,IF(MAX(IFERROR(--VLOOKUP(R49,УГО_спр,5,FALSE),0),IFERROR(--VLOOKUP(AL49,УГО_спр,5,FALSE),0),IFERROR(--VLOOKUP(LEFT(AL49,2),УГО_спр,5,FALSE),0))&gt;0,MAX(IFERROR(--VLOOKUP(R49,УГО_спр,5,FALSE),0),IFERROR(--VLOOKUP(AL49,УГО_спр,5,FALSE),0),IFERROR(--VLOOKUP(LEFT(AL49,2),УГО_спр,5,FALSE),0)),IF(IFERROR(--LEFT(SUBSTITUTE(BQ49,"x","х"),FIND("х",SUBSTITUTE(BQ49,"x","х"))-1),3)&gt;3,Каталог!$S$9,1)))</f>
      </c>
      <c r="BX49" s="129">
        <f>IF(AY49&lt;&gt;1,0,MAX(0,IFERROR(--LEFT(SUBSTITUTE(BQ49,"x","х"),FIND("х",SUBSTITUTE(BQ49,"x","х"))-1),3)-3*BW49))</f>
      </c>
      <c r="BY49" s="129">
        <f>IF(R49="","",IFERROR(VLOOKUP(R49,УГО_спр,2,FALSE),IFERROR(VLOOKUP(AL49,УГО_спр,2,FALSE),IFERROR(VLOOKUP(LEFT(AL49,2),УГО_спр,2,FALSE),""))))</f>
      </c>
    </row>
    <row r="50" spans="1:64" x14ac:dyDescent="0.3">
      <c r="A50" s="135">
        <f>IF(Разбивка_по_щитам!F50=0,"",Разбивка_по_щитам!F50)</f>
      </c>
      <c r="B50" s="138">
        <f>IF(A50="","",Разбивка_по_щитам!C50)</f>
      </c>
      <c r="C50" s="138">
        <f t="shared" si="0"/>
      </c>
      <c r="D50" s="266"/>
      <c r="E50" s="266"/>
      <c r="F50" s="267"/>
      <c r="G50" s="145">
        <f t="shared" si="40"/>
      </c>
      <c r="H50" s="145">
        <f t="shared" si="41"/>
      </c>
      <c r="I50" s="266"/>
      <c r="J50" s="267"/>
      <c r="K50" s="267"/>
      <c r="L50" s="266"/>
      <c r="M50" s="147">
        <f t="shared" si="42"/>
        <v/>
      </c>
      <c r="N50" s="267"/>
      <c r="O50" s="147">
        <f t="shared" si="43"/>
        <v/>
      </c>
      <c r="P50" s="268">
        <f>IF(AY50=1,"XT"&amp;COUNTIFS($A$3:A50,A50,$AY$3:AY50,1),"")</f>
      </c>
      <c r="Q50" s="152">
        <f>IF(R50="","",IFERROR(SUBSTITUTE(Разбивка_по_щитам!P50,CHAR(10)," "),""))</f>
      </c>
      <c r="R50" s="153">
        <f>IF(OR(Разбивка_по_щитам!H50="",Разбивка_по_щитам!H50=0),"",Разбивка_по_щитам!H50)</f>
      </c>
      <c r="S50" s="154">
        <f>IF(R50="","",IFERROR(Разбивка_по_щитам!J50&amp;"",""))</f>
      </c>
      <c r="T50" s="155">
        <f>IF(R50="","",IFERROR(--Разбивка_по_щитам!L50,""))</f>
      </c>
      <c r="U50" s="155">
        <f>IF(R50="","",IFERROR(--Разбивка_по_щитам!K50,""))</f>
      </c>
      <c r="V50" s="138">
        <f>IF(R50="","",IFERROR(IF(Разбивка_по_щитам!M50=0,"",Разбивка_по_щитам!M50),""))</f>
      </c>
      <c r="W50" s="156">
        <f t="shared" si="5"/>
      </c>
      <c r="X50" s="157">
        <f t="shared" si="6"/>
        <v/>
      </c>
      <c r="Y50" s="266"/>
      <c r="Z50" s="158">
        <f t="shared" si="7"/>
      </c>
      <c r="AA50" s="160">
        <f t="shared" si="8"/>
      </c>
      <c r="AB50" s="160">
        <f>IF(R50="","",IFERROR(LOOKUP(INDEX(Справочная!$I$4:$I$19,MATCH(VLOOKUP(R50,Исходные_данные,22,FALSE),Справочная!$J$4:$J$19,0)+1),{6,10,16,20,25,32,40,50,63,80,100,125}),""))</f>
      </c>
      <c r="AC50" s="160">
        <f t="shared" si="9"/>
        <v/>
      </c>
      <c r="AD50" s="161">
        <f t="shared" si="10"/>
      </c>
      <c r="AE50" s="161">
        <f>IF(AND(R50="",G50=""),"",_xlfn.TEXTJOIN("; ",TRUE,IF(AND(R50&lt;&gt;"",V50=""),"нет фазы",""),IF(AND(R50&lt;&gt;"",N(T50)=0),"нет мощности",""),IF(AND(P50&lt;&gt;"",COUNTIFS($A$3:$A$1000,A50,$P$3:$P$1000,P50)&gt;1),"дубль клеммы "&amp;P50,""),IF(AND(W50&lt;&gt;"",W50&lt;&gt;"ok"),W50,""),IF(X50&lt;&gt;"",X50,""),IF(AND(ISNUMBER(SEARCH("(5х",Q50)),N(AK50)=1),"5 жил на 1 фазе",""),IF(AND(AL50="R",E50&lt;&gt;"",N(AS50)=0),"розетка без 30 мА",""),IF(IFERROR(_xlfn.NUMBERVALUE(MID(Q50,FIND("-",Q50,FIND("L=",Q50))+1,FIND("%",Q50)-FIND("-",Q50,FIND("L=",Q50))-1),","),0)&gt;4,"потери &gt; 4 %","")))</f>
      </c>
      <c r="AF50" s="129">
        <f>IF(E50&lt;&gt;"",COUNTIFS($A$3:A50,A50,$E$3:E50,"?*"),IF(OR(A50&lt;&gt;A49,Y50="вручную"),"",AF49))</f>
      </c>
      <c r="AG50" s="129">
        <f t="shared" si="11"/>
      </c>
      <c r="AH50" s="129">
        <f t="shared" si="12"/>
        <v/>
      </c>
      <c r="AI50" s="129">
        <f t="shared" si="13"/>
        <v/>
      </c>
      <c r="AJ50" s="129">
        <f t="shared" si="14"/>
      </c>
      <c r="AK50" s="129">
        <f t="shared" si="15"/>
      </c>
      <c r="AL50" s="129">
        <f t="shared" si="16"/>
      </c>
      <c r="AM50" s="129">
        <f t="shared" si="17"/>
      </c>
      <c r="AN50" s="129">
        <f t="shared" si="18"/>
      </c>
      <c r="AO50" s="129">
        <f t="shared" si="19"/>
      </c>
      <c r="AP50" s="129">
        <f t="shared" si="20"/>
      </c>
      <c r="AQ50" s="129">
        <f t="shared" si="21"/>
      </c>
      <c r="AR50" s="129">
        <f t="shared" si="22"/>
      </c>
      <c r="AS50" s="129">
        <f t="shared" si="23"/>
      </c>
      <c r="AT50" s="129">
        <f t="shared" si="24"/>
      </c>
      <c r="AU50" s="129">
        <f t="shared" si="25"/>
      </c>
      <c r="AV50" s="129">
        <f t="shared" si="26"/>
        <v/>
      </c>
      <c r="AW50" s="129">
        <f>IF(AV50="","",AV50&amp;"."&amp;COUNTIFS($A$3:A50,A50,$AV$3:AV50,AV50))</f>
        <v/>
      </c>
      <c r="AX50" s="129">
        <f t="shared" si="27"/>
        <v/>
      </c>
      <c r="AY50" s="129">
        <f>IF(N50="б/к",0,IF(OR(ISNUMBER(SEARCH("L=",Разбивка_по_щитам!P50)),N50="+",N50="="),1,0))</f>
      </c>
      <c r="AZ50" s="129">
        <f t="shared" si="28"/>
        <v/>
      </c>
      <c r="BA50" s="129">
        <f t="shared" si="29"/>
      </c>
      <c r="BB50" s="129">
        <f t="shared" si="30"/>
      </c>
      <c r="BD50" s="129">
        <f t="shared" si="31"/>
      </c>
      <c r="BE50" s="129">
        <f t="shared" si="32"/>
      </c>
      <c r="BF50" s="129">
        <f t="shared" si="33"/>
      </c>
      <c r="BG50" s="129">
        <f t="shared" si="34"/>
        <v/>
      </c>
      <c r="BH50" s="129">
        <f t="shared" si="35"/>
        <v/>
      </c>
      <c r="BI50" s="129">
        <f t="shared" si="36"/>
        <v/>
      </c>
      <c r="BJ50" s="129">
        <f t="shared" si="37"/>
        <v/>
      </c>
      <c r="BK50" s="129">
        <f>IF(R50="","",IF(OR(BY50="",BY50=0),"BOX",IFERROR(IF(VLOOKUP(BY50,УГО_блоки,3,FALSE)&amp;""&lt;&gt;"",VLOOKUP(BY50,УГО_блоки,3,FALSE),VLOOKUP(BY50,УГО_блоки,2,FALSE)),BY50)))</f>
      </c>
      <c r="BL50" s="129">
        <f t="shared" si="39"/>
      </c>
      <c r="BM50" s="129">
        <f>IF(H50="","",IF(COUNTIF($H$3:H50,H50)=1,MAX($BM$2:BM49)+1,""))</f>
      </c>
      <c r="BN50" s="129">
        <f>IF(I50="","",IF(COUNTIF($I$3:I50,I50)+COUNTIF($J$2:J49,I50)+COUNTIF($K$2:K49,I50)=1,MAX($BN$2:BP49)+1,""))</f>
      </c>
      <c r="BO50" s="129">
        <f>IF(J50="","",IF(COUNTIF($I$3:I50,J50)+COUNTIF($J$3:J50,J50)+COUNTIF($K$2:K49,J50)=1,MAX($BN$2:BP49,BN50)+1,""))</f>
      </c>
      <c r="BP50" s="129">
        <f>IF(K50="","",IF(COUNTIF($I$3:I50,K50)+COUNTIF($J$3:J50,K50)+COUNTIF($K$3:K50,K50)=1,MAX($BN$2:BP49,BN50,BO50)+1,""))</f>
      </c>
      <c r="BQ50" s="129">
        <f>IF(AY50=1,IFERROR(MID(Q50,FIND(" (",Q50)+2,FIND(")",Q50,FIND(" (",Q50))-FIND(" (",Q50)-2),"?"),"")</f>
      </c>
      <c r="BR50" s="129">
        <f>IF(BQ50="","",IF(COUNTIF($BQ$3:BQ50,BQ50)=1,MAX($BR$2:BR49)+1,""))</f>
      </c>
      <c r="BS50" s="129">
        <f>IF(AW50="","",COUNTIF($AW$3:AW50,"?*"))</f>
      </c>
      <c r="BT50" s="129">
        <f>IF(OR(AW50="",AI50=""),"",IF(COUNTIFS($AW$3:AW50,"?*",$AI$3:AI50,AI50)=1,MAX($BT$2:BT49)+1,""))</f>
      </c>
      <c r="BU50" s="129">
        <f>IF(AE50="",0,IF(OR(ISNUMBER(SEARCH("дубль",AE50)),ISNUMBER(SEARCH("ПЕРЕГРУЗ",AE50)),ISNUMBER(SEARCH("ЗАЩИЩ",AE50)),ISNUMBER(SEARCH("КАНАЛ",AE50)),ISNUMBER(SEARCH("без 30",AE50))),2,1))</f>
      </c>
      <c r="BV50" s="129">
        <f>IF(R50="","",COUNTIF($R$3:R50,"?*"))</f>
      </c>
      <c r="BW50" s="129">
        <f>IF(AY50&lt;&gt;1,0,IF(MAX(IFERROR(--VLOOKUP(R50,УГО_спр,5,FALSE),0),IFERROR(--VLOOKUP(AL50,УГО_спр,5,FALSE),0),IFERROR(--VLOOKUP(LEFT(AL50,2),УГО_спр,5,FALSE),0))&gt;0,MAX(IFERROR(--VLOOKUP(R50,УГО_спр,5,FALSE),0),IFERROR(--VLOOKUP(AL50,УГО_спр,5,FALSE),0),IFERROR(--VLOOKUP(LEFT(AL50,2),УГО_спр,5,FALSE),0)),IF(IFERROR(--LEFT(SUBSTITUTE(BQ50,"x","х"),FIND("х",SUBSTITUTE(BQ50,"x","х"))-1),3)&gt;3,Каталог!$S$9,1)))</f>
      </c>
      <c r="BX50" s="129">
        <f>IF(AY50&lt;&gt;1,0,MAX(0,IFERROR(--LEFT(SUBSTITUTE(BQ50,"x","х"),FIND("х",SUBSTITUTE(BQ50,"x","х"))-1),3)-3*BW50))</f>
      </c>
      <c r="BY50" s="129">
        <f>IF(R50="","",IFERROR(VLOOKUP(R50,УГО_спр,2,FALSE),IFERROR(VLOOKUP(AL50,УГО_спр,2,FALSE),IFERROR(VLOOKUP(LEFT(AL50,2),УГО_спр,2,FALSE),""))))</f>
      </c>
    </row>
    <row r="51" spans="1:64" x14ac:dyDescent="0.3">
      <c r="A51" s="135">
        <f>IF(Разбивка_по_щитам!F51=0,"",Разбивка_по_щитам!F51)</f>
      </c>
      <c r="B51" s="138">
        <f>IF(A51="","",Разбивка_по_щитам!C51)</f>
      </c>
      <c r="C51" s="138">
        <f t="shared" si="0"/>
      </c>
      <c r="D51" s="266"/>
      <c r="E51" s="266"/>
      <c r="F51" s="267"/>
      <c r="G51" s="145">
        <f t="shared" si="40"/>
      </c>
      <c r="H51" s="145">
        <f t="shared" si="41"/>
      </c>
      <c r="I51" s="266"/>
      <c r="J51" s="267"/>
      <c r="K51" s="267"/>
      <c r="L51" s="266"/>
      <c r="M51" s="147">
        <f t="shared" si="42"/>
        <v/>
      </c>
      <c r="N51" s="267"/>
      <c r="O51" s="147">
        <f t="shared" si="43"/>
        <v/>
      </c>
      <c r="P51" s="268">
        <f>IF(AY51=1,"XT"&amp;COUNTIFS($A$3:A51,A51,$AY$3:AY51,1),"")</f>
      </c>
      <c r="Q51" s="152">
        <f>IF(R51="","",IFERROR(SUBSTITUTE(Разбивка_по_щитам!P51,CHAR(10)," "),""))</f>
      </c>
      <c r="R51" s="153">
        <f>IF(OR(Разбивка_по_щитам!H51="",Разбивка_по_щитам!H51=0),"",Разбивка_по_щитам!H51)</f>
      </c>
      <c r="S51" s="154">
        <f>IF(R51="","",IFERROR(Разбивка_по_щитам!J51&amp;"",""))</f>
      </c>
      <c r="T51" s="155">
        <f>IF(R51="","",IFERROR(--Разбивка_по_щитам!L51,""))</f>
      </c>
      <c r="U51" s="155">
        <f>IF(R51="","",IFERROR(--Разбивка_по_щитам!K51,""))</f>
      </c>
      <c r="V51" s="138">
        <f>IF(R51="","",IFERROR(IF(Разбивка_по_щитам!M51=0,"",Разбивка_по_щитам!M51),""))</f>
      </c>
      <c r="W51" s="156">
        <f t="shared" si="5"/>
      </c>
      <c r="X51" s="157">
        <f t="shared" si="6"/>
        <v/>
      </c>
      <c r="Y51" s="266"/>
      <c r="Z51" s="158">
        <f t="shared" si="7"/>
      </c>
      <c r="AA51" s="160">
        <f t="shared" si="8"/>
      </c>
      <c r="AB51" s="160">
        <f>IF(R51="","",IFERROR(LOOKUP(INDEX(Справочная!$I$4:$I$19,MATCH(VLOOKUP(R51,Исходные_данные,22,FALSE),Справочная!$J$4:$J$19,0)+1),{6,10,16,20,25,32,40,50,63,80,100,125}),""))</f>
      </c>
      <c r="AC51" s="160">
        <f t="shared" si="9"/>
        <v/>
      </c>
      <c r="AD51" s="161">
        <f t="shared" si="10"/>
      </c>
      <c r="AE51" s="161">
        <f>IF(AND(R51="",G51=""),"",_xlfn.TEXTJOIN("; ",TRUE,IF(AND(R51&lt;&gt;"",V51=""),"нет фазы",""),IF(AND(R51&lt;&gt;"",N(T51)=0),"нет мощности",""),IF(AND(P51&lt;&gt;"",COUNTIFS($A$3:$A$1000,A51,$P$3:$P$1000,P51)&gt;1),"дубль клеммы "&amp;P51,""),IF(AND(W51&lt;&gt;"",W51&lt;&gt;"ok"),W51,""),IF(X51&lt;&gt;"",X51,""),IF(AND(ISNUMBER(SEARCH("(5х",Q51)),N(AK51)=1),"5 жил на 1 фазе",""),IF(AND(AL51="R",E51&lt;&gt;"",N(AS51)=0),"розетка без 30 мА",""),IF(IFERROR(_xlfn.NUMBERVALUE(MID(Q51,FIND("-",Q51,FIND("L=",Q51))+1,FIND("%",Q51)-FIND("-",Q51,FIND("L=",Q51))-1),","),0)&gt;4,"потери &gt; 4 %","")))</f>
      </c>
      <c r="AF51" s="129">
        <f>IF(E51&lt;&gt;"",COUNTIFS($A$3:A51,A51,$E$3:E51,"?*"),IF(OR(A51&lt;&gt;A50,Y51="вручную"),"",AF50))</f>
      </c>
      <c r="AG51" s="129">
        <f t="shared" si="11"/>
      </c>
      <c r="AH51" s="129">
        <f t="shared" si="12"/>
        <v/>
      </c>
      <c r="AI51" s="129">
        <f t="shared" si="13"/>
        <v/>
      </c>
      <c r="AJ51" s="129">
        <f t="shared" si="14"/>
      </c>
      <c r="AK51" s="129">
        <f t="shared" si="15"/>
      </c>
      <c r="AL51" s="129">
        <f t="shared" si="16"/>
      </c>
      <c r="AM51" s="129">
        <f t="shared" si="17"/>
      </c>
      <c r="AN51" s="129">
        <f t="shared" si="18"/>
      </c>
      <c r="AO51" s="129">
        <f t="shared" si="19"/>
      </c>
      <c r="AP51" s="129">
        <f t="shared" si="20"/>
      </c>
      <c r="AQ51" s="129">
        <f t="shared" si="21"/>
      </c>
      <c r="AR51" s="129">
        <f t="shared" si="22"/>
      </c>
      <c r="AS51" s="129">
        <f t="shared" si="23"/>
      </c>
      <c r="AT51" s="129">
        <f t="shared" si="24"/>
      </c>
      <c r="AU51" s="129">
        <f t="shared" si="25"/>
      </c>
      <c r="AV51" s="129">
        <f t="shared" si="26"/>
        <v/>
      </c>
      <c r="AW51" s="129">
        <f>IF(AV51="","",AV51&amp;"."&amp;COUNTIFS($A$3:A51,A51,$AV$3:AV51,AV51))</f>
        <v/>
      </c>
      <c r="AX51" s="129">
        <f t="shared" si="27"/>
        <v/>
      </c>
      <c r="AY51" s="129">
        <f>IF(N51="б/к",0,IF(OR(ISNUMBER(SEARCH("L=",Разбивка_по_щитам!P51)),N51="+",N51="="),1,0))</f>
      </c>
      <c r="AZ51" s="129">
        <f t="shared" si="28"/>
        <v/>
      </c>
      <c r="BA51" s="129">
        <f t="shared" si="29"/>
      </c>
      <c r="BB51" s="129">
        <f t="shared" si="30"/>
      </c>
      <c r="BD51" s="129">
        <f t="shared" si="31"/>
      </c>
      <c r="BE51" s="129">
        <f t="shared" si="32"/>
      </c>
      <c r="BF51" s="129">
        <f t="shared" si="33"/>
      </c>
      <c r="BG51" s="129">
        <f t="shared" si="34"/>
        <v/>
      </c>
      <c r="BH51" s="129">
        <f t="shared" si="35"/>
        <v/>
      </c>
      <c r="BI51" s="129">
        <f t="shared" si="36"/>
        <v/>
      </c>
      <c r="BJ51" s="129">
        <f t="shared" si="37"/>
        <v/>
      </c>
      <c r="BK51" s="129">
        <f>IF(R51="","",IF(OR(BY51="",BY51=0),"BOX",IFERROR(IF(VLOOKUP(BY51,УГО_блоки,3,FALSE)&amp;""&lt;&gt;"",VLOOKUP(BY51,УГО_блоки,3,FALSE),VLOOKUP(BY51,УГО_блоки,2,FALSE)),BY51)))</f>
      </c>
      <c r="BL51" s="129">
        <f t="shared" si="39"/>
      </c>
      <c r="BM51" s="129">
        <f>IF(H51="","",IF(COUNTIF($H$3:H51,H51)=1,MAX($BM$2:BM50)+1,""))</f>
      </c>
      <c r="BN51" s="129">
        <f>IF(I51="","",IF(COUNTIF($I$3:I51,I51)+COUNTIF($J$2:J50,I51)+COUNTIF($K$2:K50,I51)=1,MAX($BN$2:BP50)+1,""))</f>
      </c>
      <c r="BO51" s="129">
        <f>IF(J51="","",IF(COUNTIF($I$3:I51,J51)+COUNTIF($J$3:J51,J51)+COUNTIF($K$2:K50,J51)=1,MAX($BN$2:BP50,BN51)+1,""))</f>
      </c>
      <c r="BP51" s="129">
        <f>IF(K51="","",IF(COUNTIF($I$3:I51,K51)+COUNTIF($J$3:J51,K51)+COUNTIF($K$3:K51,K51)=1,MAX($BN$2:BP50,BN51,BO51)+1,""))</f>
      </c>
      <c r="BQ51" s="129">
        <f>IF(AY51=1,IFERROR(MID(Q51,FIND(" (",Q51)+2,FIND(")",Q51,FIND(" (",Q51))-FIND(" (",Q51)-2),"?"),"")</f>
      </c>
      <c r="BR51" s="129">
        <f>IF(BQ51="","",IF(COUNTIF($BQ$3:BQ51,BQ51)=1,MAX($BR$2:BR50)+1,""))</f>
      </c>
      <c r="BS51" s="129">
        <f>IF(AW51="","",COUNTIF($AW$3:AW51,"?*"))</f>
      </c>
      <c r="BT51" s="129">
        <f>IF(OR(AW51="",AI51=""),"",IF(COUNTIFS($AW$3:AW51,"?*",$AI$3:AI51,AI51)=1,MAX($BT$2:BT50)+1,""))</f>
      </c>
      <c r="BU51" s="129">
        <f>IF(AE51="",0,IF(OR(ISNUMBER(SEARCH("дубль",AE51)),ISNUMBER(SEARCH("ПЕРЕГРУЗ",AE51)),ISNUMBER(SEARCH("ЗАЩИЩ",AE51)),ISNUMBER(SEARCH("КАНАЛ",AE51)),ISNUMBER(SEARCH("без 30",AE51))),2,1))</f>
      </c>
      <c r="BV51" s="129">
        <f>IF(R51="","",COUNTIF($R$3:R51,"?*"))</f>
      </c>
      <c r="BW51" s="129">
        <f>IF(AY51&lt;&gt;1,0,IF(MAX(IFERROR(--VLOOKUP(R51,УГО_спр,5,FALSE),0),IFERROR(--VLOOKUP(AL51,УГО_спр,5,FALSE),0),IFERROR(--VLOOKUP(LEFT(AL51,2),УГО_спр,5,FALSE),0))&gt;0,MAX(IFERROR(--VLOOKUP(R51,УГО_спр,5,FALSE),0),IFERROR(--VLOOKUP(AL51,УГО_спр,5,FALSE),0),IFERROR(--VLOOKUP(LEFT(AL51,2),УГО_спр,5,FALSE),0)),IF(IFERROR(--LEFT(SUBSTITUTE(BQ51,"x","х"),FIND("х",SUBSTITUTE(BQ51,"x","х"))-1),3)&gt;3,Каталог!$S$9,1)))</f>
      </c>
      <c r="BX51" s="129">
        <f>IF(AY51&lt;&gt;1,0,MAX(0,IFERROR(--LEFT(SUBSTITUTE(BQ51,"x","х"),FIND("х",SUBSTITUTE(BQ51,"x","х"))-1),3)-3*BW51))</f>
      </c>
      <c r="BY51" s="129">
        <f>IF(R51="","",IFERROR(VLOOKUP(R51,УГО_спр,2,FALSE),IFERROR(VLOOKUP(AL51,УГО_спр,2,FALSE),IFERROR(VLOOKUP(LEFT(AL51,2),УГО_спр,2,FALSE),""))))</f>
      </c>
    </row>
    <row r="52" spans="1:64" x14ac:dyDescent="0.3">
      <c r="A52" s="135">
        <f>IF(Разбивка_по_щитам!F52=0,"",Разбивка_по_щитам!F52)</f>
      </c>
      <c r="B52" s="138">
        <f>IF(A52="","",Разбивка_по_щитам!C52)</f>
      </c>
      <c r="C52" s="138">
        <f t="shared" si="0"/>
      </c>
      <c r="D52" s="266"/>
      <c r="E52" s="266"/>
      <c r="F52" s="267"/>
      <c r="G52" s="145">
        <f t="shared" si="40"/>
      </c>
      <c r="H52" s="145">
        <f t="shared" si="41"/>
      </c>
      <c r="I52" s="266"/>
      <c r="J52" s="267"/>
      <c r="K52" s="267"/>
      <c r="L52" s="266"/>
      <c r="M52" s="147">
        <f t="shared" si="42"/>
        <v/>
      </c>
      <c r="N52" s="267"/>
      <c r="O52" s="147">
        <f t="shared" si="43"/>
        <v/>
      </c>
      <c r="P52" s="268">
        <f>IF(AY52=1,"XT"&amp;COUNTIFS($A$3:A52,A52,$AY$3:AY52,1),"")</f>
      </c>
      <c r="Q52" s="152">
        <f>IF(R52="","",IFERROR(SUBSTITUTE(Разбивка_по_щитам!P52,CHAR(10)," "),""))</f>
      </c>
      <c r="R52" s="153">
        <f>IF(OR(Разбивка_по_щитам!H52="",Разбивка_по_щитам!H52=0),"",Разбивка_по_щитам!H52)</f>
      </c>
      <c r="S52" s="154">
        <f>IF(R52="","",IFERROR(Разбивка_по_щитам!J52&amp;"",""))</f>
      </c>
      <c r="T52" s="155">
        <f>IF(R52="","",IFERROR(--Разбивка_по_щитам!L52,""))</f>
      </c>
      <c r="U52" s="155">
        <f>IF(R52="","",IFERROR(--Разбивка_по_щитам!K52,""))</f>
      </c>
      <c r="V52" s="138">
        <f>IF(R52="","",IFERROR(IF(Разбивка_по_щитам!M52=0,"",Разбивка_по_щитам!M52),""))</f>
      </c>
      <c r="W52" s="156">
        <f t="shared" si="5"/>
      </c>
      <c r="X52" s="157">
        <f t="shared" si="6"/>
        <v/>
      </c>
      <c r="Y52" s="266"/>
      <c r="Z52" s="158">
        <f t="shared" si="7"/>
      </c>
      <c r="AA52" s="160">
        <f t="shared" si="8"/>
      </c>
      <c r="AB52" s="160">
        <f>IF(R52="","",IFERROR(LOOKUP(INDEX(Справочная!$I$4:$I$19,MATCH(VLOOKUP(R52,Исходные_данные,22,FALSE),Справочная!$J$4:$J$19,0)+1),{6,10,16,20,25,32,40,50,63,80,100,125}),""))</f>
      </c>
      <c r="AC52" s="160">
        <f t="shared" si="9"/>
        <v/>
      </c>
      <c r="AD52" s="161">
        <f t="shared" si="10"/>
      </c>
      <c r="AE52" s="161">
        <f>IF(AND(R52="",G52=""),"",_xlfn.TEXTJOIN("; ",TRUE,IF(AND(R52&lt;&gt;"",V52=""),"нет фазы",""),IF(AND(R52&lt;&gt;"",N(T52)=0),"нет мощности",""),IF(AND(P52&lt;&gt;"",COUNTIFS($A$3:$A$1000,A52,$P$3:$P$1000,P52)&gt;1),"дубль клеммы "&amp;P52,""),IF(AND(W52&lt;&gt;"",W52&lt;&gt;"ok"),W52,""),IF(X52&lt;&gt;"",X52,""),IF(AND(ISNUMBER(SEARCH("(5х",Q52)),N(AK52)=1),"5 жил на 1 фазе",""),IF(AND(AL52="R",E52&lt;&gt;"",N(AS52)=0),"розетка без 30 мА",""),IF(IFERROR(_xlfn.NUMBERVALUE(MID(Q52,FIND("-",Q52,FIND("L=",Q52))+1,FIND("%",Q52)-FIND("-",Q52,FIND("L=",Q52))-1),","),0)&gt;4,"потери &gt; 4 %","")))</f>
      </c>
      <c r="AF52" s="129">
        <f>IF(E52&lt;&gt;"",COUNTIFS($A$3:A52,A52,$E$3:E52,"?*"),IF(OR(A52&lt;&gt;A51,Y52="вручную"),"",AF51))</f>
      </c>
      <c r="AG52" s="129">
        <f t="shared" si="11"/>
      </c>
      <c r="AH52" s="129">
        <f t="shared" si="12"/>
        <v/>
      </c>
      <c r="AI52" s="129">
        <f t="shared" si="13"/>
        <v/>
      </c>
      <c r="AJ52" s="129">
        <f t="shared" si="14"/>
      </c>
      <c r="AK52" s="129">
        <f t="shared" si="15"/>
      </c>
      <c r="AL52" s="129">
        <f t="shared" si="16"/>
      </c>
      <c r="AM52" s="129">
        <f t="shared" si="17"/>
      </c>
      <c r="AN52" s="129">
        <f t="shared" si="18"/>
      </c>
      <c r="AO52" s="129">
        <f t="shared" si="19"/>
      </c>
      <c r="AP52" s="129">
        <f t="shared" si="20"/>
      </c>
      <c r="AQ52" s="129">
        <f t="shared" si="21"/>
      </c>
      <c r="AR52" s="129">
        <f t="shared" si="22"/>
      </c>
      <c r="AS52" s="129">
        <f t="shared" si="23"/>
      </c>
      <c r="AT52" s="129">
        <f t="shared" si="24"/>
      </c>
      <c r="AU52" s="129">
        <f t="shared" si="25"/>
      </c>
      <c r="AV52" s="129">
        <f t="shared" si="26"/>
        <v/>
      </c>
      <c r="AW52" s="129">
        <f>IF(AV52="","",AV52&amp;"."&amp;COUNTIFS($A$3:A52,A52,$AV$3:AV52,AV52))</f>
        <v/>
      </c>
      <c r="AX52" s="129">
        <f t="shared" si="27"/>
        <v/>
      </c>
      <c r="AY52" s="129">
        <f>IF(N52="б/к",0,IF(OR(ISNUMBER(SEARCH("L=",Разбивка_по_щитам!P52)),N52="+",N52="="),1,0))</f>
      </c>
      <c r="AZ52" s="129">
        <f t="shared" si="28"/>
        <v/>
      </c>
      <c r="BA52" s="129">
        <f t="shared" si="29"/>
      </c>
      <c r="BB52" s="129">
        <f t="shared" si="30"/>
      </c>
      <c r="BD52" s="129">
        <f t="shared" si="31"/>
      </c>
      <c r="BE52" s="129">
        <f t="shared" si="32"/>
      </c>
      <c r="BF52" s="129">
        <f t="shared" si="33"/>
      </c>
      <c r="BG52" s="129">
        <f t="shared" si="34"/>
        <v/>
      </c>
      <c r="BH52" s="129">
        <f t="shared" si="35"/>
        <v/>
      </c>
      <c r="BI52" s="129">
        <f t="shared" si="36"/>
        <v/>
      </c>
      <c r="BJ52" s="129">
        <f t="shared" si="37"/>
        <v/>
      </c>
      <c r="BK52" s="129">
        <f>IF(R52="","",IF(OR(BY52="",BY52=0),"BOX",IFERROR(IF(VLOOKUP(BY52,УГО_блоки,3,FALSE)&amp;""&lt;&gt;"",VLOOKUP(BY52,УГО_блоки,3,FALSE),VLOOKUP(BY52,УГО_блоки,2,FALSE)),BY52)))</f>
      </c>
      <c r="BL52" s="129">
        <f t="shared" si="39"/>
      </c>
      <c r="BM52" s="129">
        <f>IF(H52="","",IF(COUNTIF($H$3:H52,H52)=1,MAX($BM$2:BM51)+1,""))</f>
      </c>
      <c r="BN52" s="129">
        <f>IF(I52="","",IF(COUNTIF($I$3:I52,I52)+COUNTIF($J$2:J51,I52)+COUNTIF($K$2:K51,I52)=1,MAX($BN$2:BP51)+1,""))</f>
      </c>
      <c r="BO52" s="129">
        <f>IF(J52="","",IF(COUNTIF($I$3:I52,J52)+COUNTIF($J$3:J52,J52)+COUNTIF($K$2:K51,J52)=1,MAX($BN$2:BP51,BN52)+1,""))</f>
      </c>
      <c r="BP52" s="129">
        <f>IF(K52="","",IF(COUNTIF($I$3:I52,K52)+COUNTIF($J$3:J52,K52)+COUNTIF($K$3:K52,K52)=1,MAX($BN$2:BP51,BN52,BO52)+1,""))</f>
      </c>
      <c r="BQ52" s="129">
        <f>IF(AY52=1,IFERROR(MID(Q52,FIND(" (",Q52)+2,FIND(")",Q52,FIND(" (",Q52))-FIND(" (",Q52)-2),"?"),"")</f>
      </c>
      <c r="BR52" s="129">
        <f>IF(BQ52="","",IF(COUNTIF($BQ$3:BQ52,BQ52)=1,MAX($BR$2:BR51)+1,""))</f>
      </c>
      <c r="BS52" s="129">
        <f>IF(AW52="","",COUNTIF($AW$3:AW52,"?*"))</f>
      </c>
      <c r="BT52" s="129">
        <f>IF(OR(AW52="",AI52=""),"",IF(COUNTIFS($AW$3:AW52,"?*",$AI$3:AI52,AI52)=1,MAX($BT$2:BT51)+1,""))</f>
      </c>
      <c r="BU52" s="129">
        <f>IF(AE52="",0,IF(OR(ISNUMBER(SEARCH("дубль",AE52)),ISNUMBER(SEARCH("ПЕРЕГРУЗ",AE52)),ISNUMBER(SEARCH("ЗАЩИЩ",AE52)),ISNUMBER(SEARCH("КАНАЛ",AE52)),ISNUMBER(SEARCH("без 30",AE52))),2,1))</f>
      </c>
      <c r="BV52" s="129">
        <f>IF(R52="","",COUNTIF($R$3:R52,"?*"))</f>
      </c>
      <c r="BW52" s="129">
        <f>IF(AY52&lt;&gt;1,0,IF(MAX(IFERROR(--VLOOKUP(R52,УГО_спр,5,FALSE),0),IFERROR(--VLOOKUP(AL52,УГО_спр,5,FALSE),0),IFERROR(--VLOOKUP(LEFT(AL52,2),УГО_спр,5,FALSE),0))&gt;0,MAX(IFERROR(--VLOOKUP(R52,УГО_спр,5,FALSE),0),IFERROR(--VLOOKUP(AL52,УГО_спр,5,FALSE),0),IFERROR(--VLOOKUP(LEFT(AL52,2),УГО_спр,5,FALSE),0)),IF(IFERROR(--LEFT(SUBSTITUTE(BQ52,"x","х"),FIND("х",SUBSTITUTE(BQ52,"x","х"))-1),3)&gt;3,Каталог!$S$9,1)))</f>
      </c>
      <c r="BX52" s="129">
        <f>IF(AY52&lt;&gt;1,0,MAX(0,IFERROR(--LEFT(SUBSTITUTE(BQ52,"x","х"),FIND("х",SUBSTITUTE(BQ52,"x","х"))-1),3)-3*BW52))</f>
      </c>
      <c r="BY52" s="129">
        <f>IF(R52="","",IFERROR(VLOOKUP(R52,УГО_спр,2,FALSE),IFERROR(VLOOKUP(AL52,УГО_спр,2,FALSE),IFERROR(VLOOKUP(LEFT(AL52,2),УГО_спр,2,FALSE),""))))</f>
      </c>
    </row>
    <row r="53" spans="1:64" x14ac:dyDescent="0.3">
      <c r="A53" s="135">
        <f>IF(Разбивка_по_щитам!F53=0,"",Разбивка_по_щитам!F53)</f>
      </c>
      <c r="B53" s="138">
        <f>IF(A53="","",Разбивка_по_щитам!C53)</f>
      </c>
      <c r="C53" s="138">
        <f t="shared" si="0"/>
      </c>
      <c r="D53" s="266"/>
      <c r="E53" s="266"/>
      <c r="F53" s="267"/>
      <c r="G53" s="145">
        <f t="shared" si="40"/>
        <v/>
      </c>
      <c r="H53" s="145">
        <f t="shared" si="41"/>
        <v/>
      </c>
      <c r="I53" s="266"/>
      <c r="J53" s="267"/>
      <c r="K53" s="267"/>
      <c r="L53" s="266"/>
      <c r="M53" s="147">
        <f t="shared" si="42"/>
        <v/>
      </c>
      <c r="N53" s="267"/>
      <c r="O53" s="147">
        <f t="shared" si="43"/>
        <v/>
      </c>
      <c r="P53" s="268">
        <f>IF(AY53=1,"XT"&amp;COUNTIFS($A$3:A53,A53,$AY$3:AY53,1),"")</f>
        <v/>
      </c>
      <c r="Q53" s="152">
        <f>IF(R53="","",IFERROR(SUBSTITUTE(Разбивка_по_щитам!P53,CHAR(10)," "),""))</f>
        <v/>
      </c>
      <c r="R53" s="153">
        <f>IF(OR(Разбивка_по_щитам!H53="",Разбивка_по_щитам!H53=0),"",Разбивка_по_щитам!H53)</f>
        <v/>
      </c>
      <c r="S53" s="154">
        <f>IF(R53="","",IFERROR(Разбивка_по_щитам!J53&amp;"",""))</f>
        <v/>
      </c>
      <c r="T53" s="155">
        <f>IF(R53="","",IFERROR(--Разбивка_по_щитам!L53,""))</f>
        <v/>
      </c>
      <c r="U53" s="155">
        <f>IF(R53="","",IFERROR(--Разбивка_по_щитам!K53,""))</f>
        <v/>
      </c>
      <c r="V53" s="138">
        <f>IF(R53="","",IFERROR(IF(Разбивка_по_щитам!M53=0,"",Разбивка_по_щитам!M53),""))</f>
        <v/>
      </c>
      <c r="W53" s="156">
        <f t="shared" si="5"/>
        <v/>
      </c>
      <c r="X53" s="157">
        <f t="shared" si="6"/>
        <v/>
      </c>
      <c r="Y53" s="266"/>
      <c r="Z53" s="158">
        <f t="shared" si="7"/>
        <v/>
      </c>
      <c r="AA53" s="160">
        <f t="shared" si="8"/>
        <v/>
      </c>
      <c r="AB53" s="160">
        <f>IF(R53="","",IFERROR(LOOKUP(INDEX(Справочная!$I$4:$I$19,MATCH(VLOOKUP(R53,Исходные_данные,22,FALSE),Справочная!$J$4:$J$19,0)+1),{6,10,16,20,25,32,40,50,63,80,100,125}),""))</f>
        <v/>
      </c>
      <c r="AC53" s="160">
        <f t="shared" si="9"/>
        <v/>
      </c>
      <c r="AD53" s="161">
        <f t="shared" si="10"/>
        <v/>
      </c>
      <c r="AE53" s="161">
        <f>IF(AND(R53="",G53=""),"",_xlfn.TEXTJOIN("; ",TRUE,IF(AND(R53&lt;&gt;"",V53=""),"нет фазы",""),IF(AND(R53&lt;&gt;"",N(T53)=0),"нет мощности",""),IF(AND(P53&lt;&gt;"",COUNTIFS($A$3:$A$1000,A53,$P$3:$P$1000,P53)&gt;1),"дубль клеммы "&amp;P53,""),IF(AND(W53&lt;&gt;"",W53&lt;&gt;"ok"),W53,""),IF(X53&lt;&gt;"",X53,""),IF(AND(ISNUMBER(SEARCH("(5х",Q53)),N(AK53)=1),"5 жил на 1 фазе",""),IF(AND(AL53="R",E53&lt;&gt;"",N(AS53)=0),"розетка без 30 мА",""),IF(IFERROR(_xlfn.NUMBERVALUE(MID(Q53,FIND("-",Q53,FIND("L=",Q53))+1,FIND("%",Q53)-FIND("-",Q53,FIND("L=",Q53))-1),","),0)&gt;4,"потери &gt; 4 %","")))</f>
      </c>
      <c r="AF53" s="129">
        <f>IF(E53&lt;&gt;"",COUNTIFS($A$3:A53,A53,$E$3:E53,"?*"),IF(OR(A53&lt;&gt;A52,Y53="вручную"),"",AF52))</f>
      </c>
      <c r="AG53" s="129">
        <f t="shared" si="11"/>
      </c>
      <c r="AH53" s="129">
        <f t="shared" si="12"/>
        <v/>
      </c>
      <c r="AI53" s="129">
        <f t="shared" si="13"/>
        <v/>
      </c>
      <c r="AJ53" s="129">
        <f t="shared" si="14"/>
        <v/>
      </c>
      <c r="AK53" s="129">
        <f t="shared" si="15"/>
        <v/>
      </c>
      <c r="AL53" s="129">
        <f t="shared" si="16"/>
        <v/>
      </c>
      <c r="AM53" s="129">
        <f t="shared" si="17"/>
      </c>
      <c r="AN53" s="129">
        <f t="shared" si="18"/>
      </c>
      <c r="AO53" s="129">
        <f t="shared" si="19"/>
        <v/>
      </c>
      <c r="AP53" s="129">
        <f t="shared" si="20"/>
        <v/>
      </c>
      <c r="AQ53" s="129">
        <f t="shared" si="21"/>
        <v/>
      </c>
      <c r="AR53" s="129">
        <f t="shared" si="22"/>
        <v/>
      </c>
      <c r="AS53" s="129">
        <f t="shared" si="23"/>
        <v/>
      </c>
      <c r="AT53" s="129">
        <f t="shared" si="24"/>
        <v/>
      </c>
      <c r="AU53" s="129">
        <f t="shared" si="25"/>
        <v/>
      </c>
      <c r="AV53" s="129">
        <f t="shared" si="26"/>
        <v/>
      </c>
      <c r="AW53" s="129">
        <f>IF(AV53="","",AV53&amp;"."&amp;COUNTIFS($A$3:A53,A53,$AV$3:AV53,AV53))</f>
        <v/>
      </c>
      <c r="AX53" s="129">
        <f t="shared" si="27"/>
        <v/>
      </c>
      <c r="AY53" s="129">
        <f>IF(N53="б/к",0,IF(OR(ISNUMBER(SEARCH("L=",Разбивка_по_щитам!P53)),N53="+",N53="="),1,0))</f>
      </c>
      <c r="AZ53" s="129">
        <f t="shared" si="28"/>
        <v/>
      </c>
      <c r="BA53" s="129">
        <f t="shared" si="29"/>
      </c>
      <c r="BB53" s="129">
        <f t="shared" si="30"/>
      </c>
      <c r="BD53" s="129">
        <f t="shared" si="31"/>
      </c>
      <c r="BE53" s="129">
        <f t="shared" si="32"/>
      </c>
      <c r="BF53" s="129">
        <f t="shared" si="33"/>
      </c>
      <c r="BG53" s="129">
        <f t="shared" si="34"/>
        <v/>
      </c>
      <c r="BH53" s="129">
        <f t="shared" si="35"/>
        <v/>
      </c>
      <c r="BI53" s="129">
        <f t="shared" si="36"/>
        <v/>
      </c>
      <c r="BJ53" s="129">
        <f t="shared" si="37"/>
        <v/>
      </c>
      <c r="BK53" s="129">
        <f>IF(R53="","",IF(OR(BY53="",BY53=0),"BOX",IFERROR(IF(VLOOKUP(BY53,УГО_блоки,3,FALSE)&amp;""&lt;&gt;"",VLOOKUP(BY53,УГО_блоки,3,FALSE),VLOOKUP(BY53,УГО_блоки,2,FALSE)),BY53)))</f>
      </c>
      <c r="BL53" s="129">
        <f t="shared" si="39"/>
      </c>
      <c r="BM53" s="129">
        <f>IF(H53="","",IF(COUNTIF($H$3:H53,H53)=1,MAX($BM$2:BM52)+1,""))</f>
      </c>
      <c r="BN53" s="129">
        <f>IF(I53="","",IF(COUNTIF($I$3:I53,I53)+COUNTIF($J$2:J52,I53)+COUNTIF($K$2:K52,I53)=1,MAX($BN$2:BP52)+1,""))</f>
      </c>
      <c r="BO53" s="129">
        <f>IF(J53="","",IF(COUNTIF($I$3:I53,J53)+COUNTIF($J$3:J53,J53)+COUNTIF($K$2:K52,J53)=1,MAX($BN$2:BP52,BN53)+1,""))</f>
      </c>
      <c r="BP53" s="129">
        <f>IF(K53="","",IF(COUNTIF($I$3:I53,K53)+COUNTIF($J$3:J53,K53)+COUNTIF($K$3:K53,K53)=1,MAX($BN$2:BP52,BN53,BO53)+1,""))</f>
      </c>
      <c r="BQ53" s="129">
        <f>IF(AY53=1,IFERROR(MID(Q53,FIND(" (",Q53)+2,FIND(")",Q53,FIND(" (",Q53))-FIND(" (",Q53)-2),"?"),"")</f>
      </c>
      <c r="BR53" s="129">
        <f>IF(BQ53="","",IF(COUNTIF($BQ$3:BQ53,BQ53)=1,MAX($BR$2:BR52)+1,""))</f>
      </c>
      <c r="BS53" s="129">
        <f>IF(AW53="","",COUNTIF($AW$3:AW53,"?*"))</f>
      </c>
      <c r="BT53" s="129">
        <f>IF(OR(AW53="",AI53=""),"",IF(COUNTIFS($AW$3:AW53,"?*",$AI$3:AI53,AI53)=1,MAX($BT$2:BT52)+1,""))</f>
      </c>
      <c r="BU53" s="129">
        <f>IF(AE53="",0,IF(OR(ISNUMBER(SEARCH("дубль",AE53)),ISNUMBER(SEARCH("ПЕРЕГРУЗ",AE53)),ISNUMBER(SEARCH("ЗАЩИЩ",AE53)),ISNUMBER(SEARCH("КАНАЛ",AE53)),ISNUMBER(SEARCH("без 30",AE53))),2,1))</f>
      </c>
      <c r="BV53" s="129">
        <f>IF(R53="","",COUNTIF($R$3:R53,"?*"))</f>
      </c>
      <c r="BW53" s="129">
        <f>IF(AY53&lt;&gt;1,0,IF(MAX(IFERROR(--VLOOKUP(R53,УГО_спр,5,FALSE),0),IFERROR(--VLOOKUP(AL53,УГО_спр,5,FALSE),0),IFERROR(--VLOOKUP(LEFT(AL53,2),УГО_спр,5,FALSE),0))&gt;0,MAX(IFERROR(--VLOOKUP(R53,УГО_спр,5,FALSE),0),IFERROR(--VLOOKUP(AL53,УГО_спр,5,FALSE),0),IFERROR(--VLOOKUP(LEFT(AL53,2),УГО_спр,5,FALSE),0)),IF(IFERROR(--LEFT(SUBSTITUTE(BQ53,"x","х"),FIND("х",SUBSTITUTE(BQ53,"x","х"))-1),3)&gt;3,Каталог!$S$9,1)))</f>
      </c>
      <c r="BX53" s="129">
        <f>IF(AY53&lt;&gt;1,0,MAX(0,IFERROR(--LEFT(SUBSTITUTE(BQ53,"x","х"),FIND("х",SUBSTITUTE(BQ53,"x","х"))-1),3)-3*BW53))</f>
      </c>
      <c r="BY53" s="129">
        <f>IF(R53="","",IFERROR(VLOOKUP(R53,УГО_спр,2,FALSE),IFERROR(VLOOKUP(AL53,УГО_спр,2,FALSE),IFERROR(VLOOKUP(LEFT(AL53,2),УГО_спр,2,FALSE),""))))</f>
      </c>
    </row>
    <row r="54" spans="1:64" x14ac:dyDescent="0.3">
      <c r="A54" s="135">
        <f>IF(Разбивка_по_щитам!F54=0,"",Разбивка_по_щитам!F54)</f>
      </c>
      <c r="B54" s="138">
        <f>IF(A54="","",Разбивка_по_щитам!C54)</f>
      </c>
      <c r="C54" s="138">
        <f t="shared" si="0"/>
      </c>
      <c r="D54" s="266"/>
      <c r="E54" s="266"/>
      <c r="F54" s="267"/>
      <c r="G54" s="145">
        <f t="shared" si="40"/>
        <v/>
      </c>
      <c r="H54" s="145">
        <f t="shared" si="41"/>
        <v/>
      </c>
      <c r="I54" s="266"/>
      <c r="J54" s="267"/>
      <c r="K54" s="267"/>
      <c r="L54" s="266"/>
      <c r="M54" s="147">
        <f t="shared" si="42"/>
        <v/>
      </c>
      <c r="N54" s="267"/>
      <c r="O54" s="147">
        <f t="shared" si="43"/>
        <v/>
      </c>
      <c r="P54" s="268">
        <f>IF(AY54=1,"XT"&amp;COUNTIFS($A$3:A54,A54,$AY$3:AY54,1),"")</f>
        <v/>
      </c>
      <c r="Q54" s="152">
        <f>IF(R54="","",IFERROR(SUBSTITUTE(Разбивка_по_щитам!P54,CHAR(10)," "),""))</f>
        <v/>
      </c>
      <c r="R54" s="153">
        <f>IF(OR(Разбивка_по_щитам!H54="",Разбивка_по_щитам!H54=0),"",Разбивка_по_щитам!H54)</f>
        <v/>
      </c>
      <c r="S54" s="154">
        <f>IF(R54="","",IFERROR(Разбивка_по_щитам!J54&amp;"",""))</f>
        <v/>
      </c>
      <c r="T54" s="155">
        <f>IF(R54="","",IFERROR(--Разбивка_по_щитам!L54,""))</f>
        <v/>
      </c>
      <c r="U54" s="155">
        <f>IF(R54="","",IFERROR(--Разбивка_по_щитам!K54,""))</f>
        <v/>
      </c>
      <c r="V54" s="138">
        <f>IF(R54="","",IFERROR(IF(Разбивка_по_щитам!M54=0,"",Разбивка_по_щитам!M54),""))</f>
        <v/>
      </c>
      <c r="W54" s="156">
        <f t="shared" si="5"/>
        <v/>
      </c>
      <c r="X54" s="157">
        <f t="shared" si="6"/>
        <v/>
      </c>
      <c r="Y54" s="266"/>
      <c r="Z54" s="158">
        <f t="shared" si="7"/>
        <v/>
      </c>
      <c r="AA54" s="160">
        <f t="shared" si="8"/>
        <v/>
      </c>
      <c r="AB54" s="160">
        <f>IF(R54="","",IFERROR(LOOKUP(INDEX(Справочная!$I$4:$I$19,MATCH(VLOOKUP(R54,Исходные_данные,22,FALSE),Справочная!$J$4:$J$19,0)+1),{6,10,16,20,25,32,40,50,63,80,100,125}),""))</f>
        <v/>
      </c>
      <c r="AC54" s="160">
        <f t="shared" si="9"/>
        <v/>
      </c>
      <c r="AD54" s="161">
        <f t="shared" si="10"/>
        <v/>
      </c>
      <c r="AE54" s="161">
        <f>IF(AND(R54="",G54=""),"",_xlfn.TEXTJOIN("; ",TRUE,IF(AND(R54&lt;&gt;"",V54=""),"нет фазы",""),IF(AND(R54&lt;&gt;"",N(T54)=0),"нет мощности",""),IF(AND(P54&lt;&gt;"",COUNTIFS($A$3:$A$1000,A54,$P$3:$P$1000,P54)&gt;1),"дубль клеммы "&amp;P54,""),IF(AND(W54&lt;&gt;"",W54&lt;&gt;"ok"),W54,""),IF(X54&lt;&gt;"",X54,""),IF(AND(ISNUMBER(SEARCH("(5х",Q54)),N(AK54)=1),"5 жил на 1 фазе",""),IF(AND(AL54="R",E54&lt;&gt;"",N(AS54)=0),"розетка без 30 мА",""),IF(IFERROR(_xlfn.NUMBERVALUE(MID(Q54,FIND("-",Q54,FIND("L=",Q54))+1,FIND("%",Q54)-FIND("-",Q54,FIND("L=",Q54))-1),","),0)&gt;4,"потери &gt; 4 %","")))</f>
      </c>
      <c r="AF54" s="129">
        <f>IF(E54&lt;&gt;"",COUNTIFS($A$3:A54,A54,$E$3:E54,"?*"),IF(OR(A54&lt;&gt;A53,Y54="вручную"),"",AF53))</f>
      </c>
      <c r="AG54" s="129">
        <f t="shared" si="11"/>
      </c>
      <c r="AH54" s="129">
        <f t="shared" si="12"/>
        <v/>
      </c>
      <c r="AI54" s="129">
        <f t="shared" si="13"/>
        <v/>
      </c>
      <c r="AJ54" s="129">
        <f t="shared" si="14"/>
        <v/>
      </c>
      <c r="AK54" s="129">
        <f t="shared" si="15"/>
        <v/>
      </c>
      <c r="AL54" s="129">
        <f t="shared" si="16"/>
        <v/>
      </c>
      <c r="AM54" s="129">
        <f t="shared" si="17"/>
      </c>
      <c r="AN54" s="129">
        <f t="shared" si="18"/>
      </c>
      <c r="AO54" s="129">
        <f t="shared" si="19"/>
        <v/>
      </c>
      <c r="AP54" s="129">
        <f t="shared" si="20"/>
        <v/>
      </c>
      <c r="AQ54" s="129">
        <f t="shared" si="21"/>
        <v/>
      </c>
      <c r="AR54" s="129">
        <f t="shared" si="22"/>
        <v/>
      </c>
      <c r="AS54" s="129">
        <f t="shared" si="23"/>
        <v/>
      </c>
      <c r="AT54" s="129">
        <f t="shared" si="24"/>
        <v/>
      </c>
      <c r="AU54" s="129">
        <f t="shared" si="25"/>
        <v/>
      </c>
      <c r="AV54" s="129">
        <f t="shared" si="26"/>
        <v/>
      </c>
      <c r="AW54" s="129">
        <f>IF(AV54="","",AV54&amp;"."&amp;COUNTIFS($A$3:A54,A54,$AV$3:AV54,AV54))</f>
        <v/>
      </c>
      <c r="AX54" s="129">
        <f t="shared" si="27"/>
        <v/>
      </c>
      <c r="AY54" s="129">
        <f>IF(N54="б/к",0,IF(OR(ISNUMBER(SEARCH("L=",Разбивка_по_щитам!P54)),N54="+",N54="="),1,0))</f>
      </c>
      <c r="AZ54" s="129">
        <f t="shared" si="28"/>
        <v/>
      </c>
      <c r="BA54" s="129">
        <f t="shared" si="29"/>
      </c>
      <c r="BB54" s="129">
        <f t="shared" si="30"/>
      </c>
      <c r="BD54" s="129">
        <f t="shared" si="31"/>
      </c>
      <c r="BE54" s="129">
        <f t="shared" si="32"/>
      </c>
      <c r="BF54" s="129">
        <f t="shared" si="33"/>
      </c>
      <c r="BG54" s="129">
        <f t="shared" si="34"/>
        <v/>
      </c>
      <c r="BH54" s="129">
        <f t="shared" si="35"/>
        <v/>
      </c>
      <c r="BI54" s="129">
        <f t="shared" si="36"/>
        <v/>
      </c>
      <c r="BJ54" s="129">
        <f t="shared" si="37"/>
        <v/>
      </c>
      <c r="BK54" s="129">
        <f>IF(R54="","",IF(OR(BY54="",BY54=0),"BOX",IFERROR(IF(VLOOKUP(BY54,УГО_блоки,3,FALSE)&amp;""&lt;&gt;"",VLOOKUP(BY54,УГО_блоки,3,FALSE),VLOOKUP(BY54,УГО_блоки,2,FALSE)),BY54)))</f>
      </c>
      <c r="BL54" s="129">
        <f t="shared" si="39"/>
      </c>
      <c r="BM54" s="129">
        <f>IF(H54="","",IF(COUNTIF($H$3:H54,H54)=1,MAX($BM$2:BM53)+1,""))</f>
      </c>
      <c r="BN54" s="129">
        <f>IF(I54="","",IF(COUNTIF($I$3:I54,I54)+COUNTIF($J$2:J53,I54)+COUNTIF($K$2:K53,I54)=1,MAX($BN$2:BP53)+1,""))</f>
      </c>
      <c r="BO54" s="129">
        <f>IF(J54="","",IF(COUNTIF($I$3:I54,J54)+COUNTIF($J$3:J54,J54)+COUNTIF($K$2:K53,J54)=1,MAX($BN$2:BP53,BN54)+1,""))</f>
      </c>
      <c r="BP54" s="129">
        <f>IF(K54="","",IF(COUNTIF($I$3:I54,K54)+COUNTIF($J$3:J54,K54)+COUNTIF($K$3:K54,K54)=1,MAX($BN$2:BP53,BN54,BO54)+1,""))</f>
      </c>
      <c r="BQ54" s="129">
        <f>IF(AY54=1,IFERROR(MID(Q54,FIND(" (",Q54)+2,FIND(")",Q54,FIND(" (",Q54))-FIND(" (",Q54)-2),"?"),"")</f>
      </c>
      <c r="BR54" s="129">
        <f>IF(BQ54="","",IF(COUNTIF($BQ$3:BQ54,BQ54)=1,MAX($BR$2:BR53)+1,""))</f>
      </c>
      <c r="BS54" s="129">
        <f>IF(AW54="","",COUNTIF($AW$3:AW54,"?*"))</f>
      </c>
      <c r="BT54" s="129">
        <f>IF(OR(AW54="",AI54=""),"",IF(COUNTIFS($AW$3:AW54,"?*",$AI$3:AI54,AI54)=1,MAX($BT$2:BT53)+1,""))</f>
      </c>
      <c r="BU54" s="129">
        <f>IF(AE54="",0,IF(OR(ISNUMBER(SEARCH("дубль",AE54)),ISNUMBER(SEARCH("ПЕРЕГРУЗ",AE54)),ISNUMBER(SEARCH("ЗАЩИЩ",AE54)),ISNUMBER(SEARCH("КАНАЛ",AE54)),ISNUMBER(SEARCH("без 30",AE54))),2,1))</f>
      </c>
      <c r="BV54" s="129">
        <f>IF(R54="","",COUNTIF($R$3:R54,"?*"))</f>
      </c>
      <c r="BW54" s="129">
        <f>IF(AY54&lt;&gt;1,0,IF(MAX(IFERROR(--VLOOKUP(R54,УГО_спр,5,FALSE),0),IFERROR(--VLOOKUP(AL54,УГО_спр,5,FALSE),0),IFERROR(--VLOOKUP(LEFT(AL54,2),УГО_спр,5,FALSE),0))&gt;0,MAX(IFERROR(--VLOOKUP(R54,УГО_спр,5,FALSE),0),IFERROR(--VLOOKUP(AL54,УГО_спр,5,FALSE),0),IFERROR(--VLOOKUP(LEFT(AL54,2),УГО_спр,5,FALSE),0)),IF(IFERROR(--LEFT(SUBSTITUTE(BQ54,"x","х"),FIND("х",SUBSTITUTE(BQ54,"x","х"))-1),3)&gt;3,Каталог!$S$9,1)))</f>
      </c>
      <c r="BX54" s="129">
        <f>IF(AY54&lt;&gt;1,0,MAX(0,IFERROR(--LEFT(SUBSTITUTE(BQ54,"x","х"),FIND("х",SUBSTITUTE(BQ54,"x","х"))-1),3)-3*BW54))</f>
      </c>
      <c r="BY54" s="129">
        <f>IF(R54="","",IFERROR(VLOOKUP(R54,УГО_спр,2,FALSE),IFERROR(VLOOKUP(AL54,УГО_спр,2,FALSE),IFERROR(VLOOKUP(LEFT(AL54,2),УГО_спр,2,FALSE),""))))</f>
      </c>
    </row>
    <row r="55" spans="1:64" x14ac:dyDescent="0.3">
      <c r="A55" s="135">
        <f>IF(Разбивка_по_щитам!F55=0,"",Разбивка_по_щитам!F55)</f>
      </c>
      <c r="B55" s="138">
        <f>IF(A55="","",Разбивка_по_щитам!C55)</f>
      </c>
      <c r="C55" s="138">
        <f t="shared" si="0"/>
      </c>
      <c r="D55" s="266"/>
      <c r="E55" s="266"/>
      <c r="F55" s="267"/>
      <c r="G55" s="145">
        <f t="shared" si="40"/>
      </c>
      <c r="H55" s="145">
        <f t="shared" si="41"/>
      </c>
      <c r="I55" s="266"/>
      <c r="J55" s="267"/>
      <c r="K55" s="267"/>
      <c r="L55" s="266"/>
      <c r="M55" s="147">
        <f t="shared" si="42"/>
      </c>
      <c r="N55" s="267"/>
      <c r="O55" s="147">
        <f t="shared" si="43"/>
      </c>
      <c r="P55" s="268">
        <f>IF(AY55=1,"XT"&amp;COUNTIFS($A$3:A55,A55,$AY$3:AY55,1),"")</f>
      </c>
      <c r="Q55" s="152">
        <f>IF(R55="","",IFERROR(SUBSTITUTE(Разбивка_по_щитам!P55,CHAR(10)," "),""))</f>
      </c>
      <c r="R55" s="153">
        <f>IF(OR(Разбивка_по_щитам!H55="",Разбивка_по_щитам!H55=0),"",Разбивка_по_щитам!H55)</f>
      </c>
      <c r="S55" s="154">
        <f>IF(R55="","",IFERROR(Разбивка_по_щитам!J55&amp;"",""))</f>
      </c>
      <c r="T55" s="155">
        <f>IF(R55="","",IFERROR(--Разбивка_по_щитам!L55,""))</f>
      </c>
      <c r="U55" s="155">
        <f>IF(R55="","",IFERROR(--Разбивка_по_щитам!K55,""))</f>
      </c>
      <c r="V55" s="138">
        <f>IF(R55="","",IFERROR(IF(Разбивка_по_щитам!M55=0,"",Разбивка_по_щитам!M55),""))</f>
      </c>
      <c r="W55" s="156">
        <f t="shared" si="5"/>
      </c>
      <c r="X55" s="157">
        <f t="shared" si="6"/>
        <v/>
      </c>
      <c r="Y55" s="266"/>
      <c r="Z55" s="158">
        <f t="shared" si="7"/>
      </c>
      <c r="AA55" s="160">
        <f t="shared" si="8"/>
      </c>
      <c r="AB55" s="160">
        <f>IF(R55="","",IFERROR(LOOKUP(INDEX(Справочная!$I$4:$I$19,MATCH(VLOOKUP(R55,Исходные_данные,22,FALSE),Справочная!$J$4:$J$19,0)+1),{6,10,16,20,25,32,40,50,63,80,100,125}),""))</f>
      </c>
      <c r="AC55" s="160">
        <f t="shared" si="9"/>
      </c>
      <c r="AD55" s="161">
        <f t="shared" si="10"/>
      </c>
      <c r="AE55" s="161">
        <f>IF(AND(R55="",G55=""),"",_xlfn.TEXTJOIN("; ",TRUE,IF(AND(R55&lt;&gt;"",V55=""),"нет фазы",""),IF(AND(R55&lt;&gt;"",N(T55)=0),"нет мощности",""),IF(AND(P55&lt;&gt;"",COUNTIFS($A$3:$A$1000,A55,$P$3:$P$1000,P55)&gt;1),"дубль клеммы "&amp;P55,""),IF(AND(W55&lt;&gt;"",W55&lt;&gt;"ok"),W55,""),IF(X55&lt;&gt;"",X55,""),IF(AND(ISNUMBER(SEARCH("(5х",Q55)),N(AK55)=1),"5 жил на 1 фазе",""),IF(AND(AL55="R",E55&lt;&gt;"",N(AS55)=0),"розетка без 30 мА",""),IF(IFERROR(_xlfn.NUMBERVALUE(MID(Q55,FIND("-",Q55,FIND("L=",Q55))+1,FIND("%",Q55)-FIND("-",Q55,FIND("L=",Q55))-1),","),0)&gt;4,"потери &gt; 4 %","")))</f>
      </c>
      <c r="AF55" s="129">
        <f>IF(E55&lt;&gt;"",COUNTIFS($A$3:A55,A55,$E$3:E55,"?*"),IF(OR(A55&lt;&gt;A54,Y55="вручную"),"",AF54))</f>
      </c>
      <c r="AG55" s="129">
        <f t="shared" si="11"/>
      </c>
      <c r="AH55" s="129">
        <f t="shared" si="12"/>
      </c>
      <c r="AI55" s="129">
        <f t="shared" si="13"/>
      </c>
      <c r="AJ55" s="129">
        <f t="shared" si="14"/>
      </c>
      <c r="AK55" s="129">
        <f t="shared" si="15"/>
      </c>
      <c r="AL55" s="129">
        <f t="shared" si="16"/>
      </c>
      <c r="AM55" s="129">
        <f t="shared" si="17"/>
      </c>
      <c r="AN55" s="129">
        <f t="shared" si="18"/>
      </c>
      <c r="AO55" s="129">
        <f t="shared" si="19"/>
      </c>
      <c r="AP55" s="129">
        <f t="shared" si="20"/>
      </c>
      <c r="AQ55" s="129">
        <f t="shared" si="21"/>
      </c>
      <c r="AR55" s="129">
        <f t="shared" si="22"/>
      </c>
      <c r="AS55" s="129">
        <f t="shared" si="23"/>
      </c>
      <c r="AT55" s="129">
        <f t="shared" si="24"/>
      </c>
      <c r="AU55" s="129">
        <f t="shared" si="25"/>
      </c>
      <c r="AV55" s="129">
        <f t="shared" si="26"/>
      </c>
      <c r="AW55" s="129">
        <f>IF(AV55="","",AV55&amp;"."&amp;COUNTIFS($A$3:A55,A55,$AV$3:AV55,AV55))</f>
      </c>
      <c r="AX55" s="129">
        <f t="shared" si="27"/>
      </c>
      <c r="AY55" s="129">
        <f>IF(N55="б/к",0,IF(OR(ISNUMBER(SEARCH("L=",Разбивка_по_щитам!P55)),N55="+",N55="="),1,0))</f>
      </c>
      <c r="AZ55" s="129">
        <f t="shared" si="28"/>
        <v/>
      </c>
      <c r="BA55" s="129">
        <f t="shared" si="29"/>
      </c>
      <c r="BB55" s="129">
        <f t="shared" si="30"/>
      </c>
      <c r="BD55" s="129">
        <f t="shared" si="31"/>
      </c>
      <c r="BE55" s="129">
        <f t="shared" si="32"/>
      </c>
      <c r="BF55" s="129">
        <f t="shared" si="33"/>
      </c>
      <c r="BG55" s="129">
        <f t="shared" si="34"/>
        <v/>
      </c>
      <c r="BH55" s="129">
        <f t="shared" si="35"/>
        <v/>
      </c>
      <c r="BI55" s="129">
        <f t="shared" si="36"/>
        <v/>
      </c>
      <c r="BJ55" s="129">
        <f t="shared" si="37"/>
        <v/>
      </c>
      <c r="BK55" s="129">
        <f>IF(R55="","",IF(OR(BY55="",BY55=0),"BOX",IFERROR(IF(VLOOKUP(BY55,УГО_блоки,3,FALSE)&amp;""&lt;&gt;"",VLOOKUP(BY55,УГО_блоки,3,FALSE),VLOOKUP(BY55,УГО_блоки,2,FALSE)),BY55)))</f>
      </c>
      <c r="BL55" s="129">
        <f t="shared" si="39"/>
      </c>
      <c r="BM55" s="129">
        <f>IF(H55="","",IF(COUNTIF($H$3:H55,H55)=1,MAX($BM$2:BM54)+1,""))</f>
      </c>
      <c r="BN55" s="129">
        <f>IF(I55="","",IF(COUNTIF($I$3:I55,I55)+COUNTIF($J$2:J54,I55)+COUNTIF($K$2:K54,I55)=1,MAX($BN$2:BP54)+1,""))</f>
      </c>
      <c r="BO55" s="129">
        <f>IF(J55="","",IF(COUNTIF($I$3:I55,J55)+COUNTIF($J$3:J55,J55)+COUNTIF($K$2:K54,J55)=1,MAX($BN$2:BP54,BN55)+1,""))</f>
      </c>
      <c r="BP55" s="129">
        <f>IF(K55="","",IF(COUNTIF($I$3:I55,K55)+COUNTIF($J$3:J55,K55)+COUNTIF($K$3:K55,K55)=1,MAX($BN$2:BP54,BN55,BO55)+1,""))</f>
      </c>
      <c r="BQ55" s="129">
        <f>IF(AY55=1,IFERROR(MID(Q55,FIND(" (",Q55)+2,FIND(")",Q55,FIND(" (",Q55))-FIND(" (",Q55)-2),"?"),"")</f>
      </c>
      <c r="BR55" s="129">
        <f>IF(BQ55="","",IF(COUNTIF($BQ$3:BQ55,BQ55)=1,MAX($BR$2:BR54)+1,""))</f>
      </c>
      <c r="BS55" s="129">
        <f>IF(AW55="","",COUNTIF($AW$3:AW55,"?*"))</f>
      </c>
      <c r="BT55" s="129">
        <f>IF(OR(AW55="",AI55=""),"",IF(COUNTIFS($AW$3:AW55,"?*",$AI$3:AI55,AI55)=1,MAX($BT$2:BT54)+1,""))</f>
      </c>
      <c r="BU55" s="129">
        <f>IF(AE55="",0,IF(OR(ISNUMBER(SEARCH("дубль",AE55)),ISNUMBER(SEARCH("ПЕРЕГРУЗ",AE55)),ISNUMBER(SEARCH("ЗАЩИЩ",AE55)),ISNUMBER(SEARCH("КАНАЛ",AE55)),ISNUMBER(SEARCH("без 30",AE55))),2,1))</f>
      </c>
      <c r="BV55" s="129">
        <f>IF(R55="","",COUNTIF($R$3:R55,"?*"))</f>
      </c>
      <c r="BW55" s="129">
        <f>IF(AY55&lt;&gt;1,0,IF(MAX(IFERROR(--VLOOKUP(R55,УГО_спр,5,FALSE),0),IFERROR(--VLOOKUP(AL55,УГО_спр,5,FALSE),0),IFERROR(--VLOOKUP(LEFT(AL55,2),УГО_спр,5,FALSE),0))&gt;0,MAX(IFERROR(--VLOOKUP(R55,УГО_спр,5,FALSE),0),IFERROR(--VLOOKUP(AL55,УГО_спр,5,FALSE),0),IFERROR(--VLOOKUP(LEFT(AL55,2),УГО_спр,5,FALSE),0)),IF(IFERROR(--LEFT(SUBSTITUTE(BQ55,"x","х"),FIND("х",SUBSTITUTE(BQ55,"x","х"))-1),3)&gt;3,Каталог!$S$9,1)))</f>
      </c>
      <c r="BX55" s="129">
        <f>IF(AY55&lt;&gt;1,0,MAX(0,IFERROR(--LEFT(SUBSTITUTE(BQ55,"x","х"),FIND("х",SUBSTITUTE(BQ55,"x","х"))-1),3)-3*BW55))</f>
      </c>
      <c r="BY55" s="129">
        <f>IF(R55="","",IFERROR(VLOOKUP(R55,УГО_спр,2,FALSE),IFERROR(VLOOKUP(AL55,УГО_спр,2,FALSE),IFERROR(VLOOKUP(LEFT(AL55,2),УГО_спр,2,FALSE),""))))</f>
      </c>
    </row>
    <row r="56" spans="1:64" x14ac:dyDescent="0.3">
      <c r="A56" s="135">
        <f>IF(Разбивка_по_щитам!F56=0,"",Разбивка_по_щитам!F56)</f>
      </c>
      <c r="B56" s="138">
        <f>IF(A56="","",Разбивка_по_щитам!C56)</f>
      </c>
      <c r="C56" s="138">
        <f t="shared" si="0"/>
      </c>
      <c r="D56" s="266"/>
      <c r="E56" s="266"/>
      <c r="F56" s="267"/>
      <c r="G56" s="145">
        <f t="shared" si="40"/>
      </c>
      <c r="H56" s="145">
        <f t="shared" si="41"/>
        <v/>
      </c>
      <c r="I56" s="266"/>
      <c r="J56" s="267"/>
      <c r="K56" s="267"/>
      <c r="L56" s="266"/>
      <c r="M56" s="147">
        <f t="shared" si="42"/>
      </c>
      <c r="N56" s="267"/>
      <c r="O56" s="147">
        <f t="shared" si="43"/>
      </c>
      <c r="P56" s="268">
        <f>IF(AY56=1,"XT"&amp;COUNTIFS($A$3:A56,A56,$AY$3:AY56,1),"")</f>
      </c>
      <c r="Q56" s="152">
        <f>IF(R56="","",IFERROR(SUBSTITUTE(Разбивка_по_щитам!P56,CHAR(10)," "),""))</f>
      </c>
      <c r="R56" s="153">
        <f>IF(OR(Разбивка_по_щитам!H56="",Разбивка_по_щитам!H56=0),"",Разбивка_по_щитам!H56)</f>
      </c>
      <c r="S56" s="154">
        <f>IF(R56="","",IFERROR(Разбивка_по_щитам!J56&amp;"",""))</f>
      </c>
      <c r="T56" s="155">
        <f>IF(R56="","",IFERROR(--Разбивка_по_щитам!L56,""))</f>
      </c>
      <c r="U56" s="155">
        <f>IF(R56="","",IFERROR(--Разбивка_по_щитам!K56,""))</f>
      </c>
      <c r="V56" s="138">
        <f>IF(R56="","",IFERROR(IF(Разбивка_по_щитам!M56=0,"",Разбивка_по_щитам!M56),""))</f>
      </c>
      <c r="W56" s="156">
        <f t="shared" si="5"/>
        <v/>
      </c>
      <c r="X56" s="157">
        <f t="shared" si="6"/>
        <v/>
      </c>
      <c r="Y56" s="266"/>
      <c r="Z56" s="158">
        <f t="shared" si="7"/>
        <v/>
      </c>
      <c r="AA56" s="160">
        <f t="shared" si="8"/>
        <v/>
      </c>
      <c r="AB56" s="160">
        <f>IF(R56="","",IFERROR(LOOKUP(INDEX(Справочная!$I$4:$I$19,MATCH(VLOOKUP(R56,Исходные_данные,22,FALSE),Справочная!$J$4:$J$19,0)+1),{6,10,16,20,25,32,40,50,63,80,100,125}),""))</f>
      </c>
      <c r="AC56" s="160">
        <f t="shared" si="9"/>
      </c>
      <c r="AD56" s="161">
        <f t="shared" si="10"/>
      </c>
      <c r="AE56" s="161">
        <f>IF(AND(R56="",G56=""),"",_xlfn.TEXTJOIN("; ",TRUE,IF(AND(R56&lt;&gt;"",V56=""),"нет фазы",""),IF(AND(R56&lt;&gt;"",N(T56)=0),"нет мощности",""),IF(AND(P56&lt;&gt;"",COUNTIFS($A$3:$A$1000,A56,$P$3:$P$1000,P56)&gt;1),"дубль клеммы "&amp;P56,""),IF(AND(W56&lt;&gt;"",W56&lt;&gt;"ok"),W56,""),IF(X56&lt;&gt;"",X56,""),IF(AND(ISNUMBER(SEARCH("(5х",Q56)),N(AK56)=1),"5 жил на 1 фазе",""),IF(AND(AL56="R",E56&lt;&gt;"",N(AS56)=0),"розетка без 30 мА",""),IF(IFERROR(_xlfn.NUMBERVALUE(MID(Q56,FIND("-",Q56,FIND("L=",Q56))+1,FIND("%",Q56)-FIND("-",Q56,FIND("L=",Q56))-1),","),0)&gt;4,"потери &gt; 4 %","")))</f>
      </c>
      <c r="AF56" s="129">
        <f>IF(E56&lt;&gt;"",COUNTIFS($A$3:A56,A56,$E$3:E56,"?*"),IF(OR(A56&lt;&gt;A55,Y56="вручную"),"",AF55))</f>
      </c>
      <c r="AG56" s="129">
        <f t="shared" si="11"/>
      </c>
      <c r="AH56" s="129">
        <f t="shared" si="12"/>
      </c>
      <c r="AI56" s="129">
        <f t="shared" si="13"/>
      </c>
      <c r="AJ56" s="129">
        <f t="shared" si="14"/>
        <v/>
      </c>
      <c r="AK56" s="129">
        <f t="shared" si="15"/>
      </c>
      <c r="AL56" s="129">
        <f t="shared" si="16"/>
      </c>
      <c r="AM56" s="129">
        <f t="shared" si="17"/>
      </c>
      <c r="AN56" s="129">
        <f t="shared" si="18"/>
      </c>
      <c r="AO56" s="129">
        <f t="shared" si="19"/>
        <v/>
      </c>
      <c r="AP56" s="129">
        <f t="shared" si="20"/>
        <v/>
      </c>
      <c r="AQ56" s="129">
        <f t="shared" si="21"/>
        <v/>
      </c>
      <c r="AR56" s="129">
        <f t="shared" si="22"/>
        <v/>
      </c>
      <c r="AS56" s="129">
        <f t="shared" si="23"/>
        <v/>
      </c>
      <c r="AT56" s="129">
        <f t="shared" si="24"/>
        <v/>
      </c>
      <c r="AU56" s="129">
        <f t="shared" si="25"/>
        <v/>
      </c>
      <c r="AV56" s="129">
        <f t="shared" si="26"/>
        <v/>
      </c>
      <c r="AW56" s="129">
        <f>IF(AV56="","",AV56&amp;"."&amp;COUNTIFS($A$3:A56,A56,$AV$3:AV56,AV56))</f>
        <v/>
      </c>
      <c r="AX56" s="129">
        <f t="shared" si="27"/>
      </c>
      <c r="AY56" s="129">
        <f>IF(N56="б/к",0,IF(OR(ISNUMBER(SEARCH("L=",Разбивка_по_щитам!P56)),N56="+",N56="="),1,0))</f>
      </c>
      <c r="AZ56" s="129">
        <f t="shared" si="28"/>
        <v/>
      </c>
      <c r="BA56" s="129">
        <f t="shared" si="29"/>
      </c>
      <c r="BB56" s="129">
        <f t="shared" si="30"/>
      </c>
      <c r="BD56" s="129">
        <f t="shared" si="31"/>
      </c>
      <c r="BE56" s="129">
        <f t="shared" si="32"/>
      </c>
      <c r="BF56" s="129">
        <f t="shared" si="33"/>
      </c>
      <c r="BG56" s="129">
        <f t="shared" si="34"/>
        <v/>
      </c>
      <c r="BH56" s="129">
        <f t="shared" si="35"/>
        <v/>
      </c>
      <c r="BI56" s="129">
        <f t="shared" si="36"/>
        <v/>
      </c>
      <c r="BJ56" s="129">
        <f t="shared" si="37"/>
        <v/>
      </c>
      <c r="BK56" s="129">
        <f>IF(R56="","",IF(OR(BY56="",BY56=0),"BOX",IFERROR(IF(VLOOKUP(BY56,УГО_блоки,3,FALSE)&amp;""&lt;&gt;"",VLOOKUP(BY56,УГО_блоки,3,FALSE),VLOOKUP(BY56,УГО_блоки,2,FALSE)),BY56)))</f>
      </c>
      <c r="BL56" s="129">
        <f t="shared" si="39"/>
      </c>
      <c r="BM56" s="129">
        <f>IF(H56="","",IF(COUNTIF($H$3:H56,H56)=1,MAX($BM$2:BM55)+1,""))</f>
      </c>
      <c r="BN56" s="129">
        <f>IF(I56="","",IF(COUNTIF($I$3:I56,I56)+COUNTIF($J$2:J55,I56)+COUNTIF($K$2:K55,I56)=1,MAX($BN$2:BP55)+1,""))</f>
      </c>
      <c r="BO56" s="129">
        <f>IF(J56="","",IF(COUNTIF($I$3:I56,J56)+COUNTIF($J$3:J56,J56)+COUNTIF($K$2:K55,J56)=1,MAX($BN$2:BP55,BN56)+1,""))</f>
      </c>
      <c r="BP56" s="129">
        <f>IF(K56="","",IF(COUNTIF($I$3:I56,K56)+COUNTIF($J$3:J56,K56)+COUNTIF($K$3:K56,K56)=1,MAX($BN$2:BP55,BN56,BO56)+1,""))</f>
      </c>
      <c r="BQ56" s="129">
        <f>IF(AY56=1,IFERROR(MID(Q56,FIND(" (",Q56)+2,FIND(")",Q56,FIND(" (",Q56))-FIND(" (",Q56)-2),"?"),"")</f>
      </c>
      <c r="BR56" s="129">
        <f>IF(BQ56="","",IF(COUNTIF($BQ$3:BQ56,BQ56)=1,MAX($BR$2:BR55)+1,""))</f>
      </c>
      <c r="BS56" s="129">
        <f>IF(AW56="","",COUNTIF($AW$3:AW56,"?*"))</f>
      </c>
      <c r="BT56" s="129">
        <f>IF(OR(AW56="",AI56=""),"",IF(COUNTIFS($AW$3:AW56,"?*",$AI$3:AI56,AI56)=1,MAX($BT$2:BT55)+1,""))</f>
      </c>
      <c r="BU56" s="129">
        <f>IF(AE56="",0,IF(OR(ISNUMBER(SEARCH("дубль",AE56)),ISNUMBER(SEARCH("ПЕРЕГРУЗ",AE56)),ISNUMBER(SEARCH("ЗАЩИЩ",AE56)),ISNUMBER(SEARCH("КАНАЛ",AE56)),ISNUMBER(SEARCH("без 30",AE56))),2,1))</f>
      </c>
      <c r="BV56" s="129">
        <f>IF(R56="","",COUNTIF($R$3:R56,"?*"))</f>
      </c>
      <c r="BW56" s="129">
        <f>IF(AY56&lt;&gt;1,0,IF(MAX(IFERROR(--VLOOKUP(R56,УГО_спр,5,FALSE),0),IFERROR(--VLOOKUP(AL56,УГО_спр,5,FALSE),0),IFERROR(--VLOOKUP(LEFT(AL56,2),УГО_спр,5,FALSE),0))&gt;0,MAX(IFERROR(--VLOOKUP(R56,УГО_спр,5,FALSE),0),IFERROR(--VLOOKUP(AL56,УГО_спр,5,FALSE),0),IFERROR(--VLOOKUP(LEFT(AL56,2),УГО_спр,5,FALSE),0)),IF(IFERROR(--LEFT(SUBSTITUTE(BQ56,"x","х"),FIND("х",SUBSTITUTE(BQ56,"x","х"))-1),3)&gt;3,Каталог!$S$9,1)))</f>
      </c>
      <c r="BX56" s="129">
        <f>IF(AY56&lt;&gt;1,0,MAX(0,IFERROR(--LEFT(SUBSTITUTE(BQ56,"x","х"),FIND("х",SUBSTITUTE(BQ56,"x","х"))-1),3)-3*BW56))</f>
      </c>
      <c r="BY56" s="129">
        <f>IF(R56="","",IFERROR(VLOOKUP(R56,УГО_спр,2,FALSE),IFERROR(VLOOKUP(AL56,УГО_спр,2,FALSE),IFERROR(VLOOKUP(LEFT(AL56,2),УГО_спр,2,FALSE),""))))</f>
      </c>
    </row>
    <row r="57" spans="1:64" x14ac:dyDescent="0.3">
      <c r="A57" s="135">
        <f>IF(Разбивка_по_щитам!F57=0,"",Разбивка_по_щитам!F57)</f>
      </c>
      <c r="B57" s="138">
        <f>IF(A57="","",Разбивка_по_щитам!C57)</f>
      </c>
      <c r="C57" s="138">
        <f t="shared" si="0"/>
      </c>
      <c r="D57" s="266"/>
      <c r="E57" s="266"/>
      <c r="F57" s="267"/>
      <c r="G57" s="145">
        <f t="shared" si="40"/>
      </c>
      <c r="H57" s="145">
        <f t="shared" si="41"/>
        <v/>
      </c>
      <c r="I57" s="266"/>
      <c r="J57" s="267"/>
      <c r="K57" s="267"/>
      <c r="L57" s="266"/>
      <c r="M57" s="147">
        <f t="shared" si="42"/>
      </c>
      <c r="N57" s="267"/>
      <c r="O57" s="147">
        <f t="shared" si="43"/>
      </c>
      <c r="P57" s="268">
        <f>IF(AY57=1,"XT"&amp;COUNTIFS($A$3:A57,A57,$AY$3:AY57,1),"")</f>
      </c>
      <c r="Q57" s="152">
        <f>IF(R57="","",IFERROR(SUBSTITUTE(Разбивка_по_щитам!P57,CHAR(10)," "),""))</f>
      </c>
      <c r="R57" s="153">
        <f>IF(OR(Разбивка_по_щитам!H57="",Разбивка_по_щитам!H57=0),"",Разбивка_по_щитам!H57)</f>
      </c>
      <c r="S57" s="154">
        <f>IF(R57="","",IFERROR(Разбивка_по_щитам!J57&amp;"",""))</f>
      </c>
      <c r="T57" s="155">
        <f>IF(R57="","",IFERROR(--Разбивка_по_щитам!L57,""))</f>
      </c>
      <c r="U57" s="155">
        <f>IF(R57="","",IFERROR(--Разбивка_по_щитам!K57,""))</f>
      </c>
      <c r="V57" s="138">
        <f>IF(R57="","",IFERROR(IF(Разбивка_по_щитам!M57=0,"",Разбивка_по_щитам!M57),""))</f>
      </c>
      <c r="W57" s="156">
        <f t="shared" si="5"/>
        <v/>
      </c>
      <c r="X57" s="157">
        <f t="shared" si="6"/>
        <v/>
      </c>
      <c r="Y57" s="266"/>
      <c r="Z57" s="158">
        <f t="shared" si="7"/>
        <v/>
      </c>
      <c r="AA57" s="160">
        <f t="shared" si="8"/>
        <v/>
      </c>
      <c r="AB57" s="160">
        <f>IF(R57="","",IFERROR(LOOKUP(INDEX(Справочная!$I$4:$I$19,MATCH(VLOOKUP(R57,Исходные_данные,22,FALSE),Справочная!$J$4:$J$19,0)+1),{6,10,16,20,25,32,40,50,63,80,100,125}),""))</f>
      </c>
      <c r="AC57" s="160">
        <f t="shared" si="9"/>
      </c>
      <c r="AD57" s="161">
        <f t="shared" si="10"/>
      </c>
      <c r="AE57" s="161">
        <f>IF(AND(R57="",G57=""),"",_xlfn.TEXTJOIN("; ",TRUE,IF(AND(R57&lt;&gt;"",V57=""),"нет фазы",""),IF(AND(R57&lt;&gt;"",N(T57)=0),"нет мощности",""),IF(AND(P57&lt;&gt;"",COUNTIFS($A$3:$A$1000,A57,$P$3:$P$1000,P57)&gt;1),"дубль клеммы "&amp;P57,""),IF(AND(W57&lt;&gt;"",W57&lt;&gt;"ok"),W57,""),IF(X57&lt;&gt;"",X57,""),IF(AND(ISNUMBER(SEARCH("(5х",Q57)),N(AK57)=1),"5 жил на 1 фазе",""),IF(AND(AL57="R",E57&lt;&gt;"",N(AS57)=0),"розетка без 30 мА",""),IF(IFERROR(_xlfn.NUMBERVALUE(MID(Q57,FIND("-",Q57,FIND("L=",Q57))+1,FIND("%",Q57)-FIND("-",Q57,FIND("L=",Q57))-1),","),0)&gt;4,"потери &gt; 4 %","")))</f>
      </c>
      <c r="AF57" s="129">
        <f>IF(E57&lt;&gt;"",COUNTIFS($A$3:A57,A57,$E$3:E57,"?*"),IF(OR(A57&lt;&gt;A56,Y57="вручную"),"",AF56))</f>
      </c>
      <c r="AG57" s="129">
        <f t="shared" si="11"/>
      </c>
      <c r="AH57" s="129">
        <f t="shared" si="12"/>
      </c>
      <c r="AI57" s="129">
        <f t="shared" si="13"/>
      </c>
      <c r="AJ57" s="129">
        <f t="shared" si="14"/>
        <v/>
      </c>
      <c r="AK57" s="129">
        <f t="shared" si="15"/>
      </c>
      <c r="AL57" s="129">
        <f t="shared" si="16"/>
      </c>
      <c r="AM57" s="129">
        <f t="shared" si="17"/>
      </c>
      <c r="AN57" s="129">
        <f t="shared" si="18"/>
      </c>
      <c r="AO57" s="129">
        <f t="shared" si="19"/>
        <v/>
      </c>
      <c r="AP57" s="129">
        <f t="shared" si="20"/>
        <v/>
      </c>
      <c r="AQ57" s="129">
        <f t="shared" si="21"/>
        <v/>
      </c>
      <c r="AR57" s="129">
        <f t="shared" si="22"/>
        <v/>
      </c>
      <c r="AS57" s="129">
        <f t="shared" si="23"/>
        <v/>
      </c>
      <c r="AT57" s="129">
        <f t="shared" si="24"/>
        <v/>
      </c>
      <c r="AU57" s="129">
        <f t="shared" si="25"/>
        <v/>
      </c>
      <c r="AV57" s="129">
        <f t="shared" si="26"/>
        <v/>
      </c>
      <c r="AW57" s="129">
        <f>IF(AV57="","",AV57&amp;"."&amp;COUNTIFS($A$3:A57,A57,$AV$3:AV57,AV57))</f>
        <v/>
      </c>
      <c r="AX57" s="129">
        <f t="shared" si="27"/>
      </c>
      <c r="AY57" s="129">
        <f>IF(N57="б/к",0,IF(OR(ISNUMBER(SEARCH("L=",Разбивка_по_щитам!P57)),N57="+",N57="="),1,0))</f>
      </c>
      <c r="AZ57" s="129">
        <f t="shared" si="28"/>
        <v/>
      </c>
      <c r="BA57" s="129">
        <f t="shared" si="29"/>
      </c>
      <c r="BB57" s="129">
        <f t="shared" si="30"/>
      </c>
      <c r="BD57" s="129">
        <f t="shared" si="31"/>
      </c>
      <c r="BE57" s="129">
        <f t="shared" si="32"/>
      </c>
      <c r="BF57" s="129">
        <f t="shared" si="33"/>
      </c>
      <c r="BG57" s="129">
        <f t="shared" si="34"/>
        <v/>
      </c>
      <c r="BH57" s="129">
        <f t="shared" si="35"/>
        <v/>
      </c>
      <c r="BI57" s="129">
        <f t="shared" si="36"/>
        <v/>
      </c>
      <c r="BJ57" s="129">
        <f t="shared" si="37"/>
        <v/>
      </c>
      <c r="BK57" s="129">
        <f>IF(R57="","",IF(OR(BY57="",BY57=0),"BOX",IFERROR(IF(VLOOKUP(BY57,УГО_блоки,3,FALSE)&amp;""&lt;&gt;"",VLOOKUP(BY57,УГО_блоки,3,FALSE),VLOOKUP(BY57,УГО_блоки,2,FALSE)),BY57)))</f>
      </c>
      <c r="BL57" s="129">
        <f t="shared" si="39"/>
      </c>
      <c r="BM57" s="129">
        <f>IF(H57="","",IF(COUNTIF($H$3:H57,H57)=1,MAX($BM$2:BM56)+1,""))</f>
      </c>
      <c r="BN57" s="129">
        <f>IF(I57="","",IF(COUNTIF($I$3:I57,I57)+COUNTIF($J$2:J56,I57)+COUNTIF($K$2:K56,I57)=1,MAX($BN$2:BP56)+1,""))</f>
      </c>
      <c r="BO57" s="129">
        <f>IF(J57="","",IF(COUNTIF($I$3:I57,J57)+COUNTIF($J$3:J57,J57)+COUNTIF($K$2:K56,J57)=1,MAX($BN$2:BP56,BN57)+1,""))</f>
      </c>
      <c r="BP57" s="129">
        <f>IF(K57="","",IF(COUNTIF($I$3:I57,K57)+COUNTIF($J$3:J57,K57)+COUNTIF($K$3:K57,K57)=1,MAX($BN$2:BP56,BN57,BO57)+1,""))</f>
      </c>
      <c r="BQ57" s="129">
        <f>IF(AY57=1,IFERROR(MID(Q57,FIND(" (",Q57)+2,FIND(")",Q57,FIND(" (",Q57))-FIND(" (",Q57)-2),"?"),"")</f>
      </c>
      <c r="BR57" s="129">
        <f>IF(BQ57="","",IF(COUNTIF($BQ$3:BQ57,BQ57)=1,MAX($BR$2:BR56)+1,""))</f>
      </c>
      <c r="BS57" s="129">
        <f>IF(AW57="","",COUNTIF($AW$3:AW57,"?*"))</f>
      </c>
      <c r="BT57" s="129">
        <f>IF(OR(AW57="",AI57=""),"",IF(COUNTIFS($AW$3:AW57,"?*",$AI$3:AI57,AI57)=1,MAX($BT$2:BT56)+1,""))</f>
      </c>
      <c r="BU57" s="129">
        <f>IF(AE57="",0,IF(OR(ISNUMBER(SEARCH("дубль",AE57)),ISNUMBER(SEARCH("ПЕРЕГРУЗ",AE57)),ISNUMBER(SEARCH("ЗАЩИЩ",AE57)),ISNUMBER(SEARCH("КАНАЛ",AE57)),ISNUMBER(SEARCH("без 30",AE57))),2,1))</f>
      </c>
      <c r="BV57" s="129">
        <f>IF(R57="","",COUNTIF($R$3:R57,"?*"))</f>
      </c>
      <c r="BW57" s="129">
        <f>IF(AY57&lt;&gt;1,0,IF(MAX(IFERROR(--VLOOKUP(R57,УГО_спр,5,FALSE),0),IFERROR(--VLOOKUP(AL57,УГО_спр,5,FALSE),0),IFERROR(--VLOOKUP(LEFT(AL57,2),УГО_спр,5,FALSE),0))&gt;0,MAX(IFERROR(--VLOOKUP(R57,УГО_спр,5,FALSE),0),IFERROR(--VLOOKUP(AL57,УГО_спр,5,FALSE),0),IFERROR(--VLOOKUP(LEFT(AL57,2),УГО_спр,5,FALSE),0)),IF(IFERROR(--LEFT(SUBSTITUTE(BQ57,"x","х"),FIND("х",SUBSTITUTE(BQ57,"x","х"))-1),3)&gt;3,Каталог!$S$9,1)))</f>
      </c>
      <c r="BX57" s="129">
        <f>IF(AY57&lt;&gt;1,0,MAX(0,IFERROR(--LEFT(SUBSTITUTE(BQ57,"x","х"),FIND("х",SUBSTITUTE(BQ57,"x","х"))-1),3)-3*BW57))</f>
      </c>
      <c r="BY57" s="129">
        <f>IF(R57="","",IFERROR(VLOOKUP(R57,УГО_спр,2,FALSE),IFERROR(VLOOKUP(AL57,УГО_спр,2,FALSE),IFERROR(VLOOKUP(LEFT(AL57,2),УГО_спр,2,FALSE),""))))</f>
      </c>
    </row>
    <row r="58" spans="1:64" x14ac:dyDescent="0.3">
      <c r="A58" s="135">
        <f>IF(Разбивка_по_щитам!F58=0,"",Разбивка_по_щитам!F58)</f>
      </c>
      <c r="B58" s="138">
        <f>IF(A58="","",Разбивка_по_щитам!C58)</f>
      </c>
      <c r="C58" s="138">
        <f t="shared" si="0"/>
      </c>
      <c r="D58" s="266"/>
      <c r="E58" s="266"/>
      <c r="F58" s="267"/>
      <c r="G58" s="145">
        <f t="shared" si="40"/>
      </c>
      <c r="H58" s="145">
        <f t="shared" si="41"/>
        <v/>
      </c>
      <c r="I58" s="266"/>
      <c r="J58" s="267"/>
      <c r="K58" s="267"/>
      <c r="L58" s="266"/>
      <c r="M58" s="147">
        <f t="shared" si="42"/>
      </c>
      <c r="N58" s="267"/>
      <c r="O58" s="147">
        <f t="shared" si="43"/>
      </c>
      <c r="P58" s="268">
        <f>IF(AY58=1,"XT"&amp;COUNTIFS($A$3:A58,A58,$AY$3:AY58,1),"")</f>
      </c>
      <c r="Q58" s="152">
        <f>IF(R58="","",IFERROR(SUBSTITUTE(Разбивка_по_щитам!P58,CHAR(10)," "),""))</f>
      </c>
      <c r="R58" s="153">
        <f>IF(OR(Разбивка_по_щитам!H58="",Разбивка_по_щитам!H58=0),"",Разбивка_по_щитам!H58)</f>
      </c>
      <c r="S58" s="154">
        <f>IF(R58="","",IFERROR(Разбивка_по_щитам!J58&amp;"",""))</f>
      </c>
      <c r="T58" s="155">
        <f>IF(R58="","",IFERROR(--Разбивка_по_щитам!L58,""))</f>
      </c>
      <c r="U58" s="155">
        <f>IF(R58="","",IFERROR(--Разбивка_по_щитам!K58,""))</f>
      </c>
      <c r="V58" s="138">
        <f>IF(R58="","",IFERROR(IF(Разбивка_по_щитам!M58=0,"",Разбивка_по_щитам!M58),""))</f>
      </c>
      <c r="W58" s="156">
        <f t="shared" si="5"/>
        <v/>
      </c>
      <c r="X58" s="157">
        <f t="shared" si="6"/>
        <v/>
      </c>
      <c r="Y58" s="266"/>
      <c r="Z58" s="158">
        <f t="shared" si="7"/>
        <v/>
      </c>
      <c r="AA58" s="160">
        <f t="shared" si="8"/>
        <v/>
      </c>
      <c r="AB58" s="160">
        <f>IF(R58="","",IFERROR(LOOKUP(INDEX(Справочная!$I$4:$I$19,MATCH(VLOOKUP(R58,Исходные_данные,22,FALSE),Справочная!$J$4:$J$19,0)+1),{6,10,16,20,25,32,40,50,63,80,100,125}),""))</f>
      </c>
      <c r="AC58" s="160">
        <f t="shared" si="9"/>
      </c>
      <c r="AD58" s="161">
        <f t="shared" si="10"/>
      </c>
      <c r="AE58" s="161">
        <f>IF(AND(R58="",G58=""),"",_xlfn.TEXTJOIN("; ",TRUE,IF(AND(R58&lt;&gt;"",V58=""),"нет фазы",""),IF(AND(R58&lt;&gt;"",N(T58)=0),"нет мощности",""),IF(AND(P58&lt;&gt;"",COUNTIFS($A$3:$A$1000,A58,$P$3:$P$1000,P58)&gt;1),"дубль клеммы "&amp;P58,""),IF(AND(W58&lt;&gt;"",W58&lt;&gt;"ok"),W58,""),IF(X58&lt;&gt;"",X58,""),IF(AND(ISNUMBER(SEARCH("(5х",Q58)),N(AK58)=1),"5 жил на 1 фазе",""),IF(AND(AL58="R",E58&lt;&gt;"",N(AS58)=0),"розетка без 30 мА",""),IF(IFERROR(_xlfn.NUMBERVALUE(MID(Q58,FIND("-",Q58,FIND("L=",Q58))+1,FIND("%",Q58)-FIND("-",Q58,FIND("L=",Q58))-1),","),0)&gt;4,"потери &gt; 4 %","")))</f>
      </c>
      <c r="AF58" s="129">
        <f>IF(E58&lt;&gt;"",COUNTIFS($A$3:A58,A58,$E$3:E58,"?*"),IF(OR(A58&lt;&gt;A57,Y58="вручную"),"",AF57))</f>
      </c>
      <c r="AG58" s="129">
        <f t="shared" si="11"/>
      </c>
      <c r="AH58" s="129">
        <f t="shared" si="12"/>
      </c>
      <c r="AI58" s="129">
        <f t="shared" si="13"/>
      </c>
      <c r="AJ58" s="129">
        <f t="shared" si="14"/>
        <v/>
      </c>
      <c r="AK58" s="129">
        <f t="shared" si="15"/>
      </c>
      <c r="AL58" s="129">
        <f t="shared" si="16"/>
      </c>
      <c r="AM58" s="129">
        <f t="shared" si="17"/>
      </c>
      <c r="AN58" s="129">
        <f t="shared" si="18"/>
      </c>
      <c r="AO58" s="129">
        <f t="shared" si="19"/>
        <v/>
      </c>
      <c r="AP58" s="129">
        <f t="shared" si="20"/>
        <v/>
      </c>
      <c r="AQ58" s="129">
        <f t="shared" si="21"/>
        <v/>
      </c>
      <c r="AR58" s="129">
        <f t="shared" si="22"/>
        <v/>
      </c>
      <c r="AS58" s="129">
        <f t="shared" si="23"/>
        <v/>
      </c>
      <c r="AT58" s="129">
        <f t="shared" si="24"/>
        <v/>
      </c>
      <c r="AU58" s="129">
        <f t="shared" si="25"/>
        <v/>
      </c>
      <c r="AV58" s="129">
        <f t="shared" si="26"/>
        <v/>
      </c>
      <c r="AW58" s="129">
        <f>IF(AV58="","",AV58&amp;"."&amp;COUNTIFS($A$3:A58,A58,$AV$3:AV58,AV58))</f>
        <v/>
      </c>
      <c r="AX58" s="129">
        <f t="shared" si="27"/>
      </c>
      <c r="AY58" s="129">
        <f>IF(N58="б/к",0,IF(OR(ISNUMBER(SEARCH("L=",Разбивка_по_щитам!P58)),N58="+",N58="="),1,0))</f>
      </c>
      <c r="AZ58" s="129">
        <f t="shared" si="28"/>
        <v/>
      </c>
      <c r="BA58" s="129">
        <f t="shared" si="29"/>
      </c>
      <c r="BB58" s="129">
        <f t="shared" si="30"/>
      </c>
      <c r="BD58" s="129">
        <f t="shared" si="31"/>
      </c>
      <c r="BE58" s="129">
        <f t="shared" si="32"/>
      </c>
      <c r="BF58" s="129">
        <f t="shared" si="33"/>
      </c>
      <c r="BG58" s="129">
        <f t="shared" si="34"/>
        <v/>
      </c>
      <c r="BH58" s="129">
        <f t="shared" si="35"/>
        <v/>
      </c>
      <c r="BI58" s="129">
        <f t="shared" si="36"/>
        <v/>
      </c>
      <c r="BJ58" s="129">
        <f t="shared" si="37"/>
        <v/>
      </c>
      <c r="BK58" s="129">
        <f>IF(R58="","",IF(OR(BY58="",BY58=0),"BOX",IFERROR(IF(VLOOKUP(BY58,УГО_блоки,3,FALSE)&amp;""&lt;&gt;"",VLOOKUP(BY58,УГО_блоки,3,FALSE),VLOOKUP(BY58,УГО_блоки,2,FALSE)),BY58)))</f>
      </c>
      <c r="BL58" s="129">
        <f t="shared" si="39"/>
      </c>
      <c r="BM58" s="129">
        <f>IF(H58="","",IF(COUNTIF($H$3:H58,H58)=1,MAX($BM$2:BM57)+1,""))</f>
      </c>
      <c r="BN58" s="129">
        <f>IF(I58="","",IF(COUNTIF($I$3:I58,I58)+COUNTIF($J$2:J57,I58)+COUNTIF($K$2:K57,I58)=1,MAX($BN$2:BP57)+1,""))</f>
      </c>
      <c r="BO58" s="129">
        <f>IF(J58="","",IF(COUNTIF($I$3:I58,J58)+COUNTIF($J$3:J58,J58)+COUNTIF($K$2:K57,J58)=1,MAX($BN$2:BP57,BN58)+1,""))</f>
      </c>
      <c r="BP58" s="129">
        <f>IF(K58="","",IF(COUNTIF($I$3:I58,K58)+COUNTIF($J$3:J58,K58)+COUNTIF($K$3:K58,K58)=1,MAX($BN$2:BP57,BN58,BO58)+1,""))</f>
      </c>
      <c r="BQ58" s="129">
        <f>IF(AY58=1,IFERROR(MID(Q58,FIND(" (",Q58)+2,FIND(")",Q58,FIND(" (",Q58))-FIND(" (",Q58)-2),"?"),"")</f>
      </c>
      <c r="BR58" s="129">
        <f>IF(BQ58="","",IF(COUNTIF($BQ$3:BQ58,BQ58)=1,MAX($BR$2:BR57)+1,""))</f>
      </c>
      <c r="BS58" s="129">
        <f>IF(AW58="","",COUNTIF($AW$3:AW58,"?*"))</f>
      </c>
      <c r="BT58" s="129">
        <f>IF(OR(AW58="",AI58=""),"",IF(COUNTIFS($AW$3:AW58,"?*",$AI$3:AI58,AI58)=1,MAX($BT$2:BT57)+1,""))</f>
      </c>
      <c r="BU58" s="129">
        <f>IF(AE58="",0,IF(OR(ISNUMBER(SEARCH("дубль",AE58)),ISNUMBER(SEARCH("ПЕРЕГРУЗ",AE58)),ISNUMBER(SEARCH("ЗАЩИЩ",AE58)),ISNUMBER(SEARCH("КАНАЛ",AE58)),ISNUMBER(SEARCH("без 30",AE58))),2,1))</f>
      </c>
      <c r="BV58" s="129">
        <f>IF(R58="","",COUNTIF($R$3:R58,"?*"))</f>
      </c>
      <c r="BW58" s="129">
        <f>IF(AY58&lt;&gt;1,0,IF(MAX(IFERROR(--VLOOKUP(R58,УГО_спр,5,FALSE),0),IFERROR(--VLOOKUP(AL58,УГО_спр,5,FALSE),0),IFERROR(--VLOOKUP(LEFT(AL58,2),УГО_спр,5,FALSE),0))&gt;0,MAX(IFERROR(--VLOOKUP(R58,УГО_спр,5,FALSE),0),IFERROR(--VLOOKUP(AL58,УГО_спр,5,FALSE),0),IFERROR(--VLOOKUP(LEFT(AL58,2),УГО_спр,5,FALSE),0)),IF(IFERROR(--LEFT(SUBSTITUTE(BQ58,"x","х"),FIND("х",SUBSTITUTE(BQ58,"x","х"))-1),3)&gt;3,Каталог!$S$9,1)))</f>
      </c>
      <c r="BX58" s="129">
        <f>IF(AY58&lt;&gt;1,0,MAX(0,IFERROR(--LEFT(SUBSTITUTE(BQ58,"x","х"),FIND("х",SUBSTITUTE(BQ58,"x","х"))-1),3)-3*BW58))</f>
      </c>
      <c r="BY58" s="129">
        <f>IF(R58="","",IFERROR(VLOOKUP(R58,УГО_спр,2,FALSE),IFERROR(VLOOKUP(AL58,УГО_спр,2,FALSE),IFERROR(VLOOKUP(LEFT(AL58,2),УГО_спр,2,FALSE),""))))</f>
      </c>
    </row>
    <row r="59" spans="1:64" x14ac:dyDescent="0.3">
      <c r="A59" s="135">
        <f>IF(Разбивка_по_щитам!F59=0,"",Разбивка_по_щитам!F59)</f>
      </c>
      <c r="B59" s="138">
        <f>IF(A59="","",Разбивка_по_щитам!C59)</f>
      </c>
      <c r="C59" s="138">
        <f t="shared" si="0"/>
      </c>
      <c r="D59" s="266"/>
      <c r="E59" s="266"/>
      <c r="F59" s="267"/>
      <c r="G59" s="145">
        <f t="shared" si="40"/>
      </c>
      <c r="H59" s="145">
        <f t="shared" si="41"/>
      </c>
      <c r="I59" s="266"/>
      <c r="J59" s="267"/>
      <c r="K59" s="267"/>
      <c r="L59" s="266"/>
      <c r="M59" s="147">
        <f t="shared" si="42"/>
      </c>
      <c r="N59" s="267"/>
      <c r="O59" s="147">
        <f t="shared" si="43"/>
      </c>
      <c r="P59" s="268">
        <f>IF(AY59=1,"XT"&amp;COUNTIFS($A$3:A59,A59,$AY$3:AY59,1),"")</f>
      </c>
      <c r="Q59" s="152">
        <f>IF(R59="","",IFERROR(SUBSTITUTE(Разбивка_по_щитам!P59,CHAR(10)," "),""))</f>
      </c>
      <c r="R59" s="153">
        <f>IF(OR(Разбивка_по_щитам!H59="",Разбивка_по_щитам!H59=0),"",Разбивка_по_щитам!H59)</f>
      </c>
      <c r="S59" s="154">
        <f>IF(R59="","",IFERROR(Разбивка_по_щитам!J59&amp;"",""))</f>
      </c>
      <c r="T59" s="155">
        <f>IF(R59="","",IFERROR(--Разбивка_по_щитам!L59,""))</f>
      </c>
      <c r="U59" s="155">
        <f>IF(R59="","",IFERROR(--Разбивка_по_щитам!K59,""))</f>
      </c>
      <c r="V59" s="138">
        <f>IF(R59="","",IFERROR(IF(Разбивка_по_щитам!M59=0,"",Разбивка_по_щитам!M59),""))</f>
      </c>
      <c r="W59" s="156">
        <f t="shared" si="5"/>
      </c>
      <c r="X59" s="157">
        <f t="shared" si="6"/>
        <v/>
      </c>
      <c r="Y59" s="266"/>
      <c r="Z59" s="158">
        <f t="shared" si="7"/>
      </c>
      <c r="AA59" s="160">
        <f t="shared" si="8"/>
      </c>
      <c r="AB59" s="160">
        <f>IF(R59="","",IFERROR(LOOKUP(INDEX(Справочная!$I$4:$I$19,MATCH(VLOOKUP(R59,Исходные_данные,22,FALSE),Справочная!$J$4:$J$19,0)+1),{6,10,16,20,25,32,40,50,63,80,100,125}),""))</f>
      </c>
      <c r="AC59" s="160">
        <f t="shared" si="9"/>
      </c>
      <c r="AD59" s="161">
        <f t="shared" si="10"/>
      </c>
      <c r="AE59" s="161">
        <f>IF(AND(R59="",G59=""),"",_xlfn.TEXTJOIN("; ",TRUE,IF(AND(R59&lt;&gt;"",V59=""),"нет фазы",""),IF(AND(R59&lt;&gt;"",N(T59)=0),"нет мощности",""),IF(AND(P59&lt;&gt;"",COUNTIFS($A$3:$A$1000,A59,$P$3:$P$1000,P59)&gt;1),"дубль клеммы "&amp;P59,""),IF(AND(W59&lt;&gt;"",W59&lt;&gt;"ok"),W59,""),IF(X59&lt;&gt;"",X59,""),IF(AND(ISNUMBER(SEARCH("(5х",Q59)),N(AK59)=1),"5 жил на 1 фазе",""),IF(AND(AL59="R",E59&lt;&gt;"",N(AS59)=0),"розетка без 30 мА",""),IF(IFERROR(_xlfn.NUMBERVALUE(MID(Q59,FIND("-",Q59,FIND("L=",Q59))+1,FIND("%",Q59)-FIND("-",Q59,FIND("L=",Q59))-1),","),0)&gt;4,"потери &gt; 4 %","")))</f>
      </c>
      <c r="AF59" s="129">
        <f>IF(E59&lt;&gt;"",COUNTIFS($A$3:A59,A59,$E$3:E59,"?*"),IF(OR(A59&lt;&gt;A58,Y59="вручную"),"",AF58))</f>
      </c>
      <c r="AG59" s="129">
        <f t="shared" si="11"/>
      </c>
      <c r="AH59" s="129">
        <f t="shared" si="12"/>
      </c>
      <c r="AI59" s="129">
        <f t="shared" si="13"/>
      </c>
      <c r="AJ59" s="129">
        <f t="shared" si="14"/>
      </c>
      <c r="AK59" s="129">
        <f t="shared" si="15"/>
      </c>
      <c r="AL59" s="129">
        <f t="shared" si="16"/>
      </c>
      <c r="AM59" s="129">
        <f t="shared" si="17"/>
      </c>
      <c r="AN59" s="129">
        <f t="shared" si="18"/>
      </c>
      <c r="AO59" s="129">
        <f t="shared" si="19"/>
      </c>
      <c r="AP59" s="129">
        <f t="shared" si="20"/>
      </c>
      <c r="AQ59" s="129">
        <f t="shared" si="21"/>
      </c>
      <c r="AR59" s="129">
        <f t="shared" si="22"/>
      </c>
      <c r="AS59" s="129">
        <f t="shared" si="23"/>
      </c>
      <c r="AT59" s="129">
        <f t="shared" si="24"/>
      </c>
      <c r="AU59" s="129">
        <f t="shared" si="25"/>
      </c>
      <c r="AV59" s="129">
        <f t="shared" si="26"/>
        <v/>
      </c>
      <c r="AW59" s="129">
        <f>IF(AV59="","",AV59&amp;"."&amp;COUNTIFS($A$3:A59,A59,$AV$3:AV59,AV59))</f>
        <v/>
      </c>
      <c r="AX59" s="129">
        <f t="shared" si="27"/>
      </c>
      <c r="AY59" s="129">
        <f>IF(N59="б/к",0,IF(OR(ISNUMBER(SEARCH("L=",Разбивка_по_щитам!P59)),N59="+",N59="="),1,0))</f>
      </c>
      <c r="AZ59" s="129">
        <f t="shared" si="28"/>
        <v/>
      </c>
      <c r="BA59" s="129">
        <f t="shared" si="29"/>
      </c>
      <c r="BB59" s="129">
        <f t="shared" si="30"/>
      </c>
      <c r="BD59" s="129">
        <f t="shared" si="31"/>
      </c>
      <c r="BE59" s="129">
        <f t="shared" si="32"/>
      </c>
      <c r="BF59" s="129">
        <f t="shared" si="33"/>
      </c>
      <c r="BG59" s="129">
        <f t="shared" si="34"/>
        <v/>
      </c>
      <c r="BH59" s="129">
        <f t="shared" si="35"/>
        <v/>
      </c>
      <c r="BI59" s="129">
        <f t="shared" si="36"/>
        <v/>
      </c>
      <c r="BJ59" s="129">
        <f t="shared" si="37"/>
        <v/>
      </c>
      <c r="BK59" s="129">
        <f>IF(R59="","",IF(OR(BY59="",BY59=0),"BOX",IFERROR(IF(VLOOKUP(BY59,УГО_блоки,3,FALSE)&amp;""&lt;&gt;"",VLOOKUP(BY59,УГО_блоки,3,FALSE),VLOOKUP(BY59,УГО_блоки,2,FALSE)),BY59)))</f>
      </c>
      <c r="BL59" s="129">
        <f t="shared" si="39"/>
      </c>
      <c r="BM59" s="129">
        <f>IF(H59="","",IF(COUNTIF($H$3:H59,H59)=1,MAX($BM$2:BM58)+1,""))</f>
      </c>
      <c r="BN59" s="129">
        <f>IF(I59="","",IF(COUNTIF($I$3:I59,I59)+COUNTIF($J$2:J58,I59)+COUNTIF($K$2:K58,I59)=1,MAX($BN$2:BP58)+1,""))</f>
      </c>
      <c r="BO59" s="129">
        <f>IF(J59="","",IF(COUNTIF($I$3:I59,J59)+COUNTIF($J$3:J59,J59)+COUNTIF($K$2:K58,J59)=1,MAX($BN$2:BP58,BN59)+1,""))</f>
      </c>
      <c r="BP59" s="129">
        <f>IF(K59="","",IF(COUNTIF($I$3:I59,K59)+COUNTIF($J$3:J59,K59)+COUNTIF($K$3:K59,K59)=1,MAX($BN$2:BP58,BN59,BO59)+1,""))</f>
      </c>
      <c r="BQ59" s="129">
        <f>IF(AY59=1,IFERROR(MID(Q59,FIND(" (",Q59)+2,FIND(")",Q59,FIND(" (",Q59))-FIND(" (",Q59)-2),"?"),"")</f>
      </c>
      <c r="BR59" s="129">
        <f>IF(BQ59="","",IF(COUNTIF($BQ$3:BQ59,BQ59)=1,MAX($BR$2:BR58)+1,""))</f>
      </c>
      <c r="BS59" s="129">
        <f>IF(AW59="","",COUNTIF($AW$3:AW59,"?*"))</f>
      </c>
      <c r="BT59" s="129">
        <f>IF(OR(AW59="",AI59=""),"",IF(COUNTIFS($AW$3:AW59,"?*",$AI$3:AI59,AI59)=1,MAX($BT$2:BT58)+1,""))</f>
      </c>
      <c r="BU59" s="129">
        <f>IF(AE59="",0,IF(OR(ISNUMBER(SEARCH("дубль",AE59)),ISNUMBER(SEARCH("ПЕРЕГРУЗ",AE59)),ISNUMBER(SEARCH("ЗАЩИЩ",AE59)),ISNUMBER(SEARCH("КАНАЛ",AE59)),ISNUMBER(SEARCH("без 30",AE59))),2,1))</f>
      </c>
      <c r="BV59" s="129">
        <f>IF(R59="","",COUNTIF($R$3:R59,"?*"))</f>
      </c>
      <c r="BW59" s="129">
        <f>IF(AY59&lt;&gt;1,0,IF(MAX(IFERROR(--VLOOKUP(R59,УГО_спр,5,FALSE),0),IFERROR(--VLOOKUP(AL59,УГО_спр,5,FALSE),0),IFERROR(--VLOOKUP(LEFT(AL59,2),УГО_спр,5,FALSE),0))&gt;0,MAX(IFERROR(--VLOOKUP(R59,УГО_спр,5,FALSE),0),IFERROR(--VLOOKUP(AL59,УГО_спр,5,FALSE),0),IFERROR(--VLOOKUP(LEFT(AL59,2),УГО_спр,5,FALSE),0)),IF(IFERROR(--LEFT(SUBSTITUTE(BQ59,"x","х"),FIND("х",SUBSTITUTE(BQ59,"x","х"))-1),3)&gt;3,Каталог!$S$9,1)))</f>
      </c>
      <c r="BX59" s="129">
        <f>IF(AY59&lt;&gt;1,0,MAX(0,IFERROR(--LEFT(SUBSTITUTE(BQ59,"x","х"),FIND("х",SUBSTITUTE(BQ59,"x","х"))-1),3)-3*BW59))</f>
      </c>
      <c r="BY59" s="129">
        <f>IF(R59="","",IFERROR(VLOOKUP(R59,УГО_спр,2,FALSE),IFERROR(VLOOKUP(AL59,УГО_спр,2,FALSE),IFERROR(VLOOKUP(LEFT(AL59,2),УГО_спр,2,FALSE),""))))</f>
      </c>
    </row>
    <row r="60" spans="1:64" x14ac:dyDescent="0.3">
      <c r="A60" s="135">
        <f>IF(Разбивка_по_щитам!F60=0,"",Разбивка_по_щитам!F60)</f>
      </c>
      <c r="B60" s="138">
        <f>IF(A60="","",Разбивка_по_щитам!C60)</f>
      </c>
      <c r="C60" s="138">
        <f t="shared" si="0"/>
      </c>
      <c r="D60" s="266"/>
      <c r="E60" s="266"/>
      <c r="F60" s="267"/>
      <c r="G60" s="145">
        <f t="shared" si="40"/>
      </c>
      <c r="H60" s="145">
        <f t="shared" si="41"/>
        <v/>
      </c>
      <c r="I60" s="266"/>
      <c r="J60" s="267"/>
      <c r="K60" s="267"/>
      <c r="L60" s="266"/>
      <c r="M60" s="147">
        <f t="shared" si="42"/>
      </c>
      <c r="N60" s="267"/>
      <c r="O60" s="147">
        <f t="shared" si="43"/>
      </c>
      <c r="P60" s="268">
        <f>IF(AY60=1,"XT"&amp;COUNTIFS($A$3:A60,A60,$AY$3:AY60,1),"")</f>
      </c>
      <c r="Q60" s="152">
        <f>IF(R60="","",IFERROR(SUBSTITUTE(Разбивка_по_щитам!P60,CHAR(10)," "),""))</f>
      </c>
      <c r="R60" s="153">
        <f>IF(OR(Разбивка_по_щитам!H60="",Разбивка_по_щитам!H60=0),"",Разбивка_по_щитам!H60)</f>
      </c>
      <c r="S60" s="154">
        <f>IF(R60="","",IFERROR(Разбивка_по_щитам!J60&amp;"",""))</f>
      </c>
      <c r="T60" s="155">
        <f>IF(R60="","",IFERROR(--Разбивка_по_щитам!L60,""))</f>
      </c>
      <c r="U60" s="155">
        <f>IF(R60="","",IFERROR(--Разбивка_по_щитам!K60,""))</f>
      </c>
      <c r="V60" s="138">
        <f>IF(R60="","",IFERROR(IF(Разбивка_по_щитам!M60=0,"",Разбивка_по_щитам!M60),""))</f>
      </c>
      <c r="W60" s="156">
        <f t="shared" si="5"/>
        <v/>
      </c>
      <c r="X60" s="157">
        <f t="shared" si="6"/>
        <v/>
      </c>
      <c r="Y60" s="266"/>
      <c r="Z60" s="158">
        <f t="shared" si="7"/>
        <v/>
      </c>
      <c r="AA60" s="160">
        <f t="shared" si="8"/>
        <v/>
      </c>
      <c r="AB60" s="160">
        <f>IF(R60="","",IFERROR(LOOKUP(INDEX(Справочная!$I$4:$I$19,MATCH(VLOOKUP(R60,Исходные_данные,22,FALSE),Справочная!$J$4:$J$19,0)+1),{6,10,16,20,25,32,40,50,63,80,100,125}),""))</f>
      </c>
      <c r="AC60" s="160">
        <f t="shared" si="9"/>
      </c>
      <c r="AD60" s="161">
        <f t="shared" si="10"/>
      </c>
      <c r="AE60" s="161">
        <f>IF(AND(R60="",G60=""),"",_xlfn.TEXTJOIN("; ",TRUE,IF(AND(R60&lt;&gt;"",V60=""),"нет фазы",""),IF(AND(R60&lt;&gt;"",N(T60)=0),"нет мощности",""),IF(AND(P60&lt;&gt;"",COUNTIFS($A$3:$A$1000,A60,$P$3:$P$1000,P60)&gt;1),"дубль клеммы "&amp;P60,""),IF(AND(W60&lt;&gt;"",W60&lt;&gt;"ok"),W60,""),IF(X60&lt;&gt;"",X60,""),IF(AND(ISNUMBER(SEARCH("(5х",Q60)),N(AK60)=1),"5 жил на 1 фазе",""),IF(AND(AL60="R",E60&lt;&gt;"",N(AS60)=0),"розетка без 30 мА",""),IF(IFERROR(_xlfn.NUMBERVALUE(MID(Q60,FIND("-",Q60,FIND("L=",Q60))+1,FIND("%",Q60)-FIND("-",Q60,FIND("L=",Q60))-1),","),0)&gt;4,"потери &gt; 4 %","")))</f>
      </c>
      <c r="AF60" s="129">
        <f>IF(E60&lt;&gt;"",COUNTIFS($A$3:A60,A60,$E$3:E60,"?*"),IF(OR(A60&lt;&gt;A59,Y60="вручную"),"",AF59))</f>
      </c>
      <c r="AG60" s="129">
        <f t="shared" si="11"/>
      </c>
      <c r="AH60" s="129">
        <f t="shared" si="12"/>
      </c>
      <c r="AI60" s="129">
        <f t="shared" si="13"/>
      </c>
      <c r="AJ60" s="129">
        <f t="shared" si="14"/>
        <v/>
      </c>
      <c r="AK60" s="129">
        <f t="shared" si="15"/>
      </c>
      <c r="AL60" s="129">
        <f t="shared" si="16"/>
      </c>
      <c r="AM60" s="129">
        <f t="shared" si="17"/>
      </c>
      <c r="AN60" s="129">
        <f t="shared" si="18"/>
      </c>
      <c r="AO60" s="129">
        <f t="shared" si="19"/>
        <v/>
      </c>
      <c r="AP60" s="129">
        <f t="shared" si="20"/>
        <v/>
      </c>
      <c r="AQ60" s="129">
        <f t="shared" si="21"/>
        <v/>
      </c>
      <c r="AR60" s="129">
        <f t="shared" si="22"/>
        <v/>
      </c>
      <c r="AS60" s="129">
        <f t="shared" si="23"/>
        <v/>
      </c>
      <c r="AT60" s="129">
        <f t="shared" si="24"/>
        <v/>
      </c>
      <c r="AU60" s="129">
        <f t="shared" si="25"/>
        <v/>
      </c>
      <c r="AV60" s="129">
        <f t="shared" si="26"/>
        <v/>
      </c>
      <c r="AW60" s="129">
        <f>IF(AV60="","",AV60&amp;"."&amp;COUNTIFS($A$3:A60,A60,$AV$3:AV60,AV60))</f>
        <v/>
      </c>
      <c r="AX60" s="129">
        <f t="shared" si="27"/>
      </c>
      <c r="AY60" s="129">
        <f>IF(N60="б/к",0,IF(OR(ISNUMBER(SEARCH("L=",Разбивка_по_щитам!P60)),N60="+",N60="="),1,0))</f>
      </c>
      <c r="AZ60" s="129">
        <f t="shared" si="28"/>
        <v/>
      </c>
      <c r="BA60" s="129">
        <f t="shared" si="29"/>
      </c>
      <c r="BB60" s="129">
        <f t="shared" si="30"/>
      </c>
      <c r="BD60" s="129">
        <f t="shared" si="31"/>
      </c>
      <c r="BE60" s="129">
        <f t="shared" si="32"/>
      </c>
      <c r="BF60" s="129">
        <f t="shared" si="33"/>
      </c>
      <c r="BG60" s="129">
        <f t="shared" si="34"/>
        <v/>
      </c>
      <c r="BH60" s="129">
        <f t="shared" si="35"/>
        <v/>
      </c>
      <c r="BI60" s="129">
        <f t="shared" si="36"/>
        <v/>
      </c>
      <c r="BJ60" s="129">
        <f t="shared" si="37"/>
        <v/>
      </c>
      <c r="BK60" s="129">
        <f>IF(R60="","",IF(OR(BY60="",BY60=0),"BOX",IFERROR(IF(VLOOKUP(BY60,УГО_блоки,3,FALSE)&amp;""&lt;&gt;"",VLOOKUP(BY60,УГО_блоки,3,FALSE),VLOOKUP(BY60,УГО_блоки,2,FALSE)),BY60)))</f>
      </c>
      <c r="BL60" s="129">
        <f t="shared" si="39"/>
      </c>
      <c r="BM60" s="129">
        <f>IF(H60="","",IF(COUNTIF($H$3:H60,H60)=1,MAX($BM$2:BM59)+1,""))</f>
      </c>
      <c r="BN60" s="129">
        <f>IF(I60="","",IF(COUNTIF($I$3:I60,I60)+COUNTIF($J$2:J59,I60)+COUNTIF($K$2:K59,I60)=1,MAX($BN$2:BP59)+1,""))</f>
      </c>
      <c r="BO60" s="129">
        <f>IF(J60="","",IF(COUNTIF($I$3:I60,J60)+COUNTIF($J$3:J60,J60)+COUNTIF($K$2:K59,J60)=1,MAX($BN$2:BP59,BN60)+1,""))</f>
      </c>
      <c r="BP60" s="129">
        <f>IF(K60="","",IF(COUNTIF($I$3:I60,K60)+COUNTIF($J$3:J60,K60)+COUNTIF($K$3:K60,K60)=1,MAX($BN$2:BP59,BN60,BO60)+1,""))</f>
      </c>
      <c r="BQ60" s="129">
        <f>IF(AY60=1,IFERROR(MID(Q60,FIND(" (",Q60)+2,FIND(")",Q60,FIND(" (",Q60))-FIND(" (",Q60)-2),"?"),"")</f>
      </c>
      <c r="BR60" s="129">
        <f>IF(BQ60="","",IF(COUNTIF($BQ$3:BQ60,BQ60)=1,MAX($BR$2:BR59)+1,""))</f>
      </c>
      <c r="BS60" s="129">
        <f>IF(AW60="","",COUNTIF($AW$3:AW60,"?*"))</f>
      </c>
      <c r="BT60" s="129">
        <f>IF(OR(AW60="",AI60=""),"",IF(COUNTIFS($AW$3:AW60,"?*",$AI$3:AI60,AI60)=1,MAX($BT$2:BT59)+1,""))</f>
      </c>
      <c r="BU60" s="129">
        <f>IF(AE60="",0,IF(OR(ISNUMBER(SEARCH("дубль",AE60)),ISNUMBER(SEARCH("ПЕРЕГРУЗ",AE60)),ISNUMBER(SEARCH("ЗАЩИЩ",AE60)),ISNUMBER(SEARCH("КАНАЛ",AE60)),ISNUMBER(SEARCH("без 30",AE60))),2,1))</f>
      </c>
      <c r="BV60" s="129">
        <f>IF(R60="","",COUNTIF($R$3:R60,"?*"))</f>
      </c>
      <c r="BW60" s="129">
        <f>IF(AY60&lt;&gt;1,0,IF(MAX(IFERROR(--VLOOKUP(R60,УГО_спр,5,FALSE),0),IFERROR(--VLOOKUP(AL60,УГО_спр,5,FALSE),0),IFERROR(--VLOOKUP(LEFT(AL60,2),УГО_спр,5,FALSE),0))&gt;0,MAX(IFERROR(--VLOOKUP(R60,УГО_спр,5,FALSE),0),IFERROR(--VLOOKUP(AL60,УГО_спр,5,FALSE),0),IFERROR(--VLOOKUP(LEFT(AL60,2),УГО_спр,5,FALSE),0)),IF(IFERROR(--LEFT(SUBSTITUTE(BQ60,"x","х"),FIND("х",SUBSTITUTE(BQ60,"x","х"))-1),3)&gt;3,Каталог!$S$9,1)))</f>
      </c>
      <c r="BX60" s="129">
        <f>IF(AY60&lt;&gt;1,0,MAX(0,IFERROR(--LEFT(SUBSTITUTE(BQ60,"x","х"),FIND("х",SUBSTITUTE(BQ60,"x","х"))-1),3)-3*BW60))</f>
      </c>
      <c r="BY60" s="129">
        <f>IF(R60="","",IFERROR(VLOOKUP(R60,УГО_спр,2,FALSE),IFERROR(VLOOKUP(AL60,УГО_спр,2,FALSE),IFERROR(VLOOKUP(LEFT(AL60,2),УГО_спр,2,FALSE),""))))</f>
      </c>
    </row>
    <row r="61" spans="1:64" x14ac:dyDescent="0.3">
      <c r="A61" s="135">
        <f>IF(Разбивка_по_щитам!F61=0,"",Разбивка_по_щитам!F61)</f>
      </c>
      <c r="B61" s="138">
        <f>IF(A61="","",Разбивка_по_щитам!C61)</f>
      </c>
      <c r="C61" s="138">
        <f t="shared" si="0"/>
      </c>
      <c r="D61" s="266"/>
      <c r="E61" s="266"/>
      <c r="F61" s="267"/>
      <c r="G61" s="145">
        <f t="shared" si="40"/>
      </c>
      <c r="H61" s="145">
        <f t="shared" si="41"/>
        <v/>
      </c>
      <c r="I61" s="266"/>
      <c r="J61" s="267"/>
      <c r="K61" s="267"/>
      <c r="L61" s="266"/>
      <c r="M61" s="147">
        <f t="shared" si="42"/>
      </c>
      <c r="N61" s="267"/>
      <c r="O61" s="147">
        <f t="shared" si="43"/>
      </c>
      <c r="P61" s="268">
        <f>IF(AY61=1,"XT"&amp;COUNTIFS($A$3:A61,A61,$AY$3:AY61,1),"")</f>
      </c>
      <c r="Q61" s="152">
        <f>IF(R61="","",IFERROR(SUBSTITUTE(Разбивка_по_щитам!P61,CHAR(10)," "),""))</f>
      </c>
      <c r="R61" s="153">
        <f>IF(OR(Разбивка_по_щитам!H61="",Разбивка_по_щитам!H61=0),"",Разбивка_по_щитам!H61)</f>
      </c>
      <c r="S61" s="154">
        <f>IF(R61="","",IFERROR(Разбивка_по_щитам!J61&amp;"",""))</f>
      </c>
      <c r="T61" s="155">
        <f>IF(R61="","",IFERROR(--Разбивка_по_щитам!L61,""))</f>
      </c>
      <c r="U61" s="155">
        <f>IF(R61="","",IFERROR(--Разбивка_по_щитам!K61,""))</f>
      </c>
      <c r="V61" s="138">
        <f>IF(R61="","",IFERROR(IF(Разбивка_по_щитам!M61=0,"",Разбивка_по_щитам!M61),""))</f>
      </c>
      <c r="W61" s="156">
        <f t="shared" si="5"/>
        <v/>
      </c>
      <c r="X61" s="157">
        <f t="shared" si="6"/>
        <v/>
      </c>
      <c r="Y61" s="266"/>
      <c r="Z61" s="158">
        <f t="shared" si="7"/>
        <v/>
      </c>
      <c r="AA61" s="160">
        <f t="shared" si="8"/>
        <v/>
      </c>
      <c r="AB61" s="160">
        <f>IF(R61="","",IFERROR(LOOKUP(INDEX(Справочная!$I$4:$I$19,MATCH(VLOOKUP(R61,Исходные_данные,22,FALSE),Справочная!$J$4:$J$19,0)+1),{6,10,16,20,25,32,40,50,63,80,100,125}),""))</f>
      </c>
      <c r="AC61" s="160">
        <f t="shared" si="9"/>
      </c>
      <c r="AD61" s="161">
        <f t="shared" si="10"/>
      </c>
      <c r="AE61" s="161">
        <f>IF(AND(R61="",G61=""),"",_xlfn.TEXTJOIN("; ",TRUE,IF(AND(R61&lt;&gt;"",V61=""),"нет фазы",""),IF(AND(R61&lt;&gt;"",N(T61)=0),"нет мощности",""),IF(AND(P61&lt;&gt;"",COUNTIFS($A$3:$A$1000,A61,$P$3:$P$1000,P61)&gt;1),"дубль клеммы "&amp;P61,""),IF(AND(W61&lt;&gt;"",W61&lt;&gt;"ok"),W61,""),IF(X61&lt;&gt;"",X61,""),IF(AND(ISNUMBER(SEARCH("(5х",Q61)),N(AK61)=1),"5 жил на 1 фазе",""),IF(AND(AL61="R",E61&lt;&gt;"",N(AS61)=0),"розетка без 30 мА",""),IF(IFERROR(_xlfn.NUMBERVALUE(MID(Q61,FIND("-",Q61,FIND("L=",Q61))+1,FIND("%",Q61)-FIND("-",Q61,FIND("L=",Q61))-1),","),0)&gt;4,"потери &gt; 4 %","")))</f>
      </c>
      <c r="AF61" s="129">
        <f>IF(E61&lt;&gt;"",COUNTIFS($A$3:A61,A61,$E$3:E61,"?*"),IF(OR(A61&lt;&gt;A60,Y61="вручную"),"",AF60))</f>
      </c>
      <c r="AG61" s="129">
        <f t="shared" si="11"/>
      </c>
      <c r="AH61" s="129">
        <f t="shared" si="12"/>
      </c>
      <c r="AI61" s="129">
        <f t="shared" si="13"/>
      </c>
      <c r="AJ61" s="129">
        <f t="shared" si="14"/>
        <v/>
      </c>
      <c r="AK61" s="129">
        <f t="shared" si="15"/>
      </c>
      <c r="AL61" s="129">
        <f t="shared" si="16"/>
      </c>
      <c r="AM61" s="129">
        <f t="shared" si="17"/>
      </c>
      <c r="AN61" s="129">
        <f t="shared" si="18"/>
      </c>
      <c r="AO61" s="129">
        <f t="shared" si="19"/>
        <v/>
      </c>
      <c r="AP61" s="129">
        <f t="shared" si="20"/>
        <v/>
      </c>
      <c r="AQ61" s="129">
        <f t="shared" si="21"/>
        <v/>
      </c>
      <c r="AR61" s="129">
        <f t="shared" si="22"/>
        <v/>
      </c>
      <c r="AS61" s="129">
        <f t="shared" si="23"/>
        <v/>
      </c>
      <c r="AT61" s="129">
        <f t="shared" si="24"/>
        <v/>
      </c>
      <c r="AU61" s="129">
        <f t="shared" si="25"/>
        <v/>
      </c>
      <c r="AV61" s="129">
        <f t="shared" si="26"/>
        <v/>
      </c>
      <c r="AW61" s="129">
        <f>IF(AV61="","",AV61&amp;"."&amp;COUNTIFS($A$3:A61,A61,$AV$3:AV61,AV61))</f>
        <v/>
      </c>
      <c r="AX61" s="129">
        <f t="shared" si="27"/>
      </c>
      <c r="AY61" s="129">
        <f>IF(N61="б/к",0,IF(OR(ISNUMBER(SEARCH("L=",Разбивка_по_щитам!P61)),N61="+",N61="="),1,0))</f>
      </c>
      <c r="AZ61" s="129">
        <f t="shared" si="28"/>
        <v/>
      </c>
      <c r="BA61" s="129">
        <f t="shared" si="29"/>
      </c>
      <c r="BB61" s="129">
        <f t="shared" si="30"/>
      </c>
      <c r="BD61" s="129">
        <f t="shared" si="31"/>
      </c>
      <c r="BE61" s="129">
        <f t="shared" si="32"/>
      </c>
      <c r="BF61" s="129">
        <f t="shared" si="33"/>
      </c>
      <c r="BG61" s="129">
        <f t="shared" si="34"/>
        <v/>
      </c>
      <c r="BH61" s="129">
        <f t="shared" si="35"/>
        <v/>
      </c>
      <c r="BI61" s="129">
        <f t="shared" si="36"/>
        <v/>
      </c>
      <c r="BJ61" s="129">
        <f t="shared" si="37"/>
        <v/>
      </c>
      <c r="BK61" s="129">
        <f>IF(R61="","",IF(OR(BY61="",BY61=0),"BOX",IFERROR(IF(VLOOKUP(BY61,УГО_блоки,3,FALSE)&amp;""&lt;&gt;"",VLOOKUP(BY61,УГО_блоки,3,FALSE),VLOOKUP(BY61,УГО_блоки,2,FALSE)),BY61)))</f>
      </c>
      <c r="BL61" s="129">
        <f t="shared" si="39"/>
      </c>
      <c r="BM61" s="129">
        <f>IF(H61="","",IF(COUNTIF($H$3:H61,H61)=1,MAX($BM$2:BM60)+1,""))</f>
      </c>
      <c r="BN61" s="129">
        <f>IF(I61="","",IF(COUNTIF($I$3:I61,I61)+COUNTIF($J$2:J60,I61)+COUNTIF($K$2:K60,I61)=1,MAX($BN$2:BP60)+1,""))</f>
      </c>
      <c r="BO61" s="129">
        <f>IF(J61="","",IF(COUNTIF($I$3:I61,J61)+COUNTIF($J$3:J61,J61)+COUNTIF($K$2:K60,J61)=1,MAX($BN$2:BP60,BN61)+1,""))</f>
      </c>
      <c r="BP61" s="129">
        <f>IF(K61="","",IF(COUNTIF($I$3:I61,K61)+COUNTIF($J$3:J61,K61)+COUNTIF($K$3:K61,K61)=1,MAX($BN$2:BP60,BN61,BO61)+1,""))</f>
      </c>
      <c r="BQ61" s="129">
        <f>IF(AY61=1,IFERROR(MID(Q61,FIND(" (",Q61)+2,FIND(")",Q61,FIND(" (",Q61))-FIND(" (",Q61)-2),"?"),"")</f>
      </c>
      <c r="BR61" s="129">
        <f>IF(BQ61="","",IF(COUNTIF($BQ$3:BQ61,BQ61)=1,MAX($BR$2:BR60)+1,""))</f>
      </c>
      <c r="BS61" s="129">
        <f>IF(AW61="","",COUNTIF($AW$3:AW61,"?*"))</f>
      </c>
      <c r="BT61" s="129">
        <f>IF(OR(AW61="",AI61=""),"",IF(COUNTIFS($AW$3:AW61,"?*",$AI$3:AI61,AI61)=1,MAX($BT$2:BT60)+1,""))</f>
      </c>
      <c r="BU61" s="129">
        <f>IF(AE61="",0,IF(OR(ISNUMBER(SEARCH("дубль",AE61)),ISNUMBER(SEARCH("ПЕРЕГРУЗ",AE61)),ISNUMBER(SEARCH("ЗАЩИЩ",AE61)),ISNUMBER(SEARCH("КАНАЛ",AE61)),ISNUMBER(SEARCH("без 30",AE61))),2,1))</f>
      </c>
      <c r="BV61" s="129">
        <f>IF(R61="","",COUNTIF($R$3:R61,"?*"))</f>
      </c>
      <c r="BW61" s="129">
        <f>IF(AY61&lt;&gt;1,0,IF(MAX(IFERROR(--VLOOKUP(R61,УГО_спр,5,FALSE),0),IFERROR(--VLOOKUP(AL61,УГО_спр,5,FALSE),0),IFERROR(--VLOOKUP(LEFT(AL61,2),УГО_спр,5,FALSE),0))&gt;0,MAX(IFERROR(--VLOOKUP(R61,УГО_спр,5,FALSE),0),IFERROR(--VLOOKUP(AL61,УГО_спр,5,FALSE),0),IFERROR(--VLOOKUP(LEFT(AL61,2),УГО_спр,5,FALSE),0)),IF(IFERROR(--LEFT(SUBSTITUTE(BQ61,"x","х"),FIND("х",SUBSTITUTE(BQ61,"x","х"))-1),3)&gt;3,Каталог!$S$9,1)))</f>
      </c>
      <c r="BX61" s="129">
        <f>IF(AY61&lt;&gt;1,0,MAX(0,IFERROR(--LEFT(SUBSTITUTE(BQ61,"x","х"),FIND("х",SUBSTITUTE(BQ61,"x","х"))-1),3)-3*BW61))</f>
      </c>
      <c r="BY61" s="129">
        <f>IF(R61="","",IFERROR(VLOOKUP(R61,УГО_спр,2,FALSE),IFERROR(VLOOKUP(AL61,УГО_спр,2,FALSE),IFERROR(VLOOKUP(LEFT(AL61,2),УГО_спр,2,FALSE),""))))</f>
      </c>
    </row>
    <row r="62" spans="1:64" x14ac:dyDescent="0.3">
      <c r="A62" s="135">
        <f>IF(Разбивка_по_щитам!F62=0,"",Разбивка_по_щитам!F62)</f>
      </c>
      <c r="B62" s="138">
        <f>IF(A62="","",Разбивка_по_щитам!C62)</f>
      </c>
      <c r="C62" s="138">
        <f t="shared" si="0"/>
      </c>
      <c r="D62" s="266"/>
      <c r="E62" s="266"/>
      <c r="F62" s="267"/>
      <c r="G62" s="145">
        <f t="shared" si="40"/>
      </c>
      <c r="H62" s="145">
        <f t="shared" si="41"/>
        <v/>
      </c>
      <c r="I62" s="266"/>
      <c r="J62" s="267"/>
      <c r="K62" s="267"/>
      <c r="L62" s="266"/>
      <c r="M62" s="147">
        <f t="shared" si="42"/>
      </c>
      <c r="N62" s="267"/>
      <c r="O62" s="147">
        <f t="shared" si="43"/>
      </c>
      <c r="P62" s="268">
        <f>IF(AY62=1,"XT"&amp;COUNTIFS($A$3:A62,A62,$AY$3:AY62,1),"")</f>
      </c>
      <c r="Q62" s="152">
        <f>IF(R62="","",IFERROR(SUBSTITUTE(Разбивка_по_щитам!P62,CHAR(10)," "),""))</f>
      </c>
      <c r="R62" s="153">
        <f>IF(OR(Разбивка_по_щитам!H62="",Разбивка_по_щитам!H62=0),"",Разбивка_по_щитам!H62)</f>
      </c>
      <c r="S62" s="154">
        <f>IF(R62="","",IFERROR(Разбивка_по_щитам!J62&amp;"",""))</f>
      </c>
      <c r="T62" s="155">
        <f>IF(R62="","",IFERROR(--Разбивка_по_щитам!L62,""))</f>
      </c>
      <c r="U62" s="155">
        <f>IF(R62="","",IFERROR(--Разбивка_по_щитам!K62,""))</f>
      </c>
      <c r="V62" s="138">
        <f>IF(R62="","",IFERROR(IF(Разбивка_по_щитам!M62=0,"",Разбивка_по_щитам!M62),""))</f>
      </c>
      <c r="W62" s="156">
        <f t="shared" si="5"/>
        <v/>
      </c>
      <c r="X62" s="157">
        <f t="shared" si="6"/>
        <v/>
      </c>
      <c r="Y62" s="266"/>
      <c r="Z62" s="158">
        <f t="shared" si="7"/>
        <v/>
      </c>
      <c r="AA62" s="160">
        <f t="shared" si="8"/>
        <v/>
      </c>
      <c r="AB62" s="160">
        <f>IF(R62="","",IFERROR(LOOKUP(INDEX(Справочная!$I$4:$I$19,MATCH(VLOOKUP(R62,Исходные_данные,22,FALSE),Справочная!$J$4:$J$19,0)+1),{6,10,16,20,25,32,40,50,63,80,100,125}),""))</f>
      </c>
      <c r="AC62" s="160">
        <f t="shared" si="9"/>
      </c>
      <c r="AD62" s="161">
        <f t="shared" si="10"/>
      </c>
      <c r="AE62" s="161">
        <f>IF(AND(R62="",G62=""),"",_xlfn.TEXTJOIN("; ",TRUE,IF(AND(R62&lt;&gt;"",V62=""),"нет фазы",""),IF(AND(R62&lt;&gt;"",N(T62)=0),"нет мощности",""),IF(AND(P62&lt;&gt;"",COUNTIFS($A$3:$A$1000,A62,$P$3:$P$1000,P62)&gt;1),"дубль клеммы "&amp;P62,""),IF(AND(W62&lt;&gt;"",W62&lt;&gt;"ok"),W62,""),IF(X62&lt;&gt;"",X62,""),IF(AND(ISNUMBER(SEARCH("(5х",Q62)),N(AK62)=1),"5 жил на 1 фазе",""),IF(AND(AL62="R",E62&lt;&gt;"",N(AS62)=0),"розетка без 30 мА",""),IF(IFERROR(_xlfn.NUMBERVALUE(MID(Q62,FIND("-",Q62,FIND("L=",Q62))+1,FIND("%",Q62)-FIND("-",Q62,FIND("L=",Q62))-1),","),0)&gt;4,"потери &gt; 4 %","")))</f>
      </c>
      <c r="AF62" s="129">
        <f>IF(E62&lt;&gt;"",COUNTIFS($A$3:A62,A62,$E$3:E62,"?*"),IF(OR(A62&lt;&gt;A61,Y62="вручную"),"",AF61))</f>
      </c>
      <c r="AG62" s="129">
        <f t="shared" si="11"/>
      </c>
      <c r="AH62" s="129">
        <f t="shared" si="12"/>
      </c>
      <c r="AI62" s="129">
        <f t="shared" si="13"/>
      </c>
      <c r="AJ62" s="129">
        <f t="shared" si="14"/>
        <v/>
      </c>
      <c r="AK62" s="129">
        <f t="shared" si="15"/>
      </c>
      <c r="AL62" s="129">
        <f t="shared" si="16"/>
      </c>
      <c r="AM62" s="129">
        <f t="shared" si="17"/>
      </c>
      <c r="AN62" s="129">
        <f t="shared" si="18"/>
      </c>
      <c r="AO62" s="129">
        <f t="shared" si="19"/>
        <v/>
      </c>
      <c r="AP62" s="129">
        <f t="shared" si="20"/>
        <v/>
      </c>
      <c r="AQ62" s="129">
        <f t="shared" si="21"/>
        <v/>
      </c>
      <c r="AR62" s="129">
        <f t="shared" si="22"/>
        <v/>
      </c>
      <c r="AS62" s="129">
        <f t="shared" si="23"/>
        <v/>
      </c>
      <c r="AT62" s="129">
        <f t="shared" si="24"/>
        <v/>
      </c>
      <c r="AU62" s="129">
        <f t="shared" si="25"/>
        <v/>
      </c>
      <c r="AV62" s="129">
        <f t="shared" si="26"/>
        <v/>
      </c>
      <c r="AW62" s="129">
        <f>IF(AV62="","",AV62&amp;"."&amp;COUNTIFS($A$3:A62,A62,$AV$3:AV62,AV62))</f>
        <v/>
      </c>
      <c r="AX62" s="129">
        <f t="shared" si="27"/>
      </c>
      <c r="AY62" s="129">
        <f>IF(N62="б/к",0,IF(OR(ISNUMBER(SEARCH("L=",Разбивка_по_щитам!P62)),N62="+",N62="="),1,0))</f>
      </c>
      <c r="AZ62" s="129">
        <f t="shared" si="28"/>
        <v/>
      </c>
      <c r="BA62" s="129">
        <f t="shared" si="29"/>
      </c>
      <c r="BB62" s="129">
        <f t="shared" si="30"/>
      </c>
      <c r="BD62" s="129">
        <f t="shared" si="31"/>
      </c>
      <c r="BE62" s="129">
        <f t="shared" si="32"/>
      </c>
      <c r="BF62" s="129">
        <f t="shared" si="33"/>
      </c>
      <c r="BG62" s="129">
        <f t="shared" si="34"/>
        <v/>
      </c>
      <c r="BH62" s="129">
        <f t="shared" si="35"/>
        <v/>
      </c>
      <c r="BI62" s="129">
        <f t="shared" si="36"/>
        <v/>
      </c>
      <c r="BJ62" s="129">
        <f t="shared" si="37"/>
        <v/>
      </c>
      <c r="BK62" s="129">
        <f>IF(R62="","",IF(OR(BY62="",BY62=0),"BOX",IFERROR(IF(VLOOKUP(BY62,УГО_блоки,3,FALSE)&amp;""&lt;&gt;"",VLOOKUP(BY62,УГО_блоки,3,FALSE),VLOOKUP(BY62,УГО_блоки,2,FALSE)),BY62)))</f>
      </c>
      <c r="BL62" s="129">
        <f t="shared" si="39"/>
      </c>
      <c r="BM62" s="129">
        <f>IF(H62="","",IF(COUNTIF($H$3:H62,H62)=1,MAX($BM$2:BM61)+1,""))</f>
      </c>
      <c r="BN62" s="129">
        <f>IF(I62="","",IF(COUNTIF($I$3:I62,I62)+COUNTIF($J$2:J61,I62)+COUNTIF($K$2:K61,I62)=1,MAX($BN$2:BP61)+1,""))</f>
      </c>
      <c r="BO62" s="129">
        <f>IF(J62="","",IF(COUNTIF($I$3:I62,J62)+COUNTIF($J$3:J62,J62)+COUNTIF($K$2:K61,J62)=1,MAX($BN$2:BP61,BN62)+1,""))</f>
      </c>
      <c r="BP62" s="129">
        <f>IF(K62="","",IF(COUNTIF($I$3:I62,K62)+COUNTIF($J$3:J62,K62)+COUNTIF($K$3:K62,K62)=1,MAX($BN$2:BP61,BN62,BO62)+1,""))</f>
      </c>
      <c r="BQ62" s="129">
        <f>IF(AY62=1,IFERROR(MID(Q62,FIND(" (",Q62)+2,FIND(")",Q62,FIND(" (",Q62))-FIND(" (",Q62)-2),"?"),"")</f>
      </c>
      <c r="BR62" s="129">
        <f>IF(BQ62="","",IF(COUNTIF($BQ$3:BQ62,BQ62)=1,MAX($BR$2:BR61)+1,""))</f>
      </c>
      <c r="BS62" s="129">
        <f>IF(AW62="","",COUNTIF($AW$3:AW62,"?*"))</f>
      </c>
      <c r="BT62" s="129">
        <f>IF(OR(AW62="",AI62=""),"",IF(COUNTIFS($AW$3:AW62,"?*",$AI$3:AI62,AI62)=1,MAX($BT$2:BT61)+1,""))</f>
      </c>
      <c r="BU62" s="129">
        <f>IF(AE62="",0,IF(OR(ISNUMBER(SEARCH("дубль",AE62)),ISNUMBER(SEARCH("ПЕРЕГРУЗ",AE62)),ISNUMBER(SEARCH("ЗАЩИЩ",AE62)),ISNUMBER(SEARCH("КАНАЛ",AE62)),ISNUMBER(SEARCH("без 30",AE62))),2,1))</f>
      </c>
      <c r="BV62" s="129">
        <f>IF(R62="","",COUNTIF($R$3:R62,"?*"))</f>
      </c>
      <c r="BW62" s="129">
        <f>IF(AY62&lt;&gt;1,0,IF(MAX(IFERROR(--VLOOKUP(R62,УГО_спр,5,FALSE),0),IFERROR(--VLOOKUP(AL62,УГО_спр,5,FALSE),0),IFERROR(--VLOOKUP(LEFT(AL62,2),УГО_спр,5,FALSE),0))&gt;0,MAX(IFERROR(--VLOOKUP(R62,УГО_спр,5,FALSE),0),IFERROR(--VLOOKUP(AL62,УГО_спр,5,FALSE),0),IFERROR(--VLOOKUP(LEFT(AL62,2),УГО_спр,5,FALSE),0)),IF(IFERROR(--LEFT(SUBSTITUTE(BQ62,"x","х"),FIND("х",SUBSTITUTE(BQ62,"x","х"))-1),3)&gt;3,Каталог!$S$9,1)))</f>
      </c>
      <c r="BX62" s="129">
        <f>IF(AY62&lt;&gt;1,0,MAX(0,IFERROR(--LEFT(SUBSTITUTE(BQ62,"x","х"),FIND("х",SUBSTITUTE(BQ62,"x","х"))-1),3)-3*BW62))</f>
      </c>
      <c r="BY62" s="129">
        <f>IF(R62="","",IFERROR(VLOOKUP(R62,УГО_спр,2,FALSE),IFERROR(VLOOKUP(AL62,УГО_спр,2,FALSE),IFERROR(VLOOKUP(LEFT(AL62,2),УГО_спр,2,FALSE),""))))</f>
      </c>
    </row>
    <row r="63" spans="1:64" x14ac:dyDescent="0.3">
      <c r="A63" s="135">
        <f>IF(Разбивка_по_щитам!F63=0,"",Разбивка_по_щитам!F63)</f>
      </c>
      <c r="B63" s="138">
        <f>IF(A63="","",Разбивка_по_щитам!C63)</f>
      </c>
      <c r="C63" s="138">
        <f t="shared" si="0"/>
      </c>
      <c r="D63" s="266"/>
      <c r="E63" s="266"/>
      <c r="F63" s="267"/>
      <c r="G63" s="145">
        <f t="shared" si="40"/>
      </c>
      <c r="H63" s="145">
        <f t="shared" si="41"/>
        <v/>
      </c>
      <c r="I63" s="266"/>
      <c r="J63" s="267"/>
      <c r="K63" s="267"/>
      <c r="L63" s="266"/>
      <c r="M63" s="147">
        <f t="shared" si="42"/>
      </c>
      <c r="N63" s="267"/>
      <c r="O63" s="147">
        <f t="shared" si="43"/>
      </c>
      <c r="P63" s="268">
        <f>IF(AY63=1,"XT"&amp;COUNTIFS($A$3:A63,A63,$AY$3:AY63,1),"")</f>
      </c>
      <c r="Q63" s="152">
        <f>IF(R63="","",IFERROR(SUBSTITUTE(Разбивка_по_щитам!P63,CHAR(10)," "),""))</f>
      </c>
      <c r="R63" s="153">
        <f>IF(OR(Разбивка_по_щитам!H63="",Разбивка_по_щитам!H63=0),"",Разбивка_по_щитам!H63)</f>
      </c>
      <c r="S63" s="154">
        <f>IF(R63="","",IFERROR(Разбивка_по_щитам!J63&amp;"",""))</f>
      </c>
      <c r="T63" s="155">
        <f>IF(R63="","",IFERROR(--Разбивка_по_щитам!L63,""))</f>
      </c>
      <c r="U63" s="155">
        <f>IF(R63="","",IFERROR(--Разбивка_по_щитам!K63,""))</f>
      </c>
      <c r="V63" s="138">
        <f>IF(R63="","",IFERROR(IF(Разбивка_по_щитам!M63=0,"",Разбивка_по_щитам!M63),""))</f>
      </c>
      <c r="W63" s="156">
        <f t="shared" si="5"/>
        <v/>
      </c>
      <c r="X63" s="157">
        <f t="shared" si="6"/>
        <v/>
      </c>
      <c r="Y63" s="266"/>
      <c r="Z63" s="158">
        <f t="shared" si="7"/>
        <v/>
      </c>
      <c r="AA63" s="160">
        <f t="shared" si="8"/>
        <v/>
      </c>
      <c r="AB63" s="160">
        <f>IF(R63="","",IFERROR(LOOKUP(INDEX(Справочная!$I$4:$I$19,MATCH(VLOOKUP(R63,Исходные_данные,22,FALSE),Справочная!$J$4:$J$19,0)+1),{6,10,16,20,25,32,40,50,63,80,100,125}),""))</f>
      </c>
      <c r="AC63" s="160">
        <f t="shared" si="9"/>
      </c>
      <c r="AD63" s="161">
        <f t="shared" si="10"/>
      </c>
      <c r="AE63" s="161">
        <f>IF(AND(R63="",G63=""),"",_xlfn.TEXTJOIN("; ",TRUE,IF(AND(R63&lt;&gt;"",V63=""),"нет фазы",""),IF(AND(R63&lt;&gt;"",N(T63)=0),"нет мощности",""),IF(AND(P63&lt;&gt;"",COUNTIFS($A$3:$A$1000,A63,$P$3:$P$1000,P63)&gt;1),"дубль клеммы "&amp;P63,""),IF(AND(W63&lt;&gt;"",W63&lt;&gt;"ok"),W63,""),IF(X63&lt;&gt;"",X63,""),IF(AND(ISNUMBER(SEARCH("(5х",Q63)),N(AK63)=1),"5 жил на 1 фазе",""),IF(AND(AL63="R",E63&lt;&gt;"",N(AS63)=0),"розетка без 30 мА",""),IF(IFERROR(_xlfn.NUMBERVALUE(MID(Q63,FIND("-",Q63,FIND("L=",Q63))+1,FIND("%",Q63)-FIND("-",Q63,FIND("L=",Q63))-1),","),0)&gt;4,"потери &gt; 4 %","")))</f>
      </c>
      <c r="AF63" s="129">
        <f>IF(E63&lt;&gt;"",COUNTIFS($A$3:A63,A63,$E$3:E63,"?*"),IF(OR(A63&lt;&gt;A62,Y63="вручную"),"",AF62))</f>
      </c>
      <c r="AG63" s="129">
        <f t="shared" si="11"/>
      </c>
      <c r="AH63" s="129">
        <f t="shared" si="12"/>
      </c>
      <c r="AI63" s="129">
        <f t="shared" si="13"/>
      </c>
      <c r="AJ63" s="129">
        <f t="shared" si="14"/>
        <v/>
      </c>
      <c r="AK63" s="129">
        <f t="shared" si="15"/>
      </c>
      <c r="AL63" s="129">
        <f t="shared" si="16"/>
      </c>
      <c r="AM63" s="129">
        <f t="shared" si="17"/>
      </c>
      <c r="AN63" s="129">
        <f t="shared" si="18"/>
      </c>
      <c r="AO63" s="129">
        <f t="shared" si="19"/>
        <v/>
      </c>
      <c r="AP63" s="129">
        <f t="shared" si="20"/>
        <v/>
      </c>
      <c r="AQ63" s="129">
        <f t="shared" si="21"/>
        <v/>
      </c>
      <c r="AR63" s="129">
        <f t="shared" si="22"/>
        <v/>
      </c>
      <c r="AS63" s="129">
        <f t="shared" si="23"/>
        <v/>
      </c>
      <c r="AT63" s="129">
        <f t="shared" si="24"/>
        <v/>
      </c>
      <c r="AU63" s="129">
        <f t="shared" si="25"/>
        <v/>
      </c>
      <c r="AV63" s="129">
        <f t="shared" si="26"/>
        <v/>
      </c>
      <c r="AW63" s="129">
        <f>IF(AV63="","",AV63&amp;"."&amp;COUNTIFS($A$3:A63,A63,$AV$3:AV63,AV63))</f>
        <v/>
      </c>
      <c r="AX63" s="129">
        <f t="shared" si="27"/>
      </c>
      <c r="AY63" s="129">
        <f>IF(N63="б/к",0,IF(OR(ISNUMBER(SEARCH("L=",Разбивка_по_щитам!P63)),N63="+",N63="="),1,0))</f>
      </c>
      <c r="AZ63" s="129">
        <f t="shared" si="28"/>
        <v/>
      </c>
      <c r="BA63" s="129">
        <f t="shared" si="29"/>
      </c>
      <c r="BB63" s="129">
        <f t="shared" si="30"/>
      </c>
      <c r="BD63" s="129">
        <f t="shared" si="31"/>
      </c>
      <c r="BE63" s="129">
        <f t="shared" si="32"/>
      </c>
      <c r="BF63" s="129">
        <f t="shared" si="33"/>
      </c>
      <c r="BG63" s="129">
        <f t="shared" si="34"/>
        <v/>
      </c>
      <c r="BH63" s="129">
        <f t="shared" si="35"/>
        <v/>
      </c>
      <c r="BI63" s="129">
        <f t="shared" si="36"/>
        <v/>
      </c>
      <c r="BJ63" s="129">
        <f t="shared" si="37"/>
        <v/>
      </c>
      <c r="BK63" s="129">
        <f>IF(R63="","",IF(OR(BY63="",BY63=0),"BOX",IFERROR(IF(VLOOKUP(BY63,УГО_блоки,3,FALSE)&amp;""&lt;&gt;"",VLOOKUP(BY63,УГО_блоки,3,FALSE),VLOOKUP(BY63,УГО_блоки,2,FALSE)),BY63)))</f>
      </c>
      <c r="BL63" s="129">
        <f t="shared" si="39"/>
      </c>
      <c r="BM63" s="129">
        <f>IF(H63="","",IF(COUNTIF($H$3:H63,H63)=1,MAX($BM$2:BM62)+1,""))</f>
      </c>
      <c r="BN63" s="129">
        <f>IF(I63="","",IF(COUNTIF($I$3:I63,I63)+COUNTIF($J$2:J62,I63)+COUNTIF($K$2:K62,I63)=1,MAX($BN$2:BP62)+1,""))</f>
      </c>
      <c r="BO63" s="129">
        <f>IF(J63="","",IF(COUNTIF($I$3:I63,J63)+COUNTIF($J$3:J63,J63)+COUNTIF($K$2:K62,J63)=1,MAX($BN$2:BP62,BN63)+1,""))</f>
      </c>
      <c r="BP63" s="129">
        <f>IF(K63="","",IF(COUNTIF($I$3:I63,K63)+COUNTIF($J$3:J63,K63)+COUNTIF($K$3:K63,K63)=1,MAX($BN$2:BP62,BN63,BO63)+1,""))</f>
      </c>
      <c r="BQ63" s="129">
        <f>IF(AY63=1,IFERROR(MID(Q63,FIND(" (",Q63)+2,FIND(")",Q63,FIND(" (",Q63))-FIND(" (",Q63)-2),"?"),"")</f>
      </c>
      <c r="BR63" s="129">
        <f>IF(BQ63="","",IF(COUNTIF($BQ$3:BQ63,BQ63)=1,MAX($BR$2:BR62)+1,""))</f>
      </c>
      <c r="BS63" s="129">
        <f>IF(AW63="","",COUNTIF($AW$3:AW63,"?*"))</f>
      </c>
      <c r="BT63" s="129">
        <f>IF(OR(AW63="",AI63=""),"",IF(COUNTIFS($AW$3:AW63,"?*",$AI$3:AI63,AI63)=1,MAX($BT$2:BT62)+1,""))</f>
      </c>
      <c r="BU63" s="129">
        <f>IF(AE63="",0,IF(OR(ISNUMBER(SEARCH("дубль",AE63)),ISNUMBER(SEARCH("ПЕРЕГРУЗ",AE63)),ISNUMBER(SEARCH("ЗАЩИЩ",AE63)),ISNUMBER(SEARCH("КАНАЛ",AE63)),ISNUMBER(SEARCH("без 30",AE63))),2,1))</f>
      </c>
      <c r="BV63" s="129">
        <f>IF(R63="","",COUNTIF($R$3:R63,"?*"))</f>
      </c>
      <c r="BW63" s="129">
        <f>IF(AY63&lt;&gt;1,0,IF(MAX(IFERROR(--VLOOKUP(R63,УГО_спр,5,FALSE),0),IFERROR(--VLOOKUP(AL63,УГО_спр,5,FALSE),0),IFERROR(--VLOOKUP(LEFT(AL63,2),УГО_спр,5,FALSE),0))&gt;0,MAX(IFERROR(--VLOOKUP(R63,УГО_спр,5,FALSE),0),IFERROR(--VLOOKUP(AL63,УГО_спр,5,FALSE),0),IFERROR(--VLOOKUP(LEFT(AL63,2),УГО_спр,5,FALSE),0)),IF(IFERROR(--LEFT(SUBSTITUTE(BQ63,"x","х"),FIND("х",SUBSTITUTE(BQ63,"x","х"))-1),3)&gt;3,Каталог!$S$9,1)))</f>
      </c>
      <c r="BX63" s="129">
        <f>IF(AY63&lt;&gt;1,0,MAX(0,IFERROR(--LEFT(SUBSTITUTE(BQ63,"x","х"),FIND("х",SUBSTITUTE(BQ63,"x","х"))-1),3)-3*BW63))</f>
      </c>
      <c r="BY63" s="129">
        <f>IF(R63="","",IFERROR(VLOOKUP(R63,УГО_спр,2,FALSE),IFERROR(VLOOKUP(AL63,УГО_спр,2,FALSE),IFERROR(VLOOKUP(LEFT(AL63,2),УГО_спр,2,FALSE),""))))</f>
      </c>
    </row>
    <row r="64" spans="1:64" x14ac:dyDescent="0.3">
      <c r="A64" s="135">
        <f>IF(Разбивка_по_щитам!F64=0,"",Разбивка_по_щитам!F64)</f>
      </c>
      <c r="B64" s="138">
        <f>IF(A64="","",Разбивка_по_щитам!C64)</f>
      </c>
      <c r="C64" s="138">
        <f t="shared" si="0"/>
      </c>
      <c r="D64" s="266"/>
      <c r="E64" s="266"/>
      <c r="F64" s="267"/>
      <c r="G64" s="145">
        <f t="shared" si="40"/>
      </c>
      <c r="H64" s="145">
        <f t="shared" si="41"/>
        <v/>
      </c>
      <c r="I64" s="266"/>
      <c r="J64" s="267"/>
      <c r="K64" s="267"/>
      <c r="L64" s="266"/>
      <c r="M64" s="147">
        <f t="shared" si="42"/>
      </c>
      <c r="N64" s="267"/>
      <c r="O64" s="147">
        <f t="shared" si="43"/>
      </c>
      <c r="P64" s="268">
        <f>IF(AY64=1,"XT"&amp;COUNTIFS($A$3:A64,A64,$AY$3:AY64,1),"")</f>
      </c>
      <c r="Q64" s="152">
        <f>IF(R64="","",IFERROR(SUBSTITUTE(Разбивка_по_щитам!P64,CHAR(10)," "),""))</f>
      </c>
      <c r="R64" s="153">
        <f>IF(OR(Разбивка_по_щитам!H64="",Разбивка_по_щитам!H64=0),"",Разбивка_по_щитам!H64)</f>
      </c>
      <c r="S64" s="154">
        <f>IF(R64="","",IFERROR(Разбивка_по_щитам!J64&amp;"",""))</f>
      </c>
      <c r="T64" s="155">
        <f>IF(R64="","",IFERROR(--Разбивка_по_щитам!L64,""))</f>
      </c>
      <c r="U64" s="155">
        <f>IF(R64="","",IFERROR(--Разбивка_по_щитам!K64,""))</f>
      </c>
      <c r="V64" s="138">
        <f>IF(R64="","",IFERROR(IF(Разбивка_по_щитам!M64=0,"",Разбивка_по_щитам!M64),""))</f>
      </c>
      <c r="W64" s="156">
        <f t="shared" si="5"/>
        <v/>
      </c>
      <c r="X64" s="157">
        <f t="shared" si="6"/>
        <v/>
      </c>
      <c r="Y64" s="266"/>
      <c r="Z64" s="158">
        <f t="shared" si="7"/>
        <v/>
      </c>
      <c r="AA64" s="160">
        <f t="shared" si="8"/>
        <v/>
      </c>
      <c r="AB64" s="160">
        <f>IF(R64="","",IFERROR(LOOKUP(INDEX(Справочная!$I$4:$I$19,MATCH(VLOOKUP(R64,Исходные_данные,22,FALSE),Справочная!$J$4:$J$19,0)+1),{6,10,16,20,25,32,40,50,63,80,100,125}),""))</f>
      </c>
      <c r="AC64" s="160">
        <f t="shared" si="9"/>
      </c>
      <c r="AD64" s="161">
        <f t="shared" si="10"/>
      </c>
      <c r="AE64" s="161">
        <f>IF(AND(R64="",G64=""),"",_xlfn.TEXTJOIN("; ",TRUE,IF(AND(R64&lt;&gt;"",V64=""),"нет фазы",""),IF(AND(R64&lt;&gt;"",N(T64)=0),"нет мощности",""),IF(AND(P64&lt;&gt;"",COUNTIFS($A$3:$A$1000,A64,$P$3:$P$1000,P64)&gt;1),"дубль клеммы "&amp;P64,""),IF(AND(W64&lt;&gt;"",W64&lt;&gt;"ok"),W64,""),IF(X64&lt;&gt;"",X64,""),IF(AND(ISNUMBER(SEARCH("(5х",Q64)),N(AK64)=1),"5 жил на 1 фазе",""),IF(AND(AL64="R",E64&lt;&gt;"",N(AS64)=0),"розетка без 30 мА",""),IF(IFERROR(_xlfn.NUMBERVALUE(MID(Q64,FIND("-",Q64,FIND("L=",Q64))+1,FIND("%",Q64)-FIND("-",Q64,FIND("L=",Q64))-1),","),0)&gt;4,"потери &gt; 4 %","")))</f>
      </c>
      <c r="AF64" s="129">
        <f>IF(E64&lt;&gt;"",COUNTIFS($A$3:A64,A64,$E$3:E64,"?*"),IF(OR(A64&lt;&gt;A63,Y64="вручную"),"",AF63))</f>
      </c>
      <c r="AG64" s="129">
        <f t="shared" si="11"/>
      </c>
      <c r="AH64" s="129">
        <f t="shared" si="12"/>
      </c>
      <c r="AI64" s="129">
        <f t="shared" si="13"/>
      </c>
      <c r="AJ64" s="129">
        <f t="shared" si="14"/>
        <v/>
      </c>
      <c r="AK64" s="129">
        <f t="shared" si="15"/>
      </c>
      <c r="AL64" s="129">
        <f t="shared" si="16"/>
      </c>
      <c r="AM64" s="129">
        <f t="shared" si="17"/>
      </c>
      <c r="AN64" s="129">
        <f t="shared" si="18"/>
      </c>
      <c r="AO64" s="129">
        <f t="shared" si="19"/>
        <v/>
      </c>
      <c r="AP64" s="129">
        <f t="shared" si="20"/>
        <v/>
      </c>
      <c r="AQ64" s="129">
        <f t="shared" si="21"/>
        <v/>
      </c>
      <c r="AR64" s="129">
        <f t="shared" si="22"/>
        <v/>
      </c>
      <c r="AS64" s="129">
        <f t="shared" si="23"/>
        <v/>
      </c>
      <c r="AT64" s="129">
        <f t="shared" si="24"/>
        <v/>
      </c>
      <c r="AU64" s="129">
        <f t="shared" si="25"/>
        <v/>
      </c>
      <c r="AV64" s="129">
        <f t="shared" si="26"/>
        <v/>
      </c>
      <c r="AW64" s="129">
        <f>IF(AV64="","",AV64&amp;"."&amp;COUNTIFS($A$3:A64,A64,$AV$3:AV64,AV64))</f>
        <v/>
      </c>
      <c r="AX64" s="129">
        <f t="shared" si="27"/>
      </c>
      <c r="AY64" s="129">
        <f>IF(N64="б/к",0,IF(OR(ISNUMBER(SEARCH("L=",Разбивка_по_щитам!P64)),N64="+",N64="="),1,0))</f>
      </c>
      <c r="AZ64" s="129">
        <f t="shared" si="28"/>
        <v/>
      </c>
      <c r="BA64" s="129">
        <f t="shared" si="29"/>
      </c>
      <c r="BB64" s="129">
        <f t="shared" si="30"/>
      </c>
      <c r="BD64" s="129">
        <f t="shared" si="31"/>
      </c>
      <c r="BE64" s="129">
        <f t="shared" si="32"/>
      </c>
      <c r="BF64" s="129">
        <f t="shared" si="33"/>
      </c>
      <c r="BG64" s="129">
        <f t="shared" si="34"/>
        <v/>
      </c>
      <c r="BH64" s="129">
        <f t="shared" si="35"/>
        <v/>
      </c>
      <c r="BI64" s="129">
        <f t="shared" si="36"/>
        <v/>
      </c>
      <c r="BJ64" s="129">
        <f t="shared" si="37"/>
        <v/>
      </c>
      <c r="BK64" s="129">
        <f>IF(R64="","",IF(OR(BY64="",BY64=0),"BOX",IFERROR(IF(VLOOKUP(BY64,УГО_блоки,3,FALSE)&amp;""&lt;&gt;"",VLOOKUP(BY64,УГО_блоки,3,FALSE),VLOOKUP(BY64,УГО_блоки,2,FALSE)),BY64)))</f>
      </c>
      <c r="BL64" s="129">
        <f t="shared" si="39"/>
      </c>
      <c r="BM64" s="129">
        <f>IF(H64="","",IF(COUNTIF($H$3:H64,H64)=1,MAX($BM$2:BM63)+1,""))</f>
      </c>
      <c r="BN64" s="129">
        <f>IF(I64="","",IF(COUNTIF($I$3:I64,I64)+COUNTIF($J$2:J63,I64)+COUNTIF($K$2:K63,I64)=1,MAX($BN$2:BP63)+1,""))</f>
      </c>
      <c r="BO64" s="129">
        <f>IF(J64="","",IF(COUNTIF($I$3:I64,J64)+COUNTIF($J$3:J64,J64)+COUNTIF($K$2:K63,J64)=1,MAX($BN$2:BP63,BN64)+1,""))</f>
      </c>
      <c r="BP64" s="129">
        <f>IF(K64="","",IF(COUNTIF($I$3:I64,K64)+COUNTIF($J$3:J64,K64)+COUNTIF($K$3:K64,K64)=1,MAX($BN$2:BP63,BN64,BO64)+1,""))</f>
      </c>
      <c r="BQ64" s="129">
        <f>IF(AY64=1,IFERROR(MID(Q64,FIND(" (",Q64)+2,FIND(")",Q64,FIND(" (",Q64))-FIND(" (",Q64)-2),"?"),"")</f>
      </c>
      <c r="BR64" s="129">
        <f>IF(BQ64="","",IF(COUNTIF($BQ$3:BQ64,BQ64)=1,MAX($BR$2:BR63)+1,""))</f>
      </c>
      <c r="BS64" s="129">
        <f>IF(AW64="","",COUNTIF($AW$3:AW64,"?*"))</f>
      </c>
      <c r="BT64" s="129">
        <f>IF(OR(AW64="",AI64=""),"",IF(COUNTIFS($AW$3:AW64,"?*",$AI$3:AI64,AI64)=1,MAX($BT$2:BT63)+1,""))</f>
      </c>
      <c r="BU64" s="129">
        <f>IF(AE64="",0,IF(OR(ISNUMBER(SEARCH("дубль",AE64)),ISNUMBER(SEARCH("ПЕРЕГРУЗ",AE64)),ISNUMBER(SEARCH("ЗАЩИЩ",AE64)),ISNUMBER(SEARCH("КАНАЛ",AE64)),ISNUMBER(SEARCH("без 30",AE64))),2,1))</f>
      </c>
      <c r="BV64" s="129">
        <f>IF(R64="","",COUNTIF($R$3:R64,"?*"))</f>
      </c>
      <c r="BW64" s="129">
        <f>IF(AY64&lt;&gt;1,0,IF(MAX(IFERROR(--VLOOKUP(R64,УГО_спр,5,FALSE),0),IFERROR(--VLOOKUP(AL64,УГО_спр,5,FALSE),0),IFERROR(--VLOOKUP(LEFT(AL64,2),УГО_спр,5,FALSE),0))&gt;0,MAX(IFERROR(--VLOOKUP(R64,УГО_спр,5,FALSE),0),IFERROR(--VLOOKUP(AL64,УГО_спр,5,FALSE),0),IFERROR(--VLOOKUP(LEFT(AL64,2),УГО_спр,5,FALSE),0)),IF(IFERROR(--LEFT(SUBSTITUTE(BQ64,"x","х"),FIND("х",SUBSTITUTE(BQ64,"x","х"))-1),3)&gt;3,Каталог!$S$9,1)))</f>
      </c>
      <c r="BX64" s="129">
        <f>IF(AY64&lt;&gt;1,0,MAX(0,IFERROR(--LEFT(SUBSTITUTE(BQ64,"x","х"),FIND("х",SUBSTITUTE(BQ64,"x","х"))-1),3)-3*BW64))</f>
      </c>
      <c r="BY64" s="129">
        <f>IF(R64="","",IFERROR(VLOOKUP(R64,УГО_спр,2,FALSE),IFERROR(VLOOKUP(AL64,УГО_спр,2,FALSE),IFERROR(VLOOKUP(LEFT(AL64,2),УГО_спр,2,FALSE),""))))</f>
      </c>
    </row>
    <row r="65" spans="1:64" x14ac:dyDescent="0.3">
      <c r="A65" s="135">
        <f>IF(Разбивка_по_щитам!F65=0,"",Разбивка_по_щитам!F65)</f>
      </c>
      <c r="B65" s="138">
        <f>IF(A65="","",Разбивка_по_щитам!C65)</f>
      </c>
      <c r="C65" s="138">
        <f t="shared" si="0"/>
      </c>
      <c r="D65" s="266"/>
      <c r="E65" s="266"/>
      <c r="F65" s="267"/>
      <c r="G65" s="145">
        <f t="shared" si="40"/>
      </c>
      <c r="H65" s="145">
        <f t="shared" si="41"/>
      </c>
      <c r="I65" s="266"/>
      <c r="J65" s="267"/>
      <c r="K65" s="267"/>
      <c r="L65" s="266"/>
      <c r="M65" s="147"/>
      <c r="N65" s="267"/>
      <c r="O65" s="147"/>
      <c r="P65" s="268">
        <f>IF(AY65=1,"XT"&amp;COUNTIFS($A$3:A65,A65,$AY$3:AY65,1),"")</f>
      </c>
      <c r="Q65" s="152">
        <f>IF(R65="","",IFERROR(SUBSTITUTE(Разбивка_по_щитам!P65,CHAR(10)," "),""))</f>
      </c>
      <c r="R65" s="153">
        <f>IF(OR(Разбивка_по_щитам!H65="",Разбивка_по_щитам!H65=0),"",Разбивка_по_щитам!H65)</f>
      </c>
      <c r="S65" s="154">
        <f>IF(R65="","",IFERROR(Разбивка_по_щитам!J65&amp;"",""))</f>
      </c>
      <c r="T65" s="155">
        <f>IF(R65="","",IFERROR(--Разбивка_по_щитам!L65,""))</f>
      </c>
      <c r="U65" s="155">
        <f>IF(R65="","",IFERROR(--Разбивка_по_щитам!K65,""))</f>
      </c>
      <c r="V65" s="138">
        <f>IF(R65="","",IFERROR(IF(Разбивка_по_щитам!M65=0,"",Разбивка_по_щитам!M65),""))</f>
      </c>
      <c r="W65" s="156">
        <f t="shared" si="5"/>
      </c>
      <c r="X65" s="157">
        <f t="shared" si="6"/>
        <v/>
      </c>
      <c r="Y65" s="266"/>
      <c r="Z65" s="158">
        <f t="shared" si="7"/>
      </c>
      <c r="AA65" s="160">
        <f t="shared" si="8"/>
      </c>
      <c r="AB65" s="160">
        <f>IF(R65="","",IFERROR(LOOKUP(INDEX(Справочная!$I$4:$I$19,MATCH(VLOOKUP(R65,Исходные_данные,22,FALSE),Справочная!$J$4:$J$19,0)+1),{6,10,16,20,25,32,40,50,63,80,100,125}),""))</f>
      </c>
      <c r="AC65" s="160">
        <f t="shared" si="9"/>
        <v/>
      </c>
      <c r="AD65" s="161">
        <f t="shared" si="10"/>
      </c>
      <c r="AE65" s="161">
        <f>IF(AND(R65="",G65=""),"",_xlfn.TEXTJOIN("; ",TRUE,IF(AND(R65&lt;&gt;"",V65=""),"нет фазы",""),IF(AND(R65&lt;&gt;"",N(T65)=0),"нет мощности",""),IF(AND(P65&lt;&gt;"",COUNTIFS($A$3:$A$1000,A65,$P$3:$P$1000,P65)&gt;1),"дубль клеммы "&amp;P65,""),IF(AND(W65&lt;&gt;"",W65&lt;&gt;"ok"),W65,""),IF(X65&lt;&gt;"",X65,""),IF(AND(ISNUMBER(SEARCH("(5х",Q65)),N(AK65)=1),"5 жил на 1 фазе",""),IF(AND(AL65="R",E65&lt;&gt;"",N(AS65)=0),"розетка без 30 мА",""),IF(IFERROR(_xlfn.NUMBERVALUE(MID(Q65,FIND("-",Q65,FIND("L=",Q65))+1,FIND("%",Q65)-FIND("-",Q65,FIND("L=",Q65))-1),","),0)&gt;4,"потери &gt; 4 %","")))</f>
      </c>
      <c r="AF65" s="129">
        <f>IF(E65&lt;&gt;"",COUNTIFS($A$3:A65,A65,$E$3:E65,"?*"),IF(OR(A65&lt;&gt;A64,Y65="вручную"),"",AF64))</f>
      </c>
      <c r="AG65" s="129">
        <f t="shared" si="11"/>
      </c>
      <c r="AH65" s="129">
        <f t="shared" si="12"/>
        <v/>
      </c>
      <c r="AI65" s="129">
        <f t="shared" si="13"/>
        <v/>
      </c>
      <c r="AJ65" s="129">
        <f t="shared" si="14"/>
      </c>
      <c r="AK65" s="129">
        <f t="shared" si="15"/>
      </c>
      <c r="AL65" s="129">
        <f t="shared" si="16"/>
      </c>
      <c r="AM65" s="129">
        <f t="shared" si="17"/>
      </c>
      <c r="AN65" s="129">
        <f t="shared" si="18"/>
      </c>
      <c r="AO65" s="129">
        <f t="shared" si="19"/>
      </c>
      <c r="AP65" s="129">
        <f t="shared" si="20"/>
      </c>
      <c r="AQ65" s="129">
        <f t="shared" si="21"/>
      </c>
      <c r="AR65" s="129">
        <f t="shared" si="22"/>
      </c>
      <c r="AS65" s="129">
        <f t="shared" si="23"/>
      </c>
      <c r="AT65" s="129">
        <f t="shared" si="24"/>
      </c>
      <c r="AU65" s="129">
        <f t="shared" si="25"/>
      </c>
      <c r="AV65" s="129">
        <f t="shared" si="26"/>
        <v/>
      </c>
      <c r="AW65" s="129">
        <f>IF(AV65="","",AV65&amp;"."&amp;COUNTIFS($A$3:A65,A65,$AV$3:AV65,AV65))</f>
        <v/>
      </c>
      <c r="AX65" s="129">
        <f t="shared" si="27"/>
        <v/>
      </c>
      <c r="AY65" s="129">
        <f>IF(N65="б/к",0,IF(OR(ISNUMBER(SEARCH("L=",Разбивка_по_щитам!P65)),N65="+",N65="="),1,0))</f>
      </c>
      <c r="AZ65" s="129">
        <f t="shared" si="28"/>
      </c>
      <c r="BA65" s="129">
        <f t="shared" si="29"/>
      </c>
      <c r="BB65" s="129">
        <f t="shared" si="30"/>
      </c>
      <c r="BD65" s="129">
        <f t="shared" si="31"/>
      </c>
      <c r="BE65" s="129">
        <f t="shared" si="32"/>
      </c>
      <c r="BF65" s="129">
        <f t="shared" si="33"/>
      </c>
      <c r="BG65" s="129">
        <f t="shared" si="34"/>
        <v/>
      </c>
      <c r="BH65" s="129">
        <f t="shared" si="35"/>
      </c>
      <c r="BI65" s="129">
        <f t="shared" si="36"/>
        <v/>
      </c>
      <c r="BJ65" s="129">
        <f t="shared" si="37"/>
        <v/>
      </c>
      <c r="BK65" s="129">
        <f>IF(R65="","",IF(OR(BY65="",BY65=0),"BOX",IFERROR(IF(VLOOKUP(BY65,УГО_блоки,3,FALSE)&amp;""&lt;&gt;"",VLOOKUP(BY65,УГО_блоки,3,FALSE),VLOOKUP(BY65,УГО_блоки,2,FALSE)),BY65)))</f>
      </c>
      <c r="BL65" s="129">
        <f t="shared" si="39"/>
      </c>
      <c r="BM65" s="129">
        <f>IF(H65="","",IF(COUNTIF($H$3:H65,H65)=1,MAX($BM$2:BM64)+1,""))</f>
      </c>
      <c r="BN65" s="129">
        <f>IF(I65="","",IF(COUNTIF($I$3:I65,I65)+COUNTIF($J$2:J64,I65)+COUNTIF($K$2:K64,I65)=1,MAX($BN$2:BP64)+1,""))</f>
      </c>
      <c r="BO65" s="129">
        <f>IF(J65="","",IF(COUNTIF($I$3:I65,J65)+COUNTIF($J$3:J65,J65)+COUNTIF($K$2:K64,J65)=1,MAX($BN$2:BP64,BN65)+1,""))</f>
      </c>
      <c r="BP65" s="129">
        <f>IF(K65="","",IF(COUNTIF($I$3:I65,K65)+COUNTIF($J$3:J65,K65)+COUNTIF($K$3:K65,K65)=1,MAX($BN$2:BP64,BN65,BO65)+1,""))</f>
      </c>
      <c r="BQ65" s="129">
        <f>IF(AY65=1,IFERROR(MID(Q65,FIND(" (",Q65)+2,FIND(")",Q65,FIND(" (",Q65))-FIND(" (",Q65)-2),"?"),"")</f>
      </c>
      <c r="BR65" s="129">
        <f>IF(BQ65="","",IF(COUNTIF($BQ$3:BQ65,BQ65)=1,MAX($BR$2:BR64)+1,""))</f>
      </c>
      <c r="BS65" s="129">
        <f>IF(AW65="","",COUNTIF($AW$3:AW65,"?*"))</f>
      </c>
      <c r="BT65" s="129">
        <f>IF(OR(AW65="",AI65=""),"",IF(COUNTIFS($AW$3:AW65,"?*",$AI$3:AI65,AI65)=1,MAX($BT$2:BT64)+1,""))</f>
      </c>
      <c r="BU65" s="129">
        <f>IF(AE65="",0,IF(OR(ISNUMBER(SEARCH("дубль",AE65)),ISNUMBER(SEARCH("ПЕРЕГРУЗ",AE65)),ISNUMBER(SEARCH("ЗАЩИЩ",AE65)),ISNUMBER(SEARCH("КАНАЛ",AE65)),ISNUMBER(SEARCH("без 30",AE65))),2,1))</f>
      </c>
      <c r="BV65" s="129">
        <f>IF(R65="","",COUNTIF($R$3:R65,"?*"))</f>
      </c>
      <c r="BW65" s="129">
        <f>IF(AY65&lt;&gt;1,0,IF(MAX(IFERROR(--VLOOKUP(R65,УГО_спр,5,FALSE),0),IFERROR(--VLOOKUP(AL65,УГО_спр,5,FALSE),0),IFERROR(--VLOOKUP(LEFT(AL65,2),УГО_спр,5,FALSE),0))&gt;0,MAX(IFERROR(--VLOOKUP(R65,УГО_спр,5,FALSE),0),IFERROR(--VLOOKUP(AL65,УГО_спр,5,FALSE),0),IFERROR(--VLOOKUP(LEFT(AL65,2),УГО_спр,5,FALSE),0)),IF(IFERROR(--LEFT(SUBSTITUTE(BQ65,"x","х"),FIND("х",SUBSTITUTE(BQ65,"x","х"))-1),3)&gt;3,Каталог!$S$9,1)))</f>
      </c>
      <c r="BX65" s="129">
        <f>IF(AY65&lt;&gt;1,0,MAX(0,IFERROR(--LEFT(SUBSTITUTE(BQ65,"x","х"),FIND("х",SUBSTITUTE(BQ65,"x","х"))-1),3)-3*BW65))</f>
      </c>
      <c r="BY65" s="129">
        <f>IF(R65="","",IFERROR(VLOOKUP(R65,УГО_спр,2,FALSE),IFERROR(VLOOKUP(AL65,УГО_спр,2,FALSE),IFERROR(VLOOKUP(LEFT(AL65,2),УГО_спр,2,FALSE),""))))</f>
      </c>
    </row>
    <row r="66" spans="1:64" x14ac:dyDescent="0.3">
      <c r="A66" s="135">
        <f>IF(Разбивка_по_щитам!F66=0,"",Разбивка_по_щитам!F66)</f>
      </c>
      <c r="B66" s="138">
        <f>IF(A66="","",Разбивка_по_щитам!C66)</f>
      </c>
      <c r="C66" s="138">
        <f t="shared" si="0"/>
      </c>
      <c r="D66" s="266"/>
      <c r="E66" s="266"/>
      <c r="F66" s="267"/>
      <c r="G66" s="145">
        <f t="shared" si="40"/>
      </c>
      <c r="H66" s="145">
        <f t="shared" si="41"/>
        <v/>
      </c>
      <c r="I66" s="266"/>
      <c r="J66" s="267"/>
      <c r="K66" s="267"/>
      <c r="L66" s="266"/>
      <c r="M66" s="147"/>
      <c r="N66" s="267"/>
      <c r="O66" s="147"/>
      <c r="P66" s="268">
        <f>IF(AY66=1,"XT"&amp;COUNTIFS($A$3:A66,A66,$AY$3:AY66,1),"")</f>
      </c>
      <c r="Q66" s="152">
        <f>IF(R66="","",IFERROR(SUBSTITUTE(Разбивка_по_щитам!P66,CHAR(10)," "),""))</f>
      </c>
      <c r="R66" s="153">
        <f>IF(OR(Разбивка_по_щитам!H66="",Разбивка_по_щитам!H66=0),"",Разбивка_по_щитам!H66)</f>
      </c>
      <c r="S66" s="154">
        <f>IF(R66="","",IFERROR(Разбивка_по_щитам!J66&amp;"",""))</f>
      </c>
      <c r="T66" s="155">
        <f>IF(R66="","",IFERROR(--Разбивка_по_щитам!L66,""))</f>
      </c>
      <c r="U66" s="155">
        <f>IF(R66="","",IFERROR(--Разбивка_по_щитам!K66,""))</f>
      </c>
      <c r="V66" s="138">
        <f>IF(R66="","",IFERROR(IF(Разбивка_по_щитам!M66=0,"",Разбивка_по_щитам!M66),""))</f>
      </c>
      <c r="W66" s="156">
        <f t="shared" si="5"/>
        <v/>
      </c>
      <c r="X66" s="157">
        <f t="shared" si="6"/>
        <v/>
      </c>
      <c r="Y66" s="266"/>
      <c r="Z66" s="158">
        <f t="shared" si="7"/>
        <v/>
      </c>
      <c r="AA66" s="160">
        <f t="shared" si="8"/>
        <v/>
      </c>
      <c r="AB66" s="160">
        <f>IF(R66="","",IFERROR(LOOKUP(INDEX(Справочная!$I$4:$I$19,MATCH(VLOOKUP(R66,Исходные_данные,22,FALSE),Справочная!$J$4:$J$19,0)+1),{6,10,16,20,25,32,40,50,63,80,100,125}),""))</f>
      </c>
      <c r="AC66" s="160">
        <f t="shared" si="9"/>
        <v/>
      </c>
      <c r="AD66" s="161">
        <f t="shared" si="10"/>
      </c>
      <c r="AE66" s="161">
        <f>IF(AND(R66="",G66=""),"",_xlfn.TEXTJOIN("; ",TRUE,IF(AND(R66&lt;&gt;"",V66=""),"нет фазы",""),IF(AND(R66&lt;&gt;"",N(T66)=0),"нет мощности",""),IF(AND(P66&lt;&gt;"",COUNTIFS($A$3:$A$1000,A66,$P$3:$P$1000,P66)&gt;1),"дубль клеммы "&amp;P66,""),IF(AND(W66&lt;&gt;"",W66&lt;&gt;"ok"),W66,""),IF(X66&lt;&gt;"",X66,""),IF(AND(ISNUMBER(SEARCH("(5х",Q66)),N(AK66)=1),"5 жил на 1 фазе",""),IF(AND(AL66="R",E66&lt;&gt;"",N(AS66)=0),"розетка без 30 мА",""),IF(IFERROR(_xlfn.NUMBERVALUE(MID(Q66,FIND("-",Q66,FIND("L=",Q66))+1,FIND("%",Q66)-FIND("-",Q66,FIND("L=",Q66))-1),","),0)&gt;4,"потери &gt; 4 %","")))</f>
      </c>
      <c r="AF66" s="129">
        <f>IF(E66&lt;&gt;"",COUNTIFS($A$3:A66,A66,$E$3:E66,"?*"),IF(OR(A66&lt;&gt;A65,Y66="вручную"),"",AF65))</f>
      </c>
      <c r="AG66" s="129">
        <f t="shared" si="11"/>
      </c>
      <c r="AH66" s="129">
        <f t="shared" si="12"/>
        <v/>
      </c>
      <c r="AI66" s="129">
        <f t="shared" si="13"/>
        <v/>
      </c>
      <c r="AJ66" s="129">
        <f t="shared" si="14"/>
        <v/>
      </c>
      <c r="AK66" s="129">
        <f t="shared" si="15"/>
      </c>
      <c r="AL66" s="129">
        <f t="shared" si="16"/>
      </c>
      <c r="AM66" s="129">
        <f t="shared" si="17"/>
      </c>
      <c r="AN66" s="129">
        <f t="shared" si="18"/>
      </c>
      <c r="AO66" s="129">
        <f t="shared" si="19"/>
        <v/>
      </c>
      <c r="AP66" s="129">
        <f t="shared" si="20"/>
        <v/>
      </c>
      <c r="AQ66" s="129">
        <f t="shared" si="21"/>
        <v/>
      </c>
      <c r="AR66" s="129">
        <f t="shared" si="22"/>
        <v/>
      </c>
      <c r="AS66" s="129">
        <f t="shared" si="23"/>
        <v/>
      </c>
      <c r="AT66" s="129">
        <f t="shared" si="24"/>
        <v/>
      </c>
      <c r="AU66" s="129">
        <f t="shared" si="25"/>
        <v/>
      </c>
      <c r="AV66" s="129">
        <f t="shared" si="26"/>
        <v/>
      </c>
      <c r="AW66" s="129">
        <f>IF(AV66="","",AV66&amp;"."&amp;COUNTIFS($A$3:A66,A66,$AV$3:AV66,AV66))</f>
        <v/>
      </c>
      <c r="AX66" s="129">
        <f t="shared" si="27"/>
        <v/>
      </c>
      <c r="AY66" s="129">
        <f>IF(N66="б/к",0,IF(OR(ISNUMBER(SEARCH("L=",Разбивка_по_щитам!P66)),N66="+",N66="="),1,0))</f>
      </c>
      <c r="AZ66" s="129">
        <f t="shared" si="28"/>
      </c>
      <c r="BA66" s="129">
        <f t="shared" si="29"/>
      </c>
      <c r="BB66" s="129">
        <f t="shared" si="30"/>
      </c>
      <c r="BD66" s="129">
        <f t="shared" si="31"/>
      </c>
      <c r="BE66" s="129">
        <f t="shared" si="32"/>
      </c>
      <c r="BF66" s="129">
        <f t="shared" si="33"/>
      </c>
      <c r="BG66" s="129">
        <f t="shared" si="34"/>
        <v/>
      </c>
      <c r="BH66" s="129">
        <f t="shared" si="35"/>
        <v/>
      </c>
      <c r="BI66" s="129">
        <f t="shared" si="36"/>
        <v/>
      </c>
      <c r="BJ66" s="129">
        <f t="shared" si="37"/>
        <v/>
      </c>
      <c r="BK66" s="129">
        <f>IF(R66="","",IF(OR(BY66="",BY66=0),"BOX",IFERROR(IF(VLOOKUP(BY66,УГО_блоки,3,FALSE)&amp;""&lt;&gt;"",VLOOKUP(BY66,УГО_блоки,3,FALSE),VLOOKUP(BY66,УГО_блоки,2,FALSE)),BY66)))</f>
      </c>
      <c r="BL66" s="129">
        <f t="shared" si="39"/>
      </c>
      <c r="BM66" s="129">
        <f>IF(H66="","",IF(COUNTIF($H$3:H66,H66)=1,MAX($BM$2:BM65)+1,""))</f>
      </c>
      <c r="BN66" s="129">
        <f>IF(I66="","",IF(COUNTIF($I$3:I66,I66)+COUNTIF($J$2:J65,I66)+COUNTIF($K$2:K65,I66)=1,MAX($BN$2:BP65)+1,""))</f>
      </c>
      <c r="BO66" s="129">
        <f>IF(J66="","",IF(COUNTIF($I$3:I66,J66)+COUNTIF($J$3:J66,J66)+COUNTIF($K$2:K65,J66)=1,MAX($BN$2:BP65,BN66)+1,""))</f>
      </c>
      <c r="BP66" s="129">
        <f>IF(K66="","",IF(COUNTIF($I$3:I66,K66)+COUNTIF($J$3:J66,K66)+COUNTIF($K$3:K66,K66)=1,MAX($BN$2:BP65,BN66,BO66)+1,""))</f>
      </c>
      <c r="BQ66" s="129">
        <f>IF(AY66=1,IFERROR(MID(Q66,FIND(" (",Q66)+2,FIND(")",Q66,FIND(" (",Q66))-FIND(" (",Q66)-2),"?"),"")</f>
      </c>
      <c r="BR66" s="129">
        <f>IF(BQ66="","",IF(COUNTIF($BQ$3:BQ66,BQ66)=1,MAX($BR$2:BR65)+1,""))</f>
      </c>
      <c r="BS66" s="129">
        <f>IF(AW66="","",COUNTIF($AW$3:AW66,"?*"))</f>
      </c>
      <c r="BT66" s="129">
        <f>IF(OR(AW66="",AI66=""),"",IF(COUNTIFS($AW$3:AW66,"?*",$AI$3:AI66,AI66)=1,MAX($BT$2:BT65)+1,""))</f>
      </c>
      <c r="BU66" s="129">
        <f>IF(AE66="",0,IF(OR(ISNUMBER(SEARCH("дубль",AE66)),ISNUMBER(SEARCH("ПЕРЕГРУЗ",AE66)),ISNUMBER(SEARCH("ЗАЩИЩ",AE66)),ISNUMBER(SEARCH("КАНАЛ",AE66)),ISNUMBER(SEARCH("без 30",AE66))),2,1))</f>
      </c>
      <c r="BV66" s="129">
        <f>IF(R66="","",COUNTIF($R$3:R66,"?*"))</f>
      </c>
      <c r="BW66" s="129">
        <f>IF(AY66&lt;&gt;1,0,IF(MAX(IFERROR(--VLOOKUP(R66,УГО_спр,5,FALSE),0),IFERROR(--VLOOKUP(AL66,УГО_спр,5,FALSE),0),IFERROR(--VLOOKUP(LEFT(AL66,2),УГО_спр,5,FALSE),0))&gt;0,MAX(IFERROR(--VLOOKUP(R66,УГО_спр,5,FALSE),0),IFERROR(--VLOOKUP(AL66,УГО_спр,5,FALSE),0),IFERROR(--VLOOKUP(LEFT(AL66,2),УГО_спр,5,FALSE),0)),IF(IFERROR(--LEFT(SUBSTITUTE(BQ66,"x","х"),FIND("х",SUBSTITUTE(BQ66,"x","х"))-1),3)&gt;3,Каталог!$S$9,1)))</f>
      </c>
      <c r="BX66" s="129">
        <f>IF(AY66&lt;&gt;1,0,MAX(0,IFERROR(--LEFT(SUBSTITUTE(BQ66,"x","х"),FIND("х",SUBSTITUTE(BQ66,"x","х"))-1),3)-3*BW66))</f>
      </c>
      <c r="BY66" s="129">
        <f>IF(R66="","",IFERROR(VLOOKUP(R66,УГО_спр,2,FALSE),IFERROR(VLOOKUP(AL66,УГО_спр,2,FALSE),IFERROR(VLOOKUP(LEFT(AL66,2),УГО_спр,2,FALSE),""))))</f>
      </c>
    </row>
    <row r="67" spans="1:64" x14ac:dyDescent="0.3">
      <c r="A67" s="135">
        <f>IF(Разбивка_по_щитам!F67=0,"",Разбивка_по_щитам!F67)</f>
      </c>
      <c r="B67" s="138">
        <f>IF(A67="","",Разбивка_по_щитам!C67)</f>
      </c>
      <c r="C67" s="138">
        <f t="shared" ref="C67:C130" si="44">IF(B67="","",INT((B67-1)/Столбцов_на_лист)+1)</f>
      </c>
      <c r="D67" s="266"/>
      <c r="E67" s="266"/>
      <c r="F67" s="267"/>
      <c r="G67" s="145">
        <f t="shared" ref="G67:G130" si="45">IF(OR(R67&lt;&gt;"",O67&lt;&gt;"",AY67=1),AG67,"")</f>
      </c>
      <c r="H67" s="145">
        <f t="shared" ref="H67:H130" si="46">IF(E67="","",IF(AND(E67&lt;&gt;"авто",E67&lt;&gt;"+"),E67,AT67&amp;" С"&amp;AQ67&amp;"А"&amp;IF(AS67=1," 30мА","")))</f>
        <v/>
      </c>
      <c r="I67" s="266"/>
      <c r="J67" s="267"/>
      <c r="K67" s="267"/>
      <c r="L67" s="266"/>
      <c r="M67" s="147"/>
      <c r="N67" s="267"/>
      <c r="O67" s="147"/>
      <c r="P67" s="268">
        <f>IF(AY67=1,"XT"&amp;COUNTIFS($A$3:A67,A67,$AY$3:AY67,1),"")</f>
      </c>
      <c r="Q67" s="152">
        <f>IF(R67="","",IFERROR(SUBSTITUTE(Разбивка_по_щитам!P67,CHAR(10)," "),""))</f>
      </c>
      <c r="R67" s="153">
        <f>IF(OR(Разбивка_по_щитам!H67="",Разбивка_по_щитам!H67=0),"",Разбивка_по_щитам!H67)</f>
      </c>
      <c r="S67" s="154">
        <f>IF(R67="","",IFERROR(Разбивка_по_щитам!J67&amp;"",""))</f>
      </c>
      <c r="T67" s="155">
        <f>IF(R67="","",IFERROR(--Разбивка_по_щитам!L67,""))</f>
      </c>
      <c r="U67" s="155">
        <f>IF(R67="","",IFERROR(--Разбивка_по_щитам!K67,""))</f>
      </c>
      <c r="V67" s="138">
        <f>IF(R67="","",IFERROR(IF(Разбивка_по_щитам!M67=0,"",Разбивка_по_щитам!M67),""))</f>
      </c>
      <c r="W67" s="156">
        <f t="shared" ref="W67:W130" si="47">IF(E67="","",IF(NOT(ISNUMBER(AU67)),"",IF(Z67&gt;AU67,"ПЕРЕГРУЗ",IF(AND(BA67=0,AP67&gt;0,AU67&gt;AP67),"КАБЕЛЬ НЕ ЗАЩИЩЁН","ok"))))</f>
        <v/>
      </c>
      <c r="X67" s="157">
        <f t="shared" ref="X67:X130" si="48">IF(OR(O67="",AH67=""),"",IF(O67&gt;IFERROR(VLOOKUP(AI67,Модули_спр,3,FALSE),99),"ЛИШНИЙ КАНАЛ",IF(AND(N67&lt;&gt;"=",COUNTIFS($AH$3:$AH$1000,AH67,$O$3:$O$1000,O67,$N$3:$N$1000,"&lt;&gt;=")&gt;1),"ДУБЛЬ КАНАЛА","")))</f>
        <v/>
      </c>
      <c r="Y67" s="266"/>
      <c r="Z67" s="158">
        <f t="shared" ref="Z67:Z130" si="49">IF(E67="","",SUMIFS($U$3:$U$1000,$AF$3:$AF$1000,AF67,$A$3:$A$1000,A67,$AN$3:$AN$1000,0))</f>
        <v/>
      </c>
      <c r="AA67" s="160">
        <f t="shared" ref="AA67:AA130" si="50">IF(E67="","",IFERROR(VLOOKUP(Z67,Автомат_номиналы,2,TRUE),""))</f>
        <v/>
      </c>
      <c r="AB67" s="160">
        <f>IF(R67="","",IFERROR(LOOKUP(INDEX(Справочная!$I$4:$I$19,MATCH(VLOOKUP(R67,Исходные_данные,22,FALSE),Справочная!$J$4:$J$19,0)+1),{6,10,16,20,25,32,40,50,63,80,100,125}),""))</f>
      </c>
      <c r="AC67" s="160">
        <f t="shared" ref="AC67:AC130" si="51">IF(M67="","",AI67)</f>
        <v/>
      </c>
      <c r="AD67" s="161">
        <f t="shared" ref="AD67:AD130" si="52">IF(AND(R67="",O67="",P67=""),"",_xlfn.TEXTJOIN(" → ",TRUE,AG67,AZ67,IF(AH67&lt;&gt;"",AH67&amp;IF(O67&lt;&gt;""," к."&amp;O67,""),IF(O67&lt;&gt;"","к."&amp;O67,"")),P67,IF(AN67=1,"(в кабель выше)","")))</f>
      </c>
      <c r="AE67" s="161">
        <f>IF(AND(R67="",G67=""),"",_xlfn.TEXTJOIN("; ",TRUE,IF(AND(R67&lt;&gt;"",V67=""),"нет фазы",""),IF(AND(R67&lt;&gt;"",N(T67)=0),"нет мощности",""),IF(AND(P67&lt;&gt;"",COUNTIFS($A$3:$A$1000,A67,$P$3:$P$1000,P67)&gt;1),"дубль клеммы "&amp;P67,""),IF(AND(W67&lt;&gt;"",W67&lt;&gt;"ok"),W67,""),IF(X67&lt;&gt;"",X67,""),IF(AND(ISNUMBER(SEARCH("(5х",Q67)),N(AK67)=1),"5 жил на 1 фазе",""),IF(AND(AL67="R",E67&lt;&gt;"",N(AS67)=0),"розетка без 30 мА",""),IF(IFERROR(_xlfn.NUMBERVALUE(MID(Q67,FIND("-",Q67,FIND("L=",Q67))+1,FIND("%",Q67)-FIND("-",Q67,FIND("L=",Q67))-1),","),0)&gt;4,"потери &gt; 4 %","")))</f>
      </c>
      <c r="AF67" s="129">
        <f>IF(E67&lt;&gt;"",COUNTIFS($A$3:A67,A67,$E$3:E67,"?*"),IF(OR(A67&lt;&gt;A66,Y67="вручную"),"",AF66))</f>
      </c>
      <c r="AG67" s="129">
        <f t="shared" ref="AG67:AG130" si="53">IF(AJ67&lt;&gt;"",AJ67,IF(OR(A67&lt;&gt;A66,Y67="вручную"),"",AG66))</f>
      </c>
      <c r="AH67" s="129">
        <f t="shared" ref="AH67:AH130" si="54">IF(L67="-","",IF(AW67&lt;&gt;"",AW67,IF(A67&lt;&gt;A66,"",AH66)))</f>
        <v/>
      </c>
      <c r="AI67" s="129">
        <f t="shared" ref="AI67:AI130" si="55">IF(AH67="","",IF(AND(L67&lt;&gt;"",L67&lt;&gt;"-"),L67,AI66))</f>
        <v/>
      </c>
      <c r="AJ67" s="129">
        <f t="shared" ref="AJ67:AJ130" si="56">IF(E67="","",IF(AS67=1,"QFD","QF")&amp;AF67)</f>
        <v/>
      </c>
      <c r="AK67" s="129">
        <f t="shared" ref="AK67:AK130" si="57">IF(R67="","",IFERROR(--VLOOKUP(R67,Исходные_данные,8,FALSE),1))</f>
      </c>
      <c r="AL67" s="129">
        <f t="shared" ref="AL67:AL130" si="58">IF(R67="","",IFERROR(LEFT(R67,FIND(".",R67)-1),R67))</f>
      </c>
      <c r="AM67" s="129">
        <f t="shared" ref="AM67:AM130" si="59">IF(AL67="",0,IFERROR(IF(VLOOKUP(R67,УГО_спр,3,FALSE)="да",1,0),IFERROR(IF(VLOOKUP(AL67,УГО_спр,3,FALSE)="да",1,0),IFERROR(IF(VLOOKUP(LEFT(AL67,2),УГО_спр,3,FALSE)="да",1,0),0))))</f>
      </c>
      <c r="AN67" s="129">
        <f t="shared" ref="AN67:AN130" si="60">IF(OR(N67="+",AND(R67&lt;&gt;"",R67=R66)),1,0)</f>
      </c>
      <c r="AO67" s="129">
        <f t="shared" ref="AO67:AO130" si="61">IF(E67="","",MAX(N(AA67),_xlfn.MAXIFS($BB$3:$BB$1000,$AF$3:$AF$1000,AF67,$A$3:$A$1000,A67)))</f>
        <v/>
      </c>
      <c r="AP67" s="129">
        <f t="shared" ref="AP67:AP130" si="62">IF(E67="","",_xlfn.MINIFS($AB$3:$AB$1000,$AF$3:$AF$1000,AF67,$A$3:$A$1000,A67))</f>
        <v/>
      </c>
      <c r="AQ67" s="129">
        <f t="shared" ref="AQ67:AQ130" si="63">IF(E67="","",IF(BA67=1,MAX(AO67,Мин_автомат_БП),AO67))</f>
        <v/>
      </c>
      <c r="AR67" s="129">
        <f t="shared" ref="AR67:AR130" si="64">IF(E67="","",MAX(1,_xlfn.MAXIFS($AK$3:$AK$1000,$AF$3:$AF$1000,AF67,$A$3:$A$1000,A67)))</f>
        <v/>
      </c>
      <c r="AS67" s="129">
        <f t="shared" ref="AS67:AS130" si="65">IF(E67="","",IF(AND(E67&lt;&gt;"авто",E67&lt;&gt;"+"),IF(ISNUMBER(SEARCH("мА",E67)),1,0),IF(F67="да",1,IF(F67="нет",0,IF(_xlfn.MAXIFS($AM$3:$AM$1000,$AF$3:$AF$1000,AF67,$A$3:$A$1000,A67)&gt;0,1,0)))))</f>
        <v/>
      </c>
      <c r="AT67" s="129">
        <f t="shared" ref="AT67:AT130" si="66">IF(E67="","",IF(AR67&gt;=3,IF(AS67=1,"4P","3P"),IF(AS67=1,"2P","1P")))</f>
        <v/>
      </c>
      <c r="AU67" s="129">
        <f t="shared" ref="AU67:AU130" si="67">IF(H67="","",IFERROR(--MID(SUBSTITUTE(SUBSTITUTE(UPPER(H67),"С","C"),"А","A"),FIND("C",SUBSTITUTE(SUBSTITUTE(UPPER(H67),"С","C"),"А","A"))+1,FIND("A",SUBSTITUTE(SUBSTITUTE(UPPER(H67),"С","C"),"А","A")&amp;"A",FIND("C",SUBSTITUTE(SUBSTITUTE(UPPER(H67),"С","C"),"А","A")))-FIND("C",SUBSTITUTE(SUBSTITUTE(UPPER(H67),"С","C"),"А","A"))-1),""))</f>
        <v/>
      </c>
      <c r="AV67" s="129">
        <f t="shared" ref="AV67:AV130" si="68">IF(OR(L67="",L67="-"),"",IFERROR(VLOOKUP(L67,Модули_спр,2,FALSE),"R"))</f>
        <v/>
      </c>
      <c r="AW67" s="129">
        <f>IF(AV67="","",AV67&amp;"."&amp;COUNTIFS($A$3:A67,A67,$AV$3:AV67,AV67))</f>
        <v/>
      </c>
      <c r="AX67" s="129">
        <f t="shared" ref="AX67:AX130" si="69">IF(O67&lt;&gt;"",O67,IF(OR(A67&lt;&gt;A66,L67="-",AW67&lt;&gt;""),"",AX66))</f>
        <v/>
      </c>
      <c r="AY67" s="129">
        <f>IF(N67="б/к",0,IF(OR(ISNUMBER(SEARCH("L=",Разбивка_по_щитам!P67)),N67="+",N67="="),1,0))</f>
      </c>
      <c r="AZ67" s="129">
        <f t="shared" ref="AZ67:AZ130" si="70">IF(AJ67&lt;&gt;"",_xlfn.TEXTJOIN(" → ",TRUE,I67,J67,K67),IF(AG67="","",AZ66))</f>
      </c>
      <c r="BA67" s="129">
        <f t="shared" ref="BA67:BA130" si="71">IF(AZ67="",0,IF(OR(LEFT(AZ67,2)="T ",LEFT(AZ67,2)="Т ",ISNUMBER(SEARCH("→ T ",AZ67)),ISNUMBER(SEARCH("→ Т ",AZ67)),ISNUMBER(SEARCH("БП",AZ67))),1,0))</f>
      </c>
      <c r="BB67" s="129">
        <f t="shared" ref="BB67:BB130" si="72">IF(R67="",0,MAX(IFERROR(--VLOOKUP(R67,Исходные_данные,18,FALSE),0),IFERROR(--VLOOKUP(R67,УГО_спр,4,FALSE),IFERROR(--VLOOKUP(AL67,УГО_спр,4,FALSE),IFERROR(--VLOOKUP(LEFT(AL67,2),УГО_спр,4,FALSE),0)))))</f>
      </c>
      <c r="BD67" s="129">
        <f t="shared" ref="BD67:BD130" si="73">IF(Y67="вручную",0,1)</f>
      </c>
      <c r="BE67" s="129">
        <f t="shared" ref="BE67:BE130" si="74">IF(D67="",0,1)</f>
      </c>
      <c r="BF67" s="129">
        <f t="shared" ref="BF67:BF130" si="75">IF(AJ67="",0,IF(LEFT(AJ67,3)="QFD",1,0))</f>
      </c>
      <c r="BG67" s="129">
        <f t="shared" ref="BG67:BG130" si="76">IF(N67="=","=",IF(N67="+","+",IF(N67="р","R","")))</f>
        <v/>
      </c>
      <c r="BH67" s="129">
        <f t="shared" ref="BH67:BH130" si="77">IF(I67="","",IF(OR(LEFT(I67,1)="T",LEFT(I67,1)="Т"),"T",IF(LEFT(UPPER(I67),2)="БП","PS",IF(OR(LEFT(UPPER(I67),2)="МК",LEFT(UPPER(I67),2)="MK"),"MK",IF(OR(LEFT(UPPER(I67),2)="КМ",LEFT(UPPER(I67),2)="KM"),"KM","X")))))</f>
        <v/>
      </c>
      <c r="BI67" s="129">
        <f t="shared" ref="BI67:BI130" si="78">IF(J67="","",IF(OR(LEFT(J67,1)="T",LEFT(J67,1)="Т"),"T",IF(LEFT(UPPER(J67),2)="БП","PS",IF(OR(LEFT(UPPER(J67),2)="МК",LEFT(UPPER(J67),2)="MK"),"MK",IF(OR(LEFT(UPPER(J67),2)="КМ",LEFT(UPPER(J67),2)="KM"),"KM","X")))))</f>
        <v/>
      </c>
      <c r="BJ67" s="129">
        <f t="shared" ref="BJ67:BJ130" si="79">IF(K67="","",IF(OR(LEFT(K67,1)="T",LEFT(K67,1)="Т"),"T",IF(LEFT(UPPER(K67),2)="БП","PS",IF(OR(LEFT(UPPER(K67),2)="МК",LEFT(UPPER(K67),2)="MK"),"MK",IF(OR(LEFT(UPPER(K67),2)="КМ",LEFT(UPPER(K67),2)="KM"),"KM","X")))))</f>
        <v/>
      </c>
      <c r="BK67" s="129">
        <f>IF(R67="","",IF(OR(BY67="",BY67=0),"BOX",IFERROR(IF(VLOOKUP(BY67,УГО_блоки,3,FALSE)&amp;""&lt;&gt;"",VLOOKUP(BY67,УГО_блоки,3,FALSE),VLOOKUP(BY67,УГО_блоки,2,FALSE)),BY67)))</f>
      </c>
      <c r="BL67" s="129">
        <f t="shared" ref="BL67:BL130" si="81">IF(R67="",0,1)</f>
      </c>
      <c r="BM67" s="129">
        <f>IF(H67="","",IF(COUNTIF($H$3:H67,H67)=1,MAX($BM$2:BM66)+1,""))</f>
      </c>
      <c r="BN67" s="129">
        <f>IF(I67="","",IF(COUNTIF($I$3:I67,I67)+COUNTIF($J$2:J66,I67)+COUNTIF($K$2:K66,I67)=1,MAX($BN$2:BP66)+1,""))</f>
      </c>
      <c r="BO67" s="129">
        <f>IF(J67="","",IF(COUNTIF($I$3:I67,J67)+COUNTIF($J$3:J67,J67)+COUNTIF($K$2:K66,J67)=1,MAX($BN$2:BP66,BN67)+1,""))</f>
      </c>
      <c r="BP67" s="129">
        <f>IF(K67="","",IF(COUNTIF($I$3:I67,K67)+COUNTIF($J$3:J67,K67)+COUNTIF($K$3:K67,K67)=1,MAX($BN$2:BP66,BN67,BO67)+1,""))</f>
      </c>
      <c r="BQ67" s="129">
        <f>IF(AY67=1,IFERROR(MID(Q67,FIND(" (",Q67)+2,FIND(")",Q67,FIND(" (",Q67))-FIND(" (",Q67)-2),"?"),"")</f>
      </c>
      <c r="BR67" s="129">
        <f>IF(BQ67="","",IF(COUNTIF($BQ$3:BQ67,BQ67)=1,MAX($BR$2:BR66)+1,""))</f>
      </c>
      <c r="BS67" s="129">
        <f>IF(AW67="","",COUNTIF($AW$3:AW67,"?*"))</f>
      </c>
      <c r="BT67" s="129">
        <f>IF(OR(AW67="",AI67=""),"",IF(COUNTIFS($AW$3:AW67,"?*",$AI$3:AI67,AI67)=1,MAX($BT$2:BT66)+1,""))</f>
      </c>
      <c r="BU67" s="129">
        <f>IF(AE67="",0,IF(OR(ISNUMBER(SEARCH("дубль",AE67)),ISNUMBER(SEARCH("ПЕРЕГРУЗ",AE67)),ISNUMBER(SEARCH("ЗАЩИЩ",AE67)),ISNUMBER(SEARCH("КАНАЛ",AE67)),ISNUMBER(SEARCH("без 30",AE67))),2,1))</f>
      </c>
      <c r="BV67" s="129">
        <f>IF(R67="","",COUNTIF($R$3:R67,"?*"))</f>
      </c>
      <c r="BW67" s="129">
        <f>IF(AY67&lt;&gt;1,0,IF(MAX(IFERROR(--VLOOKUP(R67,УГО_спр,5,FALSE),0),IFERROR(--VLOOKUP(AL67,УГО_спр,5,FALSE),0),IFERROR(--VLOOKUP(LEFT(AL67,2),УГО_спр,5,FALSE),0))&gt;0,MAX(IFERROR(--VLOOKUP(R67,УГО_спр,5,FALSE),0),IFERROR(--VLOOKUP(AL67,УГО_спр,5,FALSE),0),IFERROR(--VLOOKUP(LEFT(AL67,2),УГО_спр,5,FALSE),0)),IF(IFERROR(--LEFT(SUBSTITUTE(BQ67,"x","х"),FIND("х",SUBSTITUTE(BQ67,"x","х"))-1),3)&gt;3,Каталог!$S$9,1)))</f>
      </c>
      <c r="BX67" s="129">
        <f>IF(AY67&lt;&gt;1,0,MAX(0,IFERROR(--LEFT(SUBSTITUTE(BQ67,"x","х"),FIND("х",SUBSTITUTE(BQ67,"x","х"))-1),3)-3*BW67))</f>
      </c>
      <c r="BY67" s="129">
        <f>IF(R67="","",IFERROR(VLOOKUP(R67,УГО_спр,2,FALSE),IFERROR(VLOOKUP(AL67,УГО_спр,2,FALSE),IFERROR(VLOOKUP(LEFT(AL67,2),УГО_спр,2,FALSE),""))))</f>
      </c>
    </row>
    <row r="68" spans="1:64" x14ac:dyDescent="0.3">
      <c r="A68" s="135">
        <f>IF(Разбивка_по_щитам!F68=0,"",Разбивка_по_щитам!F68)</f>
      </c>
      <c r="B68" s="138">
        <f>IF(A68="","",Разбивка_по_щитам!C68)</f>
      </c>
      <c r="C68" s="138">
        <f t="shared" si="44"/>
      </c>
      <c r="D68" s="266"/>
      <c r="E68" s="266"/>
      <c r="F68" s="267"/>
      <c r="G68" s="145">
        <f t="shared" si="45"/>
      </c>
      <c r="H68" s="145">
        <f t="shared" si="46"/>
        <v/>
      </c>
      <c r="I68" s="266"/>
      <c r="J68" s="267"/>
      <c r="K68" s="267"/>
      <c r="L68" s="266"/>
      <c r="M68" s="147"/>
      <c r="N68" s="267"/>
      <c r="O68" s="147"/>
      <c r="P68" s="268">
        <f>IF(AY68=1,"XT"&amp;COUNTIFS($A$3:A68,A68,$AY$3:AY68,1),"")</f>
      </c>
      <c r="Q68" s="152">
        <f>IF(R68="","",IFERROR(SUBSTITUTE(Разбивка_по_щитам!P68,CHAR(10)," "),""))</f>
      </c>
      <c r="R68" s="153">
        <f>IF(OR(Разбивка_по_щитам!H68="",Разбивка_по_щитам!H68=0),"",Разбивка_по_щитам!H68)</f>
      </c>
      <c r="S68" s="154">
        <f>IF(R68="","",IFERROR(Разбивка_по_щитам!J68&amp;"",""))</f>
      </c>
      <c r="T68" s="155">
        <f>IF(R68="","",IFERROR(--Разбивка_по_щитам!L68,""))</f>
      </c>
      <c r="U68" s="155">
        <f>IF(R68="","",IFERROR(--Разбивка_по_щитам!K68,""))</f>
      </c>
      <c r="V68" s="138">
        <f>IF(R68="","",IFERROR(IF(Разбивка_по_щитам!M68=0,"",Разбивка_по_щитам!M68),""))</f>
      </c>
      <c r="W68" s="156">
        <f t="shared" si="47"/>
        <v/>
      </c>
      <c r="X68" s="157">
        <f t="shared" si="48"/>
        <v/>
      </c>
      <c r="Y68" s="266"/>
      <c r="Z68" s="158">
        <f t="shared" si="49"/>
        <v/>
      </c>
      <c r="AA68" s="160">
        <f t="shared" si="50"/>
        <v/>
      </c>
      <c r="AB68" s="160">
        <f>IF(R68="","",IFERROR(LOOKUP(INDEX(Справочная!$I$4:$I$19,MATCH(VLOOKUP(R68,Исходные_данные,22,FALSE),Справочная!$J$4:$J$19,0)+1),{6,10,16,20,25,32,40,50,63,80,100,125}),""))</f>
      </c>
      <c r="AC68" s="160">
        <f t="shared" si="51"/>
        <v/>
      </c>
      <c r="AD68" s="161">
        <f t="shared" si="52"/>
      </c>
      <c r="AE68" s="161">
        <f>IF(AND(R68="",G68=""),"",_xlfn.TEXTJOIN("; ",TRUE,IF(AND(R68&lt;&gt;"",V68=""),"нет фазы",""),IF(AND(R68&lt;&gt;"",N(T68)=0),"нет мощности",""),IF(AND(P68&lt;&gt;"",COUNTIFS($A$3:$A$1000,A68,$P$3:$P$1000,P68)&gt;1),"дубль клеммы "&amp;P68,""),IF(AND(W68&lt;&gt;"",W68&lt;&gt;"ok"),W68,""),IF(X68&lt;&gt;"",X68,""),IF(AND(ISNUMBER(SEARCH("(5х",Q68)),N(AK68)=1),"5 жил на 1 фазе",""),IF(AND(AL68="R",E68&lt;&gt;"",N(AS68)=0),"розетка без 30 мА",""),IF(IFERROR(_xlfn.NUMBERVALUE(MID(Q68,FIND("-",Q68,FIND("L=",Q68))+1,FIND("%",Q68)-FIND("-",Q68,FIND("L=",Q68))-1),","),0)&gt;4,"потери &gt; 4 %","")))</f>
      </c>
      <c r="AF68" s="129">
        <f>IF(E68&lt;&gt;"",COUNTIFS($A$3:A68,A68,$E$3:E68,"?*"),IF(OR(A68&lt;&gt;A67,Y68="вручную"),"",AF67))</f>
      </c>
      <c r="AG68" s="129">
        <f t="shared" si="53"/>
      </c>
      <c r="AH68" s="129">
        <f t="shared" si="54"/>
        <v/>
      </c>
      <c r="AI68" s="129">
        <f t="shared" si="55"/>
        <v/>
      </c>
      <c r="AJ68" s="129">
        <f t="shared" si="56"/>
        <v/>
      </c>
      <c r="AK68" s="129">
        <f t="shared" si="57"/>
      </c>
      <c r="AL68" s="129">
        <f t="shared" si="58"/>
      </c>
      <c r="AM68" s="129">
        <f t="shared" si="59"/>
      </c>
      <c r="AN68" s="129">
        <f t="shared" si="60"/>
      </c>
      <c r="AO68" s="129">
        <f t="shared" si="61"/>
        <v/>
      </c>
      <c r="AP68" s="129">
        <f t="shared" si="62"/>
        <v/>
      </c>
      <c r="AQ68" s="129">
        <f t="shared" si="63"/>
        <v/>
      </c>
      <c r="AR68" s="129">
        <f t="shared" si="64"/>
        <v/>
      </c>
      <c r="AS68" s="129">
        <f t="shared" si="65"/>
        <v/>
      </c>
      <c r="AT68" s="129">
        <f t="shared" si="66"/>
        <v/>
      </c>
      <c r="AU68" s="129">
        <f t="shared" si="67"/>
        <v/>
      </c>
      <c r="AV68" s="129">
        <f t="shared" si="68"/>
        <v/>
      </c>
      <c r="AW68" s="129">
        <f>IF(AV68="","",AV68&amp;"."&amp;COUNTIFS($A$3:A68,A68,$AV$3:AV68,AV68))</f>
        <v/>
      </c>
      <c r="AX68" s="129">
        <f t="shared" si="69"/>
        <v/>
      </c>
      <c r="AY68" s="129">
        <f>IF(N68="б/к",0,IF(OR(ISNUMBER(SEARCH("L=",Разбивка_по_щитам!P68)),N68="+",N68="="),1,0))</f>
      </c>
      <c r="AZ68" s="129">
        <f t="shared" si="70"/>
      </c>
      <c r="BA68" s="129">
        <f t="shared" si="71"/>
      </c>
      <c r="BB68" s="129">
        <f t="shared" si="72"/>
      </c>
      <c r="BD68" s="129">
        <f t="shared" si="73"/>
      </c>
      <c r="BE68" s="129">
        <f t="shared" si="74"/>
      </c>
      <c r="BF68" s="129">
        <f t="shared" si="75"/>
      </c>
      <c r="BG68" s="129">
        <f t="shared" si="76"/>
        <v/>
      </c>
      <c r="BH68" s="129">
        <f t="shared" si="77"/>
        <v/>
      </c>
      <c r="BI68" s="129">
        <f t="shared" si="78"/>
        <v/>
      </c>
      <c r="BJ68" s="129">
        <f t="shared" si="79"/>
        <v/>
      </c>
      <c r="BK68" s="129">
        <f>IF(R68="","",IF(OR(BY68="",BY68=0),"BOX",IFERROR(IF(VLOOKUP(BY68,УГО_блоки,3,FALSE)&amp;""&lt;&gt;"",VLOOKUP(BY68,УГО_блоки,3,FALSE),VLOOKUP(BY68,УГО_блоки,2,FALSE)),BY68)))</f>
      </c>
      <c r="BL68" s="129">
        <f t="shared" si="81"/>
      </c>
      <c r="BM68" s="129">
        <f>IF(H68="","",IF(COUNTIF($H$3:H68,H68)=1,MAX($BM$2:BM67)+1,""))</f>
      </c>
      <c r="BN68" s="129">
        <f>IF(I68="","",IF(COUNTIF($I$3:I68,I68)+COUNTIF($J$2:J67,I68)+COUNTIF($K$2:K67,I68)=1,MAX($BN$2:BP67)+1,""))</f>
      </c>
      <c r="BO68" s="129">
        <f>IF(J68="","",IF(COUNTIF($I$3:I68,J68)+COUNTIF($J$3:J68,J68)+COUNTIF($K$2:K67,J68)=1,MAX($BN$2:BP67,BN68)+1,""))</f>
      </c>
      <c r="BP68" s="129">
        <f>IF(K68="","",IF(COUNTIF($I$3:I68,K68)+COUNTIF($J$3:J68,K68)+COUNTIF($K$3:K68,K68)=1,MAX($BN$2:BP67,BN68,BO68)+1,""))</f>
      </c>
      <c r="BQ68" s="129">
        <f>IF(AY68=1,IFERROR(MID(Q68,FIND(" (",Q68)+2,FIND(")",Q68,FIND(" (",Q68))-FIND(" (",Q68)-2),"?"),"")</f>
      </c>
      <c r="BR68" s="129">
        <f>IF(BQ68="","",IF(COUNTIF($BQ$3:BQ68,BQ68)=1,MAX($BR$2:BR67)+1,""))</f>
      </c>
      <c r="BS68" s="129">
        <f>IF(AW68="","",COUNTIF($AW$3:AW68,"?*"))</f>
      </c>
      <c r="BT68" s="129">
        <f>IF(OR(AW68="",AI68=""),"",IF(COUNTIFS($AW$3:AW68,"?*",$AI$3:AI68,AI68)=1,MAX($BT$2:BT67)+1,""))</f>
      </c>
      <c r="BU68" s="129">
        <f>IF(AE68="",0,IF(OR(ISNUMBER(SEARCH("дубль",AE68)),ISNUMBER(SEARCH("ПЕРЕГРУЗ",AE68)),ISNUMBER(SEARCH("ЗАЩИЩ",AE68)),ISNUMBER(SEARCH("КАНАЛ",AE68)),ISNUMBER(SEARCH("без 30",AE68))),2,1))</f>
      </c>
      <c r="BV68" s="129">
        <f>IF(R68="","",COUNTIF($R$3:R68,"?*"))</f>
      </c>
      <c r="BW68" s="129">
        <f>IF(AY68&lt;&gt;1,0,IF(MAX(IFERROR(--VLOOKUP(R68,УГО_спр,5,FALSE),0),IFERROR(--VLOOKUP(AL68,УГО_спр,5,FALSE),0),IFERROR(--VLOOKUP(LEFT(AL68,2),УГО_спр,5,FALSE),0))&gt;0,MAX(IFERROR(--VLOOKUP(R68,УГО_спр,5,FALSE),0),IFERROR(--VLOOKUP(AL68,УГО_спр,5,FALSE),0),IFERROR(--VLOOKUP(LEFT(AL68,2),УГО_спр,5,FALSE),0)),IF(IFERROR(--LEFT(SUBSTITUTE(BQ68,"x","х"),FIND("х",SUBSTITUTE(BQ68,"x","х"))-1),3)&gt;3,Каталог!$S$9,1)))</f>
      </c>
      <c r="BX68" s="129">
        <f>IF(AY68&lt;&gt;1,0,MAX(0,IFERROR(--LEFT(SUBSTITUTE(BQ68,"x","х"),FIND("х",SUBSTITUTE(BQ68,"x","х"))-1),3)-3*BW68))</f>
      </c>
      <c r="BY68" s="129">
        <f>IF(R68="","",IFERROR(VLOOKUP(R68,УГО_спр,2,FALSE),IFERROR(VLOOKUP(AL68,УГО_спр,2,FALSE),IFERROR(VLOOKUP(LEFT(AL68,2),УГО_спр,2,FALSE),""))))</f>
      </c>
    </row>
    <row r="69" spans="1:64" x14ac:dyDescent="0.3">
      <c r="A69" s="135">
        <f>IF(Разбивка_по_щитам!F69=0,"",Разбивка_по_щитам!F69)</f>
      </c>
      <c r="B69" s="138">
        <f>IF(A69="","",Разбивка_по_щитам!C69)</f>
      </c>
      <c r="C69" s="138">
        <f t="shared" si="44"/>
      </c>
      <c r="D69" s="266"/>
      <c r="E69" s="266"/>
      <c r="F69" s="267"/>
      <c r="G69" s="145">
        <f t="shared" si="45"/>
      </c>
      <c r="H69" s="145">
        <f t="shared" si="46"/>
      </c>
      <c r="I69" s="266"/>
      <c r="J69" s="267"/>
      <c r="K69" s="267"/>
      <c r="L69" s="266"/>
      <c r="M69" s="147"/>
      <c r="N69" s="267"/>
      <c r="O69" s="147"/>
      <c r="P69" s="268">
        <f>IF(AY69=1,"XT"&amp;COUNTIFS($A$3:A69,A69,$AY$3:AY69,1),"")</f>
      </c>
      <c r="Q69" s="152">
        <f>IF(R69="","",IFERROR(SUBSTITUTE(Разбивка_по_щитам!P69,CHAR(10)," "),""))</f>
      </c>
      <c r="R69" s="153">
        <f>IF(OR(Разбивка_по_щитам!H69="",Разбивка_по_щитам!H69=0),"",Разбивка_по_щитам!H69)</f>
      </c>
      <c r="S69" s="154">
        <f>IF(R69="","",IFERROR(Разбивка_по_щитам!J69&amp;"",""))</f>
      </c>
      <c r="T69" s="155">
        <f>IF(R69="","",IFERROR(--Разбивка_по_щитам!L69,""))</f>
      </c>
      <c r="U69" s="155">
        <f>IF(R69="","",IFERROR(--Разбивка_по_щитам!K69,""))</f>
      </c>
      <c r="V69" s="138">
        <f>IF(R69="","",IFERROR(IF(Разбивка_по_щитам!M69=0,"",Разбивка_по_щитам!M69),""))</f>
      </c>
      <c r="W69" s="156">
        <f t="shared" si="47"/>
      </c>
      <c r="X69" s="157">
        <f t="shared" si="48"/>
        <v/>
      </c>
      <c r="Y69" s="266"/>
      <c r="Z69" s="158">
        <f t="shared" si="49"/>
      </c>
      <c r="AA69" s="160">
        <f t="shared" si="50"/>
      </c>
      <c r="AB69" s="160">
        <f>IF(R69="","",IFERROR(LOOKUP(INDEX(Справочная!$I$4:$I$19,MATCH(VLOOKUP(R69,Исходные_данные,22,FALSE),Справочная!$J$4:$J$19,0)+1),{6,10,16,20,25,32,40,50,63,80,100,125}),""))</f>
      </c>
      <c r="AC69" s="160">
        <f t="shared" si="51"/>
        <v/>
      </c>
      <c r="AD69" s="161">
        <f t="shared" si="52"/>
      </c>
      <c r="AE69" s="161">
        <f>IF(AND(R69="",G69=""),"",_xlfn.TEXTJOIN("; ",TRUE,IF(AND(R69&lt;&gt;"",V69=""),"нет фазы",""),IF(AND(R69&lt;&gt;"",N(T69)=0),"нет мощности",""),IF(AND(P69&lt;&gt;"",COUNTIFS($A$3:$A$1000,A69,$P$3:$P$1000,P69)&gt;1),"дубль клеммы "&amp;P69,""),IF(AND(W69&lt;&gt;"",W69&lt;&gt;"ok"),W69,""),IF(X69&lt;&gt;"",X69,""),IF(AND(ISNUMBER(SEARCH("(5х",Q69)),N(AK69)=1),"5 жил на 1 фазе",""),IF(AND(AL69="R",E69&lt;&gt;"",N(AS69)=0),"розетка без 30 мА",""),IF(IFERROR(_xlfn.NUMBERVALUE(MID(Q69,FIND("-",Q69,FIND("L=",Q69))+1,FIND("%",Q69)-FIND("-",Q69,FIND("L=",Q69))-1),","),0)&gt;4,"потери &gt; 4 %","")))</f>
      </c>
      <c r="AF69" s="129">
        <f>IF(E69&lt;&gt;"",COUNTIFS($A$3:A69,A69,$E$3:E69,"?*"),IF(OR(A69&lt;&gt;A68,Y69="вручную"),"",AF68))</f>
      </c>
      <c r="AG69" s="129">
        <f t="shared" si="53"/>
      </c>
      <c r="AH69" s="129">
        <f t="shared" si="54"/>
        <v/>
      </c>
      <c r="AI69" s="129">
        <f t="shared" si="55"/>
        <v/>
      </c>
      <c r="AJ69" s="129">
        <f t="shared" si="56"/>
      </c>
      <c r="AK69" s="129">
        <f t="shared" si="57"/>
      </c>
      <c r="AL69" s="129">
        <f t="shared" si="58"/>
      </c>
      <c r="AM69" s="129">
        <f t="shared" si="59"/>
      </c>
      <c r="AN69" s="129">
        <f t="shared" si="60"/>
      </c>
      <c r="AO69" s="129">
        <f t="shared" si="61"/>
      </c>
      <c r="AP69" s="129">
        <f t="shared" si="62"/>
      </c>
      <c r="AQ69" s="129">
        <f t="shared" si="63"/>
      </c>
      <c r="AR69" s="129">
        <f t="shared" si="64"/>
      </c>
      <c r="AS69" s="129">
        <f t="shared" si="65"/>
      </c>
      <c r="AT69" s="129">
        <f t="shared" si="66"/>
      </c>
      <c r="AU69" s="129">
        <f t="shared" si="67"/>
      </c>
      <c r="AV69" s="129">
        <f t="shared" si="68"/>
        <v/>
      </c>
      <c r="AW69" s="129">
        <f>IF(AV69="","",AV69&amp;"."&amp;COUNTIFS($A$3:A69,A69,$AV$3:AV69,AV69))</f>
        <v/>
      </c>
      <c r="AX69" s="129">
        <f t="shared" si="69"/>
        <v/>
      </c>
      <c r="AY69" s="129">
        <f>IF(N69="б/к",0,IF(OR(ISNUMBER(SEARCH("L=",Разбивка_по_щитам!P69)),N69="+",N69="="),1,0))</f>
      </c>
      <c r="AZ69" s="129">
        <f t="shared" si="70"/>
      </c>
      <c r="BA69" s="129">
        <f t="shared" si="71"/>
      </c>
      <c r="BB69" s="129">
        <f t="shared" si="72"/>
      </c>
      <c r="BD69" s="129">
        <f t="shared" si="73"/>
      </c>
      <c r="BE69" s="129">
        <f t="shared" si="74"/>
      </c>
      <c r="BF69" s="129">
        <f t="shared" si="75"/>
      </c>
      <c r="BG69" s="129">
        <f t="shared" si="76"/>
        <v/>
      </c>
      <c r="BH69" s="129">
        <f t="shared" si="77"/>
      </c>
      <c r="BI69" s="129">
        <f t="shared" si="78"/>
        <v/>
      </c>
      <c r="BJ69" s="129">
        <f t="shared" si="79"/>
        <v/>
      </c>
      <c r="BK69" s="129">
        <f>IF(R69="","",IF(OR(BY69="",BY69=0),"BOX",IFERROR(IF(VLOOKUP(BY69,УГО_блоки,3,FALSE)&amp;""&lt;&gt;"",VLOOKUP(BY69,УГО_блоки,3,FALSE),VLOOKUP(BY69,УГО_блоки,2,FALSE)),BY69)))</f>
      </c>
      <c r="BL69" s="129">
        <f t="shared" si="81"/>
      </c>
      <c r="BM69" s="129">
        <f>IF(H69="","",IF(COUNTIF($H$3:H69,H69)=1,MAX($BM$2:BM68)+1,""))</f>
      </c>
      <c r="BN69" s="129">
        <f>IF(I69="","",IF(COUNTIF($I$3:I69,I69)+COUNTIF($J$2:J68,I69)+COUNTIF($K$2:K68,I69)=1,MAX($BN$2:BP68)+1,""))</f>
      </c>
      <c r="BO69" s="129">
        <f>IF(J69="","",IF(COUNTIF($I$3:I69,J69)+COUNTIF($J$3:J69,J69)+COUNTIF($K$2:K68,J69)=1,MAX($BN$2:BP68,BN69)+1,""))</f>
      </c>
      <c r="BP69" s="129">
        <f>IF(K69="","",IF(COUNTIF($I$3:I69,K69)+COUNTIF($J$3:J69,K69)+COUNTIF($K$3:K69,K69)=1,MAX($BN$2:BP68,BN69,BO69)+1,""))</f>
      </c>
      <c r="BQ69" s="129">
        <f>IF(AY69=1,IFERROR(MID(Q69,FIND(" (",Q69)+2,FIND(")",Q69,FIND(" (",Q69))-FIND(" (",Q69)-2),"?"),"")</f>
      </c>
      <c r="BR69" s="129">
        <f>IF(BQ69="","",IF(COUNTIF($BQ$3:BQ69,BQ69)=1,MAX($BR$2:BR68)+1,""))</f>
      </c>
      <c r="BS69" s="129">
        <f>IF(AW69="","",COUNTIF($AW$3:AW69,"?*"))</f>
      </c>
      <c r="BT69" s="129">
        <f>IF(OR(AW69="",AI69=""),"",IF(COUNTIFS($AW$3:AW69,"?*",$AI$3:AI69,AI69)=1,MAX($BT$2:BT68)+1,""))</f>
      </c>
      <c r="BU69" s="129">
        <f>IF(AE69="",0,IF(OR(ISNUMBER(SEARCH("дубль",AE69)),ISNUMBER(SEARCH("ПЕРЕГРУЗ",AE69)),ISNUMBER(SEARCH("ЗАЩИЩ",AE69)),ISNUMBER(SEARCH("КАНАЛ",AE69)),ISNUMBER(SEARCH("без 30",AE69))),2,1))</f>
      </c>
      <c r="BV69" s="129">
        <f>IF(R69="","",COUNTIF($R$3:R69,"?*"))</f>
      </c>
      <c r="BW69" s="129">
        <f>IF(AY69&lt;&gt;1,0,IF(MAX(IFERROR(--VLOOKUP(R69,УГО_спр,5,FALSE),0),IFERROR(--VLOOKUP(AL69,УГО_спр,5,FALSE),0),IFERROR(--VLOOKUP(LEFT(AL69,2),УГО_спр,5,FALSE),0))&gt;0,MAX(IFERROR(--VLOOKUP(R69,УГО_спр,5,FALSE),0),IFERROR(--VLOOKUP(AL69,УГО_спр,5,FALSE),0),IFERROR(--VLOOKUP(LEFT(AL69,2),УГО_спр,5,FALSE),0)),IF(IFERROR(--LEFT(SUBSTITUTE(BQ69,"x","х"),FIND("х",SUBSTITUTE(BQ69,"x","х"))-1),3)&gt;3,Каталог!$S$9,1)))</f>
      </c>
      <c r="BX69" s="129">
        <f>IF(AY69&lt;&gt;1,0,MAX(0,IFERROR(--LEFT(SUBSTITUTE(BQ69,"x","х"),FIND("х",SUBSTITUTE(BQ69,"x","х"))-1),3)-3*BW69))</f>
      </c>
      <c r="BY69" s="129">
        <f>IF(R69="","",IFERROR(VLOOKUP(R69,УГО_спр,2,FALSE),IFERROR(VLOOKUP(AL69,УГО_спр,2,FALSE),IFERROR(VLOOKUP(LEFT(AL69,2),УГО_спр,2,FALSE),""))))</f>
      </c>
    </row>
    <row r="70" spans="1:64" x14ac:dyDescent="0.3">
      <c r="A70" s="135">
        <f>IF(Разбивка_по_щитам!F70=0,"",Разбивка_по_щитам!F70)</f>
      </c>
      <c r="B70" s="138">
        <f>IF(A70="","",Разбивка_по_щитам!C70)</f>
      </c>
      <c r="C70" s="138">
        <f t="shared" si="44"/>
      </c>
      <c r="D70" s="266"/>
      <c r="E70" s="266"/>
      <c r="F70" s="267"/>
      <c r="G70" s="145">
        <f t="shared" si="45"/>
        <v/>
      </c>
      <c r="H70" s="145">
        <f t="shared" si="46"/>
        <v/>
      </c>
      <c r="I70" s="266"/>
      <c r="J70" s="267"/>
      <c r="K70" s="267"/>
      <c r="L70" s="266"/>
      <c r="M70" s="147"/>
      <c r="N70" s="267"/>
      <c r="O70" s="147"/>
      <c r="P70" s="268">
        <f>IF(AY70=1,"XT"&amp;COUNTIFS($A$3:A70,A70,$AY$3:AY70,1),"")</f>
        <v/>
      </c>
      <c r="Q70" s="152">
        <f>IF(R70="","",IFERROR(SUBSTITUTE(Разбивка_по_щитам!P70,CHAR(10)," "),""))</f>
        <v/>
      </c>
      <c r="R70" s="153">
        <f>IF(OR(Разбивка_по_щитам!H70="",Разбивка_по_щитам!H70=0),"",Разбивка_по_щитам!H70)</f>
        <v/>
      </c>
      <c r="S70" s="154">
        <f>IF(R70="","",IFERROR(Разбивка_по_щитам!J70&amp;"",""))</f>
        <v/>
      </c>
      <c r="T70" s="155">
        <f>IF(R70="","",IFERROR(--Разбивка_по_щитам!L70,""))</f>
        <v/>
      </c>
      <c r="U70" s="155">
        <f>IF(R70="","",IFERROR(--Разбивка_по_щитам!K70,""))</f>
        <v/>
      </c>
      <c r="V70" s="138">
        <f>IF(R70="","",IFERROR(IF(Разбивка_по_щитам!M70=0,"",Разбивка_по_щитам!M70),""))</f>
        <v/>
      </c>
      <c r="W70" s="156">
        <f t="shared" si="47"/>
        <v/>
      </c>
      <c r="X70" s="157">
        <f t="shared" si="48"/>
        <v/>
      </c>
      <c r="Y70" s="266"/>
      <c r="Z70" s="158">
        <f t="shared" si="49"/>
        <v/>
      </c>
      <c r="AA70" s="160">
        <f t="shared" si="50"/>
        <v/>
      </c>
      <c r="AB70" s="160">
        <f>IF(R70="","",IFERROR(LOOKUP(INDEX(Справочная!$I$4:$I$19,MATCH(VLOOKUP(R70,Исходные_данные,22,FALSE),Справочная!$J$4:$J$19,0)+1),{6,10,16,20,25,32,40,50,63,80,100,125}),""))</f>
        <v/>
      </c>
      <c r="AC70" s="160">
        <f t="shared" si="51"/>
        <v/>
      </c>
      <c r="AD70" s="161">
        <f t="shared" si="52"/>
        <v/>
      </c>
      <c r="AE70" s="161">
        <f>IF(AND(R70="",G70=""),"",_xlfn.TEXTJOIN("; ",TRUE,IF(AND(R70&lt;&gt;"",V70=""),"нет фазы",""),IF(AND(R70&lt;&gt;"",N(T70)=0),"нет мощности",""),IF(AND(P70&lt;&gt;"",COUNTIFS($A$3:$A$1000,A70,$P$3:$P$1000,P70)&gt;1),"дубль клеммы "&amp;P70,""),IF(AND(W70&lt;&gt;"",W70&lt;&gt;"ok"),W70,""),IF(X70&lt;&gt;"",X70,""),IF(AND(ISNUMBER(SEARCH("(5х",Q70)),N(AK70)=1),"5 жил на 1 фазе",""),IF(AND(AL70="R",E70&lt;&gt;"",N(AS70)=0),"розетка без 30 мА",""),IF(IFERROR(_xlfn.NUMBERVALUE(MID(Q70,FIND("-",Q70,FIND("L=",Q70))+1,FIND("%",Q70)-FIND("-",Q70,FIND("L=",Q70))-1),","),0)&gt;4,"потери &gt; 4 %","")))</f>
      </c>
      <c r="AF70" s="129">
        <f>IF(E70&lt;&gt;"",COUNTIFS($A$3:A70,A70,$E$3:E70,"?*"),IF(OR(A70&lt;&gt;A69,Y70="вручную"),"",AF69))</f>
      </c>
      <c r="AG70" s="129">
        <f t="shared" si="53"/>
      </c>
      <c r="AH70" s="129">
        <f t="shared" si="54"/>
        <v/>
      </c>
      <c r="AI70" s="129">
        <f t="shared" si="55"/>
        <v/>
      </c>
      <c r="AJ70" s="129">
        <f t="shared" si="56"/>
        <v/>
      </c>
      <c r="AK70" s="129">
        <f t="shared" si="57"/>
        <v/>
      </c>
      <c r="AL70" s="129">
        <f t="shared" si="58"/>
        <v/>
      </c>
      <c r="AM70" s="129">
        <f t="shared" si="59"/>
      </c>
      <c r="AN70" s="129">
        <f t="shared" si="60"/>
      </c>
      <c r="AO70" s="129">
        <f t="shared" si="61"/>
        <v/>
      </c>
      <c r="AP70" s="129">
        <f t="shared" si="62"/>
        <v/>
      </c>
      <c r="AQ70" s="129">
        <f t="shared" si="63"/>
        <v/>
      </c>
      <c r="AR70" s="129">
        <f t="shared" si="64"/>
        <v/>
      </c>
      <c r="AS70" s="129">
        <f t="shared" si="65"/>
        <v/>
      </c>
      <c r="AT70" s="129">
        <f t="shared" si="66"/>
        <v/>
      </c>
      <c r="AU70" s="129">
        <f t="shared" si="67"/>
        <v/>
      </c>
      <c r="AV70" s="129">
        <f t="shared" si="68"/>
        <v/>
      </c>
      <c r="AW70" s="129">
        <f>IF(AV70="","",AV70&amp;"."&amp;COUNTIFS($A$3:A70,A70,$AV$3:AV70,AV70))</f>
        <v/>
      </c>
      <c r="AX70" s="129">
        <f t="shared" si="69"/>
        <v/>
      </c>
      <c r="AY70" s="129">
        <f>IF(N70="б/к",0,IF(OR(ISNUMBER(SEARCH("L=",Разбивка_по_щитам!P70)),N70="+",N70="="),1,0))</f>
      </c>
      <c r="AZ70" s="129">
        <f t="shared" si="70"/>
      </c>
      <c r="BA70" s="129">
        <f t="shared" si="71"/>
      </c>
      <c r="BB70" s="129">
        <f t="shared" si="72"/>
      </c>
      <c r="BD70" s="129">
        <f t="shared" si="73"/>
      </c>
      <c r="BE70" s="129">
        <f t="shared" si="74"/>
      </c>
      <c r="BF70" s="129">
        <f t="shared" si="75"/>
      </c>
      <c r="BG70" s="129">
        <f t="shared" si="76"/>
        <v/>
      </c>
      <c r="BH70" s="129">
        <f t="shared" si="77"/>
        <v/>
      </c>
      <c r="BI70" s="129">
        <f t="shared" si="78"/>
        <v/>
      </c>
      <c r="BJ70" s="129">
        <f t="shared" si="79"/>
        <v/>
      </c>
      <c r="BK70" s="129">
        <f>IF(R70="","",IF(OR(BY70="",BY70=0),"BOX",IFERROR(IF(VLOOKUP(BY70,УГО_блоки,3,FALSE)&amp;""&lt;&gt;"",VLOOKUP(BY70,УГО_блоки,3,FALSE),VLOOKUP(BY70,УГО_блоки,2,FALSE)),BY70)))</f>
      </c>
      <c r="BL70" s="129">
        <f t="shared" si="81"/>
      </c>
      <c r="BM70" s="129">
        <f>IF(H70="","",IF(COUNTIF($H$3:H70,H70)=1,MAX($BM$2:BM69)+1,""))</f>
      </c>
      <c r="BN70" s="129">
        <f>IF(I70="","",IF(COUNTIF($I$3:I70,I70)+COUNTIF($J$2:J69,I70)+COUNTIF($K$2:K69,I70)=1,MAX($BN$2:BP69)+1,""))</f>
      </c>
      <c r="BO70" s="129">
        <f>IF(J70="","",IF(COUNTIF($I$3:I70,J70)+COUNTIF($J$3:J70,J70)+COUNTIF($K$2:K69,J70)=1,MAX($BN$2:BP69,BN70)+1,""))</f>
      </c>
      <c r="BP70" s="129">
        <f>IF(K70="","",IF(COUNTIF($I$3:I70,K70)+COUNTIF($J$3:J70,K70)+COUNTIF($K$3:K70,K70)=1,MAX($BN$2:BP69,BN70,BO70)+1,""))</f>
      </c>
      <c r="BQ70" s="129">
        <f>IF(AY70=1,IFERROR(MID(Q70,FIND(" (",Q70)+2,FIND(")",Q70,FIND(" (",Q70))-FIND(" (",Q70)-2),"?"),"")</f>
      </c>
      <c r="BR70" s="129">
        <f>IF(BQ70="","",IF(COUNTIF($BQ$3:BQ70,BQ70)=1,MAX($BR$2:BR69)+1,""))</f>
      </c>
      <c r="BS70" s="129">
        <f>IF(AW70="","",COUNTIF($AW$3:AW70,"?*"))</f>
      </c>
      <c r="BT70" s="129">
        <f>IF(OR(AW70="",AI70=""),"",IF(COUNTIFS($AW$3:AW70,"?*",$AI$3:AI70,AI70)=1,MAX($BT$2:BT69)+1,""))</f>
      </c>
      <c r="BU70" s="129">
        <f>IF(AE70="",0,IF(OR(ISNUMBER(SEARCH("дубль",AE70)),ISNUMBER(SEARCH("ПЕРЕГРУЗ",AE70)),ISNUMBER(SEARCH("ЗАЩИЩ",AE70)),ISNUMBER(SEARCH("КАНАЛ",AE70)),ISNUMBER(SEARCH("без 30",AE70))),2,1))</f>
      </c>
      <c r="BV70" s="129">
        <f>IF(R70="","",COUNTIF($R$3:R70,"?*"))</f>
      </c>
      <c r="BW70" s="129">
        <f>IF(AY70&lt;&gt;1,0,IF(MAX(IFERROR(--VLOOKUP(R70,УГО_спр,5,FALSE),0),IFERROR(--VLOOKUP(AL70,УГО_спр,5,FALSE),0),IFERROR(--VLOOKUP(LEFT(AL70,2),УГО_спр,5,FALSE),0))&gt;0,MAX(IFERROR(--VLOOKUP(R70,УГО_спр,5,FALSE),0),IFERROR(--VLOOKUP(AL70,УГО_спр,5,FALSE),0),IFERROR(--VLOOKUP(LEFT(AL70,2),УГО_спр,5,FALSE),0)),IF(IFERROR(--LEFT(SUBSTITUTE(BQ70,"x","х"),FIND("х",SUBSTITUTE(BQ70,"x","х"))-1),3)&gt;3,Каталог!$S$9,1)))</f>
      </c>
      <c r="BX70" s="129">
        <f>IF(AY70&lt;&gt;1,0,MAX(0,IFERROR(--LEFT(SUBSTITUTE(BQ70,"x","х"),FIND("х",SUBSTITUTE(BQ70,"x","х"))-1),3)-3*BW70))</f>
      </c>
      <c r="BY70" s="129">
        <f>IF(R70="","",IFERROR(VLOOKUP(R70,УГО_спр,2,FALSE),IFERROR(VLOOKUP(AL70,УГО_спр,2,FALSE),IFERROR(VLOOKUP(LEFT(AL70,2),УГО_спр,2,FALSE),""))))</f>
      </c>
    </row>
    <row r="71" spans="1:64" x14ac:dyDescent="0.3">
      <c r="A71" s="135">
        <f>IF(Разбивка_по_щитам!F71=0,"",Разбивка_по_щитам!F71)</f>
      </c>
      <c r="B71" s="138">
        <f>IF(A71="","",Разбивка_по_щитам!C71)</f>
      </c>
      <c r="C71" s="138">
        <f t="shared" si="44"/>
      </c>
      <c r="D71" s="266"/>
      <c r="E71" s="266"/>
      <c r="F71" s="267"/>
      <c r="G71" s="145">
        <f t="shared" si="45"/>
        <v/>
      </c>
      <c r="H71" s="145">
        <f t="shared" si="46"/>
        <v/>
      </c>
      <c r="I71" s="266"/>
      <c r="J71" s="267"/>
      <c r="K71" s="267"/>
      <c r="L71" s="266"/>
      <c r="M71" s="147"/>
      <c r="N71" s="267"/>
      <c r="O71" s="147"/>
      <c r="P71" s="268">
        <f>IF(AY71=1,"XT"&amp;COUNTIFS($A$3:A71,A71,$AY$3:AY71,1),"")</f>
        <v/>
      </c>
      <c r="Q71" s="152">
        <f>IF(R71="","",IFERROR(SUBSTITUTE(Разбивка_по_щитам!P71,CHAR(10)," "),""))</f>
        <v/>
      </c>
      <c r="R71" s="153">
        <f>IF(OR(Разбивка_по_щитам!H71="",Разбивка_по_щитам!H71=0),"",Разбивка_по_щитам!H71)</f>
        <v/>
      </c>
      <c r="S71" s="154">
        <f>IF(R71="","",IFERROR(Разбивка_по_щитам!J71&amp;"",""))</f>
        <v/>
      </c>
      <c r="T71" s="155">
        <f>IF(R71="","",IFERROR(--Разбивка_по_щитам!L71,""))</f>
        <v/>
      </c>
      <c r="U71" s="155">
        <f>IF(R71="","",IFERROR(--Разбивка_по_щитам!K71,""))</f>
        <v/>
      </c>
      <c r="V71" s="138">
        <f>IF(R71="","",IFERROR(IF(Разбивка_по_щитам!M71=0,"",Разбивка_по_щитам!M71),""))</f>
        <v/>
      </c>
      <c r="W71" s="156">
        <f t="shared" si="47"/>
        <v/>
      </c>
      <c r="X71" s="157">
        <f t="shared" si="48"/>
        <v/>
      </c>
      <c r="Y71" s="266"/>
      <c r="Z71" s="158">
        <f t="shared" si="49"/>
        <v/>
      </c>
      <c r="AA71" s="160">
        <f t="shared" si="50"/>
        <v/>
      </c>
      <c r="AB71" s="160">
        <f>IF(R71="","",IFERROR(LOOKUP(INDEX(Справочная!$I$4:$I$19,MATCH(VLOOKUP(R71,Исходные_данные,22,FALSE),Справочная!$J$4:$J$19,0)+1),{6,10,16,20,25,32,40,50,63,80,100,125}),""))</f>
        <v/>
      </c>
      <c r="AC71" s="160">
        <f t="shared" si="51"/>
        <v/>
      </c>
      <c r="AD71" s="161">
        <f t="shared" si="52"/>
        <v/>
      </c>
      <c r="AE71" s="161">
        <f>IF(AND(R71="",G71=""),"",_xlfn.TEXTJOIN("; ",TRUE,IF(AND(R71&lt;&gt;"",V71=""),"нет фазы",""),IF(AND(R71&lt;&gt;"",N(T71)=0),"нет мощности",""),IF(AND(P71&lt;&gt;"",COUNTIFS($A$3:$A$1000,A71,$P$3:$P$1000,P71)&gt;1),"дубль клеммы "&amp;P71,""),IF(AND(W71&lt;&gt;"",W71&lt;&gt;"ok"),W71,""),IF(X71&lt;&gt;"",X71,""),IF(AND(ISNUMBER(SEARCH("(5х",Q71)),N(AK71)=1),"5 жил на 1 фазе",""),IF(AND(AL71="R",E71&lt;&gt;"",N(AS71)=0),"розетка без 30 мА",""),IF(IFERROR(_xlfn.NUMBERVALUE(MID(Q71,FIND("-",Q71,FIND("L=",Q71))+1,FIND("%",Q71)-FIND("-",Q71,FIND("L=",Q71))-1),","),0)&gt;4,"потери &gt; 4 %","")))</f>
      </c>
      <c r="AF71" s="129">
        <f>IF(E71&lt;&gt;"",COUNTIFS($A$3:A71,A71,$E$3:E71,"?*"),IF(OR(A71&lt;&gt;A70,Y71="вручную"),"",AF70))</f>
      </c>
      <c r="AG71" s="129">
        <f t="shared" si="53"/>
      </c>
      <c r="AH71" s="129">
        <f t="shared" si="54"/>
        <v/>
      </c>
      <c r="AI71" s="129">
        <f t="shared" si="55"/>
        <v/>
      </c>
      <c r="AJ71" s="129">
        <f t="shared" si="56"/>
        <v/>
      </c>
      <c r="AK71" s="129">
        <f t="shared" si="57"/>
        <v/>
      </c>
      <c r="AL71" s="129">
        <f t="shared" si="58"/>
        <v/>
      </c>
      <c r="AM71" s="129">
        <f t="shared" si="59"/>
      </c>
      <c r="AN71" s="129">
        <f t="shared" si="60"/>
      </c>
      <c r="AO71" s="129">
        <f t="shared" si="61"/>
        <v/>
      </c>
      <c r="AP71" s="129">
        <f t="shared" si="62"/>
        <v/>
      </c>
      <c r="AQ71" s="129">
        <f t="shared" si="63"/>
        <v/>
      </c>
      <c r="AR71" s="129">
        <f t="shared" si="64"/>
        <v/>
      </c>
      <c r="AS71" s="129">
        <f t="shared" si="65"/>
        <v/>
      </c>
      <c r="AT71" s="129">
        <f t="shared" si="66"/>
        <v/>
      </c>
      <c r="AU71" s="129">
        <f t="shared" si="67"/>
        <v/>
      </c>
      <c r="AV71" s="129">
        <f t="shared" si="68"/>
        <v/>
      </c>
      <c r="AW71" s="129">
        <f>IF(AV71="","",AV71&amp;"."&amp;COUNTIFS($A$3:A71,A71,$AV$3:AV71,AV71))</f>
        <v/>
      </c>
      <c r="AX71" s="129">
        <f t="shared" si="69"/>
        <v/>
      </c>
      <c r="AY71" s="129">
        <f>IF(N71="б/к",0,IF(OR(ISNUMBER(SEARCH("L=",Разбивка_по_щитам!P71)),N71="+",N71="="),1,0))</f>
      </c>
      <c r="AZ71" s="129">
        <f t="shared" si="70"/>
      </c>
      <c r="BA71" s="129">
        <f t="shared" si="71"/>
      </c>
      <c r="BB71" s="129">
        <f t="shared" si="72"/>
      </c>
      <c r="BD71" s="129">
        <f t="shared" si="73"/>
      </c>
      <c r="BE71" s="129">
        <f t="shared" si="74"/>
      </c>
      <c r="BF71" s="129">
        <f t="shared" si="75"/>
      </c>
      <c r="BG71" s="129">
        <f t="shared" si="76"/>
        <v/>
      </c>
      <c r="BH71" s="129">
        <f t="shared" si="77"/>
        <v/>
      </c>
      <c r="BI71" s="129">
        <f t="shared" si="78"/>
        <v/>
      </c>
      <c r="BJ71" s="129">
        <f t="shared" si="79"/>
        <v/>
      </c>
      <c r="BK71" s="129">
        <f>IF(R71="","",IF(OR(BY71="",BY71=0),"BOX",IFERROR(IF(VLOOKUP(BY71,УГО_блоки,3,FALSE)&amp;""&lt;&gt;"",VLOOKUP(BY71,УГО_блоки,3,FALSE),VLOOKUP(BY71,УГО_блоки,2,FALSE)),BY71)))</f>
      </c>
      <c r="BL71" s="129">
        <f t="shared" si="81"/>
      </c>
      <c r="BM71" s="129">
        <f>IF(H71="","",IF(COUNTIF($H$3:H71,H71)=1,MAX($BM$2:BM70)+1,""))</f>
      </c>
      <c r="BN71" s="129">
        <f>IF(I71="","",IF(COUNTIF($I$3:I71,I71)+COUNTIF($J$2:J70,I71)+COUNTIF($K$2:K70,I71)=1,MAX($BN$2:BP70)+1,""))</f>
      </c>
      <c r="BO71" s="129">
        <f>IF(J71="","",IF(COUNTIF($I$3:I71,J71)+COUNTIF($J$3:J71,J71)+COUNTIF($K$2:K70,J71)=1,MAX($BN$2:BP70,BN71)+1,""))</f>
      </c>
      <c r="BP71" s="129">
        <f>IF(K71="","",IF(COUNTIF($I$3:I71,K71)+COUNTIF($J$3:J71,K71)+COUNTIF($K$3:K71,K71)=1,MAX($BN$2:BP70,BN71,BO71)+1,""))</f>
      </c>
      <c r="BQ71" s="129">
        <f>IF(AY71=1,IFERROR(MID(Q71,FIND(" (",Q71)+2,FIND(")",Q71,FIND(" (",Q71))-FIND(" (",Q71)-2),"?"),"")</f>
      </c>
      <c r="BR71" s="129">
        <f>IF(BQ71="","",IF(COUNTIF($BQ$3:BQ71,BQ71)=1,MAX($BR$2:BR70)+1,""))</f>
      </c>
      <c r="BS71" s="129">
        <f>IF(AW71="","",COUNTIF($AW$3:AW71,"?*"))</f>
      </c>
      <c r="BT71" s="129">
        <f>IF(OR(AW71="",AI71=""),"",IF(COUNTIFS($AW$3:AW71,"?*",$AI$3:AI71,AI71)=1,MAX($BT$2:BT70)+1,""))</f>
      </c>
      <c r="BU71" s="129">
        <f>IF(AE71="",0,IF(OR(ISNUMBER(SEARCH("дубль",AE71)),ISNUMBER(SEARCH("ПЕРЕГРУЗ",AE71)),ISNUMBER(SEARCH("ЗАЩИЩ",AE71)),ISNUMBER(SEARCH("КАНАЛ",AE71)),ISNUMBER(SEARCH("без 30",AE71))),2,1))</f>
      </c>
      <c r="BV71" s="129">
        <f>IF(R71="","",COUNTIF($R$3:R71,"?*"))</f>
      </c>
      <c r="BW71" s="129">
        <f>IF(AY71&lt;&gt;1,0,IF(MAX(IFERROR(--VLOOKUP(R71,УГО_спр,5,FALSE),0),IFERROR(--VLOOKUP(AL71,УГО_спр,5,FALSE),0),IFERROR(--VLOOKUP(LEFT(AL71,2),УГО_спр,5,FALSE),0))&gt;0,MAX(IFERROR(--VLOOKUP(R71,УГО_спр,5,FALSE),0),IFERROR(--VLOOKUP(AL71,УГО_спр,5,FALSE),0),IFERROR(--VLOOKUP(LEFT(AL71,2),УГО_спр,5,FALSE),0)),IF(IFERROR(--LEFT(SUBSTITUTE(BQ71,"x","х"),FIND("х",SUBSTITUTE(BQ71,"x","х"))-1),3)&gt;3,Каталог!$S$9,1)))</f>
      </c>
      <c r="BX71" s="129">
        <f>IF(AY71&lt;&gt;1,0,MAX(0,IFERROR(--LEFT(SUBSTITUTE(BQ71,"x","х"),FIND("х",SUBSTITUTE(BQ71,"x","х"))-1),3)-3*BW71))</f>
      </c>
      <c r="BY71" s="129">
        <f>IF(R71="","",IFERROR(VLOOKUP(R71,УГО_спр,2,FALSE),IFERROR(VLOOKUP(AL71,УГО_спр,2,FALSE),IFERROR(VLOOKUP(LEFT(AL71,2),УГО_спр,2,FALSE),""))))</f>
      </c>
    </row>
    <row r="72" spans="1:64" x14ac:dyDescent="0.3">
      <c r="A72" s="135">
        <f>IF(Разбивка_по_щитам!F72=0,"",Разбивка_по_щитам!F72)</f>
      </c>
      <c r="B72" s="138">
        <f>IF(A72="","",Разбивка_по_щитам!C72)</f>
      </c>
      <c r="C72" s="138">
        <f t="shared" si="44"/>
      </c>
      <c r="D72" s="266"/>
      <c r="E72" s="266"/>
      <c r="F72" s="267"/>
      <c r="G72" s="145">
        <f t="shared" si="45"/>
      </c>
      <c r="H72" s="145">
        <f t="shared" si="46"/>
        <v/>
      </c>
      <c r="I72" s="266"/>
      <c r="J72" s="267"/>
      <c r="K72" s="267"/>
      <c r="L72" s="266"/>
      <c r="M72" s="147"/>
      <c r="N72" s="267"/>
      <c r="O72" s="147"/>
      <c r="P72" s="268">
        <f>IF(AY72=1,"XT"&amp;COUNTIFS($A$3:A72,A72,$AY$3:AY72,1),"")</f>
      </c>
      <c r="Q72" s="152">
        <f>IF(R72="","",IFERROR(SUBSTITUTE(Разбивка_по_щитам!P72,CHAR(10)," "),""))</f>
      </c>
      <c r="R72" s="153">
        <f>IF(OR(Разбивка_по_щитам!H72="",Разбивка_по_щитам!H72=0),"",Разбивка_по_щитам!H72)</f>
      </c>
      <c r="S72" s="154">
        <f>IF(R72="","",IFERROR(Разбивка_по_щитам!J72&amp;"",""))</f>
      </c>
      <c r="T72" s="155">
        <f>IF(R72="","",IFERROR(--Разбивка_по_щитам!L72,""))</f>
      </c>
      <c r="U72" s="155">
        <f>IF(R72="","",IFERROR(--Разбивка_по_щитам!K72,""))</f>
      </c>
      <c r="V72" s="138">
        <f>IF(R72="","",IFERROR(IF(Разбивка_по_щитам!M72=0,"",Разбивка_по_щитам!M72),""))</f>
      </c>
      <c r="W72" s="156">
        <f t="shared" si="47"/>
        <v/>
      </c>
      <c r="X72" s="157">
        <f t="shared" si="48"/>
        <v/>
      </c>
      <c r="Y72" s="266"/>
      <c r="Z72" s="158">
        <f t="shared" si="49"/>
        <v/>
      </c>
      <c r="AA72" s="160">
        <f t="shared" si="50"/>
        <v/>
      </c>
      <c r="AB72" s="160">
        <f>IF(R72="","",IFERROR(LOOKUP(INDEX(Справочная!$I$4:$I$19,MATCH(VLOOKUP(R72,Исходные_данные,22,FALSE),Справочная!$J$4:$J$19,0)+1),{6,10,16,20,25,32,40,50,63,80,100,125}),""))</f>
      </c>
      <c r="AC72" s="160">
        <f t="shared" si="51"/>
        <v/>
      </c>
      <c r="AD72" s="161">
        <f t="shared" si="52"/>
      </c>
      <c r="AE72" s="161">
        <f>IF(AND(R72="",G72=""),"",_xlfn.TEXTJOIN("; ",TRUE,IF(AND(R72&lt;&gt;"",V72=""),"нет фазы",""),IF(AND(R72&lt;&gt;"",N(T72)=0),"нет мощности",""),IF(AND(P72&lt;&gt;"",COUNTIFS($A$3:$A$1000,A72,$P$3:$P$1000,P72)&gt;1),"дубль клеммы "&amp;P72,""),IF(AND(W72&lt;&gt;"",W72&lt;&gt;"ok"),W72,""),IF(X72&lt;&gt;"",X72,""),IF(AND(ISNUMBER(SEARCH("(5х",Q72)),N(AK72)=1),"5 жил на 1 фазе",""),IF(AND(AL72="R",E72&lt;&gt;"",N(AS72)=0),"розетка без 30 мА",""),IF(IFERROR(_xlfn.NUMBERVALUE(MID(Q72,FIND("-",Q72,FIND("L=",Q72))+1,FIND("%",Q72)-FIND("-",Q72,FIND("L=",Q72))-1),","),0)&gt;4,"потери &gt; 4 %","")))</f>
      </c>
      <c r="AF72" s="129">
        <f>IF(E72&lt;&gt;"",COUNTIFS($A$3:A72,A72,$E$3:E72,"?*"),IF(OR(A72&lt;&gt;A71,Y72="вручную"),"",AF71))</f>
      </c>
      <c r="AG72" s="129">
        <f t="shared" si="53"/>
      </c>
      <c r="AH72" s="129">
        <f t="shared" si="54"/>
        <v/>
      </c>
      <c r="AI72" s="129">
        <f t="shared" si="55"/>
        <v/>
      </c>
      <c r="AJ72" s="129">
        <f t="shared" si="56"/>
        <v/>
      </c>
      <c r="AK72" s="129">
        <f t="shared" si="57"/>
      </c>
      <c r="AL72" s="129">
        <f t="shared" si="58"/>
      </c>
      <c r="AM72" s="129">
        <f t="shared" si="59"/>
      </c>
      <c r="AN72" s="129">
        <f t="shared" si="60"/>
      </c>
      <c r="AO72" s="129">
        <f t="shared" si="61"/>
        <v/>
      </c>
      <c r="AP72" s="129">
        <f t="shared" si="62"/>
        <v/>
      </c>
      <c r="AQ72" s="129">
        <f t="shared" si="63"/>
        <v/>
      </c>
      <c r="AR72" s="129">
        <f t="shared" si="64"/>
        <v/>
      </c>
      <c r="AS72" s="129">
        <f t="shared" si="65"/>
        <v/>
      </c>
      <c r="AT72" s="129">
        <f t="shared" si="66"/>
        <v/>
      </c>
      <c r="AU72" s="129">
        <f t="shared" si="67"/>
        <v/>
      </c>
      <c r="AV72" s="129">
        <f t="shared" si="68"/>
        <v/>
      </c>
      <c r="AW72" s="129">
        <f>IF(AV72="","",AV72&amp;"."&amp;COUNTIFS($A$3:A72,A72,$AV$3:AV72,AV72))</f>
        <v/>
      </c>
      <c r="AX72" s="129">
        <f t="shared" si="69"/>
        <v/>
      </c>
      <c r="AY72" s="129">
        <f>IF(N72="б/к",0,IF(OR(ISNUMBER(SEARCH("L=",Разбивка_по_щитам!P72)),N72="+",N72="="),1,0))</f>
      </c>
      <c r="AZ72" s="129">
        <f t="shared" si="70"/>
      </c>
      <c r="BA72" s="129">
        <f t="shared" si="71"/>
      </c>
      <c r="BB72" s="129">
        <f t="shared" si="72"/>
      </c>
      <c r="BD72" s="129">
        <f t="shared" si="73"/>
      </c>
      <c r="BE72" s="129">
        <f t="shared" si="74"/>
      </c>
      <c r="BF72" s="129">
        <f t="shared" si="75"/>
      </c>
      <c r="BG72" s="129">
        <f t="shared" si="76"/>
        <v/>
      </c>
      <c r="BH72" s="129">
        <f t="shared" si="77"/>
        <v/>
      </c>
      <c r="BI72" s="129">
        <f t="shared" si="78"/>
        <v/>
      </c>
      <c r="BJ72" s="129">
        <f t="shared" si="79"/>
        <v/>
      </c>
      <c r="BK72" s="129">
        <f>IF(R72="","",IF(OR(BY72="",BY72=0),"BOX",IFERROR(IF(VLOOKUP(BY72,УГО_блоки,3,FALSE)&amp;""&lt;&gt;"",VLOOKUP(BY72,УГО_блоки,3,FALSE),VLOOKUP(BY72,УГО_блоки,2,FALSE)),BY72)))</f>
      </c>
      <c r="BL72" s="129">
        <f t="shared" si="81"/>
      </c>
      <c r="BM72" s="129">
        <f>IF(H72="","",IF(COUNTIF($H$3:H72,H72)=1,MAX($BM$2:BM71)+1,""))</f>
      </c>
      <c r="BN72" s="129">
        <f>IF(I72="","",IF(COUNTIF($I$3:I72,I72)+COUNTIF($J$2:J71,I72)+COUNTIF($K$2:K71,I72)=1,MAX($BN$2:BP71)+1,""))</f>
      </c>
      <c r="BO72" s="129">
        <f>IF(J72="","",IF(COUNTIF($I$3:I72,J72)+COUNTIF($J$3:J72,J72)+COUNTIF($K$2:K71,J72)=1,MAX($BN$2:BP71,BN72)+1,""))</f>
      </c>
      <c r="BP72" s="129">
        <f>IF(K72="","",IF(COUNTIF($I$3:I72,K72)+COUNTIF($J$3:J72,K72)+COUNTIF($K$3:K72,K72)=1,MAX($BN$2:BP71,BN72,BO72)+1,""))</f>
      </c>
      <c r="BQ72" s="129">
        <f>IF(AY72=1,IFERROR(MID(Q72,FIND(" (",Q72)+2,FIND(")",Q72,FIND(" (",Q72))-FIND(" (",Q72)-2),"?"),"")</f>
      </c>
      <c r="BR72" s="129">
        <f>IF(BQ72="","",IF(COUNTIF($BQ$3:BQ72,BQ72)=1,MAX($BR$2:BR71)+1,""))</f>
      </c>
      <c r="BS72" s="129">
        <f>IF(AW72="","",COUNTIF($AW$3:AW72,"?*"))</f>
      </c>
      <c r="BT72" s="129">
        <f>IF(OR(AW72="",AI72=""),"",IF(COUNTIFS($AW$3:AW72,"?*",$AI$3:AI72,AI72)=1,MAX($BT$2:BT71)+1,""))</f>
      </c>
      <c r="BU72" s="129">
        <f>IF(AE72="",0,IF(OR(ISNUMBER(SEARCH("дубль",AE72)),ISNUMBER(SEARCH("ПЕРЕГРУЗ",AE72)),ISNUMBER(SEARCH("ЗАЩИЩ",AE72)),ISNUMBER(SEARCH("КАНАЛ",AE72)),ISNUMBER(SEARCH("без 30",AE72))),2,1))</f>
      </c>
      <c r="BV72" s="129">
        <f>IF(R72="","",COUNTIF($R$3:R72,"?*"))</f>
      </c>
      <c r="BW72" s="129">
        <f>IF(AY72&lt;&gt;1,0,IF(MAX(IFERROR(--VLOOKUP(R72,УГО_спр,5,FALSE),0),IFERROR(--VLOOKUP(AL72,УГО_спр,5,FALSE),0),IFERROR(--VLOOKUP(LEFT(AL72,2),УГО_спр,5,FALSE),0))&gt;0,MAX(IFERROR(--VLOOKUP(R72,УГО_спр,5,FALSE),0),IFERROR(--VLOOKUP(AL72,УГО_спр,5,FALSE),0),IFERROR(--VLOOKUP(LEFT(AL72,2),УГО_спр,5,FALSE),0)),IF(IFERROR(--LEFT(SUBSTITUTE(BQ72,"x","х"),FIND("х",SUBSTITUTE(BQ72,"x","х"))-1),3)&gt;3,Каталог!$S$9,1)))</f>
      </c>
      <c r="BX72" s="129">
        <f>IF(AY72&lt;&gt;1,0,MAX(0,IFERROR(--LEFT(SUBSTITUTE(BQ72,"x","х"),FIND("х",SUBSTITUTE(BQ72,"x","х"))-1),3)-3*BW72))</f>
      </c>
      <c r="BY72" s="129">
        <f>IF(R72="","",IFERROR(VLOOKUP(R72,УГО_спр,2,FALSE),IFERROR(VLOOKUP(AL72,УГО_спр,2,FALSE),IFERROR(VLOOKUP(LEFT(AL72,2),УГО_спр,2,FALSE),""))))</f>
      </c>
    </row>
    <row r="73" spans="1:64" x14ac:dyDescent="0.3">
      <c r="A73" s="135">
        <f>IF(Разбивка_по_щитам!F73=0,"",Разбивка_по_щитам!F73)</f>
      </c>
      <c r="B73" s="138">
        <f>IF(A73="","",Разбивка_по_щитам!C73)</f>
      </c>
      <c r="C73" s="138">
        <f t="shared" si="44"/>
      </c>
      <c r="D73" s="266"/>
      <c r="E73" s="266"/>
      <c r="F73" s="267"/>
      <c r="G73" s="145">
        <f t="shared" si="45"/>
      </c>
      <c r="H73" s="145">
        <f t="shared" si="46"/>
      </c>
      <c r="I73" s="266"/>
      <c r="J73" s="267"/>
      <c r="K73" s="267"/>
      <c r="L73" s="266"/>
      <c r="M73" s="147"/>
      <c r="N73" s="267"/>
      <c r="O73" s="147"/>
      <c r="P73" s="268">
        <f>IF(AY73=1,"XT"&amp;COUNTIFS($A$3:A73,A73,$AY$3:AY73,1),"")</f>
      </c>
      <c r="Q73" s="152">
        <f>IF(R73="","",IFERROR(SUBSTITUTE(Разбивка_по_щитам!P73,CHAR(10)," "),""))</f>
      </c>
      <c r="R73" s="153">
        <f>IF(OR(Разбивка_по_щитам!H73="",Разбивка_по_щитам!H73=0),"",Разбивка_по_щитам!H73)</f>
      </c>
      <c r="S73" s="154">
        <f>IF(R73="","",IFERROR(Разбивка_по_щитам!J73&amp;"",""))</f>
      </c>
      <c r="T73" s="155">
        <f>IF(R73="","",IFERROR(--Разбивка_по_щитам!L73,""))</f>
      </c>
      <c r="U73" s="155">
        <f>IF(R73="","",IFERROR(--Разбивка_по_щитам!K73,""))</f>
      </c>
      <c r="V73" s="138">
        <f>IF(R73="","",IFERROR(IF(Разбивка_по_щитам!M73=0,"",Разбивка_по_щитам!M73),""))</f>
      </c>
      <c r="W73" s="156">
        <f t="shared" si="47"/>
      </c>
      <c r="X73" s="157">
        <f t="shared" si="48"/>
        <v/>
      </c>
      <c r="Y73" s="266"/>
      <c r="Z73" s="158">
        <f t="shared" si="49"/>
      </c>
      <c r="AA73" s="160">
        <f t="shared" si="50"/>
      </c>
      <c r="AB73" s="160">
        <f>IF(R73="","",IFERROR(LOOKUP(INDEX(Справочная!$I$4:$I$19,MATCH(VLOOKUP(R73,Исходные_данные,22,FALSE),Справочная!$J$4:$J$19,0)+1),{6,10,16,20,25,32,40,50,63,80,100,125}),""))</f>
      </c>
      <c r="AC73" s="160">
        <f t="shared" si="51"/>
        <v/>
      </c>
      <c r="AD73" s="161">
        <f t="shared" si="52"/>
      </c>
      <c r="AE73" s="161">
        <f>IF(AND(R73="",G73=""),"",_xlfn.TEXTJOIN("; ",TRUE,IF(AND(R73&lt;&gt;"",V73=""),"нет фазы",""),IF(AND(R73&lt;&gt;"",N(T73)=0),"нет мощности",""),IF(AND(P73&lt;&gt;"",COUNTIFS($A$3:$A$1000,A73,$P$3:$P$1000,P73)&gt;1),"дубль клеммы "&amp;P73,""),IF(AND(W73&lt;&gt;"",W73&lt;&gt;"ok"),W73,""),IF(X73&lt;&gt;"",X73,""),IF(AND(ISNUMBER(SEARCH("(5х",Q73)),N(AK73)=1),"5 жил на 1 фазе",""),IF(AND(AL73="R",E73&lt;&gt;"",N(AS73)=0),"розетка без 30 мА",""),IF(IFERROR(_xlfn.NUMBERVALUE(MID(Q73,FIND("-",Q73,FIND("L=",Q73))+1,FIND("%",Q73)-FIND("-",Q73,FIND("L=",Q73))-1),","),0)&gt;4,"потери &gt; 4 %","")))</f>
      </c>
      <c r="AF73" s="129">
        <f>IF(E73&lt;&gt;"",COUNTIFS($A$3:A73,A73,$E$3:E73,"?*"),IF(OR(A73&lt;&gt;A72,Y73="вручную"),"",AF72))</f>
      </c>
      <c r="AG73" s="129">
        <f t="shared" si="53"/>
      </c>
      <c r="AH73" s="129">
        <f t="shared" si="54"/>
        <v/>
      </c>
      <c r="AI73" s="129">
        <f t="shared" si="55"/>
        <v/>
      </c>
      <c r="AJ73" s="129">
        <f t="shared" si="56"/>
      </c>
      <c r="AK73" s="129">
        <f t="shared" si="57"/>
      </c>
      <c r="AL73" s="129">
        <f t="shared" si="58"/>
      </c>
      <c r="AM73" s="129">
        <f t="shared" si="59"/>
      </c>
      <c r="AN73" s="129">
        <f t="shared" si="60"/>
      </c>
      <c r="AO73" s="129">
        <f t="shared" si="61"/>
      </c>
      <c r="AP73" s="129">
        <f t="shared" si="62"/>
      </c>
      <c r="AQ73" s="129">
        <f t="shared" si="63"/>
      </c>
      <c r="AR73" s="129">
        <f t="shared" si="64"/>
      </c>
      <c r="AS73" s="129">
        <f t="shared" si="65"/>
      </c>
      <c r="AT73" s="129">
        <f t="shared" si="66"/>
      </c>
      <c r="AU73" s="129">
        <f t="shared" si="67"/>
      </c>
      <c r="AV73" s="129">
        <f t="shared" si="68"/>
        <v/>
      </c>
      <c r="AW73" s="129">
        <f>IF(AV73="","",AV73&amp;"."&amp;COUNTIFS($A$3:A73,A73,$AV$3:AV73,AV73))</f>
        <v/>
      </c>
      <c r="AX73" s="129">
        <f t="shared" si="69"/>
        <v/>
      </c>
      <c r="AY73" s="129">
        <f>IF(N73="б/к",0,IF(OR(ISNUMBER(SEARCH("L=",Разбивка_по_щитам!P73)),N73="+",N73="="),1,0))</f>
      </c>
      <c r="AZ73" s="129">
        <f t="shared" si="70"/>
      </c>
      <c r="BA73" s="129">
        <f t="shared" si="71"/>
      </c>
      <c r="BB73" s="129">
        <f t="shared" si="72"/>
      </c>
      <c r="BD73" s="129">
        <f t="shared" si="73"/>
      </c>
      <c r="BE73" s="129">
        <f t="shared" si="74"/>
      </c>
      <c r="BF73" s="129">
        <f t="shared" si="75"/>
      </c>
      <c r="BG73" s="129">
        <f t="shared" si="76"/>
        <v/>
      </c>
      <c r="BH73" s="129">
        <f t="shared" si="77"/>
      </c>
      <c r="BI73" s="129">
        <f t="shared" si="78"/>
        <v/>
      </c>
      <c r="BJ73" s="129">
        <f t="shared" si="79"/>
        <v/>
      </c>
      <c r="BK73" s="129">
        <f>IF(R73="","",IF(OR(BY73="",BY73=0),"BOX",IFERROR(IF(VLOOKUP(BY73,УГО_блоки,3,FALSE)&amp;""&lt;&gt;"",VLOOKUP(BY73,УГО_блоки,3,FALSE),VLOOKUP(BY73,УГО_блоки,2,FALSE)),BY73)))</f>
      </c>
      <c r="BL73" s="129">
        <f t="shared" si="81"/>
      </c>
      <c r="BM73" s="129">
        <f>IF(H73="","",IF(COUNTIF($H$3:H73,H73)=1,MAX($BM$2:BM72)+1,""))</f>
      </c>
      <c r="BN73" s="129">
        <f>IF(I73="","",IF(COUNTIF($I$3:I73,I73)+COUNTIF($J$2:J72,I73)+COUNTIF($K$2:K72,I73)=1,MAX($BN$2:BP72)+1,""))</f>
      </c>
      <c r="BO73" s="129">
        <f>IF(J73="","",IF(COUNTIF($I$3:I73,J73)+COUNTIF($J$3:J73,J73)+COUNTIF($K$2:K72,J73)=1,MAX($BN$2:BP72,BN73)+1,""))</f>
      </c>
      <c r="BP73" s="129">
        <f>IF(K73="","",IF(COUNTIF($I$3:I73,K73)+COUNTIF($J$3:J73,K73)+COUNTIF($K$3:K73,K73)=1,MAX($BN$2:BP72,BN73,BO73)+1,""))</f>
      </c>
      <c r="BQ73" s="129">
        <f>IF(AY73=1,IFERROR(MID(Q73,FIND(" (",Q73)+2,FIND(")",Q73,FIND(" (",Q73))-FIND(" (",Q73)-2),"?"),"")</f>
      </c>
      <c r="BR73" s="129">
        <f>IF(BQ73="","",IF(COUNTIF($BQ$3:BQ73,BQ73)=1,MAX($BR$2:BR72)+1,""))</f>
      </c>
      <c r="BS73" s="129">
        <f>IF(AW73="","",COUNTIF($AW$3:AW73,"?*"))</f>
      </c>
      <c r="BT73" s="129">
        <f>IF(OR(AW73="",AI73=""),"",IF(COUNTIFS($AW$3:AW73,"?*",$AI$3:AI73,AI73)=1,MAX($BT$2:BT72)+1,""))</f>
      </c>
      <c r="BU73" s="129">
        <f>IF(AE73="",0,IF(OR(ISNUMBER(SEARCH("дубль",AE73)),ISNUMBER(SEARCH("ПЕРЕГРУЗ",AE73)),ISNUMBER(SEARCH("ЗАЩИЩ",AE73)),ISNUMBER(SEARCH("КАНАЛ",AE73)),ISNUMBER(SEARCH("без 30",AE73))),2,1))</f>
      </c>
      <c r="BV73" s="129">
        <f>IF(R73="","",COUNTIF($R$3:R73,"?*"))</f>
      </c>
      <c r="BW73" s="129">
        <f>IF(AY73&lt;&gt;1,0,IF(MAX(IFERROR(--VLOOKUP(R73,УГО_спр,5,FALSE),0),IFERROR(--VLOOKUP(AL73,УГО_спр,5,FALSE),0),IFERROR(--VLOOKUP(LEFT(AL73,2),УГО_спр,5,FALSE),0))&gt;0,MAX(IFERROR(--VLOOKUP(R73,УГО_спр,5,FALSE),0),IFERROR(--VLOOKUP(AL73,УГО_спр,5,FALSE),0),IFERROR(--VLOOKUP(LEFT(AL73,2),УГО_спр,5,FALSE),0)),IF(IFERROR(--LEFT(SUBSTITUTE(BQ73,"x","х"),FIND("х",SUBSTITUTE(BQ73,"x","х"))-1),3)&gt;3,Каталог!$S$9,1)))</f>
      </c>
      <c r="BX73" s="129">
        <f>IF(AY73&lt;&gt;1,0,MAX(0,IFERROR(--LEFT(SUBSTITUTE(BQ73,"x","х"),FIND("х",SUBSTITUTE(BQ73,"x","х"))-1),3)-3*BW73))</f>
      </c>
      <c r="BY73" s="129">
        <f>IF(R73="","",IFERROR(VLOOKUP(R73,УГО_спр,2,FALSE),IFERROR(VLOOKUP(AL73,УГО_спр,2,FALSE),IFERROR(VLOOKUP(LEFT(AL73,2),УГО_спр,2,FALSE),""))))</f>
      </c>
    </row>
    <row r="74" spans="1:64" x14ac:dyDescent="0.3">
      <c r="A74" s="135">
        <f>IF(Разбивка_по_щитам!F74=0,"",Разбивка_по_щитам!F74)</f>
      </c>
      <c r="B74" s="138">
        <f>IF(A74="","",Разбивка_по_щитам!C74)</f>
      </c>
      <c r="C74" s="138">
        <f t="shared" si="44"/>
      </c>
      <c r="D74" s="266"/>
      <c r="E74" s="266"/>
      <c r="F74" s="267"/>
      <c r="G74" s="145">
        <f t="shared" si="45"/>
      </c>
      <c r="H74" s="145">
        <f t="shared" si="46"/>
        <v/>
      </c>
      <c r="I74" s="266"/>
      <c r="J74" s="267"/>
      <c r="K74" s="267"/>
      <c r="L74" s="266"/>
      <c r="M74" s="147"/>
      <c r="N74" s="267"/>
      <c r="O74" s="147"/>
      <c r="P74" s="268">
        <f>IF(AY74=1,"XT"&amp;COUNTIFS($A$3:A74,A74,$AY$3:AY74,1),"")</f>
      </c>
      <c r="Q74" s="152">
        <f>IF(R74="","",IFERROR(SUBSTITUTE(Разбивка_по_щитам!P74,CHAR(10)," "),""))</f>
      </c>
      <c r="R74" s="153">
        <f>IF(OR(Разбивка_по_щитам!H74="",Разбивка_по_щитам!H74=0),"",Разбивка_по_щитам!H74)</f>
      </c>
      <c r="S74" s="154">
        <f>IF(R74="","",IFERROR(Разбивка_по_щитам!J74&amp;"",""))</f>
      </c>
      <c r="T74" s="155">
        <f>IF(R74="","",IFERROR(--Разбивка_по_щитам!L74,""))</f>
      </c>
      <c r="U74" s="155">
        <f>IF(R74="","",IFERROR(--Разбивка_по_щитам!K74,""))</f>
      </c>
      <c r="V74" s="138">
        <f>IF(R74="","",IFERROR(IF(Разбивка_по_щитам!M74=0,"",Разбивка_по_щитам!M74),""))</f>
      </c>
      <c r="W74" s="156">
        <f t="shared" si="47"/>
        <v/>
      </c>
      <c r="X74" s="157">
        <f t="shared" si="48"/>
        <v/>
      </c>
      <c r="Y74" s="266"/>
      <c r="Z74" s="158">
        <f t="shared" si="49"/>
        <v/>
      </c>
      <c r="AA74" s="160">
        <f t="shared" si="50"/>
        <v/>
      </c>
      <c r="AB74" s="160">
        <f>IF(R74="","",IFERROR(LOOKUP(INDEX(Справочная!$I$4:$I$19,MATCH(VLOOKUP(R74,Исходные_данные,22,FALSE),Справочная!$J$4:$J$19,0)+1),{6,10,16,20,25,32,40,50,63,80,100,125}),""))</f>
      </c>
      <c r="AC74" s="160">
        <f t="shared" si="51"/>
        <v/>
      </c>
      <c r="AD74" s="161">
        <f t="shared" si="52"/>
      </c>
      <c r="AE74" s="161">
        <f>IF(AND(R74="",G74=""),"",_xlfn.TEXTJOIN("; ",TRUE,IF(AND(R74&lt;&gt;"",V74=""),"нет фазы",""),IF(AND(R74&lt;&gt;"",N(T74)=0),"нет мощности",""),IF(AND(P74&lt;&gt;"",COUNTIFS($A$3:$A$1000,A74,$P$3:$P$1000,P74)&gt;1),"дубль клеммы "&amp;P74,""),IF(AND(W74&lt;&gt;"",W74&lt;&gt;"ok"),W74,""),IF(X74&lt;&gt;"",X74,""),IF(AND(ISNUMBER(SEARCH("(5х",Q74)),N(AK74)=1),"5 жил на 1 фазе",""),IF(AND(AL74="R",E74&lt;&gt;"",N(AS74)=0),"розетка без 30 мА",""),IF(IFERROR(_xlfn.NUMBERVALUE(MID(Q74,FIND("-",Q74,FIND("L=",Q74))+1,FIND("%",Q74)-FIND("-",Q74,FIND("L=",Q74))-1),","),0)&gt;4,"потери &gt; 4 %","")))</f>
      </c>
      <c r="AF74" s="129">
        <f>IF(E74&lt;&gt;"",COUNTIFS($A$3:A74,A74,$E$3:E74,"?*"),IF(OR(A74&lt;&gt;A73,Y74="вручную"),"",AF73))</f>
      </c>
      <c r="AG74" s="129">
        <f t="shared" si="53"/>
      </c>
      <c r="AH74" s="129">
        <f t="shared" si="54"/>
        <v/>
      </c>
      <c r="AI74" s="129">
        <f t="shared" si="55"/>
        <v/>
      </c>
      <c r="AJ74" s="129">
        <f t="shared" si="56"/>
        <v/>
      </c>
      <c r="AK74" s="129">
        <f t="shared" si="57"/>
      </c>
      <c r="AL74" s="129">
        <f t="shared" si="58"/>
      </c>
      <c r="AM74" s="129">
        <f t="shared" si="59"/>
      </c>
      <c r="AN74" s="129">
        <f t="shared" si="60"/>
      </c>
      <c r="AO74" s="129">
        <f t="shared" si="61"/>
        <v/>
      </c>
      <c r="AP74" s="129">
        <f t="shared" si="62"/>
        <v/>
      </c>
      <c r="AQ74" s="129">
        <f t="shared" si="63"/>
        <v/>
      </c>
      <c r="AR74" s="129">
        <f t="shared" si="64"/>
        <v/>
      </c>
      <c r="AS74" s="129">
        <f t="shared" si="65"/>
        <v/>
      </c>
      <c r="AT74" s="129">
        <f t="shared" si="66"/>
        <v/>
      </c>
      <c r="AU74" s="129">
        <f t="shared" si="67"/>
        <v/>
      </c>
      <c r="AV74" s="129">
        <f t="shared" si="68"/>
        <v/>
      </c>
      <c r="AW74" s="129">
        <f>IF(AV74="","",AV74&amp;"."&amp;COUNTIFS($A$3:A74,A74,$AV$3:AV74,AV74))</f>
        <v/>
      </c>
      <c r="AX74" s="129">
        <f t="shared" si="69"/>
        <v/>
      </c>
      <c r="AY74" s="129">
        <f>IF(N74="б/к",0,IF(OR(ISNUMBER(SEARCH("L=",Разбивка_по_щитам!P74)),N74="+",N74="="),1,0))</f>
      </c>
      <c r="AZ74" s="129">
        <f t="shared" si="70"/>
      </c>
      <c r="BA74" s="129">
        <f t="shared" si="71"/>
      </c>
      <c r="BB74" s="129">
        <f t="shared" si="72"/>
      </c>
      <c r="BD74" s="129">
        <f t="shared" si="73"/>
      </c>
      <c r="BE74" s="129">
        <f t="shared" si="74"/>
      </c>
      <c r="BF74" s="129">
        <f t="shared" si="75"/>
      </c>
      <c r="BG74" s="129">
        <f t="shared" si="76"/>
        <v/>
      </c>
      <c r="BH74" s="129">
        <f t="shared" si="77"/>
        <v/>
      </c>
      <c r="BI74" s="129">
        <f t="shared" si="78"/>
        <v/>
      </c>
      <c r="BJ74" s="129">
        <f t="shared" si="79"/>
        <v/>
      </c>
      <c r="BK74" s="129">
        <f>IF(R74="","",IF(OR(BY74="",BY74=0),"BOX",IFERROR(IF(VLOOKUP(BY74,УГО_блоки,3,FALSE)&amp;""&lt;&gt;"",VLOOKUP(BY74,УГО_блоки,3,FALSE),VLOOKUP(BY74,УГО_блоки,2,FALSE)),BY74)))</f>
      </c>
      <c r="BL74" s="129">
        <f t="shared" si="81"/>
      </c>
      <c r="BM74" s="129">
        <f>IF(H74="","",IF(COUNTIF($H$3:H74,H74)=1,MAX($BM$2:BM73)+1,""))</f>
      </c>
      <c r="BN74" s="129">
        <f>IF(I74="","",IF(COUNTIF($I$3:I74,I74)+COUNTIF($J$2:J73,I74)+COUNTIF($K$2:K73,I74)=1,MAX($BN$2:BP73)+1,""))</f>
      </c>
      <c r="BO74" s="129">
        <f>IF(J74="","",IF(COUNTIF($I$3:I74,J74)+COUNTIF($J$3:J74,J74)+COUNTIF($K$2:K73,J74)=1,MAX($BN$2:BP73,BN74)+1,""))</f>
      </c>
      <c r="BP74" s="129">
        <f>IF(K74="","",IF(COUNTIF($I$3:I74,K74)+COUNTIF($J$3:J74,K74)+COUNTIF($K$3:K74,K74)=1,MAX($BN$2:BP73,BN74,BO74)+1,""))</f>
      </c>
      <c r="BQ74" s="129">
        <f>IF(AY74=1,IFERROR(MID(Q74,FIND(" (",Q74)+2,FIND(")",Q74,FIND(" (",Q74))-FIND(" (",Q74)-2),"?"),"")</f>
      </c>
      <c r="BR74" s="129">
        <f>IF(BQ74="","",IF(COUNTIF($BQ$3:BQ74,BQ74)=1,MAX($BR$2:BR73)+1,""))</f>
      </c>
      <c r="BS74" s="129">
        <f>IF(AW74="","",COUNTIF($AW$3:AW74,"?*"))</f>
      </c>
      <c r="BT74" s="129">
        <f>IF(OR(AW74="",AI74=""),"",IF(COUNTIFS($AW$3:AW74,"?*",$AI$3:AI74,AI74)=1,MAX($BT$2:BT73)+1,""))</f>
      </c>
      <c r="BU74" s="129">
        <f>IF(AE74="",0,IF(OR(ISNUMBER(SEARCH("дубль",AE74)),ISNUMBER(SEARCH("ПЕРЕГРУЗ",AE74)),ISNUMBER(SEARCH("ЗАЩИЩ",AE74)),ISNUMBER(SEARCH("КАНАЛ",AE74)),ISNUMBER(SEARCH("без 30",AE74))),2,1))</f>
      </c>
      <c r="BV74" s="129">
        <f>IF(R74="","",COUNTIF($R$3:R74,"?*"))</f>
      </c>
      <c r="BW74" s="129">
        <f>IF(AY74&lt;&gt;1,0,IF(MAX(IFERROR(--VLOOKUP(R74,УГО_спр,5,FALSE),0),IFERROR(--VLOOKUP(AL74,УГО_спр,5,FALSE),0),IFERROR(--VLOOKUP(LEFT(AL74,2),УГО_спр,5,FALSE),0))&gt;0,MAX(IFERROR(--VLOOKUP(R74,УГО_спр,5,FALSE),0),IFERROR(--VLOOKUP(AL74,УГО_спр,5,FALSE),0),IFERROR(--VLOOKUP(LEFT(AL74,2),УГО_спр,5,FALSE),0)),IF(IFERROR(--LEFT(SUBSTITUTE(BQ74,"x","х"),FIND("х",SUBSTITUTE(BQ74,"x","х"))-1),3)&gt;3,Каталог!$S$9,1)))</f>
      </c>
      <c r="BX74" s="129">
        <f>IF(AY74&lt;&gt;1,0,MAX(0,IFERROR(--LEFT(SUBSTITUTE(BQ74,"x","х"),FIND("х",SUBSTITUTE(BQ74,"x","х"))-1),3)-3*BW74))</f>
      </c>
      <c r="BY74" s="129">
        <f>IF(R74="","",IFERROR(VLOOKUP(R74,УГО_спр,2,FALSE),IFERROR(VLOOKUP(AL74,УГО_спр,2,FALSE),IFERROR(VLOOKUP(LEFT(AL74,2),УГО_спр,2,FALSE),""))))</f>
      </c>
    </row>
    <row r="75" spans="1:64" x14ac:dyDescent="0.3">
      <c r="A75" s="135">
        <f>IF(Разбивка_по_щитам!F75=0,"",Разбивка_по_щитам!F75)</f>
      </c>
      <c r="B75" s="138">
        <f>IF(A75="","",Разбивка_по_щитам!C75)</f>
      </c>
      <c r="C75" s="138">
        <f t="shared" si="44"/>
      </c>
      <c r="D75" s="266"/>
      <c r="E75" s="266"/>
      <c r="F75" s="267"/>
      <c r="G75" s="145">
        <f t="shared" si="45"/>
      </c>
      <c r="H75" s="145">
        <f t="shared" si="46"/>
        <v/>
      </c>
      <c r="I75" s="266"/>
      <c r="J75" s="267"/>
      <c r="K75" s="267"/>
      <c r="L75" s="266"/>
      <c r="M75" s="147"/>
      <c r="N75" s="267"/>
      <c r="O75" s="147"/>
      <c r="P75" s="268">
        <f>IF(AY75=1,"XT"&amp;COUNTIFS($A$3:A75,A75,$AY$3:AY75,1),"")</f>
      </c>
      <c r="Q75" s="152">
        <f>IF(R75="","",IFERROR(SUBSTITUTE(Разбивка_по_щитам!P75,CHAR(10)," "),""))</f>
      </c>
      <c r="R75" s="153">
        <f>IF(OR(Разбивка_по_щитам!H75="",Разбивка_по_щитам!H75=0),"",Разбивка_по_щитам!H75)</f>
      </c>
      <c r="S75" s="154">
        <f>IF(R75="","",IFERROR(Разбивка_по_щитам!J75&amp;"",""))</f>
      </c>
      <c r="T75" s="155">
        <f>IF(R75="","",IFERROR(--Разбивка_по_щитам!L75,""))</f>
      </c>
      <c r="U75" s="155">
        <f>IF(R75="","",IFERROR(--Разбивка_по_щитам!K75,""))</f>
      </c>
      <c r="V75" s="138">
        <f>IF(R75="","",IFERROR(IF(Разбивка_по_щитам!M75=0,"",Разбивка_по_щитам!M75),""))</f>
      </c>
      <c r="W75" s="156">
        <f t="shared" si="47"/>
        <v/>
      </c>
      <c r="X75" s="157">
        <f t="shared" si="48"/>
        <v/>
      </c>
      <c r="Y75" s="266"/>
      <c r="Z75" s="158">
        <f t="shared" si="49"/>
        <v/>
      </c>
      <c r="AA75" s="160">
        <f t="shared" si="50"/>
        <v/>
      </c>
      <c r="AB75" s="160">
        <f>IF(R75="","",IFERROR(LOOKUP(INDEX(Справочная!$I$4:$I$19,MATCH(VLOOKUP(R75,Исходные_данные,22,FALSE),Справочная!$J$4:$J$19,0)+1),{6,10,16,20,25,32,40,50,63,80,100,125}),""))</f>
      </c>
      <c r="AC75" s="160">
        <f t="shared" si="51"/>
        <v/>
      </c>
      <c r="AD75" s="161">
        <f t="shared" si="52"/>
      </c>
      <c r="AE75" s="161">
        <f>IF(AND(R75="",G75=""),"",_xlfn.TEXTJOIN("; ",TRUE,IF(AND(R75&lt;&gt;"",V75=""),"нет фазы",""),IF(AND(R75&lt;&gt;"",N(T75)=0),"нет мощности",""),IF(AND(P75&lt;&gt;"",COUNTIFS($A$3:$A$1000,A75,$P$3:$P$1000,P75)&gt;1),"дубль клеммы "&amp;P75,""),IF(AND(W75&lt;&gt;"",W75&lt;&gt;"ok"),W75,""),IF(X75&lt;&gt;"",X75,""),IF(AND(ISNUMBER(SEARCH("(5х",Q75)),N(AK75)=1),"5 жил на 1 фазе",""),IF(AND(AL75="R",E75&lt;&gt;"",N(AS75)=0),"розетка без 30 мА",""),IF(IFERROR(_xlfn.NUMBERVALUE(MID(Q75,FIND("-",Q75,FIND("L=",Q75))+1,FIND("%",Q75)-FIND("-",Q75,FIND("L=",Q75))-1),","),0)&gt;4,"потери &gt; 4 %","")))</f>
      </c>
      <c r="AF75" s="129">
        <f>IF(E75&lt;&gt;"",COUNTIFS($A$3:A75,A75,$E$3:E75,"?*"),IF(OR(A75&lt;&gt;A74,Y75="вручную"),"",AF74))</f>
      </c>
      <c r="AG75" s="129">
        <f t="shared" si="53"/>
      </c>
      <c r="AH75" s="129">
        <f t="shared" si="54"/>
        <v/>
      </c>
      <c r="AI75" s="129">
        <f t="shared" si="55"/>
        <v/>
      </c>
      <c r="AJ75" s="129">
        <f t="shared" si="56"/>
        <v/>
      </c>
      <c r="AK75" s="129">
        <f t="shared" si="57"/>
      </c>
      <c r="AL75" s="129">
        <f t="shared" si="58"/>
      </c>
      <c r="AM75" s="129">
        <f t="shared" si="59"/>
      </c>
      <c r="AN75" s="129">
        <f t="shared" si="60"/>
      </c>
      <c r="AO75" s="129">
        <f t="shared" si="61"/>
        <v/>
      </c>
      <c r="AP75" s="129">
        <f t="shared" si="62"/>
        <v/>
      </c>
      <c r="AQ75" s="129">
        <f t="shared" si="63"/>
        <v/>
      </c>
      <c r="AR75" s="129">
        <f t="shared" si="64"/>
        <v/>
      </c>
      <c r="AS75" s="129">
        <f t="shared" si="65"/>
        <v/>
      </c>
      <c r="AT75" s="129">
        <f t="shared" si="66"/>
        <v/>
      </c>
      <c r="AU75" s="129">
        <f t="shared" si="67"/>
        <v/>
      </c>
      <c r="AV75" s="129">
        <f t="shared" si="68"/>
        <v/>
      </c>
      <c r="AW75" s="129">
        <f>IF(AV75="","",AV75&amp;"."&amp;COUNTIFS($A$3:A75,A75,$AV$3:AV75,AV75))</f>
        <v/>
      </c>
      <c r="AX75" s="129">
        <f t="shared" si="69"/>
        <v/>
      </c>
      <c r="AY75" s="129">
        <f>IF(N75="б/к",0,IF(OR(ISNUMBER(SEARCH("L=",Разбивка_по_щитам!P75)),N75="+",N75="="),1,0))</f>
      </c>
      <c r="AZ75" s="129">
        <f t="shared" si="70"/>
      </c>
      <c r="BA75" s="129">
        <f t="shared" si="71"/>
      </c>
      <c r="BB75" s="129">
        <f t="shared" si="72"/>
      </c>
      <c r="BD75" s="129">
        <f t="shared" si="73"/>
      </c>
      <c r="BE75" s="129">
        <f t="shared" si="74"/>
      </c>
      <c r="BF75" s="129">
        <f t="shared" si="75"/>
      </c>
      <c r="BG75" s="129">
        <f t="shared" si="76"/>
        <v/>
      </c>
      <c r="BH75" s="129">
        <f t="shared" si="77"/>
        <v/>
      </c>
      <c r="BI75" s="129">
        <f t="shared" si="78"/>
        <v/>
      </c>
      <c r="BJ75" s="129">
        <f t="shared" si="79"/>
        <v/>
      </c>
      <c r="BK75" s="129">
        <f>IF(R75="","",IF(OR(BY75="",BY75=0),"BOX",IFERROR(IF(VLOOKUP(BY75,УГО_блоки,3,FALSE)&amp;""&lt;&gt;"",VLOOKUP(BY75,УГО_блоки,3,FALSE),VLOOKUP(BY75,УГО_блоки,2,FALSE)),BY75)))</f>
      </c>
      <c r="BL75" s="129">
        <f t="shared" si="81"/>
      </c>
      <c r="BM75" s="129">
        <f>IF(H75="","",IF(COUNTIF($H$3:H75,H75)=1,MAX($BM$2:BM74)+1,""))</f>
      </c>
      <c r="BN75" s="129">
        <f>IF(I75="","",IF(COUNTIF($I$3:I75,I75)+COUNTIF($J$2:J74,I75)+COUNTIF($K$2:K74,I75)=1,MAX($BN$2:BP74)+1,""))</f>
      </c>
      <c r="BO75" s="129">
        <f>IF(J75="","",IF(COUNTIF($I$3:I75,J75)+COUNTIF($J$3:J75,J75)+COUNTIF($K$2:K74,J75)=1,MAX($BN$2:BP74,BN75)+1,""))</f>
      </c>
      <c r="BP75" s="129">
        <f>IF(K75="","",IF(COUNTIF($I$3:I75,K75)+COUNTIF($J$3:J75,K75)+COUNTIF($K$3:K75,K75)=1,MAX($BN$2:BP74,BN75,BO75)+1,""))</f>
      </c>
      <c r="BQ75" s="129">
        <f>IF(AY75=1,IFERROR(MID(Q75,FIND(" (",Q75)+2,FIND(")",Q75,FIND(" (",Q75))-FIND(" (",Q75)-2),"?"),"")</f>
      </c>
      <c r="BR75" s="129">
        <f>IF(BQ75="","",IF(COUNTIF($BQ$3:BQ75,BQ75)=1,MAX($BR$2:BR74)+1,""))</f>
      </c>
      <c r="BS75" s="129">
        <f>IF(AW75="","",COUNTIF($AW$3:AW75,"?*"))</f>
      </c>
      <c r="BT75" s="129">
        <f>IF(OR(AW75="",AI75=""),"",IF(COUNTIFS($AW$3:AW75,"?*",$AI$3:AI75,AI75)=1,MAX($BT$2:BT74)+1,""))</f>
      </c>
      <c r="BU75" s="129">
        <f>IF(AE75="",0,IF(OR(ISNUMBER(SEARCH("дубль",AE75)),ISNUMBER(SEARCH("ПЕРЕГРУЗ",AE75)),ISNUMBER(SEARCH("ЗАЩИЩ",AE75)),ISNUMBER(SEARCH("КАНАЛ",AE75)),ISNUMBER(SEARCH("без 30",AE75))),2,1))</f>
      </c>
      <c r="BV75" s="129">
        <f>IF(R75="","",COUNTIF($R$3:R75,"?*"))</f>
      </c>
      <c r="BW75" s="129">
        <f>IF(AY75&lt;&gt;1,0,IF(MAX(IFERROR(--VLOOKUP(R75,УГО_спр,5,FALSE),0),IFERROR(--VLOOKUP(AL75,УГО_спр,5,FALSE),0),IFERROR(--VLOOKUP(LEFT(AL75,2),УГО_спр,5,FALSE),0))&gt;0,MAX(IFERROR(--VLOOKUP(R75,УГО_спр,5,FALSE),0),IFERROR(--VLOOKUP(AL75,УГО_спр,5,FALSE),0),IFERROR(--VLOOKUP(LEFT(AL75,2),УГО_спр,5,FALSE),0)),IF(IFERROR(--LEFT(SUBSTITUTE(BQ75,"x","х"),FIND("х",SUBSTITUTE(BQ75,"x","х"))-1),3)&gt;3,Каталог!$S$9,1)))</f>
      </c>
      <c r="BX75" s="129">
        <f>IF(AY75&lt;&gt;1,0,MAX(0,IFERROR(--LEFT(SUBSTITUTE(BQ75,"x","х"),FIND("х",SUBSTITUTE(BQ75,"x","х"))-1),3)-3*BW75))</f>
      </c>
      <c r="BY75" s="129">
        <f>IF(R75="","",IFERROR(VLOOKUP(R75,УГО_спр,2,FALSE),IFERROR(VLOOKUP(AL75,УГО_спр,2,FALSE),IFERROR(VLOOKUP(LEFT(AL75,2),УГО_спр,2,FALSE),""))))</f>
      </c>
    </row>
    <row r="76" spans="1:64" x14ac:dyDescent="0.3">
      <c r="A76" s="135">
        <f>IF(Разбивка_по_щитам!F76=0,"",Разбивка_по_щитам!F76)</f>
      </c>
      <c r="B76" s="138">
        <f>IF(A76="","",Разбивка_по_щитам!C76)</f>
      </c>
      <c r="C76" s="138">
        <f t="shared" si="44"/>
      </c>
      <c r="D76" s="266"/>
      <c r="E76" s="266"/>
      <c r="F76" s="267"/>
      <c r="G76" s="145">
        <f t="shared" si="45"/>
      </c>
      <c r="H76" s="145">
        <f t="shared" si="46"/>
        <v/>
      </c>
      <c r="I76" s="266"/>
      <c r="J76" s="267"/>
      <c r="K76" s="267"/>
      <c r="L76" s="266"/>
      <c r="M76" s="147"/>
      <c r="N76" s="267"/>
      <c r="O76" s="147"/>
      <c r="P76" s="268">
        <f>IF(AY76=1,"XT"&amp;COUNTIFS($A$3:A76,A76,$AY$3:AY76,1),"")</f>
      </c>
      <c r="Q76" s="152">
        <f>IF(R76="","",IFERROR(SUBSTITUTE(Разбивка_по_щитам!P76,CHAR(10)," "),""))</f>
      </c>
      <c r="R76" s="153">
        <f>IF(OR(Разбивка_по_щитам!H76="",Разбивка_по_щитам!H76=0),"",Разбивка_по_щитам!H76)</f>
      </c>
      <c r="S76" s="154">
        <f>IF(R76="","",IFERROR(Разбивка_по_щитам!J76&amp;"",""))</f>
      </c>
      <c r="T76" s="155">
        <f>IF(R76="","",IFERROR(--Разбивка_по_щитам!L76,""))</f>
      </c>
      <c r="U76" s="155">
        <f>IF(R76="","",IFERROR(--Разбивка_по_щитам!K76,""))</f>
      </c>
      <c r="V76" s="138">
        <f>IF(R76="","",IFERROR(IF(Разбивка_по_щитам!M76=0,"",Разбивка_по_щитам!M76),""))</f>
      </c>
      <c r="W76" s="156">
        <f t="shared" si="47"/>
        <v/>
      </c>
      <c r="X76" s="157">
        <f t="shared" si="48"/>
        <v/>
      </c>
      <c r="Y76" s="266"/>
      <c r="Z76" s="158">
        <f t="shared" si="49"/>
        <v/>
      </c>
      <c r="AA76" s="160">
        <f t="shared" si="50"/>
        <v/>
      </c>
      <c r="AB76" s="160">
        <f>IF(R76="","",IFERROR(LOOKUP(INDEX(Справочная!$I$4:$I$19,MATCH(VLOOKUP(R76,Исходные_данные,22,FALSE),Справочная!$J$4:$J$19,0)+1),{6,10,16,20,25,32,40,50,63,80,100,125}),""))</f>
      </c>
      <c r="AC76" s="160">
        <f t="shared" si="51"/>
        <v/>
      </c>
      <c r="AD76" s="161">
        <f t="shared" si="52"/>
      </c>
      <c r="AE76" s="161">
        <f>IF(AND(R76="",G76=""),"",_xlfn.TEXTJOIN("; ",TRUE,IF(AND(R76&lt;&gt;"",V76=""),"нет фазы",""),IF(AND(R76&lt;&gt;"",N(T76)=0),"нет мощности",""),IF(AND(P76&lt;&gt;"",COUNTIFS($A$3:$A$1000,A76,$P$3:$P$1000,P76)&gt;1),"дубль клеммы "&amp;P76,""),IF(AND(W76&lt;&gt;"",W76&lt;&gt;"ok"),W76,""),IF(X76&lt;&gt;"",X76,""),IF(AND(ISNUMBER(SEARCH("(5х",Q76)),N(AK76)=1),"5 жил на 1 фазе",""),IF(AND(AL76="R",E76&lt;&gt;"",N(AS76)=0),"розетка без 30 мА",""),IF(IFERROR(_xlfn.NUMBERVALUE(MID(Q76,FIND("-",Q76,FIND("L=",Q76))+1,FIND("%",Q76)-FIND("-",Q76,FIND("L=",Q76))-1),","),0)&gt;4,"потери &gt; 4 %","")))</f>
      </c>
      <c r="AF76" s="129">
        <f>IF(E76&lt;&gt;"",COUNTIFS($A$3:A76,A76,$E$3:E76,"?*"),IF(OR(A76&lt;&gt;A75,Y76="вручную"),"",AF75))</f>
      </c>
      <c r="AG76" s="129">
        <f t="shared" si="53"/>
      </c>
      <c r="AH76" s="129">
        <f t="shared" si="54"/>
        <v/>
      </c>
      <c r="AI76" s="129">
        <f t="shared" si="55"/>
        <v/>
      </c>
      <c r="AJ76" s="129">
        <f t="shared" si="56"/>
        <v/>
      </c>
      <c r="AK76" s="129">
        <f t="shared" si="57"/>
      </c>
      <c r="AL76" s="129">
        <f t="shared" si="58"/>
      </c>
      <c r="AM76" s="129">
        <f t="shared" si="59"/>
      </c>
      <c r="AN76" s="129">
        <f t="shared" si="60"/>
      </c>
      <c r="AO76" s="129">
        <f t="shared" si="61"/>
        <v/>
      </c>
      <c r="AP76" s="129">
        <f t="shared" si="62"/>
        <v/>
      </c>
      <c r="AQ76" s="129">
        <f t="shared" si="63"/>
        <v/>
      </c>
      <c r="AR76" s="129">
        <f t="shared" si="64"/>
        <v/>
      </c>
      <c r="AS76" s="129">
        <f t="shared" si="65"/>
        <v/>
      </c>
      <c r="AT76" s="129">
        <f t="shared" si="66"/>
        <v/>
      </c>
      <c r="AU76" s="129">
        <f t="shared" si="67"/>
        <v/>
      </c>
      <c r="AV76" s="129">
        <f t="shared" si="68"/>
        <v/>
      </c>
      <c r="AW76" s="129">
        <f>IF(AV76="","",AV76&amp;"."&amp;COUNTIFS($A$3:A76,A76,$AV$3:AV76,AV76))</f>
        <v/>
      </c>
      <c r="AX76" s="129">
        <f t="shared" si="69"/>
        <v/>
      </c>
      <c r="AY76" s="129">
        <f>IF(N76="б/к",0,IF(OR(ISNUMBER(SEARCH("L=",Разбивка_по_щитам!P76)),N76="+",N76="="),1,0))</f>
      </c>
      <c r="AZ76" s="129">
        <f t="shared" si="70"/>
      </c>
      <c r="BA76" s="129">
        <f t="shared" si="71"/>
      </c>
      <c r="BB76" s="129">
        <f t="shared" si="72"/>
      </c>
      <c r="BD76" s="129">
        <f t="shared" si="73"/>
      </c>
      <c r="BE76" s="129">
        <f t="shared" si="74"/>
      </c>
      <c r="BF76" s="129">
        <f t="shared" si="75"/>
      </c>
      <c r="BG76" s="129">
        <f t="shared" si="76"/>
        <v/>
      </c>
      <c r="BH76" s="129">
        <f t="shared" si="77"/>
        <v/>
      </c>
      <c r="BI76" s="129">
        <f t="shared" si="78"/>
        <v/>
      </c>
      <c r="BJ76" s="129">
        <f t="shared" si="79"/>
        <v/>
      </c>
      <c r="BK76" s="129">
        <f>IF(R76="","",IF(OR(BY76="",BY76=0),"BOX",IFERROR(IF(VLOOKUP(BY76,УГО_блоки,3,FALSE)&amp;""&lt;&gt;"",VLOOKUP(BY76,УГО_блоки,3,FALSE),VLOOKUP(BY76,УГО_блоки,2,FALSE)),BY76)))</f>
      </c>
      <c r="BL76" s="129">
        <f t="shared" si="81"/>
      </c>
      <c r="BM76" s="129">
        <f>IF(H76="","",IF(COUNTIF($H$3:H76,H76)=1,MAX($BM$2:BM75)+1,""))</f>
      </c>
      <c r="BN76" s="129">
        <f>IF(I76="","",IF(COUNTIF($I$3:I76,I76)+COUNTIF($J$2:J75,I76)+COUNTIF($K$2:K75,I76)=1,MAX($BN$2:BP75)+1,""))</f>
      </c>
      <c r="BO76" s="129">
        <f>IF(J76="","",IF(COUNTIF($I$3:I76,J76)+COUNTIF($J$3:J76,J76)+COUNTIF($K$2:K75,J76)=1,MAX($BN$2:BP75,BN76)+1,""))</f>
      </c>
      <c r="BP76" s="129">
        <f>IF(K76="","",IF(COUNTIF($I$3:I76,K76)+COUNTIF($J$3:J76,K76)+COUNTIF($K$3:K76,K76)=1,MAX($BN$2:BP75,BN76,BO76)+1,""))</f>
      </c>
      <c r="BQ76" s="129">
        <f>IF(AY76=1,IFERROR(MID(Q76,FIND(" (",Q76)+2,FIND(")",Q76,FIND(" (",Q76))-FIND(" (",Q76)-2),"?"),"")</f>
      </c>
      <c r="BR76" s="129">
        <f>IF(BQ76="","",IF(COUNTIF($BQ$3:BQ76,BQ76)=1,MAX($BR$2:BR75)+1,""))</f>
      </c>
      <c r="BS76" s="129">
        <f>IF(AW76="","",COUNTIF($AW$3:AW76,"?*"))</f>
      </c>
      <c r="BT76" s="129">
        <f>IF(OR(AW76="",AI76=""),"",IF(COUNTIFS($AW$3:AW76,"?*",$AI$3:AI76,AI76)=1,MAX($BT$2:BT75)+1,""))</f>
      </c>
      <c r="BU76" s="129">
        <f>IF(AE76="",0,IF(OR(ISNUMBER(SEARCH("дубль",AE76)),ISNUMBER(SEARCH("ПЕРЕГРУЗ",AE76)),ISNUMBER(SEARCH("ЗАЩИЩ",AE76)),ISNUMBER(SEARCH("КАНАЛ",AE76)),ISNUMBER(SEARCH("без 30",AE76))),2,1))</f>
      </c>
      <c r="BV76" s="129">
        <f>IF(R76="","",COUNTIF($R$3:R76,"?*"))</f>
      </c>
      <c r="BW76" s="129">
        <f>IF(AY76&lt;&gt;1,0,IF(MAX(IFERROR(--VLOOKUP(R76,УГО_спр,5,FALSE),0),IFERROR(--VLOOKUP(AL76,УГО_спр,5,FALSE),0),IFERROR(--VLOOKUP(LEFT(AL76,2),УГО_спр,5,FALSE),0))&gt;0,MAX(IFERROR(--VLOOKUP(R76,УГО_спр,5,FALSE),0),IFERROR(--VLOOKUP(AL76,УГО_спр,5,FALSE),0),IFERROR(--VLOOKUP(LEFT(AL76,2),УГО_спр,5,FALSE),0)),IF(IFERROR(--LEFT(SUBSTITUTE(BQ76,"x","х"),FIND("х",SUBSTITUTE(BQ76,"x","х"))-1),3)&gt;3,Каталог!$S$9,1)))</f>
      </c>
      <c r="BX76" s="129">
        <f>IF(AY76&lt;&gt;1,0,MAX(0,IFERROR(--LEFT(SUBSTITUTE(BQ76,"x","х"),FIND("х",SUBSTITUTE(BQ76,"x","х"))-1),3)-3*BW76))</f>
      </c>
      <c r="BY76" s="129">
        <f>IF(R76="","",IFERROR(VLOOKUP(R76,УГО_спр,2,FALSE),IFERROR(VLOOKUP(AL76,УГО_спр,2,FALSE),IFERROR(VLOOKUP(LEFT(AL76,2),УГО_спр,2,FALSE),""))))</f>
      </c>
    </row>
    <row r="77" spans="1:64" x14ac:dyDescent="0.3">
      <c r="A77" s="135">
        <f>IF(Разбивка_по_щитам!F77=0,"",Разбивка_по_щитам!F77)</f>
      </c>
      <c r="B77" s="138">
        <f>IF(A77="","",Разбивка_по_щитам!C77)</f>
      </c>
      <c r="C77" s="138">
        <f t="shared" si="44"/>
      </c>
      <c r="D77" s="266"/>
      <c r="E77" s="266"/>
      <c r="F77" s="267"/>
      <c r="G77" s="145">
        <f t="shared" si="45"/>
      </c>
      <c r="H77" s="145">
        <f t="shared" si="46"/>
      </c>
      <c r="I77" s="266"/>
      <c r="J77" s="267"/>
      <c r="K77" s="267"/>
      <c r="L77" s="266"/>
      <c r="M77" s="147"/>
      <c r="N77" s="267"/>
      <c r="O77" s="147"/>
      <c r="P77" s="268">
        <f>IF(AY77=1,"XT"&amp;COUNTIFS($A$3:A77,A77,$AY$3:AY77,1),"")</f>
      </c>
      <c r="Q77" s="152">
        <f>IF(R77="","",IFERROR(SUBSTITUTE(Разбивка_по_щитам!P77,CHAR(10)," "),""))</f>
      </c>
      <c r="R77" s="153">
        <f>IF(OR(Разбивка_по_щитам!H77="",Разбивка_по_щитам!H77=0),"",Разбивка_по_щитам!H77)</f>
      </c>
      <c r="S77" s="154">
        <f>IF(R77="","",IFERROR(Разбивка_по_щитам!J77&amp;"",""))</f>
      </c>
      <c r="T77" s="155">
        <f>IF(R77="","",IFERROR(--Разбивка_по_щитам!L77,""))</f>
      </c>
      <c r="U77" s="155">
        <f>IF(R77="","",IFERROR(--Разбивка_по_щитам!K77,""))</f>
      </c>
      <c r="V77" s="138">
        <f>IF(R77="","",IFERROR(IF(Разбивка_по_щитам!M77=0,"",Разбивка_по_щитам!M77),""))</f>
      </c>
      <c r="W77" s="156">
        <f t="shared" si="47"/>
      </c>
      <c r="X77" s="157">
        <f t="shared" si="48"/>
        <v/>
      </c>
      <c r="Y77" s="266"/>
      <c r="Z77" s="158">
        <f t="shared" si="49"/>
      </c>
      <c r="AA77" s="160">
        <f t="shared" si="50"/>
      </c>
      <c r="AB77" s="160">
        <f>IF(R77="","",IFERROR(LOOKUP(INDEX(Справочная!$I$4:$I$19,MATCH(VLOOKUP(R77,Исходные_данные,22,FALSE),Справочная!$J$4:$J$19,0)+1),{6,10,16,20,25,32,40,50,63,80,100,125}),""))</f>
      </c>
      <c r="AC77" s="160">
        <f t="shared" si="51"/>
        <v/>
      </c>
      <c r="AD77" s="161">
        <f t="shared" si="52"/>
      </c>
      <c r="AE77" s="161">
        <f>IF(AND(R77="",G77=""),"",_xlfn.TEXTJOIN("; ",TRUE,IF(AND(R77&lt;&gt;"",V77=""),"нет фазы",""),IF(AND(R77&lt;&gt;"",N(T77)=0),"нет мощности",""),IF(AND(P77&lt;&gt;"",COUNTIFS($A$3:$A$1000,A77,$P$3:$P$1000,P77)&gt;1),"дубль клеммы "&amp;P77,""),IF(AND(W77&lt;&gt;"",W77&lt;&gt;"ok"),W77,""),IF(X77&lt;&gt;"",X77,""),IF(AND(ISNUMBER(SEARCH("(5х",Q77)),N(AK77)=1),"5 жил на 1 фазе",""),IF(AND(AL77="R",E77&lt;&gt;"",N(AS77)=0),"розетка без 30 мА",""),IF(IFERROR(_xlfn.NUMBERVALUE(MID(Q77,FIND("-",Q77,FIND("L=",Q77))+1,FIND("%",Q77)-FIND("-",Q77,FIND("L=",Q77))-1),","),0)&gt;4,"потери &gt; 4 %","")))</f>
      </c>
      <c r="AF77" s="129">
        <f>IF(E77&lt;&gt;"",COUNTIFS($A$3:A77,A77,$E$3:E77,"?*"),IF(OR(A77&lt;&gt;A76,Y77="вручную"),"",AF76))</f>
      </c>
      <c r="AG77" s="129">
        <f t="shared" si="53"/>
      </c>
      <c r="AH77" s="129">
        <f t="shared" si="54"/>
        <v/>
      </c>
      <c r="AI77" s="129">
        <f t="shared" si="55"/>
        <v/>
      </c>
      <c r="AJ77" s="129">
        <f t="shared" si="56"/>
      </c>
      <c r="AK77" s="129">
        <f t="shared" si="57"/>
      </c>
      <c r="AL77" s="129">
        <f t="shared" si="58"/>
      </c>
      <c r="AM77" s="129">
        <f t="shared" si="59"/>
      </c>
      <c r="AN77" s="129">
        <f t="shared" si="60"/>
      </c>
      <c r="AO77" s="129">
        <f t="shared" si="61"/>
      </c>
      <c r="AP77" s="129">
        <f t="shared" si="62"/>
      </c>
      <c r="AQ77" s="129">
        <f t="shared" si="63"/>
      </c>
      <c r="AR77" s="129">
        <f t="shared" si="64"/>
      </c>
      <c r="AS77" s="129">
        <f t="shared" si="65"/>
      </c>
      <c r="AT77" s="129">
        <f t="shared" si="66"/>
      </c>
      <c r="AU77" s="129">
        <f t="shared" si="67"/>
      </c>
      <c r="AV77" s="129">
        <f t="shared" si="68"/>
        <v/>
      </c>
      <c r="AW77" s="129">
        <f>IF(AV77="","",AV77&amp;"."&amp;COUNTIFS($A$3:A77,A77,$AV$3:AV77,AV77))</f>
        <v/>
      </c>
      <c r="AX77" s="129">
        <f t="shared" si="69"/>
        <v/>
      </c>
      <c r="AY77" s="129">
        <f>IF(N77="б/к",0,IF(OR(ISNUMBER(SEARCH("L=",Разбивка_по_щитам!P77)),N77="+",N77="="),1,0))</f>
      </c>
      <c r="AZ77" s="129">
        <f t="shared" si="70"/>
      </c>
      <c r="BA77" s="129">
        <f t="shared" si="71"/>
      </c>
      <c r="BB77" s="129">
        <f t="shared" si="72"/>
      </c>
      <c r="BD77" s="129">
        <f t="shared" si="73"/>
      </c>
      <c r="BE77" s="129">
        <f t="shared" si="74"/>
      </c>
      <c r="BF77" s="129">
        <f t="shared" si="75"/>
      </c>
      <c r="BG77" s="129">
        <f t="shared" si="76"/>
        <v/>
      </c>
      <c r="BH77" s="129">
        <f t="shared" si="77"/>
      </c>
      <c r="BI77" s="129">
        <f t="shared" si="78"/>
        <v/>
      </c>
      <c r="BJ77" s="129">
        <f t="shared" si="79"/>
        <v/>
      </c>
      <c r="BK77" s="129">
        <f>IF(R77="","",IF(OR(BY77="",BY77=0),"BOX",IFERROR(IF(VLOOKUP(BY77,УГО_блоки,3,FALSE)&amp;""&lt;&gt;"",VLOOKUP(BY77,УГО_блоки,3,FALSE),VLOOKUP(BY77,УГО_блоки,2,FALSE)),BY77)))</f>
      </c>
      <c r="BL77" s="129">
        <f t="shared" si="81"/>
      </c>
      <c r="BM77" s="129">
        <f>IF(H77="","",IF(COUNTIF($H$3:H77,H77)=1,MAX($BM$2:BM76)+1,""))</f>
      </c>
      <c r="BN77" s="129">
        <f>IF(I77="","",IF(COUNTIF($I$3:I77,I77)+COUNTIF($J$2:J76,I77)+COUNTIF($K$2:K76,I77)=1,MAX($BN$2:BP76)+1,""))</f>
      </c>
      <c r="BO77" s="129">
        <f>IF(J77="","",IF(COUNTIF($I$3:I77,J77)+COUNTIF($J$3:J77,J77)+COUNTIF($K$2:K76,J77)=1,MAX($BN$2:BP76,BN77)+1,""))</f>
      </c>
      <c r="BP77" s="129">
        <f>IF(K77="","",IF(COUNTIF($I$3:I77,K77)+COUNTIF($J$3:J77,K77)+COUNTIF($K$3:K77,K77)=1,MAX($BN$2:BP76,BN77,BO77)+1,""))</f>
      </c>
      <c r="BQ77" s="129">
        <f>IF(AY77=1,IFERROR(MID(Q77,FIND(" (",Q77)+2,FIND(")",Q77,FIND(" (",Q77))-FIND(" (",Q77)-2),"?"),"")</f>
      </c>
      <c r="BR77" s="129">
        <f>IF(BQ77="","",IF(COUNTIF($BQ$3:BQ77,BQ77)=1,MAX($BR$2:BR76)+1,""))</f>
      </c>
      <c r="BS77" s="129">
        <f>IF(AW77="","",COUNTIF($AW$3:AW77,"?*"))</f>
      </c>
      <c r="BT77" s="129">
        <f>IF(OR(AW77="",AI77=""),"",IF(COUNTIFS($AW$3:AW77,"?*",$AI$3:AI77,AI77)=1,MAX($BT$2:BT76)+1,""))</f>
      </c>
      <c r="BU77" s="129">
        <f>IF(AE77="",0,IF(OR(ISNUMBER(SEARCH("дубль",AE77)),ISNUMBER(SEARCH("ПЕРЕГРУЗ",AE77)),ISNUMBER(SEARCH("ЗАЩИЩ",AE77)),ISNUMBER(SEARCH("КАНАЛ",AE77)),ISNUMBER(SEARCH("без 30",AE77))),2,1))</f>
      </c>
      <c r="BV77" s="129">
        <f>IF(R77="","",COUNTIF($R$3:R77,"?*"))</f>
      </c>
      <c r="BW77" s="129">
        <f>IF(AY77&lt;&gt;1,0,IF(MAX(IFERROR(--VLOOKUP(R77,УГО_спр,5,FALSE),0),IFERROR(--VLOOKUP(AL77,УГО_спр,5,FALSE),0),IFERROR(--VLOOKUP(LEFT(AL77,2),УГО_спр,5,FALSE),0))&gt;0,MAX(IFERROR(--VLOOKUP(R77,УГО_спр,5,FALSE),0),IFERROR(--VLOOKUP(AL77,УГО_спр,5,FALSE),0),IFERROR(--VLOOKUP(LEFT(AL77,2),УГО_спр,5,FALSE),0)),IF(IFERROR(--LEFT(SUBSTITUTE(BQ77,"x","х"),FIND("х",SUBSTITUTE(BQ77,"x","х"))-1),3)&gt;3,Каталог!$S$9,1)))</f>
      </c>
      <c r="BX77" s="129">
        <f>IF(AY77&lt;&gt;1,0,MAX(0,IFERROR(--LEFT(SUBSTITUTE(BQ77,"x","х"),FIND("х",SUBSTITUTE(BQ77,"x","х"))-1),3)-3*BW77))</f>
      </c>
      <c r="BY77" s="129">
        <f>IF(R77="","",IFERROR(VLOOKUP(R77,УГО_спр,2,FALSE),IFERROR(VLOOKUP(AL77,УГО_спр,2,FALSE),IFERROR(VLOOKUP(LEFT(AL77,2),УГО_спр,2,FALSE),""))))</f>
      </c>
    </row>
    <row r="78" spans="1:64" x14ac:dyDescent="0.3">
      <c r="A78" s="135">
        <f>IF(Разбивка_по_щитам!F78=0,"",Разбивка_по_щитам!F78)</f>
      </c>
      <c r="B78" s="138">
        <f>IF(A78="","",Разбивка_по_щитам!C78)</f>
      </c>
      <c r="C78" s="138">
        <f t="shared" si="44"/>
      </c>
      <c r="D78" s="266"/>
      <c r="E78" s="266"/>
      <c r="F78" s="267"/>
      <c r="G78" s="145">
        <f t="shared" si="45"/>
      </c>
      <c r="H78" s="145">
        <f t="shared" si="46"/>
        <v/>
      </c>
      <c r="I78" s="266"/>
      <c r="J78" s="267"/>
      <c r="K78" s="267"/>
      <c r="L78" s="266"/>
      <c r="M78" s="147"/>
      <c r="N78" s="267"/>
      <c r="O78" s="147"/>
      <c r="P78" s="268">
        <f>IF(AY78=1,"XT"&amp;COUNTIFS($A$3:A78,A78,$AY$3:AY78,1),"")</f>
      </c>
      <c r="Q78" s="152">
        <f>IF(R78="","",IFERROR(SUBSTITUTE(Разбивка_по_щитам!P78,CHAR(10)," "),""))</f>
      </c>
      <c r="R78" s="153">
        <f>IF(OR(Разбивка_по_щитам!H78="",Разбивка_по_щитам!H78=0),"",Разбивка_по_щитам!H78)</f>
      </c>
      <c r="S78" s="154">
        <f>IF(R78="","",IFERROR(Разбивка_по_щитам!J78&amp;"",""))</f>
      </c>
      <c r="T78" s="155">
        <f>IF(R78="","",IFERROR(--Разбивка_по_щитам!L78,""))</f>
      </c>
      <c r="U78" s="155">
        <f>IF(R78="","",IFERROR(--Разбивка_по_щитам!K78,""))</f>
      </c>
      <c r="V78" s="138">
        <f>IF(R78="","",IFERROR(IF(Разбивка_по_щитам!M78=0,"",Разбивка_по_щитам!M78),""))</f>
      </c>
      <c r="W78" s="156">
        <f t="shared" si="47"/>
        <v/>
      </c>
      <c r="X78" s="157">
        <f t="shared" si="48"/>
        <v/>
      </c>
      <c r="Y78" s="266"/>
      <c r="Z78" s="158">
        <f t="shared" si="49"/>
        <v/>
      </c>
      <c r="AA78" s="160">
        <f t="shared" si="50"/>
        <v/>
      </c>
      <c r="AB78" s="160">
        <f>IF(R78="","",IFERROR(LOOKUP(INDEX(Справочная!$I$4:$I$19,MATCH(VLOOKUP(R78,Исходные_данные,22,FALSE),Справочная!$J$4:$J$19,0)+1),{6,10,16,20,25,32,40,50,63,80,100,125}),""))</f>
      </c>
      <c r="AC78" s="160">
        <f t="shared" si="51"/>
        <v/>
      </c>
      <c r="AD78" s="161">
        <f t="shared" si="52"/>
      </c>
      <c r="AE78" s="161">
        <f>IF(AND(R78="",G78=""),"",_xlfn.TEXTJOIN("; ",TRUE,IF(AND(R78&lt;&gt;"",V78=""),"нет фазы",""),IF(AND(R78&lt;&gt;"",N(T78)=0),"нет мощности",""),IF(AND(P78&lt;&gt;"",COUNTIFS($A$3:$A$1000,A78,$P$3:$P$1000,P78)&gt;1),"дубль клеммы "&amp;P78,""),IF(AND(W78&lt;&gt;"",W78&lt;&gt;"ok"),W78,""),IF(X78&lt;&gt;"",X78,""),IF(AND(ISNUMBER(SEARCH("(5х",Q78)),N(AK78)=1),"5 жил на 1 фазе",""),IF(AND(AL78="R",E78&lt;&gt;"",N(AS78)=0),"розетка без 30 мА",""),IF(IFERROR(_xlfn.NUMBERVALUE(MID(Q78,FIND("-",Q78,FIND("L=",Q78))+1,FIND("%",Q78)-FIND("-",Q78,FIND("L=",Q78))-1),","),0)&gt;4,"потери &gt; 4 %","")))</f>
      </c>
      <c r="AF78" s="129">
        <f>IF(E78&lt;&gt;"",COUNTIFS($A$3:A78,A78,$E$3:E78,"?*"),IF(OR(A78&lt;&gt;A77,Y78="вручную"),"",AF77))</f>
      </c>
      <c r="AG78" s="129">
        <f t="shared" si="53"/>
      </c>
      <c r="AH78" s="129">
        <f t="shared" si="54"/>
        <v/>
      </c>
      <c r="AI78" s="129">
        <f t="shared" si="55"/>
        <v/>
      </c>
      <c r="AJ78" s="129">
        <f t="shared" si="56"/>
        <v/>
      </c>
      <c r="AK78" s="129">
        <f t="shared" si="57"/>
      </c>
      <c r="AL78" s="129">
        <f t="shared" si="58"/>
      </c>
      <c r="AM78" s="129">
        <f t="shared" si="59"/>
      </c>
      <c r="AN78" s="129">
        <f t="shared" si="60"/>
      </c>
      <c r="AO78" s="129">
        <f t="shared" si="61"/>
        <v/>
      </c>
      <c r="AP78" s="129">
        <f t="shared" si="62"/>
        <v/>
      </c>
      <c r="AQ78" s="129">
        <f t="shared" si="63"/>
        <v/>
      </c>
      <c r="AR78" s="129">
        <f t="shared" si="64"/>
        <v/>
      </c>
      <c r="AS78" s="129">
        <f t="shared" si="65"/>
        <v/>
      </c>
      <c r="AT78" s="129">
        <f t="shared" si="66"/>
        <v/>
      </c>
      <c r="AU78" s="129">
        <f t="shared" si="67"/>
        <v/>
      </c>
      <c r="AV78" s="129">
        <f t="shared" si="68"/>
        <v/>
      </c>
      <c r="AW78" s="129">
        <f>IF(AV78="","",AV78&amp;"."&amp;COUNTIFS($A$3:A78,A78,$AV$3:AV78,AV78))</f>
        <v/>
      </c>
      <c r="AX78" s="129">
        <f t="shared" si="69"/>
        <v/>
      </c>
      <c r="AY78" s="129">
        <f>IF(N78="б/к",0,IF(OR(ISNUMBER(SEARCH("L=",Разбивка_по_щитам!P78)),N78="+",N78="="),1,0))</f>
      </c>
      <c r="AZ78" s="129">
        <f t="shared" si="70"/>
      </c>
      <c r="BA78" s="129">
        <f t="shared" si="71"/>
      </c>
      <c r="BB78" s="129">
        <f t="shared" si="72"/>
      </c>
      <c r="BD78" s="129">
        <f t="shared" si="73"/>
      </c>
      <c r="BE78" s="129">
        <f t="shared" si="74"/>
      </c>
      <c r="BF78" s="129">
        <f t="shared" si="75"/>
      </c>
      <c r="BG78" s="129">
        <f t="shared" si="76"/>
        <v/>
      </c>
      <c r="BH78" s="129">
        <f t="shared" si="77"/>
        <v/>
      </c>
      <c r="BI78" s="129">
        <f t="shared" si="78"/>
        <v/>
      </c>
      <c r="BJ78" s="129">
        <f t="shared" si="79"/>
        <v/>
      </c>
      <c r="BK78" s="129">
        <f>IF(R78="","",IF(OR(BY78="",BY78=0),"BOX",IFERROR(IF(VLOOKUP(BY78,УГО_блоки,3,FALSE)&amp;""&lt;&gt;"",VLOOKUP(BY78,УГО_блоки,3,FALSE),VLOOKUP(BY78,УГО_блоки,2,FALSE)),BY78)))</f>
      </c>
      <c r="BL78" s="129">
        <f t="shared" si="81"/>
      </c>
      <c r="BM78" s="129">
        <f>IF(H78="","",IF(COUNTIF($H$3:H78,H78)=1,MAX($BM$2:BM77)+1,""))</f>
      </c>
      <c r="BN78" s="129">
        <f>IF(I78="","",IF(COUNTIF($I$3:I78,I78)+COUNTIF($J$2:J77,I78)+COUNTIF($K$2:K77,I78)=1,MAX($BN$2:BP77)+1,""))</f>
      </c>
      <c r="BO78" s="129">
        <f>IF(J78="","",IF(COUNTIF($I$3:I78,J78)+COUNTIF($J$3:J78,J78)+COUNTIF($K$2:K77,J78)=1,MAX($BN$2:BP77,BN78)+1,""))</f>
      </c>
      <c r="BP78" s="129">
        <f>IF(K78="","",IF(COUNTIF($I$3:I78,K78)+COUNTIF($J$3:J78,K78)+COUNTIF($K$3:K78,K78)=1,MAX($BN$2:BP77,BN78,BO78)+1,""))</f>
      </c>
      <c r="BQ78" s="129">
        <f>IF(AY78=1,IFERROR(MID(Q78,FIND(" (",Q78)+2,FIND(")",Q78,FIND(" (",Q78))-FIND(" (",Q78)-2),"?"),"")</f>
      </c>
      <c r="BR78" s="129">
        <f>IF(BQ78="","",IF(COUNTIF($BQ$3:BQ78,BQ78)=1,MAX($BR$2:BR77)+1,""))</f>
      </c>
      <c r="BS78" s="129">
        <f>IF(AW78="","",COUNTIF($AW$3:AW78,"?*"))</f>
      </c>
      <c r="BT78" s="129">
        <f>IF(OR(AW78="",AI78=""),"",IF(COUNTIFS($AW$3:AW78,"?*",$AI$3:AI78,AI78)=1,MAX($BT$2:BT77)+1,""))</f>
      </c>
      <c r="BU78" s="129">
        <f>IF(AE78="",0,IF(OR(ISNUMBER(SEARCH("дубль",AE78)),ISNUMBER(SEARCH("ПЕРЕГРУЗ",AE78)),ISNUMBER(SEARCH("ЗАЩИЩ",AE78)),ISNUMBER(SEARCH("КАНАЛ",AE78)),ISNUMBER(SEARCH("без 30",AE78))),2,1))</f>
      </c>
      <c r="BV78" s="129">
        <f>IF(R78="","",COUNTIF($R$3:R78,"?*"))</f>
      </c>
      <c r="BW78" s="129">
        <f>IF(AY78&lt;&gt;1,0,IF(MAX(IFERROR(--VLOOKUP(R78,УГО_спр,5,FALSE),0),IFERROR(--VLOOKUP(AL78,УГО_спр,5,FALSE),0),IFERROR(--VLOOKUP(LEFT(AL78,2),УГО_спр,5,FALSE),0))&gt;0,MAX(IFERROR(--VLOOKUP(R78,УГО_спр,5,FALSE),0),IFERROR(--VLOOKUP(AL78,УГО_спр,5,FALSE),0),IFERROR(--VLOOKUP(LEFT(AL78,2),УГО_спр,5,FALSE),0)),IF(IFERROR(--LEFT(SUBSTITUTE(BQ78,"x","х"),FIND("х",SUBSTITUTE(BQ78,"x","х"))-1),3)&gt;3,Каталог!$S$9,1)))</f>
      </c>
      <c r="BX78" s="129">
        <f>IF(AY78&lt;&gt;1,0,MAX(0,IFERROR(--LEFT(SUBSTITUTE(BQ78,"x","х"),FIND("х",SUBSTITUTE(BQ78,"x","х"))-1),3)-3*BW78))</f>
      </c>
      <c r="BY78" s="129">
        <f>IF(R78="","",IFERROR(VLOOKUP(R78,УГО_спр,2,FALSE),IFERROR(VLOOKUP(AL78,УГО_спр,2,FALSE),IFERROR(VLOOKUP(LEFT(AL78,2),УГО_спр,2,FALSE),""))))</f>
      </c>
    </row>
    <row r="79" spans="1:64" x14ac:dyDescent="0.3">
      <c r="A79" s="135">
        <f>IF(Разбивка_по_щитам!F79=0,"",Разбивка_по_щитам!F79)</f>
      </c>
      <c r="B79" s="138">
        <f>IF(A79="","",Разбивка_по_щитам!C79)</f>
      </c>
      <c r="C79" s="138">
        <f t="shared" si="44"/>
      </c>
      <c r="D79" s="266"/>
      <c r="E79" s="266"/>
      <c r="F79" s="267"/>
      <c r="G79" s="145">
        <f t="shared" si="45"/>
        <v/>
      </c>
      <c r="H79" s="145">
        <f t="shared" si="46"/>
        <v/>
      </c>
      <c r="I79" s="266"/>
      <c r="J79" s="267"/>
      <c r="K79" s="267"/>
      <c r="L79" s="266"/>
      <c r="M79" s="147">
        <f t="shared" ref="M79:M110" si="82">IF(OR(O79&lt;&gt;"",AND(L79&lt;&gt;"",L79&lt;&gt;"-")),AH79,"")</f>
        <v/>
      </c>
      <c r="N79" s="267"/>
      <c r="O79" s="147">
        <f t="shared" ref="O79:O110" si="83">IF(N79="=",AX78,IF(ISNUMBER(N79),N79,IF(AH79="","",IF(OR(R79&lt;&gt;"",N79="+",N79="р"),IF(OR(AW79&lt;&gt;"",AX78=""),1,AX78+1),""))))</f>
        <v/>
      </c>
      <c r="P79" s="268">
        <f>IF(AY79=1,"XT"&amp;COUNTIFS($A$3:A79,A79,$AY$3:AY79,1),"")</f>
        <v/>
      </c>
      <c r="Q79" s="152">
        <f>IF(R79="","",IFERROR(SUBSTITUTE(Разбивка_по_щитам!P79,CHAR(10)," "),""))</f>
        <v/>
      </c>
      <c r="R79" s="153">
        <f>IF(OR(Разбивка_по_щитам!H79="",Разбивка_по_щитам!H79=0),"",Разбивка_по_щитам!H79)</f>
        <v/>
      </c>
      <c r="S79" s="154">
        <f>IF(R79="","",IFERROR(Разбивка_по_щитам!J79&amp;"",""))</f>
        <v/>
      </c>
      <c r="T79" s="155">
        <f>IF(R79="","",IFERROR(--Разбивка_по_щитам!L79,""))</f>
        <v/>
      </c>
      <c r="U79" s="155">
        <f>IF(R79="","",IFERROR(--Разбивка_по_щитам!K79,""))</f>
        <v/>
      </c>
      <c r="V79" s="138">
        <f>IF(R79="","",IFERROR(IF(Разбивка_по_щитам!M79=0,"",Разбивка_по_щитам!M79),""))</f>
        <v/>
      </c>
      <c r="W79" s="156">
        <f t="shared" si="47"/>
        <v/>
      </c>
      <c r="X79" s="157">
        <f t="shared" si="48"/>
        <v/>
      </c>
      <c r="Y79" s="266"/>
      <c r="Z79" s="158">
        <f t="shared" si="49"/>
        <v/>
      </c>
      <c r="AA79" s="160">
        <f t="shared" si="50"/>
        <v/>
      </c>
      <c r="AB79" s="160">
        <f>IF(R79="","",IFERROR(LOOKUP(INDEX(Справочная!$I$4:$I$19,MATCH(VLOOKUP(R79,Исходные_данные,22,FALSE),Справочная!$J$4:$J$19,0)+1),{6,10,16,20,25,32,40,50,63,80,100,125}),""))</f>
        <v/>
      </c>
      <c r="AC79" s="160">
        <f t="shared" si="51"/>
        <v/>
      </c>
      <c r="AD79" s="161">
        <f t="shared" si="52"/>
        <v/>
      </c>
      <c r="AE79" s="161">
        <f>IF(AND(R79="",G79=""),"",_xlfn.TEXTJOIN("; ",TRUE,IF(AND(R79&lt;&gt;"",V79=""),"нет фазы",""),IF(AND(R79&lt;&gt;"",N(T79)=0),"нет мощности",""),IF(AND(P79&lt;&gt;"",COUNTIFS($A$3:$A$1000,A79,$P$3:$P$1000,P79)&gt;1),"дубль клеммы "&amp;P79,""),IF(AND(W79&lt;&gt;"",W79&lt;&gt;"ok"),W79,""),IF(X79&lt;&gt;"",X79,""),IF(AND(ISNUMBER(SEARCH("(5х",Q79)),N(AK79)=1),"5 жил на 1 фазе",""),IF(AND(AL79="R",E79&lt;&gt;"",N(AS79)=0),"розетка без 30 мА",""),IF(IFERROR(_xlfn.NUMBERVALUE(MID(Q79,FIND("-",Q79,FIND("L=",Q79))+1,FIND("%",Q79)-FIND("-",Q79,FIND("L=",Q79))-1),","),0)&gt;4,"потери &gt; 4 %","")))</f>
      </c>
      <c r="AF79" s="129">
        <f>IF(E79&lt;&gt;"",COUNTIFS($A$3:A79,A79,$E$3:E79,"?*"),IF(OR(A79&lt;&gt;A78,Y79="вручную"),"",AF78))</f>
      </c>
      <c r="AG79" s="129">
        <f t="shared" si="53"/>
      </c>
      <c r="AH79" s="129">
        <f t="shared" si="54"/>
        <v/>
      </c>
      <c r="AI79" s="129">
        <f t="shared" si="55"/>
        <v/>
      </c>
      <c r="AJ79" s="129">
        <f t="shared" si="56"/>
        <v/>
      </c>
      <c r="AK79" s="129">
        <f t="shared" si="57"/>
        <v/>
      </c>
      <c r="AL79" s="129">
        <f t="shared" si="58"/>
        <v/>
      </c>
      <c r="AM79" s="129">
        <f t="shared" si="59"/>
      </c>
      <c r="AN79" s="129">
        <f t="shared" si="60"/>
      </c>
      <c r="AO79" s="129">
        <f t="shared" si="61"/>
        <v/>
      </c>
      <c r="AP79" s="129">
        <f t="shared" si="62"/>
        <v/>
      </c>
      <c r="AQ79" s="129">
        <f t="shared" si="63"/>
        <v/>
      </c>
      <c r="AR79" s="129">
        <f t="shared" si="64"/>
        <v/>
      </c>
      <c r="AS79" s="129">
        <f t="shared" si="65"/>
        <v/>
      </c>
      <c r="AT79" s="129">
        <f t="shared" si="66"/>
        <v/>
      </c>
      <c r="AU79" s="129">
        <f t="shared" si="67"/>
        <v/>
      </c>
      <c r="AV79" s="129">
        <f t="shared" si="68"/>
        <v/>
      </c>
      <c r="AW79" s="129">
        <f>IF(AV79="","",AV79&amp;"."&amp;COUNTIFS($A$3:A79,A79,$AV$3:AV79,AV79))</f>
        <v/>
      </c>
      <c r="AX79" s="129">
        <f t="shared" si="69"/>
        <v/>
      </c>
      <c r="AY79" s="129">
        <f>IF(N79="б/к",0,IF(OR(ISNUMBER(SEARCH("L=",Разбивка_по_щитам!P79)),N79="+",N79="="),1,0))</f>
      </c>
      <c r="AZ79" s="129">
        <f t="shared" si="70"/>
      </c>
      <c r="BA79" s="129">
        <f t="shared" si="71"/>
      </c>
      <c r="BB79" s="129">
        <f t="shared" si="72"/>
      </c>
      <c r="BD79" s="129">
        <f t="shared" si="73"/>
      </c>
      <c r="BE79" s="129">
        <f t="shared" si="74"/>
      </c>
      <c r="BF79" s="129">
        <f t="shared" si="75"/>
      </c>
      <c r="BG79" s="129">
        <f t="shared" si="76"/>
        <v/>
      </c>
      <c r="BH79" s="129">
        <f t="shared" si="77"/>
        <v/>
      </c>
      <c r="BI79" s="129">
        <f t="shared" si="78"/>
        <v/>
      </c>
      <c r="BJ79" s="129">
        <f t="shared" si="79"/>
        <v/>
      </c>
      <c r="BK79" s="129">
        <f>IF(R79="","",IF(OR(BY79="",BY79=0),"BOX",IFERROR(IF(VLOOKUP(BY79,УГО_блоки,3,FALSE)&amp;""&lt;&gt;"",VLOOKUP(BY79,УГО_блоки,3,FALSE),VLOOKUP(BY79,УГО_блоки,2,FALSE)),BY79)))</f>
      </c>
      <c r="BL79" s="129">
        <f t="shared" si="81"/>
      </c>
      <c r="BM79" s="129">
        <f>IF(H79="","",IF(COUNTIF($H$3:H79,H79)=1,MAX($BM$2:BM78)+1,""))</f>
      </c>
      <c r="BN79" s="129">
        <f>IF(I79="","",IF(COUNTIF($I$3:I79,I79)+COUNTIF($J$2:J78,I79)+COUNTIF($K$2:K78,I79)=1,MAX($BN$2:BP78)+1,""))</f>
      </c>
      <c r="BO79" s="129">
        <f>IF(J79="","",IF(COUNTIF($I$3:I79,J79)+COUNTIF($J$3:J79,J79)+COUNTIF($K$2:K78,J79)=1,MAX($BN$2:BP78,BN79)+1,""))</f>
      </c>
      <c r="BP79" s="129">
        <f>IF(K79="","",IF(COUNTIF($I$3:I79,K79)+COUNTIF($J$3:J79,K79)+COUNTIF($K$3:K79,K79)=1,MAX($BN$2:BP78,BN79,BO79)+1,""))</f>
      </c>
      <c r="BQ79" s="129">
        <f>IF(AY79=1,IFERROR(MID(Q79,FIND(" (",Q79)+2,FIND(")",Q79,FIND(" (",Q79))-FIND(" (",Q79)-2),"?"),"")</f>
      </c>
      <c r="BR79" s="129">
        <f>IF(BQ79="","",IF(COUNTIF($BQ$3:BQ79,BQ79)=1,MAX($BR$2:BR78)+1,""))</f>
      </c>
      <c r="BS79" s="129">
        <f>IF(AW79="","",COUNTIF($AW$3:AW79,"?*"))</f>
      </c>
      <c r="BT79" s="129">
        <f>IF(OR(AW79="",AI79=""),"",IF(COUNTIFS($AW$3:AW79,"?*",$AI$3:AI79,AI79)=1,MAX($BT$2:BT78)+1,""))</f>
      </c>
      <c r="BU79" s="129">
        <f>IF(AE79="",0,IF(OR(ISNUMBER(SEARCH("дубль",AE79)),ISNUMBER(SEARCH("ПЕРЕГРУЗ",AE79)),ISNUMBER(SEARCH("ЗАЩИЩ",AE79)),ISNUMBER(SEARCH("КАНАЛ",AE79)),ISNUMBER(SEARCH("без 30",AE79))),2,1))</f>
      </c>
      <c r="BV79" s="129">
        <f>IF(R79="","",COUNTIF($R$3:R79,"?*"))</f>
      </c>
      <c r="BW79" s="129">
        <f>IF(AY79&lt;&gt;1,0,IF(MAX(IFERROR(--VLOOKUP(R79,УГО_спр,5,FALSE),0),IFERROR(--VLOOKUP(AL79,УГО_спр,5,FALSE),0),IFERROR(--VLOOKUP(LEFT(AL79,2),УГО_спр,5,FALSE),0))&gt;0,MAX(IFERROR(--VLOOKUP(R79,УГО_спр,5,FALSE),0),IFERROR(--VLOOKUP(AL79,УГО_спр,5,FALSE),0),IFERROR(--VLOOKUP(LEFT(AL79,2),УГО_спр,5,FALSE),0)),IF(IFERROR(--LEFT(SUBSTITUTE(BQ79,"x","х"),FIND("х",SUBSTITUTE(BQ79,"x","х"))-1),3)&gt;3,Каталог!$S$9,1)))</f>
      </c>
      <c r="BX79" s="129">
        <f>IF(AY79&lt;&gt;1,0,MAX(0,IFERROR(--LEFT(SUBSTITUTE(BQ79,"x","х"),FIND("х",SUBSTITUTE(BQ79,"x","х"))-1),3)-3*BW79))</f>
      </c>
      <c r="BY79" s="129">
        <f>IF(R79="","",IFERROR(VLOOKUP(R79,УГО_спр,2,FALSE),IFERROR(VLOOKUP(AL79,УГО_спр,2,FALSE),IFERROR(VLOOKUP(LEFT(AL79,2),УГО_спр,2,FALSE),""))))</f>
      </c>
    </row>
    <row r="80" spans="1:64" x14ac:dyDescent="0.3">
      <c r="A80" s="135">
        <f>IF(Разбивка_по_щитам!F80=0,"",Разбивка_по_щитам!F80)</f>
      </c>
      <c r="B80" s="138">
        <f>IF(A80="","",Разбивка_по_щитам!C80)</f>
      </c>
      <c r="C80" s="138">
        <f t="shared" si="44"/>
      </c>
      <c r="D80" s="266"/>
      <c r="E80" s="266"/>
      <c r="F80" s="267"/>
      <c r="G80" s="145">
        <f t="shared" si="45"/>
        <v/>
      </c>
      <c r="H80" s="145">
        <f t="shared" si="46"/>
        <v/>
      </c>
      <c r="I80" s="266"/>
      <c r="J80" s="267"/>
      <c r="K80" s="267"/>
      <c r="L80" s="266"/>
      <c r="M80" s="147">
        <f t="shared" si="82"/>
        <v/>
      </c>
      <c r="N80" s="267"/>
      <c r="O80" s="147">
        <f t="shared" si="83"/>
        <v/>
      </c>
      <c r="P80" s="268">
        <f>IF(AY80=1,"XT"&amp;COUNTIFS($A$3:A80,A80,$AY$3:AY80,1),"")</f>
        <v/>
      </c>
      <c r="Q80" s="152">
        <f>IF(R80="","",IFERROR(SUBSTITUTE(Разбивка_по_щитам!P80,CHAR(10)," "),""))</f>
        <v/>
      </c>
      <c r="R80" s="153">
        <f>IF(OR(Разбивка_по_щитам!H80="",Разбивка_по_щитам!H80=0),"",Разбивка_по_щитам!H80)</f>
        <v/>
      </c>
      <c r="S80" s="154">
        <f>IF(R80="","",IFERROR(Разбивка_по_щитам!J80&amp;"",""))</f>
        <v/>
      </c>
      <c r="T80" s="155">
        <f>IF(R80="","",IFERROR(--Разбивка_по_щитам!L80,""))</f>
        <v/>
      </c>
      <c r="U80" s="155">
        <f>IF(R80="","",IFERROR(--Разбивка_по_щитам!K80,""))</f>
        <v/>
      </c>
      <c r="V80" s="138">
        <f>IF(R80="","",IFERROR(IF(Разбивка_по_щитам!M80=0,"",Разбивка_по_щитам!M80),""))</f>
        <v/>
      </c>
      <c r="W80" s="156">
        <f t="shared" si="47"/>
        <v/>
      </c>
      <c r="X80" s="157">
        <f t="shared" si="48"/>
        <v/>
      </c>
      <c r="Y80" s="266"/>
      <c r="Z80" s="158">
        <f t="shared" si="49"/>
        <v/>
      </c>
      <c r="AA80" s="160">
        <f t="shared" si="50"/>
        <v/>
      </c>
      <c r="AB80" s="160">
        <f>IF(R80="","",IFERROR(LOOKUP(INDEX(Справочная!$I$4:$I$19,MATCH(VLOOKUP(R80,Исходные_данные,22,FALSE),Справочная!$J$4:$J$19,0)+1),{6,10,16,20,25,32,40,50,63,80,100,125}),""))</f>
        <v/>
      </c>
      <c r="AC80" s="160">
        <f t="shared" si="51"/>
        <v/>
      </c>
      <c r="AD80" s="161">
        <f t="shared" si="52"/>
        <v/>
      </c>
      <c r="AE80" s="161">
        <f>IF(AND(R80="",G80=""),"",_xlfn.TEXTJOIN("; ",TRUE,IF(AND(R80&lt;&gt;"",V80=""),"нет фазы",""),IF(AND(R80&lt;&gt;"",N(T80)=0),"нет мощности",""),IF(AND(P80&lt;&gt;"",COUNTIFS($A$3:$A$1000,A80,$P$3:$P$1000,P80)&gt;1),"дубль клеммы "&amp;P80,""),IF(AND(W80&lt;&gt;"",W80&lt;&gt;"ok"),W80,""),IF(X80&lt;&gt;"",X80,""),IF(AND(ISNUMBER(SEARCH("(5х",Q80)),N(AK80)=1),"5 жил на 1 фазе",""),IF(AND(AL80="R",E80&lt;&gt;"",N(AS80)=0),"розетка без 30 мА",""),IF(IFERROR(_xlfn.NUMBERVALUE(MID(Q80,FIND("-",Q80,FIND("L=",Q80))+1,FIND("%",Q80)-FIND("-",Q80,FIND("L=",Q80))-1),","),0)&gt;4,"потери &gt; 4 %","")))</f>
      </c>
      <c r="AF80" s="129">
        <f>IF(E80&lt;&gt;"",COUNTIFS($A$3:A80,A80,$E$3:E80,"?*"),IF(OR(A80&lt;&gt;A79,Y80="вручную"),"",AF79))</f>
      </c>
      <c r="AG80" s="129">
        <f t="shared" si="53"/>
      </c>
      <c r="AH80" s="129">
        <f t="shared" si="54"/>
        <v/>
      </c>
      <c r="AI80" s="129">
        <f t="shared" si="55"/>
        <v/>
      </c>
      <c r="AJ80" s="129">
        <f t="shared" si="56"/>
        <v/>
      </c>
      <c r="AK80" s="129">
        <f t="shared" si="57"/>
        <v/>
      </c>
      <c r="AL80" s="129">
        <f t="shared" si="58"/>
        <v/>
      </c>
      <c r="AM80" s="129">
        <f t="shared" si="59"/>
      </c>
      <c r="AN80" s="129">
        <f t="shared" si="60"/>
      </c>
      <c r="AO80" s="129">
        <f t="shared" si="61"/>
        <v/>
      </c>
      <c r="AP80" s="129">
        <f t="shared" si="62"/>
        <v/>
      </c>
      <c r="AQ80" s="129">
        <f t="shared" si="63"/>
        <v/>
      </c>
      <c r="AR80" s="129">
        <f t="shared" si="64"/>
        <v/>
      </c>
      <c r="AS80" s="129">
        <f t="shared" si="65"/>
        <v/>
      </c>
      <c r="AT80" s="129">
        <f t="shared" si="66"/>
        <v/>
      </c>
      <c r="AU80" s="129">
        <f t="shared" si="67"/>
        <v/>
      </c>
      <c r="AV80" s="129">
        <f t="shared" si="68"/>
        <v/>
      </c>
      <c r="AW80" s="129">
        <f>IF(AV80="","",AV80&amp;"."&amp;COUNTIFS($A$3:A80,A80,$AV$3:AV80,AV80))</f>
        <v/>
      </c>
      <c r="AX80" s="129">
        <f t="shared" si="69"/>
        <v/>
      </c>
      <c r="AY80" s="129">
        <f>IF(N80="б/к",0,IF(OR(ISNUMBER(SEARCH("L=",Разбивка_по_щитам!P80)),N80="+",N80="="),1,0))</f>
      </c>
      <c r="AZ80" s="129">
        <f t="shared" si="70"/>
      </c>
      <c r="BA80" s="129">
        <f t="shared" si="71"/>
      </c>
      <c r="BB80" s="129">
        <f t="shared" si="72"/>
      </c>
      <c r="BD80" s="129">
        <f t="shared" si="73"/>
      </c>
      <c r="BE80" s="129">
        <f t="shared" si="74"/>
      </c>
      <c r="BF80" s="129">
        <f t="shared" si="75"/>
      </c>
      <c r="BG80" s="129">
        <f t="shared" si="76"/>
        <v/>
      </c>
      <c r="BH80" s="129">
        <f t="shared" si="77"/>
        <v/>
      </c>
      <c r="BI80" s="129">
        <f t="shared" si="78"/>
        <v/>
      </c>
      <c r="BJ80" s="129">
        <f t="shared" si="79"/>
        <v/>
      </c>
      <c r="BK80" s="129">
        <f>IF(R80="","",IF(OR(BY80="",BY80=0),"BOX",IFERROR(IF(VLOOKUP(BY80,УГО_блоки,3,FALSE)&amp;""&lt;&gt;"",VLOOKUP(BY80,УГО_блоки,3,FALSE),VLOOKUP(BY80,УГО_блоки,2,FALSE)),BY80)))</f>
      </c>
      <c r="BL80" s="129">
        <f t="shared" si="81"/>
      </c>
      <c r="BM80" s="129">
        <f>IF(H80="","",IF(COUNTIF($H$3:H80,H80)=1,MAX($BM$2:BM79)+1,""))</f>
      </c>
      <c r="BN80" s="129">
        <f>IF(I80="","",IF(COUNTIF($I$3:I80,I80)+COUNTIF($J$2:J79,I80)+COUNTIF($K$2:K79,I80)=1,MAX($BN$2:BP79)+1,""))</f>
      </c>
      <c r="BO80" s="129">
        <f>IF(J80="","",IF(COUNTIF($I$3:I80,J80)+COUNTIF($J$3:J80,J80)+COUNTIF($K$2:K79,J80)=1,MAX($BN$2:BP79,BN80)+1,""))</f>
      </c>
      <c r="BP80" s="129">
        <f>IF(K80="","",IF(COUNTIF($I$3:I80,K80)+COUNTIF($J$3:J80,K80)+COUNTIF($K$3:K80,K80)=1,MAX($BN$2:BP79,BN80,BO80)+1,""))</f>
      </c>
      <c r="BQ80" s="129">
        <f>IF(AY80=1,IFERROR(MID(Q80,FIND(" (",Q80)+2,FIND(")",Q80,FIND(" (",Q80))-FIND(" (",Q80)-2),"?"),"")</f>
      </c>
      <c r="BR80" s="129">
        <f>IF(BQ80="","",IF(COUNTIF($BQ$3:BQ80,BQ80)=1,MAX($BR$2:BR79)+1,""))</f>
      </c>
      <c r="BS80" s="129">
        <f>IF(AW80="","",COUNTIF($AW$3:AW80,"?*"))</f>
      </c>
      <c r="BT80" s="129">
        <f>IF(OR(AW80="",AI80=""),"",IF(COUNTIFS($AW$3:AW80,"?*",$AI$3:AI80,AI80)=1,MAX($BT$2:BT79)+1,""))</f>
      </c>
      <c r="BU80" s="129">
        <f>IF(AE80="",0,IF(OR(ISNUMBER(SEARCH("дубль",AE80)),ISNUMBER(SEARCH("ПЕРЕГРУЗ",AE80)),ISNUMBER(SEARCH("ЗАЩИЩ",AE80)),ISNUMBER(SEARCH("КАНАЛ",AE80)),ISNUMBER(SEARCH("без 30",AE80))),2,1))</f>
      </c>
      <c r="BV80" s="129">
        <f>IF(R80="","",COUNTIF($R$3:R80,"?*"))</f>
      </c>
      <c r="BW80" s="129">
        <f>IF(AY80&lt;&gt;1,0,IF(MAX(IFERROR(--VLOOKUP(R80,УГО_спр,5,FALSE),0),IFERROR(--VLOOKUP(AL80,УГО_спр,5,FALSE),0),IFERROR(--VLOOKUP(LEFT(AL80,2),УГО_спр,5,FALSE),0))&gt;0,MAX(IFERROR(--VLOOKUP(R80,УГО_спр,5,FALSE),0),IFERROR(--VLOOKUP(AL80,УГО_спр,5,FALSE),0),IFERROR(--VLOOKUP(LEFT(AL80,2),УГО_спр,5,FALSE),0)),IF(IFERROR(--LEFT(SUBSTITUTE(BQ80,"x","х"),FIND("х",SUBSTITUTE(BQ80,"x","х"))-1),3)&gt;3,Каталог!$S$9,1)))</f>
      </c>
      <c r="BX80" s="129">
        <f>IF(AY80&lt;&gt;1,0,MAX(0,IFERROR(--LEFT(SUBSTITUTE(BQ80,"x","х"),FIND("х",SUBSTITUTE(BQ80,"x","х"))-1),3)-3*BW80))</f>
      </c>
      <c r="BY80" s="129">
        <f>IF(R80="","",IFERROR(VLOOKUP(R80,УГО_спр,2,FALSE),IFERROR(VLOOKUP(AL80,УГО_спр,2,FALSE),IFERROR(VLOOKUP(LEFT(AL80,2),УГО_спр,2,FALSE),""))))</f>
      </c>
    </row>
    <row r="81" spans="1:64" x14ac:dyDescent="0.3">
      <c r="A81" s="135">
        <f>IF(Разбивка_по_щитам!F81=0,"",Разбивка_по_щитам!F81)</f>
      </c>
      <c r="B81" s="138">
        <f>IF(A81="","",Разбивка_по_щитам!C81)</f>
      </c>
      <c r="C81" s="138">
        <f t="shared" si="44"/>
      </c>
      <c r="D81" s="266"/>
      <c r="E81" s="266"/>
      <c r="F81" s="267"/>
      <c r="G81" s="145">
        <f t="shared" si="45"/>
        <v/>
      </c>
      <c r="H81" s="145">
        <f t="shared" si="46"/>
        <v/>
      </c>
      <c r="I81" s="266"/>
      <c r="J81" s="267"/>
      <c r="K81" s="267"/>
      <c r="L81" s="266"/>
      <c r="M81" s="147">
        <f t="shared" si="82"/>
        <v/>
      </c>
      <c r="N81" s="267"/>
      <c r="O81" s="147">
        <f t="shared" si="83"/>
        <v/>
      </c>
      <c r="P81" s="268">
        <f>IF(AY81=1,"XT"&amp;COUNTIFS($A$3:A81,A81,$AY$3:AY81,1),"")</f>
        <v/>
      </c>
      <c r="Q81" s="152">
        <f>IF(R81="","",IFERROR(SUBSTITUTE(Разбивка_по_щитам!P81,CHAR(10)," "),""))</f>
        <v/>
      </c>
      <c r="R81" s="153">
        <f>IF(OR(Разбивка_по_щитам!H81="",Разбивка_по_щитам!H81=0),"",Разбивка_по_щитам!H81)</f>
        <v/>
      </c>
      <c r="S81" s="154">
        <f>IF(R81="","",IFERROR(Разбивка_по_щитам!J81&amp;"",""))</f>
        <v/>
      </c>
      <c r="T81" s="155">
        <f>IF(R81="","",IFERROR(--Разбивка_по_щитам!L81,""))</f>
        <v/>
      </c>
      <c r="U81" s="155">
        <f>IF(R81="","",IFERROR(--Разбивка_по_щитам!K81,""))</f>
        <v/>
      </c>
      <c r="V81" s="138">
        <f>IF(R81="","",IFERROR(IF(Разбивка_по_щитам!M81=0,"",Разбивка_по_щитам!M81),""))</f>
        <v/>
      </c>
      <c r="W81" s="156">
        <f t="shared" si="47"/>
        <v/>
      </c>
      <c r="X81" s="157">
        <f t="shared" si="48"/>
        <v/>
      </c>
      <c r="Y81" s="266"/>
      <c r="Z81" s="158">
        <f t="shared" si="49"/>
        <v/>
      </c>
      <c r="AA81" s="160">
        <f t="shared" si="50"/>
        <v/>
      </c>
      <c r="AB81" s="160">
        <f>IF(R81="","",IFERROR(LOOKUP(INDEX(Справочная!$I$4:$I$19,MATCH(VLOOKUP(R81,Исходные_данные,22,FALSE),Справочная!$J$4:$J$19,0)+1),{6,10,16,20,25,32,40,50,63,80,100,125}),""))</f>
        <v/>
      </c>
      <c r="AC81" s="160">
        <f t="shared" si="51"/>
        <v/>
      </c>
      <c r="AD81" s="161">
        <f t="shared" si="52"/>
        <v/>
      </c>
      <c r="AE81" s="161">
        <f>IF(AND(R81="",G81=""),"",_xlfn.TEXTJOIN("; ",TRUE,IF(AND(R81&lt;&gt;"",V81=""),"нет фазы",""),IF(AND(R81&lt;&gt;"",N(T81)=0),"нет мощности",""),IF(AND(P81&lt;&gt;"",COUNTIFS($A$3:$A$1000,A81,$P$3:$P$1000,P81)&gt;1),"дубль клеммы "&amp;P81,""),IF(AND(W81&lt;&gt;"",W81&lt;&gt;"ok"),W81,""),IF(X81&lt;&gt;"",X81,""),IF(AND(ISNUMBER(SEARCH("(5х",Q81)),N(AK81)=1),"5 жил на 1 фазе",""),IF(AND(AL81="R",E81&lt;&gt;"",N(AS81)=0),"розетка без 30 мА",""),IF(IFERROR(_xlfn.NUMBERVALUE(MID(Q81,FIND("-",Q81,FIND("L=",Q81))+1,FIND("%",Q81)-FIND("-",Q81,FIND("L=",Q81))-1),","),0)&gt;4,"потери &gt; 4 %","")))</f>
      </c>
      <c r="AF81" s="129">
        <f>IF(E81&lt;&gt;"",COUNTIFS($A$3:A81,A81,$E$3:E81,"?*"),IF(OR(A81&lt;&gt;A80,Y81="вручную"),"",AF80))</f>
      </c>
      <c r="AG81" s="129">
        <f t="shared" si="53"/>
      </c>
      <c r="AH81" s="129">
        <f t="shared" si="54"/>
        <v/>
      </c>
      <c r="AI81" s="129">
        <f t="shared" si="55"/>
        <v/>
      </c>
      <c r="AJ81" s="129">
        <f t="shared" si="56"/>
        <v/>
      </c>
      <c r="AK81" s="129">
        <f t="shared" si="57"/>
        <v/>
      </c>
      <c r="AL81" s="129">
        <f t="shared" si="58"/>
        <v/>
      </c>
      <c r="AM81" s="129">
        <f t="shared" si="59"/>
      </c>
      <c r="AN81" s="129">
        <f t="shared" si="60"/>
      </c>
      <c r="AO81" s="129">
        <f t="shared" si="61"/>
        <v/>
      </c>
      <c r="AP81" s="129">
        <f t="shared" si="62"/>
        <v/>
      </c>
      <c r="AQ81" s="129">
        <f t="shared" si="63"/>
        <v/>
      </c>
      <c r="AR81" s="129">
        <f t="shared" si="64"/>
        <v/>
      </c>
      <c r="AS81" s="129">
        <f t="shared" si="65"/>
        <v/>
      </c>
      <c r="AT81" s="129">
        <f t="shared" si="66"/>
        <v/>
      </c>
      <c r="AU81" s="129">
        <f t="shared" si="67"/>
        <v/>
      </c>
      <c r="AV81" s="129">
        <f t="shared" si="68"/>
        <v/>
      </c>
      <c r="AW81" s="129">
        <f>IF(AV81="","",AV81&amp;"."&amp;COUNTIFS($A$3:A81,A81,$AV$3:AV81,AV81))</f>
        <v/>
      </c>
      <c r="AX81" s="129">
        <f t="shared" si="69"/>
        <v/>
      </c>
      <c r="AY81" s="129">
        <f>IF(N81="б/к",0,IF(OR(ISNUMBER(SEARCH("L=",Разбивка_по_щитам!P81)),N81="+",N81="="),1,0))</f>
      </c>
      <c r="AZ81" s="129">
        <f t="shared" si="70"/>
      </c>
      <c r="BA81" s="129">
        <f t="shared" si="71"/>
      </c>
      <c r="BB81" s="129">
        <f t="shared" si="72"/>
      </c>
      <c r="BD81" s="129">
        <f t="shared" si="73"/>
      </c>
      <c r="BE81" s="129">
        <f t="shared" si="74"/>
      </c>
      <c r="BF81" s="129">
        <f t="shared" si="75"/>
      </c>
      <c r="BG81" s="129">
        <f t="shared" si="76"/>
        <v/>
      </c>
      <c r="BH81" s="129">
        <f t="shared" si="77"/>
        <v/>
      </c>
      <c r="BI81" s="129">
        <f t="shared" si="78"/>
        <v/>
      </c>
      <c r="BJ81" s="129">
        <f t="shared" si="79"/>
        <v/>
      </c>
      <c r="BK81" s="129">
        <f>IF(R81="","",IF(OR(BY81="",BY81=0),"BOX",IFERROR(IF(VLOOKUP(BY81,УГО_блоки,3,FALSE)&amp;""&lt;&gt;"",VLOOKUP(BY81,УГО_блоки,3,FALSE),VLOOKUP(BY81,УГО_блоки,2,FALSE)),BY81)))</f>
      </c>
      <c r="BL81" s="129">
        <f t="shared" si="81"/>
      </c>
      <c r="BM81" s="129">
        <f>IF(H81="","",IF(COUNTIF($H$3:H81,H81)=1,MAX($BM$2:BM80)+1,""))</f>
      </c>
      <c r="BN81" s="129">
        <f>IF(I81="","",IF(COUNTIF($I$3:I81,I81)+COUNTIF($J$2:J80,I81)+COUNTIF($K$2:K80,I81)=1,MAX($BN$2:BP80)+1,""))</f>
      </c>
      <c r="BO81" s="129">
        <f>IF(J81="","",IF(COUNTIF($I$3:I81,J81)+COUNTIF($J$3:J81,J81)+COUNTIF($K$2:K80,J81)=1,MAX($BN$2:BP80,BN81)+1,""))</f>
      </c>
      <c r="BP81" s="129">
        <f>IF(K81="","",IF(COUNTIF($I$3:I81,K81)+COUNTIF($J$3:J81,K81)+COUNTIF($K$3:K81,K81)=1,MAX($BN$2:BP80,BN81,BO81)+1,""))</f>
      </c>
      <c r="BQ81" s="129">
        <f>IF(AY81=1,IFERROR(MID(Q81,FIND(" (",Q81)+2,FIND(")",Q81,FIND(" (",Q81))-FIND(" (",Q81)-2),"?"),"")</f>
      </c>
      <c r="BR81" s="129">
        <f>IF(BQ81="","",IF(COUNTIF($BQ$3:BQ81,BQ81)=1,MAX($BR$2:BR80)+1,""))</f>
      </c>
      <c r="BS81" s="129">
        <f>IF(AW81="","",COUNTIF($AW$3:AW81,"?*"))</f>
      </c>
      <c r="BT81" s="129">
        <f>IF(OR(AW81="",AI81=""),"",IF(COUNTIFS($AW$3:AW81,"?*",$AI$3:AI81,AI81)=1,MAX($BT$2:BT80)+1,""))</f>
      </c>
      <c r="BU81" s="129">
        <f>IF(AE81="",0,IF(OR(ISNUMBER(SEARCH("дубль",AE81)),ISNUMBER(SEARCH("ПЕРЕГРУЗ",AE81)),ISNUMBER(SEARCH("ЗАЩИЩ",AE81)),ISNUMBER(SEARCH("КАНАЛ",AE81)),ISNUMBER(SEARCH("без 30",AE81))),2,1))</f>
      </c>
      <c r="BV81" s="129">
        <f>IF(R81="","",COUNTIF($R$3:R81,"?*"))</f>
      </c>
      <c r="BW81" s="129">
        <f>IF(AY81&lt;&gt;1,0,IF(MAX(IFERROR(--VLOOKUP(R81,УГО_спр,5,FALSE),0),IFERROR(--VLOOKUP(AL81,УГО_спр,5,FALSE),0),IFERROR(--VLOOKUP(LEFT(AL81,2),УГО_спр,5,FALSE),0))&gt;0,MAX(IFERROR(--VLOOKUP(R81,УГО_спр,5,FALSE),0),IFERROR(--VLOOKUP(AL81,УГО_спр,5,FALSE),0),IFERROR(--VLOOKUP(LEFT(AL81,2),УГО_спр,5,FALSE),0)),IF(IFERROR(--LEFT(SUBSTITUTE(BQ81,"x","х"),FIND("х",SUBSTITUTE(BQ81,"x","х"))-1),3)&gt;3,Каталог!$S$9,1)))</f>
      </c>
      <c r="BX81" s="129">
        <f>IF(AY81&lt;&gt;1,0,MAX(0,IFERROR(--LEFT(SUBSTITUTE(BQ81,"x","х"),FIND("х",SUBSTITUTE(BQ81,"x","х"))-1),3)-3*BW81))</f>
      </c>
      <c r="BY81" s="129">
        <f>IF(R81="","",IFERROR(VLOOKUP(R81,УГО_спр,2,FALSE),IFERROR(VLOOKUP(AL81,УГО_спр,2,FALSE),IFERROR(VLOOKUP(LEFT(AL81,2),УГО_спр,2,FALSE),""))))</f>
      </c>
    </row>
    <row r="82" spans="1:64" x14ac:dyDescent="0.3">
      <c r="A82" s="135">
        <f>IF(Разбивка_по_щитам!F82=0,"",Разбивка_по_щитам!F82)</f>
      </c>
      <c r="B82" s="138">
        <f>IF(A82="","",Разбивка_по_щитам!C82)</f>
      </c>
      <c r="C82" s="138">
        <f t="shared" si="44"/>
      </c>
      <c r="D82" s="266"/>
      <c r="E82" s="266"/>
      <c r="F82" s="267"/>
      <c r="G82" s="145">
        <f t="shared" si="45"/>
        <v/>
      </c>
      <c r="H82" s="145">
        <f t="shared" si="46"/>
        <v/>
      </c>
      <c r="I82" s="266"/>
      <c r="J82" s="267"/>
      <c r="K82" s="267"/>
      <c r="L82" s="266"/>
      <c r="M82" s="147">
        <f t="shared" si="82"/>
        <v/>
      </c>
      <c r="N82" s="267"/>
      <c r="O82" s="147">
        <f t="shared" si="83"/>
        <v/>
      </c>
      <c r="P82" s="268">
        <f>IF(AY82=1,"XT"&amp;COUNTIFS($A$3:A82,A82,$AY$3:AY82,1),"")</f>
        <v/>
      </c>
      <c r="Q82" s="152">
        <f>IF(R82="","",IFERROR(SUBSTITUTE(Разбивка_по_щитам!P82,CHAR(10)," "),""))</f>
        <v/>
      </c>
      <c r="R82" s="153">
        <f>IF(OR(Разбивка_по_щитам!H82="",Разбивка_по_щитам!H82=0),"",Разбивка_по_щитам!H82)</f>
        <v/>
      </c>
      <c r="S82" s="154">
        <f>IF(R82="","",IFERROR(Разбивка_по_щитам!J82&amp;"",""))</f>
        <v/>
      </c>
      <c r="T82" s="155">
        <f>IF(R82="","",IFERROR(--Разбивка_по_щитам!L82,""))</f>
        <v/>
      </c>
      <c r="U82" s="155">
        <f>IF(R82="","",IFERROR(--Разбивка_по_щитам!K82,""))</f>
        <v/>
      </c>
      <c r="V82" s="138">
        <f>IF(R82="","",IFERROR(IF(Разбивка_по_щитам!M82=0,"",Разбивка_по_щитам!M82),""))</f>
        <v/>
      </c>
      <c r="W82" s="156">
        <f t="shared" si="47"/>
        <v/>
      </c>
      <c r="X82" s="157">
        <f t="shared" si="48"/>
        <v/>
      </c>
      <c r="Y82" s="266"/>
      <c r="Z82" s="158">
        <f t="shared" si="49"/>
        <v/>
      </c>
      <c r="AA82" s="160">
        <f t="shared" si="50"/>
        <v/>
      </c>
      <c r="AB82" s="160">
        <f>IF(R82="","",IFERROR(LOOKUP(INDEX(Справочная!$I$4:$I$19,MATCH(VLOOKUP(R82,Исходные_данные,22,FALSE),Справочная!$J$4:$J$19,0)+1),{6,10,16,20,25,32,40,50,63,80,100,125}),""))</f>
        <v/>
      </c>
      <c r="AC82" s="160">
        <f t="shared" si="51"/>
        <v/>
      </c>
      <c r="AD82" s="161">
        <f t="shared" si="52"/>
        <v/>
      </c>
      <c r="AE82" s="161">
        <f>IF(AND(R82="",G82=""),"",_xlfn.TEXTJOIN("; ",TRUE,IF(AND(R82&lt;&gt;"",V82=""),"нет фазы",""),IF(AND(R82&lt;&gt;"",N(T82)=0),"нет мощности",""),IF(AND(P82&lt;&gt;"",COUNTIFS($A$3:$A$1000,A82,$P$3:$P$1000,P82)&gt;1),"дубль клеммы "&amp;P82,""),IF(AND(W82&lt;&gt;"",W82&lt;&gt;"ok"),W82,""),IF(X82&lt;&gt;"",X82,""),IF(AND(ISNUMBER(SEARCH("(5х",Q82)),N(AK82)=1),"5 жил на 1 фазе",""),IF(AND(AL82="R",E82&lt;&gt;"",N(AS82)=0),"розетка без 30 мА",""),IF(IFERROR(_xlfn.NUMBERVALUE(MID(Q82,FIND("-",Q82,FIND("L=",Q82))+1,FIND("%",Q82)-FIND("-",Q82,FIND("L=",Q82))-1),","),0)&gt;4,"потери &gt; 4 %","")))</f>
      </c>
      <c r="AF82" s="129">
        <f>IF(E82&lt;&gt;"",COUNTIFS($A$3:A82,A82,$E$3:E82,"?*"),IF(OR(A82&lt;&gt;A81,Y82="вручную"),"",AF81))</f>
      </c>
      <c r="AG82" s="129">
        <f t="shared" si="53"/>
      </c>
      <c r="AH82" s="129">
        <f t="shared" si="54"/>
        <v/>
      </c>
      <c r="AI82" s="129">
        <f t="shared" si="55"/>
        <v/>
      </c>
      <c r="AJ82" s="129">
        <f t="shared" si="56"/>
        <v/>
      </c>
      <c r="AK82" s="129">
        <f t="shared" si="57"/>
        <v/>
      </c>
      <c r="AL82" s="129">
        <f t="shared" si="58"/>
        <v/>
      </c>
      <c r="AM82" s="129">
        <f t="shared" si="59"/>
      </c>
      <c r="AN82" s="129">
        <f t="shared" si="60"/>
      </c>
      <c r="AO82" s="129">
        <f t="shared" si="61"/>
        <v/>
      </c>
      <c r="AP82" s="129">
        <f t="shared" si="62"/>
        <v/>
      </c>
      <c r="AQ82" s="129">
        <f t="shared" si="63"/>
        <v/>
      </c>
      <c r="AR82" s="129">
        <f t="shared" si="64"/>
        <v/>
      </c>
      <c r="AS82" s="129">
        <f t="shared" si="65"/>
        <v/>
      </c>
      <c r="AT82" s="129">
        <f t="shared" si="66"/>
        <v/>
      </c>
      <c r="AU82" s="129">
        <f t="shared" si="67"/>
        <v/>
      </c>
      <c r="AV82" s="129">
        <f t="shared" si="68"/>
        <v/>
      </c>
      <c r="AW82" s="129">
        <f>IF(AV82="","",AV82&amp;"."&amp;COUNTIFS($A$3:A82,A82,$AV$3:AV82,AV82))</f>
        <v/>
      </c>
      <c r="AX82" s="129">
        <f t="shared" si="69"/>
        <v/>
      </c>
      <c r="AY82" s="129">
        <f>IF(N82="б/к",0,IF(OR(ISNUMBER(SEARCH("L=",Разбивка_по_щитам!P82)),N82="+",N82="="),1,0))</f>
      </c>
      <c r="AZ82" s="129">
        <f t="shared" si="70"/>
      </c>
      <c r="BA82" s="129">
        <f t="shared" si="71"/>
      </c>
      <c r="BB82" s="129">
        <f t="shared" si="72"/>
      </c>
      <c r="BD82" s="129">
        <f t="shared" si="73"/>
      </c>
      <c r="BE82" s="129">
        <f t="shared" si="74"/>
      </c>
      <c r="BF82" s="129">
        <f t="shared" si="75"/>
      </c>
      <c r="BG82" s="129">
        <f t="shared" si="76"/>
        <v/>
      </c>
      <c r="BH82" s="129">
        <f t="shared" si="77"/>
        <v/>
      </c>
      <c r="BI82" s="129">
        <f t="shared" si="78"/>
        <v/>
      </c>
      <c r="BJ82" s="129">
        <f t="shared" si="79"/>
        <v/>
      </c>
      <c r="BK82" s="129">
        <f>IF(R82="","",IF(OR(BY82="",BY82=0),"BOX",IFERROR(IF(VLOOKUP(BY82,УГО_блоки,3,FALSE)&amp;""&lt;&gt;"",VLOOKUP(BY82,УГО_блоки,3,FALSE),VLOOKUP(BY82,УГО_блоки,2,FALSE)),BY82)))</f>
      </c>
      <c r="BL82" s="129">
        <f t="shared" si="81"/>
      </c>
      <c r="BM82" s="129">
        <f>IF(H82="","",IF(COUNTIF($H$3:H82,H82)=1,MAX($BM$2:BM81)+1,""))</f>
      </c>
      <c r="BN82" s="129">
        <f>IF(I82="","",IF(COUNTIF($I$3:I82,I82)+COUNTIF($J$2:J81,I82)+COUNTIF($K$2:K81,I82)=1,MAX($BN$2:BP81)+1,""))</f>
      </c>
      <c r="BO82" s="129">
        <f>IF(J82="","",IF(COUNTIF($I$3:I82,J82)+COUNTIF($J$3:J82,J82)+COUNTIF($K$2:K81,J82)=1,MAX($BN$2:BP81,BN82)+1,""))</f>
      </c>
      <c r="BP82" s="129">
        <f>IF(K82="","",IF(COUNTIF($I$3:I82,K82)+COUNTIF($J$3:J82,K82)+COUNTIF($K$3:K82,K82)=1,MAX($BN$2:BP81,BN82,BO82)+1,""))</f>
      </c>
      <c r="BQ82" s="129">
        <f>IF(AY82=1,IFERROR(MID(Q82,FIND(" (",Q82)+2,FIND(")",Q82,FIND(" (",Q82))-FIND(" (",Q82)-2),"?"),"")</f>
      </c>
      <c r="BR82" s="129">
        <f>IF(BQ82="","",IF(COUNTIF($BQ$3:BQ82,BQ82)=1,MAX($BR$2:BR81)+1,""))</f>
      </c>
      <c r="BS82" s="129">
        <f>IF(AW82="","",COUNTIF($AW$3:AW82,"?*"))</f>
      </c>
      <c r="BT82" s="129">
        <f>IF(OR(AW82="",AI82=""),"",IF(COUNTIFS($AW$3:AW82,"?*",$AI$3:AI82,AI82)=1,MAX($BT$2:BT81)+1,""))</f>
      </c>
      <c r="BU82" s="129">
        <f>IF(AE82="",0,IF(OR(ISNUMBER(SEARCH("дубль",AE82)),ISNUMBER(SEARCH("ПЕРЕГРУЗ",AE82)),ISNUMBER(SEARCH("ЗАЩИЩ",AE82)),ISNUMBER(SEARCH("КАНАЛ",AE82)),ISNUMBER(SEARCH("без 30",AE82))),2,1))</f>
      </c>
      <c r="BV82" s="129">
        <f>IF(R82="","",COUNTIF($R$3:R82,"?*"))</f>
      </c>
      <c r="BW82" s="129">
        <f>IF(AY82&lt;&gt;1,0,IF(MAX(IFERROR(--VLOOKUP(R82,УГО_спр,5,FALSE),0),IFERROR(--VLOOKUP(AL82,УГО_спр,5,FALSE),0),IFERROR(--VLOOKUP(LEFT(AL82,2),УГО_спр,5,FALSE),0))&gt;0,MAX(IFERROR(--VLOOKUP(R82,УГО_спр,5,FALSE),0),IFERROR(--VLOOKUP(AL82,УГО_спр,5,FALSE),0),IFERROR(--VLOOKUP(LEFT(AL82,2),УГО_спр,5,FALSE),0)),IF(IFERROR(--LEFT(SUBSTITUTE(BQ82,"x","х"),FIND("х",SUBSTITUTE(BQ82,"x","х"))-1),3)&gt;3,Каталог!$S$9,1)))</f>
      </c>
      <c r="BX82" s="129">
        <f>IF(AY82&lt;&gt;1,0,MAX(0,IFERROR(--LEFT(SUBSTITUTE(BQ82,"x","х"),FIND("х",SUBSTITUTE(BQ82,"x","х"))-1),3)-3*BW82))</f>
      </c>
      <c r="BY82" s="129">
        <f>IF(R82="","",IFERROR(VLOOKUP(R82,УГО_спр,2,FALSE),IFERROR(VLOOKUP(AL82,УГО_спр,2,FALSE),IFERROR(VLOOKUP(LEFT(AL82,2),УГО_спр,2,FALSE),""))))</f>
      </c>
    </row>
    <row r="83" spans="1:64" x14ac:dyDescent="0.3">
      <c r="A83" s="135">
        <f>IF(Разбивка_по_щитам!F83=0,"",Разбивка_по_щитам!F83)</f>
      </c>
      <c r="B83" s="138">
        <f>IF(A83="","",Разбивка_по_щитам!C83)</f>
      </c>
      <c r="C83" s="138">
        <f t="shared" si="44"/>
      </c>
      <c r="D83" s="266"/>
      <c r="E83" s="266"/>
      <c r="F83" s="267"/>
      <c r="G83" s="145">
        <f t="shared" si="45"/>
        <v/>
      </c>
      <c r="H83" s="145">
        <f t="shared" si="46"/>
        <v/>
      </c>
      <c r="I83" s="266"/>
      <c r="J83" s="267"/>
      <c r="K83" s="267"/>
      <c r="L83" s="266"/>
      <c r="M83" s="147">
        <f t="shared" si="82"/>
        <v/>
      </c>
      <c r="N83" s="267"/>
      <c r="O83" s="147">
        <f t="shared" si="83"/>
        <v/>
      </c>
      <c r="P83" s="268">
        <f>IF(AY83=1,"XT"&amp;COUNTIFS($A$3:A83,A83,$AY$3:AY83,1),"")</f>
        <v/>
      </c>
      <c r="Q83" s="152">
        <f>IF(R83="","",IFERROR(SUBSTITUTE(Разбивка_по_щитам!P83,CHAR(10)," "),""))</f>
        <v/>
      </c>
      <c r="R83" s="153">
        <f>IF(OR(Разбивка_по_щитам!H83="",Разбивка_по_щитам!H83=0),"",Разбивка_по_щитам!H83)</f>
        <v/>
      </c>
      <c r="S83" s="154">
        <f>IF(R83="","",IFERROR(Разбивка_по_щитам!J83&amp;"",""))</f>
        <v/>
      </c>
      <c r="T83" s="155">
        <f>IF(R83="","",IFERROR(--Разбивка_по_щитам!L83,""))</f>
        <v/>
      </c>
      <c r="U83" s="155">
        <f>IF(R83="","",IFERROR(--Разбивка_по_щитам!K83,""))</f>
        <v/>
      </c>
      <c r="V83" s="138">
        <f>IF(R83="","",IFERROR(IF(Разбивка_по_щитам!M83=0,"",Разбивка_по_щитам!M83),""))</f>
        <v/>
      </c>
      <c r="W83" s="156">
        <f t="shared" si="47"/>
        <v/>
      </c>
      <c r="X83" s="157">
        <f t="shared" si="48"/>
        <v/>
      </c>
      <c r="Y83" s="266"/>
      <c r="Z83" s="158">
        <f t="shared" si="49"/>
        <v/>
      </c>
      <c r="AA83" s="160">
        <f t="shared" si="50"/>
        <v/>
      </c>
      <c r="AB83" s="160">
        <f>IF(R83="","",IFERROR(LOOKUP(INDEX(Справочная!$I$4:$I$19,MATCH(VLOOKUP(R83,Исходные_данные,22,FALSE),Справочная!$J$4:$J$19,0)+1),{6,10,16,20,25,32,40,50,63,80,100,125}),""))</f>
        <v/>
      </c>
      <c r="AC83" s="160">
        <f t="shared" si="51"/>
        <v/>
      </c>
      <c r="AD83" s="161">
        <f t="shared" si="52"/>
        <v/>
      </c>
      <c r="AE83" s="161">
        <f>IF(AND(R83="",G83=""),"",_xlfn.TEXTJOIN("; ",TRUE,IF(AND(R83&lt;&gt;"",V83=""),"нет фазы",""),IF(AND(R83&lt;&gt;"",N(T83)=0),"нет мощности",""),IF(AND(P83&lt;&gt;"",COUNTIFS($A$3:$A$1000,A83,$P$3:$P$1000,P83)&gt;1),"дубль клеммы "&amp;P83,""),IF(AND(W83&lt;&gt;"",W83&lt;&gt;"ok"),W83,""),IF(X83&lt;&gt;"",X83,""),IF(AND(ISNUMBER(SEARCH("(5х",Q83)),N(AK83)=1),"5 жил на 1 фазе",""),IF(AND(AL83="R",E83&lt;&gt;"",N(AS83)=0),"розетка без 30 мА",""),IF(IFERROR(_xlfn.NUMBERVALUE(MID(Q83,FIND("-",Q83,FIND("L=",Q83))+1,FIND("%",Q83)-FIND("-",Q83,FIND("L=",Q83))-1),","),0)&gt;4,"потери &gt; 4 %","")))</f>
      </c>
      <c r="AF83" s="129">
        <f>IF(E83&lt;&gt;"",COUNTIFS($A$3:A83,A83,$E$3:E83,"?*"),IF(OR(A83&lt;&gt;A82,Y83="вручную"),"",AF82))</f>
      </c>
      <c r="AG83" s="129">
        <f t="shared" si="53"/>
      </c>
      <c r="AH83" s="129">
        <f t="shared" si="54"/>
        <v/>
      </c>
      <c r="AI83" s="129">
        <f t="shared" si="55"/>
        <v/>
      </c>
      <c r="AJ83" s="129">
        <f t="shared" si="56"/>
        <v/>
      </c>
      <c r="AK83" s="129">
        <f t="shared" si="57"/>
        <v/>
      </c>
      <c r="AL83" s="129">
        <f t="shared" si="58"/>
        <v/>
      </c>
      <c r="AM83" s="129">
        <f t="shared" si="59"/>
      </c>
      <c r="AN83" s="129">
        <f t="shared" si="60"/>
      </c>
      <c r="AO83" s="129">
        <f t="shared" si="61"/>
        <v/>
      </c>
      <c r="AP83" s="129">
        <f t="shared" si="62"/>
        <v/>
      </c>
      <c r="AQ83" s="129">
        <f t="shared" si="63"/>
        <v/>
      </c>
      <c r="AR83" s="129">
        <f t="shared" si="64"/>
        <v/>
      </c>
      <c r="AS83" s="129">
        <f t="shared" si="65"/>
        <v/>
      </c>
      <c r="AT83" s="129">
        <f t="shared" si="66"/>
        <v/>
      </c>
      <c r="AU83" s="129">
        <f t="shared" si="67"/>
        <v/>
      </c>
      <c r="AV83" s="129">
        <f t="shared" si="68"/>
        <v/>
      </c>
      <c r="AW83" s="129">
        <f>IF(AV83="","",AV83&amp;"."&amp;COUNTIFS($A$3:A83,A83,$AV$3:AV83,AV83))</f>
        <v/>
      </c>
      <c r="AX83" s="129">
        <f t="shared" si="69"/>
        <v/>
      </c>
      <c r="AY83" s="129">
        <f>IF(N83="б/к",0,IF(OR(ISNUMBER(SEARCH("L=",Разбивка_по_щитам!P83)),N83="+",N83="="),1,0))</f>
      </c>
      <c r="AZ83" s="129">
        <f t="shared" si="70"/>
      </c>
      <c r="BA83" s="129">
        <f t="shared" si="71"/>
      </c>
      <c r="BB83" s="129">
        <f t="shared" si="72"/>
      </c>
      <c r="BD83" s="129">
        <f t="shared" si="73"/>
      </c>
      <c r="BE83" s="129">
        <f t="shared" si="74"/>
      </c>
      <c r="BF83" s="129">
        <f t="shared" si="75"/>
      </c>
      <c r="BG83" s="129">
        <f t="shared" si="76"/>
        <v/>
      </c>
      <c r="BH83" s="129">
        <f t="shared" si="77"/>
        <v/>
      </c>
      <c r="BI83" s="129">
        <f t="shared" si="78"/>
        <v/>
      </c>
      <c r="BJ83" s="129">
        <f t="shared" si="79"/>
        <v/>
      </c>
      <c r="BK83" s="129">
        <f>IF(R83="","",IF(OR(BY83="",BY83=0),"BOX",IFERROR(IF(VLOOKUP(BY83,УГО_блоки,3,FALSE)&amp;""&lt;&gt;"",VLOOKUP(BY83,УГО_блоки,3,FALSE),VLOOKUP(BY83,УГО_блоки,2,FALSE)),BY83)))</f>
      </c>
      <c r="BL83" s="129">
        <f t="shared" si="81"/>
      </c>
      <c r="BM83" s="129">
        <f>IF(H83="","",IF(COUNTIF($H$3:H83,H83)=1,MAX($BM$2:BM82)+1,""))</f>
      </c>
      <c r="BN83" s="129">
        <f>IF(I83="","",IF(COUNTIF($I$3:I83,I83)+COUNTIF($J$2:J82,I83)+COUNTIF($K$2:K82,I83)=1,MAX($BN$2:BP82)+1,""))</f>
      </c>
      <c r="BO83" s="129">
        <f>IF(J83="","",IF(COUNTIF($I$3:I83,J83)+COUNTIF($J$3:J83,J83)+COUNTIF($K$2:K82,J83)=1,MAX($BN$2:BP82,BN83)+1,""))</f>
      </c>
      <c r="BP83" s="129">
        <f>IF(K83="","",IF(COUNTIF($I$3:I83,K83)+COUNTIF($J$3:J83,K83)+COUNTIF($K$3:K83,K83)=1,MAX($BN$2:BP82,BN83,BO83)+1,""))</f>
      </c>
      <c r="BQ83" s="129">
        <f>IF(AY83=1,IFERROR(MID(Q83,FIND(" (",Q83)+2,FIND(")",Q83,FIND(" (",Q83))-FIND(" (",Q83)-2),"?"),"")</f>
      </c>
      <c r="BR83" s="129">
        <f>IF(BQ83="","",IF(COUNTIF($BQ$3:BQ83,BQ83)=1,MAX($BR$2:BR82)+1,""))</f>
      </c>
      <c r="BS83" s="129">
        <f>IF(AW83="","",COUNTIF($AW$3:AW83,"?*"))</f>
      </c>
      <c r="BT83" s="129">
        <f>IF(OR(AW83="",AI83=""),"",IF(COUNTIFS($AW$3:AW83,"?*",$AI$3:AI83,AI83)=1,MAX($BT$2:BT82)+1,""))</f>
      </c>
      <c r="BU83" s="129">
        <f>IF(AE83="",0,IF(OR(ISNUMBER(SEARCH("дубль",AE83)),ISNUMBER(SEARCH("ПЕРЕГРУЗ",AE83)),ISNUMBER(SEARCH("ЗАЩИЩ",AE83)),ISNUMBER(SEARCH("КАНАЛ",AE83)),ISNUMBER(SEARCH("без 30",AE83))),2,1))</f>
      </c>
      <c r="BV83" s="129">
        <f>IF(R83="","",COUNTIF($R$3:R83,"?*"))</f>
      </c>
      <c r="BW83" s="129">
        <f>IF(AY83&lt;&gt;1,0,IF(MAX(IFERROR(--VLOOKUP(R83,УГО_спр,5,FALSE),0),IFERROR(--VLOOKUP(AL83,УГО_спр,5,FALSE),0),IFERROR(--VLOOKUP(LEFT(AL83,2),УГО_спр,5,FALSE),0))&gt;0,MAX(IFERROR(--VLOOKUP(R83,УГО_спр,5,FALSE),0),IFERROR(--VLOOKUP(AL83,УГО_спр,5,FALSE),0),IFERROR(--VLOOKUP(LEFT(AL83,2),УГО_спр,5,FALSE),0)),IF(IFERROR(--LEFT(SUBSTITUTE(BQ83,"x","х"),FIND("х",SUBSTITUTE(BQ83,"x","х"))-1),3)&gt;3,Каталог!$S$9,1)))</f>
      </c>
      <c r="BX83" s="129">
        <f>IF(AY83&lt;&gt;1,0,MAX(0,IFERROR(--LEFT(SUBSTITUTE(BQ83,"x","х"),FIND("х",SUBSTITUTE(BQ83,"x","х"))-1),3)-3*BW83))</f>
      </c>
      <c r="BY83" s="129">
        <f>IF(R83="","",IFERROR(VLOOKUP(R83,УГО_спр,2,FALSE),IFERROR(VLOOKUP(AL83,УГО_спр,2,FALSE),IFERROR(VLOOKUP(LEFT(AL83,2),УГО_спр,2,FALSE),""))))</f>
      </c>
    </row>
    <row r="84" spans="1:64" x14ac:dyDescent="0.3">
      <c r="A84" s="135">
        <f>IF(Разбивка_по_щитам!F84=0,"",Разбивка_по_щитам!F84)</f>
      </c>
      <c r="B84" s="138">
        <f>IF(A84="","",Разбивка_по_щитам!C84)</f>
      </c>
      <c r="C84" s="138">
        <f t="shared" si="44"/>
      </c>
      <c r="D84" s="266"/>
      <c r="E84" s="266"/>
      <c r="F84" s="267"/>
      <c r="G84" s="145">
        <f t="shared" si="45"/>
        <v/>
      </c>
      <c r="H84" s="145">
        <f t="shared" si="46"/>
        <v/>
      </c>
      <c r="I84" s="266"/>
      <c r="J84" s="267"/>
      <c r="K84" s="267"/>
      <c r="L84" s="266"/>
      <c r="M84" s="147">
        <f t="shared" si="82"/>
        <v/>
      </c>
      <c r="N84" s="267"/>
      <c r="O84" s="147">
        <f t="shared" si="83"/>
        <v/>
      </c>
      <c r="P84" s="268">
        <f>IF(AY84=1,"XT"&amp;COUNTIFS($A$3:A84,A84,$AY$3:AY84,1),"")</f>
        <v/>
      </c>
      <c r="Q84" s="152">
        <f>IF(R84="","",IFERROR(SUBSTITUTE(Разбивка_по_щитам!P84,CHAR(10)," "),""))</f>
        <v/>
      </c>
      <c r="R84" s="153">
        <f>IF(OR(Разбивка_по_щитам!H84="",Разбивка_по_щитам!H84=0),"",Разбивка_по_щитам!H84)</f>
        <v/>
      </c>
      <c r="S84" s="154">
        <f>IF(R84="","",IFERROR(Разбивка_по_щитам!J84&amp;"",""))</f>
        <v/>
      </c>
      <c r="T84" s="155">
        <f>IF(R84="","",IFERROR(--Разбивка_по_щитам!L84,""))</f>
        <v/>
      </c>
      <c r="U84" s="155">
        <f>IF(R84="","",IFERROR(--Разбивка_по_щитам!K84,""))</f>
        <v/>
      </c>
      <c r="V84" s="138">
        <f>IF(R84="","",IFERROR(IF(Разбивка_по_щитам!M84=0,"",Разбивка_по_щитам!M84),""))</f>
        <v/>
      </c>
      <c r="W84" s="156">
        <f t="shared" si="47"/>
        <v/>
      </c>
      <c r="X84" s="157">
        <f t="shared" si="48"/>
        <v/>
      </c>
      <c r="Y84" s="266"/>
      <c r="Z84" s="158">
        <f t="shared" si="49"/>
        <v/>
      </c>
      <c r="AA84" s="160">
        <f t="shared" si="50"/>
        <v/>
      </c>
      <c r="AB84" s="160">
        <f>IF(R84="","",IFERROR(LOOKUP(INDEX(Справочная!$I$4:$I$19,MATCH(VLOOKUP(R84,Исходные_данные,22,FALSE),Справочная!$J$4:$J$19,0)+1),{6,10,16,20,25,32,40,50,63,80,100,125}),""))</f>
        <v/>
      </c>
      <c r="AC84" s="160">
        <f t="shared" si="51"/>
        <v/>
      </c>
      <c r="AD84" s="161">
        <f t="shared" si="52"/>
        <v/>
      </c>
      <c r="AE84" s="161">
        <f>IF(AND(R84="",G84=""),"",_xlfn.TEXTJOIN("; ",TRUE,IF(AND(R84&lt;&gt;"",V84=""),"нет фазы",""),IF(AND(R84&lt;&gt;"",N(T84)=0),"нет мощности",""),IF(AND(P84&lt;&gt;"",COUNTIFS($A$3:$A$1000,A84,$P$3:$P$1000,P84)&gt;1),"дубль клеммы "&amp;P84,""),IF(AND(W84&lt;&gt;"",W84&lt;&gt;"ok"),W84,""),IF(X84&lt;&gt;"",X84,""),IF(AND(ISNUMBER(SEARCH("(5х",Q84)),N(AK84)=1),"5 жил на 1 фазе",""),IF(AND(AL84="R",E84&lt;&gt;"",N(AS84)=0),"розетка без 30 мА",""),IF(IFERROR(_xlfn.NUMBERVALUE(MID(Q84,FIND("-",Q84,FIND("L=",Q84))+1,FIND("%",Q84)-FIND("-",Q84,FIND("L=",Q84))-1),","),0)&gt;4,"потери &gt; 4 %","")))</f>
      </c>
      <c r="AF84" s="129">
        <f>IF(E84&lt;&gt;"",COUNTIFS($A$3:A84,A84,$E$3:E84,"?*"),IF(OR(A84&lt;&gt;A83,Y84="вручную"),"",AF83))</f>
      </c>
      <c r="AG84" s="129">
        <f t="shared" si="53"/>
      </c>
      <c r="AH84" s="129">
        <f t="shared" si="54"/>
        <v/>
      </c>
      <c r="AI84" s="129">
        <f t="shared" si="55"/>
        <v/>
      </c>
      <c r="AJ84" s="129">
        <f t="shared" si="56"/>
        <v/>
      </c>
      <c r="AK84" s="129">
        <f t="shared" si="57"/>
        <v/>
      </c>
      <c r="AL84" s="129">
        <f t="shared" si="58"/>
        <v/>
      </c>
      <c r="AM84" s="129">
        <f t="shared" si="59"/>
      </c>
      <c r="AN84" s="129">
        <f t="shared" si="60"/>
      </c>
      <c r="AO84" s="129">
        <f t="shared" si="61"/>
        <v/>
      </c>
      <c r="AP84" s="129">
        <f t="shared" si="62"/>
        <v/>
      </c>
      <c r="AQ84" s="129">
        <f t="shared" si="63"/>
        <v/>
      </c>
      <c r="AR84" s="129">
        <f t="shared" si="64"/>
        <v/>
      </c>
      <c r="AS84" s="129">
        <f t="shared" si="65"/>
        <v/>
      </c>
      <c r="AT84" s="129">
        <f t="shared" si="66"/>
        <v/>
      </c>
      <c r="AU84" s="129">
        <f t="shared" si="67"/>
        <v/>
      </c>
      <c r="AV84" s="129">
        <f t="shared" si="68"/>
        <v/>
      </c>
      <c r="AW84" s="129">
        <f>IF(AV84="","",AV84&amp;"."&amp;COUNTIFS($A$3:A84,A84,$AV$3:AV84,AV84))</f>
        <v/>
      </c>
      <c r="AX84" s="129">
        <f t="shared" si="69"/>
        <v/>
      </c>
      <c r="AY84" s="129">
        <f>IF(N84="б/к",0,IF(OR(ISNUMBER(SEARCH("L=",Разбивка_по_щитам!P84)),N84="+",N84="="),1,0))</f>
      </c>
      <c r="AZ84" s="129">
        <f t="shared" si="70"/>
      </c>
      <c r="BA84" s="129">
        <f t="shared" si="71"/>
      </c>
      <c r="BB84" s="129">
        <f t="shared" si="72"/>
      </c>
      <c r="BD84" s="129">
        <f t="shared" si="73"/>
      </c>
      <c r="BE84" s="129">
        <f t="shared" si="74"/>
      </c>
      <c r="BF84" s="129">
        <f t="shared" si="75"/>
      </c>
      <c r="BG84" s="129">
        <f t="shared" si="76"/>
        <v/>
      </c>
      <c r="BH84" s="129">
        <f t="shared" si="77"/>
        <v/>
      </c>
      <c r="BI84" s="129">
        <f t="shared" si="78"/>
        <v/>
      </c>
      <c r="BJ84" s="129">
        <f t="shared" si="79"/>
        <v/>
      </c>
      <c r="BK84" s="129">
        <f>IF(R84="","",IF(OR(BY84="",BY84=0),"BOX",IFERROR(IF(VLOOKUP(BY84,УГО_блоки,3,FALSE)&amp;""&lt;&gt;"",VLOOKUP(BY84,УГО_блоки,3,FALSE),VLOOKUP(BY84,УГО_блоки,2,FALSE)),BY84)))</f>
      </c>
      <c r="BL84" s="129">
        <f t="shared" si="81"/>
      </c>
      <c r="BM84" s="129">
        <f>IF(H84="","",IF(COUNTIF($H$3:H84,H84)=1,MAX($BM$2:BM83)+1,""))</f>
      </c>
      <c r="BN84" s="129">
        <f>IF(I84="","",IF(COUNTIF($I$3:I84,I84)+COUNTIF($J$2:J83,I84)+COUNTIF($K$2:K83,I84)=1,MAX($BN$2:BP83)+1,""))</f>
      </c>
      <c r="BO84" s="129">
        <f>IF(J84="","",IF(COUNTIF($I$3:I84,J84)+COUNTIF($J$3:J84,J84)+COUNTIF($K$2:K83,J84)=1,MAX($BN$2:BP83,BN84)+1,""))</f>
      </c>
      <c r="BP84" s="129">
        <f>IF(K84="","",IF(COUNTIF($I$3:I84,K84)+COUNTIF($J$3:J84,K84)+COUNTIF($K$3:K84,K84)=1,MAX($BN$2:BP83,BN84,BO84)+1,""))</f>
      </c>
      <c r="BQ84" s="129">
        <f>IF(AY84=1,IFERROR(MID(Q84,FIND(" (",Q84)+2,FIND(")",Q84,FIND(" (",Q84))-FIND(" (",Q84)-2),"?"),"")</f>
      </c>
      <c r="BR84" s="129">
        <f>IF(BQ84="","",IF(COUNTIF($BQ$3:BQ84,BQ84)=1,MAX($BR$2:BR83)+1,""))</f>
      </c>
      <c r="BS84" s="129">
        <f>IF(AW84="","",COUNTIF($AW$3:AW84,"?*"))</f>
      </c>
      <c r="BT84" s="129">
        <f>IF(OR(AW84="",AI84=""),"",IF(COUNTIFS($AW$3:AW84,"?*",$AI$3:AI84,AI84)=1,MAX($BT$2:BT83)+1,""))</f>
      </c>
      <c r="BU84" s="129">
        <f>IF(AE84="",0,IF(OR(ISNUMBER(SEARCH("дубль",AE84)),ISNUMBER(SEARCH("ПЕРЕГРУЗ",AE84)),ISNUMBER(SEARCH("ЗАЩИЩ",AE84)),ISNUMBER(SEARCH("КАНАЛ",AE84)),ISNUMBER(SEARCH("без 30",AE84))),2,1))</f>
      </c>
      <c r="BV84" s="129">
        <f>IF(R84="","",COUNTIF($R$3:R84,"?*"))</f>
      </c>
      <c r="BW84" s="129">
        <f>IF(AY84&lt;&gt;1,0,IF(MAX(IFERROR(--VLOOKUP(R84,УГО_спр,5,FALSE),0),IFERROR(--VLOOKUP(AL84,УГО_спр,5,FALSE),0),IFERROR(--VLOOKUP(LEFT(AL84,2),УГО_спр,5,FALSE),0))&gt;0,MAX(IFERROR(--VLOOKUP(R84,УГО_спр,5,FALSE),0),IFERROR(--VLOOKUP(AL84,УГО_спр,5,FALSE),0),IFERROR(--VLOOKUP(LEFT(AL84,2),УГО_спр,5,FALSE),0)),IF(IFERROR(--LEFT(SUBSTITUTE(BQ84,"x","х"),FIND("х",SUBSTITUTE(BQ84,"x","х"))-1),3)&gt;3,Каталог!$S$9,1)))</f>
      </c>
      <c r="BX84" s="129">
        <f>IF(AY84&lt;&gt;1,0,MAX(0,IFERROR(--LEFT(SUBSTITUTE(BQ84,"x","х"),FIND("х",SUBSTITUTE(BQ84,"x","х"))-1),3)-3*BW84))</f>
      </c>
      <c r="BY84" s="129">
        <f>IF(R84="","",IFERROR(VLOOKUP(R84,УГО_спр,2,FALSE),IFERROR(VLOOKUP(AL84,УГО_спр,2,FALSE),IFERROR(VLOOKUP(LEFT(AL84,2),УГО_спр,2,FALSE),""))))</f>
      </c>
    </row>
    <row r="85" spans="1:64" x14ac:dyDescent="0.3">
      <c r="A85" s="135">
        <f>IF(Разбивка_по_щитам!F85=0,"",Разбивка_по_щитам!F85)</f>
      </c>
      <c r="B85" s="138">
        <f>IF(A85="","",Разбивка_по_щитам!C85)</f>
      </c>
      <c r="C85" s="138">
        <f t="shared" si="44"/>
      </c>
      <c r="D85" s="266"/>
      <c r="E85" s="266"/>
      <c r="F85" s="267"/>
      <c r="G85" s="145">
        <f t="shared" si="45"/>
        <v/>
      </c>
      <c r="H85" s="145">
        <f t="shared" si="46"/>
        <v/>
      </c>
      <c r="I85" s="266"/>
      <c r="J85" s="267"/>
      <c r="K85" s="267"/>
      <c r="L85" s="266"/>
      <c r="M85" s="147">
        <f t="shared" si="82"/>
        <v/>
      </c>
      <c r="N85" s="267"/>
      <c r="O85" s="147">
        <f t="shared" si="83"/>
        <v/>
      </c>
      <c r="P85" s="268">
        <f>IF(AY85=1,"XT"&amp;COUNTIFS($A$3:A85,A85,$AY$3:AY85,1),"")</f>
        <v/>
      </c>
      <c r="Q85" s="152">
        <f>IF(R85="","",IFERROR(SUBSTITUTE(Разбивка_по_щитам!P85,CHAR(10)," "),""))</f>
        <v/>
      </c>
      <c r="R85" s="153">
        <f>IF(OR(Разбивка_по_щитам!H85="",Разбивка_по_щитам!H85=0),"",Разбивка_по_щитам!H85)</f>
        <v/>
      </c>
      <c r="S85" s="154">
        <f>IF(R85="","",IFERROR(Разбивка_по_щитам!J85&amp;"",""))</f>
        <v/>
      </c>
      <c r="T85" s="155">
        <f>IF(R85="","",IFERROR(--Разбивка_по_щитам!L85,""))</f>
        <v/>
      </c>
      <c r="U85" s="155">
        <f>IF(R85="","",IFERROR(--Разбивка_по_щитам!K85,""))</f>
        <v/>
      </c>
      <c r="V85" s="138">
        <f>IF(R85="","",IFERROR(IF(Разбивка_по_щитам!M85=0,"",Разбивка_по_щитам!M85),""))</f>
        <v/>
      </c>
      <c r="W85" s="156">
        <f t="shared" si="47"/>
        <v/>
      </c>
      <c r="X85" s="157">
        <f t="shared" si="48"/>
        <v/>
      </c>
      <c r="Y85" s="266"/>
      <c r="Z85" s="158">
        <f t="shared" si="49"/>
        <v/>
      </c>
      <c r="AA85" s="160">
        <f t="shared" si="50"/>
        <v/>
      </c>
      <c r="AB85" s="160">
        <f>IF(R85="","",IFERROR(LOOKUP(INDEX(Справочная!$I$4:$I$19,MATCH(VLOOKUP(R85,Исходные_данные,22,FALSE),Справочная!$J$4:$J$19,0)+1),{6,10,16,20,25,32,40,50,63,80,100,125}),""))</f>
        <v/>
      </c>
      <c r="AC85" s="160">
        <f t="shared" si="51"/>
        <v/>
      </c>
      <c r="AD85" s="161">
        <f t="shared" si="52"/>
        <v/>
      </c>
      <c r="AE85" s="161">
        <f>IF(AND(R85="",G85=""),"",_xlfn.TEXTJOIN("; ",TRUE,IF(AND(R85&lt;&gt;"",V85=""),"нет фазы",""),IF(AND(R85&lt;&gt;"",N(T85)=0),"нет мощности",""),IF(AND(P85&lt;&gt;"",COUNTIFS($A$3:$A$1000,A85,$P$3:$P$1000,P85)&gt;1),"дубль клеммы "&amp;P85,""),IF(AND(W85&lt;&gt;"",W85&lt;&gt;"ok"),W85,""),IF(X85&lt;&gt;"",X85,""),IF(AND(ISNUMBER(SEARCH("(5х",Q85)),N(AK85)=1),"5 жил на 1 фазе",""),IF(AND(AL85="R",E85&lt;&gt;"",N(AS85)=0),"розетка без 30 мА",""),IF(IFERROR(_xlfn.NUMBERVALUE(MID(Q85,FIND("-",Q85,FIND("L=",Q85))+1,FIND("%",Q85)-FIND("-",Q85,FIND("L=",Q85))-1),","),0)&gt;4,"потери &gt; 4 %","")))</f>
      </c>
      <c r="AF85" s="129">
        <f>IF(E85&lt;&gt;"",COUNTIFS($A$3:A85,A85,$E$3:E85,"?*"),IF(OR(A85&lt;&gt;A84,Y85="вручную"),"",AF84))</f>
      </c>
      <c r="AG85" s="129">
        <f t="shared" si="53"/>
      </c>
      <c r="AH85" s="129">
        <f t="shared" si="54"/>
        <v/>
      </c>
      <c r="AI85" s="129">
        <f t="shared" si="55"/>
        <v/>
      </c>
      <c r="AJ85" s="129">
        <f t="shared" si="56"/>
        <v/>
      </c>
      <c r="AK85" s="129">
        <f t="shared" si="57"/>
        <v/>
      </c>
      <c r="AL85" s="129">
        <f t="shared" si="58"/>
        <v/>
      </c>
      <c r="AM85" s="129">
        <f t="shared" si="59"/>
      </c>
      <c r="AN85" s="129">
        <f t="shared" si="60"/>
      </c>
      <c r="AO85" s="129">
        <f t="shared" si="61"/>
        <v/>
      </c>
      <c r="AP85" s="129">
        <f t="shared" si="62"/>
        <v/>
      </c>
      <c r="AQ85" s="129">
        <f t="shared" si="63"/>
        <v/>
      </c>
      <c r="AR85" s="129">
        <f t="shared" si="64"/>
        <v/>
      </c>
      <c r="AS85" s="129">
        <f t="shared" si="65"/>
        <v/>
      </c>
      <c r="AT85" s="129">
        <f t="shared" si="66"/>
        <v/>
      </c>
      <c r="AU85" s="129">
        <f t="shared" si="67"/>
        <v/>
      </c>
      <c r="AV85" s="129">
        <f t="shared" si="68"/>
        <v/>
      </c>
      <c r="AW85" s="129">
        <f>IF(AV85="","",AV85&amp;"."&amp;COUNTIFS($A$3:A85,A85,$AV$3:AV85,AV85))</f>
        <v/>
      </c>
      <c r="AX85" s="129">
        <f t="shared" si="69"/>
        <v/>
      </c>
      <c r="AY85" s="129">
        <f>IF(N85="б/к",0,IF(OR(ISNUMBER(SEARCH("L=",Разбивка_по_щитам!P85)),N85="+",N85="="),1,0))</f>
      </c>
      <c r="AZ85" s="129">
        <f t="shared" si="70"/>
      </c>
      <c r="BA85" s="129">
        <f t="shared" si="71"/>
      </c>
      <c r="BB85" s="129">
        <f t="shared" si="72"/>
      </c>
      <c r="BD85" s="129">
        <f t="shared" si="73"/>
      </c>
      <c r="BE85" s="129">
        <f t="shared" si="74"/>
      </c>
      <c r="BF85" s="129">
        <f t="shared" si="75"/>
      </c>
      <c r="BG85" s="129">
        <f t="shared" si="76"/>
        <v/>
      </c>
      <c r="BH85" s="129">
        <f t="shared" si="77"/>
        <v/>
      </c>
      <c r="BI85" s="129">
        <f t="shared" si="78"/>
        <v/>
      </c>
      <c r="BJ85" s="129">
        <f t="shared" si="79"/>
        <v/>
      </c>
      <c r="BK85" s="129">
        <f>IF(R85="","",IF(OR(BY85="",BY85=0),"BOX",IFERROR(IF(VLOOKUP(BY85,УГО_блоки,3,FALSE)&amp;""&lt;&gt;"",VLOOKUP(BY85,УГО_блоки,3,FALSE),VLOOKUP(BY85,УГО_блоки,2,FALSE)),BY85)))</f>
      </c>
      <c r="BL85" s="129">
        <f t="shared" si="81"/>
      </c>
      <c r="BM85" s="129">
        <f>IF(H85="","",IF(COUNTIF($H$3:H85,H85)=1,MAX($BM$2:BM84)+1,""))</f>
      </c>
      <c r="BN85" s="129">
        <f>IF(I85="","",IF(COUNTIF($I$3:I85,I85)+COUNTIF($J$2:J84,I85)+COUNTIF($K$2:K84,I85)=1,MAX($BN$2:BP84)+1,""))</f>
      </c>
      <c r="BO85" s="129">
        <f>IF(J85="","",IF(COUNTIF($I$3:I85,J85)+COUNTIF($J$3:J85,J85)+COUNTIF($K$2:K84,J85)=1,MAX($BN$2:BP84,BN85)+1,""))</f>
      </c>
      <c r="BP85" s="129">
        <f>IF(K85="","",IF(COUNTIF($I$3:I85,K85)+COUNTIF($J$3:J85,K85)+COUNTIF($K$3:K85,K85)=1,MAX($BN$2:BP84,BN85,BO85)+1,""))</f>
      </c>
      <c r="BQ85" s="129">
        <f>IF(AY85=1,IFERROR(MID(Q85,FIND(" (",Q85)+2,FIND(")",Q85,FIND(" (",Q85))-FIND(" (",Q85)-2),"?"),"")</f>
      </c>
      <c r="BR85" s="129">
        <f>IF(BQ85="","",IF(COUNTIF($BQ$3:BQ85,BQ85)=1,MAX($BR$2:BR84)+1,""))</f>
      </c>
      <c r="BS85" s="129">
        <f>IF(AW85="","",COUNTIF($AW$3:AW85,"?*"))</f>
      </c>
      <c r="BT85" s="129">
        <f>IF(OR(AW85="",AI85=""),"",IF(COUNTIFS($AW$3:AW85,"?*",$AI$3:AI85,AI85)=1,MAX($BT$2:BT84)+1,""))</f>
      </c>
      <c r="BU85" s="129">
        <f>IF(AE85="",0,IF(OR(ISNUMBER(SEARCH("дубль",AE85)),ISNUMBER(SEARCH("ПЕРЕГРУЗ",AE85)),ISNUMBER(SEARCH("ЗАЩИЩ",AE85)),ISNUMBER(SEARCH("КАНАЛ",AE85)),ISNUMBER(SEARCH("без 30",AE85))),2,1))</f>
      </c>
      <c r="BV85" s="129">
        <f>IF(R85="","",COUNTIF($R$3:R85,"?*"))</f>
      </c>
      <c r="BW85" s="129">
        <f>IF(AY85&lt;&gt;1,0,IF(MAX(IFERROR(--VLOOKUP(R85,УГО_спр,5,FALSE),0),IFERROR(--VLOOKUP(AL85,УГО_спр,5,FALSE),0),IFERROR(--VLOOKUP(LEFT(AL85,2),УГО_спр,5,FALSE),0))&gt;0,MAX(IFERROR(--VLOOKUP(R85,УГО_спр,5,FALSE),0),IFERROR(--VLOOKUP(AL85,УГО_спр,5,FALSE),0),IFERROR(--VLOOKUP(LEFT(AL85,2),УГО_спр,5,FALSE),0)),IF(IFERROR(--LEFT(SUBSTITUTE(BQ85,"x","х"),FIND("х",SUBSTITUTE(BQ85,"x","х"))-1),3)&gt;3,Каталог!$S$9,1)))</f>
      </c>
      <c r="BX85" s="129">
        <f>IF(AY85&lt;&gt;1,0,MAX(0,IFERROR(--LEFT(SUBSTITUTE(BQ85,"x","х"),FIND("х",SUBSTITUTE(BQ85,"x","х"))-1),3)-3*BW85))</f>
      </c>
      <c r="BY85" s="129">
        <f>IF(R85="","",IFERROR(VLOOKUP(R85,УГО_спр,2,FALSE),IFERROR(VLOOKUP(AL85,УГО_спр,2,FALSE),IFERROR(VLOOKUP(LEFT(AL85,2),УГО_спр,2,FALSE),""))))</f>
      </c>
    </row>
    <row r="86" spans="1:64" x14ac:dyDescent="0.3">
      <c r="A86" s="135">
        <f>IF(Разбивка_по_щитам!F86=0,"",Разбивка_по_щитам!F86)</f>
      </c>
      <c r="B86" s="138">
        <f>IF(A86="","",Разбивка_по_щитам!C86)</f>
      </c>
      <c r="C86" s="138">
        <f t="shared" si="44"/>
      </c>
      <c r="D86" s="266"/>
      <c r="E86" s="266"/>
      <c r="F86" s="267"/>
      <c r="G86" s="145">
        <f t="shared" si="45"/>
        <v/>
      </c>
      <c r="H86" s="145">
        <f t="shared" si="46"/>
        <v/>
      </c>
      <c r="I86" s="266"/>
      <c r="J86" s="267"/>
      <c r="K86" s="267"/>
      <c r="L86" s="266"/>
      <c r="M86" s="147">
        <f t="shared" si="82"/>
        <v/>
      </c>
      <c r="N86" s="267"/>
      <c r="O86" s="147">
        <f t="shared" si="83"/>
        <v/>
      </c>
      <c r="P86" s="268">
        <f>IF(AY86=1,"XT"&amp;COUNTIFS($A$3:A86,A86,$AY$3:AY86,1),"")</f>
        <v/>
      </c>
      <c r="Q86" s="152">
        <f>IF(R86="","",IFERROR(SUBSTITUTE(Разбивка_по_щитам!P86,CHAR(10)," "),""))</f>
        <v/>
      </c>
      <c r="R86" s="153">
        <f>IF(OR(Разбивка_по_щитам!H86="",Разбивка_по_щитам!H86=0),"",Разбивка_по_щитам!H86)</f>
        <v/>
      </c>
      <c r="S86" s="154">
        <f>IF(R86="","",IFERROR(Разбивка_по_щитам!J86&amp;"",""))</f>
        <v/>
      </c>
      <c r="T86" s="155">
        <f>IF(R86="","",IFERROR(--Разбивка_по_щитам!L86,""))</f>
        <v/>
      </c>
      <c r="U86" s="155">
        <f>IF(R86="","",IFERROR(--Разбивка_по_щитам!K86,""))</f>
        <v/>
      </c>
      <c r="V86" s="138">
        <f>IF(R86="","",IFERROR(IF(Разбивка_по_щитам!M86=0,"",Разбивка_по_щитам!M86),""))</f>
        <v/>
      </c>
      <c r="W86" s="156">
        <f t="shared" si="47"/>
        <v/>
      </c>
      <c r="X86" s="157">
        <f t="shared" si="48"/>
        <v/>
      </c>
      <c r="Y86" s="266"/>
      <c r="Z86" s="158">
        <f t="shared" si="49"/>
        <v/>
      </c>
      <c r="AA86" s="160">
        <f t="shared" si="50"/>
        <v/>
      </c>
      <c r="AB86" s="160">
        <f>IF(R86="","",IFERROR(LOOKUP(INDEX(Справочная!$I$4:$I$19,MATCH(VLOOKUP(R86,Исходные_данные,22,FALSE),Справочная!$J$4:$J$19,0)+1),{6,10,16,20,25,32,40,50,63,80,100,125}),""))</f>
        <v/>
      </c>
      <c r="AC86" s="160">
        <f t="shared" si="51"/>
        <v/>
      </c>
      <c r="AD86" s="161">
        <f t="shared" si="52"/>
        <v/>
      </c>
      <c r="AE86" s="161">
        <f>IF(AND(R86="",G86=""),"",_xlfn.TEXTJOIN("; ",TRUE,IF(AND(R86&lt;&gt;"",V86=""),"нет фазы",""),IF(AND(R86&lt;&gt;"",N(T86)=0),"нет мощности",""),IF(AND(P86&lt;&gt;"",COUNTIFS($A$3:$A$1000,A86,$P$3:$P$1000,P86)&gt;1),"дубль клеммы "&amp;P86,""),IF(AND(W86&lt;&gt;"",W86&lt;&gt;"ok"),W86,""),IF(X86&lt;&gt;"",X86,""),IF(AND(ISNUMBER(SEARCH("(5х",Q86)),N(AK86)=1),"5 жил на 1 фазе",""),IF(AND(AL86="R",E86&lt;&gt;"",N(AS86)=0),"розетка без 30 мА",""),IF(IFERROR(_xlfn.NUMBERVALUE(MID(Q86,FIND("-",Q86,FIND("L=",Q86))+1,FIND("%",Q86)-FIND("-",Q86,FIND("L=",Q86))-1),","),0)&gt;4,"потери &gt; 4 %","")))</f>
      </c>
      <c r="AF86" s="129">
        <f>IF(E86&lt;&gt;"",COUNTIFS($A$3:A86,A86,$E$3:E86,"?*"),IF(OR(A86&lt;&gt;A85,Y86="вручную"),"",AF85))</f>
      </c>
      <c r="AG86" s="129">
        <f t="shared" si="53"/>
      </c>
      <c r="AH86" s="129">
        <f t="shared" si="54"/>
        <v/>
      </c>
      <c r="AI86" s="129">
        <f t="shared" si="55"/>
        <v/>
      </c>
      <c r="AJ86" s="129">
        <f t="shared" si="56"/>
        <v/>
      </c>
      <c r="AK86" s="129">
        <f t="shared" si="57"/>
        <v/>
      </c>
      <c r="AL86" s="129">
        <f t="shared" si="58"/>
        <v/>
      </c>
      <c r="AM86" s="129">
        <f t="shared" si="59"/>
      </c>
      <c r="AN86" s="129">
        <f t="shared" si="60"/>
      </c>
      <c r="AO86" s="129">
        <f t="shared" si="61"/>
        <v/>
      </c>
      <c r="AP86" s="129">
        <f t="shared" si="62"/>
        <v/>
      </c>
      <c r="AQ86" s="129">
        <f t="shared" si="63"/>
        <v/>
      </c>
      <c r="AR86" s="129">
        <f t="shared" si="64"/>
        <v/>
      </c>
      <c r="AS86" s="129">
        <f t="shared" si="65"/>
        <v/>
      </c>
      <c r="AT86" s="129">
        <f t="shared" si="66"/>
        <v/>
      </c>
      <c r="AU86" s="129">
        <f t="shared" si="67"/>
        <v/>
      </c>
      <c r="AV86" s="129">
        <f t="shared" si="68"/>
        <v/>
      </c>
      <c r="AW86" s="129">
        <f>IF(AV86="","",AV86&amp;"."&amp;COUNTIFS($A$3:A86,A86,$AV$3:AV86,AV86))</f>
        <v/>
      </c>
      <c r="AX86" s="129">
        <f t="shared" si="69"/>
        <v/>
      </c>
      <c r="AY86" s="129">
        <f>IF(N86="б/к",0,IF(OR(ISNUMBER(SEARCH("L=",Разбивка_по_щитам!P86)),N86="+",N86="="),1,0))</f>
      </c>
      <c r="AZ86" s="129">
        <f t="shared" si="70"/>
      </c>
      <c r="BA86" s="129">
        <f t="shared" si="71"/>
      </c>
      <c r="BB86" s="129">
        <f t="shared" si="72"/>
      </c>
      <c r="BD86" s="129">
        <f t="shared" si="73"/>
      </c>
      <c r="BE86" s="129">
        <f t="shared" si="74"/>
      </c>
      <c r="BF86" s="129">
        <f t="shared" si="75"/>
      </c>
      <c r="BG86" s="129">
        <f t="shared" si="76"/>
        <v/>
      </c>
      <c r="BH86" s="129">
        <f t="shared" si="77"/>
        <v/>
      </c>
      <c r="BI86" s="129">
        <f t="shared" si="78"/>
        <v/>
      </c>
      <c r="BJ86" s="129">
        <f t="shared" si="79"/>
        <v/>
      </c>
      <c r="BK86" s="129">
        <f>IF(R86="","",IF(OR(BY86="",BY86=0),"BOX",IFERROR(IF(VLOOKUP(BY86,УГО_блоки,3,FALSE)&amp;""&lt;&gt;"",VLOOKUP(BY86,УГО_блоки,3,FALSE),VLOOKUP(BY86,УГО_блоки,2,FALSE)),BY86)))</f>
      </c>
      <c r="BL86" s="129">
        <f t="shared" si="81"/>
      </c>
      <c r="BM86" s="129">
        <f>IF(H86="","",IF(COUNTIF($H$3:H86,H86)=1,MAX($BM$2:BM85)+1,""))</f>
      </c>
      <c r="BN86" s="129">
        <f>IF(I86="","",IF(COUNTIF($I$3:I86,I86)+COUNTIF($J$2:J85,I86)+COUNTIF($K$2:K85,I86)=1,MAX($BN$2:BP85)+1,""))</f>
      </c>
      <c r="BO86" s="129">
        <f>IF(J86="","",IF(COUNTIF($I$3:I86,J86)+COUNTIF($J$3:J86,J86)+COUNTIF($K$2:K85,J86)=1,MAX($BN$2:BP85,BN86)+1,""))</f>
      </c>
      <c r="BP86" s="129">
        <f>IF(K86="","",IF(COUNTIF($I$3:I86,K86)+COUNTIF($J$3:J86,K86)+COUNTIF($K$3:K86,K86)=1,MAX($BN$2:BP85,BN86,BO86)+1,""))</f>
      </c>
      <c r="BQ86" s="129">
        <f>IF(AY86=1,IFERROR(MID(Q86,FIND(" (",Q86)+2,FIND(")",Q86,FIND(" (",Q86))-FIND(" (",Q86)-2),"?"),"")</f>
      </c>
      <c r="BR86" s="129">
        <f>IF(BQ86="","",IF(COUNTIF($BQ$3:BQ86,BQ86)=1,MAX($BR$2:BR85)+1,""))</f>
      </c>
      <c r="BS86" s="129">
        <f>IF(AW86="","",COUNTIF($AW$3:AW86,"?*"))</f>
      </c>
      <c r="BT86" s="129">
        <f>IF(OR(AW86="",AI86=""),"",IF(COUNTIFS($AW$3:AW86,"?*",$AI$3:AI86,AI86)=1,MAX($BT$2:BT85)+1,""))</f>
      </c>
      <c r="BU86" s="129">
        <f>IF(AE86="",0,IF(OR(ISNUMBER(SEARCH("дубль",AE86)),ISNUMBER(SEARCH("ПЕРЕГРУЗ",AE86)),ISNUMBER(SEARCH("ЗАЩИЩ",AE86)),ISNUMBER(SEARCH("КАНАЛ",AE86)),ISNUMBER(SEARCH("без 30",AE86))),2,1))</f>
      </c>
      <c r="BV86" s="129">
        <f>IF(R86="","",COUNTIF($R$3:R86,"?*"))</f>
      </c>
      <c r="BW86" s="129">
        <f>IF(AY86&lt;&gt;1,0,IF(MAX(IFERROR(--VLOOKUP(R86,УГО_спр,5,FALSE),0),IFERROR(--VLOOKUP(AL86,УГО_спр,5,FALSE),0),IFERROR(--VLOOKUP(LEFT(AL86,2),УГО_спр,5,FALSE),0))&gt;0,MAX(IFERROR(--VLOOKUP(R86,УГО_спр,5,FALSE),0),IFERROR(--VLOOKUP(AL86,УГО_спр,5,FALSE),0),IFERROR(--VLOOKUP(LEFT(AL86,2),УГО_спр,5,FALSE),0)),IF(IFERROR(--LEFT(SUBSTITUTE(BQ86,"x","х"),FIND("х",SUBSTITUTE(BQ86,"x","х"))-1),3)&gt;3,Каталог!$S$9,1)))</f>
      </c>
      <c r="BX86" s="129">
        <f>IF(AY86&lt;&gt;1,0,MAX(0,IFERROR(--LEFT(SUBSTITUTE(BQ86,"x","х"),FIND("х",SUBSTITUTE(BQ86,"x","х"))-1),3)-3*BW86))</f>
      </c>
      <c r="BY86" s="129">
        <f>IF(R86="","",IFERROR(VLOOKUP(R86,УГО_спр,2,FALSE),IFERROR(VLOOKUP(AL86,УГО_спр,2,FALSE),IFERROR(VLOOKUP(LEFT(AL86,2),УГО_спр,2,FALSE),""))))</f>
      </c>
    </row>
    <row r="87" spans="1:64" x14ac:dyDescent="0.3">
      <c r="A87" s="135">
        <f>IF(Разбивка_по_щитам!F87=0,"",Разбивка_по_щитам!F87)</f>
      </c>
      <c r="B87" s="138">
        <f>IF(A87="","",Разбивка_по_щитам!C87)</f>
      </c>
      <c r="C87" s="138">
        <f t="shared" si="44"/>
      </c>
      <c r="D87" s="266"/>
      <c r="E87" s="266"/>
      <c r="F87" s="267"/>
      <c r="G87" s="145">
        <f t="shared" si="45"/>
        <v/>
      </c>
      <c r="H87" s="145">
        <f t="shared" si="46"/>
        <v/>
      </c>
      <c r="I87" s="266"/>
      <c r="J87" s="267"/>
      <c r="K87" s="267"/>
      <c r="L87" s="266"/>
      <c r="M87" s="147">
        <f t="shared" si="82"/>
        <v/>
      </c>
      <c r="N87" s="267"/>
      <c r="O87" s="147">
        <f t="shared" si="83"/>
        <v/>
      </c>
      <c r="P87" s="268">
        <f>IF(AY87=1,"XT"&amp;COUNTIFS($A$3:A87,A87,$AY$3:AY87,1),"")</f>
        <v/>
      </c>
      <c r="Q87" s="152">
        <f>IF(R87="","",IFERROR(SUBSTITUTE(Разбивка_по_щитам!P87,CHAR(10)," "),""))</f>
        <v/>
      </c>
      <c r="R87" s="153">
        <f>IF(OR(Разбивка_по_щитам!H87="",Разбивка_по_щитам!H87=0),"",Разбивка_по_щитам!H87)</f>
        <v/>
      </c>
      <c r="S87" s="154">
        <f>IF(R87="","",IFERROR(Разбивка_по_щитам!J87&amp;"",""))</f>
        <v/>
      </c>
      <c r="T87" s="155">
        <f>IF(R87="","",IFERROR(--Разбивка_по_щитам!L87,""))</f>
        <v/>
      </c>
      <c r="U87" s="155">
        <f>IF(R87="","",IFERROR(--Разбивка_по_щитам!K87,""))</f>
        <v/>
      </c>
      <c r="V87" s="138">
        <f>IF(R87="","",IFERROR(IF(Разбивка_по_щитам!M87=0,"",Разбивка_по_щитам!M87),""))</f>
        <v/>
      </c>
      <c r="W87" s="156">
        <f t="shared" si="47"/>
        <v/>
      </c>
      <c r="X87" s="157">
        <f t="shared" si="48"/>
        <v/>
      </c>
      <c r="Y87" s="266"/>
      <c r="Z87" s="158">
        <f t="shared" si="49"/>
        <v/>
      </c>
      <c r="AA87" s="160">
        <f t="shared" si="50"/>
        <v/>
      </c>
      <c r="AB87" s="160">
        <f>IF(R87="","",IFERROR(LOOKUP(INDEX(Справочная!$I$4:$I$19,MATCH(VLOOKUP(R87,Исходные_данные,22,FALSE),Справочная!$J$4:$J$19,0)+1),{6,10,16,20,25,32,40,50,63,80,100,125}),""))</f>
        <v/>
      </c>
      <c r="AC87" s="160">
        <f t="shared" si="51"/>
        <v/>
      </c>
      <c r="AD87" s="161">
        <f t="shared" si="52"/>
        <v/>
      </c>
      <c r="AE87" s="161">
        <f>IF(AND(R87="",G87=""),"",_xlfn.TEXTJOIN("; ",TRUE,IF(AND(R87&lt;&gt;"",V87=""),"нет фазы",""),IF(AND(R87&lt;&gt;"",N(T87)=0),"нет мощности",""),IF(AND(P87&lt;&gt;"",COUNTIFS($A$3:$A$1000,A87,$P$3:$P$1000,P87)&gt;1),"дубль клеммы "&amp;P87,""),IF(AND(W87&lt;&gt;"",W87&lt;&gt;"ok"),W87,""),IF(X87&lt;&gt;"",X87,""),IF(AND(ISNUMBER(SEARCH("(5х",Q87)),N(AK87)=1),"5 жил на 1 фазе",""),IF(AND(AL87="R",E87&lt;&gt;"",N(AS87)=0),"розетка без 30 мА",""),IF(IFERROR(_xlfn.NUMBERVALUE(MID(Q87,FIND("-",Q87,FIND("L=",Q87))+1,FIND("%",Q87)-FIND("-",Q87,FIND("L=",Q87))-1),","),0)&gt;4,"потери &gt; 4 %","")))</f>
      </c>
      <c r="AF87" s="129">
        <f>IF(E87&lt;&gt;"",COUNTIFS($A$3:A87,A87,$E$3:E87,"?*"),IF(OR(A87&lt;&gt;A86,Y87="вручную"),"",AF86))</f>
      </c>
      <c r="AG87" s="129">
        <f t="shared" si="53"/>
      </c>
      <c r="AH87" s="129">
        <f t="shared" si="54"/>
        <v/>
      </c>
      <c r="AI87" s="129">
        <f t="shared" si="55"/>
        <v/>
      </c>
      <c r="AJ87" s="129">
        <f t="shared" si="56"/>
        <v/>
      </c>
      <c r="AK87" s="129">
        <f t="shared" si="57"/>
        <v/>
      </c>
      <c r="AL87" s="129">
        <f t="shared" si="58"/>
        <v/>
      </c>
      <c r="AM87" s="129">
        <f t="shared" si="59"/>
      </c>
      <c r="AN87" s="129">
        <f t="shared" si="60"/>
      </c>
      <c r="AO87" s="129">
        <f t="shared" si="61"/>
        <v/>
      </c>
      <c r="AP87" s="129">
        <f t="shared" si="62"/>
        <v/>
      </c>
      <c r="AQ87" s="129">
        <f t="shared" si="63"/>
        <v/>
      </c>
      <c r="AR87" s="129">
        <f t="shared" si="64"/>
        <v/>
      </c>
      <c r="AS87" s="129">
        <f t="shared" si="65"/>
        <v/>
      </c>
      <c r="AT87" s="129">
        <f t="shared" si="66"/>
        <v/>
      </c>
      <c r="AU87" s="129">
        <f t="shared" si="67"/>
        <v/>
      </c>
      <c r="AV87" s="129">
        <f t="shared" si="68"/>
        <v/>
      </c>
      <c r="AW87" s="129">
        <f>IF(AV87="","",AV87&amp;"."&amp;COUNTIFS($A$3:A87,A87,$AV$3:AV87,AV87))</f>
        <v/>
      </c>
      <c r="AX87" s="129">
        <f t="shared" si="69"/>
        <v/>
      </c>
      <c r="AY87" s="129">
        <f>IF(N87="б/к",0,IF(OR(ISNUMBER(SEARCH("L=",Разбивка_по_щитам!P87)),N87="+",N87="="),1,0))</f>
      </c>
      <c r="AZ87" s="129">
        <f t="shared" si="70"/>
      </c>
      <c r="BA87" s="129">
        <f t="shared" si="71"/>
      </c>
      <c r="BB87" s="129">
        <f t="shared" si="72"/>
      </c>
      <c r="BD87" s="129">
        <f t="shared" si="73"/>
      </c>
      <c r="BE87" s="129">
        <f t="shared" si="74"/>
      </c>
      <c r="BF87" s="129">
        <f t="shared" si="75"/>
      </c>
      <c r="BG87" s="129">
        <f t="shared" si="76"/>
        <v/>
      </c>
      <c r="BH87" s="129">
        <f t="shared" si="77"/>
        <v/>
      </c>
      <c r="BI87" s="129">
        <f t="shared" si="78"/>
        <v/>
      </c>
      <c r="BJ87" s="129">
        <f t="shared" si="79"/>
        <v/>
      </c>
      <c r="BK87" s="129">
        <f>IF(R87="","",IF(OR(BY87="",BY87=0),"BOX",IFERROR(IF(VLOOKUP(BY87,УГО_блоки,3,FALSE)&amp;""&lt;&gt;"",VLOOKUP(BY87,УГО_блоки,3,FALSE),VLOOKUP(BY87,УГО_блоки,2,FALSE)),BY87)))</f>
      </c>
      <c r="BL87" s="129">
        <f t="shared" si="81"/>
      </c>
      <c r="BM87" s="129">
        <f>IF(H87="","",IF(COUNTIF($H$3:H87,H87)=1,MAX($BM$2:BM86)+1,""))</f>
      </c>
      <c r="BN87" s="129">
        <f>IF(I87="","",IF(COUNTIF($I$3:I87,I87)+COUNTIF($J$2:J86,I87)+COUNTIF($K$2:K86,I87)=1,MAX($BN$2:BP86)+1,""))</f>
      </c>
      <c r="BO87" s="129">
        <f>IF(J87="","",IF(COUNTIF($I$3:I87,J87)+COUNTIF($J$3:J87,J87)+COUNTIF($K$2:K86,J87)=1,MAX($BN$2:BP86,BN87)+1,""))</f>
      </c>
      <c r="BP87" s="129">
        <f>IF(K87="","",IF(COUNTIF($I$3:I87,K87)+COUNTIF($J$3:J87,K87)+COUNTIF($K$3:K87,K87)=1,MAX($BN$2:BP86,BN87,BO87)+1,""))</f>
      </c>
      <c r="BQ87" s="129">
        <f>IF(AY87=1,IFERROR(MID(Q87,FIND(" (",Q87)+2,FIND(")",Q87,FIND(" (",Q87))-FIND(" (",Q87)-2),"?"),"")</f>
      </c>
      <c r="BR87" s="129">
        <f>IF(BQ87="","",IF(COUNTIF($BQ$3:BQ87,BQ87)=1,MAX($BR$2:BR86)+1,""))</f>
      </c>
      <c r="BS87" s="129">
        <f>IF(AW87="","",COUNTIF($AW$3:AW87,"?*"))</f>
      </c>
      <c r="BT87" s="129">
        <f>IF(OR(AW87="",AI87=""),"",IF(COUNTIFS($AW$3:AW87,"?*",$AI$3:AI87,AI87)=1,MAX($BT$2:BT86)+1,""))</f>
      </c>
      <c r="BU87" s="129">
        <f>IF(AE87="",0,IF(OR(ISNUMBER(SEARCH("дубль",AE87)),ISNUMBER(SEARCH("ПЕРЕГРУЗ",AE87)),ISNUMBER(SEARCH("ЗАЩИЩ",AE87)),ISNUMBER(SEARCH("КАНАЛ",AE87)),ISNUMBER(SEARCH("без 30",AE87))),2,1))</f>
      </c>
      <c r="BV87" s="129">
        <f>IF(R87="","",COUNTIF($R$3:R87,"?*"))</f>
      </c>
      <c r="BW87" s="129">
        <f>IF(AY87&lt;&gt;1,0,IF(MAX(IFERROR(--VLOOKUP(R87,УГО_спр,5,FALSE),0),IFERROR(--VLOOKUP(AL87,УГО_спр,5,FALSE),0),IFERROR(--VLOOKUP(LEFT(AL87,2),УГО_спр,5,FALSE),0))&gt;0,MAX(IFERROR(--VLOOKUP(R87,УГО_спр,5,FALSE),0),IFERROR(--VLOOKUP(AL87,УГО_спр,5,FALSE),0),IFERROR(--VLOOKUP(LEFT(AL87,2),УГО_спр,5,FALSE),0)),IF(IFERROR(--LEFT(SUBSTITUTE(BQ87,"x","х"),FIND("х",SUBSTITUTE(BQ87,"x","х"))-1),3)&gt;3,Каталог!$S$9,1)))</f>
      </c>
      <c r="BX87" s="129">
        <f>IF(AY87&lt;&gt;1,0,MAX(0,IFERROR(--LEFT(SUBSTITUTE(BQ87,"x","х"),FIND("х",SUBSTITUTE(BQ87,"x","х"))-1),3)-3*BW87))</f>
      </c>
      <c r="BY87" s="129">
        <f>IF(R87="","",IFERROR(VLOOKUP(R87,УГО_спр,2,FALSE),IFERROR(VLOOKUP(AL87,УГО_спр,2,FALSE),IFERROR(VLOOKUP(LEFT(AL87,2),УГО_спр,2,FALSE),""))))</f>
      </c>
    </row>
    <row r="88" spans="1:64" x14ac:dyDescent="0.3">
      <c r="A88" s="135">
        <f>IF(Разбивка_по_щитам!F88=0,"",Разбивка_по_щитам!F88)</f>
      </c>
      <c r="B88" s="138">
        <f>IF(A88="","",Разбивка_по_щитам!C88)</f>
      </c>
      <c r="C88" s="138">
        <f t="shared" si="44"/>
      </c>
      <c r="D88" s="266"/>
      <c r="E88" s="266"/>
      <c r="F88" s="267"/>
      <c r="G88" s="145">
        <f t="shared" si="45"/>
        <v/>
      </c>
      <c r="H88" s="145">
        <f t="shared" si="46"/>
        <v/>
      </c>
      <c r="I88" s="266"/>
      <c r="J88" s="267"/>
      <c r="K88" s="267"/>
      <c r="L88" s="266"/>
      <c r="M88" s="147">
        <f t="shared" si="82"/>
        <v/>
      </c>
      <c r="N88" s="267"/>
      <c r="O88" s="147">
        <f t="shared" si="83"/>
        <v/>
      </c>
      <c r="P88" s="268">
        <f>IF(AY88=1,"XT"&amp;COUNTIFS($A$3:A88,A88,$AY$3:AY88,1),"")</f>
        <v/>
      </c>
      <c r="Q88" s="152">
        <f>IF(R88="","",IFERROR(SUBSTITUTE(Разбивка_по_щитам!P88,CHAR(10)," "),""))</f>
        <v/>
      </c>
      <c r="R88" s="153">
        <f>IF(OR(Разбивка_по_щитам!H88="",Разбивка_по_щитам!H88=0),"",Разбивка_по_щитам!H88)</f>
        <v/>
      </c>
      <c r="S88" s="154">
        <f>IF(R88="","",IFERROR(Разбивка_по_щитам!J88&amp;"",""))</f>
        <v/>
      </c>
      <c r="T88" s="155">
        <f>IF(R88="","",IFERROR(--Разбивка_по_щитам!L88,""))</f>
        <v/>
      </c>
      <c r="U88" s="155">
        <f>IF(R88="","",IFERROR(--Разбивка_по_щитам!K88,""))</f>
        <v/>
      </c>
      <c r="V88" s="138">
        <f>IF(R88="","",IFERROR(IF(Разбивка_по_щитам!M88=0,"",Разбивка_по_щитам!M88),""))</f>
        <v/>
      </c>
      <c r="W88" s="156">
        <f t="shared" si="47"/>
        <v/>
      </c>
      <c r="X88" s="157">
        <f t="shared" si="48"/>
        <v/>
      </c>
      <c r="Y88" s="266"/>
      <c r="Z88" s="158">
        <f t="shared" si="49"/>
        <v/>
      </c>
      <c r="AA88" s="160">
        <f t="shared" si="50"/>
        <v/>
      </c>
      <c r="AB88" s="160">
        <f>IF(R88="","",IFERROR(LOOKUP(INDEX(Справочная!$I$4:$I$19,MATCH(VLOOKUP(R88,Исходные_данные,22,FALSE),Справочная!$J$4:$J$19,0)+1),{6,10,16,20,25,32,40,50,63,80,100,125}),""))</f>
        <v/>
      </c>
      <c r="AC88" s="160">
        <f t="shared" si="51"/>
        <v/>
      </c>
      <c r="AD88" s="161">
        <f t="shared" si="52"/>
        <v/>
      </c>
      <c r="AE88" s="161">
        <f>IF(AND(R88="",G88=""),"",_xlfn.TEXTJOIN("; ",TRUE,IF(AND(R88&lt;&gt;"",V88=""),"нет фазы",""),IF(AND(R88&lt;&gt;"",N(T88)=0),"нет мощности",""),IF(AND(P88&lt;&gt;"",COUNTIFS($A$3:$A$1000,A88,$P$3:$P$1000,P88)&gt;1),"дубль клеммы "&amp;P88,""),IF(AND(W88&lt;&gt;"",W88&lt;&gt;"ok"),W88,""),IF(X88&lt;&gt;"",X88,""),IF(AND(ISNUMBER(SEARCH("(5х",Q88)),N(AK88)=1),"5 жил на 1 фазе",""),IF(AND(AL88="R",E88&lt;&gt;"",N(AS88)=0),"розетка без 30 мА",""),IF(IFERROR(_xlfn.NUMBERVALUE(MID(Q88,FIND("-",Q88,FIND("L=",Q88))+1,FIND("%",Q88)-FIND("-",Q88,FIND("L=",Q88))-1),","),0)&gt;4,"потери &gt; 4 %","")))</f>
      </c>
      <c r="AF88" s="129">
        <f>IF(E88&lt;&gt;"",COUNTIFS($A$3:A88,A88,$E$3:E88,"?*"),IF(OR(A88&lt;&gt;A87,Y88="вручную"),"",AF87))</f>
      </c>
      <c r="AG88" s="129">
        <f t="shared" si="53"/>
      </c>
      <c r="AH88" s="129">
        <f t="shared" si="54"/>
        <v/>
      </c>
      <c r="AI88" s="129">
        <f t="shared" si="55"/>
        <v/>
      </c>
      <c r="AJ88" s="129">
        <f t="shared" si="56"/>
        <v/>
      </c>
      <c r="AK88" s="129">
        <f t="shared" si="57"/>
        <v/>
      </c>
      <c r="AL88" s="129">
        <f t="shared" si="58"/>
        <v/>
      </c>
      <c r="AM88" s="129">
        <f t="shared" si="59"/>
      </c>
      <c r="AN88" s="129">
        <f t="shared" si="60"/>
      </c>
      <c r="AO88" s="129">
        <f t="shared" si="61"/>
        <v/>
      </c>
      <c r="AP88" s="129">
        <f t="shared" si="62"/>
        <v/>
      </c>
      <c r="AQ88" s="129">
        <f t="shared" si="63"/>
        <v/>
      </c>
      <c r="AR88" s="129">
        <f t="shared" si="64"/>
        <v/>
      </c>
      <c r="AS88" s="129">
        <f t="shared" si="65"/>
        <v/>
      </c>
      <c r="AT88" s="129">
        <f t="shared" si="66"/>
        <v/>
      </c>
      <c r="AU88" s="129">
        <f t="shared" si="67"/>
        <v/>
      </c>
      <c r="AV88" s="129">
        <f t="shared" si="68"/>
        <v/>
      </c>
      <c r="AW88" s="129">
        <f>IF(AV88="","",AV88&amp;"."&amp;COUNTIFS($A$3:A88,A88,$AV$3:AV88,AV88))</f>
        <v/>
      </c>
      <c r="AX88" s="129">
        <f t="shared" si="69"/>
        <v/>
      </c>
      <c r="AY88" s="129">
        <f>IF(N88="б/к",0,IF(OR(ISNUMBER(SEARCH("L=",Разбивка_по_щитам!P88)),N88="+",N88="="),1,0))</f>
      </c>
      <c r="AZ88" s="129">
        <f t="shared" si="70"/>
      </c>
      <c r="BA88" s="129">
        <f t="shared" si="71"/>
      </c>
      <c r="BB88" s="129">
        <f t="shared" si="72"/>
      </c>
      <c r="BD88" s="129">
        <f t="shared" si="73"/>
      </c>
      <c r="BE88" s="129">
        <f t="shared" si="74"/>
      </c>
      <c r="BF88" s="129">
        <f t="shared" si="75"/>
      </c>
      <c r="BG88" s="129">
        <f t="shared" si="76"/>
        <v/>
      </c>
      <c r="BH88" s="129">
        <f t="shared" si="77"/>
        <v/>
      </c>
      <c r="BI88" s="129">
        <f t="shared" si="78"/>
        <v/>
      </c>
      <c r="BJ88" s="129">
        <f t="shared" si="79"/>
        <v/>
      </c>
      <c r="BK88" s="129">
        <f>IF(R88="","",IF(OR(BY88="",BY88=0),"BOX",IFERROR(IF(VLOOKUP(BY88,УГО_блоки,3,FALSE)&amp;""&lt;&gt;"",VLOOKUP(BY88,УГО_блоки,3,FALSE),VLOOKUP(BY88,УГО_блоки,2,FALSE)),BY88)))</f>
      </c>
      <c r="BL88" s="129">
        <f t="shared" si="81"/>
      </c>
      <c r="BM88" s="129">
        <f>IF(H88="","",IF(COUNTIF($H$3:H88,H88)=1,MAX($BM$2:BM87)+1,""))</f>
      </c>
      <c r="BN88" s="129">
        <f>IF(I88="","",IF(COUNTIF($I$3:I88,I88)+COUNTIF($J$2:J87,I88)+COUNTIF($K$2:K87,I88)=1,MAX($BN$2:BP87)+1,""))</f>
      </c>
      <c r="BO88" s="129">
        <f>IF(J88="","",IF(COUNTIF($I$3:I88,J88)+COUNTIF($J$3:J88,J88)+COUNTIF($K$2:K87,J88)=1,MAX($BN$2:BP87,BN88)+1,""))</f>
      </c>
      <c r="BP88" s="129">
        <f>IF(K88="","",IF(COUNTIF($I$3:I88,K88)+COUNTIF($J$3:J88,K88)+COUNTIF($K$3:K88,K88)=1,MAX($BN$2:BP87,BN88,BO88)+1,""))</f>
      </c>
      <c r="BQ88" s="129">
        <f>IF(AY88=1,IFERROR(MID(Q88,FIND(" (",Q88)+2,FIND(")",Q88,FIND(" (",Q88))-FIND(" (",Q88)-2),"?"),"")</f>
      </c>
      <c r="BR88" s="129">
        <f>IF(BQ88="","",IF(COUNTIF($BQ$3:BQ88,BQ88)=1,MAX($BR$2:BR87)+1,""))</f>
      </c>
      <c r="BS88" s="129">
        <f>IF(AW88="","",COUNTIF($AW$3:AW88,"?*"))</f>
      </c>
      <c r="BT88" s="129">
        <f>IF(OR(AW88="",AI88=""),"",IF(COUNTIFS($AW$3:AW88,"?*",$AI$3:AI88,AI88)=1,MAX($BT$2:BT87)+1,""))</f>
      </c>
      <c r="BU88" s="129">
        <f>IF(AE88="",0,IF(OR(ISNUMBER(SEARCH("дубль",AE88)),ISNUMBER(SEARCH("ПЕРЕГРУЗ",AE88)),ISNUMBER(SEARCH("ЗАЩИЩ",AE88)),ISNUMBER(SEARCH("КАНАЛ",AE88)),ISNUMBER(SEARCH("без 30",AE88))),2,1))</f>
      </c>
      <c r="BV88" s="129">
        <f>IF(R88="","",COUNTIF($R$3:R88,"?*"))</f>
      </c>
      <c r="BW88" s="129">
        <f>IF(AY88&lt;&gt;1,0,IF(MAX(IFERROR(--VLOOKUP(R88,УГО_спр,5,FALSE),0),IFERROR(--VLOOKUP(AL88,УГО_спр,5,FALSE),0),IFERROR(--VLOOKUP(LEFT(AL88,2),УГО_спр,5,FALSE),0))&gt;0,MAX(IFERROR(--VLOOKUP(R88,УГО_спр,5,FALSE),0),IFERROR(--VLOOKUP(AL88,УГО_спр,5,FALSE),0),IFERROR(--VLOOKUP(LEFT(AL88,2),УГО_спр,5,FALSE),0)),IF(IFERROR(--LEFT(SUBSTITUTE(BQ88,"x","х"),FIND("х",SUBSTITUTE(BQ88,"x","х"))-1),3)&gt;3,Каталог!$S$9,1)))</f>
      </c>
      <c r="BX88" s="129">
        <f>IF(AY88&lt;&gt;1,0,MAX(0,IFERROR(--LEFT(SUBSTITUTE(BQ88,"x","х"),FIND("х",SUBSTITUTE(BQ88,"x","х"))-1),3)-3*BW88))</f>
      </c>
      <c r="BY88" s="129">
        <f>IF(R88="","",IFERROR(VLOOKUP(R88,УГО_спр,2,FALSE),IFERROR(VLOOKUP(AL88,УГО_спр,2,FALSE),IFERROR(VLOOKUP(LEFT(AL88,2),УГО_спр,2,FALSE),""))))</f>
      </c>
    </row>
    <row r="89" spans="1:64" x14ac:dyDescent="0.3">
      <c r="A89" s="135">
        <f>IF(Разбивка_по_щитам!F89=0,"",Разбивка_по_щитам!F89)</f>
      </c>
      <c r="B89" s="138">
        <f>IF(A89="","",Разбивка_по_щитам!C89)</f>
      </c>
      <c r="C89" s="138">
        <f t="shared" si="44"/>
      </c>
      <c r="D89" s="266"/>
      <c r="E89" s="266"/>
      <c r="F89" s="267"/>
      <c r="G89" s="145">
        <f t="shared" si="45"/>
        <v/>
      </c>
      <c r="H89" s="145">
        <f t="shared" si="46"/>
        <v/>
      </c>
      <c r="I89" s="266"/>
      <c r="J89" s="267"/>
      <c r="K89" s="267"/>
      <c r="L89" s="266"/>
      <c r="M89" s="147">
        <f t="shared" si="82"/>
        <v/>
      </c>
      <c r="N89" s="267"/>
      <c r="O89" s="147">
        <f t="shared" si="83"/>
        <v/>
      </c>
      <c r="P89" s="268">
        <f>IF(AY89=1,"XT"&amp;COUNTIFS($A$3:A89,A89,$AY$3:AY89,1),"")</f>
        <v/>
      </c>
      <c r="Q89" s="152">
        <f>IF(R89="","",IFERROR(SUBSTITUTE(Разбивка_по_щитам!P89,CHAR(10)," "),""))</f>
        <v/>
      </c>
      <c r="R89" s="153">
        <f>IF(OR(Разбивка_по_щитам!H89="",Разбивка_по_щитам!H89=0),"",Разбивка_по_щитам!H89)</f>
        <v/>
      </c>
      <c r="S89" s="154">
        <f>IF(R89="","",IFERROR(Разбивка_по_щитам!J89&amp;"",""))</f>
        <v/>
      </c>
      <c r="T89" s="155">
        <f>IF(R89="","",IFERROR(--Разбивка_по_щитам!L89,""))</f>
        <v/>
      </c>
      <c r="U89" s="155">
        <f>IF(R89="","",IFERROR(--Разбивка_по_щитам!K89,""))</f>
        <v/>
      </c>
      <c r="V89" s="138">
        <f>IF(R89="","",IFERROR(IF(Разбивка_по_щитам!M89=0,"",Разбивка_по_щитам!M89),""))</f>
        <v/>
      </c>
      <c r="W89" s="156">
        <f t="shared" si="47"/>
        <v/>
      </c>
      <c r="X89" s="157">
        <f t="shared" si="48"/>
        <v/>
      </c>
      <c r="Y89" s="266"/>
      <c r="Z89" s="158">
        <f t="shared" si="49"/>
        <v/>
      </c>
      <c r="AA89" s="160">
        <f t="shared" si="50"/>
        <v/>
      </c>
      <c r="AB89" s="160">
        <f>IF(R89="","",IFERROR(LOOKUP(INDEX(Справочная!$I$4:$I$19,MATCH(VLOOKUP(R89,Исходные_данные,22,FALSE),Справочная!$J$4:$J$19,0)+1),{6,10,16,20,25,32,40,50,63,80,100,125}),""))</f>
        <v/>
      </c>
      <c r="AC89" s="160">
        <f t="shared" si="51"/>
        <v/>
      </c>
      <c r="AD89" s="161">
        <f t="shared" si="52"/>
        <v/>
      </c>
      <c r="AE89" s="161">
        <f>IF(AND(R89="",G89=""),"",_xlfn.TEXTJOIN("; ",TRUE,IF(AND(R89&lt;&gt;"",V89=""),"нет фазы",""),IF(AND(R89&lt;&gt;"",N(T89)=0),"нет мощности",""),IF(AND(P89&lt;&gt;"",COUNTIFS($A$3:$A$1000,A89,$P$3:$P$1000,P89)&gt;1),"дубль клеммы "&amp;P89,""),IF(AND(W89&lt;&gt;"",W89&lt;&gt;"ok"),W89,""),IF(X89&lt;&gt;"",X89,""),IF(AND(ISNUMBER(SEARCH("(5х",Q89)),N(AK89)=1),"5 жил на 1 фазе",""),IF(AND(AL89="R",E89&lt;&gt;"",N(AS89)=0),"розетка без 30 мА",""),IF(IFERROR(_xlfn.NUMBERVALUE(MID(Q89,FIND("-",Q89,FIND("L=",Q89))+1,FIND("%",Q89)-FIND("-",Q89,FIND("L=",Q89))-1),","),0)&gt;4,"потери &gt; 4 %","")))</f>
      </c>
      <c r="AF89" s="129">
        <f>IF(E89&lt;&gt;"",COUNTIFS($A$3:A89,A89,$E$3:E89,"?*"),IF(OR(A89&lt;&gt;A88,Y89="вручную"),"",AF88))</f>
      </c>
      <c r="AG89" s="129">
        <f t="shared" si="53"/>
      </c>
      <c r="AH89" s="129">
        <f t="shared" si="54"/>
        <v/>
      </c>
      <c r="AI89" s="129">
        <f t="shared" si="55"/>
        <v/>
      </c>
      <c r="AJ89" s="129">
        <f t="shared" si="56"/>
        <v/>
      </c>
      <c r="AK89" s="129">
        <f t="shared" si="57"/>
        <v/>
      </c>
      <c r="AL89" s="129">
        <f t="shared" si="58"/>
        <v/>
      </c>
      <c r="AM89" s="129">
        <f t="shared" si="59"/>
      </c>
      <c r="AN89" s="129">
        <f t="shared" si="60"/>
      </c>
      <c r="AO89" s="129">
        <f t="shared" si="61"/>
        <v/>
      </c>
      <c r="AP89" s="129">
        <f t="shared" si="62"/>
        <v/>
      </c>
      <c r="AQ89" s="129">
        <f t="shared" si="63"/>
        <v/>
      </c>
      <c r="AR89" s="129">
        <f t="shared" si="64"/>
        <v/>
      </c>
      <c r="AS89" s="129">
        <f t="shared" si="65"/>
        <v/>
      </c>
      <c r="AT89" s="129">
        <f t="shared" si="66"/>
        <v/>
      </c>
      <c r="AU89" s="129">
        <f t="shared" si="67"/>
        <v/>
      </c>
      <c r="AV89" s="129">
        <f t="shared" si="68"/>
        <v/>
      </c>
      <c r="AW89" s="129">
        <f>IF(AV89="","",AV89&amp;"."&amp;COUNTIFS($A$3:A89,A89,$AV$3:AV89,AV89))</f>
        <v/>
      </c>
      <c r="AX89" s="129">
        <f t="shared" si="69"/>
        <v/>
      </c>
      <c r="AY89" s="129">
        <f>IF(N89="б/к",0,IF(OR(ISNUMBER(SEARCH("L=",Разбивка_по_щитам!P89)),N89="+",N89="="),1,0))</f>
      </c>
      <c r="AZ89" s="129">
        <f t="shared" si="70"/>
      </c>
      <c r="BA89" s="129">
        <f t="shared" si="71"/>
      </c>
      <c r="BB89" s="129">
        <f t="shared" si="72"/>
      </c>
      <c r="BD89" s="129">
        <f t="shared" si="73"/>
      </c>
      <c r="BE89" s="129">
        <f t="shared" si="74"/>
      </c>
      <c r="BF89" s="129">
        <f t="shared" si="75"/>
      </c>
      <c r="BG89" s="129">
        <f t="shared" si="76"/>
        <v/>
      </c>
      <c r="BH89" s="129">
        <f t="shared" si="77"/>
        <v/>
      </c>
      <c r="BI89" s="129">
        <f t="shared" si="78"/>
        <v/>
      </c>
      <c r="BJ89" s="129">
        <f t="shared" si="79"/>
        <v/>
      </c>
      <c r="BK89" s="129">
        <f>IF(R89="","",IF(OR(BY89="",BY89=0),"BOX",IFERROR(IF(VLOOKUP(BY89,УГО_блоки,3,FALSE)&amp;""&lt;&gt;"",VLOOKUP(BY89,УГО_блоки,3,FALSE),VLOOKUP(BY89,УГО_блоки,2,FALSE)),BY89)))</f>
      </c>
      <c r="BL89" s="129">
        <f t="shared" si="81"/>
      </c>
      <c r="BM89" s="129">
        <f>IF(H89="","",IF(COUNTIF($H$3:H89,H89)=1,MAX($BM$2:BM88)+1,""))</f>
      </c>
      <c r="BN89" s="129">
        <f>IF(I89="","",IF(COUNTIF($I$3:I89,I89)+COUNTIF($J$2:J88,I89)+COUNTIF($K$2:K88,I89)=1,MAX($BN$2:BP88)+1,""))</f>
      </c>
      <c r="BO89" s="129">
        <f>IF(J89="","",IF(COUNTIF($I$3:I89,J89)+COUNTIF($J$3:J89,J89)+COUNTIF($K$2:K88,J89)=1,MAX($BN$2:BP88,BN89)+1,""))</f>
      </c>
      <c r="BP89" s="129">
        <f>IF(K89="","",IF(COUNTIF($I$3:I89,K89)+COUNTIF($J$3:J89,K89)+COUNTIF($K$3:K89,K89)=1,MAX($BN$2:BP88,BN89,BO89)+1,""))</f>
      </c>
      <c r="BQ89" s="129">
        <f>IF(AY89=1,IFERROR(MID(Q89,FIND(" (",Q89)+2,FIND(")",Q89,FIND(" (",Q89))-FIND(" (",Q89)-2),"?"),"")</f>
      </c>
      <c r="BR89" s="129">
        <f>IF(BQ89="","",IF(COUNTIF($BQ$3:BQ89,BQ89)=1,MAX($BR$2:BR88)+1,""))</f>
      </c>
      <c r="BS89" s="129">
        <f>IF(AW89="","",COUNTIF($AW$3:AW89,"?*"))</f>
      </c>
      <c r="BT89" s="129">
        <f>IF(OR(AW89="",AI89=""),"",IF(COUNTIFS($AW$3:AW89,"?*",$AI$3:AI89,AI89)=1,MAX($BT$2:BT88)+1,""))</f>
      </c>
      <c r="BU89" s="129">
        <f>IF(AE89="",0,IF(OR(ISNUMBER(SEARCH("дубль",AE89)),ISNUMBER(SEARCH("ПЕРЕГРУЗ",AE89)),ISNUMBER(SEARCH("ЗАЩИЩ",AE89)),ISNUMBER(SEARCH("КАНАЛ",AE89)),ISNUMBER(SEARCH("без 30",AE89))),2,1))</f>
      </c>
      <c r="BV89" s="129">
        <f>IF(R89="","",COUNTIF($R$3:R89,"?*"))</f>
      </c>
      <c r="BW89" s="129">
        <f>IF(AY89&lt;&gt;1,0,IF(MAX(IFERROR(--VLOOKUP(R89,УГО_спр,5,FALSE),0),IFERROR(--VLOOKUP(AL89,УГО_спр,5,FALSE),0),IFERROR(--VLOOKUP(LEFT(AL89,2),УГО_спр,5,FALSE),0))&gt;0,MAX(IFERROR(--VLOOKUP(R89,УГО_спр,5,FALSE),0),IFERROR(--VLOOKUP(AL89,УГО_спр,5,FALSE),0),IFERROR(--VLOOKUP(LEFT(AL89,2),УГО_спр,5,FALSE),0)),IF(IFERROR(--LEFT(SUBSTITUTE(BQ89,"x","х"),FIND("х",SUBSTITUTE(BQ89,"x","х"))-1),3)&gt;3,Каталог!$S$9,1)))</f>
      </c>
      <c r="BX89" s="129">
        <f>IF(AY89&lt;&gt;1,0,MAX(0,IFERROR(--LEFT(SUBSTITUTE(BQ89,"x","х"),FIND("х",SUBSTITUTE(BQ89,"x","х"))-1),3)-3*BW89))</f>
      </c>
      <c r="BY89" s="129">
        <f>IF(R89="","",IFERROR(VLOOKUP(R89,УГО_спр,2,FALSE),IFERROR(VLOOKUP(AL89,УГО_спр,2,FALSE),IFERROR(VLOOKUP(LEFT(AL89,2),УГО_спр,2,FALSE),""))))</f>
      </c>
    </row>
    <row r="90" spans="1:64" x14ac:dyDescent="0.3">
      <c r="A90" s="135">
        <f>IF(Разбивка_по_щитам!F90=0,"",Разбивка_по_щитам!F90)</f>
      </c>
      <c r="B90" s="138">
        <f>IF(A90="","",Разбивка_по_щитам!C90)</f>
      </c>
      <c r="C90" s="138">
        <f t="shared" si="44"/>
      </c>
      <c r="D90" s="266"/>
      <c r="E90" s="266"/>
      <c r="F90" s="267"/>
      <c r="G90" s="145">
        <f t="shared" si="45"/>
        <v/>
      </c>
      <c r="H90" s="145">
        <f t="shared" si="46"/>
        <v/>
      </c>
      <c r="I90" s="266"/>
      <c r="J90" s="267"/>
      <c r="K90" s="267"/>
      <c r="L90" s="266"/>
      <c r="M90" s="147">
        <f t="shared" si="82"/>
        <v/>
      </c>
      <c r="N90" s="267"/>
      <c r="O90" s="147">
        <f t="shared" si="83"/>
        <v/>
      </c>
      <c r="P90" s="268">
        <f>IF(AY90=1,"XT"&amp;COUNTIFS($A$3:A90,A90,$AY$3:AY90,1),"")</f>
        <v/>
      </c>
      <c r="Q90" s="152">
        <f>IF(R90="","",IFERROR(SUBSTITUTE(Разбивка_по_щитам!P90,CHAR(10)," "),""))</f>
        <v/>
      </c>
      <c r="R90" s="153">
        <f>IF(OR(Разбивка_по_щитам!H90="",Разбивка_по_щитам!H90=0),"",Разбивка_по_щитам!H90)</f>
        <v/>
      </c>
      <c r="S90" s="154">
        <f>IF(R90="","",IFERROR(Разбивка_по_щитам!J90&amp;"",""))</f>
        <v/>
      </c>
      <c r="T90" s="155">
        <f>IF(R90="","",IFERROR(--Разбивка_по_щитам!L90,""))</f>
        <v/>
      </c>
      <c r="U90" s="155">
        <f>IF(R90="","",IFERROR(--Разбивка_по_щитам!K90,""))</f>
        <v/>
      </c>
      <c r="V90" s="138">
        <f>IF(R90="","",IFERROR(IF(Разбивка_по_щитам!M90=0,"",Разбивка_по_щитам!M90),""))</f>
        <v/>
      </c>
      <c r="W90" s="156">
        <f t="shared" si="47"/>
        <v/>
      </c>
      <c r="X90" s="157">
        <f t="shared" si="48"/>
        <v/>
      </c>
      <c r="Y90" s="266"/>
      <c r="Z90" s="158">
        <f t="shared" si="49"/>
        <v/>
      </c>
      <c r="AA90" s="160">
        <f t="shared" si="50"/>
        <v/>
      </c>
      <c r="AB90" s="160">
        <f>IF(R90="","",IFERROR(LOOKUP(INDEX(Справочная!$I$4:$I$19,MATCH(VLOOKUP(R90,Исходные_данные,22,FALSE),Справочная!$J$4:$J$19,0)+1),{6,10,16,20,25,32,40,50,63,80,100,125}),""))</f>
        <v/>
      </c>
      <c r="AC90" s="160">
        <f t="shared" si="51"/>
        <v/>
      </c>
      <c r="AD90" s="161">
        <f t="shared" si="52"/>
        <v/>
      </c>
      <c r="AE90" s="161">
        <f>IF(AND(R90="",G90=""),"",_xlfn.TEXTJOIN("; ",TRUE,IF(AND(R90&lt;&gt;"",V90=""),"нет фазы",""),IF(AND(R90&lt;&gt;"",N(T90)=0),"нет мощности",""),IF(AND(P90&lt;&gt;"",COUNTIFS($A$3:$A$1000,A90,$P$3:$P$1000,P90)&gt;1),"дубль клеммы "&amp;P90,""),IF(AND(W90&lt;&gt;"",W90&lt;&gt;"ok"),W90,""),IF(X90&lt;&gt;"",X90,""),IF(AND(ISNUMBER(SEARCH("(5х",Q90)),N(AK90)=1),"5 жил на 1 фазе",""),IF(AND(AL90="R",E90&lt;&gt;"",N(AS90)=0),"розетка без 30 мА",""),IF(IFERROR(_xlfn.NUMBERVALUE(MID(Q90,FIND("-",Q90,FIND("L=",Q90))+1,FIND("%",Q90)-FIND("-",Q90,FIND("L=",Q90))-1),","),0)&gt;4,"потери &gt; 4 %","")))</f>
      </c>
      <c r="AF90" s="129">
        <f>IF(E90&lt;&gt;"",COUNTIFS($A$3:A90,A90,$E$3:E90,"?*"),IF(OR(A90&lt;&gt;A89,Y90="вручную"),"",AF89))</f>
      </c>
      <c r="AG90" s="129">
        <f t="shared" si="53"/>
      </c>
      <c r="AH90" s="129">
        <f t="shared" si="54"/>
        <v/>
      </c>
      <c r="AI90" s="129">
        <f t="shared" si="55"/>
        <v/>
      </c>
      <c r="AJ90" s="129">
        <f t="shared" si="56"/>
        <v/>
      </c>
      <c r="AK90" s="129">
        <f t="shared" si="57"/>
        <v/>
      </c>
      <c r="AL90" s="129">
        <f t="shared" si="58"/>
        <v/>
      </c>
      <c r="AM90" s="129">
        <f t="shared" si="59"/>
      </c>
      <c r="AN90" s="129">
        <f t="shared" si="60"/>
      </c>
      <c r="AO90" s="129">
        <f t="shared" si="61"/>
        <v/>
      </c>
      <c r="AP90" s="129">
        <f t="shared" si="62"/>
        <v/>
      </c>
      <c r="AQ90" s="129">
        <f t="shared" si="63"/>
        <v/>
      </c>
      <c r="AR90" s="129">
        <f t="shared" si="64"/>
        <v/>
      </c>
      <c r="AS90" s="129">
        <f t="shared" si="65"/>
        <v/>
      </c>
      <c r="AT90" s="129">
        <f t="shared" si="66"/>
        <v/>
      </c>
      <c r="AU90" s="129">
        <f t="shared" si="67"/>
        <v/>
      </c>
      <c r="AV90" s="129">
        <f t="shared" si="68"/>
        <v/>
      </c>
      <c r="AW90" s="129">
        <f>IF(AV90="","",AV90&amp;"."&amp;COUNTIFS($A$3:A90,A90,$AV$3:AV90,AV90))</f>
        <v/>
      </c>
      <c r="AX90" s="129">
        <f t="shared" si="69"/>
        <v/>
      </c>
      <c r="AY90" s="129">
        <f>IF(N90="б/к",0,IF(OR(ISNUMBER(SEARCH("L=",Разбивка_по_щитам!P90)),N90="+",N90="="),1,0))</f>
      </c>
      <c r="AZ90" s="129">
        <f t="shared" si="70"/>
      </c>
      <c r="BA90" s="129">
        <f t="shared" si="71"/>
      </c>
      <c r="BB90" s="129">
        <f t="shared" si="72"/>
      </c>
      <c r="BD90" s="129">
        <f t="shared" si="73"/>
      </c>
      <c r="BE90" s="129">
        <f t="shared" si="74"/>
      </c>
      <c r="BF90" s="129">
        <f t="shared" si="75"/>
      </c>
      <c r="BG90" s="129">
        <f t="shared" si="76"/>
        <v/>
      </c>
      <c r="BH90" s="129">
        <f t="shared" si="77"/>
        <v/>
      </c>
      <c r="BI90" s="129">
        <f t="shared" si="78"/>
        <v/>
      </c>
      <c r="BJ90" s="129">
        <f t="shared" si="79"/>
        <v/>
      </c>
      <c r="BK90" s="129">
        <f>IF(R90="","",IF(OR(BY90="",BY90=0),"BOX",IFERROR(IF(VLOOKUP(BY90,УГО_блоки,3,FALSE)&amp;""&lt;&gt;"",VLOOKUP(BY90,УГО_блоки,3,FALSE),VLOOKUP(BY90,УГО_блоки,2,FALSE)),BY90)))</f>
      </c>
      <c r="BL90" s="129">
        <f t="shared" si="81"/>
      </c>
      <c r="BM90" s="129">
        <f>IF(H90="","",IF(COUNTIF($H$3:H90,H90)=1,MAX($BM$2:BM89)+1,""))</f>
      </c>
      <c r="BN90" s="129">
        <f>IF(I90="","",IF(COUNTIF($I$3:I90,I90)+COUNTIF($J$2:J89,I90)+COUNTIF($K$2:K89,I90)=1,MAX($BN$2:BP89)+1,""))</f>
      </c>
      <c r="BO90" s="129">
        <f>IF(J90="","",IF(COUNTIF($I$3:I90,J90)+COUNTIF($J$3:J90,J90)+COUNTIF($K$2:K89,J90)=1,MAX($BN$2:BP89,BN90)+1,""))</f>
      </c>
      <c r="BP90" s="129">
        <f>IF(K90="","",IF(COUNTIF($I$3:I90,K90)+COUNTIF($J$3:J90,K90)+COUNTIF($K$3:K90,K90)=1,MAX($BN$2:BP89,BN90,BO90)+1,""))</f>
      </c>
      <c r="BQ90" s="129">
        <f>IF(AY90=1,IFERROR(MID(Q90,FIND(" (",Q90)+2,FIND(")",Q90,FIND(" (",Q90))-FIND(" (",Q90)-2),"?"),"")</f>
      </c>
      <c r="BR90" s="129">
        <f>IF(BQ90="","",IF(COUNTIF($BQ$3:BQ90,BQ90)=1,MAX($BR$2:BR89)+1,""))</f>
      </c>
      <c r="BS90" s="129">
        <f>IF(AW90="","",COUNTIF($AW$3:AW90,"?*"))</f>
      </c>
      <c r="BT90" s="129">
        <f>IF(OR(AW90="",AI90=""),"",IF(COUNTIFS($AW$3:AW90,"?*",$AI$3:AI90,AI90)=1,MAX($BT$2:BT89)+1,""))</f>
      </c>
      <c r="BU90" s="129">
        <f>IF(AE90="",0,IF(OR(ISNUMBER(SEARCH("дубль",AE90)),ISNUMBER(SEARCH("ПЕРЕГРУЗ",AE90)),ISNUMBER(SEARCH("ЗАЩИЩ",AE90)),ISNUMBER(SEARCH("КАНАЛ",AE90)),ISNUMBER(SEARCH("без 30",AE90))),2,1))</f>
      </c>
      <c r="BV90" s="129">
        <f>IF(R90="","",COUNTIF($R$3:R90,"?*"))</f>
      </c>
      <c r="BW90" s="129">
        <f>IF(AY90&lt;&gt;1,0,IF(MAX(IFERROR(--VLOOKUP(R90,УГО_спр,5,FALSE),0),IFERROR(--VLOOKUP(AL90,УГО_спр,5,FALSE),0),IFERROR(--VLOOKUP(LEFT(AL90,2),УГО_спр,5,FALSE),0))&gt;0,MAX(IFERROR(--VLOOKUP(R90,УГО_спр,5,FALSE),0),IFERROR(--VLOOKUP(AL90,УГО_спр,5,FALSE),0),IFERROR(--VLOOKUP(LEFT(AL90,2),УГО_спр,5,FALSE),0)),IF(IFERROR(--LEFT(SUBSTITUTE(BQ90,"x","х"),FIND("х",SUBSTITUTE(BQ90,"x","х"))-1),3)&gt;3,Каталог!$S$9,1)))</f>
      </c>
      <c r="BX90" s="129">
        <f>IF(AY90&lt;&gt;1,0,MAX(0,IFERROR(--LEFT(SUBSTITUTE(BQ90,"x","х"),FIND("х",SUBSTITUTE(BQ90,"x","х"))-1),3)-3*BW90))</f>
      </c>
      <c r="BY90" s="129">
        <f>IF(R90="","",IFERROR(VLOOKUP(R90,УГО_спр,2,FALSE),IFERROR(VLOOKUP(AL90,УГО_спр,2,FALSE),IFERROR(VLOOKUP(LEFT(AL90,2),УГО_спр,2,FALSE),""))))</f>
      </c>
    </row>
    <row r="91" spans="1:64" x14ac:dyDescent="0.3">
      <c r="A91" s="135">
        <f>IF(Разбивка_по_щитам!F91=0,"",Разбивка_по_щитам!F91)</f>
      </c>
      <c r="B91" s="138">
        <f>IF(A91="","",Разбивка_по_щитам!C91)</f>
      </c>
      <c r="C91" s="138">
        <f t="shared" si="44"/>
      </c>
      <c r="D91" s="266"/>
      <c r="E91" s="266"/>
      <c r="F91" s="267"/>
      <c r="G91" s="145">
        <f t="shared" si="45"/>
        <v/>
      </c>
      <c r="H91" s="145">
        <f t="shared" si="46"/>
        <v/>
      </c>
      <c r="I91" s="266"/>
      <c r="J91" s="267"/>
      <c r="K91" s="267"/>
      <c r="L91" s="266"/>
      <c r="M91" s="147">
        <f t="shared" si="82"/>
        <v/>
      </c>
      <c r="N91" s="267"/>
      <c r="O91" s="147">
        <f t="shared" si="83"/>
        <v/>
      </c>
      <c r="P91" s="268">
        <f>IF(AY91=1,"XT"&amp;COUNTIFS($A$3:A91,A91,$AY$3:AY91,1),"")</f>
        <v/>
      </c>
      <c r="Q91" s="152">
        <f>IF(R91="","",IFERROR(SUBSTITUTE(Разбивка_по_щитам!P91,CHAR(10)," "),""))</f>
        <v/>
      </c>
      <c r="R91" s="153">
        <f>IF(OR(Разбивка_по_щитам!H91="",Разбивка_по_щитам!H91=0),"",Разбивка_по_щитам!H91)</f>
        <v/>
      </c>
      <c r="S91" s="154">
        <f>IF(R91="","",IFERROR(Разбивка_по_щитам!J91&amp;"",""))</f>
        <v/>
      </c>
      <c r="T91" s="155">
        <f>IF(R91="","",IFERROR(--Разбивка_по_щитам!L91,""))</f>
        <v/>
      </c>
      <c r="U91" s="155">
        <f>IF(R91="","",IFERROR(--Разбивка_по_щитам!K91,""))</f>
        <v/>
      </c>
      <c r="V91" s="138">
        <f>IF(R91="","",IFERROR(IF(Разбивка_по_щитам!M91=0,"",Разбивка_по_щитам!M91),""))</f>
        <v/>
      </c>
      <c r="W91" s="156">
        <f t="shared" si="47"/>
        <v/>
      </c>
      <c r="X91" s="157">
        <f t="shared" si="48"/>
        <v/>
      </c>
      <c r="Y91" s="266"/>
      <c r="Z91" s="158">
        <f t="shared" si="49"/>
        <v/>
      </c>
      <c r="AA91" s="160">
        <f t="shared" si="50"/>
        <v/>
      </c>
      <c r="AB91" s="160">
        <f>IF(R91="","",IFERROR(LOOKUP(INDEX(Справочная!$I$4:$I$19,MATCH(VLOOKUP(R91,Исходные_данные,22,FALSE),Справочная!$J$4:$J$19,0)+1),{6,10,16,20,25,32,40,50,63,80,100,125}),""))</f>
        <v/>
      </c>
      <c r="AC91" s="160">
        <f t="shared" si="51"/>
        <v/>
      </c>
      <c r="AD91" s="161">
        <f t="shared" si="52"/>
        <v/>
      </c>
      <c r="AE91" s="161">
        <f>IF(AND(R91="",G91=""),"",_xlfn.TEXTJOIN("; ",TRUE,IF(AND(R91&lt;&gt;"",V91=""),"нет фазы",""),IF(AND(R91&lt;&gt;"",N(T91)=0),"нет мощности",""),IF(AND(P91&lt;&gt;"",COUNTIFS($A$3:$A$1000,A91,$P$3:$P$1000,P91)&gt;1),"дубль клеммы "&amp;P91,""),IF(AND(W91&lt;&gt;"",W91&lt;&gt;"ok"),W91,""),IF(X91&lt;&gt;"",X91,""),IF(AND(ISNUMBER(SEARCH("(5х",Q91)),N(AK91)=1),"5 жил на 1 фазе",""),IF(AND(AL91="R",E91&lt;&gt;"",N(AS91)=0),"розетка без 30 мА",""),IF(IFERROR(_xlfn.NUMBERVALUE(MID(Q91,FIND("-",Q91,FIND("L=",Q91))+1,FIND("%",Q91)-FIND("-",Q91,FIND("L=",Q91))-1),","),0)&gt;4,"потери &gt; 4 %","")))</f>
      </c>
      <c r="AF91" s="129">
        <f>IF(E91&lt;&gt;"",COUNTIFS($A$3:A91,A91,$E$3:E91,"?*"),IF(OR(A91&lt;&gt;A90,Y91="вручную"),"",AF90))</f>
      </c>
      <c r="AG91" s="129">
        <f t="shared" si="53"/>
      </c>
      <c r="AH91" s="129">
        <f t="shared" si="54"/>
        <v/>
      </c>
      <c r="AI91" s="129">
        <f t="shared" si="55"/>
        <v/>
      </c>
      <c r="AJ91" s="129">
        <f t="shared" si="56"/>
        <v/>
      </c>
      <c r="AK91" s="129">
        <f t="shared" si="57"/>
        <v/>
      </c>
      <c r="AL91" s="129">
        <f t="shared" si="58"/>
        <v/>
      </c>
      <c r="AM91" s="129">
        <f t="shared" si="59"/>
      </c>
      <c r="AN91" s="129">
        <f t="shared" si="60"/>
      </c>
      <c r="AO91" s="129">
        <f t="shared" si="61"/>
        <v/>
      </c>
      <c r="AP91" s="129">
        <f t="shared" si="62"/>
        <v/>
      </c>
      <c r="AQ91" s="129">
        <f t="shared" si="63"/>
        <v/>
      </c>
      <c r="AR91" s="129">
        <f t="shared" si="64"/>
        <v/>
      </c>
      <c r="AS91" s="129">
        <f t="shared" si="65"/>
        <v/>
      </c>
      <c r="AT91" s="129">
        <f t="shared" si="66"/>
        <v/>
      </c>
      <c r="AU91" s="129">
        <f t="shared" si="67"/>
        <v/>
      </c>
      <c r="AV91" s="129">
        <f t="shared" si="68"/>
        <v/>
      </c>
      <c r="AW91" s="129">
        <f>IF(AV91="","",AV91&amp;"."&amp;COUNTIFS($A$3:A91,A91,$AV$3:AV91,AV91))</f>
        <v/>
      </c>
      <c r="AX91" s="129">
        <f t="shared" si="69"/>
        <v/>
      </c>
      <c r="AY91" s="129">
        <f>IF(N91="б/к",0,IF(OR(ISNUMBER(SEARCH("L=",Разбивка_по_щитам!P91)),N91="+",N91="="),1,0))</f>
      </c>
      <c r="AZ91" s="129">
        <f t="shared" si="70"/>
      </c>
      <c r="BA91" s="129">
        <f t="shared" si="71"/>
      </c>
      <c r="BB91" s="129">
        <f t="shared" si="72"/>
      </c>
      <c r="BD91" s="129">
        <f t="shared" si="73"/>
      </c>
      <c r="BE91" s="129">
        <f t="shared" si="74"/>
      </c>
      <c r="BF91" s="129">
        <f t="shared" si="75"/>
      </c>
      <c r="BG91" s="129">
        <f t="shared" si="76"/>
        <v/>
      </c>
      <c r="BH91" s="129">
        <f t="shared" si="77"/>
        <v/>
      </c>
      <c r="BI91" s="129">
        <f t="shared" si="78"/>
        <v/>
      </c>
      <c r="BJ91" s="129">
        <f t="shared" si="79"/>
        <v/>
      </c>
      <c r="BK91" s="129">
        <f>IF(R91="","",IF(OR(BY91="",BY91=0),"BOX",IFERROR(IF(VLOOKUP(BY91,УГО_блоки,3,FALSE)&amp;""&lt;&gt;"",VLOOKUP(BY91,УГО_блоки,3,FALSE),VLOOKUP(BY91,УГО_блоки,2,FALSE)),BY91)))</f>
      </c>
      <c r="BL91" s="129">
        <f t="shared" si="81"/>
      </c>
      <c r="BM91" s="129">
        <f>IF(H91="","",IF(COUNTIF($H$3:H91,H91)=1,MAX($BM$2:BM90)+1,""))</f>
      </c>
      <c r="BN91" s="129">
        <f>IF(I91="","",IF(COUNTIF($I$3:I91,I91)+COUNTIF($J$2:J90,I91)+COUNTIF($K$2:K90,I91)=1,MAX($BN$2:BP90)+1,""))</f>
      </c>
      <c r="BO91" s="129">
        <f>IF(J91="","",IF(COUNTIF($I$3:I91,J91)+COUNTIF($J$3:J91,J91)+COUNTIF($K$2:K90,J91)=1,MAX($BN$2:BP90,BN91)+1,""))</f>
      </c>
      <c r="BP91" s="129">
        <f>IF(K91="","",IF(COUNTIF($I$3:I91,K91)+COUNTIF($J$3:J91,K91)+COUNTIF($K$3:K91,K91)=1,MAX($BN$2:BP90,BN91,BO91)+1,""))</f>
      </c>
      <c r="BQ91" s="129">
        <f>IF(AY91=1,IFERROR(MID(Q91,FIND(" (",Q91)+2,FIND(")",Q91,FIND(" (",Q91))-FIND(" (",Q91)-2),"?"),"")</f>
      </c>
      <c r="BR91" s="129">
        <f>IF(BQ91="","",IF(COUNTIF($BQ$3:BQ91,BQ91)=1,MAX($BR$2:BR90)+1,""))</f>
      </c>
      <c r="BS91" s="129">
        <f>IF(AW91="","",COUNTIF($AW$3:AW91,"?*"))</f>
      </c>
      <c r="BT91" s="129">
        <f>IF(OR(AW91="",AI91=""),"",IF(COUNTIFS($AW$3:AW91,"?*",$AI$3:AI91,AI91)=1,MAX($BT$2:BT90)+1,""))</f>
      </c>
      <c r="BU91" s="129">
        <f>IF(AE91="",0,IF(OR(ISNUMBER(SEARCH("дубль",AE91)),ISNUMBER(SEARCH("ПЕРЕГРУЗ",AE91)),ISNUMBER(SEARCH("ЗАЩИЩ",AE91)),ISNUMBER(SEARCH("КАНАЛ",AE91)),ISNUMBER(SEARCH("без 30",AE91))),2,1))</f>
      </c>
      <c r="BV91" s="129">
        <f>IF(R91="","",COUNTIF($R$3:R91,"?*"))</f>
      </c>
      <c r="BW91" s="129">
        <f>IF(AY91&lt;&gt;1,0,IF(MAX(IFERROR(--VLOOKUP(R91,УГО_спр,5,FALSE),0),IFERROR(--VLOOKUP(AL91,УГО_спр,5,FALSE),0),IFERROR(--VLOOKUP(LEFT(AL91,2),УГО_спр,5,FALSE),0))&gt;0,MAX(IFERROR(--VLOOKUP(R91,УГО_спр,5,FALSE),0),IFERROR(--VLOOKUP(AL91,УГО_спр,5,FALSE),0),IFERROR(--VLOOKUP(LEFT(AL91,2),УГО_спр,5,FALSE),0)),IF(IFERROR(--LEFT(SUBSTITUTE(BQ91,"x","х"),FIND("х",SUBSTITUTE(BQ91,"x","х"))-1),3)&gt;3,Каталог!$S$9,1)))</f>
      </c>
      <c r="BX91" s="129">
        <f>IF(AY91&lt;&gt;1,0,MAX(0,IFERROR(--LEFT(SUBSTITUTE(BQ91,"x","х"),FIND("х",SUBSTITUTE(BQ91,"x","х"))-1),3)-3*BW91))</f>
      </c>
      <c r="BY91" s="129">
        <f>IF(R91="","",IFERROR(VLOOKUP(R91,УГО_спр,2,FALSE),IFERROR(VLOOKUP(AL91,УГО_спр,2,FALSE),IFERROR(VLOOKUP(LEFT(AL91,2),УГО_спр,2,FALSE),""))))</f>
      </c>
    </row>
    <row r="92" spans="1:64" x14ac:dyDescent="0.3">
      <c r="A92" s="135">
        <f>IF(Разбивка_по_щитам!F92=0,"",Разбивка_по_щитам!F92)</f>
      </c>
      <c r="B92" s="138">
        <f>IF(A92="","",Разбивка_по_щитам!C92)</f>
      </c>
      <c r="C92" s="138">
        <f t="shared" si="44"/>
      </c>
      <c r="D92" s="266"/>
      <c r="E92" s="266"/>
      <c r="F92" s="267"/>
      <c r="G92" s="145">
        <f t="shared" si="45"/>
        <v/>
      </c>
      <c r="H92" s="145">
        <f t="shared" si="46"/>
        <v/>
      </c>
      <c r="I92" s="266"/>
      <c r="J92" s="267"/>
      <c r="K92" s="267"/>
      <c r="L92" s="266"/>
      <c r="M92" s="147">
        <f t="shared" si="82"/>
        <v/>
      </c>
      <c r="N92" s="267"/>
      <c r="O92" s="147">
        <f t="shared" si="83"/>
        <v/>
      </c>
      <c r="P92" s="268">
        <f>IF(AY92=1,"XT"&amp;COUNTIFS($A$3:A92,A92,$AY$3:AY92,1),"")</f>
        <v/>
      </c>
      <c r="Q92" s="152">
        <f>IF(R92="","",IFERROR(SUBSTITUTE(Разбивка_по_щитам!P92,CHAR(10)," "),""))</f>
        <v/>
      </c>
      <c r="R92" s="153">
        <f>IF(OR(Разбивка_по_щитам!H92="",Разбивка_по_щитам!H92=0),"",Разбивка_по_щитам!H92)</f>
        <v/>
      </c>
      <c r="S92" s="154">
        <f>IF(R92="","",IFERROR(Разбивка_по_щитам!J92&amp;"",""))</f>
        <v/>
      </c>
      <c r="T92" s="155">
        <f>IF(R92="","",IFERROR(--Разбивка_по_щитам!L92,""))</f>
        <v/>
      </c>
      <c r="U92" s="155">
        <f>IF(R92="","",IFERROR(--Разбивка_по_щитам!K92,""))</f>
        <v/>
      </c>
      <c r="V92" s="138">
        <f>IF(R92="","",IFERROR(IF(Разбивка_по_щитам!M92=0,"",Разбивка_по_щитам!M92),""))</f>
        <v/>
      </c>
      <c r="W92" s="156">
        <f t="shared" si="47"/>
        <v/>
      </c>
      <c r="X92" s="157">
        <f t="shared" si="48"/>
        <v/>
      </c>
      <c r="Y92" s="266"/>
      <c r="Z92" s="158">
        <f t="shared" si="49"/>
        <v/>
      </c>
      <c r="AA92" s="160">
        <f t="shared" si="50"/>
        <v/>
      </c>
      <c r="AB92" s="160">
        <f>IF(R92="","",IFERROR(LOOKUP(INDEX(Справочная!$I$4:$I$19,MATCH(VLOOKUP(R92,Исходные_данные,22,FALSE),Справочная!$J$4:$J$19,0)+1),{6,10,16,20,25,32,40,50,63,80,100,125}),""))</f>
        <v/>
      </c>
      <c r="AC92" s="160">
        <f t="shared" si="51"/>
        <v/>
      </c>
      <c r="AD92" s="161">
        <f t="shared" si="52"/>
        <v/>
      </c>
      <c r="AE92" s="161">
        <f>IF(AND(R92="",G92=""),"",_xlfn.TEXTJOIN("; ",TRUE,IF(AND(R92&lt;&gt;"",V92=""),"нет фазы",""),IF(AND(R92&lt;&gt;"",N(T92)=0),"нет мощности",""),IF(AND(P92&lt;&gt;"",COUNTIFS($A$3:$A$1000,A92,$P$3:$P$1000,P92)&gt;1),"дубль клеммы "&amp;P92,""),IF(AND(W92&lt;&gt;"",W92&lt;&gt;"ok"),W92,""),IF(X92&lt;&gt;"",X92,""),IF(AND(ISNUMBER(SEARCH("(5х",Q92)),N(AK92)=1),"5 жил на 1 фазе",""),IF(AND(AL92="R",E92&lt;&gt;"",N(AS92)=0),"розетка без 30 мА",""),IF(IFERROR(_xlfn.NUMBERVALUE(MID(Q92,FIND("-",Q92,FIND("L=",Q92))+1,FIND("%",Q92)-FIND("-",Q92,FIND("L=",Q92))-1),","),0)&gt;4,"потери &gt; 4 %","")))</f>
      </c>
      <c r="AF92" s="129">
        <f>IF(E92&lt;&gt;"",COUNTIFS($A$3:A92,A92,$E$3:E92,"?*"),IF(OR(A92&lt;&gt;A91,Y92="вручную"),"",AF91))</f>
      </c>
      <c r="AG92" s="129">
        <f t="shared" si="53"/>
      </c>
      <c r="AH92" s="129">
        <f t="shared" si="54"/>
        <v/>
      </c>
      <c r="AI92" s="129">
        <f t="shared" si="55"/>
        <v/>
      </c>
      <c r="AJ92" s="129">
        <f t="shared" si="56"/>
        <v/>
      </c>
      <c r="AK92" s="129">
        <f t="shared" si="57"/>
        <v/>
      </c>
      <c r="AL92" s="129">
        <f t="shared" si="58"/>
        <v/>
      </c>
      <c r="AM92" s="129">
        <f t="shared" si="59"/>
      </c>
      <c r="AN92" s="129">
        <f t="shared" si="60"/>
      </c>
      <c r="AO92" s="129">
        <f t="shared" si="61"/>
        <v/>
      </c>
      <c r="AP92" s="129">
        <f t="shared" si="62"/>
        <v/>
      </c>
      <c r="AQ92" s="129">
        <f t="shared" si="63"/>
        <v/>
      </c>
      <c r="AR92" s="129">
        <f t="shared" si="64"/>
        <v/>
      </c>
      <c r="AS92" s="129">
        <f t="shared" si="65"/>
        <v/>
      </c>
      <c r="AT92" s="129">
        <f t="shared" si="66"/>
        <v/>
      </c>
      <c r="AU92" s="129">
        <f t="shared" si="67"/>
        <v/>
      </c>
      <c r="AV92" s="129">
        <f t="shared" si="68"/>
        <v/>
      </c>
      <c r="AW92" s="129">
        <f>IF(AV92="","",AV92&amp;"."&amp;COUNTIFS($A$3:A92,A92,$AV$3:AV92,AV92))</f>
        <v/>
      </c>
      <c r="AX92" s="129">
        <f t="shared" si="69"/>
        <v/>
      </c>
      <c r="AY92" s="129">
        <f>IF(N92="б/к",0,IF(OR(ISNUMBER(SEARCH("L=",Разбивка_по_щитам!P92)),N92="+",N92="="),1,0))</f>
      </c>
      <c r="AZ92" s="129">
        <f t="shared" si="70"/>
      </c>
      <c r="BA92" s="129">
        <f t="shared" si="71"/>
      </c>
      <c r="BB92" s="129">
        <f t="shared" si="72"/>
      </c>
      <c r="BD92" s="129">
        <f t="shared" si="73"/>
      </c>
      <c r="BE92" s="129">
        <f t="shared" si="74"/>
      </c>
      <c r="BF92" s="129">
        <f t="shared" si="75"/>
      </c>
      <c r="BG92" s="129">
        <f t="shared" si="76"/>
        <v/>
      </c>
      <c r="BH92" s="129">
        <f t="shared" si="77"/>
        <v/>
      </c>
      <c r="BI92" s="129">
        <f t="shared" si="78"/>
        <v/>
      </c>
      <c r="BJ92" s="129">
        <f t="shared" si="79"/>
        <v/>
      </c>
      <c r="BK92" s="129">
        <f>IF(R92="","",IF(OR(BY92="",BY92=0),"BOX",IFERROR(IF(VLOOKUP(BY92,УГО_блоки,3,FALSE)&amp;""&lt;&gt;"",VLOOKUP(BY92,УГО_блоки,3,FALSE),VLOOKUP(BY92,УГО_блоки,2,FALSE)),BY92)))</f>
      </c>
      <c r="BL92" s="129">
        <f t="shared" si="81"/>
      </c>
      <c r="BM92" s="129">
        <f>IF(H92="","",IF(COUNTIF($H$3:H92,H92)=1,MAX($BM$2:BM91)+1,""))</f>
      </c>
      <c r="BN92" s="129">
        <f>IF(I92="","",IF(COUNTIF($I$3:I92,I92)+COUNTIF($J$2:J91,I92)+COUNTIF($K$2:K91,I92)=1,MAX($BN$2:BP91)+1,""))</f>
      </c>
      <c r="BO92" s="129">
        <f>IF(J92="","",IF(COUNTIF($I$3:I92,J92)+COUNTIF($J$3:J92,J92)+COUNTIF($K$2:K91,J92)=1,MAX($BN$2:BP91,BN92)+1,""))</f>
      </c>
      <c r="BP92" s="129">
        <f>IF(K92="","",IF(COUNTIF($I$3:I92,K92)+COUNTIF($J$3:J92,K92)+COUNTIF($K$3:K92,K92)=1,MAX($BN$2:BP91,BN92,BO92)+1,""))</f>
      </c>
      <c r="BQ92" s="129">
        <f>IF(AY92=1,IFERROR(MID(Q92,FIND(" (",Q92)+2,FIND(")",Q92,FIND(" (",Q92))-FIND(" (",Q92)-2),"?"),"")</f>
      </c>
      <c r="BR92" s="129">
        <f>IF(BQ92="","",IF(COUNTIF($BQ$3:BQ92,BQ92)=1,MAX($BR$2:BR91)+1,""))</f>
      </c>
      <c r="BS92" s="129">
        <f>IF(AW92="","",COUNTIF($AW$3:AW92,"?*"))</f>
      </c>
      <c r="BT92" s="129">
        <f>IF(OR(AW92="",AI92=""),"",IF(COUNTIFS($AW$3:AW92,"?*",$AI$3:AI92,AI92)=1,MAX($BT$2:BT91)+1,""))</f>
      </c>
      <c r="BU92" s="129">
        <f>IF(AE92="",0,IF(OR(ISNUMBER(SEARCH("дубль",AE92)),ISNUMBER(SEARCH("ПЕРЕГРУЗ",AE92)),ISNUMBER(SEARCH("ЗАЩИЩ",AE92)),ISNUMBER(SEARCH("КАНАЛ",AE92)),ISNUMBER(SEARCH("без 30",AE92))),2,1))</f>
      </c>
      <c r="BV92" s="129">
        <f>IF(R92="","",COUNTIF($R$3:R92,"?*"))</f>
      </c>
      <c r="BW92" s="129">
        <f>IF(AY92&lt;&gt;1,0,IF(MAX(IFERROR(--VLOOKUP(R92,УГО_спр,5,FALSE),0),IFERROR(--VLOOKUP(AL92,УГО_спр,5,FALSE),0),IFERROR(--VLOOKUP(LEFT(AL92,2),УГО_спр,5,FALSE),0))&gt;0,MAX(IFERROR(--VLOOKUP(R92,УГО_спр,5,FALSE),0),IFERROR(--VLOOKUP(AL92,УГО_спр,5,FALSE),0),IFERROR(--VLOOKUP(LEFT(AL92,2),УГО_спр,5,FALSE),0)),IF(IFERROR(--LEFT(SUBSTITUTE(BQ92,"x","х"),FIND("х",SUBSTITUTE(BQ92,"x","х"))-1),3)&gt;3,Каталог!$S$9,1)))</f>
      </c>
      <c r="BX92" s="129">
        <f>IF(AY92&lt;&gt;1,0,MAX(0,IFERROR(--LEFT(SUBSTITUTE(BQ92,"x","х"),FIND("х",SUBSTITUTE(BQ92,"x","х"))-1),3)-3*BW92))</f>
      </c>
      <c r="BY92" s="129">
        <f>IF(R92="","",IFERROR(VLOOKUP(R92,УГО_спр,2,FALSE),IFERROR(VLOOKUP(AL92,УГО_спр,2,FALSE),IFERROR(VLOOKUP(LEFT(AL92,2),УГО_спр,2,FALSE),""))))</f>
      </c>
    </row>
    <row r="93" spans="1:64" x14ac:dyDescent="0.3">
      <c r="A93" s="135">
        <f>IF(Разбивка_по_щитам!F93=0,"",Разбивка_по_щитам!F93)</f>
      </c>
      <c r="B93" s="138">
        <f>IF(A93="","",Разбивка_по_щитам!C93)</f>
      </c>
      <c r="C93" s="138">
        <f t="shared" si="44"/>
      </c>
      <c r="D93" s="266"/>
      <c r="E93" s="266"/>
      <c r="F93" s="267"/>
      <c r="G93" s="145">
        <f t="shared" si="45"/>
        <v/>
      </c>
      <c r="H93" s="145">
        <f t="shared" si="46"/>
        <v/>
      </c>
      <c r="I93" s="266"/>
      <c r="J93" s="267"/>
      <c r="K93" s="267"/>
      <c r="L93" s="266"/>
      <c r="M93" s="147">
        <f t="shared" si="82"/>
        <v/>
      </c>
      <c r="N93" s="267"/>
      <c r="O93" s="147">
        <f t="shared" si="83"/>
        <v/>
      </c>
      <c r="P93" s="268">
        <f>IF(AY93=1,"XT"&amp;COUNTIFS($A$3:A93,A93,$AY$3:AY93,1),"")</f>
        <v/>
      </c>
      <c r="Q93" s="152">
        <f>IF(R93="","",IFERROR(SUBSTITUTE(Разбивка_по_щитам!P93,CHAR(10)," "),""))</f>
        <v/>
      </c>
      <c r="R93" s="153">
        <f>IF(OR(Разбивка_по_щитам!H93="",Разбивка_по_щитам!H93=0),"",Разбивка_по_щитам!H93)</f>
        <v/>
      </c>
      <c r="S93" s="154">
        <f>IF(R93="","",IFERROR(Разбивка_по_щитам!J93&amp;"",""))</f>
        <v/>
      </c>
      <c r="T93" s="155">
        <f>IF(R93="","",IFERROR(--Разбивка_по_щитам!L93,""))</f>
        <v/>
      </c>
      <c r="U93" s="155">
        <f>IF(R93="","",IFERROR(--Разбивка_по_щитам!K93,""))</f>
        <v/>
      </c>
      <c r="V93" s="138">
        <f>IF(R93="","",IFERROR(IF(Разбивка_по_щитам!M93=0,"",Разбивка_по_щитам!M93),""))</f>
        <v/>
      </c>
      <c r="W93" s="156">
        <f t="shared" si="47"/>
        <v/>
      </c>
      <c r="X93" s="157">
        <f t="shared" si="48"/>
        <v/>
      </c>
      <c r="Y93" s="266"/>
      <c r="Z93" s="158">
        <f t="shared" si="49"/>
        <v/>
      </c>
      <c r="AA93" s="160">
        <f t="shared" si="50"/>
        <v/>
      </c>
      <c r="AB93" s="160">
        <f>IF(R93="","",IFERROR(LOOKUP(INDEX(Справочная!$I$4:$I$19,MATCH(VLOOKUP(R93,Исходные_данные,22,FALSE),Справочная!$J$4:$J$19,0)+1),{6,10,16,20,25,32,40,50,63,80,100,125}),""))</f>
        <v/>
      </c>
      <c r="AC93" s="160">
        <f t="shared" si="51"/>
        <v/>
      </c>
      <c r="AD93" s="161">
        <f t="shared" si="52"/>
        <v/>
      </c>
      <c r="AE93" s="161">
        <f>IF(AND(R93="",G93=""),"",_xlfn.TEXTJOIN("; ",TRUE,IF(AND(R93&lt;&gt;"",V93=""),"нет фазы",""),IF(AND(R93&lt;&gt;"",N(T93)=0),"нет мощности",""),IF(AND(P93&lt;&gt;"",COUNTIFS($A$3:$A$1000,A93,$P$3:$P$1000,P93)&gt;1),"дубль клеммы "&amp;P93,""),IF(AND(W93&lt;&gt;"",W93&lt;&gt;"ok"),W93,""),IF(X93&lt;&gt;"",X93,""),IF(AND(ISNUMBER(SEARCH("(5х",Q93)),N(AK93)=1),"5 жил на 1 фазе",""),IF(AND(AL93="R",E93&lt;&gt;"",N(AS93)=0),"розетка без 30 мА",""),IF(IFERROR(_xlfn.NUMBERVALUE(MID(Q93,FIND("-",Q93,FIND("L=",Q93))+1,FIND("%",Q93)-FIND("-",Q93,FIND("L=",Q93))-1),","),0)&gt;4,"потери &gt; 4 %","")))</f>
      </c>
      <c r="AF93" s="129">
        <f>IF(E93&lt;&gt;"",COUNTIFS($A$3:A93,A93,$E$3:E93,"?*"),IF(OR(A93&lt;&gt;A92,Y93="вручную"),"",AF92))</f>
      </c>
      <c r="AG93" s="129">
        <f t="shared" si="53"/>
      </c>
      <c r="AH93" s="129">
        <f t="shared" si="54"/>
        <v/>
      </c>
      <c r="AI93" s="129">
        <f t="shared" si="55"/>
        <v/>
      </c>
      <c r="AJ93" s="129">
        <f t="shared" si="56"/>
        <v/>
      </c>
      <c r="AK93" s="129">
        <f t="shared" si="57"/>
        <v/>
      </c>
      <c r="AL93" s="129">
        <f t="shared" si="58"/>
        <v/>
      </c>
      <c r="AM93" s="129">
        <f t="shared" si="59"/>
      </c>
      <c r="AN93" s="129">
        <f t="shared" si="60"/>
      </c>
      <c r="AO93" s="129">
        <f t="shared" si="61"/>
        <v/>
      </c>
      <c r="AP93" s="129">
        <f t="shared" si="62"/>
        <v/>
      </c>
      <c r="AQ93" s="129">
        <f t="shared" si="63"/>
        <v/>
      </c>
      <c r="AR93" s="129">
        <f t="shared" si="64"/>
        <v/>
      </c>
      <c r="AS93" s="129">
        <f t="shared" si="65"/>
        <v/>
      </c>
      <c r="AT93" s="129">
        <f t="shared" si="66"/>
        <v/>
      </c>
      <c r="AU93" s="129">
        <f t="shared" si="67"/>
        <v/>
      </c>
      <c r="AV93" s="129">
        <f t="shared" si="68"/>
        <v/>
      </c>
      <c r="AW93" s="129">
        <f>IF(AV93="","",AV93&amp;"."&amp;COUNTIFS($A$3:A93,A93,$AV$3:AV93,AV93))</f>
        <v/>
      </c>
      <c r="AX93" s="129">
        <f t="shared" si="69"/>
        <v/>
      </c>
      <c r="AY93" s="129">
        <f>IF(N93="б/к",0,IF(OR(ISNUMBER(SEARCH("L=",Разбивка_по_щитам!P93)),N93="+",N93="="),1,0))</f>
      </c>
      <c r="AZ93" s="129">
        <f t="shared" si="70"/>
      </c>
      <c r="BA93" s="129">
        <f t="shared" si="71"/>
      </c>
      <c r="BB93" s="129">
        <f t="shared" si="72"/>
      </c>
      <c r="BD93" s="129">
        <f t="shared" si="73"/>
      </c>
      <c r="BE93" s="129">
        <f t="shared" si="74"/>
      </c>
      <c r="BF93" s="129">
        <f t="shared" si="75"/>
      </c>
      <c r="BG93" s="129">
        <f t="shared" si="76"/>
        <v/>
      </c>
      <c r="BH93" s="129">
        <f t="shared" si="77"/>
        <v/>
      </c>
      <c r="BI93" s="129">
        <f t="shared" si="78"/>
        <v/>
      </c>
      <c r="BJ93" s="129">
        <f t="shared" si="79"/>
        <v/>
      </c>
      <c r="BK93" s="129">
        <f>IF(R93="","",IF(OR(BY93="",BY93=0),"BOX",IFERROR(IF(VLOOKUP(BY93,УГО_блоки,3,FALSE)&amp;""&lt;&gt;"",VLOOKUP(BY93,УГО_блоки,3,FALSE),VLOOKUP(BY93,УГО_блоки,2,FALSE)),BY93)))</f>
      </c>
      <c r="BL93" s="129">
        <f t="shared" si="81"/>
      </c>
      <c r="BM93" s="129">
        <f>IF(H93="","",IF(COUNTIF($H$3:H93,H93)=1,MAX($BM$2:BM92)+1,""))</f>
      </c>
      <c r="BN93" s="129">
        <f>IF(I93="","",IF(COUNTIF($I$3:I93,I93)+COUNTIF($J$2:J92,I93)+COUNTIF($K$2:K92,I93)=1,MAX($BN$2:BP92)+1,""))</f>
      </c>
      <c r="BO93" s="129">
        <f>IF(J93="","",IF(COUNTIF($I$3:I93,J93)+COUNTIF($J$3:J93,J93)+COUNTIF($K$2:K92,J93)=1,MAX($BN$2:BP92,BN93)+1,""))</f>
      </c>
      <c r="BP93" s="129">
        <f>IF(K93="","",IF(COUNTIF($I$3:I93,K93)+COUNTIF($J$3:J93,K93)+COUNTIF($K$3:K93,K93)=1,MAX($BN$2:BP92,BN93,BO93)+1,""))</f>
      </c>
      <c r="BQ93" s="129">
        <f>IF(AY93=1,IFERROR(MID(Q93,FIND(" (",Q93)+2,FIND(")",Q93,FIND(" (",Q93))-FIND(" (",Q93)-2),"?"),"")</f>
      </c>
      <c r="BR93" s="129">
        <f>IF(BQ93="","",IF(COUNTIF($BQ$3:BQ93,BQ93)=1,MAX($BR$2:BR92)+1,""))</f>
      </c>
      <c r="BS93" s="129">
        <f>IF(AW93="","",COUNTIF($AW$3:AW93,"?*"))</f>
      </c>
      <c r="BT93" s="129">
        <f>IF(OR(AW93="",AI93=""),"",IF(COUNTIFS($AW$3:AW93,"?*",$AI$3:AI93,AI93)=1,MAX($BT$2:BT92)+1,""))</f>
      </c>
      <c r="BU93" s="129">
        <f>IF(AE93="",0,IF(OR(ISNUMBER(SEARCH("дубль",AE93)),ISNUMBER(SEARCH("ПЕРЕГРУЗ",AE93)),ISNUMBER(SEARCH("ЗАЩИЩ",AE93)),ISNUMBER(SEARCH("КАНАЛ",AE93)),ISNUMBER(SEARCH("без 30",AE93))),2,1))</f>
      </c>
      <c r="BV93" s="129">
        <f>IF(R93="","",COUNTIF($R$3:R93,"?*"))</f>
      </c>
      <c r="BW93" s="129">
        <f>IF(AY93&lt;&gt;1,0,IF(MAX(IFERROR(--VLOOKUP(R93,УГО_спр,5,FALSE),0),IFERROR(--VLOOKUP(AL93,УГО_спр,5,FALSE),0),IFERROR(--VLOOKUP(LEFT(AL93,2),УГО_спр,5,FALSE),0))&gt;0,MAX(IFERROR(--VLOOKUP(R93,УГО_спр,5,FALSE),0),IFERROR(--VLOOKUP(AL93,УГО_спр,5,FALSE),0),IFERROR(--VLOOKUP(LEFT(AL93,2),УГО_спр,5,FALSE),0)),IF(IFERROR(--LEFT(SUBSTITUTE(BQ93,"x","х"),FIND("х",SUBSTITUTE(BQ93,"x","х"))-1),3)&gt;3,Каталог!$S$9,1)))</f>
      </c>
      <c r="BX93" s="129">
        <f>IF(AY93&lt;&gt;1,0,MAX(0,IFERROR(--LEFT(SUBSTITUTE(BQ93,"x","х"),FIND("х",SUBSTITUTE(BQ93,"x","х"))-1),3)-3*BW93))</f>
      </c>
      <c r="BY93" s="129">
        <f>IF(R93="","",IFERROR(VLOOKUP(R93,УГО_спр,2,FALSE),IFERROR(VLOOKUP(AL93,УГО_спр,2,FALSE),IFERROR(VLOOKUP(LEFT(AL93,2),УГО_спр,2,FALSE),""))))</f>
      </c>
    </row>
    <row r="94" spans="1:64" x14ac:dyDescent="0.3">
      <c r="A94" s="135">
        <f>IF(Разбивка_по_щитам!F94=0,"",Разбивка_по_щитам!F94)</f>
      </c>
      <c r="B94" s="138">
        <f>IF(A94="","",Разбивка_по_щитам!C94)</f>
      </c>
      <c r="C94" s="138">
        <f t="shared" si="44"/>
      </c>
      <c r="D94" s="266"/>
      <c r="E94" s="266"/>
      <c r="F94" s="267"/>
      <c r="G94" s="145">
        <f t="shared" si="45"/>
        <v/>
      </c>
      <c r="H94" s="145">
        <f t="shared" si="46"/>
        <v/>
      </c>
      <c r="I94" s="266"/>
      <c r="J94" s="267"/>
      <c r="K94" s="267"/>
      <c r="L94" s="266"/>
      <c r="M94" s="147">
        <f t="shared" si="82"/>
        <v/>
      </c>
      <c r="N94" s="267"/>
      <c r="O94" s="147">
        <f t="shared" si="83"/>
        <v/>
      </c>
      <c r="P94" s="268">
        <f>IF(AY94=1,"XT"&amp;COUNTIFS($A$3:A94,A94,$AY$3:AY94,1),"")</f>
        <v/>
      </c>
      <c r="Q94" s="152">
        <f>IF(R94="","",IFERROR(SUBSTITUTE(Разбивка_по_щитам!P94,CHAR(10)," "),""))</f>
        <v/>
      </c>
      <c r="R94" s="153">
        <f>IF(OR(Разбивка_по_щитам!H94="",Разбивка_по_щитам!H94=0),"",Разбивка_по_щитам!H94)</f>
        <v/>
      </c>
      <c r="S94" s="154">
        <f>IF(R94="","",IFERROR(Разбивка_по_щитам!J94&amp;"",""))</f>
        <v/>
      </c>
      <c r="T94" s="155">
        <f>IF(R94="","",IFERROR(--Разбивка_по_щитам!L94,""))</f>
        <v/>
      </c>
      <c r="U94" s="155">
        <f>IF(R94="","",IFERROR(--Разбивка_по_щитам!K94,""))</f>
        <v/>
      </c>
      <c r="V94" s="138">
        <f>IF(R94="","",IFERROR(IF(Разбивка_по_щитам!M94=0,"",Разбивка_по_щитам!M94),""))</f>
        <v/>
      </c>
      <c r="W94" s="156">
        <f t="shared" si="47"/>
        <v/>
      </c>
      <c r="X94" s="157">
        <f t="shared" si="48"/>
        <v/>
      </c>
      <c r="Y94" s="266"/>
      <c r="Z94" s="158">
        <f t="shared" si="49"/>
        <v/>
      </c>
      <c r="AA94" s="160">
        <f t="shared" si="50"/>
        <v/>
      </c>
      <c r="AB94" s="160">
        <f>IF(R94="","",IFERROR(LOOKUP(INDEX(Справочная!$I$4:$I$19,MATCH(VLOOKUP(R94,Исходные_данные,22,FALSE),Справочная!$J$4:$J$19,0)+1),{6,10,16,20,25,32,40,50,63,80,100,125}),""))</f>
        <v/>
      </c>
      <c r="AC94" s="160">
        <f t="shared" si="51"/>
        <v/>
      </c>
      <c r="AD94" s="161">
        <f t="shared" si="52"/>
        <v/>
      </c>
      <c r="AE94" s="161">
        <f>IF(AND(R94="",G94=""),"",_xlfn.TEXTJOIN("; ",TRUE,IF(AND(R94&lt;&gt;"",V94=""),"нет фазы",""),IF(AND(R94&lt;&gt;"",N(T94)=0),"нет мощности",""),IF(AND(P94&lt;&gt;"",COUNTIFS($A$3:$A$1000,A94,$P$3:$P$1000,P94)&gt;1),"дубль клеммы "&amp;P94,""),IF(AND(W94&lt;&gt;"",W94&lt;&gt;"ok"),W94,""),IF(X94&lt;&gt;"",X94,""),IF(AND(ISNUMBER(SEARCH("(5х",Q94)),N(AK94)=1),"5 жил на 1 фазе",""),IF(AND(AL94="R",E94&lt;&gt;"",N(AS94)=0),"розетка без 30 мА",""),IF(IFERROR(_xlfn.NUMBERVALUE(MID(Q94,FIND("-",Q94,FIND("L=",Q94))+1,FIND("%",Q94)-FIND("-",Q94,FIND("L=",Q94))-1),","),0)&gt;4,"потери &gt; 4 %","")))</f>
      </c>
      <c r="AF94" s="129">
        <f>IF(E94&lt;&gt;"",COUNTIFS($A$3:A94,A94,$E$3:E94,"?*"),IF(OR(A94&lt;&gt;A93,Y94="вручную"),"",AF93))</f>
      </c>
      <c r="AG94" s="129">
        <f t="shared" si="53"/>
      </c>
      <c r="AH94" s="129">
        <f t="shared" si="54"/>
        <v/>
      </c>
      <c r="AI94" s="129">
        <f t="shared" si="55"/>
        <v/>
      </c>
      <c r="AJ94" s="129">
        <f t="shared" si="56"/>
        <v/>
      </c>
      <c r="AK94" s="129">
        <f t="shared" si="57"/>
        <v/>
      </c>
      <c r="AL94" s="129">
        <f t="shared" si="58"/>
        <v/>
      </c>
      <c r="AM94" s="129">
        <f t="shared" si="59"/>
      </c>
      <c r="AN94" s="129">
        <f t="shared" si="60"/>
      </c>
      <c r="AO94" s="129">
        <f t="shared" si="61"/>
        <v/>
      </c>
      <c r="AP94" s="129">
        <f t="shared" si="62"/>
        <v/>
      </c>
      <c r="AQ94" s="129">
        <f t="shared" si="63"/>
        <v/>
      </c>
      <c r="AR94" s="129">
        <f t="shared" si="64"/>
        <v/>
      </c>
      <c r="AS94" s="129">
        <f t="shared" si="65"/>
        <v/>
      </c>
      <c r="AT94" s="129">
        <f t="shared" si="66"/>
        <v/>
      </c>
      <c r="AU94" s="129">
        <f t="shared" si="67"/>
        <v/>
      </c>
      <c r="AV94" s="129">
        <f t="shared" si="68"/>
        <v/>
      </c>
      <c r="AW94" s="129">
        <f>IF(AV94="","",AV94&amp;"."&amp;COUNTIFS($A$3:A94,A94,$AV$3:AV94,AV94))</f>
        <v/>
      </c>
      <c r="AX94" s="129">
        <f t="shared" si="69"/>
        <v/>
      </c>
      <c r="AY94" s="129">
        <f>IF(N94="б/к",0,IF(OR(ISNUMBER(SEARCH("L=",Разбивка_по_щитам!P94)),N94="+",N94="="),1,0))</f>
      </c>
      <c r="AZ94" s="129">
        <f t="shared" si="70"/>
      </c>
      <c r="BA94" s="129">
        <f t="shared" si="71"/>
      </c>
      <c r="BB94" s="129">
        <f t="shared" si="72"/>
      </c>
      <c r="BD94" s="129">
        <f t="shared" si="73"/>
      </c>
      <c r="BE94" s="129">
        <f t="shared" si="74"/>
      </c>
      <c r="BF94" s="129">
        <f t="shared" si="75"/>
      </c>
      <c r="BG94" s="129">
        <f t="shared" si="76"/>
        <v/>
      </c>
      <c r="BH94" s="129">
        <f t="shared" si="77"/>
        <v/>
      </c>
      <c r="BI94" s="129">
        <f t="shared" si="78"/>
        <v/>
      </c>
      <c r="BJ94" s="129">
        <f t="shared" si="79"/>
        <v/>
      </c>
      <c r="BK94" s="129">
        <f>IF(R94="","",IF(OR(BY94="",BY94=0),"BOX",IFERROR(IF(VLOOKUP(BY94,УГО_блоки,3,FALSE)&amp;""&lt;&gt;"",VLOOKUP(BY94,УГО_блоки,3,FALSE),VLOOKUP(BY94,УГО_блоки,2,FALSE)),BY94)))</f>
      </c>
      <c r="BL94" s="129">
        <f t="shared" si="81"/>
      </c>
      <c r="BM94" s="129">
        <f>IF(H94="","",IF(COUNTIF($H$3:H94,H94)=1,MAX($BM$2:BM93)+1,""))</f>
      </c>
      <c r="BN94" s="129">
        <f>IF(I94="","",IF(COUNTIF($I$3:I94,I94)+COUNTIF($J$2:J93,I94)+COUNTIF($K$2:K93,I94)=1,MAX($BN$2:BP93)+1,""))</f>
      </c>
      <c r="BO94" s="129">
        <f>IF(J94="","",IF(COUNTIF($I$3:I94,J94)+COUNTIF($J$3:J94,J94)+COUNTIF($K$2:K93,J94)=1,MAX($BN$2:BP93,BN94)+1,""))</f>
      </c>
      <c r="BP94" s="129">
        <f>IF(K94="","",IF(COUNTIF($I$3:I94,K94)+COUNTIF($J$3:J94,K94)+COUNTIF($K$3:K94,K94)=1,MAX($BN$2:BP93,BN94,BO94)+1,""))</f>
      </c>
      <c r="BQ94" s="129">
        <f>IF(AY94=1,IFERROR(MID(Q94,FIND(" (",Q94)+2,FIND(")",Q94,FIND(" (",Q94))-FIND(" (",Q94)-2),"?"),"")</f>
      </c>
      <c r="BR94" s="129">
        <f>IF(BQ94="","",IF(COUNTIF($BQ$3:BQ94,BQ94)=1,MAX($BR$2:BR93)+1,""))</f>
      </c>
      <c r="BS94" s="129">
        <f>IF(AW94="","",COUNTIF($AW$3:AW94,"?*"))</f>
      </c>
      <c r="BT94" s="129">
        <f>IF(OR(AW94="",AI94=""),"",IF(COUNTIFS($AW$3:AW94,"?*",$AI$3:AI94,AI94)=1,MAX($BT$2:BT93)+1,""))</f>
      </c>
      <c r="BU94" s="129">
        <f>IF(AE94="",0,IF(OR(ISNUMBER(SEARCH("дубль",AE94)),ISNUMBER(SEARCH("ПЕРЕГРУЗ",AE94)),ISNUMBER(SEARCH("ЗАЩИЩ",AE94)),ISNUMBER(SEARCH("КАНАЛ",AE94)),ISNUMBER(SEARCH("без 30",AE94))),2,1))</f>
      </c>
      <c r="BV94" s="129">
        <f>IF(R94="","",COUNTIF($R$3:R94,"?*"))</f>
      </c>
      <c r="BW94" s="129">
        <f>IF(AY94&lt;&gt;1,0,IF(MAX(IFERROR(--VLOOKUP(R94,УГО_спр,5,FALSE),0),IFERROR(--VLOOKUP(AL94,УГО_спр,5,FALSE),0),IFERROR(--VLOOKUP(LEFT(AL94,2),УГО_спр,5,FALSE),0))&gt;0,MAX(IFERROR(--VLOOKUP(R94,УГО_спр,5,FALSE),0),IFERROR(--VLOOKUP(AL94,УГО_спр,5,FALSE),0),IFERROR(--VLOOKUP(LEFT(AL94,2),УГО_спр,5,FALSE),0)),IF(IFERROR(--LEFT(SUBSTITUTE(BQ94,"x","х"),FIND("х",SUBSTITUTE(BQ94,"x","х"))-1),3)&gt;3,Каталог!$S$9,1)))</f>
      </c>
      <c r="BX94" s="129">
        <f>IF(AY94&lt;&gt;1,0,MAX(0,IFERROR(--LEFT(SUBSTITUTE(BQ94,"x","х"),FIND("х",SUBSTITUTE(BQ94,"x","х"))-1),3)-3*BW94))</f>
      </c>
      <c r="BY94" s="129">
        <f>IF(R94="","",IFERROR(VLOOKUP(R94,УГО_спр,2,FALSE),IFERROR(VLOOKUP(AL94,УГО_спр,2,FALSE),IFERROR(VLOOKUP(LEFT(AL94,2),УГО_спр,2,FALSE),""))))</f>
      </c>
    </row>
    <row r="95" spans="1:64" x14ac:dyDescent="0.3">
      <c r="A95" s="135">
        <f>IF(Разбивка_по_щитам!F95=0,"",Разбивка_по_щитам!F95)</f>
      </c>
      <c r="B95" s="138">
        <f>IF(A95="","",Разбивка_по_щитам!C95)</f>
      </c>
      <c r="C95" s="138">
        <f t="shared" si="44"/>
      </c>
      <c r="D95" s="266"/>
      <c r="E95" s="266"/>
      <c r="F95" s="267"/>
      <c r="G95" s="145">
        <f t="shared" si="45"/>
        <v/>
      </c>
      <c r="H95" s="145">
        <f t="shared" si="46"/>
        <v/>
      </c>
      <c r="I95" s="266"/>
      <c r="J95" s="267"/>
      <c r="K95" s="267"/>
      <c r="L95" s="266"/>
      <c r="M95" s="147">
        <f t="shared" si="82"/>
        <v/>
      </c>
      <c r="N95" s="267"/>
      <c r="O95" s="147">
        <f t="shared" si="83"/>
        <v/>
      </c>
      <c r="P95" s="268">
        <f>IF(AY95=1,"XT"&amp;COUNTIFS($A$3:A95,A95,$AY$3:AY95,1),"")</f>
        <v/>
      </c>
      <c r="Q95" s="152">
        <f>IF(R95="","",IFERROR(SUBSTITUTE(Разбивка_по_щитам!P95,CHAR(10)," "),""))</f>
        <v/>
      </c>
      <c r="R95" s="153">
        <f>IF(OR(Разбивка_по_щитам!H95="",Разбивка_по_щитам!H95=0),"",Разбивка_по_щитам!H95)</f>
        <v/>
      </c>
      <c r="S95" s="154">
        <f>IF(R95="","",IFERROR(Разбивка_по_щитам!J95&amp;"",""))</f>
        <v/>
      </c>
      <c r="T95" s="155">
        <f>IF(R95="","",IFERROR(--Разбивка_по_щитам!L95,""))</f>
        <v/>
      </c>
      <c r="U95" s="155">
        <f>IF(R95="","",IFERROR(--Разбивка_по_щитам!K95,""))</f>
        <v/>
      </c>
      <c r="V95" s="138">
        <f>IF(R95="","",IFERROR(IF(Разбивка_по_щитам!M95=0,"",Разбивка_по_щитам!M95),""))</f>
        <v/>
      </c>
      <c r="W95" s="156">
        <f t="shared" si="47"/>
        <v/>
      </c>
      <c r="X95" s="157">
        <f t="shared" si="48"/>
        <v/>
      </c>
      <c r="Y95" s="266"/>
      <c r="Z95" s="158">
        <f t="shared" si="49"/>
        <v/>
      </c>
      <c r="AA95" s="160">
        <f t="shared" si="50"/>
        <v/>
      </c>
      <c r="AB95" s="160">
        <f>IF(R95="","",IFERROR(LOOKUP(INDEX(Справочная!$I$4:$I$19,MATCH(VLOOKUP(R95,Исходные_данные,22,FALSE),Справочная!$J$4:$J$19,0)+1),{6,10,16,20,25,32,40,50,63,80,100,125}),""))</f>
        <v/>
      </c>
      <c r="AC95" s="160">
        <f t="shared" si="51"/>
        <v/>
      </c>
      <c r="AD95" s="161">
        <f t="shared" si="52"/>
        <v/>
      </c>
      <c r="AE95" s="161">
        <f>IF(AND(R95="",G95=""),"",_xlfn.TEXTJOIN("; ",TRUE,IF(AND(R95&lt;&gt;"",V95=""),"нет фазы",""),IF(AND(R95&lt;&gt;"",N(T95)=0),"нет мощности",""),IF(AND(P95&lt;&gt;"",COUNTIFS($A$3:$A$1000,A95,$P$3:$P$1000,P95)&gt;1),"дубль клеммы "&amp;P95,""),IF(AND(W95&lt;&gt;"",W95&lt;&gt;"ok"),W95,""),IF(X95&lt;&gt;"",X95,""),IF(AND(ISNUMBER(SEARCH("(5х",Q95)),N(AK95)=1),"5 жил на 1 фазе",""),IF(AND(AL95="R",E95&lt;&gt;"",N(AS95)=0),"розетка без 30 мА",""),IF(IFERROR(_xlfn.NUMBERVALUE(MID(Q95,FIND("-",Q95,FIND("L=",Q95))+1,FIND("%",Q95)-FIND("-",Q95,FIND("L=",Q95))-1),","),0)&gt;4,"потери &gt; 4 %","")))</f>
      </c>
      <c r="AF95" s="129">
        <f>IF(E95&lt;&gt;"",COUNTIFS($A$3:A95,A95,$E$3:E95,"?*"),IF(OR(A95&lt;&gt;A94,Y95="вручную"),"",AF94))</f>
      </c>
      <c r="AG95" s="129">
        <f t="shared" si="53"/>
      </c>
      <c r="AH95" s="129">
        <f t="shared" si="54"/>
        <v/>
      </c>
      <c r="AI95" s="129">
        <f t="shared" si="55"/>
        <v/>
      </c>
      <c r="AJ95" s="129">
        <f t="shared" si="56"/>
        <v/>
      </c>
      <c r="AK95" s="129">
        <f t="shared" si="57"/>
        <v/>
      </c>
      <c r="AL95" s="129">
        <f t="shared" si="58"/>
        <v/>
      </c>
      <c r="AM95" s="129">
        <f t="shared" si="59"/>
      </c>
      <c r="AN95" s="129">
        <f t="shared" si="60"/>
      </c>
      <c r="AO95" s="129">
        <f t="shared" si="61"/>
        <v/>
      </c>
      <c r="AP95" s="129">
        <f t="shared" si="62"/>
        <v/>
      </c>
      <c r="AQ95" s="129">
        <f t="shared" si="63"/>
        <v/>
      </c>
      <c r="AR95" s="129">
        <f t="shared" si="64"/>
        <v/>
      </c>
      <c r="AS95" s="129">
        <f t="shared" si="65"/>
        <v/>
      </c>
      <c r="AT95" s="129">
        <f t="shared" si="66"/>
        <v/>
      </c>
      <c r="AU95" s="129">
        <f t="shared" si="67"/>
        <v/>
      </c>
      <c r="AV95" s="129">
        <f t="shared" si="68"/>
        <v/>
      </c>
      <c r="AW95" s="129">
        <f>IF(AV95="","",AV95&amp;"."&amp;COUNTIFS($A$3:A95,A95,$AV$3:AV95,AV95))</f>
        <v/>
      </c>
      <c r="AX95" s="129">
        <f t="shared" si="69"/>
        <v/>
      </c>
      <c r="AY95" s="129">
        <f>IF(N95="б/к",0,IF(OR(ISNUMBER(SEARCH("L=",Разбивка_по_щитам!P95)),N95="+",N95="="),1,0))</f>
      </c>
      <c r="AZ95" s="129">
        <f t="shared" si="70"/>
      </c>
      <c r="BA95" s="129">
        <f t="shared" si="71"/>
      </c>
      <c r="BB95" s="129">
        <f t="shared" si="72"/>
      </c>
      <c r="BD95" s="129">
        <f t="shared" si="73"/>
      </c>
      <c r="BE95" s="129">
        <f t="shared" si="74"/>
      </c>
      <c r="BF95" s="129">
        <f t="shared" si="75"/>
      </c>
      <c r="BG95" s="129">
        <f t="shared" si="76"/>
        <v/>
      </c>
      <c r="BH95" s="129">
        <f t="shared" si="77"/>
        <v/>
      </c>
      <c r="BI95" s="129">
        <f t="shared" si="78"/>
        <v/>
      </c>
      <c r="BJ95" s="129">
        <f t="shared" si="79"/>
        <v/>
      </c>
      <c r="BK95" s="129">
        <f>IF(R95="","",IF(OR(BY95="",BY95=0),"BOX",IFERROR(IF(VLOOKUP(BY95,УГО_блоки,3,FALSE)&amp;""&lt;&gt;"",VLOOKUP(BY95,УГО_блоки,3,FALSE),VLOOKUP(BY95,УГО_блоки,2,FALSE)),BY95)))</f>
      </c>
      <c r="BL95" s="129">
        <f t="shared" si="81"/>
      </c>
      <c r="BM95" s="129">
        <f>IF(H95="","",IF(COUNTIF($H$3:H95,H95)=1,MAX($BM$2:BM94)+1,""))</f>
      </c>
      <c r="BN95" s="129">
        <f>IF(I95="","",IF(COUNTIF($I$3:I95,I95)+COUNTIF($J$2:J94,I95)+COUNTIF($K$2:K94,I95)=1,MAX($BN$2:BP94)+1,""))</f>
      </c>
      <c r="BO95" s="129">
        <f>IF(J95="","",IF(COUNTIF($I$3:I95,J95)+COUNTIF($J$3:J95,J95)+COUNTIF($K$2:K94,J95)=1,MAX($BN$2:BP94,BN95)+1,""))</f>
      </c>
      <c r="BP95" s="129">
        <f>IF(K95="","",IF(COUNTIF($I$3:I95,K95)+COUNTIF($J$3:J95,K95)+COUNTIF($K$3:K95,K95)=1,MAX($BN$2:BP94,BN95,BO95)+1,""))</f>
      </c>
      <c r="BQ95" s="129">
        <f>IF(AY95=1,IFERROR(MID(Q95,FIND(" (",Q95)+2,FIND(")",Q95,FIND(" (",Q95))-FIND(" (",Q95)-2),"?"),"")</f>
      </c>
      <c r="BR95" s="129">
        <f>IF(BQ95="","",IF(COUNTIF($BQ$3:BQ95,BQ95)=1,MAX($BR$2:BR94)+1,""))</f>
      </c>
      <c r="BS95" s="129">
        <f>IF(AW95="","",COUNTIF($AW$3:AW95,"?*"))</f>
      </c>
      <c r="BT95" s="129">
        <f>IF(OR(AW95="",AI95=""),"",IF(COUNTIFS($AW$3:AW95,"?*",$AI$3:AI95,AI95)=1,MAX($BT$2:BT94)+1,""))</f>
      </c>
      <c r="BU95" s="129">
        <f>IF(AE95="",0,IF(OR(ISNUMBER(SEARCH("дубль",AE95)),ISNUMBER(SEARCH("ПЕРЕГРУЗ",AE95)),ISNUMBER(SEARCH("ЗАЩИЩ",AE95)),ISNUMBER(SEARCH("КАНАЛ",AE95)),ISNUMBER(SEARCH("без 30",AE95))),2,1))</f>
      </c>
      <c r="BV95" s="129">
        <f>IF(R95="","",COUNTIF($R$3:R95,"?*"))</f>
      </c>
      <c r="BW95" s="129">
        <f>IF(AY95&lt;&gt;1,0,IF(MAX(IFERROR(--VLOOKUP(R95,УГО_спр,5,FALSE),0),IFERROR(--VLOOKUP(AL95,УГО_спр,5,FALSE),0),IFERROR(--VLOOKUP(LEFT(AL95,2),УГО_спр,5,FALSE),0))&gt;0,MAX(IFERROR(--VLOOKUP(R95,УГО_спр,5,FALSE),0),IFERROR(--VLOOKUP(AL95,УГО_спр,5,FALSE),0),IFERROR(--VLOOKUP(LEFT(AL95,2),УГО_спр,5,FALSE),0)),IF(IFERROR(--LEFT(SUBSTITUTE(BQ95,"x","х"),FIND("х",SUBSTITUTE(BQ95,"x","х"))-1),3)&gt;3,Каталог!$S$9,1)))</f>
      </c>
      <c r="BX95" s="129">
        <f>IF(AY95&lt;&gt;1,0,MAX(0,IFERROR(--LEFT(SUBSTITUTE(BQ95,"x","х"),FIND("х",SUBSTITUTE(BQ95,"x","х"))-1),3)-3*BW95))</f>
      </c>
      <c r="BY95" s="129">
        <f>IF(R95="","",IFERROR(VLOOKUP(R95,УГО_спр,2,FALSE),IFERROR(VLOOKUP(AL95,УГО_спр,2,FALSE),IFERROR(VLOOKUP(LEFT(AL95,2),УГО_спр,2,FALSE),""))))</f>
      </c>
    </row>
    <row r="96" spans="1:64" x14ac:dyDescent="0.3">
      <c r="A96" s="135">
        <f>IF(Разбивка_по_щитам!F96=0,"",Разбивка_по_щитам!F96)</f>
      </c>
      <c r="B96" s="138">
        <f>IF(A96="","",Разбивка_по_щитам!C96)</f>
      </c>
      <c r="C96" s="138">
        <f t="shared" si="44"/>
      </c>
      <c r="D96" s="266"/>
      <c r="E96" s="266"/>
      <c r="F96" s="267"/>
      <c r="G96" s="145">
        <f t="shared" si="45"/>
        <v/>
      </c>
      <c r="H96" s="145">
        <f t="shared" si="46"/>
        <v/>
      </c>
      <c r="I96" s="266"/>
      <c r="J96" s="267"/>
      <c r="K96" s="267"/>
      <c r="L96" s="266"/>
      <c r="M96" s="147">
        <f t="shared" si="82"/>
        <v/>
      </c>
      <c r="N96" s="267"/>
      <c r="O96" s="147">
        <f t="shared" si="83"/>
        <v/>
      </c>
      <c r="P96" s="268">
        <f>IF(AY96=1,"XT"&amp;COUNTIFS($A$3:A96,A96,$AY$3:AY96,1),"")</f>
        <v/>
      </c>
      <c r="Q96" s="152">
        <f>IF(R96="","",IFERROR(SUBSTITUTE(Разбивка_по_щитам!P96,CHAR(10)," "),""))</f>
        <v/>
      </c>
      <c r="R96" s="153">
        <f>IF(OR(Разбивка_по_щитам!H96="",Разбивка_по_щитам!H96=0),"",Разбивка_по_щитам!H96)</f>
        <v/>
      </c>
      <c r="S96" s="154">
        <f>IF(R96="","",IFERROR(Разбивка_по_щитам!J96&amp;"",""))</f>
        <v/>
      </c>
      <c r="T96" s="155">
        <f>IF(R96="","",IFERROR(--Разбивка_по_щитам!L96,""))</f>
        <v/>
      </c>
      <c r="U96" s="155">
        <f>IF(R96="","",IFERROR(--Разбивка_по_щитам!K96,""))</f>
        <v/>
      </c>
      <c r="V96" s="138">
        <f>IF(R96="","",IFERROR(IF(Разбивка_по_щитам!M96=0,"",Разбивка_по_щитам!M96),""))</f>
        <v/>
      </c>
      <c r="W96" s="156">
        <f t="shared" si="47"/>
        <v/>
      </c>
      <c r="X96" s="157">
        <f t="shared" si="48"/>
        <v/>
      </c>
      <c r="Y96" s="266"/>
      <c r="Z96" s="158">
        <f t="shared" si="49"/>
        <v/>
      </c>
      <c r="AA96" s="160">
        <f t="shared" si="50"/>
        <v/>
      </c>
      <c r="AB96" s="160">
        <f>IF(R96="","",IFERROR(LOOKUP(INDEX(Справочная!$I$4:$I$19,MATCH(VLOOKUP(R96,Исходные_данные,22,FALSE),Справочная!$J$4:$J$19,0)+1),{6,10,16,20,25,32,40,50,63,80,100,125}),""))</f>
        <v/>
      </c>
      <c r="AC96" s="160">
        <f t="shared" si="51"/>
        <v/>
      </c>
      <c r="AD96" s="161">
        <f t="shared" si="52"/>
        <v/>
      </c>
      <c r="AE96" s="161">
        <f>IF(AND(R96="",G96=""),"",_xlfn.TEXTJOIN("; ",TRUE,IF(AND(R96&lt;&gt;"",V96=""),"нет фазы",""),IF(AND(R96&lt;&gt;"",N(T96)=0),"нет мощности",""),IF(AND(P96&lt;&gt;"",COUNTIFS($A$3:$A$1000,A96,$P$3:$P$1000,P96)&gt;1),"дубль клеммы "&amp;P96,""),IF(AND(W96&lt;&gt;"",W96&lt;&gt;"ok"),W96,""),IF(X96&lt;&gt;"",X96,""),IF(AND(ISNUMBER(SEARCH("(5х",Q96)),N(AK96)=1),"5 жил на 1 фазе",""),IF(AND(AL96="R",E96&lt;&gt;"",N(AS96)=0),"розетка без 30 мА",""),IF(IFERROR(_xlfn.NUMBERVALUE(MID(Q96,FIND("-",Q96,FIND("L=",Q96))+1,FIND("%",Q96)-FIND("-",Q96,FIND("L=",Q96))-1),","),0)&gt;4,"потери &gt; 4 %","")))</f>
      </c>
      <c r="AF96" s="129">
        <f>IF(E96&lt;&gt;"",COUNTIFS($A$3:A96,A96,$E$3:E96,"?*"),IF(OR(A96&lt;&gt;A95,Y96="вручную"),"",AF95))</f>
      </c>
      <c r="AG96" s="129">
        <f t="shared" si="53"/>
      </c>
      <c r="AH96" s="129">
        <f t="shared" si="54"/>
        <v/>
      </c>
      <c r="AI96" s="129">
        <f t="shared" si="55"/>
        <v/>
      </c>
      <c r="AJ96" s="129">
        <f t="shared" si="56"/>
        <v/>
      </c>
      <c r="AK96" s="129">
        <f t="shared" si="57"/>
        <v/>
      </c>
      <c r="AL96" s="129">
        <f t="shared" si="58"/>
        <v/>
      </c>
      <c r="AM96" s="129">
        <f t="shared" si="59"/>
      </c>
      <c r="AN96" s="129">
        <f t="shared" si="60"/>
      </c>
      <c r="AO96" s="129">
        <f t="shared" si="61"/>
        <v/>
      </c>
      <c r="AP96" s="129">
        <f t="shared" si="62"/>
        <v/>
      </c>
      <c r="AQ96" s="129">
        <f t="shared" si="63"/>
        <v/>
      </c>
      <c r="AR96" s="129">
        <f t="shared" si="64"/>
        <v/>
      </c>
      <c r="AS96" s="129">
        <f t="shared" si="65"/>
        <v/>
      </c>
      <c r="AT96" s="129">
        <f t="shared" si="66"/>
        <v/>
      </c>
      <c r="AU96" s="129">
        <f t="shared" si="67"/>
        <v/>
      </c>
      <c r="AV96" s="129">
        <f t="shared" si="68"/>
        <v/>
      </c>
      <c r="AW96" s="129">
        <f>IF(AV96="","",AV96&amp;"."&amp;COUNTIFS($A$3:A96,A96,$AV$3:AV96,AV96))</f>
        <v/>
      </c>
      <c r="AX96" s="129">
        <f t="shared" si="69"/>
        <v/>
      </c>
      <c r="AY96" s="129">
        <f>IF(N96="б/к",0,IF(OR(ISNUMBER(SEARCH("L=",Разбивка_по_щитам!P96)),N96="+",N96="="),1,0))</f>
      </c>
      <c r="AZ96" s="129">
        <f t="shared" si="70"/>
      </c>
      <c r="BA96" s="129">
        <f t="shared" si="71"/>
      </c>
      <c r="BB96" s="129">
        <f t="shared" si="72"/>
      </c>
      <c r="BD96" s="129">
        <f t="shared" si="73"/>
      </c>
      <c r="BE96" s="129">
        <f t="shared" si="74"/>
      </c>
      <c r="BF96" s="129">
        <f t="shared" si="75"/>
      </c>
      <c r="BG96" s="129">
        <f t="shared" si="76"/>
        <v/>
      </c>
      <c r="BH96" s="129">
        <f t="shared" si="77"/>
        <v/>
      </c>
      <c r="BI96" s="129">
        <f t="shared" si="78"/>
        <v/>
      </c>
      <c r="BJ96" s="129">
        <f t="shared" si="79"/>
        <v/>
      </c>
      <c r="BK96" s="129">
        <f>IF(R96="","",IF(OR(BY96="",BY96=0),"BOX",IFERROR(IF(VLOOKUP(BY96,УГО_блоки,3,FALSE)&amp;""&lt;&gt;"",VLOOKUP(BY96,УГО_блоки,3,FALSE),VLOOKUP(BY96,УГО_блоки,2,FALSE)),BY96)))</f>
      </c>
      <c r="BL96" s="129">
        <f t="shared" si="81"/>
      </c>
      <c r="BM96" s="129">
        <f>IF(H96="","",IF(COUNTIF($H$3:H96,H96)=1,MAX($BM$2:BM95)+1,""))</f>
      </c>
      <c r="BN96" s="129">
        <f>IF(I96="","",IF(COUNTIF($I$3:I96,I96)+COUNTIF($J$2:J95,I96)+COUNTIF($K$2:K95,I96)=1,MAX($BN$2:BP95)+1,""))</f>
      </c>
      <c r="BO96" s="129">
        <f>IF(J96="","",IF(COUNTIF($I$3:I96,J96)+COUNTIF($J$3:J96,J96)+COUNTIF($K$2:K95,J96)=1,MAX($BN$2:BP95,BN96)+1,""))</f>
      </c>
      <c r="BP96" s="129">
        <f>IF(K96="","",IF(COUNTIF($I$3:I96,K96)+COUNTIF($J$3:J96,K96)+COUNTIF($K$3:K96,K96)=1,MAX($BN$2:BP95,BN96,BO96)+1,""))</f>
      </c>
      <c r="BQ96" s="129">
        <f>IF(AY96=1,IFERROR(MID(Q96,FIND(" (",Q96)+2,FIND(")",Q96,FIND(" (",Q96))-FIND(" (",Q96)-2),"?"),"")</f>
      </c>
      <c r="BR96" s="129">
        <f>IF(BQ96="","",IF(COUNTIF($BQ$3:BQ96,BQ96)=1,MAX($BR$2:BR95)+1,""))</f>
      </c>
      <c r="BS96" s="129">
        <f>IF(AW96="","",COUNTIF($AW$3:AW96,"?*"))</f>
      </c>
      <c r="BT96" s="129">
        <f>IF(OR(AW96="",AI96=""),"",IF(COUNTIFS($AW$3:AW96,"?*",$AI$3:AI96,AI96)=1,MAX($BT$2:BT95)+1,""))</f>
      </c>
      <c r="BU96" s="129">
        <f>IF(AE96="",0,IF(OR(ISNUMBER(SEARCH("дубль",AE96)),ISNUMBER(SEARCH("ПЕРЕГРУЗ",AE96)),ISNUMBER(SEARCH("ЗАЩИЩ",AE96)),ISNUMBER(SEARCH("КАНАЛ",AE96)),ISNUMBER(SEARCH("без 30",AE96))),2,1))</f>
      </c>
      <c r="BV96" s="129">
        <f>IF(R96="","",COUNTIF($R$3:R96,"?*"))</f>
      </c>
      <c r="BW96" s="129">
        <f>IF(AY96&lt;&gt;1,0,IF(MAX(IFERROR(--VLOOKUP(R96,УГО_спр,5,FALSE),0),IFERROR(--VLOOKUP(AL96,УГО_спр,5,FALSE),0),IFERROR(--VLOOKUP(LEFT(AL96,2),УГО_спр,5,FALSE),0))&gt;0,MAX(IFERROR(--VLOOKUP(R96,УГО_спр,5,FALSE),0),IFERROR(--VLOOKUP(AL96,УГО_спр,5,FALSE),0),IFERROR(--VLOOKUP(LEFT(AL96,2),УГО_спр,5,FALSE),0)),IF(IFERROR(--LEFT(SUBSTITUTE(BQ96,"x","х"),FIND("х",SUBSTITUTE(BQ96,"x","х"))-1),3)&gt;3,Каталог!$S$9,1)))</f>
      </c>
      <c r="BX96" s="129">
        <f>IF(AY96&lt;&gt;1,0,MAX(0,IFERROR(--LEFT(SUBSTITUTE(BQ96,"x","х"),FIND("х",SUBSTITUTE(BQ96,"x","х"))-1),3)-3*BW96))</f>
      </c>
      <c r="BY96" s="129">
        <f>IF(R96="","",IFERROR(VLOOKUP(R96,УГО_спр,2,FALSE),IFERROR(VLOOKUP(AL96,УГО_спр,2,FALSE),IFERROR(VLOOKUP(LEFT(AL96,2),УГО_спр,2,FALSE),""))))</f>
      </c>
    </row>
    <row r="97" spans="1:64" x14ac:dyDescent="0.3">
      <c r="A97" s="135">
        <f>IF(Разбивка_по_щитам!F97=0,"",Разбивка_по_щитам!F97)</f>
      </c>
      <c r="B97" s="138">
        <f>IF(A97="","",Разбивка_по_щитам!C97)</f>
      </c>
      <c r="C97" s="138">
        <f t="shared" si="44"/>
      </c>
      <c r="D97" s="266"/>
      <c r="E97" s="266"/>
      <c r="F97" s="267"/>
      <c r="G97" s="145">
        <f t="shared" si="45"/>
        <v/>
      </c>
      <c r="H97" s="145">
        <f t="shared" si="46"/>
        <v/>
      </c>
      <c r="I97" s="266"/>
      <c r="J97" s="267"/>
      <c r="K97" s="267"/>
      <c r="L97" s="266"/>
      <c r="M97" s="147">
        <f t="shared" si="82"/>
        <v/>
      </c>
      <c r="N97" s="267"/>
      <c r="O97" s="147">
        <f t="shared" si="83"/>
        <v/>
      </c>
      <c r="P97" s="268">
        <f>IF(AY97=1,"XT"&amp;COUNTIFS($A$3:A97,A97,$AY$3:AY97,1),"")</f>
        <v/>
      </c>
      <c r="Q97" s="152">
        <f>IF(R97="","",IFERROR(SUBSTITUTE(Разбивка_по_щитам!P97,CHAR(10)," "),""))</f>
        <v/>
      </c>
      <c r="R97" s="153">
        <f>IF(OR(Разбивка_по_щитам!H97="",Разбивка_по_щитам!H97=0),"",Разбивка_по_щитам!H97)</f>
        <v/>
      </c>
      <c r="S97" s="154">
        <f>IF(R97="","",IFERROR(Разбивка_по_щитам!J97&amp;"",""))</f>
        <v/>
      </c>
      <c r="T97" s="155">
        <f>IF(R97="","",IFERROR(--Разбивка_по_щитам!L97,""))</f>
        <v/>
      </c>
      <c r="U97" s="155">
        <f>IF(R97="","",IFERROR(--Разбивка_по_щитам!K97,""))</f>
        <v/>
      </c>
      <c r="V97" s="138">
        <f>IF(R97="","",IFERROR(IF(Разбивка_по_щитам!M97=0,"",Разбивка_по_щитам!M97),""))</f>
        <v/>
      </c>
      <c r="W97" s="156">
        <f t="shared" si="47"/>
        <v/>
      </c>
      <c r="X97" s="157">
        <f t="shared" si="48"/>
        <v/>
      </c>
      <c r="Y97" s="266"/>
      <c r="Z97" s="158">
        <f t="shared" si="49"/>
        <v/>
      </c>
      <c r="AA97" s="160">
        <f t="shared" si="50"/>
        <v/>
      </c>
      <c r="AB97" s="160">
        <f>IF(R97="","",IFERROR(LOOKUP(INDEX(Справочная!$I$4:$I$19,MATCH(VLOOKUP(R97,Исходные_данные,22,FALSE),Справочная!$J$4:$J$19,0)+1),{6,10,16,20,25,32,40,50,63,80,100,125}),""))</f>
        <v/>
      </c>
      <c r="AC97" s="160">
        <f t="shared" si="51"/>
        <v/>
      </c>
      <c r="AD97" s="161">
        <f t="shared" si="52"/>
        <v/>
      </c>
      <c r="AE97" s="161">
        <f>IF(AND(R97="",G97=""),"",_xlfn.TEXTJOIN("; ",TRUE,IF(AND(R97&lt;&gt;"",V97=""),"нет фазы",""),IF(AND(R97&lt;&gt;"",N(T97)=0),"нет мощности",""),IF(AND(P97&lt;&gt;"",COUNTIFS($A$3:$A$1000,A97,$P$3:$P$1000,P97)&gt;1),"дубль клеммы "&amp;P97,""),IF(AND(W97&lt;&gt;"",W97&lt;&gt;"ok"),W97,""),IF(X97&lt;&gt;"",X97,""),IF(AND(ISNUMBER(SEARCH("(5х",Q97)),N(AK97)=1),"5 жил на 1 фазе",""),IF(AND(AL97="R",E97&lt;&gt;"",N(AS97)=0),"розетка без 30 мА",""),IF(IFERROR(_xlfn.NUMBERVALUE(MID(Q97,FIND("-",Q97,FIND("L=",Q97))+1,FIND("%",Q97)-FIND("-",Q97,FIND("L=",Q97))-1),","),0)&gt;4,"потери &gt; 4 %","")))</f>
      </c>
      <c r="AF97" s="129">
        <f>IF(E97&lt;&gt;"",COUNTIFS($A$3:A97,A97,$E$3:E97,"?*"),IF(OR(A97&lt;&gt;A96,Y97="вручную"),"",AF96))</f>
      </c>
      <c r="AG97" s="129">
        <f t="shared" si="53"/>
      </c>
      <c r="AH97" s="129">
        <f t="shared" si="54"/>
        <v/>
      </c>
      <c r="AI97" s="129">
        <f t="shared" si="55"/>
        <v/>
      </c>
      <c r="AJ97" s="129">
        <f t="shared" si="56"/>
        <v/>
      </c>
      <c r="AK97" s="129">
        <f t="shared" si="57"/>
        <v/>
      </c>
      <c r="AL97" s="129">
        <f t="shared" si="58"/>
        <v/>
      </c>
      <c r="AM97" s="129">
        <f t="shared" si="59"/>
      </c>
      <c r="AN97" s="129">
        <f t="shared" si="60"/>
      </c>
      <c r="AO97" s="129">
        <f t="shared" si="61"/>
        <v/>
      </c>
      <c r="AP97" s="129">
        <f t="shared" si="62"/>
        <v/>
      </c>
      <c r="AQ97" s="129">
        <f t="shared" si="63"/>
        <v/>
      </c>
      <c r="AR97" s="129">
        <f t="shared" si="64"/>
        <v/>
      </c>
      <c r="AS97" s="129">
        <f t="shared" si="65"/>
        <v/>
      </c>
      <c r="AT97" s="129">
        <f t="shared" si="66"/>
        <v/>
      </c>
      <c r="AU97" s="129">
        <f t="shared" si="67"/>
        <v/>
      </c>
      <c r="AV97" s="129">
        <f t="shared" si="68"/>
        <v/>
      </c>
      <c r="AW97" s="129">
        <f>IF(AV97="","",AV97&amp;"."&amp;COUNTIFS($A$3:A97,A97,$AV$3:AV97,AV97))</f>
        <v/>
      </c>
      <c r="AX97" s="129">
        <f t="shared" si="69"/>
        <v/>
      </c>
      <c r="AY97" s="129">
        <f>IF(N97="б/к",0,IF(OR(ISNUMBER(SEARCH("L=",Разбивка_по_щитам!P97)),N97="+",N97="="),1,0))</f>
      </c>
      <c r="AZ97" s="129">
        <f t="shared" si="70"/>
      </c>
      <c r="BA97" s="129">
        <f t="shared" si="71"/>
      </c>
      <c r="BB97" s="129">
        <f t="shared" si="72"/>
      </c>
      <c r="BD97" s="129">
        <f t="shared" si="73"/>
      </c>
      <c r="BE97" s="129">
        <f t="shared" si="74"/>
      </c>
      <c r="BF97" s="129">
        <f t="shared" si="75"/>
      </c>
      <c r="BG97" s="129">
        <f t="shared" si="76"/>
        <v/>
      </c>
      <c r="BH97" s="129">
        <f t="shared" si="77"/>
        <v/>
      </c>
      <c r="BI97" s="129">
        <f t="shared" si="78"/>
        <v/>
      </c>
      <c r="BJ97" s="129">
        <f t="shared" si="79"/>
        <v/>
      </c>
      <c r="BK97" s="129">
        <f>IF(R97="","",IF(OR(BY97="",BY97=0),"BOX",IFERROR(IF(VLOOKUP(BY97,УГО_блоки,3,FALSE)&amp;""&lt;&gt;"",VLOOKUP(BY97,УГО_блоки,3,FALSE),VLOOKUP(BY97,УГО_блоки,2,FALSE)),BY97)))</f>
      </c>
      <c r="BL97" s="129">
        <f t="shared" si="81"/>
      </c>
      <c r="BM97" s="129">
        <f>IF(H97="","",IF(COUNTIF($H$3:H97,H97)=1,MAX($BM$2:BM96)+1,""))</f>
      </c>
      <c r="BN97" s="129">
        <f>IF(I97="","",IF(COUNTIF($I$3:I97,I97)+COUNTIF($J$2:J96,I97)+COUNTIF($K$2:K96,I97)=1,MAX($BN$2:BP96)+1,""))</f>
      </c>
      <c r="BO97" s="129">
        <f>IF(J97="","",IF(COUNTIF($I$3:I97,J97)+COUNTIF($J$3:J97,J97)+COUNTIF($K$2:K96,J97)=1,MAX($BN$2:BP96,BN97)+1,""))</f>
      </c>
      <c r="BP97" s="129">
        <f>IF(K97="","",IF(COUNTIF($I$3:I97,K97)+COUNTIF($J$3:J97,K97)+COUNTIF($K$3:K97,K97)=1,MAX($BN$2:BP96,BN97,BO97)+1,""))</f>
      </c>
      <c r="BQ97" s="129">
        <f>IF(AY97=1,IFERROR(MID(Q97,FIND(" (",Q97)+2,FIND(")",Q97,FIND(" (",Q97))-FIND(" (",Q97)-2),"?"),"")</f>
      </c>
      <c r="BR97" s="129">
        <f>IF(BQ97="","",IF(COUNTIF($BQ$3:BQ97,BQ97)=1,MAX($BR$2:BR96)+1,""))</f>
      </c>
      <c r="BS97" s="129">
        <f>IF(AW97="","",COUNTIF($AW$3:AW97,"?*"))</f>
      </c>
      <c r="BT97" s="129">
        <f>IF(OR(AW97="",AI97=""),"",IF(COUNTIFS($AW$3:AW97,"?*",$AI$3:AI97,AI97)=1,MAX($BT$2:BT96)+1,""))</f>
      </c>
      <c r="BU97" s="129">
        <f>IF(AE97="",0,IF(OR(ISNUMBER(SEARCH("дубль",AE97)),ISNUMBER(SEARCH("ПЕРЕГРУЗ",AE97)),ISNUMBER(SEARCH("ЗАЩИЩ",AE97)),ISNUMBER(SEARCH("КАНАЛ",AE97)),ISNUMBER(SEARCH("без 30",AE97))),2,1))</f>
      </c>
      <c r="BV97" s="129">
        <f>IF(R97="","",COUNTIF($R$3:R97,"?*"))</f>
      </c>
      <c r="BW97" s="129">
        <f>IF(AY97&lt;&gt;1,0,IF(MAX(IFERROR(--VLOOKUP(R97,УГО_спр,5,FALSE),0),IFERROR(--VLOOKUP(AL97,УГО_спр,5,FALSE),0),IFERROR(--VLOOKUP(LEFT(AL97,2),УГО_спр,5,FALSE),0))&gt;0,MAX(IFERROR(--VLOOKUP(R97,УГО_спр,5,FALSE),0),IFERROR(--VLOOKUP(AL97,УГО_спр,5,FALSE),0),IFERROR(--VLOOKUP(LEFT(AL97,2),УГО_спр,5,FALSE),0)),IF(IFERROR(--LEFT(SUBSTITUTE(BQ97,"x","х"),FIND("х",SUBSTITUTE(BQ97,"x","х"))-1),3)&gt;3,Каталог!$S$9,1)))</f>
      </c>
      <c r="BX97" s="129">
        <f>IF(AY97&lt;&gt;1,0,MAX(0,IFERROR(--LEFT(SUBSTITUTE(BQ97,"x","х"),FIND("х",SUBSTITUTE(BQ97,"x","х"))-1),3)-3*BW97))</f>
      </c>
      <c r="BY97" s="129">
        <f>IF(R97="","",IFERROR(VLOOKUP(R97,УГО_спр,2,FALSE),IFERROR(VLOOKUP(AL97,УГО_спр,2,FALSE),IFERROR(VLOOKUP(LEFT(AL97,2),УГО_спр,2,FALSE),""))))</f>
      </c>
    </row>
    <row r="98" spans="1:64" x14ac:dyDescent="0.3">
      <c r="A98" s="135">
        <f>IF(Разбивка_по_щитам!F98=0,"",Разбивка_по_щитам!F98)</f>
      </c>
      <c r="B98" s="138">
        <f>IF(A98="","",Разбивка_по_щитам!C98)</f>
      </c>
      <c r="C98" s="138">
        <f t="shared" si="44"/>
      </c>
      <c r="D98" s="266"/>
      <c r="E98" s="266"/>
      <c r="F98" s="267"/>
      <c r="G98" s="145">
        <f t="shared" si="45"/>
        <v/>
      </c>
      <c r="H98" s="145">
        <f t="shared" si="46"/>
        <v/>
      </c>
      <c r="I98" s="266"/>
      <c r="J98" s="267"/>
      <c r="K98" s="267"/>
      <c r="L98" s="266"/>
      <c r="M98" s="147">
        <f t="shared" si="82"/>
        <v/>
      </c>
      <c r="N98" s="267"/>
      <c r="O98" s="147">
        <f t="shared" si="83"/>
        <v/>
      </c>
      <c r="P98" s="268">
        <f>IF(AY98=1,"XT"&amp;COUNTIFS($A$3:A98,A98,$AY$3:AY98,1),"")</f>
        <v/>
      </c>
      <c r="Q98" s="152">
        <f>IF(R98="","",IFERROR(SUBSTITUTE(Разбивка_по_щитам!P98,CHAR(10)," "),""))</f>
        <v/>
      </c>
      <c r="R98" s="153">
        <f>IF(OR(Разбивка_по_щитам!H98="",Разбивка_по_щитам!H98=0),"",Разбивка_по_щитам!H98)</f>
        <v/>
      </c>
      <c r="S98" s="154">
        <f>IF(R98="","",IFERROR(Разбивка_по_щитам!J98&amp;"",""))</f>
        <v/>
      </c>
      <c r="T98" s="155">
        <f>IF(R98="","",IFERROR(--Разбивка_по_щитам!L98,""))</f>
        <v/>
      </c>
      <c r="U98" s="155">
        <f>IF(R98="","",IFERROR(--Разбивка_по_щитам!K98,""))</f>
        <v/>
      </c>
      <c r="V98" s="138">
        <f>IF(R98="","",IFERROR(IF(Разбивка_по_щитам!M98=0,"",Разбивка_по_щитам!M98),""))</f>
        <v/>
      </c>
      <c r="W98" s="156">
        <f t="shared" si="47"/>
        <v/>
      </c>
      <c r="X98" s="157">
        <f t="shared" si="48"/>
        <v/>
      </c>
      <c r="Y98" s="266"/>
      <c r="Z98" s="158">
        <f t="shared" si="49"/>
        <v/>
      </c>
      <c r="AA98" s="160">
        <f t="shared" si="50"/>
        <v/>
      </c>
      <c r="AB98" s="160">
        <f>IF(R98="","",IFERROR(LOOKUP(INDEX(Справочная!$I$4:$I$19,MATCH(VLOOKUP(R98,Исходные_данные,22,FALSE),Справочная!$J$4:$J$19,0)+1),{6,10,16,20,25,32,40,50,63,80,100,125}),""))</f>
        <v/>
      </c>
      <c r="AC98" s="160">
        <f t="shared" si="51"/>
        <v/>
      </c>
      <c r="AD98" s="161">
        <f t="shared" si="52"/>
        <v/>
      </c>
      <c r="AE98" s="161">
        <f>IF(AND(R98="",G98=""),"",_xlfn.TEXTJOIN("; ",TRUE,IF(AND(R98&lt;&gt;"",V98=""),"нет фазы",""),IF(AND(R98&lt;&gt;"",N(T98)=0),"нет мощности",""),IF(AND(P98&lt;&gt;"",COUNTIFS($A$3:$A$1000,A98,$P$3:$P$1000,P98)&gt;1),"дубль клеммы "&amp;P98,""),IF(AND(W98&lt;&gt;"",W98&lt;&gt;"ok"),W98,""),IF(X98&lt;&gt;"",X98,""),IF(AND(ISNUMBER(SEARCH("(5х",Q98)),N(AK98)=1),"5 жил на 1 фазе",""),IF(AND(AL98="R",E98&lt;&gt;"",N(AS98)=0),"розетка без 30 мА",""),IF(IFERROR(_xlfn.NUMBERVALUE(MID(Q98,FIND("-",Q98,FIND("L=",Q98))+1,FIND("%",Q98)-FIND("-",Q98,FIND("L=",Q98))-1),","),0)&gt;4,"потери &gt; 4 %","")))</f>
      </c>
      <c r="AF98" s="129">
        <f>IF(E98&lt;&gt;"",COUNTIFS($A$3:A98,A98,$E$3:E98,"?*"),IF(OR(A98&lt;&gt;A97,Y98="вручную"),"",AF97))</f>
      </c>
      <c r="AG98" s="129">
        <f t="shared" si="53"/>
      </c>
      <c r="AH98" s="129">
        <f t="shared" si="54"/>
        <v/>
      </c>
      <c r="AI98" s="129">
        <f t="shared" si="55"/>
        <v/>
      </c>
      <c r="AJ98" s="129">
        <f t="shared" si="56"/>
        <v/>
      </c>
      <c r="AK98" s="129">
        <f t="shared" si="57"/>
        <v/>
      </c>
      <c r="AL98" s="129">
        <f t="shared" si="58"/>
        <v/>
      </c>
      <c r="AM98" s="129">
        <f t="shared" si="59"/>
      </c>
      <c r="AN98" s="129">
        <f t="shared" si="60"/>
      </c>
      <c r="AO98" s="129">
        <f t="shared" si="61"/>
        <v/>
      </c>
      <c r="AP98" s="129">
        <f t="shared" si="62"/>
        <v/>
      </c>
      <c r="AQ98" s="129">
        <f t="shared" si="63"/>
        <v/>
      </c>
      <c r="AR98" s="129">
        <f t="shared" si="64"/>
        <v/>
      </c>
      <c r="AS98" s="129">
        <f t="shared" si="65"/>
        <v/>
      </c>
      <c r="AT98" s="129">
        <f t="shared" si="66"/>
        <v/>
      </c>
      <c r="AU98" s="129">
        <f t="shared" si="67"/>
        <v/>
      </c>
      <c r="AV98" s="129">
        <f t="shared" si="68"/>
        <v/>
      </c>
      <c r="AW98" s="129">
        <f>IF(AV98="","",AV98&amp;"."&amp;COUNTIFS($A$3:A98,A98,$AV$3:AV98,AV98))</f>
        <v/>
      </c>
      <c r="AX98" s="129">
        <f t="shared" si="69"/>
        <v/>
      </c>
      <c r="AY98" s="129">
        <f>IF(N98="б/к",0,IF(OR(ISNUMBER(SEARCH("L=",Разбивка_по_щитам!P98)),N98="+",N98="="),1,0))</f>
      </c>
      <c r="AZ98" s="129">
        <f t="shared" si="70"/>
      </c>
      <c r="BA98" s="129">
        <f t="shared" si="71"/>
      </c>
      <c r="BB98" s="129">
        <f t="shared" si="72"/>
      </c>
      <c r="BD98" s="129">
        <f t="shared" si="73"/>
      </c>
      <c r="BE98" s="129">
        <f t="shared" si="74"/>
      </c>
      <c r="BF98" s="129">
        <f t="shared" si="75"/>
      </c>
      <c r="BG98" s="129">
        <f t="shared" si="76"/>
        <v/>
      </c>
      <c r="BH98" s="129">
        <f t="shared" si="77"/>
        <v/>
      </c>
      <c r="BI98" s="129">
        <f t="shared" si="78"/>
        <v/>
      </c>
      <c r="BJ98" s="129">
        <f t="shared" si="79"/>
        <v/>
      </c>
      <c r="BK98" s="129">
        <f>IF(R98="","",IF(OR(BY98="",BY98=0),"BOX",IFERROR(IF(VLOOKUP(BY98,УГО_блоки,3,FALSE)&amp;""&lt;&gt;"",VLOOKUP(BY98,УГО_блоки,3,FALSE),VLOOKUP(BY98,УГО_блоки,2,FALSE)),BY98)))</f>
      </c>
      <c r="BL98" s="129">
        <f t="shared" si="81"/>
      </c>
      <c r="BM98" s="129">
        <f>IF(H98="","",IF(COUNTIF($H$3:H98,H98)=1,MAX($BM$2:BM97)+1,""))</f>
      </c>
      <c r="BN98" s="129">
        <f>IF(I98="","",IF(COUNTIF($I$3:I98,I98)+COUNTIF($J$2:J97,I98)+COUNTIF($K$2:K97,I98)=1,MAX($BN$2:BP97)+1,""))</f>
      </c>
      <c r="BO98" s="129">
        <f>IF(J98="","",IF(COUNTIF($I$3:I98,J98)+COUNTIF($J$3:J98,J98)+COUNTIF($K$2:K97,J98)=1,MAX($BN$2:BP97,BN98)+1,""))</f>
      </c>
      <c r="BP98" s="129">
        <f>IF(K98="","",IF(COUNTIF($I$3:I98,K98)+COUNTIF($J$3:J98,K98)+COUNTIF($K$3:K98,K98)=1,MAX($BN$2:BP97,BN98,BO98)+1,""))</f>
      </c>
      <c r="BQ98" s="129">
        <f>IF(AY98=1,IFERROR(MID(Q98,FIND(" (",Q98)+2,FIND(")",Q98,FIND(" (",Q98))-FIND(" (",Q98)-2),"?"),"")</f>
      </c>
      <c r="BR98" s="129">
        <f>IF(BQ98="","",IF(COUNTIF($BQ$3:BQ98,BQ98)=1,MAX($BR$2:BR97)+1,""))</f>
      </c>
      <c r="BS98" s="129">
        <f>IF(AW98="","",COUNTIF($AW$3:AW98,"?*"))</f>
      </c>
      <c r="BT98" s="129">
        <f>IF(OR(AW98="",AI98=""),"",IF(COUNTIFS($AW$3:AW98,"?*",$AI$3:AI98,AI98)=1,MAX($BT$2:BT97)+1,""))</f>
      </c>
      <c r="BU98" s="129">
        <f>IF(AE98="",0,IF(OR(ISNUMBER(SEARCH("дубль",AE98)),ISNUMBER(SEARCH("ПЕРЕГРУЗ",AE98)),ISNUMBER(SEARCH("ЗАЩИЩ",AE98)),ISNUMBER(SEARCH("КАНАЛ",AE98)),ISNUMBER(SEARCH("без 30",AE98))),2,1))</f>
      </c>
      <c r="BV98" s="129">
        <f>IF(R98="","",COUNTIF($R$3:R98,"?*"))</f>
      </c>
      <c r="BW98" s="129">
        <f>IF(AY98&lt;&gt;1,0,IF(MAX(IFERROR(--VLOOKUP(R98,УГО_спр,5,FALSE),0),IFERROR(--VLOOKUP(AL98,УГО_спр,5,FALSE),0),IFERROR(--VLOOKUP(LEFT(AL98,2),УГО_спр,5,FALSE),0))&gt;0,MAX(IFERROR(--VLOOKUP(R98,УГО_спр,5,FALSE),0),IFERROR(--VLOOKUP(AL98,УГО_спр,5,FALSE),0),IFERROR(--VLOOKUP(LEFT(AL98,2),УГО_спр,5,FALSE),0)),IF(IFERROR(--LEFT(SUBSTITUTE(BQ98,"x","х"),FIND("х",SUBSTITUTE(BQ98,"x","х"))-1),3)&gt;3,Каталог!$S$9,1)))</f>
      </c>
      <c r="BX98" s="129">
        <f>IF(AY98&lt;&gt;1,0,MAX(0,IFERROR(--LEFT(SUBSTITUTE(BQ98,"x","х"),FIND("х",SUBSTITUTE(BQ98,"x","х"))-1),3)-3*BW98))</f>
      </c>
      <c r="BY98" s="129">
        <f>IF(R98="","",IFERROR(VLOOKUP(R98,УГО_спр,2,FALSE),IFERROR(VLOOKUP(AL98,УГО_спр,2,FALSE),IFERROR(VLOOKUP(LEFT(AL98,2),УГО_спр,2,FALSE),""))))</f>
      </c>
    </row>
    <row r="99" spans="1:64" x14ac:dyDescent="0.3">
      <c r="A99" s="135">
        <f>IF(Разбивка_по_щитам!F99=0,"",Разбивка_по_щитам!F99)</f>
      </c>
      <c r="B99" s="138">
        <f>IF(A99="","",Разбивка_по_щитам!C99)</f>
      </c>
      <c r="C99" s="138">
        <f t="shared" si="44"/>
      </c>
      <c r="D99" s="266"/>
      <c r="E99" s="266"/>
      <c r="F99" s="267"/>
      <c r="G99" s="145">
        <f t="shared" si="45"/>
        <v/>
      </c>
      <c r="H99" s="145">
        <f t="shared" si="46"/>
        <v/>
      </c>
      <c r="I99" s="266"/>
      <c r="J99" s="267"/>
      <c r="K99" s="267"/>
      <c r="L99" s="266"/>
      <c r="M99" s="147">
        <f t="shared" si="82"/>
        <v/>
      </c>
      <c r="N99" s="267"/>
      <c r="O99" s="147">
        <f t="shared" si="83"/>
        <v/>
      </c>
      <c r="P99" s="268">
        <f>IF(AY99=1,"XT"&amp;COUNTIFS($A$3:A99,A99,$AY$3:AY99,1),"")</f>
        <v/>
      </c>
      <c r="Q99" s="152">
        <f>IF(R99="","",IFERROR(SUBSTITUTE(Разбивка_по_щитам!P99,CHAR(10)," "),""))</f>
        <v/>
      </c>
      <c r="R99" s="153">
        <f>IF(OR(Разбивка_по_щитам!H99="",Разбивка_по_щитам!H99=0),"",Разбивка_по_щитам!H99)</f>
        <v/>
      </c>
      <c r="S99" s="154">
        <f>IF(R99="","",IFERROR(Разбивка_по_щитам!J99&amp;"",""))</f>
        <v/>
      </c>
      <c r="T99" s="155">
        <f>IF(R99="","",IFERROR(--Разбивка_по_щитам!L99,""))</f>
        <v/>
      </c>
      <c r="U99" s="155">
        <f>IF(R99="","",IFERROR(--Разбивка_по_щитам!K99,""))</f>
        <v/>
      </c>
      <c r="V99" s="138">
        <f>IF(R99="","",IFERROR(IF(Разбивка_по_щитам!M99=0,"",Разбивка_по_щитам!M99),""))</f>
        <v/>
      </c>
      <c r="W99" s="156">
        <f t="shared" si="47"/>
        <v/>
      </c>
      <c r="X99" s="157">
        <f t="shared" si="48"/>
        <v/>
      </c>
      <c r="Y99" s="266"/>
      <c r="Z99" s="158">
        <f t="shared" si="49"/>
        <v/>
      </c>
      <c r="AA99" s="160">
        <f t="shared" si="50"/>
        <v/>
      </c>
      <c r="AB99" s="160">
        <f>IF(R99="","",IFERROR(LOOKUP(INDEX(Справочная!$I$4:$I$19,MATCH(VLOOKUP(R99,Исходные_данные,22,FALSE),Справочная!$J$4:$J$19,0)+1),{6,10,16,20,25,32,40,50,63,80,100,125}),""))</f>
        <v/>
      </c>
      <c r="AC99" s="160">
        <f t="shared" si="51"/>
        <v/>
      </c>
      <c r="AD99" s="161">
        <f t="shared" si="52"/>
        <v/>
      </c>
      <c r="AE99" s="161">
        <f>IF(AND(R99="",G99=""),"",_xlfn.TEXTJOIN("; ",TRUE,IF(AND(R99&lt;&gt;"",V99=""),"нет фазы",""),IF(AND(R99&lt;&gt;"",N(T99)=0),"нет мощности",""),IF(AND(P99&lt;&gt;"",COUNTIFS($A$3:$A$1000,A99,$P$3:$P$1000,P99)&gt;1),"дубль клеммы "&amp;P99,""),IF(AND(W99&lt;&gt;"",W99&lt;&gt;"ok"),W99,""),IF(X99&lt;&gt;"",X99,""),IF(AND(ISNUMBER(SEARCH("(5х",Q99)),N(AK99)=1),"5 жил на 1 фазе",""),IF(AND(AL99="R",E99&lt;&gt;"",N(AS99)=0),"розетка без 30 мА",""),IF(IFERROR(_xlfn.NUMBERVALUE(MID(Q99,FIND("-",Q99,FIND("L=",Q99))+1,FIND("%",Q99)-FIND("-",Q99,FIND("L=",Q99))-1),","),0)&gt;4,"потери &gt; 4 %","")))</f>
      </c>
      <c r="AF99" s="129">
        <f>IF(E99&lt;&gt;"",COUNTIFS($A$3:A99,A99,$E$3:E99,"?*"),IF(OR(A99&lt;&gt;A98,Y99="вручную"),"",AF98))</f>
      </c>
      <c r="AG99" s="129">
        <f t="shared" si="53"/>
      </c>
      <c r="AH99" s="129">
        <f t="shared" si="54"/>
        <v/>
      </c>
      <c r="AI99" s="129">
        <f t="shared" si="55"/>
        <v/>
      </c>
      <c r="AJ99" s="129">
        <f t="shared" si="56"/>
        <v/>
      </c>
      <c r="AK99" s="129">
        <f t="shared" si="57"/>
        <v/>
      </c>
      <c r="AL99" s="129">
        <f t="shared" si="58"/>
        <v/>
      </c>
      <c r="AM99" s="129">
        <f t="shared" si="59"/>
      </c>
      <c r="AN99" s="129">
        <f t="shared" si="60"/>
      </c>
      <c r="AO99" s="129">
        <f t="shared" si="61"/>
        <v/>
      </c>
      <c r="AP99" s="129">
        <f t="shared" si="62"/>
        <v/>
      </c>
      <c r="AQ99" s="129">
        <f t="shared" si="63"/>
        <v/>
      </c>
      <c r="AR99" s="129">
        <f t="shared" si="64"/>
        <v/>
      </c>
      <c r="AS99" s="129">
        <f t="shared" si="65"/>
        <v/>
      </c>
      <c r="AT99" s="129">
        <f t="shared" si="66"/>
        <v/>
      </c>
      <c r="AU99" s="129">
        <f t="shared" si="67"/>
        <v/>
      </c>
      <c r="AV99" s="129">
        <f t="shared" si="68"/>
        <v/>
      </c>
      <c r="AW99" s="129">
        <f>IF(AV99="","",AV99&amp;"."&amp;COUNTIFS($A$3:A99,A99,$AV$3:AV99,AV99))</f>
        <v/>
      </c>
      <c r="AX99" s="129">
        <f t="shared" si="69"/>
        <v/>
      </c>
      <c r="AY99" s="129">
        <f>IF(N99="б/к",0,IF(OR(ISNUMBER(SEARCH("L=",Разбивка_по_щитам!P99)),N99="+",N99="="),1,0))</f>
      </c>
      <c r="AZ99" s="129">
        <f t="shared" si="70"/>
      </c>
      <c r="BA99" s="129">
        <f t="shared" si="71"/>
      </c>
      <c r="BB99" s="129">
        <f t="shared" si="72"/>
      </c>
      <c r="BD99" s="129">
        <f t="shared" si="73"/>
      </c>
      <c r="BE99" s="129">
        <f t="shared" si="74"/>
      </c>
      <c r="BF99" s="129">
        <f t="shared" si="75"/>
      </c>
      <c r="BG99" s="129">
        <f t="shared" si="76"/>
        <v/>
      </c>
      <c r="BH99" s="129">
        <f t="shared" si="77"/>
        <v/>
      </c>
      <c r="BI99" s="129">
        <f t="shared" si="78"/>
        <v/>
      </c>
      <c r="BJ99" s="129">
        <f t="shared" si="79"/>
        <v/>
      </c>
      <c r="BK99" s="129">
        <f>IF(R99="","",IF(OR(BY99="",BY99=0),"BOX",IFERROR(IF(VLOOKUP(BY99,УГО_блоки,3,FALSE)&amp;""&lt;&gt;"",VLOOKUP(BY99,УГО_блоки,3,FALSE),VLOOKUP(BY99,УГО_блоки,2,FALSE)),BY99)))</f>
      </c>
      <c r="BL99" s="129">
        <f t="shared" si="81"/>
      </c>
      <c r="BM99" s="129">
        <f>IF(H99="","",IF(COUNTIF($H$3:H99,H99)=1,MAX($BM$2:BM98)+1,""))</f>
      </c>
      <c r="BN99" s="129">
        <f>IF(I99="","",IF(COUNTIF($I$3:I99,I99)+COUNTIF($J$2:J98,I99)+COUNTIF($K$2:K98,I99)=1,MAX($BN$2:BP98)+1,""))</f>
      </c>
      <c r="BO99" s="129">
        <f>IF(J99="","",IF(COUNTIF($I$3:I99,J99)+COUNTIF($J$3:J99,J99)+COUNTIF($K$2:K98,J99)=1,MAX($BN$2:BP98,BN99)+1,""))</f>
      </c>
      <c r="BP99" s="129">
        <f>IF(K99="","",IF(COUNTIF($I$3:I99,K99)+COUNTIF($J$3:J99,K99)+COUNTIF($K$3:K99,K99)=1,MAX($BN$2:BP98,BN99,BO99)+1,""))</f>
      </c>
      <c r="BQ99" s="129">
        <f>IF(AY99=1,IFERROR(MID(Q99,FIND(" (",Q99)+2,FIND(")",Q99,FIND(" (",Q99))-FIND(" (",Q99)-2),"?"),"")</f>
      </c>
      <c r="BR99" s="129">
        <f>IF(BQ99="","",IF(COUNTIF($BQ$3:BQ99,BQ99)=1,MAX($BR$2:BR98)+1,""))</f>
      </c>
      <c r="BS99" s="129">
        <f>IF(AW99="","",COUNTIF($AW$3:AW99,"?*"))</f>
      </c>
      <c r="BT99" s="129">
        <f>IF(OR(AW99="",AI99=""),"",IF(COUNTIFS($AW$3:AW99,"?*",$AI$3:AI99,AI99)=1,MAX($BT$2:BT98)+1,""))</f>
      </c>
      <c r="BU99" s="129">
        <f>IF(AE99="",0,IF(OR(ISNUMBER(SEARCH("дубль",AE99)),ISNUMBER(SEARCH("ПЕРЕГРУЗ",AE99)),ISNUMBER(SEARCH("ЗАЩИЩ",AE99)),ISNUMBER(SEARCH("КАНАЛ",AE99)),ISNUMBER(SEARCH("без 30",AE99))),2,1))</f>
      </c>
      <c r="BV99" s="129">
        <f>IF(R99="","",COUNTIF($R$3:R99,"?*"))</f>
      </c>
      <c r="BW99" s="129">
        <f>IF(AY99&lt;&gt;1,0,IF(MAX(IFERROR(--VLOOKUP(R99,УГО_спр,5,FALSE),0),IFERROR(--VLOOKUP(AL99,УГО_спр,5,FALSE),0),IFERROR(--VLOOKUP(LEFT(AL99,2),УГО_спр,5,FALSE),0))&gt;0,MAX(IFERROR(--VLOOKUP(R99,УГО_спр,5,FALSE),0),IFERROR(--VLOOKUP(AL99,УГО_спр,5,FALSE),0),IFERROR(--VLOOKUP(LEFT(AL99,2),УГО_спр,5,FALSE),0)),IF(IFERROR(--LEFT(SUBSTITUTE(BQ99,"x","х"),FIND("х",SUBSTITUTE(BQ99,"x","х"))-1),3)&gt;3,Каталог!$S$9,1)))</f>
      </c>
      <c r="BX99" s="129">
        <f>IF(AY99&lt;&gt;1,0,MAX(0,IFERROR(--LEFT(SUBSTITUTE(BQ99,"x","х"),FIND("х",SUBSTITUTE(BQ99,"x","х"))-1),3)-3*BW99))</f>
      </c>
      <c r="BY99" s="129">
        <f>IF(R99="","",IFERROR(VLOOKUP(R99,УГО_спр,2,FALSE),IFERROR(VLOOKUP(AL99,УГО_спр,2,FALSE),IFERROR(VLOOKUP(LEFT(AL99,2),УГО_спр,2,FALSE),""))))</f>
      </c>
    </row>
    <row r="100" spans="1:64" x14ac:dyDescent="0.3">
      <c r="A100" s="135">
        <f>IF(Разбивка_по_щитам!F100=0,"",Разбивка_по_щитам!F100)</f>
      </c>
      <c r="B100" s="138">
        <f>IF(A100="","",Разбивка_по_щитам!C100)</f>
      </c>
      <c r="C100" s="138">
        <f t="shared" si="44"/>
      </c>
      <c r="D100" s="266"/>
      <c r="E100" s="266"/>
      <c r="F100" s="267"/>
      <c r="G100" s="145">
        <f t="shared" si="45"/>
        <v/>
      </c>
      <c r="H100" s="145">
        <f t="shared" si="46"/>
        <v/>
      </c>
      <c r="I100" s="266"/>
      <c r="J100" s="267"/>
      <c r="K100" s="267"/>
      <c r="L100" s="266"/>
      <c r="M100" s="147">
        <f t="shared" si="82"/>
        <v/>
      </c>
      <c r="N100" s="267"/>
      <c r="O100" s="147">
        <f t="shared" si="83"/>
        <v/>
      </c>
      <c r="P100" s="268">
        <f>IF(AY100=1,"XT"&amp;COUNTIFS($A$3:A100,A100,$AY$3:AY100,1),"")</f>
        <v/>
      </c>
      <c r="Q100" s="152">
        <f>IF(R100="","",IFERROR(SUBSTITUTE(Разбивка_по_щитам!P100,CHAR(10)," "),""))</f>
        <v/>
      </c>
      <c r="R100" s="153">
        <f>IF(OR(Разбивка_по_щитам!H100="",Разбивка_по_щитам!H100=0),"",Разбивка_по_щитам!H100)</f>
        <v/>
      </c>
      <c r="S100" s="154">
        <f>IF(R100="","",IFERROR(Разбивка_по_щитам!J100&amp;"",""))</f>
        <v/>
      </c>
      <c r="T100" s="155">
        <f>IF(R100="","",IFERROR(--Разбивка_по_щитам!L100,""))</f>
        <v/>
      </c>
      <c r="U100" s="155">
        <f>IF(R100="","",IFERROR(--Разбивка_по_щитам!K100,""))</f>
        <v/>
      </c>
      <c r="V100" s="138">
        <f>IF(R100="","",IFERROR(IF(Разбивка_по_щитам!M100=0,"",Разбивка_по_щитам!M100),""))</f>
        <v/>
      </c>
      <c r="W100" s="156">
        <f t="shared" si="47"/>
        <v/>
      </c>
      <c r="X100" s="157">
        <f t="shared" si="48"/>
        <v/>
      </c>
      <c r="Y100" s="266"/>
      <c r="Z100" s="158">
        <f t="shared" si="49"/>
        <v/>
      </c>
      <c r="AA100" s="160">
        <f t="shared" si="50"/>
        <v/>
      </c>
      <c r="AB100" s="160">
        <f>IF(R100="","",IFERROR(LOOKUP(INDEX(Справочная!$I$4:$I$19,MATCH(VLOOKUP(R100,Исходные_данные,22,FALSE),Справочная!$J$4:$J$19,0)+1),{6,10,16,20,25,32,40,50,63,80,100,125}),""))</f>
        <v/>
      </c>
      <c r="AC100" s="160">
        <f t="shared" si="51"/>
        <v/>
      </c>
      <c r="AD100" s="161">
        <f t="shared" si="52"/>
        <v/>
      </c>
      <c r="AE100" s="161">
        <f>IF(AND(R100="",G100=""),"",_xlfn.TEXTJOIN("; ",TRUE,IF(AND(R100&lt;&gt;"",V100=""),"нет фазы",""),IF(AND(R100&lt;&gt;"",N(T100)=0),"нет мощности",""),IF(AND(P100&lt;&gt;"",COUNTIFS($A$3:$A$1000,A100,$P$3:$P$1000,P100)&gt;1),"дубль клеммы "&amp;P100,""),IF(AND(W100&lt;&gt;"",W100&lt;&gt;"ok"),W100,""),IF(X100&lt;&gt;"",X100,""),IF(AND(ISNUMBER(SEARCH("(5х",Q100)),N(AK100)=1),"5 жил на 1 фазе",""),IF(AND(AL100="R",E100&lt;&gt;"",N(AS100)=0),"розетка без 30 мА",""),IF(IFERROR(_xlfn.NUMBERVALUE(MID(Q100,FIND("-",Q100,FIND("L=",Q100))+1,FIND("%",Q100)-FIND("-",Q100,FIND("L=",Q100))-1),","),0)&gt;4,"потери &gt; 4 %","")))</f>
      </c>
      <c r="AF100" s="129">
        <f>IF(E100&lt;&gt;"",COUNTIFS($A$3:A100,A100,$E$3:E100,"?*"),IF(OR(A100&lt;&gt;A99,Y100="вручную"),"",AF99))</f>
      </c>
      <c r="AG100" s="129">
        <f t="shared" si="53"/>
      </c>
      <c r="AH100" s="129">
        <f t="shared" si="54"/>
        <v/>
      </c>
      <c r="AI100" s="129">
        <f t="shared" si="55"/>
        <v/>
      </c>
      <c r="AJ100" s="129">
        <f t="shared" si="56"/>
        <v/>
      </c>
      <c r="AK100" s="129">
        <f t="shared" si="57"/>
        <v/>
      </c>
      <c r="AL100" s="129">
        <f t="shared" si="58"/>
        <v/>
      </c>
      <c r="AM100" s="129">
        <f t="shared" si="59"/>
      </c>
      <c r="AN100" s="129">
        <f t="shared" si="60"/>
      </c>
      <c r="AO100" s="129">
        <f t="shared" si="61"/>
        <v/>
      </c>
      <c r="AP100" s="129">
        <f t="shared" si="62"/>
        <v/>
      </c>
      <c r="AQ100" s="129">
        <f t="shared" si="63"/>
        <v/>
      </c>
      <c r="AR100" s="129">
        <f t="shared" si="64"/>
        <v/>
      </c>
      <c r="AS100" s="129">
        <f t="shared" si="65"/>
        <v/>
      </c>
      <c r="AT100" s="129">
        <f t="shared" si="66"/>
        <v/>
      </c>
      <c r="AU100" s="129">
        <f t="shared" si="67"/>
        <v/>
      </c>
      <c r="AV100" s="129">
        <f t="shared" si="68"/>
        <v/>
      </c>
      <c r="AW100" s="129">
        <f>IF(AV100="","",AV100&amp;"."&amp;COUNTIFS($A$3:A100,A100,$AV$3:AV100,AV100))</f>
        <v/>
      </c>
      <c r="AX100" s="129">
        <f t="shared" si="69"/>
        <v/>
      </c>
      <c r="AY100" s="129">
        <f>IF(N100="б/к",0,IF(OR(ISNUMBER(SEARCH("L=",Разбивка_по_щитам!P100)),N100="+",N100="="),1,0))</f>
      </c>
      <c r="AZ100" s="129">
        <f t="shared" si="70"/>
      </c>
      <c r="BA100" s="129">
        <f t="shared" si="71"/>
      </c>
      <c r="BB100" s="129">
        <f t="shared" si="72"/>
      </c>
      <c r="BD100" s="129">
        <f t="shared" si="73"/>
      </c>
      <c r="BE100" s="129">
        <f t="shared" si="74"/>
      </c>
      <c r="BF100" s="129">
        <f t="shared" si="75"/>
      </c>
      <c r="BG100" s="129">
        <f t="shared" si="76"/>
        <v/>
      </c>
      <c r="BH100" s="129">
        <f t="shared" si="77"/>
        <v/>
      </c>
      <c r="BI100" s="129">
        <f t="shared" si="78"/>
        <v/>
      </c>
      <c r="BJ100" s="129">
        <f t="shared" si="79"/>
        <v/>
      </c>
      <c r="BK100" s="129">
        <f>IF(R100="","",IF(OR(BY100="",BY100=0),"BOX",IFERROR(IF(VLOOKUP(BY100,УГО_блоки,3,FALSE)&amp;""&lt;&gt;"",VLOOKUP(BY100,УГО_блоки,3,FALSE),VLOOKUP(BY100,УГО_блоки,2,FALSE)),BY100)))</f>
      </c>
      <c r="BL100" s="129">
        <f t="shared" si="81"/>
      </c>
      <c r="BM100" s="129">
        <f>IF(H100="","",IF(COUNTIF($H$3:H100,H100)=1,MAX($BM$2:BM99)+1,""))</f>
      </c>
      <c r="BN100" s="129">
        <f>IF(I100="","",IF(COUNTIF($I$3:I100,I100)+COUNTIF($J$2:J99,I100)+COUNTIF($K$2:K99,I100)=1,MAX($BN$2:BP99)+1,""))</f>
      </c>
      <c r="BO100" s="129">
        <f>IF(J100="","",IF(COUNTIF($I$3:I100,J100)+COUNTIF($J$3:J100,J100)+COUNTIF($K$2:K99,J100)=1,MAX($BN$2:BP99,BN100)+1,""))</f>
      </c>
      <c r="BP100" s="129">
        <f>IF(K100="","",IF(COUNTIF($I$3:I100,K100)+COUNTIF($J$3:J100,K100)+COUNTIF($K$3:K100,K100)=1,MAX($BN$2:BP99,BN100,BO100)+1,""))</f>
      </c>
      <c r="BQ100" s="129">
        <f>IF(AY100=1,IFERROR(MID(Q100,FIND(" (",Q100)+2,FIND(")",Q100,FIND(" (",Q100))-FIND(" (",Q100)-2),"?"),"")</f>
      </c>
      <c r="BR100" s="129">
        <f>IF(BQ100="","",IF(COUNTIF($BQ$3:BQ100,BQ100)=1,MAX($BR$2:BR99)+1,""))</f>
      </c>
      <c r="BS100" s="129">
        <f>IF(AW100="","",COUNTIF($AW$3:AW100,"?*"))</f>
      </c>
      <c r="BT100" s="129">
        <f>IF(OR(AW100="",AI100=""),"",IF(COUNTIFS($AW$3:AW100,"?*",$AI$3:AI100,AI100)=1,MAX($BT$2:BT99)+1,""))</f>
      </c>
      <c r="BU100" s="129">
        <f>IF(AE100="",0,IF(OR(ISNUMBER(SEARCH("дубль",AE100)),ISNUMBER(SEARCH("ПЕРЕГРУЗ",AE100)),ISNUMBER(SEARCH("ЗАЩИЩ",AE100)),ISNUMBER(SEARCH("КАНАЛ",AE100)),ISNUMBER(SEARCH("без 30",AE100))),2,1))</f>
      </c>
      <c r="BV100" s="129">
        <f>IF(R100="","",COUNTIF($R$3:R100,"?*"))</f>
      </c>
      <c r="BW100" s="129">
        <f>IF(AY100&lt;&gt;1,0,IF(MAX(IFERROR(--VLOOKUP(R100,УГО_спр,5,FALSE),0),IFERROR(--VLOOKUP(AL100,УГО_спр,5,FALSE),0),IFERROR(--VLOOKUP(LEFT(AL100,2),УГО_спр,5,FALSE),0))&gt;0,MAX(IFERROR(--VLOOKUP(R100,УГО_спр,5,FALSE),0),IFERROR(--VLOOKUP(AL100,УГО_спр,5,FALSE),0),IFERROR(--VLOOKUP(LEFT(AL100,2),УГО_спр,5,FALSE),0)),IF(IFERROR(--LEFT(SUBSTITUTE(BQ100,"x","х"),FIND("х",SUBSTITUTE(BQ100,"x","х"))-1),3)&gt;3,Каталог!$S$9,1)))</f>
      </c>
      <c r="BX100" s="129">
        <f>IF(AY100&lt;&gt;1,0,MAX(0,IFERROR(--LEFT(SUBSTITUTE(BQ100,"x","х"),FIND("х",SUBSTITUTE(BQ100,"x","х"))-1),3)-3*BW100))</f>
      </c>
      <c r="BY100" s="129">
        <f>IF(R100="","",IFERROR(VLOOKUP(R100,УГО_спр,2,FALSE),IFERROR(VLOOKUP(AL100,УГО_спр,2,FALSE),IFERROR(VLOOKUP(LEFT(AL100,2),УГО_спр,2,FALSE),""))))</f>
      </c>
    </row>
    <row r="101" spans="1:64" x14ac:dyDescent="0.3">
      <c r="A101" s="135">
        <f>IF(Разбивка_по_щитам!F101=0,"",Разбивка_по_щитам!F101)</f>
      </c>
      <c r="B101" s="138">
        <f>IF(A101="","",Разбивка_по_щитам!C101)</f>
      </c>
      <c r="C101" s="138">
        <f t="shared" si="44"/>
      </c>
      <c r="D101" s="266"/>
      <c r="E101" s="266"/>
      <c r="F101" s="267"/>
      <c r="G101" s="145">
        <f t="shared" si="45"/>
        <v/>
      </c>
      <c r="H101" s="145">
        <f t="shared" si="46"/>
        <v/>
      </c>
      <c r="I101" s="266"/>
      <c r="J101" s="267"/>
      <c r="K101" s="267"/>
      <c r="L101" s="266"/>
      <c r="M101" s="147">
        <f t="shared" si="82"/>
        <v/>
      </c>
      <c r="N101" s="267"/>
      <c r="O101" s="147">
        <f t="shared" si="83"/>
        <v/>
      </c>
      <c r="P101" s="268">
        <f>IF(AY101=1,"XT"&amp;COUNTIFS($A$3:A101,A101,$AY$3:AY101,1),"")</f>
        <v/>
      </c>
      <c r="Q101" s="152">
        <f>IF(R101="","",IFERROR(SUBSTITUTE(Разбивка_по_щитам!P101,CHAR(10)," "),""))</f>
        <v/>
      </c>
      <c r="R101" s="153">
        <f>IF(OR(Разбивка_по_щитам!H101="",Разбивка_по_щитам!H101=0),"",Разбивка_по_щитам!H101)</f>
        <v/>
      </c>
      <c r="S101" s="154">
        <f>IF(R101="","",IFERROR(Разбивка_по_щитам!J101&amp;"",""))</f>
        <v/>
      </c>
      <c r="T101" s="155">
        <f>IF(R101="","",IFERROR(--Разбивка_по_щитам!L101,""))</f>
        <v/>
      </c>
      <c r="U101" s="155">
        <f>IF(R101="","",IFERROR(--Разбивка_по_щитам!K101,""))</f>
        <v/>
      </c>
      <c r="V101" s="138">
        <f>IF(R101="","",IFERROR(IF(Разбивка_по_щитам!M101=0,"",Разбивка_по_щитам!M101),""))</f>
        <v/>
      </c>
      <c r="W101" s="156">
        <f t="shared" si="47"/>
        <v/>
      </c>
      <c r="X101" s="157">
        <f t="shared" si="48"/>
        <v/>
      </c>
      <c r="Y101" s="266"/>
      <c r="Z101" s="158">
        <f t="shared" si="49"/>
        <v/>
      </c>
      <c r="AA101" s="160">
        <f t="shared" si="50"/>
        <v/>
      </c>
      <c r="AB101" s="160">
        <f>IF(R101="","",IFERROR(LOOKUP(INDEX(Справочная!$I$4:$I$19,MATCH(VLOOKUP(R101,Исходные_данные,22,FALSE),Справочная!$J$4:$J$19,0)+1),{6,10,16,20,25,32,40,50,63,80,100,125}),""))</f>
        <v/>
      </c>
      <c r="AC101" s="160">
        <f t="shared" si="51"/>
        <v/>
      </c>
      <c r="AD101" s="161">
        <f t="shared" si="52"/>
        <v/>
      </c>
      <c r="AE101" s="161">
        <f>IF(AND(R101="",G101=""),"",_xlfn.TEXTJOIN("; ",TRUE,IF(AND(R101&lt;&gt;"",V101=""),"нет фазы",""),IF(AND(R101&lt;&gt;"",N(T101)=0),"нет мощности",""),IF(AND(P101&lt;&gt;"",COUNTIFS($A$3:$A$1000,A101,$P$3:$P$1000,P101)&gt;1),"дубль клеммы "&amp;P101,""),IF(AND(W101&lt;&gt;"",W101&lt;&gt;"ok"),W101,""),IF(X101&lt;&gt;"",X101,""),IF(AND(ISNUMBER(SEARCH("(5х",Q101)),N(AK101)=1),"5 жил на 1 фазе",""),IF(AND(AL101="R",E101&lt;&gt;"",N(AS101)=0),"розетка без 30 мА",""),IF(IFERROR(_xlfn.NUMBERVALUE(MID(Q101,FIND("-",Q101,FIND("L=",Q101))+1,FIND("%",Q101)-FIND("-",Q101,FIND("L=",Q101))-1),","),0)&gt;4,"потери &gt; 4 %","")))</f>
      </c>
      <c r="AF101" s="129">
        <f>IF(E101&lt;&gt;"",COUNTIFS($A$3:A101,A101,$E$3:E101,"?*"),IF(OR(A101&lt;&gt;A100,Y101="вручную"),"",AF100))</f>
      </c>
      <c r="AG101" s="129">
        <f t="shared" si="53"/>
      </c>
      <c r="AH101" s="129">
        <f t="shared" si="54"/>
        <v/>
      </c>
      <c r="AI101" s="129">
        <f t="shared" si="55"/>
        <v/>
      </c>
      <c r="AJ101" s="129">
        <f t="shared" si="56"/>
        <v/>
      </c>
      <c r="AK101" s="129">
        <f t="shared" si="57"/>
        <v/>
      </c>
      <c r="AL101" s="129">
        <f t="shared" si="58"/>
        <v/>
      </c>
      <c r="AM101" s="129">
        <f t="shared" si="59"/>
      </c>
      <c r="AN101" s="129">
        <f t="shared" si="60"/>
      </c>
      <c r="AO101" s="129">
        <f t="shared" si="61"/>
        <v/>
      </c>
      <c r="AP101" s="129">
        <f t="shared" si="62"/>
        <v/>
      </c>
      <c r="AQ101" s="129">
        <f t="shared" si="63"/>
        <v/>
      </c>
      <c r="AR101" s="129">
        <f t="shared" si="64"/>
        <v/>
      </c>
      <c r="AS101" s="129">
        <f t="shared" si="65"/>
        <v/>
      </c>
      <c r="AT101" s="129">
        <f t="shared" si="66"/>
        <v/>
      </c>
      <c r="AU101" s="129">
        <f t="shared" si="67"/>
        <v/>
      </c>
      <c r="AV101" s="129">
        <f t="shared" si="68"/>
        <v/>
      </c>
      <c r="AW101" s="129">
        <f>IF(AV101="","",AV101&amp;"."&amp;COUNTIFS($A$3:A101,A101,$AV$3:AV101,AV101))</f>
        <v/>
      </c>
      <c r="AX101" s="129">
        <f t="shared" si="69"/>
        <v/>
      </c>
      <c r="AY101" s="129">
        <f>IF(N101="б/к",0,IF(OR(ISNUMBER(SEARCH("L=",Разбивка_по_щитам!P101)),N101="+",N101="="),1,0))</f>
      </c>
      <c r="AZ101" s="129">
        <f t="shared" si="70"/>
      </c>
      <c r="BA101" s="129">
        <f t="shared" si="71"/>
      </c>
      <c r="BB101" s="129">
        <f t="shared" si="72"/>
      </c>
      <c r="BD101" s="129">
        <f t="shared" si="73"/>
      </c>
      <c r="BE101" s="129">
        <f t="shared" si="74"/>
      </c>
      <c r="BF101" s="129">
        <f t="shared" si="75"/>
      </c>
      <c r="BG101" s="129">
        <f t="shared" si="76"/>
        <v/>
      </c>
      <c r="BH101" s="129">
        <f t="shared" si="77"/>
        <v/>
      </c>
      <c r="BI101" s="129">
        <f t="shared" si="78"/>
        <v/>
      </c>
      <c r="BJ101" s="129">
        <f t="shared" si="79"/>
        <v/>
      </c>
      <c r="BK101" s="129">
        <f>IF(R101="","",IF(OR(BY101="",BY101=0),"BOX",IFERROR(IF(VLOOKUP(BY101,УГО_блоки,3,FALSE)&amp;""&lt;&gt;"",VLOOKUP(BY101,УГО_блоки,3,FALSE),VLOOKUP(BY101,УГО_блоки,2,FALSE)),BY101)))</f>
      </c>
      <c r="BL101" s="129">
        <f t="shared" si="81"/>
      </c>
      <c r="BM101" s="129">
        <f>IF(H101="","",IF(COUNTIF($H$3:H101,H101)=1,MAX($BM$2:BM100)+1,""))</f>
      </c>
      <c r="BN101" s="129">
        <f>IF(I101="","",IF(COUNTIF($I$3:I101,I101)+COUNTIF($J$2:J100,I101)+COUNTIF($K$2:K100,I101)=1,MAX($BN$2:BP100)+1,""))</f>
      </c>
      <c r="BO101" s="129">
        <f>IF(J101="","",IF(COUNTIF($I$3:I101,J101)+COUNTIF($J$3:J101,J101)+COUNTIF($K$2:K100,J101)=1,MAX($BN$2:BP100,BN101)+1,""))</f>
      </c>
      <c r="BP101" s="129">
        <f>IF(K101="","",IF(COUNTIF($I$3:I101,K101)+COUNTIF($J$3:J101,K101)+COUNTIF($K$3:K101,K101)=1,MAX($BN$2:BP100,BN101,BO101)+1,""))</f>
      </c>
      <c r="BQ101" s="129">
        <f>IF(AY101=1,IFERROR(MID(Q101,FIND(" (",Q101)+2,FIND(")",Q101,FIND(" (",Q101))-FIND(" (",Q101)-2),"?"),"")</f>
      </c>
      <c r="BR101" s="129">
        <f>IF(BQ101="","",IF(COUNTIF($BQ$3:BQ101,BQ101)=1,MAX($BR$2:BR100)+1,""))</f>
      </c>
      <c r="BS101" s="129">
        <f>IF(AW101="","",COUNTIF($AW$3:AW101,"?*"))</f>
      </c>
      <c r="BT101" s="129">
        <f>IF(OR(AW101="",AI101=""),"",IF(COUNTIFS($AW$3:AW101,"?*",$AI$3:AI101,AI101)=1,MAX($BT$2:BT100)+1,""))</f>
      </c>
      <c r="BU101" s="129">
        <f>IF(AE101="",0,IF(OR(ISNUMBER(SEARCH("дубль",AE101)),ISNUMBER(SEARCH("ПЕРЕГРУЗ",AE101)),ISNUMBER(SEARCH("ЗАЩИЩ",AE101)),ISNUMBER(SEARCH("КАНАЛ",AE101)),ISNUMBER(SEARCH("без 30",AE101))),2,1))</f>
      </c>
      <c r="BV101" s="129">
        <f>IF(R101="","",COUNTIF($R$3:R101,"?*"))</f>
      </c>
      <c r="BW101" s="129">
        <f>IF(AY101&lt;&gt;1,0,IF(MAX(IFERROR(--VLOOKUP(R101,УГО_спр,5,FALSE),0),IFERROR(--VLOOKUP(AL101,УГО_спр,5,FALSE),0),IFERROR(--VLOOKUP(LEFT(AL101,2),УГО_спр,5,FALSE),0))&gt;0,MAX(IFERROR(--VLOOKUP(R101,УГО_спр,5,FALSE),0),IFERROR(--VLOOKUP(AL101,УГО_спр,5,FALSE),0),IFERROR(--VLOOKUP(LEFT(AL101,2),УГО_спр,5,FALSE),0)),IF(IFERROR(--LEFT(SUBSTITUTE(BQ101,"x","х"),FIND("х",SUBSTITUTE(BQ101,"x","х"))-1),3)&gt;3,Каталог!$S$9,1)))</f>
      </c>
      <c r="BX101" s="129">
        <f>IF(AY101&lt;&gt;1,0,MAX(0,IFERROR(--LEFT(SUBSTITUTE(BQ101,"x","х"),FIND("х",SUBSTITUTE(BQ101,"x","х"))-1),3)-3*BW101))</f>
      </c>
      <c r="BY101" s="129">
        <f>IF(R101="","",IFERROR(VLOOKUP(R101,УГО_спр,2,FALSE),IFERROR(VLOOKUP(AL101,УГО_спр,2,FALSE),IFERROR(VLOOKUP(LEFT(AL101,2),УГО_спр,2,FALSE),""))))</f>
      </c>
    </row>
    <row r="102" spans="1:64" x14ac:dyDescent="0.3">
      <c r="A102" s="135">
        <f>IF(Разбивка_по_щитам!F102=0,"",Разбивка_по_щитам!F102)</f>
      </c>
      <c r="B102" s="138">
        <f>IF(A102="","",Разбивка_по_щитам!C102)</f>
      </c>
      <c r="C102" s="138">
        <f t="shared" si="44"/>
      </c>
      <c r="D102" s="266"/>
      <c r="E102" s="266"/>
      <c r="F102" s="267"/>
      <c r="G102" s="145">
        <f t="shared" si="45"/>
        <v/>
      </c>
      <c r="H102" s="145">
        <f t="shared" si="46"/>
        <v/>
      </c>
      <c r="I102" s="266"/>
      <c r="J102" s="267"/>
      <c r="K102" s="267"/>
      <c r="L102" s="266"/>
      <c r="M102" s="147">
        <f t="shared" si="82"/>
        <v/>
      </c>
      <c r="N102" s="267"/>
      <c r="O102" s="147">
        <f t="shared" si="83"/>
        <v/>
      </c>
      <c r="P102" s="268">
        <f>IF(AY102=1,"XT"&amp;COUNTIFS($A$3:A102,A102,$AY$3:AY102,1),"")</f>
        <v/>
      </c>
      <c r="Q102" s="152">
        <f>IF(R102="","",IFERROR(SUBSTITUTE(Разбивка_по_щитам!P102,CHAR(10)," "),""))</f>
        <v/>
      </c>
      <c r="R102" s="153">
        <f>IF(OR(Разбивка_по_щитам!H102="",Разбивка_по_щитам!H102=0),"",Разбивка_по_щитам!H102)</f>
        <v/>
      </c>
      <c r="S102" s="154">
        <f>IF(R102="","",IFERROR(Разбивка_по_щитам!J102&amp;"",""))</f>
        <v/>
      </c>
      <c r="T102" s="155">
        <f>IF(R102="","",IFERROR(--Разбивка_по_щитам!L102,""))</f>
        <v/>
      </c>
      <c r="U102" s="155">
        <f>IF(R102="","",IFERROR(--Разбивка_по_щитам!K102,""))</f>
        <v/>
      </c>
      <c r="V102" s="138">
        <f>IF(R102="","",IFERROR(IF(Разбивка_по_щитам!M102=0,"",Разбивка_по_щитам!M102),""))</f>
        <v/>
      </c>
      <c r="W102" s="156">
        <f t="shared" si="47"/>
        <v/>
      </c>
      <c r="X102" s="157">
        <f t="shared" si="48"/>
        <v/>
      </c>
      <c r="Y102" s="266"/>
      <c r="Z102" s="158">
        <f t="shared" si="49"/>
        <v/>
      </c>
      <c r="AA102" s="160">
        <f t="shared" si="50"/>
        <v/>
      </c>
      <c r="AB102" s="160">
        <f>IF(R102="","",IFERROR(LOOKUP(INDEX(Справочная!$I$4:$I$19,MATCH(VLOOKUP(R102,Исходные_данные,22,FALSE),Справочная!$J$4:$J$19,0)+1),{6,10,16,20,25,32,40,50,63,80,100,125}),""))</f>
        <v/>
      </c>
      <c r="AC102" s="160">
        <f t="shared" si="51"/>
        <v/>
      </c>
      <c r="AD102" s="161">
        <f t="shared" si="52"/>
        <v/>
      </c>
      <c r="AE102" s="161">
        <f>IF(AND(R102="",G102=""),"",_xlfn.TEXTJOIN("; ",TRUE,IF(AND(R102&lt;&gt;"",V102=""),"нет фазы",""),IF(AND(R102&lt;&gt;"",N(T102)=0),"нет мощности",""),IF(AND(P102&lt;&gt;"",COUNTIFS($A$3:$A$1000,A102,$P$3:$P$1000,P102)&gt;1),"дубль клеммы "&amp;P102,""),IF(AND(W102&lt;&gt;"",W102&lt;&gt;"ok"),W102,""),IF(X102&lt;&gt;"",X102,""),IF(AND(ISNUMBER(SEARCH("(5х",Q102)),N(AK102)=1),"5 жил на 1 фазе",""),IF(AND(AL102="R",E102&lt;&gt;"",N(AS102)=0),"розетка без 30 мА",""),IF(IFERROR(_xlfn.NUMBERVALUE(MID(Q102,FIND("-",Q102,FIND("L=",Q102))+1,FIND("%",Q102)-FIND("-",Q102,FIND("L=",Q102))-1),","),0)&gt;4,"потери &gt; 4 %","")))</f>
      </c>
      <c r="AF102" s="129">
        <f>IF(E102&lt;&gt;"",COUNTIFS($A$3:A102,A102,$E$3:E102,"?*"),IF(OR(A102&lt;&gt;A101,Y102="вручную"),"",AF101))</f>
      </c>
      <c r="AG102" s="129">
        <f t="shared" si="53"/>
      </c>
      <c r="AH102" s="129">
        <f t="shared" si="54"/>
        <v/>
      </c>
      <c r="AI102" s="129">
        <f t="shared" si="55"/>
        <v/>
      </c>
      <c r="AJ102" s="129">
        <f t="shared" si="56"/>
        <v/>
      </c>
      <c r="AK102" s="129">
        <f t="shared" si="57"/>
        <v/>
      </c>
      <c r="AL102" s="129">
        <f t="shared" si="58"/>
        <v/>
      </c>
      <c r="AM102" s="129">
        <f t="shared" si="59"/>
      </c>
      <c r="AN102" s="129">
        <f t="shared" si="60"/>
      </c>
      <c r="AO102" s="129">
        <f t="shared" si="61"/>
        <v/>
      </c>
      <c r="AP102" s="129">
        <f t="shared" si="62"/>
        <v/>
      </c>
      <c r="AQ102" s="129">
        <f t="shared" si="63"/>
        <v/>
      </c>
      <c r="AR102" s="129">
        <f t="shared" si="64"/>
        <v/>
      </c>
      <c r="AS102" s="129">
        <f t="shared" si="65"/>
        <v/>
      </c>
      <c r="AT102" s="129">
        <f t="shared" si="66"/>
        <v/>
      </c>
      <c r="AU102" s="129">
        <f t="shared" si="67"/>
        <v/>
      </c>
      <c r="AV102" s="129">
        <f t="shared" si="68"/>
        <v/>
      </c>
      <c r="AW102" s="129">
        <f>IF(AV102="","",AV102&amp;"."&amp;COUNTIFS($A$3:A102,A102,$AV$3:AV102,AV102))</f>
        <v/>
      </c>
      <c r="AX102" s="129">
        <f t="shared" si="69"/>
        <v/>
      </c>
      <c r="AY102" s="129">
        <f>IF(N102="б/к",0,IF(OR(ISNUMBER(SEARCH("L=",Разбивка_по_щитам!P102)),N102="+",N102="="),1,0))</f>
      </c>
      <c r="AZ102" s="129">
        <f t="shared" si="70"/>
      </c>
      <c r="BA102" s="129">
        <f t="shared" si="71"/>
      </c>
      <c r="BB102" s="129">
        <f t="shared" si="72"/>
      </c>
      <c r="BD102" s="129">
        <f t="shared" si="73"/>
      </c>
      <c r="BE102" s="129">
        <f t="shared" si="74"/>
      </c>
      <c r="BF102" s="129">
        <f t="shared" si="75"/>
      </c>
      <c r="BG102" s="129">
        <f t="shared" si="76"/>
        <v/>
      </c>
      <c r="BH102" s="129">
        <f t="shared" si="77"/>
        <v/>
      </c>
      <c r="BI102" s="129">
        <f t="shared" si="78"/>
        <v/>
      </c>
      <c r="BJ102" s="129">
        <f t="shared" si="79"/>
        <v/>
      </c>
      <c r="BK102" s="129">
        <f>IF(R102="","",IF(OR(BY102="",BY102=0),"BOX",IFERROR(IF(VLOOKUP(BY102,УГО_блоки,3,FALSE)&amp;""&lt;&gt;"",VLOOKUP(BY102,УГО_блоки,3,FALSE),VLOOKUP(BY102,УГО_блоки,2,FALSE)),BY102)))</f>
      </c>
      <c r="BL102" s="129">
        <f t="shared" si="81"/>
      </c>
      <c r="BM102" s="129">
        <f>IF(H102="","",IF(COUNTIF($H$3:H102,H102)=1,MAX($BM$2:BM101)+1,""))</f>
      </c>
      <c r="BN102" s="129">
        <f>IF(I102="","",IF(COUNTIF($I$3:I102,I102)+COUNTIF($J$2:J101,I102)+COUNTIF($K$2:K101,I102)=1,MAX($BN$2:BP101)+1,""))</f>
      </c>
      <c r="BO102" s="129">
        <f>IF(J102="","",IF(COUNTIF($I$3:I102,J102)+COUNTIF($J$3:J102,J102)+COUNTIF($K$2:K101,J102)=1,MAX($BN$2:BP101,BN102)+1,""))</f>
      </c>
      <c r="BP102" s="129">
        <f>IF(K102="","",IF(COUNTIF($I$3:I102,K102)+COUNTIF($J$3:J102,K102)+COUNTIF($K$3:K102,K102)=1,MAX($BN$2:BP101,BN102,BO102)+1,""))</f>
      </c>
      <c r="BQ102" s="129">
        <f>IF(AY102=1,IFERROR(MID(Q102,FIND(" (",Q102)+2,FIND(")",Q102,FIND(" (",Q102))-FIND(" (",Q102)-2),"?"),"")</f>
      </c>
      <c r="BR102" s="129">
        <f>IF(BQ102="","",IF(COUNTIF($BQ$3:BQ102,BQ102)=1,MAX($BR$2:BR101)+1,""))</f>
      </c>
      <c r="BS102" s="129">
        <f>IF(AW102="","",COUNTIF($AW$3:AW102,"?*"))</f>
      </c>
      <c r="BT102" s="129">
        <f>IF(OR(AW102="",AI102=""),"",IF(COUNTIFS($AW$3:AW102,"?*",$AI$3:AI102,AI102)=1,MAX($BT$2:BT101)+1,""))</f>
      </c>
      <c r="BU102" s="129">
        <f>IF(AE102="",0,IF(OR(ISNUMBER(SEARCH("дубль",AE102)),ISNUMBER(SEARCH("ПЕРЕГРУЗ",AE102)),ISNUMBER(SEARCH("ЗАЩИЩ",AE102)),ISNUMBER(SEARCH("КАНАЛ",AE102)),ISNUMBER(SEARCH("без 30",AE102))),2,1))</f>
      </c>
      <c r="BV102" s="129">
        <f>IF(R102="","",COUNTIF($R$3:R102,"?*"))</f>
      </c>
      <c r="BW102" s="129">
        <f>IF(AY102&lt;&gt;1,0,IF(MAX(IFERROR(--VLOOKUP(R102,УГО_спр,5,FALSE),0),IFERROR(--VLOOKUP(AL102,УГО_спр,5,FALSE),0),IFERROR(--VLOOKUP(LEFT(AL102,2),УГО_спр,5,FALSE),0))&gt;0,MAX(IFERROR(--VLOOKUP(R102,УГО_спр,5,FALSE),0),IFERROR(--VLOOKUP(AL102,УГО_спр,5,FALSE),0),IFERROR(--VLOOKUP(LEFT(AL102,2),УГО_спр,5,FALSE),0)),IF(IFERROR(--LEFT(SUBSTITUTE(BQ102,"x","х"),FIND("х",SUBSTITUTE(BQ102,"x","х"))-1),3)&gt;3,Каталог!$S$9,1)))</f>
      </c>
      <c r="BX102" s="129">
        <f>IF(AY102&lt;&gt;1,0,MAX(0,IFERROR(--LEFT(SUBSTITUTE(BQ102,"x","х"),FIND("х",SUBSTITUTE(BQ102,"x","х"))-1),3)-3*BW102))</f>
      </c>
      <c r="BY102" s="129">
        <f>IF(R102="","",IFERROR(VLOOKUP(R102,УГО_спр,2,FALSE),IFERROR(VLOOKUP(AL102,УГО_спр,2,FALSE),IFERROR(VLOOKUP(LEFT(AL102,2),УГО_спр,2,FALSE),""))))</f>
      </c>
    </row>
    <row r="103" spans="1:64" x14ac:dyDescent="0.3">
      <c r="A103" s="135">
        <f>IF(Разбивка_по_щитам!F103=0,"",Разбивка_по_щитам!F103)</f>
      </c>
      <c r="B103" s="138">
        <f>IF(A103="","",Разбивка_по_щитам!C103)</f>
      </c>
      <c r="C103" s="138">
        <f t="shared" si="44"/>
      </c>
      <c r="D103" s="266"/>
      <c r="E103" s="266"/>
      <c r="F103" s="267"/>
      <c r="G103" s="145">
        <f t="shared" si="45"/>
        <v/>
      </c>
      <c r="H103" s="145">
        <f t="shared" si="46"/>
        <v/>
      </c>
      <c r="I103" s="266"/>
      <c r="J103" s="267"/>
      <c r="K103" s="267"/>
      <c r="L103" s="266"/>
      <c r="M103" s="147">
        <f t="shared" si="82"/>
        <v/>
      </c>
      <c r="N103" s="267"/>
      <c r="O103" s="147">
        <f t="shared" si="83"/>
        <v/>
      </c>
      <c r="P103" s="268">
        <f>IF(AY103=1,"XT"&amp;COUNTIFS($A$3:A103,A103,$AY$3:AY103,1),"")</f>
        <v/>
      </c>
      <c r="Q103" s="152">
        <f>IF(R103="","",IFERROR(SUBSTITUTE(Разбивка_по_щитам!P103,CHAR(10)," "),""))</f>
        <v/>
      </c>
      <c r="R103" s="153">
        <f>IF(OR(Разбивка_по_щитам!H103="",Разбивка_по_щитам!H103=0),"",Разбивка_по_щитам!H103)</f>
        <v/>
      </c>
      <c r="S103" s="154">
        <f>IF(R103="","",IFERROR(Разбивка_по_щитам!J103&amp;"",""))</f>
        <v/>
      </c>
      <c r="T103" s="155">
        <f>IF(R103="","",IFERROR(--Разбивка_по_щитам!L103,""))</f>
        <v/>
      </c>
      <c r="U103" s="155">
        <f>IF(R103="","",IFERROR(--Разбивка_по_щитам!K103,""))</f>
        <v/>
      </c>
      <c r="V103" s="138">
        <f>IF(R103="","",IFERROR(IF(Разбивка_по_щитам!M103=0,"",Разбивка_по_щитам!M103),""))</f>
        <v/>
      </c>
      <c r="W103" s="156">
        <f t="shared" si="47"/>
        <v/>
      </c>
      <c r="X103" s="157">
        <f t="shared" si="48"/>
        <v/>
      </c>
      <c r="Y103" s="266"/>
      <c r="Z103" s="158">
        <f t="shared" si="49"/>
        <v/>
      </c>
      <c r="AA103" s="160">
        <f t="shared" si="50"/>
        <v/>
      </c>
      <c r="AB103" s="160">
        <f>IF(R103="","",IFERROR(LOOKUP(INDEX(Справочная!$I$4:$I$19,MATCH(VLOOKUP(R103,Исходные_данные,22,FALSE),Справочная!$J$4:$J$19,0)+1),{6,10,16,20,25,32,40,50,63,80,100,125}),""))</f>
        <v/>
      </c>
      <c r="AC103" s="160">
        <f t="shared" si="51"/>
        <v/>
      </c>
      <c r="AD103" s="161">
        <f t="shared" si="52"/>
        <v/>
      </c>
      <c r="AE103" s="161">
        <f>IF(AND(R103="",G103=""),"",_xlfn.TEXTJOIN("; ",TRUE,IF(AND(R103&lt;&gt;"",V103=""),"нет фазы",""),IF(AND(R103&lt;&gt;"",N(T103)=0),"нет мощности",""),IF(AND(P103&lt;&gt;"",COUNTIFS($A$3:$A$1000,A103,$P$3:$P$1000,P103)&gt;1),"дубль клеммы "&amp;P103,""),IF(AND(W103&lt;&gt;"",W103&lt;&gt;"ok"),W103,""),IF(X103&lt;&gt;"",X103,""),IF(AND(ISNUMBER(SEARCH("(5х",Q103)),N(AK103)=1),"5 жил на 1 фазе",""),IF(AND(AL103="R",E103&lt;&gt;"",N(AS103)=0),"розетка без 30 мА",""),IF(IFERROR(_xlfn.NUMBERVALUE(MID(Q103,FIND("-",Q103,FIND("L=",Q103))+1,FIND("%",Q103)-FIND("-",Q103,FIND("L=",Q103))-1),","),0)&gt;4,"потери &gt; 4 %","")))</f>
      </c>
      <c r="AF103" s="129">
        <f>IF(E103&lt;&gt;"",COUNTIFS($A$3:A103,A103,$E$3:E103,"?*"),IF(OR(A103&lt;&gt;A102,Y103="вручную"),"",AF102))</f>
      </c>
      <c r="AG103" s="129">
        <f t="shared" si="53"/>
      </c>
      <c r="AH103" s="129">
        <f t="shared" si="54"/>
        <v/>
      </c>
      <c r="AI103" s="129">
        <f t="shared" si="55"/>
        <v/>
      </c>
      <c r="AJ103" s="129">
        <f t="shared" si="56"/>
        <v/>
      </c>
      <c r="AK103" s="129">
        <f t="shared" si="57"/>
        <v/>
      </c>
      <c r="AL103" s="129">
        <f t="shared" si="58"/>
        <v/>
      </c>
      <c r="AM103" s="129">
        <f t="shared" si="59"/>
      </c>
      <c r="AN103" s="129">
        <f t="shared" si="60"/>
      </c>
      <c r="AO103" s="129">
        <f t="shared" si="61"/>
        <v/>
      </c>
      <c r="AP103" s="129">
        <f t="shared" si="62"/>
        <v/>
      </c>
      <c r="AQ103" s="129">
        <f t="shared" si="63"/>
        <v/>
      </c>
      <c r="AR103" s="129">
        <f t="shared" si="64"/>
        <v/>
      </c>
      <c r="AS103" s="129">
        <f t="shared" si="65"/>
        <v/>
      </c>
      <c r="AT103" s="129">
        <f t="shared" si="66"/>
        <v/>
      </c>
      <c r="AU103" s="129">
        <f t="shared" si="67"/>
        <v/>
      </c>
      <c r="AV103" s="129">
        <f t="shared" si="68"/>
        <v/>
      </c>
      <c r="AW103" s="129">
        <f>IF(AV103="","",AV103&amp;"."&amp;COUNTIFS($A$3:A103,A103,$AV$3:AV103,AV103))</f>
        <v/>
      </c>
      <c r="AX103" s="129">
        <f t="shared" si="69"/>
        <v/>
      </c>
      <c r="AY103" s="129">
        <f>IF(N103="б/к",0,IF(OR(ISNUMBER(SEARCH("L=",Разбивка_по_щитам!P103)),N103="+",N103="="),1,0))</f>
      </c>
      <c r="AZ103" s="129">
        <f t="shared" si="70"/>
      </c>
      <c r="BA103" s="129">
        <f t="shared" si="71"/>
      </c>
      <c r="BB103" s="129">
        <f t="shared" si="72"/>
      </c>
      <c r="BD103" s="129">
        <f t="shared" si="73"/>
      </c>
      <c r="BE103" s="129">
        <f t="shared" si="74"/>
      </c>
      <c r="BF103" s="129">
        <f t="shared" si="75"/>
      </c>
      <c r="BG103" s="129">
        <f t="shared" si="76"/>
        <v/>
      </c>
      <c r="BH103" s="129">
        <f t="shared" si="77"/>
        <v/>
      </c>
      <c r="BI103" s="129">
        <f t="shared" si="78"/>
        <v/>
      </c>
      <c r="BJ103" s="129">
        <f t="shared" si="79"/>
        <v/>
      </c>
      <c r="BK103" s="129">
        <f>IF(R103="","",IF(OR(BY103="",BY103=0),"BOX",IFERROR(IF(VLOOKUP(BY103,УГО_блоки,3,FALSE)&amp;""&lt;&gt;"",VLOOKUP(BY103,УГО_блоки,3,FALSE),VLOOKUP(BY103,УГО_блоки,2,FALSE)),BY103)))</f>
      </c>
      <c r="BL103" s="129">
        <f t="shared" si="81"/>
      </c>
      <c r="BM103" s="129">
        <f>IF(H103="","",IF(COUNTIF($H$3:H103,H103)=1,MAX($BM$2:BM102)+1,""))</f>
      </c>
      <c r="BN103" s="129">
        <f>IF(I103="","",IF(COUNTIF($I$3:I103,I103)+COUNTIF($J$2:J102,I103)+COUNTIF($K$2:K102,I103)=1,MAX($BN$2:BP102)+1,""))</f>
      </c>
      <c r="BO103" s="129">
        <f>IF(J103="","",IF(COUNTIF($I$3:I103,J103)+COUNTIF($J$3:J103,J103)+COUNTIF($K$2:K102,J103)=1,MAX($BN$2:BP102,BN103)+1,""))</f>
      </c>
      <c r="BP103" s="129">
        <f>IF(K103="","",IF(COUNTIF($I$3:I103,K103)+COUNTIF($J$3:J103,K103)+COUNTIF($K$3:K103,K103)=1,MAX($BN$2:BP102,BN103,BO103)+1,""))</f>
      </c>
      <c r="BQ103" s="129">
        <f>IF(AY103=1,IFERROR(MID(Q103,FIND(" (",Q103)+2,FIND(")",Q103,FIND(" (",Q103))-FIND(" (",Q103)-2),"?"),"")</f>
      </c>
      <c r="BR103" s="129">
        <f>IF(BQ103="","",IF(COUNTIF($BQ$3:BQ103,BQ103)=1,MAX($BR$2:BR102)+1,""))</f>
      </c>
      <c r="BS103" s="129">
        <f>IF(AW103="","",COUNTIF($AW$3:AW103,"?*"))</f>
      </c>
      <c r="BT103" s="129">
        <f>IF(OR(AW103="",AI103=""),"",IF(COUNTIFS($AW$3:AW103,"?*",$AI$3:AI103,AI103)=1,MAX($BT$2:BT102)+1,""))</f>
      </c>
      <c r="BU103" s="129">
        <f>IF(AE103="",0,IF(OR(ISNUMBER(SEARCH("дубль",AE103)),ISNUMBER(SEARCH("ПЕРЕГРУЗ",AE103)),ISNUMBER(SEARCH("ЗАЩИЩ",AE103)),ISNUMBER(SEARCH("КАНАЛ",AE103)),ISNUMBER(SEARCH("без 30",AE103))),2,1))</f>
      </c>
      <c r="BV103" s="129">
        <f>IF(R103="","",COUNTIF($R$3:R103,"?*"))</f>
      </c>
      <c r="BW103" s="129">
        <f>IF(AY103&lt;&gt;1,0,IF(MAX(IFERROR(--VLOOKUP(R103,УГО_спр,5,FALSE),0),IFERROR(--VLOOKUP(AL103,УГО_спр,5,FALSE),0),IFERROR(--VLOOKUP(LEFT(AL103,2),УГО_спр,5,FALSE),0))&gt;0,MAX(IFERROR(--VLOOKUP(R103,УГО_спр,5,FALSE),0),IFERROR(--VLOOKUP(AL103,УГО_спр,5,FALSE),0),IFERROR(--VLOOKUP(LEFT(AL103,2),УГО_спр,5,FALSE),0)),IF(IFERROR(--LEFT(SUBSTITUTE(BQ103,"x","х"),FIND("х",SUBSTITUTE(BQ103,"x","х"))-1),3)&gt;3,Каталог!$S$9,1)))</f>
      </c>
      <c r="BX103" s="129">
        <f>IF(AY103&lt;&gt;1,0,MAX(0,IFERROR(--LEFT(SUBSTITUTE(BQ103,"x","х"),FIND("х",SUBSTITUTE(BQ103,"x","х"))-1),3)-3*BW103))</f>
      </c>
      <c r="BY103" s="129">
        <f>IF(R103="","",IFERROR(VLOOKUP(R103,УГО_спр,2,FALSE),IFERROR(VLOOKUP(AL103,УГО_спр,2,FALSE),IFERROR(VLOOKUP(LEFT(AL103,2),УГО_спр,2,FALSE),""))))</f>
      </c>
    </row>
    <row r="104" spans="1:64" x14ac:dyDescent="0.3">
      <c r="A104" s="135">
        <f>IF(Разбивка_по_щитам!F104=0,"",Разбивка_по_щитам!F104)</f>
      </c>
      <c r="B104" s="138">
        <f>IF(A104="","",Разбивка_по_щитам!C104)</f>
      </c>
      <c r="C104" s="138">
        <f t="shared" si="44"/>
      </c>
      <c r="D104" s="266"/>
      <c r="E104" s="266"/>
      <c r="F104" s="267"/>
      <c r="G104" s="145">
        <f t="shared" si="45"/>
        <v/>
      </c>
      <c r="H104" s="145">
        <f t="shared" si="46"/>
        <v/>
      </c>
      <c r="I104" s="266"/>
      <c r="J104" s="267"/>
      <c r="K104" s="267"/>
      <c r="L104" s="266"/>
      <c r="M104" s="147">
        <f t="shared" si="82"/>
        <v/>
      </c>
      <c r="N104" s="267"/>
      <c r="O104" s="147">
        <f t="shared" si="83"/>
        <v/>
      </c>
      <c r="P104" s="268">
        <f>IF(AY104=1,"XT"&amp;COUNTIFS($A$3:A104,A104,$AY$3:AY104,1),"")</f>
        <v/>
      </c>
      <c r="Q104" s="152">
        <f>IF(R104="","",IFERROR(SUBSTITUTE(Разбивка_по_щитам!P104,CHAR(10)," "),""))</f>
        <v/>
      </c>
      <c r="R104" s="153">
        <f>IF(OR(Разбивка_по_щитам!H104="",Разбивка_по_щитам!H104=0),"",Разбивка_по_щитам!H104)</f>
        <v/>
      </c>
      <c r="S104" s="154">
        <f>IF(R104="","",IFERROR(Разбивка_по_щитам!J104&amp;"",""))</f>
        <v/>
      </c>
      <c r="T104" s="155">
        <f>IF(R104="","",IFERROR(--Разбивка_по_щитам!L104,""))</f>
        <v/>
      </c>
      <c r="U104" s="155">
        <f>IF(R104="","",IFERROR(--Разбивка_по_щитам!K104,""))</f>
        <v/>
      </c>
      <c r="V104" s="138">
        <f>IF(R104="","",IFERROR(IF(Разбивка_по_щитам!M104=0,"",Разбивка_по_щитам!M104),""))</f>
        <v/>
      </c>
      <c r="W104" s="156">
        <f t="shared" si="47"/>
        <v/>
      </c>
      <c r="X104" s="157">
        <f t="shared" si="48"/>
        <v/>
      </c>
      <c r="Y104" s="266"/>
      <c r="Z104" s="158">
        <f t="shared" si="49"/>
        <v/>
      </c>
      <c r="AA104" s="160">
        <f t="shared" si="50"/>
        <v/>
      </c>
      <c r="AB104" s="160">
        <f>IF(R104="","",IFERROR(LOOKUP(INDEX(Справочная!$I$4:$I$19,MATCH(VLOOKUP(R104,Исходные_данные,22,FALSE),Справочная!$J$4:$J$19,0)+1),{6,10,16,20,25,32,40,50,63,80,100,125}),""))</f>
        <v/>
      </c>
      <c r="AC104" s="160">
        <f t="shared" si="51"/>
        <v/>
      </c>
      <c r="AD104" s="161">
        <f t="shared" si="52"/>
        <v/>
      </c>
      <c r="AE104" s="161">
        <f>IF(AND(R104="",G104=""),"",_xlfn.TEXTJOIN("; ",TRUE,IF(AND(R104&lt;&gt;"",V104=""),"нет фазы",""),IF(AND(R104&lt;&gt;"",N(T104)=0),"нет мощности",""),IF(AND(P104&lt;&gt;"",COUNTIFS($A$3:$A$1000,A104,$P$3:$P$1000,P104)&gt;1),"дубль клеммы "&amp;P104,""),IF(AND(W104&lt;&gt;"",W104&lt;&gt;"ok"),W104,""),IF(X104&lt;&gt;"",X104,""),IF(AND(ISNUMBER(SEARCH("(5х",Q104)),N(AK104)=1),"5 жил на 1 фазе",""),IF(AND(AL104="R",E104&lt;&gt;"",N(AS104)=0),"розетка без 30 мА",""),IF(IFERROR(_xlfn.NUMBERVALUE(MID(Q104,FIND("-",Q104,FIND("L=",Q104))+1,FIND("%",Q104)-FIND("-",Q104,FIND("L=",Q104))-1),","),0)&gt;4,"потери &gt; 4 %","")))</f>
      </c>
      <c r="AF104" s="129">
        <f>IF(E104&lt;&gt;"",COUNTIFS($A$3:A104,A104,$E$3:E104,"?*"),IF(OR(A104&lt;&gt;A103,Y104="вручную"),"",AF103))</f>
      </c>
      <c r="AG104" s="129">
        <f t="shared" si="53"/>
      </c>
      <c r="AH104" s="129">
        <f t="shared" si="54"/>
        <v/>
      </c>
      <c r="AI104" s="129">
        <f t="shared" si="55"/>
        <v/>
      </c>
      <c r="AJ104" s="129">
        <f t="shared" si="56"/>
        <v/>
      </c>
      <c r="AK104" s="129">
        <f t="shared" si="57"/>
        <v/>
      </c>
      <c r="AL104" s="129">
        <f t="shared" si="58"/>
        <v/>
      </c>
      <c r="AM104" s="129">
        <f t="shared" si="59"/>
      </c>
      <c r="AN104" s="129">
        <f t="shared" si="60"/>
      </c>
      <c r="AO104" s="129">
        <f t="shared" si="61"/>
        <v/>
      </c>
      <c r="AP104" s="129">
        <f t="shared" si="62"/>
        <v/>
      </c>
      <c r="AQ104" s="129">
        <f t="shared" si="63"/>
        <v/>
      </c>
      <c r="AR104" s="129">
        <f t="shared" si="64"/>
        <v/>
      </c>
      <c r="AS104" s="129">
        <f t="shared" si="65"/>
        <v/>
      </c>
      <c r="AT104" s="129">
        <f t="shared" si="66"/>
        <v/>
      </c>
      <c r="AU104" s="129">
        <f t="shared" si="67"/>
        <v/>
      </c>
      <c r="AV104" s="129">
        <f t="shared" si="68"/>
        <v/>
      </c>
      <c r="AW104" s="129">
        <f>IF(AV104="","",AV104&amp;"."&amp;COUNTIFS($A$3:A104,A104,$AV$3:AV104,AV104))</f>
        <v/>
      </c>
      <c r="AX104" s="129">
        <f t="shared" si="69"/>
        <v/>
      </c>
      <c r="AY104" s="129">
        <f>IF(N104="б/к",0,IF(OR(ISNUMBER(SEARCH("L=",Разбивка_по_щитам!P104)),N104="+",N104="="),1,0))</f>
      </c>
      <c r="AZ104" s="129">
        <f t="shared" si="70"/>
      </c>
      <c r="BA104" s="129">
        <f t="shared" si="71"/>
      </c>
      <c r="BB104" s="129">
        <f t="shared" si="72"/>
      </c>
      <c r="BD104" s="129">
        <f t="shared" si="73"/>
      </c>
      <c r="BE104" s="129">
        <f t="shared" si="74"/>
      </c>
      <c r="BF104" s="129">
        <f t="shared" si="75"/>
      </c>
      <c r="BG104" s="129">
        <f t="shared" si="76"/>
        <v/>
      </c>
      <c r="BH104" s="129">
        <f t="shared" si="77"/>
        <v/>
      </c>
      <c r="BI104" s="129">
        <f t="shared" si="78"/>
        <v/>
      </c>
      <c r="BJ104" s="129">
        <f t="shared" si="79"/>
        <v/>
      </c>
      <c r="BK104" s="129">
        <f>IF(R104="","",IF(OR(BY104="",BY104=0),"BOX",IFERROR(IF(VLOOKUP(BY104,УГО_блоки,3,FALSE)&amp;""&lt;&gt;"",VLOOKUP(BY104,УГО_блоки,3,FALSE),VLOOKUP(BY104,УГО_блоки,2,FALSE)),BY104)))</f>
      </c>
      <c r="BL104" s="129">
        <f t="shared" si="81"/>
      </c>
      <c r="BM104" s="129">
        <f>IF(H104="","",IF(COUNTIF($H$3:H104,H104)=1,MAX($BM$2:BM103)+1,""))</f>
      </c>
      <c r="BN104" s="129">
        <f>IF(I104="","",IF(COUNTIF($I$3:I104,I104)+COUNTIF($J$2:J103,I104)+COUNTIF($K$2:K103,I104)=1,MAX($BN$2:BP103)+1,""))</f>
      </c>
      <c r="BO104" s="129">
        <f>IF(J104="","",IF(COUNTIF($I$3:I104,J104)+COUNTIF($J$3:J104,J104)+COUNTIF($K$2:K103,J104)=1,MAX($BN$2:BP103,BN104)+1,""))</f>
      </c>
      <c r="BP104" s="129">
        <f>IF(K104="","",IF(COUNTIF($I$3:I104,K104)+COUNTIF($J$3:J104,K104)+COUNTIF($K$3:K104,K104)=1,MAX($BN$2:BP103,BN104,BO104)+1,""))</f>
      </c>
      <c r="BQ104" s="129">
        <f>IF(AY104=1,IFERROR(MID(Q104,FIND(" (",Q104)+2,FIND(")",Q104,FIND(" (",Q104))-FIND(" (",Q104)-2),"?"),"")</f>
      </c>
      <c r="BR104" s="129">
        <f>IF(BQ104="","",IF(COUNTIF($BQ$3:BQ104,BQ104)=1,MAX($BR$2:BR103)+1,""))</f>
      </c>
      <c r="BS104" s="129">
        <f>IF(AW104="","",COUNTIF($AW$3:AW104,"?*"))</f>
      </c>
      <c r="BT104" s="129">
        <f>IF(OR(AW104="",AI104=""),"",IF(COUNTIFS($AW$3:AW104,"?*",$AI$3:AI104,AI104)=1,MAX($BT$2:BT103)+1,""))</f>
      </c>
      <c r="BU104" s="129">
        <f>IF(AE104="",0,IF(OR(ISNUMBER(SEARCH("дубль",AE104)),ISNUMBER(SEARCH("ПЕРЕГРУЗ",AE104)),ISNUMBER(SEARCH("ЗАЩИЩ",AE104)),ISNUMBER(SEARCH("КАНАЛ",AE104)),ISNUMBER(SEARCH("без 30",AE104))),2,1))</f>
      </c>
      <c r="BV104" s="129">
        <f>IF(R104="","",COUNTIF($R$3:R104,"?*"))</f>
      </c>
      <c r="BW104" s="129">
        <f>IF(AY104&lt;&gt;1,0,IF(MAX(IFERROR(--VLOOKUP(R104,УГО_спр,5,FALSE),0),IFERROR(--VLOOKUP(AL104,УГО_спр,5,FALSE),0),IFERROR(--VLOOKUP(LEFT(AL104,2),УГО_спр,5,FALSE),0))&gt;0,MAX(IFERROR(--VLOOKUP(R104,УГО_спр,5,FALSE),0),IFERROR(--VLOOKUP(AL104,УГО_спр,5,FALSE),0),IFERROR(--VLOOKUP(LEFT(AL104,2),УГО_спр,5,FALSE),0)),IF(IFERROR(--LEFT(SUBSTITUTE(BQ104,"x","х"),FIND("х",SUBSTITUTE(BQ104,"x","х"))-1),3)&gt;3,Каталог!$S$9,1)))</f>
      </c>
      <c r="BX104" s="129">
        <f>IF(AY104&lt;&gt;1,0,MAX(0,IFERROR(--LEFT(SUBSTITUTE(BQ104,"x","х"),FIND("х",SUBSTITUTE(BQ104,"x","х"))-1),3)-3*BW104))</f>
      </c>
      <c r="BY104" s="129">
        <f>IF(R104="","",IFERROR(VLOOKUP(R104,УГО_спр,2,FALSE),IFERROR(VLOOKUP(AL104,УГО_спр,2,FALSE),IFERROR(VLOOKUP(LEFT(AL104,2),УГО_спр,2,FALSE),""))))</f>
      </c>
    </row>
    <row r="105" spans="1:64" x14ac:dyDescent="0.3">
      <c r="A105" s="135">
        <f>IF(Разбивка_по_щитам!F105=0,"",Разбивка_по_щитам!F105)</f>
      </c>
      <c r="B105" s="138">
        <f>IF(A105="","",Разбивка_по_щитам!C105)</f>
      </c>
      <c r="C105" s="138">
        <f t="shared" si="44"/>
      </c>
      <c r="D105" s="266"/>
      <c r="E105" s="266"/>
      <c r="F105" s="267"/>
      <c r="G105" s="145">
        <f t="shared" si="45"/>
        <v/>
      </c>
      <c r="H105" s="145">
        <f t="shared" si="46"/>
        <v/>
      </c>
      <c r="I105" s="266"/>
      <c r="J105" s="267"/>
      <c r="K105" s="267"/>
      <c r="L105" s="266"/>
      <c r="M105" s="147">
        <f t="shared" si="82"/>
        <v/>
      </c>
      <c r="N105" s="267"/>
      <c r="O105" s="147">
        <f t="shared" si="83"/>
        <v/>
      </c>
      <c r="P105" s="268">
        <f>IF(AY105=1,"XT"&amp;COUNTIFS($A$3:A105,A105,$AY$3:AY105,1),"")</f>
        <v/>
      </c>
      <c r="Q105" s="152">
        <f>IF(R105="","",IFERROR(SUBSTITUTE(Разбивка_по_щитам!P105,CHAR(10)," "),""))</f>
        <v/>
      </c>
      <c r="R105" s="153">
        <f>IF(OR(Разбивка_по_щитам!H105="",Разбивка_по_щитам!H105=0),"",Разбивка_по_щитам!H105)</f>
        <v/>
      </c>
      <c r="S105" s="154">
        <f>IF(R105="","",IFERROR(Разбивка_по_щитам!J105&amp;"",""))</f>
        <v/>
      </c>
      <c r="T105" s="155">
        <f>IF(R105="","",IFERROR(--Разбивка_по_щитам!L105,""))</f>
        <v/>
      </c>
      <c r="U105" s="155">
        <f>IF(R105="","",IFERROR(--Разбивка_по_щитам!K105,""))</f>
        <v/>
      </c>
      <c r="V105" s="138">
        <f>IF(R105="","",IFERROR(IF(Разбивка_по_щитам!M105=0,"",Разбивка_по_щитам!M105),""))</f>
        <v/>
      </c>
      <c r="W105" s="156">
        <f t="shared" si="47"/>
        <v/>
      </c>
      <c r="X105" s="157">
        <f t="shared" si="48"/>
        <v/>
      </c>
      <c r="Y105" s="266"/>
      <c r="Z105" s="158">
        <f t="shared" si="49"/>
        <v/>
      </c>
      <c r="AA105" s="160">
        <f t="shared" si="50"/>
        <v/>
      </c>
      <c r="AB105" s="160">
        <f>IF(R105="","",IFERROR(LOOKUP(INDEX(Справочная!$I$4:$I$19,MATCH(VLOOKUP(R105,Исходные_данные,22,FALSE),Справочная!$J$4:$J$19,0)+1),{6,10,16,20,25,32,40,50,63,80,100,125}),""))</f>
        <v/>
      </c>
      <c r="AC105" s="160">
        <f t="shared" si="51"/>
        <v/>
      </c>
      <c r="AD105" s="161">
        <f t="shared" si="52"/>
        <v/>
      </c>
      <c r="AE105" s="161">
        <f>IF(AND(R105="",G105=""),"",_xlfn.TEXTJOIN("; ",TRUE,IF(AND(R105&lt;&gt;"",V105=""),"нет фазы",""),IF(AND(R105&lt;&gt;"",N(T105)=0),"нет мощности",""),IF(AND(P105&lt;&gt;"",COUNTIFS($A$3:$A$1000,A105,$P$3:$P$1000,P105)&gt;1),"дубль клеммы "&amp;P105,""),IF(AND(W105&lt;&gt;"",W105&lt;&gt;"ok"),W105,""),IF(X105&lt;&gt;"",X105,""),IF(AND(ISNUMBER(SEARCH("(5х",Q105)),N(AK105)=1),"5 жил на 1 фазе",""),IF(AND(AL105="R",E105&lt;&gt;"",N(AS105)=0),"розетка без 30 мА",""),IF(IFERROR(_xlfn.NUMBERVALUE(MID(Q105,FIND("-",Q105,FIND("L=",Q105))+1,FIND("%",Q105)-FIND("-",Q105,FIND("L=",Q105))-1),","),0)&gt;4,"потери &gt; 4 %","")))</f>
      </c>
      <c r="AF105" s="129">
        <f>IF(E105&lt;&gt;"",COUNTIFS($A$3:A105,A105,$E$3:E105,"?*"),IF(OR(A105&lt;&gt;A104,Y105="вручную"),"",AF104))</f>
      </c>
      <c r="AG105" s="129">
        <f t="shared" si="53"/>
      </c>
      <c r="AH105" s="129">
        <f t="shared" si="54"/>
        <v/>
      </c>
      <c r="AI105" s="129">
        <f t="shared" si="55"/>
        <v/>
      </c>
      <c r="AJ105" s="129">
        <f t="shared" si="56"/>
        <v/>
      </c>
      <c r="AK105" s="129">
        <f t="shared" si="57"/>
        <v/>
      </c>
      <c r="AL105" s="129">
        <f t="shared" si="58"/>
        <v/>
      </c>
      <c r="AM105" s="129">
        <f t="shared" si="59"/>
      </c>
      <c r="AN105" s="129">
        <f t="shared" si="60"/>
      </c>
      <c r="AO105" s="129">
        <f t="shared" si="61"/>
        <v/>
      </c>
      <c r="AP105" s="129">
        <f t="shared" si="62"/>
        <v/>
      </c>
      <c r="AQ105" s="129">
        <f t="shared" si="63"/>
        <v/>
      </c>
      <c r="AR105" s="129">
        <f t="shared" si="64"/>
        <v/>
      </c>
      <c r="AS105" s="129">
        <f t="shared" si="65"/>
        <v/>
      </c>
      <c r="AT105" s="129">
        <f t="shared" si="66"/>
        <v/>
      </c>
      <c r="AU105" s="129">
        <f t="shared" si="67"/>
        <v/>
      </c>
      <c r="AV105" s="129">
        <f t="shared" si="68"/>
        <v/>
      </c>
      <c r="AW105" s="129">
        <f>IF(AV105="","",AV105&amp;"."&amp;COUNTIFS($A$3:A105,A105,$AV$3:AV105,AV105))</f>
        <v/>
      </c>
      <c r="AX105" s="129">
        <f t="shared" si="69"/>
        <v/>
      </c>
      <c r="AY105" s="129">
        <f>IF(N105="б/к",0,IF(OR(ISNUMBER(SEARCH("L=",Разбивка_по_щитам!P105)),N105="+",N105="="),1,0))</f>
      </c>
      <c r="AZ105" s="129">
        <f t="shared" si="70"/>
      </c>
      <c r="BA105" s="129">
        <f t="shared" si="71"/>
      </c>
      <c r="BB105" s="129">
        <f t="shared" si="72"/>
      </c>
      <c r="BD105" s="129">
        <f t="shared" si="73"/>
      </c>
      <c r="BE105" s="129">
        <f t="shared" si="74"/>
      </c>
      <c r="BF105" s="129">
        <f t="shared" si="75"/>
      </c>
      <c r="BG105" s="129">
        <f t="shared" si="76"/>
        <v/>
      </c>
      <c r="BH105" s="129">
        <f t="shared" si="77"/>
        <v/>
      </c>
      <c r="BI105" s="129">
        <f t="shared" si="78"/>
        <v/>
      </c>
      <c r="BJ105" s="129">
        <f t="shared" si="79"/>
        <v/>
      </c>
      <c r="BK105" s="129">
        <f>IF(R105="","",IF(OR(BY105="",BY105=0),"BOX",IFERROR(IF(VLOOKUP(BY105,УГО_блоки,3,FALSE)&amp;""&lt;&gt;"",VLOOKUP(BY105,УГО_блоки,3,FALSE),VLOOKUP(BY105,УГО_блоки,2,FALSE)),BY105)))</f>
      </c>
      <c r="BL105" s="129">
        <f t="shared" si="81"/>
      </c>
      <c r="BM105" s="129">
        <f>IF(H105="","",IF(COUNTIF($H$3:H105,H105)=1,MAX($BM$2:BM104)+1,""))</f>
      </c>
      <c r="BN105" s="129">
        <f>IF(I105="","",IF(COUNTIF($I$3:I105,I105)+COUNTIF($J$2:J104,I105)+COUNTIF($K$2:K104,I105)=1,MAX($BN$2:BP104)+1,""))</f>
      </c>
      <c r="BO105" s="129">
        <f>IF(J105="","",IF(COUNTIF($I$3:I105,J105)+COUNTIF($J$3:J105,J105)+COUNTIF($K$2:K104,J105)=1,MAX($BN$2:BP104,BN105)+1,""))</f>
      </c>
      <c r="BP105" s="129">
        <f>IF(K105="","",IF(COUNTIF($I$3:I105,K105)+COUNTIF($J$3:J105,K105)+COUNTIF($K$3:K105,K105)=1,MAX($BN$2:BP104,BN105,BO105)+1,""))</f>
      </c>
      <c r="BQ105" s="129">
        <f>IF(AY105=1,IFERROR(MID(Q105,FIND(" (",Q105)+2,FIND(")",Q105,FIND(" (",Q105))-FIND(" (",Q105)-2),"?"),"")</f>
      </c>
      <c r="BR105" s="129">
        <f>IF(BQ105="","",IF(COUNTIF($BQ$3:BQ105,BQ105)=1,MAX($BR$2:BR104)+1,""))</f>
      </c>
      <c r="BS105" s="129">
        <f>IF(AW105="","",COUNTIF($AW$3:AW105,"?*"))</f>
      </c>
      <c r="BT105" s="129">
        <f>IF(OR(AW105="",AI105=""),"",IF(COUNTIFS($AW$3:AW105,"?*",$AI$3:AI105,AI105)=1,MAX($BT$2:BT104)+1,""))</f>
      </c>
      <c r="BU105" s="129">
        <f>IF(AE105="",0,IF(OR(ISNUMBER(SEARCH("дубль",AE105)),ISNUMBER(SEARCH("ПЕРЕГРУЗ",AE105)),ISNUMBER(SEARCH("ЗАЩИЩ",AE105)),ISNUMBER(SEARCH("КАНАЛ",AE105)),ISNUMBER(SEARCH("без 30",AE105))),2,1))</f>
      </c>
      <c r="BV105" s="129">
        <f>IF(R105="","",COUNTIF($R$3:R105,"?*"))</f>
      </c>
      <c r="BW105" s="129">
        <f>IF(AY105&lt;&gt;1,0,IF(MAX(IFERROR(--VLOOKUP(R105,УГО_спр,5,FALSE),0),IFERROR(--VLOOKUP(AL105,УГО_спр,5,FALSE),0),IFERROR(--VLOOKUP(LEFT(AL105,2),УГО_спр,5,FALSE),0))&gt;0,MAX(IFERROR(--VLOOKUP(R105,УГО_спр,5,FALSE),0),IFERROR(--VLOOKUP(AL105,УГО_спр,5,FALSE),0),IFERROR(--VLOOKUP(LEFT(AL105,2),УГО_спр,5,FALSE),0)),IF(IFERROR(--LEFT(SUBSTITUTE(BQ105,"x","х"),FIND("х",SUBSTITUTE(BQ105,"x","х"))-1),3)&gt;3,Каталог!$S$9,1)))</f>
      </c>
      <c r="BX105" s="129">
        <f>IF(AY105&lt;&gt;1,0,MAX(0,IFERROR(--LEFT(SUBSTITUTE(BQ105,"x","х"),FIND("х",SUBSTITUTE(BQ105,"x","х"))-1),3)-3*BW105))</f>
      </c>
      <c r="BY105" s="129">
        <f>IF(R105="","",IFERROR(VLOOKUP(R105,УГО_спр,2,FALSE),IFERROR(VLOOKUP(AL105,УГО_спр,2,FALSE),IFERROR(VLOOKUP(LEFT(AL105,2),УГО_спр,2,FALSE),""))))</f>
      </c>
    </row>
    <row r="106" spans="1:64" x14ac:dyDescent="0.3">
      <c r="A106" s="135">
        <f>IF(Разбивка_по_щитам!F106=0,"",Разбивка_по_щитам!F106)</f>
      </c>
      <c r="B106" s="138">
        <f>IF(A106="","",Разбивка_по_щитам!C106)</f>
      </c>
      <c r="C106" s="138">
        <f t="shared" si="44"/>
      </c>
      <c r="D106" s="266"/>
      <c r="E106" s="266"/>
      <c r="F106" s="267"/>
      <c r="G106" s="145">
        <f t="shared" si="45"/>
        <v/>
      </c>
      <c r="H106" s="145">
        <f t="shared" si="46"/>
        <v/>
      </c>
      <c r="I106" s="266"/>
      <c r="J106" s="267"/>
      <c r="K106" s="267"/>
      <c r="L106" s="266"/>
      <c r="M106" s="147">
        <f t="shared" si="82"/>
        <v/>
      </c>
      <c r="N106" s="267"/>
      <c r="O106" s="147">
        <f t="shared" si="83"/>
        <v/>
      </c>
      <c r="P106" s="268">
        <f>IF(AY106=1,"XT"&amp;COUNTIFS($A$3:A106,A106,$AY$3:AY106,1),"")</f>
        <v/>
      </c>
      <c r="Q106" s="152">
        <f>IF(R106="","",IFERROR(SUBSTITUTE(Разбивка_по_щитам!P106,CHAR(10)," "),""))</f>
        <v/>
      </c>
      <c r="R106" s="153">
        <f>IF(OR(Разбивка_по_щитам!H106="",Разбивка_по_щитам!H106=0),"",Разбивка_по_щитам!H106)</f>
        <v/>
      </c>
      <c r="S106" s="154">
        <f>IF(R106="","",IFERROR(Разбивка_по_щитам!J106&amp;"",""))</f>
        <v/>
      </c>
      <c r="T106" s="155">
        <f>IF(R106="","",IFERROR(--Разбивка_по_щитам!L106,""))</f>
        <v/>
      </c>
      <c r="U106" s="155">
        <f>IF(R106="","",IFERROR(--Разбивка_по_щитам!K106,""))</f>
        <v/>
      </c>
      <c r="V106" s="138">
        <f>IF(R106="","",IFERROR(IF(Разбивка_по_щитам!M106=0,"",Разбивка_по_щитам!M106),""))</f>
        <v/>
      </c>
      <c r="W106" s="156">
        <f t="shared" si="47"/>
        <v/>
      </c>
      <c r="X106" s="157">
        <f t="shared" si="48"/>
        <v/>
      </c>
      <c r="Y106" s="266"/>
      <c r="Z106" s="158">
        <f t="shared" si="49"/>
        <v/>
      </c>
      <c r="AA106" s="160">
        <f t="shared" si="50"/>
        <v/>
      </c>
      <c r="AB106" s="160">
        <f>IF(R106="","",IFERROR(LOOKUP(INDEX(Справочная!$I$4:$I$19,MATCH(VLOOKUP(R106,Исходные_данные,22,FALSE),Справочная!$J$4:$J$19,0)+1),{6,10,16,20,25,32,40,50,63,80,100,125}),""))</f>
        <v/>
      </c>
      <c r="AC106" s="160">
        <f t="shared" si="51"/>
        <v/>
      </c>
      <c r="AD106" s="161">
        <f t="shared" si="52"/>
        <v/>
      </c>
      <c r="AE106" s="161">
        <f>IF(AND(R106="",G106=""),"",_xlfn.TEXTJOIN("; ",TRUE,IF(AND(R106&lt;&gt;"",V106=""),"нет фазы",""),IF(AND(R106&lt;&gt;"",N(T106)=0),"нет мощности",""),IF(AND(P106&lt;&gt;"",COUNTIFS($A$3:$A$1000,A106,$P$3:$P$1000,P106)&gt;1),"дубль клеммы "&amp;P106,""),IF(AND(W106&lt;&gt;"",W106&lt;&gt;"ok"),W106,""),IF(X106&lt;&gt;"",X106,""),IF(AND(ISNUMBER(SEARCH("(5х",Q106)),N(AK106)=1),"5 жил на 1 фазе",""),IF(AND(AL106="R",E106&lt;&gt;"",N(AS106)=0),"розетка без 30 мА",""),IF(IFERROR(_xlfn.NUMBERVALUE(MID(Q106,FIND("-",Q106,FIND("L=",Q106))+1,FIND("%",Q106)-FIND("-",Q106,FIND("L=",Q106))-1),","),0)&gt;4,"потери &gt; 4 %","")))</f>
      </c>
      <c r="AF106" s="129">
        <f>IF(E106&lt;&gt;"",COUNTIFS($A$3:A106,A106,$E$3:E106,"?*"),IF(OR(A106&lt;&gt;A105,Y106="вручную"),"",AF105))</f>
      </c>
      <c r="AG106" s="129">
        <f t="shared" si="53"/>
      </c>
      <c r="AH106" s="129">
        <f t="shared" si="54"/>
        <v/>
      </c>
      <c r="AI106" s="129">
        <f t="shared" si="55"/>
        <v/>
      </c>
      <c r="AJ106" s="129">
        <f t="shared" si="56"/>
        <v/>
      </c>
      <c r="AK106" s="129">
        <f t="shared" si="57"/>
        <v/>
      </c>
      <c r="AL106" s="129">
        <f t="shared" si="58"/>
        <v/>
      </c>
      <c r="AM106" s="129">
        <f t="shared" si="59"/>
      </c>
      <c r="AN106" s="129">
        <f t="shared" si="60"/>
      </c>
      <c r="AO106" s="129">
        <f t="shared" si="61"/>
        <v/>
      </c>
      <c r="AP106" s="129">
        <f t="shared" si="62"/>
        <v/>
      </c>
      <c r="AQ106" s="129">
        <f t="shared" si="63"/>
        <v/>
      </c>
      <c r="AR106" s="129">
        <f t="shared" si="64"/>
        <v/>
      </c>
      <c r="AS106" s="129">
        <f t="shared" si="65"/>
        <v/>
      </c>
      <c r="AT106" s="129">
        <f t="shared" si="66"/>
        <v/>
      </c>
      <c r="AU106" s="129">
        <f t="shared" si="67"/>
        <v/>
      </c>
      <c r="AV106" s="129">
        <f t="shared" si="68"/>
        <v/>
      </c>
      <c r="AW106" s="129">
        <f>IF(AV106="","",AV106&amp;"."&amp;COUNTIFS($A$3:A106,A106,$AV$3:AV106,AV106))</f>
        <v/>
      </c>
      <c r="AX106" s="129">
        <f t="shared" si="69"/>
        <v/>
      </c>
      <c r="AY106" s="129">
        <f>IF(N106="б/к",0,IF(OR(ISNUMBER(SEARCH("L=",Разбивка_по_щитам!P106)),N106="+",N106="="),1,0))</f>
      </c>
      <c r="AZ106" s="129">
        <f t="shared" si="70"/>
      </c>
      <c r="BA106" s="129">
        <f t="shared" si="71"/>
      </c>
      <c r="BB106" s="129">
        <f t="shared" si="72"/>
      </c>
      <c r="BD106" s="129">
        <f t="shared" si="73"/>
      </c>
      <c r="BE106" s="129">
        <f t="shared" si="74"/>
      </c>
      <c r="BF106" s="129">
        <f t="shared" si="75"/>
      </c>
      <c r="BG106" s="129">
        <f t="shared" si="76"/>
        <v/>
      </c>
      <c r="BH106" s="129">
        <f t="shared" si="77"/>
        <v/>
      </c>
      <c r="BI106" s="129">
        <f t="shared" si="78"/>
        <v/>
      </c>
      <c r="BJ106" s="129">
        <f t="shared" si="79"/>
        <v/>
      </c>
      <c r="BK106" s="129">
        <f>IF(R106="","",IF(OR(BY106="",BY106=0),"BOX",IFERROR(IF(VLOOKUP(BY106,УГО_блоки,3,FALSE)&amp;""&lt;&gt;"",VLOOKUP(BY106,УГО_блоки,3,FALSE),VLOOKUP(BY106,УГО_блоки,2,FALSE)),BY106)))</f>
      </c>
      <c r="BL106" s="129">
        <f t="shared" si="81"/>
      </c>
      <c r="BM106" s="129">
        <f>IF(H106="","",IF(COUNTIF($H$3:H106,H106)=1,MAX($BM$2:BM105)+1,""))</f>
      </c>
      <c r="BN106" s="129">
        <f>IF(I106="","",IF(COUNTIF($I$3:I106,I106)+COUNTIF($J$2:J105,I106)+COUNTIF($K$2:K105,I106)=1,MAX($BN$2:BP105)+1,""))</f>
      </c>
      <c r="BO106" s="129">
        <f>IF(J106="","",IF(COUNTIF($I$3:I106,J106)+COUNTIF($J$3:J106,J106)+COUNTIF($K$2:K105,J106)=1,MAX($BN$2:BP105,BN106)+1,""))</f>
      </c>
      <c r="BP106" s="129">
        <f>IF(K106="","",IF(COUNTIF($I$3:I106,K106)+COUNTIF($J$3:J106,K106)+COUNTIF($K$3:K106,K106)=1,MAX($BN$2:BP105,BN106,BO106)+1,""))</f>
      </c>
      <c r="BQ106" s="129">
        <f>IF(AY106=1,IFERROR(MID(Q106,FIND(" (",Q106)+2,FIND(")",Q106,FIND(" (",Q106))-FIND(" (",Q106)-2),"?"),"")</f>
      </c>
      <c r="BR106" s="129">
        <f>IF(BQ106="","",IF(COUNTIF($BQ$3:BQ106,BQ106)=1,MAX($BR$2:BR105)+1,""))</f>
      </c>
      <c r="BS106" s="129">
        <f>IF(AW106="","",COUNTIF($AW$3:AW106,"?*"))</f>
      </c>
      <c r="BT106" s="129">
        <f>IF(OR(AW106="",AI106=""),"",IF(COUNTIFS($AW$3:AW106,"?*",$AI$3:AI106,AI106)=1,MAX($BT$2:BT105)+1,""))</f>
      </c>
      <c r="BU106" s="129">
        <f>IF(AE106="",0,IF(OR(ISNUMBER(SEARCH("дубль",AE106)),ISNUMBER(SEARCH("ПЕРЕГРУЗ",AE106)),ISNUMBER(SEARCH("ЗАЩИЩ",AE106)),ISNUMBER(SEARCH("КАНАЛ",AE106)),ISNUMBER(SEARCH("без 30",AE106))),2,1))</f>
      </c>
      <c r="BV106" s="129">
        <f>IF(R106="","",COUNTIF($R$3:R106,"?*"))</f>
      </c>
      <c r="BW106" s="129">
        <f>IF(AY106&lt;&gt;1,0,IF(MAX(IFERROR(--VLOOKUP(R106,УГО_спр,5,FALSE),0),IFERROR(--VLOOKUP(AL106,УГО_спр,5,FALSE),0),IFERROR(--VLOOKUP(LEFT(AL106,2),УГО_спр,5,FALSE),0))&gt;0,MAX(IFERROR(--VLOOKUP(R106,УГО_спр,5,FALSE),0),IFERROR(--VLOOKUP(AL106,УГО_спр,5,FALSE),0),IFERROR(--VLOOKUP(LEFT(AL106,2),УГО_спр,5,FALSE),0)),IF(IFERROR(--LEFT(SUBSTITUTE(BQ106,"x","х"),FIND("х",SUBSTITUTE(BQ106,"x","х"))-1),3)&gt;3,Каталог!$S$9,1)))</f>
      </c>
      <c r="BX106" s="129">
        <f>IF(AY106&lt;&gt;1,0,MAX(0,IFERROR(--LEFT(SUBSTITUTE(BQ106,"x","х"),FIND("х",SUBSTITUTE(BQ106,"x","х"))-1),3)-3*BW106))</f>
      </c>
      <c r="BY106" s="129">
        <f>IF(R106="","",IFERROR(VLOOKUP(R106,УГО_спр,2,FALSE),IFERROR(VLOOKUP(AL106,УГО_спр,2,FALSE),IFERROR(VLOOKUP(LEFT(AL106,2),УГО_спр,2,FALSE),""))))</f>
      </c>
    </row>
    <row r="107" spans="1:64" x14ac:dyDescent="0.3">
      <c r="A107" s="135">
        <f>IF(Разбивка_по_щитам!F107=0,"",Разбивка_по_щитам!F107)</f>
      </c>
      <c r="B107" s="138">
        <f>IF(A107="","",Разбивка_по_щитам!C107)</f>
      </c>
      <c r="C107" s="138">
        <f t="shared" si="44"/>
      </c>
      <c r="D107" s="266"/>
      <c r="E107" s="266"/>
      <c r="F107" s="267"/>
      <c r="G107" s="145">
        <f t="shared" si="45"/>
        <v/>
      </c>
      <c r="H107" s="145">
        <f t="shared" si="46"/>
        <v/>
      </c>
      <c r="I107" s="266"/>
      <c r="J107" s="267"/>
      <c r="K107" s="267"/>
      <c r="L107" s="266"/>
      <c r="M107" s="147">
        <f t="shared" si="82"/>
        <v/>
      </c>
      <c r="N107" s="267"/>
      <c r="O107" s="147">
        <f t="shared" si="83"/>
        <v/>
      </c>
      <c r="P107" s="268">
        <f>IF(AY107=1,"XT"&amp;COUNTIFS($A$3:A107,A107,$AY$3:AY107,1),"")</f>
        <v/>
      </c>
      <c r="Q107" s="152">
        <f>IF(R107="","",IFERROR(SUBSTITUTE(Разбивка_по_щитам!P107,CHAR(10)," "),""))</f>
        <v/>
      </c>
      <c r="R107" s="153">
        <f>IF(OR(Разбивка_по_щитам!H107="",Разбивка_по_щитам!H107=0),"",Разбивка_по_щитам!H107)</f>
        <v/>
      </c>
      <c r="S107" s="154">
        <f>IF(R107="","",IFERROR(Разбивка_по_щитам!J107&amp;"",""))</f>
        <v/>
      </c>
      <c r="T107" s="155">
        <f>IF(R107="","",IFERROR(--Разбивка_по_щитам!L107,""))</f>
        <v/>
      </c>
      <c r="U107" s="155">
        <f>IF(R107="","",IFERROR(--Разбивка_по_щитам!K107,""))</f>
        <v/>
      </c>
      <c r="V107" s="138">
        <f>IF(R107="","",IFERROR(IF(Разбивка_по_щитам!M107=0,"",Разбивка_по_щитам!M107),""))</f>
        <v/>
      </c>
      <c r="W107" s="156">
        <f t="shared" si="47"/>
        <v/>
      </c>
      <c r="X107" s="157">
        <f t="shared" si="48"/>
        <v/>
      </c>
      <c r="Y107" s="266"/>
      <c r="Z107" s="158">
        <f t="shared" si="49"/>
        <v/>
      </c>
      <c r="AA107" s="160">
        <f t="shared" si="50"/>
        <v/>
      </c>
      <c r="AB107" s="160">
        <f>IF(R107="","",IFERROR(LOOKUP(INDEX(Справочная!$I$4:$I$19,MATCH(VLOOKUP(R107,Исходные_данные,22,FALSE),Справочная!$J$4:$J$19,0)+1),{6,10,16,20,25,32,40,50,63,80,100,125}),""))</f>
        <v/>
      </c>
      <c r="AC107" s="160">
        <f t="shared" si="51"/>
        <v/>
      </c>
      <c r="AD107" s="161">
        <f t="shared" si="52"/>
        <v/>
      </c>
      <c r="AE107" s="161">
        <f>IF(AND(R107="",G107=""),"",_xlfn.TEXTJOIN("; ",TRUE,IF(AND(R107&lt;&gt;"",V107=""),"нет фазы",""),IF(AND(R107&lt;&gt;"",N(T107)=0),"нет мощности",""),IF(AND(P107&lt;&gt;"",COUNTIFS($A$3:$A$1000,A107,$P$3:$P$1000,P107)&gt;1),"дубль клеммы "&amp;P107,""),IF(AND(W107&lt;&gt;"",W107&lt;&gt;"ok"),W107,""),IF(X107&lt;&gt;"",X107,""),IF(AND(ISNUMBER(SEARCH("(5х",Q107)),N(AK107)=1),"5 жил на 1 фазе",""),IF(AND(AL107="R",E107&lt;&gt;"",N(AS107)=0),"розетка без 30 мА",""),IF(IFERROR(_xlfn.NUMBERVALUE(MID(Q107,FIND("-",Q107,FIND("L=",Q107))+1,FIND("%",Q107)-FIND("-",Q107,FIND("L=",Q107))-1),","),0)&gt;4,"потери &gt; 4 %","")))</f>
      </c>
      <c r="AF107" s="129">
        <f>IF(E107&lt;&gt;"",COUNTIFS($A$3:A107,A107,$E$3:E107,"?*"),IF(OR(A107&lt;&gt;A106,Y107="вручную"),"",AF106))</f>
      </c>
      <c r="AG107" s="129">
        <f t="shared" si="53"/>
      </c>
      <c r="AH107" s="129">
        <f t="shared" si="54"/>
        <v/>
      </c>
      <c r="AI107" s="129">
        <f t="shared" si="55"/>
        <v/>
      </c>
      <c r="AJ107" s="129">
        <f t="shared" si="56"/>
        <v/>
      </c>
      <c r="AK107" s="129">
        <f t="shared" si="57"/>
        <v/>
      </c>
      <c r="AL107" s="129">
        <f t="shared" si="58"/>
        <v/>
      </c>
      <c r="AM107" s="129">
        <f t="shared" si="59"/>
      </c>
      <c r="AN107" s="129">
        <f t="shared" si="60"/>
      </c>
      <c r="AO107" s="129">
        <f t="shared" si="61"/>
        <v/>
      </c>
      <c r="AP107" s="129">
        <f t="shared" si="62"/>
        <v/>
      </c>
      <c r="AQ107" s="129">
        <f t="shared" si="63"/>
        <v/>
      </c>
      <c r="AR107" s="129">
        <f t="shared" si="64"/>
        <v/>
      </c>
      <c r="AS107" s="129">
        <f t="shared" si="65"/>
        <v/>
      </c>
      <c r="AT107" s="129">
        <f t="shared" si="66"/>
        <v/>
      </c>
      <c r="AU107" s="129">
        <f t="shared" si="67"/>
        <v/>
      </c>
      <c r="AV107" s="129">
        <f t="shared" si="68"/>
        <v/>
      </c>
      <c r="AW107" s="129">
        <f>IF(AV107="","",AV107&amp;"."&amp;COUNTIFS($A$3:A107,A107,$AV$3:AV107,AV107))</f>
        <v/>
      </c>
      <c r="AX107" s="129">
        <f t="shared" si="69"/>
        <v/>
      </c>
      <c r="AY107" s="129">
        <f>IF(N107="б/к",0,IF(OR(ISNUMBER(SEARCH("L=",Разбивка_по_щитам!P107)),N107="+",N107="="),1,0))</f>
      </c>
      <c r="AZ107" s="129">
        <f t="shared" si="70"/>
      </c>
      <c r="BA107" s="129">
        <f t="shared" si="71"/>
      </c>
      <c r="BB107" s="129">
        <f t="shared" si="72"/>
      </c>
      <c r="BD107" s="129">
        <f t="shared" si="73"/>
      </c>
      <c r="BE107" s="129">
        <f t="shared" si="74"/>
      </c>
      <c r="BF107" s="129">
        <f t="shared" si="75"/>
      </c>
      <c r="BG107" s="129">
        <f t="shared" si="76"/>
        <v/>
      </c>
      <c r="BH107" s="129">
        <f t="shared" si="77"/>
        <v/>
      </c>
      <c r="BI107" s="129">
        <f t="shared" si="78"/>
        <v/>
      </c>
      <c r="BJ107" s="129">
        <f t="shared" si="79"/>
        <v/>
      </c>
      <c r="BK107" s="129">
        <f>IF(R107="","",IF(OR(BY107="",BY107=0),"BOX",IFERROR(IF(VLOOKUP(BY107,УГО_блоки,3,FALSE)&amp;""&lt;&gt;"",VLOOKUP(BY107,УГО_блоки,3,FALSE),VLOOKUP(BY107,УГО_блоки,2,FALSE)),BY107)))</f>
      </c>
      <c r="BL107" s="129">
        <f t="shared" si="81"/>
      </c>
      <c r="BM107" s="129">
        <f>IF(H107="","",IF(COUNTIF($H$3:H107,H107)=1,MAX($BM$2:BM106)+1,""))</f>
      </c>
      <c r="BN107" s="129">
        <f>IF(I107="","",IF(COUNTIF($I$3:I107,I107)+COUNTIF($J$2:J106,I107)+COUNTIF($K$2:K106,I107)=1,MAX($BN$2:BP106)+1,""))</f>
      </c>
      <c r="BO107" s="129">
        <f>IF(J107="","",IF(COUNTIF($I$3:I107,J107)+COUNTIF($J$3:J107,J107)+COUNTIF($K$2:K106,J107)=1,MAX($BN$2:BP106,BN107)+1,""))</f>
      </c>
      <c r="BP107" s="129">
        <f>IF(K107="","",IF(COUNTIF($I$3:I107,K107)+COUNTIF($J$3:J107,K107)+COUNTIF($K$3:K107,K107)=1,MAX($BN$2:BP106,BN107,BO107)+1,""))</f>
      </c>
      <c r="BQ107" s="129">
        <f>IF(AY107=1,IFERROR(MID(Q107,FIND(" (",Q107)+2,FIND(")",Q107,FIND(" (",Q107))-FIND(" (",Q107)-2),"?"),"")</f>
      </c>
      <c r="BR107" s="129">
        <f>IF(BQ107="","",IF(COUNTIF($BQ$3:BQ107,BQ107)=1,MAX($BR$2:BR106)+1,""))</f>
      </c>
      <c r="BS107" s="129">
        <f>IF(AW107="","",COUNTIF($AW$3:AW107,"?*"))</f>
      </c>
      <c r="BT107" s="129">
        <f>IF(OR(AW107="",AI107=""),"",IF(COUNTIFS($AW$3:AW107,"?*",$AI$3:AI107,AI107)=1,MAX($BT$2:BT106)+1,""))</f>
      </c>
      <c r="BU107" s="129">
        <f>IF(AE107="",0,IF(OR(ISNUMBER(SEARCH("дубль",AE107)),ISNUMBER(SEARCH("ПЕРЕГРУЗ",AE107)),ISNUMBER(SEARCH("ЗАЩИЩ",AE107)),ISNUMBER(SEARCH("КАНАЛ",AE107)),ISNUMBER(SEARCH("без 30",AE107))),2,1))</f>
      </c>
      <c r="BV107" s="129">
        <f>IF(R107="","",COUNTIF($R$3:R107,"?*"))</f>
      </c>
      <c r="BW107" s="129">
        <f>IF(AY107&lt;&gt;1,0,IF(MAX(IFERROR(--VLOOKUP(R107,УГО_спр,5,FALSE),0),IFERROR(--VLOOKUP(AL107,УГО_спр,5,FALSE),0),IFERROR(--VLOOKUP(LEFT(AL107,2),УГО_спр,5,FALSE),0))&gt;0,MAX(IFERROR(--VLOOKUP(R107,УГО_спр,5,FALSE),0),IFERROR(--VLOOKUP(AL107,УГО_спр,5,FALSE),0),IFERROR(--VLOOKUP(LEFT(AL107,2),УГО_спр,5,FALSE),0)),IF(IFERROR(--LEFT(SUBSTITUTE(BQ107,"x","х"),FIND("х",SUBSTITUTE(BQ107,"x","х"))-1),3)&gt;3,Каталог!$S$9,1)))</f>
      </c>
      <c r="BX107" s="129">
        <f>IF(AY107&lt;&gt;1,0,MAX(0,IFERROR(--LEFT(SUBSTITUTE(BQ107,"x","х"),FIND("х",SUBSTITUTE(BQ107,"x","х"))-1),3)-3*BW107))</f>
      </c>
      <c r="BY107" s="129">
        <f>IF(R107="","",IFERROR(VLOOKUP(R107,УГО_спр,2,FALSE),IFERROR(VLOOKUP(AL107,УГО_спр,2,FALSE),IFERROR(VLOOKUP(LEFT(AL107,2),УГО_спр,2,FALSE),""))))</f>
      </c>
    </row>
    <row r="108" spans="1:64" x14ac:dyDescent="0.3">
      <c r="A108" s="135">
        <f>IF(Разбивка_по_щитам!F108=0,"",Разбивка_по_щитам!F108)</f>
      </c>
      <c r="B108" s="138">
        <f>IF(A108="","",Разбивка_по_щитам!C108)</f>
      </c>
      <c r="C108" s="138">
        <f t="shared" si="44"/>
      </c>
      <c r="D108" s="266"/>
      <c r="E108" s="266"/>
      <c r="F108" s="267"/>
      <c r="G108" s="145">
        <f t="shared" si="45"/>
        <v/>
      </c>
      <c r="H108" s="145">
        <f t="shared" si="46"/>
        <v/>
      </c>
      <c r="I108" s="266"/>
      <c r="J108" s="267"/>
      <c r="K108" s="267"/>
      <c r="L108" s="266"/>
      <c r="M108" s="147">
        <f t="shared" si="82"/>
        <v/>
      </c>
      <c r="N108" s="267"/>
      <c r="O108" s="147">
        <f t="shared" si="83"/>
        <v/>
      </c>
      <c r="P108" s="268">
        <f>IF(AY108=1,"XT"&amp;COUNTIFS($A$3:A108,A108,$AY$3:AY108,1),"")</f>
        <v/>
      </c>
      <c r="Q108" s="152">
        <f>IF(R108="","",IFERROR(SUBSTITUTE(Разбивка_по_щитам!P108,CHAR(10)," "),""))</f>
        <v/>
      </c>
      <c r="R108" s="153">
        <f>IF(OR(Разбивка_по_щитам!H108="",Разбивка_по_щитам!H108=0),"",Разбивка_по_щитам!H108)</f>
        <v/>
      </c>
      <c r="S108" s="154">
        <f>IF(R108="","",IFERROR(Разбивка_по_щитам!J108&amp;"",""))</f>
        <v/>
      </c>
      <c r="T108" s="155">
        <f>IF(R108="","",IFERROR(--Разбивка_по_щитам!L108,""))</f>
        <v/>
      </c>
      <c r="U108" s="155">
        <f>IF(R108="","",IFERROR(--Разбивка_по_щитам!K108,""))</f>
        <v/>
      </c>
      <c r="V108" s="138">
        <f>IF(R108="","",IFERROR(IF(Разбивка_по_щитам!M108=0,"",Разбивка_по_щитам!M108),""))</f>
        <v/>
      </c>
      <c r="W108" s="156">
        <f t="shared" si="47"/>
        <v/>
      </c>
      <c r="X108" s="157">
        <f t="shared" si="48"/>
        <v/>
      </c>
      <c r="Y108" s="266"/>
      <c r="Z108" s="158">
        <f t="shared" si="49"/>
        <v/>
      </c>
      <c r="AA108" s="160">
        <f t="shared" si="50"/>
        <v/>
      </c>
      <c r="AB108" s="160">
        <f>IF(R108="","",IFERROR(LOOKUP(INDEX(Справочная!$I$4:$I$19,MATCH(VLOOKUP(R108,Исходные_данные,22,FALSE),Справочная!$J$4:$J$19,0)+1),{6,10,16,20,25,32,40,50,63,80,100,125}),""))</f>
        <v/>
      </c>
      <c r="AC108" s="160">
        <f t="shared" si="51"/>
        <v/>
      </c>
      <c r="AD108" s="161">
        <f t="shared" si="52"/>
        <v/>
      </c>
      <c r="AE108" s="161">
        <f>IF(AND(R108="",G108=""),"",_xlfn.TEXTJOIN("; ",TRUE,IF(AND(R108&lt;&gt;"",V108=""),"нет фазы",""),IF(AND(R108&lt;&gt;"",N(T108)=0),"нет мощности",""),IF(AND(P108&lt;&gt;"",COUNTIFS($A$3:$A$1000,A108,$P$3:$P$1000,P108)&gt;1),"дубль клеммы "&amp;P108,""),IF(AND(W108&lt;&gt;"",W108&lt;&gt;"ok"),W108,""),IF(X108&lt;&gt;"",X108,""),IF(AND(ISNUMBER(SEARCH("(5х",Q108)),N(AK108)=1),"5 жил на 1 фазе",""),IF(AND(AL108="R",E108&lt;&gt;"",N(AS108)=0),"розетка без 30 мА",""),IF(IFERROR(_xlfn.NUMBERVALUE(MID(Q108,FIND("-",Q108,FIND("L=",Q108))+1,FIND("%",Q108)-FIND("-",Q108,FIND("L=",Q108))-1),","),0)&gt;4,"потери &gt; 4 %","")))</f>
      </c>
      <c r="AF108" s="129">
        <f>IF(E108&lt;&gt;"",COUNTIFS($A$3:A108,A108,$E$3:E108,"?*"),IF(OR(A108&lt;&gt;A107,Y108="вручную"),"",AF107))</f>
      </c>
      <c r="AG108" s="129">
        <f t="shared" si="53"/>
      </c>
      <c r="AH108" s="129">
        <f t="shared" si="54"/>
        <v/>
      </c>
      <c r="AI108" s="129">
        <f t="shared" si="55"/>
        <v/>
      </c>
      <c r="AJ108" s="129">
        <f t="shared" si="56"/>
        <v/>
      </c>
      <c r="AK108" s="129">
        <f t="shared" si="57"/>
        <v/>
      </c>
      <c r="AL108" s="129">
        <f t="shared" si="58"/>
        <v/>
      </c>
      <c r="AM108" s="129">
        <f t="shared" si="59"/>
      </c>
      <c r="AN108" s="129">
        <f t="shared" si="60"/>
      </c>
      <c r="AO108" s="129">
        <f t="shared" si="61"/>
        <v/>
      </c>
      <c r="AP108" s="129">
        <f t="shared" si="62"/>
        <v/>
      </c>
      <c r="AQ108" s="129">
        <f t="shared" si="63"/>
        <v/>
      </c>
      <c r="AR108" s="129">
        <f t="shared" si="64"/>
        <v/>
      </c>
      <c r="AS108" s="129">
        <f t="shared" si="65"/>
        <v/>
      </c>
      <c r="AT108" s="129">
        <f t="shared" si="66"/>
        <v/>
      </c>
      <c r="AU108" s="129">
        <f t="shared" si="67"/>
        <v/>
      </c>
      <c r="AV108" s="129">
        <f t="shared" si="68"/>
        <v/>
      </c>
      <c r="AW108" s="129">
        <f>IF(AV108="","",AV108&amp;"."&amp;COUNTIFS($A$3:A108,A108,$AV$3:AV108,AV108))</f>
        <v/>
      </c>
      <c r="AX108" s="129">
        <f t="shared" si="69"/>
        <v/>
      </c>
      <c r="AY108" s="129">
        <f>IF(N108="б/к",0,IF(OR(ISNUMBER(SEARCH("L=",Разбивка_по_щитам!P108)),N108="+",N108="="),1,0))</f>
      </c>
      <c r="AZ108" s="129">
        <f t="shared" si="70"/>
      </c>
      <c r="BA108" s="129">
        <f t="shared" si="71"/>
      </c>
      <c r="BB108" s="129">
        <f t="shared" si="72"/>
      </c>
      <c r="BD108" s="129">
        <f t="shared" si="73"/>
      </c>
      <c r="BE108" s="129">
        <f t="shared" si="74"/>
      </c>
      <c r="BF108" s="129">
        <f t="shared" si="75"/>
      </c>
      <c r="BG108" s="129">
        <f t="shared" si="76"/>
        <v/>
      </c>
      <c r="BH108" s="129">
        <f t="shared" si="77"/>
        <v/>
      </c>
      <c r="BI108" s="129">
        <f t="shared" si="78"/>
        <v/>
      </c>
      <c r="BJ108" s="129">
        <f t="shared" si="79"/>
        <v/>
      </c>
      <c r="BK108" s="129">
        <f>IF(R108="","",IF(OR(BY108="",BY108=0),"BOX",IFERROR(IF(VLOOKUP(BY108,УГО_блоки,3,FALSE)&amp;""&lt;&gt;"",VLOOKUP(BY108,УГО_блоки,3,FALSE),VLOOKUP(BY108,УГО_блоки,2,FALSE)),BY108)))</f>
      </c>
      <c r="BL108" s="129">
        <f t="shared" si="81"/>
      </c>
      <c r="BM108" s="129">
        <f>IF(H108="","",IF(COUNTIF($H$3:H108,H108)=1,MAX($BM$2:BM107)+1,""))</f>
      </c>
      <c r="BN108" s="129">
        <f>IF(I108="","",IF(COUNTIF($I$3:I108,I108)+COUNTIF($J$2:J107,I108)+COUNTIF($K$2:K107,I108)=1,MAX($BN$2:BP107)+1,""))</f>
      </c>
      <c r="BO108" s="129">
        <f>IF(J108="","",IF(COUNTIF($I$3:I108,J108)+COUNTIF($J$3:J108,J108)+COUNTIF($K$2:K107,J108)=1,MAX($BN$2:BP107,BN108)+1,""))</f>
      </c>
      <c r="BP108" s="129">
        <f>IF(K108="","",IF(COUNTIF($I$3:I108,K108)+COUNTIF($J$3:J108,K108)+COUNTIF($K$3:K108,K108)=1,MAX($BN$2:BP107,BN108,BO108)+1,""))</f>
      </c>
      <c r="BQ108" s="129">
        <f>IF(AY108=1,IFERROR(MID(Q108,FIND(" (",Q108)+2,FIND(")",Q108,FIND(" (",Q108))-FIND(" (",Q108)-2),"?"),"")</f>
      </c>
      <c r="BR108" s="129">
        <f>IF(BQ108="","",IF(COUNTIF($BQ$3:BQ108,BQ108)=1,MAX($BR$2:BR107)+1,""))</f>
      </c>
      <c r="BS108" s="129">
        <f>IF(AW108="","",COUNTIF($AW$3:AW108,"?*"))</f>
      </c>
      <c r="BT108" s="129">
        <f>IF(OR(AW108="",AI108=""),"",IF(COUNTIFS($AW$3:AW108,"?*",$AI$3:AI108,AI108)=1,MAX($BT$2:BT107)+1,""))</f>
      </c>
      <c r="BU108" s="129">
        <f>IF(AE108="",0,IF(OR(ISNUMBER(SEARCH("дубль",AE108)),ISNUMBER(SEARCH("ПЕРЕГРУЗ",AE108)),ISNUMBER(SEARCH("ЗАЩИЩ",AE108)),ISNUMBER(SEARCH("КАНАЛ",AE108)),ISNUMBER(SEARCH("без 30",AE108))),2,1))</f>
      </c>
      <c r="BV108" s="129">
        <f>IF(R108="","",COUNTIF($R$3:R108,"?*"))</f>
      </c>
      <c r="BW108" s="129">
        <f>IF(AY108&lt;&gt;1,0,IF(MAX(IFERROR(--VLOOKUP(R108,УГО_спр,5,FALSE),0),IFERROR(--VLOOKUP(AL108,УГО_спр,5,FALSE),0),IFERROR(--VLOOKUP(LEFT(AL108,2),УГО_спр,5,FALSE),0))&gt;0,MAX(IFERROR(--VLOOKUP(R108,УГО_спр,5,FALSE),0),IFERROR(--VLOOKUP(AL108,УГО_спр,5,FALSE),0),IFERROR(--VLOOKUP(LEFT(AL108,2),УГО_спр,5,FALSE),0)),IF(IFERROR(--LEFT(SUBSTITUTE(BQ108,"x","х"),FIND("х",SUBSTITUTE(BQ108,"x","х"))-1),3)&gt;3,Каталог!$S$9,1)))</f>
      </c>
      <c r="BX108" s="129">
        <f>IF(AY108&lt;&gt;1,0,MAX(0,IFERROR(--LEFT(SUBSTITUTE(BQ108,"x","х"),FIND("х",SUBSTITUTE(BQ108,"x","х"))-1),3)-3*BW108))</f>
      </c>
      <c r="BY108" s="129">
        <f>IF(R108="","",IFERROR(VLOOKUP(R108,УГО_спр,2,FALSE),IFERROR(VLOOKUP(AL108,УГО_спр,2,FALSE),IFERROR(VLOOKUP(LEFT(AL108,2),УГО_спр,2,FALSE),""))))</f>
      </c>
    </row>
    <row r="109" spans="1:64" x14ac:dyDescent="0.3">
      <c r="A109" s="135">
        <f>IF(Разбивка_по_щитам!F109=0,"",Разбивка_по_щитам!F109)</f>
      </c>
      <c r="B109" s="138">
        <f>IF(A109="","",Разбивка_по_щитам!C109)</f>
      </c>
      <c r="C109" s="138">
        <f t="shared" si="44"/>
      </c>
      <c r="D109" s="266"/>
      <c r="E109" s="266"/>
      <c r="F109" s="267"/>
      <c r="G109" s="145">
        <f t="shared" si="45"/>
        <v/>
      </c>
      <c r="H109" s="145">
        <f t="shared" si="46"/>
        <v/>
      </c>
      <c r="I109" s="266"/>
      <c r="J109" s="267"/>
      <c r="K109" s="267"/>
      <c r="L109" s="266"/>
      <c r="M109" s="147">
        <f t="shared" si="82"/>
        <v/>
      </c>
      <c r="N109" s="267"/>
      <c r="O109" s="147">
        <f t="shared" si="83"/>
        <v/>
      </c>
      <c r="P109" s="268">
        <f>IF(AY109=1,"XT"&amp;COUNTIFS($A$3:A109,A109,$AY$3:AY109,1),"")</f>
        <v/>
      </c>
      <c r="Q109" s="152">
        <f>IF(R109="","",IFERROR(SUBSTITUTE(Разбивка_по_щитам!P109,CHAR(10)," "),""))</f>
        <v/>
      </c>
      <c r="R109" s="153">
        <f>IF(OR(Разбивка_по_щитам!H109="",Разбивка_по_щитам!H109=0),"",Разбивка_по_щитам!H109)</f>
        <v/>
      </c>
      <c r="S109" s="154">
        <f>IF(R109="","",IFERROR(Разбивка_по_щитам!J109&amp;"",""))</f>
        <v/>
      </c>
      <c r="T109" s="155">
        <f>IF(R109="","",IFERROR(--Разбивка_по_щитам!L109,""))</f>
        <v/>
      </c>
      <c r="U109" s="155">
        <f>IF(R109="","",IFERROR(--Разбивка_по_щитам!K109,""))</f>
        <v/>
      </c>
      <c r="V109" s="138">
        <f>IF(R109="","",IFERROR(IF(Разбивка_по_щитам!M109=0,"",Разбивка_по_щитам!M109),""))</f>
        <v/>
      </c>
      <c r="W109" s="156">
        <f t="shared" si="47"/>
        <v/>
      </c>
      <c r="X109" s="157">
        <f t="shared" si="48"/>
        <v/>
      </c>
      <c r="Y109" s="266"/>
      <c r="Z109" s="158">
        <f t="shared" si="49"/>
        <v/>
      </c>
      <c r="AA109" s="160">
        <f t="shared" si="50"/>
        <v/>
      </c>
      <c r="AB109" s="160">
        <f>IF(R109="","",IFERROR(LOOKUP(INDEX(Справочная!$I$4:$I$19,MATCH(VLOOKUP(R109,Исходные_данные,22,FALSE),Справочная!$J$4:$J$19,0)+1),{6,10,16,20,25,32,40,50,63,80,100,125}),""))</f>
        <v/>
      </c>
      <c r="AC109" s="160">
        <f t="shared" si="51"/>
        <v/>
      </c>
      <c r="AD109" s="161">
        <f t="shared" si="52"/>
        <v/>
      </c>
      <c r="AE109" s="161">
        <f>IF(AND(R109="",G109=""),"",_xlfn.TEXTJOIN("; ",TRUE,IF(AND(R109&lt;&gt;"",V109=""),"нет фазы",""),IF(AND(R109&lt;&gt;"",N(T109)=0),"нет мощности",""),IF(AND(P109&lt;&gt;"",COUNTIFS($A$3:$A$1000,A109,$P$3:$P$1000,P109)&gt;1),"дубль клеммы "&amp;P109,""),IF(AND(W109&lt;&gt;"",W109&lt;&gt;"ok"),W109,""),IF(X109&lt;&gt;"",X109,""),IF(AND(ISNUMBER(SEARCH("(5х",Q109)),N(AK109)=1),"5 жил на 1 фазе",""),IF(AND(AL109="R",E109&lt;&gt;"",N(AS109)=0),"розетка без 30 мА",""),IF(IFERROR(_xlfn.NUMBERVALUE(MID(Q109,FIND("-",Q109,FIND("L=",Q109))+1,FIND("%",Q109)-FIND("-",Q109,FIND("L=",Q109))-1),","),0)&gt;4,"потери &gt; 4 %","")))</f>
      </c>
      <c r="AF109" s="129">
        <f>IF(E109&lt;&gt;"",COUNTIFS($A$3:A109,A109,$E$3:E109,"?*"),IF(OR(A109&lt;&gt;A108,Y109="вручную"),"",AF108))</f>
      </c>
      <c r="AG109" s="129">
        <f t="shared" si="53"/>
      </c>
      <c r="AH109" s="129">
        <f t="shared" si="54"/>
        <v/>
      </c>
      <c r="AI109" s="129">
        <f t="shared" si="55"/>
        <v/>
      </c>
      <c r="AJ109" s="129">
        <f t="shared" si="56"/>
        <v/>
      </c>
      <c r="AK109" s="129">
        <f t="shared" si="57"/>
        <v/>
      </c>
      <c r="AL109" s="129">
        <f t="shared" si="58"/>
        <v/>
      </c>
      <c r="AM109" s="129">
        <f t="shared" si="59"/>
      </c>
      <c r="AN109" s="129">
        <f t="shared" si="60"/>
      </c>
      <c r="AO109" s="129">
        <f t="shared" si="61"/>
        <v/>
      </c>
      <c r="AP109" s="129">
        <f t="shared" si="62"/>
        <v/>
      </c>
      <c r="AQ109" s="129">
        <f t="shared" si="63"/>
        <v/>
      </c>
      <c r="AR109" s="129">
        <f t="shared" si="64"/>
        <v/>
      </c>
      <c r="AS109" s="129">
        <f t="shared" si="65"/>
        <v/>
      </c>
      <c r="AT109" s="129">
        <f t="shared" si="66"/>
        <v/>
      </c>
      <c r="AU109" s="129">
        <f t="shared" si="67"/>
        <v/>
      </c>
      <c r="AV109" s="129">
        <f t="shared" si="68"/>
        <v/>
      </c>
      <c r="AW109" s="129">
        <f>IF(AV109="","",AV109&amp;"."&amp;COUNTIFS($A$3:A109,A109,$AV$3:AV109,AV109))</f>
        <v/>
      </c>
      <c r="AX109" s="129">
        <f t="shared" si="69"/>
        <v/>
      </c>
      <c r="AY109" s="129">
        <f>IF(N109="б/к",0,IF(OR(ISNUMBER(SEARCH("L=",Разбивка_по_щитам!P109)),N109="+",N109="="),1,0))</f>
      </c>
      <c r="AZ109" s="129">
        <f t="shared" si="70"/>
      </c>
      <c r="BA109" s="129">
        <f t="shared" si="71"/>
      </c>
      <c r="BB109" s="129">
        <f t="shared" si="72"/>
      </c>
      <c r="BD109" s="129">
        <f t="shared" si="73"/>
      </c>
      <c r="BE109" s="129">
        <f t="shared" si="74"/>
      </c>
      <c r="BF109" s="129">
        <f t="shared" si="75"/>
      </c>
      <c r="BG109" s="129">
        <f t="shared" si="76"/>
        <v/>
      </c>
      <c r="BH109" s="129">
        <f t="shared" si="77"/>
        <v/>
      </c>
      <c r="BI109" s="129">
        <f t="shared" si="78"/>
        <v/>
      </c>
      <c r="BJ109" s="129">
        <f t="shared" si="79"/>
        <v/>
      </c>
      <c r="BK109" s="129">
        <f>IF(R109="","",IF(OR(BY109="",BY109=0),"BOX",IFERROR(IF(VLOOKUP(BY109,УГО_блоки,3,FALSE)&amp;""&lt;&gt;"",VLOOKUP(BY109,УГО_блоки,3,FALSE),VLOOKUP(BY109,УГО_блоки,2,FALSE)),BY109)))</f>
      </c>
      <c r="BL109" s="129">
        <f t="shared" si="81"/>
      </c>
      <c r="BM109" s="129">
        <f>IF(H109="","",IF(COUNTIF($H$3:H109,H109)=1,MAX($BM$2:BM108)+1,""))</f>
      </c>
      <c r="BN109" s="129">
        <f>IF(I109="","",IF(COUNTIF($I$3:I109,I109)+COUNTIF($J$2:J108,I109)+COUNTIF($K$2:K108,I109)=1,MAX($BN$2:BP108)+1,""))</f>
      </c>
      <c r="BO109" s="129">
        <f>IF(J109="","",IF(COUNTIF($I$3:I109,J109)+COUNTIF($J$3:J109,J109)+COUNTIF($K$2:K108,J109)=1,MAX($BN$2:BP108,BN109)+1,""))</f>
      </c>
      <c r="BP109" s="129">
        <f>IF(K109="","",IF(COUNTIF($I$3:I109,K109)+COUNTIF($J$3:J109,K109)+COUNTIF($K$3:K109,K109)=1,MAX($BN$2:BP108,BN109,BO109)+1,""))</f>
      </c>
      <c r="BQ109" s="129">
        <f>IF(AY109=1,IFERROR(MID(Q109,FIND(" (",Q109)+2,FIND(")",Q109,FIND(" (",Q109))-FIND(" (",Q109)-2),"?"),"")</f>
      </c>
      <c r="BR109" s="129">
        <f>IF(BQ109="","",IF(COUNTIF($BQ$3:BQ109,BQ109)=1,MAX($BR$2:BR108)+1,""))</f>
      </c>
      <c r="BS109" s="129">
        <f>IF(AW109="","",COUNTIF($AW$3:AW109,"?*"))</f>
      </c>
      <c r="BT109" s="129">
        <f>IF(OR(AW109="",AI109=""),"",IF(COUNTIFS($AW$3:AW109,"?*",$AI$3:AI109,AI109)=1,MAX($BT$2:BT108)+1,""))</f>
      </c>
      <c r="BU109" s="129">
        <f>IF(AE109="",0,IF(OR(ISNUMBER(SEARCH("дубль",AE109)),ISNUMBER(SEARCH("ПЕРЕГРУЗ",AE109)),ISNUMBER(SEARCH("ЗАЩИЩ",AE109)),ISNUMBER(SEARCH("КАНАЛ",AE109)),ISNUMBER(SEARCH("без 30",AE109))),2,1))</f>
      </c>
      <c r="BV109" s="129">
        <f>IF(R109="","",COUNTIF($R$3:R109,"?*"))</f>
      </c>
      <c r="BW109" s="129">
        <f>IF(AY109&lt;&gt;1,0,IF(MAX(IFERROR(--VLOOKUP(R109,УГО_спр,5,FALSE),0),IFERROR(--VLOOKUP(AL109,УГО_спр,5,FALSE),0),IFERROR(--VLOOKUP(LEFT(AL109,2),УГО_спр,5,FALSE),0))&gt;0,MAX(IFERROR(--VLOOKUP(R109,УГО_спр,5,FALSE),0),IFERROR(--VLOOKUP(AL109,УГО_спр,5,FALSE),0),IFERROR(--VLOOKUP(LEFT(AL109,2),УГО_спр,5,FALSE),0)),IF(IFERROR(--LEFT(SUBSTITUTE(BQ109,"x","х"),FIND("х",SUBSTITUTE(BQ109,"x","х"))-1),3)&gt;3,Каталог!$S$9,1)))</f>
      </c>
      <c r="BX109" s="129">
        <f>IF(AY109&lt;&gt;1,0,MAX(0,IFERROR(--LEFT(SUBSTITUTE(BQ109,"x","х"),FIND("х",SUBSTITUTE(BQ109,"x","х"))-1),3)-3*BW109))</f>
      </c>
      <c r="BY109" s="129">
        <f>IF(R109="","",IFERROR(VLOOKUP(R109,УГО_спр,2,FALSE),IFERROR(VLOOKUP(AL109,УГО_спр,2,FALSE),IFERROR(VLOOKUP(LEFT(AL109,2),УГО_спр,2,FALSE),""))))</f>
      </c>
    </row>
    <row r="110" spans="1:64" x14ac:dyDescent="0.3">
      <c r="A110" s="135">
        <f>IF(Разбивка_по_щитам!F110=0,"",Разбивка_по_щитам!F110)</f>
      </c>
      <c r="B110" s="138">
        <f>IF(A110="","",Разбивка_по_щитам!C110)</f>
      </c>
      <c r="C110" s="138">
        <f t="shared" si="44"/>
      </c>
      <c r="D110" s="266"/>
      <c r="E110" s="266"/>
      <c r="F110" s="267"/>
      <c r="G110" s="145">
        <f t="shared" si="45"/>
        <v/>
      </c>
      <c r="H110" s="145">
        <f t="shared" si="46"/>
        <v/>
      </c>
      <c r="I110" s="266"/>
      <c r="J110" s="267"/>
      <c r="K110" s="267"/>
      <c r="L110" s="266"/>
      <c r="M110" s="147">
        <f t="shared" si="82"/>
        <v/>
      </c>
      <c r="N110" s="267"/>
      <c r="O110" s="147">
        <f t="shared" si="83"/>
        <v/>
      </c>
      <c r="P110" s="268">
        <f>IF(AY110=1,"XT"&amp;COUNTIFS($A$3:A110,A110,$AY$3:AY110,1),"")</f>
        <v/>
      </c>
      <c r="Q110" s="152">
        <f>IF(R110="","",IFERROR(SUBSTITUTE(Разбивка_по_щитам!P110,CHAR(10)," "),""))</f>
        <v/>
      </c>
      <c r="R110" s="153">
        <f>IF(OR(Разбивка_по_щитам!H110="",Разбивка_по_щитам!H110=0),"",Разбивка_по_щитам!H110)</f>
        <v/>
      </c>
      <c r="S110" s="154">
        <f>IF(R110="","",IFERROR(Разбивка_по_щитам!J110&amp;"",""))</f>
        <v/>
      </c>
      <c r="T110" s="155">
        <f>IF(R110="","",IFERROR(--Разбивка_по_щитам!L110,""))</f>
        <v/>
      </c>
      <c r="U110" s="155">
        <f>IF(R110="","",IFERROR(--Разбивка_по_щитам!K110,""))</f>
        <v/>
      </c>
      <c r="V110" s="138">
        <f>IF(R110="","",IFERROR(IF(Разбивка_по_щитам!M110=0,"",Разбивка_по_щитам!M110),""))</f>
        <v/>
      </c>
      <c r="W110" s="156">
        <f t="shared" si="47"/>
        <v/>
      </c>
      <c r="X110" s="157">
        <f t="shared" si="48"/>
        <v/>
      </c>
      <c r="Y110" s="266"/>
      <c r="Z110" s="158">
        <f t="shared" si="49"/>
        <v/>
      </c>
      <c r="AA110" s="160">
        <f t="shared" si="50"/>
        <v/>
      </c>
      <c r="AB110" s="160">
        <f>IF(R110="","",IFERROR(LOOKUP(INDEX(Справочная!$I$4:$I$19,MATCH(VLOOKUP(R110,Исходные_данные,22,FALSE),Справочная!$J$4:$J$19,0)+1),{6,10,16,20,25,32,40,50,63,80,100,125}),""))</f>
        <v/>
      </c>
      <c r="AC110" s="160">
        <f t="shared" si="51"/>
        <v/>
      </c>
      <c r="AD110" s="161">
        <f t="shared" si="52"/>
        <v/>
      </c>
      <c r="AE110" s="161">
        <f>IF(AND(R110="",G110=""),"",_xlfn.TEXTJOIN("; ",TRUE,IF(AND(R110&lt;&gt;"",V110=""),"нет фазы",""),IF(AND(R110&lt;&gt;"",N(T110)=0),"нет мощности",""),IF(AND(P110&lt;&gt;"",COUNTIFS($A$3:$A$1000,A110,$P$3:$P$1000,P110)&gt;1),"дубль клеммы "&amp;P110,""),IF(AND(W110&lt;&gt;"",W110&lt;&gt;"ok"),W110,""),IF(X110&lt;&gt;"",X110,""),IF(AND(ISNUMBER(SEARCH("(5х",Q110)),N(AK110)=1),"5 жил на 1 фазе",""),IF(AND(AL110="R",E110&lt;&gt;"",N(AS110)=0),"розетка без 30 мА",""),IF(IFERROR(_xlfn.NUMBERVALUE(MID(Q110,FIND("-",Q110,FIND("L=",Q110))+1,FIND("%",Q110)-FIND("-",Q110,FIND("L=",Q110))-1),","),0)&gt;4,"потери &gt; 4 %","")))</f>
      </c>
      <c r="AF110" s="129">
        <f>IF(E110&lt;&gt;"",COUNTIFS($A$3:A110,A110,$E$3:E110,"?*"),IF(OR(A110&lt;&gt;A109,Y110="вручную"),"",AF109))</f>
      </c>
      <c r="AG110" s="129">
        <f t="shared" si="53"/>
      </c>
      <c r="AH110" s="129">
        <f t="shared" si="54"/>
        <v/>
      </c>
      <c r="AI110" s="129">
        <f t="shared" si="55"/>
        <v/>
      </c>
      <c r="AJ110" s="129">
        <f t="shared" si="56"/>
        <v/>
      </c>
      <c r="AK110" s="129">
        <f t="shared" si="57"/>
        <v/>
      </c>
      <c r="AL110" s="129">
        <f t="shared" si="58"/>
        <v/>
      </c>
      <c r="AM110" s="129">
        <f t="shared" si="59"/>
      </c>
      <c r="AN110" s="129">
        <f t="shared" si="60"/>
      </c>
      <c r="AO110" s="129">
        <f t="shared" si="61"/>
        <v/>
      </c>
      <c r="AP110" s="129">
        <f t="shared" si="62"/>
        <v/>
      </c>
      <c r="AQ110" s="129">
        <f t="shared" si="63"/>
        <v/>
      </c>
      <c r="AR110" s="129">
        <f t="shared" si="64"/>
        <v/>
      </c>
      <c r="AS110" s="129">
        <f t="shared" si="65"/>
        <v/>
      </c>
      <c r="AT110" s="129">
        <f t="shared" si="66"/>
        <v/>
      </c>
      <c r="AU110" s="129">
        <f t="shared" si="67"/>
        <v/>
      </c>
      <c r="AV110" s="129">
        <f t="shared" si="68"/>
        <v/>
      </c>
      <c r="AW110" s="129">
        <f>IF(AV110="","",AV110&amp;"."&amp;COUNTIFS($A$3:A110,A110,$AV$3:AV110,AV110))</f>
        <v/>
      </c>
      <c r="AX110" s="129">
        <f t="shared" si="69"/>
        <v/>
      </c>
      <c r="AY110" s="129">
        <f>IF(N110="б/к",0,IF(OR(ISNUMBER(SEARCH("L=",Разбивка_по_щитам!P110)),N110="+",N110="="),1,0))</f>
      </c>
      <c r="AZ110" s="129">
        <f t="shared" si="70"/>
      </c>
      <c r="BA110" s="129">
        <f t="shared" si="71"/>
      </c>
      <c r="BB110" s="129">
        <f t="shared" si="72"/>
      </c>
      <c r="BD110" s="129">
        <f t="shared" si="73"/>
      </c>
      <c r="BE110" s="129">
        <f t="shared" si="74"/>
      </c>
      <c r="BF110" s="129">
        <f t="shared" si="75"/>
      </c>
      <c r="BG110" s="129">
        <f t="shared" si="76"/>
        <v/>
      </c>
      <c r="BH110" s="129">
        <f t="shared" si="77"/>
        <v/>
      </c>
      <c r="BI110" s="129">
        <f t="shared" si="78"/>
        <v/>
      </c>
      <c r="BJ110" s="129">
        <f t="shared" si="79"/>
        <v/>
      </c>
      <c r="BK110" s="129">
        <f>IF(R110="","",IF(OR(BY110="",BY110=0),"BOX",IFERROR(IF(VLOOKUP(BY110,УГО_блоки,3,FALSE)&amp;""&lt;&gt;"",VLOOKUP(BY110,УГО_блоки,3,FALSE),VLOOKUP(BY110,УГО_блоки,2,FALSE)),BY110)))</f>
      </c>
      <c r="BL110" s="129">
        <f t="shared" si="81"/>
      </c>
      <c r="BM110" s="129">
        <f>IF(H110="","",IF(COUNTIF($H$3:H110,H110)=1,MAX($BM$2:BM109)+1,""))</f>
      </c>
      <c r="BN110" s="129">
        <f>IF(I110="","",IF(COUNTIF($I$3:I110,I110)+COUNTIF($J$2:J109,I110)+COUNTIF($K$2:K109,I110)=1,MAX($BN$2:BP109)+1,""))</f>
      </c>
      <c r="BO110" s="129">
        <f>IF(J110="","",IF(COUNTIF($I$3:I110,J110)+COUNTIF($J$3:J110,J110)+COUNTIF($K$2:K109,J110)=1,MAX($BN$2:BP109,BN110)+1,""))</f>
      </c>
      <c r="BP110" s="129">
        <f>IF(K110="","",IF(COUNTIF($I$3:I110,K110)+COUNTIF($J$3:J110,K110)+COUNTIF($K$3:K110,K110)=1,MAX($BN$2:BP109,BN110,BO110)+1,""))</f>
      </c>
      <c r="BQ110" s="129">
        <f>IF(AY110=1,IFERROR(MID(Q110,FIND(" (",Q110)+2,FIND(")",Q110,FIND(" (",Q110))-FIND(" (",Q110)-2),"?"),"")</f>
      </c>
      <c r="BR110" s="129">
        <f>IF(BQ110="","",IF(COUNTIF($BQ$3:BQ110,BQ110)=1,MAX($BR$2:BR109)+1,""))</f>
      </c>
      <c r="BS110" s="129">
        <f>IF(AW110="","",COUNTIF($AW$3:AW110,"?*"))</f>
      </c>
      <c r="BT110" s="129">
        <f>IF(OR(AW110="",AI110=""),"",IF(COUNTIFS($AW$3:AW110,"?*",$AI$3:AI110,AI110)=1,MAX($BT$2:BT109)+1,""))</f>
      </c>
      <c r="BU110" s="129">
        <f>IF(AE110="",0,IF(OR(ISNUMBER(SEARCH("дубль",AE110)),ISNUMBER(SEARCH("ПЕРЕГРУЗ",AE110)),ISNUMBER(SEARCH("ЗАЩИЩ",AE110)),ISNUMBER(SEARCH("КАНАЛ",AE110)),ISNUMBER(SEARCH("без 30",AE110))),2,1))</f>
      </c>
      <c r="BV110" s="129">
        <f>IF(R110="","",COUNTIF($R$3:R110,"?*"))</f>
      </c>
      <c r="BW110" s="129">
        <f>IF(AY110&lt;&gt;1,0,IF(MAX(IFERROR(--VLOOKUP(R110,УГО_спр,5,FALSE),0),IFERROR(--VLOOKUP(AL110,УГО_спр,5,FALSE),0),IFERROR(--VLOOKUP(LEFT(AL110,2),УГО_спр,5,FALSE),0))&gt;0,MAX(IFERROR(--VLOOKUP(R110,УГО_спр,5,FALSE),0),IFERROR(--VLOOKUP(AL110,УГО_спр,5,FALSE),0),IFERROR(--VLOOKUP(LEFT(AL110,2),УГО_спр,5,FALSE),0)),IF(IFERROR(--LEFT(SUBSTITUTE(BQ110,"x","х"),FIND("х",SUBSTITUTE(BQ110,"x","х"))-1),3)&gt;3,Каталог!$S$9,1)))</f>
      </c>
      <c r="BX110" s="129">
        <f>IF(AY110&lt;&gt;1,0,MAX(0,IFERROR(--LEFT(SUBSTITUTE(BQ110,"x","х"),FIND("х",SUBSTITUTE(BQ110,"x","х"))-1),3)-3*BW110))</f>
      </c>
      <c r="BY110" s="129">
        <f>IF(R110="","",IFERROR(VLOOKUP(R110,УГО_спр,2,FALSE),IFERROR(VLOOKUP(AL110,УГО_спр,2,FALSE),IFERROR(VLOOKUP(LEFT(AL110,2),УГО_спр,2,FALSE),""))))</f>
      </c>
    </row>
    <row r="111" spans="1:64" x14ac:dyDescent="0.3">
      <c r="A111" s="135">
        <f>IF(Разбивка_по_щитам!F111=0,"",Разбивка_по_щитам!F111)</f>
      </c>
      <c r="B111" s="138">
        <f>IF(A111="","",Разбивка_по_щитам!C111)</f>
      </c>
      <c r="C111" s="138">
        <f t="shared" si="44"/>
      </c>
      <c r="D111" s="266"/>
      <c r="E111" s="266"/>
      <c r="F111" s="267"/>
      <c r="G111" s="145">
        <f t="shared" si="45"/>
        <v/>
      </c>
      <c r="H111" s="145">
        <f t="shared" si="46"/>
        <v/>
      </c>
      <c r="I111" s="266"/>
      <c r="J111" s="267"/>
      <c r="K111" s="267"/>
      <c r="L111" s="266"/>
      <c r="M111" s="147">
        <f t="shared" ref="M111:M142" si="84">IF(OR(O111&lt;&gt;"",AND(L111&lt;&gt;"",L111&lt;&gt;"-")),AH111,"")</f>
        <v/>
      </c>
      <c r="N111" s="267"/>
      <c r="O111" s="147">
        <f t="shared" ref="O111:O142" si="85">IF(N111="=",AX110,IF(ISNUMBER(N111),N111,IF(AH111="","",IF(OR(R111&lt;&gt;"",N111="+",N111="р"),IF(OR(AW111&lt;&gt;"",AX110=""),1,AX110+1),""))))</f>
        <v/>
      </c>
      <c r="P111" s="268">
        <f>IF(AY111=1,"XT"&amp;COUNTIFS($A$3:A111,A111,$AY$3:AY111,1),"")</f>
        <v/>
      </c>
      <c r="Q111" s="152">
        <f>IF(R111="","",IFERROR(SUBSTITUTE(Разбивка_по_щитам!P111,CHAR(10)," "),""))</f>
        <v/>
      </c>
      <c r="R111" s="153">
        <f>IF(OR(Разбивка_по_щитам!H111="",Разбивка_по_щитам!H111=0),"",Разбивка_по_щитам!H111)</f>
        <v/>
      </c>
      <c r="S111" s="154">
        <f>IF(R111="","",IFERROR(Разбивка_по_щитам!J111&amp;"",""))</f>
        <v/>
      </c>
      <c r="T111" s="155">
        <f>IF(R111="","",IFERROR(--Разбивка_по_щитам!L111,""))</f>
        <v/>
      </c>
      <c r="U111" s="155">
        <f>IF(R111="","",IFERROR(--Разбивка_по_щитам!K111,""))</f>
        <v/>
      </c>
      <c r="V111" s="138">
        <f>IF(R111="","",IFERROR(IF(Разбивка_по_щитам!M111=0,"",Разбивка_по_щитам!M111),""))</f>
        <v/>
      </c>
      <c r="W111" s="156">
        <f t="shared" si="47"/>
        <v/>
      </c>
      <c r="X111" s="157">
        <f t="shared" si="48"/>
        <v/>
      </c>
      <c r="Y111" s="266"/>
      <c r="Z111" s="158">
        <f t="shared" si="49"/>
        <v/>
      </c>
      <c r="AA111" s="160">
        <f t="shared" si="50"/>
        <v/>
      </c>
      <c r="AB111" s="160">
        <f>IF(R111="","",IFERROR(LOOKUP(INDEX(Справочная!$I$4:$I$19,MATCH(VLOOKUP(R111,Исходные_данные,22,FALSE),Справочная!$J$4:$J$19,0)+1),{6,10,16,20,25,32,40,50,63,80,100,125}),""))</f>
        <v/>
      </c>
      <c r="AC111" s="160">
        <f t="shared" si="51"/>
        <v/>
      </c>
      <c r="AD111" s="161">
        <f t="shared" si="52"/>
        <v/>
      </c>
      <c r="AE111" s="161">
        <f>IF(AND(R111="",G111=""),"",_xlfn.TEXTJOIN("; ",TRUE,IF(AND(R111&lt;&gt;"",V111=""),"нет фазы",""),IF(AND(R111&lt;&gt;"",N(T111)=0),"нет мощности",""),IF(AND(P111&lt;&gt;"",COUNTIFS($A$3:$A$1000,A111,$P$3:$P$1000,P111)&gt;1),"дубль клеммы "&amp;P111,""),IF(AND(W111&lt;&gt;"",W111&lt;&gt;"ok"),W111,""),IF(X111&lt;&gt;"",X111,""),IF(AND(ISNUMBER(SEARCH("(5х",Q111)),N(AK111)=1),"5 жил на 1 фазе",""),IF(AND(AL111="R",E111&lt;&gt;"",N(AS111)=0),"розетка без 30 мА",""),IF(IFERROR(_xlfn.NUMBERVALUE(MID(Q111,FIND("-",Q111,FIND("L=",Q111))+1,FIND("%",Q111)-FIND("-",Q111,FIND("L=",Q111))-1),","),0)&gt;4,"потери &gt; 4 %","")))</f>
      </c>
      <c r="AF111" s="129">
        <f>IF(E111&lt;&gt;"",COUNTIFS($A$3:A111,A111,$E$3:E111,"?*"),IF(OR(A111&lt;&gt;A110,Y111="вручную"),"",AF110))</f>
      </c>
      <c r="AG111" s="129">
        <f t="shared" si="53"/>
      </c>
      <c r="AH111" s="129">
        <f t="shared" si="54"/>
        <v/>
      </c>
      <c r="AI111" s="129">
        <f t="shared" si="55"/>
        <v/>
      </c>
      <c r="AJ111" s="129">
        <f t="shared" si="56"/>
        <v/>
      </c>
      <c r="AK111" s="129">
        <f t="shared" si="57"/>
        <v/>
      </c>
      <c r="AL111" s="129">
        <f t="shared" si="58"/>
        <v/>
      </c>
      <c r="AM111" s="129">
        <f t="shared" si="59"/>
      </c>
      <c r="AN111" s="129">
        <f t="shared" si="60"/>
      </c>
      <c r="AO111" s="129">
        <f t="shared" si="61"/>
        <v/>
      </c>
      <c r="AP111" s="129">
        <f t="shared" si="62"/>
        <v/>
      </c>
      <c r="AQ111" s="129">
        <f t="shared" si="63"/>
        <v/>
      </c>
      <c r="AR111" s="129">
        <f t="shared" si="64"/>
        <v/>
      </c>
      <c r="AS111" s="129">
        <f t="shared" si="65"/>
        <v/>
      </c>
      <c r="AT111" s="129">
        <f t="shared" si="66"/>
        <v/>
      </c>
      <c r="AU111" s="129">
        <f t="shared" si="67"/>
        <v/>
      </c>
      <c r="AV111" s="129">
        <f t="shared" si="68"/>
        <v/>
      </c>
      <c r="AW111" s="129">
        <f>IF(AV111="","",AV111&amp;"."&amp;COUNTIFS($A$3:A111,A111,$AV$3:AV111,AV111))</f>
        <v/>
      </c>
      <c r="AX111" s="129">
        <f t="shared" si="69"/>
        <v/>
      </c>
      <c r="AY111" s="129">
        <f>IF(N111="б/к",0,IF(OR(ISNUMBER(SEARCH("L=",Разбивка_по_щитам!P111)),N111="+",N111="="),1,0))</f>
      </c>
      <c r="AZ111" s="129">
        <f t="shared" si="70"/>
      </c>
      <c r="BA111" s="129">
        <f t="shared" si="71"/>
      </c>
      <c r="BB111" s="129">
        <f t="shared" si="72"/>
      </c>
      <c r="BD111" s="129">
        <f t="shared" si="73"/>
      </c>
      <c r="BE111" s="129">
        <f t="shared" si="74"/>
      </c>
      <c r="BF111" s="129">
        <f t="shared" si="75"/>
      </c>
      <c r="BG111" s="129">
        <f t="shared" si="76"/>
        <v/>
      </c>
      <c r="BH111" s="129">
        <f t="shared" si="77"/>
        <v/>
      </c>
      <c r="BI111" s="129">
        <f t="shared" si="78"/>
        <v/>
      </c>
      <c r="BJ111" s="129">
        <f t="shared" si="79"/>
        <v/>
      </c>
      <c r="BK111" s="129">
        <f>IF(R111="","",IF(OR(BY111="",BY111=0),"BOX",IFERROR(IF(VLOOKUP(BY111,УГО_блоки,3,FALSE)&amp;""&lt;&gt;"",VLOOKUP(BY111,УГО_блоки,3,FALSE),VLOOKUP(BY111,УГО_блоки,2,FALSE)),BY111)))</f>
      </c>
      <c r="BL111" s="129">
        <f t="shared" si="81"/>
      </c>
      <c r="BM111" s="129">
        <f>IF(H111="","",IF(COUNTIF($H$3:H111,H111)=1,MAX($BM$2:BM110)+1,""))</f>
      </c>
      <c r="BN111" s="129">
        <f>IF(I111="","",IF(COUNTIF($I$3:I111,I111)+COUNTIF($J$2:J110,I111)+COUNTIF($K$2:K110,I111)=1,MAX($BN$2:BP110)+1,""))</f>
      </c>
      <c r="BO111" s="129">
        <f>IF(J111="","",IF(COUNTIF($I$3:I111,J111)+COUNTIF($J$3:J111,J111)+COUNTIF($K$2:K110,J111)=1,MAX($BN$2:BP110,BN111)+1,""))</f>
      </c>
      <c r="BP111" s="129">
        <f>IF(K111="","",IF(COUNTIF($I$3:I111,K111)+COUNTIF($J$3:J111,K111)+COUNTIF($K$3:K111,K111)=1,MAX($BN$2:BP110,BN111,BO111)+1,""))</f>
      </c>
      <c r="BQ111" s="129">
        <f>IF(AY111=1,IFERROR(MID(Q111,FIND(" (",Q111)+2,FIND(")",Q111,FIND(" (",Q111))-FIND(" (",Q111)-2),"?"),"")</f>
      </c>
      <c r="BR111" s="129">
        <f>IF(BQ111="","",IF(COUNTIF($BQ$3:BQ111,BQ111)=1,MAX($BR$2:BR110)+1,""))</f>
      </c>
      <c r="BS111" s="129">
        <f>IF(AW111="","",COUNTIF($AW$3:AW111,"?*"))</f>
      </c>
      <c r="BT111" s="129">
        <f>IF(OR(AW111="",AI111=""),"",IF(COUNTIFS($AW$3:AW111,"?*",$AI$3:AI111,AI111)=1,MAX($BT$2:BT110)+1,""))</f>
      </c>
      <c r="BU111" s="129">
        <f>IF(AE111="",0,IF(OR(ISNUMBER(SEARCH("дубль",AE111)),ISNUMBER(SEARCH("ПЕРЕГРУЗ",AE111)),ISNUMBER(SEARCH("ЗАЩИЩ",AE111)),ISNUMBER(SEARCH("КАНАЛ",AE111)),ISNUMBER(SEARCH("без 30",AE111))),2,1))</f>
      </c>
      <c r="BV111" s="129">
        <f>IF(R111="","",COUNTIF($R$3:R111,"?*"))</f>
      </c>
      <c r="BW111" s="129">
        <f>IF(AY111&lt;&gt;1,0,IF(MAX(IFERROR(--VLOOKUP(R111,УГО_спр,5,FALSE),0),IFERROR(--VLOOKUP(AL111,УГО_спр,5,FALSE),0),IFERROR(--VLOOKUP(LEFT(AL111,2),УГО_спр,5,FALSE),0))&gt;0,MAX(IFERROR(--VLOOKUP(R111,УГО_спр,5,FALSE),0),IFERROR(--VLOOKUP(AL111,УГО_спр,5,FALSE),0),IFERROR(--VLOOKUP(LEFT(AL111,2),УГО_спр,5,FALSE),0)),IF(IFERROR(--LEFT(SUBSTITUTE(BQ111,"x","х"),FIND("х",SUBSTITUTE(BQ111,"x","х"))-1),3)&gt;3,Каталог!$S$9,1)))</f>
      </c>
      <c r="BX111" s="129">
        <f>IF(AY111&lt;&gt;1,0,MAX(0,IFERROR(--LEFT(SUBSTITUTE(BQ111,"x","х"),FIND("х",SUBSTITUTE(BQ111,"x","х"))-1),3)-3*BW111))</f>
      </c>
      <c r="BY111" s="129">
        <f>IF(R111="","",IFERROR(VLOOKUP(R111,УГО_спр,2,FALSE),IFERROR(VLOOKUP(AL111,УГО_спр,2,FALSE),IFERROR(VLOOKUP(LEFT(AL111,2),УГО_спр,2,FALSE),""))))</f>
      </c>
    </row>
    <row r="112" spans="1:64" x14ac:dyDescent="0.3">
      <c r="A112" s="135">
        <f>IF(Разбивка_по_щитам!F112=0,"",Разбивка_по_щитам!F112)</f>
      </c>
      <c r="B112" s="138">
        <f>IF(A112="","",Разбивка_по_щитам!C112)</f>
      </c>
      <c r="C112" s="138">
        <f t="shared" si="44"/>
      </c>
      <c r="D112" s="266"/>
      <c r="E112" s="266"/>
      <c r="F112" s="267"/>
      <c r="G112" s="145">
        <f t="shared" si="45"/>
        <v/>
      </c>
      <c r="H112" s="145">
        <f t="shared" si="46"/>
        <v/>
      </c>
      <c r="I112" s="266"/>
      <c r="J112" s="267"/>
      <c r="K112" s="267"/>
      <c r="L112" s="266"/>
      <c r="M112" s="147">
        <f t="shared" si="84"/>
        <v/>
      </c>
      <c r="N112" s="267"/>
      <c r="O112" s="147">
        <f t="shared" si="85"/>
        <v/>
      </c>
      <c r="P112" s="268">
        <f>IF(AY112=1,"XT"&amp;COUNTIFS($A$3:A112,A112,$AY$3:AY112,1),"")</f>
        <v/>
      </c>
      <c r="Q112" s="152">
        <f>IF(R112="","",IFERROR(SUBSTITUTE(Разбивка_по_щитам!P112,CHAR(10)," "),""))</f>
        <v/>
      </c>
      <c r="R112" s="153">
        <f>IF(OR(Разбивка_по_щитам!H112="",Разбивка_по_щитам!H112=0),"",Разбивка_по_щитам!H112)</f>
        <v/>
      </c>
      <c r="S112" s="154">
        <f>IF(R112="","",IFERROR(Разбивка_по_щитам!J112&amp;"",""))</f>
        <v/>
      </c>
      <c r="T112" s="155">
        <f>IF(R112="","",IFERROR(--Разбивка_по_щитам!L112,""))</f>
        <v/>
      </c>
      <c r="U112" s="155">
        <f>IF(R112="","",IFERROR(--Разбивка_по_щитам!K112,""))</f>
        <v/>
      </c>
      <c r="V112" s="138">
        <f>IF(R112="","",IFERROR(IF(Разбивка_по_щитам!M112=0,"",Разбивка_по_щитам!M112),""))</f>
        <v/>
      </c>
      <c r="W112" s="156">
        <f t="shared" si="47"/>
        <v/>
      </c>
      <c r="X112" s="157">
        <f t="shared" si="48"/>
        <v/>
      </c>
      <c r="Y112" s="266"/>
      <c r="Z112" s="158">
        <f t="shared" si="49"/>
        <v/>
      </c>
      <c r="AA112" s="160">
        <f t="shared" si="50"/>
        <v/>
      </c>
      <c r="AB112" s="160">
        <f>IF(R112="","",IFERROR(LOOKUP(INDEX(Справочная!$I$4:$I$19,MATCH(VLOOKUP(R112,Исходные_данные,22,FALSE),Справочная!$J$4:$J$19,0)+1),{6,10,16,20,25,32,40,50,63,80,100,125}),""))</f>
        <v/>
      </c>
      <c r="AC112" s="160">
        <f t="shared" si="51"/>
        <v/>
      </c>
      <c r="AD112" s="161">
        <f t="shared" si="52"/>
        <v/>
      </c>
      <c r="AE112" s="161">
        <f>IF(AND(R112="",G112=""),"",_xlfn.TEXTJOIN("; ",TRUE,IF(AND(R112&lt;&gt;"",V112=""),"нет фазы",""),IF(AND(R112&lt;&gt;"",N(T112)=0),"нет мощности",""),IF(AND(P112&lt;&gt;"",COUNTIFS($A$3:$A$1000,A112,$P$3:$P$1000,P112)&gt;1),"дубль клеммы "&amp;P112,""),IF(AND(W112&lt;&gt;"",W112&lt;&gt;"ok"),W112,""),IF(X112&lt;&gt;"",X112,""),IF(AND(ISNUMBER(SEARCH("(5х",Q112)),N(AK112)=1),"5 жил на 1 фазе",""),IF(AND(AL112="R",E112&lt;&gt;"",N(AS112)=0),"розетка без 30 мА",""),IF(IFERROR(_xlfn.NUMBERVALUE(MID(Q112,FIND("-",Q112,FIND("L=",Q112))+1,FIND("%",Q112)-FIND("-",Q112,FIND("L=",Q112))-1),","),0)&gt;4,"потери &gt; 4 %","")))</f>
      </c>
      <c r="AF112" s="129">
        <f>IF(E112&lt;&gt;"",COUNTIFS($A$3:A112,A112,$E$3:E112,"?*"),IF(OR(A112&lt;&gt;A111,Y112="вручную"),"",AF111))</f>
      </c>
      <c r="AG112" s="129">
        <f t="shared" si="53"/>
      </c>
      <c r="AH112" s="129">
        <f t="shared" si="54"/>
        <v/>
      </c>
      <c r="AI112" s="129">
        <f t="shared" si="55"/>
        <v/>
      </c>
      <c r="AJ112" s="129">
        <f t="shared" si="56"/>
        <v/>
      </c>
      <c r="AK112" s="129">
        <f t="shared" si="57"/>
        <v/>
      </c>
      <c r="AL112" s="129">
        <f t="shared" si="58"/>
        <v/>
      </c>
      <c r="AM112" s="129">
        <f t="shared" si="59"/>
      </c>
      <c r="AN112" s="129">
        <f t="shared" si="60"/>
      </c>
      <c r="AO112" s="129">
        <f t="shared" si="61"/>
        <v/>
      </c>
      <c r="AP112" s="129">
        <f t="shared" si="62"/>
        <v/>
      </c>
      <c r="AQ112" s="129">
        <f t="shared" si="63"/>
        <v/>
      </c>
      <c r="AR112" s="129">
        <f t="shared" si="64"/>
        <v/>
      </c>
      <c r="AS112" s="129">
        <f t="shared" si="65"/>
        <v/>
      </c>
      <c r="AT112" s="129">
        <f t="shared" si="66"/>
        <v/>
      </c>
      <c r="AU112" s="129">
        <f t="shared" si="67"/>
        <v/>
      </c>
      <c r="AV112" s="129">
        <f t="shared" si="68"/>
        <v/>
      </c>
      <c r="AW112" s="129">
        <f>IF(AV112="","",AV112&amp;"."&amp;COUNTIFS($A$3:A112,A112,$AV$3:AV112,AV112))</f>
        <v/>
      </c>
      <c r="AX112" s="129">
        <f t="shared" si="69"/>
        <v/>
      </c>
      <c r="AY112" s="129">
        <f>IF(N112="б/к",0,IF(OR(ISNUMBER(SEARCH("L=",Разбивка_по_щитам!P112)),N112="+",N112="="),1,0))</f>
      </c>
      <c r="AZ112" s="129">
        <f t="shared" si="70"/>
      </c>
      <c r="BA112" s="129">
        <f t="shared" si="71"/>
      </c>
      <c r="BB112" s="129">
        <f t="shared" si="72"/>
      </c>
      <c r="BD112" s="129">
        <f t="shared" si="73"/>
      </c>
      <c r="BE112" s="129">
        <f t="shared" si="74"/>
      </c>
      <c r="BF112" s="129">
        <f t="shared" si="75"/>
      </c>
      <c r="BG112" s="129">
        <f t="shared" si="76"/>
        <v/>
      </c>
      <c r="BH112" s="129">
        <f t="shared" si="77"/>
        <v/>
      </c>
      <c r="BI112" s="129">
        <f t="shared" si="78"/>
        <v/>
      </c>
      <c r="BJ112" s="129">
        <f t="shared" si="79"/>
        <v/>
      </c>
      <c r="BK112" s="129">
        <f>IF(R112="","",IF(OR(BY112="",BY112=0),"BOX",IFERROR(IF(VLOOKUP(BY112,УГО_блоки,3,FALSE)&amp;""&lt;&gt;"",VLOOKUP(BY112,УГО_блоки,3,FALSE),VLOOKUP(BY112,УГО_блоки,2,FALSE)),BY112)))</f>
      </c>
      <c r="BL112" s="129">
        <f t="shared" si="81"/>
      </c>
      <c r="BM112" s="129">
        <f>IF(H112="","",IF(COUNTIF($H$3:H112,H112)=1,MAX($BM$2:BM111)+1,""))</f>
      </c>
      <c r="BN112" s="129">
        <f>IF(I112="","",IF(COUNTIF($I$3:I112,I112)+COUNTIF($J$2:J111,I112)+COUNTIF($K$2:K111,I112)=1,MAX($BN$2:BP111)+1,""))</f>
      </c>
      <c r="BO112" s="129">
        <f>IF(J112="","",IF(COUNTIF($I$3:I112,J112)+COUNTIF($J$3:J112,J112)+COUNTIF($K$2:K111,J112)=1,MAX($BN$2:BP111,BN112)+1,""))</f>
      </c>
      <c r="BP112" s="129">
        <f>IF(K112="","",IF(COUNTIF($I$3:I112,K112)+COUNTIF($J$3:J112,K112)+COUNTIF($K$3:K112,K112)=1,MAX($BN$2:BP111,BN112,BO112)+1,""))</f>
      </c>
      <c r="BQ112" s="129">
        <f>IF(AY112=1,IFERROR(MID(Q112,FIND(" (",Q112)+2,FIND(")",Q112,FIND(" (",Q112))-FIND(" (",Q112)-2),"?"),"")</f>
      </c>
      <c r="BR112" s="129">
        <f>IF(BQ112="","",IF(COUNTIF($BQ$3:BQ112,BQ112)=1,MAX($BR$2:BR111)+1,""))</f>
      </c>
      <c r="BS112" s="129">
        <f>IF(AW112="","",COUNTIF($AW$3:AW112,"?*"))</f>
      </c>
      <c r="BT112" s="129">
        <f>IF(OR(AW112="",AI112=""),"",IF(COUNTIFS($AW$3:AW112,"?*",$AI$3:AI112,AI112)=1,MAX($BT$2:BT111)+1,""))</f>
      </c>
      <c r="BU112" s="129">
        <f>IF(AE112="",0,IF(OR(ISNUMBER(SEARCH("дубль",AE112)),ISNUMBER(SEARCH("ПЕРЕГРУЗ",AE112)),ISNUMBER(SEARCH("ЗАЩИЩ",AE112)),ISNUMBER(SEARCH("КАНАЛ",AE112)),ISNUMBER(SEARCH("без 30",AE112))),2,1))</f>
      </c>
      <c r="BV112" s="129">
        <f>IF(R112="","",COUNTIF($R$3:R112,"?*"))</f>
      </c>
      <c r="BW112" s="129">
        <f>IF(AY112&lt;&gt;1,0,IF(MAX(IFERROR(--VLOOKUP(R112,УГО_спр,5,FALSE),0),IFERROR(--VLOOKUP(AL112,УГО_спр,5,FALSE),0),IFERROR(--VLOOKUP(LEFT(AL112,2),УГО_спр,5,FALSE),0))&gt;0,MAX(IFERROR(--VLOOKUP(R112,УГО_спр,5,FALSE),0),IFERROR(--VLOOKUP(AL112,УГО_спр,5,FALSE),0),IFERROR(--VLOOKUP(LEFT(AL112,2),УГО_спр,5,FALSE),0)),IF(IFERROR(--LEFT(SUBSTITUTE(BQ112,"x","х"),FIND("х",SUBSTITUTE(BQ112,"x","х"))-1),3)&gt;3,Каталог!$S$9,1)))</f>
      </c>
      <c r="BX112" s="129">
        <f>IF(AY112&lt;&gt;1,0,MAX(0,IFERROR(--LEFT(SUBSTITUTE(BQ112,"x","х"),FIND("х",SUBSTITUTE(BQ112,"x","х"))-1),3)-3*BW112))</f>
      </c>
      <c r="BY112" s="129">
        <f>IF(R112="","",IFERROR(VLOOKUP(R112,УГО_спр,2,FALSE),IFERROR(VLOOKUP(AL112,УГО_спр,2,FALSE),IFERROR(VLOOKUP(LEFT(AL112,2),УГО_спр,2,FALSE),""))))</f>
      </c>
    </row>
    <row r="113" spans="1:64" x14ac:dyDescent="0.3">
      <c r="A113" s="135">
        <f>IF(Разбивка_по_щитам!F113=0,"",Разбивка_по_щитам!F113)</f>
      </c>
      <c r="B113" s="138">
        <f>IF(A113="","",Разбивка_по_щитам!C113)</f>
      </c>
      <c r="C113" s="138">
        <f t="shared" si="44"/>
      </c>
      <c r="D113" s="266"/>
      <c r="E113" s="266"/>
      <c r="F113" s="267"/>
      <c r="G113" s="145">
        <f t="shared" si="45"/>
        <v/>
      </c>
      <c r="H113" s="145">
        <f t="shared" si="46"/>
        <v/>
      </c>
      <c r="I113" s="266"/>
      <c r="J113" s="267"/>
      <c r="K113" s="267"/>
      <c r="L113" s="266"/>
      <c r="M113" s="147">
        <f t="shared" si="84"/>
        <v/>
      </c>
      <c r="N113" s="267"/>
      <c r="O113" s="147">
        <f t="shared" si="85"/>
        <v/>
      </c>
      <c r="P113" s="268">
        <f>IF(AY113=1,"XT"&amp;COUNTIFS($A$3:A113,A113,$AY$3:AY113,1),"")</f>
        <v/>
      </c>
      <c r="Q113" s="152">
        <f>IF(R113="","",IFERROR(SUBSTITUTE(Разбивка_по_щитам!P113,CHAR(10)," "),""))</f>
        <v/>
      </c>
      <c r="R113" s="153">
        <f>IF(OR(Разбивка_по_щитам!H113="",Разбивка_по_щитам!H113=0),"",Разбивка_по_щитам!H113)</f>
        <v/>
      </c>
      <c r="S113" s="154">
        <f>IF(R113="","",IFERROR(Разбивка_по_щитам!J113&amp;"",""))</f>
        <v/>
      </c>
      <c r="T113" s="155">
        <f>IF(R113="","",IFERROR(--Разбивка_по_щитам!L113,""))</f>
        <v/>
      </c>
      <c r="U113" s="155">
        <f>IF(R113="","",IFERROR(--Разбивка_по_щитам!K113,""))</f>
        <v/>
      </c>
      <c r="V113" s="138">
        <f>IF(R113="","",IFERROR(IF(Разбивка_по_щитам!M113=0,"",Разбивка_по_щитам!M113),""))</f>
        <v/>
      </c>
      <c r="W113" s="156">
        <f t="shared" si="47"/>
        <v/>
      </c>
      <c r="X113" s="157">
        <f t="shared" si="48"/>
        <v/>
      </c>
      <c r="Y113" s="266"/>
      <c r="Z113" s="158">
        <f t="shared" si="49"/>
        <v/>
      </c>
      <c r="AA113" s="160">
        <f t="shared" si="50"/>
        <v/>
      </c>
      <c r="AB113" s="160">
        <f>IF(R113="","",IFERROR(LOOKUP(INDEX(Справочная!$I$4:$I$19,MATCH(VLOOKUP(R113,Исходные_данные,22,FALSE),Справочная!$J$4:$J$19,0)+1),{6,10,16,20,25,32,40,50,63,80,100,125}),""))</f>
        <v/>
      </c>
      <c r="AC113" s="160">
        <f t="shared" si="51"/>
        <v/>
      </c>
      <c r="AD113" s="161">
        <f t="shared" si="52"/>
        <v/>
      </c>
      <c r="AE113" s="161">
        <f>IF(AND(R113="",G113=""),"",_xlfn.TEXTJOIN("; ",TRUE,IF(AND(R113&lt;&gt;"",V113=""),"нет фазы",""),IF(AND(R113&lt;&gt;"",N(T113)=0),"нет мощности",""),IF(AND(P113&lt;&gt;"",COUNTIFS($A$3:$A$1000,A113,$P$3:$P$1000,P113)&gt;1),"дубль клеммы "&amp;P113,""),IF(AND(W113&lt;&gt;"",W113&lt;&gt;"ok"),W113,""),IF(X113&lt;&gt;"",X113,""),IF(AND(ISNUMBER(SEARCH("(5х",Q113)),N(AK113)=1),"5 жил на 1 фазе",""),IF(AND(AL113="R",E113&lt;&gt;"",N(AS113)=0),"розетка без 30 мА",""),IF(IFERROR(_xlfn.NUMBERVALUE(MID(Q113,FIND("-",Q113,FIND("L=",Q113))+1,FIND("%",Q113)-FIND("-",Q113,FIND("L=",Q113))-1),","),0)&gt;4,"потери &gt; 4 %","")))</f>
      </c>
      <c r="AF113" s="129">
        <f>IF(E113&lt;&gt;"",COUNTIFS($A$3:A113,A113,$E$3:E113,"?*"),IF(OR(A113&lt;&gt;A112,Y113="вручную"),"",AF112))</f>
      </c>
      <c r="AG113" s="129">
        <f t="shared" si="53"/>
      </c>
      <c r="AH113" s="129">
        <f t="shared" si="54"/>
        <v/>
      </c>
      <c r="AI113" s="129">
        <f t="shared" si="55"/>
        <v/>
      </c>
      <c r="AJ113" s="129">
        <f t="shared" si="56"/>
        <v/>
      </c>
      <c r="AK113" s="129">
        <f t="shared" si="57"/>
        <v/>
      </c>
      <c r="AL113" s="129">
        <f t="shared" si="58"/>
        <v/>
      </c>
      <c r="AM113" s="129">
        <f t="shared" si="59"/>
      </c>
      <c r="AN113" s="129">
        <f t="shared" si="60"/>
      </c>
      <c r="AO113" s="129">
        <f t="shared" si="61"/>
        <v/>
      </c>
      <c r="AP113" s="129">
        <f t="shared" si="62"/>
        <v/>
      </c>
      <c r="AQ113" s="129">
        <f t="shared" si="63"/>
        <v/>
      </c>
      <c r="AR113" s="129">
        <f t="shared" si="64"/>
        <v/>
      </c>
      <c r="AS113" s="129">
        <f t="shared" si="65"/>
        <v/>
      </c>
      <c r="AT113" s="129">
        <f t="shared" si="66"/>
        <v/>
      </c>
      <c r="AU113" s="129">
        <f t="shared" si="67"/>
        <v/>
      </c>
      <c r="AV113" s="129">
        <f t="shared" si="68"/>
        <v/>
      </c>
      <c r="AW113" s="129">
        <f>IF(AV113="","",AV113&amp;"."&amp;COUNTIFS($A$3:A113,A113,$AV$3:AV113,AV113))</f>
        <v/>
      </c>
      <c r="AX113" s="129">
        <f t="shared" si="69"/>
        <v/>
      </c>
      <c r="AY113" s="129">
        <f>IF(N113="б/к",0,IF(OR(ISNUMBER(SEARCH("L=",Разбивка_по_щитам!P113)),N113="+",N113="="),1,0))</f>
      </c>
      <c r="AZ113" s="129">
        <f t="shared" si="70"/>
      </c>
      <c r="BA113" s="129">
        <f t="shared" si="71"/>
      </c>
      <c r="BB113" s="129">
        <f t="shared" si="72"/>
      </c>
      <c r="BD113" s="129">
        <f t="shared" si="73"/>
      </c>
      <c r="BE113" s="129">
        <f t="shared" si="74"/>
      </c>
      <c r="BF113" s="129">
        <f t="shared" si="75"/>
      </c>
      <c r="BG113" s="129">
        <f t="shared" si="76"/>
        <v/>
      </c>
      <c r="BH113" s="129">
        <f t="shared" si="77"/>
        <v/>
      </c>
      <c r="BI113" s="129">
        <f t="shared" si="78"/>
        <v/>
      </c>
      <c r="BJ113" s="129">
        <f t="shared" si="79"/>
        <v/>
      </c>
      <c r="BK113" s="129">
        <f>IF(R113="","",IF(OR(BY113="",BY113=0),"BOX",IFERROR(IF(VLOOKUP(BY113,УГО_блоки,3,FALSE)&amp;""&lt;&gt;"",VLOOKUP(BY113,УГО_блоки,3,FALSE),VLOOKUP(BY113,УГО_блоки,2,FALSE)),BY113)))</f>
      </c>
      <c r="BL113" s="129">
        <f t="shared" si="81"/>
      </c>
      <c r="BM113" s="129">
        <f>IF(H113="","",IF(COUNTIF($H$3:H113,H113)=1,MAX($BM$2:BM112)+1,""))</f>
      </c>
      <c r="BN113" s="129">
        <f>IF(I113="","",IF(COUNTIF($I$3:I113,I113)+COUNTIF($J$2:J112,I113)+COUNTIF($K$2:K112,I113)=1,MAX($BN$2:BP112)+1,""))</f>
      </c>
      <c r="BO113" s="129">
        <f>IF(J113="","",IF(COUNTIF($I$3:I113,J113)+COUNTIF($J$3:J113,J113)+COUNTIF($K$2:K112,J113)=1,MAX($BN$2:BP112,BN113)+1,""))</f>
      </c>
      <c r="BP113" s="129">
        <f>IF(K113="","",IF(COUNTIF($I$3:I113,K113)+COUNTIF($J$3:J113,K113)+COUNTIF($K$3:K113,K113)=1,MAX($BN$2:BP112,BN113,BO113)+1,""))</f>
      </c>
      <c r="BQ113" s="129">
        <f>IF(AY113=1,IFERROR(MID(Q113,FIND(" (",Q113)+2,FIND(")",Q113,FIND(" (",Q113))-FIND(" (",Q113)-2),"?"),"")</f>
      </c>
      <c r="BR113" s="129">
        <f>IF(BQ113="","",IF(COUNTIF($BQ$3:BQ113,BQ113)=1,MAX($BR$2:BR112)+1,""))</f>
      </c>
      <c r="BS113" s="129">
        <f>IF(AW113="","",COUNTIF($AW$3:AW113,"?*"))</f>
      </c>
      <c r="BT113" s="129">
        <f>IF(OR(AW113="",AI113=""),"",IF(COUNTIFS($AW$3:AW113,"?*",$AI$3:AI113,AI113)=1,MAX($BT$2:BT112)+1,""))</f>
      </c>
      <c r="BU113" s="129">
        <f>IF(AE113="",0,IF(OR(ISNUMBER(SEARCH("дубль",AE113)),ISNUMBER(SEARCH("ПЕРЕГРУЗ",AE113)),ISNUMBER(SEARCH("ЗАЩИЩ",AE113)),ISNUMBER(SEARCH("КАНАЛ",AE113)),ISNUMBER(SEARCH("без 30",AE113))),2,1))</f>
      </c>
      <c r="BV113" s="129">
        <f>IF(R113="","",COUNTIF($R$3:R113,"?*"))</f>
      </c>
      <c r="BW113" s="129">
        <f>IF(AY113&lt;&gt;1,0,IF(MAX(IFERROR(--VLOOKUP(R113,УГО_спр,5,FALSE),0),IFERROR(--VLOOKUP(AL113,УГО_спр,5,FALSE),0),IFERROR(--VLOOKUP(LEFT(AL113,2),УГО_спр,5,FALSE),0))&gt;0,MAX(IFERROR(--VLOOKUP(R113,УГО_спр,5,FALSE),0),IFERROR(--VLOOKUP(AL113,УГО_спр,5,FALSE),0),IFERROR(--VLOOKUP(LEFT(AL113,2),УГО_спр,5,FALSE),0)),IF(IFERROR(--LEFT(SUBSTITUTE(BQ113,"x","х"),FIND("х",SUBSTITUTE(BQ113,"x","х"))-1),3)&gt;3,Каталог!$S$9,1)))</f>
      </c>
      <c r="BX113" s="129">
        <f>IF(AY113&lt;&gt;1,0,MAX(0,IFERROR(--LEFT(SUBSTITUTE(BQ113,"x","х"),FIND("х",SUBSTITUTE(BQ113,"x","х"))-1),3)-3*BW113))</f>
      </c>
      <c r="BY113" s="129">
        <f>IF(R113="","",IFERROR(VLOOKUP(R113,УГО_спр,2,FALSE),IFERROR(VLOOKUP(AL113,УГО_спр,2,FALSE),IFERROR(VLOOKUP(LEFT(AL113,2),УГО_спр,2,FALSE),""))))</f>
      </c>
    </row>
    <row r="114" spans="1:64" x14ac:dyDescent="0.3">
      <c r="A114" s="135">
        <f>IF(Разбивка_по_щитам!F114=0,"",Разбивка_по_щитам!F114)</f>
      </c>
      <c r="B114" s="138">
        <f>IF(A114="","",Разбивка_по_щитам!C114)</f>
      </c>
      <c r="C114" s="138">
        <f t="shared" si="44"/>
      </c>
      <c r="D114" s="266"/>
      <c r="E114" s="266"/>
      <c r="F114" s="267"/>
      <c r="G114" s="145">
        <f t="shared" si="45"/>
        <v/>
      </c>
      <c r="H114" s="145">
        <f t="shared" si="46"/>
        <v/>
      </c>
      <c r="I114" s="266"/>
      <c r="J114" s="267"/>
      <c r="K114" s="267"/>
      <c r="L114" s="266"/>
      <c r="M114" s="147">
        <f t="shared" si="84"/>
        <v/>
      </c>
      <c r="N114" s="267"/>
      <c r="O114" s="147">
        <f t="shared" si="85"/>
        <v/>
      </c>
      <c r="P114" s="268">
        <f>IF(AY114=1,"XT"&amp;COUNTIFS($A$3:A114,A114,$AY$3:AY114,1),"")</f>
        <v/>
      </c>
      <c r="Q114" s="152">
        <f>IF(R114="","",IFERROR(SUBSTITUTE(Разбивка_по_щитам!P114,CHAR(10)," "),""))</f>
        <v/>
      </c>
      <c r="R114" s="153">
        <f>IF(OR(Разбивка_по_щитам!H114="",Разбивка_по_щитам!H114=0),"",Разбивка_по_щитам!H114)</f>
        <v/>
      </c>
      <c r="S114" s="154">
        <f>IF(R114="","",IFERROR(Разбивка_по_щитам!J114&amp;"",""))</f>
        <v/>
      </c>
      <c r="T114" s="155">
        <f>IF(R114="","",IFERROR(--Разбивка_по_щитам!L114,""))</f>
        <v/>
      </c>
      <c r="U114" s="155">
        <f>IF(R114="","",IFERROR(--Разбивка_по_щитам!K114,""))</f>
        <v/>
      </c>
      <c r="V114" s="138">
        <f>IF(R114="","",IFERROR(IF(Разбивка_по_щитам!M114=0,"",Разбивка_по_щитам!M114),""))</f>
        <v/>
      </c>
      <c r="W114" s="156">
        <f t="shared" si="47"/>
        <v/>
      </c>
      <c r="X114" s="157">
        <f t="shared" si="48"/>
        <v/>
      </c>
      <c r="Y114" s="266"/>
      <c r="Z114" s="158">
        <f t="shared" si="49"/>
        <v/>
      </c>
      <c r="AA114" s="160">
        <f t="shared" si="50"/>
        <v/>
      </c>
      <c r="AB114" s="160">
        <f>IF(R114="","",IFERROR(LOOKUP(INDEX(Справочная!$I$4:$I$19,MATCH(VLOOKUP(R114,Исходные_данные,22,FALSE),Справочная!$J$4:$J$19,0)+1),{6,10,16,20,25,32,40,50,63,80,100,125}),""))</f>
        <v/>
      </c>
      <c r="AC114" s="160">
        <f t="shared" si="51"/>
        <v/>
      </c>
      <c r="AD114" s="161">
        <f t="shared" si="52"/>
        <v/>
      </c>
      <c r="AE114" s="161">
        <f>IF(AND(R114="",G114=""),"",_xlfn.TEXTJOIN("; ",TRUE,IF(AND(R114&lt;&gt;"",V114=""),"нет фазы",""),IF(AND(R114&lt;&gt;"",N(T114)=0),"нет мощности",""),IF(AND(P114&lt;&gt;"",COUNTIFS($A$3:$A$1000,A114,$P$3:$P$1000,P114)&gt;1),"дубль клеммы "&amp;P114,""),IF(AND(W114&lt;&gt;"",W114&lt;&gt;"ok"),W114,""),IF(X114&lt;&gt;"",X114,""),IF(AND(ISNUMBER(SEARCH("(5х",Q114)),N(AK114)=1),"5 жил на 1 фазе",""),IF(AND(AL114="R",E114&lt;&gt;"",N(AS114)=0),"розетка без 30 мА",""),IF(IFERROR(_xlfn.NUMBERVALUE(MID(Q114,FIND("-",Q114,FIND("L=",Q114))+1,FIND("%",Q114)-FIND("-",Q114,FIND("L=",Q114))-1),","),0)&gt;4,"потери &gt; 4 %","")))</f>
      </c>
      <c r="AF114" s="129">
        <f>IF(E114&lt;&gt;"",COUNTIFS($A$3:A114,A114,$E$3:E114,"?*"),IF(OR(A114&lt;&gt;A113,Y114="вручную"),"",AF113))</f>
      </c>
      <c r="AG114" s="129">
        <f t="shared" si="53"/>
      </c>
      <c r="AH114" s="129">
        <f t="shared" si="54"/>
        <v/>
      </c>
      <c r="AI114" s="129">
        <f t="shared" si="55"/>
        <v/>
      </c>
      <c r="AJ114" s="129">
        <f t="shared" si="56"/>
        <v/>
      </c>
      <c r="AK114" s="129">
        <f t="shared" si="57"/>
        <v/>
      </c>
      <c r="AL114" s="129">
        <f t="shared" si="58"/>
        <v/>
      </c>
      <c r="AM114" s="129">
        <f t="shared" si="59"/>
      </c>
      <c r="AN114" s="129">
        <f t="shared" si="60"/>
      </c>
      <c r="AO114" s="129">
        <f t="shared" si="61"/>
        <v/>
      </c>
      <c r="AP114" s="129">
        <f t="shared" si="62"/>
        <v/>
      </c>
      <c r="AQ114" s="129">
        <f t="shared" si="63"/>
        <v/>
      </c>
      <c r="AR114" s="129">
        <f t="shared" si="64"/>
        <v/>
      </c>
      <c r="AS114" s="129">
        <f t="shared" si="65"/>
        <v/>
      </c>
      <c r="AT114" s="129">
        <f t="shared" si="66"/>
        <v/>
      </c>
      <c r="AU114" s="129">
        <f t="shared" si="67"/>
        <v/>
      </c>
      <c r="AV114" s="129">
        <f t="shared" si="68"/>
        <v/>
      </c>
      <c r="AW114" s="129">
        <f>IF(AV114="","",AV114&amp;"."&amp;COUNTIFS($A$3:A114,A114,$AV$3:AV114,AV114))</f>
        <v/>
      </c>
      <c r="AX114" s="129">
        <f t="shared" si="69"/>
        <v/>
      </c>
      <c r="AY114" s="129">
        <f>IF(N114="б/к",0,IF(OR(ISNUMBER(SEARCH("L=",Разбивка_по_щитам!P114)),N114="+",N114="="),1,0))</f>
      </c>
      <c r="AZ114" s="129">
        <f t="shared" si="70"/>
      </c>
      <c r="BA114" s="129">
        <f t="shared" si="71"/>
      </c>
      <c r="BB114" s="129">
        <f t="shared" si="72"/>
      </c>
      <c r="BD114" s="129">
        <f t="shared" si="73"/>
      </c>
      <c r="BE114" s="129">
        <f t="shared" si="74"/>
      </c>
      <c r="BF114" s="129">
        <f t="shared" si="75"/>
      </c>
      <c r="BG114" s="129">
        <f t="shared" si="76"/>
        <v/>
      </c>
      <c r="BH114" s="129">
        <f t="shared" si="77"/>
        <v/>
      </c>
      <c r="BI114" s="129">
        <f t="shared" si="78"/>
        <v/>
      </c>
      <c r="BJ114" s="129">
        <f t="shared" si="79"/>
        <v/>
      </c>
      <c r="BK114" s="129">
        <f>IF(R114="","",IF(OR(BY114="",BY114=0),"BOX",IFERROR(IF(VLOOKUP(BY114,УГО_блоки,3,FALSE)&amp;""&lt;&gt;"",VLOOKUP(BY114,УГО_блоки,3,FALSE),VLOOKUP(BY114,УГО_блоки,2,FALSE)),BY114)))</f>
      </c>
      <c r="BL114" s="129">
        <f t="shared" si="81"/>
      </c>
      <c r="BM114" s="129">
        <f>IF(H114="","",IF(COUNTIF($H$3:H114,H114)=1,MAX($BM$2:BM113)+1,""))</f>
      </c>
      <c r="BN114" s="129">
        <f>IF(I114="","",IF(COUNTIF($I$3:I114,I114)+COUNTIF($J$2:J113,I114)+COUNTIF($K$2:K113,I114)=1,MAX($BN$2:BP113)+1,""))</f>
      </c>
      <c r="BO114" s="129">
        <f>IF(J114="","",IF(COUNTIF($I$3:I114,J114)+COUNTIF($J$3:J114,J114)+COUNTIF($K$2:K113,J114)=1,MAX($BN$2:BP113,BN114)+1,""))</f>
      </c>
      <c r="BP114" s="129">
        <f>IF(K114="","",IF(COUNTIF($I$3:I114,K114)+COUNTIF($J$3:J114,K114)+COUNTIF($K$3:K114,K114)=1,MAX($BN$2:BP113,BN114,BO114)+1,""))</f>
      </c>
      <c r="BQ114" s="129">
        <f>IF(AY114=1,IFERROR(MID(Q114,FIND(" (",Q114)+2,FIND(")",Q114,FIND(" (",Q114))-FIND(" (",Q114)-2),"?"),"")</f>
      </c>
      <c r="BR114" s="129">
        <f>IF(BQ114="","",IF(COUNTIF($BQ$3:BQ114,BQ114)=1,MAX($BR$2:BR113)+1,""))</f>
      </c>
      <c r="BS114" s="129">
        <f>IF(AW114="","",COUNTIF($AW$3:AW114,"?*"))</f>
      </c>
      <c r="BT114" s="129">
        <f>IF(OR(AW114="",AI114=""),"",IF(COUNTIFS($AW$3:AW114,"?*",$AI$3:AI114,AI114)=1,MAX($BT$2:BT113)+1,""))</f>
      </c>
      <c r="BU114" s="129">
        <f>IF(AE114="",0,IF(OR(ISNUMBER(SEARCH("дубль",AE114)),ISNUMBER(SEARCH("ПЕРЕГРУЗ",AE114)),ISNUMBER(SEARCH("ЗАЩИЩ",AE114)),ISNUMBER(SEARCH("КАНАЛ",AE114)),ISNUMBER(SEARCH("без 30",AE114))),2,1))</f>
      </c>
      <c r="BV114" s="129">
        <f>IF(R114="","",COUNTIF($R$3:R114,"?*"))</f>
      </c>
      <c r="BW114" s="129">
        <f>IF(AY114&lt;&gt;1,0,IF(MAX(IFERROR(--VLOOKUP(R114,УГО_спр,5,FALSE),0),IFERROR(--VLOOKUP(AL114,УГО_спр,5,FALSE),0),IFERROR(--VLOOKUP(LEFT(AL114,2),УГО_спр,5,FALSE),0))&gt;0,MAX(IFERROR(--VLOOKUP(R114,УГО_спр,5,FALSE),0),IFERROR(--VLOOKUP(AL114,УГО_спр,5,FALSE),0),IFERROR(--VLOOKUP(LEFT(AL114,2),УГО_спр,5,FALSE),0)),IF(IFERROR(--LEFT(SUBSTITUTE(BQ114,"x","х"),FIND("х",SUBSTITUTE(BQ114,"x","х"))-1),3)&gt;3,Каталог!$S$9,1)))</f>
      </c>
      <c r="BX114" s="129">
        <f>IF(AY114&lt;&gt;1,0,MAX(0,IFERROR(--LEFT(SUBSTITUTE(BQ114,"x","х"),FIND("х",SUBSTITUTE(BQ114,"x","х"))-1),3)-3*BW114))</f>
      </c>
      <c r="BY114" s="129">
        <f>IF(R114="","",IFERROR(VLOOKUP(R114,УГО_спр,2,FALSE),IFERROR(VLOOKUP(AL114,УГО_спр,2,FALSE),IFERROR(VLOOKUP(LEFT(AL114,2),УГО_спр,2,FALSE),""))))</f>
      </c>
    </row>
    <row r="115" spans="1:64" x14ac:dyDescent="0.3">
      <c r="A115" s="135">
        <f>IF(Разбивка_по_щитам!F115=0,"",Разбивка_по_щитам!F115)</f>
      </c>
      <c r="B115" s="138">
        <f>IF(A115="","",Разбивка_по_щитам!C115)</f>
      </c>
      <c r="C115" s="138">
        <f t="shared" si="44"/>
      </c>
      <c r="D115" s="266"/>
      <c r="E115" s="266"/>
      <c r="F115" s="267"/>
      <c r="G115" s="145">
        <f t="shared" si="45"/>
        <v/>
      </c>
      <c r="H115" s="145">
        <f t="shared" si="46"/>
        <v/>
      </c>
      <c r="I115" s="266"/>
      <c r="J115" s="267"/>
      <c r="K115" s="267"/>
      <c r="L115" s="266"/>
      <c r="M115" s="147">
        <f t="shared" si="84"/>
        <v/>
      </c>
      <c r="N115" s="267"/>
      <c r="O115" s="147">
        <f t="shared" si="85"/>
        <v/>
      </c>
      <c r="P115" s="268">
        <f>IF(AY115=1,"XT"&amp;COUNTIFS($A$3:A115,A115,$AY$3:AY115,1),"")</f>
        <v/>
      </c>
      <c r="Q115" s="152">
        <f>IF(R115="","",IFERROR(SUBSTITUTE(Разбивка_по_щитам!P115,CHAR(10)," "),""))</f>
        <v/>
      </c>
      <c r="R115" s="153">
        <f>IF(OR(Разбивка_по_щитам!H115="",Разбивка_по_щитам!H115=0),"",Разбивка_по_щитам!H115)</f>
        <v/>
      </c>
      <c r="S115" s="154">
        <f>IF(R115="","",IFERROR(Разбивка_по_щитам!J115&amp;"",""))</f>
        <v/>
      </c>
      <c r="T115" s="155">
        <f>IF(R115="","",IFERROR(--Разбивка_по_щитам!L115,""))</f>
        <v/>
      </c>
      <c r="U115" s="155">
        <f>IF(R115="","",IFERROR(--Разбивка_по_щитам!K115,""))</f>
        <v/>
      </c>
      <c r="V115" s="138">
        <f>IF(R115="","",IFERROR(IF(Разбивка_по_щитам!M115=0,"",Разбивка_по_щитам!M115),""))</f>
        <v/>
      </c>
      <c r="W115" s="156">
        <f t="shared" si="47"/>
        <v/>
      </c>
      <c r="X115" s="157">
        <f t="shared" si="48"/>
        <v/>
      </c>
      <c r="Y115" s="266"/>
      <c r="Z115" s="158">
        <f t="shared" si="49"/>
        <v/>
      </c>
      <c r="AA115" s="160">
        <f t="shared" si="50"/>
        <v/>
      </c>
      <c r="AB115" s="160">
        <f>IF(R115="","",IFERROR(LOOKUP(INDEX(Справочная!$I$4:$I$19,MATCH(VLOOKUP(R115,Исходные_данные,22,FALSE),Справочная!$J$4:$J$19,0)+1),{6,10,16,20,25,32,40,50,63,80,100,125}),""))</f>
        <v/>
      </c>
      <c r="AC115" s="160">
        <f t="shared" si="51"/>
        <v/>
      </c>
      <c r="AD115" s="161">
        <f t="shared" si="52"/>
        <v/>
      </c>
      <c r="AE115" s="161">
        <f>IF(AND(R115="",G115=""),"",_xlfn.TEXTJOIN("; ",TRUE,IF(AND(R115&lt;&gt;"",V115=""),"нет фазы",""),IF(AND(R115&lt;&gt;"",N(T115)=0),"нет мощности",""),IF(AND(P115&lt;&gt;"",COUNTIFS($A$3:$A$1000,A115,$P$3:$P$1000,P115)&gt;1),"дубль клеммы "&amp;P115,""),IF(AND(W115&lt;&gt;"",W115&lt;&gt;"ok"),W115,""),IF(X115&lt;&gt;"",X115,""),IF(AND(ISNUMBER(SEARCH("(5х",Q115)),N(AK115)=1),"5 жил на 1 фазе",""),IF(AND(AL115="R",E115&lt;&gt;"",N(AS115)=0),"розетка без 30 мА",""),IF(IFERROR(_xlfn.NUMBERVALUE(MID(Q115,FIND("-",Q115,FIND("L=",Q115))+1,FIND("%",Q115)-FIND("-",Q115,FIND("L=",Q115))-1),","),0)&gt;4,"потери &gt; 4 %","")))</f>
      </c>
      <c r="AF115" s="129">
        <f>IF(E115&lt;&gt;"",COUNTIFS($A$3:A115,A115,$E$3:E115,"?*"),IF(OR(A115&lt;&gt;A114,Y115="вручную"),"",AF114))</f>
      </c>
      <c r="AG115" s="129">
        <f t="shared" si="53"/>
      </c>
      <c r="AH115" s="129">
        <f t="shared" si="54"/>
        <v/>
      </c>
      <c r="AI115" s="129">
        <f t="shared" si="55"/>
        <v/>
      </c>
      <c r="AJ115" s="129">
        <f t="shared" si="56"/>
        <v/>
      </c>
      <c r="AK115" s="129">
        <f t="shared" si="57"/>
        <v/>
      </c>
      <c r="AL115" s="129">
        <f t="shared" si="58"/>
        <v/>
      </c>
      <c r="AM115" s="129">
        <f t="shared" si="59"/>
      </c>
      <c r="AN115" s="129">
        <f t="shared" si="60"/>
      </c>
      <c r="AO115" s="129">
        <f t="shared" si="61"/>
        <v/>
      </c>
      <c r="AP115" s="129">
        <f t="shared" si="62"/>
        <v/>
      </c>
      <c r="AQ115" s="129">
        <f t="shared" si="63"/>
        <v/>
      </c>
      <c r="AR115" s="129">
        <f t="shared" si="64"/>
        <v/>
      </c>
      <c r="AS115" s="129">
        <f t="shared" si="65"/>
        <v/>
      </c>
      <c r="AT115" s="129">
        <f t="shared" si="66"/>
        <v/>
      </c>
      <c r="AU115" s="129">
        <f t="shared" si="67"/>
        <v/>
      </c>
      <c r="AV115" s="129">
        <f t="shared" si="68"/>
        <v/>
      </c>
      <c r="AW115" s="129">
        <f>IF(AV115="","",AV115&amp;"."&amp;COUNTIFS($A$3:A115,A115,$AV$3:AV115,AV115))</f>
        <v/>
      </c>
      <c r="AX115" s="129">
        <f t="shared" si="69"/>
        <v/>
      </c>
      <c r="AY115" s="129">
        <f>IF(N115="б/к",0,IF(OR(ISNUMBER(SEARCH("L=",Разбивка_по_щитам!P115)),N115="+",N115="="),1,0))</f>
      </c>
      <c r="AZ115" s="129">
        <f t="shared" si="70"/>
      </c>
      <c r="BA115" s="129">
        <f t="shared" si="71"/>
      </c>
      <c r="BB115" s="129">
        <f t="shared" si="72"/>
      </c>
      <c r="BD115" s="129">
        <f t="shared" si="73"/>
      </c>
      <c r="BE115" s="129">
        <f t="shared" si="74"/>
      </c>
      <c r="BF115" s="129">
        <f t="shared" si="75"/>
      </c>
      <c r="BG115" s="129">
        <f t="shared" si="76"/>
        <v/>
      </c>
      <c r="BH115" s="129">
        <f t="shared" si="77"/>
        <v/>
      </c>
      <c r="BI115" s="129">
        <f t="shared" si="78"/>
        <v/>
      </c>
      <c r="BJ115" s="129">
        <f t="shared" si="79"/>
        <v/>
      </c>
      <c r="BK115" s="129">
        <f>IF(R115="","",IF(OR(BY115="",BY115=0),"BOX",IFERROR(IF(VLOOKUP(BY115,УГО_блоки,3,FALSE)&amp;""&lt;&gt;"",VLOOKUP(BY115,УГО_блоки,3,FALSE),VLOOKUP(BY115,УГО_блоки,2,FALSE)),BY115)))</f>
      </c>
      <c r="BL115" s="129">
        <f t="shared" si="81"/>
      </c>
      <c r="BM115" s="129">
        <f>IF(H115="","",IF(COUNTIF($H$3:H115,H115)=1,MAX($BM$2:BM114)+1,""))</f>
      </c>
      <c r="BN115" s="129">
        <f>IF(I115="","",IF(COUNTIF($I$3:I115,I115)+COUNTIF($J$2:J114,I115)+COUNTIF($K$2:K114,I115)=1,MAX($BN$2:BP114)+1,""))</f>
      </c>
      <c r="BO115" s="129">
        <f>IF(J115="","",IF(COUNTIF($I$3:I115,J115)+COUNTIF($J$3:J115,J115)+COUNTIF($K$2:K114,J115)=1,MAX($BN$2:BP114,BN115)+1,""))</f>
      </c>
      <c r="BP115" s="129">
        <f>IF(K115="","",IF(COUNTIF($I$3:I115,K115)+COUNTIF($J$3:J115,K115)+COUNTIF($K$3:K115,K115)=1,MAX($BN$2:BP114,BN115,BO115)+1,""))</f>
      </c>
      <c r="BQ115" s="129">
        <f>IF(AY115=1,IFERROR(MID(Q115,FIND(" (",Q115)+2,FIND(")",Q115,FIND(" (",Q115))-FIND(" (",Q115)-2),"?"),"")</f>
      </c>
      <c r="BR115" s="129">
        <f>IF(BQ115="","",IF(COUNTIF($BQ$3:BQ115,BQ115)=1,MAX($BR$2:BR114)+1,""))</f>
      </c>
      <c r="BS115" s="129">
        <f>IF(AW115="","",COUNTIF($AW$3:AW115,"?*"))</f>
      </c>
      <c r="BT115" s="129">
        <f>IF(OR(AW115="",AI115=""),"",IF(COUNTIFS($AW$3:AW115,"?*",$AI$3:AI115,AI115)=1,MAX($BT$2:BT114)+1,""))</f>
      </c>
      <c r="BU115" s="129">
        <f>IF(AE115="",0,IF(OR(ISNUMBER(SEARCH("дубль",AE115)),ISNUMBER(SEARCH("ПЕРЕГРУЗ",AE115)),ISNUMBER(SEARCH("ЗАЩИЩ",AE115)),ISNUMBER(SEARCH("КАНАЛ",AE115)),ISNUMBER(SEARCH("без 30",AE115))),2,1))</f>
      </c>
      <c r="BV115" s="129">
        <f>IF(R115="","",COUNTIF($R$3:R115,"?*"))</f>
      </c>
      <c r="BW115" s="129">
        <f>IF(AY115&lt;&gt;1,0,IF(MAX(IFERROR(--VLOOKUP(R115,УГО_спр,5,FALSE),0),IFERROR(--VLOOKUP(AL115,УГО_спр,5,FALSE),0),IFERROR(--VLOOKUP(LEFT(AL115,2),УГО_спр,5,FALSE),0))&gt;0,MAX(IFERROR(--VLOOKUP(R115,УГО_спр,5,FALSE),0),IFERROR(--VLOOKUP(AL115,УГО_спр,5,FALSE),0),IFERROR(--VLOOKUP(LEFT(AL115,2),УГО_спр,5,FALSE),0)),IF(IFERROR(--LEFT(SUBSTITUTE(BQ115,"x","х"),FIND("х",SUBSTITUTE(BQ115,"x","х"))-1),3)&gt;3,Каталог!$S$9,1)))</f>
      </c>
      <c r="BX115" s="129">
        <f>IF(AY115&lt;&gt;1,0,MAX(0,IFERROR(--LEFT(SUBSTITUTE(BQ115,"x","х"),FIND("х",SUBSTITUTE(BQ115,"x","х"))-1),3)-3*BW115))</f>
      </c>
      <c r="BY115" s="129">
        <f>IF(R115="","",IFERROR(VLOOKUP(R115,УГО_спр,2,FALSE),IFERROR(VLOOKUP(AL115,УГО_спр,2,FALSE),IFERROR(VLOOKUP(LEFT(AL115,2),УГО_спр,2,FALSE),""))))</f>
      </c>
    </row>
    <row r="116" spans="1:64" x14ac:dyDescent="0.3">
      <c r="A116" s="135">
        <f>IF(Разбивка_по_щитам!F116=0,"",Разбивка_по_щитам!F116)</f>
      </c>
      <c r="B116" s="138">
        <f>IF(A116="","",Разбивка_по_щитам!C116)</f>
      </c>
      <c r="C116" s="138">
        <f t="shared" si="44"/>
      </c>
      <c r="D116" s="266"/>
      <c r="E116" s="266"/>
      <c r="F116" s="267"/>
      <c r="G116" s="145">
        <f t="shared" si="45"/>
        <v/>
      </c>
      <c r="H116" s="145">
        <f t="shared" si="46"/>
        <v/>
      </c>
      <c r="I116" s="266"/>
      <c r="J116" s="267"/>
      <c r="K116" s="267"/>
      <c r="L116" s="266"/>
      <c r="M116" s="147">
        <f t="shared" si="84"/>
        <v/>
      </c>
      <c r="N116" s="267"/>
      <c r="O116" s="147">
        <f t="shared" si="85"/>
        <v/>
      </c>
      <c r="P116" s="268">
        <f>IF(AY116=1,"XT"&amp;COUNTIFS($A$3:A116,A116,$AY$3:AY116,1),"")</f>
        <v/>
      </c>
      <c r="Q116" s="152">
        <f>IF(R116="","",IFERROR(SUBSTITUTE(Разбивка_по_щитам!P116,CHAR(10)," "),""))</f>
        <v/>
      </c>
      <c r="R116" s="153">
        <f>IF(OR(Разбивка_по_щитам!H116="",Разбивка_по_щитам!H116=0),"",Разбивка_по_щитам!H116)</f>
        <v/>
      </c>
      <c r="S116" s="154">
        <f>IF(R116="","",IFERROR(Разбивка_по_щитам!J116&amp;"",""))</f>
        <v/>
      </c>
      <c r="T116" s="155">
        <f>IF(R116="","",IFERROR(--Разбивка_по_щитам!L116,""))</f>
        <v/>
      </c>
      <c r="U116" s="155">
        <f>IF(R116="","",IFERROR(--Разбивка_по_щитам!K116,""))</f>
        <v/>
      </c>
      <c r="V116" s="138">
        <f>IF(R116="","",IFERROR(IF(Разбивка_по_щитам!M116=0,"",Разбивка_по_щитам!M116),""))</f>
        <v/>
      </c>
      <c r="W116" s="156">
        <f t="shared" si="47"/>
        <v/>
      </c>
      <c r="X116" s="157">
        <f t="shared" si="48"/>
        <v/>
      </c>
      <c r="Y116" s="266"/>
      <c r="Z116" s="158">
        <f t="shared" si="49"/>
        <v/>
      </c>
      <c r="AA116" s="160">
        <f t="shared" si="50"/>
        <v/>
      </c>
      <c r="AB116" s="160">
        <f>IF(R116="","",IFERROR(LOOKUP(INDEX(Справочная!$I$4:$I$19,MATCH(VLOOKUP(R116,Исходные_данные,22,FALSE),Справочная!$J$4:$J$19,0)+1),{6,10,16,20,25,32,40,50,63,80,100,125}),""))</f>
        <v/>
      </c>
      <c r="AC116" s="160">
        <f t="shared" si="51"/>
        <v/>
      </c>
      <c r="AD116" s="161">
        <f t="shared" si="52"/>
        <v/>
      </c>
      <c r="AE116" s="161">
        <f>IF(AND(R116="",G116=""),"",_xlfn.TEXTJOIN("; ",TRUE,IF(AND(R116&lt;&gt;"",V116=""),"нет фазы",""),IF(AND(R116&lt;&gt;"",N(T116)=0),"нет мощности",""),IF(AND(P116&lt;&gt;"",COUNTIFS($A$3:$A$1000,A116,$P$3:$P$1000,P116)&gt;1),"дубль клеммы "&amp;P116,""),IF(AND(W116&lt;&gt;"",W116&lt;&gt;"ok"),W116,""),IF(X116&lt;&gt;"",X116,""),IF(AND(ISNUMBER(SEARCH("(5х",Q116)),N(AK116)=1),"5 жил на 1 фазе",""),IF(AND(AL116="R",E116&lt;&gt;"",N(AS116)=0),"розетка без 30 мА",""),IF(IFERROR(_xlfn.NUMBERVALUE(MID(Q116,FIND("-",Q116,FIND("L=",Q116))+1,FIND("%",Q116)-FIND("-",Q116,FIND("L=",Q116))-1),","),0)&gt;4,"потери &gt; 4 %","")))</f>
      </c>
      <c r="AF116" s="129">
        <f>IF(E116&lt;&gt;"",COUNTIFS($A$3:A116,A116,$E$3:E116,"?*"),IF(OR(A116&lt;&gt;A115,Y116="вручную"),"",AF115))</f>
      </c>
      <c r="AG116" s="129">
        <f t="shared" si="53"/>
      </c>
      <c r="AH116" s="129">
        <f t="shared" si="54"/>
        <v/>
      </c>
      <c r="AI116" s="129">
        <f t="shared" si="55"/>
        <v/>
      </c>
      <c r="AJ116" s="129">
        <f t="shared" si="56"/>
        <v/>
      </c>
      <c r="AK116" s="129">
        <f t="shared" si="57"/>
        <v/>
      </c>
      <c r="AL116" s="129">
        <f t="shared" si="58"/>
        <v/>
      </c>
      <c r="AM116" s="129">
        <f t="shared" si="59"/>
      </c>
      <c r="AN116" s="129">
        <f t="shared" si="60"/>
      </c>
      <c r="AO116" s="129">
        <f t="shared" si="61"/>
        <v/>
      </c>
      <c r="AP116" s="129">
        <f t="shared" si="62"/>
        <v/>
      </c>
      <c r="AQ116" s="129">
        <f t="shared" si="63"/>
        <v/>
      </c>
      <c r="AR116" s="129">
        <f t="shared" si="64"/>
        <v/>
      </c>
      <c r="AS116" s="129">
        <f t="shared" si="65"/>
        <v/>
      </c>
      <c r="AT116" s="129">
        <f t="shared" si="66"/>
        <v/>
      </c>
      <c r="AU116" s="129">
        <f t="shared" si="67"/>
        <v/>
      </c>
      <c r="AV116" s="129">
        <f t="shared" si="68"/>
        <v/>
      </c>
      <c r="AW116" s="129">
        <f>IF(AV116="","",AV116&amp;"."&amp;COUNTIFS($A$3:A116,A116,$AV$3:AV116,AV116))</f>
        <v/>
      </c>
      <c r="AX116" s="129">
        <f t="shared" si="69"/>
        <v/>
      </c>
      <c r="AY116" s="129">
        <f>IF(N116="б/к",0,IF(OR(ISNUMBER(SEARCH("L=",Разбивка_по_щитам!P116)),N116="+",N116="="),1,0))</f>
      </c>
      <c r="AZ116" s="129">
        <f t="shared" si="70"/>
      </c>
      <c r="BA116" s="129">
        <f t="shared" si="71"/>
      </c>
      <c r="BB116" s="129">
        <f t="shared" si="72"/>
      </c>
      <c r="BD116" s="129">
        <f t="shared" si="73"/>
      </c>
      <c r="BE116" s="129">
        <f t="shared" si="74"/>
      </c>
      <c r="BF116" s="129">
        <f t="shared" si="75"/>
      </c>
      <c r="BG116" s="129">
        <f t="shared" si="76"/>
        <v/>
      </c>
      <c r="BH116" s="129">
        <f t="shared" si="77"/>
        <v/>
      </c>
      <c r="BI116" s="129">
        <f t="shared" si="78"/>
        <v/>
      </c>
      <c r="BJ116" s="129">
        <f t="shared" si="79"/>
        <v/>
      </c>
      <c r="BK116" s="129">
        <f>IF(R116="","",IF(OR(BY116="",BY116=0),"BOX",IFERROR(IF(VLOOKUP(BY116,УГО_блоки,3,FALSE)&amp;""&lt;&gt;"",VLOOKUP(BY116,УГО_блоки,3,FALSE),VLOOKUP(BY116,УГО_блоки,2,FALSE)),BY116)))</f>
      </c>
      <c r="BL116" s="129">
        <f t="shared" si="81"/>
      </c>
      <c r="BM116" s="129">
        <f>IF(H116="","",IF(COUNTIF($H$3:H116,H116)=1,MAX($BM$2:BM115)+1,""))</f>
      </c>
      <c r="BN116" s="129">
        <f>IF(I116="","",IF(COUNTIF($I$3:I116,I116)+COUNTIF($J$2:J115,I116)+COUNTIF($K$2:K115,I116)=1,MAX($BN$2:BP115)+1,""))</f>
      </c>
      <c r="BO116" s="129">
        <f>IF(J116="","",IF(COUNTIF($I$3:I116,J116)+COUNTIF($J$3:J116,J116)+COUNTIF($K$2:K115,J116)=1,MAX($BN$2:BP115,BN116)+1,""))</f>
      </c>
      <c r="BP116" s="129">
        <f>IF(K116="","",IF(COUNTIF($I$3:I116,K116)+COUNTIF($J$3:J116,K116)+COUNTIF($K$3:K116,K116)=1,MAX($BN$2:BP115,BN116,BO116)+1,""))</f>
      </c>
      <c r="BQ116" s="129">
        <f>IF(AY116=1,IFERROR(MID(Q116,FIND(" (",Q116)+2,FIND(")",Q116,FIND(" (",Q116))-FIND(" (",Q116)-2),"?"),"")</f>
      </c>
      <c r="BR116" s="129">
        <f>IF(BQ116="","",IF(COUNTIF($BQ$3:BQ116,BQ116)=1,MAX($BR$2:BR115)+1,""))</f>
      </c>
      <c r="BS116" s="129">
        <f>IF(AW116="","",COUNTIF($AW$3:AW116,"?*"))</f>
      </c>
      <c r="BT116" s="129">
        <f>IF(OR(AW116="",AI116=""),"",IF(COUNTIFS($AW$3:AW116,"?*",$AI$3:AI116,AI116)=1,MAX($BT$2:BT115)+1,""))</f>
      </c>
      <c r="BU116" s="129">
        <f>IF(AE116="",0,IF(OR(ISNUMBER(SEARCH("дубль",AE116)),ISNUMBER(SEARCH("ПЕРЕГРУЗ",AE116)),ISNUMBER(SEARCH("ЗАЩИЩ",AE116)),ISNUMBER(SEARCH("КАНАЛ",AE116)),ISNUMBER(SEARCH("без 30",AE116))),2,1))</f>
      </c>
      <c r="BV116" s="129">
        <f>IF(R116="","",COUNTIF($R$3:R116,"?*"))</f>
      </c>
      <c r="BW116" s="129">
        <f>IF(AY116&lt;&gt;1,0,IF(MAX(IFERROR(--VLOOKUP(R116,УГО_спр,5,FALSE),0),IFERROR(--VLOOKUP(AL116,УГО_спр,5,FALSE),0),IFERROR(--VLOOKUP(LEFT(AL116,2),УГО_спр,5,FALSE),0))&gt;0,MAX(IFERROR(--VLOOKUP(R116,УГО_спр,5,FALSE),0),IFERROR(--VLOOKUP(AL116,УГО_спр,5,FALSE),0),IFERROR(--VLOOKUP(LEFT(AL116,2),УГО_спр,5,FALSE),0)),IF(IFERROR(--LEFT(SUBSTITUTE(BQ116,"x","х"),FIND("х",SUBSTITUTE(BQ116,"x","х"))-1),3)&gt;3,Каталог!$S$9,1)))</f>
      </c>
      <c r="BX116" s="129">
        <f>IF(AY116&lt;&gt;1,0,MAX(0,IFERROR(--LEFT(SUBSTITUTE(BQ116,"x","х"),FIND("х",SUBSTITUTE(BQ116,"x","х"))-1),3)-3*BW116))</f>
      </c>
      <c r="BY116" s="129">
        <f>IF(R116="","",IFERROR(VLOOKUP(R116,УГО_спр,2,FALSE),IFERROR(VLOOKUP(AL116,УГО_спр,2,FALSE),IFERROR(VLOOKUP(LEFT(AL116,2),УГО_спр,2,FALSE),""))))</f>
      </c>
    </row>
    <row r="117" spans="1:64" x14ac:dyDescent="0.3">
      <c r="A117" s="135">
        <f>IF(Разбивка_по_щитам!F117=0,"",Разбивка_по_щитам!F117)</f>
      </c>
      <c r="B117" s="138">
        <f>IF(A117="","",Разбивка_по_щитам!C117)</f>
      </c>
      <c r="C117" s="138">
        <f t="shared" si="44"/>
      </c>
      <c r="D117" s="266"/>
      <c r="E117" s="266"/>
      <c r="F117" s="267"/>
      <c r="G117" s="145">
        <f t="shared" si="45"/>
        <v/>
      </c>
      <c r="H117" s="145">
        <f t="shared" si="46"/>
        <v/>
      </c>
      <c r="I117" s="266"/>
      <c r="J117" s="267"/>
      <c r="K117" s="267"/>
      <c r="L117" s="266"/>
      <c r="M117" s="147">
        <f t="shared" si="84"/>
        <v/>
      </c>
      <c r="N117" s="267"/>
      <c r="O117" s="147">
        <f t="shared" si="85"/>
        <v/>
      </c>
      <c r="P117" s="268">
        <f>IF(AY117=1,"XT"&amp;COUNTIFS($A$3:A117,A117,$AY$3:AY117,1),"")</f>
        <v/>
      </c>
      <c r="Q117" s="152">
        <f>IF(R117="","",IFERROR(SUBSTITUTE(Разбивка_по_щитам!P117,CHAR(10)," "),""))</f>
        <v/>
      </c>
      <c r="R117" s="153">
        <f>IF(OR(Разбивка_по_щитам!H117="",Разбивка_по_щитам!H117=0),"",Разбивка_по_щитам!H117)</f>
        <v/>
      </c>
      <c r="S117" s="154">
        <f>IF(R117="","",IFERROR(Разбивка_по_щитам!J117&amp;"",""))</f>
        <v/>
      </c>
      <c r="T117" s="155">
        <f>IF(R117="","",IFERROR(--Разбивка_по_щитам!L117,""))</f>
        <v/>
      </c>
      <c r="U117" s="155">
        <f>IF(R117="","",IFERROR(--Разбивка_по_щитам!K117,""))</f>
        <v/>
      </c>
      <c r="V117" s="138">
        <f>IF(R117="","",IFERROR(IF(Разбивка_по_щитам!M117=0,"",Разбивка_по_щитам!M117),""))</f>
        <v/>
      </c>
      <c r="W117" s="156">
        <f t="shared" si="47"/>
        <v/>
      </c>
      <c r="X117" s="157">
        <f t="shared" si="48"/>
        <v/>
      </c>
      <c r="Y117" s="266"/>
      <c r="Z117" s="158">
        <f t="shared" si="49"/>
        <v/>
      </c>
      <c r="AA117" s="160">
        <f t="shared" si="50"/>
        <v/>
      </c>
      <c r="AB117" s="160">
        <f>IF(R117="","",IFERROR(LOOKUP(INDEX(Справочная!$I$4:$I$19,MATCH(VLOOKUP(R117,Исходные_данные,22,FALSE),Справочная!$J$4:$J$19,0)+1),{6,10,16,20,25,32,40,50,63,80,100,125}),""))</f>
        <v/>
      </c>
      <c r="AC117" s="160">
        <f t="shared" si="51"/>
        <v/>
      </c>
      <c r="AD117" s="161">
        <f t="shared" si="52"/>
        <v/>
      </c>
      <c r="AE117" s="161">
        <f>IF(AND(R117="",G117=""),"",_xlfn.TEXTJOIN("; ",TRUE,IF(AND(R117&lt;&gt;"",V117=""),"нет фазы",""),IF(AND(R117&lt;&gt;"",N(T117)=0),"нет мощности",""),IF(AND(P117&lt;&gt;"",COUNTIFS($A$3:$A$1000,A117,$P$3:$P$1000,P117)&gt;1),"дубль клеммы "&amp;P117,""),IF(AND(W117&lt;&gt;"",W117&lt;&gt;"ok"),W117,""),IF(X117&lt;&gt;"",X117,""),IF(AND(ISNUMBER(SEARCH("(5х",Q117)),N(AK117)=1),"5 жил на 1 фазе",""),IF(AND(AL117="R",E117&lt;&gt;"",N(AS117)=0),"розетка без 30 мА",""),IF(IFERROR(_xlfn.NUMBERVALUE(MID(Q117,FIND("-",Q117,FIND("L=",Q117))+1,FIND("%",Q117)-FIND("-",Q117,FIND("L=",Q117))-1),","),0)&gt;4,"потери &gt; 4 %","")))</f>
      </c>
      <c r="AF117" s="129">
        <f>IF(E117&lt;&gt;"",COUNTIFS($A$3:A117,A117,$E$3:E117,"?*"),IF(OR(A117&lt;&gt;A116,Y117="вручную"),"",AF116))</f>
      </c>
      <c r="AG117" s="129">
        <f t="shared" si="53"/>
      </c>
      <c r="AH117" s="129">
        <f t="shared" si="54"/>
        <v/>
      </c>
      <c r="AI117" s="129">
        <f t="shared" si="55"/>
        <v/>
      </c>
      <c r="AJ117" s="129">
        <f t="shared" si="56"/>
        <v/>
      </c>
      <c r="AK117" s="129">
        <f t="shared" si="57"/>
        <v/>
      </c>
      <c r="AL117" s="129">
        <f t="shared" si="58"/>
        <v/>
      </c>
      <c r="AM117" s="129">
        <f t="shared" si="59"/>
      </c>
      <c r="AN117" s="129">
        <f t="shared" si="60"/>
      </c>
      <c r="AO117" s="129">
        <f t="shared" si="61"/>
        <v/>
      </c>
      <c r="AP117" s="129">
        <f t="shared" si="62"/>
        <v/>
      </c>
      <c r="AQ117" s="129">
        <f t="shared" si="63"/>
        <v/>
      </c>
      <c r="AR117" s="129">
        <f t="shared" si="64"/>
        <v/>
      </c>
      <c r="AS117" s="129">
        <f t="shared" si="65"/>
        <v/>
      </c>
      <c r="AT117" s="129">
        <f t="shared" si="66"/>
        <v/>
      </c>
      <c r="AU117" s="129">
        <f t="shared" si="67"/>
        <v/>
      </c>
      <c r="AV117" s="129">
        <f t="shared" si="68"/>
        <v/>
      </c>
      <c r="AW117" s="129">
        <f>IF(AV117="","",AV117&amp;"."&amp;COUNTIFS($A$3:A117,A117,$AV$3:AV117,AV117))</f>
        <v/>
      </c>
      <c r="AX117" s="129">
        <f t="shared" si="69"/>
        <v/>
      </c>
      <c r="AY117" s="129">
        <f>IF(N117="б/к",0,IF(OR(ISNUMBER(SEARCH("L=",Разбивка_по_щитам!P117)),N117="+",N117="="),1,0))</f>
      </c>
      <c r="AZ117" s="129">
        <f t="shared" si="70"/>
      </c>
      <c r="BA117" s="129">
        <f t="shared" si="71"/>
      </c>
      <c r="BB117" s="129">
        <f t="shared" si="72"/>
      </c>
      <c r="BD117" s="129">
        <f t="shared" si="73"/>
      </c>
      <c r="BE117" s="129">
        <f t="shared" si="74"/>
      </c>
      <c r="BF117" s="129">
        <f t="shared" si="75"/>
      </c>
      <c r="BG117" s="129">
        <f t="shared" si="76"/>
        <v/>
      </c>
      <c r="BH117" s="129">
        <f t="shared" si="77"/>
        <v/>
      </c>
      <c r="BI117" s="129">
        <f t="shared" si="78"/>
        <v/>
      </c>
      <c r="BJ117" s="129">
        <f t="shared" si="79"/>
        <v/>
      </c>
      <c r="BK117" s="129">
        <f>IF(R117="","",IF(OR(BY117="",BY117=0),"BOX",IFERROR(IF(VLOOKUP(BY117,УГО_блоки,3,FALSE)&amp;""&lt;&gt;"",VLOOKUP(BY117,УГО_блоки,3,FALSE),VLOOKUP(BY117,УГО_блоки,2,FALSE)),BY117)))</f>
      </c>
      <c r="BL117" s="129">
        <f t="shared" si="81"/>
      </c>
      <c r="BM117" s="129">
        <f>IF(H117="","",IF(COUNTIF($H$3:H117,H117)=1,MAX($BM$2:BM116)+1,""))</f>
      </c>
      <c r="BN117" s="129">
        <f>IF(I117="","",IF(COUNTIF($I$3:I117,I117)+COUNTIF($J$2:J116,I117)+COUNTIF($K$2:K116,I117)=1,MAX($BN$2:BP116)+1,""))</f>
      </c>
      <c r="BO117" s="129">
        <f>IF(J117="","",IF(COUNTIF($I$3:I117,J117)+COUNTIF($J$3:J117,J117)+COUNTIF($K$2:K116,J117)=1,MAX($BN$2:BP116,BN117)+1,""))</f>
      </c>
      <c r="BP117" s="129">
        <f>IF(K117="","",IF(COUNTIF($I$3:I117,K117)+COUNTIF($J$3:J117,K117)+COUNTIF($K$3:K117,K117)=1,MAX($BN$2:BP116,BN117,BO117)+1,""))</f>
      </c>
      <c r="BQ117" s="129">
        <f>IF(AY117=1,IFERROR(MID(Q117,FIND(" (",Q117)+2,FIND(")",Q117,FIND(" (",Q117))-FIND(" (",Q117)-2),"?"),"")</f>
      </c>
      <c r="BR117" s="129">
        <f>IF(BQ117="","",IF(COUNTIF($BQ$3:BQ117,BQ117)=1,MAX($BR$2:BR116)+1,""))</f>
      </c>
      <c r="BS117" s="129">
        <f>IF(AW117="","",COUNTIF($AW$3:AW117,"?*"))</f>
      </c>
      <c r="BT117" s="129">
        <f>IF(OR(AW117="",AI117=""),"",IF(COUNTIFS($AW$3:AW117,"?*",$AI$3:AI117,AI117)=1,MAX($BT$2:BT116)+1,""))</f>
      </c>
      <c r="BU117" s="129">
        <f>IF(AE117="",0,IF(OR(ISNUMBER(SEARCH("дубль",AE117)),ISNUMBER(SEARCH("ПЕРЕГРУЗ",AE117)),ISNUMBER(SEARCH("ЗАЩИЩ",AE117)),ISNUMBER(SEARCH("КАНАЛ",AE117)),ISNUMBER(SEARCH("без 30",AE117))),2,1))</f>
      </c>
      <c r="BV117" s="129">
        <f>IF(R117="","",COUNTIF($R$3:R117,"?*"))</f>
      </c>
      <c r="BW117" s="129">
        <f>IF(AY117&lt;&gt;1,0,IF(MAX(IFERROR(--VLOOKUP(R117,УГО_спр,5,FALSE),0),IFERROR(--VLOOKUP(AL117,УГО_спр,5,FALSE),0),IFERROR(--VLOOKUP(LEFT(AL117,2),УГО_спр,5,FALSE),0))&gt;0,MAX(IFERROR(--VLOOKUP(R117,УГО_спр,5,FALSE),0),IFERROR(--VLOOKUP(AL117,УГО_спр,5,FALSE),0),IFERROR(--VLOOKUP(LEFT(AL117,2),УГО_спр,5,FALSE),0)),IF(IFERROR(--LEFT(SUBSTITUTE(BQ117,"x","х"),FIND("х",SUBSTITUTE(BQ117,"x","х"))-1),3)&gt;3,Каталог!$S$9,1)))</f>
      </c>
      <c r="BX117" s="129">
        <f>IF(AY117&lt;&gt;1,0,MAX(0,IFERROR(--LEFT(SUBSTITUTE(BQ117,"x","х"),FIND("х",SUBSTITUTE(BQ117,"x","х"))-1),3)-3*BW117))</f>
      </c>
      <c r="BY117" s="129">
        <f>IF(R117="","",IFERROR(VLOOKUP(R117,УГО_спр,2,FALSE),IFERROR(VLOOKUP(AL117,УГО_спр,2,FALSE),IFERROR(VLOOKUP(LEFT(AL117,2),УГО_спр,2,FALSE),""))))</f>
      </c>
    </row>
    <row r="118" spans="1:64" x14ac:dyDescent="0.3">
      <c r="A118" s="135">
        <f>IF(Разбивка_по_щитам!F118=0,"",Разбивка_по_щитам!F118)</f>
      </c>
      <c r="B118" s="138">
        <f>IF(A118="","",Разбивка_по_щитам!C118)</f>
      </c>
      <c r="C118" s="138">
        <f t="shared" si="44"/>
      </c>
      <c r="D118" s="266"/>
      <c r="E118" s="266"/>
      <c r="F118" s="267"/>
      <c r="G118" s="145">
        <f t="shared" si="45"/>
        <v/>
      </c>
      <c r="H118" s="145">
        <f t="shared" si="46"/>
        <v/>
      </c>
      <c r="I118" s="266"/>
      <c r="J118" s="267"/>
      <c r="K118" s="267"/>
      <c r="L118" s="266"/>
      <c r="M118" s="147">
        <f t="shared" si="84"/>
        <v/>
      </c>
      <c r="N118" s="267"/>
      <c r="O118" s="147">
        <f t="shared" si="85"/>
        <v/>
      </c>
      <c r="P118" s="268">
        <f>IF(AY118=1,"XT"&amp;COUNTIFS($A$3:A118,A118,$AY$3:AY118,1),"")</f>
        <v/>
      </c>
      <c r="Q118" s="152">
        <f>IF(R118="","",IFERROR(SUBSTITUTE(Разбивка_по_щитам!P118,CHAR(10)," "),""))</f>
        <v/>
      </c>
      <c r="R118" s="153">
        <f>IF(OR(Разбивка_по_щитам!H118="",Разбивка_по_щитам!H118=0),"",Разбивка_по_щитам!H118)</f>
        <v/>
      </c>
      <c r="S118" s="154">
        <f>IF(R118="","",IFERROR(Разбивка_по_щитам!J118&amp;"",""))</f>
        <v/>
      </c>
      <c r="T118" s="155">
        <f>IF(R118="","",IFERROR(--Разбивка_по_щитам!L118,""))</f>
        <v/>
      </c>
      <c r="U118" s="155">
        <f>IF(R118="","",IFERROR(--Разбивка_по_щитам!K118,""))</f>
        <v/>
      </c>
      <c r="V118" s="138">
        <f>IF(R118="","",IFERROR(IF(Разбивка_по_щитам!M118=0,"",Разбивка_по_щитам!M118),""))</f>
        <v/>
      </c>
      <c r="W118" s="156">
        <f t="shared" si="47"/>
        <v/>
      </c>
      <c r="X118" s="157">
        <f t="shared" si="48"/>
        <v/>
      </c>
      <c r="Y118" s="266"/>
      <c r="Z118" s="158">
        <f t="shared" si="49"/>
        <v/>
      </c>
      <c r="AA118" s="160">
        <f t="shared" si="50"/>
        <v/>
      </c>
      <c r="AB118" s="160">
        <f>IF(R118="","",IFERROR(LOOKUP(INDEX(Справочная!$I$4:$I$19,MATCH(VLOOKUP(R118,Исходные_данные,22,FALSE),Справочная!$J$4:$J$19,0)+1),{6,10,16,20,25,32,40,50,63,80,100,125}),""))</f>
        <v/>
      </c>
      <c r="AC118" s="160">
        <f t="shared" si="51"/>
        <v/>
      </c>
      <c r="AD118" s="161">
        <f t="shared" si="52"/>
        <v/>
      </c>
      <c r="AE118" s="161">
        <f>IF(AND(R118="",G118=""),"",_xlfn.TEXTJOIN("; ",TRUE,IF(AND(R118&lt;&gt;"",V118=""),"нет фазы",""),IF(AND(R118&lt;&gt;"",N(T118)=0),"нет мощности",""),IF(AND(P118&lt;&gt;"",COUNTIFS($A$3:$A$1000,A118,$P$3:$P$1000,P118)&gt;1),"дубль клеммы "&amp;P118,""),IF(AND(W118&lt;&gt;"",W118&lt;&gt;"ok"),W118,""),IF(X118&lt;&gt;"",X118,""),IF(AND(ISNUMBER(SEARCH("(5х",Q118)),N(AK118)=1),"5 жил на 1 фазе",""),IF(AND(AL118="R",E118&lt;&gt;"",N(AS118)=0),"розетка без 30 мА",""),IF(IFERROR(_xlfn.NUMBERVALUE(MID(Q118,FIND("-",Q118,FIND("L=",Q118))+1,FIND("%",Q118)-FIND("-",Q118,FIND("L=",Q118))-1),","),0)&gt;4,"потери &gt; 4 %","")))</f>
      </c>
      <c r="AF118" s="129">
        <f>IF(E118&lt;&gt;"",COUNTIFS($A$3:A118,A118,$E$3:E118,"?*"),IF(OR(A118&lt;&gt;A117,Y118="вручную"),"",AF117))</f>
      </c>
      <c r="AG118" s="129">
        <f t="shared" si="53"/>
      </c>
      <c r="AH118" s="129">
        <f t="shared" si="54"/>
        <v/>
      </c>
      <c r="AI118" s="129">
        <f t="shared" si="55"/>
        <v/>
      </c>
      <c r="AJ118" s="129">
        <f t="shared" si="56"/>
        <v/>
      </c>
      <c r="AK118" s="129">
        <f t="shared" si="57"/>
        <v/>
      </c>
      <c r="AL118" s="129">
        <f t="shared" si="58"/>
        <v/>
      </c>
      <c r="AM118" s="129">
        <f t="shared" si="59"/>
      </c>
      <c r="AN118" s="129">
        <f t="shared" si="60"/>
      </c>
      <c r="AO118" s="129">
        <f t="shared" si="61"/>
        <v/>
      </c>
      <c r="AP118" s="129">
        <f t="shared" si="62"/>
        <v/>
      </c>
      <c r="AQ118" s="129">
        <f t="shared" si="63"/>
        <v/>
      </c>
      <c r="AR118" s="129">
        <f t="shared" si="64"/>
        <v/>
      </c>
      <c r="AS118" s="129">
        <f t="shared" si="65"/>
        <v/>
      </c>
      <c r="AT118" s="129">
        <f t="shared" si="66"/>
        <v/>
      </c>
      <c r="AU118" s="129">
        <f t="shared" si="67"/>
        <v/>
      </c>
      <c r="AV118" s="129">
        <f t="shared" si="68"/>
        <v/>
      </c>
      <c r="AW118" s="129">
        <f>IF(AV118="","",AV118&amp;"."&amp;COUNTIFS($A$3:A118,A118,$AV$3:AV118,AV118))</f>
        <v/>
      </c>
      <c r="AX118" s="129">
        <f t="shared" si="69"/>
        <v/>
      </c>
      <c r="AY118" s="129">
        <f>IF(N118="б/к",0,IF(OR(ISNUMBER(SEARCH("L=",Разбивка_по_щитам!P118)),N118="+",N118="="),1,0))</f>
      </c>
      <c r="AZ118" s="129">
        <f t="shared" si="70"/>
      </c>
      <c r="BA118" s="129">
        <f t="shared" si="71"/>
      </c>
      <c r="BB118" s="129">
        <f t="shared" si="72"/>
      </c>
      <c r="BD118" s="129">
        <f t="shared" si="73"/>
      </c>
      <c r="BE118" s="129">
        <f t="shared" si="74"/>
      </c>
      <c r="BF118" s="129">
        <f t="shared" si="75"/>
      </c>
      <c r="BG118" s="129">
        <f t="shared" si="76"/>
        <v/>
      </c>
      <c r="BH118" s="129">
        <f t="shared" si="77"/>
        <v/>
      </c>
      <c r="BI118" s="129">
        <f t="shared" si="78"/>
        <v/>
      </c>
      <c r="BJ118" s="129">
        <f t="shared" si="79"/>
        <v/>
      </c>
      <c r="BK118" s="129">
        <f>IF(R118="","",IF(OR(BY118="",BY118=0),"BOX",IFERROR(IF(VLOOKUP(BY118,УГО_блоки,3,FALSE)&amp;""&lt;&gt;"",VLOOKUP(BY118,УГО_блоки,3,FALSE),VLOOKUP(BY118,УГО_блоки,2,FALSE)),BY118)))</f>
      </c>
      <c r="BL118" s="129">
        <f t="shared" si="81"/>
      </c>
      <c r="BM118" s="129">
        <f>IF(H118="","",IF(COUNTIF($H$3:H118,H118)=1,MAX($BM$2:BM117)+1,""))</f>
      </c>
      <c r="BN118" s="129">
        <f>IF(I118="","",IF(COUNTIF($I$3:I118,I118)+COUNTIF($J$2:J117,I118)+COUNTIF($K$2:K117,I118)=1,MAX($BN$2:BP117)+1,""))</f>
      </c>
      <c r="BO118" s="129">
        <f>IF(J118="","",IF(COUNTIF($I$3:I118,J118)+COUNTIF($J$3:J118,J118)+COUNTIF($K$2:K117,J118)=1,MAX($BN$2:BP117,BN118)+1,""))</f>
      </c>
      <c r="BP118" s="129">
        <f>IF(K118="","",IF(COUNTIF($I$3:I118,K118)+COUNTIF($J$3:J118,K118)+COUNTIF($K$3:K118,K118)=1,MAX($BN$2:BP117,BN118,BO118)+1,""))</f>
      </c>
      <c r="BQ118" s="129">
        <f>IF(AY118=1,IFERROR(MID(Q118,FIND(" (",Q118)+2,FIND(")",Q118,FIND(" (",Q118))-FIND(" (",Q118)-2),"?"),"")</f>
      </c>
      <c r="BR118" s="129">
        <f>IF(BQ118="","",IF(COUNTIF($BQ$3:BQ118,BQ118)=1,MAX($BR$2:BR117)+1,""))</f>
      </c>
      <c r="BS118" s="129">
        <f>IF(AW118="","",COUNTIF($AW$3:AW118,"?*"))</f>
      </c>
      <c r="BT118" s="129">
        <f>IF(OR(AW118="",AI118=""),"",IF(COUNTIFS($AW$3:AW118,"?*",$AI$3:AI118,AI118)=1,MAX($BT$2:BT117)+1,""))</f>
      </c>
      <c r="BU118" s="129">
        <f>IF(AE118="",0,IF(OR(ISNUMBER(SEARCH("дубль",AE118)),ISNUMBER(SEARCH("ПЕРЕГРУЗ",AE118)),ISNUMBER(SEARCH("ЗАЩИЩ",AE118)),ISNUMBER(SEARCH("КАНАЛ",AE118)),ISNUMBER(SEARCH("без 30",AE118))),2,1))</f>
      </c>
      <c r="BV118" s="129">
        <f>IF(R118="","",COUNTIF($R$3:R118,"?*"))</f>
      </c>
      <c r="BW118" s="129">
        <f>IF(AY118&lt;&gt;1,0,IF(MAX(IFERROR(--VLOOKUP(R118,УГО_спр,5,FALSE),0),IFERROR(--VLOOKUP(AL118,УГО_спр,5,FALSE),0),IFERROR(--VLOOKUP(LEFT(AL118,2),УГО_спр,5,FALSE),0))&gt;0,MAX(IFERROR(--VLOOKUP(R118,УГО_спр,5,FALSE),0),IFERROR(--VLOOKUP(AL118,УГО_спр,5,FALSE),0),IFERROR(--VLOOKUP(LEFT(AL118,2),УГО_спр,5,FALSE),0)),IF(IFERROR(--LEFT(SUBSTITUTE(BQ118,"x","х"),FIND("х",SUBSTITUTE(BQ118,"x","х"))-1),3)&gt;3,Каталог!$S$9,1)))</f>
      </c>
      <c r="BX118" s="129">
        <f>IF(AY118&lt;&gt;1,0,MAX(0,IFERROR(--LEFT(SUBSTITUTE(BQ118,"x","х"),FIND("х",SUBSTITUTE(BQ118,"x","х"))-1),3)-3*BW118))</f>
      </c>
      <c r="BY118" s="129">
        <f>IF(R118="","",IFERROR(VLOOKUP(R118,УГО_спр,2,FALSE),IFERROR(VLOOKUP(AL118,УГО_спр,2,FALSE),IFERROR(VLOOKUP(LEFT(AL118,2),УГО_спр,2,FALSE),""))))</f>
      </c>
    </row>
    <row r="119" spans="1:64" x14ac:dyDescent="0.3">
      <c r="A119" s="135">
        <f>IF(Разбивка_по_щитам!F119=0,"",Разбивка_по_щитам!F119)</f>
      </c>
      <c r="B119" s="138">
        <f>IF(A119="","",Разбивка_по_щитам!C119)</f>
      </c>
      <c r="C119" s="138">
        <f t="shared" si="44"/>
      </c>
      <c r="D119" s="266"/>
      <c r="E119" s="266"/>
      <c r="F119" s="267"/>
      <c r="G119" s="145">
        <f t="shared" si="45"/>
        <v/>
      </c>
      <c r="H119" s="145">
        <f t="shared" si="46"/>
        <v/>
      </c>
      <c r="I119" s="266"/>
      <c r="J119" s="267"/>
      <c r="K119" s="267"/>
      <c r="L119" s="266"/>
      <c r="M119" s="147">
        <f t="shared" si="84"/>
        <v/>
      </c>
      <c r="N119" s="267"/>
      <c r="O119" s="147">
        <f t="shared" si="85"/>
        <v/>
      </c>
      <c r="P119" s="268">
        <f>IF(AY119=1,"XT"&amp;COUNTIFS($A$3:A119,A119,$AY$3:AY119,1),"")</f>
        <v/>
      </c>
      <c r="Q119" s="152">
        <f>IF(R119="","",IFERROR(SUBSTITUTE(Разбивка_по_щитам!P119,CHAR(10)," "),""))</f>
        <v/>
      </c>
      <c r="R119" s="153">
        <f>IF(OR(Разбивка_по_щитам!H119="",Разбивка_по_щитам!H119=0),"",Разбивка_по_щитам!H119)</f>
        <v/>
      </c>
      <c r="S119" s="154">
        <f>IF(R119="","",IFERROR(Разбивка_по_щитам!J119&amp;"",""))</f>
        <v/>
      </c>
      <c r="T119" s="155">
        <f>IF(R119="","",IFERROR(--Разбивка_по_щитам!L119,""))</f>
        <v/>
      </c>
      <c r="U119" s="155">
        <f>IF(R119="","",IFERROR(--Разбивка_по_щитам!K119,""))</f>
        <v/>
      </c>
      <c r="V119" s="138">
        <f>IF(R119="","",IFERROR(IF(Разбивка_по_щитам!M119=0,"",Разбивка_по_щитам!M119),""))</f>
        <v/>
      </c>
      <c r="W119" s="156">
        <f t="shared" si="47"/>
        <v/>
      </c>
      <c r="X119" s="157">
        <f t="shared" si="48"/>
        <v/>
      </c>
      <c r="Y119" s="266"/>
      <c r="Z119" s="158">
        <f t="shared" si="49"/>
        <v/>
      </c>
      <c r="AA119" s="160">
        <f t="shared" si="50"/>
        <v/>
      </c>
      <c r="AB119" s="160">
        <f>IF(R119="","",IFERROR(LOOKUP(INDEX(Справочная!$I$4:$I$19,MATCH(VLOOKUP(R119,Исходные_данные,22,FALSE),Справочная!$J$4:$J$19,0)+1),{6,10,16,20,25,32,40,50,63,80,100,125}),""))</f>
        <v/>
      </c>
      <c r="AC119" s="160">
        <f t="shared" si="51"/>
        <v/>
      </c>
      <c r="AD119" s="161">
        <f t="shared" si="52"/>
        <v/>
      </c>
      <c r="AE119" s="161">
        <f>IF(AND(R119="",G119=""),"",_xlfn.TEXTJOIN("; ",TRUE,IF(AND(R119&lt;&gt;"",V119=""),"нет фазы",""),IF(AND(R119&lt;&gt;"",N(T119)=0),"нет мощности",""),IF(AND(P119&lt;&gt;"",COUNTIFS($A$3:$A$1000,A119,$P$3:$P$1000,P119)&gt;1),"дубль клеммы "&amp;P119,""),IF(AND(W119&lt;&gt;"",W119&lt;&gt;"ok"),W119,""),IF(X119&lt;&gt;"",X119,""),IF(AND(ISNUMBER(SEARCH("(5х",Q119)),N(AK119)=1),"5 жил на 1 фазе",""),IF(AND(AL119="R",E119&lt;&gt;"",N(AS119)=0),"розетка без 30 мА",""),IF(IFERROR(_xlfn.NUMBERVALUE(MID(Q119,FIND("-",Q119,FIND("L=",Q119))+1,FIND("%",Q119)-FIND("-",Q119,FIND("L=",Q119))-1),","),0)&gt;4,"потери &gt; 4 %","")))</f>
      </c>
      <c r="AF119" s="129">
        <f>IF(E119&lt;&gt;"",COUNTIFS($A$3:A119,A119,$E$3:E119,"?*"),IF(OR(A119&lt;&gt;A118,Y119="вручную"),"",AF118))</f>
      </c>
      <c r="AG119" s="129">
        <f t="shared" si="53"/>
      </c>
      <c r="AH119" s="129">
        <f t="shared" si="54"/>
        <v/>
      </c>
      <c r="AI119" s="129">
        <f t="shared" si="55"/>
        <v/>
      </c>
      <c r="AJ119" s="129">
        <f t="shared" si="56"/>
        <v/>
      </c>
      <c r="AK119" s="129">
        <f t="shared" si="57"/>
        <v/>
      </c>
      <c r="AL119" s="129">
        <f t="shared" si="58"/>
        <v/>
      </c>
      <c r="AM119" s="129">
        <f t="shared" si="59"/>
      </c>
      <c r="AN119" s="129">
        <f t="shared" si="60"/>
      </c>
      <c r="AO119" s="129">
        <f t="shared" si="61"/>
        <v/>
      </c>
      <c r="AP119" s="129">
        <f t="shared" si="62"/>
        <v/>
      </c>
      <c r="AQ119" s="129">
        <f t="shared" si="63"/>
        <v/>
      </c>
      <c r="AR119" s="129">
        <f t="shared" si="64"/>
        <v/>
      </c>
      <c r="AS119" s="129">
        <f t="shared" si="65"/>
        <v/>
      </c>
      <c r="AT119" s="129">
        <f t="shared" si="66"/>
        <v/>
      </c>
      <c r="AU119" s="129">
        <f t="shared" si="67"/>
        <v/>
      </c>
      <c r="AV119" s="129">
        <f t="shared" si="68"/>
        <v/>
      </c>
      <c r="AW119" s="129">
        <f>IF(AV119="","",AV119&amp;"."&amp;COUNTIFS($A$3:A119,A119,$AV$3:AV119,AV119))</f>
        <v/>
      </c>
      <c r="AX119" s="129">
        <f t="shared" si="69"/>
        <v/>
      </c>
      <c r="AY119" s="129">
        <f>IF(N119="б/к",0,IF(OR(ISNUMBER(SEARCH("L=",Разбивка_по_щитам!P119)),N119="+",N119="="),1,0))</f>
      </c>
      <c r="AZ119" s="129">
        <f t="shared" si="70"/>
      </c>
      <c r="BA119" s="129">
        <f t="shared" si="71"/>
      </c>
      <c r="BB119" s="129">
        <f t="shared" si="72"/>
      </c>
      <c r="BD119" s="129">
        <f t="shared" si="73"/>
      </c>
      <c r="BE119" s="129">
        <f t="shared" si="74"/>
      </c>
      <c r="BF119" s="129">
        <f t="shared" si="75"/>
      </c>
      <c r="BG119" s="129">
        <f t="shared" si="76"/>
        <v/>
      </c>
      <c r="BH119" s="129">
        <f t="shared" si="77"/>
        <v/>
      </c>
      <c r="BI119" s="129">
        <f t="shared" si="78"/>
        <v/>
      </c>
      <c r="BJ119" s="129">
        <f t="shared" si="79"/>
        <v/>
      </c>
      <c r="BK119" s="129">
        <f>IF(R119="","",IF(OR(BY119="",BY119=0),"BOX",IFERROR(IF(VLOOKUP(BY119,УГО_блоки,3,FALSE)&amp;""&lt;&gt;"",VLOOKUP(BY119,УГО_блоки,3,FALSE),VLOOKUP(BY119,УГО_блоки,2,FALSE)),BY119)))</f>
      </c>
      <c r="BL119" s="129">
        <f t="shared" si="81"/>
      </c>
      <c r="BM119" s="129">
        <f>IF(H119="","",IF(COUNTIF($H$3:H119,H119)=1,MAX($BM$2:BM118)+1,""))</f>
      </c>
      <c r="BN119" s="129">
        <f>IF(I119="","",IF(COUNTIF($I$3:I119,I119)+COUNTIF($J$2:J118,I119)+COUNTIF($K$2:K118,I119)=1,MAX($BN$2:BP118)+1,""))</f>
      </c>
      <c r="BO119" s="129">
        <f>IF(J119="","",IF(COUNTIF($I$3:I119,J119)+COUNTIF($J$3:J119,J119)+COUNTIF($K$2:K118,J119)=1,MAX($BN$2:BP118,BN119)+1,""))</f>
      </c>
      <c r="BP119" s="129">
        <f>IF(K119="","",IF(COUNTIF($I$3:I119,K119)+COUNTIF($J$3:J119,K119)+COUNTIF($K$3:K119,K119)=1,MAX($BN$2:BP118,BN119,BO119)+1,""))</f>
      </c>
      <c r="BQ119" s="129">
        <f>IF(AY119=1,IFERROR(MID(Q119,FIND(" (",Q119)+2,FIND(")",Q119,FIND(" (",Q119))-FIND(" (",Q119)-2),"?"),"")</f>
      </c>
      <c r="BR119" s="129">
        <f>IF(BQ119="","",IF(COUNTIF($BQ$3:BQ119,BQ119)=1,MAX($BR$2:BR118)+1,""))</f>
      </c>
      <c r="BS119" s="129">
        <f>IF(AW119="","",COUNTIF($AW$3:AW119,"?*"))</f>
      </c>
      <c r="BT119" s="129">
        <f>IF(OR(AW119="",AI119=""),"",IF(COUNTIFS($AW$3:AW119,"?*",$AI$3:AI119,AI119)=1,MAX($BT$2:BT118)+1,""))</f>
      </c>
      <c r="BU119" s="129">
        <f>IF(AE119="",0,IF(OR(ISNUMBER(SEARCH("дубль",AE119)),ISNUMBER(SEARCH("ПЕРЕГРУЗ",AE119)),ISNUMBER(SEARCH("ЗАЩИЩ",AE119)),ISNUMBER(SEARCH("КАНАЛ",AE119)),ISNUMBER(SEARCH("без 30",AE119))),2,1))</f>
      </c>
      <c r="BV119" s="129">
        <f>IF(R119="","",COUNTIF($R$3:R119,"?*"))</f>
      </c>
      <c r="BW119" s="129">
        <f>IF(AY119&lt;&gt;1,0,IF(MAX(IFERROR(--VLOOKUP(R119,УГО_спр,5,FALSE),0),IFERROR(--VLOOKUP(AL119,УГО_спр,5,FALSE),0),IFERROR(--VLOOKUP(LEFT(AL119,2),УГО_спр,5,FALSE),0))&gt;0,MAX(IFERROR(--VLOOKUP(R119,УГО_спр,5,FALSE),0),IFERROR(--VLOOKUP(AL119,УГО_спр,5,FALSE),0),IFERROR(--VLOOKUP(LEFT(AL119,2),УГО_спр,5,FALSE),0)),IF(IFERROR(--LEFT(SUBSTITUTE(BQ119,"x","х"),FIND("х",SUBSTITUTE(BQ119,"x","х"))-1),3)&gt;3,Каталог!$S$9,1)))</f>
      </c>
      <c r="BX119" s="129">
        <f>IF(AY119&lt;&gt;1,0,MAX(0,IFERROR(--LEFT(SUBSTITUTE(BQ119,"x","х"),FIND("х",SUBSTITUTE(BQ119,"x","х"))-1),3)-3*BW119))</f>
      </c>
      <c r="BY119" s="129">
        <f>IF(R119="","",IFERROR(VLOOKUP(R119,УГО_спр,2,FALSE),IFERROR(VLOOKUP(AL119,УГО_спр,2,FALSE),IFERROR(VLOOKUP(LEFT(AL119,2),УГО_спр,2,FALSE),""))))</f>
      </c>
    </row>
    <row r="120" spans="1:64" x14ac:dyDescent="0.3">
      <c r="A120" s="135">
        <f>IF(Разбивка_по_щитам!F120=0,"",Разбивка_по_щитам!F120)</f>
      </c>
      <c r="B120" s="138">
        <f>IF(A120="","",Разбивка_по_щитам!C120)</f>
      </c>
      <c r="C120" s="138">
        <f t="shared" si="44"/>
      </c>
      <c r="D120" s="266"/>
      <c r="E120" s="266"/>
      <c r="F120" s="267"/>
      <c r="G120" s="145">
        <f t="shared" si="45"/>
        <v/>
      </c>
      <c r="H120" s="145">
        <f t="shared" si="46"/>
        <v/>
      </c>
      <c r="I120" s="266"/>
      <c r="J120" s="267"/>
      <c r="K120" s="267"/>
      <c r="L120" s="266"/>
      <c r="M120" s="147">
        <f t="shared" si="84"/>
        <v/>
      </c>
      <c r="N120" s="267"/>
      <c r="O120" s="147">
        <f t="shared" si="85"/>
        <v/>
      </c>
      <c r="P120" s="268">
        <f>IF(AY120=1,"XT"&amp;COUNTIFS($A$3:A120,A120,$AY$3:AY120,1),"")</f>
        <v/>
      </c>
      <c r="Q120" s="152">
        <f>IF(R120="","",IFERROR(SUBSTITUTE(Разбивка_по_щитам!P120,CHAR(10)," "),""))</f>
        <v/>
      </c>
      <c r="R120" s="153">
        <f>IF(OR(Разбивка_по_щитам!H120="",Разбивка_по_щитам!H120=0),"",Разбивка_по_щитам!H120)</f>
        <v/>
      </c>
      <c r="S120" s="154">
        <f>IF(R120="","",IFERROR(Разбивка_по_щитам!J120&amp;"",""))</f>
        <v/>
      </c>
      <c r="T120" s="155">
        <f>IF(R120="","",IFERROR(--Разбивка_по_щитам!L120,""))</f>
        <v/>
      </c>
      <c r="U120" s="155">
        <f>IF(R120="","",IFERROR(--Разбивка_по_щитам!K120,""))</f>
        <v/>
      </c>
      <c r="V120" s="138">
        <f>IF(R120="","",IFERROR(IF(Разбивка_по_щитам!M120=0,"",Разбивка_по_щитам!M120),""))</f>
        <v/>
      </c>
      <c r="W120" s="156">
        <f t="shared" si="47"/>
        <v/>
      </c>
      <c r="X120" s="157">
        <f t="shared" si="48"/>
        <v/>
      </c>
      <c r="Y120" s="266"/>
      <c r="Z120" s="158">
        <f t="shared" si="49"/>
        <v/>
      </c>
      <c r="AA120" s="160">
        <f t="shared" si="50"/>
        <v/>
      </c>
      <c r="AB120" s="160">
        <f>IF(R120="","",IFERROR(LOOKUP(INDEX(Справочная!$I$4:$I$19,MATCH(VLOOKUP(R120,Исходные_данные,22,FALSE),Справочная!$J$4:$J$19,0)+1),{6,10,16,20,25,32,40,50,63,80,100,125}),""))</f>
        <v/>
      </c>
      <c r="AC120" s="160">
        <f t="shared" si="51"/>
        <v/>
      </c>
      <c r="AD120" s="161">
        <f t="shared" si="52"/>
        <v/>
      </c>
      <c r="AE120" s="161">
        <f>IF(AND(R120="",G120=""),"",_xlfn.TEXTJOIN("; ",TRUE,IF(AND(R120&lt;&gt;"",V120=""),"нет фазы",""),IF(AND(R120&lt;&gt;"",N(T120)=0),"нет мощности",""),IF(AND(P120&lt;&gt;"",COUNTIFS($A$3:$A$1000,A120,$P$3:$P$1000,P120)&gt;1),"дубль клеммы "&amp;P120,""),IF(AND(W120&lt;&gt;"",W120&lt;&gt;"ok"),W120,""),IF(X120&lt;&gt;"",X120,""),IF(AND(ISNUMBER(SEARCH("(5х",Q120)),N(AK120)=1),"5 жил на 1 фазе",""),IF(AND(AL120="R",E120&lt;&gt;"",N(AS120)=0),"розетка без 30 мА",""),IF(IFERROR(_xlfn.NUMBERVALUE(MID(Q120,FIND("-",Q120,FIND("L=",Q120))+1,FIND("%",Q120)-FIND("-",Q120,FIND("L=",Q120))-1),","),0)&gt;4,"потери &gt; 4 %","")))</f>
      </c>
      <c r="AF120" s="129">
        <f>IF(E120&lt;&gt;"",COUNTIFS($A$3:A120,A120,$E$3:E120,"?*"),IF(OR(A120&lt;&gt;A119,Y120="вручную"),"",AF119))</f>
      </c>
      <c r="AG120" s="129">
        <f t="shared" si="53"/>
      </c>
      <c r="AH120" s="129">
        <f t="shared" si="54"/>
        <v/>
      </c>
      <c r="AI120" s="129">
        <f t="shared" si="55"/>
        <v/>
      </c>
      <c r="AJ120" s="129">
        <f t="shared" si="56"/>
        <v/>
      </c>
      <c r="AK120" s="129">
        <f t="shared" si="57"/>
        <v/>
      </c>
      <c r="AL120" s="129">
        <f t="shared" si="58"/>
        <v/>
      </c>
      <c r="AM120" s="129">
        <f t="shared" si="59"/>
      </c>
      <c r="AN120" s="129">
        <f t="shared" si="60"/>
      </c>
      <c r="AO120" s="129">
        <f t="shared" si="61"/>
        <v/>
      </c>
      <c r="AP120" s="129">
        <f t="shared" si="62"/>
        <v/>
      </c>
      <c r="AQ120" s="129">
        <f t="shared" si="63"/>
        <v/>
      </c>
      <c r="AR120" s="129">
        <f t="shared" si="64"/>
        <v/>
      </c>
      <c r="AS120" s="129">
        <f t="shared" si="65"/>
        <v/>
      </c>
      <c r="AT120" s="129">
        <f t="shared" si="66"/>
        <v/>
      </c>
      <c r="AU120" s="129">
        <f t="shared" si="67"/>
        <v/>
      </c>
      <c r="AV120" s="129">
        <f t="shared" si="68"/>
        <v/>
      </c>
      <c r="AW120" s="129">
        <f>IF(AV120="","",AV120&amp;"."&amp;COUNTIFS($A$3:A120,A120,$AV$3:AV120,AV120))</f>
        <v/>
      </c>
      <c r="AX120" s="129">
        <f t="shared" si="69"/>
        <v/>
      </c>
      <c r="AY120" s="129">
        <f>IF(N120="б/к",0,IF(OR(ISNUMBER(SEARCH("L=",Разбивка_по_щитам!P120)),N120="+",N120="="),1,0))</f>
      </c>
      <c r="AZ120" s="129">
        <f t="shared" si="70"/>
      </c>
      <c r="BA120" s="129">
        <f t="shared" si="71"/>
      </c>
      <c r="BB120" s="129">
        <f t="shared" si="72"/>
      </c>
      <c r="BD120" s="129">
        <f t="shared" si="73"/>
      </c>
      <c r="BE120" s="129">
        <f t="shared" si="74"/>
      </c>
      <c r="BF120" s="129">
        <f t="shared" si="75"/>
      </c>
      <c r="BG120" s="129">
        <f t="shared" si="76"/>
        <v/>
      </c>
      <c r="BH120" s="129">
        <f t="shared" si="77"/>
        <v/>
      </c>
      <c r="BI120" s="129">
        <f t="shared" si="78"/>
        <v/>
      </c>
      <c r="BJ120" s="129">
        <f t="shared" si="79"/>
        <v/>
      </c>
      <c r="BK120" s="129">
        <f>IF(R120="","",IF(OR(BY120="",BY120=0),"BOX",IFERROR(IF(VLOOKUP(BY120,УГО_блоки,3,FALSE)&amp;""&lt;&gt;"",VLOOKUP(BY120,УГО_блоки,3,FALSE),VLOOKUP(BY120,УГО_блоки,2,FALSE)),BY120)))</f>
      </c>
      <c r="BL120" s="129">
        <f t="shared" si="81"/>
      </c>
      <c r="BM120" s="129">
        <f>IF(H120="","",IF(COUNTIF($H$3:H120,H120)=1,MAX($BM$2:BM119)+1,""))</f>
      </c>
      <c r="BN120" s="129">
        <f>IF(I120="","",IF(COUNTIF($I$3:I120,I120)+COUNTIF($J$2:J119,I120)+COUNTIF($K$2:K119,I120)=1,MAX($BN$2:BP119)+1,""))</f>
      </c>
      <c r="BO120" s="129">
        <f>IF(J120="","",IF(COUNTIF($I$3:I120,J120)+COUNTIF($J$3:J120,J120)+COUNTIF($K$2:K119,J120)=1,MAX($BN$2:BP119,BN120)+1,""))</f>
      </c>
      <c r="BP120" s="129">
        <f>IF(K120="","",IF(COUNTIF($I$3:I120,K120)+COUNTIF($J$3:J120,K120)+COUNTIF($K$3:K120,K120)=1,MAX($BN$2:BP119,BN120,BO120)+1,""))</f>
      </c>
      <c r="BQ120" s="129">
        <f>IF(AY120=1,IFERROR(MID(Q120,FIND(" (",Q120)+2,FIND(")",Q120,FIND(" (",Q120))-FIND(" (",Q120)-2),"?"),"")</f>
      </c>
      <c r="BR120" s="129">
        <f>IF(BQ120="","",IF(COUNTIF($BQ$3:BQ120,BQ120)=1,MAX($BR$2:BR119)+1,""))</f>
      </c>
      <c r="BS120" s="129">
        <f>IF(AW120="","",COUNTIF($AW$3:AW120,"?*"))</f>
      </c>
      <c r="BT120" s="129">
        <f>IF(OR(AW120="",AI120=""),"",IF(COUNTIFS($AW$3:AW120,"?*",$AI$3:AI120,AI120)=1,MAX($BT$2:BT119)+1,""))</f>
      </c>
      <c r="BU120" s="129">
        <f>IF(AE120="",0,IF(OR(ISNUMBER(SEARCH("дубль",AE120)),ISNUMBER(SEARCH("ПЕРЕГРУЗ",AE120)),ISNUMBER(SEARCH("ЗАЩИЩ",AE120)),ISNUMBER(SEARCH("КАНАЛ",AE120)),ISNUMBER(SEARCH("без 30",AE120))),2,1))</f>
      </c>
      <c r="BV120" s="129">
        <f>IF(R120="","",COUNTIF($R$3:R120,"?*"))</f>
      </c>
      <c r="BW120" s="129">
        <f>IF(AY120&lt;&gt;1,0,IF(MAX(IFERROR(--VLOOKUP(R120,УГО_спр,5,FALSE),0),IFERROR(--VLOOKUP(AL120,УГО_спр,5,FALSE),0),IFERROR(--VLOOKUP(LEFT(AL120,2),УГО_спр,5,FALSE),0))&gt;0,MAX(IFERROR(--VLOOKUP(R120,УГО_спр,5,FALSE),0),IFERROR(--VLOOKUP(AL120,УГО_спр,5,FALSE),0),IFERROR(--VLOOKUP(LEFT(AL120,2),УГО_спр,5,FALSE),0)),IF(IFERROR(--LEFT(SUBSTITUTE(BQ120,"x","х"),FIND("х",SUBSTITUTE(BQ120,"x","х"))-1),3)&gt;3,Каталог!$S$9,1)))</f>
      </c>
      <c r="BX120" s="129">
        <f>IF(AY120&lt;&gt;1,0,MAX(0,IFERROR(--LEFT(SUBSTITUTE(BQ120,"x","х"),FIND("х",SUBSTITUTE(BQ120,"x","х"))-1),3)-3*BW120))</f>
      </c>
      <c r="BY120" s="129">
        <f>IF(R120="","",IFERROR(VLOOKUP(R120,УГО_спр,2,FALSE),IFERROR(VLOOKUP(AL120,УГО_спр,2,FALSE),IFERROR(VLOOKUP(LEFT(AL120,2),УГО_спр,2,FALSE),""))))</f>
      </c>
    </row>
    <row r="121" spans="1:64" x14ac:dyDescent="0.3">
      <c r="A121" s="135">
        <f>IF(Разбивка_по_щитам!F121=0,"",Разбивка_по_щитам!F121)</f>
      </c>
      <c r="B121" s="138">
        <f>IF(A121="","",Разбивка_по_щитам!C121)</f>
      </c>
      <c r="C121" s="138">
        <f t="shared" si="44"/>
      </c>
      <c r="D121" s="266"/>
      <c r="E121" s="266"/>
      <c r="F121" s="267"/>
      <c r="G121" s="145">
        <f t="shared" si="45"/>
        <v/>
      </c>
      <c r="H121" s="145">
        <f t="shared" si="46"/>
        <v/>
      </c>
      <c r="I121" s="266"/>
      <c r="J121" s="267"/>
      <c r="K121" s="267"/>
      <c r="L121" s="266"/>
      <c r="M121" s="147">
        <f t="shared" si="84"/>
        <v/>
      </c>
      <c r="N121" s="267"/>
      <c r="O121" s="147">
        <f t="shared" si="85"/>
        <v/>
      </c>
      <c r="P121" s="268">
        <f>IF(AY121=1,"XT"&amp;COUNTIFS($A$3:A121,A121,$AY$3:AY121,1),"")</f>
        <v/>
      </c>
      <c r="Q121" s="152">
        <f>IF(R121="","",IFERROR(SUBSTITUTE(Разбивка_по_щитам!P121,CHAR(10)," "),""))</f>
        <v/>
      </c>
      <c r="R121" s="153">
        <f>IF(OR(Разбивка_по_щитам!H121="",Разбивка_по_щитам!H121=0),"",Разбивка_по_щитам!H121)</f>
        <v/>
      </c>
      <c r="S121" s="154">
        <f>IF(R121="","",IFERROR(Разбивка_по_щитам!J121&amp;"",""))</f>
        <v/>
      </c>
      <c r="T121" s="155">
        <f>IF(R121="","",IFERROR(--Разбивка_по_щитам!L121,""))</f>
        <v/>
      </c>
      <c r="U121" s="155">
        <f>IF(R121="","",IFERROR(--Разбивка_по_щитам!K121,""))</f>
        <v/>
      </c>
      <c r="V121" s="138">
        <f>IF(R121="","",IFERROR(IF(Разбивка_по_щитам!M121=0,"",Разбивка_по_щитам!M121),""))</f>
        <v/>
      </c>
      <c r="W121" s="156">
        <f t="shared" si="47"/>
        <v/>
      </c>
      <c r="X121" s="157">
        <f t="shared" si="48"/>
        <v/>
      </c>
      <c r="Y121" s="266"/>
      <c r="Z121" s="158">
        <f t="shared" si="49"/>
        <v/>
      </c>
      <c r="AA121" s="160">
        <f t="shared" si="50"/>
        <v/>
      </c>
      <c r="AB121" s="160">
        <f>IF(R121="","",IFERROR(LOOKUP(INDEX(Справочная!$I$4:$I$19,MATCH(VLOOKUP(R121,Исходные_данные,22,FALSE),Справочная!$J$4:$J$19,0)+1),{6,10,16,20,25,32,40,50,63,80,100,125}),""))</f>
        <v/>
      </c>
      <c r="AC121" s="160">
        <f t="shared" si="51"/>
        <v/>
      </c>
      <c r="AD121" s="161">
        <f t="shared" si="52"/>
        <v/>
      </c>
      <c r="AE121" s="161">
        <f>IF(AND(R121="",G121=""),"",_xlfn.TEXTJOIN("; ",TRUE,IF(AND(R121&lt;&gt;"",V121=""),"нет фазы",""),IF(AND(R121&lt;&gt;"",N(T121)=0),"нет мощности",""),IF(AND(P121&lt;&gt;"",COUNTIFS($A$3:$A$1000,A121,$P$3:$P$1000,P121)&gt;1),"дубль клеммы "&amp;P121,""),IF(AND(W121&lt;&gt;"",W121&lt;&gt;"ok"),W121,""),IF(X121&lt;&gt;"",X121,""),IF(AND(ISNUMBER(SEARCH("(5х",Q121)),N(AK121)=1),"5 жил на 1 фазе",""),IF(AND(AL121="R",E121&lt;&gt;"",N(AS121)=0),"розетка без 30 мА",""),IF(IFERROR(_xlfn.NUMBERVALUE(MID(Q121,FIND("-",Q121,FIND("L=",Q121))+1,FIND("%",Q121)-FIND("-",Q121,FIND("L=",Q121))-1),","),0)&gt;4,"потери &gt; 4 %","")))</f>
      </c>
      <c r="AF121" s="129">
        <f>IF(E121&lt;&gt;"",COUNTIFS($A$3:A121,A121,$E$3:E121,"?*"),IF(OR(A121&lt;&gt;A120,Y121="вручную"),"",AF120))</f>
      </c>
      <c r="AG121" s="129">
        <f t="shared" si="53"/>
      </c>
      <c r="AH121" s="129">
        <f t="shared" si="54"/>
        <v/>
      </c>
      <c r="AI121" s="129">
        <f t="shared" si="55"/>
        <v/>
      </c>
      <c r="AJ121" s="129">
        <f t="shared" si="56"/>
        <v/>
      </c>
      <c r="AK121" s="129">
        <f t="shared" si="57"/>
        <v/>
      </c>
      <c r="AL121" s="129">
        <f t="shared" si="58"/>
        <v/>
      </c>
      <c r="AM121" s="129">
        <f t="shared" si="59"/>
      </c>
      <c r="AN121" s="129">
        <f t="shared" si="60"/>
      </c>
      <c r="AO121" s="129">
        <f t="shared" si="61"/>
        <v/>
      </c>
      <c r="AP121" s="129">
        <f t="shared" si="62"/>
        <v/>
      </c>
      <c r="AQ121" s="129">
        <f t="shared" si="63"/>
        <v/>
      </c>
      <c r="AR121" s="129">
        <f t="shared" si="64"/>
        <v/>
      </c>
      <c r="AS121" s="129">
        <f t="shared" si="65"/>
        <v/>
      </c>
      <c r="AT121" s="129">
        <f t="shared" si="66"/>
        <v/>
      </c>
      <c r="AU121" s="129">
        <f t="shared" si="67"/>
        <v/>
      </c>
      <c r="AV121" s="129">
        <f t="shared" si="68"/>
        <v/>
      </c>
      <c r="AW121" s="129">
        <f>IF(AV121="","",AV121&amp;"."&amp;COUNTIFS($A$3:A121,A121,$AV$3:AV121,AV121))</f>
        <v/>
      </c>
      <c r="AX121" s="129">
        <f t="shared" si="69"/>
        <v/>
      </c>
      <c r="AY121" s="129">
        <f>IF(N121="б/к",0,IF(OR(ISNUMBER(SEARCH("L=",Разбивка_по_щитам!P121)),N121="+",N121="="),1,0))</f>
      </c>
      <c r="AZ121" s="129">
        <f t="shared" si="70"/>
      </c>
      <c r="BA121" s="129">
        <f t="shared" si="71"/>
      </c>
      <c r="BB121" s="129">
        <f t="shared" si="72"/>
      </c>
      <c r="BD121" s="129">
        <f t="shared" si="73"/>
      </c>
      <c r="BE121" s="129">
        <f t="shared" si="74"/>
      </c>
      <c r="BF121" s="129">
        <f t="shared" si="75"/>
      </c>
      <c r="BG121" s="129">
        <f t="shared" si="76"/>
        <v/>
      </c>
      <c r="BH121" s="129">
        <f t="shared" si="77"/>
        <v/>
      </c>
      <c r="BI121" s="129">
        <f t="shared" si="78"/>
        <v/>
      </c>
      <c r="BJ121" s="129">
        <f t="shared" si="79"/>
        <v/>
      </c>
      <c r="BK121" s="129">
        <f>IF(R121="","",IF(OR(BY121="",BY121=0),"BOX",IFERROR(IF(VLOOKUP(BY121,УГО_блоки,3,FALSE)&amp;""&lt;&gt;"",VLOOKUP(BY121,УГО_блоки,3,FALSE),VLOOKUP(BY121,УГО_блоки,2,FALSE)),BY121)))</f>
      </c>
      <c r="BL121" s="129">
        <f t="shared" si="81"/>
      </c>
      <c r="BM121" s="129">
        <f>IF(H121="","",IF(COUNTIF($H$3:H121,H121)=1,MAX($BM$2:BM120)+1,""))</f>
      </c>
      <c r="BN121" s="129">
        <f>IF(I121="","",IF(COUNTIF($I$3:I121,I121)+COUNTIF($J$2:J120,I121)+COUNTIF($K$2:K120,I121)=1,MAX($BN$2:BP120)+1,""))</f>
      </c>
      <c r="BO121" s="129">
        <f>IF(J121="","",IF(COUNTIF($I$3:I121,J121)+COUNTIF($J$3:J121,J121)+COUNTIF($K$2:K120,J121)=1,MAX($BN$2:BP120,BN121)+1,""))</f>
      </c>
      <c r="BP121" s="129">
        <f>IF(K121="","",IF(COUNTIF($I$3:I121,K121)+COUNTIF($J$3:J121,K121)+COUNTIF($K$3:K121,K121)=1,MAX($BN$2:BP120,BN121,BO121)+1,""))</f>
      </c>
      <c r="BQ121" s="129">
        <f>IF(AY121=1,IFERROR(MID(Q121,FIND(" (",Q121)+2,FIND(")",Q121,FIND(" (",Q121))-FIND(" (",Q121)-2),"?"),"")</f>
      </c>
      <c r="BR121" s="129">
        <f>IF(BQ121="","",IF(COUNTIF($BQ$3:BQ121,BQ121)=1,MAX($BR$2:BR120)+1,""))</f>
      </c>
      <c r="BS121" s="129">
        <f>IF(AW121="","",COUNTIF($AW$3:AW121,"?*"))</f>
      </c>
      <c r="BT121" s="129">
        <f>IF(OR(AW121="",AI121=""),"",IF(COUNTIFS($AW$3:AW121,"?*",$AI$3:AI121,AI121)=1,MAX($BT$2:BT120)+1,""))</f>
      </c>
      <c r="BU121" s="129">
        <f>IF(AE121="",0,IF(OR(ISNUMBER(SEARCH("дубль",AE121)),ISNUMBER(SEARCH("ПЕРЕГРУЗ",AE121)),ISNUMBER(SEARCH("ЗАЩИЩ",AE121)),ISNUMBER(SEARCH("КАНАЛ",AE121)),ISNUMBER(SEARCH("без 30",AE121))),2,1))</f>
      </c>
      <c r="BV121" s="129">
        <f>IF(R121="","",COUNTIF($R$3:R121,"?*"))</f>
      </c>
      <c r="BW121" s="129">
        <f>IF(AY121&lt;&gt;1,0,IF(MAX(IFERROR(--VLOOKUP(R121,УГО_спр,5,FALSE),0),IFERROR(--VLOOKUP(AL121,УГО_спр,5,FALSE),0),IFERROR(--VLOOKUP(LEFT(AL121,2),УГО_спр,5,FALSE),0))&gt;0,MAX(IFERROR(--VLOOKUP(R121,УГО_спр,5,FALSE),0),IFERROR(--VLOOKUP(AL121,УГО_спр,5,FALSE),0),IFERROR(--VLOOKUP(LEFT(AL121,2),УГО_спр,5,FALSE),0)),IF(IFERROR(--LEFT(SUBSTITUTE(BQ121,"x","х"),FIND("х",SUBSTITUTE(BQ121,"x","х"))-1),3)&gt;3,Каталог!$S$9,1)))</f>
      </c>
      <c r="BX121" s="129">
        <f>IF(AY121&lt;&gt;1,0,MAX(0,IFERROR(--LEFT(SUBSTITUTE(BQ121,"x","х"),FIND("х",SUBSTITUTE(BQ121,"x","х"))-1),3)-3*BW121))</f>
      </c>
      <c r="BY121" s="129">
        <f>IF(R121="","",IFERROR(VLOOKUP(R121,УГО_спр,2,FALSE),IFERROR(VLOOKUP(AL121,УГО_спр,2,FALSE),IFERROR(VLOOKUP(LEFT(AL121,2),УГО_спр,2,FALSE),""))))</f>
      </c>
    </row>
    <row r="122" spans="1:64" x14ac:dyDescent="0.3">
      <c r="A122" s="135">
        <f>IF(Разбивка_по_щитам!F122=0,"",Разбивка_по_щитам!F122)</f>
      </c>
      <c r="B122" s="138">
        <f>IF(A122="","",Разбивка_по_щитам!C122)</f>
      </c>
      <c r="C122" s="138">
        <f t="shared" si="44"/>
      </c>
      <c r="D122" s="266"/>
      <c r="E122" s="266"/>
      <c r="F122" s="267"/>
      <c r="G122" s="145">
        <f t="shared" si="45"/>
        <v/>
      </c>
      <c r="H122" s="145">
        <f t="shared" si="46"/>
        <v/>
      </c>
      <c r="I122" s="266"/>
      <c r="J122" s="267"/>
      <c r="K122" s="267"/>
      <c r="L122" s="266"/>
      <c r="M122" s="147">
        <f t="shared" si="84"/>
        <v/>
      </c>
      <c r="N122" s="267"/>
      <c r="O122" s="147">
        <f t="shared" si="85"/>
        <v/>
      </c>
      <c r="P122" s="268">
        <f>IF(AY122=1,"XT"&amp;COUNTIFS($A$3:A122,A122,$AY$3:AY122,1),"")</f>
        <v/>
      </c>
      <c r="Q122" s="152">
        <f>IF(R122="","",IFERROR(SUBSTITUTE(Разбивка_по_щитам!P122,CHAR(10)," "),""))</f>
        <v/>
      </c>
      <c r="R122" s="153">
        <f>IF(OR(Разбивка_по_щитам!H122="",Разбивка_по_щитам!H122=0),"",Разбивка_по_щитам!H122)</f>
        <v/>
      </c>
      <c r="S122" s="154">
        <f>IF(R122="","",IFERROR(Разбивка_по_щитам!J122&amp;"",""))</f>
        <v/>
      </c>
      <c r="T122" s="155">
        <f>IF(R122="","",IFERROR(--Разбивка_по_щитам!L122,""))</f>
        <v/>
      </c>
      <c r="U122" s="155">
        <f>IF(R122="","",IFERROR(--Разбивка_по_щитам!K122,""))</f>
        <v/>
      </c>
      <c r="V122" s="138">
        <f>IF(R122="","",IFERROR(IF(Разбивка_по_щитам!M122=0,"",Разбивка_по_щитам!M122),""))</f>
        <v/>
      </c>
      <c r="W122" s="156">
        <f t="shared" si="47"/>
        <v/>
      </c>
      <c r="X122" s="157">
        <f t="shared" si="48"/>
        <v/>
      </c>
      <c r="Y122" s="266"/>
      <c r="Z122" s="158">
        <f t="shared" si="49"/>
        <v/>
      </c>
      <c r="AA122" s="160">
        <f t="shared" si="50"/>
        <v/>
      </c>
      <c r="AB122" s="160">
        <f>IF(R122="","",IFERROR(LOOKUP(INDEX(Справочная!$I$4:$I$19,MATCH(VLOOKUP(R122,Исходные_данные,22,FALSE),Справочная!$J$4:$J$19,0)+1),{6,10,16,20,25,32,40,50,63,80,100,125}),""))</f>
        <v/>
      </c>
      <c r="AC122" s="160">
        <f t="shared" si="51"/>
        <v/>
      </c>
      <c r="AD122" s="161">
        <f t="shared" si="52"/>
        <v/>
      </c>
      <c r="AE122" s="161">
        <f>IF(AND(R122="",G122=""),"",_xlfn.TEXTJOIN("; ",TRUE,IF(AND(R122&lt;&gt;"",V122=""),"нет фазы",""),IF(AND(R122&lt;&gt;"",N(T122)=0),"нет мощности",""),IF(AND(P122&lt;&gt;"",COUNTIFS($A$3:$A$1000,A122,$P$3:$P$1000,P122)&gt;1),"дубль клеммы "&amp;P122,""),IF(AND(W122&lt;&gt;"",W122&lt;&gt;"ok"),W122,""),IF(X122&lt;&gt;"",X122,""),IF(AND(ISNUMBER(SEARCH("(5х",Q122)),N(AK122)=1),"5 жил на 1 фазе",""),IF(AND(AL122="R",E122&lt;&gt;"",N(AS122)=0),"розетка без 30 мА",""),IF(IFERROR(_xlfn.NUMBERVALUE(MID(Q122,FIND("-",Q122,FIND("L=",Q122))+1,FIND("%",Q122)-FIND("-",Q122,FIND("L=",Q122))-1),","),0)&gt;4,"потери &gt; 4 %","")))</f>
      </c>
      <c r="AF122" s="129">
        <f>IF(E122&lt;&gt;"",COUNTIFS($A$3:A122,A122,$E$3:E122,"?*"),IF(OR(A122&lt;&gt;A121,Y122="вручную"),"",AF121))</f>
      </c>
      <c r="AG122" s="129">
        <f t="shared" si="53"/>
      </c>
      <c r="AH122" s="129">
        <f t="shared" si="54"/>
        <v/>
      </c>
      <c r="AI122" s="129">
        <f t="shared" si="55"/>
        <v/>
      </c>
      <c r="AJ122" s="129">
        <f t="shared" si="56"/>
        <v/>
      </c>
      <c r="AK122" s="129">
        <f t="shared" si="57"/>
        <v/>
      </c>
      <c r="AL122" s="129">
        <f t="shared" si="58"/>
        <v/>
      </c>
      <c r="AM122" s="129">
        <f t="shared" si="59"/>
      </c>
      <c r="AN122" s="129">
        <f t="shared" si="60"/>
      </c>
      <c r="AO122" s="129">
        <f t="shared" si="61"/>
        <v/>
      </c>
      <c r="AP122" s="129">
        <f t="shared" si="62"/>
        <v/>
      </c>
      <c r="AQ122" s="129">
        <f t="shared" si="63"/>
        <v/>
      </c>
      <c r="AR122" s="129">
        <f t="shared" si="64"/>
        <v/>
      </c>
      <c r="AS122" s="129">
        <f t="shared" si="65"/>
        <v/>
      </c>
      <c r="AT122" s="129">
        <f t="shared" si="66"/>
        <v/>
      </c>
      <c r="AU122" s="129">
        <f t="shared" si="67"/>
        <v/>
      </c>
      <c r="AV122" s="129">
        <f t="shared" si="68"/>
        <v/>
      </c>
      <c r="AW122" s="129">
        <f>IF(AV122="","",AV122&amp;"."&amp;COUNTIFS($A$3:A122,A122,$AV$3:AV122,AV122))</f>
        <v/>
      </c>
      <c r="AX122" s="129">
        <f t="shared" si="69"/>
        <v/>
      </c>
      <c r="AY122" s="129">
        <f>IF(N122="б/к",0,IF(OR(ISNUMBER(SEARCH("L=",Разбивка_по_щитам!P122)),N122="+",N122="="),1,0))</f>
      </c>
      <c r="AZ122" s="129">
        <f t="shared" si="70"/>
      </c>
      <c r="BA122" s="129">
        <f t="shared" si="71"/>
      </c>
      <c r="BB122" s="129">
        <f t="shared" si="72"/>
      </c>
      <c r="BD122" s="129">
        <f t="shared" si="73"/>
      </c>
      <c r="BE122" s="129">
        <f t="shared" si="74"/>
      </c>
      <c r="BF122" s="129">
        <f t="shared" si="75"/>
      </c>
      <c r="BG122" s="129">
        <f t="shared" si="76"/>
        <v/>
      </c>
      <c r="BH122" s="129">
        <f t="shared" si="77"/>
        <v/>
      </c>
      <c r="BI122" s="129">
        <f t="shared" si="78"/>
        <v/>
      </c>
      <c r="BJ122" s="129">
        <f t="shared" si="79"/>
        <v/>
      </c>
      <c r="BK122" s="129">
        <f>IF(R122="","",IF(OR(BY122="",BY122=0),"BOX",IFERROR(IF(VLOOKUP(BY122,УГО_блоки,3,FALSE)&amp;""&lt;&gt;"",VLOOKUP(BY122,УГО_блоки,3,FALSE),VLOOKUP(BY122,УГО_блоки,2,FALSE)),BY122)))</f>
      </c>
      <c r="BL122" s="129">
        <f t="shared" si="81"/>
      </c>
      <c r="BM122" s="129">
        <f>IF(H122="","",IF(COUNTIF($H$3:H122,H122)=1,MAX($BM$2:BM121)+1,""))</f>
      </c>
      <c r="BN122" s="129">
        <f>IF(I122="","",IF(COUNTIF($I$3:I122,I122)+COUNTIF($J$2:J121,I122)+COUNTIF($K$2:K121,I122)=1,MAX($BN$2:BP121)+1,""))</f>
      </c>
      <c r="BO122" s="129">
        <f>IF(J122="","",IF(COUNTIF($I$3:I122,J122)+COUNTIF($J$3:J122,J122)+COUNTIF($K$2:K121,J122)=1,MAX($BN$2:BP121,BN122)+1,""))</f>
      </c>
      <c r="BP122" s="129">
        <f>IF(K122="","",IF(COUNTIF($I$3:I122,K122)+COUNTIF($J$3:J122,K122)+COUNTIF($K$3:K122,K122)=1,MAX($BN$2:BP121,BN122,BO122)+1,""))</f>
      </c>
      <c r="BQ122" s="129">
        <f>IF(AY122=1,IFERROR(MID(Q122,FIND(" (",Q122)+2,FIND(")",Q122,FIND(" (",Q122))-FIND(" (",Q122)-2),"?"),"")</f>
      </c>
      <c r="BR122" s="129">
        <f>IF(BQ122="","",IF(COUNTIF($BQ$3:BQ122,BQ122)=1,MAX($BR$2:BR121)+1,""))</f>
      </c>
      <c r="BS122" s="129">
        <f>IF(AW122="","",COUNTIF($AW$3:AW122,"?*"))</f>
      </c>
      <c r="BT122" s="129">
        <f>IF(OR(AW122="",AI122=""),"",IF(COUNTIFS($AW$3:AW122,"?*",$AI$3:AI122,AI122)=1,MAX($BT$2:BT121)+1,""))</f>
      </c>
      <c r="BU122" s="129">
        <f>IF(AE122="",0,IF(OR(ISNUMBER(SEARCH("дубль",AE122)),ISNUMBER(SEARCH("ПЕРЕГРУЗ",AE122)),ISNUMBER(SEARCH("ЗАЩИЩ",AE122)),ISNUMBER(SEARCH("КАНАЛ",AE122)),ISNUMBER(SEARCH("без 30",AE122))),2,1))</f>
      </c>
      <c r="BV122" s="129">
        <f>IF(R122="","",COUNTIF($R$3:R122,"?*"))</f>
      </c>
      <c r="BW122" s="129">
        <f>IF(AY122&lt;&gt;1,0,IF(MAX(IFERROR(--VLOOKUP(R122,УГО_спр,5,FALSE),0),IFERROR(--VLOOKUP(AL122,УГО_спр,5,FALSE),0),IFERROR(--VLOOKUP(LEFT(AL122,2),УГО_спр,5,FALSE),0))&gt;0,MAX(IFERROR(--VLOOKUP(R122,УГО_спр,5,FALSE),0),IFERROR(--VLOOKUP(AL122,УГО_спр,5,FALSE),0),IFERROR(--VLOOKUP(LEFT(AL122,2),УГО_спр,5,FALSE),0)),IF(IFERROR(--LEFT(SUBSTITUTE(BQ122,"x","х"),FIND("х",SUBSTITUTE(BQ122,"x","х"))-1),3)&gt;3,Каталог!$S$9,1)))</f>
      </c>
      <c r="BX122" s="129">
        <f>IF(AY122&lt;&gt;1,0,MAX(0,IFERROR(--LEFT(SUBSTITUTE(BQ122,"x","х"),FIND("х",SUBSTITUTE(BQ122,"x","х"))-1),3)-3*BW122))</f>
      </c>
      <c r="BY122" s="129">
        <f>IF(R122="","",IFERROR(VLOOKUP(R122,УГО_спр,2,FALSE),IFERROR(VLOOKUP(AL122,УГО_спр,2,FALSE),IFERROR(VLOOKUP(LEFT(AL122,2),УГО_спр,2,FALSE),""))))</f>
      </c>
    </row>
    <row r="123" spans="1:64" x14ac:dyDescent="0.3">
      <c r="A123" s="135">
        <f>IF(Разбивка_по_щитам!F123=0,"",Разбивка_по_щитам!F123)</f>
      </c>
      <c r="B123" s="138">
        <f>IF(A123="","",Разбивка_по_щитам!C123)</f>
      </c>
      <c r="C123" s="138">
        <f t="shared" si="44"/>
      </c>
      <c r="D123" s="266"/>
      <c r="E123" s="266"/>
      <c r="F123" s="267"/>
      <c r="G123" s="145">
        <f t="shared" si="45"/>
        <v/>
      </c>
      <c r="H123" s="145">
        <f t="shared" si="46"/>
        <v/>
      </c>
      <c r="I123" s="266"/>
      <c r="J123" s="267"/>
      <c r="K123" s="267"/>
      <c r="L123" s="266"/>
      <c r="M123" s="147">
        <f t="shared" si="84"/>
        <v/>
      </c>
      <c r="N123" s="267"/>
      <c r="O123" s="147">
        <f t="shared" si="85"/>
        <v/>
      </c>
      <c r="P123" s="268">
        <f>IF(AY123=1,"XT"&amp;COUNTIFS($A$3:A123,A123,$AY$3:AY123,1),"")</f>
        <v/>
      </c>
      <c r="Q123" s="152">
        <f>IF(R123="","",IFERROR(SUBSTITUTE(Разбивка_по_щитам!P123,CHAR(10)," "),""))</f>
        <v/>
      </c>
      <c r="R123" s="153">
        <f>IF(OR(Разбивка_по_щитам!H123="",Разбивка_по_щитам!H123=0),"",Разбивка_по_щитам!H123)</f>
        <v/>
      </c>
      <c r="S123" s="154">
        <f>IF(R123="","",IFERROR(Разбивка_по_щитам!J123&amp;"",""))</f>
        <v/>
      </c>
      <c r="T123" s="155">
        <f>IF(R123="","",IFERROR(--Разбивка_по_щитам!L123,""))</f>
        <v/>
      </c>
      <c r="U123" s="155">
        <f>IF(R123="","",IFERROR(--Разбивка_по_щитам!K123,""))</f>
        <v/>
      </c>
      <c r="V123" s="138">
        <f>IF(R123="","",IFERROR(IF(Разбивка_по_щитам!M123=0,"",Разбивка_по_щитам!M123),""))</f>
        <v/>
      </c>
      <c r="W123" s="156">
        <f t="shared" si="47"/>
        <v/>
      </c>
      <c r="X123" s="157">
        <f t="shared" si="48"/>
        <v/>
      </c>
      <c r="Y123" s="266"/>
      <c r="Z123" s="158">
        <f t="shared" si="49"/>
        <v/>
      </c>
      <c r="AA123" s="160">
        <f t="shared" si="50"/>
        <v/>
      </c>
      <c r="AB123" s="160">
        <f>IF(R123="","",IFERROR(LOOKUP(INDEX(Справочная!$I$4:$I$19,MATCH(VLOOKUP(R123,Исходные_данные,22,FALSE),Справочная!$J$4:$J$19,0)+1),{6,10,16,20,25,32,40,50,63,80,100,125}),""))</f>
        <v/>
      </c>
      <c r="AC123" s="160">
        <f t="shared" si="51"/>
        <v/>
      </c>
      <c r="AD123" s="161">
        <f t="shared" si="52"/>
        <v/>
      </c>
      <c r="AE123" s="161">
        <f>IF(AND(R123="",G123=""),"",_xlfn.TEXTJOIN("; ",TRUE,IF(AND(R123&lt;&gt;"",V123=""),"нет фазы",""),IF(AND(R123&lt;&gt;"",N(T123)=0),"нет мощности",""),IF(AND(P123&lt;&gt;"",COUNTIFS($A$3:$A$1000,A123,$P$3:$P$1000,P123)&gt;1),"дубль клеммы "&amp;P123,""),IF(AND(W123&lt;&gt;"",W123&lt;&gt;"ok"),W123,""),IF(X123&lt;&gt;"",X123,""),IF(AND(ISNUMBER(SEARCH("(5х",Q123)),N(AK123)=1),"5 жил на 1 фазе",""),IF(AND(AL123="R",E123&lt;&gt;"",N(AS123)=0),"розетка без 30 мА",""),IF(IFERROR(_xlfn.NUMBERVALUE(MID(Q123,FIND("-",Q123,FIND("L=",Q123))+1,FIND("%",Q123)-FIND("-",Q123,FIND("L=",Q123))-1),","),0)&gt;4,"потери &gt; 4 %","")))</f>
      </c>
      <c r="AF123" s="129">
        <f>IF(E123&lt;&gt;"",COUNTIFS($A$3:A123,A123,$E$3:E123,"?*"),IF(OR(A123&lt;&gt;A122,Y123="вручную"),"",AF122))</f>
      </c>
      <c r="AG123" s="129">
        <f t="shared" si="53"/>
      </c>
      <c r="AH123" s="129">
        <f t="shared" si="54"/>
        <v/>
      </c>
      <c r="AI123" s="129">
        <f t="shared" si="55"/>
        <v/>
      </c>
      <c r="AJ123" s="129">
        <f t="shared" si="56"/>
        <v/>
      </c>
      <c r="AK123" s="129">
        <f t="shared" si="57"/>
        <v/>
      </c>
      <c r="AL123" s="129">
        <f t="shared" si="58"/>
        <v/>
      </c>
      <c r="AM123" s="129">
        <f t="shared" si="59"/>
      </c>
      <c r="AN123" s="129">
        <f t="shared" si="60"/>
      </c>
      <c r="AO123" s="129">
        <f t="shared" si="61"/>
        <v/>
      </c>
      <c r="AP123" s="129">
        <f t="shared" si="62"/>
        <v/>
      </c>
      <c r="AQ123" s="129">
        <f t="shared" si="63"/>
        <v/>
      </c>
      <c r="AR123" s="129">
        <f t="shared" si="64"/>
        <v/>
      </c>
      <c r="AS123" s="129">
        <f t="shared" si="65"/>
        <v/>
      </c>
      <c r="AT123" s="129">
        <f t="shared" si="66"/>
        <v/>
      </c>
      <c r="AU123" s="129">
        <f t="shared" si="67"/>
        <v/>
      </c>
      <c r="AV123" s="129">
        <f t="shared" si="68"/>
        <v/>
      </c>
      <c r="AW123" s="129">
        <f>IF(AV123="","",AV123&amp;"."&amp;COUNTIFS($A$3:A123,A123,$AV$3:AV123,AV123))</f>
        <v/>
      </c>
      <c r="AX123" s="129">
        <f t="shared" si="69"/>
        <v/>
      </c>
      <c r="AY123" s="129">
        <f>IF(N123="б/к",0,IF(OR(ISNUMBER(SEARCH("L=",Разбивка_по_щитам!P123)),N123="+",N123="="),1,0))</f>
      </c>
      <c r="AZ123" s="129">
        <f t="shared" si="70"/>
      </c>
      <c r="BA123" s="129">
        <f t="shared" si="71"/>
      </c>
      <c r="BB123" s="129">
        <f t="shared" si="72"/>
      </c>
      <c r="BD123" s="129">
        <f t="shared" si="73"/>
      </c>
      <c r="BE123" s="129">
        <f t="shared" si="74"/>
      </c>
      <c r="BF123" s="129">
        <f t="shared" si="75"/>
      </c>
      <c r="BG123" s="129">
        <f t="shared" si="76"/>
        <v/>
      </c>
      <c r="BH123" s="129">
        <f t="shared" si="77"/>
        <v/>
      </c>
      <c r="BI123" s="129">
        <f t="shared" si="78"/>
        <v/>
      </c>
      <c r="BJ123" s="129">
        <f t="shared" si="79"/>
        <v/>
      </c>
      <c r="BK123" s="129">
        <f>IF(R123="","",IF(OR(BY123="",BY123=0),"BOX",IFERROR(IF(VLOOKUP(BY123,УГО_блоки,3,FALSE)&amp;""&lt;&gt;"",VLOOKUP(BY123,УГО_блоки,3,FALSE),VLOOKUP(BY123,УГО_блоки,2,FALSE)),BY123)))</f>
      </c>
      <c r="BL123" s="129">
        <f t="shared" si="81"/>
      </c>
      <c r="BM123" s="129">
        <f>IF(H123="","",IF(COUNTIF($H$3:H123,H123)=1,MAX($BM$2:BM122)+1,""))</f>
      </c>
      <c r="BN123" s="129">
        <f>IF(I123="","",IF(COUNTIF($I$3:I123,I123)+COUNTIF($J$2:J122,I123)+COUNTIF($K$2:K122,I123)=1,MAX($BN$2:BP122)+1,""))</f>
      </c>
      <c r="BO123" s="129">
        <f>IF(J123="","",IF(COUNTIF($I$3:I123,J123)+COUNTIF($J$3:J123,J123)+COUNTIF($K$2:K122,J123)=1,MAX($BN$2:BP122,BN123)+1,""))</f>
      </c>
      <c r="BP123" s="129">
        <f>IF(K123="","",IF(COUNTIF($I$3:I123,K123)+COUNTIF($J$3:J123,K123)+COUNTIF($K$3:K123,K123)=1,MAX($BN$2:BP122,BN123,BO123)+1,""))</f>
      </c>
      <c r="BQ123" s="129">
        <f>IF(AY123=1,IFERROR(MID(Q123,FIND(" (",Q123)+2,FIND(")",Q123,FIND(" (",Q123))-FIND(" (",Q123)-2),"?"),"")</f>
      </c>
      <c r="BR123" s="129">
        <f>IF(BQ123="","",IF(COUNTIF($BQ$3:BQ123,BQ123)=1,MAX($BR$2:BR122)+1,""))</f>
      </c>
      <c r="BS123" s="129">
        <f>IF(AW123="","",COUNTIF($AW$3:AW123,"?*"))</f>
      </c>
      <c r="BT123" s="129">
        <f>IF(OR(AW123="",AI123=""),"",IF(COUNTIFS($AW$3:AW123,"?*",$AI$3:AI123,AI123)=1,MAX($BT$2:BT122)+1,""))</f>
      </c>
      <c r="BU123" s="129">
        <f>IF(AE123="",0,IF(OR(ISNUMBER(SEARCH("дубль",AE123)),ISNUMBER(SEARCH("ПЕРЕГРУЗ",AE123)),ISNUMBER(SEARCH("ЗАЩИЩ",AE123)),ISNUMBER(SEARCH("КАНАЛ",AE123)),ISNUMBER(SEARCH("без 30",AE123))),2,1))</f>
      </c>
      <c r="BV123" s="129">
        <f>IF(R123="","",COUNTIF($R$3:R123,"?*"))</f>
      </c>
      <c r="BW123" s="129">
        <f>IF(AY123&lt;&gt;1,0,IF(MAX(IFERROR(--VLOOKUP(R123,УГО_спр,5,FALSE),0),IFERROR(--VLOOKUP(AL123,УГО_спр,5,FALSE),0),IFERROR(--VLOOKUP(LEFT(AL123,2),УГО_спр,5,FALSE),0))&gt;0,MAX(IFERROR(--VLOOKUP(R123,УГО_спр,5,FALSE),0),IFERROR(--VLOOKUP(AL123,УГО_спр,5,FALSE),0),IFERROR(--VLOOKUP(LEFT(AL123,2),УГО_спр,5,FALSE),0)),IF(IFERROR(--LEFT(SUBSTITUTE(BQ123,"x","х"),FIND("х",SUBSTITUTE(BQ123,"x","х"))-1),3)&gt;3,Каталог!$S$9,1)))</f>
      </c>
      <c r="BX123" s="129">
        <f>IF(AY123&lt;&gt;1,0,MAX(0,IFERROR(--LEFT(SUBSTITUTE(BQ123,"x","х"),FIND("х",SUBSTITUTE(BQ123,"x","х"))-1),3)-3*BW123))</f>
      </c>
      <c r="BY123" s="129">
        <f>IF(R123="","",IFERROR(VLOOKUP(R123,УГО_спр,2,FALSE),IFERROR(VLOOKUP(AL123,УГО_спр,2,FALSE),IFERROR(VLOOKUP(LEFT(AL123,2),УГО_спр,2,FALSE),""))))</f>
      </c>
    </row>
    <row r="124" spans="1:64" x14ac:dyDescent="0.3">
      <c r="A124" s="135">
        <f>IF(Разбивка_по_щитам!F124=0,"",Разбивка_по_щитам!F124)</f>
      </c>
      <c r="B124" s="138">
        <f>IF(A124="","",Разбивка_по_щитам!C124)</f>
      </c>
      <c r="C124" s="138">
        <f t="shared" si="44"/>
      </c>
      <c r="D124" s="266"/>
      <c r="E124" s="266"/>
      <c r="F124" s="267"/>
      <c r="G124" s="145">
        <f t="shared" si="45"/>
        <v/>
      </c>
      <c r="H124" s="145">
        <f t="shared" si="46"/>
        <v/>
      </c>
      <c r="I124" s="266"/>
      <c r="J124" s="267"/>
      <c r="K124" s="267"/>
      <c r="L124" s="266"/>
      <c r="M124" s="147">
        <f t="shared" si="84"/>
        <v/>
      </c>
      <c r="N124" s="267"/>
      <c r="O124" s="147">
        <f t="shared" si="85"/>
        <v/>
      </c>
      <c r="P124" s="268">
        <f>IF(AY124=1,"XT"&amp;COUNTIFS($A$3:A124,A124,$AY$3:AY124,1),"")</f>
        <v/>
      </c>
      <c r="Q124" s="152">
        <f>IF(R124="","",IFERROR(SUBSTITUTE(Разбивка_по_щитам!P124,CHAR(10)," "),""))</f>
        <v/>
      </c>
      <c r="R124" s="153">
        <f>IF(OR(Разбивка_по_щитам!H124="",Разбивка_по_щитам!H124=0),"",Разбивка_по_щитам!H124)</f>
        <v/>
      </c>
      <c r="S124" s="154">
        <f>IF(R124="","",IFERROR(Разбивка_по_щитам!J124&amp;"",""))</f>
        <v/>
      </c>
      <c r="T124" s="155">
        <f>IF(R124="","",IFERROR(--Разбивка_по_щитам!L124,""))</f>
        <v/>
      </c>
      <c r="U124" s="155">
        <f>IF(R124="","",IFERROR(--Разбивка_по_щитам!K124,""))</f>
        <v/>
      </c>
      <c r="V124" s="138">
        <f>IF(R124="","",IFERROR(IF(Разбивка_по_щитам!M124=0,"",Разбивка_по_щитам!M124),""))</f>
        <v/>
      </c>
      <c r="W124" s="156">
        <f t="shared" si="47"/>
        <v/>
      </c>
      <c r="X124" s="157">
        <f t="shared" si="48"/>
        <v/>
      </c>
      <c r="Y124" s="266"/>
      <c r="Z124" s="158">
        <f t="shared" si="49"/>
        <v/>
      </c>
      <c r="AA124" s="160">
        <f t="shared" si="50"/>
        <v/>
      </c>
      <c r="AB124" s="160">
        <f>IF(R124="","",IFERROR(LOOKUP(INDEX(Справочная!$I$4:$I$19,MATCH(VLOOKUP(R124,Исходные_данные,22,FALSE),Справочная!$J$4:$J$19,0)+1),{6,10,16,20,25,32,40,50,63,80,100,125}),""))</f>
        <v/>
      </c>
      <c r="AC124" s="160">
        <f t="shared" si="51"/>
        <v/>
      </c>
      <c r="AD124" s="161">
        <f t="shared" si="52"/>
        <v/>
      </c>
      <c r="AE124" s="161">
        <f>IF(AND(R124="",G124=""),"",_xlfn.TEXTJOIN("; ",TRUE,IF(AND(R124&lt;&gt;"",V124=""),"нет фазы",""),IF(AND(R124&lt;&gt;"",N(T124)=0),"нет мощности",""),IF(AND(P124&lt;&gt;"",COUNTIFS($A$3:$A$1000,A124,$P$3:$P$1000,P124)&gt;1),"дубль клеммы "&amp;P124,""),IF(AND(W124&lt;&gt;"",W124&lt;&gt;"ok"),W124,""),IF(X124&lt;&gt;"",X124,""),IF(AND(ISNUMBER(SEARCH("(5х",Q124)),N(AK124)=1),"5 жил на 1 фазе",""),IF(AND(AL124="R",E124&lt;&gt;"",N(AS124)=0),"розетка без 30 мА",""),IF(IFERROR(_xlfn.NUMBERVALUE(MID(Q124,FIND("-",Q124,FIND("L=",Q124))+1,FIND("%",Q124)-FIND("-",Q124,FIND("L=",Q124))-1),","),0)&gt;4,"потери &gt; 4 %","")))</f>
      </c>
      <c r="AF124" s="129">
        <f>IF(E124&lt;&gt;"",COUNTIFS($A$3:A124,A124,$E$3:E124,"?*"),IF(OR(A124&lt;&gt;A123,Y124="вручную"),"",AF123))</f>
      </c>
      <c r="AG124" s="129">
        <f t="shared" si="53"/>
      </c>
      <c r="AH124" s="129">
        <f t="shared" si="54"/>
        <v/>
      </c>
      <c r="AI124" s="129">
        <f t="shared" si="55"/>
        <v/>
      </c>
      <c r="AJ124" s="129">
        <f t="shared" si="56"/>
        <v/>
      </c>
      <c r="AK124" s="129">
        <f t="shared" si="57"/>
        <v/>
      </c>
      <c r="AL124" s="129">
        <f t="shared" si="58"/>
        <v/>
      </c>
      <c r="AM124" s="129">
        <f t="shared" si="59"/>
      </c>
      <c r="AN124" s="129">
        <f t="shared" si="60"/>
      </c>
      <c r="AO124" s="129">
        <f t="shared" si="61"/>
        <v/>
      </c>
      <c r="AP124" s="129">
        <f t="shared" si="62"/>
        <v/>
      </c>
      <c r="AQ124" s="129">
        <f t="shared" si="63"/>
        <v/>
      </c>
      <c r="AR124" s="129">
        <f t="shared" si="64"/>
        <v/>
      </c>
      <c r="AS124" s="129">
        <f t="shared" si="65"/>
        <v/>
      </c>
      <c r="AT124" s="129">
        <f t="shared" si="66"/>
        <v/>
      </c>
      <c r="AU124" s="129">
        <f t="shared" si="67"/>
        <v/>
      </c>
      <c r="AV124" s="129">
        <f t="shared" si="68"/>
        <v/>
      </c>
      <c r="AW124" s="129">
        <f>IF(AV124="","",AV124&amp;"."&amp;COUNTIFS($A$3:A124,A124,$AV$3:AV124,AV124))</f>
        <v/>
      </c>
      <c r="AX124" s="129">
        <f t="shared" si="69"/>
        <v/>
      </c>
      <c r="AY124" s="129">
        <f>IF(N124="б/к",0,IF(OR(ISNUMBER(SEARCH("L=",Разбивка_по_щитам!P124)),N124="+",N124="="),1,0))</f>
      </c>
      <c r="AZ124" s="129">
        <f t="shared" si="70"/>
      </c>
      <c r="BA124" s="129">
        <f t="shared" si="71"/>
      </c>
      <c r="BB124" s="129">
        <f t="shared" si="72"/>
      </c>
      <c r="BD124" s="129">
        <f t="shared" si="73"/>
      </c>
      <c r="BE124" s="129">
        <f t="shared" si="74"/>
      </c>
      <c r="BF124" s="129">
        <f t="shared" si="75"/>
      </c>
      <c r="BG124" s="129">
        <f t="shared" si="76"/>
        <v/>
      </c>
      <c r="BH124" s="129">
        <f t="shared" si="77"/>
        <v/>
      </c>
      <c r="BI124" s="129">
        <f t="shared" si="78"/>
        <v/>
      </c>
      <c r="BJ124" s="129">
        <f t="shared" si="79"/>
        <v/>
      </c>
      <c r="BK124" s="129">
        <f>IF(R124="","",IF(OR(BY124="",BY124=0),"BOX",IFERROR(IF(VLOOKUP(BY124,УГО_блоки,3,FALSE)&amp;""&lt;&gt;"",VLOOKUP(BY124,УГО_блоки,3,FALSE),VLOOKUP(BY124,УГО_блоки,2,FALSE)),BY124)))</f>
      </c>
      <c r="BL124" s="129">
        <f t="shared" si="81"/>
      </c>
      <c r="BM124" s="129">
        <f>IF(H124="","",IF(COUNTIF($H$3:H124,H124)=1,MAX($BM$2:BM123)+1,""))</f>
      </c>
      <c r="BN124" s="129">
        <f>IF(I124="","",IF(COUNTIF($I$3:I124,I124)+COUNTIF($J$2:J123,I124)+COUNTIF($K$2:K123,I124)=1,MAX($BN$2:BP123)+1,""))</f>
      </c>
      <c r="BO124" s="129">
        <f>IF(J124="","",IF(COUNTIF($I$3:I124,J124)+COUNTIF($J$3:J124,J124)+COUNTIF($K$2:K123,J124)=1,MAX($BN$2:BP123,BN124)+1,""))</f>
      </c>
      <c r="BP124" s="129">
        <f>IF(K124="","",IF(COUNTIF($I$3:I124,K124)+COUNTIF($J$3:J124,K124)+COUNTIF($K$3:K124,K124)=1,MAX($BN$2:BP123,BN124,BO124)+1,""))</f>
      </c>
      <c r="BQ124" s="129">
        <f>IF(AY124=1,IFERROR(MID(Q124,FIND(" (",Q124)+2,FIND(")",Q124,FIND(" (",Q124))-FIND(" (",Q124)-2),"?"),"")</f>
      </c>
      <c r="BR124" s="129">
        <f>IF(BQ124="","",IF(COUNTIF($BQ$3:BQ124,BQ124)=1,MAX($BR$2:BR123)+1,""))</f>
      </c>
      <c r="BS124" s="129">
        <f>IF(AW124="","",COUNTIF($AW$3:AW124,"?*"))</f>
      </c>
      <c r="BT124" s="129">
        <f>IF(OR(AW124="",AI124=""),"",IF(COUNTIFS($AW$3:AW124,"?*",$AI$3:AI124,AI124)=1,MAX($BT$2:BT123)+1,""))</f>
      </c>
      <c r="BU124" s="129">
        <f>IF(AE124="",0,IF(OR(ISNUMBER(SEARCH("дубль",AE124)),ISNUMBER(SEARCH("ПЕРЕГРУЗ",AE124)),ISNUMBER(SEARCH("ЗАЩИЩ",AE124)),ISNUMBER(SEARCH("КАНАЛ",AE124)),ISNUMBER(SEARCH("без 30",AE124))),2,1))</f>
      </c>
      <c r="BV124" s="129">
        <f>IF(R124="","",COUNTIF($R$3:R124,"?*"))</f>
      </c>
      <c r="BW124" s="129">
        <f>IF(AY124&lt;&gt;1,0,IF(MAX(IFERROR(--VLOOKUP(R124,УГО_спр,5,FALSE),0),IFERROR(--VLOOKUP(AL124,УГО_спр,5,FALSE),0),IFERROR(--VLOOKUP(LEFT(AL124,2),УГО_спр,5,FALSE),0))&gt;0,MAX(IFERROR(--VLOOKUP(R124,УГО_спр,5,FALSE),0),IFERROR(--VLOOKUP(AL124,УГО_спр,5,FALSE),0),IFERROR(--VLOOKUP(LEFT(AL124,2),УГО_спр,5,FALSE),0)),IF(IFERROR(--LEFT(SUBSTITUTE(BQ124,"x","х"),FIND("х",SUBSTITUTE(BQ124,"x","х"))-1),3)&gt;3,Каталог!$S$9,1)))</f>
      </c>
      <c r="BX124" s="129">
        <f>IF(AY124&lt;&gt;1,0,MAX(0,IFERROR(--LEFT(SUBSTITUTE(BQ124,"x","х"),FIND("х",SUBSTITUTE(BQ124,"x","х"))-1),3)-3*BW124))</f>
      </c>
      <c r="BY124" s="129">
        <f>IF(R124="","",IFERROR(VLOOKUP(R124,УГО_спр,2,FALSE),IFERROR(VLOOKUP(AL124,УГО_спр,2,FALSE),IFERROR(VLOOKUP(LEFT(AL124,2),УГО_спр,2,FALSE),""))))</f>
      </c>
    </row>
    <row r="125" spans="1:64" x14ac:dyDescent="0.3">
      <c r="A125" s="135">
        <f>IF(Разбивка_по_щитам!F125=0,"",Разбивка_по_щитам!F125)</f>
      </c>
      <c r="B125" s="138">
        <f>IF(A125="","",Разбивка_по_щитам!C125)</f>
      </c>
      <c r="C125" s="138">
        <f t="shared" si="44"/>
      </c>
      <c r="D125" s="266"/>
      <c r="E125" s="266"/>
      <c r="F125" s="267"/>
      <c r="G125" s="145">
        <f t="shared" si="45"/>
        <v/>
      </c>
      <c r="H125" s="145">
        <f t="shared" si="46"/>
        <v/>
      </c>
      <c r="I125" s="266"/>
      <c r="J125" s="267"/>
      <c r="K125" s="267"/>
      <c r="L125" s="266"/>
      <c r="M125" s="147">
        <f t="shared" si="84"/>
        <v/>
      </c>
      <c r="N125" s="267"/>
      <c r="O125" s="147">
        <f t="shared" si="85"/>
        <v/>
      </c>
      <c r="P125" s="268">
        <f>IF(AY125=1,"XT"&amp;COUNTIFS($A$3:A125,A125,$AY$3:AY125,1),"")</f>
        <v/>
      </c>
      <c r="Q125" s="152">
        <f>IF(R125="","",IFERROR(SUBSTITUTE(Разбивка_по_щитам!P125,CHAR(10)," "),""))</f>
        <v/>
      </c>
      <c r="R125" s="153">
        <f>IF(OR(Разбивка_по_щитам!H125="",Разбивка_по_щитам!H125=0),"",Разбивка_по_щитам!H125)</f>
        <v/>
      </c>
      <c r="S125" s="154">
        <f>IF(R125="","",IFERROR(Разбивка_по_щитам!J125&amp;"",""))</f>
        <v/>
      </c>
      <c r="T125" s="155">
        <f>IF(R125="","",IFERROR(--Разбивка_по_щитам!L125,""))</f>
        <v/>
      </c>
      <c r="U125" s="155">
        <f>IF(R125="","",IFERROR(--Разбивка_по_щитам!K125,""))</f>
        <v/>
      </c>
      <c r="V125" s="138">
        <f>IF(R125="","",IFERROR(IF(Разбивка_по_щитам!M125=0,"",Разбивка_по_щитам!M125),""))</f>
        <v/>
      </c>
      <c r="W125" s="156">
        <f t="shared" si="47"/>
        <v/>
      </c>
      <c r="X125" s="157">
        <f t="shared" si="48"/>
        <v/>
      </c>
      <c r="Y125" s="266"/>
      <c r="Z125" s="158">
        <f t="shared" si="49"/>
        <v/>
      </c>
      <c r="AA125" s="160">
        <f t="shared" si="50"/>
        <v/>
      </c>
      <c r="AB125" s="160">
        <f>IF(R125="","",IFERROR(LOOKUP(INDEX(Справочная!$I$4:$I$19,MATCH(VLOOKUP(R125,Исходные_данные,22,FALSE),Справочная!$J$4:$J$19,0)+1),{6,10,16,20,25,32,40,50,63,80,100,125}),""))</f>
        <v/>
      </c>
      <c r="AC125" s="160">
        <f t="shared" si="51"/>
        <v/>
      </c>
      <c r="AD125" s="161">
        <f t="shared" si="52"/>
        <v/>
      </c>
      <c r="AE125" s="161">
        <f>IF(AND(R125="",G125=""),"",_xlfn.TEXTJOIN("; ",TRUE,IF(AND(R125&lt;&gt;"",V125=""),"нет фазы",""),IF(AND(R125&lt;&gt;"",N(T125)=0),"нет мощности",""),IF(AND(P125&lt;&gt;"",COUNTIFS($A$3:$A$1000,A125,$P$3:$P$1000,P125)&gt;1),"дубль клеммы "&amp;P125,""),IF(AND(W125&lt;&gt;"",W125&lt;&gt;"ok"),W125,""),IF(X125&lt;&gt;"",X125,""),IF(AND(ISNUMBER(SEARCH("(5х",Q125)),N(AK125)=1),"5 жил на 1 фазе",""),IF(AND(AL125="R",E125&lt;&gt;"",N(AS125)=0),"розетка без 30 мА",""),IF(IFERROR(_xlfn.NUMBERVALUE(MID(Q125,FIND("-",Q125,FIND("L=",Q125))+1,FIND("%",Q125)-FIND("-",Q125,FIND("L=",Q125))-1),","),0)&gt;4,"потери &gt; 4 %","")))</f>
      </c>
      <c r="AF125" s="129">
        <f>IF(E125&lt;&gt;"",COUNTIFS($A$3:A125,A125,$E$3:E125,"?*"),IF(OR(A125&lt;&gt;A124,Y125="вручную"),"",AF124))</f>
      </c>
      <c r="AG125" s="129">
        <f t="shared" si="53"/>
      </c>
      <c r="AH125" s="129">
        <f t="shared" si="54"/>
        <v/>
      </c>
      <c r="AI125" s="129">
        <f t="shared" si="55"/>
        <v/>
      </c>
      <c r="AJ125" s="129">
        <f t="shared" si="56"/>
        <v/>
      </c>
      <c r="AK125" s="129">
        <f t="shared" si="57"/>
        <v/>
      </c>
      <c r="AL125" s="129">
        <f t="shared" si="58"/>
        <v/>
      </c>
      <c r="AM125" s="129">
        <f t="shared" si="59"/>
      </c>
      <c r="AN125" s="129">
        <f t="shared" si="60"/>
      </c>
      <c r="AO125" s="129">
        <f t="shared" si="61"/>
        <v/>
      </c>
      <c r="AP125" s="129">
        <f t="shared" si="62"/>
        <v/>
      </c>
      <c r="AQ125" s="129">
        <f t="shared" si="63"/>
        <v/>
      </c>
      <c r="AR125" s="129">
        <f t="shared" si="64"/>
        <v/>
      </c>
      <c r="AS125" s="129">
        <f t="shared" si="65"/>
        <v/>
      </c>
      <c r="AT125" s="129">
        <f t="shared" si="66"/>
        <v/>
      </c>
      <c r="AU125" s="129">
        <f t="shared" si="67"/>
        <v/>
      </c>
      <c r="AV125" s="129">
        <f t="shared" si="68"/>
        <v/>
      </c>
      <c r="AW125" s="129">
        <f>IF(AV125="","",AV125&amp;"."&amp;COUNTIFS($A$3:A125,A125,$AV$3:AV125,AV125))</f>
        <v/>
      </c>
      <c r="AX125" s="129">
        <f t="shared" si="69"/>
        <v/>
      </c>
      <c r="AY125" s="129">
        <f>IF(N125="б/к",0,IF(OR(ISNUMBER(SEARCH("L=",Разбивка_по_щитам!P125)),N125="+",N125="="),1,0))</f>
      </c>
      <c r="AZ125" s="129">
        <f t="shared" si="70"/>
      </c>
      <c r="BA125" s="129">
        <f t="shared" si="71"/>
      </c>
      <c r="BB125" s="129">
        <f t="shared" si="72"/>
      </c>
      <c r="BD125" s="129">
        <f t="shared" si="73"/>
      </c>
      <c r="BE125" s="129">
        <f t="shared" si="74"/>
      </c>
      <c r="BF125" s="129">
        <f t="shared" si="75"/>
      </c>
      <c r="BG125" s="129">
        <f t="shared" si="76"/>
        <v/>
      </c>
      <c r="BH125" s="129">
        <f t="shared" si="77"/>
        <v/>
      </c>
      <c r="BI125" s="129">
        <f t="shared" si="78"/>
        <v/>
      </c>
      <c r="BJ125" s="129">
        <f t="shared" si="79"/>
        <v/>
      </c>
      <c r="BK125" s="129">
        <f>IF(R125="","",IF(OR(BY125="",BY125=0),"BOX",IFERROR(IF(VLOOKUP(BY125,УГО_блоки,3,FALSE)&amp;""&lt;&gt;"",VLOOKUP(BY125,УГО_блоки,3,FALSE),VLOOKUP(BY125,УГО_блоки,2,FALSE)),BY125)))</f>
      </c>
      <c r="BL125" s="129">
        <f t="shared" si="81"/>
      </c>
      <c r="BM125" s="129">
        <f>IF(H125="","",IF(COUNTIF($H$3:H125,H125)=1,MAX($BM$2:BM124)+1,""))</f>
      </c>
      <c r="BN125" s="129">
        <f>IF(I125="","",IF(COUNTIF($I$3:I125,I125)+COUNTIF($J$2:J124,I125)+COUNTIF($K$2:K124,I125)=1,MAX($BN$2:BP124)+1,""))</f>
      </c>
      <c r="BO125" s="129">
        <f>IF(J125="","",IF(COUNTIF($I$3:I125,J125)+COUNTIF($J$3:J125,J125)+COUNTIF($K$2:K124,J125)=1,MAX($BN$2:BP124,BN125)+1,""))</f>
      </c>
      <c r="BP125" s="129">
        <f>IF(K125="","",IF(COUNTIF($I$3:I125,K125)+COUNTIF($J$3:J125,K125)+COUNTIF($K$3:K125,K125)=1,MAX($BN$2:BP124,BN125,BO125)+1,""))</f>
      </c>
      <c r="BQ125" s="129">
        <f>IF(AY125=1,IFERROR(MID(Q125,FIND(" (",Q125)+2,FIND(")",Q125,FIND(" (",Q125))-FIND(" (",Q125)-2),"?"),"")</f>
      </c>
      <c r="BR125" s="129">
        <f>IF(BQ125="","",IF(COUNTIF($BQ$3:BQ125,BQ125)=1,MAX($BR$2:BR124)+1,""))</f>
      </c>
      <c r="BS125" s="129">
        <f>IF(AW125="","",COUNTIF($AW$3:AW125,"?*"))</f>
      </c>
      <c r="BT125" s="129">
        <f>IF(OR(AW125="",AI125=""),"",IF(COUNTIFS($AW$3:AW125,"?*",$AI$3:AI125,AI125)=1,MAX($BT$2:BT124)+1,""))</f>
      </c>
      <c r="BU125" s="129">
        <f>IF(AE125="",0,IF(OR(ISNUMBER(SEARCH("дубль",AE125)),ISNUMBER(SEARCH("ПЕРЕГРУЗ",AE125)),ISNUMBER(SEARCH("ЗАЩИЩ",AE125)),ISNUMBER(SEARCH("КАНАЛ",AE125)),ISNUMBER(SEARCH("без 30",AE125))),2,1))</f>
      </c>
      <c r="BV125" s="129">
        <f>IF(R125="","",COUNTIF($R$3:R125,"?*"))</f>
      </c>
      <c r="BW125" s="129">
        <f>IF(AY125&lt;&gt;1,0,IF(MAX(IFERROR(--VLOOKUP(R125,УГО_спр,5,FALSE),0),IFERROR(--VLOOKUP(AL125,УГО_спр,5,FALSE),0),IFERROR(--VLOOKUP(LEFT(AL125,2),УГО_спр,5,FALSE),0))&gt;0,MAX(IFERROR(--VLOOKUP(R125,УГО_спр,5,FALSE),0),IFERROR(--VLOOKUP(AL125,УГО_спр,5,FALSE),0),IFERROR(--VLOOKUP(LEFT(AL125,2),УГО_спр,5,FALSE),0)),IF(IFERROR(--LEFT(SUBSTITUTE(BQ125,"x","х"),FIND("х",SUBSTITUTE(BQ125,"x","х"))-1),3)&gt;3,Каталог!$S$9,1)))</f>
      </c>
      <c r="BX125" s="129">
        <f>IF(AY125&lt;&gt;1,0,MAX(0,IFERROR(--LEFT(SUBSTITUTE(BQ125,"x","х"),FIND("х",SUBSTITUTE(BQ125,"x","х"))-1),3)-3*BW125))</f>
      </c>
      <c r="BY125" s="129">
        <f>IF(R125="","",IFERROR(VLOOKUP(R125,УГО_спр,2,FALSE),IFERROR(VLOOKUP(AL125,УГО_спр,2,FALSE),IFERROR(VLOOKUP(LEFT(AL125,2),УГО_спр,2,FALSE),""))))</f>
      </c>
    </row>
    <row r="126" spans="1:64" x14ac:dyDescent="0.3">
      <c r="A126" s="135">
        <f>IF(Разбивка_по_щитам!F126=0,"",Разбивка_по_щитам!F126)</f>
      </c>
      <c r="B126" s="138">
        <f>IF(A126="","",Разбивка_по_щитам!C126)</f>
      </c>
      <c r="C126" s="138">
        <f t="shared" si="44"/>
      </c>
      <c r="D126" s="266"/>
      <c r="E126" s="266"/>
      <c r="F126" s="267"/>
      <c r="G126" s="145">
        <f t="shared" si="45"/>
        <v/>
      </c>
      <c r="H126" s="145">
        <f t="shared" si="46"/>
        <v/>
      </c>
      <c r="I126" s="266"/>
      <c r="J126" s="267"/>
      <c r="K126" s="267"/>
      <c r="L126" s="266"/>
      <c r="M126" s="147">
        <f t="shared" si="84"/>
        <v/>
      </c>
      <c r="N126" s="267"/>
      <c r="O126" s="147">
        <f t="shared" si="85"/>
        <v/>
      </c>
      <c r="P126" s="268">
        <f>IF(AY126=1,"XT"&amp;COUNTIFS($A$3:A126,A126,$AY$3:AY126,1),"")</f>
        <v/>
      </c>
      <c r="Q126" s="152">
        <f>IF(R126="","",IFERROR(SUBSTITUTE(Разбивка_по_щитам!P126,CHAR(10)," "),""))</f>
        <v/>
      </c>
      <c r="R126" s="153">
        <f>IF(OR(Разбивка_по_щитам!H126="",Разбивка_по_щитам!H126=0),"",Разбивка_по_щитам!H126)</f>
        <v/>
      </c>
      <c r="S126" s="154">
        <f>IF(R126="","",IFERROR(Разбивка_по_щитам!J126&amp;"",""))</f>
        <v/>
      </c>
      <c r="T126" s="155">
        <f>IF(R126="","",IFERROR(--Разбивка_по_щитам!L126,""))</f>
        <v/>
      </c>
      <c r="U126" s="155">
        <f>IF(R126="","",IFERROR(--Разбивка_по_щитам!K126,""))</f>
        <v/>
      </c>
      <c r="V126" s="138">
        <f>IF(R126="","",IFERROR(IF(Разбивка_по_щитам!M126=0,"",Разбивка_по_щитам!M126),""))</f>
        <v/>
      </c>
      <c r="W126" s="156">
        <f t="shared" si="47"/>
        <v/>
      </c>
      <c r="X126" s="157">
        <f t="shared" si="48"/>
        <v/>
      </c>
      <c r="Y126" s="266"/>
      <c r="Z126" s="158">
        <f t="shared" si="49"/>
        <v/>
      </c>
      <c r="AA126" s="160">
        <f t="shared" si="50"/>
        <v/>
      </c>
      <c r="AB126" s="160">
        <f>IF(R126="","",IFERROR(LOOKUP(INDEX(Справочная!$I$4:$I$19,MATCH(VLOOKUP(R126,Исходные_данные,22,FALSE),Справочная!$J$4:$J$19,0)+1),{6,10,16,20,25,32,40,50,63,80,100,125}),""))</f>
        <v/>
      </c>
      <c r="AC126" s="160">
        <f t="shared" si="51"/>
        <v/>
      </c>
      <c r="AD126" s="161">
        <f t="shared" si="52"/>
        <v/>
      </c>
      <c r="AE126" s="161">
        <f>IF(AND(R126="",G126=""),"",_xlfn.TEXTJOIN("; ",TRUE,IF(AND(R126&lt;&gt;"",V126=""),"нет фазы",""),IF(AND(R126&lt;&gt;"",N(T126)=0),"нет мощности",""),IF(AND(P126&lt;&gt;"",COUNTIFS($A$3:$A$1000,A126,$P$3:$P$1000,P126)&gt;1),"дубль клеммы "&amp;P126,""),IF(AND(W126&lt;&gt;"",W126&lt;&gt;"ok"),W126,""),IF(X126&lt;&gt;"",X126,""),IF(AND(ISNUMBER(SEARCH("(5х",Q126)),N(AK126)=1),"5 жил на 1 фазе",""),IF(AND(AL126="R",E126&lt;&gt;"",N(AS126)=0),"розетка без 30 мА",""),IF(IFERROR(_xlfn.NUMBERVALUE(MID(Q126,FIND("-",Q126,FIND("L=",Q126))+1,FIND("%",Q126)-FIND("-",Q126,FIND("L=",Q126))-1),","),0)&gt;4,"потери &gt; 4 %","")))</f>
      </c>
      <c r="AF126" s="129">
        <f>IF(E126&lt;&gt;"",COUNTIFS($A$3:A126,A126,$E$3:E126,"?*"),IF(OR(A126&lt;&gt;A125,Y126="вручную"),"",AF125))</f>
      </c>
      <c r="AG126" s="129">
        <f t="shared" si="53"/>
      </c>
      <c r="AH126" s="129">
        <f t="shared" si="54"/>
        <v/>
      </c>
      <c r="AI126" s="129">
        <f t="shared" si="55"/>
        <v/>
      </c>
      <c r="AJ126" s="129">
        <f t="shared" si="56"/>
        <v/>
      </c>
      <c r="AK126" s="129">
        <f t="shared" si="57"/>
        <v/>
      </c>
      <c r="AL126" s="129">
        <f t="shared" si="58"/>
        <v/>
      </c>
      <c r="AM126" s="129">
        <f t="shared" si="59"/>
      </c>
      <c r="AN126" s="129">
        <f t="shared" si="60"/>
      </c>
      <c r="AO126" s="129">
        <f t="shared" si="61"/>
        <v/>
      </c>
      <c r="AP126" s="129">
        <f t="shared" si="62"/>
        <v/>
      </c>
      <c r="AQ126" s="129">
        <f t="shared" si="63"/>
        <v/>
      </c>
      <c r="AR126" s="129">
        <f t="shared" si="64"/>
        <v/>
      </c>
      <c r="AS126" s="129">
        <f t="shared" si="65"/>
        <v/>
      </c>
      <c r="AT126" s="129">
        <f t="shared" si="66"/>
        <v/>
      </c>
      <c r="AU126" s="129">
        <f t="shared" si="67"/>
        <v/>
      </c>
      <c r="AV126" s="129">
        <f t="shared" si="68"/>
        <v/>
      </c>
      <c r="AW126" s="129">
        <f>IF(AV126="","",AV126&amp;"."&amp;COUNTIFS($A$3:A126,A126,$AV$3:AV126,AV126))</f>
        <v/>
      </c>
      <c r="AX126" s="129">
        <f t="shared" si="69"/>
        <v/>
      </c>
      <c r="AY126" s="129">
        <f>IF(N126="б/к",0,IF(OR(ISNUMBER(SEARCH("L=",Разбивка_по_щитам!P126)),N126="+",N126="="),1,0))</f>
      </c>
      <c r="AZ126" s="129">
        <f t="shared" si="70"/>
      </c>
      <c r="BA126" s="129">
        <f t="shared" si="71"/>
      </c>
      <c r="BB126" s="129">
        <f t="shared" si="72"/>
      </c>
      <c r="BD126" s="129">
        <f t="shared" si="73"/>
      </c>
      <c r="BE126" s="129">
        <f t="shared" si="74"/>
      </c>
      <c r="BF126" s="129">
        <f t="shared" si="75"/>
      </c>
      <c r="BG126" s="129">
        <f t="shared" si="76"/>
        <v/>
      </c>
      <c r="BH126" s="129">
        <f t="shared" si="77"/>
        <v/>
      </c>
      <c r="BI126" s="129">
        <f t="shared" si="78"/>
        <v/>
      </c>
      <c r="BJ126" s="129">
        <f t="shared" si="79"/>
        <v/>
      </c>
      <c r="BK126" s="129">
        <f>IF(R126="","",IF(OR(BY126="",BY126=0),"BOX",IFERROR(IF(VLOOKUP(BY126,УГО_блоки,3,FALSE)&amp;""&lt;&gt;"",VLOOKUP(BY126,УГО_блоки,3,FALSE),VLOOKUP(BY126,УГО_блоки,2,FALSE)),BY126)))</f>
      </c>
      <c r="BL126" s="129">
        <f t="shared" si="81"/>
      </c>
      <c r="BM126" s="129">
        <f>IF(H126="","",IF(COUNTIF($H$3:H126,H126)=1,MAX($BM$2:BM125)+1,""))</f>
      </c>
      <c r="BN126" s="129">
        <f>IF(I126="","",IF(COUNTIF($I$3:I126,I126)+COUNTIF($J$2:J125,I126)+COUNTIF($K$2:K125,I126)=1,MAX($BN$2:BP125)+1,""))</f>
      </c>
      <c r="BO126" s="129">
        <f>IF(J126="","",IF(COUNTIF($I$3:I126,J126)+COUNTIF($J$3:J126,J126)+COUNTIF($K$2:K125,J126)=1,MAX($BN$2:BP125,BN126)+1,""))</f>
      </c>
      <c r="BP126" s="129">
        <f>IF(K126="","",IF(COUNTIF($I$3:I126,K126)+COUNTIF($J$3:J126,K126)+COUNTIF($K$3:K126,K126)=1,MAX($BN$2:BP125,BN126,BO126)+1,""))</f>
      </c>
      <c r="BQ126" s="129">
        <f>IF(AY126=1,IFERROR(MID(Q126,FIND(" (",Q126)+2,FIND(")",Q126,FIND(" (",Q126))-FIND(" (",Q126)-2),"?"),"")</f>
      </c>
      <c r="BR126" s="129">
        <f>IF(BQ126="","",IF(COUNTIF($BQ$3:BQ126,BQ126)=1,MAX($BR$2:BR125)+1,""))</f>
      </c>
      <c r="BS126" s="129">
        <f>IF(AW126="","",COUNTIF($AW$3:AW126,"?*"))</f>
      </c>
      <c r="BT126" s="129">
        <f>IF(OR(AW126="",AI126=""),"",IF(COUNTIFS($AW$3:AW126,"?*",$AI$3:AI126,AI126)=1,MAX($BT$2:BT125)+1,""))</f>
      </c>
      <c r="BU126" s="129">
        <f>IF(AE126="",0,IF(OR(ISNUMBER(SEARCH("дубль",AE126)),ISNUMBER(SEARCH("ПЕРЕГРУЗ",AE126)),ISNUMBER(SEARCH("ЗАЩИЩ",AE126)),ISNUMBER(SEARCH("КАНАЛ",AE126)),ISNUMBER(SEARCH("без 30",AE126))),2,1))</f>
      </c>
      <c r="BV126" s="129">
        <f>IF(R126="","",COUNTIF($R$3:R126,"?*"))</f>
      </c>
      <c r="BW126" s="129">
        <f>IF(AY126&lt;&gt;1,0,IF(MAX(IFERROR(--VLOOKUP(R126,УГО_спр,5,FALSE),0),IFERROR(--VLOOKUP(AL126,УГО_спр,5,FALSE),0),IFERROR(--VLOOKUP(LEFT(AL126,2),УГО_спр,5,FALSE),0))&gt;0,MAX(IFERROR(--VLOOKUP(R126,УГО_спр,5,FALSE),0),IFERROR(--VLOOKUP(AL126,УГО_спр,5,FALSE),0),IFERROR(--VLOOKUP(LEFT(AL126,2),УГО_спр,5,FALSE),0)),IF(IFERROR(--LEFT(SUBSTITUTE(BQ126,"x","х"),FIND("х",SUBSTITUTE(BQ126,"x","х"))-1),3)&gt;3,Каталог!$S$9,1)))</f>
      </c>
      <c r="BX126" s="129">
        <f>IF(AY126&lt;&gt;1,0,MAX(0,IFERROR(--LEFT(SUBSTITUTE(BQ126,"x","х"),FIND("х",SUBSTITUTE(BQ126,"x","х"))-1),3)-3*BW126))</f>
      </c>
      <c r="BY126" s="129">
        <f>IF(R126="","",IFERROR(VLOOKUP(R126,УГО_спр,2,FALSE),IFERROR(VLOOKUP(AL126,УГО_спр,2,FALSE),IFERROR(VLOOKUP(LEFT(AL126,2),УГО_спр,2,FALSE),""))))</f>
      </c>
    </row>
    <row r="127" spans="1:64" x14ac:dyDescent="0.3">
      <c r="A127" s="135">
        <f>IF(Разбивка_по_щитам!F127=0,"",Разбивка_по_щитам!F127)</f>
      </c>
      <c r="B127" s="138">
        <f>IF(A127="","",Разбивка_по_щитам!C127)</f>
      </c>
      <c r="C127" s="138">
        <f t="shared" si="44"/>
      </c>
      <c r="D127" s="266"/>
      <c r="E127" s="266"/>
      <c r="F127" s="267"/>
      <c r="G127" s="145">
        <f t="shared" si="45"/>
        <v/>
      </c>
      <c r="H127" s="145">
        <f t="shared" si="46"/>
        <v/>
      </c>
      <c r="I127" s="266"/>
      <c r="J127" s="267"/>
      <c r="K127" s="267"/>
      <c r="L127" s="266"/>
      <c r="M127" s="147">
        <f t="shared" si="84"/>
        <v/>
      </c>
      <c r="N127" s="267"/>
      <c r="O127" s="147">
        <f t="shared" si="85"/>
        <v/>
      </c>
      <c r="P127" s="268">
        <f>IF(AY127=1,"XT"&amp;COUNTIFS($A$3:A127,A127,$AY$3:AY127,1),"")</f>
        <v/>
      </c>
      <c r="Q127" s="152">
        <f>IF(R127="","",IFERROR(SUBSTITUTE(Разбивка_по_щитам!P127,CHAR(10)," "),""))</f>
        <v/>
      </c>
      <c r="R127" s="153">
        <f>IF(OR(Разбивка_по_щитам!H127="",Разбивка_по_щитам!H127=0),"",Разбивка_по_щитам!H127)</f>
        <v/>
      </c>
      <c r="S127" s="154">
        <f>IF(R127="","",IFERROR(Разбивка_по_щитам!J127&amp;"",""))</f>
        <v/>
      </c>
      <c r="T127" s="155">
        <f>IF(R127="","",IFERROR(--Разбивка_по_щитам!L127,""))</f>
        <v/>
      </c>
      <c r="U127" s="155">
        <f>IF(R127="","",IFERROR(--Разбивка_по_щитам!K127,""))</f>
        <v/>
      </c>
      <c r="V127" s="138">
        <f>IF(R127="","",IFERROR(IF(Разбивка_по_щитам!M127=0,"",Разбивка_по_щитам!M127),""))</f>
        <v/>
      </c>
      <c r="W127" s="156">
        <f t="shared" si="47"/>
        <v/>
      </c>
      <c r="X127" s="157">
        <f t="shared" si="48"/>
        <v/>
      </c>
      <c r="Y127" s="266"/>
      <c r="Z127" s="158">
        <f t="shared" si="49"/>
        <v/>
      </c>
      <c r="AA127" s="160">
        <f t="shared" si="50"/>
        <v/>
      </c>
      <c r="AB127" s="160">
        <f>IF(R127="","",IFERROR(LOOKUP(INDEX(Справочная!$I$4:$I$19,MATCH(VLOOKUP(R127,Исходные_данные,22,FALSE),Справочная!$J$4:$J$19,0)+1),{6,10,16,20,25,32,40,50,63,80,100,125}),""))</f>
        <v/>
      </c>
      <c r="AC127" s="160">
        <f t="shared" si="51"/>
        <v/>
      </c>
      <c r="AD127" s="161">
        <f t="shared" si="52"/>
        <v/>
      </c>
      <c r="AE127" s="161">
        <f>IF(AND(R127="",G127=""),"",_xlfn.TEXTJOIN("; ",TRUE,IF(AND(R127&lt;&gt;"",V127=""),"нет фазы",""),IF(AND(R127&lt;&gt;"",N(T127)=0),"нет мощности",""),IF(AND(P127&lt;&gt;"",COUNTIFS($A$3:$A$1000,A127,$P$3:$P$1000,P127)&gt;1),"дубль клеммы "&amp;P127,""),IF(AND(W127&lt;&gt;"",W127&lt;&gt;"ok"),W127,""),IF(X127&lt;&gt;"",X127,""),IF(AND(ISNUMBER(SEARCH("(5х",Q127)),N(AK127)=1),"5 жил на 1 фазе",""),IF(AND(AL127="R",E127&lt;&gt;"",N(AS127)=0),"розетка без 30 мА",""),IF(IFERROR(_xlfn.NUMBERVALUE(MID(Q127,FIND("-",Q127,FIND("L=",Q127))+1,FIND("%",Q127)-FIND("-",Q127,FIND("L=",Q127))-1),","),0)&gt;4,"потери &gt; 4 %","")))</f>
      </c>
      <c r="AF127" s="129">
        <f>IF(E127&lt;&gt;"",COUNTIFS($A$3:A127,A127,$E$3:E127,"?*"),IF(OR(A127&lt;&gt;A126,Y127="вручную"),"",AF126))</f>
      </c>
      <c r="AG127" s="129">
        <f t="shared" si="53"/>
      </c>
      <c r="AH127" s="129">
        <f t="shared" si="54"/>
        <v/>
      </c>
      <c r="AI127" s="129">
        <f t="shared" si="55"/>
        <v/>
      </c>
      <c r="AJ127" s="129">
        <f t="shared" si="56"/>
        <v/>
      </c>
      <c r="AK127" s="129">
        <f t="shared" si="57"/>
        <v/>
      </c>
      <c r="AL127" s="129">
        <f t="shared" si="58"/>
        <v/>
      </c>
      <c r="AM127" s="129">
        <f t="shared" si="59"/>
      </c>
      <c r="AN127" s="129">
        <f t="shared" si="60"/>
      </c>
      <c r="AO127" s="129">
        <f t="shared" si="61"/>
        <v/>
      </c>
      <c r="AP127" s="129">
        <f t="shared" si="62"/>
        <v/>
      </c>
      <c r="AQ127" s="129">
        <f t="shared" si="63"/>
        <v/>
      </c>
      <c r="AR127" s="129">
        <f t="shared" si="64"/>
        <v/>
      </c>
      <c r="AS127" s="129">
        <f t="shared" si="65"/>
        <v/>
      </c>
      <c r="AT127" s="129">
        <f t="shared" si="66"/>
        <v/>
      </c>
      <c r="AU127" s="129">
        <f t="shared" si="67"/>
        <v/>
      </c>
      <c r="AV127" s="129">
        <f t="shared" si="68"/>
        <v/>
      </c>
      <c r="AW127" s="129">
        <f>IF(AV127="","",AV127&amp;"."&amp;COUNTIFS($A$3:A127,A127,$AV$3:AV127,AV127))</f>
        <v/>
      </c>
      <c r="AX127" s="129">
        <f t="shared" si="69"/>
        <v/>
      </c>
      <c r="AY127" s="129">
        <f>IF(N127="б/к",0,IF(OR(ISNUMBER(SEARCH("L=",Разбивка_по_щитам!P127)),N127="+",N127="="),1,0))</f>
      </c>
      <c r="AZ127" s="129">
        <f t="shared" si="70"/>
      </c>
      <c r="BA127" s="129">
        <f t="shared" si="71"/>
      </c>
      <c r="BB127" s="129">
        <f t="shared" si="72"/>
      </c>
      <c r="BD127" s="129">
        <f t="shared" si="73"/>
      </c>
      <c r="BE127" s="129">
        <f t="shared" si="74"/>
      </c>
      <c r="BF127" s="129">
        <f t="shared" si="75"/>
      </c>
      <c r="BG127" s="129">
        <f t="shared" si="76"/>
        <v/>
      </c>
      <c r="BH127" s="129">
        <f t="shared" si="77"/>
        <v/>
      </c>
      <c r="BI127" s="129">
        <f t="shared" si="78"/>
        <v/>
      </c>
      <c r="BJ127" s="129">
        <f t="shared" si="79"/>
        <v/>
      </c>
      <c r="BK127" s="129">
        <f>IF(R127="","",IF(OR(BY127="",BY127=0),"BOX",IFERROR(IF(VLOOKUP(BY127,УГО_блоки,3,FALSE)&amp;""&lt;&gt;"",VLOOKUP(BY127,УГО_блоки,3,FALSE),VLOOKUP(BY127,УГО_блоки,2,FALSE)),BY127)))</f>
      </c>
      <c r="BL127" s="129">
        <f t="shared" si="81"/>
      </c>
      <c r="BM127" s="129">
        <f>IF(H127="","",IF(COUNTIF($H$3:H127,H127)=1,MAX($BM$2:BM126)+1,""))</f>
      </c>
      <c r="BN127" s="129">
        <f>IF(I127="","",IF(COUNTIF($I$3:I127,I127)+COUNTIF($J$2:J126,I127)+COUNTIF($K$2:K126,I127)=1,MAX($BN$2:BP126)+1,""))</f>
      </c>
      <c r="BO127" s="129">
        <f>IF(J127="","",IF(COUNTIF($I$3:I127,J127)+COUNTIF($J$3:J127,J127)+COUNTIF($K$2:K126,J127)=1,MAX($BN$2:BP126,BN127)+1,""))</f>
      </c>
      <c r="BP127" s="129">
        <f>IF(K127="","",IF(COUNTIF($I$3:I127,K127)+COUNTIF($J$3:J127,K127)+COUNTIF($K$3:K127,K127)=1,MAX($BN$2:BP126,BN127,BO127)+1,""))</f>
      </c>
      <c r="BQ127" s="129">
        <f>IF(AY127=1,IFERROR(MID(Q127,FIND(" (",Q127)+2,FIND(")",Q127,FIND(" (",Q127))-FIND(" (",Q127)-2),"?"),"")</f>
      </c>
      <c r="BR127" s="129">
        <f>IF(BQ127="","",IF(COUNTIF($BQ$3:BQ127,BQ127)=1,MAX($BR$2:BR126)+1,""))</f>
      </c>
      <c r="BS127" s="129">
        <f>IF(AW127="","",COUNTIF($AW$3:AW127,"?*"))</f>
      </c>
      <c r="BT127" s="129">
        <f>IF(OR(AW127="",AI127=""),"",IF(COUNTIFS($AW$3:AW127,"?*",$AI$3:AI127,AI127)=1,MAX($BT$2:BT126)+1,""))</f>
      </c>
      <c r="BU127" s="129">
        <f>IF(AE127="",0,IF(OR(ISNUMBER(SEARCH("дубль",AE127)),ISNUMBER(SEARCH("ПЕРЕГРУЗ",AE127)),ISNUMBER(SEARCH("ЗАЩИЩ",AE127)),ISNUMBER(SEARCH("КАНАЛ",AE127)),ISNUMBER(SEARCH("без 30",AE127))),2,1))</f>
      </c>
      <c r="BV127" s="129">
        <f>IF(R127="","",COUNTIF($R$3:R127,"?*"))</f>
      </c>
      <c r="BW127" s="129">
        <f>IF(AY127&lt;&gt;1,0,IF(MAX(IFERROR(--VLOOKUP(R127,УГО_спр,5,FALSE),0),IFERROR(--VLOOKUP(AL127,УГО_спр,5,FALSE),0),IFERROR(--VLOOKUP(LEFT(AL127,2),УГО_спр,5,FALSE),0))&gt;0,MAX(IFERROR(--VLOOKUP(R127,УГО_спр,5,FALSE),0),IFERROR(--VLOOKUP(AL127,УГО_спр,5,FALSE),0),IFERROR(--VLOOKUP(LEFT(AL127,2),УГО_спр,5,FALSE),0)),IF(IFERROR(--LEFT(SUBSTITUTE(BQ127,"x","х"),FIND("х",SUBSTITUTE(BQ127,"x","х"))-1),3)&gt;3,Каталог!$S$9,1)))</f>
      </c>
      <c r="BX127" s="129">
        <f>IF(AY127&lt;&gt;1,0,MAX(0,IFERROR(--LEFT(SUBSTITUTE(BQ127,"x","х"),FIND("х",SUBSTITUTE(BQ127,"x","х"))-1),3)-3*BW127))</f>
      </c>
      <c r="BY127" s="129">
        <f>IF(R127="","",IFERROR(VLOOKUP(R127,УГО_спр,2,FALSE),IFERROR(VLOOKUP(AL127,УГО_спр,2,FALSE),IFERROR(VLOOKUP(LEFT(AL127,2),УГО_спр,2,FALSE),""))))</f>
      </c>
    </row>
    <row r="128" spans="1:64" x14ac:dyDescent="0.3">
      <c r="A128" s="135">
        <f>IF(Разбивка_по_щитам!F128=0,"",Разбивка_по_щитам!F128)</f>
      </c>
      <c r="B128" s="138">
        <f>IF(A128="","",Разбивка_по_щитам!C128)</f>
      </c>
      <c r="C128" s="138">
        <f t="shared" si="44"/>
      </c>
      <c r="D128" s="266"/>
      <c r="E128" s="266"/>
      <c r="F128" s="267"/>
      <c r="G128" s="145">
        <f t="shared" si="45"/>
        <v/>
      </c>
      <c r="H128" s="145">
        <f t="shared" si="46"/>
        <v/>
      </c>
      <c r="I128" s="266"/>
      <c r="J128" s="267"/>
      <c r="K128" s="267"/>
      <c r="L128" s="266"/>
      <c r="M128" s="147">
        <f t="shared" si="84"/>
        <v/>
      </c>
      <c r="N128" s="267"/>
      <c r="O128" s="147">
        <f t="shared" si="85"/>
        <v/>
      </c>
      <c r="P128" s="268">
        <f>IF(AY128=1,"XT"&amp;COUNTIFS($A$3:A128,A128,$AY$3:AY128,1),"")</f>
        <v/>
      </c>
      <c r="Q128" s="152">
        <f>IF(R128="","",IFERROR(SUBSTITUTE(Разбивка_по_щитам!P128,CHAR(10)," "),""))</f>
        <v/>
      </c>
      <c r="R128" s="153">
        <f>IF(OR(Разбивка_по_щитам!H128="",Разбивка_по_щитам!H128=0),"",Разбивка_по_щитам!H128)</f>
        <v/>
      </c>
      <c r="S128" s="154">
        <f>IF(R128="","",IFERROR(Разбивка_по_щитам!J128&amp;"",""))</f>
        <v/>
      </c>
      <c r="T128" s="155">
        <f>IF(R128="","",IFERROR(--Разбивка_по_щитам!L128,""))</f>
        <v/>
      </c>
      <c r="U128" s="155">
        <f>IF(R128="","",IFERROR(--Разбивка_по_щитам!K128,""))</f>
        <v/>
      </c>
      <c r="V128" s="138">
        <f>IF(R128="","",IFERROR(IF(Разбивка_по_щитам!M128=0,"",Разбивка_по_щитам!M128),""))</f>
        <v/>
      </c>
      <c r="W128" s="156">
        <f t="shared" si="47"/>
        <v/>
      </c>
      <c r="X128" s="157">
        <f t="shared" si="48"/>
        <v/>
      </c>
      <c r="Y128" s="266"/>
      <c r="Z128" s="158">
        <f t="shared" si="49"/>
        <v/>
      </c>
      <c r="AA128" s="160">
        <f t="shared" si="50"/>
        <v/>
      </c>
      <c r="AB128" s="160">
        <f>IF(R128="","",IFERROR(LOOKUP(INDEX(Справочная!$I$4:$I$19,MATCH(VLOOKUP(R128,Исходные_данные,22,FALSE),Справочная!$J$4:$J$19,0)+1),{6,10,16,20,25,32,40,50,63,80,100,125}),""))</f>
        <v/>
      </c>
      <c r="AC128" s="160">
        <f t="shared" si="51"/>
        <v/>
      </c>
      <c r="AD128" s="161">
        <f t="shared" si="52"/>
        <v/>
      </c>
      <c r="AE128" s="161">
        <f>IF(AND(R128="",G128=""),"",_xlfn.TEXTJOIN("; ",TRUE,IF(AND(R128&lt;&gt;"",V128=""),"нет фазы",""),IF(AND(R128&lt;&gt;"",N(T128)=0),"нет мощности",""),IF(AND(P128&lt;&gt;"",COUNTIFS($A$3:$A$1000,A128,$P$3:$P$1000,P128)&gt;1),"дубль клеммы "&amp;P128,""),IF(AND(W128&lt;&gt;"",W128&lt;&gt;"ok"),W128,""),IF(X128&lt;&gt;"",X128,""),IF(AND(ISNUMBER(SEARCH("(5х",Q128)),N(AK128)=1),"5 жил на 1 фазе",""),IF(AND(AL128="R",E128&lt;&gt;"",N(AS128)=0),"розетка без 30 мА",""),IF(IFERROR(_xlfn.NUMBERVALUE(MID(Q128,FIND("-",Q128,FIND("L=",Q128))+1,FIND("%",Q128)-FIND("-",Q128,FIND("L=",Q128))-1),","),0)&gt;4,"потери &gt; 4 %","")))</f>
      </c>
      <c r="AF128" s="129">
        <f>IF(E128&lt;&gt;"",COUNTIFS($A$3:A128,A128,$E$3:E128,"?*"),IF(OR(A128&lt;&gt;A127,Y128="вручную"),"",AF127))</f>
      </c>
      <c r="AG128" s="129">
        <f t="shared" si="53"/>
      </c>
      <c r="AH128" s="129">
        <f t="shared" si="54"/>
        <v/>
      </c>
      <c r="AI128" s="129">
        <f t="shared" si="55"/>
        <v/>
      </c>
      <c r="AJ128" s="129">
        <f t="shared" si="56"/>
        <v/>
      </c>
      <c r="AK128" s="129">
        <f t="shared" si="57"/>
        <v/>
      </c>
      <c r="AL128" s="129">
        <f t="shared" si="58"/>
        <v/>
      </c>
      <c r="AM128" s="129">
        <f t="shared" si="59"/>
      </c>
      <c r="AN128" s="129">
        <f t="shared" si="60"/>
      </c>
      <c r="AO128" s="129">
        <f t="shared" si="61"/>
        <v/>
      </c>
      <c r="AP128" s="129">
        <f t="shared" si="62"/>
        <v/>
      </c>
      <c r="AQ128" s="129">
        <f t="shared" si="63"/>
        <v/>
      </c>
      <c r="AR128" s="129">
        <f t="shared" si="64"/>
        <v/>
      </c>
      <c r="AS128" s="129">
        <f t="shared" si="65"/>
        <v/>
      </c>
      <c r="AT128" s="129">
        <f t="shared" si="66"/>
        <v/>
      </c>
      <c r="AU128" s="129">
        <f t="shared" si="67"/>
        <v/>
      </c>
      <c r="AV128" s="129">
        <f t="shared" si="68"/>
        <v/>
      </c>
      <c r="AW128" s="129">
        <f>IF(AV128="","",AV128&amp;"."&amp;COUNTIFS($A$3:A128,A128,$AV$3:AV128,AV128))</f>
        <v/>
      </c>
      <c r="AX128" s="129">
        <f t="shared" si="69"/>
        <v/>
      </c>
      <c r="AY128" s="129">
        <f>IF(N128="б/к",0,IF(OR(ISNUMBER(SEARCH("L=",Разбивка_по_щитам!P128)),N128="+",N128="="),1,0))</f>
      </c>
      <c r="AZ128" s="129">
        <f t="shared" si="70"/>
      </c>
      <c r="BA128" s="129">
        <f t="shared" si="71"/>
      </c>
      <c r="BB128" s="129">
        <f t="shared" si="72"/>
      </c>
      <c r="BD128" s="129">
        <f t="shared" si="73"/>
      </c>
      <c r="BE128" s="129">
        <f t="shared" si="74"/>
      </c>
      <c r="BF128" s="129">
        <f t="shared" si="75"/>
      </c>
      <c r="BG128" s="129">
        <f t="shared" si="76"/>
        <v/>
      </c>
      <c r="BH128" s="129">
        <f t="shared" si="77"/>
        <v/>
      </c>
      <c r="BI128" s="129">
        <f t="shared" si="78"/>
        <v/>
      </c>
      <c r="BJ128" s="129">
        <f t="shared" si="79"/>
        <v/>
      </c>
      <c r="BK128" s="129">
        <f>IF(R128="","",IF(OR(BY128="",BY128=0),"BOX",IFERROR(IF(VLOOKUP(BY128,УГО_блоки,3,FALSE)&amp;""&lt;&gt;"",VLOOKUP(BY128,УГО_блоки,3,FALSE),VLOOKUP(BY128,УГО_блоки,2,FALSE)),BY128)))</f>
      </c>
      <c r="BL128" s="129">
        <f t="shared" si="81"/>
      </c>
      <c r="BM128" s="129">
        <f>IF(H128="","",IF(COUNTIF($H$3:H128,H128)=1,MAX($BM$2:BM127)+1,""))</f>
      </c>
      <c r="BN128" s="129">
        <f>IF(I128="","",IF(COUNTIF($I$3:I128,I128)+COUNTIF($J$2:J127,I128)+COUNTIF($K$2:K127,I128)=1,MAX($BN$2:BP127)+1,""))</f>
      </c>
      <c r="BO128" s="129">
        <f>IF(J128="","",IF(COUNTIF($I$3:I128,J128)+COUNTIF($J$3:J128,J128)+COUNTIF($K$2:K127,J128)=1,MAX($BN$2:BP127,BN128)+1,""))</f>
      </c>
      <c r="BP128" s="129">
        <f>IF(K128="","",IF(COUNTIF($I$3:I128,K128)+COUNTIF($J$3:J128,K128)+COUNTIF($K$3:K128,K128)=1,MAX($BN$2:BP127,BN128,BO128)+1,""))</f>
      </c>
      <c r="BQ128" s="129">
        <f>IF(AY128=1,IFERROR(MID(Q128,FIND(" (",Q128)+2,FIND(")",Q128,FIND(" (",Q128))-FIND(" (",Q128)-2),"?"),"")</f>
      </c>
      <c r="BR128" s="129">
        <f>IF(BQ128="","",IF(COUNTIF($BQ$3:BQ128,BQ128)=1,MAX($BR$2:BR127)+1,""))</f>
      </c>
      <c r="BS128" s="129">
        <f>IF(AW128="","",COUNTIF($AW$3:AW128,"?*"))</f>
      </c>
      <c r="BT128" s="129">
        <f>IF(OR(AW128="",AI128=""),"",IF(COUNTIFS($AW$3:AW128,"?*",$AI$3:AI128,AI128)=1,MAX($BT$2:BT127)+1,""))</f>
      </c>
      <c r="BU128" s="129">
        <f>IF(AE128="",0,IF(OR(ISNUMBER(SEARCH("дубль",AE128)),ISNUMBER(SEARCH("ПЕРЕГРУЗ",AE128)),ISNUMBER(SEARCH("ЗАЩИЩ",AE128)),ISNUMBER(SEARCH("КАНАЛ",AE128)),ISNUMBER(SEARCH("без 30",AE128))),2,1))</f>
      </c>
      <c r="BV128" s="129">
        <f>IF(R128="","",COUNTIF($R$3:R128,"?*"))</f>
      </c>
      <c r="BW128" s="129">
        <f>IF(AY128&lt;&gt;1,0,IF(MAX(IFERROR(--VLOOKUP(R128,УГО_спр,5,FALSE),0),IFERROR(--VLOOKUP(AL128,УГО_спр,5,FALSE),0),IFERROR(--VLOOKUP(LEFT(AL128,2),УГО_спр,5,FALSE),0))&gt;0,MAX(IFERROR(--VLOOKUP(R128,УГО_спр,5,FALSE),0),IFERROR(--VLOOKUP(AL128,УГО_спр,5,FALSE),0),IFERROR(--VLOOKUP(LEFT(AL128,2),УГО_спр,5,FALSE),0)),IF(IFERROR(--LEFT(SUBSTITUTE(BQ128,"x","х"),FIND("х",SUBSTITUTE(BQ128,"x","х"))-1),3)&gt;3,Каталог!$S$9,1)))</f>
      </c>
      <c r="BX128" s="129">
        <f>IF(AY128&lt;&gt;1,0,MAX(0,IFERROR(--LEFT(SUBSTITUTE(BQ128,"x","х"),FIND("х",SUBSTITUTE(BQ128,"x","х"))-1),3)-3*BW128))</f>
      </c>
      <c r="BY128" s="129">
        <f>IF(R128="","",IFERROR(VLOOKUP(R128,УГО_спр,2,FALSE),IFERROR(VLOOKUP(AL128,УГО_спр,2,FALSE),IFERROR(VLOOKUP(LEFT(AL128,2),УГО_спр,2,FALSE),""))))</f>
      </c>
    </row>
    <row r="129" spans="1:64" x14ac:dyDescent="0.3">
      <c r="A129" s="135">
        <f>IF(Разбивка_по_щитам!F129=0,"",Разбивка_по_щитам!F129)</f>
      </c>
      <c r="B129" s="138">
        <f>IF(A129="","",Разбивка_по_щитам!C129)</f>
      </c>
      <c r="C129" s="138">
        <f t="shared" si="44"/>
      </c>
      <c r="D129" s="266"/>
      <c r="E129" s="266"/>
      <c r="F129" s="267"/>
      <c r="G129" s="145">
        <f t="shared" si="45"/>
        <v/>
      </c>
      <c r="H129" s="145">
        <f t="shared" si="46"/>
        <v/>
      </c>
      <c r="I129" s="266"/>
      <c r="J129" s="267"/>
      <c r="K129" s="267"/>
      <c r="L129" s="266"/>
      <c r="M129" s="147">
        <f t="shared" si="84"/>
        <v/>
      </c>
      <c r="N129" s="267"/>
      <c r="O129" s="147">
        <f t="shared" si="85"/>
        <v/>
      </c>
      <c r="P129" s="268">
        <f>IF(AY129=1,"XT"&amp;COUNTIFS($A$3:A129,A129,$AY$3:AY129,1),"")</f>
        <v/>
      </c>
      <c r="Q129" s="152">
        <f>IF(R129="","",IFERROR(SUBSTITUTE(Разбивка_по_щитам!P129,CHAR(10)," "),""))</f>
        <v/>
      </c>
      <c r="R129" s="153">
        <f>IF(OR(Разбивка_по_щитам!H129="",Разбивка_по_щитам!H129=0),"",Разбивка_по_щитам!H129)</f>
        <v/>
      </c>
      <c r="S129" s="154">
        <f>IF(R129="","",IFERROR(Разбивка_по_щитам!J129&amp;"",""))</f>
        <v/>
      </c>
      <c r="T129" s="155">
        <f>IF(R129="","",IFERROR(--Разбивка_по_щитам!L129,""))</f>
        <v/>
      </c>
      <c r="U129" s="155">
        <f>IF(R129="","",IFERROR(--Разбивка_по_щитам!K129,""))</f>
        <v/>
      </c>
      <c r="V129" s="138">
        <f>IF(R129="","",IFERROR(IF(Разбивка_по_щитам!M129=0,"",Разбивка_по_щитам!M129),""))</f>
        <v/>
      </c>
      <c r="W129" s="156">
        <f t="shared" si="47"/>
        <v/>
      </c>
      <c r="X129" s="157">
        <f t="shared" si="48"/>
        <v/>
      </c>
      <c r="Y129" s="266"/>
      <c r="Z129" s="158">
        <f t="shared" si="49"/>
        <v/>
      </c>
      <c r="AA129" s="160">
        <f t="shared" si="50"/>
        <v/>
      </c>
      <c r="AB129" s="160">
        <f>IF(R129="","",IFERROR(LOOKUP(INDEX(Справочная!$I$4:$I$19,MATCH(VLOOKUP(R129,Исходные_данные,22,FALSE),Справочная!$J$4:$J$19,0)+1),{6,10,16,20,25,32,40,50,63,80,100,125}),""))</f>
        <v/>
      </c>
      <c r="AC129" s="160">
        <f t="shared" si="51"/>
        <v/>
      </c>
      <c r="AD129" s="161">
        <f t="shared" si="52"/>
        <v/>
      </c>
      <c r="AE129" s="161">
        <f>IF(AND(R129="",G129=""),"",_xlfn.TEXTJOIN("; ",TRUE,IF(AND(R129&lt;&gt;"",V129=""),"нет фазы",""),IF(AND(R129&lt;&gt;"",N(T129)=0),"нет мощности",""),IF(AND(P129&lt;&gt;"",COUNTIFS($A$3:$A$1000,A129,$P$3:$P$1000,P129)&gt;1),"дубль клеммы "&amp;P129,""),IF(AND(W129&lt;&gt;"",W129&lt;&gt;"ok"),W129,""),IF(X129&lt;&gt;"",X129,""),IF(AND(ISNUMBER(SEARCH("(5х",Q129)),N(AK129)=1),"5 жил на 1 фазе",""),IF(AND(AL129="R",E129&lt;&gt;"",N(AS129)=0),"розетка без 30 мА",""),IF(IFERROR(_xlfn.NUMBERVALUE(MID(Q129,FIND("-",Q129,FIND("L=",Q129))+1,FIND("%",Q129)-FIND("-",Q129,FIND("L=",Q129))-1),","),0)&gt;4,"потери &gt; 4 %","")))</f>
      </c>
      <c r="AF129" s="129">
        <f>IF(E129&lt;&gt;"",COUNTIFS($A$3:A129,A129,$E$3:E129,"?*"),IF(OR(A129&lt;&gt;A128,Y129="вручную"),"",AF128))</f>
      </c>
      <c r="AG129" s="129">
        <f t="shared" si="53"/>
      </c>
      <c r="AH129" s="129">
        <f t="shared" si="54"/>
        <v/>
      </c>
      <c r="AI129" s="129">
        <f t="shared" si="55"/>
        <v/>
      </c>
      <c r="AJ129" s="129">
        <f t="shared" si="56"/>
        <v/>
      </c>
      <c r="AK129" s="129">
        <f t="shared" si="57"/>
        <v/>
      </c>
      <c r="AL129" s="129">
        <f t="shared" si="58"/>
        <v/>
      </c>
      <c r="AM129" s="129">
        <f t="shared" si="59"/>
      </c>
      <c r="AN129" s="129">
        <f t="shared" si="60"/>
      </c>
      <c r="AO129" s="129">
        <f t="shared" si="61"/>
        <v/>
      </c>
      <c r="AP129" s="129">
        <f t="shared" si="62"/>
        <v/>
      </c>
      <c r="AQ129" s="129">
        <f t="shared" si="63"/>
        <v/>
      </c>
      <c r="AR129" s="129">
        <f t="shared" si="64"/>
        <v/>
      </c>
      <c r="AS129" s="129">
        <f t="shared" si="65"/>
        <v/>
      </c>
      <c r="AT129" s="129">
        <f t="shared" si="66"/>
        <v/>
      </c>
      <c r="AU129" s="129">
        <f t="shared" si="67"/>
        <v/>
      </c>
      <c r="AV129" s="129">
        <f t="shared" si="68"/>
        <v/>
      </c>
      <c r="AW129" s="129">
        <f>IF(AV129="","",AV129&amp;"."&amp;COUNTIFS($A$3:A129,A129,$AV$3:AV129,AV129))</f>
        <v/>
      </c>
      <c r="AX129" s="129">
        <f t="shared" si="69"/>
        <v/>
      </c>
      <c r="AY129" s="129">
        <f>IF(N129="б/к",0,IF(OR(ISNUMBER(SEARCH("L=",Разбивка_по_щитам!P129)),N129="+",N129="="),1,0))</f>
      </c>
      <c r="AZ129" s="129">
        <f t="shared" si="70"/>
      </c>
      <c r="BA129" s="129">
        <f t="shared" si="71"/>
      </c>
      <c r="BB129" s="129">
        <f t="shared" si="72"/>
      </c>
      <c r="BD129" s="129">
        <f t="shared" si="73"/>
      </c>
      <c r="BE129" s="129">
        <f t="shared" si="74"/>
      </c>
      <c r="BF129" s="129">
        <f t="shared" si="75"/>
      </c>
      <c r="BG129" s="129">
        <f t="shared" si="76"/>
        <v/>
      </c>
      <c r="BH129" s="129">
        <f t="shared" si="77"/>
        <v/>
      </c>
      <c r="BI129" s="129">
        <f t="shared" si="78"/>
        <v/>
      </c>
      <c r="BJ129" s="129">
        <f t="shared" si="79"/>
        <v/>
      </c>
      <c r="BK129" s="129">
        <f>IF(R129="","",IF(OR(BY129="",BY129=0),"BOX",IFERROR(IF(VLOOKUP(BY129,УГО_блоки,3,FALSE)&amp;""&lt;&gt;"",VLOOKUP(BY129,УГО_блоки,3,FALSE),VLOOKUP(BY129,УГО_блоки,2,FALSE)),BY129)))</f>
      </c>
      <c r="BL129" s="129">
        <f t="shared" si="81"/>
      </c>
      <c r="BM129" s="129">
        <f>IF(H129="","",IF(COUNTIF($H$3:H129,H129)=1,MAX($BM$2:BM128)+1,""))</f>
      </c>
      <c r="BN129" s="129">
        <f>IF(I129="","",IF(COUNTIF($I$3:I129,I129)+COUNTIF($J$2:J128,I129)+COUNTIF($K$2:K128,I129)=1,MAX($BN$2:BP128)+1,""))</f>
      </c>
      <c r="BO129" s="129">
        <f>IF(J129="","",IF(COUNTIF($I$3:I129,J129)+COUNTIF($J$3:J129,J129)+COUNTIF($K$2:K128,J129)=1,MAX($BN$2:BP128,BN129)+1,""))</f>
      </c>
      <c r="BP129" s="129">
        <f>IF(K129="","",IF(COUNTIF($I$3:I129,K129)+COUNTIF($J$3:J129,K129)+COUNTIF($K$3:K129,K129)=1,MAX($BN$2:BP128,BN129,BO129)+1,""))</f>
      </c>
      <c r="BQ129" s="129">
        <f>IF(AY129=1,IFERROR(MID(Q129,FIND(" (",Q129)+2,FIND(")",Q129,FIND(" (",Q129))-FIND(" (",Q129)-2),"?"),"")</f>
      </c>
      <c r="BR129" s="129">
        <f>IF(BQ129="","",IF(COUNTIF($BQ$3:BQ129,BQ129)=1,MAX($BR$2:BR128)+1,""))</f>
      </c>
      <c r="BS129" s="129">
        <f>IF(AW129="","",COUNTIF($AW$3:AW129,"?*"))</f>
      </c>
      <c r="BT129" s="129">
        <f>IF(OR(AW129="",AI129=""),"",IF(COUNTIFS($AW$3:AW129,"?*",$AI$3:AI129,AI129)=1,MAX($BT$2:BT128)+1,""))</f>
      </c>
      <c r="BU129" s="129">
        <f>IF(AE129="",0,IF(OR(ISNUMBER(SEARCH("дубль",AE129)),ISNUMBER(SEARCH("ПЕРЕГРУЗ",AE129)),ISNUMBER(SEARCH("ЗАЩИЩ",AE129)),ISNUMBER(SEARCH("КАНАЛ",AE129)),ISNUMBER(SEARCH("без 30",AE129))),2,1))</f>
      </c>
      <c r="BV129" s="129">
        <f>IF(R129="","",COUNTIF($R$3:R129,"?*"))</f>
      </c>
      <c r="BW129" s="129">
        <f>IF(AY129&lt;&gt;1,0,IF(MAX(IFERROR(--VLOOKUP(R129,УГО_спр,5,FALSE),0),IFERROR(--VLOOKUP(AL129,УГО_спр,5,FALSE),0),IFERROR(--VLOOKUP(LEFT(AL129,2),УГО_спр,5,FALSE),0))&gt;0,MAX(IFERROR(--VLOOKUP(R129,УГО_спр,5,FALSE),0),IFERROR(--VLOOKUP(AL129,УГО_спр,5,FALSE),0),IFERROR(--VLOOKUP(LEFT(AL129,2),УГО_спр,5,FALSE),0)),IF(IFERROR(--LEFT(SUBSTITUTE(BQ129,"x","х"),FIND("х",SUBSTITUTE(BQ129,"x","х"))-1),3)&gt;3,Каталог!$S$9,1)))</f>
      </c>
      <c r="BX129" s="129">
        <f>IF(AY129&lt;&gt;1,0,MAX(0,IFERROR(--LEFT(SUBSTITUTE(BQ129,"x","х"),FIND("х",SUBSTITUTE(BQ129,"x","х"))-1),3)-3*BW129))</f>
      </c>
      <c r="BY129" s="129">
        <f>IF(R129="","",IFERROR(VLOOKUP(R129,УГО_спр,2,FALSE),IFERROR(VLOOKUP(AL129,УГО_спр,2,FALSE),IFERROR(VLOOKUP(LEFT(AL129,2),УГО_спр,2,FALSE),""))))</f>
      </c>
    </row>
    <row r="130" spans="1:64" x14ac:dyDescent="0.3">
      <c r="A130" s="135">
        <f>IF(Разбивка_по_щитам!F130=0,"",Разбивка_по_щитам!F130)</f>
      </c>
      <c r="B130" s="138">
        <f>IF(A130="","",Разбивка_по_щитам!C130)</f>
      </c>
      <c r="C130" s="138">
        <f t="shared" si="44"/>
      </c>
      <c r="D130" s="266"/>
      <c r="E130" s="266"/>
      <c r="F130" s="267"/>
      <c r="G130" s="145">
        <f t="shared" si="45"/>
        <v/>
      </c>
      <c r="H130" s="145">
        <f t="shared" si="46"/>
        <v/>
      </c>
      <c r="I130" s="266"/>
      <c r="J130" s="267"/>
      <c r="K130" s="267"/>
      <c r="L130" s="266"/>
      <c r="M130" s="147">
        <f t="shared" si="84"/>
        <v/>
      </c>
      <c r="N130" s="267"/>
      <c r="O130" s="147">
        <f t="shared" si="85"/>
        <v/>
      </c>
      <c r="P130" s="268">
        <f>IF(AY130=1,"XT"&amp;COUNTIFS($A$3:A130,A130,$AY$3:AY130,1),"")</f>
        <v/>
      </c>
      <c r="Q130" s="152">
        <f>IF(R130="","",IFERROR(SUBSTITUTE(Разбивка_по_щитам!P130,CHAR(10)," "),""))</f>
        <v/>
      </c>
      <c r="R130" s="153">
        <f>IF(OR(Разбивка_по_щитам!H130="",Разбивка_по_щитам!H130=0),"",Разбивка_по_щитам!H130)</f>
        <v/>
      </c>
      <c r="S130" s="154">
        <f>IF(R130="","",IFERROR(Разбивка_по_щитам!J130&amp;"",""))</f>
        <v/>
      </c>
      <c r="T130" s="155">
        <f>IF(R130="","",IFERROR(--Разбивка_по_щитам!L130,""))</f>
        <v/>
      </c>
      <c r="U130" s="155">
        <f>IF(R130="","",IFERROR(--Разбивка_по_щитам!K130,""))</f>
        <v/>
      </c>
      <c r="V130" s="138">
        <f>IF(R130="","",IFERROR(IF(Разбивка_по_щитам!M130=0,"",Разбивка_по_щитам!M130),""))</f>
        <v/>
      </c>
      <c r="W130" s="156">
        <f t="shared" si="47"/>
        <v/>
      </c>
      <c r="X130" s="157">
        <f t="shared" si="48"/>
        <v/>
      </c>
      <c r="Y130" s="266"/>
      <c r="Z130" s="158">
        <f t="shared" si="49"/>
        <v/>
      </c>
      <c r="AA130" s="160">
        <f t="shared" si="50"/>
        <v/>
      </c>
      <c r="AB130" s="160">
        <f>IF(R130="","",IFERROR(LOOKUP(INDEX(Справочная!$I$4:$I$19,MATCH(VLOOKUP(R130,Исходные_данные,22,FALSE),Справочная!$J$4:$J$19,0)+1),{6,10,16,20,25,32,40,50,63,80,100,125}),""))</f>
        <v/>
      </c>
      <c r="AC130" s="160">
        <f t="shared" si="51"/>
        <v/>
      </c>
      <c r="AD130" s="161">
        <f t="shared" si="52"/>
        <v/>
      </c>
      <c r="AE130" s="161">
        <f>IF(AND(R130="",G130=""),"",_xlfn.TEXTJOIN("; ",TRUE,IF(AND(R130&lt;&gt;"",V130=""),"нет фазы",""),IF(AND(R130&lt;&gt;"",N(T130)=0),"нет мощности",""),IF(AND(P130&lt;&gt;"",COUNTIFS($A$3:$A$1000,A130,$P$3:$P$1000,P130)&gt;1),"дубль клеммы "&amp;P130,""),IF(AND(W130&lt;&gt;"",W130&lt;&gt;"ok"),W130,""),IF(X130&lt;&gt;"",X130,""),IF(AND(ISNUMBER(SEARCH("(5х",Q130)),N(AK130)=1),"5 жил на 1 фазе",""),IF(AND(AL130="R",E130&lt;&gt;"",N(AS130)=0),"розетка без 30 мА",""),IF(IFERROR(_xlfn.NUMBERVALUE(MID(Q130,FIND("-",Q130,FIND("L=",Q130))+1,FIND("%",Q130)-FIND("-",Q130,FIND("L=",Q130))-1),","),0)&gt;4,"потери &gt; 4 %","")))</f>
      </c>
      <c r="AF130" s="129">
        <f>IF(E130&lt;&gt;"",COUNTIFS($A$3:A130,A130,$E$3:E130,"?*"),IF(OR(A130&lt;&gt;A129,Y130="вручную"),"",AF129))</f>
      </c>
      <c r="AG130" s="129">
        <f t="shared" si="53"/>
      </c>
      <c r="AH130" s="129">
        <f t="shared" si="54"/>
        <v/>
      </c>
      <c r="AI130" s="129">
        <f t="shared" si="55"/>
        <v/>
      </c>
      <c r="AJ130" s="129">
        <f t="shared" si="56"/>
        <v/>
      </c>
      <c r="AK130" s="129">
        <f t="shared" si="57"/>
        <v/>
      </c>
      <c r="AL130" s="129">
        <f t="shared" si="58"/>
        <v/>
      </c>
      <c r="AM130" s="129">
        <f t="shared" si="59"/>
      </c>
      <c r="AN130" s="129">
        <f t="shared" si="60"/>
      </c>
      <c r="AO130" s="129">
        <f t="shared" si="61"/>
        <v/>
      </c>
      <c r="AP130" s="129">
        <f t="shared" si="62"/>
        <v/>
      </c>
      <c r="AQ130" s="129">
        <f t="shared" si="63"/>
        <v/>
      </c>
      <c r="AR130" s="129">
        <f t="shared" si="64"/>
        <v/>
      </c>
      <c r="AS130" s="129">
        <f t="shared" si="65"/>
        <v/>
      </c>
      <c r="AT130" s="129">
        <f t="shared" si="66"/>
        <v/>
      </c>
      <c r="AU130" s="129">
        <f t="shared" si="67"/>
        <v/>
      </c>
      <c r="AV130" s="129">
        <f t="shared" si="68"/>
        <v/>
      </c>
      <c r="AW130" s="129">
        <f>IF(AV130="","",AV130&amp;"."&amp;COUNTIFS($A$3:A130,A130,$AV$3:AV130,AV130))</f>
        <v/>
      </c>
      <c r="AX130" s="129">
        <f t="shared" si="69"/>
        <v/>
      </c>
      <c r="AY130" s="129">
        <f>IF(N130="б/к",0,IF(OR(ISNUMBER(SEARCH("L=",Разбивка_по_щитам!P130)),N130="+",N130="="),1,0))</f>
      </c>
      <c r="AZ130" s="129">
        <f t="shared" si="70"/>
      </c>
      <c r="BA130" s="129">
        <f t="shared" si="71"/>
      </c>
      <c r="BB130" s="129">
        <f t="shared" si="72"/>
      </c>
      <c r="BD130" s="129">
        <f t="shared" si="73"/>
      </c>
      <c r="BE130" s="129">
        <f t="shared" si="74"/>
      </c>
      <c r="BF130" s="129">
        <f t="shared" si="75"/>
      </c>
      <c r="BG130" s="129">
        <f t="shared" si="76"/>
        <v/>
      </c>
      <c r="BH130" s="129">
        <f t="shared" si="77"/>
        <v/>
      </c>
      <c r="BI130" s="129">
        <f t="shared" si="78"/>
        <v/>
      </c>
      <c r="BJ130" s="129">
        <f t="shared" si="79"/>
        <v/>
      </c>
      <c r="BK130" s="129">
        <f>IF(R130="","",IF(OR(BY130="",BY130=0),"BOX",IFERROR(IF(VLOOKUP(BY130,УГО_блоки,3,FALSE)&amp;""&lt;&gt;"",VLOOKUP(BY130,УГО_блоки,3,FALSE),VLOOKUP(BY130,УГО_блоки,2,FALSE)),BY130)))</f>
      </c>
      <c r="BL130" s="129">
        <f t="shared" si="81"/>
      </c>
      <c r="BM130" s="129">
        <f>IF(H130="","",IF(COUNTIF($H$3:H130,H130)=1,MAX($BM$2:BM129)+1,""))</f>
      </c>
      <c r="BN130" s="129">
        <f>IF(I130="","",IF(COUNTIF($I$3:I130,I130)+COUNTIF($J$2:J129,I130)+COUNTIF($K$2:K129,I130)=1,MAX($BN$2:BP129)+1,""))</f>
      </c>
      <c r="BO130" s="129">
        <f>IF(J130="","",IF(COUNTIF($I$3:I130,J130)+COUNTIF($J$3:J130,J130)+COUNTIF($K$2:K129,J130)=1,MAX($BN$2:BP129,BN130)+1,""))</f>
      </c>
      <c r="BP130" s="129">
        <f>IF(K130="","",IF(COUNTIF($I$3:I130,K130)+COUNTIF($J$3:J130,K130)+COUNTIF($K$3:K130,K130)=1,MAX($BN$2:BP129,BN130,BO130)+1,""))</f>
      </c>
      <c r="BQ130" s="129">
        <f>IF(AY130=1,IFERROR(MID(Q130,FIND(" (",Q130)+2,FIND(")",Q130,FIND(" (",Q130))-FIND(" (",Q130)-2),"?"),"")</f>
      </c>
      <c r="BR130" s="129">
        <f>IF(BQ130="","",IF(COUNTIF($BQ$3:BQ130,BQ130)=1,MAX($BR$2:BR129)+1,""))</f>
      </c>
      <c r="BS130" s="129">
        <f>IF(AW130="","",COUNTIF($AW$3:AW130,"?*"))</f>
      </c>
      <c r="BT130" s="129">
        <f>IF(OR(AW130="",AI130=""),"",IF(COUNTIFS($AW$3:AW130,"?*",$AI$3:AI130,AI130)=1,MAX($BT$2:BT129)+1,""))</f>
      </c>
      <c r="BU130" s="129">
        <f>IF(AE130="",0,IF(OR(ISNUMBER(SEARCH("дубль",AE130)),ISNUMBER(SEARCH("ПЕРЕГРУЗ",AE130)),ISNUMBER(SEARCH("ЗАЩИЩ",AE130)),ISNUMBER(SEARCH("КАНАЛ",AE130)),ISNUMBER(SEARCH("без 30",AE130))),2,1))</f>
      </c>
      <c r="BV130" s="129">
        <f>IF(R130="","",COUNTIF($R$3:R130,"?*"))</f>
      </c>
      <c r="BW130" s="129">
        <f>IF(AY130&lt;&gt;1,0,IF(MAX(IFERROR(--VLOOKUP(R130,УГО_спр,5,FALSE),0),IFERROR(--VLOOKUP(AL130,УГО_спр,5,FALSE),0),IFERROR(--VLOOKUP(LEFT(AL130,2),УГО_спр,5,FALSE),0))&gt;0,MAX(IFERROR(--VLOOKUP(R130,УГО_спр,5,FALSE),0),IFERROR(--VLOOKUP(AL130,УГО_спр,5,FALSE),0),IFERROR(--VLOOKUP(LEFT(AL130,2),УГО_спр,5,FALSE),0)),IF(IFERROR(--LEFT(SUBSTITUTE(BQ130,"x","х"),FIND("х",SUBSTITUTE(BQ130,"x","х"))-1),3)&gt;3,Каталог!$S$9,1)))</f>
      </c>
      <c r="BX130" s="129">
        <f>IF(AY130&lt;&gt;1,0,MAX(0,IFERROR(--LEFT(SUBSTITUTE(BQ130,"x","х"),FIND("х",SUBSTITUTE(BQ130,"x","х"))-1),3)-3*BW130))</f>
      </c>
      <c r="BY130" s="129">
        <f>IF(R130="","",IFERROR(VLOOKUP(R130,УГО_спр,2,FALSE),IFERROR(VLOOKUP(AL130,УГО_спр,2,FALSE),IFERROR(VLOOKUP(LEFT(AL130,2),УГО_спр,2,FALSE),""))))</f>
      </c>
    </row>
    <row r="131" spans="1:64" x14ac:dyDescent="0.3">
      <c r="A131" s="135">
        <f>IF(Разбивка_по_щитам!F131=0,"",Разбивка_по_щитам!F131)</f>
      </c>
      <c r="B131" s="138">
        <f>IF(A131="","",Разбивка_по_щитам!C131)</f>
      </c>
      <c r="C131" s="138">
        <f t="shared" ref="C131:C194" si="86">IF(B131="","",INT((B131-1)/Столбцов_на_лист)+1)</f>
      </c>
      <c r="D131" s="266"/>
      <c r="E131" s="266"/>
      <c r="F131" s="267"/>
      <c r="G131" s="145">
        <f t="shared" ref="G131:G194" si="87">IF(OR(R131&lt;&gt;"",O131&lt;&gt;"",AY131=1),AG131,"")</f>
        <v/>
      </c>
      <c r="H131" s="145">
        <f t="shared" ref="H131:H194" si="88">IF(E131="","",IF(AND(E131&lt;&gt;"авто",E131&lt;&gt;"+"),E131,AT131&amp;" С"&amp;AQ131&amp;"А"&amp;IF(AS131=1," 30мА","")))</f>
        <v/>
      </c>
      <c r="I131" s="266"/>
      <c r="J131" s="267"/>
      <c r="K131" s="267"/>
      <c r="L131" s="266"/>
      <c r="M131" s="147">
        <f t="shared" si="84"/>
        <v/>
      </c>
      <c r="N131" s="267"/>
      <c r="O131" s="147">
        <f t="shared" si="85"/>
        <v/>
      </c>
      <c r="P131" s="268">
        <f>IF(AY131=1,"XT"&amp;COUNTIFS($A$3:A131,A131,$AY$3:AY131,1),"")</f>
        <v/>
      </c>
      <c r="Q131" s="152">
        <f>IF(R131="","",IFERROR(SUBSTITUTE(Разбивка_по_щитам!P131,CHAR(10)," "),""))</f>
        <v/>
      </c>
      <c r="R131" s="153">
        <f>IF(OR(Разбивка_по_щитам!H131="",Разбивка_по_щитам!H131=0),"",Разбивка_по_щитам!H131)</f>
        <v/>
      </c>
      <c r="S131" s="154">
        <f>IF(R131="","",IFERROR(Разбивка_по_щитам!J131&amp;"",""))</f>
        <v/>
      </c>
      <c r="T131" s="155">
        <f>IF(R131="","",IFERROR(--Разбивка_по_щитам!L131,""))</f>
        <v/>
      </c>
      <c r="U131" s="155">
        <f>IF(R131="","",IFERROR(--Разбивка_по_щитам!K131,""))</f>
        <v/>
      </c>
      <c r="V131" s="138">
        <f>IF(R131="","",IFERROR(IF(Разбивка_по_щитам!M131=0,"",Разбивка_по_щитам!M131),""))</f>
        <v/>
      </c>
      <c r="W131" s="156">
        <f t="shared" ref="W131:W194" si="89">IF(E131="","",IF(NOT(ISNUMBER(AU131)),"",IF(Z131&gt;AU131,"ПЕРЕГРУЗ",IF(AND(BA131=0,AP131&gt;0,AU131&gt;AP131),"КАБЕЛЬ НЕ ЗАЩИЩЁН","ok"))))</f>
        <v/>
      </c>
      <c r="X131" s="157">
        <f t="shared" ref="X131:X194" si="90">IF(OR(O131="",AH131=""),"",IF(O131&gt;IFERROR(VLOOKUP(AI131,Модули_спр,3,FALSE),99),"ЛИШНИЙ КАНАЛ",IF(AND(N131&lt;&gt;"=",COUNTIFS($AH$3:$AH$1000,AH131,$O$3:$O$1000,O131,$N$3:$N$1000,"&lt;&gt;=")&gt;1),"ДУБЛЬ КАНАЛА","")))</f>
        <v/>
      </c>
      <c r="Y131" s="266"/>
      <c r="Z131" s="158">
        <f t="shared" ref="Z131:Z194" si="91">IF(E131="","",SUMIFS($U$3:$U$1000,$AF$3:$AF$1000,AF131,$A$3:$A$1000,A131,$AN$3:$AN$1000,0))</f>
        <v/>
      </c>
      <c r="AA131" s="160">
        <f t="shared" ref="AA131:AA194" si="92">IF(E131="","",IFERROR(VLOOKUP(Z131,Автомат_номиналы,2,TRUE),""))</f>
        <v/>
      </c>
      <c r="AB131" s="160">
        <f>IF(R131="","",IFERROR(LOOKUP(INDEX(Справочная!$I$4:$I$19,MATCH(VLOOKUP(R131,Исходные_данные,22,FALSE),Справочная!$J$4:$J$19,0)+1),{6,10,16,20,25,32,40,50,63,80,100,125}),""))</f>
        <v/>
      </c>
      <c r="AC131" s="160">
        <f t="shared" ref="AC131:AC194" si="93">IF(M131="","",AI131)</f>
        <v/>
      </c>
      <c r="AD131" s="161">
        <f t="shared" ref="AD131:AD194" si="94">IF(AND(R131="",O131="",P131=""),"",_xlfn.TEXTJOIN(" → ",TRUE,AG131,AZ131,IF(AH131&lt;&gt;"",AH131&amp;IF(O131&lt;&gt;""," к."&amp;O131,""),IF(O131&lt;&gt;"","к."&amp;O131,"")),P131,IF(AN131=1,"(в кабель выше)","")))</f>
        <v/>
      </c>
      <c r="AE131" s="161">
        <f>IF(AND(R131="",G131=""),"",_xlfn.TEXTJOIN("; ",TRUE,IF(AND(R131&lt;&gt;"",V131=""),"нет фазы",""),IF(AND(R131&lt;&gt;"",N(T131)=0),"нет мощности",""),IF(AND(P131&lt;&gt;"",COUNTIFS($A$3:$A$1000,A131,$P$3:$P$1000,P131)&gt;1),"дубль клеммы "&amp;P131,""),IF(AND(W131&lt;&gt;"",W131&lt;&gt;"ok"),W131,""),IF(X131&lt;&gt;"",X131,""),IF(AND(ISNUMBER(SEARCH("(5х",Q131)),N(AK131)=1),"5 жил на 1 фазе",""),IF(AND(AL131="R",E131&lt;&gt;"",N(AS131)=0),"розетка без 30 мА",""),IF(IFERROR(_xlfn.NUMBERVALUE(MID(Q131,FIND("-",Q131,FIND("L=",Q131))+1,FIND("%",Q131)-FIND("-",Q131,FIND("L=",Q131))-1),","),0)&gt;4,"потери &gt; 4 %","")))</f>
      </c>
      <c r="AF131" s="129">
        <f>IF(E131&lt;&gt;"",COUNTIFS($A$3:A131,A131,$E$3:E131,"?*"),IF(OR(A131&lt;&gt;A130,Y131="вручную"),"",AF130))</f>
      </c>
      <c r="AG131" s="129">
        <f t="shared" ref="AG131:AG194" si="95">IF(AJ131&lt;&gt;"",AJ131,IF(OR(A131&lt;&gt;A130,Y131="вручную"),"",AG130))</f>
      </c>
      <c r="AH131" s="129">
        <f t="shared" ref="AH131:AH194" si="96">IF(L131="-","",IF(AW131&lt;&gt;"",AW131,IF(A131&lt;&gt;A130,"",AH130)))</f>
        <v/>
      </c>
      <c r="AI131" s="129">
        <f t="shared" ref="AI131:AI194" si="97">IF(AH131="","",IF(AND(L131&lt;&gt;"",L131&lt;&gt;"-"),L131,AI130))</f>
        <v/>
      </c>
      <c r="AJ131" s="129">
        <f t="shared" ref="AJ131:AJ194" si="98">IF(E131="","",IF(AS131=1,"QFD","QF")&amp;AF131)</f>
        <v/>
      </c>
      <c r="AK131" s="129">
        <f t="shared" ref="AK131:AK194" si="99">IF(R131="","",IFERROR(--VLOOKUP(R131,Исходные_данные,8,FALSE),1))</f>
        <v/>
      </c>
      <c r="AL131" s="129">
        <f t="shared" ref="AL131:AL194" si="100">IF(R131="","",IFERROR(LEFT(R131,FIND(".",R131)-1),R131))</f>
        <v/>
      </c>
      <c r="AM131" s="129">
        <f t="shared" ref="AM131:AM194" si="101">IF(AL131="",0,IFERROR(IF(VLOOKUP(R131,УГО_спр,3,FALSE)="да",1,0),IFERROR(IF(VLOOKUP(AL131,УГО_спр,3,FALSE)="да",1,0),IFERROR(IF(VLOOKUP(LEFT(AL131,2),УГО_спр,3,FALSE)="да",1,0),0))))</f>
      </c>
      <c r="AN131" s="129">
        <f t="shared" ref="AN131:AN194" si="102">IF(OR(N131="+",AND(R131&lt;&gt;"",R131=R130)),1,0)</f>
      </c>
      <c r="AO131" s="129">
        <f t="shared" ref="AO131:AO194" si="103">IF(E131="","",MAX(N(AA131),_xlfn.MAXIFS($BB$3:$BB$1000,$AF$3:$AF$1000,AF131,$A$3:$A$1000,A131)))</f>
        <v/>
      </c>
      <c r="AP131" s="129">
        <f t="shared" ref="AP131:AP194" si="104">IF(E131="","",_xlfn.MINIFS($AB$3:$AB$1000,$AF$3:$AF$1000,AF131,$A$3:$A$1000,A131))</f>
        <v/>
      </c>
      <c r="AQ131" s="129">
        <f t="shared" ref="AQ131:AQ194" si="105">IF(E131="","",IF(BA131=1,MAX(AO131,Мин_автомат_БП),AO131))</f>
        <v/>
      </c>
      <c r="AR131" s="129">
        <f t="shared" ref="AR131:AR194" si="106">IF(E131="","",MAX(1,_xlfn.MAXIFS($AK$3:$AK$1000,$AF$3:$AF$1000,AF131,$A$3:$A$1000,A131)))</f>
        <v/>
      </c>
      <c r="AS131" s="129">
        <f t="shared" ref="AS131:AS194" si="107">IF(E131="","",IF(AND(E131&lt;&gt;"авто",E131&lt;&gt;"+"),IF(ISNUMBER(SEARCH("мА",E131)),1,0),IF(F131="да",1,IF(F131="нет",0,IF(_xlfn.MAXIFS($AM$3:$AM$1000,$AF$3:$AF$1000,AF131,$A$3:$A$1000,A131)&gt;0,1,0)))))</f>
        <v/>
      </c>
      <c r="AT131" s="129">
        <f t="shared" ref="AT131:AT194" si="108">IF(E131="","",IF(AR131&gt;=3,IF(AS131=1,"4P","3P"),IF(AS131=1,"2P","1P")))</f>
        <v/>
      </c>
      <c r="AU131" s="129">
        <f t="shared" ref="AU131:AU194" si="109">IF(H131="","",IFERROR(--MID(SUBSTITUTE(SUBSTITUTE(UPPER(H131),"С","C"),"А","A"),FIND("C",SUBSTITUTE(SUBSTITUTE(UPPER(H131),"С","C"),"А","A"))+1,FIND("A",SUBSTITUTE(SUBSTITUTE(UPPER(H131),"С","C"),"А","A")&amp;"A",FIND("C",SUBSTITUTE(SUBSTITUTE(UPPER(H131),"С","C"),"А","A")))-FIND("C",SUBSTITUTE(SUBSTITUTE(UPPER(H131),"С","C"),"А","A"))-1),""))</f>
        <v/>
      </c>
      <c r="AV131" s="129">
        <f t="shared" ref="AV131:AV194" si="110">IF(OR(L131="",L131="-"),"",IFERROR(VLOOKUP(L131,Модули_спр,2,FALSE),"R"))</f>
        <v/>
      </c>
      <c r="AW131" s="129">
        <f>IF(AV131="","",AV131&amp;"."&amp;COUNTIFS($A$3:A131,A131,$AV$3:AV131,AV131))</f>
        <v/>
      </c>
      <c r="AX131" s="129">
        <f t="shared" ref="AX131:AX194" si="111">IF(O131&lt;&gt;"",O131,IF(OR(A131&lt;&gt;A130,L131="-",AW131&lt;&gt;""),"",AX130))</f>
        <v/>
      </c>
      <c r="AY131" s="129">
        <f>IF(N131="б/к",0,IF(OR(ISNUMBER(SEARCH("L=",Разбивка_по_щитам!P131)),N131="+",N131="="),1,0))</f>
      </c>
      <c r="AZ131" s="129">
        <f t="shared" ref="AZ131:AZ194" si="112">IF(AJ131&lt;&gt;"",_xlfn.TEXTJOIN(" → ",TRUE,I131,J131,K131),IF(AG131="","",AZ130))</f>
      </c>
      <c r="BA131" s="129">
        <f t="shared" ref="BA131:BA194" si="113">IF(AZ131="",0,IF(OR(LEFT(AZ131,2)="T ",LEFT(AZ131,2)="Т ",ISNUMBER(SEARCH("→ T ",AZ131)),ISNUMBER(SEARCH("→ Т ",AZ131)),ISNUMBER(SEARCH("БП",AZ131))),1,0))</f>
      </c>
      <c r="BB131" s="129">
        <f t="shared" ref="BB131:BB194" si="114">IF(R131="",0,MAX(IFERROR(--VLOOKUP(R131,Исходные_данные,18,FALSE),0),IFERROR(--VLOOKUP(R131,УГО_спр,4,FALSE),IFERROR(--VLOOKUP(AL131,УГО_спр,4,FALSE),IFERROR(--VLOOKUP(LEFT(AL131,2),УГО_спр,4,FALSE),0)))))</f>
      </c>
      <c r="BD131" s="129">
        <f t="shared" ref="BD131:BD194" si="115">IF(Y131="вручную",0,1)</f>
      </c>
      <c r="BE131" s="129">
        <f t="shared" ref="BE131:BE194" si="116">IF(D131="",0,1)</f>
      </c>
      <c r="BF131" s="129">
        <f t="shared" ref="BF131:BF194" si="117">IF(AJ131="",0,IF(LEFT(AJ131,3)="QFD",1,0))</f>
      </c>
      <c r="BG131" s="129">
        <f t="shared" ref="BG131:BG194" si="118">IF(N131="=","=",IF(N131="+","+",IF(N131="р","R","")))</f>
        <v/>
      </c>
      <c r="BH131" s="129">
        <f t="shared" ref="BH131:BH194" si="119">IF(I131="","",IF(OR(LEFT(I131,1)="T",LEFT(I131,1)="Т"),"T",IF(LEFT(UPPER(I131),2)="БП","PS",IF(OR(LEFT(UPPER(I131),2)="МК",LEFT(UPPER(I131),2)="MK"),"MK",IF(OR(LEFT(UPPER(I131),2)="КМ",LEFT(UPPER(I131),2)="KM"),"KM","X")))))</f>
        <v/>
      </c>
      <c r="BI131" s="129">
        <f t="shared" ref="BI131:BI194" si="120">IF(J131="","",IF(OR(LEFT(J131,1)="T",LEFT(J131,1)="Т"),"T",IF(LEFT(UPPER(J131),2)="БП","PS",IF(OR(LEFT(UPPER(J131),2)="МК",LEFT(UPPER(J131),2)="MK"),"MK",IF(OR(LEFT(UPPER(J131),2)="КМ",LEFT(UPPER(J131),2)="KM"),"KM","X")))))</f>
        <v/>
      </c>
      <c r="BJ131" s="129">
        <f t="shared" ref="BJ131:BJ194" si="121">IF(K131="","",IF(OR(LEFT(K131,1)="T",LEFT(K131,1)="Т"),"T",IF(LEFT(UPPER(K131),2)="БП","PS",IF(OR(LEFT(UPPER(K131),2)="МК",LEFT(UPPER(K131),2)="MK"),"MK",IF(OR(LEFT(UPPER(K131),2)="КМ",LEFT(UPPER(K131),2)="KM"),"KM","X")))))</f>
        <v/>
      </c>
      <c r="BK131" s="129">
        <f>IF(R131="","",IF(OR(BY131="",BY131=0),"BOX",IFERROR(IF(VLOOKUP(BY131,УГО_блоки,3,FALSE)&amp;""&lt;&gt;"",VLOOKUP(BY131,УГО_блоки,3,FALSE),VLOOKUP(BY131,УГО_блоки,2,FALSE)),BY131)))</f>
      </c>
      <c r="BL131" s="129">
        <f t="shared" ref="BL131:BL194" si="123">IF(R131="",0,1)</f>
      </c>
      <c r="BM131" s="129">
        <f>IF(H131="","",IF(COUNTIF($H$3:H131,H131)=1,MAX($BM$2:BM130)+1,""))</f>
      </c>
      <c r="BN131" s="129">
        <f>IF(I131="","",IF(COUNTIF($I$3:I131,I131)+COUNTIF($J$2:J130,I131)+COUNTIF($K$2:K130,I131)=1,MAX($BN$2:BP130)+1,""))</f>
      </c>
      <c r="BO131" s="129">
        <f>IF(J131="","",IF(COUNTIF($I$3:I131,J131)+COUNTIF($J$3:J131,J131)+COUNTIF($K$2:K130,J131)=1,MAX($BN$2:BP130,BN131)+1,""))</f>
      </c>
      <c r="BP131" s="129">
        <f>IF(K131="","",IF(COUNTIF($I$3:I131,K131)+COUNTIF($J$3:J131,K131)+COUNTIF($K$3:K131,K131)=1,MAX($BN$2:BP130,BN131,BO131)+1,""))</f>
      </c>
      <c r="BQ131" s="129">
        <f>IF(AY131=1,IFERROR(MID(Q131,FIND(" (",Q131)+2,FIND(")",Q131,FIND(" (",Q131))-FIND(" (",Q131)-2),"?"),"")</f>
      </c>
      <c r="BR131" s="129">
        <f>IF(BQ131="","",IF(COUNTIF($BQ$3:BQ131,BQ131)=1,MAX($BR$2:BR130)+1,""))</f>
      </c>
      <c r="BS131" s="129">
        <f>IF(AW131="","",COUNTIF($AW$3:AW131,"?*"))</f>
      </c>
      <c r="BT131" s="129">
        <f>IF(OR(AW131="",AI131=""),"",IF(COUNTIFS($AW$3:AW131,"?*",$AI$3:AI131,AI131)=1,MAX($BT$2:BT130)+1,""))</f>
      </c>
      <c r="BU131" s="129">
        <f>IF(AE131="",0,IF(OR(ISNUMBER(SEARCH("дубль",AE131)),ISNUMBER(SEARCH("ПЕРЕГРУЗ",AE131)),ISNUMBER(SEARCH("ЗАЩИЩ",AE131)),ISNUMBER(SEARCH("КАНАЛ",AE131)),ISNUMBER(SEARCH("без 30",AE131))),2,1))</f>
      </c>
      <c r="BV131" s="129">
        <f>IF(R131="","",COUNTIF($R$3:R131,"?*"))</f>
      </c>
      <c r="BW131" s="129">
        <f>IF(AY131&lt;&gt;1,0,IF(MAX(IFERROR(--VLOOKUP(R131,УГО_спр,5,FALSE),0),IFERROR(--VLOOKUP(AL131,УГО_спр,5,FALSE),0),IFERROR(--VLOOKUP(LEFT(AL131,2),УГО_спр,5,FALSE),0))&gt;0,MAX(IFERROR(--VLOOKUP(R131,УГО_спр,5,FALSE),0),IFERROR(--VLOOKUP(AL131,УГО_спр,5,FALSE),0),IFERROR(--VLOOKUP(LEFT(AL131,2),УГО_спр,5,FALSE),0)),IF(IFERROR(--LEFT(SUBSTITUTE(BQ131,"x","х"),FIND("х",SUBSTITUTE(BQ131,"x","х"))-1),3)&gt;3,Каталог!$S$9,1)))</f>
      </c>
      <c r="BX131" s="129">
        <f>IF(AY131&lt;&gt;1,0,MAX(0,IFERROR(--LEFT(SUBSTITUTE(BQ131,"x","х"),FIND("х",SUBSTITUTE(BQ131,"x","х"))-1),3)-3*BW131))</f>
      </c>
      <c r="BY131" s="129">
        <f>IF(R131="","",IFERROR(VLOOKUP(R131,УГО_спр,2,FALSE),IFERROR(VLOOKUP(AL131,УГО_спр,2,FALSE),IFERROR(VLOOKUP(LEFT(AL131,2),УГО_спр,2,FALSE),""))))</f>
      </c>
    </row>
    <row r="132" spans="1:64" x14ac:dyDescent="0.3">
      <c r="A132" s="135">
        <f>IF(Разбивка_по_щитам!F132=0,"",Разбивка_по_щитам!F132)</f>
      </c>
      <c r="B132" s="138">
        <f>IF(A132="","",Разбивка_по_щитам!C132)</f>
      </c>
      <c r="C132" s="138">
        <f t="shared" si="86"/>
      </c>
      <c r="D132" s="266"/>
      <c r="E132" s="266"/>
      <c r="F132" s="267"/>
      <c r="G132" s="145">
        <f t="shared" si="87"/>
        <v/>
      </c>
      <c r="H132" s="145">
        <f t="shared" si="88"/>
        <v/>
      </c>
      <c r="I132" s="266"/>
      <c r="J132" s="267"/>
      <c r="K132" s="267"/>
      <c r="L132" s="266"/>
      <c r="M132" s="147">
        <f t="shared" si="84"/>
        <v/>
      </c>
      <c r="N132" s="267"/>
      <c r="O132" s="147">
        <f t="shared" si="85"/>
        <v/>
      </c>
      <c r="P132" s="268">
        <f>IF(AY132=1,"XT"&amp;COUNTIFS($A$3:A132,A132,$AY$3:AY132,1),"")</f>
        <v/>
      </c>
      <c r="Q132" s="152">
        <f>IF(R132="","",IFERROR(SUBSTITUTE(Разбивка_по_щитам!P132,CHAR(10)," "),""))</f>
        <v/>
      </c>
      <c r="R132" s="153">
        <f>IF(OR(Разбивка_по_щитам!H132="",Разбивка_по_щитам!H132=0),"",Разбивка_по_щитам!H132)</f>
        <v/>
      </c>
      <c r="S132" s="154">
        <f>IF(R132="","",IFERROR(Разбивка_по_щитам!J132&amp;"",""))</f>
        <v/>
      </c>
      <c r="T132" s="155">
        <f>IF(R132="","",IFERROR(--Разбивка_по_щитам!L132,""))</f>
        <v/>
      </c>
      <c r="U132" s="155">
        <f>IF(R132="","",IFERROR(--Разбивка_по_щитам!K132,""))</f>
        <v/>
      </c>
      <c r="V132" s="138">
        <f>IF(R132="","",IFERROR(IF(Разбивка_по_щитам!M132=0,"",Разбивка_по_щитам!M132),""))</f>
        <v/>
      </c>
      <c r="W132" s="156">
        <f t="shared" si="89"/>
        <v/>
      </c>
      <c r="X132" s="157">
        <f t="shared" si="90"/>
        <v/>
      </c>
      <c r="Y132" s="266"/>
      <c r="Z132" s="158">
        <f t="shared" si="91"/>
        <v/>
      </c>
      <c r="AA132" s="160">
        <f t="shared" si="92"/>
        <v/>
      </c>
      <c r="AB132" s="160">
        <f>IF(R132="","",IFERROR(LOOKUP(INDEX(Справочная!$I$4:$I$19,MATCH(VLOOKUP(R132,Исходные_данные,22,FALSE),Справочная!$J$4:$J$19,0)+1),{6,10,16,20,25,32,40,50,63,80,100,125}),""))</f>
        <v/>
      </c>
      <c r="AC132" s="160">
        <f t="shared" si="93"/>
        <v/>
      </c>
      <c r="AD132" s="161">
        <f t="shared" si="94"/>
        <v/>
      </c>
      <c r="AE132" s="161">
        <f>IF(AND(R132="",G132=""),"",_xlfn.TEXTJOIN("; ",TRUE,IF(AND(R132&lt;&gt;"",V132=""),"нет фазы",""),IF(AND(R132&lt;&gt;"",N(T132)=0),"нет мощности",""),IF(AND(P132&lt;&gt;"",COUNTIFS($A$3:$A$1000,A132,$P$3:$P$1000,P132)&gt;1),"дубль клеммы "&amp;P132,""),IF(AND(W132&lt;&gt;"",W132&lt;&gt;"ok"),W132,""),IF(X132&lt;&gt;"",X132,""),IF(AND(ISNUMBER(SEARCH("(5х",Q132)),N(AK132)=1),"5 жил на 1 фазе",""),IF(AND(AL132="R",E132&lt;&gt;"",N(AS132)=0),"розетка без 30 мА",""),IF(IFERROR(_xlfn.NUMBERVALUE(MID(Q132,FIND("-",Q132,FIND("L=",Q132))+1,FIND("%",Q132)-FIND("-",Q132,FIND("L=",Q132))-1),","),0)&gt;4,"потери &gt; 4 %","")))</f>
      </c>
      <c r="AF132" s="129">
        <f>IF(E132&lt;&gt;"",COUNTIFS($A$3:A132,A132,$E$3:E132,"?*"),IF(OR(A132&lt;&gt;A131,Y132="вручную"),"",AF131))</f>
      </c>
      <c r="AG132" s="129">
        <f t="shared" si="95"/>
      </c>
      <c r="AH132" s="129">
        <f t="shared" si="96"/>
        <v/>
      </c>
      <c r="AI132" s="129">
        <f t="shared" si="97"/>
        <v/>
      </c>
      <c r="AJ132" s="129">
        <f t="shared" si="98"/>
        <v/>
      </c>
      <c r="AK132" s="129">
        <f t="shared" si="99"/>
        <v/>
      </c>
      <c r="AL132" s="129">
        <f t="shared" si="100"/>
        <v/>
      </c>
      <c r="AM132" s="129">
        <f t="shared" si="101"/>
      </c>
      <c r="AN132" s="129">
        <f t="shared" si="102"/>
      </c>
      <c r="AO132" s="129">
        <f t="shared" si="103"/>
        <v/>
      </c>
      <c r="AP132" s="129">
        <f t="shared" si="104"/>
        <v/>
      </c>
      <c r="AQ132" s="129">
        <f t="shared" si="105"/>
        <v/>
      </c>
      <c r="AR132" s="129">
        <f t="shared" si="106"/>
        <v/>
      </c>
      <c r="AS132" s="129">
        <f t="shared" si="107"/>
        <v/>
      </c>
      <c r="AT132" s="129">
        <f t="shared" si="108"/>
        <v/>
      </c>
      <c r="AU132" s="129">
        <f t="shared" si="109"/>
        <v/>
      </c>
      <c r="AV132" s="129">
        <f t="shared" si="110"/>
        <v/>
      </c>
      <c r="AW132" s="129">
        <f>IF(AV132="","",AV132&amp;"."&amp;COUNTIFS($A$3:A132,A132,$AV$3:AV132,AV132))</f>
        <v/>
      </c>
      <c r="AX132" s="129">
        <f t="shared" si="111"/>
        <v/>
      </c>
      <c r="AY132" s="129">
        <f>IF(N132="б/к",0,IF(OR(ISNUMBER(SEARCH("L=",Разбивка_по_щитам!P132)),N132="+",N132="="),1,0))</f>
      </c>
      <c r="AZ132" s="129">
        <f t="shared" si="112"/>
      </c>
      <c r="BA132" s="129">
        <f t="shared" si="113"/>
      </c>
      <c r="BB132" s="129">
        <f t="shared" si="114"/>
      </c>
      <c r="BD132" s="129">
        <f t="shared" si="115"/>
      </c>
      <c r="BE132" s="129">
        <f t="shared" si="116"/>
      </c>
      <c r="BF132" s="129">
        <f t="shared" si="117"/>
      </c>
      <c r="BG132" s="129">
        <f t="shared" si="118"/>
        <v/>
      </c>
      <c r="BH132" s="129">
        <f t="shared" si="119"/>
        <v/>
      </c>
      <c r="BI132" s="129">
        <f t="shared" si="120"/>
        <v/>
      </c>
      <c r="BJ132" s="129">
        <f t="shared" si="121"/>
        <v/>
      </c>
      <c r="BK132" s="129">
        <f>IF(R132="","",IF(OR(BY132="",BY132=0),"BOX",IFERROR(IF(VLOOKUP(BY132,УГО_блоки,3,FALSE)&amp;""&lt;&gt;"",VLOOKUP(BY132,УГО_блоки,3,FALSE),VLOOKUP(BY132,УГО_блоки,2,FALSE)),BY132)))</f>
      </c>
      <c r="BL132" s="129">
        <f t="shared" si="123"/>
      </c>
      <c r="BM132" s="129">
        <f>IF(H132="","",IF(COUNTIF($H$3:H132,H132)=1,MAX($BM$2:BM131)+1,""))</f>
      </c>
      <c r="BN132" s="129">
        <f>IF(I132="","",IF(COUNTIF($I$3:I132,I132)+COUNTIF($J$2:J131,I132)+COUNTIF($K$2:K131,I132)=1,MAX($BN$2:BP131)+1,""))</f>
      </c>
      <c r="BO132" s="129">
        <f>IF(J132="","",IF(COUNTIF($I$3:I132,J132)+COUNTIF($J$3:J132,J132)+COUNTIF($K$2:K131,J132)=1,MAX($BN$2:BP131,BN132)+1,""))</f>
      </c>
      <c r="BP132" s="129">
        <f>IF(K132="","",IF(COUNTIF($I$3:I132,K132)+COUNTIF($J$3:J132,K132)+COUNTIF($K$3:K132,K132)=1,MAX($BN$2:BP131,BN132,BO132)+1,""))</f>
      </c>
      <c r="BQ132" s="129">
        <f>IF(AY132=1,IFERROR(MID(Q132,FIND(" (",Q132)+2,FIND(")",Q132,FIND(" (",Q132))-FIND(" (",Q132)-2),"?"),"")</f>
      </c>
      <c r="BR132" s="129">
        <f>IF(BQ132="","",IF(COUNTIF($BQ$3:BQ132,BQ132)=1,MAX($BR$2:BR131)+1,""))</f>
      </c>
      <c r="BS132" s="129">
        <f>IF(AW132="","",COUNTIF($AW$3:AW132,"?*"))</f>
      </c>
      <c r="BT132" s="129">
        <f>IF(OR(AW132="",AI132=""),"",IF(COUNTIFS($AW$3:AW132,"?*",$AI$3:AI132,AI132)=1,MAX($BT$2:BT131)+1,""))</f>
      </c>
      <c r="BU132" s="129">
        <f>IF(AE132="",0,IF(OR(ISNUMBER(SEARCH("дубль",AE132)),ISNUMBER(SEARCH("ПЕРЕГРУЗ",AE132)),ISNUMBER(SEARCH("ЗАЩИЩ",AE132)),ISNUMBER(SEARCH("КАНАЛ",AE132)),ISNUMBER(SEARCH("без 30",AE132))),2,1))</f>
      </c>
      <c r="BV132" s="129">
        <f>IF(R132="","",COUNTIF($R$3:R132,"?*"))</f>
      </c>
      <c r="BW132" s="129">
        <f>IF(AY132&lt;&gt;1,0,IF(MAX(IFERROR(--VLOOKUP(R132,УГО_спр,5,FALSE),0),IFERROR(--VLOOKUP(AL132,УГО_спр,5,FALSE),0),IFERROR(--VLOOKUP(LEFT(AL132,2),УГО_спр,5,FALSE),0))&gt;0,MAX(IFERROR(--VLOOKUP(R132,УГО_спр,5,FALSE),0),IFERROR(--VLOOKUP(AL132,УГО_спр,5,FALSE),0),IFERROR(--VLOOKUP(LEFT(AL132,2),УГО_спр,5,FALSE),0)),IF(IFERROR(--LEFT(SUBSTITUTE(BQ132,"x","х"),FIND("х",SUBSTITUTE(BQ132,"x","х"))-1),3)&gt;3,Каталог!$S$9,1)))</f>
      </c>
      <c r="BX132" s="129">
        <f>IF(AY132&lt;&gt;1,0,MAX(0,IFERROR(--LEFT(SUBSTITUTE(BQ132,"x","х"),FIND("х",SUBSTITUTE(BQ132,"x","х"))-1),3)-3*BW132))</f>
      </c>
      <c r="BY132" s="129">
        <f>IF(R132="","",IFERROR(VLOOKUP(R132,УГО_спр,2,FALSE),IFERROR(VLOOKUP(AL132,УГО_спр,2,FALSE),IFERROR(VLOOKUP(LEFT(AL132,2),УГО_спр,2,FALSE),""))))</f>
      </c>
    </row>
    <row r="133" spans="1:64" x14ac:dyDescent="0.3">
      <c r="A133" s="135">
        <f>IF(Разбивка_по_щитам!F133=0,"",Разбивка_по_щитам!F133)</f>
      </c>
      <c r="B133" s="138">
        <f>IF(A133="","",Разбивка_по_щитам!C133)</f>
      </c>
      <c r="C133" s="138">
        <f t="shared" si="86"/>
      </c>
      <c r="D133" s="266"/>
      <c r="E133" s="266"/>
      <c r="F133" s="267"/>
      <c r="G133" s="145">
        <f t="shared" si="87"/>
        <v/>
      </c>
      <c r="H133" s="145">
        <f t="shared" si="88"/>
        <v/>
      </c>
      <c r="I133" s="266"/>
      <c r="J133" s="267"/>
      <c r="K133" s="267"/>
      <c r="L133" s="266"/>
      <c r="M133" s="147">
        <f t="shared" si="84"/>
        <v/>
      </c>
      <c r="N133" s="267"/>
      <c r="O133" s="147">
        <f t="shared" si="85"/>
        <v/>
      </c>
      <c r="P133" s="268">
        <f>IF(AY133=1,"XT"&amp;COUNTIFS($A$3:A133,A133,$AY$3:AY133,1),"")</f>
        <v/>
      </c>
      <c r="Q133" s="152">
        <f>IF(R133="","",IFERROR(SUBSTITUTE(Разбивка_по_щитам!P133,CHAR(10)," "),""))</f>
        <v/>
      </c>
      <c r="R133" s="153">
        <f>IF(OR(Разбивка_по_щитам!H133="",Разбивка_по_щитам!H133=0),"",Разбивка_по_щитам!H133)</f>
        <v/>
      </c>
      <c r="S133" s="154">
        <f>IF(R133="","",IFERROR(Разбивка_по_щитам!J133&amp;"",""))</f>
        <v/>
      </c>
      <c r="T133" s="155">
        <f>IF(R133="","",IFERROR(--Разбивка_по_щитам!L133,""))</f>
        <v/>
      </c>
      <c r="U133" s="155">
        <f>IF(R133="","",IFERROR(--Разбивка_по_щитам!K133,""))</f>
        <v/>
      </c>
      <c r="V133" s="138">
        <f>IF(R133="","",IFERROR(IF(Разбивка_по_щитам!M133=0,"",Разбивка_по_щитам!M133),""))</f>
        <v/>
      </c>
      <c r="W133" s="156">
        <f t="shared" si="89"/>
        <v/>
      </c>
      <c r="X133" s="157">
        <f t="shared" si="90"/>
        <v/>
      </c>
      <c r="Y133" s="266"/>
      <c r="Z133" s="158">
        <f t="shared" si="91"/>
        <v/>
      </c>
      <c r="AA133" s="160">
        <f t="shared" si="92"/>
        <v/>
      </c>
      <c r="AB133" s="160">
        <f>IF(R133="","",IFERROR(LOOKUP(INDEX(Справочная!$I$4:$I$19,MATCH(VLOOKUP(R133,Исходные_данные,22,FALSE),Справочная!$J$4:$J$19,0)+1),{6,10,16,20,25,32,40,50,63,80,100,125}),""))</f>
        <v/>
      </c>
      <c r="AC133" s="160">
        <f t="shared" si="93"/>
        <v/>
      </c>
      <c r="AD133" s="161">
        <f t="shared" si="94"/>
        <v/>
      </c>
      <c r="AE133" s="161">
        <f>IF(AND(R133="",G133=""),"",_xlfn.TEXTJOIN("; ",TRUE,IF(AND(R133&lt;&gt;"",V133=""),"нет фазы",""),IF(AND(R133&lt;&gt;"",N(T133)=0),"нет мощности",""),IF(AND(P133&lt;&gt;"",COUNTIFS($A$3:$A$1000,A133,$P$3:$P$1000,P133)&gt;1),"дубль клеммы "&amp;P133,""),IF(AND(W133&lt;&gt;"",W133&lt;&gt;"ok"),W133,""),IF(X133&lt;&gt;"",X133,""),IF(AND(ISNUMBER(SEARCH("(5х",Q133)),N(AK133)=1),"5 жил на 1 фазе",""),IF(AND(AL133="R",E133&lt;&gt;"",N(AS133)=0),"розетка без 30 мА",""),IF(IFERROR(_xlfn.NUMBERVALUE(MID(Q133,FIND("-",Q133,FIND("L=",Q133))+1,FIND("%",Q133)-FIND("-",Q133,FIND("L=",Q133))-1),","),0)&gt;4,"потери &gt; 4 %","")))</f>
      </c>
      <c r="AF133" s="129">
        <f>IF(E133&lt;&gt;"",COUNTIFS($A$3:A133,A133,$E$3:E133,"?*"),IF(OR(A133&lt;&gt;A132,Y133="вручную"),"",AF132))</f>
      </c>
      <c r="AG133" s="129">
        <f t="shared" si="95"/>
      </c>
      <c r="AH133" s="129">
        <f t="shared" si="96"/>
        <v/>
      </c>
      <c r="AI133" s="129">
        <f t="shared" si="97"/>
        <v/>
      </c>
      <c r="AJ133" s="129">
        <f t="shared" si="98"/>
        <v/>
      </c>
      <c r="AK133" s="129">
        <f t="shared" si="99"/>
        <v/>
      </c>
      <c r="AL133" s="129">
        <f t="shared" si="100"/>
        <v/>
      </c>
      <c r="AM133" s="129">
        <f t="shared" si="101"/>
      </c>
      <c r="AN133" s="129">
        <f t="shared" si="102"/>
      </c>
      <c r="AO133" s="129">
        <f t="shared" si="103"/>
        <v/>
      </c>
      <c r="AP133" s="129">
        <f t="shared" si="104"/>
        <v/>
      </c>
      <c r="AQ133" s="129">
        <f t="shared" si="105"/>
        <v/>
      </c>
      <c r="AR133" s="129">
        <f t="shared" si="106"/>
        <v/>
      </c>
      <c r="AS133" s="129">
        <f t="shared" si="107"/>
        <v/>
      </c>
      <c r="AT133" s="129">
        <f t="shared" si="108"/>
        <v/>
      </c>
      <c r="AU133" s="129">
        <f t="shared" si="109"/>
        <v/>
      </c>
      <c r="AV133" s="129">
        <f t="shared" si="110"/>
        <v/>
      </c>
      <c r="AW133" s="129">
        <f>IF(AV133="","",AV133&amp;"."&amp;COUNTIFS($A$3:A133,A133,$AV$3:AV133,AV133))</f>
        <v/>
      </c>
      <c r="AX133" s="129">
        <f t="shared" si="111"/>
        <v/>
      </c>
      <c r="AY133" s="129">
        <f>IF(N133="б/к",0,IF(OR(ISNUMBER(SEARCH("L=",Разбивка_по_щитам!P133)),N133="+",N133="="),1,0))</f>
      </c>
      <c r="AZ133" s="129">
        <f t="shared" si="112"/>
      </c>
      <c r="BA133" s="129">
        <f t="shared" si="113"/>
      </c>
      <c r="BB133" s="129">
        <f t="shared" si="114"/>
      </c>
      <c r="BD133" s="129">
        <f t="shared" si="115"/>
      </c>
      <c r="BE133" s="129">
        <f t="shared" si="116"/>
      </c>
      <c r="BF133" s="129">
        <f t="shared" si="117"/>
      </c>
      <c r="BG133" s="129">
        <f t="shared" si="118"/>
        <v/>
      </c>
      <c r="BH133" s="129">
        <f t="shared" si="119"/>
        <v/>
      </c>
      <c r="BI133" s="129">
        <f t="shared" si="120"/>
        <v/>
      </c>
      <c r="BJ133" s="129">
        <f t="shared" si="121"/>
        <v/>
      </c>
      <c r="BK133" s="129">
        <f>IF(R133="","",IF(OR(BY133="",BY133=0),"BOX",IFERROR(IF(VLOOKUP(BY133,УГО_блоки,3,FALSE)&amp;""&lt;&gt;"",VLOOKUP(BY133,УГО_блоки,3,FALSE),VLOOKUP(BY133,УГО_блоки,2,FALSE)),BY133)))</f>
      </c>
      <c r="BL133" s="129">
        <f t="shared" si="123"/>
      </c>
      <c r="BM133" s="129">
        <f>IF(H133="","",IF(COUNTIF($H$3:H133,H133)=1,MAX($BM$2:BM132)+1,""))</f>
      </c>
      <c r="BN133" s="129">
        <f>IF(I133="","",IF(COUNTIF($I$3:I133,I133)+COUNTIF($J$2:J132,I133)+COUNTIF($K$2:K132,I133)=1,MAX($BN$2:BP132)+1,""))</f>
      </c>
      <c r="BO133" s="129">
        <f>IF(J133="","",IF(COUNTIF($I$3:I133,J133)+COUNTIF($J$3:J133,J133)+COUNTIF($K$2:K132,J133)=1,MAX($BN$2:BP132,BN133)+1,""))</f>
      </c>
      <c r="BP133" s="129">
        <f>IF(K133="","",IF(COUNTIF($I$3:I133,K133)+COUNTIF($J$3:J133,K133)+COUNTIF($K$3:K133,K133)=1,MAX($BN$2:BP132,BN133,BO133)+1,""))</f>
      </c>
      <c r="BQ133" s="129">
        <f>IF(AY133=1,IFERROR(MID(Q133,FIND(" (",Q133)+2,FIND(")",Q133,FIND(" (",Q133))-FIND(" (",Q133)-2),"?"),"")</f>
      </c>
      <c r="BR133" s="129">
        <f>IF(BQ133="","",IF(COUNTIF($BQ$3:BQ133,BQ133)=1,MAX($BR$2:BR132)+1,""))</f>
      </c>
      <c r="BS133" s="129">
        <f>IF(AW133="","",COUNTIF($AW$3:AW133,"?*"))</f>
      </c>
      <c r="BT133" s="129">
        <f>IF(OR(AW133="",AI133=""),"",IF(COUNTIFS($AW$3:AW133,"?*",$AI$3:AI133,AI133)=1,MAX($BT$2:BT132)+1,""))</f>
      </c>
      <c r="BU133" s="129">
        <f>IF(AE133="",0,IF(OR(ISNUMBER(SEARCH("дубль",AE133)),ISNUMBER(SEARCH("ПЕРЕГРУЗ",AE133)),ISNUMBER(SEARCH("ЗАЩИЩ",AE133)),ISNUMBER(SEARCH("КАНАЛ",AE133)),ISNUMBER(SEARCH("без 30",AE133))),2,1))</f>
      </c>
      <c r="BV133" s="129">
        <f>IF(R133="","",COUNTIF($R$3:R133,"?*"))</f>
      </c>
      <c r="BW133" s="129">
        <f>IF(AY133&lt;&gt;1,0,IF(MAX(IFERROR(--VLOOKUP(R133,УГО_спр,5,FALSE),0),IFERROR(--VLOOKUP(AL133,УГО_спр,5,FALSE),0),IFERROR(--VLOOKUP(LEFT(AL133,2),УГО_спр,5,FALSE),0))&gt;0,MAX(IFERROR(--VLOOKUP(R133,УГО_спр,5,FALSE),0),IFERROR(--VLOOKUP(AL133,УГО_спр,5,FALSE),0),IFERROR(--VLOOKUP(LEFT(AL133,2),УГО_спр,5,FALSE),0)),IF(IFERROR(--LEFT(SUBSTITUTE(BQ133,"x","х"),FIND("х",SUBSTITUTE(BQ133,"x","х"))-1),3)&gt;3,Каталог!$S$9,1)))</f>
      </c>
      <c r="BX133" s="129">
        <f>IF(AY133&lt;&gt;1,0,MAX(0,IFERROR(--LEFT(SUBSTITUTE(BQ133,"x","х"),FIND("х",SUBSTITUTE(BQ133,"x","х"))-1),3)-3*BW133))</f>
      </c>
      <c r="BY133" s="129">
        <f>IF(R133="","",IFERROR(VLOOKUP(R133,УГО_спр,2,FALSE),IFERROR(VLOOKUP(AL133,УГО_спр,2,FALSE),IFERROR(VLOOKUP(LEFT(AL133,2),УГО_спр,2,FALSE),""))))</f>
      </c>
    </row>
    <row r="134" spans="1:64" x14ac:dyDescent="0.3">
      <c r="A134" s="135">
        <f>IF(Разбивка_по_щитам!F134=0,"",Разбивка_по_щитам!F134)</f>
      </c>
      <c r="B134" s="138">
        <f>IF(A134="","",Разбивка_по_щитам!C134)</f>
      </c>
      <c r="C134" s="138">
        <f t="shared" si="86"/>
      </c>
      <c r="D134" s="266"/>
      <c r="E134" s="266"/>
      <c r="F134" s="267"/>
      <c r="G134" s="145">
        <f t="shared" si="87"/>
        <v/>
      </c>
      <c r="H134" s="145">
        <f t="shared" si="88"/>
        <v/>
      </c>
      <c r="I134" s="266"/>
      <c r="J134" s="267"/>
      <c r="K134" s="267"/>
      <c r="L134" s="266"/>
      <c r="M134" s="147">
        <f t="shared" si="84"/>
        <v/>
      </c>
      <c r="N134" s="267"/>
      <c r="O134" s="147">
        <f t="shared" si="85"/>
        <v/>
      </c>
      <c r="P134" s="268">
        <f>IF(AY134=1,"XT"&amp;COUNTIFS($A$3:A134,A134,$AY$3:AY134,1),"")</f>
        <v/>
      </c>
      <c r="Q134" s="152">
        <f>IF(R134="","",IFERROR(SUBSTITUTE(Разбивка_по_щитам!P134,CHAR(10)," "),""))</f>
        <v/>
      </c>
      <c r="R134" s="153">
        <f>IF(OR(Разбивка_по_щитам!H134="",Разбивка_по_щитам!H134=0),"",Разбивка_по_щитам!H134)</f>
        <v/>
      </c>
      <c r="S134" s="154">
        <f>IF(R134="","",IFERROR(Разбивка_по_щитам!J134&amp;"",""))</f>
        <v/>
      </c>
      <c r="T134" s="155">
        <f>IF(R134="","",IFERROR(--Разбивка_по_щитам!L134,""))</f>
        <v/>
      </c>
      <c r="U134" s="155">
        <f>IF(R134="","",IFERROR(--Разбивка_по_щитам!K134,""))</f>
        <v/>
      </c>
      <c r="V134" s="138">
        <f>IF(R134="","",IFERROR(IF(Разбивка_по_щитам!M134=0,"",Разбивка_по_щитам!M134),""))</f>
        <v/>
      </c>
      <c r="W134" s="156">
        <f t="shared" si="89"/>
        <v/>
      </c>
      <c r="X134" s="157">
        <f t="shared" si="90"/>
        <v/>
      </c>
      <c r="Y134" s="266"/>
      <c r="Z134" s="158">
        <f t="shared" si="91"/>
        <v/>
      </c>
      <c r="AA134" s="160">
        <f t="shared" si="92"/>
        <v/>
      </c>
      <c r="AB134" s="160">
        <f>IF(R134="","",IFERROR(LOOKUP(INDEX(Справочная!$I$4:$I$19,MATCH(VLOOKUP(R134,Исходные_данные,22,FALSE),Справочная!$J$4:$J$19,0)+1),{6,10,16,20,25,32,40,50,63,80,100,125}),""))</f>
        <v/>
      </c>
      <c r="AC134" s="160">
        <f t="shared" si="93"/>
        <v/>
      </c>
      <c r="AD134" s="161">
        <f t="shared" si="94"/>
        <v/>
      </c>
      <c r="AE134" s="161">
        <f>IF(AND(R134="",G134=""),"",_xlfn.TEXTJOIN("; ",TRUE,IF(AND(R134&lt;&gt;"",V134=""),"нет фазы",""),IF(AND(R134&lt;&gt;"",N(T134)=0),"нет мощности",""),IF(AND(P134&lt;&gt;"",COUNTIFS($A$3:$A$1000,A134,$P$3:$P$1000,P134)&gt;1),"дубль клеммы "&amp;P134,""),IF(AND(W134&lt;&gt;"",W134&lt;&gt;"ok"),W134,""),IF(X134&lt;&gt;"",X134,""),IF(AND(ISNUMBER(SEARCH("(5х",Q134)),N(AK134)=1),"5 жил на 1 фазе",""),IF(AND(AL134="R",E134&lt;&gt;"",N(AS134)=0),"розетка без 30 мА",""),IF(IFERROR(_xlfn.NUMBERVALUE(MID(Q134,FIND("-",Q134,FIND("L=",Q134))+1,FIND("%",Q134)-FIND("-",Q134,FIND("L=",Q134))-1),","),0)&gt;4,"потери &gt; 4 %","")))</f>
      </c>
      <c r="AF134" s="129">
        <f>IF(E134&lt;&gt;"",COUNTIFS($A$3:A134,A134,$E$3:E134,"?*"),IF(OR(A134&lt;&gt;A133,Y134="вручную"),"",AF133))</f>
      </c>
      <c r="AG134" s="129">
        <f t="shared" si="95"/>
      </c>
      <c r="AH134" s="129">
        <f t="shared" si="96"/>
        <v/>
      </c>
      <c r="AI134" s="129">
        <f t="shared" si="97"/>
        <v/>
      </c>
      <c r="AJ134" s="129">
        <f t="shared" si="98"/>
        <v/>
      </c>
      <c r="AK134" s="129">
        <f t="shared" si="99"/>
        <v/>
      </c>
      <c r="AL134" s="129">
        <f t="shared" si="100"/>
        <v/>
      </c>
      <c r="AM134" s="129">
        <f t="shared" si="101"/>
      </c>
      <c r="AN134" s="129">
        <f t="shared" si="102"/>
      </c>
      <c r="AO134" s="129">
        <f t="shared" si="103"/>
        <v/>
      </c>
      <c r="AP134" s="129">
        <f t="shared" si="104"/>
        <v/>
      </c>
      <c r="AQ134" s="129">
        <f t="shared" si="105"/>
        <v/>
      </c>
      <c r="AR134" s="129">
        <f t="shared" si="106"/>
        <v/>
      </c>
      <c r="AS134" s="129">
        <f t="shared" si="107"/>
        <v/>
      </c>
      <c r="AT134" s="129">
        <f t="shared" si="108"/>
        <v/>
      </c>
      <c r="AU134" s="129">
        <f t="shared" si="109"/>
        <v/>
      </c>
      <c r="AV134" s="129">
        <f t="shared" si="110"/>
        <v/>
      </c>
      <c r="AW134" s="129">
        <f>IF(AV134="","",AV134&amp;"."&amp;COUNTIFS($A$3:A134,A134,$AV$3:AV134,AV134))</f>
        <v/>
      </c>
      <c r="AX134" s="129">
        <f t="shared" si="111"/>
        <v/>
      </c>
      <c r="AY134" s="129">
        <f>IF(N134="б/к",0,IF(OR(ISNUMBER(SEARCH("L=",Разбивка_по_щитам!P134)),N134="+",N134="="),1,0))</f>
      </c>
      <c r="AZ134" s="129">
        <f t="shared" si="112"/>
      </c>
      <c r="BA134" s="129">
        <f t="shared" si="113"/>
      </c>
      <c r="BB134" s="129">
        <f t="shared" si="114"/>
      </c>
      <c r="BD134" s="129">
        <f t="shared" si="115"/>
      </c>
      <c r="BE134" s="129">
        <f t="shared" si="116"/>
      </c>
      <c r="BF134" s="129">
        <f t="shared" si="117"/>
      </c>
      <c r="BG134" s="129">
        <f t="shared" si="118"/>
        <v/>
      </c>
      <c r="BH134" s="129">
        <f t="shared" si="119"/>
        <v/>
      </c>
      <c r="BI134" s="129">
        <f t="shared" si="120"/>
        <v/>
      </c>
      <c r="BJ134" s="129">
        <f t="shared" si="121"/>
        <v/>
      </c>
      <c r="BK134" s="129">
        <f>IF(R134="","",IF(OR(BY134="",BY134=0),"BOX",IFERROR(IF(VLOOKUP(BY134,УГО_блоки,3,FALSE)&amp;""&lt;&gt;"",VLOOKUP(BY134,УГО_блоки,3,FALSE),VLOOKUP(BY134,УГО_блоки,2,FALSE)),BY134)))</f>
      </c>
      <c r="BL134" s="129">
        <f t="shared" si="123"/>
      </c>
      <c r="BM134" s="129">
        <f>IF(H134="","",IF(COUNTIF($H$3:H134,H134)=1,MAX($BM$2:BM133)+1,""))</f>
      </c>
      <c r="BN134" s="129">
        <f>IF(I134="","",IF(COUNTIF($I$3:I134,I134)+COUNTIF($J$2:J133,I134)+COUNTIF($K$2:K133,I134)=1,MAX($BN$2:BP133)+1,""))</f>
      </c>
      <c r="BO134" s="129">
        <f>IF(J134="","",IF(COUNTIF($I$3:I134,J134)+COUNTIF($J$3:J134,J134)+COUNTIF($K$2:K133,J134)=1,MAX($BN$2:BP133,BN134)+1,""))</f>
      </c>
      <c r="BP134" s="129">
        <f>IF(K134="","",IF(COUNTIF($I$3:I134,K134)+COUNTIF($J$3:J134,K134)+COUNTIF($K$3:K134,K134)=1,MAX($BN$2:BP133,BN134,BO134)+1,""))</f>
      </c>
      <c r="BQ134" s="129">
        <f>IF(AY134=1,IFERROR(MID(Q134,FIND(" (",Q134)+2,FIND(")",Q134,FIND(" (",Q134))-FIND(" (",Q134)-2),"?"),"")</f>
      </c>
      <c r="BR134" s="129">
        <f>IF(BQ134="","",IF(COUNTIF($BQ$3:BQ134,BQ134)=1,MAX($BR$2:BR133)+1,""))</f>
      </c>
      <c r="BS134" s="129">
        <f>IF(AW134="","",COUNTIF($AW$3:AW134,"?*"))</f>
      </c>
      <c r="BT134" s="129">
        <f>IF(OR(AW134="",AI134=""),"",IF(COUNTIFS($AW$3:AW134,"?*",$AI$3:AI134,AI134)=1,MAX($BT$2:BT133)+1,""))</f>
      </c>
      <c r="BU134" s="129">
        <f>IF(AE134="",0,IF(OR(ISNUMBER(SEARCH("дубль",AE134)),ISNUMBER(SEARCH("ПЕРЕГРУЗ",AE134)),ISNUMBER(SEARCH("ЗАЩИЩ",AE134)),ISNUMBER(SEARCH("КАНАЛ",AE134)),ISNUMBER(SEARCH("без 30",AE134))),2,1))</f>
      </c>
      <c r="BV134" s="129">
        <f>IF(R134="","",COUNTIF($R$3:R134,"?*"))</f>
      </c>
      <c r="BW134" s="129">
        <f>IF(AY134&lt;&gt;1,0,IF(MAX(IFERROR(--VLOOKUP(R134,УГО_спр,5,FALSE),0),IFERROR(--VLOOKUP(AL134,УГО_спр,5,FALSE),0),IFERROR(--VLOOKUP(LEFT(AL134,2),УГО_спр,5,FALSE),0))&gt;0,MAX(IFERROR(--VLOOKUP(R134,УГО_спр,5,FALSE),0),IFERROR(--VLOOKUP(AL134,УГО_спр,5,FALSE),0),IFERROR(--VLOOKUP(LEFT(AL134,2),УГО_спр,5,FALSE),0)),IF(IFERROR(--LEFT(SUBSTITUTE(BQ134,"x","х"),FIND("х",SUBSTITUTE(BQ134,"x","х"))-1),3)&gt;3,Каталог!$S$9,1)))</f>
      </c>
      <c r="BX134" s="129">
        <f>IF(AY134&lt;&gt;1,0,MAX(0,IFERROR(--LEFT(SUBSTITUTE(BQ134,"x","х"),FIND("х",SUBSTITUTE(BQ134,"x","х"))-1),3)-3*BW134))</f>
      </c>
      <c r="BY134" s="129">
        <f>IF(R134="","",IFERROR(VLOOKUP(R134,УГО_спр,2,FALSE),IFERROR(VLOOKUP(AL134,УГО_спр,2,FALSE),IFERROR(VLOOKUP(LEFT(AL134,2),УГО_спр,2,FALSE),""))))</f>
      </c>
    </row>
    <row r="135" spans="1:64" x14ac:dyDescent="0.3">
      <c r="A135" s="135">
        <f>IF(Разбивка_по_щитам!F135=0,"",Разбивка_по_щитам!F135)</f>
      </c>
      <c r="B135" s="138">
        <f>IF(A135="","",Разбивка_по_щитам!C135)</f>
      </c>
      <c r="C135" s="138">
        <f t="shared" si="86"/>
      </c>
      <c r="D135" s="266"/>
      <c r="E135" s="266"/>
      <c r="F135" s="267"/>
      <c r="G135" s="145">
        <f t="shared" si="87"/>
        <v/>
      </c>
      <c r="H135" s="145">
        <f t="shared" si="88"/>
        <v/>
      </c>
      <c r="I135" s="266"/>
      <c r="J135" s="267"/>
      <c r="K135" s="267"/>
      <c r="L135" s="266"/>
      <c r="M135" s="147">
        <f t="shared" si="84"/>
        <v/>
      </c>
      <c r="N135" s="267"/>
      <c r="O135" s="147">
        <f t="shared" si="85"/>
        <v/>
      </c>
      <c r="P135" s="268">
        <f>IF(AY135=1,"XT"&amp;COUNTIFS($A$3:A135,A135,$AY$3:AY135,1),"")</f>
        <v/>
      </c>
      <c r="Q135" s="152">
        <f>IF(R135="","",IFERROR(SUBSTITUTE(Разбивка_по_щитам!P135,CHAR(10)," "),""))</f>
        <v/>
      </c>
      <c r="R135" s="153">
        <f>IF(OR(Разбивка_по_щитам!H135="",Разбивка_по_щитам!H135=0),"",Разбивка_по_щитам!H135)</f>
        <v/>
      </c>
      <c r="S135" s="154">
        <f>IF(R135="","",IFERROR(Разбивка_по_щитам!J135&amp;"",""))</f>
        <v/>
      </c>
      <c r="T135" s="155">
        <f>IF(R135="","",IFERROR(--Разбивка_по_щитам!L135,""))</f>
        <v/>
      </c>
      <c r="U135" s="155">
        <f>IF(R135="","",IFERROR(--Разбивка_по_щитам!K135,""))</f>
        <v/>
      </c>
      <c r="V135" s="138">
        <f>IF(R135="","",IFERROR(IF(Разбивка_по_щитам!M135=0,"",Разбивка_по_щитам!M135),""))</f>
        <v/>
      </c>
      <c r="W135" s="156">
        <f t="shared" si="89"/>
        <v/>
      </c>
      <c r="X135" s="157">
        <f t="shared" si="90"/>
        <v/>
      </c>
      <c r="Y135" s="266"/>
      <c r="Z135" s="158">
        <f t="shared" si="91"/>
        <v/>
      </c>
      <c r="AA135" s="160">
        <f t="shared" si="92"/>
        <v/>
      </c>
      <c r="AB135" s="160">
        <f>IF(R135="","",IFERROR(LOOKUP(INDEX(Справочная!$I$4:$I$19,MATCH(VLOOKUP(R135,Исходные_данные,22,FALSE),Справочная!$J$4:$J$19,0)+1),{6,10,16,20,25,32,40,50,63,80,100,125}),""))</f>
        <v/>
      </c>
      <c r="AC135" s="160">
        <f t="shared" si="93"/>
        <v/>
      </c>
      <c r="AD135" s="161">
        <f t="shared" si="94"/>
        <v/>
      </c>
      <c r="AE135" s="161">
        <f>IF(AND(R135="",G135=""),"",_xlfn.TEXTJOIN("; ",TRUE,IF(AND(R135&lt;&gt;"",V135=""),"нет фазы",""),IF(AND(R135&lt;&gt;"",N(T135)=0),"нет мощности",""),IF(AND(P135&lt;&gt;"",COUNTIFS($A$3:$A$1000,A135,$P$3:$P$1000,P135)&gt;1),"дубль клеммы "&amp;P135,""),IF(AND(W135&lt;&gt;"",W135&lt;&gt;"ok"),W135,""),IF(X135&lt;&gt;"",X135,""),IF(AND(ISNUMBER(SEARCH("(5х",Q135)),N(AK135)=1),"5 жил на 1 фазе",""),IF(AND(AL135="R",E135&lt;&gt;"",N(AS135)=0),"розетка без 30 мА",""),IF(IFERROR(_xlfn.NUMBERVALUE(MID(Q135,FIND("-",Q135,FIND("L=",Q135))+1,FIND("%",Q135)-FIND("-",Q135,FIND("L=",Q135))-1),","),0)&gt;4,"потери &gt; 4 %","")))</f>
      </c>
      <c r="AF135" s="129">
        <f>IF(E135&lt;&gt;"",COUNTIFS($A$3:A135,A135,$E$3:E135,"?*"),IF(OR(A135&lt;&gt;A134,Y135="вручную"),"",AF134))</f>
      </c>
      <c r="AG135" s="129">
        <f t="shared" si="95"/>
      </c>
      <c r="AH135" s="129">
        <f t="shared" si="96"/>
        <v/>
      </c>
      <c r="AI135" s="129">
        <f t="shared" si="97"/>
        <v/>
      </c>
      <c r="AJ135" s="129">
        <f t="shared" si="98"/>
        <v/>
      </c>
      <c r="AK135" s="129">
        <f t="shared" si="99"/>
        <v/>
      </c>
      <c r="AL135" s="129">
        <f t="shared" si="100"/>
        <v/>
      </c>
      <c r="AM135" s="129">
        <f t="shared" si="101"/>
      </c>
      <c r="AN135" s="129">
        <f t="shared" si="102"/>
      </c>
      <c r="AO135" s="129">
        <f t="shared" si="103"/>
        <v/>
      </c>
      <c r="AP135" s="129">
        <f t="shared" si="104"/>
        <v/>
      </c>
      <c r="AQ135" s="129">
        <f t="shared" si="105"/>
        <v/>
      </c>
      <c r="AR135" s="129">
        <f t="shared" si="106"/>
        <v/>
      </c>
      <c r="AS135" s="129">
        <f t="shared" si="107"/>
        <v/>
      </c>
      <c r="AT135" s="129">
        <f t="shared" si="108"/>
        <v/>
      </c>
      <c r="AU135" s="129">
        <f t="shared" si="109"/>
        <v/>
      </c>
      <c r="AV135" s="129">
        <f t="shared" si="110"/>
        <v/>
      </c>
      <c r="AW135" s="129">
        <f>IF(AV135="","",AV135&amp;"."&amp;COUNTIFS($A$3:A135,A135,$AV$3:AV135,AV135))</f>
        <v/>
      </c>
      <c r="AX135" s="129">
        <f t="shared" si="111"/>
        <v/>
      </c>
      <c r="AY135" s="129">
        <f>IF(N135="б/к",0,IF(OR(ISNUMBER(SEARCH("L=",Разбивка_по_щитам!P135)),N135="+",N135="="),1,0))</f>
      </c>
      <c r="AZ135" s="129">
        <f t="shared" si="112"/>
      </c>
      <c r="BA135" s="129">
        <f t="shared" si="113"/>
      </c>
      <c r="BB135" s="129">
        <f t="shared" si="114"/>
      </c>
      <c r="BD135" s="129">
        <f t="shared" si="115"/>
      </c>
      <c r="BE135" s="129">
        <f t="shared" si="116"/>
      </c>
      <c r="BF135" s="129">
        <f t="shared" si="117"/>
      </c>
      <c r="BG135" s="129">
        <f t="shared" si="118"/>
        <v/>
      </c>
      <c r="BH135" s="129">
        <f t="shared" si="119"/>
        <v/>
      </c>
      <c r="BI135" s="129">
        <f t="shared" si="120"/>
        <v/>
      </c>
      <c r="BJ135" s="129">
        <f t="shared" si="121"/>
        <v/>
      </c>
      <c r="BK135" s="129">
        <f>IF(R135="","",IF(OR(BY135="",BY135=0),"BOX",IFERROR(IF(VLOOKUP(BY135,УГО_блоки,3,FALSE)&amp;""&lt;&gt;"",VLOOKUP(BY135,УГО_блоки,3,FALSE),VLOOKUP(BY135,УГО_блоки,2,FALSE)),BY135)))</f>
      </c>
      <c r="BL135" s="129">
        <f t="shared" si="123"/>
      </c>
      <c r="BM135" s="129">
        <f>IF(H135="","",IF(COUNTIF($H$3:H135,H135)=1,MAX($BM$2:BM134)+1,""))</f>
      </c>
      <c r="BN135" s="129">
        <f>IF(I135="","",IF(COUNTIF($I$3:I135,I135)+COUNTIF($J$2:J134,I135)+COUNTIF($K$2:K134,I135)=1,MAX($BN$2:BP134)+1,""))</f>
      </c>
      <c r="BO135" s="129">
        <f>IF(J135="","",IF(COUNTIF($I$3:I135,J135)+COUNTIF($J$3:J135,J135)+COUNTIF($K$2:K134,J135)=1,MAX($BN$2:BP134,BN135)+1,""))</f>
      </c>
      <c r="BP135" s="129">
        <f>IF(K135="","",IF(COUNTIF($I$3:I135,K135)+COUNTIF($J$3:J135,K135)+COUNTIF($K$3:K135,K135)=1,MAX($BN$2:BP134,BN135,BO135)+1,""))</f>
      </c>
      <c r="BQ135" s="129">
        <f>IF(AY135=1,IFERROR(MID(Q135,FIND(" (",Q135)+2,FIND(")",Q135,FIND(" (",Q135))-FIND(" (",Q135)-2),"?"),"")</f>
      </c>
      <c r="BR135" s="129">
        <f>IF(BQ135="","",IF(COUNTIF($BQ$3:BQ135,BQ135)=1,MAX($BR$2:BR134)+1,""))</f>
      </c>
      <c r="BS135" s="129">
        <f>IF(AW135="","",COUNTIF($AW$3:AW135,"?*"))</f>
      </c>
      <c r="BT135" s="129">
        <f>IF(OR(AW135="",AI135=""),"",IF(COUNTIFS($AW$3:AW135,"?*",$AI$3:AI135,AI135)=1,MAX($BT$2:BT134)+1,""))</f>
      </c>
      <c r="BU135" s="129">
        <f>IF(AE135="",0,IF(OR(ISNUMBER(SEARCH("дубль",AE135)),ISNUMBER(SEARCH("ПЕРЕГРУЗ",AE135)),ISNUMBER(SEARCH("ЗАЩИЩ",AE135)),ISNUMBER(SEARCH("КАНАЛ",AE135)),ISNUMBER(SEARCH("без 30",AE135))),2,1))</f>
      </c>
      <c r="BV135" s="129">
        <f>IF(R135="","",COUNTIF($R$3:R135,"?*"))</f>
      </c>
      <c r="BW135" s="129">
        <f>IF(AY135&lt;&gt;1,0,IF(MAX(IFERROR(--VLOOKUP(R135,УГО_спр,5,FALSE),0),IFERROR(--VLOOKUP(AL135,УГО_спр,5,FALSE),0),IFERROR(--VLOOKUP(LEFT(AL135,2),УГО_спр,5,FALSE),0))&gt;0,MAX(IFERROR(--VLOOKUP(R135,УГО_спр,5,FALSE),0),IFERROR(--VLOOKUP(AL135,УГО_спр,5,FALSE),0),IFERROR(--VLOOKUP(LEFT(AL135,2),УГО_спр,5,FALSE),0)),IF(IFERROR(--LEFT(SUBSTITUTE(BQ135,"x","х"),FIND("х",SUBSTITUTE(BQ135,"x","х"))-1),3)&gt;3,Каталог!$S$9,1)))</f>
      </c>
      <c r="BX135" s="129">
        <f>IF(AY135&lt;&gt;1,0,MAX(0,IFERROR(--LEFT(SUBSTITUTE(BQ135,"x","х"),FIND("х",SUBSTITUTE(BQ135,"x","х"))-1),3)-3*BW135))</f>
      </c>
      <c r="BY135" s="129">
        <f>IF(R135="","",IFERROR(VLOOKUP(R135,УГО_спр,2,FALSE),IFERROR(VLOOKUP(AL135,УГО_спр,2,FALSE),IFERROR(VLOOKUP(LEFT(AL135,2),УГО_спр,2,FALSE),""))))</f>
      </c>
    </row>
    <row r="136" spans="1:64" x14ac:dyDescent="0.3">
      <c r="A136" s="135">
        <f>IF(Разбивка_по_щитам!F136=0,"",Разбивка_по_щитам!F136)</f>
      </c>
      <c r="B136" s="138">
        <f>IF(A136="","",Разбивка_по_щитам!C136)</f>
      </c>
      <c r="C136" s="138">
        <f t="shared" si="86"/>
      </c>
      <c r="D136" s="266"/>
      <c r="E136" s="266"/>
      <c r="F136" s="267"/>
      <c r="G136" s="145">
        <f t="shared" si="87"/>
        <v/>
      </c>
      <c r="H136" s="145">
        <f t="shared" si="88"/>
        <v/>
      </c>
      <c r="I136" s="266"/>
      <c r="J136" s="267"/>
      <c r="K136" s="267"/>
      <c r="L136" s="266"/>
      <c r="M136" s="147">
        <f t="shared" si="84"/>
        <v/>
      </c>
      <c r="N136" s="267"/>
      <c r="O136" s="147">
        <f t="shared" si="85"/>
        <v/>
      </c>
      <c r="P136" s="268">
        <f>IF(AY136=1,"XT"&amp;COUNTIFS($A$3:A136,A136,$AY$3:AY136,1),"")</f>
        <v/>
      </c>
      <c r="Q136" s="152">
        <f>IF(R136="","",IFERROR(SUBSTITUTE(Разбивка_по_щитам!P136,CHAR(10)," "),""))</f>
        <v/>
      </c>
      <c r="R136" s="153">
        <f>IF(OR(Разбивка_по_щитам!H136="",Разбивка_по_щитам!H136=0),"",Разбивка_по_щитам!H136)</f>
        <v/>
      </c>
      <c r="S136" s="154">
        <f>IF(R136="","",IFERROR(Разбивка_по_щитам!J136&amp;"",""))</f>
        <v/>
      </c>
      <c r="T136" s="155">
        <f>IF(R136="","",IFERROR(--Разбивка_по_щитам!L136,""))</f>
        <v/>
      </c>
      <c r="U136" s="155">
        <f>IF(R136="","",IFERROR(--Разбивка_по_щитам!K136,""))</f>
        <v/>
      </c>
      <c r="V136" s="138">
        <f>IF(R136="","",IFERROR(IF(Разбивка_по_щитам!M136=0,"",Разбивка_по_щитам!M136),""))</f>
        <v/>
      </c>
      <c r="W136" s="156">
        <f t="shared" si="89"/>
        <v/>
      </c>
      <c r="X136" s="157">
        <f t="shared" si="90"/>
        <v/>
      </c>
      <c r="Y136" s="266"/>
      <c r="Z136" s="158">
        <f t="shared" si="91"/>
        <v/>
      </c>
      <c r="AA136" s="160">
        <f t="shared" si="92"/>
        <v/>
      </c>
      <c r="AB136" s="160">
        <f>IF(R136="","",IFERROR(LOOKUP(INDEX(Справочная!$I$4:$I$19,MATCH(VLOOKUP(R136,Исходные_данные,22,FALSE),Справочная!$J$4:$J$19,0)+1),{6,10,16,20,25,32,40,50,63,80,100,125}),""))</f>
        <v/>
      </c>
      <c r="AC136" s="160">
        <f t="shared" si="93"/>
        <v/>
      </c>
      <c r="AD136" s="161">
        <f t="shared" si="94"/>
        <v/>
      </c>
      <c r="AE136" s="161">
        <f>IF(AND(R136="",G136=""),"",_xlfn.TEXTJOIN("; ",TRUE,IF(AND(R136&lt;&gt;"",V136=""),"нет фазы",""),IF(AND(R136&lt;&gt;"",N(T136)=0),"нет мощности",""),IF(AND(P136&lt;&gt;"",COUNTIFS($A$3:$A$1000,A136,$P$3:$P$1000,P136)&gt;1),"дубль клеммы "&amp;P136,""),IF(AND(W136&lt;&gt;"",W136&lt;&gt;"ok"),W136,""),IF(X136&lt;&gt;"",X136,""),IF(AND(ISNUMBER(SEARCH("(5х",Q136)),N(AK136)=1),"5 жил на 1 фазе",""),IF(AND(AL136="R",E136&lt;&gt;"",N(AS136)=0),"розетка без 30 мА",""),IF(IFERROR(_xlfn.NUMBERVALUE(MID(Q136,FIND("-",Q136,FIND("L=",Q136))+1,FIND("%",Q136)-FIND("-",Q136,FIND("L=",Q136))-1),","),0)&gt;4,"потери &gt; 4 %","")))</f>
      </c>
      <c r="AF136" s="129">
        <f>IF(E136&lt;&gt;"",COUNTIFS($A$3:A136,A136,$E$3:E136,"?*"),IF(OR(A136&lt;&gt;A135,Y136="вручную"),"",AF135))</f>
      </c>
      <c r="AG136" s="129">
        <f t="shared" si="95"/>
      </c>
      <c r="AH136" s="129">
        <f t="shared" si="96"/>
        <v/>
      </c>
      <c r="AI136" s="129">
        <f t="shared" si="97"/>
        <v/>
      </c>
      <c r="AJ136" s="129">
        <f t="shared" si="98"/>
        <v/>
      </c>
      <c r="AK136" s="129">
        <f t="shared" si="99"/>
        <v/>
      </c>
      <c r="AL136" s="129">
        <f t="shared" si="100"/>
        <v/>
      </c>
      <c r="AM136" s="129">
        <f t="shared" si="101"/>
      </c>
      <c r="AN136" s="129">
        <f t="shared" si="102"/>
      </c>
      <c r="AO136" s="129">
        <f t="shared" si="103"/>
        <v/>
      </c>
      <c r="AP136" s="129">
        <f t="shared" si="104"/>
        <v/>
      </c>
      <c r="AQ136" s="129">
        <f t="shared" si="105"/>
        <v/>
      </c>
      <c r="AR136" s="129">
        <f t="shared" si="106"/>
        <v/>
      </c>
      <c r="AS136" s="129">
        <f t="shared" si="107"/>
        <v/>
      </c>
      <c r="AT136" s="129">
        <f t="shared" si="108"/>
        <v/>
      </c>
      <c r="AU136" s="129">
        <f t="shared" si="109"/>
        <v/>
      </c>
      <c r="AV136" s="129">
        <f t="shared" si="110"/>
        <v/>
      </c>
      <c r="AW136" s="129">
        <f>IF(AV136="","",AV136&amp;"."&amp;COUNTIFS($A$3:A136,A136,$AV$3:AV136,AV136))</f>
        <v/>
      </c>
      <c r="AX136" s="129">
        <f t="shared" si="111"/>
        <v/>
      </c>
      <c r="AY136" s="129">
        <f>IF(N136="б/к",0,IF(OR(ISNUMBER(SEARCH("L=",Разбивка_по_щитам!P136)),N136="+",N136="="),1,0))</f>
      </c>
      <c r="AZ136" s="129">
        <f t="shared" si="112"/>
      </c>
      <c r="BA136" s="129">
        <f t="shared" si="113"/>
      </c>
      <c r="BB136" s="129">
        <f t="shared" si="114"/>
      </c>
      <c r="BD136" s="129">
        <f t="shared" si="115"/>
      </c>
      <c r="BE136" s="129">
        <f t="shared" si="116"/>
      </c>
      <c r="BF136" s="129">
        <f t="shared" si="117"/>
      </c>
      <c r="BG136" s="129">
        <f t="shared" si="118"/>
        <v/>
      </c>
      <c r="BH136" s="129">
        <f t="shared" si="119"/>
        <v/>
      </c>
      <c r="BI136" s="129">
        <f t="shared" si="120"/>
        <v/>
      </c>
      <c r="BJ136" s="129">
        <f t="shared" si="121"/>
        <v/>
      </c>
      <c r="BK136" s="129">
        <f>IF(R136="","",IF(OR(BY136="",BY136=0),"BOX",IFERROR(IF(VLOOKUP(BY136,УГО_блоки,3,FALSE)&amp;""&lt;&gt;"",VLOOKUP(BY136,УГО_блоки,3,FALSE),VLOOKUP(BY136,УГО_блоки,2,FALSE)),BY136)))</f>
      </c>
      <c r="BL136" s="129">
        <f t="shared" si="123"/>
      </c>
      <c r="BM136" s="129">
        <f>IF(H136="","",IF(COUNTIF($H$3:H136,H136)=1,MAX($BM$2:BM135)+1,""))</f>
      </c>
      <c r="BN136" s="129">
        <f>IF(I136="","",IF(COUNTIF($I$3:I136,I136)+COUNTIF($J$2:J135,I136)+COUNTIF($K$2:K135,I136)=1,MAX($BN$2:BP135)+1,""))</f>
      </c>
      <c r="BO136" s="129">
        <f>IF(J136="","",IF(COUNTIF($I$3:I136,J136)+COUNTIF($J$3:J136,J136)+COUNTIF($K$2:K135,J136)=1,MAX($BN$2:BP135,BN136)+1,""))</f>
      </c>
      <c r="BP136" s="129">
        <f>IF(K136="","",IF(COUNTIF($I$3:I136,K136)+COUNTIF($J$3:J136,K136)+COUNTIF($K$3:K136,K136)=1,MAX($BN$2:BP135,BN136,BO136)+1,""))</f>
      </c>
      <c r="BQ136" s="129">
        <f>IF(AY136=1,IFERROR(MID(Q136,FIND(" (",Q136)+2,FIND(")",Q136,FIND(" (",Q136))-FIND(" (",Q136)-2),"?"),"")</f>
      </c>
      <c r="BR136" s="129">
        <f>IF(BQ136="","",IF(COUNTIF($BQ$3:BQ136,BQ136)=1,MAX($BR$2:BR135)+1,""))</f>
      </c>
      <c r="BS136" s="129">
        <f>IF(AW136="","",COUNTIF($AW$3:AW136,"?*"))</f>
      </c>
      <c r="BT136" s="129">
        <f>IF(OR(AW136="",AI136=""),"",IF(COUNTIFS($AW$3:AW136,"?*",$AI$3:AI136,AI136)=1,MAX($BT$2:BT135)+1,""))</f>
      </c>
      <c r="BU136" s="129">
        <f>IF(AE136="",0,IF(OR(ISNUMBER(SEARCH("дубль",AE136)),ISNUMBER(SEARCH("ПЕРЕГРУЗ",AE136)),ISNUMBER(SEARCH("ЗАЩИЩ",AE136)),ISNUMBER(SEARCH("КАНАЛ",AE136)),ISNUMBER(SEARCH("без 30",AE136))),2,1))</f>
      </c>
      <c r="BV136" s="129">
        <f>IF(R136="","",COUNTIF($R$3:R136,"?*"))</f>
      </c>
      <c r="BW136" s="129">
        <f>IF(AY136&lt;&gt;1,0,IF(MAX(IFERROR(--VLOOKUP(R136,УГО_спр,5,FALSE),0),IFERROR(--VLOOKUP(AL136,УГО_спр,5,FALSE),0),IFERROR(--VLOOKUP(LEFT(AL136,2),УГО_спр,5,FALSE),0))&gt;0,MAX(IFERROR(--VLOOKUP(R136,УГО_спр,5,FALSE),0),IFERROR(--VLOOKUP(AL136,УГО_спр,5,FALSE),0),IFERROR(--VLOOKUP(LEFT(AL136,2),УГО_спр,5,FALSE),0)),IF(IFERROR(--LEFT(SUBSTITUTE(BQ136,"x","х"),FIND("х",SUBSTITUTE(BQ136,"x","х"))-1),3)&gt;3,Каталог!$S$9,1)))</f>
      </c>
      <c r="BX136" s="129">
        <f>IF(AY136&lt;&gt;1,0,MAX(0,IFERROR(--LEFT(SUBSTITUTE(BQ136,"x","х"),FIND("х",SUBSTITUTE(BQ136,"x","х"))-1),3)-3*BW136))</f>
      </c>
      <c r="BY136" s="129">
        <f>IF(R136="","",IFERROR(VLOOKUP(R136,УГО_спр,2,FALSE),IFERROR(VLOOKUP(AL136,УГО_спр,2,FALSE),IFERROR(VLOOKUP(LEFT(AL136,2),УГО_спр,2,FALSE),""))))</f>
      </c>
    </row>
    <row r="137" spans="1:64" x14ac:dyDescent="0.3">
      <c r="A137" s="135">
        <f>IF(Разбивка_по_щитам!F137=0,"",Разбивка_по_щитам!F137)</f>
      </c>
      <c r="B137" s="138">
        <f>IF(A137="","",Разбивка_по_щитам!C137)</f>
      </c>
      <c r="C137" s="138">
        <f t="shared" si="86"/>
      </c>
      <c r="D137" s="266"/>
      <c r="E137" s="266"/>
      <c r="F137" s="267"/>
      <c r="G137" s="145">
        <f t="shared" si="87"/>
        <v/>
      </c>
      <c r="H137" s="145">
        <f t="shared" si="88"/>
        <v/>
      </c>
      <c r="I137" s="266"/>
      <c r="J137" s="267"/>
      <c r="K137" s="267"/>
      <c r="L137" s="266"/>
      <c r="M137" s="147">
        <f t="shared" si="84"/>
        <v/>
      </c>
      <c r="N137" s="267"/>
      <c r="O137" s="147">
        <f t="shared" si="85"/>
        <v/>
      </c>
      <c r="P137" s="268">
        <f>IF(AY137=1,"XT"&amp;COUNTIFS($A$3:A137,A137,$AY$3:AY137,1),"")</f>
        <v/>
      </c>
      <c r="Q137" s="152">
        <f>IF(R137="","",IFERROR(SUBSTITUTE(Разбивка_по_щитам!P137,CHAR(10)," "),""))</f>
        <v/>
      </c>
      <c r="R137" s="153">
        <f>IF(OR(Разбивка_по_щитам!H137="",Разбивка_по_щитам!H137=0),"",Разбивка_по_щитам!H137)</f>
        <v/>
      </c>
      <c r="S137" s="154">
        <f>IF(R137="","",IFERROR(Разбивка_по_щитам!J137&amp;"",""))</f>
        <v/>
      </c>
      <c r="T137" s="155">
        <f>IF(R137="","",IFERROR(--Разбивка_по_щитам!L137,""))</f>
        <v/>
      </c>
      <c r="U137" s="155">
        <f>IF(R137="","",IFERROR(--Разбивка_по_щитам!K137,""))</f>
        <v/>
      </c>
      <c r="V137" s="138">
        <f>IF(R137="","",IFERROR(IF(Разбивка_по_щитам!M137=0,"",Разбивка_по_щитам!M137),""))</f>
        <v/>
      </c>
      <c r="W137" s="156">
        <f t="shared" si="89"/>
        <v/>
      </c>
      <c r="X137" s="157">
        <f t="shared" si="90"/>
        <v/>
      </c>
      <c r="Y137" s="266"/>
      <c r="Z137" s="158">
        <f t="shared" si="91"/>
        <v/>
      </c>
      <c r="AA137" s="160">
        <f t="shared" si="92"/>
        <v/>
      </c>
      <c r="AB137" s="160">
        <f>IF(R137="","",IFERROR(LOOKUP(INDEX(Справочная!$I$4:$I$19,MATCH(VLOOKUP(R137,Исходные_данные,22,FALSE),Справочная!$J$4:$J$19,0)+1),{6,10,16,20,25,32,40,50,63,80,100,125}),""))</f>
        <v/>
      </c>
      <c r="AC137" s="160">
        <f t="shared" si="93"/>
        <v/>
      </c>
      <c r="AD137" s="161">
        <f t="shared" si="94"/>
        <v/>
      </c>
      <c r="AE137" s="161">
        <f>IF(AND(R137="",G137=""),"",_xlfn.TEXTJOIN("; ",TRUE,IF(AND(R137&lt;&gt;"",V137=""),"нет фазы",""),IF(AND(R137&lt;&gt;"",N(T137)=0),"нет мощности",""),IF(AND(P137&lt;&gt;"",COUNTIFS($A$3:$A$1000,A137,$P$3:$P$1000,P137)&gt;1),"дубль клеммы "&amp;P137,""),IF(AND(W137&lt;&gt;"",W137&lt;&gt;"ok"),W137,""),IF(X137&lt;&gt;"",X137,""),IF(AND(ISNUMBER(SEARCH("(5х",Q137)),N(AK137)=1),"5 жил на 1 фазе",""),IF(AND(AL137="R",E137&lt;&gt;"",N(AS137)=0),"розетка без 30 мА",""),IF(IFERROR(_xlfn.NUMBERVALUE(MID(Q137,FIND("-",Q137,FIND("L=",Q137))+1,FIND("%",Q137)-FIND("-",Q137,FIND("L=",Q137))-1),","),0)&gt;4,"потери &gt; 4 %","")))</f>
      </c>
      <c r="AF137" s="129">
        <f>IF(E137&lt;&gt;"",COUNTIFS($A$3:A137,A137,$E$3:E137,"?*"),IF(OR(A137&lt;&gt;A136,Y137="вручную"),"",AF136))</f>
      </c>
      <c r="AG137" s="129">
        <f t="shared" si="95"/>
      </c>
      <c r="AH137" s="129">
        <f t="shared" si="96"/>
        <v/>
      </c>
      <c r="AI137" s="129">
        <f t="shared" si="97"/>
        <v/>
      </c>
      <c r="AJ137" s="129">
        <f t="shared" si="98"/>
        <v/>
      </c>
      <c r="AK137" s="129">
        <f t="shared" si="99"/>
        <v/>
      </c>
      <c r="AL137" s="129">
        <f t="shared" si="100"/>
        <v/>
      </c>
      <c r="AM137" s="129">
        <f t="shared" si="101"/>
      </c>
      <c r="AN137" s="129">
        <f t="shared" si="102"/>
      </c>
      <c r="AO137" s="129">
        <f t="shared" si="103"/>
        <v/>
      </c>
      <c r="AP137" s="129">
        <f t="shared" si="104"/>
        <v/>
      </c>
      <c r="AQ137" s="129">
        <f t="shared" si="105"/>
        <v/>
      </c>
      <c r="AR137" s="129">
        <f t="shared" si="106"/>
        <v/>
      </c>
      <c r="AS137" s="129">
        <f t="shared" si="107"/>
        <v/>
      </c>
      <c r="AT137" s="129">
        <f t="shared" si="108"/>
        <v/>
      </c>
      <c r="AU137" s="129">
        <f t="shared" si="109"/>
        <v/>
      </c>
      <c r="AV137" s="129">
        <f t="shared" si="110"/>
        <v/>
      </c>
      <c r="AW137" s="129">
        <f>IF(AV137="","",AV137&amp;"."&amp;COUNTIFS($A$3:A137,A137,$AV$3:AV137,AV137))</f>
        <v/>
      </c>
      <c r="AX137" s="129">
        <f t="shared" si="111"/>
        <v/>
      </c>
      <c r="AY137" s="129">
        <f>IF(N137="б/к",0,IF(OR(ISNUMBER(SEARCH("L=",Разбивка_по_щитам!P137)),N137="+",N137="="),1,0))</f>
      </c>
      <c r="AZ137" s="129">
        <f t="shared" si="112"/>
      </c>
      <c r="BA137" s="129">
        <f t="shared" si="113"/>
      </c>
      <c r="BB137" s="129">
        <f t="shared" si="114"/>
      </c>
      <c r="BD137" s="129">
        <f t="shared" si="115"/>
      </c>
      <c r="BE137" s="129">
        <f t="shared" si="116"/>
      </c>
      <c r="BF137" s="129">
        <f t="shared" si="117"/>
      </c>
      <c r="BG137" s="129">
        <f t="shared" si="118"/>
        <v/>
      </c>
      <c r="BH137" s="129">
        <f t="shared" si="119"/>
        <v/>
      </c>
      <c r="BI137" s="129">
        <f t="shared" si="120"/>
        <v/>
      </c>
      <c r="BJ137" s="129">
        <f t="shared" si="121"/>
        <v/>
      </c>
      <c r="BK137" s="129">
        <f>IF(R137="","",IF(OR(BY137="",BY137=0),"BOX",IFERROR(IF(VLOOKUP(BY137,УГО_блоки,3,FALSE)&amp;""&lt;&gt;"",VLOOKUP(BY137,УГО_блоки,3,FALSE),VLOOKUP(BY137,УГО_блоки,2,FALSE)),BY137)))</f>
      </c>
      <c r="BL137" s="129">
        <f t="shared" si="123"/>
      </c>
      <c r="BM137" s="129">
        <f>IF(H137="","",IF(COUNTIF($H$3:H137,H137)=1,MAX($BM$2:BM136)+1,""))</f>
      </c>
      <c r="BN137" s="129">
        <f>IF(I137="","",IF(COUNTIF($I$3:I137,I137)+COUNTIF($J$2:J136,I137)+COUNTIF($K$2:K136,I137)=1,MAX($BN$2:BP136)+1,""))</f>
      </c>
      <c r="BO137" s="129">
        <f>IF(J137="","",IF(COUNTIF($I$3:I137,J137)+COUNTIF($J$3:J137,J137)+COUNTIF($K$2:K136,J137)=1,MAX($BN$2:BP136,BN137)+1,""))</f>
      </c>
      <c r="BP137" s="129">
        <f>IF(K137="","",IF(COUNTIF($I$3:I137,K137)+COUNTIF($J$3:J137,K137)+COUNTIF($K$3:K137,K137)=1,MAX($BN$2:BP136,BN137,BO137)+1,""))</f>
      </c>
      <c r="BQ137" s="129">
        <f>IF(AY137=1,IFERROR(MID(Q137,FIND(" (",Q137)+2,FIND(")",Q137,FIND(" (",Q137))-FIND(" (",Q137)-2),"?"),"")</f>
      </c>
      <c r="BR137" s="129">
        <f>IF(BQ137="","",IF(COUNTIF($BQ$3:BQ137,BQ137)=1,MAX($BR$2:BR136)+1,""))</f>
      </c>
      <c r="BS137" s="129">
        <f>IF(AW137="","",COUNTIF($AW$3:AW137,"?*"))</f>
      </c>
      <c r="BT137" s="129">
        <f>IF(OR(AW137="",AI137=""),"",IF(COUNTIFS($AW$3:AW137,"?*",$AI$3:AI137,AI137)=1,MAX($BT$2:BT136)+1,""))</f>
      </c>
      <c r="BU137" s="129">
        <f>IF(AE137="",0,IF(OR(ISNUMBER(SEARCH("дубль",AE137)),ISNUMBER(SEARCH("ПЕРЕГРУЗ",AE137)),ISNUMBER(SEARCH("ЗАЩИЩ",AE137)),ISNUMBER(SEARCH("КАНАЛ",AE137)),ISNUMBER(SEARCH("без 30",AE137))),2,1))</f>
      </c>
      <c r="BV137" s="129">
        <f>IF(R137="","",COUNTIF($R$3:R137,"?*"))</f>
      </c>
      <c r="BW137" s="129">
        <f>IF(AY137&lt;&gt;1,0,IF(MAX(IFERROR(--VLOOKUP(R137,УГО_спр,5,FALSE),0),IFERROR(--VLOOKUP(AL137,УГО_спр,5,FALSE),0),IFERROR(--VLOOKUP(LEFT(AL137,2),УГО_спр,5,FALSE),0))&gt;0,MAX(IFERROR(--VLOOKUP(R137,УГО_спр,5,FALSE),0),IFERROR(--VLOOKUP(AL137,УГО_спр,5,FALSE),0),IFERROR(--VLOOKUP(LEFT(AL137,2),УГО_спр,5,FALSE),0)),IF(IFERROR(--LEFT(SUBSTITUTE(BQ137,"x","х"),FIND("х",SUBSTITUTE(BQ137,"x","х"))-1),3)&gt;3,Каталог!$S$9,1)))</f>
      </c>
      <c r="BX137" s="129">
        <f>IF(AY137&lt;&gt;1,0,MAX(0,IFERROR(--LEFT(SUBSTITUTE(BQ137,"x","х"),FIND("х",SUBSTITUTE(BQ137,"x","х"))-1),3)-3*BW137))</f>
      </c>
      <c r="BY137" s="129">
        <f>IF(R137="","",IFERROR(VLOOKUP(R137,УГО_спр,2,FALSE),IFERROR(VLOOKUP(AL137,УГО_спр,2,FALSE),IFERROR(VLOOKUP(LEFT(AL137,2),УГО_спр,2,FALSE),""))))</f>
      </c>
    </row>
    <row r="138" spans="1:64" x14ac:dyDescent="0.3">
      <c r="A138" s="135">
        <f>IF(Разбивка_по_щитам!F138=0,"",Разбивка_по_щитам!F138)</f>
      </c>
      <c r="B138" s="138">
        <f>IF(A138="","",Разбивка_по_щитам!C138)</f>
      </c>
      <c r="C138" s="138">
        <f t="shared" si="86"/>
      </c>
      <c r="D138" s="266"/>
      <c r="E138" s="266"/>
      <c r="F138" s="267"/>
      <c r="G138" s="145">
        <f t="shared" si="87"/>
        <v/>
      </c>
      <c r="H138" s="145">
        <f t="shared" si="88"/>
        <v/>
      </c>
      <c r="I138" s="266"/>
      <c r="J138" s="267"/>
      <c r="K138" s="267"/>
      <c r="L138" s="266"/>
      <c r="M138" s="147">
        <f t="shared" si="84"/>
        <v/>
      </c>
      <c r="N138" s="267"/>
      <c r="O138" s="147">
        <f t="shared" si="85"/>
        <v/>
      </c>
      <c r="P138" s="268">
        <f>IF(AY138=1,"XT"&amp;COUNTIFS($A$3:A138,A138,$AY$3:AY138,1),"")</f>
        <v/>
      </c>
      <c r="Q138" s="152">
        <f>IF(R138="","",IFERROR(SUBSTITUTE(Разбивка_по_щитам!P138,CHAR(10)," "),""))</f>
        <v/>
      </c>
      <c r="R138" s="153">
        <f>IF(OR(Разбивка_по_щитам!H138="",Разбивка_по_щитам!H138=0),"",Разбивка_по_щитам!H138)</f>
        <v/>
      </c>
      <c r="S138" s="154">
        <f>IF(R138="","",IFERROR(Разбивка_по_щитам!J138&amp;"",""))</f>
        <v/>
      </c>
      <c r="T138" s="155">
        <f>IF(R138="","",IFERROR(--Разбивка_по_щитам!L138,""))</f>
        <v/>
      </c>
      <c r="U138" s="155">
        <f>IF(R138="","",IFERROR(--Разбивка_по_щитам!K138,""))</f>
        <v/>
      </c>
      <c r="V138" s="138">
        <f>IF(R138="","",IFERROR(IF(Разбивка_по_щитам!M138=0,"",Разбивка_по_щитам!M138),""))</f>
        <v/>
      </c>
      <c r="W138" s="156">
        <f t="shared" si="89"/>
        <v/>
      </c>
      <c r="X138" s="157">
        <f t="shared" si="90"/>
        <v/>
      </c>
      <c r="Y138" s="266"/>
      <c r="Z138" s="158">
        <f t="shared" si="91"/>
        <v/>
      </c>
      <c r="AA138" s="160">
        <f t="shared" si="92"/>
        <v/>
      </c>
      <c r="AB138" s="160">
        <f>IF(R138="","",IFERROR(LOOKUP(INDEX(Справочная!$I$4:$I$19,MATCH(VLOOKUP(R138,Исходные_данные,22,FALSE),Справочная!$J$4:$J$19,0)+1),{6,10,16,20,25,32,40,50,63,80,100,125}),""))</f>
        <v/>
      </c>
      <c r="AC138" s="160">
        <f t="shared" si="93"/>
        <v/>
      </c>
      <c r="AD138" s="161">
        <f t="shared" si="94"/>
        <v/>
      </c>
      <c r="AE138" s="161">
        <f>IF(AND(R138="",G138=""),"",_xlfn.TEXTJOIN("; ",TRUE,IF(AND(R138&lt;&gt;"",V138=""),"нет фазы",""),IF(AND(R138&lt;&gt;"",N(T138)=0),"нет мощности",""),IF(AND(P138&lt;&gt;"",COUNTIFS($A$3:$A$1000,A138,$P$3:$P$1000,P138)&gt;1),"дубль клеммы "&amp;P138,""),IF(AND(W138&lt;&gt;"",W138&lt;&gt;"ok"),W138,""),IF(X138&lt;&gt;"",X138,""),IF(AND(ISNUMBER(SEARCH("(5х",Q138)),N(AK138)=1),"5 жил на 1 фазе",""),IF(AND(AL138="R",E138&lt;&gt;"",N(AS138)=0),"розетка без 30 мА",""),IF(IFERROR(_xlfn.NUMBERVALUE(MID(Q138,FIND("-",Q138,FIND("L=",Q138))+1,FIND("%",Q138)-FIND("-",Q138,FIND("L=",Q138))-1),","),0)&gt;4,"потери &gt; 4 %","")))</f>
      </c>
      <c r="AF138" s="129">
        <f>IF(E138&lt;&gt;"",COUNTIFS($A$3:A138,A138,$E$3:E138,"?*"),IF(OR(A138&lt;&gt;A137,Y138="вручную"),"",AF137))</f>
      </c>
      <c r="AG138" s="129">
        <f t="shared" si="95"/>
      </c>
      <c r="AH138" s="129">
        <f t="shared" si="96"/>
        <v/>
      </c>
      <c r="AI138" s="129">
        <f t="shared" si="97"/>
        <v/>
      </c>
      <c r="AJ138" s="129">
        <f t="shared" si="98"/>
        <v/>
      </c>
      <c r="AK138" s="129">
        <f t="shared" si="99"/>
        <v/>
      </c>
      <c r="AL138" s="129">
        <f t="shared" si="100"/>
        <v/>
      </c>
      <c r="AM138" s="129">
        <f t="shared" si="101"/>
      </c>
      <c r="AN138" s="129">
        <f t="shared" si="102"/>
      </c>
      <c r="AO138" s="129">
        <f t="shared" si="103"/>
        <v/>
      </c>
      <c r="AP138" s="129">
        <f t="shared" si="104"/>
        <v/>
      </c>
      <c r="AQ138" s="129">
        <f t="shared" si="105"/>
        <v/>
      </c>
      <c r="AR138" s="129">
        <f t="shared" si="106"/>
        <v/>
      </c>
      <c r="AS138" s="129">
        <f t="shared" si="107"/>
        <v/>
      </c>
      <c r="AT138" s="129">
        <f t="shared" si="108"/>
        <v/>
      </c>
      <c r="AU138" s="129">
        <f t="shared" si="109"/>
        <v/>
      </c>
      <c r="AV138" s="129">
        <f t="shared" si="110"/>
        <v/>
      </c>
      <c r="AW138" s="129">
        <f>IF(AV138="","",AV138&amp;"."&amp;COUNTIFS($A$3:A138,A138,$AV$3:AV138,AV138))</f>
        <v/>
      </c>
      <c r="AX138" s="129">
        <f t="shared" si="111"/>
        <v/>
      </c>
      <c r="AY138" s="129">
        <f>IF(N138="б/к",0,IF(OR(ISNUMBER(SEARCH("L=",Разбивка_по_щитам!P138)),N138="+",N138="="),1,0))</f>
      </c>
      <c r="AZ138" s="129">
        <f t="shared" si="112"/>
      </c>
      <c r="BA138" s="129">
        <f t="shared" si="113"/>
      </c>
      <c r="BB138" s="129">
        <f t="shared" si="114"/>
      </c>
      <c r="BD138" s="129">
        <f t="shared" si="115"/>
      </c>
      <c r="BE138" s="129">
        <f t="shared" si="116"/>
      </c>
      <c r="BF138" s="129">
        <f t="shared" si="117"/>
      </c>
      <c r="BG138" s="129">
        <f t="shared" si="118"/>
        <v/>
      </c>
      <c r="BH138" s="129">
        <f t="shared" si="119"/>
        <v/>
      </c>
      <c r="BI138" s="129">
        <f t="shared" si="120"/>
        <v/>
      </c>
      <c r="BJ138" s="129">
        <f t="shared" si="121"/>
        <v/>
      </c>
      <c r="BK138" s="129">
        <f>IF(R138="","",IF(OR(BY138="",BY138=0),"BOX",IFERROR(IF(VLOOKUP(BY138,УГО_блоки,3,FALSE)&amp;""&lt;&gt;"",VLOOKUP(BY138,УГО_блоки,3,FALSE),VLOOKUP(BY138,УГО_блоки,2,FALSE)),BY138)))</f>
      </c>
      <c r="BL138" s="129">
        <f t="shared" si="123"/>
      </c>
      <c r="BM138" s="129">
        <f>IF(H138="","",IF(COUNTIF($H$3:H138,H138)=1,MAX($BM$2:BM137)+1,""))</f>
      </c>
      <c r="BN138" s="129">
        <f>IF(I138="","",IF(COUNTIF($I$3:I138,I138)+COUNTIF($J$2:J137,I138)+COUNTIF($K$2:K137,I138)=1,MAX($BN$2:BP137)+1,""))</f>
      </c>
      <c r="BO138" s="129">
        <f>IF(J138="","",IF(COUNTIF($I$3:I138,J138)+COUNTIF($J$3:J138,J138)+COUNTIF($K$2:K137,J138)=1,MAX($BN$2:BP137,BN138)+1,""))</f>
      </c>
      <c r="BP138" s="129">
        <f>IF(K138="","",IF(COUNTIF($I$3:I138,K138)+COUNTIF($J$3:J138,K138)+COUNTIF($K$3:K138,K138)=1,MAX($BN$2:BP137,BN138,BO138)+1,""))</f>
      </c>
      <c r="BQ138" s="129">
        <f>IF(AY138=1,IFERROR(MID(Q138,FIND(" (",Q138)+2,FIND(")",Q138,FIND(" (",Q138))-FIND(" (",Q138)-2),"?"),"")</f>
      </c>
      <c r="BR138" s="129">
        <f>IF(BQ138="","",IF(COUNTIF($BQ$3:BQ138,BQ138)=1,MAX($BR$2:BR137)+1,""))</f>
      </c>
      <c r="BS138" s="129">
        <f>IF(AW138="","",COUNTIF($AW$3:AW138,"?*"))</f>
      </c>
      <c r="BT138" s="129">
        <f>IF(OR(AW138="",AI138=""),"",IF(COUNTIFS($AW$3:AW138,"?*",$AI$3:AI138,AI138)=1,MAX($BT$2:BT137)+1,""))</f>
      </c>
      <c r="BU138" s="129">
        <f>IF(AE138="",0,IF(OR(ISNUMBER(SEARCH("дубль",AE138)),ISNUMBER(SEARCH("ПЕРЕГРУЗ",AE138)),ISNUMBER(SEARCH("ЗАЩИЩ",AE138)),ISNUMBER(SEARCH("КАНАЛ",AE138)),ISNUMBER(SEARCH("без 30",AE138))),2,1))</f>
      </c>
      <c r="BV138" s="129">
        <f>IF(R138="","",COUNTIF($R$3:R138,"?*"))</f>
      </c>
      <c r="BW138" s="129">
        <f>IF(AY138&lt;&gt;1,0,IF(MAX(IFERROR(--VLOOKUP(R138,УГО_спр,5,FALSE),0),IFERROR(--VLOOKUP(AL138,УГО_спр,5,FALSE),0),IFERROR(--VLOOKUP(LEFT(AL138,2),УГО_спр,5,FALSE),0))&gt;0,MAX(IFERROR(--VLOOKUP(R138,УГО_спр,5,FALSE),0),IFERROR(--VLOOKUP(AL138,УГО_спр,5,FALSE),0),IFERROR(--VLOOKUP(LEFT(AL138,2),УГО_спр,5,FALSE),0)),IF(IFERROR(--LEFT(SUBSTITUTE(BQ138,"x","х"),FIND("х",SUBSTITUTE(BQ138,"x","х"))-1),3)&gt;3,Каталог!$S$9,1)))</f>
      </c>
      <c r="BX138" s="129">
        <f>IF(AY138&lt;&gt;1,0,MAX(0,IFERROR(--LEFT(SUBSTITUTE(BQ138,"x","х"),FIND("х",SUBSTITUTE(BQ138,"x","х"))-1),3)-3*BW138))</f>
      </c>
      <c r="BY138" s="129">
        <f>IF(R138="","",IFERROR(VLOOKUP(R138,УГО_спр,2,FALSE),IFERROR(VLOOKUP(AL138,УГО_спр,2,FALSE),IFERROR(VLOOKUP(LEFT(AL138,2),УГО_спр,2,FALSE),""))))</f>
      </c>
    </row>
    <row r="139" spans="1:64" x14ac:dyDescent="0.3">
      <c r="A139" s="135">
        <f>IF(Разбивка_по_щитам!F139=0,"",Разбивка_по_щитам!F139)</f>
      </c>
      <c r="B139" s="138">
        <f>IF(A139="","",Разбивка_по_щитам!C139)</f>
      </c>
      <c r="C139" s="138">
        <f t="shared" si="86"/>
      </c>
      <c r="D139" s="266"/>
      <c r="E139" s="266"/>
      <c r="F139" s="267"/>
      <c r="G139" s="145">
        <f t="shared" si="87"/>
        <v/>
      </c>
      <c r="H139" s="145">
        <f t="shared" si="88"/>
        <v/>
      </c>
      <c r="I139" s="266"/>
      <c r="J139" s="267"/>
      <c r="K139" s="267"/>
      <c r="L139" s="266"/>
      <c r="M139" s="147">
        <f t="shared" si="84"/>
        <v/>
      </c>
      <c r="N139" s="267"/>
      <c r="O139" s="147">
        <f t="shared" si="85"/>
        <v/>
      </c>
      <c r="P139" s="268">
        <f>IF(AY139=1,"XT"&amp;COUNTIFS($A$3:A139,A139,$AY$3:AY139,1),"")</f>
        <v/>
      </c>
      <c r="Q139" s="152">
        <f>IF(R139="","",IFERROR(SUBSTITUTE(Разбивка_по_щитам!P139,CHAR(10)," "),""))</f>
        <v/>
      </c>
      <c r="R139" s="153">
        <f>IF(OR(Разбивка_по_щитам!H139="",Разбивка_по_щитам!H139=0),"",Разбивка_по_щитам!H139)</f>
        <v/>
      </c>
      <c r="S139" s="154">
        <f>IF(R139="","",IFERROR(Разбивка_по_щитам!J139&amp;"",""))</f>
        <v/>
      </c>
      <c r="T139" s="155">
        <f>IF(R139="","",IFERROR(--Разбивка_по_щитам!L139,""))</f>
        <v/>
      </c>
      <c r="U139" s="155">
        <f>IF(R139="","",IFERROR(--Разбивка_по_щитам!K139,""))</f>
        <v/>
      </c>
      <c r="V139" s="138">
        <f>IF(R139="","",IFERROR(IF(Разбивка_по_щитам!M139=0,"",Разбивка_по_щитам!M139),""))</f>
        <v/>
      </c>
      <c r="W139" s="156">
        <f t="shared" si="89"/>
        <v/>
      </c>
      <c r="X139" s="157">
        <f t="shared" si="90"/>
        <v/>
      </c>
      <c r="Y139" s="266"/>
      <c r="Z139" s="158">
        <f t="shared" si="91"/>
        <v/>
      </c>
      <c r="AA139" s="160">
        <f t="shared" si="92"/>
        <v/>
      </c>
      <c r="AB139" s="160">
        <f>IF(R139="","",IFERROR(LOOKUP(INDEX(Справочная!$I$4:$I$19,MATCH(VLOOKUP(R139,Исходные_данные,22,FALSE),Справочная!$J$4:$J$19,0)+1),{6,10,16,20,25,32,40,50,63,80,100,125}),""))</f>
        <v/>
      </c>
      <c r="AC139" s="160">
        <f t="shared" si="93"/>
        <v/>
      </c>
      <c r="AD139" s="161">
        <f t="shared" si="94"/>
        <v/>
      </c>
      <c r="AE139" s="161">
        <f>IF(AND(R139="",G139=""),"",_xlfn.TEXTJOIN("; ",TRUE,IF(AND(R139&lt;&gt;"",V139=""),"нет фазы",""),IF(AND(R139&lt;&gt;"",N(T139)=0),"нет мощности",""),IF(AND(P139&lt;&gt;"",COUNTIFS($A$3:$A$1000,A139,$P$3:$P$1000,P139)&gt;1),"дубль клеммы "&amp;P139,""),IF(AND(W139&lt;&gt;"",W139&lt;&gt;"ok"),W139,""),IF(X139&lt;&gt;"",X139,""),IF(AND(ISNUMBER(SEARCH("(5х",Q139)),N(AK139)=1),"5 жил на 1 фазе",""),IF(AND(AL139="R",E139&lt;&gt;"",N(AS139)=0),"розетка без 30 мА",""),IF(IFERROR(_xlfn.NUMBERVALUE(MID(Q139,FIND("-",Q139,FIND("L=",Q139))+1,FIND("%",Q139)-FIND("-",Q139,FIND("L=",Q139))-1),","),0)&gt;4,"потери &gt; 4 %","")))</f>
      </c>
      <c r="AF139" s="129">
        <f>IF(E139&lt;&gt;"",COUNTIFS($A$3:A139,A139,$E$3:E139,"?*"),IF(OR(A139&lt;&gt;A138,Y139="вручную"),"",AF138))</f>
      </c>
      <c r="AG139" s="129">
        <f t="shared" si="95"/>
      </c>
      <c r="AH139" s="129">
        <f t="shared" si="96"/>
        <v/>
      </c>
      <c r="AI139" s="129">
        <f t="shared" si="97"/>
        <v/>
      </c>
      <c r="AJ139" s="129">
        <f t="shared" si="98"/>
        <v/>
      </c>
      <c r="AK139" s="129">
        <f t="shared" si="99"/>
        <v/>
      </c>
      <c r="AL139" s="129">
        <f t="shared" si="100"/>
        <v/>
      </c>
      <c r="AM139" s="129">
        <f t="shared" si="101"/>
      </c>
      <c r="AN139" s="129">
        <f t="shared" si="102"/>
      </c>
      <c r="AO139" s="129">
        <f t="shared" si="103"/>
        <v/>
      </c>
      <c r="AP139" s="129">
        <f t="shared" si="104"/>
        <v/>
      </c>
      <c r="AQ139" s="129">
        <f t="shared" si="105"/>
        <v/>
      </c>
      <c r="AR139" s="129">
        <f t="shared" si="106"/>
        <v/>
      </c>
      <c r="AS139" s="129">
        <f t="shared" si="107"/>
        <v/>
      </c>
      <c r="AT139" s="129">
        <f t="shared" si="108"/>
        <v/>
      </c>
      <c r="AU139" s="129">
        <f t="shared" si="109"/>
        <v/>
      </c>
      <c r="AV139" s="129">
        <f t="shared" si="110"/>
        <v/>
      </c>
      <c r="AW139" s="129">
        <f>IF(AV139="","",AV139&amp;"."&amp;COUNTIFS($A$3:A139,A139,$AV$3:AV139,AV139))</f>
        <v/>
      </c>
      <c r="AX139" s="129">
        <f t="shared" si="111"/>
        <v/>
      </c>
      <c r="AY139" s="129">
        <f>IF(N139="б/к",0,IF(OR(ISNUMBER(SEARCH("L=",Разбивка_по_щитам!P139)),N139="+",N139="="),1,0))</f>
      </c>
      <c r="AZ139" s="129">
        <f t="shared" si="112"/>
      </c>
      <c r="BA139" s="129">
        <f t="shared" si="113"/>
      </c>
      <c r="BB139" s="129">
        <f t="shared" si="114"/>
      </c>
      <c r="BD139" s="129">
        <f t="shared" si="115"/>
      </c>
      <c r="BE139" s="129">
        <f t="shared" si="116"/>
      </c>
      <c r="BF139" s="129">
        <f t="shared" si="117"/>
      </c>
      <c r="BG139" s="129">
        <f t="shared" si="118"/>
        <v/>
      </c>
      <c r="BH139" s="129">
        <f t="shared" si="119"/>
        <v/>
      </c>
      <c r="BI139" s="129">
        <f t="shared" si="120"/>
        <v/>
      </c>
      <c r="BJ139" s="129">
        <f t="shared" si="121"/>
        <v/>
      </c>
      <c r="BK139" s="129">
        <f>IF(R139="","",IF(OR(BY139="",BY139=0),"BOX",IFERROR(IF(VLOOKUP(BY139,УГО_блоки,3,FALSE)&amp;""&lt;&gt;"",VLOOKUP(BY139,УГО_блоки,3,FALSE),VLOOKUP(BY139,УГО_блоки,2,FALSE)),BY139)))</f>
      </c>
      <c r="BL139" s="129">
        <f t="shared" si="123"/>
      </c>
      <c r="BM139" s="129">
        <f>IF(H139="","",IF(COUNTIF($H$3:H139,H139)=1,MAX($BM$2:BM138)+1,""))</f>
      </c>
      <c r="BN139" s="129">
        <f>IF(I139="","",IF(COUNTIF($I$3:I139,I139)+COUNTIF($J$2:J138,I139)+COUNTIF($K$2:K138,I139)=1,MAX($BN$2:BP138)+1,""))</f>
      </c>
      <c r="BO139" s="129">
        <f>IF(J139="","",IF(COUNTIF($I$3:I139,J139)+COUNTIF($J$3:J139,J139)+COUNTIF($K$2:K138,J139)=1,MAX($BN$2:BP138,BN139)+1,""))</f>
      </c>
      <c r="BP139" s="129">
        <f>IF(K139="","",IF(COUNTIF($I$3:I139,K139)+COUNTIF($J$3:J139,K139)+COUNTIF($K$3:K139,K139)=1,MAX($BN$2:BP138,BN139,BO139)+1,""))</f>
      </c>
      <c r="BQ139" s="129">
        <f>IF(AY139=1,IFERROR(MID(Q139,FIND(" (",Q139)+2,FIND(")",Q139,FIND(" (",Q139))-FIND(" (",Q139)-2),"?"),"")</f>
      </c>
      <c r="BR139" s="129">
        <f>IF(BQ139="","",IF(COUNTIF($BQ$3:BQ139,BQ139)=1,MAX($BR$2:BR138)+1,""))</f>
      </c>
      <c r="BS139" s="129">
        <f>IF(AW139="","",COUNTIF($AW$3:AW139,"?*"))</f>
      </c>
      <c r="BT139" s="129">
        <f>IF(OR(AW139="",AI139=""),"",IF(COUNTIFS($AW$3:AW139,"?*",$AI$3:AI139,AI139)=1,MAX($BT$2:BT138)+1,""))</f>
      </c>
      <c r="BU139" s="129">
        <f>IF(AE139="",0,IF(OR(ISNUMBER(SEARCH("дубль",AE139)),ISNUMBER(SEARCH("ПЕРЕГРУЗ",AE139)),ISNUMBER(SEARCH("ЗАЩИЩ",AE139)),ISNUMBER(SEARCH("КАНАЛ",AE139)),ISNUMBER(SEARCH("без 30",AE139))),2,1))</f>
      </c>
      <c r="BV139" s="129">
        <f>IF(R139="","",COUNTIF($R$3:R139,"?*"))</f>
      </c>
      <c r="BW139" s="129">
        <f>IF(AY139&lt;&gt;1,0,IF(MAX(IFERROR(--VLOOKUP(R139,УГО_спр,5,FALSE),0),IFERROR(--VLOOKUP(AL139,УГО_спр,5,FALSE),0),IFERROR(--VLOOKUP(LEFT(AL139,2),УГО_спр,5,FALSE),0))&gt;0,MAX(IFERROR(--VLOOKUP(R139,УГО_спр,5,FALSE),0),IFERROR(--VLOOKUP(AL139,УГО_спр,5,FALSE),0),IFERROR(--VLOOKUP(LEFT(AL139,2),УГО_спр,5,FALSE),0)),IF(IFERROR(--LEFT(SUBSTITUTE(BQ139,"x","х"),FIND("х",SUBSTITUTE(BQ139,"x","х"))-1),3)&gt;3,Каталог!$S$9,1)))</f>
      </c>
      <c r="BX139" s="129">
        <f>IF(AY139&lt;&gt;1,0,MAX(0,IFERROR(--LEFT(SUBSTITUTE(BQ139,"x","х"),FIND("х",SUBSTITUTE(BQ139,"x","х"))-1),3)-3*BW139))</f>
      </c>
      <c r="BY139" s="129">
        <f>IF(R139="","",IFERROR(VLOOKUP(R139,УГО_спр,2,FALSE),IFERROR(VLOOKUP(AL139,УГО_спр,2,FALSE),IFERROR(VLOOKUP(LEFT(AL139,2),УГО_спр,2,FALSE),""))))</f>
      </c>
    </row>
    <row r="140" spans="1:64" x14ac:dyDescent="0.3">
      <c r="A140" s="135">
        <f>IF(Разбивка_по_щитам!F140=0,"",Разбивка_по_щитам!F140)</f>
      </c>
      <c r="B140" s="138">
        <f>IF(A140="","",Разбивка_по_щитам!C140)</f>
      </c>
      <c r="C140" s="138">
        <f t="shared" si="86"/>
      </c>
      <c r="D140" s="266"/>
      <c r="E140" s="266"/>
      <c r="F140" s="267"/>
      <c r="G140" s="145">
        <f t="shared" si="87"/>
        <v/>
      </c>
      <c r="H140" s="145">
        <f t="shared" si="88"/>
        <v/>
      </c>
      <c r="I140" s="266"/>
      <c r="J140" s="267"/>
      <c r="K140" s="267"/>
      <c r="L140" s="266"/>
      <c r="M140" s="147">
        <f t="shared" si="84"/>
        <v/>
      </c>
      <c r="N140" s="267"/>
      <c r="O140" s="147">
        <f t="shared" si="85"/>
        <v/>
      </c>
      <c r="P140" s="268">
        <f>IF(AY140=1,"XT"&amp;COUNTIFS($A$3:A140,A140,$AY$3:AY140,1),"")</f>
        <v/>
      </c>
      <c r="Q140" s="152">
        <f>IF(R140="","",IFERROR(SUBSTITUTE(Разбивка_по_щитам!P140,CHAR(10)," "),""))</f>
        <v/>
      </c>
      <c r="R140" s="153">
        <f>IF(OR(Разбивка_по_щитам!H140="",Разбивка_по_щитам!H140=0),"",Разбивка_по_щитам!H140)</f>
        <v/>
      </c>
      <c r="S140" s="154">
        <f>IF(R140="","",IFERROR(Разбивка_по_щитам!J140&amp;"",""))</f>
        <v/>
      </c>
      <c r="T140" s="155">
        <f>IF(R140="","",IFERROR(--Разбивка_по_щитам!L140,""))</f>
        <v/>
      </c>
      <c r="U140" s="155">
        <f>IF(R140="","",IFERROR(--Разбивка_по_щитам!K140,""))</f>
        <v/>
      </c>
      <c r="V140" s="138">
        <f>IF(R140="","",IFERROR(IF(Разбивка_по_щитам!M140=0,"",Разбивка_по_щитам!M140),""))</f>
        <v/>
      </c>
      <c r="W140" s="156">
        <f t="shared" si="89"/>
        <v/>
      </c>
      <c r="X140" s="157">
        <f t="shared" si="90"/>
        <v/>
      </c>
      <c r="Y140" s="266"/>
      <c r="Z140" s="158">
        <f t="shared" si="91"/>
        <v/>
      </c>
      <c r="AA140" s="160">
        <f t="shared" si="92"/>
        <v/>
      </c>
      <c r="AB140" s="160">
        <f>IF(R140="","",IFERROR(LOOKUP(INDEX(Справочная!$I$4:$I$19,MATCH(VLOOKUP(R140,Исходные_данные,22,FALSE),Справочная!$J$4:$J$19,0)+1),{6,10,16,20,25,32,40,50,63,80,100,125}),""))</f>
        <v/>
      </c>
      <c r="AC140" s="160">
        <f t="shared" si="93"/>
        <v/>
      </c>
      <c r="AD140" s="161">
        <f t="shared" si="94"/>
        <v/>
      </c>
      <c r="AE140" s="161">
        <f>IF(AND(R140="",G140=""),"",_xlfn.TEXTJOIN("; ",TRUE,IF(AND(R140&lt;&gt;"",V140=""),"нет фазы",""),IF(AND(R140&lt;&gt;"",N(T140)=0),"нет мощности",""),IF(AND(P140&lt;&gt;"",COUNTIFS($A$3:$A$1000,A140,$P$3:$P$1000,P140)&gt;1),"дубль клеммы "&amp;P140,""),IF(AND(W140&lt;&gt;"",W140&lt;&gt;"ok"),W140,""),IF(X140&lt;&gt;"",X140,""),IF(AND(ISNUMBER(SEARCH("(5х",Q140)),N(AK140)=1),"5 жил на 1 фазе",""),IF(AND(AL140="R",E140&lt;&gt;"",N(AS140)=0),"розетка без 30 мА",""),IF(IFERROR(_xlfn.NUMBERVALUE(MID(Q140,FIND("-",Q140,FIND("L=",Q140))+1,FIND("%",Q140)-FIND("-",Q140,FIND("L=",Q140))-1),","),0)&gt;4,"потери &gt; 4 %","")))</f>
      </c>
      <c r="AF140" s="129">
        <f>IF(E140&lt;&gt;"",COUNTIFS($A$3:A140,A140,$E$3:E140,"?*"),IF(OR(A140&lt;&gt;A139,Y140="вручную"),"",AF139))</f>
      </c>
      <c r="AG140" s="129">
        <f t="shared" si="95"/>
      </c>
      <c r="AH140" s="129">
        <f t="shared" si="96"/>
        <v/>
      </c>
      <c r="AI140" s="129">
        <f t="shared" si="97"/>
        <v/>
      </c>
      <c r="AJ140" s="129">
        <f t="shared" si="98"/>
        <v/>
      </c>
      <c r="AK140" s="129">
        <f t="shared" si="99"/>
        <v/>
      </c>
      <c r="AL140" s="129">
        <f t="shared" si="100"/>
        <v/>
      </c>
      <c r="AM140" s="129">
        <f t="shared" si="101"/>
      </c>
      <c r="AN140" s="129">
        <f t="shared" si="102"/>
      </c>
      <c r="AO140" s="129">
        <f t="shared" si="103"/>
        <v/>
      </c>
      <c r="AP140" s="129">
        <f t="shared" si="104"/>
        <v/>
      </c>
      <c r="AQ140" s="129">
        <f t="shared" si="105"/>
        <v/>
      </c>
      <c r="AR140" s="129">
        <f t="shared" si="106"/>
        <v/>
      </c>
      <c r="AS140" s="129">
        <f t="shared" si="107"/>
        <v/>
      </c>
      <c r="AT140" s="129">
        <f t="shared" si="108"/>
        <v/>
      </c>
      <c r="AU140" s="129">
        <f t="shared" si="109"/>
        <v/>
      </c>
      <c r="AV140" s="129">
        <f t="shared" si="110"/>
        <v/>
      </c>
      <c r="AW140" s="129">
        <f>IF(AV140="","",AV140&amp;"."&amp;COUNTIFS($A$3:A140,A140,$AV$3:AV140,AV140))</f>
        <v/>
      </c>
      <c r="AX140" s="129">
        <f t="shared" si="111"/>
        <v/>
      </c>
      <c r="AY140" s="129">
        <f>IF(N140="б/к",0,IF(OR(ISNUMBER(SEARCH("L=",Разбивка_по_щитам!P140)),N140="+",N140="="),1,0))</f>
      </c>
      <c r="AZ140" s="129">
        <f t="shared" si="112"/>
      </c>
      <c r="BA140" s="129">
        <f t="shared" si="113"/>
      </c>
      <c r="BB140" s="129">
        <f t="shared" si="114"/>
      </c>
      <c r="BD140" s="129">
        <f t="shared" si="115"/>
      </c>
      <c r="BE140" s="129">
        <f t="shared" si="116"/>
      </c>
      <c r="BF140" s="129">
        <f t="shared" si="117"/>
      </c>
      <c r="BG140" s="129">
        <f t="shared" si="118"/>
        <v/>
      </c>
      <c r="BH140" s="129">
        <f t="shared" si="119"/>
        <v/>
      </c>
      <c r="BI140" s="129">
        <f t="shared" si="120"/>
        <v/>
      </c>
      <c r="BJ140" s="129">
        <f t="shared" si="121"/>
        <v/>
      </c>
      <c r="BK140" s="129">
        <f>IF(R140="","",IF(OR(BY140="",BY140=0),"BOX",IFERROR(IF(VLOOKUP(BY140,УГО_блоки,3,FALSE)&amp;""&lt;&gt;"",VLOOKUP(BY140,УГО_блоки,3,FALSE),VLOOKUP(BY140,УГО_блоки,2,FALSE)),BY140)))</f>
      </c>
      <c r="BL140" s="129">
        <f t="shared" si="123"/>
      </c>
      <c r="BM140" s="129">
        <f>IF(H140="","",IF(COUNTIF($H$3:H140,H140)=1,MAX($BM$2:BM139)+1,""))</f>
      </c>
      <c r="BN140" s="129">
        <f>IF(I140="","",IF(COUNTIF($I$3:I140,I140)+COUNTIF($J$2:J139,I140)+COUNTIF($K$2:K139,I140)=1,MAX($BN$2:BP139)+1,""))</f>
      </c>
      <c r="BO140" s="129">
        <f>IF(J140="","",IF(COUNTIF($I$3:I140,J140)+COUNTIF($J$3:J140,J140)+COUNTIF($K$2:K139,J140)=1,MAX($BN$2:BP139,BN140)+1,""))</f>
      </c>
      <c r="BP140" s="129">
        <f>IF(K140="","",IF(COUNTIF($I$3:I140,K140)+COUNTIF($J$3:J140,K140)+COUNTIF($K$3:K140,K140)=1,MAX($BN$2:BP139,BN140,BO140)+1,""))</f>
      </c>
      <c r="BQ140" s="129">
        <f>IF(AY140=1,IFERROR(MID(Q140,FIND(" (",Q140)+2,FIND(")",Q140,FIND(" (",Q140))-FIND(" (",Q140)-2),"?"),"")</f>
      </c>
      <c r="BR140" s="129">
        <f>IF(BQ140="","",IF(COUNTIF($BQ$3:BQ140,BQ140)=1,MAX($BR$2:BR139)+1,""))</f>
      </c>
      <c r="BS140" s="129">
        <f>IF(AW140="","",COUNTIF($AW$3:AW140,"?*"))</f>
      </c>
      <c r="BT140" s="129">
        <f>IF(OR(AW140="",AI140=""),"",IF(COUNTIFS($AW$3:AW140,"?*",$AI$3:AI140,AI140)=1,MAX($BT$2:BT139)+1,""))</f>
      </c>
      <c r="BU140" s="129">
        <f>IF(AE140="",0,IF(OR(ISNUMBER(SEARCH("дубль",AE140)),ISNUMBER(SEARCH("ПЕРЕГРУЗ",AE140)),ISNUMBER(SEARCH("ЗАЩИЩ",AE140)),ISNUMBER(SEARCH("КАНАЛ",AE140)),ISNUMBER(SEARCH("без 30",AE140))),2,1))</f>
      </c>
      <c r="BV140" s="129">
        <f>IF(R140="","",COUNTIF($R$3:R140,"?*"))</f>
      </c>
      <c r="BW140" s="129">
        <f>IF(AY140&lt;&gt;1,0,IF(MAX(IFERROR(--VLOOKUP(R140,УГО_спр,5,FALSE),0),IFERROR(--VLOOKUP(AL140,УГО_спр,5,FALSE),0),IFERROR(--VLOOKUP(LEFT(AL140,2),УГО_спр,5,FALSE),0))&gt;0,MAX(IFERROR(--VLOOKUP(R140,УГО_спр,5,FALSE),0),IFERROR(--VLOOKUP(AL140,УГО_спр,5,FALSE),0),IFERROR(--VLOOKUP(LEFT(AL140,2),УГО_спр,5,FALSE),0)),IF(IFERROR(--LEFT(SUBSTITUTE(BQ140,"x","х"),FIND("х",SUBSTITUTE(BQ140,"x","х"))-1),3)&gt;3,Каталог!$S$9,1)))</f>
      </c>
      <c r="BX140" s="129">
        <f>IF(AY140&lt;&gt;1,0,MAX(0,IFERROR(--LEFT(SUBSTITUTE(BQ140,"x","х"),FIND("х",SUBSTITUTE(BQ140,"x","х"))-1),3)-3*BW140))</f>
      </c>
      <c r="BY140" s="129">
        <f>IF(R140="","",IFERROR(VLOOKUP(R140,УГО_спр,2,FALSE),IFERROR(VLOOKUP(AL140,УГО_спр,2,FALSE),IFERROR(VLOOKUP(LEFT(AL140,2),УГО_спр,2,FALSE),""))))</f>
      </c>
    </row>
    <row r="141" spans="1:64" x14ac:dyDescent="0.3">
      <c r="A141" s="135">
        <f>IF(Разбивка_по_щитам!F141=0,"",Разбивка_по_щитам!F141)</f>
      </c>
      <c r="B141" s="138">
        <f>IF(A141="","",Разбивка_по_щитам!C141)</f>
      </c>
      <c r="C141" s="138">
        <f t="shared" si="86"/>
      </c>
      <c r="D141" s="266"/>
      <c r="E141" s="266"/>
      <c r="F141" s="267"/>
      <c r="G141" s="145">
        <f t="shared" si="87"/>
        <v/>
      </c>
      <c r="H141" s="145">
        <f t="shared" si="88"/>
        <v/>
      </c>
      <c r="I141" s="266"/>
      <c r="J141" s="267"/>
      <c r="K141" s="267"/>
      <c r="L141" s="266"/>
      <c r="M141" s="147">
        <f t="shared" si="84"/>
        <v/>
      </c>
      <c r="N141" s="267"/>
      <c r="O141" s="147">
        <f t="shared" si="85"/>
        <v/>
      </c>
      <c r="P141" s="268">
        <f>IF(AY141=1,"XT"&amp;COUNTIFS($A$3:A141,A141,$AY$3:AY141,1),"")</f>
        <v/>
      </c>
      <c r="Q141" s="152">
        <f>IF(R141="","",IFERROR(SUBSTITUTE(Разбивка_по_щитам!P141,CHAR(10)," "),""))</f>
        <v/>
      </c>
      <c r="R141" s="153">
        <f>IF(OR(Разбивка_по_щитам!H141="",Разбивка_по_щитам!H141=0),"",Разбивка_по_щитам!H141)</f>
        <v/>
      </c>
      <c r="S141" s="154">
        <f>IF(R141="","",IFERROR(Разбивка_по_щитам!J141&amp;"",""))</f>
        <v/>
      </c>
      <c r="T141" s="155">
        <f>IF(R141="","",IFERROR(--Разбивка_по_щитам!L141,""))</f>
        <v/>
      </c>
      <c r="U141" s="155">
        <f>IF(R141="","",IFERROR(--Разбивка_по_щитам!K141,""))</f>
        <v/>
      </c>
      <c r="V141" s="138">
        <f>IF(R141="","",IFERROR(IF(Разбивка_по_щитам!M141=0,"",Разбивка_по_щитам!M141),""))</f>
        <v/>
      </c>
      <c r="W141" s="156">
        <f t="shared" si="89"/>
        <v/>
      </c>
      <c r="X141" s="157">
        <f t="shared" si="90"/>
        <v/>
      </c>
      <c r="Y141" s="266"/>
      <c r="Z141" s="158">
        <f t="shared" si="91"/>
        <v/>
      </c>
      <c r="AA141" s="160">
        <f t="shared" si="92"/>
        <v/>
      </c>
      <c r="AB141" s="160">
        <f>IF(R141="","",IFERROR(LOOKUP(INDEX(Справочная!$I$4:$I$19,MATCH(VLOOKUP(R141,Исходные_данные,22,FALSE),Справочная!$J$4:$J$19,0)+1),{6,10,16,20,25,32,40,50,63,80,100,125}),""))</f>
        <v/>
      </c>
      <c r="AC141" s="160">
        <f t="shared" si="93"/>
        <v/>
      </c>
      <c r="AD141" s="161">
        <f t="shared" si="94"/>
        <v/>
      </c>
      <c r="AE141" s="161">
        <f>IF(AND(R141="",G141=""),"",_xlfn.TEXTJOIN("; ",TRUE,IF(AND(R141&lt;&gt;"",V141=""),"нет фазы",""),IF(AND(R141&lt;&gt;"",N(T141)=0),"нет мощности",""),IF(AND(P141&lt;&gt;"",COUNTIFS($A$3:$A$1000,A141,$P$3:$P$1000,P141)&gt;1),"дубль клеммы "&amp;P141,""),IF(AND(W141&lt;&gt;"",W141&lt;&gt;"ok"),W141,""),IF(X141&lt;&gt;"",X141,""),IF(AND(ISNUMBER(SEARCH("(5х",Q141)),N(AK141)=1),"5 жил на 1 фазе",""),IF(AND(AL141="R",E141&lt;&gt;"",N(AS141)=0),"розетка без 30 мА",""),IF(IFERROR(_xlfn.NUMBERVALUE(MID(Q141,FIND("-",Q141,FIND("L=",Q141))+1,FIND("%",Q141)-FIND("-",Q141,FIND("L=",Q141))-1),","),0)&gt;4,"потери &gt; 4 %","")))</f>
      </c>
      <c r="AF141" s="129">
        <f>IF(E141&lt;&gt;"",COUNTIFS($A$3:A141,A141,$E$3:E141,"?*"),IF(OR(A141&lt;&gt;A140,Y141="вручную"),"",AF140))</f>
      </c>
      <c r="AG141" s="129">
        <f t="shared" si="95"/>
      </c>
      <c r="AH141" s="129">
        <f t="shared" si="96"/>
        <v/>
      </c>
      <c r="AI141" s="129">
        <f t="shared" si="97"/>
        <v/>
      </c>
      <c r="AJ141" s="129">
        <f t="shared" si="98"/>
        <v/>
      </c>
      <c r="AK141" s="129">
        <f t="shared" si="99"/>
        <v/>
      </c>
      <c r="AL141" s="129">
        <f t="shared" si="100"/>
        <v/>
      </c>
      <c r="AM141" s="129">
        <f t="shared" si="101"/>
      </c>
      <c r="AN141" s="129">
        <f t="shared" si="102"/>
      </c>
      <c r="AO141" s="129">
        <f t="shared" si="103"/>
        <v/>
      </c>
      <c r="AP141" s="129">
        <f t="shared" si="104"/>
        <v/>
      </c>
      <c r="AQ141" s="129">
        <f t="shared" si="105"/>
        <v/>
      </c>
      <c r="AR141" s="129">
        <f t="shared" si="106"/>
        <v/>
      </c>
      <c r="AS141" s="129">
        <f t="shared" si="107"/>
        <v/>
      </c>
      <c r="AT141" s="129">
        <f t="shared" si="108"/>
        <v/>
      </c>
      <c r="AU141" s="129">
        <f t="shared" si="109"/>
        <v/>
      </c>
      <c r="AV141" s="129">
        <f t="shared" si="110"/>
        <v/>
      </c>
      <c r="AW141" s="129">
        <f>IF(AV141="","",AV141&amp;"."&amp;COUNTIFS($A$3:A141,A141,$AV$3:AV141,AV141))</f>
        <v/>
      </c>
      <c r="AX141" s="129">
        <f t="shared" si="111"/>
        <v/>
      </c>
      <c r="AY141" s="129">
        <f>IF(N141="б/к",0,IF(OR(ISNUMBER(SEARCH("L=",Разбивка_по_щитам!P141)),N141="+",N141="="),1,0))</f>
      </c>
      <c r="AZ141" s="129">
        <f t="shared" si="112"/>
      </c>
      <c r="BA141" s="129">
        <f t="shared" si="113"/>
      </c>
      <c r="BB141" s="129">
        <f t="shared" si="114"/>
      </c>
      <c r="BD141" s="129">
        <f t="shared" si="115"/>
      </c>
      <c r="BE141" s="129">
        <f t="shared" si="116"/>
      </c>
      <c r="BF141" s="129">
        <f t="shared" si="117"/>
      </c>
      <c r="BG141" s="129">
        <f t="shared" si="118"/>
        <v/>
      </c>
      <c r="BH141" s="129">
        <f t="shared" si="119"/>
        <v/>
      </c>
      <c r="BI141" s="129">
        <f t="shared" si="120"/>
        <v/>
      </c>
      <c r="BJ141" s="129">
        <f t="shared" si="121"/>
        <v/>
      </c>
      <c r="BK141" s="129">
        <f>IF(R141="","",IF(OR(BY141="",BY141=0),"BOX",IFERROR(IF(VLOOKUP(BY141,УГО_блоки,3,FALSE)&amp;""&lt;&gt;"",VLOOKUP(BY141,УГО_блоки,3,FALSE),VLOOKUP(BY141,УГО_блоки,2,FALSE)),BY141)))</f>
      </c>
      <c r="BL141" s="129">
        <f t="shared" si="123"/>
      </c>
      <c r="BM141" s="129">
        <f>IF(H141="","",IF(COUNTIF($H$3:H141,H141)=1,MAX($BM$2:BM140)+1,""))</f>
      </c>
      <c r="BN141" s="129">
        <f>IF(I141="","",IF(COUNTIF($I$3:I141,I141)+COUNTIF($J$2:J140,I141)+COUNTIF($K$2:K140,I141)=1,MAX($BN$2:BP140)+1,""))</f>
      </c>
      <c r="BO141" s="129">
        <f>IF(J141="","",IF(COUNTIF($I$3:I141,J141)+COUNTIF($J$3:J141,J141)+COUNTIF($K$2:K140,J141)=1,MAX($BN$2:BP140,BN141)+1,""))</f>
      </c>
      <c r="BP141" s="129">
        <f>IF(K141="","",IF(COUNTIF($I$3:I141,K141)+COUNTIF($J$3:J141,K141)+COUNTIF($K$3:K141,K141)=1,MAX($BN$2:BP140,BN141,BO141)+1,""))</f>
      </c>
      <c r="BQ141" s="129">
        <f>IF(AY141=1,IFERROR(MID(Q141,FIND(" (",Q141)+2,FIND(")",Q141,FIND(" (",Q141))-FIND(" (",Q141)-2),"?"),"")</f>
      </c>
      <c r="BR141" s="129">
        <f>IF(BQ141="","",IF(COUNTIF($BQ$3:BQ141,BQ141)=1,MAX($BR$2:BR140)+1,""))</f>
      </c>
      <c r="BS141" s="129">
        <f>IF(AW141="","",COUNTIF($AW$3:AW141,"?*"))</f>
      </c>
      <c r="BT141" s="129">
        <f>IF(OR(AW141="",AI141=""),"",IF(COUNTIFS($AW$3:AW141,"?*",$AI$3:AI141,AI141)=1,MAX($BT$2:BT140)+1,""))</f>
      </c>
      <c r="BU141" s="129">
        <f>IF(AE141="",0,IF(OR(ISNUMBER(SEARCH("дубль",AE141)),ISNUMBER(SEARCH("ПЕРЕГРУЗ",AE141)),ISNUMBER(SEARCH("ЗАЩИЩ",AE141)),ISNUMBER(SEARCH("КАНАЛ",AE141)),ISNUMBER(SEARCH("без 30",AE141))),2,1))</f>
      </c>
      <c r="BV141" s="129">
        <f>IF(R141="","",COUNTIF($R$3:R141,"?*"))</f>
      </c>
      <c r="BW141" s="129">
        <f>IF(AY141&lt;&gt;1,0,IF(MAX(IFERROR(--VLOOKUP(R141,УГО_спр,5,FALSE),0),IFERROR(--VLOOKUP(AL141,УГО_спр,5,FALSE),0),IFERROR(--VLOOKUP(LEFT(AL141,2),УГО_спр,5,FALSE),0))&gt;0,MAX(IFERROR(--VLOOKUP(R141,УГО_спр,5,FALSE),0),IFERROR(--VLOOKUP(AL141,УГО_спр,5,FALSE),0),IFERROR(--VLOOKUP(LEFT(AL141,2),УГО_спр,5,FALSE),0)),IF(IFERROR(--LEFT(SUBSTITUTE(BQ141,"x","х"),FIND("х",SUBSTITUTE(BQ141,"x","х"))-1),3)&gt;3,Каталог!$S$9,1)))</f>
      </c>
      <c r="BX141" s="129">
        <f>IF(AY141&lt;&gt;1,0,MAX(0,IFERROR(--LEFT(SUBSTITUTE(BQ141,"x","х"),FIND("х",SUBSTITUTE(BQ141,"x","х"))-1),3)-3*BW141))</f>
      </c>
      <c r="BY141" s="129">
        <f>IF(R141="","",IFERROR(VLOOKUP(R141,УГО_спр,2,FALSE),IFERROR(VLOOKUP(AL141,УГО_спр,2,FALSE),IFERROR(VLOOKUP(LEFT(AL141,2),УГО_спр,2,FALSE),""))))</f>
      </c>
    </row>
    <row r="142" spans="1:64" x14ac:dyDescent="0.3">
      <c r="A142" s="135">
        <f>IF(Разбивка_по_щитам!F142=0,"",Разбивка_по_щитам!F142)</f>
      </c>
      <c r="B142" s="138">
        <f>IF(A142="","",Разбивка_по_щитам!C142)</f>
      </c>
      <c r="C142" s="138">
        <f t="shared" si="86"/>
      </c>
      <c r="D142" s="266"/>
      <c r="E142" s="266"/>
      <c r="F142" s="267"/>
      <c r="G142" s="145">
        <f t="shared" si="87"/>
        <v/>
      </c>
      <c r="H142" s="145">
        <f t="shared" si="88"/>
        <v/>
      </c>
      <c r="I142" s="266"/>
      <c r="J142" s="267"/>
      <c r="K142" s="267"/>
      <c r="L142" s="266"/>
      <c r="M142" s="147">
        <f t="shared" si="84"/>
        <v/>
      </c>
      <c r="N142" s="267"/>
      <c r="O142" s="147">
        <f t="shared" si="85"/>
        <v/>
      </c>
      <c r="P142" s="268">
        <f>IF(AY142=1,"XT"&amp;COUNTIFS($A$3:A142,A142,$AY$3:AY142,1),"")</f>
        <v/>
      </c>
      <c r="Q142" s="152">
        <f>IF(R142="","",IFERROR(SUBSTITUTE(Разбивка_по_щитам!P142,CHAR(10)," "),""))</f>
        <v/>
      </c>
      <c r="R142" s="153">
        <f>IF(OR(Разбивка_по_щитам!H142="",Разбивка_по_щитам!H142=0),"",Разбивка_по_щитам!H142)</f>
        <v/>
      </c>
      <c r="S142" s="154">
        <f>IF(R142="","",IFERROR(Разбивка_по_щитам!J142&amp;"",""))</f>
        <v/>
      </c>
      <c r="T142" s="155">
        <f>IF(R142="","",IFERROR(--Разбивка_по_щитам!L142,""))</f>
        <v/>
      </c>
      <c r="U142" s="155">
        <f>IF(R142="","",IFERROR(--Разбивка_по_щитам!K142,""))</f>
        <v/>
      </c>
      <c r="V142" s="138">
        <f>IF(R142="","",IFERROR(IF(Разбивка_по_щитам!M142=0,"",Разбивка_по_щитам!M142),""))</f>
        <v/>
      </c>
      <c r="W142" s="156">
        <f t="shared" si="89"/>
        <v/>
      </c>
      <c r="X142" s="157">
        <f t="shared" si="90"/>
        <v/>
      </c>
      <c r="Y142" s="266"/>
      <c r="Z142" s="158">
        <f t="shared" si="91"/>
        <v/>
      </c>
      <c r="AA142" s="160">
        <f t="shared" si="92"/>
        <v/>
      </c>
      <c r="AB142" s="160">
        <f>IF(R142="","",IFERROR(LOOKUP(INDEX(Справочная!$I$4:$I$19,MATCH(VLOOKUP(R142,Исходные_данные,22,FALSE),Справочная!$J$4:$J$19,0)+1),{6,10,16,20,25,32,40,50,63,80,100,125}),""))</f>
        <v/>
      </c>
      <c r="AC142" s="160">
        <f t="shared" si="93"/>
        <v/>
      </c>
      <c r="AD142" s="161">
        <f t="shared" si="94"/>
        <v/>
      </c>
      <c r="AE142" s="161">
        <f>IF(AND(R142="",G142=""),"",_xlfn.TEXTJOIN("; ",TRUE,IF(AND(R142&lt;&gt;"",V142=""),"нет фазы",""),IF(AND(R142&lt;&gt;"",N(T142)=0),"нет мощности",""),IF(AND(P142&lt;&gt;"",COUNTIFS($A$3:$A$1000,A142,$P$3:$P$1000,P142)&gt;1),"дубль клеммы "&amp;P142,""),IF(AND(W142&lt;&gt;"",W142&lt;&gt;"ok"),W142,""),IF(X142&lt;&gt;"",X142,""),IF(AND(ISNUMBER(SEARCH("(5х",Q142)),N(AK142)=1),"5 жил на 1 фазе",""),IF(AND(AL142="R",E142&lt;&gt;"",N(AS142)=0),"розетка без 30 мА",""),IF(IFERROR(_xlfn.NUMBERVALUE(MID(Q142,FIND("-",Q142,FIND("L=",Q142))+1,FIND("%",Q142)-FIND("-",Q142,FIND("L=",Q142))-1),","),0)&gt;4,"потери &gt; 4 %","")))</f>
      </c>
      <c r="AF142" s="129">
        <f>IF(E142&lt;&gt;"",COUNTIFS($A$3:A142,A142,$E$3:E142,"?*"),IF(OR(A142&lt;&gt;A141,Y142="вручную"),"",AF141))</f>
      </c>
      <c r="AG142" s="129">
        <f t="shared" si="95"/>
      </c>
      <c r="AH142" s="129">
        <f t="shared" si="96"/>
        <v/>
      </c>
      <c r="AI142" s="129">
        <f t="shared" si="97"/>
        <v/>
      </c>
      <c r="AJ142" s="129">
        <f t="shared" si="98"/>
        <v/>
      </c>
      <c r="AK142" s="129">
        <f t="shared" si="99"/>
        <v/>
      </c>
      <c r="AL142" s="129">
        <f t="shared" si="100"/>
        <v/>
      </c>
      <c r="AM142" s="129">
        <f t="shared" si="101"/>
      </c>
      <c r="AN142" s="129">
        <f t="shared" si="102"/>
      </c>
      <c r="AO142" s="129">
        <f t="shared" si="103"/>
        <v/>
      </c>
      <c r="AP142" s="129">
        <f t="shared" si="104"/>
        <v/>
      </c>
      <c r="AQ142" s="129">
        <f t="shared" si="105"/>
        <v/>
      </c>
      <c r="AR142" s="129">
        <f t="shared" si="106"/>
        <v/>
      </c>
      <c r="AS142" s="129">
        <f t="shared" si="107"/>
        <v/>
      </c>
      <c r="AT142" s="129">
        <f t="shared" si="108"/>
        <v/>
      </c>
      <c r="AU142" s="129">
        <f t="shared" si="109"/>
        <v/>
      </c>
      <c r="AV142" s="129">
        <f t="shared" si="110"/>
        <v/>
      </c>
      <c r="AW142" s="129">
        <f>IF(AV142="","",AV142&amp;"."&amp;COUNTIFS($A$3:A142,A142,$AV$3:AV142,AV142))</f>
        <v/>
      </c>
      <c r="AX142" s="129">
        <f t="shared" si="111"/>
        <v/>
      </c>
      <c r="AY142" s="129">
        <f>IF(N142="б/к",0,IF(OR(ISNUMBER(SEARCH("L=",Разбивка_по_щитам!P142)),N142="+",N142="="),1,0))</f>
      </c>
      <c r="AZ142" s="129">
        <f t="shared" si="112"/>
      </c>
      <c r="BA142" s="129">
        <f t="shared" si="113"/>
      </c>
      <c r="BB142" s="129">
        <f t="shared" si="114"/>
      </c>
      <c r="BD142" s="129">
        <f t="shared" si="115"/>
      </c>
      <c r="BE142" s="129">
        <f t="shared" si="116"/>
      </c>
      <c r="BF142" s="129">
        <f t="shared" si="117"/>
      </c>
      <c r="BG142" s="129">
        <f t="shared" si="118"/>
        <v/>
      </c>
      <c r="BH142" s="129">
        <f t="shared" si="119"/>
        <v/>
      </c>
      <c r="BI142" s="129">
        <f t="shared" si="120"/>
        <v/>
      </c>
      <c r="BJ142" s="129">
        <f t="shared" si="121"/>
        <v/>
      </c>
      <c r="BK142" s="129">
        <f>IF(R142="","",IF(OR(BY142="",BY142=0),"BOX",IFERROR(IF(VLOOKUP(BY142,УГО_блоки,3,FALSE)&amp;""&lt;&gt;"",VLOOKUP(BY142,УГО_блоки,3,FALSE),VLOOKUP(BY142,УГО_блоки,2,FALSE)),BY142)))</f>
      </c>
      <c r="BL142" s="129">
        <f t="shared" si="123"/>
      </c>
      <c r="BM142" s="129">
        <f>IF(H142="","",IF(COUNTIF($H$3:H142,H142)=1,MAX($BM$2:BM141)+1,""))</f>
      </c>
      <c r="BN142" s="129">
        <f>IF(I142="","",IF(COUNTIF($I$3:I142,I142)+COUNTIF($J$2:J141,I142)+COUNTIF($K$2:K141,I142)=1,MAX($BN$2:BP141)+1,""))</f>
      </c>
      <c r="BO142" s="129">
        <f>IF(J142="","",IF(COUNTIF($I$3:I142,J142)+COUNTIF($J$3:J142,J142)+COUNTIF($K$2:K141,J142)=1,MAX($BN$2:BP141,BN142)+1,""))</f>
      </c>
      <c r="BP142" s="129">
        <f>IF(K142="","",IF(COUNTIF($I$3:I142,K142)+COUNTIF($J$3:J142,K142)+COUNTIF($K$3:K142,K142)=1,MAX($BN$2:BP141,BN142,BO142)+1,""))</f>
      </c>
      <c r="BQ142" s="129">
        <f>IF(AY142=1,IFERROR(MID(Q142,FIND(" (",Q142)+2,FIND(")",Q142,FIND(" (",Q142))-FIND(" (",Q142)-2),"?"),"")</f>
      </c>
      <c r="BR142" s="129">
        <f>IF(BQ142="","",IF(COUNTIF($BQ$3:BQ142,BQ142)=1,MAX($BR$2:BR141)+1,""))</f>
      </c>
      <c r="BS142" s="129">
        <f>IF(AW142="","",COUNTIF($AW$3:AW142,"?*"))</f>
      </c>
      <c r="BT142" s="129">
        <f>IF(OR(AW142="",AI142=""),"",IF(COUNTIFS($AW$3:AW142,"?*",$AI$3:AI142,AI142)=1,MAX($BT$2:BT141)+1,""))</f>
      </c>
      <c r="BU142" s="129">
        <f>IF(AE142="",0,IF(OR(ISNUMBER(SEARCH("дубль",AE142)),ISNUMBER(SEARCH("ПЕРЕГРУЗ",AE142)),ISNUMBER(SEARCH("ЗАЩИЩ",AE142)),ISNUMBER(SEARCH("КАНАЛ",AE142)),ISNUMBER(SEARCH("без 30",AE142))),2,1))</f>
      </c>
      <c r="BV142" s="129">
        <f>IF(R142="","",COUNTIF($R$3:R142,"?*"))</f>
      </c>
      <c r="BW142" s="129">
        <f>IF(AY142&lt;&gt;1,0,IF(MAX(IFERROR(--VLOOKUP(R142,УГО_спр,5,FALSE),0),IFERROR(--VLOOKUP(AL142,УГО_спр,5,FALSE),0),IFERROR(--VLOOKUP(LEFT(AL142,2),УГО_спр,5,FALSE),0))&gt;0,MAX(IFERROR(--VLOOKUP(R142,УГО_спр,5,FALSE),0),IFERROR(--VLOOKUP(AL142,УГО_спр,5,FALSE),0),IFERROR(--VLOOKUP(LEFT(AL142,2),УГО_спр,5,FALSE),0)),IF(IFERROR(--LEFT(SUBSTITUTE(BQ142,"x","х"),FIND("х",SUBSTITUTE(BQ142,"x","х"))-1),3)&gt;3,Каталог!$S$9,1)))</f>
      </c>
      <c r="BX142" s="129">
        <f>IF(AY142&lt;&gt;1,0,MAX(0,IFERROR(--LEFT(SUBSTITUTE(BQ142,"x","х"),FIND("х",SUBSTITUTE(BQ142,"x","х"))-1),3)-3*BW142))</f>
      </c>
      <c r="BY142" s="129">
        <f>IF(R142="","",IFERROR(VLOOKUP(R142,УГО_спр,2,FALSE),IFERROR(VLOOKUP(AL142,УГО_спр,2,FALSE),IFERROR(VLOOKUP(LEFT(AL142,2),УГО_спр,2,FALSE),""))))</f>
      </c>
    </row>
    <row r="143" spans="1:64" x14ac:dyDescent="0.3">
      <c r="A143" s="135">
        <f>IF(Разбивка_по_щитам!F143=0,"",Разбивка_по_щитам!F143)</f>
      </c>
      <c r="B143" s="138">
        <f>IF(A143="","",Разбивка_по_щитам!C143)</f>
      </c>
      <c r="C143" s="138">
        <f t="shared" si="86"/>
      </c>
      <c r="D143" s="266"/>
      <c r="E143" s="266"/>
      <c r="F143" s="267"/>
      <c r="G143" s="145">
        <f t="shared" si="87"/>
        <v/>
      </c>
      <c r="H143" s="145">
        <f t="shared" si="88"/>
        <v/>
      </c>
      <c r="I143" s="266"/>
      <c r="J143" s="267"/>
      <c r="K143" s="267"/>
      <c r="L143" s="266"/>
      <c r="M143" s="147">
        <f t="shared" ref="M143:M174" si="124">IF(OR(O143&lt;&gt;"",AND(L143&lt;&gt;"",L143&lt;&gt;"-")),AH143,"")</f>
        <v/>
      </c>
      <c r="N143" s="267"/>
      <c r="O143" s="147">
        <f t="shared" ref="O143:O174" si="125">IF(N143="=",AX142,IF(ISNUMBER(N143),N143,IF(AH143="","",IF(OR(R143&lt;&gt;"",N143="+",N143="р"),IF(OR(AW143&lt;&gt;"",AX142=""),1,AX142+1),""))))</f>
        <v/>
      </c>
      <c r="P143" s="268">
        <f>IF(AY143=1,"XT"&amp;COUNTIFS($A$3:A143,A143,$AY$3:AY143,1),"")</f>
        <v/>
      </c>
      <c r="Q143" s="152">
        <f>IF(R143="","",IFERROR(SUBSTITUTE(Разбивка_по_щитам!P143,CHAR(10)," "),""))</f>
        <v/>
      </c>
      <c r="R143" s="153">
        <f>IF(OR(Разбивка_по_щитам!H143="",Разбивка_по_щитам!H143=0),"",Разбивка_по_щитам!H143)</f>
        <v/>
      </c>
      <c r="S143" s="154">
        <f>IF(R143="","",IFERROR(Разбивка_по_щитам!J143&amp;"",""))</f>
        <v/>
      </c>
      <c r="T143" s="155">
        <f>IF(R143="","",IFERROR(--Разбивка_по_щитам!L143,""))</f>
        <v/>
      </c>
      <c r="U143" s="155">
        <f>IF(R143="","",IFERROR(--Разбивка_по_щитам!K143,""))</f>
        <v/>
      </c>
      <c r="V143" s="138">
        <f>IF(R143="","",IFERROR(IF(Разбивка_по_щитам!M143=0,"",Разбивка_по_щитам!M143),""))</f>
        <v/>
      </c>
      <c r="W143" s="156">
        <f t="shared" si="89"/>
        <v/>
      </c>
      <c r="X143" s="157">
        <f t="shared" si="90"/>
        <v/>
      </c>
      <c r="Y143" s="266"/>
      <c r="Z143" s="158">
        <f t="shared" si="91"/>
        <v/>
      </c>
      <c r="AA143" s="160">
        <f t="shared" si="92"/>
        <v/>
      </c>
      <c r="AB143" s="160">
        <f>IF(R143="","",IFERROR(LOOKUP(INDEX(Справочная!$I$4:$I$19,MATCH(VLOOKUP(R143,Исходные_данные,22,FALSE),Справочная!$J$4:$J$19,0)+1),{6,10,16,20,25,32,40,50,63,80,100,125}),""))</f>
        <v/>
      </c>
      <c r="AC143" s="160">
        <f t="shared" si="93"/>
        <v/>
      </c>
      <c r="AD143" s="161">
        <f t="shared" si="94"/>
        <v/>
      </c>
      <c r="AE143" s="161">
        <f>IF(AND(R143="",G143=""),"",_xlfn.TEXTJOIN("; ",TRUE,IF(AND(R143&lt;&gt;"",V143=""),"нет фазы",""),IF(AND(R143&lt;&gt;"",N(T143)=0),"нет мощности",""),IF(AND(P143&lt;&gt;"",COUNTIFS($A$3:$A$1000,A143,$P$3:$P$1000,P143)&gt;1),"дубль клеммы "&amp;P143,""),IF(AND(W143&lt;&gt;"",W143&lt;&gt;"ok"),W143,""),IF(X143&lt;&gt;"",X143,""),IF(AND(ISNUMBER(SEARCH("(5х",Q143)),N(AK143)=1),"5 жил на 1 фазе",""),IF(AND(AL143="R",E143&lt;&gt;"",N(AS143)=0),"розетка без 30 мА",""),IF(IFERROR(_xlfn.NUMBERVALUE(MID(Q143,FIND("-",Q143,FIND("L=",Q143))+1,FIND("%",Q143)-FIND("-",Q143,FIND("L=",Q143))-1),","),0)&gt;4,"потери &gt; 4 %","")))</f>
      </c>
      <c r="AF143" s="129">
        <f>IF(E143&lt;&gt;"",COUNTIFS($A$3:A143,A143,$E$3:E143,"?*"),IF(OR(A143&lt;&gt;A142,Y143="вручную"),"",AF142))</f>
      </c>
      <c r="AG143" s="129">
        <f t="shared" si="95"/>
      </c>
      <c r="AH143" s="129">
        <f t="shared" si="96"/>
        <v/>
      </c>
      <c r="AI143" s="129">
        <f t="shared" si="97"/>
        <v/>
      </c>
      <c r="AJ143" s="129">
        <f t="shared" si="98"/>
        <v/>
      </c>
      <c r="AK143" s="129">
        <f t="shared" si="99"/>
        <v/>
      </c>
      <c r="AL143" s="129">
        <f t="shared" si="100"/>
        <v/>
      </c>
      <c r="AM143" s="129">
        <f t="shared" si="101"/>
      </c>
      <c r="AN143" s="129">
        <f t="shared" si="102"/>
      </c>
      <c r="AO143" s="129">
        <f t="shared" si="103"/>
        <v/>
      </c>
      <c r="AP143" s="129">
        <f t="shared" si="104"/>
        <v/>
      </c>
      <c r="AQ143" s="129">
        <f t="shared" si="105"/>
        <v/>
      </c>
      <c r="AR143" s="129">
        <f t="shared" si="106"/>
        <v/>
      </c>
      <c r="AS143" s="129">
        <f t="shared" si="107"/>
        <v/>
      </c>
      <c r="AT143" s="129">
        <f t="shared" si="108"/>
        <v/>
      </c>
      <c r="AU143" s="129">
        <f t="shared" si="109"/>
        <v/>
      </c>
      <c r="AV143" s="129">
        <f t="shared" si="110"/>
        <v/>
      </c>
      <c r="AW143" s="129">
        <f>IF(AV143="","",AV143&amp;"."&amp;COUNTIFS($A$3:A143,A143,$AV$3:AV143,AV143))</f>
        <v/>
      </c>
      <c r="AX143" s="129">
        <f t="shared" si="111"/>
        <v/>
      </c>
      <c r="AY143" s="129">
        <f>IF(N143="б/к",0,IF(OR(ISNUMBER(SEARCH("L=",Разбивка_по_щитам!P143)),N143="+",N143="="),1,0))</f>
      </c>
      <c r="AZ143" s="129">
        <f t="shared" si="112"/>
      </c>
      <c r="BA143" s="129">
        <f t="shared" si="113"/>
      </c>
      <c r="BB143" s="129">
        <f t="shared" si="114"/>
      </c>
      <c r="BD143" s="129">
        <f t="shared" si="115"/>
      </c>
      <c r="BE143" s="129">
        <f t="shared" si="116"/>
      </c>
      <c r="BF143" s="129">
        <f t="shared" si="117"/>
      </c>
      <c r="BG143" s="129">
        <f t="shared" si="118"/>
        <v/>
      </c>
      <c r="BH143" s="129">
        <f t="shared" si="119"/>
        <v/>
      </c>
      <c r="BI143" s="129">
        <f t="shared" si="120"/>
        <v/>
      </c>
      <c r="BJ143" s="129">
        <f t="shared" si="121"/>
        <v/>
      </c>
      <c r="BK143" s="129">
        <f>IF(R143="","",IF(OR(BY143="",BY143=0),"BOX",IFERROR(IF(VLOOKUP(BY143,УГО_блоки,3,FALSE)&amp;""&lt;&gt;"",VLOOKUP(BY143,УГО_блоки,3,FALSE),VLOOKUP(BY143,УГО_блоки,2,FALSE)),BY143)))</f>
      </c>
      <c r="BL143" s="129">
        <f t="shared" si="123"/>
      </c>
      <c r="BM143" s="129">
        <f>IF(H143="","",IF(COUNTIF($H$3:H143,H143)=1,MAX($BM$2:BM142)+1,""))</f>
      </c>
      <c r="BN143" s="129">
        <f>IF(I143="","",IF(COUNTIF($I$3:I143,I143)+COUNTIF($J$2:J142,I143)+COUNTIF($K$2:K142,I143)=1,MAX($BN$2:BP142)+1,""))</f>
      </c>
      <c r="BO143" s="129">
        <f>IF(J143="","",IF(COUNTIF($I$3:I143,J143)+COUNTIF($J$3:J143,J143)+COUNTIF($K$2:K142,J143)=1,MAX($BN$2:BP142,BN143)+1,""))</f>
      </c>
      <c r="BP143" s="129">
        <f>IF(K143="","",IF(COUNTIF($I$3:I143,K143)+COUNTIF($J$3:J143,K143)+COUNTIF($K$3:K143,K143)=1,MAX($BN$2:BP142,BN143,BO143)+1,""))</f>
      </c>
      <c r="BQ143" s="129">
        <f>IF(AY143=1,IFERROR(MID(Q143,FIND(" (",Q143)+2,FIND(")",Q143,FIND(" (",Q143))-FIND(" (",Q143)-2),"?"),"")</f>
      </c>
      <c r="BR143" s="129">
        <f>IF(BQ143="","",IF(COUNTIF($BQ$3:BQ143,BQ143)=1,MAX($BR$2:BR142)+1,""))</f>
      </c>
      <c r="BS143" s="129">
        <f>IF(AW143="","",COUNTIF($AW$3:AW143,"?*"))</f>
      </c>
      <c r="BT143" s="129">
        <f>IF(OR(AW143="",AI143=""),"",IF(COUNTIFS($AW$3:AW143,"?*",$AI$3:AI143,AI143)=1,MAX($BT$2:BT142)+1,""))</f>
      </c>
      <c r="BU143" s="129">
        <f>IF(AE143="",0,IF(OR(ISNUMBER(SEARCH("дубль",AE143)),ISNUMBER(SEARCH("ПЕРЕГРУЗ",AE143)),ISNUMBER(SEARCH("ЗАЩИЩ",AE143)),ISNUMBER(SEARCH("КАНАЛ",AE143)),ISNUMBER(SEARCH("без 30",AE143))),2,1))</f>
      </c>
      <c r="BV143" s="129">
        <f>IF(R143="","",COUNTIF($R$3:R143,"?*"))</f>
      </c>
      <c r="BW143" s="129">
        <f>IF(AY143&lt;&gt;1,0,IF(MAX(IFERROR(--VLOOKUP(R143,УГО_спр,5,FALSE),0),IFERROR(--VLOOKUP(AL143,УГО_спр,5,FALSE),0),IFERROR(--VLOOKUP(LEFT(AL143,2),УГО_спр,5,FALSE),0))&gt;0,MAX(IFERROR(--VLOOKUP(R143,УГО_спр,5,FALSE),0),IFERROR(--VLOOKUP(AL143,УГО_спр,5,FALSE),0),IFERROR(--VLOOKUP(LEFT(AL143,2),УГО_спр,5,FALSE),0)),IF(IFERROR(--LEFT(SUBSTITUTE(BQ143,"x","х"),FIND("х",SUBSTITUTE(BQ143,"x","х"))-1),3)&gt;3,Каталог!$S$9,1)))</f>
      </c>
      <c r="BX143" s="129">
        <f>IF(AY143&lt;&gt;1,0,MAX(0,IFERROR(--LEFT(SUBSTITUTE(BQ143,"x","х"),FIND("х",SUBSTITUTE(BQ143,"x","х"))-1),3)-3*BW143))</f>
      </c>
      <c r="BY143" s="129">
        <f>IF(R143="","",IFERROR(VLOOKUP(R143,УГО_спр,2,FALSE),IFERROR(VLOOKUP(AL143,УГО_спр,2,FALSE),IFERROR(VLOOKUP(LEFT(AL143,2),УГО_спр,2,FALSE),""))))</f>
      </c>
    </row>
    <row r="144" spans="1:64" x14ac:dyDescent="0.3">
      <c r="A144" s="135">
        <f>IF(Разбивка_по_щитам!F144=0,"",Разбивка_по_щитам!F144)</f>
      </c>
      <c r="B144" s="138">
        <f>IF(A144="","",Разбивка_по_щитам!C144)</f>
      </c>
      <c r="C144" s="138">
        <f t="shared" si="86"/>
      </c>
      <c r="D144" s="266"/>
      <c r="E144" s="266"/>
      <c r="F144" s="267"/>
      <c r="G144" s="145">
        <f t="shared" si="87"/>
        <v/>
      </c>
      <c r="H144" s="145">
        <f t="shared" si="88"/>
        <v/>
      </c>
      <c r="I144" s="266"/>
      <c r="J144" s="267"/>
      <c r="K144" s="267"/>
      <c r="L144" s="266"/>
      <c r="M144" s="147">
        <f t="shared" si="124"/>
        <v/>
      </c>
      <c r="N144" s="267"/>
      <c r="O144" s="147">
        <f t="shared" si="125"/>
        <v/>
      </c>
      <c r="P144" s="268">
        <f>IF(AY144=1,"XT"&amp;COUNTIFS($A$3:A144,A144,$AY$3:AY144,1),"")</f>
        <v/>
      </c>
      <c r="Q144" s="152">
        <f>IF(R144="","",IFERROR(SUBSTITUTE(Разбивка_по_щитам!P144,CHAR(10)," "),""))</f>
        <v/>
      </c>
      <c r="R144" s="153">
        <f>IF(OR(Разбивка_по_щитам!H144="",Разбивка_по_щитам!H144=0),"",Разбивка_по_щитам!H144)</f>
        <v/>
      </c>
      <c r="S144" s="154">
        <f>IF(R144="","",IFERROR(Разбивка_по_щитам!J144&amp;"",""))</f>
        <v/>
      </c>
      <c r="T144" s="155">
        <f>IF(R144="","",IFERROR(--Разбивка_по_щитам!L144,""))</f>
        <v/>
      </c>
      <c r="U144" s="155">
        <f>IF(R144="","",IFERROR(--Разбивка_по_щитам!K144,""))</f>
        <v/>
      </c>
      <c r="V144" s="138">
        <f>IF(R144="","",IFERROR(IF(Разбивка_по_щитам!M144=0,"",Разбивка_по_щитам!M144),""))</f>
        <v/>
      </c>
      <c r="W144" s="156">
        <f t="shared" si="89"/>
        <v/>
      </c>
      <c r="X144" s="157">
        <f t="shared" si="90"/>
        <v/>
      </c>
      <c r="Y144" s="266"/>
      <c r="Z144" s="158">
        <f t="shared" si="91"/>
        <v/>
      </c>
      <c r="AA144" s="160">
        <f t="shared" si="92"/>
        <v/>
      </c>
      <c r="AB144" s="160">
        <f>IF(R144="","",IFERROR(LOOKUP(INDEX(Справочная!$I$4:$I$19,MATCH(VLOOKUP(R144,Исходные_данные,22,FALSE),Справочная!$J$4:$J$19,0)+1),{6,10,16,20,25,32,40,50,63,80,100,125}),""))</f>
        <v/>
      </c>
      <c r="AC144" s="160">
        <f t="shared" si="93"/>
        <v/>
      </c>
      <c r="AD144" s="161">
        <f t="shared" si="94"/>
        <v/>
      </c>
      <c r="AE144" s="161">
        <f>IF(AND(R144="",G144=""),"",_xlfn.TEXTJOIN("; ",TRUE,IF(AND(R144&lt;&gt;"",V144=""),"нет фазы",""),IF(AND(R144&lt;&gt;"",N(T144)=0),"нет мощности",""),IF(AND(P144&lt;&gt;"",COUNTIFS($A$3:$A$1000,A144,$P$3:$P$1000,P144)&gt;1),"дубль клеммы "&amp;P144,""),IF(AND(W144&lt;&gt;"",W144&lt;&gt;"ok"),W144,""),IF(X144&lt;&gt;"",X144,""),IF(AND(ISNUMBER(SEARCH("(5х",Q144)),N(AK144)=1),"5 жил на 1 фазе",""),IF(AND(AL144="R",E144&lt;&gt;"",N(AS144)=0),"розетка без 30 мА",""),IF(IFERROR(_xlfn.NUMBERVALUE(MID(Q144,FIND("-",Q144,FIND("L=",Q144))+1,FIND("%",Q144)-FIND("-",Q144,FIND("L=",Q144))-1),","),0)&gt;4,"потери &gt; 4 %","")))</f>
      </c>
      <c r="AF144" s="129">
        <f>IF(E144&lt;&gt;"",COUNTIFS($A$3:A144,A144,$E$3:E144,"?*"),IF(OR(A144&lt;&gt;A143,Y144="вручную"),"",AF143))</f>
      </c>
      <c r="AG144" s="129">
        <f t="shared" si="95"/>
      </c>
      <c r="AH144" s="129">
        <f t="shared" si="96"/>
        <v/>
      </c>
      <c r="AI144" s="129">
        <f t="shared" si="97"/>
        <v/>
      </c>
      <c r="AJ144" s="129">
        <f t="shared" si="98"/>
        <v/>
      </c>
      <c r="AK144" s="129">
        <f t="shared" si="99"/>
        <v/>
      </c>
      <c r="AL144" s="129">
        <f t="shared" si="100"/>
        <v/>
      </c>
      <c r="AM144" s="129">
        <f t="shared" si="101"/>
      </c>
      <c r="AN144" s="129">
        <f t="shared" si="102"/>
      </c>
      <c r="AO144" s="129">
        <f t="shared" si="103"/>
        <v/>
      </c>
      <c r="AP144" s="129">
        <f t="shared" si="104"/>
        <v/>
      </c>
      <c r="AQ144" s="129">
        <f t="shared" si="105"/>
        <v/>
      </c>
      <c r="AR144" s="129">
        <f t="shared" si="106"/>
        <v/>
      </c>
      <c r="AS144" s="129">
        <f t="shared" si="107"/>
        <v/>
      </c>
      <c r="AT144" s="129">
        <f t="shared" si="108"/>
        <v/>
      </c>
      <c r="AU144" s="129">
        <f t="shared" si="109"/>
        <v/>
      </c>
      <c r="AV144" s="129">
        <f t="shared" si="110"/>
        <v/>
      </c>
      <c r="AW144" s="129">
        <f>IF(AV144="","",AV144&amp;"."&amp;COUNTIFS($A$3:A144,A144,$AV$3:AV144,AV144))</f>
        <v/>
      </c>
      <c r="AX144" s="129">
        <f t="shared" si="111"/>
        <v/>
      </c>
      <c r="AY144" s="129">
        <f>IF(N144="б/к",0,IF(OR(ISNUMBER(SEARCH("L=",Разбивка_по_щитам!P144)),N144="+",N144="="),1,0))</f>
      </c>
      <c r="AZ144" s="129">
        <f t="shared" si="112"/>
      </c>
      <c r="BA144" s="129">
        <f t="shared" si="113"/>
      </c>
      <c r="BB144" s="129">
        <f t="shared" si="114"/>
      </c>
      <c r="BD144" s="129">
        <f t="shared" si="115"/>
      </c>
      <c r="BE144" s="129">
        <f t="shared" si="116"/>
      </c>
      <c r="BF144" s="129">
        <f t="shared" si="117"/>
      </c>
      <c r="BG144" s="129">
        <f t="shared" si="118"/>
        <v/>
      </c>
      <c r="BH144" s="129">
        <f t="shared" si="119"/>
        <v/>
      </c>
      <c r="BI144" s="129">
        <f t="shared" si="120"/>
        <v/>
      </c>
      <c r="BJ144" s="129">
        <f t="shared" si="121"/>
        <v/>
      </c>
      <c r="BK144" s="129">
        <f>IF(R144="","",IF(OR(BY144="",BY144=0),"BOX",IFERROR(IF(VLOOKUP(BY144,УГО_блоки,3,FALSE)&amp;""&lt;&gt;"",VLOOKUP(BY144,УГО_блоки,3,FALSE),VLOOKUP(BY144,УГО_блоки,2,FALSE)),BY144)))</f>
      </c>
      <c r="BL144" s="129">
        <f t="shared" si="123"/>
      </c>
      <c r="BM144" s="129">
        <f>IF(H144="","",IF(COUNTIF($H$3:H144,H144)=1,MAX($BM$2:BM143)+1,""))</f>
      </c>
      <c r="BN144" s="129">
        <f>IF(I144="","",IF(COUNTIF($I$3:I144,I144)+COUNTIF($J$2:J143,I144)+COUNTIF($K$2:K143,I144)=1,MAX($BN$2:BP143)+1,""))</f>
      </c>
      <c r="BO144" s="129">
        <f>IF(J144="","",IF(COUNTIF($I$3:I144,J144)+COUNTIF($J$3:J144,J144)+COUNTIF($K$2:K143,J144)=1,MAX($BN$2:BP143,BN144)+1,""))</f>
      </c>
      <c r="BP144" s="129">
        <f>IF(K144="","",IF(COUNTIF($I$3:I144,K144)+COUNTIF($J$3:J144,K144)+COUNTIF($K$3:K144,K144)=1,MAX($BN$2:BP143,BN144,BO144)+1,""))</f>
      </c>
      <c r="BQ144" s="129">
        <f>IF(AY144=1,IFERROR(MID(Q144,FIND(" (",Q144)+2,FIND(")",Q144,FIND(" (",Q144))-FIND(" (",Q144)-2),"?"),"")</f>
      </c>
      <c r="BR144" s="129">
        <f>IF(BQ144="","",IF(COUNTIF($BQ$3:BQ144,BQ144)=1,MAX($BR$2:BR143)+1,""))</f>
      </c>
      <c r="BS144" s="129">
        <f>IF(AW144="","",COUNTIF($AW$3:AW144,"?*"))</f>
      </c>
      <c r="BT144" s="129">
        <f>IF(OR(AW144="",AI144=""),"",IF(COUNTIFS($AW$3:AW144,"?*",$AI$3:AI144,AI144)=1,MAX($BT$2:BT143)+1,""))</f>
      </c>
      <c r="BU144" s="129">
        <f>IF(AE144="",0,IF(OR(ISNUMBER(SEARCH("дубль",AE144)),ISNUMBER(SEARCH("ПЕРЕГРУЗ",AE144)),ISNUMBER(SEARCH("ЗАЩИЩ",AE144)),ISNUMBER(SEARCH("КАНАЛ",AE144)),ISNUMBER(SEARCH("без 30",AE144))),2,1))</f>
      </c>
      <c r="BV144" s="129">
        <f>IF(R144="","",COUNTIF($R$3:R144,"?*"))</f>
      </c>
      <c r="BW144" s="129">
        <f>IF(AY144&lt;&gt;1,0,IF(MAX(IFERROR(--VLOOKUP(R144,УГО_спр,5,FALSE),0),IFERROR(--VLOOKUP(AL144,УГО_спр,5,FALSE),0),IFERROR(--VLOOKUP(LEFT(AL144,2),УГО_спр,5,FALSE),0))&gt;0,MAX(IFERROR(--VLOOKUP(R144,УГО_спр,5,FALSE),0),IFERROR(--VLOOKUP(AL144,УГО_спр,5,FALSE),0),IFERROR(--VLOOKUP(LEFT(AL144,2),УГО_спр,5,FALSE),0)),IF(IFERROR(--LEFT(SUBSTITUTE(BQ144,"x","х"),FIND("х",SUBSTITUTE(BQ144,"x","х"))-1),3)&gt;3,Каталог!$S$9,1)))</f>
      </c>
      <c r="BX144" s="129">
        <f>IF(AY144&lt;&gt;1,0,MAX(0,IFERROR(--LEFT(SUBSTITUTE(BQ144,"x","х"),FIND("х",SUBSTITUTE(BQ144,"x","х"))-1),3)-3*BW144))</f>
      </c>
      <c r="BY144" s="129">
        <f>IF(R144="","",IFERROR(VLOOKUP(R144,УГО_спр,2,FALSE),IFERROR(VLOOKUP(AL144,УГО_спр,2,FALSE),IFERROR(VLOOKUP(LEFT(AL144,2),УГО_спр,2,FALSE),""))))</f>
      </c>
    </row>
    <row r="145" spans="1:64" x14ac:dyDescent="0.3">
      <c r="A145" s="135">
        <f>IF(Разбивка_по_щитам!F145=0,"",Разбивка_по_щитам!F145)</f>
      </c>
      <c r="B145" s="138">
        <f>IF(A145="","",Разбивка_по_щитам!C145)</f>
      </c>
      <c r="C145" s="138">
        <f t="shared" si="86"/>
      </c>
      <c r="D145" s="266"/>
      <c r="E145" s="266"/>
      <c r="F145" s="267"/>
      <c r="G145" s="145">
        <f t="shared" si="87"/>
        <v/>
      </c>
      <c r="H145" s="145">
        <f t="shared" si="88"/>
        <v/>
      </c>
      <c r="I145" s="266"/>
      <c r="J145" s="267"/>
      <c r="K145" s="267"/>
      <c r="L145" s="266"/>
      <c r="M145" s="147">
        <f t="shared" si="124"/>
        <v/>
      </c>
      <c r="N145" s="267"/>
      <c r="O145" s="147">
        <f t="shared" si="125"/>
        <v/>
      </c>
      <c r="P145" s="268">
        <f>IF(AY145=1,"XT"&amp;COUNTIFS($A$3:A145,A145,$AY$3:AY145,1),"")</f>
        <v/>
      </c>
      <c r="Q145" s="152">
        <f>IF(R145="","",IFERROR(SUBSTITUTE(Разбивка_по_щитам!P145,CHAR(10)," "),""))</f>
        <v/>
      </c>
      <c r="R145" s="153">
        <f>IF(OR(Разбивка_по_щитам!H145="",Разбивка_по_щитам!H145=0),"",Разбивка_по_щитам!H145)</f>
        <v/>
      </c>
      <c r="S145" s="154">
        <f>IF(R145="","",IFERROR(Разбивка_по_щитам!J145&amp;"",""))</f>
        <v/>
      </c>
      <c r="T145" s="155">
        <f>IF(R145="","",IFERROR(--Разбивка_по_щитам!L145,""))</f>
        <v/>
      </c>
      <c r="U145" s="155">
        <f>IF(R145="","",IFERROR(--Разбивка_по_щитам!K145,""))</f>
        <v/>
      </c>
      <c r="V145" s="138">
        <f>IF(R145="","",IFERROR(IF(Разбивка_по_щитам!M145=0,"",Разбивка_по_щитам!M145),""))</f>
        <v/>
      </c>
      <c r="W145" s="156">
        <f t="shared" si="89"/>
        <v/>
      </c>
      <c r="X145" s="157">
        <f t="shared" si="90"/>
        <v/>
      </c>
      <c r="Y145" s="266"/>
      <c r="Z145" s="158">
        <f t="shared" si="91"/>
        <v/>
      </c>
      <c r="AA145" s="160">
        <f t="shared" si="92"/>
        <v/>
      </c>
      <c r="AB145" s="160">
        <f>IF(R145="","",IFERROR(LOOKUP(INDEX(Справочная!$I$4:$I$19,MATCH(VLOOKUP(R145,Исходные_данные,22,FALSE),Справочная!$J$4:$J$19,0)+1),{6,10,16,20,25,32,40,50,63,80,100,125}),""))</f>
        <v/>
      </c>
      <c r="AC145" s="160">
        <f t="shared" si="93"/>
        <v/>
      </c>
      <c r="AD145" s="161">
        <f t="shared" si="94"/>
        <v/>
      </c>
      <c r="AE145" s="161">
        <f>IF(AND(R145="",G145=""),"",_xlfn.TEXTJOIN("; ",TRUE,IF(AND(R145&lt;&gt;"",V145=""),"нет фазы",""),IF(AND(R145&lt;&gt;"",N(T145)=0),"нет мощности",""),IF(AND(P145&lt;&gt;"",COUNTIFS($A$3:$A$1000,A145,$P$3:$P$1000,P145)&gt;1),"дубль клеммы "&amp;P145,""),IF(AND(W145&lt;&gt;"",W145&lt;&gt;"ok"),W145,""),IF(X145&lt;&gt;"",X145,""),IF(AND(ISNUMBER(SEARCH("(5х",Q145)),N(AK145)=1),"5 жил на 1 фазе",""),IF(AND(AL145="R",E145&lt;&gt;"",N(AS145)=0),"розетка без 30 мА",""),IF(IFERROR(_xlfn.NUMBERVALUE(MID(Q145,FIND("-",Q145,FIND("L=",Q145))+1,FIND("%",Q145)-FIND("-",Q145,FIND("L=",Q145))-1),","),0)&gt;4,"потери &gt; 4 %","")))</f>
      </c>
      <c r="AF145" s="129">
        <f>IF(E145&lt;&gt;"",COUNTIFS($A$3:A145,A145,$E$3:E145,"?*"),IF(OR(A145&lt;&gt;A144,Y145="вручную"),"",AF144))</f>
      </c>
      <c r="AG145" s="129">
        <f t="shared" si="95"/>
      </c>
      <c r="AH145" s="129">
        <f t="shared" si="96"/>
        <v/>
      </c>
      <c r="AI145" s="129">
        <f t="shared" si="97"/>
        <v/>
      </c>
      <c r="AJ145" s="129">
        <f t="shared" si="98"/>
        <v/>
      </c>
      <c r="AK145" s="129">
        <f t="shared" si="99"/>
        <v/>
      </c>
      <c r="AL145" s="129">
        <f t="shared" si="100"/>
        <v/>
      </c>
      <c r="AM145" s="129">
        <f t="shared" si="101"/>
      </c>
      <c r="AN145" s="129">
        <f t="shared" si="102"/>
      </c>
      <c r="AO145" s="129">
        <f t="shared" si="103"/>
        <v/>
      </c>
      <c r="AP145" s="129">
        <f t="shared" si="104"/>
        <v/>
      </c>
      <c r="AQ145" s="129">
        <f t="shared" si="105"/>
        <v/>
      </c>
      <c r="AR145" s="129">
        <f t="shared" si="106"/>
        <v/>
      </c>
      <c r="AS145" s="129">
        <f t="shared" si="107"/>
        <v/>
      </c>
      <c r="AT145" s="129">
        <f t="shared" si="108"/>
        <v/>
      </c>
      <c r="AU145" s="129">
        <f t="shared" si="109"/>
        <v/>
      </c>
      <c r="AV145" s="129">
        <f t="shared" si="110"/>
        <v/>
      </c>
      <c r="AW145" s="129">
        <f>IF(AV145="","",AV145&amp;"."&amp;COUNTIFS($A$3:A145,A145,$AV$3:AV145,AV145))</f>
        <v/>
      </c>
      <c r="AX145" s="129">
        <f t="shared" si="111"/>
        <v/>
      </c>
      <c r="AY145" s="129">
        <f>IF(N145="б/к",0,IF(OR(ISNUMBER(SEARCH("L=",Разбивка_по_щитам!P145)),N145="+",N145="="),1,0))</f>
      </c>
      <c r="AZ145" s="129">
        <f t="shared" si="112"/>
      </c>
      <c r="BA145" s="129">
        <f t="shared" si="113"/>
      </c>
      <c r="BB145" s="129">
        <f t="shared" si="114"/>
      </c>
      <c r="BD145" s="129">
        <f t="shared" si="115"/>
      </c>
      <c r="BE145" s="129">
        <f t="shared" si="116"/>
      </c>
      <c r="BF145" s="129">
        <f t="shared" si="117"/>
      </c>
      <c r="BG145" s="129">
        <f t="shared" si="118"/>
        <v/>
      </c>
      <c r="BH145" s="129">
        <f t="shared" si="119"/>
        <v/>
      </c>
      <c r="BI145" s="129">
        <f t="shared" si="120"/>
        <v/>
      </c>
      <c r="BJ145" s="129">
        <f t="shared" si="121"/>
        <v/>
      </c>
      <c r="BK145" s="129">
        <f>IF(R145="","",IF(OR(BY145="",BY145=0),"BOX",IFERROR(IF(VLOOKUP(BY145,УГО_блоки,3,FALSE)&amp;""&lt;&gt;"",VLOOKUP(BY145,УГО_блоки,3,FALSE),VLOOKUP(BY145,УГО_блоки,2,FALSE)),BY145)))</f>
      </c>
      <c r="BL145" s="129">
        <f t="shared" si="123"/>
      </c>
      <c r="BM145" s="129">
        <f>IF(H145="","",IF(COUNTIF($H$3:H145,H145)=1,MAX($BM$2:BM144)+1,""))</f>
      </c>
      <c r="BN145" s="129">
        <f>IF(I145="","",IF(COUNTIF($I$3:I145,I145)+COUNTIF($J$2:J144,I145)+COUNTIF($K$2:K144,I145)=1,MAX($BN$2:BP144)+1,""))</f>
      </c>
      <c r="BO145" s="129">
        <f>IF(J145="","",IF(COUNTIF($I$3:I145,J145)+COUNTIF($J$3:J145,J145)+COUNTIF($K$2:K144,J145)=1,MAX($BN$2:BP144,BN145)+1,""))</f>
      </c>
      <c r="BP145" s="129">
        <f>IF(K145="","",IF(COUNTIF($I$3:I145,K145)+COUNTIF($J$3:J145,K145)+COUNTIF($K$3:K145,K145)=1,MAX($BN$2:BP144,BN145,BO145)+1,""))</f>
      </c>
      <c r="BQ145" s="129">
        <f>IF(AY145=1,IFERROR(MID(Q145,FIND(" (",Q145)+2,FIND(")",Q145,FIND(" (",Q145))-FIND(" (",Q145)-2),"?"),"")</f>
      </c>
      <c r="BR145" s="129">
        <f>IF(BQ145="","",IF(COUNTIF($BQ$3:BQ145,BQ145)=1,MAX($BR$2:BR144)+1,""))</f>
      </c>
      <c r="BS145" s="129">
        <f>IF(AW145="","",COUNTIF($AW$3:AW145,"?*"))</f>
      </c>
      <c r="BT145" s="129">
        <f>IF(OR(AW145="",AI145=""),"",IF(COUNTIFS($AW$3:AW145,"?*",$AI$3:AI145,AI145)=1,MAX($BT$2:BT144)+1,""))</f>
      </c>
      <c r="BU145" s="129">
        <f>IF(AE145="",0,IF(OR(ISNUMBER(SEARCH("дубль",AE145)),ISNUMBER(SEARCH("ПЕРЕГРУЗ",AE145)),ISNUMBER(SEARCH("ЗАЩИЩ",AE145)),ISNUMBER(SEARCH("КАНАЛ",AE145)),ISNUMBER(SEARCH("без 30",AE145))),2,1))</f>
      </c>
      <c r="BV145" s="129">
        <f>IF(R145="","",COUNTIF($R$3:R145,"?*"))</f>
      </c>
      <c r="BW145" s="129">
        <f>IF(AY145&lt;&gt;1,0,IF(MAX(IFERROR(--VLOOKUP(R145,УГО_спр,5,FALSE),0),IFERROR(--VLOOKUP(AL145,УГО_спр,5,FALSE),0),IFERROR(--VLOOKUP(LEFT(AL145,2),УГО_спр,5,FALSE),0))&gt;0,MAX(IFERROR(--VLOOKUP(R145,УГО_спр,5,FALSE),0),IFERROR(--VLOOKUP(AL145,УГО_спр,5,FALSE),0),IFERROR(--VLOOKUP(LEFT(AL145,2),УГО_спр,5,FALSE),0)),IF(IFERROR(--LEFT(SUBSTITUTE(BQ145,"x","х"),FIND("х",SUBSTITUTE(BQ145,"x","х"))-1),3)&gt;3,Каталог!$S$9,1)))</f>
      </c>
      <c r="BX145" s="129">
        <f>IF(AY145&lt;&gt;1,0,MAX(0,IFERROR(--LEFT(SUBSTITUTE(BQ145,"x","х"),FIND("х",SUBSTITUTE(BQ145,"x","х"))-1),3)-3*BW145))</f>
      </c>
      <c r="BY145" s="129">
        <f>IF(R145="","",IFERROR(VLOOKUP(R145,УГО_спр,2,FALSE),IFERROR(VLOOKUP(AL145,УГО_спр,2,FALSE),IFERROR(VLOOKUP(LEFT(AL145,2),УГО_спр,2,FALSE),""))))</f>
      </c>
    </row>
    <row r="146" spans="1:64" x14ac:dyDescent="0.3">
      <c r="A146" s="135">
        <f>IF(Разбивка_по_щитам!F146=0,"",Разбивка_по_щитам!F146)</f>
      </c>
      <c r="B146" s="138">
        <f>IF(A146="","",Разбивка_по_щитам!C146)</f>
      </c>
      <c r="C146" s="138">
        <f t="shared" si="86"/>
      </c>
      <c r="D146" s="266"/>
      <c r="E146" s="266"/>
      <c r="F146" s="267"/>
      <c r="G146" s="145">
        <f t="shared" si="87"/>
        <v/>
      </c>
      <c r="H146" s="145">
        <f t="shared" si="88"/>
        <v/>
      </c>
      <c r="I146" s="266"/>
      <c r="J146" s="267"/>
      <c r="K146" s="267"/>
      <c r="L146" s="266"/>
      <c r="M146" s="147">
        <f t="shared" si="124"/>
        <v/>
      </c>
      <c r="N146" s="267"/>
      <c r="O146" s="147">
        <f t="shared" si="125"/>
        <v/>
      </c>
      <c r="P146" s="268">
        <f>IF(AY146=1,"XT"&amp;COUNTIFS($A$3:A146,A146,$AY$3:AY146,1),"")</f>
        <v/>
      </c>
      <c r="Q146" s="152">
        <f>IF(R146="","",IFERROR(SUBSTITUTE(Разбивка_по_щитам!P146,CHAR(10)," "),""))</f>
        <v/>
      </c>
      <c r="R146" s="153">
        <f>IF(OR(Разбивка_по_щитам!H146="",Разбивка_по_щитам!H146=0),"",Разбивка_по_щитам!H146)</f>
        <v/>
      </c>
      <c r="S146" s="154">
        <f>IF(R146="","",IFERROR(Разбивка_по_щитам!J146&amp;"",""))</f>
        <v/>
      </c>
      <c r="T146" s="155">
        <f>IF(R146="","",IFERROR(--Разбивка_по_щитам!L146,""))</f>
        <v/>
      </c>
      <c r="U146" s="155">
        <f>IF(R146="","",IFERROR(--Разбивка_по_щитам!K146,""))</f>
        <v/>
      </c>
      <c r="V146" s="138">
        <f>IF(R146="","",IFERROR(IF(Разбивка_по_щитам!M146=0,"",Разбивка_по_щитам!M146),""))</f>
        <v/>
      </c>
      <c r="W146" s="156">
        <f t="shared" si="89"/>
        <v/>
      </c>
      <c r="X146" s="157">
        <f t="shared" si="90"/>
        <v/>
      </c>
      <c r="Y146" s="266"/>
      <c r="Z146" s="158">
        <f t="shared" si="91"/>
        <v/>
      </c>
      <c r="AA146" s="160">
        <f t="shared" si="92"/>
        <v/>
      </c>
      <c r="AB146" s="160">
        <f>IF(R146="","",IFERROR(LOOKUP(INDEX(Справочная!$I$4:$I$19,MATCH(VLOOKUP(R146,Исходные_данные,22,FALSE),Справочная!$J$4:$J$19,0)+1),{6,10,16,20,25,32,40,50,63,80,100,125}),""))</f>
        <v/>
      </c>
      <c r="AC146" s="160">
        <f t="shared" si="93"/>
        <v/>
      </c>
      <c r="AD146" s="161">
        <f t="shared" si="94"/>
        <v/>
      </c>
      <c r="AE146" s="161">
        <f>IF(AND(R146="",G146=""),"",_xlfn.TEXTJOIN("; ",TRUE,IF(AND(R146&lt;&gt;"",V146=""),"нет фазы",""),IF(AND(R146&lt;&gt;"",N(T146)=0),"нет мощности",""),IF(AND(P146&lt;&gt;"",COUNTIFS($A$3:$A$1000,A146,$P$3:$P$1000,P146)&gt;1),"дубль клеммы "&amp;P146,""),IF(AND(W146&lt;&gt;"",W146&lt;&gt;"ok"),W146,""),IF(X146&lt;&gt;"",X146,""),IF(AND(ISNUMBER(SEARCH("(5х",Q146)),N(AK146)=1),"5 жил на 1 фазе",""),IF(AND(AL146="R",E146&lt;&gt;"",N(AS146)=0),"розетка без 30 мА",""),IF(IFERROR(_xlfn.NUMBERVALUE(MID(Q146,FIND("-",Q146,FIND("L=",Q146))+1,FIND("%",Q146)-FIND("-",Q146,FIND("L=",Q146))-1),","),0)&gt;4,"потери &gt; 4 %","")))</f>
      </c>
      <c r="AF146" s="129">
        <f>IF(E146&lt;&gt;"",COUNTIFS($A$3:A146,A146,$E$3:E146,"?*"),IF(OR(A146&lt;&gt;A145,Y146="вручную"),"",AF145))</f>
      </c>
      <c r="AG146" s="129">
        <f t="shared" si="95"/>
      </c>
      <c r="AH146" s="129">
        <f t="shared" si="96"/>
        <v/>
      </c>
      <c r="AI146" s="129">
        <f t="shared" si="97"/>
        <v/>
      </c>
      <c r="AJ146" s="129">
        <f t="shared" si="98"/>
        <v/>
      </c>
      <c r="AK146" s="129">
        <f t="shared" si="99"/>
        <v/>
      </c>
      <c r="AL146" s="129">
        <f t="shared" si="100"/>
        <v/>
      </c>
      <c r="AM146" s="129">
        <f t="shared" si="101"/>
      </c>
      <c r="AN146" s="129">
        <f t="shared" si="102"/>
      </c>
      <c r="AO146" s="129">
        <f t="shared" si="103"/>
        <v/>
      </c>
      <c r="AP146" s="129">
        <f t="shared" si="104"/>
        <v/>
      </c>
      <c r="AQ146" s="129">
        <f t="shared" si="105"/>
        <v/>
      </c>
      <c r="AR146" s="129">
        <f t="shared" si="106"/>
        <v/>
      </c>
      <c r="AS146" s="129">
        <f t="shared" si="107"/>
        <v/>
      </c>
      <c r="AT146" s="129">
        <f t="shared" si="108"/>
        <v/>
      </c>
      <c r="AU146" s="129">
        <f t="shared" si="109"/>
        <v/>
      </c>
      <c r="AV146" s="129">
        <f t="shared" si="110"/>
        <v/>
      </c>
      <c r="AW146" s="129">
        <f>IF(AV146="","",AV146&amp;"."&amp;COUNTIFS($A$3:A146,A146,$AV$3:AV146,AV146))</f>
        <v/>
      </c>
      <c r="AX146" s="129">
        <f t="shared" si="111"/>
        <v/>
      </c>
      <c r="AY146" s="129">
        <f>IF(N146="б/к",0,IF(OR(ISNUMBER(SEARCH("L=",Разбивка_по_щитам!P146)),N146="+",N146="="),1,0))</f>
      </c>
      <c r="AZ146" s="129">
        <f t="shared" si="112"/>
      </c>
      <c r="BA146" s="129">
        <f t="shared" si="113"/>
      </c>
      <c r="BB146" s="129">
        <f t="shared" si="114"/>
      </c>
      <c r="BD146" s="129">
        <f t="shared" si="115"/>
      </c>
      <c r="BE146" s="129">
        <f t="shared" si="116"/>
      </c>
      <c r="BF146" s="129">
        <f t="shared" si="117"/>
      </c>
      <c r="BG146" s="129">
        <f t="shared" si="118"/>
        <v/>
      </c>
      <c r="BH146" s="129">
        <f t="shared" si="119"/>
        <v/>
      </c>
      <c r="BI146" s="129">
        <f t="shared" si="120"/>
        <v/>
      </c>
      <c r="BJ146" s="129">
        <f t="shared" si="121"/>
        <v/>
      </c>
      <c r="BK146" s="129">
        <f>IF(R146="","",IF(OR(BY146="",BY146=0),"BOX",IFERROR(IF(VLOOKUP(BY146,УГО_блоки,3,FALSE)&amp;""&lt;&gt;"",VLOOKUP(BY146,УГО_блоки,3,FALSE),VLOOKUP(BY146,УГО_блоки,2,FALSE)),BY146)))</f>
      </c>
      <c r="BL146" s="129">
        <f t="shared" si="123"/>
      </c>
      <c r="BM146" s="129">
        <f>IF(H146="","",IF(COUNTIF($H$3:H146,H146)=1,MAX($BM$2:BM145)+1,""))</f>
      </c>
      <c r="BN146" s="129">
        <f>IF(I146="","",IF(COUNTIF($I$3:I146,I146)+COUNTIF($J$2:J145,I146)+COUNTIF($K$2:K145,I146)=1,MAX($BN$2:BP145)+1,""))</f>
      </c>
      <c r="BO146" s="129">
        <f>IF(J146="","",IF(COUNTIF($I$3:I146,J146)+COUNTIF($J$3:J146,J146)+COUNTIF($K$2:K145,J146)=1,MAX($BN$2:BP145,BN146)+1,""))</f>
      </c>
      <c r="BP146" s="129">
        <f>IF(K146="","",IF(COUNTIF($I$3:I146,K146)+COUNTIF($J$3:J146,K146)+COUNTIF($K$3:K146,K146)=1,MAX($BN$2:BP145,BN146,BO146)+1,""))</f>
      </c>
      <c r="BQ146" s="129">
        <f>IF(AY146=1,IFERROR(MID(Q146,FIND(" (",Q146)+2,FIND(")",Q146,FIND(" (",Q146))-FIND(" (",Q146)-2),"?"),"")</f>
      </c>
      <c r="BR146" s="129">
        <f>IF(BQ146="","",IF(COUNTIF($BQ$3:BQ146,BQ146)=1,MAX($BR$2:BR145)+1,""))</f>
      </c>
      <c r="BS146" s="129">
        <f>IF(AW146="","",COUNTIF($AW$3:AW146,"?*"))</f>
      </c>
      <c r="BT146" s="129">
        <f>IF(OR(AW146="",AI146=""),"",IF(COUNTIFS($AW$3:AW146,"?*",$AI$3:AI146,AI146)=1,MAX($BT$2:BT145)+1,""))</f>
      </c>
      <c r="BU146" s="129">
        <f>IF(AE146="",0,IF(OR(ISNUMBER(SEARCH("дубль",AE146)),ISNUMBER(SEARCH("ПЕРЕГРУЗ",AE146)),ISNUMBER(SEARCH("ЗАЩИЩ",AE146)),ISNUMBER(SEARCH("КАНАЛ",AE146)),ISNUMBER(SEARCH("без 30",AE146))),2,1))</f>
      </c>
      <c r="BV146" s="129">
        <f>IF(R146="","",COUNTIF($R$3:R146,"?*"))</f>
      </c>
      <c r="BW146" s="129">
        <f>IF(AY146&lt;&gt;1,0,IF(MAX(IFERROR(--VLOOKUP(R146,УГО_спр,5,FALSE),0),IFERROR(--VLOOKUP(AL146,УГО_спр,5,FALSE),0),IFERROR(--VLOOKUP(LEFT(AL146,2),УГО_спр,5,FALSE),0))&gt;0,MAX(IFERROR(--VLOOKUP(R146,УГО_спр,5,FALSE),0),IFERROR(--VLOOKUP(AL146,УГО_спр,5,FALSE),0),IFERROR(--VLOOKUP(LEFT(AL146,2),УГО_спр,5,FALSE),0)),IF(IFERROR(--LEFT(SUBSTITUTE(BQ146,"x","х"),FIND("х",SUBSTITUTE(BQ146,"x","х"))-1),3)&gt;3,Каталог!$S$9,1)))</f>
      </c>
      <c r="BX146" s="129">
        <f>IF(AY146&lt;&gt;1,0,MAX(0,IFERROR(--LEFT(SUBSTITUTE(BQ146,"x","х"),FIND("х",SUBSTITUTE(BQ146,"x","х"))-1),3)-3*BW146))</f>
      </c>
      <c r="BY146" s="129">
        <f>IF(R146="","",IFERROR(VLOOKUP(R146,УГО_спр,2,FALSE),IFERROR(VLOOKUP(AL146,УГО_спр,2,FALSE),IFERROR(VLOOKUP(LEFT(AL146,2),УГО_спр,2,FALSE),""))))</f>
      </c>
    </row>
    <row r="147" spans="1:64" x14ac:dyDescent="0.3">
      <c r="A147" s="135">
        <f>IF(Разбивка_по_щитам!F147=0,"",Разбивка_по_щитам!F147)</f>
      </c>
      <c r="B147" s="138">
        <f>IF(A147="","",Разбивка_по_щитам!C147)</f>
      </c>
      <c r="C147" s="138">
        <f t="shared" si="86"/>
      </c>
      <c r="D147" s="266"/>
      <c r="E147" s="266"/>
      <c r="F147" s="267"/>
      <c r="G147" s="145">
        <f t="shared" si="87"/>
        <v/>
      </c>
      <c r="H147" s="145">
        <f t="shared" si="88"/>
        <v/>
      </c>
      <c r="I147" s="266"/>
      <c r="J147" s="267"/>
      <c r="K147" s="267"/>
      <c r="L147" s="266"/>
      <c r="M147" s="147">
        <f t="shared" si="124"/>
        <v/>
      </c>
      <c r="N147" s="267"/>
      <c r="O147" s="147">
        <f t="shared" si="125"/>
        <v/>
      </c>
      <c r="P147" s="268">
        <f>IF(AY147=1,"XT"&amp;COUNTIFS($A$3:A147,A147,$AY$3:AY147,1),"")</f>
        <v/>
      </c>
      <c r="Q147" s="152">
        <f>IF(R147="","",IFERROR(SUBSTITUTE(Разбивка_по_щитам!P147,CHAR(10)," "),""))</f>
        <v/>
      </c>
      <c r="R147" s="153">
        <f>IF(OR(Разбивка_по_щитам!H147="",Разбивка_по_щитам!H147=0),"",Разбивка_по_щитам!H147)</f>
        <v/>
      </c>
      <c r="S147" s="154">
        <f>IF(R147="","",IFERROR(Разбивка_по_щитам!J147&amp;"",""))</f>
        <v/>
      </c>
      <c r="T147" s="155">
        <f>IF(R147="","",IFERROR(--Разбивка_по_щитам!L147,""))</f>
        <v/>
      </c>
      <c r="U147" s="155">
        <f>IF(R147="","",IFERROR(--Разбивка_по_щитам!K147,""))</f>
        <v/>
      </c>
      <c r="V147" s="138">
        <f>IF(R147="","",IFERROR(IF(Разбивка_по_щитам!M147=0,"",Разбивка_по_щитам!M147),""))</f>
        <v/>
      </c>
      <c r="W147" s="156">
        <f t="shared" si="89"/>
        <v/>
      </c>
      <c r="X147" s="157">
        <f t="shared" si="90"/>
        <v/>
      </c>
      <c r="Y147" s="266"/>
      <c r="Z147" s="158">
        <f t="shared" si="91"/>
        <v/>
      </c>
      <c r="AA147" s="160">
        <f t="shared" si="92"/>
        <v/>
      </c>
      <c r="AB147" s="160">
        <f>IF(R147="","",IFERROR(LOOKUP(INDEX(Справочная!$I$4:$I$19,MATCH(VLOOKUP(R147,Исходные_данные,22,FALSE),Справочная!$J$4:$J$19,0)+1),{6,10,16,20,25,32,40,50,63,80,100,125}),""))</f>
        <v/>
      </c>
      <c r="AC147" s="160">
        <f t="shared" si="93"/>
        <v/>
      </c>
      <c r="AD147" s="161">
        <f t="shared" si="94"/>
        <v/>
      </c>
      <c r="AE147" s="161">
        <f>IF(AND(R147="",G147=""),"",_xlfn.TEXTJOIN("; ",TRUE,IF(AND(R147&lt;&gt;"",V147=""),"нет фазы",""),IF(AND(R147&lt;&gt;"",N(T147)=0),"нет мощности",""),IF(AND(P147&lt;&gt;"",COUNTIFS($A$3:$A$1000,A147,$P$3:$P$1000,P147)&gt;1),"дубль клеммы "&amp;P147,""),IF(AND(W147&lt;&gt;"",W147&lt;&gt;"ok"),W147,""),IF(X147&lt;&gt;"",X147,""),IF(AND(ISNUMBER(SEARCH("(5х",Q147)),N(AK147)=1),"5 жил на 1 фазе",""),IF(AND(AL147="R",E147&lt;&gt;"",N(AS147)=0),"розетка без 30 мА",""),IF(IFERROR(_xlfn.NUMBERVALUE(MID(Q147,FIND("-",Q147,FIND("L=",Q147))+1,FIND("%",Q147)-FIND("-",Q147,FIND("L=",Q147))-1),","),0)&gt;4,"потери &gt; 4 %","")))</f>
      </c>
      <c r="AF147" s="129">
        <f>IF(E147&lt;&gt;"",COUNTIFS($A$3:A147,A147,$E$3:E147,"?*"),IF(OR(A147&lt;&gt;A146,Y147="вручную"),"",AF146))</f>
      </c>
      <c r="AG147" s="129">
        <f t="shared" si="95"/>
      </c>
      <c r="AH147" s="129">
        <f t="shared" si="96"/>
        <v/>
      </c>
      <c r="AI147" s="129">
        <f t="shared" si="97"/>
        <v/>
      </c>
      <c r="AJ147" s="129">
        <f t="shared" si="98"/>
        <v/>
      </c>
      <c r="AK147" s="129">
        <f t="shared" si="99"/>
        <v/>
      </c>
      <c r="AL147" s="129">
        <f t="shared" si="100"/>
        <v/>
      </c>
      <c r="AM147" s="129">
        <f t="shared" si="101"/>
      </c>
      <c r="AN147" s="129">
        <f t="shared" si="102"/>
      </c>
      <c r="AO147" s="129">
        <f t="shared" si="103"/>
        <v/>
      </c>
      <c r="AP147" s="129">
        <f t="shared" si="104"/>
        <v/>
      </c>
      <c r="AQ147" s="129">
        <f t="shared" si="105"/>
        <v/>
      </c>
      <c r="AR147" s="129">
        <f t="shared" si="106"/>
        <v/>
      </c>
      <c r="AS147" s="129">
        <f t="shared" si="107"/>
        <v/>
      </c>
      <c r="AT147" s="129">
        <f t="shared" si="108"/>
        <v/>
      </c>
      <c r="AU147" s="129">
        <f t="shared" si="109"/>
        <v/>
      </c>
      <c r="AV147" s="129">
        <f t="shared" si="110"/>
        <v/>
      </c>
      <c r="AW147" s="129">
        <f>IF(AV147="","",AV147&amp;"."&amp;COUNTIFS($A$3:A147,A147,$AV$3:AV147,AV147))</f>
        <v/>
      </c>
      <c r="AX147" s="129">
        <f t="shared" si="111"/>
        <v/>
      </c>
      <c r="AY147" s="129">
        <f>IF(N147="б/к",0,IF(OR(ISNUMBER(SEARCH("L=",Разбивка_по_щитам!P147)),N147="+",N147="="),1,0))</f>
      </c>
      <c r="AZ147" s="129">
        <f t="shared" si="112"/>
      </c>
      <c r="BA147" s="129">
        <f t="shared" si="113"/>
      </c>
      <c r="BB147" s="129">
        <f t="shared" si="114"/>
      </c>
      <c r="BD147" s="129">
        <f t="shared" si="115"/>
      </c>
      <c r="BE147" s="129">
        <f t="shared" si="116"/>
      </c>
      <c r="BF147" s="129">
        <f t="shared" si="117"/>
      </c>
      <c r="BG147" s="129">
        <f t="shared" si="118"/>
        <v/>
      </c>
      <c r="BH147" s="129">
        <f t="shared" si="119"/>
        <v/>
      </c>
      <c r="BI147" s="129">
        <f t="shared" si="120"/>
        <v/>
      </c>
      <c r="BJ147" s="129">
        <f t="shared" si="121"/>
        <v/>
      </c>
      <c r="BK147" s="129">
        <f>IF(R147="","",IF(OR(BY147="",BY147=0),"BOX",IFERROR(IF(VLOOKUP(BY147,УГО_блоки,3,FALSE)&amp;""&lt;&gt;"",VLOOKUP(BY147,УГО_блоки,3,FALSE),VLOOKUP(BY147,УГО_блоки,2,FALSE)),BY147)))</f>
      </c>
      <c r="BL147" s="129">
        <f t="shared" si="123"/>
      </c>
      <c r="BM147" s="129">
        <f>IF(H147="","",IF(COUNTIF($H$3:H147,H147)=1,MAX($BM$2:BM146)+1,""))</f>
      </c>
      <c r="BN147" s="129">
        <f>IF(I147="","",IF(COUNTIF($I$3:I147,I147)+COUNTIF($J$2:J146,I147)+COUNTIF($K$2:K146,I147)=1,MAX($BN$2:BP146)+1,""))</f>
      </c>
      <c r="BO147" s="129">
        <f>IF(J147="","",IF(COUNTIF($I$3:I147,J147)+COUNTIF($J$3:J147,J147)+COUNTIF($K$2:K146,J147)=1,MAX($BN$2:BP146,BN147)+1,""))</f>
      </c>
      <c r="BP147" s="129">
        <f>IF(K147="","",IF(COUNTIF($I$3:I147,K147)+COUNTIF($J$3:J147,K147)+COUNTIF($K$3:K147,K147)=1,MAX($BN$2:BP146,BN147,BO147)+1,""))</f>
      </c>
      <c r="BQ147" s="129">
        <f>IF(AY147=1,IFERROR(MID(Q147,FIND(" (",Q147)+2,FIND(")",Q147,FIND(" (",Q147))-FIND(" (",Q147)-2),"?"),"")</f>
      </c>
      <c r="BR147" s="129">
        <f>IF(BQ147="","",IF(COUNTIF($BQ$3:BQ147,BQ147)=1,MAX($BR$2:BR146)+1,""))</f>
      </c>
      <c r="BS147" s="129">
        <f>IF(AW147="","",COUNTIF($AW$3:AW147,"?*"))</f>
      </c>
      <c r="BT147" s="129">
        <f>IF(OR(AW147="",AI147=""),"",IF(COUNTIFS($AW$3:AW147,"?*",$AI$3:AI147,AI147)=1,MAX($BT$2:BT146)+1,""))</f>
      </c>
      <c r="BU147" s="129">
        <f>IF(AE147="",0,IF(OR(ISNUMBER(SEARCH("дубль",AE147)),ISNUMBER(SEARCH("ПЕРЕГРУЗ",AE147)),ISNUMBER(SEARCH("ЗАЩИЩ",AE147)),ISNUMBER(SEARCH("КАНАЛ",AE147)),ISNUMBER(SEARCH("без 30",AE147))),2,1))</f>
      </c>
      <c r="BV147" s="129">
        <f>IF(R147="","",COUNTIF($R$3:R147,"?*"))</f>
      </c>
      <c r="BW147" s="129">
        <f>IF(AY147&lt;&gt;1,0,IF(MAX(IFERROR(--VLOOKUP(R147,УГО_спр,5,FALSE),0),IFERROR(--VLOOKUP(AL147,УГО_спр,5,FALSE),0),IFERROR(--VLOOKUP(LEFT(AL147,2),УГО_спр,5,FALSE),0))&gt;0,MAX(IFERROR(--VLOOKUP(R147,УГО_спр,5,FALSE),0),IFERROR(--VLOOKUP(AL147,УГО_спр,5,FALSE),0),IFERROR(--VLOOKUP(LEFT(AL147,2),УГО_спр,5,FALSE),0)),IF(IFERROR(--LEFT(SUBSTITUTE(BQ147,"x","х"),FIND("х",SUBSTITUTE(BQ147,"x","х"))-1),3)&gt;3,Каталог!$S$9,1)))</f>
      </c>
      <c r="BX147" s="129">
        <f>IF(AY147&lt;&gt;1,0,MAX(0,IFERROR(--LEFT(SUBSTITUTE(BQ147,"x","х"),FIND("х",SUBSTITUTE(BQ147,"x","х"))-1),3)-3*BW147))</f>
      </c>
      <c r="BY147" s="129">
        <f>IF(R147="","",IFERROR(VLOOKUP(R147,УГО_спр,2,FALSE),IFERROR(VLOOKUP(AL147,УГО_спр,2,FALSE),IFERROR(VLOOKUP(LEFT(AL147,2),УГО_спр,2,FALSE),""))))</f>
      </c>
    </row>
    <row r="148" spans="1:64" x14ac:dyDescent="0.3">
      <c r="A148" s="135">
        <f>IF(Разбивка_по_щитам!F148=0,"",Разбивка_по_щитам!F148)</f>
      </c>
      <c r="B148" s="138">
        <f>IF(A148="","",Разбивка_по_щитам!C148)</f>
      </c>
      <c r="C148" s="138">
        <f t="shared" si="86"/>
      </c>
      <c r="D148" s="266"/>
      <c r="E148" s="266"/>
      <c r="F148" s="267"/>
      <c r="G148" s="145">
        <f t="shared" si="87"/>
        <v/>
      </c>
      <c r="H148" s="145">
        <f t="shared" si="88"/>
        <v/>
      </c>
      <c r="I148" s="266"/>
      <c r="J148" s="267"/>
      <c r="K148" s="267"/>
      <c r="L148" s="266"/>
      <c r="M148" s="147">
        <f t="shared" si="124"/>
        <v/>
      </c>
      <c r="N148" s="267"/>
      <c r="O148" s="147">
        <f t="shared" si="125"/>
        <v/>
      </c>
      <c r="P148" s="268">
        <f>IF(AY148=1,"XT"&amp;COUNTIFS($A$3:A148,A148,$AY$3:AY148,1),"")</f>
        <v/>
      </c>
      <c r="Q148" s="152">
        <f>IF(R148="","",IFERROR(SUBSTITUTE(Разбивка_по_щитам!P148,CHAR(10)," "),""))</f>
        <v/>
      </c>
      <c r="R148" s="153">
        <f>IF(OR(Разбивка_по_щитам!H148="",Разбивка_по_щитам!H148=0),"",Разбивка_по_щитам!H148)</f>
        <v/>
      </c>
      <c r="S148" s="154">
        <f>IF(R148="","",IFERROR(Разбивка_по_щитам!J148&amp;"",""))</f>
        <v/>
      </c>
      <c r="T148" s="155">
        <f>IF(R148="","",IFERROR(--Разбивка_по_щитам!L148,""))</f>
        <v/>
      </c>
      <c r="U148" s="155">
        <f>IF(R148="","",IFERROR(--Разбивка_по_щитам!K148,""))</f>
        <v/>
      </c>
      <c r="V148" s="138">
        <f>IF(R148="","",IFERROR(IF(Разбивка_по_щитам!M148=0,"",Разбивка_по_щитам!M148),""))</f>
        <v/>
      </c>
      <c r="W148" s="156">
        <f t="shared" si="89"/>
        <v/>
      </c>
      <c r="X148" s="157">
        <f t="shared" si="90"/>
        <v/>
      </c>
      <c r="Y148" s="266"/>
      <c r="Z148" s="158">
        <f t="shared" si="91"/>
        <v/>
      </c>
      <c r="AA148" s="160">
        <f t="shared" si="92"/>
        <v/>
      </c>
      <c r="AB148" s="160">
        <f>IF(R148="","",IFERROR(LOOKUP(INDEX(Справочная!$I$4:$I$19,MATCH(VLOOKUP(R148,Исходные_данные,22,FALSE),Справочная!$J$4:$J$19,0)+1),{6,10,16,20,25,32,40,50,63,80,100,125}),""))</f>
        <v/>
      </c>
      <c r="AC148" s="160">
        <f t="shared" si="93"/>
        <v/>
      </c>
      <c r="AD148" s="161">
        <f t="shared" si="94"/>
        <v/>
      </c>
      <c r="AE148" s="161">
        <f>IF(AND(R148="",G148=""),"",_xlfn.TEXTJOIN("; ",TRUE,IF(AND(R148&lt;&gt;"",V148=""),"нет фазы",""),IF(AND(R148&lt;&gt;"",N(T148)=0),"нет мощности",""),IF(AND(P148&lt;&gt;"",COUNTIFS($A$3:$A$1000,A148,$P$3:$P$1000,P148)&gt;1),"дубль клеммы "&amp;P148,""),IF(AND(W148&lt;&gt;"",W148&lt;&gt;"ok"),W148,""),IF(X148&lt;&gt;"",X148,""),IF(AND(ISNUMBER(SEARCH("(5х",Q148)),N(AK148)=1),"5 жил на 1 фазе",""),IF(AND(AL148="R",E148&lt;&gt;"",N(AS148)=0),"розетка без 30 мА",""),IF(IFERROR(_xlfn.NUMBERVALUE(MID(Q148,FIND("-",Q148,FIND("L=",Q148))+1,FIND("%",Q148)-FIND("-",Q148,FIND("L=",Q148))-1),","),0)&gt;4,"потери &gt; 4 %","")))</f>
      </c>
      <c r="AF148" s="129">
        <f>IF(E148&lt;&gt;"",COUNTIFS($A$3:A148,A148,$E$3:E148,"?*"),IF(OR(A148&lt;&gt;A147,Y148="вручную"),"",AF147))</f>
      </c>
      <c r="AG148" s="129">
        <f t="shared" si="95"/>
      </c>
      <c r="AH148" s="129">
        <f t="shared" si="96"/>
        <v/>
      </c>
      <c r="AI148" s="129">
        <f t="shared" si="97"/>
        <v/>
      </c>
      <c r="AJ148" s="129">
        <f t="shared" si="98"/>
        <v/>
      </c>
      <c r="AK148" s="129">
        <f t="shared" si="99"/>
        <v/>
      </c>
      <c r="AL148" s="129">
        <f t="shared" si="100"/>
        <v/>
      </c>
      <c r="AM148" s="129">
        <f t="shared" si="101"/>
      </c>
      <c r="AN148" s="129">
        <f t="shared" si="102"/>
      </c>
      <c r="AO148" s="129">
        <f t="shared" si="103"/>
        <v/>
      </c>
      <c r="AP148" s="129">
        <f t="shared" si="104"/>
        <v/>
      </c>
      <c r="AQ148" s="129">
        <f t="shared" si="105"/>
        <v/>
      </c>
      <c r="AR148" s="129">
        <f t="shared" si="106"/>
        <v/>
      </c>
      <c r="AS148" s="129">
        <f t="shared" si="107"/>
        <v/>
      </c>
      <c r="AT148" s="129">
        <f t="shared" si="108"/>
        <v/>
      </c>
      <c r="AU148" s="129">
        <f t="shared" si="109"/>
        <v/>
      </c>
      <c r="AV148" s="129">
        <f t="shared" si="110"/>
        <v/>
      </c>
      <c r="AW148" s="129">
        <f>IF(AV148="","",AV148&amp;"."&amp;COUNTIFS($A$3:A148,A148,$AV$3:AV148,AV148))</f>
        <v/>
      </c>
      <c r="AX148" s="129">
        <f t="shared" si="111"/>
        <v/>
      </c>
      <c r="AY148" s="129">
        <f>IF(N148="б/к",0,IF(OR(ISNUMBER(SEARCH("L=",Разбивка_по_щитам!P148)),N148="+",N148="="),1,0))</f>
      </c>
      <c r="AZ148" s="129">
        <f t="shared" si="112"/>
      </c>
      <c r="BA148" s="129">
        <f t="shared" si="113"/>
      </c>
      <c r="BB148" s="129">
        <f t="shared" si="114"/>
      </c>
      <c r="BD148" s="129">
        <f t="shared" si="115"/>
      </c>
      <c r="BE148" s="129">
        <f t="shared" si="116"/>
      </c>
      <c r="BF148" s="129">
        <f t="shared" si="117"/>
      </c>
      <c r="BG148" s="129">
        <f t="shared" si="118"/>
        <v/>
      </c>
      <c r="BH148" s="129">
        <f t="shared" si="119"/>
        <v/>
      </c>
      <c r="BI148" s="129">
        <f t="shared" si="120"/>
        <v/>
      </c>
      <c r="BJ148" s="129">
        <f t="shared" si="121"/>
        <v/>
      </c>
      <c r="BK148" s="129">
        <f>IF(R148="","",IF(OR(BY148="",BY148=0),"BOX",IFERROR(IF(VLOOKUP(BY148,УГО_блоки,3,FALSE)&amp;""&lt;&gt;"",VLOOKUP(BY148,УГО_блоки,3,FALSE),VLOOKUP(BY148,УГО_блоки,2,FALSE)),BY148)))</f>
      </c>
      <c r="BL148" s="129">
        <f t="shared" si="123"/>
      </c>
      <c r="BM148" s="129">
        <f>IF(H148="","",IF(COUNTIF($H$3:H148,H148)=1,MAX($BM$2:BM147)+1,""))</f>
      </c>
      <c r="BN148" s="129">
        <f>IF(I148="","",IF(COUNTIF($I$3:I148,I148)+COUNTIF($J$2:J147,I148)+COUNTIF($K$2:K147,I148)=1,MAX($BN$2:BP147)+1,""))</f>
      </c>
      <c r="BO148" s="129">
        <f>IF(J148="","",IF(COUNTIF($I$3:I148,J148)+COUNTIF($J$3:J148,J148)+COUNTIF($K$2:K147,J148)=1,MAX($BN$2:BP147,BN148)+1,""))</f>
      </c>
      <c r="BP148" s="129">
        <f>IF(K148="","",IF(COUNTIF($I$3:I148,K148)+COUNTIF($J$3:J148,K148)+COUNTIF($K$3:K148,K148)=1,MAX($BN$2:BP147,BN148,BO148)+1,""))</f>
      </c>
      <c r="BQ148" s="129">
        <f>IF(AY148=1,IFERROR(MID(Q148,FIND(" (",Q148)+2,FIND(")",Q148,FIND(" (",Q148))-FIND(" (",Q148)-2),"?"),"")</f>
      </c>
      <c r="BR148" s="129">
        <f>IF(BQ148="","",IF(COUNTIF($BQ$3:BQ148,BQ148)=1,MAX($BR$2:BR147)+1,""))</f>
      </c>
      <c r="BS148" s="129">
        <f>IF(AW148="","",COUNTIF($AW$3:AW148,"?*"))</f>
      </c>
      <c r="BT148" s="129">
        <f>IF(OR(AW148="",AI148=""),"",IF(COUNTIFS($AW$3:AW148,"?*",$AI$3:AI148,AI148)=1,MAX($BT$2:BT147)+1,""))</f>
      </c>
      <c r="BU148" s="129">
        <f>IF(AE148="",0,IF(OR(ISNUMBER(SEARCH("дубль",AE148)),ISNUMBER(SEARCH("ПЕРЕГРУЗ",AE148)),ISNUMBER(SEARCH("ЗАЩИЩ",AE148)),ISNUMBER(SEARCH("КАНАЛ",AE148)),ISNUMBER(SEARCH("без 30",AE148))),2,1))</f>
      </c>
      <c r="BV148" s="129">
        <f>IF(R148="","",COUNTIF($R$3:R148,"?*"))</f>
      </c>
      <c r="BW148" s="129">
        <f>IF(AY148&lt;&gt;1,0,IF(MAX(IFERROR(--VLOOKUP(R148,УГО_спр,5,FALSE),0),IFERROR(--VLOOKUP(AL148,УГО_спр,5,FALSE),0),IFERROR(--VLOOKUP(LEFT(AL148,2),УГО_спр,5,FALSE),0))&gt;0,MAX(IFERROR(--VLOOKUP(R148,УГО_спр,5,FALSE),0),IFERROR(--VLOOKUP(AL148,УГО_спр,5,FALSE),0),IFERROR(--VLOOKUP(LEFT(AL148,2),УГО_спр,5,FALSE),0)),IF(IFERROR(--LEFT(SUBSTITUTE(BQ148,"x","х"),FIND("х",SUBSTITUTE(BQ148,"x","х"))-1),3)&gt;3,Каталог!$S$9,1)))</f>
      </c>
      <c r="BX148" s="129">
        <f>IF(AY148&lt;&gt;1,0,MAX(0,IFERROR(--LEFT(SUBSTITUTE(BQ148,"x","х"),FIND("х",SUBSTITUTE(BQ148,"x","х"))-1),3)-3*BW148))</f>
      </c>
      <c r="BY148" s="129">
        <f>IF(R148="","",IFERROR(VLOOKUP(R148,УГО_спр,2,FALSE),IFERROR(VLOOKUP(AL148,УГО_спр,2,FALSE),IFERROR(VLOOKUP(LEFT(AL148,2),УГО_спр,2,FALSE),""))))</f>
      </c>
    </row>
    <row r="149" spans="1:64" x14ac:dyDescent="0.3">
      <c r="A149" s="135">
        <f>IF(Разбивка_по_щитам!F149=0,"",Разбивка_по_щитам!F149)</f>
      </c>
      <c r="B149" s="138">
        <f>IF(A149="","",Разбивка_по_щитам!C149)</f>
      </c>
      <c r="C149" s="138">
        <f t="shared" si="86"/>
      </c>
      <c r="D149" s="266"/>
      <c r="E149" s="266"/>
      <c r="F149" s="267"/>
      <c r="G149" s="145">
        <f t="shared" si="87"/>
        <v/>
      </c>
      <c r="H149" s="145">
        <f t="shared" si="88"/>
        <v/>
      </c>
      <c r="I149" s="266"/>
      <c r="J149" s="267"/>
      <c r="K149" s="267"/>
      <c r="L149" s="266"/>
      <c r="M149" s="147">
        <f t="shared" si="124"/>
        <v/>
      </c>
      <c r="N149" s="267"/>
      <c r="O149" s="147">
        <f t="shared" si="125"/>
        <v/>
      </c>
      <c r="P149" s="268">
        <f>IF(AY149=1,"XT"&amp;COUNTIFS($A$3:A149,A149,$AY$3:AY149,1),"")</f>
        <v/>
      </c>
      <c r="Q149" s="152">
        <f>IF(R149="","",IFERROR(SUBSTITUTE(Разбивка_по_щитам!P149,CHAR(10)," "),""))</f>
        <v/>
      </c>
      <c r="R149" s="153">
        <f>IF(OR(Разбивка_по_щитам!H149="",Разбивка_по_щитам!H149=0),"",Разбивка_по_щитам!H149)</f>
        <v/>
      </c>
      <c r="S149" s="154">
        <f>IF(R149="","",IFERROR(Разбивка_по_щитам!J149&amp;"",""))</f>
        <v/>
      </c>
      <c r="T149" s="155">
        <f>IF(R149="","",IFERROR(--Разбивка_по_щитам!L149,""))</f>
        <v/>
      </c>
      <c r="U149" s="155">
        <f>IF(R149="","",IFERROR(--Разбивка_по_щитам!K149,""))</f>
        <v/>
      </c>
      <c r="V149" s="138">
        <f>IF(R149="","",IFERROR(IF(Разбивка_по_щитам!M149=0,"",Разбивка_по_щитам!M149),""))</f>
        <v/>
      </c>
      <c r="W149" s="156">
        <f t="shared" si="89"/>
        <v/>
      </c>
      <c r="X149" s="157">
        <f t="shared" si="90"/>
        <v/>
      </c>
      <c r="Y149" s="266"/>
      <c r="Z149" s="158">
        <f t="shared" si="91"/>
        <v/>
      </c>
      <c r="AA149" s="160">
        <f t="shared" si="92"/>
        <v/>
      </c>
      <c r="AB149" s="160">
        <f>IF(R149="","",IFERROR(LOOKUP(INDEX(Справочная!$I$4:$I$19,MATCH(VLOOKUP(R149,Исходные_данные,22,FALSE),Справочная!$J$4:$J$19,0)+1),{6,10,16,20,25,32,40,50,63,80,100,125}),""))</f>
        <v/>
      </c>
      <c r="AC149" s="160">
        <f t="shared" si="93"/>
        <v/>
      </c>
      <c r="AD149" s="161">
        <f t="shared" si="94"/>
        <v/>
      </c>
      <c r="AE149" s="161">
        <f>IF(AND(R149="",G149=""),"",_xlfn.TEXTJOIN("; ",TRUE,IF(AND(R149&lt;&gt;"",V149=""),"нет фазы",""),IF(AND(R149&lt;&gt;"",N(T149)=0),"нет мощности",""),IF(AND(P149&lt;&gt;"",COUNTIFS($A$3:$A$1000,A149,$P$3:$P$1000,P149)&gt;1),"дубль клеммы "&amp;P149,""),IF(AND(W149&lt;&gt;"",W149&lt;&gt;"ok"),W149,""),IF(X149&lt;&gt;"",X149,""),IF(AND(ISNUMBER(SEARCH("(5х",Q149)),N(AK149)=1),"5 жил на 1 фазе",""),IF(AND(AL149="R",E149&lt;&gt;"",N(AS149)=0),"розетка без 30 мА",""),IF(IFERROR(_xlfn.NUMBERVALUE(MID(Q149,FIND("-",Q149,FIND("L=",Q149))+1,FIND("%",Q149)-FIND("-",Q149,FIND("L=",Q149))-1),","),0)&gt;4,"потери &gt; 4 %","")))</f>
      </c>
      <c r="AF149" s="129">
        <f>IF(E149&lt;&gt;"",COUNTIFS($A$3:A149,A149,$E$3:E149,"?*"),IF(OR(A149&lt;&gt;A148,Y149="вручную"),"",AF148))</f>
      </c>
      <c r="AG149" s="129">
        <f t="shared" si="95"/>
      </c>
      <c r="AH149" s="129">
        <f t="shared" si="96"/>
        <v/>
      </c>
      <c r="AI149" s="129">
        <f t="shared" si="97"/>
        <v/>
      </c>
      <c r="AJ149" s="129">
        <f t="shared" si="98"/>
        <v/>
      </c>
      <c r="AK149" s="129">
        <f t="shared" si="99"/>
        <v/>
      </c>
      <c r="AL149" s="129">
        <f t="shared" si="100"/>
        <v/>
      </c>
      <c r="AM149" s="129">
        <f t="shared" si="101"/>
      </c>
      <c r="AN149" s="129">
        <f t="shared" si="102"/>
      </c>
      <c r="AO149" s="129">
        <f t="shared" si="103"/>
        <v/>
      </c>
      <c r="AP149" s="129">
        <f t="shared" si="104"/>
        <v/>
      </c>
      <c r="AQ149" s="129">
        <f t="shared" si="105"/>
        <v/>
      </c>
      <c r="AR149" s="129">
        <f t="shared" si="106"/>
        <v/>
      </c>
      <c r="AS149" s="129">
        <f t="shared" si="107"/>
        <v/>
      </c>
      <c r="AT149" s="129">
        <f t="shared" si="108"/>
        <v/>
      </c>
      <c r="AU149" s="129">
        <f t="shared" si="109"/>
        <v/>
      </c>
      <c r="AV149" s="129">
        <f t="shared" si="110"/>
        <v/>
      </c>
      <c r="AW149" s="129">
        <f>IF(AV149="","",AV149&amp;"."&amp;COUNTIFS($A$3:A149,A149,$AV$3:AV149,AV149))</f>
        <v/>
      </c>
      <c r="AX149" s="129">
        <f t="shared" si="111"/>
        <v/>
      </c>
      <c r="AY149" s="129">
        <f>IF(N149="б/к",0,IF(OR(ISNUMBER(SEARCH("L=",Разбивка_по_щитам!P149)),N149="+",N149="="),1,0))</f>
      </c>
      <c r="AZ149" s="129">
        <f t="shared" si="112"/>
      </c>
      <c r="BA149" s="129">
        <f t="shared" si="113"/>
      </c>
      <c r="BB149" s="129">
        <f t="shared" si="114"/>
      </c>
      <c r="BD149" s="129">
        <f t="shared" si="115"/>
      </c>
      <c r="BE149" s="129">
        <f t="shared" si="116"/>
      </c>
      <c r="BF149" s="129">
        <f t="shared" si="117"/>
      </c>
      <c r="BG149" s="129">
        <f t="shared" si="118"/>
        <v/>
      </c>
      <c r="BH149" s="129">
        <f t="shared" si="119"/>
        <v/>
      </c>
      <c r="BI149" s="129">
        <f t="shared" si="120"/>
        <v/>
      </c>
      <c r="BJ149" s="129">
        <f t="shared" si="121"/>
        <v/>
      </c>
      <c r="BK149" s="129">
        <f>IF(R149="","",IF(OR(BY149="",BY149=0),"BOX",IFERROR(IF(VLOOKUP(BY149,УГО_блоки,3,FALSE)&amp;""&lt;&gt;"",VLOOKUP(BY149,УГО_блоки,3,FALSE),VLOOKUP(BY149,УГО_блоки,2,FALSE)),BY149)))</f>
      </c>
      <c r="BL149" s="129">
        <f t="shared" si="123"/>
      </c>
      <c r="BM149" s="129">
        <f>IF(H149="","",IF(COUNTIF($H$3:H149,H149)=1,MAX($BM$2:BM148)+1,""))</f>
      </c>
      <c r="BN149" s="129">
        <f>IF(I149="","",IF(COUNTIF($I$3:I149,I149)+COUNTIF($J$2:J148,I149)+COUNTIF($K$2:K148,I149)=1,MAX($BN$2:BP148)+1,""))</f>
      </c>
      <c r="BO149" s="129">
        <f>IF(J149="","",IF(COUNTIF($I$3:I149,J149)+COUNTIF($J$3:J149,J149)+COUNTIF($K$2:K148,J149)=1,MAX($BN$2:BP148,BN149)+1,""))</f>
      </c>
      <c r="BP149" s="129">
        <f>IF(K149="","",IF(COUNTIF($I$3:I149,K149)+COUNTIF($J$3:J149,K149)+COUNTIF($K$3:K149,K149)=1,MAX($BN$2:BP148,BN149,BO149)+1,""))</f>
      </c>
      <c r="BQ149" s="129">
        <f>IF(AY149=1,IFERROR(MID(Q149,FIND(" (",Q149)+2,FIND(")",Q149,FIND(" (",Q149))-FIND(" (",Q149)-2),"?"),"")</f>
      </c>
      <c r="BR149" s="129">
        <f>IF(BQ149="","",IF(COUNTIF($BQ$3:BQ149,BQ149)=1,MAX($BR$2:BR148)+1,""))</f>
      </c>
      <c r="BS149" s="129">
        <f>IF(AW149="","",COUNTIF($AW$3:AW149,"?*"))</f>
      </c>
      <c r="BT149" s="129">
        <f>IF(OR(AW149="",AI149=""),"",IF(COUNTIFS($AW$3:AW149,"?*",$AI$3:AI149,AI149)=1,MAX($BT$2:BT148)+1,""))</f>
      </c>
      <c r="BU149" s="129">
        <f>IF(AE149="",0,IF(OR(ISNUMBER(SEARCH("дубль",AE149)),ISNUMBER(SEARCH("ПЕРЕГРУЗ",AE149)),ISNUMBER(SEARCH("ЗАЩИЩ",AE149)),ISNUMBER(SEARCH("КАНАЛ",AE149)),ISNUMBER(SEARCH("без 30",AE149))),2,1))</f>
      </c>
      <c r="BV149" s="129">
        <f>IF(R149="","",COUNTIF($R$3:R149,"?*"))</f>
      </c>
      <c r="BW149" s="129">
        <f>IF(AY149&lt;&gt;1,0,IF(MAX(IFERROR(--VLOOKUP(R149,УГО_спр,5,FALSE),0),IFERROR(--VLOOKUP(AL149,УГО_спр,5,FALSE),0),IFERROR(--VLOOKUP(LEFT(AL149,2),УГО_спр,5,FALSE),0))&gt;0,MAX(IFERROR(--VLOOKUP(R149,УГО_спр,5,FALSE),0),IFERROR(--VLOOKUP(AL149,УГО_спр,5,FALSE),0),IFERROR(--VLOOKUP(LEFT(AL149,2),УГО_спр,5,FALSE),0)),IF(IFERROR(--LEFT(SUBSTITUTE(BQ149,"x","х"),FIND("х",SUBSTITUTE(BQ149,"x","х"))-1),3)&gt;3,Каталог!$S$9,1)))</f>
      </c>
      <c r="BX149" s="129">
        <f>IF(AY149&lt;&gt;1,0,MAX(0,IFERROR(--LEFT(SUBSTITUTE(BQ149,"x","х"),FIND("х",SUBSTITUTE(BQ149,"x","х"))-1),3)-3*BW149))</f>
      </c>
      <c r="BY149" s="129">
        <f>IF(R149="","",IFERROR(VLOOKUP(R149,УГО_спр,2,FALSE),IFERROR(VLOOKUP(AL149,УГО_спр,2,FALSE),IFERROR(VLOOKUP(LEFT(AL149,2),УГО_спр,2,FALSE),""))))</f>
      </c>
    </row>
    <row r="150" spans="1:64" x14ac:dyDescent="0.3">
      <c r="A150" s="135">
        <f>IF(Разбивка_по_щитам!F150=0,"",Разбивка_по_щитам!F150)</f>
      </c>
      <c r="B150" s="138">
        <f>IF(A150="","",Разбивка_по_щитам!C150)</f>
      </c>
      <c r="C150" s="138">
        <f t="shared" si="86"/>
      </c>
      <c r="D150" s="266"/>
      <c r="E150" s="266"/>
      <c r="F150" s="267"/>
      <c r="G150" s="145">
        <f t="shared" si="87"/>
        <v/>
      </c>
      <c r="H150" s="145">
        <f t="shared" si="88"/>
        <v/>
      </c>
      <c r="I150" s="266"/>
      <c r="J150" s="267"/>
      <c r="K150" s="267"/>
      <c r="L150" s="266"/>
      <c r="M150" s="147">
        <f t="shared" si="124"/>
        <v/>
      </c>
      <c r="N150" s="267"/>
      <c r="O150" s="147">
        <f t="shared" si="125"/>
        <v/>
      </c>
      <c r="P150" s="268">
        <f>IF(AY150=1,"XT"&amp;COUNTIFS($A$3:A150,A150,$AY$3:AY150,1),"")</f>
        <v/>
      </c>
      <c r="Q150" s="152">
        <f>IF(R150="","",IFERROR(SUBSTITUTE(Разбивка_по_щитам!P150,CHAR(10)," "),""))</f>
        <v/>
      </c>
      <c r="R150" s="153">
        <f>IF(OR(Разбивка_по_щитам!H150="",Разбивка_по_щитам!H150=0),"",Разбивка_по_щитам!H150)</f>
        <v/>
      </c>
      <c r="S150" s="154">
        <f>IF(R150="","",IFERROR(Разбивка_по_щитам!J150&amp;"",""))</f>
        <v/>
      </c>
      <c r="T150" s="155">
        <f>IF(R150="","",IFERROR(--Разбивка_по_щитам!L150,""))</f>
        <v/>
      </c>
      <c r="U150" s="155">
        <f>IF(R150="","",IFERROR(--Разбивка_по_щитам!K150,""))</f>
        <v/>
      </c>
      <c r="V150" s="138">
        <f>IF(R150="","",IFERROR(IF(Разбивка_по_щитам!M150=0,"",Разбивка_по_щитам!M150),""))</f>
        <v/>
      </c>
      <c r="W150" s="156">
        <f t="shared" si="89"/>
        <v/>
      </c>
      <c r="X150" s="157">
        <f t="shared" si="90"/>
        <v/>
      </c>
      <c r="Y150" s="266"/>
      <c r="Z150" s="158">
        <f t="shared" si="91"/>
        <v/>
      </c>
      <c r="AA150" s="160">
        <f t="shared" si="92"/>
        <v/>
      </c>
      <c r="AB150" s="160">
        <f>IF(R150="","",IFERROR(LOOKUP(INDEX(Справочная!$I$4:$I$19,MATCH(VLOOKUP(R150,Исходные_данные,22,FALSE),Справочная!$J$4:$J$19,0)+1),{6,10,16,20,25,32,40,50,63,80,100,125}),""))</f>
        <v/>
      </c>
      <c r="AC150" s="160">
        <f t="shared" si="93"/>
        <v/>
      </c>
      <c r="AD150" s="161">
        <f t="shared" si="94"/>
        <v/>
      </c>
      <c r="AE150" s="161">
        <f>IF(AND(R150="",G150=""),"",_xlfn.TEXTJOIN("; ",TRUE,IF(AND(R150&lt;&gt;"",V150=""),"нет фазы",""),IF(AND(R150&lt;&gt;"",N(T150)=0),"нет мощности",""),IF(AND(P150&lt;&gt;"",COUNTIFS($A$3:$A$1000,A150,$P$3:$P$1000,P150)&gt;1),"дубль клеммы "&amp;P150,""),IF(AND(W150&lt;&gt;"",W150&lt;&gt;"ok"),W150,""),IF(X150&lt;&gt;"",X150,""),IF(AND(ISNUMBER(SEARCH("(5х",Q150)),N(AK150)=1),"5 жил на 1 фазе",""),IF(AND(AL150="R",E150&lt;&gt;"",N(AS150)=0),"розетка без 30 мА",""),IF(IFERROR(_xlfn.NUMBERVALUE(MID(Q150,FIND("-",Q150,FIND("L=",Q150))+1,FIND("%",Q150)-FIND("-",Q150,FIND("L=",Q150))-1),","),0)&gt;4,"потери &gt; 4 %","")))</f>
      </c>
      <c r="AF150" s="129">
        <f>IF(E150&lt;&gt;"",COUNTIFS($A$3:A150,A150,$E$3:E150,"?*"),IF(OR(A150&lt;&gt;A149,Y150="вручную"),"",AF149))</f>
      </c>
      <c r="AG150" s="129">
        <f t="shared" si="95"/>
      </c>
      <c r="AH150" s="129">
        <f t="shared" si="96"/>
        <v/>
      </c>
      <c r="AI150" s="129">
        <f t="shared" si="97"/>
        <v/>
      </c>
      <c r="AJ150" s="129">
        <f t="shared" si="98"/>
        <v/>
      </c>
      <c r="AK150" s="129">
        <f t="shared" si="99"/>
        <v/>
      </c>
      <c r="AL150" s="129">
        <f t="shared" si="100"/>
        <v/>
      </c>
      <c r="AM150" s="129">
        <f t="shared" si="101"/>
      </c>
      <c r="AN150" s="129">
        <f t="shared" si="102"/>
      </c>
      <c r="AO150" s="129">
        <f t="shared" si="103"/>
        <v/>
      </c>
      <c r="AP150" s="129">
        <f t="shared" si="104"/>
        <v/>
      </c>
      <c r="AQ150" s="129">
        <f t="shared" si="105"/>
        <v/>
      </c>
      <c r="AR150" s="129">
        <f t="shared" si="106"/>
        <v/>
      </c>
      <c r="AS150" s="129">
        <f t="shared" si="107"/>
        <v/>
      </c>
      <c r="AT150" s="129">
        <f t="shared" si="108"/>
        <v/>
      </c>
      <c r="AU150" s="129">
        <f t="shared" si="109"/>
        <v/>
      </c>
      <c r="AV150" s="129">
        <f t="shared" si="110"/>
        <v/>
      </c>
      <c r="AW150" s="129">
        <f>IF(AV150="","",AV150&amp;"."&amp;COUNTIFS($A$3:A150,A150,$AV$3:AV150,AV150))</f>
        <v/>
      </c>
      <c r="AX150" s="129">
        <f t="shared" si="111"/>
        <v/>
      </c>
      <c r="AY150" s="129">
        <f>IF(N150="б/к",0,IF(OR(ISNUMBER(SEARCH("L=",Разбивка_по_щитам!P150)),N150="+",N150="="),1,0))</f>
      </c>
      <c r="AZ150" s="129">
        <f t="shared" si="112"/>
      </c>
      <c r="BA150" s="129">
        <f t="shared" si="113"/>
      </c>
      <c r="BB150" s="129">
        <f t="shared" si="114"/>
      </c>
      <c r="BD150" s="129">
        <f t="shared" si="115"/>
      </c>
      <c r="BE150" s="129">
        <f t="shared" si="116"/>
      </c>
      <c r="BF150" s="129">
        <f t="shared" si="117"/>
      </c>
      <c r="BG150" s="129">
        <f t="shared" si="118"/>
        <v/>
      </c>
      <c r="BH150" s="129">
        <f t="shared" si="119"/>
        <v/>
      </c>
      <c r="BI150" s="129">
        <f t="shared" si="120"/>
        <v/>
      </c>
      <c r="BJ150" s="129">
        <f t="shared" si="121"/>
        <v/>
      </c>
      <c r="BK150" s="129">
        <f>IF(R150="","",IF(OR(BY150="",BY150=0),"BOX",IFERROR(IF(VLOOKUP(BY150,УГО_блоки,3,FALSE)&amp;""&lt;&gt;"",VLOOKUP(BY150,УГО_блоки,3,FALSE),VLOOKUP(BY150,УГО_блоки,2,FALSE)),BY150)))</f>
      </c>
      <c r="BL150" s="129">
        <f t="shared" si="123"/>
      </c>
      <c r="BM150" s="129">
        <f>IF(H150="","",IF(COUNTIF($H$3:H150,H150)=1,MAX($BM$2:BM149)+1,""))</f>
      </c>
      <c r="BN150" s="129">
        <f>IF(I150="","",IF(COUNTIF($I$3:I150,I150)+COUNTIF($J$2:J149,I150)+COUNTIF($K$2:K149,I150)=1,MAX($BN$2:BP149)+1,""))</f>
      </c>
      <c r="BO150" s="129">
        <f>IF(J150="","",IF(COUNTIF($I$3:I150,J150)+COUNTIF($J$3:J150,J150)+COUNTIF($K$2:K149,J150)=1,MAX($BN$2:BP149,BN150)+1,""))</f>
      </c>
      <c r="BP150" s="129">
        <f>IF(K150="","",IF(COUNTIF($I$3:I150,K150)+COUNTIF($J$3:J150,K150)+COUNTIF($K$3:K150,K150)=1,MAX($BN$2:BP149,BN150,BO150)+1,""))</f>
      </c>
      <c r="BQ150" s="129">
        <f>IF(AY150=1,IFERROR(MID(Q150,FIND(" (",Q150)+2,FIND(")",Q150,FIND(" (",Q150))-FIND(" (",Q150)-2),"?"),"")</f>
      </c>
      <c r="BR150" s="129">
        <f>IF(BQ150="","",IF(COUNTIF($BQ$3:BQ150,BQ150)=1,MAX($BR$2:BR149)+1,""))</f>
      </c>
      <c r="BS150" s="129">
        <f>IF(AW150="","",COUNTIF($AW$3:AW150,"?*"))</f>
      </c>
      <c r="BT150" s="129">
        <f>IF(OR(AW150="",AI150=""),"",IF(COUNTIFS($AW$3:AW150,"?*",$AI$3:AI150,AI150)=1,MAX($BT$2:BT149)+1,""))</f>
      </c>
      <c r="BU150" s="129">
        <f>IF(AE150="",0,IF(OR(ISNUMBER(SEARCH("дубль",AE150)),ISNUMBER(SEARCH("ПЕРЕГРУЗ",AE150)),ISNUMBER(SEARCH("ЗАЩИЩ",AE150)),ISNUMBER(SEARCH("КАНАЛ",AE150)),ISNUMBER(SEARCH("без 30",AE150))),2,1))</f>
      </c>
      <c r="BV150" s="129">
        <f>IF(R150="","",COUNTIF($R$3:R150,"?*"))</f>
      </c>
      <c r="BW150" s="129">
        <f>IF(AY150&lt;&gt;1,0,IF(MAX(IFERROR(--VLOOKUP(R150,УГО_спр,5,FALSE),0),IFERROR(--VLOOKUP(AL150,УГО_спр,5,FALSE),0),IFERROR(--VLOOKUP(LEFT(AL150,2),УГО_спр,5,FALSE),0))&gt;0,MAX(IFERROR(--VLOOKUP(R150,УГО_спр,5,FALSE),0),IFERROR(--VLOOKUP(AL150,УГО_спр,5,FALSE),0),IFERROR(--VLOOKUP(LEFT(AL150,2),УГО_спр,5,FALSE),0)),IF(IFERROR(--LEFT(SUBSTITUTE(BQ150,"x","х"),FIND("х",SUBSTITUTE(BQ150,"x","х"))-1),3)&gt;3,Каталог!$S$9,1)))</f>
      </c>
      <c r="BX150" s="129">
        <f>IF(AY150&lt;&gt;1,0,MAX(0,IFERROR(--LEFT(SUBSTITUTE(BQ150,"x","х"),FIND("х",SUBSTITUTE(BQ150,"x","х"))-1),3)-3*BW150))</f>
      </c>
      <c r="BY150" s="129">
        <f>IF(R150="","",IFERROR(VLOOKUP(R150,УГО_спр,2,FALSE),IFERROR(VLOOKUP(AL150,УГО_спр,2,FALSE),IFERROR(VLOOKUP(LEFT(AL150,2),УГО_спр,2,FALSE),""))))</f>
      </c>
    </row>
    <row r="151" spans="1:64" x14ac:dyDescent="0.3">
      <c r="A151" s="135">
        <f>IF(Разбивка_по_щитам!F151=0,"",Разбивка_по_щитам!F151)</f>
      </c>
      <c r="B151" s="138">
        <f>IF(A151="","",Разбивка_по_щитам!C151)</f>
      </c>
      <c r="C151" s="138">
        <f t="shared" si="86"/>
      </c>
      <c r="D151" s="266"/>
      <c r="E151" s="266"/>
      <c r="F151" s="267"/>
      <c r="G151" s="145">
        <f t="shared" si="87"/>
        <v/>
      </c>
      <c r="H151" s="145">
        <f t="shared" si="88"/>
        <v/>
      </c>
      <c r="I151" s="266"/>
      <c r="J151" s="267"/>
      <c r="K151" s="267"/>
      <c r="L151" s="266"/>
      <c r="M151" s="147">
        <f t="shared" si="124"/>
        <v/>
      </c>
      <c r="N151" s="267"/>
      <c r="O151" s="147">
        <f t="shared" si="125"/>
        <v/>
      </c>
      <c r="P151" s="268">
        <f>IF(AY151=1,"XT"&amp;COUNTIFS($A$3:A151,A151,$AY$3:AY151,1),"")</f>
        <v/>
      </c>
      <c r="Q151" s="152">
        <f>IF(R151="","",IFERROR(SUBSTITUTE(Разбивка_по_щитам!P151,CHAR(10)," "),""))</f>
        <v/>
      </c>
      <c r="R151" s="153">
        <f>IF(OR(Разбивка_по_щитам!H151="",Разбивка_по_щитам!H151=0),"",Разбивка_по_щитам!H151)</f>
        <v/>
      </c>
      <c r="S151" s="154">
        <f>IF(R151="","",IFERROR(Разбивка_по_щитам!J151&amp;"",""))</f>
        <v/>
      </c>
      <c r="T151" s="155">
        <f>IF(R151="","",IFERROR(--Разбивка_по_щитам!L151,""))</f>
        <v/>
      </c>
      <c r="U151" s="155">
        <f>IF(R151="","",IFERROR(--Разбивка_по_щитам!K151,""))</f>
        <v/>
      </c>
      <c r="V151" s="138">
        <f>IF(R151="","",IFERROR(IF(Разбивка_по_щитам!M151=0,"",Разбивка_по_щитам!M151),""))</f>
        <v/>
      </c>
      <c r="W151" s="156">
        <f t="shared" si="89"/>
        <v/>
      </c>
      <c r="X151" s="157">
        <f t="shared" si="90"/>
        <v/>
      </c>
      <c r="Y151" s="266"/>
      <c r="Z151" s="158">
        <f t="shared" si="91"/>
        <v/>
      </c>
      <c r="AA151" s="160">
        <f t="shared" si="92"/>
        <v/>
      </c>
      <c r="AB151" s="160">
        <f>IF(R151="","",IFERROR(LOOKUP(INDEX(Справочная!$I$4:$I$19,MATCH(VLOOKUP(R151,Исходные_данные,22,FALSE),Справочная!$J$4:$J$19,0)+1),{6,10,16,20,25,32,40,50,63,80,100,125}),""))</f>
        <v/>
      </c>
      <c r="AC151" s="160">
        <f t="shared" si="93"/>
        <v/>
      </c>
      <c r="AD151" s="161">
        <f t="shared" si="94"/>
        <v/>
      </c>
      <c r="AE151" s="161">
        <f>IF(AND(R151="",G151=""),"",_xlfn.TEXTJOIN("; ",TRUE,IF(AND(R151&lt;&gt;"",V151=""),"нет фазы",""),IF(AND(R151&lt;&gt;"",N(T151)=0),"нет мощности",""),IF(AND(P151&lt;&gt;"",COUNTIFS($A$3:$A$1000,A151,$P$3:$P$1000,P151)&gt;1),"дубль клеммы "&amp;P151,""),IF(AND(W151&lt;&gt;"",W151&lt;&gt;"ok"),W151,""),IF(X151&lt;&gt;"",X151,""),IF(AND(ISNUMBER(SEARCH("(5х",Q151)),N(AK151)=1),"5 жил на 1 фазе",""),IF(AND(AL151="R",E151&lt;&gt;"",N(AS151)=0),"розетка без 30 мА",""),IF(IFERROR(_xlfn.NUMBERVALUE(MID(Q151,FIND("-",Q151,FIND("L=",Q151))+1,FIND("%",Q151)-FIND("-",Q151,FIND("L=",Q151))-1),","),0)&gt;4,"потери &gt; 4 %","")))</f>
      </c>
      <c r="AF151" s="129">
        <f>IF(E151&lt;&gt;"",COUNTIFS($A$3:A151,A151,$E$3:E151,"?*"),IF(OR(A151&lt;&gt;A150,Y151="вручную"),"",AF150))</f>
      </c>
      <c r="AG151" s="129">
        <f t="shared" si="95"/>
      </c>
      <c r="AH151" s="129">
        <f t="shared" si="96"/>
        <v/>
      </c>
      <c r="AI151" s="129">
        <f t="shared" si="97"/>
        <v/>
      </c>
      <c r="AJ151" s="129">
        <f t="shared" si="98"/>
        <v/>
      </c>
      <c r="AK151" s="129">
        <f t="shared" si="99"/>
        <v/>
      </c>
      <c r="AL151" s="129">
        <f t="shared" si="100"/>
        <v/>
      </c>
      <c r="AM151" s="129">
        <f t="shared" si="101"/>
      </c>
      <c r="AN151" s="129">
        <f t="shared" si="102"/>
      </c>
      <c r="AO151" s="129">
        <f t="shared" si="103"/>
        <v/>
      </c>
      <c r="AP151" s="129">
        <f t="shared" si="104"/>
        <v/>
      </c>
      <c r="AQ151" s="129">
        <f t="shared" si="105"/>
        <v/>
      </c>
      <c r="AR151" s="129">
        <f t="shared" si="106"/>
        <v/>
      </c>
      <c r="AS151" s="129">
        <f t="shared" si="107"/>
        <v/>
      </c>
      <c r="AT151" s="129">
        <f t="shared" si="108"/>
        <v/>
      </c>
      <c r="AU151" s="129">
        <f t="shared" si="109"/>
        <v/>
      </c>
      <c r="AV151" s="129">
        <f t="shared" si="110"/>
        <v/>
      </c>
      <c r="AW151" s="129">
        <f>IF(AV151="","",AV151&amp;"."&amp;COUNTIFS($A$3:A151,A151,$AV$3:AV151,AV151))</f>
        <v/>
      </c>
      <c r="AX151" s="129">
        <f t="shared" si="111"/>
        <v/>
      </c>
      <c r="AY151" s="129">
        <f>IF(N151="б/к",0,IF(OR(ISNUMBER(SEARCH("L=",Разбивка_по_щитам!P151)),N151="+",N151="="),1,0))</f>
      </c>
      <c r="AZ151" s="129">
        <f t="shared" si="112"/>
      </c>
      <c r="BA151" s="129">
        <f t="shared" si="113"/>
      </c>
      <c r="BB151" s="129">
        <f t="shared" si="114"/>
      </c>
      <c r="BD151" s="129">
        <f t="shared" si="115"/>
      </c>
      <c r="BE151" s="129">
        <f t="shared" si="116"/>
      </c>
      <c r="BF151" s="129">
        <f t="shared" si="117"/>
      </c>
      <c r="BG151" s="129">
        <f t="shared" si="118"/>
        <v/>
      </c>
      <c r="BH151" s="129">
        <f t="shared" si="119"/>
        <v/>
      </c>
      <c r="BI151" s="129">
        <f t="shared" si="120"/>
        <v/>
      </c>
      <c r="BJ151" s="129">
        <f t="shared" si="121"/>
        <v/>
      </c>
      <c r="BK151" s="129">
        <f>IF(R151="","",IF(OR(BY151="",BY151=0),"BOX",IFERROR(IF(VLOOKUP(BY151,УГО_блоки,3,FALSE)&amp;""&lt;&gt;"",VLOOKUP(BY151,УГО_блоки,3,FALSE),VLOOKUP(BY151,УГО_блоки,2,FALSE)),BY151)))</f>
      </c>
      <c r="BL151" s="129">
        <f t="shared" si="123"/>
      </c>
      <c r="BM151" s="129">
        <f>IF(H151="","",IF(COUNTIF($H$3:H151,H151)=1,MAX($BM$2:BM150)+1,""))</f>
      </c>
      <c r="BN151" s="129">
        <f>IF(I151="","",IF(COUNTIF($I$3:I151,I151)+COUNTIF($J$2:J150,I151)+COUNTIF($K$2:K150,I151)=1,MAX($BN$2:BP150)+1,""))</f>
      </c>
      <c r="BO151" s="129">
        <f>IF(J151="","",IF(COUNTIF($I$3:I151,J151)+COUNTIF($J$3:J151,J151)+COUNTIF($K$2:K150,J151)=1,MAX($BN$2:BP150,BN151)+1,""))</f>
      </c>
      <c r="BP151" s="129">
        <f>IF(K151="","",IF(COUNTIF($I$3:I151,K151)+COUNTIF($J$3:J151,K151)+COUNTIF($K$3:K151,K151)=1,MAX($BN$2:BP150,BN151,BO151)+1,""))</f>
      </c>
      <c r="BQ151" s="129">
        <f>IF(AY151=1,IFERROR(MID(Q151,FIND(" (",Q151)+2,FIND(")",Q151,FIND(" (",Q151))-FIND(" (",Q151)-2),"?"),"")</f>
      </c>
      <c r="BR151" s="129">
        <f>IF(BQ151="","",IF(COUNTIF($BQ$3:BQ151,BQ151)=1,MAX($BR$2:BR150)+1,""))</f>
      </c>
      <c r="BS151" s="129">
        <f>IF(AW151="","",COUNTIF($AW$3:AW151,"?*"))</f>
      </c>
      <c r="BT151" s="129">
        <f>IF(OR(AW151="",AI151=""),"",IF(COUNTIFS($AW$3:AW151,"?*",$AI$3:AI151,AI151)=1,MAX($BT$2:BT150)+1,""))</f>
      </c>
      <c r="BU151" s="129">
        <f>IF(AE151="",0,IF(OR(ISNUMBER(SEARCH("дубль",AE151)),ISNUMBER(SEARCH("ПЕРЕГРУЗ",AE151)),ISNUMBER(SEARCH("ЗАЩИЩ",AE151)),ISNUMBER(SEARCH("КАНАЛ",AE151)),ISNUMBER(SEARCH("без 30",AE151))),2,1))</f>
      </c>
      <c r="BV151" s="129">
        <f>IF(R151="","",COUNTIF($R$3:R151,"?*"))</f>
      </c>
      <c r="BW151" s="129">
        <f>IF(AY151&lt;&gt;1,0,IF(MAX(IFERROR(--VLOOKUP(R151,УГО_спр,5,FALSE),0),IFERROR(--VLOOKUP(AL151,УГО_спр,5,FALSE),0),IFERROR(--VLOOKUP(LEFT(AL151,2),УГО_спр,5,FALSE),0))&gt;0,MAX(IFERROR(--VLOOKUP(R151,УГО_спр,5,FALSE),0),IFERROR(--VLOOKUP(AL151,УГО_спр,5,FALSE),0),IFERROR(--VLOOKUP(LEFT(AL151,2),УГО_спр,5,FALSE),0)),IF(IFERROR(--LEFT(SUBSTITUTE(BQ151,"x","х"),FIND("х",SUBSTITUTE(BQ151,"x","х"))-1),3)&gt;3,Каталог!$S$9,1)))</f>
      </c>
      <c r="BX151" s="129">
        <f>IF(AY151&lt;&gt;1,0,MAX(0,IFERROR(--LEFT(SUBSTITUTE(BQ151,"x","х"),FIND("х",SUBSTITUTE(BQ151,"x","х"))-1),3)-3*BW151))</f>
      </c>
      <c r="BY151" s="129">
        <f>IF(R151="","",IFERROR(VLOOKUP(R151,УГО_спр,2,FALSE),IFERROR(VLOOKUP(AL151,УГО_спр,2,FALSE),IFERROR(VLOOKUP(LEFT(AL151,2),УГО_спр,2,FALSE),""))))</f>
      </c>
    </row>
    <row r="152" spans="1:64" x14ac:dyDescent="0.3">
      <c r="A152" s="135">
        <f>IF(Разбивка_по_щитам!F152=0,"",Разбивка_по_щитам!F152)</f>
      </c>
      <c r="B152" s="138">
        <f>IF(A152="","",Разбивка_по_щитам!C152)</f>
      </c>
      <c r="C152" s="138">
        <f t="shared" si="86"/>
      </c>
      <c r="D152" s="266"/>
      <c r="E152" s="266"/>
      <c r="F152" s="267"/>
      <c r="G152" s="145">
        <f t="shared" si="87"/>
        <v/>
      </c>
      <c r="H152" s="145">
        <f t="shared" si="88"/>
        <v/>
      </c>
      <c r="I152" s="266"/>
      <c r="J152" s="267"/>
      <c r="K152" s="267"/>
      <c r="L152" s="266"/>
      <c r="M152" s="147">
        <f t="shared" si="124"/>
        <v/>
      </c>
      <c r="N152" s="267"/>
      <c r="O152" s="147">
        <f t="shared" si="125"/>
        <v/>
      </c>
      <c r="P152" s="268">
        <f>IF(AY152=1,"XT"&amp;COUNTIFS($A$3:A152,A152,$AY$3:AY152,1),"")</f>
        <v/>
      </c>
      <c r="Q152" s="152">
        <f>IF(R152="","",IFERROR(SUBSTITUTE(Разбивка_по_щитам!P152,CHAR(10)," "),""))</f>
        <v/>
      </c>
      <c r="R152" s="153">
        <f>IF(OR(Разбивка_по_щитам!H152="",Разбивка_по_щитам!H152=0),"",Разбивка_по_щитам!H152)</f>
        <v/>
      </c>
      <c r="S152" s="154">
        <f>IF(R152="","",IFERROR(Разбивка_по_щитам!J152&amp;"",""))</f>
        <v/>
      </c>
      <c r="T152" s="155">
        <f>IF(R152="","",IFERROR(--Разбивка_по_щитам!L152,""))</f>
        <v/>
      </c>
      <c r="U152" s="155">
        <f>IF(R152="","",IFERROR(--Разбивка_по_щитам!K152,""))</f>
        <v/>
      </c>
      <c r="V152" s="138">
        <f>IF(R152="","",IFERROR(IF(Разбивка_по_щитам!M152=0,"",Разбивка_по_щитам!M152),""))</f>
        <v/>
      </c>
      <c r="W152" s="156">
        <f t="shared" si="89"/>
        <v/>
      </c>
      <c r="X152" s="157">
        <f t="shared" si="90"/>
        <v/>
      </c>
      <c r="Y152" s="266"/>
      <c r="Z152" s="158">
        <f t="shared" si="91"/>
        <v/>
      </c>
      <c r="AA152" s="160">
        <f t="shared" si="92"/>
        <v/>
      </c>
      <c r="AB152" s="160">
        <f>IF(R152="","",IFERROR(LOOKUP(INDEX(Справочная!$I$4:$I$19,MATCH(VLOOKUP(R152,Исходные_данные,22,FALSE),Справочная!$J$4:$J$19,0)+1),{6,10,16,20,25,32,40,50,63,80,100,125}),""))</f>
        <v/>
      </c>
      <c r="AC152" s="160">
        <f t="shared" si="93"/>
        <v/>
      </c>
      <c r="AD152" s="161">
        <f t="shared" si="94"/>
        <v/>
      </c>
      <c r="AE152" s="161">
        <f>IF(AND(R152="",G152=""),"",_xlfn.TEXTJOIN("; ",TRUE,IF(AND(R152&lt;&gt;"",V152=""),"нет фазы",""),IF(AND(R152&lt;&gt;"",N(T152)=0),"нет мощности",""),IF(AND(P152&lt;&gt;"",COUNTIFS($A$3:$A$1000,A152,$P$3:$P$1000,P152)&gt;1),"дубль клеммы "&amp;P152,""),IF(AND(W152&lt;&gt;"",W152&lt;&gt;"ok"),W152,""),IF(X152&lt;&gt;"",X152,""),IF(AND(ISNUMBER(SEARCH("(5х",Q152)),N(AK152)=1),"5 жил на 1 фазе",""),IF(AND(AL152="R",E152&lt;&gt;"",N(AS152)=0),"розетка без 30 мА",""),IF(IFERROR(_xlfn.NUMBERVALUE(MID(Q152,FIND("-",Q152,FIND("L=",Q152))+1,FIND("%",Q152)-FIND("-",Q152,FIND("L=",Q152))-1),","),0)&gt;4,"потери &gt; 4 %","")))</f>
      </c>
      <c r="AF152" s="129">
        <f>IF(E152&lt;&gt;"",COUNTIFS($A$3:A152,A152,$E$3:E152,"?*"),IF(OR(A152&lt;&gt;A151,Y152="вручную"),"",AF151))</f>
      </c>
      <c r="AG152" s="129">
        <f t="shared" si="95"/>
      </c>
      <c r="AH152" s="129">
        <f t="shared" si="96"/>
        <v/>
      </c>
      <c r="AI152" s="129">
        <f t="shared" si="97"/>
        <v/>
      </c>
      <c r="AJ152" s="129">
        <f t="shared" si="98"/>
        <v/>
      </c>
      <c r="AK152" s="129">
        <f t="shared" si="99"/>
        <v/>
      </c>
      <c r="AL152" s="129">
        <f t="shared" si="100"/>
        <v/>
      </c>
      <c r="AM152" s="129">
        <f t="shared" si="101"/>
      </c>
      <c r="AN152" s="129">
        <f t="shared" si="102"/>
      </c>
      <c r="AO152" s="129">
        <f t="shared" si="103"/>
        <v/>
      </c>
      <c r="AP152" s="129">
        <f t="shared" si="104"/>
        <v/>
      </c>
      <c r="AQ152" s="129">
        <f t="shared" si="105"/>
        <v/>
      </c>
      <c r="AR152" s="129">
        <f t="shared" si="106"/>
        <v/>
      </c>
      <c r="AS152" s="129">
        <f t="shared" si="107"/>
        <v/>
      </c>
      <c r="AT152" s="129">
        <f t="shared" si="108"/>
        <v/>
      </c>
      <c r="AU152" s="129">
        <f t="shared" si="109"/>
        <v/>
      </c>
      <c r="AV152" s="129">
        <f t="shared" si="110"/>
        <v/>
      </c>
      <c r="AW152" s="129">
        <f>IF(AV152="","",AV152&amp;"."&amp;COUNTIFS($A$3:A152,A152,$AV$3:AV152,AV152))</f>
        <v/>
      </c>
      <c r="AX152" s="129">
        <f t="shared" si="111"/>
        <v/>
      </c>
      <c r="AY152" s="129">
        <f>IF(N152="б/к",0,IF(OR(ISNUMBER(SEARCH("L=",Разбивка_по_щитам!P152)),N152="+",N152="="),1,0))</f>
      </c>
      <c r="AZ152" s="129">
        <f t="shared" si="112"/>
      </c>
      <c r="BA152" s="129">
        <f t="shared" si="113"/>
      </c>
      <c r="BB152" s="129">
        <f t="shared" si="114"/>
      </c>
      <c r="BD152" s="129">
        <f t="shared" si="115"/>
      </c>
      <c r="BE152" s="129">
        <f t="shared" si="116"/>
      </c>
      <c r="BF152" s="129">
        <f t="shared" si="117"/>
      </c>
      <c r="BG152" s="129">
        <f t="shared" si="118"/>
        <v/>
      </c>
      <c r="BH152" s="129">
        <f t="shared" si="119"/>
        <v/>
      </c>
      <c r="BI152" s="129">
        <f t="shared" si="120"/>
        <v/>
      </c>
      <c r="BJ152" s="129">
        <f t="shared" si="121"/>
        <v/>
      </c>
      <c r="BK152" s="129">
        <f>IF(R152="","",IF(OR(BY152="",BY152=0),"BOX",IFERROR(IF(VLOOKUP(BY152,УГО_блоки,3,FALSE)&amp;""&lt;&gt;"",VLOOKUP(BY152,УГО_блоки,3,FALSE),VLOOKUP(BY152,УГО_блоки,2,FALSE)),BY152)))</f>
      </c>
      <c r="BL152" s="129">
        <f t="shared" si="123"/>
      </c>
      <c r="BM152" s="129">
        <f>IF(H152="","",IF(COUNTIF($H$3:H152,H152)=1,MAX($BM$2:BM151)+1,""))</f>
      </c>
      <c r="BN152" s="129">
        <f>IF(I152="","",IF(COUNTIF($I$3:I152,I152)+COUNTIF($J$2:J151,I152)+COUNTIF($K$2:K151,I152)=1,MAX($BN$2:BP151)+1,""))</f>
      </c>
      <c r="BO152" s="129">
        <f>IF(J152="","",IF(COUNTIF($I$3:I152,J152)+COUNTIF($J$3:J152,J152)+COUNTIF($K$2:K151,J152)=1,MAX($BN$2:BP151,BN152)+1,""))</f>
      </c>
      <c r="BP152" s="129">
        <f>IF(K152="","",IF(COUNTIF($I$3:I152,K152)+COUNTIF($J$3:J152,K152)+COUNTIF($K$3:K152,K152)=1,MAX($BN$2:BP151,BN152,BO152)+1,""))</f>
      </c>
      <c r="BQ152" s="129">
        <f>IF(AY152=1,IFERROR(MID(Q152,FIND(" (",Q152)+2,FIND(")",Q152,FIND(" (",Q152))-FIND(" (",Q152)-2),"?"),"")</f>
      </c>
      <c r="BR152" s="129">
        <f>IF(BQ152="","",IF(COUNTIF($BQ$3:BQ152,BQ152)=1,MAX($BR$2:BR151)+1,""))</f>
      </c>
      <c r="BS152" s="129">
        <f>IF(AW152="","",COUNTIF($AW$3:AW152,"?*"))</f>
      </c>
      <c r="BT152" s="129">
        <f>IF(OR(AW152="",AI152=""),"",IF(COUNTIFS($AW$3:AW152,"?*",$AI$3:AI152,AI152)=1,MAX($BT$2:BT151)+1,""))</f>
      </c>
      <c r="BU152" s="129">
        <f>IF(AE152="",0,IF(OR(ISNUMBER(SEARCH("дубль",AE152)),ISNUMBER(SEARCH("ПЕРЕГРУЗ",AE152)),ISNUMBER(SEARCH("ЗАЩИЩ",AE152)),ISNUMBER(SEARCH("КАНАЛ",AE152)),ISNUMBER(SEARCH("без 30",AE152))),2,1))</f>
      </c>
      <c r="BV152" s="129">
        <f>IF(R152="","",COUNTIF($R$3:R152,"?*"))</f>
      </c>
      <c r="BW152" s="129">
        <f>IF(AY152&lt;&gt;1,0,IF(MAX(IFERROR(--VLOOKUP(R152,УГО_спр,5,FALSE),0),IFERROR(--VLOOKUP(AL152,УГО_спр,5,FALSE),0),IFERROR(--VLOOKUP(LEFT(AL152,2),УГО_спр,5,FALSE),0))&gt;0,MAX(IFERROR(--VLOOKUP(R152,УГО_спр,5,FALSE),0),IFERROR(--VLOOKUP(AL152,УГО_спр,5,FALSE),0),IFERROR(--VLOOKUP(LEFT(AL152,2),УГО_спр,5,FALSE),0)),IF(IFERROR(--LEFT(SUBSTITUTE(BQ152,"x","х"),FIND("х",SUBSTITUTE(BQ152,"x","х"))-1),3)&gt;3,Каталог!$S$9,1)))</f>
      </c>
      <c r="BX152" s="129">
        <f>IF(AY152&lt;&gt;1,0,MAX(0,IFERROR(--LEFT(SUBSTITUTE(BQ152,"x","х"),FIND("х",SUBSTITUTE(BQ152,"x","х"))-1),3)-3*BW152))</f>
      </c>
      <c r="BY152" s="129">
        <f>IF(R152="","",IFERROR(VLOOKUP(R152,УГО_спр,2,FALSE),IFERROR(VLOOKUP(AL152,УГО_спр,2,FALSE),IFERROR(VLOOKUP(LEFT(AL152,2),УГО_спр,2,FALSE),""))))</f>
      </c>
    </row>
    <row r="153" spans="1:64" x14ac:dyDescent="0.3">
      <c r="A153" s="135">
        <f>IF(Разбивка_по_щитам!F153=0,"",Разбивка_по_щитам!F153)</f>
      </c>
      <c r="B153" s="138">
        <f>IF(A153="","",Разбивка_по_щитам!C153)</f>
      </c>
      <c r="C153" s="138">
        <f t="shared" si="86"/>
      </c>
      <c r="D153" s="266"/>
      <c r="E153" s="266"/>
      <c r="F153" s="267"/>
      <c r="G153" s="145">
        <f t="shared" si="87"/>
        <v/>
      </c>
      <c r="H153" s="145">
        <f t="shared" si="88"/>
        <v/>
      </c>
      <c r="I153" s="266"/>
      <c r="J153" s="267"/>
      <c r="K153" s="267"/>
      <c r="L153" s="266"/>
      <c r="M153" s="147">
        <f t="shared" si="124"/>
        <v/>
      </c>
      <c r="N153" s="267"/>
      <c r="O153" s="147">
        <f t="shared" si="125"/>
        <v/>
      </c>
      <c r="P153" s="268">
        <f>IF(AY153=1,"XT"&amp;COUNTIFS($A$3:A153,A153,$AY$3:AY153,1),"")</f>
        <v/>
      </c>
      <c r="Q153" s="152">
        <f>IF(R153="","",IFERROR(SUBSTITUTE(Разбивка_по_щитам!P153,CHAR(10)," "),""))</f>
        <v/>
      </c>
      <c r="R153" s="153">
        <f>IF(OR(Разбивка_по_щитам!H153="",Разбивка_по_щитам!H153=0),"",Разбивка_по_щитам!H153)</f>
        <v/>
      </c>
      <c r="S153" s="154">
        <f>IF(R153="","",IFERROR(Разбивка_по_щитам!J153&amp;"",""))</f>
        <v/>
      </c>
      <c r="T153" s="155">
        <f>IF(R153="","",IFERROR(--Разбивка_по_щитам!L153,""))</f>
        <v/>
      </c>
      <c r="U153" s="155">
        <f>IF(R153="","",IFERROR(--Разбивка_по_щитам!K153,""))</f>
        <v/>
      </c>
      <c r="V153" s="138">
        <f>IF(R153="","",IFERROR(IF(Разбивка_по_щитам!M153=0,"",Разбивка_по_щитам!M153),""))</f>
        <v/>
      </c>
      <c r="W153" s="156">
        <f t="shared" si="89"/>
        <v/>
      </c>
      <c r="X153" s="157">
        <f t="shared" si="90"/>
        <v/>
      </c>
      <c r="Y153" s="266"/>
      <c r="Z153" s="158">
        <f t="shared" si="91"/>
        <v/>
      </c>
      <c r="AA153" s="160">
        <f t="shared" si="92"/>
        <v/>
      </c>
      <c r="AB153" s="160">
        <f>IF(R153="","",IFERROR(LOOKUP(INDEX(Справочная!$I$4:$I$19,MATCH(VLOOKUP(R153,Исходные_данные,22,FALSE),Справочная!$J$4:$J$19,0)+1),{6,10,16,20,25,32,40,50,63,80,100,125}),""))</f>
        <v/>
      </c>
      <c r="AC153" s="160">
        <f t="shared" si="93"/>
        <v/>
      </c>
      <c r="AD153" s="161">
        <f t="shared" si="94"/>
        <v/>
      </c>
      <c r="AE153" s="161">
        <f>IF(AND(R153="",G153=""),"",_xlfn.TEXTJOIN("; ",TRUE,IF(AND(R153&lt;&gt;"",V153=""),"нет фазы",""),IF(AND(R153&lt;&gt;"",N(T153)=0),"нет мощности",""),IF(AND(P153&lt;&gt;"",COUNTIFS($A$3:$A$1000,A153,$P$3:$P$1000,P153)&gt;1),"дубль клеммы "&amp;P153,""),IF(AND(W153&lt;&gt;"",W153&lt;&gt;"ok"),W153,""),IF(X153&lt;&gt;"",X153,""),IF(AND(ISNUMBER(SEARCH("(5х",Q153)),N(AK153)=1),"5 жил на 1 фазе",""),IF(AND(AL153="R",E153&lt;&gt;"",N(AS153)=0),"розетка без 30 мА",""),IF(IFERROR(_xlfn.NUMBERVALUE(MID(Q153,FIND("-",Q153,FIND("L=",Q153))+1,FIND("%",Q153)-FIND("-",Q153,FIND("L=",Q153))-1),","),0)&gt;4,"потери &gt; 4 %","")))</f>
      </c>
      <c r="AF153" s="129">
        <f>IF(E153&lt;&gt;"",COUNTIFS($A$3:A153,A153,$E$3:E153,"?*"),IF(OR(A153&lt;&gt;A152,Y153="вручную"),"",AF152))</f>
      </c>
      <c r="AG153" s="129">
        <f t="shared" si="95"/>
      </c>
      <c r="AH153" s="129">
        <f t="shared" si="96"/>
        <v/>
      </c>
      <c r="AI153" s="129">
        <f t="shared" si="97"/>
        <v/>
      </c>
      <c r="AJ153" s="129">
        <f t="shared" si="98"/>
        <v/>
      </c>
      <c r="AK153" s="129">
        <f t="shared" si="99"/>
        <v/>
      </c>
      <c r="AL153" s="129">
        <f t="shared" si="100"/>
        <v/>
      </c>
      <c r="AM153" s="129">
        <f t="shared" si="101"/>
      </c>
      <c r="AN153" s="129">
        <f t="shared" si="102"/>
      </c>
      <c r="AO153" s="129">
        <f t="shared" si="103"/>
        <v/>
      </c>
      <c r="AP153" s="129">
        <f t="shared" si="104"/>
        <v/>
      </c>
      <c r="AQ153" s="129">
        <f t="shared" si="105"/>
        <v/>
      </c>
      <c r="AR153" s="129">
        <f t="shared" si="106"/>
        <v/>
      </c>
      <c r="AS153" s="129">
        <f t="shared" si="107"/>
        <v/>
      </c>
      <c r="AT153" s="129">
        <f t="shared" si="108"/>
        <v/>
      </c>
      <c r="AU153" s="129">
        <f t="shared" si="109"/>
        <v/>
      </c>
      <c r="AV153" s="129">
        <f t="shared" si="110"/>
        <v/>
      </c>
      <c r="AW153" s="129">
        <f>IF(AV153="","",AV153&amp;"."&amp;COUNTIFS($A$3:A153,A153,$AV$3:AV153,AV153))</f>
        <v/>
      </c>
      <c r="AX153" s="129">
        <f t="shared" si="111"/>
        <v/>
      </c>
      <c r="AY153" s="129">
        <f>IF(N153="б/к",0,IF(OR(ISNUMBER(SEARCH("L=",Разбивка_по_щитам!P153)),N153="+",N153="="),1,0))</f>
      </c>
      <c r="AZ153" s="129">
        <f t="shared" si="112"/>
      </c>
      <c r="BA153" s="129">
        <f t="shared" si="113"/>
      </c>
      <c r="BB153" s="129">
        <f t="shared" si="114"/>
      </c>
      <c r="BD153" s="129">
        <f t="shared" si="115"/>
      </c>
      <c r="BE153" s="129">
        <f t="shared" si="116"/>
      </c>
      <c r="BF153" s="129">
        <f t="shared" si="117"/>
      </c>
      <c r="BG153" s="129">
        <f t="shared" si="118"/>
        <v/>
      </c>
      <c r="BH153" s="129">
        <f t="shared" si="119"/>
        <v/>
      </c>
      <c r="BI153" s="129">
        <f t="shared" si="120"/>
        <v/>
      </c>
      <c r="BJ153" s="129">
        <f t="shared" si="121"/>
        <v/>
      </c>
      <c r="BK153" s="129">
        <f>IF(R153="","",IF(OR(BY153="",BY153=0),"BOX",IFERROR(IF(VLOOKUP(BY153,УГО_блоки,3,FALSE)&amp;""&lt;&gt;"",VLOOKUP(BY153,УГО_блоки,3,FALSE),VLOOKUP(BY153,УГО_блоки,2,FALSE)),BY153)))</f>
      </c>
      <c r="BL153" s="129">
        <f t="shared" si="123"/>
      </c>
      <c r="BM153" s="129">
        <f>IF(H153="","",IF(COUNTIF($H$3:H153,H153)=1,MAX($BM$2:BM152)+1,""))</f>
      </c>
      <c r="BN153" s="129">
        <f>IF(I153="","",IF(COUNTIF($I$3:I153,I153)+COUNTIF($J$2:J152,I153)+COUNTIF($K$2:K152,I153)=1,MAX($BN$2:BP152)+1,""))</f>
      </c>
      <c r="BO153" s="129">
        <f>IF(J153="","",IF(COUNTIF($I$3:I153,J153)+COUNTIF($J$3:J153,J153)+COUNTIF($K$2:K152,J153)=1,MAX($BN$2:BP152,BN153)+1,""))</f>
      </c>
      <c r="BP153" s="129">
        <f>IF(K153="","",IF(COUNTIF($I$3:I153,K153)+COUNTIF($J$3:J153,K153)+COUNTIF($K$3:K153,K153)=1,MAX($BN$2:BP152,BN153,BO153)+1,""))</f>
      </c>
      <c r="BQ153" s="129">
        <f>IF(AY153=1,IFERROR(MID(Q153,FIND(" (",Q153)+2,FIND(")",Q153,FIND(" (",Q153))-FIND(" (",Q153)-2),"?"),"")</f>
      </c>
      <c r="BR153" s="129">
        <f>IF(BQ153="","",IF(COUNTIF($BQ$3:BQ153,BQ153)=1,MAX($BR$2:BR152)+1,""))</f>
      </c>
      <c r="BS153" s="129">
        <f>IF(AW153="","",COUNTIF($AW$3:AW153,"?*"))</f>
      </c>
      <c r="BT153" s="129">
        <f>IF(OR(AW153="",AI153=""),"",IF(COUNTIFS($AW$3:AW153,"?*",$AI$3:AI153,AI153)=1,MAX($BT$2:BT152)+1,""))</f>
      </c>
      <c r="BU153" s="129">
        <f>IF(AE153="",0,IF(OR(ISNUMBER(SEARCH("дубль",AE153)),ISNUMBER(SEARCH("ПЕРЕГРУЗ",AE153)),ISNUMBER(SEARCH("ЗАЩИЩ",AE153)),ISNUMBER(SEARCH("КАНАЛ",AE153)),ISNUMBER(SEARCH("без 30",AE153))),2,1))</f>
      </c>
      <c r="BV153" s="129">
        <f>IF(R153="","",COUNTIF($R$3:R153,"?*"))</f>
      </c>
      <c r="BW153" s="129">
        <f>IF(AY153&lt;&gt;1,0,IF(MAX(IFERROR(--VLOOKUP(R153,УГО_спр,5,FALSE),0),IFERROR(--VLOOKUP(AL153,УГО_спр,5,FALSE),0),IFERROR(--VLOOKUP(LEFT(AL153,2),УГО_спр,5,FALSE),0))&gt;0,MAX(IFERROR(--VLOOKUP(R153,УГО_спр,5,FALSE),0),IFERROR(--VLOOKUP(AL153,УГО_спр,5,FALSE),0),IFERROR(--VLOOKUP(LEFT(AL153,2),УГО_спр,5,FALSE),0)),IF(IFERROR(--LEFT(SUBSTITUTE(BQ153,"x","х"),FIND("х",SUBSTITUTE(BQ153,"x","х"))-1),3)&gt;3,Каталог!$S$9,1)))</f>
      </c>
      <c r="BX153" s="129">
        <f>IF(AY153&lt;&gt;1,0,MAX(0,IFERROR(--LEFT(SUBSTITUTE(BQ153,"x","х"),FIND("х",SUBSTITUTE(BQ153,"x","х"))-1),3)-3*BW153))</f>
      </c>
      <c r="BY153" s="129">
        <f>IF(R153="","",IFERROR(VLOOKUP(R153,УГО_спр,2,FALSE),IFERROR(VLOOKUP(AL153,УГО_спр,2,FALSE),IFERROR(VLOOKUP(LEFT(AL153,2),УГО_спр,2,FALSE),""))))</f>
      </c>
    </row>
    <row r="154" spans="1:64" x14ac:dyDescent="0.3">
      <c r="A154" s="135">
        <f>IF(Разбивка_по_щитам!F154=0,"",Разбивка_по_щитам!F154)</f>
      </c>
      <c r="B154" s="138">
        <f>IF(A154="","",Разбивка_по_щитам!C154)</f>
      </c>
      <c r="C154" s="138">
        <f t="shared" si="86"/>
      </c>
      <c r="D154" s="266"/>
      <c r="E154" s="266"/>
      <c r="F154" s="267"/>
      <c r="G154" s="145">
        <f t="shared" si="87"/>
        <v/>
      </c>
      <c r="H154" s="145">
        <f t="shared" si="88"/>
        <v/>
      </c>
      <c r="I154" s="266"/>
      <c r="J154" s="267"/>
      <c r="K154" s="267"/>
      <c r="L154" s="266"/>
      <c r="M154" s="147">
        <f t="shared" si="124"/>
        <v/>
      </c>
      <c r="N154" s="267"/>
      <c r="O154" s="147">
        <f t="shared" si="125"/>
        <v/>
      </c>
      <c r="P154" s="268">
        <f>IF(AY154=1,"XT"&amp;COUNTIFS($A$3:A154,A154,$AY$3:AY154,1),"")</f>
        <v/>
      </c>
      <c r="Q154" s="152">
        <f>IF(R154="","",IFERROR(SUBSTITUTE(Разбивка_по_щитам!P154,CHAR(10)," "),""))</f>
        <v/>
      </c>
      <c r="R154" s="153">
        <f>IF(OR(Разбивка_по_щитам!H154="",Разбивка_по_щитам!H154=0),"",Разбивка_по_щитам!H154)</f>
        <v/>
      </c>
      <c r="S154" s="154">
        <f>IF(R154="","",IFERROR(Разбивка_по_щитам!J154&amp;"",""))</f>
        <v/>
      </c>
      <c r="T154" s="155">
        <f>IF(R154="","",IFERROR(--Разбивка_по_щитам!L154,""))</f>
        <v/>
      </c>
      <c r="U154" s="155">
        <f>IF(R154="","",IFERROR(--Разбивка_по_щитам!K154,""))</f>
        <v/>
      </c>
      <c r="V154" s="138">
        <f>IF(R154="","",IFERROR(IF(Разбивка_по_щитам!M154=0,"",Разбивка_по_щитам!M154),""))</f>
        <v/>
      </c>
      <c r="W154" s="156">
        <f t="shared" si="89"/>
        <v/>
      </c>
      <c r="X154" s="157">
        <f t="shared" si="90"/>
        <v/>
      </c>
      <c r="Y154" s="266"/>
      <c r="Z154" s="158">
        <f t="shared" si="91"/>
        <v/>
      </c>
      <c r="AA154" s="160">
        <f t="shared" si="92"/>
        <v/>
      </c>
      <c r="AB154" s="160">
        <f>IF(R154="","",IFERROR(LOOKUP(INDEX(Справочная!$I$4:$I$19,MATCH(VLOOKUP(R154,Исходные_данные,22,FALSE),Справочная!$J$4:$J$19,0)+1),{6,10,16,20,25,32,40,50,63,80,100,125}),""))</f>
        <v/>
      </c>
      <c r="AC154" s="160">
        <f t="shared" si="93"/>
        <v/>
      </c>
      <c r="AD154" s="161">
        <f t="shared" si="94"/>
        <v/>
      </c>
      <c r="AE154" s="161">
        <f>IF(AND(R154="",G154=""),"",_xlfn.TEXTJOIN("; ",TRUE,IF(AND(R154&lt;&gt;"",V154=""),"нет фазы",""),IF(AND(R154&lt;&gt;"",N(T154)=0),"нет мощности",""),IF(AND(P154&lt;&gt;"",COUNTIFS($A$3:$A$1000,A154,$P$3:$P$1000,P154)&gt;1),"дубль клеммы "&amp;P154,""),IF(AND(W154&lt;&gt;"",W154&lt;&gt;"ok"),W154,""),IF(X154&lt;&gt;"",X154,""),IF(AND(ISNUMBER(SEARCH("(5х",Q154)),N(AK154)=1),"5 жил на 1 фазе",""),IF(AND(AL154="R",E154&lt;&gt;"",N(AS154)=0),"розетка без 30 мА",""),IF(IFERROR(_xlfn.NUMBERVALUE(MID(Q154,FIND("-",Q154,FIND("L=",Q154))+1,FIND("%",Q154)-FIND("-",Q154,FIND("L=",Q154))-1),","),0)&gt;4,"потери &gt; 4 %","")))</f>
      </c>
      <c r="AF154" s="129">
        <f>IF(E154&lt;&gt;"",COUNTIFS($A$3:A154,A154,$E$3:E154,"?*"),IF(OR(A154&lt;&gt;A153,Y154="вручную"),"",AF153))</f>
      </c>
      <c r="AG154" s="129">
        <f t="shared" si="95"/>
      </c>
      <c r="AH154" s="129">
        <f t="shared" si="96"/>
        <v/>
      </c>
      <c r="AI154" s="129">
        <f t="shared" si="97"/>
        <v/>
      </c>
      <c r="AJ154" s="129">
        <f t="shared" si="98"/>
        <v/>
      </c>
      <c r="AK154" s="129">
        <f t="shared" si="99"/>
        <v/>
      </c>
      <c r="AL154" s="129">
        <f t="shared" si="100"/>
        <v/>
      </c>
      <c r="AM154" s="129">
        <f t="shared" si="101"/>
      </c>
      <c r="AN154" s="129">
        <f t="shared" si="102"/>
      </c>
      <c r="AO154" s="129">
        <f t="shared" si="103"/>
        <v/>
      </c>
      <c r="AP154" s="129">
        <f t="shared" si="104"/>
        <v/>
      </c>
      <c r="AQ154" s="129">
        <f t="shared" si="105"/>
        <v/>
      </c>
      <c r="AR154" s="129">
        <f t="shared" si="106"/>
        <v/>
      </c>
      <c r="AS154" s="129">
        <f t="shared" si="107"/>
        <v/>
      </c>
      <c r="AT154" s="129">
        <f t="shared" si="108"/>
        <v/>
      </c>
      <c r="AU154" s="129">
        <f t="shared" si="109"/>
        <v/>
      </c>
      <c r="AV154" s="129">
        <f t="shared" si="110"/>
        <v/>
      </c>
      <c r="AW154" s="129">
        <f>IF(AV154="","",AV154&amp;"."&amp;COUNTIFS($A$3:A154,A154,$AV$3:AV154,AV154))</f>
        <v/>
      </c>
      <c r="AX154" s="129">
        <f t="shared" si="111"/>
        <v/>
      </c>
      <c r="AY154" s="129">
        <f>IF(N154="б/к",0,IF(OR(ISNUMBER(SEARCH("L=",Разбивка_по_щитам!P154)),N154="+",N154="="),1,0))</f>
      </c>
      <c r="AZ154" s="129">
        <f t="shared" si="112"/>
      </c>
      <c r="BA154" s="129">
        <f t="shared" si="113"/>
      </c>
      <c r="BB154" s="129">
        <f t="shared" si="114"/>
      </c>
      <c r="BD154" s="129">
        <f t="shared" si="115"/>
      </c>
      <c r="BE154" s="129">
        <f t="shared" si="116"/>
      </c>
      <c r="BF154" s="129">
        <f t="shared" si="117"/>
      </c>
      <c r="BG154" s="129">
        <f t="shared" si="118"/>
        <v/>
      </c>
      <c r="BH154" s="129">
        <f t="shared" si="119"/>
        <v/>
      </c>
      <c r="BI154" s="129">
        <f t="shared" si="120"/>
        <v/>
      </c>
      <c r="BJ154" s="129">
        <f t="shared" si="121"/>
        <v/>
      </c>
      <c r="BK154" s="129">
        <f>IF(R154="","",IF(OR(BY154="",BY154=0),"BOX",IFERROR(IF(VLOOKUP(BY154,УГО_блоки,3,FALSE)&amp;""&lt;&gt;"",VLOOKUP(BY154,УГО_блоки,3,FALSE),VLOOKUP(BY154,УГО_блоки,2,FALSE)),BY154)))</f>
      </c>
      <c r="BL154" s="129">
        <f t="shared" si="123"/>
      </c>
      <c r="BM154" s="129">
        <f>IF(H154="","",IF(COUNTIF($H$3:H154,H154)=1,MAX($BM$2:BM153)+1,""))</f>
      </c>
      <c r="BN154" s="129">
        <f>IF(I154="","",IF(COUNTIF($I$3:I154,I154)+COUNTIF($J$2:J153,I154)+COUNTIF($K$2:K153,I154)=1,MAX($BN$2:BP153)+1,""))</f>
      </c>
      <c r="BO154" s="129">
        <f>IF(J154="","",IF(COUNTIF($I$3:I154,J154)+COUNTIF($J$3:J154,J154)+COUNTIF($K$2:K153,J154)=1,MAX($BN$2:BP153,BN154)+1,""))</f>
      </c>
      <c r="BP154" s="129">
        <f>IF(K154="","",IF(COUNTIF($I$3:I154,K154)+COUNTIF($J$3:J154,K154)+COUNTIF($K$3:K154,K154)=1,MAX($BN$2:BP153,BN154,BO154)+1,""))</f>
      </c>
      <c r="BQ154" s="129">
        <f>IF(AY154=1,IFERROR(MID(Q154,FIND(" (",Q154)+2,FIND(")",Q154,FIND(" (",Q154))-FIND(" (",Q154)-2),"?"),"")</f>
      </c>
      <c r="BR154" s="129">
        <f>IF(BQ154="","",IF(COUNTIF($BQ$3:BQ154,BQ154)=1,MAX($BR$2:BR153)+1,""))</f>
      </c>
      <c r="BS154" s="129">
        <f>IF(AW154="","",COUNTIF($AW$3:AW154,"?*"))</f>
      </c>
      <c r="BT154" s="129">
        <f>IF(OR(AW154="",AI154=""),"",IF(COUNTIFS($AW$3:AW154,"?*",$AI$3:AI154,AI154)=1,MAX($BT$2:BT153)+1,""))</f>
      </c>
      <c r="BU154" s="129">
        <f>IF(AE154="",0,IF(OR(ISNUMBER(SEARCH("дубль",AE154)),ISNUMBER(SEARCH("ПЕРЕГРУЗ",AE154)),ISNUMBER(SEARCH("ЗАЩИЩ",AE154)),ISNUMBER(SEARCH("КАНАЛ",AE154)),ISNUMBER(SEARCH("без 30",AE154))),2,1))</f>
      </c>
      <c r="BV154" s="129">
        <f>IF(R154="","",COUNTIF($R$3:R154,"?*"))</f>
      </c>
      <c r="BW154" s="129">
        <f>IF(AY154&lt;&gt;1,0,IF(MAX(IFERROR(--VLOOKUP(R154,УГО_спр,5,FALSE),0),IFERROR(--VLOOKUP(AL154,УГО_спр,5,FALSE),0),IFERROR(--VLOOKUP(LEFT(AL154,2),УГО_спр,5,FALSE),0))&gt;0,MAX(IFERROR(--VLOOKUP(R154,УГО_спр,5,FALSE),0),IFERROR(--VLOOKUP(AL154,УГО_спр,5,FALSE),0),IFERROR(--VLOOKUP(LEFT(AL154,2),УГО_спр,5,FALSE),0)),IF(IFERROR(--LEFT(SUBSTITUTE(BQ154,"x","х"),FIND("х",SUBSTITUTE(BQ154,"x","х"))-1),3)&gt;3,Каталог!$S$9,1)))</f>
      </c>
      <c r="BX154" s="129">
        <f>IF(AY154&lt;&gt;1,0,MAX(0,IFERROR(--LEFT(SUBSTITUTE(BQ154,"x","х"),FIND("х",SUBSTITUTE(BQ154,"x","х"))-1),3)-3*BW154))</f>
      </c>
      <c r="BY154" s="129">
        <f>IF(R154="","",IFERROR(VLOOKUP(R154,УГО_спр,2,FALSE),IFERROR(VLOOKUP(AL154,УГО_спр,2,FALSE),IFERROR(VLOOKUP(LEFT(AL154,2),УГО_спр,2,FALSE),""))))</f>
      </c>
    </row>
    <row r="155" spans="1:64" x14ac:dyDescent="0.3">
      <c r="A155" s="135">
        <f>IF(Разбивка_по_щитам!F155=0,"",Разбивка_по_щитам!F155)</f>
      </c>
      <c r="B155" s="138">
        <f>IF(A155="","",Разбивка_по_щитам!C155)</f>
      </c>
      <c r="C155" s="138">
        <f t="shared" si="86"/>
      </c>
      <c r="D155" s="266"/>
      <c r="E155" s="266"/>
      <c r="F155" s="267"/>
      <c r="G155" s="145">
        <f t="shared" si="87"/>
        <v/>
      </c>
      <c r="H155" s="145">
        <f t="shared" si="88"/>
        <v/>
      </c>
      <c r="I155" s="266"/>
      <c r="J155" s="267"/>
      <c r="K155" s="267"/>
      <c r="L155" s="266"/>
      <c r="M155" s="147">
        <f t="shared" si="124"/>
        <v/>
      </c>
      <c r="N155" s="267"/>
      <c r="O155" s="147">
        <f t="shared" si="125"/>
        <v/>
      </c>
      <c r="P155" s="268">
        <f>IF(AY155=1,"XT"&amp;COUNTIFS($A$3:A155,A155,$AY$3:AY155,1),"")</f>
        <v/>
      </c>
      <c r="Q155" s="152">
        <f>IF(R155="","",IFERROR(SUBSTITUTE(Разбивка_по_щитам!P155,CHAR(10)," "),""))</f>
        <v/>
      </c>
      <c r="R155" s="153">
        <f>IF(OR(Разбивка_по_щитам!H155="",Разбивка_по_щитам!H155=0),"",Разбивка_по_щитам!H155)</f>
        <v/>
      </c>
      <c r="S155" s="154">
        <f>IF(R155="","",IFERROR(Разбивка_по_щитам!J155&amp;"",""))</f>
        <v/>
      </c>
      <c r="T155" s="155">
        <f>IF(R155="","",IFERROR(--Разбивка_по_щитам!L155,""))</f>
        <v/>
      </c>
      <c r="U155" s="155">
        <f>IF(R155="","",IFERROR(--Разбивка_по_щитам!K155,""))</f>
        <v/>
      </c>
      <c r="V155" s="138">
        <f>IF(R155="","",IFERROR(IF(Разбивка_по_щитам!M155=0,"",Разбивка_по_щитам!M155),""))</f>
        <v/>
      </c>
      <c r="W155" s="156">
        <f t="shared" si="89"/>
        <v/>
      </c>
      <c r="X155" s="157">
        <f t="shared" si="90"/>
        <v/>
      </c>
      <c r="Y155" s="266"/>
      <c r="Z155" s="158">
        <f t="shared" si="91"/>
        <v/>
      </c>
      <c r="AA155" s="160">
        <f t="shared" si="92"/>
        <v/>
      </c>
      <c r="AB155" s="160">
        <f>IF(R155="","",IFERROR(LOOKUP(INDEX(Справочная!$I$4:$I$19,MATCH(VLOOKUP(R155,Исходные_данные,22,FALSE),Справочная!$J$4:$J$19,0)+1),{6,10,16,20,25,32,40,50,63,80,100,125}),""))</f>
        <v/>
      </c>
      <c r="AC155" s="160">
        <f t="shared" si="93"/>
        <v/>
      </c>
      <c r="AD155" s="161">
        <f t="shared" si="94"/>
        <v/>
      </c>
      <c r="AE155" s="161">
        <f>IF(AND(R155="",G155=""),"",_xlfn.TEXTJOIN("; ",TRUE,IF(AND(R155&lt;&gt;"",V155=""),"нет фазы",""),IF(AND(R155&lt;&gt;"",N(T155)=0),"нет мощности",""),IF(AND(P155&lt;&gt;"",COUNTIFS($A$3:$A$1000,A155,$P$3:$P$1000,P155)&gt;1),"дубль клеммы "&amp;P155,""),IF(AND(W155&lt;&gt;"",W155&lt;&gt;"ok"),W155,""),IF(X155&lt;&gt;"",X155,""),IF(AND(ISNUMBER(SEARCH("(5х",Q155)),N(AK155)=1),"5 жил на 1 фазе",""),IF(AND(AL155="R",E155&lt;&gt;"",N(AS155)=0),"розетка без 30 мА",""),IF(IFERROR(_xlfn.NUMBERVALUE(MID(Q155,FIND("-",Q155,FIND("L=",Q155))+1,FIND("%",Q155)-FIND("-",Q155,FIND("L=",Q155))-1),","),0)&gt;4,"потери &gt; 4 %","")))</f>
      </c>
      <c r="AF155" s="129">
        <f>IF(E155&lt;&gt;"",COUNTIFS($A$3:A155,A155,$E$3:E155,"?*"),IF(OR(A155&lt;&gt;A154,Y155="вручную"),"",AF154))</f>
      </c>
      <c r="AG155" s="129">
        <f t="shared" si="95"/>
      </c>
      <c r="AH155" s="129">
        <f t="shared" si="96"/>
        <v/>
      </c>
      <c r="AI155" s="129">
        <f t="shared" si="97"/>
        <v/>
      </c>
      <c r="AJ155" s="129">
        <f t="shared" si="98"/>
        <v/>
      </c>
      <c r="AK155" s="129">
        <f t="shared" si="99"/>
        <v/>
      </c>
      <c r="AL155" s="129">
        <f t="shared" si="100"/>
        <v/>
      </c>
      <c r="AM155" s="129">
        <f t="shared" si="101"/>
      </c>
      <c r="AN155" s="129">
        <f t="shared" si="102"/>
      </c>
      <c r="AO155" s="129">
        <f t="shared" si="103"/>
        <v/>
      </c>
      <c r="AP155" s="129">
        <f t="shared" si="104"/>
        <v/>
      </c>
      <c r="AQ155" s="129">
        <f t="shared" si="105"/>
        <v/>
      </c>
      <c r="AR155" s="129">
        <f t="shared" si="106"/>
        <v/>
      </c>
      <c r="AS155" s="129">
        <f t="shared" si="107"/>
        <v/>
      </c>
      <c r="AT155" s="129">
        <f t="shared" si="108"/>
        <v/>
      </c>
      <c r="AU155" s="129">
        <f t="shared" si="109"/>
        <v/>
      </c>
      <c r="AV155" s="129">
        <f t="shared" si="110"/>
        <v/>
      </c>
      <c r="AW155" s="129">
        <f>IF(AV155="","",AV155&amp;"."&amp;COUNTIFS($A$3:A155,A155,$AV$3:AV155,AV155))</f>
        <v/>
      </c>
      <c r="AX155" s="129">
        <f t="shared" si="111"/>
        <v/>
      </c>
      <c r="AY155" s="129">
        <f>IF(N155="б/к",0,IF(OR(ISNUMBER(SEARCH("L=",Разбивка_по_щитам!P155)),N155="+",N155="="),1,0))</f>
      </c>
      <c r="AZ155" s="129">
        <f t="shared" si="112"/>
      </c>
      <c r="BA155" s="129">
        <f t="shared" si="113"/>
      </c>
      <c r="BB155" s="129">
        <f t="shared" si="114"/>
      </c>
      <c r="BD155" s="129">
        <f t="shared" si="115"/>
      </c>
      <c r="BE155" s="129">
        <f t="shared" si="116"/>
      </c>
      <c r="BF155" s="129">
        <f t="shared" si="117"/>
      </c>
      <c r="BG155" s="129">
        <f t="shared" si="118"/>
        <v/>
      </c>
      <c r="BH155" s="129">
        <f t="shared" si="119"/>
        <v/>
      </c>
      <c r="BI155" s="129">
        <f t="shared" si="120"/>
        <v/>
      </c>
      <c r="BJ155" s="129">
        <f t="shared" si="121"/>
        <v/>
      </c>
      <c r="BK155" s="129">
        <f>IF(R155="","",IF(OR(BY155="",BY155=0),"BOX",IFERROR(IF(VLOOKUP(BY155,УГО_блоки,3,FALSE)&amp;""&lt;&gt;"",VLOOKUP(BY155,УГО_блоки,3,FALSE),VLOOKUP(BY155,УГО_блоки,2,FALSE)),BY155)))</f>
      </c>
      <c r="BL155" s="129">
        <f t="shared" si="123"/>
      </c>
      <c r="BM155" s="129">
        <f>IF(H155="","",IF(COUNTIF($H$3:H155,H155)=1,MAX($BM$2:BM154)+1,""))</f>
      </c>
      <c r="BN155" s="129">
        <f>IF(I155="","",IF(COUNTIF($I$3:I155,I155)+COUNTIF($J$2:J154,I155)+COUNTIF($K$2:K154,I155)=1,MAX($BN$2:BP154)+1,""))</f>
      </c>
      <c r="BO155" s="129">
        <f>IF(J155="","",IF(COUNTIF($I$3:I155,J155)+COUNTIF($J$3:J155,J155)+COUNTIF($K$2:K154,J155)=1,MAX($BN$2:BP154,BN155)+1,""))</f>
      </c>
      <c r="BP155" s="129">
        <f>IF(K155="","",IF(COUNTIF($I$3:I155,K155)+COUNTIF($J$3:J155,K155)+COUNTIF($K$3:K155,K155)=1,MAX($BN$2:BP154,BN155,BO155)+1,""))</f>
      </c>
      <c r="BQ155" s="129">
        <f>IF(AY155=1,IFERROR(MID(Q155,FIND(" (",Q155)+2,FIND(")",Q155,FIND(" (",Q155))-FIND(" (",Q155)-2),"?"),"")</f>
      </c>
      <c r="BR155" s="129">
        <f>IF(BQ155="","",IF(COUNTIF($BQ$3:BQ155,BQ155)=1,MAX($BR$2:BR154)+1,""))</f>
      </c>
      <c r="BS155" s="129">
        <f>IF(AW155="","",COUNTIF($AW$3:AW155,"?*"))</f>
      </c>
      <c r="BT155" s="129">
        <f>IF(OR(AW155="",AI155=""),"",IF(COUNTIFS($AW$3:AW155,"?*",$AI$3:AI155,AI155)=1,MAX($BT$2:BT154)+1,""))</f>
      </c>
      <c r="BU155" s="129">
        <f>IF(AE155="",0,IF(OR(ISNUMBER(SEARCH("дубль",AE155)),ISNUMBER(SEARCH("ПЕРЕГРУЗ",AE155)),ISNUMBER(SEARCH("ЗАЩИЩ",AE155)),ISNUMBER(SEARCH("КАНАЛ",AE155)),ISNUMBER(SEARCH("без 30",AE155))),2,1))</f>
      </c>
      <c r="BV155" s="129">
        <f>IF(R155="","",COUNTIF($R$3:R155,"?*"))</f>
      </c>
      <c r="BW155" s="129">
        <f>IF(AY155&lt;&gt;1,0,IF(MAX(IFERROR(--VLOOKUP(R155,УГО_спр,5,FALSE),0),IFERROR(--VLOOKUP(AL155,УГО_спр,5,FALSE),0),IFERROR(--VLOOKUP(LEFT(AL155,2),УГО_спр,5,FALSE),0))&gt;0,MAX(IFERROR(--VLOOKUP(R155,УГО_спр,5,FALSE),0),IFERROR(--VLOOKUP(AL155,УГО_спр,5,FALSE),0),IFERROR(--VLOOKUP(LEFT(AL155,2),УГО_спр,5,FALSE),0)),IF(IFERROR(--LEFT(SUBSTITUTE(BQ155,"x","х"),FIND("х",SUBSTITUTE(BQ155,"x","х"))-1),3)&gt;3,Каталог!$S$9,1)))</f>
      </c>
      <c r="BX155" s="129">
        <f>IF(AY155&lt;&gt;1,0,MAX(0,IFERROR(--LEFT(SUBSTITUTE(BQ155,"x","х"),FIND("х",SUBSTITUTE(BQ155,"x","х"))-1),3)-3*BW155))</f>
      </c>
      <c r="BY155" s="129">
        <f>IF(R155="","",IFERROR(VLOOKUP(R155,УГО_спр,2,FALSE),IFERROR(VLOOKUP(AL155,УГО_спр,2,FALSE),IFERROR(VLOOKUP(LEFT(AL155,2),УГО_спр,2,FALSE),""))))</f>
      </c>
    </row>
    <row r="156" spans="1:64" x14ac:dyDescent="0.3">
      <c r="A156" s="135">
        <f>IF(Разбивка_по_щитам!F156=0,"",Разбивка_по_щитам!F156)</f>
      </c>
      <c r="B156" s="138">
        <f>IF(A156="","",Разбивка_по_щитам!C156)</f>
      </c>
      <c r="C156" s="138">
        <f t="shared" si="86"/>
      </c>
      <c r="D156" s="266"/>
      <c r="E156" s="266"/>
      <c r="F156" s="267"/>
      <c r="G156" s="145">
        <f t="shared" si="87"/>
        <v/>
      </c>
      <c r="H156" s="145">
        <f t="shared" si="88"/>
        <v/>
      </c>
      <c r="I156" s="266"/>
      <c r="J156" s="267"/>
      <c r="K156" s="267"/>
      <c r="L156" s="266"/>
      <c r="M156" s="147">
        <f t="shared" si="124"/>
        <v/>
      </c>
      <c r="N156" s="267"/>
      <c r="O156" s="147">
        <f t="shared" si="125"/>
        <v/>
      </c>
      <c r="P156" s="268">
        <f>IF(AY156=1,"XT"&amp;COUNTIFS($A$3:A156,A156,$AY$3:AY156,1),"")</f>
        <v/>
      </c>
      <c r="Q156" s="152">
        <f>IF(R156="","",IFERROR(SUBSTITUTE(Разбивка_по_щитам!P156,CHAR(10)," "),""))</f>
        <v/>
      </c>
      <c r="R156" s="153">
        <f>IF(OR(Разбивка_по_щитам!H156="",Разбивка_по_щитам!H156=0),"",Разбивка_по_щитам!H156)</f>
        <v/>
      </c>
      <c r="S156" s="154">
        <f>IF(R156="","",IFERROR(Разбивка_по_щитам!J156&amp;"",""))</f>
        <v/>
      </c>
      <c r="T156" s="155">
        <f>IF(R156="","",IFERROR(--Разбивка_по_щитам!L156,""))</f>
        <v/>
      </c>
      <c r="U156" s="155">
        <f>IF(R156="","",IFERROR(--Разбивка_по_щитам!K156,""))</f>
        <v/>
      </c>
      <c r="V156" s="138">
        <f>IF(R156="","",IFERROR(IF(Разбивка_по_щитам!M156=0,"",Разбивка_по_щитам!M156),""))</f>
        <v/>
      </c>
      <c r="W156" s="156">
        <f t="shared" si="89"/>
        <v/>
      </c>
      <c r="X156" s="157">
        <f t="shared" si="90"/>
        <v/>
      </c>
      <c r="Y156" s="266"/>
      <c r="Z156" s="158">
        <f t="shared" si="91"/>
        <v/>
      </c>
      <c r="AA156" s="160">
        <f t="shared" si="92"/>
        <v/>
      </c>
      <c r="AB156" s="160">
        <f>IF(R156="","",IFERROR(LOOKUP(INDEX(Справочная!$I$4:$I$19,MATCH(VLOOKUP(R156,Исходные_данные,22,FALSE),Справочная!$J$4:$J$19,0)+1),{6,10,16,20,25,32,40,50,63,80,100,125}),""))</f>
        <v/>
      </c>
      <c r="AC156" s="160">
        <f t="shared" si="93"/>
        <v/>
      </c>
      <c r="AD156" s="161">
        <f t="shared" si="94"/>
        <v/>
      </c>
      <c r="AE156" s="161">
        <f>IF(AND(R156="",G156=""),"",_xlfn.TEXTJOIN("; ",TRUE,IF(AND(R156&lt;&gt;"",V156=""),"нет фазы",""),IF(AND(R156&lt;&gt;"",N(T156)=0),"нет мощности",""),IF(AND(P156&lt;&gt;"",COUNTIFS($A$3:$A$1000,A156,$P$3:$P$1000,P156)&gt;1),"дубль клеммы "&amp;P156,""),IF(AND(W156&lt;&gt;"",W156&lt;&gt;"ok"),W156,""),IF(X156&lt;&gt;"",X156,""),IF(AND(ISNUMBER(SEARCH("(5х",Q156)),N(AK156)=1),"5 жил на 1 фазе",""),IF(AND(AL156="R",E156&lt;&gt;"",N(AS156)=0),"розетка без 30 мА",""),IF(IFERROR(_xlfn.NUMBERVALUE(MID(Q156,FIND("-",Q156,FIND("L=",Q156))+1,FIND("%",Q156)-FIND("-",Q156,FIND("L=",Q156))-1),","),0)&gt;4,"потери &gt; 4 %","")))</f>
      </c>
      <c r="AF156" s="129">
        <f>IF(E156&lt;&gt;"",COUNTIFS($A$3:A156,A156,$E$3:E156,"?*"),IF(OR(A156&lt;&gt;A155,Y156="вручную"),"",AF155))</f>
      </c>
      <c r="AG156" s="129">
        <f t="shared" si="95"/>
      </c>
      <c r="AH156" s="129">
        <f t="shared" si="96"/>
        <v/>
      </c>
      <c r="AI156" s="129">
        <f t="shared" si="97"/>
        <v/>
      </c>
      <c r="AJ156" s="129">
        <f t="shared" si="98"/>
        <v/>
      </c>
      <c r="AK156" s="129">
        <f t="shared" si="99"/>
        <v/>
      </c>
      <c r="AL156" s="129">
        <f t="shared" si="100"/>
        <v/>
      </c>
      <c r="AM156" s="129">
        <f t="shared" si="101"/>
      </c>
      <c r="AN156" s="129">
        <f t="shared" si="102"/>
      </c>
      <c r="AO156" s="129">
        <f t="shared" si="103"/>
        <v/>
      </c>
      <c r="AP156" s="129">
        <f t="shared" si="104"/>
        <v/>
      </c>
      <c r="AQ156" s="129">
        <f t="shared" si="105"/>
        <v/>
      </c>
      <c r="AR156" s="129">
        <f t="shared" si="106"/>
        <v/>
      </c>
      <c r="AS156" s="129">
        <f t="shared" si="107"/>
        <v/>
      </c>
      <c r="AT156" s="129">
        <f t="shared" si="108"/>
        <v/>
      </c>
      <c r="AU156" s="129">
        <f t="shared" si="109"/>
        <v/>
      </c>
      <c r="AV156" s="129">
        <f t="shared" si="110"/>
        <v/>
      </c>
      <c r="AW156" s="129">
        <f>IF(AV156="","",AV156&amp;"."&amp;COUNTIFS($A$3:A156,A156,$AV$3:AV156,AV156))</f>
        <v/>
      </c>
      <c r="AX156" s="129">
        <f t="shared" si="111"/>
        <v/>
      </c>
      <c r="AY156" s="129">
        <f>IF(N156="б/к",0,IF(OR(ISNUMBER(SEARCH("L=",Разбивка_по_щитам!P156)),N156="+",N156="="),1,0))</f>
      </c>
      <c r="AZ156" s="129">
        <f t="shared" si="112"/>
      </c>
      <c r="BA156" s="129">
        <f t="shared" si="113"/>
      </c>
      <c r="BB156" s="129">
        <f t="shared" si="114"/>
      </c>
      <c r="BD156" s="129">
        <f t="shared" si="115"/>
      </c>
      <c r="BE156" s="129">
        <f t="shared" si="116"/>
      </c>
      <c r="BF156" s="129">
        <f t="shared" si="117"/>
      </c>
      <c r="BG156" s="129">
        <f t="shared" si="118"/>
        <v/>
      </c>
      <c r="BH156" s="129">
        <f t="shared" si="119"/>
        <v/>
      </c>
      <c r="BI156" s="129">
        <f t="shared" si="120"/>
        <v/>
      </c>
      <c r="BJ156" s="129">
        <f t="shared" si="121"/>
        <v/>
      </c>
      <c r="BK156" s="129">
        <f>IF(R156="","",IF(OR(BY156="",BY156=0),"BOX",IFERROR(IF(VLOOKUP(BY156,УГО_блоки,3,FALSE)&amp;""&lt;&gt;"",VLOOKUP(BY156,УГО_блоки,3,FALSE),VLOOKUP(BY156,УГО_блоки,2,FALSE)),BY156)))</f>
      </c>
      <c r="BL156" s="129">
        <f t="shared" si="123"/>
      </c>
      <c r="BM156" s="129">
        <f>IF(H156="","",IF(COUNTIF($H$3:H156,H156)=1,MAX($BM$2:BM155)+1,""))</f>
      </c>
      <c r="BN156" s="129">
        <f>IF(I156="","",IF(COUNTIF($I$3:I156,I156)+COUNTIF($J$2:J155,I156)+COUNTIF($K$2:K155,I156)=1,MAX($BN$2:BP155)+1,""))</f>
      </c>
      <c r="BO156" s="129">
        <f>IF(J156="","",IF(COUNTIF($I$3:I156,J156)+COUNTIF($J$3:J156,J156)+COUNTIF($K$2:K155,J156)=1,MAX($BN$2:BP155,BN156)+1,""))</f>
      </c>
      <c r="BP156" s="129">
        <f>IF(K156="","",IF(COUNTIF($I$3:I156,K156)+COUNTIF($J$3:J156,K156)+COUNTIF($K$3:K156,K156)=1,MAX($BN$2:BP155,BN156,BO156)+1,""))</f>
      </c>
      <c r="BQ156" s="129">
        <f>IF(AY156=1,IFERROR(MID(Q156,FIND(" (",Q156)+2,FIND(")",Q156,FIND(" (",Q156))-FIND(" (",Q156)-2),"?"),"")</f>
      </c>
      <c r="BR156" s="129">
        <f>IF(BQ156="","",IF(COUNTIF($BQ$3:BQ156,BQ156)=1,MAX($BR$2:BR155)+1,""))</f>
      </c>
      <c r="BS156" s="129">
        <f>IF(AW156="","",COUNTIF($AW$3:AW156,"?*"))</f>
      </c>
      <c r="BT156" s="129">
        <f>IF(OR(AW156="",AI156=""),"",IF(COUNTIFS($AW$3:AW156,"?*",$AI$3:AI156,AI156)=1,MAX($BT$2:BT155)+1,""))</f>
      </c>
      <c r="BU156" s="129">
        <f>IF(AE156="",0,IF(OR(ISNUMBER(SEARCH("дубль",AE156)),ISNUMBER(SEARCH("ПЕРЕГРУЗ",AE156)),ISNUMBER(SEARCH("ЗАЩИЩ",AE156)),ISNUMBER(SEARCH("КАНАЛ",AE156)),ISNUMBER(SEARCH("без 30",AE156))),2,1))</f>
      </c>
      <c r="BV156" s="129">
        <f>IF(R156="","",COUNTIF($R$3:R156,"?*"))</f>
      </c>
      <c r="BW156" s="129">
        <f>IF(AY156&lt;&gt;1,0,IF(MAX(IFERROR(--VLOOKUP(R156,УГО_спр,5,FALSE),0),IFERROR(--VLOOKUP(AL156,УГО_спр,5,FALSE),0),IFERROR(--VLOOKUP(LEFT(AL156,2),УГО_спр,5,FALSE),0))&gt;0,MAX(IFERROR(--VLOOKUP(R156,УГО_спр,5,FALSE),0),IFERROR(--VLOOKUP(AL156,УГО_спр,5,FALSE),0),IFERROR(--VLOOKUP(LEFT(AL156,2),УГО_спр,5,FALSE),0)),IF(IFERROR(--LEFT(SUBSTITUTE(BQ156,"x","х"),FIND("х",SUBSTITUTE(BQ156,"x","х"))-1),3)&gt;3,Каталог!$S$9,1)))</f>
      </c>
      <c r="BX156" s="129">
        <f>IF(AY156&lt;&gt;1,0,MAX(0,IFERROR(--LEFT(SUBSTITUTE(BQ156,"x","х"),FIND("х",SUBSTITUTE(BQ156,"x","х"))-1),3)-3*BW156))</f>
      </c>
      <c r="BY156" s="129">
        <f>IF(R156="","",IFERROR(VLOOKUP(R156,УГО_спр,2,FALSE),IFERROR(VLOOKUP(AL156,УГО_спр,2,FALSE),IFERROR(VLOOKUP(LEFT(AL156,2),УГО_спр,2,FALSE),""))))</f>
      </c>
    </row>
    <row r="157" spans="1:64" x14ac:dyDescent="0.3">
      <c r="A157" s="135">
        <f>IF(Разбивка_по_щитам!F157=0,"",Разбивка_по_щитам!F157)</f>
      </c>
      <c r="B157" s="138">
        <f>IF(A157="","",Разбивка_по_щитам!C157)</f>
      </c>
      <c r="C157" s="138">
        <f t="shared" si="86"/>
      </c>
      <c r="D157" s="266"/>
      <c r="E157" s="266"/>
      <c r="F157" s="267"/>
      <c r="G157" s="145">
        <f t="shared" si="87"/>
        <v/>
      </c>
      <c r="H157" s="145">
        <f t="shared" si="88"/>
        <v/>
      </c>
      <c r="I157" s="266"/>
      <c r="J157" s="267"/>
      <c r="K157" s="267"/>
      <c r="L157" s="266"/>
      <c r="M157" s="147">
        <f t="shared" si="124"/>
        <v/>
      </c>
      <c r="N157" s="267"/>
      <c r="O157" s="147">
        <f t="shared" si="125"/>
        <v/>
      </c>
      <c r="P157" s="268">
        <f>IF(AY157=1,"XT"&amp;COUNTIFS($A$3:A157,A157,$AY$3:AY157,1),"")</f>
        <v/>
      </c>
      <c r="Q157" s="152">
        <f>IF(R157="","",IFERROR(SUBSTITUTE(Разбивка_по_щитам!P157,CHAR(10)," "),""))</f>
        <v/>
      </c>
      <c r="R157" s="153">
        <f>IF(OR(Разбивка_по_щитам!H157="",Разбивка_по_щитам!H157=0),"",Разбивка_по_щитам!H157)</f>
        <v/>
      </c>
      <c r="S157" s="154">
        <f>IF(R157="","",IFERROR(Разбивка_по_щитам!J157&amp;"",""))</f>
        <v/>
      </c>
      <c r="T157" s="155">
        <f>IF(R157="","",IFERROR(--Разбивка_по_щитам!L157,""))</f>
        <v/>
      </c>
      <c r="U157" s="155">
        <f>IF(R157="","",IFERROR(--Разбивка_по_щитам!K157,""))</f>
        <v/>
      </c>
      <c r="V157" s="138">
        <f>IF(R157="","",IFERROR(IF(Разбивка_по_щитам!M157=0,"",Разбивка_по_щитам!M157),""))</f>
        <v/>
      </c>
      <c r="W157" s="156">
        <f t="shared" si="89"/>
        <v/>
      </c>
      <c r="X157" s="157">
        <f t="shared" si="90"/>
        <v/>
      </c>
      <c r="Y157" s="266"/>
      <c r="Z157" s="158">
        <f t="shared" si="91"/>
        <v/>
      </c>
      <c r="AA157" s="160">
        <f t="shared" si="92"/>
        <v/>
      </c>
      <c r="AB157" s="160">
        <f>IF(R157="","",IFERROR(LOOKUP(INDEX(Справочная!$I$4:$I$19,MATCH(VLOOKUP(R157,Исходные_данные,22,FALSE),Справочная!$J$4:$J$19,0)+1),{6,10,16,20,25,32,40,50,63,80,100,125}),""))</f>
        <v/>
      </c>
      <c r="AC157" s="160">
        <f t="shared" si="93"/>
        <v/>
      </c>
      <c r="AD157" s="161">
        <f t="shared" si="94"/>
        <v/>
      </c>
      <c r="AE157" s="161">
        <f>IF(AND(R157="",G157=""),"",_xlfn.TEXTJOIN("; ",TRUE,IF(AND(R157&lt;&gt;"",V157=""),"нет фазы",""),IF(AND(R157&lt;&gt;"",N(T157)=0),"нет мощности",""),IF(AND(P157&lt;&gt;"",COUNTIFS($A$3:$A$1000,A157,$P$3:$P$1000,P157)&gt;1),"дубль клеммы "&amp;P157,""),IF(AND(W157&lt;&gt;"",W157&lt;&gt;"ok"),W157,""),IF(X157&lt;&gt;"",X157,""),IF(AND(ISNUMBER(SEARCH("(5х",Q157)),N(AK157)=1),"5 жил на 1 фазе",""),IF(AND(AL157="R",E157&lt;&gt;"",N(AS157)=0),"розетка без 30 мА",""),IF(IFERROR(_xlfn.NUMBERVALUE(MID(Q157,FIND("-",Q157,FIND("L=",Q157))+1,FIND("%",Q157)-FIND("-",Q157,FIND("L=",Q157))-1),","),0)&gt;4,"потери &gt; 4 %","")))</f>
      </c>
      <c r="AF157" s="129">
        <f>IF(E157&lt;&gt;"",COUNTIFS($A$3:A157,A157,$E$3:E157,"?*"),IF(OR(A157&lt;&gt;A156,Y157="вручную"),"",AF156))</f>
      </c>
      <c r="AG157" s="129">
        <f t="shared" si="95"/>
      </c>
      <c r="AH157" s="129">
        <f t="shared" si="96"/>
        <v/>
      </c>
      <c r="AI157" s="129">
        <f t="shared" si="97"/>
        <v/>
      </c>
      <c r="AJ157" s="129">
        <f t="shared" si="98"/>
        <v/>
      </c>
      <c r="AK157" s="129">
        <f t="shared" si="99"/>
        <v/>
      </c>
      <c r="AL157" s="129">
        <f t="shared" si="100"/>
        <v/>
      </c>
      <c r="AM157" s="129">
        <f t="shared" si="101"/>
      </c>
      <c r="AN157" s="129">
        <f t="shared" si="102"/>
      </c>
      <c r="AO157" s="129">
        <f t="shared" si="103"/>
        <v/>
      </c>
      <c r="AP157" s="129">
        <f t="shared" si="104"/>
        <v/>
      </c>
      <c r="AQ157" s="129">
        <f t="shared" si="105"/>
        <v/>
      </c>
      <c r="AR157" s="129">
        <f t="shared" si="106"/>
        <v/>
      </c>
      <c r="AS157" s="129">
        <f t="shared" si="107"/>
        <v/>
      </c>
      <c r="AT157" s="129">
        <f t="shared" si="108"/>
        <v/>
      </c>
      <c r="AU157" s="129">
        <f t="shared" si="109"/>
        <v/>
      </c>
      <c r="AV157" s="129">
        <f t="shared" si="110"/>
        <v/>
      </c>
      <c r="AW157" s="129">
        <f>IF(AV157="","",AV157&amp;"."&amp;COUNTIFS($A$3:A157,A157,$AV$3:AV157,AV157))</f>
        <v/>
      </c>
      <c r="AX157" s="129">
        <f t="shared" si="111"/>
        <v/>
      </c>
      <c r="AY157" s="129">
        <f>IF(N157="б/к",0,IF(OR(ISNUMBER(SEARCH("L=",Разбивка_по_щитам!P157)),N157="+",N157="="),1,0))</f>
      </c>
      <c r="AZ157" s="129">
        <f t="shared" si="112"/>
      </c>
      <c r="BA157" s="129">
        <f t="shared" si="113"/>
      </c>
      <c r="BB157" s="129">
        <f t="shared" si="114"/>
      </c>
      <c r="BD157" s="129">
        <f t="shared" si="115"/>
      </c>
      <c r="BE157" s="129">
        <f t="shared" si="116"/>
      </c>
      <c r="BF157" s="129">
        <f t="shared" si="117"/>
      </c>
      <c r="BG157" s="129">
        <f t="shared" si="118"/>
        <v/>
      </c>
      <c r="BH157" s="129">
        <f t="shared" si="119"/>
        <v/>
      </c>
      <c r="BI157" s="129">
        <f t="shared" si="120"/>
        <v/>
      </c>
      <c r="BJ157" s="129">
        <f t="shared" si="121"/>
        <v/>
      </c>
      <c r="BK157" s="129">
        <f>IF(R157="","",IF(OR(BY157="",BY157=0),"BOX",IFERROR(IF(VLOOKUP(BY157,УГО_блоки,3,FALSE)&amp;""&lt;&gt;"",VLOOKUP(BY157,УГО_блоки,3,FALSE),VLOOKUP(BY157,УГО_блоки,2,FALSE)),BY157)))</f>
      </c>
      <c r="BL157" s="129">
        <f t="shared" si="123"/>
      </c>
      <c r="BM157" s="129">
        <f>IF(H157="","",IF(COUNTIF($H$3:H157,H157)=1,MAX($BM$2:BM156)+1,""))</f>
      </c>
      <c r="BN157" s="129">
        <f>IF(I157="","",IF(COUNTIF($I$3:I157,I157)+COUNTIF($J$2:J156,I157)+COUNTIF($K$2:K156,I157)=1,MAX($BN$2:BP156)+1,""))</f>
      </c>
      <c r="BO157" s="129">
        <f>IF(J157="","",IF(COUNTIF($I$3:I157,J157)+COUNTIF($J$3:J157,J157)+COUNTIF($K$2:K156,J157)=1,MAX($BN$2:BP156,BN157)+1,""))</f>
      </c>
      <c r="BP157" s="129">
        <f>IF(K157="","",IF(COUNTIF($I$3:I157,K157)+COUNTIF($J$3:J157,K157)+COUNTIF($K$3:K157,K157)=1,MAX($BN$2:BP156,BN157,BO157)+1,""))</f>
      </c>
      <c r="BQ157" s="129">
        <f>IF(AY157=1,IFERROR(MID(Q157,FIND(" (",Q157)+2,FIND(")",Q157,FIND(" (",Q157))-FIND(" (",Q157)-2),"?"),"")</f>
      </c>
      <c r="BR157" s="129">
        <f>IF(BQ157="","",IF(COUNTIF($BQ$3:BQ157,BQ157)=1,MAX($BR$2:BR156)+1,""))</f>
      </c>
      <c r="BS157" s="129">
        <f>IF(AW157="","",COUNTIF($AW$3:AW157,"?*"))</f>
      </c>
      <c r="BT157" s="129">
        <f>IF(OR(AW157="",AI157=""),"",IF(COUNTIFS($AW$3:AW157,"?*",$AI$3:AI157,AI157)=1,MAX($BT$2:BT156)+1,""))</f>
      </c>
      <c r="BU157" s="129">
        <f>IF(AE157="",0,IF(OR(ISNUMBER(SEARCH("дубль",AE157)),ISNUMBER(SEARCH("ПЕРЕГРУЗ",AE157)),ISNUMBER(SEARCH("ЗАЩИЩ",AE157)),ISNUMBER(SEARCH("КАНАЛ",AE157)),ISNUMBER(SEARCH("без 30",AE157))),2,1))</f>
      </c>
      <c r="BV157" s="129">
        <f>IF(R157="","",COUNTIF($R$3:R157,"?*"))</f>
      </c>
      <c r="BW157" s="129">
        <f>IF(AY157&lt;&gt;1,0,IF(MAX(IFERROR(--VLOOKUP(R157,УГО_спр,5,FALSE),0),IFERROR(--VLOOKUP(AL157,УГО_спр,5,FALSE),0),IFERROR(--VLOOKUP(LEFT(AL157,2),УГО_спр,5,FALSE),0))&gt;0,MAX(IFERROR(--VLOOKUP(R157,УГО_спр,5,FALSE),0),IFERROR(--VLOOKUP(AL157,УГО_спр,5,FALSE),0),IFERROR(--VLOOKUP(LEFT(AL157,2),УГО_спр,5,FALSE),0)),IF(IFERROR(--LEFT(SUBSTITUTE(BQ157,"x","х"),FIND("х",SUBSTITUTE(BQ157,"x","х"))-1),3)&gt;3,Каталог!$S$9,1)))</f>
      </c>
      <c r="BX157" s="129">
        <f>IF(AY157&lt;&gt;1,0,MAX(0,IFERROR(--LEFT(SUBSTITUTE(BQ157,"x","х"),FIND("х",SUBSTITUTE(BQ157,"x","х"))-1),3)-3*BW157))</f>
      </c>
      <c r="BY157" s="129">
        <f>IF(R157="","",IFERROR(VLOOKUP(R157,УГО_спр,2,FALSE),IFERROR(VLOOKUP(AL157,УГО_спр,2,FALSE),IFERROR(VLOOKUP(LEFT(AL157,2),УГО_спр,2,FALSE),""))))</f>
      </c>
    </row>
    <row r="158" spans="1:64" x14ac:dyDescent="0.3">
      <c r="A158" s="135">
        <f>IF(Разбивка_по_щитам!F158=0,"",Разбивка_по_щитам!F158)</f>
      </c>
      <c r="B158" s="138">
        <f>IF(A158="","",Разбивка_по_щитам!C158)</f>
      </c>
      <c r="C158" s="138">
        <f t="shared" si="86"/>
      </c>
      <c r="D158" s="266"/>
      <c r="E158" s="266"/>
      <c r="F158" s="267"/>
      <c r="G158" s="145">
        <f t="shared" si="87"/>
        <v/>
      </c>
      <c r="H158" s="145">
        <f t="shared" si="88"/>
        <v/>
      </c>
      <c r="I158" s="266"/>
      <c r="J158" s="267"/>
      <c r="K158" s="267"/>
      <c r="L158" s="266"/>
      <c r="M158" s="147">
        <f t="shared" si="124"/>
        <v/>
      </c>
      <c r="N158" s="267"/>
      <c r="O158" s="147">
        <f t="shared" si="125"/>
        <v/>
      </c>
      <c r="P158" s="268">
        <f>IF(AY158=1,"XT"&amp;COUNTIFS($A$3:A158,A158,$AY$3:AY158,1),"")</f>
        <v/>
      </c>
      <c r="Q158" s="152">
        <f>IF(R158="","",IFERROR(SUBSTITUTE(Разбивка_по_щитам!P158,CHAR(10)," "),""))</f>
        <v/>
      </c>
      <c r="R158" s="153">
        <f>IF(OR(Разбивка_по_щитам!H158="",Разбивка_по_щитам!H158=0),"",Разбивка_по_щитам!H158)</f>
        <v/>
      </c>
      <c r="S158" s="154">
        <f>IF(R158="","",IFERROR(Разбивка_по_щитам!J158&amp;"",""))</f>
        <v/>
      </c>
      <c r="T158" s="155">
        <f>IF(R158="","",IFERROR(--Разбивка_по_щитам!L158,""))</f>
        <v/>
      </c>
      <c r="U158" s="155">
        <f>IF(R158="","",IFERROR(--Разбивка_по_щитам!K158,""))</f>
        <v/>
      </c>
      <c r="V158" s="138">
        <f>IF(R158="","",IFERROR(IF(Разбивка_по_щитам!M158=0,"",Разбивка_по_щитам!M158),""))</f>
        <v/>
      </c>
      <c r="W158" s="156">
        <f t="shared" si="89"/>
        <v/>
      </c>
      <c r="X158" s="157">
        <f t="shared" si="90"/>
        <v/>
      </c>
      <c r="Y158" s="266"/>
      <c r="Z158" s="158">
        <f t="shared" si="91"/>
        <v/>
      </c>
      <c r="AA158" s="160">
        <f t="shared" si="92"/>
        <v/>
      </c>
      <c r="AB158" s="160">
        <f>IF(R158="","",IFERROR(LOOKUP(INDEX(Справочная!$I$4:$I$19,MATCH(VLOOKUP(R158,Исходные_данные,22,FALSE),Справочная!$J$4:$J$19,0)+1),{6,10,16,20,25,32,40,50,63,80,100,125}),""))</f>
        <v/>
      </c>
      <c r="AC158" s="160">
        <f t="shared" si="93"/>
        <v/>
      </c>
      <c r="AD158" s="161">
        <f t="shared" si="94"/>
        <v/>
      </c>
      <c r="AE158" s="161">
        <f>IF(AND(R158="",G158=""),"",_xlfn.TEXTJOIN("; ",TRUE,IF(AND(R158&lt;&gt;"",V158=""),"нет фазы",""),IF(AND(R158&lt;&gt;"",N(T158)=0),"нет мощности",""),IF(AND(P158&lt;&gt;"",COUNTIFS($A$3:$A$1000,A158,$P$3:$P$1000,P158)&gt;1),"дубль клеммы "&amp;P158,""),IF(AND(W158&lt;&gt;"",W158&lt;&gt;"ok"),W158,""),IF(X158&lt;&gt;"",X158,""),IF(AND(ISNUMBER(SEARCH("(5х",Q158)),N(AK158)=1),"5 жил на 1 фазе",""),IF(AND(AL158="R",E158&lt;&gt;"",N(AS158)=0),"розетка без 30 мА",""),IF(IFERROR(_xlfn.NUMBERVALUE(MID(Q158,FIND("-",Q158,FIND("L=",Q158))+1,FIND("%",Q158)-FIND("-",Q158,FIND("L=",Q158))-1),","),0)&gt;4,"потери &gt; 4 %","")))</f>
      </c>
      <c r="AF158" s="129">
        <f>IF(E158&lt;&gt;"",COUNTIFS($A$3:A158,A158,$E$3:E158,"?*"),IF(OR(A158&lt;&gt;A157,Y158="вручную"),"",AF157))</f>
      </c>
      <c r="AG158" s="129">
        <f t="shared" si="95"/>
      </c>
      <c r="AH158" s="129">
        <f t="shared" si="96"/>
        <v/>
      </c>
      <c r="AI158" s="129">
        <f t="shared" si="97"/>
        <v/>
      </c>
      <c r="AJ158" s="129">
        <f t="shared" si="98"/>
        <v/>
      </c>
      <c r="AK158" s="129">
        <f t="shared" si="99"/>
        <v/>
      </c>
      <c r="AL158" s="129">
        <f t="shared" si="100"/>
        <v/>
      </c>
      <c r="AM158" s="129">
        <f t="shared" si="101"/>
      </c>
      <c r="AN158" s="129">
        <f t="shared" si="102"/>
      </c>
      <c r="AO158" s="129">
        <f t="shared" si="103"/>
        <v/>
      </c>
      <c r="AP158" s="129">
        <f t="shared" si="104"/>
        <v/>
      </c>
      <c r="AQ158" s="129">
        <f t="shared" si="105"/>
        <v/>
      </c>
      <c r="AR158" s="129">
        <f t="shared" si="106"/>
        <v/>
      </c>
      <c r="AS158" s="129">
        <f t="shared" si="107"/>
        <v/>
      </c>
      <c r="AT158" s="129">
        <f t="shared" si="108"/>
        <v/>
      </c>
      <c r="AU158" s="129">
        <f t="shared" si="109"/>
        <v/>
      </c>
      <c r="AV158" s="129">
        <f t="shared" si="110"/>
        <v/>
      </c>
      <c r="AW158" s="129">
        <f>IF(AV158="","",AV158&amp;"."&amp;COUNTIFS($A$3:A158,A158,$AV$3:AV158,AV158))</f>
        <v/>
      </c>
      <c r="AX158" s="129">
        <f t="shared" si="111"/>
        <v/>
      </c>
      <c r="AY158" s="129">
        <f>IF(N158="б/к",0,IF(OR(ISNUMBER(SEARCH("L=",Разбивка_по_щитам!P158)),N158="+",N158="="),1,0))</f>
      </c>
      <c r="AZ158" s="129">
        <f t="shared" si="112"/>
      </c>
      <c r="BA158" s="129">
        <f t="shared" si="113"/>
      </c>
      <c r="BB158" s="129">
        <f t="shared" si="114"/>
      </c>
      <c r="BD158" s="129">
        <f t="shared" si="115"/>
      </c>
      <c r="BE158" s="129">
        <f t="shared" si="116"/>
      </c>
      <c r="BF158" s="129">
        <f t="shared" si="117"/>
      </c>
      <c r="BG158" s="129">
        <f t="shared" si="118"/>
        <v/>
      </c>
      <c r="BH158" s="129">
        <f t="shared" si="119"/>
        <v/>
      </c>
      <c r="BI158" s="129">
        <f t="shared" si="120"/>
        <v/>
      </c>
      <c r="BJ158" s="129">
        <f t="shared" si="121"/>
        <v/>
      </c>
      <c r="BK158" s="129">
        <f>IF(R158="","",IF(OR(BY158="",BY158=0),"BOX",IFERROR(IF(VLOOKUP(BY158,УГО_блоки,3,FALSE)&amp;""&lt;&gt;"",VLOOKUP(BY158,УГО_блоки,3,FALSE),VLOOKUP(BY158,УГО_блоки,2,FALSE)),BY158)))</f>
      </c>
      <c r="BL158" s="129">
        <f t="shared" si="123"/>
      </c>
      <c r="BM158" s="129">
        <f>IF(H158="","",IF(COUNTIF($H$3:H158,H158)=1,MAX($BM$2:BM157)+1,""))</f>
      </c>
      <c r="BN158" s="129">
        <f>IF(I158="","",IF(COUNTIF($I$3:I158,I158)+COUNTIF($J$2:J157,I158)+COUNTIF($K$2:K157,I158)=1,MAX($BN$2:BP157)+1,""))</f>
      </c>
      <c r="BO158" s="129">
        <f>IF(J158="","",IF(COUNTIF($I$3:I158,J158)+COUNTIF($J$3:J158,J158)+COUNTIF($K$2:K157,J158)=1,MAX($BN$2:BP157,BN158)+1,""))</f>
      </c>
      <c r="BP158" s="129">
        <f>IF(K158="","",IF(COUNTIF($I$3:I158,K158)+COUNTIF($J$3:J158,K158)+COUNTIF($K$3:K158,K158)=1,MAX($BN$2:BP157,BN158,BO158)+1,""))</f>
      </c>
      <c r="BQ158" s="129">
        <f>IF(AY158=1,IFERROR(MID(Q158,FIND(" (",Q158)+2,FIND(")",Q158,FIND(" (",Q158))-FIND(" (",Q158)-2),"?"),"")</f>
      </c>
      <c r="BR158" s="129">
        <f>IF(BQ158="","",IF(COUNTIF($BQ$3:BQ158,BQ158)=1,MAX($BR$2:BR157)+1,""))</f>
      </c>
      <c r="BS158" s="129">
        <f>IF(AW158="","",COUNTIF($AW$3:AW158,"?*"))</f>
      </c>
      <c r="BT158" s="129">
        <f>IF(OR(AW158="",AI158=""),"",IF(COUNTIFS($AW$3:AW158,"?*",$AI$3:AI158,AI158)=1,MAX($BT$2:BT157)+1,""))</f>
      </c>
      <c r="BU158" s="129">
        <f>IF(AE158="",0,IF(OR(ISNUMBER(SEARCH("дубль",AE158)),ISNUMBER(SEARCH("ПЕРЕГРУЗ",AE158)),ISNUMBER(SEARCH("ЗАЩИЩ",AE158)),ISNUMBER(SEARCH("КАНАЛ",AE158)),ISNUMBER(SEARCH("без 30",AE158))),2,1))</f>
      </c>
      <c r="BV158" s="129">
        <f>IF(R158="","",COUNTIF($R$3:R158,"?*"))</f>
      </c>
      <c r="BW158" s="129">
        <f>IF(AY158&lt;&gt;1,0,IF(MAX(IFERROR(--VLOOKUP(R158,УГО_спр,5,FALSE),0),IFERROR(--VLOOKUP(AL158,УГО_спр,5,FALSE),0),IFERROR(--VLOOKUP(LEFT(AL158,2),УГО_спр,5,FALSE),0))&gt;0,MAX(IFERROR(--VLOOKUP(R158,УГО_спр,5,FALSE),0),IFERROR(--VLOOKUP(AL158,УГО_спр,5,FALSE),0),IFERROR(--VLOOKUP(LEFT(AL158,2),УГО_спр,5,FALSE),0)),IF(IFERROR(--LEFT(SUBSTITUTE(BQ158,"x","х"),FIND("х",SUBSTITUTE(BQ158,"x","х"))-1),3)&gt;3,Каталог!$S$9,1)))</f>
      </c>
      <c r="BX158" s="129">
        <f>IF(AY158&lt;&gt;1,0,MAX(0,IFERROR(--LEFT(SUBSTITUTE(BQ158,"x","х"),FIND("х",SUBSTITUTE(BQ158,"x","х"))-1),3)-3*BW158))</f>
      </c>
      <c r="BY158" s="129">
        <f>IF(R158="","",IFERROR(VLOOKUP(R158,УГО_спр,2,FALSE),IFERROR(VLOOKUP(AL158,УГО_спр,2,FALSE),IFERROR(VLOOKUP(LEFT(AL158,2),УГО_спр,2,FALSE),""))))</f>
      </c>
    </row>
    <row r="159" spans="1:64" x14ac:dyDescent="0.3">
      <c r="A159" s="135">
        <f>IF(Разбивка_по_щитам!F159=0,"",Разбивка_по_щитам!F159)</f>
      </c>
      <c r="B159" s="138">
        <f>IF(A159="","",Разбивка_по_щитам!C159)</f>
      </c>
      <c r="C159" s="138">
        <f t="shared" si="86"/>
      </c>
      <c r="D159" s="266"/>
      <c r="E159" s="266"/>
      <c r="F159" s="267"/>
      <c r="G159" s="145">
        <f t="shared" si="87"/>
        <v/>
      </c>
      <c r="H159" s="145">
        <f t="shared" si="88"/>
        <v/>
      </c>
      <c r="I159" s="266"/>
      <c r="J159" s="267"/>
      <c r="K159" s="267"/>
      <c r="L159" s="266"/>
      <c r="M159" s="147">
        <f t="shared" si="124"/>
        <v/>
      </c>
      <c r="N159" s="267"/>
      <c r="O159" s="147">
        <f t="shared" si="125"/>
        <v/>
      </c>
      <c r="P159" s="268">
        <f>IF(AY159=1,"XT"&amp;COUNTIFS($A$3:A159,A159,$AY$3:AY159,1),"")</f>
        <v/>
      </c>
      <c r="Q159" s="152">
        <f>IF(R159="","",IFERROR(SUBSTITUTE(Разбивка_по_щитам!P159,CHAR(10)," "),""))</f>
        <v/>
      </c>
      <c r="R159" s="153">
        <f>IF(OR(Разбивка_по_щитам!H159="",Разбивка_по_щитам!H159=0),"",Разбивка_по_щитам!H159)</f>
        <v/>
      </c>
      <c r="S159" s="154">
        <f>IF(R159="","",IFERROR(Разбивка_по_щитам!J159&amp;"",""))</f>
        <v/>
      </c>
      <c r="T159" s="155">
        <f>IF(R159="","",IFERROR(--Разбивка_по_щитам!L159,""))</f>
        <v/>
      </c>
      <c r="U159" s="155">
        <f>IF(R159="","",IFERROR(--Разбивка_по_щитам!K159,""))</f>
        <v/>
      </c>
      <c r="V159" s="138">
        <f>IF(R159="","",IFERROR(IF(Разбивка_по_щитам!M159=0,"",Разбивка_по_щитам!M159),""))</f>
        <v/>
      </c>
      <c r="W159" s="156">
        <f t="shared" si="89"/>
        <v/>
      </c>
      <c r="X159" s="157">
        <f t="shared" si="90"/>
        <v/>
      </c>
      <c r="Y159" s="266"/>
      <c r="Z159" s="158">
        <f t="shared" si="91"/>
        <v/>
      </c>
      <c r="AA159" s="160">
        <f t="shared" si="92"/>
        <v/>
      </c>
      <c r="AB159" s="160">
        <f>IF(R159="","",IFERROR(LOOKUP(INDEX(Справочная!$I$4:$I$19,MATCH(VLOOKUP(R159,Исходные_данные,22,FALSE),Справочная!$J$4:$J$19,0)+1),{6,10,16,20,25,32,40,50,63,80,100,125}),""))</f>
        <v/>
      </c>
      <c r="AC159" s="160">
        <f t="shared" si="93"/>
        <v/>
      </c>
      <c r="AD159" s="161">
        <f t="shared" si="94"/>
        <v/>
      </c>
      <c r="AE159" s="161">
        <f>IF(AND(R159="",G159=""),"",_xlfn.TEXTJOIN("; ",TRUE,IF(AND(R159&lt;&gt;"",V159=""),"нет фазы",""),IF(AND(R159&lt;&gt;"",N(T159)=0),"нет мощности",""),IF(AND(P159&lt;&gt;"",COUNTIFS($A$3:$A$1000,A159,$P$3:$P$1000,P159)&gt;1),"дубль клеммы "&amp;P159,""),IF(AND(W159&lt;&gt;"",W159&lt;&gt;"ok"),W159,""),IF(X159&lt;&gt;"",X159,""),IF(AND(ISNUMBER(SEARCH("(5х",Q159)),N(AK159)=1),"5 жил на 1 фазе",""),IF(AND(AL159="R",E159&lt;&gt;"",N(AS159)=0),"розетка без 30 мА",""),IF(IFERROR(_xlfn.NUMBERVALUE(MID(Q159,FIND("-",Q159,FIND("L=",Q159))+1,FIND("%",Q159)-FIND("-",Q159,FIND("L=",Q159))-1),","),0)&gt;4,"потери &gt; 4 %","")))</f>
      </c>
      <c r="AF159" s="129">
        <f>IF(E159&lt;&gt;"",COUNTIFS($A$3:A159,A159,$E$3:E159,"?*"),IF(OR(A159&lt;&gt;A158,Y159="вручную"),"",AF158))</f>
      </c>
      <c r="AG159" s="129">
        <f t="shared" si="95"/>
      </c>
      <c r="AH159" s="129">
        <f t="shared" si="96"/>
        <v/>
      </c>
      <c r="AI159" s="129">
        <f t="shared" si="97"/>
        <v/>
      </c>
      <c r="AJ159" s="129">
        <f t="shared" si="98"/>
        <v/>
      </c>
      <c r="AK159" s="129">
        <f t="shared" si="99"/>
        <v/>
      </c>
      <c r="AL159" s="129">
        <f t="shared" si="100"/>
        <v/>
      </c>
      <c r="AM159" s="129">
        <f t="shared" si="101"/>
      </c>
      <c r="AN159" s="129">
        <f t="shared" si="102"/>
      </c>
      <c r="AO159" s="129">
        <f t="shared" si="103"/>
        <v/>
      </c>
      <c r="AP159" s="129">
        <f t="shared" si="104"/>
        <v/>
      </c>
      <c r="AQ159" s="129">
        <f t="shared" si="105"/>
        <v/>
      </c>
      <c r="AR159" s="129">
        <f t="shared" si="106"/>
        <v/>
      </c>
      <c r="AS159" s="129">
        <f t="shared" si="107"/>
        <v/>
      </c>
      <c r="AT159" s="129">
        <f t="shared" si="108"/>
        <v/>
      </c>
      <c r="AU159" s="129">
        <f t="shared" si="109"/>
        <v/>
      </c>
      <c r="AV159" s="129">
        <f t="shared" si="110"/>
        <v/>
      </c>
      <c r="AW159" s="129">
        <f>IF(AV159="","",AV159&amp;"."&amp;COUNTIFS($A$3:A159,A159,$AV$3:AV159,AV159))</f>
        <v/>
      </c>
      <c r="AX159" s="129">
        <f t="shared" si="111"/>
        <v/>
      </c>
      <c r="AY159" s="129">
        <f>IF(N159="б/к",0,IF(OR(ISNUMBER(SEARCH("L=",Разбивка_по_щитам!P159)),N159="+",N159="="),1,0))</f>
      </c>
      <c r="AZ159" s="129">
        <f t="shared" si="112"/>
      </c>
      <c r="BA159" s="129">
        <f t="shared" si="113"/>
      </c>
      <c r="BB159" s="129">
        <f t="shared" si="114"/>
      </c>
      <c r="BD159" s="129">
        <f t="shared" si="115"/>
      </c>
      <c r="BE159" s="129">
        <f t="shared" si="116"/>
      </c>
      <c r="BF159" s="129">
        <f t="shared" si="117"/>
      </c>
      <c r="BG159" s="129">
        <f t="shared" si="118"/>
        <v/>
      </c>
      <c r="BH159" s="129">
        <f t="shared" si="119"/>
        <v/>
      </c>
      <c r="BI159" s="129">
        <f t="shared" si="120"/>
        <v/>
      </c>
      <c r="BJ159" s="129">
        <f t="shared" si="121"/>
        <v/>
      </c>
      <c r="BK159" s="129">
        <f>IF(R159="","",IF(OR(BY159="",BY159=0),"BOX",IFERROR(IF(VLOOKUP(BY159,УГО_блоки,3,FALSE)&amp;""&lt;&gt;"",VLOOKUP(BY159,УГО_блоки,3,FALSE),VLOOKUP(BY159,УГО_блоки,2,FALSE)),BY159)))</f>
      </c>
      <c r="BL159" s="129">
        <f t="shared" si="123"/>
      </c>
      <c r="BM159" s="129">
        <f>IF(H159="","",IF(COUNTIF($H$3:H159,H159)=1,MAX($BM$2:BM158)+1,""))</f>
      </c>
      <c r="BN159" s="129">
        <f>IF(I159="","",IF(COUNTIF($I$3:I159,I159)+COUNTIF($J$2:J158,I159)+COUNTIF($K$2:K158,I159)=1,MAX($BN$2:BP158)+1,""))</f>
      </c>
      <c r="BO159" s="129">
        <f>IF(J159="","",IF(COUNTIF($I$3:I159,J159)+COUNTIF($J$3:J159,J159)+COUNTIF($K$2:K158,J159)=1,MAX($BN$2:BP158,BN159)+1,""))</f>
      </c>
      <c r="BP159" s="129">
        <f>IF(K159="","",IF(COUNTIF($I$3:I159,K159)+COUNTIF($J$3:J159,K159)+COUNTIF($K$3:K159,K159)=1,MAX($BN$2:BP158,BN159,BO159)+1,""))</f>
      </c>
      <c r="BQ159" s="129">
        <f>IF(AY159=1,IFERROR(MID(Q159,FIND(" (",Q159)+2,FIND(")",Q159,FIND(" (",Q159))-FIND(" (",Q159)-2),"?"),"")</f>
      </c>
      <c r="BR159" s="129">
        <f>IF(BQ159="","",IF(COUNTIF($BQ$3:BQ159,BQ159)=1,MAX($BR$2:BR158)+1,""))</f>
      </c>
      <c r="BS159" s="129">
        <f>IF(AW159="","",COUNTIF($AW$3:AW159,"?*"))</f>
      </c>
      <c r="BT159" s="129">
        <f>IF(OR(AW159="",AI159=""),"",IF(COUNTIFS($AW$3:AW159,"?*",$AI$3:AI159,AI159)=1,MAX($BT$2:BT158)+1,""))</f>
      </c>
      <c r="BU159" s="129">
        <f>IF(AE159="",0,IF(OR(ISNUMBER(SEARCH("дубль",AE159)),ISNUMBER(SEARCH("ПЕРЕГРУЗ",AE159)),ISNUMBER(SEARCH("ЗАЩИЩ",AE159)),ISNUMBER(SEARCH("КАНАЛ",AE159)),ISNUMBER(SEARCH("без 30",AE159))),2,1))</f>
      </c>
      <c r="BV159" s="129">
        <f>IF(R159="","",COUNTIF($R$3:R159,"?*"))</f>
      </c>
      <c r="BW159" s="129">
        <f>IF(AY159&lt;&gt;1,0,IF(MAX(IFERROR(--VLOOKUP(R159,УГО_спр,5,FALSE),0),IFERROR(--VLOOKUP(AL159,УГО_спр,5,FALSE),0),IFERROR(--VLOOKUP(LEFT(AL159,2),УГО_спр,5,FALSE),0))&gt;0,MAX(IFERROR(--VLOOKUP(R159,УГО_спр,5,FALSE),0),IFERROR(--VLOOKUP(AL159,УГО_спр,5,FALSE),0),IFERROR(--VLOOKUP(LEFT(AL159,2),УГО_спр,5,FALSE),0)),IF(IFERROR(--LEFT(SUBSTITUTE(BQ159,"x","х"),FIND("х",SUBSTITUTE(BQ159,"x","х"))-1),3)&gt;3,Каталог!$S$9,1)))</f>
      </c>
      <c r="BX159" s="129">
        <f>IF(AY159&lt;&gt;1,0,MAX(0,IFERROR(--LEFT(SUBSTITUTE(BQ159,"x","х"),FIND("х",SUBSTITUTE(BQ159,"x","х"))-1),3)-3*BW159))</f>
      </c>
      <c r="BY159" s="129">
        <f>IF(R159="","",IFERROR(VLOOKUP(R159,УГО_спр,2,FALSE),IFERROR(VLOOKUP(AL159,УГО_спр,2,FALSE),IFERROR(VLOOKUP(LEFT(AL159,2),УГО_спр,2,FALSE),""))))</f>
      </c>
    </row>
    <row r="160" spans="1:64" x14ac:dyDescent="0.3">
      <c r="A160" s="135">
        <f>IF(Разбивка_по_щитам!F160=0,"",Разбивка_по_щитам!F160)</f>
      </c>
      <c r="B160" s="138">
        <f>IF(A160="","",Разбивка_по_щитам!C160)</f>
      </c>
      <c r="C160" s="138">
        <f t="shared" si="86"/>
      </c>
      <c r="D160" s="266"/>
      <c r="E160" s="266"/>
      <c r="F160" s="267"/>
      <c r="G160" s="145">
        <f t="shared" si="87"/>
        <v/>
      </c>
      <c r="H160" s="145">
        <f t="shared" si="88"/>
        <v/>
      </c>
      <c r="I160" s="266"/>
      <c r="J160" s="267"/>
      <c r="K160" s="267"/>
      <c r="L160" s="266"/>
      <c r="M160" s="147">
        <f t="shared" si="124"/>
        <v/>
      </c>
      <c r="N160" s="267"/>
      <c r="O160" s="147">
        <f t="shared" si="125"/>
        <v/>
      </c>
      <c r="P160" s="268">
        <f>IF(AY160=1,"XT"&amp;COUNTIFS($A$3:A160,A160,$AY$3:AY160,1),"")</f>
        <v/>
      </c>
      <c r="Q160" s="152">
        <f>IF(R160="","",IFERROR(SUBSTITUTE(Разбивка_по_щитам!P160,CHAR(10)," "),""))</f>
        <v/>
      </c>
      <c r="R160" s="153">
        <f>IF(OR(Разбивка_по_щитам!H160="",Разбивка_по_щитам!H160=0),"",Разбивка_по_щитам!H160)</f>
        <v/>
      </c>
      <c r="S160" s="154">
        <f>IF(R160="","",IFERROR(Разбивка_по_щитам!J160&amp;"",""))</f>
        <v/>
      </c>
      <c r="T160" s="155">
        <f>IF(R160="","",IFERROR(--Разбивка_по_щитам!L160,""))</f>
        <v/>
      </c>
      <c r="U160" s="155">
        <f>IF(R160="","",IFERROR(--Разбивка_по_щитам!K160,""))</f>
        <v/>
      </c>
      <c r="V160" s="138">
        <f>IF(R160="","",IFERROR(IF(Разбивка_по_щитам!M160=0,"",Разбивка_по_щитам!M160),""))</f>
        <v/>
      </c>
      <c r="W160" s="156">
        <f t="shared" si="89"/>
        <v/>
      </c>
      <c r="X160" s="157">
        <f t="shared" si="90"/>
        <v/>
      </c>
      <c r="Y160" s="266"/>
      <c r="Z160" s="158">
        <f t="shared" si="91"/>
        <v/>
      </c>
      <c r="AA160" s="160">
        <f t="shared" si="92"/>
        <v/>
      </c>
      <c r="AB160" s="160">
        <f>IF(R160="","",IFERROR(LOOKUP(INDEX(Справочная!$I$4:$I$19,MATCH(VLOOKUP(R160,Исходные_данные,22,FALSE),Справочная!$J$4:$J$19,0)+1),{6,10,16,20,25,32,40,50,63,80,100,125}),""))</f>
        <v/>
      </c>
      <c r="AC160" s="160">
        <f t="shared" si="93"/>
        <v/>
      </c>
      <c r="AD160" s="161">
        <f t="shared" si="94"/>
        <v/>
      </c>
      <c r="AE160" s="161">
        <f>IF(AND(R160="",G160=""),"",_xlfn.TEXTJOIN("; ",TRUE,IF(AND(R160&lt;&gt;"",V160=""),"нет фазы",""),IF(AND(R160&lt;&gt;"",N(T160)=0),"нет мощности",""),IF(AND(P160&lt;&gt;"",COUNTIFS($A$3:$A$1000,A160,$P$3:$P$1000,P160)&gt;1),"дубль клеммы "&amp;P160,""),IF(AND(W160&lt;&gt;"",W160&lt;&gt;"ok"),W160,""),IF(X160&lt;&gt;"",X160,""),IF(AND(ISNUMBER(SEARCH("(5х",Q160)),N(AK160)=1),"5 жил на 1 фазе",""),IF(AND(AL160="R",E160&lt;&gt;"",N(AS160)=0),"розетка без 30 мА",""),IF(IFERROR(_xlfn.NUMBERVALUE(MID(Q160,FIND("-",Q160,FIND("L=",Q160))+1,FIND("%",Q160)-FIND("-",Q160,FIND("L=",Q160))-1),","),0)&gt;4,"потери &gt; 4 %","")))</f>
      </c>
      <c r="AF160" s="129">
        <f>IF(E160&lt;&gt;"",COUNTIFS($A$3:A160,A160,$E$3:E160,"?*"),IF(OR(A160&lt;&gt;A159,Y160="вручную"),"",AF159))</f>
      </c>
      <c r="AG160" s="129">
        <f t="shared" si="95"/>
      </c>
      <c r="AH160" s="129">
        <f t="shared" si="96"/>
        <v/>
      </c>
      <c r="AI160" s="129">
        <f t="shared" si="97"/>
        <v/>
      </c>
      <c r="AJ160" s="129">
        <f t="shared" si="98"/>
        <v/>
      </c>
      <c r="AK160" s="129">
        <f t="shared" si="99"/>
        <v/>
      </c>
      <c r="AL160" s="129">
        <f t="shared" si="100"/>
        <v/>
      </c>
      <c r="AM160" s="129">
        <f t="shared" si="101"/>
      </c>
      <c r="AN160" s="129">
        <f t="shared" si="102"/>
      </c>
      <c r="AO160" s="129">
        <f t="shared" si="103"/>
        <v/>
      </c>
      <c r="AP160" s="129">
        <f t="shared" si="104"/>
        <v/>
      </c>
      <c r="AQ160" s="129">
        <f t="shared" si="105"/>
        <v/>
      </c>
      <c r="AR160" s="129">
        <f t="shared" si="106"/>
        <v/>
      </c>
      <c r="AS160" s="129">
        <f t="shared" si="107"/>
        <v/>
      </c>
      <c r="AT160" s="129">
        <f t="shared" si="108"/>
        <v/>
      </c>
      <c r="AU160" s="129">
        <f t="shared" si="109"/>
        <v/>
      </c>
      <c r="AV160" s="129">
        <f t="shared" si="110"/>
        <v/>
      </c>
      <c r="AW160" s="129">
        <f>IF(AV160="","",AV160&amp;"."&amp;COUNTIFS($A$3:A160,A160,$AV$3:AV160,AV160))</f>
        <v/>
      </c>
      <c r="AX160" s="129">
        <f t="shared" si="111"/>
        <v/>
      </c>
      <c r="AY160" s="129">
        <f>IF(N160="б/к",0,IF(OR(ISNUMBER(SEARCH("L=",Разбивка_по_щитам!P160)),N160="+",N160="="),1,0))</f>
      </c>
      <c r="AZ160" s="129">
        <f t="shared" si="112"/>
      </c>
      <c r="BA160" s="129">
        <f t="shared" si="113"/>
      </c>
      <c r="BB160" s="129">
        <f t="shared" si="114"/>
      </c>
      <c r="BD160" s="129">
        <f t="shared" si="115"/>
      </c>
      <c r="BE160" s="129">
        <f t="shared" si="116"/>
      </c>
      <c r="BF160" s="129">
        <f t="shared" si="117"/>
      </c>
      <c r="BG160" s="129">
        <f t="shared" si="118"/>
        <v/>
      </c>
      <c r="BH160" s="129">
        <f t="shared" si="119"/>
        <v/>
      </c>
      <c r="BI160" s="129">
        <f t="shared" si="120"/>
        <v/>
      </c>
      <c r="BJ160" s="129">
        <f t="shared" si="121"/>
        <v/>
      </c>
      <c r="BK160" s="129">
        <f>IF(R160="","",IF(OR(BY160="",BY160=0),"BOX",IFERROR(IF(VLOOKUP(BY160,УГО_блоки,3,FALSE)&amp;""&lt;&gt;"",VLOOKUP(BY160,УГО_блоки,3,FALSE),VLOOKUP(BY160,УГО_блоки,2,FALSE)),BY160)))</f>
      </c>
      <c r="BL160" s="129">
        <f t="shared" si="123"/>
      </c>
      <c r="BM160" s="129">
        <f>IF(H160="","",IF(COUNTIF($H$3:H160,H160)=1,MAX($BM$2:BM159)+1,""))</f>
      </c>
      <c r="BN160" s="129">
        <f>IF(I160="","",IF(COUNTIF($I$3:I160,I160)+COUNTIF($J$2:J159,I160)+COUNTIF($K$2:K159,I160)=1,MAX($BN$2:BP159)+1,""))</f>
      </c>
      <c r="BO160" s="129">
        <f>IF(J160="","",IF(COUNTIF($I$3:I160,J160)+COUNTIF($J$3:J160,J160)+COUNTIF($K$2:K159,J160)=1,MAX($BN$2:BP159,BN160)+1,""))</f>
      </c>
      <c r="BP160" s="129">
        <f>IF(K160="","",IF(COUNTIF($I$3:I160,K160)+COUNTIF($J$3:J160,K160)+COUNTIF($K$3:K160,K160)=1,MAX($BN$2:BP159,BN160,BO160)+1,""))</f>
      </c>
      <c r="BQ160" s="129">
        <f>IF(AY160=1,IFERROR(MID(Q160,FIND(" (",Q160)+2,FIND(")",Q160,FIND(" (",Q160))-FIND(" (",Q160)-2),"?"),"")</f>
      </c>
      <c r="BR160" s="129">
        <f>IF(BQ160="","",IF(COUNTIF($BQ$3:BQ160,BQ160)=1,MAX($BR$2:BR159)+1,""))</f>
      </c>
      <c r="BS160" s="129">
        <f>IF(AW160="","",COUNTIF($AW$3:AW160,"?*"))</f>
      </c>
      <c r="BT160" s="129">
        <f>IF(OR(AW160="",AI160=""),"",IF(COUNTIFS($AW$3:AW160,"?*",$AI$3:AI160,AI160)=1,MAX($BT$2:BT159)+1,""))</f>
      </c>
      <c r="BU160" s="129">
        <f>IF(AE160="",0,IF(OR(ISNUMBER(SEARCH("дубль",AE160)),ISNUMBER(SEARCH("ПЕРЕГРУЗ",AE160)),ISNUMBER(SEARCH("ЗАЩИЩ",AE160)),ISNUMBER(SEARCH("КАНАЛ",AE160)),ISNUMBER(SEARCH("без 30",AE160))),2,1))</f>
      </c>
      <c r="BV160" s="129">
        <f>IF(R160="","",COUNTIF($R$3:R160,"?*"))</f>
      </c>
      <c r="BW160" s="129">
        <f>IF(AY160&lt;&gt;1,0,IF(MAX(IFERROR(--VLOOKUP(R160,УГО_спр,5,FALSE),0),IFERROR(--VLOOKUP(AL160,УГО_спр,5,FALSE),0),IFERROR(--VLOOKUP(LEFT(AL160,2),УГО_спр,5,FALSE),0))&gt;0,MAX(IFERROR(--VLOOKUP(R160,УГО_спр,5,FALSE),0),IFERROR(--VLOOKUP(AL160,УГО_спр,5,FALSE),0),IFERROR(--VLOOKUP(LEFT(AL160,2),УГО_спр,5,FALSE),0)),IF(IFERROR(--LEFT(SUBSTITUTE(BQ160,"x","х"),FIND("х",SUBSTITUTE(BQ160,"x","х"))-1),3)&gt;3,Каталог!$S$9,1)))</f>
      </c>
      <c r="BX160" s="129">
        <f>IF(AY160&lt;&gt;1,0,MAX(0,IFERROR(--LEFT(SUBSTITUTE(BQ160,"x","х"),FIND("х",SUBSTITUTE(BQ160,"x","х"))-1),3)-3*BW160))</f>
      </c>
      <c r="BY160" s="129">
        <f>IF(R160="","",IFERROR(VLOOKUP(R160,УГО_спр,2,FALSE),IFERROR(VLOOKUP(AL160,УГО_спр,2,FALSE),IFERROR(VLOOKUP(LEFT(AL160,2),УГО_спр,2,FALSE),""))))</f>
      </c>
    </row>
    <row r="161" spans="1:64" x14ac:dyDescent="0.3">
      <c r="A161" s="135">
        <f>IF(Разбивка_по_щитам!F161=0,"",Разбивка_по_щитам!F161)</f>
      </c>
      <c r="B161" s="138">
        <f>IF(A161="","",Разбивка_по_щитам!C161)</f>
      </c>
      <c r="C161" s="138">
        <f t="shared" si="86"/>
      </c>
      <c r="D161" s="266"/>
      <c r="E161" s="266"/>
      <c r="F161" s="267"/>
      <c r="G161" s="145">
        <f t="shared" si="87"/>
        <v/>
      </c>
      <c r="H161" s="145">
        <f t="shared" si="88"/>
        <v/>
      </c>
      <c r="I161" s="266"/>
      <c r="J161" s="267"/>
      <c r="K161" s="267"/>
      <c r="L161" s="266"/>
      <c r="M161" s="147">
        <f t="shared" si="124"/>
        <v/>
      </c>
      <c r="N161" s="267"/>
      <c r="O161" s="147">
        <f t="shared" si="125"/>
        <v/>
      </c>
      <c r="P161" s="268">
        <f>IF(AY161=1,"XT"&amp;COUNTIFS($A$3:A161,A161,$AY$3:AY161,1),"")</f>
        <v/>
      </c>
      <c r="Q161" s="152">
        <f>IF(R161="","",IFERROR(SUBSTITUTE(Разбивка_по_щитам!P161,CHAR(10)," "),""))</f>
        <v/>
      </c>
      <c r="R161" s="153">
        <f>IF(OR(Разбивка_по_щитам!H161="",Разбивка_по_щитам!H161=0),"",Разбивка_по_щитам!H161)</f>
        <v/>
      </c>
      <c r="S161" s="154">
        <f>IF(R161="","",IFERROR(Разбивка_по_щитам!J161&amp;"",""))</f>
        <v/>
      </c>
      <c r="T161" s="155">
        <f>IF(R161="","",IFERROR(--Разбивка_по_щитам!L161,""))</f>
        <v/>
      </c>
      <c r="U161" s="155">
        <f>IF(R161="","",IFERROR(--Разбивка_по_щитам!K161,""))</f>
        <v/>
      </c>
      <c r="V161" s="138">
        <f>IF(R161="","",IFERROR(IF(Разбивка_по_щитам!M161=0,"",Разбивка_по_щитам!M161),""))</f>
        <v/>
      </c>
      <c r="W161" s="156">
        <f t="shared" si="89"/>
        <v/>
      </c>
      <c r="X161" s="157">
        <f t="shared" si="90"/>
        <v/>
      </c>
      <c r="Y161" s="266"/>
      <c r="Z161" s="158">
        <f t="shared" si="91"/>
        <v/>
      </c>
      <c r="AA161" s="160">
        <f t="shared" si="92"/>
        <v/>
      </c>
      <c r="AB161" s="160">
        <f>IF(R161="","",IFERROR(LOOKUP(INDEX(Справочная!$I$4:$I$19,MATCH(VLOOKUP(R161,Исходные_данные,22,FALSE),Справочная!$J$4:$J$19,0)+1),{6,10,16,20,25,32,40,50,63,80,100,125}),""))</f>
        <v/>
      </c>
      <c r="AC161" s="160">
        <f t="shared" si="93"/>
        <v/>
      </c>
      <c r="AD161" s="161">
        <f t="shared" si="94"/>
        <v/>
      </c>
      <c r="AE161" s="161">
        <f>IF(AND(R161="",G161=""),"",_xlfn.TEXTJOIN("; ",TRUE,IF(AND(R161&lt;&gt;"",V161=""),"нет фазы",""),IF(AND(R161&lt;&gt;"",N(T161)=0),"нет мощности",""),IF(AND(P161&lt;&gt;"",COUNTIFS($A$3:$A$1000,A161,$P$3:$P$1000,P161)&gt;1),"дубль клеммы "&amp;P161,""),IF(AND(W161&lt;&gt;"",W161&lt;&gt;"ok"),W161,""),IF(X161&lt;&gt;"",X161,""),IF(AND(ISNUMBER(SEARCH("(5х",Q161)),N(AK161)=1),"5 жил на 1 фазе",""),IF(AND(AL161="R",E161&lt;&gt;"",N(AS161)=0),"розетка без 30 мА",""),IF(IFERROR(_xlfn.NUMBERVALUE(MID(Q161,FIND("-",Q161,FIND("L=",Q161))+1,FIND("%",Q161)-FIND("-",Q161,FIND("L=",Q161))-1),","),0)&gt;4,"потери &gt; 4 %","")))</f>
      </c>
      <c r="AF161" s="129">
        <f>IF(E161&lt;&gt;"",COUNTIFS($A$3:A161,A161,$E$3:E161,"?*"),IF(OR(A161&lt;&gt;A160,Y161="вручную"),"",AF160))</f>
      </c>
      <c r="AG161" s="129">
        <f t="shared" si="95"/>
      </c>
      <c r="AH161" s="129">
        <f t="shared" si="96"/>
        <v/>
      </c>
      <c r="AI161" s="129">
        <f t="shared" si="97"/>
        <v/>
      </c>
      <c r="AJ161" s="129">
        <f t="shared" si="98"/>
        <v/>
      </c>
      <c r="AK161" s="129">
        <f t="shared" si="99"/>
        <v/>
      </c>
      <c r="AL161" s="129">
        <f t="shared" si="100"/>
        <v/>
      </c>
      <c r="AM161" s="129">
        <f t="shared" si="101"/>
      </c>
      <c r="AN161" s="129">
        <f t="shared" si="102"/>
      </c>
      <c r="AO161" s="129">
        <f t="shared" si="103"/>
        <v/>
      </c>
      <c r="AP161" s="129">
        <f t="shared" si="104"/>
        <v/>
      </c>
      <c r="AQ161" s="129">
        <f t="shared" si="105"/>
        <v/>
      </c>
      <c r="AR161" s="129">
        <f t="shared" si="106"/>
        <v/>
      </c>
      <c r="AS161" s="129">
        <f t="shared" si="107"/>
        <v/>
      </c>
      <c r="AT161" s="129">
        <f t="shared" si="108"/>
        <v/>
      </c>
      <c r="AU161" s="129">
        <f t="shared" si="109"/>
        <v/>
      </c>
      <c r="AV161" s="129">
        <f t="shared" si="110"/>
        <v/>
      </c>
      <c r="AW161" s="129">
        <f>IF(AV161="","",AV161&amp;"."&amp;COUNTIFS($A$3:A161,A161,$AV$3:AV161,AV161))</f>
        <v/>
      </c>
      <c r="AX161" s="129">
        <f t="shared" si="111"/>
        <v/>
      </c>
      <c r="AY161" s="129">
        <f>IF(N161="б/к",0,IF(OR(ISNUMBER(SEARCH("L=",Разбивка_по_щитам!P161)),N161="+",N161="="),1,0))</f>
      </c>
      <c r="AZ161" s="129">
        <f t="shared" si="112"/>
      </c>
      <c r="BA161" s="129">
        <f t="shared" si="113"/>
      </c>
      <c r="BB161" s="129">
        <f t="shared" si="114"/>
      </c>
      <c r="BD161" s="129">
        <f t="shared" si="115"/>
      </c>
      <c r="BE161" s="129">
        <f t="shared" si="116"/>
      </c>
      <c r="BF161" s="129">
        <f t="shared" si="117"/>
      </c>
      <c r="BG161" s="129">
        <f t="shared" si="118"/>
        <v/>
      </c>
      <c r="BH161" s="129">
        <f t="shared" si="119"/>
        <v/>
      </c>
      <c r="BI161" s="129">
        <f t="shared" si="120"/>
        <v/>
      </c>
      <c r="BJ161" s="129">
        <f t="shared" si="121"/>
        <v/>
      </c>
      <c r="BK161" s="129">
        <f>IF(R161="","",IF(OR(BY161="",BY161=0),"BOX",IFERROR(IF(VLOOKUP(BY161,УГО_блоки,3,FALSE)&amp;""&lt;&gt;"",VLOOKUP(BY161,УГО_блоки,3,FALSE),VLOOKUP(BY161,УГО_блоки,2,FALSE)),BY161)))</f>
      </c>
      <c r="BL161" s="129">
        <f t="shared" si="123"/>
      </c>
      <c r="BM161" s="129">
        <f>IF(H161="","",IF(COUNTIF($H$3:H161,H161)=1,MAX($BM$2:BM160)+1,""))</f>
      </c>
      <c r="BN161" s="129">
        <f>IF(I161="","",IF(COUNTIF($I$3:I161,I161)+COUNTIF($J$2:J160,I161)+COUNTIF($K$2:K160,I161)=1,MAX($BN$2:BP160)+1,""))</f>
      </c>
      <c r="BO161" s="129">
        <f>IF(J161="","",IF(COUNTIF($I$3:I161,J161)+COUNTIF($J$3:J161,J161)+COUNTIF($K$2:K160,J161)=1,MAX($BN$2:BP160,BN161)+1,""))</f>
      </c>
      <c r="BP161" s="129">
        <f>IF(K161="","",IF(COUNTIF($I$3:I161,K161)+COUNTIF($J$3:J161,K161)+COUNTIF($K$3:K161,K161)=1,MAX($BN$2:BP160,BN161,BO161)+1,""))</f>
      </c>
      <c r="BQ161" s="129">
        <f>IF(AY161=1,IFERROR(MID(Q161,FIND(" (",Q161)+2,FIND(")",Q161,FIND(" (",Q161))-FIND(" (",Q161)-2),"?"),"")</f>
      </c>
      <c r="BR161" s="129">
        <f>IF(BQ161="","",IF(COUNTIF($BQ$3:BQ161,BQ161)=1,MAX($BR$2:BR160)+1,""))</f>
      </c>
      <c r="BS161" s="129">
        <f>IF(AW161="","",COUNTIF($AW$3:AW161,"?*"))</f>
      </c>
      <c r="BT161" s="129">
        <f>IF(OR(AW161="",AI161=""),"",IF(COUNTIFS($AW$3:AW161,"?*",$AI$3:AI161,AI161)=1,MAX($BT$2:BT160)+1,""))</f>
      </c>
      <c r="BU161" s="129">
        <f>IF(AE161="",0,IF(OR(ISNUMBER(SEARCH("дубль",AE161)),ISNUMBER(SEARCH("ПЕРЕГРУЗ",AE161)),ISNUMBER(SEARCH("ЗАЩИЩ",AE161)),ISNUMBER(SEARCH("КАНАЛ",AE161)),ISNUMBER(SEARCH("без 30",AE161))),2,1))</f>
      </c>
      <c r="BV161" s="129">
        <f>IF(R161="","",COUNTIF($R$3:R161,"?*"))</f>
      </c>
      <c r="BW161" s="129">
        <f>IF(AY161&lt;&gt;1,0,IF(MAX(IFERROR(--VLOOKUP(R161,УГО_спр,5,FALSE),0),IFERROR(--VLOOKUP(AL161,УГО_спр,5,FALSE),0),IFERROR(--VLOOKUP(LEFT(AL161,2),УГО_спр,5,FALSE),0))&gt;0,MAX(IFERROR(--VLOOKUP(R161,УГО_спр,5,FALSE),0),IFERROR(--VLOOKUP(AL161,УГО_спр,5,FALSE),0),IFERROR(--VLOOKUP(LEFT(AL161,2),УГО_спр,5,FALSE),0)),IF(IFERROR(--LEFT(SUBSTITUTE(BQ161,"x","х"),FIND("х",SUBSTITUTE(BQ161,"x","х"))-1),3)&gt;3,Каталог!$S$9,1)))</f>
      </c>
      <c r="BX161" s="129">
        <f>IF(AY161&lt;&gt;1,0,MAX(0,IFERROR(--LEFT(SUBSTITUTE(BQ161,"x","х"),FIND("х",SUBSTITUTE(BQ161,"x","х"))-1),3)-3*BW161))</f>
      </c>
      <c r="BY161" s="129">
        <f>IF(R161="","",IFERROR(VLOOKUP(R161,УГО_спр,2,FALSE),IFERROR(VLOOKUP(AL161,УГО_спр,2,FALSE),IFERROR(VLOOKUP(LEFT(AL161,2),УГО_спр,2,FALSE),""))))</f>
      </c>
    </row>
    <row r="162" spans="1:64" x14ac:dyDescent="0.3">
      <c r="A162" s="135">
        <f>IF(Разбивка_по_щитам!F162=0,"",Разбивка_по_щитам!F162)</f>
      </c>
      <c r="B162" s="138">
        <f>IF(A162="","",Разбивка_по_щитам!C162)</f>
      </c>
      <c r="C162" s="138">
        <f t="shared" si="86"/>
      </c>
      <c r="D162" s="266"/>
      <c r="E162" s="266"/>
      <c r="F162" s="267"/>
      <c r="G162" s="145">
        <f t="shared" si="87"/>
        <v/>
      </c>
      <c r="H162" s="145">
        <f t="shared" si="88"/>
        <v/>
      </c>
      <c r="I162" s="266"/>
      <c r="J162" s="267"/>
      <c r="K162" s="267"/>
      <c r="L162" s="266"/>
      <c r="M162" s="147">
        <f t="shared" si="124"/>
        <v/>
      </c>
      <c r="N162" s="267"/>
      <c r="O162" s="147">
        <f t="shared" si="125"/>
        <v/>
      </c>
      <c r="P162" s="268">
        <f>IF(AY162=1,"XT"&amp;COUNTIFS($A$3:A162,A162,$AY$3:AY162,1),"")</f>
        <v/>
      </c>
      <c r="Q162" s="152">
        <f>IF(R162="","",IFERROR(SUBSTITUTE(Разбивка_по_щитам!P162,CHAR(10)," "),""))</f>
        <v/>
      </c>
      <c r="R162" s="153">
        <f>IF(OR(Разбивка_по_щитам!H162="",Разбивка_по_щитам!H162=0),"",Разбивка_по_щитам!H162)</f>
        <v/>
      </c>
      <c r="S162" s="154">
        <f>IF(R162="","",IFERROR(Разбивка_по_щитам!J162&amp;"",""))</f>
        <v/>
      </c>
      <c r="T162" s="155">
        <f>IF(R162="","",IFERROR(--Разбивка_по_щитам!L162,""))</f>
        <v/>
      </c>
      <c r="U162" s="155">
        <f>IF(R162="","",IFERROR(--Разбивка_по_щитам!K162,""))</f>
        <v/>
      </c>
      <c r="V162" s="138">
        <f>IF(R162="","",IFERROR(IF(Разбивка_по_щитам!M162=0,"",Разбивка_по_щитам!M162),""))</f>
        <v/>
      </c>
      <c r="W162" s="156">
        <f t="shared" si="89"/>
        <v/>
      </c>
      <c r="X162" s="157">
        <f t="shared" si="90"/>
        <v/>
      </c>
      <c r="Y162" s="266"/>
      <c r="Z162" s="158">
        <f t="shared" si="91"/>
        <v/>
      </c>
      <c r="AA162" s="160">
        <f t="shared" si="92"/>
        <v/>
      </c>
      <c r="AB162" s="160">
        <f>IF(R162="","",IFERROR(LOOKUP(INDEX(Справочная!$I$4:$I$19,MATCH(VLOOKUP(R162,Исходные_данные,22,FALSE),Справочная!$J$4:$J$19,0)+1),{6,10,16,20,25,32,40,50,63,80,100,125}),""))</f>
        <v/>
      </c>
      <c r="AC162" s="160">
        <f t="shared" si="93"/>
        <v/>
      </c>
      <c r="AD162" s="161">
        <f t="shared" si="94"/>
        <v/>
      </c>
      <c r="AE162" s="161">
        <f>IF(AND(R162="",G162=""),"",_xlfn.TEXTJOIN("; ",TRUE,IF(AND(R162&lt;&gt;"",V162=""),"нет фазы",""),IF(AND(R162&lt;&gt;"",N(T162)=0),"нет мощности",""),IF(AND(P162&lt;&gt;"",COUNTIFS($A$3:$A$1000,A162,$P$3:$P$1000,P162)&gt;1),"дубль клеммы "&amp;P162,""),IF(AND(W162&lt;&gt;"",W162&lt;&gt;"ok"),W162,""),IF(X162&lt;&gt;"",X162,""),IF(AND(ISNUMBER(SEARCH("(5х",Q162)),N(AK162)=1),"5 жил на 1 фазе",""),IF(AND(AL162="R",E162&lt;&gt;"",N(AS162)=0),"розетка без 30 мА",""),IF(IFERROR(_xlfn.NUMBERVALUE(MID(Q162,FIND("-",Q162,FIND("L=",Q162))+1,FIND("%",Q162)-FIND("-",Q162,FIND("L=",Q162))-1),","),0)&gt;4,"потери &gt; 4 %","")))</f>
      </c>
      <c r="AF162" s="129">
        <f>IF(E162&lt;&gt;"",COUNTIFS($A$3:A162,A162,$E$3:E162,"?*"),IF(OR(A162&lt;&gt;A161,Y162="вручную"),"",AF161))</f>
      </c>
      <c r="AG162" s="129">
        <f t="shared" si="95"/>
      </c>
      <c r="AH162" s="129">
        <f t="shared" si="96"/>
        <v/>
      </c>
      <c r="AI162" s="129">
        <f t="shared" si="97"/>
        <v/>
      </c>
      <c r="AJ162" s="129">
        <f t="shared" si="98"/>
        <v/>
      </c>
      <c r="AK162" s="129">
        <f t="shared" si="99"/>
        <v/>
      </c>
      <c r="AL162" s="129">
        <f t="shared" si="100"/>
        <v/>
      </c>
      <c r="AM162" s="129">
        <f t="shared" si="101"/>
      </c>
      <c r="AN162" s="129">
        <f t="shared" si="102"/>
      </c>
      <c r="AO162" s="129">
        <f t="shared" si="103"/>
        <v/>
      </c>
      <c r="AP162" s="129">
        <f t="shared" si="104"/>
        <v/>
      </c>
      <c r="AQ162" s="129">
        <f t="shared" si="105"/>
        <v/>
      </c>
      <c r="AR162" s="129">
        <f t="shared" si="106"/>
        <v/>
      </c>
      <c r="AS162" s="129">
        <f t="shared" si="107"/>
        <v/>
      </c>
      <c r="AT162" s="129">
        <f t="shared" si="108"/>
        <v/>
      </c>
      <c r="AU162" s="129">
        <f t="shared" si="109"/>
        <v/>
      </c>
      <c r="AV162" s="129">
        <f t="shared" si="110"/>
        <v/>
      </c>
      <c r="AW162" s="129">
        <f>IF(AV162="","",AV162&amp;"."&amp;COUNTIFS($A$3:A162,A162,$AV$3:AV162,AV162))</f>
        <v/>
      </c>
      <c r="AX162" s="129">
        <f t="shared" si="111"/>
        <v/>
      </c>
      <c r="AY162" s="129">
        <f>IF(N162="б/к",0,IF(OR(ISNUMBER(SEARCH("L=",Разбивка_по_щитам!P162)),N162="+",N162="="),1,0))</f>
      </c>
      <c r="AZ162" s="129">
        <f t="shared" si="112"/>
      </c>
      <c r="BA162" s="129">
        <f t="shared" si="113"/>
      </c>
      <c r="BB162" s="129">
        <f t="shared" si="114"/>
      </c>
      <c r="BD162" s="129">
        <f t="shared" si="115"/>
      </c>
      <c r="BE162" s="129">
        <f t="shared" si="116"/>
      </c>
      <c r="BF162" s="129">
        <f t="shared" si="117"/>
      </c>
      <c r="BG162" s="129">
        <f t="shared" si="118"/>
        <v/>
      </c>
      <c r="BH162" s="129">
        <f t="shared" si="119"/>
        <v/>
      </c>
      <c r="BI162" s="129">
        <f t="shared" si="120"/>
        <v/>
      </c>
      <c r="BJ162" s="129">
        <f t="shared" si="121"/>
        <v/>
      </c>
      <c r="BK162" s="129">
        <f>IF(R162="","",IF(OR(BY162="",BY162=0),"BOX",IFERROR(IF(VLOOKUP(BY162,УГО_блоки,3,FALSE)&amp;""&lt;&gt;"",VLOOKUP(BY162,УГО_блоки,3,FALSE),VLOOKUP(BY162,УГО_блоки,2,FALSE)),BY162)))</f>
      </c>
      <c r="BL162" s="129">
        <f t="shared" si="123"/>
      </c>
      <c r="BM162" s="129">
        <f>IF(H162="","",IF(COUNTIF($H$3:H162,H162)=1,MAX($BM$2:BM161)+1,""))</f>
      </c>
      <c r="BN162" s="129">
        <f>IF(I162="","",IF(COUNTIF($I$3:I162,I162)+COUNTIF($J$2:J161,I162)+COUNTIF($K$2:K161,I162)=1,MAX($BN$2:BP161)+1,""))</f>
      </c>
      <c r="BO162" s="129">
        <f>IF(J162="","",IF(COUNTIF($I$3:I162,J162)+COUNTIF($J$3:J162,J162)+COUNTIF($K$2:K161,J162)=1,MAX($BN$2:BP161,BN162)+1,""))</f>
      </c>
      <c r="BP162" s="129">
        <f>IF(K162="","",IF(COUNTIF($I$3:I162,K162)+COUNTIF($J$3:J162,K162)+COUNTIF($K$3:K162,K162)=1,MAX($BN$2:BP161,BN162,BO162)+1,""))</f>
      </c>
      <c r="BQ162" s="129">
        <f>IF(AY162=1,IFERROR(MID(Q162,FIND(" (",Q162)+2,FIND(")",Q162,FIND(" (",Q162))-FIND(" (",Q162)-2),"?"),"")</f>
      </c>
      <c r="BR162" s="129">
        <f>IF(BQ162="","",IF(COUNTIF($BQ$3:BQ162,BQ162)=1,MAX($BR$2:BR161)+1,""))</f>
      </c>
      <c r="BS162" s="129">
        <f>IF(AW162="","",COUNTIF($AW$3:AW162,"?*"))</f>
      </c>
      <c r="BT162" s="129">
        <f>IF(OR(AW162="",AI162=""),"",IF(COUNTIFS($AW$3:AW162,"?*",$AI$3:AI162,AI162)=1,MAX($BT$2:BT161)+1,""))</f>
      </c>
      <c r="BU162" s="129">
        <f>IF(AE162="",0,IF(OR(ISNUMBER(SEARCH("дубль",AE162)),ISNUMBER(SEARCH("ПЕРЕГРУЗ",AE162)),ISNUMBER(SEARCH("ЗАЩИЩ",AE162)),ISNUMBER(SEARCH("КАНАЛ",AE162)),ISNUMBER(SEARCH("без 30",AE162))),2,1))</f>
      </c>
      <c r="BV162" s="129">
        <f>IF(R162="","",COUNTIF($R$3:R162,"?*"))</f>
      </c>
      <c r="BW162" s="129">
        <f>IF(AY162&lt;&gt;1,0,IF(MAX(IFERROR(--VLOOKUP(R162,УГО_спр,5,FALSE),0),IFERROR(--VLOOKUP(AL162,УГО_спр,5,FALSE),0),IFERROR(--VLOOKUP(LEFT(AL162,2),УГО_спр,5,FALSE),0))&gt;0,MAX(IFERROR(--VLOOKUP(R162,УГО_спр,5,FALSE),0),IFERROR(--VLOOKUP(AL162,УГО_спр,5,FALSE),0),IFERROR(--VLOOKUP(LEFT(AL162,2),УГО_спр,5,FALSE),0)),IF(IFERROR(--LEFT(SUBSTITUTE(BQ162,"x","х"),FIND("х",SUBSTITUTE(BQ162,"x","х"))-1),3)&gt;3,Каталог!$S$9,1)))</f>
      </c>
      <c r="BX162" s="129">
        <f>IF(AY162&lt;&gt;1,0,MAX(0,IFERROR(--LEFT(SUBSTITUTE(BQ162,"x","х"),FIND("х",SUBSTITUTE(BQ162,"x","х"))-1),3)-3*BW162))</f>
      </c>
      <c r="BY162" s="129">
        <f>IF(R162="","",IFERROR(VLOOKUP(R162,УГО_спр,2,FALSE),IFERROR(VLOOKUP(AL162,УГО_спр,2,FALSE),IFERROR(VLOOKUP(LEFT(AL162,2),УГО_спр,2,FALSE),""))))</f>
      </c>
    </row>
    <row r="163" spans="1:64" x14ac:dyDescent="0.3">
      <c r="A163" s="135">
        <f>IF(Разбивка_по_щитам!F163=0,"",Разбивка_по_щитам!F163)</f>
      </c>
      <c r="B163" s="138">
        <f>IF(A163="","",Разбивка_по_щитам!C163)</f>
      </c>
      <c r="C163" s="138">
        <f t="shared" si="86"/>
      </c>
      <c r="D163" s="266"/>
      <c r="E163" s="266"/>
      <c r="F163" s="267"/>
      <c r="G163" s="145">
        <f t="shared" si="87"/>
        <v/>
      </c>
      <c r="H163" s="145">
        <f t="shared" si="88"/>
        <v/>
      </c>
      <c r="I163" s="266"/>
      <c r="J163" s="267"/>
      <c r="K163" s="267"/>
      <c r="L163" s="266"/>
      <c r="M163" s="147">
        <f t="shared" si="124"/>
        <v/>
      </c>
      <c r="N163" s="267"/>
      <c r="O163" s="147">
        <f t="shared" si="125"/>
        <v/>
      </c>
      <c r="P163" s="268">
        <f>IF(AY163=1,"XT"&amp;COUNTIFS($A$3:A163,A163,$AY$3:AY163,1),"")</f>
        <v/>
      </c>
      <c r="Q163" s="152">
        <f>IF(R163="","",IFERROR(SUBSTITUTE(Разбивка_по_щитам!P163,CHAR(10)," "),""))</f>
        <v/>
      </c>
      <c r="R163" s="153">
        <f>IF(OR(Разбивка_по_щитам!H163="",Разбивка_по_щитам!H163=0),"",Разбивка_по_щитам!H163)</f>
        <v/>
      </c>
      <c r="S163" s="154">
        <f>IF(R163="","",IFERROR(Разбивка_по_щитам!J163&amp;"",""))</f>
        <v/>
      </c>
      <c r="T163" s="155">
        <f>IF(R163="","",IFERROR(--Разбивка_по_щитам!L163,""))</f>
        <v/>
      </c>
      <c r="U163" s="155">
        <f>IF(R163="","",IFERROR(--Разбивка_по_щитам!K163,""))</f>
        <v/>
      </c>
      <c r="V163" s="138">
        <f>IF(R163="","",IFERROR(IF(Разбивка_по_щитам!M163=0,"",Разбивка_по_щитам!M163),""))</f>
        <v/>
      </c>
      <c r="W163" s="156">
        <f t="shared" si="89"/>
        <v/>
      </c>
      <c r="X163" s="157">
        <f t="shared" si="90"/>
        <v/>
      </c>
      <c r="Y163" s="266"/>
      <c r="Z163" s="158">
        <f t="shared" si="91"/>
        <v/>
      </c>
      <c r="AA163" s="160">
        <f t="shared" si="92"/>
        <v/>
      </c>
      <c r="AB163" s="160">
        <f>IF(R163="","",IFERROR(LOOKUP(INDEX(Справочная!$I$4:$I$19,MATCH(VLOOKUP(R163,Исходные_данные,22,FALSE),Справочная!$J$4:$J$19,0)+1),{6,10,16,20,25,32,40,50,63,80,100,125}),""))</f>
        <v/>
      </c>
      <c r="AC163" s="160">
        <f t="shared" si="93"/>
        <v/>
      </c>
      <c r="AD163" s="161">
        <f t="shared" si="94"/>
        <v/>
      </c>
      <c r="AE163" s="161">
        <f>IF(AND(R163="",G163=""),"",_xlfn.TEXTJOIN("; ",TRUE,IF(AND(R163&lt;&gt;"",V163=""),"нет фазы",""),IF(AND(R163&lt;&gt;"",N(T163)=0),"нет мощности",""),IF(AND(P163&lt;&gt;"",COUNTIFS($A$3:$A$1000,A163,$P$3:$P$1000,P163)&gt;1),"дубль клеммы "&amp;P163,""),IF(AND(W163&lt;&gt;"",W163&lt;&gt;"ok"),W163,""),IF(X163&lt;&gt;"",X163,""),IF(AND(ISNUMBER(SEARCH("(5х",Q163)),N(AK163)=1),"5 жил на 1 фазе",""),IF(AND(AL163="R",E163&lt;&gt;"",N(AS163)=0),"розетка без 30 мА",""),IF(IFERROR(_xlfn.NUMBERVALUE(MID(Q163,FIND("-",Q163,FIND("L=",Q163))+1,FIND("%",Q163)-FIND("-",Q163,FIND("L=",Q163))-1),","),0)&gt;4,"потери &gt; 4 %","")))</f>
      </c>
      <c r="AF163" s="129">
        <f>IF(E163&lt;&gt;"",COUNTIFS($A$3:A163,A163,$E$3:E163,"?*"),IF(OR(A163&lt;&gt;A162,Y163="вручную"),"",AF162))</f>
      </c>
      <c r="AG163" s="129">
        <f t="shared" si="95"/>
      </c>
      <c r="AH163" s="129">
        <f t="shared" si="96"/>
        <v/>
      </c>
      <c r="AI163" s="129">
        <f t="shared" si="97"/>
        <v/>
      </c>
      <c r="AJ163" s="129">
        <f t="shared" si="98"/>
        <v/>
      </c>
      <c r="AK163" s="129">
        <f t="shared" si="99"/>
        <v/>
      </c>
      <c r="AL163" s="129">
        <f t="shared" si="100"/>
        <v/>
      </c>
      <c r="AM163" s="129">
        <f t="shared" si="101"/>
      </c>
      <c r="AN163" s="129">
        <f t="shared" si="102"/>
      </c>
      <c r="AO163" s="129">
        <f t="shared" si="103"/>
        <v/>
      </c>
      <c r="AP163" s="129">
        <f t="shared" si="104"/>
        <v/>
      </c>
      <c r="AQ163" s="129">
        <f t="shared" si="105"/>
        <v/>
      </c>
      <c r="AR163" s="129">
        <f t="shared" si="106"/>
        <v/>
      </c>
      <c r="AS163" s="129">
        <f t="shared" si="107"/>
        <v/>
      </c>
      <c r="AT163" s="129">
        <f t="shared" si="108"/>
        <v/>
      </c>
      <c r="AU163" s="129">
        <f t="shared" si="109"/>
        <v/>
      </c>
      <c r="AV163" s="129">
        <f t="shared" si="110"/>
        <v/>
      </c>
      <c r="AW163" s="129">
        <f>IF(AV163="","",AV163&amp;"."&amp;COUNTIFS($A$3:A163,A163,$AV$3:AV163,AV163))</f>
        <v/>
      </c>
      <c r="AX163" s="129">
        <f t="shared" si="111"/>
        <v/>
      </c>
      <c r="AY163" s="129">
        <f>IF(N163="б/к",0,IF(OR(ISNUMBER(SEARCH("L=",Разбивка_по_щитам!P163)),N163="+",N163="="),1,0))</f>
      </c>
      <c r="AZ163" s="129">
        <f t="shared" si="112"/>
      </c>
      <c r="BA163" s="129">
        <f t="shared" si="113"/>
      </c>
      <c r="BB163" s="129">
        <f t="shared" si="114"/>
      </c>
      <c r="BD163" s="129">
        <f t="shared" si="115"/>
      </c>
      <c r="BE163" s="129">
        <f t="shared" si="116"/>
      </c>
      <c r="BF163" s="129">
        <f t="shared" si="117"/>
      </c>
      <c r="BG163" s="129">
        <f t="shared" si="118"/>
        <v/>
      </c>
      <c r="BH163" s="129">
        <f t="shared" si="119"/>
        <v/>
      </c>
      <c r="BI163" s="129">
        <f t="shared" si="120"/>
        <v/>
      </c>
      <c r="BJ163" s="129">
        <f t="shared" si="121"/>
        <v/>
      </c>
      <c r="BK163" s="129">
        <f>IF(R163="","",IF(OR(BY163="",BY163=0),"BOX",IFERROR(IF(VLOOKUP(BY163,УГО_блоки,3,FALSE)&amp;""&lt;&gt;"",VLOOKUP(BY163,УГО_блоки,3,FALSE),VLOOKUP(BY163,УГО_блоки,2,FALSE)),BY163)))</f>
      </c>
      <c r="BL163" s="129">
        <f t="shared" si="123"/>
      </c>
      <c r="BM163" s="129">
        <f>IF(H163="","",IF(COUNTIF($H$3:H163,H163)=1,MAX($BM$2:BM162)+1,""))</f>
      </c>
      <c r="BN163" s="129">
        <f>IF(I163="","",IF(COUNTIF($I$3:I163,I163)+COUNTIF($J$2:J162,I163)+COUNTIF($K$2:K162,I163)=1,MAX($BN$2:BP162)+1,""))</f>
      </c>
      <c r="BO163" s="129">
        <f>IF(J163="","",IF(COUNTIF($I$3:I163,J163)+COUNTIF($J$3:J163,J163)+COUNTIF($K$2:K162,J163)=1,MAX($BN$2:BP162,BN163)+1,""))</f>
      </c>
      <c r="BP163" s="129">
        <f>IF(K163="","",IF(COUNTIF($I$3:I163,K163)+COUNTIF($J$3:J163,K163)+COUNTIF($K$3:K163,K163)=1,MAX($BN$2:BP162,BN163,BO163)+1,""))</f>
      </c>
      <c r="BQ163" s="129">
        <f>IF(AY163=1,IFERROR(MID(Q163,FIND(" (",Q163)+2,FIND(")",Q163,FIND(" (",Q163))-FIND(" (",Q163)-2),"?"),"")</f>
      </c>
      <c r="BR163" s="129">
        <f>IF(BQ163="","",IF(COUNTIF($BQ$3:BQ163,BQ163)=1,MAX($BR$2:BR162)+1,""))</f>
      </c>
      <c r="BS163" s="129">
        <f>IF(AW163="","",COUNTIF($AW$3:AW163,"?*"))</f>
      </c>
      <c r="BT163" s="129">
        <f>IF(OR(AW163="",AI163=""),"",IF(COUNTIFS($AW$3:AW163,"?*",$AI$3:AI163,AI163)=1,MAX($BT$2:BT162)+1,""))</f>
      </c>
      <c r="BU163" s="129">
        <f>IF(AE163="",0,IF(OR(ISNUMBER(SEARCH("дубль",AE163)),ISNUMBER(SEARCH("ПЕРЕГРУЗ",AE163)),ISNUMBER(SEARCH("ЗАЩИЩ",AE163)),ISNUMBER(SEARCH("КАНАЛ",AE163)),ISNUMBER(SEARCH("без 30",AE163))),2,1))</f>
      </c>
      <c r="BV163" s="129">
        <f>IF(R163="","",COUNTIF($R$3:R163,"?*"))</f>
      </c>
      <c r="BW163" s="129">
        <f>IF(AY163&lt;&gt;1,0,IF(MAX(IFERROR(--VLOOKUP(R163,УГО_спр,5,FALSE),0),IFERROR(--VLOOKUP(AL163,УГО_спр,5,FALSE),0),IFERROR(--VLOOKUP(LEFT(AL163,2),УГО_спр,5,FALSE),0))&gt;0,MAX(IFERROR(--VLOOKUP(R163,УГО_спр,5,FALSE),0),IFERROR(--VLOOKUP(AL163,УГО_спр,5,FALSE),0),IFERROR(--VLOOKUP(LEFT(AL163,2),УГО_спр,5,FALSE),0)),IF(IFERROR(--LEFT(SUBSTITUTE(BQ163,"x","х"),FIND("х",SUBSTITUTE(BQ163,"x","х"))-1),3)&gt;3,Каталог!$S$9,1)))</f>
      </c>
      <c r="BX163" s="129">
        <f>IF(AY163&lt;&gt;1,0,MAX(0,IFERROR(--LEFT(SUBSTITUTE(BQ163,"x","х"),FIND("х",SUBSTITUTE(BQ163,"x","х"))-1),3)-3*BW163))</f>
      </c>
      <c r="BY163" s="129">
        <f>IF(R163="","",IFERROR(VLOOKUP(R163,УГО_спр,2,FALSE),IFERROR(VLOOKUP(AL163,УГО_спр,2,FALSE),IFERROR(VLOOKUP(LEFT(AL163,2),УГО_спр,2,FALSE),""))))</f>
      </c>
    </row>
    <row r="164" spans="1:64" x14ac:dyDescent="0.3">
      <c r="A164" s="135">
        <f>IF(Разбивка_по_щитам!F164=0,"",Разбивка_по_щитам!F164)</f>
      </c>
      <c r="B164" s="138">
        <f>IF(A164="","",Разбивка_по_щитам!C164)</f>
      </c>
      <c r="C164" s="138">
        <f t="shared" si="86"/>
      </c>
      <c r="D164" s="266"/>
      <c r="E164" s="266"/>
      <c r="F164" s="267"/>
      <c r="G164" s="145">
        <f t="shared" si="87"/>
        <v/>
      </c>
      <c r="H164" s="145">
        <f t="shared" si="88"/>
        <v/>
      </c>
      <c r="I164" s="266"/>
      <c r="J164" s="267"/>
      <c r="K164" s="267"/>
      <c r="L164" s="266"/>
      <c r="M164" s="147">
        <f t="shared" si="124"/>
        <v/>
      </c>
      <c r="N164" s="267"/>
      <c r="O164" s="147">
        <f t="shared" si="125"/>
        <v/>
      </c>
      <c r="P164" s="268">
        <f>IF(AY164=1,"XT"&amp;COUNTIFS($A$3:A164,A164,$AY$3:AY164,1),"")</f>
        <v/>
      </c>
      <c r="Q164" s="152">
        <f>IF(R164="","",IFERROR(SUBSTITUTE(Разбивка_по_щитам!P164,CHAR(10)," "),""))</f>
        <v/>
      </c>
      <c r="R164" s="153">
        <f>IF(OR(Разбивка_по_щитам!H164="",Разбивка_по_щитам!H164=0),"",Разбивка_по_щитам!H164)</f>
        <v/>
      </c>
      <c r="S164" s="154">
        <f>IF(R164="","",IFERROR(Разбивка_по_щитам!J164&amp;"",""))</f>
        <v/>
      </c>
      <c r="T164" s="155">
        <f>IF(R164="","",IFERROR(--Разбивка_по_щитам!L164,""))</f>
        <v/>
      </c>
      <c r="U164" s="155">
        <f>IF(R164="","",IFERROR(--Разбивка_по_щитам!K164,""))</f>
        <v/>
      </c>
      <c r="V164" s="138">
        <f>IF(R164="","",IFERROR(IF(Разбивка_по_щитам!M164=0,"",Разбивка_по_щитам!M164),""))</f>
        <v/>
      </c>
      <c r="W164" s="156">
        <f t="shared" si="89"/>
        <v/>
      </c>
      <c r="X164" s="157">
        <f t="shared" si="90"/>
        <v/>
      </c>
      <c r="Y164" s="266"/>
      <c r="Z164" s="158">
        <f t="shared" si="91"/>
        <v/>
      </c>
      <c r="AA164" s="160">
        <f t="shared" si="92"/>
        <v/>
      </c>
      <c r="AB164" s="160">
        <f>IF(R164="","",IFERROR(LOOKUP(INDEX(Справочная!$I$4:$I$19,MATCH(VLOOKUP(R164,Исходные_данные,22,FALSE),Справочная!$J$4:$J$19,0)+1),{6,10,16,20,25,32,40,50,63,80,100,125}),""))</f>
        <v/>
      </c>
      <c r="AC164" s="160">
        <f t="shared" si="93"/>
        <v/>
      </c>
      <c r="AD164" s="161">
        <f t="shared" si="94"/>
        <v/>
      </c>
      <c r="AE164" s="161">
        <f>IF(AND(R164="",G164=""),"",_xlfn.TEXTJOIN("; ",TRUE,IF(AND(R164&lt;&gt;"",V164=""),"нет фазы",""),IF(AND(R164&lt;&gt;"",N(T164)=0),"нет мощности",""),IF(AND(P164&lt;&gt;"",COUNTIFS($A$3:$A$1000,A164,$P$3:$P$1000,P164)&gt;1),"дубль клеммы "&amp;P164,""),IF(AND(W164&lt;&gt;"",W164&lt;&gt;"ok"),W164,""),IF(X164&lt;&gt;"",X164,""),IF(AND(ISNUMBER(SEARCH("(5х",Q164)),N(AK164)=1),"5 жил на 1 фазе",""),IF(AND(AL164="R",E164&lt;&gt;"",N(AS164)=0),"розетка без 30 мА",""),IF(IFERROR(_xlfn.NUMBERVALUE(MID(Q164,FIND("-",Q164,FIND("L=",Q164))+1,FIND("%",Q164)-FIND("-",Q164,FIND("L=",Q164))-1),","),0)&gt;4,"потери &gt; 4 %","")))</f>
      </c>
      <c r="AF164" s="129">
        <f>IF(E164&lt;&gt;"",COUNTIFS($A$3:A164,A164,$E$3:E164,"?*"),IF(OR(A164&lt;&gt;A163,Y164="вручную"),"",AF163))</f>
      </c>
      <c r="AG164" s="129">
        <f t="shared" si="95"/>
      </c>
      <c r="AH164" s="129">
        <f t="shared" si="96"/>
        <v/>
      </c>
      <c r="AI164" s="129">
        <f t="shared" si="97"/>
        <v/>
      </c>
      <c r="AJ164" s="129">
        <f t="shared" si="98"/>
        <v/>
      </c>
      <c r="AK164" s="129">
        <f t="shared" si="99"/>
        <v/>
      </c>
      <c r="AL164" s="129">
        <f t="shared" si="100"/>
        <v/>
      </c>
      <c r="AM164" s="129">
        <f t="shared" si="101"/>
      </c>
      <c r="AN164" s="129">
        <f t="shared" si="102"/>
      </c>
      <c r="AO164" s="129">
        <f t="shared" si="103"/>
        <v/>
      </c>
      <c r="AP164" s="129">
        <f t="shared" si="104"/>
        <v/>
      </c>
      <c r="AQ164" s="129">
        <f t="shared" si="105"/>
        <v/>
      </c>
      <c r="AR164" s="129">
        <f t="shared" si="106"/>
        <v/>
      </c>
      <c r="AS164" s="129">
        <f t="shared" si="107"/>
        <v/>
      </c>
      <c r="AT164" s="129">
        <f t="shared" si="108"/>
        <v/>
      </c>
      <c r="AU164" s="129">
        <f t="shared" si="109"/>
        <v/>
      </c>
      <c r="AV164" s="129">
        <f t="shared" si="110"/>
        <v/>
      </c>
      <c r="AW164" s="129">
        <f>IF(AV164="","",AV164&amp;"."&amp;COUNTIFS($A$3:A164,A164,$AV$3:AV164,AV164))</f>
        <v/>
      </c>
      <c r="AX164" s="129">
        <f t="shared" si="111"/>
        <v/>
      </c>
      <c r="AY164" s="129">
        <f>IF(N164="б/к",0,IF(OR(ISNUMBER(SEARCH("L=",Разбивка_по_щитам!P164)),N164="+",N164="="),1,0))</f>
      </c>
      <c r="AZ164" s="129">
        <f t="shared" si="112"/>
      </c>
      <c r="BA164" s="129">
        <f t="shared" si="113"/>
      </c>
      <c r="BB164" s="129">
        <f t="shared" si="114"/>
      </c>
      <c r="BD164" s="129">
        <f t="shared" si="115"/>
      </c>
      <c r="BE164" s="129">
        <f t="shared" si="116"/>
      </c>
      <c r="BF164" s="129">
        <f t="shared" si="117"/>
      </c>
      <c r="BG164" s="129">
        <f t="shared" si="118"/>
        <v/>
      </c>
      <c r="BH164" s="129">
        <f t="shared" si="119"/>
        <v/>
      </c>
      <c r="BI164" s="129">
        <f t="shared" si="120"/>
        <v/>
      </c>
      <c r="BJ164" s="129">
        <f t="shared" si="121"/>
        <v/>
      </c>
      <c r="BK164" s="129">
        <f>IF(R164="","",IF(OR(BY164="",BY164=0),"BOX",IFERROR(IF(VLOOKUP(BY164,УГО_блоки,3,FALSE)&amp;""&lt;&gt;"",VLOOKUP(BY164,УГО_блоки,3,FALSE),VLOOKUP(BY164,УГО_блоки,2,FALSE)),BY164)))</f>
      </c>
      <c r="BL164" s="129">
        <f t="shared" si="123"/>
      </c>
      <c r="BM164" s="129">
        <f>IF(H164="","",IF(COUNTIF($H$3:H164,H164)=1,MAX($BM$2:BM163)+1,""))</f>
      </c>
      <c r="BN164" s="129">
        <f>IF(I164="","",IF(COUNTIF($I$3:I164,I164)+COUNTIF($J$2:J163,I164)+COUNTIF($K$2:K163,I164)=1,MAX($BN$2:BP163)+1,""))</f>
      </c>
      <c r="BO164" s="129">
        <f>IF(J164="","",IF(COUNTIF($I$3:I164,J164)+COUNTIF($J$3:J164,J164)+COUNTIF($K$2:K163,J164)=1,MAX($BN$2:BP163,BN164)+1,""))</f>
      </c>
      <c r="BP164" s="129">
        <f>IF(K164="","",IF(COUNTIF($I$3:I164,K164)+COUNTIF($J$3:J164,K164)+COUNTIF($K$3:K164,K164)=1,MAX($BN$2:BP163,BN164,BO164)+1,""))</f>
      </c>
      <c r="BQ164" s="129">
        <f>IF(AY164=1,IFERROR(MID(Q164,FIND(" (",Q164)+2,FIND(")",Q164,FIND(" (",Q164))-FIND(" (",Q164)-2),"?"),"")</f>
      </c>
      <c r="BR164" s="129">
        <f>IF(BQ164="","",IF(COUNTIF($BQ$3:BQ164,BQ164)=1,MAX($BR$2:BR163)+1,""))</f>
      </c>
      <c r="BS164" s="129">
        <f>IF(AW164="","",COUNTIF($AW$3:AW164,"?*"))</f>
      </c>
      <c r="BT164" s="129">
        <f>IF(OR(AW164="",AI164=""),"",IF(COUNTIFS($AW$3:AW164,"?*",$AI$3:AI164,AI164)=1,MAX($BT$2:BT163)+1,""))</f>
      </c>
      <c r="BU164" s="129">
        <f>IF(AE164="",0,IF(OR(ISNUMBER(SEARCH("дубль",AE164)),ISNUMBER(SEARCH("ПЕРЕГРУЗ",AE164)),ISNUMBER(SEARCH("ЗАЩИЩ",AE164)),ISNUMBER(SEARCH("КАНАЛ",AE164)),ISNUMBER(SEARCH("без 30",AE164))),2,1))</f>
      </c>
      <c r="BV164" s="129">
        <f>IF(R164="","",COUNTIF($R$3:R164,"?*"))</f>
      </c>
      <c r="BW164" s="129">
        <f>IF(AY164&lt;&gt;1,0,IF(MAX(IFERROR(--VLOOKUP(R164,УГО_спр,5,FALSE),0),IFERROR(--VLOOKUP(AL164,УГО_спр,5,FALSE),0),IFERROR(--VLOOKUP(LEFT(AL164,2),УГО_спр,5,FALSE),0))&gt;0,MAX(IFERROR(--VLOOKUP(R164,УГО_спр,5,FALSE),0),IFERROR(--VLOOKUP(AL164,УГО_спр,5,FALSE),0),IFERROR(--VLOOKUP(LEFT(AL164,2),УГО_спр,5,FALSE),0)),IF(IFERROR(--LEFT(SUBSTITUTE(BQ164,"x","х"),FIND("х",SUBSTITUTE(BQ164,"x","х"))-1),3)&gt;3,Каталог!$S$9,1)))</f>
      </c>
      <c r="BX164" s="129">
        <f>IF(AY164&lt;&gt;1,0,MAX(0,IFERROR(--LEFT(SUBSTITUTE(BQ164,"x","х"),FIND("х",SUBSTITUTE(BQ164,"x","х"))-1),3)-3*BW164))</f>
      </c>
      <c r="BY164" s="129">
        <f>IF(R164="","",IFERROR(VLOOKUP(R164,УГО_спр,2,FALSE),IFERROR(VLOOKUP(AL164,УГО_спр,2,FALSE),IFERROR(VLOOKUP(LEFT(AL164,2),УГО_спр,2,FALSE),""))))</f>
      </c>
    </row>
    <row r="165" spans="1:64" x14ac:dyDescent="0.3">
      <c r="A165" s="135">
        <f>IF(Разбивка_по_щитам!F165=0,"",Разбивка_по_щитам!F165)</f>
      </c>
      <c r="B165" s="138">
        <f>IF(A165="","",Разбивка_по_щитам!C165)</f>
      </c>
      <c r="C165" s="138">
        <f t="shared" si="86"/>
      </c>
      <c r="D165" s="266"/>
      <c r="E165" s="266"/>
      <c r="F165" s="267"/>
      <c r="G165" s="145">
        <f t="shared" si="87"/>
        <v/>
      </c>
      <c r="H165" s="145">
        <f t="shared" si="88"/>
        <v/>
      </c>
      <c r="I165" s="266"/>
      <c r="J165" s="267"/>
      <c r="K165" s="267"/>
      <c r="L165" s="266"/>
      <c r="M165" s="147">
        <f t="shared" si="124"/>
        <v/>
      </c>
      <c r="N165" s="267"/>
      <c r="O165" s="147">
        <f t="shared" si="125"/>
        <v/>
      </c>
      <c r="P165" s="268">
        <f>IF(AY165=1,"XT"&amp;COUNTIFS($A$3:A165,A165,$AY$3:AY165,1),"")</f>
        <v/>
      </c>
      <c r="Q165" s="152">
        <f>IF(R165="","",IFERROR(SUBSTITUTE(Разбивка_по_щитам!P165,CHAR(10)," "),""))</f>
        <v/>
      </c>
      <c r="R165" s="153">
        <f>IF(OR(Разбивка_по_щитам!H165="",Разбивка_по_щитам!H165=0),"",Разбивка_по_щитам!H165)</f>
        <v/>
      </c>
      <c r="S165" s="154">
        <f>IF(R165="","",IFERROR(Разбивка_по_щитам!J165&amp;"",""))</f>
        <v/>
      </c>
      <c r="T165" s="155">
        <f>IF(R165="","",IFERROR(--Разбивка_по_щитам!L165,""))</f>
        <v/>
      </c>
      <c r="U165" s="155">
        <f>IF(R165="","",IFERROR(--Разбивка_по_щитам!K165,""))</f>
        <v/>
      </c>
      <c r="V165" s="138">
        <f>IF(R165="","",IFERROR(IF(Разбивка_по_щитам!M165=0,"",Разбивка_по_щитам!M165),""))</f>
        <v/>
      </c>
      <c r="W165" s="156">
        <f t="shared" si="89"/>
        <v/>
      </c>
      <c r="X165" s="157">
        <f t="shared" si="90"/>
        <v/>
      </c>
      <c r="Y165" s="266"/>
      <c r="Z165" s="158">
        <f t="shared" si="91"/>
        <v/>
      </c>
      <c r="AA165" s="160">
        <f t="shared" si="92"/>
        <v/>
      </c>
      <c r="AB165" s="160">
        <f>IF(R165="","",IFERROR(LOOKUP(INDEX(Справочная!$I$4:$I$19,MATCH(VLOOKUP(R165,Исходные_данные,22,FALSE),Справочная!$J$4:$J$19,0)+1),{6,10,16,20,25,32,40,50,63,80,100,125}),""))</f>
        <v/>
      </c>
      <c r="AC165" s="160">
        <f t="shared" si="93"/>
        <v/>
      </c>
      <c r="AD165" s="161">
        <f t="shared" si="94"/>
        <v/>
      </c>
      <c r="AE165" s="161">
        <f>IF(AND(R165="",G165=""),"",_xlfn.TEXTJOIN("; ",TRUE,IF(AND(R165&lt;&gt;"",V165=""),"нет фазы",""),IF(AND(R165&lt;&gt;"",N(T165)=0),"нет мощности",""),IF(AND(P165&lt;&gt;"",COUNTIFS($A$3:$A$1000,A165,$P$3:$P$1000,P165)&gt;1),"дубль клеммы "&amp;P165,""),IF(AND(W165&lt;&gt;"",W165&lt;&gt;"ok"),W165,""),IF(X165&lt;&gt;"",X165,""),IF(AND(ISNUMBER(SEARCH("(5х",Q165)),N(AK165)=1),"5 жил на 1 фазе",""),IF(AND(AL165="R",E165&lt;&gt;"",N(AS165)=0),"розетка без 30 мА",""),IF(IFERROR(_xlfn.NUMBERVALUE(MID(Q165,FIND("-",Q165,FIND("L=",Q165))+1,FIND("%",Q165)-FIND("-",Q165,FIND("L=",Q165))-1),","),0)&gt;4,"потери &gt; 4 %","")))</f>
      </c>
      <c r="AF165" s="129">
        <f>IF(E165&lt;&gt;"",COUNTIFS($A$3:A165,A165,$E$3:E165,"?*"),IF(OR(A165&lt;&gt;A164,Y165="вручную"),"",AF164))</f>
      </c>
      <c r="AG165" s="129">
        <f t="shared" si="95"/>
      </c>
      <c r="AH165" s="129">
        <f t="shared" si="96"/>
        <v/>
      </c>
      <c r="AI165" s="129">
        <f t="shared" si="97"/>
        <v/>
      </c>
      <c r="AJ165" s="129">
        <f t="shared" si="98"/>
        <v/>
      </c>
      <c r="AK165" s="129">
        <f t="shared" si="99"/>
        <v/>
      </c>
      <c r="AL165" s="129">
        <f t="shared" si="100"/>
        <v/>
      </c>
      <c r="AM165" s="129">
        <f t="shared" si="101"/>
      </c>
      <c r="AN165" s="129">
        <f t="shared" si="102"/>
      </c>
      <c r="AO165" s="129">
        <f t="shared" si="103"/>
        <v/>
      </c>
      <c r="AP165" s="129">
        <f t="shared" si="104"/>
        <v/>
      </c>
      <c r="AQ165" s="129">
        <f t="shared" si="105"/>
        <v/>
      </c>
      <c r="AR165" s="129">
        <f t="shared" si="106"/>
        <v/>
      </c>
      <c r="AS165" s="129">
        <f t="shared" si="107"/>
        <v/>
      </c>
      <c r="AT165" s="129">
        <f t="shared" si="108"/>
        <v/>
      </c>
      <c r="AU165" s="129">
        <f t="shared" si="109"/>
        <v/>
      </c>
      <c r="AV165" s="129">
        <f t="shared" si="110"/>
        <v/>
      </c>
      <c r="AW165" s="129">
        <f>IF(AV165="","",AV165&amp;"."&amp;COUNTIFS($A$3:A165,A165,$AV$3:AV165,AV165))</f>
        <v/>
      </c>
      <c r="AX165" s="129">
        <f t="shared" si="111"/>
        <v/>
      </c>
      <c r="AY165" s="129">
        <f>IF(N165="б/к",0,IF(OR(ISNUMBER(SEARCH("L=",Разбивка_по_щитам!P165)),N165="+",N165="="),1,0))</f>
      </c>
      <c r="AZ165" s="129">
        <f t="shared" si="112"/>
      </c>
      <c r="BA165" s="129">
        <f t="shared" si="113"/>
      </c>
      <c r="BB165" s="129">
        <f t="shared" si="114"/>
      </c>
      <c r="BD165" s="129">
        <f t="shared" si="115"/>
      </c>
      <c r="BE165" s="129">
        <f t="shared" si="116"/>
      </c>
      <c r="BF165" s="129">
        <f t="shared" si="117"/>
      </c>
      <c r="BG165" s="129">
        <f t="shared" si="118"/>
        <v/>
      </c>
      <c r="BH165" s="129">
        <f t="shared" si="119"/>
        <v/>
      </c>
      <c r="BI165" s="129">
        <f t="shared" si="120"/>
        <v/>
      </c>
      <c r="BJ165" s="129">
        <f t="shared" si="121"/>
        <v/>
      </c>
      <c r="BK165" s="129">
        <f>IF(R165="","",IF(OR(BY165="",BY165=0),"BOX",IFERROR(IF(VLOOKUP(BY165,УГО_блоки,3,FALSE)&amp;""&lt;&gt;"",VLOOKUP(BY165,УГО_блоки,3,FALSE),VLOOKUP(BY165,УГО_блоки,2,FALSE)),BY165)))</f>
      </c>
      <c r="BL165" s="129">
        <f t="shared" si="123"/>
      </c>
      <c r="BM165" s="129">
        <f>IF(H165="","",IF(COUNTIF($H$3:H165,H165)=1,MAX($BM$2:BM164)+1,""))</f>
      </c>
      <c r="BN165" s="129">
        <f>IF(I165="","",IF(COUNTIF($I$3:I165,I165)+COUNTIF($J$2:J164,I165)+COUNTIF($K$2:K164,I165)=1,MAX($BN$2:BP164)+1,""))</f>
      </c>
      <c r="BO165" s="129">
        <f>IF(J165="","",IF(COUNTIF($I$3:I165,J165)+COUNTIF($J$3:J165,J165)+COUNTIF($K$2:K164,J165)=1,MAX($BN$2:BP164,BN165)+1,""))</f>
      </c>
      <c r="BP165" s="129">
        <f>IF(K165="","",IF(COUNTIF($I$3:I165,K165)+COUNTIF($J$3:J165,K165)+COUNTIF($K$3:K165,K165)=1,MAX($BN$2:BP164,BN165,BO165)+1,""))</f>
      </c>
      <c r="BQ165" s="129">
        <f>IF(AY165=1,IFERROR(MID(Q165,FIND(" (",Q165)+2,FIND(")",Q165,FIND(" (",Q165))-FIND(" (",Q165)-2),"?"),"")</f>
      </c>
      <c r="BR165" s="129">
        <f>IF(BQ165="","",IF(COUNTIF($BQ$3:BQ165,BQ165)=1,MAX($BR$2:BR164)+1,""))</f>
      </c>
      <c r="BS165" s="129">
        <f>IF(AW165="","",COUNTIF($AW$3:AW165,"?*"))</f>
      </c>
      <c r="BT165" s="129">
        <f>IF(OR(AW165="",AI165=""),"",IF(COUNTIFS($AW$3:AW165,"?*",$AI$3:AI165,AI165)=1,MAX($BT$2:BT164)+1,""))</f>
      </c>
      <c r="BU165" s="129">
        <f>IF(AE165="",0,IF(OR(ISNUMBER(SEARCH("дубль",AE165)),ISNUMBER(SEARCH("ПЕРЕГРУЗ",AE165)),ISNUMBER(SEARCH("ЗАЩИЩ",AE165)),ISNUMBER(SEARCH("КАНАЛ",AE165)),ISNUMBER(SEARCH("без 30",AE165))),2,1))</f>
      </c>
      <c r="BV165" s="129">
        <f>IF(R165="","",COUNTIF($R$3:R165,"?*"))</f>
      </c>
      <c r="BW165" s="129">
        <f>IF(AY165&lt;&gt;1,0,IF(MAX(IFERROR(--VLOOKUP(R165,УГО_спр,5,FALSE),0),IFERROR(--VLOOKUP(AL165,УГО_спр,5,FALSE),0),IFERROR(--VLOOKUP(LEFT(AL165,2),УГО_спр,5,FALSE),0))&gt;0,MAX(IFERROR(--VLOOKUP(R165,УГО_спр,5,FALSE),0),IFERROR(--VLOOKUP(AL165,УГО_спр,5,FALSE),0),IFERROR(--VLOOKUP(LEFT(AL165,2),УГО_спр,5,FALSE),0)),IF(IFERROR(--LEFT(SUBSTITUTE(BQ165,"x","х"),FIND("х",SUBSTITUTE(BQ165,"x","х"))-1),3)&gt;3,Каталог!$S$9,1)))</f>
      </c>
      <c r="BX165" s="129">
        <f>IF(AY165&lt;&gt;1,0,MAX(0,IFERROR(--LEFT(SUBSTITUTE(BQ165,"x","х"),FIND("х",SUBSTITUTE(BQ165,"x","х"))-1),3)-3*BW165))</f>
      </c>
      <c r="BY165" s="129">
        <f>IF(R165="","",IFERROR(VLOOKUP(R165,УГО_спр,2,FALSE),IFERROR(VLOOKUP(AL165,УГО_спр,2,FALSE),IFERROR(VLOOKUP(LEFT(AL165,2),УГО_спр,2,FALSE),""))))</f>
      </c>
    </row>
    <row r="166" spans="1:64" x14ac:dyDescent="0.3">
      <c r="A166" s="135">
        <f>IF(Разбивка_по_щитам!F166=0,"",Разбивка_по_щитам!F166)</f>
      </c>
      <c r="B166" s="138">
        <f>IF(A166="","",Разбивка_по_щитам!C166)</f>
      </c>
      <c r="C166" s="138">
        <f t="shared" si="86"/>
      </c>
      <c r="D166" s="266"/>
      <c r="E166" s="266"/>
      <c r="F166" s="267"/>
      <c r="G166" s="145">
        <f t="shared" si="87"/>
        <v/>
      </c>
      <c r="H166" s="145">
        <f t="shared" si="88"/>
        <v/>
      </c>
      <c r="I166" s="266"/>
      <c r="J166" s="267"/>
      <c r="K166" s="267"/>
      <c r="L166" s="266"/>
      <c r="M166" s="147">
        <f t="shared" si="124"/>
        <v/>
      </c>
      <c r="N166" s="267"/>
      <c r="O166" s="147">
        <f t="shared" si="125"/>
        <v/>
      </c>
      <c r="P166" s="268">
        <f>IF(AY166=1,"XT"&amp;COUNTIFS($A$3:A166,A166,$AY$3:AY166,1),"")</f>
        <v/>
      </c>
      <c r="Q166" s="152">
        <f>IF(R166="","",IFERROR(SUBSTITUTE(Разбивка_по_щитам!P166,CHAR(10)," "),""))</f>
        <v/>
      </c>
      <c r="R166" s="153">
        <f>IF(OR(Разбивка_по_щитам!H166="",Разбивка_по_щитам!H166=0),"",Разбивка_по_щитам!H166)</f>
        <v/>
      </c>
      <c r="S166" s="154">
        <f>IF(R166="","",IFERROR(Разбивка_по_щитам!J166&amp;"",""))</f>
        <v/>
      </c>
      <c r="T166" s="155">
        <f>IF(R166="","",IFERROR(--Разбивка_по_щитам!L166,""))</f>
        <v/>
      </c>
      <c r="U166" s="155">
        <f>IF(R166="","",IFERROR(--Разбивка_по_щитам!K166,""))</f>
        <v/>
      </c>
      <c r="V166" s="138">
        <f>IF(R166="","",IFERROR(IF(Разбивка_по_щитам!M166=0,"",Разбивка_по_щитам!M166),""))</f>
        <v/>
      </c>
      <c r="W166" s="156">
        <f t="shared" si="89"/>
        <v/>
      </c>
      <c r="X166" s="157">
        <f t="shared" si="90"/>
        <v/>
      </c>
      <c r="Y166" s="266"/>
      <c r="Z166" s="158">
        <f t="shared" si="91"/>
        <v/>
      </c>
      <c r="AA166" s="160">
        <f t="shared" si="92"/>
        <v/>
      </c>
      <c r="AB166" s="160">
        <f>IF(R166="","",IFERROR(LOOKUP(INDEX(Справочная!$I$4:$I$19,MATCH(VLOOKUP(R166,Исходные_данные,22,FALSE),Справочная!$J$4:$J$19,0)+1),{6,10,16,20,25,32,40,50,63,80,100,125}),""))</f>
        <v/>
      </c>
      <c r="AC166" s="160">
        <f t="shared" si="93"/>
        <v/>
      </c>
      <c r="AD166" s="161">
        <f t="shared" si="94"/>
        <v/>
      </c>
      <c r="AE166" s="161">
        <f>IF(AND(R166="",G166=""),"",_xlfn.TEXTJOIN("; ",TRUE,IF(AND(R166&lt;&gt;"",V166=""),"нет фазы",""),IF(AND(R166&lt;&gt;"",N(T166)=0),"нет мощности",""),IF(AND(P166&lt;&gt;"",COUNTIFS($A$3:$A$1000,A166,$P$3:$P$1000,P166)&gt;1),"дубль клеммы "&amp;P166,""),IF(AND(W166&lt;&gt;"",W166&lt;&gt;"ok"),W166,""),IF(X166&lt;&gt;"",X166,""),IF(AND(ISNUMBER(SEARCH("(5х",Q166)),N(AK166)=1),"5 жил на 1 фазе",""),IF(AND(AL166="R",E166&lt;&gt;"",N(AS166)=0),"розетка без 30 мА",""),IF(IFERROR(_xlfn.NUMBERVALUE(MID(Q166,FIND("-",Q166,FIND("L=",Q166))+1,FIND("%",Q166)-FIND("-",Q166,FIND("L=",Q166))-1),","),0)&gt;4,"потери &gt; 4 %","")))</f>
      </c>
      <c r="AF166" s="129">
        <f>IF(E166&lt;&gt;"",COUNTIFS($A$3:A166,A166,$E$3:E166,"?*"),IF(OR(A166&lt;&gt;A165,Y166="вручную"),"",AF165))</f>
      </c>
      <c r="AG166" s="129">
        <f t="shared" si="95"/>
      </c>
      <c r="AH166" s="129">
        <f t="shared" si="96"/>
        <v/>
      </c>
      <c r="AI166" s="129">
        <f t="shared" si="97"/>
        <v/>
      </c>
      <c r="AJ166" s="129">
        <f t="shared" si="98"/>
        <v/>
      </c>
      <c r="AK166" s="129">
        <f t="shared" si="99"/>
        <v/>
      </c>
      <c r="AL166" s="129">
        <f t="shared" si="100"/>
        <v/>
      </c>
      <c r="AM166" s="129">
        <f t="shared" si="101"/>
      </c>
      <c r="AN166" s="129">
        <f t="shared" si="102"/>
      </c>
      <c r="AO166" s="129">
        <f t="shared" si="103"/>
        <v/>
      </c>
      <c r="AP166" s="129">
        <f t="shared" si="104"/>
        <v/>
      </c>
      <c r="AQ166" s="129">
        <f t="shared" si="105"/>
        <v/>
      </c>
      <c r="AR166" s="129">
        <f t="shared" si="106"/>
        <v/>
      </c>
      <c r="AS166" s="129">
        <f t="shared" si="107"/>
        <v/>
      </c>
      <c r="AT166" s="129">
        <f t="shared" si="108"/>
        <v/>
      </c>
      <c r="AU166" s="129">
        <f t="shared" si="109"/>
        <v/>
      </c>
      <c r="AV166" s="129">
        <f t="shared" si="110"/>
        <v/>
      </c>
      <c r="AW166" s="129">
        <f>IF(AV166="","",AV166&amp;"."&amp;COUNTIFS($A$3:A166,A166,$AV$3:AV166,AV166))</f>
        <v/>
      </c>
      <c r="AX166" s="129">
        <f t="shared" si="111"/>
        <v/>
      </c>
      <c r="AY166" s="129">
        <f>IF(N166="б/к",0,IF(OR(ISNUMBER(SEARCH("L=",Разбивка_по_щитам!P166)),N166="+",N166="="),1,0))</f>
      </c>
      <c r="AZ166" s="129">
        <f t="shared" si="112"/>
      </c>
      <c r="BA166" s="129">
        <f t="shared" si="113"/>
      </c>
      <c r="BB166" s="129">
        <f t="shared" si="114"/>
      </c>
      <c r="BD166" s="129">
        <f t="shared" si="115"/>
      </c>
      <c r="BE166" s="129">
        <f t="shared" si="116"/>
      </c>
      <c r="BF166" s="129">
        <f t="shared" si="117"/>
      </c>
      <c r="BG166" s="129">
        <f t="shared" si="118"/>
        <v/>
      </c>
      <c r="BH166" s="129">
        <f t="shared" si="119"/>
        <v/>
      </c>
      <c r="BI166" s="129">
        <f t="shared" si="120"/>
        <v/>
      </c>
      <c r="BJ166" s="129">
        <f t="shared" si="121"/>
        <v/>
      </c>
      <c r="BK166" s="129">
        <f>IF(R166="","",IF(OR(BY166="",BY166=0),"BOX",IFERROR(IF(VLOOKUP(BY166,УГО_блоки,3,FALSE)&amp;""&lt;&gt;"",VLOOKUP(BY166,УГО_блоки,3,FALSE),VLOOKUP(BY166,УГО_блоки,2,FALSE)),BY166)))</f>
      </c>
      <c r="BL166" s="129">
        <f t="shared" si="123"/>
      </c>
      <c r="BM166" s="129">
        <f>IF(H166="","",IF(COUNTIF($H$3:H166,H166)=1,MAX($BM$2:BM165)+1,""))</f>
      </c>
      <c r="BN166" s="129">
        <f>IF(I166="","",IF(COUNTIF($I$3:I166,I166)+COUNTIF($J$2:J165,I166)+COUNTIF($K$2:K165,I166)=1,MAX($BN$2:BP165)+1,""))</f>
      </c>
      <c r="BO166" s="129">
        <f>IF(J166="","",IF(COUNTIF($I$3:I166,J166)+COUNTIF($J$3:J166,J166)+COUNTIF($K$2:K165,J166)=1,MAX($BN$2:BP165,BN166)+1,""))</f>
      </c>
      <c r="BP166" s="129">
        <f>IF(K166="","",IF(COUNTIF($I$3:I166,K166)+COUNTIF($J$3:J166,K166)+COUNTIF($K$3:K166,K166)=1,MAX($BN$2:BP165,BN166,BO166)+1,""))</f>
      </c>
      <c r="BQ166" s="129">
        <f>IF(AY166=1,IFERROR(MID(Q166,FIND(" (",Q166)+2,FIND(")",Q166,FIND(" (",Q166))-FIND(" (",Q166)-2),"?"),"")</f>
      </c>
      <c r="BR166" s="129">
        <f>IF(BQ166="","",IF(COUNTIF($BQ$3:BQ166,BQ166)=1,MAX($BR$2:BR165)+1,""))</f>
      </c>
      <c r="BS166" s="129">
        <f>IF(AW166="","",COUNTIF($AW$3:AW166,"?*"))</f>
      </c>
      <c r="BT166" s="129">
        <f>IF(OR(AW166="",AI166=""),"",IF(COUNTIFS($AW$3:AW166,"?*",$AI$3:AI166,AI166)=1,MAX($BT$2:BT165)+1,""))</f>
      </c>
      <c r="BU166" s="129">
        <f>IF(AE166="",0,IF(OR(ISNUMBER(SEARCH("дубль",AE166)),ISNUMBER(SEARCH("ПЕРЕГРУЗ",AE166)),ISNUMBER(SEARCH("ЗАЩИЩ",AE166)),ISNUMBER(SEARCH("КАНАЛ",AE166)),ISNUMBER(SEARCH("без 30",AE166))),2,1))</f>
      </c>
      <c r="BV166" s="129">
        <f>IF(R166="","",COUNTIF($R$3:R166,"?*"))</f>
      </c>
      <c r="BW166" s="129">
        <f>IF(AY166&lt;&gt;1,0,IF(MAX(IFERROR(--VLOOKUP(R166,УГО_спр,5,FALSE),0),IFERROR(--VLOOKUP(AL166,УГО_спр,5,FALSE),0),IFERROR(--VLOOKUP(LEFT(AL166,2),УГО_спр,5,FALSE),0))&gt;0,MAX(IFERROR(--VLOOKUP(R166,УГО_спр,5,FALSE),0),IFERROR(--VLOOKUP(AL166,УГО_спр,5,FALSE),0),IFERROR(--VLOOKUP(LEFT(AL166,2),УГО_спр,5,FALSE),0)),IF(IFERROR(--LEFT(SUBSTITUTE(BQ166,"x","х"),FIND("х",SUBSTITUTE(BQ166,"x","х"))-1),3)&gt;3,Каталог!$S$9,1)))</f>
      </c>
      <c r="BX166" s="129">
        <f>IF(AY166&lt;&gt;1,0,MAX(0,IFERROR(--LEFT(SUBSTITUTE(BQ166,"x","х"),FIND("х",SUBSTITUTE(BQ166,"x","х"))-1),3)-3*BW166))</f>
      </c>
      <c r="BY166" s="129">
        <f>IF(R166="","",IFERROR(VLOOKUP(R166,УГО_спр,2,FALSE),IFERROR(VLOOKUP(AL166,УГО_спр,2,FALSE),IFERROR(VLOOKUP(LEFT(AL166,2),УГО_спр,2,FALSE),""))))</f>
      </c>
    </row>
    <row r="167" spans="1:64" x14ac:dyDescent="0.3">
      <c r="A167" s="135">
        <f>IF(Разбивка_по_щитам!F167=0,"",Разбивка_по_щитам!F167)</f>
      </c>
      <c r="B167" s="138">
        <f>IF(A167="","",Разбивка_по_щитам!C167)</f>
      </c>
      <c r="C167" s="138">
        <f t="shared" si="86"/>
      </c>
      <c r="D167" s="266"/>
      <c r="E167" s="266"/>
      <c r="F167" s="267"/>
      <c r="G167" s="145">
        <f t="shared" si="87"/>
        <v/>
      </c>
      <c r="H167" s="145">
        <f t="shared" si="88"/>
        <v/>
      </c>
      <c r="I167" s="266"/>
      <c r="J167" s="267"/>
      <c r="K167" s="267"/>
      <c r="L167" s="266"/>
      <c r="M167" s="147">
        <f t="shared" si="124"/>
        <v/>
      </c>
      <c r="N167" s="267"/>
      <c r="O167" s="147">
        <f t="shared" si="125"/>
        <v/>
      </c>
      <c r="P167" s="268">
        <f>IF(AY167=1,"XT"&amp;COUNTIFS($A$3:A167,A167,$AY$3:AY167,1),"")</f>
        <v/>
      </c>
      <c r="Q167" s="152">
        <f>IF(R167="","",IFERROR(SUBSTITUTE(Разбивка_по_щитам!P167,CHAR(10)," "),""))</f>
        <v/>
      </c>
      <c r="R167" s="153">
        <f>IF(OR(Разбивка_по_щитам!H167="",Разбивка_по_щитам!H167=0),"",Разбивка_по_щитам!H167)</f>
        <v/>
      </c>
      <c r="S167" s="154">
        <f>IF(R167="","",IFERROR(Разбивка_по_щитам!J167&amp;"",""))</f>
        <v/>
      </c>
      <c r="T167" s="155">
        <f>IF(R167="","",IFERROR(--Разбивка_по_щитам!L167,""))</f>
        <v/>
      </c>
      <c r="U167" s="155">
        <f>IF(R167="","",IFERROR(--Разбивка_по_щитам!K167,""))</f>
        <v/>
      </c>
      <c r="V167" s="138">
        <f>IF(R167="","",IFERROR(IF(Разбивка_по_щитам!M167=0,"",Разбивка_по_щитам!M167),""))</f>
        <v/>
      </c>
      <c r="W167" s="156">
        <f t="shared" si="89"/>
        <v/>
      </c>
      <c r="X167" s="157">
        <f t="shared" si="90"/>
        <v/>
      </c>
      <c r="Y167" s="266"/>
      <c r="Z167" s="158">
        <f t="shared" si="91"/>
        <v/>
      </c>
      <c r="AA167" s="160">
        <f t="shared" si="92"/>
        <v/>
      </c>
      <c r="AB167" s="160">
        <f>IF(R167="","",IFERROR(LOOKUP(INDEX(Справочная!$I$4:$I$19,MATCH(VLOOKUP(R167,Исходные_данные,22,FALSE),Справочная!$J$4:$J$19,0)+1),{6,10,16,20,25,32,40,50,63,80,100,125}),""))</f>
        <v/>
      </c>
      <c r="AC167" s="160">
        <f t="shared" si="93"/>
        <v/>
      </c>
      <c r="AD167" s="161">
        <f t="shared" si="94"/>
        <v/>
      </c>
      <c r="AE167" s="161">
        <f>IF(AND(R167="",G167=""),"",_xlfn.TEXTJOIN("; ",TRUE,IF(AND(R167&lt;&gt;"",V167=""),"нет фазы",""),IF(AND(R167&lt;&gt;"",N(T167)=0),"нет мощности",""),IF(AND(P167&lt;&gt;"",COUNTIFS($A$3:$A$1000,A167,$P$3:$P$1000,P167)&gt;1),"дубль клеммы "&amp;P167,""),IF(AND(W167&lt;&gt;"",W167&lt;&gt;"ok"),W167,""),IF(X167&lt;&gt;"",X167,""),IF(AND(ISNUMBER(SEARCH("(5х",Q167)),N(AK167)=1),"5 жил на 1 фазе",""),IF(AND(AL167="R",E167&lt;&gt;"",N(AS167)=0),"розетка без 30 мА",""),IF(IFERROR(_xlfn.NUMBERVALUE(MID(Q167,FIND("-",Q167,FIND("L=",Q167))+1,FIND("%",Q167)-FIND("-",Q167,FIND("L=",Q167))-1),","),0)&gt;4,"потери &gt; 4 %","")))</f>
      </c>
      <c r="AF167" s="129">
        <f>IF(E167&lt;&gt;"",COUNTIFS($A$3:A167,A167,$E$3:E167,"?*"),IF(OR(A167&lt;&gt;A166,Y167="вручную"),"",AF166))</f>
      </c>
      <c r="AG167" s="129">
        <f t="shared" si="95"/>
      </c>
      <c r="AH167" s="129">
        <f t="shared" si="96"/>
        <v/>
      </c>
      <c r="AI167" s="129">
        <f t="shared" si="97"/>
        <v/>
      </c>
      <c r="AJ167" s="129">
        <f t="shared" si="98"/>
        <v/>
      </c>
      <c r="AK167" s="129">
        <f t="shared" si="99"/>
        <v/>
      </c>
      <c r="AL167" s="129">
        <f t="shared" si="100"/>
        <v/>
      </c>
      <c r="AM167" s="129">
        <f t="shared" si="101"/>
      </c>
      <c r="AN167" s="129">
        <f t="shared" si="102"/>
      </c>
      <c r="AO167" s="129">
        <f t="shared" si="103"/>
        <v/>
      </c>
      <c r="AP167" s="129">
        <f t="shared" si="104"/>
        <v/>
      </c>
      <c r="AQ167" s="129">
        <f t="shared" si="105"/>
        <v/>
      </c>
      <c r="AR167" s="129">
        <f t="shared" si="106"/>
        <v/>
      </c>
      <c r="AS167" s="129">
        <f t="shared" si="107"/>
        <v/>
      </c>
      <c r="AT167" s="129">
        <f t="shared" si="108"/>
        <v/>
      </c>
      <c r="AU167" s="129">
        <f t="shared" si="109"/>
        <v/>
      </c>
      <c r="AV167" s="129">
        <f t="shared" si="110"/>
        <v/>
      </c>
      <c r="AW167" s="129">
        <f>IF(AV167="","",AV167&amp;"."&amp;COUNTIFS($A$3:A167,A167,$AV$3:AV167,AV167))</f>
        <v/>
      </c>
      <c r="AX167" s="129">
        <f t="shared" si="111"/>
        <v/>
      </c>
      <c r="AY167" s="129">
        <f>IF(N167="б/к",0,IF(OR(ISNUMBER(SEARCH("L=",Разбивка_по_щитам!P167)),N167="+",N167="="),1,0))</f>
      </c>
      <c r="AZ167" s="129">
        <f t="shared" si="112"/>
      </c>
      <c r="BA167" s="129">
        <f t="shared" si="113"/>
      </c>
      <c r="BB167" s="129">
        <f t="shared" si="114"/>
      </c>
      <c r="BD167" s="129">
        <f t="shared" si="115"/>
      </c>
      <c r="BE167" s="129">
        <f t="shared" si="116"/>
      </c>
      <c r="BF167" s="129">
        <f t="shared" si="117"/>
      </c>
      <c r="BG167" s="129">
        <f t="shared" si="118"/>
        <v/>
      </c>
      <c r="BH167" s="129">
        <f t="shared" si="119"/>
        <v/>
      </c>
      <c r="BI167" s="129">
        <f t="shared" si="120"/>
        <v/>
      </c>
      <c r="BJ167" s="129">
        <f t="shared" si="121"/>
        <v/>
      </c>
      <c r="BK167" s="129">
        <f>IF(R167="","",IF(OR(BY167="",BY167=0),"BOX",IFERROR(IF(VLOOKUP(BY167,УГО_блоки,3,FALSE)&amp;""&lt;&gt;"",VLOOKUP(BY167,УГО_блоки,3,FALSE),VLOOKUP(BY167,УГО_блоки,2,FALSE)),BY167)))</f>
      </c>
      <c r="BL167" s="129">
        <f t="shared" si="123"/>
      </c>
      <c r="BM167" s="129">
        <f>IF(H167="","",IF(COUNTIF($H$3:H167,H167)=1,MAX($BM$2:BM166)+1,""))</f>
      </c>
      <c r="BN167" s="129">
        <f>IF(I167="","",IF(COUNTIF($I$3:I167,I167)+COUNTIF($J$2:J166,I167)+COUNTIF($K$2:K166,I167)=1,MAX($BN$2:BP166)+1,""))</f>
      </c>
      <c r="BO167" s="129">
        <f>IF(J167="","",IF(COUNTIF($I$3:I167,J167)+COUNTIF($J$3:J167,J167)+COUNTIF($K$2:K166,J167)=1,MAX($BN$2:BP166,BN167)+1,""))</f>
      </c>
      <c r="BP167" s="129">
        <f>IF(K167="","",IF(COUNTIF($I$3:I167,K167)+COUNTIF($J$3:J167,K167)+COUNTIF($K$3:K167,K167)=1,MAX($BN$2:BP166,BN167,BO167)+1,""))</f>
      </c>
      <c r="BQ167" s="129">
        <f>IF(AY167=1,IFERROR(MID(Q167,FIND(" (",Q167)+2,FIND(")",Q167,FIND(" (",Q167))-FIND(" (",Q167)-2),"?"),"")</f>
      </c>
      <c r="BR167" s="129">
        <f>IF(BQ167="","",IF(COUNTIF($BQ$3:BQ167,BQ167)=1,MAX($BR$2:BR166)+1,""))</f>
      </c>
      <c r="BS167" s="129">
        <f>IF(AW167="","",COUNTIF($AW$3:AW167,"?*"))</f>
      </c>
      <c r="BT167" s="129">
        <f>IF(OR(AW167="",AI167=""),"",IF(COUNTIFS($AW$3:AW167,"?*",$AI$3:AI167,AI167)=1,MAX($BT$2:BT166)+1,""))</f>
      </c>
      <c r="BU167" s="129">
        <f>IF(AE167="",0,IF(OR(ISNUMBER(SEARCH("дубль",AE167)),ISNUMBER(SEARCH("ПЕРЕГРУЗ",AE167)),ISNUMBER(SEARCH("ЗАЩИЩ",AE167)),ISNUMBER(SEARCH("КАНАЛ",AE167)),ISNUMBER(SEARCH("без 30",AE167))),2,1))</f>
      </c>
      <c r="BV167" s="129">
        <f>IF(R167="","",COUNTIF($R$3:R167,"?*"))</f>
      </c>
      <c r="BW167" s="129">
        <f>IF(AY167&lt;&gt;1,0,IF(MAX(IFERROR(--VLOOKUP(R167,УГО_спр,5,FALSE),0),IFERROR(--VLOOKUP(AL167,УГО_спр,5,FALSE),0),IFERROR(--VLOOKUP(LEFT(AL167,2),УГО_спр,5,FALSE),0))&gt;0,MAX(IFERROR(--VLOOKUP(R167,УГО_спр,5,FALSE),0),IFERROR(--VLOOKUP(AL167,УГО_спр,5,FALSE),0),IFERROR(--VLOOKUP(LEFT(AL167,2),УГО_спр,5,FALSE),0)),IF(IFERROR(--LEFT(SUBSTITUTE(BQ167,"x","х"),FIND("х",SUBSTITUTE(BQ167,"x","х"))-1),3)&gt;3,Каталог!$S$9,1)))</f>
      </c>
      <c r="BX167" s="129">
        <f>IF(AY167&lt;&gt;1,0,MAX(0,IFERROR(--LEFT(SUBSTITUTE(BQ167,"x","х"),FIND("х",SUBSTITUTE(BQ167,"x","х"))-1),3)-3*BW167))</f>
      </c>
      <c r="BY167" s="129">
        <f>IF(R167="","",IFERROR(VLOOKUP(R167,УГО_спр,2,FALSE),IFERROR(VLOOKUP(AL167,УГО_спр,2,FALSE),IFERROR(VLOOKUP(LEFT(AL167,2),УГО_спр,2,FALSE),""))))</f>
      </c>
    </row>
    <row r="168" spans="1:64" x14ac:dyDescent="0.3">
      <c r="A168" s="135">
        <f>IF(Разбивка_по_щитам!F168=0,"",Разбивка_по_щитам!F168)</f>
      </c>
      <c r="B168" s="138">
        <f>IF(A168="","",Разбивка_по_щитам!C168)</f>
      </c>
      <c r="C168" s="138">
        <f t="shared" si="86"/>
      </c>
      <c r="D168" s="266"/>
      <c r="E168" s="266"/>
      <c r="F168" s="267"/>
      <c r="G168" s="145">
        <f t="shared" si="87"/>
        <v/>
      </c>
      <c r="H168" s="145">
        <f t="shared" si="88"/>
        <v/>
      </c>
      <c r="I168" s="266"/>
      <c r="J168" s="267"/>
      <c r="K168" s="267"/>
      <c r="L168" s="266"/>
      <c r="M168" s="147">
        <f t="shared" si="124"/>
        <v/>
      </c>
      <c r="N168" s="267"/>
      <c r="O168" s="147">
        <f t="shared" si="125"/>
        <v/>
      </c>
      <c r="P168" s="268">
        <f>IF(AY168=1,"XT"&amp;COUNTIFS($A$3:A168,A168,$AY$3:AY168,1),"")</f>
        <v/>
      </c>
      <c r="Q168" s="152">
        <f>IF(R168="","",IFERROR(SUBSTITUTE(Разбивка_по_щитам!P168,CHAR(10)," "),""))</f>
        <v/>
      </c>
      <c r="R168" s="153">
        <f>IF(OR(Разбивка_по_щитам!H168="",Разбивка_по_щитам!H168=0),"",Разбивка_по_щитам!H168)</f>
        <v/>
      </c>
      <c r="S168" s="154">
        <f>IF(R168="","",IFERROR(Разбивка_по_щитам!J168&amp;"",""))</f>
        <v/>
      </c>
      <c r="T168" s="155">
        <f>IF(R168="","",IFERROR(--Разбивка_по_щитам!L168,""))</f>
        <v/>
      </c>
      <c r="U168" s="155">
        <f>IF(R168="","",IFERROR(--Разбивка_по_щитам!K168,""))</f>
        <v/>
      </c>
      <c r="V168" s="138">
        <f>IF(R168="","",IFERROR(IF(Разбивка_по_щитам!M168=0,"",Разбивка_по_щитам!M168),""))</f>
        <v/>
      </c>
      <c r="W168" s="156">
        <f t="shared" si="89"/>
        <v/>
      </c>
      <c r="X168" s="157">
        <f t="shared" si="90"/>
        <v/>
      </c>
      <c r="Y168" s="266"/>
      <c r="Z168" s="158">
        <f t="shared" si="91"/>
        <v/>
      </c>
      <c r="AA168" s="160">
        <f t="shared" si="92"/>
        <v/>
      </c>
      <c r="AB168" s="160">
        <f>IF(R168="","",IFERROR(LOOKUP(INDEX(Справочная!$I$4:$I$19,MATCH(VLOOKUP(R168,Исходные_данные,22,FALSE),Справочная!$J$4:$J$19,0)+1),{6,10,16,20,25,32,40,50,63,80,100,125}),""))</f>
        <v/>
      </c>
      <c r="AC168" s="160">
        <f t="shared" si="93"/>
        <v/>
      </c>
      <c r="AD168" s="161">
        <f t="shared" si="94"/>
        <v/>
      </c>
      <c r="AE168" s="161">
        <f>IF(AND(R168="",G168=""),"",_xlfn.TEXTJOIN("; ",TRUE,IF(AND(R168&lt;&gt;"",V168=""),"нет фазы",""),IF(AND(R168&lt;&gt;"",N(T168)=0),"нет мощности",""),IF(AND(P168&lt;&gt;"",COUNTIFS($A$3:$A$1000,A168,$P$3:$P$1000,P168)&gt;1),"дубль клеммы "&amp;P168,""),IF(AND(W168&lt;&gt;"",W168&lt;&gt;"ok"),W168,""),IF(X168&lt;&gt;"",X168,""),IF(AND(ISNUMBER(SEARCH("(5х",Q168)),N(AK168)=1),"5 жил на 1 фазе",""),IF(AND(AL168="R",E168&lt;&gt;"",N(AS168)=0),"розетка без 30 мА",""),IF(IFERROR(_xlfn.NUMBERVALUE(MID(Q168,FIND("-",Q168,FIND("L=",Q168))+1,FIND("%",Q168)-FIND("-",Q168,FIND("L=",Q168))-1),","),0)&gt;4,"потери &gt; 4 %","")))</f>
      </c>
      <c r="AF168" s="129">
        <f>IF(E168&lt;&gt;"",COUNTIFS($A$3:A168,A168,$E$3:E168,"?*"),IF(OR(A168&lt;&gt;A167,Y168="вручную"),"",AF167))</f>
      </c>
      <c r="AG168" s="129">
        <f t="shared" si="95"/>
      </c>
      <c r="AH168" s="129">
        <f t="shared" si="96"/>
        <v/>
      </c>
      <c r="AI168" s="129">
        <f t="shared" si="97"/>
        <v/>
      </c>
      <c r="AJ168" s="129">
        <f t="shared" si="98"/>
        <v/>
      </c>
      <c r="AK168" s="129">
        <f t="shared" si="99"/>
        <v/>
      </c>
      <c r="AL168" s="129">
        <f t="shared" si="100"/>
        <v/>
      </c>
      <c r="AM168" s="129">
        <f t="shared" si="101"/>
      </c>
      <c r="AN168" s="129">
        <f t="shared" si="102"/>
      </c>
      <c r="AO168" s="129">
        <f t="shared" si="103"/>
        <v/>
      </c>
      <c r="AP168" s="129">
        <f t="shared" si="104"/>
        <v/>
      </c>
      <c r="AQ168" s="129">
        <f t="shared" si="105"/>
        <v/>
      </c>
      <c r="AR168" s="129">
        <f t="shared" si="106"/>
        <v/>
      </c>
      <c r="AS168" s="129">
        <f t="shared" si="107"/>
        <v/>
      </c>
      <c r="AT168" s="129">
        <f t="shared" si="108"/>
        <v/>
      </c>
      <c r="AU168" s="129">
        <f t="shared" si="109"/>
        <v/>
      </c>
      <c r="AV168" s="129">
        <f t="shared" si="110"/>
        <v/>
      </c>
      <c r="AW168" s="129">
        <f>IF(AV168="","",AV168&amp;"."&amp;COUNTIFS($A$3:A168,A168,$AV$3:AV168,AV168))</f>
        <v/>
      </c>
      <c r="AX168" s="129">
        <f t="shared" si="111"/>
        <v/>
      </c>
      <c r="AY168" s="129">
        <f>IF(N168="б/к",0,IF(OR(ISNUMBER(SEARCH("L=",Разбивка_по_щитам!P168)),N168="+",N168="="),1,0))</f>
      </c>
      <c r="AZ168" s="129">
        <f t="shared" si="112"/>
      </c>
      <c r="BA168" s="129">
        <f t="shared" si="113"/>
      </c>
      <c r="BB168" s="129">
        <f t="shared" si="114"/>
      </c>
      <c r="BD168" s="129">
        <f t="shared" si="115"/>
      </c>
      <c r="BE168" s="129">
        <f t="shared" si="116"/>
      </c>
      <c r="BF168" s="129">
        <f t="shared" si="117"/>
      </c>
      <c r="BG168" s="129">
        <f t="shared" si="118"/>
        <v/>
      </c>
      <c r="BH168" s="129">
        <f t="shared" si="119"/>
        <v/>
      </c>
      <c r="BI168" s="129">
        <f t="shared" si="120"/>
        <v/>
      </c>
      <c r="BJ168" s="129">
        <f t="shared" si="121"/>
        <v/>
      </c>
      <c r="BK168" s="129">
        <f>IF(R168="","",IF(OR(BY168="",BY168=0),"BOX",IFERROR(IF(VLOOKUP(BY168,УГО_блоки,3,FALSE)&amp;""&lt;&gt;"",VLOOKUP(BY168,УГО_блоки,3,FALSE),VLOOKUP(BY168,УГО_блоки,2,FALSE)),BY168)))</f>
      </c>
      <c r="BL168" s="129">
        <f t="shared" si="123"/>
      </c>
      <c r="BM168" s="129">
        <f>IF(H168="","",IF(COUNTIF($H$3:H168,H168)=1,MAX($BM$2:BM167)+1,""))</f>
      </c>
      <c r="BN168" s="129">
        <f>IF(I168="","",IF(COUNTIF($I$3:I168,I168)+COUNTIF($J$2:J167,I168)+COUNTIF($K$2:K167,I168)=1,MAX($BN$2:BP167)+1,""))</f>
      </c>
      <c r="BO168" s="129">
        <f>IF(J168="","",IF(COUNTIF($I$3:I168,J168)+COUNTIF($J$3:J168,J168)+COUNTIF($K$2:K167,J168)=1,MAX($BN$2:BP167,BN168)+1,""))</f>
      </c>
      <c r="BP168" s="129">
        <f>IF(K168="","",IF(COUNTIF($I$3:I168,K168)+COUNTIF($J$3:J168,K168)+COUNTIF($K$3:K168,K168)=1,MAX($BN$2:BP167,BN168,BO168)+1,""))</f>
      </c>
      <c r="BQ168" s="129">
        <f>IF(AY168=1,IFERROR(MID(Q168,FIND(" (",Q168)+2,FIND(")",Q168,FIND(" (",Q168))-FIND(" (",Q168)-2),"?"),"")</f>
      </c>
      <c r="BR168" s="129">
        <f>IF(BQ168="","",IF(COUNTIF($BQ$3:BQ168,BQ168)=1,MAX($BR$2:BR167)+1,""))</f>
      </c>
      <c r="BS168" s="129">
        <f>IF(AW168="","",COUNTIF($AW$3:AW168,"?*"))</f>
      </c>
      <c r="BT168" s="129">
        <f>IF(OR(AW168="",AI168=""),"",IF(COUNTIFS($AW$3:AW168,"?*",$AI$3:AI168,AI168)=1,MAX($BT$2:BT167)+1,""))</f>
      </c>
      <c r="BU168" s="129">
        <f>IF(AE168="",0,IF(OR(ISNUMBER(SEARCH("дубль",AE168)),ISNUMBER(SEARCH("ПЕРЕГРУЗ",AE168)),ISNUMBER(SEARCH("ЗАЩИЩ",AE168)),ISNUMBER(SEARCH("КАНАЛ",AE168)),ISNUMBER(SEARCH("без 30",AE168))),2,1))</f>
      </c>
      <c r="BV168" s="129">
        <f>IF(R168="","",COUNTIF($R$3:R168,"?*"))</f>
      </c>
      <c r="BW168" s="129">
        <f>IF(AY168&lt;&gt;1,0,IF(MAX(IFERROR(--VLOOKUP(R168,УГО_спр,5,FALSE),0),IFERROR(--VLOOKUP(AL168,УГО_спр,5,FALSE),0),IFERROR(--VLOOKUP(LEFT(AL168,2),УГО_спр,5,FALSE),0))&gt;0,MAX(IFERROR(--VLOOKUP(R168,УГО_спр,5,FALSE),0),IFERROR(--VLOOKUP(AL168,УГО_спр,5,FALSE),0),IFERROR(--VLOOKUP(LEFT(AL168,2),УГО_спр,5,FALSE),0)),IF(IFERROR(--LEFT(SUBSTITUTE(BQ168,"x","х"),FIND("х",SUBSTITUTE(BQ168,"x","х"))-1),3)&gt;3,Каталог!$S$9,1)))</f>
      </c>
      <c r="BX168" s="129">
        <f>IF(AY168&lt;&gt;1,0,MAX(0,IFERROR(--LEFT(SUBSTITUTE(BQ168,"x","х"),FIND("х",SUBSTITUTE(BQ168,"x","х"))-1),3)-3*BW168))</f>
      </c>
      <c r="BY168" s="129">
        <f>IF(R168="","",IFERROR(VLOOKUP(R168,УГО_спр,2,FALSE),IFERROR(VLOOKUP(AL168,УГО_спр,2,FALSE),IFERROR(VLOOKUP(LEFT(AL168,2),УГО_спр,2,FALSE),""))))</f>
      </c>
    </row>
    <row r="169" spans="1:64" x14ac:dyDescent="0.3">
      <c r="A169" s="135">
        <f>IF(Разбивка_по_щитам!F169=0,"",Разбивка_по_щитам!F169)</f>
      </c>
      <c r="B169" s="138">
        <f>IF(A169="","",Разбивка_по_щитам!C169)</f>
      </c>
      <c r="C169" s="138">
        <f t="shared" si="86"/>
      </c>
      <c r="D169" s="266"/>
      <c r="E169" s="266"/>
      <c r="F169" s="267"/>
      <c r="G169" s="145">
        <f t="shared" si="87"/>
        <v/>
      </c>
      <c r="H169" s="145">
        <f t="shared" si="88"/>
        <v/>
      </c>
      <c r="I169" s="266"/>
      <c r="J169" s="267"/>
      <c r="K169" s="267"/>
      <c r="L169" s="266"/>
      <c r="M169" s="147">
        <f t="shared" si="124"/>
        <v/>
      </c>
      <c r="N169" s="267"/>
      <c r="O169" s="147">
        <f t="shared" si="125"/>
        <v/>
      </c>
      <c r="P169" s="268">
        <f>IF(AY169=1,"XT"&amp;COUNTIFS($A$3:A169,A169,$AY$3:AY169,1),"")</f>
        <v/>
      </c>
      <c r="Q169" s="152">
        <f>IF(R169="","",IFERROR(SUBSTITUTE(Разбивка_по_щитам!P169,CHAR(10)," "),""))</f>
        <v/>
      </c>
      <c r="R169" s="153">
        <f>IF(OR(Разбивка_по_щитам!H169="",Разбивка_по_щитам!H169=0),"",Разбивка_по_щитам!H169)</f>
        <v/>
      </c>
      <c r="S169" s="154">
        <f>IF(R169="","",IFERROR(Разбивка_по_щитам!J169&amp;"",""))</f>
        <v/>
      </c>
      <c r="T169" s="155">
        <f>IF(R169="","",IFERROR(--Разбивка_по_щитам!L169,""))</f>
        <v/>
      </c>
      <c r="U169" s="155">
        <f>IF(R169="","",IFERROR(--Разбивка_по_щитам!K169,""))</f>
        <v/>
      </c>
      <c r="V169" s="138">
        <f>IF(R169="","",IFERROR(IF(Разбивка_по_щитам!M169=0,"",Разбивка_по_щитам!M169),""))</f>
        <v/>
      </c>
      <c r="W169" s="156">
        <f t="shared" si="89"/>
        <v/>
      </c>
      <c r="X169" s="157">
        <f t="shared" si="90"/>
        <v/>
      </c>
      <c r="Y169" s="266"/>
      <c r="Z169" s="158">
        <f t="shared" si="91"/>
        <v/>
      </c>
      <c r="AA169" s="160">
        <f t="shared" si="92"/>
        <v/>
      </c>
      <c r="AB169" s="160">
        <f>IF(R169="","",IFERROR(LOOKUP(INDEX(Справочная!$I$4:$I$19,MATCH(VLOOKUP(R169,Исходные_данные,22,FALSE),Справочная!$J$4:$J$19,0)+1),{6,10,16,20,25,32,40,50,63,80,100,125}),""))</f>
        <v/>
      </c>
      <c r="AC169" s="160">
        <f t="shared" si="93"/>
        <v/>
      </c>
      <c r="AD169" s="161">
        <f t="shared" si="94"/>
        <v/>
      </c>
      <c r="AE169" s="161">
        <f>IF(AND(R169="",G169=""),"",_xlfn.TEXTJOIN("; ",TRUE,IF(AND(R169&lt;&gt;"",V169=""),"нет фазы",""),IF(AND(R169&lt;&gt;"",N(T169)=0),"нет мощности",""),IF(AND(P169&lt;&gt;"",COUNTIFS($A$3:$A$1000,A169,$P$3:$P$1000,P169)&gt;1),"дубль клеммы "&amp;P169,""),IF(AND(W169&lt;&gt;"",W169&lt;&gt;"ok"),W169,""),IF(X169&lt;&gt;"",X169,""),IF(AND(ISNUMBER(SEARCH("(5х",Q169)),N(AK169)=1),"5 жил на 1 фазе",""),IF(AND(AL169="R",E169&lt;&gt;"",N(AS169)=0),"розетка без 30 мА",""),IF(IFERROR(_xlfn.NUMBERVALUE(MID(Q169,FIND("-",Q169,FIND("L=",Q169))+1,FIND("%",Q169)-FIND("-",Q169,FIND("L=",Q169))-1),","),0)&gt;4,"потери &gt; 4 %","")))</f>
      </c>
      <c r="AF169" s="129">
        <f>IF(E169&lt;&gt;"",COUNTIFS($A$3:A169,A169,$E$3:E169,"?*"),IF(OR(A169&lt;&gt;A168,Y169="вручную"),"",AF168))</f>
      </c>
      <c r="AG169" s="129">
        <f t="shared" si="95"/>
      </c>
      <c r="AH169" s="129">
        <f t="shared" si="96"/>
        <v/>
      </c>
      <c r="AI169" s="129">
        <f t="shared" si="97"/>
        <v/>
      </c>
      <c r="AJ169" s="129">
        <f t="shared" si="98"/>
        <v/>
      </c>
      <c r="AK169" s="129">
        <f t="shared" si="99"/>
        <v/>
      </c>
      <c r="AL169" s="129">
        <f t="shared" si="100"/>
        <v/>
      </c>
      <c r="AM169" s="129">
        <f t="shared" si="101"/>
      </c>
      <c r="AN169" s="129">
        <f t="shared" si="102"/>
      </c>
      <c r="AO169" s="129">
        <f t="shared" si="103"/>
        <v/>
      </c>
      <c r="AP169" s="129">
        <f t="shared" si="104"/>
        <v/>
      </c>
      <c r="AQ169" s="129">
        <f t="shared" si="105"/>
        <v/>
      </c>
      <c r="AR169" s="129">
        <f t="shared" si="106"/>
        <v/>
      </c>
      <c r="AS169" s="129">
        <f t="shared" si="107"/>
        <v/>
      </c>
      <c r="AT169" s="129">
        <f t="shared" si="108"/>
        <v/>
      </c>
      <c r="AU169" s="129">
        <f t="shared" si="109"/>
        <v/>
      </c>
      <c r="AV169" s="129">
        <f t="shared" si="110"/>
        <v/>
      </c>
      <c r="AW169" s="129">
        <f>IF(AV169="","",AV169&amp;"."&amp;COUNTIFS($A$3:A169,A169,$AV$3:AV169,AV169))</f>
        <v/>
      </c>
      <c r="AX169" s="129">
        <f t="shared" si="111"/>
        <v/>
      </c>
      <c r="AY169" s="129">
        <f>IF(N169="б/к",0,IF(OR(ISNUMBER(SEARCH("L=",Разбивка_по_щитам!P169)),N169="+",N169="="),1,0))</f>
      </c>
      <c r="AZ169" s="129">
        <f t="shared" si="112"/>
      </c>
      <c r="BA169" s="129">
        <f t="shared" si="113"/>
      </c>
      <c r="BB169" s="129">
        <f t="shared" si="114"/>
      </c>
      <c r="BD169" s="129">
        <f t="shared" si="115"/>
      </c>
      <c r="BE169" s="129">
        <f t="shared" si="116"/>
      </c>
      <c r="BF169" s="129">
        <f t="shared" si="117"/>
      </c>
      <c r="BG169" s="129">
        <f t="shared" si="118"/>
        <v/>
      </c>
      <c r="BH169" s="129">
        <f t="shared" si="119"/>
        <v/>
      </c>
      <c r="BI169" s="129">
        <f t="shared" si="120"/>
        <v/>
      </c>
      <c r="BJ169" s="129">
        <f t="shared" si="121"/>
        <v/>
      </c>
      <c r="BK169" s="129">
        <f>IF(R169="","",IF(OR(BY169="",BY169=0),"BOX",IFERROR(IF(VLOOKUP(BY169,УГО_блоки,3,FALSE)&amp;""&lt;&gt;"",VLOOKUP(BY169,УГО_блоки,3,FALSE),VLOOKUP(BY169,УГО_блоки,2,FALSE)),BY169)))</f>
      </c>
      <c r="BL169" s="129">
        <f t="shared" si="123"/>
      </c>
      <c r="BM169" s="129">
        <f>IF(H169="","",IF(COUNTIF($H$3:H169,H169)=1,MAX($BM$2:BM168)+1,""))</f>
      </c>
      <c r="BN169" s="129">
        <f>IF(I169="","",IF(COUNTIF($I$3:I169,I169)+COUNTIF($J$2:J168,I169)+COUNTIF($K$2:K168,I169)=1,MAX($BN$2:BP168)+1,""))</f>
      </c>
      <c r="BO169" s="129">
        <f>IF(J169="","",IF(COUNTIF($I$3:I169,J169)+COUNTIF($J$3:J169,J169)+COUNTIF($K$2:K168,J169)=1,MAX($BN$2:BP168,BN169)+1,""))</f>
      </c>
      <c r="BP169" s="129">
        <f>IF(K169="","",IF(COUNTIF($I$3:I169,K169)+COUNTIF($J$3:J169,K169)+COUNTIF($K$3:K169,K169)=1,MAX($BN$2:BP168,BN169,BO169)+1,""))</f>
      </c>
      <c r="BQ169" s="129">
        <f>IF(AY169=1,IFERROR(MID(Q169,FIND(" (",Q169)+2,FIND(")",Q169,FIND(" (",Q169))-FIND(" (",Q169)-2),"?"),"")</f>
      </c>
      <c r="BR169" s="129">
        <f>IF(BQ169="","",IF(COUNTIF($BQ$3:BQ169,BQ169)=1,MAX($BR$2:BR168)+1,""))</f>
      </c>
      <c r="BS169" s="129">
        <f>IF(AW169="","",COUNTIF($AW$3:AW169,"?*"))</f>
      </c>
      <c r="BT169" s="129">
        <f>IF(OR(AW169="",AI169=""),"",IF(COUNTIFS($AW$3:AW169,"?*",$AI$3:AI169,AI169)=1,MAX($BT$2:BT168)+1,""))</f>
      </c>
      <c r="BU169" s="129">
        <f>IF(AE169="",0,IF(OR(ISNUMBER(SEARCH("дубль",AE169)),ISNUMBER(SEARCH("ПЕРЕГРУЗ",AE169)),ISNUMBER(SEARCH("ЗАЩИЩ",AE169)),ISNUMBER(SEARCH("КАНАЛ",AE169)),ISNUMBER(SEARCH("без 30",AE169))),2,1))</f>
      </c>
      <c r="BV169" s="129">
        <f>IF(R169="","",COUNTIF($R$3:R169,"?*"))</f>
      </c>
      <c r="BW169" s="129">
        <f>IF(AY169&lt;&gt;1,0,IF(MAX(IFERROR(--VLOOKUP(R169,УГО_спр,5,FALSE),0),IFERROR(--VLOOKUP(AL169,УГО_спр,5,FALSE),0),IFERROR(--VLOOKUP(LEFT(AL169,2),УГО_спр,5,FALSE),0))&gt;0,MAX(IFERROR(--VLOOKUP(R169,УГО_спр,5,FALSE),0),IFERROR(--VLOOKUP(AL169,УГО_спр,5,FALSE),0),IFERROR(--VLOOKUP(LEFT(AL169,2),УГО_спр,5,FALSE),0)),IF(IFERROR(--LEFT(SUBSTITUTE(BQ169,"x","х"),FIND("х",SUBSTITUTE(BQ169,"x","х"))-1),3)&gt;3,Каталог!$S$9,1)))</f>
      </c>
      <c r="BX169" s="129">
        <f>IF(AY169&lt;&gt;1,0,MAX(0,IFERROR(--LEFT(SUBSTITUTE(BQ169,"x","х"),FIND("х",SUBSTITUTE(BQ169,"x","х"))-1),3)-3*BW169))</f>
      </c>
      <c r="BY169" s="129">
        <f>IF(R169="","",IFERROR(VLOOKUP(R169,УГО_спр,2,FALSE),IFERROR(VLOOKUP(AL169,УГО_спр,2,FALSE),IFERROR(VLOOKUP(LEFT(AL169,2),УГО_спр,2,FALSE),""))))</f>
      </c>
    </row>
    <row r="170" spans="1:64" x14ac:dyDescent="0.3">
      <c r="A170" s="135">
        <f>IF(Разбивка_по_щитам!F170=0,"",Разбивка_по_щитам!F170)</f>
      </c>
      <c r="B170" s="138">
        <f>IF(A170="","",Разбивка_по_щитам!C170)</f>
      </c>
      <c r="C170" s="138">
        <f t="shared" si="86"/>
      </c>
      <c r="D170" s="266"/>
      <c r="E170" s="266"/>
      <c r="F170" s="267"/>
      <c r="G170" s="145">
        <f t="shared" si="87"/>
        <v/>
      </c>
      <c r="H170" s="145">
        <f t="shared" si="88"/>
        <v/>
      </c>
      <c r="I170" s="266"/>
      <c r="J170" s="267"/>
      <c r="K170" s="267"/>
      <c r="L170" s="266"/>
      <c r="M170" s="147">
        <f t="shared" si="124"/>
        <v/>
      </c>
      <c r="N170" s="267"/>
      <c r="O170" s="147">
        <f t="shared" si="125"/>
        <v/>
      </c>
      <c r="P170" s="268">
        <f>IF(AY170=1,"XT"&amp;COUNTIFS($A$3:A170,A170,$AY$3:AY170,1),"")</f>
        <v/>
      </c>
      <c r="Q170" s="152">
        <f>IF(R170="","",IFERROR(SUBSTITUTE(Разбивка_по_щитам!P170,CHAR(10)," "),""))</f>
        <v/>
      </c>
      <c r="R170" s="153">
        <f>IF(OR(Разбивка_по_щитам!H170="",Разбивка_по_щитам!H170=0),"",Разбивка_по_щитам!H170)</f>
        <v/>
      </c>
      <c r="S170" s="154">
        <f>IF(R170="","",IFERROR(Разбивка_по_щитам!J170&amp;"",""))</f>
        <v/>
      </c>
      <c r="T170" s="155">
        <f>IF(R170="","",IFERROR(--Разбивка_по_щитам!L170,""))</f>
        <v/>
      </c>
      <c r="U170" s="155">
        <f>IF(R170="","",IFERROR(--Разбивка_по_щитам!K170,""))</f>
        <v/>
      </c>
      <c r="V170" s="138">
        <f>IF(R170="","",IFERROR(IF(Разбивка_по_щитам!M170=0,"",Разбивка_по_щитам!M170),""))</f>
        <v/>
      </c>
      <c r="W170" s="156">
        <f t="shared" si="89"/>
        <v/>
      </c>
      <c r="X170" s="157">
        <f t="shared" si="90"/>
        <v/>
      </c>
      <c r="Y170" s="266"/>
      <c r="Z170" s="158">
        <f t="shared" si="91"/>
        <v/>
      </c>
      <c r="AA170" s="160">
        <f t="shared" si="92"/>
        <v/>
      </c>
      <c r="AB170" s="160">
        <f>IF(R170="","",IFERROR(LOOKUP(INDEX(Справочная!$I$4:$I$19,MATCH(VLOOKUP(R170,Исходные_данные,22,FALSE),Справочная!$J$4:$J$19,0)+1),{6,10,16,20,25,32,40,50,63,80,100,125}),""))</f>
        <v/>
      </c>
      <c r="AC170" s="160">
        <f t="shared" si="93"/>
        <v/>
      </c>
      <c r="AD170" s="161">
        <f t="shared" si="94"/>
        <v/>
      </c>
      <c r="AE170" s="161">
        <f>IF(AND(R170="",G170=""),"",_xlfn.TEXTJOIN("; ",TRUE,IF(AND(R170&lt;&gt;"",V170=""),"нет фазы",""),IF(AND(R170&lt;&gt;"",N(T170)=0),"нет мощности",""),IF(AND(P170&lt;&gt;"",COUNTIFS($A$3:$A$1000,A170,$P$3:$P$1000,P170)&gt;1),"дубль клеммы "&amp;P170,""),IF(AND(W170&lt;&gt;"",W170&lt;&gt;"ok"),W170,""),IF(X170&lt;&gt;"",X170,""),IF(AND(ISNUMBER(SEARCH("(5х",Q170)),N(AK170)=1),"5 жил на 1 фазе",""),IF(AND(AL170="R",E170&lt;&gt;"",N(AS170)=0),"розетка без 30 мА",""),IF(IFERROR(_xlfn.NUMBERVALUE(MID(Q170,FIND("-",Q170,FIND("L=",Q170))+1,FIND("%",Q170)-FIND("-",Q170,FIND("L=",Q170))-1),","),0)&gt;4,"потери &gt; 4 %","")))</f>
      </c>
      <c r="AF170" s="129">
        <f>IF(E170&lt;&gt;"",COUNTIFS($A$3:A170,A170,$E$3:E170,"?*"),IF(OR(A170&lt;&gt;A169,Y170="вручную"),"",AF169))</f>
      </c>
      <c r="AG170" s="129">
        <f t="shared" si="95"/>
      </c>
      <c r="AH170" s="129">
        <f t="shared" si="96"/>
        <v/>
      </c>
      <c r="AI170" s="129">
        <f t="shared" si="97"/>
        <v/>
      </c>
      <c r="AJ170" s="129">
        <f t="shared" si="98"/>
        <v/>
      </c>
      <c r="AK170" s="129">
        <f t="shared" si="99"/>
        <v/>
      </c>
      <c r="AL170" s="129">
        <f t="shared" si="100"/>
        <v/>
      </c>
      <c r="AM170" s="129">
        <f t="shared" si="101"/>
      </c>
      <c r="AN170" s="129">
        <f t="shared" si="102"/>
      </c>
      <c r="AO170" s="129">
        <f t="shared" si="103"/>
        <v/>
      </c>
      <c r="AP170" s="129">
        <f t="shared" si="104"/>
        <v/>
      </c>
      <c r="AQ170" s="129">
        <f t="shared" si="105"/>
        <v/>
      </c>
      <c r="AR170" s="129">
        <f t="shared" si="106"/>
        <v/>
      </c>
      <c r="AS170" s="129">
        <f t="shared" si="107"/>
        <v/>
      </c>
      <c r="AT170" s="129">
        <f t="shared" si="108"/>
        <v/>
      </c>
      <c r="AU170" s="129">
        <f t="shared" si="109"/>
        <v/>
      </c>
      <c r="AV170" s="129">
        <f t="shared" si="110"/>
        <v/>
      </c>
      <c r="AW170" s="129">
        <f>IF(AV170="","",AV170&amp;"."&amp;COUNTIFS($A$3:A170,A170,$AV$3:AV170,AV170))</f>
        <v/>
      </c>
      <c r="AX170" s="129">
        <f t="shared" si="111"/>
        <v/>
      </c>
      <c r="AY170" s="129">
        <f>IF(N170="б/к",0,IF(OR(ISNUMBER(SEARCH("L=",Разбивка_по_щитам!P170)),N170="+",N170="="),1,0))</f>
      </c>
      <c r="AZ170" s="129">
        <f t="shared" si="112"/>
      </c>
      <c r="BA170" s="129">
        <f t="shared" si="113"/>
      </c>
      <c r="BB170" s="129">
        <f t="shared" si="114"/>
      </c>
      <c r="BD170" s="129">
        <f t="shared" si="115"/>
      </c>
      <c r="BE170" s="129">
        <f t="shared" si="116"/>
      </c>
      <c r="BF170" s="129">
        <f t="shared" si="117"/>
      </c>
      <c r="BG170" s="129">
        <f t="shared" si="118"/>
        <v/>
      </c>
      <c r="BH170" s="129">
        <f t="shared" si="119"/>
        <v/>
      </c>
      <c r="BI170" s="129">
        <f t="shared" si="120"/>
        <v/>
      </c>
      <c r="BJ170" s="129">
        <f t="shared" si="121"/>
        <v/>
      </c>
      <c r="BK170" s="129">
        <f>IF(R170="","",IF(OR(BY170="",BY170=0),"BOX",IFERROR(IF(VLOOKUP(BY170,УГО_блоки,3,FALSE)&amp;""&lt;&gt;"",VLOOKUP(BY170,УГО_блоки,3,FALSE),VLOOKUP(BY170,УГО_блоки,2,FALSE)),BY170)))</f>
      </c>
      <c r="BL170" s="129">
        <f t="shared" si="123"/>
      </c>
      <c r="BM170" s="129">
        <f>IF(H170="","",IF(COUNTIF($H$3:H170,H170)=1,MAX($BM$2:BM169)+1,""))</f>
      </c>
      <c r="BN170" s="129">
        <f>IF(I170="","",IF(COUNTIF($I$3:I170,I170)+COUNTIF($J$2:J169,I170)+COUNTIF($K$2:K169,I170)=1,MAX($BN$2:BP169)+1,""))</f>
      </c>
      <c r="BO170" s="129">
        <f>IF(J170="","",IF(COUNTIF($I$3:I170,J170)+COUNTIF($J$3:J170,J170)+COUNTIF($K$2:K169,J170)=1,MAX($BN$2:BP169,BN170)+1,""))</f>
      </c>
      <c r="BP170" s="129">
        <f>IF(K170="","",IF(COUNTIF($I$3:I170,K170)+COUNTIF($J$3:J170,K170)+COUNTIF($K$3:K170,K170)=1,MAX($BN$2:BP169,BN170,BO170)+1,""))</f>
      </c>
      <c r="BQ170" s="129">
        <f>IF(AY170=1,IFERROR(MID(Q170,FIND(" (",Q170)+2,FIND(")",Q170,FIND(" (",Q170))-FIND(" (",Q170)-2),"?"),"")</f>
      </c>
      <c r="BR170" s="129">
        <f>IF(BQ170="","",IF(COUNTIF($BQ$3:BQ170,BQ170)=1,MAX($BR$2:BR169)+1,""))</f>
      </c>
      <c r="BS170" s="129">
        <f>IF(AW170="","",COUNTIF($AW$3:AW170,"?*"))</f>
      </c>
      <c r="BT170" s="129">
        <f>IF(OR(AW170="",AI170=""),"",IF(COUNTIFS($AW$3:AW170,"?*",$AI$3:AI170,AI170)=1,MAX($BT$2:BT169)+1,""))</f>
      </c>
      <c r="BU170" s="129">
        <f>IF(AE170="",0,IF(OR(ISNUMBER(SEARCH("дубль",AE170)),ISNUMBER(SEARCH("ПЕРЕГРУЗ",AE170)),ISNUMBER(SEARCH("ЗАЩИЩ",AE170)),ISNUMBER(SEARCH("КАНАЛ",AE170)),ISNUMBER(SEARCH("без 30",AE170))),2,1))</f>
      </c>
      <c r="BV170" s="129">
        <f>IF(R170="","",COUNTIF($R$3:R170,"?*"))</f>
      </c>
      <c r="BW170" s="129">
        <f>IF(AY170&lt;&gt;1,0,IF(MAX(IFERROR(--VLOOKUP(R170,УГО_спр,5,FALSE),0),IFERROR(--VLOOKUP(AL170,УГО_спр,5,FALSE),0),IFERROR(--VLOOKUP(LEFT(AL170,2),УГО_спр,5,FALSE),0))&gt;0,MAX(IFERROR(--VLOOKUP(R170,УГО_спр,5,FALSE),0),IFERROR(--VLOOKUP(AL170,УГО_спр,5,FALSE),0),IFERROR(--VLOOKUP(LEFT(AL170,2),УГО_спр,5,FALSE),0)),IF(IFERROR(--LEFT(SUBSTITUTE(BQ170,"x","х"),FIND("х",SUBSTITUTE(BQ170,"x","х"))-1),3)&gt;3,Каталог!$S$9,1)))</f>
      </c>
      <c r="BX170" s="129">
        <f>IF(AY170&lt;&gt;1,0,MAX(0,IFERROR(--LEFT(SUBSTITUTE(BQ170,"x","х"),FIND("х",SUBSTITUTE(BQ170,"x","х"))-1),3)-3*BW170))</f>
      </c>
      <c r="BY170" s="129">
        <f>IF(R170="","",IFERROR(VLOOKUP(R170,УГО_спр,2,FALSE),IFERROR(VLOOKUP(AL170,УГО_спр,2,FALSE),IFERROR(VLOOKUP(LEFT(AL170,2),УГО_спр,2,FALSE),""))))</f>
      </c>
    </row>
    <row r="171" spans="1:64" x14ac:dyDescent="0.3">
      <c r="A171" s="135">
        <f>IF(Разбивка_по_щитам!F171=0,"",Разбивка_по_щитам!F171)</f>
      </c>
      <c r="B171" s="138">
        <f>IF(A171="","",Разбивка_по_щитам!C171)</f>
      </c>
      <c r="C171" s="138">
        <f t="shared" si="86"/>
      </c>
      <c r="D171" s="266"/>
      <c r="E171" s="266"/>
      <c r="F171" s="267"/>
      <c r="G171" s="145">
        <f t="shared" si="87"/>
        <v/>
      </c>
      <c r="H171" s="145">
        <f t="shared" si="88"/>
        <v/>
      </c>
      <c r="I171" s="266"/>
      <c r="J171" s="267"/>
      <c r="K171" s="267"/>
      <c r="L171" s="266"/>
      <c r="M171" s="147">
        <f t="shared" si="124"/>
        <v/>
      </c>
      <c r="N171" s="267"/>
      <c r="O171" s="147">
        <f t="shared" si="125"/>
        <v/>
      </c>
      <c r="P171" s="268">
        <f>IF(AY171=1,"XT"&amp;COUNTIFS($A$3:A171,A171,$AY$3:AY171,1),"")</f>
        <v/>
      </c>
      <c r="Q171" s="152">
        <f>IF(R171="","",IFERROR(SUBSTITUTE(Разбивка_по_щитам!P171,CHAR(10)," "),""))</f>
        <v/>
      </c>
      <c r="R171" s="153">
        <f>IF(OR(Разбивка_по_щитам!H171="",Разбивка_по_щитам!H171=0),"",Разбивка_по_щитам!H171)</f>
        <v/>
      </c>
      <c r="S171" s="154">
        <f>IF(R171="","",IFERROR(Разбивка_по_щитам!J171&amp;"",""))</f>
        <v/>
      </c>
      <c r="T171" s="155">
        <f>IF(R171="","",IFERROR(--Разбивка_по_щитам!L171,""))</f>
        <v/>
      </c>
      <c r="U171" s="155">
        <f>IF(R171="","",IFERROR(--Разбивка_по_щитам!K171,""))</f>
        <v/>
      </c>
      <c r="V171" s="138">
        <f>IF(R171="","",IFERROR(IF(Разбивка_по_щитам!M171=0,"",Разбивка_по_щитам!M171),""))</f>
        <v/>
      </c>
      <c r="W171" s="156">
        <f t="shared" si="89"/>
        <v/>
      </c>
      <c r="X171" s="157">
        <f t="shared" si="90"/>
        <v/>
      </c>
      <c r="Y171" s="266"/>
      <c r="Z171" s="158">
        <f t="shared" si="91"/>
        <v/>
      </c>
      <c r="AA171" s="160">
        <f t="shared" si="92"/>
        <v/>
      </c>
      <c r="AB171" s="160">
        <f>IF(R171="","",IFERROR(LOOKUP(INDEX(Справочная!$I$4:$I$19,MATCH(VLOOKUP(R171,Исходные_данные,22,FALSE),Справочная!$J$4:$J$19,0)+1),{6,10,16,20,25,32,40,50,63,80,100,125}),""))</f>
        <v/>
      </c>
      <c r="AC171" s="160">
        <f t="shared" si="93"/>
        <v/>
      </c>
      <c r="AD171" s="161">
        <f t="shared" si="94"/>
        <v/>
      </c>
      <c r="AE171" s="161">
        <f>IF(AND(R171="",G171=""),"",_xlfn.TEXTJOIN("; ",TRUE,IF(AND(R171&lt;&gt;"",V171=""),"нет фазы",""),IF(AND(R171&lt;&gt;"",N(T171)=0),"нет мощности",""),IF(AND(P171&lt;&gt;"",COUNTIFS($A$3:$A$1000,A171,$P$3:$P$1000,P171)&gt;1),"дубль клеммы "&amp;P171,""),IF(AND(W171&lt;&gt;"",W171&lt;&gt;"ok"),W171,""),IF(X171&lt;&gt;"",X171,""),IF(AND(ISNUMBER(SEARCH("(5х",Q171)),N(AK171)=1),"5 жил на 1 фазе",""),IF(AND(AL171="R",E171&lt;&gt;"",N(AS171)=0),"розетка без 30 мА",""),IF(IFERROR(_xlfn.NUMBERVALUE(MID(Q171,FIND("-",Q171,FIND("L=",Q171))+1,FIND("%",Q171)-FIND("-",Q171,FIND("L=",Q171))-1),","),0)&gt;4,"потери &gt; 4 %","")))</f>
      </c>
      <c r="AF171" s="129">
        <f>IF(E171&lt;&gt;"",COUNTIFS($A$3:A171,A171,$E$3:E171,"?*"),IF(OR(A171&lt;&gt;A170,Y171="вручную"),"",AF170))</f>
      </c>
      <c r="AG171" s="129">
        <f t="shared" si="95"/>
      </c>
      <c r="AH171" s="129">
        <f t="shared" si="96"/>
        <v/>
      </c>
      <c r="AI171" s="129">
        <f t="shared" si="97"/>
        <v/>
      </c>
      <c r="AJ171" s="129">
        <f t="shared" si="98"/>
        <v/>
      </c>
      <c r="AK171" s="129">
        <f t="shared" si="99"/>
        <v/>
      </c>
      <c r="AL171" s="129">
        <f t="shared" si="100"/>
        <v/>
      </c>
      <c r="AM171" s="129">
        <f t="shared" si="101"/>
      </c>
      <c r="AN171" s="129">
        <f t="shared" si="102"/>
      </c>
      <c r="AO171" s="129">
        <f t="shared" si="103"/>
        <v/>
      </c>
      <c r="AP171" s="129">
        <f t="shared" si="104"/>
        <v/>
      </c>
      <c r="AQ171" s="129">
        <f t="shared" si="105"/>
        <v/>
      </c>
      <c r="AR171" s="129">
        <f t="shared" si="106"/>
        <v/>
      </c>
      <c r="AS171" s="129">
        <f t="shared" si="107"/>
        <v/>
      </c>
      <c r="AT171" s="129">
        <f t="shared" si="108"/>
        <v/>
      </c>
      <c r="AU171" s="129">
        <f t="shared" si="109"/>
        <v/>
      </c>
      <c r="AV171" s="129">
        <f t="shared" si="110"/>
        <v/>
      </c>
      <c r="AW171" s="129">
        <f>IF(AV171="","",AV171&amp;"."&amp;COUNTIFS($A$3:A171,A171,$AV$3:AV171,AV171))</f>
        <v/>
      </c>
      <c r="AX171" s="129">
        <f t="shared" si="111"/>
        <v/>
      </c>
      <c r="AY171" s="129">
        <f>IF(N171="б/к",0,IF(OR(ISNUMBER(SEARCH("L=",Разбивка_по_щитам!P171)),N171="+",N171="="),1,0))</f>
      </c>
      <c r="AZ171" s="129">
        <f t="shared" si="112"/>
      </c>
      <c r="BA171" s="129">
        <f t="shared" si="113"/>
      </c>
      <c r="BB171" s="129">
        <f t="shared" si="114"/>
      </c>
      <c r="BD171" s="129">
        <f t="shared" si="115"/>
      </c>
      <c r="BE171" s="129">
        <f t="shared" si="116"/>
      </c>
      <c r="BF171" s="129">
        <f t="shared" si="117"/>
      </c>
      <c r="BG171" s="129">
        <f t="shared" si="118"/>
        <v/>
      </c>
      <c r="BH171" s="129">
        <f t="shared" si="119"/>
        <v/>
      </c>
      <c r="BI171" s="129">
        <f t="shared" si="120"/>
        <v/>
      </c>
      <c r="BJ171" s="129">
        <f t="shared" si="121"/>
        <v/>
      </c>
      <c r="BK171" s="129">
        <f>IF(R171="","",IF(OR(BY171="",BY171=0),"BOX",IFERROR(IF(VLOOKUP(BY171,УГО_блоки,3,FALSE)&amp;""&lt;&gt;"",VLOOKUP(BY171,УГО_блоки,3,FALSE),VLOOKUP(BY171,УГО_блоки,2,FALSE)),BY171)))</f>
      </c>
      <c r="BL171" s="129">
        <f t="shared" si="123"/>
      </c>
      <c r="BM171" s="129">
        <f>IF(H171="","",IF(COUNTIF($H$3:H171,H171)=1,MAX($BM$2:BM170)+1,""))</f>
      </c>
      <c r="BN171" s="129">
        <f>IF(I171="","",IF(COUNTIF($I$3:I171,I171)+COUNTIF($J$2:J170,I171)+COUNTIF($K$2:K170,I171)=1,MAX($BN$2:BP170)+1,""))</f>
      </c>
      <c r="BO171" s="129">
        <f>IF(J171="","",IF(COUNTIF($I$3:I171,J171)+COUNTIF($J$3:J171,J171)+COUNTIF($K$2:K170,J171)=1,MAX($BN$2:BP170,BN171)+1,""))</f>
      </c>
      <c r="BP171" s="129">
        <f>IF(K171="","",IF(COUNTIF($I$3:I171,K171)+COUNTIF($J$3:J171,K171)+COUNTIF($K$3:K171,K171)=1,MAX($BN$2:BP170,BN171,BO171)+1,""))</f>
      </c>
      <c r="BQ171" s="129">
        <f>IF(AY171=1,IFERROR(MID(Q171,FIND(" (",Q171)+2,FIND(")",Q171,FIND(" (",Q171))-FIND(" (",Q171)-2),"?"),"")</f>
      </c>
      <c r="BR171" s="129">
        <f>IF(BQ171="","",IF(COUNTIF($BQ$3:BQ171,BQ171)=1,MAX($BR$2:BR170)+1,""))</f>
      </c>
      <c r="BS171" s="129">
        <f>IF(AW171="","",COUNTIF($AW$3:AW171,"?*"))</f>
      </c>
      <c r="BT171" s="129">
        <f>IF(OR(AW171="",AI171=""),"",IF(COUNTIFS($AW$3:AW171,"?*",$AI$3:AI171,AI171)=1,MAX($BT$2:BT170)+1,""))</f>
      </c>
      <c r="BU171" s="129">
        <f>IF(AE171="",0,IF(OR(ISNUMBER(SEARCH("дубль",AE171)),ISNUMBER(SEARCH("ПЕРЕГРУЗ",AE171)),ISNUMBER(SEARCH("ЗАЩИЩ",AE171)),ISNUMBER(SEARCH("КАНАЛ",AE171)),ISNUMBER(SEARCH("без 30",AE171))),2,1))</f>
      </c>
      <c r="BV171" s="129">
        <f>IF(R171="","",COUNTIF($R$3:R171,"?*"))</f>
      </c>
      <c r="BW171" s="129">
        <f>IF(AY171&lt;&gt;1,0,IF(MAX(IFERROR(--VLOOKUP(R171,УГО_спр,5,FALSE),0),IFERROR(--VLOOKUP(AL171,УГО_спр,5,FALSE),0),IFERROR(--VLOOKUP(LEFT(AL171,2),УГО_спр,5,FALSE),0))&gt;0,MAX(IFERROR(--VLOOKUP(R171,УГО_спр,5,FALSE),0),IFERROR(--VLOOKUP(AL171,УГО_спр,5,FALSE),0),IFERROR(--VLOOKUP(LEFT(AL171,2),УГО_спр,5,FALSE),0)),IF(IFERROR(--LEFT(SUBSTITUTE(BQ171,"x","х"),FIND("х",SUBSTITUTE(BQ171,"x","х"))-1),3)&gt;3,Каталог!$S$9,1)))</f>
      </c>
      <c r="BX171" s="129">
        <f>IF(AY171&lt;&gt;1,0,MAX(0,IFERROR(--LEFT(SUBSTITUTE(BQ171,"x","х"),FIND("х",SUBSTITUTE(BQ171,"x","х"))-1),3)-3*BW171))</f>
      </c>
      <c r="BY171" s="129">
        <f>IF(R171="","",IFERROR(VLOOKUP(R171,УГО_спр,2,FALSE),IFERROR(VLOOKUP(AL171,УГО_спр,2,FALSE),IFERROR(VLOOKUP(LEFT(AL171,2),УГО_спр,2,FALSE),""))))</f>
      </c>
    </row>
    <row r="172" spans="1:64" x14ac:dyDescent="0.3">
      <c r="A172" s="135">
        <f>IF(Разбивка_по_щитам!F172=0,"",Разбивка_по_щитам!F172)</f>
      </c>
      <c r="B172" s="138">
        <f>IF(A172="","",Разбивка_по_щитам!C172)</f>
      </c>
      <c r="C172" s="138">
        <f t="shared" si="86"/>
      </c>
      <c r="D172" s="266"/>
      <c r="E172" s="266"/>
      <c r="F172" s="267"/>
      <c r="G172" s="145">
        <f t="shared" si="87"/>
        <v/>
      </c>
      <c r="H172" s="145">
        <f t="shared" si="88"/>
        <v/>
      </c>
      <c r="I172" s="266"/>
      <c r="J172" s="267"/>
      <c r="K172" s="267"/>
      <c r="L172" s="266"/>
      <c r="M172" s="147">
        <f t="shared" si="124"/>
        <v/>
      </c>
      <c r="N172" s="267"/>
      <c r="O172" s="147">
        <f t="shared" si="125"/>
        <v/>
      </c>
      <c r="P172" s="268">
        <f>IF(AY172=1,"XT"&amp;COUNTIFS($A$3:A172,A172,$AY$3:AY172,1),"")</f>
        <v/>
      </c>
      <c r="Q172" s="152">
        <f>IF(R172="","",IFERROR(SUBSTITUTE(Разбивка_по_щитам!P172,CHAR(10)," "),""))</f>
        <v/>
      </c>
      <c r="R172" s="153">
        <f>IF(OR(Разбивка_по_щитам!H172="",Разбивка_по_щитам!H172=0),"",Разбивка_по_щитам!H172)</f>
        <v/>
      </c>
      <c r="S172" s="154">
        <f>IF(R172="","",IFERROR(Разбивка_по_щитам!J172&amp;"",""))</f>
        <v/>
      </c>
      <c r="T172" s="155">
        <f>IF(R172="","",IFERROR(--Разбивка_по_щитам!L172,""))</f>
        <v/>
      </c>
      <c r="U172" s="155">
        <f>IF(R172="","",IFERROR(--Разбивка_по_щитам!K172,""))</f>
        <v/>
      </c>
      <c r="V172" s="138">
        <f>IF(R172="","",IFERROR(IF(Разбивка_по_щитам!M172=0,"",Разбивка_по_щитам!M172),""))</f>
        <v/>
      </c>
      <c r="W172" s="156">
        <f t="shared" si="89"/>
        <v/>
      </c>
      <c r="X172" s="157">
        <f t="shared" si="90"/>
        <v/>
      </c>
      <c r="Y172" s="266"/>
      <c r="Z172" s="158">
        <f t="shared" si="91"/>
        <v/>
      </c>
      <c r="AA172" s="160">
        <f t="shared" si="92"/>
        <v/>
      </c>
      <c r="AB172" s="160">
        <f>IF(R172="","",IFERROR(LOOKUP(INDEX(Справочная!$I$4:$I$19,MATCH(VLOOKUP(R172,Исходные_данные,22,FALSE),Справочная!$J$4:$J$19,0)+1),{6,10,16,20,25,32,40,50,63,80,100,125}),""))</f>
        <v/>
      </c>
      <c r="AC172" s="160">
        <f t="shared" si="93"/>
        <v/>
      </c>
      <c r="AD172" s="161">
        <f t="shared" si="94"/>
        <v/>
      </c>
      <c r="AE172" s="161">
        <f>IF(AND(R172="",G172=""),"",_xlfn.TEXTJOIN("; ",TRUE,IF(AND(R172&lt;&gt;"",V172=""),"нет фазы",""),IF(AND(R172&lt;&gt;"",N(T172)=0),"нет мощности",""),IF(AND(P172&lt;&gt;"",COUNTIFS($A$3:$A$1000,A172,$P$3:$P$1000,P172)&gt;1),"дубль клеммы "&amp;P172,""),IF(AND(W172&lt;&gt;"",W172&lt;&gt;"ok"),W172,""),IF(X172&lt;&gt;"",X172,""),IF(AND(ISNUMBER(SEARCH("(5х",Q172)),N(AK172)=1),"5 жил на 1 фазе",""),IF(AND(AL172="R",E172&lt;&gt;"",N(AS172)=0),"розетка без 30 мА",""),IF(IFERROR(_xlfn.NUMBERVALUE(MID(Q172,FIND("-",Q172,FIND("L=",Q172))+1,FIND("%",Q172)-FIND("-",Q172,FIND("L=",Q172))-1),","),0)&gt;4,"потери &gt; 4 %","")))</f>
      </c>
      <c r="AF172" s="129">
        <f>IF(E172&lt;&gt;"",COUNTIFS($A$3:A172,A172,$E$3:E172,"?*"),IF(OR(A172&lt;&gt;A171,Y172="вручную"),"",AF171))</f>
      </c>
      <c r="AG172" s="129">
        <f t="shared" si="95"/>
      </c>
      <c r="AH172" s="129">
        <f t="shared" si="96"/>
        <v/>
      </c>
      <c r="AI172" s="129">
        <f t="shared" si="97"/>
        <v/>
      </c>
      <c r="AJ172" s="129">
        <f t="shared" si="98"/>
        <v/>
      </c>
      <c r="AK172" s="129">
        <f t="shared" si="99"/>
        <v/>
      </c>
      <c r="AL172" s="129">
        <f t="shared" si="100"/>
        <v/>
      </c>
      <c r="AM172" s="129">
        <f t="shared" si="101"/>
      </c>
      <c r="AN172" s="129">
        <f t="shared" si="102"/>
      </c>
      <c r="AO172" s="129">
        <f t="shared" si="103"/>
        <v/>
      </c>
      <c r="AP172" s="129">
        <f t="shared" si="104"/>
        <v/>
      </c>
      <c r="AQ172" s="129">
        <f t="shared" si="105"/>
        <v/>
      </c>
      <c r="AR172" s="129">
        <f t="shared" si="106"/>
        <v/>
      </c>
      <c r="AS172" s="129">
        <f t="shared" si="107"/>
        <v/>
      </c>
      <c r="AT172" s="129">
        <f t="shared" si="108"/>
        <v/>
      </c>
      <c r="AU172" s="129">
        <f t="shared" si="109"/>
        <v/>
      </c>
      <c r="AV172" s="129">
        <f t="shared" si="110"/>
        <v/>
      </c>
      <c r="AW172" s="129">
        <f>IF(AV172="","",AV172&amp;"."&amp;COUNTIFS($A$3:A172,A172,$AV$3:AV172,AV172))</f>
        <v/>
      </c>
      <c r="AX172" s="129">
        <f t="shared" si="111"/>
        <v/>
      </c>
      <c r="AY172" s="129">
        <f>IF(N172="б/к",0,IF(OR(ISNUMBER(SEARCH("L=",Разбивка_по_щитам!P172)),N172="+",N172="="),1,0))</f>
      </c>
      <c r="AZ172" s="129">
        <f t="shared" si="112"/>
      </c>
      <c r="BA172" s="129">
        <f t="shared" si="113"/>
      </c>
      <c r="BB172" s="129">
        <f t="shared" si="114"/>
      </c>
      <c r="BD172" s="129">
        <f t="shared" si="115"/>
      </c>
      <c r="BE172" s="129">
        <f t="shared" si="116"/>
      </c>
      <c r="BF172" s="129">
        <f t="shared" si="117"/>
      </c>
      <c r="BG172" s="129">
        <f t="shared" si="118"/>
        <v/>
      </c>
      <c r="BH172" s="129">
        <f t="shared" si="119"/>
        <v/>
      </c>
      <c r="BI172" s="129">
        <f t="shared" si="120"/>
        <v/>
      </c>
      <c r="BJ172" s="129">
        <f t="shared" si="121"/>
        <v/>
      </c>
      <c r="BK172" s="129">
        <f>IF(R172="","",IF(OR(BY172="",BY172=0),"BOX",IFERROR(IF(VLOOKUP(BY172,УГО_блоки,3,FALSE)&amp;""&lt;&gt;"",VLOOKUP(BY172,УГО_блоки,3,FALSE),VLOOKUP(BY172,УГО_блоки,2,FALSE)),BY172)))</f>
      </c>
      <c r="BL172" s="129">
        <f t="shared" si="123"/>
      </c>
      <c r="BM172" s="129">
        <f>IF(H172="","",IF(COUNTIF($H$3:H172,H172)=1,MAX($BM$2:BM171)+1,""))</f>
      </c>
      <c r="BN172" s="129">
        <f>IF(I172="","",IF(COUNTIF($I$3:I172,I172)+COUNTIF($J$2:J171,I172)+COUNTIF($K$2:K171,I172)=1,MAX($BN$2:BP171)+1,""))</f>
      </c>
      <c r="BO172" s="129">
        <f>IF(J172="","",IF(COUNTIF($I$3:I172,J172)+COUNTIF($J$3:J172,J172)+COUNTIF($K$2:K171,J172)=1,MAX($BN$2:BP171,BN172)+1,""))</f>
      </c>
      <c r="BP172" s="129">
        <f>IF(K172="","",IF(COUNTIF($I$3:I172,K172)+COUNTIF($J$3:J172,K172)+COUNTIF($K$3:K172,K172)=1,MAX($BN$2:BP171,BN172,BO172)+1,""))</f>
      </c>
      <c r="BQ172" s="129">
        <f>IF(AY172=1,IFERROR(MID(Q172,FIND(" (",Q172)+2,FIND(")",Q172,FIND(" (",Q172))-FIND(" (",Q172)-2),"?"),"")</f>
      </c>
      <c r="BR172" s="129">
        <f>IF(BQ172="","",IF(COUNTIF($BQ$3:BQ172,BQ172)=1,MAX($BR$2:BR171)+1,""))</f>
      </c>
      <c r="BS172" s="129">
        <f>IF(AW172="","",COUNTIF($AW$3:AW172,"?*"))</f>
      </c>
      <c r="BT172" s="129">
        <f>IF(OR(AW172="",AI172=""),"",IF(COUNTIFS($AW$3:AW172,"?*",$AI$3:AI172,AI172)=1,MAX($BT$2:BT171)+1,""))</f>
      </c>
      <c r="BU172" s="129">
        <f>IF(AE172="",0,IF(OR(ISNUMBER(SEARCH("дубль",AE172)),ISNUMBER(SEARCH("ПЕРЕГРУЗ",AE172)),ISNUMBER(SEARCH("ЗАЩИЩ",AE172)),ISNUMBER(SEARCH("КАНАЛ",AE172)),ISNUMBER(SEARCH("без 30",AE172))),2,1))</f>
      </c>
      <c r="BV172" s="129">
        <f>IF(R172="","",COUNTIF($R$3:R172,"?*"))</f>
      </c>
      <c r="BW172" s="129">
        <f>IF(AY172&lt;&gt;1,0,IF(MAX(IFERROR(--VLOOKUP(R172,УГО_спр,5,FALSE),0),IFERROR(--VLOOKUP(AL172,УГО_спр,5,FALSE),0),IFERROR(--VLOOKUP(LEFT(AL172,2),УГО_спр,5,FALSE),0))&gt;0,MAX(IFERROR(--VLOOKUP(R172,УГО_спр,5,FALSE),0),IFERROR(--VLOOKUP(AL172,УГО_спр,5,FALSE),0),IFERROR(--VLOOKUP(LEFT(AL172,2),УГО_спр,5,FALSE),0)),IF(IFERROR(--LEFT(SUBSTITUTE(BQ172,"x","х"),FIND("х",SUBSTITUTE(BQ172,"x","х"))-1),3)&gt;3,Каталог!$S$9,1)))</f>
      </c>
      <c r="BX172" s="129">
        <f>IF(AY172&lt;&gt;1,0,MAX(0,IFERROR(--LEFT(SUBSTITUTE(BQ172,"x","х"),FIND("х",SUBSTITUTE(BQ172,"x","х"))-1),3)-3*BW172))</f>
      </c>
      <c r="BY172" s="129">
        <f>IF(R172="","",IFERROR(VLOOKUP(R172,УГО_спр,2,FALSE),IFERROR(VLOOKUP(AL172,УГО_спр,2,FALSE),IFERROR(VLOOKUP(LEFT(AL172,2),УГО_спр,2,FALSE),""))))</f>
      </c>
    </row>
    <row r="173" spans="1:64" x14ac:dyDescent="0.3">
      <c r="A173" s="135">
        <f>IF(Разбивка_по_щитам!F173=0,"",Разбивка_по_щитам!F173)</f>
      </c>
      <c r="B173" s="138">
        <f>IF(A173="","",Разбивка_по_щитам!C173)</f>
      </c>
      <c r="C173" s="138">
        <f t="shared" si="86"/>
      </c>
      <c r="D173" s="266"/>
      <c r="E173" s="266"/>
      <c r="F173" s="267"/>
      <c r="G173" s="145">
        <f t="shared" si="87"/>
        <v/>
      </c>
      <c r="H173" s="145">
        <f t="shared" si="88"/>
        <v/>
      </c>
      <c r="I173" s="266"/>
      <c r="J173" s="267"/>
      <c r="K173" s="267"/>
      <c r="L173" s="266"/>
      <c r="M173" s="147">
        <f t="shared" si="124"/>
        <v/>
      </c>
      <c r="N173" s="267"/>
      <c r="O173" s="147">
        <f t="shared" si="125"/>
        <v/>
      </c>
      <c r="P173" s="268">
        <f>IF(AY173=1,"XT"&amp;COUNTIFS($A$3:A173,A173,$AY$3:AY173,1),"")</f>
        <v/>
      </c>
      <c r="Q173" s="152">
        <f>IF(R173="","",IFERROR(SUBSTITUTE(Разбивка_по_щитам!P173,CHAR(10)," "),""))</f>
        <v/>
      </c>
      <c r="R173" s="153">
        <f>IF(OR(Разбивка_по_щитам!H173="",Разбивка_по_щитам!H173=0),"",Разбивка_по_щитам!H173)</f>
        <v/>
      </c>
      <c r="S173" s="154">
        <f>IF(R173="","",IFERROR(Разбивка_по_щитам!J173&amp;"",""))</f>
        <v/>
      </c>
      <c r="T173" s="155">
        <f>IF(R173="","",IFERROR(--Разбивка_по_щитам!L173,""))</f>
        <v/>
      </c>
      <c r="U173" s="155">
        <f>IF(R173="","",IFERROR(--Разбивка_по_щитам!K173,""))</f>
        <v/>
      </c>
      <c r="V173" s="138">
        <f>IF(R173="","",IFERROR(IF(Разбивка_по_щитам!M173=0,"",Разбивка_по_щитам!M173),""))</f>
        <v/>
      </c>
      <c r="W173" s="156">
        <f t="shared" si="89"/>
        <v/>
      </c>
      <c r="X173" s="157">
        <f t="shared" si="90"/>
        <v/>
      </c>
      <c r="Y173" s="266"/>
      <c r="Z173" s="158">
        <f t="shared" si="91"/>
        <v/>
      </c>
      <c r="AA173" s="160">
        <f t="shared" si="92"/>
        <v/>
      </c>
      <c r="AB173" s="160">
        <f>IF(R173="","",IFERROR(LOOKUP(INDEX(Справочная!$I$4:$I$19,MATCH(VLOOKUP(R173,Исходные_данные,22,FALSE),Справочная!$J$4:$J$19,0)+1),{6,10,16,20,25,32,40,50,63,80,100,125}),""))</f>
        <v/>
      </c>
      <c r="AC173" s="160">
        <f t="shared" si="93"/>
        <v/>
      </c>
      <c r="AD173" s="161">
        <f t="shared" si="94"/>
        <v/>
      </c>
      <c r="AE173" s="161">
        <f>IF(AND(R173="",G173=""),"",_xlfn.TEXTJOIN("; ",TRUE,IF(AND(R173&lt;&gt;"",V173=""),"нет фазы",""),IF(AND(R173&lt;&gt;"",N(T173)=0),"нет мощности",""),IF(AND(P173&lt;&gt;"",COUNTIFS($A$3:$A$1000,A173,$P$3:$P$1000,P173)&gt;1),"дубль клеммы "&amp;P173,""),IF(AND(W173&lt;&gt;"",W173&lt;&gt;"ok"),W173,""),IF(X173&lt;&gt;"",X173,""),IF(AND(ISNUMBER(SEARCH("(5х",Q173)),N(AK173)=1),"5 жил на 1 фазе",""),IF(AND(AL173="R",E173&lt;&gt;"",N(AS173)=0),"розетка без 30 мА",""),IF(IFERROR(_xlfn.NUMBERVALUE(MID(Q173,FIND("-",Q173,FIND("L=",Q173))+1,FIND("%",Q173)-FIND("-",Q173,FIND("L=",Q173))-1),","),0)&gt;4,"потери &gt; 4 %","")))</f>
      </c>
      <c r="AF173" s="129">
        <f>IF(E173&lt;&gt;"",COUNTIFS($A$3:A173,A173,$E$3:E173,"?*"),IF(OR(A173&lt;&gt;A172,Y173="вручную"),"",AF172))</f>
      </c>
      <c r="AG173" s="129">
        <f t="shared" si="95"/>
      </c>
      <c r="AH173" s="129">
        <f t="shared" si="96"/>
        <v/>
      </c>
      <c r="AI173" s="129">
        <f t="shared" si="97"/>
        <v/>
      </c>
      <c r="AJ173" s="129">
        <f t="shared" si="98"/>
        <v/>
      </c>
      <c r="AK173" s="129">
        <f t="shared" si="99"/>
        <v/>
      </c>
      <c r="AL173" s="129">
        <f t="shared" si="100"/>
        <v/>
      </c>
      <c r="AM173" s="129">
        <f t="shared" si="101"/>
      </c>
      <c r="AN173" s="129">
        <f t="shared" si="102"/>
      </c>
      <c r="AO173" s="129">
        <f t="shared" si="103"/>
        <v/>
      </c>
      <c r="AP173" s="129">
        <f t="shared" si="104"/>
        <v/>
      </c>
      <c r="AQ173" s="129">
        <f t="shared" si="105"/>
        <v/>
      </c>
      <c r="AR173" s="129">
        <f t="shared" si="106"/>
        <v/>
      </c>
      <c r="AS173" s="129">
        <f t="shared" si="107"/>
        <v/>
      </c>
      <c r="AT173" s="129">
        <f t="shared" si="108"/>
        <v/>
      </c>
      <c r="AU173" s="129">
        <f t="shared" si="109"/>
        <v/>
      </c>
      <c r="AV173" s="129">
        <f t="shared" si="110"/>
        <v/>
      </c>
      <c r="AW173" s="129">
        <f>IF(AV173="","",AV173&amp;"."&amp;COUNTIFS($A$3:A173,A173,$AV$3:AV173,AV173))</f>
        <v/>
      </c>
      <c r="AX173" s="129">
        <f t="shared" si="111"/>
        <v/>
      </c>
      <c r="AY173" s="129">
        <f>IF(N173="б/к",0,IF(OR(ISNUMBER(SEARCH("L=",Разбивка_по_щитам!P173)),N173="+",N173="="),1,0))</f>
      </c>
      <c r="AZ173" s="129">
        <f t="shared" si="112"/>
      </c>
      <c r="BA173" s="129">
        <f t="shared" si="113"/>
      </c>
      <c r="BB173" s="129">
        <f t="shared" si="114"/>
      </c>
      <c r="BD173" s="129">
        <f t="shared" si="115"/>
      </c>
      <c r="BE173" s="129">
        <f t="shared" si="116"/>
      </c>
      <c r="BF173" s="129">
        <f t="shared" si="117"/>
      </c>
      <c r="BG173" s="129">
        <f t="shared" si="118"/>
        <v/>
      </c>
      <c r="BH173" s="129">
        <f t="shared" si="119"/>
        <v/>
      </c>
      <c r="BI173" s="129">
        <f t="shared" si="120"/>
        <v/>
      </c>
      <c r="BJ173" s="129">
        <f t="shared" si="121"/>
        <v/>
      </c>
      <c r="BK173" s="129">
        <f>IF(R173="","",IF(OR(BY173="",BY173=0),"BOX",IFERROR(IF(VLOOKUP(BY173,УГО_блоки,3,FALSE)&amp;""&lt;&gt;"",VLOOKUP(BY173,УГО_блоки,3,FALSE),VLOOKUP(BY173,УГО_блоки,2,FALSE)),BY173)))</f>
      </c>
      <c r="BL173" s="129">
        <f t="shared" si="123"/>
      </c>
      <c r="BM173" s="129">
        <f>IF(H173="","",IF(COUNTIF($H$3:H173,H173)=1,MAX($BM$2:BM172)+1,""))</f>
      </c>
      <c r="BN173" s="129">
        <f>IF(I173="","",IF(COUNTIF($I$3:I173,I173)+COUNTIF($J$2:J172,I173)+COUNTIF($K$2:K172,I173)=1,MAX($BN$2:BP172)+1,""))</f>
      </c>
      <c r="BO173" s="129">
        <f>IF(J173="","",IF(COUNTIF($I$3:I173,J173)+COUNTIF($J$3:J173,J173)+COUNTIF($K$2:K172,J173)=1,MAX($BN$2:BP172,BN173)+1,""))</f>
      </c>
      <c r="BP173" s="129">
        <f>IF(K173="","",IF(COUNTIF($I$3:I173,K173)+COUNTIF($J$3:J173,K173)+COUNTIF($K$3:K173,K173)=1,MAX($BN$2:BP172,BN173,BO173)+1,""))</f>
      </c>
      <c r="BQ173" s="129">
        <f>IF(AY173=1,IFERROR(MID(Q173,FIND(" (",Q173)+2,FIND(")",Q173,FIND(" (",Q173))-FIND(" (",Q173)-2),"?"),"")</f>
      </c>
      <c r="BR173" s="129">
        <f>IF(BQ173="","",IF(COUNTIF($BQ$3:BQ173,BQ173)=1,MAX($BR$2:BR172)+1,""))</f>
      </c>
      <c r="BS173" s="129">
        <f>IF(AW173="","",COUNTIF($AW$3:AW173,"?*"))</f>
      </c>
      <c r="BT173" s="129">
        <f>IF(OR(AW173="",AI173=""),"",IF(COUNTIFS($AW$3:AW173,"?*",$AI$3:AI173,AI173)=1,MAX($BT$2:BT172)+1,""))</f>
      </c>
      <c r="BU173" s="129">
        <f>IF(AE173="",0,IF(OR(ISNUMBER(SEARCH("дубль",AE173)),ISNUMBER(SEARCH("ПЕРЕГРУЗ",AE173)),ISNUMBER(SEARCH("ЗАЩИЩ",AE173)),ISNUMBER(SEARCH("КАНАЛ",AE173)),ISNUMBER(SEARCH("без 30",AE173))),2,1))</f>
      </c>
      <c r="BV173" s="129">
        <f>IF(R173="","",COUNTIF($R$3:R173,"?*"))</f>
      </c>
      <c r="BW173" s="129">
        <f>IF(AY173&lt;&gt;1,0,IF(MAX(IFERROR(--VLOOKUP(R173,УГО_спр,5,FALSE),0),IFERROR(--VLOOKUP(AL173,УГО_спр,5,FALSE),0),IFERROR(--VLOOKUP(LEFT(AL173,2),УГО_спр,5,FALSE),0))&gt;0,MAX(IFERROR(--VLOOKUP(R173,УГО_спр,5,FALSE),0),IFERROR(--VLOOKUP(AL173,УГО_спр,5,FALSE),0),IFERROR(--VLOOKUP(LEFT(AL173,2),УГО_спр,5,FALSE),0)),IF(IFERROR(--LEFT(SUBSTITUTE(BQ173,"x","х"),FIND("х",SUBSTITUTE(BQ173,"x","х"))-1),3)&gt;3,Каталог!$S$9,1)))</f>
      </c>
      <c r="BX173" s="129">
        <f>IF(AY173&lt;&gt;1,0,MAX(0,IFERROR(--LEFT(SUBSTITUTE(BQ173,"x","х"),FIND("х",SUBSTITUTE(BQ173,"x","х"))-1),3)-3*BW173))</f>
      </c>
      <c r="BY173" s="129">
        <f>IF(R173="","",IFERROR(VLOOKUP(R173,УГО_спр,2,FALSE),IFERROR(VLOOKUP(AL173,УГО_спр,2,FALSE),IFERROR(VLOOKUP(LEFT(AL173,2),УГО_спр,2,FALSE),""))))</f>
      </c>
    </row>
    <row r="174" spans="1:64" x14ac:dyDescent="0.3">
      <c r="A174" s="135">
        <f>IF(Разбивка_по_щитам!F174=0,"",Разбивка_по_щитам!F174)</f>
      </c>
      <c r="B174" s="138">
        <f>IF(A174="","",Разбивка_по_щитам!C174)</f>
      </c>
      <c r="C174" s="138">
        <f t="shared" si="86"/>
      </c>
      <c r="D174" s="266"/>
      <c r="E174" s="266"/>
      <c r="F174" s="267"/>
      <c r="G174" s="145">
        <f t="shared" si="87"/>
        <v/>
      </c>
      <c r="H174" s="145">
        <f t="shared" si="88"/>
        <v/>
      </c>
      <c r="I174" s="266"/>
      <c r="J174" s="267"/>
      <c r="K174" s="267"/>
      <c r="L174" s="266"/>
      <c r="M174" s="147">
        <f t="shared" si="124"/>
        <v/>
      </c>
      <c r="N174" s="267"/>
      <c r="O174" s="147">
        <f t="shared" si="125"/>
        <v/>
      </c>
      <c r="P174" s="268">
        <f>IF(AY174=1,"XT"&amp;COUNTIFS($A$3:A174,A174,$AY$3:AY174,1),"")</f>
        <v/>
      </c>
      <c r="Q174" s="152">
        <f>IF(R174="","",IFERROR(SUBSTITUTE(Разбивка_по_щитам!P174,CHAR(10)," "),""))</f>
        <v/>
      </c>
      <c r="R174" s="153">
        <f>IF(OR(Разбивка_по_щитам!H174="",Разбивка_по_щитам!H174=0),"",Разбивка_по_щитам!H174)</f>
        <v/>
      </c>
      <c r="S174" s="154">
        <f>IF(R174="","",IFERROR(Разбивка_по_щитам!J174&amp;"",""))</f>
        <v/>
      </c>
      <c r="T174" s="155">
        <f>IF(R174="","",IFERROR(--Разбивка_по_щитам!L174,""))</f>
        <v/>
      </c>
      <c r="U174" s="155">
        <f>IF(R174="","",IFERROR(--Разбивка_по_щитам!K174,""))</f>
        <v/>
      </c>
      <c r="V174" s="138">
        <f>IF(R174="","",IFERROR(IF(Разбивка_по_щитам!M174=0,"",Разбивка_по_щитам!M174),""))</f>
        <v/>
      </c>
      <c r="W174" s="156">
        <f t="shared" si="89"/>
        <v/>
      </c>
      <c r="X174" s="157">
        <f t="shared" si="90"/>
        <v/>
      </c>
      <c r="Y174" s="266"/>
      <c r="Z174" s="158">
        <f t="shared" si="91"/>
        <v/>
      </c>
      <c r="AA174" s="160">
        <f t="shared" si="92"/>
        <v/>
      </c>
      <c r="AB174" s="160">
        <f>IF(R174="","",IFERROR(LOOKUP(INDEX(Справочная!$I$4:$I$19,MATCH(VLOOKUP(R174,Исходные_данные,22,FALSE),Справочная!$J$4:$J$19,0)+1),{6,10,16,20,25,32,40,50,63,80,100,125}),""))</f>
        <v/>
      </c>
      <c r="AC174" s="160">
        <f t="shared" si="93"/>
        <v/>
      </c>
      <c r="AD174" s="161">
        <f t="shared" si="94"/>
        <v/>
      </c>
      <c r="AE174" s="161">
        <f>IF(AND(R174="",G174=""),"",_xlfn.TEXTJOIN("; ",TRUE,IF(AND(R174&lt;&gt;"",V174=""),"нет фазы",""),IF(AND(R174&lt;&gt;"",N(T174)=0),"нет мощности",""),IF(AND(P174&lt;&gt;"",COUNTIFS($A$3:$A$1000,A174,$P$3:$P$1000,P174)&gt;1),"дубль клеммы "&amp;P174,""),IF(AND(W174&lt;&gt;"",W174&lt;&gt;"ok"),W174,""),IF(X174&lt;&gt;"",X174,""),IF(AND(ISNUMBER(SEARCH("(5х",Q174)),N(AK174)=1),"5 жил на 1 фазе",""),IF(AND(AL174="R",E174&lt;&gt;"",N(AS174)=0),"розетка без 30 мА",""),IF(IFERROR(_xlfn.NUMBERVALUE(MID(Q174,FIND("-",Q174,FIND("L=",Q174))+1,FIND("%",Q174)-FIND("-",Q174,FIND("L=",Q174))-1),","),0)&gt;4,"потери &gt; 4 %","")))</f>
      </c>
      <c r="AF174" s="129">
        <f>IF(E174&lt;&gt;"",COUNTIFS($A$3:A174,A174,$E$3:E174,"?*"),IF(OR(A174&lt;&gt;A173,Y174="вручную"),"",AF173))</f>
      </c>
      <c r="AG174" s="129">
        <f t="shared" si="95"/>
      </c>
      <c r="AH174" s="129">
        <f t="shared" si="96"/>
        <v/>
      </c>
      <c r="AI174" s="129">
        <f t="shared" si="97"/>
        <v/>
      </c>
      <c r="AJ174" s="129">
        <f t="shared" si="98"/>
        <v/>
      </c>
      <c r="AK174" s="129">
        <f t="shared" si="99"/>
        <v/>
      </c>
      <c r="AL174" s="129">
        <f t="shared" si="100"/>
        <v/>
      </c>
      <c r="AM174" s="129">
        <f t="shared" si="101"/>
      </c>
      <c r="AN174" s="129">
        <f t="shared" si="102"/>
      </c>
      <c r="AO174" s="129">
        <f t="shared" si="103"/>
        <v/>
      </c>
      <c r="AP174" s="129">
        <f t="shared" si="104"/>
        <v/>
      </c>
      <c r="AQ174" s="129">
        <f t="shared" si="105"/>
        <v/>
      </c>
      <c r="AR174" s="129">
        <f t="shared" si="106"/>
        <v/>
      </c>
      <c r="AS174" s="129">
        <f t="shared" si="107"/>
        <v/>
      </c>
      <c r="AT174" s="129">
        <f t="shared" si="108"/>
        <v/>
      </c>
      <c r="AU174" s="129">
        <f t="shared" si="109"/>
        <v/>
      </c>
      <c r="AV174" s="129">
        <f t="shared" si="110"/>
        <v/>
      </c>
      <c r="AW174" s="129">
        <f>IF(AV174="","",AV174&amp;"."&amp;COUNTIFS($A$3:A174,A174,$AV$3:AV174,AV174))</f>
        <v/>
      </c>
      <c r="AX174" s="129">
        <f t="shared" si="111"/>
        <v/>
      </c>
      <c r="AY174" s="129">
        <f>IF(N174="б/к",0,IF(OR(ISNUMBER(SEARCH("L=",Разбивка_по_щитам!P174)),N174="+",N174="="),1,0))</f>
      </c>
      <c r="AZ174" s="129">
        <f t="shared" si="112"/>
      </c>
      <c r="BA174" s="129">
        <f t="shared" si="113"/>
      </c>
      <c r="BB174" s="129">
        <f t="shared" si="114"/>
      </c>
      <c r="BD174" s="129">
        <f t="shared" si="115"/>
      </c>
      <c r="BE174" s="129">
        <f t="shared" si="116"/>
      </c>
      <c r="BF174" s="129">
        <f t="shared" si="117"/>
      </c>
      <c r="BG174" s="129">
        <f t="shared" si="118"/>
        <v/>
      </c>
      <c r="BH174" s="129">
        <f t="shared" si="119"/>
        <v/>
      </c>
      <c r="BI174" s="129">
        <f t="shared" si="120"/>
        <v/>
      </c>
      <c r="BJ174" s="129">
        <f t="shared" si="121"/>
        <v/>
      </c>
      <c r="BK174" s="129">
        <f>IF(R174="","",IF(OR(BY174="",BY174=0),"BOX",IFERROR(IF(VLOOKUP(BY174,УГО_блоки,3,FALSE)&amp;""&lt;&gt;"",VLOOKUP(BY174,УГО_блоки,3,FALSE),VLOOKUP(BY174,УГО_блоки,2,FALSE)),BY174)))</f>
      </c>
      <c r="BL174" s="129">
        <f t="shared" si="123"/>
      </c>
      <c r="BM174" s="129">
        <f>IF(H174="","",IF(COUNTIF($H$3:H174,H174)=1,MAX($BM$2:BM173)+1,""))</f>
      </c>
      <c r="BN174" s="129">
        <f>IF(I174="","",IF(COUNTIF($I$3:I174,I174)+COUNTIF($J$2:J173,I174)+COUNTIF($K$2:K173,I174)=1,MAX($BN$2:BP173)+1,""))</f>
      </c>
      <c r="BO174" s="129">
        <f>IF(J174="","",IF(COUNTIF($I$3:I174,J174)+COUNTIF($J$3:J174,J174)+COUNTIF($K$2:K173,J174)=1,MAX($BN$2:BP173,BN174)+1,""))</f>
      </c>
      <c r="BP174" s="129">
        <f>IF(K174="","",IF(COUNTIF($I$3:I174,K174)+COUNTIF($J$3:J174,K174)+COUNTIF($K$3:K174,K174)=1,MAX($BN$2:BP173,BN174,BO174)+1,""))</f>
      </c>
      <c r="BQ174" s="129">
        <f>IF(AY174=1,IFERROR(MID(Q174,FIND(" (",Q174)+2,FIND(")",Q174,FIND(" (",Q174))-FIND(" (",Q174)-2),"?"),"")</f>
      </c>
      <c r="BR174" s="129">
        <f>IF(BQ174="","",IF(COUNTIF($BQ$3:BQ174,BQ174)=1,MAX($BR$2:BR173)+1,""))</f>
      </c>
      <c r="BS174" s="129">
        <f>IF(AW174="","",COUNTIF($AW$3:AW174,"?*"))</f>
      </c>
      <c r="BT174" s="129">
        <f>IF(OR(AW174="",AI174=""),"",IF(COUNTIFS($AW$3:AW174,"?*",$AI$3:AI174,AI174)=1,MAX($BT$2:BT173)+1,""))</f>
      </c>
      <c r="BU174" s="129">
        <f>IF(AE174="",0,IF(OR(ISNUMBER(SEARCH("дубль",AE174)),ISNUMBER(SEARCH("ПЕРЕГРУЗ",AE174)),ISNUMBER(SEARCH("ЗАЩИЩ",AE174)),ISNUMBER(SEARCH("КАНАЛ",AE174)),ISNUMBER(SEARCH("без 30",AE174))),2,1))</f>
      </c>
      <c r="BV174" s="129">
        <f>IF(R174="","",COUNTIF($R$3:R174,"?*"))</f>
      </c>
      <c r="BW174" s="129">
        <f>IF(AY174&lt;&gt;1,0,IF(MAX(IFERROR(--VLOOKUP(R174,УГО_спр,5,FALSE),0),IFERROR(--VLOOKUP(AL174,УГО_спр,5,FALSE),0),IFERROR(--VLOOKUP(LEFT(AL174,2),УГО_спр,5,FALSE),0))&gt;0,MAX(IFERROR(--VLOOKUP(R174,УГО_спр,5,FALSE),0),IFERROR(--VLOOKUP(AL174,УГО_спр,5,FALSE),0),IFERROR(--VLOOKUP(LEFT(AL174,2),УГО_спр,5,FALSE),0)),IF(IFERROR(--LEFT(SUBSTITUTE(BQ174,"x","х"),FIND("х",SUBSTITUTE(BQ174,"x","х"))-1),3)&gt;3,Каталог!$S$9,1)))</f>
      </c>
      <c r="BX174" s="129">
        <f>IF(AY174&lt;&gt;1,0,MAX(0,IFERROR(--LEFT(SUBSTITUTE(BQ174,"x","х"),FIND("х",SUBSTITUTE(BQ174,"x","х"))-1),3)-3*BW174))</f>
      </c>
      <c r="BY174" s="129">
        <f>IF(R174="","",IFERROR(VLOOKUP(R174,УГО_спр,2,FALSE),IFERROR(VLOOKUP(AL174,УГО_спр,2,FALSE),IFERROR(VLOOKUP(LEFT(AL174,2),УГО_спр,2,FALSE),""))))</f>
      </c>
    </row>
    <row r="175" spans="1:64" x14ac:dyDescent="0.3">
      <c r="A175" s="135">
        <f>IF(Разбивка_по_щитам!F175=0,"",Разбивка_по_щитам!F175)</f>
      </c>
      <c r="B175" s="138">
        <f>IF(A175="","",Разбивка_по_щитам!C175)</f>
      </c>
      <c r="C175" s="138">
        <f t="shared" si="86"/>
      </c>
      <c r="D175" s="266"/>
      <c r="E175" s="266"/>
      <c r="F175" s="267"/>
      <c r="G175" s="145">
        <f t="shared" si="87"/>
        <v/>
      </c>
      <c r="H175" s="145">
        <f t="shared" si="88"/>
        <v/>
      </c>
      <c r="I175" s="266"/>
      <c r="J175" s="267"/>
      <c r="K175" s="267"/>
      <c r="L175" s="266"/>
      <c r="M175" s="147">
        <f t="shared" ref="M175:M206" si="126">IF(OR(O175&lt;&gt;"",AND(L175&lt;&gt;"",L175&lt;&gt;"-")),AH175,"")</f>
        <v/>
      </c>
      <c r="N175" s="267"/>
      <c r="O175" s="147">
        <f t="shared" ref="O175:O206" si="127">IF(N175="=",AX174,IF(ISNUMBER(N175),N175,IF(AH175="","",IF(OR(R175&lt;&gt;"",N175="+",N175="р"),IF(OR(AW175&lt;&gt;"",AX174=""),1,AX174+1),""))))</f>
        <v/>
      </c>
      <c r="P175" s="268">
        <f>IF(AY175=1,"XT"&amp;COUNTIFS($A$3:A175,A175,$AY$3:AY175,1),"")</f>
        <v/>
      </c>
      <c r="Q175" s="152">
        <f>IF(R175="","",IFERROR(SUBSTITUTE(Разбивка_по_щитам!P175,CHAR(10)," "),""))</f>
        <v/>
      </c>
      <c r="R175" s="153">
        <f>IF(OR(Разбивка_по_щитам!H175="",Разбивка_по_щитам!H175=0),"",Разбивка_по_щитам!H175)</f>
        <v/>
      </c>
      <c r="S175" s="154">
        <f>IF(R175="","",IFERROR(Разбивка_по_щитам!J175&amp;"",""))</f>
        <v/>
      </c>
      <c r="T175" s="155">
        <f>IF(R175="","",IFERROR(--Разбивка_по_щитам!L175,""))</f>
        <v/>
      </c>
      <c r="U175" s="155">
        <f>IF(R175="","",IFERROR(--Разбивка_по_щитам!K175,""))</f>
        <v/>
      </c>
      <c r="V175" s="138">
        <f>IF(R175="","",IFERROR(IF(Разбивка_по_щитам!M175=0,"",Разбивка_по_щитам!M175),""))</f>
        <v/>
      </c>
      <c r="W175" s="156">
        <f t="shared" si="89"/>
        <v/>
      </c>
      <c r="X175" s="157">
        <f t="shared" si="90"/>
        <v/>
      </c>
      <c r="Y175" s="266"/>
      <c r="Z175" s="158">
        <f t="shared" si="91"/>
        <v/>
      </c>
      <c r="AA175" s="160">
        <f t="shared" si="92"/>
        <v/>
      </c>
      <c r="AB175" s="160">
        <f>IF(R175="","",IFERROR(LOOKUP(INDEX(Справочная!$I$4:$I$19,MATCH(VLOOKUP(R175,Исходные_данные,22,FALSE),Справочная!$J$4:$J$19,0)+1),{6,10,16,20,25,32,40,50,63,80,100,125}),""))</f>
        <v/>
      </c>
      <c r="AC175" s="160">
        <f t="shared" si="93"/>
        <v/>
      </c>
      <c r="AD175" s="161">
        <f t="shared" si="94"/>
        <v/>
      </c>
      <c r="AE175" s="161">
        <f>IF(AND(R175="",G175=""),"",_xlfn.TEXTJOIN("; ",TRUE,IF(AND(R175&lt;&gt;"",V175=""),"нет фазы",""),IF(AND(R175&lt;&gt;"",N(T175)=0),"нет мощности",""),IF(AND(P175&lt;&gt;"",COUNTIFS($A$3:$A$1000,A175,$P$3:$P$1000,P175)&gt;1),"дубль клеммы "&amp;P175,""),IF(AND(W175&lt;&gt;"",W175&lt;&gt;"ok"),W175,""),IF(X175&lt;&gt;"",X175,""),IF(AND(ISNUMBER(SEARCH("(5х",Q175)),N(AK175)=1),"5 жил на 1 фазе",""),IF(AND(AL175="R",E175&lt;&gt;"",N(AS175)=0),"розетка без 30 мА",""),IF(IFERROR(_xlfn.NUMBERVALUE(MID(Q175,FIND("-",Q175,FIND("L=",Q175))+1,FIND("%",Q175)-FIND("-",Q175,FIND("L=",Q175))-1),","),0)&gt;4,"потери &gt; 4 %","")))</f>
      </c>
      <c r="AF175" s="129">
        <f>IF(E175&lt;&gt;"",COUNTIFS($A$3:A175,A175,$E$3:E175,"?*"),IF(OR(A175&lt;&gt;A174,Y175="вручную"),"",AF174))</f>
      </c>
      <c r="AG175" s="129">
        <f t="shared" si="95"/>
      </c>
      <c r="AH175" s="129">
        <f t="shared" si="96"/>
        <v/>
      </c>
      <c r="AI175" s="129">
        <f t="shared" si="97"/>
        <v/>
      </c>
      <c r="AJ175" s="129">
        <f t="shared" si="98"/>
        <v/>
      </c>
      <c r="AK175" s="129">
        <f t="shared" si="99"/>
        <v/>
      </c>
      <c r="AL175" s="129">
        <f t="shared" si="100"/>
        <v/>
      </c>
      <c r="AM175" s="129">
        <f t="shared" si="101"/>
      </c>
      <c r="AN175" s="129">
        <f t="shared" si="102"/>
      </c>
      <c r="AO175" s="129">
        <f t="shared" si="103"/>
        <v/>
      </c>
      <c r="AP175" s="129">
        <f t="shared" si="104"/>
        <v/>
      </c>
      <c r="AQ175" s="129">
        <f t="shared" si="105"/>
        <v/>
      </c>
      <c r="AR175" s="129">
        <f t="shared" si="106"/>
        <v/>
      </c>
      <c r="AS175" s="129">
        <f t="shared" si="107"/>
        <v/>
      </c>
      <c r="AT175" s="129">
        <f t="shared" si="108"/>
        <v/>
      </c>
      <c r="AU175" s="129">
        <f t="shared" si="109"/>
        <v/>
      </c>
      <c r="AV175" s="129">
        <f t="shared" si="110"/>
        <v/>
      </c>
      <c r="AW175" s="129">
        <f>IF(AV175="","",AV175&amp;"."&amp;COUNTIFS($A$3:A175,A175,$AV$3:AV175,AV175))</f>
        <v/>
      </c>
      <c r="AX175" s="129">
        <f t="shared" si="111"/>
        <v/>
      </c>
      <c r="AY175" s="129">
        <f>IF(N175="б/к",0,IF(OR(ISNUMBER(SEARCH("L=",Разбивка_по_щитам!P175)),N175="+",N175="="),1,0))</f>
      </c>
      <c r="AZ175" s="129">
        <f t="shared" si="112"/>
      </c>
      <c r="BA175" s="129">
        <f t="shared" si="113"/>
      </c>
      <c r="BB175" s="129">
        <f t="shared" si="114"/>
      </c>
      <c r="BD175" s="129">
        <f t="shared" si="115"/>
      </c>
      <c r="BE175" s="129">
        <f t="shared" si="116"/>
      </c>
      <c r="BF175" s="129">
        <f t="shared" si="117"/>
      </c>
      <c r="BG175" s="129">
        <f t="shared" si="118"/>
        <v/>
      </c>
      <c r="BH175" s="129">
        <f t="shared" si="119"/>
        <v/>
      </c>
      <c r="BI175" s="129">
        <f t="shared" si="120"/>
        <v/>
      </c>
      <c r="BJ175" s="129">
        <f t="shared" si="121"/>
        <v/>
      </c>
      <c r="BK175" s="129">
        <f>IF(R175="","",IF(OR(BY175="",BY175=0),"BOX",IFERROR(IF(VLOOKUP(BY175,УГО_блоки,3,FALSE)&amp;""&lt;&gt;"",VLOOKUP(BY175,УГО_блоки,3,FALSE),VLOOKUP(BY175,УГО_блоки,2,FALSE)),BY175)))</f>
      </c>
      <c r="BL175" s="129">
        <f t="shared" si="123"/>
      </c>
      <c r="BM175" s="129">
        <f>IF(H175="","",IF(COUNTIF($H$3:H175,H175)=1,MAX($BM$2:BM174)+1,""))</f>
      </c>
      <c r="BN175" s="129">
        <f>IF(I175="","",IF(COUNTIF($I$3:I175,I175)+COUNTIF($J$2:J174,I175)+COUNTIF($K$2:K174,I175)=1,MAX($BN$2:BP174)+1,""))</f>
      </c>
      <c r="BO175" s="129">
        <f>IF(J175="","",IF(COUNTIF($I$3:I175,J175)+COUNTIF($J$3:J175,J175)+COUNTIF($K$2:K174,J175)=1,MAX($BN$2:BP174,BN175)+1,""))</f>
      </c>
      <c r="BP175" s="129">
        <f>IF(K175="","",IF(COUNTIF($I$3:I175,K175)+COUNTIF($J$3:J175,K175)+COUNTIF($K$3:K175,K175)=1,MAX($BN$2:BP174,BN175,BO175)+1,""))</f>
      </c>
      <c r="BQ175" s="129">
        <f>IF(AY175=1,IFERROR(MID(Q175,FIND(" (",Q175)+2,FIND(")",Q175,FIND(" (",Q175))-FIND(" (",Q175)-2),"?"),"")</f>
      </c>
      <c r="BR175" s="129">
        <f>IF(BQ175="","",IF(COUNTIF($BQ$3:BQ175,BQ175)=1,MAX($BR$2:BR174)+1,""))</f>
      </c>
      <c r="BS175" s="129">
        <f>IF(AW175="","",COUNTIF($AW$3:AW175,"?*"))</f>
      </c>
      <c r="BT175" s="129">
        <f>IF(OR(AW175="",AI175=""),"",IF(COUNTIFS($AW$3:AW175,"?*",$AI$3:AI175,AI175)=1,MAX($BT$2:BT174)+1,""))</f>
      </c>
      <c r="BU175" s="129">
        <f>IF(AE175="",0,IF(OR(ISNUMBER(SEARCH("дубль",AE175)),ISNUMBER(SEARCH("ПЕРЕГРУЗ",AE175)),ISNUMBER(SEARCH("ЗАЩИЩ",AE175)),ISNUMBER(SEARCH("КАНАЛ",AE175)),ISNUMBER(SEARCH("без 30",AE175))),2,1))</f>
      </c>
      <c r="BV175" s="129">
        <f>IF(R175="","",COUNTIF($R$3:R175,"?*"))</f>
      </c>
      <c r="BW175" s="129">
        <f>IF(AY175&lt;&gt;1,0,IF(MAX(IFERROR(--VLOOKUP(R175,УГО_спр,5,FALSE),0),IFERROR(--VLOOKUP(AL175,УГО_спр,5,FALSE),0),IFERROR(--VLOOKUP(LEFT(AL175,2),УГО_спр,5,FALSE),0))&gt;0,MAX(IFERROR(--VLOOKUP(R175,УГО_спр,5,FALSE),0),IFERROR(--VLOOKUP(AL175,УГО_спр,5,FALSE),0),IFERROR(--VLOOKUP(LEFT(AL175,2),УГО_спр,5,FALSE),0)),IF(IFERROR(--LEFT(SUBSTITUTE(BQ175,"x","х"),FIND("х",SUBSTITUTE(BQ175,"x","х"))-1),3)&gt;3,Каталог!$S$9,1)))</f>
      </c>
      <c r="BX175" s="129">
        <f>IF(AY175&lt;&gt;1,0,MAX(0,IFERROR(--LEFT(SUBSTITUTE(BQ175,"x","х"),FIND("х",SUBSTITUTE(BQ175,"x","х"))-1),3)-3*BW175))</f>
      </c>
      <c r="BY175" s="129">
        <f>IF(R175="","",IFERROR(VLOOKUP(R175,УГО_спр,2,FALSE),IFERROR(VLOOKUP(AL175,УГО_спр,2,FALSE),IFERROR(VLOOKUP(LEFT(AL175,2),УГО_спр,2,FALSE),""))))</f>
      </c>
    </row>
    <row r="176" spans="1:64" x14ac:dyDescent="0.3">
      <c r="A176" s="135">
        <f>IF(Разбивка_по_щитам!F176=0,"",Разбивка_по_щитам!F176)</f>
      </c>
      <c r="B176" s="138">
        <f>IF(A176="","",Разбивка_по_щитам!C176)</f>
      </c>
      <c r="C176" s="138">
        <f t="shared" si="86"/>
      </c>
      <c r="D176" s="266"/>
      <c r="E176" s="266"/>
      <c r="F176" s="267"/>
      <c r="G176" s="145">
        <f t="shared" si="87"/>
        <v/>
      </c>
      <c r="H176" s="145">
        <f t="shared" si="88"/>
        <v/>
      </c>
      <c r="I176" s="266"/>
      <c r="J176" s="267"/>
      <c r="K176" s="267"/>
      <c r="L176" s="266"/>
      <c r="M176" s="147">
        <f t="shared" si="126"/>
        <v/>
      </c>
      <c r="N176" s="267"/>
      <c r="O176" s="147">
        <f t="shared" si="127"/>
        <v/>
      </c>
      <c r="P176" s="268">
        <f>IF(AY176=1,"XT"&amp;COUNTIFS($A$3:A176,A176,$AY$3:AY176,1),"")</f>
        <v/>
      </c>
      <c r="Q176" s="152">
        <f>IF(R176="","",IFERROR(SUBSTITUTE(Разбивка_по_щитам!P176,CHAR(10)," "),""))</f>
        <v/>
      </c>
      <c r="R176" s="153">
        <f>IF(OR(Разбивка_по_щитам!H176="",Разбивка_по_щитам!H176=0),"",Разбивка_по_щитам!H176)</f>
        <v/>
      </c>
      <c r="S176" s="154">
        <f>IF(R176="","",IFERROR(Разбивка_по_щитам!J176&amp;"",""))</f>
        <v/>
      </c>
      <c r="T176" s="155">
        <f>IF(R176="","",IFERROR(--Разбивка_по_щитам!L176,""))</f>
        <v/>
      </c>
      <c r="U176" s="155">
        <f>IF(R176="","",IFERROR(--Разбивка_по_щитам!K176,""))</f>
        <v/>
      </c>
      <c r="V176" s="138">
        <f>IF(R176="","",IFERROR(IF(Разбивка_по_щитам!M176=0,"",Разбивка_по_щитам!M176),""))</f>
        <v/>
      </c>
      <c r="W176" s="156">
        <f t="shared" si="89"/>
        <v/>
      </c>
      <c r="X176" s="157">
        <f t="shared" si="90"/>
        <v/>
      </c>
      <c r="Y176" s="266"/>
      <c r="Z176" s="158">
        <f t="shared" si="91"/>
        <v/>
      </c>
      <c r="AA176" s="160">
        <f t="shared" si="92"/>
        <v/>
      </c>
      <c r="AB176" s="160">
        <f>IF(R176="","",IFERROR(LOOKUP(INDEX(Справочная!$I$4:$I$19,MATCH(VLOOKUP(R176,Исходные_данные,22,FALSE),Справочная!$J$4:$J$19,0)+1),{6,10,16,20,25,32,40,50,63,80,100,125}),""))</f>
        <v/>
      </c>
      <c r="AC176" s="160">
        <f t="shared" si="93"/>
        <v/>
      </c>
      <c r="AD176" s="161">
        <f t="shared" si="94"/>
        <v/>
      </c>
      <c r="AE176" s="161">
        <f>IF(AND(R176="",G176=""),"",_xlfn.TEXTJOIN("; ",TRUE,IF(AND(R176&lt;&gt;"",V176=""),"нет фазы",""),IF(AND(R176&lt;&gt;"",N(T176)=0),"нет мощности",""),IF(AND(P176&lt;&gt;"",COUNTIFS($A$3:$A$1000,A176,$P$3:$P$1000,P176)&gt;1),"дубль клеммы "&amp;P176,""),IF(AND(W176&lt;&gt;"",W176&lt;&gt;"ok"),W176,""),IF(X176&lt;&gt;"",X176,""),IF(AND(ISNUMBER(SEARCH("(5х",Q176)),N(AK176)=1),"5 жил на 1 фазе",""),IF(AND(AL176="R",E176&lt;&gt;"",N(AS176)=0),"розетка без 30 мА",""),IF(IFERROR(_xlfn.NUMBERVALUE(MID(Q176,FIND("-",Q176,FIND("L=",Q176))+1,FIND("%",Q176)-FIND("-",Q176,FIND("L=",Q176))-1),","),0)&gt;4,"потери &gt; 4 %","")))</f>
      </c>
      <c r="AF176" s="129">
        <f>IF(E176&lt;&gt;"",COUNTIFS($A$3:A176,A176,$E$3:E176,"?*"),IF(OR(A176&lt;&gt;A175,Y176="вручную"),"",AF175))</f>
      </c>
      <c r="AG176" s="129">
        <f t="shared" si="95"/>
      </c>
      <c r="AH176" s="129">
        <f t="shared" si="96"/>
        <v/>
      </c>
      <c r="AI176" s="129">
        <f t="shared" si="97"/>
        <v/>
      </c>
      <c r="AJ176" s="129">
        <f t="shared" si="98"/>
        <v/>
      </c>
      <c r="AK176" s="129">
        <f t="shared" si="99"/>
        <v/>
      </c>
      <c r="AL176" s="129">
        <f t="shared" si="100"/>
        <v/>
      </c>
      <c r="AM176" s="129">
        <f t="shared" si="101"/>
      </c>
      <c r="AN176" s="129">
        <f t="shared" si="102"/>
      </c>
      <c r="AO176" s="129">
        <f t="shared" si="103"/>
        <v/>
      </c>
      <c r="AP176" s="129">
        <f t="shared" si="104"/>
        <v/>
      </c>
      <c r="AQ176" s="129">
        <f t="shared" si="105"/>
        <v/>
      </c>
      <c r="AR176" s="129">
        <f t="shared" si="106"/>
        <v/>
      </c>
      <c r="AS176" s="129">
        <f t="shared" si="107"/>
        <v/>
      </c>
      <c r="AT176" s="129">
        <f t="shared" si="108"/>
        <v/>
      </c>
      <c r="AU176" s="129">
        <f t="shared" si="109"/>
        <v/>
      </c>
      <c r="AV176" s="129">
        <f t="shared" si="110"/>
        <v/>
      </c>
      <c r="AW176" s="129">
        <f>IF(AV176="","",AV176&amp;"."&amp;COUNTIFS($A$3:A176,A176,$AV$3:AV176,AV176))</f>
        <v/>
      </c>
      <c r="AX176" s="129">
        <f t="shared" si="111"/>
        <v/>
      </c>
      <c r="AY176" s="129">
        <f>IF(N176="б/к",0,IF(OR(ISNUMBER(SEARCH("L=",Разбивка_по_щитам!P176)),N176="+",N176="="),1,0))</f>
      </c>
      <c r="AZ176" s="129">
        <f t="shared" si="112"/>
      </c>
      <c r="BA176" s="129">
        <f t="shared" si="113"/>
      </c>
      <c r="BB176" s="129">
        <f t="shared" si="114"/>
      </c>
      <c r="BD176" s="129">
        <f t="shared" si="115"/>
      </c>
      <c r="BE176" s="129">
        <f t="shared" si="116"/>
      </c>
      <c r="BF176" s="129">
        <f t="shared" si="117"/>
      </c>
      <c r="BG176" s="129">
        <f t="shared" si="118"/>
        <v/>
      </c>
      <c r="BH176" s="129">
        <f t="shared" si="119"/>
        <v/>
      </c>
      <c r="BI176" s="129">
        <f t="shared" si="120"/>
        <v/>
      </c>
      <c r="BJ176" s="129">
        <f t="shared" si="121"/>
        <v/>
      </c>
      <c r="BK176" s="129">
        <f>IF(R176="","",IF(OR(BY176="",BY176=0),"BOX",IFERROR(IF(VLOOKUP(BY176,УГО_блоки,3,FALSE)&amp;""&lt;&gt;"",VLOOKUP(BY176,УГО_блоки,3,FALSE),VLOOKUP(BY176,УГО_блоки,2,FALSE)),BY176)))</f>
      </c>
      <c r="BL176" s="129">
        <f t="shared" si="123"/>
      </c>
      <c r="BM176" s="129">
        <f>IF(H176="","",IF(COUNTIF($H$3:H176,H176)=1,MAX($BM$2:BM175)+1,""))</f>
      </c>
      <c r="BN176" s="129">
        <f>IF(I176="","",IF(COUNTIF($I$3:I176,I176)+COUNTIF($J$2:J175,I176)+COUNTIF($K$2:K175,I176)=1,MAX($BN$2:BP175)+1,""))</f>
      </c>
      <c r="BO176" s="129">
        <f>IF(J176="","",IF(COUNTIF($I$3:I176,J176)+COUNTIF($J$3:J176,J176)+COUNTIF($K$2:K175,J176)=1,MAX($BN$2:BP175,BN176)+1,""))</f>
      </c>
      <c r="BP176" s="129">
        <f>IF(K176="","",IF(COUNTIF($I$3:I176,K176)+COUNTIF($J$3:J176,K176)+COUNTIF($K$3:K176,K176)=1,MAX($BN$2:BP175,BN176,BO176)+1,""))</f>
      </c>
      <c r="BQ176" s="129">
        <f>IF(AY176=1,IFERROR(MID(Q176,FIND(" (",Q176)+2,FIND(")",Q176,FIND(" (",Q176))-FIND(" (",Q176)-2),"?"),"")</f>
      </c>
      <c r="BR176" s="129">
        <f>IF(BQ176="","",IF(COUNTIF($BQ$3:BQ176,BQ176)=1,MAX($BR$2:BR175)+1,""))</f>
      </c>
      <c r="BS176" s="129">
        <f>IF(AW176="","",COUNTIF($AW$3:AW176,"?*"))</f>
      </c>
      <c r="BT176" s="129">
        <f>IF(OR(AW176="",AI176=""),"",IF(COUNTIFS($AW$3:AW176,"?*",$AI$3:AI176,AI176)=1,MAX($BT$2:BT175)+1,""))</f>
      </c>
      <c r="BU176" s="129">
        <f>IF(AE176="",0,IF(OR(ISNUMBER(SEARCH("дубль",AE176)),ISNUMBER(SEARCH("ПЕРЕГРУЗ",AE176)),ISNUMBER(SEARCH("ЗАЩИЩ",AE176)),ISNUMBER(SEARCH("КАНАЛ",AE176)),ISNUMBER(SEARCH("без 30",AE176))),2,1))</f>
      </c>
      <c r="BV176" s="129">
        <f>IF(R176="","",COUNTIF($R$3:R176,"?*"))</f>
      </c>
      <c r="BW176" s="129">
        <f>IF(AY176&lt;&gt;1,0,IF(MAX(IFERROR(--VLOOKUP(R176,УГО_спр,5,FALSE),0),IFERROR(--VLOOKUP(AL176,УГО_спр,5,FALSE),0),IFERROR(--VLOOKUP(LEFT(AL176,2),УГО_спр,5,FALSE),0))&gt;0,MAX(IFERROR(--VLOOKUP(R176,УГО_спр,5,FALSE),0),IFERROR(--VLOOKUP(AL176,УГО_спр,5,FALSE),0),IFERROR(--VLOOKUP(LEFT(AL176,2),УГО_спр,5,FALSE),0)),IF(IFERROR(--LEFT(SUBSTITUTE(BQ176,"x","х"),FIND("х",SUBSTITUTE(BQ176,"x","х"))-1),3)&gt;3,Каталог!$S$9,1)))</f>
      </c>
      <c r="BX176" s="129">
        <f>IF(AY176&lt;&gt;1,0,MAX(0,IFERROR(--LEFT(SUBSTITUTE(BQ176,"x","х"),FIND("х",SUBSTITUTE(BQ176,"x","х"))-1),3)-3*BW176))</f>
      </c>
      <c r="BY176" s="129">
        <f>IF(R176="","",IFERROR(VLOOKUP(R176,УГО_спр,2,FALSE),IFERROR(VLOOKUP(AL176,УГО_спр,2,FALSE),IFERROR(VLOOKUP(LEFT(AL176,2),УГО_спр,2,FALSE),""))))</f>
      </c>
    </row>
    <row r="177" spans="1:64" x14ac:dyDescent="0.3">
      <c r="A177" s="135">
        <f>IF(Разбивка_по_щитам!F177=0,"",Разбивка_по_щитам!F177)</f>
      </c>
      <c r="B177" s="138">
        <f>IF(A177="","",Разбивка_по_щитам!C177)</f>
      </c>
      <c r="C177" s="138">
        <f t="shared" si="86"/>
      </c>
      <c r="D177" s="266"/>
      <c r="E177" s="266"/>
      <c r="F177" s="267"/>
      <c r="G177" s="145">
        <f t="shared" si="87"/>
        <v/>
      </c>
      <c r="H177" s="145">
        <f t="shared" si="88"/>
        <v/>
      </c>
      <c r="I177" s="266"/>
      <c r="J177" s="267"/>
      <c r="K177" s="267"/>
      <c r="L177" s="266"/>
      <c r="M177" s="147">
        <f t="shared" si="126"/>
        <v/>
      </c>
      <c r="N177" s="267"/>
      <c r="O177" s="147">
        <f t="shared" si="127"/>
        <v/>
      </c>
      <c r="P177" s="268">
        <f>IF(AY177=1,"XT"&amp;COUNTIFS($A$3:A177,A177,$AY$3:AY177,1),"")</f>
        <v/>
      </c>
      <c r="Q177" s="152">
        <f>IF(R177="","",IFERROR(SUBSTITUTE(Разбивка_по_щитам!P177,CHAR(10)," "),""))</f>
        <v/>
      </c>
      <c r="R177" s="153">
        <f>IF(OR(Разбивка_по_щитам!H177="",Разбивка_по_щитам!H177=0),"",Разбивка_по_щитам!H177)</f>
        <v/>
      </c>
      <c r="S177" s="154">
        <f>IF(R177="","",IFERROR(Разбивка_по_щитам!J177&amp;"",""))</f>
        <v/>
      </c>
      <c r="T177" s="155">
        <f>IF(R177="","",IFERROR(--Разбивка_по_щитам!L177,""))</f>
        <v/>
      </c>
      <c r="U177" s="155">
        <f>IF(R177="","",IFERROR(--Разбивка_по_щитам!K177,""))</f>
        <v/>
      </c>
      <c r="V177" s="138">
        <f>IF(R177="","",IFERROR(IF(Разбивка_по_щитам!M177=0,"",Разбивка_по_щитам!M177),""))</f>
        <v/>
      </c>
      <c r="W177" s="156">
        <f t="shared" si="89"/>
        <v/>
      </c>
      <c r="X177" s="157">
        <f t="shared" si="90"/>
        <v/>
      </c>
      <c r="Y177" s="266"/>
      <c r="Z177" s="158">
        <f t="shared" si="91"/>
        <v/>
      </c>
      <c r="AA177" s="160">
        <f t="shared" si="92"/>
        <v/>
      </c>
      <c r="AB177" s="160">
        <f>IF(R177="","",IFERROR(LOOKUP(INDEX(Справочная!$I$4:$I$19,MATCH(VLOOKUP(R177,Исходные_данные,22,FALSE),Справочная!$J$4:$J$19,0)+1),{6,10,16,20,25,32,40,50,63,80,100,125}),""))</f>
        <v/>
      </c>
      <c r="AC177" s="160">
        <f t="shared" si="93"/>
        <v/>
      </c>
      <c r="AD177" s="161">
        <f t="shared" si="94"/>
        <v/>
      </c>
      <c r="AE177" s="161">
        <f>IF(AND(R177="",G177=""),"",_xlfn.TEXTJOIN("; ",TRUE,IF(AND(R177&lt;&gt;"",V177=""),"нет фазы",""),IF(AND(R177&lt;&gt;"",N(T177)=0),"нет мощности",""),IF(AND(P177&lt;&gt;"",COUNTIFS($A$3:$A$1000,A177,$P$3:$P$1000,P177)&gt;1),"дубль клеммы "&amp;P177,""),IF(AND(W177&lt;&gt;"",W177&lt;&gt;"ok"),W177,""),IF(X177&lt;&gt;"",X177,""),IF(AND(ISNUMBER(SEARCH("(5х",Q177)),N(AK177)=1),"5 жил на 1 фазе",""),IF(AND(AL177="R",E177&lt;&gt;"",N(AS177)=0),"розетка без 30 мА",""),IF(IFERROR(_xlfn.NUMBERVALUE(MID(Q177,FIND("-",Q177,FIND("L=",Q177))+1,FIND("%",Q177)-FIND("-",Q177,FIND("L=",Q177))-1),","),0)&gt;4,"потери &gt; 4 %","")))</f>
      </c>
      <c r="AF177" s="129">
        <f>IF(E177&lt;&gt;"",COUNTIFS($A$3:A177,A177,$E$3:E177,"?*"),IF(OR(A177&lt;&gt;A176,Y177="вручную"),"",AF176))</f>
      </c>
      <c r="AG177" s="129">
        <f t="shared" si="95"/>
      </c>
      <c r="AH177" s="129">
        <f t="shared" si="96"/>
        <v/>
      </c>
      <c r="AI177" s="129">
        <f t="shared" si="97"/>
        <v/>
      </c>
      <c r="AJ177" s="129">
        <f t="shared" si="98"/>
        <v/>
      </c>
      <c r="AK177" s="129">
        <f t="shared" si="99"/>
        <v/>
      </c>
      <c r="AL177" s="129">
        <f t="shared" si="100"/>
        <v/>
      </c>
      <c r="AM177" s="129">
        <f t="shared" si="101"/>
      </c>
      <c r="AN177" s="129">
        <f t="shared" si="102"/>
      </c>
      <c r="AO177" s="129">
        <f t="shared" si="103"/>
        <v/>
      </c>
      <c r="AP177" s="129">
        <f t="shared" si="104"/>
        <v/>
      </c>
      <c r="AQ177" s="129">
        <f t="shared" si="105"/>
        <v/>
      </c>
      <c r="AR177" s="129">
        <f t="shared" si="106"/>
        <v/>
      </c>
      <c r="AS177" s="129">
        <f t="shared" si="107"/>
        <v/>
      </c>
      <c r="AT177" s="129">
        <f t="shared" si="108"/>
        <v/>
      </c>
      <c r="AU177" s="129">
        <f t="shared" si="109"/>
        <v/>
      </c>
      <c r="AV177" s="129">
        <f t="shared" si="110"/>
        <v/>
      </c>
      <c r="AW177" s="129">
        <f>IF(AV177="","",AV177&amp;"."&amp;COUNTIFS($A$3:A177,A177,$AV$3:AV177,AV177))</f>
        <v/>
      </c>
      <c r="AX177" s="129">
        <f t="shared" si="111"/>
        <v/>
      </c>
      <c r="AY177" s="129">
        <f>IF(N177="б/к",0,IF(OR(ISNUMBER(SEARCH("L=",Разбивка_по_щитам!P177)),N177="+",N177="="),1,0))</f>
      </c>
      <c r="AZ177" s="129">
        <f t="shared" si="112"/>
      </c>
      <c r="BA177" s="129">
        <f t="shared" si="113"/>
      </c>
      <c r="BB177" s="129">
        <f t="shared" si="114"/>
      </c>
      <c r="BD177" s="129">
        <f t="shared" si="115"/>
      </c>
      <c r="BE177" s="129">
        <f t="shared" si="116"/>
      </c>
      <c r="BF177" s="129">
        <f t="shared" si="117"/>
      </c>
      <c r="BG177" s="129">
        <f t="shared" si="118"/>
        <v/>
      </c>
      <c r="BH177" s="129">
        <f t="shared" si="119"/>
        <v/>
      </c>
      <c r="BI177" s="129">
        <f t="shared" si="120"/>
        <v/>
      </c>
      <c r="BJ177" s="129">
        <f t="shared" si="121"/>
        <v/>
      </c>
      <c r="BK177" s="129">
        <f>IF(R177="","",IF(OR(BY177="",BY177=0),"BOX",IFERROR(IF(VLOOKUP(BY177,УГО_блоки,3,FALSE)&amp;""&lt;&gt;"",VLOOKUP(BY177,УГО_блоки,3,FALSE),VLOOKUP(BY177,УГО_блоки,2,FALSE)),BY177)))</f>
      </c>
      <c r="BL177" s="129">
        <f t="shared" si="123"/>
      </c>
      <c r="BM177" s="129">
        <f>IF(H177="","",IF(COUNTIF($H$3:H177,H177)=1,MAX($BM$2:BM176)+1,""))</f>
      </c>
      <c r="BN177" s="129">
        <f>IF(I177="","",IF(COUNTIF($I$3:I177,I177)+COUNTIF($J$2:J176,I177)+COUNTIF($K$2:K176,I177)=1,MAX($BN$2:BP176)+1,""))</f>
      </c>
      <c r="BO177" s="129">
        <f>IF(J177="","",IF(COUNTIF($I$3:I177,J177)+COUNTIF($J$3:J177,J177)+COUNTIF($K$2:K176,J177)=1,MAX($BN$2:BP176,BN177)+1,""))</f>
      </c>
      <c r="BP177" s="129">
        <f>IF(K177="","",IF(COUNTIF($I$3:I177,K177)+COUNTIF($J$3:J177,K177)+COUNTIF($K$3:K177,K177)=1,MAX($BN$2:BP176,BN177,BO177)+1,""))</f>
      </c>
      <c r="BQ177" s="129">
        <f>IF(AY177=1,IFERROR(MID(Q177,FIND(" (",Q177)+2,FIND(")",Q177,FIND(" (",Q177))-FIND(" (",Q177)-2),"?"),"")</f>
      </c>
      <c r="BR177" s="129">
        <f>IF(BQ177="","",IF(COUNTIF($BQ$3:BQ177,BQ177)=1,MAX($BR$2:BR176)+1,""))</f>
      </c>
      <c r="BS177" s="129">
        <f>IF(AW177="","",COUNTIF($AW$3:AW177,"?*"))</f>
      </c>
      <c r="BT177" s="129">
        <f>IF(OR(AW177="",AI177=""),"",IF(COUNTIFS($AW$3:AW177,"?*",$AI$3:AI177,AI177)=1,MAX($BT$2:BT176)+1,""))</f>
      </c>
      <c r="BU177" s="129">
        <f>IF(AE177="",0,IF(OR(ISNUMBER(SEARCH("дубль",AE177)),ISNUMBER(SEARCH("ПЕРЕГРУЗ",AE177)),ISNUMBER(SEARCH("ЗАЩИЩ",AE177)),ISNUMBER(SEARCH("КАНАЛ",AE177)),ISNUMBER(SEARCH("без 30",AE177))),2,1))</f>
      </c>
      <c r="BV177" s="129">
        <f>IF(R177="","",COUNTIF($R$3:R177,"?*"))</f>
      </c>
      <c r="BW177" s="129">
        <f>IF(AY177&lt;&gt;1,0,IF(MAX(IFERROR(--VLOOKUP(R177,УГО_спр,5,FALSE),0),IFERROR(--VLOOKUP(AL177,УГО_спр,5,FALSE),0),IFERROR(--VLOOKUP(LEFT(AL177,2),УГО_спр,5,FALSE),0))&gt;0,MAX(IFERROR(--VLOOKUP(R177,УГО_спр,5,FALSE),0),IFERROR(--VLOOKUP(AL177,УГО_спр,5,FALSE),0),IFERROR(--VLOOKUP(LEFT(AL177,2),УГО_спр,5,FALSE),0)),IF(IFERROR(--LEFT(SUBSTITUTE(BQ177,"x","х"),FIND("х",SUBSTITUTE(BQ177,"x","х"))-1),3)&gt;3,Каталог!$S$9,1)))</f>
      </c>
      <c r="BX177" s="129">
        <f>IF(AY177&lt;&gt;1,0,MAX(0,IFERROR(--LEFT(SUBSTITUTE(BQ177,"x","х"),FIND("х",SUBSTITUTE(BQ177,"x","х"))-1),3)-3*BW177))</f>
      </c>
      <c r="BY177" s="129">
        <f>IF(R177="","",IFERROR(VLOOKUP(R177,УГО_спр,2,FALSE),IFERROR(VLOOKUP(AL177,УГО_спр,2,FALSE),IFERROR(VLOOKUP(LEFT(AL177,2),УГО_спр,2,FALSE),""))))</f>
      </c>
    </row>
    <row r="178" spans="1:64" x14ac:dyDescent="0.3">
      <c r="A178" s="135">
        <f>IF(Разбивка_по_щитам!F178=0,"",Разбивка_по_щитам!F178)</f>
      </c>
      <c r="B178" s="138">
        <f>IF(A178="","",Разбивка_по_щитам!C178)</f>
      </c>
      <c r="C178" s="138">
        <f t="shared" si="86"/>
      </c>
      <c r="D178" s="266"/>
      <c r="E178" s="266"/>
      <c r="F178" s="267"/>
      <c r="G178" s="145">
        <f t="shared" si="87"/>
        <v/>
      </c>
      <c r="H178" s="145">
        <f t="shared" si="88"/>
        <v/>
      </c>
      <c r="I178" s="266"/>
      <c r="J178" s="267"/>
      <c r="K178" s="267"/>
      <c r="L178" s="266"/>
      <c r="M178" s="147">
        <f t="shared" si="126"/>
        <v/>
      </c>
      <c r="N178" s="267"/>
      <c r="O178" s="147">
        <f t="shared" si="127"/>
        <v/>
      </c>
      <c r="P178" s="268">
        <f>IF(AY178=1,"XT"&amp;COUNTIFS($A$3:A178,A178,$AY$3:AY178,1),"")</f>
        <v/>
      </c>
      <c r="Q178" s="152">
        <f>IF(R178="","",IFERROR(SUBSTITUTE(Разбивка_по_щитам!P178,CHAR(10)," "),""))</f>
        <v/>
      </c>
      <c r="R178" s="153">
        <f>IF(OR(Разбивка_по_щитам!H178="",Разбивка_по_щитам!H178=0),"",Разбивка_по_щитам!H178)</f>
        <v/>
      </c>
      <c r="S178" s="154">
        <f>IF(R178="","",IFERROR(Разбивка_по_щитам!J178&amp;"",""))</f>
        <v/>
      </c>
      <c r="T178" s="155">
        <f>IF(R178="","",IFERROR(--Разбивка_по_щитам!L178,""))</f>
        <v/>
      </c>
      <c r="U178" s="155">
        <f>IF(R178="","",IFERROR(--Разбивка_по_щитам!K178,""))</f>
        <v/>
      </c>
      <c r="V178" s="138">
        <f>IF(R178="","",IFERROR(IF(Разбивка_по_щитам!M178=0,"",Разбивка_по_щитам!M178),""))</f>
        <v/>
      </c>
      <c r="W178" s="156">
        <f t="shared" si="89"/>
        <v/>
      </c>
      <c r="X178" s="157">
        <f t="shared" si="90"/>
        <v/>
      </c>
      <c r="Y178" s="266"/>
      <c r="Z178" s="158">
        <f t="shared" si="91"/>
        <v/>
      </c>
      <c r="AA178" s="160">
        <f t="shared" si="92"/>
        <v/>
      </c>
      <c r="AB178" s="160">
        <f>IF(R178="","",IFERROR(LOOKUP(INDEX(Справочная!$I$4:$I$19,MATCH(VLOOKUP(R178,Исходные_данные,22,FALSE),Справочная!$J$4:$J$19,0)+1),{6,10,16,20,25,32,40,50,63,80,100,125}),""))</f>
        <v/>
      </c>
      <c r="AC178" s="160">
        <f t="shared" si="93"/>
        <v/>
      </c>
      <c r="AD178" s="161">
        <f t="shared" si="94"/>
        <v/>
      </c>
      <c r="AE178" s="161">
        <f>IF(AND(R178="",G178=""),"",_xlfn.TEXTJOIN("; ",TRUE,IF(AND(R178&lt;&gt;"",V178=""),"нет фазы",""),IF(AND(R178&lt;&gt;"",N(T178)=0),"нет мощности",""),IF(AND(P178&lt;&gt;"",COUNTIFS($A$3:$A$1000,A178,$P$3:$P$1000,P178)&gt;1),"дубль клеммы "&amp;P178,""),IF(AND(W178&lt;&gt;"",W178&lt;&gt;"ok"),W178,""),IF(X178&lt;&gt;"",X178,""),IF(AND(ISNUMBER(SEARCH("(5х",Q178)),N(AK178)=1),"5 жил на 1 фазе",""),IF(AND(AL178="R",E178&lt;&gt;"",N(AS178)=0),"розетка без 30 мА",""),IF(IFERROR(_xlfn.NUMBERVALUE(MID(Q178,FIND("-",Q178,FIND("L=",Q178))+1,FIND("%",Q178)-FIND("-",Q178,FIND("L=",Q178))-1),","),0)&gt;4,"потери &gt; 4 %","")))</f>
      </c>
      <c r="AF178" s="129">
        <f>IF(E178&lt;&gt;"",COUNTIFS($A$3:A178,A178,$E$3:E178,"?*"),IF(OR(A178&lt;&gt;A177,Y178="вручную"),"",AF177))</f>
      </c>
      <c r="AG178" s="129">
        <f t="shared" si="95"/>
      </c>
      <c r="AH178" s="129">
        <f t="shared" si="96"/>
        <v/>
      </c>
      <c r="AI178" s="129">
        <f t="shared" si="97"/>
        <v/>
      </c>
      <c r="AJ178" s="129">
        <f t="shared" si="98"/>
        <v/>
      </c>
      <c r="AK178" s="129">
        <f t="shared" si="99"/>
        <v/>
      </c>
      <c r="AL178" s="129">
        <f t="shared" si="100"/>
        <v/>
      </c>
      <c r="AM178" s="129">
        <f t="shared" si="101"/>
      </c>
      <c r="AN178" s="129">
        <f t="shared" si="102"/>
      </c>
      <c r="AO178" s="129">
        <f t="shared" si="103"/>
        <v/>
      </c>
      <c r="AP178" s="129">
        <f t="shared" si="104"/>
        <v/>
      </c>
      <c r="AQ178" s="129">
        <f t="shared" si="105"/>
        <v/>
      </c>
      <c r="AR178" s="129">
        <f t="shared" si="106"/>
        <v/>
      </c>
      <c r="AS178" s="129">
        <f t="shared" si="107"/>
        <v/>
      </c>
      <c r="AT178" s="129">
        <f t="shared" si="108"/>
        <v/>
      </c>
      <c r="AU178" s="129">
        <f t="shared" si="109"/>
        <v/>
      </c>
      <c r="AV178" s="129">
        <f t="shared" si="110"/>
        <v/>
      </c>
      <c r="AW178" s="129">
        <f>IF(AV178="","",AV178&amp;"."&amp;COUNTIFS($A$3:A178,A178,$AV$3:AV178,AV178))</f>
        <v/>
      </c>
      <c r="AX178" s="129">
        <f t="shared" si="111"/>
        <v/>
      </c>
      <c r="AY178" s="129">
        <f>IF(N178="б/к",0,IF(OR(ISNUMBER(SEARCH("L=",Разбивка_по_щитам!P178)),N178="+",N178="="),1,0))</f>
      </c>
      <c r="AZ178" s="129">
        <f t="shared" si="112"/>
      </c>
      <c r="BA178" s="129">
        <f t="shared" si="113"/>
      </c>
      <c r="BB178" s="129">
        <f t="shared" si="114"/>
      </c>
      <c r="BD178" s="129">
        <f t="shared" si="115"/>
      </c>
      <c r="BE178" s="129">
        <f t="shared" si="116"/>
      </c>
      <c r="BF178" s="129">
        <f t="shared" si="117"/>
      </c>
      <c r="BG178" s="129">
        <f t="shared" si="118"/>
        <v/>
      </c>
      <c r="BH178" s="129">
        <f t="shared" si="119"/>
        <v/>
      </c>
      <c r="BI178" s="129">
        <f t="shared" si="120"/>
        <v/>
      </c>
      <c r="BJ178" s="129">
        <f t="shared" si="121"/>
        <v/>
      </c>
      <c r="BK178" s="129">
        <f>IF(R178="","",IF(OR(BY178="",BY178=0),"BOX",IFERROR(IF(VLOOKUP(BY178,УГО_блоки,3,FALSE)&amp;""&lt;&gt;"",VLOOKUP(BY178,УГО_блоки,3,FALSE),VLOOKUP(BY178,УГО_блоки,2,FALSE)),BY178)))</f>
      </c>
      <c r="BL178" s="129">
        <f t="shared" si="123"/>
      </c>
      <c r="BM178" s="129">
        <f>IF(H178="","",IF(COUNTIF($H$3:H178,H178)=1,MAX($BM$2:BM177)+1,""))</f>
      </c>
      <c r="BN178" s="129">
        <f>IF(I178="","",IF(COUNTIF($I$3:I178,I178)+COUNTIF($J$2:J177,I178)+COUNTIF($K$2:K177,I178)=1,MAX($BN$2:BP177)+1,""))</f>
      </c>
      <c r="BO178" s="129">
        <f>IF(J178="","",IF(COUNTIF($I$3:I178,J178)+COUNTIF($J$3:J178,J178)+COUNTIF($K$2:K177,J178)=1,MAX($BN$2:BP177,BN178)+1,""))</f>
      </c>
      <c r="BP178" s="129">
        <f>IF(K178="","",IF(COUNTIF($I$3:I178,K178)+COUNTIF($J$3:J178,K178)+COUNTIF($K$3:K178,K178)=1,MAX($BN$2:BP177,BN178,BO178)+1,""))</f>
      </c>
      <c r="BQ178" s="129">
        <f>IF(AY178=1,IFERROR(MID(Q178,FIND(" (",Q178)+2,FIND(")",Q178,FIND(" (",Q178))-FIND(" (",Q178)-2),"?"),"")</f>
      </c>
      <c r="BR178" s="129">
        <f>IF(BQ178="","",IF(COUNTIF($BQ$3:BQ178,BQ178)=1,MAX($BR$2:BR177)+1,""))</f>
      </c>
      <c r="BS178" s="129">
        <f>IF(AW178="","",COUNTIF($AW$3:AW178,"?*"))</f>
      </c>
      <c r="BT178" s="129">
        <f>IF(OR(AW178="",AI178=""),"",IF(COUNTIFS($AW$3:AW178,"?*",$AI$3:AI178,AI178)=1,MAX($BT$2:BT177)+1,""))</f>
      </c>
      <c r="BU178" s="129">
        <f>IF(AE178="",0,IF(OR(ISNUMBER(SEARCH("дубль",AE178)),ISNUMBER(SEARCH("ПЕРЕГРУЗ",AE178)),ISNUMBER(SEARCH("ЗАЩИЩ",AE178)),ISNUMBER(SEARCH("КАНАЛ",AE178)),ISNUMBER(SEARCH("без 30",AE178))),2,1))</f>
      </c>
      <c r="BV178" s="129">
        <f>IF(R178="","",COUNTIF($R$3:R178,"?*"))</f>
      </c>
      <c r="BW178" s="129">
        <f>IF(AY178&lt;&gt;1,0,IF(MAX(IFERROR(--VLOOKUP(R178,УГО_спр,5,FALSE),0),IFERROR(--VLOOKUP(AL178,УГО_спр,5,FALSE),0),IFERROR(--VLOOKUP(LEFT(AL178,2),УГО_спр,5,FALSE),0))&gt;0,MAX(IFERROR(--VLOOKUP(R178,УГО_спр,5,FALSE),0),IFERROR(--VLOOKUP(AL178,УГО_спр,5,FALSE),0),IFERROR(--VLOOKUP(LEFT(AL178,2),УГО_спр,5,FALSE),0)),IF(IFERROR(--LEFT(SUBSTITUTE(BQ178,"x","х"),FIND("х",SUBSTITUTE(BQ178,"x","х"))-1),3)&gt;3,Каталог!$S$9,1)))</f>
      </c>
      <c r="BX178" s="129">
        <f>IF(AY178&lt;&gt;1,0,MAX(0,IFERROR(--LEFT(SUBSTITUTE(BQ178,"x","х"),FIND("х",SUBSTITUTE(BQ178,"x","х"))-1),3)-3*BW178))</f>
      </c>
      <c r="BY178" s="129">
        <f>IF(R178="","",IFERROR(VLOOKUP(R178,УГО_спр,2,FALSE),IFERROR(VLOOKUP(AL178,УГО_спр,2,FALSE),IFERROR(VLOOKUP(LEFT(AL178,2),УГО_спр,2,FALSE),""))))</f>
      </c>
    </row>
    <row r="179" spans="1:64" x14ac:dyDescent="0.3">
      <c r="A179" s="135">
        <f>IF(Разбивка_по_щитам!F179=0,"",Разбивка_по_щитам!F179)</f>
      </c>
      <c r="B179" s="138">
        <f>IF(A179="","",Разбивка_по_щитам!C179)</f>
      </c>
      <c r="C179" s="138">
        <f t="shared" si="86"/>
      </c>
      <c r="D179" s="266"/>
      <c r="E179" s="266"/>
      <c r="F179" s="267"/>
      <c r="G179" s="145">
        <f t="shared" si="87"/>
        <v/>
      </c>
      <c r="H179" s="145">
        <f t="shared" si="88"/>
        <v/>
      </c>
      <c r="I179" s="266"/>
      <c r="J179" s="267"/>
      <c r="K179" s="267"/>
      <c r="L179" s="266"/>
      <c r="M179" s="147">
        <f t="shared" si="126"/>
        <v/>
      </c>
      <c r="N179" s="267"/>
      <c r="O179" s="147">
        <f t="shared" si="127"/>
        <v/>
      </c>
      <c r="P179" s="268">
        <f>IF(AY179=1,"XT"&amp;COUNTIFS($A$3:A179,A179,$AY$3:AY179,1),"")</f>
        <v/>
      </c>
      <c r="Q179" s="152">
        <f>IF(R179="","",IFERROR(SUBSTITUTE(Разбивка_по_щитам!P179,CHAR(10)," "),""))</f>
        <v/>
      </c>
      <c r="R179" s="153">
        <f>IF(OR(Разбивка_по_щитам!H179="",Разбивка_по_щитам!H179=0),"",Разбивка_по_щитам!H179)</f>
        <v/>
      </c>
      <c r="S179" s="154">
        <f>IF(R179="","",IFERROR(Разбивка_по_щитам!J179&amp;"",""))</f>
        <v/>
      </c>
      <c r="T179" s="155">
        <f>IF(R179="","",IFERROR(--Разбивка_по_щитам!L179,""))</f>
        <v/>
      </c>
      <c r="U179" s="155">
        <f>IF(R179="","",IFERROR(--Разбивка_по_щитам!K179,""))</f>
        <v/>
      </c>
      <c r="V179" s="138">
        <f>IF(R179="","",IFERROR(IF(Разбивка_по_щитам!M179=0,"",Разбивка_по_щитам!M179),""))</f>
        <v/>
      </c>
      <c r="W179" s="156">
        <f t="shared" si="89"/>
        <v/>
      </c>
      <c r="X179" s="157">
        <f t="shared" si="90"/>
        <v/>
      </c>
      <c r="Y179" s="266"/>
      <c r="Z179" s="158">
        <f t="shared" si="91"/>
        <v/>
      </c>
      <c r="AA179" s="160">
        <f t="shared" si="92"/>
        <v/>
      </c>
      <c r="AB179" s="160">
        <f>IF(R179="","",IFERROR(LOOKUP(INDEX(Справочная!$I$4:$I$19,MATCH(VLOOKUP(R179,Исходные_данные,22,FALSE),Справочная!$J$4:$J$19,0)+1),{6,10,16,20,25,32,40,50,63,80,100,125}),""))</f>
        <v/>
      </c>
      <c r="AC179" s="160">
        <f t="shared" si="93"/>
        <v/>
      </c>
      <c r="AD179" s="161">
        <f t="shared" si="94"/>
        <v/>
      </c>
      <c r="AE179" s="161">
        <f>IF(AND(R179="",G179=""),"",_xlfn.TEXTJOIN("; ",TRUE,IF(AND(R179&lt;&gt;"",V179=""),"нет фазы",""),IF(AND(R179&lt;&gt;"",N(T179)=0),"нет мощности",""),IF(AND(P179&lt;&gt;"",COUNTIFS($A$3:$A$1000,A179,$P$3:$P$1000,P179)&gt;1),"дубль клеммы "&amp;P179,""),IF(AND(W179&lt;&gt;"",W179&lt;&gt;"ok"),W179,""),IF(X179&lt;&gt;"",X179,""),IF(AND(ISNUMBER(SEARCH("(5х",Q179)),N(AK179)=1),"5 жил на 1 фазе",""),IF(AND(AL179="R",E179&lt;&gt;"",N(AS179)=0),"розетка без 30 мА",""),IF(IFERROR(_xlfn.NUMBERVALUE(MID(Q179,FIND("-",Q179,FIND("L=",Q179))+1,FIND("%",Q179)-FIND("-",Q179,FIND("L=",Q179))-1),","),0)&gt;4,"потери &gt; 4 %","")))</f>
      </c>
      <c r="AF179" s="129">
        <f>IF(E179&lt;&gt;"",COUNTIFS($A$3:A179,A179,$E$3:E179,"?*"),IF(OR(A179&lt;&gt;A178,Y179="вручную"),"",AF178))</f>
      </c>
      <c r="AG179" s="129">
        <f t="shared" si="95"/>
      </c>
      <c r="AH179" s="129">
        <f t="shared" si="96"/>
        <v/>
      </c>
      <c r="AI179" s="129">
        <f t="shared" si="97"/>
        <v/>
      </c>
      <c r="AJ179" s="129">
        <f t="shared" si="98"/>
        <v/>
      </c>
      <c r="AK179" s="129">
        <f t="shared" si="99"/>
        <v/>
      </c>
      <c r="AL179" s="129">
        <f t="shared" si="100"/>
        <v/>
      </c>
      <c r="AM179" s="129">
        <f t="shared" si="101"/>
      </c>
      <c r="AN179" s="129">
        <f t="shared" si="102"/>
      </c>
      <c r="AO179" s="129">
        <f t="shared" si="103"/>
        <v/>
      </c>
      <c r="AP179" s="129">
        <f t="shared" si="104"/>
        <v/>
      </c>
      <c r="AQ179" s="129">
        <f t="shared" si="105"/>
        <v/>
      </c>
      <c r="AR179" s="129">
        <f t="shared" si="106"/>
        <v/>
      </c>
      <c r="AS179" s="129">
        <f t="shared" si="107"/>
        <v/>
      </c>
      <c r="AT179" s="129">
        <f t="shared" si="108"/>
        <v/>
      </c>
      <c r="AU179" s="129">
        <f t="shared" si="109"/>
        <v/>
      </c>
      <c r="AV179" s="129">
        <f t="shared" si="110"/>
        <v/>
      </c>
      <c r="AW179" s="129">
        <f>IF(AV179="","",AV179&amp;"."&amp;COUNTIFS($A$3:A179,A179,$AV$3:AV179,AV179))</f>
        <v/>
      </c>
      <c r="AX179" s="129">
        <f t="shared" si="111"/>
        <v/>
      </c>
      <c r="AY179" s="129">
        <f>IF(N179="б/к",0,IF(OR(ISNUMBER(SEARCH("L=",Разбивка_по_щитам!P179)),N179="+",N179="="),1,0))</f>
      </c>
      <c r="AZ179" s="129">
        <f t="shared" si="112"/>
      </c>
      <c r="BA179" s="129">
        <f t="shared" si="113"/>
      </c>
      <c r="BB179" s="129">
        <f t="shared" si="114"/>
      </c>
      <c r="BD179" s="129">
        <f t="shared" si="115"/>
      </c>
      <c r="BE179" s="129">
        <f t="shared" si="116"/>
      </c>
      <c r="BF179" s="129">
        <f t="shared" si="117"/>
      </c>
      <c r="BG179" s="129">
        <f t="shared" si="118"/>
        <v/>
      </c>
      <c r="BH179" s="129">
        <f t="shared" si="119"/>
        <v/>
      </c>
      <c r="BI179" s="129">
        <f t="shared" si="120"/>
        <v/>
      </c>
      <c r="BJ179" s="129">
        <f t="shared" si="121"/>
        <v/>
      </c>
      <c r="BK179" s="129">
        <f>IF(R179="","",IF(OR(BY179="",BY179=0),"BOX",IFERROR(IF(VLOOKUP(BY179,УГО_блоки,3,FALSE)&amp;""&lt;&gt;"",VLOOKUP(BY179,УГО_блоки,3,FALSE),VLOOKUP(BY179,УГО_блоки,2,FALSE)),BY179)))</f>
      </c>
      <c r="BL179" s="129">
        <f t="shared" si="123"/>
      </c>
      <c r="BM179" s="129">
        <f>IF(H179="","",IF(COUNTIF($H$3:H179,H179)=1,MAX($BM$2:BM178)+1,""))</f>
      </c>
      <c r="BN179" s="129">
        <f>IF(I179="","",IF(COUNTIF($I$3:I179,I179)+COUNTIF($J$2:J178,I179)+COUNTIF($K$2:K178,I179)=1,MAX($BN$2:BP178)+1,""))</f>
      </c>
      <c r="BO179" s="129">
        <f>IF(J179="","",IF(COUNTIF($I$3:I179,J179)+COUNTIF($J$3:J179,J179)+COUNTIF($K$2:K178,J179)=1,MAX($BN$2:BP178,BN179)+1,""))</f>
      </c>
      <c r="BP179" s="129">
        <f>IF(K179="","",IF(COUNTIF($I$3:I179,K179)+COUNTIF($J$3:J179,K179)+COUNTIF($K$3:K179,K179)=1,MAX($BN$2:BP178,BN179,BO179)+1,""))</f>
      </c>
      <c r="BQ179" s="129">
        <f>IF(AY179=1,IFERROR(MID(Q179,FIND(" (",Q179)+2,FIND(")",Q179,FIND(" (",Q179))-FIND(" (",Q179)-2),"?"),"")</f>
      </c>
      <c r="BR179" s="129">
        <f>IF(BQ179="","",IF(COUNTIF($BQ$3:BQ179,BQ179)=1,MAX($BR$2:BR178)+1,""))</f>
      </c>
      <c r="BS179" s="129">
        <f>IF(AW179="","",COUNTIF($AW$3:AW179,"?*"))</f>
      </c>
      <c r="BT179" s="129">
        <f>IF(OR(AW179="",AI179=""),"",IF(COUNTIFS($AW$3:AW179,"?*",$AI$3:AI179,AI179)=1,MAX($BT$2:BT178)+1,""))</f>
      </c>
      <c r="BU179" s="129">
        <f>IF(AE179="",0,IF(OR(ISNUMBER(SEARCH("дубль",AE179)),ISNUMBER(SEARCH("ПЕРЕГРУЗ",AE179)),ISNUMBER(SEARCH("ЗАЩИЩ",AE179)),ISNUMBER(SEARCH("КАНАЛ",AE179)),ISNUMBER(SEARCH("без 30",AE179))),2,1))</f>
      </c>
      <c r="BV179" s="129">
        <f>IF(R179="","",COUNTIF($R$3:R179,"?*"))</f>
      </c>
      <c r="BW179" s="129">
        <f>IF(AY179&lt;&gt;1,0,IF(MAX(IFERROR(--VLOOKUP(R179,УГО_спр,5,FALSE),0),IFERROR(--VLOOKUP(AL179,УГО_спр,5,FALSE),0),IFERROR(--VLOOKUP(LEFT(AL179,2),УГО_спр,5,FALSE),0))&gt;0,MAX(IFERROR(--VLOOKUP(R179,УГО_спр,5,FALSE),0),IFERROR(--VLOOKUP(AL179,УГО_спр,5,FALSE),0),IFERROR(--VLOOKUP(LEFT(AL179,2),УГО_спр,5,FALSE),0)),IF(IFERROR(--LEFT(SUBSTITUTE(BQ179,"x","х"),FIND("х",SUBSTITUTE(BQ179,"x","х"))-1),3)&gt;3,Каталог!$S$9,1)))</f>
      </c>
      <c r="BX179" s="129">
        <f>IF(AY179&lt;&gt;1,0,MAX(0,IFERROR(--LEFT(SUBSTITUTE(BQ179,"x","х"),FIND("х",SUBSTITUTE(BQ179,"x","х"))-1),3)-3*BW179))</f>
      </c>
      <c r="BY179" s="129">
        <f>IF(R179="","",IFERROR(VLOOKUP(R179,УГО_спр,2,FALSE),IFERROR(VLOOKUP(AL179,УГО_спр,2,FALSE),IFERROR(VLOOKUP(LEFT(AL179,2),УГО_спр,2,FALSE),""))))</f>
      </c>
    </row>
    <row r="180" spans="1:64" x14ac:dyDescent="0.3">
      <c r="A180" s="135">
        <f>IF(Разбивка_по_щитам!F180=0,"",Разбивка_по_щитам!F180)</f>
      </c>
      <c r="B180" s="138">
        <f>IF(A180="","",Разбивка_по_щитам!C180)</f>
      </c>
      <c r="C180" s="138">
        <f t="shared" si="86"/>
      </c>
      <c r="D180" s="266"/>
      <c r="E180" s="266"/>
      <c r="F180" s="267"/>
      <c r="G180" s="145">
        <f t="shared" si="87"/>
        <v/>
      </c>
      <c r="H180" s="145">
        <f t="shared" si="88"/>
        <v/>
      </c>
      <c r="I180" s="266"/>
      <c r="J180" s="267"/>
      <c r="K180" s="267"/>
      <c r="L180" s="266"/>
      <c r="M180" s="147">
        <f t="shared" si="126"/>
        <v/>
      </c>
      <c r="N180" s="267"/>
      <c r="O180" s="147">
        <f t="shared" si="127"/>
        <v/>
      </c>
      <c r="P180" s="268">
        <f>IF(AY180=1,"XT"&amp;COUNTIFS($A$3:A180,A180,$AY$3:AY180,1),"")</f>
        <v/>
      </c>
      <c r="Q180" s="152">
        <f>IF(R180="","",IFERROR(SUBSTITUTE(Разбивка_по_щитам!P180,CHAR(10)," "),""))</f>
        <v/>
      </c>
      <c r="R180" s="153">
        <f>IF(OR(Разбивка_по_щитам!H180="",Разбивка_по_щитам!H180=0),"",Разбивка_по_щитам!H180)</f>
        <v/>
      </c>
      <c r="S180" s="154">
        <f>IF(R180="","",IFERROR(Разбивка_по_щитам!J180&amp;"",""))</f>
        <v/>
      </c>
      <c r="T180" s="155">
        <f>IF(R180="","",IFERROR(--Разбивка_по_щитам!L180,""))</f>
        <v/>
      </c>
      <c r="U180" s="155">
        <f>IF(R180="","",IFERROR(--Разбивка_по_щитам!K180,""))</f>
        <v/>
      </c>
      <c r="V180" s="138">
        <f>IF(R180="","",IFERROR(IF(Разбивка_по_щитам!M180=0,"",Разбивка_по_щитам!M180),""))</f>
        <v/>
      </c>
      <c r="W180" s="156">
        <f t="shared" si="89"/>
        <v/>
      </c>
      <c r="X180" s="157">
        <f t="shared" si="90"/>
        <v/>
      </c>
      <c r="Y180" s="266"/>
      <c r="Z180" s="158">
        <f t="shared" si="91"/>
        <v/>
      </c>
      <c r="AA180" s="160">
        <f t="shared" si="92"/>
        <v/>
      </c>
      <c r="AB180" s="160">
        <f>IF(R180="","",IFERROR(LOOKUP(INDEX(Справочная!$I$4:$I$19,MATCH(VLOOKUP(R180,Исходные_данные,22,FALSE),Справочная!$J$4:$J$19,0)+1),{6,10,16,20,25,32,40,50,63,80,100,125}),""))</f>
        <v/>
      </c>
      <c r="AC180" s="160">
        <f t="shared" si="93"/>
        <v/>
      </c>
      <c r="AD180" s="161">
        <f t="shared" si="94"/>
        <v/>
      </c>
      <c r="AE180" s="161">
        <f>IF(AND(R180="",G180=""),"",_xlfn.TEXTJOIN("; ",TRUE,IF(AND(R180&lt;&gt;"",V180=""),"нет фазы",""),IF(AND(R180&lt;&gt;"",N(T180)=0),"нет мощности",""),IF(AND(P180&lt;&gt;"",COUNTIFS($A$3:$A$1000,A180,$P$3:$P$1000,P180)&gt;1),"дубль клеммы "&amp;P180,""),IF(AND(W180&lt;&gt;"",W180&lt;&gt;"ok"),W180,""),IF(X180&lt;&gt;"",X180,""),IF(AND(ISNUMBER(SEARCH("(5х",Q180)),N(AK180)=1),"5 жил на 1 фазе",""),IF(AND(AL180="R",E180&lt;&gt;"",N(AS180)=0),"розетка без 30 мА",""),IF(IFERROR(_xlfn.NUMBERVALUE(MID(Q180,FIND("-",Q180,FIND("L=",Q180))+1,FIND("%",Q180)-FIND("-",Q180,FIND("L=",Q180))-1),","),0)&gt;4,"потери &gt; 4 %","")))</f>
      </c>
      <c r="AF180" s="129">
        <f>IF(E180&lt;&gt;"",COUNTIFS($A$3:A180,A180,$E$3:E180,"?*"),IF(OR(A180&lt;&gt;A179,Y180="вручную"),"",AF179))</f>
      </c>
      <c r="AG180" s="129">
        <f t="shared" si="95"/>
      </c>
      <c r="AH180" s="129">
        <f t="shared" si="96"/>
        <v/>
      </c>
      <c r="AI180" s="129">
        <f t="shared" si="97"/>
        <v/>
      </c>
      <c r="AJ180" s="129">
        <f t="shared" si="98"/>
        <v/>
      </c>
      <c r="AK180" s="129">
        <f t="shared" si="99"/>
        <v/>
      </c>
      <c r="AL180" s="129">
        <f t="shared" si="100"/>
        <v/>
      </c>
      <c r="AM180" s="129">
        <f t="shared" si="101"/>
      </c>
      <c r="AN180" s="129">
        <f t="shared" si="102"/>
      </c>
      <c r="AO180" s="129">
        <f t="shared" si="103"/>
        <v/>
      </c>
      <c r="AP180" s="129">
        <f t="shared" si="104"/>
        <v/>
      </c>
      <c r="AQ180" s="129">
        <f t="shared" si="105"/>
        <v/>
      </c>
      <c r="AR180" s="129">
        <f t="shared" si="106"/>
        <v/>
      </c>
      <c r="AS180" s="129">
        <f t="shared" si="107"/>
        <v/>
      </c>
      <c r="AT180" s="129">
        <f t="shared" si="108"/>
        <v/>
      </c>
      <c r="AU180" s="129">
        <f t="shared" si="109"/>
        <v/>
      </c>
      <c r="AV180" s="129">
        <f t="shared" si="110"/>
        <v/>
      </c>
      <c r="AW180" s="129">
        <f>IF(AV180="","",AV180&amp;"."&amp;COUNTIFS($A$3:A180,A180,$AV$3:AV180,AV180))</f>
        <v/>
      </c>
      <c r="AX180" s="129">
        <f t="shared" si="111"/>
        <v/>
      </c>
      <c r="AY180" s="129">
        <f>IF(N180="б/к",0,IF(OR(ISNUMBER(SEARCH("L=",Разбивка_по_щитам!P180)),N180="+",N180="="),1,0))</f>
      </c>
      <c r="AZ180" s="129">
        <f t="shared" si="112"/>
      </c>
      <c r="BA180" s="129">
        <f t="shared" si="113"/>
      </c>
      <c r="BB180" s="129">
        <f t="shared" si="114"/>
      </c>
      <c r="BD180" s="129">
        <f t="shared" si="115"/>
      </c>
      <c r="BE180" s="129">
        <f t="shared" si="116"/>
      </c>
      <c r="BF180" s="129">
        <f t="shared" si="117"/>
      </c>
      <c r="BG180" s="129">
        <f t="shared" si="118"/>
        <v/>
      </c>
      <c r="BH180" s="129">
        <f t="shared" si="119"/>
        <v/>
      </c>
      <c r="BI180" s="129">
        <f t="shared" si="120"/>
        <v/>
      </c>
      <c r="BJ180" s="129">
        <f t="shared" si="121"/>
        <v/>
      </c>
      <c r="BK180" s="129">
        <f>IF(R180="","",IF(OR(BY180="",BY180=0),"BOX",IFERROR(IF(VLOOKUP(BY180,УГО_блоки,3,FALSE)&amp;""&lt;&gt;"",VLOOKUP(BY180,УГО_блоки,3,FALSE),VLOOKUP(BY180,УГО_блоки,2,FALSE)),BY180)))</f>
      </c>
      <c r="BL180" s="129">
        <f t="shared" si="123"/>
      </c>
      <c r="BM180" s="129">
        <f>IF(H180="","",IF(COUNTIF($H$3:H180,H180)=1,MAX($BM$2:BM179)+1,""))</f>
      </c>
      <c r="BN180" s="129">
        <f>IF(I180="","",IF(COUNTIF($I$3:I180,I180)+COUNTIF($J$2:J179,I180)+COUNTIF($K$2:K179,I180)=1,MAX($BN$2:BP179)+1,""))</f>
      </c>
      <c r="BO180" s="129">
        <f>IF(J180="","",IF(COUNTIF($I$3:I180,J180)+COUNTIF($J$3:J180,J180)+COUNTIF($K$2:K179,J180)=1,MAX($BN$2:BP179,BN180)+1,""))</f>
      </c>
      <c r="BP180" s="129">
        <f>IF(K180="","",IF(COUNTIF($I$3:I180,K180)+COUNTIF($J$3:J180,K180)+COUNTIF($K$3:K180,K180)=1,MAX($BN$2:BP179,BN180,BO180)+1,""))</f>
      </c>
      <c r="BQ180" s="129">
        <f>IF(AY180=1,IFERROR(MID(Q180,FIND(" (",Q180)+2,FIND(")",Q180,FIND(" (",Q180))-FIND(" (",Q180)-2),"?"),"")</f>
      </c>
      <c r="BR180" s="129">
        <f>IF(BQ180="","",IF(COUNTIF($BQ$3:BQ180,BQ180)=1,MAX($BR$2:BR179)+1,""))</f>
      </c>
      <c r="BS180" s="129">
        <f>IF(AW180="","",COUNTIF($AW$3:AW180,"?*"))</f>
      </c>
      <c r="BT180" s="129">
        <f>IF(OR(AW180="",AI180=""),"",IF(COUNTIFS($AW$3:AW180,"?*",$AI$3:AI180,AI180)=1,MAX($BT$2:BT179)+1,""))</f>
      </c>
      <c r="BU180" s="129">
        <f>IF(AE180="",0,IF(OR(ISNUMBER(SEARCH("дубль",AE180)),ISNUMBER(SEARCH("ПЕРЕГРУЗ",AE180)),ISNUMBER(SEARCH("ЗАЩИЩ",AE180)),ISNUMBER(SEARCH("КАНАЛ",AE180)),ISNUMBER(SEARCH("без 30",AE180))),2,1))</f>
      </c>
      <c r="BV180" s="129">
        <f>IF(R180="","",COUNTIF($R$3:R180,"?*"))</f>
      </c>
      <c r="BW180" s="129">
        <f>IF(AY180&lt;&gt;1,0,IF(MAX(IFERROR(--VLOOKUP(R180,УГО_спр,5,FALSE),0),IFERROR(--VLOOKUP(AL180,УГО_спр,5,FALSE),0),IFERROR(--VLOOKUP(LEFT(AL180,2),УГО_спр,5,FALSE),0))&gt;0,MAX(IFERROR(--VLOOKUP(R180,УГО_спр,5,FALSE),0),IFERROR(--VLOOKUP(AL180,УГО_спр,5,FALSE),0),IFERROR(--VLOOKUP(LEFT(AL180,2),УГО_спр,5,FALSE),0)),IF(IFERROR(--LEFT(SUBSTITUTE(BQ180,"x","х"),FIND("х",SUBSTITUTE(BQ180,"x","х"))-1),3)&gt;3,Каталог!$S$9,1)))</f>
      </c>
      <c r="BX180" s="129">
        <f>IF(AY180&lt;&gt;1,0,MAX(0,IFERROR(--LEFT(SUBSTITUTE(BQ180,"x","х"),FIND("х",SUBSTITUTE(BQ180,"x","х"))-1),3)-3*BW180))</f>
      </c>
      <c r="BY180" s="129">
        <f>IF(R180="","",IFERROR(VLOOKUP(R180,УГО_спр,2,FALSE),IFERROR(VLOOKUP(AL180,УГО_спр,2,FALSE),IFERROR(VLOOKUP(LEFT(AL180,2),УГО_спр,2,FALSE),""))))</f>
      </c>
    </row>
    <row r="181" spans="1:64" x14ac:dyDescent="0.3">
      <c r="A181" s="135">
        <f>IF(Разбивка_по_щитам!F181=0,"",Разбивка_по_щитам!F181)</f>
      </c>
      <c r="B181" s="138">
        <f>IF(A181="","",Разбивка_по_щитам!C181)</f>
      </c>
      <c r="C181" s="138">
        <f t="shared" si="86"/>
      </c>
      <c r="D181" s="266"/>
      <c r="E181" s="266"/>
      <c r="F181" s="267"/>
      <c r="G181" s="145">
        <f t="shared" si="87"/>
        <v/>
      </c>
      <c r="H181" s="145">
        <f t="shared" si="88"/>
        <v/>
      </c>
      <c r="I181" s="266"/>
      <c r="J181" s="267"/>
      <c r="K181" s="267"/>
      <c r="L181" s="266"/>
      <c r="M181" s="147">
        <f t="shared" si="126"/>
        <v/>
      </c>
      <c r="N181" s="267"/>
      <c r="O181" s="147">
        <f t="shared" si="127"/>
        <v/>
      </c>
      <c r="P181" s="268">
        <f>IF(AY181=1,"XT"&amp;COUNTIFS($A$3:A181,A181,$AY$3:AY181,1),"")</f>
        <v/>
      </c>
      <c r="Q181" s="152">
        <f>IF(R181="","",IFERROR(SUBSTITUTE(Разбивка_по_щитам!P181,CHAR(10)," "),""))</f>
        <v/>
      </c>
      <c r="R181" s="153">
        <f>IF(OR(Разбивка_по_щитам!H181="",Разбивка_по_щитам!H181=0),"",Разбивка_по_щитам!H181)</f>
        <v/>
      </c>
      <c r="S181" s="154">
        <f>IF(R181="","",IFERROR(Разбивка_по_щитам!J181&amp;"",""))</f>
        <v/>
      </c>
      <c r="T181" s="155">
        <f>IF(R181="","",IFERROR(--Разбивка_по_щитам!L181,""))</f>
        <v/>
      </c>
      <c r="U181" s="155">
        <f>IF(R181="","",IFERROR(--Разбивка_по_щитам!K181,""))</f>
        <v/>
      </c>
      <c r="V181" s="138">
        <f>IF(R181="","",IFERROR(IF(Разбивка_по_щитам!M181=0,"",Разбивка_по_щитам!M181),""))</f>
        <v/>
      </c>
      <c r="W181" s="156">
        <f t="shared" si="89"/>
        <v/>
      </c>
      <c r="X181" s="157">
        <f t="shared" si="90"/>
        <v/>
      </c>
      <c r="Y181" s="266"/>
      <c r="Z181" s="158">
        <f t="shared" si="91"/>
        <v/>
      </c>
      <c r="AA181" s="160">
        <f t="shared" si="92"/>
        <v/>
      </c>
      <c r="AB181" s="160">
        <f>IF(R181="","",IFERROR(LOOKUP(INDEX(Справочная!$I$4:$I$19,MATCH(VLOOKUP(R181,Исходные_данные,22,FALSE),Справочная!$J$4:$J$19,0)+1),{6,10,16,20,25,32,40,50,63,80,100,125}),""))</f>
        <v/>
      </c>
      <c r="AC181" s="160">
        <f t="shared" si="93"/>
        <v/>
      </c>
      <c r="AD181" s="161">
        <f t="shared" si="94"/>
        <v/>
      </c>
      <c r="AE181" s="161">
        <f>IF(AND(R181="",G181=""),"",_xlfn.TEXTJOIN("; ",TRUE,IF(AND(R181&lt;&gt;"",V181=""),"нет фазы",""),IF(AND(R181&lt;&gt;"",N(T181)=0),"нет мощности",""),IF(AND(P181&lt;&gt;"",COUNTIFS($A$3:$A$1000,A181,$P$3:$P$1000,P181)&gt;1),"дубль клеммы "&amp;P181,""),IF(AND(W181&lt;&gt;"",W181&lt;&gt;"ok"),W181,""),IF(X181&lt;&gt;"",X181,""),IF(AND(ISNUMBER(SEARCH("(5х",Q181)),N(AK181)=1),"5 жил на 1 фазе",""),IF(AND(AL181="R",E181&lt;&gt;"",N(AS181)=0),"розетка без 30 мА",""),IF(IFERROR(_xlfn.NUMBERVALUE(MID(Q181,FIND("-",Q181,FIND("L=",Q181))+1,FIND("%",Q181)-FIND("-",Q181,FIND("L=",Q181))-1),","),0)&gt;4,"потери &gt; 4 %","")))</f>
      </c>
      <c r="AF181" s="129">
        <f>IF(E181&lt;&gt;"",COUNTIFS($A$3:A181,A181,$E$3:E181,"?*"),IF(OR(A181&lt;&gt;A180,Y181="вручную"),"",AF180))</f>
      </c>
      <c r="AG181" s="129">
        <f t="shared" si="95"/>
      </c>
      <c r="AH181" s="129">
        <f t="shared" si="96"/>
        <v/>
      </c>
      <c r="AI181" s="129">
        <f t="shared" si="97"/>
        <v/>
      </c>
      <c r="AJ181" s="129">
        <f t="shared" si="98"/>
        <v/>
      </c>
      <c r="AK181" s="129">
        <f t="shared" si="99"/>
        <v/>
      </c>
      <c r="AL181" s="129">
        <f t="shared" si="100"/>
        <v/>
      </c>
      <c r="AM181" s="129">
        <f t="shared" si="101"/>
      </c>
      <c r="AN181" s="129">
        <f t="shared" si="102"/>
      </c>
      <c r="AO181" s="129">
        <f t="shared" si="103"/>
        <v/>
      </c>
      <c r="AP181" s="129">
        <f t="shared" si="104"/>
        <v/>
      </c>
      <c r="AQ181" s="129">
        <f t="shared" si="105"/>
        <v/>
      </c>
      <c r="AR181" s="129">
        <f t="shared" si="106"/>
        <v/>
      </c>
      <c r="AS181" s="129">
        <f t="shared" si="107"/>
        <v/>
      </c>
      <c r="AT181" s="129">
        <f t="shared" si="108"/>
        <v/>
      </c>
      <c r="AU181" s="129">
        <f t="shared" si="109"/>
        <v/>
      </c>
      <c r="AV181" s="129">
        <f t="shared" si="110"/>
        <v/>
      </c>
      <c r="AW181" s="129">
        <f>IF(AV181="","",AV181&amp;"."&amp;COUNTIFS($A$3:A181,A181,$AV$3:AV181,AV181))</f>
        <v/>
      </c>
      <c r="AX181" s="129">
        <f t="shared" si="111"/>
        <v/>
      </c>
      <c r="AY181" s="129">
        <f>IF(N181="б/к",0,IF(OR(ISNUMBER(SEARCH("L=",Разбивка_по_щитам!P181)),N181="+",N181="="),1,0))</f>
      </c>
      <c r="AZ181" s="129">
        <f t="shared" si="112"/>
      </c>
      <c r="BA181" s="129">
        <f t="shared" si="113"/>
      </c>
      <c r="BB181" s="129">
        <f t="shared" si="114"/>
      </c>
      <c r="BD181" s="129">
        <f t="shared" si="115"/>
      </c>
      <c r="BE181" s="129">
        <f t="shared" si="116"/>
      </c>
      <c r="BF181" s="129">
        <f t="shared" si="117"/>
      </c>
      <c r="BG181" s="129">
        <f t="shared" si="118"/>
        <v/>
      </c>
      <c r="BH181" s="129">
        <f t="shared" si="119"/>
        <v/>
      </c>
      <c r="BI181" s="129">
        <f t="shared" si="120"/>
        <v/>
      </c>
      <c r="BJ181" s="129">
        <f t="shared" si="121"/>
        <v/>
      </c>
      <c r="BK181" s="129">
        <f>IF(R181="","",IF(OR(BY181="",BY181=0),"BOX",IFERROR(IF(VLOOKUP(BY181,УГО_блоки,3,FALSE)&amp;""&lt;&gt;"",VLOOKUP(BY181,УГО_блоки,3,FALSE),VLOOKUP(BY181,УГО_блоки,2,FALSE)),BY181)))</f>
      </c>
      <c r="BL181" s="129">
        <f t="shared" si="123"/>
      </c>
      <c r="BM181" s="129">
        <f>IF(H181="","",IF(COUNTIF($H$3:H181,H181)=1,MAX($BM$2:BM180)+1,""))</f>
      </c>
      <c r="BN181" s="129">
        <f>IF(I181="","",IF(COUNTIF($I$3:I181,I181)+COUNTIF($J$2:J180,I181)+COUNTIF($K$2:K180,I181)=1,MAX($BN$2:BP180)+1,""))</f>
      </c>
      <c r="BO181" s="129">
        <f>IF(J181="","",IF(COUNTIF($I$3:I181,J181)+COUNTIF($J$3:J181,J181)+COUNTIF($K$2:K180,J181)=1,MAX($BN$2:BP180,BN181)+1,""))</f>
      </c>
      <c r="BP181" s="129">
        <f>IF(K181="","",IF(COUNTIF($I$3:I181,K181)+COUNTIF($J$3:J181,K181)+COUNTIF($K$3:K181,K181)=1,MAX($BN$2:BP180,BN181,BO181)+1,""))</f>
      </c>
      <c r="BQ181" s="129">
        <f>IF(AY181=1,IFERROR(MID(Q181,FIND(" (",Q181)+2,FIND(")",Q181,FIND(" (",Q181))-FIND(" (",Q181)-2),"?"),"")</f>
      </c>
      <c r="BR181" s="129">
        <f>IF(BQ181="","",IF(COUNTIF($BQ$3:BQ181,BQ181)=1,MAX($BR$2:BR180)+1,""))</f>
      </c>
      <c r="BS181" s="129">
        <f>IF(AW181="","",COUNTIF($AW$3:AW181,"?*"))</f>
      </c>
      <c r="BT181" s="129">
        <f>IF(OR(AW181="",AI181=""),"",IF(COUNTIFS($AW$3:AW181,"?*",$AI$3:AI181,AI181)=1,MAX($BT$2:BT180)+1,""))</f>
      </c>
      <c r="BU181" s="129">
        <f>IF(AE181="",0,IF(OR(ISNUMBER(SEARCH("дубль",AE181)),ISNUMBER(SEARCH("ПЕРЕГРУЗ",AE181)),ISNUMBER(SEARCH("ЗАЩИЩ",AE181)),ISNUMBER(SEARCH("КАНАЛ",AE181)),ISNUMBER(SEARCH("без 30",AE181))),2,1))</f>
      </c>
      <c r="BV181" s="129">
        <f>IF(R181="","",COUNTIF($R$3:R181,"?*"))</f>
      </c>
      <c r="BW181" s="129">
        <f>IF(AY181&lt;&gt;1,0,IF(MAX(IFERROR(--VLOOKUP(R181,УГО_спр,5,FALSE),0),IFERROR(--VLOOKUP(AL181,УГО_спр,5,FALSE),0),IFERROR(--VLOOKUP(LEFT(AL181,2),УГО_спр,5,FALSE),0))&gt;0,MAX(IFERROR(--VLOOKUP(R181,УГО_спр,5,FALSE),0),IFERROR(--VLOOKUP(AL181,УГО_спр,5,FALSE),0),IFERROR(--VLOOKUP(LEFT(AL181,2),УГО_спр,5,FALSE),0)),IF(IFERROR(--LEFT(SUBSTITUTE(BQ181,"x","х"),FIND("х",SUBSTITUTE(BQ181,"x","х"))-1),3)&gt;3,Каталог!$S$9,1)))</f>
      </c>
      <c r="BX181" s="129">
        <f>IF(AY181&lt;&gt;1,0,MAX(0,IFERROR(--LEFT(SUBSTITUTE(BQ181,"x","х"),FIND("х",SUBSTITUTE(BQ181,"x","х"))-1),3)-3*BW181))</f>
      </c>
      <c r="BY181" s="129">
        <f>IF(R181="","",IFERROR(VLOOKUP(R181,УГО_спр,2,FALSE),IFERROR(VLOOKUP(AL181,УГО_спр,2,FALSE),IFERROR(VLOOKUP(LEFT(AL181,2),УГО_спр,2,FALSE),""))))</f>
      </c>
    </row>
    <row r="182" spans="1:64" x14ac:dyDescent="0.3">
      <c r="A182" s="135">
        <f>IF(Разбивка_по_щитам!F182=0,"",Разбивка_по_щитам!F182)</f>
      </c>
      <c r="B182" s="138">
        <f>IF(A182="","",Разбивка_по_щитам!C182)</f>
      </c>
      <c r="C182" s="138">
        <f t="shared" si="86"/>
      </c>
      <c r="D182" s="266"/>
      <c r="E182" s="266"/>
      <c r="F182" s="267"/>
      <c r="G182" s="145">
        <f t="shared" si="87"/>
        <v/>
      </c>
      <c r="H182" s="145">
        <f t="shared" si="88"/>
        <v/>
      </c>
      <c r="I182" s="266"/>
      <c r="J182" s="267"/>
      <c r="K182" s="267"/>
      <c r="L182" s="266"/>
      <c r="M182" s="147">
        <f t="shared" si="126"/>
        <v/>
      </c>
      <c r="N182" s="267"/>
      <c r="O182" s="147">
        <f t="shared" si="127"/>
        <v/>
      </c>
      <c r="P182" s="268">
        <f>IF(AY182=1,"XT"&amp;COUNTIFS($A$3:A182,A182,$AY$3:AY182,1),"")</f>
        <v/>
      </c>
      <c r="Q182" s="152">
        <f>IF(R182="","",IFERROR(SUBSTITUTE(Разбивка_по_щитам!P182,CHAR(10)," "),""))</f>
        <v/>
      </c>
      <c r="R182" s="153">
        <f>IF(OR(Разбивка_по_щитам!H182="",Разбивка_по_щитам!H182=0),"",Разбивка_по_щитам!H182)</f>
        <v/>
      </c>
      <c r="S182" s="154">
        <f>IF(R182="","",IFERROR(Разбивка_по_щитам!J182&amp;"",""))</f>
        <v/>
      </c>
      <c r="T182" s="155">
        <f>IF(R182="","",IFERROR(--Разбивка_по_щитам!L182,""))</f>
        <v/>
      </c>
      <c r="U182" s="155">
        <f>IF(R182="","",IFERROR(--Разбивка_по_щитам!K182,""))</f>
        <v/>
      </c>
      <c r="V182" s="138">
        <f>IF(R182="","",IFERROR(IF(Разбивка_по_щитам!M182=0,"",Разбивка_по_щитам!M182),""))</f>
        <v/>
      </c>
      <c r="W182" s="156">
        <f t="shared" si="89"/>
        <v/>
      </c>
      <c r="X182" s="157">
        <f t="shared" si="90"/>
        <v/>
      </c>
      <c r="Y182" s="266"/>
      <c r="Z182" s="158">
        <f t="shared" si="91"/>
        <v/>
      </c>
      <c r="AA182" s="160">
        <f t="shared" si="92"/>
        <v/>
      </c>
      <c r="AB182" s="160">
        <f>IF(R182="","",IFERROR(LOOKUP(INDEX(Справочная!$I$4:$I$19,MATCH(VLOOKUP(R182,Исходные_данные,22,FALSE),Справочная!$J$4:$J$19,0)+1),{6,10,16,20,25,32,40,50,63,80,100,125}),""))</f>
        <v/>
      </c>
      <c r="AC182" s="160">
        <f t="shared" si="93"/>
        <v/>
      </c>
      <c r="AD182" s="161">
        <f t="shared" si="94"/>
        <v/>
      </c>
      <c r="AE182" s="161">
        <f>IF(AND(R182="",G182=""),"",_xlfn.TEXTJOIN("; ",TRUE,IF(AND(R182&lt;&gt;"",V182=""),"нет фазы",""),IF(AND(R182&lt;&gt;"",N(T182)=0),"нет мощности",""),IF(AND(P182&lt;&gt;"",COUNTIFS($A$3:$A$1000,A182,$P$3:$P$1000,P182)&gt;1),"дубль клеммы "&amp;P182,""),IF(AND(W182&lt;&gt;"",W182&lt;&gt;"ok"),W182,""),IF(X182&lt;&gt;"",X182,""),IF(AND(ISNUMBER(SEARCH("(5х",Q182)),N(AK182)=1),"5 жил на 1 фазе",""),IF(AND(AL182="R",E182&lt;&gt;"",N(AS182)=0),"розетка без 30 мА",""),IF(IFERROR(_xlfn.NUMBERVALUE(MID(Q182,FIND("-",Q182,FIND("L=",Q182))+1,FIND("%",Q182)-FIND("-",Q182,FIND("L=",Q182))-1),","),0)&gt;4,"потери &gt; 4 %","")))</f>
      </c>
      <c r="AF182" s="129">
        <f>IF(E182&lt;&gt;"",COUNTIFS($A$3:A182,A182,$E$3:E182,"?*"),IF(OR(A182&lt;&gt;A181,Y182="вручную"),"",AF181))</f>
      </c>
      <c r="AG182" s="129">
        <f t="shared" si="95"/>
      </c>
      <c r="AH182" s="129">
        <f t="shared" si="96"/>
        <v/>
      </c>
      <c r="AI182" s="129">
        <f t="shared" si="97"/>
        <v/>
      </c>
      <c r="AJ182" s="129">
        <f t="shared" si="98"/>
        <v/>
      </c>
      <c r="AK182" s="129">
        <f t="shared" si="99"/>
        <v/>
      </c>
      <c r="AL182" s="129">
        <f t="shared" si="100"/>
        <v/>
      </c>
      <c r="AM182" s="129">
        <f t="shared" si="101"/>
      </c>
      <c r="AN182" s="129">
        <f t="shared" si="102"/>
      </c>
      <c r="AO182" s="129">
        <f t="shared" si="103"/>
        <v/>
      </c>
      <c r="AP182" s="129">
        <f t="shared" si="104"/>
        <v/>
      </c>
      <c r="AQ182" s="129">
        <f t="shared" si="105"/>
        <v/>
      </c>
      <c r="AR182" s="129">
        <f t="shared" si="106"/>
        <v/>
      </c>
      <c r="AS182" s="129">
        <f t="shared" si="107"/>
        <v/>
      </c>
      <c r="AT182" s="129">
        <f t="shared" si="108"/>
        <v/>
      </c>
      <c r="AU182" s="129">
        <f t="shared" si="109"/>
        <v/>
      </c>
      <c r="AV182" s="129">
        <f t="shared" si="110"/>
        <v/>
      </c>
      <c r="AW182" s="129">
        <f>IF(AV182="","",AV182&amp;"."&amp;COUNTIFS($A$3:A182,A182,$AV$3:AV182,AV182))</f>
        <v/>
      </c>
      <c r="AX182" s="129">
        <f t="shared" si="111"/>
        <v/>
      </c>
      <c r="AY182" s="129">
        <f>IF(N182="б/к",0,IF(OR(ISNUMBER(SEARCH("L=",Разбивка_по_щитам!P182)),N182="+",N182="="),1,0))</f>
      </c>
      <c r="AZ182" s="129">
        <f t="shared" si="112"/>
      </c>
      <c r="BA182" s="129">
        <f t="shared" si="113"/>
      </c>
      <c r="BB182" s="129">
        <f t="shared" si="114"/>
      </c>
      <c r="BD182" s="129">
        <f t="shared" si="115"/>
      </c>
      <c r="BE182" s="129">
        <f t="shared" si="116"/>
      </c>
      <c r="BF182" s="129">
        <f t="shared" si="117"/>
      </c>
      <c r="BG182" s="129">
        <f t="shared" si="118"/>
        <v/>
      </c>
      <c r="BH182" s="129">
        <f t="shared" si="119"/>
        <v/>
      </c>
      <c r="BI182" s="129">
        <f t="shared" si="120"/>
        <v/>
      </c>
      <c r="BJ182" s="129">
        <f t="shared" si="121"/>
        <v/>
      </c>
      <c r="BK182" s="129">
        <f>IF(R182="","",IF(OR(BY182="",BY182=0),"BOX",IFERROR(IF(VLOOKUP(BY182,УГО_блоки,3,FALSE)&amp;""&lt;&gt;"",VLOOKUP(BY182,УГО_блоки,3,FALSE),VLOOKUP(BY182,УГО_блоки,2,FALSE)),BY182)))</f>
      </c>
      <c r="BL182" s="129">
        <f t="shared" si="123"/>
      </c>
      <c r="BM182" s="129">
        <f>IF(H182="","",IF(COUNTIF($H$3:H182,H182)=1,MAX($BM$2:BM181)+1,""))</f>
      </c>
      <c r="BN182" s="129">
        <f>IF(I182="","",IF(COUNTIF($I$3:I182,I182)+COUNTIF($J$2:J181,I182)+COUNTIF($K$2:K181,I182)=1,MAX($BN$2:BP181)+1,""))</f>
      </c>
      <c r="BO182" s="129">
        <f>IF(J182="","",IF(COUNTIF($I$3:I182,J182)+COUNTIF($J$3:J182,J182)+COUNTIF($K$2:K181,J182)=1,MAX($BN$2:BP181,BN182)+1,""))</f>
      </c>
      <c r="BP182" s="129">
        <f>IF(K182="","",IF(COUNTIF($I$3:I182,K182)+COUNTIF($J$3:J182,K182)+COUNTIF($K$3:K182,K182)=1,MAX($BN$2:BP181,BN182,BO182)+1,""))</f>
      </c>
      <c r="BQ182" s="129">
        <f>IF(AY182=1,IFERROR(MID(Q182,FIND(" (",Q182)+2,FIND(")",Q182,FIND(" (",Q182))-FIND(" (",Q182)-2),"?"),"")</f>
      </c>
      <c r="BR182" s="129">
        <f>IF(BQ182="","",IF(COUNTIF($BQ$3:BQ182,BQ182)=1,MAX($BR$2:BR181)+1,""))</f>
      </c>
      <c r="BS182" s="129">
        <f>IF(AW182="","",COUNTIF($AW$3:AW182,"?*"))</f>
      </c>
      <c r="BT182" s="129">
        <f>IF(OR(AW182="",AI182=""),"",IF(COUNTIFS($AW$3:AW182,"?*",$AI$3:AI182,AI182)=1,MAX($BT$2:BT181)+1,""))</f>
      </c>
      <c r="BU182" s="129">
        <f>IF(AE182="",0,IF(OR(ISNUMBER(SEARCH("дубль",AE182)),ISNUMBER(SEARCH("ПЕРЕГРУЗ",AE182)),ISNUMBER(SEARCH("ЗАЩИЩ",AE182)),ISNUMBER(SEARCH("КАНАЛ",AE182)),ISNUMBER(SEARCH("без 30",AE182))),2,1))</f>
      </c>
      <c r="BV182" s="129">
        <f>IF(R182="","",COUNTIF($R$3:R182,"?*"))</f>
      </c>
      <c r="BW182" s="129">
        <f>IF(AY182&lt;&gt;1,0,IF(MAX(IFERROR(--VLOOKUP(R182,УГО_спр,5,FALSE),0),IFERROR(--VLOOKUP(AL182,УГО_спр,5,FALSE),0),IFERROR(--VLOOKUP(LEFT(AL182,2),УГО_спр,5,FALSE),0))&gt;0,MAX(IFERROR(--VLOOKUP(R182,УГО_спр,5,FALSE),0),IFERROR(--VLOOKUP(AL182,УГО_спр,5,FALSE),0),IFERROR(--VLOOKUP(LEFT(AL182,2),УГО_спр,5,FALSE),0)),IF(IFERROR(--LEFT(SUBSTITUTE(BQ182,"x","х"),FIND("х",SUBSTITUTE(BQ182,"x","х"))-1),3)&gt;3,Каталог!$S$9,1)))</f>
      </c>
      <c r="BX182" s="129">
        <f>IF(AY182&lt;&gt;1,0,MAX(0,IFERROR(--LEFT(SUBSTITUTE(BQ182,"x","х"),FIND("х",SUBSTITUTE(BQ182,"x","х"))-1),3)-3*BW182))</f>
      </c>
      <c r="BY182" s="129">
        <f>IF(R182="","",IFERROR(VLOOKUP(R182,УГО_спр,2,FALSE),IFERROR(VLOOKUP(AL182,УГО_спр,2,FALSE),IFERROR(VLOOKUP(LEFT(AL182,2),УГО_спр,2,FALSE),""))))</f>
      </c>
    </row>
    <row r="183" spans="1:64" x14ac:dyDescent="0.3">
      <c r="A183" s="135">
        <f>IF(Разбивка_по_щитам!F183=0,"",Разбивка_по_щитам!F183)</f>
      </c>
      <c r="B183" s="138">
        <f>IF(A183="","",Разбивка_по_щитам!C183)</f>
      </c>
      <c r="C183" s="138">
        <f t="shared" si="86"/>
      </c>
      <c r="D183" s="266"/>
      <c r="E183" s="266"/>
      <c r="F183" s="267"/>
      <c r="G183" s="145">
        <f t="shared" si="87"/>
        <v/>
      </c>
      <c r="H183" s="145">
        <f t="shared" si="88"/>
        <v/>
      </c>
      <c r="I183" s="266"/>
      <c r="J183" s="267"/>
      <c r="K183" s="267"/>
      <c r="L183" s="266"/>
      <c r="M183" s="147">
        <f t="shared" si="126"/>
        <v/>
      </c>
      <c r="N183" s="267"/>
      <c r="O183" s="147">
        <f t="shared" si="127"/>
        <v/>
      </c>
      <c r="P183" s="268">
        <f>IF(AY183=1,"XT"&amp;COUNTIFS($A$3:A183,A183,$AY$3:AY183,1),"")</f>
        <v/>
      </c>
      <c r="Q183" s="152">
        <f>IF(R183="","",IFERROR(SUBSTITUTE(Разбивка_по_щитам!P183,CHAR(10)," "),""))</f>
        <v/>
      </c>
      <c r="R183" s="153">
        <f>IF(OR(Разбивка_по_щитам!H183="",Разбивка_по_щитам!H183=0),"",Разбивка_по_щитам!H183)</f>
        <v/>
      </c>
      <c r="S183" s="154">
        <f>IF(R183="","",IFERROR(Разбивка_по_щитам!J183&amp;"",""))</f>
        <v/>
      </c>
      <c r="T183" s="155">
        <f>IF(R183="","",IFERROR(--Разбивка_по_щитам!L183,""))</f>
        <v/>
      </c>
      <c r="U183" s="155">
        <f>IF(R183="","",IFERROR(--Разбивка_по_щитам!K183,""))</f>
        <v/>
      </c>
      <c r="V183" s="138">
        <f>IF(R183="","",IFERROR(IF(Разбивка_по_щитам!M183=0,"",Разбивка_по_щитам!M183),""))</f>
        <v/>
      </c>
      <c r="W183" s="156">
        <f t="shared" si="89"/>
        <v/>
      </c>
      <c r="X183" s="157">
        <f t="shared" si="90"/>
        <v/>
      </c>
      <c r="Y183" s="266"/>
      <c r="Z183" s="158">
        <f t="shared" si="91"/>
        <v/>
      </c>
      <c r="AA183" s="160">
        <f t="shared" si="92"/>
        <v/>
      </c>
      <c r="AB183" s="160">
        <f>IF(R183="","",IFERROR(LOOKUP(INDEX(Справочная!$I$4:$I$19,MATCH(VLOOKUP(R183,Исходные_данные,22,FALSE),Справочная!$J$4:$J$19,0)+1),{6,10,16,20,25,32,40,50,63,80,100,125}),""))</f>
        <v/>
      </c>
      <c r="AC183" s="160">
        <f t="shared" si="93"/>
        <v/>
      </c>
      <c r="AD183" s="161">
        <f t="shared" si="94"/>
        <v/>
      </c>
      <c r="AE183" s="161">
        <f>IF(AND(R183="",G183=""),"",_xlfn.TEXTJOIN("; ",TRUE,IF(AND(R183&lt;&gt;"",V183=""),"нет фазы",""),IF(AND(R183&lt;&gt;"",N(T183)=0),"нет мощности",""),IF(AND(P183&lt;&gt;"",COUNTIFS($A$3:$A$1000,A183,$P$3:$P$1000,P183)&gt;1),"дубль клеммы "&amp;P183,""),IF(AND(W183&lt;&gt;"",W183&lt;&gt;"ok"),W183,""),IF(X183&lt;&gt;"",X183,""),IF(AND(ISNUMBER(SEARCH("(5х",Q183)),N(AK183)=1),"5 жил на 1 фазе",""),IF(AND(AL183="R",E183&lt;&gt;"",N(AS183)=0),"розетка без 30 мА",""),IF(IFERROR(_xlfn.NUMBERVALUE(MID(Q183,FIND("-",Q183,FIND("L=",Q183))+1,FIND("%",Q183)-FIND("-",Q183,FIND("L=",Q183))-1),","),0)&gt;4,"потери &gt; 4 %","")))</f>
      </c>
      <c r="AF183" s="129">
        <f>IF(E183&lt;&gt;"",COUNTIFS($A$3:A183,A183,$E$3:E183,"?*"),IF(OR(A183&lt;&gt;A182,Y183="вручную"),"",AF182))</f>
      </c>
      <c r="AG183" s="129">
        <f t="shared" si="95"/>
      </c>
      <c r="AH183" s="129">
        <f t="shared" si="96"/>
        <v/>
      </c>
      <c r="AI183" s="129">
        <f t="shared" si="97"/>
        <v/>
      </c>
      <c r="AJ183" s="129">
        <f t="shared" si="98"/>
        <v/>
      </c>
      <c r="AK183" s="129">
        <f t="shared" si="99"/>
        <v/>
      </c>
      <c r="AL183" s="129">
        <f t="shared" si="100"/>
        <v/>
      </c>
      <c r="AM183" s="129">
        <f t="shared" si="101"/>
      </c>
      <c r="AN183" s="129">
        <f t="shared" si="102"/>
      </c>
      <c r="AO183" s="129">
        <f t="shared" si="103"/>
        <v/>
      </c>
      <c r="AP183" s="129">
        <f t="shared" si="104"/>
        <v/>
      </c>
      <c r="AQ183" s="129">
        <f t="shared" si="105"/>
        <v/>
      </c>
      <c r="AR183" s="129">
        <f t="shared" si="106"/>
        <v/>
      </c>
      <c r="AS183" s="129">
        <f t="shared" si="107"/>
        <v/>
      </c>
      <c r="AT183" s="129">
        <f t="shared" si="108"/>
        <v/>
      </c>
      <c r="AU183" s="129">
        <f t="shared" si="109"/>
        <v/>
      </c>
      <c r="AV183" s="129">
        <f t="shared" si="110"/>
        <v/>
      </c>
      <c r="AW183" s="129">
        <f>IF(AV183="","",AV183&amp;"."&amp;COUNTIFS($A$3:A183,A183,$AV$3:AV183,AV183))</f>
        <v/>
      </c>
      <c r="AX183" s="129">
        <f t="shared" si="111"/>
        <v/>
      </c>
      <c r="AY183" s="129">
        <f>IF(N183="б/к",0,IF(OR(ISNUMBER(SEARCH("L=",Разбивка_по_щитам!P183)),N183="+",N183="="),1,0))</f>
      </c>
      <c r="AZ183" s="129">
        <f t="shared" si="112"/>
      </c>
      <c r="BA183" s="129">
        <f t="shared" si="113"/>
      </c>
      <c r="BB183" s="129">
        <f t="shared" si="114"/>
      </c>
      <c r="BD183" s="129">
        <f t="shared" si="115"/>
      </c>
      <c r="BE183" s="129">
        <f t="shared" si="116"/>
      </c>
      <c r="BF183" s="129">
        <f t="shared" si="117"/>
      </c>
      <c r="BG183" s="129">
        <f t="shared" si="118"/>
        <v/>
      </c>
      <c r="BH183" s="129">
        <f t="shared" si="119"/>
        <v/>
      </c>
      <c r="BI183" s="129">
        <f t="shared" si="120"/>
        <v/>
      </c>
      <c r="BJ183" s="129">
        <f t="shared" si="121"/>
        <v/>
      </c>
      <c r="BK183" s="129">
        <f>IF(R183="","",IF(OR(BY183="",BY183=0),"BOX",IFERROR(IF(VLOOKUP(BY183,УГО_блоки,3,FALSE)&amp;""&lt;&gt;"",VLOOKUP(BY183,УГО_блоки,3,FALSE),VLOOKUP(BY183,УГО_блоки,2,FALSE)),BY183)))</f>
      </c>
      <c r="BL183" s="129">
        <f t="shared" si="123"/>
      </c>
      <c r="BM183" s="129">
        <f>IF(H183="","",IF(COUNTIF($H$3:H183,H183)=1,MAX($BM$2:BM182)+1,""))</f>
      </c>
      <c r="BN183" s="129">
        <f>IF(I183="","",IF(COUNTIF($I$3:I183,I183)+COUNTIF($J$2:J182,I183)+COUNTIF($K$2:K182,I183)=1,MAX($BN$2:BP182)+1,""))</f>
      </c>
      <c r="BO183" s="129">
        <f>IF(J183="","",IF(COUNTIF($I$3:I183,J183)+COUNTIF($J$3:J183,J183)+COUNTIF($K$2:K182,J183)=1,MAX($BN$2:BP182,BN183)+1,""))</f>
      </c>
      <c r="BP183" s="129">
        <f>IF(K183="","",IF(COUNTIF($I$3:I183,K183)+COUNTIF($J$3:J183,K183)+COUNTIF($K$3:K183,K183)=1,MAX($BN$2:BP182,BN183,BO183)+1,""))</f>
      </c>
      <c r="BQ183" s="129">
        <f>IF(AY183=1,IFERROR(MID(Q183,FIND(" (",Q183)+2,FIND(")",Q183,FIND(" (",Q183))-FIND(" (",Q183)-2),"?"),"")</f>
      </c>
      <c r="BR183" s="129">
        <f>IF(BQ183="","",IF(COUNTIF($BQ$3:BQ183,BQ183)=1,MAX($BR$2:BR182)+1,""))</f>
      </c>
      <c r="BS183" s="129">
        <f>IF(AW183="","",COUNTIF($AW$3:AW183,"?*"))</f>
      </c>
      <c r="BT183" s="129">
        <f>IF(OR(AW183="",AI183=""),"",IF(COUNTIFS($AW$3:AW183,"?*",$AI$3:AI183,AI183)=1,MAX($BT$2:BT182)+1,""))</f>
      </c>
      <c r="BU183" s="129">
        <f>IF(AE183="",0,IF(OR(ISNUMBER(SEARCH("дубль",AE183)),ISNUMBER(SEARCH("ПЕРЕГРУЗ",AE183)),ISNUMBER(SEARCH("ЗАЩИЩ",AE183)),ISNUMBER(SEARCH("КАНАЛ",AE183)),ISNUMBER(SEARCH("без 30",AE183))),2,1))</f>
      </c>
      <c r="BV183" s="129">
        <f>IF(R183="","",COUNTIF($R$3:R183,"?*"))</f>
      </c>
      <c r="BW183" s="129">
        <f>IF(AY183&lt;&gt;1,0,IF(MAX(IFERROR(--VLOOKUP(R183,УГО_спр,5,FALSE),0),IFERROR(--VLOOKUP(AL183,УГО_спр,5,FALSE),0),IFERROR(--VLOOKUP(LEFT(AL183,2),УГО_спр,5,FALSE),0))&gt;0,MAX(IFERROR(--VLOOKUP(R183,УГО_спр,5,FALSE),0),IFERROR(--VLOOKUP(AL183,УГО_спр,5,FALSE),0),IFERROR(--VLOOKUP(LEFT(AL183,2),УГО_спр,5,FALSE),0)),IF(IFERROR(--LEFT(SUBSTITUTE(BQ183,"x","х"),FIND("х",SUBSTITUTE(BQ183,"x","х"))-1),3)&gt;3,Каталог!$S$9,1)))</f>
      </c>
      <c r="BX183" s="129">
        <f>IF(AY183&lt;&gt;1,0,MAX(0,IFERROR(--LEFT(SUBSTITUTE(BQ183,"x","х"),FIND("х",SUBSTITUTE(BQ183,"x","х"))-1),3)-3*BW183))</f>
      </c>
      <c r="BY183" s="129">
        <f>IF(R183="","",IFERROR(VLOOKUP(R183,УГО_спр,2,FALSE),IFERROR(VLOOKUP(AL183,УГО_спр,2,FALSE),IFERROR(VLOOKUP(LEFT(AL183,2),УГО_спр,2,FALSE),""))))</f>
      </c>
    </row>
    <row r="184" spans="1:64" x14ac:dyDescent="0.3">
      <c r="A184" s="135">
        <f>IF(Разбивка_по_щитам!F184=0,"",Разбивка_по_щитам!F184)</f>
      </c>
      <c r="B184" s="138">
        <f>IF(A184="","",Разбивка_по_щитам!C184)</f>
      </c>
      <c r="C184" s="138">
        <f t="shared" si="86"/>
      </c>
      <c r="D184" s="266"/>
      <c r="E184" s="266"/>
      <c r="F184" s="267"/>
      <c r="G184" s="145">
        <f t="shared" si="87"/>
        <v/>
      </c>
      <c r="H184" s="145">
        <f t="shared" si="88"/>
        <v/>
      </c>
      <c r="I184" s="266"/>
      <c r="J184" s="267"/>
      <c r="K184" s="267"/>
      <c r="L184" s="266"/>
      <c r="M184" s="147">
        <f t="shared" si="126"/>
        <v/>
      </c>
      <c r="N184" s="267"/>
      <c r="O184" s="147">
        <f t="shared" si="127"/>
        <v/>
      </c>
      <c r="P184" s="268">
        <f>IF(AY184=1,"XT"&amp;COUNTIFS($A$3:A184,A184,$AY$3:AY184,1),"")</f>
        <v/>
      </c>
      <c r="Q184" s="152">
        <f>IF(R184="","",IFERROR(SUBSTITUTE(Разбивка_по_щитам!P184,CHAR(10)," "),""))</f>
        <v/>
      </c>
      <c r="R184" s="153">
        <f>IF(OR(Разбивка_по_щитам!H184="",Разбивка_по_щитам!H184=0),"",Разбивка_по_щитам!H184)</f>
        <v/>
      </c>
      <c r="S184" s="154">
        <f>IF(R184="","",IFERROR(Разбивка_по_щитам!J184&amp;"",""))</f>
        <v/>
      </c>
      <c r="T184" s="155">
        <f>IF(R184="","",IFERROR(--Разбивка_по_щитам!L184,""))</f>
        <v/>
      </c>
      <c r="U184" s="155">
        <f>IF(R184="","",IFERROR(--Разбивка_по_щитам!K184,""))</f>
        <v/>
      </c>
      <c r="V184" s="138">
        <f>IF(R184="","",IFERROR(IF(Разбивка_по_щитам!M184=0,"",Разбивка_по_щитам!M184),""))</f>
        <v/>
      </c>
      <c r="W184" s="156">
        <f t="shared" si="89"/>
        <v/>
      </c>
      <c r="X184" s="157">
        <f t="shared" si="90"/>
        <v/>
      </c>
      <c r="Y184" s="266"/>
      <c r="Z184" s="158">
        <f t="shared" si="91"/>
        <v/>
      </c>
      <c r="AA184" s="160">
        <f t="shared" si="92"/>
        <v/>
      </c>
      <c r="AB184" s="160">
        <f>IF(R184="","",IFERROR(LOOKUP(INDEX(Справочная!$I$4:$I$19,MATCH(VLOOKUP(R184,Исходные_данные,22,FALSE),Справочная!$J$4:$J$19,0)+1),{6,10,16,20,25,32,40,50,63,80,100,125}),""))</f>
        <v/>
      </c>
      <c r="AC184" s="160">
        <f t="shared" si="93"/>
        <v/>
      </c>
      <c r="AD184" s="161">
        <f t="shared" si="94"/>
        <v/>
      </c>
      <c r="AE184" s="161">
        <f>IF(AND(R184="",G184=""),"",_xlfn.TEXTJOIN("; ",TRUE,IF(AND(R184&lt;&gt;"",V184=""),"нет фазы",""),IF(AND(R184&lt;&gt;"",N(T184)=0),"нет мощности",""),IF(AND(P184&lt;&gt;"",COUNTIFS($A$3:$A$1000,A184,$P$3:$P$1000,P184)&gt;1),"дубль клеммы "&amp;P184,""),IF(AND(W184&lt;&gt;"",W184&lt;&gt;"ok"),W184,""),IF(X184&lt;&gt;"",X184,""),IF(AND(ISNUMBER(SEARCH("(5х",Q184)),N(AK184)=1),"5 жил на 1 фазе",""),IF(AND(AL184="R",E184&lt;&gt;"",N(AS184)=0),"розетка без 30 мА",""),IF(IFERROR(_xlfn.NUMBERVALUE(MID(Q184,FIND("-",Q184,FIND("L=",Q184))+1,FIND("%",Q184)-FIND("-",Q184,FIND("L=",Q184))-1),","),0)&gt;4,"потери &gt; 4 %","")))</f>
      </c>
      <c r="AF184" s="129">
        <f>IF(E184&lt;&gt;"",COUNTIFS($A$3:A184,A184,$E$3:E184,"?*"),IF(OR(A184&lt;&gt;A183,Y184="вручную"),"",AF183))</f>
      </c>
      <c r="AG184" s="129">
        <f t="shared" si="95"/>
      </c>
      <c r="AH184" s="129">
        <f t="shared" si="96"/>
        <v/>
      </c>
      <c r="AI184" s="129">
        <f t="shared" si="97"/>
        <v/>
      </c>
      <c r="AJ184" s="129">
        <f t="shared" si="98"/>
        <v/>
      </c>
      <c r="AK184" s="129">
        <f t="shared" si="99"/>
        <v/>
      </c>
      <c r="AL184" s="129">
        <f t="shared" si="100"/>
        <v/>
      </c>
      <c r="AM184" s="129">
        <f t="shared" si="101"/>
      </c>
      <c r="AN184" s="129">
        <f t="shared" si="102"/>
      </c>
      <c r="AO184" s="129">
        <f t="shared" si="103"/>
        <v/>
      </c>
      <c r="AP184" s="129">
        <f t="shared" si="104"/>
        <v/>
      </c>
      <c r="AQ184" s="129">
        <f t="shared" si="105"/>
        <v/>
      </c>
      <c r="AR184" s="129">
        <f t="shared" si="106"/>
        <v/>
      </c>
      <c r="AS184" s="129">
        <f t="shared" si="107"/>
        <v/>
      </c>
      <c r="AT184" s="129">
        <f t="shared" si="108"/>
        <v/>
      </c>
      <c r="AU184" s="129">
        <f t="shared" si="109"/>
        <v/>
      </c>
      <c r="AV184" s="129">
        <f t="shared" si="110"/>
        <v/>
      </c>
      <c r="AW184" s="129">
        <f>IF(AV184="","",AV184&amp;"."&amp;COUNTIFS($A$3:A184,A184,$AV$3:AV184,AV184))</f>
        <v/>
      </c>
      <c r="AX184" s="129">
        <f t="shared" si="111"/>
        <v/>
      </c>
      <c r="AY184" s="129">
        <f>IF(N184="б/к",0,IF(OR(ISNUMBER(SEARCH("L=",Разбивка_по_щитам!P184)),N184="+",N184="="),1,0))</f>
      </c>
      <c r="AZ184" s="129">
        <f t="shared" si="112"/>
      </c>
      <c r="BA184" s="129">
        <f t="shared" si="113"/>
      </c>
      <c r="BB184" s="129">
        <f t="shared" si="114"/>
      </c>
      <c r="BD184" s="129">
        <f t="shared" si="115"/>
      </c>
      <c r="BE184" s="129">
        <f t="shared" si="116"/>
      </c>
      <c r="BF184" s="129">
        <f t="shared" si="117"/>
      </c>
      <c r="BG184" s="129">
        <f t="shared" si="118"/>
        <v/>
      </c>
      <c r="BH184" s="129">
        <f t="shared" si="119"/>
        <v/>
      </c>
      <c r="BI184" s="129">
        <f t="shared" si="120"/>
        <v/>
      </c>
      <c r="BJ184" s="129">
        <f t="shared" si="121"/>
        <v/>
      </c>
      <c r="BK184" s="129">
        <f>IF(R184="","",IF(OR(BY184="",BY184=0),"BOX",IFERROR(IF(VLOOKUP(BY184,УГО_блоки,3,FALSE)&amp;""&lt;&gt;"",VLOOKUP(BY184,УГО_блоки,3,FALSE),VLOOKUP(BY184,УГО_блоки,2,FALSE)),BY184)))</f>
      </c>
      <c r="BL184" s="129">
        <f t="shared" si="123"/>
      </c>
      <c r="BM184" s="129">
        <f>IF(H184="","",IF(COUNTIF($H$3:H184,H184)=1,MAX($BM$2:BM183)+1,""))</f>
      </c>
      <c r="BN184" s="129">
        <f>IF(I184="","",IF(COUNTIF($I$3:I184,I184)+COUNTIF($J$2:J183,I184)+COUNTIF($K$2:K183,I184)=1,MAX($BN$2:BP183)+1,""))</f>
      </c>
      <c r="BO184" s="129">
        <f>IF(J184="","",IF(COUNTIF($I$3:I184,J184)+COUNTIF($J$3:J184,J184)+COUNTIF($K$2:K183,J184)=1,MAX($BN$2:BP183,BN184)+1,""))</f>
      </c>
      <c r="BP184" s="129">
        <f>IF(K184="","",IF(COUNTIF($I$3:I184,K184)+COUNTIF($J$3:J184,K184)+COUNTIF($K$3:K184,K184)=1,MAX($BN$2:BP183,BN184,BO184)+1,""))</f>
      </c>
      <c r="BQ184" s="129">
        <f>IF(AY184=1,IFERROR(MID(Q184,FIND(" (",Q184)+2,FIND(")",Q184,FIND(" (",Q184))-FIND(" (",Q184)-2),"?"),"")</f>
      </c>
      <c r="BR184" s="129">
        <f>IF(BQ184="","",IF(COUNTIF($BQ$3:BQ184,BQ184)=1,MAX($BR$2:BR183)+1,""))</f>
      </c>
      <c r="BS184" s="129">
        <f>IF(AW184="","",COUNTIF($AW$3:AW184,"?*"))</f>
      </c>
      <c r="BT184" s="129">
        <f>IF(OR(AW184="",AI184=""),"",IF(COUNTIFS($AW$3:AW184,"?*",$AI$3:AI184,AI184)=1,MAX($BT$2:BT183)+1,""))</f>
      </c>
      <c r="BU184" s="129">
        <f>IF(AE184="",0,IF(OR(ISNUMBER(SEARCH("дубль",AE184)),ISNUMBER(SEARCH("ПЕРЕГРУЗ",AE184)),ISNUMBER(SEARCH("ЗАЩИЩ",AE184)),ISNUMBER(SEARCH("КАНАЛ",AE184)),ISNUMBER(SEARCH("без 30",AE184))),2,1))</f>
      </c>
      <c r="BV184" s="129">
        <f>IF(R184="","",COUNTIF($R$3:R184,"?*"))</f>
      </c>
      <c r="BW184" s="129">
        <f>IF(AY184&lt;&gt;1,0,IF(MAX(IFERROR(--VLOOKUP(R184,УГО_спр,5,FALSE),0),IFERROR(--VLOOKUP(AL184,УГО_спр,5,FALSE),0),IFERROR(--VLOOKUP(LEFT(AL184,2),УГО_спр,5,FALSE),0))&gt;0,MAX(IFERROR(--VLOOKUP(R184,УГО_спр,5,FALSE),0),IFERROR(--VLOOKUP(AL184,УГО_спр,5,FALSE),0),IFERROR(--VLOOKUP(LEFT(AL184,2),УГО_спр,5,FALSE),0)),IF(IFERROR(--LEFT(SUBSTITUTE(BQ184,"x","х"),FIND("х",SUBSTITUTE(BQ184,"x","х"))-1),3)&gt;3,Каталог!$S$9,1)))</f>
      </c>
      <c r="BX184" s="129">
        <f>IF(AY184&lt;&gt;1,0,MAX(0,IFERROR(--LEFT(SUBSTITUTE(BQ184,"x","х"),FIND("х",SUBSTITUTE(BQ184,"x","х"))-1),3)-3*BW184))</f>
      </c>
      <c r="BY184" s="129">
        <f>IF(R184="","",IFERROR(VLOOKUP(R184,УГО_спр,2,FALSE),IFERROR(VLOOKUP(AL184,УГО_спр,2,FALSE),IFERROR(VLOOKUP(LEFT(AL184,2),УГО_спр,2,FALSE),""))))</f>
      </c>
    </row>
    <row r="185" spans="1:64" x14ac:dyDescent="0.3">
      <c r="A185" s="135">
        <f>IF(Разбивка_по_щитам!F185=0,"",Разбивка_по_щитам!F185)</f>
      </c>
      <c r="B185" s="138">
        <f>IF(A185="","",Разбивка_по_щитам!C185)</f>
      </c>
      <c r="C185" s="138">
        <f t="shared" si="86"/>
      </c>
      <c r="D185" s="266"/>
      <c r="E185" s="266"/>
      <c r="F185" s="267"/>
      <c r="G185" s="145">
        <f t="shared" si="87"/>
        <v/>
      </c>
      <c r="H185" s="145">
        <f t="shared" si="88"/>
        <v/>
      </c>
      <c r="I185" s="266"/>
      <c r="J185" s="267"/>
      <c r="K185" s="267"/>
      <c r="L185" s="266"/>
      <c r="M185" s="147">
        <f t="shared" si="126"/>
        <v/>
      </c>
      <c r="N185" s="267"/>
      <c r="O185" s="147">
        <f t="shared" si="127"/>
        <v/>
      </c>
      <c r="P185" s="268">
        <f>IF(AY185=1,"XT"&amp;COUNTIFS($A$3:A185,A185,$AY$3:AY185,1),"")</f>
        <v/>
      </c>
      <c r="Q185" s="152">
        <f>IF(R185="","",IFERROR(SUBSTITUTE(Разбивка_по_щитам!P185,CHAR(10)," "),""))</f>
        <v/>
      </c>
      <c r="R185" s="153">
        <f>IF(OR(Разбивка_по_щитам!H185="",Разбивка_по_щитам!H185=0),"",Разбивка_по_щитам!H185)</f>
        <v/>
      </c>
      <c r="S185" s="154">
        <f>IF(R185="","",IFERROR(Разбивка_по_щитам!J185&amp;"",""))</f>
        <v/>
      </c>
      <c r="T185" s="155">
        <f>IF(R185="","",IFERROR(--Разбивка_по_щитам!L185,""))</f>
        <v/>
      </c>
      <c r="U185" s="155">
        <f>IF(R185="","",IFERROR(--Разбивка_по_щитам!K185,""))</f>
        <v/>
      </c>
      <c r="V185" s="138">
        <f>IF(R185="","",IFERROR(IF(Разбивка_по_щитам!M185=0,"",Разбивка_по_щитам!M185),""))</f>
        <v/>
      </c>
      <c r="W185" s="156">
        <f t="shared" si="89"/>
        <v/>
      </c>
      <c r="X185" s="157">
        <f t="shared" si="90"/>
        <v/>
      </c>
      <c r="Y185" s="266"/>
      <c r="Z185" s="158">
        <f t="shared" si="91"/>
        <v/>
      </c>
      <c r="AA185" s="160">
        <f t="shared" si="92"/>
        <v/>
      </c>
      <c r="AB185" s="160">
        <f>IF(R185="","",IFERROR(LOOKUP(INDEX(Справочная!$I$4:$I$19,MATCH(VLOOKUP(R185,Исходные_данные,22,FALSE),Справочная!$J$4:$J$19,0)+1),{6,10,16,20,25,32,40,50,63,80,100,125}),""))</f>
        <v/>
      </c>
      <c r="AC185" s="160">
        <f t="shared" si="93"/>
        <v/>
      </c>
      <c r="AD185" s="161">
        <f t="shared" si="94"/>
        <v/>
      </c>
      <c r="AE185" s="161">
        <f>IF(AND(R185="",G185=""),"",_xlfn.TEXTJOIN("; ",TRUE,IF(AND(R185&lt;&gt;"",V185=""),"нет фазы",""),IF(AND(R185&lt;&gt;"",N(T185)=0),"нет мощности",""),IF(AND(P185&lt;&gt;"",COUNTIFS($A$3:$A$1000,A185,$P$3:$P$1000,P185)&gt;1),"дубль клеммы "&amp;P185,""),IF(AND(W185&lt;&gt;"",W185&lt;&gt;"ok"),W185,""),IF(X185&lt;&gt;"",X185,""),IF(AND(ISNUMBER(SEARCH("(5х",Q185)),N(AK185)=1),"5 жил на 1 фазе",""),IF(AND(AL185="R",E185&lt;&gt;"",N(AS185)=0),"розетка без 30 мА",""),IF(IFERROR(_xlfn.NUMBERVALUE(MID(Q185,FIND("-",Q185,FIND("L=",Q185))+1,FIND("%",Q185)-FIND("-",Q185,FIND("L=",Q185))-1),","),0)&gt;4,"потери &gt; 4 %","")))</f>
      </c>
      <c r="AF185" s="129">
        <f>IF(E185&lt;&gt;"",COUNTIFS($A$3:A185,A185,$E$3:E185,"?*"),IF(OR(A185&lt;&gt;A184,Y185="вручную"),"",AF184))</f>
      </c>
      <c r="AG185" s="129">
        <f t="shared" si="95"/>
      </c>
      <c r="AH185" s="129">
        <f t="shared" si="96"/>
        <v/>
      </c>
      <c r="AI185" s="129">
        <f t="shared" si="97"/>
        <v/>
      </c>
      <c r="AJ185" s="129">
        <f t="shared" si="98"/>
        <v/>
      </c>
      <c r="AK185" s="129">
        <f t="shared" si="99"/>
        <v/>
      </c>
      <c r="AL185" s="129">
        <f t="shared" si="100"/>
        <v/>
      </c>
      <c r="AM185" s="129">
        <f t="shared" si="101"/>
      </c>
      <c r="AN185" s="129">
        <f t="shared" si="102"/>
      </c>
      <c r="AO185" s="129">
        <f t="shared" si="103"/>
        <v/>
      </c>
      <c r="AP185" s="129">
        <f t="shared" si="104"/>
        <v/>
      </c>
      <c r="AQ185" s="129">
        <f t="shared" si="105"/>
        <v/>
      </c>
      <c r="AR185" s="129">
        <f t="shared" si="106"/>
        <v/>
      </c>
      <c r="AS185" s="129">
        <f t="shared" si="107"/>
        <v/>
      </c>
      <c r="AT185" s="129">
        <f t="shared" si="108"/>
        <v/>
      </c>
      <c r="AU185" s="129">
        <f t="shared" si="109"/>
        <v/>
      </c>
      <c r="AV185" s="129">
        <f t="shared" si="110"/>
        <v/>
      </c>
      <c r="AW185" s="129">
        <f>IF(AV185="","",AV185&amp;"."&amp;COUNTIFS($A$3:A185,A185,$AV$3:AV185,AV185))</f>
        <v/>
      </c>
      <c r="AX185" s="129">
        <f t="shared" si="111"/>
        <v/>
      </c>
      <c r="AY185" s="129">
        <f>IF(N185="б/к",0,IF(OR(ISNUMBER(SEARCH("L=",Разбивка_по_щитам!P185)),N185="+",N185="="),1,0))</f>
      </c>
      <c r="AZ185" s="129">
        <f t="shared" si="112"/>
      </c>
      <c r="BA185" s="129">
        <f t="shared" si="113"/>
      </c>
      <c r="BB185" s="129">
        <f t="shared" si="114"/>
      </c>
      <c r="BD185" s="129">
        <f t="shared" si="115"/>
      </c>
      <c r="BE185" s="129">
        <f t="shared" si="116"/>
      </c>
      <c r="BF185" s="129">
        <f t="shared" si="117"/>
      </c>
      <c r="BG185" s="129">
        <f t="shared" si="118"/>
        <v/>
      </c>
      <c r="BH185" s="129">
        <f t="shared" si="119"/>
        <v/>
      </c>
      <c r="BI185" s="129">
        <f t="shared" si="120"/>
        <v/>
      </c>
      <c r="BJ185" s="129">
        <f t="shared" si="121"/>
        <v/>
      </c>
      <c r="BK185" s="129">
        <f>IF(R185="","",IF(OR(BY185="",BY185=0),"BOX",IFERROR(IF(VLOOKUP(BY185,УГО_блоки,3,FALSE)&amp;""&lt;&gt;"",VLOOKUP(BY185,УГО_блоки,3,FALSE),VLOOKUP(BY185,УГО_блоки,2,FALSE)),BY185)))</f>
      </c>
      <c r="BL185" s="129">
        <f t="shared" si="123"/>
      </c>
      <c r="BM185" s="129">
        <f>IF(H185="","",IF(COUNTIF($H$3:H185,H185)=1,MAX($BM$2:BM184)+1,""))</f>
      </c>
      <c r="BN185" s="129">
        <f>IF(I185="","",IF(COUNTIF($I$3:I185,I185)+COUNTIF($J$2:J184,I185)+COUNTIF($K$2:K184,I185)=1,MAX($BN$2:BP184)+1,""))</f>
      </c>
      <c r="BO185" s="129">
        <f>IF(J185="","",IF(COUNTIF($I$3:I185,J185)+COUNTIF($J$3:J185,J185)+COUNTIF($K$2:K184,J185)=1,MAX($BN$2:BP184,BN185)+1,""))</f>
      </c>
      <c r="BP185" s="129">
        <f>IF(K185="","",IF(COUNTIF($I$3:I185,K185)+COUNTIF($J$3:J185,K185)+COUNTIF($K$3:K185,K185)=1,MAX($BN$2:BP184,BN185,BO185)+1,""))</f>
      </c>
      <c r="BQ185" s="129">
        <f>IF(AY185=1,IFERROR(MID(Q185,FIND(" (",Q185)+2,FIND(")",Q185,FIND(" (",Q185))-FIND(" (",Q185)-2),"?"),"")</f>
      </c>
      <c r="BR185" s="129">
        <f>IF(BQ185="","",IF(COUNTIF($BQ$3:BQ185,BQ185)=1,MAX($BR$2:BR184)+1,""))</f>
      </c>
      <c r="BS185" s="129">
        <f>IF(AW185="","",COUNTIF($AW$3:AW185,"?*"))</f>
      </c>
      <c r="BT185" s="129">
        <f>IF(OR(AW185="",AI185=""),"",IF(COUNTIFS($AW$3:AW185,"?*",$AI$3:AI185,AI185)=1,MAX($BT$2:BT184)+1,""))</f>
      </c>
      <c r="BU185" s="129">
        <f>IF(AE185="",0,IF(OR(ISNUMBER(SEARCH("дубль",AE185)),ISNUMBER(SEARCH("ПЕРЕГРУЗ",AE185)),ISNUMBER(SEARCH("ЗАЩИЩ",AE185)),ISNUMBER(SEARCH("КАНАЛ",AE185)),ISNUMBER(SEARCH("без 30",AE185))),2,1))</f>
      </c>
      <c r="BV185" s="129">
        <f>IF(R185="","",COUNTIF($R$3:R185,"?*"))</f>
      </c>
      <c r="BW185" s="129">
        <f>IF(AY185&lt;&gt;1,0,IF(MAX(IFERROR(--VLOOKUP(R185,УГО_спр,5,FALSE),0),IFERROR(--VLOOKUP(AL185,УГО_спр,5,FALSE),0),IFERROR(--VLOOKUP(LEFT(AL185,2),УГО_спр,5,FALSE),0))&gt;0,MAX(IFERROR(--VLOOKUP(R185,УГО_спр,5,FALSE),0),IFERROR(--VLOOKUP(AL185,УГО_спр,5,FALSE),0),IFERROR(--VLOOKUP(LEFT(AL185,2),УГО_спр,5,FALSE),0)),IF(IFERROR(--LEFT(SUBSTITUTE(BQ185,"x","х"),FIND("х",SUBSTITUTE(BQ185,"x","х"))-1),3)&gt;3,Каталог!$S$9,1)))</f>
      </c>
      <c r="BX185" s="129">
        <f>IF(AY185&lt;&gt;1,0,MAX(0,IFERROR(--LEFT(SUBSTITUTE(BQ185,"x","х"),FIND("х",SUBSTITUTE(BQ185,"x","х"))-1),3)-3*BW185))</f>
      </c>
      <c r="BY185" s="129">
        <f>IF(R185="","",IFERROR(VLOOKUP(R185,УГО_спр,2,FALSE),IFERROR(VLOOKUP(AL185,УГО_спр,2,FALSE),IFERROR(VLOOKUP(LEFT(AL185,2),УГО_спр,2,FALSE),""))))</f>
      </c>
    </row>
    <row r="186" spans="1:64" x14ac:dyDescent="0.3">
      <c r="A186" s="135">
        <f>IF(Разбивка_по_щитам!F186=0,"",Разбивка_по_щитам!F186)</f>
      </c>
      <c r="B186" s="138">
        <f>IF(A186="","",Разбивка_по_щитам!C186)</f>
      </c>
      <c r="C186" s="138">
        <f t="shared" si="86"/>
      </c>
      <c r="D186" s="266"/>
      <c r="E186" s="266"/>
      <c r="F186" s="267"/>
      <c r="G186" s="145">
        <f t="shared" si="87"/>
        <v/>
      </c>
      <c r="H186" s="145">
        <f t="shared" si="88"/>
        <v/>
      </c>
      <c r="I186" s="266"/>
      <c r="J186" s="267"/>
      <c r="K186" s="267"/>
      <c r="L186" s="266"/>
      <c r="M186" s="147">
        <f t="shared" si="126"/>
        <v/>
      </c>
      <c r="N186" s="267"/>
      <c r="O186" s="147">
        <f t="shared" si="127"/>
        <v/>
      </c>
      <c r="P186" s="268">
        <f>IF(AY186=1,"XT"&amp;COUNTIFS($A$3:A186,A186,$AY$3:AY186,1),"")</f>
        <v/>
      </c>
      <c r="Q186" s="152">
        <f>IF(R186="","",IFERROR(SUBSTITUTE(Разбивка_по_щитам!P186,CHAR(10)," "),""))</f>
        <v/>
      </c>
      <c r="R186" s="153">
        <f>IF(OR(Разбивка_по_щитам!H186="",Разбивка_по_щитам!H186=0),"",Разбивка_по_щитам!H186)</f>
        <v/>
      </c>
      <c r="S186" s="154">
        <f>IF(R186="","",IFERROR(Разбивка_по_щитам!J186&amp;"",""))</f>
        <v/>
      </c>
      <c r="T186" s="155">
        <f>IF(R186="","",IFERROR(--Разбивка_по_щитам!L186,""))</f>
        <v/>
      </c>
      <c r="U186" s="155">
        <f>IF(R186="","",IFERROR(--Разбивка_по_щитам!K186,""))</f>
        <v/>
      </c>
      <c r="V186" s="138">
        <f>IF(R186="","",IFERROR(IF(Разбивка_по_щитам!M186=0,"",Разбивка_по_щитам!M186),""))</f>
        <v/>
      </c>
      <c r="W186" s="156">
        <f t="shared" si="89"/>
        <v/>
      </c>
      <c r="X186" s="157">
        <f t="shared" si="90"/>
        <v/>
      </c>
      <c r="Y186" s="266"/>
      <c r="Z186" s="158">
        <f t="shared" si="91"/>
        <v/>
      </c>
      <c r="AA186" s="160">
        <f t="shared" si="92"/>
        <v/>
      </c>
      <c r="AB186" s="160">
        <f>IF(R186="","",IFERROR(LOOKUP(INDEX(Справочная!$I$4:$I$19,MATCH(VLOOKUP(R186,Исходные_данные,22,FALSE),Справочная!$J$4:$J$19,0)+1),{6,10,16,20,25,32,40,50,63,80,100,125}),""))</f>
        <v/>
      </c>
      <c r="AC186" s="160">
        <f t="shared" si="93"/>
        <v/>
      </c>
      <c r="AD186" s="161">
        <f t="shared" si="94"/>
        <v/>
      </c>
      <c r="AE186" s="161">
        <f>IF(AND(R186="",G186=""),"",_xlfn.TEXTJOIN("; ",TRUE,IF(AND(R186&lt;&gt;"",V186=""),"нет фазы",""),IF(AND(R186&lt;&gt;"",N(T186)=0),"нет мощности",""),IF(AND(P186&lt;&gt;"",COUNTIFS($A$3:$A$1000,A186,$P$3:$P$1000,P186)&gt;1),"дубль клеммы "&amp;P186,""),IF(AND(W186&lt;&gt;"",W186&lt;&gt;"ok"),W186,""),IF(X186&lt;&gt;"",X186,""),IF(AND(ISNUMBER(SEARCH("(5х",Q186)),N(AK186)=1),"5 жил на 1 фазе",""),IF(AND(AL186="R",E186&lt;&gt;"",N(AS186)=0),"розетка без 30 мА",""),IF(IFERROR(_xlfn.NUMBERVALUE(MID(Q186,FIND("-",Q186,FIND("L=",Q186))+1,FIND("%",Q186)-FIND("-",Q186,FIND("L=",Q186))-1),","),0)&gt;4,"потери &gt; 4 %","")))</f>
      </c>
      <c r="AF186" s="129">
        <f>IF(E186&lt;&gt;"",COUNTIFS($A$3:A186,A186,$E$3:E186,"?*"),IF(OR(A186&lt;&gt;A185,Y186="вручную"),"",AF185))</f>
      </c>
      <c r="AG186" s="129">
        <f t="shared" si="95"/>
      </c>
      <c r="AH186" s="129">
        <f t="shared" si="96"/>
        <v/>
      </c>
      <c r="AI186" s="129">
        <f t="shared" si="97"/>
        <v/>
      </c>
      <c r="AJ186" s="129">
        <f t="shared" si="98"/>
        <v/>
      </c>
      <c r="AK186" s="129">
        <f t="shared" si="99"/>
        <v/>
      </c>
      <c r="AL186" s="129">
        <f t="shared" si="100"/>
        <v/>
      </c>
      <c r="AM186" s="129">
        <f t="shared" si="101"/>
      </c>
      <c r="AN186" s="129">
        <f t="shared" si="102"/>
      </c>
      <c r="AO186" s="129">
        <f t="shared" si="103"/>
        <v/>
      </c>
      <c r="AP186" s="129">
        <f t="shared" si="104"/>
        <v/>
      </c>
      <c r="AQ186" s="129">
        <f t="shared" si="105"/>
        <v/>
      </c>
      <c r="AR186" s="129">
        <f t="shared" si="106"/>
        <v/>
      </c>
      <c r="AS186" s="129">
        <f t="shared" si="107"/>
        <v/>
      </c>
      <c r="AT186" s="129">
        <f t="shared" si="108"/>
        <v/>
      </c>
      <c r="AU186" s="129">
        <f t="shared" si="109"/>
        <v/>
      </c>
      <c r="AV186" s="129">
        <f t="shared" si="110"/>
        <v/>
      </c>
      <c r="AW186" s="129">
        <f>IF(AV186="","",AV186&amp;"."&amp;COUNTIFS($A$3:A186,A186,$AV$3:AV186,AV186))</f>
        <v/>
      </c>
      <c r="AX186" s="129">
        <f t="shared" si="111"/>
        <v/>
      </c>
      <c r="AY186" s="129">
        <f>IF(N186="б/к",0,IF(OR(ISNUMBER(SEARCH("L=",Разбивка_по_щитам!P186)),N186="+",N186="="),1,0))</f>
      </c>
      <c r="AZ186" s="129">
        <f t="shared" si="112"/>
      </c>
      <c r="BA186" s="129">
        <f t="shared" si="113"/>
      </c>
      <c r="BB186" s="129">
        <f t="shared" si="114"/>
      </c>
      <c r="BD186" s="129">
        <f t="shared" si="115"/>
      </c>
      <c r="BE186" s="129">
        <f t="shared" si="116"/>
      </c>
      <c r="BF186" s="129">
        <f t="shared" si="117"/>
      </c>
      <c r="BG186" s="129">
        <f t="shared" si="118"/>
        <v/>
      </c>
      <c r="BH186" s="129">
        <f t="shared" si="119"/>
        <v/>
      </c>
      <c r="BI186" s="129">
        <f t="shared" si="120"/>
        <v/>
      </c>
      <c r="BJ186" s="129">
        <f t="shared" si="121"/>
        <v/>
      </c>
      <c r="BK186" s="129">
        <f>IF(R186="","",IF(OR(BY186="",BY186=0),"BOX",IFERROR(IF(VLOOKUP(BY186,УГО_блоки,3,FALSE)&amp;""&lt;&gt;"",VLOOKUP(BY186,УГО_блоки,3,FALSE),VLOOKUP(BY186,УГО_блоки,2,FALSE)),BY186)))</f>
      </c>
      <c r="BL186" s="129">
        <f t="shared" si="123"/>
      </c>
      <c r="BM186" s="129">
        <f>IF(H186="","",IF(COUNTIF($H$3:H186,H186)=1,MAX($BM$2:BM185)+1,""))</f>
      </c>
      <c r="BN186" s="129">
        <f>IF(I186="","",IF(COUNTIF($I$3:I186,I186)+COUNTIF($J$2:J185,I186)+COUNTIF($K$2:K185,I186)=1,MAX($BN$2:BP185)+1,""))</f>
      </c>
      <c r="BO186" s="129">
        <f>IF(J186="","",IF(COUNTIF($I$3:I186,J186)+COUNTIF($J$3:J186,J186)+COUNTIF($K$2:K185,J186)=1,MAX($BN$2:BP185,BN186)+1,""))</f>
      </c>
      <c r="BP186" s="129">
        <f>IF(K186="","",IF(COUNTIF($I$3:I186,K186)+COUNTIF($J$3:J186,K186)+COUNTIF($K$3:K186,K186)=1,MAX($BN$2:BP185,BN186,BO186)+1,""))</f>
      </c>
      <c r="BQ186" s="129">
        <f>IF(AY186=1,IFERROR(MID(Q186,FIND(" (",Q186)+2,FIND(")",Q186,FIND(" (",Q186))-FIND(" (",Q186)-2),"?"),"")</f>
      </c>
      <c r="BR186" s="129">
        <f>IF(BQ186="","",IF(COUNTIF($BQ$3:BQ186,BQ186)=1,MAX($BR$2:BR185)+1,""))</f>
      </c>
      <c r="BS186" s="129">
        <f>IF(AW186="","",COUNTIF($AW$3:AW186,"?*"))</f>
      </c>
      <c r="BT186" s="129">
        <f>IF(OR(AW186="",AI186=""),"",IF(COUNTIFS($AW$3:AW186,"?*",$AI$3:AI186,AI186)=1,MAX($BT$2:BT185)+1,""))</f>
      </c>
      <c r="BU186" s="129">
        <f>IF(AE186="",0,IF(OR(ISNUMBER(SEARCH("дубль",AE186)),ISNUMBER(SEARCH("ПЕРЕГРУЗ",AE186)),ISNUMBER(SEARCH("ЗАЩИЩ",AE186)),ISNUMBER(SEARCH("КАНАЛ",AE186)),ISNUMBER(SEARCH("без 30",AE186))),2,1))</f>
      </c>
      <c r="BV186" s="129">
        <f>IF(R186="","",COUNTIF($R$3:R186,"?*"))</f>
      </c>
      <c r="BW186" s="129">
        <f>IF(AY186&lt;&gt;1,0,IF(MAX(IFERROR(--VLOOKUP(R186,УГО_спр,5,FALSE),0),IFERROR(--VLOOKUP(AL186,УГО_спр,5,FALSE),0),IFERROR(--VLOOKUP(LEFT(AL186,2),УГО_спр,5,FALSE),0))&gt;0,MAX(IFERROR(--VLOOKUP(R186,УГО_спр,5,FALSE),0),IFERROR(--VLOOKUP(AL186,УГО_спр,5,FALSE),0),IFERROR(--VLOOKUP(LEFT(AL186,2),УГО_спр,5,FALSE),0)),IF(IFERROR(--LEFT(SUBSTITUTE(BQ186,"x","х"),FIND("х",SUBSTITUTE(BQ186,"x","х"))-1),3)&gt;3,Каталог!$S$9,1)))</f>
      </c>
      <c r="BX186" s="129">
        <f>IF(AY186&lt;&gt;1,0,MAX(0,IFERROR(--LEFT(SUBSTITUTE(BQ186,"x","х"),FIND("х",SUBSTITUTE(BQ186,"x","х"))-1),3)-3*BW186))</f>
      </c>
      <c r="BY186" s="129">
        <f>IF(R186="","",IFERROR(VLOOKUP(R186,УГО_спр,2,FALSE),IFERROR(VLOOKUP(AL186,УГО_спр,2,FALSE),IFERROR(VLOOKUP(LEFT(AL186,2),УГО_спр,2,FALSE),""))))</f>
      </c>
    </row>
    <row r="187" spans="1:64" x14ac:dyDescent="0.3">
      <c r="A187" s="135">
        <f>IF(Разбивка_по_щитам!F187=0,"",Разбивка_по_щитам!F187)</f>
      </c>
      <c r="B187" s="138">
        <f>IF(A187="","",Разбивка_по_щитам!C187)</f>
      </c>
      <c r="C187" s="138">
        <f t="shared" si="86"/>
      </c>
      <c r="D187" s="266"/>
      <c r="E187" s="266"/>
      <c r="F187" s="267"/>
      <c r="G187" s="145">
        <f t="shared" si="87"/>
        <v/>
      </c>
      <c r="H187" s="145">
        <f t="shared" si="88"/>
        <v/>
      </c>
      <c r="I187" s="266"/>
      <c r="J187" s="267"/>
      <c r="K187" s="267"/>
      <c r="L187" s="266"/>
      <c r="M187" s="147">
        <f t="shared" si="126"/>
        <v/>
      </c>
      <c r="N187" s="267"/>
      <c r="O187" s="147">
        <f t="shared" si="127"/>
        <v/>
      </c>
      <c r="P187" s="268">
        <f>IF(AY187=1,"XT"&amp;COUNTIFS($A$3:A187,A187,$AY$3:AY187,1),"")</f>
        <v/>
      </c>
      <c r="Q187" s="152">
        <f>IF(R187="","",IFERROR(SUBSTITUTE(Разбивка_по_щитам!P187,CHAR(10)," "),""))</f>
        <v/>
      </c>
      <c r="R187" s="153">
        <f>IF(OR(Разбивка_по_щитам!H187="",Разбивка_по_щитам!H187=0),"",Разбивка_по_щитам!H187)</f>
        <v/>
      </c>
      <c r="S187" s="154">
        <f>IF(R187="","",IFERROR(Разбивка_по_щитам!J187&amp;"",""))</f>
        <v/>
      </c>
      <c r="T187" s="155">
        <f>IF(R187="","",IFERROR(--Разбивка_по_щитам!L187,""))</f>
        <v/>
      </c>
      <c r="U187" s="155">
        <f>IF(R187="","",IFERROR(--Разбивка_по_щитам!K187,""))</f>
        <v/>
      </c>
      <c r="V187" s="138">
        <f>IF(R187="","",IFERROR(IF(Разбивка_по_щитам!M187=0,"",Разбивка_по_щитам!M187),""))</f>
        <v/>
      </c>
      <c r="W187" s="156">
        <f t="shared" si="89"/>
        <v/>
      </c>
      <c r="X187" s="157">
        <f t="shared" si="90"/>
        <v/>
      </c>
      <c r="Y187" s="266"/>
      <c r="Z187" s="158">
        <f t="shared" si="91"/>
        <v/>
      </c>
      <c r="AA187" s="160">
        <f t="shared" si="92"/>
        <v/>
      </c>
      <c r="AB187" s="160">
        <f>IF(R187="","",IFERROR(LOOKUP(INDEX(Справочная!$I$4:$I$19,MATCH(VLOOKUP(R187,Исходные_данные,22,FALSE),Справочная!$J$4:$J$19,0)+1),{6,10,16,20,25,32,40,50,63,80,100,125}),""))</f>
        <v/>
      </c>
      <c r="AC187" s="160">
        <f t="shared" si="93"/>
        <v/>
      </c>
      <c r="AD187" s="161">
        <f t="shared" si="94"/>
        <v/>
      </c>
      <c r="AE187" s="161">
        <f>IF(AND(R187="",G187=""),"",_xlfn.TEXTJOIN("; ",TRUE,IF(AND(R187&lt;&gt;"",V187=""),"нет фазы",""),IF(AND(R187&lt;&gt;"",N(T187)=0),"нет мощности",""),IF(AND(P187&lt;&gt;"",COUNTIFS($A$3:$A$1000,A187,$P$3:$P$1000,P187)&gt;1),"дубль клеммы "&amp;P187,""),IF(AND(W187&lt;&gt;"",W187&lt;&gt;"ok"),W187,""),IF(X187&lt;&gt;"",X187,""),IF(AND(ISNUMBER(SEARCH("(5х",Q187)),N(AK187)=1),"5 жил на 1 фазе",""),IF(AND(AL187="R",E187&lt;&gt;"",N(AS187)=0),"розетка без 30 мА",""),IF(IFERROR(_xlfn.NUMBERVALUE(MID(Q187,FIND("-",Q187,FIND("L=",Q187))+1,FIND("%",Q187)-FIND("-",Q187,FIND("L=",Q187))-1),","),0)&gt;4,"потери &gt; 4 %","")))</f>
      </c>
      <c r="AF187" s="129">
        <f>IF(E187&lt;&gt;"",COUNTIFS($A$3:A187,A187,$E$3:E187,"?*"),IF(OR(A187&lt;&gt;A186,Y187="вручную"),"",AF186))</f>
      </c>
      <c r="AG187" s="129">
        <f t="shared" si="95"/>
      </c>
      <c r="AH187" s="129">
        <f t="shared" si="96"/>
        <v/>
      </c>
      <c r="AI187" s="129">
        <f t="shared" si="97"/>
        <v/>
      </c>
      <c r="AJ187" s="129">
        <f t="shared" si="98"/>
        <v/>
      </c>
      <c r="AK187" s="129">
        <f t="shared" si="99"/>
        <v/>
      </c>
      <c r="AL187" s="129">
        <f t="shared" si="100"/>
        <v/>
      </c>
      <c r="AM187" s="129">
        <f t="shared" si="101"/>
      </c>
      <c r="AN187" s="129">
        <f t="shared" si="102"/>
      </c>
      <c r="AO187" s="129">
        <f t="shared" si="103"/>
        <v/>
      </c>
      <c r="AP187" s="129">
        <f t="shared" si="104"/>
        <v/>
      </c>
      <c r="AQ187" s="129">
        <f t="shared" si="105"/>
        <v/>
      </c>
      <c r="AR187" s="129">
        <f t="shared" si="106"/>
        <v/>
      </c>
      <c r="AS187" s="129">
        <f t="shared" si="107"/>
        <v/>
      </c>
      <c r="AT187" s="129">
        <f t="shared" si="108"/>
        <v/>
      </c>
      <c r="AU187" s="129">
        <f t="shared" si="109"/>
        <v/>
      </c>
      <c r="AV187" s="129">
        <f t="shared" si="110"/>
        <v/>
      </c>
      <c r="AW187" s="129">
        <f>IF(AV187="","",AV187&amp;"."&amp;COUNTIFS($A$3:A187,A187,$AV$3:AV187,AV187))</f>
        <v/>
      </c>
      <c r="AX187" s="129">
        <f t="shared" si="111"/>
        <v/>
      </c>
      <c r="AY187" s="129">
        <f>IF(N187="б/к",0,IF(OR(ISNUMBER(SEARCH("L=",Разбивка_по_щитам!P187)),N187="+",N187="="),1,0))</f>
      </c>
      <c r="AZ187" s="129">
        <f t="shared" si="112"/>
      </c>
      <c r="BA187" s="129">
        <f t="shared" si="113"/>
      </c>
      <c r="BB187" s="129">
        <f t="shared" si="114"/>
      </c>
      <c r="BD187" s="129">
        <f t="shared" si="115"/>
      </c>
      <c r="BE187" s="129">
        <f t="shared" si="116"/>
      </c>
      <c r="BF187" s="129">
        <f t="shared" si="117"/>
      </c>
      <c r="BG187" s="129">
        <f t="shared" si="118"/>
        <v/>
      </c>
      <c r="BH187" s="129">
        <f t="shared" si="119"/>
        <v/>
      </c>
      <c r="BI187" s="129">
        <f t="shared" si="120"/>
        <v/>
      </c>
      <c r="BJ187" s="129">
        <f t="shared" si="121"/>
        <v/>
      </c>
      <c r="BK187" s="129">
        <f>IF(R187="","",IF(OR(BY187="",BY187=0),"BOX",IFERROR(IF(VLOOKUP(BY187,УГО_блоки,3,FALSE)&amp;""&lt;&gt;"",VLOOKUP(BY187,УГО_блоки,3,FALSE),VLOOKUP(BY187,УГО_блоки,2,FALSE)),BY187)))</f>
      </c>
      <c r="BL187" s="129">
        <f t="shared" si="123"/>
      </c>
      <c r="BM187" s="129">
        <f>IF(H187="","",IF(COUNTIF($H$3:H187,H187)=1,MAX($BM$2:BM186)+1,""))</f>
      </c>
      <c r="BN187" s="129">
        <f>IF(I187="","",IF(COUNTIF($I$3:I187,I187)+COUNTIF($J$2:J186,I187)+COUNTIF($K$2:K186,I187)=1,MAX($BN$2:BP186)+1,""))</f>
      </c>
      <c r="BO187" s="129">
        <f>IF(J187="","",IF(COUNTIF($I$3:I187,J187)+COUNTIF($J$3:J187,J187)+COUNTIF($K$2:K186,J187)=1,MAX($BN$2:BP186,BN187)+1,""))</f>
      </c>
      <c r="BP187" s="129">
        <f>IF(K187="","",IF(COUNTIF($I$3:I187,K187)+COUNTIF($J$3:J187,K187)+COUNTIF($K$3:K187,K187)=1,MAX($BN$2:BP186,BN187,BO187)+1,""))</f>
      </c>
      <c r="BQ187" s="129">
        <f>IF(AY187=1,IFERROR(MID(Q187,FIND(" (",Q187)+2,FIND(")",Q187,FIND(" (",Q187))-FIND(" (",Q187)-2),"?"),"")</f>
      </c>
      <c r="BR187" s="129">
        <f>IF(BQ187="","",IF(COUNTIF($BQ$3:BQ187,BQ187)=1,MAX($BR$2:BR186)+1,""))</f>
      </c>
      <c r="BS187" s="129">
        <f>IF(AW187="","",COUNTIF($AW$3:AW187,"?*"))</f>
      </c>
      <c r="BT187" s="129">
        <f>IF(OR(AW187="",AI187=""),"",IF(COUNTIFS($AW$3:AW187,"?*",$AI$3:AI187,AI187)=1,MAX($BT$2:BT186)+1,""))</f>
      </c>
      <c r="BU187" s="129">
        <f>IF(AE187="",0,IF(OR(ISNUMBER(SEARCH("дубль",AE187)),ISNUMBER(SEARCH("ПЕРЕГРУЗ",AE187)),ISNUMBER(SEARCH("ЗАЩИЩ",AE187)),ISNUMBER(SEARCH("КАНАЛ",AE187)),ISNUMBER(SEARCH("без 30",AE187))),2,1))</f>
      </c>
      <c r="BV187" s="129">
        <f>IF(R187="","",COUNTIF($R$3:R187,"?*"))</f>
      </c>
      <c r="BW187" s="129">
        <f>IF(AY187&lt;&gt;1,0,IF(MAX(IFERROR(--VLOOKUP(R187,УГО_спр,5,FALSE),0),IFERROR(--VLOOKUP(AL187,УГО_спр,5,FALSE),0),IFERROR(--VLOOKUP(LEFT(AL187,2),УГО_спр,5,FALSE),0))&gt;0,MAX(IFERROR(--VLOOKUP(R187,УГО_спр,5,FALSE),0),IFERROR(--VLOOKUP(AL187,УГО_спр,5,FALSE),0),IFERROR(--VLOOKUP(LEFT(AL187,2),УГО_спр,5,FALSE),0)),IF(IFERROR(--LEFT(SUBSTITUTE(BQ187,"x","х"),FIND("х",SUBSTITUTE(BQ187,"x","х"))-1),3)&gt;3,Каталог!$S$9,1)))</f>
      </c>
      <c r="BX187" s="129">
        <f>IF(AY187&lt;&gt;1,0,MAX(0,IFERROR(--LEFT(SUBSTITUTE(BQ187,"x","х"),FIND("х",SUBSTITUTE(BQ187,"x","х"))-1),3)-3*BW187))</f>
      </c>
      <c r="BY187" s="129">
        <f>IF(R187="","",IFERROR(VLOOKUP(R187,УГО_спр,2,FALSE),IFERROR(VLOOKUP(AL187,УГО_спр,2,FALSE),IFERROR(VLOOKUP(LEFT(AL187,2),УГО_спр,2,FALSE),""))))</f>
      </c>
    </row>
    <row r="188" spans="1:64" x14ac:dyDescent="0.3">
      <c r="A188" s="135">
        <f>IF(Разбивка_по_щитам!F188=0,"",Разбивка_по_щитам!F188)</f>
      </c>
      <c r="B188" s="138">
        <f>IF(A188="","",Разбивка_по_щитам!C188)</f>
      </c>
      <c r="C188" s="138">
        <f t="shared" si="86"/>
      </c>
      <c r="D188" s="266"/>
      <c r="E188" s="266"/>
      <c r="F188" s="267"/>
      <c r="G188" s="145">
        <f t="shared" si="87"/>
        <v/>
      </c>
      <c r="H188" s="145">
        <f t="shared" si="88"/>
        <v/>
      </c>
      <c r="I188" s="266"/>
      <c r="J188" s="267"/>
      <c r="K188" s="267"/>
      <c r="L188" s="266"/>
      <c r="M188" s="147">
        <f t="shared" si="126"/>
        <v/>
      </c>
      <c r="N188" s="267"/>
      <c r="O188" s="147">
        <f t="shared" si="127"/>
        <v/>
      </c>
      <c r="P188" s="268">
        <f>IF(AY188=1,"XT"&amp;COUNTIFS($A$3:A188,A188,$AY$3:AY188,1),"")</f>
        <v/>
      </c>
      <c r="Q188" s="152">
        <f>IF(R188="","",IFERROR(SUBSTITUTE(Разбивка_по_щитам!P188,CHAR(10)," "),""))</f>
        <v/>
      </c>
      <c r="R188" s="153">
        <f>IF(OR(Разбивка_по_щитам!H188="",Разбивка_по_щитам!H188=0),"",Разбивка_по_щитам!H188)</f>
        <v/>
      </c>
      <c r="S188" s="154">
        <f>IF(R188="","",IFERROR(Разбивка_по_щитам!J188&amp;"",""))</f>
        <v/>
      </c>
      <c r="T188" s="155">
        <f>IF(R188="","",IFERROR(--Разбивка_по_щитам!L188,""))</f>
        <v/>
      </c>
      <c r="U188" s="155">
        <f>IF(R188="","",IFERROR(--Разбивка_по_щитам!K188,""))</f>
        <v/>
      </c>
      <c r="V188" s="138">
        <f>IF(R188="","",IFERROR(IF(Разбивка_по_щитам!M188=0,"",Разбивка_по_щитам!M188),""))</f>
        <v/>
      </c>
      <c r="W188" s="156">
        <f t="shared" si="89"/>
        <v/>
      </c>
      <c r="X188" s="157">
        <f t="shared" si="90"/>
        <v/>
      </c>
      <c r="Y188" s="266"/>
      <c r="Z188" s="158">
        <f t="shared" si="91"/>
        <v/>
      </c>
      <c r="AA188" s="160">
        <f t="shared" si="92"/>
        <v/>
      </c>
      <c r="AB188" s="160">
        <f>IF(R188="","",IFERROR(LOOKUP(INDEX(Справочная!$I$4:$I$19,MATCH(VLOOKUP(R188,Исходные_данные,22,FALSE),Справочная!$J$4:$J$19,0)+1),{6,10,16,20,25,32,40,50,63,80,100,125}),""))</f>
        <v/>
      </c>
      <c r="AC188" s="160">
        <f t="shared" si="93"/>
        <v/>
      </c>
      <c r="AD188" s="161">
        <f t="shared" si="94"/>
        <v/>
      </c>
      <c r="AE188" s="161">
        <f>IF(AND(R188="",G188=""),"",_xlfn.TEXTJOIN("; ",TRUE,IF(AND(R188&lt;&gt;"",V188=""),"нет фазы",""),IF(AND(R188&lt;&gt;"",N(T188)=0),"нет мощности",""),IF(AND(P188&lt;&gt;"",COUNTIFS($A$3:$A$1000,A188,$P$3:$P$1000,P188)&gt;1),"дубль клеммы "&amp;P188,""),IF(AND(W188&lt;&gt;"",W188&lt;&gt;"ok"),W188,""),IF(X188&lt;&gt;"",X188,""),IF(AND(ISNUMBER(SEARCH("(5х",Q188)),N(AK188)=1),"5 жил на 1 фазе",""),IF(AND(AL188="R",E188&lt;&gt;"",N(AS188)=0),"розетка без 30 мА",""),IF(IFERROR(_xlfn.NUMBERVALUE(MID(Q188,FIND("-",Q188,FIND("L=",Q188))+1,FIND("%",Q188)-FIND("-",Q188,FIND("L=",Q188))-1),","),0)&gt;4,"потери &gt; 4 %","")))</f>
      </c>
      <c r="AF188" s="129">
        <f>IF(E188&lt;&gt;"",COUNTIFS($A$3:A188,A188,$E$3:E188,"?*"),IF(OR(A188&lt;&gt;A187,Y188="вручную"),"",AF187))</f>
      </c>
      <c r="AG188" s="129">
        <f t="shared" si="95"/>
      </c>
      <c r="AH188" s="129">
        <f t="shared" si="96"/>
        <v/>
      </c>
      <c r="AI188" s="129">
        <f t="shared" si="97"/>
        <v/>
      </c>
      <c r="AJ188" s="129">
        <f t="shared" si="98"/>
        <v/>
      </c>
      <c r="AK188" s="129">
        <f t="shared" si="99"/>
        <v/>
      </c>
      <c r="AL188" s="129">
        <f t="shared" si="100"/>
        <v/>
      </c>
      <c r="AM188" s="129">
        <f t="shared" si="101"/>
      </c>
      <c r="AN188" s="129">
        <f t="shared" si="102"/>
      </c>
      <c r="AO188" s="129">
        <f t="shared" si="103"/>
        <v/>
      </c>
      <c r="AP188" s="129">
        <f t="shared" si="104"/>
        <v/>
      </c>
      <c r="AQ188" s="129">
        <f t="shared" si="105"/>
        <v/>
      </c>
      <c r="AR188" s="129">
        <f t="shared" si="106"/>
        <v/>
      </c>
      <c r="AS188" s="129">
        <f t="shared" si="107"/>
        <v/>
      </c>
      <c r="AT188" s="129">
        <f t="shared" si="108"/>
        <v/>
      </c>
      <c r="AU188" s="129">
        <f t="shared" si="109"/>
        <v/>
      </c>
      <c r="AV188" s="129">
        <f t="shared" si="110"/>
        <v/>
      </c>
      <c r="AW188" s="129">
        <f>IF(AV188="","",AV188&amp;"."&amp;COUNTIFS($A$3:A188,A188,$AV$3:AV188,AV188))</f>
        <v/>
      </c>
      <c r="AX188" s="129">
        <f t="shared" si="111"/>
        <v/>
      </c>
      <c r="AY188" s="129">
        <f>IF(N188="б/к",0,IF(OR(ISNUMBER(SEARCH("L=",Разбивка_по_щитам!P188)),N188="+",N188="="),1,0))</f>
      </c>
      <c r="AZ188" s="129">
        <f t="shared" si="112"/>
      </c>
      <c r="BA188" s="129">
        <f t="shared" si="113"/>
      </c>
      <c r="BB188" s="129">
        <f t="shared" si="114"/>
      </c>
      <c r="BD188" s="129">
        <f t="shared" si="115"/>
      </c>
      <c r="BE188" s="129">
        <f t="shared" si="116"/>
      </c>
      <c r="BF188" s="129">
        <f t="shared" si="117"/>
      </c>
      <c r="BG188" s="129">
        <f t="shared" si="118"/>
        <v/>
      </c>
      <c r="BH188" s="129">
        <f t="shared" si="119"/>
        <v/>
      </c>
      <c r="BI188" s="129">
        <f t="shared" si="120"/>
        <v/>
      </c>
      <c r="BJ188" s="129">
        <f t="shared" si="121"/>
        <v/>
      </c>
      <c r="BK188" s="129">
        <f>IF(R188="","",IF(OR(BY188="",BY188=0),"BOX",IFERROR(IF(VLOOKUP(BY188,УГО_блоки,3,FALSE)&amp;""&lt;&gt;"",VLOOKUP(BY188,УГО_блоки,3,FALSE),VLOOKUP(BY188,УГО_блоки,2,FALSE)),BY188)))</f>
      </c>
      <c r="BL188" s="129">
        <f t="shared" si="123"/>
      </c>
      <c r="BM188" s="129">
        <f>IF(H188="","",IF(COUNTIF($H$3:H188,H188)=1,MAX($BM$2:BM187)+1,""))</f>
      </c>
      <c r="BN188" s="129">
        <f>IF(I188="","",IF(COUNTIF($I$3:I188,I188)+COUNTIF($J$2:J187,I188)+COUNTIF($K$2:K187,I188)=1,MAX($BN$2:BP187)+1,""))</f>
      </c>
      <c r="BO188" s="129">
        <f>IF(J188="","",IF(COUNTIF($I$3:I188,J188)+COUNTIF($J$3:J188,J188)+COUNTIF($K$2:K187,J188)=1,MAX($BN$2:BP187,BN188)+1,""))</f>
      </c>
      <c r="BP188" s="129">
        <f>IF(K188="","",IF(COUNTIF($I$3:I188,K188)+COUNTIF($J$3:J188,K188)+COUNTIF($K$3:K188,K188)=1,MAX($BN$2:BP187,BN188,BO188)+1,""))</f>
      </c>
      <c r="BQ188" s="129">
        <f>IF(AY188=1,IFERROR(MID(Q188,FIND(" (",Q188)+2,FIND(")",Q188,FIND(" (",Q188))-FIND(" (",Q188)-2),"?"),"")</f>
      </c>
      <c r="BR188" s="129">
        <f>IF(BQ188="","",IF(COUNTIF($BQ$3:BQ188,BQ188)=1,MAX($BR$2:BR187)+1,""))</f>
      </c>
      <c r="BS188" s="129">
        <f>IF(AW188="","",COUNTIF($AW$3:AW188,"?*"))</f>
      </c>
      <c r="BT188" s="129">
        <f>IF(OR(AW188="",AI188=""),"",IF(COUNTIFS($AW$3:AW188,"?*",$AI$3:AI188,AI188)=1,MAX($BT$2:BT187)+1,""))</f>
      </c>
      <c r="BU188" s="129">
        <f>IF(AE188="",0,IF(OR(ISNUMBER(SEARCH("дубль",AE188)),ISNUMBER(SEARCH("ПЕРЕГРУЗ",AE188)),ISNUMBER(SEARCH("ЗАЩИЩ",AE188)),ISNUMBER(SEARCH("КАНАЛ",AE188)),ISNUMBER(SEARCH("без 30",AE188))),2,1))</f>
      </c>
      <c r="BV188" s="129">
        <f>IF(R188="","",COUNTIF($R$3:R188,"?*"))</f>
      </c>
      <c r="BW188" s="129">
        <f>IF(AY188&lt;&gt;1,0,IF(MAX(IFERROR(--VLOOKUP(R188,УГО_спр,5,FALSE),0),IFERROR(--VLOOKUP(AL188,УГО_спр,5,FALSE),0),IFERROR(--VLOOKUP(LEFT(AL188,2),УГО_спр,5,FALSE),0))&gt;0,MAX(IFERROR(--VLOOKUP(R188,УГО_спр,5,FALSE),0),IFERROR(--VLOOKUP(AL188,УГО_спр,5,FALSE),0),IFERROR(--VLOOKUP(LEFT(AL188,2),УГО_спр,5,FALSE),0)),IF(IFERROR(--LEFT(SUBSTITUTE(BQ188,"x","х"),FIND("х",SUBSTITUTE(BQ188,"x","х"))-1),3)&gt;3,Каталог!$S$9,1)))</f>
      </c>
      <c r="BX188" s="129">
        <f>IF(AY188&lt;&gt;1,0,MAX(0,IFERROR(--LEFT(SUBSTITUTE(BQ188,"x","х"),FIND("х",SUBSTITUTE(BQ188,"x","х"))-1),3)-3*BW188))</f>
      </c>
      <c r="BY188" s="129">
        <f>IF(R188="","",IFERROR(VLOOKUP(R188,УГО_спр,2,FALSE),IFERROR(VLOOKUP(AL188,УГО_спр,2,FALSE),IFERROR(VLOOKUP(LEFT(AL188,2),УГО_спр,2,FALSE),""))))</f>
      </c>
    </row>
    <row r="189" spans="1:64" x14ac:dyDescent="0.3">
      <c r="A189" s="135">
        <f>IF(Разбивка_по_щитам!F189=0,"",Разбивка_по_щитам!F189)</f>
      </c>
      <c r="B189" s="138">
        <f>IF(A189="","",Разбивка_по_щитам!C189)</f>
      </c>
      <c r="C189" s="138">
        <f t="shared" si="86"/>
      </c>
      <c r="D189" s="266"/>
      <c r="E189" s="266"/>
      <c r="F189" s="267"/>
      <c r="G189" s="145">
        <f t="shared" si="87"/>
        <v/>
      </c>
      <c r="H189" s="145">
        <f t="shared" si="88"/>
        <v/>
      </c>
      <c r="I189" s="266"/>
      <c r="J189" s="267"/>
      <c r="K189" s="267"/>
      <c r="L189" s="266"/>
      <c r="M189" s="147">
        <f t="shared" si="126"/>
        <v/>
      </c>
      <c r="N189" s="267"/>
      <c r="O189" s="147">
        <f t="shared" si="127"/>
        <v/>
      </c>
      <c r="P189" s="268">
        <f>IF(AY189=1,"XT"&amp;COUNTIFS($A$3:A189,A189,$AY$3:AY189,1),"")</f>
        <v/>
      </c>
      <c r="Q189" s="152">
        <f>IF(R189="","",IFERROR(SUBSTITUTE(Разбивка_по_щитам!P189,CHAR(10)," "),""))</f>
        <v/>
      </c>
      <c r="R189" s="153">
        <f>IF(OR(Разбивка_по_щитам!H189="",Разбивка_по_щитам!H189=0),"",Разбивка_по_щитам!H189)</f>
        <v/>
      </c>
      <c r="S189" s="154">
        <f>IF(R189="","",IFERROR(Разбивка_по_щитам!J189&amp;"",""))</f>
        <v/>
      </c>
      <c r="T189" s="155">
        <f>IF(R189="","",IFERROR(--Разбивка_по_щитам!L189,""))</f>
        <v/>
      </c>
      <c r="U189" s="155">
        <f>IF(R189="","",IFERROR(--Разбивка_по_щитам!K189,""))</f>
        <v/>
      </c>
      <c r="V189" s="138">
        <f>IF(R189="","",IFERROR(IF(Разбивка_по_щитам!M189=0,"",Разбивка_по_щитам!M189),""))</f>
        <v/>
      </c>
      <c r="W189" s="156">
        <f t="shared" si="89"/>
        <v/>
      </c>
      <c r="X189" s="157">
        <f t="shared" si="90"/>
        <v/>
      </c>
      <c r="Y189" s="266"/>
      <c r="Z189" s="158">
        <f t="shared" si="91"/>
        <v/>
      </c>
      <c r="AA189" s="160">
        <f t="shared" si="92"/>
        <v/>
      </c>
      <c r="AB189" s="160">
        <f>IF(R189="","",IFERROR(LOOKUP(INDEX(Справочная!$I$4:$I$19,MATCH(VLOOKUP(R189,Исходные_данные,22,FALSE),Справочная!$J$4:$J$19,0)+1),{6,10,16,20,25,32,40,50,63,80,100,125}),""))</f>
        <v/>
      </c>
      <c r="AC189" s="160">
        <f t="shared" si="93"/>
        <v/>
      </c>
      <c r="AD189" s="161">
        <f t="shared" si="94"/>
        <v/>
      </c>
      <c r="AE189" s="161">
        <f>IF(AND(R189="",G189=""),"",_xlfn.TEXTJOIN("; ",TRUE,IF(AND(R189&lt;&gt;"",V189=""),"нет фазы",""),IF(AND(R189&lt;&gt;"",N(T189)=0),"нет мощности",""),IF(AND(P189&lt;&gt;"",COUNTIFS($A$3:$A$1000,A189,$P$3:$P$1000,P189)&gt;1),"дубль клеммы "&amp;P189,""),IF(AND(W189&lt;&gt;"",W189&lt;&gt;"ok"),W189,""),IF(X189&lt;&gt;"",X189,""),IF(AND(ISNUMBER(SEARCH("(5х",Q189)),N(AK189)=1),"5 жил на 1 фазе",""),IF(AND(AL189="R",E189&lt;&gt;"",N(AS189)=0),"розетка без 30 мА",""),IF(IFERROR(_xlfn.NUMBERVALUE(MID(Q189,FIND("-",Q189,FIND("L=",Q189))+1,FIND("%",Q189)-FIND("-",Q189,FIND("L=",Q189))-1),","),0)&gt;4,"потери &gt; 4 %","")))</f>
      </c>
      <c r="AF189" s="129">
        <f>IF(E189&lt;&gt;"",COUNTIFS($A$3:A189,A189,$E$3:E189,"?*"),IF(OR(A189&lt;&gt;A188,Y189="вручную"),"",AF188))</f>
      </c>
      <c r="AG189" s="129">
        <f t="shared" si="95"/>
      </c>
      <c r="AH189" s="129">
        <f t="shared" si="96"/>
        <v/>
      </c>
      <c r="AI189" s="129">
        <f t="shared" si="97"/>
        <v/>
      </c>
      <c r="AJ189" s="129">
        <f t="shared" si="98"/>
        <v/>
      </c>
      <c r="AK189" s="129">
        <f t="shared" si="99"/>
        <v/>
      </c>
      <c r="AL189" s="129">
        <f t="shared" si="100"/>
        <v/>
      </c>
      <c r="AM189" s="129">
        <f t="shared" si="101"/>
      </c>
      <c r="AN189" s="129">
        <f t="shared" si="102"/>
      </c>
      <c r="AO189" s="129">
        <f t="shared" si="103"/>
        <v/>
      </c>
      <c r="AP189" s="129">
        <f t="shared" si="104"/>
        <v/>
      </c>
      <c r="AQ189" s="129">
        <f t="shared" si="105"/>
        <v/>
      </c>
      <c r="AR189" s="129">
        <f t="shared" si="106"/>
        <v/>
      </c>
      <c r="AS189" s="129">
        <f t="shared" si="107"/>
        <v/>
      </c>
      <c r="AT189" s="129">
        <f t="shared" si="108"/>
        <v/>
      </c>
      <c r="AU189" s="129">
        <f t="shared" si="109"/>
        <v/>
      </c>
      <c r="AV189" s="129">
        <f t="shared" si="110"/>
        <v/>
      </c>
      <c r="AW189" s="129">
        <f>IF(AV189="","",AV189&amp;"."&amp;COUNTIFS($A$3:A189,A189,$AV$3:AV189,AV189))</f>
        <v/>
      </c>
      <c r="AX189" s="129">
        <f t="shared" si="111"/>
        <v/>
      </c>
      <c r="AY189" s="129">
        <f>IF(N189="б/к",0,IF(OR(ISNUMBER(SEARCH("L=",Разбивка_по_щитам!P189)),N189="+",N189="="),1,0))</f>
      </c>
      <c r="AZ189" s="129">
        <f t="shared" si="112"/>
      </c>
      <c r="BA189" s="129">
        <f t="shared" si="113"/>
      </c>
      <c r="BB189" s="129">
        <f t="shared" si="114"/>
      </c>
      <c r="BD189" s="129">
        <f t="shared" si="115"/>
      </c>
      <c r="BE189" s="129">
        <f t="shared" si="116"/>
      </c>
      <c r="BF189" s="129">
        <f t="shared" si="117"/>
      </c>
      <c r="BG189" s="129">
        <f t="shared" si="118"/>
        <v/>
      </c>
      <c r="BH189" s="129">
        <f t="shared" si="119"/>
        <v/>
      </c>
      <c r="BI189" s="129">
        <f t="shared" si="120"/>
        <v/>
      </c>
      <c r="BJ189" s="129">
        <f t="shared" si="121"/>
        <v/>
      </c>
      <c r="BK189" s="129">
        <f>IF(R189="","",IF(OR(BY189="",BY189=0),"BOX",IFERROR(IF(VLOOKUP(BY189,УГО_блоки,3,FALSE)&amp;""&lt;&gt;"",VLOOKUP(BY189,УГО_блоки,3,FALSE),VLOOKUP(BY189,УГО_блоки,2,FALSE)),BY189)))</f>
      </c>
      <c r="BL189" s="129">
        <f t="shared" si="123"/>
      </c>
      <c r="BM189" s="129">
        <f>IF(H189="","",IF(COUNTIF($H$3:H189,H189)=1,MAX($BM$2:BM188)+1,""))</f>
      </c>
      <c r="BN189" s="129">
        <f>IF(I189="","",IF(COUNTIF($I$3:I189,I189)+COUNTIF($J$2:J188,I189)+COUNTIF($K$2:K188,I189)=1,MAX($BN$2:BP188)+1,""))</f>
      </c>
      <c r="BO189" s="129">
        <f>IF(J189="","",IF(COUNTIF($I$3:I189,J189)+COUNTIF($J$3:J189,J189)+COUNTIF($K$2:K188,J189)=1,MAX($BN$2:BP188,BN189)+1,""))</f>
      </c>
      <c r="BP189" s="129">
        <f>IF(K189="","",IF(COUNTIF($I$3:I189,K189)+COUNTIF($J$3:J189,K189)+COUNTIF($K$3:K189,K189)=1,MAX($BN$2:BP188,BN189,BO189)+1,""))</f>
      </c>
      <c r="BQ189" s="129">
        <f>IF(AY189=1,IFERROR(MID(Q189,FIND(" (",Q189)+2,FIND(")",Q189,FIND(" (",Q189))-FIND(" (",Q189)-2),"?"),"")</f>
      </c>
      <c r="BR189" s="129">
        <f>IF(BQ189="","",IF(COUNTIF($BQ$3:BQ189,BQ189)=1,MAX($BR$2:BR188)+1,""))</f>
      </c>
      <c r="BS189" s="129">
        <f>IF(AW189="","",COUNTIF($AW$3:AW189,"?*"))</f>
      </c>
      <c r="BT189" s="129">
        <f>IF(OR(AW189="",AI189=""),"",IF(COUNTIFS($AW$3:AW189,"?*",$AI$3:AI189,AI189)=1,MAX($BT$2:BT188)+1,""))</f>
      </c>
      <c r="BU189" s="129">
        <f>IF(AE189="",0,IF(OR(ISNUMBER(SEARCH("дубль",AE189)),ISNUMBER(SEARCH("ПЕРЕГРУЗ",AE189)),ISNUMBER(SEARCH("ЗАЩИЩ",AE189)),ISNUMBER(SEARCH("КАНАЛ",AE189)),ISNUMBER(SEARCH("без 30",AE189))),2,1))</f>
      </c>
      <c r="BV189" s="129">
        <f>IF(R189="","",COUNTIF($R$3:R189,"?*"))</f>
      </c>
      <c r="BW189" s="129">
        <f>IF(AY189&lt;&gt;1,0,IF(MAX(IFERROR(--VLOOKUP(R189,УГО_спр,5,FALSE),0),IFERROR(--VLOOKUP(AL189,УГО_спр,5,FALSE),0),IFERROR(--VLOOKUP(LEFT(AL189,2),УГО_спр,5,FALSE),0))&gt;0,MAX(IFERROR(--VLOOKUP(R189,УГО_спр,5,FALSE),0),IFERROR(--VLOOKUP(AL189,УГО_спр,5,FALSE),0),IFERROR(--VLOOKUP(LEFT(AL189,2),УГО_спр,5,FALSE),0)),IF(IFERROR(--LEFT(SUBSTITUTE(BQ189,"x","х"),FIND("х",SUBSTITUTE(BQ189,"x","х"))-1),3)&gt;3,Каталог!$S$9,1)))</f>
      </c>
      <c r="BX189" s="129">
        <f>IF(AY189&lt;&gt;1,0,MAX(0,IFERROR(--LEFT(SUBSTITUTE(BQ189,"x","х"),FIND("х",SUBSTITUTE(BQ189,"x","х"))-1),3)-3*BW189))</f>
      </c>
      <c r="BY189" s="129">
        <f>IF(R189="","",IFERROR(VLOOKUP(R189,УГО_спр,2,FALSE),IFERROR(VLOOKUP(AL189,УГО_спр,2,FALSE),IFERROR(VLOOKUP(LEFT(AL189,2),УГО_спр,2,FALSE),""))))</f>
      </c>
    </row>
    <row r="190" spans="1:64" x14ac:dyDescent="0.3">
      <c r="A190" s="135">
        <f>IF(Разбивка_по_щитам!F190=0,"",Разбивка_по_щитам!F190)</f>
      </c>
      <c r="B190" s="138">
        <f>IF(A190="","",Разбивка_по_щитам!C190)</f>
      </c>
      <c r="C190" s="138">
        <f t="shared" si="86"/>
      </c>
      <c r="D190" s="266"/>
      <c r="E190" s="266"/>
      <c r="F190" s="267"/>
      <c r="G190" s="145">
        <f t="shared" si="87"/>
        <v/>
      </c>
      <c r="H190" s="145">
        <f t="shared" si="88"/>
        <v/>
      </c>
      <c r="I190" s="266"/>
      <c r="J190" s="267"/>
      <c r="K190" s="267"/>
      <c r="L190" s="266"/>
      <c r="M190" s="147">
        <f t="shared" si="126"/>
        <v/>
      </c>
      <c r="N190" s="267"/>
      <c r="O190" s="147">
        <f t="shared" si="127"/>
        <v/>
      </c>
      <c r="P190" s="268">
        <f>IF(AY190=1,"XT"&amp;COUNTIFS($A$3:A190,A190,$AY$3:AY190,1),"")</f>
        <v/>
      </c>
      <c r="Q190" s="152">
        <f>IF(R190="","",IFERROR(SUBSTITUTE(Разбивка_по_щитам!P190,CHAR(10)," "),""))</f>
        <v/>
      </c>
      <c r="R190" s="153">
        <f>IF(OR(Разбивка_по_щитам!H190="",Разбивка_по_щитам!H190=0),"",Разбивка_по_щитам!H190)</f>
        <v/>
      </c>
      <c r="S190" s="154">
        <f>IF(R190="","",IFERROR(Разбивка_по_щитам!J190&amp;"",""))</f>
        <v/>
      </c>
      <c r="T190" s="155">
        <f>IF(R190="","",IFERROR(--Разбивка_по_щитам!L190,""))</f>
        <v/>
      </c>
      <c r="U190" s="155">
        <f>IF(R190="","",IFERROR(--Разбивка_по_щитам!K190,""))</f>
        <v/>
      </c>
      <c r="V190" s="138">
        <f>IF(R190="","",IFERROR(IF(Разбивка_по_щитам!M190=0,"",Разбивка_по_щитам!M190),""))</f>
        <v/>
      </c>
      <c r="W190" s="156">
        <f t="shared" si="89"/>
        <v/>
      </c>
      <c r="X190" s="157">
        <f t="shared" si="90"/>
        <v/>
      </c>
      <c r="Y190" s="266"/>
      <c r="Z190" s="158">
        <f t="shared" si="91"/>
        <v/>
      </c>
      <c r="AA190" s="160">
        <f t="shared" si="92"/>
        <v/>
      </c>
      <c r="AB190" s="160">
        <f>IF(R190="","",IFERROR(LOOKUP(INDEX(Справочная!$I$4:$I$19,MATCH(VLOOKUP(R190,Исходные_данные,22,FALSE),Справочная!$J$4:$J$19,0)+1),{6,10,16,20,25,32,40,50,63,80,100,125}),""))</f>
        <v/>
      </c>
      <c r="AC190" s="160">
        <f t="shared" si="93"/>
        <v/>
      </c>
      <c r="AD190" s="161">
        <f t="shared" si="94"/>
        <v/>
      </c>
      <c r="AE190" s="161">
        <f>IF(AND(R190="",G190=""),"",_xlfn.TEXTJOIN("; ",TRUE,IF(AND(R190&lt;&gt;"",V190=""),"нет фазы",""),IF(AND(R190&lt;&gt;"",N(T190)=0),"нет мощности",""),IF(AND(P190&lt;&gt;"",COUNTIFS($A$3:$A$1000,A190,$P$3:$P$1000,P190)&gt;1),"дубль клеммы "&amp;P190,""),IF(AND(W190&lt;&gt;"",W190&lt;&gt;"ok"),W190,""),IF(X190&lt;&gt;"",X190,""),IF(AND(ISNUMBER(SEARCH("(5х",Q190)),N(AK190)=1),"5 жил на 1 фазе",""),IF(AND(AL190="R",E190&lt;&gt;"",N(AS190)=0),"розетка без 30 мА",""),IF(IFERROR(_xlfn.NUMBERVALUE(MID(Q190,FIND("-",Q190,FIND("L=",Q190))+1,FIND("%",Q190)-FIND("-",Q190,FIND("L=",Q190))-1),","),0)&gt;4,"потери &gt; 4 %","")))</f>
      </c>
      <c r="AF190" s="129">
        <f>IF(E190&lt;&gt;"",COUNTIFS($A$3:A190,A190,$E$3:E190,"?*"),IF(OR(A190&lt;&gt;A189,Y190="вручную"),"",AF189))</f>
      </c>
      <c r="AG190" s="129">
        <f t="shared" si="95"/>
      </c>
      <c r="AH190" s="129">
        <f t="shared" si="96"/>
        <v/>
      </c>
      <c r="AI190" s="129">
        <f t="shared" si="97"/>
        <v/>
      </c>
      <c r="AJ190" s="129">
        <f t="shared" si="98"/>
        <v/>
      </c>
      <c r="AK190" s="129">
        <f t="shared" si="99"/>
        <v/>
      </c>
      <c r="AL190" s="129">
        <f t="shared" si="100"/>
        <v/>
      </c>
      <c r="AM190" s="129">
        <f t="shared" si="101"/>
      </c>
      <c r="AN190" s="129">
        <f t="shared" si="102"/>
      </c>
      <c r="AO190" s="129">
        <f t="shared" si="103"/>
        <v/>
      </c>
      <c r="AP190" s="129">
        <f t="shared" si="104"/>
        <v/>
      </c>
      <c r="AQ190" s="129">
        <f t="shared" si="105"/>
        <v/>
      </c>
      <c r="AR190" s="129">
        <f t="shared" si="106"/>
        <v/>
      </c>
      <c r="AS190" s="129">
        <f t="shared" si="107"/>
        <v/>
      </c>
      <c r="AT190" s="129">
        <f t="shared" si="108"/>
        <v/>
      </c>
      <c r="AU190" s="129">
        <f t="shared" si="109"/>
        <v/>
      </c>
      <c r="AV190" s="129">
        <f t="shared" si="110"/>
        <v/>
      </c>
      <c r="AW190" s="129">
        <f>IF(AV190="","",AV190&amp;"."&amp;COUNTIFS($A$3:A190,A190,$AV$3:AV190,AV190))</f>
        <v/>
      </c>
      <c r="AX190" s="129">
        <f t="shared" si="111"/>
        <v/>
      </c>
      <c r="AY190" s="129">
        <f>IF(N190="б/к",0,IF(OR(ISNUMBER(SEARCH("L=",Разбивка_по_щитам!P190)),N190="+",N190="="),1,0))</f>
      </c>
      <c r="AZ190" s="129">
        <f t="shared" si="112"/>
      </c>
      <c r="BA190" s="129">
        <f t="shared" si="113"/>
      </c>
      <c r="BB190" s="129">
        <f t="shared" si="114"/>
      </c>
      <c r="BD190" s="129">
        <f t="shared" si="115"/>
      </c>
      <c r="BE190" s="129">
        <f t="shared" si="116"/>
      </c>
      <c r="BF190" s="129">
        <f t="shared" si="117"/>
      </c>
      <c r="BG190" s="129">
        <f t="shared" si="118"/>
        <v/>
      </c>
      <c r="BH190" s="129">
        <f t="shared" si="119"/>
        <v/>
      </c>
      <c r="BI190" s="129">
        <f t="shared" si="120"/>
        <v/>
      </c>
      <c r="BJ190" s="129">
        <f t="shared" si="121"/>
        <v/>
      </c>
      <c r="BK190" s="129">
        <f>IF(R190="","",IF(OR(BY190="",BY190=0),"BOX",IFERROR(IF(VLOOKUP(BY190,УГО_блоки,3,FALSE)&amp;""&lt;&gt;"",VLOOKUP(BY190,УГО_блоки,3,FALSE),VLOOKUP(BY190,УГО_блоки,2,FALSE)),BY190)))</f>
      </c>
      <c r="BL190" s="129">
        <f t="shared" si="123"/>
      </c>
      <c r="BM190" s="129">
        <f>IF(H190="","",IF(COUNTIF($H$3:H190,H190)=1,MAX($BM$2:BM189)+1,""))</f>
      </c>
      <c r="BN190" s="129">
        <f>IF(I190="","",IF(COUNTIF($I$3:I190,I190)+COUNTIF($J$2:J189,I190)+COUNTIF($K$2:K189,I190)=1,MAX($BN$2:BP189)+1,""))</f>
      </c>
      <c r="BO190" s="129">
        <f>IF(J190="","",IF(COUNTIF($I$3:I190,J190)+COUNTIF($J$3:J190,J190)+COUNTIF($K$2:K189,J190)=1,MAX($BN$2:BP189,BN190)+1,""))</f>
      </c>
      <c r="BP190" s="129">
        <f>IF(K190="","",IF(COUNTIF($I$3:I190,K190)+COUNTIF($J$3:J190,K190)+COUNTIF($K$3:K190,K190)=1,MAX($BN$2:BP189,BN190,BO190)+1,""))</f>
      </c>
      <c r="BQ190" s="129">
        <f>IF(AY190=1,IFERROR(MID(Q190,FIND(" (",Q190)+2,FIND(")",Q190,FIND(" (",Q190))-FIND(" (",Q190)-2),"?"),"")</f>
      </c>
      <c r="BR190" s="129">
        <f>IF(BQ190="","",IF(COUNTIF($BQ$3:BQ190,BQ190)=1,MAX($BR$2:BR189)+1,""))</f>
      </c>
      <c r="BS190" s="129">
        <f>IF(AW190="","",COUNTIF($AW$3:AW190,"?*"))</f>
      </c>
      <c r="BT190" s="129">
        <f>IF(OR(AW190="",AI190=""),"",IF(COUNTIFS($AW$3:AW190,"?*",$AI$3:AI190,AI190)=1,MAX($BT$2:BT189)+1,""))</f>
      </c>
      <c r="BU190" s="129">
        <f>IF(AE190="",0,IF(OR(ISNUMBER(SEARCH("дубль",AE190)),ISNUMBER(SEARCH("ПЕРЕГРУЗ",AE190)),ISNUMBER(SEARCH("ЗАЩИЩ",AE190)),ISNUMBER(SEARCH("КАНАЛ",AE190)),ISNUMBER(SEARCH("без 30",AE190))),2,1))</f>
      </c>
      <c r="BV190" s="129">
        <f>IF(R190="","",COUNTIF($R$3:R190,"?*"))</f>
      </c>
      <c r="BW190" s="129">
        <f>IF(AY190&lt;&gt;1,0,IF(MAX(IFERROR(--VLOOKUP(R190,УГО_спр,5,FALSE),0),IFERROR(--VLOOKUP(AL190,УГО_спр,5,FALSE),0),IFERROR(--VLOOKUP(LEFT(AL190,2),УГО_спр,5,FALSE),0))&gt;0,MAX(IFERROR(--VLOOKUP(R190,УГО_спр,5,FALSE),0),IFERROR(--VLOOKUP(AL190,УГО_спр,5,FALSE),0),IFERROR(--VLOOKUP(LEFT(AL190,2),УГО_спр,5,FALSE),0)),IF(IFERROR(--LEFT(SUBSTITUTE(BQ190,"x","х"),FIND("х",SUBSTITUTE(BQ190,"x","х"))-1),3)&gt;3,Каталог!$S$9,1)))</f>
      </c>
      <c r="BX190" s="129">
        <f>IF(AY190&lt;&gt;1,0,MAX(0,IFERROR(--LEFT(SUBSTITUTE(BQ190,"x","х"),FIND("х",SUBSTITUTE(BQ190,"x","х"))-1),3)-3*BW190))</f>
      </c>
      <c r="BY190" s="129">
        <f>IF(R190="","",IFERROR(VLOOKUP(R190,УГО_спр,2,FALSE),IFERROR(VLOOKUP(AL190,УГО_спр,2,FALSE),IFERROR(VLOOKUP(LEFT(AL190,2),УГО_спр,2,FALSE),""))))</f>
      </c>
    </row>
    <row r="191" spans="1:64" x14ac:dyDescent="0.3">
      <c r="A191" s="135">
        <f>IF(Разбивка_по_щитам!F191=0,"",Разбивка_по_щитам!F191)</f>
      </c>
      <c r="B191" s="138">
        <f>IF(A191="","",Разбивка_по_щитам!C191)</f>
      </c>
      <c r="C191" s="138">
        <f t="shared" si="86"/>
      </c>
      <c r="D191" s="266"/>
      <c r="E191" s="266"/>
      <c r="F191" s="267"/>
      <c r="G191" s="145">
        <f t="shared" si="87"/>
        <v/>
      </c>
      <c r="H191" s="145">
        <f t="shared" si="88"/>
        <v/>
      </c>
      <c r="I191" s="266"/>
      <c r="J191" s="267"/>
      <c r="K191" s="267"/>
      <c r="L191" s="266"/>
      <c r="M191" s="147">
        <f t="shared" si="126"/>
        <v/>
      </c>
      <c r="N191" s="267"/>
      <c r="O191" s="147">
        <f t="shared" si="127"/>
        <v/>
      </c>
      <c r="P191" s="268">
        <f>IF(AY191=1,"XT"&amp;COUNTIFS($A$3:A191,A191,$AY$3:AY191,1),"")</f>
        <v/>
      </c>
      <c r="Q191" s="152">
        <f>IF(R191="","",IFERROR(SUBSTITUTE(Разбивка_по_щитам!P191,CHAR(10)," "),""))</f>
        <v/>
      </c>
      <c r="R191" s="153">
        <f>IF(OR(Разбивка_по_щитам!H191="",Разбивка_по_щитам!H191=0),"",Разбивка_по_щитам!H191)</f>
        <v/>
      </c>
      <c r="S191" s="154">
        <f>IF(R191="","",IFERROR(Разбивка_по_щитам!J191&amp;"",""))</f>
        <v/>
      </c>
      <c r="T191" s="155">
        <f>IF(R191="","",IFERROR(--Разбивка_по_щитам!L191,""))</f>
        <v/>
      </c>
      <c r="U191" s="155">
        <f>IF(R191="","",IFERROR(--Разбивка_по_щитам!K191,""))</f>
        <v/>
      </c>
      <c r="V191" s="138">
        <f>IF(R191="","",IFERROR(IF(Разбивка_по_щитам!M191=0,"",Разбивка_по_щитам!M191),""))</f>
        <v/>
      </c>
      <c r="W191" s="156">
        <f t="shared" si="89"/>
        <v/>
      </c>
      <c r="X191" s="157">
        <f t="shared" si="90"/>
        <v/>
      </c>
      <c r="Y191" s="266"/>
      <c r="Z191" s="158">
        <f t="shared" si="91"/>
        <v/>
      </c>
      <c r="AA191" s="160">
        <f t="shared" si="92"/>
        <v/>
      </c>
      <c r="AB191" s="160">
        <f>IF(R191="","",IFERROR(LOOKUP(INDEX(Справочная!$I$4:$I$19,MATCH(VLOOKUP(R191,Исходные_данные,22,FALSE),Справочная!$J$4:$J$19,0)+1),{6,10,16,20,25,32,40,50,63,80,100,125}),""))</f>
        <v/>
      </c>
      <c r="AC191" s="160">
        <f t="shared" si="93"/>
        <v/>
      </c>
      <c r="AD191" s="161">
        <f t="shared" si="94"/>
        <v/>
      </c>
      <c r="AE191" s="161">
        <f>IF(AND(R191="",G191=""),"",_xlfn.TEXTJOIN("; ",TRUE,IF(AND(R191&lt;&gt;"",V191=""),"нет фазы",""),IF(AND(R191&lt;&gt;"",N(T191)=0),"нет мощности",""),IF(AND(P191&lt;&gt;"",COUNTIFS($A$3:$A$1000,A191,$P$3:$P$1000,P191)&gt;1),"дубль клеммы "&amp;P191,""),IF(AND(W191&lt;&gt;"",W191&lt;&gt;"ok"),W191,""),IF(X191&lt;&gt;"",X191,""),IF(AND(ISNUMBER(SEARCH("(5х",Q191)),N(AK191)=1),"5 жил на 1 фазе",""),IF(AND(AL191="R",E191&lt;&gt;"",N(AS191)=0),"розетка без 30 мА",""),IF(IFERROR(_xlfn.NUMBERVALUE(MID(Q191,FIND("-",Q191,FIND("L=",Q191))+1,FIND("%",Q191)-FIND("-",Q191,FIND("L=",Q191))-1),","),0)&gt;4,"потери &gt; 4 %","")))</f>
      </c>
      <c r="AF191" s="129">
        <f>IF(E191&lt;&gt;"",COUNTIFS($A$3:A191,A191,$E$3:E191,"?*"),IF(OR(A191&lt;&gt;A190,Y191="вручную"),"",AF190))</f>
      </c>
      <c r="AG191" s="129">
        <f t="shared" si="95"/>
      </c>
      <c r="AH191" s="129">
        <f t="shared" si="96"/>
        <v/>
      </c>
      <c r="AI191" s="129">
        <f t="shared" si="97"/>
        <v/>
      </c>
      <c r="AJ191" s="129">
        <f t="shared" si="98"/>
        <v/>
      </c>
      <c r="AK191" s="129">
        <f t="shared" si="99"/>
        <v/>
      </c>
      <c r="AL191" s="129">
        <f t="shared" si="100"/>
        <v/>
      </c>
      <c r="AM191" s="129">
        <f t="shared" si="101"/>
      </c>
      <c r="AN191" s="129">
        <f t="shared" si="102"/>
      </c>
      <c r="AO191" s="129">
        <f t="shared" si="103"/>
        <v/>
      </c>
      <c r="AP191" s="129">
        <f t="shared" si="104"/>
        <v/>
      </c>
      <c r="AQ191" s="129">
        <f t="shared" si="105"/>
        <v/>
      </c>
      <c r="AR191" s="129">
        <f t="shared" si="106"/>
        <v/>
      </c>
      <c r="AS191" s="129">
        <f t="shared" si="107"/>
        <v/>
      </c>
      <c r="AT191" s="129">
        <f t="shared" si="108"/>
        <v/>
      </c>
      <c r="AU191" s="129">
        <f t="shared" si="109"/>
        <v/>
      </c>
      <c r="AV191" s="129">
        <f t="shared" si="110"/>
        <v/>
      </c>
      <c r="AW191" s="129">
        <f>IF(AV191="","",AV191&amp;"."&amp;COUNTIFS($A$3:A191,A191,$AV$3:AV191,AV191))</f>
        <v/>
      </c>
      <c r="AX191" s="129">
        <f t="shared" si="111"/>
        <v/>
      </c>
      <c r="AY191" s="129">
        <f>IF(N191="б/к",0,IF(OR(ISNUMBER(SEARCH("L=",Разбивка_по_щитам!P191)),N191="+",N191="="),1,0))</f>
      </c>
      <c r="AZ191" s="129">
        <f t="shared" si="112"/>
      </c>
      <c r="BA191" s="129">
        <f t="shared" si="113"/>
      </c>
      <c r="BB191" s="129">
        <f t="shared" si="114"/>
      </c>
      <c r="BD191" s="129">
        <f t="shared" si="115"/>
      </c>
      <c r="BE191" s="129">
        <f t="shared" si="116"/>
      </c>
      <c r="BF191" s="129">
        <f t="shared" si="117"/>
      </c>
      <c r="BG191" s="129">
        <f t="shared" si="118"/>
        <v/>
      </c>
      <c r="BH191" s="129">
        <f t="shared" si="119"/>
        <v/>
      </c>
      <c r="BI191" s="129">
        <f t="shared" si="120"/>
        <v/>
      </c>
      <c r="BJ191" s="129">
        <f t="shared" si="121"/>
        <v/>
      </c>
      <c r="BK191" s="129">
        <f>IF(R191="","",IF(OR(BY191="",BY191=0),"BOX",IFERROR(IF(VLOOKUP(BY191,УГО_блоки,3,FALSE)&amp;""&lt;&gt;"",VLOOKUP(BY191,УГО_блоки,3,FALSE),VLOOKUP(BY191,УГО_блоки,2,FALSE)),BY191)))</f>
      </c>
      <c r="BL191" s="129">
        <f t="shared" si="123"/>
      </c>
      <c r="BM191" s="129">
        <f>IF(H191="","",IF(COUNTIF($H$3:H191,H191)=1,MAX($BM$2:BM190)+1,""))</f>
      </c>
      <c r="BN191" s="129">
        <f>IF(I191="","",IF(COUNTIF($I$3:I191,I191)+COUNTIF($J$2:J190,I191)+COUNTIF($K$2:K190,I191)=1,MAX($BN$2:BP190)+1,""))</f>
      </c>
      <c r="BO191" s="129">
        <f>IF(J191="","",IF(COUNTIF($I$3:I191,J191)+COUNTIF($J$3:J191,J191)+COUNTIF($K$2:K190,J191)=1,MAX($BN$2:BP190,BN191)+1,""))</f>
      </c>
      <c r="BP191" s="129">
        <f>IF(K191="","",IF(COUNTIF($I$3:I191,K191)+COUNTIF($J$3:J191,K191)+COUNTIF($K$3:K191,K191)=1,MAX($BN$2:BP190,BN191,BO191)+1,""))</f>
      </c>
      <c r="BQ191" s="129">
        <f>IF(AY191=1,IFERROR(MID(Q191,FIND(" (",Q191)+2,FIND(")",Q191,FIND(" (",Q191))-FIND(" (",Q191)-2),"?"),"")</f>
      </c>
      <c r="BR191" s="129">
        <f>IF(BQ191="","",IF(COUNTIF($BQ$3:BQ191,BQ191)=1,MAX($BR$2:BR190)+1,""))</f>
      </c>
      <c r="BS191" s="129">
        <f>IF(AW191="","",COUNTIF($AW$3:AW191,"?*"))</f>
      </c>
      <c r="BT191" s="129">
        <f>IF(OR(AW191="",AI191=""),"",IF(COUNTIFS($AW$3:AW191,"?*",$AI$3:AI191,AI191)=1,MAX($BT$2:BT190)+1,""))</f>
      </c>
      <c r="BU191" s="129">
        <f>IF(AE191="",0,IF(OR(ISNUMBER(SEARCH("дубль",AE191)),ISNUMBER(SEARCH("ПЕРЕГРУЗ",AE191)),ISNUMBER(SEARCH("ЗАЩИЩ",AE191)),ISNUMBER(SEARCH("КАНАЛ",AE191)),ISNUMBER(SEARCH("без 30",AE191))),2,1))</f>
      </c>
      <c r="BV191" s="129">
        <f>IF(R191="","",COUNTIF($R$3:R191,"?*"))</f>
      </c>
      <c r="BW191" s="129">
        <f>IF(AY191&lt;&gt;1,0,IF(MAX(IFERROR(--VLOOKUP(R191,УГО_спр,5,FALSE),0),IFERROR(--VLOOKUP(AL191,УГО_спр,5,FALSE),0),IFERROR(--VLOOKUP(LEFT(AL191,2),УГО_спр,5,FALSE),0))&gt;0,MAX(IFERROR(--VLOOKUP(R191,УГО_спр,5,FALSE),0),IFERROR(--VLOOKUP(AL191,УГО_спр,5,FALSE),0),IFERROR(--VLOOKUP(LEFT(AL191,2),УГО_спр,5,FALSE),0)),IF(IFERROR(--LEFT(SUBSTITUTE(BQ191,"x","х"),FIND("х",SUBSTITUTE(BQ191,"x","х"))-1),3)&gt;3,Каталог!$S$9,1)))</f>
      </c>
      <c r="BX191" s="129">
        <f>IF(AY191&lt;&gt;1,0,MAX(0,IFERROR(--LEFT(SUBSTITUTE(BQ191,"x","х"),FIND("х",SUBSTITUTE(BQ191,"x","х"))-1),3)-3*BW191))</f>
      </c>
      <c r="BY191" s="129">
        <f>IF(R191="","",IFERROR(VLOOKUP(R191,УГО_спр,2,FALSE),IFERROR(VLOOKUP(AL191,УГО_спр,2,FALSE),IFERROR(VLOOKUP(LEFT(AL191,2),УГО_спр,2,FALSE),""))))</f>
      </c>
    </row>
    <row r="192" spans="1:64" x14ac:dyDescent="0.3">
      <c r="A192" s="135">
        <f>IF(Разбивка_по_щитам!F192=0,"",Разбивка_по_щитам!F192)</f>
      </c>
      <c r="B192" s="138">
        <f>IF(A192="","",Разбивка_по_щитам!C192)</f>
      </c>
      <c r="C192" s="138">
        <f t="shared" si="86"/>
      </c>
      <c r="D192" s="266"/>
      <c r="E192" s="266"/>
      <c r="F192" s="267"/>
      <c r="G192" s="145">
        <f t="shared" si="87"/>
        <v/>
      </c>
      <c r="H192" s="145">
        <f t="shared" si="88"/>
        <v/>
      </c>
      <c r="I192" s="266"/>
      <c r="J192" s="267"/>
      <c r="K192" s="267"/>
      <c r="L192" s="266"/>
      <c r="M192" s="147">
        <f t="shared" si="126"/>
        <v/>
      </c>
      <c r="N192" s="267"/>
      <c r="O192" s="147">
        <f t="shared" si="127"/>
        <v/>
      </c>
      <c r="P192" s="268">
        <f>IF(AY192=1,"XT"&amp;COUNTIFS($A$3:A192,A192,$AY$3:AY192,1),"")</f>
        <v/>
      </c>
      <c r="Q192" s="152">
        <f>IF(R192="","",IFERROR(SUBSTITUTE(Разбивка_по_щитам!P192,CHAR(10)," "),""))</f>
        <v/>
      </c>
      <c r="R192" s="153">
        <f>IF(OR(Разбивка_по_щитам!H192="",Разбивка_по_щитам!H192=0),"",Разбивка_по_щитам!H192)</f>
        <v/>
      </c>
      <c r="S192" s="154">
        <f>IF(R192="","",IFERROR(Разбивка_по_щитам!J192&amp;"",""))</f>
        <v/>
      </c>
      <c r="T192" s="155">
        <f>IF(R192="","",IFERROR(--Разбивка_по_щитам!L192,""))</f>
        <v/>
      </c>
      <c r="U192" s="155">
        <f>IF(R192="","",IFERROR(--Разбивка_по_щитам!K192,""))</f>
        <v/>
      </c>
      <c r="V192" s="138">
        <f>IF(R192="","",IFERROR(IF(Разбивка_по_щитам!M192=0,"",Разбивка_по_щитам!M192),""))</f>
        <v/>
      </c>
      <c r="W192" s="156">
        <f t="shared" si="89"/>
        <v/>
      </c>
      <c r="X192" s="157">
        <f t="shared" si="90"/>
        <v/>
      </c>
      <c r="Y192" s="266"/>
      <c r="Z192" s="158">
        <f t="shared" si="91"/>
        <v/>
      </c>
      <c r="AA192" s="160">
        <f t="shared" si="92"/>
        <v/>
      </c>
      <c r="AB192" s="160">
        <f>IF(R192="","",IFERROR(LOOKUP(INDEX(Справочная!$I$4:$I$19,MATCH(VLOOKUP(R192,Исходные_данные,22,FALSE),Справочная!$J$4:$J$19,0)+1),{6,10,16,20,25,32,40,50,63,80,100,125}),""))</f>
        <v/>
      </c>
      <c r="AC192" s="160">
        <f t="shared" si="93"/>
        <v/>
      </c>
      <c r="AD192" s="161">
        <f t="shared" si="94"/>
        <v/>
      </c>
      <c r="AE192" s="161">
        <f>IF(AND(R192="",G192=""),"",_xlfn.TEXTJOIN("; ",TRUE,IF(AND(R192&lt;&gt;"",V192=""),"нет фазы",""),IF(AND(R192&lt;&gt;"",N(T192)=0),"нет мощности",""),IF(AND(P192&lt;&gt;"",COUNTIFS($A$3:$A$1000,A192,$P$3:$P$1000,P192)&gt;1),"дубль клеммы "&amp;P192,""),IF(AND(W192&lt;&gt;"",W192&lt;&gt;"ok"),W192,""),IF(X192&lt;&gt;"",X192,""),IF(AND(ISNUMBER(SEARCH("(5х",Q192)),N(AK192)=1),"5 жил на 1 фазе",""),IF(AND(AL192="R",E192&lt;&gt;"",N(AS192)=0),"розетка без 30 мА",""),IF(IFERROR(_xlfn.NUMBERVALUE(MID(Q192,FIND("-",Q192,FIND("L=",Q192))+1,FIND("%",Q192)-FIND("-",Q192,FIND("L=",Q192))-1),","),0)&gt;4,"потери &gt; 4 %","")))</f>
      </c>
      <c r="AF192" s="129">
        <f>IF(E192&lt;&gt;"",COUNTIFS($A$3:A192,A192,$E$3:E192,"?*"),IF(OR(A192&lt;&gt;A191,Y192="вручную"),"",AF191))</f>
      </c>
      <c r="AG192" s="129">
        <f t="shared" si="95"/>
      </c>
      <c r="AH192" s="129">
        <f t="shared" si="96"/>
        <v/>
      </c>
      <c r="AI192" s="129">
        <f t="shared" si="97"/>
        <v/>
      </c>
      <c r="AJ192" s="129">
        <f t="shared" si="98"/>
        <v/>
      </c>
      <c r="AK192" s="129">
        <f t="shared" si="99"/>
        <v/>
      </c>
      <c r="AL192" s="129">
        <f t="shared" si="100"/>
        <v/>
      </c>
      <c r="AM192" s="129">
        <f t="shared" si="101"/>
      </c>
      <c r="AN192" s="129">
        <f t="shared" si="102"/>
      </c>
      <c r="AO192" s="129">
        <f t="shared" si="103"/>
        <v/>
      </c>
      <c r="AP192" s="129">
        <f t="shared" si="104"/>
        <v/>
      </c>
      <c r="AQ192" s="129">
        <f t="shared" si="105"/>
        <v/>
      </c>
      <c r="AR192" s="129">
        <f t="shared" si="106"/>
        <v/>
      </c>
      <c r="AS192" s="129">
        <f t="shared" si="107"/>
        <v/>
      </c>
      <c r="AT192" s="129">
        <f t="shared" si="108"/>
        <v/>
      </c>
      <c r="AU192" s="129">
        <f t="shared" si="109"/>
        <v/>
      </c>
      <c r="AV192" s="129">
        <f t="shared" si="110"/>
        <v/>
      </c>
      <c r="AW192" s="129">
        <f>IF(AV192="","",AV192&amp;"."&amp;COUNTIFS($A$3:A192,A192,$AV$3:AV192,AV192))</f>
        <v/>
      </c>
      <c r="AX192" s="129">
        <f t="shared" si="111"/>
        <v/>
      </c>
      <c r="AY192" s="129">
        <f>IF(N192="б/к",0,IF(OR(ISNUMBER(SEARCH("L=",Разбивка_по_щитам!P192)),N192="+",N192="="),1,0))</f>
      </c>
      <c r="AZ192" s="129">
        <f t="shared" si="112"/>
      </c>
      <c r="BA192" s="129">
        <f t="shared" si="113"/>
      </c>
      <c r="BB192" s="129">
        <f t="shared" si="114"/>
      </c>
      <c r="BD192" s="129">
        <f t="shared" si="115"/>
      </c>
      <c r="BE192" s="129">
        <f t="shared" si="116"/>
      </c>
      <c r="BF192" s="129">
        <f t="shared" si="117"/>
      </c>
      <c r="BG192" s="129">
        <f t="shared" si="118"/>
        <v/>
      </c>
      <c r="BH192" s="129">
        <f t="shared" si="119"/>
        <v/>
      </c>
      <c r="BI192" s="129">
        <f t="shared" si="120"/>
        <v/>
      </c>
      <c r="BJ192" s="129">
        <f t="shared" si="121"/>
        <v/>
      </c>
      <c r="BK192" s="129">
        <f>IF(R192="","",IF(OR(BY192="",BY192=0),"BOX",IFERROR(IF(VLOOKUP(BY192,УГО_блоки,3,FALSE)&amp;""&lt;&gt;"",VLOOKUP(BY192,УГО_блоки,3,FALSE),VLOOKUP(BY192,УГО_блоки,2,FALSE)),BY192)))</f>
      </c>
      <c r="BL192" s="129">
        <f t="shared" si="123"/>
      </c>
      <c r="BM192" s="129">
        <f>IF(H192="","",IF(COUNTIF($H$3:H192,H192)=1,MAX($BM$2:BM191)+1,""))</f>
      </c>
      <c r="BN192" s="129">
        <f>IF(I192="","",IF(COUNTIF($I$3:I192,I192)+COUNTIF($J$2:J191,I192)+COUNTIF($K$2:K191,I192)=1,MAX($BN$2:BP191)+1,""))</f>
      </c>
      <c r="BO192" s="129">
        <f>IF(J192="","",IF(COUNTIF($I$3:I192,J192)+COUNTIF($J$3:J192,J192)+COUNTIF($K$2:K191,J192)=1,MAX($BN$2:BP191,BN192)+1,""))</f>
      </c>
      <c r="BP192" s="129">
        <f>IF(K192="","",IF(COUNTIF($I$3:I192,K192)+COUNTIF($J$3:J192,K192)+COUNTIF($K$3:K192,K192)=1,MAX($BN$2:BP191,BN192,BO192)+1,""))</f>
      </c>
      <c r="BQ192" s="129">
        <f>IF(AY192=1,IFERROR(MID(Q192,FIND(" (",Q192)+2,FIND(")",Q192,FIND(" (",Q192))-FIND(" (",Q192)-2),"?"),"")</f>
      </c>
      <c r="BR192" s="129">
        <f>IF(BQ192="","",IF(COUNTIF($BQ$3:BQ192,BQ192)=1,MAX($BR$2:BR191)+1,""))</f>
      </c>
      <c r="BS192" s="129">
        <f>IF(AW192="","",COUNTIF($AW$3:AW192,"?*"))</f>
      </c>
      <c r="BT192" s="129">
        <f>IF(OR(AW192="",AI192=""),"",IF(COUNTIFS($AW$3:AW192,"?*",$AI$3:AI192,AI192)=1,MAX($BT$2:BT191)+1,""))</f>
      </c>
      <c r="BU192" s="129">
        <f>IF(AE192="",0,IF(OR(ISNUMBER(SEARCH("дубль",AE192)),ISNUMBER(SEARCH("ПЕРЕГРУЗ",AE192)),ISNUMBER(SEARCH("ЗАЩИЩ",AE192)),ISNUMBER(SEARCH("КАНАЛ",AE192)),ISNUMBER(SEARCH("без 30",AE192))),2,1))</f>
      </c>
      <c r="BV192" s="129">
        <f>IF(R192="","",COUNTIF($R$3:R192,"?*"))</f>
      </c>
      <c r="BW192" s="129">
        <f>IF(AY192&lt;&gt;1,0,IF(MAX(IFERROR(--VLOOKUP(R192,УГО_спр,5,FALSE),0),IFERROR(--VLOOKUP(AL192,УГО_спр,5,FALSE),0),IFERROR(--VLOOKUP(LEFT(AL192,2),УГО_спр,5,FALSE),0))&gt;0,MAX(IFERROR(--VLOOKUP(R192,УГО_спр,5,FALSE),0),IFERROR(--VLOOKUP(AL192,УГО_спр,5,FALSE),0),IFERROR(--VLOOKUP(LEFT(AL192,2),УГО_спр,5,FALSE),0)),IF(IFERROR(--LEFT(SUBSTITUTE(BQ192,"x","х"),FIND("х",SUBSTITUTE(BQ192,"x","х"))-1),3)&gt;3,Каталог!$S$9,1)))</f>
      </c>
      <c r="BX192" s="129">
        <f>IF(AY192&lt;&gt;1,0,MAX(0,IFERROR(--LEFT(SUBSTITUTE(BQ192,"x","х"),FIND("х",SUBSTITUTE(BQ192,"x","х"))-1),3)-3*BW192))</f>
      </c>
      <c r="BY192" s="129">
        <f>IF(R192="","",IFERROR(VLOOKUP(R192,УГО_спр,2,FALSE),IFERROR(VLOOKUP(AL192,УГО_спр,2,FALSE),IFERROR(VLOOKUP(LEFT(AL192,2),УГО_спр,2,FALSE),""))))</f>
      </c>
    </row>
    <row r="193" spans="1:64" x14ac:dyDescent="0.3">
      <c r="A193" s="135">
        <f>IF(Разбивка_по_щитам!F193=0,"",Разбивка_по_щитам!F193)</f>
      </c>
      <c r="B193" s="138">
        <f>IF(A193="","",Разбивка_по_щитам!C193)</f>
      </c>
      <c r="C193" s="138">
        <f t="shared" si="86"/>
      </c>
      <c r="D193" s="266"/>
      <c r="E193" s="266"/>
      <c r="F193" s="267"/>
      <c r="G193" s="145">
        <f t="shared" si="87"/>
        <v/>
      </c>
      <c r="H193" s="145">
        <f t="shared" si="88"/>
        <v/>
      </c>
      <c r="I193" s="266"/>
      <c r="J193" s="267"/>
      <c r="K193" s="267"/>
      <c r="L193" s="266"/>
      <c r="M193" s="147">
        <f t="shared" si="126"/>
        <v/>
      </c>
      <c r="N193" s="267"/>
      <c r="O193" s="147">
        <f t="shared" si="127"/>
        <v/>
      </c>
      <c r="P193" s="268">
        <f>IF(AY193=1,"XT"&amp;COUNTIFS($A$3:A193,A193,$AY$3:AY193,1),"")</f>
        <v/>
      </c>
      <c r="Q193" s="152">
        <f>IF(R193="","",IFERROR(SUBSTITUTE(Разбивка_по_щитам!P193,CHAR(10)," "),""))</f>
        <v/>
      </c>
      <c r="R193" s="153">
        <f>IF(OR(Разбивка_по_щитам!H193="",Разбивка_по_щитам!H193=0),"",Разбивка_по_щитам!H193)</f>
        <v/>
      </c>
      <c r="S193" s="154">
        <f>IF(R193="","",IFERROR(Разбивка_по_щитам!J193&amp;"",""))</f>
        <v/>
      </c>
      <c r="T193" s="155">
        <f>IF(R193="","",IFERROR(--Разбивка_по_щитам!L193,""))</f>
        <v/>
      </c>
      <c r="U193" s="155">
        <f>IF(R193="","",IFERROR(--Разбивка_по_щитам!K193,""))</f>
        <v/>
      </c>
      <c r="V193" s="138">
        <f>IF(R193="","",IFERROR(IF(Разбивка_по_щитам!M193=0,"",Разбивка_по_щитам!M193),""))</f>
        <v/>
      </c>
      <c r="W193" s="156">
        <f t="shared" si="89"/>
        <v/>
      </c>
      <c r="X193" s="157">
        <f t="shared" si="90"/>
        <v/>
      </c>
      <c r="Y193" s="266"/>
      <c r="Z193" s="158">
        <f t="shared" si="91"/>
        <v/>
      </c>
      <c r="AA193" s="160">
        <f t="shared" si="92"/>
        <v/>
      </c>
      <c r="AB193" s="160">
        <f>IF(R193="","",IFERROR(LOOKUP(INDEX(Справочная!$I$4:$I$19,MATCH(VLOOKUP(R193,Исходные_данные,22,FALSE),Справочная!$J$4:$J$19,0)+1),{6,10,16,20,25,32,40,50,63,80,100,125}),""))</f>
        <v/>
      </c>
      <c r="AC193" s="160">
        <f t="shared" si="93"/>
        <v/>
      </c>
      <c r="AD193" s="161">
        <f t="shared" si="94"/>
        <v/>
      </c>
      <c r="AE193" s="161">
        <f>IF(AND(R193="",G193=""),"",_xlfn.TEXTJOIN("; ",TRUE,IF(AND(R193&lt;&gt;"",V193=""),"нет фазы",""),IF(AND(R193&lt;&gt;"",N(T193)=0),"нет мощности",""),IF(AND(P193&lt;&gt;"",COUNTIFS($A$3:$A$1000,A193,$P$3:$P$1000,P193)&gt;1),"дубль клеммы "&amp;P193,""),IF(AND(W193&lt;&gt;"",W193&lt;&gt;"ok"),W193,""),IF(X193&lt;&gt;"",X193,""),IF(AND(ISNUMBER(SEARCH("(5х",Q193)),N(AK193)=1),"5 жил на 1 фазе",""),IF(AND(AL193="R",E193&lt;&gt;"",N(AS193)=0),"розетка без 30 мА",""),IF(IFERROR(_xlfn.NUMBERVALUE(MID(Q193,FIND("-",Q193,FIND("L=",Q193))+1,FIND("%",Q193)-FIND("-",Q193,FIND("L=",Q193))-1),","),0)&gt;4,"потери &gt; 4 %","")))</f>
      </c>
      <c r="AF193" s="129">
        <f>IF(E193&lt;&gt;"",COUNTIFS($A$3:A193,A193,$E$3:E193,"?*"),IF(OR(A193&lt;&gt;A192,Y193="вручную"),"",AF192))</f>
      </c>
      <c r="AG193" s="129">
        <f t="shared" si="95"/>
      </c>
      <c r="AH193" s="129">
        <f t="shared" si="96"/>
        <v/>
      </c>
      <c r="AI193" s="129">
        <f t="shared" si="97"/>
        <v/>
      </c>
      <c r="AJ193" s="129">
        <f t="shared" si="98"/>
        <v/>
      </c>
      <c r="AK193" s="129">
        <f t="shared" si="99"/>
        <v/>
      </c>
      <c r="AL193" s="129">
        <f t="shared" si="100"/>
        <v/>
      </c>
      <c r="AM193" s="129">
        <f t="shared" si="101"/>
      </c>
      <c r="AN193" s="129">
        <f t="shared" si="102"/>
      </c>
      <c r="AO193" s="129">
        <f t="shared" si="103"/>
        <v/>
      </c>
      <c r="AP193" s="129">
        <f t="shared" si="104"/>
        <v/>
      </c>
      <c r="AQ193" s="129">
        <f t="shared" si="105"/>
        <v/>
      </c>
      <c r="AR193" s="129">
        <f t="shared" si="106"/>
        <v/>
      </c>
      <c r="AS193" s="129">
        <f t="shared" si="107"/>
        <v/>
      </c>
      <c r="AT193" s="129">
        <f t="shared" si="108"/>
        <v/>
      </c>
      <c r="AU193" s="129">
        <f t="shared" si="109"/>
        <v/>
      </c>
      <c r="AV193" s="129">
        <f t="shared" si="110"/>
        <v/>
      </c>
      <c r="AW193" s="129">
        <f>IF(AV193="","",AV193&amp;"."&amp;COUNTIFS($A$3:A193,A193,$AV$3:AV193,AV193))</f>
        <v/>
      </c>
      <c r="AX193" s="129">
        <f t="shared" si="111"/>
        <v/>
      </c>
      <c r="AY193" s="129">
        <f>IF(N193="б/к",0,IF(OR(ISNUMBER(SEARCH("L=",Разбивка_по_щитам!P193)),N193="+",N193="="),1,0))</f>
      </c>
      <c r="AZ193" s="129">
        <f t="shared" si="112"/>
      </c>
      <c r="BA193" s="129">
        <f t="shared" si="113"/>
      </c>
      <c r="BB193" s="129">
        <f t="shared" si="114"/>
      </c>
      <c r="BD193" s="129">
        <f t="shared" si="115"/>
      </c>
      <c r="BE193" s="129">
        <f t="shared" si="116"/>
      </c>
      <c r="BF193" s="129">
        <f t="shared" si="117"/>
      </c>
      <c r="BG193" s="129">
        <f t="shared" si="118"/>
        <v/>
      </c>
      <c r="BH193" s="129">
        <f t="shared" si="119"/>
        <v/>
      </c>
      <c r="BI193" s="129">
        <f t="shared" si="120"/>
        <v/>
      </c>
      <c r="BJ193" s="129">
        <f t="shared" si="121"/>
        <v/>
      </c>
      <c r="BK193" s="129">
        <f>IF(R193="","",IF(OR(BY193="",BY193=0),"BOX",IFERROR(IF(VLOOKUP(BY193,УГО_блоки,3,FALSE)&amp;""&lt;&gt;"",VLOOKUP(BY193,УГО_блоки,3,FALSE),VLOOKUP(BY193,УГО_блоки,2,FALSE)),BY193)))</f>
      </c>
      <c r="BL193" s="129">
        <f t="shared" si="123"/>
      </c>
      <c r="BM193" s="129">
        <f>IF(H193="","",IF(COUNTIF($H$3:H193,H193)=1,MAX($BM$2:BM192)+1,""))</f>
      </c>
      <c r="BN193" s="129">
        <f>IF(I193="","",IF(COUNTIF($I$3:I193,I193)+COUNTIF($J$2:J192,I193)+COUNTIF($K$2:K192,I193)=1,MAX($BN$2:BP192)+1,""))</f>
      </c>
      <c r="BO193" s="129">
        <f>IF(J193="","",IF(COUNTIF($I$3:I193,J193)+COUNTIF($J$3:J193,J193)+COUNTIF($K$2:K192,J193)=1,MAX($BN$2:BP192,BN193)+1,""))</f>
      </c>
      <c r="BP193" s="129">
        <f>IF(K193="","",IF(COUNTIF($I$3:I193,K193)+COUNTIF($J$3:J193,K193)+COUNTIF($K$3:K193,K193)=1,MAX($BN$2:BP192,BN193,BO193)+1,""))</f>
      </c>
      <c r="BQ193" s="129">
        <f>IF(AY193=1,IFERROR(MID(Q193,FIND(" (",Q193)+2,FIND(")",Q193,FIND(" (",Q193))-FIND(" (",Q193)-2),"?"),"")</f>
      </c>
      <c r="BR193" s="129">
        <f>IF(BQ193="","",IF(COUNTIF($BQ$3:BQ193,BQ193)=1,MAX($BR$2:BR192)+1,""))</f>
      </c>
      <c r="BS193" s="129">
        <f>IF(AW193="","",COUNTIF($AW$3:AW193,"?*"))</f>
      </c>
      <c r="BT193" s="129">
        <f>IF(OR(AW193="",AI193=""),"",IF(COUNTIFS($AW$3:AW193,"?*",$AI$3:AI193,AI193)=1,MAX($BT$2:BT192)+1,""))</f>
      </c>
      <c r="BU193" s="129">
        <f>IF(AE193="",0,IF(OR(ISNUMBER(SEARCH("дубль",AE193)),ISNUMBER(SEARCH("ПЕРЕГРУЗ",AE193)),ISNUMBER(SEARCH("ЗАЩИЩ",AE193)),ISNUMBER(SEARCH("КАНАЛ",AE193)),ISNUMBER(SEARCH("без 30",AE193))),2,1))</f>
      </c>
      <c r="BV193" s="129">
        <f>IF(R193="","",COUNTIF($R$3:R193,"?*"))</f>
      </c>
      <c r="BW193" s="129">
        <f>IF(AY193&lt;&gt;1,0,IF(MAX(IFERROR(--VLOOKUP(R193,УГО_спр,5,FALSE),0),IFERROR(--VLOOKUP(AL193,УГО_спр,5,FALSE),0),IFERROR(--VLOOKUP(LEFT(AL193,2),УГО_спр,5,FALSE),0))&gt;0,MAX(IFERROR(--VLOOKUP(R193,УГО_спр,5,FALSE),0),IFERROR(--VLOOKUP(AL193,УГО_спр,5,FALSE),0),IFERROR(--VLOOKUP(LEFT(AL193,2),УГО_спр,5,FALSE),0)),IF(IFERROR(--LEFT(SUBSTITUTE(BQ193,"x","х"),FIND("х",SUBSTITUTE(BQ193,"x","х"))-1),3)&gt;3,Каталог!$S$9,1)))</f>
      </c>
      <c r="BX193" s="129">
        <f>IF(AY193&lt;&gt;1,0,MAX(0,IFERROR(--LEFT(SUBSTITUTE(BQ193,"x","х"),FIND("х",SUBSTITUTE(BQ193,"x","х"))-1),3)-3*BW193))</f>
      </c>
      <c r="BY193" s="129">
        <f>IF(R193="","",IFERROR(VLOOKUP(R193,УГО_спр,2,FALSE),IFERROR(VLOOKUP(AL193,УГО_спр,2,FALSE),IFERROR(VLOOKUP(LEFT(AL193,2),УГО_спр,2,FALSE),""))))</f>
      </c>
    </row>
    <row r="194" spans="1:64" x14ac:dyDescent="0.3">
      <c r="A194" s="135">
        <f>IF(Разбивка_по_щитам!F194=0,"",Разбивка_по_щитам!F194)</f>
      </c>
      <c r="B194" s="138">
        <f>IF(A194="","",Разбивка_по_щитам!C194)</f>
      </c>
      <c r="C194" s="138">
        <f t="shared" si="86"/>
      </c>
      <c r="D194" s="266"/>
      <c r="E194" s="266"/>
      <c r="F194" s="267"/>
      <c r="G194" s="145">
        <f t="shared" si="87"/>
        <v/>
      </c>
      <c r="H194" s="145">
        <f t="shared" si="88"/>
        <v/>
      </c>
      <c r="I194" s="266"/>
      <c r="J194" s="267"/>
      <c r="K194" s="267"/>
      <c r="L194" s="266"/>
      <c r="M194" s="147">
        <f t="shared" si="126"/>
        <v/>
      </c>
      <c r="N194" s="267"/>
      <c r="O194" s="147">
        <f t="shared" si="127"/>
        <v/>
      </c>
      <c r="P194" s="268">
        <f>IF(AY194=1,"XT"&amp;COUNTIFS($A$3:A194,A194,$AY$3:AY194,1),"")</f>
        <v/>
      </c>
      <c r="Q194" s="152">
        <f>IF(R194="","",IFERROR(SUBSTITUTE(Разбивка_по_щитам!P194,CHAR(10)," "),""))</f>
        <v/>
      </c>
      <c r="R194" s="153">
        <f>IF(OR(Разбивка_по_щитам!H194="",Разбивка_по_щитам!H194=0),"",Разбивка_по_щитам!H194)</f>
        <v/>
      </c>
      <c r="S194" s="154">
        <f>IF(R194="","",IFERROR(Разбивка_по_щитам!J194&amp;"",""))</f>
        <v/>
      </c>
      <c r="T194" s="155">
        <f>IF(R194="","",IFERROR(--Разбивка_по_щитам!L194,""))</f>
        <v/>
      </c>
      <c r="U194" s="155">
        <f>IF(R194="","",IFERROR(--Разбивка_по_щитам!K194,""))</f>
        <v/>
      </c>
      <c r="V194" s="138">
        <f>IF(R194="","",IFERROR(IF(Разбивка_по_щитам!M194=0,"",Разбивка_по_щитам!M194),""))</f>
        <v/>
      </c>
      <c r="W194" s="156">
        <f t="shared" si="89"/>
        <v/>
      </c>
      <c r="X194" s="157">
        <f t="shared" si="90"/>
        <v/>
      </c>
      <c r="Y194" s="266"/>
      <c r="Z194" s="158">
        <f t="shared" si="91"/>
        <v/>
      </c>
      <c r="AA194" s="160">
        <f t="shared" si="92"/>
        <v/>
      </c>
      <c r="AB194" s="160">
        <f>IF(R194="","",IFERROR(LOOKUP(INDEX(Справочная!$I$4:$I$19,MATCH(VLOOKUP(R194,Исходные_данные,22,FALSE),Справочная!$J$4:$J$19,0)+1),{6,10,16,20,25,32,40,50,63,80,100,125}),""))</f>
        <v/>
      </c>
      <c r="AC194" s="160">
        <f t="shared" si="93"/>
        <v/>
      </c>
      <c r="AD194" s="161">
        <f t="shared" si="94"/>
        <v/>
      </c>
      <c r="AE194" s="161">
        <f>IF(AND(R194="",G194=""),"",_xlfn.TEXTJOIN("; ",TRUE,IF(AND(R194&lt;&gt;"",V194=""),"нет фазы",""),IF(AND(R194&lt;&gt;"",N(T194)=0),"нет мощности",""),IF(AND(P194&lt;&gt;"",COUNTIFS($A$3:$A$1000,A194,$P$3:$P$1000,P194)&gt;1),"дубль клеммы "&amp;P194,""),IF(AND(W194&lt;&gt;"",W194&lt;&gt;"ok"),W194,""),IF(X194&lt;&gt;"",X194,""),IF(AND(ISNUMBER(SEARCH("(5х",Q194)),N(AK194)=1),"5 жил на 1 фазе",""),IF(AND(AL194="R",E194&lt;&gt;"",N(AS194)=0),"розетка без 30 мА",""),IF(IFERROR(_xlfn.NUMBERVALUE(MID(Q194,FIND("-",Q194,FIND("L=",Q194))+1,FIND("%",Q194)-FIND("-",Q194,FIND("L=",Q194))-1),","),0)&gt;4,"потери &gt; 4 %","")))</f>
      </c>
      <c r="AF194" s="129">
        <f>IF(E194&lt;&gt;"",COUNTIFS($A$3:A194,A194,$E$3:E194,"?*"),IF(OR(A194&lt;&gt;A193,Y194="вручную"),"",AF193))</f>
      </c>
      <c r="AG194" s="129">
        <f t="shared" si="95"/>
      </c>
      <c r="AH194" s="129">
        <f t="shared" si="96"/>
        <v/>
      </c>
      <c r="AI194" s="129">
        <f t="shared" si="97"/>
        <v/>
      </c>
      <c r="AJ194" s="129">
        <f t="shared" si="98"/>
        <v/>
      </c>
      <c r="AK194" s="129">
        <f t="shared" si="99"/>
        <v/>
      </c>
      <c r="AL194" s="129">
        <f t="shared" si="100"/>
        <v/>
      </c>
      <c r="AM194" s="129">
        <f t="shared" si="101"/>
      </c>
      <c r="AN194" s="129">
        <f t="shared" si="102"/>
      </c>
      <c r="AO194" s="129">
        <f t="shared" si="103"/>
        <v/>
      </c>
      <c r="AP194" s="129">
        <f t="shared" si="104"/>
        <v/>
      </c>
      <c r="AQ194" s="129">
        <f t="shared" si="105"/>
        <v/>
      </c>
      <c r="AR194" s="129">
        <f t="shared" si="106"/>
        <v/>
      </c>
      <c r="AS194" s="129">
        <f t="shared" si="107"/>
        <v/>
      </c>
      <c r="AT194" s="129">
        <f t="shared" si="108"/>
        <v/>
      </c>
      <c r="AU194" s="129">
        <f t="shared" si="109"/>
        <v/>
      </c>
      <c r="AV194" s="129">
        <f t="shared" si="110"/>
        <v/>
      </c>
      <c r="AW194" s="129">
        <f>IF(AV194="","",AV194&amp;"."&amp;COUNTIFS($A$3:A194,A194,$AV$3:AV194,AV194))</f>
        <v/>
      </c>
      <c r="AX194" s="129">
        <f t="shared" si="111"/>
        <v/>
      </c>
      <c r="AY194" s="129">
        <f>IF(N194="б/к",0,IF(OR(ISNUMBER(SEARCH("L=",Разбивка_по_щитам!P194)),N194="+",N194="="),1,0))</f>
      </c>
      <c r="AZ194" s="129">
        <f t="shared" si="112"/>
      </c>
      <c r="BA194" s="129">
        <f t="shared" si="113"/>
      </c>
      <c r="BB194" s="129">
        <f t="shared" si="114"/>
      </c>
      <c r="BD194" s="129">
        <f t="shared" si="115"/>
      </c>
      <c r="BE194" s="129">
        <f t="shared" si="116"/>
      </c>
      <c r="BF194" s="129">
        <f t="shared" si="117"/>
      </c>
      <c r="BG194" s="129">
        <f t="shared" si="118"/>
        <v/>
      </c>
      <c r="BH194" s="129">
        <f t="shared" si="119"/>
        <v/>
      </c>
      <c r="BI194" s="129">
        <f t="shared" si="120"/>
        <v/>
      </c>
      <c r="BJ194" s="129">
        <f t="shared" si="121"/>
        <v/>
      </c>
      <c r="BK194" s="129">
        <f>IF(R194="","",IF(OR(BY194="",BY194=0),"BOX",IFERROR(IF(VLOOKUP(BY194,УГО_блоки,3,FALSE)&amp;""&lt;&gt;"",VLOOKUP(BY194,УГО_блоки,3,FALSE),VLOOKUP(BY194,УГО_блоки,2,FALSE)),BY194)))</f>
      </c>
      <c r="BL194" s="129">
        <f t="shared" si="123"/>
      </c>
      <c r="BM194" s="129">
        <f>IF(H194="","",IF(COUNTIF($H$3:H194,H194)=1,MAX($BM$2:BM193)+1,""))</f>
      </c>
      <c r="BN194" s="129">
        <f>IF(I194="","",IF(COUNTIF($I$3:I194,I194)+COUNTIF($J$2:J193,I194)+COUNTIF($K$2:K193,I194)=1,MAX($BN$2:BP193)+1,""))</f>
      </c>
      <c r="BO194" s="129">
        <f>IF(J194="","",IF(COUNTIF($I$3:I194,J194)+COUNTIF($J$3:J194,J194)+COUNTIF($K$2:K193,J194)=1,MAX($BN$2:BP193,BN194)+1,""))</f>
      </c>
      <c r="BP194" s="129">
        <f>IF(K194="","",IF(COUNTIF($I$3:I194,K194)+COUNTIF($J$3:J194,K194)+COUNTIF($K$3:K194,K194)=1,MAX($BN$2:BP193,BN194,BO194)+1,""))</f>
      </c>
      <c r="BQ194" s="129">
        <f>IF(AY194=1,IFERROR(MID(Q194,FIND(" (",Q194)+2,FIND(")",Q194,FIND(" (",Q194))-FIND(" (",Q194)-2),"?"),"")</f>
      </c>
      <c r="BR194" s="129">
        <f>IF(BQ194="","",IF(COUNTIF($BQ$3:BQ194,BQ194)=1,MAX($BR$2:BR193)+1,""))</f>
      </c>
      <c r="BS194" s="129">
        <f>IF(AW194="","",COUNTIF($AW$3:AW194,"?*"))</f>
      </c>
      <c r="BT194" s="129">
        <f>IF(OR(AW194="",AI194=""),"",IF(COUNTIFS($AW$3:AW194,"?*",$AI$3:AI194,AI194)=1,MAX($BT$2:BT193)+1,""))</f>
      </c>
      <c r="BU194" s="129">
        <f>IF(AE194="",0,IF(OR(ISNUMBER(SEARCH("дубль",AE194)),ISNUMBER(SEARCH("ПЕРЕГРУЗ",AE194)),ISNUMBER(SEARCH("ЗАЩИЩ",AE194)),ISNUMBER(SEARCH("КАНАЛ",AE194)),ISNUMBER(SEARCH("без 30",AE194))),2,1))</f>
      </c>
      <c r="BV194" s="129">
        <f>IF(R194="","",COUNTIF($R$3:R194,"?*"))</f>
      </c>
      <c r="BW194" s="129">
        <f>IF(AY194&lt;&gt;1,0,IF(MAX(IFERROR(--VLOOKUP(R194,УГО_спр,5,FALSE),0),IFERROR(--VLOOKUP(AL194,УГО_спр,5,FALSE),0),IFERROR(--VLOOKUP(LEFT(AL194,2),УГО_спр,5,FALSE),0))&gt;0,MAX(IFERROR(--VLOOKUP(R194,УГО_спр,5,FALSE),0),IFERROR(--VLOOKUP(AL194,УГО_спр,5,FALSE),0),IFERROR(--VLOOKUP(LEFT(AL194,2),УГО_спр,5,FALSE),0)),IF(IFERROR(--LEFT(SUBSTITUTE(BQ194,"x","х"),FIND("х",SUBSTITUTE(BQ194,"x","х"))-1),3)&gt;3,Каталог!$S$9,1)))</f>
      </c>
      <c r="BX194" s="129">
        <f>IF(AY194&lt;&gt;1,0,MAX(0,IFERROR(--LEFT(SUBSTITUTE(BQ194,"x","х"),FIND("х",SUBSTITUTE(BQ194,"x","х"))-1),3)-3*BW194))</f>
      </c>
      <c r="BY194" s="129">
        <f>IF(R194="","",IFERROR(VLOOKUP(R194,УГО_спр,2,FALSE),IFERROR(VLOOKUP(AL194,УГО_спр,2,FALSE),IFERROR(VLOOKUP(LEFT(AL194,2),УГО_спр,2,FALSE),""))))</f>
      </c>
    </row>
    <row r="195" spans="1:64" x14ac:dyDescent="0.3">
      <c r="A195" s="135">
        <f>IF(Разбивка_по_щитам!F195=0,"",Разбивка_по_щитам!F195)</f>
      </c>
      <c r="B195" s="138">
        <f>IF(A195="","",Разбивка_по_щитам!C195)</f>
      </c>
      <c r="C195" s="138">
        <f t="shared" ref="C195:C258" si="128">IF(B195="","",INT((B195-1)/Столбцов_на_лист)+1)</f>
      </c>
      <c r="D195" s="266"/>
      <c r="E195" s="266"/>
      <c r="F195" s="267"/>
      <c r="G195" s="145">
        <f t="shared" ref="G195:G258" si="129">IF(OR(R195&lt;&gt;"",O195&lt;&gt;"",AY195=1),AG195,"")</f>
        <v/>
      </c>
      <c r="H195" s="145">
        <f t="shared" ref="H195:H258" si="130">IF(E195="","",IF(AND(E195&lt;&gt;"авто",E195&lt;&gt;"+"),E195,AT195&amp;" С"&amp;AQ195&amp;"А"&amp;IF(AS195=1," 30мА","")))</f>
        <v/>
      </c>
      <c r="I195" s="266"/>
      <c r="J195" s="267"/>
      <c r="K195" s="267"/>
      <c r="L195" s="266"/>
      <c r="M195" s="147">
        <f t="shared" si="126"/>
        <v/>
      </c>
      <c r="N195" s="267"/>
      <c r="O195" s="147">
        <f t="shared" si="127"/>
        <v/>
      </c>
      <c r="P195" s="268">
        <f>IF(AY195=1,"XT"&amp;COUNTIFS($A$3:A195,A195,$AY$3:AY195,1),"")</f>
        <v/>
      </c>
      <c r="Q195" s="152">
        <f>IF(R195="","",IFERROR(SUBSTITUTE(Разбивка_по_щитам!P195,CHAR(10)," "),""))</f>
        <v/>
      </c>
      <c r="R195" s="153">
        <f>IF(OR(Разбивка_по_щитам!H195="",Разбивка_по_щитам!H195=0),"",Разбивка_по_щитам!H195)</f>
        <v/>
      </c>
      <c r="S195" s="154">
        <f>IF(R195="","",IFERROR(Разбивка_по_щитам!J195&amp;"",""))</f>
        <v/>
      </c>
      <c r="T195" s="155">
        <f>IF(R195="","",IFERROR(--Разбивка_по_щитам!L195,""))</f>
        <v/>
      </c>
      <c r="U195" s="155">
        <f>IF(R195="","",IFERROR(--Разбивка_по_щитам!K195,""))</f>
        <v/>
      </c>
      <c r="V195" s="138">
        <f>IF(R195="","",IFERROR(IF(Разбивка_по_щитам!M195=0,"",Разбивка_по_щитам!M195),""))</f>
        <v/>
      </c>
      <c r="W195" s="156">
        <f t="shared" ref="W195:W258" si="131">IF(E195="","",IF(NOT(ISNUMBER(AU195)),"",IF(Z195&gt;AU195,"ПЕРЕГРУЗ",IF(AND(BA195=0,AP195&gt;0,AU195&gt;AP195),"КАБЕЛЬ НЕ ЗАЩИЩЁН","ok"))))</f>
        <v/>
      </c>
      <c r="X195" s="157">
        <f t="shared" ref="X195:X258" si="132">IF(OR(O195="",AH195=""),"",IF(O195&gt;IFERROR(VLOOKUP(AI195,Модули_спр,3,FALSE),99),"ЛИШНИЙ КАНАЛ",IF(AND(N195&lt;&gt;"=",COUNTIFS($AH$3:$AH$1000,AH195,$O$3:$O$1000,O195,$N$3:$N$1000,"&lt;&gt;=")&gt;1),"ДУБЛЬ КАНАЛА","")))</f>
        <v/>
      </c>
      <c r="Y195" s="266"/>
      <c r="Z195" s="158">
        <f t="shared" ref="Z195:Z258" si="133">IF(E195="","",SUMIFS($U$3:$U$1000,$AF$3:$AF$1000,AF195,$A$3:$A$1000,A195,$AN$3:$AN$1000,0))</f>
        <v/>
      </c>
      <c r="AA195" s="160">
        <f t="shared" ref="AA195:AA258" si="134">IF(E195="","",IFERROR(VLOOKUP(Z195,Автомат_номиналы,2,TRUE),""))</f>
        <v/>
      </c>
      <c r="AB195" s="160">
        <f>IF(R195="","",IFERROR(LOOKUP(INDEX(Справочная!$I$4:$I$19,MATCH(VLOOKUP(R195,Исходные_данные,22,FALSE),Справочная!$J$4:$J$19,0)+1),{6,10,16,20,25,32,40,50,63,80,100,125}),""))</f>
        <v/>
      </c>
      <c r="AC195" s="160">
        <f t="shared" ref="AC195:AC258" si="135">IF(M195="","",AI195)</f>
        <v/>
      </c>
      <c r="AD195" s="161">
        <f t="shared" ref="AD195:AD258" si="136">IF(AND(R195="",O195="",P195=""),"",_xlfn.TEXTJOIN(" → ",TRUE,AG195,AZ195,IF(AH195&lt;&gt;"",AH195&amp;IF(O195&lt;&gt;""," к."&amp;O195,""),IF(O195&lt;&gt;"","к."&amp;O195,"")),P195,IF(AN195=1,"(в кабель выше)","")))</f>
        <v/>
      </c>
      <c r="AE195" s="161">
        <f>IF(AND(R195="",G195=""),"",_xlfn.TEXTJOIN("; ",TRUE,IF(AND(R195&lt;&gt;"",V195=""),"нет фазы",""),IF(AND(R195&lt;&gt;"",N(T195)=0),"нет мощности",""),IF(AND(P195&lt;&gt;"",COUNTIFS($A$3:$A$1000,A195,$P$3:$P$1000,P195)&gt;1),"дубль клеммы "&amp;P195,""),IF(AND(W195&lt;&gt;"",W195&lt;&gt;"ok"),W195,""),IF(X195&lt;&gt;"",X195,""),IF(AND(ISNUMBER(SEARCH("(5х",Q195)),N(AK195)=1),"5 жил на 1 фазе",""),IF(AND(AL195="R",E195&lt;&gt;"",N(AS195)=0),"розетка без 30 мА",""),IF(IFERROR(_xlfn.NUMBERVALUE(MID(Q195,FIND("-",Q195,FIND("L=",Q195))+1,FIND("%",Q195)-FIND("-",Q195,FIND("L=",Q195))-1),","),0)&gt;4,"потери &gt; 4 %","")))</f>
      </c>
      <c r="AF195" s="129">
        <f>IF(E195&lt;&gt;"",COUNTIFS($A$3:A195,A195,$E$3:E195,"?*"),IF(OR(A195&lt;&gt;A194,Y195="вручную"),"",AF194))</f>
      </c>
      <c r="AG195" s="129">
        <f t="shared" ref="AG195:AG258" si="137">IF(AJ195&lt;&gt;"",AJ195,IF(OR(A195&lt;&gt;A194,Y195="вручную"),"",AG194))</f>
      </c>
      <c r="AH195" s="129">
        <f t="shared" ref="AH195:AH258" si="138">IF(L195="-","",IF(AW195&lt;&gt;"",AW195,IF(A195&lt;&gt;A194,"",AH194)))</f>
        <v/>
      </c>
      <c r="AI195" s="129">
        <f t="shared" ref="AI195:AI258" si="139">IF(AH195="","",IF(AND(L195&lt;&gt;"",L195&lt;&gt;"-"),L195,AI194))</f>
        <v/>
      </c>
      <c r="AJ195" s="129">
        <f t="shared" ref="AJ195:AJ258" si="140">IF(E195="","",IF(AS195=1,"QFD","QF")&amp;AF195)</f>
        <v/>
      </c>
      <c r="AK195" s="129">
        <f t="shared" ref="AK195:AK258" si="141">IF(R195="","",IFERROR(--VLOOKUP(R195,Исходные_данные,8,FALSE),1))</f>
        <v/>
      </c>
      <c r="AL195" s="129">
        <f t="shared" ref="AL195:AL258" si="142">IF(R195="","",IFERROR(LEFT(R195,FIND(".",R195)-1),R195))</f>
        <v/>
      </c>
      <c r="AM195" s="129">
        <f t="shared" ref="AM195:AM258" si="143">IF(AL195="",0,IFERROR(IF(VLOOKUP(R195,УГО_спр,3,FALSE)="да",1,0),IFERROR(IF(VLOOKUP(AL195,УГО_спр,3,FALSE)="да",1,0),IFERROR(IF(VLOOKUP(LEFT(AL195,2),УГО_спр,3,FALSE)="да",1,0),0))))</f>
      </c>
      <c r="AN195" s="129">
        <f t="shared" ref="AN195:AN258" si="144">IF(OR(N195="+",AND(R195&lt;&gt;"",R195=R194)),1,0)</f>
      </c>
      <c r="AO195" s="129">
        <f t="shared" ref="AO195:AO258" si="145">IF(E195="","",MAX(N(AA195),_xlfn.MAXIFS($BB$3:$BB$1000,$AF$3:$AF$1000,AF195,$A$3:$A$1000,A195)))</f>
        <v/>
      </c>
      <c r="AP195" s="129">
        <f t="shared" ref="AP195:AP258" si="146">IF(E195="","",_xlfn.MINIFS($AB$3:$AB$1000,$AF$3:$AF$1000,AF195,$A$3:$A$1000,A195))</f>
        <v/>
      </c>
      <c r="AQ195" s="129">
        <f t="shared" ref="AQ195:AQ258" si="147">IF(E195="","",IF(BA195=1,MAX(AO195,Мин_автомат_БП),AO195))</f>
        <v/>
      </c>
      <c r="AR195" s="129">
        <f t="shared" ref="AR195:AR258" si="148">IF(E195="","",MAX(1,_xlfn.MAXIFS($AK$3:$AK$1000,$AF$3:$AF$1000,AF195,$A$3:$A$1000,A195)))</f>
        <v/>
      </c>
      <c r="AS195" s="129">
        <f t="shared" ref="AS195:AS258" si="149">IF(E195="","",IF(AND(E195&lt;&gt;"авто",E195&lt;&gt;"+"),IF(ISNUMBER(SEARCH("мА",E195)),1,0),IF(F195="да",1,IF(F195="нет",0,IF(_xlfn.MAXIFS($AM$3:$AM$1000,$AF$3:$AF$1000,AF195,$A$3:$A$1000,A195)&gt;0,1,0)))))</f>
        <v/>
      </c>
      <c r="AT195" s="129">
        <f t="shared" ref="AT195:AT258" si="150">IF(E195="","",IF(AR195&gt;=3,IF(AS195=1,"4P","3P"),IF(AS195=1,"2P","1P")))</f>
        <v/>
      </c>
      <c r="AU195" s="129">
        <f t="shared" ref="AU195:AU258" si="151">IF(H195="","",IFERROR(--MID(SUBSTITUTE(SUBSTITUTE(UPPER(H195),"С","C"),"А","A"),FIND("C",SUBSTITUTE(SUBSTITUTE(UPPER(H195),"С","C"),"А","A"))+1,FIND("A",SUBSTITUTE(SUBSTITUTE(UPPER(H195),"С","C"),"А","A")&amp;"A",FIND("C",SUBSTITUTE(SUBSTITUTE(UPPER(H195),"С","C"),"А","A")))-FIND("C",SUBSTITUTE(SUBSTITUTE(UPPER(H195),"С","C"),"А","A"))-1),""))</f>
        <v/>
      </c>
      <c r="AV195" s="129">
        <f t="shared" ref="AV195:AV258" si="152">IF(OR(L195="",L195="-"),"",IFERROR(VLOOKUP(L195,Модули_спр,2,FALSE),"R"))</f>
        <v/>
      </c>
      <c r="AW195" s="129">
        <f>IF(AV195="","",AV195&amp;"."&amp;COUNTIFS($A$3:A195,A195,$AV$3:AV195,AV195))</f>
        <v/>
      </c>
      <c r="AX195" s="129">
        <f t="shared" ref="AX195:AX258" si="153">IF(O195&lt;&gt;"",O195,IF(OR(A195&lt;&gt;A194,L195="-",AW195&lt;&gt;""),"",AX194))</f>
        <v/>
      </c>
      <c r="AY195" s="129">
        <f>IF(N195="б/к",0,IF(OR(ISNUMBER(SEARCH("L=",Разбивка_по_щитам!P195)),N195="+",N195="="),1,0))</f>
      </c>
      <c r="AZ195" s="129">
        <f t="shared" ref="AZ195:AZ258" si="154">IF(AJ195&lt;&gt;"",_xlfn.TEXTJOIN(" → ",TRUE,I195,J195,K195),IF(AG195="","",AZ194))</f>
      </c>
      <c r="BA195" s="129">
        <f t="shared" ref="BA195:BA258" si="155">IF(AZ195="",0,IF(OR(LEFT(AZ195,2)="T ",LEFT(AZ195,2)="Т ",ISNUMBER(SEARCH("→ T ",AZ195)),ISNUMBER(SEARCH("→ Т ",AZ195)),ISNUMBER(SEARCH("БП",AZ195))),1,0))</f>
      </c>
      <c r="BB195" s="129">
        <f t="shared" ref="BB195:BB258" si="156">IF(R195="",0,MAX(IFERROR(--VLOOKUP(R195,Исходные_данные,18,FALSE),0),IFERROR(--VLOOKUP(R195,УГО_спр,4,FALSE),IFERROR(--VLOOKUP(AL195,УГО_спр,4,FALSE),IFERROR(--VLOOKUP(LEFT(AL195,2),УГО_спр,4,FALSE),0)))))</f>
      </c>
      <c r="BD195" s="129">
        <f t="shared" ref="BD195:BD258" si="157">IF(Y195="вручную",0,1)</f>
      </c>
      <c r="BE195" s="129">
        <f t="shared" ref="BE195:BE258" si="158">IF(D195="",0,1)</f>
      </c>
      <c r="BF195" s="129">
        <f t="shared" ref="BF195:BF258" si="159">IF(AJ195="",0,IF(LEFT(AJ195,3)="QFD",1,0))</f>
      </c>
      <c r="BG195" s="129">
        <f t="shared" ref="BG195:BG258" si="160">IF(N195="=","=",IF(N195="+","+",IF(N195="р","R","")))</f>
        <v/>
      </c>
      <c r="BH195" s="129">
        <f t="shared" ref="BH195:BH258" si="161">IF(I195="","",IF(OR(LEFT(I195,1)="T",LEFT(I195,1)="Т"),"T",IF(LEFT(UPPER(I195),2)="БП","PS",IF(OR(LEFT(UPPER(I195),2)="МК",LEFT(UPPER(I195),2)="MK"),"MK",IF(OR(LEFT(UPPER(I195),2)="КМ",LEFT(UPPER(I195),2)="KM"),"KM","X")))))</f>
        <v/>
      </c>
      <c r="BI195" s="129">
        <f t="shared" ref="BI195:BI258" si="162">IF(J195="","",IF(OR(LEFT(J195,1)="T",LEFT(J195,1)="Т"),"T",IF(LEFT(UPPER(J195),2)="БП","PS",IF(OR(LEFT(UPPER(J195),2)="МК",LEFT(UPPER(J195),2)="MK"),"MK",IF(OR(LEFT(UPPER(J195),2)="КМ",LEFT(UPPER(J195),2)="KM"),"KM","X")))))</f>
        <v/>
      </c>
      <c r="BJ195" s="129">
        <f t="shared" ref="BJ195:BJ258" si="163">IF(K195="","",IF(OR(LEFT(K195,1)="T",LEFT(K195,1)="Т"),"T",IF(LEFT(UPPER(K195),2)="БП","PS",IF(OR(LEFT(UPPER(K195),2)="МК",LEFT(UPPER(K195),2)="MK"),"MK",IF(OR(LEFT(UPPER(K195),2)="КМ",LEFT(UPPER(K195),2)="KM"),"KM","X")))))</f>
        <v/>
      </c>
      <c r="BK195" s="129">
        <f>IF(R195="","",IF(OR(BY195="",BY195=0),"BOX",IFERROR(IF(VLOOKUP(BY195,УГО_блоки,3,FALSE)&amp;""&lt;&gt;"",VLOOKUP(BY195,УГО_блоки,3,FALSE),VLOOKUP(BY195,УГО_блоки,2,FALSE)),BY195)))</f>
      </c>
      <c r="BL195" s="129">
        <f t="shared" ref="BL195:BL258" si="165">IF(R195="",0,1)</f>
      </c>
      <c r="BM195" s="129">
        <f>IF(H195="","",IF(COUNTIF($H$3:H195,H195)=1,MAX($BM$2:BM194)+1,""))</f>
      </c>
      <c r="BN195" s="129">
        <f>IF(I195="","",IF(COUNTIF($I$3:I195,I195)+COUNTIF($J$2:J194,I195)+COUNTIF($K$2:K194,I195)=1,MAX($BN$2:BP194)+1,""))</f>
      </c>
      <c r="BO195" s="129">
        <f>IF(J195="","",IF(COUNTIF($I$3:I195,J195)+COUNTIF($J$3:J195,J195)+COUNTIF($K$2:K194,J195)=1,MAX($BN$2:BP194,BN195)+1,""))</f>
      </c>
      <c r="BP195" s="129">
        <f>IF(K195="","",IF(COUNTIF($I$3:I195,K195)+COUNTIF($J$3:J195,K195)+COUNTIF($K$3:K195,K195)=1,MAX($BN$2:BP194,BN195,BO195)+1,""))</f>
      </c>
      <c r="BQ195" s="129">
        <f>IF(AY195=1,IFERROR(MID(Q195,FIND(" (",Q195)+2,FIND(")",Q195,FIND(" (",Q195))-FIND(" (",Q195)-2),"?"),"")</f>
      </c>
      <c r="BR195" s="129">
        <f>IF(BQ195="","",IF(COUNTIF($BQ$3:BQ195,BQ195)=1,MAX($BR$2:BR194)+1,""))</f>
      </c>
      <c r="BS195" s="129">
        <f>IF(AW195="","",COUNTIF($AW$3:AW195,"?*"))</f>
      </c>
      <c r="BT195" s="129">
        <f>IF(OR(AW195="",AI195=""),"",IF(COUNTIFS($AW$3:AW195,"?*",$AI$3:AI195,AI195)=1,MAX($BT$2:BT194)+1,""))</f>
      </c>
      <c r="BU195" s="129">
        <f>IF(AE195="",0,IF(OR(ISNUMBER(SEARCH("дубль",AE195)),ISNUMBER(SEARCH("ПЕРЕГРУЗ",AE195)),ISNUMBER(SEARCH("ЗАЩИЩ",AE195)),ISNUMBER(SEARCH("КАНАЛ",AE195)),ISNUMBER(SEARCH("без 30",AE195))),2,1))</f>
      </c>
      <c r="BV195" s="129">
        <f>IF(R195="","",COUNTIF($R$3:R195,"?*"))</f>
      </c>
      <c r="BW195" s="129">
        <f>IF(AY195&lt;&gt;1,0,IF(MAX(IFERROR(--VLOOKUP(R195,УГО_спр,5,FALSE),0),IFERROR(--VLOOKUP(AL195,УГО_спр,5,FALSE),0),IFERROR(--VLOOKUP(LEFT(AL195,2),УГО_спр,5,FALSE),0))&gt;0,MAX(IFERROR(--VLOOKUP(R195,УГО_спр,5,FALSE),0),IFERROR(--VLOOKUP(AL195,УГО_спр,5,FALSE),0),IFERROR(--VLOOKUP(LEFT(AL195,2),УГО_спр,5,FALSE),0)),IF(IFERROR(--LEFT(SUBSTITUTE(BQ195,"x","х"),FIND("х",SUBSTITUTE(BQ195,"x","х"))-1),3)&gt;3,Каталог!$S$9,1)))</f>
      </c>
      <c r="BX195" s="129">
        <f>IF(AY195&lt;&gt;1,0,MAX(0,IFERROR(--LEFT(SUBSTITUTE(BQ195,"x","х"),FIND("х",SUBSTITUTE(BQ195,"x","х"))-1),3)-3*BW195))</f>
      </c>
      <c r="BY195" s="129">
        <f>IF(R195="","",IFERROR(VLOOKUP(R195,УГО_спр,2,FALSE),IFERROR(VLOOKUP(AL195,УГО_спр,2,FALSE),IFERROR(VLOOKUP(LEFT(AL195,2),УГО_спр,2,FALSE),""))))</f>
      </c>
    </row>
    <row r="196" spans="1:64" x14ac:dyDescent="0.3">
      <c r="A196" s="135">
        <f>IF(Разбивка_по_щитам!F196=0,"",Разбивка_по_щитам!F196)</f>
      </c>
      <c r="B196" s="138">
        <f>IF(A196="","",Разбивка_по_щитам!C196)</f>
      </c>
      <c r="C196" s="138">
        <f t="shared" si="128"/>
      </c>
      <c r="D196" s="266"/>
      <c r="E196" s="266"/>
      <c r="F196" s="267"/>
      <c r="G196" s="145">
        <f t="shared" si="129"/>
        <v/>
      </c>
      <c r="H196" s="145">
        <f t="shared" si="130"/>
        <v/>
      </c>
      <c r="I196" s="266"/>
      <c r="J196" s="267"/>
      <c r="K196" s="267"/>
      <c r="L196" s="266"/>
      <c r="M196" s="147">
        <f t="shared" si="126"/>
        <v/>
      </c>
      <c r="N196" s="267"/>
      <c r="O196" s="147">
        <f t="shared" si="127"/>
        <v/>
      </c>
      <c r="P196" s="268">
        <f>IF(AY196=1,"XT"&amp;COUNTIFS($A$3:A196,A196,$AY$3:AY196,1),"")</f>
        <v/>
      </c>
      <c r="Q196" s="152">
        <f>IF(R196="","",IFERROR(SUBSTITUTE(Разбивка_по_щитам!P196,CHAR(10)," "),""))</f>
        <v/>
      </c>
      <c r="R196" s="153">
        <f>IF(OR(Разбивка_по_щитам!H196="",Разбивка_по_щитам!H196=0),"",Разбивка_по_щитам!H196)</f>
        <v/>
      </c>
      <c r="S196" s="154">
        <f>IF(R196="","",IFERROR(Разбивка_по_щитам!J196&amp;"",""))</f>
        <v/>
      </c>
      <c r="T196" s="155">
        <f>IF(R196="","",IFERROR(--Разбивка_по_щитам!L196,""))</f>
        <v/>
      </c>
      <c r="U196" s="155">
        <f>IF(R196="","",IFERROR(--Разбивка_по_щитам!K196,""))</f>
        <v/>
      </c>
      <c r="V196" s="138">
        <f>IF(R196="","",IFERROR(IF(Разбивка_по_щитам!M196=0,"",Разбивка_по_щитам!M196),""))</f>
        <v/>
      </c>
      <c r="W196" s="156">
        <f t="shared" si="131"/>
        <v/>
      </c>
      <c r="X196" s="157">
        <f t="shared" si="132"/>
        <v/>
      </c>
      <c r="Y196" s="266"/>
      <c r="Z196" s="158">
        <f t="shared" si="133"/>
        <v/>
      </c>
      <c r="AA196" s="160">
        <f t="shared" si="134"/>
        <v/>
      </c>
      <c r="AB196" s="160">
        <f>IF(R196="","",IFERROR(LOOKUP(INDEX(Справочная!$I$4:$I$19,MATCH(VLOOKUP(R196,Исходные_данные,22,FALSE),Справочная!$J$4:$J$19,0)+1),{6,10,16,20,25,32,40,50,63,80,100,125}),""))</f>
        <v/>
      </c>
      <c r="AC196" s="160">
        <f t="shared" si="135"/>
        <v/>
      </c>
      <c r="AD196" s="161">
        <f t="shared" si="136"/>
        <v/>
      </c>
      <c r="AE196" s="161">
        <f>IF(AND(R196="",G196=""),"",_xlfn.TEXTJOIN("; ",TRUE,IF(AND(R196&lt;&gt;"",V196=""),"нет фазы",""),IF(AND(R196&lt;&gt;"",N(T196)=0),"нет мощности",""),IF(AND(P196&lt;&gt;"",COUNTIFS($A$3:$A$1000,A196,$P$3:$P$1000,P196)&gt;1),"дубль клеммы "&amp;P196,""),IF(AND(W196&lt;&gt;"",W196&lt;&gt;"ok"),W196,""),IF(X196&lt;&gt;"",X196,""),IF(AND(ISNUMBER(SEARCH("(5х",Q196)),N(AK196)=1),"5 жил на 1 фазе",""),IF(AND(AL196="R",E196&lt;&gt;"",N(AS196)=0),"розетка без 30 мА",""),IF(IFERROR(_xlfn.NUMBERVALUE(MID(Q196,FIND("-",Q196,FIND("L=",Q196))+1,FIND("%",Q196)-FIND("-",Q196,FIND("L=",Q196))-1),","),0)&gt;4,"потери &gt; 4 %","")))</f>
      </c>
      <c r="AF196" s="129">
        <f>IF(E196&lt;&gt;"",COUNTIFS($A$3:A196,A196,$E$3:E196,"?*"),IF(OR(A196&lt;&gt;A195,Y196="вручную"),"",AF195))</f>
      </c>
      <c r="AG196" s="129">
        <f t="shared" si="137"/>
      </c>
      <c r="AH196" s="129">
        <f t="shared" si="138"/>
        <v/>
      </c>
      <c r="AI196" s="129">
        <f t="shared" si="139"/>
        <v/>
      </c>
      <c r="AJ196" s="129">
        <f t="shared" si="140"/>
        <v/>
      </c>
      <c r="AK196" s="129">
        <f t="shared" si="141"/>
        <v/>
      </c>
      <c r="AL196" s="129">
        <f t="shared" si="142"/>
        <v/>
      </c>
      <c r="AM196" s="129">
        <f t="shared" si="143"/>
      </c>
      <c r="AN196" s="129">
        <f t="shared" si="144"/>
      </c>
      <c r="AO196" s="129">
        <f t="shared" si="145"/>
        <v/>
      </c>
      <c r="AP196" s="129">
        <f t="shared" si="146"/>
        <v/>
      </c>
      <c r="AQ196" s="129">
        <f t="shared" si="147"/>
        <v/>
      </c>
      <c r="AR196" s="129">
        <f t="shared" si="148"/>
        <v/>
      </c>
      <c r="AS196" s="129">
        <f t="shared" si="149"/>
        <v/>
      </c>
      <c r="AT196" s="129">
        <f t="shared" si="150"/>
        <v/>
      </c>
      <c r="AU196" s="129">
        <f t="shared" si="151"/>
        <v/>
      </c>
      <c r="AV196" s="129">
        <f t="shared" si="152"/>
        <v/>
      </c>
      <c r="AW196" s="129">
        <f>IF(AV196="","",AV196&amp;"."&amp;COUNTIFS($A$3:A196,A196,$AV$3:AV196,AV196))</f>
        <v/>
      </c>
      <c r="AX196" s="129">
        <f t="shared" si="153"/>
        <v/>
      </c>
      <c r="AY196" s="129">
        <f>IF(N196="б/к",0,IF(OR(ISNUMBER(SEARCH("L=",Разбивка_по_щитам!P196)),N196="+",N196="="),1,0))</f>
      </c>
      <c r="AZ196" s="129">
        <f t="shared" si="154"/>
      </c>
      <c r="BA196" s="129">
        <f t="shared" si="155"/>
      </c>
      <c r="BB196" s="129">
        <f t="shared" si="156"/>
      </c>
      <c r="BD196" s="129">
        <f t="shared" si="157"/>
      </c>
      <c r="BE196" s="129">
        <f t="shared" si="158"/>
      </c>
      <c r="BF196" s="129">
        <f t="shared" si="159"/>
      </c>
      <c r="BG196" s="129">
        <f t="shared" si="160"/>
        <v/>
      </c>
      <c r="BH196" s="129">
        <f t="shared" si="161"/>
        <v/>
      </c>
      <c r="BI196" s="129">
        <f t="shared" si="162"/>
        <v/>
      </c>
      <c r="BJ196" s="129">
        <f t="shared" si="163"/>
        <v/>
      </c>
      <c r="BK196" s="129">
        <f>IF(R196="","",IF(OR(BY196="",BY196=0),"BOX",IFERROR(IF(VLOOKUP(BY196,УГО_блоки,3,FALSE)&amp;""&lt;&gt;"",VLOOKUP(BY196,УГО_блоки,3,FALSE),VLOOKUP(BY196,УГО_блоки,2,FALSE)),BY196)))</f>
      </c>
      <c r="BL196" s="129">
        <f t="shared" si="165"/>
      </c>
      <c r="BM196" s="129">
        <f>IF(H196="","",IF(COUNTIF($H$3:H196,H196)=1,MAX($BM$2:BM195)+1,""))</f>
      </c>
      <c r="BN196" s="129">
        <f>IF(I196="","",IF(COUNTIF($I$3:I196,I196)+COUNTIF($J$2:J195,I196)+COUNTIF($K$2:K195,I196)=1,MAX($BN$2:BP195)+1,""))</f>
      </c>
      <c r="BO196" s="129">
        <f>IF(J196="","",IF(COUNTIF($I$3:I196,J196)+COUNTIF($J$3:J196,J196)+COUNTIF($K$2:K195,J196)=1,MAX($BN$2:BP195,BN196)+1,""))</f>
      </c>
      <c r="BP196" s="129">
        <f>IF(K196="","",IF(COUNTIF($I$3:I196,K196)+COUNTIF($J$3:J196,K196)+COUNTIF($K$3:K196,K196)=1,MAX($BN$2:BP195,BN196,BO196)+1,""))</f>
      </c>
      <c r="BQ196" s="129">
        <f>IF(AY196=1,IFERROR(MID(Q196,FIND(" (",Q196)+2,FIND(")",Q196,FIND(" (",Q196))-FIND(" (",Q196)-2),"?"),"")</f>
      </c>
      <c r="BR196" s="129">
        <f>IF(BQ196="","",IF(COUNTIF($BQ$3:BQ196,BQ196)=1,MAX($BR$2:BR195)+1,""))</f>
      </c>
      <c r="BS196" s="129">
        <f>IF(AW196="","",COUNTIF($AW$3:AW196,"?*"))</f>
      </c>
      <c r="BT196" s="129">
        <f>IF(OR(AW196="",AI196=""),"",IF(COUNTIFS($AW$3:AW196,"?*",$AI$3:AI196,AI196)=1,MAX($BT$2:BT195)+1,""))</f>
      </c>
      <c r="BU196" s="129">
        <f>IF(AE196="",0,IF(OR(ISNUMBER(SEARCH("дубль",AE196)),ISNUMBER(SEARCH("ПЕРЕГРУЗ",AE196)),ISNUMBER(SEARCH("ЗАЩИЩ",AE196)),ISNUMBER(SEARCH("КАНАЛ",AE196)),ISNUMBER(SEARCH("без 30",AE196))),2,1))</f>
      </c>
      <c r="BV196" s="129">
        <f>IF(R196="","",COUNTIF($R$3:R196,"?*"))</f>
      </c>
      <c r="BW196" s="129">
        <f>IF(AY196&lt;&gt;1,0,IF(MAX(IFERROR(--VLOOKUP(R196,УГО_спр,5,FALSE),0),IFERROR(--VLOOKUP(AL196,УГО_спр,5,FALSE),0),IFERROR(--VLOOKUP(LEFT(AL196,2),УГО_спр,5,FALSE),0))&gt;0,MAX(IFERROR(--VLOOKUP(R196,УГО_спр,5,FALSE),0),IFERROR(--VLOOKUP(AL196,УГО_спр,5,FALSE),0),IFERROR(--VLOOKUP(LEFT(AL196,2),УГО_спр,5,FALSE),0)),IF(IFERROR(--LEFT(SUBSTITUTE(BQ196,"x","х"),FIND("х",SUBSTITUTE(BQ196,"x","х"))-1),3)&gt;3,Каталог!$S$9,1)))</f>
      </c>
      <c r="BX196" s="129">
        <f>IF(AY196&lt;&gt;1,0,MAX(0,IFERROR(--LEFT(SUBSTITUTE(BQ196,"x","х"),FIND("х",SUBSTITUTE(BQ196,"x","х"))-1),3)-3*BW196))</f>
      </c>
      <c r="BY196" s="129">
        <f>IF(R196="","",IFERROR(VLOOKUP(R196,УГО_спр,2,FALSE),IFERROR(VLOOKUP(AL196,УГО_спр,2,FALSE),IFERROR(VLOOKUP(LEFT(AL196,2),УГО_спр,2,FALSE),""))))</f>
      </c>
    </row>
    <row r="197" spans="1:64" x14ac:dyDescent="0.3">
      <c r="A197" s="135">
        <f>IF(Разбивка_по_щитам!F197=0,"",Разбивка_по_щитам!F197)</f>
      </c>
      <c r="B197" s="138">
        <f>IF(A197="","",Разбивка_по_щитам!C197)</f>
      </c>
      <c r="C197" s="138">
        <f t="shared" si="128"/>
      </c>
      <c r="D197" s="266"/>
      <c r="E197" s="266"/>
      <c r="F197" s="267"/>
      <c r="G197" s="145">
        <f t="shared" si="129"/>
        <v/>
      </c>
      <c r="H197" s="145">
        <f t="shared" si="130"/>
        <v/>
      </c>
      <c r="I197" s="266"/>
      <c r="J197" s="267"/>
      <c r="K197" s="267"/>
      <c r="L197" s="266"/>
      <c r="M197" s="147">
        <f t="shared" si="126"/>
        <v/>
      </c>
      <c r="N197" s="267"/>
      <c r="O197" s="147">
        <f t="shared" si="127"/>
        <v/>
      </c>
      <c r="P197" s="268">
        <f>IF(AY197=1,"XT"&amp;COUNTIFS($A$3:A197,A197,$AY$3:AY197,1),"")</f>
        <v/>
      </c>
      <c r="Q197" s="152">
        <f>IF(R197="","",IFERROR(SUBSTITUTE(Разбивка_по_щитам!P197,CHAR(10)," "),""))</f>
        <v/>
      </c>
      <c r="R197" s="153">
        <f>IF(OR(Разбивка_по_щитам!H197="",Разбивка_по_щитам!H197=0),"",Разбивка_по_щитам!H197)</f>
        <v/>
      </c>
      <c r="S197" s="154">
        <f>IF(R197="","",IFERROR(Разбивка_по_щитам!J197&amp;"",""))</f>
        <v/>
      </c>
      <c r="T197" s="155">
        <f>IF(R197="","",IFERROR(--Разбивка_по_щитам!L197,""))</f>
        <v/>
      </c>
      <c r="U197" s="155">
        <f>IF(R197="","",IFERROR(--Разбивка_по_щитам!K197,""))</f>
        <v/>
      </c>
      <c r="V197" s="138">
        <f>IF(R197="","",IFERROR(IF(Разбивка_по_щитам!M197=0,"",Разбивка_по_щитам!M197),""))</f>
        <v/>
      </c>
      <c r="W197" s="156">
        <f t="shared" si="131"/>
        <v/>
      </c>
      <c r="X197" s="157">
        <f t="shared" si="132"/>
        <v/>
      </c>
      <c r="Y197" s="266"/>
      <c r="Z197" s="158">
        <f t="shared" si="133"/>
        <v/>
      </c>
      <c r="AA197" s="160">
        <f t="shared" si="134"/>
        <v/>
      </c>
      <c r="AB197" s="160">
        <f>IF(R197="","",IFERROR(LOOKUP(INDEX(Справочная!$I$4:$I$19,MATCH(VLOOKUP(R197,Исходные_данные,22,FALSE),Справочная!$J$4:$J$19,0)+1),{6,10,16,20,25,32,40,50,63,80,100,125}),""))</f>
        <v/>
      </c>
      <c r="AC197" s="160">
        <f t="shared" si="135"/>
        <v/>
      </c>
      <c r="AD197" s="161">
        <f t="shared" si="136"/>
        <v/>
      </c>
      <c r="AE197" s="161">
        <f>IF(AND(R197="",G197=""),"",_xlfn.TEXTJOIN("; ",TRUE,IF(AND(R197&lt;&gt;"",V197=""),"нет фазы",""),IF(AND(R197&lt;&gt;"",N(T197)=0),"нет мощности",""),IF(AND(P197&lt;&gt;"",COUNTIFS($A$3:$A$1000,A197,$P$3:$P$1000,P197)&gt;1),"дубль клеммы "&amp;P197,""),IF(AND(W197&lt;&gt;"",W197&lt;&gt;"ok"),W197,""),IF(X197&lt;&gt;"",X197,""),IF(AND(ISNUMBER(SEARCH("(5х",Q197)),N(AK197)=1),"5 жил на 1 фазе",""),IF(AND(AL197="R",E197&lt;&gt;"",N(AS197)=0),"розетка без 30 мА",""),IF(IFERROR(_xlfn.NUMBERVALUE(MID(Q197,FIND("-",Q197,FIND("L=",Q197))+1,FIND("%",Q197)-FIND("-",Q197,FIND("L=",Q197))-1),","),0)&gt;4,"потери &gt; 4 %","")))</f>
      </c>
      <c r="AF197" s="129">
        <f>IF(E197&lt;&gt;"",COUNTIFS($A$3:A197,A197,$E$3:E197,"?*"),IF(OR(A197&lt;&gt;A196,Y197="вручную"),"",AF196))</f>
      </c>
      <c r="AG197" s="129">
        <f t="shared" si="137"/>
      </c>
      <c r="AH197" s="129">
        <f t="shared" si="138"/>
        <v/>
      </c>
      <c r="AI197" s="129">
        <f t="shared" si="139"/>
        <v/>
      </c>
      <c r="AJ197" s="129">
        <f t="shared" si="140"/>
        <v/>
      </c>
      <c r="AK197" s="129">
        <f t="shared" si="141"/>
        <v/>
      </c>
      <c r="AL197" s="129">
        <f t="shared" si="142"/>
        <v/>
      </c>
      <c r="AM197" s="129">
        <f t="shared" si="143"/>
      </c>
      <c r="AN197" s="129">
        <f t="shared" si="144"/>
      </c>
      <c r="AO197" s="129">
        <f t="shared" si="145"/>
        <v/>
      </c>
      <c r="AP197" s="129">
        <f t="shared" si="146"/>
        <v/>
      </c>
      <c r="AQ197" s="129">
        <f t="shared" si="147"/>
        <v/>
      </c>
      <c r="AR197" s="129">
        <f t="shared" si="148"/>
        <v/>
      </c>
      <c r="AS197" s="129">
        <f t="shared" si="149"/>
        <v/>
      </c>
      <c r="AT197" s="129">
        <f t="shared" si="150"/>
        <v/>
      </c>
      <c r="AU197" s="129">
        <f t="shared" si="151"/>
        <v/>
      </c>
      <c r="AV197" s="129">
        <f t="shared" si="152"/>
        <v/>
      </c>
      <c r="AW197" s="129">
        <f>IF(AV197="","",AV197&amp;"."&amp;COUNTIFS($A$3:A197,A197,$AV$3:AV197,AV197))</f>
        <v/>
      </c>
      <c r="AX197" s="129">
        <f t="shared" si="153"/>
        <v/>
      </c>
      <c r="AY197" s="129">
        <f>IF(N197="б/к",0,IF(OR(ISNUMBER(SEARCH("L=",Разбивка_по_щитам!P197)),N197="+",N197="="),1,0))</f>
      </c>
      <c r="AZ197" s="129">
        <f t="shared" si="154"/>
      </c>
      <c r="BA197" s="129">
        <f t="shared" si="155"/>
      </c>
      <c r="BB197" s="129">
        <f t="shared" si="156"/>
      </c>
      <c r="BD197" s="129">
        <f t="shared" si="157"/>
      </c>
      <c r="BE197" s="129">
        <f t="shared" si="158"/>
      </c>
      <c r="BF197" s="129">
        <f t="shared" si="159"/>
      </c>
      <c r="BG197" s="129">
        <f t="shared" si="160"/>
        <v/>
      </c>
      <c r="BH197" s="129">
        <f t="shared" si="161"/>
        <v/>
      </c>
      <c r="BI197" s="129">
        <f t="shared" si="162"/>
        <v/>
      </c>
      <c r="BJ197" s="129">
        <f t="shared" si="163"/>
        <v/>
      </c>
      <c r="BK197" s="129">
        <f>IF(R197="","",IF(OR(BY197="",BY197=0),"BOX",IFERROR(IF(VLOOKUP(BY197,УГО_блоки,3,FALSE)&amp;""&lt;&gt;"",VLOOKUP(BY197,УГО_блоки,3,FALSE),VLOOKUP(BY197,УГО_блоки,2,FALSE)),BY197)))</f>
      </c>
      <c r="BL197" s="129">
        <f t="shared" si="165"/>
      </c>
      <c r="BM197" s="129">
        <f>IF(H197="","",IF(COUNTIF($H$3:H197,H197)=1,MAX($BM$2:BM196)+1,""))</f>
      </c>
      <c r="BN197" s="129">
        <f>IF(I197="","",IF(COUNTIF($I$3:I197,I197)+COUNTIF($J$2:J196,I197)+COUNTIF($K$2:K196,I197)=1,MAX($BN$2:BP196)+1,""))</f>
      </c>
      <c r="BO197" s="129">
        <f>IF(J197="","",IF(COUNTIF($I$3:I197,J197)+COUNTIF($J$3:J197,J197)+COUNTIF($K$2:K196,J197)=1,MAX($BN$2:BP196,BN197)+1,""))</f>
      </c>
      <c r="BP197" s="129">
        <f>IF(K197="","",IF(COUNTIF($I$3:I197,K197)+COUNTIF($J$3:J197,K197)+COUNTIF($K$3:K197,K197)=1,MAX($BN$2:BP196,BN197,BO197)+1,""))</f>
      </c>
      <c r="BQ197" s="129">
        <f>IF(AY197=1,IFERROR(MID(Q197,FIND(" (",Q197)+2,FIND(")",Q197,FIND(" (",Q197))-FIND(" (",Q197)-2),"?"),"")</f>
      </c>
      <c r="BR197" s="129">
        <f>IF(BQ197="","",IF(COUNTIF($BQ$3:BQ197,BQ197)=1,MAX($BR$2:BR196)+1,""))</f>
      </c>
      <c r="BS197" s="129">
        <f>IF(AW197="","",COUNTIF($AW$3:AW197,"?*"))</f>
      </c>
      <c r="BT197" s="129">
        <f>IF(OR(AW197="",AI197=""),"",IF(COUNTIFS($AW$3:AW197,"?*",$AI$3:AI197,AI197)=1,MAX($BT$2:BT196)+1,""))</f>
      </c>
      <c r="BU197" s="129">
        <f>IF(AE197="",0,IF(OR(ISNUMBER(SEARCH("дубль",AE197)),ISNUMBER(SEARCH("ПЕРЕГРУЗ",AE197)),ISNUMBER(SEARCH("ЗАЩИЩ",AE197)),ISNUMBER(SEARCH("КАНАЛ",AE197)),ISNUMBER(SEARCH("без 30",AE197))),2,1))</f>
      </c>
      <c r="BV197" s="129">
        <f>IF(R197="","",COUNTIF($R$3:R197,"?*"))</f>
      </c>
      <c r="BW197" s="129">
        <f>IF(AY197&lt;&gt;1,0,IF(MAX(IFERROR(--VLOOKUP(R197,УГО_спр,5,FALSE),0),IFERROR(--VLOOKUP(AL197,УГО_спр,5,FALSE),0),IFERROR(--VLOOKUP(LEFT(AL197,2),УГО_спр,5,FALSE),0))&gt;0,MAX(IFERROR(--VLOOKUP(R197,УГО_спр,5,FALSE),0),IFERROR(--VLOOKUP(AL197,УГО_спр,5,FALSE),0),IFERROR(--VLOOKUP(LEFT(AL197,2),УГО_спр,5,FALSE),0)),IF(IFERROR(--LEFT(SUBSTITUTE(BQ197,"x","х"),FIND("х",SUBSTITUTE(BQ197,"x","х"))-1),3)&gt;3,Каталог!$S$9,1)))</f>
      </c>
      <c r="BX197" s="129">
        <f>IF(AY197&lt;&gt;1,0,MAX(0,IFERROR(--LEFT(SUBSTITUTE(BQ197,"x","х"),FIND("х",SUBSTITUTE(BQ197,"x","х"))-1),3)-3*BW197))</f>
      </c>
      <c r="BY197" s="129">
        <f>IF(R197="","",IFERROR(VLOOKUP(R197,УГО_спр,2,FALSE),IFERROR(VLOOKUP(AL197,УГО_спр,2,FALSE),IFERROR(VLOOKUP(LEFT(AL197,2),УГО_спр,2,FALSE),""))))</f>
      </c>
    </row>
    <row r="198" spans="1:64" x14ac:dyDescent="0.3">
      <c r="A198" s="135">
        <f>IF(Разбивка_по_щитам!F198=0,"",Разбивка_по_щитам!F198)</f>
      </c>
      <c r="B198" s="138">
        <f>IF(A198="","",Разбивка_по_щитам!C198)</f>
      </c>
      <c r="C198" s="138">
        <f t="shared" si="128"/>
      </c>
      <c r="D198" s="266"/>
      <c r="E198" s="266"/>
      <c r="F198" s="267"/>
      <c r="G198" s="145">
        <f t="shared" si="129"/>
        <v/>
      </c>
      <c r="H198" s="145">
        <f t="shared" si="130"/>
        <v/>
      </c>
      <c r="I198" s="266"/>
      <c r="J198" s="267"/>
      <c r="K198" s="267"/>
      <c r="L198" s="266"/>
      <c r="M198" s="147">
        <f t="shared" si="126"/>
        <v/>
      </c>
      <c r="N198" s="267"/>
      <c r="O198" s="147">
        <f t="shared" si="127"/>
        <v/>
      </c>
      <c r="P198" s="268">
        <f>IF(AY198=1,"XT"&amp;COUNTIFS($A$3:A198,A198,$AY$3:AY198,1),"")</f>
        <v/>
      </c>
      <c r="Q198" s="152">
        <f>IF(R198="","",IFERROR(SUBSTITUTE(Разбивка_по_щитам!P198,CHAR(10)," "),""))</f>
        <v/>
      </c>
      <c r="R198" s="153">
        <f>IF(OR(Разбивка_по_щитам!H198="",Разбивка_по_щитам!H198=0),"",Разбивка_по_щитам!H198)</f>
        <v/>
      </c>
      <c r="S198" s="154">
        <f>IF(R198="","",IFERROR(Разбивка_по_щитам!J198&amp;"",""))</f>
        <v/>
      </c>
      <c r="T198" s="155">
        <f>IF(R198="","",IFERROR(--Разбивка_по_щитам!L198,""))</f>
        <v/>
      </c>
      <c r="U198" s="155">
        <f>IF(R198="","",IFERROR(--Разбивка_по_щитам!K198,""))</f>
        <v/>
      </c>
      <c r="V198" s="138">
        <f>IF(R198="","",IFERROR(IF(Разбивка_по_щитам!M198=0,"",Разбивка_по_щитам!M198),""))</f>
        <v/>
      </c>
      <c r="W198" s="156">
        <f t="shared" si="131"/>
        <v/>
      </c>
      <c r="X198" s="157">
        <f t="shared" si="132"/>
        <v/>
      </c>
      <c r="Y198" s="266"/>
      <c r="Z198" s="158">
        <f t="shared" si="133"/>
        <v/>
      </c>
      <c r="AA198" s="160">
        <f t="shared" si="134"/>
        <v/>
      </c>
      <c r="AB198" s="160">
        <f>IF(R198="","",IFERROR(LOOKUP(INDEX(Справочная!$I$4:$I$19,MATCH(VLOOKUP(R198,Исходные_данные,22,FALSE),Справочная!$J$4:$J$19,0)+1),{6,10,16,20,25,32,40,50,63,80,100,125}),""))</f>
        <v/>
      </c>
      <c r="AC198" s="160">
        <f t="shared" si="135"/>
        <v/>
      </c>
      <c r="AD198" s="161">
        <f t="shared" si="136"/>
        <v/>
      </c>
      <c r="AE198" s="161">
        <f>IF(AND(R198="",G198=""),"",_xlfn.TEXTJOIN("; ",TRUE,IF(AND(R198&lt;&gt;"",V198=""),"нет фазы",""),IF(AND(R198&lt;&gt;"",N(T198)=0),"нет мощности",""),IF(AND(P198&lt;&gt;"",COUNTIFS($A$3:$A$1000,A198,$P$3:$P$1000,P198)&gt;1),"дубль клеммы "&amp;P198,""),IF(AND(W198&lt;&gt;"",W198&lt;&gt;"ok"),W198,""),IF(X198&lt;&gt;"",X198,""),IF(AND(ISNUMBER(SEARCH("(5х",Q198)),N(AK198)=1),"5 жил на 1 фазе",""),IF(AND(AL198="R",E198&lt;&gt;"",N(AS198)=0),"розетка без 30 мА",""),IF(IFERROR(_xlfn.NUMBERVALUE(MID(Q198,FIND("-",Q198,FIND("L=",Q198))+1,FIND("%",Q198)-FIND("-",Q198,FIND("L=",Q198))-1),","),0)&gt;4,"потери &gt; 4 %","")))</f>
      </c>
      <c r="AF198" s="129">
        <f>IF(E198&lt;&gt;"",COUNTIFS($A$3:A198,A198,$E$3:E198,"?*"),IF(OR(A198&lt;&gt;A197,Y198="вручную"),"",AF197))</f>
      </c>
      <c r="AG198" s="129">
        <f t="shared" si="137"/>
      </c>
      <c r="AH198" s="129">
        <f t="shared" si="138"/>
        <v/>
      </c>
      <c r="AI198" s="129">
        <f t="shared" si="139"/>
        <v/>
      </c>
      <c r="AJ198" s="129">
        <f t="shared" si="140"/>
        <v/>
      </c>
      <c r="AK198" s="129">
        <f t="shared" si="141"/>
        <v/>
      </c>
      <c r="AL198" s="129">
        <f t="shared" si="142"/>
        <v/>
      </c>
      <c r="AM198" s="129">
        <f t="shared" si="143"/>
      </c>
      <c r="AN198" s="129">
        <f t="shared" si="144"/>
      </c>
      <c r="AO198" s="129">
        <f t="shared" si="145"/>
        <v/>
      </c>
      <c r="AP198" s="129">
        <f t="shared" si="146"/>
        <v/>
      </c>
      <c r="AQ198" s="129">
        <f t="shared" si="147"/>
        <v/>
      </c>
      <c r="AR198" s="129">
        <f t="shared" si="148"/>
        <v/>
      </c>
      <c r="AS198" s="129">
        <f t="shared" si="149"/>
        <v/>
      </c>
      <c r="AT198" s="129">
        <f t="shared" si="150"/>
        <v/>
      </c>
      <c r="AU198" s="129">
        <f t="shared" si="151"/>
        <v/>
      </c>
      <c r="AV198" s="129">
        <f t="shared" si="152"/>
        <v/>
      </c>
      <c r="AW198" s="129">
        <f>IF(AV198="","",AV198&amp;"."&amp;COUNTIFS($A$3:A198,A198,$AV$3:AV198,AV198))</f>
        <v/>
      </c>
      <c r="AX198" s="129">
        <f t="shared" si="153"/>
        <v/>
      </c>
      <c r="AY198" s="129">
        <f>IF(N198="б/к",0,IF(OR(ISNUMBER(SEARCH("L=",Разбивка_по_щитам!P198)),N198="+",N198="="),1,0))</f>
      </c>
      <c r="AZ198" s="129">
        <f t="shared" si="154"/>
      </c>
      <c r="BA198" s="129">
        <f t="shared" si="155"/>
      </c>
      <c r="BB198" s="129">
        <f t="shared" si="156"/>
      </c>
      <c r="BD198" s="129">
        <f t="shared" si="157"/>
      </c>
      <c r="BE198" s="129">
        <f t="shared" si="158"/>
      </c>
      <c r="BF198" s="129">
        <f t="shared" si="159"/>
      </c>
      <c r="BG198" s="129">
        <f t="shared" si="160"/>
        <v/>
      </c>
      <c r="BH198" s="129">
        <f t="shared" si="161"/>
        <v/>
      </c>
      <c r="BI198" s="129">
        <f t="shared" si="162"/>
        <v/>
      </c>
      <c r="BJ198" s="129">
        <f t="shared" si="163"/>
        <v/>
      </c>
      <c r="BK198" s="129">
        <f>IF(R198="","",IF(OR(BY198="",BY198=0),"BOX",IFERROR(IF(VLOOKUP(BY198,УГО_блоки,3,FALSE)&amp;""&lt;&gt;"",VLOOKUP(BY198,УГО_блоки,3,FALSE),VLOOKUP(BY198,УГО_блоки,2,FALSE)),BY198)))</f>
      </c>
      <c r="BL198" s="129">
        <f t="shared" si="165"/>
      </c>
      <c r="BM198" s="129">
        <f>IF(H198="","",IF(COUNTIF($H$3:H198,H198)=1,MAX($BM$2:BM197)+1,""))</f>
      </c>
      <c r="BN198" s="129">
        <f>IF(I198="","",IF(COUNTIF($I$3:I198,I198)+COUNTIF($J$2:J197,I198)+COUNTIF($K$2:K197,I198)=1,MAX($BN$2:BP197)+1,""))</f>
      </c>
      <c r="BO198" s="129">
        <f>IF(J198="","",IF(COUNTIF($I$3:I198,J198)+COUNTIF($J$3:J198,J198)+COUNTIF($K$2:K197,J198)=1,MAX($BN$2:BP197,BN198)+1,""))</f>
      </c>
      <c r="BP198" s="129">
        <f>IF(K198="","",IF(COUNTIF($I$3:I198,K198)+COUNTIF($J$3:J198,K198)+COUNTIF($K$3:K198,K198)=1,MAX($BN$2:BP197,BN198,BO198)+1,""))</f>
      </c>
      <c r="BQ198" s="129">
        <f>IF(AY198=1,IFERROR(MID(Q198,FIND(" (",Q198)+2,FIND(")",Q198,FIND(" (",Q198))-FIND(" (",Q198)-2),"?"),"")</f>
      </c>
      <c r="BR198" s="129">
        <f>IF(BQ198="","",IF(COUNTIF($BQ$3:BQ198,BQ198)=1,MAX($BR$2:BR197)+1,""))</f>
      </c>
      <c r="BS198" s="129">
        <f>IF(AW198="","",COUNTIF($AW$3:AW198,"?*"))</f>
      </c>
      <c r="BT198" s="129">
        <f>IF(OR(AW198="",AI198=""),"",IF(COUNTIFS($AW$3:AW198,"?*",$AI$3:AI198,AI198)=1,MAX($BT$2:BT197)+1,""))</f>
      </c>
      <c r="BU198" s="129">
        <f>IF(AE198="",0,IF(OR(ISNUMBER(SEARCH("дубль",AE198)),ISNUMBER(SEARCH("ПЕРЕГРУЗ",AE198)),ISNUMBER(SEARCH("ЗАЩИЩ",AE198)),ISNUMBER(SEARCH("КАНАЛ",AE198)),ISNUMBER(SEARCH("без 30",AE198))),2,1))</f>
      </c>
      <c r="BV198" s="129">
        <f>IF(R198="","",COUNTIF($R$3:R198,"?*"))</f>
      </c>
      <c r="BW198" s="129">
        <f>IF(AY198&lt;&gt;1,0,IF(MAX(IFERROR(--VLOOKUP(R198,УГО_спр,5,FALSE),0),IFERROR(--VLOOKUP(AL198,УГО_спр,5,FALSE),0),IFERROR(--VLOOKUP(LEFT(AL198,2),УГО_спр,5,FALSE),0))&gt;0,MAX(IFERROR(--VLOOKUP(R198,УГО_спр,5,FALSE),0),IFERROR(--VLOOKUP(AL198,УГО_спр,5,FALSE),0),IFERROR(--VLOOKUP(LEFT(AL198,2),УГО_спр,5,FALSE),0)),IF(IFERROR(--LEFT(SUBSTITUTE(BQ198,"x","х"),FIND("х",SUBSTITUTE(BQ198,"x","х"))-1),3)&gt;3,Каталог!$S$9,1)))</f>
      </c>
      <c r="BX198" s="129">
        <f>IF(AY198&lt;&gt;1,0,MAX(0,IFERROR(--LEFT(SUBSTITUTE(BQ198,"x","х"),FIND("х",SUBSTITUTE(BQ198,"x","х"))-1),3)-3*BW198))</f>
      </c>
      <c r="BY198" s="129">
        <f>IF(R198="","",IFERROR(VLOOKUP(R198,УГО_спр,2,FALSE),IFERROR(VLOOKUP(AL198,УГО_спр,2,FALSE),IFERROR(VLOOKUP(LEFT(AL198,2),УГО_спр,2,FALSE),""))))</f>
      </c>
    </row>
    <row r="199" spans="1:64" x14ac:dyDescent="0.3">
      <c r="A199" s="135">
        <f>IF(Разбивка_по_щитам!F199=0,"",Разбивка_по_щитам!F199)</f>
      </c>
      <c r="B199" s="138">
        <f>IF(A199="","",Разбивка_по_щитам!C199)</f>
      </c>
      <c r="C199" s="138">
        <f t="shared" si="128"/>
      </c>
      <c r="D199" s="266"/>
      <c r="E199" s="266"/>
      <c r="F199" s="267"/>
      <c r="G199" s="145">
        <f t="shared" si="129"/>
        <v/>
      </c>
      <c r="H199" s="145">
        <f t="shared" si="130"/>
        <v/>
      </c>
      <c r="I199" s="266"/>
      <c r="J199" s="267"/>
      <c r="K199" s="267"/>
      <c r="L199" s="266"/>
      <c r="M199" s="147">
        <f t="shared" si="126"/>
        <v/>
      </c>
      <c r="N199" s="267"/>
      <c r="O199" s="147">
        <f t="shared" si="127"/>
        <v/>
      </c>
      <c r="P199" s="268">
        <f>IF(AY199=1,"XT"&amp;COUNTIFS($A$3:A199,A199,$AY$3:AY199,1),"")</f>
        <v/>
      </c>
      <c r="Q199" s="152">
        <f>IF(R199="","",IFERROR(SUBSTITUTE(Разбивка_по_щитам!P199,CHAR(10)," "),""))</f>
        <v/>
      </c>
      <c r="R199" s="153">
        <f>IF(OR(Разбивка_по_щитам!H199="",Разбивка_по_щитам!H199=0),"",Разбивка_по_щитам!H199)</f>
        <v/>
      </c>
      <c r="S199" s="154">
        <f>IF(R199="","",IFERROR(Разбивка_по_щитам!J199&amp;"",""))</f>
        <v/>
      </c>
      <c r="T199" s="155">
        <f>IF(R199="","",IFERROR(--Разбивка_по_щитам!L199,""))</f>
        <v/>
      </c>
      <c r="U199" s="155">
        <f>IF(R199="","",IFERROR(--Разбивка_по_щитам!K199,""))</f>
        <v/>
      </c>
      <c r="V199" s="138">
        <f>IF(R199="","",IFERROR(IF(Разбивка_по_щитам!M199=0,"",Разбивка_по_щитам!M199),""))</f>
        <v/>
      </c>
      <c r="W199" s="156">
        <f t="shared" si="131"/>
        <v/>
      </c>
      <c r="X199" s="157">
        <f t="shared" si="132"/>
        <v/>
      </c>
      <c r="Y199" s="266"/>
      <c r="Z199" s="158">
        <f t="shared" si="133"/>
        <v/>
      </c>
      <c r="AA199" s="160">
        <f t="shared" si="134"/>
        <v/>
      </c>
      <c r="AB199" s="160">
        <f>IF(R199="","",IFERROR(LOOKUP(INDEX(Справочная!$I$4:$I$19,MATCH(VLOOKUP(R199,Исходные_данные,22,FALSE),Справочная!$J$4:$J$19,0)+1),{6,10,16,20,25,32,40,50,63,80,100,125}),""))</f>
        <v/>
      </c>
      <c r="AC199" s="160">
        <f t="shared" si="135"/>
        <v/>
      </c>
      <c r="AD199" s="161">
        <f t="shared" si="136"/>
        <v/>
      </c>
      <c r="AE199" s="161">
        <f>IF(AND(R199="",G199=""),"",_xlfn.TEXTJOIN("; ",TRUE,IF(AND(R199&lt;&gt;"",V199=""),"нет фазы",""),IF(AND(R199&lt;&gt;"",N(T199)=0),"нет мощности",""),IF(AND(P199&lt;&gt;"",COUNTIFS($A$3:$A$1000,A199,$P$3:$P$1000,P199)&gt;1),"дубль клеммы "&amp;P199,""),IF(AND(W199&lt;&gt;"",W199&lt;&gt;"ok"),W199,""),IF(X199&lt;&gt;"",X199,""),IF(AND(ISNUMBER(SEARCH("(5х",Q199)),N(AK199)=1),"5 жил на 1 фазе",""),IF(AND(AL199="R",E199&lt;&gt;"",N(AS199)=0),"розетка без 30 мА",""),IF(IFERROR(_xlfn.NUMBERVALUE(MID(Q199,FIND("-",Q199,FIND("L=",Q199))+1,FIND("%",Q199)-FIND("-",Q199,FIND("L=",Q199))-1),","),0)&gt;4,"потери &gt; 4 %","")))</f>
      </c>
      <c r="AF199" s="129">
        <f>IF(E199&lt;&gt;"",COUNTIFS($A$3:A199,A199,$E$3:E199,"?*"),IF(OR(A199&lt;&gt;A198,Y199="вручную"),"",AF198))</f>
      </c>
      <c r="AG199" s="129">
        <f t="shared" si="137"/>
      </c>
      <c r="AH199" s="129">
        <f t="shared" si="138"/>
        <v/>
      </c>
      <c r="AI199" s="129">
        <f t="shared" si="139"/>
        <v/>
      </c>
      <c r="AJ199" s="129">
        <f t="shared" si="140"/>
        <v/>
      </c>
      <c r="AK199" s="129">
        <f t="shared" si="141"/>
        <v/>
      </c>
      <c r="AL199" s="129">
        <f t="shared" si="142"/>
        <v/>
      </c>
      <c r="AM199" s="129">
        <f t="shared" si="143"/>
      </c>
      <c r="AN199" s="129">
        <f t="shared" si="144"/>
      </c>
      <c r="AO199" s="129">
        <f t="shared" si="145"/>
        <v/>
      </c>
      <c r="AP199" s="129">
        <f t="shared" si="146"/>
        <v/>
      </c>
      <c r="AQ199" s="129">
        <f t="shared" si="147"/>
        <v/>
      </c>
      <c r="AR199" s="129">
        <f t="shared" si="148"/>
        <v/>
      </c>
      <c r="AS199" s="129">
        <f t="shared" si="149"/>
        <v/>
      </c>
      <c r="AT199" s="129">
        <f t="shared" si="150"/>
        <v/>
      </c>
      <c r="AU199" s="129">
        <f t="shared" si="151"/>
        <v/>
      </c>
      <c r="AV199" s="129">
        <f t="shared" si="152"/>
        <v/>
      </c>
      <c r="AW199" s="129">
        <f>IF(AV199="","",AV199&amp;"."&amp;COUNTIFS($A$3:A199,A199,$AV$3:AV199,AV199))</f>
        <v/>
      </c>
      <c r="AX199" s="129">
        <f t="shared" si="153"/>
        <v/>
      </c>
      <c r="AY199" s="129">
        <f>IF(N199="б/к",0,IF(OR(ISNUMBER(SEARCH("L=",Разбивка_по_щитам!P199)),N199="+",N199="="),1,0))</f>
      </c>
      <c r="AZ199" s="129">
        <f t="shared" si="154"/>
      </c>
      <c r="BA199" s="129">
        <f t="shared" si="155"/>
      </c>
      <c r="BB199" s="129">
        <f t="shared" si="156"/>
      </c>
      <c r="BD199" s="129">
        <f t="shared" si="157"/>
      </c>
      <c r="BE199" s="129">
        <f t="shared" si="158"/>
      </c>
      <c r="BF199" s="129">
        <f t="shared" si="159"/>
      </c>
      <c r="BG199" s="129">
        <f t="shared" si="160"/>
        <v/>
      </c>
      <c r="BH199" s="129">
        <f t="shared" si="161"/>
        <v/>
      </c>
      <c r="BI199" s="129">
        <f t="shared" si="162"/>
        <v/>
      </c>
      <c r="BJ199" s="129">
        <f t="shared" si="163"/>
        <v/>
      </c>
      <c r="BK199" s="129">
        <f>IF(R199="","",IF(OR(BY199="",BY199=0),"BOX",IFERROR(IF(VLOOKUP(BY199,УГО_блоки,3,FALSE)&amp;""&lt;&gt;"",VLOOKUP(BY199,УГО_блоки,3,FALSE),VLOOKUP(BY199,УГО_блоки,2,FALSE)),BY199)))</f>
      </c>
      <c r="BL199" s="129">
        <f t="shared" si="165"/>
      </c>
      <c r="BM199" s="129">
        <f>IF(H199="","",IF(COUNTIF($H$3:H199,H199)=1,MAX($BM$2:BM198)+1,""))</f>
      </c>
      <c r="BN199" s="129">
        <f>IF(I199="","",IF(COUNTIF($I$3:I199,I199)+COUNTIF($J$2:J198,I199)+COUNTIF($K$2:K198,I199)=1,MAX($BN$2:BP198)+1,""))</f>
      </c>
      <c r="BO199" s="129">
        <f>IF(J199="","",IF(COUNTIF($I$3:I199,J199)+COUNTIF($J$3:J199,J199)+COUNTIF($K$2:K198,J199)=1,MAX($BN$2:BP198,BN199)+1,""))</f>
      </c>
      <c r="BP199" s="129">
        <f>IF(K199="","",IF(COUNTIF($I$3:I199,K199)+COUNTIF($J$3:J199,K199)+COUNTIF($K$3:K199,K199)=1,MAX($BN$2:BP198,BN199,BO199)+1,""))</f>
      </c>
      <c r="BQ199" s="129">
        <f>IF(AY199=1,IFERROR(MID(Q199,FIND(" (",Q199)+2,FIND(")",Q199,FIND(" (",Q199))-FIND(" (",Q199)-2),"?"),"")</f>
      </c>
      <c r="BR199" s="129">
        <f>IF(BQ199="","",IF(COUNTIF($BQ$3:BQ199,BQ199)=1,MAX($BR$2:BR198)+1,""))</f>
      </c>
      <c r="BS199" s="129">
        <f>IF(AW199="","",COUNTIF($AW$3:AW199,"?*"))</f>
      </c>
      <c r="BT199" s="129">
        <f>IF(OR(AW199="",AI199=""),"",IF(COUNTIFS($AW$3:AW199,"?*",$AI$3:AI199,AI199)=1,MAX($BT$2:BT198)+1,""))</f>
      </c>
      <c r="BU199" s="129">
        <f>IF(AE199="",0,IF(OR(ISNUMBER(SEARCH("дубль",AE199)),ISNUMBER(SEARCH("ПЕРЕГРУЗ",AE199)),ISNUMBER(SEARCH("ЗАЩИЩ",AE199)),ISNUMBER(SEARCH("КАНАЛ",AE199)),ISNUMBER(SEARCH("без 30",AE199))),2,1))</f>
      </c>
      <c r="BV199" s="129">
        <f>IF(R199="","",COUNTIF($R$3:R199,"?*"))</f>
      </c>
      <c r="BW199" s="129">
        <f>IF(AY199&lt;&gt;1,0,IF(MAX(IFERROR(--VLOOKUP(R199,УГО_спр,5,FALSE),0),IFERROR(--VLOOKUP(AL199,УГО_спр,5,FALSE),0),IFERROR(--VLOOKUP(LEFT(AL199,2),УГО_спр,5,FALSE),0))&gt;0,MAX(IFERROR(--VLOOKUP(R199,УГО_спр,5,FALSE),0),IFERROR(--VLOOKUP(AL199,УГО_спр,5,FALSE),0),IFERROR(--VLOOKUP(LEFT(AL199,2),УГО_спр,5,FALSE),0)),IF(IFERROR(--LEFT(SUBSTITUTE(BQ199,"x","х"),FIND("х",SUBSTITUTE(BQ199,"x","х"))-1),3)&gt;3,Каталог!$S$9,1)))</f>
      </c>
      <c r="BX199" s="129">
        <f>IF(AY199&lt;&gt;1,0,MAX(0,IFERROR(--LEFT(SUBSTITUTE(BQ199,"x","х"),FIND("х",SUBSTITUTE(BQ199,"x","х"))-1),3)-3*BW199))</f>
      </c>
      <c r="BY199" s="129">
        <f>IF(R199="","",IFERROR(VLOOKUP(R199,УГО_спр,2,FALSE),IFERROR(VLOOKUP(AL199,УГО_спр,2,FALSE),IFERROR(VLOOKUP(LEFT(AL199,2),УГО_спр,2,FALSE),""))))</f>
      </c>
    </row>
    <row r="200" spans="1:64" x14ac:dyDescent="0.3">
      <c r="A200" s="135">
        <f>IF(Разбивка_по_щитам!F200=0,"",Разбивка_по_щитам!F200)</f>
      </c>
      <c r="B200" s="138">
        <f>IF(A200="","",Разбивка_по_щитам!C200)</f>
      </c>
      <c r="C200" s="138">
        <f t="shared" si="128"/>
      </c>
      <c r="D200" s="266"/>
      <c r="E200" s="266"/>
      <c r="F200" s="267"/>
      <c r="G200" s="145">
        <f t="shared" si="129"/>
        <v/>
      </c>
      <c r="H200" s="145">
        <f t="shared" si="130"/>
        <v/>
      </c>
      <c r="I200" s="266"/>
      <c r="J200" s="267"/>
      <c r="K200" s="267"/>
      <c r="L200" s="266"/>
      <c r="M200" s="147">
        <f t="shared" si="126"/>
        <v/>
      </c>
      <c r="N200" s="267"/>
      <c r="O200" s="147">
        <f t="shared" si="127"/>
        <v/>
      </c>
      <c r="P200" s="268">
        <f>IF(AY200=1,"XT"&amp;COUNTIFS($A$3:A200,A200,$AY$3:AY200,1),"")</f>
        <v/>
      </c>
      <c r="Q200" s="152">
        <f>IF(R200="","",IFERROR(SUBSTITUTE(Разбивка_по_щитам!P200,CHAR(10)," "),""))</f>
        <v/>
      </c>
      <c r="R200" s="153">
        <f>IF(OR(Разбивка_по_щитам!H200="",Разбивка_по_щитам!H200=0),"",Разбивка_по_щитам!H200)</f>
        <v/>
      </c>
      <c r="S200" s="154">
        <f>IF(R200="","",IFERROR(Разбивка_по_щитам!J200&amp;"",""))</f>
        <v/>
      </c>
      <c r="T200" s="155">
        <f>IF(R200="","",IFERROR(--Разбивка_по_щитам!L200,""))</f>
        <v/>
      </c>
      <c r="U200" s="155">
        <f>IF(R200="","",IFERROR(--Разбивка_по_щитам!K200,""))</f>
        <v/>
      </c>
      <c r="V200" s="138">
        <f>IF(R200="","",IFERROR(IF(Разбивка_по_щитам!M200=0,"",Разбивка_по_щитам!M200),""))</f>
        <v/>
      </c>
      <c r="W200" s="156">
        <f t="shared" si="131"/>
        <v/>
      </c>
      <c r="X200" s="157">
        <f t="shared" si="132"/>
        <v/>
      </c>
      <c r="Y200" s="266"/>
      <c r="Z200" s="158">
        <f t="shared" si="133"/>
        <v/>
      </c>
      <c r="AA200" s="160">
        <f t="shared" si="134"/>
        <v/>
      </c>
      <c r="AB200" s="160">
        <f>IF(R200="","",IFERROR(LOOKUP(INDEX(Справочная!$I$4:$I$19,MATCH(VLOOKUP(R200,Исходные_данные,22,FALSE),Справочная!$J$4:$J$19,0)+1),{6,10,16,20,25,32,40,50,63,80,100,125}),""))</f>
        <v/>
      </c>
      <c r="AC200" s="160">
        <f t="shared" si="135"/>
        <v/>
      </c>
      <c r="AD200" s="161">
        <f t="shared" si="136"/>
        <v/>
      </c>
      <c r="AE200" s="161">
        <f>IF(AND(R200="",G200=""),"",_xlfn.TEXTJOIN("; ",TRUE,IF(AND(R200&lt;&gt;"",V200=""),"нет фазы",""),IF(AND(R200&lt;&gt;"",N(T200)=0),"нет мощности",""),IF(AND(P200&lt;&gt;"",COUNTIFS($A$3:$A$1000,A200,$P$3:$P$1000,P200)&gt;1),"дубль клеммы "&amp;P200,""),IF(AND(W200&lt;&gt;"",W200&lt;&gt;"ok"),W200,""),IF(X200&lt;&gt;"",X200,""),IF(AND(ISNUMBER(SEARCH("(5х",Q200)),N(AK200)=1),"5 жил на 1 фазе",""),IF(AND(AL200="R",E200&lt;&gt;"",N(AS200)=0),"розетка без 30 мА",""),IF(IFERROR(_xlfn.NUMBERVALUE(MID(Q200,FIND("-",Q200,FIND("L=",Q200))+1,FIND("%",Q200)-FIND("-",Q200,FIND("L=",Q200))-1),","),0)&gt;4,"потери &gt; 4 %","")))</f>
      </c>
      <c r="AF200" s="129">
        <f>IF(E200&lt;&gt;"",COUNTIFS($A$3:A200,A200,$E$3:E200,"?*"),IF(OR(A200&lt;&gt;A199,Y200="вручную"),"",AF199))</f>
      </c>
      <c r="AG200" s="129">
        <f t="shared" si="137"/>
      </c>
      <c r="AH200" s="129">
        <f t="shared" si="138"/>
        <v/>
      </c>
      <c r="AI200" s="129">
        <f t="shared" si="139"/>
        <v/>
      </c>
      <c r="AJ200" s="129">
        <f t="shared" si="140"/>
        <v/>
      </c>
      <c r="AK200" s="129">
        <f t="shared" si="141"/>
        <v/>
      </c>
      <c r="AL200" s="129">
        <f t="shared" si="142"/>
        <v/>
      </c>
      <c r="AM200" s="129">
        <f t="shared" si="143"/>
      </c>
      <c r="AN200" s="129">
        <f t="shared" si="144"/>
      </c>
      <c r="AO200" s="129">
        <f t="shared" si="145"/>
        <v/>
      </c>
      <c r="AP200" s="129">
        <f t="shared" si="146"/>
        <v/>
      </c>
      <c r="AQ200" s="129">
        <f t="shared" si="147"/>
        <v/>
      </c>
      <c r="AR200" s="129">
        <f t="shared" si="148"/>
        <v/>
      </c>
      <c r="AS200" s="129">
        <f t="shared" si="149"/>
        <v/>
      </c>
      <c r="AT200" s="129">
        <f t="shared" si="150"/>
        <v/>
      </c>
      <c r="AU200" s="129">
        <f t="shared" si="151"/>
        <v/>
      </c>
      <c r="AV200" s="129">
        <f t="shared" si="152"/>
        <v/>
      </c>
      <c r="AW200" s="129">
        <f>IF(AV200="","",AV200&amp;"."&amp;COUNTIFS($A$3:A200,A200,$AV$3:AV200,AV200))</f>
        <v/>
      </c>
      <c r="AX200" s="129">
        <f t="shared" si="153"/>
        <v/>
      </c>
      <c r="AY200" s="129">
        <f>IF(N200="б/к",0,IF(OR(ISNUMBER(SEARCH("L=",Разбивка_по_щитам!P200)),N200="+",N200="="),1,0))</f>
      </c>
      <c r="AZ200" s="129">
        <f t="shared" si="154"/>
      </c>
      <c r="BA200" s="129">
        <f t="shared" si="155"/>
      </c>
      <c r="BB200" s="129">
        <f t="shared" si="156"/>
      </c>
      <c r="BD200" s="129">
        <f t="shared" si="157"/>
      </c>
      <c r="BE200" s="129">
        <f t="shared" si="158"/>
      </c>
      <c r="BF200" s="129">
        <f t="shared" si="159"/>
      </c>
      <c r="BG200" s="129">
        <f t="shared" si="160"/>
        <v/>
      </c>
      <c r="BH200" s="129">
        <f t="shared" si="161"/>
        <v/>
      </c>
      <c r="BI200" s="129">
        <f t="shared" si="162"/>
        <v/>
      </c>
      <c r="BJ200" s="129">
        <f t="shared" si="163"/>
        <v/>
      </c>
      <c r="BK200" s="129">
        <f>IF(R200="","",IF(OR(BY200="",BY200=0),"BOX",IFERROR(IF(VLOOKUP(BY200,УГО_блоки,3,FALSE)&amp;""&lt;&gt;"",VLOOKUP(BY200,УГО_блоки,3,FALSE),VLOOKUP(BY200,УГО_блоки,2,FALSE)),BY200)))</f>
      </c>
      <c r="BL200" s="129">
        <f t="shared" si="165"/>
      </c>
      <c r="BM200" s="129">
        <f>IF(H200="","",IF(COUNTIF($H$3:H200,H200)=1,MAX($BM$2:BM199)+1,""))</f>
      </c>
      <c r="BN200" s="129">
        <f>IF(I200="","",IF(COUNTIF($I$3:I200,I200)+COUNTIF($J$2:J199,I200)+COUNTIF($K$2:K199,I200)=1,MAX($BN$2:BP199)+1,""))</f>
      </c>
      <c r="BO200" s="129">
        <f>IF(J200="","",IF(COUNTIF($I$3:I200,J200)+COUNTIF($J$3:J200,J200)+COUNTIF($K$2:K199,J200)=1,MAX($BN$2:BP199,BN200)+1,""))</f>
      </c>
      <c r="BP200" s="129">
        <f>IF(K200="","",IF(COUNTIF($I$3:I200,K200)+COUNTIF($J$3:J200,K200)+COUNTIF($K$3:K200,K200)=1,MAX($BN$2:BP199,BN200,BO200)+1,""))</f>
      </c>
      <c r="BQ200" s="129">
        <f>IF(AY200=1,IFERROR(MID(Q200,FIND(" (",Q200)+2,FIND(")",Q200,FIND(" (",Q200))-FIND(" (",Q200)-2),"?"),"")</f>
      </c>
      <c r="BR200" s="129">
        <f>IF(BQ200="","",IF(COUNTIF($BQ$3:BQ200,BQ200)=1,MAX($BR$2:BR199)+1,""))</f>
      </c>
      <c r="BS200" s="129">
        <f>IF(AW200="","",COUNTIF($AW$3:AW200,"?*"))</f>
      </c>
      <c r="BT200" s="129">
        <f>IF(OR(AW200="",AI200=""),"",IF(COUNTIFS($AW$3:AW200,"?*",$AI$3:AI200,AI200)=1,MAX($BT$2:BT199)+1,""))</f>
      </c>
      <c r="BU200" s="129">
        <f>IF(AE200="",0,IF(OR(ISNUMBER(SEARCH("дубль",AE200)),ISNUMBER(SEARCH("ПЕРЕГРУЗ",AE200)),ISNUMBER(SEARCH("ЗАЩИЩ",AE200)),ISNUMBER(SEARCH("КАНАЛ",AE200)),ISNUMBER(SEARCH("без 30",AE200))),2,1))</f>
      </c>
      <c r="BV200" s="129">
        <f>IF(R200="","",COUNTIF($R$3:R200,"?*"))</f>
      </c>
      <c r="BW200" s="129">
        <f>IF(AY200&lt;&gt;1,0,IF(MAX(IFERROR(--VLOOKUP(R200,УГО_спр,5,FALSE),0),IFERROR(--VLOOKUP(AL200,УГО_спр,5,FALSE),0),IFERROR(--VLOOKUP(LEFT(AL200,2),УГО_спр,5,FALSE),0))&gt;0,MAX(IFERROR(--VLOOKUP(R200,УГО_спр,5,FALSE),0),IFERROR(--VLOOKUP(AL200,УГО_спр,5,FALSE),0),IFERROR(--VLOOKUP(LEFT(AL200,2),УГО_спр,5,FALSE),0)),IF(IFERROR(--LEFT(SUBSTITUTE(BQ200,"x","х"),FIND("х",SUBSTITUTE(BQ200,"x","х"))-1),3)&gt;3,Каталог!$S$9,1)))</f>
      </c>
      <c r="BX200" s="129">
        <f>IF(AY200&lt;&gt;1,0,MAX(0,IFERROR(--LEFT(SUBSTITUTE(BQ200,"x","х"),FIND("х",SUBSTITUTE(BQ200,"x","х"))-1),3)-3*BW200))</f>
      </c>
      <c r="BY200" s="129">
        <f>IF(R200="","",IFERROR(VLOOKUP(R200,УГО_спр,2,FALSE),IFERROR(VLOOKUP(AL200,УГО_спр,2,FALSE),IFERROR(VLOOKUP(LEFT(AL200,2),УГО_спр,2,FALSE),""))))</f>
      </c>
    </row>
    <row r="201" spans="1:64" x14ac:dyDescent="0.3">
      <c r="A201" s="135">
        <f>IF(Разбивка_по_щитам!F201=0,"",Разбивка_по_щитам!F201)</f>
      </c>
      <c r="B201" s="138">
        <f>IF(A201="","",Разбивка_по_щитам!C201)</f>
      </c>
      <c r="C201" s="138">
        <f t="shared" si="128"/>
      </c>
      <c r="D201" s="266"/>
      <c r="E201" s="266"/>
      <c r="F201" s="267"/>
      <c r="G201" s="145">
        <f t="shared" si="129"/>
        <v/>
      </c>
      <c r="H201" s="145">
        <f t="shared" si="130"/>
        <v/>
      </c>
      <c r="I201" s="266"/>
      <c r="J201" s="267"/>
      <c r="K201" s="267"/>
      <c r="L201" s="266"/>
      <c r="M201" s="147">
        <f t="shared" si="126"/>
        <v/>
      </c>
      <c r="N201" s="267"/>
      <c r="O201" s="147">
        <f t="shared" si="127"/>
        <v/>
      </c>
      <c r="P201" s="268">
        <f>IF(AY201=1,"XT"&amp;COUNTIFS($A$3:A201,A201,$AY$3:AY201,1),"")</f>
        <v/>
      </c>
      <c r="Q201" s="152">
        <f>IF(R201="","",IFERROR(SUBSTITUTE(Разбивка_по_щитам!P201,CHAR(10)," "),""))</f>
        <v/>
      </c>
      <c r="R201" s="153">
        <f>IF(OR(Разбивка_по_щитам!H201="",Разбивка_по_щитам!H201=0),"",Разбивка_по_щитам!H201)</f>
        <v/>
      </c>
      <c r="S201" s="154">
        <f>IF(R201="","",IFERROR(Разбивка_по_щитам!J201&amp;"",""))</f>
        <v/>
      </c>
      <c r="T201" s="155">
        <f>IF(R201="","",IFERROR(--Разбивка_по_щитам!L201,""))</f>
        <v/>
      </c>
      <c r="U201" s="155">
        <f>IF(R201="","",IFERROR(--Разбивка_по_щитам!K201,""))</f>
        <v/>
      </c>
      <c r="V201" s="138">
        <f>IF(R201="","",IFERROR(IF(Разбивка_по_щитам!M201=0,"",Разбивка_по_щитам!M201),""))</f>
        <v/>
      </c>
      <c r="W201" s="156">
        <f t="shared" si="131"/>
        <v/>
      </c>
      <c r="X201" s="157">
        <f t="shared" si="132"/>
        <v/>
      </c>
      <c r="Y201" s="266"/>
      <c r="Z201" s="158">
        <f t="shared" si="133"/>
        <v/>
      </c>
      <c r="AA201" s="160">
        <f t="shared" si="134"/>
        <v/>
      </c>
      <c r="AB201" s="160">
        <f>IF(R201="","",IFERROR(LOOKUP(INDEX(Справочная!$I$4:$I$19,MATCH(VLOOKUP(R201,Исходные_данные,22,FALSE),Справочная!$J$4:$J$19,0)+1),{6,10,16,20,25,32,40,50,63,80,100,125}),""))</f>
        <v/>
      </c>
      <c r="AC201" s="160">
        <f t="shared" si="135"/>
        <v/>
      </c>
      <c r="AD201" s="161">
        <f t="shared" si="136"/>
        <v/>
      </c>
      <c r="AE201" s="161">
        <f>IF(AND(R201="",G201=""),"",_xlfn.TEXTJOIN("; ",TRUE,IF(AND(R201&lt;&gt;"",V201=""),"нет фазы",""),IF(AND(R201&lt;&gt;"",N(T201)=0),"нет мощности",""),IF(AND(P201&lt;&gt;"",COUNTIFS($A$3:$A$1000,A201,$P$3:$P$1000,P201)&gt;1),"дубль клеммы "&amp;P201,""),IF(AND(W201&lt;&gt;"",W201&lt;&gt;"ok"),W201,""),IF(X201&lt;&gt;"",X201,""),IF(AND(ISNUMBER(SEARCH("(5х",Q201)),N(AK201)=1),"5 жил на 1 фазе",""),IF(AND(AL201="R",E201&lt;&gt;"",N(AS201)=0),"розетка без 30 мА",""),IF(IFERROR(_xlfn.NUMBERVALUE(MID(Q201,FIND("-",Q201,FIND("L=",Q201))+1,FIND("%",Q201)-FIND("-",Q201,FIND("L=",Q201))-1),","),0)&gt;4,"потери &gt; 4 %","")))</f>
      </c>
      <c r="AF201" s="129">
        <f>IF(E201&lt;&gt;"",COUNTIFS($A$3:A201,A201,$E$3:E201,"?*"),IF(OR(A201&lt;&gt;A200,Y201="вручную"),"",AF200))</f>
      </c>
      <c r="AG201" s="129">
        <f t="shared" si="137"/>
      </c>
      <c r="AH201" s="129">
        <f t="shared" si="138"/>
        <v/>
      </c>
      <c r="AI201" s="129">
        <f t="shared" si="139"/>
        <v/>
      </c>
      <c r="AJ201" s="129">
        <f t="shared" si="140"/>
        <v/>
      </c>
      <c r="AK201" s="129">
        <f t="shared" si="141"/>
        <v/>
      </c>
      <c r="AL201" s="129">
        <f t="shared" si="142"/>
        <v/>
      </c>
      <c r="AM201" s="129">
        <f t="shared" si="143"/>
      </c>
      <c r="AN201" s="129">
        <f t="shared" si="144"/>
      </c>
      <c r="AO201" s="129">
        <f t="shared" si="145"/>
        <v/>
      </c>
      <c r="AP201" s="129">
        <f t="shared" si="146"/>
        <v/>
      </c>
      <c r="AQ201" s="129">
        <f t="shared" si="147"/>
        <v/>
      </c>
      <c r="AR201" s="129">
        <f t="shared" si="148"/>
        <v/>
      </c>
      <c r="AS201" s="129">
        <f t="shared" si="149"/>
        <v/>
      </c>
      <c r="AT201" s="129">
        <f t="shared" si="150"/>
        <v/>
      </c>
      <c r="AU201" s="129">
        <f t="shared" si="151"/>
        <v/>
      </c>
      <c r="AV201" s="129">
        <f t="shared" si="152"/>
        <v/>
      </c>
      <c r="AW201" s="129">
        <f>IF(AV201="","",AV201&amp;"."&amp;COUNTIFS($A$3:A201,A201,$AV$3:AV201,AV201))</f>
        <v/>
      </c>
      <c r="AX201" s="129">
        <f t="shared" si="153"/>
        <v/>
      </c>
      <c r="AY201" s="129">
        <f>IF(N201="б/к",0,IF(OR(ISNUMBER(SEARCH("L=",Разбивка_по_щитам!P201)),N201="+",N201="="),1,0))</f>
      </c>
      <c r="AZ201" s="129">
        <f t="shared" si="154"/>
      </c>
      <c r="BA201" s="129">
        <f t="shared" si="155"/>
      </c>
      <c r="BB201" s="129">
        <f t="shared" si="156"/>
      </c>
      <c r="BD201" s="129">
        <f t="shared" si="157"/>
      </c>
      <c r="BE201" s="129">
        <f t="shared" si="158"/>
      </c>
      <c r="BF201" s="129">
        <f t="shared" si="159"/>
      </c>
      <c r="BG201" s="129">
        <f t="shared" si="160"/>
        <v/>
      </c>
      <c r="BH201" s="129">
        <f t="shared" si="161"/>
        <v/>
      </c>
      <c r="BI201" s="129">
        <f t="shared" si="162"/>
        <v/>
      </c>
      <c r="BJ201" s="129">
        <f t="shared" si="163"/>
        <v/>
      </c>
      <c r="BK201" s="129">
        <f>IF(R201="","",IF(OR(BY201="",BY201=0),"BOX",IFERROR(IF(VLOOKUP(BY201,УГО_блоки,3,FALSE)&amp;""&lt;&gt;"",VLOOKUP(BY201,УГО_блоки,3,FALSE),VLOOKUP(BY201,УГО_блоки,2,FALSE)),BY201)))</f>
      </c>
      <c r="BL201" s="129">
        <f t="shared" si="165"/>
      </c>
      <c r="BM201" s="129">
        <f>IF(H201="","",IF(COUNTIF($H$3:H201,H201)=1,MAX($BM$2:BM200)+1,""))</f>
      </c>
      <c r="BN201" s="129">
        <f>IF(I201="","",IF(COUNTIF($I$3:I201,I201)+COUNTIF($J$2:J200,I201)+COUNTIF($K$2:K200,I201)=1,MAX($BN$2:BP200)+1,""))</f>
      </c>
      <c r="BO201" s="129">
        <f>IF(J201="","",IF(COUNTIF($I$3:I201,J201)+COUNTIF($J$3:J201,J201)+COUNTIF($K$2:K200,J201)=1,MAX($BN$2:BP200,BN201)+1,""))</f>
      </c>
      <c r="BP201" s="129">
        <f>IF(K201="","",IF(COUNTIF($I$3:I201,K201)+COUNTIF($J$3:J201,K201)+COUNTIF($K$3:K201,K201)=1,MAX($BN$2:BP200,BN201,BO201)+1,""))</f>
      </c>
      <c r="BQ201" s="129">
        <f>IF(AY201=1,IFERROR(MID(Q201,FIND(" (",Q201)+2,FIND(")",Q201,FIND(" (",Q201))-FIND(" (",Q201)-2),"?"),"")</f>
      </c>
      <c r="BR201" s="129">
        <f>IF(BQ201="","",IF(COUNTIF($BQ$3:BQ201,BQ201)=1,MAX($BR$2:BR200)+1,""))</f>
      </c>
      <c r="BS201" s="129">
        <f>IF(AW201="","",COUNTIF($AW$3:AW201,"?*"))</f>
      </c>
      <c r="BT201" s="129">
        <f>IF(OR(AW201="",AI201=""),"",IF(COUNTIFS($AW$3:AW201,"?*",$AI$3:AI201,AI201)=1,MAX($BT$2:BT200)+1,""))</f>
      </c>
      <c r="BU201" s="129">
        <f>IF(AE201="",0,IF(OR(ISNUMBER(SEARCH("дубль",AE201)),ISNUMBER(SEARCH("ПЕРЕГРУЗ",AE201)),ISNUMBER(SEARCH("ЗАЩИЩ",AE201)),ISNUMBER(SEARCH("КАНАЛ",AE201)),ISNUMBER(SEARCH("без 30",AE201))),2,1))</f>
      </c>
      <c r="BV201" s="129">
        <f>IF(R201="","",COUNTIF($R$3:R201,"?*"))</f>
      </c>
      <c r="BW201" s="129">
        <f>IF(AY201&lt;&gt;1,0,IF(MAX(IFERROR(--VLOOKUP(R201,УГО_спр,5,FALSE),0),IFERROR(--VLOOKUP(AL201,УГО_спр,5,FALSE),0),IFERROR(--VLOOKUP(LEFT(AL201,2),УГО_спр,5,FALSE),0))&gt;0,MAX(IFERROR(--VLOOKUP(R201,УГО_спр,5,FALSE),0),IFERROR(--VLOOKUP(AL201,УГО_спр,5,FALSE),0),IFERROR(--VLOOKUP(LEFT(AL201,2),УГО_спр,5,FALSE),0)),IF(IFERROR(--LEFT(SUBSTITUTE(BQ201,"x","х"),FIND("х",SUBSTITUTE(BQ201,"x","х"))-1),3)&gt;3,Каталог!$S$9,1)))</f>
      </c>
      <c r="BX201" s="129">
        <f>IF(AY201&lt;&gt;1,0,MAX(0,IFERROR(--LEFT(SUBSTITUTE(BQ201,"x","х"),FIND("х",SUBSTITUTE(BQ201,"x","х"))-1),3)-3*BW201))</f>
      </c>
      <c r="BY201" s="129">
        <f>IF(R201="","",IFERROR(VLOOKUP(R201,УГО_спр,2,FALSE),IFERROR(VLOOKUP(AL201,УГО_спр,2,FALSE),IFERROR(VLOOKUP(LEFT(AL201,2),УГО_спр,2,FALSE),""))))</f>
      </c>
    </row>
    <row r="202" spans="1:64" x14ac:dyDescent="0.3">
      <c r="A202" s="135">
        <f>IF(Разбивка_по_щитам!F202=0,"",Разбивка_по_щитам!F202)</f>
      </c>
      <c r="B202" s="138">
        <f>IF(A202="","",Разбивка_по_щитам!C202)</f>
      </c>
      <c r="C202" s="138">
        <f t="shared" si="128"/>
      </c>
      <c r="D202" s="266"/>
      <c r="E202" s="266"/>
      <c r="F202" s="267"/>
      <c r="G202" s="145">
        <f t="shared" si="129"/>
        <v/>
      </c>
      <c r="H202" s="145">
        <f t="shared" si="130"/>
        <v/>
      </c>
      <c r="I202" s="266"/>
      <c r="J202" s="267"/>
      <c r="K202" s="267"/>
      <c r="L202" s="266"/>
      <c r="M202" s="147">
        <f t="shared" si="126"/>
        <v/>
      </c>
      <c r="N202" s="267"/>
      <c r="O202" s="147">
        <f t="shared" si="127"/>
        <v/>
      </c>
      <c r="P202" s="268">
        <f>IF(AY202=1,"XT"&amp;COUNTIFS($A$3:A202,A202,$AY$3:AY202,1),"")</f>
        <v/>
      </c>
      <c r="Q202" s="152">
        <f>IF(R202="","",IFERROR(SUBSTITUTE(Разбивка_по_щитам!P202,CHAR(10)," "),""))</f>
        <v/>
      </c>
      <c r="R202" s="153">
        <f>IF(OR(Разбивка_по_щитам!H202="",Разбивка_по_щитам!H202=0),"",Разбивка_по_щитам!H202)</f>
        <v/>
      </c>
      <c r="S202" s="154">
        <f>IF(R202="","",IFERROR(Разбивка_по_щитам!J202&amp;"",""))</f>
        <v/>
      </c>
      <c r="T202" s="155">
        <f>IF(R202="","",IFERROR(--Разбивка_по_щитам!L202,""))</f>
        <v/>
      </c>
      <c r="U202" s="155">
        <f>IF(R202="","",IFERROR(--Разбивка_по_щитам!K202,""))</f>
        <v/>
      </c>
      <c r="V202" s="138">
        <f>IF(R202="","",IFERROR(IF(Разбивка_по_щитам!M202=0,"",Разбивка_по_щитам!M202),""))</f>
        <v/>
      </c>
      <c r="W202" s="156">
        <f t="shared" si="131"/>
        <v/>
      </c>
      <c r="X202" s="157">
        <f t="shared" si="132"/>
        <v/>
      </c>
      <c r="Y202" s="266"/>
      <c r="Z202" s="158">
        <f t="shared" si="133"/>
        <v/>
      </c>
      <c r="AA202" s="160">
        <f t="shared" si="134"/>
        <v/>
      </c>
      <c r="AB202" s="160">
        <f>IF(R202="","",IFERROR(LOOKUP(INDEX(Справочная!$I$4:$I$19,MATCH(VLOOKUP(R202,Исходные_данные,22,FALSE),Справочная!$J$4:$J$19,0)+1),{6,10,16,20,25,32,40,50,63,80,100,125}),""))</f>
        <v/>
      </c>
      <c r="AC202" s="160">
        <f t="shared" si="135"/>
        <v/>
      </c>
      <c r="AD202" s="161">
        <f t="shared" si="136"/>
        <v/>
      </c>
      <c r="AE202" s="161">
        <f>IF(AND(R202="",G202=""),"",_xlfn.TEXTJOIN("; ",TRUE,IF(AND(R202&lt;&gt;"",V202=""),"нет фазы",""),IF(AND(R202&lt;&gt;"",N(T202)=0),"нет мощности",""),IF(AND(P202&lt;&gt;"",COUNTIFS($A$3:$A$1000,A202,$P$3:$P$1000,P202)&gt;1),"дубль клеммы "&amp;P202,""),IF(AND(W202&lt;&gt;"",W202&lt;&gt;"ok"),W202,""),IF(X202&lt;&gt;"",X202,""),IF(AND(ISNUMBER(SEARCH("(5х",Q202)),N(AK202)=1),"5 жил на 1 фазе",""),IF(AND(AL202="R",E202&lt;&gt;"",N(AS202)=0),"розетка без 30 мА",""),IF(IFERROR(_xlfn.NUMBERVALUE(MID(Q202,FIND("-",Q202,FIND("L=",Q202))+1,FIND("%",Q202)-FIND("-",Q202,FIND("L=",Q202))-1),","),0)&gt;4,"потери &gt; 4 %","")))</f>
      </c>
      <c r="AF202" s="129">
        <f>IF(E202&lt;&gt;"",COUNTIFS($A$3:A202,A202,$E$3:E202,"?*"),IF(OR(A202&lt;&gt;A201,Y202="вручную"),"",AF201))</f>
      </c>
      <c r="AG202" s="129">
        <f t="shared" si="137"/>
      </c>
      <c r="AH202" s="129">
        <f t="shared" si="138"/>
        <v/>
      </c>
      <c r="AI202" s="129">
        <f t="shared" si="139"/>
        <v/>
      </c>
      <c r="AJ202" s="129">
        <f t="shared" si="140"/>
        <v/>
      </c>
      <c r="AK202" s="129">
        <f t="shared" si="141"/>
        <v/>
      </c>
      <c r="AL202" s="129">
        <f t="shared" si="142"/>
        <v/>
      </c>
      <c r="AM202" s="129">
        <f t="shared" si="143"/>
      </c>
      <c r="AN202" s="129">
        <f t="shared" si="144"/>
      </c>
      <c r="AO202" s="129">
        <f t="shared" si="145"/>
        <v/>
      </c>
      <c r="AP202" s="129">
        <f t="shared" si="146"/>
        <v/>
      </c>
      <c r="AQ202" s="129">
        <f t="shared" si="147"/>
        <v/>
      </c>
      <c r="AR202" s="129">
        <f t="shared" si="148"/>
        <v/>
      </c>
      <c r="AS202" s="129">
        <f t="shared" si="149"/>
        <v/>
      </c>
      <c r="AT202" s="129">
        <f t="shared" si="150"/>
        <v/>
      </c>
      <c r="AU202" s="129">
        <f t="shared" si="151"/>
        <v/>
      </c>
      <c r="AV202" s="129">
        <f t="shared" si="152"/>
        <v/>
      </c>
      <c r="AW202" s="129">
        <f>IF(AV202="","",AV202&amp;"."&amp;COUNTIFS($A$3:A202,A202,$AV$3:AV202,AV202))</f>
        <v/>
      </c>
      <c r="AX202" s="129">
        <f t="shared" si="153"/>
        <v/>
      </c>
      <c r="AY202" s="129">
        <f>IF(N202="б/к",0,IF(OR(ISNUMBER(SEARCH("L=",Разбивка_по_щитам!P202)),N202="+",N202="="),1,0))</f>
      </c>
      <c r="AZ202" s="129">
        <f t="shared" si="154"/>
      </c>
      <c r="BA202" s="129">
        <f t="shared" si="155"/>
      </c>
      <c r="BB202" s="129">
        <f t="shared" si="156"/>
      </c>
      <c r="BD202" s="129">
        <f t="shared" si="157"/>
      </c>
      <c r="BE202" s="129">
        <f t="shared" si="158"/>
      </c>
      <c r="BF202" s="129">
        <f t="shared" si="159"/>
      </c>
      <c r="BG202" s="129">
        <f t="shared" si="160"/>
        <v/>
      </c>
      <c r="BH202" s="129">
        <f t="shared" si="161"/>
        <v/>
      </c>
      <c r="BI202" s="129">
        <f t="shared" si="162"/>
        <v/>
      </c>
      <c r="BJ202" s="129">
        <f t="shared" si="163"/>
        <v/>
      </c>
      <c r="BK202" s="129">
        <f>IF(R202="","",IF(OR(BY202="",BY202=0),"BOX",IFERROR(IF(VLOOKUP(BY202,УГО_блоки,3,FALSE)&amp;""&lt;&gt;"",VLOOKUP(BY202,УГО_блоки,3,FALSE),VLOOKUP(BY202,УГО_блоки,2,FALSE)),BY202)))</f>
      </c>
      <c r="BL202" s="129">
        <f t="shared" si="165"/>
      </c>
      <c r="BM202" s="129">
        <f>IF(H202="","",IF(COUNTIF($H$3:H202,H202)=1,MAX($BM$2:BM201)+1,""))</f>
      </c>
      <c r="BN202" s="129">
        <f>IF(I202="","",IF(COUNTIF($I$3:I202,I202)+COUNTIF($J$2:J201,I202)+COUNTIF($K$2:K201,I202)=1,MAX($BN$2:BP201)+1,""))</f>
      </c>
      <c r="BO202" s="129">
        <f>IF(J202="","",IF(COUNTIF($I$3:I202,J202)+COUNTIF($J$3:J202,J202)+COUNTIF($K$2:K201,J202)=1,MAX($BN$2:BP201,BN202)+1,""))</f>
      </c>
      <c r="BP202" s="129">
        <f>IF(K202="","",IF(COUNTIF($I$3:I202,K202)+COUNTIF($J$3:J202,K202)+COUNTIF($K$3:K202,K202)=1,MAX($BN$2:BP201,BN202,BO202)+1,""))</f>
      </c>
      <c r="BQ202" s="129">
        <f>IF(AY202=1,IFERROR(MID(Q202,FIND(" (",Q202)+2,FIND(")",Q202,FIND(" (",Q202))-FIND(" (",Q202)-2),"?"),"")</f>
      </c>
      <c r="BR202" s="129">
        <f>IF(BQ202="","",IF(COUNTIF($BQ$3:BQ202,BQ202)=1,MAX($BR$2:BR201)+1,""))</f>
      </c>
      <c r="BS202" s="129">
        <f>IF(AW202="","",COUNTIF($AW$3:AW202,"?*"))</f>
      </c>
      <c r="BT202" s="129">
        <f>IF(OR(AW202="",AI202=""),"",IF(COUNTIFS($AW$3:AW202,"?*",$AI$3:AI202,AI202)=1,MAX($BT$2:BT201)+1,""))</f>
      </c>
      <c r="BU202" s="129">
        <f>IF(AE202="",0,IF(OR(ISNUMBER(SEARCH("дубль",AE202)),ISNUMBER(SEARCH("ПЕРЕГРУЗ",AE202)),ISNUMBER(SEARCH("ЗАЩИЩ",AE202)),ISNUMBER(SEARCH("КАНАЛ",AE202)),ISNUMBER(SEARCH("без 30",AE202))),2,1))</f>
      </c>
      <c r="BV202" s="129">
        <f>IF(R202="","",COUNTIF($R$3:R202,"?*"))</f>
      </c>
      <c r="BW202" s="129">
        <f>IF(AY202&lt;&gt;1,0,IF(MAX(IFERROR(--VLOOKUP(R202,УГО_спр,5,FALSE),0),IFERROR(--VLOOKUP(AL202,УГО_спр,5,FALSE),0),IFERROR(--VLOOKUP(LEFT(AL202,2),УГО_спр,5,FALSE),0))&gt;0,MAX(IFERROR(--VLOOKUP(R202,УГО_спр,5,FALSE),0),IFERROR(--VLOOKUP(AL202,УГО_спр,5,FALSE),0),IFERROR(--VLOOKUP(LEFT(AL202,2),УГО_спр,5,FALSE),0)),IF(IFERROR(--LEFT(SUBSTITUTE(BQ202,"x","х"),FIND("х",SUBSTITUTE(BQ202,"x","х"))-1),3)&gt;3,Каталог!$S$9,1)))</f>
      </c>
      <c r="BX202" s="129">
        <f>IF(AY202&lt;&gt;1,0,MAX(0,IFERROR(--LEFT(SUBSTITUTE(BQ202,"x","х"),FIND("х",SUBSTITUTE(BQ202,"x","х"))-1),3)-3*BW202))</f>
      </c>
      <c r="BY202" s="129">
        <f>IF(R202="","",IFERROR(VLOOKUP(R202,УГО_спр,2,FALSE),IFERROR(VLOOKUP(AL202,УГО_спр,2,FALSE),IFERROR(VLOOKUP(LEFT(AL202,2),УГО_спр,2,FALSE),""))))</f>
      </c>
    </row>
    <row r="203" spans="1:64" x14ac:dyDescent="0.3">
      <c r="A203" s="135">
        <f>IF(Разбивка_по_щитам!F203=0,"",Разбивка_по_щитам!F203)</f>
      </c>
      <c r="B203" s="138">
        <f>IF(A203="","",Разбивка_по_щитам!C203)</f>
      </c>
      <c r="C203" s="138">
        <f t="shared" si="128"/>
      </c>
      <c r="D203" s="266"/>
      <c r="E203" s="266"/>
      <c r="F203" s="267"/>
      <c r="G203" s="145">
        <f t="shared" si="129"/>
        <v/>
      </c>
      <c r="H203" s="145">
        <f t="shared" si="130"/>
        <v/>
      </c>
      <c r="I203" s="266"/>
      <c r="J203" s="267"/>
      <c r="K203" s="267"/>
      <c r="L203" s="266"/>
      <c r="M203" s="147">
        <f t="shared" si="126"/>
        <v/>
      </c>
      <c r="N203" s="267"/>
      <c r="O203" s="147">
        <f t="shared" si="127"/>
        <v/>
      </c>
      <c r="P203" s="268">
        <f>IF(AY203=1,"XT"&amp;COUNTIFS($A$3:A203,A203,$AY$3:AY203,1),"")</f>
        <v/>
      </c>
      <c r="Q203" s="152">
        <f>IF(R203="","",IFERROR(SUBSTITUTE(Разбивка_по_щитам!P203,CHAR(10)," "),""))</f>
        <v/>
      </c>
      <c r="R203" s="153">
        <f>IF(OR(Разбивка_по_щитам!H203="",Разбивка_по_щитам!H203=0),"",Разбивка_по_щитам!H203)</f>
        <v/>
      </c>
      <c r="S203" s="154">
        <f>IF(R203="","",IFERROR(Разбивка_по_щитам!J203&amp;"",""))</f>
        <v/>
      </c>
      <c r="T203" s="155">
        <f>IF(R203="","",IFERROR(--Разбивка_по_щитам!L203,""))</f>
        <v/>
      </c>
      <c r="U203" s="155">
        <f>IF(R203="","",IFERROR(--Разбивка_по_щитам!K203,""))</f>
        <v/>
      </c>
      <c r="V203" s="138">
        <f>IF(R203="","",IFERROR(IF(Разбивка_по_щитам!M203=0,"",Разбивка_по_щитам!M203),""))</f>
        <v/>
      </c>
      <c r="W203" s="156">
        <f t="shared" si="131"/>
        <v/>
      </c>
      <c r="X203" s="157">
        <f t="shared" si="132"/>
        <v/>
      </c>
      <c r="Y203" s="266"/>
      <c r="Z203" s="158">
        <f t="shared" si="133"/>
        <v/>
      </c>
      <c r="AA203" s="160">
        <f t="shared" si="134"/>
        <v/>
      </c>
      <c r="AB203" s="160">
        <f>IF(R203="","",IFERROR(LOOKUP(INDEX(Справочная!$I$4:$I$19,MATCH(VLOOKUP(R203,Исходные_данные,22,FALSE),Справочная!$J$4:$J$19,0)+1),{6,10,16,20,25,32,40,50,63,80,100,125}),""))</f>
        <v/>
      </c>
      <c r="AC203" s="160">
        <f t="shared" si="135"/>
        <v/>
      </c>
      <c r="AD203" s="161">
        <f t="shared" si="136"/>
        <v/>
      </c>
      <c r="AE203" s="161">
        <f>IF(AND(R203="",G203=""),"",_xlfn.TEXTJOIN("; ",TRUE,IF(AND(R203&lt;&gt;"",V203=""),"нет фазы",""),IF(AND(R203&lt;&gt;"",N(T203)=0),"нет мощности",""),IF(AND(P203&lt;&gt;"",COUNTIFS($A$3:$A$1000,A203,$P$3:$P$1000,P203)&gt;1),"дубль клеммы "&amp;P203,""),IF(AND(W203&lt;&gt;"",W203&lt;&gt;"ok"),W203,""),IF(X203&lt;&gt;"",X203,""),IF(AND(ISNUMBER(SEARCH("(5х",Q203)),N(AK203)=1),"5 жил на 1 фазе",""),IF(AND(AL203="R",E203&lt;&gt;"",N(AS203)=0),"розетка без 30 мА",""),IF(IFERROR(_xlfn.NUMBERVALUE(MID(Q203,FIND("-",Q203,FIND("L=",Q203))+1,FIND("%",Q203)-FIND("-",Q203,FIND("L=",Q203))-1),","),0)&gt;4,"потери &gt; 4 %","")))</f>
      </c>
      <c r="AF203" s="129">
        <f>IF(E203&lt;&gt;"",COUNTIFS($A$3:A203,A203,$E$3:E203,"?*"),IF(OR(A203&lt;&gt;A202,Y203="вручную"),"",AF202))</f>
      </c>
      <c r="AG203" s="129">
        <f t="shared" si="137"/>
      </c>
      <c r="AH203" s="129">
        <f t="shared" si="138"/>
        <v/>
      </c>
      <c r="AI203" s="129">
        <f t="shared" si="139"/>
        <v/>
      </c>
      <c r="AJ203" s="129">
        <f t="shared" si="140"/>
        <v/>
      </c>
      <c r="AK203" s="129">
        <f t="shared" si="141"/>
        <v/>
      </c>
      <c r="AL203" s="129">
        <f t="shared" si="142"/>
        <v/>
      </c>
      <c r="AM203" s="129">
        <f t="shared" si="143"/>
      </c>
      <c r="AN203" s="129">
        <f t="shared" si="144"/>
      </c>
      <c r="AO203" s="129">
        <f t="shared" si="145"/>
        <v/>
      </c>
      <c r="AP203" s="129">
        <f t="shared" si="146"/>
        <v/>
      </c>
      <c r="AQ203" s="129">
        <f t="shared" si="147"/>
        <v/>
      </c>
      <c r="AR203" s="129">
        <f t="shared" si="148"/>
        <v/>
      </c>
      <c r="AS203" s="129">
        <f t="shared" si="149"/>
        <v/>
      </c>
      <c r="AT203" s="129">
        <f t="shared" si="150"/>
        <v/>
      </c>
      <c r="AU203" s="129">
        <f t="shared" si="151"/>
        <v/>
      </c>
      <c r="AV203" s="129">
        <f t="shared" si="152"/>
        <v/>
      </c>
      <c r="AW203" s="129">
        <f>IF(AV203="","",AV203&amp;"."&amp;COUNTIFS($A$3:A203,A203,$AV$3:AV203,AV203))</f>
        <v/>
      </c>
      <c r="AX203" s="129">
        <f t="shared" si="153"/>
        <v/>
      </c>
      <c r="AY203" s="129">
        <f>IF(N203="б/к",0,IF(OR(ISNUMBER(SEARCH("L=",Разбивка_по_щитам!P203)),N203="+",N203="="),1,0))</f>
      </c>
      <c r="AZ203" s="129">
        <f t="shared" si="154"/>
      </c>
      <c r="BA203" s="129">
        <f t="shared" si="155"/>
      </c>
      <c r="BB203" s="129">
        <f t="shared" si="156"/>
      </c>
      <c r="BD203" s="129">
        <f t="shared" si="157"/>
      </c>
      <c r="BE203" s="129">
        <f t="shared" si="158"/>
      </c>
      <c r="BF203" s="129">
        <f t="shared" si="159"/>
      </c>
      <c r="BG203" s="129">
        <f t="shared" si="160"/>
        <v/>
      </c>
      <c r="BH203" s="129">
        <f t="shared" si="161"/>
        <v/>
      </c>
      <c r="BI203" s="129">
        <f t="shared" si="162"/>
        <v/>
      </c>
      <c r="BJ203" s="129">
        <f t="shared" si="163"/>
        <v/>
      </c>
      <c r="BK203" s="129">
        <f>IF(R203="","",IF(OR(BY203="",BY203=0),"BOX",IFERROR(IF(VLOOKUP(BY203,УГО_блоки,3,FALSE)&amp;""&lt;&gt;"",VLOOKUP(BY203,УГО_блоки,3,FALSE),VLOOKUP(BY203,УГО_блоки,2,FALSE)),BY203)))</f>
      </c>
      <c r="BL203" s="129">
        <f t="shared" si="165"/>
      </c>
      <c r="BM203" s="129">
        <f>IF(H203="","",IF(COUNTIF($H$3:H203,H203)=1,MAX($BM$2:BM202)+1,""))</f>
      </c>
      <c r="BN203" s="129">
        <f>IF(I203="","",IF(COUNTIF($I$3:I203,I203)+COUNTIF($J$2:J202,I203)+COUNTIF($K$2:K202,I203)=1,MAX($BN$2:BP202)+1,""))</f>
      </c>
      <c r="BO203" s="129">
        <f>IF(J203="","",IF(COUNTIF($I$3:I203,J203)+COUNTIF($J$3:J203,J203)+COUNTIF($K$2:K202,J203)=1,MAX($BN$2:BP202,BN203)+1,""))</f>
      </c>
      <c r="BP203" s="129">
        <f>IF(K203="","",IF(COUNTIF($I$3:I203,K203)+COUNTIF($J$3:J203,K203)+COUNTIF($K$3:K203,K203)=1,MAX($BN$2:BP202,BN203,BO203)+1,""))</f>
      </c>
      <c r="BQ203" s="129">
        <f>IF(AY203=1,IFERROR(MID(Q203,FIND(" (",Q203)+2,FIND(")",Q203,FIND(" (",Q203))-FIND(" (",Q203)-2),"?"),"")</f>
      </c>
      <c r="BR203" s="129">
        <f>IF(BQ203="","",IF(COUNTIF($BQ$3:BQ203,BQ203)=1,MAX($BR$2:BR202)+1,""))</f>
      </c>
      <c r="BS203" s="129">
        <f>IF(AW203="","",COUNTIF($AW$3:AW203,"?*"))</f>
      </c>
      <c r="BT203" s="129">
        <f>IF(OR(AW203="",AI203=""),"",IF(COUNTIFS($AW$3:AW203,"?*",$AI$3:AI203,AI203)=1,MAX($BT$2:BT202)+1,""))</f>
      </c>
      <c r="BU203" s="129">
        <f>IF(AE203="",0,IF(OR(ISNUMBER(SEARCH("дубль",AE203)),ISNUMBER(SEARCH("ПЕРЕГРУЗ",AE203)),ISNUMBER(SEARCH("ЗАЩИЩ",AE203)),ISNUMBER(SEARCH("КАНАЛ",AE203)),ISNUMBER(SEARCH("без 30",AE203))),2,1))</f>
      </c>
      <c r="BV203" s="129">
        <f>IF(R203="","",COUNTIF($R$3:R203,"?*"))</f>
      </c>
      <c r="BW203" s="129">
        <f>IF(AY203&lt;&gt;1,0,IF(MAX(IFERROR(--VLOOKUP(R203,УГО_спр,5,FALSE),0),IFERROR(--VLOOKUP(AL203,УГО_спр,5,FALSE),0),IFERROR(--VLOOKUP(LEFT(AL203,2),УГО_спр,5,FALSE),0))&gt;0,MAX(IFERROR(--VLOOKUP(R203,УГО_спр,5,FALSE),0),IFERROR(--VLOOKUP(AL203,УГО_спр,5,FALSE),0),IFERROR(--VLOOKUP(LEFT(AL203,2),УГО_спр,5,FALSE),0)),IF(IFERROR(--LEFT(SUBSTITUTE(BQ203,"x","х"),FIND("х",SUBSTITUTE(BQ203,"x","х"))-1),3)&gt;3,Каталог!$S$9,1)))</f>
      </c>
      <c r="BX203" s="129">
        <f>IF(AY203&lt;&gt;1,0,MAX(0,IFERROR(--LEFT(SUBSTITUTE(BQ203,"x","х"),FIND("х",SUBSTITUTE(BQ203,"x","х"))-1),3)-3*BW203))</f>
      </c>
      <c r="BY203" s="129">
        <f>IF(R203="","",IFERROR(VLOOKUP(R203,УГО_спр,2,FALSE),IFERROR(VLOOKUP(AL203,УГО_спр,2,FALSE),IFERROR(VLOOKUP(LEFT(AL203,2),УГО_спр,2,FALSE),""))))</f>
      </c>
    </row>
    <row r="204" spans="1:64" x14ac:dyDescent="0.3">
      <c r="A204" s="135">
        <f>IF(Разбивка_по_щитам!F204=0,"",Разбивка_по_щитам!F204)</f>
      </c>
      <c r="B204" s="138">
        <f>IF(A204="","",Разбивка_по_щитам!C204)</f>
      </c>
      <c r="C204" s="138">
        <f t="shared" si="128"/>
      </c>
      <c r="D204" s="266"/>
      <c r="E204" s="266"/>
      <c r="F204" s="267"/>
      <c r="G204" s="145">
        <f t="shared" si="129"/>
        <v/>
      </c>
      <c r="H204" s="145">
        <f t="shared" si="130"/>
        <v/>
      </c>
      <c r="I204" s="266"/>
      <c r="J204" s="267"/>
      <c r="K204" s="267"/>
      <c r="L204" s="266"/>
      <c r="M204" s="147">
        <f t="shared" si="126"/>
        <v/>
      </c>
      <c r="N204" s="267"/>
      <c r="O204" s="147">
        <f t="shared" si="127"/>
        <v/>
      </c>
      <c r="P204" s="268">
        <f>IF(AY204=1,"XT"&amp;COUNTIFS($A$3:A204,A204,$AY$3:AY204,1),"")</f>
        <v/>
      </c>
      <c r="Q204" s="152">
        <f>IF(R204="","",IFERROR(SUBSTITUTE(Разбивка_по_щитам!P204,CHAR(10)," "),""))</f>
        <v/>
      </c>
      <c r="R204" s="153">
        <f>IF(OR(Разбивка_по_щитам!H204="",Разбивка_по_щитам!H204=0),"",Разбивка_по_щитам!H204)</f>
        <v/>
      </c>
      <c r="S204" s="154">
        <f>IF(R204="","",IFERROR(Разбивка_по_щитам!J204&amp;"",""))</f>
        <v/>
      </c>
      <c r="T204" s="155">
        <f>IF(R204="","",IFERROR(--Разбивка_по_щитам!L204,""))</f>
        <v/>
      </c>
      <c r="U204" s="155">
        <f>IF(R204="","",IFERROR(--Разбивка_по_щитам!K204,""))</f>
        <v/>
      </c>
      <c r="V204" s="138">
        <f>IF(R204="","",IFERROR(IF(Разбивка_по_щитам!M204=0,"",Разбивка_по_щитам!M204),""))</f>
        <v/>
      </c>
      <c r="W204" s="156">
        <f t="shared" si="131"/>
        <v/>
      </c>
      <c r="X204" s="157">
        <f t="shared" si="132"/>
        <v/>
      </c>
      <c r="Y204" s="266"/>
      <c r="Z204" s="158">
        <f t="shared" si="133"/>
        <v/>
      </c>
      <c r="AA204" s="160">
        <f t="shared" si="134"/>
        <v/>
      </c>
      <c r="AB204" s="160">
        <f>IF(R204="","",IFERROR(LOOKUP(INDEX(Справочная!$I$4:$I$19,MATCH(VLOOKUP(R204,Исходные_данные,22,FALSE),Справочная!$J$4:$J$19,0)+1),{6,10,16,20,25,32,40,50,63,80,100,125}),""))</f>
        <v/>
      </c>
      <c r="AC204" s="160">
        <f t="shared" si="135"/>
        <v/>
      </c>
      <c r="AD204" s="161">
        <f t="shared" si="136"/>
        <v/>
      </c>
      <c r="AE204" s="161">
        <f>IF(AND(R204="",G204=""),"",_xlfn.TEXTJOIN("; ",TRUE,IF(AND(R204&lt;&gt;"",V204=""),"нет фазы",""),IF(AND(R204&lt;&gt;"",N(T204)=0),"нет мощности",""),IF(AND(P204&lt;&gt;"",COUNTIFS($A$3:$A$1000,A204,$P$3:$P$1000,P204)&gt;1),"дубль клеммы "&amp;P204,""),IF(AND(W204&lt;&gt;"",W204&lt;&gt;"ok"),W204,""),IF(X204&lt;&gt;"",X204,""),IF(AND(ISNUMBER(SEARCH("(5х",Q204)),N(AK204)=1),"5 жил на 1 фазе",""),IF(AND(AL204="R",E204&lt;&gt;"",N(AS204)=0),"розетка без 30 мА",""),IF(IFERROR(_xlfn.NUMBERVALUE(MID(Q204,FIND("-",Q204,FIND("L=",Q204))+1,FIND("%",Q204)-FIND("-",Q204,FIND("L=",Q204))-1),","),0)&gt;4,"потери &gt; 4 %","")))</f>
      </c>
      <c r="AF204" s="129">
        <f>IF(E204&lt;&gt;"",COUNTIFS($A$3:A204,A204,$E$3:E204,"?*"),IF(OR(A204&lt;&gt;A203,Y204="вручную"),"",AF203))</f>
      </c>
      <c r="AG204" s="129">
        <f t="shared" si="137"/>
      </c>
      <c r="AH204" s="129">
        <f t="shared" si="138"/>
        <v/>
      </c>
      <c r="AI204" s="129">
        <f t="shared" si="139"/>
        <v/>
      </c>
      <c r="AJ204" s="129">
        <f t="shared" si="140"/>
        <v/>
      </c>
      <c r="AK204" s="129">
        <f t="shared" si="141"/>
        <v/>
      </c>
      <c r="AL204" s="129">
        <f t="shared" si="142"/>
        <v/>
      </c>
      <c r="AM204" s="129">
        <f t="shared" si="143"/>
      </c>
      <c r="AN204" s="129">
        <f t="shared" si="144"/>
      </c>
      <c r="AO204" s="129">
        <f t="shared" si="145"/>
        <v/>
      </c>
      <c r="AP204" s="129">
        <f t="shared" si="146"/>
        <v/>
      </c>
      <c r="AQ204" s="129">
        <f t="shared" si="147"/>
        <v/>
      </c>
      <c r="AR204" s="129">
        <f t="shared" si="148"/>
        <v/>
      </c>
      <c r="AS204" s="129">
        <f t="shared" si="149"/>
        <v/>
      </c>
      <c r="AT204" s="129">
        <f t="shared" si="150"/>
        <v/>
      </c>
      <c r="AU204" s="129">
        <f t="shared" si="151"/>
        <v/>
      </c>
      <c r="AV204" s="129">
        <f t="shared" si="152"/>
        <v/>
      </c>
      <c r="AW204" s="129">
        <f>IF(AV204="","",AV204&amp;"."&amp;COUNTIFS($A$3:A204,A204,$AV$3:AV204,AV204))</f>
        <v/>
      </c>
      <c r="AX204" s="129">
        <f t="shared" si="153"/>
        <v/>
      </c>
      <c r="AY204" s="129">
        <f>IF(N204="б/к",0,IF(OR(ISNUMBER(SEARCH("L=",Разбивка_по_щитам!P204)),N204="+",N204="="),1,0))</f>
      </c>
      <c r="AZ204" s="129">
        <f t="shared" si="154"/>
      </c>
      <c r="BA204" s="129">
        <f t="shared" si="155"/>
      </c>
      <c r="BB204" s="129">
        <f t="shared" si="156"/>
      </c>
      <c r="BD204" s="129">
        <f t="shared" si="157"/>
      </c>
      <c r="BE204" s="129">
        <f t="shared" si="158"/>
      </c>
      <c r="BF204" s="129">
        <f t="shared" si="159"/>
      </c>
      <c r="BG204" s="129">
        <f t="shared" si="160"/>
        <v/>
      </c>
      <c r="BH204" s="129">
        <f t="shared" si="161"/>
        <v/>
      </c>
      <c r="BI204" s="129">
        <f t="shared" si="162"/>
        <v/>
      </c>
      <c r="BJ204" s="129">
        <f t="shared" si="163"/>
        <v/>
      </c>
      <c r="BK204" s="129">
        <f>IF(R204="","",IF(OR(BY204="",BY204=0),"BOX",IFERROR(IF(VLOOKUP(BY204,УГО_блоки,3,FALSE)&amp;""&lt;&gt;"",VLOOKUP(BY204,УГО_блоки,3,FALSE),VLOOKUP(BY204,УГО_блоки,2,FALSE)),BY204)))</f>
      </c>
      <c r="BL204" s="129">
        <f t="shared" si="165"/>
      </c>
      <c r="BM204" s="129">
        <f>IF(H204="","",IF(COUNTIF($H$3:H204,H204)=1,MAX($BM$2:BM203)+1,""))</f>
      </c>
      <c r="BN204" s="129">
        <f>IF(I204="","",IF(COUNTIF($I$3:I204,I204)+COUNTIF($J$2:J203,I204)+COUNTIF($K$2:K203,I204)=1,MAX($BN$2:BP203)+1,""))</f>
      </c>
      <c r="BO204" s="129">
        <f>IF(J204="","",IF(COUNTIF($I$3:I204,J204)+COUNTIF($J$3:J204,J204)+COUNTIF($K$2:K203,J204)=1,MAX($BN$2:BP203,BN204)+1,""))</f>
      </c>
      <c r="BP204" s="129">
        <f>IF(K204="","",IF(COUNTIF($I$3:I204,K204)+COUNTIF($J$3:J204,K204)+COUNTIF($K$3:K204,K204)=1,MAX($BN$2:BP203,BN204,BO204)+1,""))</f>
      </c>
      <c r="BQ204" s="129">
        <f>IF(AY204=1,IFERROR(MID(Q204,FIND(" (",Q204)+2,FIND(")",Q204,FIND(" (",Q204))-FIND(" (",Q204)-2),"?"),"")</f>
      </c>
      <c r="BR204" s="129">
        <f>IF(BQ204="","",IF(COUNTIF($BQ$3:BQ204,BQ204)=1,MAX($BR$2:BR203)+1,""))</f>
      </c>
      <c r="BS204" s="129">
        <f>IF(AW204="","",COUNTIF($AW$3:AW204,"?*"))</f>
      </c>
      <c r="BT204" s="129">
        <f>IF(OR(AW204="",AI204=""),"",IF(COUNTIFS($AW$3:AW204,"?*",$AI$3:AI204,AI204)=1,MAX($BT$2:BT203)+1,""))</f>
      </c>
      <c r="BU204" s="129">
        <f>IF(AE204="",0,IF(OR(ISNUMBER(SEARCH("дубль",AE204)),ISNUMBER(SEARCH("ПЕРЕГРУЗ",AE204)),ISNUMBER(SEARCH("ЗАЩИЩ",AE204)),ISNUMBER(SEARCH("КАНАЛ",AE204)),ISNUMBER(SEARCH("без 30",AE204))),2,1))</f>
      </c>
      <c r="BV204" s="129">
        <f>IF(R204="","",COUNTIF($R$3:R204,"?*"))</f>
      </c>
      <c r="BW204" s="129">
        <f>IF(AY204&lt;&gt;1,0,IF(MAX(IFERROR(--VLOOKUP(R204,УГО_спр,5,FALSE),0),IFERROR(--VLOOKUP(AL204,УГО_спр,5,FALSE),0),IFERROR(--VLOOKUP(LEFT(AL204,2),УГО_спр,5,FALSE),0))&gt;0,MAX(IFERROR(--VLOOKUP(R204,УГО_спр,5,FALSE),0),IFERROR(--VLOOKUP(AL204,УГО_спр,5,FALSE),0),IFERROR(--VLOOKUP(LEFT(AL204,2),УГО_спр,5,FALSE),0)),IF(IFERROR(--LEFT(SUBSTITUTE(BQ204,"x","х"),FIND("х",SUBSTITUTE(BQ204,"x","х"))-1),3)&gt;3,Каталог!$S$9,1)))</f>
      </c>
      <c r="BX204" s="129">
        <f>IF(AY204&lt;&gt;1,0,MAX(0,IFERROR(--LEFT(SUBSTITUTE(BQ204,"x","х"),FIND("х",SUBSTITUTE(BQ204,"x","х"))-1),3)-3*BW204))</f>
      </c>
      <c r="BY204" s="129">
        <f>IF(R204="","",IFERROR(VLOOKUP(R204,УГО_спр,2,FALSE),IFERROR(VLOOKUP(AL204,УГО_спр,2,FALSE),IFERROR(VLOOKUP(LEFT(AL204,2),УГО_спр,2,FALSE),""))))</f>
      </c>
    </row>
    <row r="205" spans="1:64" x14ac:dyDescent="0.3">
      <c r="A205" s="135">
        <f>IF(Разбивка_по_щитам!F205=0,"",Разбивка_по_щитам!F205)</f>
      </c>
      <c r="B205" s="138">
        <f>IF(A205="","",Разбивка_по_щитам!C205)</f>
      </c>
      <c r="C205" s="138">
        <f t="shared" si="128"/>
      </c>
      <c r="D205" s="266"/>
      <c r="E205" s="266"/>
      <c r="F205" s="267"/>
      <c r="G205" s="145">
        <f t="shared" si="129"/>
        <v/>
      </c>
      <c r="H205" s="145">
        <f t="shared" si="130"/>
        <v/>
      </c>
      <c r="I205" s="266"/>
      <c r="J205" s="267"/>
      <c r="K205" s="267"/>
      <c r="L205" s="266"/>
      <c r="M205" s="147">
        <f t="shared" si="126"/>
        <v/>
      </c>
      <c r="N205" s="267"/>
      <c r="O205" s="147">
        <f t="shared" si="127"/>
        <v/>
      </c>
      <c r="P205" s="268">
        <f>IF(AY205=1,"XT"&amp;COUNTIFS($A$3:A205,A205,$AY$3:AY205,1),"")</f>
        <v/>
      </c>
      <c r="Q205" s="152">
        <f>IF(R205="","",IFERROR(SUBSTITUTE(Разбивка_по_щитам!P205,CHAR(10)," "),""))</f>
        <v/>
      </c>
      <c r="R205" s="153">
        <f>IF(OR(Разбивка_по_щитам!H205="",Разбивка_по_щитам!H205=0),"",Разбивка_по_щитам!H205)</f>
        <v/>
      </c>
      <c r="S205" s="154">
        <f>IF(R205="","",IFERROR(Разбивка_по_щитам!J205&amp;"",""))</f>
        <v/>
      </c>
      <c r="T205" s="155">
        <f>IF(R205="","",IFERROR(--Разбивка_по_щитам!L205,""))</f>
        <v/>
      </c>
      <c r="U205" s="155">
        <f>IF(R205="","",IFERROR(--Разбивка_по_щитам!K205,""))</f>
        <v/>
      </c>
      <c r="V205" s="138">
        <f>IF(R205="","",IFERROR(IF(Разбивка_по_щитам!M205=0,"",Разбивка_по_щитам!M205),""))</f>
        <v/>
      </c>
      <c r="W205" s="156">
        <f t="shared" si="131"/>
        <v/>
      </c>
      <c r="X205" s="157">
        <f t="shared" si="132"/>
        <v/>
      </c>
      <c r="Y205" s="266"/>
      <c r="Z205" s="158">
        <f t="shared" si="133"/>
        <v/>
      </c>
      <c r="AA205" s="160">
        <f t="shared" si="134"/>
        <v/>
      </c>
      <c r="AB205" s="160">
        <f>IF(R205="","",IFERROR(LOOKUP(INDEX(Справочная!$I$4:$I$19,MATCH(VLOOKUP(R205,Исходные_данные,22,FALSE),Справочная!$J$4:$J$19,0)+1),{6,10,16,20,25,32,40,50,63,80,100,125}),""))</f>
        <v/>
      </c>
      <c r="AC205" s="160">
        <f t="shared" si="135"/>
        <v/>
      </c>
      <c r="AD205" s="161">
        <f t="shared" si="136"/>
        <v/>
      </c>
      <c r="AE205" s="161">
        <f>IF(AND(R205="",G205=""),"",_xlfn.TEXTJOIN("; ",TRUE,IF(AND(R205&lt;&gt;"",V205=""),"нет фазы",""),IF(AND(R205&lt;&gt;"",N(T205)=0),"нет мощности",""),IF(AND(P205&lt;&gt;"",COUNTIFS($A$3:$A$1000,A205,$P$3:$P$1000,P205)&gt;1),"дубль клеммы "&amp;P205,""),IF(AND(W205&lt;&gt;"",W205&lt;&gt;"ok"),W205,""),IF(X205&lt;&gt;"",X205,""),IF(AND(ISNUMBER(SEARCH("(5х",Q205)),N(AK205)=1),"5 жил на 1 фазе",""),IF(AND(AL205="R",E205&lt;&gt;"",N(AS205)=0),"розетка без 30 мА",""),IF(IFERROR(_xlfn.NUMBERVALUE(MID(Q205,FIND("-",Q205,FIND("L=",Q205))+1,FIND("%",Q205)-FIND("-",Q205,FIND("L=",Q205))-1),","),0)&gt;4,"потери &gt; 4 %","")))</f>
      </c>
      <c r="AF205" s="129">
        <f>IF(E205&lt;&gt;"",COUNTIFS($A$3:A205,A205,$E$3:E205,"?*"),IF(OR(A205&lt;&gt;A204,Y205="вручную"),"",AF204))</f>
      </c>
      <c r="AG205" s="129">
        <f t="shared" si="137"/>
      </c>
      <c r="AH205" s="129">
        <f t="shared" si="138"/>
        <v/>
      </c>
      <c r="AI205" s="129">
        <f t="shared" si="139"/>
        <v/>
      </c>
      <c r="AJ205" s="129">
        <f t="shared" si="140"/>
        <v/>
      </c>
      <c r="AK205" s="129">
        <f t="shared" si="141"/>
        <v/>
      </c>
      <c r="AL205" s="129">
        <f t="shared" si="142"/>
        <v/>
      </c>
      <c r="AM205" s="129">
        <f t="shared" si="143"/>
      </c>
      <c r="AN205" s="129">
        <f t="shared" si="144"/>
      </c>
      <c r="AO205" s="129">
        <f t="shared" si="145"/>
        <v/>
      </c>
      <c r="AP205" s="129">
        <f t="shared" si="146"/>
        <v/>
      </c>
      <c r="AQ205" s="129">
        <f t="shared" si="147"/>
        <v/>
      </c>
      <c r="AR205" s="129">
        <f t="shared" si="148"/>
        <v/>
      </c>
      <c r="AS205" s="129">
        <f t="shared" si="149"/>
        <v/>
      </c>
      <c r="AT205" s="129">
        <f t="shared" si="150"/>
        <v/>
      </c>
      <c r="AU205" s="129">
        <f t="shared" si="151"/>
        <v/>
      </c>
      <c r="AV205" s="129">
        <f t="shared" si="152"/>
        <v/>
      </c>
      <c r="AW205" s="129">
        <f>IF(AV205="","",AV205&amp;"."&amp;COUNTIFS($A$3:A205,A205,$AV$3:AV205,AV205))</f>
        <v/>
      </c>
      <c r="AX205" s="129">
        <f t="shared" si="153"/>
        <v/>
      </c>
      <c r="AY205" s="129">
        <f>IF(N205="б/к",0,IF(OR(ISNUMBER(SEARCH("L=",Разбивка_по_щитам!P205)),N205="+",N205="="),1,0))</f>
      </c>
      <c r="AZ205" s="129">
        <f t="shared" si="154"/>
      </c>
      <c r="BA205" s="129">
        <f t="shared" si="155"/>
      </c>
      <c r="BB205" s="129">
        <f t="shared" si="156"/>
      </c>
      <c r="BD205" s="129">
        <f t="shared" si="157"/>
      </c>
      <c r="BE205" s="129">
        <f t="shared" si="158"/>
      </c>
      <c r="BF205" s="129">
        <f t="shared" si="159"/>
      </c>
      <c r="BG205" s="129">
        <f t="shared" si="160"/>
        <v/>
      </c>
      <c r="BH205" s="129">
        <f t="shared" si="161"/>
        <v/>
      </c>
      <c r="BI205" s="129">
        <f t="shared" si="162"/>
        <v/>
      </c>
      <c r="BJ205" s="129">
        <f t="shared" si="163"/>
        <v/>
      </c>
      <c r="BK205" s="129">
        <f>IF(R205="","",IF(OR(BY205="",BY205=0),"BOX",IFERROR(IF(VLOOKUP(BY205,УГО_блоки,3,FALSE)&amp;""&lt;&gt;"",VLOOKUP(BY205,УГО_блоки,3,FALSE),VLOOKUP(BY205,УГО_блоки,2,FALSE)),BY205)))</f>
      </c>
      <c r="BL205" s="129">
        <f t="shared" si="165"/>
      </c>
      <c r="BM205" s="129">
        <f>IF(H205="","",IF(COUNTIF($H$3:H205,H205)=1,MAX($BM$2:BM204)+1,""))</f>
      </c>
      <c r="BN205" s="129">
        <f>IF(I205="","",IF(COUNTIF($I$3:I205,I205)+COUNTIF($J$2:J204,I205)+COUNTIF($K$2:K204,I205)=1,MAX($BN$2:BP204)+1,""))</f>
      </c>
      <c r="BO205" s="129">
        <f>IF(J205="","",IF(COUNTIF($I$3:I205,J205)+COUNTIF($J$3:J205,J205)+COUNTIF($K$2:K204,J205)=1,MAX($BN$2:BP204,BN205)+1,""))</f>
      </c>
      <c r="BP205" s="129">
        <f>IF(K205="","",IF(COUNTIF($I$3:I205,K205)+COUNTIF($J$3:J205,K205)+COUNTIF($K$3:K205,K205)=1,MAX($BN$2:BP204,BN205,BO205)+1,""))</f>
      </c>
      <c r="BQ205" s="129">
        <f>IF(AY205=1,IFERROR(MID(Q205,FIND(" (",Q205)+2,FIND(")",Q205,FIND(" (",Q205))-FIND(" (",Q205)-2),"?"),"")</f>
      </c>
      <c r="BR205" s="129">
        <f>IF(BQ205="","",IF(COUNTIF($BQ$3:BQ205,BQ205)=1,MAX($BR$2:BR204)+1,""))</f>
      </c>
      <c r="BS205" s="129">
        <f>IF(AW205="","",COUNTIF($AW$3:AW205,"?*"))</f>
      </c>
      <c r="BT205" s="129">
        <f>IF(OR(AW205="",AI205=""),"",IF(COUNTIFS($AW$3:AW205,"?*",$AI$3:AI205,AI205)=1,MAX($BT$2:BT204)+1,""))</f>
      </c>
      <c r="BU205" s="129">
        <f>IF(AE205="",0,IF(OR(ISNUMBER(SEARCH("дубль",AE205)),ISNUMBER(SEARCH("ПЕРЕГРУЗ",AE205)),ISNUMBER(SEARCH("ЗАЩИЩ",AE205)),ISNUMBER(SEARCH("КАНАЛ",AE205)),ISNUMBER(SEARCH("без 30",AE205))),2,1))</f>
      </c>
      <c r="BV205" s="129">
        <f>IF(R205="","",COUNTIF($R$3:R205,"?*"))</f>
      </c>
      <c r="BW205" s="129">
        <f>IF(AY205&lt;&gt;1,0,IF(MAX(IFERROR(--VLOOKUP(R205,УГО_спр,5,FALSE),0),IFERROR(--VLOOKUP(AL205,УГО_спр,5,FALSE),0),IFERROR(--VLOOKUP(LEFT(AL205,2),УГО_спр,5,FALSE),0))&gt;0,MAX(IFERROR(--VLOOKUP(R205,УГО_спр,5,FALSE),0),IFERROR(--VLOOKUP(AL205,УГО_спр,5,FALSE),0),IFERROR(--VLOOKUP(LEFT(AL205,2),УГО_спр,5,FALSE),0)),IF(IFERROR(--LEFT(SUBSTITUTE(BQ205,"x","х"),FIND("х",SUBSTITUTE(BQ205,"x","х"))-1),3)&gt;3,Каталог!$S$9,1)))</f>
      </c>
      <c r="BX205" s="129">
        <f>IF(AY205&lt;&gt;1,0,MAX(0,IFERROR(--LEFT(SUBSTITUTE(BQ205,"x","х"),FIND("х",SUBSTITUTE(BQ205,"x","х"))-1),3)-3*BW205))</f>
      </c>
      <c r="BY205" s="129">
        <f>IF(R205="","",IFERROR(VLOOKUP(R205,УГО_спр,2,FALSE),IFERROR(VLOOKUP(AL205,УГО_спр,2,FALSE),IFERROR(VLOOKUP(LEFT(AL205,2),УГО_спр,2,FALSE),""))))</f>
      </c>
    </row>
    <row r="206" spans="1:64" x14ac:dyDescent="0.3">
      <c r="A206" s="135">
        <f>IF(Разбивка_по_щитам!F206=0,"",Разбивка_по_щитам!F206)</f>
      </c>
      <c r="B206" s="138">
        <f>IF(A206="","",Разбивка_по_щитам!C206)</f>
      </c>
      <c r="C206" s="138">
        <f t="shared" si="128"/>
      </c>
      <c r="D206" s="266"/>
      <c r="E206" s="266"/>
      <c r="F206" s="267"/>
      <c r="G206" s="145">
        <f t="shared" si="129"/>
        <v/>
      </c>
      <c r="H206" s="145">
        <f t="shared" si="130"/>
        <v/>
      </c>
      <c r="I206" s="266"/>
      <c r="J206" s="267"/>
      <c r="K206" s="267"/>
      <c r="L206" s="266"/>
      <c r="M206" s="147">
        <f t="shared" si="126"/>
        <v/>
      </c>
      <c r="N206" s="267"/>
      <c r="O206" s="147">
        <f t="shared" si="127"/>
        <v/>
      </c>
      <c r="P206" s="268">
        <f>IF(AY206=1,"XT"&amp;COUNTIFS($A$3:A206,A206,$AY$3:AY206,1),"")</f>
        <v/>
      </c>
      <c r="Q206" s="152">
        <f>IF(R206="","",IFERROR(SUBSTITUTE(Разбивка_по_щитам!P206,CHAR(10)," "),""))</f>
        <v/>
      </c>
      <c r="R206" s="153">
        <f>IF(OR(Разбивка_по_щитам!H206="",Разбивка_по_щитам!H206=0),"",Разбивка_по_щитам!H206)</f>
        <v/>
      </c>
      <c r="S206" s="154">
        <f>IF(R206="","",IFERROR(Разбивка_по_щитам!J206&amp;"",""))</f>
        <v/>
      </c>
      <c r="T206" s="155">
        <f>IF(R206="","",IFERROR(--Разбивка_по_щитам!L206,""))</f>
        <v/>
      </c>
      <c r="U206" s="155">
        <f>IF(R206="","",IFERROR(--Разбивка_по_щитам!K206,""))</f>
        <v/>
      </c>
      <c r="V206" s="138">
        <f>IF(R206="","",IFERROR(IF(Разбивка_по_щитам!M206=0,"",Разбивка_по_щитам!M206),""))</f>
        <v/>
      </c>
      <c r="W206" s="156">
        <f t="shared" si="131"/>
        <v/>
      </c>
      <c r="X206" s="157">
        <f t="shared" si="132"/>
        <v/>
      </c>
      <c r="Y206" s="266"/>
      <c r="Z206" s="158">
        <f t="shared" si="133"/>
        <v/>
      </c>
      <c r="AA206" s="160">
        <f t="shared" si="134"/>
        <v/>
      </c>
      <c r="AB206" s="160">
        <f>IF(R206="","",IFERROR(LOOKUP(INDEX(Справочная!$I$4:$I$19,MATCH(VLOOKUP(R206,Исходные_данные,22,FALSE),Справочная!$J$4:$J$19,0)+1),{6,10,16,20,25,32,40,50,63,80,100,125}),""))</f>
        <v/>
      </c>
      <c r="AC206" s="160">
        <f t="shared" si="135"/>
        <v/>
      </c>
      <c r="AD206" s="161">
        <f t="shared" si="136"/>
        <v/>
      </c>
      <c r="AE206" s="161">
        <f>IF(AND(R206="",G206=""),"",_xlfn.TEXTJOIN("; ",TRUE,IF(AND(R206&lt;&gt;"",V206=""),"нет фазы",""),IF(AND(R206&lt;&gt;"",N(T206)=0),"нет мощности",""),IF(AND(P206&lt;&gt;"",COUNTIFS($A$3:$A$1000,A206,$P$3:$P$1000,P206)&gt;1),"дубль клеммы "&amp;P206,""),IF(AND(W206&lt;&gt;"",W206&lt;&gt;"ok"),W206,""),IF(X206&lt;&gt;"",X206,""),IF(AND(ISNUMBER(SEARCH("(5х",Q206)),N(AK206)=1),"5 жил на 1 фазе",""),IF(AND(AL206="R",E206&lt;&gt;"",N(AS206)=0),"розетка без 30 мА",""),IF(IFERROR(_xlfn.NUMBERVALUE(MID(Q206,FIND("-",Q206,FIND("L=",Q206))+1,FIND("%",Q206)-FIND("-",Q206,FIND("L=",Q206))-1),","),0)&gt;4,"потери &gt; 4 %","")))</f>
      </c>
      <c r="AF206" s="129">
        <f>IF(E206&lt;&gt;"",COUNTIFS($A$3:A206,A206,$E$3:E206,"?*"),IF(OR(A206&lt;&gt;A205,Y206="вручную"),"",AF205))</f>
      </c>
      <c r="AG206" s="129">
        <f t="shared" si="137"/>
      </c>
      <c r="AH206" s="129">
        <f t="shared" si="138"/>
        <v/>
      </c>
      <c r="AI206" s="129">
        <f t="shared" si="139"/>
        <v/>
      </c>
      <c r="AJ206" s="129">
        <f t="shared" si="140"/>
        <v/>
      </c>
      <c r="AK206" s="129">
        <f t="shared" si="141"/>
        <v/>
      </c>
      <c r="AL206" s="129">
        <f t="shared" si="142"/>
        <v/>
      </c>
      <c r="AM206" s="129">
        <f t="shared" si="143"/>
      </c>
      <c r="AN206" s="129">
        <f t="shared" si="144"/>
      </c>
      <c r="AO206" s="129">
        <f t="shared" si="145"/>
        <v/>
      </c>
      <c r="AP206" s="129">
        <f t="shared" si="146"/>
        <v/>
      </c>
      <c r="AQ206" s="129">
        <f t="shared" si="147"/>
        <v/>
      </c>
      <c r="AR206" s="129">
        <f t="shared" si="148"/>
        <v/>
      </c>
      <c r="AS206" s="129">
        <f t="shared" si="149"/>
        <v/>
      </c>
      <c r="AT206" s="129">
        <f t="shared" si="150"/>
        <v/>
      </c>
      <c r="AU206" s="129">
        <f t="shared" si="151"/>
        <v/>
      </c>
      <c r="AV206" s="129">
        <f t="shared" si="152"/>
        <v/>
      </c>
      <c r="AW206" s="129">
        <f>IF(AV206="","",AV206&amp;"."&amp;COUNTIFS($A$3:A206,A206,$AV$3:AV206,AV206))</f>
        <v/>
      </c>
      <c r="AX206" s="129">
        <f t="shared" si="153"/>
        <v/>
      </c>
      <c r="AY206" s="129">
        <f>IF(N206="б/к",0,IF(OR(ISNUMBER(SEARCH("L=",Разбивка_по_щитам!P206)),N206="+",N206="="),1,0))</f>
      </c>
      <c r="AZ206" s="129">
        <f t="shared" si="154"/>
      </c>
      <c r="BA206" s="129">
        <f t="shared" si="155"/>
      </c>
      <c r="BB206" s="129">
        <f t="shared" si="156"/>
      </c>
      <c r="BD206" s="129">
        <f t="shared" si="157"/>
      </c>
      <c r="BE206" s="129">
        <f t="shared" si="158"/>
      </c>
      <c r="BF206" s="129">
        <f t="shared" si="159"/>
      </c>
      <c r="BG206" s="129">
        <f t="shared" si="160"/>
        <v/>
      </c>
      <c r="BH206" s="129">
        <f t="shared" si="161"/>
        <v/>
      </c>
      <c r="BI206" s="129">
        <f t="shared" si="162"/>
        <v/>
      </c>
      <c r="BJ206" s="129">
        <f t="shared" si="163"/>
        <v/>
      </c>
      <c r="BK206" s="129">
        <f>IF(R206="","",IF(OR(BY206="",BY206=0),"BOX",IFERROR(IF(VLOOKUP(BY206,УГО_блоки,3,FALSE)&amp;""&lt;&gt;"",VLOOKUP(BY206,УГО_блоки,3,FALSE),VLOOKUP(BY206,УГО_блоки,2,FALSE)),BY206)))</f>
      </c>
      <c r="BL206" s="129">
        <f t="shared" si="165"/>
      </c>
      <c r="BM206" s="129">
        <f>IF(H206="","",IF(COUNTIF($H$3:H206,H206)=1,MAX($BM$2:BM205)+1,""))</f>
      </c>
      <c r="BN206" s="129">
        <f>IF(I206="","",IF(COUNTIF($I$3:I206,I206)+COUNTIF($J$2:J205,I206)+COUNTIF($K$2:K205,I206)=1,MAX($BN$2:BP205)+1,""))</f>
      </c>
      <c r="BO206" s="129">
        <f>IF(J206="","",IF(COUNTIF($I$3:I206,J206)+COUNTIF($J$3:J206,J206)+COUNTIF($K$2:K205,J206)=1,MAX($BN$2:BP205,BN206)+1,""))</f>
      </c>
      <c r="BP206" s="129">
        <f>IF(K206="","",IF(COUNTIF($I$3:I206,K206)+COUNTIF($J$3:J206,K206)+COUNTIF($K$3:K206,K206)=1,MAX($BN$2:BP205,BN206,BO206)+1,""))</f>
      </c>
      <c r="BQ206" s="129">
        <f>IF(AY206=1,IFERROR(MID(Q206,FIND(" (",Q206)+2,FIND(")",Q206,FIND(" (",Q206))-FIND(" (",Q206)-2),"?"),"")</f>
      </c>
      <c r="BR206" s="129">
        <f>IF(BQ206="","",IF(COUNTIF($BQ$3:BQ206,BQ206)=1,MAX($BR$2:BR205)+1,""))</f>
      </c>
      <c r="BS206" s="129">
        <f>IF(AW206="","",COUNTIF($AW$3:AW206,"?*"))</f>
      </c>
      <c r="BT206" s="129">
        <f>IF(OR(AW206="",AI206=""),"",IF(COUNTIFS($AW$3:AW206,"?*",$AI$3:AI206,AI206)=1,MAX($BT$2:BT205)+1,""))</f>
      </c>
      <c r="BU206" s="129">
        <f>IF(AE206="",0,IF(OR(ISNUMBER(SEARCH("дубль",AE206)),ISNUMBER(SEARCH("ПЕРЕГРУЗ",AE206)),ISNUMBER(SEARCH("ЗАЩИЩ",AE206)),ISNUMBER(SEARCH("КАНАЛ",AE206)),ISNUMBER(SEARCH("без 30",AE206))),2,1))</f>
      </c>
      <c r="BV206" s="129">
        <f>IF(R206="","",COUNTIF($R$3:R206,"?*"))</f>
      </c>
      <c r="BW206" s="129">
        <f>IF(AY206&lt;&gt;1,0,IF(MAX(IFERROR(--VLOOKUP(R206,УГО_спр,5,FALSE),0),IFERROR(--VLOOKUP(AL206,УГО_спр,5,FALSE),0),IFERROR(--VLOOKUP(LEFT(AL206,2),УГО_спр,5,FALSE),0))&gt;0,MAX(IFERROR(--VLOOKUP(R206,УГО_спр,5,FALSE),0),IFERROR(--VLOOKUP(AL206,УГО_спр,5,FALSE),0),IFERROR(--VLOOKUP(LEFT(AL206,2),УГО_спр,5,FALSE),0)),IF(IFERROR(--LEFT(SUBSTITUTE(BQ206,"x","х"),FIND("х",SUBSTITUTE(BQ206,"x","х"))-1),3)&gt;3,Каталог!$S$9,1)))</f>
      </c>
      <c r="BX206" s="129">
        <f>IF(AY206&lt;&gt;1,0,MAX(0,IFERROR(--LEFT(SUBSTITUTE(BQ206,"x","х"),FIND("х",SUBSTITUTE(BQ206,"x","х"))-1),3)-3*BW206))</f>
      </c>
      <c r="BY206" s="129">
        <f>IF(R206="","",IFERROR(VLOOKUP(R206,УГО_спр,2,FALSE),IFERROR(VLOOKUP(AL206,УГО_спр,2,FALSE),IFERROR(VLOOKUP(LEFT(AL206,2),УГО_спр,2,FALSE),""))))</f>
      </c>
    </row>
    <row r="207" spans="1:64" x14ac:dyDescent="0.3">
      <c r="A207" s="135">
        <f>IF(Разбивка_по_щитам!F207=0,"",Разбивка_по_щитам!F207)</f>
      </c>
      <c r="B207" s="138">
        <f>IF(A207="","",Разбивка_по_щитам!C207)</f>
      </c>
      <c r="C207" s="138">
        <f t="shared" si="128"/>
      </c>
      <c r="D207" s="266"/>
      <c r="E207" s="266"/>
      <c r="F207" s="267"/>
      <c r="G207" s="145">
        <f t="shared" si="129"/>
        <v/>
      </c>
      <c r="H207" s="145">
        <f t="shared" si="130"/>
        <v/>
      </c>
      <c r="I207" s="266"/>
      <c r="J207" s="267"/>
      <c r="K207" s="267"/>
      <c r="L207" s="266"/>
      <c r="M207" s="147">
        <f t="shared" ref="M207:M238" si="166">IF(OR(O207&lt;&gt;"",AND(L207&lt;&gt;"",L207&lt;&gt;"-")),AH207,"")</f>
        <v/>
      </c>
      <c r="N207" s="267"/>
      <c r="O207" s="147">
        <f t="shared" ref="O207:O238" si="167">IF(N207="=",AX206,IF(ISNUMBER(N207),N207,IF(AH207="","",IF(OR(R207&lt;&gt;"",N207="+",N207="р"),IF(OR(AW207&lt;&gt;"",AX206=""),1,AX206+1),""))))</f>
        <v/>
      </c>
      <c r="P207" s="268">
        <f>IF(AY207=1,"XT"&amp;COUNTIFS($A$3:A207,A207,$AY$3:AY207,1),"")</f>
        <v/>
      </c>
      <c r="Q207" s="152">
        <f>IF(R207="","",IFERROR(SUBSTITUTE(Разбивка_по_щитам!P207,CHAR(10)," "),""))</f>
        <v/>
      </c>
      <c r="R207" s="153">
        <f>IF(OR(Разбивка_по_щитам!H207="",Разбивка_по_щитам!H207=0),"",Разбивка_по_щитам!H207)</f>
        <v/>
      </c>
      <c r="S207" s="154">
        <f>IF(R207="","",IFERROR(Разбивка_по_щитам!J207&amp;"",""))</f>
        <v/>
      </c>
      <c r="T207" s="155">
        <f>IF(R207="","",IFERROR(--Разбивка_по_щитам!L207,""))</f>
        <v/>
      </c>
      <c r="U207" s="155">
        <f>IF(R207="","",IFERROR(--Разбивка_по_щитам!K207,""))</f>
        <v/>
      </c>
      <c r="V207" s="138">
        <f>IF(R207="","",IFERROR(IF(Разбивка_по_щитам!M207=0,"",Разбивка_по_щитам!M207),""))</f>
        <v/>
      </c>
      <c r="W207" s="156">
        <f t="shared" si="131"/>
        <v/>
      </c>
      <c r="X207" s="157">
        <f t="shared" si="132"/>
        <v/>
      </c>
      <c r="Y207" s="266"/>
      <c r="Z207" s="158">
        <f t="shared" si="133"/>
        <v/>
      </c>
      <c r="AA207" s="160">
        <f t="shared" si="134"/>
        <v/>
      </c>
      <c r="AB207" s="160">
        <f>IF(R207="","",IFERROR(LOOKUP(INDEX(Справочная!$I$4:$I$19,MATCH(VLOOKUP(R207,Исходные_данные,22,FALSE),Справочная!$J$4:$J$19,0)+1),{6,10,16,20,25,32,40,50,63,80,100,125}),""))</f>
        <v/>
      </c>
      <c r="AC207" s="160">
        <f t="shared" si="135"/>
        <v/>
      </c>
      <c r="AD207" s="161">
        <f t="shared" si="136"/>
        <v/>
      </c>
      <c r="AE207" s="161">
        <f>IF(AND(R207="",G207=""),"",_xlfn.TEXTJOIN("; ",TRUE,IF(AND(R207&lt;&gt;"",V207=""),"нет фазы",""),IF(AND(R207&lt;&gt;"",N(T207)=0),"нет мощности",""),IF(AND(P207&lt;&gt;"",COUNTIFS($A$3:$A$1000,A207,$P$3:$P$1000,P207)&gt;1),"дубль клеммы "&amp;P207,""),IF(AND(W207&lt;&gt;"",W207&lt;&gt;"ok"),W207,""),IF(X207&lt;&gt;"",X207,""),IF(AND(ISNUMBER(SEARCH("(5х",Q207)),N(AK207)=1),"5 жил на 1 фазе",""),IF(AND(AL207="R",E207&lt;&gt;"",N(AS207)=0),"розетка без 30 мА",""),IF(IFERROR(_xlfn.NUMBERVALUE(MID(Q207,FIND("-",Q207,FIND("L=",Q207))+1,FIND("%",Q207)-FIND("-",Q207,FIND("L=",Q207))-1),","),0)&gt;4,"потери &gt; 4 %","")))</f>
      </c>
      <c r="AF207" s="129">
        <f>IF(E207&lt;&gt;"",COUNTIFS($A$3:A207,A207,$E$3:E207,"?*"),IF(OR(A207&lt;&gt;A206,Y207="вручную"),"",AF206))</f>
      </c>
      <c r="AG207" s="129">
        <f t="shared" si="137"/>
      </c>
      <c r="AH207" s="129">
        <f t="shared" si="138"/>
        <v/>
      </c>
      <c r="AI207" s="129">
        <f t="shared" si="139"/>
        <v/>
      </c>
      <c r="AJ207" s="129">
        <f t="shared" si="140"/>
        <v/>
      </c>
      <c r="AK207" s="129">
        <f t="shared" si="141"/>
        <v/>
      </c>
      <c r="AL207" s="129">
        <f t="shared" si="142"/>
        <v/>
      </c>
      <c r="AM207" s="129">
        <f t="shared" si="143"/>
      </c>
      <c r="AN207" s="129">
        <f t="shared" si="144"/>
      </c>
      <c r="AO207" s="129">
        <f t="shared" si="145"/>
        <v/>
      </c>
      <c r="AP207" s="129">
        <f t="shared" si="146"/>
        <v/>
      </c>
      <c r="AQ207" s="129">
        <f t="shared" si="147"/>
        <v/>
      </c>
      <c r="AR207" s="129">
        <f t="shared" si="148"/>
        <v/>
      </c>
      <c r="AS207" s="129">
        <f t="shared" si="149"/>
        <v/>
      </c>
      <c r="AT207" s="129">
        <f t="shared" si="150"/>
        <v/>
      </c>
      <c r="AU207" s="129">
        <f t="shared" si="151"/>
        <v/>
      </c>
      <c r="AV207" s="129">
        <f t="shared" si="152"/>
        <v/>
      </c>
      <c r="AW207" s="129">
        <f>IF(AV207="","",AV207&amp;"."&amp;COUNTIFS($A$3:A207,A207,$AV$3:AV207,AV207))</f>
        <v/>
      </c>
      <c r="AX207" s="129">
        <f t="shared" si="153"/>
        <v/>
      </c>
      <c r="AY207" s="129">
        <f>IF(N207="б/к",0,IF(OR(ISNUMBER(SEARCH("L=",Разбивка_по_щитам!P207)),N207="+",N207="="),1,0))</f>
      </c>
      <c r="AZ207" s="129">
        <f t="shared" si="154"/>
      </c>
      <c r="BA207" s="129">
        <f t="shared" si="155"/>
      </c>
      <c r="BB207" s="129">
        <f t="shared" si="156"/>
      </c>
      <c r="BD207" s="129">
        <f t="shared" si="157"/>
      </c>
      <c r="BE207" s="129">
        <f t="shared" si="158"/>
      </c>
      <c r="BF207" s="129">
        <f t="shared" si="159"/>
      </c>
      <c r="BG207" s="129">
        <f t="shared" si="160"/>
        <v/>
      </c>
      <c r="BH207" s="129">
        <f t="shared" si="161"/>
        <v/>
      </c>
      <c r="BI207" s="129">
        <f t="shared" si="162"/>
        <v/>
      </c>
      <c r="BJ207" s="129">
        <f t="shared" si="163"/>
        <v/>
      </c>
      <c r="BK207" s="129">
        <f>IF(R207="","",IF(OR(BY207="",BY207=0),"BOX",IFERROR(IF(VLOOKUP(BY207,УГО_блоки,3,FALSE)&amp;""&lt;&gt;"",VLOOKUP(BY207,УГО_блоки,3,FALSE),VLOOKUP(BY207,УГО_блоки,2,FALSE)),BY207)))</f>
      </c>
      <c r="BL207" s="129">
        <f t="shared" si="165"/>
      </c>
      <c r="BM207" s="129">
        <f>IF(H207="","",IF(COUNTIF($H$3:H207,H207)=1,MAX($BM$2:BM206)+1,""))</f>
      </c>
      <c r="BN207" s="129">
        <f>IF(I207="","",IF(COUNTIF($I$3:I207,I207)+COUNTIF($J$2:J206,I207)+COUNTIF($K$2:K206,I207)=1,MAX($BN$2:BP206)+1,""))</f>
      </c>
      <c r="BO207" s="129">
        <f>IF(J207="","",IF(COUNTIF($I$3:I207,J207)+COUNTIF($J$3:J207,J207)+COUNTIF($K$2:K206,J207)=1,MAX($BN$2:BP206,BN207)+1,""))</f>
      </c>
      <c r="BP207" s="129">
        <f>IF(K207="","",IF(COUNTIF($I$3:I207,K207)+COUNTIF($J$3:J207,K207)+COUNTIF($K$3:K207,K207)=1,MAX($BN$2:BP206,BN207,BO207)+1,""))</f>
      </c>
      <c r="BQ207" s="129">
        <f>IF(AY207=1,IFERROR(MID(Q207,FIND(" (",Q207)+2,FIND(")",Q207,FIND(" (",Q207))-FIND(" (",Q207)-2),"?"),"")</f>
      </c>
      <c r="BR207" s="129">
        <f>IF(BQ207="","",IF(COUNTIF($BQ$3:BQ207,BQ207)=1,MAX($BR$2:BR206)+1,""))</f>
      </c>
      <c r="BS207" s="129">
        <f>IF(AW207="","",COUNTIF($AW$3:AW207,"?*"))</f>
      </c>
      <c r="BT207" s="129">
        <f>IF(OR(AW207="",AI207=""),"",IF(COUNTIFS($AW$3:AW207,"?*",$AI$3:AI207,AI207)=1,MAX($BT$2:BT206)+1,""))</f>
      </c>
      <c r="BU207" s="129">
        <f>IF(AE207="",0,IF(OR(ISNUMBER(SEARCH("дубль",AE207)),ISNUMBER(SEARCH("ПЕРЕГРУЗ",AE207)),ISNUMBER(SEARCH("ЗАЩИЩ",AE207)),ISNUMBER(SEARCH("КАНАЛ",AE207)),ISNUMBER(SEARCH("без 30",AE207))),2,1))</f>
      </c>
      <c r="BV207" s="129">
        <f>IF(R207="","",COUNTIF($R$3:R207,"?*"))</f>
      </c>
      <c r="BW207" s="129">
        <f>IF(AY207&lt;&gt;1,0,IF(MAX(IFERROR(--VLOOKUP(R207,УГО_спр,5,FALSE),0),IFERROR(--VLOOKUP(AL207,УГО_спр,5,FALSE),0),IFERROR(--VLOOKUP(LEFT(AL207,2),УГО_спр,5,FALSE),0))&gt;0,MAX(IFERROR(--VLOOKUP(R207,УГО_спр,5,FALSE),0),IFERROR(--VLOOKUP(AL207,УГО_спр,5,FALSE),0),IFERROR(--VLOOKUP(LEFT(AL207,2),УГО_спр,5,FALSE),0)),IF(IFERROR(--LEFT(SUBSTITUTE(BQ207,"x","х"),FIND("х",SUBSTITUTE(BQ207,"x","х"))-1),3)&gt;3,Каталог!$S$9,1)))</f>
      </c>
      <c r="BX207" s="129">
        <f>IF(AY207&lt;&gt;1,0,MAX(0,IFERROR(--LEFT(SUBSTITUTE(BQ207,"x","х"),FIND("х",SUBSTITUTE(BQ207,"x","х"))-1),3)-3*BW207))</f>
      </c>
      <c r="BY207" s="129">
        <f>IF(R207="","",IFERROR(VLOOKUP(R207,УГО_спр,2,FALSE),IFERROR(VLOOKUP(AL207,УГО_спр,2,FALSE),IFERROR(VLOOKUP(LEFT(AL207,2),УГО_спр,2,FALSE),""))))</f>
      </c>
    </row>
    <row r="208" spans="1:64" x14ac:dyDescent="0.3">
      <c r="A208" s="135">
        <f>IF(Разбивка_по_щитам!F208=0,"",Разбивка_по_щитам!F208)</f>
      </c>
      <c r="B208" s="138">
        <f>IF(A208="","",Разбивка_по_щитам!C208)</f>
      </c>
      <c r="C208" s="138">
        <f t="shared" si="128"/>
      </c>
      <c r="D208" s="266"/>
      <c r="E208" s="266"/>
      <c r="F208" s="267"/>
      <c r="G208" s="145">
        <f t="shared" si="129"/>
        <v/>
      </c>
      <c r="H208" s="145">
        <f t="shared" si="130"/>
        <v/>
      </c>
      <c r="I208" s="266"/>
      <c r="J208" s="267"/>
      <c r="K208" s="267"/>
      <c r="L208" s="266"/>
      <c r="M208" s="147">
        <f t="shared" si="166"/>
        <v/>
      </c>
      <c r="N208" s="267"/>
      <c r="O208" s="147">
        <f t="shared" si="167"/>
        <v/>
      </c>
      <c r="P208" s="268">
        <f>IF(AY208=1,"XT"&amp;COUNTIFS($A$3:A208,A208,$AY$3:AY208,1),"")</f>
        <v/>
      </c>
      <c r="Q208" s="152">
        <f>IF(R208="","",IFERROR(SUBSTITUTE(Разбивка_по_щитам!P208,CHAR(10)," "),""))</f>
        <v/>
      </c>
      <c r="R208" s="153">
        <f>IF(OR(Разбивка_по_щитам!H208="",Разбивка_по_щитам!H208=0),"",Разбивка_по_щитам!H208)</f>
        <v/>
      </c>
      <c r="S208" s="154">
        <f>IF(R208="","",IFERROR(Разбивка_по_щитам!J208&amp;"",""))</f>
        <v/>
      </c>
      <c r="T208" s="155">
        <f>IF(R208="","",IFERROR(--Разбивка_по_щитам!L208,""))</f>
        <v/>
      </c>
      <c r="U208" s="155">
        <f>IF(R208="","",IFERROR(--Разбивка_по_щитам!K208,""))</f>
        <v/>
      </c>
      <c r="V208" s="138">
        <f>IF(R208="","",IFERROR(IF(Разбивка_по_щитам!M208=0,"",Разбивка_по_щитам!M208),""))</f>
        <v/>
      </c>
      <c r="W208" s="156">
        <f t="shared" si="131"/>
        <v/>
      </c>
      <c r="X208" s="157">
        <f t="shared" si="132"/>
        <v/>
      </c>
      <c r="Y208" s="266"/>
      <c r="Z208" s="158">
        <f t="shared" si="133"/>
        <v/>
      </c>
      <c r="AA208" s="160">
        <f t="shared" si="134"/>
        <v/>
      </c>
      <c r="AB208" s="160">
        <f>IF(R208="","",IFERROR(LOOKUP(INDEX(Справочная!$I$4:$I$19,MATCH(VLOOKUP(R208,Исходные_данные,22,FALSE),Справочная!$J$4:$J$19,0)+1),{6,10,16,20,25,32,40,50,63,80,100,125}),""))</f>
        <v/>
      </c>
      <c r="AC208" s="160">
        <f t="shared" si="135"/>
        <v/>
      </c>
      <c r="AD208" s="161">
        <f t="shared" si="136"/>
        <v/>
      </c>
      <c r="AE208" s="161">
        <f>IF(AND(R208="",G208=""),"",_xlfn.TEXTJOIN("; ",TRUE,IF(AND(R208&lt;&gt;"",V208=""),"нет фазы",""),IF(AND(R208&lt;&gt;"",N(T208)=0),"нет мощности",""),IF(AND(P208&lt;&gt;"",COUNTIFS($A$3:$A$1000,A208,$P$3:$P$1000,P208)&gt;1),"дубль клеммы "&amp;P208,""),IF(AND(W208&lt;&gt;"",W208&lt;&gt;"ok"),W208,""),IF(X208&lt;&gt;"",X208,""),IF(AND(ISNUMBER(SEARCH("(5х",Q208)),N(AK208)=1),"5 жил на 1 фазе",""),IF(AND(AL208="R",E208&lt;&gt;"",N(AS208)=0),"розетка без 30 мА",""),IF(IFERROR(_xlfn.NUMBERVALUE(MID(Q208,FIND("-",Q208,FIND("L=",Q208))+1,FIND("%",Q208)-FIND("-",Q208,FIND("L=",Q208))-1),","),0)&gt;4,"потери &gt; 4 %","")))</f>
      </c>
      <c r="AF208" s="129">
        <f>IF(E208&lt;&gt;"",COUNTIFS($A$3:A208,A208,$E$3:E208,"?*"),IF(OR(A208&lt;&gt;A207,Y208="вручную"),"",AF207))</f>
      </c>
      <c r="AG208" s="129">
        <f t="shared" si="137"/>
      </c>
      <c r="AH208" s="129">
        <f t="shared" si="138"/>
        <v/>
      </c>
      <c r="AI208" s="129">
        <f t="shared" si="139"/>
        <v/>
      </c>
      <c r="AJ208" s="129">
        <f t="shared" si="140"/>
        <v/>
      </c>
      <c r="AK208" s="129">
        <f t="shared" si="141"/>
        <v/>
      </c>
      <c r="AL208" s="129">
        <f t="shared" si="142"/>
        <v/>
      </c>
      <c r="AM208" s="129">
        <f t="shared" si="143"/>
      </c>
      <c r="AN208" s="129">
        <f t="shared" si="144"/>
      </c>
      <c r="AO208" s="129">
        <f t="shared" si="145"/>
        <v/>
      </c>
      <c r="AP208" s="129">
        <f t="shared" si="146"/>
        <v/>
      </c>
      <c r="AQ208" s="129">
        <f t="shared" si="147"/>
        <v/>
      </c>
      <c r="AR208" s="129">
        <f t="shared" si="148"/>
        <v/>
      </c>
      <c r="AS208" s="129">
        <f t="shared" si="149"/>
        <v/>
      </c>
      <c r="AT208" s="129">
        <f t="shared" si="150"/>
        <v/>
      </c>
      <c r="AU208" s="129">
        <f t="shared" si="151"/>
        <v/>
      </c>
      <c r="AV208" s="129">
        <f t="shared" si="152"/>
        <v/>
      </c>
      <c r="AW208" s="129">
        <f>IF(AV208="","",AV208&amp;"."&amp;COUNTIFS($A$3:A208,A208,$AV$3:AV208,AV208))</f>
        <v/>
      </c>
      <c r="AX208" s="129">
        <f t="shared" si="153"/>
        <v/>
      </c>
      <c r="AY208" s="129">
        <f>IF(N208="б/к",0,IF(OR(ISNUMBER(SEARCH("L=",Разбивка_по_щитам!P208)),N208="+",N208="="),1,0))</f>
      </c>
      <c r="AZ208" s="129">
        <f t="shared" si="154"/>
      </c>
      <c r="BA208" s="129">
        <f t="shared" si="155"/>
      </c>
      <c r="BB208" s="129">
        <f t="shared" si="156"/>
      </c>
      <c r="BD208" s="129">
        <f t="shared" si="157"/>
      </c>
      <c r="BE208" s="129">
        <f t="shared" si="158"/>
      </c>
      <c r="BF208" s="129">
        <f t="shared" si="159"/>
      </c>
      <c r="BG208" s="129">
        <f t="shared" si="160"/>
        <v/>
      </c>
      <c r="BH208" s="129">
        <f t="shared" si="161"/>
        <v/>
      </c>
      <c r="BI208" s="129">
        <f t="shared" si="162"/>
        <v/>
      </c>
      <c r="BJ208" s="129">
        <f t="shared" si="163"/>
        <v/>
      </c>
      <c r="BK208" s="129">
        <f>IF(R208="","",IF(OR(BY208="",BY208=0),"BOX",IFERROR(IF(VLOOKUP(BY208,УГО_блоки,3,FALSE)&amp;""&lt;&gt;"",VLOOKUP(BY208,УГО_блоки,3,FALSE),VLOOKUP(BY208,УГО_блоки,2,FALSE)),BY208)))</f>
      </c>
      <c r="BL208" s="129">
        <f t="shared" si="165"/>
      </c>
      <c r="BM208" s="129">
        <f>IF(H208="","",IF(COUNTIF($H$3:H208,H208)=1,MAX($BM$2:BM207)+1,""))</f>
      </c>
      <c r="BN208" s="129">
        <f>IF(I208="","",IF(COUNTIF($I$3:I208,I208)+COUNTIF($J$2:J207,I208)+COUNTIF($K$2:K207,I208)=1,MAX($BN$2:BP207)+1,""))</f>
      </c>
      <c r="BO208" s="129">
        <f>IF(J208="","",IF(COUNTIF($I$3:I208,J208)+COUNTIF($J$3:J208,J208)+COUNTIF($K$2:K207,J208)=1,MAX($BN$2:BP207,BN208)+1,""))</f>
      </c>
      <c r="BP208" s="129">
        <f>IF(K208="","",IF(COUNTIF($I$3:I208,K208)+COUNTIF($J$3:J208,K208)+COUNTIF($K$3:K208,K208)=1,MAX($BN$2:BP207,BN208,BO208)+1,""))</f>
      </c>
      <c r="BQ208" s="129">
        <f>IF(AY208=1,IFERROR(MID(Q208,FIND(" (",Q208)+2,FIND(")",Q208,FIND(" (",Q208))-FIND(" (",Q208)-2),"?"),"")</f>
      </c>
      <c r="BR208" s="129">
        <f>IF(BQ208="","",IF(COUNTIF($BQ$3:BQ208,BQ208)=1,MAX($BR$2:BR207)+1,""))</f>
      </c>
      <c r="BS208" s="129">
        <f>IF(AW208="","",COUNTIF($AW$3:AW208,"?*"))</f>
      </c>
      <c r="BT208" s="129">
        <f>IF(OR(AW208="",AI208=""),"",IF(COUNTIFS($AW$3:AW208,"?*",$AI$3:AI208,AI208)=1,MAX($BT$2:BT207)+1,""))</f>
      </c>
      <c r="BU208" s="129">
        <f>IF(AE208="",0,IF(OR(ISNUMBER(SEARCH("дубль",AE208)),ISNUMBER(SEARCH("ПЕРЕГРУЗ",AE208)),ISNUMBER(SEARCH("ЗАЩИЩ",AE208)),ISNUMBER(SEARCH("КАНАЛ",AE208)),ISNUMBER(SEARCH("без 30",AE208))),2,1))</f>
      </c>
      <c r="BV208" s="129">
        <f>IF(R208="","",COUNTIF($R$3:R208,"?*"))</f>
      </c>
      <c r="BW208" s="129">
        <f>IF(AY208&lt;&gt;1,0,IF(MAX(IFERROR(--VLOOKUP(R208,УГО_спр,5,FALSE),0),IFERROR(--VLOOKUP(AL208,УГО_спр,5,FALSE),0),IFERROR(--VLOOKUP(LEFT(AL208,2),УГО_спр,5,FALSE),0))&gt;0,MAX(IFERROR(--VLOOKUP(R208,УГО_спр,5,FALSE),0),IFERROR(--VLOOKUP(AL208,УГО_спр,5,FALSE),0),IFERROR(--VLOOKUP(LEFT(AL208,2),УГО_спр,5,FALSE),0)),IF(IFERROR(--LEFT(SUBSTITUTE(BQ208,"x","х"),FIND("х",SUBSTITUTE(BQ208,"x","х"))-1),3)&gt;3,Каталог!$S$9,1)))</f>
      </c>
      <c r="BX208" s="129">
        <f>IF(AY208&lt;&gt;1,0,MAX(0,IFERROR(--LEFT(SUBSTITUTE(BQ208,"x","х"),FIND("х",SUBSTITUTE(BQ208,"x","х"))-1),3)-3*BW208))</f>
      </c>
      <c r="BY208" s="129">
        <f>IF(R208="","",IFERROR(VLOOKUP(R208,УГО_спр,2,FALSE),IFERROR(VLOOKUP(AL208,УГО_спр,2,FALSE),IFERROR(VLOOKUP(LEFT(AL208,2),УГО_спр,2,FALSE),""))))</f>
      </c>
    </row>
    <row r="209" spans="1:64" x14ac:dyDescent="0.3">
      <c r="A209" s="135">
        <f>IF(Разбивка_по_щитам!F209=0,"",Разбивка_по_щитам!F209)</f>
      </c>
      <c r="B209" s="138">
        <f>IF(A209="","",Разбивка_по_щитам!C209)</f>
      </c>
      <c r="C209" s="138">
        <f t="shared" si="128"/>
      </c>
      <c r="D209" s="266"/>
      <c r="E209" s="266"/>
      <c r="F209" s="267"/>
      <c r="G209" s="145">
        <f t="shared" si="129"/>
        <v/>
      </c>
      <c r="H209" s="145">
        <f t="shared" si="130"/>
        <v/>
      </c>
      <c r="I209" s="266"/>
      <c r="J209" s="267"/>
      <c r="K209" s="267"/>
      <c r="L209" s="266"/>
      <c r="M209" s="147">
        <f t="shared" si="166"/>
        <v/>
      </c>
      <c r="N209" s="267"/>
      <c r="O209" s="147">
        <f t="shared" si="167"/>
        <v/>
      </c>
      <c r="P209" s="268">
        <f>IF(AY209=1,"XT"&amp;COUNTIFS($A$3:A209,A209,$AY$3:AY209,1),"")</f>
        <v/>
      </c>
      <c r="Q209" s="152">
        <f>IF(R209="","",IFERROR(SUBSTITUTE(Разбивка_по_щитам!P209,CHAR(10)," "),""))</f>
        <v/>
      </c>
      <c r="R209" s="153">
        <f>IF(OR(Разбивка_по_щитам!H209="",Разбивка_по_щитам!H209=0),"",Разбивка_по_щитам!H209)</f>
        <v/>
      </c>
      <c r="S209" s="154">
        <f>IF(R209="","",IFERROR(Разбивка_по_щитам!J209&amp;"",""))</f>
        <v/>
      </c>
      <c r="T209" s="155">
        <f>IF(R209="","",IFERROR(--Разбивка_по_щитам!L209,""))</f>
        <v/>
      </c>
      <c r="U209" s="155">
        <f>IF(R209="","",IFERROR(--Разбивка_по_щитам!K209,""))</f>
        <v/>
      </c>
      <c r="V209" s="138">
        <f>IF(R209="","",IFERROR(IF(Разбивка_по_щитам!M209=0,"",Разбивка_по_щитам!M209),""))</f>
        <v/>
      </c>
      <c r="W209" s="156">
        <f t="shared" si="131"/>
        <v/>
      </c>
      <c r="X209" s="157">
        <f t="shared" si="132"/>
        <v/>
      </c>
      <c r="Y209" s="266"/>
      <c r="Z209" s="158">
        <f t="shared" si="133"/>
        <v/>
      </c>
      <c r="AA209" s="160">
        <f t="shared" si="134"/>
        <v/>
      </c>
      <c r="AB209" s="160">
        <f>IF(R209="","",IFERROR(LOOKUP(INDEX(Справочная!$I$4:$I$19,MATCH(VLOOKUP(R209,Исходные_данные,22,FALSE),Справочная!$J$4:$J$19,0)+1),{6,10,16,20,25,32,40,50,63,80,100,125}),""))</f>
        <v/>
      </c>
      <c r="AC209" s="160">
        <f t="shared" si="135"/>
        <v/>
      </c>
      <c r="AD209" s="161">
        <f t="shared" si="136"/>
        <v/>
      </c>
      <c r="AE209" s="161">
        <f>IF(AND(R209="",G209=""),"",_xlfn.TEXTJOIN("; ",TRUE,IF(AND(R209&lt;&gt;"",V209=""),"нет фазы",""),IF(AND(R209&lt;&gt;"",N(T209)=0),"нет мощности",""),IF(AND(P209&lt;&gt;"",COUNTIFS($A$3:$A$1000,A209,$P$3:$P$1000,P209)&gt;1),"дубль клеммы "&amp;P209,""),IF(AND(W209&lt;&gt;"",W209&lt;&gt;"ok"),W209,""),IF(X209&lt;&gt;"",X209,""),IF(AND(ISNUMBER(SEARCH("(5х",Q209)),N(AK209)=1),"5 жил на 1 фазе",""),IF(AND(AL209="R",E209&lt;&gt;"",N(AS209)=0),"розетка без 30 мА",""),IF(IFERROR(_xlfn.NUMBERVALUE(MID(Q209,FIND("-",Q209,FIND("L=",Q209))+1,FIND("%",Q209)-FIND("-",Q209,FIND("L=",Q209))-1),","),0)&gt;4,"потери &gt; 4 %","")))</f>
      </c>
      <c r="AF209" s="129">
        <f>IF(E209&lt;&gt;"",COUNTIFS($A$3:A209,A209,$E$3:E209,"?*"),IF(OR(A209&lt;&gt;A208,Y209="вручную"),"",AF208))</f>
      </c>
      <c r="AG209" s="129">
        <f t="shared" si="137"/>
      </c>
      <c r="AH209" s="129">
        <f t="shared" si="138"/>
        <v/>
      </c>
      <c r="AI209" s="129">
        <f t="shared" si="139"/>
        <v/>
      </c>
      <c r="AJ209" s="129">
        <f t="shared" si="140"/>
        <v/>
      </c>
      <c r="AK209" s="129">
        <f t="shared" si="141"/>
        <v/>
      </c>
      <c r="AL209" s="129">
        <f t="shared" si="142"/>
        <v/>
      </c>
      <c r="AM209" s="129">
        <f t="shared" si="143"/>
      </c>
      <c r="AN209" s="129">
        <f t="shared" si="144"/>
      </c>
      <c r="AO209" s="129">
        <f t="shared" si="145"/>
        <v/>
      </c>
      <c r="AP209" s="129">
        <f t="shared" si="146"/>
        <v/>
      </c>
      <c r="AQ209" s="129">
        <f t="shared" si="147"/>
        <v/>
      </c>
      <c r="AR209" s="129">
        <f t="shared" si="148"/>
        <v/>
      </c>
      <c r="AS209" s="129">
        <f t="shared" si="149"/>
        <v/>
      </c>
      <c r="AT209" s="129">
        <f t="shared" si="150"/>
        <v/>
      </c>
      <c r="AU209" s="129">
        <f t="shared" si="151"/>
        <v/>
      </c>
      <c r="AV209" s="129">
        <f t="shared" si="152"/>
        <v/>
      </c>
      <c r="AW209" s="129">
        <f>IF(AV209="","",AV209&amp;"."&amp;COUNTIFS($A$3:A209,A209,$AV$3:AV209,AV209))</f>
        <v/>
      </c>
      <c r="AX209" s="129">
        <f t="shared" si="153"/>
        <v/>
      </c>
      <c r="AY209" s="129">
        <f>IF(N209="б/к",0,IF(OR(ISNUMBER(SEARCH("L=",Разбивка_по_щитам!P209)),N209="+",N209="="),1,0))</f>
      </c>
      <c r="AZ209" s="129">
        <f t="shared" si="154"/>
      </c>
      <c r="BA209" s="129">
        <f t="shared" si="155"/>
      </c>
      <c r="BB209" s="129">
        <f t="shared" si="156"/>
      </c>
      <c r="BD209" s="129">
        <f t="shared" si="157"/>
      </c>
      <c r="BE209" s="129">
        <f t="shared" si="158"/>
      </c>
      <c r="BF209" s="129">
        <f t="shared" si="159"/>
      </c>
      <c r="BG209" s="129">
        <f t="shared" si="160"/>
        <v/>
      </c>
      <c r="BH209" s="129">
        <f t="shared" si="161"/>
        <v/>
      </c>
      <c r="BI209" s="129">
        <f t="shared" si="162"/>
        <v/>
      </c>
      <c r="BJ209" s="129">
        <f t="shared" si="163"/>
        <v/>
      </c>
      <c r="BK209" s="129">
        <f>IF(R209="","",IF(OR(BY209="",BY209=0),"BOX",IFERROR(IF(VLOOKUP(BY209,УГО_блоки,3,FALSE)&amp;""&lt;&gt;"",VLOOKUP(BY209,УГО_блоки,3,FALSE),VLOOKUP(BY209,УГО_блоки,2,FALSE)),BY209)))</f>
      </c>
      <c r="BL209" s="129">
        <f t="shared" si="165"/>
      </c>
      <c r="BM209" s="129">
        <f>IF(H209="","",IF(COUNTIF($H$3:H209,H209)=1,MAX($BM$2:BM208)+1,""))</f>
      </c>
      <c r="BN209" s="129">
        <f>IF(I209="","",IF(COUNTIF($I$3:I209,I209)+COUNTIF($J$2:J208,I209)+COUNTIF($K$2:K208,I209)=1,MAX($BN$2:BP208)+1,""))</f>
      </c>
      <c r="BO209" s="129">
        <f>IF(J209="","",IF(COUNTIF($I$3:I209,J209)+COUNTIF($J$3:J209,J209)+COUNTIF($K$2:K208,J209)=1,MAX($BN$2:BP208,BN209)+1,""))</f>
      </c>
      <c r="BP209" s="129">
        <f>IF(K209="","",IF(COUNTIF($I$3:I209,K209)+COUNTIF($J$3:J209,K209)+COUNTIF($K$3:K209,K209)=1,MAX($BN$2:BP208,BN209,BO209)+1,""))</f>
      </c>
      <c r="BQ209" s="129">
        <f>IF(AY209=1,IFERROR(MID(Q209,FIND(" (",Q209)+2,FIND(")",Q209,FIND(" (",Q209))-FIND(" (",Q209)-2),"?"),"")</f>
      </c>
      <c r="BR209" s="129">
        <f>IF(BQ209="","",IF(COUNTIF($BQ$3:BQ209,BQ209)=1,MAX($BR$2:BR208)+1,""))</f>
      </c>
      <c r="BS209" s="129">
        <f>IF(AW209="","",COUNTIF($AW$3:AW209,"?*"))</f>
      </c>
      <c r="BT209" s="129">
        <f>IF(OR(AW209="",AI209=""),"",IF(COUNTIFS($AW$3:AW209,"?*",$AI$3:AI209,AI209)=1,MAX($BT$2:BT208)+1,""))</f>
      </c>
      <c r="BU209" s="129">
        <f>IF(AE209="",0,IF(OR(ISNUMBER(SEARCH("дубль",AE209)),ISNUMBER(SEARCH("ПЕРЕГРУЗ",AE209)),ISNUMBER(SEARCH("ЗАЩИЩ",AE209)),ISNUMBER(SEARCH("КАНАЛ",AE209)),ISNUMBER(SEARCH("без 30",AE209))),2,1))</f>
      </c>
      <c r="BV209" s="129">
        <f>IF(R209="","",COUNTIF($R$3:R209,"?*"))</f>
      </c>
      <c r="BW209" s="129">
        <f>IF(AY209&lt;&gt;1,0,IF(MAX(IFERROR(--VLOOKUP(R209,УГО_спр,5,FALSE),0),IFERROR(--VLOOKUP(AL209,УГО_спр,5,FALSE),0),IFERROR(--VLOOKUP(LEFT(AL209,2),УГО_спр,5,FALSE),0))&gt;0,MAX(IFERROR(--VLOOKUP(R209,УГО_спр,5,FALSE),0),IFERROR(--VLOOKUP(AL209,УГО_спр,5,FALSE),0),IFERROR(--VLOOKUP(LEFT(AL209,2),УГО_спр,5,FALSE),0)),IF(IFERROR(--LEFT(SUBSTITUTE(BQ209,"x","х"),FIND("х",SUBSTITUTE(BQ209,"x","х"))-1),3)&gt;3,Каталог!$S$9,1)))</f>
      </c>
      <c r="BX209" s="129">
        <f>IF(AY209&lt;&gt;1,0,MAX(0,IFERROR(--LEFT(SUBSTITUTE(BQ209,"x","х"),FIND("х",SUBSTITUTE(BQ209,"x","х"))-1),3)-3*BW209))</f>
      </c>
      <c r="BY209" s="129">
        <f>IF(R209="","",IFERROR(VLOOKUP(R209,УГО_спр,2,FALSE),IFERROR(VLOOKUP(AL209,УГО_спр,2,FALSE),IFERROR(VLOOKUP(LEFT(AL209,2),УГО_спр,2,FALSE),""))))</f>
      </c>
    </row>
    <row r="210" spans="1:64" x14ac:dyDescent="0.3">
      <c r="A210" s="135">
        <f>IF(Разбивка_по_щитам!F210=0,"",Разбивка_по_щитам!F210)</f>
      </c>
      <c r="B210" s="138">
        <f>IF(A210="","",Разбивка_по_щитам!C210)</f>
      </c>
      <c r="C210" s="138">
        <f t="shared" si="128"/>
      </c>
      <c r="D210" s="266"/>
      <c r="E210" s="266"/>
      <c r="F210" s="267"/>
      <c r="G210" s="145">
        <f t="shared" si="129"/>
        <v/>
      </c>
      <c r="H210" s="145">
        <f t="shared" si="130"/>
        <v/>
      </c>
      <c r="I210" s="266"/>
      <c r="J210" s="267"/>
      <c r="K210" s="267"/>
      <c r="L210" s="266"/>
      <c r="M210" s="147">
        <f t="shared" si="166"/>
        <v/>
      </c>
      <c r="N210" s="267"/>
      <c r="O210" s="147">
        <f t="shared" si="167"/>
        <v/>
      </c>
      <c r="P210" s="268">
        <f>IF(AY210=1,"XT"&amp;COUNTIFS($A$3:A210,A210,$AY$3:AY210,1),"")</f>
        <v/>
      </c>
      <c r="Q210" s="152">
        <f>IF(R210="","",IFERROR(SUBSTITUTE(Разбивка_по_щитам!P210,CHAR(10)," "),""))</f>
        <v/>
      </c>
      <c r="R210" s="153">
        <f>IF(OR(Разбивка_по_щитам!H210="",Разбивка_по_щитам!H210=0),"",Разбивка_по_щитам!H210)</f>
        <v/>
      </c>
      <c r="S210" s="154">
        <f>IF(R210="","",IFERROR(Разбивка_по_щитам!J210&amp;"",""))</f>
        <v/>
      </c>
      <c r="T210" s="155">
        <f>IF(R210="","",IFERROR(--Разбивка_по_щитам!L210,""))</f>
        <v/>
      </c>
      <c r="U210" s="155">
        <f>IF(R210="","",IFERROR(--Разбивка_по_щитам!K210,""))</f>
        <v/>
      </c>
      <c r="V210" s="138">
        <f>IF(R210="","",IFERROR(IF(Разбивка_по_щитам!M210=0,"",Разбивка_по_щитам!M210),""))</f>
        <v/>
      </c>
      <c r="W210" s="156">
        <f t="shared" si="131"/>
        <v/>
      </c>
      <c r="X210" s="157">
        <f t="shared" si="132"/>
        <v/>
      </c>
      <c r="Y210" s="266"/>
      <c r="Z210" s="158">
        <f t="shared" si="133"/>
        <v/>
      </c>
      <c r="AA210" s="160">
        <f t="shared" si="134"/>
        <v/>
      </c>
      <c r="AB210" s="160">
        <f>IF(R210="","",IFERROR(LOOKUP(INDEX(Справочная!$I$4:$I$19,MATCH(VLOOKUP(R210,Исходные_данные,22,FALSE),Справочная!$J$4:$J$19,0)+1),{6,10,16,20,25,32,40,50,63,80,100,125}),""))</f>
        <v/>
      </c>
      <c r="AC210" s="160">
        <f t="shared" si="135"/>
        <v/>
      </c>
      <c r="AD210" s="161">
        <f t="shared" si="136"/>
        <v/>
      </c>
      <c r="AE210" s="161">
        <f>IF(AND(R210="",G210=""),"",_xlfn.TEXTJOIN("; ",TRUE,IF(AND(R210&lt;&gt;"",V210=""),"нет фазы",""),IF(AND(R210&lt;&gt;"",N(T210)=0),"нет мощности",""),IF(AND(P210&lt;&gt;"",COUNTIFS($A$3:$A$1000,A210,$P$3:$P$1000,P210)&gt;1),"дубль клеммы "&amp;P210,""),IF(AND(W210&lt;&gt;"",W210&lt;&gt;"ok"),W210,""),IF(X210&lt;&gt;"",X210,""),IF(AND(ISNUMBER(SEARCH("(5х",Q210)),N(AK210)=1),"5 жил на 1 фазе",""),IF(AND(AL210="R",E210&lt;&gt;"",N(AS210)=0),"розетка без 30 мА",""),IF(IFERROR(_xlfn.NUMBERVALUE(MID(Q210,FIND("-",Q210,FIND("L=",Q210))+1,FIND("%",Q210)-FIND("-",Q210,FIND("L=",Q210))-1),","),0)&gt;4,"потери &gt; 4 %","")))</f>
      </c>
      <c r="AF210" s="129">
        <f>IF(E210&lt;&gt;"",COUNTIFS($A$3:A210,A210,$E$3:E210,"?*"),IF(OR(A210&lt;&gt;A209,Y210="вручную"),"",AF209))</f>
      </c>
      <c r="AG210" s="129">
        <f t="shared" si="137"/>
      </c>
      <c r="AH210" s="129">
        <f t="shared" si="138"/>
        <v/>
      </c>
      <c r="AI210" s="129">
        <f t="shared" si="139"/>
        <v/>
      </c>
      <c r="AJ210" s="129">
        <f t="shared" si="140"/>
        <v/>
      </c>
      <c r="AK210" s="129">
        <f t="shared" si="141"/>
        <v/>
      </c>
      <c r="AL210" s="129">
        <f t="shared" si="142"/>
        <v/>
      </c>
      <c r="AM210" s="129">
        <f t="shared" si="143"/>
      </c>
      <c r="AN210" s="129">
        <f t="shared" si="144"/>
      </c>
      <c r="AO210" s="129">
        <f t="shared" si="145"/>
        <v/>
      </c>
      <c r="AP210" s="129">
        <f t="shared" si="146"/>
        <v/>
      </c>
      <c r="AQ210" s="129">
        <f t="shared" si="147"/>
        <v/>
      </c>
      <c r="AR210" s="129">
        <f t="shared" si="148"/>
        <v/>
      </c>
      <c r="AS210" s="129">
        <f t="shared" si="149"/>
        <v/>
      </c>
      <c r="AT210" s="129">
        <f t="shared" si="150"/>
        <v/>
      </c>
      <c r="AU210" s="129">
        <f t="shared" si="151"/>
        <v/>
      </c>
      <c r="AV210" s="129">
        <f t="shared" si="152"/>
        <v/>
      </c>
      <c r="AW210" s="129">
        <f>IF(AV210="","",AV210&amp;"."&amp;COUNTIFS($A$3:A210,A210,$AV$3:AV210,AV210))</f>
        <v/>
      </c>
      <c r="AX210" s="129">
        <f t="shared" si="153"/>
        <v/>
      </c>
      <c r="AY210" s="129">
        <f>IF(N210="б/к",0,IF(OR(ISNUMBER(SEARCH("L=",Разбивка_по_щитам!P210)),N210="+",N210="="),1,0))</f>
      </c>
      <c r="AZ210" s="129">
        <f t="shared" si="154"/>
      </c>
      <c r="BA210" s="129">
        <f t="shared" si="155"/>
      </c>
      <c r="BB210" s="129">
        <f t="shared" si="156"/>
      </c>
      <c r="BD210" s="129">
        <f t="shared" si="157"/>
      </c>
      <c r="BE210" s="129">
        <f t="shared" si="158"/>
      </c>
      <c r="BF210" s="129">
        <f t="shared" si="159"/>
      </c>
      <c r="BG210" s="129">
        <f t="shared" si="160"/>
        <v/>
      </c>
      <c r="BH210" s="129">
        <f t="shared" si="161"/>
        <v/>
      </c>
      <c r="BI210" s="129">
        <f t="shared" si="162"/>
        <v/>
      </c>
      <c r="BJ210" s="129">
        <f t="shared" si="163"/>
        <v/>
      </c>
      <c r="BK210" s="129">
        <f>IF(R210="","",IF(OR(BY210="",BY210=0),"BOX",IFERROR(IF(VLOOKUP(BY210,УГО_блоки,3,FALSE)&amp;""&lt;&gt;"",VLOOKUP(BY210,УГО_блоки,3,FALSE),VLOOKUP(BY210,УГО_блоки,2,FALSE)),BY210)))</f>
      </c>
      <c r="BL210" s="129">
        <f t="shared" si="165"/>
      </c>
      <c r="BM210" s="129">
        <f>IF(H210="","",IF(COUNTIF($H$3:H210,H210)=1,MAX($BM$2:BM209)+1,""))</f>
      </c>
      <c r="BN210" s="129">
        <f>IF(I210="","",IF(COUNTIF($I$3:I210,I210)+COUNTIF($J$2:J209,I210)+COUNTIF($K$2:K209,I210)=1,MAX($BN$2:BP209)+1,""))</f>
      </c>
      <c r="BO210" s="129">
        <f>IF(J210="","",IF(COUNTIF($I$3:I210,J210)+COUNTIF($J$3:J210,J210)+COUNTIF($K$2:K209,J210)=1,MAX($BN$2:BP209,BN210)+1,""))</f>
      </c>
      <c r="BP210" s="129">
        <f>IF(K210="","",IF(COUNTIF($I$3:I210,K210)+COUNTIF($J$3:J210,K210)+COUNTIF($K$3:K210,K210)=1,MAX($BN$2:BP209,BN210,BO210)+1,""))</f>
      </c>
      <c r="BQ210" s="129">
        <f>IF(AY210=1,IFERROR(MID(Q210,FIND(" (",Q210)+2,FIND(")",Q210,FIND(" (",Q210))-FIND(" (",Q210)-2),"?"),"")</f>
      </c>
      <c r="BR210" s="129">
        <f>IF(BQ210="","",IF(COUNTIF($BQ$3:BQ210,BQ210)=1,MAX($BR$2:BR209)+1,""))</f>
      </c>
      <c r="BS210" s="129">
        <f>IF(AW210="","",COUNTIF($AW$3:AW210,"?*"))</f>
      </c>
      <c r="BT210" s="129">
        <f>IF(OR(AW210="",AI210=""),"",IF(COUNTIFS($AW$3:AW210,"?*",$AI$3:AI210,AI210)=1,MAX($BT$2:BT209)+1,""))</f>
      </c>
      <c r="BU210" s="129">
        <f>IF(AE210="",0,IF(OR(ISNUMBER(SEARCH("дубль",AE210)),ISNUMBER(SEARCH("ПЕРЕГРУЗ",AE210)),ISNUMBER(SEARCH("ЗАЩИЩ",AE210)),ISNUMBER(SEARCH("КАНАЛ",AE210)),ISNUMBER(SEARCH("без 30",AE210))),2,1))</f>
      </c>
      <c r="BV210" s="129">
        <f>IF(R210="","",COUNTIF($R$3:R210,"?*"))</f>
      </c>
      <c r="BW210" s="129">
        <f>IF(AY210&lt;&gt;1,0,IF(MAX(IFERROR(--VLOOKUP(R210,УГО_спр,5,FALSE),0),IFERROR(--VLOOKUP(AL210,УГО_спр,5,FALSE),0),IFERROR(--VLOOKUP(LEFT(AL210,2),УГО_спр,5,FALSE),0))&gt;0,MAX(IFERROR(--VLOOKUP(R210,УГО_спр,5,FALSE),0),IFERROR(--VLOOKUP(AL210,УГО_спр,5,FALSE),0),IFERROR(--VLOOKUP(LEFT(AL210,2),УГО_спр,5,FALSE),0)),IF(IFERROR(--LEFT(SUBSTITUTE(BQ210,"x","х"),FIND("х",SUBSTITUTE(BQ210,"x","х"))-1),3)&gt;3,Каталог!$S$9,1)))</f>
      </c>
      <c r="BX210" s="129">
        <f>IF(AY210&lt;&gt;1,0,MAX(0,IFERROR(--LEFT(SUBSTITUTE(BQ210,"x","х"),FIND("х",SUBSTITUTE(BQ210,"x","х"))-1),3)-3*BW210))</f>
      </c>
      <c r="BY210" s="129">
        <f>IF(R210="","",IFERROR(VLOOKUP(R210,УГО_спр,2,FALSE),IFERROR(VLOOKUP(AL210,УГО_спр,2,FALSE),IFERROR(VLOOKUP(LEFT(AL210,2),УГО_спр,2,FALSE),""))))</f>
      </c>
    </row>
    <row r="211" spans="1:64" x14ac:dyDescent="0.3">
      <c r="A211" s="135">
        <f>IF(Разбивка_по_щитам!F211=0,"",Разбивка_по_щитам!F211)</f>
      </c>
      <c r="B211" s="138">
        <f>IF(A211="","",Разбивка_по_щитам!C211)</f>
      </c>
      <c r="C211" s="138">
        <f t="shared" si="128"/>
      </c>
      <c r="D211" s="266"/>
      <c r="E211" s="266"/>
      <c r="F211" s="267"/>
      <c r="G211" s="145">
        <f t="shared" si="129"/>
        <v/>
      </c>
      <c r="H211" s="145">
        <f t="shared" si="130"/>
        <v/>
      </c>
      <c r="I211" s="266"/>
      <c r="J211" s="267"/>
      <c r="K211" s="267"/>
      <c r="L211" s="266"/>
      <c r="M211" s="147">
        <f t="shared" si="166"/>
        <v/>
      </c>
      <c r="N211" s="267"/>
      <c r="O211" s="147">
        <f t="shared" si="167"/>
        <v/>
      </c>
      <c r="P211" s="268">
        <f>IF(AY211=1,"XT"&amp;COUNTIFS($A$3:A211,A211,$AY$3:AY211,1),"")</f>
        <v/>
      </c>
      <c r="Q211" s="152">
        <f>IF(R211="","",IFERROR(SUBSTITUTE(Разбивка_по_щитам!P211,CHAR(10)," "),""))</f>
        <v/>
      </c>
      <c r="R211" s="153">
        <f>IF(OR(Разбивка_по_щитам!H211="",Разбивка_по_щитам!H211=0),"",Разбивка_по_щитам!H211)</f>
        <v/>
      </c>
      <c r="S211" s="154">
        <f>IF(R211="","",IFERROR(Разбивка_по_щитам!J211&amp;"",""))</f>
        <v/>
      </c>
      <c r="T211" s="155">
        <f>IF(R211="","",IFERROR(--Разбивка_по_щитам!L211,""))</f>
        <v/>
      </c>
      <c r="U211" s="155">
        <f>IF(R211="","",IFERROR(--Разбивка_по_щитам!K211,""))</f>
        <v/>
      </c>
      <c r="V211" s="138">
        <f>IF(R211="","",IFERROR(IF(Разбивка_по_щитам!M211=0,"",Разбивка_по_щитам!M211),""))</f>
        <v/>
      </c>
      <c r="W211" s="156">
        <f t="shared" si="131"/>
        <v/>
      </c>
      <c r="X211" s="157">
        <f t="shared" si="132"/>
        <v/>
      </c>
      <c r="Y211" s="266"/>
      <c r="Z211" s="158">
        <f t="shared" si="133"/>
        <v/>
      </c>
      <c r="AA211" s="160">
        <f t="shared" si="134"/>
        <v/>
      </c>
      <c r="AB211" s="160">
        <f>IF(R211="","",IFERROR(LOOKUP(INDEX(Справочная!$I$4:$I$19,MATCH(VLOOKUP(R211,Исходные_данные,22,FALSE),Справочная!$J$4:$J$19,0)+1),{6,10,16,20,25,32,40,50,63,80,100,125}),""))</f>
        <v/>
      </c>
      <c r="AC211" s="160">
        <f t="shared" si="135"/>
        <v/>
      </c>
      <c r="AD211" s="161">
        <f t="shared" si="136"/>
        <v/>
      </c>
      <c r="AE211" s="161">
        <f>IF(AND(R211="",G211=""),"",_xlfn.TEXTJOIN("; ",TRUE,IF(AND(R211&lt;&gt;"",V211=""),"нет фазы",""),IF(AND(R211&lt;&gt;"",N(T211)=0),"нет мощности",""),IF(AND(P211&lt;&gt;"",COUNTIFS($A$3:$A$1000,A211,$P$3:$P$1000,P211)&gt;1),"дубль клеммы "&amp;P211,""),IF(AND(W211&lt;&gt;"",W211&lt;&gt;"ok"),W211,""),IF(X211&lt;&gt;"",X211,""),IF(AND(ISNUMBER(SEARCH("(5х",Q211)),N(AK211)=1),"5 жил на 1 фазе",""),IF(AND(AL211="R",E211&lt;&gt;"",N(AS211)=0),"розетка без 30 мА",""),IF(IFERROR(_xlfn.NUMBERVALUE(MID(Q211,FIND("-",Q211,FIND("L=",Q211))+1,FIND("%",Q211)-FIND("-",Q211,FIND("L=",Q211))-1),","),0)&gt;4,"потери &gt; 4 %","")))</f>
      </c>
      <c r="AF211" s="129">
        <f>IF(E211&lt;&gt;"",COUNTIFS($A$3:A211,A211,$E$3:E211,"?*"),IF(OR(A211&lt;&gt;A210,Y211="вручную"),"",AF210))</f>
      </c>
      <c r="AG211" s="129">
        <f t="shared" si="137"/>
      </c>
      <c r="AH211" s="129">
        <f t="shared" si="138"/>
        <v/>
      </c>
      <c r="AI211" s="129">
        <f t="shared" si="139"/>
        <v/>
      </c>
      <c r="AJ211" s="129">
        <f t="shared" si="140"/>
        <v/>
      </c>
      <c r="AK211" s="129">
        <f t="shared" si="141"/>
        <v/>
      </c>
      <c r="AL211" s="129">
        <f t="shared" si="142"/>
        <v/>
      </c>
      <c r="AM211" s="129">
        <f t="shared" si="143"/>
      </c>
      <c r="AN211" s="129">
        <f t="shared" si="144"/>
      </c>
      <c r="AO211" s="129">
        <f t="shared" si="145"/>
        <v/>
      </c>
      <c r="AP211" s="129">
        <f t="shared" si="146"/>
        <v/>
      </c>
      <c r="AQ211" s="129">
        <f t="shared" si="147"/>
        <v/>
      </c>
      <c r="AR211" s="129">
        <f t="shared" si="148"/>
        <v/>
      </c>
      <c r="AS211" s="129">
        <f t="shared" si="149"/>
        <v/>
      </c>
      <c r="AT211" s="129">
        <f t="shared" si="150"/>
        <v/>
      </c>
      <c r="AU211" s="129">
        <f t="shared" si="151"/>
        <v/>
      </c>
      <c r="AV211" s="129">
        <f t="shared" si="152"/>
        <v/>
      </c>
      <c r="AW211" s="129">
        <f>IF(AV211="","",AV211&amp;"."&amp;COUNTIFS($A$3:A211,A211,$AV$3:AV211,AV211))</f>
        <v/>
      </c>
      <c r="AX211" s="129">
        <f t="shared" si="153"/>
        <v/>
      </c>
      <c r="AY211" s="129">
        <f>IF(N211="б/к",0,IF(OR(ISNUMBER(SEARCH("L=",Разбивка_по_щитам!P211)),N211="+",N211="="),1,0))</f>
      </c>
      <c r="AZ211" s="129">
        <f t="shared" si="154"/>
      </c>
      <c r="BA211" s="129">
        <f t="shared" si="155"/>
      </c>
      <c r="BB211" s="129">
        <f t="shared" si="156"/>
      </c>
      <c r="BD211" s="129">
        <f t="shared" si="157"/>
      </c>
      <c r="BE211" s="129">
        <f t="shared" si="158"/>
      </c>
      <c r="BF211" s="129">
        <f t="shared" si="159"/>
      </c>
      <c r="BG211" s="129">
        <f t="shared" si="160"/>
        <v/>
      </c>
      <c r="BH211" s="129">
        <f t="shared" si="161"/>
        <v/>
      </c>
      <c r="BI211" s="129">
        <f t="shared" si="162"/>
        <v/>
      </c>
      <c r="BJ211" s="129">
        <f t="shared" si="163"/>
        <v/>
      </c>
      <c r="BK211" s="129">
        <f>IF(R211="","",IF(OR(BY211="",BY211=0),"BOX",IFERROR(IF(VLOOKUP(BY211,УГО_блоки,3,FALSE)&amp;""&lt;&gt;"",VLOOKUP(BY211,УГО_блоки,3,FALSE),VLOOKUP(BY211,УГО_блоки,2,FALSE)),BY211)))</f>
      </c>
      <c r="BL211" s="129">
        <f t="shared" si="165"/>
      </c>
      <c r="BM211" s="129">
        <f>IF(H211="","",IF(COUNTIF($H$3:H211,H211)=1,MAX($BM$2:BM210)+1,""))</f>
      </c>
      <c r="BN211" s="129">
        <f>IF(I211="","",IF(COUNTIF($I$3:I211,I211)+COUNTIF($J$2:J210,I211)+COUNTIF($K$2:K210,I211)=1,MAX($BN$2:BP210)+1,""))</f>
      </c>
      <c r="BO211" s="129">
        <f>IF(J211="","",IF(COUNTIF($I$3:I211,J211)+COUNTIF($J$3:J211,J211)+COUNTIF($K$2:K210,J211)=1,MAX($BN$2:BP210,BN211)+1,""))</f>
      </c>
      <c r="BP211" s="129">
        <f>IF(K211="","",IF(COUNTIF($I$3:I211,K211)+COUNTIF($J$3:J211,K211)+COUNTIF($K$3:K211,K211)=1,MAX($BN$2:BP210,BN211,BO211)+1,""))</f>
      </c>
      <c r="BQ211" s="129">
        <f>IF(AY211=1,IFERROR(MID(Q211,FIND(" (",Q211)+2,FIND(")",Q211,FIND(" (",Q211))-FIND(" (",Q211)-2),"?"),"")</f>
      </c>
      <c r="BR211" s="129">
        <f>IF(BQ211="","",IF(COUNTIF($BQ$3:BQ211,BQ211)=1,MAX($BR$2:BR210)+1,""))</f>
      </c>
      <c r="BS211" s="129">
        <f>IF(AW211="","",COUNTIF($AW$3:AW211,"?*"))</f>
      </c>
      <c r="BT211" s="129">
        <f>IF(OR(AW211="",AI211=""),"",IF(COUNTIFS($AW$3:AW211,"?*",$AI$3:AI211,AI211)=1,MAX($BT$2:BT210)+1,""))</f>
      </c>
      <c r="BU211" s="129">
        <f>IF(AE211="",0,IF(OR(ISNUMBER(SEARCH("дубль",AE211)),ISNUMBER(SEARCH("ПЕРЕГРУЗ",AE211)),ISNUMBER(SEARCH("ЗАЩИЩ",AE211)),ISNUMBER(SEARCH("КАНАЛ",AE211)),ISNUMBER(SEARCH("без 30",AE211))),2,1))</f>
      </c>
      <c r="BV211" s="129">
        <f>IF(R211="","",COUNTIF($R$3:R211,"?*"))</f>
      </c>
      <c r="BW211" s="129">
        <f>IF(AY211&lt;&gt;1,0,IF(MAX(IFERROR(--VLOOKUP(R211,УГО_спр,5,FALSE),0),IFERROR(--VLOOKUP(AL211,УГО_спр,5,FALSE),0),IFERROR(--VLOOKUP(LEFT(AL211,2),УГО_спр,5,FALSE),0))&gt;0,MAX(IFERROR(--VLOOKUP(R211,УГО_спр,5,FALSE),0),IFERROR(--VLOOKUP(AL211,УГО_спр,5,FALSE),0),IFERROR(--VLOOKUP(LEFT(AL211,2),УГО_спр,5,FALSE),0)),IF(IFERROR(--LEFT(SUBSTITUTE(BQ211,"x","х"),FIND("х",SUBSTITUTE(BQ211,"x","х"))-1),3)&gt;3,Каталог!$S$9,1)))</f>
      </c>
      <c r="BX211" s="129">
        <f>IF(AY211&lt;&gt;1,0,MAX(0,IFERROR(--LEFT(SUBSTITUTE(BQ211,"x","х"),FIND("х",SUBSTITUTE(BQ211,"x","х"))-1),3)-3*BW211))</f>
      </c>
      <c r="BY211" s="129">
        <f>IF(R211="","",IFERROR(VLOOKUP(R211,УГО_спр,2,FALSE),IFERROR(VLOOKUP(AL211,УГО_спр,2,FALSE),IFERROR(VLOOKUP(LEFT(AL211,2),УГО_спр,2,FALSE),""))))</f>
      </c>
    </row>
    <row r="212" spans="1:64" x14ac:dyDescent="0.3">
      <c r="A212" s="135">
        <f>IF(Разбивка_по_щитам!F212=0,"",Разбивка_по_щитам!F212)</f>
      </c>
      <c r="B212" s="138">
        <f>IF(A212="","",Разбивка_по_щитам!C212)</f>
      </c>
      <c r="C212" s="138">
        <f t="shared" si="128"/>
      </c>
      <c r="D212" s="266"/>
      <c r="E212" s="266"/>
      <c r="F212" s="267"/>
      <c r="G212" s="145">
        <f t="shared" si="129"/>
        <v/>
      </c>
      <c r="H212" s="145">
        <f t="shared" si="130"/>
        <v/>
      </c>
      <c r="I212" s="266"/>
      <c r="J212" s="267"/>
      <c r="K212" s="267"/>
      <c r="L212" s="266"/>
      <c r="M212" s="147">
        <f t="shared" si="166"/>
        <v/>
      </c>
      <c r="N212" s="267"/>
      <c r="O212" s="147">
        <f t="shared" si="167"/>
        <v/>
      </c>
      <c r="P212" s="268">
        <f>IF(AY212=1,"XT"&amp;COUNTIFS($A$3:A212,A212,$AY$3:AY212,1),"")</f>
        <v/>
      </c>
      <c r="Q212" s="152">
        <f>IF(R212="","",IFERROR(SUBSTITUTE(Разбивка_по_щитам!P212,CHAR(10)," "),""))</f>
        <v/>
      </c>
      <c r="R212" s="153">
        <f>IF(OR(Разбивка_по_щитам!H212="",Разбивка_по_щитам!H212=0),"",Разбивка_по_щитам!H212)</f>
        <v/>
      </c>
      <c r="S212" s="154">
        <f>IF(R212="","",IFERROR(Разбивка_по_щитам!J212&amp;"",""))</f>
        <v/>
      </c>
      <c r="T212" s="155">
        <f>IF(R212="","",IFERROR(--Разбивка_по_щитам!L212,""))</f>
        <v/>
      </c>
      <c r="U212" s="155">
        <f>IF(R212="","",IFERROR(--Разбивка_по_щитам!K212,""))</f>
        <v/>
      </c>
      <c r="V212" s="138">
        <f>IF(R212="","",IFERROR(IF(Разбивка_по_щитам!M212=0,"",Разбивка_по_щитам!M212),""))</f>
        <v/>
      </c>
      <c r="W212" s="156">
        <f t="shared" si="131"/>
        <v/>
      </c>
      <c r="X212" s="157">
        <f t="shared" si="132"/>
        <v/>
      </c>
      <c r="Y212" s="266"/>
      <c r="Z212" s="158">
        <f t="shared" si="133"/>
        <v/>
      </c>
      <c r="AA212" s="160">
        <f t="shared" si="134"/>
        <v/>
      </c>
      <c r="AB212" s="160">
        <f>IF(R212="","",IFERROR(LOOKUP(INDEX(Справочная!$I$4:$I$19,MATCH(VLOOKUP(R212,Исходные_данные,22,FALSE),Справочная!$J$4:$J$19,0)+1),{6,10,16,20,25,32,40,50,63,80,100,125}),""))</f>
        <v/>
      </c>
      <c r="AC212" s="160">
        <f t="shared" si="135"/>
        <v/>
      </c>
      <c r="AD212" s="161">
        <f t="shared" si="136"/>
        <v/>
      </c>
      <c r="AE212" s="161">
        <f>IF(AND(R212="",G212=""),"",_xlfn.TEXTJOIN("; ",TRUE,IF(AND(R212&lt;&gt;"",V212=""),"нет фазы",""),IF(AND(R212&lt;&gt;"",N(T212)=0),"нет мощности",""),IF(AND(P212&lt;&gt;"",COUNTIFS($A$3:$A$1000,A212,$P$3:$P$1000,P212)&gt;1),"дубль клеммы "&amp;P212,""),IF(AND(W212&lt;&gt;"",W212&lt;&gt;"ok"),W212,""),IF(X212&lt;&gt;"",X212,""),IF(AND(ISNUMBER(SEARCH("(5х",Q212)),N(AK212)=1),"5 жил на 1 фазе",""),IF(AND(AL212="R",E212&lt;&gt;"",N(AS212)=0),"розетка без 30 мА",""),IF(IFERROR(_xlfn.NUMBERVALUE(MID(Q212,FIND("-",Q212,FIND("L=",Q212))+1,FIND("%",Q212)-FIND("-",Q212,FIND("L=",Q212))-1),","),0)&gt;4,"потери &gt; 4 %","")))</f>
      </c>
      <c r="AF212" s="129">
        <f>IF(E212&lt;&gt;"",COUNTIFS($A$3:A212,A212,$E$3:E212,"?*"),IF(OR(A212&lt;&gt;A211,Y212="вручную"),"",AF211))</f>
      </c>
      <c r="AG212" s="129">
        <f t="shared" si="137"/>
      </c>
      <c r="AH212" s="129">
        <f t="shared" si="138"/>
        <v/>
      </c>
      <c r="AI212" s="129">
        <f t="shared" si="139"/>
        <v/>
      </c>
      <c r="AJ212" s="129">
        <f t="shared" si="140"/>
        <v/>
      </c>
      <c r="AK212" s="129">
        <f t="shared" si="141"/>
        <v/>
      </c>
      <c r="AL212" s="129">
        <f t="shared" si="142"/>
        <v/>
      </c>
      <c r="AM212" s="129">
        <f t="shared" si="143"/>
      </c>
      <c r="AN212" s="129">
        <f t="shared" si="144"/>
      </c>
      <c r="AO212" s="129">
        <f t="shared" si="145"/>
        <v/>
      </c>
      <c r="AP212" s="129">
        <f t="shared" si="146"/>
        <v/>
      </c>
      <c r="AQ212" s="129">
        <f t="shared" si="147"/>
        <v/>
      </c>
      <c r="AR212" s="129">
        <f t="shared" si="148"/>
        <v/>
      </c>
      <c r="AS212" s="129">
        <f t="shared" si="149"/>
        <v/>
      </c>
      <c r="AT212" s="129">
        <f t="shared" si="150"/>
        <v/>
      </c>
      <c r="AU212" s="129">
        <f t="shared" si="151"/>
        <v/>
      </c>
      <c r="AV212" s="129">
        <f t="shared" si="152"/>
        <v/>
      </c>
      <c r="AW212" s="129">
        <f>IF(AV212="","",AV212&amp;"."&amp;COUNTIFS($A$3:A212,A212,$AV$3:AV212,AV212))</f>
        <v/>
      </c>
      <c r="AX212" s="129">
        <f t="shared" si="153"/>
        <v/>
      </c>
      <c r="AY212" s="129">
        <f>IF(N212="б/к",0,IF(OR(ISNUMBER(SEARCH("L=",Разбивка_по_щитам!P212)),N212="+",N212="="),1,0))</f>
      </c>
      <c r="AZ212" s="129">
        <f t="shared" si="154"/>
      </c>
      <c r="BA212" s="129">
        <f t="shared" si="155"/>
      </c>
      <c r="BB212" s="129">
        <f t="shared" si="156"/>
      </c>
      <c r="BD212" s="129">
        <f t="shared" si="157"/>
      </c>
      <c r="BE212" s="129">
        <f t="shared" si="158"/>
      </c>
      <c r="BF212" s="129">
        <f t="shared" si="159"/>
      </c>
      <c r="BG212" s="129">
        <f t="shared" si="160"/>
        <v/>
      </c>
      <c r="BH212" s="129">
        <f t="shared" si="161"/>
        <v/>
      </c>
      <c r="BI212" s="129">
        <f t="shared" si="162"/>
        <v/>
      </c>
      <c r="BJ212" s="129">
        <f t="shared" si="163"/>
        <v/>
      </c>
      <c r="BK212" s="129">
        <f>IF(R212="","",IF(OR(BY212="",BY212=0),"BOX",IFERROR(IF(VLOOKUP(BY212,УГО_блоки,3,FALSE)&amp;""&lt;&gt;"",VLOOKUP(BY212,УГО_блоки,3,FALSE),VLOOKUP(BY212,УГО_блоки,2,FALSE)),BY212)))</f>
      </c>
      <c r="BL212" s="129">
        <f t="shared" si="165"/>
      </c>
      <c r="BM212" s="129">
        <f>IF(H212="","",IF(COUNTIF($H$3:H212,H212)=1,MAX($BM$2:BM211)+1,""))</f>
      </c>
      <c r="BN212" s="129">
        <f>IF(I212="","",IF(COUNTIF($I$3:I212,I212)+COUNTIF($J$2:J211,I212)+COUNTIF($K$2:K211,I212)=1,MAX($BN$2:BP211)+1,""))</f>
      </c>
      <c r="BO212" s="129">
        <f>IF(J212="","",IF(COUNTIF($I$3:I212,J212)+COUNTIF($J$3:J212,J212)+COUNTIF($K$2:K211,J212)=1,MAX($BN$2:BP211,BN212)+1,""))</f>
      </c>
      <c r="BP212" s="129">
        <f>IF(K212="","",IF(COUNTIF($I$3:I212,K212)+COUNTIF($J$3:J212,K212)+COUNTIF($K$3:K212,K212)=1,MAX($BN$2:BP211,BN212,BO212)+1,""))</f>
      </c>
      <c r="BQ212" s="129">
        <f>IF(AY212=1,IFERROR(MID(Q212,FIND(" (",Q212)+2,FIND(")",Q212,FIND(" (",Q212))-FIND(" (",Q212)-2),"?"),"")</f>
      </c>
      <c r="BR212" s="129">
        <f>IF(BQ212="","",IF(COUNTIF($BQ$3:BQ212,BQ212)=1,MAX($BR$2:BR211)+1,""))</f>
      </c>
      <c r="BS212" s="129">
        <f>IF(AW212="","",COUNTIF($AW$3:AW212,"?*"))</f>
      </c>
      <c r="BT212" s="129">
        <f>IF(OR(AW212="",AI212=""),"",IF(COUNTIFS($AW$3:AW212,"?*",$AI$3:AI212,AI212)=1,MAX($BT$2:BT211)+1,""))</f>
      </c>
      <c r="BU212" s="129">
        <f>IF(AE212="",0,IF(OR(ISNUMBER(SEARCH("дубль",AE212)),ISNUMBER(SEARCH("ПЕРЕГРУЗ",AE212)),ISNUMBER(SEARCH("ЗАЩИЩ",AE212)),ISNUMBER(SEARCH("КАНАЛ",AE212)),ISNUMBER(SEARCH("без 30",AE212))),2,1))</f>
      </c>
      <c r="BV212" s="129">
        <f>IF(R212="","",COUNTIF($R$3:R212,"?*"))</f>
      </c>
      <c r="BW212" s="129">
        <f>IF(AY212&lt;&gt;1,0,IF(MAX(IFERROR(--VLOOKUP(R212,УГО_спр,5,FALSE),0),IFERROR(--VLOOKUP(AL212,УГО_спр,5,FALSE),0),IFERROR(--VLOOKUP(LEFT(AL212,2),УГО_спр,5,FALSE),0))&gt;0,MAX(IFERROR(--VLOOKUP(R212,УГО_спр,5,FALSE),0),IFERROR(--VLOOKUP(AL212,УГО_спр,5,FALSE),0),IFERROR(--VLOOKUP(LEFT(AL212,2),УГО_спр,5,FALSE),0)),IF(IFERROR(--LEFT(SUBSTITUTE(BQ212,"x","х"),FIND("х",SUBSTITUTE(BQ212,"x","х"))-1),3)&gt;3,Каталог!$S$9,1)))</f>
      </c>
      <c r="BX212" s="129">
        <f>IF(AY212&lt;&gt;1,0,MAX(0,IFERROR(--LEFT(SUBSTITUTE(BQ212,"x","х"),FIND("х",SUBSTITUTE(BQ212,"x","х"))-1),3)-3*BW212))</f>
      </c>
      <c r="BY212" s="129">
        <f>IF(R212="","",IFERROR(VLOOKUP(R212,УГО_спр,2,FALSE),IFERROR(VLOOKUP(AL212,УГО_спр,2,FALSE),IFERROR(VLOOKUP(LEFT(AL212,2),УГО_спр,2,FALSE),""))))</f>
      </c>
    </row>
    <row r="213" spans="1:64" x14ac:dyDescent="0.3">
      <c r="A213" s="135">
        <f>IF(Разбивка_по_щитам!F213=0,"",Разбивка_по_щитам!F213)</f>
      </c>
      <c r="B213" s="138">
        <f>IF(A213="","",Разбивка_по_щитам!C213)</f>
      </c>
      <c r="C213" s="138">
        <f t="shared" si="128"/>
      </c>
      <c r="D213" s="266"/>
      <c r="E213" s="266"/>
      <c r="F213" s="267"/>
      <c r="G213" s="145">
        <f t="shared" si="129"/>
        <v/>
      </c>
      <c r="H213" s="145">
        <f t="shared" si="130"/>
        <v/>
      </c>
      <c r="I213" s="266"/>
      <c r="J213" s="267"/>
      <c r="K213" s="267"/>
      <c r="L213" s="266"/>
      <c r="M213" s="147">
        <f t="shared" si="166"/>
        <v/>
      </c>
      <c r="N213" s="267"/>
      <c r="O213" s="147">
        <f t="shared" si="167"/>
        <v/>
      </c>
      <c r="P213" s="268">
        <f>IF(AY213=1,"XT"&amp;COUNTIFS($A$3:A213,A213,$AY$3:AY213,1),"")</f>
        <v/>
      </c>
      <c r="Q213" s="152">
        <f>IF(R213="","",IFERROR(SUBSTITUTE(Разбивка_по_щитам!P213,CHAR(10)," "),""))</f>
        <v/>
      </c>
      <c r="R213" s="153">
        <f>IF(OR(Разбивка_по_щитам!H213="",Разбивка_по_щитам!H213=0),"",Разбивка_по_щитам!H213)</f>
        <v/>
      </c>
      <c r="S213" s="154">
        <f>IF(R213="","",IFERROR(Разбивка_по_щитам!J213&amp;"",""))</f>
        <v/>
      </c>
      <c r="T213" s="155">
        <f>IF(R213="","",IFERROR(--Разбивка_по_щитам!L213,""))</f>
        <v/>
      </c>
      <c r="U213" s="155">
        <f>IF(R213="","",IFERROR(--Разбивка_по_щитам!K213,""))</f>
        <v/>
      </c>
      <c r="V213" s="138">
        <f>IF(R213="","",IFERROR(IF(Разбивка_по_щитам!M213=0,"",Разбивка_по_щитам!M213),""))</f>
        <v/>
      </c>
      <c r="W213" s="156">
        <f t="shared" si="131"/>
        <v/>
      </c>
      <c r="X213" s="157">
        <f t="shared" si="132"/>
        <v/>
      </c>
      <c r="Y213" s="266"/>
      <c r="Z213" s="158">
        <f t="shared" si="133"/>
        <v/>
      </c>
      <c r="AA213" s="160">
        <f t="shared" si="134"/>
        <v/>
      </c>
      <c r="AB213" s="160">
        <f>IF(R213="","",IFERROR(LOOKUP(INDEX(Справочная!$I$4:$I$19,MATCH(VLOOKUP(R213,Исходные_данные,22,FALSE),Справочная!$J$4:$J$19,0)+1),{6,10,16,20,25,32,40,50,63,80,100,125}),""))</f>
        <v/>
      </c>
      <c r="AC213" s="160">
        <f t="shared" si="135"/>
        <v/>
      </c>
      <c r="AD213" s="161">
        <f t="shared" si="136"/>
        <v/>
      </c>
      <c r="AE213" s="161">
        <f>IF(AND(R213="",G213=""),"",_xlfn.TEXTJOIN("; ",TRUE,IF(AND(R213&lt;&gt;"",V213=""),"нет фазы",""),IF(AND(R213&lt;&gt;"",N(T213)=0),"нет мощности",""),IF(AND(P213&lt;&gt;"",COUNTIFS($A$3:$A$1000,A213,$P$3:$P$1000,P213)&gt;1),"дубль клеммы "&amp;P213,""),IF(AND(W213&lt;&gt;"",W213&lt;&gt;"ok"),W213,""),IF(X213&lt;&gt;"",X213,""),IF(AND(ISNUMBER(SEARCH("(5х",Q213)),N(AK213)=1),"5 жил на 1 фазе",""),IF(AND(AL213="R",E213&lt;&gt;"",N(AS213)=0),"розетка без 30 мА",""),IF(IFERROR(_xlfn.NUMBERVALUE(MID(Q213,FIND("-",Q213,FIND("L=",Q213))+1,FIND("%",Q213)-FIND("-",Q213,FIND("L=",Q213))-1),","),0)&gt;4,"потери &gt; 4 %","")))</f>
      </c>
      <c r="AF213" s="129">
        <f>IF(E213&lt;&gt;"",COUNTIFS($A$3:A213,A213,$E$3:E213,"?*"),IF(OR(A213&lt;&gt;A212,Y213="вручную"),"",AF212))</f>
      </c>
      <c r="AG213" s="129">
        <f t="shared" si="137"/>
      </c>
      <c r="AH213" s="129">
        <f t="shared" si="138"/>
        <v/>
      </c>
      <c r="AI213" s="129">
        <f t="shared" si="139"/>
        <v/>
      </c>
      <c r="AJ213" s="129">
        <f t="shared" si="140"/>
        <v/>
      </c>
      <c r="AK213" s="129">
        <f t="shared" si="141"/>
        <v/>
      </c>
      <c r="AL213" s="129">
        <f t="shared" si="142"/>
        <v/>
      </c>
      <c r="AM213" s="129">
        <f t="shared" si="143"/>
      </c>
      <c r="AN213" s="129">
        <f t="shared" si="144"/>
      </c>
      <c r="AO213" s="129">
        <f t="shared" si="145"/>
        <v/>
      </c>
      <c r="AP213" s="129">
        <f t="shared" si="146"/>
        <v/>
      </c>
      <c r="AQ213" s="129">
        <f t="shared" si="147"/>
        <v/>
      </c>
      <c r="AR213" s="129">
        <f t="shared" si="148"/>
        <v/>
      </c>
      <c r="AS213" s="129">
        <f t="shared" si="149"/>
        <v/>
      </c>
      <c r="AT213" s="129">
        <f t="shared" si="150"/>
        <v/>
      </c>
      <c r="AU213" s="129">
        <f t="shared" si="151"/>
        <v/>
      </c>
      <c r="AV213" s="129">
        <f t="shared" si="152"/>
        <v/>
      </c>
      <c r="AW213" s="129">
        <f>IF(AV213="","",AV213&amp;"."&amp;COUNTIFS($A$3:A213,A213,$AV$3:AV213,AV213))</f>
        <v/>
      </c>
      <c r="AX213" s="129">
        <f t="shared" si="153"/>
        <v/>
      </c>
      <c r="AY213" s="129">
        <f>IF(N213="б/к",0,IF(OR(ISNUMBER(SEARCH("L=",Разбивка_по_щитам!P213)),N213="+",N213="="),1,0))</f>
      </c>
      <c r="AZ213" s="129">
        <f t="shared" si="154"/>
      </c>
      <c r="BA213" s="129">
        <f t="shared" si="155"/>
      </c>
      <c r="BB213" s="129">
        <f t="shared" si="156"/>
      </c>
      <c r="BD213" s="129">
        <f t="shared" si="157"/>
      </c>
      <c r="BE213" s="129">
        <f t="shared" si="158"/>
      </c>
      <c r="BF213" s="129">
        <f t="shared" si="159"/>
      </c>
      <c r="BG213" s="129">
        <f t="shared" si="160"/>
        <v/>
      </c>
      <c r="BH213" s="129">
        <f t="shared" si="161"/>
        <v/>
      </c>
      <c r="BI213" s="129">
        <f t="shared" si="162"/>
        <v/>
      </c>
      <c r="BJ213" s="129">
        <f t="shared" si="163"/>
        <v/>
      </c>
      <c r="BK213" s="129">
        <f>IF(R213="","",IF(OR(BY213="",BY213=0),"BOX",IFERROR(IF(VLOOKUP(BY213,УГО_блоки,3,FALSE)&amp;""&lt;&gt;"",VLOOKUP(BY213,УГО_блоки,3,FALSE),VLOOKUP(BY213,УГО_блоки,2,FALSE)),BY213)))</f>
      </c>
      <c r="BL213" s="129">
        <f t="shared" si="165"/>
      </c>
      <c r="BM213" s="129">
        <f>IF(H213="","",IF(COUNTIF($H$3:H213,H213)=1,MAX($BM$2:BM212)+1,""))</f>
      </c>
      <c r="BN213" s="129">
        <f>IF(I213="","",IF(COUNTIF($I$3:I213,I213)+COUNTIF($J$2:J212,I213)+COUNTIF($K$2:K212,I213)=1,MAX($BN$2:BP212)+1,""))</f>
      </c>
      <c r="BO213" s="129">
        <f>IF(J213="","",IF(COUNTIF($I$3:I213,J213)+COUNTIF($J$3:J213,J213)+COUNTIF($K$2:K212,J213)=1,MAX($BN$2:BP212,BN213)+1,""))</f>
      </c>
      <c r="BP213" s="129">
        <f>IF(K213="","",IF(COUNTIF($I$3:I213,K213)+COUNTIF($J$3:J213,K213)+COUNTIF($K$3:K213,K213)=1,MAX($BN$2:BP212,BN213,BO213)+1,""))</f>
      </c>
      <c r="BQ213" s="129">
        <f>IF(AY213=1,IFERROR(MID(Q213,FIND(" (",Q213)+2,FIND(")",Q213,FIND(" (",Q213))-FIND(" (",Q213)-2),"?"),"")</f>
      </c>
      <c r="BR213" s="129">
        <f>IF(BQ213="","",IF(COUNTIF($BQ$3:BQ213,BQ213)=1,MAX($BR$2:BR212)+1,""))</f>
      </c>
      <c r="BS213" s="129">
        <f>IF(AW213="","",COUNTIF($AW$3:AW213,"?*"))</f>
      </c>
      <c r="BT213" s="129">
        <f>IF(OR(AW213="",AI213=""),"",IF(COUNTIFS($AW$3:AW213,"?*",$AI$3:AI213,AI213)=1,MAX($BT$2:BT212)+1,""))</f>
      </c>
      <c r="BU213" s="129">
        <f>IF(AE213="",0,IF(OR(ISNUMBER(SEARCH("дубль",AE213)),ISNUMBER(SEARCH("ПЕРЕГРУЗ",AE213)),ISNUMBER(SEARCH("ЗАЩИЩ",AE213)),ISNUMBER(SEARCH("КАНАЛ",AE213)),ISNUMBER(SEARCH("без 30",AE213))),2,1))</f>
      </c>
      <c r="BV213" s="129">
        <f>IF(R213="","",COUNTIF($R$3:R213,"?*"))</f>
      </c>
      <c r="BW213" s="129">
        <f>IF(AY213&lt;&gt;1,0,IF(MAX(IFERROR(--VLOOKUP(R213,УГО_спр,5,FALSE),0),IFERROR(--VLOOKUP(AL213,УГО_спр,5,FALSE),0),IFERROR(--VLOOKUP(LEFT(AL213,2),УГО_спр,5,FALSE),0))&gt;0,MAX(IFERROR(--VLOOKUP(R213,УГО_спр,5,FALSE),0),IFERROR(--VLOOKUP(AL213,УГО_спр,5,FALSE),0),IFERROR(--VLOOKUP(LEFT(AL213,2),УГО_спр,5,FALSE),0)),IF(IFERROR(--LEFT(SUBSTITUTE(BQ213,"x","х"),FIND("х",SUBSTITUTE(BQ213,"x","х"))-1),3)&gt;3,Каталог!$S$9,1)))</f>
      </c>
      <c r="BX213" s="129">
        <f>IF(AY213&lt;&gt;1,0,MAX(0,IFERROR(--LEFT(SUBSTITUTE(BQ213,"x","х"),FIND("х",SUBSTITUTE(BQ213,"x","х"))-1),3)-3*BW213))</f>
      </c>
      <c r="BY213" s="129">
        <f>IF(R213="","",IFERROR(VLOOKUP(R213,УГО_спр,2,FALSE),IFERROR(VLOOKUP(AL213,УГО_спр,2,FALSE),IFERROR(VLOOKUP(LEFT(AL213,2),УГО_спр,2,FALSE),""))))</f>
      </c>
    </row>
    <row r="214" spans="1:64" x14ac:dyDescent="0.3">
      <c r="A214" s="135">
        <f>IF(Разбивка_по_щитам!F214=0,"",Разбивка_по_щитам!F214)</f>
      </c>
      <c r="B214" s="138">
        <f>IF(A214="","",Разбивка_по_щитам!C214)</f>
      </c>
      <c r="C214" s="138">
        <f t="shared" si="128"/>
      </c>
      <c r="D214" s="266"/>
      <c r="E214" s="266"/>
      <c r="F214" s="267"/>
      <c r="G214" s="145">
        <f t="shared" si="129"/>
        <v/>
      </c>
      <c r="H214" s="145">
        <f t="shared" si="130"/>
        <v/>
      </c>
      <c r="I214" s="266"/>
      <c r="J214" s="267"/>
      <c r="K214" s="267"/>
      <c r="L214" s="266"/>
      <c r="M214" s="147">
        <f t="shared" si="166"/>
        <v/>
      </c>
      <c r="N214" s="267"/>
      <c r="O214" s="147">
        <f t="shared" si="167"/>
        <v/>
      </c>
      <c r="P214" s="268">
        <f>IF(AY214=1,"XT"&amp;COUNTIFS($A$3:A214,A214,$AY$3:AY214,1),"")</f>
        <v/>
      </c>
      <c r="Q214" s="152">
        <f>IF(R214="","",IFERROR(SUBSTITUTE(Разбивка_по_щитам!P214,CHAR(10)," "),""))</f>
        <v/>
      </c>
      <c r="R214" s="153">
        <f>IF(OR(Разбивка_по_щитам!H214="",Разбивка_по_щитам!H214=0),"",Разбивка_по_щитам!H214)</f>
        <v/>
      </c>
      <c r="S214" s="154">
        <f>IF(R214="","",IFERROR(Разбивка_по_щитам!J214&amp;"",""))</f>
        <v/>
      </c>
      <c r="T214" s="155">
        <f>IF(R214="","",IFERROR(--Разбивка_по_щитам!L214,""))</f>
        <v/>
      </c>
      <c r="U214" s="155">
        <f>IF(R214="","",IFERROR(--Разбивка_по_щитам!K214,""))</f>
        <v/>
      </c>
      <c r="V214" s="138">
        <f>IF(R214="","",IFERROR(IF(Разбивка_по_щитам!M214=0,"",Разбивка_по_щитам!M214),""))</f>
        <v/>
      </c>
      <c r="W214" s="156">
        <f t="shared" si="131"/>
        <v/>
      </c>
      <c r="X214" s="157">
        <f t="shared" si="132"/>
        <v/>
      </c>
      <c r="Y214" s="266"/>
      <c r="Z214" s="158">
        <f t="shared" si="133"/>
        <v/>
      </c>
      <c r="AA214" s="160">
        <f t="shared" si="134"/>
        <v/>
      </c>
      <c r="AB214" s="160">
        <f>IF(R214="","",IFERROR(LOOKUP(INDEX(Справочная!$I$4:$I$19,MATCH(VLOOKUP(R214,Исходные_данные,22,FALSE),Справочная!$J$4:$J$19,0)+1),{6,10,16,20,25,32,40,50,63,80,100,125}),""))</f>
        <v/>
      </c>
      <c r="AC214" s="160">
        <f t="shared" si="135"/>
        <v/>
      </c>
      <c r="AD214" s="161">
        <f t="shared" si="136"/>
        <v/>
      </c>
      <c r="AE214" s="161">
        <f>IF(AND(R214="",G214=""),"",_xlfn.TEXTJOIN("; ",TRUE,IF(AND(R214&lt;&gt;"",V214=""),"нет фазы",""),IF(AND(R214&lt;&gt;"",N(T214)=0),"нет мощности",""),IF(AND(P214&lt;&gt;"",COUNTIFS($A$3:$A$1000,A214,$P$3:$P$1000,P214)&gt;1),"дубль клеммы "&amp;P214,""),IF(AND(W214&lt;&gt;"",W214&lt;&gt;"ok"),W214,""),IF(X214&lt;&gt;"",X214,""),IF(AND(ISNUMBER(SEARCH("(5х",Q214)),N(AK214)=1),"5 жил на 1 фазе",""),IF(AND(AL214="R",E214&lt;&gt;"",N(AS214)=0),"розетка без 30 мА",""),IF(IFERROR(_xlfn.NUMBERVALUE(MID(Q214,FIND("-",Q214,FIND("L=",Q214))+1,FIND("%",Q214)-FIND("-",Q214,FIND("L=",Q214))-1),","),0)&gt;4,"потери &gt; 4 %","")))</f>
      </c>
      <c r="AF214" s="129">
        <f>IF(E214&lt;&gt;"",COUNTIFS($A$3:A214,A214,$E$3:E214,"?*"),IF(OR(A214&lt;&gt;A213,Y214="вручную"),"",AF213))</f>
      </c>
      <c r="AG214" s="129">
        <f t="shared" si="137"/>
      </c>
      <c r="AH214" s="129">
        <f t="shared" si="138"/>
        <v/>
      </c>
      <c r="AI214" s="129">
        <f t="shared" si="139"/>
        <v/>
      </c>
      <c r="AJ214" s="129">
        <f t="shared" si="140"/>
        <v/>
      </c>
      <c r="AK214" s="129">
        <f t="shared" si="141"/>
        <v/>
      </c>
      <c r="AL214" s="129">
        <f t="shared" si="142"/>
        <v/>
      </c>
      <c r="AM214" s="129">
        <f t="shared" si="143"/>
      </c>
      <c r="AN214" s="129">
        <f t="shared" si="144"/>
      </c>
      <c r="AO214" s="129">
        <f t="shared" si="145"/>
        <v/>
      </c>
      <c r="AP214" s="129">
        <f t="shared" si="146"/>
        <v/>
      </c>
      <c r="AQ214" s="129">
        <f t="shared" si="147"/>
        <v/>
      </c>
      <c r="AR214" s="129">
        <f t="shared" si="148"/>
        <v/>
      </c>
      <c r="AS214" s="129">
        <f t="shared" si="149"/>
        <v/>
      </c>
      <c r="AT214" s="129">
        <f t="shared" si="150"/>
        <v/>
      </c>
      <c r="AU214" s="129">
        <f t="shared" si="151"/>
        <v/>
      </c>
      <c r="AV214" s="129">
        <f t="shared" si="152"/>
        <v/>
      </c>
      <c r="AW214" s="129">
        <f>IF(AV214="","",AV214&amp;"."&amp;COUNTIFS($A$3:A214,A214,$AV$3:AV214,AV214))</f>
        <v/>
      </c>
      <c r="AX214" s="129">
        <f t="shared" si="153"/>
        <v/>
      </c>
      <c r="AY214" s="129">
        <f>IF(N214="б/к",0,IF(OR(ISNUMBER(SEARCH("L=",Разбивка_по_щитам!P214)),N214="+",N214="="),1,0))</f>
      </c>
      <c r="AZ214" s="129">
        <f t="shared" si="154"/>
      </c>
      <c r="BA214" s="129">
        <f t="shared" si="155"/>
      </c>
      <c r="BB214" s="129">
        <f t="shared" si="156"/>
      </c>
      <c r="BD214" s="129">
        <f t="shared" si="157"/>
      </c>
      <c r="BE214" s="129">
        <f t="shared" si="158"/>
      </c>
      <c r="BF214" s="129">
        <f t="shared" si="159"/>
      </c>
      <c r="BG214" s="129">
        <f t="shared" si="160"/>
        <v/>
      </c>
      <c r="BH214" s="129">
        <f t="shared" si="161"/>
        <v/>
      </c>
      <c r="BI214" s="129">
        <f t="shared" si="162"/>
        <v/>
      </c>
      <c r="BJ214" s="129">
        <f t="shared" si="163"/>
        <v/>
      </c>
      <c r="BK214" s="129">
        <f>IF(R214="","",IF(OR(BY214="",BY214=0),"BOX",IFERROR(IF(VLOOKUP(BY214,УГО_блоки,3,FALSE)&amp;""&lt;&gt;"",VLOOKUP(BY214,УГО_блоки,3,FALSE),VLOOKUP(BY214,УГО_блоки,2,FALSE)),BY214)))</f>
      </c>
      <c r="BL214" s="129">
        <f t="shared" si="165"/>
      </c>
      <c r="BM214" s="129">
        <f>IF(H214="","",IF(COUNTIF($H$3:H214,H214)=1,MAX($BM$2:BM213)+1,""))</f>
      </c>
      <c r="BN214" s="129">
        <f>IF(I214="","",IF(COUNTIF($I$3:I214,I214)+COUNTIF($J$2:J213,I214)+COUNTIF($K$2:K213,I214)=1,MAX($BN$2:BP213)+1,""))</f>
      </c>
      <c r="BO214" s="129">
        <f>IF(J214="","",IF(COUNTIF($I$3:I214,J214)+COUNTIF($J$3:J214,J214)+COUNTIF($K$2:K213,J214)=1,MAX($BN$2:BP213,BN214)+1,""))</f>
      </c>
      <c r="BP214" s="129">
        <f>IF(K214="","",IF(COUNTIF($I$3:I214,K214)+COUNTIF($J$3:J214,K214)+COUNTIF($K$3:K214,K214)=1,MAX($BN$2:BP213,BN214,BO214)+1,""))</f>
      </c>
      <c r="BQ214" s="129">
        <f>IF(AY214=1,IFERROR(MID(Q214,FIND(" (",Q214)+2,FIND(")",Q214,FIND(" (",Q214))-FIND(" (",Q214)-2),"?"),"")</f>
      </c>
      <c r="BR214" s="129">
        <f>IF(BQ214="","",IF(COUNTIF($BQ$3:BQ214,BQ214)=1,MAX($BR$2:BR213)+1,""))</f>
      </c>
      <c r="BS214" s="129">
        <f>IF(AW214="","",COUNTIF($AW$3:AW214,"?*"))</f>
      </c>
      <c r="BT214" s="129">
        <f>IF(OR(AW214="",AI214=""),"",IF(COUNTIFS($AW$3:AW214,"?*",$AI$3:AI214,AI214)=1,MAX($BT$2:BT213)+1,""))</f>
      </c>
      <c r="BU214" s="129">
        <f>IF(AE214="",0,IF(OR(ISNUMBER(SEARCH("дубль",AE214)),ISNUMBER(SEARCH("ПЕРЕГРУЗ",AE214)),ISNUMBER(SEARCH("ЗАЩИЩ",AE214)),ISNUMBER(SEARCH("КАНАЛ",AE214)),ISNUMBER(SEARCH("без 30",AE214))),2,1))</f>
      </c>
      <c r="BV214" s="129">
        <f>IF(R214="","",COUNTIF($R$3:R214,"?*"))</f>
      </c>
      <c r="BW214" s="129">
        <f>IF(AY214&lt;&gt;1,0,IF(MAX(IFERROR(--VLOOKUP(R214,УГО_спр,5,FALSE),0),IFERROR(--VLOOKUP(AL214,УГО_спр,5,FALSE),0),IFERROR(--VLOOKUP(LEFT(AL214,2),УГО_спр,5,FALSE),0))&gt;0,MAX(IFERROR(--VLOOKUP(R214,УГО_спр,5,FALSE),0),IFERROR(--VLOOKUP(AL214,УГО_спр,5,FALSE),0),IFERROR(--VLOOKUP(LEFT(AL214,2),УГО_спр,5,FALSE),0)),IF(IFERROR(--LEFT(SUBSTITUTE(BQ214,"x","х"),FIND("х",SUBSTITUTE(BQ214,"x","х"))-1),3)&gt;3,Каталог!$S$9,1)))</f>
      </c>
      <c r="BX214" s="129">
        <f>IF(AY214&lt;&gt;1,0,MAX(0,IFERROR(--LEFT(SUBSTITUTE(BQ214,"x","х"),FIND("х",SUBSTITUTE(BQ214,"x","х"))-1),3)-3*BW214))</f>
      </c>
      <c r="BY214" s="129">
        <f>IF(R214="","",IFERROR(VLOOKUP(R214,УГО_спр,2,FALSE),IFERROR(VLOOKUP(AL214,УГО_спр,2,FALSE),IFERROR(VLOOKUP(LEFT(AL214,2),УГО_спр,2,FALSE),""))))</f>
      </c>
    </row>
    <row r="215" spans="1:64" x14ac:dyDescent="0.3">
      <c r="A215" s="135">
        <f>IF(Разбивка_по_щитам!F215=0,"",Разбивка_по_щитам!F215)</f>
      </c>
      <c r="B215" s="138">
        <f>IF(A215="","",Разбивка_по_щитам!C215)</f>
      </c>
      <c r="C215" s="138">
        <f t="shared" si="128"/>
      </c>
      <c r="D215" s="266"/>
      <c r="E215" s="266"/>
      <c r="F215" s="267"/>
      <c r="G215" s="145">
        <f t="shared" si="129"/>
        <v/>
      </c>
      <c r="H215" s="145">
        <f t="shared" si="130"/>
        <v/>
      </c>
      <c r="I215" s="266"/>
      <c r="J215" s="267"/>
      <c r="K215" s="267"/>
      <c r="L215" s="266"/>
      <c r="M215" s="147">
        <f t="shared" si="166"/>
        <v/>
      </c>
      <c r="N215" s="267"/>
      <c r="O215" s="147">
        <f t="shared" si="167"/>
        <v/>
      </c>
      <c r="P215" s="268">
        <f>IF(AY215=1,"XT"&amp;COUNTIFS($A$3:A215,A215,$AY$3:AY215,1),"")</f>
        <v/>
      </c>
      <c r="Q215" s="152">
        <f>IF(R215="","",IFERROR(SUBSTITUTE(Разбивка_по_щитам!P215,CHAR(10)," "),""))</f>
        <v/>
      </c>
      <c r="R215" s="153">
        <f>IF(OR(Разбивка_по_щитам!H215="",Разбивка_по_щитам!H215=0),"",Разбивка_по_щитам!H215)</f>
        <v/>
      </c>
      <c r="S215" s="154">
        <f>IF(R215="","",IFERROR(Разбивка_по_щитам!J215&amp;"",""))</f>
        <v/>
      </c>
      <c r="T215" s="155">
        <f>IF(R215="","",IFERROR(--Разбивка_по_щитам!L215,""))</f>
        <v/>
      </c>
      <c r="U215" s="155">
        <f>IF(R215="","",IFERROR(--Разбивка_по_щитам!K215,""))</f>
        <v/>
      </c>
      <c r="V215" s="138">
        <f>IF(R215="","",IFERROR(IF(Разбивка_по_щитам!M215=0,"",Разбивка_по_щитам!M215),""))</f>
        <v/>
      </c>
      <c r="W215" s="156">
        <f t="shared" si="131"/>
        <v/>
      </c>
      <c r="X215" s="157">
        <f t="shared" si="132"/>
        <v/>
      </c>
      <c r="Y215" s="266"/>
      <c r="Z215" s="158">
        <f t="shared" si="133"/>
        <v/>
      </c>
      <c r="AA215" s="160">
        <f t="shared" si="134"/>
        <v/>
      </c>
      <c r="AB215" s="160">
        <f>IF(R215="","",IFERROR(LOOKUP(INDEX(Справочная!$I$4:$I$19,MATCH(VLOOKUP(R215,Исходные_данные,22,FALSE),Справочная!$J$4:$J$19,0)+1),{6,10,16,20,25,32,40,50,63,80,100,125}),""))</f>
        <v/>
      </c>
      <c r="AC215" s="160">
        <f t="shared" si="135"/>
        <v/>
      </c>
      <c r="AD215" s="161">
        <f t="shared" si="136"/>
        <v/>
      </c>
      <c r="AE215" s="161">
        <f>IF(AND(R215="",G215=""),"",_xlfn.TEXTJOIN("; ",TRUE,IF(AND(R215&lt;&gt;"",V215=""),"нет фазы",""),IF(AND(R215&lt;&gt;"",N(T215)=0),"нет мощности",""),IF(AND(P215&lt;&gt;"",COUNTIFS($A$3:$A$1000,A215,$P$3:$P$1000,P215)&gt;1),"дубль клеммы "&amp;P215,""),IF(AND(W215&lt;&gt;"",W215&lt;&gt;"ok"),W215,""),IF(X215&lt;&gt;"",X215,""),IF(AND(ISNUMBER(SEARCH("(5х",Q215)),N(AK215)=1),"5 жил на 1 фазе",""),IF(AND(AL215="R",E215&lt;&gt;"",N(AS215)=0),"розетка без 30 мА",""),IF(IFERROR(_xlfn.NUMBERVALUE(MID(Q215,FIND("-",Q215,FIND("L=",Q215))+1,FIND("%",Q215)-FIND("-",Q215,FIND("L=",Q215))-1),","),0)&gt;4,"потери &gt; 4 %","")))</f>
      </c>
      <c r="AF215" s="129">
        <f>IF(E215&lt;&gt;"",COUNTIFS($A$3:A215,A215,$E$3:E215,"?*"),IF(OR(A215&lt;&gt;A214,Y215="вручную"),"",AF214))</f>
      </c>
      <c r="AG215" s="129">
        <f t="shared" si="137"/>
      </c>
      <c r="AH215" s="129">
        <f t="shared" si="138"/>
        <v/>
      </c>
      <c r="AI215" s="129">
        <f t="shared" si="139"/>
        <v/>
      </c>
      <c r="AJ215" s="129">
        <f t="shared" si="140"/>
        <v/>
      </c>
      <c r="AK215" s="129">
        <f t="shared" si="141"/>
        <v/>
      </c>
      <c r="AL215" s="129">
        <f t="shared" si="142"/>
        <v/>
      </c>
      <c r="AM215" s="129">
        <f t="shared" si="143"/>
      </c>
      <c r="AN215" s="129">
        <f t="shared" si="144"/>
      </c>
      <c r="AO215" s="129">
        <f t="shared" si="145"/>
        <v/>
      </c>
      <c r="AP215" s="129">
        <f t="shared" si="146"/>
        <v/>
      </c>
      <c r="AQ215" s="129">
        <f t="shared" si="147"/>
        <v/>
      </c>
      <c r="AR215" s="129">
        <f t="shared" si="148"/>
        <v/>
      </c>
      <c r="AS215" s="129">
        <f t="shared" si="149"/>
        <v/>
      </c>
      <c r="AT215" s="129">
        <f t="shared" si="150"/>
        <v/>
      </c>
      <c r="AU215" s="129">
        <f t="shared" si="151"/>
        <v/>
      </c>
      <c r="AV215" s="129">
        <f t="shared" si="152"/>
        <v/>
      </c>
      <c r="AW215" s="129">
        <f>IF(AV215="","",AV215&amp;"."&amp;COUNTIFS($A$3:A215,A215,$AV$3:AV215,AV215))</f>
        <v/>
      </c>
      <c r="AX215" s="129">
        <f t="shared" si="153"/>
        <v/>
      </c>
      <c r="AY215" s="129">
        <f>IF(N215="б/к",0,IF(OR(ISNUMBER(SEARCH("L=",Разбивка_по_щитам!P215)),N215="+",N215="="),1,0))</f>
      </c>
      <c r="AZ215" s="129">
        <f t="shared" si="154"/>
      </c>
      <c r="BA215" s="129">
        <f t="shared" si="155"/>
      </c>
      <c r="BB215" s="129">
        <f t="shared" si="156"/>
      </c>
      <c r="BD215" s="129">
        <f t="shared" si="157"/>
      </c>
      <c r="BE215" s="129">
        <f t="shared" si="158"/>
      </c>
      <c r="BF215" s="129">
        <f t="shared" si="159"/>
      </c>
      <c r="BG215" s="129">
        <f t="shared" si="160"/>
        <v/>
      </c>
      <c r="BH215" s="129">
        <f t="shared" si="161"/>
        <v/>
      </c>
      <c r="BI215" s="129">
        <f t="shared" si="162"/>
        <v/>
      </c>
      <c r="BJ215" s="129">
        <f t="shared" si="163"/>
        <v/>
      </c>
      <c r="BK215" s="129">
        <f>IF(R215="","",IF(OR(BY215="",BY215=0),"BOX",IFERROR(IF(VLOOKUP(BY215,УГО_блоки,3,FALSE)&amp;""&lt;&gt;"",VLOOKUP(BY215,УГО_блоки,3,FALSE),VLOOKUP(BY215,УГО_блоки,2,FALSE)),BY215)))</f>
      </c>
      <c r="BL215" s="129">
        <f t="shared" si="165"/>
      </c>
      <c r="BM215" s="129">
        <f>IF(H215="","",IF(COUNTIF($H$3:H215,H215)=1,MAX($BM$2:BM214)+1,""))</f>
      </c>
      <c r="BN215" s="129">
        <f>IF(I215="","",IF(COUNTIF($I$3:I215,I215)+COUNTIF($J$2:J214,I215)+COUNTIF($K$2:K214,I215)=1,MAX($BN$2:BP214)+1,""))</f>
      </c>
      <c r="BO215" s="129">
        <f>IF(J215="","",IF(COUNTIF($I$3:I215,J215)+COUNTIF($J$3:J215,J215)+COUNTIF($K$2:K214,J215)=1,MAX($BN$2:BP214,BN215)+1,""))</f>
      </c>
      <c r="BP215" s="129">
        <f>IF(K215="","",IF(COUNTIF($I$3:I215,K215)+COUNTIF($J$3:J215,K215)+COUNTIF($K$3:K215,K215)=1,MAX($BN$2:BP214,BN215,BO215)+1,""))</f>
      </c>
      <c r="BQ215" s="129">
        <f>IF(AY215=1,IFERROR(MID(Q215,FIND(" (",Q215)+2,FIND(")",Q215,FIND(" (",Q215))-FIND(" (",Q215)-2),"?"),"")</f>
      </c>
      <c r="BR215" s="129">
        <f>IF(BQ215="","",IF(COUNTIF($BQ$3:BQ215,BQ215)=1,MAX($BR$2:BR214)+1,""))</f>
      </c>
      <c r="BS215" s="129">
        <f>IF(AW215="","",COUNTIF($AW$3:AW215,"?*"))</f>
      </c>
      <c r="BT215" s="129">
        <f>IF(OR(AW215="",AI215=""),"",IF(COUNTIFS($AW$3:AW215,"?*",$AI$3:AI215,AI215)=1,MAX($BT$2:BT214)+1,""))</f>
      </c>
      <c r="BU215" s="129">
        <f>IF(AE215="",0,IF(OR(ISNUMBER(SEARCH("дубль",AE215)),ISNUMBER(SEARCH("ПЕРЕГРУЗ",AE215)),ISNUMBER(SEARCH("ЗАЩИЩ",AE215)),ISNUMBER(SEARCH("КАНАЛ",AE215)),ISNUMBER(SEARCH("без 30",AE215))),2,1))</f>
      </c>
      <c r="BV215" s="129">
        <f>IF(R215="","",COUNTIF($R$3:R215,"?*"))</f>
      </c>
      <c r="BW215" s="129">
        <f>IF(AY215&lt;&gt;1,0,IF(MAX(IFERROR(--VLOOKUP(R215,УГО_спр,5,FALSE),0),IFERROR(--VLOOKUP(AL215,УГО_спр,5,FALSE),0),IFERROR(--VLOOKUP(LEFT(AL215,2),УГО_спр,5,FALSE),0))&gt;0,MAX(IFERROR(--VLOOKUP(R215,УГО_спр,5,FALSE),0),IFERROR(--VLOOKUP(AL215,УГО_спр,5,FALSE),0),IFERROR(--VLOOKUP(LEFT(AL215,2),УГО_спр,5,FALSE),0)),IF(IFERROR(--LEFT(SUBSTITUTE(BQ215,"x","х"),FIND("х",SUBSTITUTE(BQ215,"x","х"))-1),3)&gt;3,Каталог!$S$9,1)))</f>
      </c>
      <c r="BX215" s="129">
        <f>IF(AY215&lt;&gt;1,0,MAX(0,IFERROR(--LEFT(SUBSTITUTE(BQ215,"x","х"),FIND("х",SUBSTITUTE(BQ215,"x","х"))-1),3)-3*BW215))</f>
      </c>
      <c r="BY215" s="129">
        <f>IF(R215="","",IFERROR(VLOOKUP(R215,УГО_спр,2,FALSE),IFERROR(VLOOKUP(AL215,УГО_спр,2,FALSE),IFERROR(VLOOKUP(LEFT(AL215,2),УГО_спр,2,FALSE),""))))</f>
      </c>
    </row>
    <row r="216" spans="1:64" x14ac:dyDescent="0.3">
      <c r="A216" s="135">
        <f>IF(Разбивка_по_щитам!F216=0,"",Разбивка_по_щитам!F216)</f>
      </c>
      <c r="B216" s="138">
        <f>IF(A216="","",Разбивка_по_щитам!C216)</f>
      </c>
      <c r="C216" s="138">
        <f t="shared" si="128"/>
      </c>
      <c r="D216" s="266"/>
      <c r="E216" s="266"/>
      <c r="F216" s="267"/>
      <c r="G216" s="145">
        <f t="shared" si="129"/>
        <v/>
      </c>
      <c r="H216" s="145">
        <f t="shared" si="130"/>
        <v/>
      </c>
      <c r="I216" s="266"/>
      <c r="J216" s="267"/>
      <c r="K216" s="267"/>
      <c r="L216" s="266"/>
      <c r="M216" s="147">
        <f t="shared" si="166"/>
        <v/>
      </c>
      <c r="N216" s="267"/>
      <c r="O216" s="147">
        <f t="shared" si="167"/>
        <v/>
      </c>
      <c r="P216" s="268">
        <f>IF(AY216=1,"XT"&amp;COUNTIFS($A$3:A216,A216,$AY$3:AY216,1),"")</f>
        <v/>
      </c>
      <c r="Q216" s="152">
        <f>IF(R216="","",IFERROR(SUBSTITUTE(Разбивка_по_щитам!P216,CHAR(10)," "),""))</f>
        <v/>
      </c>
      <c r="R216" s="153">
        <f>IF(OR(Разбивка_по_щитам!H216="",Разбивка_по_щитам!H216=0),"",Разбивка_по_щитам!H216)</f>
        <v/>
      </c>
      <c r="S216" s="154">
        <f>IF(R216="","",IFERROR(Разбивка_по_щитам!J216&amp;"",""))</f>
        <v/>
      </c>
      <c r="T216" s="155">
        <f>IF(R216="","",IFERROR(--Разбивка_по_щитам!L216,""))</f>
        <v/>
      </c>
      <c r="U216" s="155">
        <f>IF(R216="","",IFERROR(--Разбивка_по_щитам!K216,""))</f>
        <v/>
      </c>
      <c r="V216" s="138">
        <f>IF(R216="","",IFERROR(IF(Разбивка_по_щитам!M216=0,"",Разбивка_по_щитам!M216),""))</f>
        <v/>
      </c>
      <c r="W216" s="156">
        <f t="shared" si="131"/>
        <v/>
      </c>
      <c r="X216" s="157">
        <f t="shared" si="132"/>
        <v/>
      </c>
      <c r="Y216" s="266"/>
      <c r="Z216" s="158">
        <f t="shared" si="133"/>
        <v/>
      </c>
      <c r="AA216" s="160">
        <f t="shared" si="134"/>
        <v/>
      </c>
      <c r="AB216" s="160">
        <f>IF(R216="","",IFERROR(LOOKUP(INDEX(Справочная!$I$4:$I$19,MATCH(VLOOKUP(R216,Исходные_данные,22,FALSE),Справочная!$J$4:$J$19,0)+1),{6,10,16,20,25,32,40,50,63,80,100,125}),""))</f>
        <v/>
      </c>
      <c r="AC216" s="160">
        <f t="shared" si="135"/>
        <v/>
      </c>
      <c r="AD216" s="161">
        <f t="shared" si="136"/>
        <v/>
      </c>
      <c r="AE216" s="161">
        <f>IF(AND(R216="",G216=""),"",_xlfn.TEXTJOIN("; ",TRUE,IF(AND(R216&lt;&gt;"",V216=""),"нет фазы",""),IF(AND(R216&lt;&gt;"",N(T216)=0),"нет мощности",""),IF(AND(P216&lt;&gt;"",COUNTIFS($A$3:$A$1000,A216,$P$3:$P$1000,P216)&gt;1),"дубль клеммы "&amp;P216,""),IF(AND(W216&lt;&gt;"",W216&lt;&gt;"ok"),W216,""),IF(X216&lt;&gt;"",X216,""),IF(AND(ISNUMBER(SEARCH("(5х",Q216)),N(AK216)=1),"5 жил на 1 фазе",""),IF(AND(AL216="R",E216&lt;&gt;"",N(AS216)=0),"розетка без 30 мА",""),IF(IFERROR(_xlfn.NUMBERVALUE(MID(Q216,FIND("-",Q216,FIND("L=",Q216))+1,FIND("%",Q216)-FIND("-",Q216,FIND("L=",Q216))-1),","),0)&gt;4,"потери &gt; 4 %","")))</f>
      </c>
      <c r="AF216" s="129">
        <f>IF(E216&lt;&gt;"",COUNTIFS($A$3:A216,A216,$E$3:E216,"?*"),IF(OR(A216&lt;&gt;A215,Y216="вручную"),"",AF215))</f>
      </c>
      <c r="AG216" s="129">
        <f t="shared" si="137"/>
      </c>
      <c r="AH216" s="129">
        <f t="shared" si="138"/>
        <v/>
      </c>
      <c r="AI216" s="129">
        <f t="shared" si="139"/>
        <v/>
      </c>
      <c r="AJ216" s="129">
        <f t="shared" si="140"/>
        <v/>
      </c>
      <c r="AK216" s="129">
        <f t="shared" si="141"/>
        <v/>
      </c>
      <c r="AL216" s="129">
        <f t="shared" si="142"/>
        <v/>
      </c>
      <c r="AM216" s="129">
        <f t="shared" si="143"/>
      </c>
      <c r="AN216" s="129">
        <f t="shared" si="144"/>
      </c>
      <c r="AO216" s="129">
        <f t="shared" si="145"/>
        <v/>
      </c>
      <c r="AP216" s="129">
        <f t="shared" si="146"/>
        <v/>
      </c>
      <c r="AQ216" s="129">
        <f t="shared" si="147"/>
        <v/>
      </c>
      <c r="AR216" s="129">
        <f t="shared" si="148"/>
        <v/>
      </c>
      <c r="AS216" s="129">
        <f t="shared" si="149"/>
        <v/>
      </c>
      <c r="AT216" s="129">
        <f t="shared" si="150"/>
        <v/>
      </c>
      <c r="AU216" s="129">
        <f t="shared" si="151"/>
        <v/>
      </c>
      <c r="AV216" s="129">
        <f t="shared" si="152"/>
        <v/>
      </c>
      <c r="AW216" s="129">
        <f>IF(AV216="","",AV216&amp;"."&amp;COUNTIFS($A$3:A216,A216,$AV$3:AV216,AV216))</f>
        <v/>
      </c>
      <c r="AX216" s="129">
        <f t="shared" si="153"/>
        <v/>
      </c>
      <c r="AY216" s="129">
        <f>IF(N216="б/к",0,IF(OR(ISNUMBER(SEARCH("L=",Разбивка_по_щитам!P216)),N216="+",N216="="),1,0))</f>
      </c>
      <c r="AZ216" s="129">
        <f t="shared" si="154"/>
      </c>
      <c r="BA216" s="129">
        <f t="shared" si="155"/>
      </c>
      <c r="BB216" s="129">
        <f t="shared" si="156"/>
      </c>
      <c r="BD216" s="129">
        <f t="shared" si="157"/>
      </c>
      <c r="BE216" s="129">
        <f t="shared" si="158"/>
      </c>
      <c r="BF216" s="129">
        <f t="shared" si="159"/>
      </c>
      <c r="BG216" s="129">
        <f t="shared" si="160"/>
        <v/>
      </c>
      <c r="BH216" s="129">
        <f t="shared" si="161"/>
        <v/>
      </c>
      <c r="BI216" s="129">
        <f t="shared" si="162"/>
        <v/>
      </c>
      <c r="BJ216" s="129">
        <f t="shared" si="163"/>
        <v/>
      </c>
      <c r="BK216" s="129">
        <f>IF(R216="","",IF(OR(BY216="",BY216=0),"BOX",IFERROR(IF(VLOOKUP(BY216,УГО_блоки,3,FALSE)&amp;""&lt;&gt;"",VLOOKUP(BY216,УГО_блоки,3,FALSE),VLOOKUP(BY216,УГО_блоки,2,FALSE)),BY216)))</f>
      </c>
      <c r="BL216" s="129">
        <f t="shared" si="165"/>
      </c>
      <c r="BM216" s="129">
        <f>IF(H216="","",IF(COUNTIF($H$3:H216,H216)=1,MAX($BM$2:BM215)+1,""))</f>
      </c>
      <c r="BN216" s="129">
        <f>IF(I216="","",IF(COUNTIF($I$3:I216,I216)+COUNTIF($J$2:J215,I216)+COUNTIF($K$2:K215,I216)=1,MAX($BN$2:BP215)+1,""))</f>
      </c>
      <c r="BO216" s="129">
        <f>IF(J216="","",IF(COUNTIF($I$3:I216,J216)+COUNTIF($J$3:J216,J216)+COUNTIF($K$2:K215,J216)=1,MAX($BN$2:BP215,BN216)+1,""))</f>
      </c>
      <c r="BP216" s="129">
        <f>IF(K216="","",IF(COUNTIF($I$3:I216,K216)+COUNTIF($J$3:J216,K216)+COUNTIF($K$3:K216,K216)=1,MAX($BN$2:BP215,BN216,BO216)+1,""))</f>
      </c>
      <c r="BQ216" s="129">
        <f>IF(AY216=1,IFERROR(MID(Q216,FIND(" (",Q216)+2,FIND(")",Q216,FIND(" (",Q216))-FIND(" (",Q216)-2),"?"),"")</f>
      </c>
      <c r="BR216" s="129">
        <f>IF(BQ216="","",IF(COUNTIF($BQ$3:BQ216,BQ216)=1,MAX($BR$2:BR215)+1,""))</f>
      </c>
      <c r="BS216" s="129">
        <f>IF(AW216="","",COUNTIF($AW$3:AW216,"?*"))</f>
      </c>
      <c r="BT216" s="129">
        <f>IF(OR(AW216="",AI216=""),"",IF(COUNTIFS($AW$3:AW216,"?*",$AI$3:AI216,AI216)=1,MAX($BT$2:BT215)+1,""))</f>
      </c>
      <c r="BU216" s="129">
        <f>IF(AE216="",0,IF(OR(ISNUMBER(SEARCH("дубль",AE216)),ISNUMBER(SEARCH("ПЕРЕГРУЗ",AE216)),ISNUMBER(SEARCH("ЗАЩИЩ",AE216)),ISNUMBER(SEARCH("КАНАЛ",AE216)),ISNUMBER(SEARCH("без 30",AE216))),2,1))</f>
      </c>
      <c r="BV216" s="129">
        <f>IF(R216="","",COUNTIF($R$3:R216,"?*"))</f>
      </c>
      <c r="BW216" s="129">
        <f>IF(AY216&lt;&gt;1,0,IF(MAX(IFERROR(--VLOOKUP(R216,УГО_спр,5,FALSE),0),IFERROR(--VLOOKUP(AL216,УГО_спр,5,FALSE),0),IFERROR(--VLOOKUP(LEFT(AL216,2),УГО_спр,5,FALSE),0))&gt;0,MAX(IFERROR(--VLOOKUP(R216,УГО_спр,5,FALSE),0),IFERROR(--VLOOKUP(AL216,УГО_спр,5,FALSE),0),IFERROR(--VLOOKUP(LEFT(AL216,2),УГО_спр,5,FALSE),0)),IF(IFERROR(--LEFT(SUBSTITUTE(BQ216,"x","х"),FIND("х",SUBSTITUTE(BQ216,"x","х"))-1),3)&gt;3,Каталог!$S$9,1)))</f>
      </c>
      <c r="BX216" s="129">
        <f>IF(AY216&lt;&gt;1,0,MAX(0,IFERROR(--LEFT(SUBSTITUTE(BQ216,"x","х"),FIND("х",SUBSTITUTE(BQ216,"x","х"))-1),3)-3*BW216))</f>
      </c>
      <c r="BY216" s="129">
        <f>IF(R216="","",IFERROR(VLOOKUP(R216,УГО_спр,2,FALSE),IFERROR(VLOOKUP(AL216,УГО_спр,2,FALSE),IFERROR(VLOOKUP(LEFT(AL216,2),УГО_спр,2,FALSE),""))))</f>
      </c>
    </row>
    <row r="217" spans="1:64" x14ac:dyDescent="0.3">
      <c r="A217" s="135">
        <f>IF(Разбивка_по_щитам!F217=0,"",Разбивка_по_щитам!F217)</f>
      </c>
      <c r="B217" s="138">
        <f>IF(A217="","",Разбивка_по_щитам!C217)</f>
      </c>
      <c r="C217" s="138">
        <f t="shared" si="128"/>
      </c>
      <c r="D217" s="266"/>
      <c r="E217" s="266"/>
      <c r="F217" s="267"/>
      <c r="G217" s="145">
        <f t="shared" si="129"/>
        <v/>
      </c>
      <c r="H217" s="145">
        <f t="shared" si="130"/>
        <v/>
      </c>
      <c r="I217" s="266"/>
      <c r="J217" s="267"/>
      <c r="K217" s="267"/>
      <c r="L217" s="266"/>
      <c r="M217" s="147">
        <f t="shared" si="166"/>
        <v/>
      </c>
      <c r="N217" s="267"/>
      <c r="O217" s="147">
        <f t="shared" si="167"/>
        <v/>
      </c>
      <c r="P217" s="268">
        <f>IF(AY217=1,"XT"&amp;COUNTIFS($A$3:A217,A217,$AY$3:AY217,1),"")</f>
        <v/>
      </c>
      <c r="Q217" s="152">
        <f>IF(R217="","",IFERROR(SUBSTITUTE(Разбивка_по_щитам!P217,CHAR(10)," "),""))</f>
        <v/>
      </c>
      <c r="R217" s="153">
        <f>IF(OR(Разбивка_по_щитам!H217="",Разбивка_по_щитам!H217=0),"",Разбивка_по_щитам!H217)</f>
        <v/>
      </c>
      <c r="S217" s="154">
        <f>IF(R217="","",IFERROR(Разбивка_по_щитам!J217&amp;"",""))</f>
        <v/>
      </c>
      <c r="T217" s="155">
        <f>IF(R217="","",IFERROR(--Разбивка_по_щитам!L217,""))</f>
        <v/>
      </c>
      <c r="U217" s="155">
        <f>IF(R217="","",IFERROR(--Разбивка_по_щитам!K217,""))</f>
        <v/>
      </c>
      <c r="V217" s="138">
        <f>IF(R217="","",IFERROR(IF(Разбивка_по_щитам!M217=0,"",Разбивка_по_щитам!M217),""))</f>
        <v/>
      </c>
      <c r="W217" s="156">
        <f t="shared" si="131"/>
        <v/>
      </c>
      <c r="X217" s="157">
        <f t="shared" si="132"/>
        <v/>
      </c>
      <c r="Y217" s="266"/>
      <c r="Z217" s="158">
        <f t="shared" si="133"/>
        <v/>
      </c>
      <c r="AA217" s="160">
        <f t="shared" si="134"/>
        <v/>
      </c>
      <c r="AB217" s="160">
        <f>IF(R217="","",IFERROR(LOOKUP(INDEX(Справочная!$I$4:$I$19,MATCH(VLOOKUP(R217,Исходные_данные,22,FALSE),Справочная!$J$4:$J$19,0)+1),{6,10,16,20,25,32,40,50,63,80,100,125}),""))</f>
        <v/>
      </c>
      <c r="AC217" s="160">
        <f t="shared" si="135"/>
        <v/>
      </c>
      <c r="AD217" s="161">
        <f t="shared" si="136"/>
        <v/>
      </c>
      <c r="AE217" s="161">
        <f>IF(AND(R217="",G217=""),"",_xlfn.TEXTJOIN("; ",TRUE,IF(AND(R217&lt;&gt;"",V217=""),"нет фазы",""),IF(AND(R217&lt;&gt;"",N(T217)=0),"нет мощности",""),IF(AND(P217&lt;&gt;"",COUNTIFS($A$3:$A$1000,A217,$P$3:$P$1000,P217)&gt;1),"дубль клеммы "&amp;P217,""),IF(AND(W217&lt;&gt;"",W217&lt;&gt;"ok"),W217,""),IF(X217&lt;&gt;"",X217,""),IF(AND(ISNUMBER(SEARCH("(5х",Q217)),N(AK217)=1),"5 жил на 1 фазе",""),IF(AND(AL217="R",E217&lt;&gt;"",N(AS217)=0),"розетка без 30 мА",""),IF(IFERROR(_xlfn.NUMBERVALUE(MID(Q217,FIND("-",Q217,FIND("L=",Q217))+1,FIND("%",Q217)-FIND("-",Q217,FIND("L=",Q217))-1),","),0)&gt;4,"потери &gt; 4 %","")))</f>
      </c>
      <c r="AF217" s="129">
        <f>IF(E217&lt;&gt;"",COUNTIFS($A$3:A217,A217,$E$3:E217,"?*"),IF(OR(A217&lt;&gt;A216,Y217="вручную"),"",AF216))</f>
      </c>
      <c r="AG217" s="129">
        <f t="shared" si="137"/>
      </c>
      <c r="AH217" s="129">
        <f t="shared" si="138"/>
        <v/>
      </c>
      <c r="AI217" s="129">
        <f t="shared" si="139"/>
        <v/>
      </c>
      <c r="AJ217" s="129">
        <f t="shared" si="140"/>
        <v/>
      </c>
      <c r="AK217" s="129">
        <f t="shared" si="141"/>
        <v/>
      </c>
      <c r="AL217" s="129">
        <f t="shared" si="142"/>
        <v/>
      </c>
      <c r="AM217" s="129">
        <f t="shared" si="143"/>
      </c>
      <c r="AN217" s="129">
        <f t="shared" si="144"/>
      </c>
      <c r="AO217" s="129">
        <f t="shared" si="145"/>
        <v/>
      </c>
      <c r="AP217" s="129">
        <f t="shared" si="146"/>
        <v/>
      </c>
      <c r="AQ217" s="129">
        <f t="shared" si="147"/>
        <v/>
      </c>
      <c r="AR217" s="129">
        <f t="shared" si="148"/>
        <v/>
      </c>
      <c r="AS217" s="129">
        <f t="shared" si="149"/>
        <v/>
      </c>
      <c r="AT217" s="129">
        <f t="shared" si="150"/>
        <v/>
      </c>
      <c r="AU217" s="129">
        <f t="shared" si="151"/>
        <v/>
      </c>
      <c r="AV217" s="129">
        <f t="shared" si="152"/>
        <v/>
      </c>
      <c r="AW217" s="129">
        <f>IF(AV217="","",AV217&amp;"."&amp;COUNTIFS($A$3:A217,A217,$AV$3:AV217,AV217))</f>
        <v/>
      </c>
      <c r="AX217" s="129">
        <f t="shared" si="153"/>
        <v/>
      </c>
      <c r="AY217" s="129">
        <f>IF(N217="б/к",0,IF(OR(ISNUMBER(SEARCH("L=",Разбивка_по_щитам!P217)),N217="+",N217="="),1,0))</f>
      </c>
      <c r="AZ217" s="129">
        <f t="shared" si="154"/>
      </c>
      <c r="BA217" s="129">
        <f t="shared" si="155"/>
      </c>
      <c r="BB217" s="129">
        <f t="shared" si="156"/>
      </c>
      <c r="BD217" s="129">
        <f t="shared" si="157"/>
      </c>
      <c r="BE217" s="129">
        <f t="shared" si="158"/>
      </c>
      <c r="BF217" s="129">
        <f t="shared" si="159"/>
      </c>
      <c r="BG217" s="129">
        <f t="shared" si="160"/>
        <v/>
      </c>
      <c r="BH217" s="129">
        <f t="shared" si="161"/>
        <v/>
      </c>
      <c r="BI217" s="129">
        <f t="shared" si="162"/>
        <v/>
      </c>
      <c r="BJ217" s="129">
        <f t="shared" si="163"/>
        <v/>
      </c>
      <c r="BK217" s="129">
        <f>IF(R217="","",IF(OR(BY217="",BY217=0),"BOX",IFERROR(IF(VLOOKUP(BY217,УГО_блоки,3,FALSE)&amp;""&lt;&gt;"",VLOOKUP(BY217,УГО_блоки,3,FALSE),VLOOKUP(BY217,УГО_блоки,2,FALSE)),BY217)))</f>
      </c>
      <c r="BL217" s="129">
        <f t="shared" si="165"/>
      </c>
      <c r="BM217" s="129">
        <f>IF(H217="","",IF(COUNTIF($H$3:H217,H217)=1,MAX($BM$2:BM216)+1,""))</f>
      </c>
      <c r="BN217" s="129">
        <f>IF(I217="","",IF(COUNTIF($I$3:I217,I217)+COUNTIF($J$2:J216,I217)+COUNTIF($K$2:K216,I217)=1,MAX($BN$2:BP216)+1,""))</f>
      </c>
      <c r="BO217" s="129">
        <f>IF(J217="","",IF(COUNTIF($I$3:I217,J217)+COUNTIF($J$3:J217,J217)+COUNTIF($K$2:K216,J217)=1,MAX($BN$2:BP216,BN217)+1,""))</f>
      </c>
      <c r="BP217" s="129">
        <f>IF(K217="","",IF(COUNTIF($I$3:I217,K217)+COUNTIF($J$3:J217,K217)+COUNTIF($K$3:K217,K217)=1,MAX($BN$2:BP216,BN217,BO217)+1,""))</f>
      </c>
      <c r="BQ217" s="129">
        <f>IF(AY217=1,IFERROR(MID(Q217,FIND(" (",Q217)+2,FIND(")",Q217,FIND(" (",Q217))-FIND(" (",Q217)-2),"?"),"")</f>
      </c>
      <c r="BR217" s="129">
        <f>IF(BQ217="","",IF(COUNTIF($BQ$3:BQ217,BQ217)=1,MAX($BR$2:BR216)+1,""))</f>
      </c>
      <c r="BS217" s="129">
        <f>IF(AW217="","",COUNTIF($AW$3:AW217,"?*"))</f>
      </c>
      <c r="BT217" s="129">
        <f>IF(OR(AW217="",AI217=""),"",IF(COUNTIFS($AW$3:AW217,"?*",$AI$3:AI217,AI217)=1,MAX($BT$2:BT216)+1,""))</f>
      </c>
      <c r="BU217" s="129">
        <f>IF(AE217="",0,IF(OR(ISNUMBER(SEARCH("дубль",AE217)),ISNUMBER(SEARCH("ПЕРЕГРУЗ",AE217)),ISNUMBER(SEARCH("ЗАЩИЩ",AE217)),ISNUMBER(SEARCH("КАНАЛ",AE217)),ISNUMBER(SEARCH("без 30",AE217))),2,1))</f>
      </c>
      <c r="BV217" s="129">
        <f>IF(R217="","",COUNTIF($R$3:R217,"?*"))</f>
      </c>
      <c r="BW217" s="129">
        <f>IF(AY217&lt;&gt;1,0,IF(MAX(IFERROR(--VLOOKUP(R217,УГО_спр,5,FALSE),0),IFERROR(--VLOOKUP(AL217,УГО_спр,5,FALSE),0),IFERROR(--VLOOKUP(LEFT(AL217,2),УГО_спр,5,FALSE),0))&gt;0,MAX(IFERROR(--VLOOKUP(R217,УГО_спр,5,FALSE),0),IFERROR(--VLOOKUP(AL217,УГО_спр,5,FALSE),0),IFERROR(--VLOOKUP(LEFT(AL217,2),УГО_спр,5,FALSE),0)),IF(IFERROR(--LEFT(SUBSTITUTE(BQ217,"x","х"),FIND("х",SUBSTITUTE(BQ217,"x","х"))-1),3)&gt;3,Каталог!$S$9,1)))</f>
      </c>
      <c r="BX217" s="129">
        <f>IF(AY217&lt;&gt;1,0,MAX(0,IFERROR(--LEFT(SUBSTITUTE(BQ217,"x","х"),FIND("х",SUBSTITUTE(BQ217,"x","х"))-1),3)-3*BW217))</f>
      </c>
      <c r="BY217" s="129">
        <f>IF(R217="","",IFERROR(VLOOKUP(R217,УГО_спр,2,FALSE),IFERROR(VLOOKUP(AL217,УГО_спр,2,FALSE),IFERROR(VLOOKUP(LEFT(AL217,2),УГО_спр,2,FALSE),""))))</f>
      </c>
    </row>
    <row r="218" spans="1:64" x14ac:dyDescent="0.3">
      <c r="A218" s="135">
        <f>IF(Разбивка_по_щитам!F218=0,"",Разбивка_по_щитам!F218)</f>
      </c>
      <c r="B218" s="138">
        <f>IF(A218="","",Разбивка_по_щитам!C218)</f>
      </c>
      <c r="C218" s="138">
        <f t="shared" si="128"/>
      </c>
      <c r="D218" s="266"/>
      <c r="E218" s="266"/>
      <c r="F218" s="267"/>
      <c r="G218" s="145">
        <f t="shared" si="129"/>
        <v/>
      </c>
      <c r="H218" s="145">
        <f t="shared" si="130"/>
        <v/>
      </c>
      <c r="I218" s="266"/>
      <c r="J218" s="267"/>
      <c r="K218" s="267"/>
      <c r="L218" s="266"/>
      <c r="M218" s="147">
        <f t="shared" si="166"/>
        <v/>
      </c>
      <c r="N218" s="267"/>
      <c r="O218" s="147">
        <f t="shared" si="167"/>
        <v/>
      </c>
      <c r="P218" s="268">
        <f>IF(AY218=1,"XT"&amp;COUNTIFS($A$3:A218,A218,$AY$3:AY218,1),"")</f>
        <v/>
      </c>
      <c r="Q218" s="152">
        <f>IF(R218="","",IFERROR(SUBSTITUTE(Разбивка_по_щитам!P218,CHAR(10)," "),""))</f>
        <v/>
      </c>
      <c r="R218" s="153">
        <f>IF(OR(Разбивка_по_щитам!H218="",Разбивка_по_щитам!H218=0),"",Разбивка_по_щитам!H218)</f>
        <v/>
      </c>
      <c r="S218" s="154">
        <f>IF(R218="","",IFERROR(Разбивка_по_щитам!J218&amp;"",""))</f>
        <v/>
      </c>
      <c r="T218" s="155">
        <f>IF(R218="","",IFERROR(--Разбивка_по_щитам!L218,""))</f>
        <v/>
      </c>
      <c r="U218" s="155">
        <f>IF(R218="","",IFERROR(--Разбивка_по_щитам!K218,""))</f>
        <v/>
      </c>
      <c r="V218" s="138">
        <f>IF(R218="","",IFERROR(IF(Разбивка_по_щитам!M218=0,"",Разбивка_по_щитам!M218),""))</f>
        <v/>
      </c>
      <c r="W218" s="156">
        <f t="shared" si="131"/>
        <v/>
      </c>
      <c r="X218" s="157">
        <f t="shared" si="132"/>
        <v/>
      </c>
      <c r="Y218" s="266"/>
      <c r="Z218" s="158">
        <f t="shared" si="133"/>
        <v/>
      </c>
      <c r="AA218" s="160">
        <f t="shared" si="134"/>
        <v/>
      </c>
      <c r="AB218" s="160">
        <f>IF(R218="","",IFERROR(LOOKUP(INDEX(Справочная!$I$4:$I$19,MATCH(VLOOKUP(R218,Исходные_данные,22,FALSE),Справочная!$J$4:$J$19,0)+1),{6,10,16,20,25,32,40,50,63,80,100,125}),""))</f>
        <v/>
      </c>
      <c r="AC218" s="160">
        <f t="shared" si="135"/>
        <v/>
      </c>
      <c r="AD218" s="161">
        <f t="shared" si="136"/>
        <v/>
      </c>
      <c r="AE218" s="161">
        <f>IF(AND(R218="",G218=""),"",_xlfn.TEXTJOIN("; ",TRUE,IF(AND(R218&lt;&gt;"",V218=""),"нет фазы",""),IF(AND(R218&lt;&gt;"",N(T218)=0),"нет мощности",""),IF(AND(P218&lt;&gt;"",COUNTIFS($A$3:$A$1000,A218,$P$3:$P$1000,P218)&gt;1),"дубль клеммы "&amp;P218,""),IF(AND(W218&lt;&gt;"",W218&lt;&gt;"ok"),W218,""),IF(X218&lt;&gt;"",X218,""),IF(AND(ISNUMBER(SEARCH("(5х",Q218)),N(AK218)=1),"5 жил на 1 фазе",""),IF(AND(AL218="R",E218&lt;&gt;"",N(AS218)=0),"розетка без 30 мА",""),IF(IFERROR(_xlfn.NUMBERVALUE(MID(Q218,FIND("-",Q218,FIND("L=",Q218))+1,FIND("%",Q218)-FIND("-",Q218,FIND("L=",Q218))-1),","),0)&gt;4,"потери &gt; 4 %","")))</f>
      </c>
      <c r="AF218" s="129">
        <f>IF(E218&lt;&gt;"",COUNTIFS($A$3:A218,A218,$E$3:E218,"?*"),IF(OR(A218&lt;&gt;A217,Y218="вручную"),"",AF217))</f>
      </c>
      <c r="AG218" s="129">
        <f t="shared" si="137"/>
      </c>
      <c r="AH218" s="129">
        <f t="shared" si="138"/>
        <v/>
      </c>
      <c r="AI218" s="129">
        <f t="shared" si="139"/>
        <v/>
      </c>
      <c r="AJ218" s="129">
        <f t="shared" si="140"/>
        <v/>
      </c>
      <c r="AK218" s="129">
        <f t="shared" si="141"/>
        <v/>
      </c>
      <c r="AL218" s="129">
        <f t="shared" si="142"/>
        <v/>
      </c>
      <c r="AM218" s="129">
        <f t="shared" si="143"/>
      </c>
      <c r="AN218" s="129">
        <f t="shared" si="144"/>
      </c>
      <c r="AO218" s="129">
        <f t="shared" si="145"/>
        <v/>
      </c>
      <c r="AP218" s="129">
        <f t="shared" si="146"/>
        <v/>
      </c>
      <c r="AQ218" s="129">
        <f t="shared" si="147"/>
        <v/>
      </c>
      <c r="AR218" s="129">
        <f t="shared" si="148"/>
        <v/>
      </c>
      <c r="AS218" s="129">
        <f t="shared" si="149"/>
        <v/>
      </c>
      <c r="AT218" s="129">
        <f t="shared" si="150"/>
        <v/>
      </c>
      <c r="AU218" s="129">
        <f t="shared" si="151"/>
        <v/>
      </c>
      <c r="AV218" s="129">
        <f t="shared" si="152"/>
        <v/>
      </c>
      <c r="AW218" s="129">
        <f>IF(AV218="","",AV218&amp;"."&amp;COUNTIFS($A$3:A218,A218,$AV$3:AV218,AV218))</f>
        <v/>
      </c>
      <c r="AX218" s="129">
        <f t="shared" si="153"/>
        <v/>
      </c>
      <c r="AY218" s="129">
        <f>IF(N218="б/к",0,IF(OR(ISNUMBER(SEARCH("L=",Разбивка_по_щитам!P218)),N218="+",N218="="),1,0))</f>
      </c>
      <c r="AZ218" s="129">
        <f t="shared" si="154"/>
      </c>
      <c r="BA218" s="129">
        <f t="shared" si="155"/>
      </c>
      <c r="BB218" s="129">
        <f t="shared" si="156"/>
      </c>
      <c r="BD218" s="129">
        <f t="shared" si="157"/>
      </c>
      <c r="BE218" s="129">
        <f t="shared" si="158"/>
      </c>
      <c r="BF218" s="129">
        <f t="shared" si="159"/>
      </c>
      <c r="BG218" s="129">
        <f t="shared" si="160"/>
        <v/>
      </c>
      <c r="BH218" s="129">
        <f t="shared" si="161"/>
        <v/>
      </c>
      <c r="BI218" s="129">
        <f t="shared" si="162"/>
        <v/>
      </c>
      <c r="BJ218" s="129">
        <f t="shared" si="163"/>
        <v/>
      </c>
      <c r="BK218" s="129">
        <f>IF(R218="","",IF(OR(BY218="",BY218=0),"BOX",IFERROR(IF(VLOOKUP(BY218,УГО_блоки,3,FALSE)&amp;""&lt;&gt;"",VLOOKUP(BY218,УГО_блоки,3,FALSE),VLOOKUP(BY218,УГО_блоки,2,FALSE)),BY218)))</f>
      </c>
      <c r="BL218" s="129">
        <f t="shared" si="165"/>
      </c>
      <c r="BM218" s="129">
        <f>IF(H218="","",IF(COUNTIF($H$3:H218,H218)=1,MAX($BM$2:BM217)+1,""))</f>
      </c>
      <c r="BN218" s="129">
        <f>IF(I218="","",IF(COUNTIF($I$3:I218,I218)+COUNTIF($J$2:J217,I218)+COUNTIF($K$2:K217,I218)=1,MAX($BN$2:BP217)+1,""))</f>
      </c>
      <c r="BO218" s="129">
        <f>IF(J218="","",IF(COUNTIF($I$3:I218,J218)+COUNTIF($J$3:J218,J218)+COUNTIF($K$2:K217,J218)=1,MAX($BN$2:BP217,BN218)+1,""))</f>
      </c>
      <c r="BP218" s="129">
        <f>IF(K218="","",IF(COUNTIF($I$3:I218,K218)+COUNTIF($J$3:J218,K218)+COUNTIF($K$3:K218,K218)=1,MAX($BN$2:BP217,BN218,BO218)+1,""))</f>
      </c>
      <c r="BQ218" s="129">
        <f>IF(AY218=1,IFERROR(MID(Q218,FIND(" (",Q218)+2,FIND(")",Q218,FIND(" (",Q218))-FIND(" (",Q218)-2),"?"),"")</f>
      </c>
      <c r="BR218" s="129">
        <f>IF(BQ218="","",IF(COUNTIF($BQ$3:BQ218,BQ218)=1,MAX($BR$2:BR217)+1,""))</f>
      </c>
      <c r="BS218" s="129">
        <f>IF(AW218="","",COUNTIF($AW$3:AW218,"?*"))</f>
      </c>
      <c r="BT218" s="129">
        <f>IF(OR(AW218="",AI218=""),"",IF(COUNTIFS($AW$3:AW218,"?*",$AI$3:AI218,AI218)=1,MAX($BT$2:BT217)+1,""))</f>
      </c>
      <c r="BU218" s="129">
        <f>IF(AE218="",0,IF(OR(ISNUMBER(SEARCH("дубль",AE218)),ISNUMBER(SEARCH("ПЕРЕГРУЗ",AE218)),ISNUMBER(SEARCH("ЗАЩИЩ",AE218)),ISNUMBER(SEARCH("КАНАЛ",AE218)),ISNUMBER(SEARCH("без 30",AE218))),2,1))</f>
      </c>
      <c r="BV218" s="129">
        <f>IF(R218="","",COUNTIF($R$3:R218,"?*"))</f>
      </c>
      <c r="BW218" s="129">
        <f>IF(AY218&lt;&gt;1,0,IF(MAX(IFERROR(--VLOOKUP(R218,УГО_спр,5,FALSE),0),IFERROR(--VLOOKUP(AL218,УГО_спр,5,FALSE),0),IFERROR(--VLOOKUP(LEFT(AL218,2),УГО_спр,5,FALSE),0))&gt;0,MAX(IFERROR(--VLOOKUP(R218,УГО_спр,5,FALSE),0),IFERROR(--VLOOKUP(AL218,УГО_спр,5,FALSE),0),IFERROR(--VLOOKUP(LEFT(AL218,2),УГО_спр,5,FALSE),0)),IF(IFERROR(--LEFT(SUBSTITUTE(BQ218,"x","х"),FIND("х",SUBSTITUTE(BQ218,"x","х"))-1),3)&gt;3,Каталог!$S$9,1)))</f>
      </c>
      <c r="BX218" s="129">
        <f>IF(AY218&lt;&gt;1,0,MAX(0,IFERROR(--LEFT(SUBSTITUTE(BQ218,"x","х"),FIND("х",SUBSTITUTE(BQ218,"x","х"))-1),3)-3*BW218))</f>
      </c>
      <c r="BY218" s="129">
        <f>IF(R218="","",IFERROR(VLOOKUP(R218,УГО_спр,2,FALSE),IFERROR(VLOOKUP(AL218,УГО_спр,2,FALSE),IFERROR(VLOOKUP(LEFT(AL218,2),УГО_спр,2,FALSE),""))))</f>
      </c>
    </row>
    <row r="219" spans="1:64" x14ac:dyDescent="0.3">
      <c r="A219" s="135">
        <f>IF(Разбивка_по_щитам!F219=0,"",Разбивка_по_щитам!F219)</f>
      </c>
      <c r="B219" s="138">
        <f>IF(A219="","",Разбивка_по_щитам!C219)</f>
      </c>
      <c r="C219" s="138">
        <f t="shared" si="128"/>
      </c>
      <c r="D219" s="266"/>
      <c r="E219" s="266"/>
      <c r="F219" s="267"/>
      <c r="G219" s="145">
        <f t="shared" si="129"/>
        <v/>
      </c>
      <c r="H219" s="145">
        <f t="shared" si="130"/>
        <v/>
      </c>
      <c r="I219" s="266"/>
      <c r="J219" s="267"/>
      <c r="K219" s="267"/>
      <c r="L219" s="266"/>
      <c r="M219" s="147">
        <f t="shared" si="166"/>
        <v/>
      </c>
      <c r="N219" s="267"/>
      <c r="O219" s="147">
        <f t="shared" si="167"/>
        <v/>
      </c>
      <c r="P219" s="268">
        <f>IF(AY219=1,"XT"&amp;COUNTIFS($A$3:A219,A219,$AY$3:AY219,1),"")</f>
        <v/>
      </c>
      <c r="Q219" s="152">
        <f>IF(R219="","",IFERROR(SUBSTITUTE(Разбивка_по_щитам!P219,CHAR(10)," "),""))</f>
        <v/>
      </c>
      <c r="R219" s="153">
        <f>IF(OR(Разбивка_по_щитам!H219="",Разбивка_по_щитам!H219=0),"",Разбивка_по_щитам!H219)</f>
        <v/>
      </c>
      <c r="S219" s="154">
        <f>IF(R219="","",IFERROR(Разбивка_по_щитам!J219&amp;"",""))</f>
        <v/>
      </c>
      <c r="T219" s="155">
        <f>IF(R219="","",IFERROR(--Разбивка_по_щитам!L219,""))</f>
        <v/>
      </c>
      <c r="U219" s="155">
        <f>IF(R219="","",IFERROR(--Разбивка_по_щитам!K219,""))</f>
        <v/>
      </c>
      <c r="V219" s="138">
        <f>IF(R219="","",IFERROR(IF(Разбивка_по_щитам!M219=0,"",Разбивка_по_щитам!M219),""))</f>
        <v/>
      </c>
      <c r="W219" s="156">
        <f t="shared" si="131"/>
        <v/>
      </c>
      <c r="X219" s="157">
        <f t="shared" si="132"/>
        <v/>
      </c>
      <c r="Y219" s="266"/>
      <c r="Z219" s="158">
        <f t="shared" si="133"/>
        <v/>
      </c>
      <c r="AA219" s="160">
        <f t="shared" si="134"/>
        <v/>
      </c>
      <c r="AB219" s="160">
        <f>IF(R219="","",IFERROR(LOOKUP(INDEX(Справочная!$I$4:$I$19,MATCH(VLOOKUP(R219,Исходные_данные,22,FALSE),Справочная!$J$4:$J$19,0)+1),{6,10,16,20,25,32,40,50,63,80,100,125}),""))</f>
        <v/>
      </c>
      <c r="AC219" s="160">
        <f t="shared" si="135"/>
        <v/>
      </c>
      <c r="AD219" s="161">
        <f t="shared" si="136"/>
        <v/>
      </c>
      <c r="AE219" s="161">
        <f>IF(AND(R219="",G219=""),"",_xlfn.TEXTJOIN("; ",TRUE,IF(AND(R219&lt;&gt;"",V219=""),"нет фазы",""),IF(AND(R219&lt;&gt;"",N(T219)=0),"нет мощности",""),IF(AND(P219&lt;&gt;"",COUNTIFS($A$3:$A$1000,A219,$P$3:$P$1000,P219)&gt;1),"дубль клеммы "&amp;P219,""),IF(AND(W219&lt;&gt;"",W219&lt;&gt;"ok"),W219,""),IF(X219&lt;&gt;"",X219,""),IF(AND(ISNUMBER(SEARCH("(5х",Q219)),N(AK219)=1),"5 жил на 1 фазе",""),IF(AND(AL219="R",E219&lt;&gt;"",N(AS219)=0),"розетка без 30 мА",""),IF(IFERROR(_xlfn.NUMBERVALUE(MID(Q219,FIND("-",Q219,FIND("L=",Q219))+1,FIND("%",Q219)-FIND("-",Q219,FIND("L=",Q219))-1),","),0)&gt;4,"потери &gt; 4 %","")))</f>
      </c>
      <c r="AF219" s="129">
        <f>IF(E219&lt;&gt;"",COUNTIFS($A$3:A219,A219,$E$3:E219,"?*"),IF(OR(A219&lt;&gt;A218,Y219="вручную"),"",AF218))</f>
      </c>
      <c r="AG219" s="129">
        <f t="shared" si="137"/>
      </c>
      <c r="AH219" s="129">
        <f t="shared" si="138"/>
        <v/>
      </c>
      <c r="AI219" s="129">
        <f t="shared" si="139"/>
        <v/>
      </c>
      <c r="AJ219" s="129">
        <f t="shared" si="140"/>
        <v/>
      </c>
      <c r="AK219" s="129">
        <f t="shared" si="141"/>
        <v/>
      </c>
      <c r="AL219" s="129">
        <f t="shared" si="142"/>
        <v/>
      </c>
      <c r="AM219" s="129">
        <f t="shared" si="143"/>
      </c>
      <c r="AN219" s="129">
        <f t="shared" si="144"/>
      </c>
      <c r="AO219" s="129">
        <f t="shared" si="145"/>
        <v/>
      </c>
      <c r="AP219" s="129">
        <f t="shared" si="146"/>
        <v/>
      </c>
      <c r="AQ219" s="129">
        <f t="shared" si="147"/>
        <v/>
      </c>
      <c r="AR219" s="129">
        <f t="shared" si="148"/>
        <v/>
      </c>
      <c r="AS219" s="129">
        <f t="shared" si="149"/>
        <v/>
      </c>
      <c r="AT219" s="129">
        <f t="shared" si="150"/>
        <v/>
      </c>
      <c r="AU219" s="129">
        <f t="shared" si="151"/>
        <v/>
      </c>
      <c r="AV219" s="129">
        <f t="shared" si="152"/>
        <v/>
      </c>
      <c r="AW219" s="129">
        <f>IF(AV219="","",AV219&amp;"."&amp;COUNTIFS($A$3:A219,A219,$AV$3:AV219,AV219))</f>
        <v/>
      </c>
      <c r="AX219" s="129">
        <f t="shared" si="153"/>
        <v/>
      </c>
      <c r="AY219" s="129">
        <f>IF(N219="б/к",0,IF(OR(ISNUMBER(SEARCH("L=",Разбивка_по_щитам!P219)),N219="+",N219="="),1,0))</f>
      </c>
      <c r="AZ219" s="129">
        <f t="shared" si="154"/>
      </c>
      <c r="BA219" s="129">
        <f t="shared" si="155"/>
      </c>
      <c r="BB219" s="129">
        <f t="shared" si="156"/>
      </c>
      <c r="BD219" s="129">
        <f t="shared" si="157"/>
      </c>
      <c r="BE219" s="129">
        <f t="shared" si="158"/>
      </c>
      <c r="BF219" s="129">
        <f t="shared" si="159"/>
      </c>
      <c r="BG219" s="129">
        <f t="shared" si="160"/>
        <v/>
      </c>
      <c r="BH219" s="129">
        <f t="shared" si="161"/>
        <v/>
      </c>
      <c r="BI219" s="129">
        <f t="shared" si="162"/>
        <v/>
      </c>
      <c r="BJ219" s="129">
        <f t="shared" si="163"/>
        <v/>
      </c>
      <c r="BK219" s="129">
        <f>IF(R219="","",IF(OR(BY219="",BY219=0),"BOX",IFERROR(IF(VLOOKUP(BY219,УГО_блоки,3,FALSE)&amp;""&lt;&gt;"",VLOOKUP(BY219,УГО_блоки,3,FALSE),VLOOKUP(BY219,УГО_блоки,2,FALSE)),BY219)))</f>
      </c>
      <c r="BL219" s="129">
        <f t="shared" si="165"/>
      </c>
      <c r="BM219" s="129">
        <f>IF(H219="","",IF(COUNTIF($H$3:H219,H219)=1,MAX($BM$2:BM218)+1,""))</f>
      </c>
      <c r="BN219" s="129">
        <f>IF(I219="","",IF(COUNTIF($I$3:I219,I219)+COUNTIF($J$2:J218,I219)+COUNTIF($K$2:K218,I219)=1,MAX($BN$2:BP218)+1,""))</f>
      </c>
      <c r="BO219" s="129">
        <f>IF(J219="","",IF(COUNTIF($I$3:I219,J219)+COUNTIF($J$3:J219,J219)+COUNTIF($K$2:K218,J219)=1,MAX($BN$2:BP218,BN219)+1,""))</f>
      </c>
      <c r="BP219" s="129">
        <f>IF(K219="","",IF(COUNTIF($I$3:I219,K219)+COUNTIF($J$3:J219,K219)+COUNTIF($K$3:K219,K219)=1,MAX($BN$2:BP218,BN219,BO219)+1,""))</f>
      </c>
      <c r="BQ219" s="129">
        <f>IF(AY219=1,IFERROR(MID(Q219,FIND(" (",Q219)+2,FIND(")",Q219,FIND(" (",Q219))-FIND(" (",Q219)-2),"?"),"")</f>
      </c>
      <c r="BR219" s="129">
        <f>IF(BQ219="","",IF(COUNTIF($BQ$3:BQ219,BQ219)=1,MAX($BR$2:BR218)+1,""))</f>
      </c>
      <c r="BS219" s="129">
        <f>IF(AW219="","",COUNTIF($AW$3:AW219,"?*"))</f>
      </c>
      <c r="BT219" s="129">
        <f>IF(OR(AW219="",AI219=""),"",IF(COUNTIFS($AW$3:AW219,"?*",$AI$3:AI219,AI219)=1,MAX($BT$2:BT218)+1,""))</f>
      </c>
      <c r="BU219" s="129">
        <f>IF(AE219="",0,IF(OR(ISNUMBER(SEARCH("дубль",AE219)),ISNUMBER(SEARCH("ПЕРЕГРУЗ",AE219)),ISNUMBER(SEARCH("ЗАЩИЩ",AE219)),ISNUMBER(SEARCH("КАНАЛ",AE219)),ISNUMBER(SEARCH("без 30",AE219))),2,1))</f>
      </c>
      <c r="BV219" s="129">
        <f>IF(R219="","",COUNTIF($R$3:R219,"?*"))</f>
      </c>
      <c r="BW219" s="129">
        <f>IF(AY219&lt;&gt;1,0,IF(MAX(IFERROR(--VLOOKUP(R219,УГО_спр,5,FALSE),0),IFERROR(--VLOOKUP(AL219,УГО_спр,5,FALSE),0),IFERROR(--VLOOKUP(LEFT(AL219,2),УГО_спр,5,FALSE),0))&gt;0,MAX(IFERROR(--VLOOKUP(R219,УГО_спр,5,FALSE),0),IFERROR(--VLOOKUP(AL219,УГО_спр,5,FALSE),0),IFERROR(--VLOOKUP(LEFT(AL219,2),УГО_спр,5,FALSE),0)),IF(IFERROR(--LEFT(SUBSTITUTE(BQ219,"x","х"),FIND("х",SUBSTITUTE(BQ219,"x","х"))-1),3)&gt;3,Каталог!$S$9,1)))</f>
      </c>
      <c r="BX219" s="129">
        <f>IF(AY219&lt;&gt;1,0,MAX(0,IFERROR(--LEFT(SUBSTITUTE(BQ219,"x","х"),FIND("х",SUBSTITUTE(BQ219,"x","х"))-1),3)-3*BW219))</f>
      </c>
      <c r="BY219" s="129">
        <f>IF(R219="","",IFERROR(VLOOKUP(R219,УГО_спр,2,FALSE),IFERROR(VLOOKUP(AL219,УГО_спр,2,FALSE),IFERROR(VLOOKUP(LEFT(AL219,2),УГО_спр,2,FALSE),""))))</f>
      </c>
    </row>
    <row r="220" spans="1:64" x14ac:dyDescent="0.3">
      <c r="A220" s="135">
        <f>IF(Разбивка_по_щитам!F220=0,"",Разбивка_по_щитам!F220)</f>
      </c>
      <c r="B220" s="138">
        <f>IF(A220="","",Разбивка_по_щитам!C220)</f>
      </c>
      <c r="C220" s="138">
        <f t="shared" si="128"/>
      </c>
      <c r="D220" s="266"/>
      <c r="E220" s="266"/>
      <c r="F220" s="267"/>
      <c r="G220" s="145">
        <f t="shared" si="129"/>
        <v/>
      </c>
      <c r="H220" s="145">
        <f t="shared" si="130"/>
        <v/>
      </c>
      <c r="I220" s="266"/>
      <c r="J220" s="267"/>
      <c r="K220" s="267"/>
      <c r="L220" s="266"/>
      <c r="M220" s="147">
        <f t="shared" si="166"/>
        <v/>
      </c>
      <c r="N220" s="267"/>
      <c r="O220" s="147">
        <f t="shared" si="167"/>
        <v/>
      </c>
      <c r="P220" s="268">
        <f>IF(AY220=1,"XT"&amp;COUNTIFS($A$3:A220,A220,$AY$3:AY220,1),"")</f>
        <v/>
      </c>
      <c r="Q220" s="152">
        <f>IF(R220="","",IFERROR(SUBSTITUTE(Разбивка_по_щитам!P220,CHAR(10)," "),""))</f>
        <v/>
      </c>
      <c r="R220" s="153">
        <f>IF(OR(Разбивка_по_щитам!H220="",Разбивка_по_щитам!H220=0),"",Разбивка_по_щитам!H220)</f>
        <v/>
      </c>
      <c r="S220" s="154">
        <f>IF(R220="","",IFERROR(Разбивка_по_щитам!J220&amp;"",""))</f>
        <v/>
      </c>
      <c r="T220" s="155">
        <f>IF(R220="","",IFERROR(--Разбивка_по_щитам!L220,""))</f>
        <v/>
      </c>
      <c r="U220" s="155">
        <f>IF(R220="","",IFERROR(--Разбивка_по_щитам!K220,""))</f>
        <v/>
      </c>
      <c r="V220" s="138">
        <f>IF(R220="","",IFERROR(IF(Разбивка_по_щитам!M220=0,"",Разбивка_по_щитам!M220),""))</f>
        <v/>
      </c>
      <c r="W220" s="156">
        <f t="shared" si="131"/>
        <v/>
      </c>
      <c r="X220" s="157">
        <f t="shared" si="132"/>
        <v/>
      </c>
      <c r="Y220" s="266"/>
      <c r="Z220" s="158">
        <f t="shared" si="133"/>
        <v/>
      </c>
      <c r="AA220" s="160">
        <f t="shared" si="134"/>
        <v/>
      </c>
      <c r="AB220" s="160">
        <f>IF(R220="","",IFERROR(LOOKUP(INDEX(Справочная!$I$4:$I$19,MATCH(VLOOKUP(R220,Исходные_данные,22,FALSE),Справочная!$J$4:$J$19,0)+1),{6,10,16,20,25,32,40,50,63,80,100,125}),""))</f>
        <v/>
      </c>
      <c r="AC220" s="160">
        <f t="shared" si="135"/>
        <v/>
      </c>
      <c r="AD220" s="161">
        <f t="shared" si="136"/>
        <v/>
      </c>
      <c r="AE220" s="161">
        <f>IF(AND(R220="",G220=""),"",_xlfn.TEXTJOIN("; ",TRUE,IF(AND(R220&lt;&gt;"",V220=""),"нет фазы",""),IF(AND(R220&lt;&gt;"",N(T220)=0),"нет мощности",""),IF(AND(P220&lt;&gt;"",COUNTIFS($A$3:$A$1000,A220,$P$3:$P$1000,P220)&gt;1),"дубль клеммы "&amp;P220,""),IF(AND(W220&lt;&gt;"",W220&lt;&gt;"ok"),W220,""),IF(X220&lt;&gt;"",X220,""),IF(AND(ISNUMBER(SEARCH("(5х",Q220)),N(AK220)=1),"5 жил на 1 фазе",""),IF(AND(AL220="R",E220&lt;&gt;"",N(AS220)=0),"розетка без 30 мА",""),IF(IFERROR(_xlfn.NUMBERVALUE(MID(Q220,FIND("-",Q220,FIND("L=",Q220))+1,FIND("%",Q220)-FIND("-",Q220,FIND("L=",Q220))-1),","),0)&gt;4,"потери &gt; 4 %","")))</f>
      </c>
      <c r="AF220" s="129">
        <f>IF(E220&lt;&gt;"",COUNTIFS($A$3:A220,A220,$E$3:E220,"?*"),IF(OR(A220&lt;&gt;A219,Y220="вручную"),"",AF219))</f>
      </c>
      <c r="AG220" s="129">
        <f t="shared" si="137"/>
      </c>
      <c r="AH220" s="129">
        <f t="shared" si="138"/>
        <v/>
      </c>
      <c r="AI220" s="129">
        <f t="shared" si="139"/>
        <v/>
      </c>
      <c r="AJ220" s="129">
        <f t="shared" si="140"/>
        <v/>
      </c>
      <c r="AK220" s="129">
        <f t="shared" si="141"/>
        <v/>
      </c>
      <c r="AL220" s="129">
        <f t="shared" si="142"/>
        <v/>
      </c>
      <c r="AM220" s="129">
        <f t="shared" si="143"/>
      </c>
      <c r="AN220" s="129">
        <f t="shared" si="144"/>
      </c>
      <c r="AO220" s="129">
        <f t="shared" si="145"/>
        <v/>
      </c>
      <c r="AP220" s="129">
        <f t="shared" si="146"/>
        <v/>
      </c>
      <c r="AQ220" s="129">
        <f t="shared" si="147"/>
        <v/>
      </c>
      <c r="AR220" s="129">
        <f t="shared" si="148"/>
        <v/>
      </c>
      <c r="AS220" s="129">
        <f t="shared" si="149"/>
        <v/>
      </c>
      <c r="AT220" s="129">
        <f t="shared" si="150"/>
        <v/>
      </c>
      <c r="AU220" s="129">
        <f t="shared" si="151"/>
        <v/>
      </c>
      <c r="AV220" s="129">
        <f t="shared" si="152"/>
        <v/>
      </c>
      <c r="AW220" s="129">
        <f>IF(AV220="","",AV220&amp;"."&amp;COUNTIFS($A$3:A220,A220,$AV$3:AV220,AV220))</f>
        <v/>
      </c>
      <c r="AX220" s="129">
        <f t="shared" si="153"/>
        <v/>
      </c>
      <c r="AY220" s="129">
        <f>IF(N220="б/к",0,IF(OR(ISNUMBER(SEARCH("L=",Разбивка_по_щитам!P220)),N220="+",N220="="),1,0))</f>
      </c>
      <c r="AZ220" s="129">
        <f t="shared" si="154"/>
      </c>
      <c r="BA220" s="129">
        <f t="shared" si="155"/>
      </c>
      <c r="BB220" s="129">
        <f t="shared" si="156"/>
      </c>
      <c r="BD220" s="129">
        <f t="shared" si="157"/>
      </c>
      <c r="BE220" s="129">
        <f t="shared" si="158"/>
      </c>
      <c r="BF220" s="129">
        <f t="shared" si="159"/>
      </c>
      <c r="BG220" s="129">
        <f t="shared" si="160"/>
        <v/>
      </c>
      <c r="BH220" s="129">
        <f t="shared" si="161"/>
        <v/>
      </c>
      <c r="BI220" s="129">
        <f t="shared" si="162"/>
        <v/>
      </c>
      <c r="BJ220" s="129">
        <f t="shared" si="163"/>
        <v/>
      </c>
      <c r="BK220" s="129">
        <f>IF(R220="","",IF(OR(BY220="",BY220=0),"BOX",IFERROR(IF(VLOOKUP(BY220,УГО_блоки,3,FALSE)&amp;""&lt;&gt;"",VLOOKUP(BY220,УГО_блоки,3,FALSE),VLOOKUP(BY220,УГО_блоки,2,FALSE)),BY220)))</f>
      </c>
      <c r="BL220" s="129">
        <f t="shared" si="165"/>
      </c>
      <c r="BM220" s="129">
        <f>IF(H220="","",IF(COUNTIF($H$3:H220,H220)=1,MAX($BM$2:BM219)+1,""))</f>
      </c>
      <c r="BN220" s="129">
        <f>IF(I220="","",IF(COUNTIF($I$3:I220,I220)+COUNTIF($J$2:J219,I220)+COUNTIF($K$2:K219,I220)=1,MAX($BN$2:BP219)+1,""))</f>
      </c>
      <c r="BO220" s="129">
        <f>IF(J220="","",IF(COUNTIF($I$3:I220,J220)+COUNTIF($J$3:J220,J220)+COUNTIF($K$2:K219,J220)=1,MAX($BN$2:BP219,BN220)+1,""))</f>
      </c>
      <c r="BP220" s="129">
        <f>IF(K220="","",IF(COUNTIF($I$3:I220,K220)+COUNTIF($J$3:J220,K220)+COUNTIF($K$3:K220,K220)=1,MAX($BN$2:BP219,BN220,BO220)+1,""))</f>
      </c>
      <c r="BQ220" s="129">
        <f>IF(AY220=1,IFERROR(MID(Q220,FIND(" (",Q220)+2,FIND(")",Q220,FIND(" (",Q220))-FIND(" (",Q220)-2),"?"),"")</f>
      </c>
      <c r="BR220" s="129">
        <f>IF(BQ220="","",IF(COUNTIF($BQ$3:BQ220,BQ220)=1,MAX($BR$2:BR219)+1,""))</f>
      </c>
      <c r="BS220" s="129">
        <f>IF(AW220="","",COUNTIF($AW$3:AW220,"?*"))</f>
      </c>
      <c r="BT220" s="129">
        <f>IF(OR(AW220="",AI220=""),"",IF(COUNTIFS($AW$3:AW220,"?*",$AI$3:AI220,AI220)=1,MAX($BT$2:BT219)+1,""))</f>
      </c>
      <c r="BU220" s="129">
        <f>IF(AE220="",0,IF(OR(ISNUMBER(SEARCH("дубль",AE220)),ISNUMBER(SEARCH("ПЕРЕГРУЗ",AE220)),ISNUMBER(SEARCH("ЗАЩИЩ",AE220)),ISNUMBER(SEARCH("КАНАЛ",AE220)),ISNUMBER(SEARCH("без 30",AE220))),2,1))</f>
      </c>
      <c r="BV220" s="129">
        <f>IF(R220="","",COUNTIF($R$3:R220,"?*"))</f>
      </c>
      <c r="BW220" s="129">
        <f>IF(AY220&lt;&gt;1,0,IF(MAX(IFERROR(--VLOOKUP(R220,УГО_спр,5,FALSE),0),IFERROR(--VLOOKUP(AL220,УГО_спр,5,FALSE),0),IFERROR(--VLOOKUP(LEFT(AL220,2),УГО_спр,5,FALSE),0))&gt;0,MAX(IFERROR(--VLOOKUP(R220,УГО_спр,5,FALSE),0),IFERROR(--VLOOKUP(AL220,УГО_спр,5,FALSE),0),IFERROR(--VLOOKUP(LEFT(AL220,2),УГО_спр,5,FALSE),0)),IF(IFERROR(--LEFT(SUBSTITUTE(BQ220,"x","х"),FIND("х",SUBSTITUTE(BQ220,"x","х"))-1),3)&gt;3,Каталог!$S$9,1)))</f>
      </c>
      <c r="BX220" s="129">
        <f>IF(AY220&lt;&gt;1,0,MAX(0,IFERROR(--LEFT(SUBSTITUTE(BQ220,"x","х"),FIND("х",SUBSTITUTE(BQ220,"x","х"))-1),3)-3*BW220))</f>
      </c>
      <c r="BY220" s="129">
        <f>IF(R220="","",IFERROR(VLOOKUP(R220,УГО_спр,2,FALSE),IFERROR(VLOOKUP(AL220,УГО_спр,2,FALSE),IFERROR(VLOOKUP(LEFT(AL220,2),УГО_спр,2,FALSE),""))))</f>
      </c>
    </row>
    <row r="221" spans="1:64" x14ac:dyDescent="0.3">
      <c r="A221" s="135">
        <f>IF(Разбивка_по_щитам!F221=0,"",Разбивка_по_щитам!F221)</f>
      </c>
      <c r="B221" s="138">
        <f>IF(A221="","",Разбивка_по_щитам!C221)</f>
      </c>
      <c r="C221" s="138">
        <f t="shared" si="128"/>
      </c>
      <c r="D221" s="266"/>
      <c r="E221" s="266"/>
      <c r="F221" s="267"/>
      <c r="G221" s="145">
        <f t="shared" si="129"/>
        <v/>
      </c>
      <c r="H221" s="145">
        <f t="shared" si="130"/>
        <v/>
      </c>
      <c r="I221" s="266"/>
      <c r="J221" s="267"/>
      <c r="K221" s="267"/>
      <c r="L221" s="266"/>
      <c r="M221" s="147">
        <f t="shared" si="166"/>
        <v/>
      </c>
      <c r="N221" s="267"/>
      <c r="O221" s="147">
        <f t="shared" si="167"/>
        <v/>
      </c>
      <c r="P221" s="268">
        <f>IF(AY221=1,"XT"&amp;COUNTIFS($A$3:A221,A221,$AY$3:AY221,1),"")</f>
        <v/>
      </c>
      <c r="Q221" s="152">
        <f>IF(R221="","",IFERROR(SUBSTITUTE(Разбивка_по_щитам!P221,CHAR(10)," "),""))</f>
        <v/>
      </c>
      <c r="R221" s="153">
        <f>IF(OR(Разбивка_по_щитам!H221="",Разбивка_по_щитам!H221=0),"",Разбивка_по_щитам!H221)</f>
        <v/>
      </c>
      <c r="S221" s="154">
        <f>IF(R221="","",IFERROR(Разбивка_по_щитам!J221&amp;"",""))</f>
        <v/>
      </c>
      <c r="T221" s="155">
        <f>IF(R221="","",IFERROR(--Разбивка_по_щитам!L221,""))</f>
        <v/>
      </c>
      <c r="U221" s="155">
        <f>IF(R221="","",IFERROR(--Разбивка_по_щитам!K221,""))</f>
        <v/>
      </c>
      <c r="V221" s="138">
        <f>IF(R221="","",IFERROR(IF(Разбивка_по_щитам!M221=0,"",Разбивка_по_щитам!M221),""))</f>
        <v/>
      </c>
      <c r="W221" s="156">
        <f t="shared" si="131"/>
        <v/>
      </c>
      <c r="X221" s="157">
        <f t="shared" si="132"/>
        <v/>
      </c>
      <c r="Y221" s="266"/>
      <c r="Z221" s="158">
        <f t="shared" si="133"/>
        <v/>
      </c>
      <c r="AA221" s="160">
        <f t="shared" si="134"/>
        <v/>
      </c>
      <c r="AB221" s="160">
        <f>IF(R221="","",IFERROR(LOOKUP(INDEX(Справочная!$I$4:$I$19,MATCH(VLOOKUP(R221,Исходные_данные,22,FALSE),Справочная!$J$4:$J$19,0)+1),{6,10,16,20,25,32,40,50,63,80,100,125}),""))</f>
        <v/>
      </c>
      <c r="AC221" s="160">
        <f t="shared" si="135"/>
        <v/>
      </c>
      <c r="AD221" s="161">
        <f t="shared" si="136"/>
        <v/>
      </c>
      <c r="AE221" s="161">
        <f>IF(AND(R221="",G221=""),"",_xlfn.TEXTJOIN("; ",TRUE,IF(AND(R221&lt;&gt;"",V221=""),"нет фазы",""),IF(AND(R221&lt;&gt;"",N(T221)=0),"нет мощности",""),IF(AND(P221&lt;&gt;"",COUNTIFS($A$3:$A$1000,A221,$P$3:$P$1000,P221)&gt;1),"дубль клеммы "&amp;P221,""),IF(AND(W221&lt;&gt;"",W221&lt;&gt;"ok"),W221,""),IF(X221&lt;&gt;"",X221,""),IF(AND(ISNUMBER(SEARCH("(5х",Q221)),N(AK221)=1),"5 жил на 1 фазе",""),IF(AND(AL221="R",E221&lt;&gt;"",N(AS221)=0),"розетка без 30 мА",""),IF(IFERROR(_xlfn.NUMBERVALUE(MID(Q221,FIND("-",Q221,FIND("L=",Q221))+1,FIND("%",Q221)-FIND("-",Q221,FIND("L=",Q221))-1),","),0)&gt;4,"потери &gt; 4 %","")))</f>
      </c>
      <c r="AF221" s="129">
        <f>IF(E221&lt;&gt;"",COUNTIFS($A$3:A221,A221,$E$3:E221,"?*"),IF(OR(A221&lt;&gt;A220,Y221="вручную"),"",AF220))</f>
      </c>
      <c r="AG221" s="129">
        <f t="shared" si="137"/>
      </c>
      <c r="AH221" s="129">
        <f t="shared" si="138"/>
        <v/>
      </c>
      <c r="AI221" s="129">
        <f t="shared" si="139"/>
        <v/>
      </c>
      <c r="AJ221" s="129">
        <f t="shared" si="140"/>
        <v/>
      </c>
      <c r="AK221" s="129">
        <f t="shared" si="141"/>
        <v/>
      </c>
      <c r="AL221" s="129">
        <f t="shared" si="142"/>
        <v/>
      </c>
      <c r="AM221" s="129">
        <f t="shared" si="143"/>
      </c>
      <c r="AN221" s="129">
        <f t="shared" si="144"/>
      </c>
      <c r="AO221" s="129">
        <f t="shared" si="145"/>
        <v/>
      </c>
      <c r="AP221" s="129">
        <f t="shared" si="146"/>
        <v/>
      </c>
      <c r="AQ221" s="129">
        <f t="shared" si="147"/>
        <v/>
      </c>
      <c r="AR221" s="129">
        <f t="shared" si="148"/>
        <v/>
      </c>
      <c r="AS221" s="129">
        <f t="shared" si="149"/>
        <v/>
      </c>
      <c r="AT221" s="129">
        <f t="shared" si="150"/>
        <v/>
      </c>
      <c r="AU221" s="129">
        <f t="shared" si="151"/>
        <v/>
      </c>
      <c r="AV221" s="129">
        <f t="shared" si="152"/>
        <v/>
      </c>
      <c r="AW221" s="129">
        <f>IF(AV221="","",AV221&amp;"."&amp;COUNTIFS($A$3:A221,A221,$AV$3:AV221,AV221))</f>
        <v/>
      </c>
      <c r="AX221" s="129">
        <f t="shared" si="153"/>
        <v/>
      </c>
      <c r="AY221" s="129">
        <f>IF(N221="б/к",0,IF(OR(ISNUMBER(SEARCH("L=",Разбивка_по_щитам!P221)),N221="+",N221="="),1,0))</f>
      </c>
      <c r="AZ221" s="129">
        <f t="shared" si="154"/>
      </c>
      <c r="BA221" s="129">
        <f t="shared" si="155"/>
      </c>
      <c r="BB221" s="129">
        <f t="shared" si="156"/>
      </c>
      <c r="BD221" s="129">
        <f t="shared" si="157"/>
      </c>
      <c r="BE221" s="129">
        <f t="shared" si="158"/>
      </c>
      <c r="BF221" s="129">
        <f t="shared" si="159"/>
      </c>
      <c r="BG221" s="129">
        <f t="shared" si="160"/>
        <v/>
      </c>
      <c r="BH221" s="129">
        <f t="shared" si="161"/>
        <v/>
      </c>
      <c r="BI221" s="129">
        <f t="shared" si="162"/>
        <v/>
      </c>
      <c r="BJ221" s="129">
        <f t="shared" si="163"/>
        <v/>
      </c>
      <c r="BK221" s="129">
        <f>IF(R221="","",IF(OR(BY221="",BY221=0),"BOX",IFERROR(IF(VLOOKUP(BY221,УГО_блоки,3,FALSE)&amp;""&lt;&gt;"",VLOOKUP(BY221,УГО_блоки,3,FALSE),VLOOKUP(BY221,УГО_блоки,2,FALSE)),BY221)))</f>
      </c>
      <c r="BL221" s="129">
        <f t="shared" si="165"/>
      </c>
      <c r="BM221" s="129">
        <f>IF(H221="","",IF(COUNTIF($H$3:H221,H221)=1,MAX($BM$2:BM220)+1,""))</f>
      </c>
      <c r="BN221" s="129">
        <f>IF(I221="","",IF(COUNTIF($I$3:I221,I221)+COUNTIF($J$2:J220,I221)+COUNTIF($K$2:K220,I221)=1,MAX($BN$2:BP220)+1,""))</f>
      </c>
      <c r="BO221" s="129">
        <f>IF(J221="","",IF(COUNTIF($I$3:I221,J221)+COUNTIF($J$3:J221,J221)+COUNTIF($K$2:K220,J221)=1,MAX($BN$2:BP220,BN221)+1,""))</f>
      </c>
      <c r="BP221" s="129">
        <f>IF(K221="","",IF(COUNTIF($I$3:I221,K221)+COUNTIF($J$3:J221,K221)+COUNTIF($K$3:K221,K221)=1,MAX($BN$2:BP220,BN221,BO221)+1,""))</f>
      </c>
      <c r="BQ221" s="129">
        <f>IF(AY221=1,IFERROR(MID(Q221,FIND(" (",Q221)+2,FIND(")",Q221,FIND(" (",Q221))-FIND(" (",Q221)-2),"?"),"")</f>
      </c>
      <c r="BR221" s="129">
        <f>IF(BQ221="","",IF(COUNTIF($BQ$3:BQ221,BQ221)=1,MAX($BR$2:BR220)+1,""))</f>
      </c>
      <c r="BS221" s="129">
        <f>IF(AW221="","",COUNTIF($AW$3:AW221,"?*"))</f>
      </c>
      <c r="BT221" s="129">
        <f>IF(OR(AW221="",AI221=""),"",IF(COUNTIFS($AW$3:AW221,"?*",$AI$3:AI221,AI221)=1,MAX($BT$2:BT220)+1,""))</f>
      </c>
      <c r="BU221" s="129">
        <f>IF(AE221="",0,IF(OR(ISNUMBER(SEARCH("дубль",AE221)),ISNUMBER(SEARCH("ПЕРЕГРУЗ",AE221)),ISNUMBER(SEARCH("ЗАЩИЩ",AE221)),ISNUMBER(SEARCH("КАНАЛ",AE221)),ISNUMBER(SEARCH("без 30",AE221))),2,1))</f>
      </c>
      <c r="BV221" s="129">
        <f>IF(R221="","",COUNTIF($R$3:R221,"?*"))</f>
      </c>
      <c r="BW221" s="129">
        <f>IF(AY221&lt;&gt;1,0,IF(MAX(IFERROR(--VLOOKUP(R221,УГО_спр,5,FALSE),0),IFERROR(--VLOOKUP(AL221,УГО_спр,5,FALSE),0),IFERROR(--VLOOKUP(LEFT(AL221,2),УГО_спр,5,FALSE),0))&gt;0,MAX(IFERROR(--VLOOKUP(R221,УГО_спр,5,FALSE),0),IFERROR(--VLOOKUP(AL221,УГО_спр,5,FALSE),0),IFERROR(--VLOOKUP(LEFT(AL221,2),УГО_спр,5,FALSE),0)),IF(IFERROR(--LEFT(SUBSTITUTE(BQ221,"x","х"),FIND("х",SUBSTITUTE(BQ221,"x","х"))-1),3)&gt;3,Каталог!$S$9,1)))</f>
      </c>
      <c r="BX221" s="129">
        <f>IF(AY221&lt;&gt;1,0,MAX(0,IFERROR(--LEFT(SUBSTITUTE(BQ221,"x","х"),FIND("х",SUBSTITUTE(BQ221,"x","х"))-1),3)-3*BW221))</f>
      </c>
      <c r="BY221" s="129">
        <f>IF(R221="","",IFERROR(VLOOKUP(R221,УГО_спр,2,FALSE),IFERROR(VLOOKUP(AL221,УГО_спр,2,FALSE),IFERROR(VLOOKUP(LEFT(AL221,2),УГО_спр,2,FALSE),""))))</f>
      </c>
    </row>
    <row r="222" spans="1:64" x14ac:dyDescent="0.3">
      <c r="A222" s="135">
        <f>IF(Разбивка_по_щитам!F222=0,"",Разбивка_по_щитам!F222)</f>
      </c>
      <c r="B222" s="138">
        <f>IF(A222="","",Разбивка_по_щитам!C222)</f>
      </c>
      <c r="C222" s="138">
        <f t="shared" si="128"/>
      </c>
      <c r="D222" s="266"/>
      <c r="E222" s="266"/>
      <c r="F222" s="267"/>
      <c r="G222" s="145">
        <f t="shared" si="129"/>
        <v/>
      </c>
      <c r="H222" s="145">
        <f t="shared" si="130"/>
        <v/>
      </c>
      <c r="I222" s="266"/>
      <c r="J222" s="267"/>
      <c r="K222" s="267"/>
      <c r="L222" s="266"/>
      <c r="M222" s="147">
        <f t="shared" si="166"/>
        <v/>
      </c>
      <c r="N222" s="267"/>
      <c r="O222" s="147">
        <f t="shared" si="167"/>
        <v/>
      </c>
      <c r="P222" s="268">
        <f>IF(AY222=1,"XT"&amp;COUNTIFS($A$3:A222,A222,$AY$3:AY222,1),"")</f>
        <v/>
      </c>
      <c r="Q222" s="152">
        <f>IF(R222="","",IFERROR(SUBSTITUTE(Разбивка_по_щитам!P222,CHAR(10)," "),""))</f>
        <v/>
      </c>
      <c r="R222" s="153">
        <f>IF(OR(Разбивка_по_щитам!H222="",Разбивка_по_щитам!H222=0),"",Разбивка_по_щитам!H222)</f>
        <v/>
      </c>
      <c r="S222" s="154">
        <f>IF(R222="","",IFERROR(Разбивка_по_щитам!J222&amp;"",""))</f>
        <v/>
      </c>
      <c r="T222" s="155">
        <f>IF(R222="","",IFERROR(--Разбивка_по_щитам!L222,""))</f>
        <v/>
      </c>
      <c r="U222" s="155">
        <f>IF(R222="","",IFERROR(--Разбивка_по_щитам!K222,""))</f>
        <v/>
      </c>
      <c r="V222" s="138">
        <f>IF(R222="","",IFERROR(IF(Разбивка_по_щитам!M222=0,"",Разбивка_по_щитам!M222),""))</f>
        <v/>
      </c>
      <c r="W222" s="156">
        <f t="shared" si="131"/>
        <v/>
      </c>
      <c r="X222" s="157">
        <f t="shared" si="132"/>
        <v/>
      </c>
      <c r="Y222" s="266"/>
      <c r="Z222" s="158">
        <f t="shared" si="133"/>
        <v/>
      </c>
      <c r="AA222" s="160">
        <f t="shared" si="134"/>
        <v/>
      </c>
      <c r="AB222" s="160">
        <f>IF(R222="","",IFERROR(LOOKUP(INDEX(Справочная!$I$4:$I$19,MATCH(VLOOKUP(R222,Исходные_данные,22,FALSE),Справочная!$J$4:$J$19,0)+1),{6,10,16,20,25,32,40,50,63,80,100,125}),""))</f>
        <v/>
      </c>
      <c r="AC222" s="160">
        <f t="shared" si="135"/>
        <v/>
      </c>
      <c r="AD222" s="161">
        <f t="shared" si="136"/>
        <v/>
      </c>
      <c r="AE222" s="161">
        <f>IF(AND(R222="",G222=""),"",_xlfn.TEXTJOIN("; ",TRUE,IF(AND(R222&lt;&gt;"",V222=""),"нет фазы",""),IF(AND(R222&lt;&gt;"",N(T222)=0),"нет мощности",""),IF(AND(P222&lt;&gt;"",COUNTIFS($A$3:$A$1000,A222,$P$3:$P$1000,P222)&gt;1),"дубль клеммы "&amp;P222,""),IF(AND(W222&lt;&gt;"",W222&lt;&gt;"ok"),W222,""),IF(X222&lt;&gt;"",X222,""),IF(AND(ISNUMBER(SEARCH("(5х",Q222)),N(AK222)=1),"5 жил на 1 фазе",""),IF(AND(AL222="R",E222&lt;&gt;"",N(AS222)=0),"розетка без 30 мА",""),IF(IFERROR(_xlfn.NUMBERVALUE(MID(Q222,FIND("-",Q222,FIND("L=",Q222))+1,FIND("%",Q222)-FIND("-",Q222,FIND("L=",Q222))-1),","),0)&gt;4,"потери &gt; 4 %","")))</f>
      </c>
      <c r="AF222" s="129">
        <f>IF(E222&lt;&gt;"",COUNTIFS($A$3:A222,A222,$E$3:E222,"?*"),IF(OR(A222&lt;&gt;A221,Y222="вручную"),"",AF221))</f>
      </c>
      <c r="AG222" s="129">
        <f t="shared" si="137"/>
      </c>
      <c r="AH222" s="129">
        <f t="shared" si="138"/>
        <v/>
      </c>
      <c r="AI222" s="129">
        <f t="shared" si="139"/>
        <v/>
      </c>
      <c r="AJ222" s="129">
        <f t="shared" si="140"/>
        <v/>
      </c>
      <c r="AK222" s="129">
        <f t="shared" si="141"/>
        <v/>
      </c>
      <c r="AL222" s="129">
        <f t="shared" si="142"/>
        <v/>
      </c>
      <c r="AM222" s="129">
        <f t="shared" si="143"/>
      </c>
      <c r="AN222" s="129">
        <f t="shared" si="144"/>
      </c>
      <c r="AO222" s="129">
        <f t="shared" si="145"/>
        <v/>
      </c>
      <c r="AP222" s="129">
        <f t="shared" si="146"/>
        <v/>
      </c>
      <c r="AQ222" s="129">
        <f t="shared" si="147"/>
        <v/>
      </c>
      <c r="AR222" s="129">
        <f t="shared" si="148"/>
        <v/>
      </c>
      <c r="AS222" s="129">
        <f t="shared" si="149"/>
        <v/>
      </c>
      <c r="AT222" s="129">
        <f t="shared" si="150"/>
        <v/>
      </c>
      <c r="AU222" s="129">
        <f t="shared" si="151"/>
        <v/>
      </c>
      <c r="AV222" s="129">
        <f t="shared" si="152"/>
        <v/>
      </c>
      <c r="AW222" s="129">
        <f>IF(AV222="","",AV222&amp;"."&amp;COUNTIFS($A$3:A222,A222,$AV$3:AV222,AV222))</f>
        <v/>
      </c>
      <c r="AX222" s="129">
        <f t="shared" si="153"/>
        <v/>
      </c>
      <c r="AY222" s="129">
        <f>IF(N222="б/к",0,IF(OR(ISNUMBER(SEARCH("L=",Разбивка_по_щитам!P222)),N222="+",N222="="),1,0))</f>
      </c>
      <c r="AZ222" s="129">
        <f t="shared" si="154"/>
      </c>
      <c r="BA222" s="129">
        <f t="shared" si="155"/>
      </c>
      <c r="BB222" s="129">
        <f t="shared" si="156"/>
      </c>
      <c r="BD222" s="129">
        <f t="shared" si="157"/>
      </c>
      <c r="BE222" s="129">
        <f t="shared" si="158"/>
      </c>
      <c r="BF222" s="129">
        <f t="shared" si="159"/>
      </c>
      <c r="BG222" s="129">
        <f t="shared" si="160"/>
        <v/>
      </c>
      <c r="BH222" s="129">
        <f t="shared" si="161"/>
        <v/>
      </c>
      <c r="BI222" s="129">
        <f t="shared" si="162"/>
        <v/>
      </c>
      <c r="BJ222" s="129">
        <f t="shared" si="163"/>
        <v/>
      </c>
      <c r="BK222" s="129">
        <f>IF(R222="","",IF(OR(BY222="",BY222=0),"BOX",IFERROR(IF(VLOOKUP(BY222,УГО_блоки,3,FALSE)&amp;""&lt;&gt;"",VLOOKUP(BY222,УГО_блоки,3,FALSE),VLOOKUP(BY222,УГО_блоки,2,FALSE)),BY222)))</f>
      </c>
      <c r="BL222" s="129">
        <f t="shared" si="165"/>
      </c>
      <c r="BM222" s="129">
        <f>IF(H222="","",IF(COUNTIF($H$3:H222,H222)=1,MAX($BM$2:BM221)+1,""))</f>
      </c>
      <c r="BN222" s="129">
        <f>IF(I222="","",IF(COUNTIF($I$3:I222,I222)+COUNTIF($J$2:J221,I222)+COUNTIF($K$2:K221,I222)=1,MAX($BN$2:BP221)+1,""))</f>
      </c>
      <c r="BO222" s="129">
        <f>IF(J222="","",IF(COUNTIF($I$3:I222,J222)+COUNTIF($J$3:J222,J222)+COUNTIF($K$2:K221,J222)=1,MAX($BN$2:BP221,BN222)+1,""))</f>
      </c>
      <c r="BP222" s="129">
        <f>IF(K222="","",IF(COUNTIF($I$3:I222,K222)+COUNTIF($J$3:J222,K222)+COUNTIF($K$3:K222,K222)=1,MAX($BN$2:BP221,BN222,BO222)+1,""))</f>
      </c>
      <c r="BQ222" s="129">
        <f>IF(AY222=1,IFERROR(MID(Q222,FIND(" (",Q222)+2,FIND(")",Q222,FIND(" (",Q222))-FIND(" (",Q222)-2),"?"),"")</f>
      </c>
      <c r="BR222" s="129">
        <f>IF(BQ222="","",IF(COUNTIF($BQ$3:BQ222,BQ222)=1,MAX($BR$2:BR221)+1,""))</f>
      </c>
      <c r="BS222" s="129">
        <f>IF(AW222="","",COUNTIF($AW$3:AW222,"?*"))</f>
      </c>
      <c r="BT222" s="129">
        <f>IF(OR(AW222="",AI222=""),"",IF(COUNTIFS($AW$3:AW222,"?*",$AI$3:AI222,AI222)=1,MAX($BT$2:BT221)+1,""))</f>
      </c>
      <c r="BU222" s="129">
        <f>IF(AE222="",0,IF(OR(ISNUMBER(SEARCH("дубль",AE222)),ISNUMBER(SEARCH("ПЕРЕГРУЗ",AE222)),ISNUMBER(SEARCH("ЗАЩИЩ",AE222)),ISNUMBER(SEARCH("КАНАЛ",AE222)),ISNUMBER(SEARCH("без 30",AE222))),2,1))</f>
      </c>
      <c r="BV222" s="129">
        <f>IF(R222="","",COUNTIF($R$3:R222,"?*"))</f>
      </c>
      <c r="BW222" s="129">
        <f>IF(AY222&lt;&gt;1,0,IF(MAX(IFERROR(--VLOOKUP(R222,УГО_спр,5,FALSE),0),IFERROR(--VLOOKUP(AL222,УГО_спр,5,FALSE),0),IFERROR(--VLOOKUP(LEFT(AL222,2),УГО_спр,5,FALSE),0))&gt;0,MAX(IFERROR(--VLOOKUP(R222,УГО_спр,5,FALSE),0),IFERROR(--VLOOKUP(AL222,УГО_спр,5,FALSE),0),IFERROR(--VLOOKUP(LEFT(AL222,2),УГО_спр,5,FALSE),0)),IF(IFERROR(--LEFT(SUBSTITUTE(BQ222,"x","х"),FIND("х",SUBSTITUTE(BQ222,"x","х"))-1),3)&gt;3,Каталог!$S$9,1)))</f>
      </c>
      <c r="BX222" s="129">
        <f>IF(AY222&lt;&gt;1,0,MAX(0,IFERROR(--LEFT(SUBSTITUTE(BQ222,"x","х"),FIND("х",SUBSTITUTE(BQ222,"x","х"))-1),3)-3*BW222))</f>
      </c>
      <c r="BY222" s="129">
        <f>IF(R222="","",IFERROR(VLOOKUP(R222,УГО_спр,2,FALSE),IFERROR(VLOOKUP(AL222,УГО_спр,2,FALSE),IFERROR(VLOOKUP(LEFT(AL222,2),УГО_спр,2,FALSE),""))))</f>
      </c>
    </row>
    <row r="223" spans="1:64" x14ac:dyDescent="0.3">
      <c r="A223" s="135">
        <f>IF(Разбивка_по_щитам!F223=0,"",Разбивка_по_щитам!F223)</f>
      </c>
      <c r="B223" s="138">
        <f>IF(A223="","",Разбивка_по_щитам!C223)</f>
      </c>
      <c r="C223" s="138">
        <f t="shared" si="128"/>
      </c>
      <c r="D223" s="266"/>
      <c r="E223" s="266"/>
      <c r="F223" s="267"/>
      <c r="G223" s="145">
        <f t="shared" si="129"/>
        <v/>
      </c>
      <c r="H223" s="145">
        <f t="shared" si="130"/>
        <v/>
      </c>
      <c r="I223" s="266"/>
      <c r="J223" s="267"/>
      <c r="K223" s="267"/>
      <c r="L223" s="266"/>
      <c r="M223" s="147">
        <f t="shared" si="166"/>
        <v/>
      </c>
      <c r="N223" s="267"/>
      <c r="O223" s="147">
        <f t="shared" si="167"/>
        <v/>
      </c>
      <c r="P223" s="268">
        <f>IF(AY223=1,"XT"&amp;COUNTIFS($A$3:A223,A223,$AY$3:AY223,1),"")</f>
        <v/>
      </c>
      <c r="Q223" s="152">
        <f>IF(R223="","",IFERROR(SUBSTITUTE(Разбивка_по_щитам!P223,CHAR(10)," "),""))</f>
        <v/>
      </c>
      <c r="R223" s="153">
        <f>IF(OR(Разбивка_по_щитам!H223="",Разбивка_по_щитам!H223=0),"",Разбивка_по_щитам!H223)</f>
        <v/>
      </c>
      <c r="S223" s="154">
        <f>IF(R223="","",IFERROR(Разбивка_по_щитам!J223&amp;"",""))</f>
        <v/>
      </c>
      <c r="T223" s="155">
        <f>IF(R223="","",IFERROR(--Разбивка_по_щитам!L223,""))</f>
        <v/>
      </c>
      <c r="U223" s="155">
        <f>IF(R223="","",IFERROR(--Разбивка_по_щитам!K223,""))</f>
        <v/>
      </c>
      <c r="V223" s="138">
        <f>IF(R223="","",IFERROR(IF(Разбивка_по_щитам!M223=0,"",Разбивка_по_щитам!M223),""))</f>
        <v/>
      </c>
      <c r="W223" s="156">
        <f t="shared" si="131"/>
        <v/>
      </c>
      <c r="X223" s="157">
        <f t="shared" si="132"/>
        <v/>
      </c>
      <c r="Y223" s="266"/>
      <c r="Z223" s="158">
        <f t="shared" si="133"/>
        <v/>
      </c>
      <c r="AA223" s="160">
        <f t="shared" si="134"/>
        <v/>
      </c>
      <c r="AB223" s="160">
        <f>IF(R223="","",IFERROR(LOOKUP(INDEX(Справочная!$I$4:$I$19,MATCH(VLOOKUP(R223,Исходные_данные,22,FALSE),Справочная!$J$4:$J$19,0)+1),{6,10,16,20,25,32,40,50,63,80,100,125}),""))</f>
        <v/>
      </c>
      <c r="AC223" s="160">
        <f t="shared" si="135"/>
        <v/>
      </c>
      <c r="AD223" s="161">
        <f t="shared" si="136"/>
        <v/>
      </c>
      <c r="AE223" s="161">
        <f>IF(AND(R223="",G223=""),"",_xlfn.TEXTJOIN("; ",TRUE,IF(AND(R223&lt;&gt;"",V223=""),"нет фазы",""),IF(AND(R223&lt;&gt;"",N(T223)=0),"нет мощности",""),IF(AND(P223&lt;&gt;"",COUNTIFS($A$3:$A$1000,A223,$P$3:$P$1000,P223)&gt;1),"дубль клеммы "&amp;P223,""),IF(AND(W223&lt;&gt;"",W223&lt;&gt;"ok"),W223,""),IF(X223&lt;&gt;"",X223,""),IF(AND(ISNUMBER(SEARCH("(5х",Q223)),N(AK223)=1),"5 жил на 1 фазе",""),IF(AND(AL223="R",E223&lt;&gt;"",N(AS223)=0),"розетка без 30 мА",""),IF(IFERROR(_xlfn.NUMBERVALUE(MID(Q223,FIND("-",Q223,FIND("L=",Q223))+1,FIND("%",Q223)-FIND("-",Q223,FIND("L=",Q223))-1),","),0)&gt;4,"потери &gt; 4 %","")))</f>
      </c>
      <c r="AF223" s="129">
        <f>IF(E223&lt;&gt;"",COUNTIFS($A$3:A223,A223,$E$3:E223,"?*"),IF(OR(A223&lt;&gt;A222,Y223="вручную"),"",AF222))</f>
      </c>
      <c r="AG223" s="129">
        <f t="shared" si="137"/>
      </c>
      <c r="AH223" s="129">
        <f t="shared" si="138"/>
        <v/>
      </c>
      <c r="AI223" s="129">
        <f t="shared" si="139"/>
        <v/>
      </c>
      <c r="AJ223" s="129">
        <f t="shared" si="140"/>
        <v/>
      </c>
      <c r="AK223" s="129">
        <f t="shared" si="141"/>
        <v/>
      </c>
      <c r="AL223" s="129">
        <f t="shared" si="142"/>
        <v/>
      </c>
      <c r="AM223" s="129">
        <f t="shared" si="143"/>
      </c>
      <c r="AN223" s="129">
        <f t="shared" si="144"/>
      </c>
      <c r="AO223" s="129">
        <f t="shared" si="145"/>
        <v/>
      </c>
      <c r="AP223" s="129">
        <f t="shared" si="146"/>
        <v/>
      </c>
      <c r="AQ223" s="129">
        <f t="shared" si="147"/>
        <v/>
      </c>
      <c r="AR223" s="129">
        <f t="shared" si="148"/>
        <v/>
      </c>
      <c r="AS223" s="129">
        <f t="shared" si="149"/>
        <v/>
      </c>
      <c r="AT223" s="129">
        <f t="shared" si="150"/>
        <v/>
      </c>
      <c r="AU223" s="129">
        <f t="shared" si="151"/>
        <v/>
      </c>
      <c r="AV223" s="129">
        <f t="shared" si="152"/>
        <v/>
      </c>
      <c r="AW223" s="129">
        <f>IF(AV223="","",AV223&amp;"."&amp;COUNTIFS($A$3:A223,A223,$AV$3:AV223,AV223))</f>
        <v/>
      </c>
      <c r="AX223" s="129">
        <f t="shared" si="153"/>
        <v/>
      </c>
      <c r="AY223" s="129">
        <f>IF(N223="б/к",0,IF(OR(ISNUMBER(SEARCH("L=",Разбивка_по_щитам!P223)),N223="+",N223="="),1,0))</f>
      </c>
      <c r="AZ223" s="129">
        <f t="shared" si="154"/>
      </c>
      <c r="BA223" s="129">
        <f t="shared" si="155"/>
      </c>
      <c r="BB223" s="129">
        <f t="shared" si="156"/>
      </c>
      <c r="BD223" s="129">
        <f t="shared" si="157"/>
      </c>
      <c r="BE223" s="129">
        <f t="shared" si="158"/>
      </c>
      <c r="BF223" s="129">
        <f t="shared" si="159"/>
      </c>
      <c r="BG223" s="129">
        <f t="shared" si="160"/>
        <v/>
      </c>
      <c r="BH223" s="129">
        <f t="shared" si="161"/>
        <v/>
      </c>
      <c r="BI223" s="129">
        <f t="shared" si="162"/>
        <v/>
      </c>
      <c r="BJ223" s="129">
        <f t="shared" si="163"/>
        <v/>
      </c>
      <c r="BK223" s="129">
        <f>IF(R223="","",IF(OR(BY223="",BY223=0),"BOX",IFERROR(IF(VLOOKUP(BY223,УГО_блоки,3,FALSE)&amp;""&lt;&gt;"",VLOOKUP(BY223,УГО_блоки,3,FALSE),VLOOKUP(BY223,УГО_блоки,2,FALSE)),BY223)))</f>
      </c>
      <c r="BL223" s="129">
        <f t="shared" si="165"/>
      </c>
      <c r="BM223" s="129">
        <f>IF(H223="","",IF(COUNTIF($H$3:H223,H223)=1,MAX($BM$2:BM222)+1,""))</f>
      </c>
      <c r="BN223" s="129">
        <f>IF(I223="","",IF(COUNTIF($I$3:I223,I223)+COUNTIF($J$2:J222,I223)+COUNTIF($K$2:K222,I223)=1,MAX($BN$2:BP222)+1,""))</f>
      </c>
      <c r="BO223" s="129">
        <f>IF(J223="","",IF(COUNTIF($I$3:I223,J223)+COUNTIF($J$3:J223,J223)+COUNTIF($K$2:K222,J223)=1,MAX($BN$2:BP222,BN223)+1,""))</f>
      </c>
      <c r="BP223" s="129">
        <f>IF(K223="","",IF(COUNTIF($I$3:I223,K223)+COUNTIF($J$3:J223,K223)+COUNTIF($K$3:K223,K223)=1,MAX($BN$2:BP222,BN223,BO223)+1,""))</f>
      </c>
      <c r="BQ223" s="129">
        <f>IF(AY223=1,IFERROR(MID(Q223,FIND(" (",Q223)+2,FIND(")",Q223,FIND(" (",Q223))-FIND(" (",Q223)-2),"?"),"")</f>
      </c>
      <c r="BR223" s="129">
        <f>IF(BQ223="","",IF(COUNTIF($BQ$3:BQ223,BQ223)=1,MAX($BR$2:BR222)+1,""))</f>
      </c>
      <c r="BS223" s="129">
        <f>IF(AW223="","",COUNTIF($AW$3:AW223,"?*"))</f>
      </c>
      <c r="BT223" s="129">
        <f>IF(OR(AW223="",AI223=""),"",IF(COUNTIFS($AW$3:AW223,"?*",$AI$3:AI223,AI223)=1,MAX($BT$2:BT222)+1,""))</f>
      </c>
      <c r="BU223" s="129">
        <f>IF(AE223="",0,IF(OR(ISNUMBER(SEARCH("дубль",AE223)),ISNUMBER(SEARCH("ПЕРЕГРУЗ",AE223)),ISNUMBER(SEARCH("ЗАЩИЩ",AE223)),ISNUMBER(SEARCH("КАНАЛ",AE223)),ISNUMBER(SEARCH("без 30",AE223))),2,1))</f>
      </c>
      <c r="BV223" s="129">
        <f>IF(R223="","",COUNTIF($R$3:R223,"?*"))</f>
      </c>
      <c r="BW223" s="129">
        <f>IF(AY223&lt;&gt;1,0,IF(MAX(IFERROR(--VLOOKUP(R223,УГО_спр,5,FALSE),0),IFERROR(--VLOOKUP(AL223,УГО_спр,5,FALSE),0),IFERROR(--VLOOKUP(LEFT(AL223,2),УГО_спр,5,FALSE),0))&gt;0,MAX(IFERROR(--VLOOKUP(R223,УГО_спр,5,FALSE),0),IFERROR(--VLOOKUP(AL223,УГО_спр,5,FALSE),0),IFERROR(--VLOOKUP(LEFT(AL223,2),УГО_спр,5,FALSE),0)),IF(IFERROR(--LEFT(SUBSTITUTE(BQ223,"x","х"),FIND("х",SUBSTITUTE(BQ223,"x","х"))-1),3)&gt;3,Каталог!$S$9,1)))</f>
      </c>
      <c r="BX223" s="129">
        <f>IF(AY223&lt;&gt;1,0,MAX(0,IFERROR(--LEFT(SUBSTITUTE(BQ223,"x","х"),FIND("х",SUBSTITUTE(BQ223,"x","х"))-1),3)-3*BW223))</f>
      </c>
      <c r="BY223" s="129">
        <f>IF(R223="","",IFERROR(VLOOKUP(R223,УГО_спр,2,FALSE),IFERROR(VLOOKUP(AL223,УГО_спр,2,FALSE),IFERROR(VLOOKUP(LEFT(AL223,2),УГО_спр,2,FALSE),""))))</f>
      </c>
    </row>
    <row r="224" spans="1:64" x14ac:dyDescent="0.3">
      <c r="A224" s="135">
        <f>IF(Разбивка_по_щитам!F224=0,"",Разбивка_по_щитам!F224)</f>
      </c>
      <c r="B224" s="138">
        <f>IF(A224="","",Разбивка_по_щитам!C224)</f>
      </c>
      <c r="C224" s="138">
        <f t="shared" si="128"/>
      </c>
      <c r="D224" s="266"/>
      <c r="E224" s="266"/>
      <c r="F224" s="267"/>
      <c r="G224" s="145">
        <f t="shared" si="129"/>
        <v/>
      </c>
      <c r="H224" s="145">
        <f t="shared" si="130"/>
        <v/>
      </c>
      <c r="I224" s="266"/>
      <c r="J224" s="267"/>
      <c r="K224" s="267"/>
      <c r="L224" s="266"/>
      <c r="M224" s="147">
        <f t="shared" si="166"/>
        <v/>
      </c>
      <c r="N224" s="267"/>
      <c r="O224" s="147">
        <f t="shared" si="167"/>
        <v/>
      </c>
      <c r="P224" s="268">
        <f>IF(AY224=1,"XT"&amp;COUNTIFS($A$3:A224,A224,$AY$3:AY224,1),"")</f>
        <v/>
      </c>
      <c r="Q224" s="152">
        <f>IF(R224="","",IFERROR(SUBSTITUTE(Разбивка_по_щитам!P224,CHAR(10)," "),""))</f>
        <v/>
      </c>
      <c r="R224" s="153">
        <f>IF(OR(Разбивка_по_щитам!H224="",Разбивка_по_щитам!H224=0),"",Разбивка_по_щитам!H224)</f>
        <v/>
      </c>
      <c r="S224" s="154">
        <f>IF(R224="","",IFERROR(Разбивка_по_щитам!J224&amp;"",""))</f>
        <v/>
      </c>
      <c r="T224" s="155">
        <f>IF(R224="","",IFERROR(--Разбивка_по_щитам!L224,""))</f>
        <v/>
      </c>
      <c r="U224" s="155">
        <f>IF(R224="","",IFERROR(--Разбивка_по_щитам!K224,""))</f>
        <v/>
      </c>
      <c r="V224" s="138">
        <f>IF(R224="","",IFERROR(IF(Разбивка_по_щитам!M224=0,"",Разбивка_по_щитам!M224),""))</f>
        <v/>
      </c>
      <c r="W224" s="156">
        <f t="shared" si="131"/>
        <v/>
      </c>
      <c r="X224" s="157">
        <f t="shared" si="132"/>
        <v/>
      </c>
      <c r="Y224" s="266"/>
      <c r="Z224" s="158">
        <f t="shared" si="133"/>
        <v/>
      </c>
      <c r="AA224" s="160">
        <f t="shared" si="134"/>
        <v/>
      </c>
      <c r="AB224" s="160">
        <f>IF(R224="","",IFERROR(LOOKUP(INDEX(Справочная!$I$4:$I$19,MATCH(VLOOKUP(R224,Исходные_данные,22,FALSE),Справочная!$J$4:$J$19,0)+1),{6,10,16,20,25,32,40,50,63,80,100,125}),""))</f>
        <v/>
      </c>
      <c r="AC224" s="160">
        <f t="shared" si="135"/>
        <v/>
      </c>
      <c r="AD224" s="161">
        <f t="shared" si="136"/>
        <v/>
      </c>
      <c r="AE224" s="161">
        <f>IF(AND(R224="",G224=""),"",_xlfn.TEXTJOIN("; ",TRUE,IF(AND(R224&lt;&gt;"",V224=""),"нет фазы",""),IF(AND(R224&lt;&gt;"",N(T224)=0),"нет мощности",""),IF(AND(P224&lt;&gt;"",COUNTIFS($A$3:$A$1000,A224,$P$3:$P$1000,P224)&gt;1),"дубль клеммы "&amp;P224,""),IF(AND(W224&lt;&gt;"",W224&lt;&gt;"ok"),W224,""),IF(X224&lt;&gt;"",X224,""),IF(AND(ISNUMBER(SEARCH("(5х",Q224)),N(AK224)=1),"5 жил на 1 фазе",""),IF(AND(AL224="R",E224&lt;&gt;"",N(AS224)=0),"розетка без 30 мА",""),IF(IFERROR(_xlfn.NUMBERVALUE(MID(Q224,FIND("-",Q224,FIND("L=",Q224))+1,FIND("%",Q224)-FIND("-",Q224,FIND("L=",Q224))-1),","),0)&gt;4,"потери &gt; 4 %","")))</f>
      </c>
      <c r="AF224" s="129">
        <f>IF(E224&lt;&gt;"",COUNTIFS($A$3:A224,A224,$E$3:E224,"?*"),IF(OR(A224&lt;&gt;A223,Y224="вручную"),"",AF223))</f>
      </c>
      <c r="AG224" s="129">
        <f t="shared" si="137"/>
      </c>
      <c r="AH224" s="129">
        <f t="shared" si="138"/>
        <v/>
      </c>
      <c r="AI224" s="129">
        <f t="shared" si="139"/>
        <v/>
      </c>
      <c r="AJ224" s="129">
        <f t="shared" si="140"/>
        <v/>
      </c>
      <c r="AK224" s="129">
        <f t="shared" si="141"/>
        <v/>
      </c>
      <c r="AL224" s="129">
        <f t="shared" si="142"/>
        <v/>
      </c>
      <c r="AM224" s="129">
        <f t="shared" si="143"/>
      </c>
      <c r="AN224" s="129">
        <f t="shared" si="144"/>
      </c>
      <c r="AO224" s="129">
        <f t="shared" si="145"/>
        <v/>
      </c>
      <c r="AP224" s="129">
        <f t="shared" si="146"/>
        <v/>
      </c>
      <c r="AQ224" s="129">
        <f t="shared" si="147"/>
        <v/>
      </c>
      <c r="AR224" s="129">
        <f t="shared" si="148"/>
        <v/>
      </c>
      <c r="AS224" s="129">
        <f t="shared" si="149"/>
        <v/>
      </c>
      <c r="AT224" s="129">
        <f t="shared" si="150"/>
        <v/>
      </c>
      <c r="AU224" s="129">
        <f t="shared" si="151"/>
        <v/>
      </c>
      <c r="AV224" s="129">
        <f t="shared" si="152"/>
        <v/>
      </c>
      <c r="AW224" s="129">
        <f>IF(AV224="","",AV224&amp;"."&amp;COUNTIFS($A$3:A224,A224,$AV$3:AV224,AV224))</f>
        <v/>
      </c>
      <c r="AX224" s="129">
        <f t="shared" si="153"/>
        <v/>
      </c>
      <c r="AY224" s="129">
        <f>IF(N224="б/к",0,IF(OR(ISNUMBER(SEARCH("L=",Разбивка_по_щитам!P224)),N224="+",N224="="),1,0))</f>
      </c>
      <c r="AZ224" s="129">
        <f t="shared" si="154"/>
      </c>
      <c r="BA224" s="129">
        <f t="shared" si="155"/>
      </c>
      <c r="BB224" s="129">
        <f t="shared" si="156"/>
      </c>
      <c r="BD224" s="129">
        <f t="shared" si="157"/>
      </c>
      <c r="BE224" s="129">
        <f t="shared" si="158"/>
      </c>
      <c r="BF224" s="129">
        <f t="shared" si="159"/>
      </c>
      <c r="BG224" s="129">
        <f t="shared" si="160"/>
        <v/>
      </c>
      <c r="BH224" s="129">
        <f t="shared" si="161"/>
        <v/>
      </c>
      <c r="BI224" s="129">
        <f t="shared" si="162"/>
        <v/>
      </c>
      <c r="BJ224" s="129">
        <f t="shared" si="163"/>
        <v/>
      </c>
      <c r="BK224" s="129">
        <f>IF(R224="","",IF(OR(BY224="",BY224=0),"BOX",IFERROR(IF(VLOOKUP(BY224,УГО_блоки,3,FALSE)&amp;""&lt;&gt;"",VLOOKUP(BY224,УГО_блоки,3,FALSE),VLOOKUP(BY224,УГО_блоки,2,FALSE)),BY224)))</f>
      </c>
      <c r="BL224" s="129">
        <f t="shared" si="165"/>
      </c>
      <c r="BM224" s="129">
        <f>IF(H224="","",IF(COUNTIF($H$3:H224,H224)=1,MAX($BM$2:BM223)+1,""))</f>
      </c>
      <c r="BN224" s="129">
        <f>IF(I224="","",IF(COUNTIF($I$3:I224,I224)+COUNTIF($J$2:J223,I224)+COUNTIF($K$2:K223,I224)=1,MAX($BN$2:BP223)+1,""))</f>
      </c>
      <c r="BO224" s="129">
        <f>IF(J224="","",IF(COUNTIF($I$3:I224,J224)+COUNTIF($J$3:J224,J224)+COUNTIF($K$2:K223,J224)=1,MAX($BN$2:BP223,BN224)+1,""))</f>
      </c>
      <c r="BP224" s="129">
        <f>IF(K224="","",IF(COUNTIF($I$3:I224,K224)+COUNTIF($J$3:J224,K224)+COUNTIF($K$3:K224,K224)=1,MAX($BN$2:BP223,BN224,BO224)+1,""))</f>
      </c>
      <c r="BQ224" s="129">
        <f>IF(AY224=1,IFERROR(MID(Q224,FIND(" (",Q224)+2,FIND(")",Q224,FIND(" (",Q224))-FIND(" (",Q224)-2),"?"),"")</f>
      </c>
      <c r="BR224" s="129">
        <f>IF(BQ224="","",IF(COUNTIF($BQ$3:BQ224,BQ224)=1,MAX($BR$2:BR223)+1,""))</f>
      </c>
      <c r="BS224" s="129">
        <f>IF(AW224="","",COUNTIF($AW$3:AW224,"?*"))</f>
      </c>
      <c r="BT224" s="129">
        <f>IF(OR(AW224="",AI224=""),"",IF(COUNTIFS($AW$3:AW224,"?*",$AI$3:AI224,AI224)=1,MAX($BT$2:BT223)+1,""))</f>
      </c>
      <c r="BU224" s="129">
        <f>IF(AE224="",0,IF(OR(ISNUMBER(SEARCH("дубль",AE224)),ISNUMBER(SEARCH("ПЕРЕГРУЗ",AE224)),ISNUMBER(SEARCH("ЗАЩИЩ",AE224)),ISNUMBER(SEARCH("КАНАЛ",AE224)),ISNUMBER(SEARCH("без 30",AE224))),2,1))</f>
      </c>
      <c r="BV224" s="129">
        <f>IF(R224="","",COUNTIF($R$3:R224,"?*"))</f>
      </c>
      <c r="BW224" s="129">
        <f>IF(AY224&lt;&gt;1,0,IF(MAX(IFERROR(--VLOOKUP(R224,УГО_спр,5,FALSE),0),IFERROR(--VLOOKUP(AL224,УГО_спр,5,FALSE),0),IFERROR(--VLOOKUP(LEFT(AL224,2),УГО_спр,5,FALSE),0))&gt;0,MAX(IFERROR(--VLOOKUP(R224,УГО_спр,5,FALSE),0),IFERROR(--VLOOKUP(AL224,УГО_спр,5,FALSE),0),IFERROR(--VLOOKUP(LEFT(AL224,2),УГО_спр,5,FALSE),0)),IF(IFERROR(--LEFT(SUBSTITUTE(BQ224,"x","х"),FIND("х",SUBSTITUTE(BQ224,"x","х"))-1),3)&gt;3,Каталог!$S$9,1)))</f>
      </c>
      <c r="BX224" s="129">
        <f>IF(AY224&lt;&gt;1,0,MAX(0,IFERROR(--LEFT(SUBSTITUTE(BQ224,"x","х"),FIND("х",SUBSTITUTE(BQ224,"x","х"))-1),3)-3*BW224))</f>
      </c>
      <c r="BY224" s="129">
        <f>IF(R224="","",IFERROR(VLOOKUP(R224,УГО_спр,2,FALSE),IFERROR(VLOOKUP(AL224,УГО_спр,2,FALSE),IFERROR(VLOOKUP(LEFT(AL224,2),УГО_спр,2,FALSE),""))))</f>
      </c>
    </row>
    <row r="225" spans="1:64" x14ac:dyDescent="0.3">
      <c r="A225" s="135">
        <f>IF(Разбивка_по_щитам!F225=0,"",Разбивка_по_щитам!F225)</f>
      </c>
      <c r="B225" s="138">
        <f>IF(A225="","",Разбивка_по_щитам!C225)</f>
      </c>
      <c r="C225" s="138">
        <f t="shared" si="128"/>
      </c>
      <c r="D225" s="266"/>
      <c r="E225" s="266"/>
      <c r="F225" s="267"/>
      <c r="G225" s="145">
        <f t="shared" si="129"/>
        <v/>
      </c>
      <c r="H225" s="145">
        <f t="shared" si="130"/>
        <v/>
      </c>
      <c r="I225" s="266"/>
      <c r="J225" s="267"/>
      <c r="K225" s="267"/>
      <c r="L225" s="266"/>
      <c r="M225" s="147">
        <f t="shared" si="166"/>
        <v/>
      </c>
      <c r="N225" s="267"/>
      <c r="O225" s="147">
        <f t="shared" si="167"/>
        <v/>
      </c>
      <c r="P225" s="268">
        <f>IF(AY225=1,"XT"&amp;COUNTIFS($A$3:A225,A225,$AY$3:AY225,1),"")</f>
        <v/>
      </c>
      <c r="Q225" s="152">
        <f>IF(R225="","",IFERROR(SUBSTITUTE(Разбивка_по_щитам!P225,CHAR(10)," "),""))</f>
        <v/>
      </c>
      <c r="R225" s="153">
        <f>IF(OR(Разбивка_по_щитам!H225="",Разбивка_по_щитам!H225=0),"",Разбивка_по_щитам!H225)</f>
        <v/>
      </c>
      <c r="S225" s="154">
        <f>IF(R225="","",IFERROR(Разбивка_по_щитам!J225&amp;"",""))</f>
        <v/>
      </c>
      <c r="T225" s="155">
        <f>IF(R225="","",IFERROR(--Разбивка_по_щитам!L225,""))</f>
        <v/>
      </c>
      <c r="U225" s="155">
        <f>IF(R225="","",IFERROR(--Разбивка_по_щитам!K225,""))</f>
        <v/>
      </c>
      <c r="V225" s="138">
        <f>IF(R225="","",IFERROR(IF(Разбивка_по_щитам!M225=0,"",Разбивка_по_щитам!M225),""))</f>
        <v/>
      </c>
      <c r="W225" s="156">
        <f t="shared" si="131"/>
        <v/>
      </c>
      <c r="X225" s="157">
        <f t="shared" si="132"/>
        <v/>
      </c>
      <c r="Y225" s="266"/>
      <c r="Z225" s="158">
        <f t="shared" si="133"/>
        <v/>
      </c>
      <c r="AA225" s="160">
        <f t="shared" si="134"/>
        <v/>
      </c>
      <c r="AB225" s="160">
        <f>IF(R225="","",IFERROR(LOOKUP(INDEX(Справочная!$I$4:$I$19,MATCH(VLOOKUP(R225,Исходные_данные,22,FALSE),Справочная!$J$4:$J$19,0)+1),{6,10,16,20,25,32,40,50,63,80,100,125}),""))</f>
        <v/>
      </c>
      <c r="AC225" s="160">
        <f t="shared" si="135"/>
        <v/>
      </c>
      <c r="AD225" s="161">
        <f t="shared" si="136"/>
        <v/>
      </c>
      <c r="AE225" s="161">
        <f>IF(AND(R225="",G225=""),"",_xlfn.TEXTJOIN("; ",TRUE,IF(AND(R225&lt;&gt;"",V225=""),"нет фазы",""),IF(AND(R225&lt;&gt;"",N(T225)=0),"нет мощности",""),IF(AND(P225&lt;&gt;"",COUNTIFS($A$3:$A$1000,A225,$P$3:$P$1000,P225)&gt;1),"дубль клеммы "&amp;P225,""),IF(AND(W225&lt;&gt;"",W225&lt;&gt;"ok"),W225,""),IF(X225&lt;&gt;"",X225,""),IF(AND(ISNUMBER(SEARCH("(5х",Q225)),N(AK225)=1),"5 жил на 1 фазе",""),IF(AND(AL225="R",E225&lt;&gt;"",N(AS225)=0),"розетка без 30 мА",""),IF(IFERROR(_xlfn.NUMBERVALUE(MID(Q225,FIND("-",Q225,FIND("L=",Q225))+1,FIND("%",Q225)-FIND("-",Q225,FIND("L=",Q225))-1),","),0)&gt;4,"потери &gt; 4 %","")))</f>
      </c>
      <c r="AF225" s="129">
        <f>IF(E225&lt;&gt;"",COUNTIFS($A$3:A225,A225,$E$3:E225,"?*"),IF(OR(A225&lt;&gt;A224,Y225="вручную"),"",AF224))</f>
      </c>
      <c r="AG225" s="129">
        <f t="shared" si="137"/>
      </c>
      <c r="AH225" s="129">
        <f t="shared" si="138"/>
        <v/>
      </c>
      <c r="AI225" s="129">
        <f t="shared" si="139"/>
        <v/>
      </c>
      <c r="AJ225" s="129">
        <f t="shared" si="140"/>
        <v/>
      </c>
      <c r="AK225" s="129">
        <f t="shared" si="141"/>
        <v/>
      </c>
      <c r="AL225" s="129">
        <f t="shared" si="142"/>
        <v/>
      </c>
      <c r="AM225" s="129">
        <f t="shared" si="143"/>
      </c>
      <c r="AN225" s="129">
        <f t="shared" si="144"/>
      </c>
      <c r="AO225" s="129">
        <f t="shared" si="145"/>
        <v/>
      </c>
      <c r="AP225" s="129">
        <f t="shared" si="146"/>
        <v/>
      </c>
      <c r="AQ225" s="129">
        <f t="shared" si="147"/>
        <v/>
      </c>
      <c r="AR225" s="129">
        <f t="shared" si="148"/>
        <v/>
      </c>
      <c r="AS225" s="129">
        <f t="shared" si="149"/>
        <v/>
      </c>
      <c r="AT225" s="129">
        <f t="shared" si="150"/>
        <v/>
      </c>
      <c r="AU225" s="129">
        <f t="shared" si="151"/>
        <v/>
      </c>
      <c r="AV225" s="129">
        <f t="shared" si="152"/>
        <v/>
      </c>
      <c r="AW225" s="129">
        <f>IF(AV225="","",AV225&amp;"."&amp;COUNTIFS($A$3:A225,A225,$AV$3:AV225,AV225))</f>
        <v/>
      </c>
      <c r="AX225" s="129">
        <f t="shared" si="153"/>
        <v/>
      </c>
      <c r="AY225" s="129">
        <f>IF(N225="б/к",0,IF(OR(ISNUMBER(SEARCH("L=",Разбивка_по_щитам!P225)),N225="+",N225="="),1,0))</f>
      </c>
      <c r="AZ225" s="129">
        <f t="shared" si="154"/>
      </c>
      <c r="BA225" s="129">
        <f t="shared" si="155"/>
      </c>
      <c r="BB225" s="129">
        <f t="shared" si="156"/>
      </c>
      <c r="BD225" s="129">
        <f t="shared" si="157"/>
      </c>
      <c r="BE225" s="129">
        <f t="shared" si="158"/>
      </c>
      <c r="BF225" s="129">
        <f t="shared" si="159"/>
      </c>
      <c r="BG225" s="129">
        <f t="shared" si="160"/>
        <v/>
      </c>
      <c r="BH225" s="129">
        <f t="shared" si="161"/>
        <v/>
      </c>
      <c r="BI225" s="129">
        <f t="shared" si="162"/>
        <v/>
      </c>
      <c r="BJ225" s="129">
        <f t="shared" si="163"/>
        <v/>
      </c>
      <c r="BK225" s="129">
        <f>IF(R225="","",IF(OR(BY225="",BY225=0),"BOX",IFERROR(IF(VLOOKUP(BY225,УГО_блоки,3,FALSE)&amp;""&lt;&gt;"",VLOOKUP(BY225,УГО_блоки,3,FALSE),VLOOKUP(BY225,УГО_блоки,2,FALSE)),BY225)))</f>
      </c>
      <c r="BL225" s="129">
        <f t="shared" si="165"/>
      </c>
      <c r="BM225" s="129">
        <f>IF(H225="","",IF(COUNTIF($H$3:H225,H225)=1,MAX($BM$2:BM224)+1,""))</f>
      </c>
      <c r="BN225" s="129">
        <f>IF(I225="","",IF(COUNTIF($I$3:I225,I225)+COUNTIF($J$2:J224,I225)+COUNTIF($K$2:K224,I225)=1,MAX($BN$2:BP224)+1,""))</f>
      </c>
      <c r="BO225" s="129">
        <f>IF(J225="","",IF(COUNTIF($I$3:I225,J225)+COUNTIF($J$3:J225,J225)+COUNTIF($K$2:K224,J225)=1,MAX($BN$2:BP224,BN225)+1,""))</f>
      </c>
      <c r="BP225" s="129">
        <f>IF(K225="","",IF(COUNTIF($I$3:I225,K225)+COUNTIF($J$3:J225,K225)+COUNTIF($K$3:K225,K225)=1,MAX($BN$2:BP224,BN225,BO225)+1,""))</f>
      </c>
      <c r="BQ225" s="129">
        <f>IF(AY225=1,IFERROR(MID(Q225,FIND(" (",Q225)+2,FIND(")",Q225,FIND(" (",Q225))-FIND(" (",Q225)-2),"?"),"")</f>
      </c>
      <c r="BR225" s="129">
        <f>IF(BQ225="","",IF(COUNTIF($BQ$3:BQ225,BQ225)=1,MAX($BR$2:BR224)+1,""))</f>
      </c>
      <c r="BS225" s="129">
        <f>IF(AW225="","",COUNTIF($AW$3:AW225,"?*"))</f>
      </c>
      <c r="BT225" s="129">
        <f>IF(OR(AW225="",AI225=""),"",IF(COUNTIFS($AW$3:AW225,"?*",$AI$3:AI225,AI225)=1,MAX($BT$2:BT224)+1,""))</f>
      </c>
      <c r="BU225" s="129">
        <f>IF(AE225="",0,IF(OR(ISNUMBER(SEARCH("дубль",AE225)),ISNUMBER(SEARCH("ПЕРЕГРУЗ",AE225)),ISNUMBER(SEARCH("ЗАЩИЩ",AE225)),ISNUMBER(SEARCH("КАНАЛ",AE225)),ISNUMBER(SEARCH("без 30",AE225))),2,1))</f>
      </c>
      <c r="BV225" s="129">
        <f>IF(R225="","",COUNTIF($R$3:R225,"?*"))</f>
      </c>
      <c r="BW225" s="129">
        <f>IF(AY225&lt;&gt;1,0,IF(MAX(IFERROR(--VLOOKUP(R225,УГО_спр,5,FALSE),0),IFERROR(--VLOOKUP(AL225,УГО_спр,5,FALSE),0),IFERROR(--VLOOKUP(LEFT(AL225,2),УГО_спр,5,FALSE),0))&gt;0,MAX(IFERROR(--VLOOKUP(R225,УГО_спр,5,FALSE),0),IFERROR(--VLOOKUP(AL225,УГО_спр,5,FALSE),0),IFERROR(--VLOOKUP(LEFT(AL225,2),УГО_спр,5,FALSE),0)),IF(IFERROR(--LEFT(SUBSTITUTE(BQ225,"x","х"),FIND("х",SUBSTITUTE(BQ225,"x","х"))-1),3)&gt;3,Каталог!$S$9,1)))</f>
      </c>
      <c r="BX225" s="129">
        <f>IF(AY225&lt;&gt;1,0,MAX(0,IFERROR(--LEFT(SUBSTITUTE(BQ225,"x","х"),FIND("х",SUBSTITUTE(BQ225,"x","х"))-1),3)-3*BW225))</f>
      </c>
      <c r="BY225" s="129">
        <f>IF(R225="","",IFERROR(VLOOKUP(R225,УГО_спр,2,FALSE),IFERROR(VLOOKUP(AL225,УГО_спр,2,FALSE),IFERROR(VLOOKUP(LEFT(AL225,2),УГО_спр,2,FALSE),""))))</f>
      </c>
    </row>
    <row r="226" spans="1:64" x14ac:dyDescent="0.3">
      <c r="A226" s="135">
        <f>IF(Разбивка_по_щитам!F226=0,"",Разбивка_по_щитам!F226)</f>
      </c>
      <c r="B226" s="138">
        <f>IF(A226="","",Разбивка_по_щитам!C226)</f>
      </c>
      <c r="C226" s="138">
        <f t="shared" si="128"/>
      </c>
      <c r="D226" s="266"/>
      <c r="E226" s="266"/>
      <c r="F226" s="267"/>
      <c r="G226" s="145">
        <f t="shared" si="129"/>
        <v/>
      </c>
      <c r="H226" s="145">
        <f t="shared" si="130"/>
        <v/>
      </c>
      <c r="I226" s="266"/>
      <c r="J226" s="267"/>
      <c r="K226" s="267"/>
      <c r="L226" s="266"/>
      <c r="M226" s="147">
        <f t="shared" ref="M226:M258" si="168">IF(OR(O226&lt;&gt;"",AND(L226&lt;&gt;"",L226&lt;&gt;"-")),AH226,"")</f>
        <v/>
      </c>
      <c r="N226" s="267"/>
      <c r="O226" s="147">
        <f t="shared" ref="O226:O258" si="169">IF(N226="=",AX225,IF(ISNUMBER(N226),N226,IF(AH226="","",IF(OR(R226&lt;&gt;"",N226="+",N226="р"),IF(OR(AW226&lt;&gt;"",AX225=""),1,AX225+1),""))))</f>
        <v/>
      </c>
      <c r="P226" s="268">
        <f>IF(AY226=1,"XT"&amp;COUNTIFS($A$3:A226,A226,$AY$3:AY226,1),"")</f>
        <v/>
      </c>
      <c r="Q226" s="152">
        <f>IF(R226="","",IFERROR(SUBSTITUTE(Разбивка_по_щитам!P226,CHAR(10)," "),""))</f>
        <v/>
      </c>
      <c r="R226" s="153">
        <f>IF(OR(Разбивка_по_щитам!H226="",Разбивка_по_щитам!H226=0),"",Разбивка_по_щитам!H226)</f>
        <v/>
      </c>
      <c r="S226" s="154">
        <f>IF(R226="","",IFERROR(Разбивка_по_щитам!J226&amp;"",""))</f>
        <v/>
      </c>
      <c r="T226" s="155">
        <f>IF(R226="","",IFERROR(--Разбивка_по_щитам!L226,""))</f>
        <v/>
      </c>
      <c r="U226" s="155">
        <f>IF(R226="","",IFERROR(--Разбивка_по_щитам!K226,""))</f>
        <v/>
      </c>
      <c r="V226" s="138">
        <f>IF(R226="","",IFERROR(IF(Разбивка_по_щитам!M226=0,"",Разбивка_по_щитам!M226),""))</f>
        <v/>
      </c>
      <c r="W226" s="156">
        <f t="shared" si="131"/>
        <v/>
      </c>
      <c r="X226" s="157">
        <f t="shared" si="132"/>
        <v/>
      </c>
      <c r="Y226" s="266"/>
      <c r="Z226" s="158">
        <f t="shared" si="133"/>
        <v/>
      </c>
      <c r="AA226" s="160">
        <f t="shared" si="134"/>
        <v/>
      </c>
      <c r="AB226" s="160">
        <f>IF(R226="","",IFERROR(LOOKUP(INDEX(Справочная!$I$4:$I$19,MATCH(VLOOKUP(R226,Исходные_данные,22,FALSE),Справочная!$J$4:$J$19,0)+1),{6,10,16,20,25,32,40,50,63,80,100,125}),""))</f>
        <v/>
      </c>
      <c r="AC226" s="160">
        <f t="shared" si="135"/>
        <v/>
      </c>
      <c r="AD226" s="161">
        <f t="shared" si="136"/>
        <v/>
      </c>
      <c r="AE226" s="161">
        <f>IF(AND(R226="",G226=""),"",_xlfn.TEXTJOIN("; ",TRUE,IF(AND(R226&lt;&gt;"",V226=""),"нет фазы",""),IF(AND(R226&lt;&gt;"",N(T226)=0),"нет мощности",""),IF(AND(P226&lt;&gt;"",COUNTIFS($A$3:$A$1000,A226,$P$3:$P$1000,P226)&gt;1),"дубль клеммы "&amp;P226,""),IF(AND(W226&lt;&gt;"",W226&lt;&gt;"ok"),W226,""),IF(X226&lt;&gt;"",X226,""),IF(AND(ISNUMBER(SEARCH("(5х",Q226)),N(AK226)=1),"5 жил на 1 фазе",""),IF(AND(AL226="R",E226&lt;&gt;"",N(AS226)=0),"розетка без 30 мА",""),IF(IFERROR(_xlfn.NUMBERVALUE(MID(Q226,FIND("-",Q226,FIND("L=",Q226))+1,FIND("%",Q226)-FIND("-",Q226,FIND("L=",Q226))-1),","),0)&gt;4,"потери &gt; 4 %","")))</f>
      </c>
      <c r="AF226" s="129">
        <f>IF(E226&lt;&gt;"",COUNTIFS($A$3:A226,A226,$E$3:E226,"?*"),IF(OR(A226&lt;&gt;A225,Y226="вручную"),"",AF225))</f>
      </c>
      <c r="AG226" s="129">
        <f t="shared" si="137"/>
      </c>
      <c r="AH226" s="129">
        <f t="shared" si="138"/>
        <v/>
      </c>
      <c r="AI226" s="129">
        <f t="shared" si="139"/>
        <v/>
      </c>
      <c r="AJ226" s="129">
        <f t="shared" si="140"/>
        <v/>
      </c>
      <c r="AK226" s="129">
        <f t="shared" si="141"/>
        <v/>
      </c>
      <c r="AL226" s="129">
        <f t="shared" si="142"/>
        <v/>
      </c>
      <c r="AM226" s="129">
        <f t="shared" si="143"/>
      </c>
      <c r="AN226" s="129">
        <f t="shared" si="144"/>
      </c>
      <c r="AO226" s="129">
        <f t="shared" si="145"/>
        <v/>
      </c>
      <c r="AP226" s="129">
        <f t="shared" si="146"/>
        <v/>
      </c>
      <c r="AQ226" s="129">
        <f t="shared" si="147"/>
        <v/>
      </c>
      <c r="AR226" s="129">
        <f t="shared" si="148"/>
        <v/>
      </c>
      <c r="AS226" s="129">
        <f t="shared" si="149"/>
        <v/>
      </c>
      <c r="AT226" s="129">
        <f t="shared" si="150"/>
        <v/>
      </c>
      <c r="AU226" s="129">
        <f t="shared" si="151"/>
        <v/>
      </c>
      <c r="AV226" s="129">
        <f t="shared" si="152"/>
        <v/>
      </c>
      <c r="AW226" s="129">
        <f>IF(AV226="","",AV226&amp;"."&amp;COUNTIFS($A$3:A226,A226,$AV$3:AV226,AV226))</f>
        <v/>
      </c>
      <c r="AX226" s="129">
        <f t="shared" si="153"/>
        <v/>
      </c>
      <c r="AY226" s="129">
        <f>IF(N226="б/к",0,IF(OR(ISNUMBER(SEARCH("L=",Разбивка_по_щитам!P226)),N226="+",N226="="),1,0))</f>
      </c>
      <c r="AZ226" s="129">
        <f t="shared" si="154"/>
      </c>
      <c r="BA226" s="129">
        <f t="shared" si="155"/>
      </c>
      <c r="BB226" s="129">
        <f t="shared" si="156"/>
      </c>
      <c r="BD226" s="129">
        <f t="shared" si="157"/>
      </c>
      <c r="BE226" s="129">
        <f t="shared" si="158"/>
      </c>
      <c r="BF226" s="129">
        <f t="shared" si="159"/>
      </c>
      <c r="BG226" s="129">
        <f t="shared" si="160"/>
        <v/>
      </c>
      <c r="BH226" s="129">
        <f t="shared" si="161"/>
        <v/>
      </c>
      <c r="BI226" s="129">
        <f t="shared" si="162"/>
        <v/>
      </c>
      <c r="BJ226" s="129">
        <f t="shared" si="163"/>
        <v/>
      </c>
      <c r="BK226" s="129">
        <f>IF(R226="","",IF(OR(BY226="",BY226=0),"BOX",IFERROR(IF(VLOOKUP(BY226,УГО_блоки,3,FALSE)&amp;""&lt;&gt;"",VLOOKUP(BY226,УГО_блоки,3,FALSE),VLOOKUP(BY226,УГО_блоки,2,FALSE)),BY226)))</f>
      </c>
      <c r="BL226" s="129">
        <f t="shared" si="165"/>
      </c>
      <c r="BM226" s="129">
        <f>IF(H226="","",IF(COUNTIF($H$3:H226,H226)=1,MAX($BM$2:BM225)+1,""))</f>
      </c>
      <c r="BN226" s="129">
        <f>IF(I226="","",IF(COUNTIF($I$3:I226,I226)+COUNTIF($J$2:J225,I226)+COUNTIF($K$2:K225,I226)=1,MAX($BN$2:BP225)+1,""))</f>
      </c>
      <c r="BO226" s="129">
        <f>IF(J226="","",IF(COUNTIF($I$3:I226,J226)+COUNTIF($J$3:J226,J226)+COUNTIF($K$2:K225,J226)=1,MAX($BN$2:BP225,BN226)+1,""))</f>
      </c>
      <c r="BP226" s="129">
        <f>IF(K226="","",IF(COUNTIF($I$3:I226,K226)+COUNTIF($J$3:J226,K226)+COUNTIF($K$3:K226,K226)=1,MAX($BN$2:BP225,BN226,BO226)+1,""))</f>
      </c>
      <c r="BQ226" s="129">
        <f>IF(AY226=1,IFERROR(MID(Q226,FIND(" (",Q226)+2,FIND(")",Q226,FIND(" (",Q226))-FIND(" (",Q226)-2),"?"),"")</f>
      </c>
      <c r="BR226" s="129">
        <f>IF(BQ226="","",IF(COUNTIF($BQ$3:BQ226,BQ226)=1,MAX($BR$2:BR225)+1,""))</f>
      </c>
      <c r="BS226" s="129">
        <f>IF(AW226="","",COUNTIF($AW$3:AW226,"?*"))</f>
      </c>
      <c r="BT226" s="129">
        <f>IF(OR(AW226="",AI226=""),"",IF(COUNTIFS($AW$3:AW226,"?*",$AI$3:AI226,AI226)=1,MAX($BT$2:BT225)+1,""))</f>
      </c>
      <c r="BU226" s="129">
        <f>IF(AE226="",0,IF(OR(ISNUMBER(SEARCH("дубль",AE226)),ISNUMBER(SEARCH("ПЕРЕГРУЗ",AE226)),ISNUMBER(SEARCH("ЗАЩИЩ",AE226)),ISNUMBER(SEARCH("КАНАЛ",AE226)),ISNUMBER(SEARCH("без 30",AE226))),2,1))</f>
      </c>
      <c r="BV226" s="129">
        <f>IF(R226="","",COUNTIF($R$3:R226,"?*"))</f>
      </c>
      <c r="BW226" s="129">
        <f>IF(AY226&lt;&gt;1,0,IF(MAX(IFERROR(--VLOOKUP(R226,УГО_спр,5,FALSE),0),IFERROR(--VLOOKUP(AL226,УГО_спр,5,FALSE),0),IFERROR(--VLOOKUP(LEFT(AL226,2),УГО_спр,5,FALSE),0))&gt;0,MAX(IFERROR(--VLOOKUP(R226,УГО_спр,5,FALSE),0),IFERROR(--VLOOKUP(AL226,УГО_спр,5,FALSE),0),IFERROR(--VLOOKUP(LEFT(AL226,2),УГО_спр,5,FALSE),0)),IF(IFERROR(--LEFT(SUBSTITUTE(BQ226,"x","х"),FIND("х",SUBSTITUTE(BQ226,"x","х"))-1),3)&gt;3,Каталог!$S$9,1)))</f>
      </c>
      <c r="BX226" s="129">
        <f>IF(AY226&lt;&gt;1,0,MAX(0,IFERROR(--LEFT(SUBSTITUTE(BQ226,"x","х"),FIND("х",SUBSTITUTE(BQ226,"x","х"))-1),3)-3*BW226))</f>
      </c>
      <c r="BY226" s="129">
        <f>IF(R226="","",IFERROR(VLOOKUP(R226,УГО_спр,2,FALSE),IFERROR(VLOOKUP(AL226,УГО_спр,2,FALSE),IFERROR(VLOOKUP(LEFT(AL226,2),УГО_спр,2,FALSE),""))))</f>
      </c>
    </row>
    <row r="227" spans="1:64" x14ac:dyDescent="0.3">
      <c r="A227" s="135">
        <f>IF(Разбивка_по_щитам!F227=0,"",Разбивка_по_щитам!F227)</f>
      </c>
      <c r="B227" s="138">
        <f>IF(A227="","",Разбивка_по_щитам!C227)</f>
      </c>
      <c r="C227" s="138">
        <f t="shared" si="128"/>
      </c>
      <c r="D227" s="266"/>
      <c r="E227" s="266"/>
      <c r="F227" s="267"/>
      <c r="G227" s="145">
        <f t="shared" si="129"/>
        <v/>
      </c>
      <c r="H227" s="145">
        <f t="shared" si="130"/>
        <v/>
      </c>
      <c r="I227" s="266"/>
      <c r="J227" s="267"/>
      <c r="K227" s="267"/>
      <c r="L227" s="266"/>
      <c r="M227" s="147">
        <f t="shared" si="168"/>
        <v/>
      </c>
      <c r="N227" s="267"/>
      <c r="O227" s="147">
        <f t="shared" si="169"/>
        <v/>
      </c>
      <c r="P227" s="268">
        <f>IF(AY227=1,"XT"&amp;COUNTIFS($A$3:A227,A227,$AY$3:AY227,1),"")</f>
        <v/>
      </c>
      <c r="Q227" s="152">
        <f>IF(R227="","",IFERROR(SUBSTITUTE(Разбивка_по_щитам!P227,CHAR(10)," "),""))</f>
        <v/>
      </c>
      <c r="R227" s="153">
        <f>IF(OR(Разбивка_по_щитам!H227="",Разбивка_по_щитам!H227=0),"",Разбивка_по_щитам!H227)</f>
        <v/>
      </c>
      <c r="S227" s="154">
        <f>IF(R227="","",IFERROR(Разбивка_по_щитам!J227&amp;"",""))</f>
        <v/>
      </c>
      <c r="T227" s="155">
        <f>IF(R227="","",IFERROR(--Разбивка_по_щитам!L227,""))</f>
        <v/>
      </c>
      <c r="U227" s="155">
        <f>IF(R227="","",IFERROR(--Разбивка_по_щитам!K227,""))</f>
        <v/>
      </c>
      <c r="V227" s="138">
        <f>IF(R227="","",IFERROR(IF(Разбивка_по_щитам!M227=0,"",Разбивка_по_щитам!M227),""))</f>
        <v/>
      </c>
      <c r="W227" s="156">
        <f t="shared" si="131"/>
        <v/>
      </c>
      <c r="X227" s="157">
        <f t="shared" si="132"/>
        <v/>
      </c>
      <c r="Y227" s="266"/>
      <c r="Z227" s="158">
        <f t="shared" si="133"/>
        <v/>
      </c>
      <c r="AA227" s="160">
        <f t="shared" si="134"/>
        <v/>
      </c>
      <c r="AB227" s="160">
        <f>IF(R227="","",IFERROR(LOOKUP(INDEX(Справочная!$I$4:$I$19,MATCH(VLOOKUP(R227,Исходные_данные,22,FALSE),Справочная!$J$4:$J$19,0)+1),{6,10,16,20,25,32,40,50,63,80,100,125}),""))</f>
        <v/>
      </c>
      <c r="AC227" s="160">
        <f t="shared" si="135"/>
        <v/>
      </c>
      <c r="AD227" s="161">
        <f t="shared" si="136"/>
        <v/>
      </c>
      <c r="AE227" s="161">
        <f>IF(AND(R227="",G227=""),"",_xlfn.TEXTJOIN("; ",TRUE,IF(AND(R227&lt;&gt;"",V227=""),"нет фазы",""),IF(AND(R227&lt;&gt;"",N(T227)=0),"нет мощности",""),IF(AND(P227&lt;&gt;"",COUNTIFS($A$3:$A$1000,A227,$P$3:$P$1000,P227)&gt;1),"дубль клеммы "&amp;P227,""),IF(AND(W227&lt;&gt;"",W227&lt;&gt;"ok"),W227,""),IF(X227&lt;&gt;"",X227,""),IF(AND(ISNUMBER(SEARCH("(5х",Q227)),N(AK227)=1),"5 жил на 1 фазе",""),IF(AND(AL227="R",E227&lt;&gt;"",N(AS227)=0),"розетка без 30 мА",""),IF(IFERROR(_xlfn.NUMBERVALUE(MID(Q227,FIND("-",Q227,FIND("L=",Q227))+1,FIND("%",Q227)-FIND("-",Q227,FIND("L=",Q227))-1),","),0)&gt;4,"потери &gt; 4 %","")))</f>
      </c>
      <c r="AF227" s="129">
        <f>IF(E227&lt;&gt;"",COUNTIFS($A$3:A227,A227,$E$3:E227,"?*"),IF(OR(A227&lt;&gt;A226,Y227="вручную"),"",AF226))</f>
      </c>
      <c r="AG227" s="129">
        <f t="shared" si="137"/>
      </c>
      <c r="AH227" s="129">
        <f t="shared" si="138"/>
        <v/>
      </c>
      <c r="AI227" s="129">
        <f t="shared" si="139"/>
        <v/>
      </c>
      <c r="AJ227" s="129">
        <f t="shared" si="140"/>
        <v/>
      </c>
      <c r="AK227" s="129">
        <f t="shared" si="141"/>
        <v/>
      </c>
      <c r="AL227" s="129">
        <f t="shared" si="142"/>
        <v/>
      </c>
      <c r="AM227" s="129">
        <f t="shared" si="143"/>
      </c>
      <c r="AN227" s="129">
        <f t="shared" si="144"/>
      </c>
      <c r="AO227" s="129">
        <f t="shared" si="145"/>
        <v/>
      </c>
      <c r="AP227" s="129">
        <f t="shared" si="146"/>
        <v/>
      </c>
      <c r="AQ227" s="129">
        <f t="shared" si="147"/>
        <v/>
      </c>
      <c r="AR227" s="129">
        <f t="shared" si="148"/>
        <v/>
      </c>
      <c r="AS227" s="129">
        <f t="shared" si="149"/>
        <v/>
      </c>
      <c r="AT227" s="129">
        <f t="shared" si="150"/>
        <v/>
      </c>
      <c r="AU227" s="129">
        <f t="shared" si="151"/>
        <v/>
      </c>
      <c r="AV227" s="129">
        <f t="shared" si="152"/>
        <v/>
      </c>
      <c r="AW227" s="129">
        <f>IF(AV227="","",AV227&amp;"."&amp;COUNTIFS($A$3:A227,A227,$AV$3:AV227,AV227))</f>
        <v/>
      </c>
      <c r="AX227" s="129">
        <f t="shared" si="153"/>
        <v/>
      </c>
      <c r="AY227" s="129">
        <f>IF(N227="б/к",0,IF(OR(ISNUMBER(SEARCH("L=",Разбивка_по_щитам!P227)),N227="+",N227="="),1,0))</f>
      </c>
      <c r="AZ227" s="129">
        <f t="shared" si="154"/>
      </c>
      <c r="BA227" s="129">
        <f t="shared" si="155"/>
      </c>
      <c r="BB227" s="129">
        <f t="shared" si="156"/>
      </c>
      <c r="BD227" s="129">
        <f t="shared" si="157"/>
      </c>
      <c r="BE227" s="129">
        <f t="shared" si="158"/>
      </c>
      <c r="BF227" s="129">
        <f t="shared" si="159"/>
      </c>
      <c r="BG227" s="129">
        <f t="shared" si="160"/>
        <v/>
      </c>
      <c r="BH227" s="129">
        <f t="shared" si="161"/>
        <v/>
      </c>
      <c r="BI227" s="129">
        <f t="shared" si="162"/>
        <v/>
      </c>
      <c r="BJ227" s="129">
        <f t="shared" si="163"/>
        <v/>
      </c>
      <c r="BK227" s="129">
        <f>IF(R227="","",IF(OR(BY227="",BY227=0),"BOX",IFERROR(IF(VLOOKUP(BY227,УГО_блоки,3,FALSE)&amp;""&lt;&gt;"",VLOOKUP(BY227,УГО_блоки,3,FALSE),VLOOKUP(BY227,УГО_блоки,2,FALSE)),BY227)))</f>
      </c>
      <c r="BL227" s="129">
        <f t="shared" si="165"/>
      </c>
      <c r="BM227" s="129">
        <f>IF(H227="","",IF(COUNTIF($H$3:H227,H227)=1,MAX($BM$2:BM226)+1,""))</f>
      </c>
      <c r="BN227" s="129">
        <f>IF(I227="","",IF(COUNTIF($I$3:I227,I227)+COUNTIF($J$2:J226,I227)+COUNTIF($K$2:K226,I227)=1,MAX($BN$2:BP226)+1,""))</f>
      </c>
      <c r="BO227" s="129">
        <f>IF(J227="","",IF(COUNTIF($I$3:I227,J227)+COUNTIF($J$3:J227,J227)+COUNTIF($K$2:K226,J227)=1,MAX($BN$2:BP226,BN227)+1,""))</f>
      </c>
      <c r="BP227" s="129">
        <f>IF(K227="","",IF(COUNTIF($I$3:I227,K227)+COUNTIF($J$3:J227,K227)+COUNTIF($K$3:K227,K227)=1,MAX($BN$2:BP226,BN227,BO227)+1,""))</f>
      </c>
      <c r="BQ227" s="129">
        <f>IF(AY227=1,IFERROR(MID(Q227,FIND(" (",Q227)+2,FIND(")",Q227,FIND(" (",Q227))-FIND(" (",Q227)-2),"?"),"")</f>
      </c>
      <c r="BR227" s="129">
        <f>IF(BQ227="","",IF(COUNTIF($BQ$3:BQ227,BQ227)=1,MAX($BR$2:BR226)+1,""))</f>
      </c>
      <c r="BS227" s="129">
        <f>IF(AW227="","",COUNTIF($AW$3:AW227,"?*"))</f>
      </c>
      <c r="BT227" s="129">
        <f>IF(OR(AW227="",AI227=""),"",IF(COUNTIFS($AW$3:AW227,"?*",$AI$3:AI227,AI227)=1,MAX($BT$2:BT226)+1,""))</f>
      </c>
      <c r="BU227" s="129">
        <f>IF(AE227="",0,IF(OR(ISNUMBER(SEARCH("дубль",AE227)),ISNUMBER(SEARCH("ПЕРЕГРУЗ",AE227)),ISNUMBER(SEARCH("ЗАЩИЩ",AE227)),ISNUMBER(SEARCH("КАНАЛ",AE227)),ISNUMBER(SEARCH("без 30",AE227))),2,1))</f>
      </c>
      <c r="BV227" s="129">
        <f>IF(R227="","",COUNTIF($R$3:R227,"?*"))</f>
      </c>
      <c r="BW227" s="129">
        <f>IF(AY227&lt;&gt;1,0,IF(MAX(IFERROR(--VLOOKUP(R227,УГО_спр,5,FALSE),0),IFERROR(--VLOOKUP(AL227,УГО_спр,5,FALSE),0),IFERROR(--VLOOKUP(LEFT(AL227,2),УГО_спр,5,FALSE),0))&gt;0,MAX(IFERROR(--VLOOKUP(R227,УГО_спр,5,FALSE),0),IFERROR(--VLOOKUP(AL227,УГО_спр,5,FALSE),0),IFERROR(--VLOOKUP(LEFT(AL227,2),УГО_спр,5,FALSE),0)),IF(IFERROR(--LEFT(SUBSTITUTE(BQ227,"x","х"),FIND("х",SUBSTITUTE(BQ227,"x","х"))-1),3)&gt;3,Каталог!$S$9,1)))</f>
      </c>
      <c r="BX227" s="129">
        <f>IF(AY227&lt;&gt;1,0,MAX(0,IFERROR(--LEFT(SUBSTITUTE(BQ227,"x","х"),FIND("х",SUBSTITUTE(BQ227,"x","х"))-1),3)-3*BW227))</f>
      </c>
      <c r="BY227" s="129">
        <f>IF(R227="","",IFERROR(VLOOKUP(R227,УГО_спр,2,FALSE),IFERROR(VLOOKUP(AL227,УГО_спр,2,FALSE),IFERROR(VLOOKUP(LEFT(AL227,2),УГО_спр,2,FALSE),""))))</f>
      </c>
    </row>
    <row r="228" spans="1:64" x14ac:dyDescent="0.3">
      <c r="A228" s="135">
        <f>IF(Разбивка_по_щитам!F228=0,"",Разбивка_по_щитам!F228)</f>
      </c>
      <c r="B228" s="138">
        <f>IF(A228="","",Разбивка_по_щитам!C228)</f>
      </c>
      <c r="C228" s="138">
        <f t="shared" si="128"/>
      </c>
      <c r="D228" s="266"/>
      <c r="E228" s="266"/>
      <c r="F228" s="267"/>
      <c r="G228" s="145">
        <f t="shared" si="129"/>
        <v/>
      </c>
      <c r="H228" s="145">
        <f t="shared" si="130"/>
        <v/>
      </c>
      <c r="I228" s="266"/>
      <c r="J228" s="267"/>
      <c r="K228" s="267"/>
      <c r="L228" s="266"/>
      <c r="M228" s="147">
        <f t="shared" si="168"/>
        <v/>
      </c>
      <c r="N228" s="267"/>
      <c r="O228" s="147">
        <f t="shared" si="169"/>
        <v/>
      </c>
      <c r="P228" s="268">
        <f>IF(AY228=1,"XT"&amp;COUNTIFS($A$3:A228,A228,$AY$3:AY228,1),"")</f>
        <v/>
      </c>
      <c r="Q228" s="152">
        <f>IF(R228="","",IFERROR(SUBSTITUTE(Разбивка_по_щитам!P228,CHAR(10)," "),""))</f>
        <v/>
      </c>
      <c r="R228" s="153">
        <f>IF(OR(Разбивка_по_щитам!H228="",Разбивка_по_щитам!H228=0),"",Разбивка_по_щитам!H228)</f>
        <v/>
      </c>
      <c r="S228" s="154">
        <f>IF(R228="","",IFERROR(Разбивка_по_щитам!J228&amp;"",""))</f>
        <v/>
      </c>
      <c r="T228" s="155">
        <f>IF(R228="","",IFERROR(--Разбивка_по_щитам!L228,""))</f>
        <v/>
      </c>
      <c r="U228" s="155">
        <f>IF(R228="","",IFERROR(--Разбивка_по_щитам!K228,""))</f>
        <v/>
      </c>
      <c r="V228" s="138">
        <f>IF(R228="","",IFERROR(IF(Разбивка_по_щитам!M228=0,"",Разбивка_по_щитам!M228),""))</f>
        <v/>
      </c>
      <c r="W228" s="156">
        <f t="shared" si="131"/>
        <v/>
      </c>
      <c r="X228" s="157">
        <f t="shared" si="132"/>
        <v/>
      </c>
      <c r="Y228" s="266"/>
      <c r="Z228" s="158">
        <f t="shared" si="133"/>
        <v/>
      </c>
      <c r="AA228" s="160">
        <f t="shared" si="134"/>
        <v/>
      </c>
      <c r="AB228" s="160">
        <f>IF(R228="","",IFERROR(LOOKUP(INDEX(Справочная!$I$4:$I$19,MATCH(VLOOKUP(R228,Исходные_данные,22,FALSE),Справочная!$J$4:$J$19,0)+1),{6,10,16,20,25,32,40,50,63,80,100,125}),""))</f>
        <v/>
      </c>
      <c r="AC228" s="160">
        <f t="shared" si="135"/>
        <v/>
      </c>
      <c r="AD228" s="161">
        <f t="shared" si="136"/>
        <v/>
      </c>
      <c r="AE228" s="161">
        <f>IF(AND(R228="",G228=""),"",_xlfn.TEXTJOIN("; ",TRUE,IF(AND(R228&lt;&gt;"",V228=""),"нет фазы",""),IF(AND(R228&lt;&gt;"",N(T228)=0),"нет мощности",""),IF(AND(P228&lt;&gt;"",COUNTIFS($A$3:$A$1000,A228,$P$3:$P$1000,P228)&gt;1),"дубль клеммы "&amp;P228,""),IF(AND(W228&lt;&gt;"",W228&lt;&gt;"ok"),W228,""),IF(X228&lt;&gt;"",X228,""),IF(AND(ISNUMBER(SEARCH("(5х",Q228)),N(AK228)=1),"5 жил на 1 фазе",""),IF(AND(AL228="R",E228&lt;&gt;"",N(AS228)=0),"розетка без 30 мА",""),IF(IFERROR(_xlfn.NUMBERVALUE(MID(Q228,FIND("-",Q228,FIND("L=",Q228))+1,FIND("%",Q228)-FIND("-",Q228,FIND("L=",Q228))-1),","),0)&gt;4,"потери &gt; 4 %","")))</f>
      </c>
      <c r="AF228" s="129">
        <f>IF(E228&lt;&gt;"",COUNTIFS($A$3:A228,A228,$E$3:E228,"?*"),IF(OR(A228&lt;&gt;A227,Y228="вручную"),"",AF227))</f>
      </c>
      <c r="AG228" s="129">
        <f t="shared" si="137"/>
      </c>
      <c r="AH228" s="129">
        <f t="shared" si="138"/>
        <v/>
      </c>
      <c r="AI228" s="129">
        <f t="shared" si="139"/>
        <v/>
      </c>
      <c r="AJ228" s="129">
        <f t="shared" si="140"/>
        <v/>
      </c>
      <c r="AK228" s="129">
        <f t="shared" si="141"/>
        <v/>
      </c>
      <c r="AL228" s="129">
        <f t="shared" si="142"/>
        <v/>
      </c>
      <c r="AM228" s="129">
        <f t="shared" si="143"/>
      </c>
      <c r="AN228" s="129">
        <f t="shared" si="144"/>
      </c>
      <c r="AO228" s="129">
        <f t="shared" si="145"/>
        <v/>
      </c>
      <c r="AP228" s="129">
        <f t="shared" si="146"/>
        <v/>
      </c>
      <c r="AQ228" s="129">
        <f t="shared" si="147"/>
        <v/>
      </c>
      <c r="AR228" s="129">
        <f t="shared" si="148"/>
        <v/>
      </c>
      <c r="AS228" s="129">
        <f t="shared" si="149"/>
        <v/>
      </c>
      <c r="AT228" s="129">
        <f t="shared" si="150"/>
        <v/>
      </c>
      <c r="AU228" s="129">
        <f t="shared" si="151"/>
        <v/>
      </c>
      <c r="AV228" s="129">
        <f t="shared" si="152"/>
        <v/>
      </c>
      <c r="AW228" s="129">
        <f>IF(AV228="","",AV228&amp;"."&amp;COUNTIFS($A$3:A228,A228,$AV$3:AV228,AV228))</f>
        <v/>
      </c>
      <c r="AX228" s="129">
        <f t="shared" si="153"/>
        <v/>
      </c>
      <c r="AY228" s="129">
        <f>IF(N228="б/к",0,IF(OR(ISNUMBER(SEARCH("L=",Разбивка_по_щитам!P228)),N228="+",N228="="),1,0))</f>
      </c>
      <c r="AZ228" s="129">
        <f t="shared" si="154"/>
      </c>
      <c r="BA228" s="129">
        <f t="shared" si="155"/>
      </c>
      <c r="BB228" s="129">
        <f t="shared" si="156"/>
      </c>
      <c r="BD228" s="129">
        <f t="shared" si="157"/>
      </c>
      <c r="BE228" s="129">
        <f t="shared" si="158"/>
      </c>
      <c r="BF228" s="129">
        <f t="shared" si="159"/>
      </c>
      <c r="BG228" s="129">
        <f t="shared" si="160"/>
        <v/>
      </c>
      <c r="BH228" s="129">
        <f t="shared" si="161"/>
        <v/>
      </c>
      <c r="BI228" s="129">
        <f t="shared" si="162"/>
        <v/>
      </c>
      <c r="BJ228" s="129">
        <f t="shared" si="163"/>
        <v/>
      </c>
      <c r="BK228" s="129">
        <f>IF(R228="","",IF(OR(BY228="",BY228=0),"BOX",IFERROR(IF(VLOOKUP(BY228,УГО_блоки,3,FALSE)&amp;""&lt;&gt;"",VLOOKUP(BY228,УГО_блоки,3,FALSE),VLOOKUP(BY228,УГО_блоки,2,FALSE)),BY228)))</f>
      </c>
      <c r="BL228" s="129">
        <f t="shared" si="165"/>
      </c>
      <c r="BM228" s="129">
        <f>IF(H228="","",IF(COUNTIF($H$3:H228,H228)=1,MAX($BM$2:BM227)+1,""))</f>
      </c>
      <c r="BN228" s="129">
        <f>IF(I228="","",IF(COUNTIF($I$3:I228,I228)+COUNTIF($J$2:J227,I228)+COUNTIF($K$2:K227,I228)=1,MAX($BN$2:BP227)+1,""))</f>
      </c>
      <c r="BO228" s="129">
        <f>IF(J228="","",IF(COUNTIF($I$3:I228,J228)+COUNTIF($J$3:J228,J228)+COUNTIF($K$2:K227,J228)=1,MAX($BN$2:BP227,BN228)+1,""))</f>
      </c>
      <c r="BP228" s="129">
        <f>IF(K228="","",IF(COUNTIF($I$3:I228,K228)+COUNTIF($J$3:J228,K228)+COUNTIF($K$3:K228,K228)=1,MAX($BN$2:BP227,BN228,BO228)+1,""))</f>
      </c>
      <c r="BQ228" s="129">
        <f>IF(AY228=1,IFERROR(MID(Q228,FIND(" (",Q228)+2,FIND(")",Q228,FIND(" (",Q228))-FIND(" (",Q228)-2),"?"),"")</f>
      </c>
      <c r="BR228" s="129">
        <f>IF(BQ228="","",IF(COUNTIF($BQ$3:BQ228,BQ228)=1,MAX($BR$2:BR227)+1,""))</f>
      </c>
      <c r="BS228" s="129">
        <f>IF(AW228="","",COUNTIF($AW$3:AW228,"?*"))</f>
      </c>
      <c r="BT228" s="129">
        <f>IF(OR(AW228="",AI228=""),"",IF(COUNTIFS($AW$3:AW228,"?*",$AI$3:AI228,AI228)=1,MAX($BT$2:BT227)+1,""))</f>
      </c>
      <c r="BU228" s="129">
        <f>IF(AE228="",0,IF(OR(ISNUMBER(SEARCH("дубль",AE228)),ISNUMBER(SEARCH("ПЕРЕГРУЗ",AE228)),ISNUMBER(SEARCH("ЗАЩИЩ",AE228)),ISNUMBER(SEARCH("КАНАЛ",AE228)),ISNUMBER(SEARCH("без 30",AE228))),2,1))</f>
      </c>
      <c r="BV228" s="129">
        <f>IF(R228="","",COUNTIF($R$3:R228,"?*"))</f>
      </c>
      <c r="BW228" s="129">
        <f>IF(AY228&lt;&gt;1,0,IF(MAX(IFERROR(--VLOOKUP(R228,УГО_спр,5,FALSE),0),IFERROR(--VLOOKUP(AL228,УГО_спр,5,FALSE),0),IFERROR(--VLOOKUP(LEFT(AL228,2),УГО_спр,5,FALSE),0))&gt;0,MAX(IFERROR(--VLOOKUP(R228,УГО_спр,5,FALSE),0),IFERROR(--VLOOKUP(AL228,УГО_спр,5,FALSE),0),IFERROR(--VLOOKUP(LEFT(AL228,2),УГО_спр,5,FALSE),0)),IF(IFERROR(--LEFT(SUBSTITUTE(BQ228,"x","х"),FIND("х",SUBSTITUTE(BQ228,"x","х"))-1),3)&gt;3,Каталог!$S$9,1)))</f>
      </c>
      <c r="BX228" s="129">
        <f>IF(AY228&lt;&gt;1,0,MAX(0,IFERROR(--LEFT(SUBSTITUTE(BQ228,"x","х"),FIND("х",SUBSTITUTE(BQ228,"x","х"))-1),3)-3*BW228))</f>
      </c>
      <c r="BY228" s="129">
        <f>IF(R228="","",IFERROR(VLOOKUP(R228,УГО_спр,2,FALSE),IFERROR(VLOOKUP(AL228,УГО_спр,2,FALSE),IFERROR(VLOOKUP(LEFT(AL228,2),УГО_спр,2,FALSE),""))))</f>
      </c>
    </row>
    <row r="229" spans="1:64" x14ac:dyDescent="0.3">
      <c r="A229" s="135">
        <f>IF(Разбивка_по_щитам!F229=0,"",Разбивка_по_щитам!F229)</f>
      </c>
      <c r="B229" s="138">
        <f>IF(A229="","",Разбивка_по_щитам!C229)</f>
      </c>
      <c r="C229" s="138">
        <f t="shared" si="128"/>
      </c>
      <c r="D229" s="266"/>
      <c r="E229" s="266"/>
      <c r="F229" s="267"/>
      <c r="G229" s="145">
        <f t="shared" si="129"/>
        <v/>
      </c>
      <c r="H229" s="145">
        <f t="shared" si="130"/>
        <v/>
      </c>
      <c r="I229" s="266"/>
      <c r="J229" s="267"/>
      <c r="K229" s="267"/>
      <c r="L229" s="266"/>
      <c r="M229" s="147">
        <f t="shared" si="168"/>
        <v/>
      </c>
      <c r="N229" s="267"/>
      <c r="O229" s="147">
        <f t="shared" si="169"/>
        <v/>
      </c>
      <c r="P229" s="268">
        <f>IF(AY229=1,"XT"&amp;COUNTIFS($A$3:A229,A229,$AY$3:AY229,1),"")</f>
        <v/>
      </c>
      <c r="Q229" s="152">
        <f>IF(R229="","",IFERROR(SUBSTITUTE(Разбивка_по_щитам!P229,CHAR(10)," "),""))</f>
        <v/>
      </c>
      <c r="R229" s="153">
        <f>IF(OR(Разбивка_по_щитам!H229="",Разбивка_по_щитам!H229=0),"",Разбивка_по_щитам!H229)</f>
        <v/>
      </c>
      <c r="S229" s="154">
        <f>IF(R229="","",IFERROR(Разбивка_по_щитам!J229&amp;"",""))</f>
        <v/>
      </c>
      <c r="T229" s="155">
        <f>IF(R229="","",IFERROR(--Разбивка_по_щитам!L229,""))</f>
        <v/>
      </c>
      <c r="U229" s="155">
        <f>IF(R229="","",IFERROR(--Разбивка_по_щитам!K229,""))</f>
        <v/>
      </c>
      <c r="V229" s="138">
        <f>IF(R229="","",IFERROR(IF(Разбивка_по_щитам!M229=0,"",Разбивка_по_щитам!M229),""))</f>
        <v/>
      </c>
      <c r="W229" s="156">
        <f t="shared" si="131"/>
        <v/>
      </c>
      <c r="X229" s="157">
        <f t="shared" si="132"/>
        <v/>
      </c>
      <c r="Y229" s="266"/>
      <c r="Z229" s="158">
        <f t="shared" si="133"/>
        <v/>
      </c>
      <c r="AA229" s="160">
        <f t="shared" si="134"/>
        <v/>
      </c>
      <c r="AB229" s="160">
        <f>IF(R229="","",IFERROR(LOOKUP(INDEX(Справочная!$I$4:$I$19,MATCH(VLOOKUP(R229,Исходные_данные,22,FALSE),Справочная!$J$4:$J$19,0)+1),{6,10,16,20,25,32,40,50,63,80,100,125}),""))</f>
        <v/>
      </c>
      <c r="AC229" s="160">
        <f t="shared" si="135"/>
        <v/>
      </c>
      <c r="AD229" s="161">
        <f t="shared" si="136"/>
        <v/>
      </c>
      <c r="AE229" s="161">
        <f>IF(AND(R229="",G229=""),"",_xlfn.TEXTJOIN("; ",TRUE,IF(AND(R229&lt;&gt;"",V229=""),"нет фазы",""),IF(AND(R229&lt;&gt;"",N(T229)=0),"нет мощности",""),IF(AND(P229&lt;&gt;"",COUNTIFS($A$3:$A$1000,A229,$P$3:$P$1000,P229)&gt;1),"дубль клеммы "&amp;P229,""),IF(AND(W229&lt;&gt;"",W229&lt;&gt;"ok"),W229,""),IF(X229&lt;&gt;"",X229,""),IF(AND(ISNUMBER(SEARCH("(5х",Q229)),N(AK229)=1),"5 жил на 1 фазе",""),IF(AND(AL229="R",E229&lt;&gt;"",N(AS229)=0),"розетка без 30 мА",""),IF(IFERROR(_xlfn.NUMBERVALUE(MID(Q229,FIND("-",Q229,FIND("L=",Q229))+1,FIND("%",Q229)-FIND("-",Q229,FIND("L=",Q229))-1),","),0)&gt;4,"потери &gt; 4 %","")))</f>
      </c>
      <c r="AF229" s="129">
        <f>IF(E229&lt;&gt;"",COUNTIFS($A$3:A229,A229,$E$3:E229,"?*"),IF(OR(A229&lt;&gt;A228,Y229="вручную"),"",AF228))</f>
      </c>
      <c r="AG229" s="129">
        <f t="shared" si="137"/>
      </c>
      <c r="AH229" s="129">
        <f t="shared" si="138"/>
        <v/>
      </c>
      <c r="AI229" s="129">
        <f t="shared" si="139"/>
        <v/>
      </c>
      <c r="AJ229" s="129">
        <f t="shared" si="140"/>
        <v/>
      </c>
      <c r="AK229" s="129">
        <f t="shared" si="141"/>
        <v/>
      </c>
      <c r="AL229" s="129">
        <f t="shared" si="142"/>
        <v/>
      </c>
      <c r="AM229" s="129">
        <f t="shared" si="143"/>
      </c>
      <c r="AN229" s="129">
        <f t="shared" si="144"/>
      </c>
      <c r="AO229" s="129">
        <f t="shared" si="145"/>
        <v/>
      </c>
      <c r="AP229" s="129">
        <f t="shared" si="146"/>
        <v/>
      </c>
      <c r="AQ229" s="129">
        <f t="shared" si="147"/>
        <v/>
      </c>
      <c r="AR229" s="129">
        <f t="shared" si="148"/>
        <v/>
      </c>
      <c r="AS229" s="129">
        <f t="shared" si="149"/>
        <v/>
      </c>
      <c r="AT229" s="129">
        <f t="shared" si="150"/>
        <v/>
      </c>
      <c r="AU229" s="129">
        <f t="shared" si="151"/>
        <v/>
      </c>
      <c r="AV229" s="129">
        <f t="shared" si="152"/>
        <v/>
      </c>
      <c r="AW229" s="129">
        <f>IF(AV229="","",AV229&amp;"."&amp;COUNTIFS($A$3:A229,A229,$AV$3:AV229,AV229))</f>
        <v/>
      </c>
      <c r="AX229" s="129">
        <f t="shared" si="153"/>
        <v/>
      </c>
      <c r="AY229" s="129">
        <f>IF(N229="б/к",0,IF(OR(ISNUMBER(SEARCH("L=",Разбивка_по_щитам!P229)),N229="+",N229="="),1,0))</f>
      </c>
      <c r="AZ229" s="129">
        <f t="shared" si="154"/>
      </c>
      <c r="BA229" s="129">
        <f t="shared" si="155"/>
      </c>
      <c r="BB229" s="129">
        <f t="shared" si="156"/>
      </c>
      <c r="BD229" s="129">
        <f t="shared" si="157"/>
      </c>
      <c r="BE229" s="129">
        <f t="shared" si="158"/>
      </c>
      <c r="BF229" s="129">
        <f t="shared" si="159"/>
      </c>
      <c r="BG229" s="129">
        <f t="shared" si="160"/>
        <v/>
      </c>
      <c r="BH229" s="129">
        <f t="shared" si="161"/>
        <v/>
      </c>
      <c r="BI229" s="129">
        <f t="shared" si="162"/>
        <v/>
      </c>
      <c r="BJ229" s="129">
        <f t="shared" si="163"/>
        <v/>
      </c>
      <c r="BK229" s="129">
        <f>IF(R229="","",IF(OR(BY229="",BY229=0),"BOX",IFERROR(IF(VLOOKUP(BY229,УГО_блоки,3,FALSE)&amp;""&lt;&gt;"",VLOOKUP(BY229,УГО_блоки,3,FALSE),VLOOKUP(BY229,УГО_блоки,2,FALSE)),BY229)))</f>
      </c>
      <c r="BL229" s="129">
        <f t="shared" si="165"/>
      </c>
      <c r="BM229" s="129">
        <f>IF(H229="","",IF(COUNTIF($H$3:H229,H229)=1,MAX($BM$2:BM228)+1,""))</f>
      </c>
      <c r="BN229" s="129">
        <f>IF(I229="","",IF(COUNTIF($I$3:I229,I229)+COUNTIF($J$2:J228,I229)+COUNTIF($K$2:K228,I229)=1,MAX($BN$2:BP228)+1,""))</f>
      </c>
      <c r="BO229" s="129">
        <f>IF(J229="","",IF(COUNTIF($I$3:I229,J229)+COUNTIF($J$3:J229,J229)+COUNTIF($K$2:K228,J229)=1,MAX($BN$2:BP228,BN229)+1,""))</f>
      </c>
      <c r="BP229" s="129">
        <f>IF(K229="","",IF(COUNTIF($I$3:I229,K229)+COUNTIF($J$3:J229,K229)+COUNTIF($K$3:K229,K229)=1,MAX($BN$2:BP228,BN229,BO229)+1,""))</f>
      </c>
      <c r="BQ229" s="129">
        <f>IF(AY229=1,IFERROR(MID(Q229,FIND(" (",Q229)+2,FIND(")",Q229,FIND(" (",Q229))-FIND(" (",Q229)-2),"?"),"")</f>
      </c>
      <c r="BR229" s="129">
        <f>IF(BQ229="","",IF(COUNTIF($BQ$3:BQ229,BQ229)=1,MAX($BR$2:BR228)+1,""))</f>
      </c>
      <c r="BS229" s="129">
        <f>IF(AW229="","",COUNTIF($AW$3:AW229,"?*"))</f>
      </c>
      <c r="BT229" s="129">
        <f>IF(OR(AW229="",AI229=""),"",IF(COUNTIFS($AW$3:AW229,"?*",$AI$3:AI229,AI229)=1,MAX($BT$2:BT228)+1,""))</f>
      </c>
      <c r="BU229" s="129">
        <f>IF(AE229="",0,IF(OR(ISNUMBER(SEARCH("дубль",AE229)),ISNUMBER(SEARCH("ПЕРЕГРУЗ",AE229)),ISNUMBER(SEARCH("ЗАЩИЩ",AE229)),ISNUMBER(SEARCH("КАНАЛ",AE229)),ISNUMBER(SEARCH("без 30",AE229))),2,1))</f>
      </c>
      <c r="BV229" s="129">
        <f>IF(R229="","",COUNTIF($R$3:R229,"?*"))</f>
      </c>
      <c r="BW229" s="129">
        <f>IF(AY229&lt;&gt;1,0,IF(MAX(IFERROR(--VLOOKUP(R229,УГО_спр,5,FALSE),0),IFERROR(--VLOOKUP(AL229,УГО_спр,5,FALSE),0),IFERROR(--VLOOKUP(LEFT(AL229,2),УГО_спр,5,FALSE),0))&gt;0,MAX(IFERROR(--VLOOKUP(R229,УГО_спр,5,FALSE),0),IFERROR(--VLOOKUP(AL229,УГО_спр,5,FALSE),0),IFERROR(--VLOOKUP(LEFT(AL229,2),УГО_спр,5,FALSE),0)),IF(IFERROR(--LEFT(SUBSTITUTE(BQ229,"x","х"),FIND("х",SUBSTITUTE(BQ229,"x","х"))-1),3)&gt;3,Каталог!$S$9,1)))</f>
      </c>
      <c r="BX229" s="129">
        <f>IF(AY229&lt;&gt;1,0,MAX(0,IFERROR(--LEFT(SUBSTITUTE(BQ229,"x","х"),FIND("х",SUBSTITUTE(BQ229,"x","х"))-1),3)-3*BW229))</f>
      </c>
      <c r="BY229" s="129">
        <f>IF(R229="","",IFERROR(VLOOKUP(R229,УГО_спр,2,FALSE),IFERROR(VLOOKUP(AL229,УГО_спр,2,FALSE),IFERROR(VLOOKUP(LEFT(AL229,2),УГО_спр,2,FALSE),""))))</f>
      </c>
    </row>
    <row r="230" spans="1:64" x14ac:dyDescent="0.3">
      <c r="A230" s="135">
        <f>IF(Разбивка_по_щитам!F230=0,"",Разбивка_по_щитам!F230)</f>
      </c>
      <c r="B230" s="138">
        <f>IF(A230="","",Разбивка_по_щитам!C230)</f>
      </c>
      <c r="C230" s="138">
        <f t="shared" si="128"/>
      </c>
      <c r="D230" s="266"/>
      <c r="E230" s="266"/>
      <c r="F230" s="267"/>
      <c r="G230" s="145">
        <f t="shared" si="129"/>
        <v/>
      </c>
      <c r="H230" s="145">
        <f t="shared" si="130"/>
        <v/>
      </c>
      <c r="I230" s="266"/>
      <c r="J230" s="267"/>
      <c r="K230" s="267"/>
      <c r="L230" s="266"/>
      <c r="M230" s="147">
        <f t="shared" si="168"/>
        <v/>
      </c>
      <c r="N230" s="267"/>
      <c r="O230" s="147">
        <f t="shared" si="169"/>
        <v/>
      </c>
      <c r="P230" s="268">
        <f>IF(AY230=1,"XT"&amp;COUNTIFS($A$3:A230,A230,$AY$3:AY230,1),"")</f>
        <v/>
      </c>
      <c r="Q230" s="152">
        <f>IF(R230="","",IFERROR(SUBSTITUTE(Разбивка_по_щитам!P230,CHAR(10)," "),""))</f>
        <v/>
      </c>
      <c r="R230" s="153">
        <f>IF(OR(Разбивка_по_щитам!H230="",Разбивка_по_щитам!H230=0),"",Разбивка_по_щитам!H230)</f>
        <v/>
      </c>
      <c r="S230" s="154">
        <f>IF(R230="","",IFERROR(Разбивка_по_щитам!J230&amp;"",""))</f>
        <v/>
      </c>
      <c r="T230" s="155">
        <f>IF(R230="","",IFERROR(--Разбивка_по_щитам!L230,""))</f>
        <v/>
      </c>
      <c r="U230" s="155">
        <f>IF(R230="","",IFERROR(--Разбивка_по_щитам!K230,""))</f>
        <v/>
      </c>
      <c r="V230" s="138">
        <f>IF(R230="","",IFERROR(IF(Разбивка_по_щитам!M230=0,"",Разбивка_по_щитам!M230),""))</f>
        <v/>
      </c>
      <c r="W230" s="156">
        <f t="shared" si="131"/>
        <v/>
      </c>
      <c r="X230" s="157">
        <f t="shared" si="132"/>
        <v/>
      </c>
      <c r="Y230" s="266"/>
      <c r="Z230" s="158">
        <f t="shared" si="133"/>
        <v/>
      </c>
      <c r="AA230" s="160">
        <f t="shared" si="134"/>
        <v/>
      </c>
      <c r="AB230" s="160">
        <f>IF(R230="","",IFERROR(LOOKUP(INDEX(Справочная!$I$4:$I$19,MATCH(VLOOKUP(R230,Исходные_данные,22,FALSE),Справочная!$J$4:$J$19,0)+1),{6,10,16,20,25,32,40,50,63,80,100,125}),""))</f>
        <v/>
      </c>
      <c r="AC230" s="160">
        <f t="shared" si="135"/>
        <v/>
      </c>
      <c r="AD230" s="161">
        <f t="shared" si="136"/>
        <v/>
      </c>
      <c r="AE230" s="161">
        <f>IF(AND(R230="",G230=""),"",_xlfn.TEXTJOIN("; ",TRUE,IF(AND(R230&lt;&gt;"",V230=""),"нет фазы",""),IF(AND(R230&lt;&gt;"",N(T230)=0),"нет мощности",""),IF(AND(P230&lt;&gt;"",COUNTIFS($A$3:$A$1000,A230,$P$3:$P$1000,P230)&gt;1),"дубль клеммы "&amp;P230,""),IF(AND(W230&lt;&gt;"",W230&lt;&gt;"ok"),W230,""),IF(X230&lt;&gt;"",X230,""),IF(AND(ISNUMBER(SEARCH("(5х",Q230)),N(AK230)=1),"5 жил на 1 фазе",""),IF(AND(AL230="R",E230&lt;&gt;"",N(AS230)=0),"розетка без 30 мА",""),IF(IFERROR(_xlfn.NUMBERVALUE(MID(Q230,FIND("-",Q230,FIND("L=",Q230))+1,FIND("%",Q230)-FIND("-",Q230,FIND("L=",Q230))-1),","),0)&gt;4,"потери &gt; 4 %","")))</f>
      </c>
      <c r="AF230" s="129">
        <f>IF(E230&lt;&gt;"",COUNTIFS($A$3:A230,A230,$E$3:E230,"?*"),IF(OR(A230&lt;&gt;A229,Y230="вручную"),"",AF229))</f>
      </c>
      <c r="AG230" s="129">
        <f t="shared" si="137"/>
      </c>
      <c r="AH230" s="129">
        <f t="shared" si="138"/>
        <v/>
      </c>
      <c r="AI230" s="129">
        <f t="shared" si="139"/>
        <v/>
      </c>
      <c r="AJ230" s="129">
        <f t="shared" si="140"/>
        <v/>
      </c>
      <c r="AK230" s="129">
        <f t="shared" si="141"/>
        <v/>
      </c>
      <c r="AL230" s="129">
        <f t="shared" si="142"/>
        <v/>
      </c>
      <c r="AM230" s="129">
        <f t="shared" si="143"/>
      </c>
      <c r="AN230" s="129">
        <f t="shared" si="144"/>
      </c>
      <c r="AO230" s="129">
        <f t="shared" si="145"/>
        <v/>
      </c>
      <c r="AP230" s="129">
        <f t="shared" si="146"/>
        <v/>
      </c>
      <c r="AQ230" s="129">
        <f t="shared" si="147"/>
        <v/>
      </c>
      <c r="AR230" s="129">
        <f t="shared" si="148"/>
        <v/>
      </c>
      <c r="AS230" s="129">
        <f t="shared" si="149"/>
        <v/>
      </c>
      <c r="AT230" s="129">
        <f t="shared" si="150"/>
        <v/>
      </c>
      <c r="AU230" s="129">
        <f t="shared" si="151"/>
        <v/>
      </c>
      <c r="AV230" s="129">
        <f t="shared" si="152"/>
        <v/>
      </c>
      <c r="AW230" s="129">
        <f>IF(AV230="","",AV230&amp;"."&amp;COUNTIFS($A$3:A230,A230,$AV$3:AV230,AV230))</f>
        <v/>
      </c>
      <c r="AX230" s="129">
        <f t="shared" si="153"/>
        <v/>
      </c>
      <c r="AY230" s="129">
        <f>IF(N230="б/к",0,IF(OR(ISNUMBER(SEARCH("L=",Разбивка_по_щитам!P230)),N230="+",N230="="),1,0))</f>
      </c>
      <c r="AZ230" s="129">
        <f t="shared" si="154"/>
      </c>
      <c r="BA230" s="129">
        <f t="shared" si="155"/>
      </c>
      <c r="BB230" s="129">
        <f t="shared" si="156"/>
      </c>
      <c r="BD230" s="129">
        <f t="shared" si="157"/>
      </c>
      <c r="BE230" s="129">
        <f t="shared" si="158"/>
      </c>
      <c r="BF230" s="129">
        <f t="shared" si="159"/>
      </c>
      <c r="BG230" s="129">
        <f t="shared" si="160"/>
        <v/>
      </c>
      <c r="BH230" s="129">
        <f t="shared" si="161"/>
        <v/>
      </c>
      <c r="BI230" s="129">
        <f t="shared" si="162"/>
        <v/>
      </c>
      <c r="BJ230" s="129">
        <f t="shared" si="163"/>
        <v/>
      </c>
      <c r="BK230" s="129">
        <f>IF(R230="","",IF(OR(BY230="",BY230=0),"BOX",IFERROR(IF(VLOOKUP(BY230,УГО_блоки,3,FALSE)&amp;""&lt;&gt;"",VLOOKUP(BY230,УГО_блоки,3,FALSE),VLOOKUP(BY230,УГО_блоки,2,FALSE)),BY230)))</f>
      </c>
      <c r="BL230" s="129">
        <f t="shared" si="165"/>
      </c>
      <c r="BM230" s="129">
        <f>IF(H230="","",IF(COUNTIF($H$3:H230,H230)=1,MAX($BM$2:BM229)+1,""))</f>
      </c>
      <c r="BN230" s="129">
        <f>IF(I230="","",IF(COUNTIF($I$3:I230,I230)+COUNTIF($J$2:J229,I230)+COUNTIF($K$2:K229,I230)=1,MAX($BN$2:BP229)+1,""))</f>
      </c>
      <c r="BO230" s="129">
        <f>IF(J230="","",IF(COUNTIF($I$3:I230,J230)+COUNTIF($J$3:J230,J230)+COUNTIF($K$2:K229,J230)=1,MAX($BN$2:BP229,BN230)+1,""))</f>
      </c>
      <c r="BP230" s="129">
        <f>IF(K230="","",IF(COUNTIF($I$3:I230,K230)+COUNTIF($J$3:J230,K230)+COUNTIF($K$3:K230,K230)=1,MAX($BN$2:BP229,BN230,BO230)+1,""))</f>
      </c>
      <c r="BQ230" s="129">
        <f>IF(AY230=1,IFERROR(MID(Q230,FIND(" (",Q230)+2,FIND(")",Q230,FIND(" (",Q230))-FIND(" (",Q230)-2),"?"),"")</f>
      </c>
      <c r="BR230" s="129">
        <f>IF(BQ230="","",IF(COUNTIF($BQ$3:BQ230,BQ230)=1,MAX($BR$2:BR229)+1,""))</f>
      </c>
      <c r="BS230" s="129">
        <f>IF(AW230="","",COUNTIF($AW$3:AW230,"?*"))</f>
      </c>
      <c r="BT230" s="129">
        <f>IF(OR(AW230="",AI230=""),"",IF(COUNTIFS($AW$3:AW230,"?*",$AI$3:AI230,AI230)=1,MAX($BT$2:BT229)+1,""))</f>
      </c>
      <c r="BU230" s="129">
        <f>IF(AE230="",0,IF(OR(ISNUMBER(SEARCH("дубль",AE230)),ISNUMBER(SEARCH("ПЕРЕГРУЗ",AE230)),ISNUMBER(SEARCH("ЗАЩИЩ",AE230)),ISNUMBER(SEARCH("КАНАЛ",AE230)),ISNUMBER(SEARCH("без 30",AE230))),2,1))</f>
      </c>
      <c r="BV230" s="129">
        <f>IF(R230="","",COUNTIF($R$3:R230,"?*"))</f>
      </c>
      <c r="BW230" s="129">
        <f>IF(AY230&lt;&gt;1,0,IF(MAX(IFERROR(--VLOOKUP(R230,УГО_спр,5,FALSE),0),IFERROR(--VLOOKUP(AL230,УГО_спр,5,FALSE),0),IFERROR(--VLOOKUP(LEFT(AL230,2),УГО_спр,5,FALSE),0))&gt;0,MAX(IFERROR(--VLOOKUP(R230,УГО_спр,5,FALSE),0),IFERROR(--VLOOKUP(AL230,УГО_спр,5,FALSE),0),IFERROR(--VLOOKUP(LEFT(AL230,2),УГО_спр,5,FALSE),0)),IF(IFERROR(--LEFT(SUBSTITUTE(BQ230,"x","х"),FIND("х",SUBSTITUTE(BQ230,"x","х"))-1),3)&gt;3,Каталог!$S$9,1)))</f>
      </c>
      <c r="BX230" s="129">
        <f>IF(AY230&lt;&gt;1,0,MAX(0,IFERROR(--LEFT(SUBSTITUTE(BQ230,"x","х"),FIND("х",SUBSTITUTE(BQ230,"x","х"))-1),3)-3*BW230))</f>
      </c>
      <c r="BY230" s="129">
        <f>IF(R230="","",IFERROR(VLOOKUP(R230,УГО_спр,2,FALSE),IFERROR(VLOOKUP(AL230,УГО_спр,2,FALSE),IFERROR(VLOOKUP(LEFT(AL230,2),УГО_спр,2,FALSE),""))))</f>
      </c>
    </row>
    <row r="231" spans="1:64" x14ac:dyDescent="0.3">
      <c r="A231" s="135">
        <f>IF(Разбивка_по_щитам!F231=0,"",Разбивка_по_щитам!F231)</f>
      </c>
      <c r="B231" s="138">
        <f>IF(A231="","",Разбивка_по_щитам!C231)</f>
      </c>
      <c r="C231" s="138">
        <f t="shared" si="128"/>
      </c>
      <c r="D231" s="266"/>
      <c r="E231" s="266"/>
      <c r="F231" s="267"/>
      <c r="G231" s="145">
        <f t="shared" si="129"/>
        <v/>
      </c>
      <c r="H231" s="145">
        <f t="shared" si="130"/>
        <v/>
      </c>
      <c r="I231" s="266"/>
      <c r="J231" s="267"/>
      <c r="K231" s="267"/>
      <c r="L231" s="266"/>
      <c r="M231" s="147">
        <f t="shared" si="168"/>
        <v/>
      </c>
      <c r="N231" s="267"/>
      <c r="O231" s="147">
        <f t="shared" si="169"/>
        <v/>
      </c>
      <c r="P231" s="268">
        <f>IF(AY231=1,"XT"&amp;COUNTIFS($A$3:A231,A231,$AY$3:AY231,1),"")</f>
        <v/>
      </c>
      <c r="Q231" s="152">
        <f>IF(R231="","",IFERROR(SUBSTITUTE(Разбивка_по_щитам!P231,CHAR(10)," "),""))</f>
        <v/>
      </c>
      <c r="R231" s="153">
        <f>IF(OR(Разбивка_по_щитам!H231="",Разбивка_по_щитам!H231=0),"",Разбивка_по_щитам!H231)</f>
        <v/>
      </c>
      <c r="S231" s="154">
        <f>IF(R231="","",IFERROR(Разбивка_по_щитам!J231&amp;"",""))</f>
        <v/>
      </c>
      <c r="T231" s="155">
        <f>IF(R231="","",IFERROR(--Разбивка_по_щитам!L231,""))</f>
        <v/>
      </c>
      <c r="U231" s="155">
        <f>IF(R231="","",IFERROR(--Разбивка_по_щитам!K231,""))</f>
        <v/>
      </c>
      <c r="V231" s="138">
        <f>IF(R231="","",IFERROR(IF(Разбивка_по_щитам!M231=0,"",Разбивка_по_щитам!M231),""))</f>
        <v/>
      </c>
      <c r="W231" s="156">
        <f t="shared" si="131"/>
        <v/>
      </c>
      <c r="X231" s="157">
        <f t="shared" si="132"/>
        <v/>
      </c>
      <c r="Y231" s="266"/>
      <c r="Z231" s="158">
        <f t="shared" si="133"/>
        <v/>
      </c>
      <c r="AA231" s="160">
        <f t="shared" si="134"/>
        <v/>
      </c>
      <c r="AB231" s="160">
        <f>IF(R231="","",IFERROR(LOOKUP(INDEX(Справочная!$I$4:$I$19,MATCH(VLOOKUP(R231,Исходные_данные,22,FALSE),Справочная!$J$4:$J$19,0)+1),{6,10,16,20,25,32,40,50,63,80,100,125}),""))</f>
        <v/>
      </c>
      <c r="AC231" s="160">
        <f t="shared" si="135"/>
        <v/>
      </c>
      <c r="AD231" s="161">
        <f t="shared" si="136"/>
        <v/>
      </c>
      <c r="AE231" s="161">
        <f>IF(AND(R231="",G231=""),"",_xlfn.TEXTJOIN("; ",TRUE,IF(AND(R231&lt;&gt;"",V231=""),"нет фазы",""),IF(AND(R231&lt;&gt;"",N(T231)=0),"нет мощности",""),IF(AND(P231&lt;&gt;"",COUNTIFS($A$3:$A$1000,A231,$P$3:$P$1000,P231)&gt;1),"дубль клеммы "&amp;P231,""),IF(AND(W231&lt;&gt;"",W231&lt;&gt;"ok"),W231,""),IF(X231&lt;&gt;"",X231,""),IF(AND(ISNUMBER(SEARCH("(5х",Q231)),N(AK231)=1),"5 жил на 1 фазе",""),IF(AND(AL231="R",E231&lt;&gt;"",N(AS231)=0),"розетка без 30 мА",""),IF(IFERROR(_xlfn.NUMBERVALUE(MID(Q231,FIND("-",Q231,FIND("L=",Q231))+1,FIND("%",Q231)-FIND("-",Q231,FIND("L=",Q231))-1),","),0)&gt;4,"потери &gt; 4 %","")))</f>
      </c>
      <c r="AF231" s="129">
        <f>IF(E231&lt;&gt;"",COUNTIFS($A$3:A231,A231,$E$3:E231,"?*"),IF(OR(A231&lt;&gt;A230,Y231="вручную"),"",AF230))</f>
      </c>
      <c r="AG231" s="129">
        <f t="shared" si="137"/>
      </c>
      <c r="AH231" s="129">
        <f t="shared" si="138"/>
        <v/>
      </c>
      <c r="AI231" s="129">
        <f t="shared" si="139"/>
        <v/>
      </c>
      <c r="AJ231" s="129">
        <f t="shared" si="140"/>
        <v/>
      </c>
      <c r="AK231" s="129">
        <f t="shared" si="141"/>
        <v/>
      </c>
      <c r="AL231" s="129">
        <f t="shared" si="142"/>
        <v/>
      </c>
      <c r="AM231" s="129">
        <f t="shared" si="143"/>
      </c>
      <c r="AN231" s="129">
        <f t="shared" si="144"/>
      </c>
      <c r="AO231" s="129">
        <f t="shared" si="145"/>
        <v/>
      </c>
      <c r="AP231" s="129">
        <f t="shared" si="146"/>
        <v/>
      </c>
      <c r="AQ231" s="129">
        <f t="shared" si="147"/>
        <v/>
      </c>
      <c r="AR231" s="129">
        <f t="shared" si="148"/>
        <v/>
      </c>
      <c r="AS231" s="129">
        <f t="shared" si="149"/>
        <v/>
      </c>
      <c r="AT231" s="129">
        <f t="shared" si="150"/>
        <v/>
      </c>
      <c r="AU231" s="129">
        <f t="shared" si="151"/>
        <v/>
      </c>
      <c r="AV231" s="129">
        <f t="shared" si="152"/>
        <v/>
      </c>
      <c r="AW231" s="129">
        <f>IF(AV231="","",AV231&amp;"."&amp;COUNTIFS($A$3:A231,A231,$AV$3:AV231,AV231))</f>
        <v/>
      </c>
      <c r="AX231" s="129">
        <f t="shared" si="153"/>
        <v/>
      </c>
      <c r="AY231" s="129">
        <f>IF(N231="б/к",0,IF(OR(ISNUMBER(SEARCH("L=",Разбивка_по_щитам!P231)),N231="+",N231="="),1,0))</f>
      </c>
      <c r="AZ231" s="129">
        <f t="shared" si="154"/>
      </c>
      <c r="BA231" s="129">
        <f t="shared" si="155"/>
      </c>
      <c r="BB231" s="129">
        <f t="shared" si="156"/>
      </c>
      <c r="BD231" s="129">
        <f t="shared" si="157"/>
      </c>
      <c r="BE231" s="129">
        <f t="shared" si="158"/>
      </c>
      <c r="BF231" s="129">
        <f t="shared" si="159"/>
      </c>
      <c r="BG231" s="129">
        <f t="shared" si="160"/>
        <v/>
      </c>
      <c r="BH231" s="129">
        <f t="shared" si="161"/>
        <v/>
      </c>
      <c r="BI231" s="129">
        <f t="shared" si="162"/>
        <v/>
      </c>
      <c r="BJ231" s="129">
        <f t="shared" si="163"/>
        <v/>
      </c>
      <c r="BK231" s="129">
        <f>IF(R231="","",IF(OR(BY231="",BY231=0),"BOX",IFERROR(IF(VLOOKUP(BY231,УГО_блоки,3,FALSE)&amp;""&lt;&gt;"",VLOOKUP(BY231,УГО_блоки,3,FALSE),VLOOKUP(BY231,УГО_блоки,2,FALSE)),BY231)))</f>
      </c>
      <c r="BL231" s="129">
        <f t="shared" si="165"/>
      </c>
      <c r="BM231" s="129">
        <f>IF(H231="","",IF(COUNTIF($H$3:H231,H231)=1,MAX($BM$2:BM230)+1,""))</f>
      </c>
      <c r="BN231" s="129">
        <f>IF(I231="","",IF(COUNTIF($I$3:I231,I231)+COUNTIF($J$2:J230,I231)+COUNTIF($K$2:K230,I231)=1,MAX($BN$2:BP230)+1,""))</f>
      </c>
      <c r="BO231" s="129">
        <f>IF(J231="","",IF(COUNTIF($I$3:I231,J231)+COUNTIF($J$3:J231,J231)+COUNTIF($K$2:K230,J231)=1,MAX($BN$2:BP230,BN231)+1,""))</f>
      </c>
      <c r="BP231" s="129">
        <f>IF(K231="","",IF(COUNTIF($I$3:I231,K231)+COUNTIF($J$3:J231,K231)+COUNTIF($K$3:K231,K231)=1,MAX($BN$2:BP230,BN231,BO231)+1,""))</f>
      </c>
      <c r="BQ231" s="129">
        <f>IF(AY231=1,IFERROR(MID(Q231,FIND(" (",Q231)+2,FIND(")",Q231,FIND(" (",Q231))-FIND(" (",Q231)-2),"?"),"")</f>
      </c>
      <c r="BR231" s="129">
        <f>IF(BQ231="","",IF(COUNTIF($BQ$3:BQ231,BQ231)=1,MAX($BR$2:BR230)+1,""))</f>
      </c>
      <c r="BS231" s="129">
        <f>IF(AW231="","",COUNTIF($AW$3:AW231,"?*"))</f>
      </c>
      <c r="BT231" s="129">
        <f>IF(OR(AW231="",AI231=""),"",IF(COUNTIFS($AW$3:AW231,"?*",$AI$3:AI231,AI231)=1,MAX($BT$2:BT230)+1,""))</f>
      </c>
      <c r="BU231" s="129">
        <f>IF(AE231="",0,IF(OR(ISNUMBER(SEARCH("дубль",AE231)),ISNUMBER(SEARCH("ПЕРЕГРУЗ",AE231)),ISNUMBER(SEARCH("ЗАЩИЩ",AE231)),ISNUMBER(SEARCH("КАНАЛ",AE231)),ISNUMBER(SEARCH("без 30",AE231))),2,1))</f>
      </c>
      <c r="BV231" s="129">
        <f>IF(R231="","",COUNTIF($R$3:R231,"?*"))</f>
      </c>
      <c r="BW231" s="129">
        <f>IF(AY231&lt;&gt;1,0,IF(MAX(IFERROR(--VLOOKUP(R231,УГО_спр,5,FALSE),0),IFERROR(--VLOOKUP(AL231,УГО_спр,5,FALSE),0),IFERROR(--VLOOKUP(LEFT(AL231,2),УГО_спр,5,FALSE),0))&gt;0,MAX(IFERROR(--VLOOKUP(R231,УГО_спр,5,FALSE),0),IFERROR(--VLOOKUP(AL231,УГО_спр,5,FALSE),0),IFERROR(--VLOOKUP(LEFT(AL231,2),УГО_спр,5,FALSE),0)),IF(IFERROR(--LEFT(SUBSTITUTE(BQ231,"x","х"),FIND("х",SUBSTITUTE(BQ231,"x","х"))-1),3)&gt;3,Каталог!$S$9,1)))</f>
      </c>
      <c r="BX231" s="129">
        <f>IF(AY231&lt;&gt;1,0,MAX(0,IFERROR(--LEFT(SUBSTITUTE(BQ231,"x","х"),FIND("х",SUBSTITUTE(BQ231,"x","х"))-1),3)-3*BW231))</f>
      </c>
      <c r="BY231" s="129">
        <f>IF(R231="","",IFERROR(VLOOKUP(R231,УГО_спр,2,FALSE),IFERROR(VLOOKUP(AL231,УГО_спр,2,FALSE),IFERROR(VLOOKUP(LEFT(AL231,2),УГО_спр,2,FALSE),""))))</f>
      </c>
    </row>
    <row r="232" spans="1:64" x14ac:dyDescent="0.3">
      <c r="A232" s="135">
        <f>IF(Разбивка_по_щитам!F232=0,"",Разбивка_по_щитам!F232)</f>
      </c>
      <c r="B232" s="138">
        <f>IF(A232="","",Разбивка_по_щитам!C232)</f>
      </c>
      <c r="C232" s="138">
        <f t="shared" si="128"/>
      </c>
      <c r="D232" s="266"/>
      <c r="E232" s="266"/>
      <c r="F232" s="267"/>
      <c r="G232" s="145">
        <f t="shared" si="129"/>
        <v/>
      </c>
      <c r="H232" s="145">
        <f t="shared" si="130"/>
        <v/>
      </c>
      <c r="I232" s="266"/>
      <c r="J232" s="267"/>
      <c r="K232" s="267"/>
      <c r="L232" s="266"/>
      <c r="M232" s="147">
        <f t="shared" si="168"/>
        <v/>
      </c>
      <c r="N232" s="267"/>
      <c r="O232" s="147">
        <f t="shared" si="169"/>
        <v/>
      </c>
      <c r="P232" s="268">
        <f>IF(AY232=1,"XT"&amp;COUNTIFS($A$3:A232,A232,$AY$3:AY232,1),"")</f>
        <v/>
      </c>
      <c r="Q232" s="152">
        <f>IF(R232="","",IFERROR(SUBSTITUTE(Разбивка_по_щитам!P232,CHAR(10)," "),""))</f>
        <v/>
      </c>
      <c r="R232" s="153">
        <f>IF(OR(Разбивка_по_щитам!H232="",Разбивка_по_щитам!H232=0),"",Разбивка_по_щитам!H232)</f>
        <v/>
      </c>
      <c r="S232" s="154">
        <f>IF(R232="","",IFERROR(Разбивка_по_щитам!J232&amp;"",""))</f>
        <v/>
      </c>
      <c r="T232" s="155">
        <f>IF(R232="","",IFERROR(--Разбивка_по_щитам!L232,""))</f>
        <v/>
      </c>
      <c r="U232" s="155">
        <f>IF(R232="","",IFERROR(--Разбивка_по_щитам!K232,""))</f>
        <v/>
      </c>
      <c r="V232" s="138">
        <f>IF(R232="","",IFERROR(IF(Разбивка_по_щитам!M232=0,"",Разбивка_по_щитам!M232),""))</f>
        <v/>
      </c>
      <c r="W232" s="156">
        <f t="shared" si="131"/>
        <v/>
      </c>
      <c r="X232" s="157">
        <f t="shared" si="132"/>
        <v/>
      </c>
      <c r="Y232" s="266"/>
      <c r="Z232" s="158">
        <f t="shared" si="133"/>
        <v/>
      </c>
      <c r="AA232" s="160">
        <f t="shared" si="134"/>
        <v/>
      </c>
      <c r="AB232" s="160">
        <f>IF(R232="","",IFERROR(LOOKUP(INDEX(Справочная!$I$4:$I$19,MATCH(VLOOKUP(R232,Исходные_данные,22,FALSE),Справочная!$J$4:$J$19,0)+1),{6,10,16,20,25,32,40,50,63,80,100,125}),""))</f>
        <v/>
      </c>
      <c r="AC232" s="160">
        <f t="shared" si="135"/>
        <v/>
      </c>
      <c r="AD232" s="161">
        <f t="shared" si="136"/>
        <v/>
      </c>
      <c r="AE232" s="161">
        <f>IF(AND(R232="",G232=""),"",_xlfn.TEXTJOIN("; ",TRUE,IF(AND(R232&lt;&gt;"",V232=""),"нет фазы",""),IF(AND(R232&lt;&gt;"",N(T232)=0),"нет мощности",""),IF(AND(P232&lt;&gt;"",COUNTIFS($A$3:$A$1000,A232,$P$3:$P$1000,P232)&gt;1),"дубль клеммы "&amp;P232,""),IF(AND(W232&lt;&gt;"",W232&lt;&gt;"ok"),W232,""),IF(X232&lt;&gt;"",X232,""),IF(AND(ISNUMBER(SEARCH("(5х",Q232)),N(AK232)=1),"5 жил на 1 фазе",""),IF(AND(AL232="R",E232&lt;&gt;"",N(AS232)=0),"розетка без 30 мА",""),IF(IFERROR(_xlfn.NUMBERVALUE(MID(Q232,FIND("-",Q232,FIND("L=",Q232))+1,FIND("%",Q232)-FIND("-",Q232,FIND("L=",Q232))-1),","),0)&gt;4,"потери &gt; 4 %","")))</f>
      </c>
      <c r="AF232" s="129">
        <f>IF(E232&lt;&gt;"",COUNTIFS($A$3:A232,A232,$E$3:E232,"?*"),IF(OR(A232&lt;&gt;A231,Y232="вручную"),"",AF231))</f>
      </c>
      <c r="AG232" s="129">
        <f t="shared" si="137"/>
      </c>
      <c r="AH232" s="129">
        <f t="shared" si="138"/>
        <v/>
      </c>
      <c r="AI232" s="129">
        <f t="shared" si="139"/>
        <v/>
      </c>
      <c r="AJ232" s="129">
        <f t="shared" si="140"/>
        <v/>
      </c>
      <c r="AK232" s="129">
        <f t="shared" si="141"/>
        <v/>
      </c>
      <c r="AL232" s="129">
        <f t="shared" si="142"/>
        <v/>
      </c>
      <c r="AM232" s="129">
        <f t="shared" si="143"/>
      </c>
      <c r="AN232" s="129">
        <f t="shared" si="144"/>
      </c>
      <c r="AO232" s="129">
        <f t="shared" si="145"/>
        <v/>
      </c>
      <c r="AP232" s="129">
        <f t="shared" si="146"/>
        <v/>
      </c>
      <c r="AQ232" s="129">
        <f t="shared" si="147"/>
        <v/>
      </c>
      <c r="AR232" s="129">
        <f t="shared" si="148"/>
        <v/>
      </c>
      <c r="AS232" s="129">
        <f t="shared" si="149"/>
        <v/>
      </c>
      <c r="AT232" s="129">
        <f t="shared" si="150"/>
        <v/>
      </c>
      <c r="AU232" s="129">
        <f t="shared" si="151"/>
        <v/>
      </c>
      <c r="AV232" s="129">
        <f t="shared" si="152"/>
        <v/>
      </c>
      <c r="AW232" s="129">
        <f>IF(AV232="","",AV232&amp;"."&amp;COUNTIFS($A$3:A232,A232,$AV$3:AV232,AV232))</f>
        <v/>
      </c>
      <c r="AX232" s="129">
        <f t="shared" si="153"/>
        <v/>
      </c>
      <c r="AY232" s="129">
        <f>IF(N232="б/к",0,IF(OR(ISNUMBER(SEARCH("L=",Разбивка_по_щитам!P232)),N232="+",N232="="),1,0))</f>
      </c>
      <c r="AZ232" s="129">
        <f t="shared" si="154"/>
      </c>
      <c r="BA232" s="129">
        <f t="shared" si="155"/>
      </c>
      <c r="BB232" s="129">
        <f t="shared" si="156"/>
      </c>
      <c r="BD232" s="129">
        <f t="shared" si="157"/>
      </c>
      <c r="BE232" s="129">
        <f t="shared" si="158"/>
      </c>
      <c r="BF232" s="129">
        <f t="shared" si="159"/>
      </c>
      <c r="BG232" s="129">
        <f t="shared" si="160"/>
        <v/>
      </c>
      <c r="BH232" s="129">
        <f t="shared" si="161"/>
        <v/>
      </c>
      <c r="BI232" s="129">
        <f t="shared" si="162"/>
        <v/>
      </c>
      <c r="BJ232" s="129">
        <f t="shared" si="163"/>
        <v/>
      </c>
      <c r="BK232" s="129">
        <f>IF(R232="","",IF(OR(BY232="",BY232=0),"BOX",IFERROR(IF(VLOOKUP(BY232,УГО_блоки,3,FALSE)&amp;""&lt;&gt;"",VLOOKUP(BY232,УГО_блоки,3,FALSE),VLOOKUP(BY232,УГО_блоки,2,FALSE)),BY232)))</f>
      </c>
      <c r="BL232" s="129">
        <f t="shared" si="165"/>
      </c>
      <c r="BM232" s="129">
        <f>IF(H232="","",IF(COUNTIF($H$3:H232,H232)=1,MAX($BM$2:BM231)+1,""))</f>
      </c>
      <c r="BN232" s="129">
        <f>IF(I232="","",IF(COUNTIF($I$3:I232,I232)+COUNTIF($J$2:J231,I232)+COUNTIF($K$2:K231,I232)=1,MAX($BN$2:BP231)+1,""))</f>
      </c>
      <c r="BO232" s="129">
        <f>IF(J232="","",IF(COUNTIF($I$3:I232,J232)+COUNTIF($J$3:J232,J232)+COUNTIF($K$2:K231,J232)=1,MAX($BN$2:BP231,BN232)+1,""))</f>
      </c>
      <c r="BP232" s="129">
        <f>IF(K232="","",IF(COUNTIF($I$3:I232,K232)+COUNTIF($J$3:J232,K232)+COUNTIF($K$3:K232,K232)=1,MAX($BN$2:BP231,BN232,BO232)+1,""))</f>
      </c>
      <c r="BQ232" s="129">
        <f>IF(AY232=1,IFERROR(MID(Q232,FIND(" (",Q232)+2,FIND(")",Q232,FIND(" (",Q232))-FIND(" (",Q232)-2),"?"),"")</f>
      </c>
      <c r="BR232" s="129">
        <f>IF(BQ232="","",IF(COUNTIF($BQ$3:BQ232,BQ232)=1,MAX($BR$2:BR231)+1,""))</f>
      </c>
      <c r="BS232" s="129">
        <f>IF(AW232="","",COUNTIF($AW$3:AW232,"?*"))</f>
      </c>
      <c r="BT232" s="129">
        <f>IF(OR(AW232="",AI232=""),"",IF(COUNTIFS($AW$3:AW232,"?*",$AI$3:AI232,AI232)=1,MAX($BT$2:BT231)+1,""))</f>
      </c>
      <c r="BU232" s="129">
        <f>IF(AE232="",0,IF(OR(ISNUMBER(SEARCH("дубль",AE232)),ISNUMBER(SEARCH("ПЕРЕГРУЗ",AE232)),ISNUMBER(SEARCH("ЗАЩИЩ",AE232)),ISNUMBER(SEARCH("КАНАЛ",AE232)),ISNUMBER(SEARCH("без 30",AE232))),2,1))</f>
      </c>
      <c r="BV232" s="129">
        <f>IF(R232="","",COUNTIF($R$3:R232,"?*"))</f>
      </c>
      <c r="BW232" s="129">
        <f>IF(AY232&lt;&gt;1,0,IF(MAX(IFERROR(--VLOOKUP(R232,УГО_спр,5,FALSE),0),IFERROR(--VLOOKUP(AL232,УГО_спр,5,FALSE),0),IFERROR(--VLOOKUP(LEFT(AL232,2),УГО_спр,5,FALSE),0))&gt;0,MAX(IFERROR(--VLOOKUP(R232,УГО_спр,5,FALSE),0),IFERROR(--VLOOKUP(AL232,УГО_спр,5,FALSE),0),IFERROR(--VLOOKUP(LEFT(AL232,2),УГО_спр,5,FALSE),0)),IF(IFERROR(--LEFT(SUBSTITUTE(BQ232,"x","х"),FIND("х",SUBSTITUTE(BQ232,"x","х"))-1),3)&gt;3,Каталог!$S$9,1)))</f>
      </c>
      <c r="BX232" s="129">
        <f>IF(AY232&lt;&gt;1,0,MAX(0,IFERROR(--LEFT(SUBSTITUTE(BQ232,"x","х"),FIND("х",SUBSTITUTE(BQ232,"x","х"))-1),3)-3*BW232))</f>
      </c>
      <c r="BY232" s="129">
        <f>IF(R232="","",IFERROR(VLOOKUP(R232,УГО_спр,2,FALSE),IFERROR(VLOOKUP(AL232,УГО_спр,2,FALSE),IFERROR(VLOOKUP(LEFT(AL232,2),УГО_спр,2,FALSE),""))))</f>
      </c>
    </row>
    <row r="233" spans="1:64" x14ac:dyDescent="0.3">
      <c r="A233" s="135">
        <f>IF(Разбивка_по_щитам!F233=0,"",Разбивка_по_щитам!F233)</f>
      </c>
      <c r="B233" s="138">
        <f>IF(A233="","",Разбивка_по_щитам!C233)</f>
      </c>
      <c r="C233" s="138">
        <f t="shared" si="128"/>
      </c>
      <c r="D233" s="266"/>
      <c r="E233" s="266"/>
      <c r="F233" s="267"/>
      <c r="G233" s="145">
        <f t="shared" si="129"/>
        <v/>
      </c>
      <c r="H233" s="145">
        <f t="shared" si="130"/>
        <v/>
      </c>
      <c r="I233" s="266"/>
      <c r="J233" s="267"/>
      <c r="K233" s="267"/>
      <c r="L233" s="266"/>
      <c r="M233" s="147">
        <f t="shared" si="168"/>
        <v/>
      </c>
      <c r="N233" s="267"/>
      <c r="O233" s="147">
        <f t="shared" si="169"/>
        <v/>
      </c>
      <c r="P233" s="268">
        <f>IF(AY233=1,"XT"&amp;COUNTIFS($A$3:A233,A233,$AY$3:AY233,1),"")</f>
        <v/>
      </c>
      <c r="Q233" s="152">
        <f>IF(R233="","",IFERROR(SUBSTITUTE(Разбивка_по_щитам!P233,CHAR(10)," "),""))</f>
        <v/>
      </c>
      <c r="R233" s="153">
        <f>IF(OR(Разбивка_по_щитам!H233="",Разбивка_по_щитам!H233=0),"",Разбивка_по_щитам!H233)</f>
        <v/>
      </c>
      <c r="S233" s="154">
        <f>IF(R233="","",IFERROR(Разбивка_по_щитам!J233&amp;"",""))</f>
        <v/>
      </c>
      <c r="T233" s="155">
        <f>IF(R233="","",IFERROR(--Разбивка_по_щитам!L233,""))</f>
        <v/>
      </c>
      <c r="U233" s="155">
        <f>IF(R233="","",IFERROR(--Разбивка_по_щитам!K233,""))</f>
        <v/>
      </c>
      <c r="V233" s="138">
        <f>IF(R233="","",IFERROR(IF(Разбивка_по_щитам!M233=0,"",Разбивка_по_щитам!M233),""))</f>
        <v/>
      </c>
      <c r="W233" s="156">
        <f t="shared" si="131"/>
        <v/>
      </c>
      <c r="X233" s="157">
        <f t="shared" si="132"/>
        <v/>
      </c>
      <c r="Y233" s="266"/>
      <c r="Z233" s="158">
        <f t="shared" si="133"/>
        <v/>
      </c>
      <c r="AA233" s="160">
        <f t="shared" si="134"/>
        <v/>
      </c>
      <c r="AB233" s="160">
        <f>IF(R233="","",IFERROR(LOOKUP(INDEX(Справочная!$I$4:$I$19,MATCH(VLOOKUP(R233,Исходные_данные,22,FALSE),Справочная!$J$4:$J$19,0)+1),{6,10,16,20,25,32,40,50,63,80,100,125}),""))</f>
        <v/>
      </c>
      <c r="AC233" s="160">
        <f t="shared" si="135"/>
        <v/>
      </c>
      <c r="AD233" s="161">
        <f t="shared" si="136"/>
        <v/>
      </c>
      <c r="AE233" s="161">
        <f>IF(AND(R233="",G233=""),"",_xlfn.TEXTJOIN("; ",TRUE,IF(AND(R233&lt;&gt;"",V233=""),"нет фазы",""),IF(AND(R233&lt;&gt;"",N(T233)=0),"нет мощности",""),IF(AND(P233&lt;&gt;"",COUNTIFS($A$3:$A$1000,A233,$P$3:$P$1000,P233)&gt;1),"дубль клеммы "&amp;P233,""),IF(AND(W233&lt;&gt;"",W233&lt;&gt;"ok"),W233,""),IF(X233&lt;&gt;"",X233,""),IF(AND(ISNUMBER(SEARCH("(5х",Q233)),N(AK233)=1),"5 жил на 1 фазе",""),IF(AND(AL233="R",E233&lt;&gt;"",N(AS233)=0),"розетка без 30 мА",""),IF(IFERROR(_xlfn.NUMBERVALUE(MID(Q233,FIND("-",Q233,FIND("L=",Q233))+1,FIND("%",Q233)-FIND("-",Q233,FIND("L=",Q233))-1),","),0)&gt;4,"потери &gt; 4 %","")))</f>
      </c>
      <c r="AF233" s="129">
        <f>IF(E233&lt;&gt;"",COUNTIFS($A$3:A233,A233,$E$3:E233,"?*"),IF(OR(A233&lt;&gt;A232,Y233="вручную"),"",AF232))</f>
      </c>
      <c r="AG233" s="129">
        <f t="shared" si="137"/>
      </c>
      <c r="AH233" s="129">
        <f t="shared" si="138"/>
        <v/>
      </c>
      <c r="AI233" s="129">
        <f t="shared" si="139"/>
        <v/>
      </c>
      <c r="AJ233" s="129">
        <f t="shared" si="140"/>
        <v/>
      </c>
      <c r="AK233" s="129">
        <f t="shared" si="141"/>
        <v/>
      </c>
      <c r="AL233" s="129">
        <f t="shared" si="142"/>
        <v/>
      </c>
      <c r="AM233" s="129">
        <f t="shared" si="143"/>
      </c>
      <c r="AN233" s="129">
        <f t="shared" si="144"/>
      </c>
      <c r="AO233" s="129">
        <f t="shared" si="145"/>
        <v/>
      </c>
      <c r="AP233" s="129">
        <f t="shared" si="146"/>
        <v/>
      </c>
      <c r="AQ233" s="129">
        <f t="shared" si="147"/>
        <v/>
      </c>
      <c r="AR233" s="129">
        <f t="shared" si="148"/>
        <v/>
      </c>
      <c r="AS233" s="129">
        <f t="shared" si="149"/>
        <v/>
      </c>
      <c r="AT233" s="129">
        <f t="shared" si="150"/>
        <v/>
      </c>
      <c r="AU233" s="129">
        <f t="shared" si="151"/>
        <v/>
      </c>
      <c r="AV233" s="129">
        <f t="shared" si="152"/>
        <v/>
      </c>
      <c r="AW233" s="129">
        <f>IF(AV233="","",AV233&amp;"."&amp;COUNTIFS($A$3:A233,A233,$AV$3:AV233,AV233))</f>
        <v/>
      </c>
      <c r="AX233" s="129">
        <f t="shared" si="153"/>
        <v/>
      </c>
      <c r="AY233" s="129">
        <f>IF(N233="б/к",0,IF(OR(ISNUMBER(SEARCH("L=",Разбивка_по_щитам!P233)),N233="+",N233="="),1,0))</f>
      </c>
      <c r="AZ233" s="129">
        <f t="shared" si="154"/>
      </c>
      <c r="BA233" s="129">
        <f t="shared" si="155"/>
      </c>
      <c r="BB233" s="129">
        <f t="shared" si="156"/>
      </c>
      <c r="BD233" s="129">
        <f t="shared" si="157"/>
      </c>
      <c r="BE233" s="129">
        <f t="shared" si="158"/>
      </c>
      <c r="BF233" s="129">
        <f t="shared" si="159"/>
      </c>
      <c r="BG233" s="129">
        <f t="shared" si="160"/>
        <v/>
      </c>
      <c r="BH233" s="129">
        <f t="shared" si="161"/>
        <v/>
      </c>
      <c r="BI233" s="129">
        <f t="shared" si="162"/>
        <v/>
      </c>
      <c r="BJ233" s="129">
        <f t="shared" si="163"/>
        <v/>
      </c>
      <c r="BK233" s="129">
        <f>IF(R233="","",IF(OR(BY233="",BY233=0),"BOX",IFERROR(IF(VLOOKUP(BY233,УГО_блоки,3,FALSE)&amp;""&lt;&gt;"",VLOOKUP(BY233,УГО_блоки,3,FALSE),VLOOKUP(BY233,УГО_блоки,2,FALSE)),BY233)))</f>
      </c>
      <c r="BL233" s="129">
        <f t="shared" si="165"/>
      </c>
      <c r="BM233" s="129">
        <f>IF(H233="","",IF(COUNTIF($H$3:H233,H233)=1,MAX($BM$2:BM232)+1,""))</f>
      </c>
      <c r="BN233" s="129">
        <f>IF(I233="","",IF(COUNTIF($I$3:I233,I233)+COUNTIF($J$2:J232,I233)+COUNTIF($K$2:K232,I233)=1,MAX($BN$2:BP232)+1,""))</f>
      </c>
      <c r="BO233" s="129">
        <f>IF(J233="","",IF(COUNTIF($I$3:I233,J233)+COUNTIF($J$3:J233,J233)+COUNTIF($K$2:K232,J233)=1,MAX($BN$2:BP232,BN233)+1,""))</f>
      </c>
      <c r="BP233" s="129">
        <f>IF(K233="","",IF(COUNTIF($I$3:I233,K233)+COUNTIF($J$3:J233,K233)+COUNTIF($K$3:K233,K233)=1,MAX($BN$2:BP232,BN233,BO233)+1,""))</f>
      </c>
      <c r="BQ233" s="129">
        <f>IF(AY233=1,IFERROR(MID(Q233,FIND(" (",Q233)+2,FIND(")",Q233,FIND(" (",Q233))-FIND(" (",Q233)-2),"?"),"")</f>
      </c>
      <c r="BR233" s="129">
        <f>IF(BQ233="","",IF(COUNTIF($BQ$3:BQ233,BQ233)=1,MAX($BR$2:BR232)+1,""))</f>
      </c>
      <c r="BS233" s="129">
        <f>IF(AW233="","",COUNTIF($AW$3:AW233,"?*"))</f>
      </c>
      <c r="BT233" s="129">
        <f>IF(OR(AW233="",AI233=""),"",IF(COUNTIFS($AW$3:AW233,"?*",$AI$3:AI233,AI233)=1,MAX($BT$2:BT232)+1,""))</f>
      </c>
      <c r="BU233" s="129">
        <f>IF(AE233="",0,IF(OR(ISNUMBER(SEARCH("дубль",AE233)),ISNUMBER(SEARCH("ПЕРЕГРУЗ",AE233)),ISNUMBER(SEARCH("ЗАЩИЩ",AE233)),ISNUMBER(SEARCH("КАНАЛ",AE233)),ISNUMBER(SEARCH("без 30",AE233))),2,1))</f>
      </c>
      <c r="BV233" s="129">
        <f>IF(R233="","",COUNTIF($R$3:R233,"?*"))</f>
      </c>
      <c r="BW233" s="129">
        <f>IF(AY233&lt;&gt;1,0,IF(MAX(IFERROR(--VLOOKUP(R233,УГО_спр,5,FALSE),0),IFERROR(--VLOOKUP(AL233,УГО_спр,5,FALSE),0),IFERROR(--VLOOKUP(LEFT(AL233,2),УГО_спр,5,FALSE),0))&gt;0,MAX(IFERROR(--VLOOKUP(R233,УГО_спр,5,FALSE),0),IFERROR(--VLOOKUP(AL233,УГО_спр,5,FALSE),0),IFERROR(--VLOOKUP(LEFT(AL233,2),УГО_спр,5,FALSE),0)),IF(IFERROR(--LEFT(SUBSTITUTE(BQ233,"x","х"),FIND("х",SUBSTITUTE(BQ233,"x","х"))-1),3)&gt;3,Каталог!$S$9,1)))</f>
      </c>
      <c r="BX233" s="129">
        <f>IF(AY233&lt;&gt;1,0,MAX(0,IFERROR(--LEFT(SUBSTITUTE(BQ233,"x","х"),FIND("х",SUBSTITUTE(BQ233,"x","х"))-1),3)-3*BW233))</f>
      </c>
      <c r="BY233" s="129">
        <f>IF(R233="","",IFERROR(VLOOKUP(R233,УГО_спр,2,FALSE),IFERROR(VLOOKUP(AL233,УГО_спр,2,FALSE),IFERROR(VLOOKUP(LEFT(AL233,2),УГО_спр,2,FALSE),""))))</f>
      </c>
    </row>
    <row r="234" spans="1:64" x14ac:dyDescent="0.3">
      <c r="A234" s="135">
        <f>IF(Разбивка_по_щитам!F234=0,"",Разбивка_по_щитам!F234)</f>
      </c>
      <c r="B234" s="138">
        <f>IF(A234="","",Разбивка_по_щитам!C234)</f>
      </c>
      <c r="C234" s="138">
        <f t="shared" si="128"/>
      </c>
      <c r="D234" s="266"/>
      <c r="E234" s="266"/>
      <c r="F234" s="267"/>
      <c r="G234" s="145">
        <f t="shared" si="129"/>
        <v/>
      </c>
      <c r="H234" s="145">
        <f t="shared" si="130"/>
        <v/>
      </c>
      <c r="I234" s="266"/>
      <c r="J234" s="267"/>
      <c r="K234" s="267"/>
      <c r="L234" s="266"/>
      <c r="M234" s="147">
        <f t="shared" si="168"/>
        <v/>
      </c>
      <c r="N234" s="267"/>
      <c r="O234" s="147">
        <f t="shared" si="169"/>
        <v/>
      </c>
      <c r="P234" s="268">
        <f>IF(AY234=1,"XT"&amp;COUNTIFS($A$3:A234,A234,$AY$3:AY234,1),"")</f>
        <v/>
      </c>
      <c r="Q234" s="152">
        <f>IF(R234="","",IFERROR(SUBSTITUTE(Разбивка_по_щитам!P234,CHAR(10)," "),""))</f>
        <v/>
      </c>
      <c r="R234" s="153">
        <f>IF(OR(Разбивка_по_щитам!H234="",Разбивка_по_щитам!H234=0),"",Разбивка_по_щитам!H234)</f>
        <v/>
      </c>
      <c r="S234" s="154">
        <f>IF(R234="","",IFERROR(Разбивка_по_щитам!J234&amp;"",""))</f>
        <v/>
      </c>
      <c r="T234" s="155">
        <f>IF(R234="","",IFERROR(--Разбивка_по_щитам!L234,""))</f>
        <v/>
      </c>
      <c r="U234" s="155">
        <f>IF(R234="","",IFERROR(--Разбивка_по_щитам!K234,""))</f>
        <v/>
      </c>
      <c r="V234" s="138">
        <f>IF(R234="","",IFERROR(IF(Разбивка_по_щитам!M234=0,"",Разбивка_по_щитам!M234),""))</f>
        <v/>
      </c>
      <c r="W234" s="156">
        <f t="shared" si="131"/>
        <v/>
      </c>
      <c r="X234" s="157">
        <f t="shared" si="132"/>
        <v/>
      </c>
      <c r="Y234" s="266"/>
      <c r="Z234" s="158">
        <f t="shared" si="133"/>
        <v/>
      </c>
      <c r="AA234" s="160">
        <f t="shared" si="134"/>
        <v/>
      </c>
      <c r="AB234" s="160">
        <f>IF(R234="","",IFERROR(LOOKUP(INDEX(Справочная!$I$4:$I$19,MATCH(VLOOKUP(R234,Исходные_данные,22,FALSE),Справочная!$J$4:$J$19,0)+1),{6,10,16,20,25,32,40,50,63,80,100,125}),""))</f>
        <v/>
      </c>
      <c r="AC234" s="160">
        <f t="shared" si="135"/>
        <v/>
      </c>
      <c r="AD234" s="161">
        <f t="shared" si="136"/>
        <v/>
      </c>
      <c r="AE234" s="161">
        <f>IF(AND(R234="",G234=""),"",_xlfn.TEXTJOIN("; ",TRUE,IF(AND(R234&lt;&gt;"",V234=""),"нет фазы",""),IF(AND(R234&lt;&gt;"",N(T234)=0),"нет мощности",""),IF(AND(P234&lt;&gt;"",COUNTIFS($A$3:$A$1000,A234,$P$3:$P$1000,P234)&gt;1),"дубль клеммы "&amp;P234,""),IF(AND(W234&lt;&gt;"",W234&lt;&gt;"ok"),W234,""),IF(X234&lt;&gt;"",X234,""),IF(AND(ISNUMBER(SEARCH("(5х",Q234)),N(AK234)=1),"5 жил на 1 фазе",""),IF(AND(AL234="R",E234&lt;&gt;"",N(AS234)=0),"розетка без 30 мА",""),IF(IFERROR(_xlfn.NUMBERVALUE(MID(Q234,FIND("-",Q234,FIND("L=",Q234))+1,FIND("%",Q234)-FIND("-",Q234,FIND("L=",Q234))-1),","),0)&gt;4,"потери &gt; 4 %","")))</f>
      </c>
      <c r="AF234" s="129">
        <f>IF(E234&lt;&gt;"",COUNTIFS($A$3:A234,A234,$E$3:E234,"?*"),IF(OR(A234&lt;&gt;A233,Y234="вручную"),"",AF233))</f>
      </c>
      <c r="AG234" s="129">
        <f t="shared" si="137"/>
      </c>
      <c r="AH234" s="129">
        <f t="shared" si="138"/>
        <v/>
      </c>
      <c r="AI234" s="129">
        <f t="shared" si="139"/>
        <v/>
      </c>
      <c r="AJ234" s="129">
        <f t="shared" si="140"/>
        <v/>
      </c>
      <c r="AK234" s="129">
        <f t="shared" si="141"/>
        <v/>
      </c>
      <c r="AL234" s="129">
        <f t="shared" si="142"/>
        <v/>
      </c>
      <c r="AM234" s="129">
        <f t="shared" si="143"/>
      </c>
      <c r="AN234" s="129">
        <f t="shared" si="144"/>
      </c>
      <c r="AO234" s="129">
        <f t="shared" si="145"/>
        <v/>
      </c>
      <c r="AP234" s="129">
        <f t="shared" si="146"/>
        <v/>
      </c>
      <c r="AQ234" s="129">
        <f t="shared" si="147"/>
        <v/>
      </c>
      <c r="AR234" s="129">
        <f t="shared" si="148"/>
        <v/>
      </c>
      <c r="AS234" s="129">
        <f t="shared" si="149"/>
        <v/>
      </c>
      <c r="AT234" s="129">
        <f t="shared" si="150"/>
        <v/>
      </c>
      <c r="AU234" s="129">
        <f t="shared" si="151"/>
        <v/>
      </c>
      <c r="AV234" s="129">
        <f t="shared" si="152"/>
        <v/>
      </c>
      <c r="AW234" s="129">
        <f>IF(AV234="","",AV234&amp;"."&amp;COUNTIFS($A$3:A234,A234,$AV$3:AV234,AV234))</f>
        <v/>
      </c>
      <c r="AX234" s="129">
        <f t="shared" si="153"/>
        <v/>
      </c>
      <c r="AY234" s="129">
        <f>IF(N234="б/к",0,IF(OR(ISNUMBER(SEARCH("L=",Разбивка_по_щитам!P234)),N234="+",N234="="),1,0))</f>
      </c>
      <c r="AZ234" s="129">
        <f t="shared" si="154"/>
      </c>
      <c r="BA234" s="129">
        <f t="shared" si="155"/>
      </c>
      <c r="BB234" s="129">
        <f t="shared" si="156"/>
      </c>
      <c r="BD234" s="129">
        <f t="shared" si="157"/>
      </c>
      <c r="BE234" s="129">
        <f t="shared" si="158"/>
      </c>
      <c r="BF234" s="129">
        <f t="shared" si="159"/>
      </c>
      <c r="BG234" s="129">
        <f t="shared" si="160"/>
        <v/>
      </c>
      <c r="BH234" s="129">
        <f t="shared" si="161"/>
        <v/>
      </c>
      <c r="BI234" s="129">
        <f t="shared" si="162"/>
        <v/>
      </c>
      <c r="BJ234" s="129">
        <f t="shared" si="163"/>
        <v/>
      </c>
      <c r="BK234" s="129">
        <f>IF(R234="","",IF(OR(BY234="",BY234=0),"BOX",IFERROR(IF(VLOOKUP(BY234,УГО_блоки,3,FALSE)&amp;""&lt;&gt;"",VLOOKUP(BY234,УГО_блоки,3,FALSE),VLOOKUP(BY234,УГО_блоки,2,FALSE)),BY234)))</f>
      </c>
      <c r="BL234" s="129">
        <f t="shared" si="165"/>
      </c>
      <c r="BM234" s="129">
        <f>IF(H234="","",IF(COUNTIF($H$3:H234,H234)=1,MAX($BM$2:BM233)+1,""))</f>
      </c>
      <c r="BN234" s="129">
        <f>IF(I234="","",IF(COUNTIF($I$3:I234,I234)+COUNTIF($J$2:J233,I234)+COUNTIF($K$2:K233,I234)=1,MAX($BN$2:BP233)+1,""))</f>
      </c>
      <c r="BO234" s="129">
        <f>IF(J234="","",IF(COUNTIF($I$3:I234,J234)+COUNTIF($J$3:J234,J234)+COUNTIF($K$2:K233,J234)=1,MAX($BN$2:BP233,BN234)+1,""))</f>
      </c>
      <c r="BP234" s="129">
        <f>IF(K234="","",IF(COUNTIF($I$3:I234,K234)+COUNTIF($J$3:J234,K234)+COUNTIF($K$3:K234,K234)=1,MAX($BN$2:BP233,BN234,BO234)+1,""))</f>
      </c>
      <c r="BQ234" s="129">
        <f>IF(AY234=1,IFERROR(MID(Q234,FIND(" (",Q234)+2,FIND(")",Q234,FIND(" (",Q234))-FIND(" (",Q234)-2),"?"),"")</f>
      </c>
      <c r="BR234" s="129">
        <f>IF(BQ234="","",IF(COUNTIF($BQ$3:BQ234,BQ234)=1,MAX($BR$2:BR233)+1,""))</f>
      </c>
      <c r="BS234" s="129">
        <f>IF(AW234="","",COUNTIF($AW$3:AW234,"?*"))</f>
      </c>
      <c r="BT234" s="129">
        <f>IF(OR(AW234="",AI234=""),"",IF(COUNTIFS($AW$3:AW234,"?*",$AI$3:AI234,AI234)=1,MAX($BT$2:BT233)+1,""))</f>
      </c>
      <c r="BU234" s="129">
        <f>IF(AE234="",0,IF(OR(ISNUMBER(SEARCH("дубль",AE234)),ISNUMBER(SEARCH("ПЕРЕГРУЗ",AE234)),ISNUMBER(SEARCH("ЗАЩИЩ",AE234)),ISNUMBER(SEARCH("КАНАЛ",AE234)),ISNUMBER(SEARCH("без 30",AE234))),2,1))</f>
      </c>
      <c r="BV234" s="129">
        <f>IF(R234="","",COUNTIF($R$3:R234,"?*"))</f>
      </c>
      <c r="BW234" s="129">
        <f>IF(AY234&lt;&gt;1,0,IF(MAX(IFERROR(--VLOOKUP(R234,УГО_спр,5,FALSE),0),IFERROR(--VLOOKUP(AL234,УГО_спр,5,FALSE),0),IFERROR(--VLOOKUP(LEFT(AL234,2),УГО_спр,5,FALSE),0))&gt;0,MAX(IFERROR(--VLOOKUP(R234,УГО_спр,5,FALSE),0),IFERROR(--VLOOKUP(AL234,УГО_спр,5,FALSE),0),IFERROR(--VLOOKUP(LEFT(AL234,2),УГО_спр,5,FALSE),0)),IF(IFERROR(--LEFT(SUBSTITUTE(BQ234,"x","х"),FIND("х",SUBSTITUTE(BQ234,"x","х"))-1),3)&gt;3,Каталог!$S$9,1)))</f>
      </c>
      <c r="BX234" s="129">
        <f>IF(AY234&lt;&gt;1,0,MAX(0,IFERROR(--LEFT(SUBSTITUTE(BQ234,"x","х"),FIND("х",SUBSTITUTE(BQ234,"x","х"))-1),3)-3*BW234))</f>
      </c>
      <c r="BY234" s="129">
        <f>IF(R234="","",IFERROR(VLOOKUP(R234,УГО_спр,2,FALSE),IFERROR(VLOOKUP(AL234,УГО_спр,2,FALSE),IFERROR(VLOOKUP(LEFT(AL234,2),УГО_спр,2,FALSE),""))))</f>
      </c>
    </row>
    <row r="235" spans="1:64" x14ac:dyDescent="0.3">
      <c r="A235" s="135">
        <f>IF(Разбивка_по_щитам!F235=0,"",Разбивка_по_щитам!F235)</f>
      </c>
      <c r="B235" s="138">
        <f>IF(A235="","",Разбивка_по_щитам!C235)</f>
      </c>
      <c r="C235" s="138">
        <f t="shared" si="128"/>
      </c>
      <c r="D235" s="266"/>
      <c r="E235" s="266"/>
      <c r="F235" s="267"/>
      <c r="G235" s="145">
        <f t="shared" si="129"/>
        <v/>
      </c>
      <c r="H235" s="145">
        <f t="shared" si="130"/>
        <v/>
      </c>
      <c r="I235" s="266"/>
      <c r="J235" s="267"/>
      <c r="K235" s="267"/>
      <c r="L235" s="266"/>
      <c r="M235" s="147">
        <f t="shared" si="168"/>
        <v/>
      </c>
      <c r="N235" s="267"/>
      <c r="O235" s="147">
        <f t="shared" si="169"/>
        <v/>
      </c>
      <c r="P235" s="268">
        <f>IF(AY235=1,"XT"&amp;COUNTIFS($A$3:A235,A235,$AY$3:AY235,1),"")</f>
        <v/>
      </c>
      <c r="Q235" s="152">
        <f>IF(R235="","",IFERROR(SUBSTITUTE(Разбивка_по_щитам!P235,CHAR(10)," "),""))</f>
        <v/>
      </c>
      <c r="R235" s="153">
        <f>IF(OR(Разбивка_по_щитам!H235="",Разбивка_по_щитам!H235=0),"",Разбивка_по_щитам!H235)</f>
        <v/>
      </c>
      <c r="S235" s="154">
        <f>IF(R235="","",IFERROR(Разбивка_по_щитам!J235&amp;"",""))</f>
        <v/>
      </c>
      <c r="T235" s="155">
        <f>IF(R235="","",IFERROR(--Разбивка_по_щитам!L235,""))</f>
        <v/>
      </c>
      <c r="U235" s="155">
        <f>IF(R235="","",IFERROR(--Разбивка_по_щитам!K235,""))</f>
        <v/>
      </c>
      <c r="V235" s="138">
        <f>IF(R235="","",IFERROR(IF(Разбивка_по_щитам!M235=0,"",Разбивка_по_щитам!M235),""))</f>
        <v/>
      </c>
      <c r="W235" s="156">
        <f t="shared" si="131"/>
        <v/>
      </c>
      <c r="X235" s="157">
        <f t="shared" si="132"/>
        <v/>
      </c>
      <c r="Y235" s="266"/>
      <c r="Z235" s="158">
        <f t="shared" si="133"/>
        <v/>
      </c>
      <c r="AA235" s="160">
        <f t="shared" si="134"/>
        <v/>
      </c>
      <c r="AB235" s="160">
        <f>IF(R235="","",IFERROR(LOOKUP(INDEX(Справочная!$I$4:$I$19,MATCH(VLOOKUP(R235,Исходные_данные,22,FALSE),Справочная!$J$4:$J$19,0)+1),{6,10,16,20,25,32,40,50,63,80,100,125}),""))</f>
        <v/>
      </c>
      <c r="AC235" s="160">
        <f t="shared" si="135"/>
        <v/>
      </c>
      <c r="AD235" s="161">
        <f t="shared" si="136"/>
        <v/>
      </c>
      <c r="AE235" s="161">
        <f>IF(AND(R235="",G235=""),"",_xlfn.TEXTJOIN("; ",TRUE,IF(AND(R235&lt;&gt;"",V235=""),"нет фазы",""),IF(AND(R235&lt;&gt;"",N(T235)=0),"нет мощности",""),IF(AND(P235&lt;&gt;"",COUNTIFS($A$3:$A$1000,A235,$P$3:$P$1000,P235)&gt;1),"дубль клеммы "&amp;P235,""),IF(AND(W235&lt;&gt;"",W235&lt;&gt;"ok"),W235,""),IF(X235&lt;&gt;"",X235,""),IF(AND(ISNUMBER(SEARCH("(5х",Q235)),N(AK235)=1),"5 жил на 1 фазе",""),IF(AND(AL235="R",E235&lt;&gt;"",N(AS235)=0),"розетка без 30 мА",""),IF(IFERROR(_xlfn.NUMBERVALUE(MID(Q235,FIND("-",Q235,FIND("L=",Q235))+1,FIND("%",Q235)-FIND("-",Q235,FIND("L=",Q235))-1),","),0)&gt;4,"потери &gt; 4 %","")))</f>
      </c>
      <c r="AF235" s="129">
        <f>IF(E235&lt;&gt;"",COUNTIFS($A$3:A235,A235,$E$3:E235,"?*"),IF(OR(A235&lt;&gt;A234,Y235="вручную"),"",AF234))</f>
      </c>
      <c r="AG235" s="129">
        <f t="shared" si="137"/>
      </c>
      <c r="AH235" s="129">
        <f t="shared" si="138"/>
        <v/>
      </c>
      <c r="AI235" s="129">
        <f t="shared" si="139"/>
        <v/>
      </c>
      <c r="AJ235" s="129">
        <f t="shared" si="140"/>
        <v/>
      </c>
      <c r="AK235" s="129">
        <f t="shared" si="141"/>
        <v/>
      </c>
      <c r="AL235" s="129">
        <f t="shared" si="142"/>
        <v/>
      </c>
      <c r="AM235" s="129">
        <f t="shared" si="143"/>
      </c>
      <c r="AN235" s="129">
        <f t="shared" si="144"/>
      </c>
      <c r="AO235" s="129">
        <f t="shared" si="145"/>
        <v/>
      </c>
      <c r="AP235" s="129">
        <f t="shared" si="146"/>
        <v/>
      </c>
      <c r="AQ235" s="129">
        <f t="shared" si="147"/>
        <v/>
      </c>
      <c r="AR235" s="129">
        <f t="shared" si="148"/>
        <v/>
      </c>
      <c r="AS235" s="129">
        <f t="shared" si="149"/>
        <v/>
      </c>
      <c r="AT235" s="129">
        <f t="shared" si="150"/>
        <v/>
      </c>
      <c r="AU235" s="129">
        <f t="shared" si="151"/>
        <v/>
      </c>
      <c r="AV235" s="129">
        <f t="shared" si="152"/>
        <v/>
      </c>
      <c r="AW235" s="129">
        <f>IF(AV235="","",AV235&amp;"."&amp;COUNTIFS($A$3:A235,A235,$AV$3:AV235,AV235))</f>
        <v/>
      </c>
      <c r="AX235" s="129">
        <f t="shared" si="153"/>
        <v/>
      </c>
      <c r="AY235" s="129">
        <f>IF(N235="б/к",0,IF(OR(ISNUMBER(SEARCH("L=",Разбивка_по_щитам!P235)),N235="+",N235="="),1,0))</f>
      </c>
      <c r="AZ235" s="129">
        <f t="shared" si="154"/>
      </c>
      <c r="BA235" s="129">
        <f t="shared" si="155"/>
      </c>
      <c r="BB235" s="129">
        <f t="shared" si="156"/>
      </c>
      <c r="BD235" s="129">
        <f t="shared" si="157"/>
      </c>
      <c r="BE235" s="129">
        <f t="shared" si="158"/>
      </c>
      <c r="BF235" s="129">
        <f t="shared" si="159"/>
      </c>
      <c r="BG235" s="129">
        <f t="shared" si="160"/>
        <v/>
      </c>
      <c r="BH235" s="129">
        <f t="shared" si="161"/>
        <v/>
      </c>
      <c r="BI235" s="129">
        <f t="shared" si="162"/>
        <v/>
      </c>
      <c r="BJ235" s="129">
        <f t="shared" si="163"/>
        <v/>
      </c>
      <c r="BK235" s="129">
        <f>IF(R235="","",IF(OR(BY235="",BY235=0),"BOX",IFERROR(IF(VLOOKUP(BY235,УГО_блоки,3,FALSE)&amp;""&lt;&gt;"",VLOOKUP(BY235,УГО_блоки,3,FALSE),VLOOKUP(BY235,УГО_блоки,2,FALSE)),BY235)))</f>
      </c>
      <c r="BL235" s="129">
        <f t="shared" si="165"/>
      </c>
      <c r="BM235" s="129">
        <f>IF(H235="","",IF(COUNTIF($H$3:H235,H235)=1,MAX($BM$2:BM234)+1,""))</f>
      </c>
      <c r="BN235" s="129">
        <f>IF(I235="","",IF(COUNTIF($I$3:I235,I235)+COUNTIF($J$2:J234,I235)+COUNTIF($K$2:K234,I235)=1,MAX($BN$2:BP234)+1,""))</f>
      </c>
      <c r="BO235" s="129">
        <f>IF(J235="","",IF(COUNTIF($I$3:I235,J235)+COUNTIF($J$3:J235,J235)+COUNTIF($K$2:K234,J235)=1,MAX($BN$2:BP234,BN235)+1,""))</f>
      </c>
      <c r="BP235" s="129">
        <f>IF(K235="","",IF(COUNTIF($I$3:I235,K235)+COUNTIF($J$3:J235,K235)+COUNTIF($K$3:K235,K235)=1,MAX($BN$2:BP234,BN235,BO235)+1,""))</f>
      </c>
      <c r="BQ235" s="129">
        <f>IF(AY235=1,IFERROR(MID(Q235,FIND(" (",Q235)+2,FIND(")",Q235,FIND(" (",Q235))-FIND(" (",Q235)-2),"?"),"")</f>
      </c>
      <c r="BR235" s="129">
        <f>IF(BQ235="","",IF(COUNTIF($BQ$3:BQ235,BQ235)=1,MAX($BR$2:BR234)+1,""))</f>
      </c>
      <c r="BS235" s="129">
        <f>IF(AW235="","",COUNTIF($AW$3:AW235,"?*"))</f>
      </c>
      <c r="BT235" s="129">
        <f>IF(OR(AW235="",AI235=""),"",IF(COUNTIFS($AW$3:AW235,"?*",$AI$3:AI235,AI235)=1,MAX($BT$2:BT234)+1,""))</f>
      </c>
      <c r="BU235" s="129">
        <f>IF(AE235="",0,IF(OR(ISNUMBER(SEARCH("дубль",AE235)),ISNUMBER(SEARCH("ПЕРЕГРУЗ",AE235)),ISNUMBER(SEARCH("ЗАЩИЩ",AE235)),ISNUMBER(SEARCH("КАНАЛ",AE235)),ISNUMBER(SEARCH("без 30",AE235))),2,1))</f>
      </c>
      <c r="BV235" s="129">
        <f>IF(R235="","",COUNTIF($R$3:R235,"?*"))</f>
      </c>
      <c r="BW235" s="129">
        <f>IF(AY235&lt;&gt;1,0,IF(MAX(IFERROR(--VLOOKUP(R235,УГО_спр,5,FALSE),0),IFERROR(--VLOOKUP(AL235,УГО_спр,5,FALSE),0),IFERROR(--VLOOKUP(LEFT(AL235,2),УГО_спр,5,FALSE),0))&gt;0,MAX(IFERROR(--VLOOKUP(R235,УГО_спр,5,FALSE),0),IFERROR(--VLOOKUP(AL235,УГО_спр,5,FALSE),0),IFERROR(--VLOOKUP(LEFT(AL235,2),УГО_спр,5,FALSE),0)),IF(IFERROR(--LEFT(SUBSTITUTE(BQ235,"x","х"),FIND("х",SUBSTITUTE(BQ235,"x","х"))-1),3)&gt;3,Каталог!$S$9,1)))</f>
      </c>
      <c r="BX235" s="129">
        <f>IF(AY235&lt;&gt;1,0,MAX(0,IFERROR(--LEFT(SUBSTITUTE(BQ235,"x","х"),FIND("х",SUBSTITUTE(BQ235,"x","х"))-1),3)-3*BW235))</f>
      </c>
      <c r="BY235" s="129">
        <f>IF(R235="","",IFERROR(VLOOKUP(R235,УГО_спр,2,FALSE),IFERROR(VLOOKUP(AL235,УГО_спр,2,FALSE),IFERROR(VLOOKUP(LEFT(AL235,2),УГО_спр,2,FALSE),""))))</f>
      </c>
    </row>
    <row r="236" spans="1:64" x14ac:dyDescent="0.3">
      <c r="A236" s="135">
        <f>IF(Разбивка_по_щитам!F236=0,"",Разбивка_по_щитам!F236)</f>
      </c>
      <c r="B236" s="138">
        <f>IF(A236="","",Разбивка_по_щитам!C236)</f>
      </c>
      <c r="C236" s="138">
        <f t="shared" si="128"/>
      </c>
      <c r="D236" s="266"/>
      <c r="E236" s="266"/>
      <c r="F236" s="267"/>
      <c r="G236" s="145">
        <f t="shared" si="129"/>
        <v/>
      </c>
      <c r="H236" s="145">
        <f t="shared" si="130"/>
        <v/>
      </c>
      <c r="I236" s="266"/>
      <c r="J236" s="267"/>
      <c r="K236" s="267"/>
      <c r="L236" s="266"/>
      <c r="M236" s="147">
        <f t="shared" si="168"/>
        <v/>
      </c>
      <c r="N236" s="267"/>
      <c r="O236" s="147">
        <f t="shared" si="169"/>
        <v/>
      </c>
      <c r="P236" s="268">
        <f>IF(AY236=1,"XT"&amp;COUNTIFS($A$3:A236,A236,$AY$3:AY236,1),"")</f>
        <v/>
      </c>
      <c r="Q236" s="152">
        <f>IF(R236="","",IFERROR(SUBSTITUTE(Разбивка_по_щитам!P236,CHAR(10)," "),""))</f>
        <v/>
      </c>
      <c r="R236" s="153">
        <f>IF(OR(Разбивка_по_щитам!H236="",Разбивка_по_щитам!H236=0),"",Разбивка_по_щитам!H236)</f>
        <v/>
      </c>
      <c r="S236" s="154">
        <f>IF(R236="","",IFERROR(Разбивка_по_щитам!J236&amp;"",""))</f>
        <v/>
      </c>
      <c r="T236" s="155">
        <f>IF(R236="","",IFERROR(--Разбивка_по_щитам!L236,""))</f>
        <v/>
      </c>
      <c r="U236" s="155">
        <f>IF(R236="","",IFERROR(--Разбивка_по_щитам!K236,""))</f>
        <v/>
      </c>
      <c r="V236" s="138">
        <f>IF(R236="","",IFERROR(IF(Разбивка_по_щитам!M236=0,"",Разбивка_по_щитам!M236),""))</f>
        <v/>
      </c>
      <c r="W236" s="156">
        <f t="shared" si="131"/>
        <v/>
      </c>
      <c r="X236" s="157">
        <f t="shared" si="132"/>
        <v/>
      </c>
      <c r="Y236" s="266"/>
      <c r="Z236" s="158">
        <f t="shared" si="133"/>
        <v/>
      </c>
      <c r="AA236" s="160">
        <f t="shared" si="134"/>
        <v/>
      </c>
      <c r="AB236" s="160">
        <f>IF(R236="","",IFERROR(LOOKUP(INDEX(Справочная!$I$4:$I$19,MATCH(VLOOKUP(R236,Исходные_данные,22,FALSE),Справочная!$J$4:$J$19,0)+1),{6,10,16,20,25,32,40,50,63,80,100,125}),""))</f>
        <v/>
      </c>
      <c r="AC236" s="160">
        <f t="shared" si="135"/>
        <v/>
      </c>
      <c r="AD236" s="161">
        <f t="shared" si="136"/>
        <v/>
      </c>
      <c r="AE236" s="161">
        <f>IF(AND(R236="",G236=""),"",_xlfn.TEXTJOIN("; ",TRUE,IF(AND(R236&lt;&gt;"",V236=""),"нет фазы",""),IF(AND(R236&lt;&gt;"",N(T236)=0),"нет мощности",""),IF(AND(P236&lt;&gt;"",COUNTIFS($A$3:$A$1000,A236,$P$3:$P$1000,P236)&gt;1),"дубль клеммы "&amp;P236,""),IF(AND(W236&lt;&gt;"",W236&lt;&gt;"ok"),W236,""),IF(X236&lt;&gt;"",X236,""),IF(AND(ISNUMBER(SEARCH("(5х",Q236)),N(AK236)=1),"5 жил на 1 фазе",""),IF(AND(AL236="R",E236&lt;&gt;"",N(AS236)=0),"розетка без 30 мА",""),IF(IFERROR(_xlfn.NUMBERVALUE(MID(Q236,FIND("-",Q236,FIND("L=",Q236))+1,FIND("%",Q236)-FIND("-",Q236,FIND("L=",Q236))-1),","),0)&gt;4,"потери &gt; 4 %","")))</f>
      </c>
      <c r="AF236" s="129">
        <f>IF(E236&lt;&gt;"",COUNTIFS($A$3:A236,A236,$E$3:E236,"?*"),IF(OR(A236&lt;&gt;A235,Y236="вручную"),"",AF235))</f>
      </c>
      <c r="AG236" s="129">
        <f t="shared" si="137"/>
      </c>
      <c r="AH236" s="129">
        <f t="shared" si="138"/>
        <v/>
      </c>
      <c r="AI236" s="129">
        <f t="shared" si="139"/>
        <v/>
      </c>
      <c r="AJ236" s="129">
        <f t="shared" si="140"/>
        <v/>
      </c>
      <c r="AK236" s="129">
        <f t="shared" si="141"/>
        <v/>
      </c>
      <c r="AL236" s="129">
        <f t="shared" si="142"/>
        <v/>
      </c>
      <c r="AM236" s="129">
        <f t="shared" si="143"/>
      </c>
      <c r="AN236" s="129">
        <f t="shared" si="144"/>
      </c>
      <c r="AO236" s="129">
        <f t="shared" si="145"/>
        <v/>
      </c>
      <c r="AP236" s="129">
        <f t="shared" si="146"/>
        <v/>
      </c>
      <c r="AQ236" s="129">
        <f t="shared" si="147"/>
        <v/>
      </c>
      <c r="AR236" s="129">
        <f t="shared" si="148"/>
        <v/>
      </c>
      <c r="AS236" s="129">
        <f t="shared" si="149"/>
        <v/>
      </c>
      <c r="AT236" s="129">
        <f t="shared" si="150"/>
        <v/>
      </c>
      <c r="AU236" s="129">
        <f t="shared" si="151"/>
        <v/>
      </c>
      <c r="AV236" s="129">
        <f t="shared" si="152"/>
        <v/>
      </c>
      <c r="AW236" s="129">
        <f>IF(AV236="","",AV236&amp;"."&amp;COUNTIFS($A$3:A236,A236,$AV$3:AV236,AV236))</f>
        <v/>
      </c>
      <c r="AX236" s="129">
        <f t="shared" si="153"/>
        <v/>
      </c>
      <c r="AY236" s="129">
        <f>IF(N236="б/к",0,IF(OR(ISNUMBER(SEARCH("L=",Разбивка_по_щитам!P236)),N236="+",N236="="),1,0))</f>
      </c>
      <c r="AZ236" s="129">
        <f t="shared" si="154"/>
      </c>
      <c r="BA236" s="129">
        <f t="shared" si="155"/>
      </c>
      <c r="BB236" s="129">
        <f t="shared" si="156"/>
      </c>
      <c r="BD236" s="129">
        <f t="shared" si="157"/>
      </c>
      <c r="BE236" s="129">
        <f t="shared" si="158"/>
      </c>
      <c r="BF236" s="129">
        <f t="shared" si="159"/>
      </c>
      <c r="BG236" s="129">
        <f t="shared" si="160"/>
        <v/>
      </c>
      <c r="BH236" s="129">
        <f t="shared" si="161"/>
        <v/>
      </c>
      <c r="BI236" s="129">
        <f t="shared" si="162"/>
        <v/>
      </c>
      <c r="BJ236" s="129">
        <f t="shared" si="163"/>
        <v/>
      </c>
      <c r="BK236" s="129">
        <f>IF(R236="","",IF(OR(BY236="",BY236=0),"BOX",IFERROR(IF(VLOOKUP(BY236,УГО_блоки,3,FALSE)&amp;""&lt;&gt;"",VLOOKUP(BY236,УГО_блоки,3,FALSE),VLOOKUP(BY236,УГО_блоки,2,FALSE)),BY236)))</f>
      </c>
      <c r="BL236" s="129">
        <f t="shared" si="165"/>
      </c>
      <c r="BM236" s="129">
        <f>IF(H236="","",IF(COUNTIF($H$3:H236,H236)=1,MAX($BM$2:BM235)+1,""))</f>
      </c>
      <c r="BN236" s="129">
        <f>IF(I236="","",IF(COUNTIF($I$3:I236,I236)+COUNTIF($J$2:J235,I236)+COUNTIF($K$2:K235,I236)=1,MAX($BN$2:BP235)+1,""))</f>
      </c>
      <c r="BO236" s="129">
        <f>IF(J236="","",IF(COUNTIF($I$3:I236,J236)+COUNTIF($J$3:J236,J236)+COUNTIF($K$2:K235,J236)=1,MAX($BN$2:BP235,BN236)+1,""))</f>
      </c>
      <c r="BP236" s="129">
        <f>IF(K236="","",IF(COUNTIF($I$3:I236,K236)+COUNTIF($J$3:J236,K236)+COUNTIF($K$3:K236,K236)=1,MAX($BN$2:BP235,BN236,BO236)+1,""))</f>
      </c>
      <c r="BQ236" s="129">
        <f>IF(AY236=1,IFERROR(MID(Q236,FIND(" (",Q236)+2,FIND(")",Q236,FIND(" (",Q236))-FIND(" (",Q236)-2),"?"),"")</f>
      </c>
      <c r="BR236" s="129">
        <f>IF(BQ236="","",IF(COUNTIF($BQ$3:BQ236,BQ236)=1,MAX($BR$2:BR235)+1,""))</f>
      </c>
      <c r="BS236" s="129">
        <f>IF(AW236="","",COUNTIF($AW$3:AW236,"?*"))</f>
      </c>
      <c r="BT236" s="129">
        <f>IF(OR(AW236="",AI236=""),"",IF(COUNTIFS($AW$3:AW236,"?*",$AI$3:AI236,AI236)=1,MAX($BT$2:BT235)+1,""))</f>
      </c>
      <c r="BU236" s="129">
        <f>IF(AE236="",0,IF(OR(ISNUMBER(SEARCH("дубль",AE236)),ISNUMBER(SEARCH("ПЕРЕГРУЗ",AE236)),ISNUMBER(SEARCH("ЗАЩИЩ",AE236)),ISNUMBER(SEARCH("КАНАЛ",AE236)),ISNUMBER(SEARCH("без 30",AE236))),2,1))</f>
      </c>
      <c r="BV236" s="129">
        <f>IF(R236="","",COUNTIF($R$3:R236,"?*"))</f>
      </c>
      <c r="BW236" s="129">
        <f>IF(AY236&lt;&gt;1,0,IF(MAX(IFERROR(--VLOOKUP(R236,УГО_спр,5,FALSE),0),IFERROR(--VLOOKUP(AL236,УГО_спр,5,FALSE),0),IFERROR(--VLOOKUP(LEFT(AL236,2),УГО_спр,5,FALSE),0))&gt;0,MAX(IFERROR(--VLOOKUP(R236,УГО_спр,5,FALSE),0),IFERROR(--VLOOKUP(AL236,УГО_спр,5,FALSE),0),IFERROR(--VLOOKUP(LEFT(AL236,2),УГО_спр,5,FALSE),0)),IF(IFERROR(--LEFT(SUBSTITUTE(BQ236,"x","х"),FIND("х",SUBSTITUTE(BQ236,"x","х"))-1),3)&gt;3,Каталог!$S$9,1)))</f>
      </c>
      <c r="BX236" s="129">
        <f>IF(AY236&lt;&gt;1,0,MAX(0,IFERROR(--LEFT(SUBSTITUTE(BQ236,"x","х"),FIND("х",SUBSTITUTE(BQ236,"x","х"))-1),3)-3*BW236))</f>
      </c>
      <c r="BY236" s="129">
        <f>IF(R236="","",IFERROR(VLOOKUP(R236,УГО_спр,2,FALSE),IFERROR(VLOOKUP(AL236,УГО_спр,2,FALSE),IFERROR(VLOOKUP(LEFT(AL236,2),УГО_спр,2,FALSE),""))))</f>
      </c>
    </row>
    <row r="237" spans="1:64" x14ac:dyDescent="0.3">
      <c r="A237" s="135">
        <f>IF(Разбивка_по_щитам!F237=0,"",Разбивка_по_щитам!F237)</f>
      </c>
      <c r="B237" s="138">
        <f>IF(A237="","",Разбивка_по_щитам!C237)</f>
      </c>
      <c r="C237" s="138">
        <f t="shared" si="128"/>
      </c>
      <c r="D237" s="266"/>
      <c r="E237" s="266"/>
      <c r="F237" s="267"/>
      <c r="G237" s="145">
        <f t="shared" si="129"/>
        <v/>
      </c>
      <c r="H237" s="145">
        <f t="shared" si="130"/>
        <v/>
      </c>
      <c r="I237" s="266"/>
      <c r="J237" s="267"/>
      <c r="K237" s="267"/>
      <c r="L237" s="266"/>
      <c r="M237" s="147">
        <f t="shared" si="168"/>
        <v/>
      </c>
      <c r="N237" s="267"/>
      <c r="O237" s="147">
        <f t="shared" si="169"/>
        <v/>
      </c>
      <c r="P237" s="268">
        <f>IF(AY237=1,"XT"&amp;COUNTIFS($A$3:A237,A237,$AY$3:AY237,1),"")</f>
        <v/>
      </c>
      <c r="Q237" s="152">
        <f>IF(R237="","",IFERROR(SUBSTITUTE(Разбивка_по_щитам!P237,CHAR(10)," "),""))</f>
        <v/>
      </c>
      <c r="R237" s="153">
        <f>IF(OR(Разбивка_по_щитам!H237="",Разбивка_по_щитам!H237=0),"",Разбивка_по_щитам!H237)</f>
        <v/>
      </c>
      <c r="S237" s="154">
        <f>IF(R237="","",IFERROR(Разбивка_по_щитам!J237&amp;"",""))</f>
        <v/>
      </c>
      <c r="T237" s="155">
        <f>IF(R237="","",IFERROR(--Разбивка_по_щитам!L237,""))</f>
        <v/>
      </c>
      <c r="U237" s="155">
        <f>IF(R237="","",IFERROR(--Разбивка_по_щитам!K237,""))</f>
        <v/>
      </c>
      <c r="V237" s="138">
        <f>IF(R237="","",IFERROR(IF(Разбивка_по_щитам!M237=0,"",Разбивка_по_щитам!M237),""))</f>
        <v/>
      </c>
      <c r="W237" s="156">
        <f t="shared" si="131"/>
        <v/>
      </c>
      <c r="X237" s="157">
        <f t="shared" si="132"/>
        <v/>
      </c>
      <c r="Y237" s="266"/>
      <c r="Z237" s="158">
        <f t="shared" si="133"/>
        <v/>
      </c>
      <c r="AA237" s="160">
        <f t="shared" si="134"/>
        <v/>
      </c>
      <c r="AB237" s="160">
        <f>IF(R237="","",IFERROR(LOOKUP(INDEX(Справочная!$I$4:$I$19,MATCH(VLOOKUP(R237,Исходные_данные,22,FALSE),Справочная!$J$4:$J$19,0)+1),{6,10,16,20,25,32,40,50,63,80,100,125}),""))</f>
        <v/>
      </c>
      <c r="AC237" s="160">
        <f t="shared" si="135"/>
        <v/>
      </c>
      <c r="AD237" s="161">
        <f t="shared" si="136"/>
        <v/>
      </c>
      <c r="AE237" s="161">
        <f>IF(AND(R237="",G237=""),"",_xlfn.TEXTJOIN("; ",TRUE,IF(AND(R237&lt;&gt;"",V237=""),"нет фазы",""),IF(AND(R237&lt;&gt;"",N(T237)=0),"нет мощности",""),IF(AND(P237&lt;&gt;"",COUNTIFS($A$3:$A$1000,A237,$P$3:$P$1000,P237)&gt;1),"дубль клеммы "&amp;P237,""),IF(AND(W237&lt;&gt;"",W237&lt;&gt;"ok"),W237,""),IF(X237&lt;&gt;"",X237,""),IF(AND(ISNUMBER(SEARCH("(5х",Q237)),N(AK237)=1),"5 жил на 1 фазе",""),IF(AND(AL237="R",E237&lt;&gt;"",N(AS237)=0),"розетка без 30 мА",""),IF(IFERROR(_xlfn.NUMBERVALUE(MID(Q237,FIND("-",Q237,FIND("L=",Q237))+1,FIND("%",Q237)-FIND("-",Q237,FIND("L=",Q237))-1),","),0)&gt;4,"потери &gt; 4 %","")))</f>
      </c>
      <c r="AF237" s="129">
        <f>IF(E237&lt;&gt;"",COUNTIFS($A$3:A237,A237,$E$3:E237,"?*"),IF(OR(A237&lt;&gt;A236,Y237="вручную"),"",AF236))</f>
      </c>
      <c r="AG237" s="129">
        <f t="shared" si="137"/>
      </c>
      <c r="AH237" s="129">
        <f t="shared" si="138"/>
        <v/>
      </c>
      <c r="AI237" s="129">
        <f t="shared" si="139"/>
        <v/>
      </c>
      <c r="AJ237" s="129">
        <f t="shared" si="140"/>
        <v/>
      </c>
      <c r="AK237" s="129">
        <f t="shared" si="141"/>
        <v/>
      </c>
      <c r="AL237" s="129">
        <f t="shared" si="142"/>
        <v/>
      </c>
      <c r="AM237" s="129">
        <f t="shared" si="143"/>
      </c>
      <c r="AN237" s="129">
        <f t="shared" si="144"/>
      </c>
      <c r="AO237" s="129">
        <f t="shared" si="145"/>
        <v/>
      </c>
      <c r="AP237" s="129">
        <f t="shared" si="146"/>
        <v/>
      </c>
      <c r="AQ237" s="129">
        <f t="shared" si="147"/>
        <v/>
      </c>
      <c r="AR237" s="129">
        <f t="shared" si="148"/>
        <v/>
      </c>
      <c r="AS237" s="129">
        <f t="shared" si="149"/>
        <v/>
      </c>
      <c r="AT237" s="129">
        <f t="shared" si="150"/>
        <v/>
      </c>
      <c r="AU237" s="129">
        <f t="shared" si="151"/>
        <v/>
      </c>
      <c r="AV237" s="129">
        <f t="shared" si="152"/>
        <v/>
      </c>
      <c r="AW237" s="129">
        <f>IF(AV237="","",AV237&amp;"."&amp;COUNTIFS($A$3:A237,A237,$AV$3:AV237,AV237))</f>
        <v/>
      </c>
      <c r="AX237" s="129">
        <f t="shared" si="153"/>
        <v/>
      </c>
      <c r="AY237" s="129">
        <f>IF(N237="б/к",0,IF(OR(ISNUMBER(SEARCH("L=",Разбивка_по_щитам!P237)),N237="+",N237="="),1,0))</f>
      </c>
      <c r="AZ237" s="129">
        <f t="shared" si="154"/>
      </c>
      <c r="BA237" s="129">
        <f t="shared" si="155"/>
      </c>
      <c r="BB237" s="129">
        <f t="shared" si="156"/>
      </c>
      <c r="BD237" s="129">
        <f t="shared" si="157"/>
      </c>
      <c r="BE237" s="129">
        <f t="shared" si="158"/>
      </c>
      <c r="BF237" s="129">
        <f t="shared" si="159"/>
      </c>
      <c r="BG237" s="129">
        <f t="shared" si="160"/>
        <v/>
      </c>
      <c r="BH237" s="129">
        <f t="shared" si="161"/>
        <v/>
      </c>
      <c r="BI237" s="129">
        <f t="shared" si="162"/>
        <v/>
      </c>
      <c r="BJ237" s="129">
        <f t="shared" si="163"/>
        <v/>
      </c>
      <c r="BK237" s="129">
        <f>IF(R237="","",IF(OR(BY237="",BY237=0),"BOX",IFERROR(IF(VLOOKUP(BY237,УГО_блоки,3,FALSE)&amp;""&lt;&gt;"",VLOOKUP(BY237,УГО_блоки,3,FALSE),VLOOKUP(BY237,УГО_блоки,2,FALSE)),BY237)))</f>
      </c>
      <c r="BL237" s="129">
        <f t="shared" si="165"/>
      </c>
      <c r="BM237" s="129">
        <f>IF(H237="","",IF(COUNTIF($H$3:H237,H237)=1,MAX($BM$2:BM236)+1,""))</f>
      </c>
      <c r="BN237" s="129">
        <f>IF(I237="","",IF(COUNTIF($I$3:I237,I237)+COUNTIF($J$2:J236,I237)+COUNTIF($K$2:K236,I237)=1,MAX($BN$2:BP236)+1,""))</f>
      </c>
      <c r="BO237" s="129">
        <f>IF(J237="","",IF(COUNTIF($I$3:I237,J237)+COUNTIF($J$3:J237,J237)+COUNTIF($K$2:K236,J237)=1,MAX($BN$2:BP236,BN237)+1,""))</f>
      </c>
      <c r="BP237" s="129">
        <f>IF(K237="","",IF(COUNTIF($I$3:I237,K237)+COUNTIF($J$3:J237,K237)+COUNTIF($K$3:K237,K237)=1,MAX($BN$2:BP236,BN237,BO237)+1,""))</f>
      </c>
      <c r="BQ237" s="129">
        <f>IF(AY237=1,IFERROR(MID(Q237,FIND(" (",Q237)+2,FIND(")",Q237,FIND(" (",Q237))-FIND(" (",Q237)-2),"?"),"")</f>
      </c>
      <c r="BR237" s="129">
        <f>IF(BQ237="","",IF(COUNTIF($BQ$3:BQ237,BQ237)=1,MAX($BR$2:BR236)+1,""))</f>
      </c>
      <c r="BS237" s="129">
        <f>IF(AW237="","",COUNTIF($AW$3:AW237,"?*"))</f>
      </c>
      <c r="BT237" s="129">
        <f>IF(OR(AW237="",AI237=""),"",IF(COUNTIFS($AW$3:AW237,"?*",$AI$3:AI237,AI237)=1,MAX($BT$2:BT236)+1,""))</f>
      </c>
      <c r="BU237" s="129">
        <f>IF(AE237="",0,IF(OR(ISNUMBER(SEARCH("дубль",AE237)),ISNUMBER(SEARCH("ПЕРЕГРУЗ",AE237)),ISNUMBER(SEARCH("ЗАЩИЩ",AE237)),ISNUMBER(SEARCH("КАНАЛ",AE237)),ISNUMBER(SEARCH("без 30",AE237))),2,1))</f>
      </c>
      <c r="BV237" s="129">
        <f>IF(R237="","",COUNTIF($R$3:R237,"?*"))</f>
      </c>
      <c r="BW237" s="129">
        <f>IF(AY237&lt;&gt;1,0,IF(MAX(IFERROR(--VLOOKUP(R237,УГО_спр,5,FALSE),0),IFERROR(--VLOOKUP(AL237,УГО_спр,5,FALSE),0),IFERROR(--VLOOKUP(LEFT(AL237,2),УГО_спр,5,FALSE),0))&gt;0,MAX(IFERROR(--VLOOKUP(R237,УГО_спр,5,FALSE),0),IFERROR(--VLOOKUP(AL237,УГО_спр,5,FALSE),0),IFERROR(--VLOOKUP(LEFT(AL237,2),УГО_спр,5,FALSE),0)),IF(IFERROR(--LEFT(SUBSTITUTE(BQ237,"x","х"),FIND("х",SUBSTITUTE(BQ237,"x","х"))-1),3)&gt;3,Каталог!$S$9,1)))</f>
      </c>
      <c r="BX237" s="129">
        <f>IF(AY237&lt;&gt;1,0,MAX(0,IFERROR(--LEFT(SUBSTITUTE(BQ237,"x","х"),FIND("х",SUBSTITUTE(BQ237,"x","х"))-1),3)-3*BW237))</f>
      </c>
      <c r="BY237" s="129">
        <f>IF(R237="","",IFERROR(VLOOKUP(R237,УГО_спр,2,FALSE),IFERROR(VLOOKUP(AL237,УГО_спр,2,FALSE),IFERROR(VLOOKUP(LEFT(AL237,2),УГО_спр,2,FALSE),""))))</f>
      </c>
    </row>
    <row r="238" spans="1:64" x14ac:dyDescent="0.3">
      <c r="A238" s="135">
        <f>IF(Разбивка_по_щитам!F238=0,"",Разбивка_по_щитам!F238)</f>
      </c>
      <c r="B238" s="138">
        <f>IF(A238="","",Разбивка_по_щитам!C238)</f>
      </c>
      <c r="C238" s="138">
        <f t="shared" si="128"/>
      </c>
      <c r="D238" s="266"/>
      <c r="E238" s="266"/>
      <c r="F238" s="267"/>
      <c r="G238" s="145">
        <f t="shared" si="129"/>
        <v/>
      </c>
      <c r="H238" s="145">
        <f t="shared" si="130"/>
        <v/>
      </c>
      <c r="I238" s="266"/>
      <c r="J238" s="267"/>
      <c r="K238" s="267"/>
      <c r="L238" s="266"/>
      <c r="M238" s="147">
        <f t="shared" si="168"/>
        <v/>
      </c>
      <c r="N238" s="267"/>
      <c r="O238" s="147">
        <f t="shared" si="169"/>
        <v/>
      </c>
      <c r="P238" s="268">
        <f>IF(AY238=1,"XT"&amp;COUNTIFS($A$3:A238,A238,$AY$3:AY238,1),"")</f>
        <v/>
      </c>
      <c r="Q238" s="152">
        <f>IF(R238="","",IFERROR(SUBSTITUTE(Разбивка_по_щитам!P238,CHAR(10)," "),""))</f>
        <v/>
      </c>
      <c r="R238" s="153">
        <f>IF(OR(Разбивка_по_щитам!H238="",Разбивка_по_щитам!H238=0),"",Разбивка_по_щитам!H238)</f>
        <v/>
      </c>
      <c r="S238" s="154">
        <f>IF(R238="","",IFERROR(Разбивка_по_щитам!J238&amp;"",""))</f>
        <v/>
      </c>
      <c r="T238" s="155">
        <f>IF(R238="","",IFERROR(--Разбивка_по_щитам!L238,""))</f>
        <v/>
      </c>
      <c r="U238" s="155">
        <f>IF(R238="","",IFERROR(--Разбивка_по_щитам!K238,""))</f>
        <v/>
      </c>
      <c r="V238" s="138">
        <f>IF(R238="","",IFERROR(IF(Разбивка_по_щитам!M238=0,"",Разбивка_по_щитам!M238),""))</f>
        <v/>
      </c>
      <c r="W238" s="156">
        <f t="shared" si="131"/>
        <v/>
      </c>
      <c r="X238" s="157">
        <f t="shared" si="132"/>
        <v/>
      </c>
      <c r="Y238" s="266"/>
      <c r="Z238" s="158">
        <f t="shared" si="133"/>
        <v/>
      </c>
      <c r="AA238" s="160">
        <f t="shared" si="134"/>
        <v/>
      </c>
      <c r="AB238" s="160">
        <f>IF(R238="","",IFERROR(LOOKUP(INDEX(Справочная!$I$4:$I$19,MATCH(VLOOKUP(R238,Исходные_данные,22,FALSE),Справочная!$J$4:$J$19,0)+1),{6,10,16,20,25,32,40,50,63,80,100,125}),""))</f>
        <v/>
      </c>
      <c r="AC238" s="160">
        <f t="shared" si="135"/>
        <v/>
      </c>
      <c r="AD238" s="161">
        <f t="shared" si="136"/>
        <v/>
      </c>
      <c r="AE238" s="161">
        <f>IF(AND(R238="",G238=""),"",_xlfn.TEXTJOIN("; ",TRUE,IF(AND(R238&lt;&gt;"",V238=""),"нет фазы",""),IF(AND(R238&lt;&gt;"",N(T238)=0),"нет мощности",""),IF(AND(P238&lt;&gt;"",COUNTIFS($A$3:$A$1000,A238,$P$3:$P$1000,P238)&gt;1),"дубль клеммы "&amp;P238,""),IF(AND(W238&lt;&gt;"",W238&lt;&gt;"ok"),W238,""),IF(X238&lt;&gt;"",X238,""),IF(AND(ISNUMBER(SEARCH("(5х",Q238)),N(AK238)=1),"5 жил на 1 фазе",""),IF(AND(AL238="R",E238&lt;&gt;"",N(AS238)=0),"розетка без 30 мА",""),IF(IFERROR(_xlfn.NUMBERVALUE(MID(Q238,FIND("-",Q238,FIND("L=",Q238))+1,FIND("%",Q238)-FIND("-",Q238,FIND("L=",Q238))-1),","),0)&gt;4,"потери &gt; 4 %","")))</f>
      </c>
      <c r="AF238" s="129">
        <f>IF(E238&lt;&gt;"",COUNTIFS($A$3:A238,A238,$E$3:E238,"?*"),IF(OR(A238&lt;&gt;A237,Y238="вручную"),"",AF237))</f>
      </c>
      <c r="AG238" s="129">
        <f t="shared" si="137"/>
      </c>
      <c r="AH238" s="129">
        <f t="shared" si="138"/>
        <v/>
      </c>
      <c r="AI238" s="129">
        <f t="shared" si="139"/>
        <v/>
      </c>
      <c r="AJ238" s="129">
        <f t="shared" si="140"/>
        <v/>
      </c>
      <c r="AK238" s="129">
        <f t="shared" si="141"/>
        <v/>
      </c>
      <c r="AL238" s="129">
        <f t="shared" si="142"/>
        <v/>
      </c>
      <c r="AM238" s="129">
        <f t="shared" si="143"/>
      </c>
      <c r="AN238" s="129">
        <f t="shared" si="144"/>
      </c>
      <c r="AO238" s="129">
        <f t="shared" si="145"/>
        <v/>
      </c>
      <c r="AP238" s="129">
        <f t="shared" si="146"/>
        <v/>
      </c>
      <c r="AQ238" s="129">
        <f t="shared" si="147"/>
        <v/>
      </c>
      <c r="AR238" s="129">
        <f t="shared" si="148"/>
        <v/>
      </c>
      <c r="AS238" s="129">
        <f t="shared" si="149"/>
        <v/>
      </c>
      <c r="AT238" s="129">
        <f t="shared" si="150"/>
        <v/>
      </c>
      <c r="AU238" s="129">
        <f t="shared" si="151"/>
        <v/>
      </c>
      <c r="AV238" s="129">
        <f t="shared" si="152"/>
        <v/>
      </c>
      <c r="AW238" s="129">
        <f>IF(AV238="","",AV238&amp;"."&amp;COUNTIFS($A$3:A238,A238,$AV$3:AV238,AV238))</f>
        <v/>
      </c>
      <c r="AX238" s="129">
        <f t="shared" si="153"/>
        <v/>
      </c>
      <c r="AY238" s="129">
        <f>IF(N238="б/к",0,IF(OR(ISNUMBER(SEARCH("L=",Разбивка_по_щитам!P238)),N238="+",N238="="),1,0))</f>
      </c>
      <c r="AZ238" s="129">
        <f t="shared" si="154"/>
      </c>
      <c r="BA238" s="129">
        <f t="shared" si="155"/>
      </c>
      <c r="BB238" s="129">
        <f t="shared" si="156"/>
      </c>
      <c r="BD238" s="129">
        <f t="shared" si="157"/>
      </c>
      <c r="BE238" s="129">
        <f t="shared" si="158"/>
      </c>
      <c r="BF238" s="129">
        <f t="shared" si="159"/>
      </c>
      <c r="BG238" s="129">
        <f t="shared" si="160"/>
        <v/>
      </c>
      <c r="BH238" s="129">
        <f t="shared" si="161"/>
        <v/>
      </c>
      <c r="BI238" s="129">
        <f t="shared" si="162"/>
        <v/>
      </c>
      <c r="BJ238" s="129">
        <f t="shared" si="163"/>
        <v/>
      </c>
      <c r="BK238" s="129">
        <f>IF(R238="","",IF(OR(BY238="",BY238=0),"BOX",IFERROR(IF(VLOOKUP(BY238,УГО_блоки,3,FALSE)&amp;""&lt;&gt;"",VLOOKUP(BY238,УГО_блоки,3,FALSE),VLOOKUP(BY238,УГО_блоки,2,FALSE)),BY238)))</f>
      </c>
      <c r="BL238" s="129">
        <f t="shared" si="165"/>
      </c>
      <c r="BM238" s="129">
        <f>IF(H238="","",IF(COUNTIF($H$3:H238,H238)=1,MAX($BM$2:BM237)+1,""))</f>
      </c>
      <c r="BN238" s="129">
        <f>IF(I238="","",IF(COUNTIF($I$3:I238,I238)+COUNTIF($J$2:J237,I238)+COUNTIF($K$2:K237,I238)=1,MAX($BN$2:BP237)+1,""))</f>
      </c>
      <c r="BO238" s="129">
        <f>IF(J238="","",IF(COUNTIF($I$3:I238,J238)+COUNTIF($J$3:J238,J238)+COUNTIF($K$2:K237,J238)=1,MAX($BN$2:BP237,BN238)+1,""))</f>
      </c>
      <c r="BP238" s="129">
        <f>IF(K238="","",IF(COUNTIF($I$3:I238,K238)+COUNTIF($J$3:J238,K238)+COUNTIF($K$3:K238,K238)=1,MAX($BN$2:BP237,BN238,BO238)+1,""))</f>
      </c>
      <c r="BQ238" s="129">
        <f>IF(AY238=1,IFERROR(MID(Q238,FIND(" (",Q238)+2,FIND(")",Q238,FIND(" (",Q238))-FIND(" (",Q238)-2),"?"),"")</f>
      </c>
      <c r="BR238" s="129">
        <f>IF(BQ238="","",IF(COUNTIF($BQ$3:BQ238,BQ238)=1,MAX($BR$2:BR237)+1,""))</f>
      </c>
      <c r="BS238" s="129">
        <f>IF(AW238="","",COUNTIF($AW$3:AW238,"?*"))</f>
      </c>
      <c r="BT238" s="129">
        <f>IF(OR(AW238="",AI238=""),"",IF(COUNTIFS($AW$3:AW238,"?*",$AI$3:AI238,AI238)=1,MAX($BT$2:BT237)+1,""))</f>
      </c>
      <c r="BU238" s="129">
        <f>IF(AE238="",0,IF(OR(ISNUMBER(SEARCH("дубль",AE238)),ISNUMBER(SEARCH("ПЕРЕГРУЗ",AE238)),ISNUMBER(SEARCH("ЗАЩИЩ",AE238)),ISNUMBER(SEARCH("КАНАЛ",AE238)),ISNUMBER(SEARCH("без 30",AE238))),2,1))</f>
      </c>
      <c r="BV238" s="129">
        <f>IF(R238="","",COUNTIF($R$3:R238,"?*"))</f>
      </c>
      <c r="BW238" s="129">
        <f>IF(AY238&lt;&gt;1,0,IF(MAX(IFERROR(--VLOOKUP(R238,УГО_спр,5,FALSE),0),IFERROR(--VLOOKUP(AL238,УГО_спр,5,FALSE),0),IFERROR(--VLOOKUP(LEFT(AL238,2),УГО_спр,5,FALSE),0))&gt;0,MAX(IFERROR(--VLOOKUP(R238,УГО_спр,5,FALSE),0),IFERROR(--VLOOKUP(AL238,УГО_спр,5,FALSE),0),IFERROR(--VLOOKUP(LEFT(AL238,2),УГО_спр,5,FALSE),0)),IF(IFERROR(--LEFT(SUBSTITUTE(BQ238,"x","х"),FIND("х",SUBSTITUTE(BQ238,"x","х"))-1),3)&gt;3,Каталог!$S$9,1)))</f>
      </c>
      <c r="BX238" s="129">
        <f>IF(AY238&lt;&gt;1,0,MAX(0,IFERROR(--LEFT(SUBSTITUTE(BQ238,"x","х"),FIND("х",SUBSTITUTE(BQ238,"x","х"))-1),3)-3*BW238))</f>
      </c>
      <c r="BY238" s="129">
        <f>IF(R238="","",IFERROR(VLOOKUP(R238,УГО_спр,2,FALSE),IFERROR(VLOOKUP(AL238,УГО_спр,2,FALSE),IFERROR(VLOOKUP(LEFT(AL238,2),УГО_спр,2,FALSE),""))))</f>
      </c>
    </row>
    <row r="239" spans="1:64" x14ac:dyDescent="0.3">
      <c r="A239" s="135">
        <f>IF(Разбивка_по_щитам!F239=0,"",Разбивка_по_щитам!F239)</f>
      </c>
      <c r="B239" s="138">
        <f>IF(A239="","",Разбивка_по_щитам!C239)</f>
      </c>
      <c r="C239" s="138">
        <f t="shared" si="128"/>
      </c>
      <c r="D239" s="266"/>
      <c r="E239" s="266"/>
      <c r="F239" s="267"/>
      <c r="G239" s="145">
        <f t="shared" si="129"/>
        <v/>
      </c>
      <c r="H239" s="145">
        <f t="shared" si="130"/>
        <v/>
      </c>
      <c r="I239" s="266"/>
      <c r="J239" s="267"/>
      <c r="K239" s="267"/>
      <c r="L239" s="266"/>
      <c r="M239" s="147">
        <f t="shared" si="168"/>
        <v/>
      </c>
      <c r="N239" s="267"/>
      <c r="O239" s="147">
        <f t="shared" si="169"/>
        <v/>
      </c>
      <c r="P239" s="268">
        <f>IF(AY239=1,"XT"&amp;COUNTIFS($A$3:A239,A239,$AY$3:AY239,1),"")</f>
        <v/>
      </c>
      <c r="Q239" s="152">
        <f>IF(R239="","",IFERROR(SUBSTITUTE(Разбивка_по_щитам!P239,CHAR(10)," "),""))</f>
        <v/>
      </c>
      <c r="R239" s="153">
        <f>IF(OR(Разбивка_по_щитам!H239="",Разбивка_по_щитам!H239=0),"",Разбивка_по_щитам!H239)</f>
        <v/>
      </c>
      <c r="S239" s="154">
        <f>IF(R239="","",IFERROR(Разбивка_по_щитам!J239&amp;"",""))</f>
        <v/>
      </c>
      <c r="T239" s="155">
        <f>IF(R239="","",IFERROR(--Разбивка_по_щитам!L239,""))</f>
        <v/>
      </c>
      <c r="U239" s="155">
        <f>IF(R239="","",IFERROR(--Разбивка_по_щитам!K239,""))</f>
        <v/>
      </c>
      <c r="V239" s="138">
        <f>IF(R239="","",IFERROR(IF(Разбивка_по_щитам!M239=0,"",Разбивка_по_щитам!M239),""))</f>
        <v/>
      </c>
      <c r="W239" s="156">
        <f t="shared" si="131"/>
        <v/>
      </c>
      <c r="X239" s="157">
        <f t="shared" si="132"/>
        <v/>
      </c>
      <c r="Y239" s="266"/>
      <c r="Z239" s="158">
        <f t="shared" si="133"/>
        <v/>
      </c>
      <c r="AA239" s="160">
        <f t="shared" si="134"/>
        <v/>
      </c>
      <c r="AB239" s="160">
        <f>IF(R239="","",IFERROR(LOOKUP(INDEX(Справочная!$I$4:$I$19,MATCH(VLOOKUP(R239,Исходные_данные,22,FALSE),Справочная!$J$4:$J$19,0)+1),{6,10,16,20,25,32,40,50,63,80,100,125}),""))</f>
        <v/>
      </c>
      <c r="AC239" s="160">
        <f t="shared" si="135"/>
        <v/>
      </c>
      <c r="AD239" s="161">
        <f t="shared" si="136"/>
        <v/>
      </c>
      <c r="AE239" s="161">
        <f>IF(AND(R239="",G239=""),"",_xlfn.TEXTJOIN("; ",TRUE,IF(AND(R239&lt;&gt;"",V239=""),"нет фазы",""),IF(AND(R239&lt;&gt;"",N(T239)=0),"нет мощности",""),IF(AND(P239&lt;&gt;"",COUNTIFS($A$3:$A$1000,A239,$P$3:$P$1000,P239)&gt;1),"дубль клеммы "&amp;P239,""),IF(AND(W239&lt;&gt;"",W239&lt;&gt;"ok"),W239,""),IF(X239&lt;&gt;"",X239,""),IF(AND(ISNUMBER(SEARCH("(5х",Q239)),N(AK239)=1),"5 жил на 1 фазе",""),IF(AND(AL239="R",E239&lt;&gt;"",N(AS239)=0),"розетка без 30 мА",""),IF(IFERROR(_xlfn.NUMBERVALUE(MID(Q239,FIND("-",Q239,FIND("L=",Q239))+1,FIND("%",Q239)-FIND("-",Q239,FIND("L=",Q239))-1),","),0)&gt;4,"потери &gt; 4 %","")))</f>
      </c>
      <c r="AF239" s="129">
        <f>IF(E239&lt;&gt;"",COUNTIFS($A$3:A239,A239,$E$3:E239,"?*"),IF(OR(A239&lt;&gt;A238,Y239="вручную"),"",AF238))</f>
      </c>
      <c r="AG239" s="129">
        <f t="shared" si="137"/>
      </c>
      <c r="AH239" s="129">
        <f t="shared" si="138"/>
        <v/>
      </c>
      <c r="AI239" s="129">
        <f t="shared" si="139"/>
        <v/>
      </c>
      <c r="AJ239" s="129">
        <f t="shared" si="140"/>
        <v/>
      </c>
      <c r="AK239" s="129">
        <f t="shared" si="141"/>
        <v/>
      </c>
      <c r="AL239" s="129">
        <f t="shared" si="142"/>
        <v/>
      </c>
      <c r="AM239" s="129">
        <f t="shared" si="143"/>
      </c>
      <c r="AN239" s="129">
        <f t="shared" si="144"/>
      </c>
      <c r="AO239" s="129">
        <f t="shared" si="145"/>
        <v/>
      </c>
      <c r="AP239" s="129">
        <f t="shared" si="146"/>
        <v/>
      </c>
      <c r="AQ239" s="129">
        <f t="shared" si="147"/>
        <v/>
      </c>
      <c r="AR239" s="129">
        <f t="shared" si="148"/>
        <v/>
      </c>
      <c r="AS239" s="129">
        <f t="shared" si="149"/>
        <v/>
      </c>
      <c r="AT239" s="129">
        <f t="shared" si="150"/>
        <v/>
      </c>
      <c r="AU239" s="129">
        <f t="shared" si="151"/>
        <v/>
      </c>
      <c r="AV239" s="129">
        <f t="shared" si="152"/>
        <v/>
      </c>
      <c r="AW239" s="129">
        <f>IF(AV239="","",AV239&amp;"."&amp;COUNTIFS($A$3:A239,A239,$AV$3:AV239,AV239))</f>
        <v/>
      </c>
      <c r="AX239" s="129">
        <f t="shared" si="153"/>
        <v/>
      </c>
      <c r="AY239" s="129">
        <f>IF(N239="б/к",0,IF(OR(ISNUMBER(SEARCH("L=",Разбивка_по_щитам!P239)),N239="+",N239="="),1,0))</f>
      </c>
      <c r="AZ239" s="129">
        <f t="shared" si="154"/>
      </c>
      <c r="BA239" s="129">
        <f t="shared" si="155"/>
      </c>
      <c r="BB239" s="129">
        <f t="shared" si="156"/>
      </c>
      <c r="BD239" s="129">
        <f t="shared" si="157"/>
      </c>
      <c r="BE239" s="129">
        <f t="shared" si="158"/>
      </c>
      <c r="BF239" s="129">
        <f t="shared" si="159"/>
      </c>
      <c r="BG239" s="129">
        <f t="shared" si="160"/>
        <v/>
      </c>
      <c r="BH239" s="129">
        <f t="shared" si="161"/>
        <v/>
      </c>
      <c r="BI239" s="129">
        <f t="shared" si="162"/>
        <v/>
      </c>
      <c r="BJ239" s="129">
        <f t="shared" si="163"/>
        <v/>
      </c>
      <c r="BK239" s="129">
        <f>IF(R239="","",IF(OR(BY239="",BY239=0),"BOX",IFERROR(IF(VLOOKUP(BY239,УГО_блоки,3,FALSE)&amp;""&lt;&gt;"",VLOOKUP(BY239,УГО_блоки,3,FALSE),VLOOKUP(BY239,УГО_блоки,2,FALSE)),BY239)))</f>
      </c>
      <c r="BL239" s="129">
        <f t="shared" si="165"/>
      </c>
      <c r="BM239" s="129">
        <f>IF(H239="","",IF(COUNTIF($H$3:H239,H239)=1,MAX($BM$2:BM238)+1,""))</f>
      </c>
      <c r="BN239" s="129">
        <f>IF(I239="","",IF(COUNTIF($I$3:I239,I239)+COUNTIF($J$2:J238,I239)+COUNTIF($K$2:K238,I239)=1,MAX($BN$2:BP238)+1,""))</f>
      </c>
      <c r="BO239" s="129">
        <f>IF(J239="","",IF(COUNTIF($I$3:I239,J239)+COUNTIF($J$3:J239,J239)+COUNTIF($K$2:K238,J239)=1,MAX($BN$2:BP238,BN239)+1,""))</f>
      </c>
      <c r="BP239" s="129">
        <f>IF(K239="","",IF(COUNTIF($I$3:I239,K239)+COUNTIF($J$3:J239,K239)+COUNTIF($K$3:K239,K239)=1,MAX($BN$2:BP238,BN239,BO239)+1,""))</f>
      </c>
      <c r="BQ239" s="129">
        <f>IF(AY239=1,IFERROR(MID(Q239,FIND(" (",Q239)+2,FIND(")",Q239,FIND(" (",Q239))-FIND(" (",Q239)-2),"?"),"")</f>
      </c>
      <c r="BR239" s="129">
        <f>IF(BQ239="","",IF(COUNTIF($BQ$3:BQ239,BQ239)=1,MAX($BR$2:BR238)+1,""))</f>
      </c>
      <c r="BS239" s="129">
        <f>IF(AW239="","",COUNTIF($AW$3:AW239,"?*"))</f>
      </c>
      <c r="BT239" s="129">
        <f>IF(OR(AW239="",AI239=""),"",IF(COUNTIFS($AW$3:AW239,"?*",$AI$3:AI239,AI239)=1,MAX($BT$2:BT238)+1,""))</f>
      </c>
      <c r="BU239" s="129">
        <f>IF(AE239="",0,IF(OR(ISNUMBER(SEARCH("дубль",AE239)),ISNUMBER(SEARCH("ПЕРЕГРУЗ",AE239)),ISNUMBER(SEARCH("ЗАЩИЩ",AE239)),ISNUMBER(SEARCH("КАНАЛ",AE239)),ISNUMBER(SEARCH("без 30",AE239))),2,1))</f>
      </c>
      <c r="BV239" s="129">
        <f>IF(R239="","",COUNTIF($R$3:R239,"?*"))</f>
      </c>
      <c r="BW239" s="129">
        <f>IF(AY239&lt;&gt;1,0,IF(MAX(IFERROR(--VLOOKUP(R239,УГО_спр,5,FALSE),0),IFERROR(--VLOOKUP(AL239,УГО_спр,5,FALSE),0),IFERROR(--VLOOKUP(LEFT(AL239,2),УГО_спр,5,FALSE),0))&gt;0,MAX(IFERROR(--VLOOKUP(R239,УГО_спр,5,FALSE),0),IFERROR(--VLOOKUP(AL239,УГО_спр,5,FALSE),0),IFERROR(--VLOOKUP(LEFT(AL239,2),УГО_спр,5,FALSE),0)),IF(IFERROR(--LEFT(SUBSTITUTE(BQ239,"x","х"),FIND("х",SUBSTITUTE(BQ239,"x","х"))-1),3)&gt;3,Каталог!$S$9,1)))</f>
      </c>
      <c r="BX239" s="129">
        <f>IF(AY239&lt;&gt;1,0,MAX(0,IFERROR(--LEFT(SUBSTITUTE(BQ239,"x","х"),FIND("х",SUBSTITUTE(BQ239,"x","х"))-1),3)-3*BW239))</f>
      </c>
      <c r="BY239" s="129">
        <f>IF(R239="","",IFERROR(VLOOKUP(R239,УГО_спр,2,FALSE),IFERROR(VLOOKUP(AL239,УГО_спр,2,FALSE),IFERROR(VLOOKUP(LEFT(AL239,2),УГО_спр,2,FALSE),""))))</f>
      </c>
    </row>
    <row r="240" spans="1:64" x14ac:dyDescent="0.3">
      <c r="A240" s="135">
        <f>IF(Разбивка_по_щитам!F240=0,"",Разбивка_по_щитам!F240)</f>
      </c>
      <c r="B240" s="138">
        <f>IF(A240="","",Разбивка_по_щитам!C240)</f>
      </c>
      <c r="C240" s="138">
        <f t="shared" si="128"/>
      </c>
      <c r="D240" s="266"/>
      <c r="E240" s="266"/>
      <c r="F240" s="267"/>
      <c r="G240" s="145">
        <f t="shared" si="129"/>
        <v/>
      </c>
      <c r="H240" s="145">
        <f t="shared" si="130"/>
        <v/>
      </c>
      <c r="I240" s="266"/>
      <c r="J240" s="267"/>
      <c r="K240" s="267"/>
      <c r="L240" s="266"/>
      <c r="M240" s="147">
        <f t="shared" si="168"/>
        <v/>
      </c>
      <c r="N240" s="267"/>
      <c r="O240" s="147">
        <f t="shared" si="169"/>
        <v/>
      </c>
      <c r="P240" s="268">
        <f>IF(AY240=1,"XT"&amp;COUNTIFS($A$3:A240,A240,$AY$3:AY240,1),"")</f>
        <v/>
      </c>
      <c r="Q240" s="152">
        <f>IF(R240="","",IFERROR(SUBSTITUTE(Разбивка_по_щитам!P240,CHAR(10)," "),""))</f>
        <v/>
      </c>
      <c r="R240" s="153">
        <f>IF(OR(Разбивка_по_щитам!H240="",Разбивка_по_щитам!H240=0),"",Разбивка_по_щитам!H240)</f>
        <v/>
      </c>
      <c r="S240" s="154">
        <f>IF(R240="","",IFERROR(Разбивка_по_щитам!J240&amp;"",""))</f>
        <v/>
      </c>
      <c r="T240" s="155">
        <f>IF(R240="","",IFERROR(--Разбивка_по_щитам!L240,""))</f>
        <v/>
      </c>
      <c r="U240" s="155">
        <f>IF(R240="","",IFERROR(--Разбивка_по_щитам!K240,""))</f>
        <v/>
      </c>
      <c r="V240" s="138">
        <f>IF(R240="","",IFERROR(IF(Разбивка_по_щитам!M240=0,"",Разбивка_по_щитам!M240),""))</f>
        <v/>
      </c>
      <c r="W240" s="156">
        <f t="shared" si="131"/>
        <v/>
      </c>
      <c r="X240" s="157">
        <f t="shared" si="132"/>
        <v/>
      </c>
      <c r="Y240" s="266"/>
      <c r="Z240" s="158">
        <f t="shared" si="133"/>
        <v/>
      </c>
      <c r="AA240" s="160">
        <f t="shared" si="134"/>
        <v/>
      </c>
      <c r="AB240" s="160">
        <f>IF(R240="","",IFERROR(LOOKUP(INDEX(Справочная!$I$4:$I$19,MATCH(VLOOKUP(R240,Исходные_данные,22,FALSE),Справочная!$J$4:$J$19,0)+1),{6,10,16,20,25,32,40,50,63,80,100,125}),""))</f>
        <v/>
      </c>
      <c r="AC240" s="160">
        <f t="shared" si="135"/>
        <v/>
      </c>
      <c r="AD240" s="161">
        <f t="shared" si="136"/>
        <v/>
      </c>
      <c r="AE240" s="161">
        <f>IF(AND(R240="",G240=""),"",_xlfn.TEXTJOIN("; ",TRUE,IF(AND(R240&lt;&gt;"",V240=""),"нет фазы",""),IF(AND(R240&lt;&gt;"",N(T240)=0),"нет мощности",""),IF(AND(P240&lt;&gt;"",COUNTIFS($A$3:$A$1000,A240,$P$3:$P$1000,P240)&gt;1),"дубль клеммы "&amp;P240,""),IF(AND(W240&lt;&gt;"",W240&lt;&gt;"ok"),W240,""),IF(X240&lt;&gt;"",X240,""),IF(AND(ISNUMBER(SEARCH("(5х",Q240)),N(AK240)=1),"5 жил на 1 фазе",""),IF(AND(AL240="R",E240&lt;&gt;"",N(AS240)=0),"розетка без 30 мА",""),IF(IFERROR(_xlfn.NUMBERVALUE(MID(Q240,FIND("-",Q240,FIND("L=",Q240))+1,FIND("%",Q240)-FIND("-",Q240,FIND("L=",Q240))-1),","),0)&gt;4,"потери &gt; 4 %","")))</f>
      </c>
      <c r="AF240" s="129">
        <f>IF(E240&lt;&gt;"",COUNTIFS($A$3:A240,A240,$E$3:E240,"?*"),IF(OR(A240&lt;&gt;A239,Y240="вручную"),"",AF239))</f>
      </c>
      <c r="AG240" s="129">
        <f t="shared" si="137"/>
      </c>
      <c r="AH240" s="129">
        <f t="shared" si="138"/>
        <v/>
      </c>
      <c r="AI240" s="129">
        <f t="shared" si="139"/>
        <v/>
      </c>
      <c r="AJ240" s="129">
        <f t="shared" si="140"/>
        <v/>
      </c>
      <c r="AK240" s="129">
        <f t="shared" si="141"/>
        <v/>
      </c>
      <c r="AL240" s="129">
        <f t="shared" si="142"/>
        <v/>
      </c>
      <c r="AM240" s="129">
        <f t="shared" si="143"/>
      </c>
      <c r="AN240" s="129">
        <f t="shared" si="144"/>
      </c>
      <c r="AO240" s="129">
        <f t="shared" si="145"/>
        <v/>
      </c>
      <c r="AP240" s="129">
        <f t="shared" si="146"/>
        <v/>
      </c>
      <c r="AQ240" s="129">
        <f t="shared" si="147"/>
        <v/>
      </c>
      <c r="AR240" s="129">
        <f t="shared" si="148"/>
        <v/>
      </c>
      <c r="AS240" s="129">
        <f t="shared" si="149"/>
        <v/>
      </c>
      <c r="AT240" s="129">
        <f t="shared" si="150"/>
        <v/>
      </c>
      <c r="AU240" s="129">
        <f t="shared" si="151"/>
        <v/>
      </c>
      <c r="AV240" s="129">
        <f t="shared" si="152"/>
        <v/>
      </c>
      <c r="AW240" s="129">
        <f>IF(AV240="","",AV240&amp;"."&amp;COUNTIFS($A$3:A240,A240,$AV$3:AV240,AV240))</f>
        <v/>
      </c>
      <c r="AX240" s="129">
        <f t="shared" si="153"/>
        <v/>
      </c>
      <c r="AY240" s="129">
        <f>IF(N240="б/к",0,IF(OR(ISNUMBER(SEARCH("L=",Разбивка_по_щитам!P240)),N240="+",N240="="),1,0))</f>
      </c>
      <c r="AZ240" s="129">
        <f t="shared" si="154"/>
      </c>
      <c r="BA240" s="129">
        <f t="shared" si="155"/>
      </c>
      <c r="BB240" s="129">
        <f t="shared" si="156"/>
      </c>
      <c r="BD240" s="129">
        <f t="shared" si="157"/>
      </c>
      <c r="BE240" s="129">
        <f t="shared" si="158"/>
      </c>
      <c r="BF240" s="129">
        <f t="shared" si="159"/>
      </c>
      <c r="BG240" s="129">
        <f t="shared" si="160"/>
        <v/>
      </c>
      <c r="BH240" s="129">
        <f t="shared" si="161"/>
        <v/>
      </c>
      <c r="BI240" s="129">
        <f t="shared" si="162"/>
        <v/>
      </c>
      <c r="BJ240" s="129">
        <f t="shared" si="163"/>
        <v/>
      </c>
      <c r="BK240" s="129">
        <f>IF(R240="","",IF(OR(BY240="",BY240=0),"BOX",IFERROR(IF(VLOOKUP(BY240,УГО_блоки,3,FALSE)&amp;""&lt;&gt;"",VLOOKUP(BY240,УГО_блоки,3,FALSE),VLOOKUP(BY240,УГО_блоки,2,FALSE)),BY240)))</f>
      </c>
      <c r="BL240" s="129">
        <f t="shared" si="165"/>
      </c>
      <c r="BM240" s="129">
        <f>IF(H240="","",IF(COUNTIF($H$3:H240,H240)=1,MAX($BM$2:BM239)+1,""))</f>
      </c>
      <c r="BN240" s="129">
        <f>IF(I240="","",IF(COUNTIF($I$3:I240,I240)+COUNTIF($J$2:J239,I240)+COUNTIF($K$2:K239,I240)=1,MAX($BN$2:BP239)+1,""))</f>
      </c>
      <c r="BO240" s="129">
        <f>IF(J240="","",IF(COUNTIF($I$3:I240,J240)+COUNTIF($J$3:J240,J240)+COUNTIF($K$2:K239,J240)=1,MAX($BN$2:BP239,BN240)+1,""))</f>
      </c>
      <c r="BP240" s="129">
        <f>IF(K240="","",IF(COUNTIF($I$3:I240,K240)+COUNTIF($J$3:J240,K240)+COUNTIF($K$3:K240,K240)=1,MAX($BN$2:BP239,BN240,BO240)+1,""))</f>
      </c>
      <c r="BQ240" s="129">
        <f>IF(AY240=1,IFERROR(MID(Q240,FIND(" (",Q240)+2,FIND(")",Q240,FIND(" (",Q240))-FIND(" (",Q240)-2),"?"),"")</f>
      </c>
      <c r="BR240" s="129">
        <f>IF(BQ240="","",IF(COUNTIF($BQ$3:BQ240,BQ240)=1,MAX($BR$2:BR239)+1,""))</f>
      </c>
      <c r="BS240" s="129">
        <f>IF(AW240="","",COUNTIF($AW$3:AW240,"?*"))</f>
      </c>
      <c r="BT240" s="129">
        <f>IF(OR(AW240="",AI240=""),"",IF(COUNTIFS($AW$3:AW240,"?*",$AI$3:AI240,AI240)=1,MAX($BT$2:BT239)+1,""))</f>
      </c>
      <c r="BU240" s="129">
        <f>IF(AE240="",0,IF(OR(ISNUMBER(SEARCH("дубль",AE240)),ISNUMBER(SEARCH("ПЕРЕГРУЗ",AE240)),ISNUMBER(SEARCH("ЗАЩИЩ",AE240)),ISNUMBER(SEARCH("КАНАЛ",AE240)),ISNUMBER(SEARCH("без 30",AE240))),2,1))</f>
      </c>
      <c r="BV240" s="129">
        <f>IF(R240="","",COUNTIF($R$3:R240,"?*"))</f>
      </c>
      <c r="BW240" s="129">
        <f>IF(AY240&lt;&gt;1,0,IF(MAX(IFERROR(--VLOOKUP(R240,УГО_спр,5,FALSE),0),IFERROR(--VLOOKUP(AL240,УГО_спр,5,FALSE),0),IFERROR(--VLOOKUP(LEFT(AL240,2),УГО_спр,5,FALSE),0))&gt;0,MAX(IFERROR(--VLOOKUP(R240,УГО_спр,5,FALSE),0),IFERROR(--VLOOKUP(AL240,УГО_спр,5,FALSE),0),IFERROR(--VLOOKUP(LEFT(AL240,2),УГО_спр,5,FALSE),0)),IF(IFERROR(--LEFT(SUBSTITUTE(BQ240,"x","х"),FIND("х",SUBSTITUTE(BQ240,"x","х"))-1),3)&gt;3,Каталог!$S$9,1)))</f>
      </c>
      <c r="BX240" s="129">
        <f>IF(AY240&lt;&gt;1,0,MAX(0,IFERROR(--LEFT(SUBSTITUTE(BQ240,"x","х"),FIND("х",SUBSTITUTE(BQ240,"x","х"))-1),3)-3*BW240))</f>
      </c>
      <c r="BY240" s="129">
        <f>IF(R240="","",IFERROR(VLOOKUP(R240,УГО_спр,2,FALSE),IFERROR(VLOOKUP(AL240,УГО_спр,2,FALSE),IFERROR(VLOOKUP(LEFT(AL240,2),УГО_спр,2,FALSE),""))))</f>
      </c>
    </row>
    <row r="241" spans="1:64" x14ac:dyDescent="0.3">
      <c r="A241" s="135">
        <f>IF(Разбивка_по_щитам!F241=0,"",Разбивка_по_щитам!F241)</f>
      </c>
      <c r="B241" s="138">
        <f>IF(A241="","",Разбивка_по_щитам!C241)</f>
      </c>
      <c r="C241" s="138">
        <f t="shared" si="128"/>
      </c>
      <c r="D241" s="266"/>
      <c r="E241" s="266"/>
      <c r="F241" s="267"/>
      <c r="G241" s="145">
        <f t="shared" si="129"/>
        <v/>
      </c>
      <c r="H241" s="145">
        <f t="shared" si="130"/>
        <v/>
      </c>
      <c r="I241" s="266"/>
      <c r="J241" s="267"/>
      <c r="K241" s="267"/>
      <c r="L241" s="266"/>
      <c r="M241" s="147">
        <f t="shared" si="168"/>
        <v/>
      </c>
      <c r="N241" s="267"/>
      <c r="O241" s="147">
        <f t="shared" si="169"/>
        <v/>
      </c>
      <c r="P241" s="268">
        <f>IF(AY241=1,"XT"&amp;COUNTIFS($A$3:A241,A241,$AY$3:AY241,1),"")</f>
        <v/>
      </c>
      <c r="Q241" s="152">
        <f>IF(R241="","",IFERROR(SUBSTITUTE(Разбивка_по_щитам!P241,CHAR(10)," "),""))</f>
        <v/>
      </c>
      <c r="R241" s="153">
        <f>IF(OR(Разбивка_по_щитам!H241="",Разбивка_по_щитам!H241=0),"",Разбивка_по_щитам!H241)</f>
        <v/>
      </c>
      <c r="S241" s="154">
        <f>IF(R241="","",IFERROR(Разбивка_по_щитам!J241&amp;"",""))</f>
        <v/>
      </c>
      <c r="T241" s="155">
        <f>IF(R241="","",IFERROR(--Разбивка_по_щитам!L241,""))</f>
        <v/>
      </c>
      <c r="U241" s="155">
        <f>IF(R241="","",IFERROR(--Разбивка_по_щитам!K241,""))</f>
        <v/>
      </c>
      <c r="V241" s="138">
        <f>IF(R241="","",IFERROR(IF(Разбивка_по_щитам!M241=0,"",Разбивка_по_щитам!M241),""))</f>
        <v/>
      </c>
      <c r="W241" s="156">
        <f t="shared" si="131"/>
        <v/>
      </c>
      <c r="X241" s="157">
        <f t="shared" si="132"/>
        <v/>
      </c>
      <c r="Y241" s="266"/>
      <c r="Z241" s="158">
        <f t="shared" si="133"/>
        <v/>
      </c>
      <c r="AA241" s="160">
        <f t="shared" si="134"/>
        <v/>
      </c>
      <c r="AB241" s="160">
        <f>IF(R241="","",IFERROR(LOOKUP(INDEX(Справочная!$I$4:$I$19,MATCH(VLOOKUP(R241,Исходные_данные,22,FALSE),Справочная!$J$4:$J$19,0)+1),{6,10,16,20,25,32,40,50,63,80,100,125}),""))</f>
        <v/>
      </c>
      <c r="AC241" s="160">
        <f t="shared" si="135"/>
        <v/>
      </c>
      <c r="AD241" s="161">
        <f t="shared" si="136"/>
        <v/>
      </c>
      <c r="AE241" s="161">
        <f>IF(AND(R241="",G241=""),"",_xlfn.TEXTJOIN("; ",TRUE,IF(AND(R241&lt;&gt;"",V241=""),"нет фазы",""),IF(AND(R241&lt;&gt;"",N(T241)=0),"нет мощности",""),IF(AND(P241&lt;&gt;"",COUNTIFS($A$3:$A$1000,A241,$P$3:$P$1000,P241)&gt;1),"дубль клеммы "&amp;P241,""),IF(AND(W241&lt;&gt;"",W241&lt;&gt;"ok"),W241,""),IF(X241&lt;&gt;"",X241,""),IF(AND(ISNUMBER(SEARCH("(5х",Q241)),N(AK241)=1),"5 жил на 1 фазе",""),IF(AND(AL241="R",E241&lt;&gt;"",N(AS241)=0),"розетка без 30 мА",""),IF(IFERROR(_xlfn.NUMBERVALUE(MID(Q241,FIND("-",Q241,FIND("L=",Q241))+1,FIND("%",Q241)-FIND("-",Q241,FIND("L=",Q241))-1),","),0)&gt;4,"потери &gt; 4 %","")))</f>
      </c>
      <c r="AF241" s="129">
        <f>IF(E241&lt;&gt;"",COUNTIFS($A$3:A241,A241,$E$3:E241,"?*"),IF(OR(A241&lt;&gt;A240,Y241="вручную"),"",AF240))</f>
      </c>
      <c r="AG241" s="129">
        <f t="shared" si="137"/>
      </c>
      <c r="AH241" s="129">
        <f t="shared" si="138"/>
        <v/>
      </c>
      <c r="AI241" s="129">
        <f t="shared" si="139"/>
        <v/>
      </c>
      <c r="AJ241" s="129">
        <f t="shared" si="140"/>
        <v/>
      </c>
      <c r="AK241" s="129">
        <f t="shared" si="141"/>
        <v/>
      </c>
      <c r="AL241" s="129">
        <f t="shared" si="142"/>
        <v/>
      </c>
      <c r="AM241" s="129">
        <f t="shared" si="143"/>
      </c>
      <c r="AN241" s="129">
        <f t="shared" si="144"/>
      </c>
      <c r="AO241" s="129">
        <f t="shared" si="145"/>
        <v/>
      </c>
      <c r="AP241" s="129">
        <f t="shared" si="146"/>
        <v/>
      </c>
      <c r="AQ241" s="129">
        <f t="shared" si="147"/>
        <v/>
      </c>
      <c r="AR241" s="129">
        <f t="shared" si="148"/>
        <v/>
      </c>
      <c r="AS241" s="129">
        <f t="shared" si="149"/>
        <v/>
      </c>
      <c r="AT241" s="129">
        <f t="shared" si="150"/>
        <v/>
      </c>
      <c r="AU241" s="129">
        <f t="shared" si="151"/>
        <v/>
      </c>
      <c r="AV241" s="129">
        <f t="shared" si="152"/>
        <v/>
      </c>
      <c r="AW241" s="129">
        <f>IF(AV241="","",AV241&amp;"."&amp;COUNTIFS($A$3:A241,A241,$AV$3:AV241,AV241))</f>
        <v/>
      </c>
      <c r="AX241" s="129">
        <f t="shared" si="153"/>
        <v/>
      </c>
      <c r="AY241" s="129">
        <f>IF(N241="б/к",0,IF(OR(ISNUMBER(SEARCH("L=",Разбивка_по_щитам!P241)),N241="+",N241="="),1,0))</f>
      </c>
      <c r="AZ241" s="129">
        <f t="shared" si="154"/>
      </c>
      <c r="BA241" s="129">
        <f t="shared" si="155"/>
      </c>
      <c r="BB241" s="129">
        <f t="shared" si="156"/>
      </c>
      <c r="BD241" s="129">
        <f t="shared" si="157"/>
      </c>
      <c r="BE241" s="129">
        <f t="shared" si="158"/>
      </c>
      <c r="BF241" s="129">
        <f t="shared" si="159"/>
      </c>
      <c r="BG241" s="129">
        <f t="shared" si="160"/>
        <v/>
      </c>
      <c r="BH241" s="129">
        <f t="shared" si="161"/>
        <v/>
      </c>
      <c r="BI241" s="129">
        <f t="shared" si="162"/>
        <v/>
      </c>
      <c r="BJ241" s="129">
        <f t="shared" si="163"/>
        <v/>
      </c>
      <c r="BK241" s="129">
        <f>IF(R241="","",IF(OR(BY241="",BY241=0),"BOX",IFERROR(IF(VLOOKUP(BY241,УГО_блоки,3,FALSE)&amp;""&lt;&gt;"",VLOOKUP(BY241,УГО_блоки,3,FALSE),VLOOKUP(BY241,УГО_блоки,2,FALSE)),BY241)))</f>
      </c>
      <c r="BL241" s="129">
        <f t="shared" si="165"/>
      </c>
      <c r="BM241" s="129">
        <f>IF(H241="","",IF(COUNTIF($H$3:H241,H241)=1,MAX($BM$2:BM240)+1,""))</f>
      </c>
      <c r="BN241" s="129">
        <f>IF(I241="","",IF(COUNTIF($I$3:I241,I241)+COUNTIF($J$2:J240,I241)+COUNTIF($K$2:K240,I241)=1,MAX($BN$2:BP240)+1,""))</f>
      </c>
      <c r="BO241" s="129">
        <f>IF(J241="","",IF(COUNTIF($I$3:I241,J241)+COUNTIF($J$3:J241,J241)+COUNTIF($K$2:K240,J241)=1,MAX($BN$2:BP240,BN241)+1,""))</f>
      </c>
      <c r="BP241" s="129">
        <f>IF(K241="","",IF(COUNTIF($I$3:I241,K241)+COUNTIF($J$3:J241,K241)+COUNTIF($K$3:K241,K241)=1,MAX($BN$2:BP240,BN241,BO241)+1,""))</f>
      </c>
      <c r="BQ241" s="129">
        <f>IF(AY241=1,IFERROR(MID(Q241,FIND(" (",Q241)+2,FIND(")",Q241,FIND(" (",Q241))-FIND(" (",Q241)-2),"?"),"")</f>
      </c>
      <c r="BR241" s="129">
        <f>IF(BQ241="","",IF(COUNTIF($BQ$3:BQ241,BQ241)=1,MAX($BR$2:BR240)+1,""))</f>
      </c>
      <c r="BS241" s="129">
        <f>IF(AW241="","",COUNTIF($AW$3:AW241,"?*"))</f>
      </c>
      <c r="BT241" s="129">
        <f>IF(OR(AW241="",AI241=""),"",IF(COUNTIFS($AW$3:AW241,"?*",$AI$3:AI241,AI241)=1,MAX($BT$2:BT240)+1,""))</f>
      </c>
      <c r="BU241" s="129">
        <f>IF(AE241="",0,IF(OR(ISNUMBER(SEARCH("дубль",AE241)),ISNUMBER(SEARCH("ПЕРЕГРУЗ",AE241)),ISNUMBER(SEARCH("ЗАЩИЩ",AE241)),ISNUMBER(SEARCH("КАНАЛ",AE241)),ISNUMBER(SEARCH("без 30",AE241))),2,1))</f>
      </c>
      <c r="BV241" s="129">
        <f>IF(R241="","",COUNTIF($R$3:R241,"?*"))</f>
      </c>
      <c r="BW241" s="129">
        <f>IF(AY241&lt;&gt;1,0,IF(MAX(IFERROR(--VLOOKUP(R241,УГО_спр,5,FALSE),0),IFERROR(--VLOOKUP(AL241,УГО_спр,5,FALSE),0),IFERROR(--VLOOKUP(LEFT(AL241,2),УГО_спр,5,FALSE),0))&gt;0,MAX(IFERROR(--VLOOKUP(R241,УГО_спр,5,FALSE),0),IFERROR(--VLOOKUP(AL241,УГО_спр,5,FALSE),0),IFERROR(--VLOOKUP(LEFT(AL241,2),УГО_спр,5,FALSE),0)),IF(IFERROR(--LEFT(SUBSTITUTE(BQ241,"x","х"),FIND("х",SUBSTITUTE(BQ241,"x","х"))-1),3)&gt;3,Каталог!$S$9,1)))</f>
      </c>
      <c r="BX241" s="129">
        <f>IF(AY241&lt;&gt;1,0,MAX(0,IFERROR(--LEFT(SUBSTITUTE(BQ241,"x","х"),FIND("х",SUBSTITUTE(BQ241,"x","х"))-1),3)-3*BW241))</f>
      </c>
      <c r="BY241" s="129">
        <f>IF(R241="","",IFERROR(VLOOKUP(R241,УГО_спр,2,FALSE),IFERROR(VLOOKUP(AL241,УГО_спр,2,FALSE),IFERROR(VLOOKUP(LEFT(AL241,2),УГО_спр,2,FALSE),""))))</f>
      </c>
    </row>
    <row r="242" spans="1:64" x14ac:dyDescent="0.3">
      <c r="A242" s="135">
        <f>IF(Разбивка_по_щитам!F242=0,"",Разбивка_по_щитам!F242)</f>
      </c>
      <c r="B242" s="138">
        <f>IF(A242="","",Разбивка_по_щитам!C242)</f>
      </c>
      <c r="C242" s="138">
        <f t="shared" si="128"/>
      </c>
      <c r="D242" s="266"/>
      <c r="E242" s="266"/>
      <c r="F242" s="267"/>
      <c r="G242" s="145">
        <f t="shared" si="129"/>
        <v/>
      </c>
      <c r="H242" s="145">
        <f t="shared" si="130"/>
        <v/>
      </c>
      <c r="I242" s="266"/>
      <c r="J242" s="267"/>
      <c r="K242" s="267"/>
      <c r="L242" s="266"/>
      <c r="M242" s="147">
        <f t="shared" si="168"/>
        <v/>
      </c>
      <c r="N242" s="267"/>
      <c r="O242" s="147">
        <f t="shared" si="169"/>
        <v/>
      </c>
      <c r="P242" s="268">
        <f>IF(AY242=1,"XT"&amp;COUNTIFS($A$3:A242,A242,$AY$3:AY242,1),"")</f>
        <v/>
      </c>
      <c r="Q242" s="152">
        <f>IF(R242="","",IFERROR(SUBSTITUTE(Разбивка_по_щитам!P242,CHAR(10)," "),""))</f>
        <v/>
      </c>
      <c r="R242" s="153">
        <f>IF(OR(Разбивка_по_щитам!H242="",Разбивка_по_щитам!H242=0),"",Разбивка_по_щитам!H242)</f>
        <v/>
      </c>
      <c r="S242" s="154">
        <f>IF(R242="","",IFERROR(Разбивка_по_щитам!J242&amp;"",""))</f>
        <v/>
      </c>
      <c r="T242" s="155">
        <f>IF(R242="","",IFERROR(--Разбивка_по_щитам!L242,""))</f>
        <v/>
      </c>
      <c r="U242" s="155">
        <f>IF(R242="","",IFERROR(--Разбивка_по_щитам!K242,""))</f>
        <v/>
      </c>
      <c r="V242" s="138">
        <f>IF(R242="","",IFERROR(IF(Разбивка_по_щитам!M242=0,"",Разбивка_по_щитам!M242),""))</f>
        <v/>
      </c>
      <c r="W242" s="156">
        <f t="shared" si="131"/>
        <v/>
      </c>
      <c r="X242" s="157">
        <f t="shared" si="132"/>
        <v/>
      </c>
      <c r="Y242" s="266"/>
      <c r="Z242" s="158">
        <f t="shared" si="133"/>
        <v/>
      </c>
      <c r="AA242" s="160">
        <f t="shared" si="134"/>
        <v/>
      </c>
      <c r="AB242" s="160">
        <f>IF(R242="","",IFERROR(LOOKUP(INDEX(Справочная!$I$4:$I$19,MATCH(VLOOKUP(R242,Исходные_данные,22,FALSE),Справочная!$J$4:$J$19,0)+1),{6,10,16,20,25,32,40,50,63,80,100,125}),""))</f>
        <v/>
      </c>
      <c r="AC242" s="160">
        <f t="shared" si="135"/>
        <v/>
      </c>
      <c r="AD242" s="161">
        <f t="shared" si="136"/>
        <v/>
      </c>
      <c r="AE242" s="161">
        <f>IF(AND(R242="",G242=""),"",_xlfn.TEXTJOIN("; ",TRUE,IF(AND(R242&lt;&gt;"",V242=""),"нет фазы",""),IF(AND(R242&lt;&gt;"",N(T242)=0),"нет мощности",""),IF(AND(P242&lt;&gt;"",COUNTIFS($A$3:$A$1000,A242,$P$3:$P$1000,P242)&gt;1),"дубль клеммы "&amp;P242,""),IF(AND(W242&lt;&gt;"",W242&lt;&gt;"ok"),W242,""),IF(X242&lt;&gt;"",X242,""),IF(AND(ISNUMBER(SEARCH("(5х",Q242)),N(AK242)=1),"5 жил на 1 фазе",""),IF(AND(AL242="R",E242&lt;&gt;"",N(AS242)=0),"розетка без 30 мА",""),IF(IFERROR(_xlfn.NUMBERVALUE(MID(Q242,FIND("-",Q242,FIND("L=",Q242))+1,FIND("%",Q242)-FIND("-",Q242,FIND("L=",Q242))-1),","),0)&gt;4,"потери &gt; 4 %","")))</f>
      </c>
      <c r="AF242" s="129">
        <f>IF(E242&lt;&gt;"",COUNTIFS($A$3:A242,A242,$E$3:E242,"?*"),IF(OR(A242&lt;&gt;A241,Y242="вручную"),"",AF241))</f>
      </c>
      <c r="AG242" s="129">
        <f t="shared" si="137"/>
      </c>
      <c r="AH242" s="129">
        <f t="shared" si="138"/>
        <v/>
      </c>
      <c r="AI242" s="129">
        <f t="shared" si="139"/>
        <v/>
      </c>
      <c r="AJ242" s="129">
        <f t="shared" si="140"/>
        <v/>
      </c>
      <c r="AK242" s="129">
        <f t="shared" si="141"/>
        <v/>
      </c>
      <c r="AL242" s="129">
        <f t="shared" si="142"/>
        <v/>
      </c>
      <c r="AM242" s="129">
        <f t="shared" si="143"/>
      </c>
      <c r="AN242" s="129">
        <f t="shared" si="144"/>
      </c>
      <c r="AO242" s="129">
        <f t="shared" si="145"/>
        <v/>
      </c>
      <c r="AP242" s="129">
        <f t="shared" si="146"/>
        <v/>
      </c>
      <c r="AQ242" s="129">
        <f t="shared" si="147"/>
        <v/>
      </c>
      <c r="AR242" s="129">
        <f t="shared" si="148"/>
        <v/>
      </c>
      <c r="AS242" s="129">
        <f t="shared" si="149"/>
        <v/>
      </c>
      <c r="AT242" s="129">
        <f t="shared" si="150"/>
        <v/>
      </c>
      <c r="AU242" s="129">
        <f t="shared" si="151"/>
        <v/>
      </c>
      <c r="AV242" s="129">
        <f t="shared" si="152"/>
        <v/>
      </c>
      <c r="AW242" s="129">
        <f>IF(AV242="","",AV242&amp;"."&amp;COUNTIFS($A$3:A242,A242,$AV$3:AV242,AV242))</f>
        <v/>
      </c>
      <c r="AX242" s="129">
        <f t="shared" si="153"/>
        <v/>
      </c>
      <c r="AY242" s="129">
        <f>IF(N242="б/к",0,IF(OR(ISNUMBER(SEARCH("L=",Разбивка_по_щитам!P242)),N242="+",N242="="),1,0))</f>
      </c>
      <c r="AZ242" s="129">
        <f t="shared" si="154"/>
      </c>
      <c r="BA242" s="129">
        <f t="shared" si="155"/>
      </c>
      <c r="BB242" s="129">
        <f t="shared" si="156"/>
      </c>
      <c r="BD242" s="129">
        <f t="shared" si="157"/>
      </c>
      <c r="BE242" s="129">
        <f t="shared" si="158"/>
      </c>
      <c r="BF242" s="129">
        <f t="shared" si="159"/>
      </c>
      <c r="BG242" s="129">
        <f t="shared" si="160"/>
        <v/>
      </c>
      <c r="BH242" s="129">
        <f t="shared" si="161"/>
        <v/>
      </c>
      <c r="BI242" s="129">
        <f t="shared" si="162"/>
        <v/>
      </c>
      <c r="BJ242" s="129">
        <f t="shared" si="163"/>
        <v/>
      </c>
      <c r="BK242" s="129">
        <f>IF(R242="","",IF(OR(BY242="",BY242=0),"BOX",IFERROR(IF(VLOOKUP(BY242,УГО_блоки,3,FALSE)&amp;""&lt;&gt;"",VLOOKUP(BY242,УГО_блоки,3,FALSE),VLOOKUP(BY242,УГО_блоки,2,FALSE)),BY242)))</f>
      </c>
      <c r="BL242" s="129">
        <f t="shared" si="165"/>
      </c>
      <c r="BM242" s="129">
        <f>IF(H242="","",IF(COUNTIF($H$3:H242,H242)=1,MAX($BM$2:BM241)+1,""))</f>
      </c>
      <c r="BN242" s="129">
        <f>IF(I242="","",IF(COUNTIF($I$3:I242,I242)+COUNTIF($J$2:J241,I242)+COUNTIF($K$2:K241,I242)=1,MAX($BN$2:BP241)+1,""))</f>
      </c>
      <c r="BO242" s="129">
        <f>IF(J242="","",IF(COUNTIF($I$3:I242,J242)+COUNTIF($J$3:J242,J242)+COUNTIF($K$2:K241,J242)=1,MAX($BN$2:BP241,BN242)+1,""))</f>
      </c>
      <c r="BP242" s="129">
        <f>IF(K242="","",IF(COUNTIF($I$3:I242,K242)+COUNTIF($J$3:J242,K242)+COUNTIF($K$3:K242,K242)=1,MAX($BN$2:BP241,BN242,BO242)+1,""))</f>
      </c>
      <c r="BQ242" s="129">
        <f>IF(AY242=1,IFERROR(MID(Q242,FIND(" (",Q242)+2,FIND(")",Q242,FIND(" (",Q242))-FIND(" (",Q242)-2),"?"),"")</f>
      </c>
      <c r="BR242" s="129">
        <f>IF(BQ242="","",IF(COUNTIF($BQ$3:BQ242,BQ242)=1,MAX($BR$2:BR241)+1,""))</f>
      </c>
      <c r="BS242" s="129">
        <f>IF(AW242="","",COUNTIF($AW$3:AW242,"?*"))</f>
      </c>
      <c r="BT242" s="129">
        <f>IF(OR(AW242="",AI242=""),"",IF(COUNTIFS($AW$3:AW242,"?*",$AI$3:AI242,AI242)=1,MAX($BT$2:BT241)+1,""))</f>
      </c>
      <c r="BU242" s="129">
        <f>IF(AE242="",0,IF(OR(ISNUMBER(SEARCH("дубль",AE242)),ISNUMBER(SEARCH("ПЕРЕГРУЗ",AE242)),ISNUMBER(SEARCH("ЗАЩИЩ",AE242)),ISNUMBER(SEARCH("КАНАЛ",AE242)),ISNUMBER(SEARCH("без 30",AE242))),2,1))</f>
      </c>
      <c r="BV242" s="129">
        <f>IF(R242="","",COUNTIF($R$3:R242,"?*"))</f>
      </c>
      <c r="BW242" s="129">
        <f>IF(AY242&lt;&gt;1,0,IF(MAX(IFERROR(--VLOOKUP(R242,УГО_спр,5,FALSE),0),IFERROR(--VLOOKUP(AL242,УГО_спр,5,FALSE),0),IFERROR(--VLOOKUP(LEFT(AL242,2),УГО_спр,5,FALSE),0))&gt;0,MAX(IFERROR(--VLOOKUP(R242,УГО_спр,5,FALSE),0),IFERROR(--VLOOKUP(AL242,УГО_спр,5,FALSE),0),IFERROR(--VLOOKUP(LEFT(AL242,2),УГО_спр,5,FALSE),0)),IF(IFERROR(--LEFT(SUBSTITUTE(BQ242,"x","х"),FIND("х",SUBSTITUTE(BQ242,"x","х"))-1),3)&gt;3,Каталог!$S$9,1)))</f>
      </c>
      <c r="BX242" s="129">
        <f>IF(AY242&lt;&gt;1,0,MAX(0,IFERROR(--LEFT(SUBSTITUTE(BQ242,"x","х"),FIND("х",SUBSTITUTE(BQ242,"x","х"))-1),3)-3*BW242))</f>
      </c>
      <c r="BY242" s="129">
        <f>IF(R242="","",IFERROR(VLOOKUP(R242,УГО_спр,2,FALSE),IFERROR(VLOOKUP(AL242,УГО_спр,2,FALSE),IFERROR(VLOOKUP(LEFT(AL242,2),УГО_спр,2,FALSE),""))))</f>
      </c>
    </row>
    <row r="243" spans="1:64" x14ac:dyDescent="0.3">
      <c r="A243" s="135">
        <f>IF(Разбивка_по_щитам!F243=0,"",Разбивка_по_щитам!F243)</f>
      </c>
      <c r="B243" s="138">
        <f>IF(A243="","",Разбивка_по_щитам!C243)</f>
      </c>
      <c r="C243" s="138">
        <f t="shared" si="128"/>
      </c>
      <c r="D243" s="266"/>
      <c r="E243" s="266"/>
      <c r="F243" s="267"/>
      <c r="G243" s="145">
        <f t="shared" si="129"/>
        <v/>
      </c>
      <c r="H243" s="145">
        <f t="shared" si="130"/>
        <v/>
      </c>
      <c r="I243" s="266"/>
      <c r="J243" s="267"/>
      <c r="K243" s="267"/>
      <c r="L243" s="266"/>
      <c r="M243" s="147">
        <f t="shared" si="168"/>
        <v/>
      </c>
      <c r="N243" s="267"/>
      <c r="O243" s="147">
        <f t="shared" si="169"/>
        <v/>
      </c>
      <c r="P243" s="268">
        <f>IF(AY243=1,"XT"&amp;COUNTIFS($A$3:A243,A243,$AY$3:AY243,1),"")</f>
        <v/>
      </c>
      <c r="Q243" s="152">
        <f>IF(R243="","",IFERROR(SUBSTITUTE(Разбивка_по_щитам!P243,CHAR(10)," "),""))</f>
        <v/>
      </c>
      <c r="R243" s="153">
        <f>IF(OR(Разбивка_по_щитам!H243="",Разбивка_по_щитам!H243=0),"",Разбивка_по_щитам!H243)</f>
        <v/>
      </c>
      <c r="S243" s="154">
        <f>IF(R243="","",IFERROR(Разбивка_по_щитам!J243&amp;"",""))</f>
        <v/>
      </c>
      <c r="T243" s="155">
        <f>IF(R243="","",IFERROR(--Разбивка_по_щитам!L243,""))</f>
        <v/>
      </c>
      <c r="U243" s="155">
        <f>IF(R243="","",IFERROR(--Разбивка_по_щитам!K243,""))</f>
        <v/>
      </c>
      <c r="V243" s="138">
        <f>IF(R243="","",IFERROR(IF(Разбивка_по_щитам!M243=0,"",Разбивка_по_щитам!M243),""))</f>
        <v/>
      </c>
      <c r="W243" s="156">
        <f t="shared" si="131"/>
        <v/>
      </c>
      <c r="X243" s="157">
        <f t="shared" si="132"/>
        <v/>
      </c>
      <c r="Y243" s="266"/>
      <c r="Z243" s="158">
        <f t="shared" si="133"/>
        <v/>
      </c>
      <c r="AA243" s="160">
        <f t="shared" si="134"/>
        <v/>
      </c>
      <c r="AB243" s="160">
        <f>IF(R243="","",IFERROR(LOOKUP(INDEX(Справочная!$I$4:$I$19,MATCH(VLOOKUP(R243,Исходные_данные,22,FALSE),Справочная!$J$4:$J$19,0)+1),{6,10,16,20,25,32,40,50,63,80,100,125}),""))</f>
        <v/>
      </c>
      <c r="AC243" s="160">
        <f t="shared" si="135"/>
        <v/>
      </c>
      <c r="AD243" s="161">
        <f t="shared" si="136"/>
        <v/>
      </c>
      <c r="AE243" s="161">
        <f>IF(AND(R243="",G243=""),"",_xlfn.TEXTJOIN("; ",TRUE,IF(AND(R243&lt;&gt;"",V243=""),"нет фазы",""),IF(AND(R243&lt;&gt;"",N(T243)=0),"нет мощности",""),IF(AND(P243&lt;&gt;"",COUNTIFS($A$3:$A$1000,A243,$P$3:$P$1000,P243)&gt;1),"дубль клеммы "&amp;P243,""),IF(AND(W243&lt;&gt;"",W243&lt;&gt;"ok"),W243,""),IF(X243&lt;&gt;"",X243,""),IF(AND(ISNUMBER(SEARCH("(5х",Q243)),N(AK243)=1),"5 жил на 1 фазе",""),IF(AND(AL243="R",E243&lt;&gt;"",N(AS243)=0),"розетка без 30 мА",""),IF(IFERROR(_xlfn.NUMBERVALUE(MID(Q243,FIND("-",Q243,FIND("L=",Q243))+1,FIND("%",Q243)-FIND("-",Q243,FIND("L=",Q243))-1),","),0)&gt;4,"потери &gt; 4 %","")))</f>
      </c>
      <c r="AF243" s="129">
        <f>IF(E243&lt;&gt;"",COUNTIFS($A$3:A243,A243,$E$3:E243,"?*"),IF(OR(A243&lt;&gt;A242,Y243="вручную"),"",AF242))</f>
      </c>
      <c r="AG243" s="129">
        <f t="shared" si="137"/>
      </c>
      <c r="AH243" s="129">
        <f t="shared" si="138"/>
        <v/>
      </c>
      <c r="AI243" s="129">
        <f t="shared" si="139"/>
        <v/>
      </c>
      <c r="AJ243" s="129">
        <f t="shared" si="140"/>
        <v/>
      </c>
      <c r="AK243" s="129">
        <f t="shared" si="141"/>
        <v/>
      </c>
      <c r="AL243" s="129">
        <f t="shared" si="142"/>
        <v/>
      </c>
      <c r="AM243" s="129">
        <f t="shared" si="143"/>
      </c>
      <c r="AN243" s="129">
        <f t="shared" si="144"/>
      </c>
      <c r="AO243" s="129">
        <f t="shared" si="145"/>
        <v/>
      </c>
      <c r="AP243" s="129">
        <f t="shared" si="146"/>
        <v/>
      </c>
      <c r="AQ243" s="129">
        <f t="shared" si="147"/>
        <v/>
      </c>
      <c r="AR243" s="129">
        <f t="shared" si="148"/>
        <v/>
      </c>
      <c r="AS243" s="129">
        <f t="shared" si="149"/>
        <v/>
      </c>
      <c r="AT243" s="129">
        <f t="shared" si="150"/>
        <v/>
      </c>
      <c r="AU243" s="129">
        <f t="shared" si="151"/>
        <v/>
      </c>
      <c r="AV243" s="129">
        <f t="shared" si="152"/>
        <v/>
      </c>
      <c r="AW243" s="129">
        <f>IF(AV243="","",AV243&amp;"."&amp;COUNTIFS($A$3:A243,A243,$AV$3:AV243,AV243))</f>
        <v/>
      </c>
      <c r="AX243" s="129">
        <f t="shared" si="153"/>
        <v/>
      </c>
      <c r="AY243" s="129">
        <f>IF(N243="б/к",0,IF(OR(ISNUMBER(SEARCH("L=",Разбивка_по_щитам!P243)),N243="+",N243="="),1,0))</f>
      </c>
      <c r="AZ243" s="129">
        <f t="shared" si="154"/>
      </c>
      <c r="BA243" s="129">
        <f t="shared" si="155"/>
      </c>
      <c r="BB243" s="129">
        <f t="shared" si="156"/>
      </c>
      <c r="BD243" s="129">
        <f t="shared" si="157"/>
      </c>
      <c r="BE243" s="129">
        <f t="shared" si="158"/>
      </c>
      <c r="BF243" s="129">
        <f t="shared" si="159"/>
      </c>
      <c r="BG243" s="129">
        <f t="shared" si="160"/>
        <v/>
      </c>
      <c r="BH243" s="129">
        <f t="shared" si="161"/>
        <v/>
      </c>
      <c r="BI243" s="129">
        <f t="shared" si="162"/>
        <v/>
      </c>
      <c r="BJ243" s="129">
        <f t="shared" si="163"/>
        <v/>
      </c>
      <c r="BK243" s="129">
        <f>IF(R243="","",IF(OR(BY243="",BY243=0),"BOX",IFERROR(IF(VLOOKUP(BY243,УГО_блоки,3,FALSE)&amp;""&lt;&gt;"",VLOOKUP(BY243,УГО_блоки,3,FALSE),VLOOKUP(BY243,УГО_блоки,2,FALSE)),BY243)))</f>
      </c>
      <c r="BL243" s="129">
        <f t="shared" si="165"/>
      </c>
      <c r="BM243" s="129">
        <f>IF(H243="","",IF(COUNTIF($H$3:H243,H243)=1,MAX($BM$2:BM242)+1,""))</f>
      </c>
      <c r="BN243" s="129">
        <f>IF(I243="","",IF(COUNTIF($I$3:I243,I243)+COUNTIF($J$2:J242,I243)+COUNTIF($K$2:K242,I243)=1,MAX($BN$2:BP242)+1,""))</f>
      </c>
      <c r="BO243" s="129">
        <f>IF(J243="","",IF(COUNTIF($I$3:I243,J243)+COUNTIF($J$3:J243,J243)+COUNTIF($K$2:K242,J243)=1,MAX($BN$2:BP242,BN243)+1,""))</f>
      </c>
      <c r="BP243" s="129">
        <f>IF(K243="","",IF(COUNTIF($I$3:I243,K243)+COUNTIF($J$3:J243,K243)+COUNTIF($K$3:K243,K243)=1,MAX($BN$2:BP242,BN243,BO243)+1,""))</f>
      </c>
      <c r="BQ243" s="129">
        <f>IF(AY243=1,IFERROR(MID(Q243,FIND(" (",Q243)+2,FIND(")",Q243,FIND(" (",Q243))-FIND(" (",Q243)-2),"?"),"")</f>
      </c>
      <c r="BR243" s="129">
        <f>IF(BQ243="","",IF(COUNTIF($BQ$3:BQ243,BQ243)=1,MAX($BR$2:BR242)+1,""))</f>
      </c>
      <c r="BS243" s="129">
        <f>IF(AW243="","",COUNTIF($AW$3:AW243,"?*"))</f>
      </c>
      <c r="BT243" s="129">
        <f>IF(OR(AW243="",AI243=""),"",IF(COUNTIFS($AW$3:AW243,"?*",$AI$3:AI243,AI243)=1,MAX($BT$2:BT242)+1,""))</f>
      </c>
      <c r="BU243" s="129">
        <f>IF(AE243="",0,IF(OR(ISNUMBER(SEARCH("дубль",AE243)),ISNUMBER(SEARCH("ПЕРЕГРУЗ",AE243)),ISNUMBER(SEARCH("ЗАЩИЩ",AE243)),ISNUMBER(SEARCH("КАНАЛ",AE243)),ISNUMBER(SEARCH("без 30",AE243))),2,1))</f>
      </c>
      <c r="BV243" s="129">
        <f>IF(R243="","",COUNTIF($R$3:R243,"?*"))</f>
      </c>
      <c r="BW243" s="129">
        <f>IF(AY243&lt;&gt;1,0,IF(MAX(IFERROR(--VLOOKUP(R243,УГО_спр,5,FALSE),0),IFERROR(--VLOOKUP(AL243,УГО_спр,5,FALSE),0),IFERROR(--VLOOKUP(LEFT(AL243,2),УГО_спр,5,FALSE),0))&gt;0,MAX(IFERROR(--VLOOKUP(R243,УГО_спр,5,FALSE),0),IFERROR(--VLOOKUP(AL243,УГО_спр,5,FALSE),0),IFERROR(--VLOOKUP(LEFT(AL243,2),УГО_спр,5,FALSE),0)),IF(IFERROR(--LEFT(SUBSTITUTE(BQ243,"x","х"),FIND("х",SUBSTITUTE(BQ243,"x","х"))-1),3)&gt;3,Каталог!$S$9,1)))</f>
      </c>
      <c r="BX243" s="129">
        <f>IF(AY243&lt;&gt;1,0,MAX(0,IFERROR(--LEFT(SUBSTITUTE(BQ243,"x","х"),FIND("х",SUBSTITUTE(BQ243,"x","х"))-1),3)-3*BW243))</f>
      </c>
      <c r="BY243" s="129">
        <f>IF(R243="","",IFERROR(VLOOKUP(R243,УГО_спр,2,FALSE),IFERROR(VLOOKUP(AL243,УГО_спр,2,FALSE),IFERROR(VLOOKUP(LEFT(AL243,2),УГО_спр,2,FALSE),""))))</f>
      </c>
    </row>
    <row r="244" spans="1:64" x14ac:dyDescent="0.3">
      <c r="A244" s="135">
        <f>IF(Разбивка_по_щитам!F244=0,"",Разбивка_по_щитам!F244)</f>
      </c>
      <c r="B244" s="138">
        <f>IF(A244="","",Разбивка_по_щитам!C244)</f>
      </c>
      <c r="C244" s="138">
        <f t="shared" si="128"/>
      </c>
      <c r="D244" s="266"/>
      <c r="E244" s="266"/>
      <c r="F244" s="267"/>
      <c r="G244" s="145">
        <f t="shared" si="129"/>
        <v/>
      </c>
      <c r="H244" s="145">
        <f t="shared" si="130"/>
        <v/>
      </c>
      <c r="I244" s="266"/>
      <c r="J244" s="267"/>
      <c r="K244" s="267"/>
      <c r="L244" s="266"/>
      <c r="M244" s="147">
        <f t="shared" si="168"/>
        <v/>
      </c>
      <c r="N244" s="267"/>
      <c r="O244" s="147">
        <f t="shared" si="169"/>
        <v/>
      </c>
      <c r="P244" s="268">
        <f>IF(AY244=1,"XT"&amp;COUNTIFS($A$3:A244,A244,$AY$3:AY244,1),"")</f>
        <v/>
      </c>
      <c r="Q244" s="152">
        <f>IF(R244="","",IFERROR(SUBSTITUTE(Разбивка_по_щитам!P244,CHAR(10)," "),""))</f>
        <v/>
      </c>
      <c r="R244" s="153">
        <f>IF(OR(Разбивка_по_щитам!H244="",Разбивка_по_щитам!H244=0),"",Разбивка_по_щитам!H244)</f>
        <v/>
      </c>
      <c r="S244" s="154">
        <f>IF(R244="","",IFERROR(Разбивка_по_щитам!J244&amp;"",""))</f>
        <v/>
      </c>
      <c r="T244" s="155">
        <f>IF(R244="","",IFERROR(--Разбивка_по_щитам!L244,""))</f>
        <v/>
      </c>
      <c r="U244" s="155">
        <f>IF(R244="","",IFERROR(--Разбивка_по_щитам!K244,""))</f>
        <v/>
      </c>
      <c r="V244" s="138">
        <f>IF(R244="","",IFERROR(IF(Разбивка_по_щитам!M244=0,"",Разбивка_по_щитам!M244),""))</f>
        <v/>
      </c>
      <c r="W244" s="156">
        <f t="shared" si="131"/>
        <v/>
      </c>
      <c r="X244" s="157">
        <f t="shared" si="132"/>
        <v/>
      </c>
      <c r="Y244" s="266"/>
      <c r="Z244" s="158">
        <f t="shared" si="133"/>
        <v/>
      </c>
      <c r="AA244" s="160">
        <f t="shared" si="134"/>
        <v/>
      </c>
      <c r="AB244" s="160">
        <f>IF(R244="","",IFERROR(LOOKUP(INDEX(Справочная!$I$4:$I$19,MATCH(VLOOKUP(R244,Исходные_данные,22,FALSE),Справочная!$J$4:$J$19,0)+1),{6,10,16,20,25,32,40,50,63,80,100,125}),""))</f>
        <v/>
      </c>
      <c r="AC244" s="160">
        <f t="shared" si="135"/>
        <v/>
      </c>
      <c r="AD244" s="161">
        <f t="shared" si="136"/>
        <v/>
      </c>
      <c r="AE244" s="161">
        <f>IF(AND(R244="",G244=""),"",_xlfn.TEXTJOIN("; ",TRUE,IF(AND(R244&lt;&gt;"",V244=""),"нет фазы",""),IF(AND(R244&lt;&gt;"",N(T244)=0),"нет мощности",""),IF(AND(P244&lt;&gt;"",COUNTIFS($A$3:$A$1000,A244,$P$3:$P$1000,P244)&gt;1),"дубль клеммы "&amp;P244,""),IF(AND(W244&lt;&gt;"",W244&lt;&gt;"ok"),W244,""),IF(X244&lt;&gt;"",X244,""),IF(AND(ISNUMBER(SEARCH("(5х",Q244)),N(AK244)=1),"5 жил на 1 фазе",""),IF(AND(AL244="R",E244&lt;&gt;"",N(AS244)=0),"розетка без 30 мА",""),IF(IFERROR(_xlfn.NUMBERVALUE(MID(Q244,FIND("-",Q244,FIND("L=",Q244))+1,FIND("%",Q244)-FIND("-",Q244,FIND("L=",Q244))-1),","),0)&gt;4,"потери &gt; 4 %","")))</f>
      </c>
      <c r="AF244" s="129">
        <f>IF(E244&lt;&gt;"",COUNTIFS($A$3:A244,A244,$E$3:E244,"?*"),IF(OR(A244&lt;&gt;A243,Y244="вручную"),"",AF243))</f>
      </c>
      <c r="AG244" s="129">
        <f t="shared" si="137"/>
      </c>
      <c r="AH244" s="129">
        <f t="shared" si="138"/>
        <v/>
      </c>
      <c r="AI244" s="129">
        <f t="shared" si="139"/>
        <v/>
      </c>
      <c r="AJ244" s="129">
        <f t="shared" si="140"/>
        <v/>
      </c>
      <c r="AK244" s="129">
        <f t="shared" si="141"/>
        <v/>
      </c>
      <c r="AL244" s="129">
        <f t="shared" si="142"/>
        <v/>
      </c>
      <c r="AM244" s="129">
        <f t="shared" si="143"/>
      </c>
      <c r="AN244" s="129">
        <f t="shared" si="144"/>
      </c>
      <c r="AO244" s="129">
        <f t="shared" si="145"/>
        <v/>
      </c>
      <c r="AP244" s="129">
        <f t="shared" si="146"/>
        <v/>
      </c>
      <c r="AQ244" s="129">
        <f t="shared" si="147"/>
        <v/>
      </c>
      <c r="AR244" s="129">
        <f t="shared" si="148"/>
        <v/>
      </c>
      <c r="AS244" s="129">
        <f t="shared" si="149"/>
        <v/>
      </c>
      <c r="AT244" s="129">
        <f t="shared" si="150"/>
        <v/>
      </c>
      <c r="AU244" s="129">
        <f t="shared" si="151"/>
        <v/>
      </c>
      <c r="AV244" s="129">
        <f t="shared" si="152"/>
        <v/>
      </c>
      <c r="AW244" s="129">
        <f>IF(AV244="","",AV244&amp;"."&amp;COUNTIFS($A$3:A244,A244,$AV$3:AV244,AV244))</f>
        <v/>
      </c>
      <c r="AX244" s="129">
        <f t="shared" si="153"/>
        <v/>
      </c>
      <c r="AY244" s="129">
        <f>IF(N244="б/к",0,IF(OR(ISNUMBER(SEARCH("L=",Разбивка_по_щитам!P244)),N244="+",N244="="),1,0))</f>
      </c>
      <c r="AZ244" s="129">
        <f t="shared" si="154"/>
      </c>
      <c r="BA244" s="129">
        <f t="shared" si="155"/>
      </c>
      <c r="BB244" s="129">
        <f t="shared" si="156"/>
      </c>
      <c r="BD244" s="129">
        <f t="shared" si="157"/>
      </c>
      <c r="BE244" s="129">
        <f t="shared" si="158"/>
      </c>
      <c r="BF244" s="129">
        <f t="shared" si="159"/>
      </c>
      <c r="BG244" s="129">
        <f t="shared" si="160"/>
        <v/>
      </c>
      <c r="BH244" s="129">
        <f t="shared" si="161"/>
        <v/>
      </c>
      <c r="BI244" s="129">
        <f t="shared" si="162"/>
        <v/>
      </c>
      <c r="BJ244" s="129">
        <f t="shared" si="163"/>
        <v/>
      </c>
      <c r="BK244" s="129">
        <f>IF(R244="","",IF(OR(BY244="",BY244=0),"BOX",IFERROR(IF(VLOOKUP(BY244,УГО_блоки,3,FALSE)&amp;""&lt;&gt;"",VLOOKUP(BY244,УГО_блоки,3,FALSE),VLOOKUP(BY244,УГО_блоки,2,FALSE)),BY244)))</f>
      </c>
      <c r="BL244" s="129">
        <f t="shared" si="165"/>
      </c>
      <c r="BM244" s="129">
        <f>IF(H244="","",IF(COUNTIF($H$3:H244,H244)=1,MAX($BM$2:BM243)+1,""))</f>
      </c>
      <c r="BN244" s="129">
        <f>IF(I244="","",IF(COUNTIF($I$3:I244,I244)+COUNTIF($J$2:J243,I244)+COUNTIF($K$2:K243,I244)=1,MAX($BN$2:BP243)+1,""))</f>
      </c>
      <c r="BO244" s="129">
        <f>IF(J244="","",IF(COUNTIF($I$3:I244,J244)+COUNTIF($J$3:J244,J244)+COUNTIF($K$2:K243,J244)=1,MAX($BN$2:BP243,BN244)+1,""))</f>
      </c>
      <c r="BP244" s="129">
        <f>IF(K244="","",IF(COUNTIF($I$3:I244,K244)+COUNTIF($J$3:J244,K244)+COUNTIF($K$3:K244,K244)=1,MAX($BN$2:BP243,BN244,BO244)+1,""))</f>
      </c>
      <c r="BQ244" s="129">
        <f>IF(AY244=1,IFERROR(MID(Q244,FIND(" (",Q244)+2,FIND(")",Q244,FIND(" (",Q244))-FIND(" (",Q244)-2),"?"),"")</f>
      </c>
      <c r="BR244" s="129">
        <f>IF(BQ244="","",IF(COUNTIF($BQ$3:BQ244,BQ244)=1,MAX($BR$2:BR243)+1,""))</f>
      </c>
      <c r="BS244" s="129">
        <f>IF(AW244="","",COUNTIF($AW$3:AW244,"?*"))</f>
      </c>
      <c r="BT244" s="129">
        <f>IF(OR(AW244="",AI244=""),"",IF(COUNTIFS($AW$3:AW244,"?*",$AI$3:AI244,AI244)=1,MAX($BT$2:BT243)+1,""))</f>
      </c>
      <c r="BU244" s="129">
        <f>IF(AE244="",0,IF(OR(ISNUMBER(SEARCH("дубль",AE244)),ISNUMBER(SEARCH("ПЕРЕГРУЗ",AE244)),ISNUMBER(SEARCH("ЗАЩИЩ",AE244)),ISNUMBER(SEARCH("КАНАЛ",AE244)),ISNUMBER(SEARCH("без 30",AE244))),2,1))</f>
      </c>
      <c r="BV244" s="129">
        <f>IF(R244="","",COUNTIF($R$3:R244,"?*"))</f>
      </c>
      <c r="BW244" s="129">
        <f>IF(AY244&lt;&gt;1,0,IF(MAX(IFERROR(--VLOOKUP(R244,УГО_спр,5,FALSE),0),IFERROR(--VLOOKUP(AL244,УГО_спр,5,FALSE),0),IFERROR(--VLOOKUP(LEFT(AL244,2),УГО_спр,5,FALSE),0))&gt;0,MAX(IFERROR(--VLOOKUP(R244,УГО_спр,5,FALSE),0),IFERROR(--VLOOKUP(AL244,УГО_спр,5,FALSE),0),IFERROR(--VLOOKUP(LEFT(AL244,2),УГО_спр,5,FALSE),0)),IF(IFERROR(--LEFT(SUBSTITUTE(BQ244,"x","х"),FIND("х",SUBSTITUTE(BQ244,"x","х"))-1),3)&gt;3,Каталог!$S$9,1)))</f>
      </c>
      <c r="BX244" s="129">
        <f>IF(AY244&lt;&gt;1,0,MAX(0,IFERROR(--LEFT(SUBSTITUTE(BQ244,"x","х"),FIND("х",SUBSTITUTE(BQ244,"x","х"))-1),3)-3*BW244))</f>
      </c>
      <c r="BY244" s="129">
        <f>IF(R244="","",IFERROR(VLOOKUP(R244,УГО_спр,2,FALSE),IFERROR(VLOOKUP(AL244,УГО_спр,2,FALSE),IFERROR(VLOOKUP(LEFT(AL244,2),УГО_спр,2,FALSE),""))))</f>
      </c>
    </row>
    <row r="245" spans="1:64" x14ac:dyDescent="0.3">
      <c r="A245" s="135">
        <f>IF(Разбивка_по_щитам!F245=0,"",Разбивка_по_щитам!F245)</f>
      </c>
      <c r="B245" s="138">
        <f>IF(A245="","",Разбивка_по_щитам!C245)</f>
      </c>
      <c r="C245" s="138">
        <f t="shared" si="128"/>
      </c>
      <c r="D245" s="266"/>
      <c r="E245" s="266"/>
      <c r="F245" s="267"/>
      <c r="G245" s="145">
        <f t="shared" si="129"/>
        <v/>
      </c>
      <c r="H245" s="145">
        <f t="shared" si="130"/>
        <v/>
      </c>
      <c r="I245" s="266"/>
      <c r="J245" s="267"/>
      <c r="K245" s="267"/>
      <c r="L245" s="266"/>
      <c r="M245" s="147">
        <f t="shared" si="168"/>
        <v/>
      </c>
      <c r="N245" s="267"/>
      <c r="O245" s="147">
        <f t="shared" si="169"/>
        <v/>
      </c>
      <c r="P245" s="268">
        <f>IF(AY245=1,"XT"&amp;COUNTIFS($A$3:A245,A245,$AY$3:AY245,1),"")</f>
        <v/>
      </c>
      <c r="Q245" s="152">
        <f>IF(R245="","",IFERROR(SUBSTITUTE(Разбивка_по_щитам!P245,CHAR(10)," "),""))</f>
        <v/>
      </c>
      <c r="R245" s="153">
        <f>IF(OR(Разбивка_по_щитам!H245="",Разбивка_по_щитам!H245=0),"",Разбивка_по_щитам!H245)</f>
        <v/>
      </c>
      <c r="S245" s="154">
        <f>IF(R245="","",IFERROR(Разбивка_по_щитам!J245&amp;"",""))</f>
        <v/>
      </c>
      <c r="T245" s="155">
        <f>IF(R245="","",IFERROR(--Разбивка_по_щитам!L245,""))</f>
        <v/>
      </c>
      <c r="U245" s="155">
        <f>IF(R245="","",IFERROR(--Разбивка_по_щитам!K245,""))</f>
        <v/>
      </c>
      <c r="V245" s="138">
        <f>IF(R245="","",IFERROR(IF(Разбивка_по_щитам!M245=0,"",Разбивка_по_щитам!M245),""))</f>
        <v/>
      </c>
      <c r="W245" s="156">
        <f t="shared" si="131"/>
        <v/>
      </c>
      <c r="X245" s="157">
        <f t="shared" si="132"/>
        <v/>
      </c>
      <c r="Y245" s="266"/>
      <c r="Z245" s="158">
        <f t="shared" si="133"/>
        <v/>
      </c>
      <c r="AA245" s="160">
        <f t="shared" si="134"/>
        <v/>
      </c>
      <c r="AB245" s="160">
        <f>IF(R245="","",IFERROR(LOOKUP(INDEX(Справочная!$I$4:$I$19,MATCH(VLOOKUP(R245,Исходные_данные,22,FALSE),Справочная!$J$4:$J$19,0)+1),{6,10,16,20,25,32,40,50,63,80,100,125}),""))</f>
        <v/>
      </c>
      <c r="AC245" s="160">
        <f t="shared" si="135"/>
        <v/>
      </c>
      <c r="AD245" s="161">
        <f t="shared" si="136"/>
        <v/>
      </c>
      <c r="AE245" s="161">
        <f>IF(AND(R245="",G245=""),"",_xlfn.TEXTJOIN("; ",TRUE,IF(AND(R245&lt;&gt;"",V245=""),"нет фазы",""),IF(AND(R245&lt;&gt;"",N(T245)=0),"нет мощности",""),IF(AND(P245&lt;&gt;"",COUNTIFS($A$3:$A$1000,A245,$P$3:$P$1000,P245)&gt;1),"дубль клеммы "&amp;P245,""),IF(AND(W245&lt;&gt;"",W245&lt;&gt;"ok"),W245,""),IF(X245&lt;&gt;"",X245,""),IF(AND(ISNUMBER(SEARCH("(5х",Q245)),N(AK245)=1),"5 жил на 1 фазе",""),IF(AND(AL245="R",E245&lt;&gt;"",N(AS245)=0),"розетка без 30 мА",""),IF(IFERROR(_xlfn.NUMBERVALUE(MID(Q245,FIND("-",Q245,FIND("L=",Q245))+1,FIND("%",Q245)-FIND("-",Q245,FIND("L=",Q245))-1),","),0)&gt;4,"потери &gt; 4 %","")))</f>
      </c>
      <c r="AF245" s="129">
        <f>IF(E245&lt;&gt;"",COUNTIFS($A$3:A245,A245,$E$3:E245,"?*"),IF(OR(A245&lt;&gt;A244,Y245="вручную"),"",AF244))</f>
      </c>
      <c r="AG245" s="129">
        <f t="shared" si="137"/>
      </c>
      <c r="AH245" s="129">
        <f t="shared" si="138"/>
        <v/>
      </c>
      <c r="AI245" s="129">
        <f t="shared" si="139"/>
        <v/>
      </c>
      <c r="AJ245" s="129">
        <f t="shared" si="140"/>
        <v/>
      </c>
      <c r="AK245" s="129">
        <f t="shared" si="141"/>
        <v/>
      </c>
      <c r="AL245" s="129">
        <f t="shared" si="142"/>
        <v/>
      </c>
      <c r="AM245" s="129">
        <f t="shared" si="143"/>
      </c>
      <c r="AN245" s="129">
        <f t="shared" si="144"/>
      </c>
      <c r="AO245" s="129">
        <f t="shared" si="145"/>
        <v/>
      </c>
      <c r="AP245" s="129">
        <f t="shared" si="146"/>
        <v/>
      </c>
      <c r="AQ245" s="129">
        <f t="shared" si="147"/>
        <v/>
      </c>
      <c r="AR245" s="129">
        <f t="shared" si="148"/>
        <v/>
      </c>
      <c r="AS245" s="129">
        <f t="shared" si="149"/>
        <v/>
      </c>
      <c r="AT245" s="129">
        <f t="shared" si="150"/>
        <v/>
      </c>
      <c r="AU245" s="129">
        <f t="shared" si="151"/>
        <v/>
      </c>
      <c r="AV245" s="129">
        <f t="shared" si="152"/>
        <v/>
      </c>
      <c r="AW245" s="129">
        <f>IF(AV245="","",AV245&amp;"."&amp;COUNTIFS($A$3:A245,A245,$AV$3:AV245,AV245))</f>
        <v/>
      </c>
      <c r="AX245" s="129">
        <f t="shared" si="153"/>
        <v/>
      </c>
      <c r="AY245" s="129">
        <f>IF(N245="б/к",0,IF(OR(ISNUMBER(SEARCH("L=",Разбивка_по_щитам!P245)),N245="+",N245="="),1,0))</f>
      </c>
      <c r="AZ245" s="129">
        <f t="shared" si="154"/>
      </c>
      <c r="BA245" s="129">
        <f t="shared" si="155"/>
      </c>
      <c r="BB245" s="129">
        <f t="shared" si="156"/>
      </c>
      <c r="BD245" s="129">
        <f t="shared" si="157"/>
      </c>
      <c r="BE245" s="129">
        <f t="shared" si="158"/>
      </c>
      <c r="BF245" s="129">
        <f t="shared" si="159"/>
      </c>
      <c r="BG245" s="129">
        <f t="shared" si="160"/>
        <v/>
      </c>
      <c r="BH245" s="129">
        <f t="shared" si="161"/>
        <v/>
      </c>
      <c r="BI245" s="129">
        <f t="shared" si="162"/>
        <v/>
      </c>
      <c r="BJ245" s="129">
        <f t="shared" si="163"/>
        <v/>
      </c>
      <c r="BK245" s="129">
        <f>IF(R245="","",IF(OR(BY245="",BY245=0),"BOX",IFERROR(IF(VLOOKUP(BY245,УГО_блоки,3,FALSE)&amp;""&lt;&gt;"",VLOOKUP(BY245,УГО_блоки,3,FALSE),VLOOKUP(BY245,УГО_блоки,2,FALSE)),BY245)))</f>
      </c>
      <c r="BL245" s="129">
        <f t="shared" si="165"/>
      </c>
      <c r="BM245" s="129">
        <f>IF(H245="","",IF(COUNTIF($H$3:H245,H245)=1,MAX($BM$2:BM244)+1,""))</f>
      </c>
      <c r="BN245" s="129">
        <f>IF(I245="","",IF(COUNTIF($I$3:I245,I245)+COUNTIF($J$2:J244,I245)+COUNTIF($K$2:K244,I245)=1,MAX($BN$2:BP244)+1,""))</f>
      </c>
      <c r="BO245" s="129">
        <f>IF(J245="","",IF(COUNTIF($I$3:I245,J245)+COUNTIF($J$3:J245,J245)+COUNTIF($K$2:K244,J245)=1,MAX($BN$2:BP244,BN245)+1,""))</f>
      </c>
      <c r="BP245" s="129">
        <f>IF(K245="","",IF(COUNTIF($I$3:I245,K245)+COUNTIF($J$3:J245,K245)+COUNTIF($K$3:K245,K245)=1,MAX($BN$2:BP244,BN245,BO245)+1,""))</f>
      </c>
      <c r="BQ245" s="129">
        <f>IF(AY245=1,IFERROR(MID(Q245,FIND(" (",Q245)+2,FIND(")",Q245,FIND(" (",Q245))-FIND(" (",Q245)-2),"?"),"")</f>
      </c>
      <c r="BR245" s="129">
        <f>IF(BQ245="","",IF(COUNTIF($BQ$3:BQ245,BQ245)=1,MAX($BR$2:BR244)+1,""))</f>
      </c>
      <c r="BS245" s="129">
        <f>IF(AW245="","",COUNTIF($AW$3:AW245,"?*"))</f>
      </c>
      <c r="BT245" s="129">
        <f>IF(OR(AW245="",AI245=""),"",IF(COUNTIFS($AW$3:AW245,"?*",$AI$3:AI245,AI245)=1,MAX($BT$2:BT244)+1,""))</f>
      </c>
      <c r="BU245" s="129">
        <f>IF(AE245="",0,IF(OR(ISNUMBER(SEARCH("дубль",AE245)),ISNUMBER(SEARCH("ПЕРЕГРУЗ",AE245)),ISNUMBER(SEARCH("ЗАЩИЩ",AE245)),ISNUMBER(SEARCH("КАНАЛ",AE245)),ISNUMBER(SEARCH("без 30",AE245))),2,1))</f>
      </c>
      <c r="BV245" s="129">
        <f>IF(R245="","",COUNTIF($R$3:R245,"?*"))</f>
      </c>
      <c r="BW245" s="129">
        <f>IF(AY245&lt;&gt;1,0,IF(MAX(IFERROR(--VLOOKUP(R245,УГО_спр,5,FALSE),0),IFERROR(--VLOOKUP(AL245,УГО_спр,5,FALSE),0),IFERROR(--VLOOKUP(LEFT(AL245,2),УГО_спр,5,FALSE),0))&gt;0,MAX(IFERROR(--VLOOKUP(R245,УГО_спр,5,FALSE),0),IFERROR(--VLOOKUP(AL245,УГО_спр,5,FALSE),0),IFERROR(--VLOOKUP(LEFT(AL245,2),УГО_спр,5,FALSE),0)),IF(IFERROR(--LEFT(SUBSTITUTE(BQ245,"x","х"),FIND("х",SUBSTITUTE(BQ245,"x","х"))-1),3)&gt;3,Каталог!$S$9,1)))</f>
      </c>
      <c r="BX245" s="129">
        <f>IF(AY245&lt;&gt;1,0,MAX(0,IFERROR(--LEFT(SUBSTITUTE(BQ245,"x","х"),FIND("х",SUBSTITUTE(BQ245,"x","х"))-1),3)-3*BW245))</f>
      </c>
      <c r="BY245" s="129">
        <f>IF(R245="","",IFERROR(VLOOKUP(R245,УГО_спр,2,FALSE),IFERROR(VLOOKUP(AL245,УГО_спр,2,FALSE),IFERROR(VLOOKUP(LEFT(AL245,2),УГО_спр,2,FALSE),""))))</f>
      </c>
    </row>
    <row r="246" spans="1:64" x14ac:dyDescent="0.3">
      <c r="A246" s="135">
        <f>IF(Разбивка_по_щитам!F246=0,"",Разбивка_по_щитам!F246)</f>
      </c>
      <c r="B246" s="138">
        <f>IF(A246="","",Разбивка_по_щитам!C246)</f>
      </c>
      <c r="C246" s="138">
        <f t="shared" si="128"/>
      </c>
      <c r="D246" s="266"/>
      <c r="E246" s="266"/>
      <c r="F246" s="267"/>
      <c r="G246" s="145">
        <f t="shared" si="129"/>
        <v/>
      </c>
      <c r="H246" s="145">
        <f t="shared" si="130"/>
        <v/>
      </c>
      <c r="I246" s="266"/>
      <c r="J246" s="267"/>
      <c r="K246" s="267"/>
      <c r="L246" s="266"/>
      <c r="M246" s="147">
        <f t="shared" si="168"/>
        <v/>
      </c>
      <c r="N246" s="267"/>
      <c r="O246" s="147">
        <f t="shared" si="169"/>
        <v/>
      </c>
      <c r="P246" s="268">
        <f>IF(AY246=1,"XT"&amp;COUNTIFS($A$3:A246,A246,$AY$3:AY246,1),"")</f>
        <v/>
      </c>
      <c r="Q246" s="152">
        <f>IF(R246="","",IFERROR(SUBSTITUTE(Разбивка_по_щитам!P246,CHAR(10)," "),""))</f>
        <v/>
      </c>
      <c r="R246" s="153">
        <f>IF(OR(Разбивка_по_щитам!H246="",Разбивка_по_щитам!H246=0),"",Разбивка_по_щитам!H246)</f>
        <v/>
      </c>
      <c r="S246" s="154">
        <f>IF(R246="","",IFERROR(Разбивка_по_щитам!J246&amp;"",""))</f>
        <v/>
      </c>
      <c r="T246" s="155">
        <f>IF(R246="","",IFERROR(--Разбивка_по_щитам!L246,""))</f>
        <v/>
      </c>
      <c r="U246" s="155">
        <f>IF(R246="","",IFERROR(--Разбивка_по_щитам!K246,""))</f>
        <v/>
      </c>
      <c r="V246" s="138">
        <f>IF(R246="","",IFERROR(IF(Разбивка_по_щитам!M246=0,"",Разбивка_по_щитам!M246),""))</f>
        <v/>
      </c>
      <c r="W246" s="156">
        <f t="shared" si="131"/>
        <v/>
      </c>
      <c r="X246" s="157">
        <f t="shared" si="132"/>
        <v/>
      </c>
      <c r="Y246" s="266"/>
      <c r="Z246" s="158">
        <f t="shared" si="133"/>
        <v/>
      </c>
      <c r="AA246" s="160">
        <f t="shared" si="134"/>
        <v/>
      </c>
      <c r="AB246" s="160">
        <f>IF(R246="","",IFERROR(LOOKUP(INDEX(Справочная!$I$4:$I$19,MATCH(VLOOKUP(R246,Исходные_данные,22,FALSE),Справочная!$J$4:$J$19,0)+1),{6,10,16,20,25,32,40,50,63,80,100,125}),""))</f>
        <v/>
      </c>
      <c r="AC246" s="160">
        <f t="shared" si="135"/>
        <v/>
      </c>
      <c r="AD246" s="161">
        <f t="shared" si="136"/>
        <v/>
      </c>
      <c r="AE246" s="161">
        <f>IF(AND(R246="",G246=""),"",_xlfn.TEXTJOIN("; ",TRUE,IF(AND(R246&lt;&gt;"",V246=""),"нет фазы",""),IF(AND(R246&lt;&gt;"",N(T246)=0),"нет мощности",""),IF(AND(P246&lt;&gt;"",COUNTIFS($A$3:$A$1000,A246,$P$3:$P$1000,P246)&gt;1),"дубль клеммы "&amp;P246,""),IF(AND(W246&lt;&gt;"",W246&lt;&gt;"ok"),W246,""),IF(X246&lt;&gt;"",X246,""),IF(AND(ISNUMBER(SEARCH("(5х",Q246)),N(AK246)=1),"5 жил на 1 фазе",""),IF(AND(AL246="R",E246&lt;&gt;"",N(AS246)=0),"розетка без 30 мА",""),IF(IFERROR(_xlfn.NUMBERVALUE(MID(Q246,FIND("-",Q246,FIND("L=",Q246))+1,FIND("%",Q246)-FIND("-",Q246,FIND("L=",Q246))-1),","),0)&gt;4,"потери &gt; 4 %","")))</f>
      </c>
      <c r="AF246" s="129">
        <f>IF(E246&lt;&gt;"",COUNTIFS($A$3:A246,A246,$E$3:E246,"?*"),IF(OR(A246&lt;&gt;A245,Y246="вручную"),"",AF245))</f>
      </c>
      <c r="AG246" s="129">
        <f t="shared" si="137"/>
      </c>
      <c r="AH246" s="129">
        <f t="shared" si="138"/>
        <v/>
      </c>
      <c r="AI246" s="129">
        <f t="shared" si="139"/>
        <v/>
      </c>
      <c r="AJ246" s="129">
        <f t="shared" si="140"/>
        <v/>
      </c>
      <c r="AK246" s="129">
        <f t="shared" si="141"/>
        <v/>
      </c>
      <c r="AL246" s="129">
        <f t="shared" si="142"/>
        <v/>
      </c>
      <c r="AM246" s="129">
        <f t="shared" si="143"/>
      </c>
      <c r="AN246" s="129">
        <f t="shared" si="144"/>
      </c>
      <c r="AO246" s="129">
        <f t="shared" si="145"/>
        <v/>
      </c>
      <c r="AP246" s="129">
        <f t="shared" si="146"/>
        <v/>
      </c>
      <c r="AQ246" s="129">
        <f t="shared" si="147"/>
        <v/>
      </c>
      <c r="AR246" s="129">
        <f t="shared" si="148"/>
        <v/>
      </c>
      <c r="AS246" s="129">
        <f t="shared" si="149"/>
        <v/>
      </c>
      <c r="AT246" s="129">
        <f t="shared" si="150"/>
        <v/>
      </c>
      <c r="AU246" s="129">
        <f t="shared" si="151"/>
        <v/>
      </c>
      <c r="AV246" s="129">
        <f t="shared" si="152"/>
        <v/>
      </c>
      <c r="AW246" s="129">
        <f>IF(AV246="","",AV246&amp;"."&amp;COUNTIFS($A$3:A246,A246,$AV$3:AV246,AV246))</f>
        <v/>
      </c>
      <c r="AX246" s="129">
        <f t="shared" si="153"/>
        <v/>
      </c>
      <c r="AY246" s="129">
        <f>IF(N246="б/к",0,IF(OR(ISNUMBER(SEARCH("L=",Разбивка_по_щитам!P246)),N246="+",N246="="),1,0))</f>
      </c>
      <c r="AZ246" s="129">
        <f t="shared" si="154"/>
      </c>
      <c r="BA246" s="129">
        <f t="shared" si="155"/>
      </c>
      <c r="BB246" s="129">
        <f t="shared" si="156"/>
      </c>
      <c r="BD246" s="129">
        <f t="shared" si="157"/>
      </c>
      <c r="BE246" s="129">
        <f t="shared" si="158"/>
      </c>
      <c r="BF246" s="129">
        <f t="shared" si="159"/>
      </c>
      <c r="BG246" s="129">
        <f t="shared" si="160"/>
        <v/>
      </c>
      <c r="BH246" s="129">
        <f t="shared" si="161"/>
        <v/>
      </c>
      <c r="BI246" s="129">
        <f t="shared" si="162"/>
        <v/>
      </c>
      <c r="BJ246" s="129">
        <f t="shared" si="163"/>
        <v/>
      </c>
      <c r="BK246" s="129">
        <f>IF(R246="","",IF(OR(BY246="",BY246=0),"BOX",IFERROR(IF(VLOOKUP(BY246,УГО_блоки,3,FALSE)&amp;""&lt;&gt;"",VLOOKUP(BY246,УГО_блоки,3,FALSE),VLOOKUP(BY246,УГО_блоки,2,FALSE)),BY246)))</f>
      </c>
      <c r="BL246" s="129">
        <f t="shared" si="165"/>
      </c>
      <c r="BM246" s="129">
        <f>IF(H246="","",IF(COUNTIF($H$3:H246,H246)=1,MAX($BM$2:BM245)+1,""))</f>
      </c>
      <c r="BN246" s="129">
        <f>IF(I246="","",IF(COUNTIF($I$3:I246,I246)+COUNTIF($J$2:J245,I246)+COUNTIF($K$2:K245,I246)=1,MAX($BN$2:BP245)+1,""))</f>
      </c>
      <c r="BO246" s="129">
        <f>IF(J246="","",IF(COUNTIF($I$3:I246,J246)+COUNTIF($J$3:J246,J246)+COUNTIF($K$2:K245,J246)=1,MAX($BN$2:BP245,BN246)+1,""))</f>
      </c>
      <c r="BP246" s="129">
        <f>IF(K246="","",IF(COUNTIF($I$3:I246,K246)+COUNTIF($J$3:J246,K246)+COUNTIF($K$3:K246,K246)=1,MAX($BN$2:BP245,BN246,BO246)+1,""))</f>
      </c>
      <c r="BQ246" s="129">
        <f>IF(AY246=1,IFERROR(MID(Q246,FIND(" (",Q246)+2,FIND(")",Q246,FIND(" (",Q246))-FIND(" (",Q246)-2),"?"),"")</f>
      </c>
      <c r="BR246" s="129">
        <f>IF(BQ246="","",IF(COUNTIF($BQ$3:BQ246,BQ246)=1,MAX($BR$2:BR245)+1,""))</f>
      </c>
      <c r="BS246" s="129">
        <f>IF(AW246="","",COUNTIF($AW$3:AW246,"?*"))</f>
      </c>
      <c r="BT246" s="129">
        <f>IF(OR(AW246="",AI246=""),"",IF(COUNTIFS($AW$3:AW246,"?*",$AI$3:AI246,AI246)=1,MAX($BT$2:BT245)+1,""))</f>
      </c>
      <c r="BU246" s="129">
        <f>IF(AE246="",0,IF(OR(ISNUMBER(SEARCH("дубль",AE246)),ISNUMBER(SEARCH("ПЕРЕГРУЗ",AE246)),ISNUMBER(SEARCH("ЗАЩИЩ",AE246)),ISNUMBER(SEARCH("КАНАЛ",AE246)),ISNUMBER(SEARCH("без 30",AE246))),2,1))</f>
      </c>
      <c r="BV246" s="129">
        <f>IF(R246="","",COUNTIF($R$3:R246,"?*"))</f>
      </c>
      <c r="BW246" s="129">
        <f>IF(AY246&lt;&gt;1,0,IF(MAX(IFERROR(--VLOOKUP(R246,УГО_спр,5,FALSE),0),IFERROR(--VLOOKUP(AL246,УГО_спр,5,FALSE),0),IFERROR(--VLOOKUP(LEFT(AL246,2),УГО_спр,5,FALSE),0))&gt;0,MAX(IFERROR(--VLOOKUP(R246,УГО_спр,5,FALSE),0),IFERROR(--VLOOKUP(AL246,УГО_спр,5,FALSE),0),IFERROR(--VLOOKUP(LEFT(AL246,2),УГО_спр,5,FALSE),0)),IF(IFERROR(--LEFT(SUBSTITUTE(BQ246,"x","х"),FIND("х",SUBSTITUTE(BQ246,"x","х"))-1),3)&gt;3,Каталог!$S$9,1)))</f>
      </c>
      <c r="BX246" s="129">
        <f>IF(AY246&lt;&gt;1,0,MAX(0,IFERROR(--LEFT(SUBSTITUTE(BQ246,"x","х"),FIND("х",SUBSTITUTE(BQ246,"x","х"))-1),3)-3*BW246))</f>
      </c>
      <c r="BY246" s="129">
        <f>IF(R246="","",IFERROR(VLOOKUP(R246,УГО_спр,2,FALSE),IFERROR(VLOOKUP(AL246,УГО_спр,2,FALSE),IFERROR(VLOOKUP(LEFT(AL246,2),УГО_спр,2,FALSE),""))))</f>
      </c>
    </row>
    <row r="247" spans="1:64" x14ac:dyDescent="0.3">
      <c r="A247" s="135">
        <f>IF(Разбивка_по_щитам!F247=0,"",Разбивка_по_щитам!F247)</f>
      </c>
      <c r="B247" s="138">
        <f>IF(A247="","",Разбивка_по_щитам!C247)</f>
      </c>
      <c r="C247" s="138">
        <f t="shared" si="128"/>
      </c>
      <c r="D247" s="266"/>
      <c r="E247" s="266"/>
      <c r="F247" s="267"/>
      <c r="G247" s="145">
        <f t="shared" si="129"/>
        <v/>
      </c>
      <c r="H247" s="145">
        <f t="shared" si="130"/>
        <v/>
      </c>
      <c r="I247" s="266"/>
      <c r="J247" s="267"/>
      <c r="K247" s="267"/>
      <c r="L247" s="266"/>
      <c r="M247" s="147">
        <f t="shared" si="168"/>
        <v/>
      </c>
      <c r="N247" s="267"/>
      <c r="O247" s="147">
        <f t="shared" si="169"/>
        <v/>
      </c>
      <c r="P247" s="268">
        <f>IF(AY247=1,"XT"&amp;COUNTIFS($A$3:A247,A247,$AY$3:AY247,1),"")</f>
        <v/>
      </c>
      <c r="Q247" s="152">
        <f>IF(R247="","",IFERROR(SUBSTITUTE(Разбивка_по_щитам!P247,CHAR(10)," "),""))</f>
        <v/>
      </c>
      <c r="R247" s="153">
        <f>IF(OR(Разбивка_по_щитам!H247="",Разбивка_по_щитам!H247=0),"",Разбивка_по_щитам!H247)</f>
        <v/>
      </c>
      <c r="S247" s="154">
        <f>IF(R247="","",IFERROR(Разбивка_по_щитам!J247&amp;"",""))</f>
        <v/>
      </c>
      <c r="T247" s="155">
        <f>IF(R247="","",IFERROR(--Разбивка_по_щитам!L247,""))</f>
        <v/>
      </c>
      <c r="U247" s="155">
        <f>IF(R247="","",IFERROR(--Разбивка_по_щитам!K247,""))</f>
        <v/>
      </c>
      <c r="V247" s="138">
        <f>IF(R247="","",IFERROR(IF(Разбивка_по_щитам!M247=0,"",Разбивка_по_щитам!M247),""))</f>
        <v/>
      </c>
      <c r="W247" s="156">
        <f t="shared" si="131"/>
        <v/>
      </c>
      <c r="X247" s="157">
        <f t="shared" si="132"/>
        <v/>
      </c>
      <c r="Y247" s="266"/>
      <c r="Z247" s="158">
        <f t="shared" si="133"/>
        <v/>
      </c>
      <c r="AA247" s="160">
        <f t="shared" si="134"/>
        <v/>
      </c>
      <c r="AB247" s="160">
        <f>IF(R247="","",IFERROR(LOOKUP(INDEX(Справочная!$I$4:$I$19,MATCH(VLOOKUP(R247,Исходные_данные,22,FALSE),Справочная!$J$4:$J$19,0)+1),{6,10,16,20,25,32,40,50,63,80,100,125}),""))</f>
        <v/>
      </c>
      <c r="AC247" s="160">
        <f t="shared" si="135"/>
        <v/>
      </c>
      <c r="AD247" s="161">
        <f t="shared" si="136"/>
        <v/>
      </c>
      <c r="AE247" s="161">
        <f>IF(AND(R247="",G247=""),"",_xlfn.TEXTJOIN("; ",TRUE,IF(AND(R247&lt;&gt;"",V247=""),"нет фазы",""),IF(AND(R247&lt;&gt;"",N(T247)=0),"нет мощности",""),IF(AND(P247&lt;&gt;"",COUNTIFS($A$3:$A$1000,A247,$P$3:$P$1000,P247)&gt;1),"дубль клеммы "&amp;P247,""),IF(AND(W247&lt;&gt;"",W247&lt;&gt;"ok"),W247,""),IF(X247&lt;&gt;"",X247,""),IF(AND(ISNUMBER(SEARCH("(5х",Q247)),N(AK247)=1),"5 жил на 1 фазе",""),IF(AND(AL247="R",E247&lt;&gt;"",N(AS247)=0),"розетка без 30 мА",""),IF(IFERROR(_xlfn.NUMBERVALUE(MID(Q247,FIND("-",Q247,FIND("L=",Q247))+1,FIND("%",Q247)-FIND("-",Q247,FIND("L=",Q247))-1),","),0)&gt;4,"потери &gt; 4 %","")))</f>
      </c>
      <c r="AF247" s="129">
        <f>IF(E247&lt;&gt;"",COUNTIFS($A$3:A247,A247,$E$3:E247,"?*"),IF(OR(A247&lt;&gt;A246,Y247="вручную"),"",AF246))</f>
      </c>
      <c r="AG247" s="129">
        <f t="shared" si="137"/>
      </c>
      <c r="AH247" s="129">
        <f t="shared" si="138"/>
        <v/>
      </c>
      <c r="AI247" s="129">
        <f t="shared" si="139"/>
        <v/>
      </c>
      <c r="AJ247" s="129">
        <f t="shared" si="140"/>
        <v/>
      </c>
      <c r="AK247" s="129">
        <f t="shared" si="141"/>
        <v/>
      </c>
      <c r="AL247" s="129">
        <f t="shared" si="142"/>
        <v/>
      </c>
      <c r="AM247" s="129">
        <f t="shared" si="143"/>
      </c>
      <c r="AN247" s="129">
        <f t="shared" si="144"/>
      </c>
      <c r="AO247" s="129">
        <f t="shared" si="145"/>
        <v/>
      </c>
      <c r="AP247" s="129">
        <f t="shared" si="146"/>
        <v/>
      </c>
      <c r="AQ247" s="129">
        <f t="shared" si="147"/>
        <v/>
      </c>
      <c r="AR247" s="129">
        <f t="shared" si="148"/>
        <v/>
      </c>
      <c r="AS247" s="129">
        <f t="shared" si="149"/>
        <v/>
      </c>
      <c r="AT247" s="129">
        <f t="shared" si="150"/>
        <v/>
      </c>
      <c r="AU247" s="129">
        <f t="shared" si="151"/>
        <v/>
      </c>
      <c r="AV247" s="129">
        <f t="shared" si="152"/>
        <v/>
      </c>
      <c r="AW247" s="129">
        <f>IF(AV247="","",AV247&amp;"."&amp;COUNTIFS($A$3:A247,A247,$AV$3:AV247,AV247))</f>
        <v/>
      </c>
      <c r="AX247" s="129">
        <f t="shared" si="153"/>
        <v/>
      </c>
      <c r="AY247" s="129">
        <f>IF(N247="б/к",0,IF(OR(ISNUMBER(SEARCH("L=",Разбивка_по_щитам!P247)),N247="+",N247="="),1,0))</f>
      </c>
      <c r="AZ247" s="129">
        <f t="shared" si="154"/>
      </c>
      <c r="BA247" s="129">
        <f t="shared" si="155"/>
      </c>
      <c r="BB247" s="129">
        <f t="shared" si="156"/>
      </c>
      <c r="BD247" s="129">
        <f t="shared" si="157"/>
      </c>
      <c r="BE247" s="129">
        <f t="shared" si="158"/>
      </c>
      <c r="BF247" s="129">
        <f t="shared" si="159"/>
      </c>
      <c r="BG247" s="129">
        <f t="shared" si="160"/>
        <v/>
      </c>
      <c r="BH247" s="129">
        <f t="shared" si="161"/>
        <v/>
      </c>
      <c r="BI247" s="129">
        <f t="shared" si="162"/>
        <v/>
      </c>
      <c r="BJ247" s="129">
        <f t="shared" si="163"/>
        <v/>
      </c>
      <c r="BK247" s="129">
        <f>IF(R247="","",IF(OR(BY247="",BY247=0),"BOX",IFERROR(IF(VLOOKUP(BY247,УГО_блоки,3,FALSE)&amp;""&lt;&gt;"",VLOOKUP(BY247,УГО_блоки,3,FALSE),VLOOKUP(BY247,УГО_блоки,2,FALSE)),BY247)))</f>
      </c>
      <c r="BL247" s="129">
        <f t="shared" si="165"/>
      </c>
      <c r="BM247" s="129">
        <f>IF(H247="","",IF(COUNTIF($H$3:H247,H247)=1,MAX($BM$2:BM246)+1,""))</f>
      </c>
      <c r="BN247" s="129">
        <f>IF(I247="","",IF(COUNTIF($I$3:I247,I247)+COUNTIF($J$2:J246,I247)+COUNTIF($K$2:K246,I247)=1,MAX($BN$2:BP246)+1,""))</f>
      </c>
      <c r="BO247" s="129">
        <f>IF(J247="","",IF(COUNTIF($I$3:I247,J247)+COUNTIF($J$3:J247,J247)+COUNTIF($K$2:K246,J247)=1,MAX($BN$2:BP246,BN247)+1,""))</f>
      </c>
      <c r="BP247" s="129">
        <f>IF(K247="","",IF(COUNTIF($I$3:I247,K247)+COUNTIF($J$3:J247,K247)+COUNTIF($K$3:K247,K247)=1,MAX($BN$2:BP246,BN247,BO247)+1,""))</f>
      </c>
      <c r="BQ247" s="129">
        <f>IF(AY247=1,IFERROR(MID(Q247,FIND(" (",Q247)+2,FIND(")",Q247,FIND(" (",Q247))-FIND(" (",Q247)-2),"?"),"")</f>
      </c>
      <c r="BR247" s="129">
        <f>IF(BQ247="","",IF(COUNTIF($BQ$3:BQ247,BQ247)=1,MAX($BR$2:BR246)+1,""))</f>
      </c>
      <c r="BS247" s="129">
        <f>IF(AW247="","",COUNTIF($AW$3:AW247,"?*"))</f>
      </c>
      <c r="BT247" s="129">
        <f>IF(OR(AW247="",AI247=""),"",IF(COUNTIFS($AW$3:AW247,"?*",$AI$3:AI247,AI247)=1,MAX($BT$2:BT246)+1,""))</f>
      </c>
      <c r="BU247" s="129">
        <f>IF(AE247="",0,IF(OR(ISNUMBER(SEARCH("дубль",AE247)),ISNUMBER(SEARCH("ПЕРЕГРУЗ",AE247)),ISNUMBER(SEARCH("ЗАЩИЩ",AE247)),ISNUMBER(SEARCH("КАНАЛ",AE247)),ISNUMBER(SEARCH("без 30",AE247))),2,1))</f>
      </c>
      <c r="BV247" s="129">
        <f>IF(R247="","",COUNTIF($R$3:R247,"?*"))</f>
      </c>
      <c r="BW247" s="129">
        <f>IF(AY247&lt;&gt;1,0,IF(MAX(IFERROR(--VLOOKUP(R247,УГО_спр,5,FALSE),0),IFERROR(--VLOOKUP(AL247,УГО_спр,5,FALSE),0),IFERROR(--VLOOKUP(LEFT(AL247,2),УГО_спр,5,FALSE),0))&gt;0,MAX(IFERROR(--VLOOKUP(R247,УГО_спр,5,FALSE),0),IFERROR(--VLOOKUP(AL247,УГО_спр,5,FALSE),0),IFERROR(--VLOOKUP(LEFT(AL247,2),УГО_спр,5,FALSE),0)),IF(IFERROR(--LEFT(SUBSTITUTE(BQ247,"x","х"),FIND("х",SUBSTITUTE(BQ247,"x","х"))-1),3)&gt;3,Каталог!$S$9,1)))</f>
      </c>
      <c r="BX247" s="129">
        <f>IF(AY247&lt;&gt;1,0,MAX(0,IFERROR(--LEFT(SUBSTITUTE(BQ247,"x","х"),FIND("х",SUBSTITUTE(BQ247,"x","х"))-1),3)-3*BW247))</f>
      </c>
      <c r="BY247" s="129">
        <f>IF(R247="","",IFERROR(VLOOKUP(R247,УГО_спр,2,FALSE),IFERROR(VLOOKUP(AL247,УГО_спр,2,FALSE),IFERROR(VLOOKUP(LEFT(AL247,2),УГО_спр,2,FALSE),""))))</f>
      </c>
    </row>
    <row r="248" spans="1:64" x14ac:dyDescent="0.3">
      <c r="A248" s="135">
        <f>IF(Разбивка_по_щитам!F248=0,"",Разбивка_по_щитам!F248)</f>
      </c>
      <c r="B248" s="138">
        <f>IF(A248="","",Разбивка_по_щитам!C248)</f>
      </c>
      <c r="C248" s="138">
        <f t="shared" si="128"/>
      </c>
      <c r="D248" s="266"/>
      <c r="E248" s="266"/>
      <c r="F248" s="267"/>
      <c r="G248" s="145">
        <f t="shared" si="129"/>
        <v/>
      </c>
      <c r="H248" s="145">
        <f t="shared" si="130"/>
        <v/>
      </c>
      <c r="I248" s="266"/>
      <c r="J248" s="267"/>
      <c r="K248" s="267"/>
      <c r="L248" s="266"/>
      <c r="M248" s="147">
        <f t="shared" si="168"/>
        <v/>
      </c>
      <c r="N248" s="267"/>
      <c r="O248" s="147">
        <f t="shared" si="169"/>
        <v/>
      </c>
      <c r="P248" s="268">
        <f>IF(AY248=1,"XT"&amp;COUNTIFS($A$3:A248,A248,$AY$3:AY248,1),"")</f>
        <v/>
      </c>
      <c r="Q248" s="152">
        <f>IF(R248="","",IFERROR(SUBSTITUTE(Разбивка_по_щитам!P248,CHAR(10)," "),""))</f>
        <v/>
      </c>
      <c r="R248" s="153">
        <f>IF(OR(Разбивка_по_щитам!H248="",Разбивка_по_щитам!H248=0),"",Разбивка_по_щитам!H248)</f>
        <v/>
      </c>
      <c r="S248" s="154">
        <f>IF(R248="","",IFERROR(Разбивка_по_щитам!J248&amp;"",""))</f>
        <v/>
      </c>
      <c r="T248" s="155">
        <f>IF(R248="","",IFERROR(--Разбивка_по_щитам!L248,""))</f>
        <v/>
      </c>
      <c r="U248" s="155">
        <f>IF(R248="","",IFERROR(--Разбивка_по_щитам!K248,""))</f>
        <v/>
      </c>
      <c r="V248" s="138">
        <f>IF(R248="","",IFERROR(IF(Разбивка_по_щитам!M248=0,"",Разбивка_по_щитам!M248),""))</f>
        <v/>
      </c>
      <c r="W248" s="156">
        <f t="shared" si="131"/>
        <v/>
      </c>
      <c r="X248" s="157">
        <f t="shared" si="132"/>
        <v/>
      </c>
      <c r="Y248" s="266"/>
      <c r="Z248" s="158">
        <f t="shared" si="133"/>
        <v/>
      </c>
      <c r="AA248" s="160">
        <f t="shared" si="134"/>
        <v/>
      </c>
      <c r="AB248" s="160">
        <f>IF(R248="","",IFERROR(LOOKUP(INDEX(Справочная!$I$4:$I$19,MATCH(VLOOKUP(R248,Исходные_данные,22,FALSE),Справочная!$J$4:$J$19,0)+1),{6,10,16,20,25,32,40,50,63,80,100,125}),""))</f>
        <v/>
      </c>
      <c r="AC248" s="160">
        <f t="shared" si="135"/>
        <v/>
      </c>
      <c r="AD248" s="161">
        <f t="shared" si="136"/>
        <v/>
      </c>
      <c r="AE248" s="161">
        <f>IF(AND(R248="",G248=""),"",_xlfn.TEXTJOIN("; ",TRUE,IF(AND(R248&lt;&gt;"",V248=""),"нет фазы",""),IF(AND(R248&lt;&gt;"",N(T248)=0),"нет мощности",""),IF(AND(P248&lt;&gt;"",COUNTIFS($A$3:$A$1000,A248,$P$3:$P$1000,P248)&gt;1),"дубль клеммы "&amp;P248,""),IF(AND(W248&lt;&gt;"",W248&lt;&gt;"ok"),W248,""),IF(X248&lt;&gt;"",X248,""),IF(AND(ISNUMBER(SEARCH("(5х",Q248)),N(AK248)=1),"5 жил на 1 фазе",""),IF(AND(AL248="R",E248&lt;&gt;"",N(AS248)=0),"розетка без 30 мА",""),IF(IFERROR(_xlfn.NUMBERVALUE(MID(Q248,FIND("-",Q248,FIND("L=",Q248))+1,FIND("%",Q248)-FIND("-",Q248,FIND("L=",Q248))-1),","),0)&gt;4,"потери &gt; 4 %","")))</f>
      </c>
      <c r="AF248" s="129">
        <f>IF(E248&lt;&gt;"",COUNTIFS($A$3:A248,A248,$E$3:E248,"?*"),IF(OR(A248&lt;&gt;A247,Y248="вручную"),"",AF247))</f>
      </c>
      <c r="AG248" s="129">
        <f t="shared" si="137"/>
      </c>
      <c r="AH248" s="129">
        <f t="shared" si="138"/>
        <v/>
      </c>
      <c r="AI248" s="129">
        <f t="shared" si="139"/>
        <v/>
      </c>
      <c r="AJ248" s="129">
        <f t="shared" si="140"/>
        <v/>
      </c>
      <c r="AK248" s="129">
        <f t="shared" si="141"/>
        <v/>
      </c>
      <c r="AL248" s="129">
        <f t="shared" si="142"/>
        <v/>
      </c>
      <c r="AM248" s="129">
        <f t="shared" si="143"/>
      </c>
      <c r="AN248" s="129">
        <f t="shared" si="144"/>
      </c>
      <c r="AO248" s="129">
        <f t="shared" si="145"/>
        <v/>
      </c>
      <c r="AP248" s="129">
        <f t="shared" si="146"/>
        <v/>
      </c>
      <c r="AQ248" s="129">
        <f t="shared" si="147"/>
        <v/>
      </c>
      <c r="AR248" s="129">
        <f t="shared" si="148"/>
        <v/>
      </c>
      <c r="AS248" s="129">
        <f t="shared" si="149"/>
        <v/>
      </c>
      <c r="AT248" s="129">
        <f t="shared" si="150"/>
        <v/>
      </c>
      <c r="AU248" s="129">
        <f t="shared" si="151"/>
        <v/>
      </c>
      <c r="AV248" s="129">
        <f t="shared" si="152"/>
        <v/>
      </c>
      <c r="AW248" s="129">
        <f>IF(AV248="","",AV248&amp;"."&amp;COUNTIFS($A$3:A248,A248,$AV$3:AV248,AV248))</f>
        <v/>
      </c>
      <c r="AX248" s="129">
        <f t="shared" si="153"/>
        <v/>
      </c>
      <c r="AY248" s="129">
        <f>IF(N248="б/к",0,IF(OR(ISNUMBER(SEARCH("L=",Разбивка_по_щитам!P248)),N248="+",N248="="),1,0))</f>
      </c>
      <c r="AZ248" s="129">
        <f t="shared" si="154"/>
      </c>
      <c r="BA248" s="129">
        <f t="shared" si="155"/>
      </c>
      <c r="BB248" s="129">
        <f t="shared" si="156"/>
      </c>
      <c r="BD248" s="129">
        <f t="shared" si="157"/>
      </c>
      <c r="BE248" s="129">
        <f t="shared" si="158"/>
      </c>
      <c r="BF248" s="129">
        <f t="shared" si="159"/>
      </c>
      <c r="BG248" s="129">
        <f t="shared" si="160"/>
        <v/>
      </c>
      <c r="BH248" s="129">
        <f t="shared" si="161"/>
        <v/>
      </c>
      <c r="BI248" s="129">
        <f t="shared" si="162"/>
        <v/>
      </c>
      <c r="BJ248" s="129">
        <f t="shared" si="163"/>
        <v/>
      </c>
      <c r="BK248" s="129">
        <f>IF(R248="","",IF(OR(BY248="",BY248=0),"BOX",IFERROR(IF(VLOOKUP(BY248,УГО_блоки,3,FALSE)&amp;""&lt;&gt;"",VLOOKUP(BY248,УГО_блоки,3,FALSE),VLOOKUP(BY248,УГО_блоки,2,FALSE)),BY248)))</f>
      </c>
      <c r="BL248" s="129">
        <f t="shared" si="165"/>
      </c>
      <c r="BM248" s="129">
        <f>IF(H248="","",IF(COUNTIF($H$3:H248,H248)=1,MAX($BM$2:BM247)+1,""))</f>
      </c>
      <c r="BN248" s="129">
        <f>IF(I248="","",IF(COUNTIF($I$3:I248,I248)+COUNTIF($J$2:J247,I248)+COUNTIF($K$2:K247,I248)=1,MAX($BN$2:BP247)+1,""))</f>
      </c>
      <c r="BO248" s="129">
        <f>IF(J248="","",IF(COUNTIF($I$3:I248,J248)+COUNTIF($J$3:J248,J248)+COUNTIF($K$2:K247,J248)=1,MAX($BN$2:BP247,BN248)+1,""))</f>
      </c>
      <c r="BP248" s="129">
        <f>IF(K248="","",IF(COUNTIF($I$3:I248,K248)+COUNTIF($J$3:J248,K248)+COUNTIF($K$3:K248,K248)=1,MAX($BN$2:BP247,BN248,BO248)+1,""))</f>
      </c>
      <c r="BQ248" s="129">
        <f>IF(AY248=1,IFERROR(MID(Q248,FIND(" (",Q248)+2,FIND(")",Q248,FIND(" (",Q248))-FIND(" (",Q248)-2),"?"),"")</f>
      </c>
      <c r="BR248" s="129">
        <f>IF(BQ248="","",IF(COUNTIF($BQ$3:BQ248,BQ248)=1,MAX($BR$2:BR247)+1,""))</f>
      </c>
      <c r="BS248" s="129">
        <f>IF(AW248="","",COUNTIF($AW$3:AW248,"?*"))</f>
      </c>
      <c r="BT248" s="129">
        <f>IF(OR(AW248="",AI248=""),"",IF(COUNTIFS($AW$3:AW248,"?*",$AI$3:AI248,AI248)=1,MAX($BT$2:BT247)+1,""))</f>
      </c>
      <c r="BU248" s="129">
        <f>IF(AE248="",0,IF(OR(ISNUMBER(SEARCH("дубль",AE248)),ISNUMBER(SEARCH("ПЕРЕГРУЗ",AE248)),ISNUMBER(SEARCH("ЗАЩИЩ",AE248)),ISNUMBER(SEARCH("КАНАЛ",AE248)),ISNUMBER(SEARCH("без 30",AE248))),2,1))</f>
      </c>
      <c r="BV248" s="129">
        <f>IF(R248="","",COUNTIF($R$3:R248,"?*"))</f>
      </c>
      <c r="BW248" s="129">
        <f>IF(AY248&lt;&gt;1,0,IF(MAX(IFERROR(--VLOOKUP(R248,УГО_спр,5,FALSE),0),IFERROR(--VLOOKUP(AL248,УГО_спр,5,FALSE),0),IFERROR(--VLOOKUP(LEFT(AL248,2),УГО_спр,5,FALSE),0))&gt;0,MAX(IFERROR(--VLOOKUP(R248,УГО_спр,5,FALSE),0),IFERROR(--VLOOKUP(AL248,УГО_спр,5,FALSE),0),IFERROR(--VLOOKUP(LEFT(AL248,2),УГО_спр,5,FALSE),0)),IF(IFERROR(--LEFT(SUBSTITUTE(BQ248,"x","х"),FIND("х",SUBSTITUTE(BQ248,"x","х"))-1),3)&gt;3,Каталог!$S$9,1)))</f>
      </c>
      <c r="BX248" s="129">
        <f>IF(AY248&lt;&gt;1,0,MAX(0,IFERROR(--LEFT(SUBSTITUTE(BQ248,"x","х"),FIND("х",SUBSTITUTE(BQ248,"x","х"))-1),3)-3*BW248))</f>
      </c>
      <c r="BY248" s="129">
        <f>IF(R248="","",IFERROR(VLOOKUP(R248,УГО_спр,2,FALSE),IFERROR(VLOOKUP(AL248,УГО_спр,2,FALSE),IFERROR(VLOOKUP(LEFT(AL248,2),УГО_спр,2,FALSE),""))))</f>
      </c>
    </row>
    <row r="249" spans="1:64" x14ac:dyDescent="0.3">
      <c r="A249" s="135">
        <f>IF(Разбивка_по_щитам!F249=0,"",Разбивка_по_щитам!F249)</f>
      </c>
      <c r="B249" s="138">
        <f>IF(A249="","",Разбивка_по_щитам!C249)</f>
      </c>
      <c r="C249" s="138">
        <f t="shared" si="128"/>
      </c>
      <c r="D249" s="266"/>
      <c r="E249" s="266"/>
      <c r="F249" s="267"/>
      <c r="G249" s="145">
        <f t="shared" si="129"/>
        <v/>
      </c>
      <c r="H249" s="145">
        <f t="shared" si="130"/>
        <v/>
      </c>
      <c r="I249" s="266"/>
      <c r="J249" s="267"/>
      <c r="K249" s="267"/>
      <c r="L249" s="266"/>
      <c r="M249" s="147">
        <f t="shared" si="168"/>
        <v/>
      </c>
      <c r="N249" s="267"/>
      <c r="O249" s="147">
        <f t="shared" si="169"/>
        <v/>
      </c>
      <c r="P249" s="268">
        <f>IF(AY249=1,"XT"&amp;COUNTIFS($A$3:A249,A249,$AY$3:AY249,1),"")</f>
        <v/>
      </c>
      <c r="Q249" s="152">
        <f>IF(R249="","",IFERROR(SUBSTITUTE(Разбивка_по_щитам!P249,CHAR(10)," "),""))</f>
        <v/>
      </c>
      <c r="R249" s="153">
        <f>IF(OR(Разбивка_по_щитам!H249="",Разбивка_по_щитам!H249=0),"",Разбивка_по_щитам!H249)</f>
        <v/>
      </c>
      <c r="S249" s="154">
        <f>IF(R249="","",IFERROR(Разбивка_по_щитам!J249&amp;"",""))</f>
        <v/>
      </c>
      <c r="T249" s="155">
        <f>IF(R249="","",IFERROR(--Разбивка_по_щитам!L249,""))</f>
        <v/>
      </c>
      <c r="U249" s="155">
        <f>IF(R249="","",IFERROR(--Разбивка_по_щитам!K249,""))</f>
        <v/>
      </c>
      <c r="V249" s="138">
        <f>IF(R249="","",IFERROR(IF(Разбивка_по_щитам!M249=0,"",Разбивка_по_щитам!M249),""))</f>
        <v/>
      </c>
      <c r="W249" s="156">
        <f t="shared" si="131"/>
        <v/>
      </c>
      <c r="X249" s="157">
        <f t="shared" si="132"/>
        <v/>
      </c>
      <c r="Y249" s="266"/>
      <c r="Z249" s="158">
        <f t="shared" si="133"/>
        <v/>
      </c>
      <c r="AA249" s="160">
        <f t="shared" si="134"/>
        <v/>
      </c>
      <c r="AB249" s="160">
        <f>IF(R249="","",IFERROR(LOOKUP(INDEX(Справочная!$I$4:$I$19,MATCH(VLOOKUP(R249,Исходные_данные,22,FALSE),Справочная!$J$4:$J$19,0)+1),{6,10,16,20,25,32,40,50,63,80,100,125}),""))</f>
        <v/>
      </c>
      <c r="AC249" s="160">
        <f t="shared" si="135"/>
        <v/>
      </c>
      <c r="AD249" s="161">
        <f t="shared" si="136"/>
        <v/>
      </c>
      <c r="AE249" s="161">
        <f>IF(AND(R249="",G249=""),"",_xlfn.TEXTJOIN("; ",TRUE,IF(AND(R249&lt;&gt;"",V249=""),"нет фазы",""),IF(AND(R249&lt;&gt;"",N(T249)=0),"нет мощности",""),IF(AND(P249&lt;&gt;"",COUNTIFS($A$3:$A$1000,A249,$P$3:$P$1000,P249)&gt;1),"дубль клеммы "&amp;P249,""),IF(AND(W249&lt;&gt;"",W249&lt;&gt;"ok"),W249,""),IF(X249&lt;&gt;"",X249,""),IF(AND(ISNUMBER(SEARCH("(5х",Q249)),N(AK249)=1),"5 жил на 1 фазе",""),IF(AND(AL249="R",E249&lt;&gt;"",N(AS249)=0),"розетка без 30 мА",""),IF(IFERROR(_xlfn.NUMBERVALUE(MID(Q249,FIND("-",Q249,FIND("L=",Q249))+1,FIND("%",Q249)-FIND("-",Q249,FIND("L=",Q249))-1),","),0)&gt;4,"потери &gt; 4 %","")))</f>
      </c>
      <c r="AF249" s="129">
        <f>IF(E249&lt;&gt;"",COUNTIFS($A$3:A249,A249,$E$3:E249,"?*"),IF(OR(A249&lt;&gt;A248,Y249="вручную"),"",AF248))</f>
      </c>
      <c r="AG249" s="129">
        <f t="shared" si="137"/>
      </c>
      <c r="AH249" s="129">
        <f t="shared" si="138"/>
        <v/>
      </c>
      <c r="AI249" s="129">
        <f t="shared" si="139"/>
        <v/>
      </c>
      <c r="AJ249" s="129">
        <f t="shared" si="140"/>
        <v/>
      </c>
      <c r="AK249" s="129">
        <f t="shared" si="141"/>
        <v/>
      </c>
      <c r="AL249" s="129">
        <f t="shared" si="142"/>
        <v/>
      </c>
      <c r="AM249" s="129">
        <f t="shared" si="143"/>
      </c>
      <c r="AN249" s="129">
        <f t="shared" si="144"/>
      </c>
      <c r="AO249" s="129">
        <f t="shared" si="145"/>
        <v/>
      </c>
      <c r="AP249" s="129">
        <f t="shared" si="146"/>
        <v/>
      </c>
      <c r="AQ249" s="129">
        <f t="shared" si="147"/>
        <v/>
      </c>
      <c r="AR249" s="129">
        <f t="shared" si="148"/>
        <v/>
      </c>
      <c r="AS249" s="129">
        <f t="shared" si="149"/>
        <v/>
      </c>
      <c r="AT249" s="129">
        <f t="shared" si="150"/>
        <v/>
      </c>
      <c r="AU249" s="129">
        <f t="shared" si="151"/>
        <v/>
      </c>
      <c r="AV249" s="129">
        <f t="shared" si="152"/>
        <v/>
      </c>
      <c r="AW249" s="129">
        <f>IF(AV249="","",AV249&amp;"."&amp;COUNTIFS($A$3:A249,A249,$AV$3:AV249,AV249))</f>
        <v/>
      </c>
      <c r="AX249" s="129">
        <f t="shared" si="153"/>
        <v/>
      </c>
      <c r="AY249" s="129">
        <f>IF(N249="б/к",0,IF(OR(ISNUMBER(SEARCH("L=",Разбивка_по_щитам!P249)),N249="+",N249="="),1,0))</f>
      </c>
      <c r="AZ249" s="129">
        <f t="shared" si="154"/>
      </c>
      <c r="BA249" s="129">
        <f t="shared" si="155"/>
      </c>
      <c r="BB249" s="129">
        <f t="shared" si="156"/>
      </c>
      <c r="BD249" s="129">
        <f t="shared" si="157"/>
      </c>
      <c r="BE249" s="129">
        <f t="shared" si="158"/>
      </c>
      <c r="BF249" s="129">
        <f t="shared" si="159"/>
      </c>
      <c r="BG249" s="129">
        <f t="shared" si="160"/>
        <v/>
      </c>
      <c r="BH249" s="129">
        <f t="shared" si="161"/>
        <v/>
      </c>
      <c r="BI249" s="129">
        <f t="shared" si="162"/>
        <v/>
      </c>
      <c r="BJ249" s="129">
        <f t="shared" si="163"/>
        <v/>
      </c>
      <c r="BK249" s="129">
        <f>IF(R249="","",IF(OR(BY249="",BY249=0),"BOX",IFERROR(IF(VLOOKUP(BY249,УГО_блоки,3,FALSE)&amp;""&lt;&gt;"",VLOOKUP(BY249,УГО_блоки,3,FALSE),VLOOKUP(BY249,УГО_блоки,2,FALSE)),BY249)))</f>
      </c>
      <c r="BL249" s="129">
        <f t="shared" si="165"/>
      </c>
      <c r="BM249" s="129">
        <f>IF(H249="","",IF(COUNTIF($H$3:H249,H249)=1,MAX($BM$2:BM248)+1,""))</f>
      </c>
      <c r="BN249" s="129">
        <f>IF(I249="","",IF(COUNTIF($I$3:I249,I249)+COUNTIF($J$2:J248,I249)+COUNTIF($K$2:K248,I249)=1,MAX($BN$2:BP248)+1,""))</f>
      </c>
      <c r="BO249" s="129">
        <f>IF(J249="","",IF(COUNTIF($I$3:I249,J249)+COUNTIF($J$3:J249,J249)+COUNTIF($K$2:K248,J249)=1,MAX($BN$2:BP248,BN249)+1,""))</f>
      </c>
      <c r="BP249" s="129">
        <f>IF(K249="","",IF(COUNTIF($I$3:I249,K249)+COUNTIF($J$3:J249,K249)+COUNTIF($K$3:K249,K249)=1,MAX($BN$2:BP248,BN249,BO249)+1,""))</f>
      </c>
      <c r="BQ249" s="129">
        <f>IF(AY249=1,IFERROR(MID(Q249,FIND(" (",Q249)+2,FIND(")",Q249,FIND(" (",Q249))-FIND(" (",Q249)-2),"?"),"")</f>
      </c>
      <c r="BR249" s="129">
        <f>IF(BQ249="","",IF(COUNTIF($BQ$3:BQ249,BQ249)=1,MAX($BR$2:BR248)+1,""))</f>
      </c>
      <c r="BS249" s="129">
        <f>IF(AW249="","",COUNTIF($AW$3:AW249,"?*"))</f>
      </c>
      <c r="BT249" s="129">
        <f>IF(OR(AW249="",AI249=""),"",IF(COUNTIFS($AW$3:AW249,"?*",$AI$3:AI249,AI249)=1,MAX($BT$2:BT248)+1,""))</f>
      </c>
      <c r="BU249" s="129">
        <f>IF(AE249="",0,IF(OR(ISNUMBER(SEARCH("дубль",AE249)),ISNUMBER(SEARCH("ПЕРЕГРУЗ",AE249)),ISNUMBER(SEARCH("ЗАЩИЩ",AE249)),ISNUMBER(SEARCH("КАНАЛ",AE249)),ISNUMBER(SEARCH("без 30",AE249))),2,1))</f>
      </c>
      <c r="BV249" s="129">
        <f>IF(R249="","",COUNTIF($R$3:R249,"?*"))</f>
      </c>
      <c r="BW249" s="129">
        <f>IF(AY249&lt;&gt;1,0,IF(MAX(IFERROR(--VLOOKUP(R249,УГО_спр,5,FALSE),0),IFERROR(--VLOOKUP(AL249,УГО_спр,5,FALSE),0),IFERROR(--VLOOKUP(LEFT(AL249,2),УГО_спр,5,FALSE),0))&gt;0,MAX(IFERROR(--VLOOKUP(R249,УГО_спр,5,FALSE),0),IFERROR(--VLOOKUP(AL249,УГО_спр,5,FALSE),0),IFERROR(--VLOOKUP(LEFT(AL249,2),УГО_спр,5,FALSE),0)),IF(IFERROR(--LEFT(SUBSTITUTE(BQ249,"x","х"),FIND("х",SUBSTITUTE(BQ249,"x","х"))-1),3)&gt;3,Каталог!$S$9,1)))</f>
      </c>
      <c r="BX249" s="129">
        <f>IF(AY249&lt;&gt;1,0,MAX(0,IFERROR(--LEFT(SUBSTITUTE(BQ249,"x","х"),FIND("х",SUBSTITUTE(BQ249,"x","х"))-1),3)-3*BW249))</f>
      </c>
      <c r="BY249" s="129">
        <f>IF(R249="","",IFERROR(VLOOKUP(R249,УГО_спр,2,FALSE),IFERROR(VLOOKUP(AL249,УГО_спр,2,FALSE),IFERROR(VLOOKUP(LEFT(AL249,2),УГО_спр,2,FALSE),""))))</f>
      </c>
    </row>
    <row r="250" spans="1:64" x14ac:dyDescent="0.3">
      <c r="A250" s="135">
        <f>IF(Разбивка_по_щитам!F250=0,"",Разбивка_по_щитам!F250)</f>
      </c>
      <c r="B250" s="138">
        <f>IF(A250="","",Разбивка_по_щитам!C250)</f>
      </c>
      <c r="C250" s="138">
        <f t="shared" si="128"/>
      </c>
      <c r="D250" s="266"/>
      <c r="E250" s="266"/>
      <c r="F250" s="267"/>
      <c r="G250" s="145">
        <f t="shared" si="129"/>
        <v/>
      </c>
      <c r="H250" s="145">
        <f t="shared" si="130"/>
        <v/>
      </c>
      <c r="I250" s="266"/>
      <c r="J250" s="267"/>
      <c r="K250" s="267"/>
      <c r="L250" s="266"/>
      <c r="M250" s="147">
        <f t="shared" si="168"/>
        <v/>
      </c>
      <c r="N250" s="267"/>
      <c r="O250" s="147">
        <f t="shared" si="169"/>
        <v/>
      </c>
      <c r="P250" s="268">
        <f>IF(AY250=1,"XT"&amp;COUNTIFS($A$3:A250,A250,$AY$3:AY250,1),"")</f>
        <v/>
      </c>
      <c r="Q250" s="152">
        <f>IF(R250="","",IFERROR(SUBSTITUTE(Разбивка_по_щитам!P250,CHAR(10)," "),""))</f>
        <v/>
      </c>
      <c r="R250" s="153">
        <f>IF(OR(Разбивка_по_щитам!H250="",Разбивка_по_щитам!H250=0),"",Разбивка_по_щитам!H250)</f>
        <v/>
      </c>
      <c r="S250" s="154">
        <f>IF(R250="","",IFERROR(Разбивка_по_щитам!J250&amp;"",""))</f>
        <v/>
      </c>
      <c r="T250" s="155">
        <f>IF(R250="","",IFERROR(--Разбивка_по_щитам!L250,""))</f>
        <v/>
      </c>
      <c r="U250" s="155">
        <f>IF(R250="","",IFERROR(--Разбивка_по_щитам!K250,""))</f>
        <v/>
      </c>
      <c r="V250" s="138">
        <f>IF(R250="","",IFERROR(IF(Разбивка_по_щитам!M250=0,"",Разбивка_по_щитам!M250),""))</f>
        <v/>
      </c>
      <c r="W250" s="156">
        <f t="shared" si="131"/>
        <v/>
      </c>
      <c r="X250" s="157">
        <f t="shared" si="132"/>
        <v/>
      </c>
      <c r="Y250" s="266"/>
      <c r="Z250" s="158">
        <f t="shared" si="133"/>
        <v/>
      </c>
      <c r="AA250" s="160">
        <f t="shared" si="134"/>
        <v/>
      </c>
      <c r="AB250" s="160">
        <f>IF(R250="","",IFERROR(LOOKUP(INDEX(Справочная!$I$4:$I$19,MATCH(VLOOKUP(R250,Исходные_данные,22,FALSE),Справочная!$J$4:$J$19,0)+1),{6,10,16,20,25,32,40,50,63,80,100,125}),""))</f>
        <v/>
      </c>
      <c r="AC250" s="160">
        <f t="shared" si="135"/>
        <v/>
      </c>
      <c r="AD250" s="161">
        <f t="shared" si="136"/>
        <v/>
      </c>
      <c r="AE250" s="161">
        <f>IF(AND(R250="",G250=""),"",_xlfn.TEXTJOIN("; ",TRUE,IF(AND(R250&lt;&gt;"",V250=""),"нет фазы",""),IF(AND(R250&lt;&gt;"",N(T250)=0),"нет мощности",""),IF(AND(P250&lt;&gt;"",COUNTIFS($A$3:$A$1000,A250,$P$3:$P$1000,P250)&gt;1),"дубль клеммы "&amp;P250,""),IF(AND(W250&lt;&gt;"",W250&lt;&gt;"ok"),W250,""),IF(X250&lt;&gt;"",X250,""),IF(AND(ISNUMBER(SEARCH("(5х",Q250)),N(AK250)=1),"5 жил на 1 фазе",""),IF(AND(AL250="R",E250&lt;&gt;"",N(AS250)=0),"розетка без 30 мА",""),IF(IFERROR(_xlfn.NUMBERVALUE(MID(Q250,FIND("-",Q250,FIND("L=",Q250))+1,FIND("%",Q250)-FIND("-",Q250,FIND("L=",Q250))-1),","),0)&gt;4,"потери &gt; 4 %","")))</f>
      </c>
      <c r="AF250" s="129">
        <f>IF(E250&lt;&gt;"",COUNTIFS($A$3:A250,A250,$E$3:E250,"?*"),IF(OR(A250&lt;&gt;A249,Y250="вручную"),"",AF249))</f>
      </c>
      <c r="AG250" s="129">
        <f t="shared" si="137"/>
      </c>
      <c r="AH250" s="129">
        <f t="shared" si="138"/>
        <v/>
      </c>
      <c r="AI250" s="129">
        <f t="shared" si="139"/>
        <v/>
      </c>
      <c r="AJ250" s="129">
        <f t="shared" si="140"/>
        <v/>
      </c>
      <c r="AK250" s="129">
        <f t="shared" si="141"/>
        <v/>
      </c>
      <c r="AL250" s="129">
        <f t="shared" si="142"/>
        <v/>
      </c>
      <c r="AM250" s="129">
        <f t="shared" si="143"/>
      </c>
      <c r="AN250" s="129">
        <f t="shared" si="144"/>
      </c>
      <c r="AO250" s="129">
        <f t="shared" si="145"/>
        <v/>
      </c>
      <c r="AP250" s="129">
        <f t="shared" si="146"/>
        <v/>
      </c>
      <c r="AQ250" s="129">
        <f t="shared" si="147"/>
        <v/>
      </c>
      <c r="AR250" s="129">
        <f t="shared" si="148"/>
        <v/>
      </c>
      <c r="AS250" s="129">
        <f t="shared" si="149"/>
        <v/>
      </c>
      <c r="AT250" s="129">
        <f t="shared" si="150"/>
        <v/>
      </c>
      <c r="AU250" s="129">
        <f t="shared" si="151"/>
        <v/>
      </c>
      <c r="AV250" s="129">
        <f t="shared" si="152"/>
        <v/>
      </c>
      <c r="AW250" s="129">
        <f>IF(AV250="","",AV250&amp;"."&amp;COUNTIFS($A$3:A250,A250,$AV$3:AV250,AV250))</f>
        <v/>
      </c>
      <c r="AX250" s="129">
        <f t="shared" si="153"/>
        <v/>
      </c>
      <c r="AY250" s="129">
        <f>IF(N250="б/к",0,IF(OR(ISNUMBER(SEARCH("L=",Разбивка_по_щитам!P250)),N250="+",N250="="),1,0))</f>
      </c>
      <c r="AZ250" s="129">
        <f t="shared" si="154"/>
      </c>
      <c r="BA250" s="129">
        <f t="shared" si="155"/>
      </c>
      <c r="BB250" s="129">
        <f t="shared" si="156"/>
      </c>
      <c r="BD250" s="129">
        <f t="shared" si="157"/>
      </c>
      <c r="BE250" s="129">
        <f t="shared" si="158"/>
      </c>
      <c r="BF250" s="129">
        <f t="shared" si="159"/>
      </c>
      <c r="BG250" s="129">
        <f t="shared" si="160"/>
        <v/>
      </c>
      <c r="BH250" s="129">
        <f t="shared" si="161"/>
        <v/>
      </c>
      <c r="BI250" s="129">
        <f t="shared" si="162"/>
        <v/>
      </c>
      <c r="BJ250" s="129">
        <f t="shared" si="163"/>
        <v/>
      </c>
      <c r="BK250" s="129">
        <f>IF(R250="","",IF(OR(BY250="",BY250=0),"BOX",IFERROR(IF(VLOOKUP(BY250,УГО_блоки,3,FALSE)&amp;""&lt;&gt;"",VLOOKUP(BY250,УГО_блоки,3,FALSE),VLOOKUP(BY250,УГО_блоки,2,FALSE)),BY250)))</f>
      </c>
      <c r="BL250" s="129">
        <f t="shared" si="165"/>
      </c>
      <c r="BM250" s="129">
        <f>IF(H250="","",IF(COUNTIF($H$3:H250,H250)=1,MAX($BM$2:BM249)+1,""))</f>
      </c>
      <c r="BN250" s="129">
        <f>IF(I250="","",IF(COUNTIF($I$3:I250,I250)+COUNTIF($J$2:J249,I250)+COUNTIF($K$2:K249,I250)=1,MAX($BN$2:BP249)+1,""))</f>
      </c>
      <c r="BO250" s="129">
        <f>IF(J250="","",IF(COUNTIF($I$3:I250,J250)+COUNTIF($J$3:J250,J250)+COUNTIF($K$2:K249,J250)=1,MAX($BN$2:BP249,BN250)+1,""))</f>
      </c>
      <c r="BP250" s="129">
        <f>IF(K250="","",IF(COUNTIF($I$3:I250,K250)+COUNTIF($J$3:J250,K250)+COUNTIF($K$3:K250,K250)=1,MAX($BN$2:BP249,BN250,BO250)+1,""))</f>
      </c>
      <c r="BQ250" s="129">
        <f>IF(AY250=1,IFERROR(MID(Q250,FIND(" (",Q250)+2,FIND(")",Q250,FIND(" (",Q250))-FIND(" (",Q250)-2),"?"),"")</f>
      </c>
      <c r="BR250" s="129">
        <f>IF(BQ250="","",IF(COUNTIF($BQ$3:BQ250,BQ250)=1,MAX($BR$2:BR249)+1,""))</f>
      </c>
      <c r="BS250" s="129">
        <f>IF(AW250="","",COUNTIF($AW$3:AW250,"?*"))</f>
      </c>
      <c r="BT250" s="129">
        <f>IF(OR(AW250="",AI250=""),"",IF(COUNTIFS($AW$3:AW250,"?*",$AI$3:AI250,AI250)=1,MAX($BT$2:BT249)+1,""))</f>
      </c>
      <c r="BU250" s="129">
        <f>IF(AE250="",0,IF(OR(ISNUMBER(SEARCH("дубль",AE250)),ISNUMBER(SEARCH("ПЕРЕГРУЗ",AE250)),ISNUMBER(SEARCH("ЗАЩИЩ",AE250)),ISNUMBER(SEARCH("КАНАЛ",AE250)),ISNUMBER(SEARCH("без 30",AE250))),2,1))</f>
      </c>
      <c r="BV250" s="129">
        <f>IF(R250="","",COUNTIF($R$3:R250,"?*"))</f>
      </c>
      <c r="BW250" s="129">
        <f>IF(AY250&lt;&gt;1,0,IF(MAX(IFERROR(--VLOOKUP(R250,УГО_спр,5,FALSE),0),IFERROR(--VLOOKUP(AL250,УГО_спр,5,FALSE),0),IFERROR(--VLOOKUP(LEFT(AL250,2),УГО_спр,5,FALSE),0))&gt;0,MAX(IFERROR(--VLOOKUP(R250,УГО_спр,5,FALSE),0),IFERROR(--VLOOKUP(AL250,УГО_спр,5,FALSE),0),IFERROR(--VLOOKUP(LEFT(AL250,2),УГО_спр,5,FALSE),0)),IF(IFERROR(--LEFT(SUBSTITUTE(BQ250,"x","х"),FIND("х",SUBSTITUTE(BQ250,"x","х"))-1),3)&gt;3,Каталог!$S$9,1)))</f>
      </c>
      <c r="BX250" s="129">
        <f>IF(AY250&lt;&gt;1,0,MAX(0,IFERROR(--LEFT(SUBSTITUTE(BQ250,"x","х"),FIND("х",SUBSTITUTE(BQ250,"x","х"))-1),3)-3*BW250))</f>
      </c>
      <c r="BY250" s="129">
        <f>IF(R250="","",IFERROR(VLOOKUP(R250,УГО_спр,2,FALSE),IFERROR(VLOOKUP(AL250,УГО_спр,2,FALSE),IFERROR(VLOOKUP(LEFT(AL250,2),УГО_спр,2,FALSE),""))))</f>
      </c>
    </row>
    <row r="251" spans="1:64" x14ac:dyDescent="0.3">
      <c r="A251" s="135">
        <f>IF(Разбивка_по_щитам!F251=0,"",Разбивка_по_щитам!F251)</f>
      </c>
      <c r="B251" s="138">
        <f>IF(A251="","",Разбивка_по_щитам!C251)</f>
      </c>
      <c r="C251" s="138">
        <f t="shared" si="128"/>
      </c>
      <c r="D251" s="266"/>
      <c r="E251" s="266"/>
      <c r="F251" s="267"/>
      <c r="G251" s="145">
        <f t="shared" si="129"/>
        <v/>
      </c>
      <c r="H251" s="145">
        <f t="shared" si="130"/>
        <v/>
      </c>
      <c r="I251" s="266"/>
      <c r="J251" s="267"/>
      <c r="K251" s="267"/>
      <c r="L251" s="266"/>
      <c r="M251" s="147">
        <f t="shared" si="168"/>
        <v/>
      </c>
      <c r="N251" s="267"/>
      <c r="O251" s="147">
        <f t="shared" si="169"/>
        <v/>
      </c>
      <c r="P251" s="268">
        <f>IF(AY251=1,"XT"&amp;COUNTIFS($A$3:A251,A251,$AY$3:AY251,1),"")</f>
        <v/>
      </c>
      <c r="Q251" s="152">
        <f>IF(R251="","",IFERROR(SUBSTITUTE(Разбивка_по_щитам!P251,CHAR(10)," "),""))</f>
        <v/>
      </c>
      <c r="R251" s="153">
        <f>IF(OR(Разбивка_по_щитам!H251="",Разбивка_по_щитам!H251=0),"",Разбивка_по_щитам!H251)</f>
        <v/>
      </c>
      <c r="S251" s="154">
        <f>IF(R251="","",IFERROR(Разбивка_по_щитам!J251&amp;"",""))</f>
        <v/>
      </c>
      <c r="T251" s="155">
        <f>IF(R251="","",IFERROR(--Разбивка_по_щитам!L251,""))</f>
        <v/>
      </c>
      <c r="U251" s="155">
        <f>IF(R251="","",IFERROR(--Разбивка_по_щитам!K251,""))</f>
        <v/>
      </c>
      <c r="V251" s="138">
        <f>IF(R251="","",IFERROR(IF(Разбивка_по_щитам!M251=0,"",Разбивка_по_щитам!M251),""))</f>
        <v/>
      </c>
      <c r="W251" s="156">
        <f t="shared" si="131"/>
        <v/>
      </c>
      <c r="X251" s="157">
        <f t="shared" si="132"/>
        <v/>
      </c>
      <c r="Y251" s="266"/>
      <c r="Z251" s="158">
        <f t="shared" si="133"/>
        <v/>
      </c>
      <c r="AA251" s="160">
        <f t="shared" si="134"/>
        <v/>
      </c>
      <c r="AB251" s="160">
        <f>IF(R251="","",IFERROR(LOOKUP(INDEX(Справочная!$I$4:$I$19,MATCH(VLOOKUP(R251,Исходные_данные,22,FALSE),Справочная!$J$4:$J$19,0)+1),{6,10,16,20,25,32,40,50,63,80,100,125}),""))</f>
        <v/>
      </c>
      <c r="AC251" s="160">
        <f t="shared" si="135"/>
        <v/>
      </c>
      <c r="AD251" s="161">
        <f t="shared" si="136"/>
        <v/>
      </c>
      <c r="AE251" s="161">
        <f>IF(AND(R251="",G251=""),"",_xlfn.TEXTJOIN("; ",TRUE,IF(AND(R251&lt;&gt;"",V251=""),"нет фазы",""),IF(AND(R251&lt;&gt;"",N(T251)=0),"нет мощности",""),IF(AND(P251&lt;&gt;"",COUNTIFS($A$3:$A$1000,A251,$P$3:$P$1000,P251)&gt;1),"дубль клеммы "&amp;P251,""),IF(AND(W251&lt;&gt;"",W251&lt;&gt;"ok"),W251,""),IF(X251&lt;&gt;"",X251,""),IF(AND(ISNUMBER(SEARCH("(5х",Q251)),N(AK251)=1),"5 жил на 1 фазе",""),IF(AND(AL251="R",E251&lt;&gt;"",N(AS251)=0),"розетка без 30 мА",""),IF(IFERROR(_xlfn.NUMBERVALUE(MID(Q251,FIND("-",Q251,FIND("L=",Q251))+1,FIND("%",Q251)-FIND("-",Q251,FIND("L=",Q251))-1),","),0)&gt;4,"потери &gt; 4 %","")))</f>
      </c>
      <c r="AF251" s="129">
        <f>IF(E251&lt;&gt;"",COUNTIFS($A$3:A251,A251,$E$3:E251,"?*"),IF(OR(A251&lt;&gt;A250,Y251="вручную"),"",AF250))</f>
      </c>
      <c r="AG251" s="129">
        <f t="shared" si="137"/>
      </c>
      <c r="AH251" s="129">
        <f t="shared" si="138"/>
        <v/>
      </c>
      <c r="AI251" s="129">
        <f t="shared" si="139"/>
        <v/>
      </c>
      <c r="AJ251" s="129">
        <f t="shared" si="140"/>
        <v/>
      </c>
      <c r="AK251" s="129">
        <f t="shared" si="141"/>
        <v/>
      </c>
      <c r="AL251" s="129">
        <f t="shared" si="142"/>
        <v/>
      </c>
      <c r="AM251" s="129">
        <f t="shared" si="143"/>
      </c>
      <c r="AN251" s="129">
        <f t="shared" si="144"/>
      </c>
      <c r="AO251" s="129">
        <f t="shared" si="145"/>
        <v/>
      </c>
      <c r="AP251" s="129">
        <f t="shared" si="146"/>
        <v/>
      </c>
      <c r="AQ251" s="129">
        <f t="shared" si="147"/>
        <v/>
      </c>
      <c r="AR251" s="129">
        <f t="shared" si="148"/>
        <v/>
      </c>
      <c r="AS251" s="129">
        <f t="shared" si="149"/>
        <v/>
      </c>
      <c r="AT251" s="129">
        <f t="shared" si="150"/>
        <v/>
      </c>
      <c r="AU251" s="129">
        <f t="shared" si="151"/>
        <v/>
      </c>
      <c r="AV251" s="129">
        <f t="shared" si="152"/>
        <v/>
      </c>
      <c r="AW251" s="129">
        <f>IF(AV251="","",AV251&amp;"."&amp;COUNTIFS($A$3:A251,A251,$AV$3:AV251,AV251))</f>
        <v/>
      </c>
      <c r="AX251" s="129">
        <f t="shared" si="153"/>
        <v/>
      </c>
      <c r="AY251" s="129">
        <f>IF(N251="б/к",0,IF(OR(ISNUMBER(SEARCH("L=",Разбивка_по_щитам!P251)),N251="+",N251="="),1,0))</f>
      </c>
      <c r="AZ251" s="129">
        <f t="shared" si="154"/>
      </c>
      <c r="BA251" s="129">
        <f t="shared" si="155"/>
      </c>
      <c r="BB251" s="129">
        <f t="shared" si="156"/>
      </c>
      <c r="BD251" s="129">
        <f t="shared" si="157"/>
      </c>
      <c r="BE251" s="129">
        <f t="shared" si="158"/>
      </c>
      <c r="BF251" s="129">
        <f t="shared" si="159"/>
      </c>
      <c r="BG251" s="129">
        <f t="shared" si="160"/>
        <v/>
      </c>
      <c r="BH251" s="129">
        <f t="shared" si="161"/>
        <v/>
      </c>
      <c r="BI251" s="129">
        <f t="shared" si="162"/>
        <v/>
      </c>
      <c r="BJ251" s="129">
        <f t="shared" si="163"/>
        <v/>
      </c>
      <c r="BK251" s="129">
        <f>IF(R251="","",IF(OR(BY251="",BY251=0),"BOX",IFERROR(IF(VLOOKUP(BY251,УГО_блоки,3,FALSE)&amp;""&lt;&gt;"",VLOOKUP(BY251,УГО_блоки,3,FALSE),VLOOKUP(BY251,УГО_блоки,2,FALSE)),BY251)))</f>
      </c>
      <c r="BL251" s="129">
        <f t="shared" si="165"/>
      </c>
      <c r="BM251" s="129">
        <f>IF(H251="","",IF(COUNTIF($H$3:H251,H251)=1,MAX($BM$2:BM250)+1,""))</f>
      </c>
      <c r="BN251" s="129">
        <f>IF(I251="","",IF(COUNTIF($I$3:I251,I251)+COUNTIF($J$2:J250,I251)+COUNTIF($K$2:K250,I251)=1,MAX($BN$2:BP250)+1,""))</f>
      </c>
      <c r="BO251" s="129">
        <f>IF(J251="","",IF(COUNTIF($I$3:I251,J251)+COUNTIF($J$3:J251,J251)+COUNTIF($K$2:K250,J251)=1,MAX($BN$2:BP250,BN251)+1,""))</f>
      </c>
      <c r="BP251" s="129">
        <f>IF(K251="","",IF(COUNTIF($I$3:I251,K251)+COUNTIF($J$3:J251,K251)+COUNTIF($K$3:K251,K251)=1,MAX($BN$2:BP250,BN251,BO251)+1,""))</f>
      </c>
      <c r="BQ251" s="129">
        <f>IF(AY251=1,IFERROR(MID(Q251,FIND(" (",Q251)+2,FIND(")",Q251,FIND(" (",Q251))-FIND(" (",Q251)-2),"?"),"")</f>
      </c>
      <c r="BR251" s="129">
        <f>IF(BQ251="","",IF(COUNTIF($BQ$3:BQ251,BQ251)=1,MAX($BR$2:BR250)+1,""))</f>
      </c>
      <c r="BS251" s="129">
        <f>IF(AW251="","",COUNTIF($AW$3:AW251,"?*"))</f>
      </c>
      <c r="BT251" s="129">
        <f>IF(OR(AW251="",AI251=""),"",IF(COUNTIFS($AW$3:AW251,"?*",$AI$3:AI251,AI251)=1,MAX($BT$2:BT250)+1,""))</f>
      </c>
      <c r="BU251" s="129">
        <f>IF(AE251="",0,IF(OR(ISNUMBER(SEARCH("дубль",AE251)),ISNUMBER(SEARCH("ПЕРЕГРУЗ",AE251)),ISNUMBER(SEARCH("ЗАЩИЩ",AE251)),ISNUMBER(SEARCH("КАНАЛ",AE251)),ISNUMBER(SEARCH("без 30",AE251))),2,1))</f>
      </c>
      <c r="BV251" s="129">
        <f>IF(R251="","",COUNTIF($R$3:R251,"?*"))</f>
      </c>
      <c r="BW251" s="129">
        <f>IF(AY251&lt;&gt;1,0,IF(MAX(IFERROR(--VLOOKUP(R251,УГО_спр,5,FALSE),0),IFERROR(--VLOOKUP(AL251,УГО_спр,5,FALSE),0),IFERROR(--VLOOKUP(LEFT(AL251,2),УГО_спр,5,FALSE),0))&gt;0,MAX(IFERROR(--VLOOKUP(R251,УГО_спр,5,FALSE),0),IFERROR(--VLOOKUP(AL251,УГО_спр,5,FALSE),0),IFERROR(--VLOOKUP(LEFT(AL251,2),УГО_спр,5,FALSE),0)),IF(IFERROR(--LEFT(SUBSTITUTE(BQ251,"x","х"),FIND("х",SUBSTITUTE(BQ251,"x","х"))-1),3)&gt;3,Каталог!$S$9,1)))</f>
      </c>
      <c r="BX251" s="129">
        <f>IF(AY251&lt;&gt;1,0,MAX(0,IFERROR(--LEFT(SUBSTITUTE(BQ251,"x","х"),FIND("х",SUBSTITUTE(BQ251,"x","х"))-1),3)-3*BW251))</f>
      </c>
      <c r="BY251" s="129">
        <f>IF(R251="","",IFERROR(VLOOKUP(R251,УГО_спр,2,FALSE),IFERROR(VLOOKUP(AL251,УГО_спр,2,FALSE),IFERROR(VLOOKUP(LEFT(AL251,2),УГО_спр,2,FALSE),""))))</f>
      </c>
    </row>
    <row r="252" spans="1:64" x14ac:dyDescent="0.3">
      <c r="A252" s="135">
        <f>IF(Разбивка_по_щитам!F252=0,"",Разбивка_по_щитам!F252)</f>
      </c>
      <c r="B252" s="138">
        <f>IF(A252="","",Разбивка_по_щитам!C252)</f>
      </c>
      <c r="C252" s="138">
        <f t="shared" si="128"/>
      </c>
      <c r="D252" s="266"/>
      <c r="E252" s="266"/>
      <c r="F252" s="267"/>
      <c r="G252" s="145">
        <f t="shared" si="129"/>
        <v/>
      </c>
      <c r="H252" s="145">
        <f t="shared" si="130"/>
        <v/>
      </c>
      <c r="I252" s="266"/>
      <c r="J252" s="267"/>
      <c r="K252" s="267"/>
      <c r="L252" s="266"/>
      <c r="M252" s="147">
        <f t="shared" si="168"/>
        <v/>
      </c>
      <c r="N252" s="267"/>
      <c r="O252" s="147">
        <f t="shared" si="169"/>
        <v/>
      </c>
      <c r="P252" s="268">
        <f>IF(AY252=1,"XT"&amp;COUNTIFS($A$3:A252,A252,$AY$3:AY252,1),"")</f>
        <v/>
      </c>
      <c r="Q252" s="152">
        <f>IF(R252="","",IFERROR(SUBSTITUTE(Разбивка_по_щитам!P252,CHAR(10)," "),""))</f>
        <v/>
      </c>
      <c r="R252" s="153">
        <f>IF(OR(Разбивка_по_щитам!H252="",Разбивка_по_щитам!H252=0),"",Разбивка_по_щитам!H252)</f>
        <v/>
      </c>
      <c r="S252" s="154">
        <f>IF(R252="","",IFERROR(Разбивка_по_щитам!J252&amp;"",""))</f>
        <v/>
      </c>
      <c r="T252" s="155">
        <f>IF(R252="","",IFERROR(--Разбивка_по_щитам!L252,""))</f>
        <v/>
      </c>
      <c r="U252" s="155">
        <f>IF(R252="","",IFERROR(--Разбивка_по_щитам!K252,""))</f>
        <v/>
      </c>
      <c r="V252" s="138">
        <f>IF(R252="","",IFERROR(IF(Разбивка_по_щитам!M252=0,"",Разбивка_по_щитам!M252),""))</f>
        <v/>
      </c>
      <c r="W252" s="156">
        <f t="shared" si="131"/>
        <v/>
      </c>
      <c r="X252" s="157">
        <f t="shared" si="132"/>
        <v/>
      </c>
      <c r="Y252" s="266"/>
      <c r="Z252" s="158">
        <f t="shared" si="133"/>
        <v/>
      </c>
      <c r="AA252" s="160">
        <f t="shared" si="134"/>
        <v/>
      </c>
      <c r="AB252" s="160">
        <f>IF(R252="","",IFERROR(LOOKUP(INDEX(Справочная!$I$4:$I$19,MATCH(VLOOKUP(R252,Исходные_данные,22,FALSE),Справочная!$J$4:$J$19,0)+1),{6,10,16,20,25,32,40,50,63,80,100,125}),""))</f>
        <v/>
      </c>
      <c r="AC252" s="160">
        <f t="shared" si="135"/>
        <v/>
      </c>
      <c r="AD252" s="161">
        <f t="shared" si="136"/>
        <v/>
      </c>
      <c r="AE252" s="161">
        <f>IF(AND(R252="",G252=""),"",_xlfn.TEXTJOIN("; ",TRUE,IF(AND(R252&lt;&gt;"",V252=""),"нет фазы",""),IF(AND(R252&lt;&gt;"",N(T252)=0),"нет мощности",""),IF(AND(P252&lt;&gt;"",COUNTIFS($A$3:$A$1000,A252,$P$3:$P$1000,P252)&gt;1),"дубль клеммы "&amp;P252,""),IF(AND(W252&lt;&gt;"",W252&lt;&gt;"ok"),W252,""),IF(X252&lt;&gt;"",X252,""),IF(AND(ISNUMBER(SEARCH("(5х",Q252)),N(AK252)=1),"5 жил на 1 фазе",""),IF(AND(AL252="R",E252&lt;&gt;"",N(AS252)=0),"розетка без 30 мА",""),IF(IFERROR(_xlfn.NUMBERVALUE(MID(Q252,FIND("-",Q252,FIND("L=",Q252))+1,FIND("%",Q252)-FIND("-",Q252,FIND("L=",Q252))-1),","),0)&gt;4,"потери &gt; 4 %","")))</f>
      </c>
      <c r="AF252" s="129">
        <f>IF(E252&lt;&gt;"",COUNTIFS($A$3:A252,A252,$E$3:E252,"?*"),IF(OR(A252&lt;&gt;A251,Y252="вручную"),"",AF251))</f>
      </c>
      <c r="AG252" s="129">
        <f t="shared" si="137"/>
      </c>
      <c r="AH252" s="129">
        <f t="shared" si="138"/>
        <v/>
      </c>
      <c r="AI252" s="129">
        <f t="shared" si="139"/>
        <v/>
      </c>
      <c r="AJ252" s="129">
        <f t="shared" si="140"/>
        <v/>
      </c>
      <c r="AK252" s="129">
        <f t="shared" si="141"/>
        <v/>
      </c>
      <c r="AL252" s="129">
        <f t="shared" si="142"/>
        <v/>
      </c>
      <c r="AM252" s="129">
        <f t="shared" si="143"/>
      </c>
      <c r="AN252" s="129">
        <f t="shared" si="144"/>
      </c>
      <c r="AO252" s="129">
        <f t="shared" si="145"/>
        <v/>
      </c>
      <c r="AP252" s="129">
        <f t="shared" si="146"/>
        <v/>
      </c>
      <c r="AQ252" s="129">
        <f t="shared" si="147"/>
        <v/>
      </c>
      <c r="AR252" s="129">
        <f t="shared" si="148"/>
        <v/>
      </c>
      <c r="AS252" s="129">
        <f t="shared" si="149"/>
        <v/>
      </c>
      <c r="AT252" s="129">
        <f t="shared" si="150"/>
        <v/>
      </c>
      <c r="AU252" s="129">
        <f t="shared" si="151"/>
        <v/>
      </c>
      <c r="AV252" s="129">
        <f t="shared" si="152"/>
        <v/>
      </c>
      <c r="AW252" s="129">
        <f>IF(AV252="","",AV252&amp;"."&amp;COUNTIFS($A$3:A252,A252,$AV$3:AV252,AV252))</f>
        <v/>
      </c>
      <c r="AX252" s="129">
        <f t="shared" si="153"/>
        <v/>
      </c>
      <c r="AY252" s="129">
        <f>IF(N252="б/к",0,IF(OR(ISNUMBER(SEARCH("L=",Разбивка_по_щитам!P252)),N252="+",N252="="),1,0))</f>
      </c>
      <c r="AZ252" s="129">
        <f t="shared" si="154"/>
      </c>
      <c r="BA252" s="129">
        <f t="shared" si="155"/>
      </c>
      <c r="BB252" s="129">
        <f t="shared" si="156"/>
      </c>
      <c r="BD252" s="129">
        <f t="shared" si="157"/>
      </c>
      <c r="BE252" s="129">
        <f t="shared" si="158"/>
      </c>
      <c r="BF252" s="129">
        <f t="shared" si="159"/>
      </c>
      <c r="BG252" s="129">
        <f t="shared" si="160"/>
        <v/>
      </c>
      <c r="BH252" s="129">
        <f t="shared" si="161"/>
        <v/>
      </c>
      <c r="BI252" s="129">
        <f t="shared" si="162"/>
        <v/>
      </c>
      <c r="BJ252" s="129">
        <f t="shared" si="163"/>
        <v/>
      </c>
      <c r="BK252" s="129">
        <f>IF(R252="","",IF(OR(BY252="",BY252=0),"BOX",IFERROR(IF(VLOOKUP(BY252,УГО_блоки,3,FALSE)&amp;""&lt;&gt;"",VLOOKUP(BY252,УГО_блоки,3,FALSE),VLOOKUP(BY252,УГО_блоки,2,FALSE)),BY252)))</f>
      </c>
      <c r="BL252" s="129">
        <f t="shared" si="165"/>
      </c>
      <c r="BM252" s="129">
        <f>IF(H252="","",IF(COUNTIF($H$3:H252,H252)=1,MAX($BM$2:BM251)+1,""))</f>
      </c>
      <c r="BN252" s="129">
        <f>IF(I252="","",IF(COUNTIF($I$3:I252,I252)+COUNTIF($J$2:J251,I252)+COUNTIF($K$2:K251,I252)=1,MAX($BN$2:BP251)+1,""))</f>
      </c>
      <c r="BO252" s="129">
        <f>IF(J252="","",IF(COUNTIF($I$3:I252,J252)+COUNTIF($J$3:J252,J252)+COUNTIF($K$2:K251,J252)=1,MAX($BN$2:BP251,BN252)+1,""))</f>
      </c>
      <c r="BP252" s="129">
        <f>IF(K252="","",IF(COUNTIF($I$3:I252,K252)+COUNTIF($J$3:J252,K252)+COUNTIF($K$3:K252,K252)=1,MAX($BN$2:BP251,BN252,BO252)+1,""))</f>
      </c>
      <c r="BQ252" s="129">
        <f>IF(AY252=1,IFERROR(MID(Q252,FIND(" (",Q252)+2,FIND(")",Q252,FIND(" (",Q252))-FIND(" (",Q252)-2),"?"),"")</f>
      </c>
      <c r="BR252" s="129">
        <f>IF(BQ252="","",IF(COUNTIF($BQ$3:BQ252,BQ252)=1,MAX($BR$2:BR251)+1,""))</f>
      </c>
      <c r="BS252" s="129">
        <f>IF(AW252="","",COUNTIF($AW$3:AW252,"?*"))</f>
      </c>
      <c r="BT252" s="129">
        <f>IF(OR(AW252="",AI252=""),"",IF(COUNTIFS($AW$3:AW252,"?*",$AI$3:AI252,AI252)=1,MAX($BT$2:BT251)+1,""))</f>
      </c>
      <c r="BU252" s="129">
        <f>IF(AE252="",0,IF(OR(ISNUMBER(SEARCH("дубль",AE252)),ISNUMBER(SEARCH("ПЕРЕГРУЗ",AE252)),ISNUMBER(SEARCH("ЗАЩИЩ",AE252)),ISNUMBER(SEARCH("КАНАЛ",AE252)),ISNUMBER(SEARCH("без 30",AE252))),2,1))</f>
      </c>
      <c r="BV252" s="129">
        <f>IF(R252="","",COUNTIF($R$3:R252,"?*"))</f>
      </c>
      <c r="BW252" s="129">
        <f>IF(AY252&lt;&gt;1,0,IF(MAX(IFERROR(--VLOOKUP(R252,УГО_спр,5,FALSE),0),IFERROR(--VLOOKUP(AL252,УГО_спр,5,FALSE),0),IFERROR(--VLOOKUP(LEFT(AL252,2),УГО_спр,5,FALSE),0))&gt;0,MAX(IFERROR(--VLOOKUP(R252,УГО_спр,5,FALSE),0),IFERROR(--VLOOKUP(AL252,УГО_спр,5,FALSE),0),IFERROR(--VLOOKUP(LEFT(AL252,2),УГО_спр,5,FALSE),0)),IF(IFERROR(--LEFT(SUBSTITUTE(BQ252,"x","х"),FIND("х",SUBSTITUTE(BQ252,"x","х"))-1),3)&gt;3,Каталог!$S$9,1)))</f>
      </c>
      <c r="BX252" s="129">
        <f>IF(AY252&lt;&gt;1,0,MAX(0,IFERROR(--LEFT(SUBSTITUTE(BQ252,"x","х"),FIND("х",SUBSTITUTE(BQ252,"x","х"))-1),3)-3*BW252))</f>
      </c>
      <c r="BY252" s="129">
        <f>IF(R252="","",IFERROR(VLOOKUP(R252,УГО_спр,2,FALSE),IFERROR(VLOOKUP(AL252,УГО_спр,2,FALSE),IFERROR(VLOOKUP(LEFT(AL252,2),УГО_спр,2,FALSE),""))))</f>
      </c>
    </row>
    <row r="253" spans="1:64" x14ac:dyDescent="0.3">
      <c r="A253" s="135">
        <f>IF(Разбивка_по_щитам!F253=0,"",Разбивка_по_щитам!F253)</f>
      </c>
      <c r="B253" s="138">
        <f>IF(A253="","",Разбивка_по_щитам!C253)</f>
      </c>
      <c r="C253" s="138">
        <f t="shared" si="128"/>
      </c>
      <c r="D253" s="266"/>
      <c r="E253" s="266"/>
      <c r="F253" s="267"/>
      <c r="G253" s="145">
        <f t="shared" si="129"/>
        <v/>
      </c>
      <c r="H253" s="145">
        <f t="shared" si="130"/>
        <v/>
      </c>
      <c r="I253" s="266"/>
      <c r="J253" s="267"/>
      <c r="K253" s="267"/>
      <c r="L253" s="266"/>
      <c r="M253" s="147">
        <f t="shared" si="168"/>
        <v/>
      </c>
      <c r="N253" s="267"/>
      <c r="O253" s="147">
        <f t="shared" si="169"/>
        <v/>
      </c>
      <c r="P253" s="268">
        <f>IF(AY253=1,"XT"&amp;COUNTIFS($A$3:A253,A253,$AY$3:AY253,1),"")</f>
        <v/>
      </c>
      <c r="Q253" s="152">
        <f>IF(R253="","",IFERROR(SUBSTITUTE(Разбивка_по_щитам!P253,CHAR(10)," "),""))</f>
        <v/>
      </c>
      <c r="R253" s="153">
        <f>IF(OR(Разбивка_по_щитам!H253="",Разбивка_по_щитам!H253=0),"",Разбивка_по_щитам!H253)</f>
        <v/>
      </c>
      <c r="S253" s="154">
        <f>IF(R253="","",IFERROR(Разбивка_по_щитам!J253&amp;"",""))</f>
        <v/>
      </c>
      <c r="T253" s="155">
        <f>IF(R253="","",IFERROR(--Разбивка_по_щитам!L253,""))</f>
        <v/>
      </c>
      <c r="U253" s="155">
        <f>IF(R253="","",IFERROR(--Разбивка_по_щитам!K253,""))</f>
        <v/>
      </c>
      <c r="V253" s="138">
        <f>IF(R253="","",IFERROR(IF(Разбивка_по_щитам!M253=0,"",Разбивка_по_щитам!M253),""))</f>
        <v/>
      </c>
      <c r="W253" s="156">
        <f t="shared" si="131"/>
        <v/>
      </c>
      <c r="X253" s="157">
        <f t="shared" si="132"/>
        <v/>
      </c>
      <c r="Y253" s="266"/>
      <c r="Z253" s="158">
        <f t="shared" si="133"/>
        <v/>
      </c>
      <c r="AA253" s="160">
        <f t="shared" si="134"/>
        <v/>
      </c>
      <c r="AB253" s="160">
        <f>IF(R253="","",IFERROR(LOOKUP(INDEX(Справочная!$I$4:$I$19,MATCH(VLOOKUP(R253,Исходные_данные,22,FALSE),Справочная!$J$4:$J$19,0)+1),{6,10,16,20,25,32,40,50,63,80,100,125}),""))</f>
        <v/>
      </c>
      <c r="AC253" s="160">
        <f t="shared" si="135"/>
        <v/>
      </c>
      <c r="AD253" s="161">
        <f t="shared" si="136"/>
        <v/>
      </c>
      <c r="AE253" s="161">
        <f>IF(AND(R253="",G253=""),"",_xlfn.TEXTJOIN("; ",TRUE,IF(AND(R253&lt;&gt;"",V253=""),"нет фазы",""),IF(AND(R253&lt;&gt;"",N(T253)=0),"нет мощности",""),IF(AND(P253&lt;&gt;"",COUNTIFS($A$3:$A$1000,A253,$P$3:$P$1000,P253)&gt;1),"дубль клеммы "&amp;P253,""),IF(AND(W253&lt;&gt;"",W253&lt;&gt;"ok"),W253,""),IF(X253&lt;&gt;"",X253,""),IF(AND(ISNUMBER(SEARCH("(5х",Q253)),N(AK253)=1),"5 жил на 1 фазе",""),IF(AND(AL253="R",E253&lt;&gt;"",N(AS253)=0),"розетка без 30 мА",""),IF(IFERROR(_xlfn.NUMBERVALUE(MID(Q253,FIND("-",Q253,FIND("L=",Q253))+1,FIND("%",Q253)-FIND("-",Q253,FIND("L=",Q253))-1),","),0)&gt;4,"потери &gt; 4 %","")))</f>
      </c>
      <c r="AF253" s="129">
        <f>IF(E253&lt;&gt;"",COUNTIFS($A$3:A253,A253,$E$3:E253,"?*"),IF(OR(A253&lt;&gt;A252,Y253="вручную"),"",AF252))</f>
      </c>
      <c r="AG253" s="129">
        <f t="shared" si="137"/>
      </c>
      <c r="AH253" s="129">
        <f t="shared" si="138"/>
        <v/>
      </c>
      <c r="AI253" s="129">
        <f t="shared" si="139"/>
        <v/>
      </c>
      <c r="AJ253" s="129">
        <f t="shared" si="140"/>
        <v/>
      </c>
      <c r="AK253" s="129">
        <f t="shared" si="141"/>
        <v/>
      </c>
      <c r="AL253" s="129">
        <f t="shared" si="142"/>
        <v/>
      </c>
      <c r="AM253" s="129">
        <f t="shared" si="143"/>
      </c>
      <c r="AN253" s="129">
        <f t="shared" si="144"/>
      </c>
      <c r="AO253" s="129">
        <f t="shared" si="145"/>
        <v/>
      </c>
      <c r="AP253" s="129">
        <f t="shared" si="146"/>
        <v/>
      </c>
      <c r="AQ253" s="129">
        <f t="shared" si="147"/>
        <v/>
      </c>
      <c r="AR253" s="129">
        <f t="shared" si="148"/>
        <v/>
      </c>
      <c r="AS253" s="129">
        <f t="shared" si="149"/>
        <v/>
      </c>
      <c r="AT253" s="129">
        <f t="shared" si="150"/>
        <v/>
      </c>
      <c r="AU253" s="129">
        <f t="shared" si="151"/>
        <v/>
      </c>
      <c r="AV253" s="129">
        <f t="shared" si="152"/>
        <v/>
      </c>
      <c r="AW253" s="129">
        <f>IF(AV253="","",AV253&amp;"."&amp;COUNTIFS($A$3:A253,A253,$AV$3:AV253,AV253))</f>
        <v/>
      </c>
      <c r="AX253" s="129">
        <f t="shared" si="153"/>
        <v/>
      </c>
      <c r="AY253" s="129">
        <f>IF(N253="б/к",0,IF(OR(ISNUMBER(SEARCH("L=",Разбивка_по_щитам!P253)),N253="+",N253="="),1,0))</f>
      </c>
      <c r="AZ253" s="129">
        <f t="shared" si="154"/>
      </c>
      <c r="BA253" s="129">
        <f t="shared" si="155"/>
      </c>
      <c r="BB253" s="129">
        <f t="shared" si="156"/>
      </c>
      <c r="BD253" s="129">
        <f t="shared" si="157"/>
      </c>
      <c r="BE253" s="129">
        <f t="shared" si="158"/>
      </c>
      <c r="BF253" s="129">
        <f t="shared" si="159"/>
      </c>
      <c r="BG253" s="129">
        <f t="shared" si="160"/>
        <v/>
      </c>
      <c r="BH253" s="129">
        <f t="shared" si="161"/>
        <v/>
      </c>
      <c r="BI253" s="129">
        <f t="shared" si="162"/>
        <v/>
      </c>
      <c r="BJ253" s="129">
        <f t="shared" si="163"/>
        <v/>
      </c>
      <c r="BK253" s="129">
        <f>IF(R253="","",IF(OR(BY253="",BY253=0),"BOX",IFERROR(IF(VLOOKUP(BY253,УГО_блоки,3,FALSE)&amp;""&lt;&gt;"",VLOOKUP(BY253,УГО_блоки,3,FALSE),VLOOKUP(BY253,УГО_блоки,2,FALSE)),BY253)))</f>
      </c>
      <c r="BL253" s="129">
        <f t="shared" si="165"/>
      </c>
      <c r="BM253" s="129">
        <f>IF(H253="","",IF(COUNTIF($H$3:H253,H253)=1,MAX($BM$2:BM252)+1,""))</f>
      </c>
      <c r="BN253" s="129">
        <f>IF(I253="","",IF(COUNTIF($I$3:I253,I253)+COUNTIF($J$2:J252,I253)+COUNTIF($K$2:K252,I253)=1,MAX($BN$2:BP252)+1,""))</f>
      </c>
      <c r="BO253" s="129">
        <f>IF(J253="","",IF(COUNTIF($I$3:I253,J253)+COUNTIF($J$3:J253,J253)+COUNTIF($K$2:K252,J253)=1,MAX($BN$2:BP252,BN253)+1,""))</f>
      </c>
      <c r="BP253" s="129">
        <f>IF(K253="","",IF(COUNTIF($I$3:I253,K253)+COUNTIF($J$3:J253,K253)+COUNTIF($K$3:K253,K253)=1,MAX($BN$2:BP252,BN253,BO253)+1,""))</f>
      </c>
      <c r="BQ253" s="129">
        <f>IF(AY253=1,IFERROR(MID(Q253,FIND(" (",Q253)+2,FIND(")",Q253,FIND(" (",Q253))-FIND(" (",Q253)-2),"?"),"")</f>
      </c>
      <c r="BR253" s="129">
        <f>IF(BQ253="","",IF(COUNTIF($BQ$3:BQ253,BQ253)=1,MAX($BR$2:BR252)+1,""))</f>
      </c>
      <c r="BS253" s="129">
        <f>IF(AW253="","",COUNTIF($AW$3:AW253,"?*"))</f>
      </c>
      <c r="BT253" s="129">
        <f>IF(OR(AW253="",AI253=""),"",IF(COUNTIFS($AW$3:AW253,"?*",$AI$3:AI253,AI253)=1,MAX($BT$2:BT252)+1,""))</f>
      </c>
      <c r="BU253" s="129">
        <f>IF(AE253="",0,IF(OR(ISNUMBER(SEARCH("дубль",AE253)),ISNUMBER(SEARCH("ПЕРЕГРУЗ",AE253)),ISNUMBER(SEARCH("ЗАЩИЩ",AE253)),ISNUMBER(SEARCH("КАНАЛ",AE253)),ISNUMBER(SEARCH("без 30",AE253))),2,1))</f>
      </c>
      <c r="BV253" s="129">
        <f>IF(R253="","",COUNTIF($R$3:R253,"?*"))</f>
      </c>
      <c r="BW253" s="129">
        <f>IF(AY253&lt;&gt;1,0,IF(MAX(IFERROR(--VLOOKUP(R253,УГО_спр,5,FALSE),0),IFERROR(--VLOOKUP(AL253,УГО_спр,5,FALSE),0),IFERROR(--VLOOKUP(LEFT(AL253,2),УГО_спр,5,FALSE),0))&gt;0,MAX(IFERROR(--VLOOKUP(R253,УГО_спр,5,FALSE),0),IFERROR(--VLOOKUP(AL253,УГО_спр,5,FALSE),0),IFERROR(--VLOOKUP(LEFT(AL253,2),УГО_спр,5,FALSE),0)),IF(IFERROR(--LEFT(SUBSTITUTE(BQ253,"x","х"),FIND("х",SUBSTITUTE(BQ253,"x","х"))-1),3)&gt;3,Каталог!$S$9,1)))</f>
      </c>
      <c r="BX253" s="129">
        <f>IF(AY253&lt;&gt;1,0,MAX(0,IFERROR(--LEFT(SUBSTITUTE(BQ253,"x","х"),FIND("х",SUBSTITUTE(BQ253,"x","х"))-1),3)-3*BW253))</f>
      </c>
      <c r="BY253" s="129">
        <f>IF(R253="","",IFERROR(VLOOKUP(R253,УГО_спр,2,FALSE),IFERROR(VLOOKUP(AL253,УГО_спр,2,FALSE),IFERROR(VLOOKUP(LEFT(AL253,2),УГО_спр,2,FALSE),""))))</f>
      </c>
    </row>
    <row r="254" spans="1:64" x14ac:dyDescent="0.3">
      <c r="A254" s="135">
        <f>IF(Разбивка_по_щитам!F254=0,"",Разбивка_по_щитам!F254)</f>
      </c>
      <c r="B254" s="138">
        <f>IF(A254="","",Разбивка_по_щитам!C254)</f>
      </c>
      <c r="C254" s="138">
        <f t="shared" si="128"/>
      </c>
      <c r="D254" s="266"/>
      <c r="E254" s="266"/>
      <c r="F254" s="267"/>
      <c r="G254" s="145">
        <f t="shared" si="129"/>
        <v/>
      </c>
      <c r="H254" s="145">
        <f t="shared" si="130"/>
        <v/>
      </c>
      <c r="I254" s="266"/>
      <c r="J254" s="267"/>
      <c r="K254" s="267"/>
      <c r="L254" s="266"/>
      <c r="M254" s="147">
        <f t="shared" si="168"/>
        <v/>
      </c>
      <c r="N254" s="267"/>
      <c r="O254" s="147">
        <f t="shared" si="169"/>
        <v/>
      </c>
      <c r="P254" s="268">
        <f>IF(AY254=1,"XT"&amp;COUNTIFS($A$3:A254,A254,$AY$3:AY254,1),"")</f>
        <v/>
      </c>
      <c r="Q254" s="152">
        <f>IF(R254="","",IFERROR(SUBSTITUTE(Разбивка_по_щитам!P254,CHAR(10)," "),""))</f>
        <v/>
      </c>
      <c r="R254" s="153">
        <f>IF(OR(Разбивка_по_щитам!H254="",Разбивка_по_щитам!H254=0),"",Разбивка_по_щитам!H254)</f>
        <v/>
      </c>
      <c r="S254" s="154">
        <f>IF(R254="","",IFERROR(Разбивка_по_щитам!J254&amp;"",""))</f>
        <v/>
      </c>
      <c r="T254" s="155">
        <f>IF(R254="","",IFERROR(--Разбивка_по_щитам!L254,""))</f>
        <v/>
      </c>
      <c r="U254" s="155">
        <f>IF(R254="","",IFERROR(--Разбивка_по_щитам!K254,""))</f>
        <v/>
      </c>
      <c r="V254" s="138">
        <f>IF(R254="","",IFERROR(IF(Разбивка_по_щитам!M254=0,"",Разбивка_по_щитам!M254),""))</f>
        <v/>
      </c>
      <c r="W254" s="156">
        <f t="shared" si="131"/>
        <v/>
      </c>
      <c r="X254" s="157">
        <f t="shared" si="132"/>
        <v/>
      </c>
      <c r="Y254" s="266"/>
      <c r="Z254" s="158">
        <f t="shared" si="133"/>
        <v/>
      </c>
      <c r="AA254" s="160">
        <f t="shared" si="134"/>
        <v/>
      </c>
      <c r="AB254" s="160">
        <f>IF(R254="","",IFERROR(LOOKUP(INDEX(Справочная!$I$4:$I$19,MATCH(VLOOKUP(R254,Исходные_данные,22,FALSE),Справочная!$J$4:$J$19,0)+1),{6,10,16,20,25,32,40,50,63,80,100,125}),""))</f>
        <v/>
      </c>
      <c r="AC254" s="160">
        <f t="shared" si="135"/>
        <v/>
      </c>
      <c r="AD254" s="161">
        <f t="shared" si="136"/>
        <v/>
      </c>
      <c r="AE254" s="161">
        <f>IF(AND(R254="",G254=""),"",_xlfn.TEXTJOIN("; ",TRUE,IF(AND(R254&lt;&gt;"",V254=""),"нет фазы",""),IF(AND(R254&lt;&gt;"",N(T254)=0),"нет мощности",""),IF(AND(P254&lt;&gt;"",COUNTIFS($A$3:$A$1000,A254,$P$3:$P$1000,P254)&gt;1),"дубль клеммы "&amp;P254,""),IF(AND(W254&lt;&gt;"",W254&lt;&gt;"ok"),W254,""),IF(X254&lt;&gt;"",X254,""),IF(AND(ISNUMBER(SEARCH("(5х",Q254)),N(AK254)=1),"5 жил на 1 фазе",""),IF(AND(AL254="R",E254&lt;&gt;"",N(AS254)=0),"розетка без 30 мА",""),IF(IFERROR(_xlfn.NUMBERVALUE(MID(Q254,FIND("-",Q254,FIND("L=",Q254))+1,FIND("%",Q254)-FIND("-",Q254,FIND("L=",Q254))-1),","),0)&gt;4,"потери &gt; 4 %","")))</f>
      </c>
      <c r="AF254" s="129">
        <f>IF(E254&lt;&gt;"",COUNTIFS($A$3:A254,A254,$E$3:E254,"?*"),IF(OR(A254&lt;&gt;A253,Y254="вручную"),"",AF253))</f>
      </c>
      <c r="AG254" s="129">
        <f t="shared" si="137"/>
      </c>
      <c r="AH254" s="129">
        <f t="shared" si="138"/>
        <v/>
      </c>
      <c r="AI254" s="129">
        <f t="shared" si="139"/>
        <v/>
      </c>
      <c r="AJ254" s="129">
        <f t="shared" si="140"/>
        <v/>
      </c>
      <c r="AK254" s="129">
        <f t="shared" si="141"/>
        <v/>
      </c>
      <c r="AL254" s="129">
        <f t="shared" si="142"/>
        <v/>
      </c>
      <c r="AM254" s="129">
        <f t="shared" si="143"/>
      </c>
      <c r="AN254" s="129">
        <f t="shared" si="144"/>
      </c>
      <c r="AO254" s="129">
        <f t="shared" si="145"/>
        <v/>
      </c>
      <c r="AP254" s="129">
        <f t="shared" si="146"/>
        <v/>
      </c>
      <c r="AQ254" s="129">
        <f t="shared" si="147"/>
        <v/>
      </c>
      <c r="AR254" s="129">
        <f t="shared" si="148"/>
        <v/>
      </c>
      <c r="AS254" s="129">
        <f t="shared" si="149"/>
        <v/>
      </c>
      <c r="AT254" s="129">
        <f t="shared" si="150"/>
        <v/>
      </c>
      <c r="AU254" s="129">
        <f t="shared" si="151"/>
        <v/>
      </c>
      <c r="AV254" s="129">
        <f t="shared" si="152"/>
        <v/>
      </c>
      <c r="AW254" s="129">
        <f>IF(AV254="","",AV254&amp;"."&amp;COUNTIFS($A$3:A254,A254,$AV$3:AV254,AV254))</f>
        <v/>
      </c>
      <c r="AX254" s="129">
        <f t="shared" si="153"/>
        <v/>
      </c>
      <c r="AY254" s="129">
        <f>IF(N254="б/к",0,IF(OR(ISNUMBER(SEARCH("L=",Разбивка_по_щитам!P254)),N254="+",N254="="),1,0))</f>
      </c>
      <c r="AZ254" s="129">
        <f t="shared" si="154"/>
      </c>
      <c r="BA254" s="129">
        <f t="shared" si="155"/>
      </c>
      <c r="BB254" s="129">
        <f t="shared" si="156"/>
      </c>
      <c r="BD254" s="129">
        <f t="shared" si="157"/>
      </c>
      <c r="BE254" s="129">
        <f t="shared" si="158"/>
      </c>
      <c r="BF254" s="129">
        <f t="shared" si="159"/>
      </c>
      <c r="BG254" s="129">
        <f t="shared" si="160"/>
        <v/>
      </c>
      <c r="BH254" s="129">
        <f t="shared" si="161"/>
        <v/>
      </c>
      <c r="BI254" s="129">
        <f t="shared" si="162"/>
        <v/>
      </c>
      <c r="BJ254" s="129">
        <f t="shared" si="163"/>
        <v/>
      </c>
      <c r="BK254" s="129">
        <f>IF(R254="","",IF(OR(BY254="",BY254=0),"BOX",IFERROR(IF(VLOOKUP(BY254,УГО_блоки,3,FALSE)&amp;""&lt;&gt;"",VLOOKUP(BY254,УГО_блоки,3,FALSE),VLOOKUP(BY254,УГО_блоки,2,FALSE)),BY254)))</f>
      </c>
      <c r="BL254" s="129">
        <f t="shared" si="165"/>
      </c>
      <c r="BM254" s="129">
        <f>IF(H254="","",IF(COUNTIF($H$3:H254,H254)=1,MAX($BM$2:BM253)+1,""))</f>
      </c>
      <c r="BN254" s="129">
        <f>IF(I254="","",IF(COUNTIF($I$3:I254,I254)+COUNTIF($J$2:J253,I254)+COUNTIF($K$2:K253,I254)=1,MAX($BN$2:BP253)+1,""))</f>
      </c>
      <c r="BO254" s="129">
        <f>IF(J254="","",IF(COUNTIF($I$3:I254,J254)+COUNTIF($J$3:J254,J254)+COUNTIF($K$2:K253,J254)=1,MAX($BN$2:BP253,BN254)+1,""))</f>
      </c>
      <c r="BP254" s="129">
        <f>IF(K254="","",IF(COUNTIF($I$3:I254,K254)+COUNTIF($J$3:J254,K254)+COUNTIF($K$3:K254,K254)=1,MAX($BN$2:BP253,BN254,BO254)+1,""))</f>
      </c>
      <c r="BQ254" s="129">
        <f>IF(AY254=1,IFERROR(MID(Q254,FIND(" (",Q254)+2,FIND(")",Q254,FIND(" (",Q254))-FIND(" (",Q254)-2),"?"),"")</f>
      </c>
      <c r="BR254" s="129">
        <f>IF(BQ254="","",IF(COUNTIF($BQ$3:BQ254,BQ254)=1,MAX($BR$2:BR253)+1,""))</f>
      </c>
      <c r="BS254" s="129">
        <f>IF(AW254="","",COUNTIF($AW$3:AW254,"?*"))</f>
      </c>
      <c r="BT254" s="129">
        <f>IF(OR(AW254="",AI254=""),"",IF(COUNTIFS($AW$3:AW254,"?*",$AI$3:AI254,AI254)=1,MAX($BT$2:BT253)+1,""))</f>
      </c>
      <c r="BU254" s="129">
        <f>IF(AE254="",0,IF(OR(ISNUMBER(SEARCH("дубль",AE254)),ISNUMBER(SEARCH("ПЕРЕГРУЗ",AE254)),ISNUMBER(SEARCH("ЗАЩИЩ",AE254)),ISNUMBER(SEARCH("КАНАЛ",AE254)),ISNUMBER(SEARCH("без 30",AE254))),2,1))</f>
      </c>
      <c r="BV254" s="129">
        <f>IF(R254="","",COUNTIF($R$3:R254,"?*"))</f>
      </c>
      <c r="BW254" s="129">
        <f>IF(AY254&lt;&gt;1,0,IF(MAX(IFERROR(--VLOOKUP(R254,УГО_спр,5,FALSE),0),IFERROR(--VLOOKUP(AL254,УГО_спр,5,FALSE),0),IFERROR(--VLOOKUP(LEFT(AL254,2),УГО_спр,5,FALSE),0))&gt;0,MAX(IFERROR(--VLOOKUP(R254,УГО_спр,5,FALSE),0),IFERROR(--VLOOKUP(AL254,УГО_спр,5,FALSE),0),IFERROR(--VLOOKUP(LEFT(AL254,2),УГО_спр,5,FALSE),0)),IF(IFERROR(--LEFT(SUBSTITUTE(BQ254,"x","х"),FIND("х",SUBSTITUTE(BQ254,"x","х"))-1),3)&gt;3,Каталог!$S$9,1)))</f>
      </c>
      <c r="BX254" s="129">
        <f>IF(AY254&lt;&gt;1,0,MAX(0,IFERROR(--LEFT(SUBSTITUTE(BQ254,"x","х"),FIND("х",SUBSTITUTE(BQ254,"x","х"))-1),3)-3*BW254))</f>
      </c>
      <c r="BY254" s="129">
        <f>IF(R254="","",IFERROR(VLOOKUP(R254,УГО_спр,2,FALSE),IFERROR(VLOOKUP(AL254,УГО_спр,2,FALSE),IFERROR(VLOOKUP(LEFT(AL254,2),УГО_спр,2,FALSE),""))))</f>
      </c>
    </row>
    <row r="255" spans="1:64" x14ac:dyDescent="0.3">
      <c r="A255" s="135">
        <f>IF(Разбивка_по_щитам!F255=0,"",Разбивка_по_щитам!F255)</f>
      </c>
      <c r="B255" s="138">
        <f>IF(A255="","",Разбивка_по_щитам!C255)</f>
      </c>
      <c r="C255" s="138">
        <f t="shared" si="128"/>
      </c>
      <c r="D255" s="266"/>
      <c r="E255" s="266"/>
      <c r="F255" s="267"/>
      <c r="G255" s="145">
        <f t="shared" si="129"/>
        <v/>
      </c>
      <c r="H255" s="145">
        <f t="shared" si="130"/>
        <v/>
      </c>
      <c r="I255" s="266"/>
      <c r="J255" s="267"/>
      <c r="K255" s="267"/>
      <c r="L255" s="266"/>
      <c r="M255" s="147">
        <f t="shared" si="168"/>
        <v/>
      </c>
      <c r="N255" s="267"/>
      <c r="O255" s="147">
        <f t="shared" si="169"/>
        <v/>
      </c>
      <c r="P255" s="268">
        <f>IF(AY255=1,"XT"&amp;COUNTIFS($A$3:A255,A255,$AY$3:AY255,1),"")</f>
        <v/>
      </c>
      <c r="Q255" s="152">
        <f>IF(R255="","",IFERROR(SUBSTITUTE(Разбивка_по_щитам!P255,CHAR(10)," "),""))</f>
        <v/>
      </c>
      <c r="R255" s="153">
        <f>IF(OR(Разбивка_по_щитам!H255="",Разбивка_по_щитам!H255=0),"",Разбивка_по_щитам!H255)</f>
        <v/>
      </c>
      <c r="S255" s="154">
        <f>IF(R255="","",IFERROR(Разбивка_по_щитам!J255&amp;"",""))</f>
        <v/>
      </c>
      <c r="T255" s="155">
        <f>IF(R255="","",IFERROR(--Разбивка_по_щитам!L255,""))</f>
        <v/>
      </c>
      <c r="U255" s="155">
        <f>IF(R255="","",IFERROR(--Разбивка_по_щитам!K255,""))</f>
        <v/>
      </c>
      <c r="V255" s="138">
        <f>IF(R255="","",IFERROR(IF(Разбивка_по_щитам!M255=0,"",Разбивка_по_щитам!M255),""))</f>
        <v/>
      </c>
      <c r="W255" s="156">
        <f t="shared" si="131"/>
        <v/>
      </c>
      <c r="X255" s="157">
        <f t="shared" si="132"/>
        <v/>
      </c>
      <c r="Y255" s="266"/>
      <c r="Z255" s="158">
        <f t="shared" si="133"/>
        <v/>
      </c>
      <c r="AA255" s="160">
        <f t="shared" si="134"/>
        <v/>
      </c>
      <c r="AB255" s="160">
        <f>IF(R255="","",IFERROR(LOOKUP(INDEX(Справочная!$I$4:$I$19,MATCH(VLOOKUP(R255,Исходные_данные,22,FALSE),Справочная!$J$4:$J$19,0)+1),{6,10,16,20,25,32,40,50,63,80,100,125}),""))</f>
        <v/>
      </c>
      <c r="AC255" s="160">
        <f t="shared" si="135"/>
        <v/>
      </c>
      <c r="AD255" s="161">
        <f t="shared" si="136"/>
        <v/>
      </c>
      <c r="AE255" s="161">
        <f>IF(AND(R255="",G255=""),"",_xlfn.TEXTJOIN("; ",TRUE,IF(AND(R255&lt;&gt;"",V255=""),"нет фазы",""),IF(AND(R255&lt;&gt;"",N(T255)=0),"нет мощности",""),IF(AND(P255&lt;&gt;"",COUNTIFS($A$3:$A$1000,A255,$P$3:$P$1000,P255)&gt;1),"дубль клеммы "&amp;P255,""),IF(AND(W255&lt;&gt;"",W255&lt;&gt;"ok"),W255,""),IF(X255&lt;&gt;"",X255,""),IF(AND(ISNUMBER(SEARCH("(5х",Q255)),N(AK255)=1),"5 жил на 1 фазе",""),IF(AND(AL255="R",E255&lt;&gt;"",N(AS255)=0),"розетка без 30 мА",""),IF(IFERROR(_xlfn.NUMBERVALUE(MID(Q255,FIND("-",Q255,FIND("L=",Q255))+1,FIND("%",Q255)-FIND("-",Q255,FIND("L=",Q255))-1),","),0)&gt;4,"потери &gt; 4 %","")))</f>
      </c>
      <c r="AF255" s="129">
        <f>IF(E255&lt;&gt;"",COUNTIFS($A$3:A255,A255,$E$3:E255,"?*"),IF(OR(A255&lt;&gt;A254,Y255="вручную"),"",AF254))</f>
      </c>
      <c r="AG255" s="129">
        <f t="shared" si="137"/>
      </c>
      <c r="AH255" s="129">
        <f t="shared" si="138"/>
        <v/>
      </c>
      <c r="AI255" s="129">
        <f t="shared" si="139"/>
        <v/>
      </c>
      <c r="AJ255" s="129">
        <f t="shared" si="140"/>
        <v/>
      </c>
      <c r="AK255" s="129">
        <f t="shared" si="141"/>
        <v/>
      </c>
      <c r="AL255" s="129">
        <f t="shared" si="142"/>
        <v/>
      </c>
      <c r="AM255" s="129">
        <f t="shared" si="143"/>
      </c>
      <c r="AN255" s="129">
        <f t="shared" si="144"/>
      </c>
      <c r="AO255" s="129">
        <f t="shared" si="145"/>
        <v/>
      </c>
      <c r="AP255" s="129">
        <f t="shared" si="146"/>
        <v/>
      </c>
      <c r="AQ255" s="129">
        <f t="shared" si="147"/>
        <v/>
      </c>
      <c r="AR255" s="129">
        <f t="shared" si="148"/>
        <v/>
      </c>
      <c r="AS255" s="129">
        <f t="shared" si="149"/>
        <v/>
      </c>
      <c r="AT255" s="129">
        <f t="shared" si="150"/>
        <v/>
      </c>
      <c r="AU255" s="129">
        <f t="shared" si="151"/>
        <v/>
      </c>
      <c r="AV255" s="129">
        <f t="shared" si="152"/>
        <v/>
      </c>
      <c r="AW255" s="129">
        <f>IF(AV255="","",AV255&amp;"."&amp;COUNTIFS($A$3:A255,A255,$AV$3:AV255,AV255))</f>
        <v/>
      </c>
      <c r="AX255" s="129">
        <f t="shared" si="153"/>
        <v/>
      </c>
      <c r="AY255" s="129">
        <f>IF(N255="б/к",0,IF(OR(ISNUMBER(SEARCH("L=",Разбивка_по_щитам!P255)),N255="+",N255="="),1,0))</f>
      </c>
      <c r="AZ255" s="129">
        <f t="shared" si="154"/>
      </c>
      <c r="BA255" s="129">
        <f t="shared" si="155"/>
      </c>
      <c r="BB255" s="129">
        <f t="shared" si="156"/>
      </c>
      <c r="BD255" s="129">
        <f t="shared" si="157"/>
      </c>
      <c r="BE255" s="129">
        <f t="shared" si="158"/>
      </c>
      <c r="BF255" s="129">
        <f t="shared" si="159"/>
      </c>
      <c r="BG255" s="129">
        <f t="shared" si="160"/>
        <v/>
      </c>
      <c r="BH255" s="129">
        <f t="shared" si="161"/>
        <v/>
      </c>
      <c r="BI255" s="129">
        <f t="shared" si="162"/>
        <v/>
      </c>
      <c r="BJ255" s="129">
        <f t="shared" si="163"/>
        <v/>
      </c>
      <c r="BK255" s="129">
        <f>IF(R255="","",IF(OR(BY255="",BY255=0),"BOX",IFERROR(IF(VLOOKUP(BY255,УГО_блоки,3,FALSE)&amp;""&lt;&gt;"",VLOOKUP(BY255,УГО_блоки,3,FALSE),VLOOKUP(BY255,УГО_блоки,2,FALSE)),BY255)))</f>
      </c>
      <c r="BL255" s="129">
        <f t="shared" si="165"/>
      </c>
      <c r="BM255" s="129">
        <f>IF(H255="","",IF(COUNTIF($H$3:H255,H255)=1,MAX($BM$2:BM254)+1,""))</f>
      </c>
      <c r="BN255" s="129">
        <f>IF(I255="","",IF(COUNTIF($I$3:I255,I255)+COUNTIF($J$2:J254,I255)+COUNTIF($K$2:K254,I255)=1,MAX($BN$2:BP254)+1,""))</f>
      </c>
      <c r="BO255" s="129">
        <f>IF(J255="","",IF(COUNTIF($I$3:I255,J255)+COUNTIF($J$3:J255,J255)+COUNTIF($K$2:K254,J255)=1,MAX($BN$2:BP254,BN255)+1,""))</f>
      </c>
      <c r="BP255" s="129">
        <f>IF(K255="","",IF(COUNTIF($I$3:I255,K255)+COUNTIF($J$3:J255,K255)+COUNTIF($K$3:K255,K255)=1,MAX($BN$2:BP254,BN255,BO255)+1,""))</f>
      </c>
      <c r="BQ255" s="129">
        <f>IF(AY255=1,IFERROR(MID(Q255,FIND(" (",Q255)+2,FIND(")",Q255,FIND(" (",Q255))-FIND(" (",Q255)-2),"?"),"")</f>
      </c>
      <c r="BR255" s="129">
        <f>IF(BQ255="","",IF(COUNTIF($BQ$3:BQ255,BQ255)=1,MAX($BR$2:BR254)+1,""))</f>
      </c>
      <c r="BS255" s="129">
        <f>IF(AW255="","",COUNTIF($AW$3:AW255,"?*"))</f>
      </c>
      <c r="BT255" s="129">
        <f>IF(OR(AW255="",AI255=""),"",IF(COUNTIFS($AW$3:AW255,"?*",$AI$3:AI255,AI255)=1,MAX($BT$2:BT254)+1,""))</f>
      </c>
      <c r="BU255" s="129">
        <f>IF(AE255="",0,IF(OR(ISNUMBER(SEARCH("дубль",AE255)),ISNUMBER(SEARCH("ПЕРЕГРУЗ",AE255)),ISNUMBER(SEARCH("ЗАЩИЩ",AE255)),ISNUMBER(SEARCH("КАНАЛ",AE255)),ISNUMBER(SEARCH("без 30",AE255))),2,1))</f>
      </c>
      <c r="BV255" s="129">
        <f>IF(R255="","",COUNTIF($R$3:R255,"?*"))</f>
      </c>
      <c r="BW255" s="129">
        <f>IF(AY255&lt;&gt;1,0,IF(MAX(IFERROR(--VLOOKUP(R255,УГО_спр,5,FALSE),0),IFERROR(--VLOOKUP(AL255,УГО_спр,5,FALSE),0),IFERROR(--VLOOKUP(LEFT(AL255,2),УГО_спр,5,FALSE),0))&gt;0,MAX(IFERROR(--VLOOKUP(R255,УГО_спр,5,FALSE),0),IFERROR(--VLOOKUP(AL255,УГО_спр,5,FALSE),0),IFERROR(--VLOOKUP(LEFT(AL255,2),УГО_спр,5,FALSE),0)),IF(IFERROR(--LEFT(SUBSTITUTE(BQ255,"x","х"),FIND("х",SUBSTITUTE(BQ255,"x","х"))-1),3)&gt;3,Каталог!$S$9,1)))</f>
      </c>
      <c r="BX255" s="129">
        <f>IF(AY255&lt;&gt;1,0,MAX(0,IFERROR(--LEFT(SUBSTITUTE(BQ255,"x","х"),FIND("х",SUBSTITUTE(BQ255,"x","х"))-1),3)-3*BW255))</f>
      </c>
      <c r="BY255" s="129">
        <f>IF(R255="","",IFERROR(VLOOKUP(R255,УГО_спр,2,FALSE),IFERROR(VLOOKUP(AL255,УГО_спр,2,FALSE),IFERROR(VLOOKUP(LEFT(AL255,2),УГО_спр,2,FALSE),""))))</f>
      </c>
    </row>
    <row r="256" spans="1:64" x14ac:dyDescent="0.3">
      <c r="A256" s="135">
        <f>IF(Разбивка_по_щитам!F256=0,"",Разбивка_по_щитам!F256)</f>
      </c>
      <c r="B256" s="138">
        <f>IF(A256="","",Разбивка_по_щитам!C256)</f>
      </c>
      <c r="C256" s="138">
        <f t="shared" si="128"/>
      </c>
      <c r="D256" s="266"/>
      <c r="E256" s="266"/>
      <c r="F256" s="267"/>
      <c r="G256" s="145">
        <f t="shared" si="129"/>
        <v/>
      </c>
      <c r="H256" s="145">
        <f t="shared" si="130"/>
        <v/>
      </c>
      <c r="I256" s="266"/>
      <c r="J256" s="267"/>
      <c r="K256" s="267"/>
      <c r="L256" s="266"/>
      <c r="M256" s="147">
        <f t="shared" si="168"/>
        <v/>
      </c>
      <c r="N256" s="267"/>
      <c r="O256" s="147">
        <f t="shared" si="169"/>
        <v/>
      </c>
      <c r="P256" s="268">
        <f>IF(AY256=1,"XT"&amp;COUNTIFS($A$3:A256,A256,$AY$3:AY256,1),"")</f>
        <v/>
      </c>
      <c r="Q256" s="152">
        <f>IF(R256="","",IFERROR(SUBSTITUTE(Разбивка_по_щитам!P256,CHAR(10)," "),""))</f>
        <v/>
      </c>
      <c r="R256" s="153">
        <f>IF(OR(Разбивка_по_щитам!H256="",Разбивка_по_щитам!H256=0),"",Разбивка_по_щитам!H256)</f>
        <v/>
      </c>
      <c r="S256" s="154">
        <f>IF(R256="","",IFERROR(Разбивка_по_щитам!J256&amp;"",""))</f>
        <v/>
      </c>
      <c r="T256" s="155">
        <f>IF(R256="","",IFERROR(--Разбивка_по_щитам!L256,""))</f>
        <v/>
      </c>
      <c r="U256" s="155">
        <f>IF(R256="","",IFERROR(--Разбивка_по_щитам!K256,""))</f>
        <v/>
      </c>
      <c r="V256" s="138">
        <f>IF(R256="","",IFERROR(IF(Разбивка_по_щитам!M256=0,"",Разбивка_по_щитам!M256),""))</f>
        <v/>
      </c>
      <c r="W256" s="156">
        <f t="shared" si="131"/>
        <v/>
      </c>
      <c r="X256" s="157">
        <f t="shared" si="132"/>
        <v/>
      </c>
      <c r="Y256" s="266"/>
      <c r="Z256" s="158">
        <f t="shared" si="133"/>
        <v/>
      </c>
      <c r="AA256" s="160">
        <f t="shared" si="134"/>
        <v/>
      </c>
      <c r="AB256" s="160">
        <f>IF(R256="","",IFERROR(LOOKUP(INDEX(Справочная!$I$4:$I$19,MATCH(VLOOKUP(R256,Исходные_данные,22,FALSE),Справочная!$J$4:$J$19,0)+1),{6,10,16,20,25,32,40,50,63,80,100,125}),""))</f>
        <v/>
      </c>
      <c r="AC256" s="160">
        <f t="shared" si="135"/>
        <v/>
      </c>
      <c r="AD256" s="161">
        <f t="shared" si="136"/>
        <v/>
      </c>
      <c r="AE256" s="161">
        <f>IF(AND(R256="",G256=""),"",_xlfn.TEXTJOIN("; ",TRUE,IF(AND(R256&lt;&gt;"",V256=""),"нет фазы",""),IF(AND(R256&lt;&gt;"",N(T256)=0),"нет мощности",""),IF(AND(P256&lt;&gt;"",COUNTIFS($A$3:$A$1000,A256,$P$3:$P$1000,P256)&gt;1),"дубль клеммы "&amp;P256,""),IF(AND(W256&lt;&gt;"",W256&lt;&gt;"ok"),W256,""),IF(X256&lt;&gt;"",X256,""),IF(AND(ISNUMBER(SEARCH("(5х",Q256)),N(AK256)=1),"5 жил на 1 фазе",""),IF(AND(AL256="R",E256&lt;&gt;"",N(AS256)=0),"розетка без 30 мА",""),IF(IFERROR(_xlfn.NUMBERVALUE(MID(Q256,FIND("-",Q256,FIND("L=",Q256))+1,FIND("%",Q256)-FIND("-",Q256,FIND("L=",Q256))-1),","),0)&gt;4,"потери &gt; 4 %","")))</f>
      </c>
      <c r="AF256" s="129">
        <f>IF(E256&lt;&gt;"",COUNTIFS($A$3:A256,A256,$E$3:E256,"?*"),IF(OR(A256&lt;&gt;A255,Y256="вручную"),"",AF255))</f>
      </c>
      <c r="AG256" s="129">
        <f t="shared" si="137"/>
      </c>
      <c r="AH256" s="129">
        <f t="shared" si="138"/>
        <v/>
      </c>
      <c r="AI256" s="129">
        <f t="shared" si="139"/>
        <v/>
      </c>
      <c r="AJ256" s="129">
        <f t="shared" si="140"/>
        <v/>
      </c>
      <c r="AK256" s="129">
        <f t="shared" si="141"/>
        <v/>
      </c>
      <c r="AL256" s="129">
        <f t="shared" si="142"/>
        <v/>
      </c>
      <c r="AM256" s="129">
        <f t="shared" si="143"/>
      </c>
      <c r="AN256" s="129">
        <f t="shared" si="144"/>
      </c>
      <c r="AO256" s="129">
        <f t="shared" si="145"/>
        <v/>
      </c>
      <c r="AP256" s="129">
        <f t="shared" si="146"/>
        <v/>
      </c>
      <c r="AQ256" s="129">
        <f t="shared" si="147"/>
        <v/>
      </c>
      <c r="AR256" s="129">
        <f t="shared" si="148"/>
        <v/>
      </c>
      <c r="AS256" s="129">
        <f t="shared" si="149"/>
        <v/>
      </c>
      <c r="AT256" s="129">
        <f t="shared" si="150"/>
        <v/>
      </c>
      <c r="AU256" s="129">
        <f t="shared" si="151"/>
        <v/>
      </c>
      <c r="AV256" s="129">
        <f t="shared" si="152"/>
        <v/>
      </c>
      <c r="AW256" s="129">
        <f>IF(AV256="","",AV256&amp;"."&amp;COUNTIFS($A$3:A256,A256,$AV$3:AV256,AV256))</f>
        <v/>
      </c>
      <c r="AX256" s="129">
        <f t="shared" si="153"/>
        <v/>
      </c>
      <c r="AY256" s="129">
        <f>IF(N256="б/к",0,IF(OR(ISNUMBER(SEARCH("L=",Разбивка_по_щитам!P256)),N256="+",N256="="),1,0))</f>
      </c>
      <c r="AZ256" s="129">
        <f t="shared" si="154"/>
      </c>
      <c r="BA256" s="129">
        <f t="shared" si="155"/>
      </c>
      <c r="BB256" s="129">
        <f t="shared" si="156"/>
      </c>
      <c r="BD256" s="129">
        <f t="shared" si="157"/>
      </c>
      <c r="BE256" s="129">
        <f t="shared" si="158"/>
      </c>
      <c r="BF256" s="129">
        <f t="shared" si="159"/>
      </c>
      <c r="BG256" s="129">
        <f t="shared" si="160"/>
        <v/>
      </c>
      <c r="BH256" s="129">
        <f t="shared" si="161"/>
        <v/>
      </c>
      <c r="BI256" s="129">
        <f t="shared" si="162"/>
        <v/>
      </c>
      <c r="BJ256" s="129">
        <f t="shared" si="163"/>
        <v/>
      </c>
      <c r="BK256" s="129">
        <f>IF(R256="","",IF(OR(BY256="",BY256=0),"BOX",IFERROR(IF(VLOOKUP(BY256,УГО_блоки,3,FALSE)&amp;""&lt;&gt;"",VLOOKUP(BY256,УГО_блоки,3,FALSE),VLOOKUP(BY256,УГО_блоки,2,FALSE)),BY256)))</f>
      </c>
      <c r="BL256" s="129">
        <f t="shared" si="165"/>
      </c>
      <c r="BM256" s="129">
        <f>IF(H256="","",IF(COUNTIF($H$3:H256,H256)=1,MAX($BM$2:BM255)+1,""))</f>
      </c>
      <c r="BN256" s="129">
        <f>IF(I256="","",IF(COUNTIF($I$3:I256,I256)+COUNTIF($J$2:J255,I256)+COUNTIF($K$2:K255,I256)=1,MAX($BN$2:BP255)+1,""))</f>
      </c>
      <c r="BO256" s="129">
        <f>IF(J256="","",IF(COUNTIF($I$3:I256,J256)+COUNTIF($J$3:J256,J256)+COUNTIF($K$2:K255,J256)=1,MAX($BN$2:BP255,BN256)+1,""))</f>
      </c>
      <c r="BP256" s="129">
        <f>IF(K256="","",IF(COUNTIF($I$3:I256,K256)+COUNTIF($J$3:J256,K256)+COUNTIF($K$3:K256,K256)=1,MAX($BN$2:BP255,BN256,BO256)+1,""))</f>
      </c>
      <c r="BQ256" s="129">
        <f>IF(AY256=1,IFERROR(MID(Q256,FIND(" (",Q256)+2,FIND(")",Q256,FIND(" (",Q256))-FIND(" (",Q256)-2),"?"),"")</f>
      </c>
      <c r="BR256" s="129">
        <f>IF(BQ256="","",IF(COUNTIF($BQ$3:BQ256,BQ256)=1,MAX($BR$2:BR255)+1,""))</f>
      </c>
      <c r="BS256" s="129">
        <f>IF(AW256="","",COUNTIF($AW$3:AW256,"?*"))</f>
      </c>
      <c r="BT256" s="129">
        <f>IF(OR(AW256="",AI256=""),"",IF(COUNTIFS($AW$3:AW256,"?*",$AI$3:AI256,AI256)=1,MAX($BT$2:BT255)+1,""))</f>
      </c>
      <c r="BU256" s="129">
        <f>IF(AE256="",0,IF(OR(ISNUMBER(SEARCH("дубль",AE256)),ISNUMBER(SEARCH("ПЕРЕГРУЗ",AE256)),ISNUMBER(SEARCH("ЗАЩИЩ",AE256)),ISNUMBER(SEARCH("КАНАЛ",AE256)),ISNUMBER(SEARCH("без 30",AE256))),2,1))</f>
      </c>
      <c r="BV256" s="129">
        <f>IF(R256="","",COUNTIF($R$3:R256,"?*"))</f>
      </c>
      <c r="BW256" s="129">
        <f>IF(AY256&lt;&gt;1,0,IF(MAX(IFERROR(--VLOOKUP(R256,УГО_спр,5,FALSE),0),IFERROR(--VLOOKUP(AL256,УГО_спр,5,FALSE),0),IFERROR(--VLOOKUP(LEFT(AL256,2),УГО_спр,5,FALSE),0))&gt;0,MAX(IFERROR(--VLOOKUP(R256,УГО_спр,5,FALSE),0),IFERROR(--VLOOKUP(AL256,УГО_спр,5,FALSE),0),IFERROR(--VLOOKUP(LEFT(AL256,2),УГО_спр,5,FALSE),0)),IF(IFERROR(--LEFT(SUBSTITUTE(BQ256,"x","х"),FIND("х",SUBSTITUTE(BQ256,"x","х"))-1),3)&gt;3,Каталог!$S$9,1)))</f>
      </c>
      <c r="BX256" s="129">
        <f>IF(AY256&lt;&gt;1,0,MAX(0,IFERROR(--LEFT(SUBSTITUTE(BQ256,"x","х"),FIND("х",SUBSTITUTE(BQ256,"x","х"))-1),3)-3*BW256))</f>
      </c>
      <c r="BY256" s="129">
        <f>IF(R256="","",IFERROR(VLOOKUP(R256,УГО_спр,2,FALSE),IFERROR(VLOOKUP(AL256,УГО_спр,2,FALSE),IFERROR(VLOOKUP(LEFT(AL256,2),УГО_спр,2,FALSE),""))))</f>
      </c>
    </row>
    <row r="257" spans="1:64" x14ac:dyDescent="0.3">
      <c r="A257" s="135">
        <f>IF(Разбивка_по_щитам!F257=0,"",Разбивка_по_щитам!F257)</f>
      </c>
      <c r="B257" s="138">
        <f>IF(A257="","",Разбивка_по_щитам!C257)</f>
      </c>
      <c r="C257" s="138">
        <f t="shared" si="128"/>
      </c>
      <c r="D257" s="266"/>
      <c r="E257" s="266"/>
      <c r="F257" s="267"/>
      <c r="G257" s="145">
        <f t="shared" si="129"/>
        <v/>
      </c>
      <c r="H257" s="145">
        <f t="shared" si="130"/>
        <v/>
      </c>
      <c r="I257" s="266"/>
      <c r="J257" s="267"/>
      <c r="K257" s="267"/>
      <c r="L257" s="266"/>
      <c r="M257" s="147">
        <f t="shared" si="168"/>
        <v/>
      </c>
      <c r="N257" s="267"/>
      <c r="O257" s="147">
        <f t="shared" si="169"/>
        <v/>
      </c>
      <c r="P257" s="268">
        <f>IF(AY257=1,"XT"&amp;COUNTIFS($A$3:A257,A257,$AY$3:AY257,1),"")</f>
        <v/>
      </c>
      <c r="Q257" s="152">
        <f>IF(R257="","",IFERROR(SUBSTITUTE(Разбивка_по_щитам!P257,CHAR(10)," "),""))</f>
        <v/>
      </c>
      <c r="R257" s="153">
        <f>IF(OR(Разбивка_по_щитам!H257="",Разбивка_по_щитам!H257=0),"",Разбивка_по_щитам!H257)</f>
        <v/>
      </c>
      <c r="S257" s="154">
        <f>IF(R257="","",IFERROR(Разбивка_по_щитам!J257&amp;"",""))</f>
        <v/>
      </c>
      <c r="T257" s="155">
        <f>IF(R257="","",IFERROR(--Разбивка_по_щитам!L257,""))</f>
        <v/>
      </c>
      <c r="U257" s="155">
        <f>IF(R257="","",IFERROR(--Разбивка_по_щитам!K257,""))</f>
        <v/>
      </c>
      <c r="V257" s="138">
        <f>IF(R257="","",IFERROR(IF(Разбивка_по_щитам!M257=0,"",Разбивка_по_щитам!M257),""))</f>
        <v/>
      </c>
      <c r="W257" s="156">
        <f t="shared" si="131"/>
        <v/>
      </c>
      <c r="X257" s="157">
        <f t="shared" si="132"/>
        <v/>
      </c>
      <c r="Y257" s="266"/>
      <c r="Z257" s="158">
        <f t="shared" si="133"/>
        <v/>
      </c>
      <c r="AA257" s="160">
        <f t="shared" si="134"/>
        <v/>
      </c>
      <c r="AB257" s="160">
        <f>IF(R257="","",IFERROR(LOOKUP(INDEX(Справочная!$I$4:$I$19,MATCH(VLOOKUP(R257,Исходные_данные,22,FALSE),Справочная!$J$4:$J$19,0)+1),{6,10,16,20,25,32,40,50,63,80,100,125}),""))</f>
        <v/>
      </c>
      <c r="AC257" s="160">
        <f t="shared" si="135"/>
        <v/>
      </c>
      <c r="AD257" s="161">
        <f t="shared" si="136"/>
        <v/>
      </c>
      <c r="AE257" s="161">
        <f>IF(AND(R257="",G257=""),"",_xlfn.TEXTJOIN("; ",TRUE,IF(AND(R257&lt;&gt;"",V257=""),"нет фазы",""),IF(AND(R257&lt;&gt;"",N(T257)=0),"нет мощности",""),IF(AND(P257&lt;&gt;"",COUNTIFS($A$3:$A$1000,A257,$P$3:$P$1000,P257)&gt;1),"дубль клеммы "&amp;P257,""),IF(AND(W257&lt;&gt;"",W257&lt;&gt;"ok"),W257,""),IF(X257&lt;&gt;"",X257,""),IF(AND(ISNUMBER(SEARCH("(5х",Q257)),N(AK257)=1),"5 жил на 1 фазе",""),IF(AND(AL257="R",E257&lt;&gt;"",N(AS257)=0),"розетка без 30 мА",""),IF(IFERROR(_xlfn.NUMBERVALUE(MID(Q257,FIND("-",Q257,FIND("L=",Q257))+1,FIND("%",Q257)-FIND("-",Q257,FIND("L=",Q257))-1),","),0)&gt;4,"потери &gt; 4 %","")))</f>
      </c>
      <c r="AF257" s="129">
        <f>IF(E257&lt;&gt;"",COUNTIFS($A$3:A257,A257,$E$3:E257,"?*"),IF(OR(A257&lt;&gt;A256,Y257="вручную"),"",AF256))</f>
      </c>
      <c r="AG257" s="129">
        <f t="shared" si="137"/>
      </c>
      <c r="AH257" s="129">
        <f t="shared" si="138"/>
        <v/>
      </c>
      <c r="AI257" s="129">
        <f t="shared" si="139"/>
        <v/>
      </c>
      <c r="AJ257" s="129">
        <f t="shared" si="140"/>
        <v/>
      </c>
      <c r="AK257" s="129">
        <f t="shared" si="141"/>
        <v/>
      </c>
      <c r="AL257" s="129">
        <f t="shared" si="142"/>
        <v/>
      </c>
      <c r="AM257" s="129">
        <f t="shared" si="143"/>
      </c>
      <c r="AN257" s="129">
        <f t="shared" si="144"/>
      </c>
      <c r="AO257" s="129">
        <f t="shared" si="145"/>
        <v/>
      </c>
      <c r="AP257" s="129">
        <f t="shared" si="146"/>
        <v/>
      </c>
      <c r="AQ257" s="129">
        <f t="shared" si="147"/>
        <v/>
      </c>
      <c r="AR257" s="129">
        <f t="shared" si="148"/>
        <v/>
      </c>
      <c r="AS257" s="129">
        <f t="shared" si="149"/>
        <v/>
      </c>
      <c r="AT257" s="129">
        <f t="shared" si="150"/>
        <v/>
      </c>
      <c r="AU257" s="129">
        <f t="shared" si="151"/>
        <v/>
      </c>
      <c r="AV257" s="129">
        <f t="shared" si="152"/>
        <v/>
      </c>
      <c r="AW257" s="129">
        <f>IF(AV257="","",AV257&amp;"."&amp;COUNTIFS($A$3:A257,A257,$AV$3:AV257,AV257))</f>
        <v/>
      </c>
      <c r="AX257" s="129">
        <f t="shared" si="153"/>
        <v/>
      </c>
      <c r="AY257" s="129">
        <f>IF(N257="б/к",0,IF(OR(ISNUMBER(SEARCH("L=",Разбивка_по_щитам!P257)),N257="+",N257="="),1,0))</f>
      </c>
      <c r="AZ257" s="129">
        <f t="shared" si="154"/>
      </c>
      <c r="BA257" s="129">
        <f t="shared" si="155"/>
      </c>
      <c r="BB257" s="129">
        <f t="shared" si="156"/>
      </c>
      <c r="BD257" s="129">
        <f t="shared" si="157"/>
      </c>
      <c r="BE257" s="129">
        <f t="shared" si="158"/>
      </c>
      <c r="BF257" s="129">
        <f t="shared" si="159"/>
      </c>
      <c r="BG257" s="129">
        <f t="shared" si="160"/>
        <v/>
      </c>
      <c r="BH257" s="129">
        <f t="shared" si="161"/>
        <v/>
      </c>
      <c r="BI257" s="129">
        <f t="shared" si="162"/>
        <v/>
      </c>
      <c r="BJ257" s="129">
        <f t="shared" si="163"/>
        <v/>
      </c>
      <c r="BK257" s="129">
        <f>IF(R257="","",IF(OR(BY257="",BY257=0),"BOX",IFERROR(IF(VLOOKUP(BY257,УГО_блоки,3,FALSE)&amp;""&lt;&gt;"",VLOOKUP(BY257,УГО_блоки,3,FALSE),VLOOKUP(BY257,УГО_блоки,2,FALSE)),BY257)))</f>
      </c>
      <c r="BL257" s="129">
        <f t="shared" si="165"/>
      </c>
      <c r="BM257" s="129">
        <f>IF(H257="","",IF(COUNTIF($H$3:H257,H257)=1,MAX($BM$2:BM256)+1,""))</f>
      </c>
      <c r="BN257" s="129">
        <f>IF(I257="","",IF(COUNTIF($I$3:I257,I257)+COUNTIF($J$2:J256,I257)+COUNTIF($K$2:K256,I257)=1,MAX($BN$2:BP256)+1,""))</f>
      </c>
      <c r="BO257" s="129">
        <f>IF(J257="","",IF(COUNTIF($I$3:I257,J257)+COUNTIF($J$3:J257,J257)+COUNTIF($K$2:K256,J257)=1,MAX($BN$2:BP256,BN257)+1,""))</f>
      </c>
      <c r="BP257" s="129">
        <f>IF(K257="","",IF(COUNTIF($I$3:I257,K257)+COUNTIF($J$3:J257,K257)+COUNTIF($K$3:K257,K257)=1,MAX($BN$2:BP256,BN257,BO257)+1,""))</f>
      </c>
      <c r="BQ257" s="129">
        <f>IF(AY257=1,IFERROR(MID(Q257,FIND(" (",Q257)+2,FIND(")",Q257,FIND(" (",Q257))-FIND(" (",Q257)-2),"?"),"")</f>
      </c>
      <c r="BR257" s="129">
        <f>IF(BQ257="","",IF(COUNTIF($BQ$3:BQ257,BQ257)=1,MAX($BR$2:BR256)+1,""))</f>
      </c>
      <c r="BS257" s="129">
        <f>IF(AW257="","",COUNTIF($AW$3:AW257,"?*"))</f>
      </c>
      <c r="BT257" s="129">
        <f>IF(OR(AW257="",AI257=""),"",IF(COUNTIFS($AW$3:AW257,"?*",$AI$3:AI257,AI257)=1,MAX($BT$2:BT256)+1,""))</f>
      </c>
      <c r="BU257" s="129">
        <f>IF(AE257="",0,IF(OR(ISNUMBER(SEARCH("дубль",AE257)),ISNUMBER(SEARCH("ПЕРЕГРУЗ",AE257)),ISNUMBER(SEARCH("ЗАЩИЩ",AE257)),ISNUMBER(SEARCH("КАНАЛ",AE257)),ISNUMBER(SEARCH("без 30",AE257))),2,1))</f>
      </c>
      <c r="BV257" s="129">
        <f>IF(R257="","",COUNTIF($R$3:R257,"?*"))</f>
      </c>
      <c r="BW257" s="129">
        <f>IF(AY257&lt;&gt;1,0,IF(MAX(IFERROR(--VLOOKUP(R257,УГО_спр,5,FALSE),0),IFERROR(--VLOOKUP(AL257,УГО_спр,5,FALSE),0),IFERROR(--VLOOKUP(LEFT(AL257,2),УГО_спр,5,FALSE),0))&gt;0,MAX(IFERROR(--VLOOKUP(R257,УГО_спр,5,FALSE),0),IFERROR(--VLOOKUP(AL257,УГО_спр,5,FALSE),0),IFERROR(--VLOOKUP(LEFT(AL257,2),УГО_спр,5,FALSE),0)),IF(IFERROR(--LEFT(SUBSTITUTE(BQ257,"x","х"),FIND("х",SUBSTITUTE(BQ257,"x","х"))-1),3)&gt;3,Каталог!$S$9,1)))</f>
      </c>
      <c r="BX257" s="129">
        <f>IF(AY257&lt;&gt;1,0,MAX(0,IFERROR(--LEFT(SUBSTITUTE(BQ257,"x","х"),FIND("х",SUBSTITUTE(BQ257,"x","х"))-1),3)-3*BW257))</f>
      </c>
      <c r="BY257" s="129">
        <f>IF(R257="","",IFERROR(VLOOKUP(R257,УГО_спр,2,FALSE),IFERROR(VLOOKUP(AL257,УГО_спр,2,FALSE),IFERROR(VLOOKUP(LEFT(AL257,2),УГО_спр,2,FALSE),""))))</f>
      </c>
    </row>
    <row r="258" spans="1:64" x14ac:dyDescent="0.3">
      <c r="A258" s="135">
        <f>IF(Разбивка_по_щитам!F258=0,"",Разбивка_по_щитам!F258)</f>
      </c>
      <c r="B258" s="138">
        <f>IF(A258="","",Разбивка_по_щитам!C258)</f>
      </c>
      <c r="C258" s="138">
        <f t="shared" si="128"/>
      </c>
      <c r="D258" s="266"/>
      <c r="E258" s="266"/>
      <c r="F258" s="267"/>
      <c r="G258" s="145">
        <f t="shared" si="129"/>
        <v/>
      </c>
      <c r="H258" s="145">
        <f t="shared" si="130"/>
        <v/>
      </c>
      <c r="I258" s="266"/>
      <c r="J258" s="267"/>
      <c r="K258" s="267"/>
      <c r="L258" s="266"/>
      <c r="M258" s="147">
        <f t="shared" si="168"/>
        <v/>
      </c>
      <c r="N258" s="267"/>
      <c r="O258" s="147">
        <f t="shared" si="169"/>
        <v/>
      </c>
      <c r="P258" s="268">
        <f>IF(AY258=1,"XT"&amp;COUNTIFS($A$3:A258,A258,$AY$3:AY258,1),"")</f>
        <v/>
      </c>
      <c r="Q258" s="152">
        <f>IF(R258="","",IFERROR(SUBSTITUTE(Разбивка_по_щитам!P258,CHAR(10)," "),""))</f>
        <v/>
      </c>
      <c r="R258" s="153">
        <f>IF(OR(Разбивка_по_щитам!H258="",Разбивка_по_щитам!H258=0),"",Разбивка_по_щитам!H258)</f>
        <v/>
      </c>
      <c r="S258" s="154">
        <f>IF(R258="","",IFERROR(Разбивка_по_щитам!J258&amp;"",""))</f>
        <v/>
      </c>
      <c r="T258" s="155">
        <f>IF(R258="","",IFERROR(--Разбивка_по_щитам!L258,""))</f>
        <v/>
      </c>
      <c r="U258" s="155">
        <f>IF(R258="","",IFERROR(--Разбивка_по_щитам!K258,""))</f>
        <v/>
      </c>
      <c r="V258" s="138">
        <f>IF(R258="","",IFERROR(IF(Разбивка_по_щитам!M258=0,"",Разбивка_по_щитам!M258),""))</f>
        <v/>
      </c>
      <c r="W258" s="156">
        <f t="shared" si="131"/>
        <v/>
      </c>
      <c r="X258" s="157">
        <f t="shared" si="132"/>
        <v/>
      </c>
      <c r="Y258" s="266"/>
      <c r="Z258" s="158">
        <f t="shared" si="133"/>
        <v/>
      </c>
      <c r="AA258" s="160">
        <f t="shared" si="134"/>
        <v/>
      </c>
      <c r="AB258" s="160">
        <f>IF(R258="","",IFERROR(LOOKUP(INDEX(Справочная!$I$4:$I$19,MATCH(VLOOKUP(R258,Исходные_данные,22,FALSE),Справочная!$J$4:$J$19,0)+1),{6,10,16,20,25,32,40,50,63,80,100,125}),""))</f>
        <v/>
      </c>
      <c r="AC258" s="160">
        <f t="shared" si="135"/>
        <v/>
      </c>
      <c r="AD258" s="161">
        <f t="shared" si="136"/>
        <v/>
      </c>
      <c r="AE258" s="161">
        <f>IF(AND(R258="",G258=""),"",_xlfn.TEXTJOIN("; ",TRUE,IF(AND(R258&lt;&gt;"",V258=""),"нет фазы",""),IF(AND(R258&lt;&gt;"",N(T258)=0),"нет мощности",""),IF(AND(P258&lt;&gt;"",COUNTIFS($A$3:$A$1000,A258,$P$3:$P$1000,P258)&gt;1),"дубль клеммы "&amp;P258,""),IF(AND(W258&lt;&gt;"",W258&lt;&gt;"ok"),W258,""),IF(X258&lt;&gt;"",X258,""),IF(AND(ISNUMBER(SEARCH("(5х",Q258)),N(AK258)=1),"5 жил на 1 фазе",""),IF(AND(AL258="R",E258&lt;&gt;"",N(AS258)=0),"розетка без 30 мА",""),IF(IFERROR(_xlfn.NUMBERVALUE(MID(Q258,FIND("-",Q258,FIND("L=",Q258))+1,FIND("%",Q258)-FIND("-",Q258,FIND("L=",Q258))-1),","),0)&gt;4,"потери &gt; 4 %","")))</f>
      </c>
      <c r="AF258" s="129">
        <f>IF(E258&lt;&gt;"",COUNTIFS($A$3:A258,A258,$E$3:E258,"?*"),IF(OR(A258&lt;&gt;A257,Y258="вручную"),"",AF257))</f>
      </c>
      <c r="AG258" s="129">
        <f t="shared" si="137"/>
      </c>
      <c r="AH258" s="129">
        <f t="shared" si="138"/>
        <v/>
      </c>
      <c r="AI258" s="129">
        <f t="shared" si="139"/>
        <v/>
      </c>
      <c r="AJ258" s="129">
        <f t="shared" si="140"/>
        <v/>
      </c>
      <c r="AK258" s="129">
        <f t="shared" si="141"/>
        <v/>
      </c>
      <c r="AL258" s="129">
        <f t="shared" si="142"/>
        <v/>
      </c>
      <c r="AM258" s="129">
        <f t="shared" si="143"/>
      </c>
      <c r="AN258" s="129">
        <f t="shared" si="144"/>
      </c>
      <c r="AO258" s="129">
        <f t="shared" si="145"/>
        <v/>
      </c>
      <c r="AP258" s="129">
        <f t="shared" si="146"/>
        <v/>
      </c>
      <c r="AQ258" s="129">
        <f t="shared" si="147"/>
        <v/>
      </c>
      <c r="AR258" s="129">
        <f t="shared" si="148"/>
        <v/>
      </c>
      <c r="AS258" s="129">
        <f t="shared" si="149"/>
        <v/>
      </c>
      <c r="AT258" s="129">
        <f t="shared" si="150"/>
        <v/>
      </c>
      <c r="AU258" s="129">
        <f t="shared" si="151"/>
        <v/>
      </c>
      <c r="AV258" s="129">
        <f t="shared" si="152"/>
        <v/>
      </c>
      <c r="AW258" s="129">
        <f>IF(AV258="","",AV258&amp;"."&amp;COUNTIFS($A$3:A258,A258,$AV$3:AV258,AV258))</f>
        <v/>
      </c>
      <c r="AX258" s="129">
        <f t="shared" si="153"/>
        <v/>
      </c>
      <c r="AY258" s="129">
        <f>IF(N258="б/к",0,IF(OR(ISNUMBER(SEARCH("L=",Разбивка_по_щитам!P258)),N258="+",N258="="),1,0))</f>
      </c>
      <c r="AZ258" s="129">
        <f t="shared" si="154"/>
      </c>
      <c r="BA258" s="129">
        <f t="shared" si="155"/>
      </c>
      <c r="BB258" s="129">
        <f t="shared" si="156"/>
      </c>
      <c r="BD258" s="129">
        <f t="shared" si="157"/>
      </c>
      <c r="BE258" s="129">
        <f t="shared" si="158"/>
      </c>
      <c r="BF258" s="129">
        <f t="shared" si="159"/>
      </c>
      <c r="BG258" s="129">
        <f t="shared" si="160"/>
        <v/>
      </c>
      <c r="BH258" s="129">
        <f t="shared" si="161"/>
        <v/>
      </c>
      <c r="BI258" s="129">
        <f t="shared" si="162"/>
        <v/>
      </c>
      <c r="BJ258" s="129">
        <f t="shared" si="163"/>
        <v/>
      </c>
      <c r="BK258" s="129">
        <f>IF(R258="","",IF(OR(BY258="",BY258=0),"BOX",IFERROR(IF(VLOOKUP(BY258,УГО_блоки,3,FALSE)&amp;""&lt;&gt;"",VLOOKUP(BY258,УГО_блоки,3,FALSE),VLOOKUP(BY258,УГО_блоки,2,FALSE)),BY258)))</f>
      </c>
      <c r="BL258" s="129">
        <f t="shared" si="165"/>
      </c>
      <c r="BM258" s="129">
        <f>IF(H258="","",IF(COUNTIF($H$3:H258,H258)=1,MAX($BM$2:BM257)+1,""))</f>
      </c>
      <c r="BN258" s="129">
        <f>IF(I258="","",IF(COUNTIF($I$3:I258,I258)+COUNTIF($J$2:J257,I258)+COUNTIF($K$2:K257,I258)=1,MAX($BN$2:BP257)+1,""))</f>
      </c>
      <c r="BO258" s="129">
        <f>IF(J258="","",IF(COUNTIF($I$3:I258,J258)+COUNTIF($J$3:J258,J258)+COUNTIF($K$2:K257,J258)=1,MAX($BN$2:BP257,BN258)+1,""))</f>
      </c>
      <c r="BP258" s="129">
        <f>IF(K258="","",IF(COUNTIF($I$3:I258,K258)+COUNTIF($J$3:J258,K258)+COUNTIF($K$3:K258,K258)=1,MAX($BN$2:BP257,BN258,BO258)+1,""))</f>
      </c>
      <c r="BQ258" s="129">
        <f>IF(AY258=1,IFERROR(MID(Q258,FIND(" (",Q258)+2,FIND(")",Q258,FIND(" (",Q258))-FIND(" (",Q258)-2),"?"),"")</f>
      </c>
      <c r="BR258" s="129">
        <f>IF(BQ258="","",IF(COUNTIF($BQ$3:BQ258,BQ258)=1,MAX($BR$2:BR257)+1,""))</f>
      </c>
      <c r="BS258" s="129">
        <f>IF(AW258="","",COUNTIF($AW$3:AW258,"?*"))</f>
      </c>
      <c r="BT258" s="129">
        <f>IF(OR(AW258="",AI258=""),"",IF(COUNTIFS($AW$3:AW258,"?*",$AI$3:AI258,AI258)=1,MAX($BT$2:BT257)+1,""))</f>
      </c>
      <c r="BU258" s="129">
        <f>IF(AE258="",0,IF(OR(ISNUMBER(SEARCH("дубль",AE258)),ISNUMBER(SEARCH("ПЕРЕГРУЗ",AE258)),ISNUMBER(SEARCH("ЗАЩИЩ",AE258)),ISNUMBER(SEARCH("КАНАЛ",AE258)),ISNUMBER(SEARCH("без 30",AE258))),2,1))</f>
      </c>
      <c r="BV258" s="129">
        <f>IF(R258="","",COUNTIF($R$3:R258,"?*"))</f>
      </c>
      <c r="BW258" s="129">
        <f>IF(AY258&lt;&gt;1,0,IF(MAX(IFERROR(--VLOOKUP(R258,УГО_спр,5,FALSE),0),IFERROR(--VLOOKUP(AL258,УГО_спр,5,FALSE),0),IFERROR(--VLOOKUP(LEFT(AL258,2),УГО_спр,5,FALSE),0))&gt;0,MAX(IFERROR(--VLOOKUP(R258,УГО_спр,5,FALSE),0),IFERROR(--VLOOKUP(AL258,УГО_спр,5,FALSE),0),IFERROR(--VLOOKUP(LEFT(AL258,2),УГО_спр,5,FALSE),0)),IF(IFERROR(--LEFT(SUBSTITUTE(BQ258,"x","х"),FIND("х",SUBSTITUTE(BQ258,"x","х"))-1),3)&gt;3,Каталог!$S$9,1)))</f>
      </c>
      <c r="BX258" s="129">
        <f>IF(AY258&lt;&gt;1,0,MAX(0,IFERROR(--LEFT(SUBSTITUTE(BQ258,"x","х"),FIND("х",SUBSTITUTE(BQ258,"x","х"))-1),3)-3*BW258))</f>
      </c>
      <c r="BY258" s="129">
        <f>IF(R258="","",IFERROR(VLOOKUP(R258,УГО_спр,2,FALSE),IFERROR(VLOOKUP(AL258,УГО_спр,2,FALSE),IFERROR(VLOOKUP(LEFT(AL258,2),УГО_спр,2,FALSE),""))))</f>
      </c>
    </row>
    <row r="259" spans="1:64" x14ac:dyDescent="0.3">
      <c r="A259" s="135">
        <f>IF(Разбивка_по_щитам!F259=0,"",Разбивка_по_щитам!F259)</f>
      </c>
      <c r="B259" s="138">
        <f>IF(A259="","",Разбивка_по_щитам!C259)</f>
      </c>
      <c r="C259" s="138">
        <f t="shared" ref="C259:C322" si="170">IF(B259="","",INT((B259-1)/Столбцов_на_лист)+1)</f>
      </c>
      <c r="D259" s="266"/>
      <c r="E259" s="266"/>
      <c r="F259" s="267"/>
      <c r="G259" s="145">
        <f t="shared" ref="G259:G309" si="171">IF(OR(R259&lt;&gt;"",O259&lt;&gt;"",AY259=1),AG259,"")</f>
        <v/>
      </c>
      <c r="H259" s="145">
        <f t="shared" ref="H259:H309" si="172">IF(E259="","",IF(AND(E259&lt;&gt;"авто",E259&lt;&gt;"+"),E259,AT259&amp;" С"&amp;AQ259&amp;"А"&amp;IF(AS259=1," 30мА","")))</f>
        <v/>
      </c>
      <c r="I259" s="266"/>
      <c r="J259" s="267"/>
      <c r="K259" s="267"/>
      <c r="L259" s="266"/>
      <c r="M259" s="147">
        <f t="shared" ref="M259:M309" si="173">IF(OR(O259&lt;&gt;"",AND(L259&lt;&gt;"",L259&lt;&gt;"-")),AH259,"")</f>
        <v/>
      </c>
      <c r="N259" s="267"/>
      <c r="O259" s="147">
        <f t="shared" ref="O259:O309" si="174">IF(N259="=",AX258,IF(ISNUMBER(N259),N259,IF(AH259="","",IF(OR(R259&lt;&gt;"",N259="+",N259="р"),IF(OR(AW259&lt;&gt;"",AX258=""),1,AX258+1),""))))</f>
        <v/>
      </c>
      <c r="P259" s="268">
        <f>IF(AY259=1,"XT"&amp;COUNTIFS($A$3:A259,A259,$AY$3:AY259,1),"")</f>
        <v/>
      </c>
      <c r="Q259" s="152">
        <f>IF(R259="","",IFERROR(SUBSTITUTE(Разбивка_по_щитам!P259,CHAR(10)," "),""))</f>
        <v/>
      </c>
      <c r="R259" s="153">
        <f>IF(OR(Разбивка_по_щитам!H259="",Разбивка_по_щитам!H259=0),"",Разбивка_по_щитам!H259)</f>
        <v/>
      </c>
      <c r="S259" s="154">
        <f>IF(R259="","",IFERROR(Разбивка_по_щитам!J259&amp;"",""))</f>
        <v/>
      </c>
      <c r="T259" s="155">
        <f>IF(R259="","",IFERROR(--Разбивка_по_щитам!L259,""))</f>
        <v/>
      </c>
      <c r="U259" s="155">
        <f>IF(R259="","",IFERROR(--Разбивка_по_щитам!K259,""))</f>
        <v/>
      </c>
      <c r="V259" s="138">
        <f>IF(R259="","",IFERROR(IF(Разбивка_по_щитам!M259=0,"",Разбивка_по_щитам!M259),""))</f>
        <v/>
      </c>
      <c r="W259" s="156">
        <f t="shared" ref="W259:W322" si="175">IF(E259="","",IF(NOT(ISNUMBER(AU259)),"",IF(Z259&gt;AU259,"ПЕРЕГРУЗ",IF(AND(BA259=0,AP259&gt;0,AU259&gt;AP259),"КАБЕЛЬ НЕ ЗАЩИЩЁН","ok"))))</f>
        <v/>
      </c>
      <c r="X259" s="157">
        <f t="shared" ref="X259:X322" si="176">IF(OR(O259="",AH259=""),"",IF(O259&gt;IFERROR(VLOOKUP(AI259,Модули_спр,3,FALSE),99),"ЛИШНИЙ КАНАЛ",IF(AND(N259&lt;&gt;"=",COUNTIFS($AH$3:$AH$1000,AH259,$O$3:$O$1000,O259,$N$3:$N$1000,"&lt;&gt;=")&gt;1),"ДУБЛЬ КАНАЛА","")))</f>
        <v/>
      </c>
      <c r="Y259" s="266"/>
      <c r="Z259" s="158">
        <f t="shared" ref="Z259:Z322" si="177">IF(E259="","",SUMIFS($U$3:$U$1000,$AF$3:$AF$1000,AF259,$A$3:$A$1000,A259,$AN$3:$AN$1000,0))</f>
        <v/>
      </c>
      <c r="AA259" s="160">
        <f t="shared" ref="AA259:AA322" si="178">IF(E259="","",IFERROR(VLOOKUP(Z259,Автомат_номиналы,2,TRUE),""))</f>
        <v/>
      </c>
      <c r="AB259" s="160">
        <f>IF(R259="","",IFERROR(LOOKUP(INDEX(Справочная!$I$4:$I$19,MATCH(VLOOKUP(R259,Исходные_данные,22,FALSE),Справочная!$J$4:$J$19,0)+1),{6,10,16,20,25,32,40,50,63,80,100,125}),""))</f>
        <v/>
      </c>
      <c r="AC259" s="160">
        <f t="shared" ref="AC259:AC322" si="179">IF(M259="","",AI259)</f>
        <v/>
      </c>
      <c r="AD259" s="161">
        <f t="shared" ref="AD259:AD322" si="180">IF(AND(R259="",O259="",P259=""),"",_xlfn.TEXTJOIN(" → ",TRUE,AG259,AZ259,IF(AH259&lt;&gt;"",AH259&amp;IF(O259&lt;&gt;""," к."&amp;O259,""),IF(O259&lt;&gt;"","к."&amp;O259,"")),P259,IF(AN259=1,"(в кабель выше)","")))</f>
        <v/>
      </c>
      <c r="AE259" s="161">
        <f>IF(AND(R259="",G259=""),"",_xlfn.TEXTJOIN("; ",TRUE,IF(AND(R259&lt;&gt;"",V259=""),"нет фазы",""),IF(AND(R259&lt;&gt;"",N(T259)=0),"нет мощности",""),IF(AND(P259&lt;&gt;"",COUNTIFS($A$3:$A$1000,A259,$P$3:$P$1000,P259)&gt;1),"дубль клеммы "&amp;P259,""),IF(AND(W259&lt;&gt;"",W259&lt;&gt;"ok"),W259,""),IF(X259&lt;&gt;"",X259,""),IF(AND(ISNUMBER(SEARCH("(5х",Q259)),N(AK259)=1),"5 жил на 1 фазе",""),IF(AND(AL259="R",E259&lt;&gt;"",N(AS259)=0),"розетка без 30 мА",""),IF(IFERROR(_xlfn.NUMBERVALUE(MID(Q259,FIND("-",Q259,FIND("L=",Q259))+1,FIND("%",Q259)-FIND("-",Q259,FIND("L=",Q259))-1),","),0)&gt;4,"потери &gt; 4 %","")))</f>
      </c>
      <c r="AF259" s="129">
        <f>IF(E259&lt;&gt;"",COUNTIFS($A$3:A259,A259,$E$3:E259,"?*"),IF(OR(A259&lt;&gt;A258,Y259="вручную"),"",AF258))</f>
      </c>
      <c r="AG259" s="129">
        <f t="shared" ref="AG259:AG322" si="181">IF(AJ259&lt;&gt;"",AJ259,IF(OR(A259&lt;&gt;A258,Y259="вручную"),"",AG258))</f>
      </c>
      <c r="AH259" s="129">
        <f t="shared" ref="AH259:AH322" si="182">IF(L259="-","",IF(AW259&lt;&gt;"",AW259,IF(A259&lt;&gt;A258,"",AH258)))</f>
        <v/>
      </c>
      <c r="AI259" s="129">
        <f t="shared" ref="AI259:AI322" si="183">IF(AH259="","",IF(AND(L259&lt;&gt;"",L259&lt;&gt;"-"),L259,AI258))</f>
        <v/>
      </c>
      <c r="AJ259" s="129">
        <f t="shared" ref="AJ259:AJ322" si="184">IF(E259="","",IF(AS259=1,"QFD","QF")&amp;AF259)</f>
        <v/>
      </c>
      <c r="AK259" s="129">
        <f t="shared" ref="AK259:AK322" si="185">IF(R259="","",IFERROR(--VLOOKUP(R259,Исходные_данные,8,FALSE),1))</f>
        <v/>
      </c>
      <c r="AL259" s="129">
        <f t="shared" ref="AL259:AL322" si="186">IF(R259="","",IFERROR(LEFT(R259,FIND(".",R259)-1),R259))</f>
        <v/>
      </c>
      <c r="AM259" s="129">
        <f t="shared" ref="AM259:AM322" si="187">IF(AL259="",0,IFERROR(IF(VLOOKUP(R259,УГО_спр,3,FALSE)="да",1,0),IFERROR(IF(VLOOKUP(AL259,УГО_спр,3,FALSE)="да",1,0),IFERROR(IF(VLOOKUP(LEFT(AL259,2),УГО_спр,3,FALSE)="да",1,0),0))))</f>
      </c>
      <c r="AN259" s="129">
        <f t="shared" ref="AN259:AN322" si="188">IF(OR(N259="+",AND(R259&lt;&gt;"",R259=R258)),1,0)</f>
      </c>
      <c r="AO259" s="129">
        <f t="shared" ref="AO259:AO322" si="189">IF(E259="","",MAX(N(AA259),_xlfn.MAXIFS($BB$3:$BB$1000,$AF$3:$AF$1000,AF259,$A$3:$A$1000,A259)))</f>
        <v/>
      </c>
      <c r="AP259" s="129">
        <f t="shared" ref="AP259:AP322" si="190">IF(E259="","",_xlfn.MINIFS($AB$3:$AB$1000,$AF$3:$AF$1000,AF259,$A$3:$A$1000,A259))</f>
        <v/>
      </c>
      <c r="AQ259" s="129">
        <f t="shared" ref="AQ259:AQ322" si="191">IF(E259="","",IF(BA259=1,MAX(AO259,Мин_автомат_БП),AO259))</f>
        <v/>
      </c>
      <c r="AR259" s="129">
        <f t="shared" ref="AR259:AR322" si="192">IF(E259="","",MAX(1,_xlfn.MAXIFS($AK$3:$AK$1000,$AF$3:$AF$1000,AF259,$A$3:$A$1000,A259)))</f>
        <v/>
      </c>
      <c r="AS259" s="129">
        <f t="shared" ref="AS259:AS322" si="193">IF(E259="","",IF(AND(E259&lt;&gt;"авто",E259&lt;&gt;"+"),IF(ISNUMBER(SEARCH("мА",E259)),1,0),IF(F259="да",1,IF(F259="нет",0,IF(_xlfn.MAXIFS($AM$3:$AM$1000,$AF$3:$AF$1000,AF259,$A$3:$A$1000,A259)&gt;0,1,0)))))</f>
        <v/>
      </c>
      <c r="AT259" s="129">
        <f t="shared" ref="AT259:AT322" si="194">IF(E259="","",IF(AR259&gt;=3,IF(AS259=1,"4P","3P"),IF(AS259=1,"2P","1P")))</f>
        <v/>
      </c>
      <c r="AU259" s="129">
        <f t="shared" ref="AU259:AU322" si="195">IF(H259="","",IFERROR(--MID(SUBSTITUTE(SUBSTITUTE(UPPER(H259),"С","C"),"А","A"),FIND("C",SUBSTITUTE(SUBSTITUTE(UPPER(H259),"С","C"),"А","A"))+1,FIND("A",SUBSTITUTE(SUBSTITUTE(UPPER(H259),"С","C"),"А","A")&amp;"A",FIND("C",SUBSTITUTE(SUBSTITUTE(UPPER(H259),"С","C"),"А","A")))-FIND("C",SUBSTITUTE(SUBSTITUTE(UPPER(H259),"С","C"),"А","A"))-1),""))</f>
        <v/>
      </c>
      <c r="AV259" s="129">
        <f t="shared" ref="AV259:AV322" si="196">IF(OR(L259="",L259="-"),"",IFERROR(VLOOKUP(L259,Модули_спр,2,FALSE),"R"))</f>
        <v/>
      </c>
      <c r="AW259" s="129">
        <f>IF(AV259="","",AV259&amp;"."&amp;COUNTIFS($A$3:A259,A259,$AV$3:AV259,AV259))</f>
        <v/>
      </c>
      <c r="AX259" s="129">
        <f t="shared" ref="AX259:AX322" si="197">IF(O259&lt;&gt;"",O259,IF(OR(A259&lt;&gt;A258,L259="-",AW259&lt;&gt;""),"",AX258))</f>
        <v/>
      </c>
      <c r="AY259" s="129">
        <f>IF(N259="б/к",0,IF(OR(ISNUMBER(SEARCH("L=",Разбивка_по_щитам!P259)),N259="+",N259="="),1,0))</f>
      </c>
      <c r="AZ259" s="129">
        <f t="shared" ref="AZ259:AZ322" si="198">IF(AJ259&lt;&gt;"",_xlfn.TEXTJOIN(" → ",TRUE,I259,J259,K259),IF(AG259="","",AZ258))</f>
      </c>
      <c r="BA259" s="129">
        <f t="shared" ref="BA259:BA322" si="199">IF(AZ259="",0,IF(OR(LEFT(AZ259,2)="T ",LEFT(AZ259,2)="Т ",ISNUMBER(SEARCH("→ T ",AZ259)),ISNUMBER(SEARCH("→ Т ",AZ259)),ISNUMBER(SEARCH("БП",AZ259))),1,0))</f>
      </c>
      <c r="BB259" s="129">
        <f t="shared" ref="BB259:BB322" si="200">IF(R259="",0,MAX(IFERROR(--VLOOKUP(R259,Исходные_данные,18,FALSE),0),IFERROR(--VLOOKUP(R259,УГО_спр,4,FALSE),IFERROR(--VLOOKUP(AL259,УГО_спр,4,FALSE),IFERROR(--VLOOKUP(LEFT(AL259,2),УГО_спр,4,FALSE),0)))))</f>
      </c>
      <c r="BD259" s="129">
        <f t="shared" ref="BD259:BD322" si="201">IF(Y259="вручную",0,1)</f>
      </c>
      <c r="BE259" s="129">
        <f t="shared" ref="BE259:BE322" si="202">IF(D259="",0,1)</f>
      </c>
      <c r="BF259" s="129">
        <f t="shared" ref="BF259:BF322" si="203">IF(AJ259="",0,IF(LEFT(AJ259,3)="QFD",1,0))</f>
      </c>
      <c r="BG259" s="129">
        <f t="shared" ref="BG259:BG322" si="204">IF(N259="=","=",IF(N259="+","+",IF(N259="р","R","")))</f>
        <v/>
      </c>
      <c r="BH259" s="129">
        <f t="shared" ref="BH259:BH322" si="205">IF(I259="","",IF(OR(LEFT(I259,1)="T",LEFT(I259,1)="Т"),"T",IF(LEFT(UPPER(I259),2)="БП","PS",IF(OR(LEFT(UPPER(I259),2)="МК",LEFT(UPPER(I259),2)="MK"),"MK",IF(OR(LEFT(UPPER(I259),2)="КМ",LEFT(UPPER(I259),2)="KM"),"KM","X")))))</f>
        <v/>
      </c>
      <c r="BI259" s="129">
        <f t="shared" ref="BI259:BI322" si="206">IF(J259="","",IF(OR(LEFT(J259,1)="T",LEFT(J259,1)="Т"),"T",IF(LEFT(UPPER(J259),2)="БП","PS",IF(OR(LEFT(UPPER(J259),2)="МК",LEFT(UPPER(J259),2)="MK"),"MK",IF(OR(LEFT(UPPER(J259),2)="КМ",LEFT(UPPER(J259),2)="KM"),"KM","X")))))</f>
        <v/>
      </c>
      <c r="BJ259" s="129">
        <f t="shared" ref="BJ259:BJ322" si="207">IF(K259="","",IF(OR(LEFT(K259,1)="T",LEFT(K259,1)="Т"),"T",IF(LEFT(UPPER(K259),2)="БП","PS",IF(OR(LEFT(UPPER(K259),2)="МК",LEFT(UPPER(K259),2)="MK"),"MK",IF(OR(LEFT(UPPER(K259),2)="КМ",LEFT(UPPER(K259),2)="KM"),"KM","X")))))</f>
        <v/>
      </c>
      <c r="BK259" s="129">
        <f>IF(R259="","",IF(OR(BY259="",BY259=0),"BOX",IFERROR(IF(VLOOKUP(BY259,УГО_блоки,3,FALSE)&amp;""&lt;&gt;"",VLOOKUP(BY259,УГО_блоки,3,FALSE),VLOOKUP(BY259,УГО_блоки,2,FALSE)),BY259)))</f>
      </c>
      <c r="BL259" s="129">
        <f t="shared" ref="BL259:BL322" si="209">IF(R259="",0,1)</f>
      </c>
      <c r="BM259" s="129">
        <f>IF(H259="","",IF(COUNTIF($H$3:H259,H259)=1,MAX($BM$2:BM258)+1,""))</f>
      </c>
      <c r="BN259" s="129">
        <f>IF(I259="","",IF(COUNTIF($I$3:I259,I259)+COUNTIF($J$2:J258,I259)+COUNTIF($K$2:K258,I259)=1,MAX($BN$2:BP258)+1,""))</f>
      </c>
      <c r="BO259" s="129">
        <f>IF(J259="","",IF(COUNTIF($I$3:I259,J259)+COUNTIF($J$3:J259,J259)+COUNTIF($K$2:K258,J259)=1,MAX($BN$2:BP258,BN259)+1,""))</f>
      </c>
      <c r="BP259" s="129">
        <f>IF(K259="","",IF(COUNTIF($I$3:I259,K259)+COUNTIF($J$3:J259,K259)+COUNTIF($K$3:K259,K259)=1,MAX($BN$2:BP258,BN259,BO259)+1,""))</f>
      </c>
      <c r="BQ259" s="129">
        <f>IF(AY259=1,IFERROR(MID(Q259,FIND(" (",Q259)+2,FIND(")",Q259,FIND(" (",Q259))-FIND(" (",Q259)-2),"?"),"")</f>
      </c>
      <c r="BR259" s="129">
        <f>IF(BQ259="","",IF(COUNTIF($BQ$3:BQ259,BQ259)=1,MAX($BR$2:BR258)+1,""))</f>
      </c>
      <c r="BS259" s="129">
        <f>IF(AW259="","",COUNTIF($AW$3:AW259,"?*"))</f>
      </c>
      <c r="BT259" s="129">
        <f>IF(OR(AW259="",AI259=""),"",IF(COUNTIFS($AW$3:AW259,"?*",$AI$3:AI259,AI259)=1,MAX($BT$2:BT258)+1,""))</f>
      </c>
      <c r="BU259" s="129">
        <f>IF(AE259="",0,IF(OR(ISNUMBER(SEARCH("дубль",AE259)),ISNUMBER(SEARCH("ПЕРЕГРУЗ",AE259)),ISNUMBER(SEARCH("ЗАЩИЩ",AE259)),ISNUMBER(SEARCH("КАНАЛ",AE259)),ISNUMBER(SEARCH("без 30",AE259))),2,1))</f>
      </c>
      <c r="BV259" s="129">
        <f>IF(R259="","",COUNTIF($R$3:R259,"?*"))</f>
      </c>
      <c r="BW259" s="129">
        <f>IF(AY259&lt;&gt;1,0,IF(MAX(IFERROR(--VLOOKUP(R259,УГО_спр,5,FALSE),0),IFERROR(--VLOOKUP(AL259,УГО_спр,5,FALSE),0),IFERROR(--VLOOKUP(LEFT(AL259,2),УГО_спр,5,FALSE),0))&gt;0,MAX(IFERROR(--VLOOKUP(R259,УГО_спр,5,FALSE),0),IFERROR(--VLOOKUP(AL259,УГО_спр,5,FALSE),0),IFERROR(--VLOOKUP(LEFT(AL259,2),УГО_спр,5,FALSE),0)),IF(IFERROR(--LEFT(SUBSTITUTE(BQ259,"x","х"),FIND("х",SUBSTITUTE(BQ259,"x","х"))-1),3)&gt;3,Каталог!$S$9,1)))</f>
      </c>
      <c r="BX259" s="129">
        <f>IF(AY259&lt;&gt;1,0,MAX(0,IFERROR(--LEFT(SUBSTITUTE(BQ259,"x","х"),FIND("х",SUBSTITUTE(BQ259,"x","х"))-1),3)-3*BW259))</f>
      </c>
      <c r="BY259" s="129">
        <f>IF(R259="","",IFERROR(VLOOKUP(R259,УГО_спр,2,FALSE),IFERROR(VLOOKUP(AL259,УГО_спр,2,FALSE),IFERROR(VLOOKUP(LEFT(AL259,2),УГО_спр,2,FALSE),""))))</f>
      </c>
    </row>
    <row r="260" spans="1:64" x14ac:dyDescent="0.3">
      <c r="A260" s="135">
        <f>IF(Разбивка_по_щитам!F260=0,"",Разбивка_по_щитам!F260)</f>
      </c>
      <c r="B260" s="138">
        <f>IF(A260="","",Разбивка_по_щитам!C260)</f>
      </c>
      <c r="C260" s="138">
        <f t="shared" si="170"/>
      </c>
      <c r="D260" s="266"/>
      <c r="E260" s="266"/>
      <c r="F260" s="267"/>
      <c r="G260" s="145">
        <f t="shared" si="171"/>
        <v/>
      </c>
      <c r="H260" s="145">
        <f t="shared" si="172"/>
        <v/>
      </c>
      <c r="I260" s="266"/>
      <c r="J260" s="267"/>
      <c r="K260" s="267"/>
      <c r="L260" s="266"/>
      <c r="M260" s="147">
        <f t="shared" si="173"/>
        <v/>
      </c>
      <c r="N260" s="267"/>
      <c r="O260" s="147">
        <f t="shared" si="174"/>
        <v/>
      </c>
      <c r="P260" s="268">
        <f>IF(AY260=1,"XT"&amp;COUNTIFS($A$3:A260,A260,$AY$3:AY260,1),"")</f>
        <v/>
      </c>
      <c r="Q260" s="152">
        <f>IF(R260="","",IFERROR(SUBSTITUTE(Разбивка_по_щитам!P260,CHAR(10)," "),""))</f>
        <v/>
      </c>
      <c r="R260" s="153">
        <f>IF(OR(Разбивка_по_щитам!H260="",Разбивка_по_щитам!H260=0),"",Разбивка_по_щитам!H260)</f>
        <v/>
      </c>
      <c r="S260" s="154">
        <f>IF(R260="","",IFERROR(Разбивка_по_щитам!J260&amp;"",""))</f>
        <v/>
      </c>
      <c r="T260" s="155">
        <f>IF(R260="","",IFERROR(--Разбивка_по_щитам!L260,""))</f>
        <v/>
      </c>
      <c r="U260" s="155">
        <f>IF(R260="","",IFERROR(--Разбивка_по_щитам!K260,""))</f>
        <v/>
      </c>
      <c r="V260" s="138">
        <f>IF(R260="","",IFERROR(IF(Разбивка_по_щитам!M260=0,"",Разбивка_по_щитам!M260),""))</f>
        <v/>
      </c>
      <c r="W260" s="156">
        <f t="shared" si="175"/>
        <v/>
      </c>
      <c r="X260" s="157">
        <f t="shared" si="176"/>
        <v/>
      </c>
      <c r="Y260" s="266"/>
      <c r="Z260" s="158">
        <f t="shared" si="177"/>
        <v/>
      </c>
      <c r="AA260" s="160">
        <f t="shared" si="178"/>
        <v/>
      </c>
      <c r="AB260" s="160">
        <f>IF(R260="","",IFERROR(LOOKUP(INDEX(Справочная!$I$4:$I$19,MATCH(VLOOKUP(R260,Исходные_данные,22,FALSE),Справочная!$J$4:$J$19,0)+1),{6,10,16,20,25,32,40,50,63,80,100,125}),""))</f>
        <v/>
      </c>
      <c r="AC260" s="160">
        <f t="shared" si="179"/>
        <v/>
      </c>
      <c r="AD260" s="161">
        <f t="shared" si="180"/>
        <v/>
      </c>
      <c r="AE260" s="161">
        <f>IF(AND(R260="",G260=""),"",_xlfn.TEXTJOIN("; ",TRUE,IF(AND(R260&lt;&gt;"",V260=""),"нет фазы",""),IF(AND(R260&lt;&gt;"",N(T260)=0),"нет мощности",""),IF(AND(P260&lt;&gt;"",COUNTIFS($A$3:$A$1000,A260,$P$3:$P$1000,P260)&gt;1),"дубль клеммы "&amp;P260,""),IF(AND(W260&lt;&gt;"",W260&lt;&gt;"ok"),W260,""),IF(X260&lt;&gt;"",X260,""),IF(AND(ISNUMBER(SEARCH("(5х",Q260)),N(AK260)=1),"5 жил на 1 фазе",""),IF(AND(AL260="R",E260&lt;&gt;"",N(AS260)=0),"розетка без 30 мА",""),IF(IFERROR(_xlfn.NUMBERVALUE(MID(Q260,FIND("-",Q260,FIND("L=",Q260))+1,FIND("%",Q260)-FIND("-",Q260,FIND("L=",Q260))-1),","),0)&gt;4,"потери &gt; 4 %","")))</f>
      </c>
      <c r="AF260" s="129">
        <f>IF(E260&lt;&gt;"",COUNTIFS($A$3:A260,A260,$E$3:E260,"?*"),IF(OR(A260&lt;&gt;A259,Y260="вручную"),"",AF259))</f>
      </c>
      <c r="AG260" s="129">
        <f t="shared" si="181"/>
      </c>
      <c r="AH260" s="129">
        <f t="shared" si="182"/>
        <v/>
      </c>
      <c r="AI260" s="129">
        <f t="shared" si="183"/>
        <v/>
      </c>
      <c r="AJ260" s="129">
        <f t="shared" si="184"/>
        <v/>
      </c>
      <c r="AK260" s="129">
        <f t="shared" si="185"/>
        <v/>
      </c>
      <c r="AL260" s="129">
        <f t="shared" si="186"/>
        <v/>
      </c>
      <c r="AM260" s="129">
        <f t="shared" si="187"/>
      </c>
      <c r="AN260" s="129">
        <f t="shared" si="188"/>
      </c>
      <c r="AO260" s="129">
        <f t="shared" si="189"/>
        <v/>
      </c>
      <c r="AP260" s="129">
        <f t="shared" si="190"/>
        <v/>
      </c>
      <c r="AQ260" s="129">
        <f t="shared" si="191"/>
        <v/>
      </c>
      <c r="AR260" s="129">
        <f t="shared" si="192"/>
        <v/>
      </c>
      <c r="AS260" s="129">
        <f t="shared" si="193"/>
        <v/>
      </c>
      <c r="AT260" s="129">
        <f t="shared" si="194"/>
        <v/>
      </c>
      <c r="AU260" s="129">
        <f t="shared" si="195"/>
        <v/>
      </c>
      <c r="AV260" s="129">
        <f t="shared" si="196"/>
        <v/>
      </c>
      <c r="AW260" s="129">
        <f>IF(AV260="","",AV260&amp;"."&amp;COUNTIFS($A$3:A260,A260,$AV$3:AV260,AV260))</f>
        <v/>
      </c>
      <c r="AX260" s="129">
        <f t="shared" si="197"/>
        <v/>
      </c>
      <c r="AY260" s="129">
        <f>IF(N260="б/к",0,IF(OR(ISNUMBER(SEARCH("L=",Разбивка_по_щитам!P260)),N260="+",N260="="),1,0))</f>
      </c>
      <c r="AZ260" s="129">
        <f t="shared" si="198"/>
      </c>
      <c r="BA260" s="129">
        <f t="shared" si="199"/>
      </c>
      <c r="BB260" s="129">
        <f t="shared" si="200"/>
      </c>
      <c r="BD260" s="129">
        <f t="shared" si="201"/>
      </c>
      <c r="BE260" s="129">
        <f t="shared" si="202"/>
      </c>
      <c r="BF260" s="129">
        <f t="shared" si="203"/>
      </c>
      <c r="BG260" s="129">
        <f t="shared" si="204"/>
        <v/>
      </c>
      <c r="BH260" s="129">
        <f t="shared" si="205"/>
        <v/>
      </c>
      <c r="BI260" s="129">
        <f t="shared" si="206"/>
        <v/>
      </c>
      <c r="BJ260" s="129">
        <f t="shared" si="207"/>
        <v/>
      </c>
      <c r="BK260" s="129">
        <f>IF(R260="","",IF(OR(BY260="",BY260=0),"BOX",IFERROR(IF(VLOOKUP(BY260,УГО_блоки,3,FALSE)&amp;""&lt;&gt;"",VLOOKUP(BY260,УГО_блоки,3,FALSE),VLOOKUP(BY260,УГО_блоки,2,FALSE)),BY260)))</f>
      </c>
      <c r="BL260" s="129">
        <f t="shared" si="209"/>
      </c>
      <c r="BM260" s="129">
        <f>IF(H260="","",IF(COUNTIF($H$3:H260,H260)=1,MAX($BM$2:BM259)+1,""))</f>
      </c>
      <c r="BN260" s="129">
        <f>IF(I260="","",IF(COUNTIF($I$3:I260,I260)+COUNTIF($J$2:J259,I260)+COUNTIF($K$2:K259,I260)=1,MAX($BN$2:BP259)+1,""))</f>
      </c>
      <c r="BO260" s="129">
        <f>IF(J260="","",IF(COUNTIF($I$3:I260,J260)+COUNTIF($J$3:J260,J260)+COUNTIF($K$2:K259,J260)=1,MAX($BN$2:BP259,BN260)+1,""))</f>
      </c>
      <c r="BP260" s="129">
        <f>IF(K260="","",IF(COUNTIF($I$3:I260,K260)+COUNTIF($J$3:J260,K260)+COUNTIF($K$3:K260,K260)=1,MAX($BN$2:BP259,BN260,BO260)+1,""))</f>
      </c>
      <c r="BQ260" s="129">
        <f>IF(AY260=1,IFERROR(MID(Q260,FIND(" (",Q260)+2,FIND(")",Q260,FIND(" (",Q260))-FIND(" (",Q260)-2),"?"),"")</f>
      </c>
      <c r="BR260" s="129">
        <f>IF(BQ260="","",IF(COUNTIF($BQ$3:BQ260,BQ260)=1,MAX($BR$2:BR259)+1,""))</f>
      </c>
      <c r="BS260" s="129">
        <f>IF(AW260="","",COUNTIF($AW$3:AW260,"?*"))</f>
      </c>
      <c r="BT260" s="129">
        <f>IF(OR(AW260="",AI260=""),"",IF(COUNTIFS($AW$3:AW260,"?*",$AI$3:AI260,AI260)=1,MAX($BT$2:BT259)+1,""))</f>
      </c>
      <c r="BU260" s="129">
        <f>IF(AE260="",0,IF(OR(ISNUMBER(SEARCH("дубль",AE260)),ISNUMBER(SEARCH("ПЕРЕГРУЗ",AE260)),ISNUMBER(SEARCH("ЗАЩИЩ",AE260)),ISNUMBER(SEARCH("КАНАЛ",AE260)),ISNUMBER(SEARCH("без 30",AE260))),2,1))</f>
      </c>
      <c r="BV260" s="129">
        <f>IF(R260="","",COUNTIF($R$3:R260,"?*"))</f>
      </c>
      <c r="BW260" s="129">
        <f>IF(AY260&lt;&gt;1,0,IF(MAX(IFERROR(--VLOOKUP(R260,УГО_спр,5,FALSE),0),IFERROR(--VLOOKUP(AL260,УГО_спр,5,FALSE),0),IFERROR(--VLOOKUP(LEFT(AL260,2),УГО_спр,5,FALSE),0))&gt;0,MAX(IFERROR(--VLOOKUP(R260,УГО_спр,5,FALSE),0),IFERROR(--VLOOKUP(AL260,УГО_спр,5,FALSE),0),IFERROR(--VLOOKUP(LEFT(AL260,2),УГО_спр,5,FALSE),0)),IF(IFERROR(--LEFT(SUBSTITUTE(BQ260,"x","х"),FIND("х",SUBSTITUTE(BQ260,"x","х"))-1),3)&gt;3,Каталог!$S$9,1)))</f>
      </c>
      <c r="BX260" s="129">
        <f>IF(AY260&lt;&gt;1,0,MAX(0,IFERROR(--LEFT(SUBSTITUTE(BQ260,"x","х"),FIND("х",SUBSTITUTE(BQ260,"x","х"))-1),3)-3*BW260))</f>
      </c>
      <c r="BY260" s="129">
        <f>IF(R260="","",IFERROR(VLOOKUP(R260,УГО_спр,2,FALSE),IFERROR(VLOOKUP(AL260,УГО_спр,2,FALSE),IFERROR(VLOOKUP(LEFT(AL260,2),УГО_спр,2,FALSE),""))))</f>
      </c>
    </row>
    <row r="261" spans="1:64" x14ac:dyDescent="0.3">
      <c r="A261" s="135">
        <f>IF(Разбивка_по_щитам!F261=0,"",Разбивка_по_щитам!F261)</f>
      </c>
      <c r="B261" s="138">
        <f>IF(A261="","",Разбивка_по_щитам!C261)</f>
      </c>
      <c r="C261" s="138">
        <f t="shared" si="170"/>
      </c>
      <c r="D261" s="266"/>
      <c r="E261" s="266"/>
      <c r="F261" s="267"/>
      <c r="G261" s="145">
        <f t="shared" si="171"/>
        <v/>
      </c>
      <c r="H261" s="145">
        <f t="shared" si="172"/>
        <v/>
      </c>
      <c r="I261" s="266"/>
      <c r="J261" s="267"/>
      <c r="K261" s="267"/>
      <c r="L261" s="266"/>
      <c r="M261" s="147">
        <f t="shared" si="173"/>
        <v/>
      </c>
      <c r="N261" s="267"/>
      <c r="O261" s="147">
        <f t="shared" si="174"/>
        <v/>
      </c>
      <c r="P261" s="268">
        <f>IF(AY261=1,"XT"&amp;COUNTIFS($A$3:A261,A261,$AY$3:AY261,1),"")</f>
        <v/>
      </c>
      <c r="Q261" s="152">
        <f>IF(R261="","",IFERROR(SUBSTITUTE(Разбивка_по_щитам!P261,CHAR(10)," "),""))</f>
        <v/>
      </c>
      <c r="R261" s="153">
        <f>IF(OR(Разбивка_по_щитам!H261="",Разбивка_по_щитам!H261=0),"",Разбивка_по_щитам!H261)</f>
        <v/>
      </c>
      <c r="S261" s="154">
        <f>IF(R261="","",IFERROR(Разбивка_по_щитам!J261&amp;"",""))</f>
        <v/>
      </c>
      <c r="T261" s="155">
        <f>IF(R261="","",IFERROR(--Разбивка_по_щитам!L261,""))</f>
        <v/>
      </c>
      <c r="U261" s="155">
        <f>IF(R261="","",IFERROR(--Разбивка_по_щитам!K261,""))</f>
        <v/>
      </c>
      <c r="V261" s="138">
        <f>IF(R261="","",IFERROR(IF(Разбивка_по_щитам!M261=0,"",Разбивка_по_щитам!M261),""))</f>
        <v/>
      </c>
      <c r="W261" s="156">
        <f t="shared" si="175"/>
        <v/>
      </c>
      <c r="X261" s="157">
        <f t="shared" si="176"/>
        <v/>
      </c>
      <c r="Y261" s="266"/>
      <c r="Z261" s="158">
        <f t="shared" si="177"/>
        <v/>
      </c>
      <c r="AA261" s="160">
        <f t="shared" si="178"/>
        <v/>
      </c>
      <c r="AB261" s="160">
        <f>IF(R261="","",IFERROR(LOOKUP(INDEX(Справочная!$I$4:$I$19,MATCH(VLOOKUP(R261,Исходные_данные,22,FALSE),Справочная!$J$4:$J$19,0)+1),{6,10,16,20,25,32,40,50,63,80,100,125}),""))</f>
        <v/>
      </c>
      <c r="AC261" s="160">
        <f t="shared" si="179"/>
        <v/>
      </c>
      <c r="AD261" s="161">
        <f t="shared" si="180"/>
        <v/>
      </c>
      <c r="AE261" s="161">
        <f>IF(AND(R261="",G261=""),"",_xlfn.TEXTJOIN("; ",TRUE,IF(AND(R261&lt;&gt;"",V261=""),"нет фазы",""),IF(AND(R261&lt;&gt;"",N(T261)=0),"нет мощности",""),IF(AND(P261&lt;&gt;"",COUNTIFS($A$3:$A$1000,A261,$P$3:$P$1000,P261)&gt;1),"дубль клеммы "&amp;P261,""),IF(AND(W261&lt;&gt;"",W261&lt;&gt;"ok"),W261,""),IF(X261&lt;&gt;"",X261,""),IF(AND(ISNUMBER(SEARCH("(5х",Q261)),N(AK261)=1),"5 жил на 1 фазе",""),IF(AND(AL261="R",E261&lt;&gt;"",N(AS261)=0),"розетка без 30 мА",""),IF(IFERROR(_xlfn.NUMBERVALUE(MID(Q261,FIND("-",Q261,FIND("L=",Q261))+1,FIND("%",Q261)-FIND("-",Q261,FIND("L=",Q261))-1),","),0)&gt;4,"потери &gt; 4 %","")))</f>
      </c>
      <c r="AF261" s="129">
        <f>IF(E261&lt;&gt;"",COUNTIFS($A$3:A261,A261,$E$3:E261,"?*"),IF(OR(A261&lt;&gt;A260,Y261="вручную"),"",AF260))</f>
      </c>
      <c r="AG261" s="129">
        <f t="shared" si="181"/>
      </c>
      <c r="AH261" s="129">
        <f t="shared" si="182"/>
        <v/>
      </c>
      <c r="AI261" s="129">
        <f t="shared" si="183"/>
        <v/>
      </c>
      <c r="AJ261" s="129">
        <f t="shared" si="184"/>
        <v/>
      </c>
      <c r="AK261" s="129">
        <f t="shared" si="185"/>
        <v/>
      </c>
      <c r="AL261" s="129">
        <f t="shared" si="186"/>
        <v/>
      </c>
      <c r="AM261" s="129">
        <f t="shared" si="187"/>
      </c>
      <c r="AN261" s="129">
        <f t="shared" si="188"/>
      </c>
      <c r="AO261" s="129">
        <f t="shared" si="189"/>
        <v/>
      </c>
      <c r="AP261" s="129">
        <f t="shared" si="190"/>
        <v/>
      </c>
      <c r="AQ261" s="129">
        <f t="shared" si="191"/>
        <v/>
      </c>
      <c r="AR261" s="129">
        <f t="shared" si="192"/>
        <v/>
      </c>
      <c r="AS261" s="129">
        <f t="shared" si="193"/>
        <v/>
      </c>
      <c r="AT261" s="129">
        <f t="shared" si="194"/>
        <v/>
      </c>
      <c r="AU261" s="129">
        <f t="shared" si="195"/>
        <v/>
      </c>
      <c r="AV261" s="129">
        <f t="shared" si="196"/>
        <v/>
      </c>
      <c r="AW261" s="129">
        <f>IF(AV261="","",AV261&amp;"."&amp;COUNTIFS($A$3:A261,A261,$AV$3:AV261,AV261))</f>
        <v/>
      </c>
      <c r="AX261" s="129">
        <f t="shared" si="197"/>
        <v/>
      </c>
      <c r="AY261" s="129">
        <f>IF(N261="б/к",0,IF(OR(ISNUMBER(SEARCH("L=",Разбивка_по_щитам!P261)),N261="+",N261="="),1,0))</f>
      </c>
      <c r="AZ261" s="129">
        <f t="shared" si="198"/>
      </c>
      <c r="BA261" s="129">
        <f t="shared" si="199"/>
      </c>
      <c r="BB261" s="129">
        <f t="shared" si="200"/>
      </c>
      <c r="BD261" s="129">
        <f t="shared" si="201"/>
      </c>
      <c r="BE261" s="129">
        <f t="shared" si="202"/>
      </c>
      <c r="BF261" s="129">
        <f t="shared" si="203"/>
      </c>
      <c r="BG261" s="129">
        <f t="shared" si="204"/>
        <v/>
      </c>
      <c r="BH261" s="129">
        <f t="shared" si="205"/>
        <v/>
      </c>
      <c r="BI261" s="129">
        <f t="shared" si="206"/>
        <v/>
      </c>
      <c r="BJ261" s="129">
        <f t="shared" si="207"/>
        <v/>
      </c>
      <c r="BK261" s="129">
        <f>IF(R261="","",IF(OR(BY261="",BY261=0),"BOX",IFERROR(IF(VLOOKUP(BY261,УГО_блоки,3,FALSE)&amp;""&lt;&gt;"",VLOOKUP(BY261,УГО_блоки,3,FALSE),VLOOKUP(BY261,УГО_блоки,2,FALSE)),BY261)))</f>
      </c>
      <c r="BL261" s="129">
        <f t="shared" si="209"/>
      </c>
      <c r="BM261" s="129">
        <f>IF(H261="","",IF(COUNTIF($H$3:H261,H261)=1,MAX($BM$2:BM260)+1,""))</f>
      </c>
      <c r="BN261" s="129">
        <f>IF(I261="","",IF(COUNTIF($I$3:I261,I261)+COUNTIF($J$2:J260,I261)+COUNTIF($K$2:K260,I261)=1,MAX($BN$2:BP260)+1,""))</f>
      </c>
      <c r="BO261" s="129">
        <f>IF(J261="","",IF(COUNTIF($I$3:I261,J261)+COUNTIF($J$3:J261,J261)+COUNTIF($K$2:K260,J261)=1,MAX($BN$2:BP260,BN261)+1,""))</f>
      </c>
      <c r="BP261" s="129">
        <f>IF(K261="","",IF(COUNTIF($I$3:I261,K261)+COUNTIF($J$3:J261,K261)+COUNTIF($K$3:K261,K261)=1,MAX($BN$2:BP260,BN261,BO261)+1,""))</f>
      </c>
      <c r="BQ261" s="129">
        <f>IF(AY261=1,IFERROR(MID(Q261,FIND(" (",Q261)+2,FIND(")",Q261,FIND(" (",Q261))-FIND(" (",Q261)-2),"?"),"")</f>
      </c>
      <c r="BR261" s="129">
        <f>IF(BQ261="","",IF(COUNTIF($BQ$3:BQ261,BQ261)=1,MAX($BR$2:BR260)+1,""))</f>
      </c>
      <c r="BS261" s="129">
        <f>IF(AW261="","",COUNTIF($AW$3:AW261,"?*"))</f>
      </c>
      <c r="BT261" s="129">
        <f>IF(OR(AW261="",AI261=""),"",IF(COUNTIFS($AW$3:AW261,"?*",$AI$3:AI261,AI261)=1,MAX($BT$2:BT260)+1,""))</f>
      </c>
      <c r="BU261" s="129">
        <f>IF(AE261="",0,IF(OR(ISNUMBER(SEARCH("дубль",AE261)),ISNUMBER(SEARCH("ПЕРЕГРУЗ",AE261)),ISNUMBER(SEARCH("ЗАЩИЩ",AE261)),ISNUMBER(SEARCH("КАНАЛ",AE261)),ISNUMBER(SEARCH("без 30",AE261))),2,1))</f>
      </c>
      <c r="BV261" s="129">
        <f>IF(R261="","",COUNTIF($R$3:R261,"?*"))</f>
      </c>
      <c r="BW261" s="129">
        <f>IF(AY261&lt;&gt;1,0,IF(MAX(IFERROR(--VLOOKUP(R261,УГО_спр,5,FALSE),0),IFERROR(--VLOOKUP(AL261,УГО_спр,5,FALSE),0),IFERROR(--VLOOKUP(LEFT(AL261,2),УГО_спр,5,FALSE),0))&gt;0,MAX(IFERROR(--VLOOKUP(R261,УГО_спр,5,FALSE),0),IFERROR(--VLOOKUP(AL261,УГО_спр,5,FALSE),0),IFERROR(--VLOOKUP(LEFT(AL261,2),УГО_спр,5,FALSE),0)),IF(IFERROR(--LEFT(SUBSTITUTE(BQ261,"x","х"),FIND("х",SUBSTITUTE(BQ261,"x","х"))-1),3)&gt;3,Каталог!$S$9,1)))</f>
      </c>
      <c r="BX261" s="129">
        <f>IF(AY261&lt;&gt;1,0,MAX(0,IFERROR(--LEFT(SUBSTITUTE(BQ261,"x","х"),FIND("х",SUBSTITUTE(BQ261,"x","х"))-1),3)-3*BW261))</f>
      </c>
      <c r="BY261" s="129">
        <f>IF(R261="","",IFERROR(VLOOKUP(R261,УГО_спр,2,FALSE),IFERROR(VLOOKUP(AL261,УГО_спр,2,FALSE),IFERROR(VLOOKUP(LEFT(AL261,2),УГО_спр,2,FALSE),""))))</f>
      </c>
    </row>
    <row r="262" spans="1:64" x14ac:dyDescent="0.3">
      <c r="A262" s="135">
        <f>IF(Разбивка_по_щитам!F262=0,"",Разбивка_по_щитам!F262)</f>
      </c>
      <c r="B262" s="138">
        <f>IF(A262="","",Разбивка_по_щитам!C262)</f>
      </c>
      <c r="C262" s="138">
        <f t="shared" si="170"/>
      </c>
      <c r="D262" s="266"/>
      <c r="E262" s="266"/>
      <c r="F262" s="267"/>
      <c r="G262" s="145">
        <f t="shared" si="171"/>
        <v/>
      </c>
      <c r="H262" s="145">
        <f t="shared" si="172"/>
        <v/>
      </c>
      <c r="I262" s="266"/>
      <c r="J262" s="267"/>
      <c r="K262" s="267"/>
      <c r="L262" s="266"/>
      <c r="M262" s="147">
        <f t="shared" si="173"/>
        <v/>
      </c>
      <c r="N262" s="267"/>
      <c r="O262" s="147">
        <f t="shared" si="174"/>
        <v/>
      </c>
      <c r="P262" s="268">
        <f>IF(AY262=1,"XT"&amp;COUNTIFS($A$3:A262,A262,$AY$3:AY262,1),"")</f>
        <v/>
      </c>
      <c r="Q262" s="152">
        <f>IF(R262="","",IFERROR(SUBSTITUTE(Разбивка_по_щитам!P262,CHAR(10)," "),""))</f>
        <v/>
      </c>
      <c r="R262" s="153">
        <f>IF(OR(Разбивка_по_щитам!H262="",Разбивка_по_щитам!H262=0),"",Разбивка_по_щитам!H262)</f>
        <v/>
      </c>
      <c r="S262" s="154">
        <f>IF(R262="","",IFERROR(Разбивка_по_щитам!J262&amp;"",""))</f>
        <v/>
      </c>
      <c r="T262" s="155">
        <f>IF(R262="","",IFERROR(--Разбивка_по_щитам!L262,""))</f>
        <v/>
      </c>
      <c r="U262" s="155">
        <f>IF(R262="","",IFERROR(--Разбивка_по_щитам!K262,""))</f>
        <v/>
      </c>
      <c r="V262" s="138">
        <f>IF(R262="","",IFERROR(IF(Разбивка_по_щитам!M262=0,"",Разбивка_по_щитам!M262),""))</f>
        <v/>
      </c>
      <c r="W262" s="156">
        <f t="shared" si="175"/>
        <v/>
      </c>
      <c r="X262" s="157">
        <f t="shared" si="176"/>
        <v/>
      </c>
      <c r="Y262" s="266"/>
      <c r="Z262" s="158">
        <f t="shared" si="177"/>
        <v/>
      </c>
      <c r="AA262" s="160">
        <f t="shared" si="178"/>
        <v/>
      </c>
      <c r="AB262" s="160">
        <f>IF(R262="","",IFERROR(LOOKUP(INDEX(Справочная!$I$4:$I$19,MATCH(VLOOKUP(R262,Исходные_данные,22,FALSE),Справочная!$J$4:$J$19,0)+1),{6,10,16,20,25,32,40,50,63,80,100,125}),""))</f>
        <v/>
      </c>
      <c r="AC262" s="160">
        <f t="shared" si="179"/>
        <v/>
      </c>
      <c r="AD262" s="161">
        <f t="shared" si="180"/>
        <v/>
      </c>
      <c r="AE262" s="161">
        <f>IF(AND(R262="",G262=""),"",_xlfn.TEXTJOIN("; ",TRUE,IF(AND(R262&lt;&gt;"",V262=""),"нет фазы",""),IF(AND(R262&lt;&gt;"",N(T262)=0),"нет мощности",""),IF(AND(P262&lt;&gt;"",COUNTIFS($A$3:$A$1000,A262,$P$3:$P$1000,P262)&gt;1),"дубль клеммы "&amp;P262,""),IF(AND(W262&lt;&gt;"",W262&lt;&gt;"ok"),W262,""),IF(X262&lt;&gt;"",X262,""),IF(AND(ISNUMBER(SEARCH("(5х",Q262)),N(AK262)=1),"5 жил на 1 фазе",""),IF(AND(AL262="R",E262&lt;&gt;"",N(AS262)=0),"розетка без 30 мА",""),IF(IFERROR(_xlfn.NUMBERVALUE(MID(Q262,FIND("-",Q262,FIND("L=",Q262))+1,FIND("%",Q262)-FIND("-",Q262,FIND("L=",Q262))-1),","),0)&gt;4,"потери &gt; 4 %","")))</f>
      </c>
      <c r="AF262" s="129">
        <f>IF(E262&lt;&gt;"",COUNTIFS($A$3:A262,A262,$E$3:E262,"?*"),IF(OR(A262&lt;&gt;A261,Y262="вручную"),"",AF261))</f>
      </c>
      <c r="AG262" s="129">
        <f t="shared" si="181"/>
      </c>
      <c r="AH262" s="129">
        <f t="shared" si="182"/>
        <v/>
      </c>
      <c r="AI262" s="129">
        <f t="shared" si="183"/>
        <v/>
      </c>
      <c r="AJ262" s="129">
        <f t="shared" si="184"/>
        <v/>
      </c>
      <c r="AK262" s="129">
        <f t="shared" si="185"/>
        <v/>
      </c>
      <c r="AL262" s="129">
        <f t="shared" si="186"/>
        <v/>
      </c>
      <c r="AM262" s="129">
        <f t="shared" si="187"/>
      </c>
      <c r="AN262" s="129">
        <f t="shared" si="188"/>
      </c>
      <c r="AO262" s="129">
        <f t="shared" si="189"/>
        <v/>
      </c>
      <c r="AP262" s="129">
        <f t="shared" si="190"/>
        <v/>
      </c>
      <c r="AQ262" s="129">
        <f t="shared" si="191"/>
        <v/>
      </c>
      <c r="AR262" s="129">
        <f t="shared" si="192"/>
        <v/>
      </c>
      <c r="AS262" s="129">
        <f t="shared" si="193"/>
        <v/>
      </c>
      <c r="AT262" s="129">
        <f t="shared" si="194"/>
        <v/>
      </c>
      <c r="AU262" s="129">
        <f t="shared" si="195"/>
        <v/>
      </c>
      <c r="AV262" s="129">
        <f t="shared" si="196"/>
        <v/>
      </c>
      <c r="AW262" s="129">
        <f>IF(AV262="","",AV262&amp;"."&amp;COUNTIFS($A$3:A262,A262,$AV$3:AV262,AV262))</f>
        <v/>
      </c>
      <c r="AX262" s="129">
        <f t="shared" si="197"/>
        <v/>
      </c>
      <c r="AY262" s="129">
        <f>IF(N262="б/к",0,IF(OR(ISNUMBER(SEARCH("L=",Разбивка_по_щитам!P262)),N262="+",N262="="),1,0))</f>
      </c>
      <c r="AZ262" s="129">
        <f t="shared" si="198"/>
      </c>
      <c r="BA262" s="129">
        <f t="shared" si="199"/>
      </c>
      <c r="BB262" s="129">
        <f t="shared" si="200"/>
      </c>
      <c r="BD262" s="129">
        <f t="shared" si="201"/>
      </c>
      <c r="BE262" s="129">
        <f t="shared" si="202"/>
      </c>
      <c r="BF262" s="129">
        <f t="shared" si="203"/>
      </c>
      <c r="BG262" s="129">
        <f t="shared" si="204"/>
        <v/>
      </c>
      <c r="BH262" s="129">
        <f t="shared" si="205"/>
        <v/>
      </c>
      <c r="BI262" s="129">
        <f t="shared" si="206"/>
        <v/>
      </c>
      <c r="BJ262" s="129">
        <f t="shared" si="207"/>
        <v/>
      </c>
      <c r="BK262" s="129">
        <f>IF(R262="","",IF(OR(BY262="",BY262=0),"BOX",IFERROR(IF(VLOOKUP(BY262,УГО_блоки,3,FALSE)&amp;""&lt;&gt;"",VLOOKUP(BY262,УГО_блоки,3,FALSE),VLOOKUP(BY262,УГО_блоки,2,FALSE)),BY262)))</f>
      </c>
      <c r="BL262" s="129">
        <f t="shared" si="209"/>
      </c>
      <c r="BM262" s="129">
        <f>IF(H262="","",IF(COUNTIF($H$3:H262,H262)=1,MAX($BM$2:BM261)+1,""))</f>
      </c>
      <c r="BN262" s="129">
        <f>IF(I262="","",IF(COUNTIF($I$3:I262,I262)+COUNTIF($J$2:J261,I262)+COUNTIF($K$2:K261,I262)=1,MAX($BN$2:BP261)+1,""))</f>
      </c>
      <c r="BO262" s="129">
        <f>IF(J262="","",IF(COUNTIF($I$3:I262,J262)+COUNTIF($J$3:J262,J262)+COUNTIF($K$2:K261,J262)=1,MAX($BN$2:BP261,BN262)+1,""))</f>
      </c>
      <c r="BP262" s="129">
        <f>IF(K262="","",IF(COUNTIF($I$3:I262,K262)+COUNTIF($J$3:J262,K262)+COUNTIF($K$3:K262,K262)=1,MAX($BN$2:BP261,BN262,BO262)+1,""))</f>
      </c>
      <c r="BQ262" s="129">
        <f>IF(AY262=1,IFERROR(MID(Q262,FIND(" (",Q262)+2,FIND(")",Q262,FIND(" (",Q262))-FIND(" (",Q262)-2),"?"),"")</f>
      </c>
      <c r="BR262" s="129">
        <f>IF(BQ262="","",IF(COUNTIF($BQ$3:BQ262,BQ262)=1,MAX($BR$2:BR261)+1,""))</f>
      </c>
      <c r="BS262" s="129">
        <f>IF(AW262="","",COUNTIF($AW$3:AW262,"?*"))</f>
      </c>
      <c r="BT262" s="129">
        <f>IF(OR(AW262="",AI262=""),"",IF(COUNTIFS($AW$3:AW262,"?*",$AI$3:AI262,AI262)=1,MAX($BT$2:BT261)+1,""))</f>
      </c>
      <c r="BU262" s="129">
        <f>IF(AE262="",0,IF(OR(ISNUMBER(SEARCH("дубль",AE262)),ISNUMBER(SEARCH("ПЕРЕГРУЗ",AE262)),ISNUMBER(SEARCH("ЗАЩИЩ",AE262)),ISNUMBER(SEARCH("КАНАЛ",AE262)),ISNUMBER(SEARCH("без 30",AE262))),2,1))</f>
      </c>
      <c r="BV262" s="129">
        <f>IF(R262="","",COUNTIF($R$3:R262,"?*"))</f>
      </c>
      <c r="BW262" s="129">
        <f>IF(AY262&lt;&gt;1,0,IF(MAX(IFERROR(--VLOOKUP(R262,УГО_спр,5,FALSE),0),IFERROR(--VLOOKUP(AL262,УГО_спр,5,FALSE),0),IFERROR(--VLOOKUP(LEFT(AL262,2),УГО_спр,5,FALSE),0))&gt;0,MAX(IFERROR(--VLOOKUP(R262,УГО_спр,5,FALSE),0),IFERROR(--VLOOKUP(AL262,УГО_спр,5,FALSE),0),IFERROR(--VLOOKUP(LEFT(AL262,2),УГО_спр,5,FALSE),0)),IF(IFERROR(--LEFT(SUBSTITUTE(BQ262,"x","х"),FIND("х",SUBSTITUTE(BQ262,"x","х"))-1),3)&gt;3,Каталог!$S$9,1)))</f>
      </c>
      <c r="BX262" s="129">
        <f>IF(AY262&lt;&gt;1,0,MAX(0,IFERROR(--LEFT(SUBSTITUTE(BQ262,"x","х"),FIND("х",SUBSTITUTE(BQ262,"x","х"))-1),3)-3*BW262))</f>
      </c>
      <c r="BY262" s="129">
        <f>IF(R262="","",IFERROR(VLOOKUP(R262,УГО_спр,2,FALSE),IFERROR(VLOOKUP(AL262,УГО_спр,2,FALSE),IFERROR(VLOOKUP(LEFT(AL262,2),УГО_спр,2,FALSE),""))))</f>
      </c>
    </row>
    <row r="263" spans="1:64" x14ac:dyDescent="0.3">
      <c r="A263" s="135">
        <f>IF(Разбивка_по_щитам!F263=0,"",Разбивка_по_щитам!F263)</f>
      </c>
      <c r="B263" s="138">
        <f>IF(A263="","",Разбивка_по_щитам!C263)</f>
      </c>
      <c r="C263" s="138">
        <f t="shared" si="170"/>
      </c>
      <c r="D263" s="266"/>
      <c r="E263" s="266"/>
      <c r="F263" s="267"/>
      <c r="G263" s="145">
        <f t="shared" si="171"/>
        <v/>
      </c>
      <c r="H263" s="145">
        <f t="shared" si="172"/>
        <v/>
      </c>
      <c r="I263" s="266"/>
      <c r="J263" s="267"/>
      <c r="K263" s="267"/>
      <c r="L263" s="266"/>
      <c r="M263" s="147">
        <f t="shared" si="173"/>
        <v/>
      </c>
      <c r="N263" s="267"/>
      <c r="O263" s="147">
        <f t="shared" si="174"/>
        <v/>
      </c>
      <c r="P263" s="268">
        <f>IF(AY263=1,"XT"&amp;COUNTIFS($A$3:A263,A263,$AY$3:AY263,1),"")</f>
        <v/>
      </c>
      <c r="Q263" s="152">
        <f>IF(R263="","",IFERROR(SUBSTITUTE(Разбивка_по_щитам!P263,CHAR(10)," "),""))</f>
        <v/>
      </c>
      <c r="R263" s="153">
        <f>IF(OR(Разбивка_по_щитам!H263="",Разбивка_по_щитам!H263=0),"",Разбивка_по_щитам!H263)</f>
        <v/>
      </c>
      <c r="S263" s="154">
        <f>IF(R263="","",IFERROR(Разбивка_по_щитам!J263&amp;"",""))</f>
        <v/>
      </c>
      <c r="T263" s="155">
        <f>IF(R263="","",IFERROR(--Разбивка_по_щитам!L263,""))</f>
        <v/>
      </c>
      <c r="U263" s="155">
        <f>IF(R263="","",IFERROR(--Разбивка_по_щитам!K263,""))</f>
        <v/>
      </c>
      <c r="V263" s="138">
        <f>IF(R263="","",IFERROR(IF(Разбивка_по_щитам!M263=0,"",Разбивка_по_щитам!M263),""))</f>
        <v/>
      </c>
      <c r="W263" s="156">
        <f t="shared" si="175"/>
        <v/>
      </c>
      <c r="X263" s="157">
        <f t="shared" si="176"/>
        <v/>
      </c>
      <c r="Y263" s="266"/>
      <c r="Z263" s="158">
        <f t="shared" si="177"/>
        <v/>
      </c>
      <c r="AA263" s="160">
        <f t="shared" si="178"/>
        <v/>
      </c>
      <c r="AB263" s="160">
        <f>IF(R263="","",IFERROR(LOOKUP(INDEX(Справочная!$I$4:$I$19,MATCH(VLOOKUP(R263,Исходные_данные,22,FALSE),Справочная!$J$4:$J$19,0)+1),{6,10,16,20,25,32,40,50,63,80,100,125}),""))</f>
        <v/>
      </c>
      <c r="AC263" s="160">
        <f t="shared" si="179"/>
        <v/>
      </c>
      <c r="AD263" s="161">
        <f t="shared" si="180"/>
        <v/>
      </c>
      <c r="AE263" s="161">
        <f>IF(AND(R263="",G263=""),"",_xlfn.TEXTJOIN("; ",TRUE,IF(AND(R263&lt;&gt;"",V263=""),"нет фазы",""),IF(AND(R263&lt;&gt;"",N(T263)=0),"нет мощности",""),IF(AND(P263&lt;&gt;"",COUNTIFS($A$3:$A$1000,A263,$P$3:$P$1000,P263)&gt;1),"дубль клеммы "&amp;P263,""),IF(AND(W263&lt;&gt;"",W263&lt;&gt;"ok"),W263,""),IF(X263&lt;&gt;"",X263,""),IF(AND(ISNUMBER(SEARCH("(5х",Q263)),N(AK263)=1),"5 жил на 1 фазе",""),IF(AND(AL263="R",E263&lt;&gt;"",N(AS263)=0),"розетка без 30 мА",""),IF(IFERROR(_xlfn.NUMBERVALUE(MID(Q263,FIND("-",Q263,FIND("L=",Q263))+1,FIND("%",Q263)-FIND("-",Q263,FIND("L=",Q263))-1),","),0)&gt;4,"потери &gt; 4 %","")))</f>
      </c>
      <c r="AF263" s="129">
        <f>IF(E263&lt;&gt;"",COUNTIFS($A$3:A263,A263,$E$3:E263,"?*"),IF(OR(A263&lt;&gt;A262,Y263="вручную"),"",AF262))</f>
      </c>
      <c r="AG263" s="129">
        <f t="shared" si="181"/>
      </c>
      <c r="AH263" s="129">
        <f t="shared" si="182"/>
        <v/>
      </c>
      <c r="AI263" s="129">
        <f t="shared" si="183"/>
        <v/>
      </c>
      <c r="AJ263" s="129">
        <f t="shared" si="184"/>
        <v/>
      </c>
      <c r="AK263" s="129">
        <f t="shared" si="185"/>
        <v/>
      </c>
      <c r="AL263" s="129">
        <f t="shared" si="186"/>
        <v/>
      </c>
      <c r="AM263" s="129">
        <f t="shared" si="187"/>
      </c>
      <c r="AN263" s="129">
        <f t="shared" si="188"/>
      </c>
      <c r="AO263" s="129">
        <f t="shared" si="189"/>
        <v/>
      </c>
      <c r="AP263" s="129">
        <f t="shared" si="190"/>
        <v/>
      </c>
      <c r="AQ263" s="129">
        <f t="shared" si="191"/>
        <v/>
      </c>
      <c r="AR263" s="129">
        <f t="shared" si="192"/>
        <v/>
      </c>
      <c r="AS263" s="129">
        <f t="shared" si="193"/>
        <v/>
      </c>
      <c r="AT263" s="129">
        <f t="shared" si="194"/>
        <v/>
      </c>
      <c r="AU263" s="129">
        <f t="shared" si="195"/>
        <v/>
      </c>
      <c r="AV263" s="129">
        <f t="shared" si="196"/>
        <v/>
      </c>
      <c r="AW263" s="129">
        <f>IF(AV263="","",AV263&amp;"."&amp;COUNTIFS($A$3:A263,A263,$AV$3:AV263,AV263))</f>
        <v/>
      </c>
      <c r="AX263" s="129">
        <f t="shared" si="197"/>
        <v/>
      </c>
      <c r="AY263" s="129">
        <f>IF(N263="б/к",0,IF(OR(ISNUMBER(SEARCH("L=",Разбивка_по_щитам!P263)),N263="+",N263="="),1,0))</f>
      </c>
      <c r="AZ263" s="129">
        <f t="shared" si="198"/>
      </c>
      <c r="BA263" s="129">
        <f t="shared" si="199"/>
      </c>
      <c r="BB263" s="129">
        <f t="shared" si="200"/>
      </c>
      <c r="BD263" s="129">
        <f t="shared" si="201"/>
      </c>
      <c r="BE263" s="129">
        <f t="shared" si="202"/>
      </c>
      <c r="BF263" s="129">
        <f t="shared" si="203"/>
      </c>
      <c r="BG263" s="129">
        <f t="shared" si="204"/>
        <v/>
      </c>
      <c r="BH263" s="129">
        <f t="shared" si="205"/>
        <v/>
      </c>
      <c r="BI263" s="129">
        <f t="shared" si="206"/>
        <v/>
      </c>
      <c r="BJ263" s="129">
        <f t="shared" si="207"/>
        <v/>
      </c>
      <c r="BK263" s="129">
        <f>IF(R263="","",IF(OR(BY263="",BY263=0),"BOX",IFERROR(IF(VLOOKUP(BY263,УГО_блоки,3,FALSE)&amp;""&lt;&gt;"",VLOOKUP(BY263,УГО_блоки,3,FALSE),VLOOKUP(BY263,УГО_блоки,2,FALSE)),BY263)))</f>
      </c>
      <c r="BL263" s="129">
        <f t="shared" si="209"/>
      </c>
      <c r="BM263" s="129">
        <f>IF(H263="","",IF(COUNTIF($H$3:H263,H263)=1,MAX($BM$2:BM262)+1,""))</f>
      </c>
      <c r="BN263" s="129">
        <f>IF(I263="","",IF(COUNTIF($I$3:I263,I263)+COUNTIF($J$2:J262,I263)+COUNTIF($K$2:K262,I263)=1,MAX($BN$2:BP262)+1,""))</f>
      </c>
      <c r="BO263" s="129">
        <f>IF(J263="","",IF(COUNTIF($I$3:I263,J263)+COUNTIF($J$3:J263,J263)+COUNTIF($K$2:K262,J263)=1,MAX($BN$2:BP262,BN263)+1,""))</f>
      </c>
      <c r="BP263" s="129">
        <f>IF(K263="","",IF(COUNTIF($I$3:I263,K263)+COUNTIF($J$3:J263,K263)+COUNTIF($K$3:K263,K263)=1,MAX($BN$2:BP262,BN263,BO263)+1,""))</f>
      </c>
      <c r="BQ263" s="129">
        <f>IF(AY263=1,IFERROR(MID(Q263,FIND(" (",Q263)+2,FIND(")",Q263,FIND(" (",Q263))-FIND(" (",Q263)-2),"?"),"")</f>
      </c>
      <c r="BR263" s="129">
        <f>IF(BQ263="","",IF(COUNTIF($BQ$3:BQ263,BQ263)=1,MAX($BR$2:BR262)+1,""))</f>
      </c>
      <c r="BS263" s="129">
        <f>IF(AW263="","",COUNTIF($AW$3:AW263,"?*"))</f>
      </c>
      <c r="BT263" s="129">
        <f>IF(OR(AW263="",AI263=""),"",IF(COUNTIFS($AW$3:AW263,"?*",$AI$3:AI263,AI263)=1,MAX($BT$2:BT262)+1,""))</f>
      </c>
      <c r="BU263" s="129">
        <f>IF(AE263="",0,IF(OR(ISNUMBER(SEARCH("дубль",AE263)),ISNUMBER(SEARCH("ПЕРЕГРУЗ",AE263)),ISNUMBER(SEARCH("ЗАЩИЩ",AE263)),ISNUMBER(SEARCH("КАНАЛ",AE263)),ISNUMBER(SEARCH("без 30",AE263))),2,1))</f>
      </c>
      <c r="BV263" s="129">
        <f>IF(R263="","",COUNTIF($R$3:R263,"?*"))</f>
      </c>
      <c r="BW263" s="129">
        <f>IF(AY263&lt;&gt;1,0,IF(MAX(IFERROR(--VLOOKUP(R263,УГО_спр,5,FALSE),0),IFERROR(--VLOOKUP(AL263,УГО_спр,5,FALSE),0),IFERROR(--VLOOKUP(LEFT(AL263,2),УГО_спр,5,FALSE),0))&gt;0,MAX(IFERROR(--VLOOKUP(R263,УГО_спр,5,FALSE),0),IFERROR(--VLOOKUP(AL263,УГО_спр,5,FALSE),0),IFERROR(--VLOOKUP(LEFT(AL263,2),УГО_спр,5,FALSE),0)),IF(IFERROR(--LEFT(SUBSTITUTE(BQ263,"x","х"),FIND("х",SUBSTITUTE(BQ263,"x","х"))-1),3)&gt;3,Каталог!$S$9,1)))</f>
      </c>
      <c r="BX263" s="129">
        <f>IF(AY263&lt;&gt;1,0,MAX(0,IFERROR(--LEFT(SUBSTITUTE(BQ263,"x","х"),FIND("х",SUBSTITUTE(BQ263,"x","х"))-1),3)-3*BW263))</f>
      </c>
      <c r="BY263" s="129">
        <f>IF(R263="","",IFERROR(VLOOKUP(R263,УГО_спр,2,FALSE),IFERROR(VLOOKUP(AL263,УГО_спр,2,FALSE),IFERROR(VLOOKUP(LEFT(AL263,2),УГО_спр,2,FALSE),""))))</f>
      </c>
    </row>
    <row r="264" spans="1:64" x14ac:dyDescent="0.3">
      <c r="A264" s="135">
        <f>IF(Разбивка_по_щитам!F264=0,"",Разбивка_по_щитам!F264)</f>
      </c>
      <c r="B264" s="138">
        <f>IF(A264="","",Разбивка_по_щитам!C264)</f>
      </c>
      <c r="C264" s="138">
        <f t="shared" si="170"/>
      </c>
      <c r="D264" s="266"/>
      <c r="E264" s="266"/>
      <c r="F264" s="267"/>
      <c r="G264" s="145">
        <f t="shared" si="171"/>
        <v/>
      </c>
      <c r="H264" s="145">
        <f t="shared" si="172"/>
        <v/>
      </c>
      <c r="I264" s="266"/>
      <c r="J264" s="267"/>
      <c r="K264" s="267"/>
      <c r="L264" s="266"/>
      <c r="M264" s="147">
        <f t="shared" si="173"/>
        <v/>
      </c>
      <c r="N264" s="267"/>
      <c r="O264" s="147">
        <f t="shared" si="174"/>
        <v/>
      </c>
      <c r="P264" s="268">
        <f>IF(AY264=1,"XT"&amp;COUNTIFS($A$3:A264,A264,$AY$3:AY264,1),"")</f>
        <v/>
      </c>
      <c r="Q264" s="152">
        <f>IF(R264="","",IFERROR(SUBSTITUTE(Разбивка_по_щитам!P264,CHAR(10)," "),""))</f>
        <v/>
      </c>
      <c r="R264" s="153">
        <f>IF(OR(Разбивка_по_щитам!H264="",Разбивка_по_щитам!H264=0),"",Разбивка_по_щитам!H264)</f>
        <v/>
      </c>
      <c r="S264" s="154">
        <f>IF(R264="","",IFERROR(Разбивка_по_щитам!J264&amp;"",""))</f>
        <v/>
      </c>
      <c r="T264" s="155">
        <f>IF(R264="","",IFERROR(--Разбивка_по_щитам!L264,""))</f>
        <v/>
      </c>
      <c r="U264" s="155">
        <f>IF(R264="","",IFERROR(--Разбивка_по_щитам!K264,""))</f>
        <v/>
      </c>
      <c r="V264" s="138">
        <f>IF(R264="","",IFERROR(IF(Разбивка_по_щитам!M264=0,"",Разбивка_по_щитам!M264),""))</f>
        <v/>
      </c>
      <c r="W264" s="156">
        <f t="shared" si="175"/>
        <v/>
      </c>
      <c r="X264" s="157">
        <f t="shared" si="176"/>
        <v/>
      </c>
      <c r="Y264" s="266"/>
      <c r="Z264" s="158">
        <f t="shared" si="177"/>
        <v/>
      </c>
      <c r="AA264" s="160">
        <f t="shared" si="178"/>
        <v/>
      </c>
      <c r="AB264" s="160">
        <f>IF(R264="","",IFERROR(LOOKUP(INDEX(Справочная!$I$4:$I$19,MATCH(VLOOKUP(R264,Исходные_данные,22,FALSE),Справочная!$J$4:$J$19,0)+1),{6,10,16,20,25,32,40,50,63,80,100,125}),""))</f>
        <v/>
      </c>
      <c r="AC264" s="160">
        <f t="shared" si="179"/>
        <v/>
      </c>
      <c r="AD264" s="161">
        <f t="shared" si="180"/>
        <v/>
      </c>
      <c r="AE264" s="161">
        <f>IF(AND(R264="",G264=""),"",_xlfn.TEXTJOIN("; ",TRUE,IF(AND(R264&lt;&gt;"",V264=""),"нет фазы",""),IF(AND(R264&lt;&gt;"",N(T264)=0),"нет мощности",""),IF(AND(P264&lt;&gt;"",COUNTIFS($A$3:$A$1000,A264,$P$3:$P$1000,P264)&gt;1),"дубль клеммы "&amp;P264,""),IF(AND(W264&lt;&gt;"",W264&lt;&gt;"ok"),W264,""),IF(X264&lt;&gt;"",X264,""),IF(AND(ISNUMBER(SEARCH("(5х",Q264)),N(AK264)=1),"5 жил на 1 фазе",""),IF(AND(AL264="R",E264&lt;&gt;"",N(AS264)=0),"розетка без 30 мА",""),IF(IFERROR(_xlfn.NUMBERVALUE(MID(Q264,FIND("-",Q264,FIND("L=",Q264))+1,FIND("%",Q264)-FIND("-",Q264,FIND("L=",Q264))-1),","),0)&gt;4,"потери &gt; 4 %","")))</f>
      </c>
      <c r="AF264" s="129">
        <f>IF(E264&lt;&gt;"",COUNTIFS($A$3:A264,A264,$E$3:E264,"?*"),IF(OR(A264&lt;&gt;A263,Y264="вручную"),"",AF263))</f>
      </c>
      <c r="AG264" s="129">
        <f t="shared" si="181"/>
      </c>
      <c r="AH264" s="129">
        <f t="shared" si="182"/>
        <v/>
      </c>
      <c r="AI264" s="129">
        <f t="shared" si="183"/>
        <v/>
      </c>
      <c r="AJ264" s="129">
        <f t="shared" si="184"/>
        <v/>
      </c>
      <c r="AK264" s="129">
        <f t="shared" si="185"/>
        <v/>
      </c>
      <c r="AL264" s="129">
        <f t="shared" si="186"/>
        <v/>
      </c>
      <c r="AM264" s="129">
        <f t="shared" si="187"/>
      </c>
      <c r="AN264" s="129">
        <f t="shared" si="188"/>
      </c>
      <c r="AO264" s="129">
        <f t="shared" si="189"/>
        <v/>
      </c>
      <c r="AP264" s="129">
        <f t="shared" si="190"/>
        <v/>
      </c>
      <c r="AQ264" s="129">
        <f t="shared" si="191"/>
        <v/>
      </c>
      <c r="AR264" s="129">
        <f t="shared" si="192"/>
        <v/>
      </c>
      <c r="AS264" s="129">
        <f t="shared" si="193"/>
        <v/>
      </c>
      <c r="AT264" s="129">
        <f t="shared" si="194"/>
        <v/>
      </c>
      <c r="AU264" s="129">
        <f t="shared" si="195"/>
        <v/>
      </c>
      <c r="AV264" s="129">
        <f t="shared" si="196"/>
        <v/>
      </c>
      <c r="AW264" s="129">
        <f>IF(AV264="","",AV264&amp;"."&amp;COUNTIFS($A$3:A264,A264,$AV$3:AV264,AV264))</f>
        <v/>
      </c>
      <c r="AX264" s="129">
        <f t="shared" si="197"/>
        <v/>
      </c>
      <c r="AY264" s="129">
        <f>IF(N264="б/к",0,IF(OR(ISNUMBER(SEARCH("L=",Разбивка_по_щитам!P264)),N264="+",N264="="),1,0))</f>
      </c>
      <c r="AZ264" s="129">
        <f t="shared" si="198"/>
      </c>
      <c r="BA264" s="129">
        <f t="shared" si="199"/>
      </c>
      <c r="BB264" s="129">
        <f t="shared" si="200"/>
      </c>
      <c r="BD264" s="129">
        <f t="shared" si="201"/>
      </c>
      <c r="BE264" s="129">
        <f t="shared" si="202"/>
      </c>
      <c r="BF264" s="129">
        <f t="shared" si="203"/>
      </c>
      <c r="BG264" s="129">
        <f t="shared" si="204"/>
        <v/>
      </c>
      <c r="BH264" s="129">
        <f t="shared" si="205"/>
        <v/>
      </c>
      <c r="BI264" s="129">
        <f t="shared" si="206"/>
        <v/>
      </c>
      <c r="BJ264" s="129">
        <f t="shared" si="207"/>
        <v/>
      </c>
      <c r="BK264" s="129">
        <f>IF(R264="","",IF(OR(BY264="",BY264=0),"BOX",IFERROR(IF(VLOOKUP(BY264,УГО_блоки,3,FALSE)&amp;""&lt;&gt;"",VLOOKUP(BY264,УГО_блоки,3,FALSE),VLOOKUP(BY264,УГО_блоки,2,FALSE)),BY264)))</f>
      </c>
      <c r="BL264" s="129">
        <f t="shared" si="209"/>
      </c>
      <c r="BM264" s="129">
        <f>IF(H264="","",IF(COUNTIF($H$3:H264,H264)=1,MAX($BM$2:BM263)+1,""))</f>
      </c>
      <c r="BN264" s="129">
        <f>IF(I264="","",IF(COUNTIF($I$3:I264,I264)+COUNTIF($J$2:J263,I264)+COUNTIF($K$2:K263,I264)=1,MAX($BN$2:BP263)+1,""))</f>
      </c>
      <c r="BO264" s="129">
        <f>IF(J264="","",IF(COUNTIF($I$3:I264,J264)+COUNTIF($J$3:J264,J264)+COUNTIF($K$2:K263,J264)=1,MAX($BN$2:BP263,BN264)+1,""))</f>
      </c>
      <c r="BP264" s="129">
        <f>IF(K264="","",IF(COUNTIF($I$3:I264,K264)+COUNTIF($J$3:J264,K264)+COUNTIF($K$3:K264,K264)=1,MAX($BN$2:BP263,BN264,BO264)+1,""))</f>
      </c>
      <c r="BQ264" s="129">
        <f>IF(AY264=1,IFERROR(MID(Q264,FIND(" (",Q264)+2,FIND(")",Q264,FIND(" (",Q264))-FIND(" (",Q264)-2),"?"),"")</f>
      </c>
      <c r="BR264" s="129">
        <f>IF(BQ264="","",IF(COUNTIF($BQ$3:BQ264,BQ264)=1,MAX($BR$2:BR263)+1,""))</f>
      </c>
      <c r="BS264" s="129">
        <f>IF(AW264="","",COUNTIF($AW$3:AW264,"?*"))</f>
      </c>
      <c r="BT264" s="129">
        <f>IF(OR(AW264="",AI264=""),"",IF(COUNTIFS($AW$3:AW264,"?*",$AI$3:AI264,AI264)=1,MAX($BT$2:BT263)+1,""))</f>
      </c>
      <c r="BU264" s="129">
        <f>IF(AE264="",0,IF(OR(ISNUMBER(SEARCH("дубль",AE264)),ISNUMBER(SEARCH("ПЕРЕГРУЗ",AE264)),ISNUMBER(SEARCH("ЗАЩИЩ",AE264)),ISNUMBER(SEARCH("КАНАЛ",AE264)),ISNUMBER(SEARCH("без 30",AE264))),2,1))</f>
      </c>
      <c r="BV264" s="129">
        <f>IF(R264="","",COUNTIF($R$3:R264,"?*"))</f>
      </c>
      <c r="BW264" s="129">
        <f>IF(AY264&lt;&gt;1,0,IF(MAX(IFERROR(--VLOOKUP(R264,УГО_спр,5,FALSE),0),IFERROR(--VLOOKUP(AL264,УГО_спр,5,FALSE),0),IFERROR(--VLOOKUP(LEFT(AL264,2),УГО_спр,5,FALSE),0))&gt;0,MAX(IFERROR(--VLOOKUP(R264,УГО_спр,5,FALSE),0),IFERROR(--VLOOKUP(AL264,УГО_спр,5,FALSE),0),IFERROR(--VLOOKUP(LEFT(AL264,2),УГО_спр,5,FALSE),0)),IF(IFERROR(--LEFT(SUBSTITUTE(BQ264,"x","х"),FIND("х",SUBSTITUTE(BQ264,"x","х"))-1),3)&gt;3,Каталог!$S$9,1)))</f>
      </c>
      <c r="BX264" s="129">
        <f>IF(AY264&lt;&gt;1,0,MAX(0,IFERROR(--LEFT(SUBSTITUTE(BQ264,"x","х"),FIND("х",SUBSTITUTE(BQ264,"x","х"))-1),3)-3*BW264))</f>
      </c>
      <c r="BY264" s="129">
        <f>IF(R264="","",IFERROR(VLOOKUP(R264,УГО_спр,2,FALSE),IFERROR(VLOOKUP(AL264,УГО_спр,2,FALSE),IFERROR(VLOOKUP(LEFT(AL264,2),УГО_спр,2,FALSE),""))))</f>
      </c>
    </row>
    <row r="265" spans="1:64" x14ac:dyDescent="0.3">
      <c r="A265" s="135">
        <f>IF(Разбивка_по_щитам!F265=0,"",Разбивка_по_щитам!F265)</f>
      </c>
      <c r="B265" s="138">
        <f>IF(A265="","",Разбивка_по_щитам!C265)</f>
      </c>
      <c r="C265" s="138">
        <f t="shared" si="170"/>
      </c>
      <c r="D265" s="266"/>
      <c r="E265" s="266"/>
      <c r="F265" s="267"/>
      <c r="G265" s="145">
        <f t="shared" si="171"/>
        <v/>
      </c>
      <c r="H265" s="145">
        <f t="shared" si="172"/>
        <v/>
      </c>
      <c r="I265" s="266"/>
      <c r="J265" s="267"/>
      <c r="K265" s="267"/>
      <c r="L265" s="266"/>
      <c r="M265" s="147">
        <f t="shared" si="173"/>
        <v/>
      </c>
      <c r="N265" s="267"/>
      <c r="O265" s="147">
        <f t="shared" si="174"/>
        <v/>
      </c>
      <c r="P265" s="268">
        <f>IF(AY265=1,"XT"&amp;COUNTIFS($A$3:A265,A265,$AY$3:AY265,1),"")</f>
        <v/>
      </c>
      <c r="Q265" s="152">
        <f>IF(R265="","",IFERROR(SUBSTITUTE(Разбивка_по_щитам!P265,CHAR(10)," "),""))</f>
        <v/>
      </c>
      <c r="R265" s="153">
        <f>IF(OR(Разбивка_по_щитам!H265="",Разбивка_по_щитам!H265=0),"",Разбивка_по_щитам!H265)</f>
        <v/>
      </c>
      <c r="S265" s="154">
        <f>IF(R265="","",IFERROR(Разбивка_по_щитам!J265&amp;"",""))</f>
        <v/>
      </c>
      <c r="T265" s="155">
        <f>IF(R265="","",IFERROR(--Разбивка_по_щитам!L265,""))</f>
        <v/>
      </c>
      <c r="U265" s="155">
        <f>IF(R265="","",IFERROR(--Разбивка_по_щитам!K265,""))</f>
        <v/>
      </c>
      <c r="V265" s="138">
        <f>IF(R265="","",IFERROR(IF(Разбивка_по_щитам!M265=0,"",Разбивка_по_щитам!M265),""))</f>
        <v/>
      </c>
      <c r="W265" s="156">
        <f t="shared" si="175"/>
        <v/>
      </c>
      <c r="X265" s="157">
        <f t="shared" si="176"/>
        <v/>
      </c>
      <c r="Y265" s="266"/>
      <c r="Z265" s="158">
        <f t="shared" si="177"/>
        <v/>
      </c>
      <c r="AA265" s="160">
        <f t="shared" si="178"/>
        <v/>
      </c>
      <c r="AB265" s="160">
        <f>IF(R265="","",IFERROR(LOOKUP(INDEX(Справочная!$I$4:$I$19,MATCH(VLOOKUP(R265,Исходные_данные,22,FALSE),Справочная!$J$4:$J$19,0)+1),{6,10,16,20,25,32,40,50,63,80,100,125}),""))</f>
        <v/>
      </c>
      <c r="AC265" s="160">
        <f t="shared" si="179"/>
        <v/>
      </c>
      <c r="AD265" s="161">
        <f t="shared" si="180"/>
        <v/>
      </c>
      <c r="AE265" s="161">
        <f>IF(AND(R265="",G265=""),"",_xlfn.TEXTJOIN("; ",TRUE,IF(AND(R265&lt;&gt;"",V265=""),"нет фазы",""),IF(AND(R265&lt;&gt;"",N(T265)=0),"нет мощности",""),IF(AND(P265&lt;&gt;"",COUNTIFS($A$3:$A$1000,A265,$P$3:$P$1000,P265)&gt;1),"дубль клеммы "&amp;P265,""),IF(AND(W265&lt;&gt;"",W265&lt;&gt;"ok"),W265,""),IF(X265&lt;&gt;"",X265,""),IF(AND(ISNUMBER(SEARCH("(5х",Q265)),N(AK265)=1),"5 жил на 1 фазе",""),IF(AND(AL265="R",E265&lt;&gt;"",N(AS265)=0),"розетка без 30 мА",""),IF(IFERROR(_xlfn.NUMBERVALUE(MID(Q265,FIND("-",Q265,FIND("L=",Q265))+1,FIND("%",Q265)-FIND("-",Q265,FIND("L=",Q265))-1),","),0)&gt;4,"потери &gt; 4 %","")))</f>
      </c>
      <c r="AF265" s="129">
        <f>IF(E265&lt;&gt;"",COUNTIFS($A$3:A265,A265,$E$3:E265,"?*"),IF(OR(A265&lt;&gt;A264,Y265="вручную"),"",AF264))</f>
      </c>
      <c r="AG265" s="129">
        <f t="shared" si="181"/>
      </c>
      <c r="AH265" s="129">
        <f t="shared" si="182"/>
        <v/>
      </c>
      <c r="AI265" s="129">
        <f t="shared" si="183"/>
        <v/>
      </c>
      <c r="AJ265" s="129">
        <f t="shared" si="184"/>
        <v/>
      </c>
      <c r="AK265" s="129">
        <f t="shared" si="185"/>
        <v/>
      </c>
      <c r="AL265" s="129">
        <f t="shared" si="186"/>
        <v/>
      </c>
      <c r="AM265" s="129">
        <f t="shared" si="187"/>
      </c>
      <c r="AN265" s="129">
        <f t="shared" si="188"/>
      </c>
      <c r="AO265" s="129">
        <f t="shared" si="189"/>
        <v/>
      </c>
      <c r="AP265" s="129">
        <f t="shared" si="190"/>
        <v/>
      </c>
      <c r="AQ265" s="129">
        <f t="shared" si="191"/>
        <v/>
      </c>
      <c r="AR265" s="129">
        <f t="shared" si="192"/>
        <v/>
      </c>
      <c r="AS265" s="129">
        <f t="shared" si="193"/>
        <v/>
      </c>
      <c r="AT265" s="129">
        <f t="shared" si="194"/>
        <v/>
      </c>
      <c r="AU265" s="129">
        <f t="shared" si="195"/>
        <v/>
      </c>
      <c r="AV265" s="129">
        <f t="shared" si="196"/>
        <v/>
      </c>
      <c r="AW265" s="129">
        <f>IF(AV265="","",AV265&amp;"."&amp;COUNTIFS($A$3:A265,A265,$AV$3:AV265,AV265))</f>
        <v/>
      </c>
      <c r="AX265" s="129">
        <f t="shared" si="197"/>
        <v/>
      </c>
      <c r="AY265" s="129">
        <f>IF(N265="б/к",0,IF(OR(ISNUMBER(SEARCH("L=",Разбивка_по_щитам!P265)),N265="+",N265="="),1,0))</f>
      </c>
      <c r="AZ265" s="129">
        <f t="shared" si="198"/>
      </c>
      <c r="BA265" s="129">
        <f t="shared" si="199"/>
      </c>
      <c r="BB265" s="129">
        <f t="shared" si="200"/>
      </c>
      <c r="BD265" s="129">
        <f t="shared" si="201"/>
      </c>
      <c r="BE265" s="129">
        <f t="shared" si="202"/>
      </c>
      <c r="BF265" s="129">
        <f t="shared" si="203"/>
      </c>
      <c r="BG265" s="129">
        <f t="shared" si="204"/>
        <v/>
      </c>
      <c r="BH265" s="129">
        <f t="shared" si="205"/>
        <v/>
      </c>
      <c r="BI265" s="129">
        <f t="shared" si="206"/>
        <v/>
      </c>
      <c r="BJ265" s="129">
        <f t="shared" si="207"/>
        <v/>
      </c>
      <c r="BK265" s="129">
        <f>IF(R265="","",IF(OR(BY265="",BY265=0),"BOX",IFERROR(IF(VLOOKUP(BY265,УГО_блоки,3,FALSE)&amp;""&lt;&gt;"",VLOOKUP(BY265,УГО_блоки,3,FALSE),VLOOKUP(BY265,УГО_блоки,2,FALSE)),BY265)))</f>
      </c>
      <c r="BL265" s="129">
        <f t="shared" si="209"/>
      </c>
      <c r="BM265" s="129">
        <f>IF(H265="","",IF(COUNTIF($H$3:H265,H265)=1,MAX($BM$2:BM264)+1,""))</f>
      </c>
      <c r="BN265" s="129">
        <f>IF(I265="","",IF(COUNTIF($I$3:I265,I265)+COUNTIF($J$2:J264,I265)+COUNTIF($K$2:K264,I265)=1,MAX($BN$2:BP264)+1,""))</f>
      </c>
      <c r="BO265" s="129">
        <f>IF(J265="","",IF(COUNTIF($I$3:I265,J265)+COUNTIF($J$3:J265,J265)+COUNTIF($K$2:K264,J265)=1,MAX($BN$2:BP264,BN265)+1,""))</f>
      </c>
      <c r="BP265" s="129">
        <f>IF(K265="","",IF(COUNTIF($I$3:I265,K265)+COUNTIF($J$3:J265,K265)+COUNTIF($K$3:K265,K265)=1,MAX($BN$2:BP264,BN265,BO265)+1,""))</f>
      </c>
      <c r="BQ265" s="129">
        <f>IF(AY265=1,IFERROR(MID(Q265,FIND(" (",Q265)+2,FIND(")",Q265,FIND(" (",Q265))-FIND(" (",Q265)-2),"?"),"")</f>
      </c>
      <c r="BR265" s="129">
        <f>IF(BQ265="","",IF(COUNTIF($BQ$3:BQ265,BQ265)=1,MAX($BR$2:BR264)+1,""))</f>
      </c>
      <c r="BS265" s="129">
        <f>IF(AW265="","",COUNTIF($AW$3:AW265,"?*"))</f>
      </c>
      <c r="BT265" s="129">
        <f>IF(OR(AW265="",AI265=""),"",IF(COUNTIFS($AW$3:AW265,"?*",$AI$3:AI265,AI265)=1,MAX($BT$2:BT264)+1,""))</f>
      </c>
      <c r="BU265" s="129">
        <f>IF(AE265="",0,IF(OR(ISNUMBER(SEARCH("дубль",AE265)),ISNUMBER(SEARCH("ПЕРЕГРУЗ",AE265)),ISNUMBER(SEARCH("ЗАЩИЩ",AE265)),ISNUMBER(SEARCH("КАНАЛ",AE265)),ISNUMBER(SEARCH("без 30",AE265))),2,1))</f>
      </c>
      <c r="BV265" s="129">
        <f>IF(R265="","",COUNTIF($R$3:R265,"?*"))</f>
      </c>
      <c r="BW265" s="129">
        <f>IF(AY265&lt;&gt;1,0,IF(MAX(IFERROR(--VLOOKUP(R265,УГО_спр,5,FALSE),0),IFERROR(--VLOOKUP(AL265,УГО_спр,5,FALSE),0),IFERROR(--VLOOKUP(LEFT(AL265,2),УГО_спр,5,FALSE),0))&gt;0,MAX(IFERROR(--VLOOKUP(R265,УГО_спр,5,FALSE),0),IFERROR(--VLOOKUP(AL265,УГО_спр,5,FALSE),0),IFERROR(--VLOOKUP(LEFT(AL265,2),УГО_спр,5,FALSE),0)),IF(IFERROR(--LEFT(SUBSTITUTE(BQ265,"x","х"),FIND("х",SUBSTITUTE(BQ265,"x","х"))-1),3)&gt;3,Каталог!$S$9,1)))</f>
      </c>
      <c r="BX265" s="129">
        <f>IF(AY265&lt;&gt;1,0,MAX(0,IFERROR(--LEFT(SUBSTITUTE(BQ265,"x","х"),FIND("х",SUBSTITUTE(BQ265,"x","х"))-1),3)-3*BW265))</f>
      </c>
      <c r="BY265" s="129">
        <f>IF(R265="","",IFERROR(VLOOKUP(R265,УГО_спр,2,FALSE),IFERROR(VLOOKUP(AL265,УГО_спр,2,FALSE),IFERROR(VLOOKUP(LEFT(AL265,2),УГО_спр,2,FALSE),""))))</f>
      </c>
    </row>
    <row r="266" spans="1:64" x14ac:dyDescent="0.3">
      <c r="A266" s="135">
        <f>IF(Разбивка_по_щитам!F266=0,"",Разбивка_по_щитам!F266)</f>
      </c>
      <c r="B266" s="138">
        <f>IF(A266="","",Разбивка_по_щитам!C266)</f>
      </c>
      <c r="C266" s="138">
        <f t="shared" si="170"/>
      </c>
      <c r="D266" s="266"/>
      <c r="E266" s="266"/>
      <c r="F266" s="267"/>
      <c r="G266" s="145">
        <f t="shared" si="171"/>
        <v/>
      </c>
      <c r="H266" s="145">
        <f t="shared" si="172"/>
        <v/>
      </c>
      <c r="I266" s="266"/>
      <c r="J266" s="267"/>
      <c r="K266" s="267"/>
      <c r="L266" s="266"/>
      <c r="M266" s="147">
        <f t="shared" si="173"/>
        <v/>
      </c>
      <c r="N266" s="267"/>
      <c r="O266" s="147">
        <f t="shared" si="174"/>
        <v/>
      </c>
      <c r="P266" s="268">
        <f>IF(AY266=1,"XT"&amp;COUNTIFS($A$3:A266,A266,$AY$3:AY266,1),"")</f>
        <v/>
      </c>
      <c r="Q266" s="152">
        <f>IF(R266="","",IFERROR(SUBSTITUTE(Разбивка_по_щитам!P266,CHAR(10)," "),""))</f>
        <v/>
      </c>
      <c r="R266" s="153">
        <f>IF(OR(Разбивка_по_щитам!H266="",Разбивка_по_щитам!H266=0),"",Разбивка_по_щитам!H266)</f>
        <v/>
      </c>
      <c r="S266" s="154">
        <f>IF(R266="","",IFERROR(Разбивка_по_щитам!J266&amp;"",""))</f>
        <v/>
      </c>
      <c r="T266" s="155">
        <f>IF(R266="","",IFERROR(--Разбивка_по_щитам!L266,""))</f>
        <v/>
      </c>
      <c r="U266" s="155">
        <f>IF(R266="","",IFERROR(--Разбивка_по_щитам!K266,""))</f>
        <v/>
      </c>
      <c r="V266" s="138">
        <f>IF(R266="","",IFERROR(IF(Разбивка_по_щитам!M266=0,"",Разбивка_по_щитам!M266),""))</f>
        <v/>
      </c>
      <c r="W266" s="156">
        <f t="shared" si="175"/>
        <v/>
      </c>
      <c r="X266" s="157">
        <f t="shared" si="176"/>
        <v/>
      </c>
      <c r="Y266" s="266"/>
      <c r="Z266" s="158">
        <f t="shared" si="177"/>
        <v/>
      </c>
      <c r="AA266" s="160">
        <f t="shared" si="178"/>
        <v/>
      </c>
      <c r="AB266" s="160">
        <f>IF(R266="","",IFERROR(LOOKUP(INDEX(Справочная!$I$4:$I$19,MATCH(VLOOKUP(R266,Исходные_данные,22,FALSE),Справочная!$J$4:$J$19,0)+1),{6,10,16,20,25,32,40,50,63,80,100,125}),""))</f>
        <v/>
      </c>
      <c r="AC266" s="160">
        <f t="shared" si="179"/>
        <v/>
      </c>
      <c r="AD266" s="161">
        <f t="shared" si="180"/>
        <v/>
      </c>
      <c r="AE266" s="161">
        <f>IF(AND(R266="",G266=""),"",_xlfn.TEXTJOIN("; ",TRUE,IF(AND(R266&lt;&gt;"",V266=""),"нет фазы",""),IF(AND(R266&lt;&gt;"",N(T266)=0),"нет мощности",""),IF(AND(P266&lt;&gt;"",COUNTIFS($A$3:$A$1000,A266,$P$3:$P$1000,P266)&gt;1),"дубль клеммы "&amp;P266,""),IF(AND(W266&lt;&gt;"",W266&lt;&gt;"ok"),W266,""),IF(X266&lt;&gt;"",X266,""),IF(AND(ISNUMBER(SEARCH("(5х",Q266)),N(AK266)=1),"5 жил на 1 фазе",""),IF(AND(AL266="R",E266&lt;&gt;"",N(AS266)=0),"розетка без 30 мА",""),IF(IFERROR(_xlfn.NUMBERVALUE(MID(Q266,FIND("-",Q266,FIND("L=",Q266))+1,FIND("%",Q266)-FIND("-",Q266,FIND("L=",Q266))-1),","),0)&gt;4,"потери &gt; 4 %","")))</f>
      </c>
      <c r="AF266" s="129">
        <f>IF(E266&lt;&gt;"",COUNTIFS($A$3:A266,A266,$E$3:E266,"?*"),IF(OR(A266&lt;&gt;A265,Y266="вручную"),"",AF265))</f>
      </c>
      <c r="AG266" s="129">
        <f t="shared" si="181"/>
      </c>
      <c r="AH266" s="129">
        <f t="shared" si="182"/>
        <v/>
      </c>
      <c r="AI266" s="129">
        <f t="shared" si="183"/>
        <v/>
      </c>
      <c r="AJ266" s="129">
        <f t="shared" si="184"/>
        <v/>
      </c>
      <c r="AK266" s="129">
        <f t="shared" si="185"/>
        <v/>
      </c>
      <c r="AL266" s="129">
        <f t="shared" si="186"/>
        <v/>
      </c>
      <c r="AM266" s="129">
        <f t="shared" si="187"/>
      </c>
      <c r="AN266" s="129">
        <f t="shared" si="188"/>
      </c>
      <c r="AO266" s="129">
        <f t="shared" si="189"/>
        <v/>
      </c>
      <c r="AP266" s="129">
        <f t="shared" si="190"/>
        <v/>
      </c>
      <c r="AQ266" s="129">
        <f t="shared" si="191"/>
        <v/>
      </c>
      <c r="AR266" s="129">
        <f t="shared" si="192"/>
        <v/>
      </c>
      <c r="AS266" s="129">
        <f t="shared" si="193"/>
        <v/>
      </c>
      <c r="AT266" s="129">
        <f t="shared" si="194"/>
        <v/>
      </c>
      <c r="AU266" s="129">
        <f t="shared" si="195"/>
        <v/>
      </c>
      <c r="AV266" s="129">
        <f t="shared" si="196"/>
        <v/>
      </c>
      <c r="AW266" s="129">
        <f>IF(AV266="","",AV266&amp;"."&amp;COUNTIFS($A$3:A266,A266,$AV$3:AV266,AV266))</f>
        <v/>
      </c>
      <c r="AX266" s="129">
        <f t="shared" si="197"/>
        <v/>
      </c>
      <c r="AY266" s="129">
        <f>IF(N266="б/к",0,IF(OR(ISNUMBER(SEARCH("L=",Разбивка_по_щитам!P266)),N266="+",N266="="),1,0))</f>
      </c>
      <c r="AZ266" s="129">
        <f t="shared" si="198"/>
      </c>
      <c r="BA266" s="129">
        <f t="shared" si="199"/>
      </c>
      <c r="BB266" s="129">
        <f t="shared" si="200"/>
      </c>
      <c r="BD266" s="129">
        <f t="shared" si="201"/>
      </c>
      <c r="BE266" s="129">
        <f t="shared" si="202"/>
      </c>
      <c r="BF266" s="129">
        <f t="shared" si="203"/>
      </c>
      <c r="BG266" s="129">
        <f t="shared" si="204"/>
        <v/>
      </c>
      <c r="BH266" s="129">
        <f t="shared" si="205"/>
        <v/>
      </c>
      <c r="BI266" s="129">
        <f t="shared" si="206"/>
        <v/>
      </c>
      <c r="BJ266" s="129">
        <f t="shared" si="207"/>
        <v/>
      </c>
      <c r="BK266" s="129">
        <f>IF(R266="","",IF(OR(BY266="",BY266=0),"BOX",IFERROR(IF(VLOOKUP(BY266,УГО_блоки,3,FALSE)&amp;""&lt;&gt;"",VLOOKUP(BY266,УГО_блоки,3,FALSE),VLOOKUP(BY266,УГО_блоки,2,FALSE)),BY266)))</f>
      </c>
      <c r="BL266" s="129">
        <f t="shared" si="209"/>
      </c>
      <c r="BM266" s="129">
        <f>IF(H266="","",IF(COUNTIF($H$3:H266,H266)=1,MAX($BM$2:BM265)+1,""))</f>
      </c>
      <c r="BN266" s="129">
        <f>IF(I266="","",IF(COUNTIF($I$3:I266,I266)+COUNTIF($J$2:J265,I266)+COUNTIF($K$2:K265,I266)=1,MAX($BN$2:BP265)+1,""))</f>
      </c>
      <c r="BO266" s="129">
        <f>IF(J266="","",IF(COUNTIF($I$3:I266,J266)+COUNTIF($J$3:J266,J266)+COUNTIF($K$2:K265,J266)=1,MAX($BN$2:BP265,BN266)+1,""))</f>
      </c>
      <c r="BP266" s="129">
        <f>IF(K266="","",IF(COUNTIF($I$3:I266,K266)+COUNTIF($J$3:J266,K266)+COUNTIF($K$3:K266,K266)=1,MAX($BN$2:BP265,BN266,BO266)+1,""))</f>
      </c>
      <c r="BQ266" s="129">
        <f>IF(AY266=1,IFERROR(MID(Q266,FIND(" (",Q266)+2,FIND(")",Q266,FIND(" (",Q266))-FIND(" (",Q266)-2),"?"),"")</f>
      </c>
      <c r="BR266" s="129">
        <f>IF(BQ266="","",IF(COUNTIF($BQ$3:BQ266,BQ266)=1,MAX($BR$2:BR265)+1,""))</f>
      </c>
      <c r="BS266" s="129">
        <f>IF(AW266="","",COUNTIF($AW$3:AW266,"?*"))</f>
      </c>
      <c r="BT266" s="129">
        <f>IF(OR(AW266="",AI266=""),"",IF(COUNTIFS($AW$3:AW266,"?*",$AI$3:AI266,AI266)=1,MAX($BT$2:BT265)+1,""))</f>
      </c>
      <c r="BU266" s="129">
        <f>IF(AE266="",0,IF(OR(ISNUMBER(SEARCH("дубль",AE266)),ISNUMBER(SEARCH("ПЕРЕГРУЗ",AE266)),ISNUMBER(SEARCH("ЗАЩИЩ",AE266)),ISNUMBER(SEARCH("КАНАЛ",AE266)),ISNUMBER(SEARCH("без 30",AE266))),2,1))</f>
      </c>
      <c r="BV266" s="129">
        <f>IF(R266="","",COUNTIF($R$3:R266,"?*"))</f>
      </c>
      <c r="BW266" s="129">
        <f>IF(AY266&lt;&gt;1,0,IF(MAX(IFERROR(--VLOOKUP(R266,УГО_спр,5,FALSE),0),IFERROR(--VLOOKUP(AL266,УГО_спр,5,FALSE),0),IFERROR(--VLOOKUP(LEFT(AL266,2),УГО_спр,5,FALSE),0))&gt;0,MAX(IFERROR(--VLOOKUP(R266,УГО_спр,5,FALSE),0),IFERROR(--VLOOKUP(AL266,УГО_спр,5,FALSE),0),IFERROR(--VLOOKUP(LEFT(AL266,2),УГО_спр,5,FALSE),0)),IF(IFERROR(--LEFT(SUBSTITUTE(BQ266,"x","х"),FIND("х",SUBSTITUTE(BQ266,"x","х"))-1),3)&gt;3,Каталог!$S$9,1)))</f>
      </c>
      <c r="BX266" s="129">
        <f>IF(AY266&lt;&gt;1,0,MAX(0,IFERROR(--LEFT(SUBSTITUTE(BQ266,"x","х"),FIND("х",SUBSTITUTE(BQ266,"x","х"))-1),3)-3*BW266))</f>
      </c>
      <c r="BY266" s="129">
        <f>IF(R266="","",IFERROR(VLOOKUP(R266,УГО_спр,2,FALSE),IFERROR(VLOOKUP(AL266,УГО_спр,2,FALSE),IFERROR(VLOOKUP(LEFT(AL266,2),УГО_спр,2,FALSE),""))))</f>
      </c>
    </row>
    <row r="267" spans="1:64" x14ac:dyDescent="0.3">
      <c r="A267" s="135">
        <f>IF(Разбивка_по_щитам!F267=0,"",Разбивка_по_щитам!F267)</f>
      </c>
      <c r="B267" s="138">
        <f>IF(A267="","",Разбивка_по_щитам!C267)</f>
      </c>
      <c r="C267" s="138">
        <f t="shared" si="170"/>
      </c>
      <c r="D267" s="266"/>
      <c r="E267" s="266"/>
      <c r="F267" s="267"/>
      <c r="G267" s="145">
        <f t="shared" si="171"/>
        <v/>
      </c>
      <c r="H267" s="145">
        <f t="shared" si="172"/>
        <v/>
      </c>
      <c r="I267" s="266"/>
      <c r="J267" s="267"/>
      <c r="K267" s="267"/>
      <c r="L267" s="266"/>
      <c r="M267" s="147">
        <f t="shared" si="173"/>
        <v/>
      </c>
      <c r="N267" s="267"/>
      <c r="O267" s="147">
        <f t="shared" si="174"/>
        <v/>
      </c>
      <c r="P267" s="268">
        <f>IF(AY267=1,"XT"&amp;COUNTIFS($A$3:A267,A267,$AY$3:AY267,1),"")</f>
        <v/>
      </c>
      <c r="Q267" s="152">
        <f>IF(R267="","",IFERROR(SUBSTITUTE(Разбивка_по_щитам!P267,CHAR(10)," "),""))</f>
        <v/>
      </c>
      <c r="R267" s="153">
        <f>IF(OR(Разбивка_по_щитам!H267="",Разбивка_по_щитам!H267=0),"",Разбивка_по_щитам!H267)</f>
        <v/>
      </c>
      <c r="S267" s="154">
        <f>IF(R267="","",IFERROR(Разбивка_по_щитам!J267&amp;"",""))</f>
        <v/>
      </c>
      <c r="T267" s="155">
        <f>IF(R267="","",IFERROR(--Разбивка_по_щитам!L267,""))</f>
        <v/>
      </c>
      <c r="U267" s="155">
        <f>IF(R267="","",IFERROR(--Разбивка_по_щитам!K267,""))</f>
        <v/>
      </c>
      <c r="V267" s="138">
        <f>IF(R267="","",IFERROR(IF(Разбивка_по_щитам!M267=0,"",Разбивка_по_щитам!M267),""))</f>
        <v/>
      </c>
      <c r="W267" s="156">
        <f t="shared" si="175"/>
        <v/>
      </c>
      <c r="X267" s="157">
        <f t="shared" si="176"/>
        <v/>
      </c>
      <c r="Y267" s="266"/>
      <c r="Z267" s="158">
        <f t="shared" si="177"/>
        <v/>
      </c>
      <c r="AA267" s="160">
        <f t="shared" si="178"/>
        <v/>
      </c>
      <c r="AB267" s="160">
        <f>IF(R267="","",IFERROR(LOOKUP(INDEX(Справочная!$I$4:$I$19,MATCH(VLOOKUP(R267,Исходные_данные,22,FALSE),Справочная!$J$4:$J$19,0)+1),{6,10,16,20,25,32,40,50,63,80,100,125}),""))</f>
        <v/>
      </c>
      <c r="AC267" s="160">
        <f t="shared" si="179"/>
        <v/>
      </c>
      <c r="AD267" s="161">
        <f t="shared" si="180"/>
        <v/>
      </c>
      <c r="AE267" s="161">
        <f>IF(AND(R267="",G267=""),"",_xlfn.TEXTJOIN("; ",TRUE,IF(AND(R267&lt;&gt;"",V267=""),"нет фазы",""),IF(AND(R267&lt;&gt;"",N(T267)=0),"нет мощности",""),IF(AND(P267&lt;&gt;"",COUNTIFS($A$3:$A$1000,A267,$P$3:$P$1000,P267)&gt;1),"дубль клеммы "&amp;P267,""),IF(AND(W267&lt;&gt;"",W267&lt;&gt;"ok"),W267,""),IF(X267&lt;&gt;"",X267,""),IF(AND(ISNUMBER(SEARCH("(5х",Q267)),N(AK267)=1),"5 жил на 1 фазе",""),IF(AND(AL267="R",E267&lt;&gt;"",N(AS267)=0),"розетка без 30 мА",""),IF(IFERROR(_xlfn.NUMBERVALUE(MID(Q267,FIND("-",Q267,FIND("L=",Q267))+1,FIND("%",Q267)-FIND("-",Q267,FIND("L=",Q267))-1),","),0)&gt;4,"потери &gt; 4 %","")))</f>
      </c>
      <c r="AF267" s="129">
        <f>IF(E267&lt;&gt;"",COUNTIFS($A$3:A267,A267,$E$3:E267,"?*"),IF(OR(A267&lt;&gt;A266,Y267="вручную"),"",AF266))</f>
      </c>
      <c r="AG267" s="129">
        <f t="shared" si="181"/>
      </c>
      <c r="AH267" s="129">
        <f t="shared" si="182"/>
        <v/>
      </c>
      <c r="AI267" s="129">
        <f t="shared" si="183"/>
        <v/>
      </c>
      <c r="AJ267" s="129">
        <f t="shared" si="184"/>
        <v/>
      </c>
      <c r="AK267" s="129">
        <f t="shared" si="185"/>
        <v/>
      </c>
      <c r="AL267" s="129">
        <f t="shared" si="186"/>
        <v/>
      </c>
      <c r="AM267" s="129">
        <f t="shared" si="187"/>
      </c>
      <c r="AN267" s="129">
        <f t="shared" si="188"/>
      </c>
      <c r="AO267" s="129">
        <f t="shared" si="189"/>
        <v/>
      </c>
      <c r="AP267" s="129">
        <f t="shared" si="190"/>
        <v/>
      </c>
      <c r="AQ267" s="129">
        <f t="shared" si="191"/>
        <v/>
      </c>
      <c r="AR267" s="129">
        <f t="shared" si="192"/>
        <v/>
      </c>
      <c r="AS267" s="129">
        <f t="shared" si="193"/>
        <v/>
      </c>
      <c r="AT267" s="129">
        <f t="shared" si="194"/>
        <v/>
      </c>
      <c r="AU267" s="129">
        <f t="shared" si="195"/>
        <v/>
      </c>
      <c r="AV267" s="129">
        <f t="shared" si="196"/>
        <v/>
      </c>
      <c r="AW267" s="129">
        <f>IF(AV267="","",AV267&amp;"."&amp;COUNTIFS($A$3:A267,A267,$AV$3:AV267,AV267))</f>
        <v/>
      </c>
      <c r="AX267" s="129">
        <f t="shared" si="197"/>
        <v/>
      </c>
      <c r="AY267" s="129">
        <f>IF(N267="б/к",0,IF(OR(ISNUMBER(SEARCH("L=",Разбивка_по_щитам!P267)),N267="+",N267="="),1,0))</f>
      </c>
      <c r="AZ267" s="129">
        <f t="shared" si="198"/>
      </c>
      <c r="BA267" s="129">
        <f t="shared" si="199"/>
      </c>
      <c r="BB267" s="129">
        <f t="shared" si="200"/>
      </c>
      <c r="BD267" s="129">
        <f t="shared" si="201"/>
      </c>
      <c r="BE267" s="129">
        <f t="shared" si="202"/>
      </c>
      <c r="BF267" s="129">
        <f t="shared" si="203"/>
      </c>
      <c r="BG267" s="129">
        <f t="shared" si="204"/>
        <v/>
      </c>
      <c r="BH267" s="129">
        <f t="shared" si="205"/>
        <v/>
      </c>
      <c r="BI267" s="129">
        <f t="shared" si="206"/>
        <v/>
      </c>
      <c r="BJ267" s="129">
        <f t="shared" si="207"/>
        <v/>
      </c>
      <c r="BK267" s="129">
        <f>IF(R267="","",IF(OR(BY267="",BY267=0),"BOX",IFERROR(IF(VLOOKUP(BY267,УГО_блоки,3,FALSE)&amp;""&lt;&gt;"",VLOOKUP(BY267,УГО_блоки,3,FALSE),VLOOKUP(BY267,УГО_блоки,2,FALSE)),BY267)))</f>
      </c>
      <c r="BL267" s="129">
        <f t="shared" si="209"/>
      </c>
      <c r="BM267" s="129">
        <f>IF(H267="","",IF(COUNTIF($H$3:H267,H267)=1,MAX($BM$2:BM266)+1,""))</f>
      </c>
      <c r="BN267" s="129">
        <f>IF(I267="","",IF(COUNTIF($I$3:I267,I267)+COUNTIF($J$2:J266,I267)+COUNTIF($K$2:K266,I267)=1,MAX($BN$2:BP266)+1,""))</f>
      </c>
      <c r="BO267" s="129">
        <f>IF(J267="","",IF(COUNTIF($I$3:I267,J267)+COUNTIF($J$3:J267,J267)+COUNTIF($K$2:K266,J267)=1,MAX($BN$2:BP266,BN267)+1,""))</f>
      </c>
      <c r="BP267" s="129">
        <f>IF(K267="","",IF(COUNTIF($I$3:I267,K267)+COUNTIF($J$3:J267,K267)+COUNTIF($K$3:K267,K267)=1,MAX($BN$2:BP266,BN267,BO267)+1,""))</f>
      </c>
      <c r="BQ267" s="129">
        <f>IF(AY267=1,IFERROR(MID(Q267,FIND(" (",Q267)+2,FIND(")",Q267,FIND(" (",Q267))-FIND(" (",Q267)-2),"?"),"")</f>
      </c>
      <c r="BR267" s="129">
        <f>IF(BQ267="","",IF(COUNTIF($BQ$3:BQ267,BQ267)=1,MAX($BR$2:BR266)+1,""))</f>
      </c>
      <c r="BS267" s="129">
        <f>IF(AW267="","",COUNTIF($AW$3:AW267,"?*"))</f>
      </c>
      <c r="BT267" s="129">
        <f>IF(OR(AW267="",AI267=""),"",IF(COUNTIFS($AW$3:AW267,"?*",$AI$3:AI267,AI267)=1,MAX($BT$2:BT266)+1,""))</f>
      </c>
      <c r="BU267" s="129">
        <f>IF(AE267="",0,IF(OR(ISNUMBER(SEARCH("дубль",AE267)),ISNUMBER(SEARCH("ПЕРЕГРУЗ",AE267)),ISNUMBER(SEARCH("ЗАЩИЩ",AE267)),ISNUMBER(SEARCH("КАНАЛ",AE267)),ISNUMBER(SEARCH("без 30",AE267))),2,1))</f>
      </c>
      <c r="BV267" s="129">
        <f>IF(R267="","",COUNTIF($R$3:R267,"?*"))</f>
      </c>
      <c r="BW267" s="129">
        <f>IF(AY267&lt;&gt;1,0,IF(MAX(IFERROR(--VLOOKUP(R267,УГО_спр,5,FALSE),0),IFERROR(--VLOOKUP(AL267,УГО_спр,5,FALSE),0),IFERROR(--VLOOKUP(LEFT(AL267,2),УГО_спр,5,FALSE),0))&gt;0,MAX(IFERROR(--VLOOKUP(R267,УГО_спр,5,FALSE),0),IFERROR(--VLOOKUP(AL267,УГО_спр,5,FALSE),0),IFERROR(--VLOOKUP(LEFT(AL267,2),УГО_спр,5,FALSE),0)),IF(IFERROR(--LEFT(SUBSTITUTE(BQ267,"x","х"),FIND("х",SUBSTITUTE(BQ267,"x","х"))-1),3)&gt;3,Каталог!$S$9,1)))</f>
      </c>
      <c r="BX267" s="129">
        <f>IF(AY267&lt;&gt;1,0,MAX(0,IFERROR(--LEFT(SUBSTITUTE(BQ267,"x","х"),FIND("х",SUBSTITUTE(BQ267,"x","х"))-1),3)-3*BW267))</f>
      </c>
      <c r="BY267" s="129">
        <f>IF(R267="","",IFERROR(VLOOKUP(R267,УГО_спр,2,FALSE),IFERROR(VLOOKUP(AL267,УГО_спр,2,FALSE),IFERROR(VLOOKUP(LEFT(AL267,2),УГО_спр,2,FALSE),""))))</f>
      </c>
    </row>
    <row r="268" spans="1:64" x14ac:dyDescent="0.3">
      <c r="A268" s="135">
        <f>IF(Разбивка_по_щитам!F268=0,"",Разбивка_по_щитам!F268)</f>
      </c>
      <c r="B268" s="138">
        <f>IF(A268="","",Разбивка_по_щитам!C268)</f>
      </c>
      <c r="C268" s="138">
        <f t="shared" si="170"/>
      </c>
      <c r="D268" s="266"/>
      <c r="E268" s="266"/>
      <c r="F268" s="267"/>
      <c r="G268" s="145">
        <f t="shared" si="171"/>
        <v/>
      </c>
      <c r="H268" s="145">
        <f t="shared" si="172"/>
        <v/>
      </c>
      <c r="I268" s="266"/>
      <c r="J268" s="267"/>
      <c r="K268" s="267"/>
      <c r="L268" s="266"/>
      <c r="M268" s="147">
        <f t="shared" si="173"/>
        <v/>
      </c>
      <c r="N268" s="267"/>
      <c r="O268" s="147">
        <f t="shared" si="174"/>
        <v/>
      </c>
      <c r="P268" s="268">
        <f>IF(AY268=1,"XT"&amp;COUNTIFS($A$3:A268,A268,$AY$3:AY268,1),"")</f>
        <v/>
      </c>
      <c r="Q268" s="152">
        <f>IF(R268="","",IFERROR(SUBSTITUTE(Разбивка_по_щитам!P268,CHAR(10)," "),""))</f>
        <v/>
      </c>
      <c r="R268" s="153">
        <f>IF(OR(Разбивка_по_щитам!H268="",Разбивка_по_щитам!H268=0),"",Разбивка_по_щитам!H268)</f>
        <v/>
      </c>
      <c r="S268" s="154">
        <f>IF(R268="","",IFERROR(Разбивка_по_щитам!J268&amp;"",""))</f>
        <v/>
      </c>
      <c r="T268" s="155">
        <f>IF(R268="","",IFERROR(--Разбивка_по_щитам!L268,""))</f>
        <v/>
      </c>
      <c r="U268" s="155">
        <f>IF(R268="","",IFERROR(--Разбивка_по_щитам!K268,""))</f>
        <v/>
      </c>
      <c r="V268" s="138">
        <f>IF(R268="","",IFERROR(IF(Разбивка_по_щитам!M268=0,"",Разбивка_по_щитам!M268),""))</f>
        <v/>
      </c>
      <c r="W268" s="156">
        <f t="shared" si="175"/>
        <v/>
      </c>
      <c r="X268" s="157">
        <f t="shared" si="176"/>
        <v/>
      </c>
      <c r="Y268" s="266"/>
      <c r="Z268" s="158">
        <f t="shared" si="177"/>
        <v/>
      </c>
      <c r="AA268" s="160">
        <f t="shared" si="178"/>
        <v/>
      </c>
      <c r="AB268" s="160">
        <f>IF(R268="","",IFERROR(LOOKUP(INDEX(Справочная!$I$4:$I$19,MATCH(VLOOKUP(R268,Исходные_данные,22,FALSE),Справочная!$J$4:$J$19,0)+1),{6,10,16,20,25,32,40,50,63,80,100,125}),""))</f>
        <v/>
      </c>
      <c r="AC268" s="160">
        <f t="shared" si="179"/>
        <v/>
      </c>
      <c r="AD268" s="161">
        <f t="shared" si="180"/>
        <v/>
      </c>
      <c r="AE268" s="161">
        <f>IF(AND(R268="",G268=""),"",_xlfn.TEXTJOIN("; ",TRUE,IF(AND(R268&lt;&gt;"",V268=""),"нет фазы",""),IF(AND(R268&lt;&gt;"",N(T268)=0),"нет мощности",""),IF(AND(P268&lt;&gt;"",COUNTIFS($A$3:$A$1000,A268,$P$3:$P$1000,P268)&gt;1),"дубль клеммы "&amp;P268,""),IF(AND(W268&lt;&gt;"",W268&lt;&gt;"ok"),W268,""),IF(X268&lt;&gt;"",X268,""),IF(AND(ISNUMBER(SEARCH("(5х",Q268)),N(AK268)=1),"5 жил на 1 фазе",""),IF(AND(AL268="R",E268&lt;&gt;"",N(AS268)=0),"розетка без 30 мА",""),IF(IFERROR(_xlfn.NUMBERVALUE(MID(Q268,FIND("-",Q268,FIND("L=",Q268))+1,FIND("%",Q268)-FIND("-",Q268,FIND("L=",Q268))-1),","),0)&gt;4,"потери &gt; 4 %","")))</f>
      </c>
      <c r="AF268" s="129">
        <f>IF(E268&lt;&gt;"",COUNTIFS($A$3:A268,A268,$E$3:E268,"?*"),IF(OR(A268&lt;&gt;A267,Y268="вручную"),"",AF267))</f>
      </c>
      <c r="AG268" s="129">
        <f t="shared" si="181"/>
      </c>
      <c r="AH268" s="129">
        <f t="shared" si="182"/>
        <v/>
      </c>
      <c r="AI268" s="129">
        <f t="shared" si="183"/>
        <v/>
      </c>
      <c r="AJ268" s="129">
        <f t="shared" si="184"/>
        <v/>
      </c>
      <c r="AK268" s="129">
        <f t="shared" si="185"/>
        <v/>
      </c>
      <c r="AL268" s="129">
        <f t="shared" si="186"/>
        <v/>
      </c>
      <c r="AM268" s="129">
        <f t="shared" si="187"/>
      </c>
      <c r="AN268" s="129">
        <f t="shared" si="188"/>
      </c>
      <c r="AO268" s="129">
        <f t="shared" si="189"/>
        <v/>
      </c>
      <c r="AP268" s="129">
        <f t="shared" si="190"/>
        <v/>
      </c>
      <c r="AQ268" s="129">
        <f t="shared" si="191"/>
        <v/>
      </c>
      <c r="AR268" s="129">
        <f t="shared" si="192"/>
        <v/>
      </c>
      <c r="AS268" s="129">
        <f t="shared" si="193"/>
        <v/>
      </c>
      <c r="AT268" s="129">
        <f t="shared" si="194"/>
        <v/>
      </c>
      <c r="AU268" s="129">
        <f t="shared" si="195"/>
        <v/>
      </c>
      <c r="AV268" s="129">
        <f t="shared" si="196"/>
        <v/>
      </c>
      <c r="AW268" s="129">
        <f>IF(AV268="","",AV268&amp;"."&amp;COUNTIFS($A$3:A268,A268,$AV$3:AV268,AV268))</f>
        <v/>
      </c>
      <c r="AX268" s="129">
        <f t="shared" si="197"/>
        <v/>
      </c>
      <c r="AY268" s="129">
        <f>IF(N268="б/к",0,IF(OR(ISNUMBER(SEARCH("L=",Разбивка_по_щитам!P268)),N268="+",N268="="),1,0))</f>
      </c>
      <c r="AZ268" s="129">
        <f t="shared" si="198"/>
      </c>
      <c r="BA268" s="129">
        <f t="shared" si="199"/>
      </c>
      <c r="BB268" s="129">
        <f t="shared" si="200"/>
      </c>
      <c r="BD268" s="129">
        <f t="shared" si="201"/>
      </c>
      <c r="BE268" s="129">
        <f t="shared" si="202"/>
      </c>
      <c r="BF268" s="129">
        <f t="shared" si="203"/>
      </c>
      <c r="BG268" s="129">
        <f t="shared" si="204"/>
        <v/>
      </c>
      <c r="BH268" s="129">
        <f t="shared" si="205"/>
        <v/>
      </c>
      <c r="BI268" s="129">
        <f t="shared" si="206"/>
        <v/>
      </c>
      <c r="BJ268" s="129">
        <f t="shared" si="207"/>
        <v/>
      </c>
      <c r="BK268" s="129">
        <f>IF(R268="","",IF(OR(BY268="",BY268=0),"BOX",IFERROR(IF(VLOOKUP(BY268,УГО_блоки,3,FALSE)&amp;""&lt;&gt;"",VLOOKUP(BY268,УГО_блоки,3,FALSE),VLOOKUP(BY268,УГО_блоки,2,FALSE)),BY268)))</f>
      </c>
      <c r="BL268" s="129">
        <f t="shared" si="209"/>
      </c>
      <c r="BM268" s="129">
        <f>IF(H268="","",IF(COUNTIF($H$3:H268,H268)=1,MAX($BM$2:BM267)+1,""))</f>
      </c>
      <c r="BN268" s="129">
        <f>IF(I268="","",IF(COUNTIF($I$3:I268,I268)+COUNTIF($J$2:J267,I268)+COUNTIF($K$2:K267,I268)=1,MAX($BN$2:BP267)+1,""))</f>
      </c>
      <c r="BO268" s="129">
        <f>IF(J268="","",IF(COUNTIF($I$3:I268,J268)+COUNTIF($J$3:J268,J268)+COUNTIF($K$2:K267,J268)=1,MAX($BN$2:BP267,BN268)+1,""))</f>
      </c>
      <c r="BP268" s="129">
        <f>IF(K268="","",IF(COUNTIF($I$3:I268,K268)+COUNTIF($J$3:J268,K268)+COUNTIF($K$3:K268,K268)=1,MAX($BN$2:BP267,BN268,BO268)+1,""))</f>
      </c>
      <c r="BQ268" s="129">
        <f>IF(AY268=1,IFERROR(MID(Q268,FIND(" (",Q268)+2,FIND(")",Q268,FIND(" (",Q268))-FIND(" (",Q268)-2),"?"),"")</f>
      </c>
      <c r="BR268" s="129">
        <f>IF(BQ268="","",IF(COUNTIF($BQ$3:BQ268,BQ268)=1,MAX($BR$2:BR267)+1,""))</f>
      </c>
      <c r="BS268" s="129">
        <f>IF(AW268="","",COUNTIF($AW$3:AW268,"?*"))</f>
      </c>
      <c r="BT268" s="129">
        <f>IF(OR(AW268="",AI268=""),"",IF(COUNTIFS($AW$3:AW268,"?*",$AI$3:AI268,AI268)=1,MAX($BT$2:BT267)+1,""))</f>
      </c>
      <c r="BU268" s="129">
        <f>IF(AE268="",0,IF(OR(ISNUMBER(SEARCH("дубль",AE268)),ISNUMBER(SEARCH("ПЕРЕГРУЗ",AE268)),ISNUMBER(SEARCH("ЗАЩИЩ",AE268)),ISNUMBER(SEARCH("КАНАЛ",AE268)),ISNUMBER(SEARCH("без 30",AE268))),2,1))</f>
      </c>
      <c r="BV268" s="129">
        <f>IF(R268="","",COUNTIF($R$3:R268,"?*"))</f>
      </c>
      <c r="BW268" s="129">
        <f>IF(AY268&lt;&gt;1,0,IF(MAX(IFERROR(--VLOOKUP(R268,УГО_спр,5,FALSE),0),IFERROR(--VLOOKUP(AL268,УГО_спр,5,FALSE),0),IFERROR(--VLOOKUP(LEFT(AL268,2),УГО_спр,5,FALSE),0))&gt;0,MAX(IFERROR(--VLOOKUP(R268,УГО_спр,5,FALSE),0),IFERROR(--VLOOKUP(AL268,УГО_спр,5,FALSE),0),IFERROR(--VLOOKUP(LEFT(AL268,2),УГО_спр,5,FALSE),0)),IF(IFERROR(--LEFT(SUBSTITUTE(BQ268,"x","х"),FIND("х",SUBSTITUTE(BQ268,"x","х"))-1),3)&gt;3,Каталог!$S$9,1)))</f>
      </c>
      <c r="BX268" s="129">
        <f>IF(AY268&lt;&gt;1,0,MAX(0,IFERROR(--LEFT(SUBSTITUTE(BQ268,"x","х"),FIND("х",SUBSTITUTE(BQ268,"x","х"))-1),3)-3*BW268))</f>
      </c>
      <c r="BY268" s="129">
        <f>IF(R268="","",IFERROR(VLOOKUP(R268,УГО_спр,2,FALSE),IFERROR(VLOOKUP(AL268,УГО_спр,2,FALSE),IFERROR(VLOOKUP(LEFT(AL268,2),УГО_спр,2,FALSE),""))))</f>
      </c>
    </row>
    <row r="269" spans="1:64" x14ac:dyDescent="0.3">
      <c r="A269" s="135">
        <f>IF(Разбивка_по_щитам!F269=0,"",Разбивка_по_щитам!F269)</f>
      </c>
      <c r="B269" s="138">
        <f>IF(A269="","",Разбивка_по_щитам!C269)</f>
      </c>
      <c r="C269" s="138">
        <f t="shared" si="170"/>
      </c>
      <c r="D269" s="266"/>
      <c r="E269" s="266"/>
      <c r="F269" s="267"/>
      <c r="G269" s="145">
        <f t="shared" si="171"/>
        <v/>
      </c>
      <c r="H269" s="145">
        <f t="shared" si="172"/>
        <v/>
      </c>
      <c r="I269" s="266"/>
      <c r="J269" s="267"/>
      <c r="K269" s="267"/>
      <c r="L269" s="266"/>
      <c r="M269" s="147">
        <f t="shared" si="173"/>
        <v/>
      </c>
      <c r="N269" s="267"/>
      <c r="O269" s="147">
        <f t="shared" si="174"/>
        <v/>
      </c>
      <c r="P269" s="268">
        <f>IF(AY269=1,"XT"&amp;COUNTIFS($A$3:A269,A269,$AY$3:AY269,1),"")</f>
        <v/>
      </c>
      <c r="Q269" s="152">
        <f>IF(R269="","",IFERROR(SUBSTITUTE(Разбивка_по_щитам!P269,CHAR(10)," "),""))</f>
        <v/>
      </c>
      <c r="R269" s="153">
        <f>IF(OR(Разбивка_по_щитам!H269="",Разбивка_по_щитам!H269=0),"",Разбивка_по_щитам!H269)</f>
        <v/>
      </c>
      <c r="S269" s="154">
        <f>IF(R269="","",IFERROR(Разбивка_по_щитам!J269&amp;"",""))</f>
        <v/>
      </c>
      <c r="T269" s="155">
        <f>IF(R269="","",IFERROR(--Разбивка_по_щитам!L269,""))</f>
        <v/>
      </c>
      <c r="U269" s="155">
        <f>IF(R269="","",IFERROR(--Разбивка_по_щитам!K269,""))</f>
        <v/>
      </c>
      <c r="V269" s="138">
        <f>IF(R269="","",IFERROR(IF(Разбивка_по_щитам!M269=0,"",Разбивка_по_щитам!M269),""))</f>
        <v/>
      </c>
      <c r="W269" s="156">
        <f t="shared" si="175"/>
        <v/>
      </c>
      <c r="X269" s="157">
        <f t="shared" si="176"/>
        <v/>
      </c>
      <c r="Y269" s="266"/>
      <c r="Z269" s="158">
        <f t="shared" si="177"/>
        <v/>
      </c>
      <c r="AA269" s="160">
        <f t="shared" si="178"/>
        <v/>
      </c>
      <c r="AB269" s="160">
        <f>IF(R269="","",IFERROR(LOOKUP(INDEX(Справочная!$I$4:$I$19,MATCH(VLOOKUP(R269,Исходные_данные,22,FALSE),Справочная!$J$4:$J$19,0)+1),{6,10,16,20,25,32,40,50,63,80,100,125}),""))</f>
        <v/>
      </c>
      <c r="AC269" s="160">
        <f t="shared" si="179"/>
        <v/>
      </c>
      <c r="AD269" s="161">
        <f t="shared" si="180"/>
        <v/>
      </c>
      <c r="AE269" s="161">
        <f>IF(AND(R269="",G269=""),"",_xlfn.TEXTJOIN("; ",TRUE,IF(AND(R269&lt;&gt;"",V269=""),"нет фазы",""),IF(AND(R269&lt;&gt;"",N(T269)=0),"нет мощности",""),IF(AND(P269&lt;&gt;"",COUNTIFS($A$3:$A$1000,A269,$P$3:$P$1000,P269)&gt;1),"дубль клеммы "&amp;P269,""),IF(AND(W269&lt;&gt;"",W269&lt;&gt;"ok"),W269,""),IF(X269&lt;&gt;"",X269,""),IF(AND(ISNUMBER(SEARCH("(5х",Q269)),N(AK269)=1),"5 жил на 1 фазе",""),IF(AND(AL269="R",E269&lt;&gt;"",N(AS269)=0),"розетка без 30 мА",""),IF(IFERROR(_xlfn.NUMBERVALUE(MID(Q269,FIND("-",Q269,FIND("L=",Q269))+1,FIND("%",Q269)-FIND("-",Q269,FIND("L=",Q269))-1),","),0)&gt;4,"потери &gt; 4 %","")))</f>
      </c>
      <c r="AF269" s="129">
        <f>IF(E269&lt;&gt;"",COUNTIFS($A$3:A269,A269,$E$3:E269,"?*"),IF(OR(A269&lt;&gt;A268,Y269="вручную"),"",AF268))</f>
      </c>
      <c r="AG269" s="129">
        <f t="shared" si="181"/>
      </c>
      <c r="AH269" s="129">
        <f t="shared" si="182"/>
        <v/>
      </c>
      <c r="AI269" s="129">
        <f t="shared" si="183"/>
        <v/>
      </c>
      <c r="AJ269" s="129">
        <f t="shared" si="184"/>
        <v/>
      </c>
      <c r="AK269" s="129">
        <f t="shared" si="185"/>
        <v/>
      </c>
      <c r="AL269" s="129">
        <f t="shared" si="186"/>
        <v/>
      </c>
      <c r="AM269" s="129">
        <f t="shared" si="187"/>
      </c>
      <c r="AN269" s="129">
        <f t="shared" si="188"/>
      </c>
      <c r="AO269" s="129">
        <f t="shared" si="189"/>
        <v/>
      </c>
      <c r="AP269" s="129">
        <f t="shared" si="190"/>
        <v/>
      </c>
      <c r="AQ269" s="129">
        <f t="shared" si="191"/>
        <v/>
      </c>
      <c r="AR269" s="129">
        <f t="shared" si="192"/>
        <v/>
      </c>
      <c r="AS269" s="129">
        <f t="shared" si="193"/>
        <v/>
      </c>
      <c r="AT269" s="129">
        <f t="shared" si="194"/>
        <v/>
      </c>
      <c r="AU269" s="129">
        <f t="shared" si="195"/>
        <v/>
      </c>
      <c r="AV269" s="129">
        <f t="shared" si="196"/>
        <v/>
      </c>
      <c r="AW269" s="129">
        <f>IF(AV269="","",AV269&amp;"."&amp;COUNTIFS($A$3:A269,A269,$AV$3:AV269,AV269))</f>
        <v/>
      </c>
      <c r="AX269" s="129">
        <f t="shared" si="197"/>
        <v/>
      </c>
      <c r="AY269" s="129">
        <f>IF(N269="б/к",0,IF(OR(ISNUMBER(SEARCH("L=",Разбивка_по_щитам!P269)),N269="+",N269="="),1,0))</f>
      </c>
      <c r="AZ269" s="129">
        <f t="shared" si="198"/>
      </c>
      <c r="BA269" s="129">
        <f t="shared" si="199"/>
      </c>
      <c r="BB269" s="129">
        <f t="shared" si="200"/>
      </c>
      <c r="BD269" s="129">
        <f t="shared" si="201"/>
      </c>
      <c r="BE269" s="129">
        <f t="shared" si="202"/>
      </c>
      <c r="BF269" s="129">
        <f t="shared" si="203"/>
      </c>
      <c r="BG269" s="129">
        <f t="shared" si="204"/>
        <v/>
      </c>
      <c r="BH269" s="129">
        <f t="shared" si="205"/>
        <v/>
      </c>
      <c r="BI269" s="129">
        <f t="shared" si="206"/>
        <v/>
      </c>
      <c r="BJ269" s="129">
        <f t="shared" si="207"/>
        <v/>
      </c>
      <c r="BK269" s="129">
        <f>IF(R269="","",IF(OR(BY269="",BY269=0),"BOX",IFERROR(IF(VLOOKUP(BY269,УГО_блоки,3,FALSE)&amp;""&lt;&gt;"",VLOOKUP(BY269,УГО_блоки,3,FALSE),VLOOKUP(BY269,УГО_блоки,2,FALSE)),BY269)))</f>
      </c>
      <c r="BL269" s="129">
        <f t="shared" si="209"/>
      </c>
      <c r="BM269" s="129">
        <f>IF(H269="","",IF(COUNTIF($H$3:H269,H269)=1,MAX($BM$2:BM268)+1,""))</f>
      </c>
      <c r="BN269" s="129">
        <f>IF(I269="","",IF(COUNTIF($I$3:I269,I269)+COUNTIF($J$2:J268,I269)+COUNTIF($K$2:K268,I269)=1,MAX($BN$2:BP268)+1,""))</f>
      </c>
      <c r="BO269" s="129">
        <f>IF(J269="","",IF(COUNTIF($I$3:I269,J269)+COUNTIF($J$3:J269,J269)+COUNTIF($K$2:K268,J269)=1,MAX($BN$2:BP268,BN269)+1,""))</f>
      </c>
      <c r="BP269" s="129">
        <f>IF(K269="","",IF(COUNTIF($I$3:I269,K269)+COUNTIF($J$3:J269,K269)+COUNTIF($K$3:K269,K269)=1,MAX($BN$2:BP268,BN269,BO269)+1,""))</f>
      </c>
      <c r="BQ269" s="129">
        <f>IF(AY269=1,IFERROR(MID(Q269,FIND(" (",Q269)+2,FIND(")",Q269,FIND(" (",Q269))-FIND(" (",Q269)-2),"?"),"")</f>
      </c>
      <c r="BR269" s="129">
        <f>IF(BQ269="","",IF(COUNTIF($BQ$3:BQ269,BQ269)=1,MAX($BR$2:BR268)+1,""))</f>
      </c>
      <c r="BS269" s="129">
        <f>IF(AW269="","",COUNTIF($AW$3:AW269,"?*"))</f>
      </c>
      <c r="BT269" s="129">
        <f>IF(OR(AW269="",AI269=""),"",IF(COUNTIFS($AW$3:AW269,"?*",$AI$3:AI269,AI269)=1,MAX($BT$2:BT268)+1,""))</f>
      </c>
      <c r="BU269" s="129">
        <f>IF(AE269="",0,IF(OR(ISNUMBER(SEARCH("дубль",AE269)),ISNUMBER(SEARCH("ПЕРЕГРУЗ",AE269)),ISNUMBER(SEARCH("ЗАЩИЩ",AE269)),ISNUMBER(SEARCH("КАНАЛ",AE269)),ISNUMBER(SEARCH("без 30",AE269))),2,1))</f>
      </c>
      <c r="BV269" s="129">
        <f>IF(R269="","",COUNTIF($R$3:R269,"?*"))</f>
      </c>
      <c r="BW269" s="129">
        <f>IF(AY269&lt;&gt;1,0,IF(MAX(IFERROR(--VLOOKUP(R269,УГО_спр,5,FALSE),0),IFERROR(--VLOOKUP(AL269,УГО_спр,5,FALSE),0),IFERROR(--VLOOKUP(LEFT(AL269,2),УГО_спр,5,FALSE),0))&gt;0,MAX(IFERROR(--VLOOKUP(R269,УГО_спр,5,FALSE),0),IFERROR(--VLOOKUP(AL269,УГО_спр,5,FALSE),0),IFERROR(--VLOOKUP(LEFT(AL269,2),УГО_спр,5,FALSE),0)),IF(IFERROR(--LEFT(SUBSTITUTE(BQ269,"x","х"),FIND("х",SUBSTITUTE(BQ269,"x","х"))-1),3)&gt;3,Каталог!$S$9,1)))</f>
      </c>
      <c r="BX269" s="129">
        <f>IF(AY269&lt;&gt;1,0,MAX(0,IFERROR(--LEFT(SUBSTITUTE(BQ269,"x","х"),FIND("х",SUBSTITUTE(BQ269,"x","х"))-1),3)-3*BW269))</f>
      </c>
      <c r="BY269" s="129">
        <f>IF(R269="","",IFERROR(VLOOKUP(R269,УГО_спр,2,FALSE),IFERROR(VLOOKUP(AL269,УГО_спр,2,FALSE),IFERROR(VLOOKUP(LEFT(AL269,2),УГО_спр,2,FALSE),""))))</f>
      </c>
    </row>
    <row r="270" spans="1:64" x14ac:dyDescent="0.3">
      <c r="A270" s="135">
        <f>IF(Разбивка_по_щитам!F270=0,"",Разбивка_по_щитам!F270)</f>
      </c>
      <c r="B270" s="138">
        <f>IF(A270="","",Разбивка_по_щитам!C270)</f>
      </c>
      <c r="C270" s="138">
        <f t="shared" si="170"/>
      </c>
      <c r="D270" s="266"/>
      <c r="E270" s="266"/>
      <c r="F270" s="267"/>
      <c r="G270" s="145">
        <f t="shared" si="171"/>
        <v/>
      </c>
      <c r="H270" s="145">
        <f t="shared" si="172"/>
        <v/>
      </c>
      <c r="I270" s="266"/>
      <c r="J270" s="267"/>
      <c r="K270" s="267"/>
      <c r="L270" s="266"/>
      <c r="M270" s="147">
        <f t="shared" si="173"/>
        <v/>
      </c>
      <c r="N270" s="267"/>
      <c r="O270" s="147">
        <f t="shared" si="174"/>
        <v/>
      </c>
      <c r="P270" s="268">
        <f>IF(AY270=1,"XT"&amp;COUNTIFS($A$3:A270,A270,$AY$3:AY270,1),"")</f>
        <v/>
      </c>
      <c r="Q270" s="152">
        <f>IF(R270="","",IFERROR(SUBSTITUTE(Разбивка_по_щитам!P270,CHAR(10)," "),""))</f>
        <v/>
      </c>
      <c r="R270" s="153">
        <f>IF(OR(Разбивка_по_щитам!H270="",Разбивка_по_щитам!H270=0),"",Разбивка_по_щитам!H270)</f>
        <v/>
      </c>
      <c r="S270" s="154">
        <f>IF(R270="","",IFERROR(Разбивка_по_щитам!J270&amp;"",""))</f>
        <v/>
      </c>
      <c r="T270" s="155">
        <f>IF(R270="","",IFERROR(--Разбивка_по_щитам!L270,""))</f>
        <v/>
      </c>
      <c r="U270" s="155">
        <f>IF(R270="","",IFERROR(--Разбивка_по_щитам!K270,""))</f>
        <v/>
      </c>
      <c r="V270" s="138">
        <f>IF(R270="","",IFERROR(IF(Разбивка_по_щитам!M270=0,"",Разбивка_по_щитам!M270),""))</f>
        <v/>
      </c>
      <c r="W270" s="156">
        <f t="shared" si="175"/>
        <v/>
      </c>
      <c r="X270" s="157">
        <f t="shared" si="176"/>
        <v/>
      </c>
      <c r="Y270" s="266"/>
      <c r="Z270" s="158">
        <f t="shared" si="177"/>
        <v/>
      </c>
      <c r="AA270" s="160">
        <f t="shared" si="178"/>
        <v/>
      </c>
      <c r="AB270" s="160">
        <f>IF(R270="","",IFERROR(LOOKUP(INDEX(Справочная!$I$4:$I$19,MATCH(VLOOKUP(R270,Исходные_данные,22,FALSE),Справочная!$J$4:$J$19,0)+1),{6,10,16,20,25,32,40,50,63,80,100,125}),""))</f>
        <v/>
      </c>
      <c r="AC270" s="160">
        <f t="shared" si="179"/>
        <v/>
      </c>
      <c r="AD270" s="161">
        <f t="shared" si="180"/>
        <v/>
      </c>
      <c r="AE270" s="161">
        <f>IF(AND(R270="",G270=""),"",_xlfn.TEXTJOIN("; ",TRUE,IF(AND(R270&lt;&gt;"",V270=""),"нет фазы",""),IF(AND(R270&lt;&gt;"",N(T270)=0),"нет мощности",""),IF(AND(P270&lt;&gt;"",COUNTIFS($A$3:$A$1000,A270,$P$3:$P$1000,P270)&gt;1),"дубль клеммы "&amp;P270,""),IF(AND(W270&lt;&gt;"",W270&lt;&gt;"ok"),W270,""),IF(X270&lt;&gt;"",X270,""),IF(AND(ISNUMBER(SEARCH("(5х",Q270)),N(AK270)=1),"5 жил на 1 фазе",""),IF(AND(AL270="R",E270&lt;&gt;"",N(AS270)=0),"розетка без 30 мА",""),IF(IFERROR(_xlfn.NUMBERVALUE(MID(Q270,FIND("-",Q270,FIND("L=",Q270))+1,FIND("%",Q270)-FIND("-",Q270,FIND("L=",Q270))-1),","),0)&gt;4,"потери &gt; 4 %","")))</f>
      </c>
      <c r="AF270" s="129">
        <f>IF(E270&lt;&gt;"",COUNTIFS($A$3:A270,A270,$E$3:E270,"?*"),IF(OR(A270&lt;&gt;A269,Y270="вручную"),"",AF269))</f>
      </c>
      <c r="AG270" s="129">
        <f t="shared" si="181"/>
      </c>
      <c r="AH270" s="129">
        <f t="shared" si="182"/>
        <v/>
      </c>
      <c r="AI270" s="129">
        <f t="shared" si="183"/>
        <v/>
      </c>
      <c r="AJ270" s="129">
        <f t="shared" si="184"/>
        <v/>
      </c>
      <c r="AK270" s="129">
        <f t="shared" si="185"/>
        <v/>
      </c>
      <c r="AL270" s="129">
        <f t="shared" si="186"/>
        <v/>
      </c>
      <c r="AM270" s="129">
        <f t="shared" si="187"/>
      </c>
      <c r="AN270" s="129">
        <f t="shared" si="188"/>
      </c>
      <c r="AO270" s="129">
        <f t="shared" si="189"/>
        <v/>
      </c>
      <c r="AP270" s="129">
        <f t="shared" si="190"/>
        <v/>
      </c>
      <c r="AQ270" s="129">
        <f t="shared" si="191"/>
        <v/>
      </c>
      <c r="AR270" s="129">
        <f t="shared" si="192"/>
        <v/>
      </c>
      <c r="AS270" s="129">
        <f t="shared" si="193"/>
        <v/>
      </c>
      <c r="AT270" s="129">
        <f t="shared" si="194"/>
        <v/>
      </c>
      <c r="AU270" s="129">
        <f t="shared" si="195"/>
        <v/>
      </c>
      <c r="AV270" s="129">
        <f t="shared" si="196"/>
        <v/>
      </c>
      <c r="AW270" s="129">
        <f>IF(AV270="","",AV270&amp;"."&amp;COUNTIFS($A$3:A270,A270,$AV$3:AV270,AV270))</f>
        <v/>
      </c>
      <c r="AX270" s="129">
        <f t="shared" si="197"/>
        <v/>
      </c>
      <c r="AY270" s="129">
        <f>IF(N270="б/к",0,IF(OR(ISNUMBER(SEARCH("L=",Разбивка_по_щитам!P270)),N270="+",N270="="),1,0))</f>
      </c>
      <c r="AZ270" s="129">
        <f t="shared" si="198"/>
      </c>
      <c r="BA270" s="129">
        <f t="shared" si="199"/>
      </c>
      <c r="BB270" s="129">
        <f t="shared" si="200"/>
      </c>
      <c r="BD270" s="129">
        <f t="shared" si="201"/>
      </c>
      <c r="BE270" s="129">
        <f t="shared" si="202"/>
      </c>
      <c r="BF270" s="129">
        <f t="shared" si="203"/>
      </c>
      <c r="BG270" s="129">
        <f t="shared" si="204"/>
        <v/>
      </c>
      <c r="BH270" s="129">
        <f t="shared" si="205"/>
        <v/>
      </c>
      <c r="BI270" s="129">
        <f t="shared" si="206"/>
        <v/>
      </c>
      <c r="BJ270" s="129">
        <f t="shared" si="207"/>
        <v/>
      </c>
      <c r="BK270" s="129">
        <f>IF(R270="","",IF(OR(BY270="",BY270=0),"BOX",IFERROR(IF(VLOOKUP(BY270,УГО_блоки,3,FALSE)&amp;""&lt;&gt;"",VLOOKUP(BY270,УГО_блоки,3,FALSE),VLOOKUP(BY270,УГО_блоки,2,FALSE)),BY270)))</f>
      </c>
      <c r="BL270" s="129">
        <f t="shared" si="209"/>
      </c>
      <c r="BM270" s="129">
        <f>IF(H270="","",IF(COUNTIF($H$3:H270,H270)=1,MAX($BM$2:BM269)+1,""))</f>
      </c>
      <c r="BN270" s="129">
        <f>IF(I270="","",IF(COUNTIF($I$3:I270,I270)+COUNTIF($J$2:J269,I270)+COUNTIF($K$2:K269,I270)=1,MAX($BN$2:BP269)+1,""))</f>
      </c>
      <c r="BO270" s="129">
        <f>IF(J270="","",IF(COUNTIF($I$3:I270,J270)+COUNTIF($J$3:J270,J270)+COUNTIF($K$2:K269,J270)=1,MAX($BN$2:BP269,BN270)+1,""))</f>
      </c>
      <c r="BP270" s="129">
        <f>IF(K270="","",IF(COUNTIF($I$3:I270,K270)+COUNTIF($J$3:J270,K270)+COUNTIF($K$3:K270,K270)=1,MAX($BN$2:BP269,BN270,BO270)+1,""))</f>
      </c>
      <c r="BQ270" s="129">
        <f>IF(AY270=1,IFERROR(MID(Q270,FIND(" (",Q270)+2,FIND(")",Q270,FIND(" (",Q270))-FIND(" (",Q270)-2),"?"),"")</f>
      </c>
      <c r="BR270" s="129">
        <f>IF(BQ270="","",IF(COUNTIF($BQ$3:BQ270,BQ270)=1,MAX($BR$2:BR269)+1,""))</f>
      </c>
      <c r="BS270" s="129">
        <f>IF(AW270="","",COUNTIF($AW$3:AW270,"?*"))</f>
      </c>
      <c r="BT270" s="129">
        <f>IF(OR(AW270="",AI270=""),"",IF(COUNTIFS($AW$3:AW270,"?*",$AI$3:AI270,AI270)=1,MAX($BT$2:BT269)+1,""))</f>
      </c>
      <c r="BU270" s="129">
        <f>IF(AE270="",0,IF(OR(ISNUMBER(SEARCH("дубль",AE270)),ISNUMBER(SEARCH("ПЕРЕГРУЗ",AE270)),ISNUMBER(SEARCH("ЗАЩИЩ",AE270)),ISNUMBER(SEARCH("КАНАЛ",AE270)),ISNUMBER(SEARCH("без 30",AE270))),2,1))</f>
      </c>
      <c r="BV270" s="129">
        <f>IF(R270="","",COUNTIF($R$3:R270,"?*"))</f>
      </c>
      <c r="BW270" s="129">
        <f>IF(AY270&lt;&gt;1,0,IF(MAX(IFERROR(--VLOOKUP(R270,УГО_спр,5,FALSE),0),IFERROR(--VLOOKUP(AL270,УГО_спр,5,FALSE),0),IFERROR(--VLOOKUP(LEFT(AL270,2),УГО_спр,5,FALSE),0))&gt;0,MAX(IFERROR(--VLOOKUP(R270,УГО_спр,5,FALSE),0),IFERROR(--VLOOKUP(AL270,УГО_спр,5,FALSE),0),IFERROR(--VLOOKUP(LEFT(AL270,2),УГО_спр,5,FALSE),0)),IF(IFERROR(--LEFT(SUBSTITUTE(BQ270,"x","х"),FIND("х",SUBSTITUTE(BQ270,"x","х"))-1),3)&gt;3,Каталог!$S$9,1)))</f>
      </c>
      <c r="BX270" s="129">
        <f>IF(AY270&lt;&gt;1,0,MAX(0,IFERROR(--LEFT(SUBSTITUTE(BQ270,"x","х"),FIND("х",SUBSTITUTE(BQ270,"x","х"))-1),3)-3*BW270))</f>
      </c>
      <c r="BY270" s="129">
        <f>IF(R270="","",IFERROR(VLOOKUP(R270,УГО_спр,2,FALSE),IFERROR(VLOOKUP(AL270,УГО_спр,2,FALSE),IFERROR(VLOOKUP(LEFT(AL270,2),УГО_спр,2,FALSE),""))))</f>
      </c>
    </row>
    <row r="271" spans="1:64" x14ac:dyDescent="0.3">
      <c r="A271" s="135">
        <f>IF(Разбивка_по_щитам!F271=0,"",Разбивка_по_щитам!F271)</f>
      </c>
      <c r="B271" s="138">
        <f>IF(A271="","",Разбивка_по_щитам!C271)</f>
      </c>
      <c r="C271" s="138">
        <f t="shared" si="170"/>
      </c>
      <c r="D271" s="266"/>
      <c r="E271" s="266"/>
      <c r="F271" s="267"/>
      <c r="G271" s="145">
        <f t="shared" si="171"/>
        <v/>
      </c>
      <c r="H271" s="145">
        <f t="shared" si="172"/>
        <v/>
      </c>
      <c r="I271" s="266"/>
      <c r="J271" s="267"/>
      <c r="K271" s="267"/>
      <c r="L271" s="266"/>
      <c r="M271" s="147">
        <f t="shared" si="173"/>
        <v/>
      </c>
      <c r="N271" s="267"/>
      <c r="O271" s="147">
        <f t="shared" si="174"/>
        <v/>
      </c>
      <c r="P271" s="268">
        <f>IF(AY271=1,"XT"&amp;COUNTIFS($A$3:A271,A271,$AY$3:AY271,1),"")</f>
        <v/>
      </c>
      <c r="Q271" s="152">
        <f>IF(R271="","",IFERROR(SUBSTITUTE(Разбивка_по_щитам!P271,CHAR(10)," "),""))</f>
        <v/>
      </c>
      <c r="R271" s="153">
        <f>IF(OR(Разбивка_по_щитам!H271="",Разбивка_по_щитам!H271=0),"",Разбивка_по_щитам!H271)</f>
        <v/>
      </c>
      <c r="S271" s="154">
        <f>IF(R271="","",IFERROR(Разбивка_по_щитам!J271&amp;"",""))</f>
        <v/>
      </c>
      <c r="T271" s="155">
        <f>IF(R271="","",IFERROR(--Разбивка_по_щитам!L271,""))</f>
        <v/>
      </c>
      <c r="U271" s="155">
        <f>IF(R271="","",IFERROR(--Разбивка_по_щитам!K271,""))</f>
        <v/>
      </c>
      <c r="V271" s="138">
        <f>IF(R271="","",IFERROR(IF(Разбивка_по_щитам!M271=0,"",Разбивка_по_щитам!M271),""))</f>
        <v/>
      </c>
      <c r="W271" s="156">
        <f t="shared" si="175"/>
        <v/>
      </c>
      <c r="X271" s="157">
        <f t="shared" si="176"/>
        <v/>
      </c>
      <c r="Y271" s="266"/>
      <c r="Z271" s="158">
        <f t="shared" si="177"/>
        <v/>
      </c>
      <c r="AA271" s="160">
        <f t="shared" si="178"/>
        <v/>
      </c>
      <c r="AB271" s="160">
        <f>IF(R271="","",IFERROR(LOOKUP(INDEX(Справочная!$I$4:$I$19,MATCH(VLOOKUP(R271,Исходные_данные,22,FALSE),Справочная!$J$4:$J$19,0)+1),{6,10,16,20,25,32,40,50,63,80,100,125}),""))</f>
        <v/>
      </c>
      <c r="AC271" s="160">
        <f t="shared" si="179"/>
        <v/>
      </c>
      <c r="AD271" s="161">
        <f t="shared" si="180"/>
        <v/>
      </c>
      <c r="AE271" s="161">
        <f>IF(AND(R271="",G271=""),"",_xlfn.TEXTJOIN("; ",TRUE,IF(AND(R271&lt;&gt;"",V271=""),"нет фазы",""),IF(AND(R271&lt;&gt;"",N(T271)=0),"нет мощности",""),IF(AND(P271&lt;&gt;"",COUNTIFS($A$3:$A$1000,A271,$P$3:$P$1000,P271)&gt;1),"дубль клеммы "&amp;P271,""),IF(AND(W271&lt;&gt;"",W271&lt;&gt;"ok"),W271,""),IF(X271&lt;&gt;"",X271,""),IF(AND(ISNUMBER(SEARCH("(5х",Q271)),N(AK271)=1),"5 жил на 1 фазе",""),IF(AND(AL271="R",E271&lt;&gt;"",N(AS271)=0),"розетка без 30 мА",""),IF(IFERROR(_xlfn.NUMBERVALUE(MID(Q271,FIND("-",Q271,FIND("L=",Q271))+1,FIND("%",Q271)-FIND("-",Q271,FIND("L=",Q271))-1),","),0)&gt;4,"потери &gt; 4 %","")))</f>
      </c>
      <c r="AF271" s="129">
        <f>IF(E271&lt;&gt;"",COUNTIFS($A$3:A271,A271,$E$3:E271,"?*"),IF(OR(A271&lt;&gt;A270,Y271="вручную"),"",AF270))</f>
      </c>
      <c r="AG271" s="129">
        <f t="shared" si="181"/>
      </c>
      <c r="AH271" s="129">
        <f t="shared" si="182"/>
        <v/>
      </c>
      <c r="AI271" s="129">
        <f t="shared" si="183"/>
        <v/>
      </c>
      <c r="AJ271" s="129">
        <f t="shared" si="184"/>
        <v/>
      </c>
      <c r="AK271" s="129">
        <f t="shared" si="185"/>
        <v/>
      </c>
      <c r="AL271" s="129">
        <f t="shared" si="186"/>
        <v/>
      </c>
      <c r="AM271" s="129">
        <f t="shared" si="187"/>
      </c>
      <c r="AN271" s="129">
        <f t="shared" si="188"/>
      </c>
      <c r="AO271" s="129">
        <f t="shared" si="189"/>
        <v/>
      </c>
      <c r="AP271" s="129">
        <f t="shared" si="190"/>
        <v/>
      </c>
      <c r="AQ271" s="129">
        <f t="shared" si="191"/>
        <v/>
      </c>
      <c r="AR271" s="129">
        <f t="shared" si="192"/>
        <v/>
      </c>
      <c r="AS271" s="129">
        <f t="shared" si="193"/>
        <v/>
      </c>
      <c r="AT271" s="129">
        <f t="shared" si="194"/>
        <v/>
      </c>
      <c r="AU271" s="129">
        <f t="shared" si="195"/>
        <v/>
      </c>
      <c r="AV271" s="129">
        <f t="shared" si="196"/>
        <v/>
      </c>
      <c r="AW271" s="129">
        <f>IF(AV271="","",AV271&amp;"."&amp;COUNTIFS($A$3:A271,A271,$AV$3:AV271,AV271))</f>
        <v/>
      </c>
      <c r="AX271" s="129">
        <f t="shared" si="197"/>
        <v/>
      </c>
      <c r="AY271" s="129">
        <f>IF(N271="б/к",0,IF(OR(ISNUMBER(SEARCH("L=",Разбивка_по_щитам!P271)),N271="+",N271="="),1,0))</f>
      </c>
      <c r="AZ271" s="129">
        <f t="shared" si="198"/>
      </c>
      <c r="BA271" s="129">
        <f t="shared" si="199"/>
      </c>
      <c r="BB271" s="129">
        <f t="shared" si="200"/>
      </c>
      <c r="BD271" s="129">
        <f t="shared" si="201"/>
      </c>
      <c r="BE271" s="129">
        <f t="shared" si="202"/>
      </c>
      <c r="BF271" s="129">
        <f t="shared" si="203"/>
      </c>
      <c r="BG271" s="129">
        <f t="shared" si="204"/>
        <v/>
      </c>
      <c r="BH271" s="129">
        <f t="shared" si="205"/>
        <v/>
      </c>
      <c r="BI271" s="129">
        <f t="shared" si="206"/>
        <v/>
      </c>
      <c r="BJ271" s="129">
        <f t="shared" si="207"/>
        <v/>
      </c>
      <c r="BK271" s="129">
        <f>IF(R271="","",IF(OR(BY271="",BY271=0),"BOX",IFERROR(IF(VLOOKUP(BY271,УГО_блоки,3,FALSE)&amp;""&lt;&gt;"",VLOOKUP(BY271,УГО_блоки,3,FALSE),VLOOKUP(BY271,УГО_блоки,2,FALSE)),BY271)))</f>
      </c>
      <c r="BL271" s="129">
        <f t="shared" si="209"/>
      </c>
      <c r="BM271" s="129">
        <f>IF(H271="","",IF(COUNTIF($H$3:H271,H271)=1,MAX($BM$2:BM270)+1,""))</f>
      </c>
      <c r="BN271" s="129">
        <f>IF(I271="","",IF(COUNTIF($I$3:I271,I271)+COUNTIF($J$2:J270,I271)+COUNTIF($K$2:K270,I271)=1,MAX($BN$2:BP270)+1,""))</f>
      </c>
      <c r="BO271" s="129">
        <f>IF(J271="","",IF(COUNTIF($I$3:I271,J271)+COUNTIF($J$3:J271,J271)+COUNTIF($K$2:K270,J271)=1,MAX($BN$2:BP270,BN271)+1,""))</f>
      </c>
      <c r="BP271" s="129">
        <f>IF(K271="","",IF(COUNTIF($I$3:I271,K271)+COUNTIF($J$3:J271,K271)+COUNTIF($K$3:K271,K271)=1,MAX($BN$2:BP270,BN271,BO271)+1,""))</f>
      </c>
      <c r="BQ271" s="129">
        <f>IF(AY271=1,IFERROR(MID(Q271,FIND(" (",Q271)+2,FIND(")",Q271,FIND(" (",Q271))-FIND(" (",Q271)-2),"?"),"")</f>
      </c>
      <c r="BR271" s="129">
        <f>IF(BQ271="","",IF(COUNTIF($BQ$3:BQ271,BQ271)=1,MAX($BR$2:BR270)+1,""))</f>
      </c>
      <c r="BS271" s="129">
        <f>IF(AW271="","",COUNTIF($AW$3:AW271,"?*"))</f>
      </c>
      <c r="BT271" s="129">
        <f>IF(OR(AW271="",AI271=""),"",IF(COUNTIFS($AW$3:AW271,"?*",$AI$3:AI271,AI271)=1,MAX($BT$2:BT270)+1,""))</f>
      </c>
      <c r="BU271" s="129">
        <f>IF(AE271="",0,IF(OR(ISNUMBER(SEARCH("дубль",AE271)),ISNUMBER(SEARCH("ПЕРЕГРУЗ",AE271)),ISNUMBER(SEARCH("ЗАЩИЩ",AE271)),ISNUMBER(SEARCH("КАНАЛ",AE271)),ISNUMBER(SEARCH("без 30",AE271))),2,1))</f>
      </c>
      <c r="BV271" s="129">
        <f>IF(R271="","",COUNTIF($R$3:R271,"?*"))</f>
      </c>
      <c r="BW271" s="129">
        <f>IF(AY271&lt;&gt;1,0,IF(MAX(IFERROR(--VLOOKUP(R271,УГО_спр,5,FALSE),0),IFERROR(--VLOOKUP(AL271,УГО_спр,5,FALSE),0),IFERROR(--VLOOKUP(LEFT(AL271,2),УГО_спр,5,FALSE),0))&gt;0,MAX(IFERROR(--VLOOKUP(R271,УГО_спр,5,FALSE),0),IFERROR(--VLOOKUP(AL271,УГО_спр,5,FALSE),0),IFERROR(--VLOOKUP(LEFT(AL271,2),УГО_спр,5,FALSE),0)),IF(IFERROR(--LEFT(SUBSTITUTE(BQ271,"x","х"),FIND("х",SUBSTITUTE(BQ271,"x","х"))-1),3)&gt;3,Каталог!$S$9,1)))</f>
      </c>
      <c r="BX271" s="129">
        <f>IF(AY271&lt;&gt;1,0,MAX(0,IFERROR(--LEFT(SUBSTITUTE(BQ271,"x","х"),FIND("х",SUBSTITUTE(BQ271,"x","х"))-1),3)-3*BW271))</f>
      </c>
      <c r="BY271" s="129">
        <f>IF(R271="","",IFERROR(VLOOKUP(R271,УГО_спр,2,FALSE),IFERROR(VLOOKUP(AL271,УГО_спр,2,FALSE),IFERROR(VLOOKUP(LEFT(AL271,2),УГО_спр,2,FALSE),""))))</f>
      </c>
    </row>
    <row r="272" spans="1:64" x14ac:dyDescent="0.3">
      <c r="A272" s="135">
        <f>IF(Разбивка_по_щитам!F272=0,"",Разбивка_по_щитам!F272)</f>
      </c>
      <c r="B272" s="138">
        <f>IF(A272="","",Разбивка_по_щитам!C272)</f>
      </c>
      <c r="C272" s="138">
        <f t="shared" si="170"/>
      </c>
      <c r="D272" s="266"/>
      <c r="E272" s="266"/>
      <c r="F272" s="267"/>
      <c r="G272" s="145">
        <f t="shared" si="171"/>
        <v/>
      </c>
      <c r="H272" s="145">
        <f t="shared" si="172"/>
        <v/>
      </c>
      <c r="I272" s="266"/>
      <c r="J272" s="267"/>
      <c r="K272" s="267"/>
      <c r="L272" s="266"/>
      <c r="M272" s="147">
        <f t="shared" si="173"/>
        <v/>
      </c>
      <c r="N272" s="267"/>
      <c r="O272" s="147">
        <f t="shared" si="174"/>
        <v/>
      </c>
      <c r="P272" s="268">
        <f>IF(AY272=1,"XT"&amp;COUNTIFS($A$3:A272,A272,$AY$3:AY272,1),"")</f>
        <v/>
      </c>
      <c r="Q272" s="152">
        <f>IF(R272="","",IFERROR(SUBSTITUTE(Разбивка_по_щитам!P272,CHAR(10)," "),""))</f>
        <v/>
      </c>
      <c r="R272" s="153">
        <f>IF(OR(Разбивка_по_щитам!H272="",Разбивка_по_щитам!H272=0),"",Разбивка_по_щитам!H272)</f>
        <v/>
      </c>
      <c r="S272" s="154">
        <f>IF(R272="","",IFERROR(Разбивка_по_щитам!J272&amp;"",""))</f>
        <v/>
      </c>
      <c r="T272" s="155">
        <f>IF(R272="","",IFERROR(--Разбивка_по_щитам!L272,""))</f>
        <v/>
      </c>
      <c r="U272" s="155">
        <f>IF(R272="","",IFERROR(--Разбивка_по_щитам!K272,""))</f>
        <v/>
      </c>
      <c r="V272" s="138">
        <f>IF(R272="","",IFERROR(IF(Разбивка_по_щитам!M272=0,"",Разбивка_по_щитам!M272),""))</f>
        <v/>
      </c>
      <c r="W272" s="156">
        <f t="shared" si="175"/>
        <v/>
      </c>
      <c r="X272" s="157">
        <f t="shared" si="176"/>
        <v/>
      </c>
      <c r="Y272" s="266"/>
      <c r="Z272" s="158">
        <f t="shared" si="177"/>
        <v/>
      </c>
      <c r="AA272" s="160">
        <f t="shared" si="178"/>
        <v/>
      </c>
      <c r="AB272" s="160">
        <f>IF(R272="","",IFERROR(LOOKUP(INDEX(Справочная!$I$4:$I$19,MATCH(VLOOKUP(R272,Исходные_данные,22,FALSE),Справочная!$J$4:$J$19,0)+1),{6,10,16,20,25,32,40,50,63,80,100,125}),""))</f>
        <v/>
      </c>
      <c r="AC272" s="160">
        <f t="shared" si="179"/>
        <v/>
      </c>
      <c r="AD272" s="161">
        <f t="shared" si="180"/>
        <v/>
      </c>
      <c r="AE272" s="161">
        <f>IF(AND(R272="",G272=""),"",_xlfn.TEXTJOIN("; ",TRUE,IF(AND(R272&lt;&gt;"",V272=""),"нет фазы",""),IF(AND(R272&lt;&gt;"",N(T272)=0),"нет мощности",""),IF(AND(P272&lt;&gt;"",COUNTIFS($A$3:$A$1000,A272,$P$3:$P$1000,P272)&gt;1),"дубль клеммы "&amp;P272,""),IF(AND(W272&lt;&gt;"",W272&lt;&gt;"ok"),W272,""),IF(X272&lt;&gt;"",X272,""),IF(AND(ISNUMBER(SEARCH("(5х",Q272)),N(AK272)=1),"5 жил на 1 фазе",""),IF(AND(AL272="R",E272&lt;&gt;"",N(AS272)=0),"розетка без 30 мА",""),IF(IFERROR(_xlfn.NUMBERVALUE(MID(Q272,FIND("-",Q272,FIND("L=",Q272))+1,FIND("%",Q272)-FIND("-",Q272,FIND("L=",Q272))-1),","),0)&gt;4,"потери &gt; 4 %","")))</f>
      </c>
      <c r="AF272" s="129">
        <f>IF(E272&lt;&gt;"",COUNTIFS($A$3:A272,A272,$E$3:E272,"?*"),IF(OR(A272&lt;&gt;A271,Y272="вручную"),"",AF271))</f>
      </c>
      <c r="AG272" s="129">
        <f t="shared" si="181"/>
      </c>
      <c r="AH272" s="129">
        <f t="shared" si="182"/>
        <v/>
      </c>
      <c r="AI272" s="129">
        <f t="shared" si="183"/>
        <v/>
      </c>
      <c r="AJ272" s="129">
        <f t="shared" si="184"/>
        <v/>
      </c>
      <c r="AK272" s="129">
        <f t="shared" si="185"/>
        <v/>
      </c>
      <c r="AL272" s="129">
        <f t="shared" si="186"/>
        <v/>
      </c>
      <c r="AM272" s="129">
        <f t="shared" si="187"/>
      </c>
      <c r="AN272" s="129">
        <f t="shared" si="188"/>
      </c>
      <c r="AO272" s="129">
        <f t="shared" si="189"/>
        <v/>
      </c>
      <c r="AP272" s="129">
        <f t="shared" si="190"/>
        <v/>
      </c>
      <c r="AQ272" s="129">
        <f t="shared" si="191"/>
        <v/>
      </c>
      <c r="AR272" s="129">
        <f t="shared" si="192"/>
        <v/>
      </c>
      <c r="AS272" s="129">
        <f t="shared" si="193"/>
        <v/>
      </c>
      <c r="AT272" s="129">
        <f t="shared" si="194"/>
        <v/>
      </c>
      <c r="AU272" s="129">
        <f t="shared" si="195"/>
        <v/>
      </c>
      <c r="AV272" s="129">
        <f t="shared" si="196"/>
        <v/>
      </c>
      <c r="AW272" s="129">
        <f>IF(AV272="","",AV272&amp;"."&amp;COUNTIFS($A$3:A272,A272,$AV$3:AV272,AV272))</f>
        <v/>
      </c>
      <c r="AX272" s="129">
        <f t="shared" si="197"/>
        <v/>
      </c>
      <c r="AY272" s="129">
        <f>IF(N272="б/к",0,IF(OR(ISNUMBER(SEARCH("L=",Разбивка_по_щитам!P272)),N272="+",N272="="),1,0))</f>
      </c>
      <c r="AZ272" s="129">
        <f t="shared" si="198"/>
      </c>
      <c r="BA272" s="129">
        <f t="shared" si="199"/>
      </c>
      <c r="BB272" s="129">
        <f t="shared" si="200"/>
      </c>
      <c r="BD272" s="129">
        <f t="shared" si="201"/>
      </c>
      <c r="BE272" s="129">
        <f t="shared" si="202"/>
      </c>
      <c r="BF272" s="129">
        <f t="shared" si="203"/>
      </c>
      <c r="BG272" s="129">
        <f t="shared" si="204"/>
        <v/>
      </c>
      <c r="BH272" s="129">
        <f t="shared" si="205"/>
        <v/>
      </c>
      <c r="BI272" s="129">
        <f t="shared" si="206"/>
        <v/>
      </c>
      <c r="BJ272" s="129">
        <f t="shared" si="207"/>
        <v/>
      </c>
      <c r="BK272" s="129">
        <f>IF(R272="","",IF(OR(BY272="",BY272=0),"BOX",IFERROR(IF(VLOOKUP(BY272,УГО_блоки,3,FALSE)&amp;""&lt;&gt;"",VLOOKUP(BY272,УГО_блоки,3,FALSE),VLOOKUP(BY272,УГО_блоки,2,FALSE)),BY272)))</f>
      </c>
      <c r="BL272" s="129">
        <f t="shared" si="209"/>
      </c>
      <c r="BM272" s="129">
        <f>IF(H272="","",IF(COUNTIF($H$3:H272,H272)=1,MAX($BM$2:BM271)+1,""))</f>
      </c>
      <c r="BN272" s="129">
        <f>IF(I272="","",IF(COUNTIF($I$3:I272,I272)+COUNTIF($J$2:J271,I272)+COUNTIF($K$2:K271,I272)=1,MAX($BN$2:BP271)+1,""))</f>
      </c>
      <c r="BO272" s="129">
        <f>IF(J272="","",IF(COUNTIF($I$3:I272,J272)+COUNTIF($J$3:J272,J272)+COUNTIF($K$2:K271,J272)=1,MAX($BN$2:BP271,BN272)+1,""))</f>
      </c>
      <c r="BP272" s="129">
        <f>IF(K272="","",IF(COUNTIF($I$3:I272,K272)+COUNTIF($J$3:J272,K272)+COUNTIF($K$3:K272,K272)=1,MAX($BN$2:BP271,BN272,BO272)+1,""))</f>
      </c>
      <c r="BQ272" s="129">
        <f>IF(AY272=1,IFERROR(MID(Q272,FIND(" (",Q272)+2,FIND(")",Q272,FIND(" (",Q272))-FIND(" (",Q272)-2),"?"),"")</f>
      </c>
      <c r="BR272" s="129">
        <f>IF(BQ272="","",IF(COUNTIF($BQ$3:BQ272,BQ272)=1,MAX($BR$2:BR271)+1,""))</f>
      </c>
      <c r="BS272" s="129">
        <f>IF(AW272="","",COUNTIF($AW$3:AW272,"?*"))</f>
      </c>
      <c r="BT272" s="129">
        <f>IF(OR(AW272="",AI272=""),"",IF(COUNTIFS($AW$3:AW272,"?*",$AI$3:AI272,AI272)=1,MAX($BT$2:BT271)+1,""))</f>
      </c>
      <c r="BU272" s="129">
        <f>IF(AE272="",0,IF(OR(ISNUMBER(SEARCH("дубль",AE272)),ISNUMBER(SEARCH("ПЕРЕГРУЗ",AE272)),ISNUMBER(SEARCH("ЗАЩИЩ",AE272)),ISNUMBER(SEARCH("КАНАЛ",AE272)),ISNUMBER(SEARCH("без 30",AE272))),2,1))</f>
      </c>
      <c r="BV272" s="129">
        <f>IF(R272="","",COUNTIF($R$3:R272,"?*"))</f>
      </c>
      <c r="BW272" s="129">
        <f>IF(AY272&lt;&gt;1,0,IF(MAX(IFERROR(--VLOOKUP(R272,УГО_спр,5,FALSE),0),IFERROR(--VLOOKUP(AL272,УГО_спр,5,FALSE),0),IFERROR(--VLOOKUP(LEFT(AL272,2),УГО_спр,5,FALSE),0))&gt;0,MAX(IFERROR(--VLOOKUP(R272,УГО_спр,5,FALSE),0),IFERROR(--VLOOKUP(AL272,УГО_спр,5,FALSE),0),IFERROR(--VLOOKUP(LEFT(AL272,2),УГО_спр,5,FALSE),0)),IF(IFERROR(--LEFT(SUBSTITUTE(BQ272,"x","х"),FIND("х",SUBSTITUTE(BQ272,"x","х"))-1),3)&gt;3,Каталог!$S$9,1)))</f>
      </c>
      <c r="BX272" s="129">
        <f>IF(AY272&lt;&gt;1,0,MAX(0,IFERROR(--LEFT(SUBSTITUTE(BQ272,"x","х"),FIND("х",SUBSTITUTE(BQ272,"x","х"))-1),3)-3*BW272))</f>
      </c>
      <c r="BY272" s="129">
        <f>IF(R272="","",IFERROR(VLOOKUP(R272,УГО_спр,2,FALSE),IFERROR(VLOOKUP(AL272,УГО_спр,2,FALSE),IFERROR(VLOOKUP(LEFT(AL272,2),УГО_спр,2,FALSE),""))))</f>
      </c>
    </row>
    <row r="273" spans="1:64" x14ac:dyDescent="0.3">
      <c r="A273" s="135">
        <f>IF(Разбивка_по_щитам!F273=0,"",Разбивка_по_щитам!F273)</f>
      </c>
      <c r="B273" s="138">
        <f>IF(A273="","",Разбивка_по_щитам!C273)</f>
      </c>
      <c r="C273" s="138">
        <f t="shared" si="170"/>
      </c>
      <c r="D273" s="266"/>
      <c r="E273" s="266"/>
      <c r="F273" s="267"/>
      <c r="G273" s="145">
        <f t="shared" si="171"/>
        <v/>
      </c>
      <c r="H273" s="145">
        <f t="shared" si="172"/>
        <v/>
      </c>
      <c r="I273" s="266"/>
      <c r="J273" s="267"/>
      <c r="K273" s="267"/>
      <c r="L273" s="266"/>
      <c r="M273" s="147">
        <f t="shared" si="173"/>
        <v/>
      </c>
      <c r="N273" s="267"/>
      <c r="O273" s="147">
        <f t="shared" si="174"/>
        <v/>
      </c>
      <c r="P273" s="268">
        <f>IF(AY273=1,"XT"&amp;COUNTIFS($A$3:A273,A273,$AY$3:AY273,1),"")</f>
        <v/>
      </c>
      <c r="Q273" s="152">
        <f>IF(R273="","",IFERROR(SUBSTITUTE(Разбивка_по_щитам!P273,CHAR(10)," "),""))</f>
        <v/>
      </c>
      <c r="R273" s="153">
        <f>IF(OR(Разбивка_по_щитам!H273="",Разбивка_по_щитам!H273=0),"",Разбивка_по_щитам!H273)</f>
        <v/>
      </c>
      <c r="S273" s="154">
        <f>IF(R273="","",IFERROR(Разбивка_по_щитам!J273&amp;"",""))</f>
        <v/>
      </c>
      <c r="T273" s="155">
        <f>IF(R273="","",IFERROR(--Разбивка_по_щитам!L273,""))</f>
        <v/>
      </c>
      <c r="U273" s="155">
        <f>IF(R273="","",IFERROR(--Разбивка_по_щитам!K273,""))</f>
        <v/>
      </c>
      <c r="V273" s="138">
        <f>IF(R273="","",IFERROR(IF(Разбивка_по_щитам!M273=0,"",Разбивка_по_щитам!M273),""))</f>
        <v/>
      </c>
      <c r="W273" s="156">
        <f t="shared" si="175"/>
        <v/>
      </c>
      <c r="X273" s="157">
        <f t="shared" si="176"/>
        <v/>
      </c>
      <c r="Y273" s="266"/>
      <c r="Z273" s="158">
        <f t="shared" si="177"/>
        <v/>
      </c>
      <c r="AA273" s="160">
        <f t="shared" si="178"/>
        <v/>
      </c>
      <c r="AB273" s="160">
        <f>IF(R273="","",IFERROR(LOOKUP(INDEX(Справочная!$I$4:$I$19,MATCH(VLOOKUP(R273,Исходные_данные,22,FALSE),Справочная!$J$4:$J$19,0)+1),{6,10,16,20,25,32,40,50,63,80,100,125}),""))</f>
        <v/>
      </c>
      <c r="AC273" s="160">
        <f t="shared" si="179"/>
        <v/>
      </c>
      <c r="AD273" s="161">
        <f t="shared" si="180"/>
        <v/>
      </c>
      <c r="AE273" s="161">
        <f>IF(AND(R273="",G273=""),"",_xlfn.TEXTJOIN("; ",TRUE,IF(AND(R273&lt;&gt;"",V273=""),"нет фазы",""),IF(AND(R273&lt;&gt;"",N(T273)=0),"нет мощности",""),IF(AND(P273&lt;&gt;"",COUNTIFS($A$3:$A$1000,A273,$P$3:$P$1000,P273)&gt;1),"дубль клеммы "&amp;P273,""),IF(AND(W273&lt;&gt;"",W273&lt;&gt;"ok"),W273,""),IF(X273&lt;&gt;"",X273,""),IF(AND(ISNUMBER(SEARCH("(5х",Q273)),N(AK273)=1),"5 жил на 1 фазе",""),IF(AND(AL273="R",E273&lt;&gt;"",N(AS273)=0),"розетка без 30 мА",""),IF(IFERROR(_xlfn.NUMBERVALUE(MID(Q273,FIND("-",Q273,FIND("L=",Q273))+1,FIND("%",Q273)-FIND("-",Q273,FIND("L=",Q273))-1),","),0)&gt;4,"потери &gt; 4 %","")))</f>
      </c>
      <c r="AF273" s="129">
        <f>IF(E273&lt;&gt;"",COUNTIFS($A$3:A273,A273,$E$3:E273,"?*"),IF(OR(A273&lt;&gt;A272,Y273="вручную"),"",AF272))</f>
      </c>
      <c r="AG273" s="129">
        <f t="shared" si="181"/>
      </c>
      <c r="AH273" s="129">
        <f t="shared" si="182"/>
        <v/>
      </c>
      <c r="AI273" s="129">
        <f t="shared" si="183"/>
        <v/>
      </c>
      <c r="AJ273" s="129">
        <f t="shared" si="184"/>
        <v/>
      </c>
      <c r="AK273" s="129">
        <f t="shared" si="185"/>
        <v/>
      </c>
      <c r="AL273" s="129">
        <f t="shared" si="186"/>
        <v/>
      </c>
      <c r="AM273" s="129">
        <f t="shared" si="187"/>
      </c>
      <c r="AN273" s="129">
        <f t="shared" si="188"/>
      </c>
      <c r="AO273" s="129">
        <f t="shared" si="189"/>
        <v/>
      </c>
      <c r="AP273" s="129">
        <f t="shared" si="190"/>
        <v/>
      </c>
      <c r="AQ273" s="129">
        <f t="shared" si="191"/>
        <v/>
      </c>
      <c r="AR273" s="129">
        <f t="shared" si="192"/>
        <v/>
      </c>
      <c r="AS273" s="129">
        <f t="shared" si="193"/>
        <v/>
      </c>
      <c r="AT273" s="129">
        <f t="shared" si="194"/>
        <v/>
      </c>
      <c r="AU273" s="129">
        <f t="shared" si="195"/>
        <v/>
      </c>
      <c r="AV273" s="129">
        <f t="shared" si="196"/>
        <v/>
      </c>
      <c r="AW273" s="129">
        <f>IF(AV273="","",AV273&amp;"."&amp;COUNTIFS($A$3:A273,A273,$AV$3:AV273,AV273))</f>
        <v/>
      </c>
      <c r="AX273" s="129">
        <f t="shared" si="197"/>
        <v/>
      </c>
      <c r="AY273" s="129">
        <f>IF(N273="б/к",0,IF(OR(ISNUMBER(SEARCH("L=",Разбивка_по_щитам!P273)),N273="+",N273="="),1,0))</f>
      </c>
      <c r="AZ273" s="129">
        <f t="shared" si="198"/>
      </c>
      <c r="BA273" s="129">
        <f t="shared" si="199"/>
      </c>
      <c r="BB273" s="129">
        <f t="shared" si="200"/>
      </c>
      <c r="BD273" s="129">
        <f t="shared" si="201"/>
      </c>
      <c r="BE273" s="129">
        <f t="shared" si="202"/>
      </c>
      <c r="BF273" s="129">
        <f t="shared" si="203"/>
      </c>
      <c r="BG273" s="129">
        <f t="shared" si="204"/>
        <v/>
      </c>
      <c r="BH273" s="129">
        <f t="shared" si="205"/>
        <v/>
      </c>
      <c r="BI273" s="129">
        <f t="shared" si="206"/>
        <v/>
      </c>
      <c r="BJ273" s="129">
        <f t="shared" si="207"/>
        <v/>
      </c>
      <c r="BK273" s="129">
        <f>IF(R273="","",IF(OR(BY273="",BY273=0),"BOX",IFERROR(IF(VLOOKUP(BY273,УГО_блоки,3,FALSE)&amp;""&lt;&gt;"",VLOOKUP(BY273,УГО_блоки,3,FALSE),VLOOKUP(BY273,УГО_блоки,2,FALSE)),BY273)))</f>
      </c>
      <c r="BL273" s="129">
        <f t="shared" si="209"/>
      </c>
      <c r="BM273" s="129">
        <f>IF(H273="","",IF(COUNTIF($H$3:H273,H273)=1,MAX($BM$2:BM272)+1,""))</f>
      </c>
      <c r="BN273" s="129">
        <f>IF(I273="","",IF(COUNTIF($I$3:I273,I273)+COUNTIF($J$2:J272,I273)+COUNTIF($K$2:K272,I273)=1,MAX($BN$2:BP272)+1,""))</f>
      </c>
      <c r="BO273" s="129">
        <f>IF(J273="","",IF(COUNTIF($I$3:I273,J273)+COUNTIF($J$3:J273,J273)+COUNTIF($K$2:K272,J273)=1,MAX($BN$2:BP272,BN273)+1,""))</f>
      </c>
      <c r="BP273" s="129">
        <f>IF(K273="","",IF(COUNTIF($I$3:I273,K273)+COUNTIF($J$3:J273,K273)+COUNTIF($K$3:K273,K273)=1,MAX($BN$2:BP272,BN273,BO273)+1,""))</f>
      </c>
      <c r="BQ273" s="129">
        <f>IF(AY273=1,IFERROR(MID(Q273,FIND(" (",Q273)+2,FIND(")",Q273,FIND(" (",Q273))-FIND(" (",Q273)-2),"?"),"")</f>
      </c>
      <c r="BR273" s="129">
        <f>IF(BQ273="","",IF(COUNTIF($BQ$3:BQ273,BQ273)=1,MAX($BR$2:BR272)+1,""))</f>
      </c>
      <c r="BS273" s="129">
        <f>IF(AW273="","",COUNTIF($AW$3:AW273,"?*"))</f>
      </c>
      <c r="BT273" s="129">
        <f>IF(OR(AW273="",AI273=""),"",IF(COUNTIFS($AW$3:AW273,"?*",$AI$3:AI273,AI273)=1,MAX($BT$2:BT272)+1,""))</f>
      </c>
      <c r="BU273" s="129">
        <f>IF(AE273="",0,IF(OR(ISNUMBER(SEARCH("дубль",AE273)),ISNUMBER(SEARCH("ПЕРЕГРУЗ",AE273)),ISNUMBER(SEARCH("ЗАЩИЩ",AE273)),ISNUMBER(SEARCH("КАНАЛ",AE273)),ISNUMBER(SEARCH("без 30",AE273))),2,1))</f>
      </c>
      <c r="BV273" s="129">
        <f>IF(R273="","",COUNTIF($R$3:R273,"?*"))</f>
      </c>
      <c r="BW273" s="129">
        <f>IF(AY273&lt;&gt;1,0,IF(MAX(IFERROR(--VLOOKUP(R273,УГО_спр,5,FALSE),0),IFERROR(--VLOOKUP(AL273,УГО_спр,5,FALSE),0),IFERROR(--VLOOKUP(LEFT(AL273,2),УГО_спр,5,FALSE),0))&gt;0,MAX(IFERROR(--VLOOKUP(R273,УГО_спр,5,FALSE),0),IFERROR(--VLOOKUP(AL273,УГО_спр,5,FALSE),0),IFERROR(--VLOOKUP(LEFT(AL273,2),УГО_спр,5,FALSE),0)),IF(IFERROR(--LEFT(SUBSTITUTE(BQ273,"x","х"),FIND("х",SUBSTITUTE(BQ273,"x","х"))-1),3)&gt;3,Каталог!$S$9,1)))</f>
      </c>
      <c r="BX273" s="129">
        <f>IF(AY273&lt;&gt;1,0,MAX(0,IFERROR(--LEFT(SUBSTITUTE(BQ273,"x","х"),FIND("х",SUBSTITUTE(BQ273,"x","х"))-1),3)-3*BW273))</f>
      </c>
      <c r="BY273" s="129">
        <f>IF(R273="","",IFERROR(VLOOKUP(R273,УГО_спр,2,FALSE),IFERROR(VLOOKUP(AL273,УГО_спр,2,FALSE),IFERROR(VLOOKUP(LEFT(AL273,2),УГО_спр,2,FALSE),""))))</f>
      </c>
    </row>
    <row r="274" spans="1:64" x14ac:dyDescent="0.3">
      <c r="A274" s="135">
        <f>IF(Разбивка_по_щитам!F274=0,"",Разбивка_по_щитам!F274)</f>
      </c>
      <c r="B274" s="138">
        <f>IF(A274="","",Разбивка_по_щитам!C274)</f>
      </c>
      <c r="C274" s="138">
        <f t="shared" si="170"/>
      </c>
      <c r="D274" s="266"/>
      <c r="E274" s="266"/>
      <c r="F274" s="267"/>
      <c r="G274" s="145">
        <f t="shared" si="171"/>
        <v/>
      </c>
      <c r="H274" s="145">
        <f t="shared" si="172"/>
        <v/>
      </c>
      <c r="I274" s="266"/>
      <c r="J274" s="267"/>
      <c r="K274" s="267"/>
      <c r="L274" s="266"/>
      <c r="M274" s="147">
        <f t="shared" si="173"/>
        <v/>
      </c>
      <c r="N274" s="267"/>
      <c r="O274" s="147">
        <f t="shared" si="174"/>
        <v/>
      </c>
      <c r="P274" s="268">
        <f>IF(AY274=1,"XT"&amp;COUNTIFS($A$3:A274,A274,$AY$3:AY274,1),"")</f>
        <v/>
      </c>
      <c r="Q274" s="152">
        <f>IF(R274="","",IFERROR(SUBSTITUTE(Разбивка_по_щитам!P274,CHAR(10)," "),""))</f>
        <v/>
      </c>
      <c r="R274" s="153">
        <f>IF(OR(Разбивка_по_щитам!H274="",Разбивка_по_щитам!H274=0),"",Разбивка_по_щитам!H274)</f>
        <v/>
      </c>
      <c r="S274" s="154">
        <f>IF(R274="","",IFERROR(Разбивка_по_щитам!J274&amp;"",""))</f>
        <v/>
      </c>
      <c r="T274" s="155">
        <f>IF(R274="","",IFERROR(--Разбивка_по_щитам!L274,""))</f>
        <v/>
      </c>
      <c r="U274" s="155">
        <f>IF(R274="","",IFERROR(--Разбивка_по_щитам!K274,""))</f>
        <v/>
      </c>
      <c r="V274" s="138">
        <f>IF(R274="","",IFERROR(IF(Разбивка_по_щитам!M274=0,"",Разбивка_по_щитам!M274),""))</f>
        <v/>
      </c>
      <c r="W274" s="156">
        <f t="shared" si="175"/>
        <v/>
      </c>
      <c r="X274" s="157">
        <f t="shared" si="176"/>
        <v/>
      </c>
      <c r="Y274" s="266"/>
      <c r="Z274" s="158">
        <f t="shared" si="177"/>
        <v/>
      </c>
      <c r="AA274" s="160">
        <f t="shared" si="178"/>
        <v/>
      </c>
      <c r="AB274" s="160">
        <f>IF(R274="","",IFERROR(LOOKUP(INDEX(Справочная!$I$4:$I$19,MATCH(VLOOKUP(R274,Исходные_данные,22,FALSE),Справочная!$J$4:$J$19,0)+1),{6,10,16,20,25,32,40,50,63,80,100,125}),""))</f>
        <v/>
      </c>
      <c r="AC274" s="160">
        <f t="shared" si="179"/>
        <v/>
      </c>
      <c r="AD274" s="161">
        <f t="shared" si="180"/>
        <v/>
      </c>
      <c r="AE274" s="161">
        <f>IF(AND(R274="",G274=""),"",_xlfn.TEXTJOIN("; ",TRUE,IF(AND(R274&lt;&gt;"",V274=""),"нет фазы",""),IF(AND(R274&lt;&gt;"",N(T274)=0),"нет мощности",""),IF(AND(P274&lt;&gt;"",COUNTIFS($A$3:$A$1000,A274,$P$3:$P$1000,P274)&gt;1),"дубль клеммы "&amp;P274,""),IF(AND(W274&lt;&gt;"",W274&lt;&gt;"ok"),W274,""),IF(X274&lt;&gt;"",X274,""),IF(AND(ISNUMBER(SEARCH("(5х",Q274)),N(AK274)=1),"5 жил на 1 фазе",""),IF(AND(AL274="R",E274&lt;&gt;"",N(AS274)=0),"розетка без 30 мА",""),IF(IFERROR(_xlfn.NUMBERVALUE(MID(Q274,FIND("-",Q274,FIND("L=",Q274))+1,FIND("%",Q274)-FIND("-",Q274,FIND("L=",Q274))-1),","),0)&gt;4,"потери &gt; 4 %","")))</f>
      </c>
      <c r="AF274" s="129">
        <f>IF(E274&lt;&gt;"",COUNTIFS($A$3:A274,A274,$E$3:E274,"?*"),IF(OR(A274&lt;&gt;A273,Y274="вручную"),"",AF273))</f>
      </c>
      <c r="AG274" s="129">
        <f t="shared" si="181"/>
      </c>
      <c r="AH274" s="129">
        <f t="shared" si="182"/>
        <v/>
      </c>
      <c r="AI274" s="129">
        <f t="shared" si="183"/>
        <v/>
      </c>
      <c r="AJ274" s="129">
        <f t="shared" si="184"/>
        <v/>
      </c>
      <c r="AK274" s="129">
        <f t="shared" si="185"/>
        <v/>
      </c>
      <c r="AL274" s="129">
        <f t="shared" si="186"/>
        <v/>
      </c>
      <c r="AM274" s="129">
        <f t="shared" si="187"/>
      </c>
      <c r="AN274" s="129">
        <f t="shared" si="188"/>
      </c>
      <c r="AO274" s="129">
        <f t="shared" si="189"/>
        <v/>
      </c>
      <c r="AP274" s="129">
        <f t="shared" si="190"/>
        <v/>
      </c>
      <c r="AQ274" s="129">
        <f t="shared" si="191"/>
        <v/>
      </c>
      <c r="AR274" s="129">
        <f t="shared" si="192"/>
        <v/>
      </c>
      <c r="AS274" s="129">
        <f t="shared" si="193"/>
        <v/>
      </c>
      <c r="AT274" s="129">
        <f t="shared" si="194"/>
        <v/>
      </c>
      <c r="AU274" s="129">
        <f t="shared" si="195"/>
        <v/>
      </c>
      <c r="AV274" s="129">
        <f t="shared" si="196"/>
        <v/>
      </c>
      <c r="AW274" s="129">
        <f>IF(AV274="","",AV274&amp;"."&amp;COUNTIFS($A$3:A274,A274,$AV$3:AV274,AV274))</f>
        <v/>
      </c>
      <c r="AX274" s="129">
        <f t="shared" si="197"/>
        <v/>
      </c>
      <c r="AY274" s="129">
        <f>IF(N274="б/к",0,IF(OR(ISNUMBER(SEARCH("L=",Разбивка_по_щитам!P274)),N274="+",N274="="),1,0))</f>
      </c>
      <c r="AZ274" s="129">
        <f t="shared" si="198"/>
      </c>
      <c r="BA274" s="129">
        <f t="shared" si="199"/>
      </c>
      <c r="BB274" s="129">
        <f t="shared" si="200"/>
      </c>
      <c r="BD274" s="129">
        <f t="shared" si="201"/>
      </c>
      <c r="BE274" s="129">
        <f t="shared" si="202"/>
      </c>
      <c r="BF274" s="129">
        <f t="shared" si="203"/>
      </c>
      <c r="BG274" s="129">
        <f t="shared" si="204"/>
        <v/>
      </c>
      <c r="BH274" s="129">
        <f t="shared" si="205"/>
        <v/>
      </c>
      <c r="BI274" s="129">
        <f t="shared" si="206"/>
        <v/>
      </c>
      <c r="BJ274" s="129">
        <f t="shared" si="207"/>
        <v/>
      </c>
      <c r="BK274" s="129">
        <f>IF(R274="","",IF(OR(BY274="",BY274=0),"BOX",IFERROR(IF(VLOOKUP(BY274,УГО_блоки,3,FALSE)&amp;""&lt;&gt;"",VLOOKUP(BY274,УГО_блоки,3,FALSE),VLOOKUP(BY274,УГО_блоки,2,FALSE)),BY274)))</f>
      </c>
      <c r="BL274" s="129">
        <f t="shared" si="209"/>
      </c>
      <c r="BM274" s="129">
        <f>IF(H274="","",IF(COUNTIF($H$3:H274,H274)=1,MAX($BM$2:BM273)+1,""))</f>
      </c>
      <c r="BN274" s="129">
        <f>IF(I274="","",IF(COUNTIF($I$3:I274,I274)+COUNTIF($J$2:J273,I274)+COUNTIF($K$2:K273,I274)=1,MAX($BN$2:BP273)+1,""))</f>
      </c>
      <c r="BO274" s="129">
        <f>IF(J274="","",IF(COUNTIF($I$3:I274,J274)+COUNTIF($J$3:J274,J274)+COUNTIF($K$2:K273,J274)=1,MAX($BN$2:BP273,BN274)+1,""))</f>
      </c>
      <c r="BP274" s="129">
        <f>IF(K274="","",IF(COUNTIF($I$3:I274,K274)+COUNTIF($J$3:J274,K274)+COUNTIF($K$3:K274,K274)=1,MAX($BN$2:BP273,BN274,BO274)+1,""))</f>
      </c>
      <c r="BQ274" s="129">
        <f>IF(AY274=1,IFERROR(MID(Q274,FIND(" (",Q274)+2,FIND(")",Q274,FIND(" (",Q274))-FIND(" (",Q274)-2),"?"),"")</f>
      </c>
      <c r="BR274" s="129">
        <f>IF(BQ274="","",IF(COUNTIF($BQ$3:BQ274,BQ274)=1,MAX($BR$2:BR273)+1,""))</f>
      </c>
      <c r="BS274" s="129">
        <f>IF(AW274="","",COUNTIF($AW$3:AW274,"?*"))</f>
      </c>
      <c r="BT274" s="129">
        <f>IF(OR(AW274="",AI274=""),"",IF(COUNTIFS($AW$3:AW274,"?*",$AI$3:AI274,AI274)=1,MAX($BT$2:BT273)+1,""))</f>
      </c>
      <c r="BU274" s="129">
        <f>IF(AE274="",0,IF(OR(ISNUMBER(SEARCH("дубль",AE274)),ISNUMBER(SEARCH("ПЕРЕГРУЗ",AE274)),ISNUMBER(SEARCH("ЗАЩИЩ",AE274)),ISNUMBER(SEARCH("КАНАЛ",AE274)),ISNUMBER(SEARCH("без 30",AE274))),2,1))</f>
      </c>
      <c r="BV274" s="129">
        <f>IF(R274="","",COUNTIF($R$3:R274,"?*"))</f>
      </c>
      <c r="BW274" s="129">
        <f>IF(AY274&lt;&gt;1,0,IF(MAX(IFERROR(--VLOOKUP(R274,УГО_спр,5,FALSE),0),IFERROR(--VLOOKUP(AL274,УГО_спр,5,FALSE),0),IFERROR(--VLOOKUP(LEFT(AL274,2),УГО_спр,5,FALSE),0))&gt;0,MAX(IFERROR(--VLOOKUP(R274,УГО_спр,5,FALSE),0),IFERROR(--VLOOKUP(AL274,УГО_спр,5,FALSE),0),IFERROR(--VLOOKUP(LEFT(AL274,2),УГО_спр,5,FALSE),0)),IF(IFERROR(--LEFT(SUBSTITUTE(BQ274,"x","х"),FIND("х",SUBSTITUTE(BQ274,"x","х"))-1),3)&gt;3,Каталог!$S$9,1)))</f>
      </c>
      <c r="BX274" s="129">
        <f>IF(AY274&lt;&gt;1,0,MAX(0,IFERROR(--LEFT(SUBSTITUTE(BQ274,"x","х"),FIND("х",SUBSTITUTE(BQ274,"x","х"))-1),3)-3*BW274))</f>
      </c>
      <c r="BY274" s="129">
        <f>IF(R274="","",IFERROR(VLOOKUP(R274,УГО_спр,2,FALSE),IFERROR(VLOOKUP(AL274,УГО_спр,2,FALSE),IFERROR(VLOOKUP(LEFT(AL274,2),УГО_спр,2,FALSE),""))))</f>
      </c>
    </row>
    <row r="275" spans="1:64" x14ac:dyDescent="0.3">
      <c r="A275" s="135">
        <f>IF(Разбивка_по_щитам!F275=0,"",Разбивка_по_щитам!F275)</f>
      </c>
      <c r="B275" s="138">
        <f>IF(A275="","",Разбивка_по_щитам!C275)</f>
      </c>
      <c r="C275" s="138">
        <f t="shared" si="170"/>
      </c>
      <c r="D275" s="266"/>
      <c r="E275" s="266"/>
      <c r="F275" s="267"/>
      <c r="G275" s="145">
        <f t="shared" si="171"/>
        <v/>
      </c>
      <c r="H275" s="145">
        <f t="shared" si="172"/>
        <v/>
      </c>
      <c r="I275" s="266"/>
      <c r="J275" s="267"/>
      <c r="K275" s="267"/>
      <c r="L275" s="266"/>
      <c r="M275" s="147">
        <f t="shared" si="173"/>
        <v/>
      </c>
      <c r="N275" s="267"/>
      <c r="O275" s="147">
        <f t="shared" si="174"/>
        <v/>
      </c>
      <c r="P275" s="268">
        <f>IF(AY275=1,"XT"&amp;COUNTIFS($A$3:A275,A275,$AY$3:AY275,1),"")</f>
        <v/>
      </c>
      <c r="Q275" s="152">
        <f>IF(R275="","",IFERROR(SUBSTITUTE(Разбивка_по_щитам!P275,CHAR(10)," "),""))</f>
        <v/>
      </c>
      <c r="R275" s="153">
        <f>IF(OR(Разбивка_по_щитам!H275="",Разбивка_по_щитам!H275=0),"",Разбивка_по_щитам!H275)</f>
        <v/>
      </c>
      <c r="S275" s="154">
        <f>IF(R275="","",IFERROR(Разбивка_по_щитам!J275&amp;"",""))</f>
        <v/>
      </c>
      <c r="T275" s="155">
        <f>IF(R275="","",IFERROR(--Разбивка_по_щитам!L275,""))</f>
        <v/>
      </c>
      <c r="U275" s="155">
        <f>IF(R275="","",IFERROR(--Разбивка_по_щитам!K275,""))</f>
        <v/>
      </c>
      <c r="V275" s="138">
        <f>IF(R275="","",IFERROR(IF(Разбивка_по_щитам!M275=0,"",Разбивка_по_щитам!M275),""))</f>
        <v/>
      </c>
      <c r="W275" s="156">
        <f t="shared" si="175"/>
        <v/>
      </c>
      <c r="X275" s="157">
        <f t="shared" si="176"/>
        <v/>
      </c>
      <c r="Y275" s="266"/>
      <c r="Z275" s="158">
        <f t="shared" si="177"/>
        <v/>
      </c>
      <c r="AA275" s="160">
        <f t="shared" si="178"/>
        <v/>
      </c>
      <c r="AB275" s="160">
        <f>IF(R275="","",IFERROR(LOOKUP(INDEX(Справочная!$I$4:$I$19,MATCH(VLOOKUP(R275,Исходные_данные,22,FALSE),Справочная!$J$4:$J$19,0)+1),{6,10,16,20,25,32,40,50,63,80,100,125}),""))</f>
        <v/>
      </c>
      <c r="AC275" s="160">
        <f t="shared" si="179"/>
        <v/>
      </c>
      <c r="AD275" s="161">
        <f t="shared" si="180"/>
        <v/>
      </c>
      <c r="AE275" s="161">
        <f>IF(AND(R275="",G275=""),"",_xlfn.TEXTJOIN("; ",TRUE,IF(AND(R275&lt;&gt;"",V275=""),"нет фазы",""),IF(AND(R275&lt;&gt;"",N(T275)=0),"нет мощности",""),IF(AND(P275&lt;&gt;"",COUNTIFS($A$3:$A$1000,A275,$P$3:$P$1000,P275)&gt;1),"дубль клеммы "&amp;P275,""),IF(AND(W275&lt;&gt;"",W275&lt;&gt;"ok"),W275,""),IF(X275&lt;&gt;"",X275,""),IF(AND(ISNUMBER(SEARCH("(5х",Q275)),N(AK275)=1),"5 жил на 1 фазе",""),IF(AND(AL275="R",E275&lt;&gt;"",N(AS275)=0),"розетка без 30 мА",""),IF(IFERROR(_xlfn.NUMBERVALUE(MID(Q275,FIND("-",Q275,FIND("L=",Q275))+1,FIND("%",Q275)-FIND("-",Q275,FIND("L=",Q275))-1),","),0)&gt;4,"потери &gt; 4 %","")))</f>
      </c>
      <c r="AF275" s="129">
        <f>IF(E275&lt;&gt;"",COUNTIFS($A$3:A275,A275,$E$3:E275,"?*"),IF(OR(A275&lt;&gt;A274,Y275="вручную"),"",AF274))</f>
      </c>
      <c r="AG275" s="129">
        <f t="shared" si="181"/>
      </c>
      <c r="AH275" s="129">
        <f t="shared" si="182"/>
        <v/>
      </c>
      <c r="AI275" s="129">
        <f t="shared" si="183"/>
        <v/>
      </c>
      <c r="AJ275" s="129">
        <f t="shared" si="184"/>
        <v/>
      </c>
      <c r="AK275" s="129">
        <f t="shared" si="185"/>
        <v/>
      </c>
      <c r="AL275" s="129">
        <f t="shared" si="186"/>
        <v/>
      </c>
      <c r="AM275" s="129">
        <f t="shared" si="187"/>
      </c>
      <c r="AN275" s="129">
        <f t="shared" si="188"/>
      </c>
      <c r="AO275" s="129">
        <f t="shared" si="189"/>
        <v/>
      </c>
      <c r="AP275" s="129">
        <f t="shared" si="190"/>
        <v/>
      </c>
      <c r="AQ275" s="129">
        <f t="shared" si="191"/>
        <v/>
      </c>
      <c r="AR275" s="129">
        <f t="shared" si="192"/>
        <v/>
      </c>
      <c r="AS275" s="129">
        <f t="shared" si="193"/>
        <v/>
      </c>
      <c r="AT275" s="129">
        <f t="shared" si="194"/>
        <v/>
      </c>
      <c r="AU275" s="129">
        <f t="shared" si="195"/>
        <v/>
      </c>
      <c r="AV275" s="129">
        <f t="shared" si="196"/>
        <v/>
      </c>
      <c r="AW275" s="129">
        <f>IF(AV275="","",AV275&amp;"."&amp;COUNTIFS($A$3:A275,A275,$AV$3:AV275,AV275))</f>
        <v/>
      </c>
      <c r="AX275" s="129">
        <f t="shared" si="197"/>
        <v/>
      </c>
      <c r="AY275" s="129">
        <f>IF(N275="б/к",0,IF(OR(ISNUMBER(SEARCH("L=",Разбивка_по_щитам!P275)),N275="+",N275="="),1,0))</f>
      </c>
      <c r="AZ275" s="129">
        <f t="shared" si="198"/>
      </c>
      <c r="BA275" s="129">
        <f t="shared" si="199"/>
      </c>
      <c r="BB275" s="129">
        <f t="shared" si="200"/>
      </c>
      <c r="BD275" s="129">
        <f t="shared" si="201"/>
      </c>
      <c r="BE275" s="129">
        <f t="shared" si="202"/>
      </c>
      <c r="BF275" s="129">
        <f t="shared" si="203"/>
      </c>
      <c r="BG275" s="129">
        <f t="shared" si="204"/>
        <v/>
      </c>
      <c r="BH275" s="129">
        <f t="shared" si="205"/>
        <v/>
      </c>
      <c r="BI275" s="129">
        <f t="shared" si="206"/>
        <v/>
      </c>
      <c r="BJ275" s="129">
        <f t="shared" si="207"/>
        <v/>
      </c>
      <c r="BK275" s="129">
        <f>IF(R275="","",IF(OR(BY275="",BY275=0),"BOX",IFERROR(IF(VLOOKUP(BY275,УГО_блоки,3,FALSE)&amp;""&lt;&gt;"",VLOOKUP(BY275,УГО_блоки,3,FALSE),VLOOKUP(BY275,УГО_блоки,2,FALSE)),BY275)))</f>
      </c>
      <c r="BL275" s="129">
        <f t="shared" si="209"/>
      </c>
      <c r="BM275" s="129">
        <f>IF(H275="","",IF(COUNTIF($H$3:H275,H275)=1,MAX($BM$2:BM274)+1,""))</f>
      </c>
      <c r="BN275" s="129">
        <f>IF(I275="","",IF(COUNTIF($I$3:I275,I275)+COUNTIF($J$2:J274,I275)+COUNTIF($K$2:K274,I275)=1,MAX($BN$2:BP274)+1,""))</f>
      </c>
      <c r="BO275" s="129">
        <f>IF(J275="","",IF(COUNTIF($I$3:I275,J275)+COUNTIF($J$3:J275,J275)+COUNTIF($K$2:K274,J275)=1,MAX($BN$2:BP274,BN275)+1,""))</f>
      </c>
      <c r="BP275" s="129">
        <f>IF(K275="","",IF(COUNTIF($I$3:I275,K275)+COUNTIF($J$3:J275,K275)+COUNTIF($K$3:K275,K275)=1,MAX($BN$2:BP274,BN275,BO275)+1,""))</f>
      </c>
      <c r="BQ275" s="129">
        <f>IF(AY275=1,IFERROR(MID(Q275,FIND(" (",Q275)+2,FIND(")",Q275,FIND(" (",Q275))-FIND(" (",Q275)-2),"?"),"")</f>
      </c>
      <c r="BR275" s="129">
        <f>IF(BQ275="","",IF(COUNTIF($BQ$3:BQ275,BQ275)=1,MAX($BR$2:BR274)+1,""))</f>
      </c>
      <c r="BS275" s="129">
        <f>IF(AW275="","",COUNTIF($AW$3:AW275,"?*"))</f>
      </c>
      <c r="BT275" s="129">
        <f>IF(OR(AW275="",AI275=""),"",IF(COUNTIFS($AW$3:AW275,"?*",$AI$3:AI275,AI275)=1,MAX($BT$2:BT274)+1,""))</f>
      </c>
      <c r="BU275" s="129">
        <f>IF(AE275="",0,IF(OR(ISNUMBER(SEARCH("дубль",AE275)),ISNUMBER(SEARCH("ПЕРЕГРУЗ",AE275)),ISNUMBER(SEARCH("ЗАЩИЩ",AE275)),ISNUMBER(SEARCH("КАНАЛ",AE275)),ISNUMBER(SEARCH("без 30",AE275))),2,1))</f>
      </c>
      <c r="BV275" s="129">
        <f>IF(R275="","",COUNTIF($R$3:R275,"?*"))</f>
      </c>
      <c r="BW275" s="129">
        <f>IF(AY275&lt;&gt;1,0,IF(MAX(IFERROR(--VLOOKUP(R275,УГО_спр,5,FALSE),0),IFERROR(--VLOOKUP(AL275,УГО_спр,5,FALSE),0),IFERROR(--VLOOKUP(LEFT(AL275,2),УГО_спр,5,FALSE),0))&gt;0,MAX(IFERROR(--VLOOKUP(R275,УГО_спр,5,FALSE),0),IFERROR(--VLOOKUP(AL275,УГО_спр,5,FALSE),0),IFERROR(--VLOOKUP(LEFT(AL275,2),УГО_спр,5,FALSE),0)),IF(IFERROR(--LEFT(SUBSTITUTE(BQ275,"x","х"),FIND("х",SUBSTITUTE(BQ275,"x","х"))-1),3)&gt;3,Каталог!$S$9,1)))</f>
      </c>
      <c r="BX275" s="129">
        <f>IF(AY275&lt;&gt;1,0,MAX(0,IFERROR(--LEFT(SUBSTITUTE(BQ275,"x","х"),FIND("х",SUBSTITUTE(BQ275,"x","х"))-1),3)-3*BW275))</f>
      </c>
      <c r="BY275" s="129">
        <f>IF(R275="","",IFERROR(VLOOKUP(R275,УГО_спр,2,FALSE),IFERROR(VLOOKUP(AL275,УГО_спр,2,FALSE),IFERROR(VLOOKUP(LEFT(AL275,2),УГО_спр,2,FALSE),""))))</f>
      </c>
    </row>
    <row r="276" spans="1:64" x14ac:dyDescent="0.3">
      <c r="A276" s="135">
        <f>IF(Разбивка_по_щитам!F276=0,"",Разбивка_по_щитам!F276)</f>
      </c>
      <c r="B276" s="138">
        <f>IF(A276="","",Разбивка_по_щитам!C276)</f>
      </c>
      <c r="C276" s="138">
        <f t="shared" si="170"/>
      </c>
      <c r="D276" s="266"/>
      <c r="E276" s="266"/>
      <c r="F276" s="267"/>
      <c r="G276" s="145">
        <f t="shared" si="171"/>
        <v/>
      </c>
      <c r="H276" s="145">
        <f t="shared" si="172"/>
        <v/>
      </c>
      <c r="I276" s="266"/>
      <c r="J276" s="267"/>
      <c r="K276" s="267"/>
      <c r="L276" s="266"/>
      <c r="M276" s="147">
        <f t="shared" si="173"/>
        <v/>
      </c>
      <c r="N276" s="267"/>
      <c r="O276" s="147">
        <f t="shared" si="174"/>
        <v/>
      </c>
      <c r="P276" s="268">
        <f>IF(AY276=1,"XT"&amp;COUNTIFS($A$3:A276,A276,$AY$3:AY276,1),"")</f>
        <v/>
      </c>
      <c r="Q276" s="152">
        <f>IF(R276="","",IFERROR(SUBSTITUTE(Разбивка_по_щитам!P276,CHAR(10)," "),""))</f>
        <v/>
      </c>
      <c r="R276" s="153">
        <f>IF(OR(Разбивка_по_щитам!H276="",Разбивка_по_щитам!H276=0),"",Разбивка_по_щитам!H276)</f>
        <v/>
      </c>
      <c r="S276" s="154">
        <f>IF(R276="","",IFERROR(Разбивка_по_щитам!J276&amp;"",""))</f>
        <v/>
      </c>
      <c r="T276" s="155">
        <f>IF(R276="","",IFERROR(--Разбивка_по_щитам!L276,""))</f>
        <v/>
      </c>
      <c r="U276" s="155">
        <f>IF(R276="","",IFERROR(--Разбивка_по_щитам!K276,""))</f>
        <v/>
      </c>
      <c r="V276" s="138">
        <f>IF(R276="","",IFERROR(IF(Разбивка_по_щитам!M276=0,"",Разбивка_по_щитам!M276),""))</f>
        <v/>
      </c>
      <c r="W276" s="156">
        <f t="shared" si="175"/>
        <v/>
      </c>
      <c r="X276" s="157">
        <f t="shared" si="176"/>
        <v/>
      </c>
      <c r="Y276" s="266"/>
      <c r="Z276" s="158">
        <f t="shared" si="177"/>
        <v/>
      </c>
      <c r="AA276" s="160">
        <f t="shared" si="178"/>
        <v/>
      </c>
      <c r="AB276" s="160">
        <f>IF(R276="","",IFERROR(LOOKUP(INDEX(Справочная!$I$4:$I$19,MATCH(VLOOKUP(R276,Исходные_данные,22,FALSE),Справочная!$J$4:$J$19,0)+1),{6,10,16,20,25,32,40,50,63,80,100,125}),""))</f>
        <v/>
      </c>
      <c r="AC276" s="160">
        <f t="shared" si="179"/>
        <v/>
      </c>
      <c r="AD276" s="161">
        <f t="shared" si="180"/>
        <v/>
      </c>
      <c r="AE276" s="161">
        <f>IF(AND(R276="",G276=""),"",_xlfn.TEXTJOIN("; ",TRUE,IF(AND(R276&lt;&gt;"",V276=""),"нет фазы",""),IF(AND(R276&lt;&gt;"",N(T276)=0),"нет мощности",""),IF(AND(P276&lt;&gt;"",COUNTIFS($A$3:$A$1000,A276,$P$3:$P$1000,P276)&gt;1),"дубль клеммы "&amp;P276,""),IF(AND(W276&lt;&gt;"",W276&lt;&gt;"ok"),W276,""),IF(X276&lt;&gt;"",X276,""),IF(AND(ISNUMBER(SEARCH("(5х",Q276)),N(AK276)=1),"5 жил на 1 фазе",""),IF(AND(AL276="R",E276&lt;&gt;"",N(AS276)=0),"розетка без 30 мА",""),IF(IFERROR(_xlfn.NUMBERVALUE(MID(Q276,FIND("-",Q276,FIND("L=",Q276))+1,FIND("%",Q276)-FIND("-",Q276,FIND("L=",Q276))-1),","),0)&gt;4,"потери &gt; 4 %","")))</f>
      </c>
      <c r="AF276" s="129">
        <f>IF(E276&lt;&gt;"",COUNTIFS($A$3:A276,A276,$E$3:E276,"?*"),IF(OR(A276&lt;&gt;A275,Y276="вручную"),"",AF275))</f>
      </c>
      <c r="AG276" s="129">
        <f t="shared" si="181"/>
      </c>
      <c r="AH276" s="129">
        <f t="shared" si="182"/>
        <v/>
      </c>
      <c r="AI276" s="129">
        <f t="shared" si="183"/>
        <v/>
      </c>
      <c r="AJ276" s="129">
        <f t="shared" si="184"/>
        <v/>
      </c>
      <c r="AK276" s="129">
        <f t="shared" si="185"/>
        <v/>
      </c>
      <c r="AL276" s="129">
        <f t="shared" si="186"/>
        <v/>
      </c>
      <c r="AM276" s="129">
        <f t="shared" si="187"/>
      </c>
      <c r="AN276" s="129">
        <f t="shared" si="188"/>
      </c>
      <c r="AO276" s="129">
        <f t="shared" si="189"/>
        <v/>
      </c>
      <c r="AP276" s="129">
        <f t="shared" si="190"/>
        <v/>
      </c>
      <c r="AQ276" s="129">
        <f t="shared" si="191"/>
        <v/>
      </c>
      <c r="AR276" s="129">
        <f t="shared" si="192"/>
        <v/>
      </c>
      <c r="AS276" s="129">
        <f t="shared" si="193"/>
        <v/>
      </c>
      <c r="AT276" s="129">
        <f t="shared" si="194"/>
        <v/>
      </c>
      <c r="AU276" s="129">
        <f t="shared" si="195"/>
        <v/>
      </c>
      <c r="AV276" s="129">
        <f t="shared" si="196"/>
        <v/>
      </c>
      <c r="AW276" s="129">
        <f>IF(AV276="","",AV276&amp;"."&amp;COUNTIFS($A$3:A276,A276,$AV$3:AV276,AV276))</f>
        <v/>
      </c>
      <c r="AX276" s="129">
        <f t="shared" si="197"/>
        <v/>
      </c>
      <c r="AY276" s="129">
        <f>IF(N276="б/к",0,IF(OR(ISNUMBER(SEARCH("L=",Разбивка_по_щитам!P276)),N276="+",N276="="),1,0))</f>
      </c>
      <c r="AZ276" s="129">
        <f t="shared" si="198"/>
      </c>
      <c r="BA276" s="129">
        <f t="shared" si="199"/>
      </c>
      <c r="BB276" s="129">
        <f t="shared" si="200"/>
      </c>
      <c r="BD276" s="129">
        <f t="shared" si="201"/>
      </c>
      <c r="BE276" s="129">
        <f t="shared" si="202"/>
      </c>
      <c r="BF276" s="129">
        <f t="shared" si="203"/>
      </c>
      <c r="BG276" s="129">
        <f t="shared" si="204"/>
        <v/>
      </c>
      <c r="BH276" s="129">
        <f t="shared" si="205"/>
        <v/>
      </c>
      <c r="BI276" s="129">
        <f t="shared" si="206"/>
        <v/>
      </c>
      <c r="BJ276" s="129">
        <f t="shared" si="207"/>
        <v/>
      </c>
      <c r="BK276" s="129">
        <f>IF(R276="","",IF(OR(BY276="",BY276=0),"BOX",IFERROR(IF(VLOOKUP(BY276,УГО_блоки,3,FALSE)&amp;""&lt;&gt;"",VLOOKUP(BY276,УГО_блоки,3,FALSE),VLOOKUP(BY276,УГО_блоки,2,FALSE)),BY276)))</f>
      </c>
      <c r="BL276" s="129">
        <f t="shared" si="209"/>
      </c>
      <c r="BM276" s="129">
        <f>IF(H276="","",IF(COUNTIF($H$3:H276,H276)=1,MAX($BM$2:BM275)+1,""))</f>
      </c>
      <c r="BN276" s="129">
        <f>IF(I276="","",IF(COUNTIF($I$3:I276,I276)+COUNTIF($J$2:J275,I276)+COUNTIF($K$2:K275,I276)=1,MAX($BN$2:BP275)+1,""))</f>
      </c>
      <c r="BO276" s="129">
        <f>IF(J276="","",IF(COUNTIF($I$3:I276,J276)+COUNTIF($J$3:J276,J276)+COUNTIF($K$2:K275,J276)=1,MAX($BN$2:BP275,BN276)+1,""))</f>
      </c>
      <c r="BP276" s="129">
        <f>IF(K276="","",IF(COUNTIF($I$3:I276,K276)+COUNTIF($J$3:J276,K276)+COUNTIF($K$3:K276,K276)=1,MAX($BN$2:BP275,BN276,BO276)+1,""))</f>
      </c>
      <c r="BQ276" s="129">
        <f>IF(AY276=1,IFERROR(MID(Q276,FIND(" (",Q276)+2,FIND(")",Q276,FIND(" (",Q276))-FIND(" (",Q276)-2),"?"),"")</f>
      </c>
      <c r="BR276" s="129">
        <f>IF(BQ276="","",IF(COUNTIF($BQ$3:BQ276,BQ276)=1,MAX($BR$2:BR275)+1,""))</f>
      </c>
      <c r="BS276" s="129">
        <f>IF(AW276="","",COUNTIF($AW$3:AW276,"?*"))</f>
      </c>
      <c r="BT276" s="129">
        <f>IF(OR(AW276="",AI276=""),"",IF(COUNTIFS($AW$3:AW276,"?*",$AI$3:AI276,AI276)=1,MAX($BT$2:BT275)+1,""))</f>
      </c>
      <c r="BU276" s="129">
        <f>IF(AE276="",0,IF(OR(ISNUMBER(SEARCH("дубль",AE276)),ISNUMBER(SEARCH("ПЕРЕГРУЗ",AE276)),ISNUMBER(SEARCH("ЗАЩИЩ",AE276)),ISNUMBER(SEARCH("КАНАЛ",AE276)),ISNUMBER(SEARCH("без 30",AE276))),2,1))</f>
      </c>
      <c r="BV276" s="129">
        <f>IF(R276="","",COUNTIF($R$3:R276,"?*"))</f>
      </c>
      <c r="BW276" s="129">
        <f>IF(AY276&lt;&gt;1,0,IF(MAX(IFERROR(--VLOOKUP(R276,УГО_спр,5,FALSE),0),IFERROR(--VLOOKUP(AL276,УГО_спр,5,FALSE),0),IFERROR(--VLOOKUP(LEFT(AL276,2),УГО_спр,5,FALSE),0))&gt;0,MAX(IFERROR(--VLOOKUP(R276,УГО_спр,5,FALSE),0),IFERROR(--VLOOKUP(AL276,УГО_спр,5,FALSE),0),IFERROR(--VLOOKUP(LEFT(AL276,2),УГО_спр,5,FALSE),0)),IF(IFERROR(--LEFT(SUBSTITUTE(BQ276,"x","х"),FIND("х",SUBSTITUTE(BQ276,"x","х"))-1),3)&gt;3,Каталог!$S$9,1)))</f>
      </c>
      <c r="BX276" s="129">
        <f>IF(AY276&lt;&gt;1,0,MAX(0,IFERROR(--LEFT(SUBSTITUTE(BQ276,"x","х"),FIND("х",SUBSTITUTE(BQ276,"x","х"))-1),3)-3*BW276))</f>
      </c>
      <c r="BY276" s="129">
        <f>IF(R276="","",IFERROR(VLOOKUP(R276,УГО_спр,2,FALSE),IFERROR(VLOOKUP(AL276,УГО_спр,2,FALSE),IFERROR(VLOOKUP(LEFT(AL276,2),УГО_спр,2,FALSE),""))))</f>
      </c>
    </row>
    <row r="277" spans="1:64" x14ac:dyDescent="0.3">
      <c r="A277" s="135">
        <f>IF(Разбивка_по_щитам!F277=0,"",Разбивка_по_щитам!F277)</f>
      </c>
      <c r="B277" s="138">
        <f>IF(A277="","",Разбивка_по_щитам!C277)</f>
      </c>
      <c r="C277" s="138">
        <f t="shared" si="170"/>
      </c>
      <c r="D277" s="266"/>
      <c r="E277" s="266"/>
      <c r="F277" s="267"/>
      <c r="G277" s="145">
        <f t="shared" si="171"/>
        <v/>
      </c>
      <c r="H277" s="145">
        <f t="shared" si="172"/>
        <v/>
      </c>
      <c r="I277" s="266"/>
      <c r="J277" s="267"/>
      <c r="K277" s="267"/>
      <c r="L277" s="266"/>
      <c r="M277" s="147">
        <f t="shared" si="173"/>
        <v/>
      </c>
      <c r="N277" s="267"/>
      <c r="O277" s="147">
        <f t="shared" si="174"/>
        <v/>
      </c>
      <c r="P277" s="268">
        <f>IF(AY277=1,"XT"&amp;COUNTIFS($A$3:A277,A277,$AY$3:AY277,1),"")</f>
        <v/>
      </c>
      <c r="Q277" s="152">
        <f>IF(R277="","",IFERROR(SUBSTITUTE(Разбивка_по_щитам!P277,CHAR(10)," "),""))</f>
        <v/>
      </c>
      <c r="R277" s="153">
        <f>IF(OR(Разбивка_по_щитам!H277="",Разбивка_по_щитам!H277=0),"",Разбивка_по_щитам!H277)</f>
        <v/>
      </c>
      <c r="S277" s="154">
        <f>IF(R277="","",IFERROR(Разбивка_по_щитам!J277&amp;"",""))</f>
        <v/>
      </c>
      <c r="T277" s="155">
        <f>IF(R277="","",IFERROR(--Разбивка_по_щитам!L277,""))</f>
        <v/>
      </c>
      <c r="U277" s="155">
        <f>IF(R277="","",IFERROR(--Разбивка_по_щитам!K277,""))</f>
        <v/>
      </c>
      <c r="V277" s="138">
        <f>IF(R277="","",IFERROR(IF(Разбивка_по_щитам!M277=0,"",Разбивка_по_щитам!M277),""))</f>
        <v/>
      </c>
      <c r="W277" s="156">
        <f t="shared" si="175"/>
        <v/>
      </c>
      <c r="X277" s="157">
        <f t="shared" si="176"/>
        <v/>
      </c>
      <c r="Y277" s="266"/>
      <c r="Z277" s="158">
        <f t="shared" si="177"/>
        <v/>
      </c>
      <c r="AA277" s="160">
        <f t="shared" si="178"/>
        <v/>
      </c>
      <c r="AB277" s="160">
        <f>IF(R277="","",IFERROR(LOOKUP(INDEX(Справочная!$I$4:$I$19,MATCH(VLOOKUP(R277,Исходные_данные,22,FALSE),Справочная!$J$4:$J$19,0)+1),{6,10,16,20,25,32,40,50,63,80,100,125}),""))</f>
        <v/>
      </c>
      <c r="AC277" s="160">
        <f t="shared" si="179"/>
        <v/>
      </c>
      <c r="AD277" s="161">
        <f t="shared" si="180"/>
        <v/>
      </c>
      <c r="AE277" s="161">
        <f>IF(AND(R277="",G277=""),"",_xlfn.TEXTJOIN("; ",TRUE,IF(AND(R277&lt;&gt;"",V277=""),"нет фазы",""),IF(AND(R277&lt;&gt;"",N(T277)=0),"нет мощности",""),IF(AND(P277&lt;&gt;"",COUNTIFS($A$3:$A$1000,A277,$P$3:$P$1000,P277)&gt;1),"дубль клеммы "&amp;P277,""),IF(AND(W277&lt;&gt;"",W277&lt;&gt;"ok"),W277,""),IF(X277&lt;&gt;"",X277,""),IF(AND(ISNUMBER(SEARCH("(5х",Q277)),N(AK277)=1),"5 жил на 1 фазе",""),IF(AND(AL277="R",E277&lt;&gt;"",N(AS277)=0),"розетка без 30 мА",""),IF(IFERROR(_xlfn.NUMBERVALUE(MID(Q277,FIND("-",Q277,FIND("L=",Q277))+1,FIND("%",Q277)-FIND("-",Q277,FIND("L=",Q277))-1),","),0)&gt;4,"потери &gt; 4 %","")))</f>
      </c>
      <c r="AF277" s="129">
        <f>IF(E277&lt;&gt;"",COUNTIFS($A$3:A277,A277,$E$3:E277,"?*"),IF(OR(A277&lt;&gt;A276,Y277="вручную"),"",AF276))</f>
      </c>
      <c r="AG277" s="129">
        <f t="shared" si="181"/>
      </c>
      <c r="AH277" s="129">
        <f t="shared" si="182"/>
        <v/>
      </c>
      <c r="AI277" s="129">
        <f t="shared" si="183"/>
        <v/>
      </c>
      <c r="AJ277" s="129">
        <f t="shared" si="184"/>
        <v/>
      </c>
      <c r="AK277" s="129">
        <f t="shared" si="185"/>
        <v/>
      </c>
      <c r="AL277" s="129">
        <f t="shared" si="186"/>
        <v/>
      </c>
      <c r="AM277" s="129">
        <f t="shared" si="187"/>
      </c>
      <c r="AN277" s="129">
        <f t="shared" si="188"/>
      </c>
      <c r="AO277" s="129">
        <f t="shared" si="189"/>
        <v/>
      </c>
      <c r="AP277" s="129">
        <f t="shared" si="190"/>
        <v/>
      </c>
      <c r="AQ277" s="129">
        <f t="shared" si="191"/>
        <v/>
      </c>
      <c r="AR277" s="129">
        <f t="shared" si="192"/>
        <v/>
      </c>
      <c r="AS277" s="129">
        <f t="shared" si="193"/>
        <v/>
      </c>
      <c r="AT277" s="129">
        <f t="shared" si="194"/>
        <v/>
      </c>
      <c r="AU277" s="129">
        <f t="shared" si="195"/>
        <v/>
      </c>
      <c r="AV277" s="129">
        <f t="shared" si="196"/>
        <v/>
      </c>
      <c r="AW277" s="129">
        <f>IF(AV277="","",AV277&amp;"."&amp;COUNTIFS($A$3:A277,A277,$AV$3:AV277,AV277))</f>
        <v/>
      </c>
      <c r="AX277" s="129">
        <f t="shared" si="197"/>
        <v/>
      </c>
      <c r="AY277" s="129">
        <f>IF(N277="б/к",0,IF(OR(ISNUMBER(SEARCH("L=",Разбивка_по_щитам!P277)),N277="+",N277="="),1,0))</f>
      </c>
      <c r="AZ277" s="129">
        <f t="shared" si="198"/>
      </c>
      <c r="BA277" s="129">
        <f t="shared" si="199"/>
      </c>
      <c r="BB277" s="129">
        <f t="shared" si="200"/>
      </c>
      <c r="BD277" s="129">
        <f t="shared" si="201"/>
      </c>
      <c r="BE277" s="129">
        <f t="shared" si="202"/>
      </c>
      <c r="BF277" s="129">
        <f t="shared" si="203"/>
      </c>
      <c r="BG277" s="129">
        <f t="shared" si="204"/>
        <v/>
      </c>
      <c r="BH277" s="129">
        <f t="shared" si="205"/>
        <v/>
      </c>
      <c r="BI277" s="129">
        <f t="shared" si="206"/>
        <v/>
      </c>
      <c r="BJ277" s="129">
        <f t="shared" si="207"/>
        <v/>
      </c>
      <c r="BK277" s="129">
        <f>IF(R277="","",IF(OR(BY277="",BY277=0),"BOX",IFERROR(IF(VLOOKUP(BY277,УГО_блоки,3,FALSE)&amp;""&lt;&gt;"",VLOOKUP(BY277,УГО_блоки,3,FALSE),VLOOKUP(BY277,УГО_блоки,2,FALSE)),BY277)))</f>
      </c>
      <c r="BL277" s="129">
        <f t="shared" si="209"/>
      </c>
      <c r="BM277" s="129">
        <f>IF(H277="","",IF(COUNTIF($H$3:H277,H277)=1,MAX($BM$2:BM276)+1,""))</f>
      </c>
      <c r="BN277" s="129">
        <f>IF(I277="","",IF(COUNTIF($I$3:I277,I277)+COUNTIF($J$2:J276,I277)+COUNTIF($K$2:K276,I277)=1,MAX($BN$2:BP276)+1,""))</f>
      </c>
      <c r="BO277" s="129">
        <f>IF(J277="","",IF(COUNTIF($I$3:I277,J277)+COUNTIF($J$3:J277,J277)+COUNTIF($K$2:K276,J277)=1,MAX($BN$2:BP276,BN277)+1,""))</f>
      </c>
      <c r="BP277" s="129">
        <f>IF(K277="","",IF(COUNTIF($I$3:I277,K277)+COUNTIF($J$3:J277,K277)+COUNTIF($K$3:K277,K277)=1,MAX($BN$2:BP276,BN277,BO277)+1,""))</f>
      </c>
      <c r="BQ277" s="129">
        <f>IF(AY277=1,IFERROR(MID(Q277,FIND(" (",Q277)+2,FIND(")",Q277,FIND(" (",Q277))-FIND(" (",Q277)-2),"?"),"")</f>
      </c>
      <c r="BR277" s="129">
        <f>IF(BQ277="","",IF(COUNTIF($BQ$3:BQ277,BQ277)=1,MAX($BR$2:BR276)+1,""))</f>
      </c>
      <c r="BS277" s="129">
        <f>IF(AW277="","",COUNTIF($AW$3:AW277,"?*"))</f>
      </c>
      <c r="BT277" s="129">
        <f>IF(OR(AW277="",AI277=""),"",IF(COUNTIFS($AW$3:AW277,"?*",$AI$3:AI277,AI277)=1,MAX($BT$2:BT276)+1,""))</f>
      </c>
      <c r="BU277" s="129">
        <f>IF(AE277="",0,IF(OR(ISNUMBER(SEARCH("дубль",AE277)),ISNUMBER(SEARCH("ПЕРЕГРУЗ",AE277)),ISNUMBER(SEARCH("ЗАЩИЩ",AE277)),ISNUMBER(SEARCH("КАНАЛ",AE277)),ISNUMBER(SEARCH("без 30",AE277))),2,1))</f>
      </c>
      <c r="BV277" s="129">
        <f>IF(R277="","",COUNTIF($R$3:R277,"?*"))</f>
      </c>
      <c r="BW277" s="129">
        <f>IF(AY277&lt;&gt;1,0,IF(MAX(IFERROR(--VLOOKUP(R277,УГО_спр,5,FALSE),0),IFERROR(--VLOOKUP(AL277,УГО_спр,5,FALSE),0),IFERROR(--VLOOKUP(LEFT(AL277,2),УГО_спр,5,FALSE),0))&gt;0,MAX(IFERROR(--VLOOKUP(R277,УГО_спр,5,FALSE),0),IFERROR(--VLOOKUP(AL277,УГО_спр,5,FALSE),0),IFERROR(--VLOOKUP(LEFT(AL277,2),УГО_спр,5,FALSE),0)),IF(IFERROR(--LEFT(SUBSTITUTE(BQ277,"x","х"),FIND("х",SUBSTITUTE(BQ277,"x","х"))-1),3)&gt;3,Каталог!$S$9,1)))</f>
      </c>
      <c r="BX277" s="129">
        <f>IF(AY277&lt;&gt;1,0,MAX(0,IFERROR(--LEFT(SUBSTITUTE(BQ277,"x","х"),FIND("х",SUBSTITUTE(BQ277,"x","х"))-1),3)-3*BW277))</f>
      </c>
      <c r="BY277" s="129">
        <f>IF(R277="","",IFERROR(VLOOKUP(R277,УГО_спр,2,FALSE),IFERROR(VLOOKUP(AL277,УГО_спр,2,FALSE),IFERROR(VLOOKUP(LEFT(AL277,2),УГО_спр,2,FALSE),""))))</f>
      </c>
    </row>
    <row r="278" spans="1:64" x14ac:dyDescent="0.3">
      <c r="A278" s="135">
        <f>IF(Разбивка_по_щитам!F278=0,"",Разбивка_по_щитам!F278)</f>
      </c>
      <c r="B278" s="138">
        <f>IF(A278="","",Разбивка_по_щитам!C278)</f>
      </c>
      <c r="C278" s="138">
        <f t="shared" si="170"/>
      </c>
      <c r="D278" s="266"/>
      <c r="E278" s="266"/>
      <c r="F278" s="267"/>
      <c r="G278" s="145">
        <f t="shared" si="171"/>
        <v/>
      </c>
      <c r="H278" s="145">
        <f t="shared" si="172"/>
        <v/>
      </c>
      <c r="I278" s="266"/>
      <c r="J278" s="267"/>
      <c r="K278" s="267"/>
      <c r="L278" s="266"/>
      <c r="M278" s="147">
        <f t="shared" si="173"/>
        <v/>
      </c>
      <c r="N278" s="267"/>
      <c r="O278" s="147">
        <f t="shared" si="174"/>
        <v/>
      </c>
      <c r="P278" s="268">
        <f>IF(AY278=1,"XT"&amp;COUNTIFS($A$3:A278,A278,$AY$3:AY278,1),"")</f>
        <v/>
      </c>
      <c r="Q278" s="152">
        <f>IF(R278="","",IFERROR(SUBSTITUTE(Разбивка_по_щитам!P278,CHAR(10)," "),""))</f>
        <v/>
      </c>
      <c r="R278" s="153">
        <f>IF(OR(Разбивка_по_щитам!H278="",Разбивка_по_щитам!H278=0),"",Разбивка_по_щитам!H278)</f>
        <v/>
      </c>
      <c r="S278" s="154">
        <f>IF(R278="","",IFERROR(Разбивка_по_щитам!J278&amp;"",""))</f>
        <v/>
      </c>
      <c r="T278" s="155">
        <f>IF(R278="","",IFERROR(--Разбивка_по_щитам!L278,""))</f>
        <v/>
      </c>
      <c r="U278" s="155">
        <f>IF(R278="","",IFERROR(--Разбивка_по_щитам!K278,""))</f>
        <v/>
      </c>
      <c r="V278" s="138">
        <f>IF(R278="","",IFERROR(IF(Разбивка_по_щитам!M278=0,"",Разбивка_по_щитам!M278),""))</f>
        <v/>
      </c>
      <c r="W278" s="156">
        <f t="shared" si="175"/>
        <v/>
      </c>
      <c r="X278" s="157">
        <f t="shared" si="176"/>
        <v/>
      </c>
      <c r="Y278" s="266"/>
      <c r="Z278" s="158">
        <f t="shared" si="177"/>
        <v/>
      </c>
      <c r="AA278" s="160">
        <f t="shared" si="178"/>
        <v/>
      </c>
      <c r="AB278" s="160">
        <f>IF(R278="","",IFERROR(LOOKUP(INDEX(Справочная!$I$4:$I$19,MATCH(VLOOKUP(R278,Исходные_данные,22,FALSE),Справочная!$J$4:$J$19,0)+1),{6,10,16,20,25,32,40,50,63,80,100,125}),""))</f>
        <v/>
      </c>
      <c r="AC278" s="160">
        <f t="shared" si="179"/>
        <v/>
      </c>
      <c r="AD278" s="161">
        <f t="shared" si="180"/>
        <v/>
      </c>
      <c r="AE278" s="161">
        <f>IF(AND(R278="",G278=""),"",_xlfn.TEXTJOIN("; ",TRUE,IF(AND(R278&lt;&gt;"",V278=""),"нет фазы",""),IF(AND(R278&lt;&gt;"",N(T278)=0),"нет мощности",""),IF(AND(P278&lt;&gt;"",COUNTIFS($A$3:$A$1000,A278,$P$3:$P$1000,P278)&gt;1),"дубль клеммы "&amp;P278,""),IF(AND(W278&lt;&gt;"",W278&lt;&gt;"ok"),W278,""),IF(X278&lt;&gt;"",X278,""),IF(AND(ISNUMBER(SEARCH("(5х",Q278)),N(AK278)=1),"5 жил на 1 фазе",""),IF(AND(AL278="R",E278&lt;&gt;"",N(AS278)=0),"розетка без 30 мА",""),IF(IFERROR(_xlfn.NUMBERVALUE(MID(Q278,FIND("-",Q278,FIND("L=",Q278))+1,FIND("%",Q278)-FIND("-",Q278,FIND("L=",Q278))-1),","),0)&gt;4,"потери &gt; 4 %","")))</f>
      </c>
      <c r="AF278" s="129">
        <f>IF(E278&lt;&gt;"",COUNTIFS($A$3:A278,A278,$E$3:E278,"?*"),IF(OR(A278&lt;&gt;A277,Y278="вручную"),"",AF277))</f>
      </c>
      <c r="AG278" s="129">
        <f t="shared" si="181"/>
      </c>
      <c r="AH278" s="129">
        <f t="shared" si="182"/>
        <v/>
      </c>
      <c r="AI278" s="129">
        <f t="shared" si="183"/>
        <v/>
      </c>
      <c r="AJ278" s="129">
        <f t="shared" si="184"/>
        <v/>
      </c>
      <c r="AK278" s="129">
        <f t="shared" si="185"/>
        <v/>
      </c>
      <c r="AL278" s="129">
        <f t="shared" si="186"/>
        <v/>
      </c>
      <c r="AM278" s="129">
        <f t="shared" si="187"/>
      </c>
      <c r="AN278" s="129">
        <f t="shared" si="188"/>
      </c>
      <c r="AO278" s="129">
        <f t="shared" si="189"/>
        <v/>
      </c>
      <c r="AP278" s="129">
        <f t="shared" si="190"/>
        <v/>
      </c>
      <c r="AQ278" s="129">
        <f t="shared" si="191"/>
        <v/>
      </c>
      <c r="AR278" s="129">
        <f t="shared" si="192"/>
        <v/>
      </c>
      <c r="AS278" s="129">
        <f t="shared" si="193"/>
        <v/>
      </c>
      <c r="AT278" s="129">
        <f t="shared" si="194"/>
        <v/>
      </c>
      <c r="AU278" s="129">
        <f t="shared" si="195"/>
        <v/>
      </c>
      <c r="AV278" s="129">
        <f t="shared" si="196"/>
        <v/>
      </c>
      <c r="AW278" s="129">
        <f>IF(AV278="","",AV278&amp;"."&amp;COUNTIFS($A$3:A278,A278,$AV$3:AV278,AV278))</f>
        <v/>
      </c>
      <c r="AX278" s="129">
        <f t="shared" si="197"/>
        <v/>
      </c>
      <c r="AY278" s="129">
        <f>IF(N278="б/к",0,IF(OR(ISNUMBER(SEARCH("L=",Разбивка_по_щитам!P278)),N278="+",N278="="),1,0))</f>
      </c>
      <c r="AZ278" s="129">
        <f t="shared" si="198"/>
      </c>
      <c r="BA278" s="129">
        <f t="shared" si="199"/>
      </c>
      <c r="BB278" s="129">
        <f t="shared" si="200"/>
      </c>
      <c r="BD278" s="129">
        <f t="shared" si="201"/>
      </c>
      <c r="BE278" s="129">
        <f t="shared" si="202"/>
      </c>
      <c r="BF278" s="129">
        <f t="shared" si="203"/>
      </c>
      <c r="BG278" s="129">
        <f t="shared" si="204"/>
        <v/>
      </c>
      <c r="BH278" s="129">
        <f t="shared" si="205"/>
        <v/>
      </c>
      <c r="BI278" s="129">
        <f t="shared" si="206"/>
        <v/>
      </c>
      <c r="BJ278" s="129">
        <f t="shared" si="207"/>
        <v/>
      </c>
      <c r="BK278" s="129">
        <f>IF(R278="","",IF(OR(BY278="",BY278=0),"BOX",IFERROR(IF(VLOOKUP(BY278,УГО_блоки,3,FALSE)&amp;""&lt;&gt;"",VLOOKUP(BY278,УГО_блоки,3,FALSE),VLOOKUP(BY278,УГО_блоки,2,FALSE)),BY278)))</f>
      </c>
      <c r="BL278" s="129">
        <f t="shared" si="209"/>
      </c>
      <c r="BM278" s="129">
        <f>IF(H278="","",IF(COUNTIF($H$3:H278,H278)=1,MAX($BM$2:BM277)+1,""))</f>
      </c>
      <c r="BN278" s="129">
        <f>IF(I278="","",IF(COUNTIF($I$3:I278,I278)+COUNTIF($J$2:J277,I278)+COUNTIF($K$2:K277,I278)=1,MAX($BN$2:BP277)+1,""))</f>
      </c>
      <c r="BO278" s="129">
        <f>IF(J278="","",IF(COUNTIF($I$3:I278,J278)+COUNTIF($J$3:J278,J278)+COUNTIF($K$2:K277,J278)=1,MAX($BN$2:BP277,BN278)+1,""))</f>
      </c>
      <c r="BP278" s="129">
        <f>IF(K278="","",IF(COUNTIF($I$3:I278,K278)+COUNTIF($J$3:J278,K278)+COUNTIF($K$3:K278,K278)=1,MAX($BN$2:BP277,BN278,BO278)+1,""))</f>
      </c>
      <c r="BQ278" s="129">
        <f>IF(AY278=1,IFERROR(MID(Q278,FIND(" (",Q278)+2,FIND(")",Q278,FIND(" (",Q278))-FIND(" (",Q278)-2),"?"),"")</f>
      </c>
      <c r="BR278" s="129">
        <f>IF(BQ278="","",IF(COUNTIF($BQ$3:BQ278,BQ278)=1,MAX($BR$2:BR277)+1,""))</f>
      </c>
      <c r="BS278" s="129">
        <f>IF(AW278="","",COUNTIF($AW$3:AW278,"?*"))</f>
      </c>
      <c r="BT278" s="129">
        <f>IF(OR(AW278="",AI278=""),"",IF(COUNTIFS($AW$3:AW278,"?*",$AI$3:AI278,AI278)=1,MAX($BT$2:BT277)+1,""))</f>
      </c>
      <c r="BU278" s="129">
        <f>IF(AE278="",0,IF(OR(ISNUMBER(SEARCH("дубль",AE278)),ISNUMBER(SEARCH("ПЕРЕГРУЗ",AE278)),ISNUMBER(SEARCH("ЗАЩИЩ",AE278)),ISNUMBER(SEARCH("КАНАЛ",AE278)),ISNUMBER(SEARCH("без 30",AE278))),2,1))</f>
      </c>
      <c r="BV278" s="129">
        <f>IF(R278="","",COUNTIF($R$3:R278,"?*"))</f>
      </c>
      <c r="BW278" s="129">
        <f>IF(AY278&lt;&gt;1,0,IF(MAX(IFERROR(--VLOOKUP(R278,УГО_спр,5,FALSE),0),IFERROR(--VLOOKUP(AL278,УГО_спр,5,FALSE),0),IFERROR(--VLOOKUP(LEFT(AL278,2),УГО_спр,5,FALSE),0))&gt;0,MAX(IFERROR(--VLOOKUP(R278,УГО_спр,5,FALSE),0),IFERROR(--VLOOKUP(AL278,УГО_спр,5,FALSE),0),IFERROR(--VLOOKUP(LEFT(AL278,2),УГО_спр,5,FALSE),0)),IF(IFERROR(--LEFT(SUBSTITUTE(BQ278,"x","х"),FIND("х",SUBSTITUTE(BQ278,"x","х"))-1),3)&gt;3,Каталог!$S$9,1)))</f>
      </c>
      <c r="BX278" s="129">
        <f>IF(AY278&lt;&gt;1,0,MAX(0,IFERROR(--LEFT(SUBSTITUTE(BQ278,"x","х"),FIND("х",SUBSTITUTE(BQ278,"x","х"))-1),3)-3*BW278))</f>
      </c>
      <c r="BY278" s="129">
        <f>IF(R278="","",IFERROR(VLOOKUP(R278,УГО_спр,2,FALSE),IFERROR(VLOOKUP(AL278,УГО_спр,2,FALSE),IFERROR(VLOOKUP(LEFT(AL278,2),УГО_спр,2,FALSE),""))))</f>
      </c>
    </row>
    <row r="279" spans="1:64" x14ac:dyDescent="0.3">
      <c r="A279" s="135">
        <f>IF(Разбивка_по_щитам!F279=0,"",Разбивка_по_щитам!F279)</f>
      </c>
      <c r="B279" s="138">
        <f>IF(A279="","",Разбивка_по_щитам!C279)</f>
      </c>
      <c r="C279" s="138">
        <f t="shared" si="170"/>
      </c>
      <c r="D279" s="266"/>
      <c r="E279" s="266"/>
      <c r="F279" s="267"/>
      <c r="G279" s="145">
        <f t="shared" si="171"/>
        <v/>
      </c>
      <c r="H279" s="145">
        <f t="shared" si="172"/>
        <v/>
      </c>
      <c r="I279" s="266"/>
      <c r="J279" s="267"/>
      <c r="K279" s="267"/>
      <c r="L279" s="266"/>
      <c r="M279" s="147">
        <f t="shared" si="173"/>
        <v/>
      </c>
      <c r="N279" s="267"/>
      <c r="O279" s="147">
        <f t="shared" si="174"/>
        <v/>
      </c>
      <c r="P279" s="268">
        <f>IF(AY279=1,"XT"&amp;COUNTIFS($A$3:A279,A279,$AY$3:AY279,1),"")</f>
        <v/>
      </c>
      <c r="Q279" s="152">
        <f>IF(R279="","",IFERROR(SUBSTITUTE(Разбивка_по_щитам!P279,CHAR(10)," "),""))</f>
        <v/>
      </c>
      <c r="R279" s="153">
        <f>IF(OR(Разбивка_по_щитам!H279="",Разбивка_по_щитам!H279=0),"",Разбивка_по_щитам!H279)</f>
        <v/>
      </c>
      <c r="S279" s="154">
        <f>IF(R279="","",IFERROR(Разбивка_по_щитам!J279&amp;"",""))</f>
        <v/>
      </c>
      <c r="T279" s="155">
        <f>IF(R279="","",IFERROR(--Разбивка_по_щитам!L279,""))</f>
        <v/>
      </c>
      <c r="U279" s="155">
        <f>IF(R279="","",IFERROR(--Разбивка_по_щитам!K279,""))</f>
        <v/>
      </c>
      <c r="V279" s="138">
        <f>IF(R279="","",IFERROR(IF(Разбивка_по_щитам!M279=0,"",Разбивка_по_щитам!M279),""))</f>
        <v/>
      </c>
      <c r="W279" s="156">
        <f t="shared" si="175"/>
        <v/>
      </c>
      <c r="X279" s="157">
        <f t="shared" si="176"/>
        <v/>
      </c>
      <c r="Y279" s="266"/>
      <c r="Z279" s="158">
        <f t="shared" si="177"/>
        <v/>
      </c>
      <c r="AA279" s="160">
        <f t="shared" si="178"/>
        <v/>
      </c>
      <c r="AB279" s="160">
        <f>IF(R279="","",IFERROR(LOOKUP(INDEX(Справочная!$I$4:$I$19,MATCH(VLOOKUP(R279,Исходные_данные,22,FALSE),Справочная!$J$4:$J$19,0)+1),{6,10,16,20,25,32,40,50,63,80,100,125}),""))</f>
        <v/>
      </c>
      <c r="AC279" s="160">
        <f t="shared" si="179"/>
        <v/>
      </c>
      <c r="AD279" s="161">
        <f t="shared" si="180"/>
        <v/>
      </c>
      <c r="AE279" s="161">
        <f>IF(AND(R279="",G279=""),"",_xlfn.TEXTJOIN("; ",TRUE,IF(AND(R279&lt;&gt;"",V279=""),"нет фазы",""),IF(AND(R279&lt;&gt;"",N(T279)=0),"нет мощности",""),IF(AND(P279&lt;&gt;"",COUNTIFS($A$3:$A$1000,A279,$P$3:$P$1000,P279)&gt;1),"дубль клеммы "&amp;P279,""),IF(AND(W279&lt;&gt;"",W279&lt;&gt;"ok"),W279,""),IF(X279&lt;&gt;"",X279,""),IF(AND(ISNUMBER(SEARCH("(5х",Q279)),N(AK279)=1),"5 жил на 1 фазе",""),IF(AND(AL279="R",E279&lt;&gt;"",N(AS279)=0),"розетка без 30 мА",""),IF(IFERROR(_xlfn.NUMBERVALUE(MID(Q279,FIND("-",Q279,FIND("L=",Q279))+1,FIND("%",Q279)-FIND("-",Q279,FIND("L=",Q279))-1),","),0)&gt;4,"потери &gt; 4 %","")))</f>
      </c>
      <c r="AF279" s="129">
        <f>IF(E279&lt;&gt;"",COUNTIFS($A$3:A279,A279,$E$3:E279,"?*"),IF(OR(A279&lt;&gt;A278,Y279="вручную"),"",AF278))</f>
      </c>
      <c r="AG279" s="129">
        <f t="shared" si="181"/>
      </c>
      <c r="AH279" s="129">
        <f t="shared" si="182"/>
        <v/>
      </c>
      <c r="AI279" s="129">
        <f t="shared" si="183"/>
        <v/>
      </c>
      <c r="AJ279" s="129">
        <f t="shared" si="184"/>
        <v/>
      </c>
      <c r="AK279" s="129">
        <f t="shared" si="185"/>
        <v/>
      </c>
      <c r="AL279" s="129">
        <f t="shared" si="186"/>
        <v/>
      </c>
      <c r="AM279" s="129">
        <f t="shared" si="187"/>
      </c>
      <c r="AN279" s="129">
        <f t="shared" si="188"/>
      </c>
      <c r="AO279" s="129">
        <f t="shared" si="189"/>
        <v/>
      </c>
      <c r="AP279" s="129">
        <f t="shared" si="190"/>
        <v/>
      </c>
      <c r="AQ279" s="129">
        <f t="shared" si="191"/>
        <v/>
      </c>
      <c r="AR279" s="129">
        <f t="shared" si="192"/>
        <v/>
      </c>
      <c r="AS279" s="129">
        <f t="shared" si="193"/>
        <v/>
      </c>
      <c r="AT279" s="129">
        <f t="shared" si="194"/>
        <v/>
      </c>
      <c r="AU279" s="129">
        <f t="shared" si="195"/>
        <v/>
      </c>
      <c r="AV279" s="129">
        <f t="shared" si="196"/>
        <v/>
      </c>
      <c r="AW279" s="129">
        <f>IF(AV279="","",AV279&amp;"."&amp;COUNTIFS($A$3:A279,A279,$AV$3:AV279,AV279))</f>
        <v/>
      </c>
      <c r="AX279" s="129">
        <f t="shared" si="197"/>
        <v/>
      </c>
      <c r="AY279" s="129">
        <f>IF(N279="б/к",0,IF(OR(ISNUMBER(SEARCH("L=",Разбивка_по_щитам!P279)),N279="+",N279="="),1,0))</f>
      </c>
      <c r="AZ279" s="129">
        <f t="shared" si="198"/>
      </c>
      <c r="BA279" s="129">
        <f t="shared" si="199"/>
      </c>
      <c r="BB279" s="129">
        <f t="shared" si="200"/>
      </c>
      <c r="BD279" s="129">
        <f t="shared" si="201"/>
      </c>
      <c r="BE279" s="129">
        <f t="shared" si="202"/>
      </c>
      <c r="BF279" s="129">
        <f t="shared" si="203"/>
      </c>
      <c r="BG279" s="129">
        <f t="shared" si="204"/>
        <v/>
      </c>
      <c r="BH279" s="129">
        <f t="shared" si="205"/>
        <v/>
      </c>
      <c r="BI279" s="129">
        <f t="shared" si="206"/>
        <v/>
      </c>
      <c r="BJ279" s="129">
        <f t="shared" si="207"/>
        <v/>
      </c>
      <c r="BK279" s="129">
        <f>IF(R279="","",IF(OR(BY279="",BY279=0),"BOX",IFERROR(IF(VLOOKUP(BY279,УГО_блоки,3,FALSE)&amp;""&lt;&gt;"",VLOOKUP(BY279,УГО_блоки,3,FALSE),VLOOKUP(BY279,УГО_блоки,2,FALSE)),BY279)))</f>
      </c>
      <c r="BL279" s="129">
        <f t="shared" si="209"/>
      </c>
      <c r="BM279" s="129">
        <f>IF(H279="","",IF(COUNTIF($H$3:H279,H279)=1,MAX($BM$2:BM278)+1,""))</f>
      </c>
      <c r="BN279" s="129">
        <f>IF(I279="","",IF(COUNTIF($I$3:I279,I279)+COUNTIF($J$2:J278,I279)+COUNTIF($K$2:K278,I279)=1,MAX($BN$2:BP278)+1,""))</f>
      </c>
      <c r="BO279" s="129">
        <f>IF(J279="","",IF(COUNTIF($I$3:I279,J279)+COUNTIF($J$3:J279,J279)+COUNTIF($K$2:K278,J279)=1,MAX($BN$2:BP278,BN279)+1,""))</f>
      </c>
      <c r="BP279" s="129">
        <f>IF(K279="","",IF(COUNTIF($I$3:I279,K279)+COUNTIF($J$3:J279,K279)+COUNTIF($K$3:K279,K279)=1,MAX($BN$2:BP278,BN279,BO279)+1,""))</f>
      </c>
      <c r="BQ279" s="129">
        <f>IF(AY279=1,IFERROR(MID(Q279,FIND(" (",Q279)+2,FIND(")",Q279,FIND(" (",Q279))-FIND(" (",Q279)-2),"?"),"")</f>
      </c>
      <c r="BR279" s="129">
        <f>IF(BQ279="","",IF(COUNTIF($BQ$3:BQ279,BQ279)=1,MAX($BR$2:BR278)+1,""))</f>
      </c>
      <c r="BS279" s="129">
        <f>IF(AW279="","",COUNTIF($AW$3:AW279,"?*"))</f>
      </c>
      <c r="BT279" s="129">
        <f>IF(OR(AW279="",AI279=""),"",IF(COUNTIFS($AW$3:AW279,"?*",$AI$3:AI279,AI279)=1,MAX($BT$2:BT278)+1,""))</f>
      </c>
      <c r="BU279" s="129">
        <f>IF(AE279="",0,IF(OR(ISNUMBER(SEARCH("дубль",AE279)),ISNUMBER(SEARCH("ПЕРЕГРУЗ",AE279)),ISNUMBER(SEARCH("ЗАЩИЩ",AE279)),ISNUMBER(SEARCH("КАНАЛ",AE279)),ISNUMBER(SEARCH("без 30",AE279))),2,1))</f>
      </c>
      <c r="BV279" s="129">
        <f>IF(R279="","",COUNTIF($R$3:R279,"?*"))</f>
      </c>
      <c r="BW279" s="129">
        <f>IF(AY279&lt;&gt;1,0,IF(MAX(IFERROR(--VLOOKUP(R279,УГО_спр,5,FALSE),0),IFERROR(--VLOOKUP(AL279,УГО_спр,5,FALSE),0),IFERROR(--VLOOKUP(LEFT(AL279,2),УГО_спр,5,FALSE),0))&gt;0,MAX(IFERROR(--VLOOKUP(R279,УГО_спр,5,FALSE),0),IFERROR(--VLOOKUP(AL279,УГО_спр,5,FALSE),0),IFERROR(--VLOOKUP(LEFT(AL279,2),УГО_спр,5,FALSE),0)),IF(IFERROR(--LEFT(SUBSTITUTE(BQ279,"x","х"),FIND("х",SUBSTITUTE(BQ279,"x","х"))-1),3)&gt;3,Каталог!$S$9,1)))</f>
      </c>
      <c r="BX279" s="129">
        <f>IF(AY279&lt;&gt;1,0,MAX(0,IFERROR(--LEFT(SUBSTITUTE(BQ279,"x","х"),FIND("х",SUBSTITUTE(BQ279,"x","х"))-1),3)-3*BW279))</f>
      </c>
      <c r="BY279" s="129">
        <f>IF(R279="","",IFERROR(VLOOKUP(R279,УГО_спр,2,FALSE),IFERROR(VLOOKUP(AL279,УГО_спр,2,FALSE),IFERROR(VLOOKUP(LEFT(AL279,2),УГО_спр,2,FALSE),""))))</f>
      </c>
    </row>
    <row r="280" spans="1:64" x14ac:dyDescent="0.3">
      <c r="A280" s="135">
        <f>IF(Разбивка_по_щитам!F280=0,"",Разбивка_по_щитам!F280)</f>
      </c>
      <c r="B280" s="138">
        <f>IF(A280="","",Разбивка_по_щитам!C280)</f>
      </c>
      <c r="C280" s="138">
        <f t="shared" si="170"/>
      </c>
      <c r="D280" s="266"/>
      <c r="E280" s="266"/>
      <c r="F280" s="267"/>
      <c r="G280" s="145">
        <f t="shared" si="171"/>
        <v/>
      </c>
      <c r="H280" s="145">
        <f t="shared" si="172"/>
        <v/>
      </c>
      <c r="I280" s="266"/>
      <c r="J280" s="267"/>
      <c r="K280" s="267"/>
      <c r="L280" s="266"/>
      <c r="M280" s="147">
        <f t="shared" si="173"/>
        <v/>
      </c>
      <c r="N280" s="267"/>
      <c r="O280" s="147">
        <f t="shared" si="174"/>
        <v/>
      </c>
      <c r="P280" s="268">
        <f>IF(AY280=1,"XT"&amp;COUNTIFS($A$3:A280,A280,$AY$3:AY280,1),"")</f>
        <v/>
      </c>
      <c r="Q280" s="152">
        <f>IF(R280="","",IFERROR(SUBSTITUTE(Разбивка_по_щитам!P280,CHAR(10)," "),""))</f>
        <v/>
      </c>
      <c r="R280" s="153">
        <f>IF(OR(Разбивка_по_щитам!H280="",Разбивка_по_щитам!H280=0),"",Разбивка_по_щитам!H280)</f>
        <v/>
      </c>
      <c r="S280" s="154">
        <f>IF(R280="","",IFERROR(Разбивка_по_щитам!J280&amp;"",""))</f>
        <v/>
      </c>
      <c r="T280" s="155">
        <f>IF(R280="","",IFERROR(--Разбивка_по_щитам!L280,""))</f>
        <v/>
      </c>
      <c r="U280" s="155">
        <f>IF(R280="","",IFERROR(--Разбивка_по_щитам!K280,""))</f>
        <v/>
      </c>
      <c r="V280" s="138">
        <f>IF(R280="","",IFERROR(IF(Разбивка_по_щитам!M280=0,"",Разбивка_по_щитам!M280),""))</f>
        <v/>
      </c>
      <c r="W280" s="156">
        <f t="shared" si="175"/>
        <v/>
      </c>
      <c r="X280" s="157">
        <f t="shared" si="176"/>
        <v/>
      </c>
      <c r="Y280" s="266"/>
      <c r="Z280" s="158">
        <f t="shared" si="177"/>
        <v/>
      </c>
      <c r="AA280" s="160">
        <f t="shared" si="178"/>
        <v/>
      </c>
      <c r="AB280" s="160">
        <f>IF(R280="","",IFERROR(LOOKUP(INDEX(Справочная!$I$4:$I$19,MATCH(VLOOKUP(R280,Исходные_данные,22,FALSE),Справочная!$J$4:$J$19,0)+1),{6,10,16,20,25,32,40,50,63,80,100,125}),""))</f>
        <v/>
      </c>
      <c r="AC280" s="160">
        <f t="shared" si="179"/>
        <v/>
      </c>
      <c r="AD280" s="161">
        <f t="shared" si="180"/>
        <v/>
      </c>
      <c r="AE280" s="161">
        <f>IF(AND(R280="",G280=""),"",_xlfn.TEXTJOIN("; ",TRUE,IF(AND(R280&lt;&gt;"",V280=""),"нет фазы",""),IF(AND(R280&lt;&gt;"",N(T280)=0),"нет мощности",""),IF(AND(P280&lt;&gt;"",COUNTIFS($A$3:$A$1000,A280,$P$3:$P$1000,P280)&gt;1),"дубль клеммы "&amp;P280,""),IF(AND(W280&lt;&gt;"",W280&lt;&gt;"ok"),W280,""),IF(X280&lt;&gt;"",X280,""),IF(AND(ISNUMBER(SEARCH("(5х",Q280)),N(AK280)=1),"5 жил на 1 фазе",""),IF(AND(AL280="R",E280&lt;&gt;"",N(AS280)=0),"розетка без 30 мА",""),IF(IFERROR(_xlfn.NUMBERVALUE(MID(Q280,FIND("-",Q280,FIND("L=",Q280))+1,FIND("%",Q280)-FIND("-",Q280,FIND("L=",Q280))-1),","),0)&gt;4,"потери &gt; 4 %","")))</f>
      </c>
      <c r="AF280" s="129">
        <f>IF(E280&lt;&gt;"",COUNTIFS($A$3:A280,A280,$E$3:E280,"?*"),IF(OR(A280&lt;&gt;A279,Y280="вручную"),"",AF279))</f>
      </c>
      <c r="AG280" s="129">
        <f t="shared" si="181"/>
      </c>
      <c r="AH280" s="129">
        <f t="shared" si="182"/>
        <v/>
      </c>
      <c r="AI280" s="129">
        <f t="shared" si="183"/>
        <v/>
      </c>
      <c r="AJ280" s="129">
        <f t="shared" si="184"/>
        <v/>
      </c>
      <c r="AK280" s="129">
        <f t="shared" si="185"/>
        <v/>
      </c>
      <c r="AL280" s="129">
        <f t="shared" si="186"/>
        <v/>
      </c>
      <c r="AM280" s="129">
        <f t="shared" si="187"/>
      </c>
      <c r="AN280" s="129">
        <f t="shared" si="188"/>
      </c>
      <c r="AO280" s="129">
        <f t="shared" si="189"/>
        <v/>
      </c>
      <c r="AP280" s="129">
        <f t="shared" si="190"/>
        <v/>
      </c>
      <c r="AQ280" s="129">
        <f t="shared" si="191"/>
        <v/>
      </c>
      <c r="AR280" s="129">
        <f t="shared" si="192"/>
        <v/>
      </c>
      <c r="AS280" s="129">
        <f t="shared" si="193"/>
        <v/>
      </c>
      <c r="AT280" s="129">
        <f t="shared" si="194"/>
        <v/>
      </c>
      <c r="AU280" s="129">
        <f t="shared" si="195"/>
        <v/>
      </c>
      <c r="AV280" s="129">
        <f t="shared" si="196"/>
        <v/>
      </c>
      <c r="AW280" s="129">
        <f>IF(AV280="","",AV280&amp;"."&amp;COUNTIFS($A$3:A280,A280,$AV$3:AV280,AV280))</f>
        <v/>
      </c>
      <c r="AX280" s="129">
        <f t="shared" si="197"/>
        <v/>
      </c>
      <c r="AY280" s="129">
        <f>IF(N280="б/к",0,IF(OR(ISNUMBER(SEARCH("L=",Разбивка_по_щитам!P280)),N280="+",N280="="),1,0))</f>
      </c>
      <c r="AZ280" s="129">
        <f t="shared" si="198"/>
      </c>
      <c r="BA280" s="129">
        <f t="shared" si="199"/>
      </c>
      <c r="BB280" s="129">
        <f t="shared" si="200"/>
      </c>
      <c r="BD280" s="129">
        <f t="shared" si="201"/>
      </c>
      <c r="BE280" s="129">
        <f t="shared" si="202"/>
      </c>
      <c r="BF280" s="129">
        <f t="shared" si="203"/>
      </c>
      <c r="BG280" s="129">
        <f t="shared" si="204"/>
        <v/>
      </c>
      <c r="BH280" s="129">
        <f t="shared" si="205"/>
        <v/>
      </c>
      <c r="BI280" s="129">
        <f t="shared" si="206"/>
        <v/>
      </c>
      <c r="BJ280" s="129">
        <f t="shared" si="207"/>
        <v/>
      </c>
      <c r="BK280" s="129">
        <f>IF(R280="","",IF(OR(BY280="",BY280=0),"BOX",IFERROR(IF(VLOOKUP(BY280,УГО_блоки,3,FALSE)&amp;""&lt;&gt;"",VLOOKUP(BY280,УГО_блоки,3,FALSE),VLOOKUP(BY280,УГО_блоки,2,FALSE)),BY280)))</f>
      </c>
      <c r="BL280" s="129">
        <f t="shared" si="209"/>
      </c>
      <c r="BM280" s="129">
        <f>IF(H280="","",IF(COUNTIF($H$3:H280,H280)=1,MAX($BM$2:BM279)+1,""))</f>
      </c>
      <c r="BN280" s="129">
        <f>IF(I280="","",IF(COUNTIF($I$3:I280,I280)+COUNTIF($J$2:J279,I280)+COUNTIF($K$2:K279,I280)=1,MAX($BN$2:BP279)+1,""))</f>
      </c>
      <c r="BO280" s="129">
        <f>IF(J280="","",IF(COUNTIF($I$3:I280,J280)+COUNTIF($J$3:J280,J280)+COUNTIF($K$2:K279,J280)=1,MAX($BN$2:BP279,BN280)+1,""))</f>
      </c>
      <c r="BP280" s="129">
        <f>IF(K280="","",IF(COUNTIF($I$3:I280,K280)+COUNTIF($J$3:J280,K280)+COUNTIF($K$3:K280,K280)=1,MAX($BN$2:BP279,BN280,BO280)+1,""))</f>
      </c>
      <c r="BQ280" s="129">
        <f>IF(AY280=1,IFERROR(MID(Q280,FIND(" (",Q280)+2,FIND(")",Q280,FIND(" (",Q280))-FIND(" (",Q280)-2),"?"),"")</f>
      </c>
      <c r="BR280" s="129">
        <f>IF(BQ280="","",IF(COUNTIF($BQ$3:BQ280,BQ280)=1,MAX($BR$2:BR279)+1,""))</f>
      </c>
      <c r="BS280" s="129">
        <f>IF(AW280="","",COUNTIF($AW$3:AW280,"?*"))</f>
      </c>
      <c r="BT280" s="129">
        <f>IF(OR(AW280="",AI280=""),"",IF(COUNTIFS($AW$3:AW280,"?*",$AI$3:AI280,AI280)=1,MAX($BT$2:BT279)+1,""))</f>
      </c>
      <c r="BU280" s="129">
        <f>IF(AE280="",0,IF(OR(ISNUMBER(SEARCH("дубль",AE280)),ISNUMBER(SEARCH("ПЕРЕГРУЗ",AE280)),ISNUMBER(SEARCH("ЗАЩИЩ",AE280)),ISNUMBER(SEARCH("КАНАЛ",AE280)),ISNUMBER(SEARCH("без 30",AE280))),2,1))</f>
      </c>
      <c r="BV280" s="129">
        <f>IF(R280="","",COUNTIF($R$3:R280,"?*"))</f>
      </c>
      <c r="BW280" s="129">
        <f>IF(AY280&lt;&gt;1,0,IF(MAX(IFERROR(--VLOOKUP(R280,УГО_спр,5,FALSE),0),IFERROR(--VLOOKUP(AL280,УГО_спр,5,FALSE),0),IFERROR(--VLOOKUP(LEFT(AL280,2),УГО_спр,5,FALSE),0))&gt;0,MAX(IFERROR(--VLOOKUP(R280,УГО_спр,5,FALSE),0),IFERROR(--VLOOKUP(AL280,УГО_спр,5,FALSE),0),IFERROR(--VLOOKUP(LEFT(AL280,2),УГО_спр,5,FALSE),0)),IF(IFERROR(--LEFT(SUBSTITUTE(BQ280,"x","х"),FIND("х",SUBSTITUTE(BQ280,"x","х"))-1),3)&gt;3,Каталог!$S$9,1)))</f>
      </c>
      <c r="BX280" s="129">
        <f>IF(AY280&lt;&gt;1,0,MAX(0,IFERROR(--LEFT(SUBSTITUTE(BQ280,"x","х"),FIND("х",SUBSTITUTE(BQ280,"x","х"))-1),3)-3*BW280))</f>
      </c>
      <c r="BY280" s="129">
        <f>IF(R280="","",IFERROR(VLOOKUP(R280,УГО_спр,2,FALSE),IFERROR(VLOOKUP(AL280,УГО_спр,2,FALSE),IFERROR(VLOOKUP(LEFT(AL280,2),УГО_спр,2,FALSE),""))))</f>
      </c>
    </row>
    <row r="281" spans="1:64" x14ac:dyDescent="0.3">
      <c r="A281" s="135">
        <f>IF(Разбивка_по_щитам!F281=0,"",Разбивка_по_щитам!F281)</f>
      </c>
      <c r="B281" s="138">
        <f>IF(A281="","",Разбивка_по_щитам!C281)</f>
      </c>
      <c r="C281" s="138">
        <f t="shared" si="170"/>
      </c>
      <c r="D281" s="266"/>
      <c r="E281" s="266"/>
      <c r="F281" s="267"/>
      <c r="G281" s="145">
        <f t="shared" si="171"/>
        <v/>
      </c>
      <c r="H281" s="145">
        <f t="shared" si="172"/>
        <v/>
      </c>
      <c r="I281" s="266"/>
      <c r="J281" s="267"/>
      <c r="K281" s="267"/>
      <c r="L281" s="266"/>
      <c r="M281" s="147">
        <f t="shared" si="173"/>
        <v/>
      </c>
      <c r="N281" s="267"/>
      <c r="O281" s="147">
        <f t="shared" si="174"/>
        <v/>
      </c>
      <c r="P281" s="268">
        <f>IF(AY281=1,"XT"&amp;COUNTIFS($A$3:A281,A281,$AY$3:AY281,1),"")</f>
        <v/>
      </c>
      <c r="Q281" s="152">
        <f>IF(R281="","",IFERROR(SUBSTITUTE(Разбивка_по_щитам!P281,CHAR(10)," "),""))</f>
        <v/>
      </c>
      <c r="R281" s="153">
        <f>IF(OR(Разбивка_по_щитам!H281="",Разбивка_по_щитам!H281=0),"",Разбивка_по_щитам!H281)</f>
        <v/>
      </c>
      <c r="S281" s="154">
        <f>IF(R281="","",IFERROR(Разбивка_по_щитам!J281&amp;"",""))</f>
        <v/>
      </c>
      <c r="T281" s="155">
        <f>IF(R281="","",IFERROR(--Разбивка_по_щитам!L281,""))</f>
        <v/>
      </c>
      <c r="U281" s="155">
        <f>IF(R281="","",IFERROR(--Разбивка_по_щитам!K281,""))</f>
        <v/>
      </c>
      <c r="V281" s="138">
        <f>IF(R281="","",IFERROR(IF(Разбивка_по_щитам!M281=0,"",Разбивка_по_щитам!M281),""))</f>
        <v/>
      </c>
      <c r="W281" s="156">
        <f t="shared" si="175"/>
        <v/>
      </c>
      <c r="X281" s="157">
        <f t="shared" si="176"/>
        <v/>
      </c>
      <c r="Y281" s="266"/>
      <c r="Z281" s="158">
        <f t="shared" si="177"/>
        <v/>
      </c>
      <c r="AA281" s="160">
        <f t="shared" si="178"/>
        <v/>
      </c>
      <c r="AB281" s="160">
        <f>IF(R281="","",IFERROR(LOOKUP(INDEX(Справочная!$I$4:$I$19,MATCH(VLOOKUP(R281,Исходные_данные,22,FALSE),Справочная!$J$4:$J$19,0)+1),{6,10,16,20,25,32,40,50,63,80,100,125}),""))</f>
        <v/>
      </c>
      <c r="AC281" s="160">
        <f t="shared" si="179"/>
        <v/>
      </c>
      <c r="AD281" s="161">
        <f t="shared" si="180"/>
        <v/>
      </c>
      <c r="AE281" s="161">
        <f>IF(AND(R281="",G281=""),"",_xlfn.TEXTJOIN("; ",TRUE,IF(AND(R281&lt;&gt;"",V281=""),"нет фазы",""),IF(AND(R281&lt;&gt;"",N(T281)=0),"нет мощности",""),IF(AND(P281&lt;&gt;"",COUNTIFS($A$3:$A$1000,A281,$P$3:$P$1000,P281)&gt;1),"дубль клеммы "&amp;P281,""),IF(AND(W281&lt;&gt;"",W281&lt;&gt;"ok"),W281,""),IF(X281&lt;&gt;"",X281,""),IF(AND(ISNUMBER(SEARCH("(5х",Q281)),N(AK281)=1),"5 жил на 1 фазе",""),IF(AND(AL281="R",E281&lt;&gt;"",N(AS281)=0),"розетка без 30 мА",""),IF(IFERROR(_xlfn.NUMBERVALUE(MID(Q281,FIND("-",Q281,FIND("L=",Q281))+1,FIND("%",Q281)-FIND("-",Q281,FIND("L=",Q281))-1),","),0)&gt;4,"потери &gt; 4 %","")))</f>
      </c>
      <c r="AF281" s="129">
        <f>IF(E281&lt;&gt;"",COUNTIFS($A$3:A281,A281,$E$3:E281,"?*"),IF(OR(A281&lt;&gt;A280,Y281="вручную"),"",AF280))</f>
      </c>
      <c r="AG281" s="129">
        <f t="shared" si="181"/>
      </c>
      <c r="AH281" s="129">
        <f t="shared" si="182"/>
        <v/>
      </c>
      <c r="AI281" s="129">
        <f t="shared" si="183"/>
        <v/>
      </c>
      <c r="AJ281" s="129">
        <f t="shared" si="184"/>
        <v/>
      </c>
      <c r="AK281" s="129">
        <f t="shared" si="185"/>
        <v/>
      </c>
      <c r="AL281" s="129">
        <f t="shared" si="186"/>
        <v/>
      </c>
      <c r="AM281" s="129">
        <f t="shared" si="187"/>
      </c>
      <c r="AN281" s="129">
        <f t="shared" si="188"/>
      </c>
      <c r="AO281" s="129">
        <f t="shared" si="189"/>
        <v/>
      </c>
      <c r="AP281" s="129">
        <f t="shared" si="190"/>
        <v/>
      </c>
      <c r="AQ281" s="129">
        <f t="shared" si="191"/>
        <v/>
      </c>
      <c r="AR281" s="129">
        <f t="shared" si="192"/>
        <v/>
      </c>
      <c r="AS281" s="129">
        <f t="shared" si="193"/>
        <v/>
      </c>
      <c r="AT281" s="129">
        <f t="shared" si="194"/>
        <v/>
      </c>
      <c r="AU281" s="129">
        <f t="shared" si="195"/>
        <v/>
      </c>
      <c r="AV281" s="129">
        <f t="shared" si="196"/>
        <v/>
      </c>
      <c r="AW281" s="129">
        <f>IF(AV281="","",AV281&amp;"."&amp;COUNTIFS($A$3:A281,A281,$AV$3:AV281,AV281))</f>
        <v/>
      </c>
      <c r="AX281" s="129">
        <f t="shared" si="197"/>
        <v/>
      </c>
      <c r="AY281" s="129">
        <f>IF(N281="б/к",0,IF(OR(ISNUMBER(SEARCH("L=",Разбивка_по_щитам!P281)),N281="+",N281="="),1,0))</f>
      </c>
      <c r="AZ281" s="129">
        <f t="shared" si="198"/>
      </c>
      <c r="BA281" s="129">
        <f t="shared" si="199"/>
      </c>
      <c r="BB281" s="129">
        <f t="shared" si="200"/>
      </c>
      <c r="BD281" s="129">
        <f t="shared" si="201"/>
      </c>
      <c r="BE281" s="129">
        <f t="shared" si="202"/>
      </c>
      <c r="BF281" s="129">
        <f t="shared" si="203"/>
      </c>
      <c r="BG281" s="129">
        <f t="shared" si="204"/>
        <v/>
      </c>
      <c r="BH281" s="129">
        <f t="shared" si="205"/>
        <v/>
      </c>
      <c r="BI281" s="129">
        <f t="shared" si="206"/>
        <v/>
      </c>
      <c r="BJ281" s="129">
        <f t="shared" si="207"/>
        <v/>
      </c>
      <c r="BK281" s="129">
        <f>IF(R281="","",IF(OR(BY281="",BY281=0),"BOX",IFERROR(IF(VLOOKUP(BY281,УГО_блоки,3,FALSE)&amp;""&lt;&gt;"",VLOOKUP(BY281,УГО_блоки,3,FALSE),VLOOKUP(BY281,УГО_блоки,2,FALSE)),BY281)))</f>
      </c>
      <c r="BL281" s="129">
        <f t="shared" si="209"/>
      </c>
      <c r="BM281" s="129">
        <f>IF(H281="","",IF(COUNTIF($H$3:H281,H281)=1,MAX($BM$2:BM280)+1,""))</f>
      </c>
      <c r="BN281" s="129">
        <f>IF(I281="","",IF(COUNTIF($I$3:I281,I281)+COUNTIF($J$2:J280,I281)+COUNTIF($K$2:K280,I281)=1,MAX($BN$2:BP280)+1,""))</f>
      </c>
      <c r="BO281" s="129">
        <f>IF(J281="","",IF(COUNTIF($I$3:I281,J281)+COUNTIF($J$3:J281,J281)+COUNTIF($K$2:K280,J281)=1,MAX($BN$2:BP280,BN281)+1,""))</f>
      </c>
      <c r="BP281" s="129">
        <f>IF(K281="","",IF(COUNTIF($I$3:I281,K281)+COUNTIF($J$3:J281,K281)+COUNTIF($K$3:K281,K281)=1,MAX($BN$2:BP280,BN281,BO281)+1,""))</f>
      </c>
      <c r="BQ281" s="129">
        <f>IF(AY281=1,IFERROR(MID(Q281,FIND(" (",Q281)+2,FIND(")",Q281,FIND(" (",Q281))-FIND(" (",Q281)-2),"?"),"")</f>
      </c>
      <c r="BR281" s="129">
        <f>IF(BQ281="","",IF(COUNTIF($BQ$3:BQ281,BQ281)=1,MAX($BR$2:BR280)+1,""))</f>
      </c>
      <c r="BS281" s="129">
        <f>IF(AW281="","",COUNTIF($AW$3:AW281,"?*"))</f>
      </c>
      <c r="BT281" s="129">
        <f>IF(OR(AW281="",AI281=""),"",IF(COUNTIFS($AW$3:AW281,"?*",$AI$3:AI281,AI281)=1,MAX($BT$2:BT280)+1,""))</f>
      </c>
      <c r="BU281" s="129">
        <f>IF(AE281="",0,IF(OR(ISNUMBER(SEARCH("дубль",AE281)),ISNUMBER(SEARCH("ПЕРЕГРУЗ",AE281)),ISNUMBER(SEARCH("ЗАЩИЩ",AE281)),ISNUMBER(SEARCH("КАНАЛ",AE281)),ISNUMBER(SEARCH("без 30",AE281))),2,1))</f>
      </c>
      <c r="BV281" s="129">
        <f>IF(R281="","",COUNTIF($R$3:R281,"?*"))</f>
      </c>
      <c r="BW281" s="129">
        <f>IF(AY281&lt;&gt;1,0,IF(MAX(IFERROR(--VLOOKUP(R281,УГО_спр,5,FALSE),0),IFERROR(--VLOOKUP(AL281,УГО_спр,5,FALSE),0),IFERROR(--VLOOKUP(LEFT(AL281,2),УГО_спр,5,FALSE),0))&gt;0,MAX(IFERROR(--VLOOKUP(R281,УГО_спр,5,FALSE),0),IFERROR(--VLOOKUP(AL281,УГО_спр,5,FALSE),0),IFERROR(--VLOOKUP(LEFT(AL281,2),УГО_спр,5,FALSE),0)),IF(IFERROR(--LEFT(SUBSTITUTE(BQ281,"x","х"),FIND("х",SUBSTITUTE(BQ281,"x","х"))-1),3)&gt;3,Каталог!$S$9,1)))</f>
      </c>
      <c r="BX281" s="129">
        <f>IF(AY281&lt;&gt;1,0,MAX(0,IFERROR(--LEFT(SUBSTITUTE(BQ281,"x","х"),FIND("х",SUBSTITUTE(BQ281,"x","х"))-1),3)-3*BW281))</f>
      </c>
      <c r="BY281" s="129">
        <f>IF(R281="","",IFERROR(VLOOKUP(R281,УГО_спр,2,FALSE),IFERROR(VLOOKUP(AL281,УГО_спр,2,FALSE),IFERROR(VLOOKUP(LEFT(AL281,2),УГО_спр,2,FALSE),""))))</f>
      </c>
    </row>
    <row r="282" spans="1:64" x14ac:dyDescent="0.3">
      <c r="A282" s="135">
        <f>IF(Разбивка_по_щитам!F282=0,"",Разбивка_по_щитам!F282)</f>
      </c>
      <c r="B282" s="138">
        <f>IF(A282="","",Разбивка_по_щитам!C282)</f>
      </c>
      <c r="C282" s="138">
        <f t="shared" si="170"/>
      </c>
      <c r="D282" s="266"/>
      <c r="E282" s="266"/>
      <c r="F282" s="267"/>
      <c r="G282" s="145">
        <f t="shared" si="171"/>
        <v/>
      </c>
      <c r="H282" s="145">
        <f t="shared" si="172"/>
        <v/>
      </c>
      <c r="I282" s="266"/>
      <c r="J282" s="267"/>
      <c r="K282" s="267"/>
      <c r="L282" s="266"/>
      <c r="M282" s="147">
        <f t="shared" si="173"/>
        <v/>
      </c>
      <c r="N282" s="267"/>
      <c r="O282" s="147">
        <f t="shared" si="174"/>
        <v/>
      </c>
      <c r="P282" s="268">
        <f>IF(AY282=1,"XT"&amp;COUNTIFS($A$3:A282,A282,$AY$3:AY282,1),"")</f>
        <v/>
      </c>
      <c r="Q282" s="152">
        <f>IF(R282="","",IFERROR(SUBSTITUTE(Разбивка_по_щитам!P282,CHAR(10)," "),""))</f>
        <v/>
      </c>
      <c r="R282" s="153">
        <f>IF(OR(Разбивка_по_щитам!H282="",Разбивка_по_щитам!H282=0),"",Разбивка_по_щитам!H282)</f>
        <v/>
      </c>
      <c r="S282" s="154">
        <f>IF(R282="","",IFERROR(Разбивка_по_щитам!J282&amp;"",""))</f>
        <v/>
      </c>
      <c r="T282" s="155">
        <f>IF(R282="","",IFERROR(--Разбивка_по_щитам!L282,""))</f>
        <v/>
      </c>
      <c r="U282" s="155">
        <f>IF(R282="","",IFERROR(--Разбивка_по_щитам!K282,""))</f>
        <v/>
      </c>
      <c r="V282" s="138">
        <f>IF(R282="","",IFERROR(IF(Разбивка_по_щитам!M282=0,"",Разбивка_по_щитам!M282),""))</f>
        <v/>
      </c>
      <c r="W282" s="156">
        <f t="shared" si="175"/>
        <v/>
      </c>
      <c r="X282" s="157">
        <f t="shared" si="176"/>
        <v/>
      </c>
      <c r="Y282" s="266"/>
      <c r="Z282" s="158">
        <f t="shared" si="177"/>
        <v/>
      </c>
      <c r="AA282" s="160">
        <f t="shared" si="178"/>
        <v/>
      </c>
      <c r="AB282" s="160">
        <f>IF(R282="","",IFERROR(LOOKUP(INDEX(Справочная!$I$4:$I$19,MATCH(VLOOKUP(R282,Исходные_данные,22,FALSE),Справочная!$J$4:$J$19,0)+1),{6,10,16,20,25,32,40,50,63,80,100,125}),""))</f>
        <v/>
      </c>
      <c r="AC282" s="160">
        <f t="shared" si="179"/>
        <v/>
      </c>
      <c r="AD282" s="161">
        <f t="shared" si="180"/>
        <v/>
      </c>
      <c r="AE282" s="161">
        <f>IF(AND(R282="",G282=""),"",_xlfn.TEXTJOIN("; ",TRUE,IF(AND(R282&lt;&gt;"",V282=""),"нет фазы",""),IF(AND(R282&lt;&gt;"",N(T282)=0),"нет мощности",""),IF(AND(P282&lt;&gt;"",COUNTIFS($A$3:$A$1000,A282,$P$3:$P$1000,P282)&gt;1),"дубль клеммы "&amp;P282,""),IF(AND(W282&lt;&gt;"",W282&lt;&gt;"ok"),W282,""),IF(X282&lt;&gt;"",X282,""),IF(AND(ISNUMBER(SEARCH("(5х",Q282)),N(AK282)=1),"5 жил на 1 фазе",""),IF(AND(AL282="R",E282&lt;&gt;"",N(AS282)=0),"розетка без 30 мА",""),IF(IFERROR(_xlfn.NUMBERVALUE(MID(Q282,FIND("-",Q282,FIND("L=",Q282))+1,FIND("%",Q282)-FIND("-",Q282,FIND("L=",Q282))-1),","),0)&gt;4,"потери &gt; 4 %","")))</f>
      </c>
      <c r="AF282" s="129">
        <f>IF(E282&lt;&gt;"",COUNTIFS($A$3:A282,A282,$E$3:E282,"?*"),IF(OR(A282&lt;&gt;A281,Y282="вручную"),"",AF281))</f>
      </c>
      <c r="AG282" s="129">
        <f t="shared" si="181"/>
      </c>
      <c r="AH282" s="129">
        <f t="shared" si="182"/>
        <v/>
      </c>
      <c r="AI282" s="129">
        <f t="shared" si="183"/>
        <v/>
      </c>
      <c r="AJ282" s="129">
        <f t="shared" si="184"/>
        <v/>
      </c>
      <c r="AK282" s="129">
        <f t="shared" si="185"/>
        <v/>
      </c>
      <c r="AL282" s="129">
        <f t="shared" si="186"/>
        <v/>
      </c>
      <c r="AM282" s="129">
        <f t="shared" si="187"/>
      </c>
      <c r="AN282" s="129">
        <f t="shared" si="188"/>
      </c>
      <c r="AO282" s="129">
        <f t="shared" si="189"/>
        <v/>
      </c>
      <c r="AP282" s="129">
        <f t="shared" si="190"/>
        <v/>
      </c>
      <c r="AQ282" s="129">
        <f t="shared" si="191"/>
        <v/>
      </c>
      <c r="AR282" s="129">
        <f t="shared" si="192"/>
        <v/>
      </c>
      <c r="AS282" s="129">
        <f t="shared" si="193"/>
        <v/>
      </c>
      <c r="AT282" s="129">
        <f t="shared" si="194"/>
        <v/>
      </c>
      <c r="AU282" s="129">
        <f t="shared" si="195"/>
        <v/>
      </c>
      <c r="AV282" s="129">
        <f t="shared" si="196"/>
        <v/>
      </c>
      <c r="AW282" s="129">
        <f>IF(AV282="","",AV282&amp;"."&amp;COUNTIFS($A$3:A282,A282,$AV$3:AV282,AV282))</f>
        <v/>
      </c>
      <c r="AX282" s="129">
        <f t="shared" si="197"/>
        <v/>
      </c>
      <c r="AY282" s="129">
        <f>IF(N282="б/к",0,IF(OR(ISNUMBER(SEARCH("L=",Разбивка_по_щитам!P282)),N282="+",N282="="),1,0))</f>
      </c>
      <c r="AZ282" s="129">
        <f t="shared" si="198"/>
      </c>
      <c r="BA282" s="129">
        <f t="shared" si="199"/>
      </c>
      <c r="BB282" s="129">
        <f t="shared" si="200"/>
      </c>
      <c r="BD282" s="129">
        <f t="shared" si="201"/>
      </c>
      <c r="BE282" s="129">
        <f t="shared" si="202"/>
      </c>
      <c r="BF282" s="129">
        <f t="shared" si="203"/>
      </c>
      <c r="BG282" s="129">
        <f t="shared" si="204"/>
        <v/>
      </c>
      <c r="BH282" s="129">
        <f t="shared" si="205"/>
        <v/>
      </c>
      <c r="BI282" s="129">
        <f t="shared" si="206"/>
        <v/>
      </c>
      <c r="BJ282" s="129">
        <f t="shared" si="207"/>
        <v/>
      </c>
      <c r="BK282" s="129">
        <f>IF(R282="","",IF(OR(BY282="",BY282=0),"BOX",IFERROR(IF(VLOOKUP(BY282,УГО_блоки,3,FALSE)&amp;""&lt;&gt;"",VLOOKUP(BY282,УГО_блоки,3,FALSE),VLOOKUP(BY282,УГО_блоки,2,FALSE)),BY282)))</f>
      </c>
      <c r="BL282" s="129">
        <f t="shared" si="209"/>
      </c>
      <c r="BM282" s="129">
        <f>IF(H282="","",IF(COUNTIF($H$3:H282,H282)=1,MAX($BM$2:BM281)+1,""))</f>
      </c>
      <c r="BN282" s="129">
        <f>IF(I282="","",IF(COUNTIF($I$3:I282,I282)+COUNTIF($J$2:J281,I282)+COUNTIF($K$2:K281,I282)=1,MAX($BN$2:BP281)+1,""))</f>
      </c>
      <c r="BO282" s="129">
        <f>IF(J282="","",IF(COUNTIF($I$3:I282,J282)+COUNTIF($J$3:J282,J282)+COUNTIF($K$2:K281,J282)=1,MAX($BN$2:BP281,BN282)+1,""))</f>
      </c>
      <c r="BP282" s="129">
        <f>IF(K282="","",IF(COUNTIF($I$3:I282,K282)+COUNTIF($J$3:J282,K282)+COUNTIF($K$3:K282,K282)=1,MAX($BN$2:BP281,BN282,BO282)+1,""))</f>
      </c>
      <c r="BQ282" s="129">
        <f>IF(AY282=1,IFERROR(MID(Q282,FIND(" (",Q282)+2,FIND(")",Q282,FIND(" (",Q282))-FIND(" (",Q282)-2),"?"),"")</f>
      </c>
      <c r="BR282" s="129">
        <f>IF(BQ282="","",IF(COUNTIF($BQ$3:BQ282,BQ282)=1,MAX($BR$2:BR281)+1,""))</f>
      </c>
      <c r="BS282" s="129">
        <f>IF(AW282="","",COUNTIF($AW$3:AW282,"?*"))</f>
      </c>
      <c r="BT282" s="129">
        <f>IF(OR(AW282="",AI282=""),"",IF(COUNTIFS($AW$3:AW282,"?*",$AI$3:AI282,AI282)=1,MAX($BT$2:BT281)+1,""))</f>
      </c>
      <c r="BU282" s="129">
        <f>IF(AE282="",0,IF(OR(ISNUMBER(SEARCH("дубль",AE282)),ISNUMBER(SEARCH("ПЕРЕГРУЗ",AE282)),ISNUMBER(SEARCH("ЗАЩИЩ",AE282)),ISNUMBER(SEARCH("КАНАЛ",AE282)),ISNUMBER(SEARCH("без 30",AE282))),2,1))</f>
      </c>
      <c r="BV282" s="129">
        <f>IF(R282="","",COUNTIF($R$3:R282,"?*"))</f>
      </c>
      <c r="BW282" s="129">
        <f>IF(AY282&lt;&gt;1,0,IF(MAX(IFERROR(--VLOOKUP(R282,УГО_спр,5,FALSE),0),IFERROR(--VLOOKUP(AL282,УГО_спр,5,FALSE),0),IFERROR(--VLOOKUP(LEFT(AL282,2),УГО_спр,5,FALSE),0))&gt;0,MAX(IFERROR(--VLOOKUP(R282,УГО_спр,5,FALSE),0),IFERROR(--VLOOKUP(AL282,УГО_спр,5,FALSE),0),IFERROR(--VLOOKUP(LEFT(AL282,2),УГО_спр,5,FALSE),0)),IF(IFERROR(--LEFT(SUBSTITUTE(BQ282,"x","х"),FIND("х",SUBSTITUTE(BQ282,"x","х"))-1),3)&gt;3,Каталог!$S$9,1)))</f>
      </c>
      <c r="BX282" s="129">
        <f>IF(AY282&lt;&gt;1,0,MAX(0,IFERROR(--LEFT(SUBSTITUTE(BQ282,"x","х"),FIND("х",SUBSTITUTE(BQ282,"x","х"))-1),3)-3*BW282))</f>
      </c>
      <c r="BY282" s="129">
        <f>IF(R282="","",IFERROR(VLOOKUP(R282,УГО_спр,2,FALSE),IFERROR(VLOOKUP(AL282,УГО_спр,2,FALSE),IFERROR(VLOOKUP(LEFT(AL282,2),УГО_спр,2,FALSE),""))))</f>
      </c>
    </row>
    <row r="283" spans="1:64" x14ac:dyDescent="0.3">
      <c r="A283" s="135">
        <f>IF(Разбивка_по_щитам!F283=0,"",Разбивка_по_щитам!F283)</f>
      </c>
      <c r="B283" s="138">
        <f>IF(A283="","",Разбивка_по_щитам!C283)</f>
      </c>
      <c r="C283" s="138">
        <f t="shared" si="170"/>
      </c>
      <c r="D283" s="266"/>
      <c r="E283" s="266"/>
      <c r="F283" s="267"/>
      <c r="G283" s="145">
        <f t="shared" si="171"/>
        <v/>
      </c>
      <c r="H283" s="145">
        <f t="shared" si="172"/>
        <v/>
      </c>
      <c r="I283" s="266"/>
      <c r="J283" s="267"/>
      <c r="K283" s="267"/>
      <c r="L283" s="266"/>
      <c r="M283" s="147">
        <f t="shared" si="173"/>
        <v/>
      </c>
      <c r="N283" s="267"/>
      <c r="O283" s="147">
        <f t="shared" si="174"/>
        <v/>
      </c>
      <c r="P283" s="268">
        <f>IF(AY283=1,"XT"&amp;COUNTIFS($A$3:A283,A283,$AY$3:AY283,1),"")</f>
        <v/>
      </c>
      <c r="Q283" s="152">
        <f>IF(R283="","",IFERROR(SUBSTITUTE(Разбивка_по_щитам!P283,CHAR(10)," "),""))</f>
        <v/>
      </c>
      <c r="R283" s="153">
        <f>IF(OR(Разбивка_по_щитам!H283="",Разбивка_по_щитам!H283=0),"",Разбивка_по_щитам!H283)</f>
        <v/>
      </c>
      <c r="S283" s="154">
        <f>IF(R283="","",IFERROR(Разбивка_по_щитам!J283&amp;"",""))</f>
        <v/>
      </c>
      <c r="T283" s="155">
        <f>IF(R283="","",IFERROR(--Разбивка_по_щитам!L283,""))</f>
        <v/>
      </c>
      <c r="U283" s="155">
        <f>IF(R283="","",IFERROR(--Разбивка_по_щитам!K283,""))</f>
        <v/>
      </c>
      <c r="V283" s="138">
        <f>IF(R283="","",IFERROR(IF(Разбивка_по_щитам!M283=0,"",Разбивка_по_щитам!M283),""))</f>
        <v/>
      </c>
      <c r="W283" s="156">
        <f t="shared" si="175"/>
        <v/>
      </c>
      <c r="X283" s="157">
        <f t="shared" si="176"/>
        <v/>
      </c>
      <c r="Y283" s="266"/>
      <c r="Z283" s="158">
        <f t="shared" si="177"/>
        <v/>
      </c>
      <c r="AA283" s="160">
        <f t="shared" si="178"/>
        <v/>
      </c>
      <c r="AB283" s="160">
        <f>IF(R283="","",IFERROR(LOOKUP(INDEX(Справочная!$I$4:$I$19,MATCH(VLOOKUP(R283,Исходные_данные,22,FALSE),Справочная!$J$4:$J$19,0)+1),{6,10,16,20,25,32,40,50,63,80,100,125}),""))</f>
        <v/>
      </c>
      <c r="AC283" s="160">
        <f t="shared" si="179"/>
        <v/>
      </c>
      <c r="AD283" s="161">
        <f t="shared" si="180"/>
        <v/>
      </c>
      <c r="AE283" s="161">
        <f>IF(AND(R283="",G283=""),"",_xlfn.TEXTJOIN("; ",TRUE,IF(AND(R283&lt;&gt;"",V283=""),"нет фазы",""),IF(AND(R283&lt;&gt;"",N(T283)=0),"нет мощности",""),IF(AND(P283&lt;&gt;"",COUNTIFS($A$3:$A$1000,A283,$P$3:$P$1000,P283)&gt;1),"дубль клеммы "&amp;P283,""),IF(AND(W283&lt;&gt;"",W283&lt;&gt;"ok"),W283,""),IF(X283&lt;&gt;"",X283,""),IF(AND(ISNUMBER(SEARCH("(5х",Q283)),N(AK283)=1),"5 жил на 1 фазе",""),IF(AND(AL283="R",E283&lt;&gt;"",N(AS283)=0),"розетка без 30 мА",""),IF(IFERROR(_xlfn.NUMBERVALUE(MID(Q283,FIND("-",Q283,FIND("L=",Q283))+1,FIND("%",Q283)-FIND("-",Q283,FIND("L=",Q283))-1),","),0)&gt;4,"потери &gt; 4 %","")))</f>
      </c>
      <c r="AF283" s="129">
        <f>IF(E283&lt;&gt;"",COUNTIFS($A$3:A283,A283,$E$3:E283,"?*"),IF(OR(A283&lt;&gt;A282,Y283="вручную"),"",AF282))</f>
      </c>
      <c r="AG283" s="129">
        <f t="shared" si="181"/>
      </c>
      <c r="AH283" s="129">
        <f t="shared" si="182"/>
        <v/>
      </c>
      <c r="AI283" s="129">
        <f t="shared" si="183"/>
        <v/>
      </c>
      <c r="AJ283" s="129">
        <f t="shared" si="184"/>
        <v/>
      </c>
      <c r="AK283" s="129">
        <f t="shared" si="185"/>
        <v/>
      </c>
      <c r="AL283" s="129">
        <f t="shared" si="186"/>
        <v/>
      </c>
      <c r="AM283" s="129">
        <f t="shared" si="187"/>
      </c>
      <c r="AN283" s="129">
        <f t="shared" si="188"/>
      </c>
      <c r="AO283" s="129">
        <f t="shared" si="189"/>
        <v/>
      </c>
      <c r="AP283" s="129">
        <f t="shared" si="190"/>
        <v/>
      </c>
      <c r="AQ283" s="129">
        <f t="shared" si="191"/>
        <v/>
      </c>
      <c r="AR283" s="129">
        <f t="shared" si="192"/>
        <v/>
      </c>
      <c r="AS283" s="129">
        <f t="shared" si="193"/>
        <v/>
      </c>
      <c r="AT283" s="129">
        <f t="shared" si="194"/>
        <v/>
      </c>
      <c r="AU283" s="129">
        <f t="shared" si="195"/>
        <v/>
      </c>
      <c r="AV283" s="129">
        <f t="shared" si="196"/>
        <v/>
      </c>
      <c r="AW283" s="129">
        <f>IF(AV283="","",AV283&amp;"."&amp;COUNTIFS($A$3:A283,A283,$AV$3:AV283,AV283))</f>
        <v/>
      </c>
      <c r="AX283" s="129">
        <f t="shared" si="197"/>
        <v/>
      </c>
      <c r="AY283" s="129">
        <f>IF(N283="б/к",0,IF(OR(ISNUMBER(SEARCH("L=",Разбивка_по_щитам!P283)),N283="+",N283="="),1,0))</f>
      </c>
      <c r="AZ283" s="129">
        <f t="shared" si="198"/>
      </c>
      <c r="BA283" s="129">
        <f t="shared" si="199"/>
      </c>
      <c r="BB283" s="129">
        <f t="shared" si="200"/>
      </c>
      <c r="BD283" s="129">
        <f t="shared" si="201"/>
      </c>
      <c r="BE283" s="129">
        <f t="shared" si="202"/>
      </c>
      <c r="BF283" s="129">
        <f t="shared" si="203"/>
      </c>
      <c r="BG283" s="129">
        <f t="shared" si="204"/>
        <v/>
      </c>
      <c r="BH283" s="129">
        <f t="shared" si="205"/>
        <v/>
      </c>
      <c r="BI283" s="129">
        <f t="shared" si="206"/>
        <v/>
      </c>
      <c r="BJ283" s="129">
        <f t="shared" si="207"/>
        <v/>
      </c>
      <c r="BK283" s="129">
        <f>IF(R283="","",IF(OR(BY283="",BY283=0),"BOX",IFERROR(IF(VLOOKUP(BY283,УГО_блоки,3,FALSE)&amp;""&lt;&gt;"",VLOOKUP(BY283,УГО_блоки,3,FALSE),VLOOKUP(BY283,УГО_блоки,2,FALSE)),BY283)))</f>
      </c>
      <c r="BL283" s="129">
        <f t="shared" si="209"/>
      </c>
      <c r="BM283" s="129">
        <f>IF(H283="","",IF(COUNTIF($H$3:H283,H283)=1,MAX($BM$2:BM282)+1,""))</f>
      </c>
      <c r="BN283" s="129">
        <f>IF(I283="","",IF(COUNTIF($I$3:I283,I283)+COUNTIF($J$2:J282,I283)+COUNTIF($K$2:K282,I283)=1,MAX($BN$2:BP282)+1,""))</f>
      </c>
      <c r="BO283" s="129">
        <f>IF(J283="","",IF(COUNTIF($I$3:I283,J283)+COUNTIF($J$3:J283,J283)+COUNTIF($K$2:K282,J283)=1,MAX($BN$2:BP282,BN283)+1,""))</f>
      </c>
      <c r="BP283" s="129">
        <f>IF(K283="","",IF(COUNTIF($I$3:I283,K283)+COUNTIF($J$3:J283,K283)+COUNTIF($K$3:K283,K283)=1,MAX($BN$2:BP282,BN283,BO283)+1,""))</f>
      </c>
      <c r="BQ283" s="129">
        <f>IF(AY283=1,IFERROR(MID(Q283,FIND(" (",Q283)+2,FIND(")",Q283,FIND(" (",Q283))-FIND(" (",Q283)-2),"?"),"")</f>
      </c>
      <c r="BR283" s="129">
        <f>IF(BQ283="","",IF(COUNTIF($BQ$3:BQ283,BQ283)=1,MAX($BR$2:BR282)+1,""))</f>
      </c>
      <c r="BS283" s="129">
        <f>IF(AW283="","",COUNTIF($AW$3:AW283,"?*"))</f>
      </c>
      <c r="BT283" s="129">
        <f>IF(OR(AW283="",AI283=""),"",IF(COUNTIFS($AW$3:AW283,"?*",$AI$3:AI283,AI283)=1,MAX($BT$2:BT282)+1,""))</f>
      </c>
      <c r="BU283" s="129">
        <f>IF(AE283="",0,IF(OR(ISNUMBER(SEARCH("дубль",AE283)),ISNUMBER(SEARCH("ПЕРЕГРУЗ",AE283)),ISNUMBER(SEARCH("ЗАЩИЩ",AE283)),ISNUMBER(SEARCH("КАНАЛ",AE283)),ISNUMBER(SEARCH("без 30",AE283))),2,1))</f>
      </c>
      <c r="BV283" s="129">
        <f>IF(R283="","",COUNTIF($R$3:R283,"?*"))</f>
      </c>
      <c r="BW283" s="129">
        <f>IF(AY283&lt;&gt;1,0,IF(MAX(IFERROR(--VLOOKUP(R283,УГО_спр,5,FALSE),0),IFERROR(--VLOOKUP(AL283,УГО_спр,5,FALSE),0),IFERROR(--VLOOKUP(LEFT(AL283,2),УГО_спр,5,FALSE),0))&gt;0,MAX(IFERROR(--VLOOKUP(R283,УГО_спр,5,FALSE),0),IFERROR(--VLOOKUP(AL283,УГО_спр,5,FALSE),0),IFERROR(--VLOOKUP(LEFT(AL283,2),УГО_спр,5,FALSE),0)),IF(IFERROR(--LEFT(SUBSTITUTE(BQ283,"x","х"),FIND("х",SUBSTITUTE(BQ283,"x","х"))-1),3)&gt;3,Каталог!$S$9,1)))</f>
      </c>
      <c r="BX283" s="129">
        <f>IF(AY283&lt;&gt;1,0,MAX(0,IFERROR(--LEFT(SUBSTITUTE(BQ283,"x","х"),FIND("х",SUBSTITUTE(BQ283,"x","х"))-1),3)-3*BW283))</f>
      </c>
      <c r="BY283" s="129">
        <f>IF(R283="","",IFERROR(VLOOKUP(R283,УГО_спр,2,FALSE),IFERROR(VLOOKUP(AL283,УГО_спр,2,FALSE),IFERROR(VLOOKUP(LEFT(AL283,2),УГО_спр,2,FALSE),""))))</f>
      </c>
    </row>
    <row r="284" spans="1:64" x14ac:dyDescent="0.3">
      <c r="A284" s="135">
        <f>IF(Разбивка_по_щитам!F284=0,"",Разбивка_по_щитам!F284)</f>
      </c>
      <c r="B284" s="138">
        <f>IF(A284="","",Разбивка_по_щитам!C284)</f>
      </c>
      <c r="C284" s="138">
        <f t="shared" si="170"/>
      </c>
      <c r="D284" s="266"/>
      <c r="E284" s="266"/>
      <c r="F284" s="267"/>
      <c r="G284" s="145">
        <f t="shared" si="171"/>
        <v/>
      </c>
      <c r="H284" s="145">
        <f t="shared" si="172"/>
        <v/>
      </c>
      <c r="I284" s="266"/>
      <c r="J284" s="267"/>
      <c r="K284" s="267"/>
      <c r="L284" s="266"/>
      <c r="M284" s="147">
        <f t="shared" si="173"/>
        <v/>
      </c>
      <c r="N284" s="267"/>
      <c r="O284" s="147">
        <f t="shared" si="174"/>
        <v/>
      </c>
      <c r="P284" s="268">
        <f>IF(AY284=1,"XT"&amp;COUNTIFS($A$3:A284,A284,$AY$3:AY284,1),"")</f>
        <v/>
      </c>
      <c r="Q284" s="152">
        <f>IF(R284="","",IFERROR(SUBSTITUTE(Разбивка_по_щитам!P284,CHAR(10)," "),""))</f>
        <v/>
      </c>
      <c r="R284" s="153">
        <f>IF(OR(Разбивка_по_щитам!H284="",Разбивка_по_щитам!H284=0),"",Разбивка_по_щитам!H284)</f>
        <v/>
      </c>
      <c r="S284" s="154">
        <f>IF(R284="","",IFERROR(Разбивка_по_щитам!J284&amp;"",""))</f>
        <v/>
      </c>
      <c r="T284" s="155">
        <f>IF(R284="","",IFERROR(--Разбивка_по_щитам!L284,""))</f>
        <v/>
      </c>
      <c r="U284" s="155">
        <f>IF(R284="","",IFERROR(--Разбивка_по_щитам!K284,""))</f>
        <v/>
      </c>
      <c r="V284" s="138">
        <f>IF(R284="","",IFERROR(IF(Разбивка_по_щитам!M284=0,"",Разбивка_по_щитам!M284),""))</f>
        <v/>
      </c>
      <c r="W284" s="156">
        <f t="shared" si="175"/>
        <v/>
      </c>
      <c r="X284" s="157">
        <f t="shared" si="176"/>
        <v/>
      </c>
      <c r="Y284" s="266"/>
      <c r="Z284" s="158">
        <f t="shared" si="177"/>
        <v/>
      </c>
      <c r="AA284" s="160">
        <f t="shared" si="178"/>
        <v/>
      </c>
      <c r="AB284" s="160">
        <f>IF(R284="","",IFERROR(LOOKUP(INDEX(Справочная!$I$4:$I$19,MATCH(VLOOKUP(R284,Исходные_данные,22,FALSE),Справочная!$J$4:$J$19,0)+1),{6,10,16,20,25,32,40,50,63,80,100,125}),""))</f>
        <v/>
      </c>
      <c r="AC284" s="160">
        <f t="shared" si="179"/>
        <v/>
      </c>
      <c r="AD284" s="161">
        <f t="shared" si="180"/>
        <v/>
      </c>
      <c r="AE284" s="161">
        <f>IF(AND(R284="",G284=""),"",_xlfn.TEXTJOIN("; ",TRUE,IF(AND(R284&lt;&gt;"",V284=""),"нет фазы",""),IF(AND(R284&lt;&gt;"",N(T284)=0),"нет мощности",""),IF(AND(P284&lt;&gt;"",COUNTIFS($A$3:$A$1000,A284,$P$3:$P$1000,P284)&gt;1),"дубль клеммы "&amp;P284,""),IF(AND(W284&lt;&gt;"",W284&lt;&gt;"ok"),W284,""),IF(X284&lt;&gt;"",X284,""),IF(AND(ISNUMBER(SEARCH("(5х",Q284)),N(AK284)=1),"5 жил на 1 фазе",""),IF(AND(AL284="R",E284&lt;&gt;"",N(AS284)=0),"розетка без 30 мА",""),IF(IFERROR(_xlfn.NUMBERVALUE(MID(Q284,FIND("-",Q284,FIND("L=",Q284))+1,FIND("%",Q284)-FIND("-",Q284,FIND("L=",Q284))-1),","),0)&gt;4,"потери &gt; 4 %","")))</f>
      </c>
      <c r="AF284" s="129">
        <f>IF(E284&lt;&gt;"",COUNTIFS($A$3:A284,A284,$E$3:E284,"?*"),IF(OR(A284&lt;&gt;A283,Y284="вручную"),"",AF283))</f>
      </c>
      <c r="AG284" s="129">
        <f t="shared" si="181"/>
      </c>
      <c r="AH284" s="129">
        <f t="shared" si="182"/>
        <v/>
      </c>
      <c r="AI284" s="129">
        <f t="shared" si="183"/>
        <v/>
      </c>
      <c r="AJ284" s="129">
        <f t="shared" si="184"/>
        <v/>
      </c>
      <c r="AK284" s="129">
        <f t="shared" si="185"/>
        <v/>
      </c>
      <c r="AL284" s="129">
        <f t="shared" si="186"/>
        <v/>
      </c>
      <c r="AM284" s="129">
        <f t="shared" si="187"/>
      </c>
      <c r="AN284" s="129">
        <f t="shared" si="188"/>
      </c>
      <c r="AO284" s="129">
        <f t="shared" si="189"/>
        <v/>
      </c>
      <c r="AP284" s="129">
        <f t="shared" si="190"/>
        <v/>
      </c>
      <c r="AQ284" s="129">
        <f t="shared" si="191"/>
        <v/>
      </c>
      <c r="AR284" s="129">
        <f t="shared" si="192"/>
        <v/>
      </c>
      <c r="AS284" s="129">
        <f t="shared" si="193"/>
        <v/>
      </c>
      <c r="AT284" s="129">
        <f t="shared" si="194"/>
        <v/>
      </c>
      <c r="AU284" s="129">
        <f t="shared" si="195"/>
        <v/>
      </c>
      <c r="AV284" s="129">
        <f t="shared" si="196"/>
        <v/>
      </c>
      <c r="AW284" s="129">
        <f>IF(AV284="","",AV284&amp;"."&amp;COUNTIFS($A$3:A284,A284,$AV$3:AV284,AV284))</f>
        <v/>
      </c>
      <c r="AX284" s="129">
        <f t="shared" si="197"/>
        <v/>
      </c>
      <c r="AY284" s="129">
        <f>IF(N284="б/к",0,IF(OR(ISNUMBER(SEARCH("L=",Разбивка_по_щитам!P284)),N284="+",N284="="),1,0))</f>
      </c>
      <c r="AZ284" s="129">
        <f t="shared" si="198"/>
      </c>
      <c r="BA284" s="129">
        <f t="shared" si="199"/>
      </c>
      <c r="BB284" s="129">
        <f t="shared" si="200"/>
      </c>
      <c r="BD284" s="129">
        <f t="shared" si="201"/>
      </c>
      <c r="BE284" s="129">
        <f t="shared" si="202"/>
      </c>
      <c r="BF284" s="129">
        <f t="shared" si="203"/>
      </c>
      <c r="BG284" s="129">
        <f t="shared" si="204"/>
        <v/>
      </c>
      <c r="BH284" s="129">
        <f t="shared" si="205"/>
        <v/>
      </c>
      <c r="BI284" s="129">
        <f t="shared" si="206"/>
        <v/>
      </c>
      <c r="BJ284" s="129">
        <f t="shared" si="207"/>
        <v/>
      </c>
      <c r="BK284" s="129">
        <f>IF(R284="","",IF(OR(BY284="",BY284=0),"BOX",IFERROR(IF(VLOOKUP(BY284,УГО_блоки,3,FALSE)&amp;""&lt;&gt;"",VLOOKUP(BY284,УГО_блоки,3,FALSE),VLOOKUP(BY284,УГО_блоки,2,FALSE)),BY284)))</f>
      </c>
      <c r="BL284" s="129">
        <f t="shared" si="209"/>
      </c>
      <c r="BM284" s="129">
        <f>IF(H284="","",IF(COUNTIF($H$3:H284,H284)=1,MAX($BM$2:BM283)+1,""))</f>
      </c>
      <c r="BN284" s="129">
        <f>IF(I284="","",IF(COUNTIF($I$3:I284,I284)+COUNTIF($J$2:J283,I284)+COUNTIF($K$2:K283,I284)=1,MAX($BN$2:BP283)+1,""))</f>
      </c>
      <c r="BO284" s="129">
        <f>IF(J284="","",IF(COUNTIF($I$3:I284,J284)+COUNTIF($J$3:J284,J284)+COUNTIF($K$2:K283,J284)=1,MAX($BN$2:BP283,BN284)+1,""))</f>
      </c>
      <c r="BP284" s="129">
        <f>IF(K284="","",IF(COUNTIF($I$3:I284,K284)+COUNTIF($J$3:J284,K284)+COUNTIF($K$3:K284,K284)=1,MAX($BN$2:BP283,BN284,BO284)+1,""))</f>
      </c>
      <c r="BQ284" s="129">
        <f>IF(AY284=1,IFERROR(MID(Q284,FIND(" (",Q284)+2,FIND(")",Q284,FIND(" (",Q284))-FIND(" (",Q284)-2),"?"),"")</f>
      </c>
      <c r="BR284" s="129">
        <f>IF(BQ284="","",IF(COUNTIF($BQ$3:BQ284,BQ284)=1,MAX($BR$2:BR283)+1,""))</f>
      </c>
      <c r="BS284" s="129">
        <f>IF(AW284="","",COUNTIF($AW$3:AW284,"?*"))</f>
      </c>
      <c r="BT284" s="129">
        <f>IF(OR(AW284="",AI284=""),"",IF(COUNTIFS($AW$3:AW284,"?*",$AI$3:AI284,AI284)=1,MAX($BT$2:BT283)+1,""))</f>
      </c>
      <c r="BU284" s="129">
        <f>IF(AE284="",0,IF(OR(ISNUMBER(SEARCH("дубль",AE284)),ISNUMBER(SEARCH("ПЕРЕГРУЗ",AE284)),ISNUMBER(SEARCH("ЗАЩИЩ",AE284)),ISNUMBER(SEARCH("КАНАЛ",AE284)),ISNUMBER(SEARCH("без 30",AE284))),2,1))</f>
      </c>
      <c r="BV284" s="129">
        <f>IF(R284="","",COUNTIF($R$3:R284,"?*"))</f>
      </c>
      <c r="BW284" s="129">
        <f>IF(AY284&lt;&gt;1,0,IF(MAX(IFERROR(--VLOOKUP(R284,УГО_спр,5,FALSE),0),IFERROR(--VLOOKUP(AL284,УГО_спр,5,FALSE),0),IFERROR(--VLOOKUP(LEFT(AL284,2),УГО_спр,5,FALSE),0))&gt;0,MAX(IFERROR(--VLOOKUP(R284,УГО_спр,5,FALSE),0),IFERROR(--VLOOKUP(AL284,УГО_спр,5,FALSE),0),IFERROR(--VLOOKUP(LEFT(AL284,2),УГО_спр,5,FALSE),0)),IF(IFERROR(--LEFT(SUBSTITUTE(BQ284,"x","х"),FIND("х",SUBSTITUTE(BQ284,"x","х"))-1),3)&gt;3,Каталог!$S$9,1)))</f>
      </c>
      <c r="BX284" s="129">
        <f>IF(AY284&lt;&gt;1,0,MAX(0,IFERROR(--LEFT(SUBSTITUTE(BQ284,"x","х"),FIND("х",SUBSTITUTE(BQ284,"x","х"))-1),3)-3*BW284))</f>
      </c>
      <c r="BY284" s="129">
        <f>IF(R284="","",IFERROR(VLOOKUP(R284,УГО_спр,2,FALSE),IFERROR(VLOOKUP(AL284,УГО_спр,2,FALSE),IFERROR(VLOOKUP(LEFT(AL284,2),УГО_спр,2,FALSE),""))))</f>
      </c>
    </row>
    <row r="285" spans="1:64" x14ac:dyDescent="0.3">
      <c r="A285" s="135">
        <f>IF(Разбивка_по_щитам!F285=0,"",Разбивка_по_щитам!F285)</f>
      </c>
      <c r="B285" s="138">
        <f>IF(A285="","",Разбивка_по_щитам!C285)</f>
      </c>
      <c r="C285" s="138">
        <f t="shared" si="170"/>
      </c>
      <c r="D285" s="266"/>
      <c r="E285" s="266"/>
      <c r="F285" s="267"/>
      <c r="G285" s="145">
        <f t="shared" si="171"/>
        <v/>
      </c>
      <c r="H285" s="145">
        <f t="shared" si="172"/>
        <v/>
      </c>
      <c r="I285" s="266"/>
      <c r="J285" s="267"/>
      <c r="K285" s="267"/>
      <c r="L285" s="266"/>
      <c r="M285" s="147">
        <f t="shared" si="173"/>
        <v/>
      </c>
      <c r="N285" s="267"/>
      <c r="O285" s="147">
        <f t="shared" si="174"/>
        <v/>
      </c>
      <c r="P285" s="268">
        <f>IF(AY285=1,"XT"&amp;COUNTIFS($A$3:A285,A285,$AY$3:AY285,1),"")</f>
        <v/>
      </c>
      <c r="Q285" s="152">
        <f>IF(R285="","",IFERROR(SUBSTITUTE(Разбивка_по_щитам!P285,CHAR(10)," "),""))</f>
        <v/>
      </c>
      <c r="R285" s="153">
        <f>IF(OR(Разбивка_по_щитам!H285="",Разбивка_по_щитам!H285=0),"",Разбивка_по_щитам!H285)</f>
        <v/>
      </c>
      <c r="S285" s="154">
        <f>IF(R285="","",IFERROR(Разбивка_по_щитам!J285&amp;"",""))</f>
        <v/>
      </c>
      <c r="T285" s="155">
        <f>IF(R285="","",IFERROR(--Разбивка_по_щитам!L285,""))</f>
        <v/>
      </c>
      <c r="U285" s="155">
        <f>IF(R285="","",IFERROR(--Разбивка_по_щитам!K285,""))</f>
        <v/>
      </c>
      <c r="V285" s="138">
        <f>IF(R285="","",IFERROR(IF(Разбивка_по_щитам!M285=0,"",Разбивка_по_щитам!M285),""))</f>
        <v/>
      </c>
      <c r="W285" s="156">
        <f t="shared" si="175"/>
        <v/>
      </c>
      <c r="X285" s="157">
        <f t="shared" si="176"/>
        <v/>
      </c>
      <c r="Y285" s="266"/>
      <c r="Z285" s="158">
        <f t="shared" si="177"/>
        <v/>
      </c>
      <c r="AA285" s="160">
        <f t="shared" si="178"/>
        <v/>
      </c>
      <c r="AB285" s="160">
        <f>IF(R285="","",IFERROR(LOOKUP(INDEX(Справочная!$I$4:$I$19,MATCH(VLOOKUP(R285,Исходные_данные,22,FALSE),Справочная!$J$4:$J$19,0)+1),{6,10,16,20,25,32,40,50,63,80,100,125}),""))</f>
        <v/>
      </c>
      <c r="AC285" s="160">
        <f t="shared" si="179"/>
        <v/>
      </c>
      <c r="AD285" s="161">
        <f t="shared" si="180"/>
        <v/>
      </c>
      <c r="AE285" s="161">
        <f>IF(AND(R285="",G285=""),"",_xlfn.TEXTJOIN("; ",TRUE,IF(AND(R285&lt;&gt;"",V285=""),"нет фазы",""),IF(AND(R285&lt;&gt;"",N(T285)=0),"нет мощности",""),IF(AND(P285&lt;&gt;"",COUNTIFS($A$3:$A$1000,A285,$P$3:$P$1000,P285)&gt;1),"дубль клеммы "&amp;P285,""),IF(AND(W285&lt;&gt;"",W285&lt;&gt;"ok"),W285,""),IF(X285&lt;&gt;"",X285,""),IF(AND(ISNUMBER(SEARCH("(5х",Q285)),N(AK285)=1),"5 жил на 1 фазе",""),IF(AND(AL285="R",E285&lt;&gt;"",N(AS285)=0),"розетка без 30 мА",""),IF(IFERROR(_xlfn.NUMBERVALUE(MID(Q285,FIND("-",Q285,FIND("L=",Q285))+1,FIND("%",Q285)-FIND("-",Q285,FIND("L=",Q285))-1),","),0)&gt;4,"потери &gt; 4 %","")))</f>
      </c>
      <c r="AF285" s="129">
        <f>IF(E285&lt;&gt;"",COUNTIFS($A$3:A285,A285,$E$3:E285,"?*"),IF(OR(A285&lt;&gt;A284,Y285="вручную"),"",AF284))</f>
      </c>
      <c r="AG285" s="129">
        <f t="shared" si="181"/>
      </c>
      <c r="AH285" s="129">
        <f t="shared" si="182"/>
        <v/>
      </c>
      <c r="AI285" s="129">
        <f t="shared" si="183"/>
        <v/>
      </c>
      <c r="AJ285" s="129">
        <f t="shared" si="184"/>
        <v/>
      </c>
      <c r="AK285" s="129">
        <f t="shared" si="185"/>
        <v/>
      </c>
      <c r="AL285" s="129">
        <f t="shared" si="186"/>
        <v/>
      </c>
      <c r="AM285" s="129">
        <f t="shared" si="187"/>
      </c>
      <c r="AN285" s="129">
        <f t="shared" si="188"/>
      </c>
      <c r="AO285" s="129">
        <f t="shared" si="189"/>
        <v/>
      </c>
      <c r="AP285" s="129">
        <f t="shared" si="190"/>
        <v/>
      </c>
      <c r="AQ285" s="129">
        <f t="shared" si="191"/>
        <v/>
      </c>
      <c r="AR285" s="129">
        <f t="shared" si="192"/>
        <v/>
      </c>
      <c r="AS285" s="129">
        <f t="shared" si="193"/>
        <v/>
      </c>
      <c r="AT285" s="129">
        <f t="shared" si="194"/>
        <v/>
      </c>
      <c r="AU285" s="129">
        <f t="shared" si="195"/>
        <v/>
      </c>
      <c r="AV285" s="129">
        <f t="shared" si="196"/>
        <v/>
      </c>
      <c r="AW285" s="129">
        <f>IF(AV285="","",AV285&amp;"."&amp;COUNTIFS($A$3:A285,A285,$AV$3:AV285,AV285))</f>
        <v/>
      </c>
      <c r="AX285" s="129">
        <f t="shared" si="197"/>
        <v/>
      </c>
      <c r="AY285" s="129">
        <f>IF(N285="б/к",0,IF(OR(ISNUMBER(SEARCH("L=",Разбивка_по_щитам!P285)),N285="+",N285="="),1,0))</f>
      </c>
      <c r="AZ285" s="129">
        <f t="shared" si="198"/>
      </c>
      <c r="BA285" s="129">
        <f t="shared" si="199"/>
      </c>
      <c r="BB285" s="129">
        <f t="shared" si="200"/>
      </c>
      <c r="BD285" s="129">
        <f t="shared" si="201"/>
      </c>
      <c r="BE285" s="129">
        <f t="shared" si="202"/>
      </c>
      <c r="BF285" s="129">
        <f t="shared" si="203"/>
      </c>
      <c r="BG285" s="129">
        <f t="shared" si="204"/>
        <v/>
      </c>
      <c r="BH285" s="129">
        <f t="shared" si="205"/>
        <v/>
      </c>
      <c r="BI285" s="129">
        <f t="shared" si="206"/>
        <v/>
      </c>
      <c r="BJ285" s="129">
        <f t="shared" si="207"/>
        <v/>
      </c>
      <c r="BK285" s="129">
        <f>IF(R285="","",IF(OR(BY285="",BY285=0),"BOX",IFERROR(IF(VLOOKUP(BY285,УГО_блоки,3,FALSE)&amp;""&lt;&gt;"",VLOOKUP(BY285,УГО_блоки,3,FALSE),VLOOKUP(BY285,УГО_блоки,2,FALSE)),BY285)))</f>
      </c>
      <c r="BL285" s="129">
        <f t="shared" si="209"/>
      </c>
      <c r="BM285" s="129">
        <f>IF(H285="","",IF(COUNTIF($H$3:H285,H285)=1,MAX($BM$2:BM284)+1,""))</f>
      </c>
      <c r="BN285" s="129">
        <f>IF(I285="","",IF(COUNTIF($I$3:I285,I285)+COUNTIF($J$2:J284,I285)+COUNTIF($K$2:K284,I285)=1,MAX($BN$2:BP284)+1,""))</f>
      </c>
      <c r="BO285" s="129">
        <f>IF(J285="","",IF(COUNTIF($I$3:I285,J285)+COUNTIF($J$3:J285,J285)+COUNTIF($K$2:K284,J285)=1,MAX($BN$2:BP284,BN285)+1,""))</f>
      </c>
      <c r="BP285" s="129">
        <f>IF(K285="","",IF(COUNTIF($I$3:I285,K285)+COUNTIF($J$3:J285,K285)+COUNTIF($K$3:K285,K285)=1,MAX($BN$2:BP284,BN285,BO285)+1,""))</f>
      </c>
      <c r="BQ285" s="129">
        <f>IF(AY285=1,IFERROR(MID(Q285,FIND(" (",Q285)+2,FIND(")",Q285,FIND(" (",Q285))-FIND(" (",Q285)-2),"?"),"")</f>
      </c>
      <c r="BR285" s="129">
        <f>IF(BQ285="","",IF(COUNTIF($BQ$3:BQ285,BQ285)=1,MAX($BR$2:BR284)+1,""))</f>
      </c>
      <c r="BS285" s="129">
        <f>IF(AW285="","",COUNTIF($AW$3:AW285,"?*"))</f>
      </c>
      <c r="BT285" s="129">
        <f>IF(OR(AW285="",AI285=""),"",IF(COUNTIFS($AW$3:AW285,"?*",$AI$3:AI285,AI285)=1,MAX($BT$2:BT284)+1,""))</f>
      </c>
      <c r="BU285" s="129">
        <f>IF(AE285="",0,IF(OR(ISNUMBER(SEARCH("дубль",AE285)),ISNUMBER(SEARCH("ПЕРЕГРУЗ",AE285)),ISNUMBER(SEARCH("ЗАЩИЩ",AE285)),ISNUMBER(SEARCH("КАНАЛ",AE285)),ISNUMBER(SEARCH("без 30",AE285))),2,1))</f>
      </c>
      <c r="BV285" s="129">
        <f>IF(R285="","",COUNTIF($R$3:R285,"?*"))</f>
      </c>
      <c r="BW285" s="129">
        <f>IF(AY285&lt;&gt;1,0,IF(MAX(IFERROR(--VLOOKUP(R285,УГО_спр,5,FALSE),0),IFERROR(--VLOOKUP(AL285,УГО_спр,5,FALSE),0),IFERROR(--VLOOKUP(LEFT(AL285,2),УГО_спр,5,FALSE),0))&gt;0,MAX(IFERROR(--VLOOKUP(R285,УГО_спр,5,FALSE),0),IFERROR(--VLOOKUP(AL285,УГО_спр,5,FALSE),0),IFERROR(--VLOOKUP(LEFT(AL285,2),УГО_спр,5,FALSE),0)),IF(IFERROR(--LEFT(SUBSTITUTE(BQ285,"x","х"),FIND("х",SUBSTITUTE(BQ285,"x","х"))-1),3)&gt;3,Каталог!$S$9,1)))</f>
      </c>
      <c r="BX285" s="129">
        <f>IF(AY285&lt;&gt;1,0,MAX(0,IFERROR(--LEFT(SUBSTITUTE(BQ285,"x","х"),FIND("х",SUBSTITUTE(BQ285,"x","х"))-1),3)-3*BW285))</f>
      </c>
      <c r="BY285" s="129">
        <f>IF(R285="","",IFERROR(VLOOKUP(R285,УГО_спр,2,FALSE),IFERROR(VLOOKUP(AL285,УГО_спр,2,FALSE),IFERROR(VLOOKUP(LEFT(AL285,2),УГО_спр,2,FALSE),""))))</f>
      </c>
    </row>
    <row r="286" spans="1:64" x14ac:dyDescent="0.3">
      <c r="A286" s="135">
        <f>IF(Разбивка_по_щитам!F286=0,"",Разбивка_по_щитам!F286)</f>
      </c>
      <c r="B286" s="138">
        <f>IF(A286="","",Разбивка_по_щитам!C286)</f>
      </c>
      <c r="C286" s="138">
        <f t="shared" si="170"/>
      </c>
      <c r="D286" s="266"/>
      <c r="E286" s="266"/>
      <c r="F286" s="267"/>
      <c r="G286" s="145">
        <f t="shared" si="171"/>
        <v/>
      </c>
      <c r="H286" s="145">
        <f t="shared" si="172"/>
        <v/>
      </c>
      <c r="I286" s="266"/>
      <c r="J286" s="267"/>
      <c r="K286" s="267"/>
      <c r="L286" s="266"/>
      <c r="M286" s="147">
        <f t="shared" si="173"/>
        <v/>
      </c>
      <c r="N286" s="267"/>
      <c r="O286" s="147">
        <f t="shared" si="174"/>
        <v/>
      </c>
      <c r="P286" s="268">
        <f>IF(AY286=1,"XT"&amp;COUNTIFS($A$3:A286,A286,$AY$3:AY286,1),"")</f>
        <v/>
      </c>
      <c r="Q286" s="152">
        <f>IF(R286="","",IFERROR(SUBSTITUTE(Разбивка_по_щитам!P286,CHAR(10)," "),""))</f>
        <v/>
      </c>
      <c r="R286" s="153">
        <f>IF(OR(Разбивка_по_щитам!H286="",Разбивка_по_щитам!H286=0),"",Разбивка_по_щитам!H286)</f>
        <v/>
      </c>
      <c r="S286" s="154">
        <f>IF(R286="","",IFERROR(Разбивка_по_щитам!J286&amp;"",""))</f>
        <v/>
      </c>
      <c r="T286" s="155">
        <f>IF(R286="","",IFERROR(--Разбивка_по_щитам!L286,""))</f>
        <v/>
      </c>
      <c r="U286" s="155">
        <f>IF(R286="","",IFERROR(--Разбивка_по_щитам!K286,""))</f>
        <v/>
      </c>
      <c r="V286" s="138">
        <f>IF(R286="","",IFERROR(IF(Разбивка_по_щитам!M286=0,"",Разбивка_по_щитам!M286),""))</f>
        <v/>
      </c>
      <c r="W286" s="156">
        <f t="shared" si="175"/>
        <v/>
      </c>
      <c r="X286" s="157">
        <f t="shared" si="176"/>
        <v/>
      </c>
      <c r="Y286" s="266"/>
      <c r="Z286" s="158">
        <f t="shared" si="177"/>
        <v/>
      </c>
      <c r="AA286" s="160">
        <f t="shared" si="178"/>
        <v/>
      </c>
      <c r="AB286" s="160">
        <f>IF(R286="","",IFERROR(LOOKUP(INDEX(Справочная!$I$4:$I$19,MATCH(VLOOKUP(R286,Исходные_данные,22,FALSE),Справочная!$J$4:$J$19,0)+1),{6,10,16,20,25,32,40,50,63,80,100,125}),""))</f>
        <v/>
      </c>
      <c r="AC286" s="160">
        <f t="shared" si="179"/>
        <v/>
      </c>
      <c r="AD286" s="161">
        <f t="shared" si="180"/>
        <v/>
      </c>
      <c r="AE286" s="161">
        <f>IF(AND(R286="",G286=""),"",_xlfn.TEXTJOIN("; ",TRUE,IF(AND(R286&lt;&gt;"",V286=""),"нет фазы",""),IF(AND(R286&lt;&gt;"",N(T286)=0),"нет мощности",""),IF(AND(P286&lt;&gt;"",COUNTIFS($A$3:$A$1000,A286,$P$3:$P$1000,P286)&gt;1),"дубль клеммы "&amp;P286,""),IF(AND(W286&lt;&gt;"",W286&lt;&gt;"ok"),W286,""),IF(X286&lt;&gt;"",X286,""),IF(AND(ISNUMBER(SEARCH("(5х",Q286)),N(AK286)=1),"5 жил на 1 фазе",""),IF(AND(AL286="R",E286&lt;&gt;"",N(AS286)=0),"розетка без 30 мА",""),IF(IFERROR(_xlfn.NUMBERVALUE(MID(Q286,FIND("-",Q286,FIND("L=",Q286))+1,FIND("%",Q286)-FIND("-",Q286,FIND("L=",Q286))-1),","),0)&gt;4,"потери &gt; 4 %","")))</f>
      </c>
      <c r="AF286" s="129">
        <f>IF(E286&lt;&gt;"",COUNTIFS($A$3:A286,A286,$E$3:E286,"?*"),IF(OR(A286&lt;&gt;A285,Y286="вручную"),"",AF285))</f>
      </c>
      <c r="AG286" s="129">
        <f t="shared" si="181"/>
      </c>
      <c r="AH286" s="129">
        <f t="shared" si="182"/>
        <v/>
      </c>
      <c r="AI286" s="129">
        <f t="shared" si="183"/>
        <v/>
      </c>
      <c r="AJ286" s="129">
        <f t="shared" si="184"/>
        <v/>
      </c>
      <c r="AK286" s="129">
        <f t="shared" si="185"/>
        <v/>
      </c>
      <c r="AL286" s="129">
        <f t="shared" si="186"/>
        <v/>
      </c>
      <c r="AM286" s="129">
        <f t="shared" si="187"/>
      </c>
      <c r="AN286" s="129">
        <f t="shared" si="188"/>
      </c>
      <c r="AO286" s="129">
        <f t="shared" si="189"/>
        <v/>
      </c>
      <c r="AP286" s="129">
        <f t="shared" si="190"/>
        <v/>
      </c>
      <c r="AQ286" s="129">
        <f t="shared" si="191"/>
        <v/>
      </c>
      <c r="AR286" s="129">
        <f t="shared" si="192"/>
        <v/>
      </c>
      <c r="AS286" s="129">
        <f t="shared" si="193"/>
        <v/>
      </c>
      <c r="AT286" s="129">
        <f t="shared" si="194"/>
        <v/>
      </c>
      <c r="AU286" s="129">
        <f t="shared" si="195"/>
        <v/>
      </c>
      <c r="AV286" s="129">
        <f t="shared" si="196"/>
        <v/>
      </c>
      <c r="AW286" s="129">
        <f>IF(AV286="","",AV286&amp;"."&amp;COUNTIFS($A$3:A286,A286,$AV$3:AV286,AV286))</f>
        <v/>
      </c>
      <c r="AX286" s="129">
        <f t="shared" si="197"/>
        <v/>
      </c>
      <c r="AY286" s="129">
        <f>IF(N286="б/к",0,IF(OR(ISNUMBER(SEARCH("L=",Разбивка_по_щитам!P286)),N286="+",N286="="),1,0))</f>
      </c>
      <c r="AZ286" s="129">
        <f t="shared" si="198"/>
      </c>
      <c r="BA286" s="129">
        <f t="shared" si="199"/>
      </c>
      <c r="BB286" s="129">
        <f t="shared" si="200"/>
      </c>
      <c r="BD286" s="129">
        <f t="shared" si="201"/>
      </c>
      <c r="BE286" s="129">
        <f t="shared" si="202"/>
      </c>
      <c r="BF286" s="129">
        <f t="shared" si="203"/>
      </c>
      <c r="BG286" s="129">
        <f t="shared" si="204"/>
        <v/>
      </c>
      <c r="BH286" s="129">
        <f t="shared" si="205"/>
        <v/>
      </c>
      <c r="BI286" s="129">
        <f t="shared" si="206"/>
        <v/>
      </c>
      <c r="BJ286" s="129">
        <f t="shared" si="207"/>
        <v/>
      </c>
      <c r="BK286" s="129">
        <f>IF(R286="","",IF(OR(BY286="",BY286=0),"BOX",IFERROR(IF(VLOOKUP(BY286,УГО_блоки,3,FALSE)&amp;""&lt;&gt;"",VLOOKUP(BY286,УГО_блоки,3,FALSE),VLOOKUP(BY286,УГО_блоки,2,FALSE)),BY286)))</f>
      </c>
      <c r="BL286" s="129">
        <f t="shared" si="209"/>
      </c>
      <c r="BM286" s="129">
        <f>IF(H286="","",IF(COUNTIF($H$3:H286,H286)=1,MAX($BM$2:BM285)+1,""))</f>
      </c>
      <c r="BN286" s="129">
        <f>IF(I286="","",IF(COUNTIF($I$3:I286,I286)+COUNTIF($J$2:J285,I286)+COUNTIF($K$2:K285,I286)=1,MAX($BN$2:BP285)+1,""))</f>
      </c>
      <c r="BO286" s="129">
        <f>IF(J286="","",IF(COUNTIF($I$3:I286,J286)+COUNTIF($J$3:J286,J286)+COUNTIF($K$2:K285,J286)=1,MAX($BN$2:BP285,BN286)+1,""))</f>
      </c>
      <c r="BP286" s="129">
        <f>IF(K286="","",IF(COUNTIF($I$3:I286,K286)+COUNTIF($J$3:J286,K286)+COUNTIF($K$3:K286,K286)=1,MAX($BN$2:BP285,BN286,BO286)+1,""))</f>
      </c>
      <c r="BQ286" s="129">
        <f>IF(AY286=1,IFERROR(MID(Q286,FIND(" (",Q286)+2,FIND(")",Q286,FIND(" (",Q286))-FIND(" (",Q286)-2),"?"),"")</f>
      </c>
      <c r="BR286" s="129">
        <f>IF(BQ286="","",IF(COUNTIF($BQ$3:BQ286,BQ286)=1,MAX($BR$2:BR285)+1,""))</f>
      </c>
      <c r="BS286" s="129">
        <f>IF(AW286="","",COUNTIF($AW$3:AW286,"?*"))</f>
      </c>
      <c r="BT286" s="129">
        <f>IF(OR(AW286="",AI286=""),"",IF(COUNTIFS($AW$3:AW286,"?*",$AI$3:AI286,AI286)=1,MAX($BT$2:BT285)+1,""))</f>
      </c>
      <c r="BU286" s="129">
        <f>IF(AE286="",0,IF(OR(ISNUMBER(SEARCH("дубль",AE286)),ISNUMBER(SEARCH("ПЕРЕГРУЗ",AE286)),ISNUMBER(SEARCH("ЗАЩИЩ",AE286)),ISNUMBER(SEARCH("КАНАЛ",AE286)),ISNUMBER(SEARCH("без 30",AE286))),2,1))</f>
      </c>
      <c r="BV286" s="129">
        <f>IF(R286="","",COUNTIF($R$3:R286,"?*"))</f>
      </c>
      <c r="BW286" s="129">
        <f>IF(AY286&lt;&gt;1,0,IF(MAX(IFERROR(--VLOOKUP(R286,УГО_спр,5,FALSE),0),IFERROR(--VLOOKUP(AL286,УГО_спр,5,FALSE),0),IFERROR(--VLOOKUP(LEFT(AL286,2),УГО_спр,5,FALSE),0))&gt;0,MAX(IFERROR(--VLOOKUP(R286,УГО_спр,5,FALSE),0),IFERROR(--VLOOKUP(AL286,УГО_спр,5,FALSE),0),IFERROR(--VLOOKUP(LEFT(AL286,2),УГО_спр,5,FALSE),0)),IF(IFERROR(--LEFT(SUBSTITUTE(BQ286,"x","х"),FIND("х",SUBSTITUTE(BQ286,"x","х"))-1),3)&gt;3,Каталог!$S$9,1)))</f>
      </c>
      <c r="BX286" s="129">
        <f>IF(AY286&lt;&gt;1,0,MAX(0,IFERROR(--LEFT(SUBSTITUTE(BQ286,"x","х"),FIND("х",SUBSTITUTE(BQ286,"x","х"))-1),3)-3*BW286))</f>
      </c>
      <c r="BY286" s="129">
        <f>IF(R286="","",IFERROR(VLOOKUP(R286,УГО_спр,2,FALSE),IFERROR(VLOOKUP(AL286,УГО_спр,2,FALSE),IFERROR(VLOOKUP(LEFT(AL286,2),УГО_спр,2,FALSE),""))))</f>
      </c>
    </row>
    <row r="287" spans="1:64" x14ac:dyDescent="0.3">
      <c r="A287" s="135">
        <f>IF(Разбивка_по_щитам!F287=0,"",Разбивка_по_щитам!F287)</f>
      </c>
      <c r="B287" s="138">
        <f>IF(A287="","",Разбивка_по_щитам!C287)</f>
      </c>
      <c r="C287" s="138">
        <f t="shared" si="170"/>
      </c>
      <c r="D287" s="266"/>
      <c r="E287" s="266"/>
      <c r="F287" s="267"/>
      <c r="G287" s="145">
        <f t="shared" si="171"/>
        <v/>
      </c>
      <c r="H287" s="145">
        <f t="shared" si="172"/>
        <v/>
      </c>
      <c r="I287" s="266"/>
      <c r="J287" s="267"/>
      <c r="K287" s="267"/>
      <c r="L287" s="266"/>
      <c r="M287" s="147">
        <f t="shared" si="173"/>
        <v/>
      </c>
      <c r="N287" s="267"/>
      <c r="O287" s="147">
        <f t="shared" si="174"/>
        <v/>
      </c>
      <c r="P287" s="268">
        <f>IF(AY287=1,"XT"&amp;COUNTIFS($A$3:A287,A287,$AY$3:AY287,1),"")</f>
        <v/>
      </c>
      <c r="Q287" s="152">
        <f>IF(R287="","",IFERROR(SUBSTITUTE(Разбивка_по_щитам!P287,CHAR(10)," "),""))</f>
        <v/>
      </c>
      <c r="R287" s="153">
        <f>IF(OR(Разбивка_по_щитам!H287="",Разбивка_по_щитам!H287=0),"",Разбивка_по_щитам!H287)</f>
        <v/>
      </c>
      <c r="S287" s="154">
        <f>IF(R287="","",IFERROR(Разбивка_по_щитам!J287&amp;"",""))</f>
        <v/>
      </c>
      <c r="T287" s="155">
        <f>IF(R287="","",IFERROR(--Разбивка_по_щитам!L287,""))</f>
        <v/>
      </c>
      <c r="U287" s="155">
        <f>IF(R287="","",IFERROR(--Разбивка_по_щитам!K287,""))</f>
        <v/>
      </c>
      <c r="V287" s="138">
        <f>IF(R287="","",IFERROR(IF(Разбивка_по_щитам!M287=0,"",Разбивка_по_щитам!M287),""))</f>
        <v/>
      </c>
      <c r="W287" s="156">
        <f t="shared" si="175"/>
        <v/>
      </c>
      <c r="X287" s="157">
        <f t="shared" si="176"/>
        <v/>
      </c>
      <c r="Y287" s="266"/>
      <c r="Z287" s="158">
        <f t="shared" si="177"/>
        <v/>
      </c>
      <c r="AA287" s="160">
        <f t="shared" si="178"/>
        <v/>
      </c>
      <c r="AB287" s="160">
        <f>IF(R287="","",IFERROR(LOOKUP(INDEX(Справочная!$I$4:$I$19,MATCH(VLOOKUP(R287,Исходные_данные,22,FALSE),Справочная!$J$4:$J$19,0)+1),{6,10,16,20,25,32,40,50,63,80,100,125}),""))</f>
        <v/>
      </c>
      <c r="AC287" s="160">
        <f t="shared" si="179"/>
        <v/>
      </c>
      <c r="AD287" s="161">
        <f t="shared" si="180"/>
        <v/>
      </c>
      <c r="AE287" s="161">
        <f>IF(AND(R287="",G287=""),"",_xlfn.TEXTJOIN("; ",TRUE,IF(AND(R287&lt;&gt;"",V287=""),"нет фазы",""),IF(AND(R287&lt;&gt;"",N(T287)=0),"нет мощности",""),IF(AND(P287&lt;&gt;"",COUNTIFS($A$3:$A$1000,A287,$P$3:$P$1000,P287)&gt;1),"дубль клеммы "&amp;P287,""),IF(AND(W287&lt;&gt;"",W287&lt;&gt;"ok"),W287,""),IF(X287&lt;&gt;"",X287,""),IF(AND(ISNUMBER(SEARCH("(5х",Q287)),N(AK287)=1),"5 жил на 1 фазе",""),IF(AND(AL287="R",E287&lt;&gt;"",N(AS287)=0),"розетка без 30 мА",""),IF(IFERROR(_xlfn.NUMBERVALUE(MID(Q287,FIND("-",Q287,FIND("L=",Q287))+1,FIND("%",Q287)-FIND("-",Q287,FIND("L=",Q287))-1),","),0)&gt;4,"потери &gt; 4 %","")))</f>
      </c>
      <c r="AF287" s="129">
        <f>IF(E287&lt;&gt;"",COUNTIFS($A$3:A287,A287,$E$3:E287,"?*"),IF(OR(A287&lt;&gt;A286,Y287="вручную"),"",AF286))</f>
      </c>
      <c r="AG287" s="129">
        <f t="shared" si="181"/>
      </c>
      <c r="AH287" s="129">
        <f t="shared" si="182"/>
        <v/>
      </c>
      <c r="AI287" s="129">
        <f t="shared" si="183"/>
        <v/>
      </c>
      <c r="AJ287" s="129">
        <f t="shared" si="184"/>
        <v/>
      </c>
      <c r="AK287" s="129">
        <f t="shared" si="185"/>
        <v/>
      </c>
      <c r="AL287" s="129">
        <f t="shared" si="186"/>
        <v/>
      </c>
      <c r="AM287" s="129">
        <f t="shared" si="187"/>
      </c>
      <c r="AN287" s="129">
        <f t="shared" si="188"/>
      </c>
      <c r="AO287" s="129">
        <f t="shared" si="189"/>
        <v/>
      </c>
      <c r="AP287" s="129">
        <f t="shared" si="190"/>
        <v/>
      </c>
      <c r="AQ287" s="129">
        <f t="shared" si="191"/>
        <v/>
      </c>
      <c r="AR287" s="129">
        <f t="shared" si="192"/>
        <v/>
      </c>
      <c r="AS287" s="129">
        <f t="shared" si="193"/>
        <v/>
      </c>
      <c r="AT287" s="129">
        <f t="shared" si="194"/>
        <v/>
      </c>
      <c r="AU287" s="129">
        <f t="shared" si="195"/>
        <v/>
      </c>
      <c r="AV287" s="129">
        <f t="shared" si="196"/>
        <v/>
      </c>
      <c r="AW287" s="129">
        <f>IF(AV287="","",AV287&amp;"."&amp;COUNTIFS($A$3:A287,A287,$AV$3:AV287,AV287))</f>
        <v/>
      </c>
      <c r="AX287" s="129">
        <f t="shared" si="197"/>
        <v/>
      </c>
      <c r="AY287" s="129">
        <f>IF(N287="б/к",0,IF(OR(ISNUMBER(SEARCH("L=",Разбивка_по_щитам!P287)),N287="+",N287="="),1,0))</f>
      </c>
      <c r="AZ287" s="129">
        <f t="shared" si="198"/>
      </c>
      <c r="BA287" s="129">
        <f t="shared" si="199"/>
      </c>
      <c r="BB287" s="129">
        <f t="shared" si="200"/>
      </c>
      <c r="BD287" s="129">
        <f t="shared" si="201"/>
      </c>
      <c r="BE287" s="129">
        <f t="shared" si="202"/>
      </c>
      <c r="BF287" s="129">
        <f t="shared" si="203"/>
      </c>
      <c r="BG287" s="129">
        <f t="shared" si="204"/>
        <v/>
      </c>
      <c r="BH287" s="129">
        <f t="shared" si="205"/>
        <v/>
      </c>
      <c r="BI287" s="129">
        <f t="shared" si="206"/>
        <v/>
      </c>
      <c r="BJ287" s="129">
        <f t="shared" si="207"/>
        <v/>
      </c>
      <c r="BK287" s="129">
        <f>IF(R287="","",IF(OR(BY287="",BY287=0),"BOX",IFERROR(IF(VLOOKUP(BY287,УГО_блоки,3,FALSE)&amp;""&lt;&gt;"",VLOOKUP(BY287,УГО_блоки,3,FALSE),VLOOKUP(BY287,УГО_блоки,2,FALSE)),BY287)))</f>
      </c>
      <c r="BL287" s="129">
        <f t="shared" si="209"/>
      </c>
      <c r="BM287" s="129">
        <f>IF(H287="","",IF(COUNTIF($H$3:H287,H287)=1,MAX($BM$2:BM286)+1,""))</f>
      </c>
      <c r="BN287" s="129">
        <f>IF(I287="","",IF(COUNTIF($I$3:I287,I287)+COUNTIF($J$2:J286,I287)+COUNTIF($K$2:K286,I287)=1,MAX($BN$2:BP286)+1,""))</f>
      </c>
      <c r="BO287" s="129">
        <f>IF(J287="","",IF(COUNTIF($I$3:I287,J287)+COUNTIF($J$3:J287,J287)+COUNTIF($K$2:K286,J287)=1,MAX($BN$2:BP286,BN287)+1,""))</f>
      </c>
      <c r="BP287" s="129">
        <f>IF(K287="","",IF(COUNTIF($I$3:I287,K287)+COUNTIF($J$3:J287,K287)+COUNTIF($K$3:K287,K287)=1,MAX($BN$2:BP286,BN287,BO287)+1,""))</f>
      </c>
      <c r="BQ287" s="129">
        <f>IF(AY287=1,IFERROR(MID(Q287,FIND(" (",Q287)+2,FIND(")",Q287,FIND(" (",Q287))-FIND(" (",Q287)-2),"?"),"")</f>
      </c>
      <c r="BR287" s="129">
        <f>IF(BQ287="","",IF(COUNTIF($BQ$3:BQ287,BQ287)=1,MAX($BR$2:BR286)+1,""))</f>
      </c>
      <c r="BS287" s="129">
        <f>IF(AW287="","",COUNTIF($AW$3:AW287,"?*"))</f>
      </c>
      <c r="BT287" s="129">
        <f>IF(OR(AW287="",AI287=""),"",IF(COUNTIFS($AW$3:AW287,"?*",$AI$3:AI287,AI287)=1,MAX($BT$2:BT286)+1,""))</f>
      </c>
      <c r="BU287" s="129">
        <f>IF(AE287="",0,IF(OR(ISNUMBER(SEARCH("дубль",AE287)),ISNUMBER(SEARCH("ПЕРЕГРУЗ",AE287)),ISNUMBER(SEARCH("ЗАЩИЩ",AE287)),ISNUMBER(SEARCH("КАНАЛ",AE287)),ISNUMBER(SEARCH("без 30",AE287))),2,1))</f>
      </c>
      <c r="BV287" s="129">
        <f>IF(R287="","",COUNTIF($R$3:R287,"?*"))</f>
      </c>
      <c r="BW287" s="129">
        <f>IF(AY287&lt;&gt;1,0,IF(MAX(IFERROR(--VLOOKUP(R287,УГО_спр,5,FALSE),0),IFERROR(--VLOOKUP(AL287,УГО_спр,5,FALSE),0),IFERROR(--VLOOKUP(LEFT(AL287,2),УГО_спр,5,FALSE),0))&gt;0,MAX(IFERROR(--VLOOKUP(R287,УГО_спр,5,FALSE),0),IFERROR(--VLOOKUP(AL287,УГО_спр,5,FALSE),0),IFERROR(--VLOOKUP(LEFT(AL287,2),УГО_спр,5,FALSE),0)),IF(IFERROR(--LEFT(SUBSTITUTE(BQ287,"x","х"),FIND("х",SUBSTITUTE(BQ287,"x","х"))-1),3)&gt;3,Каталог!$S$9,1)))</f>
      </c>
      <c r="BX287" s="129">
        <f>IF(AY287&lt;&gt;1,0,MAX(0,IFERROR(--LEFT(SUBSTITUTE(BQ287,"x","х"),FIND("х",SUBSTITUTE(BQ287,"x","х"))-1),3)-3*BW287))</f>
      </c>
      <c r="BY287" s="129">
        <f>IF(R287="","",IFERROR(VLOOKUP(R287,УГО_спр,2,FALSE),IFERROR(VLOOKUP(AL287,УГО_спр,2,FALSE),IFERROR(VLOOKUP(LEFT(AL287,2),УГО_спр,2,FALSE),""))))</f>
      </c>
    </row>
    <row r="288" spans="1:64" x14ac:dyDescent="0.3">
      <c r="A288" s="135">
        <f>IF(Разбивка_по_щитам!F288=0,"",Разбивка_по_щитам!F288)</f>
      </c>
      <c r="B288" s="138">
        <f>IF(A288="","",Разбивка_по_щитам!C288)</f>
      </c>
      <c r="C288" s="138">
        <f t="shared" si="170"/>
      </c>
      <c r="D288" s="266"/>
      <c r="E288" s="266"/>
      <c r="F288" s="267"/>
      <c r="G288" s="145">
        <f t="shared" si="171"/>
        <v/>
      </c>
      <c r="H288" s="145">
        <f t="shared" si="172"/>
        <v/>
      </c>
      <c r="I288" s="266"/>
      <c r="J288" s="267"/>
      <c r="K288" s="267"/>
      <c r="L288" s="266"/>
      <c r="M288" s="147">
        <f t="shared" si="173"/>
        <v/>
      </c>
      <c r="N288" s="267"/>
      <c r="O288" s="147">
        <f t="shared" si="174"/>
        <v/>
      </c>
      <c r="P288" s="268">
        <f>IF(AY288=1,"XT"&amp;COUNTIFS($A$3:A288,A288,$AY$3:AY288,1),"")</f>
        <v/>
      </c>
      <c r="Q288" s="152">
        <f>IF(R288="","",IFERROR(SUBSTITUTE(Разбивка_по_щитам!P288,CHAR(10)," "),""))</f>
        <v/>
      </c>
      <c r="R288" s="153">
        <f>IF(OR(Разбивка_по_щитам!H288="",Разбивка_по_щитам!H288=0),"",Разбивка_по_щитам!H288)</f>
        <v/>
      </c>
      <c r="S288" s="154">
        <f>IF(R288="","",IFERROR(Разбивка_по_щитам!J288&amp;"",""))</f>
        <v/>
      </c>
      <c r="T288" s="155">
        <f>IF(R288="","",IFERROR(--Разбивка_по_щитам!L288,""))</f>
        <v/>
      </c>
      <c r="U288" s="155">
        <f>IF(R288="","",IFERROR(--Разбивка_по_щитам!K288,""))</f>
        <v/>
      </c>
      <c r="V288" s="138">
        <f>IF(R288="","",IFERROR(IF(Разбивка_по_щитам!M288=0,"",Разбивка_по_щитам!M288),""))</f>
        <v/>
      </c>
      <c r="W288" s="156">
        <f t="shared" si="175"/>
        <v/>
      </c>
      <c r="X288" s="157">
        <f t="shared" si="176"/>
        <v/>
      </c>
      <c r="Y288" s="266"/>
      <c r="Z288" s="158">
        <f t="shared" si="177"/>
        <v/>
      </c>
      <c r="AA288" s="160">
        <f t="shared" si="178"/>
        <v/>
      </c>
      <c r="AB288" s="160">
        <f>IF(R288="","",IFERROR(LOOKUP(INDEX(Справочная!$I$4:$I$19,MATCH(VLOOKUP(R288,Исходные_данные,22,FALSE),Справочная!$J$4:$J$19,0)+1),{6,10,16,20,25,32,40,50,63,80,100,125}),""))</f>
        <v/>
      </c>
      <c r="AC288" s="160">
        <f t="shared" si="179"/>
        <v/>
      </c>
      <c r="AD288" s="161">
        <f t="shared" si="180"/>
        <v/>
      </c>
      <c r="AE288" s="161">
        <f>IF(AND(R288="",G288=""),"",_xlfn.TEXTJOIN("; ",TRUE,IF(AND(R288&lt;&gt;"",V288=""),"нет фазы",""),IF(AND(R288&lt;&gt;"",N(T288)=0),"нет мощности",""),IF(AND(P288&lt;&gt;"",COUNTIFS($A$3:$A$1000,A288,$P$3:$P$1000,P288)&gt;1),"дубль клеммы "&amp;P288,""),IF(AND(W288&lt;&gt;"",W288&lt;&gt;"ok"),W288,""),IF(X288&lt;&gt;"",X288,""),IF(AND(ISNUMBER(SEARCH("(5х",Q288)),N(AK288)=1),"5 жил на 1 фазе",""),IF(AND(AL288="R",E288&lt;&gt;"",N(AS288)=0),"розетка без 30 мА",""),IF(IFERROR(_xlfn.NUMBERVALUE(MID(Q288,FIND("-",Q288,FIND("L=",Q288))+1,FIND("%",Q288)-FIND("-",Q288,FIND("L=",Q288))-1),","),0)&gt;4,"потери &gt; 4 %","")))</f>
      </c>
      <c r="AF288" s="129">
        <f>IF(E288&lt;&gt;"",COUNTIFS($A$3:A288,A288,$E$3:E288,"?*"),IF(OR(A288&lt;&gt;A287,Y288="вручную"),"",AF287))</f>
      </c>
      <c r="AG288" s="129">
        <f t="shared" si="181"/>
      </c>
      <c r="AH288" s="129">
        <f t="shared" si="182"/>
        <v/>
      </c>
      <c r="AI288" s="129">
        <f t="shared" si="183"/>
        <v/>
      </c>
      <c r="AJ288" s="129">
        <f t="shared" si="184"/>
        <v/>
      </c>
      <c r="AK288" s="129">
        <f t="shared" si="185"/>
        <v/>
      </c>
      <c r="AL288" s="129">
        <f t="shared" si="186"/>
        <v/>
      </c>
      <c r="AM288" s="129">
        <f t="shared" si="187"/>
      </c>
      <c r="AN288" s="129">
        <f t="shared" si="188"/>
      </c>
      <c r="AO288" s="129">
        <f t="shared" si="189"/>
        <v/>
      </c>
      <c r="AP288" s="129">
        <f t="shared" si="190"/>
        <v/>
      </c>
      <c r="AQ288" s="129">
        <f t="shared" si="191"/>
        <v/>
      </c>
      <c r="AR288" s="129">
        <f t="shared" si="192"/>
        <v/>
      </c>
      <c r="AS288" s="129">
        <f t="shared" si="193"/>
        <v/>
      </c>
      <c r="AT288" s="129">
        <f t="shared" si="194"/>
        <v/>
      </c>
      <c r="AU288" s="129">
        <f t="shared" si="195"/>
        <v/>
      </c>
      <c r="AV288" s="129">
        <f t="shared" si="196"/>
        <v/>
      </c>
      <c r="AW288" s="129">
        <f>IF(AV288="","",AV288&amp;"."&amp;COUNTIFS($A$3:A288,A288,$AV$3:AV288,AV288))</f>
        <v/>
      </c>
      <c r="AX288" s="129">
        <f t="shared" si="197"/>
        <v/>
      </c>
      <c r="AY288" s="129">
        <f>IF(N288="б/к",0,IF(OR(ISNUMBER(SEARCH("L=",Разбивка_по_щитам!P288)),N288="+",N288="="),1,0))</f>
      </c>
      <c r="AZ288" s="129">
        <f t="shared" si="198"/>
      </c>
      <c r="BA288" s="129">
        <f t="shared" si="199"/>
      </c>
      <c r="BB288" s="129">
        <f t="shared" si="200"/>
      </c>
      <c r="BD288" s="129">
        <f t="shared" si="201"/>
      </c>
      <c r="BE288" s="129">
        <f t="shared" si="202"/>
      </c>
      <c r="BF288" s="129">
        <f t="shared" si="203"/>
      </c>
      <c r="BG288" s="129">
        <f t="shared" si="204"/>
        <v/>
      </c>
      <c r="BH288" s="129">
        <f t="shared" si="205"/>
        <v/>
      </c>
      <c r="BI288" s="129">
        <f t="shared" si="206"/>
        <v/>
      </c>
      <c r="BJ288" s="129">
        <f t="shared" si="207"/>
        <v/>
      </c>
      <c r="BK288" s="129">
        <f>IF(R288="","",IF(OR(BY288="",BY288=0),"BOX",IFERROR(IF(VLOOKUP(BY288,УГО_блоки,3,FALSE)&amp;""&lt;&gt;"",VLOOKUP(BY288,УГО_блоки,3,FALSE),VLOOKUP(BY288,УГО_блоки,2,FALSE)),BY288)))</f>
      </c>
      <c r="BL288" s="129">
        <f t="shared" si="209"/>
      </c>
      <c r="BM288" s="129">
        <f>IF(H288="","",IF(COUNTIF($H$3:H288,H288)=1,MAX($BM$2:BM287)+1,""))</f>
      </c>
      <c r="BN288" s="129">
        <f>IF(I288="","",IF(COUNTIF($I$3:I288,I288)+COUNTIF($J$2:J287,I288)+COUNTIF($K$2:K287,I288)=1,MAX($BN$2:BP287)+1,""))</f>
      </c>
      <c r="BO288" s="129">
        <f>IF(J288="","",IF(COUNTIF($I$3:I288,J288)+COUNTIF($J$3:J288,J288)+COUNTIF($K$2:K287,J288)=1,MAX($BN$2:BP287,BN288)+1,""))</f>
      </c>
      <c r="BP288" s="129">
        <f>IF(K288="","",IF(COUNTIF($I$3:I288,K288)+COUNTIF($J$3:J288,K288)+COUNTIF($K$3:K288,K288)=1,MAX($BN$2:BP287,BN288,BO288)+1,""))</f>
      </c>
      <c r="BQ288" s="129">
        <f>IF(AY288=1,IFERROR(MID(Q288,FIND(" (",Q288)+2,FIND(")",Q288,FIND(" (",Q288))-FIND(" (",Q288)-2),"?"),"")</f>
      </c>
      <c r="BR288" s="129">
        <f>IF(BQ288="","",IF(COUNTIF($BQ$3:BQ288,BQ288)=1,MAX($BR$2:BR287)+1,""))</f>
      </c>
      <c r="BS288" s="129">
        <f>IF(AW288="","",COUNTIF($AW$3:AW288,"?*"))</f>
      </c>
      <c r="BT288" s="129">
        <f>IF(OR(AW288="",AI288=""),"",IF(COUNTIFS($AW$3:AW288,"?*",$AI$3:AI288,AI288)=1,MAX($BT$2:BT287)+1,""))</f>
      </c>
      <c r="BU288" s="129">
        <f>IF(AE288="",0,IF(OR(ISNUMBER(SEARCH("дубль",AE288)),ISNUMBER(SEARCH("ПЕРЕГРУЗ",AE288)),ISNUMBER(SEARCH("ЗАЩИЩ",AE288)),ISNUMBER(SEARCH("КАНАЛ",AE288)),ISNUMBER(SEARCH("без 30",AE288))),2,1))</f>
      </c>
      <c r="BV288" s="129">
        <f>IF(R288="","",COUNTIF($R$3:R288,"?*"))</f>
      </c>
      <c r="BW288" s="129">
        <f>IF(AY288&lt;&gt;1,0,IF(MAX(IFERROR(--VLOOKUP(R288,УГО_спр,5,FALSE),0),IFERROR(--VLOOKUP(AL288,УГО_спр,5,FALSE),0),IFERROR(--VLOOKUP(LEFT(AL288,2),УГО_спр,5,FALSE),0))&gt;0,MAX(IFERROR(--VLOOKUP(R288,УГО_спр,5,FALSE),0),IFERROR(--VLOOKUP(AL288,УГО_спр,5,FALSE),0),IFERROR(--VLOOKUP(LEFT(AL288,2),УГО_спр,5,FALSE),0)),IF(IFERROR(--LEFT(SUBSTITUTE(BQ288,"x","х"),FIND("х",SUBSTITUTE(BQ288,"x","х"))-1),3)&gt;3,Каталог!$S$9,1)))</f>
      </c>
      <c r="BX288" s="129">
        <f>IF(AY288&lt;&gt;1,0,MAX(0,IFERROR(--LEFT(SUBSTITUTE(BQ288,"x","х"),FIND("х",SUBSTITUTE(BQ288,"x","х"))-1),3)-3*BW288))</f>
      </c>
      <c r="BY288" s="129">
        <f>IF(R288="","",IFERROR(VLOOKUP(R288,УГО_спр,2,FALSE),IFERROR(VLOOKUP(AL288,УГО_спр,2,FALSE),IFERROR(VLOOKUP(LEFT(AL288,2),УГО_спр,2,FALSE),""))))</f>
      </c>
    </row>
    <row r="289" spans="1:64" x14ac:dyDescent="0.3">
      <c r="A289" s="135">
        <f>IF(Разбивка_по_щитам!F289=0,"",Разбивка_по_щитам!F289)</f>
      </c>
      <c r="B289" s="138">
        <f>IF(A289="","",Разбивка_по_щитам!C289)</f>
      </c>
      <c r="C289" s="138">
        <f t="shared" si="170"/>
      </c>
      <c r="D289" s="266"/>
      <c r="E289" s="266"/>
      <c r="F289" s="267"/>
      <c r="G289" s="145">
        <f t="shared" si="171"/>
        <v/>
      </c>
      <c r="H289" s="145">
        <f t="shared" si="172"/>
        <v/>
      </c>
      <c r="I289" s="266"/>
      <c r="J289" s="267"/>
      <c r="K289" s="267"/>
      <c r="L289" s="266"/>
      <c r="M289" s="147">
        <f t="shared" si="173"/>
        <v/>
      </c>
      <c r="N289" s="267"/>
      <c r="O289" s="147">
        <f t="shared" si="174"/>
        <v/>
      </c>
      <c r="P289" s="268">
        <f>IF(AY289=1,"XT"&amp;COUNTIFS($A$3:A289,A289,$AY$3:AY289,1),"")</f>
        <v/>
      </c>
      <c r="Q289" s="152">
        <f>IF(R289="","",IFERROR(SUBSTITUTE(Разбивка_по_щитам!P289,CHAR(10)," "),""))</f>
        <v/>
      </c>
      <c r="R289" s="153">
        <f>IF(OR(Разбивка_по_щитам!H289="",Разбивка_по_щитам!H289=0),"",Разбивка_по_щитам!H289)</f>
        <v/>
      </c>
      <c r="S289" s="154">
        <f>IF(R289="","",IFERROR(Разбивка_по_щитам!J289&amp;"",""))</f>
        <v/>
      </c>
      <c r="T289" s="155">
        <f>IF(R289="","",IFERROR(--Разбивка_по_щитам!L289,""))</f>
        <v/>
      </c>
      <c r="U289" s="155">
        <f>IF(R289="","",IFERROR(--Разбивка_по_щитам!K289,""))</f>
        <v/>
      </c>
      <c r="V289" s="138">
        <f>IF(R289="","",IFERROR(IF(Разбивка_по_щитам!M289=0,"",Разбивка_по_щитам!M289),""))</f>
        <v/>
      </c>
      <c r="W289" s="156">
        <f t="shared" si="175"/>
        <v/>
      </c>
      <c r="X289" s="157">
        <f t="shared" si="176"/>
        <v/>
      </c>
      <c r="Y289" s="266"/>
      <c r="Z289" s="158">
        <f t="shared" si="177"/>
        <v/>
      </c>
      <c r="AA289" s="160">
        <f t="shared" si="178"/>
        <v/>
      </c>
      <c r="AB289" s="160">
        <f>IF(R289="","",IFERROR(LOOKUP(INDEX(Справочная!$I$4:$I$19,MATCH(VLOOKUP(R289,Исходные_данные,22,FALSE),Справочная!$J$4:$J$19,0)+1),{6,10,16,20,25,32,40,50,63,80,100,125}),""))</f>
        <v/>
      </c>
      <c r="AC289" s="160">
        <f t="shared" si="179"/>
        <v/>
      </c>
      <c r="AD289" s="161">
        <f t="shared" si="180"/>
        <v/>
      </c>
      <c r="AE289" s="161">
        <f>IF(AND(R289="",G289=""),"",_xlfn.TEXTJOIN("; ",TRUE,IF(AND(R289&lt;&gt;"",V289=""),"нет фазы",""),IF(AND(R289&lt;&gt;"",N(T289)=0),"нет мощности",""),IF(AND(P289&lt;&gt;"",COUNTIFS($A$3:$A$1000,A289,$P$3:$P$1000,P289)&gt;1),"дубль клеммы "&amp;P289,""),IF(AND(W289&lt;&gt;"",W289&lt;&gt;"ok"),W289,""),IF(X289&lt;&gt;"",X289,""),IF(AND(ISNUMBER(SEARCH("(5х",Q289)),N(AK289)=1),"5 жил на 1 фазе",""),IF(AND(AL289="R",E289&lt;&gt;"",N(AS289)=0),"розетка без 30 мА",""),IF(IFERROR(_xlfn.NUMBERVALUE(MID(Q289,FIND("-",Q289,FIND("L=",Q289))+1,FIND("%",Q289)-FIND("-",Q289,FIND("L=",Q289))-1),","),0)&gt;4,"потери &gt; 4 %","")))</f>
      </c>
      <c r="AF289" s="129">
        <f>IF(E289&lt;&gt;"",COUNTIFS($A$3:A289,A289,$E$3:E289,"?*"),IF(OR(A289&lt;&gt;A288,Y289="вручную"),"",AF288))</f>
      </c>
      <c r="AG289" s="129">
        <f t="shared" si="181"/>
      </c>
      <c r="AH289" s="129">
        <f t="shared" si="182"/>
        <v/>
      </c>
      <c r="AI289" s="129">
        <f t="shared" si="183"/>
        <v/>
      </c>
      <c r="AJ289" s="129">
        <f t="shared" si="184"/>
        <v/>
      </c>
      <c r="AK289" s="129">
        <f t="shared" si="185"/>
        <v/>
      </c>
      <c r="AL289" s="129">
        <f t="shared" si="186"/>
        <v/>
      </c>
      <c r="AM289" s="129">
        <f t="shared" si="187"/>
      </c>
      <c r="AN289" s="129">
        <f t="shared" si="188"/>
      </c>
      <c r="AO289" s="129">
        <f t="shared" si="189"/>
        <v/>
      </c>
      <c r="AP289" s="129">
        <f t="shared" si="190"/>
        <v/>
      </c>
      <c r="AQ289" s="129">
        <f t="shared" si="191"/>
        <v/>
      </c>
      <c r="AR289" s="129">
        <f t="shared" si="192"/>
        <v/>
      </c>
      <c r="AS289" s="129">
        <f t="shared" si="193"/>
        <v/>
      </c>
      <c r="AT289" s="129">
        <f t="shared" si="194"/>
        <v/>
      </c>
      <c r="AU289" s="129">
        <f t="shared" si="195"/>
        <v/>
      </c>
      <c r="AV289" s="129">
        <f t="shared" si="196"/>
        <v/>
      </c>
      <c r="AW289" s="129">
        <f>IF(AV289="","",AV289&amp;"."&amp;COUNTIFS($A$3:A289,A289,$AV$3:AV289,AV289))</f>
        <v/>
      </c>
      <c r="AX289" s="129">
        <f t="shared" si="197"/>
        <v/>
      </c>
      <c r="AY289" s="129">
        <f>IF(N289="б/к",0,IF(OR(ISNUMBER(SEARCH("L=",Разбивка_по_щитам!P289)),N289="+",N289="="),1,0))</f>
      </c>
      <c r="AZ289" s="129">
        <f t="shared" si="198"/>
      </c>
      <c r="BA289" s="129">
        <f t="shared" si="199"/>
      </c>
      <c r="BB289" s="129">
        <f t="shared" si="200"/>
      </c>
      <c r="BD289" s="129">
        <f t="shared" si="201"/>
      </c>
      <c r="BE289" s="129">
        <f t="shared" si="202"/>
      </c>
      <c r="BF289" s="129">
        <f t="shared" si="203"/>
      </c>
      <c r="BG289" s="129">
        <f t="shared" si="204"/>
        <v/>
      </c>
      <c r="BH289" s="129">
        <f t="shared" si="205"/>
        <v/>
      </c>
      <c r="BI289" s="129">
        <f t="shared" si="206"/>
        <v/>
      </c>
      <c r="BJ289" s="129">
        <f t="shared" si="207"/>
        <v/>
      </c>
      <c r="BK289" s="129">
        <f>IF(R289="","",IF(OR(BY289="",BY289=0),"BOX",IFERROR(IF(VLOOKUP(BY289,УГО_блоки,3,FALSE)&amp;""&lt;&gt;"",VLOOKUP(BY289,УГО_блоки,3,FALSE),VLOOKUP(BY289,УГО_блоки,2,FALSE)),BY289)))</f>
      </c>
      <c r="BL289" s="129">
        <f t="shared" si="209"/>
      </c>
      <c r="BM289" s="129">
        <f>IF(H289="","",IF(COUNTIF($H$3:H289,H289)=1,MAX($BM$2:BM288)+1,""))</f>
      </c>
      <c r="BN289" s="129">
        <f>IF(I289="","",IF(COUNTIF($I$3:I289,I289)+COUNTIF($J$2:J288,I289)+COUNTIF($K$2:K288,I289)=1,MAX($BN$2:BP288)+1,""))</f>
      </c>
      <c r="BO289" s="129">
        <f>IF(J289="","",IF(COUNTIF($I$3:I289,J289)+COUNTIF($J$3:J289,J289)+COUNTIF($K$2:K288,J289)=1,MAX($BN$2:BP288,BN289)+1,""))</f>
      </c>
      <c r="BP289" s="129">
        <f>IF(K289="","",IF(COUNTIF($I$3:I289,K289)+COUNTIF($J$3:J289,K289)+COUNTIF($K$3:K289,K289)=1,MAX($BN$2:BP288,BN289,BO289)+1,""))</f>
      </c>
      <c r="BQ289" s="129">
        <f>IF(AY289=1,IFERROR(MID(Q289,FIND(" (",Q289)+2,FIND(")",Q289,FIND(" (",Q289))-FIND(" (",Q289)-2),"?"),"")</f>
      </c>
      <c r="BR289" s="129">
        <f>IF(BQ289="","",IF(COUNTIF($BQ$3:BQ289,BQ289)=1,MAX($BR$2:BR288)+1,""))</f>
      </c>
      <c r="BS289" s="129">
        <f>IF(AW289="","",COUNTIF($AW$3:AW289,"?*"))</f>
      </c>
      <c r="BT289" s="129">
        <f>IF(OR(AW289="",AI289=""),"",IF(COUNTIFS($AW$3:AW289,"?*",$AI$3:AI289,AI289)=1,MAX($BT$2:BT288)+1,""))</f>
      </c>
      <c r="BU289" s="129">
        <f>IF(AE289="",0,IF(OR(ISNUMBER(SEARCH("дубль",AE289)),ISNUMBER(SEARCH("ПЕРЕГРУЗ",AE289)),ISNUMBER(SEARCH("ЗАЩИЩ",AE289)),ISNUMBER(SEARCH("КАНАЛ",AE289)),ISNUMBER(SEARCH("без 30",AE289))),2,1))</f>
      </c>
      <c r="BV289" s="129">
        <f>IF(R289="","",COUNTIF($R$3:R289,"?*"))</f>
      </c>
      <c r="BW289" s="129">
        <f>IF(AY289&lt;&gt;1,0,IF(MAX(IFERROR(--VLOOKUP(R289,УГО_спр,5,FALSE),0),IFERROR(--VLOOKUP(AL289,УГО_спр,5,FALSE),0),IFERROR(--VLOOKUP(LEFT(AL289,2),УГО_спр,5,FALSE),0))&gt;0,MAX(IFERROR(--VLOOKUP(R289,УГО_спр,5,FALSE),0),IFERROR(--VLOOKUP(AL289,УГО_спр,5,FALSE),0),IFERROR(--VLOOKUP(LEFT(AL289,2),УГО_спр,5,FALSE),0)),IF(IFERROR(--LEFT(SUBSTITUTE(BQ289,"x","х"),FIND("х",SUBSTITUTE(BQ289,"x","х"))-1),3)&gt;3,Каталог!$S$9,1)))</f>
      </c>
      <c r="BX289" s="129">
        <f>IF(AY289&lt;&gt;1,0,MAX(0,IFERROR(--LEFT(SUBSTITUTE(BQ289,"x","х"),FIND("х",SUBSTITUTE(BQ289,"x","х"))-1),3)-3*BW289))</f>
      </c>
      <c r="BY289" s="129">
        <f>IF(R289="","",IFERROR(VLOOKUP(R289,УГО_спр,2,FALSE),IFERROR(VLOOKUP(AL289,УГО_спр,2,FALSE),IFERROR(VLOOKUP(LEFT(AL289,2),УГО_спр,2,FALSE),""))))</f>
      </c>
    </row>
    <row r="290" spans="1:64" x14ac:dyDescent="0.3">
      <c r="A290" s="135">
        <f>IF(Разбивка_по_щитам!F290=0,"",Разбивка_по_щитам!F290)</f>
      </c>
      <c r="B290" s="138">
        <f>IF(A290="","",Разбивка_по_щитам!C290)</f>
      </c>
      <c r="C290" s="138">
        <f t="shared" si="170"/>
      </c>
      <c r="D290" s="266"/>
      <c r="E290" s="266"/>
      <c r="F290" s="267"/>
      <c r="G290" s="145">
        <f t="shared" si="171"/>
        <v/>
      </c>
      <c r="H290" s="145">
        <f t="shared" si="172"/>
        <v/>
      </c>
      <c r="I290" s="266"/>
      <c r="J290" s="267"/>
      <c r="K290" s="267"/>
      <c r="L290" s="266"/>
      <c r="M290" s="147">
        <f t="shared" si="173"/>
        <v/>
      </c>
      <c r="N290" s="267"/>
      <c r="O290" s="147">
        <f t="shared" si="174"/>
        <v/>
      </c>
      <c r="P290" s="268">
        <f>IF(AY290=1,"XT"&amp;COUNTIFS($A$3:A290,A290,$AY$3:AY290,1),"")</f>
        <v/>
      </c>
      <c r="Q290" s="152">
        <f>IF(R290="","",IFERROR(SUBSTITUTE(Разбивка_по_щитам!P290,CHAR(10)," "),""))</f>
        <v/>
      </c>
      <c r="R290" s="153">
        <f>IF(OR(Разбивка_по_щитам!H290="",Разбивка_по_щитам!H290=0),"",Разбивка_по_щитам!H290)</f>
        <v/>
      </c>
      <c r="S290" s="154">
        <f>IF(R290="","",IFERROR(Разбивка_по_щитам!J290&amp;"",""))</f>
        <v/>
      </c>
      <c r="T290" s="155">
        <f>IF(R290="","",IFERROR(--Разбивка_по_щитам!L290,""))</f>
        <v/>
      </c>
      <c r="U290" s="155">
        <f>IF(R290="","",IFERROR(--Разбивка_по_щитам!K290,""))</f>
        <v/>
      </c>
      <c r="V290" s="138">
        <f>IF(R290="","",IFERROR(IF(Разбивка_по_щитам!M290=0,"",Разбивка_по_щитам!M290),""))</f>
        <v/>
      </c>
      <c r="W290" s="156">
        <f t="shared" si="175"/>
        <v/>
      </c>
      <c r="X290" s="157">
        <f t="shared" si="176"/>
        <v/>
      </c>
      <c r="Y290" s="266"/>
      <c r="Z290" s="158">
        <f t="shared" si="177"/>
        <v/>
      </c>
      <c r="AA290" s="160">
        <f t="shared" si="178"/>
        <v/>
      </c>
      <c r="AB290" s="160">
        <f>IF(R290="","",IFERROR(LOOKUP(INDEX(Справочная!$I$4:$I$19,MATCH(VLOOKUP(R290,Исходные_данные,22,FALSE),Справочная!$J$4:$J$19,0)+1),{6,10,16,20,25,32,40,50,63,80,100,125}),""))</f>
        <v/>
      </c>
      <c r="AC290" s="160">
        <f t="shared" si="179"/>
        <v/>
      </c>
      <c r="AD290" s="161">
        <f t="shared" si="180"/>
        <v/>
      </c>
      <c r="AE290" s="161">
        <f>IF(AND(R290="",G290=""),"",_xlfn.TEXTJOIN("; ",TRUE,IF(AND(R290&lt;&gt;"",V290=""),"нет фазы",""),IF(AND(R290&lt;&gt;"",N(T290)=0),"нет мощности",""),IF(AND(P290&lt;&gt;"",COUNTIFS($A$3:$A$1000,A290,$P$3:$P$1000,P290)&gt;1),"дубль клеммы "&amp;P290,""),IF(AND(W290&lt;&gt;"",W290&lt;&gt;"ok"),W290,""),IF(X290&lt;&gt;"",X290,""),IF(AND(ISNUMBER(SEARCH("(5х",Q290)),N(AK290)=1),"5 жил на 1 фазе",""),IF(AND(AL290="R",E290&lt;&gt;"",N(AS290)=0),"розетка без 30 мА",""),IF(IFERROR(_xlfn.NUMBERVALUE(MID(Q290,FIND("-",Q290,FIND("L=",Q290))+1,FIND("%",Q290)-FIND("-",Q290,FIND("L=",Q290))-1),","),0)&gt;4,"потери &gt; 4 %","")))</f>
      </c>
      <c r="AF290" s="129">
        <f>IF(E290&lt;&gt;"",COUNTIFS($A$3:A290,A290,$E$3:E290,"?*"),IF(OR(A290&lt;&gt;A289,Y290="вручную"),"",AF289))</f>
      </c>
      <c r="AG290" s="129">
        <f t="shared" si="181"/>
      </c>
      <c r="AH290" s="129">
        <f t="shared" si="182"/>
        <v/>
      </c>
      <c r="AI290" s="129">
        <f t="shared" si="183"/>
        <v/>
      </c>
      <c r="AJ290" s="129">
        <f t="shared" si="184"/>
        <v/>
      </c>
      <c r="AK290" s="129">
        <f t="shared" si="185"/>
        <v/>
      </c>
      <c r="AL290" s="129">
        <f t="shared" si="186"/>
        <v/>
      </c>
      <c r="AM290" s="129">
        <f t="shared" si="187"/>
      </c>
      <c r="AN290" s="129">
        <f t="shared" si="188"/>
      </c>
      <c r="AO290" s="129">
        <f t="shared" si="189"/>
        <v/>
      </c>
      <c r="AP290" s="129">
        <f t="shared" si="190"/>
        <v/>
      </c>
      <c r="AQ290" s="129">
        <f t="shared" si="191"/>
        <v/>
      </c>
      <c r="AR290" s="129">
        <f t="shared" si="192"/>
        <v/>
      </c>
      <c r="AS290" s="129">
        <f t="shared" si="193"/>
        <v/>
      </c>
      <c r="AT290" s="129">
        <f t="shared" si="194"/>
        <v/>
      </c>
      <c r="AU290" s="129">
        <f t="shared" si="195"/>
        <v/>
      </c>
      <c r="AV290" s="129">
        <f t="shared" si="196"/>
        <v/>
      </c>
      <c r="AW290" s="129">
        <f>IF(AV290="","",AV290&amp;"."&amp;COUNTIFS($A$3:A290,A290,$AV$3:AV290,AV290))</f>
        <v/>
      </c>
      <c r="AX290" s="129">
        <f t="shared" si="197"/>
        <v/>
      </c>
      <c r="AY290" s="129">
        <f>IF(N290="б/к",0,IF(OR(ISNUMBER(SEARCH("L=",Разбивка_по_щитам!P290)),N290="+",N290="="),1,0))</f>
      </c>
      <c r="AZ290" s="129">
        <f t="shared" si="198"/>
      </c>
      <c r="BA290" s="129">
        <f t="shared" si="199"/>
      </c>
      <c r="BB290" s="129">
        <f t="shared" si="200"/>
      </c>
      <c r="BD290" s="129">
        <f t="shared" si="201"/>
      </c>
      <c r="BE290" s="129">
        <f t="shared" si="202"/>
      </c>
      <c r="BF290" s="129">
        <f t="shared" si="203"/>
      </c>
      <c r="BG290" s="129">
        <f t="shared" si="204"/>
        <v/>
      </c>
      <c r="BH290" s="129">
        <f t="shared" si="205"/>
        <v/>
      </c>
      <c r="BI290" s="129">
        <f t="shared" si="206"/>
        <v/>
      </c>
      <c r="BJ290" s="129">
        <f t="shared" si="207"/>
        <v/>
      </c>
      <c r="BK290" s="129">
        <f>IF(R290="","",IF(OR(BY290="",BY290=0),"BOX",IFERROR(IF(VLOOKUP(BY290,УГО_блоки,3,FALSE)&amp;""&lt;&gt;"",VLOOKUP(BY290,УГО_блоки,3,FALSE),VLOOKUP(BY290,УГО_блоки,2,FALSE)),BY290)))</f>
      </c>
      <c r="BL290" s="129">
        <f t="shared" si="209"/>
      </c>
      <c r="BM290" s="129">
        <f>IF(H290="","",IF(COUNTIF($H$3:H290,H290)=1,MAX($BM$2:BM289)+1,""))</f>
      </c>
      <c r="BN290" s="129">
        <f>IF(I290="","",IF(COUNTIF($I$3:I290,I290)+COUNTIF($J$2:J289,I290)+COUNTIF($K$2:K289,I290)=1,MAX($BN$2:BP289)+1,""))</f>
      </c>
      <c r="BO290" s="129">
        <f>IF(J290="","",IF(COUNTIF($I$3:I290,J290)+COUNTIF($J$3:J290,J290)+COUNTIF($K$2:K289,J290)=1,MAX($BN$2:BP289,BN290)+1,""))</f>
      </c>
      <c r="BP290" s="129">
        <f>IF(K290="","",IF(COUNTIF($I$3:I290,K290)+COUNTIF($J$3:J290,K290)+COUNTIF($K$3:K290,K290)=1,MAX($BN$2:BP289,BN290,BO290)+1,""))</f>
      </c>
      <c r="BQ290" s="129">
        <f>IF(AY290=1,IFERROR(MID(Q290,FIND(" (",Q290)+2,FIND(")",Q290,FIND(" (",Q290))-FIND(" (",Q290)-2),"?"),"")</f>
      </c>
      <c r="BR290" s="129">
        <f>IF(BQ290="","",IF(COUNTIF($BQ$3:BQ290,BQ290)=1,MAX($BR$2:BR289)+1,""))</f>
      </c>
      <c r="BS290" s="129">
        <f>IF(AW290="","",COUNTIF($AW$3:AW290,"?*"))</f>
      </c>
      <c r="BT290" s="129">
        <f>IF(OR(AW290="",AI290=""),"",IF(COUNTIFS($AW$3:AW290,"?*",$AI$3:AI290,AI290)=1,MAX($BT$2:BT289)+1,""))</f>
      </c>
      <c r="BU290" s="129">
        <f>IF(AE290="",0,IF(OR(ISNUMBER(SEARCH("дубль",AE290)),ISNUMBER(SEARCH("ПЕРЕГРУЗ",AE290)),ISNUMBER(SEARCH("ЗАЩИЩ",AE290)),ISNUMBER(SEARCH("КАНАЛ",AE290)),ISNUMBER(SEARCH("без 30",AE290))),2,1))</f>
      </c>
      <c r="BV290" s="129">
        <f>IF(R290="","",COUNTIF($R$3:R290,"?*"))</f>
      </c>
      <c r="BW290" s="129">
        <f>IF(AY290&lt;&gt;1,0,IF(MAX(IFERROR(--VLOOKUP(R290,УГО_спр,5,FALSE),0),IFERROR(--VLOOKUP(AL290,УГО_спр,5,FALSE),0),IFERROR(--VLOOKUP(LEFT(AL290,2),УГО_спр,5,FALSE),0))&gt;0,MAX(IFERROR(--VLOOKUP(R290,УГО_спр,5,FALSE),0),IFERROR(--VLOOKUP(AL290,УГО_спр,5,FALSE),0),IFERROR(--VLOOKUP(LEFT(AL290,2),УГО_спр,5,FALSE),0)),IF(IFERROR(--LEFT(SUBSTITUTE(BQ290,"x","х"),FIND("х",SUBSTITUTE(BQ290,"x","х"))-1),3)&gt;3,Каталог!$S$9,1)))</f>
      </c>
      <c r="BX290" s="129">
        <f>IF(AY290&lt;&gt;1,0,MAX(0,IFERROR(--LEFT(SUBSTITUTE(BQ290,"x","х"),FIND("х",SUBSTITUTE(BQ290,"x","х"))-1),3)-3*BW290))</f>
      </c>
      <c r="BY290" s="129">
        <f>IF(R290="","",IFERROR(VLOOKUP(R290,УГО_спр,2,FALSE),IFERROR(VLOOKUP(AL290,УГО_спр,2,FALSE),IFERROR(VLOOKUP(LEFT(AL290,2),УГО_спр,2,FALSE),""))))</f>
      </c>
    </row>
    <row r="291" spans="1:64" x14ac:dyDescent="0.3">
      <c r="A291" s="135">
        <f>IF(Разбивка_по_щитам!F291=0,"",Разбивка_по_щитам!F291)</f>
      </c>
      <c r="B291" s="138">
        <f>IF(A291="","",Разбивка_по_щитам!C291)</f>
      </c>
      <c r="C291" s="138">
        <f t="shared" si="170"/>
      </c>
      <c r="D291" s="266"/>
      <c r="E291" s="266"/>
      <c r="F291" s="267"/>
      <c r="G291" s="145">
        <f t="shared" si="171"/>
        <v/>
      </c>
      <c r="H291" s="145">
        <f t="shared" si="172"/>
        <v/>
      </c>
      <c r="I291" s="266"/>
      <c r="J291" s="267"/>
      <c r="K291" s="267"/>
      <c r="L291" s="266"/>
      <c r="M291" s="147">
        <f t="shared" si="173"/>
        <v/>
      </c>
      <c r="N291" s="267"/>
      <c r="O291" s="147">
        <f t="shared" si="174"/>
        <v/>
      </c>
      <c r="P291" s="268">
        <f>IF(AY291=1,"XT"&amp;COUNTIFS($A$3:A291,A291,$AY$3:AY291,1),"")</f>
        <v/>
      </c>
      <c r="Q291" s="152">
        <f>IF(R291="","",IFERROR(SUBSTITUTE(Разбивка_по_щитам!P291,CHAR(10)," "),""))</f>
        <v/>
      </c>
      <c r="R291" s="153">
        <f>IF(OR(Разбивка_по_щитам!H291="",Разбивка_по_щитам!H291=0),"",Разбивка_по_щитам!H291)</f>
        <v/>
      </c>
      <c r="S291" s="154">
        <f>IF(R291="","",IFERROR(Разбивка_по_щитам!J291&amp;"",""))</f>
        <v/>
      </c>
      <c r="T291" s="155">
        <f>IF(R291="","",IFERROR(--Разбивка_по_щитам!L291,""))</f>
        <v/>
      </c>
      <c r="U291" s="155">
        <f>IF(R291="","",IFERROR(--Разбивка_по_щитам!K291,""))</f>
        <v/>
      </c>
      <c r="V291" s="138">
        <f>IF(R291="","",IFERROR(IF(Разбивка_по_щитам!M291=0,"",Разбивка_по_щитам!M291),""))</f>
        <v/>
      </c>
      <c r="W291" s="156">
        <f t="shared" si="175"/>
        <v/>
      </c>
      <c r="X291" s="157">
        <f t="shared" si="176"/>
        <v/>
      </c>
      <c r="Y291" s="266"/>
      <c r="Z291" s="158">
        <f t="shared" si="177"/>
        <v/>
      </c>
      <c r="AA291" s="160">
        <f t="shared" si="178"/>
        <v/>
      </c>
      <c r="AB291" s="160">
        <f>IF(R291="","",IFERROR(LOOKUP(INDEX(Справочная!$I$4:$I$19,MATCH(VLOOKUP(R291,Исходные_данные,22,FALSE),Справочная!$J$4:$J$19,0)+1),{6,10,16,20,25,32,40,50,63,80,100,125}),""))</f>
        <v/>
      </c>
      <c r="AC291" s="160">
        <f t="shared" si="179"/>
        <v/>
      </c>
      <c r="AD291" s="161">
        <f t="shared" si="180"/>
        <v/>
      </c>
      <c r="AE291" s="161">
        <f>IF(AND(R291="",G291=""),"",_xlfn.TEXTJOIN("; ",TRUE,IF(AND(R291&lt;&gt;"",V291=""),"нет фазы",""),IF(AND(R291&lt;&gt;"",N(T291)=0),"нет мощности",""),IF(AND(P291&lt;&gt;"",COUNTIFS($A$3:$A$1000,A291,$P$3:$P$1000,P291)&gt;1),"дубль клеммы "&amp;P291,""),IF(AND(W291&lt;&gt;"",W291&lt;&gt;"ok"),W291,""),IF(X291&lt;&gt;"",X291,""),IF(AND(ISNUMBER(SEARCH("(5х",Q291)),N(AK291)=1),"5 жил на 1 фазе",""),IF(AND(AL291="R",E291&lt;&gt;"",N(AS291)=0),"розетка без 30 мА",""),IF(IFERROR(_xlfn.NUMBERVALUE(MID(Q291,FIND("-",Q291,FIND("L=",Q291))+1,FIND("%",Q291)-FIND("-",Q291,FIND("L=",Q291))-1),","),0)&gt;4,"потери &gt; 4 %","")))</f>
      </c>
      <c r="AF291" s="129">
        <f>IF(E291&lt;&gt;"",COUNTIFS($A$3:A291,A291,$E$3:E291,"?*"),IF(OR(A291&lt;&gt;A290,Y291="вручную"),"",AF290))</f>
      </c>
      <c r="AG291" s="129">
        <f t="shared" si="181"/>
      </c>
      <c r="AH291" s="129">
        <f t="shared" si="182"/>
        <v/>
      </c>
      <c r="AI291" s="129">
        <f t="shared" si="183"/>
        <v/>
      </c>
      <c r="AJ291" s="129">
        <f t="shared" si="184"/>
        <v/>
      </c>
      <c r="AK291" s="129">
        <f t="shared" si="185"/>
        <v/>
      </c>
      <c r="AL291" s="129">
        <f t="shared" si="186"/>
        <v/>
      </c>
      <c r="AM291" s="129">
        <f t="shared" si="187"/>
      </c>
      <c r="AN291" s="129">
        <f t="shared" si="188"/>
      </c>
      <c r="AO291" s="129">
        <f t="shared" si="189"/>
        <v/>
      </c>
      <c r="AP291" s="129">
        <f t="shared" si="190"/>
        <v/>
      </c>
      <c r="AQ291" s="129">
        <f t="shared" si="191"/>
        <v/>
      </c>
      <c r="AR291" s="129">
        <f t="shared" si="192"/>
        <v/>
      </c>
      <c r="AS291" s="129">
        <f t="shared" si="193"/>
        <v/>
      </c>
      <c r="AT291" s="129">
        <f t="shared" si="194"/>
        <v/>
      </c>
      <c r="AU291" s="129">
        <f t="shared" si="195"/>
        <v/>
      </c>
      <c r="AV291" s="129">
        <f t="shared" si="196"/>
        <v/>
      </c>
      <c r="AW291" s="129">
        <f>IF(AV291="","",AV291&amp;"."&amp;COUNTIFS($A$3:A291,A291,$AV$3:AV291,AV291))</f>
        <v/>
      </c>
      <c r="AX291" s="129">
        <f t="shared" si="197"/>
        <v/>
      </c>
      <c r="AY291" s="129">
        <f>IF(N291="б/к",0,IF(OR(ISNUMBER(SEARCH("L=",Разбивка_по_щитам!P291)),N291="+",N291="="),1,0))</f>
      </c>
      <c r="AZ291" s="129">
        <f t="shared" si="198"/>
      </c>
      <c r="BA291" s="129">
        <f t="shared" si="199"/>
      </c>
      <c r="BB291" s="129">
        <f t="shared" si="200"/>
      </c>
      <c r="BD291" s="129">
        <f t="shared" si="201"/>
      </c>
      <c r="BE291" s="129">
        <f t="shared" si="202"/>
      </c>
      <c r="BF291" s="129">
        <f t="shared" si="203"/>
      </c>
      <c r="BG291" s="129">
        <f t="shared" si="204"/>
        <v/>
      </c>
      <c r="BH291" s="129">
        <f t="shared" si="205"/>
        <v/>
      </c>
      <c r="BI291" s="129">
        <f t="shared" si="206"/>
        <v/>
      </c>
      <c r="BJ291" s="129">
        <f t="shared" si="207"/>
        <v/>
      </c>
      <c r="BK291" s="129">
        <f>IF(R291="","",IF(OR(BY291="",BY291=0),"BOX",IFERROR(IF(VLOOKUP(BY291,УГО_блоки,3,FALSE)&amp;""&lt;&gt;"",VLOOKUP(BY291,УГО_блоки,3,FALSE),VLOOKUP(BY291,УГО_блоки,2,FALSE)),BY291)))</f>
      </c>
      <c r="BL291" s="129">
        <f t="shared" si="209"/>
      </c>
      <c r="BM291" s="129">
        <f>IF(H291="","",IF(COUNTIF($H$3:H291,H291)=1,MAX($BM$2:BM290)+1,""))</f>
      </c>
      <c r="BN291" s="129">
        <f>IF(I291="","",IF(COUNTIF($I$3:I291,I291)+COUNTIF($J$2:J290,I291)+COUNTIF($K$2:K290,I291)=1,MAX($BN$2:BP290)+1,""))</f>
      </c>
      <c r="BO291" s="129">
        <f>IF(J291="","",IF(COUNTIF($I$3:I291,J291)+COUNTIF($J$3:J291,J291)+COUNTIF($K$2:K290,J291)=1,MAX($BN$2:BP290,BN291)+1,""))</f>
      </c>
      <c r="BP291" s="129">
        <f>IF(K291="","",IF(COUNTIF($I$3:I291,K291)+COUNTIF($J$3:J291,K291)+COUNTIF($K$3:K291,K291)=1,MAX($BN$2:BP290,BN291,BO291)+1,""))</f>
      </c>
      <c r="BQ291" s="129">
        <f>IF(AY291=1,IFERROR(MID(Q291,FIND(" (",Q291)+2,FIND(")",Q291,FIND(" (",Q291))-FIND(" (",Q291)-2),"?"),"")</f>
      </c>
      <c r="BR291" s="129">
        <f>IF(BQ291="","",IF(COUNTIF($BQ$3:BQ291,BQ291)=1,MAX($BR$2:BR290)+1,""))</f>
      </c>
      <c r="BS291" s="129">
        <f>IF(AW291="","",COUNTIF($AW$3:AW291,"?*"))</f>
      </c>
      <c r="BT291" s="129">
        <f>IF(OR(AW291="",AI291=""),"",IF(COUNTIFS($AW$3:AW291,"?*",$AI$3:AI291,AI291)=1,MAX($BT$2:BT290)+1,""))</f>
      </c>
      <c r="BU291" s="129">
        <f>IF(AE291="",0,IF(OR(ISNUMBER(SEARCH("дубль",AE291)),ISNUMBER(SEARCH("ПЕРЕГРУЗ",AE291)),ISNUMBER(SEARCH("ЗАЩИЩ",AE291)),ISNUMBER(SEARCH("КАНАЛ",AE291)),ISNUMBER(SEARCH("без 30",AE291))),2,1))</f>
      </c>
      <c r="BV291" s="129">
        <f>IF(R291="","",COUNTIF($R$3:R291,"?*"))</f>
      </c>
      <c r="BW291" s="129">
        <f>IF(AY291&lt;&gt;1,0,IF(MAX(IFERROR(--VLOOKUP(R291,УГО_спр,5,FALSE),0),IFERROR(--VLOOKUP(AL291,УГО_спр,5,FALSE),0),IFERROR(--VLOOKUP(LEFT(AL291,2),УГО_спр,5,FALSE),0))&gt;0,MAX(IFERROR(--VLOOKUP(R291,УГО_спр,5,FALSE),0),IFERROR(--VLOOKUP(AL291,УГО_спр,5,FALSE),0),IFERROR(--VLOOKUP(LEFT(AL291,2),УГО_спр,5,FALSE),0)),IF(IFERROR(--LEFT(SUBSTITUTE(BQ291,"x","х"),FIND("х",SUBSTITUTE(BQ291,"x","х"))-1),3)&gt;3,Каталог!$S$9,1)))</f>
      </c>
      <c r="BX291" s="129">
        <f>IF(AY291&lt;&gt;1,0,MAX(0,IFERROR(--LEFT(SUBSTITUTE(BQ291,"x","х"),FIND("х",SUBSTITUTE(BQ291,"x","х"))-1),3)-3*BW291))</f>
      </c>
      <c r="BY291" s="129">
        <f>IF(R291="","",IFERROR(VLOOKUP(R291,УГО_спр,2,FALSE),IFERROR(VLOOKUP(AL291,УГО_спр,2,FALSE),IFERROR(VLOOKUP(LEFT(AL291,2),УГО_спр,2,FALSE),""))))</f>
      </c>
    </row>
    <row r="292" spans="1:64" x14ac:dyDescent="0.3">
      <c r="A292" s="135">
        <f>IF(Разбивка_по_щитам!F292=0,"",Разбивка_по_щитам!F292)</f>
      </c>
      <c r="B292" s="138">
        <f>IF(A292="","",Разбивка_по_щитам!C292)</f>
      </c>
      <c r="C292" s="138">
        <f t="shared" si="170"/>
      </c>
      <c r="D292" s="266"/>
      <c r="E292" s="266"/>
      <c r="F292" s="267"/>
      <c r="G292" s="145">
        <f t="shared" si="171"/>
        <v/>
      </c>
      <c r="H292" s="145">
        <f t="shared" si="172"/>
        <v/>
      </c>
      <c r="I292" s="266"/>
      <c r="J292" s="267"/>
      <c r="K292" s="267"/>
      <c r="L292" s="266"/>
      <c r="M292" s="147">
        <f t="shared" si="173"/>
        <v/>
      </c>
      <c r="N292" s="267"/>
      <c r="O292" s="147">
        <f t="shared" si="174"/>
        <v/>
      </c>
      <c r="P292" s="268">
        <f>IF(AY292=1,"XT"&amp;COUNTIFS($A$3:A292,A292,$AY$3:AY292,1),"")</f>
        <v/>
      </c>
      <c r="Q292" s="152">
        <f>IF(R292="","",IFERROR(SUBSTITUTE(Разбивка_по_щитам!P292,CHAR(10)," "),""))</f>
        <v/>
      </c>
      <c r="R292" s="153">
        <f>IF(OR(Разбивка_по_щитам!H292="",Разбивка_по_щитам!H292=0),"",Разбивка_по_щитам!H292)</f>
        <v/>
      </c>
      <c r="S292" s="154">
        <f>IF(R292="","",IFERROR(Разбивка_по_щитам!J292&amp;"",""))</f>
        <v/>
      </c>
      <c r="T292" s="155">
        <f>IF(R292="","",IFERROR(--Разбивка_по_щитам!L292,""))</f>
        <v/>
      </c>
      <c r="U292" s="155">
        <f>IF(R292="","",IFERROR(--Разбивка_по_щитам!K292,""))</f>
        <v/>
      </c>
      <c r="V292" s="138">
        <f>IF(R292="","",IFERROR(IF(Разбивка_по_щитам!M292=0,"",Разбивка_по_щитам!M292),""))</f>
        <v/>
      </c>
      <c r="W292" s="156">
        <f t="shared" si="175"/>
        <v/>
      </c>
      <c r="X292" s="157">
        <f t="shared" si="176"/>
        <v/>
      </c>
      <c r="Y292" s="266"/>
      <c r="Z292" s="158">
        <f t="shared" si="177"/>
        <v/>
      </c>
      <c r="AA292" s="160">
        <f t="shared" si="178"/>
        <v/>
      </c>
      <c r="AB292" s="160">
        <f>IF(R292="","",IFERROR(LOOKUP(INDEX(Справочная!$I$4:$I$19,MATCH(VLOOKUP(R292,Исходные_данные,22,FALSE),Справочная!$J$4:$J$19,0)+1),{6,10,16,20,25,32,40,50,63,80,100,125}),""))</f>
        <v/>
      </c>
      <c r="AC292" s="160">
        <f t="shared" si="179"/>
        <v/>
      </c>
      <c r="AD292" s="161">
        <f t="shared" si="180"/>
        <v/>
      </c>
      <c r="AE292" s="161">
        <f>IF(AND(R292="",G292=""),"",_xlfn.TEXTJOIN("; ",TRUE,IF(AND(R292&lt;&gt;"",V292=""),"нет фазы",""),IF(AND(R292&lt;&gt;"",N(T292)=0),"нет мощности",""),IF(AND(P292&lt;&gt;"",COUNTIFS($A$3:$A$1000,A292,$P$3:$P$1000,P292)&gt;1),"дубль клеммы "&amp;P292,""),IF(AND(W292&lt;&gt;"",W292&lt;&gt;"ok"),W292,""),IF(X292&lt;&gt;"",X292,""),IF(AND(ISNUMBER(SEARCH("(5х",Q292)),N(AK292)=1),"5 жил на 1 фазе",""),IF(AND(AL292="R",E292&lt;&gt;"",N(AS292)=0),"розетка без 30 мА",""),IF(IFERROR(_xlfn.NUMBERVALUE(MID(Q292,FIND("-",Q292,FIND("L=",Q292))+1,FIND("%",Q292)-FIND("-",Q292,FIND("L=",Q292))-1),","),0)&gt;4,"потери &gt; 4 %","")))</f>
      </c>
      <c r="AF292" s="129">
        <f>IF(E292&lt;&gt;"",COUNTIFS($A$3:A292,A292,$E$3:E292,"?*"),IF(OR(A292&lt;&gt;A291,Y292="вручную"),"",AF291))</f>
      </c>
      <c r="AG292" s="129">
        <f t="shared" si="181"/>
      </c>
      <c r="AH292" s="129">
        <f t="shared" si="182"/>
        <v/>
      </c>
      <c r="AI292" s="129">
        <f t="shared" si="183"/>
        <v/>
      </c>
      <c r="AJ292" s="129">
        <f t="shared" si="184"/>
        <v/>
      </c>
      <c r="AK292" s="129">
        <f t="shared" si="185"/>
        <v/>
      </c>
      <c r="AL292" s="129">
        <f t="shared" si="186"/>
        <v/>
      </c>
      <c r="AM292" s="129">
        <f t="shared" si="187"/>
      </c>
      <c r="AN292" s="129">
        <f t="shared" si="188"/>
      </c>
      <c r="AO292" s="129">
        <f t="shared" si="189"/>
        <v/>
      </c>
      <c r="AP292" s="129">
        <f t="shared" si="190"/>
        <v/>
      </c>
      <c r="AQ292" s="129">
        <f t="shared" si="191"/>
        <v/>
      </c>
      <c r="AR292" s="129">
        <f t="shared" si="192"/>
        <v/>
      </c>
      <c r="AS292" s="129">
        <f t="shared" si="193"/>
        <v/>
      </c>
      <c r="AT292" s="129">
        <f t="shared" si="194"/>
        <v/>
      </c>
      <c r="AU292" s="129">
        <f t="shared" si="195"/>
        <v/>
      </c>
      <c r="AV292" s="129">
        <f t="shared" si="196"/>
        <v/>
      </c>
      <c r="AW292" s="129">
        <f>IF(AV292="","",AV292&amp;"."&amp;COUNTIFS($A$3:A292,A292,$AV$3:AV292,AV292))</f>
        <v/>
      </c>
      <c r="AX292" s="129">
        <f t="shared" si="197"/>
        <v/>
      </c>
      <c r="AY292" s="129">
        <f>IF(N292="б/к",0,IF(OR(ISNUMBER(SEARCH("L=",Разбивка_по_щитам!P292)),N292="+",N292="="),1,0))</f>
      </c>
      <c r="AZ292" s="129">
        <f t="shared" si="198"/>
      </c>
      <c r="BA292" s="129">
        <f t="shared" si="199"/>
      </c>
      <c r="BB292" s="129">
        <f t="shared" si="200"/>
      </c>
      <c r="BD292" s="129">
        <f t="shared" si="201"/>
      </c>
      <c r="BE292" s="129">
        <f t="shared" si="202"/>
      </c>
      <c r="BF292" s="129">
        <f t="shared" si="203"/>
      </c>
      <c r="BG292" s="129">
        <f t="shared" si="204"/>
        <v/>
      </c>
      <c r="BH292" s="129">
        <f t="shared" si="205"/>
        <v/>
      </c>
      <c r="BI292" s="129">
        <f t="shared" si="206"/>
        <v/>
      </c>
      <c r="BJ292" s="129">
        <f t="shared" si="207"/>
        <v/>
      </c>
      <c r="BK292" s="129">
        <f>IF(R292="","",IF(OR(BY292="",BY292=0),"BOX",IFERROR(IF(VLOOKUP(BY292,УГО_блоки,3,FALSE)&amp;""&lt;&gt;"",VLOOKUP(BY292,УГО_блоки,3,FALSE),VLOOKUP(BY292,УГО_блоки,2,FALSE)),BY292)))</f>
      </c>
      <c r="BL292" s="129">
        <f t="shared" si="209"/>
      </c>
      <c r="BM292" s="129">
        <f>IF(H292="","",IF(COUNTIF($H$3:H292,H292)=1,MAX($BM$2:BM291)+1,""))</f>
      </c>
      <c r="BN292" s="129">
        <f>IF(I292="","",IF(COUNTIF($I$3:I292,I292)+COUNTIF($J$2:J291,I292)+COUNTIF($K$2:K291,I292)=1,MAX($BN$2:BP291)+1,""))</f>
      </c>
      <c r="BO292" s="129">
        <f>IF(J292="","",IF(COUNTIF($I$3:I292,J292)+COUNTIF($J$3:J292,J292)+COUNTIF($K$2:K291,J292)=1,MAX($BN$2:BP291,BN292)+1,""))</f>
      </c>
      <c r="BP292" s="129">
        <f>IF(K292="","",IF(COUNTIF($I$3:I292,K292)+COUNTIF($J$3:J292,K292)+COUNTIF($K$3:K292,K292)=1,MAX($BN$2:BP291,BN292,BO292)+1,""))</f>
      </c>
      <c r="BQ292" s="129">
        <f>IF(AY292=1,IFERROR(MID(Q292,FIND(" (",Q292)+2,FIND(")",Q292,FIND(" (",Q292))-FIND(" (",Q292)-2),"?"),"")</f>
      </c>
      <c r="BR292" s="129">
        <f>IF(BQ292="","",IF(COUNTIF($BQ$3:BQ292,BQ292)=1,MAX($BR$2:BR291)+1,""))</f>
      </c>
      <c r="BS292" s="129">
        <f>IF(AW292="","",COUNTIF($AW$3:AW292,"?*"))</f>
      </c>
      <c r="BT292" s="129">
        <f>IF(OR(AW292="",AI292=""),"",IF(COUNTIFS($AW$3:AW292,"?*",$AI$3:AI292,AI292)=1,MAX($BT$2:BT291)+1,""))</f>
      </c>
      <c r="BU292" s="129">
        <f>IF(AE292="",0,IF(OR(ISNUMBER(SEARCH("дубль",AE292)),ISNUMBER(SEARCH("ПЕРЕГРУЗ",AE292)),ISNUMBER(SEARCH("ЗАЩИЩ",AE292)),ISNUMBER(SEARCH("КАНАЛ",AE292)),ISNUMBER(SEARCH("без 30",AE292))),2,1))</f>
      </c>
      <c r="BV292" s="129">
        <f>IF(R292="","",COUNTIF($R$3:R292,"?*"))</f>
      </c>
      <c r="BW292" s="129">
        <f>IF(AY292&lt;&gt;1,0,IF(MAX(IFERROR(--VLOOKUP(R292,УГО_спр,5,FALSE),0),IFERROR(--VLOOKUP(AL292,УГО_спр,5,FALSE),0),IFERROR(--VLOOKUP(LEFT(AL292,2),УГО_спр,5,FALSE),0))&gt;0,MAX(IFERROR(--VLOOKUP(R292,УГО_спр,5,FALSE),0),IFERROR(--VLOOKUP(AL292,УГО_спр,5,FALSE),0),IFERROR(--VLOOKUP(LEFT(AL292,2),УГО_спр,5,FALSE),0)),IF(IFERROR(--LEFT(SUBSTITUTE(BQ292,"x","х"),FIND("х",SUBSTITUTE(BQ292,"x","х"))-1),3)&gt;3,Каталог!$S$9,1)))</f>
      </c>
      <c r="BX292" s="129">
        <f>IF(AY292&lt;&gt;1,0,MAX(0,IFERROR(--LEFT(SUBSTITUTE(BQ292,"x","х"),FIND("х",SUBSTITUTE(BQ292,"x","х"))-1),3)-3*BW292))</f>
      </c>
      <c r="BY292" s="129">
        <f>IF(R292="","",IFERROR(VLOOKUP(R292,УГО_спр,2,FALSE),IFERROR(VLOOKUP(AL292,УГО_спр,2,FALSE),IFERROR(VLOOKUP(LEFT(AL292,2),УГО_спр,2,FALSE),""))))</f>
      </c>
    </row>
    <row r="293" spans="1:64" x14ac:dyDescent="0.3">
      <c r="A293" s="135">
        <f>IF(Разбивка_по_щитам!F293=0,"",Разбивка_по_щитам!F293)</f>
      </c>
      <c r="B293" s="138">
        <f>IF(A293="","",Разбивка_по_щитам!C293)</f>
      </c>
      <c r="C293" s="138">
        <f t="shared" si="170"/>
      </c>
      <c r="D293" s="266"/>
      <c r="E293" s="266"/>
      <c r="F293" s="267"/>
      <c r="G293" s="145">
        <f t="shared" si="171"/>
        <v/>
      </c>
      <c r="H293" s="145">
        <f t="shared" si="172"/>
        <v/>
      </c>
      <c r="I293" s="266"/>
      <c r="J293" s="267"/>
      <c r="K293" s="267"/>
      <c r="L293" s="266"/>
      <c r="M293" s="147">
        <f t="shared" si="173"/>
        <v/>
      </c>
      <c r="N293" s="267"/>
      <c r="O293" s="147">
        <f t="shared" si="174"/>
        <v/>
      </c>
      <c r="P293" s="268">
        <f>IF(AY293=1,"XT"&amp;COUNTIFS($A$3:A293,A293,$AY$3:AY293,1),"")</f>
        <v/>
      </c>
      <c r="Q293" s="152">
        <f>IF(R293="","",IFERROR(SUBSTITUTE(Разбивка_по_щитам!P293,CHAR(10)," "),""))</f>
        <v/>
      </c>
      <c r="R293" s="153">
        <f>IF(OR(Разбивка_по_щитам!H293="",Разбивка_по_щитам!H293=0),"",Разбивка_по_щитам!H293)</f>
        <v/>
      </c>
      <c r="S293" s="154">
        <f>IF(R293="","",IFERROR(Разбивка_по_щитам!J293&amp;"",""))</f>
        <v/>
      </c>
      <c r="T293" s="155">
        <f>IF(R293="","",IFERROR(--Разбивка_по_щитам!L293,""))</f>
        <v/>
      </c>
      <c r="U293" s="155">
        <f>IF(R293="","",IFERROR(--Разбивка_по_щитам!K293,""))</f>
        <v/>
      </c>
      <c r="V293" s="138">
        <f>IF(R293="","",IFERROR(IF(Разбивка_по_щитам!M293=0,"",Разбивка_по_щитам!M293),""))</f>
        <v/>
      </c>
      <c r="W293" s="156">
        <f t="shared" si="175"/>
        <v/>
      </c>
      <c r="X293" s="157">
        <f t="shared" si="176"/>
        <v/>
      </c>
      <c r="Y293" s="266"/>
      <c r="Z293" s="158">
        <f t="shared" si="177"/>
        <v/>
      </c>
      <c r="AA293" s="160">
        <f t="shared" si="178"/>
        <v/>
      </c>
      <c r="AB293" s="160">
        <f>IF(R293="","",IFERROR(LOOKUP(INDEX(Справочная!$I$4:$I$19,MATCH(VLOOKUP(R293,Исходные_данные,22,FALSE),Справочная!$J$4:$J$19,0)+1),{6,10,16,20,25,32,40,50,63,80,100,125}),""))</f>
        <v/>
      </c>
      <c r="AC293" s="160">
        <f t="shared" si="179"/>
        <v/>
      </c>
      <c r="AD293" s="161">
        <f t="shared" si="180"/>
        <v/>
      </c>
      <c r="AE293" s="161">
        <f>IF(AND(R293="",G293=""),"",_xlfn.TEXTJOIN("; ",TRUE,IF(AND(R293&lt;&gt;"",V293=""),"нет фазы",""),IF(AND(R293&lt;&gt;"",N(T293)=0),"нет мощности",""),IF(AND(P293&lt;&gt;"",COUNTIFS($A$3:$A$1000,A293,$P$3:$P$1000,P293)&gt;1),"дубль клеммы "&amp;P293,""),IF(AND(W293&lt;&gt;"",W293&lt;&gt;"ok"),W293,""),IF(X293&lt;&gt;"",X293,""),IF(AND(ISNUMBER(SEARCH("(5х",Q293)),N(AK293)=1),"5 жил на 1 фазе",""),IF(AND(AL293="R",E293&lt;&gt;"",N(AS293)=0),"розетка без 30 мА",""),IF(IFERROR(_xlfn.NUMBERVALUE(MID(Q293,FIND("-",Q293,FIND("L=",Q293))+1,FIND("%",Q293)-FIND("-",Q293,FIND("L=",Q293))-1),","),0)&gt;4,"потери &gt; 4 %","")))</f>
      </c>
      <c r="AF293" s="129">
        <f>IF(E293&lt;&gt;"",COUNTIFS($A$3:A293,A293,$E$3:E293,"?*"),IF(OR(A293&lt;&gt;A292,Y293="вручную"),"",AF292))</f>
      </c>
      <c r="AG293" s="129">
        <f t="shared" si="181"/>
      </c>
      <c r="AH293" s="129">
        <f t="shared" si="182"/>
        <v/>
      </c>
      <c r="AI293" s="129">
        <f t="shared" si="183"/>
        <v/>
      </c>
      <c r="AJ293" s="129">
        <f t="shared" si="184"/>
        <v/>
      </c>
      <c r="AK293" s="129">
        <f t="shared" si="185"/>
        <v/>
      </c>
      <c r="AL293" s="129">
        <f t="shared" si="186"/>
        <v/>
      </c>
      <c r="AM293" s="129">
        <f t="shared" si="187"/>
      </c>
      <c r="AN293" s="129">
        <f t="shared" si="188"/>
      </c>
      <c r="AO293" s="129">
        <f t="shared" si="189"/>
        <v/>
      </c>
      <c r="AP293" s="129">
        <f t="shared" si="190"/>
        <v/>
      </c>
      <c r="AQ293" s="129">
        <f t="shared" si="191"/>
        <v/>
      </c>
      <c r="AR293" s="129">
        <f t="shared" si="192"/>
        <v/>
      </c>
      <c r="AS293" s="129">
        <f t="shared" si="193"/>
        <v/>
      </c>
      <c r="AT293" s="129">
        <f t="shared" si="194"/>
        <v/>
      </c>
      <c r="AU293" s="129">
        <f t="shared" si="195"/>
        <v/>
      </c>
      <c r="AV293" s="129">
        <f t="shared" si="196"/>
        <v/>
      </c>
      <c r="AW293" s="129">
        <f>IF(AV293="","",AV293&amp;"."&amp;COUNTIFS($A$3:A293,A293,$AV$3:AV293,AV293))</f>
        <v/>
      </c>
      <c r="AX293" s="129">
        <f t="shared" si="197"/>
        <v/>
      </c>
      <c r="AY293" s="129">
        <f>IF(N293="б/к",0,IF(OR(ISNUMBER(SEARCH("L=",Разбивка_по_щитам!P293)),N293="+",N293="="),1,0))</f>
      </c>
      <c r="AZ293" s="129">
        <f t="shared" si="198"/>
      </c>
      <c r="BA293" s="129">
        <f t="shared" si="199"/>
      </c>
      <c r="BB293" s="129">
        <f t="shared" si="200"/>
      </c>
      <c r="BD293" s="129">
        <f t="shared" si="201"/>
      </c>
      <c r="BE293" s="129">
        <f t="shared" si="202"/>
      </c>
      <c r="BF293" s="129">
        <f t="shared" si="203"/>
      </c>
      <c r="BG293" s="129">
        <f t="shared" si="204"/>
        <v/>
      </c>
      <c r="BH293" s="129">
        <f t="shared" si="205"/>
        <v/>
      </c>
      <c r="BI293" s="129">
        <f t="shared" si="206"/>
        <v/>
      </c>
      <c r="BJ293" s="129">
        <f t="shared" si="207"/>
        <v/>
      </c>
      <c r="BK293" s="129">
        <f>IF(R293="","",IF(OR(BY293="",BY293=0),"BOX",IFERROR(IF(VLOOKUP(BY293,УГО_блоки,3,FALSE)&amp;""&lt;&gt;"",VLOOKUP(BY293,УГО_блоки,3,FALSE),VLOOKUP(BY293,УГО_блоки,2,FALSE)),BY293)))</f>
      </c>
      <c r="BL293" s="129">
        <f t="shared" si="209"/>
      </c>
      <c r="BM293" s="129">
        <f>IF(H293="","",IF(COUNTIF($H$3:H293,H293)=1,MAX($BM$2:BM292)+1,""))</f>
      </c>
      <c r="BN293" s="129">
        <f>IF(I293="","",IF(COUNTIF($I$3:I293,I293)+COUNTIF($J$2:J292,I293)+COUNTIF($K$2:K292,I293)=1,MAX($BN$2:BP292)+1,""))</f>
      </c>
      <c r="BO293" s="129">
        <f>IF(J293="","",IF(COUNTIF($I$3:I293,J293)+COUNTIF($J$3:J293,J293)+COUNTIF($K$2:K292,J293)=1,MAX($BN$2:BP292,BN293)+1,""))</f>
      </c>
      <c r="BP293" s="129">
        <f>IF(K293="","",IF(COUNTIF($I$3:I293,K293)+COUNTIF($J$3:J293,K293)+COUNTIF($K$3:K293,K293)=1,MAX($BN$2:BP292,BN293,BO293)+1,""))</f>
      </c>
      <c r="BQ293" s="129">
        <f>IF(AY293=1,IFERROR(MID(Q293,FIND(" (",Q293)+2,FIND(")",Q293,FIND(" (",Q293))-FIND(" (",Q293)-2),"?"),"")</f>
      </c>
      <c r="BR293" s="129">
        <f>IF(BQ293="","",IF(COUNTIF($BQ$3:BQ293,BQ293)=1,MAX($BR$2:BR292)+1,""))</f>
      </c>
      <c r="BS293" s="129">
        <f>IF(AW293="","",COUNTIF($AW$3:AW293,"?*"))</f>
      </c>
      <c r="BT293" s="129">
        <f>IF(OR(AW293="",AI293=""),"",IF(COUNTIFS($AW$3:AW293,"?*",$AI$3:AI293,AI293)=1,MAX($BT$2:BT292)+1,""))</f>
      </c>
      <c r="BU293" s="129">
        <f>IF(AE293="",0,IF(OR(ISNUMBER(SEARCH("дубль",AE293)),ISNUMBER(SEARCH("ПЕРЕГРУЗ",AE293)),ISNUMBER(SEARCH("ЗАЩИЩ",AE293)),ISNUMBER(SEARCH("КАНАЛ",AE293)),ISNUMBER(SEARCH("без 30",AE293))),2,1))</f>
      </c>
      <c r="BV293" s="129">
        <f>IF(R293="","",COUNTIF($R$3:R293,"?*"))</f>
      </c>
      <c r="BW293" s="129">
        <f>IF(AY293&lt;&gt;1,0,IF(MAX(IFERROR(--VLOOKUP(R293,УГО_спр,5,FALSE),0),IFERROR(--VLOOKUP(AL293,УГО_спр,5,FALSE),0),IFERROR(--VLOOKUP(LEFT(AL293,2),УГО_спр,5,FALSE),0))&gt;0,MAX(IFERROR(--VLOOKUP(R293,УГО_спр,5,FALSE),0),IFERROR(--VLOOKUP(AL293,УГО_спр,5,FALSE),0),IFERROR(--VLOOKUP(LEFT(AL293,2),УГО_спр,5,FALSE),0)),IF(IFERROR(--LEFT(SUBSTITUTE(BQ293,"x","х"),FIND("х",SUBSTITUTE(BQ293,"x","х"))-1),3)&gt;3,Каталог!$S$9,1)))</f>
      </c>
      <c r="BX293" s="129">
        <f>IF(AY293&lt;&gt;1,0,MAX(0,IFERROR(--LEFT(SUBSTITUTE(BQ293,"x","х"),FIND("х",SUBSTITUTE(BQ293,"x","х"))-1),3)-3*BW293))</f>
      </c>
      <c r="BY293" s="129">
        <f>IF(R293="","",IFERROR(VLOOKUP(R293,УГО_спр,2,FALSE),IFERROR(VLOOKUP(AL293,УГО_спр,2,FALSE),IFERROR(VLOOKUP(LEFT(AL293,2),УГО_спр,2,FALSE),""))))</f>
      </c>
    </row>
    <row r="294" spans="1:64" x14ac:dyDescent="0.3">
      <c r="A294" s="135">
        <f>IF(Разбивка_по_щитам!F294=0,"",Разбивка_по_щитам!F294)</f>
      </c>
      <c r="B294" s="138">
        <f>IF(A294="","",Разбивка_по_щитам!C294)</f>
      </c>
      <c r="C294" s="138">
        <f t="shared" si="170"/>
      </c>
      <c r="D294" s="266"/>
      <c r="E294" s="266"/>
      <c r="F294" s="267"/>
      <c r="G294" s="145">
        <f t="shared" si="171"/>
        <v/>
      </c>
      <c r="H294" s="145">
        <f t="shared" si="172"/>
        <v/>
      </c>
      <c r="I294" s="266"/>
      <c r="J294" s="267"/>
      <c r="K294" s="267"/>
      <c r="L294" s="266"/>
      <c r="M294" s="147">
        <f t="shared" si="173"/>
        <v/>
      </c>
      <c r="N294" s="267"/>
      <c r="O294" s="147">
        <f t="shared" si="174"/>
        <v/>
      </c>
      <c r="P294" s="268">
        <f>IF(AY294=1,"XT"&amp;COUNTIFS($A$3:A294,A294,$AY$3:AY294,1),"")</f>
        <v/>
      </c>
      <c r="Q294" s="152">
        <f>IF(R294="","",IFERROR(SUBSTITUTE(Разбивка_по_щитам!P294,CHAR(10)," "),""))</f>
        <v/>
      </c>
      <c r="R294" s="153">
        <f>IF(OR(Разбивка_по_щитам!H294="",Разбивка_по_щитам!H294=0),"",Разбивка_по_щитам!H294)</f>
        <v/>
      </c>
      <c r="S294" s="154">
        <f>IF(R294="","",IFERROR(Разбивка_по_щитам!J294&amp;"",""))</f>
        <v/>
      </c>
      <c r="T294" s="155">
        <f>IF(R294="","",IFERROR(--Разбивка_по_щитам!L294,""))</f>
        <v/>
      </c>
      <c r="U294" s="155">
        <f>IF(R294="","",IFERROR(--Разбивка_по_щитам!K294,""))</f>
        <v/>
      </c>
      <c r="V294" s="138">
        <f>IF(R294="","",IFERROR(IF(Разбивка_по_щитам!M294=0,"",Разбивка_по_щитам!M294),""))</f>
        <v/>
      </c>
      <c r="W294" s="156">
        <f t="shared" si="175"/>
        <v/>
      </c>
      <c r="X294" s="157">
        <f t="shared" si="176"/>
        <v/>
      </c>
      <c r="Y294" s="266"/>
      <c r="Z294" s="158">
        <f t="shared" si="177"/>
        <v/>
      </c>
      <c r="AA294" s="160">
        <f t="shared" si="178"/>
        <v/>
      </c>
      <c r="AB294" s="160">
        <f>IF(R294="","",IFERROR(LOOKUP(INDEX(Справочная!$I$4:$I$19,MATCH(VLOOKUP(R294,Исходные_данные,22,FALSE),Справочная!$J$4:$J$19,0)+1),{6,10,16,20,25,32,40,50,63,80,100,125}),""))</f>
        <v/>
      </c>
      <c r="AC294" s="160">
        <f t="shared" si="179"/>
        <v/>
      </c>
      <c r="AD294" s="161">
        <f t="shared" si="180"/>
        <v/>
      </c>
      <c r="AE294" s="161">
        <f>IF(AND(R294="",G294=""),"",_xlfn.TEXTJOIN("; ",TRUE,IF(AND(R294&lt;&gt;"",V294=""),"нет фазы",""),IF(AND(R294&lt;&gt;"",N(T294)=0),"нет мощности",""),IF(AND(P294&lt;&gt;"",COUNTIFS($A$3:$A$1000,A294,$P$3:$P$1000,P294)&gt;1),"дубль клеммы "&amp;P294,""),IF(AND(W294&lt;&gt;"",W294&lt;&gt;"ok"),W294,""),IF(X294&lt;&gt;"",X294,""),IF(AND(ISNUMBER(SEARCH("(5х",Q294)),N(AK294)=1),"5 жил на 1 фазе",""),IF(AND(AL294="R",E294&lt;&gt;"",N(AS294)=0),"розетка без 30 мА",""),IF(IFERROR(_xlfn.NUMBERVALUE(MID(Q294,FIND("-",Q294,FIND("L=",Q294))+1,FIND("%",Q294)-FIND("-",Q294,FIND("L=",Q294))-1),","),0)&gt;4,"потери &gt; 4 %","")))</f>
      </c>
      <c r="AF294" s="129">
        <f>IF(E294&lt;&gt;"",COUNTIFS($A$3:A294,A294,$E$3:E294,"?*"),IF(OR(A294&lt;&gt;A293,Y294="вручную"),"",AF293))</f>
      </c>
      <c r="AG294" s="129">
        <f t="shared" si="181"/>
      </c>
      <c r="AH294" s="129">
        <f t="shared" si="182"/>
        <v/>
      </c>
      <c r="AI294" s="129">
        <f t="shared" si="183"/>
        <v/>
      </c>
      <c r="AJ294" s="129">
        <f t="shared" si="184"/>
        <v/>
      </c>
      <c r="AK294" s="129">
        <f t="shared" si="185"/>
        <v/>
      </c>
      <c r="AL294" s="129">
        <f t="shared" si="186"/>
        <v/>
      </c>
      <c r="AM294" s="129">
        <f t="shared" si="187"/>
      </c>
      <c r="AN294" s="129">
        <f t="shared" si="188"/>
      </c>
      <c r="AO294" s="129">
        <f t="shared" si="189"/>
        <v/>
      </c>
      <c r="AP294" s="129">
        <f t="shared" si="190"/>
        <v/>
      </c>
      <c r="AQ294" s="129">
        <f t="shared" si="191"/>
        <v/>
      </c>
      <c r="AR294" s="129">
        <f t="shared" si="192"/>
        <v/>
      </c>
      <c r="AS294" s="129">
        <f t="shared" si="193"/>
        <v/>
      </c>
      <c r="AT294" s="129">
        <f t="shared" si="194"/>
        <v/>
      </c>
      <c r="AU294" s="129">
        <f t="shared" si="195"/>
        <v/>
      </c>
      <c r="AV294" s="129">
        <f t="shared" si="196"/>
        <v/>
      </c>
      <c r="AW294" s="129">
        <f>IF(AV294="","",AV294&amp;"."&amp;COUNTIFS($A$3:A294,A294,$AV$3:AV294,AV294))</f>
        <v/>
      </c>
      <c r="AX294" s="129">
        <f t="shared" si="197"/>
        <v/>
      </c>
      <c r="AY294" s="129">
        <f>IF(N294="б/к",0,IF(OR(ISNUMBER(SEARCH("L=",Разбивка_по_щитам!P294)),N294="+",N294="="),1,0))</f>
      </c>
      <c r="AZ294" s="129">
        <f t="shared" si="198"/>
      </c>
      <c r="BA294" s="129">
        <f t="shared" si="199"/>
      </c>
      <c r="BB294" s="129">
        <f t="shared" si="200"/>
      </c>
      <c r="BD294" s="129">
        <f t="shared" si="201"/>
      </c>
      <c r="BE294" s="129">
        <f t="shared" si="202"/>
      </c>
      <c r="BF294" s="129">
        <f t="shared" si="203"/>
      </c>
      <c r="BG294" s="129">
        <f t="shared" si="204"/>
        <v/>
      </c>
      <c r="BH294" s="129">
        <f t="shared" si="205"/>
        <v/>
      </c>
      <c r="BI294" s="129">
        <f t="shared" si="206"/>
        <v/>
      </c>
      <c r="BJ294" s="129">
        <f t="shared" si="207"/>
        <v/>
      </c>
      <c r="BK294" s="129">
        <f>IF(R294="","",IF(OR(BY294="",BY294=0),"BOX",IFERROR(IF(VLOOKUP(BY294,УГО_блоки,3,FALSE)&amp;""&lt;&gt;"",VLOOKUP(BY294,УГО_блоки,3,FALSE),VLOOKUP(BY294,УГО_блоки,2,FALSE)),BY294)))</f>
      </c>
      <c r="BL294" s="129">
        <f t="shared" si="209"/>
      </c>
      <c r="BM294" s="129">
        <f>IF(H294="","",IF(COUNTIF($H$3:H294,H294)=1,MAX($BM$2:BM293)+1,""))</f>
      </c>
      <c r="BN294" s="129">
        <f>IF(I294="","",IF(COUNTIF($I$3:I294,I294)+COUNTIF($J$2:J293,I294)+COUNTIF($K$2:K293,I294)=1,MAX($BN$2:BP293)+1,""))</f>
      </c>
      <c r="BO294" s="129">
        <f>IF(J294="","",IF(COUNTIF($I$3:I294,J294)+COUNTIF($J$3:J294,J294)+COUNTIF($K$2:K293,J294)=1,MAX($BN$2:BP293,BN294)+1,""))</f>
      </c>
      <c r="BP294" s="129">
        <f>IF(K294="","",IF(COUNTIF($I$3:I294,K294)+COUNTIF($J$3:J294,K294)+COUNTIF($K$3:K294,K294)=1,MAX($BN$2:BP293,BN294,BO294)+1,""))</f>
      </c>
      <c r="BQ294" s="129">
        <f>IF(AY294=1,IFERROR(MID(Q294,FIND(" (",Q294)+2,FIND(")",Q294,FIND(" (",Q294))-FIND(" (",Q294)-2),"?"),"")</f>
      </c>
      <c r="BR294" s="129">
        <f>IF(BQ294="","",IF(COUNTIF($BQ$3:BQ294,BQ294)=1,MAX($BR$2:BR293)+1,""))</f>
      </c>
      <c r="BS294" s="129">
        <f>IF(AW294="","",COUNTIF($AW$3:AW294,"?*"))</f>
      </c>
      <c r="BT294" s="129">
        <f>IF(OR(AW294="",AI294=""),"",IF(COUNTIFS($AW$3:AW294,"?*",$AI$3:AI294,AI294)=1,MAX($BT$2:BT293)+1,""))</f>
      </c>
      <c r="BU294" s="129">
        <f>IF(AE294="",0,IF(OR(ISNUMBER(SEARCH("дубль",AE294)),ISNUMBER(SEARCH("ПЕРЕГРУЗ",AE294)),ISNUMBER(SEARCH("ЗАЩИЩ",AE294)),ISNUMBER(SEARCH("КАНАЛ",AE294)),ISNUMBER(SEARCH("без 30",AE294))),2,1))</f>
      </c>
      <c r="BV294" s="129">
        <f>IF(R294="","",COUNTIF($R$3:R294,"?*"))</f>
      </c>
      <c r="BW294" s="129">
        <f>IF(AY294&lt;&gt;1,0,IF(MAX(IFERROR(--VLOOKUP(R294,УГО_спр,5,FALSE),0),IFERROR(--VLOOKUP(AL294,УГО_спр,5,FALSE),0),IFERROR(--VLOOKUP(LEFT(AL294,2),УГО_спр,5,FALSE),0))&gt;0,MAX(IFERROR(--VLOOKUP(R294,УГО_спр,5,FALSE),0),IFERROR(--VLOOKUP(AL294,УГО_спр,5,FALSE),0),IFERROR(--VLOOKUP(LEFT(AL294,2),УГО_спр,5,FALSE),0)),IF(IFERROR(--LEFT(SUBSTITUTE(BQ294,"x","х"),FIND("х",SUBSTITUTE(BQ294,"x","х"))-1),3)&gt;3,Каталог!$S$9,1)))</f>
      </c>
      <c r="BX294" s="129">
        <f>IF(AY294&lt;&gt;1,0,MAX(0,IFERROR(--LEFT(SUBSTITUTE(BQ294,"x","х"),FIND("х",SUBSTITUTE(BQ294,"x","х"))-1),3)-3*BW294))</f>
      </c>
      <c r="BY294" s="129">
        <f>IF(R294="","",IFERROR(VLOOKUP(R294,УГО_спр,2,FALSE),IFERROR(VLOOKUP(AL294,УГО_спр,2,FALSE),IFERROR(VLOOKUP(LEFT(AL294,2),УГО_спр,2,FALSE),""))))</f>
      </c>
    </row>
    <row r="295" spans="1:64" x14ac:dyDescent="0.3">
      <c r="A295" s="135">
        <f>IF(Разбивка_по_щитам!F295=0,"",Разбивка_по_щитам!F295)</f>
      </c>
      <c r="B295" s="138">
        <f>IF(A295="","",Разбивка_по_щитам!C295)</f>
      </c>
      <c r="C295" s="138">
        <f t="shared" si="170"/>
      </c>
      <c r="D295" s="266"/>
      <c r="E295" s="266"/>
      <c r="F295" s="267"/>
      <c r="G295" s="145">
        <f t="shared" si="171"/>
        <v/>
      </c>
      <c r="H295" s="145">
        <f t="shared" si="172"/>
        <v/>
      </c>
      <c r="I295" s="266"/>
      <c r="J295" s="267"/>
      <c r="K295" s="267"/>
      <c r="L295" s="266"/>
      <c r="M295" s="147">
        <f t="shared" si="173"/>
        <v/>
      </c>
      <c r="N295" s="267"/>
      <c r="O295" s="147">
        <f t="shared" si="174"/>
        <v/>
      </c>
      <c r="P295" s="268">
        <f>IF(AY295=1,"XT"&amp;COUNTIFS($A$3:A295,A295,$AY$3:AY295,1),"")</f>
        <v/>
      </c>
      <c r="Q295" s="152">
        <f>IF(R295="","",IFERROR(SUBSTITUTE(Разбивка_по_щитам!P295,CHAR(10)," "),""))</f>
        <v/>
      </c>
      <c r="R295" s="153">
        <f>IF(OR(Разбивка_по_щитам!H295="",Разбивка_по_щитам!H295=0),"",Разбивка_по_щитам!H295)</f>
        <v/>
      </c>
      <c r="S295" s="154">
        <f>IF(R295="","",IFERROR(Разбивка_по_щитам!J295&amp;"",""))</f>
        <v/>
      </c>
      <c r="T295" s="155">
        <f>IF(R295="","",IFERROR(--Разбивка_по_щитам!L295,""))</f>
        <v/>
      </c>
      <c r="U295" s="155">
        <f>IF(R295="","",IFERROR(--Разбивка_по_щитам!K295,""))</f>
        <v/>
      </c>
      <c r="V295" s="138">
        <f>IF(R295="","",IFERROR(IF(Разбивка_по_щитам!M295=0,"",Разбивка_по_щитам!M295),""))</f>
        <v/>
      </c>
      <c r="W295" s="156">
        <f t="shared" si="175"/>
        <v/>
      </c>
      <c r="X295" s="157">
        <f t="shared" si="176"/>
        <v/>
      </c>
      <c r="Y295" s="266"/>
      <c r="Z295" s="158">
        <f t="shared" si="177"/>
        <v/>
      </c>
      <c r="AA295" s="160">
        <f t="shared" si="178"/>
        <v/>
      </c>
      <c r="AB295" s="160">
        <f>IF(R295="","",IFERROR(LOOKUP(INDEX(Справочная!$I$4:$I$19,MATCH(VLOOKUP(R295,Исходные_данные,22,FALSE),Справочная!$J$4:$J$19,0)+1),{6,10,16,20,25,32,40,50,63,80,100,125}),""))</f>
        <v/>
      </c>
      <c r="AC295" s="160">
        <f t="shared" si="179"/>
        <v/>
      </c>
      <c r="AD295" s="161">
        <f t="shared" si="180"/>
        <v/>
      </c>
      <c r="AE295" s="161">
        <f>IF(AND(R295="",G295=""),"",_xlfn.TEXTJOIN("; ",TRUE,IF(AND(R295&lt;&gt;"",V295=""),"нет фазы",""),IF(AND(R295&lt;&gt;"",N(T295)=0),"нет мощности",""),IF(AND(P295&lt;&gt;"",COUNTIFS($A$3:$A$1000,A295,$P$3:$P$1000,P295)&gt;1),"дубль клеммы "&amp;P295,""),IF(AND(W295&lt;&gt;"",W295&lt;&gt;"ok"),W295,""),IF(X295&lt;&gt;"",X295,""),IF(AND(ISNUMBER(SEARCH("(5х",Q295)),N(AK295)=1),"5 жил на 1 фазе",""),IF(AND(AL295="R",E295&lt;&gt;"",N(AS295)=0),"розетка без 30 мА",""),IF(IFERROR(_xlfn.NUMBERVALUE(MID(Q295,FIND("-",Q295,FIND("L=",Q295))+1,FIND("%",Q295)-FIND("-",Q295,FIND("L=",Q295))-1),","),0)&gt;4,"потери &gt; 4 %","")))</f>
      </c>
      <c r="AF295" s="129">
        <f>IF(E295&lt;&gt;"",COUNTIFS($A$3:A295,A295,$E$3:E295,"?*"),IF(OR(A295&lt;&gt;A294,Y295="вручную"),"",AF294))</f>
      </c>
      <c r="AG295" s="129">
        <f t="shared" si="181"/>
      </c>
      <c r="AH295" s="129">
        <f t="shared" si="182"/>
        <v/>
      </c>
      <c r="AI295" s="129">
        <f t="shared" si="183"/>
        <v/>
      </c>
      <c r="AJ295" s="129">
        <f t="shared" si="184"/>
        <v/>
      </c>
      <c r="AK295" s="129">
        <f t="shared" si="185"/>
        <v/>
      </c>
      <c r="AL295" s="129">
        <f t="shared" si="186"/>
        <v/>
      </c>
      <c r="AM295" s="129">
        <f t="shared" si="187"/>
      </c>
      <c r="AN295" s="129">
        <f t="shared" si="188"/>
      </c>
      <c r="AO295" s="129">
        <f t="shared" si="189"/>
        <v/>
      </c>
      <c r="AP295" s="129">
        <f t="shared" si="190"/>
        <v/>
      </c>
      <c r="AQ295" s="129">
        <f t="shared" si="191"/>
        <v/>
      </c>
      <c r="AR295" s="129">
        <f t="shared" si="192"/>
        <v/>
      </c>
      <c r="AS295" s="129">
        <f t="shared" si="193"/>
        <v/>
      </c>
      <c r="AT295" s="129">
        <f t="shared" si="194"/>
        <v/>
      </c>
      <c r="AU295" s="129">
        <f t="shared" si="195"/>
        <v/>
      </c>
      <c r="AV295" s="129">
        <f t="shared" si="196"/>
        <v/>
      </c>
      <c r="AW295" s="129">
        <f>IF(AV295="","",AV295&amp;"."&amp;COUNTIFS($A$3:A295,A295,$AV$3:AV295,AV295))</f>
        <v/>
      </c>
      <c r="AX295" s="129">
        <f t="shared" si="197"/>
        <v/>
      </c>
      <c r="AY295" s="129">
        <f>IF(N295="б/к",0,IF(OR(ISNUMBER(SEARCH("L=",Разбивка_по_щитам!P295)),N295="+",N295="="),1,0))</f>
      </c>
      <c r="AZ295" s="129">
        <f t="shared" si="198"/>
      </c>
      <c r="BA295" s="129">
        <f t="shared" si="199"/>
      </c>
      <c r="BB295" s="129">
        <f t="shared" si="200"/>
      </c>
      <c r="BD295" s="129">
        <f t="shared" si="201"/>
      </c>
      <c r="BE295" s="129">
        <f t="shared" si="202"/>
      </c>
      <c r="BF295" s="129">
        <f t="shared" si="203"/>
      </c>
      <c r="BG295" s="129">
        <f t="shared" si="204"/>
        <v/>
      </c>
      <c r="BH295" s="129">
        <f t="shared" si="205"/>
        <v/>
      </c>
      <c r="BI295" s="129">
        <f t="shared" si="206"/>
        <v/>
      </c>
      <c r="BJ295" s="129">
        <f t="shared" si="207"/>
        <v/>
      </c>
      <c r="BK295" s="129">
        <f>IF(R295="","",IF(OR(BY295="",BY295=0),"BOX",IFERROR(IF(VLOOKUP(BY295,УГО_блоки,3,FALSE)&amp;""&lt;&gt;"",VLOOKUP(BY295,УГО_блоки,3,FALSE),VLOOKUP(BY295,УГО_блоки,2,FALSE)),BY295)))</f>
      </c>
      <c r="BL295" s="129">
        <f t="shared" si="209"/>
      </c>
      <c r="BM295" s="129">
        <f>IF(H295="","",IF(COUNTIF($H$3:H295,H295)=1,MAX($BM$2:BM294)+1,""))</f>
      </c>
      <c r="BN295" s="129">
        <f>IF(I295="","",IF(COUNTIF($I$3:I295,I295)+COUNTIF($J$2:J294,I295)+COUNTIF($K$2:K294,I295)=1,MAX($BN$2:BP294)+1,""))</f>
      </c>
      <c r="BO295" s="129">
        <f>IF(J295="","",IF(COUNTIF($I$3:I295,J295)+COUNTIF($J$3:J295,J295)+COUNTIF($K$2:K294,J295)=1,MAX($BN$2:BP294,BN295)+1,""))</f>
      </c>
      <c r="BP295" s="129">
        <f>IF(K295="","",IF(COUNTIF($I$3:I295,K295)+COUNTIF($J$3:J295,K295)+COUNTIF($K$3:K295,K295)=1,MAX($BN$2:BP294,BN295,BO295)+1,""))</f>
      </c>
      <c r="BQ295" s="129">
        <f>IF(AY295=1,IFERROR(MID(Q295,FIND(" (",Q295)+2,FIND(")",Q295,FIND(" (",Q295))-FIND(" (",Q295)-2),"?"),"")</f>
      </c>
      <c r="BR295" s="129">
        <f>IF(BQ295="","",IF(COUNTIF($BQ$3:BQ295,BQ295)=1,MAX($BR$2:BR294)+1,""))</f>
      </c>
      <c r="BS295" s="129">
        <f>IF(AW295="","",COUNTIF($AW$3:AW295,"?*"))</f>
      </c>
      <c r="BT295" s="129">
        <f>IF(OR(AW295="",AI295=""),"",IF(COUNTIFS($AW$3:AW295,"?*",$AI$3:AI295,AI295)=1,MAX($BT$2:BT294)+1,""))</f>
      </c>
      <c r="BU295" s="129">
        <f>IF(AE295="",0,IF(OR(ISNUMBER(SEARCH("дубль",AE295)),ISNUMBER(SEARCH("ПЕРЕГРУЗ",AE295)),ISNUMBER(SEARCH("ЗАЩИЩ",AE295)),ISNUMBER(SEARCH("КАНАЛ",AE295)),ISNUMBER(SEARCH("без 30",AE295))),2,1))</f>
      </c>
      <c r="BV295" s="129">
        <f>IF(R295="","",COUNTIF($R$3:R295,"?*"))</f>
      </c>
      <c r="BW295" s="129">
        <f>IF(AY295&lt;&gt;1,0,IF(MAX(IFERROR(--VLOOKUP(R295,УГО_спр,5,FALSE),0),IFERROR(--VLOOKUP(AL295,УГО_спр,5,FALSE),0),IFERROR(--VLOOKUP(LEFT(AL295,2),УГО_спр,5,FALSE),0))&gt;0,MAX(IFERROR(--VLOOKUP(R295,УГО_спр,5,FALSE),0),IFERROR(--VLOOKUP(AL295,УГО_спр,5,FALSE),0),IFERROR(--VLOOKUP(LEFT(AL295,2),УГО_спр,5,FALSE),0)),IF(IFERROR(--LEFT(SUBSTITUTE(BQ295,"x","х"),FIND("х",SUBSTITUTE(BQ295,"x","х"))-1),3)&gt;3,Каталог!$S$9,1)))</f>
      </c>
      <c r="BX295" s="129">
        <f>IF(AY295&lt;&gt;1,0,MAX(0,IFERROR(--LEFT(SUBSTITUTE(BQ295,"x","х"),FIND("х",SUBSTITUTE(BQ295,"x","х"))-1),3)-3*BW295))</f>
      </c>
      <c r="BY295" s="129">
        <f>IF(R295="","",IFERROR(VLOOKUP(R295,УГО_спр,2,FALSE),IFERROR(VLOOKUP(AL295,УГО_спр,2,FALSE),IFERROR(VLOOKUP(LEFT(AL295,2),УГО_спр,2,FALSE),""))))</f>
      </c>
    </row>
    <row r="296" spans="1:64" x14ac:dyDescent="0.3">
      <c r="A296" s="135">
        <f>IF(Разбивка_по_щитам!F296=0,"",Разбивка_по_щитам!F296)</f>
      </c>
      <c r="B296" s="138">
        <f>IF(A296="","",Разбивка_по_щитам!C296)</f>
      </c>
      <c r="C296" s="138">
        <f t="shared" si="170"/>
      </c>
      <c r="D296" s="266"/>
      <c r="E296" s="266"/>
      <c r="F296" s="267"/>
      <c r="G296" s="145">
        <f t="shared" si="171"/>
        <v/>
      </c>
      <c r="H296" s="145">
        <f t="shared" si="172"/>
        <v/>
      </c>
      <c r="I296" s="266"/>
      <c r="J296" s="267"/>
      <c r="K296" s="267"/>
      <c r="L296" s="266"/>
      <c r="M296" s="147">
        <f t="shared" si="173"/>
        <v/>
      </c>
      <c r="N296" s="267"/>
      <c r="O296" s="147">
        <f t="shared" si="174"/>
        <v/>
      </c>
      <c r="P296" s="268">
        <f>IF(AY296=1,"XT"&amp;COUNTIFS($A$3:A296,A296,$AY$3:AY296,1),"")</f>
        <v/>
      </c>
      <c r="Q296" s="152">
        <f>IF(R296="","",IFERROR(SUBSTITUTE(Разбивка_по_щитам!P296,CHAR(10)," "),""))</f>
        <v/>
      </c>
      <c r="R296" s="153">
        <f>IF(OR(Разбивка_по_щитам!H296="",Разбивка_по_щитам!H296=0),"",Разбивка_по_щитам!H296)</f>
        <v/>
      </c>
      <c r="S296" s="154">
        <f>IF(R296="","",IFERROR(Разбивка_по_щитам!J296&amp;"",""))</f>
        <v/>
      </c>
      <c r="T296" s="155">
        <f>IF(R296="","",IFERROR(--Разбивка_по_щитам!L296,""))</f>
        <v/>
      </c>
      <c r="U296" s="155">
        <f>IF(R296="","",IFERROR(--Разбивка_по_щитам!K296,""))</f>
        <v/>
      </c>
      <c r="V296" s="138">
        <f>IF(R296="","",IFERROR(IF(Разбивка_по_щитам!M296=0,"",Разбивка_по_щитам!M296),""))</f>
        <v/>
      </c>
      <c r="W296" s="156">
        <f t="shared" si="175"/>
        <v/>
      </c>
      <c r="X296" s="157">
        <f t="shared" si="176"/>
        <v/>
      </c>
      <c r="Y296" s="266"/>
      <c r="Z296" s="158">
        <f t="shared" si="177"/>
        <v/>
      </c>
      <c r="AA296" s="160">
        <f t="shared" si="178"/>
        <v/>
      </c>
      <c r="AB296" s="160">
        <f>IF(R296="","",IFERROR(LOOKUP(INDEX(Справочная!$I$4:$I$19,MATCH(VLOOKUP(R296,Исходные_данные,22,FALSE),Справочная!$J$4:$J$19,0)+1),{6,10,16,20,25,32,40,50,63,80,100,125}),""))</f>
        <v/>
      </c>
      <c r="AC296" s="160">
        <f t="shared" si="179"/>
        <v/>
      </c>
      <c r="AD296" s="161">
        <f t="shared" si="180"/>
        <v/>
      </c>
      <c r="AE296" s="161">
        <f>IF(AND(R296="",G296=""),"",_xlfn.TEXTJOIN("; ",TRUE,IF(AND(R296&lt;&gt;"",V296=""),"нет фазы",""),IF(AND(R296&lt;&gt;"",N(T296)=0),"нет мощности",""),IF(AND(P296&lt;&gt;"",COUNTIFS($A$3:$A$1000,A296,$P$3:$P$1000,P296)&gt;1),"дубль клеммы "&amp;P296,""),IF(AND(W296&lt;&gt;"",W296&lt;&gt;"ok"),W296,""),IF(X296&lt;&gt;"",X296,""),IF(AND(ISNUMBER(SEARCH("(5х",Q296)),N(AK296)=1),"5 жил на 1 фазе",""),IF(AND(AL296="R",E296&lt;&gt;"",N(AS296)=0),"розетка без 30 мА",""),IF(IFERROR(_xlfn.NUMBERVALUE(MID(Q296,FIND("-",Q296,FIND("L=",Q296))+1,FIND("%",Q296)-FIND("-",Q296,FIND("L=",Q296))-1),","),0)&gt;4,"потери &gt; 4 %","")))</f>
      </c>
      <c r="AF296" s="129">
        <f>IF(E296&lt;&gt;"",COUNTIFS($A$3:A296,A296,$E$3:E296,"?*"),IF(OR(A296&lt;&gt;A295,Y296="вручную"),"",AF295))</f>
      </c>
      <c r="AG296" s="129">
        <f t="shared" si="181"/>
      </c>
      <c r="AH296" s="129">
        <f t="shared" si="182"/>
        <v/>
      </c>
      <c r="AI296" s="129">
        <f t="shared" si="183"/>
        <v/>
      </c>
      <c r="AJ296" s="129">
        <f t="shared" si="184"/>
        <v/>
      </c>
      <c r="AK296" s="129">
        <f t="shared" si="185"/>
        <v/>
      </c>
      <c r="AL296" s="129">
        <f t="shared" si="186"/>
        <v/>
      </c>
      <c r="AM296" s="129">
        <f t="shared" si="187"/>
      </c>
      <c r="AN296" s="129">
        <f t="shared" si="188"/>
      </c>
      <c r="AO296" s="129">
        <f t="shared" si="189"/>
        <v/>
      </c>
      <c r="AP296" s="129">
        <f t="shared" si="190"/>
        <v/>
      </c>
      <c r="AQ296" s="129">
        <f t="shared" si="191"/>
        <v/>
      </c>
      <c r="AR296" s="129">
        <f t="shared" si="192"/>
        <v/>
      </c>
      <c r="AS296" s="129">
        <f t="shared" si="193"/>
        <v/>
      </c>
      <c r="AT296" s="129">
        <f t="shared" si="194"/>
        <v/>
      </c>
      <c r="AU296" s="129">
        <f t="shared" si="195"/>
        <v/>
      </c>
      <c r="AV296" s="129">
        <f t="shared" si="196"/>
        <v/>
      </c>
      <c r="AW296" s="129">
        <f>IF(AV296="","",AV296&amp;"."&amp;COUNTIFS($A$3:A296,A296,$AV$3:AV296,AV296))</f>
        <v/>
      </c>
      <c r="AX296" s="129">
        <f t="shared" si="197"/>
        <v/>
      </c>
      <c r="AY296" s="129">
        <f>IF(N296="б/к",0,IF(OR(ISNUMBER(SEARCH("L=",Разбивка_по_щитам!P296)),N296="+",N296="="),1,0))</f>
      </c>
      <c r="AZ296" s="129">
        <f t="shared" si="198"/>
      </c>
      <c r="BA296" s="129">
        <f t="shared" si="199"/>
      </c>
      <c r="BB296" s="129">
        <f t="shared" si="200"/>
      </c>
      <c r="BD296" s="129">
        <f t="shared" si="201"/>
      </c>
      <c r="BE296" s="129">
        <f t="shared" si="202"/>
      </c>
      <c r="BF296" s="129">
        <f t="shared" si="203"/>
      </c>
      <c r="BG296" s="129">
        <f t="shared" si="204"/>
        <v/>
      </c>
      <c r="BH296" s="129">
        <f t="shared" si="205"/>
        <v/>
      </c>
      <c r="BI296" s="129">
        <f t="shared" si="206"/>
        <v/>
      </c>
      <c r="BJ296" s="129">
        <f t="shared" si="207"/>
        <v/>
      </c>
      <c r="BK296" s="129">
        <f>IF(R296="","",IF(OR(BY296="",BY296=0),"BOX",IFERROR(IF(VLOOKUP(BY296,УГО_блоки,3,FALSE)&amp;""&lt;&gt;"",VLOOKUP(BY296,УГО_блоки,3,FALSE),VLOOKUP(BY296,УГО_блоки,2,FALSE)),BY296)))</f>
      </c>
      <c r="BL296" s="129">
        <f t="shared" si="209"/>
      </c>
      <c r="BM296" s="129">
        <f>IF(H296="","",IF(COUNTIF($H$3:H296,H296)=1,MAX($BM$2:BM295)+1,""))</f>
      </c>
      <c r="BN296" s="129">
        <f>IF(I296="","",IF(COUNTIF($I$3:I296,I296)+COUNTIF($J$2:J295,I296)+COUNTIF($K$2:K295,I296)=1,MAX($BN$2:BP295)+1,""))</f>
      </c>
      <c r="BO296" s="129">
        <f>IF(J296="","",IF(COUNTIF($I$3:I296,J296)+COUNTIF($J$3:J296,J296)+COUNTIF($K$2:K295,J296)=1,MAX($BN$2:BP295,BN296)+1,""))</f>
      </c>
      <c r="BP296" s="129">
        <f>IF(K296="","",IF(COUNTIF($I$3:I296,K296)+COUNTIF($J$3:J296,K296)+COUNTIF($K$3:K296,K296)=1,MAX($BN$2:BP295,BN296,BO296)+1,""))</f>
      </c>
      <c r="BQ296" s="129">
        <f>IF(AY296=1,IFERROR(MID(Q296,FIND(" (",Q296)+2,FIND(")",Q296,FIND(" (",Q296))-FIND(" (",Q296)-2),"?"),"")</f>
      </c>
      <c r="BR296" s="129">
        <f>IF(BQ296="","",IF(COUNTIF($BQ$3:BQ296,BQ296)=1,MAX($BR$2:BR295)+1,""))</f>
      </c>
      <c r="BS296" s="129">
        <f>IF(AW296="","",COUNTIF($AW$3:AW296,"?*"))</f>
      </c>
      <c r="BT296" s="129">
        <f>IF(OR(AW296="",AI296=""),"",IF(COUNTIFS($AW$3:AW296,"?*",$AI$3:AI296,AI296)=1,MAX($BT$2:BT295)+1,""))</f>
      </c>
      <c r="BU296" s="129">
        <f>IF(AE296="",0,IF(OR(ISNUMBER(SEARCH("дубль",AE296)),ISNUMBER(SEARCH("ПЕРЕГРУЗ",AE296)),ISNUMBER(SEARCH("ЗАЩИЩ",AE296)),ISNUMBER(SEARCH("КАНАЛ",AE296)),ISNUMBER(SEARCH("без 30",AE296))),2,1))</f>
      </c>
      <c r="BV296" s="129">
        <f>IF(R296="","",COUNTIF($R$3:R296,"?*"))</f>
      </c>
      <c r="BW296" s="129">
        <f>IF(AY296&lt;&gt;1,0,IF(MAX(IFERROR(--VLOOKUP(R296,УГО_спр,5,FALSE),0),IFERROR(--VLOOKUP(AL296,УГО_спр,5,FALSE),0),IFERROR(--VLOOKUP(LEFT(AL296,2),УГО_спр,5,FALSE),0))&gt;0,MAX(IFERROR(--VLOOKUP(R296,УГО_спр,5,FALSE),0),IFERROR(--VLOOKUP(AL296,УГО_спр,5,FALSE),0),IFERROR(--VLOOKUP(LEFT(AL296,2),УГО_спр,5,FALSE),0)),IF(IFERROR(--LEFT(SUBSTITUTE(BQ296,"x","х"),FIND("х",SUBSTITUTE(BQ296,"x","х"))-1),3)&gt;3,Каталог!$S$9,1)))</f>
      </c>
      <c r="BX296" s="129">
        <f>IF(AY296&lt;&gt;1,0,MAX(0,IFERROR(--LEFT(SUBSTITUTE(BQ296,"x","х"),FIND("х",SUBSTITUTE(BQ296,"x","х"))-1),3)-3*BW296))</f>
      </c>
      <c r="BY296" s="129">
        <f>IF(R296="","",IFERROR(VLOOKUP(R296,УГО_спр,2,FALSE),IFERROR(VLOOKUP(AL296,УГО_спр,2,FALSE),IFERROR(VLOOKUP(LEFT(AL296,2),УГО_спр,2,FALSE),""))))</f>
      </c>
    </row>
    <row r="297" spans="1:64" x14ac:dyDescent="0.3">
      <c r="A297" s="135">
        <f>IF(Разбивка_по_щитам!F297=0,"",Разбивка_по_щитам!F297)</f>
      </c>
      <c r="B297" s="138">
        <f>IF(A297="","",Разбивка_по_щитам!C297)</f>
      </c>
      <c r="C297" s="138">
        <f t="shared" si="170"/>
      </c>
      <c r="D297" s="266"/>
      <c r="E297" s="266"/>
      <c r="F297" s="267"/>
      <c r="G297" s="145">
        <f t="shared" si="171"/>
        <v/>
      </c>
      <c r="H297" s="145">
        <f t="shared" si="172"/>
        <v/>
      </c>
      <c r="I297" s="266"/>
      <c r="J297" s="267"/>
      <c r="K297" s="267"/>
      <c r="L297" s="266"/>
      <c r="M297" s="147">
        <f t="shared" si="173"/>
        <v/>
      </c>
      <c r="N297" s="267"/>
      <c r="O297" s="147">
        <f t="shared" si="174"/>
        <v/>
      </c>
      <c r="P297" s="268">
        <f>IF(AY297=1,"XT"&amp;COUNTIFS($A$3:A297,A297,$AY$3:AY297,1),"")</f>
        <v/>
      </c>
      <c r="Q297" s="152">
        <f>IF(R297="","",IFERROR(SUBSTITUTE(Разбивка_по_щитам!P297,CHAR(10)," "),""))</f>
        <v/>
      </c>
      <c r="R297" s="153">
        <f>IF(OR(Разбивка_по_щитам!H297="",Разбивка_по_щитам!H297=0),"",Разбивка_по_щитам!H297)</f>
        <v/>
      </c>
      <c r="S297" s="154">
        <f>IF(R297="","",IFERROR(Разбивка_по_щитам!J297&amp;"",""))</f>
        <v/>
      </c>
      <c r="T297" s="155">
        <f>IF(R297="","",IFERROR(--Разбивка_по_щитам!L297,""))</f>
        <v/>
      </c>
      <c r="U297" s="155">
        <f>IF(R297="","",IFERROR(--Разбивка_по_щитам!K297,""))</f>
        <v/>
      </c>
      <c r="V297" s="138">
        <f>IF(R297="","",IFERROR(IF(Разбивка_по_щитам!M297=0,"",Разбивка_по_щитам!M297),""))</f>
        <v/>
      </c>
      <c r="W297" s="156">
        <f t="shared" si="175"/>
        <v/>
      </c>
      <c r="X297" s="157">
        <f t="shared" si="176"/>
        <v/>
      </c>
      <c r="Y297" s="266"/>
      <c r="Z297" s="158">
        <f t="shared" si="177"/>
        <v/>
      </c>
      <c r="AA297" s="160">
        <f t="shared" si="178"/>
        <v/>
      </c>
      <c r="AB297" s="160">
        <f>IF(R297="","",IFERROR(LOOKUP(INDEX(Справочная!$I$4:$I$19,MATCH(VLOOKUP(R297,Исходные_данные,22,FALSE),Справочная!$J$4:$J$19,0)+1),{6,10,16,20,25,32,40,50,63,80,100,125}),""))</f>
        <v/>
      </c>
      <c r="AC297" s="160">
        <f t="shared" si="179"/>
        <v/>
      </c>
      <c r="AD297" s="161">
        <f t="shared" si="180"/>
        <v/>
      </c>
      <c r="AE297" s="161">
        <f>IF(AND(R297="",G297=""),"",_xlfn.TEXTJOIN("; ",TRUE,IF(AND(R297&lt;&gt;"",V297=""),"нет фазы",""),IF(AND(R297&lt;&gt;"",N(T297)=0),"нет мощности",""),IF(AND(P297&lt;&gt;"",COUNTIFS($A$3:$A$1000,A297,$P$3:$P$1000,P297)&gt;1),"дубль клеммы "&amp;P297,""),IF(AND(W297&lt;&gt;"",W297&lt;&gt;"ok"),W297,""),IF(X297&lt;&gt;"",X297,""),IF(AND(ISNUMBER(SEARCH("(5х",Q297)),N(AK297)=1),"5 жил на 1 фазе",""),IF(AND(AL297="R",E297&lt;&gt;"",N(AS297)=0),"розетка без 30 мА",""),IF(IFERROR(_xlfn.NUMBERVALUE(MID(Q297,FIND("-",Q297,FIND("L=",Q297))+1,FIND("%",Q297)-FIND("-",Q297,FIND("L=",Q297))-1),","),0)&gt;4,"потери &gt; 4 %","")))</f>
      </c>
      <c r="AF297" s="129">
        <f>IF(E297&lt;&gt;"",COUNTIFS($A$3:A297,A297,$E$3:E297,"?*"),IF(OR(A297&lt;&gt;A296,Y297="вручную"),"",AF296))</f>
      </c>
      <c r="AG297" s="129">
        <f t="shared" si="181"/>
      </c>
      <c r="AH297" s="129">
        <f t="shared" si="182"/>
        <v/>
      </c>
      <c r="AI297" s="129">
        <f t="shared" si="183"/>
        <v/>
      </c>
      <c r="AJ297" s="129">
        <f t="shared" si="184"/>
        <v/>
      </c>
      <c r="AK297" s="129">
        <f t="shared" si="185"/>
        <v/>
      </c>
      <c r="AL297" s="129">
        <f t="shared" si="186"/>
        <v/>
      </c>
      <c r="AM297" s="129">
        <f t="shared" si="187"/>
      </c>
      <c r="AN297" s="129">
        <f t="shared" si="188"/>
      </c>
      <c r="AO297" s="129">
        <f t="shared" si="189"/>
        <v/>
      </c>
      <c r="AP297" s="129">
        <f t="shared" si="190"/>
        <v/>
      </c>
      <c r="AQ297" s="129">
        <f t="shared" si="191"/>
        <v/>
      </c>
      <c r="AR297" s="129">
        <f t="shared" si="192"/>
        <v/>
      </c>
      <c r="AS297" s="129">
        <f t="shared" si="193"/>
        <v/>
      </c>
      <c r="AT297" s="129">
        <f t="shared" si="194"/>
        <v/>
      </c>
      <c r="AU297" s="129">
        <f t="shared" si="195"/>
        <v/>
      </c>
      <c r="AV297" s="129">
        <f t="shared" si="196"/>
        <v/>
      </c>
      <c r="AW297" s="129">
        <f>IF(AV297="","",AV297&amp;"."&amp;COUNTIFS($A$3:A297,A297,$AV$3:AV297,AV297))</f>
        <v/>
      </c>
      <c r="AX297" s="129">
        <f t="shared" si="197"/>
        <v/>
      </c>
      <c r="AY297" s="129">
        <f>IF(N297="б/к",0,IF(OR(ISNUMBER(SEARCH("L=",Разбивка_по_щитам!P297)),N297="+",N297="="),1,0))</f>
      </c>
      <c r="AZ297" s="129">
        <f t="shared" si="198"/>
      </c>
      <c r="BA297" s="129">
        <f t="shared" si="199"/>
      </c>
      <c r="BB297" s="129">
        <f t="shared" si="200"/>
      </c>
      <c r="BD297" s="129">
        <f t="shared" si="201"/>
      </c>
      <c r="BE297" s="129">
        <f t="shared" si="202"/>
      </c>
      <c r="BF297" s="129">
        <f t="shared" si="203"/>
      </c>
      <c r="BG297" s="129">
        <f t="shared" si="204"/>
        <v/>
      </c>
      <c r="BH297" s="129">
        <f t="shared" si="205"/>
        <v/>
      </c>
      <c r="BI297" s="129">
        <f t="shared" si="206"/>
        <v/>
      </c>
      <c r="BJ297" s="129">
        <f t="shared" si="207"/>
        <v/>
      </c>
      <c r="BK297" s="129">
        <f>IF(R297="","",IF(OR(BY297="",BY297=0),"BOX",IFERROR(IF(VLOOKUP(BY297,УГО_блоки,3,FALSE)&amp;""&lt;&gt;"",VLOOKUP(BY297,УГО_блоки,3,FALSE),VLOOKUP(BY297,УГО_блоки,2,FALSE)),BY297)))</f>
      </c>
      <c r="BL297" s="129">
        <f t="shared" si="209"/>
      </c>
      <c r="BM297" s="129">
        <f>IF(H297="","",IF(COUNTIF($H$3:H297,H297)=1,MAX($BM$2:BM296)+1,""))</f>
      </c>
      <c r="BN297" s="129">
        <f>IF(I297="","",IF(COUNTIF($I$3:I297,I297)+COUNTIF($J$2:J296,I297)+COUNTIF($K$2:K296,I297)=1,MAX($BN$2:BP296)+1,""))</f>
      </c>
      <c r="BO297" s="129">
        <f>IF(J297="","",IF(COUNTIF($I$3:I297,J297)+COUNTIF($J$3:J297,J297)+COUNTIF($K$2:K296,J297)=1,MAX($BN$2:BP296,BN297)+1,""))</f>
      </c>
      <c r="BP297" s="129">
        <f>IF(K297="","",IF(COUNTIF($I$3:I297,K297)+COUNTIF($J$3:J297,K297)+COUNTIF($K$3:K297,K297)=1,MAX($BN$2:BP296,BN297,BO297)+1,""))</f>
      </c>
      <c r="BQ297" s="129">
        <f>IF(AY297=1,IFERROR(MID(Q297,FIND(" (",Q297)+2,FIND(")",Q297,FIND(" (",Q297))-FIND(" (",Q297)-2),"?"),"")</f>
      </c>
      <c r="BR297" s="129">
        <f>IF(BQ297="","",IF(COUNTIF($BQ$3:BQ297,BQ297)=1,MAX($BR$2:BR296)+1,""))</f>
      </c>
      <c r="BS297" s="129">
        <f>IF(AW297="","",COUNTIF($AW$3:AW297,"?*"))</f>
      </c>
      <c r="BT297" s="129">
        <f>IF(OR(AW297="",AI297=""),"",IF(COUNTIFS($AW$3:AW297,"?*",$AI$3:AI297,AI297)=1,MAX($BT$2:BT296)+1,""))</f>
      </c>
      <c r="BU297" s="129">
        <f>IF(AE297="",0,IF(OR(ISNUMBER(SEARCH("дубль",AE297)),ISNUMBER(SEARCH("ПЕРЕГРУЗ",AE297)),ISNUMBER(SEARCH("ЗАЩИЩ",AE297)),ISNUMBER(SEARCH("КАНАЛ",AE297)),ISNUMBER(SEARCH("без 30",AE297))),2,1))</f>
      </c>
      <c r="BV297" s="129">
        <f>IF(R297="","",COUNTIF($R$3:R297,"?*"))</f>
      </c>
      <c r="BW297" s="129">
        <f>IF(AY297&lt;&gt;1,0,IF(MAX(IFERROR(--VLOOKUP(R297,УГО_спр,5,FALSE),0),IFERROR(--VLOOKUP(AL297,УГО_спр,5,FALSE),0),IFERROR(--VLOOKUP(LEFT(AL297,2),УГО_спр,5,FALSE),0))&gt;0,MAX(IFERROR(--VLOOKUP(R297,УГО_спр,5,FALSE),0),IFERROR(--VLOOKUP(AL297,УГО_спр,5,FALSE),0),IFERROR(--VLOOKUP(LEFT(AL297,2),УГО_спр,5,FALSE),0)),IF(IFERROR(--LEFT(SUBSTITUTE(BQ297,"x","х"),FIND("х",SUBSTITUTE(BQ297,"x","х"))-1),3)&gt;3,Каталог!$S$9,1)))</f>
      </c>
      <c r="BX297" s="129">
        <f>IF(AY297&lt;&gt;1,0,MAX(0,IFERROR(--LEFT(SUBSTITUTE(BQ297,"x","х"),FIND("х",SUBSTITUTE(BQ297,"x","х"))-1),3)-3*BW297))</f>
      </c>
      <c r="BY297" s="129">
        <f>IF(R297="","",IFERROR(VLOOKUP(R297,УГО_спр,2,FALSE),IFERROR(VLOOKUP(AL297,УГО_спр,2,FALSE),IFERROR(VLOOKUP(LEFT(AL297,2),УГО_спр,2,FALSE),""))))</f>
      </c>
    </row>
    <row r="298" spans="1:64" x14ac:dyDescent="0.3">
      <c r="A298" s="135">
        <f>IF(Разбивка_по_щитам!F298=0,"",Разбивка_по_щитам!F298)</f>
      </c>
      <c r="B298" s="138">
        <f>IF(A298="","",Разбивка_по_щитам!C298)</f>
      </c>
      <c r="C298" s="138">
        <f t="shared" si="170"/>
      </c>
      <c r="D298" s="266"/>
      <c r="E298" s="266"/>
      <c r="F298" s="267"/>
      <c r="G298" s="145">
        <f t="shared" si="171"/>
        <v/>
      </c>
      <c r="H298" s="145">
        <f t="shared" si="172"/>
        <v/>
      </c>
      <c r="I298" s="266"/>
      <c r="J298" s="267"/>
      <c r="K298" s="267"/>
      <c r="L298" s="266"/>
      <c r="M298" s="147">
        <f t="shared" si="173"/>
        <v/>
      </c>
      <c r="N298" s="267"/>
      <c r="O298" s="147">
        <f t="shared" si="174"/>
        <v/>
      </c>
      <c r="P298" s="268">
        <f>IF(AY298=1,"XT"&amp;COUNTIFS($A$3:A298,A298,$AY$3:AY298,1),"")</f>
        <v/>
      </c>
      <c r="Q298" s="152">
        <f>IF(R298="","",IFERROR(SUBSTITUTE(Разбивка_по_щитам!P298,CHAR(10)," "),""))</f>
        <v/>
      </c>
      <c r="R298" s="153">
        <f>IF(OR(Разбивка_по_щитам!H298="",Разбивка_по_щитам!H298=0),"",Разбивка_по_щитам!H298)</f>
        <v/>
      </c>
      <c r="S298" s="154">
        <f>IF(R298="","",IFERROR(Разбивка_по_щитам!J298&amp;"",""))</f>
        <v/>
      </c>
      <c r="T298" s="155">
        <f>IF(R298="","",IFERROR(--Разбивка_по_щитам!L298,""))</f>
        <v/>
      </c>
      <c r="U298" s="155">
        <f>IF(R298="","",IFERROR(--Разбивка_по_щитам!K298,""))</f>
        <v/>
      </c>
      <c r="V298" s="138">
        <f>IF(R298="","",IFERROR(IF(Разбивка_по_щитам!M298=0,"",Разбивка_по_щитам!M298),""))</f>
        <v/>
      </c>
      <c r="W298" s="156">
        <f t="shared" si="175"/>
        <v/>
      </c>
      <c r="X298" s="157">
        <f t="shared" si="176"/>
        <v/>
      </c>
      <c r="Y298" s="266"/>
      <c r="Z298" s="158">
        <f t="shared" si="177"/>
        <v/>
      </c>
      <c r="AA298" s="160">
        <f t="shared" si="178"/>
        <v/>
      </c>
      <c r="AB298" s="160">
        <f>IF(R298="","",IFERROR(LOOKUP(INDEX(Справочная!$I$4:$I$19,MATCH(VLOOKUP(R298,Исходные_данные,22,FALSE),Справочная!$J$4:$J$19,0)+1),{6,10,16,20,25,32,40,50,63,80,100,125}),""))</f>
        <v/>
      </c>
      <c r="AC298" s="160">
        <f t="shared" si="179"/>
        <v/>
      </c>
      <c r="AD298" s="161">
        <f t="shared" si="180"/>
        <v/>
      </c>
      <c r="AE298" s="161">
        <f>IF(AND(R298="",G298=""),"",_xlfn.TEXTJOIN("; ",TRUE,IF(AND(R298&lt;&gt;"",V298=""),"нет фазы",""),IF(AND(R298&lt;&gt;"",N(T298)=0),"нет мощности",""),IF(AND(P298&lt;&gt;"",COUNTIFS($A$3:$A$1000,A298,$P$3:$P$1000,P298)&gt;1),"дубль клеммы "&amp;P298,""),IF(AND(W298&lt;&gt;"",W298&lt;&gt;"ok"),W298,""),IF(X298&lt;&gt;"",X298,""),IF(AND(ISNUMBER(SEARCH("(5х",Q298)),N(AK298)=1),"5 жил на 1 фазе",""),IF(AND(AL298="R",E298&lt;&gt;"",N(AS298)=0),"розетка без 30 мА",""),IF(IFERROR(_xlfn.NUMBERVALUE(MID(Q298,FIND("-",Q298,FIND("L=",Q298))+1,FIND("%",Q298)-FIND("-",Q298,FIND("L=",Q298))-1),","),0)&gt;4,"потери &gt; 4 %","")))</f>
      </c>
      <c r="AF298" s="129">
        <f>IF(E298&lt;&gt;"",COUNTIFS($A$3:A298,A298,$E$3:E298,"?*"),IF(OR(A298&lt;&gt;A297,Y298="вручную"),"",AF297))</f>
      </c>
      <c r="AG298" s="129">
        <f t="shared" si="181"/>
      </c>
      <c r="AH298" s="129">
        <f t="shared" si="182"/>
        <v/>
      </c>
      <c r="AI298" s="129">
        <f t="shared" si="183"/>
        <v/>
      </c>
      <c r="AJ298" s="129">
        <f t="shared" si="184"/>
        <v/>
      </c>
      <c r="AK298" s="129">
        <f t="shared" si="185"/>
        <v/>
      </c>
      <c r="AL298" s="129">
        <f t="shared" si="186"/>
        <v/>
      </c>
      <c r="AM298" s="129">
        <f t="shared" si="187"/>
      </c>
      <c r="AN298" s="129">
        <f t="shared" si="188"/>
      </c>
      <c r="AO298" s="129">
        <f t="shared" si="189"/>
        <v/>
      </c>
      <c r="AP298" s="129">
        <f t="shared" si="190"/>
        <v/>
      </c>
      <c r="AQ298" s="129">
        <f t="shared" si="191"/>
        <v/>
      </c>
      <c r="AR298" s="129">
        <f t="shared" si="192"/>
        <v/>
      </c>
      <c r="AS298" s="129">
        <f t="shared" si="193"/>
        <v/>
      </c>
      <c r="AT298" s="129">
        <f t="shared" si="194"/>
        <v/>
      </c>
      <c r="AU298" s="129">
        <f t="shared" si="195"/>
        <v/>
      </c>
      <c r="AV298" s="129">
        <f t="shared" si="196"/>
        <v/>
      </c>
      <c r="AW298" s="129">
        <f>IF(AV298="","",AV298&amp;"."&amp;COUNTIFS($A$3:A298,A298,$AV$3:AV298,AV298))</f>
        <v/>
      </c>
      <c r="AX298" s="129">
        <f t="shared" si="197"/>
        <v/>
      </c>
      <c r="AY298" s="129">
        <f>IF(N298="б/к",0,IF(OR(ISNUMBER(SEARCH("L=",Разбивка_по_щитам!P298)),N298="+",N298="="),1,0))</f>
      </c>
      <c r="AZ298" s="129">
        <f t="shared" si="198"/>
      </c>
      <c r="BA298" s="129">
        <f t="shared" si="199"/>
      </c>
      <c r="BB298" s="129">
        <f t="shared" si="200"/>
      </c>
      <c r="BD298" s="129">
        <f t="shared" si="201"/>
      </c>
      <c r="BE298" s="129">
        <f t="shared" si="202"/>
      </c>
      <c r="BF298" s="129">
        <f t="shared" si="203"/>
      </c>
      <c r="BG298" s="129">
        <f t="shared" si="204"/>
        <v/>
      </c>
      <c r="BH298" s="129">
        <f t="shared" si="205"/>
        <v/>
      </c>
      <c r="BI298" s="129">
        <f t="shared" si="206"/>
        <v/>
      </c>
      <c r="BJ298" s="129">
        <f t="shared" si="207"/>
        <v/>
      </c>
      <c r="BK298" s="129">
        <f>IF(R298="","",IF(OR(BY298="",BY298=0),"BOX",IFERROR(IF(VLOOKUP(BY298,УГО_блоки,3,FALSE)&amp;""&lt;&gt;"",VLOOKUP(BY298,УГО_блоки,3,FALSE),VLOOKUP(BY298,УГО_блоки,2,FALSE)),BY298)))</f>
      </c>
      <c r="BL298" s="129">
        <f t="shared" si="209"/>
      </c>
      <c r="BM298" s="129">
        <f>IF(H298="","",IF(COUNTIF($H$3:H298,H298)=1,MAX($BM$2:BM297)+1,""))</f>
      </c>
      <c r="BN298" s="129">
        <f>IF(I298="","",IF(COUNTIF($I$3:I298,I298)+COUNTIF($J$2:J297,I298)+COUNTIF($K$2:K297,I298)=1,MAX($BN$2:BP297)+1,""))</f>
      </c>
      <c r="BO298" s="129">
        <f>IF(J298="","",IF(COUNTIF($I$3:I298,J298)+COUNTIF($J$3:J298,J298)+COUNTIF($K$2:K297,J298)=1,MAX($BN$2:BP297,BN298)+1,""))</f>
      </c>
      <c r="BP298" s="129">
        <f>IF(K298="","",IF(COUNTIF($I$3:I298,K298)+COUNTIF($J$3:J298,K298)+COUNTIF($K$3:K298,K298)=1,MAX($BN$2:BP297,BN298,BO298)+1,""))</f>
      </c>
      <c r="BQ298" s="129">
        <f>IF(AY298=1,IFERROR(MID(Q298,FIND(" (",Q298)+2,FIND(")",Q298,FIND(" (",Q298))-FIND(" (",Q298)-2),"?"),"")</f>
      </c>
      <c r="BR298" s="129">
        <f>IF(BQ298="","",IF(COUNTIF($BQ$3:BQ298,BQ298)=1,MAX($BR$2:BR297)+1,""))</f>
      </c>
      <c r="BS298" s="129">
        <f>IF(AW298="","",COUNTIF($AW$3:AW298,"?*"))</f>
      </c>
      <c r="BT298" s="129">
        <f>IF(OR(AW298="",AI298=""),"",IF(COUNTIFS($AW$3:AW298,"?*",$AI$3:AI298,AI298)=1,MAX($BT$2:BT297)+1,""))</f>
      </c>
      <c r="BU298" s="129">
        <f>IF(AE298="",0,IF(OR(ISNUMBER(SEARCH("дубль",AE298)),ISNUMBER(SEARCH("ПЕРЕГРУЗ",AE298)),ISNUMBER(SEARCH("ЗАЩИЩ",AE298)),ISNUMBER(SEARCH("КАНАЛ",AE298)),ISNUMBER(SEARCH("без 30",AE298))),2,1))</f>
      </c>
      <c r="BV298" s="129">
        <f>IF(R298="","",COUNTIF($R$3:R298,"?*"))</f>
      </c>
      <c r="BW298" s="129">
        <f>IF(AY298&lt;&gt;1,0,IF(MAX(IFERROR(--VLOOKUP(R298,УГО_спр,5,FALSE),0),IFERROR(--VLOOKUP(AL298,УГО_спр,5,FALSE),0),IFERROR(--VLOOKUP(LEFT(AL298,2),УГО_спр,5,FALSE),0))&gt;0,MAX(IFERROR(--VLOOKUP(R298,УГО_спр,5,FALSE),0),IFERROR(--VLOOKUP(AL298,УГО_спр,5,FALSE),0),IFERROR(--VLOOKUP(LEFT(AL298,2),УГО_спр,5,FALSE),0)),IF(IFERROR(--LEFT(SUBSTITUTE(BQ298,"x","х"),FIND("х",SUBSTITUTE(BQ298,"x","х"))-1),3)&gt;3,Каталог!$S$9,1)))</f>
      </c>
      <c r="BX298" s="129">
        <f>IF(AY298&lt;&gt;1,0,MAX(0,IFERROR(--LEFT(SUBSTITUTE(BQ298,"x","х"),FIND("х",SUBSTITUTE(BQ298,"x","х"))-1),3)-3*BW298))</f>
      </c>
      <c r="BY298" s="129">
        <f>IF(R298="","",IFERROR(VLOOKUP(R298,УГО_спр,2,FALSE),IFERROR(VLOOKUP(AL298,УГО_спр,2,FALSE),IFERROR(VLOOKUP(LEFT(AL298,2),УГО_спр,2,FALSE),""))))</f>
      </c>
    </row>
    <row r="299" spans="1:64" x14ac:dyDescent="0.3">
      <c r="A299" s="135">
        <f>IF(Разбивка_по_щитам!F299=0,"",Разбивка_по_щитам!F299)</f>
      </c>
      <c r="B299" s="138">
        <f>IF(A299="","",Разбивка_по_щитам!C299)</f>
      </c>
      <c r="C299" s="138">
        <f t="shared" si="170"/>
      </c>
      <c r="D299" s="266"/>
      <c r="E299" s="266"/>
      <c r="F299" s="267"/>
      <c r="G299" s="145">
        <f t="shared" si="171"/>
        <v/>
      </c>
      <c r="H299" s="145">
        <f t="shared" si="172"/>
        <v/>
      </c>
      <c r="I299" s="266"/>
      <c r="J299" s="267"/>
      <c r="K299" s="267"/>
      <c r="L299" s="266"/>
      <c r="M299" s="147">
        <f t="shared" si="173"/>
        <v/>
      </c>
      <c r="N299" s="267"/>
      <c r="O299" s="147">
        <f t="shared" si="174"/>
        <v/>
      </c>
      <c r="P299" s="268">
        <f>IF(AY299=1,"XT"&amp;COUNTIFS($A$3:A299,A299,$AY$3:AY299,1),"")</f>
        <v/>
      </c>
      <c r="Q299" s="152">
        <f>IF(R299="","",IFERROR(SUBSTITUTE(Разбивка_по_щитам!P299,CHAR(10)," "),""))</f>
        <v/>
      </c>
      <c r="R299" s="153">
        <f>IF(OR(Разбивка_по_щитам!H299="",Разбивка_по_щитам!H299=0),"",Разбивка_по_щитам!H299)</f>
        <v/>
      </c>
      <c r="S299" s="154">
        <f>IF(R299="","",IFERROR(Разбивка_по_щитам!J299&amp;"",""))</f>
        <v/>
      </c>
      <c r="T299" s="155">
        <f>IF(R299="","",IFERROR(--Разбивка_по_щитам!L299,""))</f>
        <v/>
      </c>
      <c r="U299" s="155">
        <f>IF(R299="","",IFERROR(--Разбивка_по_щитам!K299,""))</f>
        <v/>
      </c>
      <c r="V299" s="138">
        <f>IF(R299="","",IFERROR(IF(Разбивка_по_щитам!M299=0,"",Разбивка_по_щитам!M299),""))</f>
        <v/>
      </c>
      <c r="W299" s="156">
        <f t="shared" si="175"/>
        <v/>
      </c>
      <c r="X299" s="157">
        <f t="shared" si="176"/>
        <v/>
      </c>
      <c r="Y299" s="266"/>
      <c r="Z299" s="158">
        <f t="shared" si="177"/>
        <v/>
      </c>
      <c r="AA299" s="160">
        <f t="shared" si="178"/>
        <v/>
      </c>
      <c r="AB299" s="160">
        <f>IF(R299="","",IFERROR(LOOKUP(INDEX(Справочная!$I$4:$I$19,MATCH(VLOOKUP(R299,Исходные_данные,22,FALSE),Справочная!$J$4:$J$19,0)+1),{6,10,16,20,25,32,40,50,63,80,100,125}),""))</f>
        <v/>
      </c>
      <c r="AC299" s="160">
        <f t="shared" si="179"/>
        <v/>
      </c>
      <c r="AD299" s="161">
        <f t="shared" si="180"/>
        <v/>
      </c>
      <c r="AE299" s="161">
        <f>IF(AND(R299="",G299=""),"",_xlfn.TEXTJOIN("; ",TRUE,IF(AND(R299&lt;&gt;"",V299=""),"нет фазы",""),IF(AND(R299&lt;&gt;"",N(T299)=0),"нет мощности",""),IF(AND(P299&lt;&gt;"",COUNTIFS($A$3:$A$1000,A299,$P$3:$P$1000,P299)&gt;1),"дубль клеммы "&amp;P299,""),IF(AND(W299&lt;&gt;"",W299&lt;&gt;"ok"),W299,""),IF(X299&lt;&gt;"",X299,""),IF(AND(ISNUMBER(SEARCH("(5х",Q299)),N(AK299)=1),"5 жил на 1 фазе",""),IF(AND(AL299="R",E299&lt;&gt;"",N(AS299)=0),"розетка без 30 мА",""),IF(IFERROR(_xlfn.NUMBERVALUE(MID(Q299,FIND("-",Q299,FIND("L=",Q299))+1,FIND("%",Q299)-FIND("-",Q299,FIND("L=",Q299))-1),","),0)&gt;4,"потери &gt; 4 %","")))</f>
      </c>
      <c r="AF299" s="129">
        <f>IF(E299&lt;&gt;"",COUNTIFS($A$3:A299,A299,$E$3:E299,"?*"),IF(OR(A299&lt;&gt;A298,Y299="вручную"),"",AF298))</f>
      </c>
      <c r="AG299" s="129">
        <f t="shared" si="181"/>
      </c>
      <c r="AH299" s="129">
        <f t="shared" si="182"/>
        <v/>
      </c>
      <c r="AI299" s="129">
        <f t="shared" si="183"/>
        <v/>
      </c>
      <c r="AJ299" s="129">
        <f t="shared" si="184"/>
        <v/>
      </c>
      <c r="AK299" s="129">
        <f t="shared" si="185"/>
        <v/>
      </c>
      <c r="AL299" s="129">
        <f t="shared" si="186"/>
        <v/>
      </c>
      <c r="AM299" s="129">
        <f t="shared" si="187"/>
      </c>
      <c r="AN299" s="129">
        <f t="shared" si="188"/>
      </c>
      <c r="AO299" s="129">
        <f t="shared" si="189"/>
        <v/>
      </c>
      <c r="AP299" s="129">
        <f t="shared" si="190"/>
        <v/>
      </c>
      <c r="AQ299" s="129">
        <f t="shared" si="191"/>
        <v/>
      </c>
      <c r="AR299" s="129">
        <f t="shared" si="192"/>
        <v/>
      </c>
      <c r="AS299" s="129">
        <f t="shared" si="193"/>
        <v/>
      </c>
      <c r="AT299" s="129">
        <f t="shared" si="194"/>
        <v/>
      </c>
      <c r="AU299" s="129">
        <f t="shared" si="195"/>
        <v/>
      </c>
      <c r="AV299" s="129">
        <f t="shared" si="196"/>
        <v/>
      </c>
      <c r="AW299" s="129">
        <f>IF(AV299="","",AV299&amp;"."&amp;COUNTIFS($A$3:A299,A299,$AV$3:AV299,AV299))</f>
        <v/>
      </c>
      <c r="AX299" s="129">
        <f t="shared" si="197"/>
        <v/>
      </c>
      <c r="AY299" s="129">
        <f>IF(N299="б/к",0,IF(OR(ISNUMBER(SEARCH("L=",Разбивка_по_щитам!P299)),N299="+",N299="="),1,0))</f>
      </c>
      <c r="AZ299" s="129">
        <f t="shared" si="198"/>
      </c>
      <c r="BA299" s="129">
        <f t="shared" si="199"/>
      </c>
      <c r="BB299" s="129">
        <f t="shared" si="200"/>
      </c>
      <c r="BD299" s="129">
        <f t="shared" si="201"/>
      </c>
      <c r="BE299" s="129">
        <f t="shared" si="202"/>
      </c>
      <c r="BF299" s="129">
        <f t="shared" si="203"/>
      </c>
      <c r="BG299" s="129">
        <f t="shared" si="204"/>
        <v/>
      </c>
      <c r="BH299" s="129">
        <f t="shared" si="205"/>
        <v/>
      </c>
      <c r="BI299" s="129">
        <f t="shared" si="206"/>
        <v/>
      </c>
      <c r="BJ299" s="129">
        <f t="shared" si="207"/>
        <v/>
      </c>
      <c r="BK299" s="129">
        <f>IF(R299="","",IF(OR(BY299="",BY299=0),"BOX",IFERROR(IF(VLOOKUP(BY299,УГО_блоки,3,FALSE)&amp;""&lt;&gt;"",VLOOKUP(BY299,УГО_блоки,3,FALSE),VLOOKUP(BY299,УГО_блоки,2,FALSE)),BY299)))</f>
      </c>
      <c r="BL299" s="129">
        <f t="shared" si="209"/>
      </c>
      <c r="BM299" s="129">
        <f>IF(H299="","",IF(COUNTIF($H$3:H299,H299)=1,MAX($BM$2:BM298)+1,""))</f>
      </c>
      <c r="BN299" s="129">
        <f>IF(I299="","",IF(COUNTIF($I$3:I299,I299)+COUNTIF($J$2:J298,I299)+COUNTIF($K$2:K298,I299)=1,MAX($BN$2:BP298)+1,""))</f>
      </c>
      <c r="BO299" s="129">
        <f>IF(J299="","",IF(COUNTIF($I$3:I299,J299)+COUNTIF($J$3:J299,J299)+COUNTIF($K$2:K298,J299)=1,MAX($BN$2:BP298,BN299)+1,""))</f>
      </c>
      <c r="BP299" s="129">
        <f>IF(K299="","",IF(COUNTIF($I$3:I299,K299)+COUNTIF($J$3:J299,K299)+COUNTIF($K$3:K299,K299)=1,MAX($BN$2:BP298,BN299,BO299)+1,""))</f>
      </c>
      <c r="BQ299" s="129">
        <f>IF(AY299=1,IFERROR(MID(Q299,FIND(" (",Q299)+2,FIND(")",Q299,FIND(" (",Q299))-FIND(" (",Q299)-2),"?"),"")</f>
      </c>
      <c r="BR299" s="129">
        <f>IF(BQ299="","",IF(COUNTIF($BQ$3:BQ299,BQ299)=1,MAX($BR$2:BR298)+1,""))</f>
      </c>
      <c r="BS299" s="129">
        <f>IF(AW299="","",COUNTIF($AW$3:AW299,"?*"))</f>
      </c>
      <c r="BT299" s="129">
        <f>IF(OR(AW299="",AI299=""),"",IF(COUNTIFS($AW$3:AW299,"?*",$AI$3:AI299,AI299)=1,MAX($BT$2:BT298)+1,""))</f>
      </c>
      <c r="BU299" s="129">
        <f>IF(AE299="",0,IF(OR(ISNUMBER(SEARCH("дубль",AE299)),ISNUMBER(SEARCH("ПЕРЕГРУЗ",AE299)),ISNUMBER(SEARCH("ЗАЩИЩ",AE299)),ISNUMBER(SEARCH("КАНАЛ",AE299)),ISNUMBER(SEARCH("без 30",AE299))),2,1))</f>
      </c>
      <c r="BV299" s="129">
        <f>IF(R299="","",COUNTIF($R$3:R299,"?*"))</f>
      </c>
      <c r="BW299" s="129">
        <f>IF(AY299&lt;&gt;1,0,IF(MAX(IFERROR(--VLOOKUP(R299,УГО_спр,5,FALSE),0),IFERROR(--VLOOKUP(AL299,УГО_спр,5,FALSE),0),IFERROR(--VLOOKUP(LEFT(AL299,2),УГО_спр,5,FALSE),0))&gt;0,MAX(IFERROR(--VLOOKUP(R299,УГО_спр,5,FALSE),0),IFERROR(--VLOOKUP(AL299,УГО_спр,5,FALSE),0),IFERROR(--VLOOKUP(LEFT(AL299,2),УГО_спр,5,FALSE),0)),IF(IFERROR(--LEFT(SUBSTITUTE(BQ299,"x","х"),FIND("х",SUBSTITUTE(BQ299,"x","х"))-1),3)&gt;3,Каталог!$S$9,1)))</f>
      </c>
      <c r="BX299" s="129">
        <f>IF(AY299&lt;&gt;1,0,MAX(0,IFERROR(--LEFT(SUBSTITUTE(BQ299,"x","х"),FIND("х",SUBSTITUTE(BQ299,"x","х"))-1),3)-3*BW299))</f>
      </c>
      <c r="BY299" s="129">
        <f>IF(R299="","",IFERROR(VLOOKUP(R299,УГО_спр,2,FALSE),IFERROR(VLOOKUP(AL299,УГО_спр,2,FALSE),IFERROR(VLOOKUP(LEFT(AL299,2),УГО_спр,2,FALSE),""))))</f>
      </c>
    </row>
    <row r="300" spans="1:64" x14ac:dyDescent="0.3">
      <c r="A300" s="135">
        <f>IF(Разбивка_по_щитам!F300=0,"",Разбивка_по_щитам!F300)</f>
      </c>
      <c r="B300" s="138">
        <f>IF(A300="","",Разбивка_по_щитам!C300)</f>
      </c>
      <c r="C300" s="138">
        <f t="shared" si="170"/>
      </c>
      <c r="D300" s="266"/>
      <c r="E300" s="266"/>
      <c r="F300" s="267"/>
      <c r="G300" s="145">
        <f t="shared" si="171"/>
        <v/>
      </c>
      <c r="H300" s="145">
        <f t="shared" si="172"/>
        <v/>
      </c>
      <c r="I300" s="266"/>
      <c r="J300" s="267"/>
      <c r="K300" s="267"/>
      <c r="L300" s="266"/>
      <c r="M300" s="147">
        <f t="shared" si="173"/>
        <v/>
      </c>
      <c r="N300" s="267"/>
      <c r="O300" s="147">
        <f t="shared" si="174"/>
        <v/>
      </c>
      <c r="P300" s="268">
        <f>IF(AY300=1,"XT"&amp;COUNTIFS($A$3:A300,A300,$AY$3:AY300,1),"")</f>
        <v/>
      </c>
      <c r="Q300" s="152">
        <f>IF(R300="","",IFERROR(SUBSTITUTE(Разбивка_по_щитам!P300,CHAR(10)," "),""))</f>
        <v/>
      </c>
      <c r="R300" s="153">
        <f>IF(OR(Разбивка_по_щитам!H300="",Разбивка_по_щитам!H300=0),"",Разбивка_по_щитам!H300)</f>
        <v/>
      </c>
      <c r="S300" s="154">
        <f>IF(R300="","",IFERROR(Разбивка_по_щитам!J300&amp;"",""))</f>
        <v/>
      </c>
      <c r="T300" s="155">
        <f>IF(R300="","",IFERROR(--Разбивка_по_щитам!L300,""))</f>
        <v/>
      </c>
      <c r="U300" s="155">
        <f>IF(R300="","",IFERROR(--Разбивка_по_щитам!K300,""))</f>
        <v/>
      </c>
      <c r="V300" s="138">
        <f>IF(R300="","",IFERROR(IF(Разбивка_по_щитам!M300=0,"",Разбивка_по_щитам!M300),""))</f>
        <v/>
      </c>
      <c r="W300" s="156">
        <f t="shared" si="175"/>
        <v/>
      </c>
      <c r="X300" s="157">
        <f t="shared" si="176"/>
        <v/>
      </c>
      <c r="Y300" s="266"/>
      <c r="Z300" s="158">
        <f t="shared" si="177"/>
        <v/>
      </c>
      <c r="AA300" s="160">
        <f t="shared" si="178"/>
        <v/>
      </c>
      <c r="AB300" s="160">
        <f>IF(R300="","",IFERROR(LOOKUP(INDEX(Справочная!$I$4:$I$19,MATCH(VLOOKUP(R300,Исходные_данные,22,FALSE),Справочная!$J$4:$J$19,0)+1),{6,10,16,20,25,32,40,50,63,80,100,125}),""))</f>
        <v/>
      </c>
      <c r="AC300" s="160">
        <f t="shared" si="179"/>
        <v/>
      </c>
      <c r="AD300" s="161">
        <f t="shared" si="180"/>
        <v/>
      </c>
      <c r="AE300" s="161">
        <f>IF(AND(R300="",G300=""),"",_xlfn.TEXTJOIN("; ",TRUE,IF(AND(R300&lt;&gt;"",V300=""),"нет фазы",""),IF(AND(R300&lt;&gt;"",N(T300)=0),"нет мощности",""),IF(AND(P300&lt;&gt;"",COUNTIFS($A$3:$A$1000,A300,$P$3:$P$1000,P300)&gt;1),"дубль клеммы "&amp;P300,""),IF(AND(W300&lt;&gt;"",W300&lt;&gt;"ok"),W300,""),IF(X300&lt;&gt;"",X300,""),IF(AND(ISNUMBER(SEARCH("(5х",Q300)),N(AK300)=1),"5 жил на 1 фазе",""),IF(AND(AL300="R",E300&lt;&gt;"",N(AS300)=0),"розетка без 30 мА",""),IF(IFERROR(_xlfn.NUMBERVALUE(MID(Q300,FIND("-",Q300,FIND("L=",Q300))+1,FIND("%",Q300)-FIND("-",Q300,FIND("L=",Q300))-1),","),0)&gt;4,"потери &gt; 4 %","")))</f>
      </c>
      <c r="AF300" s="129">
        <f>IF(E300&lt;&gt;"",COUNTIFS($A$3:A300,A300,$E$3:E300,"?*"),IF(OR(A300&lt;&gt;A299,Y300="вручную"),"",AF299))</f>
      </c>
      <c r="AG300" s="129">
        <f t="shared" si="181"/>
      </c>
      <c r="AH300" s="129">
        <f t="shared" si="182"/>
        <v/>
      </c>
      <c r="AI300" s="129">
        <f t="shared" si="183"/>
        <v/>
      </c>
      <c r="AJ300" s="129">
        <f t="shared" si="184"/>
        <v/>
      </c>
      <c r="AK300" s="129">
        <f t="shared" si="185"/>
        <v/>
      </c>
      <c r="AL300" s="129">
        <f t="shared" si="186"/>
        <v/>
      </c>
      <c r="AM300" s="129">
        <f t="shared" si="187"/>
      </c>
      <c r="AN300" s="129">
        <f t="shared" si="188"/>
      </c>
      <c r="AO300" s="129">
        <f t="shared" si="189"/>
        <v/>
      </c>
      <c r="AP300" s="129">
        <f t="shared" si="190"/>
        <v/>
      </c>
      <c r="AQ300" s="129">
        <f t="shared" si="191"/>
        <v/>
      </c>
      <c r="AR300" s="129">
        <f t="shared" si="192"/>
        <v/>
      </c>
      <c r="AS300" s="129">
        <f t="shared" si="193"/>
        <v/>
      </c>
      <c r="AT300" s="129">
        <f t="shared" si="194"/>
        <v/>
      </c>
      <c r="AU300" s="129">
        <f t="shared" si="195"/>
        <v/>
      </c>
      <c r="AV300" s="129">
        <f t="shared" si="196"/>
        <v/>
      </c>
      <c r="AW300" s="129">
        <f>IF(AV300="","",AV300&amp;"."&amp;COUNTIFS($A$3:A300,A300,$AV$3:AV300,AV300))</f>
        <v/>
      </c>
      <c r="AX300" s="129">
        <f t="shared" si="197"/>
        <v/>
      </c>
      <c r="AY300" s="129">
        <f>IF(N300="б/к",0,IF(OR(ISNUMBER(SEARCH("L=",Разбивка_по_щитам!P300)),N300="+",N300="="),1,0))</f>
      </c>
      <c r="AZ300" s="129">
        <f t="shared" si="198"/>
      </c>
      <c r="BA300" s="129">
        <f t="shared" si="199"/>
      </c>
      <c r="BB300" s="129">
        <f t="shared" si="200"/>
      </c>
      <c r="BD300" s="129">
        <f t="shared" si="201"/>
      </c>
      <c r="BE300" s="129">
        <f t="shared" si="202"/>
      </c>
      <c r="BF300" s="129">
        <f t="shared" si="203"/>
      </c>
      <c r="BG300" s="129">
        <f t="shared" si="204"/>
        <v/>
      </c>
      <c r="BH300" s="129">
        <f t="shared" si="205"/>
        <v/>
      </c>
      <c r="BI300" s="129">
        <f t="shared" si="206"/>
        <v/>
      </c>
      <c r="BJ300" s="129">
        <f t="shared" si="207"/>
        <v/>
      </c>
      <c r="BK300" s="129">
        <f>IF(R300="","",IF(OR(BY300="",BY300=0),"BOX",IFERROR(IF(VLOOKUP(BY300,УГО_блоки,3,FALSE)&amp;""&lt;&gt;"",VLOOKUP(BY300,УГО_блоки,3,FALSE),VLOOKUP(BY300,УГО_блоки,2,FALSE)),BY300)))</f>
      </c>
      <c r="BL300" s="129">
        <f t="shared" si="209"/>
      </c>
      <c r="BM300" s="129">
        <f>IF(H300="","",IF(COUNTIF($H$3:H300,H300)=1,MAX($BM$2:BM299)+1,""))</f>
      </c>
      <c r="BN300" s="129">
        <f>IF(I300="","",IF(COUNTIF($I$3:I300,I300)+COUNTIF($J$2:J299,I300)+COUNTIF($K$2:K299,I300)=1,MAX($BN$2:BP299)+1,""))</f>
      </c>
      <c r="BO300" s="129">
        <f>IF(J300="","",IF(COUNTIF($I$3:I300,J300)+COUNTIF($J$3:J300,J300)+COUNTIF($K$2:K299,J300)=1,MAX($BN$2:BP299,BN300)+1,""))</f>
      </c>
      <c r="BP300" s="129">
        <f>IF(K300="","",IF(COUNTIF($I$3:I300,K300)+COUNTIF($J$3:J300,K300)+COUNTIF($K$3:K300,K300)=1,MAX($BN$2:BP299,BN300,BO300)+1,""))</f>
      </c>
      <c r="BQ300" s="129">
        <f>IF(AY300=1,IFERROR(MID(Q300,FIND(" (",Q300)+2,FIND(")",Q300,FIND(" (",Q300))-FIND(" (",Q300)-2),"?"),"")</f>
      </c>
      <c r="BR300" s="129">
        <f>IF(BQ300="","",IF(COUNTIF($BQ$3:BQ300,BQ300)=1,MAX($BR$2:BR299)+1,""))</f>
      </c>
      <c r="BS300" s="129">
        <f>IF(AW300="","",COUNTIF($AW$3:AW300,"?*"))</f>
      </c>
      <c r="BT300" s="129">
        <f>IF(OR(AW300="",AI300=""),"",IF(COUNTIFS($AW$3:AW300,"?*",$AI$3:AI300,AI300)=1,MAX($BT$2:BT299)+1,""))</f>
      </c>
      <c r="BU300" s="129">
        <f>IF(AE300="",0,IF(OR(ISNUMBER(SEARCH("дубль",AE300)),ISNUMBER(SEARCH("ПЕРЕГРУЗ",AE300)),ISNUMBER(SEARCH("ЗАЩИЩ",AE300)),ISNUMBER(SEARCH("КАНАЛ",AE300)),ISNUMBER(SEARCH("без 30",AE300))),2,1))</f>
      </c>
      <c r="BV300" s="129">
        <f>IF(R300="","",COUNTIF($R$3:R300,"?*"))</f>
      </c>
      <c r="BW300" s="129">
        <f>IF(AY300&lt;&gt;1,0,IF(MAX(IFERROR(--VLOOKUP(R300,УГО_спр,5,FALSE),0),IFERROR(--VLOOKUP(AL300,УГО_спр,5,FALSE),0),IFERROR(--VLOOKUP(LEFT(AL300,2),УГО_спр,5,FALSE),0))&gt;0,MAX(IFERROR(--VLOOKUP(R300,УГО_спр,5,FALSE),0),IFERROR(--VLOOKUP(AL300,УГО_спр,5,FALSE),0),IFERROR(--VLOOKUP(LEFT(AL300,2),УГО_спр,5,FALSE),0)),IF(IFERROR(--LEFT(SUBSTITUTE(BQ300,"x","х"),FIND("х",SUBSTITUTE(BQ300,"x","х"))-1),3)&gt;3,Каталог!$S$9,1)))</f>
      </c>
      <c r="BX300" s="129">
        <f>IF(AY300&lt;&gt;1,0,MAX(0,IFERROR(--LEFT(SUBSTITUTE(BQ300,"x","х"),FIND("х",SUBSTITUTE(BQ300,"x","х"))-1),3)-3*BW300))</f>
      </c>
      <c r="BY300" s="129">
        <f>IF(R300="","",IFERROR(VLOOKUP(R300,УГО_спр,2,FALSE),IFERROR(VLOOKUP(AL300,УГО_спр,2,FALSE),IFERROR(VLOOKUP(LEFT(AL300,2),УГО_спр,2,FALSE),""))))</f>
      </c>
    </row>
    <row r="301" spans="1:64" x14ac:dyDescent="0.3">
      <c r="A301" s="135">
        <f>IF(Разбивка_по_щитам!F301=0,"",Разбивка_по_щитам!F301)</f>
      </c>
      <c r="B301" s="138">
        <f>IF(A301="","",Разбивка_по_щитам!C301)</f>
      </c>
      <c r="C301" s="138">
        <f t="shared" si="170"/>
      </c>
      <c r="D301" s="266"/>
      <c r="E301" s="266"/>
      <c r="F301" s="267"/>
      <c r="G301" s="145">
        <f t="shared" si="171"/>
        <v/>
      </c>
      <c r="H301" s="145">
        <f t="shared" si="172"/>
        <v/>
      </c>
      <c r="I301" s="266"/>
      <c r="J301" s="267"/>
      <c r="K301" s="267"/>
      <c r="L301" s="266"/>
      <c r="M301" s="147">
        <f t="shared" si="173"/>
        <v/>
      </c>
      <c r="N301" s="267"/>
      <c r="O301" s="147">
        <f t="shared" si="174"/>
        <v/>
      </c>
      <c r="P301" s="268">
        <f>IF(AY301=1,"XT"&amp;COUNTIFS($A$3:A301,A301,$AY$3:AY301,1),"")</f>
        <v/>
      </c>
      <c r="Q301" s="152">
        <f>IF(R301="","",IFERROR(SUBSTITUTE(Разбивка_по_щитам!P301,CHAR(10)," "),""))</f>
        <v/>
      </c>
      <c r="R301" s="153">
        <f>IF(OR(Разбивка_по_щитам!H301="",Разбивка_по_щитам!H301=0),"",Разбивка_по_щитам!H301)</f>
        <v/>
      </c>
      <c r="S301" s="154">
        <f>IF(R301="","",IFERROR(Разбивка_по_щитам!J301&amp;"",""))</f>
        <v/>
      </c>
      <c r="T301" s="155">
        <f>IF(R301="","",IFERROR(--Разбивка_по_щитам!L301,""))</f>
        <v/>
      </c>
      <c r="U301" s="155">
        <f>IF(R301="","",IFERROR(--Разбивка_по_щитам!K301,""))</f>
        <v/>
      </c>
      <c r="V301" s="138">
        <f>IF(R301="","",IFERROR(IF(Разбивка_по_щитам!M301=0,"",Разбивка_по_щитам!M301),""))</f>
        <v/>
      </c>
      <c r="W301" s="156">
        <f t="shared" si="175"/>
        <v/>
      </c>
      <c r="X301" s="157">
        <f t="shared" si="176"/>
        <v/>
      </c>
      <c r="Y301" s="266"/>
      <c r="Z301" s="158">
        <f t="shared" si="177"/>
        <v/>
      </c>
      <c r="AA301" s="160">
        <f t="shared" si="178"/>
        <v/>
      </c>
      <c r="AB301" s="160">
        <f>IF(R301="","",IFERROR(LOOKUP(INDEX(Справочная!$I$4:$I$19,MATCH(VLOOKUP(R301,Исходные_данные,22,FALSE),Справочная!$J$4:$J$19,0)+1),{6,10,16,20,25,32,40,50,63,80,100,125}),""))</f>
        <v/>
      </c>
      <c r="AC301" s="160">
        <f t="shared" si="179"/>
        <v/>
      </c>
      <c r="AD301" s="161">
        <f t="shared" si="180"/>
        <v/>
      </c>
      <c r="AE301" s="161">
        <f>IF(AND(R301="",G301=""),"",_xlfn.TEXTJOIN("; ",TRUE,IF(AND(R301&lt;&gt;"",V301=""),"нет фазы",""),IF(AND(R301&lt;&gt;"",N(T301)=0),"нет мощности",""),IF(AND(P301&lt;&gt;"",COUNTIFS($A$3:$A$1000,A301,$P$3:$P$1000,P301)&gt;1),"дубль клеммы "&amp;P301,""),IF(AND(W301&lt;&gt;"",W301&lt;&gt;"ok"),W301,""),IF(X301&lt;&gt;"",X301,""),IF(AND(ISNUMBER(SEARCH("(5х",Q301)),N(AK301)=1),"5 жил на 1 фазе",""),IF(AND(AL301="R",E301&lt;&gt;"",N(AS301)=0),"розетка без 30 мА",""),IF(IFERROR(_xlfn.NUMBERVALUE(MID(Q301,FIND("-",Q301,FIND("L=",Q301))+1,FIND("%",Q301)-FIND("-",Q301,FIND("L=",Q301))-1),","),0)&gt;4,"потери &gt; 4 %","")))</f>
      </c>
      <c r="AF301" s="129">
        <f>IF(E301&lt;&gt;"",COUNTIFS($A$3:A301,A301,$E$3:E301,"?*"),IF(OR(A301&lt;&gt;A300,Y301="вручную"),"",AF300))</f>
      </c>
      <c r="AG301" s="129">
        <f t="shared" si="181"/>
      </c>
      <c r="AH301" s="129">
        <f t="shared" si="182"/>
        <v/>
      </c>
      <c r="AI301" s="129">
        <f t="shared" si="183"/>
        <v/>
      </c>
      <c r="AJ301" s="129">
        <f t="shared" si="184"/>
        <v/>
      </c>
      <c r="AK301" s="129">
        <f t="shared" si="185"/>
        <v/>
      </c>
      <c r="AL301" s="129">
        <f t="shared" si="186"/>
        <v/>
      </c>
      <c r="AM301" s="129">
        <f t="shared" si="187"/>
      </c>
      <c r="AN301" s="129">
        <f t="shared" si="188"/>
      </c>
      <c r="AO301" s="129">
        <f t="shared" si="189"/>
        <v/>
      </c>
      <c r="AP301" s="129">
        <f t="shared" si="190"/>
        <v/>
      </c>
      <c r="AQ301" s="129">
        <f t="shared" si="191"/>
        <v/>
      </c>
      <c r="AR301" s="129">
        <f t="shared" si="192"/>
        <v/>
      </c>
      <c r="AS301" s="129">
        <f t="shared" si="193"/>
        <v/>
      </c>
      <c r="AT301" s="129">
        <f t="shared" si="194"/>
        <v/>
      </c>
      <c r="AU301" s="129">
        <f t="shared" si="195"/>
        <v/>
      </c>
      <c r="AV301" s="129">
        <f t="shared" si="196"/>
        <v/>
      </c>
      <c r="AW301" s="129">
        <f>IF(AV301="","",AV301&amp;"."&amp;COUNTIFS($A$3:A301,A301,$AV$3:AV301,AV301))</f>
        <v/>
      </c>
      <c r="AX301" s="129">
        <f t="shared" si="197"/>
        <v/>
      </c>
      <c r="AY301" s="129">
        <f>IF(N301="б/к",0,IF(OR(ISNUMBER(SEARCH("L=",Разбивка_по_щитам!P301)),N301="+",N301="="),1,0))</f>
      </c>
      <c r="AZ301" s="129">
        <f t="shared" si="198"/>
      </c>
      <c r="BA301" s="129">
        <f t="shared" si="199"/>
      </c>
      <c r="BB301" s="129">
        <f t="shared" si="200"/>
      </c>
      <c r="BD301" s="129">
        <f t="shared" si="201"/>
      </c>
      <c r="BE301" s="129">
        <f t="shared" si="202"/>
      </c>
      <c r="BF301" s="129">
        <f t="shared" si="203"/>
      </c>
      <c r="BG301" s="129">
        <f t="shared" si="204"/>
        <v/>
      </c>
      <c r="BH301" s="129">
        <f t="shared" si="205"/>
        <v/>
      </c>
      <c r="BI301" s="129">
        <f t="shared" si="206"/>
        <v/>
      </c>
      <c r="BJ301" s="129">
        <f t="shared" si="207"/>
        <v/>
      </c>
      <c r="BK301" s="129">
        <f>IF(R301="","",IF(OR(BY301="",BY301=0),"BOX",IFERROR(IF(VLOOKUP(BY301,УГО_блоки,3,FALSE)&amp;""&lt;&gt;"",VLOOKUP(BY301,УГО_блоки,3,FALSE),VLOOKUP(BY301,УГО_блоки,2,FALSE)),BY301)))</f>
      </c>
      <c r="BL301" s="129">
        <f t="shared" si="209"/>
      </c>
      <c r="BM301" s="129">
        <f>IF(H301="","",IF(COUNTIF($H$3:H301,H301)=1,MAX($BM$2:BM300)+1,""))</f>
      </c>
      <c r="BN301" s="129">
        <f>IF(I301="","",IF(COUNTIF($I$3:I301,I301)+COUNTIF($J$2:J300,I301)+COUNTIF($K$2:K300,I301)=1,MAX($BN$2:BP300)+1,""))</f>
      </c>
      <c r="BO301" s="129">
        <f>IF(J301="","",IF(COUNTIF($I$3:I301,J301)+COUNTIF($J$3:J301,J301)+COUNTIF($K$2:K300,J301)=1,MAX($BN$2:BP300,BN301)+1,""))</f>
      </c>
      <c r="BP301" s="129">
        <f>IF(K301="","",IF(COUNTIF($I$3:I301,K301)+COUNTIF($J$3:J301,K301)+COUNTIF($K$3:K301,K301)=1,MAX($BN$2:BP300,BN301,BO301)+1,""))</f>
      </c>
      <c r="BQ301" s="129">
        <f>IF(AY301=1,IFERROR(MID(Q301,FIND(" (",Q301)+2,FIND(")",Q301,FIND(" (",Q301))-FIND(" (",Q301)-2),"?"),"")</f>
      </c>
      <c r="BR301" s="129">
        <f>IF(BQ301="","",IF(COUNTIF($BQ$3:BQ301,BQ301)=1,MAX($BR$2:BR300)+1,""))</f>
      </c>
      <c r="BS301" s="129">
        <f>IF(AW301="","",COUNTIF($AW$3:AW301,"?*"))</f>
      </c>
      <c r="BT301" s="129">
        <f>IF(OR(AW301="",AI301=""),"",IF(COUNTIFS($AW$3:AW301,"?*",$AI$3:AI301,AI301)=1,MAX($BT$2:BT300)+1,""))</f>
      </c>
      <c r="BU301" s="129">
        <f>IF(AE301="",0,IF(OR(ISNUMBER(SEARCH("дубль",AE301)),ISNUMBER(SEARCH("ПЕРЕГРУЗ",AE301)),ISNUMBER(SEARCH("ЗАЩИЩ",AE301)),ISNUMBER(SEARCH("КАНАЛ",AE301)),ISNUMBER(SEARCH("без 30",AE301))),2,1))</f>
      </c>
      <c r="BV301" s="129">
        <f>IF(R301="","",COUNTIF($R$3:R301,"?*"))</f>
      </c>
      <c r="BW301" s="129">
        <f>IF(AY301&lt;&gt;1,0,IF(MAX(IFERROR(--VLOOKUP(R301,УГО_спр,5,FALSE),0),IFERROR(--VLOOKUP(AL301,УГО_спр,5,FALSE),0),IFERROR(--VLOOKUP(LEFT(AL301,2),УГО_спр,5,FALSE),0))&gt;0,MAX(IFERROR(--VLOOKUP(R301,УГО_спр,5,FALSE),0),IFERROR(--VLOOKUP(AL301,УГО_спр,5,FALSE),0),IFERROR(--VLOOKUP(LEFT(AL301,2),УГО_спр,5,FALSE),0)),IF(IFERROR(--LEFT(SUBSTITUTE(BQ301,"x","х"),FIND("х",SUBSTITUTE(BQ301,"x","х"))-1),3)&gt;3,Каталог!$S$9,1)))</f>
      </c>
      <c r="BX301" s="129">
        <f>IF(AY301&lt;&gt;1,0,MAX(0,IFERROR(--LEFT(SUBSTITUTE(BQ301,"x","х"),FIND("х",SUBSTITUTE(BQ301,"x","х"))-1),3)-3*BW301))</f>
      </c>
      <c r="BY301" s="129">
        <f>IF(R301="","",IFERROR(VLOOKUP(R301,УГО_спр,2,FALSE),IFERROR(VLOOKUP(AL301,УГО_спр,2,FALSE),IFERROR(VLOOKUP(LEFT(AL301,2),УГО_спр,2,FALSE),""))))</f>
      </c>
    </row>
    <row r="302" spans="1:64" x14ac:dyDescent="0.3">
      <c r="A302" s="135">
        <f>IF(Разбивка_по_щитам!F302=0,"",Разбивка_по_щитам!F302)</f>
      </c>
      <c r="B302" s="138">
        <f>IF(A302="","",Разбивка_по_щитам!C302)</f>
      </c>
      <c r="C302" s="138">
        <f t="shared" si="170"/>
      </c>
      <c r="D302" s="266"/>
      <c r="E302" s="266"/>
      <c r="F302" s="267"/>
      <c r="G302" s="145">
        <f t="shared" si="171"/>
        <v/>
      </c>
      <c r="H302" s="145">
        <f t="shared" si="172"/>
        <v/>
      </c>
      <c r="I302" s="266"/>
      <c r="J302" s="267"/>
      <c r="K302" s="267"/>
      <c r="L302" s="266"/>
      <c r="M302" s="147">
        <f t="shared" si="173"/>
        <v/>
      </c>
      <c r="N302" s="267"/>
      <c r="O302" s="147">
        <f t="shared" si="174"/>
        <v/>
      </c>
      <c r="P302" s="268">
        <f>IF(AY302=1,"XT"&amp;COUNTIFS($A$3:A302,A302,$AY$3:AY302,1),"")</f>
        <v/>
      </c>
      <c r="Q302" s="152">
        <f>IF(R302="","",IFERROR(SUBSTITUTE(Разбивка_по_щитам!P302,CHAR(10)," "),""))</f>
        <v/>
      </c>
      <c r="R302" s="153">
        <f>IF(OR(Разбивка_по_щитам!H302="",Разбивка_по_щитам!H302=0),"",Разбивка_по_щитам!H302)</f>
        <v/>
      </c>
      <c r="S302" s="154">
        <f>IF(R302="","",IFERROR(Разбивка_по_щитам!J302&amp;"",""))</f>
        <v/>
      </c>
      <c r="T302" s="155">
        <f>IF(R302="","",IFERROR(--Разбивка_по_щитам!L302,""))</f>
        <v/>
      </c>
      <c r="U302" s="155">
        <f>IF(R302="","",IFERROR(--Разбивка_по_щитам!K302,""))</f>
        <v/>
      </c>
      <c r="V302" s="138">
        <f>IF(R302="","",IFERROR(IF(Разбивка_по_щитам!M302=0,"",Разбивка_по_щитам!M302),""))</f>
        <v/>
      </c>
      <c r="W302" s="156">
        <f t="shared" si="175"/>
        <v/>
      </c>
      <c r="X302" s="157">
        <f t="shared" si="176"/>
        <v/>
      </c>
      <c r="Y302" s="266"/>
      <c r="Z302" s="158">
        <f t="shared" si="177"/>
        <v/>
      </c>
      <c r="AA302" s="160">
        <f t="shared" si="178"/>
        <v/>
      </c>
      <c r="AB302" s="160">
        <f>IF(R302="","",IFERROR(LOOKUP(INDEX(Справочная!$I$4:$I$19,MATCH(VLOOKUP(R302,Исходные_данные,22,FALSE),Справочная!$J$4:$J$19,0)+1),{6,10,16,20,25,32,40,50,63,80,100,125}),""))</f>
        <v/>
      </c>
      <c r="AC302" s="160">
        <f t="shared" si="179"/>
        <v/>
      </c>
      <c r="AD302" s="161">
        <f t="shared" si="180"/>
        <v/>
      </c>
      <c r="AE302" s="161">
        <f>IF(AND(R302="",G302=""),"",_xlfn.TEXTJOIN("; ",TRUE,IF(AND(R302&lt;&gt;"",V302=""),"нет фазы",""),IF(AND(R302&lt;&gt;"",N(T302)=0),"нет мощности",""),IF(AND(P302&lt;&gt;"",COUNTIFS($A$3:$A$1000,A302,$P$3:$P$1000,P302)&gt;1),"дубль клеммы "&amp;P302,""),IF(AND(W302&lt;&gt;"",W302&lt;&gt;"ok"),W302,""),IF(X302&lt;&gt;"",X302,""),IF(AND(ISNUMBER(SEARCH("(5х",Q302)),N(AK302)=1),"5 жил на 1 фазе",""),IF(AND(AL302="R",E302&lt;&gt;"",N(AS302)=0),"розетка без 30 мА",""),IF(IFERROR(_xlfn.NUMBERVALUE(MID(Q302,FIND("-",Q302,FIND("L=",Q302))+1,FIND("%",Q302)-FIND("-",Q302,FIND("L=",Q302))-1),","),0)&gt;4,"потери &gt; 4 %","")))</f>
      </c>
      <c r="AF302" s="129">
        <f>IF(E302&lt;&gt;"",COUNTIFS($A$3:A302,A302,$E$3:E302,"?*"),IF(OR(A302&lt;&gt;A301,Y302="вручную"),"",AF301))</f>
      </c>
      <c r="AG302" s="129">
        <f t="shared" si="181"/>
      </c>
      <c r="AH302" s="129">
        <f t="shared" si="182"/>
        <v/>
      </c>
      <c r="AI302" s="129">
        <f t="shared" si="183"/>
        <v/>
      </c>
      <c r="AJ302" s="129">
        <f t="shared" si="184"/>
        <v/>
      </c>
      <c r="AK302" s="129">
        <f t="shared" si="185"/>
        <v/>
      </c>
      <c r="AL302" s="129">
        <f t="shared" si="186"/>
        <v/>
      </c>
      <c r="AM302" s="129">
        <f t="shared" si="187"/>
      </c>
      <c r="AN302" s="129">
        <f t="shared" si="188"/>
      </c>
      <c r="AO302" s="129">
        <f t="shared" si="189"/>
        <v/>
      </c>
      <c r="AP302" s="129">
        <f t="shared" si="190"/>
        <v/>
      </c>
      <c r="AQ302" s="129">
        <f t="shared" si="191"/>
        <v/>
      </c>
      <c r="AR302" s="129">
        <f t="shared" si="192"/>
        <v/>
      </c>
      <c r="AS302" s="129">
        <f t="shared" si="193"/>
        <v/>
      </c>
      <c r="AT302" s="129">
        <f t="shared" si="194"/>
        <v/>
      </c>
      <c r="AU302" s="129">
        <f t="shared" si="195"/>
        <v/>
      </c>
      <c r="AV302" s="129">
        <f t="shared" si="196"/>
        <v/>
      </c>
      <c r="AW302" s="129">
        <f>IF(AV302="","",AV302&amp;"."&amp;COUNTIFS($A$3:A302,A302,$AV$3:AV302,AV302))</f>
        <v/>
      </c>
      <c r="AX302" s="129">
        <f t="shared" si="197"/>
        <v/>
      </c>
      <c r="AY302" s="129">
        <f>IF(N302="б/к",0,IF(OR(ISNUMBER(SEARCH("L=",Разбивка_по_щитам!P302)),N302="+",N302="="),1,0))</f>
      </c>
      <c r="AZ302" s="129">
        <f t="shared" si="198"/>
      </c>
      <c r="BA302" s="129">
        <f t="shared" si="199"/>
      </c>
      <c r="BB302" s="129">
        <f t="shared" si="200"/>
      </c>
      <c r="BD302" s="129">
        <f t="shared" si="201"/>
      </c>
      <c r="BE302" s="129">
        <f t="shared" si="202"/>
      </c>
      <c r="BF302" s="129">
        <f t="shared" si="203"/>
      </c>
      <c r="BG302" s="129">
        <f t="shared" si="204"/>
        <v/>
      </c>
      <c r="BH302" s="129">
        <f t="shared" si="205"/>
        <v/>
      </c>
      <c r="BI302" s="129">
        <f t="shared" si="206"/>
        <v/>
      </c>
      <c r="BJ302" s="129">
        <f t="shared" si="207"/>
        <v/>
      </c>
      <c r="BK302" s="129">
        <f>IF(R302="","",IF(OR(BY302="",BY302=0),"BOX",IFERROR(IF(VLOOKUP(BY302,УГО_блоки,3,FALSE)&amp;""&lt;&gt;"",VLOOKUP(BY302,УГО_блоки,3,FALSE),VLOOKUP(BY302,УГО_блоки,2,FALSE)),BY302)))</f>
      </c>
      <c r="BL302" s="129">
        <f t="shared" si="209"/>
      </c>
      <c r="BM302" s="129">
        <f>IF(H302="","",IF(COUNTIF($H$3:H302,H302)=1,MAX($BM$2:BM301)+1,""))</f>
      </c>
      <c r="BN302" s="129">
        <f>IF(I302="","",IF(COUNTIF($I$3:I302,I302)+COUNTIF($J$2:J301,I302)+COUNTIF($K$2:K301,I302)=1,MAX($BN$2:BP301)+1,""))</f>
      </c>
      <c r="BO302" s="129">
        <f>IF(J302="","",IF(COUNTIF($I$3:I302,J302)+COUNTIF($J$3:J302,J302)+COUNTIF($K$2:K301,J302)=1,MAX($BN$2:BP301,BN302)+1,""))</f>
      </c>
      <c r="BP302" s="129">
        <f>IF(K302="","",IF(COUNTIF($I$3:I302,K302)+COUNTIF($J$3:J302,K302)+COUNTIF($K$3:K302,K302)=1,MAX($BN$2:BP301,BN302,BO302)+1,""))</f>
      </c>
      <c r="BQ302" s="129">
        <f>IF(AY302=1,IFERROR(MID(Q302,FIND(" (",Q302)+2,FIND(")",Q302,FIND(" (",Q302))-FIND(" (",Q302)-2),"?"),"")</f>
      </c>
      <c r="BR302" s="129">
        <f>IF(BQ302="","",IF(COUNTIF($BQ$3:BQ302,BQ302)=1,MAX($BR$2:BR301)+1,""))</f>
      </c>
      <c r="BS302" s="129">
        <f>IF(AW302="","",COUNTIF($AW$3:AW302,"?*"))</f>
      </c>
      <c r="BT302" s="129">
        <f>IF(OR(AW302="",AI302=""),"",IF(COUNTIFS($AW$3:AW302,"?*",$AI$3:AI302,AI302)=1,MAX($BT$2:BT301)+1,""))</f>
      </c>
      <c r="BU302" s="129">
        <f>IF(AE302="",0,IF(OR(ISNUMBER(SEARCH("дубль",AE302)),ISNUMBER(SEARCH("ПЕРЕГРУЗ",AE302)),ISNUMBER(SEARCH("ЗАЩИЩ",AE302)),ISNUMBER(SEARCH("КАНАЛ",AE302)),ISNUMBER(SEARCH("без 30",AE302))),2,1))</f>
      </c>
      <c r="BV302" s="129">
        <f>IF(R302="","",COUNTIF($R$3:R302,"?*"))</f>
      </c>
      <c r="BW302" s="129">
        <f>IF(AY302&lt;&gt;1,0,IF(MAX(IFERROR(--VLOOKUP(R302,УГО_спр,5,FALSE),0),IFERROR(--VLOOKUP(AL302,УГО_спр,5,FALSE),0),IFERROR(--VLOOKUP(LEFT(AL302,2),УГО_спр,5,FALSE),0))&gt;0,MAX(IFERROR(--VLOOKUP(R302,УГО_спр,5,FALSE),0),IFERROR(--VLOOKUP(AL302,УГО_спр,5,FALSE),0),IFERROR(--VLOOKUP(LEFT(AL302,2),УГО_спр,5,FALSE),0)),IF(IFERROR(--LEFT(SUBSTITUTE(BQ302,"x","х"),FIND("х",SUBSTITUTE(BQ302,"x","х"))-1),3)&gt;3,Каталог!$S$9,1)))</f>
      </c>
      <c r="BX302" s="129">
        <f>IF(AY302&lt;&gt;1,0,MAX(0,IFERROR(--LEFT(SUBSTITUTE(BQ302,"x","х"),FIND("х",SUBSTITUTE(BQ302,"x","х"))-1),3)-3*BW302))</f>
      </c>
      <c r="BY302" s="129">
        <f>IF(R302="","",IFERROR(VLOOKUP(R302,УГО_спр,2,FALSE),IFERROR(VLOOKUP(AL302,УГО_спр,2,FALSE),IFERROR(VLOOKUP(LEFT(AL302,2),УГО_спр,2,FALSE),""))))</f>
      </c>
    </row>
    <row r="303" spans="1:64" x14ac:dyDescent="0.3">
      <c r="A303" s="135">
        <f>IF(Разбивка_по_щитам!F303=0,"",Разбивка_по_щитам!F303)</f>
      </c>
      <c r="B303" s="138">
        <f>IF(A303="","",Разбивка_по_щитам!C303)</f>
      </c>
      <c r="C303" s="138">
        <f t="shared" si="170"/>
      </c>
      <c r="D303" s="266"/>
      <c r="E303" s="266"/>
      <c r="F303" s="267"/>
      <c r="G303" s="145">
        <f t="shared" si="171"/>
        <v/>
      </c>
      <c r="H303" s="145">
        <f t="shared" si="172"/>
        <v/>
      </c>
      <c r="I303" s="266"/>
      <c r="J303" s="267"/>
      <c r="K303" s="267"/>
      <c r="L303" s="266"/>
      <c r="M303" s="147">
        <f t="shared" si="173"/>
        <v/>
      </c>
      <c r="N303" s="267"/>
      <c r="O303" s="147">
        <f t="shared" si="174"/>
        <v/>
      </c>
      <c r="P303" s="268">
        <f>IF(AY303=1,"XT"&amp;COUNTIFS($A$3:A303,A303,$AY$3:AY303,1),"")</f>
        <v/>
      </c>
      <c r="Q303" s="152">
        <f>IF(R303="","",IFERROR(SUBSTITUTE(Разбивка_по_щитам!P303,CHAR(10)," "),""))</f>
        <v/>
      </c>
      <c r="R303" s="153">
        <f>IF(OR(Разбивка_по_щитам!H303="",Разбивка_по_щитам!H303=0),"",Разбивка_по_щитам!H303)</f>
        <v/>
      </c>
      <c r="S303" s="154">
        <f>IF(R303="","",IFERROR(Разбивка_по_щитам!J303&amp;"",""))</f>
        <v/>
      </c>
      <c r="T303" s="155">
        <f>IF(R303="","",IFERROR(--Разбивка_по_щитам!L303,""))</f>
        <v/>
      </c>
      <c r="U303" s="155">
        <f>IF(R303="","",IFERROR(--Разбивка_по_щитам!K303,""))</f>
        <v/>
      </c>
      <c r="V303" s="138">
        <f>IF(R303="","",IFERROR(IF(Разбивка_по_щитам!M303=0,"",Разбивка_по_щитам!M303),""))</f>
        <v/>
      </c>
      <c r="W303" s="156">
        <f t="shared" si="175"/>
        <v/>
      </c>
      <c r="X303" s="157">
        <f t="shared" si="176"/>
        <v/>
      </c>
      <c r="Y303" s="266"/>
      <c r="Z303" s="158">
        <f t="shared" si="177"/>
        <v/>
      </c>
      <c r="AA303" s="160">
        <f t="shared" si="178"/>
        <v/>
      </c>
      <c r="AB303" s="160">
        <f>IF(R303="","",IFERROR(LOOKUP(INDEX(Справочная!$I$4:$I$19,MATCH(VLOOKUP(R303,Исходные_данные,22,FALSE),Справочная!$J$4:$J$19,0)+1),{6,10,16,20,25,32,40,50,63,80,100,125}),""))</f>
        <v/>
      </c>
      <c r="AC303" s="160">
        <f t="shared" si="179"/>
        <v/>
      </c>
      <c r="AD303" s="161">
        <f t="shared" si="180"/>
        <v/>
      </c>
      <c r="AE303" s="161">
        <f>IF(AND(R303="",G303=""),"",_xlfn.TEXTJOIN("; ",TRUE,IF(AND(R303&lt;&gt;"",V303=""),"нет фазы",""),IF(AND(R303&lt;&gt;"",N(T303)=0),"нет мощности",""),IF(AND(P303&lt;&gt;"",COUNTIFS($A$3:$A$1000,A303,$P$3:$P$1000,P303)&gt;1),"дубль клеммы "&amp;P303,""),IF(AND(W303&lt;&gt;"",W303&lt;&gt;"ok"),W303,""),IF(X303&lt;&gt;"",X303,""),IF(AND(ISNUMBER(SEARCH("(5х",Q303)),N(AK303)=1),"5 жил на 1 фазе",""),IF(AND(AL303="R",E303&lt;&gt;"",N(AS303)=0),"розетка без 30 мА",""),IF(IFERROR(_xlfn.NUMBERVALUE(MID(Q303,FIND("-",Q303,FIND("L=",Q303))+1,FIND("%",Q303)-FIND("-",Q303,FIND("L=",Q303))-1),","),0)&gt;4,"потери &gt; 4 %","")))</f>
      </c>
      <c r="AF303" s="129">
        <f>IF(E303&lt;&gt;"",COUNTIFS($A$3:A303,A303,$E$3:E303,"?*"),IF(OR(A303&lt;&gt;A302,Y303="вручную"),"",AF302))</f>
      </c>
      <c r="AG303" s="129">
        <f t="shared" si="181"/>
      </c>
      <c r="AH303" s="129">
        <f t="shared" si="182"/>
        <v/>
      </c>
      <c r="AI303" s="129">
        <f t="shared" si="183"/>
        <v/>
      </c>
      <c r="AJ303" s="129">
        <f t="shared" si="184"/>
        <v/>
      </c>
      <c r="AK303" s="129">
        <f t="shared" si="185"/>
        <v/>
      </c>
      <c r="AL303" s="129">
        <f t="shared" si="186"/>
        <v/>
      </c>
      <c r="AM303" s="129">
        <f t="shared" si="187"/>
      </c>
      <c r="AN303" s="129">
        <f t="shared" si="188"/>
      </c>
      <c r="AO303" s="129">
        <f t="shared" si="189"/>
        <v/>
      </c>
      <c r="AP303" s="129">
        <f t="shared" si="190"/>
        <v/>
      </c>
      <c r="AQ303" s="129">
        <f t="shared" si="191"/>
        <v/>
      </c>
      <c r="AR303" s="129">
        <f t="shared" si="192"/>
        <v/>
      </c>
      <c r="AS303" s="129">
        <f t="shared" si="193"/>
        <v/>
      </c>
      <c r="AT303" s="129">
        <f t="shared" si="194"/>
        <v/>
      </c>
      <c r="AU303" s="129">
        <f t="shared" si="195"/>
        <v/>
      </c>
      <c r="AV303" s="129">
        <f t="shared" si="196"/>
        <v/>
      </c>
      <c r="AW303" s="129">
        <f>IF(AV303="","",AV303&amp;"."&amp;COUNTIFS($A$3:A303,A303,$AV$3:AV303,AV303))</f>
        <v/>
      </c>
      <c r="AX303" s="129">
        <f t="shared" si="197"/>
        <v/>
      </c>
      <c r="AY303" s="129">
        <f>IF(N303="б/к",0,IF(OR(ISNUMBER(SEARCH("L=",Разбивка_по_щитам!P303)),N303="+",N303="="),1,0))</f>
      </c>
      <c r="AZ303" s="129">
        <f t="shared" si="198"/>
      </c>
      <c r="BA303" s="129">
        <f t="shared" si="199"/>
      </c>
      <c r="BB303" s="129">
        <f t="shared" si="200"/>
      </c>
      <c r="BD303" s="129">
        <f t="shared" si="201"/>
      </c>
      <c r="BE303" s="129">
        <f t="shared" si="202"/>
      </c>
      <c r="BF303" s="129">
        <f t="shared" si="203"/>
      </c>
      <c r="BG303" s="129">
        <f t="shared" si="204"/>
        <v/>
      </c>
      <c r="BH303" s="129">
        <f t="shared" si="205"/>
        <v/>
      </c>
      <c r="BI303" s="129">
        <f t="shared" si="206"/>
        <v/>
      </c>
      <c r="BJ303" s="129">
        <f t="shared" si="207"/>
        <v/>
      </c>
      <c r="BK303" s="129">
        <f>IF(R303="","",IF(OR(BY303="",BY303=0),"BOX",IFERROR(IF(VLOOKUP(BY303,УГО_блоки,3,FALSE)&amp;""&lt;&gt;"",VLOOKUP(BY303,УГО_блоки,3,FALSE),VLOOKUP(BY303,УГО_блоки,2,FALSE)),BY303)))</f>
      </c>
      <c r="BL303" s="129">
        <f t="shared" si="209"/>
      </c>
      <c r="BM303" s="129">
        <f>IF(H303="","",IF(COUNTIF($H$3:H303,H303)=1,MAX($BM$2:BM302)+1,""))</f>
      </c>
      <c r="BN303" s="129">
        <f>IF(I303="","",IF(COUNTIF($I$3:I303,I303)+COUNTIF($J$2:J302,I303)+COUNTIF($K$2:K302,I303)=1,MAX($BN$2:BP302)+1,""))</f>
      </c>
      <c r="BO303" s="129">
        <f>IF(J303="","",IF(COUNTIF($I$3:I303,J303)+COUNTIF($J$3:J303,J303)+COUNTIF($K$2:K302,J303)=1,MAX($BN$2:BP302,BN303)+1,""))</f>
      </c>
      <c r="BP303" s="129">
        <f>IF(K303="","",IF(COUNTIF($I$3:I303,K303)+COUNTIF($J$3:J303,K303)+COUNTIF($K$3:K303,K303)=1,MAX($BN$2:BP302,BN303,BO303)+1,""))</f>
      </c>
      <c r="BQ303" s="129">
        <f>IF(AY303=1,IFERROR(MID(Q303,FIND(" (",Q303)+2,FIND(")",Q303,FIND(" (",Q303))-FIND(" (",Q303)-2),"?"),"")</f>
      </c>
      <c r="BR303" s="129">
        <f>IF(BQ303="","",IF(COUNTIF($BQ$3:BQ303,BQ303)=1,MAX($BR$2:BR302)+1,""))</f>
      </c>
      <c r="BS303" s="129">
        <f>IF(AW303="","",COUNTIF($AW$3:AW303,"?*"))</f>
      </c>
      <c r="BT303" s="129">
        <f>IF(OR(AW303="",AI303=""),"",IF(COUNTIFS($AW$3:AW303,"?*",$AI$3:AI303,AI303)=1,MAX($BT$2:BT302)+1,""))</f>
      </c>
      <c r="BU303" s="129">
        <f>IF(AE303="",0,IF(OR(ISNUMBER(SEARCH("дубль",AE303)),ISNUMBER(SEARCH("ПЕРЕГРУЗ",AE303)),ISNUMBER(SEARCH("ЗАЩИЩ",AE303)),ISNUMBER(SEARCH("КАНАЛ",AE303)),ISNUMBER(SEARCH("без 30",AE303))),2,1))</f>
      </c>
      <c r="BV303" s="129">
        <f>IF(R303="","",COUNTIF($R$3:R303,"?*"))</f>
      </c>
      <c r="BW303" s="129">
        <f>IF(AY303&lt;&gt;1,0,IF(MAX(IFERROR(--VLOOKUP(R303,УГО_спр,5,FALSE),0),IFERROR(--VLOOKUP(AL303,УГО_спр,5,FALSE),0),IFERROR(--VLOOKUP(LEFT(AL303,2),УГО_спр,5,FALSE),0))&gt;0,MAX(IFERROR(--VLOOKUP(R303,УГО_спр,5,FALSE),0),IFERROR(--VLOOKUP(AL303,УГО_спр,5,FALSE),0),IFERROR(--VLOOKUP(LEFT(AL303,2),УГО_спр,5,FALSE),0)),IF(IFERROR(--LEFT(SUBSTITUTE(BQ303,"x","х"),FIND("х",SUBSTITUTE(BQ303,"x","х"))-1),3)&gt;3,Каталог!$S$9,1)))</f>
      </c>
      <c r="BX303" s="129">
        <f>IF(AY303&lt;&gt;1,0,MAX(0,IFERROR(--LEFT(SUBSTITUTE(BQ303,"x","х"),FIND("х",SUBSTITUTE(BQ303,"x","х"))-1),3)-3*BW303))</f>
      </c>
      <c r="BY303" s="129">
        <f>IF(R303="","",IFERROR(VLOOKUP(R303,УГО_спр,2,FALSE),IFERROR(VLOOKUP(AL303,УГО_спр,2,FALSE),IFERROR(VLOOKUP(LEFT(AL303,2),УГО_спр,2,FALSE),""))))</f>
      </c>
    </row>
    <row r="304" spans="1:64" x14ac:dyDescent="0.3">
      <c r="A304" s="135">
        <f>IF(Разбивка_по_щитам!F304=0,"",Разбивка_по_щитам!F304)</f>
      </c>
      <c r="B304" s="138">
        <f>IF(A304="","",Разбивка_по_щитам!C304)</f>
      </c>
      <c r="C304" s="138">
        <f t="shared" si="170"/>
      </c>
      <c r="D304" s="266"/>
      <c r="E304" s="266"/>
      <c r="F304" s="267"/>
      <c r="G304" s="145">
        <f t="shared" si="171"/>
        <v/>
      </c>
      <c r="H304" s="145">
        <f t="shared" si="172"/>
        <v/>
      </c>
      <c r="I304" s="266"/>
      <c r="J304" s="267"/>
      <c r="K304" s="267"/>
      <c r="L304" s="266"/>
      <c r="M304" s="147">
        <f t="shared" si="173"/>
        <v/>
      </c>
      <c r="N304" s="267"/>
      <c r="O304" s="147">
        <f t="shared" si="174"/>
        <v/>
      </c>
      <c r="P304" s="268">
        <f>IF(AY304=1,"XT"&amp;COUNTIFS($A$3:A304,A304,$AY$3:AY304,1),"")</f>
        <v/>
      </c>
      <c r="Q304" s="152">
        <f>IF(R304="","",IFERROR(SUBSTITUTE(Разбивка_по_щитам!P304,CHAR(10)," "),""))</f>
        <v/>
      </c>
      <c r="R304" s="153">
        <f>IF(OR(Разбивка_по_щитам!H304="",Разбивка_по_щитам!H304=0),"",Разбивка_по_щитам!H304)</f>
        <v/>
      </c>
      <c r="S304" s="154">
        <f>IF(R304="","",IFERROR(Разбивка_по_щитам!J304&amp;"",""))</f>
        <v/>
      </c>
      <c r="T304" s="155">
        <f>IF(R304="","",IFERROR(--Разбивка_по_щитам!L304,""))</f>
        <v/>
      </c>
      <c r="U304" s="155">
        <f>IF(R304="","",IFERROR(--Разбивка_по_щитам!K304,""))</f>
        <v/>
      </c>
      <c r="V304" s="138">
        <f>IF(R304="","",IFERROR(IF(Разбивка_по_щитам!M304=0,"",Разбивка_по_щитам!M304),""))</f>
        <v/>
      </c>
      <c r="W304" s="156">
        <f t="shared" si="175"/>
        <v/>
      </c>
      <c r="X304" s="157">
        <f t="shared" si="176"/>
        <v/>
      </c>
      <c r="Y304" s="266"/>
      <c r="Z304" s="158">
        <f t="shared" si="177"/>
        <v/>
      </c>
      <c r="AA304" s="160">
        <f t="shared" si="178"/>
        <v/>
      </c>
      <c r="AB304" s="160">
        <f>IF(R304="","",IFERROR(LOOKUP(INDEX(Справочная!$I$4:$I$19,MATCH(VLOOKUP(R304,Исходные_данные,22,FALSE),Справочная!$J$4:$J$19,0)+1),{6,10,16,20,25,32,40,50,63,80,100,125}),""))</f>
        <v/>
      </c>
      <c r="AC304" s="160">
        <f t="shared" si="179"/>
        <v/>
      </c>
      <c r="AD304" s="161">
        <f t="shared" si="180"/>
        <v/>
      </c>
      <c r="AE304" s="161">
        <f>IF(AND(R304="",G304=""),"",_xlfn.TEXTJOIN("; ",TRUE,IF(AND(R304&lt;&gt;"",V304=""),"нет фазы",""),IF(AND(R304&lt;&gt;"",N(T304)=0),"нет мощности",""),IF(AND(P304&lt;&gt;"",COUNTIFS($A$3:$A$1000,A304,$P$3:$P$1000,P304)&gt;1),"дубль клеммы "&amp;P304,""),IF(AND(W304&lt;&gt;"",W304&lt;&gt;"ok"),W304,""),IF(X304&lt;&gt;"",X304,""),IF(AND(ISNUMBER(SEARCH("(5х",Q304)),N(AK304)=1),"5 жил на 1 фазе",""),IF(AND(AL304="R",E304&lt;&gt;"",N(AS304)=0),"розетка без 30 мА",""),IF(IFERROR(_xlfn.NUMBERVALUE(MID(Q304,FIND("-",Q304,FIND("L=",Q304))+1,FIND("%",Q304)-FIND("-",Q304,FIND("L=",Q304))-1),","),0)&gt;4,"потери &gt; 4 %","")))</f>
      </c>
      <c r="AF304" s="129">
        <f>IF(E304&lt;&gt;"",COUNTIFS($A$3:A304,A304,$E$3:E304,"?*"),IF(OR(A304&lt;&gt;A303,Y304="вручную"),"",AF303))</f>
      </c>
      <c r="AG304" s="129">
        <f t="shared" si="181"/>
      </c>
      <c r="AH304" s="129">
        <f t="shared" si="182"/>
        <v/>
      </c>
      <c r="AI304" s="129">
        <f t="shared" si="183"/>
        <v/>
      </c>
      <c r="AJ304" s="129">
        <f t="shared" si="184"/>
        <v/>
      </c>
      <c r="AK304" s="129">
        <f t="shared" si="185"/>
        <v/>
      </c>
      <c r="AL304" s="129">
        <f t="shared" si="186"/>
        <v/>
      </c>
      <c r="AM304" s="129">
        <f t="shared" si="187"/>
      </c>
      <c r="AN304" s="129">
        <f t="shared" si="188"/>
      </c>
      <c r="AO304" s="129">
        <f t="shared" si="189"/>
        <v/>
      </c>
      <c r="AP304" s="129">
        <f t="shared" si="190"/>
        <v/>
      </c>
      <c r="AQ304" s="129">
        <f t="shared" si="191"/>
        <v/>
      </c>
      <c r="AR304" s="129">
        <f t="shared" si="192"/>
        <v/>
      </c>
      <c r="AS304" s="129">
        <f t="shared" si="193"/>
        <v/>
      </c>
      <c r="AT304" s="129">
        <f t="shared" si="194"/>
        <v/>
      </c>
      <c r="AU304" s="129">
        <f t="shared" si="195"/>
        <v/>
      </c>
      <c r="AV304" s="129">
        <f t="shared" si="196"/>
        <v/>
      </c>
      <c r="AW304" s="129">
        <f>IF(AV304="","",AV304&amp;"."&amp;COUNTIFS($A$3:A304,A304,$AV$3:AV304,AV304))</f>
        <v/>
      </c>
      <c r="AX304" s="129">
        <f t="shared" si="197"/>
        <v/>
      </c>
      <c r="AY304" s="129">
        <f>IF(N304="б/к",0,IF(OR(ISNUMBER(SEARCH("L=",Разбивка_по_щитам!P304)),N304="+",N304="="),1,0))</f>
      </c>
      <c r="AZ304" s="129">
        <f t="shared" si="198"/>
      </c>
      <c r="BA304" s="129">
        <f t="shared" si="199"/>
      </c>
      <c r="BB304" s="129">
        <f t="shared" si="200"/>
      </c>
      <c r="BD304" s="129">
        <f t="shared" si="201"/>
      </c>
      <c r="BE304" s="129">
        <f t="shared" si="202"/>
      </c>
      <c r="BF304" s="129">
        <f t="shared" si="203"/>
      </c>
      <c r="BG304" s="129">
        <f t="shared" si="204"/>
        <v/>
      </c>
      <c r="BH304" s="129">
        <f t="shared" si="205"/>
        <v/>
      </c>
      <c r="BI304" s="129">
        <f t="shared" si="206"/>
        <v/>
      </c>
      <c r="BJ304" s="129">
        <f t="shared" si="207"/>
        <v/>
      </c>
      <c r="BK304" s="129">
        <f>IF(R304="","",IF(OR(BY304="",BY304=0),"BOX",IFERROR(IF(VLOOKUP(BY304,УГО_блоки,3,FALSE)&amp;""&lt;&gt;"",VLOOKUP(BY304,УГО_блоки,3,FALSE),VLOOKUP(BY304,УГО_блоки,2,FALSE)),BY304)))</f>
      </c>
      <c r="BL304" s="129">
        <f t="shared" si="209"/>
      </c>
      <c r="BM304" s="129">
        <f>IF(H304="","",IF(COUNTIF($H$3:H304,H304)=1,MAX($BM$2:BM303)+1,""))</f>
      </c>
      <c r="BN304" s="129">
        <f>IF(I304="","",IF(COUNTIF($I$3:I304,I304)+COUNTIF($J$2:J303,I304)+COUNTIF($K$2:K303,I304)=1,MAX($BN$2:BP303)+1,""))</f>
      </c>
      <c r="BO304" s="129">
        <f>IF(J304="","",IF(COUNTIF($I$3:I304,J304)+COUNTIF($J$3:J304,J304)+COUNTIF($K$2:K303,J304)=1,MAX($BN$2:BP303,BN304)+1,""))</f>
      </c>
      <c r="BP304" s="129">
        <f>IF(K304="","",IF(COUNTIF($I$3:I304,K304)+COUNTIF($J$3:J304,K304)+COUNTIF($K$3:K304,K304)=1,MAX($BN$2:BP303,BN304,BO304)+1,""))</f>
      </c>
      <c r="BQ304" s="129">
        <f>IF(AY304=1,IFERROR(MID(Q304,FIND(" (",Q304)+2,FIND(")",Q304,FIND(" (",Q304))-FIND(" (",Q304)-2),"?"),"")</f>
      </c>
      <c r="BR304" s="129">
        <f>IF(BQ304="","",IF(COUNTIF($BQ$3:BQ304,BQ304)=1,MAX($BR$2:BR303)+1,""))</f>
      </c>
      <c r="BS304" s="129">
        <f>IF(AW304="","",COUNTIF($AW$3:AW304,"?*"))</f>
      </c>
      <c r="BT304" s="129">
        <f>IF(OR(AW304="",AI304=""),"",IF(COUNTIFS($AW$3:AW304,"?*",$AI$3:AI304,AI304)=1,MAX($BT$2:BT303)+1,""))</f>
      </c>
      <c r="BU304" s="129">
        <f>IF(AE304="",0,IF(OR(ISNUMBER(SEARCH("дубль",AE304)),ISNUMBER(SEARCH("ПЕРЕГРУЗ",AE304)),ISNUMBER(SEARCH("ЗАЩИЩ",AE304)),ISNUMBER(SEARCH("КАНАЛ",AE304)),ISNUMBER(SEARCH("без 30",AE304))),2,1))</f>
      </c>
      <c r="BV304" s="129">
        <f>IF(R304="","",COUNTIF($R$3:R304,"?*"))</f>
      </c>
      <c r="BW304" s="129">
        <f>IF(AY304&lt;&gt;1,0,IF(MAX(IFERROR(--VLOOKUP(R304,УГО_спр,5,FALSE),0),IFERROR(--VLOOKUP(AL304,УГО_спр,5,FALSE),0),IFERROR(--VLOOKUP(LEFT(AL304,2),УГО_спр,5,FALSE),0))&gt;0,MAX(IFERROR(--VLOOKUP(R304,УГО_спр,5,FALSE),0),IFERROR(--VLOOKUP(AL304,УГО_спр,5,FALSE),0),IFERROR(--VLOOKUP(LEFT(AL304,2),УГО_спр,5,FALSE),0)),IF(IFERROR(--LEFT(SUBSTITUTE(BQ304,"x","х"),FIND("х",SUBSTITUTE(BQ304,"x","х"))-1),3)&gt;3,Каталог!$S$9,1)))</f>
      </c>
      <c r="BX304" s="129">
        <f>IF(AY304&lt;&gt;1,0,MAX(0,IFERROR(--LEFT(SUBSTITUTE(BQ304,"x","х"),FIND("х",SUBSTITUTE(BQ304,"x","х"))-1),3)-3*BW304))</f>
      </c>
      <c r="BY304" s="129">
        <f>IF(R304="","",IFERROR(VLOOKUP(R304,УГО_спр,2,FALSE),IFERROR(VLOOKUP(AL304,УГО_спр,2,FALSE),IFERROR(VLOOKUP(LEFT(AL304,2),УГО_спр,2,FALSE),""))))</f>
      </c>
    </row>
    <row r="305" spans="1:64" x14ac:dyDescent="0.3">
      <c r="A305" s="135">
        <f>IF(Разбивка_по_щитам!F305=0,"",Разбивка_по_щитам!F305)</f>
      </c>
      <c r="B305" s="138">
        <f>IF(A305="","",Разбивка_по_щитам!C305)</f>
      </c>
      <c r="C305" s="138">
        <f t="shared" si="170"/>
      </c>
      <c r="D305" s="266"/>
      <c r="E305" s="266"/>
      <c r="F305" s="267"/>
      <c r="G305" s="145">
        <f t="shared" si="171"/>
        <v/>
      </c>
      <c r="H305" s="145">
        <f t="shared" si="172"/>
        <v/>
      </c>
      <c r="I305" s="266"/>
      <c r="J305" s="267"/>
      <c r="K305" s="267"/>
      <c r="L305" s="266"/>
      <c r="M305" s="147">
        <f t="shared" si="173"/>
        <v/>
      </c>
      <c r="N305" s="267"/>
      <c r="O305" s="147">
        <f t="shared" si="174"/>
        <v/>
      </c>
      <c r="P305" s="268">
        <f>IF(AY305=1,"XT"&amp;COUNTIFS($A$3:A305,A305,$AY$3:AY305,1),"")</f>
        <v/>
      </c>
      <c r="Q305" s="152">
        <f>IF(R305="","",IFERROR(SUBSTITUTE(Разбивка_по_щитам!P305,CHAR(10)," "),""))</f>
        <v/>
      </c>
      <c r="R305" s="153">
        <f>IF(OR(Разбивка_по_щитам!H305="",Разбивка_по_щитам!H305=0),"",Разбивка_по_щитам!H305)</f>
        <v/>
      </c>
      <c r="S305" s="154">
        <f>IF(R305="","",IFERROR(Разбивка_по_щитам!J305&amp;"",""))</f>
        <v/>
      </c>
      <c r="T305" s="155">
        <f>IF(R305="","",IFERROR(--Разбивка_по_щитам!L305,""))</f>
        <v/>
      </c>
      <c r="U305" s="155">
        <f>IF(R305="","",IFERROR(--Разбивка_по_щитам!K305,""))</f>
        <v/>
      </c>
      <c r="V305" s="138">
        <f>IF(R305="","",IFERROR(IF(Разбивка_по_щитам!M305=0,"",Разбивка_по_щитам!M305),""))</f>
        <v/>
      </c>
      <c r="W305" s="156">
        <f t="shared" si="175"/>
        <v/>
      </c>
      <c r="X305" s="157">
        <f t="shared" si="176"/>
        <v/>
      </c>
      <c r="Y305" s="266"/>
      <c r="Z305" s="158">
        <f t="shared" si="177"/>
        <v/>
      </c>
      <c r="AA305" s="160">
        <f t="shared" si="178"/>
        <v/>
      </c>
      <c r="AB305" s="160">
        <f>IF(R305="","",IFERROR(LOOKUP(INDEX(Справочная!$I$4:$I$19,MATCH(VLOOKUP(R305,Исходные_данные,22,FALSE),Справочная!$J$4:$J$19,0)+1),{6,10,16,20,25,32,40,50,63,80,100,125}),""))</f>
        <v/>
      </c>
      <c r="AC305" s="160">
        <f t="shared" si="179"/>
        <v/>
      </c>
      <c r="AD305" s="161">
        <f t="shared" si="180"/>
        <v/>
      </c>
      <c r="AE305" s="161">
        <f>IF(AND(R305="",G305=""),"",_xlfn.TEXTJOIN("; ",TRUE,IF(AND(R305&lt;&gt;"",V305=""),"нет фазы",""),IF(AND(R305&lt;&gt;"",N(T305)=0),"нет мощности",""),IF(AND(P305&lt;&gt;"",COUNTIFS($A$3:$A$1000,A305,$P$3:$P$1000,P305)&gt;1),"дубль клеммы "&amp;P305,""),IF(AND(W305&lt;&gt;"",W305&lt;&gt;"ok"),W305,""),IF(X305&lt;&gt;"",X305,""),IF(AND(ISNUMBER(SEARCH("(5х",Q305)),N(AK305)=1),"5 жил на 1 фазе",""),IF(AND(AL305="R",E305&lt;&gt;"",N(AS305)=0),"розетка без 30 мА",""),IF(IFERROR(_xlfn.NUMBERVALUE(MID(Q305,FIND("-",Q305,FIND("L=",Q305))+1,FIND("%",Q305)-FIND("-",Q305,FIND("L=",Q305))-1),","),0)&gt;4,"потери &gt; 4 %","")))</f>
      </c>
      <c r="AF305" s="129">
        <f>IF(E305&lt;&gt;"",COUNTIFS($A$3:A305,A305,$E$3:E305,"?*"),IF(OR(A305&lt;&gt;A304,Y305="вручную"),"",AF304))</f>
      </c>
      <c r="AG305" s="129">
        <f t="shared" si="181"/>
      </c>
      <c r="AH305" s="129">
        <f t="shared" si="182"/>
        <v/>
      </c>
      <c r="AI305" s="129">
        <f t="shared" si="183"/>
        <v/>
      </c>
      <c r="AJ305" s="129">
        <f t="shared" si="184"/>
        <v/>
      </c>
      <c r="AK305" s="129">
        <f t="shared" si="185"/>
        <v/>
      </c>
      <c r="AL305" s="129">
        <f t="shared" si="186"/>
        <v/>
      </c>
      <c r="AM305" s="129">
        <f t="shared" si="187"/>
      </c>
      <c r="AN305" s="129">
        <f t="shared" si="188"/>
      </c>
      <c r="AO305" s="129">
        <f t="shared" si="189"/>
        <v/>
      </c>
      <c r="AP305" s="129">
        <f t="shared" si="190"/>
        <v/>
      </c>
      <c r="AQ305" s="129">
        <f t="shared" si="191"/>
        <v/>
      </c>
      <c r="AR305" s="129">
        <f t="shared" si="192"/>
        <v/>
      </c>
      <c r="AS305" s="129">
        <f t="shared" si="193"/>
        <v/>
      </c>
      <c r="AT305" s="129">
        <f t="shared" si="194"/>
        <v/>
      </c>
      <c r="AU305" s="129">
        <f t="shared" si="195"/>
        <v/>
      </c>
      <c r="AV305" s="129">
        <f t="shared" si="196"/>
        <v/>
      </c>
      <c r="AW305" s="129">
        <f>IF(AV305="","",AV305&amp;"."&amp;COUNTIFS($A$3:A305,A305,$AV$3:AV305,AV305))</f>
        <v/>
      </c>
      <c r="AX305" s="129">
        <f t="shared" si="197"/>
        <v/>
      </c>
      <c r="AY305" s="129">
        <f>IF(N305="б/к",0,IF(OR(ISNUMBER(SEARCH("L=",Разбивка_по_щитам!P305)),N305="+",N305="="),1,0))</f>
      </c>
      <c r="AZ305" s="129">
        <f t="shared" si="198"/>
      </c>
      <c r="BA305" s="129">
        <f t="shared" si="199"/>
      </c>
      <c r="BB305" s="129">
        <f t="shared" si="200"/>
      </c>
      <c r="BD305" s="129">
        <f t="shared" si="201"/>
      </c>
      <c r="BE305" s="129">
        <f t="shared" si="202"/>
      </c>
      <c r="BF305" s="129">
        <f t="shared" si="203"/>
      </c>
      <c r="BG305" s="129">
        <f t="shared" si="204"/>
        <v/>
      </c>
      <c r="BH305" s="129">
        <f t="shared" si="205"/>
        <v/>
      </c>
      <c r="BI305" s="129">
        <f t="shared" si="206"/>
        <v/>
      </c>
      <c r="BJ305" s="129">
        <f t="shared" si="207"/>
        <v/>
      </c>
      <c r="BK305" s="129">
        <f>IF(R305="","",IF(OR(BY305="",BY305=0),"BOX",IFERROR(IF(VLOOKUP(BY305,УГО_блоки,3,FALSE)&amp;""&lt;&gt;"",VLOOKUP(BY305,УГО_блоки,3,FALSE),VLOOKUP(BY305,УГО_блоки,2,FALSE)),BY305)))</f>
      </c>
      <c r="BL305" s="129">
        <f t="shared" si="209"/>
      </c>
      <c r="BM305" s="129">
        <f>IF(H305="","",IF(COUNTIF($H$3:H305,H305)=1,MAX($BM$2:BM304)+1,""))</f>
      </c>
      <c r="BN305" s="129">
        <f>IF(I305="","",IF(COUNTIF($I$3:I305,I305)+COUNTIF($J$2:J304,I305)+COUNTIF($K$2:K304,I305)=1,MAX($BN$2:BP304)+1,""))</f>
      </c>
      <c r="BO305" s="129">
        <f>IF(J305="","",IF(COUNTIF($I$3:I305,J305)+COUNTIF($J$3:J305,J305)+COUNTIF($K$2:K304,J305)=1,MAX($BN$2:BP304,BN305)+1,""))</f>
      </c>
      <c r="BP305" s="129">
        <f>IF(K305="","",IF(COUNTIF($I$3:I305,K305)+COUNTIF($J$3:J305,K305)+COUNTIF($K$3:K305,K305)=1,MAX($BN$2:BP304,BN305,BO305)+1,""))</f>
      </c>
      <c r="BQ305" s="129">
        <f>IF(AY305=1,IFERROR(MID(Q305,FIND(" (",Q305)+2,FIND(")",Q305,FIND(" (",Q305))-FIND(" (",Q305)-2),"?"),"")</f>
      </c>
      <c r="BR305" s="129">
        <f>IF(BQ305="","",IF(COUNTIF($BQ$3:BQ305,BQ305)=1,MAX($BR$2:BR304)+1,""))</f>
      </c>
      <c r="BS305" s="129">
        <f>IF(AW305="","",COUNTIF($AW$3:AW305,"?*"))</f>
      </c>
      <c r="BT305" s="129">
        <f>IF(OR(AW305="",AI305=""),"",IF(COUNTIFS($AW$3:AW305,"?*",$AI$3:AI305,AI305)=1,MAX($BT$2:BT304)+1,""))</f>
      </c>
      <c r="BU305" s="129">
        <f>IF(AE305="",0,IF(OR(ISNUMBER(SEARCH("дубль",AE305)),ISNUMBER(SEARCH("ПЕРЕГРУЗ",AE305)),ISNUMBER(SEARCH("ЗАЩИЩ",AE305)),ISNUMBER(SEARCH("КАНАЛ",AE305)),ISNUMBER(SEARCH("без 30",AE305))),2,1))</f>
      </c>
      <c r="BV305" s="129">
        <f>IF(R305="","",COUNTIF($R$3:R305,"?*"))</f>
      </c>
      <c r="BW305" s="129">
        <f>IF(AY305&lt;&gt;1,0,IF(MAX(IFERROR(--VLOOKUP(R305,УГО_спр,5,FALSE),0),IFERROR(--VLOOKUP(AL305,УГО_спр,5,FALSE),0),IFERROR(--VLOOKUP(LEFT(AL305,2),УГО_спр,5,FALSE),0))&gt;0,MAX(IFERROR(--VLOOKUP(R305,УГО_спр,5,FALSE),0),IFERROR(--VLOOKUP(AL305,УГО_спр,5,FALSE),0),IFERROR(--VLOOKUP(LEFT(AL305,2),УГО_спр,5,FALSE),0)),IF(IFERROR(--LEFT(SUBSTITUTE(BQ305,"x","х"),FIND("х",SUBSTITUTE(BQ305,"x","х"))-1),3)&gt;3,Каталог!$S$9,1)))</f>
      </c>
      <c r="BX305" s="129">
        <f>IF(AY305&lt;&gt;1,0,MAX(0,IFERROR(--LEFT(SUBSTITUTE(BQ305,"x","х"),FIND("х",SUBSTITUTE(BQ305,"x","х"))-1),3)-3*BW305))</f>
      </c>
      <c r="BY305" s="129">
        <f>IF(R305="","",IFERROR(VLOOKUP(R305,УГО_спр,2,FALSE),IFERROR(VLOOKUP(AL305,УГО_спр,2,FALSE),IFERROR(VLOOKUP(LEFT(AL305,2),УГО_спр,2,FALSE),""))))</f>
      </c>
    </row>
    <row r="306" spans="1:64" x14ac:dyDescent="0.3">
      <c r="A306" s="135">
        <f>IF(Разбивка_по_щитам!F306=0,"",Разбивка_по_щитам!F306)</f>
      </c>
      <c r="B306" s="138">
        <f>IF(A306="","",Разбивка_по_щитам!C306)</f>
      </c>
      <c r="C306" s="138">
        <f t="shared" si="170"/>
      </c>
      <c r="D306" s="266"/>
      <c r="E306" s="266"/>
      <c r="F306" s="267"/>
      <c r="G306" s="145">
        <f t="shared" si="171"/>
        <v/>
      </c>
      <c r="H306" s="145">
        <f t="shared" si="172"/>
        <v/>
      </c>
      <c r="I306" s="266"/>
      <c r="J306" s="267"/>
      <c r="K306" s="267"/>
      <c r="L306" s="266"/>
      <c r="M306" s="147">
        <f t="shared" si="173"/>
        <v/>
      </c>
      <c r="N306" s="267"/>
      <c r="O306" s="147">
        <f t="shared" si="174"/>
        <v/>
      </c>
      <c r="P306" s="268">
        <f>IF(AY306=1,"XT"&amp;COUNTIFS($A$3:A306,A306,$AY$3:AY306,1),"")</f>
        <v/>
      </c>
      <c r="Q306" s="152">
        <f>IF(R306="","",IFERROR(SUBSTITUTE(Разбивка_по_щитам!P306,CHAR(10)," "),""))</f>
        <v/>
      </c>
      <c r="R306" s="153">
        <f>IF(OR(Разбивка_по_щитам!H306="",Разбивка_по_щитам!H306=0),"",Разбивка_по_щитам!H306)</f>
        <v/>
      </c>
      <c r="S306" s="154">
        <f>IF(R306="","",IFERROR(Разбивка_по_щитам!J306&amp;"",""))</f>
        <v/>
      </c>
      <c r="T306" s="155">
        <f>IF(R306="","",IFERROR(--Разбивка_по_щитам!L306,""))</f>
        <v/>
      </c>
      <c r="U306" s="155">
        <f>IF(R306="","",IFERROR(--Разбивка_по_щитам!K306,""))</f>
        <v/>
      </c>
      <c r="V306" s="138">
        <f>IF(R306="","",IFERROR(IF(Разбивка_по_щитам!M306=0,"",Разбивка_по_щитам!M306),""))</f>
        <v/>
      </c>
      <c r="W306" s="156">
        <f t="shared" si="175"/>
        <v/>
      </c>
      <c r="X306" s="157">
        <f t="shared" si="176"/>
        <v/>
      </c>
      <c r="Y306" s="266"/>
      <c r="Z306" s="158">
        <f t="shared" si="177"/>
        <v/>
      </c>
      <c r="AA306" s="160">
        <f t="shared" si="178"/>
        <v/>
      </c>
      <c r="AB306" s="160">
        <f>IF(R306="","",IFERROR(LOOKUP(INDEX(Справочная!$I$4:$I$19,MATCH(VLOOKUP(R306,Исходные_данные,22,FALSE),Справочная!$J$4:$J$19,0)+1),{6,10,16,20,25,32,40,50,63,80,100,125}),""))</f>
        <v/>
      </c>
      <c r="AC306" s="160">
        <f t="shared" si="179"/>
        <v/>
      </c>
      <c r="AD306" s="161">
        <f t="shared" si="180"/>
        <v/>
      </c>
      <c r="AE306" s="161">
        <f>IF(AND(R306="",G306=""),"",_xlfn.TEXTJOIN("; ",TRUE,IF(AND(R306&lt;&gt;"",V306=""),"нет фазы",""),IF(AND(R306&lt;&gt;"",N(T306)=0),"нет мощности",""),IF(AND(P306&lt;&gt;"",COUNTIFS($A$3:$A$1000,A306,$P$3:$P$1000,P306)&gt;1),"дубль клеммы "&amp;P306,""),IF(AND(W306&lt;&gt;"",W306&lt;&gt;"ok"),W306,""),IF(X306&lt;&gt;"",X306,""),IF(AND(ISNUMBER(SEARCH("(5х",Q306)),N(AK306)=1),"5 жил на 1 фазе",""),IF(AND(AL306="R",E306&lt;&gt;"",N(AS306)=0),"розетка без 30 мА",""),IF(IFERROR(_xlfn.NUMBERVALUE(MID(Q306,FIND("-",Q306,FIND("L=",Q306))+1,FIND("%",Q306)-FIND("-",Q306,FIND("L=",Q306))-1),","),0)&gt;4,"потери &gt; 4 %","")))</f>
      </c>
      <c r="AF306" s="129">
        <f>IF(E306&lt;&gt;"",COUNTIFS($A$3:A306,A306,$E$3:E306,"?*"),IF(OR(A306&lt;&gt;A305,Y306="вручную"),"",AF305))</f>
      </c>
      <c r="AG306" s="129">
        <f t="shared" si="181"/>
      </c>
      <c r="AH306" s="129">
        <f t="shared" si="182"/>
        <v/>
      </c>
      <c r="AI306" s="129">
        <f t="shared" si="183"/>
        <v/>
      </c>
      <c r="AJ306" s="129">
        <f t="shared" si="184"/>
        <v/>
      </c>
      <c r="AK306" s="129">
        <f t="shared" si="185"/>
        <v/>
      </c>
      <c r="AL306" s="129">
        <f t="shared" si="186"/>
        <v/>
      </c>
      <c r="AM306" s="129">
        <f t="shared" si="187"/>
      </c>
      <c r="AN306" s="129">
        <f t="shared" si="188"/>
      </c>
      <c r="AO306" s="129">
        <f t="shared" si="189"/>
        <v/>
      </c>
      <c r="AP306" s="129">
        <f t="shared" si="190"/>
        <v/>
      </c>
      <c r="AQ306" s="129">
        <f t="shared" si="191"/>
        <v/>
      </c>
      <c r="AR306" s="129">
        <f t="shared" si="192"/>
        <v/>
      </c>
      <c r="AS306" s="129">
        <f t="shared" si="193"/>
        <v/>
      </c>
      <c r="AT306" s="129">
        <f t="shared" si="194"/>
        <v/>
      </c>
      <c r="AU306" s="129">
        <f t="shared" si="195"/>
        <v/>
      </c>
      <c r="AV306" s="129">
        <f t="shared" si="196"/>
        <v/>
      </c>
      <c r="AW306" s="129">
        <f>IF(AV306="","",AV306&amp;"."&amp;COUNTIFS($A$3:A306,A306,$AV$3:AV306,AV306))</f>
        <v/>
      </c>
      <c r="AX306" s="129">
        <f t="shared" si="197"/>
        <v/>
      </c>
      <c r="AY306" s="129">
        <f>IF(N306="б/к",0,IF(OR(ISNUMBER(SEARCH("L=",Разбивка_по_щитам!P306)),N306="+",N306="="),1,0))</f>
      </c>
      <c r="AZ306" s="129">
        <f t="shared" si="198"/>
      </c>
      <c r="BA306" s="129">
        <f t="shared" si="199"/>
      </c>
      <c r="BB306" s="129">
        <f t="shared" si="200"/>
      </c>
      <c r="BD306" s="129">
        <f t="shared" si="201"/>
      </c>
      <c r="BE306" s="129">
        <f t="shared" si="202"/>
      </c>
      <c r="BF306" s="129">
        <f t="shared" si="203"/>
      </c>
      <c r="BG306" s="129">
        <f t="shared" si="204"/>
        <v/>
      </c>
      <c r="BH306" s="129">
        <f t="shared" si="205"/>
        <v/>
      </c>
      <c r="BI306" s="129">
        <f t="shared" si="206"/>
        <v/>
      </c>
      <c r="BJ306" s="129">
        <f t="shared" si="207"/>
        <v/>
      </c>
      <c r="BK306" s="129">
        <f>IF(R306="","",IF(OR(BY306="",BY306=0),"BOX",IFERROR(IF(VLOOKUP(BY306,УГО_блоки,3,FALSE)&amp;""&lt;&gt;"",VLOOKUP(BY306,УГО_блоки,3,FALSE),VLOOKUP(BY306,УГО_блоки,2,FALSE)),BY306)))</f>
      </c>
      <c r="BL306" s="129">
        <f t="shared" si="209"/>
      </c>
      <c r="BM306" s="129">
        <f>IF(H306="","",IF(COUNTIF($H$3:H306,H306)=1,MAX($BM$2:BM305)+1,""))</f>
      </c>
      <c r="BN306" s="129">
        <f>IF(I306="","",IF(COUNTIF($I$3:I306,I306)+COUNTIF($J$2:J305,I306)+COUNTIF($K$2:K305,I306)=1,MAX($BN$2:BP305)+1,""))</f>
      </c>
      <c r="BO306" s="129">
        <f>IF(J306="","",IF(COUNTIF($I$3:I306,J306)+COUNTIF($J$3:J306,J306)+COUNTIF($K$2:K305,J306)=1,MAX($BN$2:BP305,BN306)+1,""))</f>
      </c>
      <c r="BP306" s="129">
        <f>IF(K306="","",IF(COUNTIF($I$3:I306,K306)+COUNTIF($J$3:J306,K306)+COUNTIF($K$3:K306,K306)=1,MAX($BN$2:BP305,BN306,BO306)+1,""))</f>
      </c>
      <c r="BQ306" s="129">
        <f>IF(AY306=1,IFERROR(MID(Q306,FIND(" (",Q306)+2,FIND(")",Q306,FIND(" (",Q306))-FIND(" (",Q306)-2),"?"),"")</f>
      </c>
      <c r="BR306" s="129">
        <f>IF(BQ306="","",IF(COUNTIF($BQ$3:BQ306,BQ306)=1,MAX($BR$2:BR305)+1,""))</f>
      </c>
      <c r="BS306" s="129">
        <f>IF(AW306="","",COUNTIF($AW$3:AW306,"?*"))</f>
      </c>
      <c r="BT306" s="129">
        <f>IF(OR(AW306="",AI306=""),"",IF(COUNTIFS($AW$3:AW306,"?*",$AI$3:AI306,AI306)=1,MAX($BT$2:BT305)+1,""))</f>
      </c>
      <c r="BU306" s="129">
        <f>IF(AE306="",0,IF(OR(ISNUMBER(SEARCH("дубль",AE306)),ISNUMBER(SEARCH("ПЕРЕГРУЗ",AE306)),ISNUMBER(SEARCH("ЗАЩИЩ",AE306)),ISNUMBER(SEARCH("КАНАЛ",AE306)),ISNUMBER(SEARCH("без 30",AE306))),2,1))</f>
      </c>
      <c r="BV306" s="129">
        <f>IF(R306="","",COUNTIF($R$3:R306,"?*"))</f>
      </c>
      <c r="BW306" s="129">
        <f>IF(AY306&lt;&gt;1,0,IF(MAX(IFERROR(--VLOOKUP(R306,УГО_спр,5,FALSE),0),IFERROR(--VLOOKUP(AL306,УГО_спр,5,FALSE),0),IFERROR(--VLOOKUP(LEFT(AL306,2),УГО_спр,5,FALSE),0))&gt;0,MAX(IFERROR(--VLOOKUP(R306,УГО_спр,5,FALSE),0),IFERROR(--VLOOKUP(AL306,УГО_спр,5,FALSE),0),IFERROR(--VLOOKUP(LEFT(AL306,2),УГО_спр,5,FALSE),0)),IF(IFERROR(--LEFT(SUBSTITUTE(BQ306,"x","х"),FIND("х",SUBSTITUTE(BQ306,"x","х"))-1),3)&gt;3,Каталог!$S$9,1)))</f>
      </c>
      <c r="BX306" s="129">
        <f>IF(AY306&lt;&gt;1,0,MAX(0,IFERROR(--LEFT(SUBSTITUTE(BQ306,"x","х"),FIND("х",SUBSTITUTE(BQ306,"x","х"))-1),3)-3*BW306))</f>
      </c>
      <c r="BY306" s="129">
        <f>IF(R306="","",IFERROR(VLOOKUP(R306,УГО_спр,2,FALSE),IFERROR(VLOOKUP(AL306,УГО_спр,2,FALSE),IFERROR(VLOOKUP(LEFT(AL306,2),УГО_спр,2,FALSE),""))))</f>
      </c>
    </row>
    <row r="307" spans="1:64" x14ac:dyDescent="0.3">
      <c r="A307" s="135">
        <f>IF(Разбивка_по_щитам!F307=0,"",Разбивка_по_щитам!F307)</f>
      </c>
      <c r="B307" s="138">
        <f>IF(A307="","",Разбивка_по_щитам!C307)</f>
      </c>
      <c r="C307" s="138">
        <f t="shared" si="170"/>
      </c>
      <c r="D307" s="266"/>
      <c r="E307" s="266"/>
      <c r="F307" s="267"/>
      <c r="G307" s="145">
        <f t="shared" si="171"/>
        <v/>
      </c>
      <c r="H307" s="145">
        <f t="shared" si="172"/>
        <v/>
      </c>
      <c r="I307" s="266"/>
      <c r="J307" s="267"/>
      <c r="K307" s="267"/>
      <c r="L307" s="266"/>
      <c r="M307" s="147">
        <f t="shared" si="173"/>
        <v/>
      </c>
      <c r="N307" s="267"/>
      <c r="O307" s="147">
        <f t="shared" si="174"/>
        <v/>
      </c>
      <c r="P307" s="268">
        <f>IF(AY307=1,"XT"&amp;COUNTIFS($A$3:A307,A307,$AY$3:AY307,1),"")</f>
        <v/>
      </c>
      <c r="Q307" s="152">
        <f>IF(R307="","",IFERROR(SUBSTITUTE(Разбивка_по_щитам!P307,CHAR(10)," "),""))</f>
        <v/>
      </c>
      <c r="R307" s="153">
        <f>IF(OR(Разбивка_по_щитам!H307="",Разбивка_по_щитам!H307=0),"",Разбивка_по_щитам!H307)</f>
        <v/>
      </c>
      <c r="S307" s="154">
        <f>IF(R307="","",IFERROR(Разбивка_по_щитам!J307&amp;"",""))</f>
        <v/>
      </c>
      <c r="T307" s="155">
        <f>IF(R307="","",IFERROR(--Разбивка_по_щитам!L307,""))</f>
        <v/>
      </c>
      <c r="U307" s="155">
        <f>IF(R307="","",IFERROR(--Разбивка_по_щитам!K307,""))</f>
        <v/>
      </c>
      <c r="V307" s="138">
        <f>IF(R307="","",IFERROR(IF(Разбивка_по_щитам!M307=0,"",Разбивка_по_щитам!M307),""))</f>
        <v/>
      </c>
      <c r="W307" s="156">
        <f t="shared" si="175"/>
        <v/>
      </c>
      <c r="X307" s="157">
        <f t="shared" si="176"/>
        <v/>
      </c>
      <c r="Y307" s="266"/>
      <c r="Z307" s="158">
        <f t="shared" si="177"/>
        <v/>
      </c>
      <c r="AA307" s="160">
        <f t="shared" si="178"/>
        <v/>
      </c>
      <c r="AB307" s="160">
        <f>IF(R307="","",IFERROR(LOOKUP(INDEX(Справочная!$I$4:$I$19,MATCH(VLOOKUP(R307,Исходные_данные,22,FALSE),Справочная!$J$4:$J$19,0)+1),{6,10,16,20,25,32,40,50,63,80,100,125}),""))</f>
        <v/>
      </c>
      <c r="AC307" s="160">
        <f t="shared" si="179"/>
        <v/>
      </c>
      <c r="AD307" s="161">
        <f t="shared" si="180"/>
        <v/>
      </c>
      <c r="AE307" s="161">
        <f>IF(AND(R307="",G307=""),"",_xlfn.TEXTJOIN("; ",TRUE,IF(AND(R307&lt;&gt;"",V307=""),"нет фазы",""),IF(AND(R307&lt;&gt;"",N(T307)=0),"нет мощности",""),IF(AND(P307&lt;&gt;"",COUNTIFS($A$3:$A$1000,A307,$P$3:$P$1000,P307)&gt;1),"дубль клеммы "&amp;P307,""),IF(AND(W307&lt;&gt;"",W307&lt;&gt;"ok"),W307,""),IF(X307&lt;&gt;"",X307,""),IF(AND(ISNUMBER(SEARCH("(5х",Q307)),N(AK307)=1),"5 жил на 1 фазе",""),IF(AND(AL307="R",E307&lt;&gt;"",N(AS307)=0),"розетка без 30 мА",""),IF(IFERROR(_xlfn.NUMBERVALUE(MID(Q307,FIND("-",Q307,FIND("L=",Q307))+1,FIND("%",Q307)-FIND("-",Q307,FIND("L=",Q307))-1),","),0)&gt;4,"потери &gt; 4 %","")))</f>
      </c>
      <c r="AF307" s="129">
        <f>IF(E307&lt;&gt;"",COUNTIFS($A$3:A307,A307,$E$3:E307,"?*"),IF(OR(A307&lt;&gt;A306,Y307="вручную"),"",AF306))</f>
      </c>
      <c r="AG307" s="129">
        <f t="shared" si="181"/>
      </c>
      <c r="AH307" s="129">
        <f t="shared" si="182"/>
        <v/>
      </c>
      <c r="AI307" s="129">
        <f t="shared" si="183"/>
        <v/>
      </c>
      <c r="AJ307" s="129">
        <f t="shared" si="184"/>
        <v/>
      </c>
      <c r="AK307" s="129">
        <f t="shared" si="185"/>
        <v/>
      </c>
      <c r="AL307" s="129">
        <f t="shared" si="186"/>
        <v/>
      </c>
      <c r="AM307" s="129">
        <f t="shared" si="187"/>
      </c>
      <c r="AN307" s="129">
        <f t="shared" si="188"/>
      </c>
      <c r="AO307" s="129">
        <f t="shared" si="189"/>
        <v/>
      </c>
      <c r="AP307" s="129">
        <f t="shared" si="190"/>
        <v/>
      </c>
      <c r="AQ307" s="129">
        <f t="shared" si="191"/>
        <v/>
      </c>
      <c r="AR307" s="129">
        <f t="shared" si="192"/>
        <v/>
      </c>
      <c r="AS307" s="129">
        <f t="shared" si="193"/>
        <v/>
      </c>
      <c r="AT307" s="129">
        <f t="shared" si="194"/>
        <v/>
      </c>
      <c r="AU307" s="129">
        <f t="shared" si="195"/>
        <v/>
      </c>
      <c r="AV307" s="129">
        <f t="shared" si="196"/>
        <v/>
      </c>
      <c r="AW307" s="129">
        <f>IF(AV307="","",AV307&amp;"."&amp;COUNTIFS($A$3:A307,A307,$AV$3:AV307,AV307))</f>
        <v/>
      </c>
      <c r="AX307" s="129">
        <f t="shared" si="197"/>
        <v/>
      </c>
      <c r="AY307" s="129">
        <f>IF(N307="б/к",0,IF(OR(ISNUMBER(SEARCH("L=",Разбивка_по_щитам!P307)),N307="+",N307="="),1,0))</f>
      </c>
      <c r="AZ307" s="129">
        <f t="shared" si="198"/>
      </c>
      <c r="BA307" s="129">
        <f t="shared" si="199"/>
      </c>
      <c r="BB307" s="129">
        <f t="shared" si="200"/>
      </c>
      <c r="BD307" s="129">
        <f t="shared" si="201"/>
      </c>
      <c r="BE307" s="129">
        <f t="shared" si="202"/>
      </c>
      <c r="BF307" s="129">
        <f t="shared" si="203"/>
      </c>
      <c r="BG307" s="129">
        <f t="shared" si="204"/>
        <v/>
      </c>
      <c r="BH307" s="129">
        <f t="shared" si="205"/>
        <v/>
      </c>
      <c r="BI307" s="129">
        <f t="shared" si="206"/>
        <v/>
      </c>
      <c r="BJ307" s="129">
        <f t="shared" si="207"/>
        <v/>
      </c>
      <c r="BK307" s="129">
        <f>IF(R307="","",IF(OR(BY307="",BY307=0),"BOX",IFERROR(IF(VLOOKUP(BY307,УГО_блоки,3,FALSE)&amp;""&lt;&gt;"",VLOOKUP(BY307,УГО_блоки,3,FALSE),VLOOKUP(BY307,УГО_блоки,2,FALSE)),BY307)))</f>
      </c>
      <c r="BL307" s="129">
        <f t="shared" si="209"/>
      </c>
      <c r="BM307" s="129">
        <f>IF(H307="","",IF(COUNTIF($H$3:H307,H307)=1,MAX($BM$2:BM306)+1,""))</f>
      </c>
      <c r="BN307" s="129">
        <f>IF(I307="","",IF(COUNTIF($I$3:I307,I307)+COUNTIF($J$2:J306,I307)+COUNTIF($K$2:K306,I307)=1,MAX($BN$2:BP306)+1,""))</f>
      </c>
      <c r="BO307" s="129">
        <f>IF(J307="","",IF(COUNTIF($I$3:I307,J307)+COUNTIF($J$3:J307,J307)+COUNTIF($K$2:K306,J307)=1,MAX($BN$2:BP306,BN307)+1,""))</f>
      </c>
      <c r="BP307" s="129">
        <f>IF(K307="","",IF(COUNTIF($I$3:I307,K307)+COUNTIF($J$3:J307,K307)+COUNTIF($K$3:K307,K307)=1,MAX($BN$2:BP306,BN307,BO307)+1,""))</f>
      </c>
      <c r="BQ307" s="129">
        <f>IF(AY307=1,IFERROR(MID(Q307,FIND(" (",Q307)+2,FIND(")",Q307,FIND(" (",Q307))-FIND(" (",Q307)-2),"?"),"")</f>
      </c>
      <c r="BR307" s="129">
        <f>IF(BQ307="","",IF(COUNTIF($BQ$3:BQ307,BQ307)=1,MAX($BR$2:BR306)+1,""))</f>
      </c>
      <c r="BS307" s="129">
        <f>IF(AW307="","",COUNTIF($AW$3:AW307,"?*"))</f>
      </c>
      <c r="BT307" s="129">
        <f>IF(OR(AW307="",AI307=""),"",IF(COUNTIFS($AW$3:AW307,"?*",$AI$3:AI307,AI307)=1,MAX($BT$2:BT306)+1,""))</f>
      </c>
      <c r="BU307" s="129">
        <f>IF(AE307="",0,IF(OR(ISNUMBER(SEARCH("дубль",AE307)),ISNUMBER(SEARCH("ПЕРЕГРУЗ",AE307)),ISNUMBER(SEARCH("ЗАЩИЩ",AE307)),ISNUMBER(SEARCH("КАНАЛ",AE307)),ISNUMBER(SEARCH("без 30",AE307))),2,1))</f>
      </c>
      <c r="BV307" s="129">
        <f>IF(R307="","",COUNTIF($R$3:R307,"?*"))</f>
      </c>
      <c r="BW307" s="129">
        <f>IF(AY307&lt;&gt;1,0,IF(MAX(IFERROR(--VLOOKUP(R307,УГО_спр,5,FALSE),0),IFERROR(--VLOOKUP(AL307,УГО_спр,5,FALSE),0),IFERROR(--VLOOKUP(LEFT(AL307,2),УГО_спр,5,FALSE),0))&gt;0,MAX(IFERROR(--VLOOKUP(R307,УГО_спр,5,FALSE),0),IFERROR(--VLOOKUP(AL307,УГО_спр,5,FALSE),0),IFERROR(--VLOOKUP(LEFT(AL307,2),УГО_спр,5,FALSE),0)),IF(IFERROR(--LEFT(SUBSTITUTE(BQ307,"x","х"),FIND("х",SUBSTITUTE(BQ307,"x","х"))-1),3)&gt;3,Каталог!$S$9,1)))</f>
      </c>
      <c r="BX307" s="129">
        <f>IF(AY307&lt;&gt;1,0,MAX(0,IFERROR(--LEFT(SUBSTITUTE(BQ307,"x","х"),FIND("х",SUBSTITUTE(BQ307,"x","х"))-1),3)-3*BW307))</f>
      </c>
      <c r="BY307" s="129">
        <f>IF(R307="","",IFERROR(VLOOKUP(R307,УГО_спр,2,FALSE),IFERROR(VLOOKUP(AL307,УГО_спр,2,FALSE),IFERROR(VLOOKUP(LEFT(AL307,2),УГО_спр,2,FALSE),""))))</f>
      </c>
    </row>
    <row r="308" spans="1:64" x14ac:dyDescent="0.3">
      <c r="A308" s="135">
        <f>IF(Разбивка_по_щитам!F308=0,"",Разбивка_по_щитам!F308)</f>
      </c>
      <c r="B308" s="138">
        <f>IF(A308="","",Разбивка_по_щитам!C308)</f>
      </c>
      <c r="C308" s="138">
        <f t="shared" si="170"/>
      </c>
      <c r="D308" s="266"/>
      <c r="E308" s="266"/>
      <c r="F308" s="267"/>
      <c r="G308" s="145">
        <f t="shared" si="171"/>
        <v/>
      </c>
      <c r="H308" s="145">
        <f t="shared" si="172"/>
        <v/>
      </c>
      <c r="I308" s="266"/>
      <c r="J308" s="267"/>
      <c r="K308" s="267"/>
      <c r="L308" s="266"/>
      <c r="M308" s="147">
        <f t="shared" si="173"/>
        <v/>
      </c>
      <c r="N308" s="267"/>
      <c r="O308" s="147">
        <f t="shared" si="174"/>
        <v/>
      </c>
      <c r="P308" s="268">
        <f>IF(AY308=1,"XT"&amp;COUNTIFS($A$3:A308,A308,$AY$3:AY308,1),"")</f>
        <v/>
      </c>
      <c r="Q308" s="152">
        <f>IF(R308="","",IFERROR(SUBSTITUTE(Разбивка_по_щитам!P308,CHAR(10)," "),""))</f>
        <v/>
      </c>
      <c r="R308" s="153">
        <f>IF(OR(Разбивка_по_щитам!H308="",Разбивка_по_щитам!H308=0),"",Разбивка_по_щитам!H308)</f>
        <v/>
      </c>
      <c r="S308" s="154">
        <f>IF(R308="","",IFERROR(Разбивка_по_щитам!J308&amp;"",""))</f>
        <v/>
      </c>
      <c r="T308" s="155">
        <f>IF(R308="","",IFERROR(--Разбивка_по_щитам!L308,""))</f>
        <v/>
      </c>
      <c r="U308" s="155">
        <f>IF(R308="","",IFERROR(--Разбивка_по_щитам!K308,""))</f>
        <v/>
      </c>
      <c r="V308" s="138">
        <f>IF(R308="","",IFERROR(IF(Разбивка_по_щитам!M308=0,"",Разбивка_по_щитам!M308),""))</f>
        <v/>
      </c>
      <c r="W308" s="156">
        <f t="shared" si="175"/>
        <v/>
      </c>
      <c r="X308" s="157">
        <f t="shared" si="176"/>
        <v/>
      </c>
      <c r="Y308" s="266"/>
      <c r="Z308" s="158">
        <f t="shared" si="177"/>
        <v/>
      </c>
      <c r="AA308" s="160">
        <f t="shared" si="178"/>
        <v/>
      </c>
      <c r="AB308" s="160">
        <f>IF(R308="","",IFERROR(LOOKUP(INDEX(Справочная!$I$4:$I$19,MATCH(VLOOKUP(R308,Исходные_данные,22,FALSE),Справочная!$J$4:$J$19,0)+1),{6,10,16,20,25,32,40,50,63,80,100,125}),""))</f>
        <v/>
      </c>
      <c r="AC308" s="160">
        <f t="shared" si="179"/>
        <v/>
      </c>
      <c r="AD308" s="161">
        <f t="shared" si="180"/>
        <v/>
      </c>
      <c r="AE308" s="161">
        <f>IF(AND(R308="",G308=""),"",_xlfn.TEXTJOIN("; ",TRUE,IF(AND(R308&lt;&gt;"",V308=""),"нет фазы",""),IF(AND(R308&lt;&gt;"",N(T308)=0),"нет мощности",""),IF(AND(P308&lt;&gt;"",COUNTIFS($A$3:$A$1000,A308,$P$3:$P$1000,P308)&gt;1),"дубль клеммы "&amp;P308,""),IF(AND(W308&lt;&gt;"",W308&lt;&gt;"ok"),W308,""),IF(X308&lt;&gt;"",X308,""),IF(AND(ISNUMBER(SEARCH("(5х",Q308)),N(AK308)=1),"5 жил на 1 фазе",""),IF(AND(AL308="R",E308&lt;&gt;"",N(AS308)=0),"розетка без 30 мА",""),IF(IFERROR(_xlfn.NUMBERVALUE(MID(Q308,FIND("-",Q308,FIND("L=",Q308))+1,FIND("%",Q308)-FIND("-",Q308,FIND("L=",Q308))-1),","),0)&gt;4,"потери &gt; 4 %","")))</f>
      </c>
      <c r="AF308" s="129">
        <f>IF(E308&lt;&gt;"",COUNTIFS($A$3:A308,A308,$E$3:E308,"?*"),IF(OR(A308&lt;&gt;A307,Y308="вручную"),"",AF307))</f>
      </c>
      <c r="AG308" s="129">
        <f t="shared" si="181"/>
      </c>
      <c r="AH308" s="129">
        <f t="shared" si="182"/>
        <v/>
      </c>
      <c r="AI308" s="129">
        <f t="shared" si="183"/>
        <v/>
      </c>
      <c r="AJ308" s="129">
        <f t="shared" si="184"/>
        <v/>
      </c>
      <c r="AK308" s="129">
        <f t="shared" si="185"/>
        <v/>
      </c>
      <c r="AL308" s="129">
        <f t="shared" si="186"/>
        <v/>
      </c>
      <c r="AM308" s="129">
        <f t="shared" si="187"/>
      </c>
      <c r="AN308" s="129">
        <f t="shared" si="188"/>
      </c>
      <c r="AO308" s="129">
        <f t="shared" si="189"/>
        <v/>
      </c>
      <c r="AP308" s="129">
        <f t="shared" si="190"/>
        <v/>
      </c>
      <c r="AQ308" s="129">
        <f t="shared" si="191"/>
        <v/>
      </c>
      <c r="AR308" s="129">
        <f t="shared" si="192"/>
        <v/>
      </c>
      <c r="AS308" s="129">
        <f t="shared" si="193"/>
        <v/>
      </c>
      <c r="AT308" s="129">
        <f t="shared" si="194"/>
        <v/>
      </c>
      <c r="AU308" s="129">
        <f t="shared" si="195"/>
        <v/>
      </c>
      <c r="AV308" s="129">
        <f t="shared" si="196"/>
        <v/>
      </c>
      <c r="AW308" s="129">
        <f>IF(AV308="","",AV308&amp;"."&amp;COUNTIFS($A$3:A308,A308,$AV$3:AV308,AV308))</f>
        <v/>
      </c>
      <c r="AX308" s="129">
        <f t="shared" si="197"/>
        <v/>
      </c>
      <c r="AY308" s="129">
        <f>IF(N308="б/к",0,IF(OR(ISNUMBER(SEARCH("L=",Разбивка_по_щитам!P308)),N308="+",N308="="),1,0))</f>
      </c>
      <c r="AZ308" s="129">
        <f t="shared" si="198"/>
      </c>
      <c r="BA308" s="129">
        <f t="shared" si="199"/>
      </c>
      <c r="BB308" s="129">
        <f t="shared" si="200"/>
      </c>
      <c r="BD308" s="129">
        <f t="shared" si="201"/>
      </c>
      <c r="BE308" s="129">
        <f t="shared" si="202"/>
      </c>
      <c r="BF308" s="129">
        <f t="shared" si="203"/>
      </c>
      <c r="BG308" s="129">
        <f t="shared" si="204"/>
        <v/>
      </c>
      <c r="BH308" s="129">
        <f t="shared" si="205"/>
        <v/>
      </c>
      <c r="BI308" s="129">
        <f t="shared" si="206"/>
        <v/>
      </c>
      <c r="BJ308" s="129">
        <f t="shared" si="207"/>
        <v/>
      </c>
      <c r="BK308" s="129">
        <f>IF(R308="","",IF(OR(BY308="",BY308=0),"BOX",IFERROR(IF(VLOOKUP(BY308,УГО_блоки,3,FALSE)&amp;""&lt;&gt;"",VLOOKUP(BY308,УГО_блоки,3,FALSE),VLOOKUP(BY308,УГО_блоки,2,FALSE)),BY308)))</f>
      </c>
      <c r="BL308" s="129">
        <f t="shared" si="209"/>
      </c>
      <c r="BM308" s="129">
        <f>IF(H308="","",IF(COUNTIF($H$3:H308,H308)=1,MAX($BM$2:BM307)+1,""))</f>
      </c>
      <c r="BN308" s="129">
        <f>IF(I308="","",IF(COUNTIF($I$3:I308,I308)+COUNTIF($J$2:J307,I308)+COUNTIF($K$2:K307,I308)=1,MAX($BN$2:BP307)+1,""))</f>
      </c>
      <c r="BO308" s="129">
        <f>IF(J308="","",IF(COUNTIF($I$3:I308,J308)+COUNTIF($J$3:J308,J308)+COUNTIF($K$2:K307,J308)=1,MAX($BN$2:BP307,BN308)+1,""))</f>
      </c>
      <c r="BP308" s="129">
        <f>IF(K308="","",IF(COUNTIF($I$3:I308,K308)+COUNTIF($J$3:J308,K308)+COUNTIF($K$3:K308,K308)=1,MAX($BN$2:BP307,BN308,BO308)+1,""))</f>
      </c>
      <c r="BQ308" s="129">
        <f>IF(AY308=1,IFERROR(MID(Q308,FIND(" (",Q308)+2,FIND(")",Q308,FIND(" (",Q308))-FIND(" (",Q308)-2),"?"),"")</f>
      </c>
      <c r="BR308" s="129">
        <f>IF(BQ308="","",IF(COUNTIF($BQ$3:BQ308,BQ308)=1,MAX($BR$2:BR307)+1,""))</f>
      </c>
      <c r="BS308" s="129">
        <f>IF(AW308="","",COUNTIF($AW$3:AW308,"?*"))</f>
      </c>
      <c r="BT308" s="129">
        <f>IF(OR(AW308="",AI308=""),"",IF(COUNTIFS($AW$3:AW308,"?*",$AI$3:AI308,AI308)=1,MAX($BT$2:BT307)+1,""))</f>
      </c>
      <c r="BU308" s="129">
        <f>IF(AE308="",0,IF(OR(ISNUMBER(SEARCH("дубль",AE308)),ISNUMBER(SEARCH("ПЕРЕГРУЗ",AE308)),ISNUMBER(SEARCH("ЗАЩИЩ",AE308)),ISNUMBER(SEARCH("КАНАЛ",AE308)),ISNUMBER(SEARCH("без 30",AE308))),2,1))</f>
      </c>
      <c r="BV308" s="129">
        <f>IF(R308="","",COUNTIF($R$3:R308,"?*"))</f>
      </c>
      <c r="BW308" s="129">
        <f>IF(AY308&lt;&gt;1,0,IF(MAX(IFERROR(--VLOOKUP(R308,УГО_спр,5,FALSE),0),IFERROR(--VLOOKUP(AL308,УГО_спр,5,FALSE),0),IFERROR(--VLOOKUP(LEFT(AL308,2),УГО_спр,5,FALSE),0))&gt;0,MAX(IFERROR(--VLOOKUP(R308,УГО_спр,5,FALSE),0),IFERROR(--VLOOKUP(AL308,УГО_спр,5,FALSE),0),IFERROR(--VLOOKUP(LEFT(AL308,2),УГО_спр,5,FALSE),0)),IF(IFERROR(--LEFT(SUBSTITUTE(BQ308,"x","х"),FIND("х",SUBSTITUTE(BQ308,"x","х"))-1),3)&gt;3,Каталог!$S$9,1)))</f>
      </c>
      <c r="BX308" s="129">
        <f>IF(AY308&lt;&gt;1,0,MAX(0,IFERROR(--LEFT(SUBSTITUTE(BQ308,"x","х"),FIND("х",SUBSTITUTE(BQ308,"x","х"))-1),3)-3*BW308))</f>
      </c>
      <c r="BY308" s="129">
        <f>IF(R308="","",IFERROR(VLOOKUP(R308,УГО_спр,2,FALSE),IFERROR(VLOOKUP(AL308,УГО_спр,2,FALSE),IFERROR(VLOOKUP(LEFT(AL308,2),УГО_спр,2,FALSE),""))))</f>
      </c>
    </row>
    <row r="309" spans="1:64" x14ac:dyDescent="0.3">
      <c r="A309" s="135">
        <f>IF(Разбивка_по_щитам!F309=0,"",Разбивка_по_щитам!F309)</f>
      </c>
      <c r="B309" s="138">
        <f>IF(A309="","",Разбивка_по_щитам!C309)</f>
      </c>
      <c r="C309" s="138">
        <f t="shared" si="170"/>
      </c>
      <c r="D309" s="266"/>
      <c r="E309" s="266"/>
      <c r="F309" s="267"/>
      <c r="G309" s="145">
        <f t="shared" si="171"/>
        <v/>
      </c>
      <c r="H309" s="145">
        <f t="shared" si="172"/>
        <v/>
      </c>
      <c r="I309" s="266"/>
      <c r="J309" s="267"/>
      <c r="K309" s="267"/>
      <c r="L309" s="266"/>
      <c r="M309" s="147">
        <f t="shared" si="173"/>
        <v/>
      </c>
      <c r="N309" s="267"/>
      <c r="O309" s="147">
        <f t="shared" si="174"/>
        <v/>
      </c>
      <c r="P309" s="268">
        <f>IF(AY309=1,"XT"&amp;COUNTIFS($A$3:A309,A309,$AY$3:AY309,1),"")</f>
        <v/>
      </c>
      <c r="Q309" s="152">
        <f>IF(R309="","",IFERROR(SUBSTITUTE(Разбивка_по_щитам!P309,CHAR(10)," "),""))</f>
        <v/>
      </c>
      <c r="R309" s="153">
        <f>IF(OR(Разбивка_по_щитам!H309="",Разбивка_по_щитам!H309=0),"",Разбивка_по_щитам!H309)</f>
        <v/>
      </c>
      <c r="S309" s="154">
        <f>IF(R309="","",IFERROR(Разбивка_по_щитам!J309&amp;"",""))</f>
        <v/>
      </c>
      <c r="T309" s="155">
        <f>IF(R309="","",IFERROR(--Разбивка_по_щитам!L309,""))</f>
        <v/>
      </c>
      <c r="U309" s="155">
        <f>IF(R309="","",IFERROR(--Разбивка_по_щитам!K309,""))</f>
        <v/>
      </c>
      <c r="V309" s="138">
        <f>IF(R309="","",IFERROR(IF(Разбивка_по_щитам!M309=0,"",Разбивка_по_щитам!M309),""))</f>
        <v/>
      </c>
      <c r="W309" s="156">
        <f t="shared" si="175"/>
        <v/>
      </c>
      <c r="X309" s="157">
        <f t="shared" si="176"/>
        <v/>
      </c>
      <c r="Y309" s="266"/>
      <c r="Z309" s="158">
        <f t="shared" si="177"/>
        <v/>
      </c>
      <c r="AA309" s="160">
        <f t="shared" si="178"/>
        <v/>
      </c>
      <c r="AB309" s="160">
        <f>IF(R309="","",IFERROR(LOOKUP(INDEX(Справочная!$I$4:$I$19,MATCH(VLOOKUP(R309,Исходные_данные,22,FALSE),Справочная!$J$4:$J$19,0)+1),{6,10,16,20,25,32,40,50,63,80,100,125}),""))</f>
        <v/>
      </c>
      <c r="AC309" s="160">
        <f t="shared" si="179"/>
        <v/>
      </c>
      <c r="AD309" s="161">
        <f t="shared" si="180"/>
        <v/>
      </c>
      <c r="AE309" s="161">
        <f>IF(AND(R309="",G309=""),"",_xlfn.TEXTJOIN("; ",TRUE,IF(AND(R309&lt;&gt;"",V309=""),"нет фазы",""),IF(AND(R309&lt;&gt;"",N(T309)=0),"нет мощности",""),IF(AND(P309&lt;&gt;"",COUNTIFS($A$3:$A$1000,A309,$P$3:$P$1000,P309)&gt;1),"дубль клеммы "&amp;P309,""),IF(AND(W309&lt;&gt;"",W309&lt;&gt;"ok"),W309,""),IF(X309&lt;&gt;"",X309,""),IF(AND(ISNUMBER(SEARCH("(5х",Q309)),N(AK309)=1),"5 жил на 1 фазе",""),IF(AND(AL309="R",E309&lt;&gt;"",N(AS309)=0),"розетка без 30 мА",""),IF(IFERROR(_xlfn.NUMBERVALUE(MID(Q309,FIND("-",Q309,FIND("L=",Q309))+1,FIND("%",Q309)-FIND("-",Q309,FIND("L=",Q309))-1),","),0)&gt;4,"потери &gt; 4 %","")))</f>
      </c>
      <c r="AF309" s="129">
        <f>IF(E309&lt;&gt;"",COUNTIFS($A$3:A309,A309,$E$3:E309,"?*"),IF(OR(A309&lt;&gt;A308,Y309="вручную"),"",AF308))</f>
      </c>
      <c r="AG309" s="129">
        <f t="shared" si="181"/>
      </c>
      <c r="AH309" s="129">
        <f t="shared" si="182"/>
        <v/>
      </c>
      <c r="AI309" s="129">
        <f t="shared" si="183"/>
        <v/>
      </c>
      <c r="AJ309" s="129">
        <f t="shared" si="184"/>
        <v/>
      </c>
      <c r="AK309" s="129">
        <f t="shared" si="185"/>
        <v/>
      </c>
      <c r="AL309" s="129">
        <f t="shared" si="186"/>
        <v/>
      </c>
      <c r="AM309" s="129">
        <f t="shared" si="187"/>
      </c>
      <c r="AN309" s="129">
        <f t="shared" si="188"/>
      </c>
      <c r="AO309" s="129">
        <f t="shared" si="189"/>
        <v/>
      </c>
      <c r="AP309" s="129">
        <f t="shared" si="190"/>
        <v/>
      </c>
      <c r="AQ309" s="129">
        <f t="shared" si="191"/>
        <v/>
      </c>
      <c r="AR309" s="129">
        <f t="shared" si="192"/>
        <v/>
      </c>
      <c r="AS309" s="129">
        <f t="shared" si="193"/>
        <v/>
      </c>
      <c r="AT309" s="129">
        <f t="shared" si="194"/>
        <v/>
      </c>
      <c r="AU309" s="129">
        <f t="shared" si="195"/>
        <v/>
      </c>
      <c r="AV309" s="129">
        <f t="shared" si="196"/>
        <v/>
      </c>
      <c r="AW309" s="129">
        <f>IF(AV309="","",AV309&amp;"."&amp;COUNTIFS($A$3:A309,A309,$AV$3:AV309,AV309))</f>
        <v/>
      </c>
      <c r="AX309" s="129">
        <f t="shared" si="197"/>
        <v/>
      </c>
      <c r="AY309" s="129">
        <f>IF(N309="б/к",0,IF(OR(ISNUMBER(SEARCH("L=",Разбивка_по_щитам!P309)),N309="+",N309="="),1,0))</f>
      </c>
      <c r="AZ309" s="129">
        <f t="shared" si="198"/>
      </c>
      <c r="BA309" s="129">
        <f t="shared" si="199"/>
      </c>
      <c r="BB309" s="129">
        <f t="shared" si="200"/>
      </c>
      <c r="BD309" s="129">
        <f t="shared" si="201"/>
      </c>
      <c r="BE309" s="129">
        <f t="shared" si="202"/>
      </c>
      <c r="BF309" s="129">
        <f t="shared" si="203"/>
      </c>
      <c r="BG309" s="129">
        <f t="shared" si="204"/>
        <v/>
      </c>
      <c r="BH309" s="129">
        <f t="shared" si="205"/>
        <v/>
      </c>
      <c r="BI309" s="129">
        <f t="shared" si="206"/>
        <v/>
      </c>
      <c r="BJ309" s="129">
        <f t="shared" si="207"/>
        <v/>
      </c>
      <c r="BK309" s="129">
        <f>IF(R309="","",IF(OR(BY309="",BY309=0),"BOX",IFERROR(IF(VLOOKUP(BY309,УГО_блоки,3,FALSE)&amp;""&lt;&gt;"",VLOOKUP(BY309,УГО_блоки,3,FALSE),VLOOKUP(BY309,УГО_блоки,2,FALSE)),BY309)))</f>
      </c>
      <c r="BL309" s="129">
        <f t="shared" si="209"/>
      </c>
      <c r="BM309" s="129">
        <f>IF(H309="","",IF(COUNTIF($H$3:H309,H309)=1,MAX($BM$2:BM308)+1,""))</f>
      </c>
      <c r="BN309" s="129">
        <f>IF(I309="","",IF(COUNTIF($I$3:I309,I309)+COUNTIF($J$2:J308,I309)+COUNTIF($K$2:K308,I309)=1,MAX($BN$2:BP308)+1,""))</f>
      </c>
      <c r="BO309" s="129">
        <f>IF(J309="","",IF(COUNTIF($I$3:I309,J309)+COUNTIF($J$3:J309,J309)+COUNTIF($K$2:K308,J309)=1,MAX($BN$2:BP308,BN309)+1,""))</f>
      </c>
      <c r="BP309" s="129">
        <f>IF(K309="","",IF(COUNTIF($I$3:I309,K309)+COUNTIF($J$3:J309,K309)+COUNTIF($K$3:K309,K309)=1,MAX($BN$2:BP308,BN309,BO309)+1,""))</f>
      </c>
      <c r="BQ309" s="129">
        <f>IF(AY309=1,IFERROR(MID(Q309,FIND(" (",Q309)+2,FIND(")",Q309,FIND(" (",Q309))-FIND(" (",Q309)-2),"?"),"")</f>
      </c>
      <c r="BR309" s="129">
        <f>IF(BQ309="","",IF(COUNTIF($BQ$3:BQ309,BQ309)=1,MAX($BR$2:BR308)+1,""))</f>
      </c>
      <c r="BS309" s="129">
        <f>IF(AW309="","",COUNTIF($AW$3:AW309,"?*"))</f>
      </c>
      <c r="BT309" s="129">
        <f>IF(OR(AW309="",AI309=""),"",IF(COUNTIFS($AW$3:AW309,"?*",$AI$3:AI309,AI309)=1,MAX($BT$2:BT308)+1,""))</f>
      </c>
      <c r="BU309" s="129">
        <f>IF(AE309="",0,IF(OR(ISNUMBER(SEARCH("дубль",AE309)),ISNUMBER(SEARCH("ПЕРЕГРУЗ",AE309)),ISNUMBER(SEARCH("ЗАЩИЩ",AE309)),ISNUMBER(SEARCH("КАНАЛ",AE309)),ISNUMBER(SEARCH("без 30",AE309))),2,1))</f>
      </c>
      <c r="BV309" s="129">
        <f>IF(R309="","",COUNTIF($R$3:R309,"?*"))</f>
      </c>
      <c r="BW309" s="129">
        <f>IF(AY309&lt;&gt;1,0,IF(MAX(IFERROR(--VLOOKUP(R309,УГО_спр,5,FALSE),0),IFERROR(--VLOOKUP(AL309,УГО_спр,5,FALSE),0),IFERROR(--VLOOKUP(LEFT(AL309,2),УГО_спр,5,FALSE),0))&gt;0,MAX(IFERROR(--VLOOKUP(R309,УГО_спр,5,FALSE),0),IFERROR(--VLOOKUP(AL309,УГО_спр,5,FALSE),0),IFERROR(--VLOOKUP(LEFT(AL309,2),УГО_спр,5,FALSE),0)),IF(IFERROR(--LEFT(SUBSTITUTE(BQ309,"x","х"),FIND("х",SUBSTITUTE(BQ309,"x","х"))-1),3)&gt;3,Каталог!$S$9,1)))</f>
      </c>
      <c r="BX309" s="129">
        <f>IF(AY309&lt;&gt;1,0,MAX(0,IFERROR(--LEFT(SUBSTITUTE(BQ309,"x","х"),FIND("х",SUBSTITUTE(BQ309,"x","х"))-1),3)-3*BW309))</f>
      </c>
      <c r="BY309" s="129">
        <f>IF(R309="","",IFERROR(VLOOKUP(R309,УГО_спр,2,FALSE),IFERROR(VLOOKUP(AL309,УГО_спр,2,FALSE),IFERROR(VLOOKUP(LEFT(AL309,2),УГО_спр,2,FALSE),""))))</f>
      </c>
    </row>
    <row r="310" spans="1:64" x14ac:dyDescent="0.3">
      <c r="A310" s="135">
        <f>IF(Разбивка_по_щитам!F310=0,"",Разбивка_по_щитам!F310)</f>
      </c>
      <c r="B310" s="138">
        <f>IF(A310="","",Разбивка_по_щитам!C310)</f>
      </c>
      <c r="C310" s="138">
        <f t="shared" si="170"/>
      </c>
      <c r="D310" s="266"/>
      <c r="E310" s="266"/>
      <c r="F310" s="267"/>
      <c r="G310" s="145">
        <f t="shared" ref="G310:G341" si="210">IF(OR(R310&lt;&gt;"",O310&lt;&gt;"",AY310=1),AG310,"")</f>
        <v/>
      </c>
      <c r="H310" s="145">
        <f t="shared" ref="H310:H341" si="211">IF(E310="","",IF(AND(E310&lt;&gt;"авто",E310&lt;&gt;"+"),E310,AT310&amp;" С"&amp;AQ310&amp;"А"&amp;IF(AS310=1," 30мА","")))</f>
        <v/>
      </c>
      <c r="I310" s="266"/>
      <c r="J310" s="267"/>
      <c r="K310" s="267"/>
      <c r="L310" s="266"/>
      <c r="M310" s="147">
        <f t="shared" ref="M310:M341" si="212">IF(OR(O310&lt;&gt;"",AND(L310&lt;&gt;"",L310&lt;&gt;"-")),AH310,"")</f>
        <v/>
      </c>
      <c r="N310" s="267"/>
      <c r="O310" s="147">
        <f t="shared" ref="O310:O341" si="213">IF(N310="=",AX309,IF(ISNUMBER(N310),N310,IF(AH310="","",IF(OR(R310&lt;&gt;"",N310="+",N310="р"),IF(OR(AW310&lt;&gt;"",AX309=""),1,AX309+1),""))))</f>
        <v/>
      </c>
      <c r="P310" s="268">
        <f>IF(AY310=1,"XT"&amp;COUNTIFS($A$3:A310,A310,$AY$3:AY310,1),"")</f>
        <v/>
      </c>
      <c r="Q310" s="152">
        <f>IF(R310="","",IFERROR(SUBSTITUTE(Разбивка_по_щитам!P310,CHAR(10)," "),""))</f>
        <v/>
      </c>
      <c r="R310" s="153">
        <f>IF(OR(Разбивка_по_щитам!H310="",Разбивка_по_щитам!H310=0),"",Разбивка_по_щитам!H310)</f>
        <v/>
      </c>
      <c r="S310" s="154">
        <f>IF(R310="","",IFERROR(Разбивка_по_щитам!J310&amp;"",""))</f>
        <v/>
      </c>
      <c r="T310" s="155">
        <f>IF(R310="","",IFERROR(--Разбивка_по_щитам!L310,""))</f>
        <v/>
      </c>
      <c r="U310" s="155">
        <f>IF(R310="","",IFERROR(--Разбивка_по_щитам!K310,""))</f>
        <v/>
      </c>
      <c r="V310" s="138">
        <f>IF(R310="","",IFERROR(IF(Разбивка_по_щитам!M310=0,"",Разбивка_по_щитам!M310),""))</f>
        <v/>
      </c>
      <c r="W310" s="156">
        <f t="shared" si="175"/>
        <v/>
      </c>
      <c r="X310" s="157">
        <f t="shared" si="176"/>
        <v/>
      </c>
      <c r="Y310" s="266"/>
      <c r="Z310" s="158">
        <f t="shared" si="177"/>
        <v/>
      </c>
      <c r="AA310" s="160">
        <f t="shared" si="178"/>
        <v/>
      </c>
      <c r="AB310" s="160">
        <f>IF(R310="","",IFERROR(LOOKUP(INDEX(Справочная!$I$4:$I$19,MATCH(VLOOKUP(R310,Исходные_данные,22,FALSE),Справочная!$J$4:$J$19,0)+1),{6,10,16,20,25,32,40,50,63,80,100,125}),""))</f>
        <v/>
      </c>
      <c r="AC310" s="160">
        <f t="shared" si="179"/>
        <v/>
      </c>
      <c r="AD310" s="161">
        <f t="shared" si="180"/>
        <v/>
      </c>
      <c r="AE310" s="161">
        <f>IF(AND(R310="",G310=""),"",_xlfn.TEXTJOIN("; ",TRUE,IF(AND(R310&lt;&gt;"",V310=""),"нет фазы",""),IF(AND(R310&lt;&gt;"",N(T310)=0),"нет мощности",""),IF(AND(P310&lt;&gt;"",COUNTIFS($A$3:$A$1000,A310,$P$3:$P$1000,P310)&gt;1),"дубль клеммы "&amp;P310,""),IF(AND(W310&lt;&gt;"",W310&lt;&gt;"ok"),W310,""),IF(X310&lt;&gt;"",X310,""),IF(AND(ISNUMBER(SEARCH("(5х",Q310)),N(AK310)=1),"5 жил на 1 фазе",""),IF(AND(AL310="R",E310&lt;&gt;"",N(AS310)=0),"розетка без 30 мА",""),IF(IFERROR(_xlfn.NUMBERVALUE(MID(Q310,FIND("-",Q310,FIND("L=",Q310))+1,FIND("%",Q310)-FIND("-",Q310,FIND("L=",Q310))-1),","),0)&gt;4,"потери &gt; 4 %","")))</f>
      </c>
      <c r="AF310" s="129">
        <f>IF(E310&lt;&gt;"",COUNTIFS($A$3:A310,A310,$E$3:E310,"?*"),IF(OR(A310&lt;&gt;A309,Y310="вручную"),"",AF309))</f>
      </c>
      <c r="AG310" s="129">
        <f t="shared" si="181"/>
      </c>
      <c r="AH310" s="129">
        <f t="shared" si="182"/>
        <v/>
      </c>
      <c r="AI310" s="129">
        <f t="shared" si="183"/>
        <v/>
      </c>
      <c r="AJ310" s="129">
        <f t="shared" si="184"/>
        <v/>
      </c>
      <c r="AK310" s="129">
        <f t="shared" si="185"/>
        <v/>
      </c>
      <c r="AL310" s="129">
        <f t="shared" si="186"/>
        <v/>
      </c>
      <c r="AM310" s="129">
        <f t="shared" si="187"/>
      </c>
      <c r="AN310" s="129">
        <f t="shared" si="188"/>
      </c>
      <c r="AO310" s="129">
        <f t="shared" si="189"/>
        <v/>
      </c>
      <c r="AP310" s="129">
        <f t="shared" si="190"/>
        <v/>
      </c>
      <c r="AQ310" s="129">
        <f t="shared" si="191"/>
        <v/>
      </c>
      <c r="AR310" s="129">
        <f t="shared" si="192"/>
        <v/>
      </c>
      <c r="AS310" s="129">
        <f t="shared" si="193"/>
        <v/>
      </c>
      <c r="AT310" s="129">
        <f t="shared" si="194"/>
        <v/>
      </c>
      <c r="AU310" s="129">
        <f t="shared" si="195"/>
        <v/>
      </c>
      <c r="AV310" s="129">
        <f t="shared" si="196"/>
        <v/>
      </c>
      <c r="AW310" s="129">
        <f>IF(AV310="","",AV310&amp;"."&amp;COUNTIFS($A$3:A310,A310,$AV$3:AV310,AV310))</f>
        <v/>
      </c>
      <c r="AX310" s="129">
        <f t="shared" si="197"/>
        <v/>
      </c>
      <c r="AY310" s="129">
        <f>IF(N310="б/к",0,IF(OR(ISNUMBER(SEARCH("L=",Разбивка_по_щитам!P310)),N310="+",N310="="),1,0))</f>
      </c>
      <c r="AZ310" s="129">
        <f t="shared" si="198"/>
      </c>
      <c r="BA310" s="129">
        <f t="shared" si="199"/>
      </c>
      <c r="BB310" s="129">
        <f t="shared" si="200"/>
      </c>
      <c r="BD310" s="129">
        <f t="shared" si="201"/>
      </c>
      <c r="BE310" s="129">
        <f t="shared" si="202"/>
      </c>
      <c r="BF310" s="129">
        <f t="shared" si="203"/>
      </c>
      <c r="BG310" s="129">
        <f t="shared" si="204"/>
        <v/>
      </c>
      <c r="BH310" s="129">
        <f t="shared" si="205"/>
        <v/>
      </c>
      <c r="BI310" s="129">
        <f t="shared" si="206"/>
        <v/>
      </c>
      <c r="BJ310" s="129">
        <f t="shared" si="207"/>
        <v/>
      </c>
      <c r="BK310" s="129">
        <f>IF(R310="","",IF(OR(BY310="",BY310=0),"BOX",IFERROR(IF(VLOOKUP(BY310,УГО_блоки,3,FALSE)&amp;""&lt;&gt;"",VLOOKUP(BY310,УГО_блоки,3,FALSE),VLOOKUP(BY310,УГО_блоки,2,FALSE)),BY310)))</f>
      </c>
      <c r="BL310" s="129">
        <f t="shared" si="209"/>
      </c>
      <c r="BM310" s="129">
        <f>IF(H310="","",IF(COUNTIF($H$3:H310,H310)=1,MAX($BM$2:BM309)+1,""))</f>
      </c>
      <c r="BN310" s="129">
        <f>IF(I310="","",IF(COUNTIF($I$3:I310,I310)+COUNTIF($J$2:J309,I310)+COUNTIF($K$2:K309,I310)=1,MAX($BN$2:BP309)+1,""))</f>
      </c>
      <c r="BO310" s="129">
        <f>IF(J310="","",IF(COUNTIF($I$3:I310,J310)+COUNTIF($J$3:J310,J310)+COUNTIF($K$2:K309,J310)=1,MAX($BN$2:BP309,BN310)+1,""))</f>
      </c>
      <c r="BP310" s="129">
        <f>IF(K310="","",IF(COUNTIF($I$3:I310,K310)+COUNTIF($J$3:J310,K310)+COUNTIF($K$3:K310,K310)=1,MAX($BN$2:BP309,BN310,BO310)+1,""))</f>
      </c>
      <c r="BQ310" s="129">
        <f>IF(AY310=1,IFERROR(MID(Q310,FIND(" (",Q310)+2,FIND(")",Q310,FIND(" (",Q310))-FIND(" (",Q310)-2),"?"),"")</f>
      </c>
      <c r="BR310" s="129">
        <f>IF(BQ310="","",IF(COUNTIF($BQ$3:BQ310,BQ310)=1,MAX($BR$2:BR309)+1,""))</f>
      </c>
      <c r="BS310" s="129">
        <f>IF(AW310="","",COUNTIF($AW$3:AW310,"?*"))</f>
      </c>
      <c r="BT310" s="129">
        <f>IF(OR(AW310="",AI310=""),"",IF(COUNTIFS($AW$3:AW310,"?*",$AI$3:AI310,AI310)=1,MAX($BT$2:BT309)+1,""))</f>
      </c>
      <c r="BU310" s="129">
        <f>IF(AE310="",0,IF(OR(ISNUMBER(SEARCH("дубль",AE310)),ISNUMBER(SEARCH("ПЕРЕГРУЗ",AE310)),ISNUMBER(SEARCH("ЗАЩИЩ",AE310)),ISNUMBER(SEARCH("КАНАЛ",AE310)),ISNUMBER(SEARCH("без 30",AE310))),2,1))</f>
      </c>
      <c r="BV310" s="129">
        <f>IF(R310="","",COUNTIF($R$3:R310,"?*"))</f>
      </c>
      <c r="BW310" s="129">
        <f>IF(AY310&lt;&gt;1,0,IF(MAX(IFERROR(--VLOOKUP(R310,УГО_спр,5,FALSE),0),IFERROR(--VLOOKUP(AL310,УГО_спр,5,FALSE),0),IFERROR(--VLOOKUP(LEFT(AL310,2),УГО_спр,5,FALSE),0))&gt;0,MAX(IFERROR(--VLOOKUP(R310,УГО_спр,5,FALSE),0),IFERROR(--VLOOKUP(AL310,УГО_спр,5,FALSE),0),IFERROR(--VLOOKUP(LEFT(AL310,2),УГО_спр,5,FALSE),0)),IF(IFERROR(--LEFT(SUBSTITUTE(BQ310,"x","х"),FIND("х",SUBSTITUTE(BQ310,"x","х"))-1),3)&gt;3,Каталог!$S$9,1)))</f>
      </c>
      <c r="BX310" s="129">
        <f>IF(AY310&lt;&gt;1,0,MAX(0,IFERROR(--LEFT(SUBSTITUTE(BQ310,"x","х"),FIND("х",SUBSTITUTE(BQ310,"x","х"))-1),3)-3*BW310))</f>
      </c>
      <c r="BY310" s="129">
        <f>IF(R310="","",IFERROR(VLOOKUP(R310,УГО_спр,2,FALSE),IFERROR(VLOOKUP(AL310,УГО_спр,2,FALSE),IFERROR(VLOOKUP(LEFT(AL310,2),УГО_спр,2,FALSE),""))))</f>
      </c>
    </row>
    <row r="311" spans="1:64" x14ac:dyDescent="0.3">
      <c r="A311" s="135">
        <f>IF(Разбивка_по_щитам!F311=0,"",Разбивка_по_щитам!F311)</f>
      </c>
      <c r="B311" s="138">
        <f>IF(A311="","",Разбивка_по_щитам!C311)</f>
      </c>
      <c r="C311" s="138">
        <f t="shared" si="170"/>
      </c>
      <c r="D311" s="266"/>
      <c r="E311" s="266"/>
      <c r="F311" s="267"/>
      <c r="G311" s="145">
        <f t="shared" si="210"/>
        <v/>
      </c>
      <c r="H311" s="145">
        <f t="shared" si="211"/>
        <v/>
      </c>
      <c r="I311" s="266"/>
      <c r="J311" s="267"/>
      <c r="K311" s="267"/>
      <c r="L311" s="266"/>
      <c r="M311" s="147">
        <f t="shared" si="212"/>
        <v/>
      </c>
      <c r="N311" s="267"/>
      <c r="O311" s="147">
        <f t="shared" si="213"/>
        <v/>
      </c>
      <c r="P311" s="268">
        <f>IF(AY311=1,"XT"&amp;COUNTIFS($A$3:A311,A311,$AY$3:AY311,1),"")</f>
        <v/>
      </c>
      <c r="Q311" s="152">
        <f>IF(R311="","",IFERROR(SUBSTITUTE(Разбивка_по_щитам!P311,CHAR(10)," "),""))</f>
        <v/>
      </c>
      <c r="R311" s="153">
        <f>IF(OR(Разбивка_по_щитам!H311="",Разбивка_по_щитам!H311=0),"",Разбивка_по_щитам!H311)</f>
        <v/>
      </c>
      <c r="S311" s="154">
        <f>IF(R311="","",IFERROR(Разбивка_по_щитам!J311&amp;"",""))</f>
        <v/>
      </c>
      <c r="T311" s="155">
        <f>IF(R311="","",IFERROR(--Разбивка_по_щитам!L311,""))</f>
        <v/>
      </c>
      <c r="U311" s="155">
        <f>IF(R311="","",IFERROR(--Разбивка_по_щитам!K311,""))</f>
        <v/>
      </c>
      <c r="V311" s="138">
        <f>IF(R311="","",IFERROR(IF(Разбивка_по_щитам!M311=0,"",Разбивка_по_щитам!M311),""))</f>
        <v/>
      </c>
      <c r="W311" s="156">
        <f t="shared" si="175"/>
        <v/>
      </c>
      <c r="X311" s="157">
        <f t="shared" si="176"/>
        <v/>
      </c>
      <c r="Y311" s="266"/>
      <c r="Z311" s="158">
        <f t="shared" si="177"/>
        <v/>
      </c>
      <c r="AA311" s="160">
        <f t="shared" si="178"/>
        <v/>
      </c>
      <c r="AB311" s="160">
        <f>IF(R311="","",IFERROR(LOOKUP(INDEX(Справочная!$I$4:$I$19,MATCH(VLOOKUP(R311,Исходные_данные,22,FALSE),Справочная!$J$4:$J$19,0)+1),{6,10,16,20,25,32,40,50,63,80,100,125}),""))</f>
        <v/>
      </c>
      <c r="AC311" s="160">
        <f t="shared" si="179"/>
        <v/>
      </c>
      <c r="AD311" s="161">
        <f t="shared" si="180"/>
        <v/>
      </c>
      <c r="AE311" s="161">
        <f>IF(AND(R311="",G311=""),"",_xlfn.TEXTJOIN("; ",TRUE,IF(AND(R311&lt;&gt;"",V311=""),"нет фазы",""),IF(AND(R311&lt;&gt;"",N(T311)=0),"нет мощности",""),IF(AND(P311&lt;&gt;"",COUNTIFS($A$3:$A$1000,A311,$P$3:$P$1000,P311)&gt;1),"дубль клеммы "&amp;P311,""),IF(AND(W311&lt;&gt;"",W311&lt;&gt;"ok"),W311,""),IF(X311&lt;&gt;"",X311,""),IF(AND(ISNUMBER(SEARCH("(5х",Q311)),N(AK311)=1),"5 жил на 1 фазе",""),IF(AND(AL311="R",E311&lt;&gt;"",N(AS311)=0),"розетка без 30 мА",""),IF(IFERROR(_xlfn.NUMBERVALUE(MID(Q311,FIND("-",Q311,FIND("L=",Q311))+1,FIND("%",Q311)-FIND("-",Q311,FIND("L=",Q311))-1),","),0)&gt;4,"потери &gt; 4 %","")))</f>
      </c>
      <c r="AF311" s="129">
        <f>IF(E311&lt;&gt;"",COUNTIFS($A$3:A311,A311,$E$3:E311,"?*"),IF(OR(A311&lt;&gt;A310,Y311="вручную"),"",AF310))</f>
      </c>
      <c r="AG311" s="129">
        <f t="shared" si="181"/>
      </c>
      <c r="AH311" s="129">
        <f t="shared" si="182"/>
        <v/>
      </c>
      <c r="AI311" s="129">
        <f t="shared" si="183"/>
        <v/>
      </c>
      <c r="AJ311" s="129">
        <f t="shared" si="184"/>
        <v/>
      </c>
      <c r="AK311" s="129">
        <f t="shared" si="185"/>
        <v/>
      </c>
      <c r="AL311" s="129">
        <f t="shared" si="186"/>
        <v/>
      </c>
      <c r="AM311" s="129">
        <f t="shared" si="187"/>
      </c>
      <c r="AN311" s="129">
        <f t="shared" si="188"/>
      </c>
      <c r="AO311" s="129">
        <f t="shared" si="189"/>
        <v/>
      </c>
      <c r="AP311" s="129">
        <f t="shared" si="190"/>
        <v/>
      </c>
      <c r="AQ311" s="129">
        <f t="shared" si="191"/>
        <v/>
      </c>
      <c r="AR311" s="129">
        <f t="shared" si="192"/>
        <v/>
      </c>
      <c r="AS311" s="129">
        <f t="shared" si="193"/>
        <v/>
      </c>
      <c r="AT311" s="129">
        <f t="shared" si="194"/>
        <v/>
      </c>
      <c r="AU311" s="129">
        <f t="shared" si="195"/>
        <v/>
      </c>
      <c r="AV311" s="129">
        <f t="shared" si="196"/>
        <v/>
      </c>
      <c r="AW311" s="129">
        <f>IF(AV311="","",AV311&amp;"."&amp;COUNTIFS($A$3:A311,A311,$AV$3:AV311,AV311))</f>
        <v/>
      </c>
      <c r="AX311" s="129">
        <f t="shared" si="197"/>
        <v/>
      </c>
      <c r="AY311" s="129">
        <f>IF(N311="б/к",0,IF(OR(ISNUMBER(SEARCH("L=",Разбивка_по_щитам!P311)),N311="+",N311="="),1,0))</f>
      </c>
      <c r="AZ311" s="129">
        <f t="shared" si="198"/>
      </c>
      <c r="BA311" s="129">
        <f t="shared" si="199"/>
      </c>
      <c r="BB311" s="129">
        <f t="shared" si="200"/>
      </c>
      <c r="BD311" s="129">
        <f t="shared" si="201"/>
      </c>
      <c r="BE311" s="129">
        <f t="shared" si="202"/>
      </c>
      <c r="BF311" s="129">
        <f t="shared" si="203"/>
      </c>
      <c r="BG311" s="129">
        <f t="shared" si="204"/>
        <v/>
      </c>
      <c r="BH311" s="129">
        <f t="shared" si="205"/>
        <v/>
      </c>
      <c r="BI311" s="129">
        <f t="shared" si="206"/>
        <v/>
      </c>
      <c r="BJ311" s="129">
        <f t="shared" si="207"/>
        <v/>
      </c>
      <c r="BK311" s="129">
        <f>IF(R311="","",IF(OR(BY311="",BY311=0),"BOX",IFERROR(IF(VLOOKUP(BY311,УГО_блоки,3,FALSE)&amp;""&lt;&gt;"",VLOOKUP(BY311,УГО_блоки,3,FALSE),VLOOKUP(BY311,УГО_блоки,2,FALSE)),BY311)))</f>
      </c>
      <c r="BL311" s="129">
        <f t="shared" si="209"/>
      </c>
      <c r="BM311" s="129">
        <f>IF(H311="","",IF(COUNTIF($H$3:H311,H311)=1,MAX($BM$2:BM310)+1,""))</f>
      </c>
      <c r="BN311" s="129">
        <f>IF(I311="","",IF(COUNTIF($I$3:I311,I311)+COUNTIF($J$2:J310,I311)+COUNTIF($K$2:K310,I311)=1,MAX($BN$2:BP310)+1,""))</f>
      </c>
      <c r="BO311" s="129">
        <f>IF(J311="","",IF(COUNTIF($I$3:I311,J311)+COUNTIF($J$3:J311,J311)+COUNTIF($K$2:K310,J311)=1,MAX($BN$2:BP310,BN311)+1,""))</f>
      </c>
      <c r="BP311" s="129">
        <f>IF(K311="","",IF(COUNTIF($I$3:I311,K311)+COUNTIF($J$3:J311,K311)+COUNTIF($K$3:K311,K311)=1,MAX($BN$2:BP310,BN311,BO311)+1,""))</f>
      </c>
      <c r="BQ311" s="129">
        <f>IF(AY311=1,IFERROR(MID(Q311,FIND(" (",Q311)+2,FIND(")",Q311,FIND(" (",Q311))-FIND(" (",Q311)-2),"?"),"")</f>
      </c>
      <c r="BR311" s="129">
        <f>IF(BQ311="","",IF(COUNTIF($BQ$3:BQ311,BQ311)=1,MAX($BR$2:BR310)+1,""))</f>
      </c>
      <c r="BS311" s="129">
        <f>IF(AW311="","",COUNTIF($AW$3:AW311,"?*"))</f>
      </c>
      <c r="BT311" s="129">
        <f>IF(OR(AW311="",AI311=""),"",IF(COUNTIFS($AW$3:AW311,"?*",$AI$3:AI311,AI311)=1,MAX($BT$2:BT310)+1,""))</f>
      </c>
      <c r="BU311" s="129">
        <f>IF(AE311="",0,IF(OR(ISNUMBER(SEARCH("дубль",AE311)),ISNUMBER(SEARCH("ПЕРЕГРУЗ",AE311)),ISNUMBER(SEARCH("ЗАЩИЩ",AE311)),ISNUMBER(SEARCH("КАНАЛ",AE311)),ISNUMBER(SEARCH("без 30",AE311))),2,1))</f>
      </c>
      <c r="BV311" s="129">
        <f>IF(R311="","",COUNTIF($R$3:R311,"?*"))</f>
      </c>
      <c r="BW311" s="129">
        <f>IF(AY311&lt;&gt;1,0,IF(MAX(IFERROR(--VLOOKUP(R311,УГО_спр,5,FALSE),0),IFERROR(--VLOOKUP(AL311,УГО_спр,5,FALSE),0),IFERROR(--VLOOKUP(LEFT(AL311,2),УГО_спр,5,FALSE),0))&gt;0,MAX(IFERROR(--VLOOKUP(R311,УГО_спр,5,FALSE),0),IFERROR(--VLOOKUP(AL311,УГО_спр,5,FALSE),0),IFERROR(--VLOOKUP(LEFT(AL311,2),УГО_спр,5,FALSE),0)),IF(IFERROR(--LEFT(SUBSTITUTE(BQ311,"x","х"),FIND("х",SUBSTITUTE(BQ311,"x","х"))-1),3)&gt;3,Каталог!$S$9,1)))</f>
      </c>
      <c r="BX311" s="129">
        <f>IF(AY311&lt;&gt;1,0,MAX(0,IFERROR(--LEFT(SUBSTITUTE(BQ311,"x","х"),FIND("х",SUBSTITUTE(BQ311,"x","х"))-1),3)-3*BW311))</f>
      </c>
      <c r="BY311" s="129">
        <f>IF(R311="","",IFERROR(VLOOKUP(R311,УГО_спр,2,FALSE),IFERROR(VLOOKUP(AL311,УГО_спр,2,FALSE),IFERROR(VLOOKUP(LEFT(AL311,2),УГО_спр,2,FALSE),""))))</f>
      </c>
    </row>
    <row r="312" spans="1:64" x14ac:dyDescent="0.3">
      <c r="A312" s="135">
        <f>IF(Разбивка_по_щитам!F312=0,"",Разбивка_по_щитам!F312)</f>
      </c>
      <c r="B312" s="138">
        <f>IF(A312="","",Разбивка_по_щитам!C312)</f>
      </c>
      <c r="C312" s="138">
        <f t="shared" si="170"/>
      </c>
      <c r="D312" s="266"/>
      <c r="E312" s="266"/>
      <c r="F312" s="267"/>
      <c r="G312" s="145">
        <f t="shared" si="210"/>
        <v/>
      </c>
      <c r="H312" s="145">
        <f t="shared" si="211"/>
        <v/>
      </c>
      <c r="I312" s="266"/>
      <c r="J312" s="267"/>
      <c r="K312" s="267"/>
      <c r="L312" s="266"/>
      <c r="M312" s="147">
        <f t="shared" si="212"/>
        <v/>
      </c>
      <c r="N312" s="267"/>
      <c r="O312" s="147">
        <f t="shared" si="213"/>
        <v/>
      </c>
      <c r="P312" s="268">
        <f>IF(AY312=1,"XT"&amp;COUNTIFS($A$3:A312,A312,$AY$3:AY312,1),"")</f>
        <v/>
      </c>
      <c r="Q312" s="152">
        <f>IF(R312="","",IFERROR(SUBSTITUTE(Разбивка_по_щитам!P312,CHAR(10)," "),""))</f>
        <v/>
      </c>
      <c r="R312" s="153">
        <f>IF(OR(Разбивка_по_щитам!H312="",Разбивка_по_щитам!H312=0),"",Разбивка_по_щитам!H312)</f>
        <v/>
      </c>
      <c r="S312" s="154">
        <f>IF(R312="","",IFERROR(Разбивка_по_щитам!J312&amp;"",""))</f>
        <v/>
      </c>
      <c r="T312" s="155">
        <f>IF(R312="","",IFERROR(--Разбивка_по_щитам!L312,""))</f>
        <v/>
      </c>
      <c r="U312" s="155">
        <f>IF(R312="","",IFERROR(--Разбивка_по_щитам!K312,""))</f>
        <v/>
      </c>
      <c r="V312" s="138">
        <f>IF(R312="","",IFERROR(IF(Разбивка_по_щитам!M312=0,"",Разбивка_по_щитам!M312),""))</f>
        <v/>
      </c>
      <c r="W312" s="156">
        <f t="shared" si="175"/>
        <v/>
      </c>
      <c r="X312" s="157">
        <f t="shared" si="176"/>
        <v/>
      </c>
      <c r="Y312" s="266"/>
      <c r="Z312" s="158">
        <f t="shared" si="177"/>
        <v/>
      </c>
      <c r="AA312" s="160">
        <f t="shared" si="178"/>
        <v/>
      </c>
      <c r="AB312" s="160">
        <f>IF(R312="","",IFERROR(LOOKUP(INDEX(Справочная!$I$4:$I$19,MATCH(VLOOKUP(R312,Исходные_данные,22,FALSE),Справочная!$J$4:$J$19,0)+1),{6,10,16,20,25,32,40,50,63,80,100,125}),""))</f>
        <v/>
      </c>
      <c r="AC312" s="160">
        <f t="shared" si="179"/>
        <v/>
      </c>
      <c r="AD312" s="161">
        <f t="shared" si="180"/>
        <v/>
      </c>
      <c r="AE312" s="161">
        <f>IF(AND(R312="",G312=""),"",_xlfn.TEXTJOIN("; ",TRUE,IF(AND(R312&lt;&gt;"",V312=""),"нет фазы",""),IF(AND(R312&lt;&gt;"",N(T312)=0),"нет мощности",""),IF(AND(P312&lt;&gt;"",COUNTIFS($A$3:$A$1000,A312,$P$3:$P$1000,P312)&gt;1),"дубль клеммы "&amp;P312,""),IF(AND(W312&lt;&gt;"",W312&lt;&gt;"ok"),W312,""),IF(X312&lt;&gt;"",X312,""),IF(AND(ISNUMBER(SEARCH("(5х",Q312)),N(AK312)=1),"5 жил на 1 фазе",""),IF(AND(AL312="R",E312&lt;&gt;"",N(AS312)=0),"розетка без 30 мА",""),IF(IFERROR(_xlfn.NUMBERVALUE(MID(Q312,FIND("-",Q312,FIND("L=",Q312))+1,FIND("%",Q312)-FIND("-",Q312,FIND("L=",Q312))-1),","),0)&gt;4,"потери &gt; 4 %","")))</f>
      </c>
      <c r="AF312" s="129">
        <f>IF(E312&lt;&gt;"",COUNTIFS($A$3:A312,A312,$E$3:E312,"?*"),IF(OR(A312&lt;&gt;A311,Y312="вручную"),"",AF311))</f>
      </c>
      <c r="AG312" s="129">
        <f t="shared" si="181"/>
      </c>
      <c r="AH312" s="129">
        <f t="shared" si="182"/>
        <v/>
      </c>
      <c r="AI312" s="129">
        <f t="shared" si="183"/>
        <v/>
      </c>
      <c r="AJ312" s="129">
        <f t="shared" si="184"/>
        <v/>
      </c>
      <c r="AK312" s="129">
        <f t="shared" si="185"/>
        <v/>
      </c>
      <c r="AL312" s="129">
        <f t="shared" si="186"/>
        <v/>
      </c>
      <c r="AM312" s="129">
        <f t="shared" si="187"/>
      </c>
      <c r="AN312" s="129">
        <f t="shared" si="188"/>
      </c>
      <c r="AO312" s="129">
        <f t="shared" si="189"/>
        <v/>
      </c>
      <c r="AP312" s="129">
        <f t="shared" si="190"/>
        <v/>
      </c>
      <c r="AQ312" s="129">
        <f t="shared" si="191"/>
        <v/>
      </c>
      <c r="AR312" s="129">
        <f t="shared" si="192"/>
        <v/>
      </c>
      <c r="AS312" s="129">
        <f t="shared" si="193"/>
        <v/>
      </c>
      <c r="AT312" s="129">
        <f t="shared" si="194"/>
        <v/>
      </c>
      <c r="AU312" s="129">
        <f t="shared" si="195"/>
        <v/>
      </c>
      <c r="AV312" s="129">
        <f t="shared" si="196"/>
        <v/>
      </c>
      <c r="AW312" s="129">
        <f>IF(AV312="","",AV312&amp;"."&amp;COUNTIFS($A$3:A312,A312,$AV$3:AV312,AV312))</f>
        <v/>
      </c>
      <c r="AX312" s="129">
        <f t="shared" si="197"/>
        <v/>
      </c>
      <c r="AY312" s="129">
        <f>IF(N312="б/к",0,IF(OR(ISNUMBER(SEARCH("L=",Разбивка_по_щитам!P312)),N312="+",N312="="),1,0))</f>
      </c>
      <c r="AZ312" s="129">
        <f t="shared" si="198"/>
      </c>
      <c r="BA312" s="129">
        <f t="shared" si="199"/>
      </c>
      <c r="BB312" s="129">
        <f t="shared" si="200"/>
      </c>
      <c r="BD312" s="129">
        <f t="shared" si="201"/>
      </c>
      <c r="BE312" s="129">
        <f t="shared" si="202"/>
      </c>
      <c r="BF312" s="129">
        <f t="shared" si="203"/>
      </c>
      <c r="BG312" s="129">
        <f t="shared" si="204"/>
        <v/>
      </c>
      <c r="BH312" s="129">
        <f t="shared" si="205"/>
        <v/>
      </c>
      <c r="BI312" s="129">
        <f t="shared" si="206"/>
        <v/>
      </c>
      <c r="BJ312" s="129">
        <f t="shared" si="207"/>
        <v/>
      </c>
      <c r="BK312" s="129">
        <f>IF(R312="","",IF(OR(BY312="",BY312=0),"BOX",IFERROR(IF(VLOOKUP(BY312,УГО_блоки,3,FALSE)&amp;""&lt;&gt;"",VLOOKUP(BY312,УГО_блоки,3,FALSE),VLOOKUP(BY312,УГО_блоки,2,FALSE)),BY312)))</f>
      </c>
      <c r="BL312" s="129">
        <f t="shared" si="209"/>
      </c>
      <c r="BM312" s="129">
        <f>IF(H312="","",IF(COUNTIF($H$3:H312,H312)=1,MAX($BM$2:BM311)+1,""))</f>
      </c>
      <c r="BN312" s="129">
        <f>IF(I312="","",IF(COUNTIF($I$3:I312,I312)+COUNTIF($J$2:J311,I312)+COUNTIF($K$2:K311,I312)=1,MAX($BN$2:BP311)+1,""))</f>
      </c>
      <c r="BO312" s="129">
        <f>IF(J312="","",IF(COUNTIF($I$3:I312,J312)+COUNTIF($J$3:J312,J312)+COUNTIF($K$2:K311,J312)=1,MAX($BN$2:BP311,BN312)+1,""))</f>
      </c>
      <c r="BP312" s="129">
        <f>IF(K312="","",IF(COUNTIF($I$3:I312,K312)+COUNTIF($J$3:J312,K312)+COUNTIF($K$3:K312,K312)=1,MAX($BN$2:BP311,BN312,BO312)+1,""))</f>
      </c>
      <c r="BQ312" s="129">
        <f>IF(AY312=1,IFERROR(MID(Q312,FIND(" (",Q312)+2,FIND(")",Q312,FIND(" (",Q312))-FIND(" (",Q312)-2),"?"),"")</f>
      </c>
      <c r="BR312" s="129">
        <f>IF(BQ312="","",IF(COUNTIF($BQ$3:BQ312,BQ312)=1,MAX($BR$2:BR311)+1,""))</f>
      </c>
      <c r="BS312" s="129">
        <f>IF(AW312="","",COUNTIF($AW$3:AW312,"?*"))</f>
      </c>
      <c r="BT312" s="129">
        <f>IF(OR(AW312="",AI312=""),"",IF(COUNTIFS($AW$3:AW312,"?*",$AI$3:AI312,AI312)=1,MAX($BT$2:BT311)+1,""))</f>
      </c>
      <c r="BU312" s="129">
        <f>IF(AE312="",0,IF(OR(ISNUMBER(SEARCH("дубль",AE312)),ISNUMBER(SEARCH("ПЕРЕГРУЗ",AE312)),ISNUMBER(SEARCH("ЗАЩИЩ",AE312)),ISNUMBER(SEARCH("КАНАЛ",AE312)),ISNUMBER(SEARCH("без 30",AE312))),2,1))</f>
      </c>
      <c r="BV312" s="129">
        <f>IF(R312="","",COUNTIF($R$3:R312,"?*"))</f>
      </c>
      <c r="BW312" s="129">
        <f>IF(AY312&lt;&gt;1,0,IF(MAX(IFERROR(--VLOOKUP(R312,УГО_спр,5,FALSE),0),IFERROR(--VLOOKUP(AL312,УГО_спр,5,FALSE),0),IFERROR(--VLOOKUP(LEFT(AL312,2),УГО_спр,5,FALSE),0))&gt;0,MAX(IFERROR(--VLOOKUP(R312,УГО_спр,5,FALSE),0),IFERROR(--VLOOKUP(AL312,УГО_спр,5,FALSE),0),IFERROR(--VLOOKUP(LEFT(AL312,2),УГО_спр,5,FALSE),0)),IF(IFERROR(--LEFT(SUBSTITUTE(BQ312,"x","х"),FIND("х",SUBSTITUTE(BQ312,"x","х"))-1),3)&gt;3,Каталог!$S$9,1)))</f>
      </c>
      <c r="BX312" s="129">
        <f>IF(AY312&lt;&gt;1,0,MAX(0,IFERROR(--LEFT(SUBSTITUTE(BQ312,"x","х"),FIND("х",SUBSTITUTE(BQ312,"x","х"))-1),3)-3*BW312))</f>
      </c>
      <c r="BY312" s="129">
        <f>IF(R312="","",IFERROR(VLOOKUP(R312,УГО_спр,2,FALSE),IFERROR(VLOOKUP(AL312,УГО_спр,2,FALSE),IFERROR(VLOOKUP(LEFT(AL312,2),УГО_спр,2,FALSE),""))))</f>
      </c>
    </row>
    <row r="313" spans="1:64" x14ac:dyDescent="0.3">
      <c r="A313" s="135">
        <f>IF(Разбивка_по_щитам!F313=0,"",Разбивка_по_щитам!F313)</f>
      </c>
      <c r="B313" s="138">
        <f>IF(A313="","",Разбивка_по_щитам!C313)</f>
      </c>
      <c r="C313" s="138">
        <f t="shared" si="170"/>
      </c>
      <c r="D313" s="266"/>
      <c r="E313" s="266"/>
      <c r="F313" s="267"/>
      <c r="G313" s="145">
        <f t="shared" si="210"/>
        <v/>
      </c>
      <c r="H313" s="145">
        <f t="shared" si="211"/>
        <v/>
      </c>
      <c r="I313" s="266"/>
      <c r="J313" s="267"/>
      <c r="K313" s="267"/>
      <c r="L313" s="266"/>
      <c r="M313" s="147">
        <f t="shared" si="212"/>
        <v/>
      </c>
      <c r="N313" s="267"/>
      <c r="O313" s="147">
        <f t="shared" si="213"/>
        <v/>
      </c>
      <c r="P313" s="268">
        <f>IF(AY313=1,"XT"&amp;COUNTIFS($A$3:A313,A313,$AY$3:AY313,1),"")</f>
        <v/>
      </c>
      <c r="Q313" s="152">
        <f>IF(R313="","",IFERROR(SUBSTITUTE(Разбивка_по_щитам!P313,CHAR(10)," "),""))</f>
        <v/>
      </c>
      <c r="R313" s="153">
        <f>IF(OR(Разбивка_по_щитам!H313="",Разбивка_по_щитам!H313=0),"",Разбивка_по_щитам!H313)</f>
        <v/>
      </c>
      <c r="S313" s="154">
        <f>IF(R313="","",IFERROR(Разбивка_по_щитам!J313&amp;"",""))</f>
        <v/>
      </c>
      <c r="T313" s="155">
        <f>IF(R313="","",IFERROR(--Разбивка_по_щитам!L313,""))</f>
        <v/>
      </c>
      <c r="U313" s="155">
        <f>IF(R313="","",IFERROR(--Разбивка_по_щитам!K313,""))</f>
        <v/>
      </c>
      <c r="V313" s="138">
        <f>IF(R313="","",IFERROR(IF(Разбивка_по_щитам!M313=0,"",Разбивка_по_щитам!M313),""))</f>
        <v/>
      </c>
      <c r="W313" s="156">
        <f t="shared" si="175"/>
        <v/>
      </c>
      <c r="X313" s="157">
        <f t="shared" si="176"/>
        <v/>
      </c>
      <c r="Y313" s="266"/>
      <c r="Z313" s="158">
        <f t="shared" si="177"/>
        <v/>
      </c>
      <c r="AA313" s="160">
        <f t="shared" si="178"/>
        <v/>
      </c>
      <c r="AB313" s="160">
        <f>IF(R313="","",IFERROR(LOOKUP(INDEX(Справочная!$I$4:$I$19,MATCH(VLOOKUP(R313,Исходные_данные,22,FALSE),Справочная!$J$4:$J$19,0)+1),{6,10,16,20,25,32,40,50,63,80,100,125}),""))</f>
        <v/>
      </c>
      <c r="AC313" s="160">
        <f t="shared" si="179"/>
        <v/>
      </c>
      <c r="AD313" s="161">
        <f t="shared" si="180"/>
        <v/>
      </c>
      <c r="AE313" s="161">
        <f>IF(AND(R313="",G313=""),"",_xlfn.TEXTJOIN("; ",TRUE,IF(AND(R313&lt;&gt;"",V313=""),"нет фазы",""),IF(AND(R313&lt;&gt;"",N(T313)=0),"нет мощности",""),IF(AND(P313&lt;&gt;"",COUNTIFS($A$3:$A$1000,A313,$P$3:$P$1000,P313)&gt;1),"дубль клеммы "&amp;P313,""),IF(AND(W313&lt;&gt;"",W313&lt;&gt;"ok"),W313,""),IF(X313&lt;&gt;"",X313,""),IF(AND(ISNUMBER(SEARCH("(5х",Q313)),N(AK313)=1),"5 жил на 1 фазе",""),IF(AND(AL313="R",E313&lt;&gt;"",N(AS313)=0),"розетка без 30 мА",""),IF(IFERROR(_xlfn.NUMBERVALUE(MID(Q313,FIND("-",Q313,FIND("L=",Q313))+1,FIND("%",Q313)-FIND("-",Q313,FIND("L=",Q313))-1),","),0)&gt;4,"потери &gt; 4 %","")))</f>
      </c>
      <c r="AF313" s="129">
        <f>IF(E313&lt;&gt;"",COUNTIFS($A$3:A313,A313,$E$3:E313,"?*"),IF(OR(A313&lt;&gt;A312,Y313="вручную"),"",AF312))</f>
      </c>
      <c r="AG313" s="129">
        <f t="shared" si="181"/>
      </c>
      <c r="AH313" s="129">
        <f t="shared" si="182"/>
        <v/>
      </c>
      <c r="AI313" s="129">
        <f t="shared" si="183"/>
        <v/>
      </c>
      <c r="AJ313" s="129">
        <f t="shared" si="184"/>
        <v/>
      </c>
      <c r="AK313" s="129">
        <f t="shared" si="185"/>
        <v/>
      </c>
      <c r="AL313" s="129">
        <f t="shared" si="186"/>
        <v/>
      </c>
      <c r="AM313" s="129">
        <f t="shared" si="187"/>
      </c>
      <c r="AN313" s="129">
        <f t="shared" si="188"/>
      </c>
      <c r="AO313" s="129">
        <f t="shared" si="189"/>
        <v/>
      </c>
      <c r="AP313" s="129">
        <f t="shared" si="190"/>
        <v/>
      </c>
      <c r="AQ313" s="129">
        <f t="shared" si="191"/>
        <v/>
      </c>
      <c r="AR313" s="129">
        <f t="shared" si="192"/>
        <v/>
      </c>
      <c r="AS313" s="129">
        <f t="shared" si="193"/>
        <v/>
      </c>
      <c r="AT313" s="129">
        <f t="shared" si="194"/>
        <v/>
      </c>
      <c r="AU313" s="129">
        <f t="shared" si="195"/>
        <v/>
      </c>
      <c r="AV313" s="129">
        <f t="shared" si="196"/>
        <v/>
      </c>
      <c r="AW313" s="129">
        <f>IF(AV313="","",AV313&amp;"."&amp;COUNTIFS($A$3:A313,A313,$AV$3:AV313,AV313))</f>
        <v/>
      </c>
      <c r="AX313" s="129">
        <f t="shared" si="197"/>
        <v/>
      </c>
      <c r="AY313" s="129">
        <f>IF(N313="б/к",0,IF(OR(ISNUMBER(SEARCH("L=",Разбивка_по_щитам!P313)),N313="+",N313="="),1,0))</f>
      </c>
      <c r="AZ313" s="129">
        <f t="shared" si="198"/>
      </c>
      <c r="BA313" s="129">
        <f t="shared" si="199"/>
      </c>
      <c r="BB313" s="129">
        <f t="shared" si="200"/>
      </c>
      <c r="BD313" s="129">
        <f t="shared" si="201"/>
      </c>
      <c r="BE313" s="129">
        <f t="shared" si="202"/>
      </c>
      <c r="BF313" s="129">
        <f t="shared" si="203"/>
      </c>
      <c r="BG313" s="129">
        <f t="shared" si="204"/>
        <v/>
      </c>
      <c r="BH313" s="129">
        <f t="shared" si="205"/>
        <v/>
      </c>
      <c r="BI313" s="129">
        <f t="shared" si="206"/>
        <v/>
      </c>
      <c r="BJ313" s="129">
        <f t="shared" si="207"/>
        <v/>
      </c>
      <c r="BK313" s="129">
        <f>IF(R313="","",IF(OR(BY313="",BY313=0),"BOX",IFERROR(IF(VLOOKUP(BY313,УГО_блоки,3,FALSE)&amp;""&lt;&gt;"",VLOOKUP(BY313,УГО_блоки,3,FALSE),VLOOKUP(BY313,УГО_блоки,2,FALSE)),BY313)))</f>
      </c>
      <c r="BL313" s="129">
        <f t="shared" si="209"/>
      </c>
      <c r="BM313" s="129">
        <f>IF(H313="","",IF(COUNTIF($H$3:H313,H313)=1,MAX($BM$2:BM312)+1,""))</f>
      </c>
      <c r="BN313" s="129">
        <f>IF(I313="","",IF(COUNTIF($I$3:I313,I313)+COUNTIF($J$2:J312,I313)+COUNTIF($K$2:K312,I313)=1,MAX($BN$2:BP312)+1,""))</f>
      </c>
      <c r="BO313" s="129">
        <f>IF(J313="","",IF(COUNTIF($I$3:I313,J313)+COUNTIF($J$3:J313,J313)+COUNTIF($K$2:K312,J313)=1,MAX($BN$2:BP312,BN313)+1,""))</f>
      </c>
      <c r="BP313" s="129">
        <f>IF(K313="","",IF(COUNTIF($I$3:I313,K313)+COUNTIF($J$3:J313,K313)+COUNTIF($K$3:K313,K313)=1,MAX($BN$2:BP312,BN313,BO313)+1,""))</f>
      </c>
      <c r="BQ313" s="129">
        <f>IF(AY313=1,IFERROR(MID(Q313,FIND(" (",Q313)+2,FIND(")",Q313,FIND(" (",Q313))-FIND(" (",Q313)-2),"?"),"")</f>
      </c>
      <c r="BR313" s="129">
        <f>IF(BQ313="","",IF(COUNTIF($BQ$3:BQ313,BQ313)=1,MAX($BR$2:BR312)+1,""))</f>
      </c>
      <c r="BS313" s="129">
        <f>IF(AW313="","",COUNTIF($AW$3:AW313,"?*"))</f>
      </c>
      <c r="BT313" s="129">
        <f>IF(OR(AW313="",AI313=""),"",IF(COUNTIFS($AW$3:AW313,"?*",$AI$3:AI313,AI313)=1,MAX($BT$2:BT312)+1,""))</f>
      </c>
      <c r="BU313" s="129">
        <f>IF(AE313="",0,IF(OR(ISNUMBER(SEARCH("дубль",AE313)),ISNUMBER(SEARCH("ПЕРЕГРУЗ",AE313)),ISNUMBER(SEARCH("ЗАЩИЩ",AE313)),ISNUMBER(SEARCH("КАНАЛ",AE313)),ISNUMBER(SEARCH("без 30",AE313))),2,1))</f>
      </c>
      <c r="BV313" s="129">
        <f>IF(R313="","",COUNTIF($R$3:R313,"?*"))</f>
      </c>
      <c r="BW313" s="129">
        <f>IF(AY313&lt;&gt;1,0,IF(MAX(IFERROR(--VLOOKUP(R313,УГО_спр,5,FALSE),0),IFERROR(--VLOOKUP(AL313,УГО_спр,5,FALSE),0),IFERROR(--VLOOKUP(LEFT(AL313,2),УГО_спр,5,FALSE),0))&gt;0,MAX(IFERROR(--VLOOKUP(R313,УГО_спр,5,FALSE),0),IFERROR(--VLOOKUP(AL313,УГО_спр,5,FALSE),0),IFERROR(--VLOOKUP(LEFT(AL313,2),УГО_спр,5,FALSE),0)),IF(IFERROR(--LEFT(SUBSTITUTE(BQ313,"x","х"),FIND("х",SUBSTITUTE(BQ313,"x","х"))-1),3)&gt;3,Каталог!$S$9,1)))</f>
      </c>
      <c r="BX313" s="129">
        <f>IF(AY313&lt;&gt;1,0,MAX(0,IFERROR(--LEFT(SUBSTITUTE(BQ313,"x","х"),FIND("х",SUBSTITUTE(BQ313,"x","х"))-1),3)-3*BW313))</f>
      </c>
      <c r="BY313" s="129">
        <f>IF(R313="","",IFERROR(VLOOKUP(R313,УГО_спр,2,FALSE),IFERROR(VLOOKUP(AL313,УГО_спр,2,FALSE),IFERROR(VLOOKUP(LEFT(AL313,2),УГО_спр,2,FALSE),""))))</f>
      </c>
    </row>
    <row r="314" spans="1:64" x14ac:dyDescent="0.3">
      <c r="A314" s="135">
        <f>IF(Разбивка_по_щитам!F314=0,"",Разбивка_по_щитам!F314)</f>
      </c>
      <c r="B314" s="138">
        <f>IF(A314="","",Разбивка_по_щитам!C314)</f>
      </c>
      <c r="C314" s="138">
        <f t="shared" si="170"/>
      </c>
      <c r="D314" s="266"/>
      <c r="E314" s="266"/>
      <c r="F314" s="267"/>
      <c r="G314" s="145">
        <f t="shared" si="210"/>
        <v/>
      </c>
      <c r="H314" s="145">
        <f t="shared" si="211"/>
        <v/>
      </c>
      <c r="I314" s="266"/>
      <c r="J314" s="267"/>
      <c r="K314" s="267"/>
      <c r="L314" s="266"/>
      <c r="M314" s="147">
        <f t="shared" si="212"/>
        <v/>
      </c>
      <c r="N314" s="267"/>
      <c r="O314" s="147">
        <f t="shared" si="213"/>
        <v/>
      </c>
      <c r="P314" s="268">
        <f>IF(AY314=1,"XT"&amp;COUNTIFS($A$3:A314,A314,$AY$3:AY314,1),"")</f>
        <v/>
      </c>
      <c r="Q314" s="152">
        <f>IF(R314="","",IFERROR(SUBSTITUTE(Разбивка_по_щитам!P314,CHAR(10)," "),""))</f>
        <v/>
      </c>
      <c r="R314" s="153">
        <f>IF(OR(Разбивка_по_щитам!H314="",Разбивка_по_щитам!H314=0),"",Разбивка_по_щитам!H314)</f>
        <v/>
      </c>
      <c r="S314" s="154">
        <f>IF(R314="","",IFERROR(Разбивка_по_щитам!J314&amp;"",""))</f>
        <v/>
      </c>
      <c r="T314" s="155">
        <f>IF(R314="","",IFERROR(--Разбивка_по_щитам!L314,""))</f>
        <v/>
      </c>
      <c r="U314" s="155">
        <f>IF(R314="","",IFERROR(--Разбивка_по_щитам!K314,""))</f>
        <v/>
      </c>
      <c r="V314" s="138">
        <f>IF(R314="","",IFERROR(IF(Разбивка_по_щитам!M314=0,"",Разбивка_по_щитам!M314),""))</f>
        <v/>
      </c>
      <c r="W314" s="156">
        <f t="shared" si="175"/>
        <v/>
      </c>
      <c r="X314" s="157">
        <f t="shared" si="176"/>
        <v/>
      </c>
      <c r="Y314" s="266"/>
      <c r="Z314" s="158">
        <f t="shared" si="177"/>
        <v/>
      </c>
      <c r="AA314" s="160">
        <f t="shared" si="178"/>
        <v/>
      </c>
      <c r="AB314" s="160">
        <f>IF(R314="","",IFERROR(LOOKUP(INDEX(Справочная!$I$4:$I$19,MATCH(VLOOKUP(R314,Исходные_данные,22,FALSE),Справочная!$J$4:$J$19,0)+1),{6,10,16,20,25,32,40,50,63,80,100,125}),""))</f>
        <v/>
      </c>
      <c r="AC314" s="160">
        <f t="shared" si="179"/>
        <v/>
      </c>
      <c r="AD314" s="161">
        <f t="shared" si="180"/>
        <v/>
      </c>
      <c r="AE314" s="161">
        <f>IF(AND(R314="",G314=""),"",_xlfn.TEXTJOIN("; ",TRUE,IF(AND(R314&lt;&gt;"",V314=""),"нет фазы",""),IF(AND(R314&lt;&gt;"",N(T314)=0),"нет мощности",""),IF(AND(P314&lt;&gt;"",COUNTIFS($A$3:$A$1000,A314,$P$3:$P$1000,P314)&gt;1),"дубль клеммы "&amp;P314,""),IF(AND(W314&lt;&gt;"",W314&lt;&gt;"ok"),W314,""),IF(X314&lt;&gt;"",X314,""),IF(AND(ISNUMBER(SEARCH("(5х",Q314)),N(AK314)=1),"5 жил на 1 фазе",""),IF(AND(AL314="R",E314&lt;&gt;"",N(AS314)=0),"розетка без 30 мА",""),IF(IFERROR(_xlfn.NUMBERVALUE(MID(Q314,FIND("-",Q314,FIND("L=",Q314))+1,FIND("%",Q314)-FIND("-",Q314,FIND("L=",Q314))-1),","),0)&gt;4,"потери &gt; 4 %","")))</f>
      </c>
      <c r="AF314" s="129">
        <f>IF(E314&lt;&gt;"",COUNTIFS($A$3:A314,A314,$E$3:E314,"?*"),IF(OR(A314&lt;&gt;A313,Y314="вручную"),"",AF313))</f>
      </c>
      <c r="AG314" s="129">
        <f t="shared" si="181"/>
      </c>
      <c r="AH314" s="129">
        <f t="shared" si="182"/>
        <v/>
      </c>
      <c r="AI314" s="129">
        <f t="shared" si="183"/>
        <v/>
      </c>
      <c r="AJ314" s="129">
        <f t="shared" si="184"/>
        <v/>
      </c>
      <c r="AK314" s="129">
        <f t="shared" si="185"/>
        <v/>
      </c>
      <c r="AL314" s="129">
        <f t="shared" si="186"/>
        <v/>
      </c>
      <c r="AM314" s="129">
        <f t="shared" si="187"/>
      </c>
      <c r="AN314" s="129">
        <f t="shared" si="188"/>
      </c>
      <c r="AO314" s="129">
        <f t="shared" si="189"/>
        <v/>
      </c>
      <c r="AP314" s="129">
        <f t="shared" si="190"/>
        <v/>
      </c>
      <c r="AQ314" s="129">
        <f t="shared" si="191"/>
        <v/>
      </c>
      <c r="AR314" s="129">
        <f t="shared" si="192"/>
        <v/>
      </c>
      <c r="AS314" s="129">
        <f t="shared" si="193"/>
        <v/>
      </c>
      <c r="AT314" s="129">
        <f t="shared" si="194"/>
        <v/>
      </c>
      <c r="AU314" s="129">
        <f t="shared" si="195"/>
        <v/>
      </c>
      <c r="AV314" s="129">
        <f t="shared" si="196"/>
        <v/>
      </c>
      <c r="AW314" s="129">
        <f>IF(AV314="","",AV314&amp;"."&amp;COUNTIFS($A$3:A314,A314,$AV$3:AV314,AV314))</f>
        <v/>
      </c>
      <c r="AX314" s="129">
        <f t="shared" si="197"/>
        <v/>
      </c>
      <c r="AY314" s="129">
        <f>IF(N314="б/к",0,IF(OR(ISNUMBER(SEARCH("L=",Разбивка_по_щитам!P314)),N314="+",N314="="),1,0))</f>
      </c>
      <c r="AZ314" s="129">
        <f t="shared" si="198"/>
      </c>
      <c r="BA314" s="129">
        <f t="shared" si="199"/>
      </c>
      <c r="BB314" s="129">
        <f t="shared" si="200"/>
      </c>
      <c r="BD314" s="129">
        <f t="shared" si="201"/>
      </c>
      <c r="BE314" s="129">
        <f t="shared" si="202"/>
      </c>
      <c r="BF314" s="129">
        <f t="shared" si="203"/>
      </c>
      <c r="BG314" s="129">
        <f t="shared" si="204"/>
        <v/>
      </c>
      <c r="BH314" s="129">
        <f t="shared" si="205"/>
        <v/>
      </c>
      <c r="BI314" s="129">
        <f t="shared" si="206"/>
        <v/>
      </c>
      <c r="BJ314" s="129">
        <f t="shared" si="207"/>
        <v/>
      </c>
      <c r="BK314" s="129">
        <f>IF(R314="","",IF(OR(BY314="",BY314=0),"BOX",IFERROR(IF(VLOOKUP(BY314,УГО_блоки,3,FALSE)&amp;""&lt;&gt;"",VLOOKUP(BY314,УГО_блоки,3,FALSE),VLOOKUP(BY314,УГО_блоки,2,FALSE)),BY314)))</f>
      </c>
      <c r="BL314" s="129">
        <f t="shared" si="209"/>
      </c>
      <c r="BM314" s="129">
        <f>IF(H314="","",IF(COUNTIF($H$3:H314,H314)=1,MAX($BM$2:BM313)+1,""))</f>
      </c>
      <c r="BN314" s="129">
        <f>IF(I314="","",IF(COUNTIF($I$3:I314,I314)+COUNTIF($J$2:J313,I314)+COUNTIF($K$2:K313,I314)=1,MAX($BN$2:BP313)+1,""))</f>
      </c>
      <c r="BO314" s="129">
        <f>IF(J314="","",IF(COUNTIF($I$3:I314,J314)+COUNTIF($J$3:J314,J314)+COUNTIF($K$2:K313,J314)=1,MAX($BN$2:BP313,BN314)+1,""))</f>
      </c>
      <c r="BP314" s="129">
        <f>IF(K314="","",IF(COUNTIF($I$3:I314,K314)+COUNTIF($J$3:J314,K314)+COUNTIF($K$3:K314,K314)=1,MAX($BN$2:BP313,BN314,BO314)+1,""))</f>
      </c>
      <c r="BQ314" s="129">
        <f>IF(AY314=1,IFERROR(MID(Q314,FIND(" (",Q314)+2,FIND(")",Q314,FIND(" (",Q314))-FIND(" (",Q314)-2),"?"),"")</f>
      </c>
      <c r="BR314" s="129">
        <f>IF(BQ314="","",IF(COUNTIF($BQ$3:BQ314,BQ314)=1,MAX($BR$2:BR313)+1,""))</f>
      </c>
      <c r="BS314" s="129">
        <f>IF(AW314="","",COUNTIF($AW$3:AW314,"?*"))</f>
      </c>
      <c r="BT314" s="129">
        <f>IF(OR(AW314="",AI314=""),"",IF(COUNTIFS($AW$3:AW314,"?*",$AI$3:AI314,AI314)=1,MAX($BT$2:BT313)+1,""))</f>
      </c>
      <c r="BU314" s="129">
        <f>IF(AE314="",0,IF(OR(ISNUMBER(SEARCH("дубль",AE314)),ISNUMBER(SEARCH("ПЕРЕГРУЗ",AE314)),ISNUMBER(SEARCH("ЗАЩИЩ",AE314)),ISNUMBER(SEARCH("КАНАЛ",AE314)),ISNUMBER(SEARCH("без 30",AE314))),2,1))</f>
      </c>
      <c r="BV314" s="129">
        <f>IF(R314="","",COUNTIF($R$3:R314,"?*"))</f>
      </c>
      <c r="BW314" s="129">
        <f>IF(AY314&lt;&gt;1,0,IF(MAX(IFERROR(--VLOOKUP(R314,УГО_спр,5,FALSE),0),IFERROR(--VLOOKUP(AL314,УГО_спр,5,FALSE),0),IFERROR(--VLOOKUP(LEFT(AL314,2),УГО_спр,5,FALSE),0))&gt;0,MAX(IFERROR(--VLOOKUP(R314,УГО_спр,5,FALSE),0),IFERROR(--VLOOKUP(AL314,УГО_спр,5,FALSE),0),IFERROR(--VLOOKUP(LEFT(AL314,2),УГО_спр,5,FALSE),0)),IF(IFERROR(--LEFT(SUBSTITUTE(BQ314,"x","х"),FIND("х",SUBSTITUTE(BQ314,"x","х"))-1),3)&gt;3,Каталог!$S$9,1)))</f>
      </c>
      <c r="BX314" s="129">
        <f>IF(AY314&lt;&gt;1,0,MAX(0,IFERROR(--LEFT(SUBSTITUTE(BQ314,"x","х"),FIND("х",SUBSTITUTE(BQ314,"x","х"))-1),3)-3*BW314))</f>
      </c>
      <c r="BY314" s="129">
        <f>IF(R314="","",IFERROR(VLOOKUP(R314,УГО_спр,2,FALSE),IFERROR(VLOOKUP(AL314,УГО_спр,2,FALSE),IFERROR(VLOOKUP(LEFT(AL314,2),УГО_спр,2,FALSE),""))))</f>
      </c>
    </row>
    <row r="315" spans="1:64" x14ac:dyDescent="0.3">
      <c r="A315" s="135">
        <f>IF(Разбивка_по_щитам!F315=0,"",Разбивка_по_щитам!F315)</f>
      </c>
      <c r="B315" s="138">
        <f>IF(A315="","",Разбивка_по_щитам!C315)</f>
      </c>
      <c r="C315" s="138">
        <f t="shared" si="170"/>
      </c>
      <c r="D315" s="266"/>
      <c r="E315" s="266"/>
      <c r="F315" s="267"/>
      <c r="G315" s="145">
        <f t="shared" si="210"/>
        <v/>
      </c>
      <c r="H315" s="145">
        <f t="shared" si="211"/>
        <v/>
      </c>
      <c r="I315" s="266"/>
      <c r="J315" s="267"/>
      <c r="K315" s="267"/>
      <c r="L315" s="266"/>
      <c r="M315" s="147">
        <f t="shared" si="212"/>
        <v/>
      </c>
      <c r="N315" s="267"/>
      <c r="O315" s="147">
        <f t="shared" si="213"/>
        <v/>
      </c>
      <c r="P315" s="268">
        <f>IF(AY315=1,"XT"&amp;COUNTIFS($A$3:A315,A315,$AY$3:AY315,1),"")</f>
        <v/>
      </c>
      <c r="Q315" s="152">
        <f>IF(R315="","",IFERROR(SUBSTITUTE(Разбивка_по_щитам!P315,CHAR(10)," "),""))</f>
        <v/>
      </c>
      <c r="R315" s="153">
        <f>IF(OR(Разбивка_по_щитам!H315="",Разбивка_по_щитам!H315=0),"",Разбивка_по_щитам!H315)</f>
        <v/>
      </c>
      <c r="S315" s="154">
        <f>IF(R315="","",IFERROR(Разбивка_по_щитам!J315&amp;"",""))</f>
        <v/>
      </c>
      <c r="T315" s="155">
        <f>IF(R315="","",IFERROR(--Разбивка_по_щитам!L315,""))</f>
        <v/>
      </c>
      <c r="U315" s="155">
        <f>IF(R315="","",IFERROR(--Разбивка_по_щитам!K315,""))</f>
        <v/>
      </c>
      <c r="V315" s="138">
        <f>IF(R315="","",IFERROR(IF(Разбивка_по_щитам!M315=0,"",Разбивка_по_щитам!M315),""))</f>
        <v/>
      </c>
      <c r="W315" s="156">
        <f t="shared" si="175"/>
        <v/>
      </c>
      <c r="X315" s="157">
        <f t="shared" si="176"/>
        <v/>
      </c>
      <c r="Y315" s="266"/>
      <c r="Z315" s="158">
        <f t="shared" si="177"/>
        <v/>
      </c>
      <c r="AA315" s="160">
        <f t="shared" si="178"/>
        <v/>
      </c>
      <c r="AB315" s="160">
        <f>IF(R315="","",IFERROR(LOOKUP(INDEX(Справочная!$I$4:$I$19,MATCH(VLOOKUP(R315,Исходные_данные,22,FALSE),Справочная!$J$4:$J$19,0)+1),{6,10,16,20,25,32,40,50,63,80,100,125}),""))</f>
        <v/>
      </c>
      <c r="AC315" s="160">
        <f t="shared" si="179"/>
        <v/>
      </c>
      <c r="AD315" s="161">
        <f t="shared" si="180"/>
        <v/>
      </c>
      <c r="AE315" s="161">
        <f>IF(AND(R315="",G315=""),"",_xlfn.TEXTJOIN("; ",TRUE,IF(AND(R315&lt;&gt;"",V315=""),"нет фазы",""),IF(AND(R315&lt;&gt;"",N(T315)=0),"нет мощности",""),IF(AND(P315&lt;&gt;"",COUNTIFS($A$3:$A$1000,A315,$P$3:$P$1000,P315)&gt;1),"дубль клеммы "&amp;P315,""),IF(AND(W315&lt;&gt;"",W315&lt;&gt;"ok"),W315,""),IF(X315&lt;&gt;"",X315,""),IF(AND(ISNUMBER(SEARCH("(5х",Q315)),N(AK315)=1),"5 жил на 1 фазе",""),IF(AND(AL315="R",E315&lt;&gt;"",N(AS315)=0),"розетка без 30 мА",""),IF(IFERROR(_xlfn.NUMBERVALUE(MID(Q315,FIND("-",Q315,FIND("L=",Q315))+1,FIND("%",Q315)-FIND("-",Q315,FIND("L=",Q315))-1),","),0)&gt;4,"потери &gt; 4 %","")))</f>
      </c>
      <c r="AF315" s="129">
        <f>IF(E315&lt;&gt;"",COUNTIFS($A$3:A315,A315,$E$3:E315,"?*"),IF(OR(A315&lt;&gt;A314,Y315="вручную"),"",AF314))</f>
      </c>
      <c r="AG315" s="129">
        <f t="shared" si="181"/>
      </c>
      <c r="AH315" s="129">
        <f t="shared" si="182"/>
        <v/>
      </c>
      <c r="AI315" s="129">
        <f t="shared" si="183"/>
        <v/>
      </c>
      <c r="AJ315" s="129">
        <f t="shared" si="184"/>
        <v/>
      </c>
      <c r="AK315" s="129">
        <f t="shared" si="185"/>
        <v/>
      </c>
      <c r="AL315" s="129">
        <f t="shared" si="186"/>
        <v/>
      </c>
      <c r="AM315" s="129">
        <f t="shared" si="187"/>
      </c>
      <c r="AN315" s="129">
        <f t="shared" si="188"/>
      </c>
      <c r="AO315" s="129">
        <f t="shared" si="189"/>
        <v/>
      </c>
      <c r="AP315" s="129">
        <f t="shared" si="190"/>
        <v/>
      </c>
      <c r="AQ315" s="129">
        <f t="shared" si="191"/>
        <v/>
      </c>
      <c r="AR315" s="129">
        <f t="shared" si="192"/>
        <v/>
      </c>
      <c r="AS315" s="129">
        <f t="shared" si="193"/>
        <v/>
      </c>
      <c r="AT315" s="129">
        <f t="shared" si="194"/>
        <v/>
      </c>
      <c r="AU315" s="129">
        <f t="shared" si="195"/>
        <v/>
      </c>
      <c r="AV315" s="129">
        <f t="shared" si="196"/>
        <v/>
      </c>
      <c r="AW315" s="129">
        <f>IF(AV315="","",AV315&amp;"."&amp;COUNTIFS($A$3:A315,A315,$AV$3:AV315,AV315))</f>
        <v/>
      </c>
      <c r="AX315" s="129">
        <f t="shared" si="197"/>
        <v/>
      </c>
      <c r="AY315" s="129">
        <f>IF(N315="б/к",0,IF(OR(ISNUMBER(SEARCH("L=",Разбивка_по_щитам!P315)),N315="+",N315="="),1,0))</f>
      </c>
      <c r="AZ315" s="129">
        <f t="shared" si="198"/>
      </c>
      <c r="BA315" s="129">
        <f t="shared" si="199"/>
      </c>
      <c r="BB315" s="129">
        <f t="shared" si="200"/>
      </c>
      <c r="BD315" s="129">
        <f t="shared" si="201"/>
      </c>
      <c r="BE315" s="129">
        <f t="shared" si="202"/>
      </c>
      <c r="BF315" s="129">
        <f t="shared" si="203"/>
      </c>
      <c r="BG315" s="129">
        <f t="shared" si="204"/>
        <v/>
      </c>
      <c r="BH315" s="129">
        <f t="shared" si="205"/>
        <v/>
      </c>
      <c r="BI315" s="129">
        <f t="shared" si="206"/>
        <v/>
      </c>
      <c r="BJ315" s="129">
        <f t="shared" si="207"/>
        <v/>
      </c>
      <c r="BK315" s="129">
        <f>IF(R315="","",IF(OR(BY315="",BY315=0),"BOX",IFERROR(IF(VLOOKUP(BY315,УГО_блоки,3,FALSE)&amp;""&lt;&gt;"",VLOOKUP(BY315,УГО_блоки,3,FALSE),VLOOKUP(BY315,УГО_блоки,2,FALSE)),BY315)))</f>
      </c>
      <c r="BL315" s="129">
        <f t="shared" si="209"/>
      </c>
      <c r="BM315" s="129">
        <f>IF(H315="","",IF(COUNTIF($H$3:H315,H315)=1,MAX($BM$2:BM314)+1,""))</f>
      </c>
      <c r="BN315" s="129">
        <f>IF(I315="","",IF(COUNTIF($I$3:I315,I315)+COUNTIF($J$2:J314,I315)+COUNTIF($K$2:K314,I315)=1,MAX($BN$2:BP314)+1,""))</f>
      </c>
      <c r="BO315" s="129">
        <f>IF(J315="","",IF(COUNTIF($I$3:I315,J315)+COUNTIF($J$3:J315,J315)+COUNTIF($K$2:K314,J315)=1,MAX($BN$2:BP314,BN315)+1,""))</f>
      </c>
      <c r="BP315" s="129">
        <f>IF(K315="","",IF(COUNTIF($I$3:I315,K315)+COUNTIF($J$3:J315,K315)+COUNTIF($K$3:K315,K315)=1,MAX($BN$2:BP314,BN315,BO315)+1,""))</f>
      </c>
      <c r="BQ315" s="129">
        <f>IF(AY315=1,IFERROR(MID(Q315,FIND(" (",Q315)+2,FIND(")",Q315,FIND(" (",Q315))-FIND(" (",Q315)-2),"?"),"")</f>
      </c>
      <c r="BR315" s="129">
        <f>IF(BQ315="","",IF(COUNTIF($BQ$3:BQ315,BQ315)=1,MAX($BR$2:BR314)+1,""))</f>
      </c>
      <c r="BS315" s="129">
        <f>IF(AW315="","",COUNTIF($AW$3:AW315,"?*"))</f>
      </c>
      <c r="BT315" s="129">
        <f>IF(OR(AW315="",AI315=""),"",IF(COUNTIFS($AW$3:AW315,"?*",$AI$3:AI315,AI315)=1,MAX($BT$2:BT314)+1,""))</f>
      </c>
      <c r="BU315" s="129">
        <f>IF(AE315="",0,IF(OR(ISNUMBER(SEARCH("дубль",AE315)),ISNUMBER(SEARCH("ПЕРЕГРУЗ",AE315)),ISNUMBER(SEARCH("ЗАЩИЩ",AE315)),ISNUMBER(SEARCH("КАНАЛ",AE315)),ISNUMBER(SEARCH("без 30",AE315))),2,1))</f>
      </c>
      <c r="BV315" s="129">
        <f>IF(R315="","",COUNTIF($R$3:R315,"?*"))</f>
      </c>
      <c r="BW315" s="129">
        <f>IF(AY315&lt;&gt;1,0,IF(MAX(IFERROR(--VLOOKUP(R315,УГО_спр,5,FALSE),0),IFERROR(--VLOOKUP(AL315,УГО_спр,5,FALSE),0),IFERROR(--VLOOKUP(LEFT(AL315,2),УГО_спр,5,FALSE),0))&gt;0,MAX(IFERROR(--VLOOKUP(R315,УГО_спр,5,FALSE),0),IFERROR(--VLOOKUP(AL315,УГО_спр,5,FALSE),0),IFERROR(--VLOOKUP(LEFT(AL315,2),УГО_спр,5,FALSE),0)),IF(IFERROR(--LEFT(SUBSTITUTE(BQ315,"x","х"),FIND("х",SUBSTITUTE(BQ315,"x","х"))-1),3)&gt;3,Каталог!$S$9,1)))</f>
      </c>
      <c r="BX315" s="129">
        <f>IF(AY315&lt;&gt;1,0,MAX(0,IFERROR(--LEFT(SUBSTITUTE(BQ315,"x","х"),FIND("х",SUBSTITUTE(BQ315,"x","х"))-1),3)-3*BW315))</f>
      </c>
      <c r="BY315" s="129">
        <f>IF(R315="","",IFERROR(VLOOKUP(R315,УГО_спр,2,FALSE),IFERROR(VLOOKUP(AL315,УГО_спр,2,FALSE),IFERROR(VLOOKUP(LEFT(AL315,2),УГО_спр,2,FALSE),""))))</f>
      </c>
    </row>
    <row r="316" spans="1:64" x14ac:dyDescent="0.3">
      <c r="A316" s="135">
        <f>IF(Разбивка_по_щитам!F316=0,"",Разбивка_по_щитам!F316)</f>
      </c>
      <c r="B316" s="138">
        <f>IF(A316="","",Разбивка_по_щитам!C316)</f>
      </c>
      <c r="C316" s="138">
        <f t="shared" si="170"/>
      </c>
      <c r="D316" s="266"/>
      <c r="E316" s="266"/>
      <c r="F316" s="267"/>
      <c r="G316" s="145">
        <f t="shared" si="210"/>
        <v/>
      </c>
      <c r="H316" s="145">
        <f t="shared" si="211"/>
        <v/>
      </c>
      <c r="I316" s="266"/>
      <c r="J316" s="267"/>
      <c r="K316" s="267"/>
      <c r="L316" s="266"/>
      <c r="M316" s="147">
        <f t="shared" si="212"/>
        <v/>
      </c>
      <c r="N316" s="267"/>
      <c r="O316" s="147">
        <f t="shared" si="213"/>
        <v/>
      </c>
      <c r="P316" s="268">
        <f>IF(AY316=1,"XT"&amp;COUNTIFS($A$3:A316,A316,$AY$3:AY316,1),"")</f>
        <v/>
      </c>
      <c r="Q316" s="152">
        <f>IF(R316="","",IFERROR(SUBSTITUTE(Разбивка_по_щитам!P316,CHAR(10)," "),""))</f>
        <v/>
      </c>
      <c r="R316" s="153">
        <f>IF(OR(Разбивка_по_щитам!H316="",Разбивка_по_щитам!H316=0),"",Разбивка_по_щитам!H316)</f>
        <v/>
      </c>
      <c r="S316" s="154">
        <f>IF(R316="","",IFERROR(Разбивка_по_щитам!J316&amp;"",""))</f>
        <v/>
      </c>
      <c r="T316" s="155">
        <f>IF(R316="","",IFERROR(--Разбивка_по_щитам!L316,""))</f>
        <v/>
      </c>
      <c r="U316" s="155">
        <f>IF(R316="","",IFERROR(--Разбивка_по_щитам!K316,""))</f>
        <v/>
      </c>
      <c r="V316" s="138">
        <f>IF(R316="","",IFERROR(IF(Разбивка_по_щитам!M316=0,"",Разбивка_по_щитам!M316),""))</f>
        <v/>
      </c>
      <c r="W316" s="156">
        <f t="shared" si="175"/>
        <v/>
      </c>
      <c r="X316" s="157">
        <f t="shared" si="176"/>
        <v/>
      </c>
      <c r="Y316" s="266"/>
      <c r="Z316" s="158">
        <f t="shared" si="177"/>
        <v/>
      </c>
      <c r="AA316" s="160">
        <f t="shared" si="178"/>
        <v/>
      </c>
      <c r="AB316" s="160">
        <f>IF(R316="","",IFERROR(LOOKUP(INDEX(Справочная!$I$4:$I$19,MATCH(VLOOKUP(R316,Исходные_данные,22,FALSE),Справочная!$J$4:$J$19,0)+1),{6,10,16,20,25,32,40,50,63,80,100,125}),""))</f>
        <v/>
      </c>
      <c r="AC316" s="160">
        <f t="shared" si="179"/>
        <v/>
      </c>
      <c r="AD316" s="161">
        <f t="shared" si="180"/>
        <v/>
      </c>
      <c r="AE316" s="161">
        <f>IF(AND(R316="",G316=""),"",_xlfn.TEXTJOIN("; ",TRUE,IF(AND(R316&lt;&gt;"",V316=""),"нет фазы",""),IF(AND(R316&lt;&gt;"",N(T316)=0),"нет мощности",""),IF(AND(P316&lt;&gt;"",COUNTIFS($A$3:$A$1000,A316,$P$3:$P$1000,P316)&gt;1),"дубль клеммы "&amp;P316,""),IF(AND(W316&lt;&gt;"",W316&lt;&gt;"ok"),W316,""),IF(X316&lt;&gt;"",X316,""),IF(AND(ISNUMBER(SEARCH("(5х",Q316)),N(AK316)=1),"5 жил на 1 фазе",""),IF(AND(AL316="R",E316&lt;&gt;"",N(AS316)=0),"розетка без 30 мА",""),IF(IFERROR(_xlfn.NUMBERVALUE(MID(Q316,FIND("-",Q316,FIND("L=",Q316))+1,FIND("%",Q316)-FIND("-",Q316,FIND("L=",Q316))-1),","),0)&gt;4,"потери &gt; 4 %","")))</f>
      </c>
      <c r="AF316" s="129">
        <f>IF(E316&lt;&gt;"",COUNTIFS($A$3:A316,A316,$E$3:E316,"?*"),IF(OR(A316&lt;&gt;A315,Y316="вручную"),"",AF315))</f>
      </c>
      <c r="AG316" s="129">
        <f t="shared" si="181"/>
      </c>
      <c r="AH316" s="129">
        <f t="shared" si="182"/>
        <v/>
      </c>
      <c r="AI316" s="129">
        <f t="shared" si="183"/>
        <v/>
      </c>
      <c r="AJ316" s="129">
        <f t="shared" si="184"/>
        <v/>
      </c>
      <c r="AK316" s="129">
        <f t="shared" si="185"/>
        <v/>
      </c>
      <c r="AL316" s="129">
        <f t="shared" si="186"/>
        <v/>
      </c>
      <c r="AM316" s="129">
        <f t="shared" si="187"/>
      </c>
      <c r="AN316" s="129">
        <f t="shared" si="188"/>
      </c>
      <c r="AO316" s="129">
        <f t="shared" si="189"/>
        <v/>
      </c>
      <c r="AP316" s="129">
        <f t="shared" si="190"/>
        <v/>
      </c>
      <c r="AQ316" s="129">
        <f t="shared" si="191"/>
        <v/>
      </c>
      <c r="AR316" s="129">
        <f t="shared" si="192"/>
        <v/>
      </c>
      <c r="AS316" s="129">
        <f t="shared" si="193"/>
        <v/>
      </c>
      <c r="AT316" s="129">
        <f t="shared" si="194"/>
        <v/>
      </c>
      <c r="AU316" s="129">
        <f t="shared" si="195"/>
        <v/>
      </c>
      <c r="AV316" s="129">
        <f t="shared" si="196"/>
        <v/>
      </c>
      <c r="AW316" s="129">
        <f>IF(AV316="","",AV316&amp;"."&amp;COUNTIFS($A$3:A316,A316,$AV$3:AV316,AV316))</f>
        <v/>
      </c>
      <c r="AX316" s="129">
        <f t="shared" si="197"/>
        <v/>
      </c>
      <c r="AY316" s="129">
        <f>IF(N316="б/к",0,IF(OR(ISNUMBER(SEARCH("L=",Разбивка_по_щитам!P316)),N316="+",N316="="),1,0))</f>
      </c>
      <c r="AZ316" s="129">
        <f t="shared" si="198"/>
      </c>
      <c r="BA316" s="129">
        <f t="shared" si="199"/>
      </c>
      <c r="BB316" s="129">
        <f t="shared" si="200"/>
      </c>
      <c r="BD316" s="129">
        <f t="shared" si="201"/>
      </c>
      <c r="BE316" s="129">
        <f t="shared" si="202"/>
      </c>
      <c r="BF316" s="129">
        <f t="shared" si="203"/>
      </c>
      <c r="BG316" s="129">
        <f t="shared" si="204"/>
        <v/>
      </c>
      <c r="BH316" s="129">
        <f t="shared" si="205"/>
        <v/>
      </c>
      <c r="BI316" s="129">
        <f t="shared" si="206"/>
        <v/>
      </c>
      <c r="BJ316" s="129">
        <f t="shared" si="207"/>
        <v/>
      </c>
      <c r="BK316" s="129">
        <f>IF(R316="","",IF(OR(BY316="",BY316=0),"BOX",IFERROR(IF(VLOOKUP(BY316,УГО_блоки,3,FALSE)&amp;""&lt;&gt;"",VLOOKUP(BY316,УГО_блоки,3,FALSE),VLOOKUP(BY316,УГО_блоки,2,FALSE)),BY316)))</f>
      </c>
      <c r="BL316" s="129">
        <f t="shared" si="209"/>
      </c>
      <c r="BM316" s="129">
        <f>IF(H316="","",IF(COUNTIF($H$3:H316,H316)=1,MAX($BM$2:BM315)+1,""))</f>
      </c>
      <c r="BN316" s="129">
        <f>IF(I316="","",IF(COUNTIF($I$3:I316,I316)+COUNTIF($J$2:J315,I316)+COUNTIF($K$2:K315,I316)=1,MAX($BN$2:BP315)+1,""))</f>
      </c>
      <c r="BO316" s="129">
        <f>IF(J316="","",IF(COUNTIF($I$3:I316,J316)+COUNTIF($J$3:J316,J316)+COUNTIF($K$2:K315,J316)=1,MAX($BN$2:BP315,BN316)+1,""))</f>
      </c>
      <c r="BP316" s="129">
        <f>IF(K316="","",IF(COUNTIF($I$3:I316,K316)+COUNTIF($J$3:J316,K316)+COUNTIF($K$3:K316,K316)=1,MAX($BN$2:BP315,BN316,BO316)+1,""))</f>
      </c>
      <c r="BQ316" s="129">
        <f>IF(AY316=1,IFERROR(MID(Q316,FIND(" (",Q316)+2,FIND(")",Q316,FIND(" (",Q316))-FIND(" (",Q316)-2),"?"),"")</f>
      </c>
      <c r="BR316" s="129">
        <f>IF(BQ316="","",IF(COUNTIF($BQ$3:BQ316,BQ316)=1,MAX($BR$2:BR315)+1,""))</f>
      </c>
      <c r="BS316" s="129">
        <f>IF(AW316="","",COUNTIF($AW$3:AW316,"?*"))</f>
      </c>
      <c r="BT316" s="129">
        <f>IF(OR(AW316="",AI316=""),"",IF(COUNTIFS($AW$3:AW316,"?*",$AI$3:AI316,AI316)=1,MAX($BT$2:BT315)+1,""))</f>
      </c>
      <c r="BU316" s="129">
        <f>IF(AE316="",0,IF(OR(ISNUMBER(SEARCH("дубль",AE316)),ISNUMBER(SEARCH("ПЕРЕГРУЗ",AE316)),ISNUMBER(SEARCH("ЗАЩИЩ",AE316)),ISNUMBER(SEARCH("КАНАЛ",AE316)),ISNUMBER(SEARCH("без 30",AE316))),2,1))</f>
      </c>
      <c r="BV316" s="129">
        <f>IF(R316="","",COUNTIF($R$3:R316,"?*"))</f>
      </c>
      <c r="BW316" s="129">
        <f>IF(AY316&lt;&gt;1,0,IF(MAX(IFERROR(--VLOOKUP(R316,УГО_спр,5,FALSE),0),IFERROR(--VLOOKUP(AL316,УГО_спр,5,FALSE),0),IFERROR(--VLOOKUP(LEFT(AL316,2),УГО_спр,5,FALSE),0))&gt;0,MAX(IFERROR(--VLOOKUP(R316,УГО_спр,5,FALSE),0),IFERROR(--VLOOKUP(AL316,УГО_спр,5,FALSE),0),IFERROR(--VLOOKUP(LEFT(AL316,2),УГО_спр,5,FALSE),0)),IF(IFERROR(--LEFT(SUBSTITUTE(BQ316,"x","х"),FIND("х",SUBSTITUTE(BQ316,"x","х"))-1),3)&gt;3,Каталог!$S$9,1)))</f>
      </c>
      <c r="BX316" s="129">
        <f>IF(AY316&lt;&gt;1,0,MAX(0,IFERROR(--LEFT(SUBSTITUTE(BQ316,"x","х"),FIND("х",SUBSTITUTE(BQ316,"x","х"))-1),3)-3*BW316))</f>
      </c>
      <c r="BY316" s="129">
        <f>IF(R316="","",IFERROR(VLOOKUP(R316,УГО_спр,2,FALSE),IFERROR(VLOOKUP(AL316,УГО_спр,2,FALSE),IFERROR(VLOOKUP(LEFT(AL316,2),УГО_спр,2,FALSE),""))))</f>
      </c>
    </row>
    <row r="317" spans="1:64" x14ac:dyDescent="0.3">
      <c r="A317" s="135">
        <f>IF(Разбивка_по_щитам!F317=0,"",Разбивка_по_щитам!F317)</f>
      </c>
      <c r="B317" s="138">
        <f>IF(A317="","",Разбивка_по_щитам!C317)</f>
      </c>
      <c r="C317" s="138">
        <f t="shared" si="170"/>
      </c>
      <c r="D317" s="266"/>
      <c r="E317" s="266"/>
      <c r="F317" s="267"/>
      <c r="G317" s="145">
        <f t="shared" si="210"/>
        <v/>
      </c>
      <c r="H317" s="145">
        <f t="shared" si="211"/>
        <v/>
      </c>
      <c r="I317" s="266"/>
      <c r="J317" s="267"/>
      <c r="K317" s="267"/>
      <c r="L317" s="266"/>
      <c r="M317" s="147">
        <f t="shared" si="212"/>
        <v/>
      </c>
      <c r="N317" s="267"/>
      <c r="O317" s="147">
        <f t="shared" si="213"/>
        <v/>
      </c>
      <c r="P317" s="268">
        <f>IF(AY317=1,"XT"&amp;COUNTIFS($A$3:A317,A317,$AY$3:AY317,1),"")</f>
        <v/>
      </c>
      <c r="Q317" s="152">
        <f>IF(R317="","",IFERROR(SUBSTITUTE(Разбивка_по_щитам!P317,CHAR(10)," "),""))</f>
        <v/>
      </c>
      <c r="R317" s="153">
        <f>IF(OR(Разбивка_по_щитам!H317="",Разбивка_по_щитам!H317=0),"",Разбивка_по_щитам!H317)</f>
        <v/>
      </c>
      <c r="S317" s="154">
        <f>IF(R317="","",IFERROR(Разбивка_по_щитам!J317&amp;"",""))</f>
        <v/>
      </c>
      <c r="T317" s="155">
        <f>IF(R317="","",IFERROR(--Разбивка_по_щитам!L317,""))</f>
        <v/>
      </c>
      <c r="U317" s="155">
        <f>IF(R317="","",IFERROR(--Разбивка_по_щитам!K317,""))</f>
        <v/>
      </c>
      <c r="V317" s="138">
        <f>IF(R317="","",IFERROR(IF(Разбивка_по_щитам!M317=0,"",Разбивка_по_щитам!M317),""))</f>
        <v/>
      </c>
      <c r="W317" s="156">
        <f t="shared" si="175"/>
        <v/>
      </c>
      <c r="X317" s="157">
        <f t="shared" si="176"/>
        <v/>
      </c>
      <c r="Y317" s="266"/>
      <c r="Z317" s="158">
        <f t="shared" si="177"/>
        <v/>
      </c>
      <c r="AA317" s="160">
        <f t="shared" si="178"/>
        <v/>
      </c>
      <c r="AB317" s="160">
        <f>IF(R317="","",IFERROR(LOOKUP(INDEX(Справочная!$I$4:$I$19,MATCH(VLOOKUP(R317,Исходные_данные,22,FALSE),Справочная!$J$4:$J$19,0)+1),{6,10,16,20,25,32,40,50,63,80,100,125}),""))</f>
        <v/>
      </c>
      <c r="AC317" s="160">
        <f t="shared" si="179"/>
        <v/>
      </c>
      <c r="AD317" s="161">
        <f t="shared" si="180"/>
        <v/>
      </c>
      <c r="AE317" s="161">
        <f>IF(AND(R317="",G317=""),"",_xlfn.TEXTJOIN("; ",TRUE,IF(AND(R317&lt;&gt;"",V317=""),"нет фазы",""),IF(AND(R317&lt;&gt;"",N(T317)=0),"нет мощности",""),IF(AND(P317&lt;&gt;"",COUNTIFS($A$3:$A$1000,A317,$P$3:$P$1000,P317)&gt;1),"дубль клеммы "&amp;P317,""),IF(AND(W317&lt;&gt;"",W317&lt;&gt;"ok"),W317,""),IF(X317&lt;&gt;"",X317,""),IF(AND(ISNUMBER(SEARCH("(5х",Q317)),N(AK317)=1),"5 жил на 1 фазе",""),IF(AND(AL317="R",E317&lt;&gt;"",N(AS317)=0),"розетка без 30 мА",""),IF(IFERROR(_xlfn.NUMBERVALUE(MID(Q317,FIND("-",Q317,FIND("L=",Q317))+1,FIND("%",Q317)-FIND("-",Q317,FIND("L=",Q317))-1),","),0)&gt;4,"потери &gt; 4 %","")))</f>
      </c>
      <c r="AF317" s="129">
        <f>IF(E317&lt;&gt;"",COUNTIFS($A$3:A317,A317,$E$3:E317,"?*"),IF(OR(A317&lt;&gt;A316,Y317="вручную"),"",AF316))</f>
      </c>
      <c r="AG317" s="129">
        <f t="shared" si="181"/>
      </c>
      <c r="AH317" s="129">
        <f t="shared" si="182"/>
        <v/>
      </c>
      <c r="AI317" s="129">
        <f t="shared" si="183"/>
        <v/>
      </c>
      <c r="AJ317" s="129">
        <f t="shared" si="184"/>
        <v/>
      </c>
      <c r="AK317" s="129">
        <f t="shared" si="185"/>
        <v/>
      </c>
      <c r="AL317" s="129">
        <f t="shared" si="186"/>
        <v/>
      </c>
      <c r="AM317" s="129">
        <f t="shared" si="187"/>
      </c>
      <c r="AN317" s="129">
        <f t="shared" si="188"/>
      </c>
      <c r="AO317" s="129">
        <f t="shared" si="189"/>
        <v/>
      </c>
      <c r="AP317" s="129">
        <f t="shared" si="190"/>
        <v/>
      </c>
      <c r="AQ317" s="129">
        <f t="shared" si="191"/>
        <v/>
      </c>
      <c r="AR317" s="129">
        <f t="shared" si="192"/>
        <v/>
      </c>
      <c r="AS317" s="129">
        <f t="shared" si="193"/>
        <v/>
      </c>
      <c r="AT317" s="129">
        <f t="shared" si="194"/>
        <v/>
      </c>
      <c r="AU317" s="129">
        <f t="shared" si="195"/>
        <v/>
      </c>
      <c r="AV317" s="129">
        <f t="shared" si="196"/>
        <v/>
      </c>
      <c r="AW317" s="129">
        <f>IF(AV317="","",AV317&amp;"."&amp;COUNTIFS($A$3:A317,A317,$AV$3:AV317,AV317))</f>
        <v/>
      </c>
      <c r="AX317" s="129">
        <f t="shared" si="197"/>
        <v/>
      </c>
      <c r="AY317" s="129">
        <f>IF(N317="б/к",0,IF(OR(ISNUMBER(SEARCH("L=",Разбивка_по_щитам!P317)),N317="+",N317="="),1,0))</f>
      </c>
      <c r="AZ317" s="129">
        <f t="shared" si="198"/>
      </c>
      <c r="BA317" s="129">
        <f t="shared" si="199"/>
      </c>
      <c r="BB317" s="129">
        <f t="shared" si="200"/>
      </c>
      <c r="BD317" s="129">
        <f t="shared" si="201"/>
      </c>
      <c r="BE317" s="129">
        <f t="shared" si="202"/>
      </c>
      <c r="BF317" s="129">
        <f t="shared" si="203"/>
      </c>
      <c r="BG317" s="129">
        <f t="shared" si="204"/>
        <v/>
      </c>
      <c r="BH317" s="129">
        <f t="shared" si="205"/>
        <v/>
      </c>
      <c r="BI317" s="129">
        <f t="shared" si="206"/>
        <v/>
      </c>
      <c r="BJ317" s="129">
        <f t="shared" si="207"/>
        <v/>
      </c>
      <c r="BK317" s="129">
        <f>IF(R317="","",IF(OR(BY317="",BY317=0),"BOX",IFERROR(IF(VLOOKUP(BY317,УГО_блоки,3,FALSE)&amp;""&lt;&gt;"",VLOOKUP(BY317,УГО_блоки,3,FALSE),VLOOKUP(BY317,УГО_блоки,2,FALSE)),BY317)))</f>
      </c>
      <c r="BL317" s="129">
        <f t="shared" si="209"/>
      </c>
      <c r="BM317" s="129">
        <f>IF(H317="","",IF(COUNTIF($H$3:H317,H317)=1,MAX($BM$2:BM316)+1,""))</f>
      </c>
      <c r="BN317" s="129">
        <f>IF(I317="","",IF(COUNTIF($I$3:I317,I317)+COUNTIF($J$2:J316,I317)+COUNTIF($K$2:K316,I317)=1,MAX($BN$2:BP316)+1,""))</f>
      </c>
      <c r="BO317" s="129">
        <f>IF(J317="","",IF(COUNTIF($I$3:I317,J317)+COUNTIF($J$3:J317,J317)+COUNTIF($K$2:K316,J317)=1,MAX($BN$2:BP316,BN317)+1,""))</f>
      </c>
      <c r="BP317" s="129">
        <f>IF(K317="","",IF(COUNTIF($I$3:I317,K317)+COUNTIF($J$3:J317,K317)+COUNTIF($K$3:K317,K317)=1,MAX($BN$2:BP316,BN317,BO317)+1,""))</f>
      </c>
      <c r="BQ317" s="129">
        <f>IF(AY317=1,IFERROR(MID(Q317,FIND(" (",Q317)+2,FIND(")",Q317,FIND(" (",Q317))-FIND(" (",Q317)-2),"?"),"")</f>
      </c>
      <c r="BR317" s="129">
        <f>IF(BQ317="","",IF(COUNTIF($BQ$3:BQ317,BQ317)=1,MAX($BR$2:BR316)+1,""))</f>
      </c>
      <c r="BS317" s="129">
        <f>IF(AW317="","",COUNTIF($AW$3:AW317,"?*"))</f>
      </c>
      <c r="BT317" s="129">
        <f>IF(OR(AW317="",AI317=""),"",IF(COUNTIFS($AW$3:AW317,"?*",$AI$3:AI317,AI317)=1,MAX($BT$2:BT316)+1,""))</f>
      </c>
      <c r="BU317" s="129">
        <f>IF(AE317="",0,IF(OR(ISNUMBER(SEARCH("дубль",AE317)),ISNUMBER(SEARCH("ПЕРЕГРУЗ",AE317)),ISNUMBER(SEARCH("ЗАЩИЩ",AE317)),ISNUMBER(SEARCH("КАНАЛ",AE317)),ISNUMBER(SEARCH("без 30",AE317))),2,1))</f>
      </c>
      <c r="BV317" s="129">
        <f>IF(R317="","",COUNTIF($R$3:R317,"?*"))</f>
      </c>
      <c r="BW317" s="129">
        <f>IF(AY317&lt;&gt;1,0,IF(MAX(IFERROR(--VLOOKUP(R317,УГО_спр,5,FALSE),0),IFERROR(--VLOOKUP(AL317,УГО_спр,5,FALSE),0),IFERROR(--VLOOKUP(LEFT(AL317,2),УГО_спр,5,FALSE),0))&gt;0,MAX(IFERROR(--VLOOKUP(R317,УГО_спр,5,FALSE),0),IFERROR(--VLOOKUP(AL317,УГО_спр,5,FALSE),0),IFERROR(--VLOOKUP(LEFT(AL317,2),УГО_спр,5,FALSE),0)),IF(IFERROR(--LEFT(SUBSTITUTE(BQ317,"x","х"),FIND("х",SUBSTITUTE(BQ317,"x","х"))-1),3)&gt;3,Каталог!$S$9,1)))</f>
      </c>
      <c r="BX317" s="129">
        <f>IF(AY317&lt;&gt;1,0,MAX(0,IFERROR(--LEFT(SUBSTITUTE(BQ317,"x","х"),FIND("х",SUBSTITUTE(BQ317,"x","х"))-1),3)-3*BW317))</f>
      </c>
      <c r="BY317" s="129">
        <f>IF(R317="","",IFERROR(VLOOKUP(R317,УГО_спр,2,FALSE),IFERROR(VLOOKUP(AL317,УГО_спр,2,FALSE),IFERROR(VLOOKUP(LEFT(AL317,2),УГО_спр,2,FALSE),""))))</f>
      </c>
    </row>
    <row r="318" spans="1:64" x14ac:dyDescent="0.3">
      <c r="A318" s="135">
        <f>IF(Разбивка_по_щитам!F318=0,"",Разбивка_по_щитам!F318)</f>
      </c>
      <c r="B318" s="138">
        <f>IF(A318="","",Разбивка_по_щитам!C318)</f>
      </c>
      <c r="C318" s="138">
        <f t="shared" si="170"/>
      </c>
      <c r="D318" s="266"/>
      <c r="E318" s="266"/>
      <c r="F318" s="267"/>
      <c r="G318" s="145">
        <f t="shared" si="210"/>
        <v/>
      </c>
      <c r="H318" s="145">
        <f t="shared" si="211"/>
        <v/>
      </c>
      <c r="I318" s="266"/>
      <c r="J318" s="267"/>
      <c r="K318" s="267"/>
      <c r="L318" s="266"/>
      <c r="M318" s="147">
        <f t="shared" si="212"/>
        <v/>
      </c>
      <c r="N318" s="267"/>
      <c r="O318" s="147">
        <f t="shared" si="213"/>
        <v/>
      </c>
      <c r="P318" s="268">
        <f>IF(AY318=1,"XT"&amp;COUNTIFS($A$3:A318,A318,$AY$3:AY318,1),"")</f>
        <v/>
      </c>
      <c r="Q318" s="152">
        <f>IF(R318="","",IFERROR(SUBSTITUTE(Разбивка_по_щитам!P318,CHAR(10)," "),""))</f>
        <v/>
      </c>
      <c r="R318" s="153">
        <f>IF(OR(Разбивка_по_щитам!H318="",Разбивка_по_щитам!H318=0),"",Разбивка_по_щитам!H318)</f>
        <v/>
      </c>
      <c r="S318" s="154">
        <f>IF(R318="","",IFERROR(Разбивка_по_щитам!J318&amp;"",""))</f>
        <v/>
      </c>
      <c r="T318" s="155">
        <f>IF(R318="","",IFERROR(--Разбивка_по_щитам!L318,""))</f>
        <v/>
      </c>
      <c r="U318" s="155">
        <f>IF(R318="","",IFERROR(--Разбивка_по_щитам!K318,""))</f>
        <v/>
      </c>
      <c r="V318" s="138">
        <f>IF(R318="","",IFERROR(IF(Разбивка_по_щитам!M318=0,"",Разбивка_по_щитам!M318),""))</f>
        <v/>
      </c>
      <c r="W318" s="156">
        <f t="shared" si="175"/>
        <v/>
      </c>
      <c r="X318" s="157">
        <f t="shared" si="176"/>
        <v/>
      </c>
      <c r="Y318" s="266"/>
      <c r="Z318" s="158">
        <f t="shared" si="177"/>
        <v/>
      </c>
      <c r="AA318" s="160">
        <f t="shared" si="178"/>
        <v/>
      </c>
      <c r="AB318" s="160">
        <f>IF(R318="","",IFERROR(LOOKUP(INDEX(Справочная!$I$4:$I$19,MATCH(VLOOKUP(R318,Исходные_данные,22,FALSE),Справочная!$J$4:$J$19,0)+1),{6,10,16,20,25,32,40,50,63,80,100,125}),""))</f>
        <v/>
      </c>
      <c r="AC318" s="160">
        <f t="shared" si="179"/>
        <v/>
      </c>
      <c r="AD318" s="161">
        <f t="shared" si="180"/>
        <v/>
      </c>
      <c r="AE318" s="161">
        <f>IF(AND(R318="",G318=""),"",_xlfn.TEXTJOIN("; ",TRUE,IF(AND(R318&lt;&gt;"",V318=""),"нет фазы",""),IF(AND(R318&lt;&gt;"",N(T318)=0),"нет мощности",""),IF(AND(P318&lt;&gt;"",COUNTIFS($A$3:$A$1000,A318,$P$3:$P$1000,P318)&gt;1),"дубль клеммы "&amp;P318,""),IF(AND(W318&lt;&gt;"",W318&lt;&gt;"ok"),W318,""),IF(X318&lt;&gt;"",X318,""),IF(AND(ISNUMBER(SEARCH("(5х",Q318)),N(AK318)=1),"5 жил на 1 фазе",""),IF(AND(AL318="R",E318&lt;&gt;"",N(AS318)=0),"розетка без 30 мА",""),IF(IFERROR(_xlfn.NUMBERVALUE(MID(Q318,FIND("-",Q318,FIND("L=",Q318))+1,FIND("%",Q318)-FIND("-",Q318,FIND("L=",Q318))-1),","),0)&gt;4,"потери &gt; 4 %","")))</f>
      </c>
      <c r="AF318" s="129">
        <f>IF(E318&lt;&gt;"",COUNTIFS($A$3:A318,A318,$E$3:E318,"?*"),IF(OR(A318&lt;&gt;A317,Y318="вручную"),"",AF317))</f>
      </c>
      <c r="AG318" s="129">
        <f t="shared" si="181"/>
      </c>
      <c r="AH318" s="129">
        <f t="shared" si="182"/>
        <v/>
      </c>
      <c r="AI318" s="129">
        <f t="shared" si="183"/>
        <v/>
      </c>
      <c r="AJ318" s="129">
        <f t="shared" si="184"/>
        <v/>
      </c>
      <c r="AK318" s="129">
        <f t="shared" si="185"/>
        <v/>
      </c>
      <c r="AL318" s="129">
        <f t="shared" si="186"/>
        <v/>
      </c>
      <c r="AM318" s="129">
        <f t="shared" si="187"/>
      </c>
      <c r="AN318" s="129">
        <f t="shared" si="188"/>
      </c>
      <c r="AO318" s="129">
        <f t="shared" si="189"/>
        <v/>
      </c>
      <c r="AP318" s="129">
        <f t="shared" si="190"/>
        <v/>
      </c>
      <c r="AQ318" s="129">
        <f t="shared" si="191"/>
        <v/>
      </c>
      <c r="AR318" s="129">
        <f t="shared" si="192"/>
        <v/>
      </c>
      <c r="AS318" s="129">
        <f t="shared" si="193"/>
        <v/>
      </c>
      <c r="AT318" s="129">
        <f t="shared" si="194"/>
        <v/>
      </c>
      <c r="AU318" s="129">
        <f t="shared" si="195"/>
        <v/>
      </c>
      <c r="AV318" s="129">
        <f t="shared" si="196"/>
        <v/>
      </c>
      <c r="AW318" s="129">
        <f>IF(AV318="","",AV318&amp;"."&amp;COUNTIFS($A$3:A318,A318,$AV$3:AV318,AV318))</f>
        <v/>
      </c>
      <c r="AX318" s="129">
        <f t="shared" si="197"/>
        <v/>
      </c>
      <c r="AY318" s="129">
        <f>IF(N318="б/к",0,IF(OR(ISNUMBER(SEARCH("L=",Разбивка_по_щитам!P318)),N318="+",N318="="),1,0))</f>
      </c>
      <c r="AZ318" s="129">
        <f t="shared" si="198"/>
      </c>
      <c r="BA318" s="129">
        <f t="shared" si="199"/>
      </c>
      <c r="BB318" s="129">
        <f t="shared" si="200"/>
      </c>
      <c r="BD318" s="129">
        <f t="shared" si="201"/>
      </c>
      <c r="BE318" s="129">
        <f t="shared" si="202"/>
      </c>
      <c r="BF318" s="129">
        <f t="shared" si="203"/>
      </c>
      <c r="BG318" s="129">
        <f t="shared" si="204"/>
        <v/>
      </c>
      <c r="BH318" s="129">
        <f t="shared" si="205"/>
        <v/>
      </c>
      <c r="BI318" s="129">
        <f t="shared" si="206"/>
        <v/>
      </c>
      <c r="BJ318" s="129">
        <f t="shared" si="207"/>
        <v/>
      </c>
      <c r="BK318" s="129">
        <f>IF(R318="","",IF(OR(BY318="",BY318=0),"BOX",IFERROR(IF(VLOOKUP(BY318,УГО_блоки,3,FALSE)&amp;""&lt;&gt;"",VLOOKUP(BY318,УГО_блоки,3,FALSE),VLOOKUP(BY318,УГО_блоки,2,FALSE)),BY318)))</f>
      </c>
      <c r="BL318" s="129">
        <f t="shared" si="209"/>
      </c>
      <c r="BM318" s="129">
        <f>IF(H318="","",IF(COUNTIF($H$3:H318,H318)=1,MAX($BM$2:BM317)+1,""))</f>
      </c>
      <c r="BN318" s="129">
        <f>IF(I318="","",IF(COUNTIF($I$3:I318,I318)+COUNTIF($J$2:J317,I318)+COUNTIF($K$2:K317,I318)=1,MAX($BN$2:BP317)+1,""))</f>
      </c>
      <c r="BO318" s="129">
        <f>IF(J318="","",IF(COUNTIF($I$3:I318,J318)+COUNTIF($J$3:J318,J318)+COUNTIF($K$2:K317,J318)=1,MAX($BN$2:BP317,BN318)+1,""))</f>
      </c>
      <c r="BP318" s="129">
        <f>IF(K318="","",IF(COUNTIF($I$3:I318,K318)+COUNTIF($J$3:J318,K318)+COUNTIF($K$3:K318,K318)=1,MAX($BN$2:BP317,BN318,BO318)+1,""))</f>
      </c>
      <c r="BQ318" s="129">
        <f>IF(AY318=1,IFERROR(MID(Q318,FIND(" (",Q318)+2,FIND(")",Q318,FIND(" (",Q318))-FIND(" (",Q318)-2),"?"),"")</f>
      </c>
      <c r="BR318" s="129">
        <f>IF(BQ318="","",IF(COUNTIF($BQ$3:BQ318,BQ318)=1,MAX($BR$2:BR317)+1,""))</f>
      </c>
      <c r="BS318" s="129">
        <f>IF(AW318="","",COUNTIF($AW$3:AW318,"?*"))</f>
      </c>
      <c r="BT318" s="129">
        <f>IF(OR(AW318="",AI318=""),"",IF(COUNTIFS($AW$3:AW318,"?*",$AI$3:AI318,AI318)=1,MAX($BT$2:BT317)+1,""))</f>
      </c>
      <c r="BU318" s="129">
        <f>IF(AE318="",0,IF(OR(ISNUMBER(SEARCH("дубль",AE318)),ISNUMBER(SEARCH("ПЕРЕГРУЗ",AE318)),ISNUMBER(SEARCH("ЗАЩИЩ",AE318)),ISNUMBER(SEARCH("КАНАЛ",AE318)),ISNUMBER(SEARCH("без 30",AE318))),2,1))</f>
      </c>
      <c r="BV318" s="129">
        <f>IF(R318="","",COUNTIF($R$3:R318,"?*"))</f>
      </c>
      <c r="BW318" s="129">
        <f>IF(AY318&lt;&gt;1,0,IF(MAX(IFERROR(--VLOOKUP(R318,УГО_спр,5,FALSE),0),IFERROR(--VLOOKUP(AL318,УГО_спр,5,FALSE),0),IFERROR(--VLOOKUP(LEFT(AL318,2),УГО_спр,5,FALSE),0))&gt;0,MAX(IFERROR(--VLOOKUP(R318,УГО_спр,5,FALSE),0),IFERROR(--VLOOKUP(AL318,УГО_спр,5,FALSE),0),IFERROR(--VLOOKUP(LEFT(AL318,2),УГО_спр,5,FALSE),0)),IF(IFERROR(--LEFT(SUBSTITUTE(BQ318,"x","х"),FIND("х",SUBSTITUTE(BQ318,"x","х"))-1),3)&gt;3,Каталог!$S$9,1)))</f>
      </c>
      <c r="BX318" s="129">
        <f>IF(AY318&lt;&gt;1,0,MAX(0,IFERROR(--LEFT(SUBSTITUTE(BQ318,"x","х"),FIND("х",SUBSTITUTE(BQ318,"x","х"))-1),3)-3*BW318))</f>
      </c>
      <c r="BY318" s="129">
        <f>IF(R318="","",IFERROR(VLOOKUP(R318,УГО_спр,2,FALSE),IFERROR(VLOOKUP(AL318,УГО_спр,2,FALSE),IFERROR(VLOOKUP(LEFT(AL318,2),УГО_спр,2,FALSE),""))))</f>
      </c>
    </row>
    <row r="319" spans="1:64" x14ac:dyDescent="0.3">
      <c r="A319" s="135">
        <f>IF(Разбивка_по_щитам!F319=0,"",Разбивка_по_щитам!F319)</f>
      </c>
      <c r="B319" s="138">
        <f>IF(A319="","",Разбивка_по_щитам!C319)</f>
      </c>
      <c r="C319" s="138">
        <f t="shared" si="170"/>
      </c>
      <c r="D319" s="266"/>
      <c r="E319" s="266"/>
      <c r="F319" s="267"/>
      <c r="G319" s="145">
        <f t="shared" si="210"/>
        <v/>
      </c>
      <c r="H319" s="145">
        <f t="shared" si="211"/>
        <v/>
      </c>
      <c r="I319" s="266"/>
      <c r="J319" s="267"/>
      <c r="K319" s="267"/>
      <c r="L319" s="266"/>
      <c r="M319" s="147">
        <f t="shared" si="212"/>
        <v/>
      </c>
      <c r="N319" s="267"/>
      <c r="O319" s="147">
        <f t="shared" si="213"/>
        <v/>
      </c>
      <c r="P319" s="268">
        <f>IF(AY319=1,"XT"&amp;COUNTIFS($A$3:A319,A319,$AY$3:AY319,1),"")</f>
        <v/>
      </c>
      <c r="Q319" s="152">
        <f>IF(R319="","",IFERROR(SUBSTITUTE(Разбивка_по_щитам!P319,CHAR(10)," "),""))</f>
        <v/>
      </c>
      <c r="R319" s="153">
        <f>IF(OR(Разбивка_по_щитам!H319="",Разбивка_по_щитам!H319=0),"",Разбивка_по_щитам!H319)</f>
        <v/>
      </c>
      <c r="S319" s="154">
        <f>IF(R319="","",IFERROR(Разбивка_по_щитам!J319&amp;"",""))</f>
        <v/>
      </c>
      <c r="T319" s="155">
        <f>IF(R319="","",IFERROR(--Разбивка_по_щитам!L319,""))</f>
        <v/>
      </c>
      <c r="U319" s="155">
        <f>IF(R319="","",IFERROR(--Разбивка_по_щитам!K319,""))</f>
        <v/>
      </c>
      <c r="V319" s="138">
        <f>IF(R319="","",IFERROR(IF(Разбивка_по_щитам!M319=0,"",Разбивка_по_щитам!M319),""))</f>
        <v/>
      </c>
      <c r="W319" s="156">
        <f t="shared" si="175"/>
        <v/>
      </c>
      <c r="X319" s="157">
        <f t="shared" si="176"/>
        <v/>
      </c>
      <c r="Y319" s="266"/>
      <c r="Z319" s="158">
        <f t="shared" si="177"/>
        <v/>
      </c>
      <c r="AA319" s="160">
        <f t="shared" si="178"/>
        <v/>
      </c>
      <c r="AB319" s="160">
        <f>IF(R319="","",IFERROR(LOOKUP(INDEX(Справочная!$I$4:$I$19,MATCH(VLOOKUP(R319,Исходные_данные,22,FALSE),Справочная!$J$4:$J$19,0)+1),{6,10,16,20,25,32,40,50,63,80,100,125}),""))</f>
        <v/>
      </c>
      <c r="AC319" s="160">
        <f t="shared" si="179"/>
        <v/>
      </c>
      <c r="AD319" s="161">
        <f t="shared" si="180"/>
        <v/>
      </c>
      <c r="AE319" s="161">
        <f>IF(AND(R319="",G319=""),"",_xlfn.TEXTJOIN("; ",TRUE,IF(AND(R319&lt;&gt;"",V319=""),"нет фазы",""),IF(AND(R319&lt;&gt;"",N(T319)=0),"нет мощности",""),IF(AND(P319&lt;&gt;"",COUNTIFS($A$3:$A$1000,A319,$P$3:$P$1000,P319)&gt;1),"дубль клеммы "&amp;P319,""),IF(AND(W319&lt;&gt;"",W319&lt;&gt;"ok"),W319,""),IF(X319&lt;&gt;"",X319,""),IF(AND(ISNUMBER(SEARCH("(5х",Q319)),N(AK319)=1),"5 жил на 1 фазе",""),IF(AND(AL319="R",E319&lt;&gt;"",N(AS319)=0),"розетка без 30 мА",""),IF(IFERROR(_xlfn.NUMBERVALUE(MID(Q319,FIND("-",Q319,FIND("L=",Q319))+1,FIND("%",Q319)-FIND("-",Q319,FIND("L=",Q319))-1),","),0)&gt;4,"потери &gt; 4 %","")))</f>
      </c>
      <c r="AF319" s="129">
        <f>IF(E319&lt;&gt;"",COUNTIFS($A$3:A319,A319,$E$3:E319,"?*"),IF(OR(A319&lt;&gt;A318,Y319="вручную"),"",AF318))</f>
      </c>
      <c r="AG319" s="129">
        <f t="shared" si="181"/>
      </c>
      <c r="AH319" s="129">
        <f t="shared" si="182"/>
        <v/>
      </c>
      <c r="AI319" s="129">
        <f t="shared" si="183"/>
        <v/>
      </c>
      <c r="AJ319" s="129">
        <f t="shared" si="184"/>
        <v/>
      </c>
      <c r="AK319" s="129">
        <f t="shared" si="185"/>
        <v/>
      </c>
      <c r="AL319" s="129">
        <f t="shared" si="186"/>
        <v/>
      </c>
      <c r="AM319" s="129">
        <f t="shared" si="187"/>
      </c>
      <c r="AN319" s="129">
        <f t="shared" si="188"/>
      </c>
      <c r="AO319" s="129">
        <f t="shared" si="189"/>
        <v/>
      </c>
      <c r="AP319" s="129">
        <f t="shared" si="190"/>
        <v/>
      </c>
      <c r="AQ319" s="129">
        <f t="shared" si="191"/>
        <v/>
      </c>
      <c r="AR319" s="129">
        <f t="shared" si="192"/>
        <v/>
      </c>
      <c r="AS319" s="129">
        <f t="shared" si="193"/>
        <v/>
      </c>
      <c r="AT319" s="129">
        <f t="shared" si="194"/>
        <v/>
      </c>
      <c r="AU319" s="129">
        <f t="shared" si="195"/>
        <v/>
      </c>
      <c r="AV319" s="129">
        <f t="shared" si="196"/>
        <v/>
      </c>
      <c r="AW319" s="129">
        <f>IF(AV319="","",AV319&amp;"."&amp;COUNTIFS($A$3:A319,A319,$AV$3:AV319,AV319))</f>
        <v/>
      </c>
      <c r="AX319" s="129">
        <f t="shared" si="197"/>
        <v/>
      </c>
      <c r="AY319" s="129">
        <f>IF(N319="б/к",0,IF(OR(ISNUMBER(SEARCH("L=",Разбивка_по_щитам!P319)),N319="+",N319="="),1,0))</f>
      </c>
      <c r="AZ319" s="129">
        <f t="shared" si="198"/>
      </c>
      <c r="BA319" s="129">
        <f t="shared" si="199"/>
      </c>
      <c r="BB319" s="129">
        <f t="shared" si="200"/>
      </c>
      <c r="BD319" s="129">
        <f t="shared" si="201"/>
      </c>
      <c r="BE319" s="129">
        <f t="shared" si="202"/>
      </c>
      <c r="BF319" s="129">
        <f t="shared" si="203"/>
      </c>
      <c r="BG319" s="129">
        <f t="shared" si="204"/>
        <v/>
      </c>
      <c r="BH319" s="129">
        <f t="shared" si="205"/>
        <v/>
      </c>
      <c r="BI319" s="129">
        <f t="shared" si="206"/>
        <v/>
      </c>
      <c r="BJ319" s="129">
        <f t="shared" si="207"/>
        <v/>
      </c>
      <c r="BK319" s="129">
        <f>IF(R319="","",IF(OR(BY319="",BY319=0),"BOX",IFERROR(IF(VLOOKUP(BY319,УГО_блоки,3,FALSE)&amp;""&lt;&gt;"",VLOOKUP(BY319,УГО_блоки,3,FALSE),VLOOKUP(BY319,УГО_блоки,2,FALSE)),BY319)))</f>
      </c>
      <c r="BL319" s="129">
        <f t="shared" si="209"/>
      </c>
      <c r="BM319" s="129">
        <f>IF(H319="","",IF(COUNTIF($H$3:H319,H319)=1,MAX($BM$2:BM318)+1,""))</f>
      </c>
      <c r="BN319" s="129">
        <f>IF(I319="","",IF(COUNTIF($I$3:I319,I319)+COUNTIF($J$2:J318,I319)+COUNTIF($K$2:K318,I319)=1,MAX($BN$2:BP318)+1,""))</f>
      </c>
      <c r="BO319" s="129">
        <f>IF(J319="","",IF(COUNTIF($I$3:I319,J319)+COUNTIF($J$3:J319,J319)+COUNTIF($K$2:K318,J319)=1,MAX($BN$2:BP318,BN319)+1,""))</f>
      </c>
      <c r="BP319" s="129">
        <f>IF(K319="","",IF(COUNTIF($I$3:I319,K319)+COUNTIF($J$3:J319,K319)+COUNTIF($K$3:K319,K319)=1,MAX($BN$2:BP318,BN319,BO319)+1,""))</f>
      </c>
      <c r="BQ319" s="129">
        <f>IF(AY319=1,IFERROR(MID(Q319,FIND(" (",Q319)+2,FIND(")",Q319,FIND(" (",Q319))-FIND(" (",Q319)-2),"?"),"")</f>
      </c>
      <c r="BR319" s="129">
        <f>IF(BQ319="","",IF(COUNTIF($BQ$3:BQ319,BQ319)=1,MAX($BR$2:BR318)+1,""))</f>
      </c>
      <c r="BS319" s="129">
        <f>IF(AW319="","",COUNTIF($AW$3:AW319,"?*"))</f>
      </c>
      <c r="BT319" s="129">
        <f>IF(OR(AW319="",AI319=""),"",IF(COUNTIFS($AW$3:AW319,"?*",$AI$3:AI319,AI319)=1,MAX($BT$2:BT318)+1,""))</f>
      </c>
      <c r="BU319" s="129">
        <f>IF(AE319="",0,IF(OR(ISNUMBER(SEARCH("дубль",AE319)),ISNUMBER(SEARCH("ПЕРЕГРУЗ",AE319)),ISNUMBER(SEARCH("ЗАЩИЩ",AE319)),ISNUMBER(SEARCH("КАНАЛ",AE319)),ISNUMBER(SEARCH("без 30",AE319))),2,1))</f>
      </c>
      <c r="BV319" s="129">
        <f>IF(R319="","",COUNTIF($R$3:R319,"?*"))</f>
      </c>
      <c r="BW319" s="129">
        <f>IF(AY319&lt;&gt;1,0,IF(MAX(IFERROR(--VLOOKUP(R319,УГО_спр,5,FALSE),0),IFERROR(--VLOOKUP(AL319,УГО_спр,5,FALSE),0),IFERROR(--VLOOKUP(LEFT(AL319,2),УГО_спр,5,FALSE),0))&gt;0,MAX(IFERROR(--VLOOKUP(R319,УГО_спр,5,FALSE),0),IFERROR(--VLOOKUP(AL319,УГО_спр,5,FALSE),0),IFERROR(--VLOOKUP(LEFT(AL319,2),УГО_спр,5,FALSE),0)),IF(IFERROR(--LEFT(SUBSTITUTE(BQ319,"x","х"),FIND("х",SUBSTITUTE(BQ319,"x","х"))-1),3)&gt;3,Каталог!$S$9,1)))</f>
      </c>
      <c r="BX319" s="129">
        <f>IF(AY319&lt;&gt;1,0,MAX(0,IFERROR(--LEFT(SUBSTITUTE(BQ319,"x","х"),FIND("х",SUBSTITUTE(BQ319,"x","х"))-1),3)-3*BW319))</f>
      </c>
      <c r="BY319" s="129">
        <f>IF(R319="","",IFERROR(VLOOKUP(R319,УГО_спр,2,FALSE),IFERROR(VLOOKUP(AL319,УГО_спр,2,FALSE),IFERROR(VLOOKUP(LEFT(AL319,2),УГО_спр,2,FALSE),""))))</f>
      </c>
    </row>
    <row r="320" spans="1:64" x14ac:dyDescent="0.3">
      <c r="A320" s="135">
        <f>IF(Разбивка_по_щитам!F320=0,"",Разбивка_по_щитам!F320)</f>
      </c>
      <c r="B320" s="138">
        <f>IF(A320="","",Разбивка_по_щитам!C320)</f>
      </c>
      <c r="C320" s="138">
        <f t="shared" si="170"/>
      </c>
      <c r="D320" s="266"/>
      <c r="E320" s="266"/>
      <c r="F320" s="267"/>
      <c r="G320" s="145">
        <f t="shared" si="210"/>
        <v/>
      </c>
      <c r="H320" s="145">
        <f t="shared" si="211"/>
        <v/>
      </c>
      <c r="I320" s="266"/>
      <c r="J320" s="267"/>
      <c r="K320" s="267"/>
      <c r="L320" s="266"/>
      <c r="M320" s="147">
        <f t="shared" si="212"/>
        <v/>
      </c>
      <c r="N320" s="267"/>
      <c r="O320" s="147">
        <f t="shared" si="213"/>
        <v/>
      </c>
      <c r="P320" s="268">
        <f>IF(AY320=1,"XT"&amp;COUNTIFS($A$3:A320,A320,$AY$3:AY320,1),"")</f>
        <v/>
      </c>
      <c r="Q320" s="152">
        <f>IF(R320="","",IFERROR(SUBSTITUTE(Разбивка_по_щитам!P320,CHAR(10)," "),""))</f>
        <v/>
      </c>
      <c r="R320" s="153">
        <f>IF(OR(Разбивка_по_щитам!H320="",Разбивка_по_щитам!H320=0),"",Разбивка_по_щитам!H320)</f>
        <v/>
      </c>
      <c r="S320" s="154">
        <f>IF(R320="","",IFERROR(Разбивка_по_щитам!J320&amp;"",""))</f>
        <v/>
      </c>
      <c r="T320" s="155">
        <f>IF(R320="","",IFERROR(--Разбивка_по_щитам!L320,""))</f>
        <v/>
      </c>
      <c r="U320" s="155">
        <f>IF(R320="","",IFERROR(--Разбивка_по_щитам!K320,""))</f>
        <v/>
      </c>
      <c r="V320" s="138">
        <f>IF(R320="","",IFERROR(IF(Разбивка_по_щитам!M320=0,"",Разбивка_по_щитам!M320),""))</f>
        <v/>
      </c>
      <c r="W320" s="156">
        <f t="shared" si="175"/>
        <v/>
      </c>
      <c r="X320" s="157">
        <f t="shared" si="176"/>
        <v/>
      </c>
      <c r="Y320" s="266"/>
      <c r="Z320" s="158">
        <f t="shared" si="177"/>
        <v/>
      </c>
      <c r="AA320" s="160">
        <f t="shared" si="178"/>
        <v/>
      </c>
      <c r="AB320" s="160">
        <f>IF(R320="","",IFERROR(LOOKUP(INDEX(Справочная!$I$4:$I$19,MATCH(VLOOKUP(R320,Исходные_данные,22,FALSE),Справочная!$J$4:$J$19,0)+1),{6,10,16,20,25,32,40,50,63,80,100,125}),""))</f>
        <v/>
      </c>
      <c r="AC320" s="160">
        <f t="shared" si="179"/>
        <v/>
      </c>
      <c r="AD320" s="161">
        <f t="shared" si="180"/>
        <v/>
      </c>
      <c r="AE320" s="161">
        <f>IF(AND(R320="",G320=""),"",_xlfn.TEXTJOIN("; ",TRUE,IF(AND(R320&lt;&gt;"",V320=""),"нет фазы",""),IF(AND(R320&lt;&gt;"",N(T320)=0),"нет мощности",""),IF(AND(P320&lt;&gt;"",COUNTIFS($A$3:$A$1000,A320,$P$3:$P$1000,P320)&gt;1),"дубль клеммы "&amp;P320,""),IF(AND(W320&lt;&gt;"",W320&lt;&gt;"ok"),W320,""),IF(X320&lt;&gt;"",X320,""),IF(AND(ISNUMBER(SEARCH("(5х",Q320)),N(AK320)=1),"5 жил на 1 фазе",""),IF(AND(AL320="R",E320&lt;&gt;"",N(AS320)=0),"розетка без 30 мА",""),IF(IFERROR(_xlfn.NUMBERVALUE(MID(Q320,FIND("-",Q320,FIND("L=",Q320))+1,FIND("%",Q320)-FIND("-",Q320,FIND("L=",Q320))-1),","),0)&gt;4,"потери &gt; 4 %","")))</f>
      </c>
      <c r="AF320" s="129">
        <f>IF(E320&lt;&gt;"",COUNTIFS($A$3:A320,A320,$E$3:E320,"?*"),IF(OR(A320&lt;&gt;A319,Y320="вручную"),"",AF319))</f>
      </c>
      <c r="AG320" s="129">
        <f t="shared" si="181"/>
      </c>
      <c r="AH320" s="129">
        <f t="shared" si="182"/>
        <v/>
      </c>
      <c r="AI320" s="129">
        <f t="shared" si="183"/>
        <v/>
      </c>
      <c r="AJ320" s="129">
        <f t="shared" si="184"/>
        <v/>
      </c>
      <c r="AK320" s="129">
        <f t="shared" si="185"/>
        <v/>
      </c>
      <c r="AL320" s="129">
        <f t="shared" si="186"/>
        <v/>
      </c>
      <c r="AM320" s="129">
        <f t="shared" si="187"/>
      </c>
      <c r="AN320" s="129">
        <f t="shared" si="188"/>
      </c>
      <c r="AO320" s="129">
        <f t="shared" si="189"/>
        <v/>
      </c>
      <c r="AP320" s="129">
        <f t="shared" si="190"/>
        <v/>
      </c>
      <c r="AQ320" s="129">
        <f t="shared" si="191"/>
        <v/>
      </c>
      <c r="AR320" s="129">
        <f t="shared" si="192"/>
        <v/>
      </c>
      <c r="AS320" s="129">
        <f t="shared" si="193"/>
        <v/>
      </c>
      <c r="AT320" s="129">
        <f t="shared" si="194"/>
        <v/>
      </c>
      <c r="AU320" s="129">
        <f t="shared" si="195"/>
        <v/>
      </c>
      <c r="AV320" s="129">
        <f t="shared" si="196"/>
        <v/>
      </c>
      <c r="AW320" s="129">
        <f>IF(AV320="","",AV320&amp;"."&amp;COUNTIFS($A$3:A320,A320,$AV$3:AV320,AV320))</f>
        <v/>
      </c>
      <c r="AX320" s="129">
        <f t="shared" si="197"/>
        <v/>
      </c>
      <c r="AY320" s="129">
        <f>IF(N320="б/к",0,IF(OR(ISNUMBER(SEARCH("L=",Разбивка_по_щитам!P320)),N320="+",N320="="),1,0))</f>
      </c>
      <c r="AZ320" s="129">
        <f t="shared" si="198"/>
      </c>
      <c r="BA320" s="129">
        <f t="shared" si="199"/>
      </c>
      <c r="BB320" s="129">
        <f t="shared" si="200"/>
      </c>
      <c r="BD320" s="129">
        <f t="shared" si="201"/>
      </c>
      <c r="BE320" s="129">
        <f t="shared" si="202"/>
      </c>
      <c r="BF320" s="129">
        <f t="shared" si="203"/>
      </c>
      <c r="BG320" s="129">
        <f t="shared" si="204"/>
        <v/>
      </c>
      <c r="BH320" s="129">
        <f t="shared" si="205"/>
        <v/>
      </c>
      <c r="BI320" s="129">
        <f t="shared" si="206"/>
        <v/>
      </c>
      <c r="BJ320" s="129">
        <f t="shared" si="207"/>
        <v/>
      </c>
      <c r="BK320" s="129">
        <f>IF(R320="","",IF(OR(BY320="",BY320=0),"BOX",IFERROR(IF(VLOOKUP(BY320,УГО_блоки,3,FALSE)&amp;""&lt;&gt;"",VLOOKUP(BY320,УГО_блоки,3,FALSE),VLOOKUP(BY320,УГО_блоки,2,FALSE)),BY320)))</f>
      </c>
      <c r="BL320" s="129">
        <f t="shared" si="209"/>
      </c>
      <c r="BM320" s="129">
        <f>IF(H320="","",IF(COUNTIF($H$3:H320,H320)=1,MAX($BM$2:BM319)+1,""))</f>
      </c>
      <c r="BN320" s="129">
        <f>IF(I320="","",IF(COUNTIF($I$3:I320,I320)+COUNTIF($J$2:J319,I320)+COUNTIF($K$2:K319,I320)=1,MAX($BN$2:BP319)+1,""))</f>
      </c>
      <c r="BO320" s="129">
        <f>IF(J320="","",IF(COUNTIF($I$3:I320,J320)+COUNTIF($J$3:J320,J320)+COUNTIF($K$2:K319,J320)=1,MAX($BN$2:BP319,BN320)+1,""))</f>
      </c>
      <c r="BP320" s="129">
        <f>IF(K320="","",IF(COUNTIF($I$3:I320,K320)+COUNTIF($J$3:J320,K320)+COUNTIF($K$3:K320,K320)=1,MAX($BN$2:BP319,BN320,BO320)+1,""))</f>
      </c>
      <c r="BQ320" s="129">
        <f>IF(AY320=1,IFERROR(MID(Q320,FIND(" (",Q320)+2,FIND(")",Q320,FIND(" (",Q320))-FIND(" (",Q320)-2),"?"),"")</f>
      </c>
      <c r="BR320" s="129">
        <f>IF(BQ320="","",IF(COUNTIF($BQ$3:BQ320,BQ320)=1,MAX($BR$2:BR319)+1,""))</f>
      </c>
      <c r="BS320" s="129">
        <f>IF(AW320="","",COUNTIF($AW$3:AW320,"?*"))</f>
      </c>
      <c r="BT320" s="129">
        <f>IF(OR(AW320="",AI320=""),"",IF(COUNTIFS($AW$3:AW320,"?*",$AI$3:AI320,AI320)=1,MAX($BT$2:BT319)+1,""))</f>
      </c>
      <c r="BU320" s="129">
        <f>IF(AE320="",0,IF(OR(ISNUMBER(SEARCH("дубль",AE320)),ISNUMBER(SEARCH("ПЕРЕГРУЗ",AE320)),ISNUMBER(SEARCH("ЗАЩИЩ",AE320)),ISNUMBER(SEARCH("КАНАЛ",AE320)),ISNUMBER(SEARCH("без 30",AE320))),2,1))</f>
      </c>
      <c r="BV320" s="129">
        <f>IF(R320="","",COUNTIF($R$3:R320,"?*"))</f>
      </c>
      <c r="BW320" s="129">
        <f>IF(AY320&lt;&gt;1,0,IF(MAX(IFERROR(--VLOOKUP(R320,УГО_спр,5,FALSE),0),IFERROR(--VLOOKUP(AL320,УГО_спр,5,FALSE),0),IFERROR(--VLOOKUP(LEFT(AL320,2),УГО_спр,5,FALSE),0))&gt;0,MAX(IFERROR(--VLOOKUP(R320,УГО_спр,5,FALSE),0),IFERROR(--VLOOKUP(AL320,УГО_спр,5,FALSE),0),IFERROR(--VLOOKUP(LEFT(AL320,2),УГО_спр,5,FALSE),0)),IF(IFERROR(--LEFT(SUBSTITUTE(BQ320,"x","х"),FIND("х",SUBSTITUTE(BQ320,"x","х"))-1),3)&gt;3,Каталог!$S$9,1)))</f>
      </c>
      <c r="BX320" s="129">
        <f>IF(AY320&lt;&gt;1,0,MAX(0,IFERROR(--LEFT(SUBSTITUTE(BQ320,"x","х"),FIND("х",SUBSTITUTE(BQ320,"x","х"))-1),3)-3*BW320))</f>
      </c>
      <c r="BY320" s="129">
        <f>IF(R320="","",IFERROR(VLOOKUP(R320,УГО_спр,2,FALSE),IFERROR(VLOOKUP(AL320,УГО_спр,2,FALSE),IFERROR(VLOOKUP(LEFT(AL320,2),УГО_спр,2,FALSE),""))))</f>
      </c>
    </row>
    <row r="321" spans="1:64" x14ac:dyDescent="0.3">
      <c r="A321" s="135">
        <f>IF(Разбивка_по_щитам!F321=0,"",Разбивка_по_щитам!F321)</f>
      </c>
      <c r="B321" s="138">
        <f>IF(A321="","",Разбивка_по_щитам!C321)</f>
      </c>
      <c r="C321" s="138">
        <f t="shared" si="170"/>
      </c>
      <c r="D321" s="266"/>
      <c r="E321" s="266"/>
      <c r="F321" s="267"/>
      <c r="G321" s="145">
        <f t="shared" si="210"/>
        <v/>
      </c>
      <c r="H321" s="145">
        <f t="shared" si="211"/>
        <v/>
      </c>
      <c r="I321" s="266"/>
      <c r="J321" s="267"/>
      <c r="K321" s="267"/>
      <c r="L321" s="266"/>
      <c r="M321" s="147">
        <f t="shared" si="212"/>
        <v/>
      </c>
      <c r="N321" s="267"/>
      <c r="O321" s="147">
        <f t="shared" si="213"/>
        <v/>
      </c>
      <c r="P321" s="268">
        <f>IF(AY321=1,"XT"&amp;COUNTIFS($A$3:A321,A321,$AY$3:AY321,1),"")</f>
        <v/>
      </c>
      <c r="Q321" s="152">
        <f>IF(R321="","",IFERROR(SUBSTITUTE(Разбивка_по_щитам!P321,CHAR(10)," "),""))</f>
        <v/>
      </c>
      <c r="R321" s="153">
        <f>IF(OR(Разбивка_по_щитам!H321="",Разбивка_по_щитам!H321=0),"",Разбивка_по_щитам!H321)</f>
        <v/>
      </c>
      <c r="S321" s="154">
        <f>IF(R321="","",IFERROR(Разбивка_по_щитам!J321&amp;"",""))</f>
        <v/>
      </c>
      <c r="T321" s="155">
        <f>IF(R321="","",IFERROR(--Разбивка_по_щитам!L321,""))</f>
        <v/>
      </c>
      <c r="U321" s="155">
        <f>IF(R321="","",IFERROR(--Разбивка_по_щитам!K321,""))</f>
        <v/>
      </c>
      <c r="V321" s="138">
        <f>IF(R321="","",IFERROR(IF(Разбивка_по_щитам!M321=0,"",Разбивка_по_щитам!M321),""))</f>
        <v/>
      </c>
      <c r="W321" s="156">
        <f t="shared" si="175"/>
        <v/>
      </c>
      <c r="X321" s="157">
        <f t="shared" si="176"/>
        <v/>
      </c>
      <c r="Y321" s="266"/>
      <c r="Z321" s="158">
        <f t="shared" si="177"/>
        <v/>
      </c>
      <c r="AA321" s="160">
        <f t="shared" si="178"/>
        <v/>
      </c>
      <c r="AB321" s="160">
        <f>IF(R321="","",IFERROR(LOOKUP(INDEX(Справочная!$I$4:$I$19,MATCH(VLOOKUP(R321,Исходные_данные,22,FALSE),Справочная!$J$4:$J$19,0)+1),{6,10,16,20,25,32,40,50,63,80,100,125}),""))</f>
        <v/>
      </c>
      <c r="AC321" s="160">
        <f t="shared" si="179"/>
        <v/>
      </c>
      <c r="AD321" s="161">
        <f t="shared" si="180"/>
        <v/>
      </c>
      <c r="AE321" s="161">
        <f>IF(AND(R321="",G321=""),"",_xlfn.TEXTJOIN("; ",TRUE,IF(AND(R321&lt;&gt;"",V321=""),"нет фазы",""),IF(AND(R321&lt;&gt;"",N(T321)=0),"нет мощности",""),IF(AND(P321&lt;&gt;"",COUNTIFS($A$3:$A$1000,A321,$P$3:$P$1000,P321)&gt;1),"дубль клеммы "&amp;P321,""),IF(AND(W321&lt;&gt;"",W321&lt;&gt;"ok"),W321,""),IF(X321&lt;&gt;"",X321,""),IF(AND(ISNUMBER(SEARCH("(5х",Q321)),N(AK321)=1),"5 жил на 1 фазе",""),IF(AND(AL321="R",E321&lt;&gt;"",N(AS321)=0),"розетка без 30 мА",""),IF(IFERROR(_xlfn.NUMBERVALUE(MID(Q321,FIND("-",Q321,FIND("L=",Q321))+1,FIND("%",Q321)-FIND("-",Q321,FIND("L=",Q321))-1),","),0)&gt;4,"потери &gt; 4 %","")))</f>
      </c>
      <c r="AF321" s="129">
        <f>IF(E321&lt;&gt;"",COUNTIFS($A$3:A321,A321,$E$3:E321,"?*"),IF(OR(A321&lt;&gt;A320,Y321="вручную"),"",AF320))</f>
      </c>
      <c r="AG321" s="129">
        <f t="shared" si="181"/>
      </c>
      <c r="AH321" s="129">
        <f t="shared" si="182"/>
        <v/>
      </c>
      <c r="AI321" s="129">
        <f t="shared" si="183"/>
        <v/>
      </c>
      <c r="AJ321" s="129">
        <f t="shared" si="184"/>
        <v/>
      </c>
      <c r="AK321" s="129">
        <f t="shared" si="185"/>
        <v/>
      </c>
      <c r="AL321" s="129">
        <f t="shared" si="186"/>
        <v/>
      </c>
      <c r="AM321" s="129">
        <f t="shared" si="187"/>
      </c>
      <c r="AN321" s="129">
        <f t="shared" si="188"/>
      </c>
      <c r="AO321" s="129">
        <f t="shared" si="189"/>
        <v/>
      </c>
      <c r="AP321" s="129">
        <f t="shared" si="190"/>
        <v/>
      </c>
      <c r="AQ321" s="129">
        <f t="shared" si="191"/>
        <v/>
      </c>
      <c r="AR321" s="129">
        <f t="shared" si="192"/>
        <v/>
      </c>
      <c r="AS321" s="129">
        <f t="shared" si="193"/>
        <v/>
      </c>
      <c r="AT321" s="129">
        <f t="shared" si="194"/>
        <v/>
      </c>
      <c r="AU321" s="129">
        <f t="shared" si="195"/>
        <v/>
      </c>
      <c r="AV321" s="129">
        <f t="shared" si="196"/>
        <v/>
      </c>
      <c r="AW321" s="129">
        <f>IF(AV321="","",AV321&amp;"."&amp;COUNTIFS($A$3:A321,A321,$AV$3:AV321,AV321))</f>
        <v/>
      </c>
      <c r="AX321" s="129">
        <f t="shared" si="197"/>
        <v/>
      </c>
      <c r="AY321" s="129">
        <f>IF(N321="б/к",0,IF(OR(ISNUMBER(SEARCH("L=",Разбивка_по_щитам!P321)),N321="+",N321="="),1,0))</f>
      </c>
      <c r="AZ321" s="129">
        <f t="shared" si="198"/>
      </c>
      <c r="BA321" s="129">
        <f t="shared" si="199"/>
      </c>
      <c r="BB321" s="129">
        <f t="shared" si="200"/>
      </c>
      <c r="BD321" s="129">
        <f t="shared" si="201"/>
      </c>
      <c r="BE321" s="129">
        <f t="shared" si="202"/>
      </c>
      <c r="BF321" s="129">
        <f t="shared" si="203"/>
      </c>
      <c r="BG321" s="129">
        <f t="shared" si="204"/>
        <v/>
      </c>
      <c r="BH321" s="129">
        <f t="shared" si="205"/>
        <v/>
      </c>
      <c r="BI321" s="129">
        <f t="shared" si="206"/>
        <v/>
      </c>
      <c r="BJ321" s="129">
        <f t="shared" si="207"/>
        <v/>
      </c>
      <c r="BK321" s="129">
        <f>IF(R321="","",IF(OR(BY321="",BY321=0),"BOX",IFERROR(IF(VLOOKUP(BY321,УГО_блоки,3,FALSE)&amp;""&lt;&gt;"",VLOOKUP(BY321,УГО_блоки,3,FALSE),VLOOKUP(BY321,УГО_блоки,2,FALSE)),BY321)))</f>
      </c>
      <c r="BL321" s="129">
        <f t="shared" si="209"/>
      </c>
      <c r="BM321" s="129">
        <f>IF(H321="","",IF(COUNTIF($H$3:H321,H321)=1,MAX($BM$2:BM320)+1,""))</f>
      </c>
      <c r="BN321" s="129">
        <f>IF(I321="","",IF(COUNTIF($I$3:I321,I321)+COUNTIF($J$2:J320,I321)+COUNTIF($K$2:K320,I321)=1,MAX($BN$2:BP320)+1,""))</f>
      </c>
      <c r="BO321" s="129">
        <f>IF(J321="","",IF(COUNTIF($I$3:I321,J321)+COUNTIF($J$3:J321,J321)+COUNTIF($K$2:K320,J321)=1,MAX($BN$2:BP320,BN321)+1,""))</f>
      </c>
      <c r="BP321" s="129">
        <f>IF(K321="","",IF(COUNTIF($I$3:I321,K321)+COUNTIF($J$3:J321,K321)+COUNTIF($K$3:K321,K321)=1,MAX($BN$2:BP320,BN321,BO321)+1,""))</f>
      </c>
      <c r="BQ321" s="129">
        <f>IF(AY321=1,IFERROR(MID(Q321,FIND(" (",Q321)+2,FIND(")",Q321,FIND(" (",Q321))-FIND(" (",Q321)-2),"?"),"")</f>
      </c>
      <c r="BR321" s="129">
        <f>IF(BQ321="","",IF(COUNTIF($BQ$3:BQ321,BQ321)=1,MAX($BR$2:BR320)+1,""))</f>
      </c>
      <c r="BS321" s="129">
        <f>IF(AW321="","",COUNTIF($AW$3:AW321,"?*"))</f>
      </c>
      <c r="BT321" s="129">
        <f>IF(OR(AW321="",AI321=""),"",IF(COUNTIFS($AW$3:AW321,"?*",$AI$3:AI321,AI321)=1,MAX($BT$2:BT320)+1,""))</f>
      </c>
      <c r="BU321" s="129">
        <f>IF(AE321="",0,IF(OR(ISNUMBER(SEARCH("дубль",AE321)),ISNUMBER(SEARCH("ПЕРЕГРУЗ",AE321)),ISNUMBER(SEARCH("ЗАЩИЩ",AE321)),ISNUMBER(SEARCH("КАНАЛ",AE321)),ISNUMBER(SEARCH("без 30",AE321))),2,1))</f>
      </c>
      <c r="BV321" s="129">
        <f>IF(R321="","",COUNTIF($R$3:R321,"?*"))</f>
      </c>
      <c r="BW321" s="129">
        <f>IF(AY321&lt;&gt;1,0,IF(MAX(IFERROR(--VLOOKUP(R321,УГО_спр,5,FALSE),0),IFERROR(--VLOOKUP(AL321,УГО_спр,5,FALSE),0),IFERROR(--VLOOKUP(LEFT(AL321,2),УГО_спр,5,FALSE),0))&gt;0,MAX(IFERROR(--VLOOKUP(R321,УГО_спр,5,FALSE),0),IFERROR(--VLOOKUP(AL321,УГО_спр,5,FALSE),0),IFERROR(--VLOOKUP(LEFT(AL321,2),УГО_спр,5,FALSE),0)),IF(IFERROR(--LEFT(SUBSTITUTE(BQ321,"x","х"),FIND("х",SUBSTITUTE(BQ321,"x","х"))-1),3)&gt;3,Каталог!$S$9,1)))</f>
      </c>
      <c r="BX321" s="129">
        <f>IF(AY321&lt;&gt;1,0,MAX(0,IFERROR(--LEFT(SUBSTITUTE(BQ321,"x","х"),FIND("х",SUBSTITUTE(BQ321,"x","х"))-1),3)-3*BW321))</f>
      </c>
      <c r="BY321" s="129">
        <f>IF(R321="","",IFERROR(VLOOKUP(R321,УГО_спр,2,FALSE),IFERROR(VLOOKUP(AL321,УГО_спр,2,FALSE),IFERROR(VLOOKUP(LEFT(AL321,2),УГО_спр,2,FALSE),""))))</f>
      </c>
    </row>
    <row r="322" spans="1:64" x14ac:dyDescent="0.3">
      <c r="A322" s="135">
        <f>IF(Разбивка_по_щитам!F322=0,"",Разбивка_по_щитам!F322)</f>
      </c>
      <c r="B322" s="138">
        <f>IF(A322="","",Разбивка_по_щитам!C322)</f>
      </c>
      <c r="C322" s="138">
        <f t="shared" si="170"/>
      </c>
      <c r="D322" s="266"/>
      <c r="E322" s="266"/>
      <c r="F322" s="267"/>
      <c r="G322" s="145">
        <f t="shared" si="210"/>
        <v/>
      </c>
      <c r="H322" s="145">
        <f t="shared" si="211"/>
        <v/>
      </c>
      <c r="I322" s="266"/>
      <c r="J322" s="267"/>
      <c r="K322" s="267"/>
      <c r="L322" s="266"/>
      <c r="M322" s="147">
        <f t="shared" si="212"/>
        <v/>
      </c>
      <c r="N322" s="267"/>
      <c r="O322" s="147">
        <f t="shared" si="213"/>
        <v/>
      </c>
      <c r="P322" s="268">
        <f>IF(AY322=1,"XT"&amp;COUNTIFS($A$3:A322,A322,$AY$3:AY322,1),"")</f>
        <v/>
      </c>
      <c r="Q322" s="152">
        <f>IF(R322="","",IFERROR(SUBSTITUTE(Разбивка_по_щитам!P322,CHAR(10)," "),""))</f>
        <v/>
      </c>
      <c r="R322" s="153">
        <f>IF(OR(Разбивка_по_щитам!H322="",Разбивка_по_щитам!H322=0),"",Разбивка_по_щитам!H322)</f>
        <v/>
      </c>
      <c r="S322" s="154">
        <f>IF(R322="","",IFERROR(Разбивка_по_щитам!J322&amp;"",""))</f>
        <v/>
      </c>
      <c r="T322" s="155">
        <f>IF(R322="","",IFERROR(--Разбивка_по_щитам!L322,""))</f>
        <v/>
      </c>
      <c r="U322" s="155">
        <f>IF(R322="","",IFERROR(--Разбивка_по_щитам!K322,""))</f>
        <v/>
      </c>
      <c r="V322" s="138">
        <f>IF(R322="","",IFERROR(IF(Разбивка_по_щитам!M322=0,"",Разбивка_по_щитам!M322),""))</f>
        <v/>
      </c>
      <c r="W322" s="156">
        <f t="shared" si="175"/>
        <v/>
      </c>
      <c r="X322" s="157">
        <f t="shared" si="176"/>
        <v/>
      </c>
      <c r="Y322" s="266"/>
      <c r="Z322" s="158">
        <f t="shared" si="177"/>
        <v/>
      </c>
      <c r="AA322" s="160">
        <f t="shared" si="178"/>
        <v/>
      </c>
      <c r="AB322" s="160">
        <f>IF(R322="","",IFERROR(LOOKUP(INDEX(Справочная!$I$4:$I$19,MATCH(VLOOKUP(R322,Исходные_данные,22,FALSE),Справочная!$J$4:$J$19,0)+1),{6,10,16,20,25,32,40,50,63,80,100,125}),""))</f>
        <v/>
      </c>
      <c r="AC322" s="160">
        <f t="shared" si="179"/>
        <v/>
      </c>
      <c r="AD322" s="161">
        <f t="shared" si="180"/>
        <v/>
      </c>
      <c r="AE322" s="161">
        <f>IF(AND(R322="",G322=""),"",_xlfn.TEXTJOIN("; ",TRUE,IF(AND(R322&lt;&gt;"",V322=""),"нет фазы",""),IF(AND(R322&lt;&gt;"",N(T322)=0),"нет мощности",""),IF(AND(P322&lt;&gt;"",COUNTIFS($A$3:$A$1000,A322,$P$3:$P$1000,P322)&gt;1),"дубль клеммы "&amp;P322,""),IF(AND(W322&lt;&gt;"",W322&lt;&gt;"ok"),W322,""),IF(X322&lt;&gt;"",X322,""),IF(AND(ISNUMBER(SEARCH("(5х",Q322)),N(AK322)=1),"5 жил на 1 фазе",""),IF(AND(AL322="R",E322&lt;&gt;"",N(AS322)=0),"розетка без 30 мА",""),IF(IFERROR(_xlfn.NUMBERVALUE(MID(Q322,FIND("-",Q322,FIND("L=",Q322))+1,FIND("%",Q322)-FIND("-",Q322,FIND("L=",Q322))-1),","),0)&gt;4,"потери &gt; 4 %","")))</f>
      </c>
      <c r="AF322" s="129">
        <f>IF(E322&lt;&gt;"",COUNTIFS($A$3:A322,A322,$E$3:E322,"?*"),IF(OR(A322&lt;&gt;A321,Y322="вручную"),"",AF321))</f>
      </c>
      <c r="AG322" s="129">
        <f t="shared" si="181"/>
      </c>
      <c r="AH322" s="129">
        <f t="shared" si="182"/>
        <v/>
      </c>
      <c r="AI322" s="129">
        <f t="shared" si="183"/>
        <v/>
      </c>
      <c r="AJ322" s="129">
        <f t="shared" si="184"/>
        <v/>
      </c>
      <c r="AK322" s="129">
        <f t="shared" si="185"/>
        <v/>
      </c>
      <c r="AL322" s="129">
        <f t="shared" si="186"/>
        <v/>
      </c>
      <c r="AM322" s="129">
        <f t="shared" si="187"/>
      </c>
      <c r="AN322" s="129">
        <f t="shared" si="188"/>
      </c>
      <c r="AO322" s="129">
        <f t="shared" si="189"/>
        <v/>
      </c>
      <c r="AP322" s="129">
        <f t="shared" si="190"/>
        <v/>
      </c>
      <c r="AQ322" s="129">
        <f t="shared" si="191"/>
        <v/>
      </c>
      <c r="AR322" s="129">
        <f t="shared" si="192"/>
        <v/>
      </c>
      <c r="AS322" s="129">
        <f t="shared" si="193"/>
        <v/>
      </c>
      <c r="AT322" s="129">
        <f t="shared" si="194"/>
        <v/>
      </c>
      <c r="AU322" s="129">
        <f t="shared" si="195"/>
        <v/>
      </c>
      <c r="AV322" s="129">
        <f t="shared" si="196"/>
        <v/>
      </c>
      <c r="AW322" s="129">
        <f>IF(AV322="","",AV322&amp;"."&amp;COUNTIFS($A$3:A322,A322,$AV$3:AV322,AV322))</f>
        <v/>
      </c>
      <c r="AX322" s="129">
        <f t="shared" si="197"/>
        <v/>
      </c>
      <c r="AY322" s="129">
        <f>IF(N322="б/к",0,IF(OR(ISNUMBER(SEARCH("L=",Разбивка_по_щитам!P322)),N322="+",N322="="),1,0))</f>
      </c>
      <c r="AZ322" s="129">
        <f t="shared" si="198"/>
      </c>
      <c r="BA322" s="129">
        <f t="shared" si="199"/>
      </c>
      <c r="BB322" s="129">
        <f t="shared" si="200"/>
      </c>
      <c r="BD322" s="129">
        <f t="shared" si="201"/>
      </c>
      <c r="BE322" s="129">
        <f t="shared" si="202"/>
      </c>
      <c r="BF322" s="129">
        <f t="shared" si="203"/>
      </c>
      <c r="BG322" s="129">
        <f t="shared" si="204"/>
        <v/>
      </c>
      <c r="BH322" s="129">
        <f t="shared" si="205"/>
        <v/>
      </c>
      <c r="BI322" s="129">
        <f t="shared" si="206"/>
        <v/>
      </c>
      <c r="BJ322" s="129">
        <f t="shared" si="207"/>
        <v/>
      </c>
      <c r="BK322" s="129">
        <f>IF(R322="","",IF(OR(BY322="",BY322=0),"BOX",IFERROR(IF(VLOOKUP(BY322,УГО_блоки,3,FALSE)&amp;""&lt;&gt;"",VLOOKUP(BY322,УГО_блоки,3,FALSE),VLOOKUP(BY322,УГО_блоки,2,FALSE)),BY322)))</f>
      </c>
      <c r="BL322" s="129">
        <f t="shared" si="209"/>
      </c>
      <c r="BM322" s="129">
        <f>IF(H322="","",IF(COUNTIF($H$3:H322,H322)=1,MAX($BM$2:BM321)+1,""))</f>
      </c>
      <c r="BN322" s="129">
        <f>IF(I322="","",IF(COUNTIF($I$3:I322,I322)+COUNTIF($J$2:J321,I322)+COUNTIF($K$2:K321,I322)=1,MAX($BN$2:BP321)+1,""))</f>
      </c>
      <c r="BO322" s="129">
        <f>IF(J322="","",IF(COUNTIF($I$3:I322,J322)+COUNTIF($J$3:J322,J322)+COUNTIF($K$2:K321,J322)=1,MAX($BN$2:BP321,BN322)+1,""))</f>
      </c>
      <c r="BP322" s="129">
        <f>IF(K322="","",IF(COUNTIF($I$3:I322,K322)+COUNTIF($J$3:J322,K322)+COUNTIF($K$3:K322,K322)=1,MAX($BN$2:BP321,BN322,BO322)+1,""))</f>
      </c>
      <c r="BQ322" s="129">
        <f>IF(AY322=1,IFERROR(MID(Q322,FIND(" (",Q322)+2,FIND(")",Q322,FIND(" (",Q322))-FIND(" (",Q322)-2),"?"),"")</f>
      </c>
      <c r="BR322" s="129">
        <f>IF(BQ322="","",IF(COUNTIF($BQ$3:BQ322,BQ322)=1,MAX($BR$2:BR321)+1,""))</f>
      </c>
      <c r="BS322" s="129">
        <f>IF(AW322="","",COUNTIF($AW$3:AW322,"?*"))</f>
      </c>
      <c r="BT322" s="129">
        <f>IF(OR(AW322="",AI322=""),"",IF(COUNTIFS($AW$3:AW322,"?*",$AI$3:AI322,AI322)=1,MAX($BT$2:BT321)+1,""))</f>
      </c>
      <c r="BU322" s="129">
        <f>IF(AE322="",0,IF(OR(ISNUMBER(SEARCH("дубль",AE322)),ISNUMBER(SEARCH("ПЕРЕГРУЗ",AE322)),ISNUMBER(SEARCH("ЗАЩИЩ",AE322)),ISNUMBER(SEARCH("КАНАЛ",AE322)),ISNUMBER(SEARCH("без 30",AE322))),2,1))</f>
      </c>
      <c r="BV322" s="129">
        <f>IF(R322="","",COUNTIF($R$3:R322,"?*"))</f>
      </c>
      <c r="BW322" s="129">
        <f>IF(AY322&lt;&gt;1,0,IF(MAX(IFERROR(--VLOOKUP(R322,УГО_спр,5,FALSE),0),IFERROR(--VLOOKUP(AL322,УГО_спр,5,FALSE),0),IFERROR(--VLOOKUP(LEFT(AL322,2),УГО_спр,5,FALSE),0))&gt;0,MAX(IFERROR(--VLOOKUP(R322,УГО_спр,5,FALSE),0),IFERROR(--VLOOKUP(AL322,УГО_спр,5,FALSE),0),IFERROR(--VLOOKUP(LEFT(AL322,2),УГО_спр,5,FALSE),0)),IF(IFERROR(--LEFT(SUBSTITUTE(BQ322,"x","х"),FIND("х",SUBSTITUTE(BQ322,"x","х"))-1),3)&gt;3,Каталог!$S$9,1)))</f>
      </c>
      <c r="BX322" s="129">
        <f>IF(AY322&lt;&gt;1,0,MAX(0,IFERROR(--LEFT(SUBSTITUTE(BQ322,"x","х"),FIND("х",SUBSTITUTE(BQ322,"x","х"))-1),3)-3*BW322))</f>
      </c>
      <c r="BY322" s="129">
        <f>IF(R322="","",IFERROR(VLOOKUP(R322,УГО_спр,2,FALSE),IFERROR(VLOOKUP(AL322,УГО_спр,2,FALSE),IFERROR(VLOOKUP(LEFT(AL322,2),УГО_спр,2,FALSE),""))))</f>
      </c>
    </row>
    <row r="323" spans="1:64" x14ac:dyDescent="0.3">
      <c r="A323" s="135">
        <f>IF(Разбивка_по_щитам!F323=0,"",Разбивка_по_щитам!F323)</f>
      </c>
      <c r="B323" s="138">
        <f>IF(A323="","",Разбивка_по_щитам!C323)</f>
      </c>
      <c r="C323" s="138">
        <f t="shared" ref="C323:C386" si="214">IF(B323="","",INT((B323-1)/Столбцов_на_лист)+1)</f>
      </c>
      <c r="D323" s="266"/>
      <c r="E323" s="266"/>
      <c r="F323" s="267"/>
      <c r="G323" s="145">
        <f t="shared" si="210"/>
        <v/>
      </c>
      <c r="H323" s="145">
        <f t="shared" si="211"/>
        <v/>
      </c>
      <c r="I323" s="266"/>
      <c r="J323" s="267"/>
      <c r="K323" s="267"/>
      <c r="L323" s="266"/>
      <c r="M323" s="147">
        <f t="shared" si="212"/>
        <v/>
      </c>
      <c r="N323" s="267"/>
      <c r="O323" s="147">
        <f t="shared" si="213"/>
        <v/>
      </c>
      <c r="P323" s="268">
        <f>IF(AY323=1,"XT"&amp;COUNTIFS($A$3:A323,A323,$AY$3:AY323,1),"")</f>
        <v/>
      </c>
      <c r="Q323" s="152">
        <f>IF(R323="","",IFERROR(SUBSTITUTE(Разбивка_по_щитам!P323,CHAR(10)," "),""))</f>
        <v/>
      </c>
      <c r="R323" s="153">
        <f>IF(OR(Разбивка_по_щитам!H323="",Разбивка_по_щитам!H323=0),"",Разбивка_по_щитам!H323)</f>
        <v/>
      </c>
      <c r="S323" s="154">
        <f>IF(R323="","",IFERROR(Разбивка_по_щитам!J323&amp;"",""))</f>
        <v/>
      </c>
      <c r="T323" s="155">
        <f>IF(R323="","",IFERROR(--Разбивка_по_щитам!L323,""))</f>
        <v/>
      </c>
      <c r="U323" s="155">
        <f>IF(R323="","",IFERROR(--Разбивка_по_щитам!K323,""))</f>
        <v/>
      </c>
      <c r="V323" s="138">
        <f>IF(R323="","",IFERROR(IF(Разбивка_по_щитам!M323=0,"",Разбивка_по_щитам!M323),""))</f>
        <v/>
      </c>
      <c r="W323" s="156">
        <f t="shared" ref="W323:W386" si="215">IF(E323="","",IF(NOT(ISNUMBER(AU323)),"",IF(Z323&gt;AU323,"ПЕРЕГРУЗ",IF(AND(BA323=0,AP323&gt;0,AU323&gt;AP323),"КАБЕЛЬ НЕ ЗАЩИЩЁН","ok"))))</f>
        <v/>
      </c>
      <c r="X323" s="157">
        <f t="shared" ref="X323:X386" si="216">IF(OR(O323="",AH323=""),"",IF(O323&gt;IFERROR(VLOOKUP(AI323,Модули_спр,3,FALSE),99),"ЛИШНИЙ КАНАЛ",IF(AND(N323&lt;&gt;"=",COUNTIFS($AH$3:$AH$1000,AH323,$O$3:$O$1000,O323,$N$3:$N$1000,"&lt;&gt;=")&gt;1),"ДУБЛЬ КАНАЛА","")))</f>
        <v/>
      </c>
      <c r="Y323" s="266"/>
      <c r="Z323" s="158">
        <f t="shared" ref="Z323:Z386" si="217">IF(E323="","",SUMIFS($U$3:$U$1000,$AF$3:$AF$1000,AF323,$A$3:$A$1000,A323,$AN$3:$AN$1000,0))</f>
        <v/>
      </c>
      <c r="AA323" s="160">
        <f t="shared" ref="AA323:AA386" si="218">IF(E323="","",IFERROR(VLOOKUP(Z323,Автомат_номиналы,2,TRUE),""))</f>
        <v/>
      </c>
      <c r="AB323" s="160">
        <f>IF(R323="","",IFERROR(LOOKUP(INDEX(Справочная!$I$4:$I$19,MATCH(VLOOKUP(R323,Исходные_данные,22,FALSE),Справочная!$J$4:$J$19,0)+1),{6,10,16,20,25,32,40,50,63,80,100,125}),""))</f>
        <v/>
      </c>
      <c r="AC323" s="160">
        <f t="shared" ref="AC323:AC386" si="219">IF(M323="","",AI323)</f>
        <v/>
      </c>
      <c r="AD323" s="161">
        <f t="shared" ref="AD323:AD386" si="220">IF(AND(R323="",O323="",P323=""),"",_xlfn.TEXTJOIN(" → ",TRUE,AG323,AZ323,IF(AH323&lt;&gt;"",AH323&amp;IF(O323&lt;&gt;""," к."&amp;O323,""),IF(O323&lt;&gt;"","к."&amp;O323,"")),P323,IF(AN323=1,"(в кабель выше)","")))</f>
        <v/>
      </c>
      <c r="AE323" s="161">
        <f>IF(AND(R323="",G323=""),"",_xlfn.TEXTJOIN("; ",TRUE,IF(AND(R323&lt;&gt;"",V323=""),"нет фазы",""),IF(AND(R323&lt;&gt;"",N(T323)=0),"нет мощности",""),IF(AND(P323&lt;&gt;"",COUNTIFS($A$3:$A$1000,A323,$P$3:$P$1000,P323)&gt;1),"дубль клеммы "&amp;P323,""),IF(AND(W323&lt;&gt;"",W323&lt;&gt;"ok"),W323,""),IF(X323&lt;&gt;"",X323,""),IF(AND(ISNUMBER(SEARCH("(5х",Q323)),N(AK323)=1),"5 жил на 1 фазе",""),IF(AND(AL323="R",E323&lt;&gt;"",N(AS323)=0),"розетка без 30 мА",""),IF(IFERROR(_xlfn.NUMBERVALUE(MID(Q323,FIND("-",Q323,FIND("L=",Q323))+1,FIND("%",Q323)-FIND("-",Q323,FIND("L=",Q323))-1),","),0)&gt;4,"потери &gt; 4 %","")))</f>
      </c>
      <c r="AF323" s="129">
        <f>IF(E323&lt;&gt;"",COUNTIFS($A$3:A323,A323,$E$3:E323,"?*"),IF(OR(A323&lt;&gt;A322,Y323="вручную"),"",AF322))</f>
      </c>
      <c r="AG323" s="129">
        <f t="shared" ref="AG323:AG386" si="221">IF(AJ323&lt;&gt;"",AJ323,IF(OR(A323&lt;&gt;A322,Y323="вручную"),"",AG322))</f>
      </c>
      <c r="AH323" s="129">
        <f t="shared" ref="AH323:AH386" si="222">IF(L323="-","",IF(AW323&lt;&gt;"",AW323,IF(A323&lt;&gt;A322,"",AH322)))</f>
        <v/>
      </c>
      <c r="AI323" s="129">
        <f t="shared" ref="AI323:AI386" si="223">IF(AH323="","",IF(AND(L323&lt;&gt;"",L323&lt;&gt;"-"),L323,AI322))</f>
        <v/>
      </c>
      <c r="AJ323" s="129">
        <f t="shared" ref="AJ323:AJ386" si="224">IF(E323="","",IF(AS323=1,"QFD","QF")&amp;AF323)</f>
        <v/>
      </c>
      <c r="AK323" s="129">
        <f t="shared" ref="AK323:AK386" si="225">IF(R323="","",IFERROR(--VLOOKUP(R323,Исходные_данные,8,FALSE),1))</f>
        <v/>
      </c>
      <c r="AL323" s="129">
        <f t="shared" ref="AL323:AL386" si="226">IF(R323="","",IFERROR(LEFT(R323,FIND(".",R323)-1),R323))</f>
        <v/>
      </c>
      <c r="AM323" s="129">
        <f t="shared" ref="AM323:AM386" si="227">IF(AL323="",0,IFERROR(IF(VLOOKUP(R323,УГО_спр,3,FALSE)="да",1,0),IFERROR(IF(VLOOKUP(AL323,УГО_спр,3,FALSE)="да",1,0),IFERROR(IF(VLOOKUP(LEFT(AL323,2),УГО_спр,3,FALSE)="да",1,0),0))))</f>
      </c>
      <c r="AN323" s="129">
        <f t="shared" ref="AN323:AN386" si="228">IF(OR(N323="+",AND(R323&lt;&gt;"",R323=R322)),1,0)</f>
      </c>
      <c r="AO323" s="129">
        <f t="shared" ref="AO323:AO386" si="229">IF(E323="","",MAX(N(AA323),_xlfn.MAXIFS($BB$3:$BB$1000,$AF$3:$AF$1000,AF323,$A$3:$A$1000,A323)))</f>
        <v/>
      </c>
      <c r="AP323" s="129">
        <f t="shared" ref="AP323:AP386" si="230">IF(E323="","",_xlfn.MINIFS($AB$3:$AB$1000,$AF$3:$AF$1000,AF323,$A$3:$A$1000,A323))</f>
        <v/>
      </c>
      <c r="AQ323" s="129">
        <f t="shared" ref="AQ323:AQ386" si="231">IF(E323="","",IF(BA323=1,MAX(AO323,Мин_автомат_БП),AO323))</f>
        <v/>
      </c>
      <c r="AR323" s="129">
        <f t="shared" ref="AR323:AR386" si="232">IF(E323="","",MAX(1,_xlfn.MAXIFS($AK$3:$AK$1000,$AF$3:$AF$1000,AF323,$A$3:$A$1000,A323)))</f>
        <v/>
      </c>
      <c r="AS323" s="129">
        <f t="shared" ref="AS323:AS386" si="233">IF(E323="","",IF(AND(E323&lt;&gt;"авто",E323&lt;&gt;"+"),IF(ISNUMBER(SEARCH("мА",E323)),1,0),IF(F323="да",1,IF(F323="нет",0,IF(_xlfn.MAXIFS($AM$3:$AM$1000,$AF$3:$AF$1000,AF323,$A$3:$A$1000,A323)&gt;0,1,0)))))</f>
        <v/>
      </c>
      <c r="AT323" s="129">
        <f t="shared" ref="AT323:AT386" si="234">IF(E323="","",IF(AR323&gt;=3,IF(AS323=1,"4P","3P"),IF(AS323=1,"2P","1P")))</f>
        <v/>
      </c>
      <c r="AU323" s="129">
        <f t="shared" ref="AU323:AU386" si="235">IF(H323="","",IFERROR(--MID(SUBSTITUTE(SUBSTITUTE(UPPER(H323),"С","C"),"А","A"),FIND("C",SUBSTITUTE(SUBSTITUTE(UPPER(H323),"С","C"),"А","A"))+1,FIND("A",SUBSTITUTE(SUBSTITUTE(UPPER(H323),"С","C"),"А","A")&amp;"A",FIND("C",SUBSTITUTE(SUBSTITUTE(UPPER(H323),"С","C"),"А","A")))-FIND("C",SUBSTITUTE(SUBSTITUTE(UPPER(H323),"С","C"),"А","A"))-1),""))</f>
        <v/>
      </c>
      <c r="AV323" s="129">
        <f t="shared" ref="AV323:AV386" si="236">IF(OR(L323="",L323="-"),"",IFERROR(VLOOKUP(L323,Модули_спр,2,FALSE),"R"))</f>
        <v/>
      </c>
      <c r="AW323" s="129">
        <f>IF(AV323="","",AV323&amp;"."&amp;COUNTIFS($A$3:A323,A323,$AV$3:AV323,AV323))</f>
        <v/>
      </c>
      <c r="AX323" s="129">
        <f t="shared" ref="AX323:AX386" si="237">IF(O323&lt;&gt;"",O323,IF(OR(A323&lt;&gt;A322,L323="-",AW323&lt;&gt;""),"",AX322))</f>
        <v/>
      </c>
      <c r="AY323" s="129">
        <f>IF(N323="б/к",0,IF(OR(ISNUMBER(SEARCH("L=",Разбивка_по_щитам!P323)),N323="+",N323="="),1,0))</f>
      </c>
      <c r="AZ323" s="129">
        <f t="shared" ref="AZ323:AZ386" si="238">IF(AJ323&lt;&gt;"",_xlfn.TEXTJOIN(" → ",TRUE,I323,J323,K323),IF(AG323="","",AZ322))</f>
      </c>
      <c r="BA323" s="129">
        <f t="shared" ref="BA323:BA386" si="239">IF(AZ323="",0,IF(OR(LEFT(AZ323,2)="T ",LEFT(AZ323,2)="Т ",ISNUMBER(SEARCH("→ T ",AZ323)),ISNUMBER(SEARCH("→ Т ",AZ323)),ISNUMBER(SEARCH("БП",AZ323))),1,0))</f>
      </c>
      <c r="BB323" s="129">
        <f t="shared" ref="BB323:BB386" si="240">IF(R323="",0,MAX(IFERROR(--VLOOKUP(R323,Исходные_данные,18,FALSE),0),IFERROR(--VLOOKUP(R323,УГО_спр,4,FALSE),IFERROR(--VLOOKUP(AL323,УГО_спр,4,FALSE),IFERROR(--VLOOKUP(LEFT(AL323,2),УГО_спр,4,FALSE),0)))))</f>
      </c>
      <c r="BD323" s="129">
        <f t="shared" ref="BD323:BD386" si="241">IF(Y323="вручную",0,1)</f>
      </c>
      <c r="BE323" s="129">
        <f t="shared" ref="BE323:BE386" si="242">IF(D323="",0,1)</f>
      </c>
      <c r="BF323" s="129">
        <f t="shared" ref="BF323:BF386" si="243">IF(AJ323="",0,IF(LEFT(AJ323,3)="QFD",1,0))</f>
      </c>
      <c r="BG323" s="129">
        <f t="shared" ref="BG323:BG386" si="244">IF(N323="=","=",IF(N323="+","+",IF(N323="р","R","")))</f>
        <v/>
      </c>
      <c r="BH323" s="129">
        <f t="shared" ref="BH323:BH386" si="245">IF(I323="","",IF(OR(LEFT(I323,1)="T",LEFT(I323,1)="Т"),"T",IF(LEFT(UPPER(I323),2)="БП","PS",IF(OR(LEFT(UPPER(I323),2)="МК",LEFT(UPPER(I323),2)="MK"),"MK",IF(OR(LEFT(UPPER(I323),2)="КМ",LEFT(UPPER(I323),2)="KM"),"KM","X")))))</f>
        <v/>
      </c>
      <c r="BI323" s="129">
        <f t="shared" ref="BI323:BI386" si="246">IF(J323="","",IF(OR(LEFT(J323,1)="T",LEFT(J323,1)="Т"),"T",IF(LEFT(UPPER(J323),2)="БП","PS",IF(OR(LEFT(UPPER(J323),2)="МК",LEFT(UPPER(J323),2)="MK"),"MK",IF(OR(LEFT(UPPER(J323),2)="КМ",LEFT(UPPER(J323),2)="KM"),"KM","X")))))</f>
        <v/>
      </c>
      <c r="BJ323" s="129">
        <f t="shared" ref="BJ323:BJ386" si="247">IF(K323="","",IF(OR(LEFT(K323,1)="T",LEFT(K323,1)="Т"),"T",IF(LEFT(UPPER(K323),2)="БП","PS",IF(OR(LEFT(UPPER(K323),2)="МК",LEFT(UPPER(K323),2)="MK"),"MK",IF(OR(LEFT(UPPER(K323),2)="КМ",LEFT(UPPER(K323),2)="KM"),"KM","X")))))</f>
        <v/>
      </c>
      <c r="BK323" s="129">
        <f>IF(R323="","",IF(OR(BY323="",BY323=0),"BOX",IFERROR(IF(VLOOKUP(BY323,УГО_блоки,3,FALSE)&amp;""&lt;&gt;"",VLOOKUP(BY323,УГО_блоки,3,FALSE),VLOOKUP(BY323,УГО_блоки,2,FALSE)),BY323)))</f>
      </c>
      <c r="BL323" s="129">
        <f t="shared" ref="BL323:BL386" si="249">IF(R323="",0,1)</f>
      </c>
      <c r="BM323" s="129">
        <f>IF(H323="","",IF(COUNTIF($H$3:H323,H323)=1,MAX($BM$2:BM322)+1,""))</f>
      </c>
      <c r="BN323" s="129">
        <f>IF(I323="","",IF(COUNTIF($I$3:I323,I323)+COUNTIF($J$2:J322,I323)+COUNTIF($K$2:K322,I323)=1,MAX($BN$2:BP322)+1,""))</f>
      </c>
      <c r="BO323" s="129">
        <f>IF(J323="","",IF(COUNTIF($I$3:I323,J323)+COUNTIF($J$3:J323,J323)+COUNTIF($K$2:K322,J323)=1,MAX($BN$2:BP322,BN323)+1,""))</f>
      </c>
      <c r="BP323" s="129">
        <f>IF(K323="","",IF(COUNTIF($I$3:I323,K323)+COUNTIF($J$3:J323,K323)+COUNTIF($K$3:K323,K323)=1,MAX($BN$2:BP322,BN323,BO323)+1,""))</f>
      </c>
      <c r="BQ323" s="129">
        <f>IF(AY323=1,IFERROR(MID(Q323,FIND(" (",Q323)+2,FIND(")",Q323,FIND(" (",Q323))-FIND(" (",Q323)-2),"?"),"")</f>
      </c>
      <c r="BR323" s="129">
        <f>IF(BQ323="","",IF(COUNTIF($BQ$3:BQ323,BQ323)=1,MAX($BR$2:BR322)+1,""))</f>
      </c>
      <c r="BS323" s="129">
        <f>IF(AW323="","",COUNTIF($AW$3:AW323,"?*"))</f>
      </c>
      <c r="BT323" s="129">
        <f>IF(OR(AW323="",AI323=""),"",IF(COUNTIFS($AW$3:AW323,"?*",$AI$3:AI323,AI323)=1,MAX($BT$2:BT322)+1,""))</f>
      </c>
      <c r="BU323" s="129">
        <f>IF(AE323="",0,IF(OR(ISNUMBER(SEARCH("дубль",AE323)),ISNUMBER(SEARCH("ПЕРЕГРУЗ",AE323)),ISNUMBER(SEARCH("ЗАЩИЩ",AE323)),ISNUMBER(SEARCH("КАНАЛ",AE323)),ISNUMBER(SEARCH("без 30",AE323))),2,1))</f>
      </c>
      <c r="BV323" s="129">
        <f>IF(R323="","",COUNTIF($R$3:R323,"?*"))</f>
      </c>
      <c r="BW323" s="129">
        <f>IF(AY323&lt;&gt;1,0,IF(MAX(IFERROR(--VLOOKUP(R323,УГО_спр,5,FALSE),0),IFERROR(--VLOOKUP(AL323,УГО_спр,5,FALSE),0),IFERROR(--VLOOKUP(LEFT(AL323,2),УГО_спр,5,FALSE),0))&gt;0,MAX(IFERROR(--VLOOKUP(R323,УГО_спр,5,FALSE),0),IFERROR(--VLOOKUP(AL323,УГО_спр,5,FALSE),0),IFERROR(--VLOOKUP(LEFT(AL323,2),УГО_спр,5,FALSE),0)),IF(IFERROR(--LEFT(SUBSTITUTE(BQ323,"x","х"),FIND("х",SUBSTITUTE(BQ323,"x","х"))-1),3)&gt;3,Каталог!$S$9,1)))</f>
      </c>
      <c r="BX323" s="129">
        <f>IF(AY323&lt;&gt;1,0,MAX(0,IFERROR(--LEFT(SUBSTITUTE(BQ323,"x","х"),FIND("х",SUBSTITUTE(BQ323,"x","х"))-1),3)-3*BW323))</f>
      </c>
      <c r="BY323" s="129">
        <f>IF(R323="","",IFERROR(VLOOKUP(R323,УГО_спр,2,FALSE),IFERROR(VLOOKUP(AL323,УГО_спр,2,FALSE),IFERROR(VLOOKUP(LEFT(AL323,2),УГО_спр,2,FALSE),""))))</f>
      </c>
    </row>
    <row r="324" spans="1:64" x14ac:dyDescent="0.3">
      <c r="A324" s="135">
        <f>IF(Разбивка_по_щитам!F324=0,"",Разбивка_по_щитам!F324)</f>
      </c>
      <c r="B324" s="138">
        <f>IF(A324="","",Разбивка_по_щитам!C324)</f>
      </c>
      <c r="C324" s="138">
        <f t="shared" si="214"/>
      </c>
      <c r="D324" s="266"/>
      <c r="E324" s="266"/>
      <c r="F324" s="267"/>
      <c r="G324" s="145">
        <f t="shared" si="210"/>
        <v/>
      </c>
      <c r="H324" s="145">
        <f t="shared" si="211"/>
        <v/>
      </c>
      <c r="I324" s="266"/>
      <c r="J324" s="267"/>
      <c r="K324" s="267"/>
      <c r="L324" s="266"/>
      <c r="M324" s="147">
        <f t="shared" si="212"/>
        <v/>
      </c>
      <c r="N324" s="267"/>
      <c r="O324" s="147">
        <f t="shared" si="213"/>
        <v/>
      </c>
      <c r="P324" s="268">
        <f>IF(AY324=1,"XT"&amp;COUNTIFS($A$3:A324,A324,$AY$3:AY324,1),"")</f>
        <v/>
      </c>
      <c r="Q324" s="152">
        <f>IF(R324="","",IFERROR(SUBSTITUTE(Разбивка_по_щитам!P324,CHAR(10)," "),""))</f>
        <v/>
      </c>
      <c r="R324" s="153">
        <f>IF(OR(Разбивка_по_щитам!H324="",Разбивка_по_щитам!H324=0),"",Разбивка_по_щитам!H324)</f>
        <v/>
      </c>
      <c r="S324" s="154">
        <f>IF(R324="","",IFERROR(Разбивка_по_щитам!J324&amp;"",""))</f>
        <v/>
      </c>
      <c r="T324" s="155">
        <f>IF(R324="","",IFERROR(--Разбивка_по_щитам!L324,""))</f>
        <v/>
      </c>
      <c r="U324" s="155">
        <f>IF(R324="","",IFERROR(--Разбивка_по_щитам!K324,""))</f>
        <v/>
      </c>
      <c r="V324" s="138">
        <f>IF(R324="","",IFERROR(IF(Разбивка_по_щитам!M324=0,"",Разбивка_по_щитам!M324),""))</f>
        <v/>
      </c>
      <c r="W324" s="156">
        <f t="shared" si="215"/>
        <v/>
      </c>
      <c r="X324" s="157">
        <f t="shared" si="216"/>
        <v/>
      </c>
      <c r="Y324" s="266"/>
      <c r="Z324" s="158">
        <f t="shared" si="217"/>
        <v/>
      </c>
      <c r="AA324" s="160">
        <f t="shared" si="218"/>
        <v/>
      </c>
      <c r="AB324" s="160">
        <f>IF(R324="","",IFERROR(LOOKUP(INDEX(Справочная!$I$4:$I$19,MATCH(VLOOKUP(R324,Исходные_данные,22,FALSE),Справочная!$J$4:$J$19,0)+1),{6,10,16,20,25,32,40,50,63,80,100,125}),""))</f>
        <v/>
      </c>
      <c r="AC324" s="160">
        <f t="shared" si="219"/>
        <v/>
      </c>
      <c r="AD324" s="161">
        <f t="shared" si="220"/>
        <v/>
      </c>
      <c r="AE324" s="161">
        <f>IF(AND(R324="",G324=""),"",_xlfn.TEXTJOIN("; ",TRUE,IF(AND(R324&lt;&gt;"",V324=""),"нет фазы",""),IF(AND(R324&lt;&gt;"",N(T324)=0),"нет мощности",""),IF(AND(P324&lt;&gt;"",COUNTIFS($A$3:$A$1000,A324,$P$3:$P$1000,P324)&gt;1),"дубль клеммы "&amp;P324,""),IF(AND(W324&lt;&gt;"",W324&lt;&gt;"ok"),W324,""),IF(X324&lt;&gt;"",X324,""),IF(AND(ISNUMBER(SEARCH("(5х",Q324)),N(AK324)=1),"5 жил на 1 фазе",""),IF(AND(AL324="R",E324&lt;&gt;"",N(AS324)=0),"розетка без 30 мА",""),IF(IFERROR(_xlfn.NUMBERVALUE(MID(Q324,FIND("-",Q324,FIND("L=",Q324))+1,FIND("%",Q324)-FIND("-",Q324,FIND("L=",Q324))-1),","),0)&gt;4,"потери &gt; 4 %","")))</f>
      </c>
      <c r="AF324" s="129">
        <f>IF(E324&lt;&gt;"",COUNTIFS($A$3:A324,A324,$E$3:E324,"?*"),IF(OR(A324&lt;&gt;A323,Y324="вручную"),"",AF323))</f>
      </c>
      <c r="AG324" s="129">
        <f t="shared" si="221"/>
      </c>
      <c r="AH324" s="129">
        <f t="shared" si="222"/>
        <v/>
      </c>
      <c r="AI324" s="129">
        <f t="shared" si="223"/>
        <v/>
      </c>
      <c r="AJ324" s="129">
        <f t="shared" si="224"/>
        <v/>
      </c>
      <c r="AK324" s="129">
        <f t="shared" si="225"/>
        <v/>
      </c>
      <c r="AL324" s="129">
        <f t="shared" si="226"/>
        <v/>
      </c>
      <c r="AM324" s="129">
        <f t="shared" si="227"/>
      </c>
      <c r="AN324" s="129">
        <f t="shared" si="228"/>
      </c>
      <c r="AO324" s="129">
        <f t="shared" si="229"/>
        <v/>
      </c>
      <c r="AP324" s="129">
        <f t="shared" si="230"/>
        <v/>
      </c>
      <c r="AQ324" s="129">
        <f t="shared" si="231"/>
        <v/>
      </c>
      <c r="AR324" s="129">
        <f t="shared" si="232"/>
        <v/>
      </c>
      <c r="AS324" s="129">
        <f t="shared" si="233"/>
        <v/>
      </c>
      <c r="AT324" s="129">
        <f t="shared" si="234"/>
        <v/>
      </c>
      <c r="AU324" s="129">
        <f t="shared" si="235"/>
        <v/>
      </c>
      <c r="AV324" s="129">
        <f t="shared" si="236"/>
        <v/>
      </c>
      <c r="AW324" s="129">
        <f>IF(AV324="","",AV324&amp;"."&amp;COUNTIFS($A$3:A324,A324,$AV$3:AV324,AV324))</f>
        <v/>
      </c>
      <c r="AX324" s="129">
        <f t="shared" si="237"/>
        <v/>
      </c>
      <c r="AY324" s="129">
        <f>IF(N324="б/к",0,IF(OR(ISNUMBER(SEARCH("L=",Разбивка_по_щитам!P324)),N324="+",N324="="),1,0))</f>
      </c>
      <c r="AZ324" s="129">
        <f t="shared" si="238"/>
      </c>
      <c r="BA324" s="129">
        <f t="shared" si="239"/>
      </c>
      <c r="BB324" s="129">
        <f t="shared" si="240"/>
      </c>
      <c r="BD324" s="129">
        <f t="shared" si="241"/>
      </c>
      <c r="BE324" s="129">
        <f t="shared" si="242"/>
      </c>
      <c r="BF324" s="129">
        <f t="shared" si="243"/>
      </c>
      <c r="BG324" s="129">
        <f t="shared" si="244"/>
        <v/>
      </c>
      <c r="BH324" s="129">
        <f t="shared" si="245"/>
        <v/>
      </c>
      <c r="BI324" s="129">
        <f t="shared" si="246"/>
        <v/>
      </c>
      <c r="BJ324" s="129">
        <f t="shared" si="247"/>
        <v/>
      </c>
      <c r="BK324" s="129">
        <f>IF(R324="","",IF(OR(BY324="",BY324=0),"BOX",IFERROR(IF(VLOOKUP(BY324,УГО_блоки,3,FALSE)&amp;""&lt;&gt;"",VLOOKUP(BY324,УГО_блоки,3,FALSE),VLOOKUP(BY324,УГО_блоки,2,FALSE)),BY324)))</f>
      </c>
      <c r="BL324" s="129">
        <f t="shared" si="249"/>
      </c>
      <c r="BM324" s="129">
        <f>IF(H324="","",IF(COUNTIF($H$3:H324,H324)=1,MAX($BM$2:BM323)+1,""))</f>
      </c>
      <c r="BN324" s="129">
        <f>IF(I324="","",IF(COUNTIF($I$3:I324,I324)+COUNTIF($J$2:J323,I324)+COUNTIF($K$2:K323,I324)=1,MAX($BN$2:BP323)+1,""))</f>
      </c>
      <c r="BO324" s="129">
        <f>IF(J324="","",IF(COUNTIF($I$3:I324,J324)+COUNTIF($J$3:J324,J324)+COUNTIF($K$2:K323,J324)=1,MAX($BN$2:BP323,BN324)+1,""))</f>
      </c>
      <c r="BP324" s="129">
        <f>IF(K324="","",IF(COUNTIF($I$3:I324,K324)+COUNTIF($J$3:J324,K324)+COUNTIF($K$3:K324,K324)=1,MAX($BN$2:BP323,BN324,BO324)+1,""))</f>
      </c>
      <c r="BQ324" s="129">
        <f>IF(AY324=1,IFERROR(MID(Q324,FIND(" (",Q324)+2,FIND(")",Q324,FIND(" (",Q324))-FIND(" (",Q324)-2),"?"),"")</f>
      </c>
      <c r="BR324" s="129">
        <f>IF(BQ324="","",IF(COUNTIF($BQ$3:BQ324,BQ324)=1,MAX($BR$2:BR323)+1,""))</f>
      </c>
      <c r="BS324" s="129">
        <f>IF(AW324="","",COUNTIF($AW$3:AW324,"?*"))</f>
      </c>
      <c r="BT324" s="129">
        <f>IF(OR(AW324="",AI324=""),"",IF(COUNTIFS($AW$3:AW324,"?*",$AI$3:AI324,AI324)=1,MAX($BT$2:BT323)+1,""))</f>
      </c>
      <c r="BU324" s="129">
        <f>IF(AE324="",0,IF(OR(ISNUMBER(SEARCH("дубль",AE324)),ISNUMBER(SEARCH("ПЕРЕГРУЗ",AE324)),ISNUMBER(SEARCH("ЗАЩИЩ",AE324)),ISNUMBER(SEARCH("КАНАЛ",AE324)),ISNUMBER(SEARCH("без 30",AE324))),2,1))</f>
      </c>
      <c r="BV324" s="129">
        <f>IF(R324="","",COUNTIF($R$3:R324,"?*"))</f>
      </c>
      <c r="BW324" s="129">
        <f>IF(AY324&lt;&gt;1,0,IF(MAX(IFERROR(--VLOOKUP(R324,УГО_спр,5,FALSE),0),IFERROR(--VLOOKUP(AL324,УГО_спр,5,FALSE),0),IFERROR(--VLOOKUP(LEFT(AL324,2),УГО_спр,5,FALSE),0))&gt;0,MAX(IFERROR(--VLOOKUP(R324,УГО_спр,5,FALSE),0),IFERROR(--VLOOKUP(AL324,УГО_спр,5,FALSE),0),IFERROR(--VLOOKUP(LEFT(AL324,2),УГО_спр,5,FALSE),0)),IF(IFERROR(--LEFT(SUBSTITUTE(BQ324,"x","х"),FIND("х",SUBSTITUTE(BQ324,"x","х"))-1),3)&gt;3,Каталог!$S$9,1)))</f>
      </c>
      <c r="BX324" s="129">
        <f>IF(AY324&lt;&gt;1,0,MAX(0,IFERROR(--LEFT(SUBSTITUTE(BQ324,"x","х"),FIND("х",SUBSTITUTE(BQ324,"x","х"))-1),3)-3*BW324))</f>
      </c>
      <c r="BY324" s="129">
        <f>IF(R324="","",IFERROR(VLOOKUP(R324,УГО_спр,2,FALSE),IFERROR(VLOOKUP(AL324,УГО_спр,2,FALSE),IFERROR(VLOOKUP(LEFT(AL324,2),УГО_спр,2,FALSE),""))))</f>
      </c>
    </row>
    <row r="325" spans="1:64" x14ac:dyDescent="0.3">
      <c r="A325" s="135">
        <f>IF(Разбивка_по_щитам!F325=0,"",Разбивка_по_щитам!F325)</f>
      </c>
      <c r="B325" s="138">
        <f>IF(A325="","",Разбивка_по_щитам!C325)</f>
      </c>
      <c r="C325" s="138">
        <f t="shared" si="214"/>
      </c>
      <c r="D325" s="266"/>
      <c r="E325" s="266"/>
      <c r="F325" s="267"/>
      <c r="G325" s="145">
        <f t="shared" si="210"/>
        <v/>
      </c>
      <c r="H325" s="145">
        <f t="shared" si="211"/>
        <v/>
      </c>
      <c r="I325" s="266"/>
      <c r="J325" s="267"/>
      <c r="K325" s="267"/>
      <c r="L325" s="266"/>
      <c r="M325" s="147">
        <f t="shared" si="212"/>
        <v/>
      </c>
      <c r="N325" s="267"/>
      <c r="O325" s="147">
        <f t="shared" si="213"/>
        <v/>
      </c>
      <c r="P325" s="268">
        <f>IF(AY325=1,"XT"&amp;COUNTIFS($A$3:A325,A325,$AY$3:AY325,1),"")</f>
        <v/>
      </c>
      <c r="Q325" s="152">
        <f>IF(R325="","",IFERROR(SUBSTITUTE(Разбивка_по_щитам!P325,CHAR(10)," "),""))</f>
        <v/>
      </c>
      <c r="R325" s="153">
        <f>IF(OR(Разбивка_по_щитам!H325="",Разбивка_по_щитам!H325=0),"",Разбивка_по_щитам!H325)</f>
        <v/>
      </c>
      <c r="S325" s="154">
        <f>IF(R325="","",IFERROR(Разбивка_по_щитам!J325&amp;"",""))</f>
        <v/>
      </c>
      <c r="T325" s="155">
        <f>IF(R325="","",IFERROR(--Разбивка_по_щитам!L325,""))</f>
        <v/>
      </c>
      <c r="U325" s="155">
        <f>IF(R325="","",IFERROR(--Разбивка_по_щитам!K325,""))</f>
        <v/>
      </c>
      <c r="V325" s="138">
        <f>IF(R325="","",IFERROR(IF(Разбивка_по_щитам!M325=0,"",Разбивка_по_щитам!M325),""))</f>
        <v/>
      </c>
      <c r="W325" s="156">
        <f t="shared" si="215"/>
        <v/>
      </c>
      <c r="X325" s="157">
        <f t="shared" si="216"/>
        <v/>
      </c>
      <c r="Y325" s="266"/>
      <c r="Z325" s="158">
        <f t="shared" si="217"/>
        <v/>
      </c>
      <c r="AA325" s="160">
        <f t="shared" si="218"/>
        <v/>
      </c>
      <c r="AB325" s="160">
        <f>IF(R325="","",IFERROR(LOOKUP(INDEX(Справочная!$I$4:$I$19,MATCH(VLOOKUP(R325,Исходные_данные,22,FALSE),Справочная!$J$4:$J$19,0)+1),{6,10,16,20,25,32,40,50,63,80,100,125}),""))</f>
        <v/>
      </c>
      <c r="AC325" s="160">
        <f t="shared" si="219"/>
        <v/>
      </c>
      <c r="AD325" s="161">
        <f t="shared" si="220"/>
        <v/>
      </c>
      <c r="AE325" s="161">
        <f>IF(AND(R325="",G325=""),"",_xlfn.TEXTJOIN("; ",TRUE,IF(AND(R325&lt;&gt;"",V325=""),"нет фазы",""),IF(AND(R325&lt;&gt;"",N(T325)=0),"нет мощности",""),IF(AND(P325&lt;&gt;"",COUNTIFS($A$3:$A$1000,A325,$P$3:$P$1000,P325)&gt;1),"дубль клеммы "&amp;P325,""),IF(AND(W325&lt;&gt;"",W325&lt;&gt;"ok"),W325,""),IF(X325&lt;&gt;"",X325,""),IF(AND(ISNUMBER(SEARCH("(5х",Q325)),N(AK325)=1),"5 жил на 1 фазе",""),IF(AND(AL325="R",E325&lt;&gt;"",N(AS325)=0),"розетка без 30 мА",""),IF(IFERROR(_xlfn.NUMBERVALUE(MID(Q325,FIND("-",Q325,FIND("L=",Q325))+1,FIND("%",Q325)-FIND("-",Q325,FIND("L=",Q325))-1),","),0)&gt;4,"потери &gt; 4 %","")))</f>
      </c>
      <c r="AF325" s="129">
        <f>IF(E325&lt;&gt;"",COUNTIFS($A$3:A325,A325,$E$3:E325,"?*"),IF(OR(A325&lt;&gt;A324,Y325="вручную"),"",AF324))</f>
      </c>
      <c r="AG325" s="129">
        <f t="shared" si="221"/>
      </c>
      <c r="AH325" s="129">
        <f t="shared" si="222"/>
        <v/>
      </c>
      <c r="AI325" s="129">
        <f t="shared" si="223"/>
        <v/>
      </c>
      <c r="AJ325" s="129">
        <f t="shared" si="224"/>
        <v/>
      </c>
      <c r="AK325" s="129">
        <f t="shared" si="225"/>
        <v/>
      </c>
      <c r="AL325" s="129">
        <f t="shared" si="226"/>
        <v/>
      </c>
      <c r="AM325" s="129">
        <f t="shared" si="227"/>
      </c>
      <c r="AN325" s="129">
        <f t="shared" si="228"/>
      </c>
      <c r="AO325" s="129">
        <f t="shared" si="229"/>
        <v/>
      </c>
      <c r="AP325" s="129">
        <f t="shared" si="230"/>
        <v/>
      </c>
      <c r="AQ325" s="129">
        <f t="shared" si="231"/>
        <v/>
      </c>
      <c r="AR325" s="129">
        <f t="shared" si="232"/>
        <v/>
      </c>
      <c r="AS325" s="129">
        <f t="shared" si="233"/>
        <v/>
      </c>
      <c r="AT325" s="129">
        <f t="shared" si="234"/>
        <v/>
      </c>
      <c r="AU325" s="129">
        <f t="shared" si="235"/>
        <v/>
      </c>
      <c r="AV325" s="129">
        <f t="shared" si="236"/>
        <v/>
      </c>
      <c r="AW325" s="129">
        <f>IF(AV325="","",AV325&amp;"."&amp;COUNTIFS($A$3:A325,A325,$AV$3:AV325,AV325))</f>
        <v/>
      </c>
      <c r="AX325" s="129">
        <f t="shared" si="237"/>
        <v/>
      </c>
      <c r="AY325" s="129">
        <f>IF(N325="б/к",0,IF(OR(ISNUMBER(SEARCH("L=",Разбивка_по_щитам!P325)),N325="+",N325="="),1,0))</f>
      </c>
      <c r="AZ325" s="129">
        <f t="shared" si="238"/>
      </c>
      <c r="BA325" s="129">
        <f t="shared" si="239"/>
      </c>
      <c r="BB325" s="129">
        <f t="shared" si="240"/>
      </c>
      <c r="BD325" s="129">
        <f t="shared" si="241"/>
      </c>
      <c r="BE325" s="129">
        <f t="shared" si="242"/>
      </c>
      <c r="BF325" s="129">
        <f t="shared" si="243"/>
      </c>
      <c r="BG325" s="129">
        <f t="shared" si="244"/>
        <v/>
      </c>
      <c r="BH325" s="129">
        <f t="shared" si="245"/>
        <v/>
      </c>
      <c r="BI325" s="129">
        <f t="shared" si="246"/>
        <v/>
      </c>
      <c r="BJ325" s="129">
        <f t="shared" si="247"/>
        <v/>
      </c>
      <c r="BK325" s="129">
        <f>IF(R325="","",IF(OR(BY325="",BY325=0),"BOX",IFERROR(IF(VLOOKUP(BY325,УГО_блоки,3,FALSE)&amp;""&lt;&gt;"",VLOOKUP(BY325,УГО_блоки,3,FALSE),VLOOKUP(BY325,УГО_блоки,2,FALSE)),BY325)))</f>
      </c>
      <c r="BL325" s="129">
        <f t="shared" si="249"/>
      </c>
      <c r="BM325" s="129">
        <f>IF(H325="","",IF(COUNTIF($H$3:H325,H325)=1,MAX($BM$2:BM324)+1,""))</f>
      </c>
      <c r="BN325" s="129">
        <f>IF(I325="","",IF(COUNTIF($I$3:I325,I325)+COUNTIF($J$2:J324,I325)+COUNTIF($K$2:K324,I325)=1,MAX($BN$2:BP324)+1,""))</f>
      </c>
      <c r="BO325" s="129">
        <f>IF(J325="","",IF(COUNTIF($I$3:I325,J325)+COUNTIF($J$3:J325,J325)+COUNTIF($K$2:K324,J325)=1,MAX($BN$2:BP324,BN325)+1,""))</f>
      </c>
      <c r="BP325" s="129">
        <f>IF(K325="","",IF(COUNTIF($I$3:I325,K325)+COUNTIF($J$3:J325,K325)+COUNTIF($K$3:K325,K325)=1,MAX($BN$2:BP324,BN325,BO325)+1,""))</f>
      </c>
      <c r="BQ325" s="129">
        <f>IF(AY325=1,IFERROR(MID(Q325,FIND(" (",Q325)+2,FIND(")",Q325,FIND(" (",Q325))-FIND(" (",Q325)-2),"?"),"")</f>
      </c>
      <c r="BR325" s="129">
        <f>IF(BQ325="","",IF(COUNTIF($BQ$3:BQ325,BQ325)=1,MAX($BR$2:BR324)+1,""))</f>
      </c>
      <c r="BS325" s="129">
        <f>IF(AW325="","",COUNTIF($AW$3:AW325,"?*"))</f>
      </c>
      <c r="BT325" s="129">
        <f>IF(OR(AW325="",AI325=""),"",IF(COUNTIFS($AW$3:AW325,"?*",$AI$3:AI325,AI325)=1,MAX($BT$2:BT324)+1,""))</f>
      </c>
      <c r="BU325" s="129">
        <f>IF(AE325="",0,IF(OR(ISNUMBER(SEARCH("дубль",AE325)),ISNUMBER(SEARCH("ПЕРЕГРУЗ",AE325)),ISNUMBER(SEARCH("ЗАЩИЩ",AE325)),ISNUMBER(SEARCH("КАНАЛ",AE325)),ISNUMBER(SEARCH("без 30",AE325))),2,1))</f>
      </c>
      <c r="BV325" s="129">
        <f>IF(R325="","",COUNTIF($R$3:R325,"?*"))</f>
      </c>
      <c r="BW325" s="129">
        <f>IF(AY325&lt;&gt;1,0,IF(MAX(IFERROR(--VLOOKUP(R325,УГО_спр,5,FALSE),0),IFERROR(--VLOOKUP(AL325,УГО_спр,5,FALSE),0),IFERROR(--VLOOKUP(LEFT(AL325,2),УГО_спр,5,FALSE),0))&gt;0,MAX(IFERROR(--VLOOKUP(R325,УГО_спр,5,FALSE),0),IFERROR(--VLOOKUP(AL325,УГО_спр,5,FALSE),0),IFERROR(--VLOOKUP(LEFT(AL325,2),УГО_спр,5,FALSE),0)),IF(IFERROR(--LEFT(SUBSTITUTE(BQ325,"x","х"),FIND("х",SUBSTITUTE(BQ325,"x","х"))-1),3)&gt;3,Каталог!$S$9,1)))</f>
      </c>
      <c r="BX325" s="129">
        <f>IF(AY325&lt;&gt;1,0,MAX(0,IFERROR(--LEFT(SUBSTITUTE(BQ325,"x","х"),FIND("х",SUBSTITUTE(BQ325,"x","х"))-1),3)-3*BW325))</f>
      </c>
      <c r="BY325" s="129">
        <f>IF(R325="","",IFERROR(VLOOKUP(R325,УГО_спр,2,FALSE),IFERROR(VLOOKUP(AL325,УГО_спр,2,FALSE),IFERROR(VLOOKUP(LEFT(AL325,2),УГО_спр,2,FALSE),""))))</f>
      </c>
    </row>
    <row r="326" spans="1:64" x14ac:dyDescent="0.3">
      <c r="A326" s="135">
        <f>IF(Разбивка_по_щитам!F326=0,"",Разбивка_по_щитам!F326)</f>
      </c>
      <c r="B326" s="138">
        <f>IF(A326="","",Разбивка_по_щитам!C326)</f>
      </c>
      <c r="C326" s="138">
        <f t="shared" si="214"/>
      </c>
      <c r="D326" s="266"/>
      <c r="E326" s="266"/>
      <c r="F326" s="267"/>
      <c r="G326" s="145">
        <f t="shared" si="210"/>
        <v/>
      </c>
      <c r="H326" s="145">
        <f t="shared" si="211"/>
        <v/>
      </c>
      <c r="I326" s="266"/>
      <c r="J326" s="267"/>
      <c r="K326" s="267"/>
      <c r="L326" s="266"/>
      <c r="M326" s="147">
        <f t="shared" si="212"/>
        <v/>
      </c>
      <c r="N326" s="267"/>
      <c r="O326" s="147">
        <f t="shared" si="213"/>
        <v/>
      </c>
      <c r="P326" s="268">
        <f>IF(AY326=1,"XT"&amp;COUNTIFS($A$3:A326,A326,$AY$3:AY326,1),"")</f>
        <v/>
      </c>
      <c r="Q326" s="152">
        <f>IF(R326="","",IFERROR(SUBSTITUTE(Разбивка_по_щитам!P326,CHAR(10)," "),""))</f>
        <v/>
      </c>
      <c r="R326" s="153">
        <f>IF(OR(Разбивка_по_щитам!H326="",Разбивка_по_щитам!H326=0),"",Разбивка_по_щитам!H326)</f>
        <v/>
      </c>
      <c r="S326" s="154">
        <f>IF(R326="","",IFERROR(Разбивка_по_щитам!J326&amp;"",""))</f>
        <v/>
      </c>
      <c r="T326" s="155">
        <f>IF(R326="","",IFERROR(--Разбивка_по_щитам!L326,""))</f>
        <v/>
      </c>
      <c r="U326" s="155">
        <f>IF(R326="","",IFERROR(--Разбивка_по_щитам!K326,""))</f>
        <v/>
      </c>
      <c r="V326" s="138">
        <f>IF(R326="","",IFERROR(IF(Разбивка_по_щитам!M326=0,"",Разбивка_по_щитам!M326),""))</f>
        <v/>
      </c>
      <c r="W326" s="156">
        <f t="shared" si="215"/>
        <v/>
      </c>
      <c r="X326" s="157">
        <f t="shared" si="216"/>
        <v/>
      </c>
      <c r="Y326" s="266"/>
      <c r="Z326" s="158">
        <f t="shared" si="217"/>
        <v/>
      </c>
      <c r="AA326" s="160">
        <f t="shared" si="218"/>
        <v/>
      </c>
      <c r="AB326" s="160">
        <f>IF(R326="","",IFERROR(LOOKUP(INDEX(Справочная!$I$4:$I$19,MATCH(VLOOKUP(R326,Исходные_данные,22,FALSE),Справочная!$J$4:$J$19,0)+1),{6,10,16,20,25,32,40,50,63,80,100,125}),""))</f>
        <v/>
      </c>
      <c r="AC326" s="160">
        <f t="shared" si="219"/>
        <v/>
      </c>
      <c r="AD326" s="161">
        <f t="shared" si="220"/>
        <v/>
      </c>
      <c r="AE326" s="161">
        <f>IF(AND(R326="",G326=""),"",_xlfn.TEXTJOIN("; ",TRUE,IF(AND(R326&lt;&gt;"",V326=""),"нет фазы",""),IF(AND(R326&lt;&gt;"",N(T326)=0),"нет мощности",""),IF(AND(P326&lt;&gt;"",COUNTIFS($A$3:$A$1000,A326,$P$3:$P$1000,P326)&gt;1),"дубль клеммы "&amp;P326,""),IF(AND(W326&lt;&gt;"",W326&lt;&gt;"ok"),W326,""),IF(X326&lt;&gt;"",X326,""),IF(AND(ISNUMBER(SEARCH("(5х",Q326)),N(AK326)=1),"5 жил на 1 фазе",""),IF(AND(AL326="R",E326&lt;&gt;"",N(AS326)=0),"розетка без 30 мА",""),IF(IFERROR(_xlfn.NUMBERVALUE(MID(Q326,FIND("-",Q326,FIND("L=",Q326))+1,FIND("%",Q326)-FIND("-",Q326,FIND("L=",Q326))-1),","),0)&gt;4,"потери &gt; 4 %","")))</f>
      </c>
      <c r="AF326" s="129">
        <f>IF(E326&lt;&gt;"",COUNTIFS($A$3:A326,A326,$E$3:E326,"?*"),IF(OR(A326&lt;&gt;A325,Y326="вручную"),"",AF325))</f>
      </c>
      <c r="AG326" s="129">
        <f t="shared" si="221"/>
      </c>
      <c r="AH326" s="129">
        <f t="shared" si="222"/>
        <v/>
      </c>
      <c r="AI326" s="129">
        <f t="shared" si="223"/>
        <v/>
      </c>
      <c r="AJ326" s="129">
        <f t="shared" si="224"/>
        <v/>
      </c>
      <c r="AK326" s="129">
        <f t="shared" si="225"/>
        <v/>
      </c>
      <c r="AL326" s="129">
        <f t="shared" si="226"/>
        <v/>
      </c>
      <c r="AM326" s="129">
        <f t="shared" si="227"/>
      </c>
      <c r="AN326" s="129">
        <f t="shared" si="228"/>
      </c>
      <c r="AO326" s="129">
        <f t="shared" si="229"/>
        <v/>
      </c>
      <c r="AP326" s="129">
        <f t="shared" si="230"/>
        <v/>
      </c>
      <c r="AQ326" s="129">
        <f t="shared" si="231"/>
        <v/>
      </c>
      <c r="AR326" s="129">
        <f t="shared" si="232"/>
        <v/>
      </c>
      <c r="AS326" s="129">
        <f t="shared" si="233"/>
        <v/>
      </c>
      <c r="AT326" s="129">
        <f t="shared" si="234"/>
        <v/>
      </c>
      <c r="AU326" s="129">
        <f t="shared" si="235"/>
        <v/>
      </c>
      <c r="AV326" s="129">
        <f t="shared" si="236"/>
        <v/>
      </c>
      <c r="AW326" s="129">
        <f>IF(AV326="","",AV326&amp;"."&amp;COUNTIFS($A$3:A326,A326,$AV$3:AV326,AV326))</f>
        <v/>
      </c>
      <c r="AX326" s="129">
        <f t="shared" si="237"/>
        <v/>
      </c>
      <c r="AY326" s="129">
        <f>IF(N326="б/к",0,IF(OR(ISNUMBER(SEARCH("L=",Разбивка_по_щитам!P326)),N326="+",N326="="),1,0))</f>
      </c>
      <c r="AZ326" s="129">
        <f t="shared" si="238"/>
      </c>
      <c r="BA326" s="129">
        <f t="shared" si="239"/>
      </c>
      <c r="BB326" s="129">
        <f t="shared" si="240"/>
      </c>
      <c r="BD326" s="129">
        <f t="shared" si="241"/>
      </c>
      <c r="BE326" s="129">
        <f t="shared" si="242"/>
      </c>
      <c r="BF326" s="129">
        <f t="shared" si="243"/>
      </c>
      <c r="BG326" s="129">
        <f t="shared" si="244"/>
        <v/>
      </c>
      <c r="BH326" s="129">
        <f t="shared" si="245"/>
        <v/>
      </c>
      <c r="BI326" s="129">
        <f t="shared" si="246"/>
        <v/>
      </c>
      <c r="BJ326" s="129">
        <f t="shared" si="247"/>
        <v/>
      </c>
      <c r="BK326" s="129">
        <f>IF(R326="","",IF(OR(BY326="",BY326=0),"BOX",IFERROR(IF(VLOOKUP(BY326,УГО_блоки,3,FALSE)&amp;""&lt;&gt;"",VLOOKUP(BY326,УГО_блоки,3,FALSE),VLOOKUP(BY326,УГО_блоки,2,FALSE)),BY326)))</f>
      </c>
      <c r="BL326" s="129">
        <f t="shared" si="249"/>
      </c>
      <c r="BM326" s="129">
        <f>IF(H326="","",IF(COUNTIF($H$3:H326,H326)=1,MAX($BM$2:BM325)+1,""))</f>
      </c>
      <c r="BN326" s="129">
        <f>IF(I326="","",IF(COUNTIF($I$3:I326,I326)+COUNTIF($J$2:J325,I326)+COUNTIF($K$2:K325,I326)=1,MAX($BN$2:BP325)+1,""))</f>
      </c>
      <c r="BO326" s="129">
        <f>IF(J326="","",IF(COUNTIF($I$3:I326,J326)+COUNTIF($J$3:J326,J326)+COUNTIF($K$2:K325,J326)=1,MAX($BN$2:BP325,BN326)+1,""))</f>
      </c>
      <c r="BP326" s="129">
        <f>IF(K326="","",IF(COUNTIF($I$3:I326,K326)+COUNTIF($J$3:J326,K326)+COUNTIF($K$3:K326,K326)=1,MAX($BN$2:BP325,BN326,BO326)+1,""))</f>
      </c>
      <c r="BQ326" s="129">
        <f>IF(AY326=1,IFERROR(MID(Q326,FIND(" (",Q326)+2,FIND(")",Q326,FIND(" (",Q326))-FIND(" (",Q326)-2),"?"),"")</f>
      </c>
      <c r="BR326" s="129">
        <f>IF(BQ326="","",IF(COUNTIF($BQ$3:BQ326,BQ326)=1,MAX($BR$2:BR325)+1,""))</f>
      </c>
      <c r="BS326" s="129">
        <f>IF(AW326="","",COUNTIF($AW$3:AW326,"?*"))</f>
      </c>
      <c r="BT326" s="129">
        <f>IF(OR(AW326="",AI326=""),"",IF(COUNTIFS($AW$3:AW326,"?*",$AI$3:AI326,AI326)=1,MAX($BT$2:BT325)+1,""))</f>
      </c>
      <c r="BU326" s="129">
        <f>IF(AE326="",0,IF(OR(ISNUMBER(SEARCH("дубль",AE326)),ISNUMBER(SEARCH("ПЕРЕГРУЗ",AE326)),ISNUMBER(SEARCH("ЗАЩИЩ",AE326)),ISNUMBER(SEARCH("КАНАЛ",AE326)),ISNUMBER(SEARCH("без 30",AE326))),2,1))</f>
      </c>
      <c r="BV326" s="129">
        <f>IF(R326="","",COUNTIF($R$3:R326,"?*"))</f>
      </c>
      <c r="BW326" s="129">
        <f>IF(AY326&lt;&gt;1,0,IF(MAX(IFERROR(--VLOOKUP(R326,УГО_спр,5,FALSE),0),IFERROR(--VLOOKUP(AL326,УГО_спр,5,FALSE),0),IFERROR(--VLOOKUP(LEFT(AL326,2),УГО_спр,5,FALSE),0))&gt;0,MAX(IFERROR(--VLOOKUP(R326,УГО_спр,5,FALSE),0),IFERROR(--VLOOKUP(AL326,УГО_спр,5,FALSE),0),IFERROR(--VLOOKUP(LEFT(AL326,2),УГО_спр,5,FALSE),0)),IF(IFERROR(--LEFT(SUBSTITUTE(BQ326,"x","х"),FIND("х",SUBSTITUTE(BQ326,"x","х"))-1),3)&gt;3,Каталог!$S$9,1)))</f>
      </c>
      <c r="BX326" s="129">
        <f>IF(AY326&lt;&gt;1,0,MAX(0,IFERROR(--LEFT(SUBSTITUTE(BQ326,"x","х"),FIND("х",SUBSTITUTE(BQ326,"x","х"))-1),3)-3*BW326))</f>
      </c>
      <c r="BY326" s="129">
        <f>IF(R326="","",IFERROR(VLOOKUP(R326,УГО_спр,2,FALSE),IFERROR(VLOOKUP(AL326,УГО_спр,2,FALSE),IFERROR(VLOOKUP(LEFT(AL326,2),УГО_спр,2,FALSE),""))))</f>
      </c>
    </row>
    <row r="327" spans="1:64" x14ac:dyDescent="0.3">
      <c r="A327" s="135">
        <f>IF(Разбивка_по_щитам!F327=0,"",Разбивка_по_щитам!F327)</f>
      </c>
      <c r="B327" s="138">
        <f>IF(A327="","",Разбивка_по_щитам!C327)</f>
      </c>
      <c r="C327" s="138">
        <f t="shared" si="214"/>
      </c>
      <c r="D327" s="266"/>
      <c r="E327" s="266"/>
      <c r="F327" s="267"/>
      <c r="G327" s="145">
        <f t="shared" si="210"/>
        <v/>
      </c>
      <c r="H327" s="145">
        <f t="shared" si="211"/>
        <v/>
      </c>
      <c r="I327" s="266"/>
      <c r="J327" s="267"/>
      <c r="K327" s="267"/>
      <c r="L327" s="266"/>
      <c r="M327" s="147">
        <f t="shared" si="212"/>
        <v/>
      </c>
      <c r="N327" s="267"/>
      <c r="O327" s="147">
        <f t="shared" si="213"/>
        <v/>
      </c>
      <c r="P327" s="268">
        <f>IF(AY327=1,"XT"&amp;COUNTIFS($A$3:A327,A327,$AY$3:AY327,1),"")</f>
        <v/>
      </c>
      <c r="Q327" s="152">
        <f>IF(R327="","",IFERROR(SUBSTITUTE(Разбивка_по_щитам!P327,CHAR(10)," "),""))</f>
        <v/>
      </c>
      <c r="R327" s="153">
        <f>IF(OR(Разбивка_по_щитам!H327="",Разбивка_по_щитам!H327=0),"",Разбивка_по_щитам!H327)</f>
        <v/>
      </c>
      <c r="S327" s="154">
        <f>IF(R327="","",IFERROR(Разбивка_по_щитам!J327&amp;"",""))</f>
        <v/>
      </c>
      <c r="T327" s="155">
        <f>IF(R327="","",IFERROR(--Разбивка_по_щитам!L327,""))</f>
        <v/>
      </c>
      <c r="U327" s="155">
        <f>IF(R327="","",IFERROR(--Разбивка_по_щитам!K327,""))</f>
        <v/>
      </c>
      <c r="V327" s="138">
        <f>IF(R327="","",IFERROR(IF(Разбивка_по_щитам!M327=0,"",Разбивка_по_щитам!M327),""))</f>
        <v/>
      </c>
      <c r="W327" s="156">
        <f t="shared" si="215"/>
        <v/>
      </c>
      <c r="X327" s="157">
        <f t="shared" si="216"/>
        <v/>
      </c>
      <c r="Y327" s="266"/>
      <c r="Z327" s="158">
        <f t="shared" si="217"/>
        <v/>
      </c>
      <c r="AA327" s="160">
        <f t="shared" si="218"/>
        <v/>
      </c>
      <c r="AB327" s="160">
        <f>IF(R327="","",IFERROR(LOOKUP(INDEX(Справочная!$I$4:$I$19,MATCH(VLOOKUP(R327,Исходные_данные,22,FALSE),Справочная!$J$4:$J$19,0)+1),{6,10,16,20,25,32,40,50,63,80,100,125}),""))</f>
        <v/>
      </c>
      <c r="AC327" s="160">
        <f t="shared" si="219"/>
        <v/>
      </c>
      <c r="AD327" s="161">
        <f t="shared" si="220"/>
        <v/>
      </c>
      <c r="AE327" s="161">
        <f>IF(AND(R327="",G327=""),"",_xlfn.TEXTJOIN("; ",TRUE,IF(AND(R327&lt;&gt;"",V327=""),"нет фазы",""),IF(AND(R327&lt;&gt;"",N(T327)=0),"нет мощности",""),IF(AND(P327&lt;&gt;"",COUNTIFS($A$3:$A$1000,A327,$P$3:$P$1000,P327)&gt;1),"дубль клеммы "&amp;P327,""),IF(AND(W327&lt;&gt;"",W327&lt;&gt;"ok"),W327,""),IF(X327&lt;&gt;"",X327,""),IF(AND(ISNUMBER(SEARCH("(5х",Q327)),N(AK327)=1),"5 жил на 1 фазе",""),IF(AND(AL327="R",E327&lt;&gt;"",N(AS327)=0),"розетка без 30 мА",""),IF(IFERROR(_xlfn.NUMBERVALUE(MID(Q327,FIND("-",Q327,FIND("L=",Q327))+1,FIND("%",Q327)-FIND("-",Q327,FIND("L=",Q327))-1),","),0)&gt;4,"потери &gt; 4 %","")))</f>
      </c>
      <c r="AF327" s="129">
        <f>IF(E327&lt;&gt;"",COUNTIFS($A$3:A327,A327,$E$3:E327,"?*"),IF(OR(A327&lt;&gt;A326,Y327="вручную"),"",AF326))</f>
      </c>
      <c r="AG327" s="129">
        <f t="shared" si="221"/>
      </c>
      <c r="AH327" s="129">
        <f t="shared" si="222"/>
        <v/>
      </c>
      <c r="AI327" s="129">
        <f t="shared" si="223"/>
        <v/>
      </c>
      <c r="AJ327" s="129">
        <f t="shared" si="224"/>
        <v/>
      </c>
      <c r="AK327" s="129">
        <f t="shared" si="225"/>
        <v/>
      </c>
      <c r="AL327" s="129">
        <f t="shared" si="226"/>
        <v/>
      </c>
      <c r="AM327" s="129">
        <f t="shared" si="227"/>
      </c>
      <c r="AN327" s="129">
        <f t="shared" si="228"/>
      </c>
      <c r="AO327" s="129">
        <f t="shared" si="229"/>
        <v/>
      </c>
      <c r="AP327" s="129">
        <f t="shared" si="230"/>
        <v/>
      </c>
      <c r="AQ327" s="129">
        <f t="shared" si="231"/>
        <v/>
      </c>
      <c r="AR327" s="129">
        <f t="shared" si="232"/>
        <v/>
      </c>
      <c r="AS327" s="129">
        <f t="shared" si="233"/>
        <v/>
      </c>
      <c r="AT327" s="129">
        <f t="shared" si="234"/>
        <v/>
      </c>
      <c r="AU327" s="129">
        <f t="shared" si="235"/>
        <v/>
      </c>
      <c r="AV327" s="129">
        <f t="shared" si="236"/>
        <v/>
      </c>
      <c r="AW327" s="129">
        <f>IF(AV327="","",AV327&amp;"."&amp;COUNTIFS($A$3:A327,A327,$AV$3:AV327,AV327))</f>
        <v/>
      </c>
      <c r="AX327" s="129">
        <f t="shared" si="237"/>
        <v/>
      </c>
      <c r="AY327" s="129">
        <f>IF(N327="б/к",0,IF(OR(ISNUMBER(SEARCH("L=",Разбивка_по_щитам!P327)),N327="+",N327="="),1,0))</f>
      </c>
      <c r="AZ327" s="129">
        <f t="shared" si="238"/>
      </c>
      <c r="BA327" s="129">
        <f t="shared" si="239"/>
      </c>
      <c r="BB327" s="129">
        <f t="shared" si="240"/>
      </c>
      <c r="BD327" s="129">
        <f t="shared" si="241"/>
      </c>
      <c r="BE327" s="129">
        <f t="shared" si="242"/>
      </c>
      <c r="BF327" s="129">
        <f t="shared" si="243"/>
      </c>
      <c r="BG327" s="129">
        <f t="shared" si="244"/>
        <v/>
      </c>
      <c r="BH327" s="129">
        <f t="shared" si="245"/>
        <v/>
      </c>
      <c r="BI327" s="129">
        <f t="shared" si="246"/>
        <v/>
      </c>
      <c r="BJ327" s="129">
        <f t="shared" si="247"/>
        <v/>
      </c>
      <c r="BK327" s="129">
        <f>IF(R327="","",IF(OR(BY327="",BY327=0),"BOX",IFERROR(IF(VLOOKUP(BY327,УГО_блоки,3,FALSE)&amp;""&lt;&gt;"",VLOOKUP(BY327,УГО_блоки,3,FALSE),VLOOKUP(BY327,УГО_блоки,2,FALSE)),BY327)))</f>
      </c>
      <c r="BL327" s="129">
        <f t="shared" si="249"/>
      </c>
      <c r="BM327" s="129">
        <f>IF(H327="","",IF(COUNTIF($H$3:H327,H327)=1,MAX($BM$2:BM326)+1,""))</f>
      </c>
      <c r="BN327" s="129">
        <f>IF(I327="","",IF(COUNTIF($I$3:I327,I327)+COUNTIF($J$2:J326,I327)+COUNTIF($K$2:K326,I327)=1,MAX($BN$2:BP326)+1,""))</f>
      </c>
      <c r="BO327" s="129">
        <f>IF(J327="","",IF(COUNTIF($I$3:I327,J327)+COUNTIF($J$3:J327,J327)+COUNTIF($K$2:K326,J327)=1,MAX($BN$2:BP326,BN327)+1,""))</f>
      </c>
      <c r="BP327" s="129">
        <f>IF(K327="","",IF(COUNTIF($I$3:I327,K327)+COUNTIF($J$3:J327,K327)+COUNTIF($K$3:K327,K327)=1,MAX($BN$2:BP326,BN327,BO327)+1,""))</f>
      </c>
      <c r="BQ327" s="129">
        <f>IF(AY327=1,IFERROR(MID(Q327,FIND(" (",Q327)+2,FIND(")",Q327,FIND(" (",Q327))-FIND(" (",Q327)-2),"?"),"")</f>
      </c>
      <c r="BR327" s="129">
        <f>IF(BQ327="","",IF(COUNTIF($BQ$3:BQ327,BQ327)=1,MAX($BR$2:BR326)+1,""))</f>
      </c>
      <c r="BS327" s="129">
        <f>IF(AW327="","",COUNTIF($AW$3:AW327,"?*"))</f>
      </c>
      <c r="BT327" s="129">
        <f>IF(OR(AW327="",AI327=""),"",IF(COUNTIFS($AW$3:AW327,"?*",$AI$3:AI327,AI327)=1,MAX($BT$2:BT326)+1,""))</f>
      </c>
      <c r="BU327" s="129">
        <f>IF(AE327="",0,IF(OR(ISNUMBER(SEARCH("дубль",AE327)),ISNUMBER(SEARCH("ПЕРЕГРУЗ",AE327)),ISNUMBER(SEARCH("ЗАЩИЩ",AE327)),ISNUMBER(SEARCH("КАНАЛ",AE327)),ISNUMBER(SEARCH("без 30",AE327))),2,1))</f>
      </c>
      <c r="BV327" s="129">
        <f>IF(R327="","",COUNTIF($R$3:R327,"?*"))</f>
      </c>
      <c r="BW327" s="129">
        <f>IF(AY327&lt;&gt;1,0,IF(MAX(IFERROR(--VLOOKUP(R327,УГО_спр,5,FALSE),0),IFERROR(--VLOOKUP(AL327,УГО_спр,5,FALSE),0),IFERROR(--VLOOKUP(LEFT(AL327,2),УГО_спр,5,FALSE),0))&gt;0,MAX(IFERROR(--VLOOKUP(R327,УГО_спр,5,FALSE),0),IFERROR(--VLOOKUP(AL327,УГО_спр,5,FALSE),0),IFERROR(--VLOOKUP(LEFT(AL327,2),УГО_спр,5,FALSE),0)),IF(IFERROR(--LEFT(SUBSTITUTE(BQ327,"x","х"),FIND("х",SUBSTITUTE(BQ327,"x","х"))-1),3)&gt;3,Каталог!$S$9,1)))</f>
      </c>
      <c r="BX327" s="129">
        <f>IF(AY327&lt;&gt;1,0,MAX(0,IFERROR(--LEFT(SUBSTITUTE(BQ327,"x","х"),FIND("х",SUBSTITUTE(BQ327,"x","х"))-1),3)-3*BW327))</f>
      </c>
      <c r="BY327" s="129">
        <f>IF(R327="","",IFERROR(VLOOKUP(R327,УГО_спр,2,FALSE),IFERROR(VLOOKUP(AL327,УГО_спр,2,FALSE),IFERROR(VLOOKUP(LEFT(AL327,2),УГО_спр,2,FALSE),""))))</f>
      </c>
    </row>
    <row r="328" spans="1:64" x14ac:dyDescent="0.3">
      <c r="A328" s="135">
        <f>IF(Разбивка_по_щитам!F328=0,"",Разбивка_по_щитам!F328)</f>
      </c>
      <c r="B328" s="138">
        <f>IF(A328="","",Разбивка_по_щитам!C328)</f>
      </c>
      <c r="C328" s="138">
        <f t="shared" si="214"/>
      </c>
      <c r="D328" s="266"/>
      <c r="E328" s="266"/>
      <c r="F328" s="267"/>
      <c r="G328" s="145">
        <f t="shared" si="210"/>
        <v/>
      </c>
      <c r="H328" s="145">
        <f t="shared" si="211"/>
        <v/>
      </c>
      <c r="I328" s="266"/>
      <c r="J328" s="267"/>
      <c r="K328" s="267"/>
      <c r="L328" s="266"/>
      <c r="M328" s="147">
        <f t="shared" si="212"/>
        <v/>
      </c>
      <c r="N328" s="267"/>
      <c r="O328" s="147">
        <f t="shared" si="213"/>
        <v/>
      </c>
      <c r="P328" s="268">
        <f>IF(AY328=1,"XT"&amp;COUNTIFS($A$3:A328,A328,$AY$3:AY328,1),"")</f>
        <v/>
      </c>
      <c r="Q328" s="152">
        <f>IF(R328="","",IFERROR(SUBSTITUTE(Разбивка_по_щитам!P328,CHAR(10)," "),""))</f>
        <v/>
      </c>
      <c r="R328" s="153">
        <f>IF(OR(Разбивка_по_щитам!H328="",Разбивка_по_щитам!H328=0),"",Разбивка_по_щитам!H328)</f>
        <v/>
      </c>
      <c r="S328" s="154">
        <f>IF(R328="","",IFERROR(Разбивка_по_щитам!J328&amp;"",""))</f>
        <v/>
      </c>
      <c r="T328" s="155">
        <f>IF(R328="","",IFERROR(--Разбивка_по_щитам!L328,""))</f>
        <v/>
      </c>
      <c r="U328" s="155">
        <f>IF(R328="","",IFERROR(--Разбивка_по_щитам!K328,""))</f>
        <v/>
      </c>
      <c r="V328" s="138">
        <f>IF(R328="","",IFERROR(IF(Разбивка_по_щитам!M328=0,"",Разбивка_по_щитам!M328),""))</f>
        <v/>
      </c>
      <c r="W328" s="156">
        <f t="shared" si="215"/>
        <v/>
      </c>
      <c r="X328" s="157">
        <f t="shared" si="216"/>
        <v/>
      </c>
      <c r="Y328" s="266"/>
      <c r="Z328" s="158">
        <f t="shared" si="217"/>
        <v/>
      </c>
      <c r="AA328" s="160">
        <f t="shared" si="218"/>
        <v/>
      </c>
      <c r="AB328" s="160">
        <f>IF(R328="","",IFERROR(LOOKUP(INDEX(Справочная!$I$4:$I$19,MATCH(VLOOKUP(R328,Исходные_данные,22,FALSE),Справочная!$J$4:$J$19,0)+1),{6,10,16,20,25,32,40,50,63,80,100,125}),""))</f>
        <v/>
      </c>
      <c r="AC328" s="160">
        <f t="shared" si="219"/>
        <v/>
      </c>
      <c r="AD328" s="161">
        <f t="shared" si="220"/>
        <v/>
      </c>
      <c r="AE328" s="161">
        <f>IF(AND(R328="",G328=""),"",_xlfn.TEXTJOIN("; ",TRUE,IF(AND(R328&lt;&gt;"",V328=""),"нет фазы",""),IF(AND(R328&lt;&gt;"",N(T328)=0),"нет мощности",""),IF(AND(P328&lt;&gt;"",COUNTIFS($A$3:$A$1000,A328,$P$3:$P$1000,P328)&gt;1),"дубль клеммы "&amp;P328,""),IF(AND(W328&lt;&gt;"",W328&lt;&gt;"ok"),W328,""),IF(X328&lt;&gt;"",X328,""),IF(AND(ISNUMBER(SEARCH("(5х",Q328)),N(AK328)=1),"5 жил на 1 фазе",""),IF(AND(AL328="R",E328&lt;&gt;"",N(AS328)=0),"розетка без 30 мА",""),IF(IFERROR(_xlfn.NUMBERVALUE(MID(Q328,FIND("-",Q328,FIND("L=",Q328))+1,FIND("%",Q328)-FIND("-",Q328,FIND("L=",Q328))-1),","),0)&gt;4,"потери &gt; 4 %","")))</f>
      </c>
      <c r="AF328" s="129">
        <f>IF(E328&lt;&gt;"",COUNTIFS($A$3:A328,A328,$E$3:E328,"?*"),IF(OR(A328&lt;&gt;A327,Y328="вручную"),"",AF327))</f>
      </c>
      <c r="AG328" s="129">
        <f t="shared" si="221"/>
      </c>
      <c r="AH328" s="129">
        <f t="shared" si="222"/>
        <v/>
      </c>
      <c r="AI328" s="129">
        <f t="shared" si="223"/>
        <v/>
      </c>
      <c r="AJ328" s="129">
        <f t="shared" si="224"/>
        <v/>
      </c>
      <c r="AK328" s="129">
        <f t="shared" si="225"/>
        <v/>
      </c>
      <c r="AL328" s="129">
        <f t="shared" si="226"/>
        <v/>
      </c>
      <c r="AM328" s="129">
        <f t="shared" si="227"/>
      </c>
      <c r="AN328" s="129">
        <f t="shared" si="228"/>
      </c>
      <c r="AO328" s="129">
        <f t="shared" si="229"/>
        <v/>
      </c>
      <c r="AP328" s="129">
        <f t="shared" si="230"/>
        <v/>
      </c>
      <c r="AQ328" s="129">
        <f t="shared" si="231"/>
        <v/>
      </c>
      <c r="AR328" s="129">
        <f t="shared" si="232"/>
        <v/>
      </c>
      <c r="AS328" s="129">
        <f t="shared" si="233"/>
        <v/>
      </c>
      <c r="AT328" s="129">
        <f t="shared" si="234"/>
        <v/>
      </c>
      <c r="AU328" s="129">
        <f t="shared" si="235"/>
        <v/>
      </c>
      <c r="AV328" s="129">
        <f t="shared" si="236"/>
        <v/>
      </c>
      <c r="AW328" s="129">
        <f>IF(AV328="","",AV328&amp;"."&amp;COUNTIFS($A$3:A328,A328,$AV$3:AV328,AV328))</f>
        <v/>
      </c>
      <c r="AX328" s="129">
        <f t="shared" si="237"/>
        <v/>
      </c>
      <c r="AY328" s="129">
        <f>IF(N328="б/к",0,IF(OR(ISNUMBER(SEARCH("L=",Разбивка_по_щитам!P328)),N328="+",N328="="),1,0))</f>
      </c>
      <c r="AZ328" s="129">
        <f t="shared" si="238"/>
      </c>
      <c r="BA328" s="129">
        <f t="shared" si="239"/>
      </c>
      <c r="BB328" s="129">
        <f t="shared" si="240"/>
      </c>
      <c r="BD328" s="129">
        <f t="shared" si="241"/>
      </c>
      <c r="BE328" s="129">
        <f t="shared" si="242"/>
      </c>
      <c r="BF328" s="129">
        <f t="shared" si="243"/>
      </c>
      <c r="BG328" s="129">
        <f t="shared" si="244"/>
        <v/>
      </c>
      <c r="BH328" s="129">
        <f t="shared" si="245"/>
        <v/>
      </c>
      <c r="BI328" s="129">
        <f t="shared" si="246"/>
        <v/>
      </c>
      <c r="BJ328" s="129">
        <f t="shared" si="247"/>
        <v/>
      </c>
      <c r="BK328" s="129">
        <f>IF(R328="","",IF(OR(BY328="",BY328=0),"BOX",IFERROR(IF(VLOOKUP(BY328,УГО_блоки,3,FALSE)&amp;""&lt;&gt;"",VLOOKUP(BY328,УГО_блоки,3,FALSE),VLOOKUP(BY328,УГО_блоки,2,FALSE)),BY328)))</f>
      </c>
      <c r="BL328" s="129">
        <f t="shared" si="249"/>
      </c>
      <c r="BM328" s="129">
        <f>IF(H328="","",IF(COUNTIF($H$3:H328,H328)=1,MAX($BM$2:BM327)+1,""))</f>
      </c>
      <c r="BN328" s="129">
        <f>IF(I328="","",IF(COUNTIF($I$3:I328,I328)+COUNTIF($J$2:J327,I328)+COUNTIF($K$2:K327,I328)=1,MAX($BN$2:BP327)+1,""))</f>
      </c>
      <c r="BO328" s="129">
        <f>IF(J328="","",IF(COUNTIF($I$3:I328,J328)+COUNTIF($J$3:J328,J328)+COUNTIF($K$2:K327,J328)=1,MAX($BN$2:BP327,BN328)+1,""))</f>
      </c>
      <c r="BP328" s="129">
        <f>IF(K328="","",IF(COUNTIF($I$3:I328,K328)+COUNTIF($J$3:J328,K328)+COUNTIF($K$3:K328,K328)=1,MAX($BN$2:BP327,BN328,BO328)+1,""))</f>
      </c>
      <c r="BQ328" s="129">
        <f>IF(AY328=1,IFERROR(MID(Q328,FIND(" (",Q328)+2,FIND(")",Q328,FIND(" (",Q328))-FIND(" (",Q328)-2),"?"),"")</f>
      </c>
      <c r="BR328" s="129">
        <f>IF(BQ328="","",IF(COUNTIF($BQ$3:BQ328,BQ328)=1,MAX($BR$2:BR327)+1,""))</f>
      </c>
      <c r="BS328" s="129">
        <f>IF(AW328="","",COUNTIF($AW$3:AW328,"?*"))</f>
      </c>
      <c r="BT328" s="129">
        <f>IF(OR(AW328="",AI328=""),"",IF(COUNTIFS($AW$3:AW328,"?*",$AI$3:AI328,AI328)=1,MAX($BT$2:BT327)+1,""))</f>
      </c>
      <c r="BU328" s="129">
        <f>IF(AE328="",0,IF(OR(ISNUMBER(SEARCH("дубль",AE328)),ISNUMBER(SEARCH("ПЕРЕГРУЗ",AE328)),ISNUMBER(SEARCH("ЗАЩИЩ",AE328)),ISNUMBER(SEARCH("КАНАЛ",AE328)),ISNUMBER(SEARCH("без 30",AE328))),2,1))</f>
      </c>
      <c r="BV328" s="129">
        <f>IF(R328="","",COUNTIF($R$3:R328,"?*"))</f>
      </c>
      <c r="BW328" s="129">
        <f>IF(AY328&lt;&gt;1,0,IF(MAX(IFERROR(--VLOOKUP(R328,УГО_спр,5,FALSE),0),IFERROR(--VLOOKUP(AL328,УГО_спр,5,FALSE),0),IFERROR(--VLOOKUP(LEFT(AL328,2),УГО_спр,5,FALSE),0))&gt;0,MAX(IFERROR(--VLOOKUP(R328,УГО_спр,5,FALSE),0),IFERROR(--VLOOKUP(AL328,УГО_спр,5,FALSE),0),IFERROR(--VLOOKUP(LEFT(AL328,2),УГО_спр,5,FALSE),0)),IF(IFERROR(--LEFT(SUBSTITUTE(BQ328,"x","х"),FIND("х",SUBSTITUTE(BQ328,"x","х"))-1),3)&gt;3,Каталог!$S$9,1)))</f>
      </c>
      <c r="BX328" s="129">
        <f>IF(AY328&lt;&gt;1,0,MAX(0,IFERROR(--LEFT(SUBSTITUTE(BQ328,"x","х"),FIND("х",SUBSTITUTE(BQ328,"x","х"))-1),3)-3*BW328))</f>
      </c>
      <c r="BY328" s="129">
        <f>IF(R328="","",IFERROR(VLOOKUP(R328,УГО_спр,2,FALSE),IFERROR(VLOOKUP(AL328,УГО_спр,2,FALSE),IFERROR(VLOOKUP(LEFT(AL328,2),УГО_спр,2,FALSE),""))))</f>
      </c>
    </row>
    <row r="329" spans="1:64" x14ac:dyDescent="0.3">
      <c r="A329" s="135">
        <f>IF(Разбивка_по_щитам!F329=0,"",Разбивка_по_щитам!F329)</f>
      </c>
      <c r="B329" s="138">
        <f>IF(A329="","",Разбивка_по_щитам!C329)</f>
      </c>
      <c r="C329" s="138">
        <f t="shared" si="214"/>
      </c>
      <c r="D329" s="266"/>
      <c r="E329" s="266"/>
      <c r="F329" s="267"/>
      <c r="G329" s="145">
        <f t="shared" si="210"/>
        <v/>
      </c>
      <c r="H329" s="145">
        <f t="shared" si="211"/>
        <v/>
      </c>
      <c r="I329" s="266"/>
      <c r="J329" s="267"/>
      <c r="K329" s="267"/>
      <c r="L329" s="266"/>
      <c r="M329" s="147">
        <f t="shared" si="212"/>
        <v/>
      </c>
      <c r="N329" s="267"/>
      <c r="O329" s="147">
        <f t="shared" si="213"/>
        <v/>
      </c>
      <c r="P329" s="268">
        <f>IF(AY329=1,"XT"&amp;COUNTIFS($A$3:A329,A329,$AY$3:AY329,1),"")</f>
        <v/>
      </c>
      <c r="Q329" s="152">
        <f>IF(R329="","",IFERROR(SUBSTITUTE(Разбивка_по_щитам!P329,CHAR(10)," "),""))</f>
        <v/>
      </c>
      <c r="R329" s="153">
        <f>IF(OR(Разбивка_по_щитам!H329="",Разбивка_по_щитам!H329=0),"",Разбивка_по_щитам!H329)</f>
        <v/>
      </c>
      <c r="S329" s="154">
        <f>IF(R329="","",IFERROR(Разбивка_по_щитам!J329&amp;"",""))</f>
        <v/>
      </c>
      <c r="T329" s="155">
        <f>IF(R329="","",IFERROR(--Разбивка_по_щитам!L329,""))</f>
        <v/>
      </c>
      <c r="U329" s="155">
        <f>IF(R329="","",IFERROR(--Разбивка_по_щитам!K329,""))</f>
        <v/>
      </c>
      <c r="V329" s="138">
        <f>IF(R329="","",IFERROR(IF(Разбивка_по_щитам!M329=0,"",Разбивка_по_щитам!M329),""))</f>
        <v/>
      </c>
      <c r="W329" s="156">
        <f t="shared" si="215"/>
        <v/>
      </c>
      <c r="X329" s="157">
        <f t="shared" si="216"/>
        <v/>
      </c>
      <c r="Y329" s="266"/>
      <c r="Z329" s="158">
        <f t="shared" si="217"/>
        <v/>
      </c>
      <c r="AA329" s="160">
        <f t="shared" si="218"/>
        <v/>
      </c>
      <c r="AB329" s="160">
        <f>IF(R329="","",IFERROR(LOOKUP(INDEX(Справочная!$I$4:$I$19,MATCH(VLOOKUP(R329,Исходные_данные,22,FALSE),Справочная!$J$4:$J$19,0)+1),{6,10,16,20,25,32,40,50,63,80,100,125}),""))</f>
        <v/>
      </c>
      <c r="AC329" s="160">
        <f t="shared" si="219"/>
        <v/>
      </c>
      <c r="AD329" s="161">
        <f t="shared" si="220"/>
        <v/>
      </c>
      <c r="AE329" s="161">
        <f>IF(AND(R329="",G329=""),"",_xlfn.TEXTJOIN("; ",TRUE,IF(AND(R329&lt;&gt;"",V329=""),"нет фазы",""),IF(AND(R329&lt;&gt;"",N(T329)=0),"нет мощности",""),IF(AND(P329&lt;&gt;"",COUNTIFS($A$3:$A$1000,A329,$P$3:$P$1000,P329)&gt;1),"дубль клеммы "&amp;P329,""),IF(AND(W329&lt;&gt;"",W329&lt;&gt;"ok"),W329,""),IF(X329&lt;&gt;"",X329,""),IF(AND(ISNUMBER(SEARCH("(5х",Q329)),N(AK329)=1),"5 жил на 1 фазе",""),IF(AND(AL329="R",E329&lt;&gt;"",N(AS329)=0),"розетка без 30 мА",""),IF(IFERROR(_xlfn.NUMBERVALUE(MID(Q329,FIND("-",Q329,FIND("L=",Q329))+1,FIND("%",Q329)-FIND("-",Q329,FIND("L=",Q329))-1),","),0)&gt;4,"потери &gt; 4 %","")))</f>
      </c>
      <c r="AF329" s="129">
        <f>IF(E329&lt;&gt;"",COUNTIFS($A$3:A329,A329,$E$3:E329,"?*"),IF(OR(A329&lt;&gt;A328,Y329="вручную"),"",AF328))</f>
      </c>
      <c r="AG329" s="129">
        <f t="shared" si="221"/>
      </c>
      <c r="AH329" s="129">
        <f t="shared" si="222"/>
        <v/>
      </c>
      <c r="AI329" s="129">
        <f t="shared" si="223"/>
        <v/>
      </c>
      <c r="AJ329" s="129">
        <f t="shared" si="224"/>
        <v/>
      </c>
      <c r="AK329" s="129">
        <f t="shared" si="225"/>
        <v/>
      </c>
      <c r="AL329" s="129">
        <f t="shared" si="226"/>
        <v/>
      </c>
      <c r="AM329" s="129">
        <f t="shared" si="227"/>
      </c>
      <c r="AN329" s="129">
        <f t="shared" si="228"/>
      </c>
      <c r="AO329" s="129">
        <f t="shared" si="229"/>
        <v/>
      </c>
      <c r="AP329" s="129">
        <f t="shared" si="230"/>
        <v/>
      </c>
      <c r="AQ329" s="129">
        <f t="shared" si="231"/>
        <v/>
      </c>
      <c r="AR329" s="129">
        <f t="shared" si="232"/>
        <v/>
      </c>
      <c r="AS329" s="129">
        <f t="shared" si="233"/>
        <v/>
      </c>
      <c r="AT329" s="129">
        <f t="shared" si="234"/>
        <v/>
      </c>
      <c r="AU329" s="129">
        <f t="shared" si="235"/>
        <v/>
      </c>
      <c r="AV329" s="129">
        <f t="shared" si="236"/>
        <v/>
      </c>
      <c r="AW329" s="129">
        <f>IF(AV329="","",AV329&amp;"."&amp;COUNTIFS($A$3:A329,A329,$AV$3:AV329,AV329))</f>
        <v/>
      </c>
      <c r="AX329" s="129">
        <f t="shared" si="237"/>
        <v/>
      </c>
      <c r="AY329" s="129">
        <f>IF(N329="б/к",0,IF(OR(ISNUMBER(SEARCH("L=",Разбивка_по_щитам!P329)),N329="+",N329="="),1,0))</f>
      </c>
      <c r="AZ329" s="129">
        <f t="shared" si="238"/>
      </c>
      <c r="BA329" s="129">
        <f t="shared" si="239"/>
      </c>
      <c r="BB329" s="129">
        <f t="shared" si="240"/>
      </c>
      <c r="BD329" s="129">
        <f t="shared" si="241"/>
      </c>
      <c r="BE329" s="129">
        <f t="shared" si="242"/>
      </c>
      <c r="BF329" s="129">
        <f t="shared" si="243"/>
      </c>
      <c r="BG329" s="129">
        <f t="shared" si="244"/>
        <v/>
      </c>
      <c r="BH329" s="129">
        <f t="shared" si="245"/>
        <v/>
      </c>
      <c r="BI329" s="129">
        <f t="shared" si="246"/>
        <v/>
      </c>
      <c r="BJ329" s="129">
        <f t="shared" si="247"/>
        <v/>
      </c>
      <c r="BK329" s="129">
        <f>IF(R329="","",IF(OR(BY329="",BY329=0),"BOX",IFERROR(IF(VLOOKUP(BY329,УГО_блоки,3,FALSE)&amp;""&lt;&gt;"",VLOOKUP(BY329,УГО_блоки,3,FALSE),VLOOKUP(BY329,УГО_блоки,2,FALSE)),BY329)))</f>
      </c>
      <c r="BL329" s="129">
        <f t="shared" si="249"/>
      </c>
      <c r="BM329" s="129">
        <f>IF(H329="","",IF(COUNTIF($H$3:H329,H329)=1,MAX($BM$2:BM328)+1,""))</f>
      </c>
      <c r="BN329" s="129">
        <f>IF(I329="","",IF(COUNTIF($I$3:I329,I329)+COUNTIF($J$2:J328,I329)+COUNTIF($K$2:K328,I329)=1,MAX($BN$2:BP328)+1,""))</f>
      </c>
      <c r="BO329" s="129">
        <f>IF(J329="","",IF(COUNTIF($I$3:I329,J329)+COUNTIF($J$3:J329,J329)+COUNTIF($K$2:K328,J329)=1,MAX($BN$2:BP328,BN329)+1,""))</f>
      </c>
      <c r="BP329" s="129">
        <f>IF(K329="","",IF(COUNTIF($I$3:I329,K329)+COUNTIF($J$3:J329,K329)+COUNTIF($K$3:K329,K329)=1,MAX($BN$2:BP328,BN329,BO329)+1,""))</f>
      </c>
      <c r="BQ329" s="129">
        <f>IF(AY329=1,IFERROR(MID(Q329,FIND(" (",Q329)+2,FIND(")",Q329,FIND(" (",Q329))-FIND(" (",Q329)-2),"?"),"")</f>
      </c>
      <c r="BR329" s="129">
        <f>IF(BQ329="","",IF(COUNTIF($BQ$3:BQ329,BQ329)=1,MAX($BR$2:BR328)+1,""))</f>
      </c>
      <c r="BS329" s="129">
        <f>IF(AW329="","",COUNTIF($AW$3:AW329,"?*"))</f>
      </c>
      <c r="BT329" s="129">
        <f>IF(OR(AW329="",AI329=""),"",IF(COUNTIFS($AW$3:AW329,"?*",$AI$3:AI329,AI329)=1,MAX($BT$2:BT328)+1,""))</f>
      </c>
      <c r="BU329" s="129">
        <f>IF(AE329="",0,IF(OR(ISNUMBER(SEARCH("дубль",AE329)),ISNUMBER(SEARCH("ПЕРЕГРУЗ",AE329)),ISNUMBER(SEARCH("ЗАЩИЩ",AE329)),ISNUMBER(SEARCH("КАНАЛ",AE329)),ISNUMBER(SEARCH("без 30",AE329))),2,1))</f>
      </c>
      <c r="BV329" s="129">
        <f>IF(R329="","",COUNTIF($R$3:R329,"?*"))</f>
      </c>
      <c r="BW329" s="129">
        <f>IF(AY329&lt;&gt;1,0,IF(MAX(IFERROR(--VLOOKUP(R329,УГО_спр,5,FALSE),0),IFERROR(--VLOOKUP(AL329,УГО_спр,5,FALSE),0),IFERROR(--VLOOKUP(LEFT(AL329,2),УГО_спр,5,FALSE),0))&gt;0,MAX(IFERROR(--VLOOKUP(R329,УГО_спр,5,FALSE),0),IFERROR(--VLOOKUP(AL329,УГО_спр,5,FALSE),0),IFERROR(--VLOOKUP(LEFT(AL329,2),УГО_спр,5,FALSE),0)),IF(IFERROR(--LEFT(SUBSTITUTE(BQ329,"x","х"),FIND("х",SUBSTITUTE(BQ329,"x","х"))-1),3)&gt;3,Каталог!$S$9,1)))</f>
      </c>
      <c r="BX329" s="129">
        <f>IF(AY329&lt;&gt;1,0,MAX(0,IFERROR(--LEFT(SUBSTITUTE(BQ329,"x","х"),FIND("х",SUBSTITUTE(BQ329,"x","х"))-1),3)-3*BW329))</f>
      </c>
      <c r="BY329" s="129">
        <f>IF(R329="","",IFERROR(VLOOKUP(R329,УГО_спр,2,FALSE),IFERROR(VLOOKUP(AL329,УГО_спр,2,FALSE),IFERROR(VLOOKUP(LEFT(AL329,2),УГО_спр,2,FALSE),""))))</f>
      </c>
    </row>
    <row r="330" spans="1:64" x14ac:dyDescent="0.3">
      <c r="A330" s="135">
        <f>IF(Разбивка_по_щитам!F330=0,"",Разбивка_по_щитам!F330)</f>
      </c>
      <c r="B330" s="138">
        <f>IF(A330="","",Разбивка_по_щитам!C330)</f>
      </c>
      <c r="C330" s="138">
        <f t="shared" si="214"/>
      </c>
      <c r="D330" s="266"/>
      <c r="E330" s="266"/>
      <c r="F330" s="267"/>
      <c r="G330" s="145">
        <f t="shared" si="210"/>
        <v/>
      </c>
      <c r="H330" s="145">
        <f t="shared" si="211"/>
        <v/>
      </c>
      <c r="I330" s="266"/>
      <c r="J330" s="267"/>
      <c r="K330" s="267"/>
      <c r="L330" s="266"/>
      <c r="M330" s="147">
        <f t="shared" si="212"/>
        <v/>
      </c>
      <c r="N330" s="267"/>
      <c r="O330" s="147">
        <f t="shared" si="213"/>
        <v/>
      </c>
      <c r="P330" s="268">
        <f>IF(AY330=1,"XT"&amp;COUNTIFS($A$3:A330,A330,$AY$3:AY330,1),"")</f>
        <v/>
      </c>
      <c r="Q330" s="152">
        <f>IF(R330="","",IFERROR(SUBSTITUTE(Разбивка_по_щитам!P330,CHAR(10)," "),""))</f>
        <v/>
      </c>
      <c r="R330" s="153">
        <f>IF(OR(Разбивка_по_щитам!H330="",Разбивка_по_щитам!H330=0),"",Разбивка_по_щитам!H330)</f>
        <v/>
      </c>
      <c r="S330" s="154">
        <f>IF(R330="","",IFERROR(Разбивка_по_щитам!J330&amp;"",""))</f>
        <v/>
      </c>
      <c r="T330" s="155">
        <f>IF(R330="","",IFERROR(--Разбивка_по_щитам!L330,""))</f>
        <v/>
      </c>
      <c r="U330" s="155">
        <f>IF(R330="","",IFERROR(--Разбивка_по_щитам!K330,""))</f>
        <v/>
      </c>
      <c r="V330" s="138">
        <f>IF(R330="","",IFERROR(IF(Разбивка_по_щитам!M330=0,"",Разбивка_по_щитам!M330),""))</f>
        <v/>
      </c>
      <c r="W330" s="156">
        <f t="shared" si="215"/>
        <v/>
      </c>
      <c r="X330" s="157">
        <f t="shared" si="216"/>
        <v/>
      </c>
      <c r="Y330" s="266"/>
      <c r="Z330" s="158">
        <f t="shared" si="217"/>
        <v/>
      </c>
      <c r="AA330" s="160">
        <f t="shared" si="218"/>
        <v/>
      </c>
      <c r="AB330" s="160">
        <f>IF(R330="","",IFERROR(LOOKUP(INDEX(Справочная!$I$4:$I$19,MATCH(VLOOKUP(R330,Исходные_данные,22,FALSE),Справочная!$J$4:$J$19,0)+1),{6,10,16,20,25,32,40,50,63,80,100,125}),""))</f>
        <v/>
      </c>
      <c r="AC330" s="160">
        <f t="shared" si="219"/>
        <v/>
      </c>
      <c r="AD330" s="161">
        <f t="shared" si="220"/>
        <v/>
      </c>
      <c r="AE330" s="161">
        <f>IF(AND(R330="",G330=""),"",_xlfn.TEXTJOIN("; ",TRUE,IF(AND(R330&lt;&gt;"",V330=""),"нет фазы",""),IF(AND(R330&lt;&gt;"",N(T330)=0),"нет мощности",""),IF(AND(P330&lt;&gt;"",COUNTIFS($A$3:$A$1000,A330,$P$3:$P$1000,P330)&gt;1),"дубль клеммы "&amp;P330,""),IF(AND(W330&lt;&gt;"",W330&lt;&gt;"ok"),W330,""),IF(X330&lt;&gt;"",X330,""),IF(AND(ISNUMBER(SEARCH("(5х",Q330)),N(AK330)=1),"5 жил на 1 фазе",""),IF(AND(AL330="R",E330&lt;&gt;"",N(AS330)=0),"розетка без 30 мА",""),IF(IFERROR(_xlfn.NUMBERVALUE(MID(Q330,FIND("-",Q330,FIND("L=",Q330))+1,FIND("%",Q330)-FIND("-",Q330,FIND("L=",Q330))-1),","),0)&gt;4,"потери &gt; 4 %","")))</f>
      </c>
      <c r="AF330" s="129">
        <f>IF(E330&lt;&gt;"",COUNTIFS($A$3:A330,A330,$E$3:E330,"?*"),IF(OR(A330&lt;&gt;A329,Y330="вручную"),"",AF329))</f>
      </c>
      <c r="AG330" s="129">
        <f t="shared" si="221"/>
      </c>
      <c r="AH330" s="129">
        <f t="shared" si="222"/>
        <v/>
      </c>
      <c r="AI330" s="129">
        <f t="shared" si="223"/>
        <v/>
      </c>
      <c r="AJ330" s="129">
        <f t="shared" si="224"/>
        <v/>
      </c>
      <c r="AK330" s="129">
        <f t="shared" si="225"/>
        <v/>
      </c>
      <c r="AL330" s="129">
        <f t="shared" si="226"/>
        <v/>
      </c>
      <c r="AM330" s="129">
        <f t="shared" si="227"/>
      </c>
      <c r="AN330" s="129">
        <f t="shared" si="228"/>
      </c>
      <c r="AO330" s="129">
        <f t="shared" si="229"/>
        <v/>
      </c>
      <c r="AP330" s="129">
        <f t="shared" si="230"/>
        <v/>
      </c>
      <c r="AQ330" s="129">
        <f t="shared" si="231"/>
        <v/>
      </c>
      <c r="AR330" s="129">
        <f t="shared" si="232"/>
        <v/>
      </c>
      <c r="AS330" s="129">
        <f t="shared" si="233"/>
        <v/>
      </c>
      <c r="AT330" s="129">
        <f t="shared" si="234"/>
        <v/>
      </c>
      <c r="AU330" s="129">
        <f t="shared" si="235"/>
        <v/>
      </c>
      <c r="AV330" s="129">
        <f t="shared" si="236"/>
        <v/>
      </c>
      <c r="AW330" s="129">
        <f>IF(AV330="","",AV330&amp;"."&amp;COUNTIFS($A$3:A330,A330,$AV$3:AV330,AV330))</f>
        <v/>
      </c>
      <c r="AX330" s="129">
        <f t="shared" si="237"/>
        <v/>
      </c>
      <c r="AY330" s="129">
        <f>IF(N330="б/к",0,IF(OR(ISNUMBER(SEARCH("L=",Разбивка_по_щитам!P330)),N330="+",N330="="),1,0))</f>
      </c>
      <c r="AZ330" s="129">
        <f t="shared" si="238"/>
      </c>
      <c r="BA330" s="129">
        <f t="shared" si="239"/>
      </c>
      <c r="BB330" s="129">
        <f t="shared" si="240"/>
      </c>
      <c r="BD330" s="129">
        <f t="shared" si="241"/>
      </c>
      <c r="BE330" s="129">
        <f t="shared" si="242"/>
      </c>
      <c r="BF330" s="129">
        <f t="shared" si="243"/>
      </c>
      <c r="BG330" s="129">
        <f t="shared" si="244"/>
        <v/>
      </c>
      <c r="BH330" s="129">
        <f t="shared" si="245"/>
        <v/>
      </c>
      <c r="BI330" s="129">
        <f t="shared" si="246"/>
        <v/>
      </c>
      <c r="BJ330" s="129">
        <f t="shared" si="247"/>
        <v/>
      </c>
      <c r="BK330" s="129">
        <f>IF(R330="","",IF(OR(BY330="",BY330=0),"BOX",IFERROR(IF(VLOOKUP(BY330,УГО_блоки,3,FALSE)&amp;""&lt;&gt;"",VLOOKUP(BY330,УГО_блоки,3,FALSE),VLOOKUP(BY330,УГО_блоки,2,FALSE)),BY330)))</f>
      </c>
      <c r="BL330" s="129">
        <f t="shared" si="249"/>
      </c>
      <c r="BM330" s="129">
        <f>IF(H330="","",IF(COUNTIF($H$3:H330,H330)=1,MAX($BM$2:BM329)+1,""))</f>
      </c>
      <c r="BN330" s="129">
        <f>IF(I330="","",IF(COUNTIF($I$3:I330,I330)+COUNTIF($J$2:J329,I330)+COUNTIF($K$2:K329,I330)=1,MAX($BN$2:BP329)+1,""))</f>
      </c>
      <c r="BO330" s="129">
        <f>IF(J330="","",IF(COUNTIF($I$3:I330,J330)+COUNTIF($J$3:J330,J330)+COUNTIF($K$2:K329,J330)=1,MAX($BN$2:BP329,BN330)+1,""))</f>
      </c>
      <c r="BP330" s="129">
        <f>IF(K330="","",IF(COUNTIF($I$3:I330,K330)+COUNTIF($J$3:J330,K330)+COUNTIF($K$3:K330,K330)=1,MAX($BN$2:BP329,BN330,BO330)+1,""))</f>
      </c>
      <c r="BQ330" s="129">
        <f>IF(AY330=1,IFERROR(MID(Q330,FIND(" (",Q330)+2,FIND(")",Q330,FIND(" (",Q330))-FIND(" (",Q330)-2),"?"),"")</f>
      </c>
      <c r="BR330" s="129">
        <f>IF(BQ330="","",IF(COUNTIF($BQ$3:BQ330,BQ330)=1,MAX($BR$2:BR329)+1,""))</f>
      </c>
      <c r="BS330" s="129">
        <f>IF(AW330="","",COUNTIF($AW$3:AW330,"?*"))</f>
      </c>
      <c r="BT330" s="129">
        <f>IF(OR(AW330="",AI330=""),"",IF(COUNTIFS($AW$3:AW330,"?*",$AI$3:AI330,AI330)=1,MAX($BT$2:BT329)+1,""))</f>
      </c>
      <c r="BU330" s="129">
        <f>IF(AE330="",0,IF(OR(ISNUMBER(SEARCH("дубль",AE330)),ISNUMBER(SEARCH("ПЕРЕГРУЗ",AE330)),ISNUMBER(SEARCH("ЗАЩИЩ",AE330)),ISNUMBER(SEARCH("КАНАЛ",AE330)),ISNUMBER(SEARCH("без 30",AE330))),2,1))</f>
      </c>
      <c r="BV330" s="129">
        <f>IF(R330="","",COUNTIF($R$3:R330,"?*"))</f>
      </c>
      <c r="BW330" s="129">
        <f>IF(AY330&lt;&gt;1,0,IF(MAX(IFERROR(--VLOOKUP(R330,УГО_спр,5,FALSE),0),IFERROR(--VLOOKUP(AL330,УГО_спр,5,FALSE),0),IFERROR(--VLOOKUP(LEFT(AL330,2),УГО_спр,5,FALSE),0))&gt;0,MAX(IFERROR(--VLOOKUP(R330,УГО_спр,5,FALSE),0),IFERROR(--VLOOKUP(AL330,УГО_спр,5,FALSE),0),IFERROR(--VLOOKUP(LEFT(AL330,2),УГО_спр,5,FALSE),0)),IF(IFERROR(--LEFT(SUBSTITUTE(BQ330,"x","х"),FIND("х",SUBSTITUTE(BQ330,"x","х"))-1),3)&gt;3,Каталог!$S$9,1)))</f>
      </c>
      <c r="BX330" s="129">
        <f>IF(AY330&lt;&gt;1,0,MAX(0,IFERROR(--LEFT(SUBSTITUTE(BQ330,"x","х"),FIND("х",SUBSTITUTE(BQ330,"x","х"))-1),3)-3*BW330))</f>
      </c>
      <c r="BY330" s="129">
        <f>IF(R330="","",IFERROR(VLOOKUP(R330,УГО_спр,2,FALSE),IFERROR(VLOOKUP(AL330,УГО_спр,2,FALSE),IFERROR(VLOOKUP(LEFT(AL330,2),УГО_спр,2,FALSE),""))))</f>
      </c>
    </row>
    <row r="331" spans="1:64" x14ac:dyDescent="0.3">
      <c r="A331" s="135">
        <f>IF(Разбивка_по_щитам!F331=0,"",Разбивка_по_щитам!F331)</f>
      </c>
      <c r="B331" s="138">
        <f>IF(A331="","",Разбивка_по_щитам!C331)</f>
      </c>
      <c r="C331" s="138">
        <f t="shared" si="214"/>
      </c>
      <c r="D331" s="266"/>
      <c r="E331" s="266"/>
      <c r="F331" s="267"/>
      <c r="G331" s="145">
        <f t="shared" si="210"/>
        <v/>
      </c>
      <c r="H331" s="145">
        <f t="shared" si="211"/>
        <v/>
      </c>
      <c r="I331" s="266"/>
      <c r="J331" s="267"/>
      <c r="K331" s="267"/>
      <c r="L331" s="266"/>
      <c r="M331" s="147">
        <f t="shared" si="212"/>
        <v/>
      </c>
      <c r="N331" s="267"/>
      <c r="O331" s="147">
        <f t="shared" si="213"/>
        <v/>
      </c>
      <c r="P331" s="268">
        <f>IF(AY331=1,"XT"&amp;COUNTIFS($A$3:A331,A331,$AY$3:AY331,1),"")</f>
        <v/>
      </c>
      <c r="Q331" s="152">
        <f>IF(R331="","",IFERROR(SUBSTITUTE(Разбивка_по_щитам!P331,CHAR(10)," "),""))</f>
        <v/>
      </c>
      <c r="R331" s="153">
        <f>IF(OR(Разбивка_по_щитам!H331="",Разбивка_по_щитам!H331=0),"",Разбивка_по_щитам!H331)</f>
        <v/>
      </c>
      <c r="S331" s="154">
        <f>IF(R331="","",IFERROR(Разбивка_по_щитам!J331&amp;"",""))</f>
        <v/>
      </c>
      <c r="T331" s="155">
        <f>IF(R331="","",IFERROR(--Разбивка_по_щитам!L331,""))</f>
        <v/>
      </c>
      <c r="U331" s="155">
        <f>IF(R331="","",IFERROR(--Разбивка_по_щитам!K331,""))</f>
        <v/>
      </c>
      <c r="V331" s="138">
        <f>IF(R331="","",IFERROR(IF(Разбивка_по_щитам!M331=0,"",Разбивка_по_щитам!M331),""))</f>
        <v/>
      </c>
      <c r="W331" s="156">
        <f t="shared" si="215"/>
        <v/>
      </c>
      <c r="X331" s="157">
        <f t="shared" si="216"/>
        <v/>
      </c>
      <c r="Y331" s="266"/>
      <c r="Z331" s="158">
        <f t="shared" si="217"/>
        <v/>
      </c>
      <c r="AA331" s="160">
        <f t="shared" si="218"/>
        <v/>
      </c>
      <c r="AB331" s="160">
        <f>IF(R331="","",IFERROR(LOOKUP(INDEX(Справочная!$I$4:$I$19,MATCH(VLOOKUP(R331,Исходные_данные,22,FALSE),Справочная!$J$4:$J$19,0)+1),{6,10,16,20,25,32,40,50,63,80,100,125}),""))</f>
        <v/>
      </c>
      <c r="AC331" s="160">
        <f t="shared" si="219"/>
        <v/>
      </c>
      <c r="AD331" s="161">
        <f t="shared" si="220"/>
        <v/>
      </c>
      <c r="AE331" s="161">
        <f>IF(AND(R331="",G331=""),"",_xlfn.TEXTJOIN("; ",TRUE,IF(AND(R331&lt;&gt;"",V331=""),"нет фазы",""),IF(AND(R331&lt;&gt;"",N(T331)=0),"нет мощности",""),IF(AND(P331&lt;&gt;"",COUNTIFS($A$3:$A$1000,A331,$P$3:$P$1000,P331)&gt;1),"дубль клеммы "&amp;P331,""),IF(AND(W331&lt;&gt;"",W331&lt;&gt;"ok"),W331,""),IF(X331&lt;&gt;"",X331,""),IF(AND(ISNUMBER(SEARCH("(5х",Q331)),N(AK331)=1),"5 жил на 1 фазе",""),IF(AND(AL331="R",E331&lt;&gt;"",N(AS331)=0),"розетка без 30 мА",""),IF(IFERROR(_xlfn.NUMBERVALUE(MID(Q331,FIND("-",Q331,FIND("L=",Q331))+1,FIND("%",Q331)-FIND("-",Q331,FIND("L=",Q331))-1),","),0)&gt;4,"потери &gt; 4 %","")))</f>
      </c>
      <c r="AF331" s="129">
        <f>IF(E331&lt;&gt;"",COUNTIFS($A$3:A331,A331,$E$3:E331,"?*"),IF(OR(A331&lt;&gt;A330,Y331="вручную"),"",AF330))</f>
      </c>
      <c r="AG331" s="129">
        <f t="shared" si="221"/>
      </c>
      <c r="AH331" s="129">
        <f t="shared" si="222"/>
        <v/>
      </c>
      <c r="AI331" s="129">
        <f t="shared" si="223"/>
        <v/>
      </c>
      <c r="AJ331" s="129">
        <f t="shared" si="224"/>
        <v/>
      </c>
      <c r="AK331" s="129">
        <f t="shared" si="225"/>
        <v/>
      </c>
      <c r="AL331" s="129">
        <f t="shared" si="226"/>
        <v/>
      </c>
      <c r="AM331" s="129">
        <f t="shared" si="227"/>
      </c>
      <c r="AN331" s="129">
        <f t="shared" si="228"/>
      </c>
      <c r="AO331" s="129">
        <f t="shared" si="229"/>
        <v/>
      </c>
      <c r="AP331" s="129">
        <f t="shared" si="230"/>
        <v/>
      </c>
      <c r="AQ331" s="129">
        <f t="shared" si="231"/>
        <v/>
      </c>
      <c r="AR331" s="129">
        <f t="shared" si="232"/>
        <v/>
      </c>
      <c r="AS331" s="129">
        <f t="shared" si="233"/>
        <v/>
      </c>
      <c r="AT331" s="129">
        <f t="shared" si="234"/>
        <v/>
      </c>
      <c r="AU331" s="129">
        <f t="shared" si="235"/>
        <v/>
      </c>
      <c r="AV331" s="129">
        <f t="shared" si="236"/>
        <v/>
      </c>
      <c r="AW331" s="129">
        <f>IF(AV331="","",AV331&amp;"."&amp;COUNTIFS($A$3:A331,A331,$AV$3:AV331,AV331))</f>
        <v/>
      </c>
      <c r="AX331" s="129">
        <f t="shared" si="237"/>
        <v/>
      </c>
      <c r="AY331" s="129">
        <f>IF(N331="б/к",0,IF(OR(ISNUMBER(SEARCH("L=",Разбивка_по_щитам!P331)),N331="+",N331="="),1,0))</f>
      </c>
      <c r="AZ331" s="129">
        <f t="shared" si="238"/>
      </c>
      <c r="BA331" s="129">
        <f t="shared" si="239"/>
      </c>
      <c r="BB331" s="129">
        <f t="shared" si="240"/>
      </c>
      <c r="BD331" s="129">
        <f t="shared" si="241"/>
      </c>
      <c r="BE331" s="129">
        <f t="shared" si="242"/>
      </c>
      <c r="BF331" s="129">
        <f t="shared" si="243"/>
      </c>
      <c r="BG331" s="129">
        <f t="shared" si="244"/>
        <v/>
      </c>
      <c r="BH331" s="129">
        <f t="shared" si="245"/>
        <v/>
      </c>
      <c r="BI331" s="129">
        <f t="shared" si="246"/>
        <v/>
      </c>
      <c r="BJ331" s="129">
        <f t="shared" si="247"/>
        <v/>
      </c>
      <c r="BK331" s="129">
        <f>IF(R331="","",IF(OR(BY331="",BY331=0),"BOX",IFERROR(IF(VLOOKUP(BY331,УГО_блоки,3,FALSE)&amp;""&lt;&gt;"",VLOOKUP(BY331,УГО_блоки,3,FALSE),VLOOKUP(BY331,УГО_блоки,2,FALSE)),BY331)))</f>
      </c>
      <c r="BL331" s="129">
        <f t="shared" si="249"/>
      </c>
      <c r="BM331" s="129">
        <f>IF(H331="","",IF(COUNTIF($H$3:H331,H331)=1,MAX($BM$2:BM330)+1,""))</f>
      </c>
      <c r="BN331" s="129">
        <f>IF(I331="","",IF(COUNTIF($I$3:I331,I331)+COUNTIF($J$2:J330,I331)+COUNTIF($K$2:K330,I331)=1,MAX($BN$2:BP330)+1,""))</f>
      </c>
      <c r="BO331" s="129">
        <f>IF(J331="","",IF(COUNTIF($I$3:I331,J331)+COUNTIF($J$3:J331,J331)+COUNTIF($K$2:K330,J331)=1,MAX($BN$2:BP330,BN331)+1,""))</f>
      </c>
      <c r="BP331" s="129">
        <f>IF(K331="","",IF(COUNTIF($I$3:I331,K331)+COUNTIF($J$3:J331,K331)+COUNTIF($K$3:K331,K331)=1,MAX($BN$2:BP330,BN331,BO331)+1,""))</f>
      </c>
      <c r="BQ331" s="129">
        <f>IF(AY331=1,IFERROR(MID(Q331,FIND(" (",Q331)+2,FIND(")",Q331,FIND(" (",Q331))-FIND(" (",Q331)-2),"?"),"")</f>
      </c>
      <c r="BR331" s="129">
        <f>IF(BQ331="","",IF(COUNTIF($BQ$3:BQ331,BQ331)=1,MAX($BR$2:BR330)+1,""))</f>
      </c>
      <c r="BS331" s="129">
        <f>IF(AW331="","",COUNTIF($AW$3:AW331,"?*"))</f>
      </c>
      <c r="BT331" s="129">
        <f>IF(OR(AW331="",AI331=""),"",IF(COUNTIFS($AW$3:AW331,"?*",$AI$3:AI331,AI331)=1,MAX($BT$2:BT330)+1,""))</f>
      </c>
      <c r="BU331" s="129">
        <f>IF(AE331="",0,IF(OR(ISNUMBER(SEARCH("дубль",AE331)),ISNUMBER(SEARCH("ПЕРЕГРУЗ",AE331)),ISNUMBER(SEARCH("ЗАЩИЩ",AE331)),ISNUMBER(SEARCH("КАНАЛ",AE331)),ISNUMBER(SEARCH("без 30",AE331))),2,1))</f>
      </c>
      <c r="BV331" s="129">
        <f>IF(R331="","",COUNTIF($R$3:R331,"?*"))</f>
      </c>
      <c r="BW331" s="129">
        <f>IF(AY331&lt;&gt;1,0,IF(MAX(IFERROR(--VLOOKUP(R331,УГО_спр,5,FALSE),0),IFERROR(--VLOOKUP(AL331,УГО_спр,5,FALSE),0),IFERROR(--VLOOKUP(LEFT(AL331,2),УГО_спр,5,FALSE),0))&gt;0,MAX(IFERROR(--VLOOKUP(R331,УГО_спр,5,FALSE),0),IFERROR(--VLOOKUP(AL331,УГО_спр,5,FALSE),0),IFERROR(--VLOOKUP(LEFT(AL331,2),УГО_спр,5,FALSE),0)),IF(IFERROR(--LEFT(SUBSTITUTE(BQ331,"x","х"),FIND("х",SUBSTITUTE(BQ331,"x","х"))-1),3)&gt;3,Каталог!$S$9,1)))</f>
      </c>
      <c r="BX331" s="129">
        <f>IF(AY331&lt;&gt;1,0,MAX(0,IFERROR(--LEFT(SUBSTITUTE(BQ331,"x","х"),FIND("х",SUBSTITUTE(BQ331,"x","х"))-1),3)-3*BW331))</f>
      </c>
      <c r="BY331" s="129">
        <f>IF(R331="","",IFERROR(VLOOKUP(R331,УГО_спр,2,FALSE),IFERROR(VLOOKUP(AL331,УГО_спр,2,FALSE),IFERROR(VLOOKUP(LEFT(AL331,2),УГО_спр,2,FALSE),""))))</f>
      </c>
    </row>
    <row r="332" spans="1:64" x14ac:dyDescent="0.3">
      <c r="A332" s="135">
        <f>IF(Разбивка_по_щитам!F332=0,"",Разбивка_по_щитам!F332)</f>
      </c>
      <c r="B332" s="138">
        <f>IF(A332="","",Разбивка_по_щитам!C332)</f>
      </c>
      <c r="C332" s="138">
        <f t="shared" si="214"/>
      </c>
      <c r="D332" s="266"/>
      <c r="E332" s="266"/>
      <c r="F332" s="267"/>
      <c r="G332" s="145">
        <f t="shared" si="210"/>
        <v/>
      </c>
      <c r="H332" s="145">
        <f t="shared" si="211"/>
        <v/>
      </c>
      <c r="I332" s="266"/>
      <c r="J332" s="267"/>
      <c r="K332" s="267"/>
      <c r="L332" s="266"/>
      <c r="M332" s="147">
        <f t="shared" si="212"/>
        <v/>
      </c>
      <c r="N332" s="267"/>
      <c r="O332" s="147">
        <f t="shared" si="213"/>
        <v/>
      </c>
      <c r="P332" s="268">
        <f>IF(AY332=1,"XT"&amp;COUNTIFS($A$3:A332,A332,$AY$3:AY332,1),"")</f>
        <v/>
      </c>
      <c r="Q332" s="152">
        <f>IF(R332="","",IFERROR(SUBSTITUTE(Разбивка_по_щитам!P332,CHAR(10)," "),""))</f>
        <v/>
      </c>
      <c r="R332" s="153">
        <f>IF(OR(Разбивка_по_щитам!H332="",Разбивка_по_щитам!H332=0),"",Разбивка_по_щитам!H332)</f>
        <v/>
      </c>
      <c r="S332" s="154">
        <f>IF(R332="","",IFERROR(Разбивка_по_щитам!J332&amp;"",""))</f>
        <v/>
      </c>
      <c r="T332" s="155">
        <f>IF(R332="","",IFERROR(--Разбивка_по_щитам!L332,""))</f>
        <v/>
      </c>
      <c r="U332" s="155">
        <f>IF(R332="","",IFERROR(--Разбивка_по_щитам!K332,""))</f>
        <v/>
      </c>
      <c r="V332" s="138">
        <f>IF(R332="","",IFERROR(IF(Разбивка_по_щитам!M332=0,"",Разбивка_по_щитам!M332),""))</f>
        <v/>
      </c>
      <c r="W332" s="156">
        <f t="shared" si="215"/>
        <v/>
      </c>
      <c r="X332" s="157">
        <f t="shared" si="216"/>
        <v/>
      </c>
      <c r="Y332" s="266"/>
      <c r="Z332" s="158">
        <f t="shared" si="217"/>
        <v/>
      </c>
      <c r="AA332" s="160">
        <f t="shared" si="218"/>
        <v/>
      </c>
      <c r="AB332" s="160">
        <f>IF(R332="","",IFERROR(LOOKUP(INDEX(Справочная!$I$4:$I$19,MATCH(VLOOKUP(R332,Исходные_данные,22,FALSE),Справочная!$J$4:$J$19,0)+1),{6,10,16,20,25,32,40,50,63,80,100,125}),""))</f>
        <v/>
      </c>
      <c r="AC332" s="160">
        <f t="shared" si="219"/>
        <v/>
      </c>
      <c r="AD332" s="161">
        <f t="shared" si="220"/>
        <v/>
      </c>
      <c r="AE332" s="161">
        <f>IF(AND(R332="",G332=""),"",_xlfn.TEXTJOIN("; ",TRUE,IF(AND(R332&lt;&gt;"",V332=""),"нет фазы",""),IF(AND(R332&lt;&gt;"",N(T332)=0),"нет мощности",""),IF(AND(P332&lt;&gt;"",COUNTIFS($A$3:$A$1000,A332,$P$3:$P$1000,P332)&gt;1),"дубль клеммы "&amp;P332,""),IF(AND(W332&lt;&gt;"",W332&lt;&gt;"ok"),W332,""),IF(X332&lt;&gt;"",X332,""),IF(AND(ISNUMBER(SEARCH("(5х",Q332)),N(AK332)=1),"5 жил на 1 фазе",""),IF(AND(AL332="R",E332&lt;&gt;"",N(AS332)=0),"розетка без 30 мА",""),IF(IFERROR(_xlfn.NUMBERVALUE(MID(Q332,FIND("-",Q332,FIND("L=",Q332))+1,FIND("%",Q332)-FIND("-",Q332,FIND("L=",Q332))-1),","),0)&gt;4,"потери &gt; 4 %","")))</f>
      </c>
      <c r="AF332" s="129">
        <f>IF(E332&lt;&gt;"",COUNTIFS($A$3:A332,A332,$E$3:E332,"?*"),IF(OR(A332&lt;&gt;A331,Y332="вручную"),"",AF331))</f>
      </c>
      <c r="AG332" s="129">
        <f t="shared" si="221"/>
      </c>
      <c r="AH332" s="129">
        <f t="shared" si="222"/>
        <v/>
      </c>
      <c r="AI332" s="129">
        <f t="shared" si="223"/>
        <v/>
      </c>
      <c r="AJ332" s="129">
        <f t="shared" si="224"/>
        <v/>
      </c>
      <c r="AK332" s="129">
        <f t="shared" si="225"/>
        <v/>
      </c>
      <c r="AL332" s="129">
        <f t="shared" si="226"/>
        <v/>
      </c>
      <c r="AM332" s="129">
        <f t="shared" si="227"/>
      </c>
      <c r="AN332" s="129">
        <f t="shared" si="228"/>
      </c>
      <c r="AO332" s="129">
        <f t="shared" si="229"/>
        <v/>
      </c>
      <c r="AP332" s="129">
        <f t="shared" si="230"/>
        <v/>
      </c>
      <c r="AQ332" s="129">
        <f t="shared" si="231"/>
        <v/>
      </c>
      <c r="AR332" s="129">
        <f t="shared" si="232"/>
        <v/>
      </c>
      <c r="AS332" s="129">
        <f t="shared" si="233"/>
        <v/>
      </c>
      <c r="AT332" s="129">
        <f t="shared" si="234"/>
        <v/>
      </c>
      <c r="AU332" s="129">
        <f t="shared" si="235"/>
        <v/>
      </c>
      <c r="AV332" s="129">
        <f t="shared" si="236"/>
        <v/>
      </c>
      <c r="AW332" s="129">
        <f>IF(AV332="","",AV332&amp;"."&amp;COUNTIFS($A$3:A332,A332,$AV$3:AV332,AV332))</f>
        <v/>
      </c>
      <c r="AX332" s="129">
        <f t="shared" si="237"/>
        <v/>
      </c>
      <c r="AY332" s="129">
        <f>IF(N332="б/к",0,IF(OR(ISNUMBER(SEARCH("L=",Разбивка_по_щитам!P332)),N332="+",N332="="),1,0))</f>
      </c>
      <c r="AZ332" s="129">
        <f t="shared" si="238"/>
      </c>
      <c r="BA332" s="129">
        <f t="shared" si="239"/>
      </c>
      <c r="BB332" s="129">
        <f t="shared" si="240"/>
      </c>
      <c r="BD332" s="129">
        <f t="shared" si="241"/>
      </c>
      <c r="BE332" s="129">
        <f t="shared" si="242"/>
      </c>
      <c r="BF332" s="129">
        <f t="shared" si="243"/>
      </c>
      <c r="BG332" s="129">
        <f t="shared" si="244"/>
        <v/>
      </c>
      <c r="BH332" s="129">
        <f t="shared" si="245"/>
        <v/>
      </c>
      <c r="BI332" s="129">
        <f t="shared" si="246"/>
        <v/>
      </c>
      <c r="BJ332" s="129">
        <f t="shared" si="247"/>
        <v/>
      </c>
      <c r="BK332" s="129">
        <f>IF(R332="","",IF(OR(BY332="",BY332=0),"BOX",IFERROR(IF(VLOOKUP(BY332,УГО_блоки,3,FALSE)&amp;""&lt;&gt;"",VLOOKUP(BY332,УГО_блоки,3,FALSE),VLOOKUP(BY332,УГО_блоки,2,FALSE)),BY332)))</f>
      </c>
      <c r="BL332" s="129">
        <f t="shared" si="249"/>
      </c>
      <c r="BM332" s="129">
        <f>IF(H332="","",IF(COUNTIF($H$3:H332,H332)=1,MAX($BM$2:BM331)+1,""))</f>
      </c>
      <c r="BN332" s="129">
        <f>IF(I332="","",IF(COUNTIF($I$3:I332,I332)+COUNTIF($J$2:J331,I332)+COUNTIF($K$2:K331,I332)=1,MAX($BN$2:BP331)+1,""))</f>
      </c>
      <c r="BO332" s="129">
        <f>IF(J332="","",IF(COUNTIF($I$3:I332,J332)+COUNTIF($J$3:J332,J332)+COUNTIF($K$2:K331,J332)=1,MAX($BN$2:BP331,BN332)+1,""))</f>
      </c>
      <c r="BP332" s="129">
        <f>IF(K332="","",IF(COUNTIF($I$3:I332,K332)+COUNTIF($J$3:J332,K332)+COUNTIF($K$3:K332,K332)=1,MAX($BN$2:BP331,BN332,BO332)+1,""))</f>
      </c>
      <c r="BQ332" s="129">
        <f>IF(AY332=1,IFERROR(MID(Q332,FIND(" (",Q332)+2,FIND(")",Q332,FIND(" (",Q332))-FIND(" (",Q332)-2),"?"),"")</f>
      </c>
      <c r="BR332" s="129">
        <f>IF(BQ332="","",IF(COUNTIF($BQ$3:BQ332,BQ332)=1,MAX($BR$2:BR331)+1,""))</f>
      </c>
      <c r="BS332" s="129">
        <f>IF(AW332="","",COUNTIF($AW$3:AW332,"?*"))</f>
      </c>
      <c r="BT332" s="129">
        <f>IF(OR(AW332="",AI332=""),"",IF(COUNTIFS($AW$3:AW332,"?*",$AI$3:AI332,AI332)=1,MAX($BT$2:BT331)+1,""))</f>
      </c>
      <c r="BU332" s="129">
        <f>IF(AE332="",0,IF(OR(ISNUMBER(SEARCH("дубль",AE332)),ISNUMBER(SEARCH("ПЕРЕГРУЗ",AE332)),ISNUMBER(SEARCH("ЗАЩИЩ",AE332)),ISNUMBER(SEARCH("КАНАЛ",AE332)),ISNUMBER(SEARCH("без 30",AE332))),2,1))</f>
      </c>
      <c r="BV332" s="129">
        <f>IF(R332="","",COUNTIF($R$3:R332,"?*"))</f>
      </c>
      <c r="BW332" s="129">
        <f>IF(AY332&lt;&gt;1,0,IF(MAX(IFERROR(--VLOOKUP(R332,УГО_спр,5,FALSE),0),IFERROR(--VLOOKUP(AL332,УГО_спр,5,FALSE),0),IFERROR(--VLOOKUP(LEFT(AL332,2),УГО_спр,5,FALSE),0))&gt;0,MAX(IFERROR(--VLOOKUP(R332,УГО_спр,5,FALSE),0),IFERROR(--VLOOKUP(AL332,УГО_спр,5,FALSE),0),IFERROR(--VLOOKUP(LEFT(AL332,2),УГО_спр,5,FALSE),0)),IF(IFERROR(--LEFT(SUBSTITUTE(BQ332,"x","х"),FIND("х",SUBSTITUTE(BQ332,"x","х"))-1),3)&gt;3,Каталог!$S$9,1)))</f>
      </c>
      <c r="BX332" s="129">
        <f>IF(AY332&lt;&gt;1,0,MAX(0,IFERROR(--LEFT(SUBSTITUTE(BQ332,"x","х"),FIND("х",SUBSTITUTE(BQ332,"x","х"))-1),3)-3*BW332))</f>
      </c>
      <c r="BY332" s="129">
        <f>IF(R332="","",IFERROR(VLOOKUP(R332,УГО_спр,2,FALSE),IFERROR(VLOOKUP(AL332,УГО_спр,2,FALSE),IFERROR(VLOOKUP(LEFT(AL332,2),УГО_спр,2,FALSE),""))))</f>
      </c>
    </row>
    <row r="333" spans="1:64" x14ac:dyDescent="0.3">
      <c r="A333" s="135">
        <f>IF(Разбивка_по_щитам!F333=0,"",Разбивка_по_щитам!F333)</f>
      </c>
      <c r="B333" s="138">
        <f>IF(A333="","",Разбивка_по_щитам!C333)</f>
      </c>
      <c r="C333" s="138">
        <f t="shared" si="214"/>
      </c>
      <c r="D333" s="266"/>
      <c r="E333" s="266"/>
      <c r="F333" s="267"/>
      <c r="G333" s="145">
        <f t="shared" si="210"/>
        <v/>
      </c>
      <c r="H333" s="145">
        <f t="shared" si="211"/>
        <v/>
      </c>
      <c r="I333" s="266"/>
      <c r="J333" s="267"/>
      <c r="K333" s="267"/>
      <c r="L333" s="266"/>
      <c r="M333" s="147">
        <f t="shared" si="212"/>
        <v/>
      </c>
      <c r="N333" s="267"/>
      <c r="O333" s="147">
        <f t="shared" si="213"/>
        <v/>
      </c>
      <c r="P333" s="268">
        <f>IF(AY333=1,"XT"&amp;COUNTIFS($A$3:A333,A333,$AY$3:AY333,1),"")</f>
        <v/>
      </c>
      <c r="Q333" s="152">
        <f>IF(R333="","",IFERROR(SUBSTITUTE(Разбивка_по_щитам!P333,CHAR(10)," "),""))</f>
        <v/>
      </c>
      <c r="R333" s="153">
        <f>IF(OR(Разбивка_по_щитам!H333="",Разбивка_по_щитам!H333=0),"",Разбивка_по_щитам!H333)</f>
        <v/>
      </c>
      <c r="S333" s="154">
        <f>IF(R333="","",IFERROR(Разбивка_по_щитам!J333&amp;"",""))</f>
        <v/>
      </c>
      <c r="T333" s="155">
        <f>IF(R333="","",IFERROR(--Разбивка_по_щитам!L333,""))</f>
        <v/>
      </c>
      <c r="U333" s="155">
        <f>IF(R333="","",IFERROR(--Разбивка_по_щитам!K333,""))</f>
        <v/>
      </c>
      <c r="V333" s="138">
        <f>IF(R333="","",IFERROR(IF(Разбивка_по_щитам!M333=0,"",Разбивка_по_щитам!M333),""))</f>
        <v/>
      </c>
      <c r="W333" s="156">
        <f t="shared" si="215"/>
        <v/>
      </c>
      <c r="X333" s="157">
        <f t="shared" si="216"/>
        <v/>
      </c>
      <c r="Y333" s="266"/>
      <c r="Z333" s="158">
        <f t="shared" si="217"/>
        <v/>
      </c>
      <c r="AA333" s="160">
        <f t="shared" si="218"/>
        <v/>
      </c>
      <c r="AB333" s="160">
        <f>IF(R333="","",IFERROR(LOOKUP(INDEX(Справочная!$I$4:$I$19,MATCH(VLOOKUP(R333,Исходные_данные,22,FALSE),Справочная!$J$4:$J$19,0)+1),{6,10,16,20,25,32,40,50,63,80,100,125}),""))</f>
        <v/>
      </c>
      <c r="AC333" s="160">
        <f t="shared" si="219"/>
        <v/>
      </c>
      <c r="AD333" s="161">
        <f t="shared" si="220"/>
        <v/>
      </c>
      <c r="AE333" s="161">
        <f>IF(AND(R333="",G333=""),"",_xlfn.TEXTJOIN("; ",TRUE,IF(AND(R333&lt;&gt;"",V333=""),"нет фазы",""),IF(AND(R333&lt;&gt;"",N(T333)=0),"нет мощности",""),IF(AND(P333&lt;&gt;"",COUNTIFS($A$3:$A$1000,A333,$P$3:$P$1000,P333)&gt;1),"дубль клеммы "&amp;P333,""),IF(AND(W333&lt;&gt;"",W333&lt;&gt;"ok"),W333,""),IF(X333&lt;&gt;"",X333,""),IF(AND(ISNUMBER(SEARCH("(5х",Q333)),N(AK333)=1),"5 жил на 1 фазе",""),IF(AND(AL333="R",E333&lt;&gt;"",N(AS333)=0),"розетка без 30 мА",""),IF(IFERROR(_xlfn.NUMBERVALUE(MID(Q333,FIND("-",Q333,FIND("L=",Q333))+1,FIND("%",Q333)-FIND("-",Q333,FIND("L=",Q333))-1),","),0)&gt;4,"потери &gt; 4 %","")))</f>
      </c>
      <c r="AF333" s="129">
        <f>IF(E333&lt;&gt;"",COUNTIFS($A$3:A333,A333,$E$3:E333,"?*"),IF(OR(A333&lt;&gt;A332,Y333="вручную"),"",AF332))</f>
      </c>
      <c r="AG333" s="129">
        <f t="shared" si="221"/>
      </c>
      <c r="AH333" s="129">
        <f t="shared" si="222"/>
        <v/>
      </c>
      <c r="AI333" s="129">
        <f t="shared" si="223"/>
        <v/>
      </c>
      <c r="AJ333" s="129">
        <f t="shared" si="224"/>
        <v/>
      </c>
      <c r="AK333" s="129">
        <f t="shared" si="225"/>
        <v/>
      </c>
      <c r="AL333" s="129">
        <f t="shared" si="226"/>
        <v/>
      </c>
      <c r="AM333" s="129">
        <f t="shared" si="227"/>
      </c>
      <c r="AN333" s="129">
        <f t="shared" si="228"/>
      </c>
      <c r="AO333" s="129">
        <f t="shared" si="229"/>
        <v/>
      </c>
      <c r="AP333" s="129">
        <f t="shared" si="230"/>
        <v/>
      </c>
      <c r="AQ333" s="129">
        <f t="shared" si="231"/>
        <v/>
      </c>
      <c r="AR333" s="129">
        <f t="shared" si="232"/>
        <v/>
      </c>
      <c r="AS333" s="129">
        <f t="shared" si="233"/>
        <v/>
      </c>
      <c r="AT333" s="129">
        <f t="shared" si="234"/>
        <v/>
      </c>
      <c r="AU333" s="129">
        <f t="shared" si="235"/>
        <v/>
      </c>
      <c r="AV333" s="129">
        <f t="shared" si="236"/>
        <v/>
      </c>
      <c r="AW333" s="129">
        <f>IF(AV333="","",AV333&amp;"."&amp;COUNTIFS($A$3:A333,A333,$AV$3:AV333,AV333))</f>
        <v/>
      </c>
      <c r="AX333" s="129">
        <f t="shared" si="237"/>
        <v/>
      </c>
      <c r="AY333" s="129">
        <f>IF(N333="б/к",0,IF(OR(ISNUMBER(SEARCH("L=",Разбивка_по_щитам!P333)),N333="+",N333="="),1,0))</f>
      </c>
      <c r="AZ333" s="129">
        <f t="shared" si="238"/>
      </c>
      <c r="BA333" s="129">
        <f t="shared" si="239"/>
      </c>
      <c r="BB333" s="129">
        <f t="shared" si="240"/>
      </c>
      <c r="BD333" s="129">
        <f t="shared" si="241"/>
      </c>
      <c r="BE333" s="129">
        <f t="shared" si="242"/>
      </c>
      <c r="BF333" s="129">
        <f t="shared" si="243"/>
      </c>
      <c r="BG333" s="129">
        <f t="shared" si="244"/>
        <v/>
      </c>
      <c r="BH333" s="129">
        <f t="shared" si="245"/>
        <v/>
      </c>
      <c r="BI333" s="129">
        <f t="shared" si="246"/>
        <v/>
      </c>
      <c r="BJ333" s="129">
        <f t="shared" si="247"/>
        <v/>
      </c>
      <c r="BK333" s="129">
        <f>IF(R333="","",IF(OR(BY333="",BY333=0),"BOX",IFERROR(IF(VLOOKUP(BY333,УГО_блоки,3,FALSE)&amp;""&lt;&gt;"",VLOOKUP(BY333,УГО_блоки,3,FALSE),VLOOKUP(BY333,УГО_блоки,2,FALSE)),BY333)))</f>
      </c>
      <c r="BL333" s="129">
        <f t="shared" si="249"/>
      </c>
      <c r="BM333" s="129">
        <f>IF(H333="","",IF(COUNTIF($H$3:H333,H333)=1,MAX($BM$2:BM332)+1,""))</f>
      </c>
      <c r="BN333" s="129">
        <f>IF(I333="","",IF(COUNTIF($I$3:I333,I333)+COUNTIF($J$2:J332,I333)+COUNTIF($K$2:K332,I333)=1,MAX($BN$2:BP332)+1,""))</f>
      </c>
      <c r="BO333" s="129">
        <f>IF(J333="","",IF(COUNTIF($I$3:I333,J333)+COUNTIF($J$3:J333,J333)+COUNTIF($K$2:K332,J333)=1,MAX($BN$2:BP332,BN333)+1,""))</f>
      </c>
      <c r="BP333" s="129">
        <f>IF(K333="","",IF(COUNTIF($I$3:I333,K333)+COUNTIF($J$3:J333,K333)+COUNTIF($K$3:K333,K333)=1,MAX($BN$2:BP332,BN333,BO333)+1,""))</f>
      </c>
      <c r="BQ333" s="129">
        <f>IF(AY333=1,IFERROR(MID(Q333,FIND(" (",Q333)+2,FIND(")",Q333,FIND(" (",Q333))-FIND(" (",Q333)-2),"?"),"")</f>
      </c>
      <c r="BR333" s="129">
        <f>IF(BQ333="","",IF(COUNTIF($BQ$3:BQ333,BQ333)=1,MAX($BR$2:BR332)+1,""))</f>
      </c>
      <c r="BS333" s="129">
        <f>IF(AW333="","",COUNTIF($AW$3:AW333,"?*"))</f>
      </c>
      <c r="BT333" s="129">
        <f>IF(OR(AW333="",AI333=""),"",IF(COUNTIFS($AW$3:AW333,"?*",$AI$3:AI333,AI333)=1,MAX($BT$2:BT332)+1,""))</f>
      </c>
      <c r="BU333" s="129">
        <f>IF(AE333="",0,IF(OR(ISNUMBER(SEARCH("дубль",AE333)),ISNUMBER(SEARCH("ПЕРЕГРУЗ",AE333)),ISNUMBER(SEARCH("ЗАЩИЩ",AE333)),ISNUMBER(SEARCH("КАНАЛ",AE333)),ISNUMBER(SEARCH("без 30",AE333))),2,1))</f>
      </c>
      <c r="BV333" s="129">
        <f>IF(R333="","",COUNTIF($R$3:R333,"?*"))</f>
      </c>
      <c r="BW333" s="129">
        <f>IF(AY333&lt;&gt;1,0,IF(MAX(IFERROR(--VLOOKUP(R333,УГО_спр,5,FALSE),0),IFERROR(--VLOOKUP(AL333,УГО_спр,5,FALSE),0),IFERROR(--VLOOKUP(LEFT(AL333,2),УГО_спр,5,FALSE),0))&gt;0,MAX(IFERROR(--VLOOKUP(R333,УГО_спр,5,FALSE),0),IFERROR(--VLOOKUP(AL333,УГО_спр,5,FALSE),0),IFERROR(--VLOOKUP(LEFT(AL333,2),УГО_спр,5,FALSE),0)),IF(IFERROR(--LEFT(SUBSTITUTE(BQ333,"x","х"),FIND("х",SUBSTITUTE(BQ333,"x","х"))-1),3)&gt;3,Каталог!$S$9,1)))</f>
      </c>
      <c r="BX333" s="129">
        <f>IF(AY333&lt;&gt;1,0,MAX(0,IFERROR(--LEFT(SUBSTITUTE(BQ333,"x","х"),FIND("х",SUBSTITUTE(BQ333,"x","х"))-1),3)-3*BW333))</f>
      </c>
      <c r="BY333" s="129">
        <f>IF(R333="","",IFERROR(VLOOKUP(R333,УГО_спр,2,FALSE),IFERROR(VLOOKUP(AL333,УГО_спр,2,FALSE),IFERROR(VLOOKUP(LEFT(AL333,2),УГО_спр,2,FALSE),""))))</f>
      </c>
    </row>
    <row r="334" spans="1:64" x14ac:dyDescent="0.3">
      <c r="A334" s="135">
        <f>IF(Разбивка_по_щитам!F334=0,"",Разбивка_по_щитам!F334)</f>
      </c>
      <c r="B334" s="138">
        <f>IF(A334="","",Разбивка_по_щитам!C334)</f>
      </c>
      <c r="C334" s="138">
        <f t="shared" si="214"/>
      </c>
      <c r="D334" s="266"/>
      <c r="E334" s="266"/>
      <c r="F334" s="267"/>
      <c r="G334" s="145">
        <f t="shared" si="210"/>
        <v/>
      </c>
      <c r="H334" s="145">
        <f t="shared" si="211"/>
        <v/>
      </c>
      <c r="I334" s="266"/>
      <c r="J334" s="267"/>
      <c r="K334" s="267"/>
      <c r="L334" s="266"/>
      <c r="M334" s="147">
        <f t="shared" si="212"/>
        <v/>
      </c>
      <c r="N334" s="267"/>
      <c r="O334" s="147">
        <f t="shared" si="213"/>
        <v/>
      </c>
      <c r="P334" s="268">
        <f>IF(AY334=1,"XT"&amp;COUNTIFS($A$3:A334,A334,$AY$3:AY334,1),"")</f>
        <v/>
      </c>
      <c r="Q334" s="152">
        <f>IF(R334="","",IFERROR(SUBSTITUTE(Разбивка_по_щитам!P334,CHAR(10)," "),""))</f>
        <v/>
      </c>
      <c r="R334" s="153">
        <f>IF(OR(Разбивка_по_щитам!H334="",Разбивка_по_щитам!H334=0),"",Разбивка_по_щитам!H334)</f>
        <v/>
      </c>
      <c r="S334" s="154">
        <f>IF(R334="","",IFERROR(Разбивка_по_щитам!J334&amp;"",""))</f>
        <v/>
      </c>
      <c r="T334" s="155">
        <f>IF(R334="","",IFERROR(--Разбивка_по_щитам!L334,""))</f>
        <v/>
      </c>
      <c r="U334" s="155">
        <f>IF(R334="","",IFERROR(--Разбивка_по_щитам!K334,""))</f>
        <v/>
      </c>
      <c r="V334" s="138">
        <f>IF(R334="","",IFERROR(IF(Разбивка_по_щитам!M334=0,"",Разбивка_по_щитам!M334),""))</f>
        <v/>
      </c>
      <c r="W334" s="156">
        <f t="shared" si="215"/>
        <v/>
      </c>
      <c r="X334" s="157">
        <f t="shared" si="216"/>
        <v/>
      </c>
      <c r="Y334" s="266"/>
      <c r="Z334" s="158">
        <f t="shared" si="217"/>
        <v/>
      </c>
      <c r="AA334" s="160">
        <f t="shared" si="218"/>
        <v/>
      </c>
      <c r="AB334" s="160">
        <f>IF(R334="","",IFERROR(LOOKUP(INDEX(Справочная!$I$4:$I$19,MATCH(VLOOKUP(R334,Исходные_данные,22,FALSE),Справочная!$J$4:$J$19,0)+1),{6,10,16,20,25,32,40,50,63,80,100,125}),""))</f>
        <v/>
      </c>
      <c r="AC334" s="160">
        <f t="shared" si="219"/>
        <v/>
      </c>
      <c r="AD334" s="161">
        <f t="shared" si="220"/>
        <v/>
      </c>
      <c r="AE334" s="161">
        <f>IF(AND(R334="",G334=""),"",_xlfn.TEXTJOIN("; ",TRUE,IF(AND(R334&lt;&gt;"",V334=""),"нет фазы",""),IF(AND(R334&lt;&gt;"",N(T334)=0),"нет мощности",""),IF(AND(P334&lt;&gt;"",COUNTIFS($A$3:$A$1000,A334,$P$3:$P$1000,P334)&gt;1),"дубль клеммы "&amp;P334,""),IF(AND(W334&lt;&gt;"",W334&lt;&gt;"ok"),W334,""),IF(X334&lt;&gt;"",X334,""),IF(AND(ISNUMBER(SEARCH("(5х",Q334)),N(AK334)=1),"5 жил на 1 фазе",""),IF(AND(AL334="R",E334&lt;&gt;"",N(AS334)=0),"розетка без 30 мА",""),IF(IFERROR(_xlfn.NUMBERVALUE(MID(Q334,FIND("-",Q334,FIND("L=",Q334))+1,FIND("%",Q334)-FIND("-",Q334,FIND("L=",Q334))-1),","),0)&gt;4,"потери &gt; 4 %","")))</f>
      </c>
      <c r="AF334" s="129">
        <f>IF(E334&lt;&gt;"",COUNTIFS($A$3:A334,A334,$E$3:E334,"?*"),IF(OR(A334&lt;&gt;A333,Y334="вручную"),"",AF333))</f>
      </c>
      <c r="AG334" s="129">
        <f t="shared" si="221"/>
      </c>
      <c r="AH334" s="129">
        <f t="shared" si="222"/>
        <v/>
      </c>
      <c r="AI334" s="129">
        <f t="shared" si="223"/>
        <v/>
      </c>
      <c r="AJ334" s="129">
        <f t="shared" si="224"/>
        <v/>
      </c>
      <c r="AK334" s="129">
        <f t="shared" si="225"/>
        <v/>
      </c>
      <c r="AL334" s="129">
        <f t="shared" si="226"/>
        <v/>
      </c>
      <c r="AM334" s="129">
        <f t="shared" si="227"/>
      </c>
      <c r="AN334" s="129">
        <f t="shared" si="228"/>
      </c>
      <c r="AO334" s="129">
        <f t="shared" si="229"/>
        <v/>
      </c>
      <c r="AP334" s="129">
        <f t="shared" si="230"/>
        <v/>
      </c>
      <c r="AQ334" s="129">
        <f t="shared" si="231"/>
        <v/>
      </c>
      <c r="AR334" s="129">
        <f t="shared" si="232"/>
        <v/>
      </c>
      <c r="AS334" s="129">
        <f t="shared" si="233"/>
        <v/>
      </c>
      <c r="AT334" s="129">
        <f t="shared" si="234"/>
        <v/>
      </c>
      <c r="AU334" s="129">
        <f t="shared" si="235"/>
        <v/>
      </c>
      <c r="AV334" s="129">
        <f t="shared" si="236"/>
        <v/>
      </c>
      <c r="AW334" s="129">
        <f>IF(AV334="","",AV334&amp;"."&amp;COUNTIFS($A$3:A334,A334,$AV$3:AV334,AV334))</f>
        <v/>
      </c>
      <c r="AX334" s="129">
        <f t="shared" si="237"/>
        <v/>
      </c>
      <c r="AY334" s="129">
        <f>IF(N334="б/к",0,IF(OR(ISNUMBER(SEARCH("L=",Разбивка_по_щитам!P334)),N334="+",N334="="),1,0))</f>
      </c>
      <c r="AZ334" s="129">
        <f t="shared" si="238"/>
      </c>
      <c r="BA334" s="129">
        <f t="shared" si="239"/>
      </c>
      <c r="BB334" s="129">
        <f t="shared" si="240"/>
      </c>
      <c r="BD334" s="129">
        <f t="shared" si="241"/>
      </c>
      <c r="BE334" s="129">
        <f t="shared" si="242"/>
      </c>
      <c r="BF334" s="129">
        <f t="shared" si="243"/>
      </c>
      <c r="BG334" s="129">
        <f t="shared" si="244"/>
        <v/>
      </c>
      <c r="BH334" s="129">
        <f t="shared" si="245"/>
        <v/>
      </c>
      <c r="BI334" s="129">
        <f t="shared" si="246"/>
        <v/>
      </c>
      <c r="BJ334" s="129">
        <f t="shared" si="247"/>
        <v/>
      </c>
      <c r="BK334" s="129">
        <f>IF(R334="","",IF(OR(BY334="",BY334=0),"BOX",IFERROR(IF(VLOOKUP(BY334,УГО_блоки,3,FALSE)&amp;""&lt;&gt;"",VLOOKUP(BY334,УГО_блоки,3,FALSE),VLOOKUP(BY334,УГО_блоки,2,FALSE)),BY334)))</f>
      </c>
      <c r="BL334" s="129">
        <f t="shared" si="249"/>
      </c>
      <c r="BM334" s="129">
        <f>IF(H334="","",IF(COUNTIF($H$3:H334,H334)=1,MAX($BM$2:BM333)+1,""))</f>
      </c>
      <c r="BN334" s="129">
        <f>IF(I334="","",IF(COUNTIF($I$3:I334,I334)+COUNTIF($J$2:J333,I334)+COUNTIF($K$2:K333,I334)=1,MAX($BN$2:BP333)+1,""))</f>
      </c>
      <c r="BO334" s="129">
        <f>IF(J334="","",IF(COUNTIF($I$3:I334,J334)+COUNTIF($J$3:J334,J334)+COUNTIF($K$2:K333,J334)=1,MAX($BN$2:BP333,BN334)+1,""))</f>
      </c>
      <c r="BP334" s="129">
        <f>IF(K334="","",IF(COUNTIF($I$3:I334,K334)+COUNTIF($J$3:J334,K334)+COUNTIF($K$3:K334,K334)=1,MAX($BN$2:BP333,BN334,BO334)+1,""))</f>
      </c>
      <c r="BQ334" s="129">
        <f>IF(AY334=1,IFERROR(MID(Q334,FIND(" (",Q334)+2,FIND(")",Q334,FIND(" (",Q334))-FIND(" (",Q334)-2),"?"),"")</f>
      </c>
      <c r="BR334" s="129">
        <f>IF(BQ334="","",IF(COUNTIF($BQ$3:BQ334,BQ334)=1,MAX($BR$2:BR333)+1,""))</f>
      </c>
      <c r="BS334" s="129">
        <f>IF(AW334="","",COUNTIF($AW$3:AW334,"?*"))</f>
      </c>
      <c r="BT334" s="129">
        <f>IF(OR(AW334="",AI334=""),"",IF(COUNTIFS($AW$3:AW334,"?*",$AI$3:AI334,AI334)=1,MAX($BT$2:BT333)+1,""))</f>
      </c>
      <c r="BU334" s="129">
        <f>IF(AE334="",0,IF(OR(ISNUMBER(SEARCH("дубль",AE334)),ISNUMBER(SEARCH("ПЕРЕГРУЗ",AE334)),ISNUMBER(SEARCH("ЗАЩИЩ",AE334)),ISNUMBER(SEARCH("КАНАЛ",AE334)),ISNUMBER(SEARCH("без 30",AE334))),2,1))</f>
      </c>
      <c r="BV334" s="129">
        <f>IF(R334="","",COUNTIF($R$3:R334,"?*"))</f>
      </c>
      <c r="BW334" s="129">
        <f>IF(AY334&lt;&gt;1,0,IF(MAX(IFERROR(--VLOOKUP(R334,УГО_спр,5,FALSE),0),IFERROR(--VLOOKUP(AL334,УГО_спр,5,FALSE),0),IFERROR(--VLOOKUP(LEFT(AL334,2),УГО_спр,5,FALSE),0))&gt;0,MAX(IFERROR(--VLOOKUP(R334,УГО_спр,5,FALSE),0),IFERROR(--VLOOKUP(AL334,УГО_спр,5,FALSE),0),IFERROR(--VLOOKUP(LEFT(AL334,2),УГО_спр,5,FALSE),0)),IF(IFERROR(--LEFT(SUBSTITUTE(BQ334,"x","х"),FIND("х",SUBSTITUTE(BQ334,"x","х"))-1),3)&gt;3,Каталог!$S$9,1)))</f>
      </c>
      <c r="BX334" s="129">
        <f>IF(AY334&lt;&gt;1,0,MAX(0,IFERROR(--LEFT(SUBSTITUTE(BQ334,"x","х"),FIND("х",SUBSTITUTE(BQ334,"x","х"))-1),3)-3*BW334))</f>
      </c>
      <c r="BY334" s="129">
        <f>IF(R334="","",IFERROR(VLOOKUP(R334,УГО_спр,2,FALSE),IFERROR(VLOOKUP(AL334,УГО_спр,2,FALSE),IFERROR(VLOOKUP(LEFT(AL334,2),УГО_спр,2,FALSE),""))))</f>
      </c>
    </row>
    <row r="335" spans="1:64" x14ac:dyDescent="0.3">
      <c r="A335" s="135">
        <f>IF(Разбивка_по_щитам!F335=0,"",Разбивка_по_щитам!F335)</f>
      </c>
      <c r="B335" s="138">
        <f>IF(A335="","",Разбивка_по_щитам!C335)</f>
      </c>
      <c r="C335" s="138">
        <f t="shared" si="214"/>
      </c>
      <c r="D335" s="266"/>
      <c r="E335" s="266"/>
      <c r="F335" s="267"/>
      <c r="G335" s="145">
        <f t="shared" si="210"/>
        <v/>
      </c>
      <c r="H335" s="145">
        <f t="shared" si="211"/>
        <v/>
      </c>
      <c r="I335" s="266"/>
      <c r="J335" s="267"/>
      <c r="K335" s="267"/>
      <c r="L335" s="266"/>
      <c r="M335" s="147">
        <f t="shared" si="212"/>
        <v/>
      </c>
      <c r="N335" s="267"/>
      <c r="O335" s="147">
        <f t="shared" si="213"/>
        <v/>
      </c>
      <c r="P335" s="268">
        <f>IF(AY335=1,"XT"&amp;COUNTIFS($A$3:A335,A335,$AY$3:AY335,1),"")</f>
        <v/>
      </c>
      <c r="Q335" s="152">
        <f>IF(R335="","",IFERROR(SUBSTITUTE(Разбивка_по_щитам!P335,CHAR(10)," "),""))</f>
        <v/>
      </c>
      <c r="R335" s="153">
        <f>IF(OR(Разбивка_по_щитам!H335="",Разбивка_по_щитам!H335=0),"",Разбивка_по_щитам!H335)</f>
        <v/>
      </c>
      <c r="S335" s="154">
        <f>IF(R335="","",IFERROR(Разбивка_по_щитам!J335&amp;"",""))</f>
        <v/>
      </c>
      <c r="T335" s="155">
        <f>IF(R335="","",IFERROR(--Разбивка_по_щитам!L335,""))</f>
        <v/>
      </c>
      <c r="U335" s="155">
        <f>IF(R335="","",IFERROR(--Разбивка_по_щитам!K335,""))</f>
        <v/>
      </c>
      <c r="V335" s="138">
        <f>IF(R335="","",IFERROR(IF(Разбивка_по_щитам!M335=0,"",Разбивка_по_щитам!M335),""))</f>
        <v/>
      </c>
      <c r="W335" s="156">
        <f t="shared" si="215"/>
        <v/>
      </c>
      <c r="X335" s="157">
        <f t="shared" si="216"/>
        <v/>
      </c>
      <c r="Y335" s="266"/>
      <c r="Z335" s="158">
        <f t="shared" si="217"/>
        <v/>
      </c>
      <c r="AA335" s="160">
        <f t="shared" si="218"/>
        <v/>
      </c>
      <c r="AB335" s="160">
        <f>IF(R335="","",IFERROR(LOOKUP(INDEX(Справочная!$I$4:$I$19,MATCH(VLOOKUP(R335,Исходные_данные,22,FALSE),Справочная!$J$4:$J$19,0)+1),{6,10,16,20,25,32,40,50,63,80,100,125}),""))</f>
        <v/>
      </c>
      <c r="AC335" s="160">
        <f t="shared" si="219"/>
        <v/>
      </c>
      <c r="AD335" s="161">
        <f t="shared" si="220"/>
        <v/>
      </c>
      <c r="AE335" s="161">
        <f>IF(AND(R335="",G335=""),"",_xlfn.TEXTJOIN("; ",TRUE,IF(AND(R335&lt;&gt;"",V335=""),"нет фазы",""),IF(AND(R335&lt;&gt;"",N(T335)=0),"нет мощности",""),IF(AND(P335&lt;&gt;"",COUNTIFS($A$3:$A$1000,A335,$P$3:$P$1000,P335)&gt;1),"дубль клеммы "&amp;P335,""),IF(AND(W335&lt;&gt;"",W335&lt;&gt;"ok"),W335,""),IF(X335&lt;&gt;"",X335,""),IF(AND(ISNUMBER(SEARCH("(5х",Q335)),N(AK335)=1),"5 жил на 1 фазе",""),IF(AND(AL335="R",E335&lt;&gt;"",N(AS335)=0),"розетка без 30 мА",""),IF(IFERROR(_xlfn.NUMBERVALUE(MID(Q335,FIND("-",Q335,FIND("L=",Q335))+1,FIND("%",Q335)-FIND("-",Q335,FIND("L=",Q335))-1),","),0)&gt;4,"потери &gt; 4 %","")))</f>
      </c>
      <c r="AF335" s="129">
        <f>IF(E335&lt;&gt;"",COUNTIFS($A$3:A335,A335,$E$3:E335,"?*"),IF(OR(A335&lt;&gt;A334,Y335="вручную"),"",AF334))</f>
      </c>
      <c r="AG335" s="129">
        <f t="shared" si="221"/>
      </c>
      <c r="AH335" s="129">
        <f t="shared" si="222"/>
        <v/>
      </c>
      <c r="AI335" s="129">
        <f t="shared" si="223"/>
        <v/>
      </c>
      <c r="AJ335" s="129">
        <f t="shared" si="224"/>
        <v/>
      </c>
      <c r="AK335" s="129">
        <f t="shared" si="225"/>
        <v/>
      </c>
      <c r="AL335" s="129">
        <f t="shared" si="226"/>
        <v/>
      </c>
      <c r="AM335" s="129">
        <f t="shared" si="227"/>
      </c>
      <c r="AN335" s="129">
        <f t="shared" si="228"/>
      </c>
      <c r="AO335" s="129">
        <f t="shared" si="229"/>
        <v/>
      </c>
      <c r="AP335" s="129">
        <f t="shared" si="230"/>
        <v/>
      </c>
      <c r="AQ335" s="129">
        <f t="shared" si="231"/>
        <v/>
      </c>
      <c r="AR335" s="129">
        <f t="shared" si="232"/>
        <v/>
      </c>
      <c r="AS335" s="129">
        <f t="shared" si="233"/>
        <v/>
      </c>
      <c r="AT335" s="129">
        <f t="shared" si="234"/>
        <v/>
      </c>
      <c r="AU335" s="129">
        <f t="shared" si="235"/>
        <v/>
      </c>
      <c r="AV335" s="129">
        <f t="shared" si="236"/>
        <v/>
      </c>
      <c r="AW335" s="129">
        <f>IF(AV335="","",AV335&amp;"."&amp;COUNTIFS($A$3:A335,A335,$AV$3:AV335,AV335))</f>
        <v/>
      </c>
      <c r="AX335" s="129">
        <f t="shared" si="237"/>
        <v/>
      </c>
      <c r="AY335" s="129">
        <f>IF(N335="б/к",0,IF(OR(ISNUMBER(SEARCH("L=",Разбивка_по_щитам!P335)),N335="+",N335="="),1,0))</f>
      </c>
      <c r="AZ335" s="129">
        <f t="shared" si="238"/>
      </c>
      <c r="BA335" s="129">
        <f t="shared" si="239"/>
      </c>
      <c r="BB335" s="129">
        <f t="shared" si="240"/>
      </c>
      <c r="BD335" s="129">
        <f t="shared" si="241"/>
      </c>
      <c r="BE335" s="129">
        <f t="shared" si="242"/>
      </c>
      <c r="BF335" s="129">
        <f t="shared" si="243"/>
      </c>
      <c r="BG335" s="129">
        <f t="shared" si="244"/>
        <v/>
      </c>
      <c r="BH335" s="129">
        <f t="shared" si="245"/>
        <v/>
      </c>
      <c r="BI335" s="129">
        <f t="shared" si="246"/>
        <v/>
      </c>
      <c r="BJ335" s="129">
        <f t="shared" si="247"/>
        <v/>
      </c>
      <c r="BK335" s="129">
        <f>IF(R335="","",IF(OR(BY335="",BY335=0),"BOX",IFERROR(IF(VLOOKUP(BY335,УГО_блоки,3,FALSE)&amp;""&lt;&gt;"",VLOOKUP(BY335,УГО_блоки,3,FALSE),VLOOKUP(BY335,УГО_блоки,2,FALSE)),BY335)))</f>
      </c>
      <c r="BL335" s="129">
        <f t="shared" si="249"/>
      </c>
      <c r="BM335" s="129">
        <f>IF(H335="","",IF(COUNTIF($H$3:H335,H335)=1,MAX($BM$2:BM334)+1,""))</f>
      </c>
      <c r="BN335" s="129">
        <f>IF(I335="","",IF(COUNTIF($I$3:I335,I335)+COUNTIF($J$2:J334,I335)+COUNTIF($K$2:K334,I335)=1,MAX($BN$2:BP334)+1,""))</f>
      </c>
      <c r="BO335" s="129">
        <f>IF(J335="","",IF(COUNTIF($I$3:I335,J335)+COUNTIF($J$3:J335,J335)+COUNTIF($K$2:K334,J335)=1,MAX($BN$2:BP334,BN335)+1,""))</f>
      </c>
      <c r="BP335" s="129">
        <f>IF(K335="","",IF(COUNTIF($I$3:I335,K335)+COUNTIF($J$3:J335,K335)+COUNTIF($K$3:K335,K335)=1,MAX($BN$2:BP334,BN335,BO335)+1,""))</f>
      </c>
      <c r="BQ335" s="129">
        <f>IF(AY335=1,IFERROR(MID(Q335,FIND(" (",Q335)+2,FIND(")",Q335,FIND(" (",Q335))-FIND(" (",Q335)-2),"?"),"")</f>
      </c>
      <c r="BR335" s="129">
        <f>IF(BQ335="","",IF(COUNTIF($BQ$3:BQ335,BQ335)=1,MAX($BR$2:BR334)+1,""))</f>
      </c>
      <c r="BS335" s="129">
        <f>IF(AW335="","",COUNTIF($AW$3:AW335,"?*"))</f>
      </c>
      <c r="BT335" s="129">
        <f>IF(OR(AW335="",AI335=""),"",IF(COUNTIFS($AW$3:AW335,"?*",$AI$3:AI335,AI335)=1,MAX($BT$2:BT334)+1,""))</f>
      </c>
      <c r="BU335" s="129">
        <f>IF(AE335="",0,IF(OR(ISNUMBER(SEARCH("дубль",AE335)),ISNUMBER(SEARCH("ПЕРЕГРУЗ",AE335)),ISNUMBER(SEARCH("ЗАЩИЩ",AE335)),ISNUMBER(SEARCH("КАНАЛ",AE335)),ISNUMBER(SEARCH("без 30",AE335))),2,1))</f>
      </c>
      <c r="BV335" s="129">
        <f>IF(R335="","",COUNTIF($R$3:R335,"?*"))</f>
      </c>
      <c r="BW335" s="129">
        <f>IF(AY335&lt;&gt;1,0,IF(MAX(IFERROR(--VLOOKUP(R335,УГО_спр,5,FALSE),0),IFERROR(--VLOOKUP(AL335,УГО_спр,5,FALSE),0),IFERROR(--VLOOKUP(LEFT(AL335,2),УГО_спр,5,FALSE),0))&gt;0,MAX(IFERROR(--VLOOKUP(R335,УГО_спр,5,FALSE),0),IFERROR(--VLOOKUP(AL335,УГО_спр,5,FALSE),0),IFERROR(--VLOOKUP(LEFT(AL335,2),УГО_спр,5,FALSE),0)),IF(IFERROR(--LEFT(SUBSTITUTE(BQ335,"x","х"),FIND("х",SUBSTITUTE(BQ335,"x","х"))-1),3)&gt;3,Каталог!$S$9,1)))</f>
      </c>
      <c r="BX335" s="129">
        <f>IF(AY335&lt;&gt;1,0,MAX(0,IFERROR(--LEFT(SUBSTITUTE(BQ335,"x","х"),FIND("х",SUBSTITUTE(BQ335,"x","х"))-1),3)-3*BW335))</f>
      </c>
      <c r="BY335" s="129">
        <f>IF(R335="","",IFERROR(VLOOKUP(R335,УГО_спр,2,FALSE),IFERROR(VLOOKUP(AL335,УГО_спр,2,FALSE),IFERROR(VLOOKUP(LEFT(AL335,2),УГО_спр,2,FALSE),""))))</f>
      </c>
    </row>
    <row r="336" spans="1:64" x14ac:dyDescent="0.3">
      <c r="A336" s="135">
        <f>IF(Разбивка_по_щитам!F336=0,"",Разбивка_по_щитам!F336)</f>
      </c>
      <c r="B336" s="138">
        <f>IF(A336="","",Разбивка_по_щитам!C336)</f>
      </c>
      <c r="C336" s="138">
        <f t="shared" si="214"/>
      </c>
      <c r="D336" s="266"/>
      <c r="E336" s="266"/>
      <c r="F336" s="267"/>
      <c r="G336" s="145">
        <f t="shared" si="210"/>
        <v/>
      </c>
      <c r="H336" s="145">
        <f t="shared" si="211"/>
        <v/>
      </c>
      <c r="I336" s="266"/>
      <c r="J336" s="267"/>
      <c r="K336" s="267"/>
      <c r="L336" s="266"/>
      <c r="M336" s="147">
        <f t="shared" si="212"/>
        <v/>
      </c>
      <c r="N336" s="267"/>
      <c r="O336" s="147">
        <f t="shared" si="213"/>
        <v/>
      </c>
      <c r="P336" s="268">
        <f>IF(AY336=1,"XT"&amp;COUNTIFS($A$3:A336,A336,$AY$3:AY336,1),"")</f>
        <v/>
      </c>
      <c r="Q336" s="152">
        <f>IF(R336="","",IFERROR(SUBSTITUTE(Разбивка_по_щитам!P336,CHAR(10)," "),""))</f>
        <v/>
      </c>
      <c r="R336" s="153">
        <f>IF(OR(Разбивка_по_щитам!H336="",Разбивка_по_щитам!H336=0),"",Разбивка_по_щитам!H336)</f>
        <v/>
      </c>
      <c r="S336" s="154">
        <f>IF(R336="","",IFERROR(Разбивка_по_щитам!J336&amp;"",""))</f>
        <v/>
      </c>
      <c r="T336" s="155">
        <f>IF(R336="","",IFERROR(--Разбивка_по_щитам!L336,""))</f>
        <v/>
      </c>
      <c r="U336" s="155">
        <f>IF(R336="","",IFERROR(--Разбивка_по_щитам!K336,""))</f>
        <v/>
      </c>
      <c r="V336" s="138">
        <f>IF(R336="","",IFERROR(IF(Разбивка_по_щитам!M336=0,"",Разбивка_по_щитам!M336),""))</f>
        <v/>
      </c>
      <c r="W336" s="156">
        <f t="shared" si="215"/>
        <v/>
      </c>
      <c r="X336" s="157">
        <f t="shared" si="216"/>
        <v/>
      </c>
      <c r="Y336" s="266"/>
      <c r="Z336" s="158">
        <f t="shared" si="217"/>
        <v/>
      </c>
      <c r="AA336" s="160">
        <f t="shared" si="218"/>
        <v/>
      </c>
      <c r="AB336" s="160">
        <f>IF(R336="","",IFERROR(LOOKUP(INDEX(Справочная!$I$4:$I$19,MATCH(VLOOKUP(R336,Исходные_данные,22,FALSE),Справочная!$J$4:$J$19,0)+1),{6,10,16,20,25,32,40,50,63,80,100,125}),""))</f>
        <v/>
      </c>
      <c r="AC336" s="160">
        <f t="shared" si="219"/>
        <v/>
      </c>
      <c r="AD336" s="161">
        <f t="shared" si="220"/>
        <v/>
      </c>
      <c r="AE336" s="161">
        <f>IF(AND(R336="",G336=""),"",_xlfn.TEXTJOIN("; ",TRUE,IF(AND(R336&lt;&gt;"",V336=""),"нет фазы",""),IF(AND(R336&lt;&gt;"",N(T336)=0),"нет мощности",""),IF(AND(P336&lt;&gt;"",COUNTIFS($A$3:$A$1000,A336,$P$3:$P$1000,P336)&gt;1),"дубль клеммы "&amp;P336,""),IF(AND(W336&lt;&gt;"",W336&lt;&gt;"ok"),W336,""),IF(X336&lt;&gt;"",X336,""),IF(AND(ISNUMBER(SEARCH("(5х",Q336)),N(AK336)=1),"5 жил на 1 фазе",""),IF(AND(AL336="R",E336&lt;&gt;"",N(AS336)=0),"розетка без 30 мА",""),IF(IFERROR(_xlfn.NUMBERVALUE(MID(Q336,FIND("-",Q336,FIND("L=",Q336))+1,FIND("%",Q336)-FIND("-",Q336,FIND("L=",Q336))-1),","),0)&gt;4,"потери &gt; 4 %","")))</f>
      </c>
      <c r="AF336" s="129">
        <f>IF(E336&lt;&gt;"",COUNTIFS($A$3:A336,A336,$E$3:E336,"?*"),IF(OR(A336&lt;&gt;A335,Y336="вручную"),"",AF335))</f>
      </c>
      <c r="AG336" s="129">
        <f t="shared" si="221"/>
      </c>
      <c r="AH336" s="129">
        <f t="shared" si="222"/>
        <v/>
      </c>
      <c r="AI336" s="129">
        <f t="shared" si="223"/>
        <v/>
      </c>
      <c r="AJ336" s="129">
        <f t="shared" si="224"/>
        <v/>
      </c>
      <c r="AK336" s="129">
        <f t="shared" si="225"/>
        <v/>
      </c>
      <c r="AL336" s="129">
        <f t="shared" si="226"/>
        <v/>
      </c>
      <c r="AM336" s="129">
        <f t="shared" si="227"/>
      </c>
      <c r="AN336" s="129">
        <f t="shared" si="228"/>
      </c>
      <c r="AO336" s="129">
        <f t="shared" si="229"/>
        <v/>
      </c>
      <c r="AP336" s="129">
        <f t="shared" si="230"/>
        <v/>
      </c>
      <c r="AQ336" s="129">
        <f t="shared" si="231"/>
        <v/>
      </c>
      <c r="AR336" s="129">
        <f t="shared" si="232"/>
        <v/>
      </c>
      <c r="AS336" s="129">
        <f t="shared" si="233"/>
        <v/>
      </c>
      <c r="AT336" s="129">
        <f t="shared" si="234"/>
        <v/>
      </c>
      <c r="AU336" s="129">
        <f t="shared" si="235"/>
        <v/>
      </c>
      <c r="AV336" s="129">
        <f t="shared" si="236"/>
        <v/>
      </c>
      <c r="AW336" s="129">
        <f>IF(AV336="","",AV336&amp;"."&amp;COUNTIFS($A$3:A336,A336,$AV$3:AV336,AV336))</f>
        <v/>
      </c>
      <c r="AX336" s="129">
        <f t="shared" si="237"/>
        <v/>
      </c>
      <c r="AY336" s="129">
        <f>IF(N336="б/к",0,IF(OR(ISNUMBER(SEARCH("L=",Разбивка_по_щитам!P336)),N336="+",N336="="),1,0))</f>
      </c>
      <c r="AZ336" s="129">
        <f t="shared" si="238"/>
      </c>
      <c r="BA336" s="129">
        <f t="shared" si="239"/>
      </c>
      <c r="BB336" s="129">
        <f t="shared" si="240"/>
      </c>
      <c r="BD336" s="129">
        <f t="shared" si="241"/>
      </c>
      <c r="BE336" s="129">
        <f t="shared" si="242"/>
      </c>
      <c r="BF336" s="129">
        <f t="shared" si="243"/>
      </c>
      <c r="BG336" s="129">
        <f t="shared" si="244"/>
        <v/>
      </c>
      <c r="BH336" s="129">
        <f t="shared" si="245"/>
        <v/>
      </c>
      <c r="BI336" s="129">
        <f t="shared" si="246"/>
        <v/>
      </c>
      <c r="BJ336" s="129">
        <f t="shared" si="247"/>
        <v/>
      </c>
      <c r="BK336" s="129">
        <f>IF(R336="","",IF(OR(BY336="",BY336=0),"BOX",IFERROR(IF(VLOOKUP(BY336,УГО_блоки,3,FALSE)&amp;""&lt;&gt;"",VLOOKUP(BY336,УГО_блоки,3,FALSE),VLOOKUP(BY336,УГО_блоки,2,FALSE)),BY336)))</f>
      </c>
      <c r="BL336" s="129">
        <f t="shared" si="249"/>
      </c>
      <c r="BM336" s="129">
        <f>IF(H336="","",IF(COUNTIF($H$3:H336,H336)=1,MAX($BM$2:BM335)+1,""))</f>
      </c>
      <c r="BN336" s="129">
        <f>IF(I336="","",IF(COUNTIF($I$3:I336,I336)+COUNTIF($J$2:J335,I336)+COUNTIF($K$2:K335,I336)=1,MAX($BN$2:BP335)+1,""))</f>
      </c>
      <c r="BO336" s="129">
        <f>IF(J336="","",IF(COUNTIF($I$3:I336,J336)+COUNTIF($J$3:J336,J336)+COUNTIF($K$2:K335,J336)=1,MAX($BN$2:BP335,BN336)+1,""))</f>
      </c>
      <c r="BP336" s="129">
        <f>IF(K336="","",IF(COUNTIF($I$3:I336,K336)+COUNTIF($J$3:J336,K336)+COUNTIF($K$3:K336,K336)=1,MAX($BN$2:BP335,BN336,BO336)+1,""))</f>
      </c>
      <c r="BQ336" s="129">
        <f>IF(AY336=1,IFERROR(MID(Q336,FIND(" (",Q336)+2,FIND(")",Q336,FIND(" (",Q336))-FIND(" (",Q336)-2),"?"),"")</f>
      </c>
      <c r="BR336" s="129">
        <f>IF(BQ336="","",IF(COUNTIF($BQ$3:BQ336,BQ336)=1,MAX($BR$2:BR335)+1,""))</f>
      </c>
      <c r="BS336" s="129">
        <f>IF(AW336="","",COUNTIF($AW$3:AW336,"?*"))</f>
      </c>
      <c r="BT336" s="129">
        <f>IF(OR(AW336="",AI336=""),"",IF(COUNTIFS($AW$3:AW336,"?*",$AI$3:AI336,AI336)=1,MAX($BT$2:BT335)+1,""))</f>
      </c>
      <c r="BU336" s="129">
        <f>IF(AE336="",0,IF(OR(ISNUMBER(SEARCH("дубль",AE336)),ISNUMBER(SEARCH("ПЕРЕГРУЗ",AE336)),ISNUMBER(SEARCH("ЗАЩИЩ",AE336)),ISNUMBER(SEARCH("КАНАЛ",AE336)),ISNUMBER(SEARCH("без 30",AE336))),2,1))</f>
      </c>
      <c r="BV336" s="129">
        <f>IF(R336="","",COUNTIF($R$3:R336,"?*"))</f>
      </c>
      <c r="BW336" s="129">
        <f>IF(AY336&lt;&gt;1,0,IF(MAX(IFERROR(--VLOOKUP(R336,УГО_спр,5,FALSE),0),IFERROR(--VLOOKUP(AL336,УГО_спр,5,FALSE),0),IFERROR(--VLOOKUP(LEFT(AL336,2),УГО_спр,5,FALSE),0))&gt;0,MAX(IFERROR(--VLOOKUP(R336,УГО_спр,5,FALSE),0),IFERROR(--VLOOKUP(AL336,УГО_спр,5,FALSE),0),IFERROR(--VLOOKUP(LEFT(AL336,2),УГО_спр,5,FALSE),0)),IF(IFERROR(--LEFT(SUBSTITUTE(BQ336,"x","х"),FIND("х",SUBSTITUTE(BQ336,"x","х"))-1),3)&gt;3,Каталог!$S$9,1)))</f>
      </c>
      <c r="BX336" s="129">
        <f>IF(AY336&lt;&gt;1,0,MAX(0,IFERROR(--LEFT(SUBSTITUTE(BQ336,"x","х"),FIND("х",SUBSTITUTE(BQ336,"x","х"))-1),3)-3*BW336))</f>
      </c>
      <c r="BY336" s="129">
        <f>IF(R336="","",IFERROR(VLOOKUP(R336,УГО_спр,2,FALSE),IFERROR(VLOOKUP(AL336,УГО_спр,2,FALSE),IFERROR(VLOOKUP(LEFT(AL336,2),УГО_спр,2,FALSE),""))))</f>
      </c>
    </row>
    <row r="337" spans="1:64" x14ac:dyDescent="0.3">
      <c r="A337" s="135">
        <f>IF(Разбивка_по_щитам!F337=0,"",Разбивка_по_щитам!F337)</f>
      </c>
      <c r="B337" s="138">
        <f>IF(A337="","",Разбивка_по_щитам!C337)</f>
      </c>
      <c r="C337" s="138">
        <f t="shared" si="214"/>
      </c>
      <c r="D337" s="266"/>
      <c r="E337" s="266"/>
      <c r="F337" s="267"/>
      <c r="G337" s="145">
        <f t="shared" si="210"/>
        <v/>
      </c>
      <c r="H337" s="145">
        <f t="shared" si="211"/>
        <v/>
      </c>
      <c r="I337" s="266"/>
      <c r="J337" s="267"/>
      <c r="K337" s="267"/>
      <c r="L337" s="266"/>
      <c r="M337" s="147">
        <f t="shared" si="212"/>
        <v/>
      </c>
      <c r="N337" s="267"/>
      <c r="O337" s="147">
        <f t="shared" si="213"/>
        <v/>
      </c>
      <c r="P337" s="268">
        <f>IF(AY337=1,"XT"&amp;COUNTIFS($A$3:A337,A337,$AY$3:AY337,1),"")</f>
        <v/>
      </c>
      <c r="Q337" s="152">
        <f>IF(R337="","",IFERROR(SUBSTITUTE(Разбивка_по_щитам!P337,CHAR(10)," "),""))</f>
        <v/>
      </c>
      <c r="R337" s="153">
        <f>IF(OR(Разбивка_по_щитам!H337="",Разбивка_по_щитам!H337=0),"",Разбивка_по_щитам!H337)</f>
        <v/>
      </c>
      <c r="S337" s="154">
        <f>IF(R337="","",IFERROR(Разбивка_по_щитам!J337&amp;"",""))</f>
        <v/>
      </c>
      <c r="T337" s="155">
        <f>IF(R337="","",IFERROR(--Разбивка_по_щитам!L337,""))</f>
        <v/>
      </c>
      <c r="U337" s="155">
        <f>IF(R337="","",IFERROR(--Разбивка_по_щитам!K337,""))</f>
        <v/>
      </c>
      <c r="V337" s="138">
        <f>IF(R337="","",IFERROR(IF(Разбивка_по_щитам!M337=0,"",Разбивка_по_щитам!M337),""))</f>
        <v/>
      </c>
      <c r="W337" s="156">
        <f t="shared" si="215"/>
        <v/>
      </c>
      <c r="X337" s="157">
        <f t="shared" si="216"/>
        <v/>
      </c>
      <c r="Y337" s="266"/>
      <c r="Z337" s="158">
        <f t="shared" si="217"/>
        <v/>
      </c>
      <c r="AA337" s="160">
        <f t="shared" si="218"/>
        <v/>
      </c>
      <c r="AB337" s="160">
        <f>IF(R337="","",IFERROR(LOOKUP(INDEX(Справочная!$I$4:$I$19,MATCH(VLOOKUP(R337,Исходные_данные,22,FALSE),Справочная!$J$4:$J$19,0)+1),{6,10,16,20,25,32,40,50,63,80,100,125}),""))</f>
        <v/>
      </c>
      <c r="AC337" s="160">
        <f t="shared" si="219"/>
        <v/>
      </c>
      <c r="AD337" s="161">
        <f t="shared" si="220"/>
        <v/>
      </c>
      <c r="AE337" s="161">
        <f>IF(AND(R337="",G337=""),"",_xlfn.TEXTJOIN("; ",TRUE,IF(AND(R337&lt;&gt;"",V337=""),"нет фазы",""),IF(AND(R337&lt;&gt;"",N(T337)=0),"нет мощности",""),IF(AND(P337&lt;&gt;"",COUNTIFS($A$3:$A$1000,A337,$P$3:$P$1000,P337)&gt;1),"дубль клеммы "&amp;P337,""),IF(AND(W337&lt;&gt;"",W337&lt;&gt;"ok"),W337,""),IF(X337&lt;&gt;"",X337,""),IF(AND(ISNUMBER(SEARCH("(5х",Q337)),N(AK337)=1),"5 жил на 1 фазе",""),IF(AND(AL337="R",E337&lt;&gt;"",N(AS337)=0),"розетка без 30 мА",""),IF(IFERROR(_xlfn.NUMBERVALUE(MID(Q337,FIND("-",Q337,FIND("L=",Q337))+1,FIND("%",Q337)-FIND("-",Q337,FIND("L=",Q337))-1),","),0)&gt;4,"потери &gt; 4 %","")))</f>
      </c>
      <c r="AF337" s="129">
        <f>IF(E337&lt;&gt;"",COUNTIFS($A$3:A337,A337,$E$3:E337,"?*"),IF(OR(A337&lt;&gt;A336,Y337="вручную"),"",AF336))</f>
      </c>
      <c r="AG337" s="129">
        <f t="shared" si="221"/>
      </c>
      <c r="AH337" s="129">
        <f t="shared" si="222"/>
        <v/>
      </c>
      <c r="AI337" s="129">
        <f t="shared" si="223"/>
        <v/>
      </c>
      <c r="AJ337" s="129">
        <f t="shared" si="224"/>
        <v/>
      </c>
      <c r="AK337" s="129">
        <f t="shared" si="225"/>
        <v/>
      </c>
      <c r="AL337" s="129">
        <f t="shared" si="226"/>
        <v/>
      </c>
      <c r="AM337" s="129">
        <f t="shared" si="227"/>
      </c>
      <c r="AN337" s="129">
        <f t="shared" si="228"/>
      </c>
      <c r="AO337" s="129">
        <f t="shared" si="229"/>
        <v/>
      </c>
      <c r="AP337" s="129">
        <f t="shared" si="230"/>
        <v/>
      </c>
      <c r="AQ337" s="129">
        <f t="shared" si="231"/>
        <v/>
      </c>
      <c r="AR337" s="129">
        <f t="shared" si="232"/>
        <v/>
      </c>
      <c r="AS337" s="129">
        <f t="shared" si="233"/>
        <v/>
      </c>
      <c r="AT337" s="129">
        <f t="shared" si="234"/>
        <v/>
      </c>
      <c r="AU337" s="129">
        <f t="shared" si="235"/>
        <v/>
      </c>
      <c r="AV337" s="129">
        <f t="shared" si="236"/>
        <v/>
      </c>
      <c r="AW337" s="129">
        <f>IF(AV337="","",AV337&amp;"."&amp;COUNTIFS($A$3:A337,A337,$AV$3:AV337,AV337))</f>
        <v/>
      </c>
      <c r="AX337" s="129">
        <f t="shared" si="237"/>
        <v/>
      </c>
      <c r="AY337" s="129">
        <f>IF(N337="б/к",0,IF(OR(ISNUMBER(SEARCH("L=",Разбивка_по_щитам!P337)),N337="+",N337="="),1,0))</f>
      </c>
      <c r="AZ337" s="129">
        <f t="shared" si="238"/>
      </c>
      <c r="BA337" s="129">
        <f t="shared" si="239"/>
      </c>
      <c r="BB337" s="129">
        <f t="shared" si="240"/>
      </c>
      <c r="BD337" s="129">
        <f t="shared" si="241"/>
      </c>
      <c r="BE337" s="129">
        <f t="shared" si="242"/>
      </c>
      <c r="BF337" s="129">
        <f t="shared" si="243"/>
      </c>
      <c r="BG337" s="129">
        <f t="shared" si="244"/>
        <v/>
      </c>
      <c r="BH337" s="129">
        <f t="shared" si="245"/>
        <v/>
      </c>
      <c r="BI337" s="129">
        <f t="shared" si="246"/>
        <v/>
      </c>
      <c r="BJ337" s="129">
        <f t="shared" si="247"/>
        <v/>
      </c>
      <c r="BK337" s="129">
        <f>IF(R337="","",IF(OR(BY337="",BY337=0),"BOX",IFERROR(IF(VLOOKUP(BY337,УГО_блоки,3,FALSE)&amp;""&lt;&gt;"",VLOOKUP(BY337,УГО_блоки,3,FALSE),VLOOKUP(BY337,УГО_блоки,2,FALSE)),BY337)))</f>
      </c>
      <c r="BL337" s="129">
        <f t="shared" si="249"/>
      </c>
      <c r="BM337" s="129">
        <f>IF(H337="","",IF(COUNTIF($H$3:H337,H337)=1,MAX($BM$2:BM336)+1,""))</f>
      </c>
      <c r="BN337" s="129">
        <f>IF(I337="","",IF(COUNTIF($I$3:I337,I337)+COUNTIF($J$2:J336,I337)+COUNTIF($K$2:K336,I337)=1,MAX($BN$2:BP336)+1,""))</f>
      </c>
      <c r="BO337" s="129">
        <f>IF(J337="","",IF(COUNTIF($I$3:I337,J337)+COUNTIF($J$3:J337,J337)+COUNTIF($K$2:K336,J337)=1,MAX($BN$2:BP336,BN337)+1,""))</f>
      </c>
      <c r="BP337" s="129">
        <f>IF(K337="","",IF(COUNTIF($I$3:I337,K337)+COUNTIF($J$3:J337,K337)+COUNTIF($K$3:K337,K337)=1,MAX($BN$2:BP336,BN337,BO337)+1,""))</f>
      </c>
      <c r="BQ337" s="129">
        <f>IF(AY337=1,IFERROR(MID(Q337,FIND(" (",Q337)+2,FIND(")",Q337,FIND(" (",Q337))-FIND(" (",Q337)-2),"?"),"")</f>
      </c>
      <c r="BR337" s="129">
        <f>IF(BQ337="","",IF(COUNTIF($BQ$3:BQ337,BQ337)=1,MAX($BR$2:BR336)+1,""))</f>
      </c>
      <c r="BS337" s="129">
        <f>IF(AW337="","",COUNTIF($AW$3:AW337,"?*"))</f>
      </c>
      <c r="BT337" s="129">
        <f>IF(OR(AW337="",AI337=""),"",IF(COUNTIFS($AW$3:AW337,"?*",$AI$3:AI337,AI337)=1,MAX($BT$2:BT336)+1,""))</f>
      </c>
      <c r="BU337" s="129">
        <f>IF(AE337="",0,IF(OR(ISNUMBER(SEARCH("дубль",AE337)),ISNUMBER(SEARCH("ПЕРЕГРУЗ",AE337)),ISNUMBER(SEARCH("ЗАЩИЩ",AE337)),ISNUMBER(SEARCH("КАНАЛ",AE337)),ISNUMBER(SEARCH("без 30",AE337))),2,1))</f>
      </c>
      <c r="BV337" s="129">
        <f>IF(R337="","",COUNTIF($R$3:R337,"?*"))</f>
      </c>
      <c r="BW337" s="129">
        <f>IF(AY337&lt;&gt;1,0,IF(MAX(IFERROR(--VLOOKUP(R337,УГО_спр,5,FALSE),0),IFERROR(--VLOOKUP(AL337,УГО_спр,5,FALSE),0),IFERROR(--VLOOKUP(LEFT(AL337,2),УГО_спр,5,FALSE),0))&gt;0,MAX(IFERROR(--VLOOKUP(R337,УГО_спр,5,FALSE),0),IFERROR(--VLOOKUP(AL337,УГО_спр,5,FALSE),0),IFERROR(--VLOOKUP(LEFT(AL337,2),УГО_спр,5,FALSE),0)),IF(IFERROR(--LEFT(SUBSTITUTE(BQ337,"x","х"),FIND("х",SUBSTITUTE(BQ337,"x","х"))-1),3)&gt;3,Каталог!$S$9,1)))</f>
      </c>
      <c r="BX337" s="129">
        <f>IF(AY337&lt;&gt;1,0,MAX(0,IFERROR(--LEFT(SUBSTITUTE(BQ337,"x","х"),FIND("х",SUBSTITUTE(BQ337,"x","х"))-1),3)-3*BW337))</f>
      </c>
      <c r="BY337" s="129">
        <f>IF(R337="","",IFERROR(VLOOKUP(R337,УГО_спр,2,FALSE),IFERROR(VLOOKUP(AL337,УГО_спр,2,FALSE),IFERROR(VLOOKUP(LEFT(AL337,2),УГО_спр,2,FALSE),""))))</f>
      </c>
    </row>
    <row r="338" spans="1:64" x14ac:dyDescent="0.3">
      <c r="A338" s="135">
        <f>IF(Разбивка_по_щитам!F338=0,"",Разбивка_по_щитам!F338)</f>
      </c>
      <c r="B338" s="138">
        <f>IF(A338="","",Разбивка_по_щитам!C338)</f>
      </c>
      <c r="C338" s="138">
        <f t="shared" si="214"/>
      </c>
      <c r="D338" s="266"/>
      <c r="E338" s="266"/>
      <c r="F338" s="267"/>
      <c r="G338" s="145">
        <f t="shared" si="210"/>
        <v/>
      </c>
      <c r="H338" s="145">
        <f t="shared" si="211"/>
        <v/>
      </c>
      <c r="I338" s="266"/>
      <c r="J338" s="267"/>
      <c r="K338" s="267"/>
      <c r="L338" s="266"/>
      <c r="M338" s="147">
        <f t="shared" si="212"/>
        <v/>
      </c>
      <c r="N338" s="267"/>
      <c r="O338" s="147">
        <f t="shared" si="213"/>
        <v/>
      </c>
      <c r="P338" s="268">
        <f>IF(AY338=1,"XT"&amp;COUNTIFS($A$3:A338,A338,$AY$3:AY338,1),"")</f>
        <v/>
      </c>
      <c r="Q338" s="152">
        <f>IF(R338="","",IFERROR(SUBSTITUTE(Разбивка_по_щитам!P338,CHAR(10)," "),""))</f>
        <v/>
      </c>
      <c r="R338" s="153">
        <f>IF(OR(Разбивка_по_щитам!H338="",Разбивка_по_щитам!H338=0),"",Разбивка_по_щитам!H338)</f>
        <v/>
      </c>
      <c r="S338" s="154">
        <f>IF(R338="","",IFERROR(Разбивка_по_щитам!J338&amp;"",""))</f>
        <v/>
      </c>
      <c r="T338" s="155">
        <f>IF(R338="","",IFERROR(--Разбивка_по_щитам!L338,""))</f>
        <v/>
      </c>
      <c r="U338" s="155">
        <f>IF(R338="","",IFERROR(--Разбивка_по_щитам!K338,""))</f>
        <v/>
      </c>
      <c r="V338" s="138">
        <f>IF(R338="","",IFERROR(IF(Разбивка_по_щитам!M338=0,"",Разбивка_по_щитам!M338),""))</f>
        <v/>
      </c>
      <c r="W338" s="156">
        <f t="shared" si="215"/>
        <v/>
      </c>
      <c r="X338" s="157">
        <f t="shared" si="216"/>
        <v/>
      </c>
      <c r="Y338" s="266"/>
      <c r="Z338" s="158">
        <f t="shared" si="217"/>
        <v/>
      </c>
      <c r="AA338" s="160">
        <f t="shared" si="218"/>
        <v/>
      </c>
      <c r="AB338" s="160">
        <f>IF(R338="","",IFERROR(LOOKUP(INDEX(Справочная!$I$4:$I$19,MATCH(VLOOKUP(R338,Исходные_данные,22,FALSE),Справочная!$J$4:$J$19,0)+1),{6,10,16,20,25,32,40,50,63,80,100,125}),""))</f>
        <v/>
      </c>
      <c r="AC338" s="160">
        <f t="shared" si="219"/>
        <v/>
      </c>
      <c r="AD338" s="161">
        <f t="shared" si="220"/>
        <v/>
      </c>
      <c r="AE338" s="161">
        <f>IF(AND(R338="",G338=""),"",_xlfn.TEXTJOIN("; ",TRUE,IF(AND(R338&lt;&gt;"",V338=""),"нет фазы",""),IF(AND(R338&lt;&gt;"",N(T338)=0),"нет мощности",""),IF(AND(P338&lt;&gt;"",COUNTIFS($A$3:$A$1000,A338,$P$3:$P$1000,P338)&gt;1),"дубль клеммы "&amp;P338,""),IF(AND(W338&lt;&gt;"",W338&lt;&gt;"ok"),W338,""),IF(X338&lt;&gt;"",X338,""),IF(AND(ISNUMBER(SEARCH("(5х",Q338)),N(AK338)=1),"5 жил на 1 фазе",""),IF(AND(AL338="R",E338&lt;&gt;"",N(AS338)=0),"розетка без 30 мА",""),IF(IFERROR(_xlfn.NUMBERVALUE(MID(Q338,FIND("-",Q338,FIND("L=",Q338))+1,FIND("%",Q338)-FIND("-",Q338,FIND("L=",Q338))-1),","),0)&gt;4,"потери &gt; 4 %","")))</f>
      </c>
      <c r="AF338" s="129">
        <f>IF(E338&lt;&gt;"",COUNTIFS($A$3:A338,A338,$E$3:E338,"?*"),IF(OR(A338&lt;&gt;A337,Y338="вручную"),"",AF337))</f>
      </c>
      <c r="AG338" s="129">
        <f t="shared" si="221"/>
      </c>
      <c r="AH338" s="129">
        <f t="shared" si="222"/>
        <v/>
      </c>
      <c r="AI338" s="129">
        <f t="shared" si="223"/>
        <v/>
      </c>
      <c r="AJ338" s="129">
        <f t="shared" si="224"/>
        <v/>
      </c>
      <c r="AK338" s="129">
        <f t="shared" si="225"/>
        <v/>
      </c>
      <c r="AL338" s="129">
        <f t="shared" si="226"/>
        <v/>
      </c>
      <c r="AM338" s="129">
        <f t="shared" si="227"/>
      </c>
      <c r="AN338" s="129">
        <f t="shared" si="228"/>
      </c>
      <c r="AO338" s="129">
        <f t="shared" si="229"/>
        <v/>
      </c>
      <c r="AP338" s="129">
        <f t="shared" si="230"/>
        <v/>
      </c>
      <c r="AQ338" s="129">
        <f t="shared" si="231"/>
        <v/>
      </c>
      <c r="AR338" s="129">
        <f t="shared" si="232"/>
        <v/>
      </c>
      <c r="AS338" s="129">
        <f t="shared" si="233"/>
        <v/>
      </c>
      <c r="AT338" s="129">
        <f t="shared" si="234"/>
        <v/>
      </c>
      <c r="AU338" s="129">
        <f t="shared" si="235"/>
        <v/>
      </c>
      <c r="AV338" s="129">
        <f t="shared" si="236"/>
        <v/>
      </c>
      <c r="AW338" s="129">
        <f>IF(AV338="","",AV338&amp;"."&amp;COUNTIFS($A$3:A338,A338,$AV$3:AV338,AV338))</f>
        <v/>
      </c>
      <c r="AX338" s="129">
        <f t="shared" si="237"/>
        <v/>
      </c>
      <c r="AY338" s="129">
        <f>IF(N338="б/к",0,IF(OR(ISNUMBER(SEARCH("L=",Разбивка_по_щитам!P338)),N338="+",N338="="),1,0))</f>
      </c>
      <c r="AZ338" s="129">
        <f t="shared" si="238"/>
      </c>
      <c r="BA338" s="129">
        <f t="shared" si="239"/>
      </c>
      <c r="BB338" s="129">
        <f t="shared" si="240"/>
      </c>
      <c r="BD338" s="129">
        <f t="shared" si="241"/>
      </c>
      <c r="BE338" s="129">
        <f t="shared" si="242"/>
      </c>
      <c r="BF338" s="129">
        <f t="shared" si="243"/>
      </c>
      <c r="BG338" s="129">
        <f t="shared" si="244"/>
        <v/>
      </c>
      <c r="BH338" s="129">
        <f t="shared" si="245"/>
        <v/>
      </c>
      <c r="BI338" s="129">
        <f t="shared" si="246"/>
        <v/>
      </c>
      <c r="BJ338" s="129">
        <f t="shared" si="247"/>
        <v/>
      </c>
      <c r="BK338" s="129">
        <f>IF(R338="","",IF(OR(BY338="",BY338=0),"BOX",IFERROR(IF(VLOOKUP(BY338,УГО_блоки,3,FALSE)&amp;""&lt;&gt;"",VLOOKUP(BY338,УГО_блоки,3,FALSE),VLOOKUP(BY338,УГО_блоки,2,FALSE)),BY338)))</f>
      </c>
      <c r="BL338" s="129">
        <f t="shared" si="249"/>
      </c>
      <c r="BM338" s="129">
        <f>IF(H338="","",IF(COUNTIF($H$3:H338,H338)=1,MAX($BM$2:BM337)+1,""))</f>
      </c>
      <c r="BN338" s="129">
        <f>IF(I338="","",IF(COUNTIF($I$3:I338,I338)+COUNTIF($J$2:J337,I338)+COUNTIF($K$2:K337,I338)=1,MAX($BN$2:BP337)+1,""))</f>
      </c>
      <c r="BO338" s="129">
        <f>IF(J338="","",IF(COUNTIF($I$3:I338,J338)+COUNTIF($J$3:J338,J338)+COUNTIF($K$2:K337,J338)=1,MAX($BN$2:BP337,BN338)+1,""))</f>
      </c>
      <c r="BP338" s="129">
        <f>IF(K338="","",IF(COUNTIF($I$3:I338,K338)+COUNTIF($J$3:J338,K338)+COUNTIF($K$3:K338,K338)=1,MAX($BN$2:BP337,BN338,BO338)+1,""))</f>
      </c>
      <c r="BQ338" s="129">
        <f>IF(AY338=1,IFERROR(MID(Q338,FIND(" (",Q338)+2,FIND(")",Q338,FIND(" (",Q338))-FIND(" (",Q338)-2),"?"),"")</f>
      </c>
      <c r="BR338" s="129">
        <f>IF(BQ338="","",IF(COUNTIF($BQ$3:BQ338,BQ338)=1,MAX($BR$2:BR337)+1,""))</f>
      </c>
      <c r="BS338" s="129">
        <f>IF(AW338="","",COUNTIF($AW$3:AW338,"?*"))</f>
      </c>
      <c r="BT338" s="129">
        <f>IF(OR(AW338="",AI338=""),"",IF(COUNTIFS($AW$3:AW338,"?*",$AI$3:AI338,AI338)=1,MAX($BT$2:BT337)+1,""))</f>
      </c>
      <c r="BU338" s="129">
        <f>IF(AE338="",0,IF(OR(ISNUMBER(SEARCH("дубль",AE338)),ISNUMBER(SEARCH("ПЕРЕГРУЗ",AE338)),ISNUMBER(SEARCH("ЗАЩИЩ",AE338)),ISNUMBER(SEARCH("КАНАЛ",AE338)),ISNUMBER(SEARCH("без 30",AE338))),2,1))</f>
      </c>
      <c r="BV338" s="129">
        <f>IF(R338="","",COUNTIF($R$3:R338,"?*"))</f>
      </c>
      <c r="BW338" s="129">
        <f>IF(AY338&lt;&gt;1,0,IF(MAX(IFERROR(--VLOOKUP(R338,УГО_спр,5,FALSE),0),IFERROR(--VLOOKUP(AL338,УГО_спр,5,FALSE),0),IFERROR(--VLOOKUP(LEFT(AL338,2),УГО_спр,5,FALSE),0))&gt;0,MAX(IFERROR(--VLOOKUP(R338,УГО_спр,5,FALSE),0),IFERROR(--VLOOKUP(AL338,УГО_спр,5,FALSE),0),IFERROR(--VLOOKUP(LEFT(AL338,2),УГО_спр,5,FALSE),0)),IF(IFERROR(--LEFT(SUBSTITUTE(BQ338,"x","х"),FIND("х",SUBSTITUTE(BQ338,"x","х"))-1),3)&gt;3,Каталог!$S$9,1)))</f>
      </c>
      <c r="BX338" s="129">
        <f>IF(AY338&lt;&gt;1,0,MAX(0,IFERROR(--LEFT(SUBSTITUTE(BQ338,"x","х"),FIND("х",SUBSTITUTE(BQ338,"x","х"))-1),3)-3*BW338))</f>
      </c>
      <c r="BY338" s="129">
        <f>IF(R338="","",IFERROR(VLOOKUP(R338,УГО_спр,2,FALSE),IFERROR(VLOOKUP(AL338,УГО_спр,2,FALSE),IFERROR(VLOOKUP(LEFT(AL338,2),УГО_спр,2,FALSE),""))))</f>
      </c>
    </row>
    <row r="339" spans="1:64" x14ac:dyDescent="0.3">
      <c r="A339" s="135">
        <f>IF(Разбивка_по_щитам!F339=0,"",Разбивка_по_щитам!F339)</f>
      </c>
      <c r="B339" s="138">
        <f>IF(A339="","",Разбивка_по_щитам!C339)</f>
      </c>
      <c r="C339" s="138">
        <f t="shared" si="214"/>
      </c>
      <c r="D339" s="266"/>
      <c r="E339" s="266"/>
      <c r="F339" s="267"/>
      <c r="G339" s="145">
        <f t="shared" si="210"/>
        <v/>
      </c>
      <c r="H339" s="145">
        <f t="shared" si="211"/>
        <v/>
      </c>
      <c r="I339" s="266"/>
      <c r="J339" s="267"/>
      <c r="K339" s="267"/>
      <c r="L339" s="266"/>
      <c r="M339" s="147">
        <f t="shared" si="212"/>
        <v/>
      </c>
      <c r="N339" s="267"/>
      <c r="O339" s="147">
        <f t="shared" si="213"/>
        <v/>
      </c>
      <c r="P339" s="268">
        <f>IF(AY339=1,"XT"&amp;COUNTIFS($A$3:A339,A339,$AY$3:AY339,1),"")</f>
        <v/>
      </c>
      <c r="Q339" s="152">
        <f>IF(R339="","",IFERROR(SUBSTITUTE(Разбивка_по_щитам!P339,CHAR(10)," "),""))</f>
        <v/>
      </c>
      <c r="R339" s="153">
        <f>IF(OR(Разбивка_по_щитам!H339="",Разбивка_по_щитам!H339=0),"",Разбивка_по_щитам!H339)</f>
        <v/>
      </c>
      <c r="S339" s="154">
        <f>IF(R339="","",IFERROR(Разбивка_по_щитам!J339&amp;"",""))</f>
        <v/>
      </c>
      <c r="T339" s="155">
        <f>IF(R339="","",IFERROR(--Разбивка_по_щитам!L339,""))</f>
        <v/>
      </c>
      <c r="U339" s="155">
        <f>IF(R339="","",IFERROR(--Разбивка_по_щитам!K339,""))</f>
        <v/>
      </c>
      <c r="V339" s="138">
        <f>IF(R339="","",IFERROR(IF(Разбивка_по_щитам!M339=0,"",Разбивка_по_щитам!M339),""))</f>
        <v/>
      </c>
      <c r="W339" s="156">
        <f t="shared" si="215"/>
        <v/>
      </c>
      <c r="X339" s="157">
        <f t="shared" si="216"/>
        <v/>
      </c>
      <c r="Y339" s="266"/>
      <c r="Z339" s="158">
        <f t="shared" si="217"/>
        <v/>
      </c>
      <c r="AA339" s="160">
        <f t="shared" si="218"/>
        <v/>
      </c>
      <c r="AB339" s="160">
        <f>IF(R339="","",IFERROR(LOOKUP(INDEX(Справочная!$I$4:$I$19,MATCH(VLOOKUP(R339,Исходные_данные,22,FALSE),Справочная!$J$4:$J$19,0)+1),{6,10,16,20,25,32,40,50,63,80,100,125}),""))</f>
        <v/>
      </c>
      <c r="AC339" s="160">
        <f t="shared" si="219"/>
        <v/>
      </c>
      <c r="AD339" s="161">
        <f t="shared" si="220"/>
        <v/>
      </c>
      <c r="AE339" s="161">
        <f>IF(AND(R339="",G339=""),"",_xlfn.TEXTJOIN("; ",TRUE,IF(AND(R339&lt;&gt;"",V339=""),"нет фазы",""),IF(AND(R339&lt;&gt;"",N(T339)=0),"нет мощности",""),IF(AND(P339&lt;&gt;"",COUNTIFS($A$3:$A$1000,A339,$P$3:$P$1000,P339)&gt;1),"дубль клеммы "&amp;P339,""),IF(AND(W339&lt;&gt;"",W339&lt;&gt;"ok"),W339,""),IF(X339&lt;&gt;"",X339,""),IF(AND(ISNUMBER(SEARCH("(5х",Q339)),N(AK339)=1),"5 жил на 1 фазе",""),IF(AND(AL339="R",E339&lt;&gt;"",N(AS339)=0),"розетка без 30 мА",""),IF(IFERROR(_xlfn.NUMBERVALUE(MID(Q339,FIND("-",Q339,FIND("L=",Q339))+1,FIND("%",Q339)-FIND("-",Q339,FIND("L=",Q339))-1),","),0)&gt;4,"потери &gt; 4 %","")))</f>
      </c>
      <c r="AF339" s="129">
        <f>IF(E339&lt;&gt;"",COUNTIFS($A$3:A339,A339,$E$3:E339,"?*"),IF(OR(A339&lt;&gt;A338,Y339="вручную"),"",AF338))</f>
      </c>
      <c r="AG339" s="129">
        <f t="shared" si="221"/>
      </c>
      <c r="AH339" s="129">
        <f t="shared" si="222"/>
        <v/>
      </c>
      <c r="AI339" s="129">
        <f t="shared" si="223"/>
        <v/>
      </c>
      <c r="AJ339" s="129">
        <f t="shared" si="224"/>
        <v/>
      </c>
      <c r="AK339" s="129">
        <f t="shared" si="225"/>
        <v/>
      </c>
      <c r="AL339" s="129">
        <f t="shared" si="226"/>
        <v/>
      </c>
      <c r="AM339" s="129">
        <f t="shared" si="227"/>
      </c>
      <c r="AN339" s="129">
        <f t="shared" si="228"/>
      </c>
      <c r="AO339" s="129">
        <f t="shared" si="229"/>
        <v/>
      </c>
      <c r="AP339" s="129">
        <f t="shared" si="230"/>
        <v/>
      </c>
      <c r="AQ339" s="129">
        <f t="shared" si="231"/>
        <v/>
      </c>
      <c r="AR339" s="129">
        <f t="shared" si="232"/>
        <v/>
      </c>
      <c r="AS339" s="129">
        <f t="shared" si="233"/>
        <v/>
      </c>
      <c r="AT339" s="129">
        <f t="shared" si="234"/>
        <v/>
      </c>
      <c r="AU339" s="129">
        <f t="shared" si="235"/>
        <v/>
      </c>
      <c r="AV339" s="129">
        <f t="shared" si="236"/>
        <v/>
      </c>
      <c r="AW339" s="129">
        <f>IF(AV339="","",AV339&amp;"."&amp;COUNTIFS($A$3:A339,A339,$AV$3:AV339,AV339))</f>
        <v/>
      </c>
      <c r="AX339" s="129">
        <f t="shared" si="237"/>
        <v/>
      </c>
      <c r="AY339" s="129">
        <f>IF(N339="б/к",0,IF(OR(ISNUMBER(SEARCH("L=",Разбивка_по_щитам!P339)),N339="+",N339="="),1,0))</f>
      </c>
      <c r="AZ339" s="129">
        <f t="shared" si="238"/>
      </c>
      <c r="BA339" s="129">
        <f t="shared" si="239"/>
      </c>
      <c r="BB339" s="129">
        <f t="shared" si="240"/>
      </c>
      <c r="BD339" s="129">
        <f t="shared" si="241"/>
      </c>
      <c r="BE339" s="129">
        <f t="shared" si="242"/>
      </c>
      <c r="BF339" s="129">
        <f t="shared" si="243"/>
      </c>
      <c r="BG339" s="129">
        <f t="shared" si="244"/>
        <v/>
      </c>
      <c r="BH339" s="129">
        <f t="shared" si="245"/>
        <v/>
      </c>
      <c r="BI339" s="129">
        <f t="shared" si="246"/>
        <v/>
      </c>
      <c r="BJ339" s="129">
        <f t="shared" si="247"/>
        <v/>
      </c>
      <c r="BK339" s="129">
        <f>IF(R339="","",IF(OR(BY339="",BY339=0),"BOX",IFERROR(IF(VLOOKUP(BY339,УГО_блоки,3,FALSE)&amp;""&lt;&gt;"",VLOOKUP(BY339,УГО_блоки,3,FALSE),VLOOKUP(BY339,УГО_блоки,2,FALSE)),BY339)))</f>
      </c>
      <c r="BL339" s="129">
        <f t="shared" si="249"/>
      </c>
      <c r="BM339" s="129">
        <f>IF(H339="","",IF(COUNTIF($H$3:H339,H339)=1,MAX($BM$2:BM338)+1,""))</f>
      </c>
      <c r="BN339" s="129">
        <f>IF(I339="","",IF(COUNTIF($I$3:I339,I339)+COUNTIF($J$2:J338,I339)+COUNTIF($K$2:K338,I339)=1,MAX($BN$2:BP338)+1,""))</f>
      </c>
      <c r="BO339" s="129">
        <f>IF(J339="","",IF(COUNTIF($I$3:I339,J339)+COUNTIF($J$3:J339,J339)+COUNTIF($K$2:K338,J339)=1,MAX($BN$2:BP338,BN339)+1,""))</f>
      </c>
      <c r="BP339" s="129">
        <f>IF(K339="","",IF(COUNTIF($I$3:I339,K339)+COUNTIF($J$3:J339,K339)+COUNTIF($K$3:K339,K339)=1,MAX($BN$2:BP338,BN339,BO339)+1,""))</f>
      </c>
      <c r="BQ339" s="129">
        <f>IF(AY339=1,IFERROR(MID(Q339,FIND(" (",Q339)+2,FIND(")",Q339,FIND(" (",Q339))-FIND(" (",Q339)-2),"?"),"")</f>
      </c>
      <c r="BR339" s="129">
        <f>IF(BQ339="","",IF(COUNTIF($BQ$3:BQ339,BQ339)=1,MAX($BR$2:BR338)+1,""))</f>
      </c>
      <c r="BS339" s="129">
        <f>IF(AW339="","",COUNTIF($AW$3:AW339,"?*"))</f>
      </c>
      <c r="BT339" s="129">
        <f>IF(OR(AW339="",AI339=""),"",IF(COUNTIFS($AW$3:AW339,"?*",$AI$3:AI339,AI339)=1,MAX($BT$2:BT338)+1,""))</f>
      </c>
      <c r="BU339" s="129">
        <f>IF(AE339="",0,IF(OR(ISNUMBER(SEARCH("дубль",AE339)),ISNUMBER(SEARCH("ПЕРЕГРУЗ",AE339)),ISNUMBER(SEARCH("ЗАЩИЩ",AE339)),ISNUMBER(SEARCH("КАНАЛ",AE339)),ISNUMBER(SEARCH("без 30",AE339))),2,1))</f>
      </c>
      <c r="BV339" s="129">
        <f>IF(R339="","",COUNTIF($R$3:R339,"?*"))</f>
      </c>
      <c r="BW339" s="129">
        <f>IF(AY339&lt;&gt;1,0,IF(MAX(IFERROR(--VLOOKUP(R339,УГО_спр,5,FALSE),0),IFERROR(--VLOOKUP(AL339,УГО_спр,5,FALSE),0),IFERROR(--VLOOKUP(LEFT(AL339,2),УГО_спр,5,FALSE),0))&gt;0,MAX(IFERROR(--VLOOKUP(R339,УГО_спр,5,FALSE),0),IFERROR(--VLOOKUP(AL339,УГО_спр,5,FALSE),0),IFERROR(--VLOOKUP(LEFT(AL339,2),УГО_спр,5,FALSE),0)),IF(IFERROR(--LEFT(SUBSTITUTE(BQ339,"x","х"),FIND("х",SUBSTITUTE(BQ339,"x","х"))-1),3)&gt;3,Каталог!$S$9,1)))</f>
      </c>
      <c r="BX339" s="129">
        <f>IF(AY339&lt;&gt;1,0,MAX(0,IFERROR(--LEFT(SUBSTITUTE(BQ339,"x","х"),FIND("х",SUBSTITUTE(BQ339,"x","х"))-1),3)-3*BW339))</f>
      </c>
      <c r="BY339" s="129">
        <f>IF(R339="","",IFERROR(VLOOKUP(R339,УГО_спр,2,FALSE),IFERROR(VLOOKUP(AL339,УГО_спр,2,FALSE),IFERROR(VLOOKUP(LEFT(AL339,2),УГО_спр,2,FALSE),""))))</f>
      </c>
    </row>
    <row r="340" spans="1:64" x14ac:dyDescent="0.3">
      <c r="A340" s="135">
        <f>IF(Разбивка_по_щитам!F340=0,"",Разбивка_по_щитам!F340)</f>
      </c>
      <c r="B340" s="138">
        <f>IF(A340="","",Разбивка_по_щитам!C340)</f>
      </c>
      <c r="C340" s="138">
        <f t="shared" si="214"/>
      </c>
      <c r="D340" s="266"/>
      <c r="E340" s="266"/>
      <c r="F340" s="267"/>
      <c r="G340" s="145">
        <f t="shared" si="210"/>
        <v/>
      </c>
      <c r="H340" s="145">
        <f t="shared" si="211"/>
        <v/>
      </c>
      <c r="I340" s="266"/>
      <c r="J340" s="267"/>
      <c r="K340" s="267"/>
      <c r="L340" s="266"/>
      <c r="M340" s="147">
        <f t="shared" si="212"/>
        <v/>
      </c>
      <c r="N340" s="267"/>
      <c r="O340" s="147">
        <f t="shared" si="213"/>
        <v/>
      </c>
      <c r="P340" s="268">
        <f>IF(AY340=1,"XT"&amp;COUNTIFS($A$3:A340,A340,$AY$3:AY340,1),"")</f>
        <v/>
      </c>
      <c r="Q340" s="152">
        <f>IF(R340="","",IFERROR(SUBSTITUTE(Разбивка_по_щитам!P340,CHAR(10)," "),""))</f>
        <v/>
      </c>
      <c r="R340" s="153">
        <f>IF(OR(Разбивка_по_щитам!H340="",Разбивка_по_щитам!H340=0),"",Разбивка_по_щитам!H340)</f>
        <v/>
      </c>
      <c r="S340" s="154">
        <f>IF(R340="","",IFERROR(Разбивка_по_щитам!J340&amp;"",""))</f>
        <v/>
      </c>
      <c r="T340" s="155">
        <f>IF(R340="","",IFERROR(--Разбивка_по_щитам!L340,""))</f>
        <v/>
      </c>
      <c r="U340" s="155">
        <f>IF(R340="","",IFERROR(--Разбивка_по_щитам!K340,""))</f>
        <v/>
      </c>
      <c r="V340" s="138">
        <f>IF(R340="","",IFERROR(IF(Разбивка_по_щитам!M340=0,"",Разбивка_по_щитам!M340),""))</f>
        <v/>
      </c>
      <c r="W340" s="156">
        <f t="shared" si="215"/>
        <v/>
      </c>
      <c r="X340" s="157">
        <f t="shared" si="216"/>
        <v/>
      </c>
      <c r="Y340" s="266"/>
      <c r="Z340" s="158">
        <f t="shared" si="217"/>
        <v/>
      </c>
      <c r="AA340" s="160">
        <f t="shared" si="218"/>
        <v/>
      </c>
      <c r="AB340" s="160">
        <f>IF(R340="","",IFERROR(LOOKUP(INDEX(Справочная!$I$4:$I$19,MATCH(VLOOKUP(R340,Исходные_данные,22,FALSE),Справочная!$J$4:$J$19,0)+1),{6,10,16,20,25,32,40,50,63,80,100,125}),""))</f>
        <v/>
      </c>
      <c r="AC340" s="160">
        <f t="shared" si="219"/>
        <v/>
      </c>
      <c r="AD340" s="161">
        <f t="shared" si="220"/>
        <v/>
      </c>
      <c r="AE340" s="161">
        <f>IF(AND(R340="",G340=""),"",_xlfn.TEXTJOIN("; ",TRUE,IF(AND(R340&lt;&gt;"",V340=""),"нет фазы",""),IF(AND(R340&lt;&gt;"",N(T340)=0),"нет мощности",""),IF(AND(P340&lt;&gt;"",COUNTIFS($A$3:$A$1000,A340,$P$3:$P$1000,P340)&gt;1),"дубль клеммы "&amp;P340,""),IF(AND(W340&lt;&gt;"",W340&lt;&gt;"ok"),W340,""),IF(X340&lt;&gt;"",X340,""),IF(AND(ISNUMBER(SEARCH("(5х",Q340)),N(AK340)=1),"5 жил на 1 фазе",""),IF(AND(AL340="R",E340&lt;&gt;"",N(AS340)=0),"розетка без 30 мА",""),IF(IFERROR(_xlfn.NUMBERVALUE(MID(Q340,FIND("-",Q340,FIND("L=",Q340))+1,FIND("%",Q340)-FIND("-",Q340,FIND("L=",Q340))-1),","),0)&gt;4,"потери &gt; 4 %","")))</f>
      </c>
      <c r="AF340" s="129">
        <f>IF(E340&lt;&gt;"",COUNTIFS($A$3:A340,A340,$E$3:E340,"?*"),IF(OR(A340&lt;&gt;A339,Y340="вручную"),"",AF339))</f>
      </c>
      <c r="AG340" s="129">
        <f t="shared" si="221"/>
      </c>
      <c r="AH340" s="129">
        <f t="shared" si="222"/>
        <v/>
      </c>
      <c r="AI340" s="129">
        <f t="shared" si="223"/>
        <v/>
      </c>
      <c r="AJ340" s="129">
        <f t="shared" si="224"/>
        <v/>
      </c>
      <c r="AK340" s="129">
        <f t="shared" si="225"/>
        <v/>
      </c>
      <c r="AL340" s="129">
        <f t="shared" si="226"/>
        <v/>
      </c>
      <c r="AM340" s="129">
        <f t="shared" si="227"/>
      </c>
      <c r="AN340" s="129">
        <f t="shared" si="228"/>
      </c>
      <c r="AO340" s="129">
        <f t="shared" si="229"/>
        <v/>
      </c>
      <c r="AP340" s="129">
        <f t="shared" si="230"/>
        <v/>
      </c>
      <c r="AQ340" s="129">
        <f t="shared" si="231"/>
        <v/>
      </c>
      <c r="AR340" s="129">
        <f t="shared" si="232"/>
        <v/>
      </c>
      <c r="AS340" s="129">
        <f t="shared" si="233"/>
        <v/>
      </c>
      <c r="AT340" s="129">
        <f t="shared" si="234"/>
        <v/>
      </c>
      <c r="AU340" s="129">
        <f t="shared" si="235"/>
        <v/>
      </c>
      <c r="AV340" s="129">
        <f t="shared" si="236"/>
        <v/>
      </c>
      <c r="AW340" s="129">
        <f>IF(AV340="","",AV340&amp;"."&amp;COUNTIFS($A$3:A340,A340,$AV$3:AV340,AV340))</f>
        <v/>
      </c>
      <c r="AX340" s="129">
        <f t="shared" si="237"/>
        <v/>
      </c>
      <c r="AY340" s="129">
        <f>IF(N340="б/к",0,IF(OR(ISNUMBER(SEARCH("L=",Разбивка_по_щитам!P340)),N340="+",N340="="),1,0))</f>
      </c>
      <c r="AZ340" s="129">
        <f t="shared" si="238"/>
      </c>
      <c r="BA340" s="129">
        <f t="shared" si="239"/>
      </c>
      <c r="BB340" s="129">
        <f t="shared" si="240"/>
      </c>
      <c r="BD340" s="129">
        <f t="shared" si="241"/>
      </c>
      <c r="BE340" s="129">
        <f t="shared" si="242"/>
      </c>
      <c r="BF340" s="129">
        <f t="shared" si="243"/>
      </c>
      <c r="BG340" s="129">
        <f t="shared" si="244"/>
        <v/>
      </c>
      <c r="BH340" s="129">
        <f t="shared" si="245"/>
        <v/>
      </c>
      <c r="BI340" s="129">
        <f t="shared" si="246"/>
        <v/>
      </c>
      <c r="BJ340" s="129">
        <f t="shared" si="247"/>
        <v/>
      </c>
      <c r="BK340" s="129">
        <f>IF(R340="","",IF(OR(BY340="",BY340=0),"BOX",IFERROR(IF(VLOOKUP(BY340,УГО_блоки,3,FALSE)&amp;""&lt;&gt;"",VLOOKUP(BY340,УГО_блоки,3,FALSE),VLOOKUP(BY340,УГО_блоки,2,FALSE)),BY340)))</f>
      </c>
      <c r="BL340" s="129">
        <f t="shared" si="249"/>
      </c>
      <c r="BM340" s="129">
        <f>IF(H340="","",IF(COUNTIF($H$3:H340,H340)=1,MAX($BM$2:BM339)+1,""))</f>
      </c>
      <c r="BN340" s="129">
        <f>IF(I340="","",IF(COUNTIF($I$3:I340,I340)+COUNTIF($J$2:J339,I340)+COUNTIF($K$2:K339,I340)=1,MAX($BN$2:BP339)+1,""))</f>
      </c>
      <c r="BO340" s="129">
        <f>IF(J340="","",IF(COUNTIF($I$3:I340,J340)+COUNTIF($J$3:J340,J340)+COUNTIF($K$2:K339,J340)=1,MAX($BN$2:BP339,BN340)+1,""))</f>
      </c>
      <c r="BP340" s="129">
        <f>IF(K340="","",IF(COUNTIF($I$3:I340,K340)+COUNTIF($J$3:J340,K340)+COUNTIF($K$3:K340,K340)=1,MAX($BN$2:BP339,BN340,BO340)+1,""))</f>
      </c>
      <c r="BQ340" s="129">
        <f>IF(AY340=1,IFERROR(MID(Q340,FIND(" (",Q340)+2,FIND(")",Q340,FIND(" (",Q340))-FIND(" (",Q340)-2),"?"),"")</f>
      </c>
      <c r="BR340" s="129">
        <f>IF(BQ340="","",IF(COUNTIF($BQ$3:BQ340,BQ340)=1,MAX($BR$2:BR339)+1,""))</f>
      </c>
      <c r="BS340" s="129">
        <f>IF(AW340="","",COUNTIF($AW$3:AW340,"?*"))</f>
      </c>
      <c r="BT340" s="129">
        <f>IF(OR(AW340="",AI340=""),"",IF(COUNTIFS($AW$3:AW340,"?*",$AI$3:AI340,AI340)=1,MAX($BT$2:BT339)+1,""))</f>
      </c>
      <c r="BU340" s="129">
        <f>IF(AE340="",0,IF(OR(ISNUMBER(SEARCH("дубль",AE340)),ISNUMBER(SEARCH("ПЕРЕГРУЗ",AE340)),ISNUMBER(SEARCH("ЗАЩИЩ",AE340)),ISNUMBER(SEARCH("КАНАЛ",AE340)),ISNUMBER(SEARCH("без 30",AE340))),2,1))</f>
      </c>
      <c r="BV340" s="129">
        <f>IF(R340="","",COUNTIF($R$3:R340,"?*"))</f>
      </c>
      <c r="BW340" s="129">
        <f>IF(AY340&lt;&gt;1,0,IF(MAX(IFERROR(--VLOOKUP(R340,УГО_спр,5,FALSE),0),IFERROR(--VLOOKUP(AL340,УГО_спр,5,FALSE),0),IFERROR(--VLOOKUP(LEFT(AL340,2),УГО_спр,5,FALSE),0))&gt;0,MAX(IFERROR(--VLOOKUP(R340,УГО_спр,5,FALSE),0),IFERROR(--VLOOKUP(AL340,УГО_спр,5,FALSE),0),IFERROR(--VLOOKUP(LEFT(AL340,2),УГО_спр,5,FALSE),0)),IF(IFERROR(--LEFT(SUBSTITUTE(BQ340,"x","х"),FIND("х",SUBSTITUTE(BQ340,"x","х"))-1),3)&gt;3,Каталог!$S$9,1)))</f>
      </c>
      <c r="BX340" s="129">
        <f>IF(AY340&lt;&gt;1,0,MAX(0,IFERROR(--LEFT(SUBSTITUTE(BQ340,"x","х"),FIND("х",SUBSTITUTE(BQ340,"x","х"))-1),3)-3*BW340))</f>
      </c>
      <c r="BY340" s="129">
        <f>IF(R340="","",IFERROR(VLOOKUP(R340,УГО_спр,2,FALSE),IFERROR(VLOOKUP(AL340,УГО_спр,2,FALSE),IFERROR(VLOOKUP(LEFT(AL340,2),УГО_спр,2,FALSE),""))))</f>
      </c>
    </row>
    <row r="341" spans="1:64" x14ac:dyDescent="0.3">
      <c r="A341" s="135">
        <f>IF(Разбивка_по_щитам!F341=0,"",Разбивка_по_щитам!F341)</f>
      </c>
      <c r="B341" s="138">
        <f>IF(A341="","",Разбивка_по_щитам!C341)</f>
      </c>
      <c r="C341" s="138">
        <f t="shared" si="214"/>
      </c>
      <c r="D341" s="266"/>
      <c r="E341" s="266"/>
      <c r="F341" s="267"/>
      <c r="G341" s="145">
        <f t="shared" si="210"/>
        <v/>
      </c>
      <c r="H341" s="145">
        <f t="shared" si="211"/>
        <v/>
      </c>
      <c r="I341" s="266"/>
      <c r="J341" s="267"/>
      <c r="K341" s="267"/>
      <c r="L341" s="266"/>
      <c r="M341" s="147">
        <f t="shared" si="212"/>
        <v/>
      </c>
      <c r="N341" s="267"/>
      <c r="O341" s="147">
        <f t="shared" si="213"/>
        <v/>
      </c>
      <c r="P341" s="268">
        <f>IF(AY341=1,"XT"&amp;COUNTIFS($A$3:A341,A341,$AY$3:AY341,1),"")</f>
        <v/>
      </c>
      <c r="Q341" s="152">
        <f>IF(R341="","",IFERROR(SUBSTITUTE(Разбивка_по_щитам!P341,CHAR(10)," "),""))</f>
        <v/>
      </c>
      <c r="R341" s="153">
        <f>IF(OR(Разбивка_по_щитам!H341="",Разбивка_по_щитам!H341=0),"",Разбивка_по_щитам!H341)</f>
        <v/>
      </c>
      <c r="S341" s="154">
        <f>IF(R341="","",IFERROR(Разбивка_по_щитам!J341&amp;"",""))</f>
        <v/>
      </c>
      <c r="T341" s="155">
        <f>IF(R341="","",IFERROR(--Разбивка_по_щитам!L341,""))</f>
        <v/>
      </c>
      <c r="U341" s="155">
        <f>IF(R341="","",IFERROR(--Разбивка_по_щитам!K341,""))</f>
        <v/>
      </c>
      <c r="V341" s="138">
        <f>IF(R341="","",IFERROR(IF(Разбивка_по_щитам!M341=0,"",Разбивка_по_щитам!M341),""))</f>
        <v/>
      </c>
      <c r="W341" s="156">
        <f t="shared" si="215"/>
        <v/>
      </c>
      <c r="X341" s="157">
        <f t="shared" si="216"/>
        <v/>
      </c>
      <c r="Y341" s="266"/>
      <c r="Z341" s="158">
        <f t="shared" si="217"/>
        <v/>
      </c>
      <c r="AA341" s="160">
        <f t="shared" si="218"/>
        <v/>
      </c>
      <c r="AB341" s="160">
        <f>IF(R341="","",IFERROR(LOOKUP(INDEX(Справочная!$I$4:$I$19,MATCH(VLOOKUP(R341,Исходные_данные,22,FALSE),Справочная!$J$4:$J$19,0)+1),{6,10,16,20,25,32,40,50,63,80,100,125}),""))</f>
        <v/>
      </c>
      <c r="AC341" s="160">
        <f t="shared" si="219"/>
        <v/>
      </c>
      <c r="AD341" s="161">
        <f t="shared" si="220"/>
        <v/>
      </c>
      <c r="AE341" s="161">
        <f>IF(AND(R341="",G341=""),"",_xlfn.TEXTJOIN("; ",TRUE,IF(AND(R341&lt;&gt;"",V341=""),"нет фазы",""),IF(AND(R341&lt;&gt;"",N(T341)=0),"нет мощности",""),IF(AND(P341&lt;&gt;"",COUNTIFS($A$3:$A$1000,A341,$P$3:$P$1000,P341)&gt;1),"дубль клеммы "&amp;P341,""),IF(AND(W341&lt;&gt;"",W341&lt;&gt;"ok"),W341,""),IF(X341&lt;&gt;"",X341,""),IF(AND(ISNUMBER(SEARCH("(5х",Q341)),N(AK341)=1),"5 жил на 1 фазе",""),IF(AND(AL341="R",E341&lt;&gt;"",N(AS341)=0),"розетка без 30 мА",""),IF(IFERROR(_xlfn.NUMBERVALUE(MID(Q341,FIND("-",Q341,FIND("L=",Q341))+1,FIND("%",Q341)-FIND("-",Q341,FIND("L=",Q341))-1),","),0)&gt;4,"потери &gt; 4 %","")))</f>
      </c>
      <c r="AF341" s="129">
        <f>IF(E341&lt;&gt;"",COUNTIFS($A$3:A341,A341,$E$3:E341,"?*"),IF(OR(A341&lt;&gt;A340,Y341="вручную"),"",AF340))</f>
      </c>
      <c r="AG341" s="129">
        <f t="shared" si="221"/>
      </c>
      <c r="AH341" s="129">
        <f t="shared" si="222"/>
        <v/>
      </c>
      <c r="AI341" s="129">
        <f t="shared" si="223"/>
        <v/>
      </c>
      <c r="AJ341" s="129">
        <f t="shared" si="224"/>
        <v/>
      </c>
      <c r="AK341" s="129">
        <f t="shared" si="225"/>
        <v/>
      </c>
      <c r="AL341" s="129">
        <f t="shared" si="226"/>
        <v/>
      </c>
      <c r="AM341" s="129">
        <f t="shared" si="227"/>
      </c>
      <c r="AN341" s="129">
        <f t="shared" si="228"/>
      </c>
      <c r="AO341" s="129">
        <f t="shared" si="229"/>
        <v/>
      </c>
      <c r="AP341" s="129">
        <f t="shared" si="230"/>
        <v/>
      </c>
      <c r="AQ341" s="129">
        <f t="shared" si="231"/>
        <v/>
      </c>
      <c r="AR341" s="129">
        <f t="shared" si="232"/>
        <v/>
      </c>
      <c r="AS341" s="129">
        <f t="shared" si="233"/>
        <v/>
      </c>
      <c r="AT341" s="129">
        <f t="shared" si="234"/>
        <v/>
      </c>
      <c r="AU341" s="129">
        <f t="shared" si="235"/>
        <v/>
      </c>
      <c r="AV341" s="129">
        <f t="shared" si="236"/>
        <v/>
      </c>
      <c r="AW341" s="129">
        <f>IF(AV341="","",AV341&amp;"."&amp;COUNTIFS($A$3:A341,A341,$AV$3:AV341,AV341))</f>
        <v/>
      </c>
      <c r="AX341" s="129">
        <f t="shared" si="237"/>
        <v/>
      </c>
      <c r="AY341" s="129">
        <f>IF(N341="б/к",0,IF(OR(ISNUMBER(SEARCH("L=",Разбивка_по_щитам!P341)),N341="+",N341="="),1,0))</f>
      </c>
      <c r="AZ341" s="129">
        <f t="shared" si="238"/>
      </c>
      <c r="BA341" s="129">
        <f t="shared" si="239"/>
      </c>
      <c r="BB341" s="129">
        <f t="shared" si="240"/>
      </c>
      <c r="BD341" s="129">
        <f t="shared" si="241"/>
      </c>
      <c r="BE341" s="129">
        <f t="shared" si="242"/>
      </c>
      <c r="BF341" s="129">
        <f t="shared" si="243"/>
      </c>
      <c r="BG341" s="129">
        <f t="shared" si="244"/>
        <v/>
      </c>
      <c r="BH341" s="129">
        <f t="shared" si="245"/>
        <v/>
      </c>
      <c r="BI341" s="129">
        <f t="shared" si="246"/>
        <v/>
      </c>
      <c r="BJ341" s="129">
        <f t="shared" si="247"/>
        <v/>
      </c>
      <c r="BK341" s="129">
        <f>IF(R341="","",IF(OR(BY341="",BY341=0),"BOX",IFERROR(IF(VLOOKUP(BY341,УГО_блоки,3,FALSE)&amp;""&lt;&gt;"",VLOOKUP(BY341,УГО_блоки,3,FALSE),VLOOKUP(BY341,УГО_блоки,2,FALSE)),BY341)))</f>
      </c>
      <c r="BL341" s="129">
        <f t="shared" si="249"/>
      </c>
      <c r="BM341" s="129">
        <f>IF(H341="","",IF(COUNTIF($H$3:H341,H341)=1,MAX($BM$2:BM340)+1,""))</f>
      </c>
      <c r="BN341" s="129">
        <f>IF(I341="","",IF(COUNTIF($I$3:I341,I341)+COUNTIF($J$2:J340,I341)+COUNTIF($K$2:K340,I341)=1,MAX($BN$2:BP340)+1,""))</f>
      </c>
      <c r="BO341" s="129">
        <f>IF(J341="","",IF(COUNTIF($I$3:I341,J341)+COUNTIF($J$3:J341,J341)+COUNTIF($K$2:K340,J341)=1,MAX($BN$2:BP340,BN341)+1,""))</f>
      </c>
      <c r="BP341" s="129">
        <f>IF(K341="","",IF(COUNTIF($I$3:I341,K341)+COUNTIF($J$3:J341,K341)+COUNTIF($K$3:K341,K341)=1,MAX($BN$2:BP340,BN341,BO341)+1,""))</f>
      </c>
      <c r="BQ341" s="129">
        <f>IF(AY341=1,IFERROR(MID(Q341,FIND(" (",Q341)+2,FIND(")",Q341,FIND(" (",Q341))-FIND(" (",Q341)-2),"?"),"")</f>
      </c>
      <c r="BR341" s="129">
        <f>IF(BQ341="","",IF(COUNTIF($BQ$3:BQ341,BQ341)=1,MAX($BR$2:BR340)+1,""))</f>
      </c>
      <c r="BS341" s="129">
        <f>IF(AW341="","",COUNTIF($AW$3:AW341,"?*"))</f>
      </c>
      <c r="BT341" s="129">
        <f>IF(OR(AW341="",AI341=""),"",IF(COUNTIFS($AW$3:AW341,"?*",$AI$3:AI341,AI341)=1,MAX($BT$2:BT340)+1,""))</f>
      </c>
      <c r="BU341" s="129">
        <f>IF(AE341="",0,IF(OR(ISNUMBER(SEARCH("дубль",AE341)),ISNUMBER(SEARCH("ПЕРЕГРУЗ",AE341)),ISNUMBER(SEARCH("ЗАЩИЩ",AE341)),ISNUMBER(SEARCH("КАНАЛ",AE341)),ISNUMBER(SEARCH("без 30",AE341))),2,1))</f>
      </c>
      <c r="BV341" s="129">
        <f>IF(R341="","",COUNTIF($R$3:R341,"?*"))</f>
      </c>
      <c r="BW341" s="129">
        <f>IF(AY341&lt;&gt;1,0,IF(MAX(IFERROR(--VLOOKUP(R341,УГО_спр,5,FALSE),0),IFERROR(--VLOOKUP(AL341,УГО_спр,5,FALSE),0),IFERROR(--VLOOKUP(LEFT(AL341,2),УГО_спр,5,FALSE),0))&gt;0,MAX(IFERROR(--VLOOKUP(R341,УГО_спр,5,FALSE),0),IFERROR(--VLOOKUP(AL341,УГО_спр,5,FALSE),0),IFERROR(--VLOOKUP(LEFT(AL341,2),УГО_спр,5,FALSE),0)),IF(IFERROR(--LEFT(SUBSTITUTE(BQ341,"x","х"),FIND("х",SUBSTITUTE(BQ341,"x","х"))-1),3)&gt;3,Каталог!$S$9,1)))</f>
      </c>
      <c r="BX341" s="129">
        <f>IF(AY341&lt;&gt;1,0,MAX(0,IFERROR(--LEFT(SUBSTITUTE(BQ341,"x","х"),FIND("х",SUBSTITUTE(BQ341,"x","х"))-1),3)-3*BW341))</f>
      </c>
      <c r="BY341" s="129">
        <f>IF(R341="","",IFERROR(VLOOKUP(R341,УГО_спр,2,FALSE),IFERROR(VLOOKUP(AL341,УГО_спр,2,FALSE),IFERROR(VLOOKUP(LEFT(AL341,2),УГО_спр,2,FALSE),""))))</f>
      </c>
    </row>
    <row r="342" spans="1:64" x14ac:dyDescent="0.3">
      <c r="A342" s="135">
        <f>IF(Разбивка_по_щитам!F342=0,"",Разбивка_по_щитам!F342)</f>
      </c>
      <c r="B342" s="138">
        <f>IF(A342="","",Разбивка_по_щитам!C342)</f>
      </c>
      <c r="C342" s="138">
        <f t="shared" si="214"/>
      </c>
      <c r="D342" s="266"/>
      <c r="E342" s="266"/>
      <c r="F342" s="267"/>
      <c r="G342" s="145">
        <f t="shared" ref="G342:G373" si="250">IF(OR(R342&lt;&gt;"",O342&lt;&gt;"",AY342=1),AG342,"")</f>
        <v/>
      </c>
      <c r="H342" s="145">
        <f t="shared" ref="H342:H373" si="251">IF(E342="","",IF(AND(E342&lt;&gt;"авто",E342&lt;&gt;"+"),E342,AT342&amp;" С"&amp;AQ342&amp;"А"&amp;IF(AS342=1," 30мА","")))</f>
        <v/>
      </c>
      <c r="I342" s="266"/>
      <c r="J342" s="267"/>
      <c r="K342" s="267"/>
      <c r="L342" s="266"/>
      <c r="M342" s="147">
        <f t="shared" ref="M342:M373" si="252">IF(OR(O342&lt;&gt;"",AND(L342&lt;&gt;"",L342&lt;&gt;"-")),AH342,"")</f>
        <v/>
      </c>
      <c r="N342" s="267"/>
      <c r="O342" s="147">
        <f t="shared" ref="O342:O373" si="253">IF(N342="=",AX341,IF(ISNUMBER(N342),N342,IF(AH342="","",IF(OR(R342&lt;&gt;"",N342="+",N342="р"),IF(OR(AW342&lt;&gt;"",AX341=""),1,AX341+1),""))))</f>
        <v/>
      </c>
      <c r="P342" s="268">
        <f>IF(AY342=1,"XT"&amp;COUNTIFS($A$3:A342,A342,$AY$3:AY342,1),"")</f>
        <v/>
      </c>
      <c r="Q342" s="152">
        <f>IF(R342="","",IFERROR(SUBSTITUTE(Разбивка_по_щитам!P342,CHAR(10)," "),""))</f>
        <v/>
      </c>
      <c r="R342" s="153">
        <f>IF(OR(Разбивка_по_щитам!H342="",Разбивка_по_щитам!H342=0),"",Разбивка_по_щитам!H342)</f>
        <v/>
      </c>
      <c r="S342" s="154">
        <f>IF(R342="","",IFERROR(Разбивка_по_щитам!J342&amp;"",""))</f>
        <v/>
      </c>
      <c r="T342" s="155">
        <f>IF(R342="","",IFERROR(--Разбивка_по_щитам!L342,""))</f>
        <v/>
      </c>
      <c r="U342" s="155">
        <f>IF(R342="","",IFERROR(--Разбивка_по_щитам!K342,""))</f>
        <v/>
      </c>
      <c r="V342" s="138">
        <f>IF(R342="","",IFERROR(IF(Разбивка_по_щитам!M342=0,"",Разбивка_по_щитам!M342),""))</f>
        <v/>
      </c>
      <c r="W342" s="156">
        <f t="shared" si="215"/>
        <v/>
      </c>
      <c r="X342" s="157">
        <f t="shared" si="216"/>
        <v/>
      </c>
      <c r="Y342" s="266"/>
      <c r="Z342" s="158">
        <f t="shared" si="217"/>
        <v/>
      </c>
      <c r="AA342" s="160">
        <f t="shared" si="218"/>
        <v/>
      </c>
      <c r="AB342" s="160">
        <f>IF(R342="","",IFERROR(LOOKUP(INDEX(Справочная!$I$4:$I$19,MATCH(VLOOKUP(R342,Исходные_данные,22,FALSE),Справочная!$J$4:$J$19,0)+1),{6,10,16,20,25,32,40,50,63,80,100,125}),""))</f>
        <v/>
      </c>
      <c r="AC342" s="160">
        <f t="shared" si="219"/>
        <v/>
      </c>
      <c r="AD342" s="161">
        <f t="shared" si="220"/>
        <v/>
      </c>
      <c r="AE342" s="161">
        <f>IF(AND(R342="",G342=""),"",_xlfn.TEXTJOIN("; ",TRUE,IF(AND(R342&lt;&gt;"",V342=""),"нет фазы",""),IF(AND(R342&lt;&gt;"",N(T342)=0),"нет мощности",""),IF(AND(P342&lt;&gt;"",COUNTIFS($A$3:$A$1000,A342,$P$3:$P$1000,P342)&gt;1),"дубль клеммы "&amp;P342,""),IF(AND(W342&lt;&gt;"",W342&lt;&gt;"ok"),W342,""),IF(X342&lt;&gt;"",X342,""),IF(AND(ISNUMBER(SEARCH("(5х",Q342)),N(AK342)=1),"5 жил на 1 фазе",""),IF(AND(AL342="R",E342&lt;&gt;"",N(AS342)=0),"розетка без 30 мА",""),IF(IFERROR(_xlfn.NUMBERVALUE(MID(Q342,FIND("-",Q342,FIND("L=",Q342))+1,FIND("%",Q342)-FIND("-",Q342,FIND("L=",Q342))-1),","),0)&gt;4,"потери &gt; 4 %","")))</f>
      </c>
      <c r="AF342" s="129">
        <f>IF(E342&lt;&gt;"",COUNTIFS($A$3:A342,A342,$E$3:E342,"?*"),IF(OR(A342&lt;&gt;A341,Y342="вручную"),"",AF341))</f>
      </c>
      <c r="AG342" s="129">
        <f t="shared" si="221"/>
      </c>
      <c r="AH342" s="129">
        <f t="shared" si="222"/>
        <v/>
      </c>
      <c r="AI342" s="129">
        <f t="shared" si="223"/>
        <v/>
      </c>
      <c r="AJ342" s="129">
        <f t="shared" si="224"/>
        <v/>
      </c>
      <c r="AK342" s="129">
        <f t="shared" si="225"/>
        <v/>
      </c>
      <c r="AL342" s="129">
        <f t="shared" si="226"/>
        <v/>
      </c>
      <c r="AM342" s="129">
        <f t="shared" si="227"/>
      </c>
      <c r="AN342" s="129">
        <f t="shared" si="228"/>
      </c>
      <c r="AO342" s="129">
        <f t="shared" si="229"/>
        <v/>
      </c>
      <c r="AP342" s="129">
        <f t="shared" si="230"/>
        <v/>
      </c>
      <c r="AQ342" s="129">
        <f t="shared" si="231"/>
        <v/>
      </c>
      <c r="AR342" s="129">
        <f t="shared" si="232"/>
        <v/>
      </c>
      <c r="AS342" s="129">
        <f t="shared" si="233"/>
        <v/>
      </c>
      <c r="AT342" s="129">
        <f t="shared" si="234"/>
        <v/>
      </c>
      <c r="AU342" s="129">
        <f t="shared" si="235"/>
        <v/>
      </c>
      <c r="AV342" s="129">
        <f t="shared" si="236"/>
        <v/>
      </c>
      <c r="AW342" s="129">
        <f>IF(AV342="","",AV342&amp;"."&amp;COUNTIFS($A$3:A342,A342,$AV$3:AV342,AV342))</f>
        <v/>
      </c>
      <c r="AX342" s="129">
        <f t="shared" si="237"/>
        <v/>
      </c>
      <c r="AY342" s="129">
        <f>IF(N342="б/к",0,IF(OR(ISNUMBER(SEARCH("L=",Разбивка_по_щитам!P342)),N342="+",N342="="),1,0))</f>
      </c>
      <c r="AZ342" s="129">
        <f t="shared" si="238"/>
      </c>
      <c r="BA342" s="129">
        <f t="shared" si="239"/>
      </c>
      <c r="BB342" s="129">
        <f t="shared" si="240"/>
      </c>
      <c r="BD342" s="129">
        <f t="shared" si="241"/>
      </c>
      <c r="BE342" s="129">
        <f t="shared" si="242"/>
      </c>
      <c r="BF342" s="129">
        <f t="shared" si="243"/>
      </c>
      <c r="BG342" s="129">
        <f t="shared" si="244"/>
        <v/>
      </c>
      <c r="BH342" s="129">
        <f t="shared" si="245"/>
        <v/>
      </c>
      <c r="BI342" s="129">
        <f t="shared" si="246"/>
        <v/>
      </c>
      <c r="BJ342" s="129">
        <f t="shared" si="247"/>
        <v/>
      </c>
      <c r="BK342" s="129">
        <f>IF(R342="","",IF(OR(BY342="",BY342=0),"BOX",IFERROR(IF(VLOOKUP(BY342,УГО_блоки,3,FALSE)&amp;""&lt;&gt;"",VLOOKUP(BY342,УГО_блоки,3,FALSE),VLOOKUP(BY342,УГО_блоки,2,FALSE)),BY342)))</f>
      </c>
      <c r="BL342" s="129">
        <f t="shared" si="249"/>
      </c>
      <c r="BM342" s="129">
        <f>IF(H342="","",IF(COUNTIF($H$3:H342,H342)=1,MAX($BM$2:BM341)+1,""))</f>
      </c>
      <c r="BN342" s="129">
        <f>IF(I342="","",IF(COUNTIF($I$3:I342,I342)+COUNTIF($J$2:J341,I342)+COUNTIF($K$2:K341,I342)=1,MAX($BN$2:BP341)+1,""))</f>
      </c>
      <c r="BO342" s="129">
        <f>IF(J342="","",IF(COUNTIF($I$3:I342,J342)+COUNTIF($J$3:J342,J342)+COUNTIF($K$2:K341,J342)=1,MAX($BN$2:BP341,BN342)+1,""))</f>
      </c>
      <c r="BP342" s="129">
        <f>IF(K342="","",IF(COUNTIF($I$3:I342,K342)+COUNTIF($J$3:J342,K342)+COUNTIF($K$3:K342,K342)=1,MAX($BN$2:BP341,BN342,BO342)+1,""))</f>
      </c>
      <c r="BQ342" s="129">
        <f>IF(AY342=1,IFERROR(MID(Q342,FIND(" (",Q342)+2,FIND(")",Q342,FIND(" (",Q342))-FIND(" (",Q342)-2),"?"),"")</f>
      </c>
      <c r="BR342" s="129">
        <f>IF(BQ342="","",IF(COUNTIF($BQ$3:BQ342,BQ342)=1,MAX($BR$2:BR341)+1,""))</f>
      </c>
      <c r="BS342" s="129">
        <f>IF(AW342="","",COUNTIF($AW$3:AW342,"?*"))</f>
      </c>
      <c r="BT342" s="129">
        <f>IF(OR(AW342="",AI342=""),"",IF(COUNTIFS($AW$3:AW342,"?*",$AI$3:AI342,AI342)=1,MAX($BT$2:BT341)+1,""))</f>
      </c>
      <c r="BU342" s="129">
        <f>IF(AE342="",0,IF(OR(ISNUMBER(SEARCH("дубль",AE342)),ISNUMBER(SEARCH("ПЕРЕГРУЗ",AE342)),ISNUMBER(SEARCH("ЗАЩИЩ",AE342)),ISNUMBER(SEARCH("КАНАЛ",AE342)),ISNUMBER(SEARCH("без 30",AE342))),2,1))</f>
      </c>
      <c r="BV342" s="129">
        <f>IF(R342="","",COUNTIF($R$3:R342,"?*"))</f>
      </c>
      <c r="BW342" s="129">
        <f>IF(AY342&lt;&gt;1,0,IF(MAX(IFERROR(--VLOOKUP(R342,УГО_спр,5,FALSE),0),IFERROR(--VLOOKUP(AL342,УГО_спр,5,FALSE),0),IFERROR(--VLOOKUP(LEFT(AL342,2),УГО_спр,5,FALSE),0))&gt;0,MAX(IFERROR(--VLOOKUP(R342,УГО_спр,5,FALSE),0),IFERROR(--VLOOKUP(AL342,УГО_спр,5,FALSE),0),IFERROR(--VLOOKUP(LEFT(AL342,2),УГО_спр,5,FALSE),0)),IF(IFERROR(--LEFT(SUBSTITUTE(BQ342,"x","х"),FIND("х",SUBSTITUTE(BQ342,"x","х"))-1),3)&gt;3,Каталог!$S$9,1)))</f>
      </c>
      <c r="BX342" s="129">
        <f>IF(AY342&lt;&gt;1,0,MAX(0,IFERROR(--LEFT(SUBSTITUTE(BQ342,"x","х"),FIND("х",SUBSTITUTE(BQ342,"x","х"))-1),3)-3*BW342))</f>
      </c>
      <c r="BY342" s="129">
        <f>IF(R342="","",IFERROR(VLOOKUP(R342,УГО_спр,2,FALSE),IFERROR(VLOOKUP(AL342,УГО_спр,2,FALSE),IFERROR(VLOOKUP(LEFT(AL342,2),УГО_спр,2,FALSE),""))))</f>
      </c>
    </row>
    <row r="343" spans="1:64" x14ac:dyDescent="0.3">
      <c r="A343" s="135">
        <f>IF(Разбивка_по_щитам!F343=0,"",Разбивка_по_щитам!F343)</f>
      </c>
      <c r="B343" s="138">
        <f>IF(A343="","",Разбивка_по_щитам!C343)</f>
      </c>
      <c r="C343" s="138">
        <f t="shared" si="214"/>
      </c>
      <c r="D343" s="266"/>
      <c r="E343" s="266"/>
      <c r="F343" s="267"/>
      <c r="G343" s="145">
        <f t="shared" si="250"/>
        <v/>
      </c>
      <c r="H343" s="145">
        <f t="shared" si="251"/>
        <v/>
      </c>
      <c r="I343" s="266"/>
      <c r="J343" s="267"/>
      <c r="K343" s="267"/>
      <c r="L343" s="266"/>
      <c r="M343" s="147">
        <f t="shared" si="252"/>
        <v/>
      </c>
      <c r="N343" s="267"/>
      <c r="O343" s="147">
        <f t="shared" si="253"/>
        <v/>
      </c>
      <c r="P343" s="268">
        <f>IF(AY343=1,"XT"&amp;COUNTIFS($A$3:A343,A343,$AY$3:AY343,1),"")</f>
        <v/>
      </c>
      <c r="Q343" s="152">
        <f>IF(R343="","",IFERROR(SUBSTITUTE(Разбивка_по_щитам!P343,CHAR(10)," "),""))</f>
        <v/>
      </c>
      <c r="R343" s="153">
        <f>IF(OR(Разбивка_по_щитам!H343="",Разбивка_по_щитам!H343=0),"",Разбивка_по_щитам!H343)</f>
        <v/>
      </c>
      <c r="S343" s="154">
        <f>IF(R343="","",IFERROR(Разбивка_по_щитам!J343&amp;"",""))</f>
        <v/>
      </c>
      <c r="T343" s="155">
        <f>IF(R343="","",IFERROR(--Разбивка_по_щитам!L343,""))</f>
        <v/>
      </c>
      <c r="U343" s="155">
        <f>IF(R343="","",IFERROR(--Разбивка_по_щитам!K343,""))</f>
        <v/>
      </c>
      <c r="V343" s="138">
        <f>IF(R343="","",IFERROR(IF(Разбивка_по_щитам!M343=0,"",Разбивка_по_щитам!M343),""))</f>
        <v/>
      </c>
      <c r="W343" s="156">
        <f t="shared" si="215"/>
        <v/>
      </c>
      <c r="X343" s="157">
        <f t="shared" si="216"/>
        <v/>
      </c>
      <c r="Y343" s="266"/>
      <c r="Z343" s="158">
        <f t="shared" si="217"/>
        <v/>
      </c>
      <c r="AA343" s="160">
        <f t="shared" si="218"/>
        <v/>
      </c>
      <c r="AB343" s="160">
        <f>IF(R343="","",IFERROR(LOOKUP(INDEX(Справочная!$I$4:$I$19,MATCH(VLOOKUP(R343,Исходные_данные,22,FALSE),Справочная!$J$4:$J$19,0)+1),{6,10,16,20,25,32,40,50,63,80,100,125}),""))</f>
        <v/>
      </c>
      <c r="AC343" s="160">
        <f t="shared" si="219"/>
        <v/>
      </c>
      <c r="AD343" s="161">
        <f t="shared" si="220"/>
        <v/>
      </c>
      <c r="AE343" s="161">
        <f>IF(AND(R343="",G343=""),"",_xlfn.TEXTJOIN("; ",TRUE,IF(AND(R343&lt;&gt;"",V343=""),"нет фазы",""),IF(AND(R343&lt;&gt;"",N(T343)=0),"нет мощности",""),IF(AND(P343&lt;&gt;"",COUNTIFS($A$3:$A$1000,A343,$P$3:$P$1000,P343)&gt;1),"дубль клеммы "&amp;P343,""),IF(AND(W343&lt;&gt;"",W343&lt;&gt;"ok"),W343,""),IF(X343&lt;&gt;"",X343,""),IF(AND(ISNUMBER(SEARCH("(5х",Q343)),N(AK343)=1),"5 жил на 1 фазе",""),IF(AND(AL343="R",E343&lt;&gt;"",N(AS343)=0),"розетка без 30 мА",""),IF(IFERROR(_xlfn.NUMBERVALUE(MID(Q343,FIND("-",Q343,FIND("L=",Q343))+1,FIND("%",Q343)-FIND("-",Q343,FIND("L=",Q343))-1),","),0)&gt;4,"потери &gt; 4 %","")))</f>
      </c>
      <c r="AF343" s="129">
        <f>IF(E343&lt;&gt;"",COUNTIFS($A$3:A343,A343,$E$3:E343,"?*"),IF(OR(A343&lt;&gt;A342,Y343="вручную"),"",AF342))</f>
      </c>
      <c r="AG343" s="129">
        <f t="shared" si="221"/>
      </c>
      <c r="AH343" s="129">
        <f t="shared" si="222"/>
        <v/>
      </c>
      <c r="AI343" s="129">
        <f t="shared" si="223"/>
        <v/>
      </c>
      <c r="AJ343" s="129">
        <f t="shared" si="224"/>
        <v/>
      </c>
      <c r="AK343" s="129">
        <f t="shared" si="225"/>
        <v/>
      </c>
      <c r="AL343" s="129">
        <f t="shared" si="226"/>
        <v/>
      </c>
      <c r="AM343" s="129">
        <f t="shared" si="227"/>
      </c>
      <c r="AN343" s="129">
        <f t="shared" si="228"/>
      </c>
      <c r="AO343" s="129">
        <f t="shared" si="229"/>
        <v/>
      </c>
      <c r="AP343" s="129">
        <f t="shared" si="230"/>
        <v/>
      </c>
      <c r="AQ343" s="129">
        <f t="shared" si="231"/>
        <v/>
      </c>
      <c r="AR343" s="129">
        <f t="shared" si="232"/>
        <v/>
      </c>
      <c r="AS343" s="129">
        <f t="shared" si="233"/>
        <v/>
      </c>
      <c r="AT343" s="129">
        <f t="shared" si="234"/>
        <v/>
      </c>
      <c r="AU343" s="129">
        <f t="shared" si="235"/>
        <v/>
      </c>
      <c r="AV343" s="129">
        <f t="shared" si="236"/>
        <v/>
      </c>
      <c r="AW343" s="129">
        <f>IF(AV343="","",AV343&amp;"."&amp;COUNTIFS($A$3:A343,A343,$AV$3:AV343,AV343))</f>
        <v/>
      </c>
      <c r="AX343" s="129">
        <f t="shared" si="237"/>
        <v/>
      </c>
      <c r="AY343" s="129">
        <f>IF(N343="б/к",0,IF(OR(ISNUMBER(SEARCH("L=",Разбивка_по_щитам!P343)),N343="+",N343="="),1,0))</f>
      </c>
      <c r="AZ343" s="129">
        <f t="shared" si="238"/>
      </c>
      <c r="BA343" s="129">
        <f t="shared" si="239"/>
      </c>
      <c r="BB343" s="129">
        <f t="shared" si="240"/>
      </c>
      <c r="BD343" s="129">
        <f t="shared" si="241"/>
      </c>
      <c r="BE343" s="129">
        <f t="shared" si="242"/>
      </c>
      <c r="BF343" s="129">
        <f t="shared" si="243"/>
      </c>
      <c r="BG343" s="129">
        <f t="shared" si="244"/>
        <v/>
      </c>
      <c r="BH343" s="129">
        <f t="shared" si="245"/>
        <v/>
      </c>
      <c r="BI343" s="129">
        <f t="shared" si="246"/>
        <v/>
      </c>
      <c r="BJ343" s="129">
        <f t="shared" si="247"/>
        <v/>
      </c>
      <c r="BK343" s="129">
        <f>IF(R343="","",IF(OR(BY343="",BY343=0),"BOX",IFERROR(IF(VLOOKUP(BY343,УГО_блоки,3,FALSE)&amp;""&lt;&gt;"",VLOOKUP(BY343,УГО_блоки,3,FALSE),VLOOKUP(BY343,УГО_блоки,2,FALSE)),BY343)))</f>
      </c>
      <c r="BL343" s="129">
        <f t="shared" si="249"/>
      </c>
      <c r="BM343" s="129">
        <f>IF(H343="","",IF(COUNTIF($H$3:H343,H343)=1,MAX($BM$2:BM342)+1,""))</f>
      </c>
      <c r="BN343" s="129">
        <f>IF(I343="","",IF(COUNTIF($I$3:I343,I343)+COUNTIF($J$2:J342,I343)+COUNTIF($K$2:K342,I343)=1,MAX($BN$2:BP342)+1,""))</f>
      </c>
      <c r="BO343" s="129">
        <f>IF(J343="","",IF(COUNTIF($I$3:I343,J343)+COUNTIF($J$3:J343,J343)+COUNTIF($K$2:K342,J343)=1,MAX($BN$2:BP342,BN343)+1,""))</f>
      </c>
      <c r="BP343" s="129">
        <f>IF(K343="","",IF(COUNTIF($I$3:I343,K343)+COUNTIF($J$3:J343,K343)+COUNTIF($K$3:K343,K343)=1,MAX($BN$2:BP342,BN343,BO343)+1,""))</f>
      </c>
      <c r="BQ343" s="129">
        <f>IF(AY343=1,IFERROR(MID(Q343,FIND(" (",Q343)+2,FIND(")",Q343,FIND(" (",Q343))-FIND(" (",Q343)-2),"?"),"")</f>
      </c>
      <c r="BR343" s="129">
        <f>IF(BQ343="","",IF(COUNTIF($BQ$3:BQ343,BQ343)=1,MAX($BR$2:BR342)+1,""))</f>
      </c>
      <c r="BS343" s="129">
        <f>IF(AW343="","",COUNTIF($AW$3:AW343,"?*"))</f>
      </c>
      <c r="BT343" s="129">
        <f>IF(OR(AW343="",AI343=""),"",IF(COUNTIFS($AW$3:AW343,"?*",$AI$3:AI343,AI343)=1,MAX($BT$2:BT342)+1,""))</f>
      </c>
      <c r="BU343" s="129">
        <f>IF(AE343="",0,IF(OR(ISNUMBER(SEARCH("дубль",AE343)),ISNUMBER(SEARCH("ПЕРЕГРУЗ",AE343)),ISNUMBER(SEARCH("ЗАЩИЩ",AE343)),ISNUMBER(SEARCH("КАНАЛ",AE343)),ISNUMBER(SEARCH("без 30",AE343))),2,1))</f>
      </c>
      <c r="BV343" s="129">
        <f>IF(R343="","",COUNTIF($R$3:R343,"?*"))</f>
      </c>
      <c r="BW343" s="129">
        <f>IF(AY343&lt;&gt;1,0,IF(MAX(IFERROR(--VLOOKUP(R343,УГО_спр,5,FALSE),0),IFERROR(--VLOOKUP(AL343,УГО_спр,5,FALSE),0),IFERROR(--VLOOKUP(LEFT(AL343,2),УГО_спр,5,FALSE),0))&gt;0,MAX(IFERROR(--VLOOKUP(R343,УГО_спр,5,FALSE),0),IFERROR(--VLOOKUP(AL343,УГО_спр,5,FALSE),0),IFERROR(--VLOOKUP(LEFT(AL343,2),УГО_спр,5,FALSE),0)),IF(IFERROR(--LEFT(SUBSTITUTE(BQ343,"x","х"),FIND("х",SUBSTITUTE(BQ343,"x","х"))-1),3)&gt;3,Каталог!$S$9,1)))</f>
      </c>
      <c r="BX343" s="129">
        <f>IF(AY343&lt;&gt;1,0,MAX(0,IFERROR(--LEFT(SUBSTITUTE(BQ343,"x","х"),FIND("х",SUBSTITUTE(BQ343,"x","х"))-1),3)-3*BW343))</f>
      </c>
      <c r="BY343" s="129">
        <f>IF(R343="","",IFERROR(VLOOKUP(R343,УГО_спр,2,FALSE),IFERROR(VLOOKUP(AL343,УГО_спр,2,FALSE),IFERROR(VLOOKUP(LEFT(AL343,2),УГО_спр,2,FALSE),""))))</f>
      </c>
    </row>
    <row r="344" spans="1:64" x14ac:dyDescent="0.3">
      <c r="A344" s="135">
        <f>IF(Разбивка_по_щитам!F344=0,"",Разбивка_по_щитам!F344)</f>
      </c>
      <c r="B344" s="138">
        <f>IF(A344="","",Разбивка_по_щитам!C344)</f>
      </c>
      <c r="C344" s="138">
        <f t="shared" si="214"/>
      </c>
      <c r="D344" s="266"/>
      <c r="E344" s="266"/>
      <c r="F344" s="267"/>
      <c r="G344" s="145">
        <f t="shared" si="250"/>
        <v/>
      </c>
      <c r="H344" s="145">
        <f t="shared" si="251"/>
        <v/>
      </c>
      <c r="I344" s="266"/>
      <c r="J344" s="267"/>
      <c r="K344" s="267"/>
      <c r="L344" s="266"/>
      <c r="M344" s="147">
        <f t="shared" si="252"/>
        <v/>
      </c>
      <c r="N344" s="267"/>
      <c r="O344" s="147">
        <f t="shared" si="253"/>
        <v/>
      </c>
      <c r="P344" s="268">
        <f>IF(AY344=1,"XT"&amp;COUNTIFS($A$3:A344,A344,$AY$3:AY344,1),"")</f>
        <v/>
      </c>
      <c r="Q344" s="152">
        <f>IF(R344="","",IFERROR(SUBSTITUTE(Разбивка_по_щитам!P344,CHAR(10)," "),""))</f>
        <v/>
      </c>
      <c r="R344" s="153">
        <f>IF(OR(Разбивка_по_щитам!H344="",Разбивка_по_щитам!H344=0),"",Разбивка_по_щитам!H344)</f>
        <v/>
      </c>
      <c r="S344" s="154">
        <f>IF(R344="","",IFERROR(Разбивка_по_щитам!J344&amp;"",""))</f>
        <v/>
      </c>
      <c r="T344" s="155">
        <f>IF(R344="","",IFERROR(--Разбивка_по_щитам!L344,""))</f>
        <v/>
      </c>
      <c r="U344" s="155">
        <f>IF(R344="","",IFERROR(--Разбивка_по_щитам!K344,""))</f>
        <v/>
      </c>
      <c r="V344" s="138">
        <f>IF(R344="","",IFERROR(IF(Разбивка_по_щитам!M344=0,"",Разбивка_по_щитам!M344),""))</f>
        <v/>
      </c>
      <c r="W344" s="156">
        <f t="shared" si="215"/>
        <v/>
      </c>
      <c r="X344" s="157">
        <f t="shared" si="216"/>
        <v/>
      </c>
      <c r="Y344" s="266"/>
      <c r="Z344" s="158">
        <f t="shared" si="217"/>
        <v/>
      </c>
      <c r="AA344" s="160">
        <f t="shared" si="218"/>
        <v/>
      </c>
      <c r="AB344" s="160">
        <f>IF(R344="","",IFERROR(LOOKUP(INDEX(Справочная!$I$4:$I$19,MATCH(VLOOKUP(R344,Исходные_данные,22,FALSE),Справочная!$J$4:$J$19,0)+1),{6,10,16,20,25,32,40,50,63,80,100,125}),""))</f>
        <v/>
      </c>
      <c r="AC344" s="160">
        <f t="shared" si="219"/>
        <v/>
      </c>
      <c r="AD344" s="161">
        <f t="shared" si="220"/>
        <v/>
      </c>
      <c r="AE344" s="161">
        <f>IF(AND(R344="",G344=""),"",_xlfn.TEXTJOIN("; ",TRUE,IF(AND(R344&lt;&gt;"",V344=""),"нет фазы",""),IF(AND(R344&lt;&gt;"",N(T344)=0),"нет мощности",""),IF(AND(P344&lt;&gt;"",COUNTIFS($A$3:$A$1000,A344,$P$3:$P$1000,P344)&gt;1),"дубль клеммы "&amp;P344,""),IF(AND(W344&lt;&gt;"",W344&lt;&gt;"ok"),W344,""),IF(X344&lt;&gt;"",X344,""),IF(AND(ISNUMBER(SEARCH("(5х",Q344)),N(AK344)=1),"5 жил на 1 фазе",""),IF(AND(AL344="R",E344&lt;&gt;"",N(AS344)=0),"розетка без 30 мА",""),IF(IFERROR(_xlfn.NUMBERVALUE(MID(Q344,FIND("-",Q344,FIND("L=",Q344))+1,FIND("%",Q344)-FIND("-",Q344,FIND("L=",Q344))-1),","),0)&gt;4,"потери &gt; 4 %","")))</f>
      </c>
      <c r="AF344" s="129">
        <f>IF(E344&lt;&gt;"",COUNTIFS($A$3:A344,A344,$E$3:E344,"?*"),IF(OR(A344&lt;&gt;A343,Y344="вручную"),"",AF343))</f>
      </c>
      <c r="AG344" s="129">
        <f t="shared" si="221"/>
      </c>
      <c r="AH344" s="129">
        <f t="shared" si="222"/>
        <v/>
      </c>
      <c r="AI344" s="129">
        <f t="shared" si="223"/>
        <v/>
      </c>
      <c r="AJ344" s="129">
        <f t="shared" si="224"/>
        <v/>
      </c>
      <c r="AK344" s="129">
        <f t="shared" si="225"/>
        <v/>
      </c>
      <c r="AL344" s="129">
        <f t="shared" si="226"/>
        <v/>
      </c>
      <c r="AM344" s="129">
        <f t="shared" si="227"/>
      </c>
      <c r="AN344" s="129">
        <f t="shared" si="228"/>
      </c>
      <c r="AO344" s="129">
        <f t="shared" si="229"/>
        <v/>
      </c>
      <c r="AP344" s="129">
        <f t="shared" si="230"/>
        <v/>
      </c>
      <c r="AQ344" s="129">
        <f t="shared" si="231"/>
        <v/>
      </c>
      <c r="AR344" s="129">
        <f t="shared" si="232"/>
        <v/>
      </c>
      <c r="AS344" s="129">
        <f t="shared" si="233"/>
        <v/>
      </c>
      <c r="AT344" s="129">
        <f t="shared" si="234"/>
        <v/>
      </c>
      <c r="AU344" s="129">
        <f t="shared" si="235"/>
        <v/>
      </c>
      <c r="AV344" s="129">
        <f t="shared" si="236"/>
        <v/>
      </c>
      <c r="AW344" s="129">
        <f>IF(AV344="","",AV344&amp;"."&amp;COUNTIFS($A$3:A344,A344,$AV$3:AV344,AV344))</f>
        <v/>
      </c>
      <c r="AX344" s="129">
        <f t="shared" si="237"/>
        <v/>
      </c>
      <c r="AY344" s="129">
        <f>IF(N344="б/к",0,IF(OR(ISNUMBER(SEARCH("L=",Разбивка_по_щитам!P344)),N344="+",N344="="),1,0))</f>
      </c>
      <c r="AZ344" s="129">
        <f t="shared" si="238"/>
      </c>
      <c r="BA344" s="129">
        <f t="shared" si="239"/>
      </c>
      <c r="BB344" s="129">
        <f t="shared" si="240"/>
      </c>
      <c r="BD344" s="129">
        <f t="shared" si="241"/>
      </c>
      <c r="BE344" s="129">
        <f t="shared" si="242"/>
      </c>
      <c r="BF344" s="129">
        <f t="shared" si="243"/>
      </c>
      <c r="BG344" s="129">
        <f t="shared" si="244"/>
        <v/>
      </c>
      <c r="BH344" s="129">
        <f t="shared" si="245"/>
        <v/>
      </c>
      <c r="BI344" s="129">
        <f t="shared" si="246"/>
        <v/>
      </c>
      <c r="BJ344" s="129">
        <f t="shared" si="247"/>
        <v/>
      </c>
      <c r="BK344" s="129">
        <f>IF(R344="","",IF(OR(BY344="",BY344=0),"BOX",IFERROR(IF(VLOOKUP(BY344,УГО_блоки,3,FALSE)&amp;""&lt;&gt;"",VLOOKUP(BY344,УГО_блоки,3,FALSE),VLOOKUP(BY344,УГО_блоки,2,FALSE)),BY344)))</f>
      </c>
      <c r="BL344" s="129">
        <f t="shared" si="249"/>
      </c>
      <c r="BM344" s="129">
        <f>IF(H344="","",IF(COUNTIF($H$3:H344,H344)=1,MAX($BM$2:BM343)+1,""))</f>
      </c>
      <c r="BN344" s="129">
        <f>IF(I344="","",IF(COUNTIF($I$3:I344,I344)+COUNTIF($J$2:J343,I344)+COUNTIF($K$2:K343,I344)=1,MAX($BN$2:BP343)+1,""))</f>
      </c>
      <c r="BO344" s="129">
        <f>IF(J344="","",IF(COUNTIF($I$3:I344,J344)+COUNTIF($J$3:J344,J344)+COUNTIF($K$2:K343,J344)=1,MAX($BN$2:BP343,BN344)+1,""))</f>
      </c>
      <c r="BP344" s="129">
        <f>IF(K344="","",IF(COUNTIF($I$3:I344,K344)+COUNTIF($J$3:J344,K344)+COUNTIF($K$3:K344,K344)=1,MAX($BN$2:BP343,BN344,BO344)+1,""))</f>
      </c>
      <c r="BQ344" s="129">
        <f>IF(AY344=1,IFERROR(MID(Q344,FIND(" (",Q344)+2,FIND(")",Q344,FIND(" (",Q344))-FIND(" (",Q344)-2),"?"),"")</f>
      </c>
      <c r="BR344" s="129">
        <f>IF(BQ344="","",IF(COUNTIF($BQ$3:BQ344,BQ344)=1,MAX($BR$2:BR343)+1,""))</f>
      </c>
      <c r="BS344" s="129">
        <f>IF(AW344="","",COUNTIF($AW$3:AW344,"?*"))</f>
      </c>
      <c r="BT344" s="129">
        <f>IF(OR(AW344="",AI344=""),"",IF(COUNTIFS($AW$3:AW344,"?*",$AI$3:AI344,AI344)=1,MAX($BT$2:BT343)+1,""))</f>
      </c>
      <c r="BU344" s="129">
        <f>IF(AE344="",0,IF(OR(ISNUMBER(SEARCH("дубль",AE344)),ISNUMBER(SEARCH("ПЕРЕГРУЗ",AE344)),ISNUMBER(SEARCH("ЗАЩИЩ",AE344)),ISNUMBER(SEARCH("КАНАЛ",AE344)),ISNUMBER(SEARCH("без 30",AE344))),2,1))</f>
      </c>
      <c r="BV344" s="129">
        <f>IF(R344="","",COUNTIF($R$3:R344,"?*"))</f>
      </c>
      <c r="BW344" s="129">
        <f>IF(AY344&lt;&gt;1,0,IF(MAX(IFERROR(--VLOOKUP(R344,УГО_спр,5,FALSE),0),IFERROR(--VLOOKUP(AL344,УГО_спр,5,FALSE),0),IFERROR(--VLOOKUP(LEFT(AL344,2),УГО_спр,5,FALSE),0))&gt;0,MAX(IFERROR(--VLOOKUP(R344,УГО_спр,5,FALSE),0),IFERROR(--VLOOKUP(AL344,УГО_спр,5,FALSE),0),IFERROR(--VLOOKUP(LEFT(AL344,2),УГО_спр,5,FALSE),0)),IF(IFERROR(--LEFT(SUBSTITUTE(BQ344,"x","х"),FIND("х",SUBSTITUTE(BQ344,"x","х"))-1),3)&gt;3,Каталог!$S$9,1)))</f>
      </c>
      <c r="BX344" s="129">
        <f>IF(AY344&lt;&gt;1,0,MAX(0,IFERROR(--LEFT(SUBSTITUTE(BQ344,"x","х"),FIND("х",SUBSTITUTE(BQ344,"x","х"))-1),3)-3*BW344))</f>
      </c>
      <c r="BY344" s="129">
        <f>IF(R344="","",IFERROR(VLOOKUP(R344,УГО_спр,2,FALSE),IFERROR(VLOOKUP(AL344,УГО_спр,2,FALSE),IFERROR(VLOOKUP(LEFT(AL344,2),УГО_спр,2,FALSE),""))))</f>
      </c>
    </row>
    <row r="345" spans="1:64" x14ac:dyDescent="0.3">
      <c r="A345" s="135">
        <f>IF(Разбивка_по_щитам!F345=0,"",Разбивка_по_щитам!F345)</f>
      </c>
      <c r="B345" s="138">
        <f>IF(A345="","",Разбивка_по_щитам!C345)</f>
      </c>
      <c r="C345" s="138">
        <f t="shared" si="214"/>
      </c>
      <c r="D345" s="266"/>
      <c r="E345" s="266"/>
      <c r="F345" s="267"/>
      <c r="G345" s="145">
        <f t="shared" si="250"/>
        <v/>
      </c>
      <c r="H345" s="145">
        <f t="shared" si="251"/>
        <v/>
      </c>
      <c r="I345" s="266"/>
      <c r="J345" s="267"/>
      <c r="K345" s="267"/>
      <c r="L345" s="266"/>
      <c r="M345" s="147">
        <f t="shared" si="252"/>
        <v/>
      </c>
      <c r="N345" s="267"/>
      <c r="O345" s="147">
        <f t="shared" si="253"/>
        <v/>
      </c>
      <c r="P345" s="268">
        <f>IF(AY345=1,"XT"&amp;COUNTIFS($A$3:A345,A345,$AY$3:AY345,1),"")</f>
        <v/>
      </c>
      <c r="Q345" s="152">
        <f>IF(R345="","",IFERROR(SUBSTITUTE(Разбивка_по_щитам!P345,CHAR(10)," "),""))</f>
        <v/>
      </c>
      <c r="R345" s="153">
        <f>IF(OR(Разбивка_по_щитам!H345="",Разбивка_по_щитам!H345=0),"",Разбивка_по_щитам!H345)</f>
        <v/>
      </c>
      <c r="S345" s="154">
        <f>IF(R345="","",IFERROR(Разбивка_по_щитам!J345&amp;"",""))</f>
        <v/>
      </c>
      <c r="T345" s="155">
        <f>IF(R345="","",IFERROR(--Разбивка_по_щитам!L345,""))</f>
        <v/>
      </c>
      <c r="U345" s="155">
        <f>IF(R345="","",IFERROR(--Разбивка_по_щитам!K345,""))</f>
        <v/>
      </c>
      <c r="V345" s="138">
        <f>IF(R345="","",IFERROR(IF(Разбивка_по_щитам!M345=0,"",Разбивка_по_щитам!M345),""))</f>
        <v/>
      </c>
      <c r="W345" s="156">
        <f t="shared" si="215"/>
        <v/>
      </c>
      <c r="X345" s="157">
        <f t="shared" si="216"/>
        <v/>
      </c>
      <c r="Y345" s="266"/>
      <c r="Z345" s="158">
        <f t="shared" si="217"/>
        <v/>
      </c>
      <c r="AA345" s="160">
        <f t="shared" si="218"/>
        <v/>
      </c>
      <c r="AB345" s="160">
        <f>IF(R345="","",IFERROR(LOOKUP(INDEX(Справочная!$I$4:$I$19,MATCH(VLOOKUP(R345,Исходные_данные,22,FALSE),Справочная!$J$4:$J$19,0)+1),{6,10,16,20,25,32,40,50,63,80,100,125}),""))</f>
        <v/>
      </c>
      <c r="AC345" s="160">
        <f t="shared" si="219"/>
        <v/>
      </c>
      <c r="AD345" s="161">
        <f t="shared" si="220"/>
        <v/>
      </c>
      <c r="AE345" s="161">
        <f>IF(AND(R345="",G345=""),"",_xlfn.TEXTJOIN("; ",TRUE,IF(AND(R345&lt;&gt;"",V345=""),"нет фазы",""),IF(AND(R345&lt;&gt;"",N(T345)=0),"нет мощности",""),IF(AND(P345&lt;&gt;"",COUNTIFS($A$3:$A$1000,A345,$P$3:$P$1000,P345)&gt;1),"дубль клеммы "&amp;P345,""),IF(AND(W345&lt;&gt;"",W345&lt;&gt;"ok"),W345,""),IF(X345&lt;&gt;"",X345,""),IF(AND(ISNUMBER(SEARCH("(5х",Q345)),N(AK345)=1),"5 жил на 1 фазе",""),IF(AND(AL345="R",E345&lt;&gt;"",N(AS345)=0),"розетка без 30 мА",""),IF(IFERROR(_xlfn.NUMBERVALUE(MID(Q345,FIND("-",Q345,FIND("L=",Q345))+1,FIND("%",Q345)-FIND("-",Q345,FIND("L=",Q345))-1),","),0)&gt;4,"потери &gt; 4 %","")))</f>
      </c>
      <c r="AF345" s="129">
        <f>IF(E345&lt;&gt;"",COUNTIFS($A$3:A345,A345,$E$3:E345,"?*"),IF(OR(A345&lt;&gt;A344,Y345="вручную"),"",AF344))</f>
      </c>
      <c r="AG345" s="129">
        <f t="shared" si="221"/>
      </c>
      <c r="AH345" s="129">
        <f t="shared" si="222"/>
        <v/>
      </c>
      <c r="AI345" s="129">
        <f t="shared" si="223"/>
        <v/>
      </c>
      <c r="AJ345" s="129">
        <f t="shared" si="224"/>
        <v/>
      </c>
      <c r="AK345" s="129">
        <f t="shared" si="225"/>
        <v/>
      </c>
      <c r="AL345" s="129">
        <f t="shared" si="226"/>
        <v/>
      </c>
      <c r="AM345" s="129">
        <f t="shared" si="227"/>
      </c>
      <c r="AN345" s="129">
        <f t="shared" si="228"/>
      </c>
      <c r="AO345" s="129">
        <f t="shared" si="229"/>
        <v/>
      </c>
      <c r="AP345" s="129">
        <f t="shared" si="230"/>
        <v/>
      </c>
      <c r="AQ345" s="129">
        <f t="shared" si="231"/>
        <v/>
      </c>
      <c r="AR345" s="129">
        <f t="shared" si="232"/>
        <v/>
      </c>
      <c r="AS345" s="129">
        <f t="shared" si="233"/>
        <v/>
      </c>
      <c r="AT345" s="129">
        <f t="shared" si="234"/>
        <v/>
      </c>
      <c r="AU345" s="129">
        <f t="shared" si="235"/>
        <v/>
      </c>
      <c r="AV345" s="129">
        <f t="shared" si="236"/>
        <v/>
      </c>
      <c r="AW345" s="129">
        <f>IF(AV345="","",AV345&amp;"."&amp;COUNTIFS($A$3:A345,A345,$AV$3:AV345,AV345))</f>
        <v/>
      </c>
      <c r="AX345" s="129">
        <f t="shared" si="237"/>
        <v/>
      </c>
      <c r="AY345" s="129">
        <f>IF(N345="б/к",0,IF(OR(ISNUMBER(SEARCH("L=",Разбивка_по_щитам!P345)),N345="+",N345="="),1,0))</f>
      </c>
      <c r="AZ345" s="129">
        <f t="shared" si="238"/>
      </c>
      <c r="BA345" s="129">
        <f t="shared" si="239"/>
      </c>
      <c r="BB345" s="129">
        <f t="shared" si="240"/>
      </c>
      <c r="BD345" s="129">
        <f t="shared" si="241"/>
      </c>
      <c r="BE345" s="129">
        <f t="shared" si="242"/>
      </c>
      <c r="BF345" s="129">
        <f t="shared" si="243"/>
      </c>
      <c r="BG345" s="129">
        <f t="shared" si="244"/>
        <v/>
      </c>
      <c r="BH345" s="129">
        <f t="shared" si="245"/>
        <v/>
      </c>
      <c r="BI345" s="129">
        <f t="shared" si="246"/>
        <v/>
      </c>
      <c r="BJ345" s="129">
        <f t="shared" si="247"/>
        <v/>
      </c>
      <c r="BK345" s="129">
        <f>IF(R345="","",IF(OR(BY345="",BY345=0),"BOX",IFERROR(IF(VLOOKUP(BY345,УГО_блоки,3,FALSE)&amp;""&lt;&gt;"",VLOOKUP(BY345,УГО_блоки,3,FALSE),VLOOKUP(BY345,УГО_блоки,2,FALSE)),BY345)))</f>
      </c>
      <c r="BL345" s="129">
        <f t="shared" si="249"/>
      </c>
      <c r="BM345" s="129">
        <f>IF(H345="","",IF(COUNTIF($H$3:H345,H345)=1,MAX($BM$2:BM344)+1,""))</f>
      </c>
      <c r="BN345" s="129">
        <f>IF(I345="","",IF(COUNTIF($I$3:I345,I345)+COUNTIF($J$2:J344,I345)+COUNTIF($K$2:K344,I345)=1,MAX($BN$2:BP344)+1,""))</f>
      </c>
      <c r="BO345" s="129">
        <f>IF(J345="","",IF(COUNTIF($I$3:I345,J345)+COUNTIF($J$3:J345,J345)+COUNTIF($K$2:K344,J345)=1,MAX($BN$2:BP344,BN345)+1,""))</f>
      </c>
      <c r="BP345" s="129">
        <f>IF(K345="","",IF(COUNTIF($I$3:I345,K345)+COUNTIF($J$3:J345,K345)+COUNTIF($K$3:K345,K345)=1,MAX($BN$2:BP344,BN345,BO345)+1,""))</f>
      </c>
      <c r="BQ345" s="129">
        <f>IF(AY345=1,IFERROR(MID(Q345,FIND(" (",Q345)+2,FIND(")",Q345,FIND(" (",Q345))-FIND(" (",Q345)-2),"?"),"")</f>
      </c>
      <c r="BR345" s="129">
        <f>IF(BQ345="","",IF(COUNTIF($BQ$3:BQ345,BQ345)=1,MAX($BR$2:BR344)+1,""))</f>
      </c>
      <c r="BS345" s="129">
        <f>IF(AW345="","",COUNTIF($AW$3:AW345,"?*"))</f>
      </c>
      <c r="BT345" s="129">
        <f>IF(OR(AW345="",AI345=""),"",IF(COUNTIFS($AW$3:AW345,"?*",$AI$3:AI345,AI345)=1,MAX($BT$2:BT344)+1,""))</f>
      </c>
      <c r="BU345" s="129">
        <f>IF(AE345="",0,IF(OR(ISNUMBER(SEARCH("дубль",AE345)),ISNUMBER(SEARCH("ПЕРЕГРУЗ",AE345)),ISNUMBER(SEARCH("ЗАЩИЩ",AE345)),ISNUMBER(SEARCH("КАНАЛ",AE345)),ISNUMBER(SEARCH("без 30",AE345))),2,1))</f>
      </c>
      <c r="BV345" s="129">
        <f>IF(R345="","",COUNTIF($R$3:R345,"?*"))</f>
      </c>
      <c r="BW345" s="129">
        <f>IF(AY345&lt;&gt;1,0,IF(MAX(IFERROR(--VLOOKUP(R345,УГО_спр,5,FALSE),0),IFERROR(--VLOOKUP(AL345,УГО_спр,5,FALSE),0),IFERROR(--VLOOKUP(LEFT(AL345,2),УГО_спр,5,FALSE),0))&gt;0,MAX(IFERROR(--VLOOKUP(R345,УГО_спр,5,FALSE),0),IFERROR(--VLOOKUP(AL345,УГО_спр,5,FALSE),0),IFERROR(--VLOOKUP(LEFT(AL345,2),УГО_спр,5,FALSE),0)),IF(IFERROR(--LEFT(SUBSTITUTE(BQ345,"x","х"),FIND("х",SUBSTITUTE(BQ345,"x","х"))-1),3)&gt;3,Каталог!$S$9,1)))</f>
      </c>
      <c r="BX345" s="129">
        <f>IF(AY345&lt;&gt;1,0,MAX(0,IFERROR(--LEFT(SUBSTITUTE(BQ345,"x","х"),FIND("х",SUBSTITUTE(BQ345,"x","х"))-1),3)-3*BW345))</f>
      </c>
      <c r="BY345" s="129">
        <f>IF(R345="","",IFERROR(VLOOKUP(R345,УГО_спр,2,FALSE),IFERROR(VLOOKUP(AL345,УГО_спр,2,FALSE),IFERROR(VLOOKUP(LEFT(AL345,2),УГО_спр,2,FALSE),""))))</f>
      </c>
    </row>
    <row r="346" spans="1:64" x14ac:dyDescent="0.3">
      <c r="A346" s="135">
        <f>IF(Разбивка_по_щитам!F346=0,"",Разбивка_по_щитам!F346)</f>
      </c>
      <c r="B346" s="138">
        <f>IF(A346="","",Разбивка_по_щитам!C346)</f>
      </c>
      <c r="C346" s="138">
        <f t="shared" si="214"/>
      </c>
      <c r="D346" s="266"/>
      <c r="E346" s="266"/>
      <c r="F346" s="267"/>
      <c r="G346" s="145">
        <f t="shared" si="250"/>
        <v/>
      </c>
      <c r="H346" s="145">
        <f t="shared" si="251"/>
        <v/>
      </c>
      <c r="I346" s="266"/>
      <c r="J346" s="267"/>
      <c r="K346" s="267"/>
      <c r="L346" s="266"/>
      <c r="M346" s="147">
        <f t="shared" si="252"/>
        <v/>
      </c>
      <c r="N346" s="267"/>
      <c r="O346" s="147">
        <f t="shared" si="253"/>
        <v/>
      </c>
      <c r="P346" s="268">
        <f>IF(AY346=1,"XT"&amp;COUNTIFS($A$3:A346,A346,$AY$3:AY346,1),"")</f>
        <v/>
      </c>
      <c r="Q346" s="152">
        <f>IF(R346="","",IFERROR(SUBSTITUTE(Разбивка_по_щитам!P346,CHAR(10)," "),""))</f>
        <v/>
      </c>
      <c r="R346" s="153">
        <f>IF(OR(Разбивка_по_щитам!H346="",Разбивка_по_щитам!H346=0),"",Разбивка_по_щитам!H346)</f>
        <v/>
      </c>
      <c r="S346" s="154">
        <f>IF(R346="","",IFERROR(Разбивка_по_щитам!J346&amp;"",""))</f>
        <v/>
      </c>
      <c r="T346" s="155">
        <f>IF(R346="","",IFERROR(--Разбивка_по_щитам!L346,""))</f>
        <v/>
      </c>
      <c r="U346" s="155">
        <f>IF(R346="","",IFERROR(--Разбивка_по_щитам!K346,""))</f>
        <v/>
      </c>
      <c r="V346" s="138">
        <f>IF(R346="","",IFERROR(IF(Разбивка_по_щитам!M346=0,"",Разбивка_по_щитам!M346),""))</f>
        <v/>
      </c>
      <c r="W346" s="156">
        <f t="shared" si="215"/>
        <v/>
      </c>
      <c r="X346" s="157">
        <f t="shared" si="216"/>
        <v/>
      </c>
      <c r="Y346" s="266"/>
      <c r="Z346" s="158">
        <f t="shared" si="217"/>
        <v/>
      </c>
      <c r="AA346" s="160">
        <f t="shared" si="218"/>
        <v/>
      </c>
      <c r="AB346" s="160">
        <f>IF(R346="","",IFERROR(LOOKUP(INDEX(Справочная!$I$4:$I$19,MATCH(VLOOKUP(R346,Исходные_данные,22,FALSE),Справочная!$J$4:$J$19,0)+1),{6,10,16,20,25,32,40,50,63,80,100,125}),""))</f>
        <v/>
      </c>
      <c r="AC346" s="160">
        <f t="shared" si="219"/>
        <v/>
      </c>
      <c r="AD346" s="161">
        <f t="shared" si="220"/>
        <v/>
      </c>
      <c r="AE346" s="161">
        <f>IF(AND(R346="",G346=""),"",_xlfn.TEXTJOIN("; ",TRUE,IF(AND(R346&lt;&gt;"",V346=""),"нет фазы",""),IF(AND(R346&lt;&gt;"",N(T346)=0),"нет мощности",""),IF(AND(P346&lt;&gt;"",COUNTIFS($A$3:$A$1000,A346,$P$3:$P$1000,P346)&gt;1),"дубль клеммы "&amp;P346,""),IF(AND(W346&lt;&gt;"",W346&lt;&gt;"ok"),W346,""),IF(X346&lt;&gt;"",X346,""),IF(AND(ISNUMBER(SEARCH("(5х",Q346)),N(AK346)=1),"5 жил на 1 фазе",""),IF(AND(AL346="R",E346&lt;&gt;"",N(AS346)=0),"розетка без 30 мА",""),IF(IFERROR(_xlfn.NUMBERVALUE(MID(Q346,FIND("-",Q346,FIND("L=",Q346))+1,FIND("%",Q346)-FIND("-",Q346,FIND("L=",Q346))-1),","),0)&gt;4,"потери &gt; 4 %","")))</f>
      </c>
      <c r="AF346" s="129">
        <f>IF(E346&lt;&gt;"",COUNTIFS($A$3:A346,A346,$E$3:E346,"?*"),IF(OR(A346&lt;&gt;A345,Y346="вручную"),"",AF345))</f>
      </c>
      <c r="AG346" s="129">
        <f t="shared" si="221"/>
      </c>
      <c r="AH346" s="129">
        <f t="shared" si="222"/>
        <v/>
      </c>
      <c r="AI346" s="129">
        <f t="shared" si="223"/>
        <v/>
      </c>
      <c r="AJ346" s="129">
        <f t="shared" si="224"/>
        <v/>
      </c>
      <c r="AK346" s="129">
        <f t="shared" si="225"/>
        <v/>
      </c>
      <c r="AL346" s="129">
        <f t="shared" si="226"/>
        <v/>
      </c>
      <c r="AM346" s="129">
        <f t="shared" si="227"/>
      </c>
      <c r="AN346" s="129">
        <f t="shared" si="228"/>
      </c>
      <c r="AO346" s="129">
        <f t="shared" si="229"/>
        <v/>
      </c>
      <c r="AP346" s="129">
        <f t="shared" si="230"/>
        <v/>
      </c>
      <c r="AQ346" s="129">
        <f t="shared" si="231"/>
        <v/>
      </c>
      <c r="AR346" s="129">
        <f t="shared" si="232"/>
        <v/>
      </c>
      <c r="AS346" s="129">
        <f t="shared" si="233"/>
        <v/>
      </c>
      <c r="AT346" s="129">
        <f t="shared" si="234"/>
        <v/>
      </c>
      <c r="AU346" s="129">
        <f t="shared" si="235"/>
        <v/>
      </c>
      <c r="AV346" s="129">
        <f t="shared" si="236"/>
        <v/>
      </c>
      <c r="AW346" s="129">
        <f>IF(AV346="","",AV346&amp;"."&amp;COUNTIFS($A$3:A346,A346,$AV$3:AV346,AV346))</f>
        <v/>
      </c>
      <c r="AX346" s="129">
        <f t="shared" si="237"/>
        <v/>
      </c>
      <c r="AY346" s="129">
        <f>IF(N346="б/к",0,IF(OR(ISNUMBER(SEARCH("L=",Разбивка_по_щитам!P346)),N346="+",N346="="),1,0))</f>
      </c>
      <c r="AZ346" s="129">
        <f t="shared" si="238"/>
      </c>
      <c r="BA346" s="129">
        <f t="shared" si="239"/>
      </c>
      <c r="BB346" s="129">
        <f t="shared" si="240"/>
      </c>
      <c r="BD346" s="129">
        <f t="shared" si="241"/>
      </c>
      <c r="BE346" s="129">
        <f t="shared" si="242"/>
      </c>
      <c r="BF346" s="129">
        <f t="shared" si="243"/>
      </c>
      <c r="BG346" s="129">
        <f t="shared" si="244"/>
        <v/>
      </c>
      <c r="BH346" s="129">
        <f t="shared" si="245"/>
        <v/>
      </c>
      <c r="BI346" s="129">
        <f t="shared" si="246"/>
        <v/>
      </c>
      <c r="BJ346" s="129">
        <f t="shared" si="247"/>
        <v/>
      </c>
      <c r="BK346" s="129">
        <f>IF(R346="","",IF(OR(BY346="",BY346=0),"BOX",IFERROR(IF(VLOOKUP(BY346,УГО_блоки,3,FALSE)&amp;""&lt;&gt;"",VLOOKUP(BY346,УГО_блоки,3,FALSE),VLOOKUP(BY346,УГО_блоки,2,FALSE)),BY346)))</f>
      </c>
      <c r="BL346" s="129">
        <f t="shared" si="249"/>
      </c>
      <c r="BM346" s="129">
        <f>IF(H346="","",IF(COUNTIF($H$3:H346,H346)=1,MAX($BM$2:BM345)+1,""))</f>
      </c>
      <c r="BN346" s="129">
        <f>IF(I346="","",IF(COUNTIF($I$3:I346,I346)+COUNTIF($J$2:J345,I346)+COUNTIF($K$2:K345,I346)=1,MAX($BN$2:BP345)+1,""))</f>
      </c>
      <c r="BO346" s="129">
        <f>IF(J346="","",IF(COUNTIF($I$3:I346,J346)+COUNTIF($J$3:J346,J346)+COUNTIF($K$2:K345,J346)=1,MAX($BN$2:BP345,BN346)+1,""))</f>
      </c>
      <c r="BP346" s="129">
        <f>IF(K346="","",IF(COUNTIF($I$3:I346,K346)+COUNTIF($J$3:J346,K346)+COUNTIF($K$3:K346,K346)=1,MAX($BN$2:BP345,BN346,BO346)+1,""))</f>
      </c>
      <c r="BQ346" s="129">
        <f>IF(AY346=1,IFERROR(MID(Q346,FIND(" (",Q346)+2,FIND(")",Q346,FIND(" (",Q346))-FIND(" (",Q346)-2),"?"),"")</f>
      </c>
      <c r="BR346" s="129">
        <f>IF(BQ346="","",IF(COUNTIF($BQ$3:BQ346,BQ346)=1,MAX($BR$2:BR345)+1,""))</f>
      </c>
      <c r="BS346" s="129">
        <f>IF(AW346="","",COUNTIF($AW$3:AW346,"?*"))</f>
      </c>
      <c r="BT346" s="129">
        <f>IF(OR(AW346="",AI346=""),"",IF(COUNTIFS($AW$3:AW346,"?*",$AI$3:AI346,AI346)=1,MAX($BT$2:BT345)+1,""))</f>
      </c>
      <c r="BU346" s="129">
        <f>IF(AE346="",0,IF(OR(ISNUMBER(SEARCH("дубль",AE346)),ISNUMBER(SEARCH("ПЕРЕГРУЗ",AE346)),ISNUMBER(SEARCH("ЗАЩИЩ",AE346)),ISNUMBER(SEARCH("КАНАЛ",AE346)),ISNUMBER(SEARCH("без 30",AE346))),2,1))</f>
      </c>
      <c r="BV346" s="129">
        <f>IF(R346="","",COUNTIF($R$3:R346,"?*"))</f>
      </c>
      <c r="BW346" s="129">
        <f>IF(AY346&lt;&gt;1,0,IF(MAX(IFERROR(--VLOOKUP(R346,УГО_спр,5,FALSE),0),IFERROR(--VLOOKUP(AL346,УГО_спр,5,FALSE),0),IFERROR(--VLOOKUP(LEFT(AL346,2),УГО_спр,5,FALSE),0))&gt;0,MAX(IFERROR(--VLOOKUP(R346,УГО_спр,5,FALSE),0),IFERROR(--VLOOKUP(AL346,УГО_спр,5,FALSE),0),IFERROR(--VLOOKUP(LEFT(AL346,2),УГО_спр,5,FALSE),0)),IF(IFERROR(--LEFT(SUBSTITUTE(BQ346,"x","х"),FIND("х",SUBSTITUTE(BQ346,"x","х"))-1),3)&gt;3,Каталог!$S$9,1)))</f>
      </c>
      <c r="BX346" s="129">
        <f>IF(AY346&lt;&gt;1,0,MAX(0,IFERROR(--LEFT(SUBSTITUTE(BQ346,"x","х"),FIND("х",SUBSTITUTE(BQ346,"x","х"))-1),3)-3*BW346))</f>
      </c>
      <c r="BY346" s="129">
        <f>IF(R346="","",IFERROR(VLOOKUP(R346,УГО_спр,2,FALSE),IFERROR(VLOOKUP(AL346,УГО_спр,2,FALSE),IFERROR(VLOOKUP(LEFT(AL346,2),УГО_спр,2,FALSE),""))))</f>
      </c>
    </row>
    <row r="347" spans="1:64" x14ac:dyDescent="0.3">
      <c r="A347" s="135">
        <f>IF(Разбивка_по_щитам!F347=0,"",Разбивка_по_щитам!F347)</f>
      </c>
      <c r="B347" s="138">
        <f>IF(A347="","",Разбивка_по_щитам!C347)</f>
      </c>
      <c r="C347" s="138">
        <f t="shared" si="214"/>
      </c>
      <c r="D347" s="266"/>
      <c r="E347" s="266"/>
      <c r="F347" s="267"/>
      <c r="G347" s="145">
        <f t="shared" si="250"/>
        <v/>
      </c>
      <c r="H347" s="145">
        <f t="shared" si="251"/>
        <v/>
      </c>
      <c r="I347" s="266"/>
      <c r="J347" s="267"/>
      <c r="K347" s="267"/>
      <c r="L347" s="266"/>
      <c r="M347" s="147">
        <f t="shared" si="252"/>
        <v/>
      </c>
      <c r="N347" s="267"/>
      <c r="O347" s="147">
        <f t="shared" si="253"/>
        <v/>
      </c>
      <c r="P347" s="268">
        <f>IF(AY347=1,"XT"&amp;COUNTIFS($A$3:A347,A347,$AY$3:AY347,1),"")</f>
        <v/>
      </c>
      <c r="Q347" s="152">
        <f>IF(R347="","",IFERROR(SUBSTITUTE(Разбивка_по_щитам!P347,CHAR(10)," "),""))</f>
        <v/>
      </c>
      <c r="R347" s="153">
        <f>IF(OR(Разбивка_по_щитам!H347="",Разбивка_по_щитам!H347=0),"",Разбивка_по_щитам!H347)</f>
        <v/>
      </c>
      <c r="S347" s="154">
        <f>IF(R347="","",IFERROR(Разбивка_по_щитам!J347&amp;"",""))</f>
        <v/>
      </c>
      <c r="T347" s="155">
        <f>IF(R347="","",IFERROR(--Разбивка_по_щитам!L347,""))</f>
        <v/>
      </c>
      <c r="U347" s="155">
        <f>IF(R347="","",IFERROR(--Разбивка_по_щитам!K347,""))</f>
        <v/>
      </c>
      <c r="V347" s="138">
        <f>IF(R347="","",IFERROR(IF(Разбивка_по_щитам!M347=0,"",Разбивка_по_щитам!M347),""))</f>
        <v/>
      </c>
      <c r="W347" s="156">
        <f t="shared" si="215"/>
        <v/>
      </c>
      <c r="X347" s="157">
        <f t="shared" si="216"/>
        <v/>
      </c>
      <c r="Y347" s="266"/>
      <c r="Z347" s="158">
        <f t="shared" si="217"/>
        <v/>
      </c>
      <c r="AA347" s="160">
        <f t="shared" si="218"/>
        <v/>
      </c>
      <c r="AB347" s="160">
        <f>IF(R347="","",IFERROR(LOOKUP(INDEX(Справочная!$I$4:$I$19,MATCH(VLOOKUP(R347,Исходные_данные,22,FALSE),Справочная!$J$4:$J$19,0)+1),{6,10,16,20,25,32,40,50,63,80,100,125}),""))</f>
        <v/>
      </c>
      <c r="AC347" s="160">
        <f t="shared" si="219"/>
        <v/>
      </c>
      <c r="AD347" s="161">
        <f t="shared" si="220"/>
        <v/>
      </c>
      <c r="AE347" s="161">
        <f>IF(AND(R347="",G347=""),"",_xlfn.TEXTJOIN("; ",TRUE,IF(AND(R347&lt;&gt;"",V347=""),"нет фазы",""),IF(AND(R347&lt;&gt;"",N(T347)=0),"нет мощности",""),IF(AND(P347&lt;&gt;"",COUNTIFS($A$3:$A$1000,A347,$P$3:$P$1000,P347)&gt;1),"дубль клеммы "&amp;P347,""),IF(AND(W347&lt;&gt;"",W347&lt;&gt;"ok"),W347,""),IF(X347&lt;&gt;"",X347,""),IF(AND(ISNUMBER(SEARCH("(5х",Q347)),N(AK347)=1),"5 жил на 1 фазе",""),IF(AND(AL347="R",E347&lt;&gt;"",N(AS347)=0),"розетка без 30 мА",""),IF(IFERROR(_xlfn.NUMBERVALUE(MID(Q347,FIND("-",Q347,FIND("L=",Q347))+1,FIND("%",Q347)-FIND("-",Q347,FIND("L=",Q347))-1),","),0)&gt;4,"потери &gt; 4 %","")))</f>
      </c>
      <c r="AF347" s="129">
        <f>IF(E347&lt;&gt;"",COUNTIFS($A$3:A347,A347,$E$3:E347,"?*"),IF(OR(A347&lt;&gt;A346,Y347="вручную"),"",AF346))</f>
      </c>
      <c r="AG347" s="129">
        <f t="shared" si="221"/>
      </c>
      <c r="AH347" s="129">
        <f t="shared" si="222"/>
        <v/>
      </c>
      <c r="AI347" s="129">
        <f t="shared" si="223"/>
        <v/>
      </c>
      <c r="AJ347" s="129">
        <f t="shared" si="224"/>
        <v/>
      </c>
      <c r="AK347" s="129">
        <f t="shared" si="225"/>
        <v/>
      </c>
      <c r="AL347" s="129">
        <f t="shared" si="226"/>
        <v/>
      </c>
      <c r="AM347" s="129">
        <f t="shared" si="227"/>
      </c>
      <c r="AN347" s="129">
        <f t="shared" si="228"/>
      </c>
      <c r="AO347" s="129">
        <f t="shared" si="229"/>
        <v/>
      </c>
      <c r="AP347" s="129">
        <f t="shared" si="230"/>
        <v/>
      </c>
      <c r="AQ347" s="129">
        <f t="shared" si="231"/>
        <v/>
      </c>
      <c r="AR347" s="129">
        <f t="shared" si="232"/>
        <v/>
      </c>
      <c r="AS347" s="129">
        <f t="shared" si="233"/>
        <v/>
      </c>
      <c r="AT347" s="129">
        <f t="shared" si="234"/>
        <v/>
      </c>
      <c r="AU347" s="129">
        <f t="shared" si="235"/>
        <v/>
      </c>
      <c r="AV347" s="129">
        <f t="shared" si="236"/>
        <v/>
      </c>
      <c r="AW347" s="129">
        <f>IF(AV347="","",AV347&amp;"."&amp;COUNTIFS($A$3:A347,A347,$AV$3:AV347,AV347))</f>
        <v/>
      </c>
      <c r="AX347" s="129">
        <f t="shared" si="237"/>
        <v/>
      </c>
      <c r="AY347" s="129">
        <f>IF(N347="б/к",0,IF(OR(ISNUMBER(SEARCH("L=",Разбивка_по_щитам!P347)),N347="+",N347="="),1,0))</f>
      </c>
      <c r="AZ347" s="129">
        <f t="shared" si="238"/>
      </c>
      <c r="BA347" s="129">
        <f t="shared" si="239"/>
      </c>
      <c r="BB347" s="129">
        <f t="shared" si="240"/>
      </c>
      <c r="BD347" s="129">
        <f t="shared" si="241"/>
      </c>
      <c r="BE347" s="129">
        <f t="shared" si="242"/>
      </c>
      <c r="BF347" s="129">
        <f t="shared" si="243"/>
      </c>
      <c r="BG347" s="129">
        <f t="shared" si="244"/>
        <v/>
      </c>
      <c r="BH347" s="129">
        <f t="shared" si="245"/>
        <v/>
      </c>
      <c r="BI347" s="129">
        <f t="shared" si="246"/>
        <v/>
      </c>
      <c r="BJ347" s="129">
        <f t="shared" si="247"/>
        <v/>
      </c>
      <c r="BK347" s="129">
        <f>IF(R347="","",IF(OR(BY347="",BY347=0),"BOX",IFERROR(IF(VLOOKUP(BY347,УГО_блоки,3,FALSE)&amp;""&lt;&gt;"",VLOOKUP(BY347,УГО_блоки,3,FALSE),VLOOKUP(BY347,УГО_блоки,2,FALSE)),BY347)))</f>
      </c>
      <c r="BL347" s="129">
        <f t="shared" si="249"/>
      </c>
      <c r="BM347" s="129">
        <f>IF(H347="","",IF(COUNTIF($H$3:H347,H347)=1,MAX($BM$2:BM346)+1,""))</f>
      </c>
      <c r="BN347" s="129">
        <f>IF(I347="","",IF(COUNTIF($I$3:I347,I347)+COUNTIF($J$2:J346,I347)+COUNTIF($K$2:K346,I347)=1,MAX($BN$2:BP346)+1,""))</f>
      </c>
      <c r="BO347" s="129">
        <f>IF(J347="","",IF(COUNTIF($I$3:I347,J347)+COUNTIF($J$3:J347,J347)+COUNTIF($K$2:K346,J347)=1,MAX($BN$2:BP346,BN347)+1,""))</f>
      </c>
      <c r="BP347" s="129">
        <f>IF(K347="","",IF(COUNTIF($I$3:I347,K347)+COUNTIF($J$3:J347,K347)+COUNTIF($K$3:K347,K347)=1,MAX($BN$2:BP346,BN347,BO347)+1,""))</f>
      </c>
      <c r="BQ347" s="129">
        <f>IF(AY347=1,IFERROR(MID(Q347,FIND(" (",Q347)+2,FIND(")",Q347,FIND(" (",Q347))-FIND(" (",Q347)-2),"?"),"")</f>
      </c>
      <c r="BR347" s="129">
        <f>IF(BQ347="","",IF(COUNTIF($BQ$3:BQ347,BQ347)=1,MAX($BR$2:BR346)+1,""))</f>
      </c>
      <c r="BS347" s="129">
        <f>IF(AW347="","",COUNTIF($AW$3:AW347,"?*"))</f>
      </c>
      <c r="BT347" s="129">
        <f>IF(OR(AW347="",AI347=""),"",IF(COUNTIFS($AW$3:AW347,"?*",$AI$3:AI347,AI347)=1,MAX($BT$2:BT346)+1,""))</f>
      </c>
      <c r="BU347" s="129">
        <f>IF(AE347="",0,IF(OR(ISNUMBER(SEARCH("дубль",AE347)),ISNUMBER(SEARCH("ПЕРЕГРУЗ",AE347)),ISNUMBER(SEARCH("ЗАЩИЩ",AE347)),ISNUMBER(SEARCH("КАНАЛ",AE347)),ISNUMBER(SEARCH("без 30",AE347))),2,1))</f>
      </c>
      <c r="BV347" s="129">
        <f>IF(R347="","",COUNTIF($R$3:R347,"?*"))</f>
      </c>
      <c r="BW347" s="129">
        <f>IF(AY347&lt;&gt;1,0,IF(MAX(IFERROR(--VLOOKUP(R347,УГО_спр,5,FALSE),0),IFERROR(--VLOOKUP(AL347,УГО_спр,5,FALSE),0),IFERROR(--VLOOKUP(LEFT(AL347,2),УГО_спр,5,FALSE),0))&gt;0,MAX(IFERROR(--VLOOKUP(R347,УГО_спр,5,FALSE),0),IFERROR(--VLOOKUP(AL347,УГО_спр,5,FALSE),0),IFERROR(--VLOOKUP(LEFT(AL347,2),УГО_спр,5,FALSE),0)),IF(IFERROR(--LEFT(SUBSTITUTE(BQ347,"x","х"),FIND("х",SUBSTITUTE(BQ347,"x","х"))-1),3)&gt;3,Каталог!$S$9,1)))</f>
      </c>
      <c r="BX347" s="129">
        <f>IF(AY347&lt;&gt;1,0,MAX(0,IFERROR(--LEFT(SUBSTITUTE(BQ347,"x","х"),FIND("х",SUBSTITUTE(BQ347,"x","х"))-1),3)-3*BW347))</f>
      </c>
      <c r="BY347" s="129">
        <f>IF(R347="","",IFERROR(VLOOKUP(R347,УГО_спр,2,FALSE),IFERROR(VLOOKUP(AL347,УГО_спр,2,FALSE),IFERROR(VLOOKUP(LEFT(AL347,2),УГО_спр,2,FALSE),""))))</f>
      </c>
    </row>
    <row r="348" spans="1:64" x14ac:dyDescent="0.3">
      <c r="A348" s="135">
        <f>IF(Разбивка_по_щитам!F348=0,"",Разбивка_по_щитам!F348)</f>
      </c>
      <c r="B348" s="138">
        <f>IF(A348="","",Разбивка_по_щитам!C348)</f>
      </c>
      <c r="C348" s="138">
        <f t="shared" si="214"/>
      </c>
      <c r="D348" s="266"/>
      <c r="E348" s="266"/>
      <c r="F348" s="267"/>
      <c r="G348" s="145">
        <f t="shared" si="250"/>
        <v/>
      </c>
      <c r="H348" s="145">
        <f t="shared" si="251"/>
        <v/>
      </c>
      <c r="I348" s="266"/>
      <c r="J348" s="267"/>
      <c r="K348" s="267"/>
      <c r="L348" s="266"/>
      <c r="M348" s="147">
        <f t="shared" si="252"/>
        <v/>
      </c>
      <c r="N348" s="267"/>
      <c r="O348" s="147">
        <f t="shared" si="253"/>
        <v/>
      </c>
      <c r="P348" s="268">
        <f>IF(AY348=1,"XT"&amp;COUNTIFS($A$3:A348,A348,$AY$3:AY348,1),"")</f>
        <v/>
      </c>
      <c r="Q348" s="152">
        <f>IF(R348="","",IFERROR(SUBSTITUTE(Разбивка_по_щитам!P348,CHAR(10)," "),""))</f>
        <v/>
      </c>
      <c r="R348" s="153">
        <f>IF(OR(Разбивка_по_щитам!H348="",Разбивка_по_щитам!H348=0),"",Разбивка_по_щитам!H348)</f>
        <v/>
      </c>
      <c r="S348" s="154">
        <f>IF(R348="","",IFERROR(Разбивка_по_щитам!J348&amp;"",""))</f>
        <v/>
      </c>
      <c r="T348" s="155">
        <f>IF(R348="","",IFERROR(--Разбивка_по_щитам!L348,""))</f>
        <v/>
      </c>
      <c r="U348" s="155">
        <f>IF(R348="","",IFERROR(--Разбивка_по_щитам!K348,""))</f>
        <v/>
      </c>
      <c r="V348" s="138">
        <f>IF(R348="","",IFERROR(IF(Разбивка_по_щитам!M348=0,"",Разбивка_по_щитам!M348),""))</f>
        <v/>
      </c>
      <c r="W348" s="156">
        <f t="shared" si="215"/>
        <v/>
      </c>
      <c r="X348" s="157">
        <f t="shared" si="216"/>
        <v/>
      </c>
      <c r="Y348" s="266"/>
      <c r="Z348" s="158">
        <f t="shared" si="217"/>
        <v/>
      </c>
      <c r="AA348" s="160">
        <f t="shared" si="218"/>
        <v/>
      </c>
      <c r="AB348" s="160">
        <f>IF(R348="","",IFERROR(LOOKUP(INDEX(Справочная!$I$4:$I$19,MATCH(VLOOKUP(R348,Исходные_данные,22,FALSE),Справочная!$J$4:$J$19,0)+1),{6,10,16,20,25,32,40,50,63,80,100,125}),""))</f>
        <v/>
      </c>
      <c r="AC348" s="160">
        <f t="shared" si="219"/>
        <v/>
      </c>
      <c r="AD348" s="161">
        <f t="shared" si="220"/>
        <v/>
      </c>
      <c r="AE348" s="161">
        <f>IF(AND(R348="",G348=""),"",_xlfn.TEXTJOIN("; ",TRUE,IF(AND(R348&lt;&gt;"",V348=""),"нет фазы",""),IF(AND(R348&lt;&gt;"",N(T348)=0),"нет мощности",""),IF(AND(P348&lt;&gt;"",COUNTIFS($A$3:$A$1000,A348,$P$3:$P$1000,P348)&gt;1),"дубль клеммы "&amp;P348,""),IF(AND(W348&lt;&gt;"",W348&lt;&gt;"ok"),W348,""),IF(X348&lt;&gt;"",X348,""),IF(AND(ISNUMBER(SEARCH("(5х",Q348)),N(AK348)=1),"5 жил на 1 фазе",""),IF(AND(AL348="R",E348&lt;&gt;"",N(AS348)=0),"розетка без 30 мА",""),IF(IFERROR(_xlfn.NUMBERVALUE(MID(Q348,FIND("-",Q348,FIND("L=",Q348))+1,FIND("%",Q348)-FIND("-",Q348,FIND("L=",Q348))-1),","),0)&gt;4,"потери &gt; 4 %","")))</f>
      </c>
      <c r="AF348" s="129">
        <f>IF(E348&lt;&gt;"",COUNTIFS($A$3:A348,A348,$E$3:E348,"?*"),IF(OR(A348&lt;&gt;A347,Y348="вручную"),"",AF347))</f>
      </c>
      <c r="AG348" s="129">
        <f t="shared" si="221"/>
      </c>
      <c r="AH348" s="129">
        <f t="shared" si="222"/>
        <v/>
      </c>
      <c r="AI348" s="129">
        <f t="shared" si="223"/>
        <v/>
      </c>
      <c r="AJ348" s="129">
        <f t="shared" si="224"/>
        <v/>
      </c>
      <c r="AK348" s="129">
        <f t="shared" si="225"/>
        <v/>
      </c>
      <c r="AL348" s="129">
        <f t="shared" si="226"/>
        <v/>
      </c>
      <c r="AM348" s="129">
        <f t="shared" si="227"/>
      </c>
      <c r="AN348" s="129">
        <f t="shared" si="228"/>
      </c>
      <c r="AO348" s="129">
        <f t="shared" si="229"/>
        <v/>
      </c>
      <c r="AP348" s="129">
        <f t="shared" si="230"/>
        <v/>
      </c>
      <c r="AQ348" s="129">
        <f t="shared" si="231"/>
        <v/>
      </c>
      <c r="AR348" s="129">
        <f t="shared" si="232"/>
        <v/>
      </c>
      <c r="AS348" s="129">
        <f t="shared" si="233"/>
        <v/>
      </c>
      <c r="AT348" s="129">
        <f t="shared" si="234"/>
        <v/>
      </c>
      <c r="AU348" s="129">
        <f t="shared" si="235"/>
        <v/>
      </c>
      <c r="AV348" s="129">
        <f t="shared" si="236"/>
        <v/>
      </c>
      <c r="AW348" s="129">
        <f>IF(AV348="","",AV348&amp;"."&amp;COUNTIFS($A$3:A348,A348,$AV$3:AV348,AV348))</f>
        <v/>
      </c>
      <c r="AX348" s="129">
        <f t="shared" si="237"/>
        <v/>
      </c>
      <c r="AY348" s="129">
        <f>IF(N348="б/к",0,IF(OR(ISNUMBER(SEARCH("L=",Разбивка_по_щитам!P348)),N348="+",N348="="),1,0))</f>
      </c>
      <c r="AZ348" s="129">
        <f t="shared" si="238"/>
      </c>
      <c r="BA348" s="129">
        <f t="shared" si="239"/>
      </c>
      <c r="BB348" s="129">
        <f t="shared" si="240"/>
      </c>
      <c r="BD348" s="129">
        <f t="shared" si="241"/>
      </c>
      <c r="BE348" s="129">
        <f t="shared" si="242"/>
      </c>
      <c r="BF348" s="129">
        <f t="shared" si="243"/>
      </c>
      <c r="BG348" s="129">
        <f t="shared" si="244"/>
        <v/>
      </c>
      <c r="BH348" s="129">
        <f t="shared" si="245"/>
        <v/>
      </c>
      <c r="BI348" s="129">
        <f t="shared" si="246"/>
        <v/>
      </c>
      <c r="BJ348" s="129">
        <f t="shared" si="247"/>
        <v/>
      </c>
      <c r="BK348" s="129">
        <f>IF(R348="","",IF(OR(BY348="",BY348=0),"BOX",IFERROR(IF(VLOOKUP(BY348,УГО_блоки,3,FALSE)&amp;""&lt;&gt;"",VLOOKUP(BY348,УГО_блоки,3,FALSE),VLOOKUP(BY348,УГО_блоки,2,FALSE)),BY348)))</f>
      </c>
      <c r="BL348" s="129">
        <f t="shared" si="249"/>
      </c>
      <c r="BM348" s="129">
        <f>IF(H348="","",IF(COUNTIF($H$3:H348,H348)=1,MAX($BM$2:BM347)+1,""))</f>
      </c>
      <c r="BN348" s="129">
        <f>IF(I348="","",IF(COUNTIF($I$3:I348,I348)+COUNTIF($J$2:J347,I348)+COUNTIF($K$2:K347,I348)=1,MAX($BN$2:BP347)+1,""))</f>
      </c>
      <c r="BO348" s="129">
        <f>IF(J348="","",IF(COUNTIF($I$3:I348,J348)+COUNTIF($J$3:J348,J348)+COUNTIF($K$2:K347,J348)=1,MAX($BN$2:BP347,BN348)+1,""))</f>
      </c>
      <c r="BP348" s="129">
        <f>IF(K348="","",IF(COUNTIF($I$3:I348,K348)+COUNTIF($J$3:J348,K348)+COUNTIF($K$3:K348,K348)=1,MAX($BN$2:BP347,BN348,BO348)+1,""))</f>
      </c>
      <c r="BQ348" s="129">
        <f>IF(AY348=1,IFERROR(MID(Q348,FIND(" (",Q348)+2,FIND(")",Q348,FIND(" (",Q348))-FIND(" (",Q348)-2),"?"),"")</f>
      </c>
      <c r="BR348" s="129">
        <f>IF(BQ348="","",IF(COUNTIF($BQ$3:BQ348,BQ348)=1,MAX($BR$2:BR347)+1,""))</f>
      </c>
      <c r="BS348" s="129">
        <f>IF(AW348="","",COUNTIF($AW$3:AW348,"?*"))</f>
      </c>
      <c r="BT348" s="129">
        <f>IF(OR(AW348="",AI348=""),"",IF(COUNTIFS($AW$3:AW348,"?*",$AI$3:AI348,AI348)=1,MAX($BT$2:BT347)+1,""))</f>
      </c>
      <c r="BU348" s="129">
        <f>IF(AE348="",0,IF(OR(ISNUMBER(SEARCH("дубль",AE348)),ISNUMBER(SEARCH("ПЕРЕГРУЗ",AE348)),ISNUMBER(SEARCH("ЗАЩИЩ",AE348)),ISNUMBER(SEARCH("КАНАЛ",AE348)),ISNUMBER(SEARCH("без 30",AE348))),2,1))</f>
      </c>
      <c r="BV348" s="129">
        <f>IF(R348="","",COUNTIF($R$3:R348,"?*"))</f>
      </c>
      <c r="BW348" s="129">
        <f>IF(AY348&lt;&gt;1,0,IF(MAX(IFERROR(--VLOOKUP(R348,УГО_спр,5,FALSE),0),IFERROR(--VLOOKUP(AL348,УГО_спр,5,FALSE),0),IFERROR(--VLOOKUP(LEFT(AL348,2),УГО_спр,5,FALSE),0))&gt;0,MAX(IFERROR(--VLOOKUP(R348,УГО_спр,5,FALSE),0),IFERROR(--VLOOKUP(AL348,УГО_спр,5,FALSE),0),IFERROR(--VLOOKUP(LEFT(AL348,2),УГО_спр,5,FALSE),0)),IF(IFERROR(--LEFT(SUBSTITUTE(BQ348,"x","х"),FIND("х",SUBSTITUTE(BQ348,"x","х"))-1),3)&gt;3,Каталог!$S$9,1)))</f>
      </c>
      <c r="BX348" s="129">
        <f>IF(AY348&lt;&gt;1,0,MAX(0,IFERROR(--LEFT(SUBSTITUTE(BQ348,"x","х"),FIND("х",SUBSTITUTE(BQ348,"x","х"))-1),3)-3*BW348))</f>
      </c>
      <c r="BY348" s="129">
        <f>IF(R348="","",IFERROR(VLOOKUP(R348,УГО_спр,2,FALSE),IFERROR(VLOOKUP(AL348,УГО_спр,2,FALSE),IFERROR(VLOOKUP(LEFT(AL348,2),УГО_спр,2,FALSE),""))))</f>
      </c>
    </row>
    <row r="349" spans="1:64" x14ac:dyDescent="0.3">
      <c r="A349" s="135">
        <f>IF(Разбивка_по_щитам!F349=0,"",Разбивка_по_щитам!F349)</f>
      </c>
      <c r="B349" s="138">
        <f>IF(A349="","",Разбивка_по_щитам!C349)</f>
      </c>
      <c r="C349" s="138">
        <f t="shared" si="214"/>
      </c>
      <c r="D349" s="266"/>
      <c r="E349" s="266"/>
      <c r="F349" s="267"/>
      <c r="G349" s="145">
        <f t="shared" si="250"/>
        <v/>
      </c>
      <c r="H349" s="145">
        <f t="shared" si="251"/>
        <v/>
      </c>
      <c r="I349" s="266"/>
      <c r="J349" s="267"/>
      <c r="K349" s="267"/>
      <c r="L349" s="266"/>
      <c r="M349" s="147">
        <f t="shared" si="252"/>
        <v/>
      </c>
      <c r="N349" s="267"/>
      <c r="O349" s="147">
        <f t="shared" si="253"/>
        <v/>
      </c>
      <c r="P349" s="268">
        <f>IF(AY349=1,"XT"&amp;COUNTIFS($A$3:A349,A349,$AY$3:AY349,1),"")</f>
        <v/>
      </c>
      <c r="Q349" s="152">
        <f>IF(R349="","",IFERROR(SUBSTITUTE(Разбивка_по_щитам!P349,CHAR(10)," "),""))</f>
        <v/>
      </c>
      <c r="R349" s="153">
        <f>IF(OR(Разбивка_по_щитам!H349="",Разбивка_по_щитам!H349=0),"",Разбивка_по_щитам!H349)</f>
        <v/>
      </c>
      <c r="S349" s="154">
        <f>IF(R349="","",IFERROR(Разбивка_по_щитам!J349&amp;"",""))</f>
        <v/>
      </c>
      <c r="T349" s="155">
        <f>IF(R349="","",IFERROR(--Разбивка_по_щитам!L349,""))</f>
        <v/>
      </c>
      <c r="U349" s="155">
        <f>IF(R349="","",IFERROR(--Разбивка_по_щитам!K349,""))</f>
        <v/>
      </c>
      <c r="V349" s="138">
        <f>IF(R349="","",IFERROR(IF(Разбивка_по_щитам!M349=0,"",Разбивка_по_щитам!M349),""))</f>
        <v/>
      </c>
      <c r="W349" s="156">
        <f t="shared" si="215"/>
        <v/>
      </c>
      <c r="X349" s="157">
        <f t="shared" si="216"/>
        <v/>
      </c>
      <c r="Y349" s="266"/>
      <c r="Z349" s="158">
        <f t="shared" si="217"/>
        <v/>
      </c>
      <c r="AA349" s="160">
        <f t="shared" si="218"/>
        <v/>
      </c>
      <c r="AB349" s="160">
        <f>IF(R349="","",IFERROR(LOOKUP(INDEX(Справочная!$I$4:$I$19,MATCH(VLOOKUP(R349,Исходные_данные,22,FALSE),Справочная!$J$4:$J$19,0)+1),{6,10,16,20,25,32,40,50,63,80,100,125}),""))</f>
        <v/>
      </c>
      <c r="AC349" s="160">
        <f t="shared" si="219"/>
        <v/>
      </c>
      <c r="AD349" s="161">
        <f t="shared" si="220"/>
        <v/>
      </c>
      <c r="AE349" s="161">
        <f>IF(AND(R349="",G349=""),"",_xlfn.TEXTJOIN("; ",TRUE,IF(AND(R349&lt;&gt;"",V349=""),"нет фазы",""),IF(AND(R349&lt;&gt;"",N(T349)=0),"нет мощности",""),IF(AND(P349&lt;&gt;"",COUNTIFS($A$3:$A$1000,A349,$P$3:$P$1000,P349)&gt;1),"дубль клеммы "&amp;P349,""),IF(AND(W349&lt;&gt;"",W349&lt;&gt;"ok"),W349,""),IF(X349&lt;&gt;"",X349,""),IF(AND(ISNUMBER(SEARCH("(5х",Q349)),N(AK349)=1),"5 жил на 1 фазе",""),IF(AND(AL349="R",E349&lt;&gt;"",N(AS349)=0),"розетка без 30 мА",""),IF(IFERROR(_xlfn.NUMBERVALUE(MID(Q349,FIND("-",Q349,FIND("L=",Q349))+1,FIND("%",Q349)-FIND("-",Q349,FIND("L=",Q349))-1),","),0)&gt;4,"потери &gt; 4 %","")))</f>
      </c>
      <c r="AF349" s="129">
        <f>IF(E349&lt;&gt;"",COUNTIFS($A$3:A349,A349,$E$3:E349,"?*"),IF(OR(A349&lt;&gt;A348,Y349="вручную"),"",AF348))</f>
      </c>
      <c r="AG349" s="129">
        <f t="shared" si="221"/>
      </c>
      <c r="AH349" s="129">
        <f t="shared" si="222"/>
        <v/>
      </c>
      <c r="AI349" s="129">
        <f t="shared" si="223"/>
        <v/>
      </c>
      <c r="AJ349" s="129">
        <f t="shared" si="224"/>
        <v/>
      </c>
      <c r="AK349" s="129">
        <f t="shared" si="225"/>
        <v/>
      </c>
      <c r="AL349" s="129">
        <f t="shared" si="226"/>
        <v/>
      </c>
      <c r="AM349" s="129">
        <f t="shared" si="227"/>
      </c>
      <c r="AN349" s="129">
        <f t="shared" si="228"/>
      </c>
      <c r="AO349" s="129">
        <f t="shared" si="229"/>
        <v/>
      </c>
      <c r="AP349" s="129">
        <f t="shared" si="230"/>
        <v/>
      </c>
      <c r="AQ349" s="129">
        <f t="shared" si="231"/>
        <v/>
      </c>
      <c r="AR349" s="129">
        <f t="shared" si="232"/>
        <v/>
      </c>
      <c r="AS349" s="129">
        <f t="shared" si="233"/>
        <v/>
      </c>
      <c r="AT349" s="129">
        <f t="shared" si="234"/>
        <v/>
      </c>
      <c r="AU349" s="129">
        <f t="shared" si="235"/>
        <v/>
      </c>
      <c r="AV349" s="129">
        <f t="shared" si="236"/>
        <v/>
      </c>
      <c r="AW349" s="129">
        <f>IF(AV349="","",AV349&amp;"."&amp;COUNTIFS($A$3:A349,A349,$AV$3:AV349,AV349))</f>
        <v/>
      </c>
      <c r="AX349" s="129">
        <f t="shared" si="237"/>
        <v/>
      </c>
      <c r="AY349" s="129">
        <f>IF(N349="б/к",0,IF(OR(ISNUMBER(SEARCH("L=",Разбивка_по_щитам!P349)),N349="+",N349="="),1,0))</f>
      </c>
      <c r="AZ349" s="129">
        <f t="shared" si="238"/>
      </c>
      <c r="BA349" s="129">
        <f t="shared" si="239"/>
      </c>
      <c r="BB349" s="129">
        <f t="shared" si="240"/>
      </c>
      <c r="BD349" s="129">
        <f t="shared" si="241"/>
      </c>
      <c r="BE349" s="129">
        <f t="shared" si="242"/>
      </c>
      <c r="BF349" s="129">
        <f t="shared" si="243"/>
      </c>
      <c r="BG349" s="129">
        <f t="shared" si="244"/>
        <v/>
      </c>
      <c r="BH349" s="129">
        <f t="shared" si="245"/>
        <v/>
      </c>
      <c r="BI349" s="129">
        <f t="shared" si="246"/>
        <v/>
      </c>
      <c r="BJ349" s="129">
        <f t="shared" si="247"/>
        <v/>
      </c>
      <c r="BK349" s="129">
        <f>IF(R349="","",IF(OR(BY349="",BY349=0),"BOX",IFERROR(IF(VLOOKUP(BY349,УГО_блоки,3,FALSE)&amp;""&lt;&gt;"",VLOOKUP(BY349,УГО_блоки,3,FALSE),VLOOKUP(BY349,УГО_блоки,2,FALSE)),BY349)))</f>
      </c>
      <c r="BL349" s="129">
        <f t="shared" si="249"/>
      </c>
      <c r="BM349" s="129">
        <f>IF(H349="","",IF(COUNTIF($H$3:H349,H349)=1,MAX($BM$2:BM348)+1,""))</f>
      </c>
      <c r="BN349" s="129">
        <f>IF(I349="","",IF(COUNTIF($I$3:I349,I349)+COUNTIF($J$2:J348,I349)+COUNTIF($K$2:K348,I349)=1,MAX($BN$2:BP348)+1,""))</f>
      </c>
      <c r="BO349" s="129">
        <f>IF(J349="","",IF(COUNTIF($I$3:I349,J349)+COUNTIF($J$3:J349,J349)+COUNTIF($K$2:K348,J349)=1,MAX($BN$2:BP348,BN349)+1,""))</f>
      </c>
      <c r="BP349" s="129">
        <f>IF(K349="","",IF(COUNTIF($I$3:I349,K349)+COUNTIF($J$3:J349,K349)+COUNTIF($K$3:K349,K349)=1,MAX($BN$2:BP348,BN349,BO349)+1,""))</f>
      </c>
      <c r="BQ349" s="129">
        <f>IF(AY349=1,IFERROR(MID(Q349,FIND(" (",Q349)+2,FIND(")",Q349,FIND(" (",Q349))-FIND(" (",Q349)-2),"?"),"")</f>
      </c>
      <c r="BR349" s="129">
        <f>IF(BQ349="","",IF(COUNTIF($BQ$3:BQ349,BQ349)=1,MAX($BR$2:BR348)+1,""))</f>
      </c>
      <c r="BS349" s="129">
        <f>IF(AW349="","",COUNTIF($AW$3:AW349,"?*"))</f>
      </c>
      <c r="BT349" s="129">
        <f>IF(OR(AW349="",AI349=""),"",IF(COUNTIFS($AW$3:AW349,"?*",$AI$3:AI349,AI349)=1,MAX($BT$2:BT348)+1,""))</f>
      </c>
      <c r="BU349" s="129">
        <f>IF(AE349="",0,IF(OR(ISNUMBER(SEARCH("дубль",AE349)),ISNUMBER(SEARCH("ПЕРЕГРУЗ",AE349)),ISNUMBER(SEARCH("ЗАЩИЩ",AE349)),ISNUMBER(SEARCH("КАНАЛ",AE349)),ISNUMBER(SEARCH("без 30",AE349))),2,1))</f>
      </c>
      <c r="BV349" s="129">
        <f>IF(R349="","",COUNTIF($R$3:R349,"?*"))</f>
      </c>
      <c r="BW349" s="129">
        <f>IF(AY349&lt;&gt;1,0,IF(MAX(IFERROR(--VLOOKUP(R349,УГО_спр,5,FALSE),0),IFERROR(--VLOOKUP(AL349,УГО_спр,5,FALSE),0),IFERROR(--VLOOKUP(LEFT(AL349,2),УГО_спр,5,FALSE),0))&gt;0,MAX(IFERROR(--VLOOKUP(R349,УГО_спр,5,FALSE),0),IFERROR(--VLOOKUP(AL349,УГО_спр,5,FALSE),0),IFERROR(--VLOOKUP(LEFT(AL349,2),УГО_спр,5,FALSE),0)),IF(IFERROR(--LEFT(SUBSTITUTE(BQ349,"x","х"),FIND("х",SUBSTITUTE(BQ349,"x","х"))-1),3)&gt;3,Каталог!$S$9,1)))</f>
      </c>
      <c r="BX349" s="129">
        <f>IF(AY349&lt;&gt;1,0,MAX(0,IFERROR(--LEFT(SUBSTITUTE(BQ349,"x","х"),FIND("х",SUBSTITUTE(BQ349,"x","х"))-1),3)-3*BW349))</f>
      </c>
      <c r="BY349" s="129">
        <f>IF(R349="","",IFERROR(VLOOKUP(R349,УГО_спр,2,FALSE),IFERROR(VLOOKUP(AL349,УГО_спр,2,FALSE),IFERROR(VLOOKUP(LEFT(AL349,2),УГО_спр,2,FALSE),""))))</f>
      </c>
    </row>
    <row r="350" spans="1:64" x14ac:dyDescent="0.3">
      <c r="A350" s="135">
        <f>IF(Разбивка_по_щитам!F350=0,"",Разбивка_по_щитам!F350)</f>
      </c>
      <c r="B350" s="138">
        <f>IF(A350="","",Разбивка_по_щитам!C350)</f>
      </c>
      <c r="C350" s="138">
        <f t="shared" si="214"/>
      </c>
      <c r="D350" s="266"/>
      <c r="E350" s="266"/>
      <c r="F350" s="267"/>
      <c r="G350" s="145">
        <f t="shared" si="250"/>
        <v/>
      </c>
      <c r="H350" s="145">
        <f t="shared" si="251"/>
        <v/>
      </c>
      <c r="I350" s="266"/>
      <c r="J350" s="267"/>
      <c r="K350" s="267"/>
      <c r="L350" s="266"/>
      <c r="M350" s="147">
        <f t="shared" si="252"/>
        <v/>
      </c>
      <c r="N350" s="267"/>
      <c r="O350" s="147">
        <f t="shared" si="253"/>
        <v/>
      </c>
      <c r="P350" s="268">
        <f>IF(AY350=1,"XT"&amp;COUNTIFS($A$3:A350,A350,$AY$3:AY350,1),"")</f>
        <v/>
      </c>
      <c r="Q350" s="152">
        <f>IF(R350="","",IFERROR(SUBSTITUTE(Разбивка_по_щитам!P350,CHAR(10)," "),""))</f>
        <v/>
      </c>
      <c r="R350" s="153">
        <f>IF(OR(Разбивка_по_щитам!H350="",Разбивка_по_щитам!H350=0),"",Разбивка_по_щитам!H350)</f>
        <v/>
      </c>
      <c r="S350" s="154">
        <f>IF(R350="","",IFERROR(Разбивка_по_щитам!J350&amp;"",""))</f>
        <v/>
      </c>
      <c r="T350" s="155">
        <f>IF(R350="","",IFERROR(--Разбивка_по_щитам!L350,""))</f>
        <v/>
      </c>
      <c r="U350" s="155">
        <f>IF(R350="","",IFERROR(--Разбивка_по_щитам!K350,""))</f>
        <v/>
      </c>
      <c r="V350" s="138">
        <f>IF(R350="","",IFERROR(IF(Разбивка_по_щитам!M350=0,"",Разбивка_по_щитам!M350),""))</f>
        <v/>
      </c>
      <c r="W350" s="156">
        <f t="shared" si="215"/>
        <v/>
      </c>
      <c r="X350" s="157">
        <f t="shared" si="216"/>
        <v/>
      </c>
      <c r="Y350" s="266"/>
      <c r="Z350" s="158">
        <f t="shared" si="217"/>
        <v/>
      </c>
      <c r="AA350" s="160">
        <f t="shared" si="218"/>
        <v/>
      </c>
      <c r="AB350" s="160">
        <f>IF(R350="","",IFERROR(LOOKUP(INDEX(Справочная!$I$4:$I$19,MATCH(VLOOKUP(R350,Исходные_данные,22,FALSE),Справочная!$J$4:$J$19,0)+1),{6,10,16,20,25,32,40,50,63,80,100,125}),""))</f>
        <v/>
      </c>
      <c r="AC350" s="160">
        <f t="shared" si="219"/>
        <v/>
      </c>
      <c r="AD350" s="161">
        <f t="shared" si="220"/>
        <v/>
      </c>
      <c r="AE350" s="161">
        <f>IF(AND(R350="",G350=""),"",_xlfn.TEXTJOIN("; ",TRUE,IF(AND(R350&lt;&gt;"",V350=""),"нет фазы",""),IF(AND(R350&lt;&gt;"",N(T350)=0),"нет мощности",""),IF(AND(P350&lt;&gt;"",COUNTIFS($A$3:$A$1000,A350,$P$3:$P$1000,P350)&gt;1),"дубль клеммы "&amp;P350,""),IF(AND(W350&lt;&gt;"",W350&lt;&gt;"ok"),W350,""),IF(X350&lt;&gt;"",X350,""),IF(AND(ISNUMBER(SEARCH("(5х",Q350)),N(AK350)=1),"5 жил на 1 фазе",""),IF(AND(AL350="R",E350&lt;&gt;"",N(AS350)=0),"розетка без 30 мА",""),IF(IFERROR(_xlfn.NUMBERVALUE(MID(Q350,FIND("-",Q350,FIND("L=",Q350))+1,FIND("%",Q350)-FIND("-",Q350,FIND("L=",Q350))-1),","),0)&gt;4,"потери &gt; 4 %","")))</f>
      </c>
      <c r="AF350" s="129">
        <f>IF(E350&lt;&gt;"",COUNTIFS($A$3:A350,A350,$E$3:E350,"?*"),IF(OR(A350&lt;&gt;A349,Y350="вручную"),"",AF349))</f>
      </c>
      <c r="AG350" s="129">
        <f t="shared" si="221"/>
      </c>
      <c r="AH350" s="129">
        <f t="shared" si="222"/>
        <v/>
      </c>
      <c r="AI350" s="129">
        <f t="shared" si="223"/>
        <v/>
      </c>
      <c r="AJ350" s="129">
        <f t="shared" si="224"/>
        <v/>
      </c>
      <c r="AK350" s="129">
        <f t="shared" si="225"/>
        <v/>
      </c>
      <c r="AL350" s="129">
        <f t="shared" si="226"/>
        <v/>
      </c>
      <c r="AM350" s="129">
        <f t="shared" si="227"/>
      </c>
      <c r="AN350" s="129">
        <f t="shared" si="228"/>
      </c>
      <c r="AO350" s="129">
        <f t="shared" si="229"/>
        <v/>
      </c>
      <c r="AP350" s="129">
        <f t="shared" si="230"/>
        <v/>
      </c>
      <c r="AQ350" s="129">
        <f t="shared" si="231"/>
        <v/>
      </c>
      <c r="AR350" s="129">
        <f t="shared" si="232"/>
        <v/>
      </c>
      <c r="AS350" s="129">
        <f t="shared" si="233"/>
        <v/>
      </c>
      <c r="AT350" s="129">
        <f t="shared" si="234"/>
        <v/>
      </c>
      <c r="AU350" s="129">
        <f t="shared" si="235"/>
        <v/>
      </c>
      <c r="AV350" s="129">
        <f t="shared" si="236"/>
        <v/>
      </c>
      <c r="AW350" s="129">
        <f>IF(AV350="","",AV350&amp;"."&amp;COUNTIFS($A$3:A350,A350,$AV$3:AV350,AV350))</f>
        <v/>
      </c>
      <c r="AX350" s="129">
        <f t="shared" si="237"/>
        <v/>
      </c>
      <c r="AY350" s="129">
        <f>IF(N350="б/к",0,IF(OR(ISNUMBER(SEARCH("L=",Разбивка_по_щитам!P350)),N350="+",N350="="),1,0))</f>
      </c>
      <c r="AZ350" s="129">
        <f t="shared" si="238"/>
      </c>
      <c r="BA350" s="129">
        <f t="shared" si="239"/>
      </c>
      <c r="BB350" s="129">
        <f t="shared" si="240"/>
      </c>
      <c r="BD350" s="129">
        <f t="shared" si="241"/>
      </c>
      <c r="BE350" s="129">
        <f t="shared" si="242"/>
      </c>
      <c r="BF350" s="129">
        <f t="shared" si="243"/>
      </c>
      <c r="BG350" s="129">
        <f t="shared" si="244"/>
        <v/>
      </c>
      <c r="BH350" s="129">
        <f t="shared" si="245"/>
        <v/>
      </c>
      <c r="BI350" s="129">
        <f t="shared" si="246"/>
        <v/>
      </c>
      <c r="BJ350" s="129">
        <f t="shared" si="247"/>
        <v/>
      </c>
      <c r="BK350" s="129">
        <f>IF(R350="","",IF(OR(BY350="",BY350=0),"BOX",IFERROR(IF(VLOOKUP(BY350,УГО_блоки,3,FALSE)&amp;""&lt;&gt;"",VLOOKUP(BY350,УГО_блоки,3,FALSE),VLOOKUP(BY350,УГО_блоки,2,FALSE)),BY350)))</f>
      </c>
      <c r="BL350" s="129">
        <f t="shared" si="249"/>
      </c>
      <c r="BM350" s="129">
        <f>IF(H350="","",IF(COUNTIF($H$3:H350,H350)=1,MAX($BM$2:BM349)+1,""))</f>
      </c>
      <c r="BN350" s="129">
        <f>IF(I350="","",IF(COUNTIF($I$3:I350,I350)+COUNTIF($J$2:J349,I350)+COUNTIF($K$2:K349,I350)=1,MAX($BN$2:BP349)+1,""))</f>
      </c>
      <c r="BO350" s="129">
        <f>IF(J350="","",IF(COUNTIF($I$3:I350,J350)+COUNTIF($J$3:J350,J350)+COUNTIF($K$2:K349,J350)=1,MAX($BN$2:BP349,BN350)+1,""))</f>
      </c>
      <c r="BP350" s="129">
        <f>IF(K350="","",IF(COUNTIF($I$3:I350,K350)+COUNTIF($J$3:J350,K350)+COUNTIF($K$3:K350,K350)=1,MAX($BN$2:BP349,BN350,BO350)+1,""))</f>
      </c>
      <c r="BQ350" s="129">
        <f>IF(AY350=1,IFERROR(MID(Q350,FIND(" (",Q350)+2,FIND(")",Q350,FIND(" (",Q350))-FIND(" (",Q350)-2),"?"),"")</f>
      </c>
      <c r="BR350" s="129">
        <f>IF(BQ350="","",IF(COUNTIF($BQ$3:BQ350,BQ350)=1,MAX($BR$2:BR349)+1,""))</f>
      </c>
      <c r="BS350" s="129">
        <f>IF(AW350="","",COUNTIF($AW$3:AW350,"?*"))</f>
      </c>
      <c r="BT350" s="129">
        <f>IF(OR(AW350="",AI350=""),"",IF(COUNTIFS($AW$3:AW350,"?*",$AI$3:AI350,AI350)=1,MAX($BT$2:BT349)+1,""))</f>
      </c>
      <c r="BU350" s="129">
        <f>IF(AE350="",0,IF(OR(ISNUMBER(SEARCH("дубль",AE350)),ISNUMBER(SEARCH("ПЕРЕГРУЗ",AE350)),ISNUMBER(SEARCH("ЗАЩИЩ",AE350)),ISNUMBER(SEARCH("КАНАЛ",AE350)),ISNUMBER(SEARCH("без 30",AE350))),2,1))</f>
      </c>
      <c r="BV350" s="129">
        <f>IF(R350="","",COUNTIF($R$3:R350,"?*"))</f>
      </c>
      <c r="BW350" s="129">
        <f>IF(AY350&lt;&gt;1,0,IF(MAX(IFERROR(--VLOOKUP(R350,УГО_спр,5,FALSE),0),IFERROR(--VLOOKUP(AL350,УГО_спр,5,FALSE),0),IFERROR(--VLOOKUP(LEFT(AL350,2),УГО_спр,5,FALSE),0))&gt;0,MAX(IFERROR(--VLOOKUP(R350,УГО_спр,5,FALSE),0),IFERROR(--VLOOKUP(AL350,УГО_спр,5,FALSE),0),IFERROR(--VLOOKUP(LEFT(AL350,2),УГО_спр,5,FALSE),0)),IF(IFERROR(--LEFT(SUBSTITUTE(BQ350,"x","х"),FIND("х",SUBSTITUTE(BQ350,"x","х"))-1),3)&gt;3,Каталог!$S$9,1)))</f>
      </c>
      <c r="BX350" s="129">
        <f>IF(AY350&lt;&gt;1,0,MAX(0,IFERROR(--LEFT(SUBSTITUTE(BQ350,"x","х"),FIND("х",SUBSTITUTE(BQ350,"x","х"))-1),3)-3*BW350))</f>
      </c>
      <c r="BY350" s="129">
        <f>IF(R350="","",IFERROR(VLOOKUP(R350,УГО_спр,2,FALSE),IFERROR(VLOOKUP(AL350,УГО_спр,2,FALSE),IFERROR(VLOOKUP(LEFT(AL350,2),УГО_спр,2,FALSE),""))))</f>
      </c>
    </row>
    <row r="351" spans="1:64" x14ac:dyDescent="0.3">
      <c r="A351" s="135">
        <f>IF(Разбивка_по_щитам!F351=0,"",Разбивка_по_щитам!F351)</f>
      </c>
      <c r="B351" s="138">
        <f>IF(A351="","",Разбивка_по_щитам!C351)</f>
      </c>
      <c r="C351" s="138">
        <f t="shared" si="214"/>
      </c>
      <c r="D351" s="266"/>
      <c r="E351" s="266"/>
      <c r="F351" s="267"/>
      <c r="G351" s="145">
        <f t="shared" si="250"/>
        <v/>
      </c>
      <c r="H351" s="145">
        <f t="shared" si="251"/>
        <v/>
      </c>
      <c r="I351" s="266"/>
      <c r="J351" s="267"/>
      <c r="K351" s="267"/>
      <c r="L351" s="266"/>
      <c r="M351" s="147">
        <f t="shared" si="252"/>
        <v/>
      </c>
      <c r="N351" s="267"/>
      <c r="O351" s="147">
        <f t="shared" si="253"/>
        <v/>
      </c>
      <c r="P351" s="268">
        <f>IF(AY351=1,"XT"&amp;COUNTIFS($A$3:A351,A351,$AY$3:AY351,1),"")</f>
        <v/>
      </c>
      <c r="Q351" s="152">
        <f>IF(R351="","",IFERROR(SUBSTITUTE(Разбивка_по_щитам!P351,CHAR(10)," "),""))</f>
        <v/>
      </c>
      <c r="R351" s="153">
        <f>IF(OR(Разбивка_по_щитам!H351="",Разбивка_по_щитам!H351=0),"",Разбивка_по_щитам!H351)</f>
        <v/>
      </c>
      <c r="S351" s="154">
        <f>IF(R351="","",IFERROR(Разбивка_по_щитам!J351&amp;"",""))</f>
        <v/>
      </c>
      <c r="T351" s="155">
        <f>IF(R351="","",IFERROR(--Разбивка_по_щитам!L351,""))</f>
        <v/>
      </c>
      <c r="U351" s="155">
        <f>IF(R351="","",IFERROR(--Разбивка_по_щитам!K351,""))</f>
        <v/>
      </c>
      <c r="V351" s="138">
        <f>IF(R351="","",IFERROR(IF(Разбивка_по_щитам!M351=0,"",Разбивка_по_щитам!M351),""))</f>
        <v/>
      </c>
      <c r="W351" s="156">
        <f t="shared" si="215"/>
        <v/>
      </c>
      <c r="X351" s="157">
        <f t="shared" si="216"/>
        <v/>
      </c>
      <c r="Y351" s="266"/>
      <c r="Z351" s="158">
        <f t="shared" si="217"/>
        <v/>
      </c>
      <c r="AA351" s="160">
        <f t="shared" si="218"/>
        <v/>
      </c>
      <c r="AB351" s="160">
        <f>IF(R351="","",IFERROR(LOOKUP(INDEX(Справочная!$I$4:$I$19,MATCH(VLOOKUP(R351,Исходные_данные,22,FALSE),Справочная!$J$4:$J$19,0)+1),{6,10,16,20,25,32,40,50,63,80,100,125}),""))</f>
        <v/>
      </c>
      <c r="AC351" s="160">
        <f t="shared" si="219"/>
        <v/>
      </c>
      <c r="AD351" s="161">
        <f t="shared" si="220"/>
        <v/>
      </c>
      <c r="AE351" s="161">
        <f>IF(AND(R351="",G351=""),"",_xlfn.TEXTJOIN("; ",TRUE,IF(AND(R351&lt;&gt;"",V351=""),"нет фазы",""),IF(AND(R351&lt;&gt;"",N(T351)=0),"нет мощности",""),IF(AND(P351&lt;&gt;"",COUNTIFS($A$3:$A$1000,A351,$P$3:$P$1000,P351)&gt;1),"дубль клеммы "&amp;P351,""),IF(AND(W351&lt;&gt;"",W351&lt;&gt;"ok"),W351,""),IF(X351&lt;&gt;"",X351,""),IF(AND(ISNUMBER(SEARCH("(5х",Q351)),N(AK351)=1),"5 жил на 1 фазе",""),IF(AND(AL351="R",E351&lt;&gt;"",N(AS351)=0),"розетка без 30 мА",""),IF(IFERROR(_xlfn.NUMBERVALUE(MID(Q351,FIND("-",Q351,FIND("L=",Q351))+1,FIND("%",Q351)-FIND("-",Q351,FIND("L=",Q351))-1),","),0)&gt;4,"потери &gt; 4 %","")))</f>
      </c>
      <c r="AF351" s="129">
        <f>IF(E351&lt;&gt;"",COUNTIFS($A$3:A351,A351,$E$3:E351,"?*"),IF(OR(A351&lt;&gt;A350,Y351="вручную"),"",AF350))</f>
      </c>
      <c r="AG351" s="129">
        <f t="shared" si="221"/>
      </c>
      <c r="AH351" s="129">
        <f t="shared" si="222"/>
        <v/>
      </c>
      <c r="AI351" s="129">
        <f t="shared" si="223"/>
        <v/>
      </c>
      <c r="AJ351" s="129">
        <f t="shared" si="224"/>
        <v/>
      </c>
      <c r="AK351" s="129">
        <f t="shared" si="225"/>
        <v/>
      </c>
      <c r="AL351" s="129">
        <f t="shared" si="226"/>
        <v/>
      </c>
      <c r="AM351" s="129">
        <f t="shared" si="227"/>
      </c>
      <c r="AN351" s="129">
        <f t="shared" si="228"/>
      </c>
      <c r="AO351" s="129">
        <f t="shared" si="229"/>
        <v/>
      </c>
      <c r="AP351" s="129">
        <f t="shared" si="230"/>
        <v/>
      </c>
      <c r="AQ351" s="129">
        <f t="shared" si="231"/>
        <v/>
      </c>
      <c r="AR351" s="129">
        <f t="shared" si="232"/>
        <v/>
      </c>
      <c r="AS351" s="129">
        <f t="shared" si="233"/>
        <v/>
      </c>
      <c r="AT351" s="129">
        <f t="shared" si="234"/>
        <v/>
      </c>
      <c r="AU351" s="129">
        <f t="shared" si="235"/>
        <v/>
      </c>
      <c r="AV351" s="129">
        <f t="shared" si="236"/>
        <v/>
      </c>
      <c r="AW351" s="129">
        <f>IF(AV351="","",AV351&amp;"."&amp;COUNTIFS($A$3:A351,A351,$AV$3:AV351,AV351))</f>
        <v/>
      </c>
      <c r="AX351" s="129">
        <f t="shared" si="237"/>
        <v/>
      </c>
      <c r="AY351" s="129">
        <f>IF(N351="б/к",0,IF(OR(ISNUMBER(SEARCH("L=",Разбивка_по_щитам!P351)),N351="+",N351="="),1,0))</f>
      </c>
      <c r="AZ351" s="129">
        <f t="shared" si="238"/>
      </c>
      <c r="BA351" s="129">
        <f t="shared" si="239"/>
      </c>
      <c r="BB351" s="129">
        <f t="shared" si="240"/>
      </c>
      <c r="BD351" s="129">
        <f t="shared" si="241"/>
      </c>
      <c r="BE351" s="129">
        <f t="shared" si="242"/>
      </c>
      <c r="BF351" s="129">
        <f t="shared" si="243"/>
      </c>
      <c r="BG351" s="129">
        <f t="shared" si="244"/>
        <v/>
      </c>
      <c r="BH351" s="129">
        <f t="shared" si="245"/>
        <v/>
      </c>
      <c r="BI351" s="129">
        <f t="shared" si="246"/>
        <v/>
      </c>
      <c r="BJ351" s="129">
        <f t="shared" si="247"/>
        <v/>
      </c>
      <c r="BK351" s="129">
        <f>IF(R351="","",IF(OR(BY351="",BY351=0),"BOX",IFERROR(IF(VLOOKUP(BY351,УГО_блоки,3,FALSE)&amp;""&lt;&gt;"",VLOOKUP(BY351,УГО_блоки,3,FALSE),VLOOKUP(BY351,УГО_блоки,2,FALSE)),BY351)))</f>
      </c>
      <c r="BL351" s="129">
        <f t="shared" si="249"/>
      </c>
      <c r="BM351" s="129">
        <f>IF(H351="","",IF(COUNTIF($H$3:H351,H351)=1,MAX($BM$2:BM350)+1,""))</f>
      </c>
      <c r="BN351" s="129">
        <f>IF(I351="","",IF(COUNTIF($I$3:I351,I351)+COUNTIF($J$2:J350,I351)+COUNTIF($K$2:K350,I351)=1,MAX($BN$2:BP350)+1,""))</f>
      </c>
      <c r="BO351" s="129">
        <f>IF(J351="","",IF(COUNTIF($I$3:I351,J351)+COUNTIF($J$3:J351,J351)+COUNTIF($K$2:K350,J351)=1,MAX($BN$2:BP350,BN351)+1,""))</f>
      </c>
      <c r="BP351" s="129">
        <f>IF(K351="","",IF(COUNTIF($I$3:I351,K351)+COUNTIF($J$3:J351,K351)+COUNTIF($K$3:K351,K351)=1,MAX($BN$2:BP350,BN351,BO351)+1,""))</f>
      </c>
      <c r="BQ351" s="129">
        <f>IF(AY351=1,IFERROR(MID(Q351,FIND(" (",Q351)+2,FIND(")",Q351,FIND(" (",Q351))-FIND(" (",Q351)-2),"?"),"")</f>
      </c>
      <c r="BR351" s="129">
        <f>IF(BQ351="","",IF(COUNTIF($BQ$3:BQ351,BQ351)=1,MAX($BR$2:BR350)+1,""))</f>
      </c>
      <c r="BS351" s="129">
        <f>IF(AW351="","",COUNTIF($AW$3:AW351,"?*"))</f>
      </c>
      <c r="BT351" s="129">
        <f>IF(OR(AW351="",AI351=""),"",IF(COUNTIFS($AW$3:AW351,"?*",$AI$3:AI351,AI351)=1,MAX($BT$2:BT350)+1,""))</f>
      </c>
      <c r="BU351" s="129">
        <f>IF(AE351="",0,IF(OR(ISNUMBER(SEARCH("дубль",AE351)),ISNUMBER(SEARCH("ПЕРЕГРУЗ",AE351)),ISNUMBER(SEARCH("ЗАЩИЩ",AE351)),ISNUMBER(SEARCH("КАНАЛ",AE351)),ISNUMBER(SEARCH("без 30",AE351))),2,1))</f>
      </c>
      <c r="BV351" s="129">
        <f>IF(R351="","",COUNTIF($R$3:R351,"?*"))</f>
      </c>
      <c r="BW351" s="129">
        <f>IF(AY351&lt;&gt;1,0,IF(MAX(IFERROR(--VLOOKUP(R351,УГО_спр,5,FALSE),0),IFERROR(--VLOOKUP(AL351,УГО_спр,5,FALSE),0),IFERROR(--VLOOKUP(LEFT(AL351,2),УГО_спр,5,FALSE),0))&gt;0,MAX(IFERROR(--VLOOKUP(R351,УГО_спр,5,FALSE),0),IFERROR(--VLOOKUP(AL351,УГО_спр,5,FALSE),0),IFERROR(--VLOOKUP(LEFT(AL351,2),УГО_спр,5,FALSE),0)),IF(IFERROR(--LEFT(SUBSTITUTE(BQ351,"x","х"),FIND("х",SUBSTITUTE(BQ351,"x","х"))-1),3)&gt;3,Каталог!$S$9,1)))</f>
      </c>
      <c r="BX351" s="129">
        <f>IF(AY351&lt;&gt;1,0,MAX(0,IFERROR(--LEFT(SUBSTITUTE(BQ351,"x","х"),FIND("х",SUBSTITUTE(BQ351,"x","х"))-1),3)-3*BW351))</f>
      </c>
      <c r="BY351" s="129">
        <f>IF(R351="","",IFERROR(VLOOKUP(R351,УГО_спр,2,FALSE),IFERROR(VLOOKUP(AL351,УГО_спр,2,FALSE),IFERROR(VLOOKUP(LEFT(AL351,2),УГО_спр,2,FALSE),""))))</f>
      </c>
    </row>
    <row r="352" spans="1:64" x14ac:dyDescent="0.3">
      <c r="A352" s="135">
        <f>IF(Разбивка_по_щитам!F352=0,"",Разбивка_по_щитам!F352)</f>
      </c>
      <c r="B352" s="138">
        <f>IF(A352="","",Разбивка_по_щитам!C352)</f>
      </c>
      <c r="C352" s="138">
        <f t="shared" si="214"/>
      </c>
      <c r="D352" s="266"/>
      <c r="E352" s="266"/>
      <c r="F352" s="267"/>
      <c r="G352" s="145">
        <f t="shared" si="250"/>
        <v/>
      </c>
      <c r="H352" s="145">
        <f t="shared" si="251"/>
        <v/>
      </c>
      <c r="I352" s="266"/>
      <c r="J352" s="267"/>
      <c r="K352" s="267"/>
      <c r="L352" s="266"/>
      <c r="M352" s="147">
        <f t="shared" si="252"/>
        <v/>
      </c>
      <c r="N352" s="267"/>
      <c r="O352" s="147">
        <f t="shared" si="253"/>
        <v/>
      </c>
      <c r="P352" s="268">
        <f>IF(AY352=1,"XT"&amp;COUNTIFS($A$3:A352,A352,$AY$3:AY352,1),"")</f>
        <v/>
      </c>
      <c r="Q352" s="152">
        <f>IF(R352="","",IFERROR(SUBSTITUTE(Разбивка_по_щитам!P352,CHAR(10)," "),""))</f>
        <v/>
      </c>
      <c r="R352" s="153">
        <f>IF(OR(Разбивка_по_щитам!H352="",Разбивка_по_щитам!H352=0),"",Разбивка_по_щитам!H352)</f>
        <v/>
      </c>
      <c r="S352" s="154">
        <f>IF(R352="","",IFERROR(Разбивка_по_щитам!J352&amp;"",""))</f>
        <v/>
      </c>
      <c r="T352" s="155">
        <f>IF(R352="","",IFERROR(--Разбивка_по_щитам!L352,""))</f>
        <v/>
      </c>
      <c r="U352" s="155">
        <f>IF(R352="","",IFERROR(--Разбивка_по_щитам!K352,""))</f>
        <v/>
      </c>
      <c r="V352" s="138">
        <f>IF(R352="","",IFERROR(IF(Разбивка_по_щитам!M352=0,"",Разбивка_по_щитам!M352),""))</f>
        <v/>
      </c>
      <c r="W352" s="156">
        <f t="shared" si="215"/>
        <v/>
      </c>
      <c r="X352" s="157">
        <f t="shared" si="216"/>
        <v/>
      </c>
      <c r="Y352" s="266"/>
      <c r="Z352" s="158">
        <f t="shared" si="217"/>
        <v/>
      </c>
      <c r="AA352" s="160">
        <f t="shared" si="218"/>
        <v/>
      </c>
      <c r="AB352" s="160">
        <f>IF(R352="","",IFERROR(LOOKUP(INDEX(Справочная!$I$4:$I$19,MATCH(VLOOKUP(R352,Исходные_данные,22,FALSE),Справочная!$J$4:$J$19,0)+1),{6,10,16,20,25,32,40,50,63,80,100,125}),""))</f>
        <v/>
      </c>
      <c r="AC352" s="160">
        <f t="shared" si="219"/>
        <v/>
      </c>
      <c r="AD352" s="161">
        <f t="shared" si="220"/>
        <v/>
      </c>
      <c r="AE352" s="161">
        <f>IF(AND(R352="",G352=""),"",_xlfn.TEXTJOIN("; ",TRUE,IF(AND(R352&lt;&gt;"",V352=""),"нет фазы",""),IF(AND(R352&lt;&gt;"",N(T352)=0),"нет мощности",""),IF(AND(P352&lt;&gt;"",COUNTIFS($A$3:$A$1000,A352,$P$3:$P$1000,P352)&gt;1),"дубль клеммы "&amp;P352,""),IF(AND(W352&lt;&gt;"",W352&lt;&gt;"ok"),W352,""),IF(X352&lt;&gt;"",X352,""),IF(AND(ISNUMBER(SEARCH("(5х",Q352)),N(AK352)=1),"5 жил на 1 фазе",""),IF(AND(AL352="R",E352&lt;&gt;"",N(AS352)=0),"розетка без 30 мА",""),IF(IFERROR(_xlfn.NUMBERVALUE(MID(Q352,FIND("-",Q352,FIND("L=",Q352))+1,FIND("%",Q352)-FIND("-",Q352,FIND("L=",Q352))-1),","),0)&gt;4,"потери &gt; 4 %","")))</f>
      </c>
      <c r="AF352" s="129">
        <f>IF(E352&lt;&gt;"",COUNTIFS($A$3:A352,A352,$E$3:E352,"?*"),IF(OR(A352&lt;&gt;A351,Y352="вручную"),"",AF351))</f>
      </c>
      <c r="AG352" s="129">
        <f t="shared" si="221"/>
      </c>
      <c r="AH352" s="129">
        <f t="shared" si="222"/>
        <v/>
      </c>
      <c r="AI352" s="129">
        <f t="shared" si="223"/>
        <v/>
      </c>
      <c r="AJ352" s="129">
        <f t="shared" si="224"/>
        <v/>
      </c>
      <c r="AK352" s="129">
        <f t="shared" si="225"/>
        <v/>
      </c>
      <c r="AL352" s="129">
        <f t="shared" si="226"/>
        <v/>
      </c>
      <c r="AM352" s="129">
        <f t="shared" si="227"/>
      </c>
      <c r="AN352" s="129">
        <f t="shared" si="228"/>
      </c>
      <c r="AO352" s="129">
        <f t="shared" si="229"/>
        <v/>
      </c>
      <c r="AP352" s="129">
        <f t="shared" si="230"/>
        <v/>
      </c>
      <c r="AQ352" s="129">
        <f t="shared" si="231"/>
        <v/>
      </c>
      <c r="AR352" s="129">
        <f t="shared" si="232"/>
        <v/>
      </c>
      <c r="AS352" s="129">
        <f t="shared" si="233"/>
        <v/>
      </c>
      <c r="AT352" s="129">
        <f t="shared" si="234"/>
        <v/>
      </c>
      <c r="AU352" s="129">
        <f t="shared" si="235"/>
        <v/>
      </c>
      <c r="AV352" s="129">
        <f t="shared" si="236"/>
        <v/>
      </c>
      <c r="AW352" s="129">
        <f>IF(AV352="","",AV352&amp;"."&amp;COUNTIFS($A$3:A352,A352,$AV$3:AV352,AV352))</f>
        <v/>
      </c>
      <c r="AX352" s="129">
        <f t="shared" si="237"/>
        <v/>
      </c>
      <c r="AY352" s="129">
        <f>IF(N352="б/к",0,IF(OR(ISNUMBER(SEARCH("L=",Разбивка_по_щитам!P352)),N352="+",N352="="),1,0))</f>
      </c>
      <c r="AZ352" s="129">
        <f t="shared" si="238"/>
      </c>
      <c r="BA352" s="129">
        <f t="shared" si="239"/>
      </c>
      <c r="BB352" s="129">
        <f t="shared" si="240"/>
      </c>
      <c r="BD352" s="129">
        <f t="shared" si="241"/>
      </c>
      <c r="BE352" s="129">
        <f t="shared" si="242"/>
      </c>
      <c r="BF352" s="129">
        <f t="shared" si="243"/>
      </c>
      <c r="BG352" s="129">
        <f t="shared" si="244"/>
        <v/>
      </c>
      <c r="BH352" s="129">
        <f t="shared" si="245"/>
        <v/>
      </c>
      <c r="BI352" s="129">
        <f t="shared" si="246"/>
        <v/>
      </c>
      <c r="BJ352" s="129">
        <f t="shared" si="247"/>
        <v/>
      </c>
      <c r="BK352" s="129">
        <f>IF(R352="","",IF(OR(BY352="",BY352=0),"BOX",IFERROR(IF(VLOOKUP(BY352,УГО_блоки,3,FALSE)&amp;""&lt;&gt;"",VLOOKUP(BY352,УГО_блоки,3,FALSE),VLOOKUP(BY352,УГО_блоки,2,FALSE)),BY352)))</f>
      </c>
      <c r="BL352" s="129">
        <f t="shared" si="249"/>
      </c>
      <c r="BM352" s="129">
        <f>IF(H352="","",IF(COUNTIF($H$3:H352,H352)=1,MAX($BM$2:BM351)+1,""))</f>
      </c>
      <c r="BN352" s="129">
        <f>IF(I352="","",IF(COUNTIF($I$3:I352,I352)+COUNTIF($J$2:J351,I352)+COUNTIF($K$2:K351,I352)=1,MAX($BN$2:BP351)+1,""))</f>
      </c>
      <c r="BO352" s="129">
        <f>IF(J352="","",IF(COUNTIF($I$3:I352,J352)+COUNTIF($J$3:J352,J352)+COUNTIF($K$2:K351,J352)=1,MAX($BN$2:BP351,BN352)+1,""))</f>
      </c>
      <c r="BP352" s="129">
        <f>IF(K352="","",IF(COUNTIF($I$3:I352,K352)+COUNTIF($J$3:J352,K352)+COUNTIF($K$3:K352,K352)=1,MAX($BN$2:BP351,BN352,BO352)+1,""))</f>
      </c>
      <c r="BQ352" s="129">
        <f>IF(AY352=1,IFERROR(MID(Q352,FIND(" (",Q352)+2,FIND(")",Q352,FIND(" (",Q352))-FIND(" (",Q352)-2),"?"),"")</f>
      </c>
      <c r="BR352" s="129">
        <f>IF(BQ352="","",IF(COUNTIF($BQ$3:BQ352,BQ352)=1,MAX($BR$2:BR351)+1,""))</f>
      </c>
      <c r="BS352" s="129">
        <f>IF(AW352="","",COUNTIF($AW$3:AW352,"?*"))</f>
      </c>
      <c r="BT352" s="129">
        <f>IF(OR(AW352="",AI352=""),"",IF(COUNTIFS($AW$3:AW352,"?*",$AI$3:AI352,AI352)=1,MAX($BT$2:BT351)+1,""))</f>
      </c>
      <c r="BU352" s="129">
        <f>IF(AE352="",0,IF(OR(ISNUMBER(SEARCH("дубль",AE352)),ISNUMBER(SEARCH("ПЕРЕГРУЗ",AE352)),ISNUMBER(SEARCH("ЗАЩИЩ",AE352)),ISNUMBER(SEARCH("КАНАЛ",AE352)),ISNUMBER(SEARCH("без 30",AE352))),2,1))</f>
      </c>
      <c r="BV352" s="129">
        <f>IF(R352="","",COUNTIF($R$3:R352,"?*"))</f>
      </c>
      <c r="BW352" s="129">
        <f>IF(AY352&lt;&gt;1,0,IF(MAX(IFERROR(--VLOOKUP(R352,УГО_спр,5,FALSE),0),IFERROR(--VLOOKUP(AL352,УГО_спр,5,FALSE),0),IFERROR(--VLOOKUP(LEFT(AL352,2),УГО_спр,5,FALSE),0))&gt;0,MAX(IFERROR(--VLOOKUP(R352,УГО_спр,5,FALSE),0),IFERROR(--VLOOKUP(AL352,УГО_спр,5,FALSE),0),IFERROR(--VLOOKUP(LEFT(AL352,2),УГО_спр,5,FALSE),0)),IF(IFERROR(--LEFT(SUBSTITUTE(BQ352,"x","х"),FIND("х",SUBSTITUTE(BQ352,"x","х"))-1),3)&gt;3,Каталог!$S$9,1)))</f>
      </c>
      <c r="BX352" s="129">
        <f>IF(AY352&lt;&gt;1,0,MAX(0,IFERROR(--LEFT(SUBSTITUTE(BQ352,"x","х"),FIND("х",SUBSTITUTE(BQ352,"x","х"))-1),3)-3*BW352))</f>
      </c>
      <c r="BY352" s="129">
        <f>IF(R352="","",IFERROR(VLOOKUP(R352,УГО_спр,2,FALSE),IFERROR(VLOOKUP(AL352,УГО_спр,2,FALSE),IFERROR(VLOOKUP(LEFT(AL352,2),УГО_спр,2,FALSE),""))))</f>
      </c>
    </row>
    <row r="353" spans="1:64" x14ac:dyDescent="0.3">
      <c r="A353" s="135">
        <f>IF(Разбивка_по_щитам!F353=0,"",Разбивка_по_щитам!F353)</f>
      </c>
      <c r="B353" s="138">
        <f>IF(A353="","",Разбивка_по_щитам!C353)</f>
      </c>
      <c r="C353" s="138">
        <f t="shared" si="214"/>
      </c>
      <c r="D353" s="266"/>
      <c r="E353" s="266"/>
      <c r="F353" s="267"/>
      <c r="G353" s="145">
        <f t="shared" si="250"/>
        <v/>
      </c>
      <c r="H353" s="145">
        <f t="shared" si="251"/>
        <v/>
      </c>
      <c r="I353" s="266"/>
      <c r="J353" s="267"/>
      <c r="K353" s="267"/>
      <c r="L353" s="266"/>
      <c r="M353" s="147">
        <f t="shared" si="252"/>
        <v/>
      </c>
      <c r="N353" s="267"/>
      <c r="O353" s="147">
        <f t="shared" si="253"/>
        <v/>
      </c>
      <c r="P353" s="268">
        <f>IF(AY353=1,"XT"&amp;COUNTIFS($A$3:A353,A353,$AY$3:AY353,1),"")</f>
        <v/>
      </c>
      <c r="Q353" s="152">
        <f>IF(R353="","",IFERROR(SUBSTITUTE(Разбивка_по_щитам!P353,CHAR(10)," "),""))</f>
        <v/>
      </c>
      <c r="R353" s="153">
        <f>IF(OR(Разбивка_по_щитам!H353="",Разбивка_по_щитам!H353=0),"",Разбивка_по_щитам!H353)</f>
        <v/>
      </c>
      <c r="S353" s="154">
        <f>IF(R353="","",IFERROR(Разбивка_по_щитам!J353&amp;"",""))</f>
        <v/>
      </c>
      <c r="T353" s="155">
        <f>IF(R353="","",IFERROR(--Разбивка_по_щитам!L353,""))</f>
        <v/>
      </c>
      <c r="U353" s="155">
        <f>IF(R353="","",IFERROR(--Разбивка_по_щитам!K353,""))</f>
        <v/>
      </c>
      <c r="V353" s="138">
        <f>IF(R353="","",IFERROR(IF(Разбивка_по_щитам!M353=0,"",Разбивка_по_щитам!M353),""))</f>
        <v/>
      </c>
      <c r="W353" s="156">
        <f t="shared" si="215"/>
        <v/>
      </c>
      <c r="X353" s="157">
        <f t="shared" si="216"/>
        <v/>
      </c>
      <c r="Y353" s="266"/>
      <c r="Z353" s="158">
        <f t="shared" si="217"/>
        <v/>
      </c>
      <c r="AA353" s="160">
        <f t="shared" si="218"/>
        <v/>
      </c>
      <c r="AB353" s="160">
        <f>IF(R353="","",IFERROR(LOOKUP(INDEX(Справочная!$I$4:$I$19,MATCH(VLOOKUP(R353,Исходные_данные,22,FALSE),Справочная!$J$4:$J$19,0)+1),{6,10,16,20,25,32,40,50,63,80,100,125}),""))</f>
        <v/>
      </c>
      <c r="AC353" s="160">
        <f t="shared" si="219"/>
        <v/>
      </c>
      <c r="AD353" s="161">
        <f t="shared" si="220"/>
        <v/>
      </c>
      <c r="AE353" s="161">
        <f>IF(AND(R353="",G353=""),"",_xlfn.TEXTJOIN("; ",TRUE,IF(AND(R353&lt;&gt;"",V353=""),"нет фазы",""),IF(AND(R353&lt;&gt;"",N(T353)=0),"нет мощности",""),IF(AND(P353&lt;&gt;"",COUNTIFS($A$3:$A$1000,A353,$P$3:$P$1000,P353)&gt;1),"дубль клеммы "&amp;P353,""),IF(AND(W353&lt;&gt;"",W353&lt;&gt;"ok"),W353,""),IF(X353&lt;&gt;"",X353,""),IF(AND(ISNUMBER(SEARCH("(5х",Q353)),N(AK353)=1),"5 жил на 1 фазе",""),IF(AND(AL353="R",E353&lt;&gt;"",N(AS353)=0),"розетка без 30 мА",""),IF(IFERROR(_xlfn.NUMBERVALUE(MID(Q353,FIND("-",Q353,FIND("L=",Q353))+1,FIND("%",Q353)-FIND("-",Q353,FIND("L=",Q353))-1),","),0)&gt;4,"потери &gt; 4 %","")))</f>
      </c>
      <c r="AF353" s="129">
        <f>IF(E353&lt;&gt;"",COUNTIFS($A$3:A353,A353,$E$3:E353,"?*"),IF(OR(A353&lt;&gt;A352,Y353="вручную"),"",AF352))</f>
      </c>
      <c r="AG353" s="129">
        <f t="shared" si="221"/>
      </c>
      <c r="AH353" s="129">
        <f t="shared" si="222"/>
        <v/>
      </c>
      <c r="AI353" s="129">
        <f t="shared" si="223"/>
        <v/>
      </c>
      <c r="AJ353" s="129">
        <f t="shared" si="224"/>
        <v/>
      </c>
      <c r="AK353" s="129">
        <f t="shared" si="225"/>
        <v/>
      </c>
      <c r="AL353" s="129">
        <f t="shared" si="226"/>
        <v/>
      </c>
      <c r="AM353" s="129">
        <f t="shared" si="227"/>
      </c>
      <c r="AN353" s="129">
        <f t="shared" si="228"/>
      </c>
      <c r="AO353" s="129">
        <f t="shared" si="229"/>
        <v/>
      </c>
      <c r="AP353" s="129">
        <f t="shared" si="230"/>
        <v/>
      </c>
      <c r="AQ353" s="129">
        <f t="shared" si="231"/>
        <v/>
      </c>
      <c r="AR353" s="129">
        <f t="shared" si="232"/>
        <v/>
      </c>
      <c r="AS353" s="129">
        <f t="shared" si="233"/>
        <v/>
      </c>
      <c r="AT353" s="129">
        <f t="shared" si="234"/>
        <v/>
      </c>
      <c r="AU353" s="129">
        <f t="shared" si="235"/>
        <v/>
      </c>
      <c r="AV353" s="129">
        <f t="shared" si="236"/>
        <v/>
      </c>
      <c r="AW353" s="129">
        <f>IF(AV353="","",AV353&amp;"."&amp;COUNTIFS($A$3:A353,A353,$AV$3:AV353,AV353))</f>
        <v/>
      </c>
      <c r="AX353" s="129">
        <f t="shared" si="237"/>
        <v/>
      </c>
      <c r="AY353" s="129">
        <f>IF(N353="б/к",0,IF(OR(ISNUMBER(SEARCH("L=",Разбивка_по_щитам!P353)),N353="+",N353="="),1,0))</f>
      </c>
      <c r="AZ353" s="129">
        <f t="shared" si="238"/>
      </c>
      <c r="BA353" s="129">
        <f t="shared" si="239"/>
      </c>
      <c r="BB353" s="129">
        <f t="shared" si="240"/>
      </c>
      <c r="BD353" s="129">
        <f t="shared" si="241"/>
      </c>
      <c r="BE353" s="129">
        <f t="shared" si="242"/>
      </c>
      <c r="BF353" s="129">
        <f t="shared" si="243"/>
      </c>
      <c r="BG353" s="129">
        <f t="shared" si="244"/>
        <v/>
      </c>
      <c r="BH353" s="129">
        <f t="shared" si="245"/>
        <v/>
      </c>
      <c r="BI353" s="129">
        <f t="shared" si="246"/>
        <v/>
      </c>
      <c r="BJ353" s="129">
        <f t="shared" si="247"/>
        <v/>
      </c>
      <c r="BK353" s="129">
        <f>IF(R353="","",IF(OR(BY353="",BY353=0),"BOX",IFERROR(IF(VLOOKUP(BY353,УГО_блоки,3,FALSE)&amp;""&lt;&gt;"",VLOOKUP(BY353,УГО_блоки,3,FALSE),VLOOKUP(BY353,УГО_блоки,2,FALSE)),BY353)))</f>
      </c>
      <c r="BL353" s="129">
        <f t="shared" si="249"/>
      </c>
      <c r="BM353" s="129">
        <f>IF(H353="","",IF(COUNTIF($H$3:H353,H353)=1,MAX($BM$2:BM352)+1,""))</f>
      </c>
      <c r="BN353" s="129">
        <f>IF(I353="","",IF(COUNTIF($I$3:I353,I353)+COUNTIF($J$2:J352,I353)+COUNTIF($K$2:K352,I353)=1,MAX($BN$2:BP352)+1,""))</f>
      </c>
      <c r="BO353" s="129">
        <f>IF(J353="","",IF(COUNTIF($I$3:I353,J353)+COUNTIF($J$3:J353,J353)+COUNTIF($K$2:K352,J353)=1,MAX($BN$2:BP352,BN353)+1,""))</f>
      </c>
      <c r="BP353" s="129">
        <f>IF(K353="","",IF(COUNTIF($I$3:I353,K353)+COUNTIF($J$3:J353,K353)+COUNTIF($K$3:K353,K353)=1,MAX($BN$2:BP352,BN353,BO353)+1,""))</f>
      </c>
      <c r="BQ353" s="129">
        <f>IF(AY353=1,IFERROR(MID(Q353,FIND(" (",Q353)+2,FIND(")",Q353,FIND(" (",Q353))-FIND(" (",Q353)-2),"?"),"")</f>
      </c>
      <c r="BR353" s="129">
        <f>IF(BQ353="","",IF(COUNTIF($BQ$3:BQ353,BQ353)=1,MAX($BR$2:BR352)+1,""))</f>
      </c>
      <c r="BS353" s="129">
        <f>IF(AW353="","",COUNTIF($AW$3:AW353,"?*"))</f>
      </c>
      <c r="BT353" s="129">
        <f>IF(OR(AW353="",AI353=""),"",IF(COUNTIFS($AW$3:AW353,"?*",$AI$3:AI353,AI353)=1,MAX($BT$2:BT352)+1,""))</f>
      </c>
      <c r="BU353" s="129">
        <f>IF(AE353="",0,IF(OR(ISNUMBER(SEARCH("дубль",AE353)),ISNUMBER(SEARCH("ПЕРЕГРУЗ",AE353)),ISNUMBER(SEARCH("ЗАЩИЩ",AE353)),ISNUMBER(SEARCH("КАНАЛ",AE353)),ISNUMBER(SEARCH("без 30",AE353))),2,1))</f>
      </c>
      <c r="BV353" s="129">
        <f>IF(R353="","",COUNTIF($R$3:R353,"?*"))</f>
      </c>
      <c r="BW353" s="129">
        <f>IF(AY353&lt;&gt;1,0,IF(MAX(IFERROR(--VLOOKUP(R353,УГО_спр,5,FALSE),0),IFERROR(--VLOOKUP(AL353,УГО_спр,5,FALSE),0),IFERROR(--VLOOKUP(LEFT(AL353,2),УГО_спр,5,FALSE),0))&gt;0,MAX(IFERROR(--VLOOKUP(R353,УГО_спр,5,FALSE),0),IFERROR(--VLOOKUP(AL353,УГО_спр,5,FALSE),0),IFERROR(--VLOOKUP(LEFT(AL353,2),УГО_спр,5,FALSE),0)),IF(IFERROR(--LEFT(SUBSTITUTE(BQ353,"x","х"),FIND("х",SUBSTITUTE(BQ353,"x","х"))-1),3)&gt;3,Каталог!$S$9,1)))</f>
      </c>
      <c r="BX353" s="129">
        <f>IF(AY353&lt;&gt;1,0,MAX(0,IFERROR(--LEFT(SUBSTITUTE(BQ353,"x","х"),FIND("х",SUBSTITUTE(BQ353,"x","х"))-1),3)-3*BW353))</f>
      </c>
      <c r="BY353" s="129">
        <f>IF(R353="","",IFERROR(VLOOKUP(R353,УГО_спр,2,FALSE),IFERROR(VLOOKUP(AL353,УГО_спр,2,FALSE),IFERROR(VLOOKUP(LEFT(AL353,2),УГО_спр,2,FALSE),""))))</f>
      </c>
    </row>
    <row r="354" spans="1:64" x14ac:dyDescent="0.3">
      <c r="A354" s="135">
        <f>IF(Разбивка_по_щитам!F354=0,"",Разбивка_по_щитам!F354)</f>
      </c>
      <c r="B354" s="138">
        <f>IF(A354="","",Разбивка_по_щитам!C354)</f>
      </c>
      <c r="C354" s="138">
        <f t="shared" si="214"/>
      </c>
      <c r="D354" s="266"/>
      <c r="E354" s="266"/>
      <c r="F354" s="267"/>
      <c r="G354" s="145">
        <f t="shared" si="250"/>
        <v/>
      </c>
      <c r="H354" s="145">
        <f t="shared" si="251"/>
        <v/>
      </c>
      <c r="I354" s="266"/>
      <c r="J354" s="267"/>
      <c r="K354" s="267"/>
      <c r="L354" s="266"/>
      <c r="M354" s="147">
        <f t="shared" si="252"/>
        <v/>
      </c>
      <c r="N354" s="267"/>
      <c r="O354" s="147">
        <f t="shared" si="253"/>
        <v/>
      </c>
      <c r="P354" s="268">
        <f>IF(AY354=1,"XT"&amp;COUNTIFS($A$3:A354,A354,$AY$3:AY354,1),"")</f>
        <v/>
      </c>
      <c r="Q354" s="152">
        <f>IF(R354="","",IFERROR(SUBSTITUTE(Разбивка_по_щитам!P354,CHAR(10)," "),""))</f>
        <v/>
      </c>
      <c r="R354" s="153">
        <f>IF(OR(Разбивка_по_щитам!H354="",Разбивка_по_щитам!H354=0),"",Разбивка_по_щитам!H354)</f>
        <v/>
      </c>
      <c r="S354" s="154">
        <f>IF(R354="","",IFERROR(Разбивка_по_щитам!J354&amp;"",""))</f>
        <v/>
      </c>
      <c r="T354" s="155">
        <f>IF(R354="","",IFERROR(--Разбивка_по_щитам!L354,""))</f>
        <v/>
      </c>
      <c r="U354" s="155">
        <f>IF(R354="","",IFERROR(--Разбивка_по_щитам!K354,""))</f>
        <v/>
      </c>
      <c r="V354" s="138">
        <f>IF(R354="","",IFERROR(IF(Разбивка_по_щитам!M354=0,"",Разбивка_по_щитам!M354),""))</f>
        <v/>
      </c>
      <c r="W354" s="156">
        <f t="shared" si="215"/>
        <v/>
      </c>
      <c r="X354" s="157">
        <f t="shared" si="216"/>
        <v/>
      </c>
      <c r="Y354" s="266"/>
      <c r="Z354" s="158">
        <f t="shared" si="217"/>
        <v/>
      </c>
      <c r="AA354" s="160">
        <f t="shared" si="218"/>
        <v/>
      </c>
      <c r="AB354" s="160">
        <f>IF(R354="","",IFERROR(LOOKUP(INDEX(Справочная!$I$4:$I$19,MATCH(VLOOKUP(R354,Исходные_данные,22,FALSE),Справочная!$J$4:$J$19,0)+1),{6,10,16,20,25,32,40,50,63,80,100,125}),""))</f>
        <v/>
      </c>
      <c r="AC354" s="160">
        <f t="shared" si="219"/>
        <v/>
      </c>
      <c r="AD354" s="161">
        <f t="shared" si="220"/>
        <v/>
      </c>
      <c r="AE354" s="161">
        <f>IF(AND(R354="",G354=""),"",_xlfn.TEXTJOIN("; ",TRUE,IF(AND(R354&lt;&gt;"",V354=""),"нет фазы",""),IF(AND(R354&lt;&gt;"",N(T354)=0),"нет мощности",""),IF(AND(P354&lt;&gt;"",COUNTIFS($A$3:$A$1000,A354,$P$3:$P$1000,P354)&gt;1),"дубль клеммы "&amp;P354,""),IF(AND(W354&lt;&gt;"",W354&lt;&gt;"ok"),W354,""),IF(X354&lt;&gt;"",X354,""),IF(AND(ISNUMBER(SEARCH("(5х",Q354)),N(AK354)=1),"5 жил на 1 фазе",""),IF(AND(AL354="R",E354&lt;&gt;"",N(AS354)=0),"розетка без 30 мА",""),IF(IFERROR(_xlfn.NUMBERVALUE(MID(Q354,FIND("-",Q354,FIND("L=",Q354))+1,FIND("%",Q354)-FIND("-",Q354,FIND("L=",Q354))-1),","),0)&gt;4,"потери &gt; 4 %","")))</f>
      </c>
      <c r="AF354" s="129">
        <f>IF(E354&lt;&gt;"",COUNTIFS($A$3:A354,A354,$E$3:E354,"?*"),IF(OR(A354&lt;&gt;A353,Y354="вручную"),"",AF353))</f>
      </c>
      <c r="AG354" s="129">
        <f t="shared" si="221"/>
      </c>
      <c r="AH354" s="129">
        <f t="shared" si="222"/>
        <v/>
      </c>
      <c r="AI354" s="129">
        <f t="shared" si="223"/>
        <v/>
      </c>
      <c r="AJ354" s="129">
        <f t="shared" si="224"/>
        <v/>
      </c>
      <c r="AK354" s="129">
        <f t="shared" si="225"/>
        <v/>
      </c>
      <c r="AL354" s="129">
        <f t="shared" si="226"/>
        <v/>
      </c>
      <c r="AM354" s="129">
        <f t="shared" si="227"/>
      </c>
      <c r="AN354" s="129">
        <f t="shared" si="228"/>
      </c>
      <c r="AO354" s="129">
        <f t="shared" si="229"/>
        <v/>
      </c>
      <c r="AP354" s="129">
        <f t="shared" si="230"/>
        <v/>
      </c>
      <c r="AQ354" s="129">
        <f t="shared" si="231"/>
        <v/>
      </c>
      <c r="AR354" s="129">
        <f t="shared" si="232"/>
        <v/>
      </c>
      <c r="AS354" s="129">
        <f t="shared" si="233"/>
        <v/>
      </c>
      <c r="AT354" s="129">
        <f t="shared" si="234"/>
        <v/>
      </c>
      <c r="AU354" s="129">
        <f t="shared" si="235"/>
        <v/>
      </c>
      <c r="AV354" s="129">
        <f t="shared" si="236"/>
        <v/>
      </c>
      <c r="AW354" s="129">
        <f>IF(AV354="","",AV354&amp;"."&amp;COUNTIFS($A$3:A354,A354,$AV$3:AV354,AV354))</f>
        <v/>
      </c>
      <c r="AX354" s="129">
        <f t="shared" si="237"/>
        <v/>
      </c>
      <c r="AY354" s="129">
        <f>IF(N354="б/к",0,IF(OR(ISNUMBER(SEARCH("L=",Разбивка_по_щитам!P354)),N354="+",N354="="),1,0))</f>
      </c>
      <c r="AZ354" s="129">
        <f t="shared" si="238"/>
      </c>
      <c r="BA354" s="129">
        <f t="shared" si="239"/>
      </c>
      <c r="BB354" s="129">
        <f t="shared" si="240"/>
      </c>
      <c r="BD354" s="129">
        <f t="shared" si="241"/>
      </c>
      <c r="BE354" s="129">
        <f t="shared" si="242"/>
      </c>
      <c r="BF354" s="129">
        <f t="shared" si="243"/>
      </c>
      <c r="BG354" s="129">
        <f t="shared" si="244"/>
        <v/>
      </c>
      <c r="BH354" s="129">
        <f t="shared" si="245"/>
        <v/>
      </c>
      <c r="BI354" s="129">
        <f t="shared" si="246"/>
        <v/>
      </c>
      <c r="BJ354" s="129">
        <f t="shared" si="247"/>
        <v/>
      </c>
      <c r="BK354" s="129">
        <f>IF(R354="","",IF(OR(BY354="",BY354=0),"BOX",IFERROR(IF(VLOOKUP(BY354,УГО_блоки,3,FALSE)&amp;""&lt;&gt;"",VLOOKUP(BY354,УГО_блоки,3,FALSE),VLOOKUP(BY354,УГО_блоки,2,FALSE)),BY354)))</f>
      </c>
      <c r="BL354" s="129">
        <f t="shared" si="249"/>
      </c>
      <c r="BM354" s="129">
        <f>IF(H354="","",IF(COUNTIF($H$3:H354,H354)=1,MAX($BM$2:BM353)+1,""))</f>
      </c>
      <c r="BN354" s="129">
        <f>IF(I354="","",IF(COUNTIF($I$3:I354,I354)+COUNTIF($J$2:J353,I354)+COUNTIF($K$2:K353,I354)=1,MAX($BN$2:BP353)+1,""))</f>
      </c>
      <c r="BO354" s="129">
        <f>IF(J354="","",IF(COUNTIF($I$3:I354,J354)+COUNTIF($J$3:J354,J354)+COUNTIF($K$2:K353,J354)=1,MAX($BN$2:BP353,BN354)+1,""))</f>
      </c>
      <c r="BP354" s="129">
        <f>IF(K354="","",IF(COUNTIF($I$3:I354,K354)+COUNTIF($J$3:J354,K354)+COUNTIF($K$3:K354,K354)=1,MAX($BN$2:BP353,BN354,BO354)+1,""))</f>
      </c>
      <c r="BQ354" s="129">
        <f>IF(AY354=1,IFERROR(MID(Q354,FIND(" (",Q354)+2,FIND(")",Q354,FIND(" (",Q354))-FIND(" (",Q354)-2),"?"),"")</f>
      </c>
      <c r="BR354" s="129">
        <f>IF(BQ354="","",IF(COUNTIF($BQ$3:BQ354,BQ354)=1,MAX($BR$2:BR353)+1,""))</f>
      </c>
      <c r="BS354" s="129">
        <f>IF(AW354="","",COUNTIF($AW$3:AW354,"?*"))</f>
      </c>
      <c r="BT354" s="129">
        <f>IF(OR(AW354="",AI354=""),"",IF(COUNTIFS($AW$3:AW354,"?*",$AI$3:AI354,AI354)=1,MAX($BT$2:BT353)+1,""))</f>
      </c>
      <c r="BU354" s="129">
        <f>IF(AE354="",0,IF(OR(ISNUMBER(SEARCH("дубль",AE354)),ISNUMBER(SEARCH("ПЕРЕГРУЗ",AE354)),ISNUMBER(SEARCH("ЗАЩИЩ",AE354)),ISNUMBER(SEARCH("КАНАЛ",AE354)),ISNUMBER(SEARCH("без 30",AE354))),2,1))</f>
      </c>
      <c r="BV354" s="129">
        <f>IF(R354="","",COUNTIF($R$3:R354,"?*"))</f>
      </c>
      <c r="BW354" s="129">
        <f>IF(AY354&lt;&gt;1,0,IF(MAX(IFERROR(--VLOOKUP(R354,УГО_спр,5,FALSE),0),IFERROR(--VLOOKUP(AL354,УГО_спр,5,FALSE),0),IFERROR(--VLOOKUP(LEFT(AL354,2),УГО_спр,5,FALSE),0))&gt;0,MAX(IFERROR(--VLOOKUP(R354,УГО_спр,5,FALSE),0),IFERROR(--VLOOKUP(AL354,УГО_спр,5,FALSE),0),IFERROR(--VLOOKUP(LEFT(AL354,2),УГО_спр,5,FALSE),0)),IF(IFERROR(--LEFT(SUBSTITUTE(BQ354,"x","х"),FIND("х",SUBSTITUTE(BQ354,"x","х"))-1),3)&gt;3,Каталог!$S$9,1)))</f>
      </c>
      <c r="BX354" s="129">
        <f>IF(AY354&lt;&gt;1,0,MAX(0,IFERROR(--LEFT(SUBSTITUTE(BQ354,"x","х"),FIND("х",SUBSTITUTE(BQ354,"x","х"))-1),3)-3*BW354))</f>
      </c>
      <c r="BY354" s="129">
        <f>IF(R354="","",IFERROR(VLOOKUP(R354,УГО_спр,2,FALSE),IFERROR(VLOOKUP(AL354,УГО_спр,2,FALSE),IFERROR(VLOOKUP(LEFT(AL354,2),УГО_спр,2,FALSE),""))))</f>
      </c>
    </row>
    <row r="355" spans="1:64" x14ac:dyDescent="0.3">
      <c r="A355" s="135">
        <f>IF(Разбивка_по_щитам!F355=0,"",Разбивка_по_щитам!F355)</f>
      </c>
      <c r="B355" s="138">
        <f>IF(A355="","",Разбивка_по_щитам!C355)</f>
      </c>
      <c r="C355" s="138">
        <f t="shared" si="214"/>
      </c>
      <c r="D355" s="266"/>
      <c r="E355" s="266"/>
      <c r="F355" s="267"/>
      <c r="G355" s="145">
        <f t="shared" si="250"/>
        <v/>
      </c>
      <c r="H355" s="145">
        <f t="shared" si="251"/>
        <v/>
      </c>
      <c r="I355" s="266"/>
      <c r="J355" s="267"/>
      <c r="K355" s="267"/>
      <c r="L355" s="266"/>
      <c r="M355" s="147">
        <f t="shared" si="252"/>
        <v/>
      </c>
      <c r="N355" s="267"/>
      <c r="O355" s="147">
        <f t="shared" si="253"/>
        <v/>
      </c>
      <c r="P355" s="268">
        <f>IF(AY355=1,"XT"&amp;COUNTIFS($A$3:A355,A355,$AY$3:AY355,1),"")</f>
        <v/>
      </c>
      <c r="Q355" s="152">
        <f>IF(R355="","",IFERROR(SUBSTITUTE(Разбивка_по_щитам!P355,CHAR(10)," "),""))</f>
        <v/>
      </c>
      <c r="R355" s="153">
        <f>IF(OR(Разбивка_по_щитам!H355="",Разбивка_по_щитам!H355=0),"",Разбивка_по_щитам!H355)</f>
        <v/>
      </c>
      <c r="S355" s="154">
        <f>IF(R355="","",IFERROR(Разбивка_по_щитам!J355&amp;"",""))</f>
        <v/>
      </c>
      <c r="T355" s="155">
        <f>IF(R355="","",IFERROR(--Разбивка_по_щитам!L355,""))</f>
        <v/>
      </c>
      <c r="U355" s="155">
        <f>IF(R355="","",IFERROR(--Разбивка_по_щитам!K355,""))</f>
        <v/>
      </c>
      <c r="V355" s="138">
        <f>IF(R355="","",IFERROR(IF(Разбивка_по_щитам!M355=0,"",Разбивка_по_щитам!M355),""))</f>
        <v/>
      </c>
      <c r="W355" s="156">
        <f t="shared" si="215"/>
        <v/>
      </c>
      <c r="X355" s="157">
        <f t="shared" si="216"/>
        <v/>
      </c>
      <c r="Y355" s="266"/>
      <c r="Z355" s="158">
        <f t="shared" si="217"/>
        <v/>
      </c>
      <c r="AA355" s="160">
        <f t="shared" si="218"/>
        <v/>
      </c>
      <c r="AB355" s="160">
        <f>IF(R355="","",IFERROR(LOOKUP(INDEX(Справочная!$I$4:$I$19,MATCH(VLOOKUP(R355,Исходные_данные,22,FALSE),Справочная!$J$4:$J$19,0)+1),{6,10,16,20,25,32,40,50,63,80,100,125}),""))</f>
        <v/>
      </c>
      <c r="AC355" s="160">
        <f t="shared" si="219"/>
        <v/>
      </c>
      <c r="AD355" s="161">
        <f t="shared" si="220"/>
        <v/>
      </c>
      <c r="AE355" s="161">
        <f>IF(AND(R355="",G355=""),"",_xlfn.TEXTJOIN("; ",TRUE,IF(AND(R355&lt;&gt;"",V355=""),"нет фазы",""),IF(AND(R355&lt;&gt;"",N(T355)=0),"нет мощности",""),IF(AND(P355&lt;&gt;"",COUNTIFS($A$3:$A$1000,A355,$P$3:$P$1000,P355)&gt;1),"дубль клеммы "&amp;P355,""),IF(AND(W355&lt;&gt;"",W355&lt;&gt;"ok"),W355,""),IF(X355&lt;&gt;"",X355,""),IF(AND(ISNUMBER(SEARCH("(5х",Q355)),N(AK355)=1),"5 жил на 1 фазе",""),IF(AND(AL355="R",E355&lt;&gt;"",N(AS355)=0),"розетка без 30 мА",""),IF(IFERROR(_xlfn.NUMBERVALUE(MID(Q355,FIND("-",Q355,FIND("L=",Q355))+1,FIND("%",Q355)-FIND("-",Q355,FIND("L=",Q355))-1),","),0)&gt;4,"потери &gt; 4 %","")))</f>
      </c>
      <c r="AF355" s="129">
        <f>IF(E355&lt;&gt;"",COUNTIFS($A$3:A355,A355,$E$3:E355,"?*"),IF(OR(A355&lt;&gt;A354,Y355="вручную"),"",AF354))</f>
      </c>
      <c r="AG355" s="129">
        <f t="shared" si="221"/>
      </c>
      <c r="AH355" s="129">
        <f t="shared" si="222"/>
        <v/>
      </c>
      <c r="AI355" s="129">
        <f t="shared" si="223"/>
        <v/>
      </c>
      <c r="AJ355" s="129">
        <f t="shared" si="224"/>
        <v/>
      </c>
      <c r="AK355" s="129">
        <f t="shared" si="225"/>
        <v/>
      </c>
      <c r="AL355" s="129">
        <f t="shared" si="226"/>
        <v/>
      </c>
      <c r="AM355" s="129">
        <f t="shared" si="227"/>
      </c>
      <c r="AN355" s="129">
        <f t="shared" si="228"/>
      </c>
      <c r="AO355" s="129">
        <f t="shared" si="229"/>
        <v/>
      </c>
      <c r="AP355" s="129">
        <f t="shared" si="230"/>
        <v/>
      </c>
      <c r="AQ355" s="129">
        <f t="shared" si="231"/>
        <v/>
      </c>
      <c r="AR355" s="129">
        <f t="shared" si="232"/>
        <v/>
      </c>
      <c r="AS355" s="129">
        <f t="shared" si="233"/>
        <v/>
      </c>
      <c r="AT355" s="129">
        <f t="shared" si="234"/>
        <v/>
      </c>
      <c r="AU355" s="129">
        <f t="shared" si="235"/>
        <v/>
      </c>
      <c r="AV355" s="129">
        <f t="shared" si="236"/>
        <v/>
      </c>
      <c r="AW355" s="129">
        <f>IF(AV355="","",AV355&amp;"."&amp;COUNTIFS($A$3:A355,A355,$AV$3:AV355,AV355))</f>
        <v/>
      </c>
      <c r="AX355" s="129">
        <f t="shared" si="237"/>
        <v/>
      </c>
      <c r="AY355" s="129">
        <f>IF(N355="б/к",0,IF(OR(ISNUMBER(SEARCH("L=",Разбивка_по_щитам!P355)),N355="+",N355="="),1,0))</f>
      </c>
      <c r="AZ355" s="129">
        <f t="shared" si="238"/>
      </c>
      <c r="BA355" s="129">
        <f t="shared" si="239"/>
      </c>
      <c r="BB355" s="129">
        <f t="shared" si="240"/>
      </c>
      <c r="BD355" s="129">
        <f t="shared" si="241"/>
      </c>
      <c r="BE355" s="129">
        <f t="shared" si="242"/>
      </c>
      <c r="BF355" s="129">
        <f t="shared" si="243"/>
      </c>
      <c r="BG355" s="129">
        <f t="shared" si="244"/>
        <v/>
      </c>
      <c r="BH355" s="129">
        <f t="shared" si="245"/>
        <v/>
      </c>
      <c r="BI355" s="129">
        <f t="shared" si="246"/>
        <v/>
      </c>
      <c r="BJ355" s="129">
        <f t="shared" si="247"/>
        <v/>
      </c>
      <c r="BK355" s="129">
        <f>IF(R355="","",IF(OR(BY355="",BY355=0),"BOX",IFERROR(IF(VLOOKUP(BY355,УГО_блоки,3,FALSE)&amp;""&lt;&gt;"",VLOOKUP(BY355,УГО_блоки,3,FALSE),VLOOKUP(BY355,УГО_блоки,2,FALSE)),BY355)))</f>
      </c>
      <c r="BL355" s="129">
        <f t="shared" si="249"/>
      </c>
      <c r="BM355" s="129">
        <f>IF(H355="","",IF(COUNTIF($H$3:H355,H355)=1,MAX($BM$2:BM354)+1,""))</f>
      </c>
      <c r="BN355" s="129">
        <f>IF(I355="","",IF(COUNTIF($I$3:I355,I355)+COUNTIF($J$2:J354,I355)+COUNTIF($K$2:K354,I355)=1,MAX($BN$2:BP354)+1,""))</f>
      </c>
      <c r="BO355" s="129">
        <f>IF(J355="","",IF(COUNTIF($I$3:I355,J355)+COUNTIF($J$3:J355,J355)+COUNTIF($K$2:K354,J355)=1,MAX($BN$2:BP354,BN355)+1,""))</f>
      </c>
      <c r="BP355" s="129">
        <f>IF(K355="","",IF(COUNTIF($I$3:I355,K355)+COUNTIF($J$3:J355,K355)+COUNTIF($K$3:K355,K355)=1,MAX($BN$2:BP354,BN355,BO355)+1,""))</f>
      </c>
      <c r="BQ355" s="129">
        <f>IF(AY355=1,IFERROR(MID(Q355,FIND(" (",Q355)+2,FIND(")",Q355,FIND(" (",Q355))-FIND(" (",Q355)-2),"?"),"")</f>
      </c>
      <c r="BR355" s="129">
        <f>IF(BQ355="","",IF(COUNTIF($BQ$3:BQ355,BQ355)=1,MAX($BR$2:BR354)+1,""))</f>
      </c>
      <c r="BS355" s="129">
        <f>IF(AW355="","",COUNTIF($AW$3:AW355,"?*"))</f>
      </c>
      <c r="BT355" s="129">
        <f>IF(OR(AW355="",AI355=""),"",IF(COUNTIFS($AW$3:AW355,"?*",$AI$3:AI355,AI355)=1,MAX($BT$2:BT354)+1,""))</f>
      </c>
      <c r="BU355" s="129">
        <f>IF(AE355="",0,IF(OR(ISNUMBER(SEARCH("дубль",AE355)),ISNUMBER(SEARCH("ПЕРЕГРУЗ",AE355)),ISNUMBER(SEARCH("ЗАЩИЩ",AE355)),ISNUMBER(SEARCH("КАНАЛ",AE355)),ISNUMBER(SEARCH("без 30",AE355))),2,1))</f>
      </c>
      <c r="BV355" s="129">
        <f>IF(R355="","",COUNTIF($R$3:R355,"?*"))</f>
      </c>
      <c r="BW355" s="129">
        <f>IF(AY355&lt;&gt;1,0,IF(MAX(IFERROR(--VLOOKUP(R355,УГО_спр,5,FALSE),0),IFERROR(--VLOOKUP(AL355,УГО_спр,5,FALSE),0),IFERROR(--VLOOKUP(LEFT(AL355,2),УГО_спр,5,FALSE),0))&gt;0,MAX(IFERROR(--VLOOKUP(R355,УГО_спр,5,FALSE),0),IFERROR(--VLOOKUP(AL355,УГО_спр,5,FALSE),0),IFERROR(--VLOOKUP(LEFT(AL355,2),УГО_спр,5,FALSE),0)),IF(IFERROR(--LEFT(SUBSTITUTE(BQ355,"x","х"),FIND("х",SUBSTITUTE(BQ355,"x","х"))-1),3)&gt;3,Каталог!$S$9,1)))</f>
      </c>
      <c r="BX355" s="129">
        <f>IF(AY355&lt;&gt;1,0,MAX(0,IFERROR(--LEFT(SUBSTITUTE(BQ355,"x","х"),FIND("х",SUBSTITUTE(BQ355,"x","х"))-1),3)-3*BW355))</f>
      </c>
      <c r="BY355" s="129">
        <f>IF(R355="","",IFERROR(VLOOKUP(R355,УГО_спр,2,FALSE),IFERROR(VLOOKUP(AL355,УГО_спр,2,FALSE),IFERROR(VLOOKUP(LEFT(AL355,2),УГО_спр,2,FALSE),""))))</f>
      </c>
    </row>
    <row r="356" spans="1:64" x14ac:dyDescent="0.3">
      <c r="A356" s="135">
        <f>IF(Разбивка_по_щитам!F356=0,"",Разбивка_по_щитам!F356)</f>
      </c>
      <c r="B356" s="138">
        <f>IF(A356="","",Разбивка_по_щитам!C356)</f>
      </c>
      <c r="C356" s="138">
        <f t="shared" si="214"/>
      </c>
      <c r="D356" s="266"/>
      <c r="E356" s="266"/>
      <c r="F356" s="267"/>
      <c r="G356" s="145">
        <f t="shared" si="250"/>
        <v/>
      </c>
      <c r="H356" s="145">
        <f t="shared" si="251"/>
        <v/>
      </c>
      <c r="I356" s="266"/>
      <c r="J356" s="267"/>
      <c r="K356" s="267"/>
      <c r="L356" s="266"/>
      <c r="M356" s="147">
        <f t="shared" si="252"/>
        <v/>
      </c>
      <c r="N356" s="267"/>
      <c r="O356" s="147">
        <f t="shared" si="253"/>
        <v/>
      </c>
      <c r="P356" s="268">
        <f>IF(AY356=1,"XT"&amp;COUNTIFS($A$3:A356,A356,$AY$3:AY356,1),"")</f>
        <v/>
      </c>
      <c r="Q356" s="152">
        <f>IF(R356="","",IFERROR(SUBSTITUTE(Разбивка_по_щитам!P356,CHAR(10)," "),""))</f>
        <v/>
      </c>
      <c r="R356" s="153">
        <f>IF(OR(Разбивка_по_щитам!H356="",Разбивка_по_щитам!H356=0),"",Разбивка_по_щитам!H356)</f>
        <v/>
      </c>
      <c r="S356" s="154">
        <f>IF(R356="","",IFERROR(Разбивка_по_щитам!J356&amp;"",""))</f>
        <v/>
      </c>
      <c r="T356" s="155">
        <f>IF(R356="","",IFERROR(--Разбивка_по_щитам!L356,""))</f>
        <v/>
      </c>
      <c r="U356" s="155">
        <f>IF(R356="","",IFERROR(--Разбивка_по_щитам!K356,""))</f>
        <v/>
      </c>
      <c r="V356" s="138">
        <f>IF(R356="","",IFERROR(IF(Разбивка_по_щитам!M356=0,"",Разбивка_по_щитам!M356),""))</f>
        <v/>
      </c>
      <c r="W356" s="156">
        <f t="shared" si="215"/>
        <v/>
      </c>
      <c r="X356" s="157">
        <f t="shared" si="216"/>
        <v/>
      </c>
      <c r="Y356" s="266"/>
      <c r="Z356" s="158">
        <f t="shared" si="217"/>
        <v/>
      </c>
      <c r="AA356" s="160">
        <f t="shared" si="218"/>
        <v/>
      </c>
      <c r="AB356" s="160">
        <f>IF(R356="","",IFERROR(LOOKUP(INDEX(Справочная!$I$4:$I$19,MATCH(VLOOKUP(R356,Исходные_данные,22,FALSE),Справочная!$J$4:$J$19,0)+1),{6,10,16,20,25,32,40,50,63,80,100,125}),""))</f>
        <v/>
      </c>
      <c r="AC356" s="160">
        <f t="shared" si="219"/>
        <v/>
      </c>
      <c r="AD356" s="161">
        <f t="shared" si="220"/>
        <v/>
      </c>
      <c r="AE356" s="161">
        <f>IF(AND(R356="",G356=""),"",_xlfn.TEXTJOIN("; ",TRUE,IF(AND(R356&lt;&gt;"",V356=""),"нет фазы",""),IF(AND(R356&lt;&gt;"",N(T356)=0),"нет мощности",""),IF(AND(P356&lt;&gt;"",COUNTIFS($A$3:$A$1000,A356,$P$3:$P$1000,P356)&gt;1),"дубль клеммы "&amp;P356,""),IF(AND(W356&lt;&gt;"",W356&lt;&gt;"ok"),W356,""),IF(X356&lt;&gt;"",X356,""),IF(AND(ISNUMBER(SEARCH("(5х",Q356)),N(AK356)=1),"5 жил на 1 фазе",""),IF(AND(AL356="R",E356&lt;&gt;"",N(AS356)=0),"розетка без 30 мА",""),IF(IFERROR(_xlfn.NUMBERVALUE(MID(Q356,FIND("-",Q356,FIND("L=",Q356))+1,FIND("%",Q356)-FIND("-",Q356,FIND("L=",Q356))-1),","),0)&gt;4,"потери &gt; 4 %","")))</f>
      </c>
      <c r="AF356" s="129">
        <f>IF(E356&lt;&gt;"",COUNTIFS($A$3:A356,A356,$E$3:E356,"?*"),IF(OR(A356&lt;&gt;A355,Y356="вручную"),"",AF355))</f>
      </c>
      <c r="AG356" s="129">
        <f t="shared" si="221"/>
      </c>
      <c r="AH356" s="129">
        <f t="shared" si="222"/>
        <v/>
      </c>
      <c r="AI356" s="129">
        <f t="shared" si="223"/>
        <v/>
      </c>
      <c r="AJ356" s="129">
        <f t="shared" si="224"/>
        <v/>
      </c>
      <c r="AK356" s="129">
        <f t="shared" si="225"/>
        <v/>
      </c>
      <c r="AL356" s="129">
        <f t="shared" si="226"/>
        <v/>
      </c>
      <c r="AM356" s="129">
        <f t="shared" si="227"/>
      </c>
      <c r="AN356" s="129">
        <f t="shared" si="228"/>
      </c>
      <c r="AO356" s="129">
        <f t="shared" si="229"/>
        <v/>
      </c>
      <c r="AP356" s="129">
        <f t="shared" si="230"/>
        <v/>
      </c>
      <c r="AQ356" s="129">
        <f t="shared" si="231"/>
        <v/>
      </c>
      <c r="AR356" s="129">
        <f t="shared" si="232"/>
        <v/>
      </c>
      <c r="AS356" s="129">
        <f t="shared" si="233"/>
        <v/>
      </c>
      <c r="AT356" s="129">
        <f t="shared" si="234"/>
        <v/>
      </c>
      <c r="AU356" s="129">
        <f t="shared" si="235"/>
        <v/>
      </c>
      <c r="AV356" s="129">
        <f t="shared" si="236"/>
        <v/>
      </c>
      <c r="AW356" s="129">
        <f>IF(AV356="","",AV356&amp;"."&amp;COUNTIFS($A$3:A356,A356,$AV$3:AV356,AV356))</f>
        <v/>
      </c>
      <c r="AX356" s="129">
        <f t="shared" si="237"/>
        <v/>
      </c>
      <c r="AY356" s="129">
        <f>IF(N356="б/к",0,IF(OR(ISNUMBER(SEARCH("L=",Разбивка_по_щитам!P356)),N356="+",N356="="),1,0))</f>
      </c>
      <c r="AZ356" s="129">
        <f t="shared" si="238"/>
      </c>
      <c r="BA356" s="129">
        <f t="shared" si="239"/>
      </c>
      <c r="BB356" s="129">
        <f t="shared" si="240"/>
      </c>
      <c r="BD356" s="129">
        <f t="shared" si="241"/>
      </c>
      <c r="BE356" s="129">
        <f t="shared" si="242"/>
      </c>
      <c r="BF356" s="129">
        <f t="shared" si="243"/>
      </c>
      <c r="BG356" s="129">
        <f t="shared" si="244"/>
        <v/>
      </c>
      <c r="BH356" s="129">
        <f t="shared" si="245"/>
        <v/>
      </c>
      <c r="BI356" s="129">
        <f t="shared" si="246"/>
        <v/>
      </c>
      <c r="BJ356" s="129">
        <f t="shared" si="247"/>
        <v/>
      </c>
      <c r="BK356" s="129">
        <f>IF(R356="","",IF(OR(BY356="",BY356=0),"BOX",IFERROR(IF(VLOOKUP(BY356,УГО_блоки,3,FALSE)&amp;""&lt;&gt;"",VLOOKUP(BY356,УГО_блоки,3,FALSE),VLOOKUP(BY356,УГО_блоки,2,FALSE)),BY356)))</f>
      </c>
      <c r="BL356" s="129">
        <f t="shared" si="249"/>
      </c>
      <c r="BM356" s="129">
        <f>IF(H356="","",IF(COUNTIF($H$3:H356,H356)=1,MAX($BM$2:BM355)+1,""))</f>
      </c>
      <c r="BN356" s="129">
        <f>IF(I356="","",IF(COUNTIF($I$3:I356,I356)+COUNTIF($J$2:J355,I356)+COUNTIF($K$2:K355,I356)=1,MAX($BN$2:BP355)+1,""))</f>
      </c>
      <c r="BO356" s="129">
        <f>IF(J356="","",IF(COUNTIF($I$3:I356,J356)+COUNTIF($J$3:J356,J356)+COUNTIF($K$2:K355,J356)=1,MAX($BN$2:BP355,BN356)+1,""))</f>
      </c>
      <c r="BP356" s="129">
        <f>IF(K356="","",IF(COUNTIF($I$3:I356,K356)+COUNTIF($J$3:J356,K356)+COUNTIF($K$3:K356,K356)=1,MAX($BN$2:BP355,BN356,BO356)+1,""))</f>
      </c>
      <c r="BQ356" s="129">
        <f>IF(AY356=1,IFERROR(MID(Q356,FIND(" (",Q356)+2,FIND(")",Q356,FIND(" (",Q356))-FIND(" (",Q356)-2),"?"),"")</f>
      </c>
      <c r="BR356" s="129">
        <f>IF(BQ356="","",IF(COUNTIF($BQ$3:BQ356,BQ356)=1,MAX($BR$2:BR355)+1,""))</f>
      </c>
      <c r="BS356" s="129">
        <f>IF(AW356="","",COUNTIF($AW$3:AW356,"?*"))</f>
      </c>
      <c r="BT356" s="129">
        <f>IF(OR(AW356="",AI356=""),"",IF(COUNTIFS($AW$3:AW356,"?*",$AI$3:AI356,AI356)=1,MAX($BT$2:BT355)+1,""))</f>
      </c>
      <c r="BU356" s="129">
        <f>IF(AE356="",0,IF(OR(ISNUMBER(SEARCH("дубль",AE356)),ISNUMBER(SEARCH("ПЕРЕГРУЗ",AE356)),ISNUMBER(SEARCH("ЗАЩИЩ",AE356)),ISNUMBER(SEARCH("КАНАЛ",AE356)),ISNUMBER(SEARCH("без 30",AE356))),2,1))</f>
      </c>
      <c r="BV356" s="129">
        <f>IF(R356="","",COUNTIF($R$3:R356,"?*"))</f>
      </c>
      <c r="BW356" s="129">
        <f>IF(AY356&lt;&gt;1,0,IF(MAX(IFERROR(--VLOOKUP(R356,УГО_спр,5,FALSE),0),IFERROR(--VLOOKUP(AL356,УГО_спр,5,FALSE),0),IFERROR(--VLOOKUP(LEFT(AL356,2),УГО_спр,5,FALSE),0))&gt;0,MAX(IFERROR(--VLOOKUP(R356,УГО_спр,5,FALSE),0),IFERROR(--VLOOKUP(AL356,УГО_спр,5,FALSE),0),IFERROR(--VLOOKUP(LEFT(AL356,2),УГО_спр,5,FALSE),0)),IF(IFERROR(--LEFT(SUBSTITUTE(BQ356,"x","х"),FIND("х",SUBSTITUTE(BQ356,"x","х"))-1),3)&gt;3,Каталог!$S$9,1)))</f>
      </c>
      <c r="BX356" s="129">
        <f>IF(AY356&lt;&gt;1,0,MAX(0,IFERROR(--LEFT(SUBSTITUTE(BQ356,"x","х"),FIND("х",SUBSTITUTE(BQ356,"x","х"))-1),3)-3*BW356))</f>
      </c>
      <c r="BY356" s="129">
        <f>IF(R356="","",IFERROR(VLOOKUP(R356,УГО_спр,2,FALSE),IFERROR(VLOOKUP(AL356,УГО_спр,2,FALSE),IFERROR(VLOOKUP(LEFT(AL356,2),УГО_спр,2,FALSE),""))))</f>
      </c>
    </row>
    <row r="357" spans="1:64" x14ac:dyDescent="0.3">
      <c r="A357" s="135">
        <f>IF(Разбивка_по_щитам!F357=0,"",Разбивка_по_щитам!F357)</f>
      </c>
      <c r="B357" s="138">
        <f>IF(A357="","",Разбивка_по_щитам!C357)</f>
      </c>
      <c r="C357" s="138">
        <f t="shared" si="214"/>
      </c>
      <c r="D357" s="266"/>
      <c r="E357" s="266"/>
      <c r="F357" s="267"/>
      <c r="G357" s="145">
        <f t="shared" si="250"/>
        <v/>
      </c>
      <c r="H357" s="145">
        <f t="shared" si="251"/>
        <v/>
      </c>
      <c r="I357" s="266"/>
      <c r="J357" s="267"/>
      <c r="K357" s="267"/>
      <c r="L357" s="266"/>
      <c r="M357" s="147">
        <f t="shared" si="252"/>
        <v/>
      </c>
      <c r="N357" s="267"/>
      <c r="O357" s="147">
        <f t="shared" si="253"/>
        <v/>
      </c>
      <c r="P357" s="268">
        <f>IF(AY357=1,"XT"&amp;COUNTIFS($A$3:A357,A357,$AY$3:AY357,1),"")</f>
        <v/>
      </c>
      <c r="Q357" s="152">
        <f>IF(R357="","",IFERROR(SUBSTITUTE(Разбивка_по_щитам!P357,CHAR(10)," "),""))</f>
        <v/>
      </c>
      <c r="R357" s="153">
        <f>IF(OR(Разбивка_по_щитам!H357="",Разбивка_по_щитам!H357=0),"",Разбивка_по_щитам!H357)</f>
        <v/>
      </c>
      <c r="S357" s="154">
        <f>IF(R357="","",IFERROR(Разбивка_по_щитам!J357&amp;"",""))</f>
        <v/>
      </c>
      <c r="T357" s="155">
        <f>IF(R357="","",IFERROR(--Разбивка_по_щитам!L357,""))</f>
        <v/>
      </c>
      <c r="U357" s="155">
        <f>IF(R357="","",IFERROR(--Разбивка_по_щитам!K357,""))</f>
        <v/>
      </c>
      <c r="V357" s="138">
        <f>IF(R357="","",IFERROR(IF(Разбивка_по_щитам!M357=0,"",Разбивка_по_щитам!M357),""))</f>
        <v/>
      </c>
      <c r="W357" s="156">
        <f t="shared" si="215"/>
        <v/>
      </c>
      <c r="X357" s="157">
        <f t="shared" si="216"/>
        <v/>
      </c>
      <c r="Y357" s="266"/>
      <c r="Z357" s="158">
        <f t="shared" si="217"/>
        <v/>
      </c>
      <c r="AA357" s="160">
        <f t="shared" si="218"/>
        <v/>
      </c>
      <c r="AB357" s="160">
        <f>IF(R357="","",IFERROR(LOOKUP(INDEX(Справочная!$I$4:$I$19,MATCH(VLOOKUP(R357,Исходные_данные,22,FALSE),Справочная!$J$4:$J$19,0)+1),{6,10,16,20,25,32,40,50,63,80,100,125}),""))</f>
        <v/>
      </c>
      <c r="AC357" s="160">
        <f t="shared" si="219"/>
        <v/>
      </c>
      <c r="AD357" s="161">
        <f t="shared" si="220"/>
        <v/>
      </c>
      <c r="AE357" s="161">
        <f>IF(AND(R357="",G357=""),"",_xlfn.TEXTJOIN("; ",TRUE,IF(AND(R357&lt;&gt;"",V357=""),"нет фазы",""),IF(AND(R357&lt;&gt;"",N(T357)=0),"нет мощности",""),IF(AND(P357&lt;&gt;"",COUNTIFS($A$3:$A$1000,A357,$P$3:$P$1000,P357)&gt;1),"дубль клеммы "&amp;P357,""),IF(AND(W357&lt;&gt;"",W357&lt;&gt;"ok"),W357,""),IF(X357&lt;&gt;"",X357,""),IF(AND(ISNUMBER(SEARCH("(5х",Q357)),N(AK357)=1),"5 жил на 1 фазе",""),IF(AND(AL357="R",E357&lt;&gt;"",N(AS357)=0),"розетка без 30 мА",""),IF(IFERROR(_xlfn.NUMBERVALUE(MID(Q357,FIND("-",Q357,FIND("L=",Q357))+1,FIND("%",Q357)-FIND("-",Q357,FIND("L=",Q357))-1),","),0)&gt;4,"потери &gt; 4 %","")))</f>
      </c>
      <c r="AF357" s="129">
        <f>IF(E357&lt;&gt;"",COUNTIFS($A$3:A357,A357,$E$3:E357,"?*"),IF(OR(A357&lt;&gt;A356,Y357="вручную"),"",AF356))</f>
      </c>
      <c r="AG357" s="129">
        <f t="shared" si="221"/>
      </c>
      <c r="AH357" s="129">
        <f t="shared" si="222"/>
        <v/>
      </c>
      <c r="AI357" s="129">
        <f t="shared" si="223"/>
        <v/>
      </c>
      <c r="AJ357" s="129">
        <f t="shared" si="224"/>
        <v/>
      </c>
      <c r="AK357" s="129">
        <f t="shared" si="225"/>
        <v/>
      </c>
      <c r="AL357" s="129">
        <f t="shared" si="226"/>
        <v/>
      </c>
      <c r="AM357" s="129">
        <f t="shared" si="227"/>
      </c>
      <c r="AN357" s="129">
        <f t="shared" si="228"/>
      </c>
      <c r="AO357" s="129">
        <f t="shared" si="229"/>
        <v/>
      </c>
      <c r="AP357" s="129">
        <f t="shared" si="230"/>
        <v/>
      </c>
      <c r="AQ357" s="129">
        <f t="shared" si="231"/>
        <v/>
      </c>
      <c r="AR357" s="129">
        <f t="shared" si="232"/>
        <v/>
      </c>
      <c r="AS357" s="129">
        <f t="shared" si="233"/>
        <v/>
      </c>
      <c r="AT357" s="129">
        <f t="shared" si="234"/>
        <v/>
      </c>
      <c r="AU357" s="129">
        <f t="shared" si="235"/>
        <v/>
      </c>
      <c r="AV357" s="129">
        <f t="shared" si="236"/>
        <v/>
      </c>
      <c r="AW357" s="129">
        <f>IF(AV357="","",AV357&amp;"."&amp;COUNTIFS($A$3:A357,A357,$AV$3:AV357,AV357))</f>
        <v/>
      </c>
      <c r="AX357" s="129">
        <f t="shared" si="237"/>
        <v/>
      </c>
      <c r="AY357" s="129">
        <f>IF(N357="б/к",0,IF(OR(ISNUMBER(SEARCH("L=",Разбивка_по_щитам!P357)),N357="+",N357="="),1,0))</f>
      </c>
      <c r="AZ357" s="129">
        <f t="shared" si="238"/>
      </c>
      <c r="BA357" s="129">
        <f t="shared" si="239"/>
      </c>
      <c r="BB357" s="129">
        <f t="shared" si="240"/>
      </c>
      <c r="BD357" s="129">
        <f t="shared" si="241"/>
      </c>
      <c r="BE357" s="129">
        <f t="shared" si="242"/>
      </c>
      <c r="BF357" s="129">
        <f t="shared" si="243"/>
      </c>
      <c r="BG357" s="129">
        <f t="shared" si="244"/>
        <v/>
      </c>
      <c r="BH357" s="129">
        <f t="shared" si="245"/>
        <v/>
      </c>
      <c r="BI357" s="129">
        <f t="shared" si="246"/>
        <v/>
      </c>
      <c r="BJ357" s="129">
        <f t="shared" si="247"/>
        <v/>
      </c>
      <c r="BK357" s="129">
        <f>IF(R357="","",IF(OR(BY357="",BY357=0),"BOX",IFERROR(IF(VLOOKUP(BY357,УГО_блоки,3,FALSE)&amp;""&lt;&gt;"",VLOOKUP(BY357,УГО_блоки,3,FALSE),VLOOKUP(BY357,УГО_блоки,2,FALSE)),BY357)))</f>
      </c>
      <c r="BL357" s="129">
        <f t="shared" si="249"/>
      </c>
      <c r="BM357" s="129">
        <f>IF(H357="","",IF(COUNTIF($H$3:H357,H357)=1,MAX($BM$2:BM356)+1,""))</f>
      </c>
      <c r="BN357" s="129">
        <f>IF(I357="","",IF(COUNTIF($I$3:I357,I357)+COUNTIF($J$2:J356,I357)+COUNTIF($K$2:K356,I357)=1,MAX($BN$2:BP356)+1,""))</f>
      </c>
      <c r="BO357" s="129">
        <f>IF(J357="","",IF(COUNTIF($I$3:I357,J357)+COUNTIF($J$3:J357,J357)+COUNTIF($K$2:K356,J357)=1,MAX($BN$2:BP356,BN357)+1,""))</f>
      </c>
      <c r="BP357" s="129">
        <f>IF(K357="","",IF(COUNTIF($I$3:I357,K357)+COUNTIF($J$3:J357,K357)+COUNTIF($K$3:K357,K357)=1,MAX($BN$2:BP356,BN357,BO357)+1,""))</f>
      </c>
      <c r="BQ357" s="129">
        <f>IF(AY357=1,IFERROR(MID(Q357,FIND(" (",Q357)+2,FIND(")",Q357,FIND(" (",Q357))-FIND(" (",Q357)-2),"?"),"")</f>
      </c>
      <c r="BR357" s="129">
        <f>IF(BQ357="","",IF(COUNTIF($BQ$3:BQ357,BQ357)=1,MAX($BR$2:BR356)+1,""))</f>
      </c>
      <c r="BS357" s="129">
        <f>IF(AW357="","",COUNTIF($AW$3:AW357,"?*"))</f>
      </c>
      <c r="BT357" s="129">
        <f>IF(OR(AW357="",AI357=""),"",IF(COUNTIFS($AW$3:AW357,"?*",$AI$3:AI357,AI357)=1,MAX($BT$2:BT356)+1,""))</f>
      </c>
      <c r="BU357" s="129">
        <f>IF(AE357="",0,IF(OR(ISNUMBER(SEARCH("дубль",AE357)),ISNUMBER(SEARCH("ПЕРЕГРУЗ",AE357)),ISNUMBER(SEARCH("ЗАЩИЩ",AE357)),ISNUMBER(SEARCH("КАНАЛ",AE357)),ISNUMBER(SEARCH("без 30",AE357))),2,1))</f>
      </c>
      <c r="BV357" s="129">
        <f>IF(R357="","",COUNTIF($R$3:R357,"?*"))</f>
      </c>
      <c r="BW357" s="129">
        <f>IF(AY357&lt;&gt;1,0,IF(MAX(IFERROR(--VLOOKUP(R357,УГО_спр,5,FALSE),0),IFERROR(--VLOOKUP(AL357,УГО_спр,5,FALSE),0),IFERROR(--VLOOKUP(LEFT(AL357,2),УГО_спр,5,FALSE),0))&gt;0,MAX(IFERROR(--VLOOKUP(R357,УГО_спр,5,FALSE),0),IFERROR(--VLOOKUP(AL357,УГО_спр,5,FALSE),0),IFERROR(--VLOOKUP(LEFT(AL357,2),УГО_спр,5,FALSE),0)),IF(IFERROR(--LEFT(SUBSTITUTE(BQ357,"x","х"),FIND("х",SUBSTITUTE(BQ357,"x","х"))-1),3)&gt;3,Каталог!$S$9,1)))</f>
      </c>
      <c r="BX357" s="129">
        <f>IF(AY357&lt;&gt;1,0,MAX(0,IFERROR(--LEFT(SUBSTITUTE(BQ357,"x","х"),FIND("х",SUBSTITUTE(BQ357,"x","х"))-1),3)-3*BW357))</f>
      </c>
      <c r="BY357" s="129">
        <f>IF(R357="","",IFERROR(VLOOKUP(R357,УГО_спр,2,FALSE),IFERROR(VLOOKUP(AL357,УГО_спр,2,FALSE),IFERROR(VLOOKUP(LEFT(AL357,2),УГО_спр,2,FALSE),""))))</f>
      </c>
    </row>
    <row r="358" spans="1:64" x14ac:dyDescent="0.3">
      <c r="A358" s="135">
        <f>IF(Разбивка_по_щитам!F358=0,"",Разбивка_по_щитам!F358)</f>
      </c>
      <c r="B358" s="138">
        <f>IF(A358="","",Разбивка_по_щитам!C358)</f>
      </c>
      <c r="C358" s="138">
        <f t="shared" si="214"/>
      </c>
      <c r="D358" s="266"/>
      <c r="E358" s="266"/>
      <c r="F358" s="267"/>
      <c r="G358" s="145">
        <f t="shared" si="250"/>
        <v/>
      </c>
      <c r="H358" s="145">
        <f t="shared" si="251"/>
        <v/>
      </c>
      <c r="I358" s="266"/>
      <c r="J358" s="267"/>
      <c r="K358" s="267"/>
      <c r="L358" s="266"/>
      <c r="M358" s="147">
        <f t="shared" si="252"/>
        <v/>
      </c>
      <c r="N358" s="267"/>
      <c r="O358" s="147">
        <f t="shared" si="253"/>
        <v/>
      </c>
      <c r="P358" s="268">
        <f>IF(AY358=1,"XT"&amp;COUNTIFS($A$3:A358,A358,$AY$3:AY358,1),"")</f>
        <v/>
      </c>
      <c r="Q358" s="152">
        <f>IF(R358="","",IFERROR(SUBSTITUTE(Разбивка_по_щитам!P358,CHAR(10)," "),""))</f>
        <v/>
      </c>
      <c r="R358" s="153">
        <f>IF(OR(Разбивка_по_щитам!H358="",Разбивка_по_щитам!H358=0),"",Разбивка_по_щитам!H358)</f>
        <v/>
      </c>
      <c r="S358" s="154">
        <f>IF(R358="","",IFERROR(Разбивка_по_щитам!J358&amp;"",""))</f>
        <v/>
      </c>
      <c r="T358" s="155">
        <f>IF(R358="","",IFERROR(--Разбивка_по_щитам!L358,""))</f>
        <v/>
      </c>
      <c r="U358" s="155">
        <f>IF(R358="","",IFERROR(--Разбивка_по_щитам!K358,""))</f>
        <v/>
      </c>
      <c r="V358" s="138">
        <f>IF(R358="","",IFERROR(IF(Разбивка_по_щитам!M358=0,"",Разбивка_по_щитам!M358),""))</f>
        <v/>
      </c>
      <c r="W358" s="156">
        <f t="shared" si="215"/>
        <v/>
      </c>
      <c r="X358" s="157">
        <f t="shared" si="216"/>
        <v/>
      </c>
      <c r="Y358" s="266"/>
      <c r="Z358" s="158">
        <f t="shared" si="217"/>
        <v/>
      </c>
      <c r="AA358" s="160">
        <f t="shared" si="218"/>
        <v/>
      </c>
      <c r="AB358" s="160">
        <f>IF(R358="","",IFERROR(LOOKUP(INDEX(Справочная!$I$4:$I$19,MATCH(VLOOKUP(R358,Исходные_данные,22,FALSE),Справочная!$J$4:$J$19,0)+1),{6,10,16,20,25,32,40,50,63,80,100,125}),""))</f>
        <v/>
      </c>
      <c r="AC358" s="160">
        <f t="shared" si="219"/>
        <v/>
      </c>
      <c r="AD358" s="161">
        <f t="shared" si="220"/>
        <v/>
      </c>
      <c r="AE358" s="161">
        <f>IF(AND(R358="",G358=""),"",_xlfn.TEXTJOIN("; ",TRUE,IF(AND(R358&lt;&gt;"",V358=""),"нет фазы",""),IF(AND(R358&lt;&gt;"",N(T358)=0),"нет мощности",""),IF(AND(P358&lt;&gt;"",COUNTIFS($A$3:$A$1000,A358,$P$3:$P$1000,P358)&gt;1),"дубль клеммы "&amp;P358,""),IF(AND(W358&lt;&gt;"",W358&lt;&gt;"ok"),W358,""),IF(X358&lt;&gt;"",X358,""),IF(AND(ISNUMBER(SEARCH("(5х",Q358)),N(AK358)=1),"5 жил на 1 фазе",""),IF(AND(AL358="R",E358&lt;&gt;"",N(AS358)=0),"розетка без 30 мА",""),IF(IFERROR(_xlfn.NUMBERVALUE(MID(Q358,FIND("-",Q358,FIND("L=",Q358))+1,FIND("%",Q358)-FIND("-",Q358,FIND("L=",Q358))-1),","),0)&gt;4,"потери &gt; 4 %","")))</f>
      </c>
      <c r="AF358" s="129">
        <f>IF(E358&lt;&gt;"",COUNTIFS($A$3:A358,A358,$E$3:E358,"?*"),IF(OR(A358&lt;&gt;A357,Y358="вручную"),"",AF357))</f>
      </c>
      <c r="AG358" s="129">
        <f t="shared" si="221"/>
      </c>
      <c r="AH358" s="129">
        <f t="shared" si="222"/>
        <v/>
      </c>
      <c r="AI358" s="129">
        <f t="shared" si="223"/>
        <v/>
      </c>
      <c r="AJ358" s="129">
        <f t="shared" si="224"/>
        <v/>
      </c>
      <c r="AK358" s="129">
        <f t="shared" si="225"/>
        <v/>
      </c>
      <c r="AL358" s="129">
        <f t="shared" si="226"/>
        <v/>
      </c>
      <c r="AM358" s="129">
        <f t="shared" si="227"/>
      </c>
      <c r="AN358" s="129">
        <f t="shared" si="228"/>
      </c>
      <c r="AO358" s="129">
        <f t="shared" si="229"/>
        <v/>
      </c>
      <c r="AP358" s="129">
        <f t="shared" si="230"/>
        <v/>
      </c>
      <c r="AQ358" s="129">
        <f t="shared" si="231"/>
        <v/>
      </c>
      <c r="AR358" s="129">
        <f t="shared" si="232"/>
        <v/>
      </c>
      <c r="AS358" s="129">
        <f t="shared" si="233"/>
        <v/>
      </c>
      <c r="AT358" s="129">
        <f t="shared" si="234"/>
        <v/>
      </c>
      <c r="AU358" s="129">
        <f t="shared" si="235"/>
        <v/>
      </c>
      <c r="AV358" s="129">
        <f t="shared" si="236"/>
        <v/>
      </c>
      <c r="AW358" s="129">
        <f>IF(AV358="","",AV358&amp;"."&amp;COUNTIFS($A$3:A358,A358,$AV$3:AV358,AV358))</f>
        <v/>
      </c>
      <c r="AX358" s="129">
        <f t="shared" si="237"/>
        <v/>
      </c>
      <c r="AY358" s="129">
        <f>IF(N358="б/к",0,IF(OR(ISNUMBER(SEARCH("L=",Разбивка_по_щитам!P358)),N358="+",N358="="),1,0))</f>
      </c>
      <c r="AZ358" s="129">
        <f t="shared" si="238"/>
      </c>
      <c r="BA358" s="129">
        <f t="shared" si="239"/>
      </c>
      <c r="BB358" s="129">
        <f t="shared" si="240"/>
      </c>
      <c r="BD358" s="129">
        <f t="shared" si="241"/>
      </c>
      <c r="BE358" s="129">
        <f t="shared" si="242"/>
      </c>
      <c r="BF358" s="129">
        <f t="shared" si="243"/>
      </c>
      <c r="BG358" s="129">
        <f t="shared" si="244"/>
        <v/>
      </c>
      <c r="BH358" s="129">
        <f t="shared" si="245"/>
        <v/>
      </c>
      <c r="BI358" s="129">
        <f t="shared" si="246"/>
        <v/>
      </c>
      <c r="BJ358" s="129">
        <f t="shared" si="247"/>
        <v/>
      </c>
      <c r="BK358" s="129">
        <f>IF(R358="","",IF(OR(BY358="",BY358=0),"BOX",IFERROR(IF(VLOOKUP(BY358,УГО_блоки,3,FALSE)&amp;""&lt;&gt;"",VLOOKUP(BY358,УГО_блоки,3,FALSE),VLOOKUP(BY358,УГО_блоки,2,FALSE)),BY358)))</f>
      </c>
      <c r="BL358" s="129">
        <f t="shared" si="249"/>
      </c>
      <c r="BM358" s="129">
        <f>IF(H358="","",IF(COUNTIF($H$3:H358,H358)=1,MAX($BM$2:BM357)+1,""))</f>
      </c>
      <c r="BN358" s="129">
        <f>IF(I358="","",IF(COUNTIF($I$3:I358,I358)+COUNTIF($J$2:J357,I358)+COUNTIF($K$2:K357,I358)=1,MAX($BN$2:BP357)+1,""))</f>
      </c>
      <c r="BO358" s="129">
        <f>IF(J358="","",IF(COUNTIF($I$3:I358,J358)+COUNTIF($J$3:J358,J358)+COUNTIF($K$2:K357,J358)=1,MAX($BN$2:BP357,BN358)+1,""))</f>
      </c>
      <c r="BP358" s="129">
        <f>IF(K358="","",IF(COUNTIF($I$3:I358,K358)+COUNTIF($J$3:J358,K358)+COUNTIF($K$3:K358,K358)=1,MAX($BN$2:BP357,BN358,BO358)+1,""))</f>
      </c>
      <c r="BQ358" s="129">
        <f>IF(AY358=1,IFERROR(MID(Q358,FIND(" (",Q358)+2,FIND(")",Q358,FIND(" (",Q358))-FIND(" (",Q358)-2),"?"),"")</f>
      </c>
      <c r="BR358" s="129">
        <f>IF(BQ358="","",IF(COUNTIF($BQ$3:BQ358,BQ358)=1,MAX($BR$2:BR357)+1,""))</f>
      </c>
      <c r="BS358" s="129">
        <f>IF(AW358="","",COUNTIF($AW$3:AW358,"?*"))</f>
      </c>
      <c r="BT358" s="129">
        <f>IF(OR(AW358="",AI358=""),"",IF(COUNTIFS($AW$3:AW358,"?*",$AI$3:AI358,AI358)=1,MAX($BT$2:BT357)+1,""))</f>
      </c>
      <c r="BU358" s="129">
        <f>IF(AE358="",0,IF(OR(ISNUMBER(SEARCH("дубль",AE358)),ISNUMBER(SEARCH("ПЕРЕГРУЗ",AE358)),ISNUMBER(SEARCH("ЗАЩИЩ",AE358)),ISNUMBER(SEARCH("КАНАЛ",AE358)),ISNUMBER(SEARCH("без 30",AE358))),2,1))</f>
      </c>
      <c r="BV358" s="129">
        <f>IF(R358="","",COUNTIF($R$3:R358,"?*"))</f>
      </c>
      <c r="BW358" s="129">
        <f>IF(AY358&lt;&gt;1,0,IF(MAX(IFERROR(--VLOOKUP(R358,УГО_спр,5,FALSE),0),IFERROR(--VLOOKUP(AL358,УГО_спр,5,FALSE),0),IFERROR(--VLOOKUP(LEFT(AL358,2),УГО_спр,5,FALSE),0))&gt;0,MAX(IFERROR(--VLOOKUP(R358,УГО_спр,5,FALSE),0),IFERROR(--VLOOKUP(AL358,УГО_спр,5,FALSE),0),IFERROR(--VLOOKUP(LEFT(AL358,2),УГО_спр,5,FALSE),0)),IF(IFERROR(--LEFT(SUBSTITUTE(BQ358,"x","х"),FIND("х",SUBSTITUTE(BQ358,"x","х"))-1),3)&gt;3,Каталог!$S$9,1)))</f>
      </c>
      <c r="BX358" s="129">
        <f>IF(AY358&lt;&gt;1,0,MAX(0,IFERROR(--LEFT(SUBSTITUTE(BQ358,"x","х"),FIND("х",SUBSTITUTE(BQ358,"x","х"))-1),3)-3*BW358))</f>
      </c>
      <c r="BY358" s="129">
        <f>IF(R358="","",IFERROR(VLOOKUP(R358,УГО_спр,2,FALSE),IFERROR(VLOOKUP(AL358,УГО_спр,2,FALSE),IFERROR(VLOOKUP(LEFT(AL358,2),УГО_спр,2,FALSE),""))))</f>
      </c>
    </row>
    <row r="359" spans="1:64" x14ac:dyDescent="0.3">
      <c r="A359" s="135">
        <f>IF(Разбивка_по_щитам!F359=0,"",Разбивка_по_щитам!F359)</f>
      </c>
      <c r="B359" s="138">
        <f>IF(A359="","",Разбивка_по_щитам!C359)</f>
      </c>
      <c r="C359" s="138">
        <f t="shared" si="214"/>
      </c>
      <c r="D359" s="266"/>
      <c r="E359" s="266"/>
      <c r="F359" s="267"/>
      <c r="G359" s="145">
        <f t="shared" si="250"/>
        <v/>
      </c>
      <c r="H359" s="145">
        <f t="shared" si="251"/>
        <v/>
      </c>
      <c r="I359" s="266"/>
      <c r="J359" s="267"/>
      <c r="K359" s="267"/>
      <c r="L359" s="266"/>
      <c r="M359" s="147">
        <f t="shared" si="252"/>
        <v/>
      </c>
      <c r="N359" s="267"/>
      <c r="O359" s="147">
        <f t="shared" si="253"/>
        <v/>
      </c>
      <c r="P359" s="268">
        <f>IF(AY359=1,"XT"&amp;COUNTIFS($A$3:A359,A359,$AY$3:AY359,1),"")</f>
        <v/>
      </c>
      <c r="Q359" s="152">
        <f>IF(R359="","",IFERROR(SUBSTITUTE(Разбивка_по_щитам!P359,CHAR(10)," "),""))</f>
        <v/>
      </c>
      <c r="R359" s="153">
        <f>IF(OR(Разбивка_по_щитам!H359="",Разбивка_по_щитам!H359=0),"",Разбивка_по_щитам!H359)</f>
        <v/>
      </c>
      <c r="S359" s="154">
        <f>IF(R359="","",IFERROR(Разбивка_по_щитам!J359&amp;"",""))</f>
        <v/>
      </c>
      <c r="T359" s="155">
        <f>IF(R359="","",IFERROR(--Разбивка_по_щитам!L359,""))</f>
        <v/>
      </c>
      <c r="U359" s="155">
        <f>IF(R359="","",IFERROR(--Разбивка_по_щитам!K359,""))</f>
        <v/>
      </c>
      <c r="V359" s="138">
        <f>IF(R359="","",IFERROR(IF(Разбивка_по_щитам!M359=0,"",Разбивка_по_щитам!M359),""))</f>
        <v/>
      </c>
      <c r="W359" s="156">
        <f t="shared" si="215"/>
        <v/>
      </c>
      <c r="X359" s="157">
        <f t="shared" si="216"/>
        <v/>
      </c>
      <c r="Y359" s="266"/>
      <c r="Z359" s="158">
        <f t="shared" si="217"/>
        <v/>
      </c>
      <c r="AA359" s="160">
        <f t="shared" si="218"/>
        <v/>
      </c>
      <c r="AB359" s="160">
        <f>IF(R359="","",IFERROR(LOOKUP(INDEX(Справочная!$I$4:$I$19,MATCH(VLOOKUP(R359,Исходные_данные,22,FALSE),Справочная!$J$4:$J$19,0)+1),{6,10,16,20,25,32,40,50,63,80,100,125}),""))</f>
        <v/>
      </c>
      <c r="AC359" s="160">
        <f t="shared" si="219"/>
        <v/>
      </c>
      <c r="AD359" s="161">
        <f t="shared" si="220"/>
        <v/>
      </c>
      <c r="AE359" s="161">
        <f>IF(AND(R359="",G359=""),"",_xlfn.TEXTJOIN("; ",TRUE,IF(AND(R359&lt;&gt;"",V359=""),"нет фазы",""),IF(AND(R359&lt;&gt;"",N(T359)=0),"нет мощности",""),IF(AND(P359&lt;&gt;"",COUNTIFS($A$3:$A$1000,A359,$P$3:$P$1000,P359)&gt;1),"дубль клеммы "&amp;P359,""),IF(AND(W359&lt;&gt;"",W359&lt;&gt;"ok"),W359,""),IF(X359&lt;&gt;"",X359,""),IF(AND(ISNUMBER(SEARCH("(5х",Q359)),N(AK359)=1),"5 жил на 1 фазе",""),IF(AND(AL359="R",E359&lt;&gt;"",N(AS359)=0),"розетка без 30 мА",""),IF(IFERROR(_xlfn.NUMBERVALUE(MID(Q359,FIND("-",Q359,FIND("L=",Q359))+1,FIND("%",Q359)-FIND("-",Q359,FIND("L=",Q359))-1),","),0)&gt;4,"потери &gt; 4 %","")))</f>
      </c>
      <c r="AF359" s="129">
        <f>IF(E359&lt;&gt;"",COUNTIFS($A$3:A359,A359,$E$3:E359,"?*"),IF(OR(A359&lt;&gt;A358,Y359="вручную"),"",AF358))</f>
      </c>
      <c r="AG359" s="129">
        <f t="shared" si="221"/>
      </c>
      <c r="AH359" s="129">
        <f t="shared" si="222"/>
        <v/>
      </c>
      <c r="AI359" s="129">
        <f t="shared" si="223"/>
        <v/>
      </c>
      <c r="AJ359" s="129">
        <f t="shared" si="224"/>
        <v/>
      </c>
      <c r="AK359" s="129">
        <f t="shared" si="225"/>
        <v/>
      </c>
      <c r="AL359" s="129">
        <f t="shared" si="226"/>
        <v/>
      </c>
      <c r="AM359" s="129">
        <f t="shared" si="227"/>
      </c>
      <c r="AN359" s="129">
        <f t="shared" si="228"/>
      </c>
      <c r="AO359" s="129">
        <f t="shared" si="229"/>
        <v/>
      </c>
      <c r="AP359" s="129">
        <f t="shared" si="230"/>
        <v/>
      </c>
      <c r="AQ359" s="129">
        <f t="shared" si="231"/>
        <v/>
      </c>
      <c r="AR359" s="129">
        <f t="shared" si="232"/>
        <v/>
      </c>
      <c r="AS359" s="129">
        <f t="shared" si="233"/>
        <v/>
      </c>
      <c r="AT359" s="129">
        <f t="shared" si="234"/>
        <v/>
      </c>
      <c r="AU359" s="129">
        <f t="shared" si="235"/>
        <v/>
      </c>
      <c r="AV359" s="129">
        <f t="shared" si="236"/>
        <v/>
      </c>
      <c r="AW359" s="129">
        <f>IF(AV359="","",AV359&amp;"."&amp;COUNTIFS($A$3:A359,A359,$AV$3:AV359,AV359))</f>
        <v/>
      </c>
      <c r="AX359" s="129">
        <f t="shared" si="237"/>
        <v/>
      </c>
      <c r="AY359" s="129">
        <f>IF(N359="б/к",0,IF(OR(ISNUMBER(SEARCH("L=",Разбивка_по_щитам!P359)),N359="+",N359="="),1,0))</f>
      </c>
      <c r="AZ359" s="129">
        <f t="shared" si="238"/>
      </c>
      <c r="BA359" s="129">
        <f t="shared" si="239"/>
      </c>
      <c r="BB359" s="129">
        <f t="shared" si="240"/>
      </c>
      <c r="BD359" s="129">
        <f t="shared" si="241"/>
      </c>
      <c r="BE359" s="129">
        <f t="shared" si="242"/>
      </c>
      <c r="BF359" s="129">
        <f t="shared" si="243"/>
      </c>
      <c r="BG359" s="129">
        <f t="shared" si="244"/>
        <v/>
      </c>
      <c r="BH359" s="129">
        <f t="shared" si="245"/>
        <v/>
      </c>
      <c r="BI359" s="129">
        <f t="shared" si="246"/>
        <v/>
      </c>
      <c r="BJ359" s="129">
        <f t="shared" si="247"/>
        <v/>
      </c>
      <c r="BK359" s="129">
        <f>IF(R359="","",IF(OR(BY359="",BY359=0),"BOX",IFERROR(IF(VLOOKUP(BY359,УГО_блоки,3,FALSE)&amp;""&lt;&gt;"",VLOOKUP(BY359,УГО_блоки,3,FALSE),VLOOKUP(BY359,УГО_блоки,2,FALSE)),BY359)))</f>
      </c>
      <c r="BL359" s="129">
        <f t="shared" si="249"/>
      </c>
      <c r="BM359" s="129">
        <f>IF(H359="","",IF(COUNTIF($H$3:H359,H359)=1,MAX($BM$2:BM358)+1,""))</f>
      </c>
      <c r="BN359" s="129">
        <f>IF(I359="","",IF(COUNTIF($I$3:I359,I359)+COUNTIF($J$2:J358,I359)+COUNTIF($K$2:K358,I359)=1,MAX($BN$2:BP358)+1,""))</f>
      </c>
      <c r="BO359" s="129">
        <f>IF(J359="","",IF(COUNTIF($I$3:I359,J359)+COUNTIF($J$3:J359,J359)+COUNTIF($K$2:K358,J359)=1,MAX($BN$2:BP358,BN359)+1,""))</f>
      </c>
      <c r="BP359" s="129">
        <f>IF(K359="","",IF(COUNTIF($I$3:I359,K359)+COUNTIF($J$3:J359,K359)+COUNTIF($K$3:K359,K359)=1,MAX($BN$2:BP358,BN359,BO359)+1,""))</f>
      </c>
      <c r="BQ359" s="129">
        <f>IF(AY359=1,IFERROR(MID(Q359,FIND(" (",Q359)+2,FIND(")",Q359,FIND(" (",Q359))-FIND(" (",Q359)-2),"?"),"")</f>
      </c>
      <c r="BR359" s="129">
        <f>IF(BQ359="","",IF(COUNTIF($BQ$3:BQ359,BQ359)=1,MAX($BR$2:BR358)+1,""))</f>
      </c>
      <c r="BS359" s="129">
        <f>IF(AW359="","",COUNTIF($AW$3:AW359,"?*"))</f>
      </c>
      <c r="BT359" s="129">
        <f>IF(OR(AW359="",AI359=""),"",IF(COUNTIFS($AW$3:AW359,"?*",$AI$3:AI359,AI359)=1,MAX($BT$2:BT358)+1,""))</f>
      </c>
      <c r="BU359" s="129">
        <f>IF(AE359="",0,IF(OR(ISNUMBER(SEARCH("дубль",AE359)),ISNUMBER(SEARCH("ПЕРЕГРУЗ",AE359)),ISNUMBER(SEARCH("ЗАЩИЩ",AE359)),ISNUMBER(SEARCH("КАНАЛ",AE359)),ISNUMBER(SEARCH("без 30",AE359))),2,1))</f>
      </c>
      <c r="BV359" s="129">
        <f>IF(R359="","",COUNTIF($R$3:R359,"?*"))</f>
      </c>
      <c r="BW359" s="129">
        <f>IF(AY359&lt;&gt;1,0,IF(MAX(IFERROR(--VLOOKUP(R359,УГО_спр,5,FALSE),0),IFERROR(--VLOOKUP(AL359,УГО_спр,5,FALSE),0),IFERROR(--VLOOKUP(LEFT(AL359,2),УГО_спр,5,FALSE),0))&gt;0,MAX(IFERROR(--VLOOKUP(R359,УГО_спр,5,FALSE),0),IFERROR(--VLOOKUP(AL359,УГО_спр,5,FALSE),0),IFERROR(--VLOOKUP(LEFT(AL359,2),УГО_спр,5,FALSE),0)),IF(IFERROR(--LEFT(SUBSTITUTE(BQ359,"x","х"),FIND("х",SUBSTITUTE(BQ359,"x","х"))-1),3)&gt;3,Каталог!$S$9,1)))</f>
      </c>
      <c r="BX359" s="129">
        <f>IF(AY359&lt;&gt;1,0,MAX(0,IFERROR(--LEFT(SUBSTITUTE(BQ359,"x","х"),FIND("х",SUBSTITUTE(BQ359,"x","х"))-1),3)-3*BW359))</f>
      </c>
      <c r="BY359" s="129">
        <f>IF(R359="","",IFERROR(VLOOKUP(R359,УГО_спр,2,FALSE),IFERROR(VLOOKUP(AL359,УГО_спр,2,FALSE),IFERROR(VLOOKUP(LEFT(AL359,2),УГО_спр,2,FALSE),""))))</f>
      </c>
    </row>
    <row r="360" spans="1:64" x14ac:dyDescent="0.3">
      <c r="A360" s="135">
        <f>IF(Разбивка_по_щитам!F360=0,"",Разбивка_по_щитам!F360)</f>
      </c>
      <c r="B360" s="138">
        <f>IF(A360="","",Разбивка_по_щитам!C360)</f>
      </c>
      <c r="C360" s="138">
        <f t="shared" si="214"/>
      </c>
      <c r="D360" s="266"/>
      <c r="E360" s="266"/>
      <c r="F360" s="267"/>
      <c r="G360" s="145">
        <f t="shared" si="250"/>
        <v/>
      </c>
      <c r="H360" s="145">
        <f t="shared" si="251"/>
        <v/>
      </c>
      <c r="I360" s="266"/>
      <c r="J360" s="267"/>
      <c r="K360" s="267"/>
      <c r="L360" s="266"/>
      <c r="M360" s="147">
        <f t="shared" si="252"/>
        <v/>
      </c>
      <c r="N360" s="267"/>
      <c r="O360" s="147">
        <f t="shared" si="253"/>
        <v/>
      </c>
      <c r="P360" s="268">
        <f>IF(AY360=1,"XT"&amp;COUNTIFS($A$3:A360,A360,$AY$3:AY360,1),"")</f>
        <v/>
      </c>
      <c r="Q360" s="152">
        <f>IF(R360="","",IFERROR(SUBSTITUTE(Разбивка_по_щитам!P360,CHAR(10)," "),""))</f>
        <v/>
      </c>
      <c r="R360" s="153">
        <f>IF(OR(Разбивка_по_щитам!H360="",Разбивка_по_щитам!H360=0),"",Разбивка_по_щитам!H360)</f>
        <v/>
      </c>
      <c r="S360" s="154">
        <f>IF(R360="","",IFERROR(Разбивка_по_щитам!J360&amp;"",""))</f>
        <v/>
      </c>
      <c r="T360" s="155">
        <f>IF(R360="","",IFERROR(--Разбивка_по_щитам!L360,""))</f>
        <v/>
      </c>
      <c r="U360" s="155">
        <f>IF(R360="","",IFERROR(--Разбивка_по_щитам!K360,""))</f>
        <v/>
      </c>
      <c r="V360" s="138">
        <f>IF(R360="","",IFERROR(IF(Разбивка_по_щитам!M360=0,"",Разбивка_по_щитам!M360),""))</f>
        <v/>
      </c>
      <c r="W360" s="156">
        <f t="shared" si="215"/>
        <v/>
      </c>
      <c r="X360" s="157">
        <f t="shared" si="216"/>
        <v/>
      </c>
      <c r="Y360" s="266"/>
      <c r="Z360" s="158">
        <f t="shared" si="217"/>
        <v/>
      </c>
      <c r="AA360" s="160">
        <f t="shared" si="218"/>
        <v/>
      </c>
      <c r="AB360" s="160">
        <f>IF(R360="","",IFERROR(LOOKUP(INDEX(Справочная!$I$4:$I$19,MATCH(VLOOKUP(R360,Исходные_данные,22,FALSE),Справочная!$J$4:$J$19,0)+1),{6,10,16,20,25,32,40,50,63,80,100,125}),""))</f>
        <v/>
      </c>
      <c r="AC360" s="160">
        <f t="shared" si="219"/>
        <v/>
      </c>
      <c r="AD360" s="161">
        <f t="shared" si="220"/>
        <v/>
      </c>
      <c r="AE360" s="161">
        <f>IF(AND(R360="",G360=""),"",_xlfn.TEXTJOIN("; ",TRUE,IF(AND(R360&lt;&gt;"",V360=""),"нет фазы",""),IF(AND(R360&lt;&gt;"",N(T360)=0),"нет мощности",""),IF(AND(P360&lt;&gt;"",COUNTIFS($A$3:$A$1000,A360,$P$3:$P$1000,P360)&gt;1),"дубль клеммы "&amp;P360,""),IF(AND(W360&lt;&gt;"",W360&lt;&gt;"ok"),W360,""),IF(X360&lt;&gt;"",X360,""),IF(AND(ISNUMBER(SEARCH("(5х",Q360)),N(AK360)=1),"5 жил на 1 фазе",""),IF(AND(AL360="R",E360&lt;&gt;"",N(AS360)=0),"розетка без 30 мА",""),IF(IFERROR(_xlfn.NUMBERVALUE(MID(Q360,FIND("-",Q360,FIND("L=",Q360))+1,FIND("%",Q360)-FIND("-",Q360,FIND("L=",Q360))-1),","),0)&gt;4,"потери &gt; 4 %","")))</f>
      </c>
      <c r="AF360" s="129">
        <f>IF(E360&lt;&gt;"",COUNTIFS($A$3:A360,A360,$E$3:E360,"?*"),IF(OR(A360&lt;&gt;A359,Y360="вручную"),"",AF359))</f>
      </c>
      <c r="AG360" s="129">
        <f t="shared" si="221"/>
      </c>
      <c r="AH360" s="129">
        <f t="shared" si="222"/>
        <v/>
      </c>
      <c r="AI360" s="129">
        <f t="shared" si="223"/>
        <v/>
      </c>
      <c r="AJ360" s="129">
        <f t="shared" si="224"/>
        <v/>
      </c>
      <c r="AK360" s="129">
        <f t="shared" si="225"/>
        <v/>
      </c>
      <c r="AL360" s="129">
        <f t="shared" si="226"/>
        <v/>
      </c>
      <c r="AM360" s="129">
        <f t="shared" si="227"/>
      </c>
      <c r="AN360" s="129">
        <f t="shared" si="228"/>
      </c>
      <c r="AO360" s="129">
        <f t="shared" si="229"/>
        <v/>
      </c>
      <c r="AP360" s="129">
        <f t="shared" si="230"/>
        <v/>
      </c>
      <c r="AQ360" s="129">
        <f t="shared" si="231"/>
        <v/>
      </c>
      <c r="AR360" s="129">
        <f t="shared" si="232"/>
        <v/>
      </c>
      <c r="AS360" s="129">
        <f t="shared" si="233"/>
        <v/>
      </c>
      <c r="AT360" s="129">
        <f t="shared" si="234"/>
        <v/>
      </c>
      <c r="AU360" s="129">
        <f t="shared" si="235"/>
        <v/>
      </c>
      <c r="AV360" s="129">
        <f t="shared" si="236"/>
        <v/>
      </c>
      <c r="AW360" s="129">
        <f>IF(AV360="","",AV360&amp;"."&amp;COUNTIFS($A$3:A360,A360,$AV$3:AV360,AV360))</f>
        <v/>
      </c>
      <c r="AX360" s="129">
        <f t="shared" si="237"/>
        <v/>
      </c>
      <c r="AY360" s="129">
        <f>IF(N360="б/к",0,IF(OR(ISNUMBER(SEARCH("L=",Разбивка_по_щитам!P360)),N360="+",N360="="),1,0))</f>
      </c>
      <c r="AZ360" s="129">
        <f t="shared" si="238"/>
      </c>
      <c r="BA360" s="129">
        <f t="shared" si="239"/>
      </c>
      <c r="BB360" s="129">
        <f t="shared" si="240"/>
      </c>
      <c r="BD360" s="129">
        <f t="shared" si="241"/>
      </c>
      <c r="BE360" s="129">
        <f t="shared" si="242"/>
      </c>
      <c r="BF360" s="129">
        <f t="shared" si="243"/>
      </c>
      <c r="BG360" s="129">
        <f t="shared" si="244"/>
        <v/>
      </c>
      <c r="BH360" s="129">
        <f t="shared" si="245"/>
        <v/>
      </c>
      <c r="BI360" s="129">
        <f t="shared" si="246"/>
        <v/>
      </c>
      <c r="BJ360" s="129">
        <f t="shared" si="247"/>
        <v/>
      </c>
      <c r="BK360" s="129">
        <f>IF(R360="","",IF(OR(BY360="",BY360=0),"BOX",IFERROR(IF(VLOOKUP(BY360,УГО_блоки,3,FALSE)&amp;""&lt;&gt;"",VLOOKUP(BY360,УГО_блоки,3,FALSE),VLOOKUP(BY360,УГО_блоки,2,FALSE)),BY360)))</f>
      </c>
      <c r="BL360" s="129">
        <f t="shared" si="249"/>
      </c>
      <c r="BM360" s="129">
        <f>IF(H360="","",IF(COUNTIF($H$3:H360,H360)=1,MAX($BM$2:BM359)+1,""))</f>
      </c>
      <c r="BN360" s="129">
        <f>IF(I360="","",IF(COUNTIF($I$3:I360,I360)+COUNTIF($J$2:J359,I360)+COUNTIF($K$2:K359,I360)=1,MAX($BN$2:BP359)+1,""))</f>
      </c>
      <c r="BO360" s="129">
        <f>IF(J360="","",IF(COUNTIF($I$3:I360,J360)+COUNTIF($J$3:J360,J360)+COUNTIF($K$2:K359,J360)=1,MAX($BN$2:BP359,BN360)+1,""))</f>
      </c>
      <c r="BP360" s="129">
        <f>IF(K360="","",IF(COUNTIF($I$3:I360,K360)+COUNTIF($J$3:J360,K360)+COUNTIF($K$3:K360,K360)=1,MAX($BN$2:BP359,BN360,BO360)+1,""))</f>
      </c>
      <c r="BQ360" s="129">
        <f>IF(AY360=1,IFERROR(MID(Q360,FIND(" (",Q360)+2,FIND(")",Q360,FIND(" (",Q360))-FIND(" (",Q360)-2),"?"),"")</f>
      </c>
      <c r="BR360" s="129">
        <f>IF(BQ360="","",IF(COUNTIF($BQ$3:BQ360,BQ360)=1,MAX($BR$2:BR359)+1,""))</f>
      </c>
      <c r="BS360" s="129">
        <f>IF(AW360="","",COUNTIF($AW$3:AW360,"?*"))</f>
      </c>
      <c r="BT360" s="129">
        <f>IF(OR(AW360="",AI360=""),"",IF(COUNTIFS($AW$3:AW360,"?*",$AI$3:AI360,AI360)=1,MAX($BT$2:BT359)+1,""))</f>
      </c>
      <c r="BU360" s="129">
        <f>IF(AE360="",0,IF(OR(ISNUMBER(SEARCH("дубль",AE360)),ISNUMBER(SEARCH("ПЕРЕГРУЗ",AE360)),ISNUMBER(SEARCH("ЗАЩИЩ",AE360)),ISNUMBER(SEARCH("КАНАЛ",AE360)),ISNUMBER(SEARCH("без 30",AE360))),2,1))</f>
      </c>
      <c r="BV360" s="129">
        <f>IF(R360="","",COUNTIF($R$3:R360,"?*"))</f>
      </c>
      <c r="BW360" s="129">
        <f>IF(AY360&lt;&gt;1,0,IF(MAX(IFERROR(--VLOOKUP(R360,УГО_спр,5,FALSE),0),IFERROR(--VLOOKUP(AL360,УГО_спр,5,FALSE),0),IFERROR(--VLOOKUP(LEFT(AL360,2),УГО_спр,5,FALSE),0))&gt;0,MAX(IFERROR(--VLOOKUP(R360,УГО_спр,5,FALSE),0),IFERROR(--VLOOKUP(AL360,УГО_спр,5,FALSE),0),IFERROR(--VLOOKUP(LEFT(AL360,2),УГО_спр,5,FALSE),0)),IF(IFERROR(--LEFT(SUBSTITUTE(BQ360,"x","х"),FIND("х",SUBSTITUTE(BQ360,"x","х"))-1),3)&gt;3,Каталог!$S$9,1)))</f>
      </c>
      <c r="BX360" s="129">
        <f>IF(AY360&lt;&gt;1,0,MAX(0,IFERROR(--LEFT(SUBSTITUTE(BQ360,"x","х"),FIND("х",SUBSTITUTE(BQ360,"x","х"))-1),3)-3*BW360))</f>
      </c>
      <c r="BY360" s="129">
        <f>IF(R360="","",IFERROR(VLOOKUP(R360,УГО_спр,2,FALSE),IFERROR(VLOOKUP(AL360,УГО_спр,2,FALSE),IFERROR(VLOOKUP(LEFT(AL360,2),УГО_спр,2,FALSE),""))))</f>
      </c>
    </row>
    <row r="361" spans="1:64" x14ac:dyDescent="0.3">
      <c r="A361" s="135">
        <f>IF(Разбивка_по_щитам!F361=0,"",Разбивка_по_щитам!F361)</f>
      </c>
      <c r="B361" s="138">
        <f>IF(A361="","",Разбивка_по_щитам!C361)</f>
      </c>
      <c r="C361" s="138">
        <f t="shared" si="214"/>
      </c>
      <c r="D361" s="266"/>
      <c r="E361" s="266"/>
      <c r="F361" s="267"/>
      <c r="G361" s="145">
        <f t="shared" si="250"/>
        <v/>
      </c>
      <c r="H361" s="145">
        <f t="shared" si="251"/>
        <v/>
      </c>
      <c r="I361" s="266"/>
      <c r="J361" s="267"/>
      <c r="K361" s="267"/>
      <c r="L361" s="266"/>
      <c r="M361" s="147">
        <f t="shared" si="252"/>
        <v/>
      </c>
      <c r="N361" s="267"/>
      <c r="O361" s="147">
        <f t="shared" si="253"/>
        <v/>
      </c>
      <c r="P361" s="268">
        <f>IF(AY361=1,"XT"&amp;COUNTIFS($A$3:A361,A361,$AY$3:AY361,1),"")</f>
        <v/>
      </c>
      <c r="Q361" s="152">
        <f>IF(R361="","",IFERROR(SUBSTITUTE(Разбивка_по_щитам!P361,CHAR(10)," "),""))</f>
        <v/>
      </c>
      <c r="R361" s="153">
        <f>IF(OR(Разбивка_по_щитам!H361="",Разбивка_по_щитам!H361=0),"",Разбивка_по_щитам!H361)</f>
        <v/>
      </c>
      <c r="S361" s="154">
        <f>IF(R361="","",IFERROR(Разбивка_по_щитам!J361&amp;"",""))</f>
        <v/>
      </c>
      <c r="T361" s="155">
        <f>IF(R361="","",IFERROR(--Разбивка_по_щитам!L361,""))</f>
        <v/>
      </c>
      <c r="U361" s="155">
        <f>IF(R361="","",IFERROR(--Разбивка_по_щитам!K361,""))</f>
        <v/>
      </c>
      <c r="V361" s="138">
        <f>IF(R361="","",IFERROR(IF(Разбивка_по_щитам!M361=0,"",Разбивка_по_щитам!M361),""))</f>
        <v/>
      </c>
      <c r="W361" s="156">
        <f t="shared" si="215"/>
        <v/>
      </c>
      <c r="X361" s="157">
        <f t="shared" si="216"/>
        <v/>
      </c>
      <c r="Y361" s="266"/>
      <c r="Z361" s="158">
        <f t="shared" si="217"/>
        <v/>
      </c>
      <c r="AA361" s="160">
        <f t="shared" si="218"/>
        <v/>
      </c>
      <c r="AB361" s="160">
        <f>IF(R361="","",IFERROR(LOOKUP(INDEX(Справочная!$I$4:$I$19,MATCH(VLOOKUP(R361,Исходные_данные,22,FALSE),Справочная!$J$4:$J$19,0)+1),{6,10,16,20,25,32,40,50,63,80,100,125}),""))</f>
        <v/>
      </c>
      <c r="AC361" s="160">
        <f t="shared" si="219"/>
        <v/>
      </c>
      <c r="AD361" s="161">
        <f t="shared" si="220"/>
        <v/>
      </c>
      <c r="AE361" s="161">
        <f>IF(AND(R361="",G361=""),"",_xlfn.TEXTJOIN("; ",TRUE,IF(AND(R361&lt;&gt;"",V361=""),"нет фазы",""),IF(AND(R361&lt;&gt;"",N(T361)=0),"нет мощности",""),IF(AND(P361&lt;&gt;"",COUNTIFS($A$3:$A$1000,A361,$P$3:$P$1000,P361)&gt;1),"дубль клеммы "&amp;P361,""),IF(AND(W361&lt;&gt;"",W361&lt;&gt;"ok"),W361,""),IF(X361&lt;&gt;"",X361,""),IF(AND(ISNUMBER(SEARCH("(5х",Q361)),N(AK361)=1),"5 жил на 1 фазе",""),IF(AND(AL361="R",E361&lt;&gt;"",N(AS361)=0),"розетка без 30 мА",""),IF(IFERROR(_xlfn.NUMBERVALUE(MID(Q361,FIND("-",Q361,FIND("L=",Q361))+1,FIND("%",Q361)-FIND("-",Q361,FIND("L=",Q361))-1),","),0)&gt;4,"потери &gt; 4 %","")))</f>
      </c>
      <c r="AF361" s="129">
        <f>IF(E361&lt;&gt;"",COUNTIFS($A$3:A361,A361,$E$3:E361,"?*"),IF(OR(A361&lt;&gt;A360,Y361="вручную"),"",AF360))</f>
      </c>
      <c r="AG361" s="129">
        <f t="shared" si="221"/>
      </c>
      <c r="AH361" s="129">
        <f t="shared" si="222"/>
        <v/>
      </c>
      <c r="AI361" s="129">
        <f t="shared" si="223"/>
        <v/>
      </c>
      <c r="AJ361" s="129">
        <f t="shared" si="224"/>
        <v/>
      </c>
      <c r="AK361" s="129">
        <f t="shared" si="225"/>
        <v/>
      </c>
      <c r="AL361" s="129">
        <f t="shared" si="226"/>
        <v/>
      </c>
      <c r="AM361" s="129">
        <f t="shared" si="227"/>
      </c>
      <c r="AN361" s="129">
        <f t="shared" si="228"/>
      </c>
      <c r="AO361" s="129">
        <f t="shared" si="229"/>
        <v/>
      </c>
      <c r="AP361" s="129">
        <f t="shared" si="230"/>
        <v/>
      </c>
      <c r="AQ361" s="129">
        <f t="shared" si="231"/>
        <v/>
      </c>
      <c r="AR361" s="129">
        <f t="shared" si="232"/>
        <v/>
      </c>
      <c r="AS361" s="129">
        <f t="shared" si="233"/>
        <v/>
      </c>
      <c r="AT361" s="129">
        <f t="shared" si="234"/>
        <v/>
      </c>
      <c r="AU361" s="129">
        <f t="shared" si="235"/>
        <v/>
      </c>
      <c r="AV361" s="129">
        <f t="shared" si="236"/>
        <v/>
      </c>
      <c r="AW361" s="129">
        <f>IF(AV361="","",AV361&amp;"."&amp;COUNTIFS($A$3:A361,A361,$AV$3:AV361,AV361))</f>
        <v/>
      </c>
      <c r="AX361" s="129">
        <f t="shared" si="237"/>
        <v/>
      </c>
      <c r="AY361" s="129">
        <f>IF(N361="б/к",0,IF(OR(ISNUMBER(SEARCH("L=",Разбивка_по_щитам!P361)),N361="+",N361="="),1,0))</f>
      </c>
      <c r="AZ361" s="129">
        <f t="shared" si="238"/>
      </c>
      <c r="BA361" s="129">
        <f t="shared" si="239"/>
      </c>
      <c r="BB361" s="129">
        <f t="shared" si="240"/>
      </c>
      <c r="BD361" s="129">
        <f t="shared" si="241"/>
      </c>
      <c r="BE361" s="129">
        <f t="shared" si="242"/>
      </c>
      <c r="BF361" s="129">
        <f t="shared" si="243"/>
      </c>
      <c r="BG361" s="129">
        <f t="shared" si="244"/>
        <v/>
      </c>
      <c r="BH361" s="129">
        <f t="shared" si="245"/>
        <v/>
      </c>
      <c r="BI361" s="129">
        <f t="shared" si="246"/>
        <v/>
      </c>
      <c r="BJ361" s="129">
        <f t="shared" si="247"/>
        <v/>
      </c>
      <c r="BK361" s="129">
        <f>IF(R361="","",IF(OR(BY361="",BY361=0),"BOX",IFERROR(IF(VLOOKUP(BY361,УГО_блоки,3,FALSE)&amp;""&lt;&gt;"",VLOOKUP(BY361,УГО_блоки,3,FALSE),VLOOKUP(BY361,УГО_блоки,2,FALSE)),BY361)))</f>
      </c>
      <c r="BL361" s="129">
        <f t="shared" si="249"/>
      </c>
      <c r="BM361" s="129">
        <f>IF(H361="","",IF(COUNTIF($H$3:H361,H361)=1,MAX($BM$2:BM360)+1,""))</f>
      </c>
      <c r="BN361" s="129">
        <f>IF(I361="","",IF(COUNTIF($I$3:I361,I361)+COUNTIF($J$2:J360,I361)+COUNTIF($K$2:K360,I361)=1,MAX($BN$2:BP360)+1,""))</f>
      </c>
      <c r="BO361" s="129">
        <f>IF(J361="","",IF(COUNTIF($I$3:I361,J361)+COUNTIF($J$3:J361,J361)+COUNTIF($K$2:K360,J361)=1,MAX($BN$2:BP360,BN361)+1,""))</f>
      </c>
      <c r="BP361" s="129">
        <f>IF(K361="","",IF(COUNTIF($I$3:I361,K361)+COUNTIF($J$3:J361,K361)+COUNTIF($K$3:K361,K361)=1,MAX($BN$2:BP360,BN361,BO361)+1,""))</f>
      </c>
      <c r="BQ361" s="129">
        <f>IF(AY361=1,IFERROR(MID(Q361,FIND(" (",Q361)+2,FIND(")",Q361,FIND(" (",Q361))-FIND(" (",Q361)-2),"?"),"")</f>
      </c>
      <c r="BR361" s="129">
        <f>IF(BQ361="","",IF(COUNTIF($BQ$3:BQ361,BQ361)=1,MAX($BR$2:BR360)+1,""))</f>
      </c>
      <c r="BS361" s="129">
        <f>IF(AW361="","",COUNTIF($AW$3:AW361,"?*"))</f>
      </c>
      <c r="BT361" s="129">
        <f>IF(OR(AW361="",AI361=""),"",IF(COUNTIFS($AW$3:AW361,"?*",$AI$3:AI361,AI361)=1,MAX($BT$2:BT360)+1,""))</f>
      </c>
      <c r="BU361" s="129">
        <f>IF(AE361="",0,IF(OR(ISNUMBER(SEARCH("дубль",AE361)),ISNUMBER(SEARCH("ПЕРЕГРУЗ",AE361)),ISNUMBER(SEARCH("ЗАЩИЩ",AE361)),ISNUMBER(SEARCH("КАНАЛ",AE361)),ISNUMBER(SEARCH("без 30",AE361))),2,1))</f>
      </c>
      <c r="BV361" s="129">
        <f>IF(R361="","",COUNTIF($R$3:R361,"?*"))</f>
      </c>
      <c r="BW361" s="129">
        <f>IF(AY361&lt;&gt;1,0,IF(MAX(IFERROR(--VLOOKUP(R361,УГО_спр,5,FALSE),0),IFERROR(--VLOOKUP(AL361,УГО_спр,5,FALSE),0),IFERROR(--VLOOKUP(LEFT(AL361,2),УГО_спр,5,FALSE),0))&gt;0,MAX(IFERROR(--VLOOKUP(R361,УГО_спр,5,FALSE),0),IFERROR(--VLOOKUP(AL361,УГО_спр,5,FALSE),0),IFERROR(--VLOOKUP(LEFT(AL361,2),УГО_спр,5,FALSE),0)),IF(IFERROR(--LEFT(SUBSTITUTE(BQ361,"x","х"),FIND("х",SUBSTITUTE(BQ361,"x","х"))-1),3)&gt;3,Каталог!$S$9,1)))</f>
      </c>
      <c r="BX361" s="129">
        <f>IF(AY361&lt;&gt;1,0,MAX(0,IFERROR(--LEFT(SUBSTITUTE(BQ361,"x","х"),FIND("х",SUBSTITUTE(BQ361,"x","х"))-1),3)-3*BW361))</f>
      </c>
      <c r="BY361" s="129">
        <f>IF(R361="","",IFERROR(VLOOKUP(R361,УГО_спр,2,FALSE),IFERROR(VLOOKUP(AL361,УГО_спр,2,FALSE),IFERROR(VLOOKUP(LEFT(AL361,2),УГО_спр,2,FALSE),""))))</f>
      </c>
    </row>
    <row r="362" spans="1:64" x14ac:dyDescent="0.3">
      <c r="A362" s="135">
        <f>IF(Разбивка_по_щитам!F362=0,"",Разбивка_по_щитам!F362)</f>
      </c>
      <c r="B362" s="138">
        <f>IF(A362="","",Разбивка_по_щитам!C362)</f>
      </c>
      <c r="C362" s="138">
        <f t="shared" si="214"/>
      </c>
      <c r="D362" s="266"/>
      <c r="E362" s="266"/>
      <c r="F362" s="267"/>
      <c r="G362" s="145">
        <f t="shared" si="250"/>
        <v/>
      </c>
      <c r="H362" s="145">
        <f t="shared" si="251"/>
        <v/>
      </c>
      <c r="I362" s="266"/>
      <c r="J362" s="267"/>
      <c r="K362" s="267"/>
      <c r="L362" s="266"/>
      <c r="M362" s="147">
        <f t="shared" si="252"/>
        <v/>
      </c>
      <c r="N362" s="267"/>
      <c r="O362" s="147">
        <f t="shared" si="253"/>
        <v/>
      </c>
      <c r="P362" s="268">
        <f>IF(AY362=1,"XT"&amp;COUNTIFS($A$3:A362,A362,$AY$3:AY362,1),"")</f>
        <v/>
      </c>
      <c r="Q362" s="152">
        <f>IF(R362="","",IFERROR(SUBSTITUTE(Разбивка_по_щитам!P362,CHAR(10)," "),""))</f>
        <v/>
      </c>
      <c r="R362" s="153">
        <f>IF(OR(Разбивка_по_щитам!H362="",Разбивка_по_щитам!H362=0),"",Разбивка_по_щитам!H362)</f>
        <v/>
      </c>
      <c r="S362" s="154">
        <f>IF(R362="","",IFERROR(Разбивка_по_щитам!J362&amp;"",""))</f>
        <v/>
      </c>
      <c r="T362" s="155">
        <f>IF(R362="","",IFERROR(--Разбивка_по_щитам!L362,""))</f>
        <v/>
      </c>
      <c r="U362" s="155">
        <f>IF(R362="","",IFERROR(--Разбивка_по_щитам!K362,""))</f>
        <v/>
      </c>
      <c r="V362" s="138">
        <f>IF(R362="","",IFERROR(IF(Разбивка_по_щитам!M362=0,"",Разбивка_по_щитам!M362),""))</f>
        <v/>
      </c>
      <c r="W362" s="156">
        <f t="shared" si="215"/>
        <v/>
      </c>
      <c r="X362" s="157">
        <f t="shared" si="216"/>
        <v/>
      </c>
      <c r="Y362" s="266"/>
      <c r="Z362" s="158">
        <f t="shared" si="217"/>
        <v/>
      </c>
      <c r="AA362" s="160">
        <f t="shared" si="218"/>
        <v/>
      </c>
      <c r="AB362" s="160">
        <f>IF(R362="","",IFERROR(LOOKUP(INDEX(Справочная!$I$4:$I$19,MATCH(VLOOKUP(R362,Исходные_данные,22,FALSE),Справочная!$J$4:$J$19,0)+1),{6,10,16,20,25,32,40,50,63,80,100,125}),""))</f>
        <v/>
      </c>
      <c r="AC362" s="160">
        <f t="shared" si="219"/>
        <v/>
      </c>
      <c r="AD362" s="161">
        <f t="shared" si="220"/>
        <v/>
      </c>
      <c r="AE362" s="161">
        <f>IF(AND(R362="",G362=""),"",_xlfn.TEXTJOIN("; ",TRUE,IF(AND(R362&lt;&gt;"",V362=""),"нет фазы",""),IF(AND(R362&lt;&gt;"",N(T362)=0),"нет мощности",""),IF(AND(P362&lt;&gt;"",COUNTIFS($A$3:$A$1000,A362,$P$3:$P$1000,P362)&gt;1),"дубль клеммы "&amp;P362,""),IF(AND(W362&lt;&gt;"",W362&lt;&gt;"ok"),W362,""),IF(X362&lt;&gt;"",X362,""),IF(AND(ISNUMBER(SEARCH("(5х",Q362)),N(AK362)=1),"5 жил на 1 фазе",""),IF(AND(AL362="R",E362&lt;&gt;"",N(AS362)=0),"розетка без 30 мА",""),IF(IFERROR(_xlfn.NUMBERVALUE(MID(Q362,FIND("-",Q362,FIND("L=",Q362))+1,FIND("%",Q362)-FIND("-",Q362,FIND("L=",Q362))-1),","),0)&gt;4,"потери &gt; 4 %","")))</f>
      </c>
      <c r="AF362" s="129">
        <f>IF(E362&lt;&gt;"",COUNTIFS($A$3:A362,A362,$E$3:E362,"?*"),IF(OR(A362&lt;&gt;A361,Y362="вручную"),"",AF361))</f>
      </c>
      <c r="AG362" s="129">
        <f t="shared" si="221"/>
      </c>
      <c r="AH362" s="129">
        <f t="shared" si="222"/>
        <v/>
      </c>
      <c r="AI362" s="129">
        <f t="shared" si="223"/>
        <v/>
      </c>
      <c r="AJ362" s="129">
        <f t="shared" si="224"/>
        <v/>
      </c>
      <c r="AK362" s="129">
        <f t="shared" si="225"/>
        <v/>
      </c>
      <c r="AL362" s="129">
        <f t="shared" si="226"/>
        <v/>
      </c>
      <c r="AM362" s="129">
        <f t="shared" si="227"/>
      </c>
      <c r="AN362" s="129">
        <f t="shared" si="228"/>
      </c>
      <c r="AO362" s="129">
        <f t="shared" si="229"/>
        <v/>
      </c>
      <c r="AP362" s="129">
        <f t="shared" si="230"/>
        <v/>
      </c>
      <c r="AQ362" s="129">
        <f t="shared" si="231"/>
        <v/>
      </c>
      <c r="AR362" s="129">
        <f t="shared" si="232"/>
        <v/>
      </c>
      <c r="AS362" s="129">
        <f t="shared" si="233"/>
        <v/>
      </c>
      <c r="AT362" s="129">
        <f t="shared" si="234"/>
        <v/>
      </c>
      <c r="AU362" s="129">
        <f t="shared" si="235"/>
        <v/>
      </c>
      <c r="AV362" s="129">
        <f t="shared" si="236"/>
        <v/>
      </c>
      <c r="AW362" s="129">
        <f>IF(AV362="","",AV362&amp;"."&amp;COUNTIFS($A$3:A362,A362,$AV$3:AV362,AV362))</f>
        <v/>
      </c>
      <c r="AX362" s="129">
        <f t="shared" si="237"/>
        <v/>
      </c>
      <c r="AY362" s="129">
        <f>IF(N362="б/к",0,IF(OR(ISNUMBER(SEARCH("L=",Разбивка_по_щитам!P362)),N362="+",N362="="),1,0))</f>
      </c>
      <c r="AZ362" s="129">
        <f t="shared" si="238"/>
      </c>
      <c r="BA362" s="129">
        <f t="shared" si="239"/>
      </c>
      <c r="BB362" s="129">
        <f t="shared" si="240"/>
      </c>
      <c r="BD362" s="129">
        <f t="shared" si="241"/>
      </c>
      <c r="BE362" s="129">
        <f t="shared" si="242"/>
      </c>
      <c r="BF362" s="129">
        <f t="shared" si="243"/>
      </c>
      <c r="BG362" s="129">
        <f t="shared" si="244"/>
        <v/>
      </c>
      <c r="BH362" s="129">
        <f t="shared" si="245"/>
        <v/>
      </c>
      <c r="BI362" s="129">
        <f t="shared" si="246"/>
        <v/>
      </c>
      <c r="BJ362" s="129">
        <f t="shared" si="247"/>
        <v/>
      </c>
      <c r="BK362" s="129">
        <f>IF(R362="","",IF(OR(BY362="",BY362=0),"BOX",IFERROR(IF(VLOOKUP(BY362,УГО_блоки,3,FALSE)&amp;""&lt;&gt;"",VLOOKUP(BY362,УГО_блоки,3,FALSE),VLOOKUP(BY362,УГО_блоки,2,FALSE)),BY362)))</f>
      </c>
      <c r="BL362" s="129">
        <f t="shared" si="249"/>
      </c>
      <c r="BM362" s="129">
        <f>IF(H362="","",IF(COUNTIF($H$3:H362,H362)=1,MAX($BM$2:BM361)+1,""))</f>
      </c>
      <c r="BN362" s="129">
        <f>IF(I362="","",IF(COUNTIF($I$3:I362,I362)+COUNTIF($J$2:J361,I362)+COUNTIF($K$2:K361,I362)=1,MAX($BN$2:BP361)+1,""))</f>
      </c>
      <c r="BO362" s="129">
        <f>IF(J362="","",IF(COUNTIF($I$3:I362,J362)+COUNTIF($J$3:J362,J362)+COUNTIF($K$2:K361,J362)=1,MAX($BN$2:BP361,BN362)+1,""))</f>
      </c>
      <c r="BP362" s="129">
        <f>IF(K362="","",IF(COUNTIF($I$3:I362,K362)+COUNTIF($J$3:J362,K362)+COUNTIF($K$3:K362,K362)=1,MAX($BN$2:BP361,BN362,BO362)+1,""))</f>
      </c>
      <c r="BQ362" s="129">
        <f>IF(AY362=1,IFERROR(MID(Q362,FIND(" (",Q362)+2,FIND(")",Q362,FIND(" (",Q362))-FIND(" (",Q362)-2),"?"),"")</f>
      </c>
      <c r="BR362" s="129">
        <f>IF(BQ362="","",IF(COUNTIF($BQ$3:BQ362,BQ362)=1,MAX($BR$2:BR361)+1,""))</f>
      </c>
      <c r="BS362" s="129">
        <f>IF(AW362="","",COUNTIF($AW$3:AW362,"?*"))</f>
      </c>
      <c r="BT362" s="129">
        <f>IF(OR(AW362="",AI362=""),"",IF(COUNTIFS($AW$3:AW362,"?*",$AI$3:AI362,AI362)=1,MAX($BT$2:BT361)+1,""))</f>
      </c>
      <c r="BU362" s="129">
        <f>IF(AE362="",0,IF(OR(ISNUMBER(SEARCH("дубль",AE362)),ISNUMBER(SEARCH("ПЕРЕГРУЗ",AE362)),ISNUMBER(SEARCH("ЗАЩИЩ",AE362)),ISNUMBER(SEARCH("КАНАЛ",AE362)),ISNUMBER(SEARCH("без 30",AE362))),2,1))</f>
      </c>
      <c r="BV362" s="129">
        <f>IF(R362="","",COUNTIF($R$3:R362,"?*"))</f>
      </c>
      <c r="BW362" s="129">
        <f>IF(AY362&lt;&gt;1,0,IF(MAX(IFERROR(--VLOOKUP(R362,УГО_спр,5,FALSE),0),IFERROR(--VLOOKUP(AL362,УГО_спр,5,FALSE),0),IFERROR(--VLOOKUP(LEFT(AL362,2),УГО_спр,5,FALSE),0))&gt;0,MAX(IFERROR(--VLOOKUP(R362,УГО_спр,5,FALSE),0),IFERROR(--VLOOKUP(AL362,УГО_спр,5,FALSE),0),IFERROR(--VLOOKUP(LEFT(AL362,2),УГО_спр,5,FALSE),0)),IF(IFERROR(--LEFT(SUBSTITUTE(BQ362,"x","х"),FIND("х",SUBSTITUTE(BQ362,"x","х"))-1),3)&gt;3,Каталог!$S$9,1)))</f>
      </c>
      <c r="BX362" s="129">
        <f>IF(AY362&lt;&gt;1,0,MAX(0,IFERROR(--LEFT(SUBSTITUTE(BQ362,"x","х"),FIND("х",SUBSTITUTE(BQ362,"x","х"))-1),3)-3*BW362))</f>
      </c>
      <c r="BY362" s="129">
        <f>IF(R362="","",IFERROR(VLOOKUP(R362,УГО_спр,2,FALSE),IFERROR(VLOOKUP(AL362,УГО_спр,2,FALSE),IFERROR(VLOOKUP(LEFT(AL362,2),УГО_спр,2,FALSE),""))))</f>
      </c>
    </row>
    <row r="363" spans="1:64" x14ac:dyDescent="0.3">
      <c r="A363" s="135">
        <f>IF(Разбивка_по_щитам!F363=0,"",Разбивка_по_щитам!F363)</f>
      </c>
      <c r="B363" s="138">
        <f>IF(A363="","",Разбивка_по_щитам!C363)</f>
      </c>
      <c r="C363" s="138">
        <f t="shared" si="214"/>
      </c>
      <c r="D363" s="266"/>
      <c r="E363" s="266"/>
      <c r="F363" s="267"/>
      <c r="G363" s="145">
        <f t="shared" si="250"/>
        <v/>
      </c>
      <c r="H363" s="145">
        <f t="shared" si="251"/>
        <v/>
      </c>
      <c r="I363" s="266"/>
      <c r="J363" s="267"/>
      <c r="K363" s="267"/>
      <c r="L363" s="266"/>
      <c r="M363" s="147">
        <f t="shared" si="252"/>
        <v/>
      </c>
      <c r="N363" s="267"/>
      <c r="O363" s="147">
        <f t="shared" si="253"/>
        <v/>
      </c>
      <c r="P363" s="268">
        <f>IF(AY363=1,"XT"&amp;COUNTIFS($A$3:A363,A363,$AY$3:AY363,1),"")</f>
        <v/>
      </c>
      <c r="Q363" s="152">
        <f>IF(R363="","",IFERROR(SUBSTITUTE(Разбивка_по_щитам!P363,CHAR(10)," "),""))</f>
        <v/>
      </c>
      <c r="R363" s="153">
        <f>IF(OR(Разбивка_по_щитам!H363="",Разбивка_по_щитам!H363=0),"",Разбивка_по_щитам!H363)</f>
        <v/>
      </c>
      <c r="S363" s="154">
        <f>IF(R363="","",IFERROR(Разбивка_по_щитам!J363&amp;"",""))</f>
        <v/>
      </c>
      <c r="T363" s="155">
        <f>IF(R363="","",IFERROR(--Разбивка_по_щитам!L363,""))</f>
        <v/>
      </c>
      <c r="U363" s="155">
        <f>IF(R363="","",IFERROR(--Разбивка_по_щитам!K363,""))</f>
        <v/>
      </c>
      <c r="V363" s="138">
        <f>IF(R363="","",IFERROR(IF(Разбивка_по_щитам!M363=0,"",Разбивка_по_щитам!M363),""))</f>
        <v/>
      </c>
      <c r="W363" s="156">
        <f t="shared" si="215"/>
        <v/>
      </c>
      <c r="X363" s="157">
        <f t="shared" si="216"/>
        <v/>
      </c>
      <c r="Y363" s="266"/>
      <c r="Z363" s="158">
        <f t="shared" si="217"/>
        <v/>
      </c>
      <c r="AA363" s="160">
        <f t="shared" si="218"/>
        <v/>
      </c>
      <c r="AB363" s="160">
        <f>IF(R363="","",IFERROR(LOOKUP(INDEX(Справочная!$I$4:$I$19,MATCH(VLOOKUP(R363,Исходные_данные,22,FALSE),Справочная!$J$4:$J$19,0)+1),{6,10,16,20,25,32,40,50,63,80,100,125}),""))</f>
        <v/>
      </c>
      <c r="AC363" s="160">
        <f t="shared" si="219"/>
        <v/>
      </c>
      <c r="AD363" s="161">
        <f t="shared" si="220"/>
        <v/>
      </c>
      <c r="AE363" s="161">
        <f>IF(AND(R363="",G363=""),"",_xlfn.TEXTJOIN("; ",TRUE,IF(AND(R363&lt;&gt;"",V363=""),"нет фазы",""),IF(AND(R363&lt;&gt;"",N(T363)=0),"нет мощности",""),IF(AND(P363&lt;&gt;"",COUNTIFS($A$3:$A$1000,A363,$P$3:$P$1000,P363)&gt;1),"дубль клеммы "&amp;P363,""),IF(AND(W363&lt;&gt;"",W363&lt;&gt;"ok"),W363,""),IF(X363&lt;&gt;"",X363,""),IF(AND(ISNUMBER(SEARCH("(5х",Q363)),N(AK363)=1),"5 жил на 1 фазе",""),IF(AND(AL363="R",E363&lt;&gt;"",N(AS363)=0),"розетка без 30 мА",""),IF(IFERROR(_xlfn.NUMBERVALUE(MID(Q363,FIND("-",Q363,FIND("L=",Q363))+1,FIND("%",Q363)-FIND("-",Q363,FIND("L=",Q363))-1),","),0)&gt;4,"потери &gt; 4 %","")))</f>
      </c>
      <c r="AF363" s="129">
        <f>IF(E363&lt;&gt;"",COUNTIFS($A$3:A363,A363,$E$3:E363,"?*"),IF(OR(A363&lt;&gt;A362,Y363="вручную"),"",AF362))</f>
      </c>
      <c r="AG363" s="129">
        <f t="shared" si="221"/>
      </c>
      <c r="AH363" s="129">
        <f t="shared" si="222"/>
        <v/>
      </c>
      <c r="AI363" s="129">
        <f t="shared" si="223"/>
        <v/>
      </c>
      <c r="AJ363" s="129">
        <f t="shared" si="224"/>
        <v/>
      </c>
      <c r="AK363" s="129">
        <f t="shared" si="225"/>
        <v/>
      </c>
      <c r="AL363" s="129">
        <f t="shared" si="226"/>
        <v/>
      </c>
      <c r="AM363" s="129">
        <f t="shared" si="227"/>
      </c>
      <c r="AN363" s="129">
        <f t="shared" si="228"/>
      </c>
      <c r="AO363" s="129">
        <f t="shared" si="229"/>
        <v/>
      </c>
      <c r="AP363" s="129">
        <f t="shared" si="230"/>
        <v/>
      </c>
      <c r="AQ363" s="129">
        <f t="shared" si="231"/>
        <v/>
      </c>
      <c r="AR363" s="129">
        <f t="shared" si="232"/>
        <v/>
      </c>
      <c r="AS363" s="129">
        <f t="shared" si="233"/>
        <v/>
      </c>
      <c r="AT363" s="129">
        <f t="shared" si="234"/>
        <v/>
      </c>
      <c r="AU363" s="129">
        <f t="shared" si="235"/>
        <v/>
      </c>
      <c r="AV363" s="129">
        <f t="shared" si="236"/>
        <v/>
      </c>
      <c r="AW363" s="129">
        <f>IF(AV363="","",AV363&amp;"."&amp;COUNTIFS($A$3:A363,A363,$AV$3:AV363,AV363))</f>
        <v/>
      </c>
      <c r="AX363" s="129">
        <f t="shared" si="237"/>
        <v/>
      </c>
      <c r="AY363" s="129">
        <f>IF(N363="б/к",0,IF(OR(ISNUMBER(SEARCH("L=",Разбивка_по_щитам!P363)),N363="+",N363="="),1,0))</f>
      </c>
      <c r="AZ363" s="129">
        <f t="shared" si="238"/>
      </c>
      <c r="BA363" s="129">
        <f t="shared" si="239"/>
      </c>
      <c r="BB363" s="129">
        <f t="shared" si="240"/>
      </c>
      <c r="BD363" s="129">
        <f t="shared" si="241"/>
      </c>
      <c r="BE363" s="129">
        <f t="shared" si="242"/>
      </c>
      <c r="BF363" s="129">
        <f t="shared" si="243"/>
      </c>
      <c r="BG363" s="129">
        <f t="shared" si="244"/>
        <v/>
      </c>
      <c r="BH363" s="129">
        <f t="shared" si="245"/>
        <v/>
      </c>
      <c r="BI363" s="129">
        <f t="shared" si="246"/>
        <v/>
      </c>
      <c r="BJ363" s="129">
        <f t="shared" si="247"/>
        <v/>
      </c>
      <c r="BK363" s="129">
        <f>IF(R363="","",IF(OR(BY363="",BY363=0),"BOX",IFERROR(IF(VLOOKUP(BY363,УГО_блоки,3,FALSE)&amp;""&lt;&gt;"",VLOOKUP(BY363,УГО_блоки,3,FALSE),VLOOKUP(BY363,УГО_блоки,2,FALSE)),BY363)))</f>
      </c>
      <c r="BL363" s="129">
        <f t="shared" si="249"/>
      </c>
      <c r="BM363" s="129">
        <f>IF(H363="","",IF(COUNTIF($H$3:H363,H363)=1,MAX($BM$2:BM362)+1,""))</f>
      </c>
      <c r="BN363" s="129">
        <f>IF(I363="","",IF(COUNTIF($I$3:I363,I363)+COUNTIF($J$2:J362,I363)+COUNTIF($K$2:K362,I363)=1,MAX($BN$2:BP362)+1,""))</f>
      </c>
      <c r="BO363" s="129">
        <f>IF(J363="","",IF(COUNTIF($I$3:I363,J363)+COUNTIF($J$3:J363,J363)+COUNTIF($K$2:K362,J363)=1,MAX($BN$2:BP362,BN363)+1,""))</f>
      </c>
      <c r="BP363" s="129">
        <f>IF(K363="","",IF(COUNTIF($I$3:I363,K363)+COUNTIF($J$3:J363,K363)+COUNTIF($K$3:K363,K363)=1,MAX($BN$2:BP362,BN363,BO363)+1,""))</f>
      </c>
      <c r="BQ363" s="129">
        <f>IF(AY363=1,IFERROR(MID(Q363,FIND(" (",Q363)+2,FIND(")",Q363,FIND(" (",Q363))-FIND(" (",Q363)-2),"?"),"")</f>
      </c>
      <c r="BR363" s="129">
        <f>IF(BQ363="","",IF(COUNTIF($BQ$3:BQ363,BQ363)=1,MAX($BR$2:BR362)+1,""))</f>
      </c>
      <c r="BS363" s="129">
        <f>IF(AW363="","",COUNTIF($AW$3:AW363,"?*"))</f>
      </c>
      <c r="BT363" s="129">
        <f>IF(OR(AW363="",AI363=""),"",IF(COUNTIFS($AW$3:AW363,"?*",$AI$3:AI363,AI363)=1,MAX($BT$2:BT362)+1,""))</f>
      </c>
      <c r="BU363" s="129">
        <f>IF(AE363="",0,IF(OR(ISNUMBER(SEARCH("дубль",AE363)),ISNUMBER(SEARCH("ПЕРЕГРУЗ",AE363)),ISNUMBER(SEARCH("ЗАЩИЩ",AE363)),ISNUMBER(SEARCH("КАНАЛ",AE363)),ISNUMBER(SEARCH("без 30",AE363))),2,1))</f>
      </c>
      <c r="BV363" s="129">
        <f>IF(R363="","",COUNTIF($R$3:R363,"?*"))</f>
      </c>
      <c r="BW363" s="129">
        <f>IF(AY363&lt;&gt;1,0,IF(MAX(IFERROR(--VLOOKUP(R363,УГО_спр,5,FALSE),0),IFERROR(--VLOOKUP(AL363,УГО_спр,5,FALSE),0),IFERROR(--VLOOKUP(LEFT(AL363,2),УГО_спр,5,FALSE),0))&gt;0,MAX(IFERROR(--VLOOKUP(R363,УГО_спр,5,FALSE),0),IFERROR(--VLOOKUP(AL363,УГО_спр,5,FALSE),0),IFERROR(--VLOOKUP(LEFT(AL363,2),УГО_спр,5,FALSE),0)),IF(IFERROR(--LEFT(SUBSTITUTE(BQ363,"x","х"),FIND("х",SUBSTITUTE(BQ363,"x","х"))-1),3)&gt;3,Каталог!$S$9,1)))</f>
      </c>
      <c r="BX363" s="129">
        <f>IF(AY363&lt;&gt;1,0,MAX(0,IFERROR(--LEFT(SUBSTITUTE(BQ363,"x","х"),FIND("х",SUBSTITUTE(BQ363,"x","х"))-1),3)-3*BW363))</f>
      </c>
      <c r="BY363" s="129">
        <f>IF(R363="","",IFERROR(VLOOKUP(R363,УГО_спр,2,FALSE),IFERROR(VLOOKUP(AL363,УГО_спр,2,FALSE),IFERROR(VLOOKUP(LEFT(AL363,2),УГО_спр,2,FALSE),""))))</f>
      </c>
    </row>
    <row r="364" spans="1:64" x14ac:dyDescent="0.3">
      <c r="A364" s="135">
        <f>IF(Разбивка_по_щитам!F364=0,"",Разбивка_по_щитам!F364)</f>
      </c>
      <c r="B364" s="138">
        <f>IF(A364="","",Разбивка_по_щитам!C364)</f>
      </c>
      <c r="C364" s="138">
        <f t="shared" si="214"/>
      </c>
      <c r="D364" s="266"/>
      <c r="E364" s="266"/>
      <c r="F364" s="267"/>
      <c r="G364" s="145">
        <f t="shared" si="250"/>
        <v/>
      </c>
      <c r="H364" s="145">
        <f t="shared" si="251"/>
        <v/>
      </c>
      <c r="I364" s="266"/>
      <c r="J364" s="267"/>
      <c r="K364" s="267"/>
      <c r="L364" s="266"/>
      <c r="M364" s="147">
        <f t="shared" si="252"/>
        <v/>
      </c>
      <c r="N364" s="267"/>
      <c r="O364" s="147">
        <f t="shared" si="253"/>
        <v/>
      </c>
      <c r="P364" s="268">
        <f>IF(AY364=1,"XT"&amp;COUNTIFS($A$3:A364,A364,$AY$3:AY364,1),"")</f>
        <v/>
      </c>
      <c r="Q364" s="152">
        <f>IF(R364="","",IFERROR(SUBSTITUTE(Разбивка_по_щитам!P364,CHAR(10)," "),""))</f>
        <v/>
      </c>
      <c r="R364" s="153">
        <f>IF(OR(Разбивка_по_щитам!H364="",Разбивка_по_щитам!H364=0),"",Разбивка_по_щитам!H364)</f>
        <v/>
      </c>
      <c r="S364" s="154">
        <f>IF(R364="","",IFERROR(Разбивка_по_щитам!J364&amp;"",""))</f>
        <v/>
      </c>
      <c r="T364" s="155">
        <f>IF(R364="","",IFERROR(--Разбивка_по_щитам!L364,""))</f>
        <v/>
      </c>
      <c r="U364" s="155">
        <f>IF(R364="","",IFERROR(--Разбивка_по_щитам!K364,""))</f>
        <v/>
      </c>
      <c r="V364" s="138">
        <f>IF(R364="","",IFERROR(IF(Разбивка_по_щитам!M364=0,"",Разбивка_по_щитам!M364),""))</f>
        <v/>
      </c>
      <c r="W364" s="156">
        <f t="shared" si="215"/>
        <v/>
      </c>
      <c r="X364" s="157">
        <f t="shared" si="216"/>
        <v/>
      </c>
      <c r="Y364" s="266"/>
      <c r="Z364" s="158">
        <f t="shared" si="217"/>
        <v/>
      </c>
      <c r="AA364" s="160">
        <f t="shared" si="218"/>
        <v/>
      </c>
      <c r="AB364" s="160">
        <f>IF(R364="","",IFERROR(LOOKUP(INDEX(Справочная!$I$4:$I$19,MATCH(VLOOKUP(R364,Исходные_данные,22,FALSE),Справочная!$J$4:$J$19,0)+1),{6,10,16,20,25,32,40,50,63,80,100,125}),""))</f>
        <v/>
      </c>
      <c r="AC364" s="160">
        <f t="shared" si="219"/>
        <v/>
      </c>
      <c r="AD364" s="161">
        <f t="shared" si="220"/>
        <v/>
      </c>
      <c r="AE364" s="161">
        <f>IF(AND(R364="",G364=""),"",_xlfn.TEXTJOIN("; ",TRUE,IF(AND(R364&lt;&gt;"",V364=""),"нет фазы",""),IF(AND(R364&lt;&gt;"",N(T364)=0),"нет мощности",""),IF(AND(P364&lt;&gt;"",COUNTIFS($A$3:$A$1000,A364,$P$3:$P$1000,P364)&gt;1),"дубль клеммы "&amp;P364,""),IF(AND(W364&lt;&gt;"",W364&lt;&gt;"ok"),W364,""),IF(X364&lt;&gt;"",X364,""),IF(AND(ISNUMBER(SEARCH("(5х",Q364)),N(AK364)=1),"5 жил на 1 фазе",""),IF(AND(AL364="R",E364&lt;&gt;"",N(AS364)=0),"розетка без 30 мА",""),IF(IFERROR(_xlfn.NUMBERVALUE(MID(Q364,FIND("-",Q364,FIND("L=",Q364))+1,FIND("%",Q364)-FIND("-",Q364,FIND("L=",Q364))-1),","),0)&gt;4,"потери &gt; 4 %","")))</f>
      </c>
      <c r="AF364" s="129">
        <f>IF(E364&lt;&gt;"",COUNTIFS($A$3:A364,A364,$E$3:E364,"?*"),IF(OR(A364&lt;&gt;A363,Y364="вручную"),"",AF363))</f>
      </c>
      <c r="AG364" s="129">
        <f t="shared" si="221"/>
      </c>
      <c r="AH364" s="129">
        <f t="shared" si="222"/>
        <v/>
      </c>
      <c r="AI364" s="129">
        <f t="shared" si="223"/>
        <v/>
      </c>
      <c r="AJ364" s="129">
        <f t="shared" si="224"/>
        <v/>
      </c>
      <c r="AK364" s="129">
        <f t="shared" si="225"/>
        <v/>
      </c>
      <c r="AL364" s="129">
        <f t="shared" si="226"/>
        <v/>
      </c>
      <c r="AM364" s="129">
        <f t="shared" si="227"/>
      </c>
      <c r="AN364" s="129">
        <f t="shared" si="228"/>
      </c>
      <c r="AO364" s="129">
        <f t="shared" si="229"/>
        <v/>
      </c>
      <c r="AP364" s="129">
        <f t="shared" si="230"/>
        <v/>
      </c>
      <c r="AQ364" s="129">
        <f t="shared" si="231"/>
        <v/>
      </c>
      <c r="AR364" s="129">
        <f t="shared" si="232"/>
        <v/>
      </c>
      <c r="AS364" s="129">
        <f t="shared" si="233"/>
        <v/>
      </c>
      <c r="AT364" s="129">
        <f t="shared" si="234"/>
        <v/>
      </c>
      <c r="AU364" s="129">
        <f t="shared" si="235"/>
        <v/>
      </c>
      <c r="AV364" s="129">
        <f t="shared" si="236"/>
        <v/>
      </c>
      <c r="AW364" s="129">
        <f>IF(AV364="","",AV364&amp;"."&amp;COUNTIFS($A$3:A364,A364,$AV$3:AV364,AV364))</f>
        <v/>
      </c>
      <c r="AX364" s="129">
        <f t="shared" si="237"/>
        <v/>
      </c>
      <c r="AY364" s="129">
        <f>IF(N364="б/к",0,IF(OR(ISNUMBER(SEARCH("L=",Разбивка_по_щитам!P364)),N364="+",N364="="),1,0))</f>
      </c>
      <c r="AZ364" s="129">
        <f t="shared" si="238"/>
      </c>
      <c r="BA364" s="129">
        <f t="shared" si="239"/>
      </c>
      <c r="BB364" s="129">
        <f t="shared" si="240"/>
      </c>
      <c r="BD364" s="129">
        <f t="shared" si="241"/>
      </c>
      <c r="BE364" s="129">
        <f t="shared" si="242"/>
      </c>
      <c r="BF364" s="129">
        <f t="shared" si="243"/>
      </c>
      <c r="BG364" s="129">
        <f t="shared" si="244"/>
        <v/>
      </c>
      <c r="BH364" s="129">
        <f t="shared" si="245"/>
        <v/>
      </c>
      <c r="BI364" s="129">
        <f t="shared" si="246"/>
        <v/>
      </c>
      <c r="BJ364" s="129">
        <f t="shared" si="247"/>
        <v/>
      </c>
      <c r="BK364" s="129">
        <f>IF(R364="","",IF(OR(BY364="",BY364=0),"BOX",IFERROR(IF(VLOOKUP(BY364,УГО_блоки,3,FALSE)&amp;""&lt;&gt;"",VLOOKUP(BY364,УГО_блоки,3,FALSE),VLOOKUP(BY364,УГО_блоки,2,FALSE)),BY364)))</f>
      </c>
      <c r="BL364" s="129">
        <f t="shared" si="249"/>
      </c>
      <c r="BM364" s="129">
        <f>IF(H364="","",IF(COUNTIF($H$3:H364,H364)=1,MAX($BM$2:BM363)+1,""))</f>
      </c>
      <c r="BN364" s="129">
        <f>IF(I364="","",IF(COUNTIF($I$3:I364,I364)+COUNTIF($J$2:J363,I364)+COUNTIF($K$2:K363,I364)=1,MAX($BN$2:BP363)+1,""))</f>
      </c>
      <c r="BO364" s="129">
        <f>IF(J364="","",IF(COUNTIF($I$3:I364,J364)+COUNTIF($J$3:J364,J364)+COUNTIF($K$2:K363,J364)=1,MAX($BN$2:BP363,BN364)+1,""))</f>
      </c>
      <c r="BP364" s="129">
        <f>IF(K364="","",IF(COUNTIF($I$3:I364,K364)+COUNTIF($J$3:J364,K364)+COUNTIF($K$3:K364,K364)=1,MAX($BN$2:BP363,BN364,BO364)+1,""))</f>
      </c>
      <c r="BQ364" s="129">
        <f>IF(AY364=1,IFERROR(MID(Q364,FIND(" (",Q364)+2,FIND(")",Q364,FIND(" (",Q364))-FIND(" (",Q364)-2),"?"),"")</f>
      </c>
      <c r="BR364" s="129">
        <f>IF(BQ364="","",IF(COUNTIF($BQ$3:BQ364,BQ364)=1,MAX($BR$2:BR363)+1,""))</f>
      </c>
      <c r="BS364" s="129">
        <f>IF(AW364="","",COUNTIF($AW$3:AW364,"?*"))</f>
      </c>
      <c r="BT364" s="129">
        <f>IF(OR(AW364="",AI364=""),"",IF(COUNTIFS($AW$3:AW364,"?*",$AI$3:AI364,AI364)=1,MAX($BT$2:BT363)+1,""))</f>
      </c>
      <c r="BU364" s="129">
        <f>IF(AE364="",0,IF(OR(ISNUMBER(SEARCH("дубль",AE364)),ISNUMBER(SEARCH("ПЕРЕГРУЗ",AE364)),ISNUMBER(SEARCH("ЗАЩИЩ",AE364)),ISNUMBER(SEARCH("КАНАЛ",AE364)),ISNUMBER(SEARCH("без 30",AE364))),2,1))</f>
      </c>
      <c r="BV364" s="129">
        <f>IF(R364="","",COUNTIF($R$3:R364,"?*"))</f>
      </c>
      <c r="BW364" s="129">
        <f>IF(AY364&lt;&gt;1,0,IF(MAX(IFERROR(--VLOOKUP(R364,УГО_спр,5,FALSE),0),IFERROR(--VLOOKUP(AL364,УГО_спр,5,FALSE),0),IFERROR(--VLOOKUP(LEFT(AL364,2),УГО_спр,5,FALSE),0))&gt;0,MAX(IFERROR(--VLOOKUP(R364,УГО_спр,5,FALSE),0),IFERROR(--VLOOKUP(AL364,УГО_спр,5,FALSE),0),IFERROR(--VLOOKUP(LEFT(AL364,2),УГО_спр,5,FALSE),0)),IF(IFERROR(--LEFT(SUBSTITUTE(BQ364,"x","х"),FIND("х",SUBSTITUTE(BQ364,"x","х"))-1),3)&gt;3,Каталог!$S$9,1)))</f>
      </c>
      <c r="BX364" s="129">
        <f>IF(AY364&lt;&gt;1,0,MAX(0,IFERROR(--LEFT(SUBSTITUTE(BQ364,"x","х"),FIND("х",SUBSTITUTE(BQ364,"x","х"))-1),3)-3*BW364))</f>
      </c>
      <c r="BY364" s="129">
        <f>IF(R364="","",IFERROR(VLOOKUP(R364,УГО_спр,2,FALSE),IFERROR(VLOOKUP(AL364,УГО_спр,2,FALSE),IFERROR(VLOOKUP(LEFT(AL364,2),УГО_спр,2,FALSE),""))))</f>
      </c>
    </row>
    <row r="365" spans="1:64" x14ac:dyDescent="0.3">
      <c r="A365" s="135">
        <f>IF(Разбивка_по_щитам!F365=0,"",Разбивка_по_щитам!F365)</f>
      </c>
      <c r="B365" s="138">
        <f>IF(A365="","",Разбивка_по_щитам!C365)</f>
      </c>
      <c r="C365" s="138">
        <f t="shared" si="214"/>
      </c>
      <c r="D365" s="266"/>
      <c r="E365" s="266"/>
      <c r="F365" s="267"/>
      <c r="G365" s="145">
        <f t="shared" si="250"/>
        <v/>
      </c>
      <c r="H365" s="145">
        <f t="shared" si="251"/>
        <v/>
      </c>
      <c r="I365" s="266"/>
      <c r="J365" s="267"/>
      <c r="K365" s="267"/>
      <c r="L365" s="266"/>
      <c r="M365" s="147">
        <f t="shared" si="252"/>
        <v/>
      </c>
      <c r="N365" s="267"/>
      <c r="O365" s="147">
        <f t="shared" si="253"/>
        <v/>
      </c>
      <c r="P365" s="268">
        <f>IF(AY365=1,"XT"&amp;COUNTIFS($A$3:A365,A365,$AY$3:AY365,1),"")</f>
        <v/>
      </c>
      <c r="Q365" s="152">
        <f>IF(R365="","",IFERROR(SUBSTITUTE(Разбивка_по_щитам!P365,CHAR(10)," "),""))</f>
        <v/>
      </c>
      <c r="R365" s="153">
        <f>IF(OR(Разбивка_по_щитам!H365="",Разбивка_по_щитам!H365=0),"",Разбивка_по_щитам!H365)</f>
        <v/>
      </c>
      <c r="S365" s="154">
        <f>IF(R365="","",IFERROR(Разбивка_по_щитам!J365&amp;"",""))</f>
        <v/>
      </c>
      <c r="T365" s="155">
        <f>IF(R365="","",IFERROR(--Разбивка_по_щитам!L365,""))</f>
        <v/>
      </c>
      <c r="U365" s="155">
        <f>IF(R365="","",IFERROR(--Разбивка_по_щитам!K365,""))</f>
        <v/>
      </c>
      <c r="V365" s="138">
        <f>IF(R365="","",IFERROR(IF(Разбивка_по_щитам!M365=0,"",Разбивка_по_щитам!M365),""))</f>
        <v/>
      </c>
      <c r="W365" s="156">
        <f t="shared" si="215"/>
        <v/>
      </c>
      <c r="X365" s="157">
        <f t="shared" si="216"/>
        <v/>
      </c>
      <c r="Y365" s="266"/>
      <c r="Z365" s="158">
        <f t="shared" si="217"/>
        <v/>
      </c>
      <c r="AA365" s="160">
        <f t="shared" si="218"/>
        <v/>
      </c>
      <c r="AB365" s="160">
        <f>IF(R365="","",IFERROR(LOOKUP(INDEX(Справочная!$I$4:$I$19,MATCH(VLOOKUP(R365,Исходные_данные,22,FALSE),Справочная!$J$4:$J$19,0)+1),{6,10,16,20,25,32,40,50,63,80,100,125}),""))</f>
        <v/>
      </c>
      <c r="AC365" s="160">
        <f t="shared" si="219"/>
        <v/>
      </c>
      <c r="AD365" s="161">
        <f t="shared" si="220"/>
        <v/>
      </c>
      <c r="AE365" s="161">
        <f>IF(AND(R365="",G365=""),"",_xlfn.TEXTJOIN("; ",TRUE,IF(AND(R365&lt;&gt;"",V365=""),"нет фазы",""),IF(AND(R365&lt;&gt;"",N(T365)=0),"нет мощности",""),IF(AND(P365&lt;&gt;"",COUNTIFS($A$3:$A$1000,A365,$P$3:$P$1000,P365)&gt;1),"дубль клеммы "&amp;P365,""),IF(AND(W365&lt;&gt;"",W365&lt;&gt;"ok"),W365,""),IF(X365&lt;&gt;"",X365,""),IF(AND(ISNUMBER(SEARCH("(5х",Q365)),N(AK365)=1),"5 жил на 1 фазе",""),IF(AND(AL365="R",E365&lt;&gt;"",N(AS365)=0),"розетка без 30 мА",""),IF(IFERROR(_xlfn.NUMBERVALUE(MID(Q365,FIND("-",Q365,FIND("L=",Q365))+1,FIND("%",Q365)-FIND("-",Q365,FIND("L=",Q365))-1),","),0)&gt;4,"потери &gt; 4 %","")))</f>
      </c>
      <c r="AF365" s="129">
        <f>IF(E365&lt;&gt;"",COUNTIFS($A$3:A365,A365,$E$3:E365,"?*"),IF(OR(A365&lt;&gt;A364,Y365="вручную"),"",AF364))</f>
      </c>
      <c r="AG365" s="129">
        <f t="shared" si="221"/>
      </c>
      <c r="AH365" s="129">
        <f t="shared" si="222"/>
        <v/>
      </c>
      <c r="AI365" s="129">
        <f t="shared" si="223"/>
        <v/>
      </c>
      <c r="AJ365" s="129">
        <f t="shared" si="224"/>
        <v/>
      </c>
      <c r="AK365" s="129">
        <f t="shared" si="225"/>
        <v/>
      </c>
      <c r="AL365" s="129">
        <f t="shared" si="226"/>
        <v/>
      </c>
      <c r="AM365" s="129">
        <f t="shared" si="227"/>
      </c>
      <c r="AN365" s="129">
        <f t="shared" si="228"/>
      </c>
      <c r="AO365" s="129">
        <f t="shared" si="229"/>
        <v/>
      </c>
      <c r="AP365" s="129">
        <f t="shared" si="230"/>
        <v/>
      </c>
      <c r="AQ365" s="129">
        <f t="shared" si="231"/>
        <v/>
      </c>
      <c r="AR365" s="129">
        <f t="shared" si="232"/>
        <v/>
      </c>
      <c r="AS365" s="129">
        <f t="shared" si="233"/>
        <v/>
      </c>
      <c r="AT365" s="129">
        <f t="shared" si="234"/>
        <v/>
      </c>
      <c r="AU365" s="129">
        <f t="shared" si="235"/>
        <v/>
      </c>
      <c r="AV365" s="129">
        <f t="shared" si="236"/>
        <v/>
      </c>
      <c r="AW365" s="129">
        <f>IF(AV365="","",AV365&amp;"."&amp;COUNTIFS($A$3:A365,A365,$AV$3:AV365,AV365))</f>
        <v/>
      </c>
      <c r="AX365" s="129">
        <f t="shared" si="237"/>
        <v/>
      </c>
      <c r="AY365" s="129">
        <f>IF(N365="б/к",0,IF(OR(ISNUMBER(SEARCH("L=",Разбивка_по_щитам!P365)),N365="+",N365="="),1,0))</f>
      </c>
      <c r="AZ365" s="129">
        <f t="shared" si="238"/>
      </c>
      <c r="BA365" s="129">
        <f t="shared" si="239"/>
      </c>
      <c r="BB365" s="129">
        <f t="shared" si="240"/>
      </c>
      <c r="BD365" s="129">
        <f t="shared" si="241"/>
      </c>
      <c r="BE365" s="129">
        <f t="shared" si="242"/>
      </c>
      <c r="BF365" s="129">
        <f t="shared" si="243"/>
      </c>
      <c r="BG365" s="129">
        <f t="shared" si="244"/>
        <v/>
      </c>
      <c r="BH365" s="129">
        <f t="shared" si="245"/>
        <v/>
      </c>
      <c r="BI365" s="129">
        <f t="shared" si="246"/>
        <v/>
      </c>
      <c r="BJ365" s="129">
        <f t="shared" si="247"/>
        <v/>
      </c>
      <c r="BK365" s="129">
        <f>IF(R365="","",IF(OR(BY365="",BY365=0),"BOX",IFERROR(IF(VLOOKUP(BY365,УГО_блоки,3,FALSE)&amp;""&lt;&gt;"",VLOOKUP(BY365,УГО_блоки,3,FALSE),VLOOKUP(BY365,УГО_блоки,2,FALSE)),BY365)))</f>
      </c>
      <c r="BL365" s="129">
        <f t="shared" si="249"/>
      </c>
      <c r="BM365" s="129">
        <f>IF(H365="","",IF(COUNTIF($H$3:H365,H365)=1,MAX($BM$2:BM364)+1,""))</f>
      </c>
      <c r="BN365" s="129">
        <f>IF(I365="","",IF(COUNTIF($I$3:I365,I365)+COUNTIF($J$2:J364,I365)+COUNTIF($K$2:K364,I365)=1,MAX($BN$2:BP364)+1,""))</f>
      </c>
      <c r="BO365" s="129">
        <f>IF(J365="","",IF(COUNTIF($I$3:I365,J365)+COUNTIF($J$3:J365,J365)+COUNTIF($K$2:K364,J365)=1,MAX($BN$2:BP364,BN365)+1,""))</f>
      </c>
      <c r="BP365" s="129">
        <f>IF(K365="","",IF(COUNTIF($I$3:I365,K365)+COUNTIF($J$3:J365,K365)+COUNTIF($K$3:K365,K365)=1,MAX($BN$2:BP364,BN365,BO365)+1,""))</f>
      </c>
      <c r="BQ365" s="129">
        <f>IF(AY365=1,IFERROR(MID(Q365,FIND(" (",Q365)+2,FIND(")",Q365,FIND(" (",Q365))-FIND(" (",Q365)-2),"?"),"")</f>
      </c>
      <c r="BR365" s="129">
        <f>IF(BQ365="","",IF(COUNTIF($BQ$3:BQ365,BQ365)=1,MAX($BR$2:BR364)+1,""))</f>
      </c>
      <c r="BS365" s="129">
        <f>IF(AW365="","",COUNTIF($AW$3:AW365,"?*"))</f>
      </c>
      <c r="BT365" s="129">
        <f>IF(OR(AW365="",AI365=""),"",IF(COUNTIFS($AW$3:AW365,"?*",$AI$3:AI365,AI365)=1,MAX($BT$2:BT364)+1,""))</f>
      </c>
      <c r="BU365" s="129">
        <f>IF(AE365="",0,IF(OR(ISNUMBER(SEARCH("дубль",AE365)),ISNUMBER(SEARCH("ПЕРЕГРУЗ",AE365)),ISNUMBER(SEARCH("ЗАЩИЩ",AE365)),ISNUMBER(SEARCH("КАНАЛ",AE365)),ISNUMBER(SEARCH("без 30",AE365))),2,1))</f>
      </c>
      <c r="BV365" s="129">
        <f>IF(R365="","",COUNTIF($R$3:R365,"?*"))</f>
      </c>
      <c r="BW365" s="129">
        <f>IF(AY365&lt;&gt;1,0,IF(MAX(IFERROR(--VLOOKUP(R365,УГО_спр,5,FALSE),0),IFERROR(--VLOOKUP(AL365,УГО_спр,5,FALSE),0),IFERROR(--VLOOKUP(LEFT(AL365,2),УГО_спр,5,FALSE),0))&gt;0,MAX(IFERROR(--VLOOKUP(R365,УГО_спр,5,FALSE),0),IFERROR(--VLOOKUP(AL365,УГО_спр,5,FALSE),0),IFERROR(--VLOOKUP(LEFT(AL365,2),УГО_спр,5,FALSE),0)),IF(IFERROR(--LEFT(SUBSTITUTE(BQ365,"x","х"),FIND("х",SUBSTITUTE(BQ365,"x","х"))-1),3)&gt;3,Каталог!$S$9,1)))</f>
      </c>
      <c r="BX365" s="129">
        <f>IF(AY365&lt;&gt;1,0,MAX(0,IFERROR(--LEFT(SUBSTITUTE(BQ365,"x","х"),FIND("х",SUBSTITUTE(BQ365,"x","х"))-1),3)-3*BW365))</f>
      </c>
      <c r="BY365" s="129">
        <f>IF(R365="","",IFERROR(VLOOKUP(R365,УГО_спр,2,FALSE),IFERROR(VLOOKUP(AL365,УГО_спр,2,FALSE),IFERROR(VLOOKUP(LEFT(AL365,2),УГО_спр,2,FALSE),""))))</f>
      </c>
    </row>
    <row r="366" spans="1:64" x14ac:dyDescent="0.3">
      <c r="A366" s="135">
        <f>IF(Разбивка_по_щитам!F366=0,"",Разбивка_по_щитам!F366)</f>
      </c>
      <c r="B366" s="138">
        <f>IF(A366="","",Разбивка_по_щитам!C366)</f>
      </c>
      <c r="C366" s="138">
        <f t="shared" si="214"/>
      </c>
      <c r="D366" s="266"/>
      <c r="E366" s="266"/>
      <c r="F366" s="267"/>
      <c r="G366" s="145">
        <f t="shared" si="250"/>
        <v/>
      </c>
      <c r="H366" s="145">
        <f t="shared" si="251"/>
        <v/>
      </c>
      <c r="I366" s="266"/>
      <c r="J366" s="267"/>
      <c r="K366" s="267"/>
      <c r="L366" s="266"/>
      <c r="M366" s="147">
        <f t="shared" si="252"/>
        <v/>
      </c>
      <c r="N366" s="267"/>
      <c r="O366" s="147">
        <f t="shared" si="253"/>
        <v/>
      </c>
      <c r="P366" s="268">
        <f>IF(AY366=1,"XT"&amp;COUNTIFS($A$3:A366,A366,$AY$3:AY366,1),"")</f>
        <v/>
      </c>
      <c r="Q366" s="152">
        <f>IF(R366="","",IFERROR(SUBSTITUTE(Разбивка_по_щитам!P366,CHAR(10)," "),""))</f>
        <v/>
      </c>
      <c r="R366" s="153">
        <f>IF(OR(Разбивка_по_щитам!H366="",Разбивка_по_щитам!H366=0),"",Разбивка_по_щитам!H366)</f>
        <v/>
      </c>
      <c r="S366" s="154">
        <f>IF(R366="","",IFERROR(Разбивка_по_щитам!J366&amp;"",""))</f>
        <v/>
      </c>
      <c r="T366" s="155">
        <f>IF(R366="","",IFERROR(--Разбивка_по_щитам!L366,""))</f>
        <v/>
      </c>
      <c r="U366" s="155">
        <f>IF(R366="","",IFERROR(--Разбивка_по_щитам!K366,""))</f>
        <v/>
      </c>
      <c r="V366" s="138">
        <f>IF(R366="","",IFERROR(IF(Разбивка_по_щитам!M366=0,"",Разбивка_по_щитам!M366),""))</f>
        <v/>
      </c>
      <c r="W366" s="156">
        <f t="shared" si="215"/>
        <v/>
      </c>
      <c r="X366" s="157">
        <f t="shared" si="216"/>
        <v/>
      </c>
      <c r="Y366" s="266"/>
      <c r="Z366" s="158">
        <f t="shared" si="217"/>
        <v/>
      </c>
      <c r="AA366" s="160">
        <f t="shared" si="218"/>
        <v/>
      </c>
      <c r="AB366" s="160">
        <f>IF(R366="","",IFERROR(LOOKUP(INDEX(Справочная!$I$4:$I$19,MATCH(VLOOKUP(R366,Исходные_данные,22,FALSE),Справочная!$J$4:$J$19,0)+1),{6,10,16,20,25,32,40,50,63,80,100,125}),""))</f>
        <v/>
      </c>
      <c r="AC366" s="160">
        <f t="shared" si="219"/>
        <v/>
      </c>
      <c r="AD366" s="161">
        <f t="shared" si="220"/>
        <v/>
      </c>
      <c r="AE366" s="161">
        <f>IF(AND(R366="",G366=""),"",_xlfn.TEXTJOIN("; ",TRUE,IF(AND(R366&lt;&gt;"",V366=""),"нет фазы",""),IF(AND(R366&lt;&gt;"",N(T366)=0),"нет мощности",""),IF(AND(P366&lt;&gt;"",COUNTIFS($A$3:$A$1000,A366,$P$3:$P$1000,P366)&gt;1),"дубль клеммы "&amp;P366,""),IF(AND(W366&lt;&gt;"",W366&lt;&gt;"ok"),W366,""),IF(X366&lt;&gt;"",X366,""),IF(AND(ISNUMBER(SEARCH("(5х",Q366)),N(AK366)=1),"5 жил на 1 фазе",""),IF(AND(AL366="R",E366&lt;&gt;"",N(AS366)=0),"розетка без 30 мА",""),IF(IFERROR(_xlfn.NUMBERVALUE(MID(Q366,FIND("-",Q366,FIND("L=",Q366))+1,FIND("%",Q366)-FIND("-",Q366,FIND("L=",Q366))-1),","),0)&gt;4,"потери &gt; 4 %","")))</f>
      </c>
      <c r="AF366" s="129">
        <f>IF(E366&lt;&gt;"",COUNTIFS($A$3:A366,A366,$E$3:E366,"?*"),IF(OR(A366&lt;&gt;A365,Y366="вручную"),"",AF365))</f>
      </c>
      <c r="AG366" s="129">
        <f t="shared" si="221"/>
      </c>
      <c r="AH366" s="129">
        <f t="shared" si="222"/>
        <v/>
      </c>
      <c r="AI366" s="129">
        <f t="shared" si="223"/>
        <v/>
      </c>
      <c r="AJ366" s="129">
        <f t="shared" si="224"/>
        <v/>
      </c>
      <c r="AK366" s="129">
        <f t="shared" si="225"/>
        <v/>
      </c>
      <c r="AL366" s="129">
        <f t="shared" si="226"/>
        <v/>
      </c>
      <c r="AM366" s="129">
        <f t="shared" si="227"/>
      </c>
      <c r="AN366" s="129">
        <f t="shared" si="228"/>
      </c>
      <c r="AO366" s="129">
        <f t="shared" si="229"/>
        <v/>
      </c>
      <c r="AP366" s="129">
        <f t="shared" si="230"/>
        <v/>
      </c>
      <c r="AQ366" s="129">
        <f t="shared" si="231"/>
        <v/>
      </c>
      <c r="AR366" s="129">
        <f t="shared" si="232"/>
        <v/>
      </c>
      <c r="AS366" s="129">
        <f t="shared" si="233"/>
        <v/>
      </c>
      <c r="AT366" s="129">
        <f t="shared" si="234"/>
        <v/>
      </c>
      <c r="AU366" s="129">
        <f t="shared" si="235"/>
        <v/>
      </c>
      <c r="AV366" s="129">
        <f t="shared" si="236"/>
        <v/>
      </c>
      <c r="AW366" s="129">
        <f>IF(AV366="","",AV366&amp;"."&amp;COUNTIFS($A$3:A366,A366,$AV$3:AV366,AV366))</f>
        <v/>
      </c>
      <c r="AX366" s="129">
        <f t="shared" si="237"/>
        <v/>
      </c>
      <c r="AY366" s="129">
        <f>IF(N366="б/к",0,IF(OR(ISNUMBER(SEARCH("L=",Разбивка_по_щитам!P366)),N366="+",N366="="),1,0))</f>
      </c>
      <c r="AZ366" s="129">
        <f t="shared" si="238"/>
      </c>
      <c r="BA366" s="129">
        <f t="shared" si="239"/>
      </c>
      <c r="BB366" s="129">
        <f t="shared" si="240"/>
      </c>
      <c r="BD366" s="129">
        <f t="shared" si="241"/>
      </c>
      <c r="BE366" s="129">
        <f t="shared" si="242"/>
      </c>
      <c r="BF366" s="129">
        <f t="shared" si="243"/>
      </c>
      <c r="BG366" s="129">
        <f t="shared" si="244"/>
        <v/>
      </c>
      <c r="BH366" s="129">
        <f t="shared" si="245"/>
        <v/>
      </c>
      <c r="BI366" s="129">
        <f t="shared" si="246"/>
        <v/>
      </c>
      <c r="BJ366" s="129">
        <f t="shared" si="247"/>
        <v/>
      </c>
      <c r="BK366" s="129">
        <f>IF(R366="","",IF(OR(BY366="",BY366=0),"BOX",IFERROR(IF(VLOOKUP(BY366,УГО_блоки,3,FALSE)&amp;""&lt;&gt;"",VLOOKUP(BY366,УГО_блоки,3,FALSE),VLOOKUP(BY366,УГО_блоки,2,FALSE)),BY366)))</f>
      </c>
      <c r="BL366" s="129">
        <f t="shared" si="249"/>
      </c>
      <c r="BM366" s="129">
        <f>IF(H366="","",IF(COUNTIF($H$3:H366,H366)=1,MAX($BM$2:BM365)+1,""))</f>
      </c>
      <c r="BN366" s="129">
        <f>IF(I366="","",IF(COUNTIF($I$3:I366,I366)+COUNTIF($J$2:J365,I366)+COUNTIF($K$2:K365,I366)=1,MAX($BN$2:BP365)+1,""))</f>
      </c>
      <c r="BO366" s="129">
        <f>IF(J366="","",IF(COUNTIF($I$3:I366,J366)+COUNTIF($J$3:J366,J366)+COUNTIF($K$2:K365,J366)=1,MAX($BN$2:BP365,BN366)+1,""))</f>
      </c>
      <c r="BP366" s="129">
        <f>IF(K366="","",IF(COUNTIF($I$3:I366,K366)+COUNTIF($J$3:J366,K366)+COUNTIF($K$3:K366,K366)=1,MAX($BN$2:BP365,BN366,BO366)+1,""))</f>
      </c>
      <c r="BQ366" s="129">
        <f>IF(AY366=1,IFERROR(MID(Q366,FIND(" (",Q366)+2,FIND(")",Q366,FIND(" (",Q366))-FIND(" (",Q366)-2),"?"),"")</f>
      </c>
      <c r="BR366" s="129">
        <f>IF(BQ366="","",IF(COUNTIF($BQ$3:BQ366,BQ366)=1,MAX($BR$2:BR365)+1,""))</f>
      </c>
      <c r="BS366" s="129">
        <f>IF(AW366="","",COUNTIF($AW$3:AW366,"?*"))</f>
      </c>
      <c r="BT366" s="129">
        <f>IF(OR(AW366="",AI366=""),"",IF(COUNTIFS($AW$3:AW366,"?*",$AI$3:AI366,AI366)=1,MAX($BT$2:BT365)+1,""))</f>
      </c>
      <c r="BU366" s="129">
        <f>IF(AE366="",0,IF(OR(ISNUMBER(SEARCH("дубль",AE366)),ISNUMBER(SEARCH("ПЕРЕГРУЗ",AE366)),ISNUMBER(SEARCH("ЗАЩИЩ",AE366)),ISNUMBER(SEARCH("КАНАЛ",AE366)),ISNUMBER(SEARCH("без 30",AE366))),2,1))</f>
      </c>
      <c r="BV366" s="129">
        <f>IF(R366="","",COUNTIF($R$3:R366,"?*"))</f>
      </c>
      <c r="BW366" s="129">
        <f>IF(AY366&lt;&gt;1,0,IF(MAX(IFERROR(--VLOOKUP(R366,УГО_спр,5,FALSE),0),IFERROR(--VLOOKUP(AL366,УГО_спр,5,FALSE),0),IFERROR(--VLOOKUP(LEFT(AL366,2),УГО_спр,5,FALSE),0))&gt;0,MAX(IFERROR(--VLOOKUP(R366,УГО_спр,5,FALSE),0),IFERROR(--VLOOKUP(AL366,УГО_спр,5,FALSE),0),IFERROR(--VLOOKUP(LEFT(AL366,2),УГО_спр,5,FALSE),0)),IF(IFERROR(--LEFT(SUBSTITUTE(BQ366,"x","х"),FIND("х",SUBSTITUTE(BQ366,"x","х"))-1),3)&gt;3,Каталог!$S$9,1)))</f>
      </c>
      <c r="BX366" s="129">
        <f>IF(AY366&lt;&gt;1,0,MAX(0,IFERROR(--LEFT(SUBSTITUTE(BQ366,"x","х"),FIND("х",SUBSTITUTE(BQ366,"x","х"))-1),3)-3*BW366))</f>
      </c>
      <c r="BY366" s="129">
        <f>IF(R366="","",IFERROR(VLOOKUP(R366,УГО_спр,2,FALSE),IFERROR(VLOOKUP(AL366,УГО_спр,2,FALSE),IFERROR(VLOOKUP(LEFT(AL366,2),УГО_спр,2,FALSE),""))))</f>
      </c>
    </row>
    <row r="367" spans="1:64" x14ac:dyDescent="0.3">
      <c r="A367" s="135">
        <f>IF(Разбивка_по_щитам!F367=0,"",Разбивка_по_щитам!F367)</f>
      </c>
      <c r="B367" s="138">
        <f>IF(A367="","",Разбивка_по_щитам!C367)</f>
      </c>
      <c r="C367" s="138">
        <f t="shared" si="214"/>
      </c>
      <c r="D367" s="266"/>
      <c r="E367" s="266"/>
      <c r="F367" s="267"/>
      <c r="G367" s="145">
        <f t="shared" si="250"/>
        <v/>
      </c>
      <c r="H367" s="145">
        <f t="shared" si="251"/>
        <v/>
      </c>
      <c r="I367" s="266"/>
      <c r="J367" s="267"/>
      <c r="K367" s="267"/>
      <c r="L367" s="266"/>
      <c r="M367" s="147">
        <f t="shared" si="252"/>
        <v/>
      </c>
      <c r="N367" s="267"/>
      <c r="O367" s="147">
        <f t="shared" si="253"/>
        <v/>
      </c>
      <c r="P367" s="268">
        <f>IF(AY367=1,"XT"&amp;COUNTIFS($A$3:A367,A367,$AY$3:AY367,1),"")</f>
        <v/>
      </c>
      <c r="Q367" s="152">
        <f>IF(R367="","",IFERROR(SUBSTITUTE(Разбивка_по_щитам!P367,CHAR(10)," "),""))</f>
        <v/>
      </c>
      <c r="R367" s="153">
        <f>IF(OR(Разбивка_по_щитам!H367="",Разбивка_по_щитам!H367=0),"",Разбивка_по_щитам!H367)</f>
        <v/>
      </c>
      <c r="S367" s="154">
        <f>IF(R367="","",IFERROR(Разбивка_по_щитам!J367&amp;"",""))</f>
        <v/>
      </c>
      <c r="T367" s="155">
        <f>IF(R367="","",IFERROR(--Разбивка_по_щитам!L367,""))</f>
        <v/>
      </c>
      <c r="U367" s="155">
        <f>IF(R367="","",IFERROR(--Разбивка_по_щитам!K367,""))</f>
        <v/>
      </c>
      <c r="V367" s="138">
        <f>IF(R367="","",IFERROR(IF(Разбивка_по_щитам!M367=0,"",Разбивка_по_щитам!M367),""))</f>
        <v/>
      </c>
      <c r="W367" s="156">
        <f t="shared" si="215"/>
        <v/>
      </c>
      <c r="X367" s="157">
        <f t="shared" si="216"/>
        <v/>
      </c>
      <c r="Y367" s="266"/>
      <c r="Z367" s="158">
        <f t="shared" si="217"/>
        <v/>
      </c>
      <c r="AA367" s="160">
        <f t="shared" si="218"/>
        <v/>
      </c>
      <c r="AB367" s="160">
        <f>IF(R367="","",IFERROR(LOOKUP(INDEX(Справочная!$I$4:$I$19,MATCH(VLOOKUP(R367,Исходные_данные,22,FALSE),Справочная!$J$4:$J$19,0)+1),{6,10,16,20,25,32,40,50,63,80,100,125}),""))</f>
        <v/>
      </c>
      <c r="AC367" s="160">
        <f t="shared" si="219"/>
        <v/>
      </c>
      <c r="AD367" s="161">
        <f t="shared" si="220"/>
        <v/>
      </c>
      <c r="AE367" s="161">
        <f>IF(AND(R367="",G367=""),"",_xlfn.TEXTJOIN("; ",TRUE,IF(AND(R367&lt;&gt;"",V367=""),"нет фазы",""),IF(AND(R367&lt;&gt;"",N(T367)=0),"нет мощности",""),IF(AND(P367&lt;&gt;"",COUNTIFS($A$3:$A$1000,A367,$P$3:$P$1000,P367)&gt;1),"дубль клеммы "&amp;P367,""),IF(AND(W367&lt;&gt;"",W367&lt;&gt;"ok"),W367,""),IF(X367&lt;&gt;"",X367,""),IF(AND(ISNUMBER(SEARCH("(5х",Q367)),N(AK367)=1),"5 жил на 1 фазе",""),IF(AND(AL367="R",E367&lt;&gt;"",N(AS367)=0),"розетка без 30 мА",""),IF(IFERROR(_xlfn.NUMBERVALUE(MID(Q367,FIND("-",Q367,FIND("L=",Q367))+1,FIND("%",Q367)-FIND("-",Q367,FIND("L=",Q367))-1),","),0)&gt;4,"потери &gt; 4 %","")))</f>
      </c>
      <c r="AF367" s="129">
        <f>IF(E367&lt;&gt;"",COUNTIFS($A$3:A367,A367,$E$3:E367,"?*"),IF(OR(A367&lt;&gt;A366,Y367="вручную"),"",AF366))</f>
      </c>
      <c r="AG367" s="129">
        <f t="shared" si="221"/>
      </c>
      <c r="AH367" s="129">
        <f t="shared" si="222"/>
        <v/>
      </c>
      <c r="AI367" s="129">
        <f t="shared" si="223"/>
        <v/>
      </c>
      <c r="AJ367" s="129">
        <f t="shared" si="224"/>
        <v/>
      </c>
      <c r="AK367" s="129">
        <f t="shared" si="225"/>
        <v/>
      </c>
      <c r="AL367" s="129">
        <f t="shared" si="226"/>
        <v/>
      </c>
      <c r="AM367" s="129">
        <f t="shared" si="227"/>
      </c>
      <c r="AN367" s="129">
        <f t="shared" si="228"/>
      </c>
      <c r="AO367" s="129">
        <f t="shared" si="229"/>
        <v/>
      </c>
      <c r="AP367" s="129">
        <f t="shared" si="230"/>
        <v/>
      </c>
      <c r="AQ367" s="129">
        <f t="shared" si="231"/>
        <v/>
      </c>
      <c r="AR367" s="129">
        <f t="shared" si="232"/>
        <v/>
      </c>
      <c r="AS367" s="129">
        <f t="shared" si="233"/>
        <v/>
      </c>
      <c r="AT367" s="129">
        <f t="shared" si="234"/>
        <v/>
      </c>
      <c r="AU367" s="129">
        <f t="shared" si="235"/>
        <v/>
      </c>
      <c r="AV367" s="129">
        <f t="shared" si="236"/>
        <v/>
      </c>
      <c r="AW367" s="129">
        <f>IF(AV367="","",AV367&amp;"."&amp;COUNTIFS($A$3:A367,A367,$AV$3:AV367,AV367))</f>
        <v/>
      </c>
      <c r="AX367" s="129">
        <f t="shared" si="237"/>
        <v/>
      </c>
      <c r="AY367" s="129">
        <f>IF(N367="б/к",0,IF(OR(ISNUMBER(SEARCH("L=",Разбивка_по_щитам!P367)),N367="+",N367="="),1,0))</f>
      </c>
      <c r="AZ367" s="129">
        <f t="shared" si="238"/>
      </c>
      <c r="BA367" s="129">
        <f t="shared" si="239"/>
      </c>
      <c r="BB367" s="129">
        <f t="shared" si="240"/>
      </c>
      <c r="BD367" s="129">
        <f t="shared" si="241"/>
      </c>
      <c r="BE367" s="129">
        <f t="shared" si="242"/>
      </c>
      <c r="BF367" s="129">
        <f t="shared" si="243"/>
      </c>
      <c r="BG367" s="129">
        <f t="shared" si="244"/>
        <v/>
      </c>
      <c r="BH367" s="129">
        <f t="shared" si="245"/>
        <v/>
      </c>
      <c r="BI367" s="129">
        <f t="shared" si="246"/>
        <v/>
      </c>
      <c r="BJ367" s="129">
        <f t="shared" si="247"/>
        <v/>
      </c>
      <c r="BK367" s="129">
        <f>IF(R367="","",IF(OR(BY367="",BY367=0),"BOX",IFERROR(IF(VLOOKUP(BY367,УГО_блоки,3,FALSE)&amp;""&lt;&gt;"",VLOOKUP(BY367,УГО_блоки,3,FALSE),VLOOKUP(BY367,УГО_блоки,2,FALSE)),BY367)))</f>
      </c>
      <c r="BL367" s="129">
        <f t="shared" si="249"/>
      </c>
      <c r="BM367" s="129">
        <f>IF(H367="","",IF(COUNTIF($H$3:H367,H367)=1,MAX($BM$2:BM366)+1,""))</f>
      </c>
      <c r="BN367" s="129">
        <f>IF(I367="","",IF(COUNTIF($I$3:I367,I367)+COUNTIF($J$2:J366,I367)+COUNTIF($K$2:K366,I367)=1,MAX($BN$2:BP366)+1,""))</f>
      </c>
      <c r="BO367" s="129">
        <f>IF(J367="","",IF(COUNTIF($I$3:I367,J367)+COUNTIF($J$3:J367,J367)+COUNTIF($K$2:K366,J367)=1,MAX($BN$2:BP366,BN367)+1,""))</f>
      </c>
      <c r="BP367" s="129">
        <f>IF(K367="","",IF(COUNTIF($I$3:I367,K367)+COUNTIF($J$3:J367,K367)+COUNTIF($K$3:K367,K367)=1,MAX($BN$2:BP366,BN367,BO367)+1,""))</f>
      </c>
      <c r="BQ367" s="129">
        <f>IF(AY367=1,IFERROR(MID(Q367,FIND(" (",Q367)+2,FIND(")",Q367,FIND(" (",Q367))-FIND(" (",Q367)-2),"?"),"")</f>
      </c>
      <c r="BR367" s="129">
        <f>IF(BQ367="","",IF(COUNTIF($BQ$3:BQ367,BQ367)=1,MAX($BR$2:BR366)+1,""))</f>
      </c>
      <c r="BS367" s="129">
        <f>IF(AW367="","",COUNTIF($AW$3:AW367,"?*"))</f>
      </c>
      <c r="BT367" s="129">
        <f>IF(OR(AW367="",AI367=""),"",IF(COUNTIFS($AW$3:AW367,"?*",$AI$3:AI367,AI367)=1,MAX($BT$2:BT366)+1,""))</f>
      </c>
      <c r="BU367" s="129">
        <f>IF(AE367="",0,IF(OR(ISNUMBER(SEARCH("дубль",AE367)),ISNUMBER(SEARCH("ПЕРЕГРУЗ",AE367)),ISNUMBER(SEARCH("ЗАЩИЩ",AE367)),ISNUMBER(SEARCH("КАНАЛ",AE367)),ISNUMBER(SEARCH("без 30",AE367))),2,1))</f>
      </c>
      <c r="BV367" s="129">
        <f>IF(R367="","",COUNTIF($R$3:R367,"?*"))</f>
      </c>
      <c r="BW367" s="129">
        <f>IF(AY367&lt;&gt;1,0,IF(MAX(IFERROR(--VLOOKUP(R367,УГО_спр,5,FALSE),0),IFERROR(--VLOOKUP(AL367,УГО_спр,5,FALSE),0),IFERROR(--VLOOKUP(LEFT(AL367,2),УГО_спр,5,FALSE),0))&gt;0,MAX(IFERROR(--VLOOKUP(R367,УГО_спр,5,FALSE),0),IFERROR(--VLOOKUP(AL367,УГО_спр,5,FALSE),0),IFERROR(--VLOOKUP(LEFT(AL367,2),УГО_спр,5,FALSE),0)),IF(IFERROR(--LEFT(SUBSTITUTE(BQ367,"x","х"),FIND("х",SUBSTITUTE(BQ367,"x","х"))-1),3)&gt;3,Каталог!$S$9,1)))</f>
      </c>
      <c r="BX367" s="129">
        <f>IF(AY367&lt;&gt;1,0,MAX(0,IFERROR(--LEFT(SUBSTITUTE(BQ367,"x","х"),FIND("х",SUBSTITUTE(BQ367,"x","х"))-1),3)-3*BW367))</f>
      </c>
      <c r="BY367" s="129">
        <f>IF(R367="","",IFERROR(VLOOKUP(R367,УГО_спр,2,FALSE),IFERROR(VLOOKUP(AL367,УГО_спр,2,FALSE),IFERROR(VLOOKUP(LEFT(AL367,2),УГО_спр,2,FALSE),""))))</f>
      </c>
    </row>
    <row r="368" spans="1:64" x14ac:dyDescent="0.3">
      <c r="A368" s="135">
        <f>IF(Разбивка_по_щитам!F368=0,"",Разбивка_по_щитам!F368)</f>
      </c>
      <c r="B368" s="138">
        <f>IF(A368="","",Разбивка_по_щитам!C368)</f>
      </c>
      <c r="C368" s="138">
        <f t="shared" si="214"/>
      </c>
      <c r="D368" s="266"/>
      <c r="E368" s="266"/>
      <c r="F368" s="267"/>
      <c r="G368" s="145">
        <f t="shared" si="250"/>
        <v/>
      </c>
      <c r="H368" s="145">
        <f t="shared" si="251"/>
        <v/>
      </c>
      <c r="I368" s="266"/>
      <c r="J368" s="267"/>
      <c r="K368" s="267"/>
      <c r="L368" s="266"/>
      <c r="M368" s="147">
        <f t="shared" si="252"/>
        <v/>
      </c>
      <c r="N368" s="267"/>
      <c r="O368" s="147">
        <f t="shared" si="253"/>
        <v/>
      </c>
      <c r="P368" s="268">
        <f>IF(AY368=1,"XT"&amp;COUNTIFS($A$3:A368,A368,$AY$3:AY368,1),"")</f>
        <v/>
      </c>
      <c r="Q368" s="152">
        <f>IF(R368="","",IFERROR(SUBSTITUTE(Разбивка_по_щитам!P368,CHAR(10)," "),""))</f>
        <v/>
      </c>
      <c r="R368" s="153">
        <f>IF(OR(Разбивка_по_щитам!H368="",Разбивка_по_щитам!H368=0),"",Разбивка_по_щитам!H368)</f>
        <v/>
      </c>
      <c r="S368" s="154">
        <f>IF(R368="","",IFERROR(Разбивка_по_щитам!J368&amp;"",""))</f>
        <v/>
      </c>
      <c r="T368" s="155">
        <f>IF(R368="","",IFERROR(--Разбивка_по_щитам!L368,""))</f>
        <v/>
      </c>
      <c r="U368" s="155">
        <f>IF(R368="","",IFERROR(--Разбивка_по_щитам!K368,""))</f>
        <v/>
      </c>
      <c r="V368" s="138">
        <f>IF(R368="","",IFERROR(IF(Разбивка_по_щитам!M368=0,"",Разбивка_по_щитам!M368),""))</f>
        <v/>
      </c>
      <c r="W368" s="156">
        <f t="shared" si="215"/>
        <v/>
      </c>
      <c r="X368" s="157">
        <f t="shared" si="216"/>
        <v/>
      </c>
      <c r="Y368" s="266"/>
      <c r="Z368" s="158">
        <f t="shared" si="217"/>
        <v/>
      </c>
      <c r="AA368" s="160">
        <f t="shared" si="218"/>
        <v/>
      </c>
      <c r="AB368" s="160">
        <f>IF(R368="","",IFERROR(LOOKUP(INDEX(Справочная!$I$4:$I$19,MATCH(VLOOKUP(R368,Исходные_данные,22,FALSE),Справочная!$J$4:$J$19,0)+1),{6,10,16,20,25,32,40,50,63,80,100,125}),""))</f>
        <v/>
      </c>
      <c r="AC368" s="160">
        <f t="shared" si="219"/>
        <v/>
      </c>
      <c r="AD368" s="161">
        <f t="shared" si="220"/>
        <v/>
      </c>
      <c r="AE368" s="161">
        <f>IF(AND(R368="",G368=""),"",_xlfn.TEXTJOIN("; ",TRUE,IF(AND(R368&lt;&gt;"",V368=""),"нет фазы",""),IF(AND(R368&lt;&gt;"",N(T368)=0),"нет мощности",""),IF(AND(P368&lt;&gt;"",COUNTIFS($A$3:$A$1000,A368,$P$3:$P$1000,P368)&gt;1),"дубль клеммы "&amp;P368,""),IF(AND(W368&lt;&gt;"",W368&lt;&gt;"ok"),W368,""),IF(X368&lt;&gt;"",X368,""),IF(AND(ISNUMBER(SEARCH("(5х",Q368)),N(AK368)=1),"5 жил на 1 фазе",""),IF(AND(AL368="R",E368&lt;&gt;"",N(AS368)=0),"розетка без 30 мА",""),IF(IFERROR(_xlfn.NUMBERVALUE(MID(Q368,FIND("-",Q368,FIND("L=",Q368))+1,FIND("%",Q368)-FIND("-",Q368,FIND("L=",Q368))-1),","),0)&gt;4,"потери &gt; 4 %","")))</f>
      </c>
      <c r="AF368" s="129">
        <f>IF(E368&lt;&gt;"",COUNTIFS($A$3:A368,A368,$E$3:E368,"?*"),IF(OR(A368&lt;&gt;A367,Y368="вручную"),"",AF367))</f>
      </c>
      <c r="AG368" s="129">
        <f t="shared" si="221"/>
      </c>
      <c r="AH368" s="129">
        <f t="shared" si="222"/>
        <v/>
      </c>
      <c r="AI368" s="129">
        <f t="shared" si="223"/>
        <v/>
      </c>
      <c r="AJ368" s="129">
        <f t="shared" si="224"/>
        <v/>
      </c>
      <c r="AK368" s="129">
        <f t="shared" si="225"/>
        <v/>
      </c>
      <c r="AL368" s="129">
        <f t="shared" si="226"/>
        <v/>
      </c>
      <c r="AM368" s="129">
        <f t="shared" si="227"/>
      </c>
      <c r="AN368" s="129">
        <f t="shared" si="228"/>
      </c>
      <c r="AO368" s="129">
        <f t="shared" si="229"/>
        <v/>
      </c>
      <c r="AP368" s="129">
        <f t="shared" si="230"/>
        <v/>
      </c>
      <c r="AQ368" s="129">
        <f t="shared" si="231"/>
        <v/>
      </c>
      <c r="AR368" s="129">
        <f t="shared" si="232"/>
        <v/>
      </c>
      <c r="AS368" s="129">
        <f t="shared" si="233"/>
        <v/>
      </c>
      <c r="AT368" s="129">
        <f t="shared" si="234"/>
        <v/>
      </c>
      <c r="AU368" s="129">
        <f t="shared" si="235"/>
        <v/>
      </c>
      <c r="AV368" s="129">
        <f t="shared" si="236"/>
        <v/>
      </c>
      <c r="AW368" s="129">
        <f>IF(AV368="","",AV368&amp;"."&amp;COUNTIFS($A$3:A368,A368,$AV$3:AV368,AV368))</f>
        <v/>
      </c>
      <c r="AX368" s="129">
        <f t="shared" si="237"/>
        <v/>
      </c>
      <c r="AY368" s="129">
        <f>IF(N368="б/к",0,IF(OR(ISNUMBER(SEARCH("L=",Разбивка_по_щитам!P368)),N368="+",N368="="),1,0))</f>
      </c>
      <c r="AZ368" s="129">
        <f t="shared" si="238"/>
      </c>
      <c r="BA368" s="129">
        <f t="shared" si="239"/>
      </c>
      <c r="BB368" s="129">
        <f t="shared" si="240"/>
      </c>
      <c r="BD368" s="129">
        <f t="shared" si="241"/>
      </c>
      <c r="BE368" s="129">
        <f t="shared" si="242"/>
      </c>
      <c r="BF368" s="129">
        <f t="shared" si="243"/>
      </c>
      <c r="BG368" s="129">
        <f t="shared" si="244"/>
        <v/>
      </c>
      <c r="BH368" s="129">
        <f t="shared" si="245"/>
        <v/>
      </c>
      <c r="BI368" s="129">
        <f t="shared" si="246"/>
        <v/>
      </c>
      <c r="BJ368" s="129">
        <f t="shared" si="247"/>
        <v/>
      </c>
      <c r="BK368" s="129">
        <f>IF(R368="","",IF(OR(BY368="",BY368=0),"BOX",IFERROR(IF(VLOOKUP(BY368,УГО_блоки,3,FALSE)&amp;""&lt;&gt;"",VLOOKUP(BY368,УГО_блоки,3,FALSE),VLOOKUP(BY368,УГО_блоки,2,FALSE)),BY368)))</f>
      </c>
      <c r="BL368" s="129">
        <f t="shared" si="249"/>
      </c>
      <c r="BM368" s="129">
        <f>IF(H368="","",IF(COUNTIF($H$3:H368,H368)=1,MAX($BM$2:BM367)+1,""))</f>
      </c>
      <c r="BN368" s="129">
        <f>IF(I368="","",IF(COUNTIF($I$3:I368,I368)+COUNTIF($J$2:J367,I368)+COUNTIF($K$2:K367,I368)=1,MAX($BN$2:BP367)+1,""))</f>
      </c>
      <c r="BO368" s="129">
        <f>IF(J368="","",IF(COUNTIF($I$3:I368,J368)+COUNTIF($J$3:J368,J368)+COUNTIF($K$2:K367,J368)=1,MAX($BN$2:BP367,BN368)+1,""))</f>
      </c>
      <c r="BP368" s="129">
        <f>IF(K368="","",IF(COUNTIF($I$3:I368,K368)+COUNTIF($J$3:J368,K368)+COUNTIF($K$3:K368,K368)=1,MAX($BN$2:BP367,BN368,BO368)+1,""))</f>
      </c>
      <c r="BQ368" s="129">
        <f>IF(AY368=1,IFERROR(MID(Q368,FIND(" (",Q368)+2,FIND(")",Q368,FIND(" (",Q368))-FIND(" (",Q368)-2),"?"),"")</f>
      </c>
      <c r="BR368" s="129">
        <f>IF(BQ368="","",IF(COUNTIF($BQ$3:BQ368,BQ368)=1,MAX($BR$2:BR367)+1,""))</f>
      </c>
      <c r="BS368" s="129">
        <f>IF(AW368="","",COUNTIF($AW$3:AW368,"?*"))</f>
      </c>
      <c r="BT368" s="129">
        <f>IF(OR(AW368="",AI368=""),"",IF(COUNTIFS($AW$3:AW368,"?*",$AI$3:AI368,AI368)=1,MAX($BT$2:BT367)+1,""))</f>
      </c>
      <c r="BU368" s="129">
        <f>IF(AE368="",0,IF(OR(ISNUMBER(SEARCH("дубль",AE368)),ISNUMBER(SEARCH("ПЕРЕГРУЗ",AE368)),ISNUMBER(SEARCH("ЗАЩИЩ",AE368)),ISNUMBER(SEARCH("КАНАЛ",AE368)),ISNUMBER(SEARCH("без 30",AE368))),2,1))</f>
      </c>
      <c r="BV368" s="129">
        <f>IF(R368="","",COUNTIF($R$3:R368,"?*"))</f>
      </c>
      <c r="BW368" s="129">
        <f>IF(AY368&lt;&gt;1,0,IF(MAX(IFERROR(--VLOOKUP(R368,УГО_спр,5,FALSE),0),IFERROR(--VLOOKUP(AL368,УГО_спр,5,FALSE),0),IFERROR(--VLOOKUP(LEFT(AL368,2),УГО_спр,5,FALSE),0))&gt;0,MAX(IFERROR(--VLOOKUP(R368,УГО_спр,5,FALSE),0),IFERROR(--VLOOKUP(AL368,УГО_спр,5,FALSE),0),IFERROR(--VLOOKUP(LEFT(AL368,2),УГО_спр,5,FALSE),0)),IF(IFERROR(--LEFT(SUBSTITUTE(BQ368,"x","х"),FIND("х",SUBSTITUTE(BQ368,"x","х"))-1),3)&gt;3,Каталог!$S$9,1)))</f>
      </c>
      <c r="BX368" s="129">
        <f>IF(AY368&lt;&gt;1,0,MAX(0,IFERROR(--LEFT(SUBSTITUTE(BQ368,"x","х"),FIND("х",SUBSTITUTE(BQ368,"x","х"))-1),3)-3*BW368))</f>
      </c>
      <c r="BY368" s="129">
        <f>IF(R368="","",IFERROR(VLOOKUP(R368,УГО_спр,2,FALSE),IFERROR(VLOOKUP(AL368,УГО_спр,2,FALSE),IFERROR(VLOOKUP(LEFT(AL368,2),УГО_спр,2,FALSE),""))))</f>
      </c>
    </row>
    <row r="369" spans="1:64" x14ac:dyDescent="0.3">
      <c r="A369" s="135">
        <f>IF(Разбивка_по_щитам!F369=0,"",Разбивка_по_щитам!F369)</f>
      </c>
      <c r="B369" s="138">
        <f>IF(A369="","",Разбивка_по_щитам!C369)</f>
      </c>
      <c r="C369" s="138">
        <f t="shared" si="214"/>
      </c>
      <c r="D369" s="266"/>
      <c r="E369" s="266"/>
      <c r="F369" s="267"/>
      <c r="G369" s="145">
        <f t="shared" si="250"/>
        <v/>
      </c>
      <c r="H369" s="145">
        <f t="shared" si="251"/>
        <v/>
      </c>
      <c r="I369" s="266"/>
      <c r="J369" s="267"/>
      <c r="K369" s="267"/>
      <c r="L369" s="266"/>
      <c r="M369" s="147">
        <f t="shared" si="252"/>
        <v/>
      </c>
      <c r="N369" s="267"/>
      <c r="O369" s="147">
        <f t="shared" si="253"/>
        <v/>
      </c>
      <c r="P369" s="268">
        <f>IF(AY369=1,"XT"&amp;COUNTIFS($A$3:A369,A369,$AY$3:AY369,1),"")</f>
        <v/>
      </c>
      <c r="Q369" s="152">
        <f>IF(R369="","",IFERROR(SUBSTITUTE(Разбивка_по_щитам!P369,CHAR(10)," "),""))</f>
        <v/>
      </c>
      <c r="R369" s="153">
        <f>IF(OR(Разбивка_по_щитам!H369="",Разбивка_по_щитам!H369=0),"",Разбивка_по_щитам!H369)</f>
        <v/>
      </c>
      <c r="S369" s="154">
        <f>IF(R369="","",IFERROR(Разбивка_по_щитам!J369&amp;"",""))</f>
        <v/>
      </c>
      <c r="T369" s="155">
        <f>IF(R369="","",IFERROR(--Разбивка_по_щитам!L369,""))</f>
        <v/>
      </c>
      <c r="U369" s="155">
        <f>IF(R369="","",IFERROR(--Разбивка_по_щитам!K369,""))</f>
        <v/>
      </c>
      <c r="V369" s="138">
        <f>IF(R369="","",IFERROR(IF(Разбивка_по_щитам!M369=0,"",Разбивка_по_щитам!M369),""))</f>
        <v/>
      </c>
      <c r="W369" s="156">
        <f t="shared" si="215"/>
        <v/>
      </c>
      <c r="X369" s="157">
        <f t="shared" si="216"/>
        <v/>
      </c>
      <c r="Y369" s="266"/>
      <c r="Z369" s="158">
        <f t="shared" si="217"/>
        <v/>
      </c>
      <c r="AA369" s="160">
        <f t="shared" si="218"/>
        <v/>
      </c>
      <c r="AB369" s="160">
        <f>IF(R369="","",IFERROR(LOOKUP(INDEX(Справочная!$I$4:$I$19,MATCH(VLOOKUP(R369,Исходные_данные,22,FALSE),Справочная!$J$4:$J$19,0)+1),{6,10,16,20,25,32,40,50,63,80,100,125}),""))</f>
        <v/>
      </c>
      <c r="AC369" s="160">
        <f t="shared" si="219"/>
        <v/>
      </c>
      <c r="AD369" s="161">
        <f t="shared" si="220"/>
        <v/>
      </c>
      <c r="AE369" s="161">
        <f>IF(AND(R369="",G369=""),"",_xlfn.TEXTJOIN("; ",TRUE,IF(AND(R369&lt;&gt;"",V369=""),"нет фазы",""),IF(AND(R369&lt;&gt;"",N(T369)=0),"нет мощности",""),IF(AND(P369&lt;&gt;"",COUNTIFS($A$3:$A$1000,A369,$P$3:$P$1000,P369)&gt;1),"дубль клеммы "&amp;P369,""),IF(AND(W369&lt;&gt;"",W369&lt;&gt;"ok"),W369,""),IF(X369&lt;&gt;"",X369,""),IF(AND(ISNUMBER(SEARCH("(5х",Q369)),N(AK369)=1),"5 жил на 1 фазе",""),IF(AND(AL369="R",E369&lt;&gt;"",N(AS369)=0),"розетка без 30 мА",""),IF(IFERROR(_xlfn.NUMBERVALUE(MID(Q369,FIND("-",Q369,FIND("L=",Q369))+1,FIND("%",Q369)-FIND("-",Q369,FIND("L=",Q369))-1),","),0)&gt;4,"потери &gt; 4 %","")))</f>
      </c>
      <c r="AF369" s="129">
        <f>IF(E369&lt;&gt;"",COUNTIFS($A$3:A369,A369,$E$3:E369,"?*"),IF(OR(A369&lt;&gt;A368,Y369="вручную"),"",AF368))</f>
      </c>
      <c r="AG369" s="129">
        <f t="shared" si="221"/>
      </c>
      <c r="AH369" s="129">
        <f t="shared" si="222"/>
        <v/>
      </c>
      <c r="AI369" s="129">
        <f t="shared" si="223"/>
        <v/>
      </c>
      <c r="AJ369" s="129">
        <f t="shared" si="224"/>
        <v/>
      </c>
      <c r="AK369" s="129">
        <f t="shared" si="225"/>
        <v/>
      </c>
      <c r="AL369" s="129">
        <f t="shared" si="226"/>
        <v/>
      </c>
      <c r="AM369" s="129">
        <f t="shared" si="227"/>
      </c>
      <c r="AN369" s="129">
        <f t="shared" si="228"/>
      </c>
      <c r="AO369" s="129">
        <f t="shared" si="229"/>
        <v/>
      </c>
      <c r="AP369" s="129">
        <f t="shared" si="230"/>
        <v/>
      </c>
      <c r="AQ369" s="129">
        <f t="shared" si="231"/>
        <v/>
      </c>
      <c r="AR369" s="129">
        <f t="shared" si="232"/>
        <v/>
      </c>
      <c r="AS369" s="129">
        <f t="shared" si="233"/>
        <v/>
      </c>
      <c r="AT369" s="129">
        <f t="shared" si="234"/>
        <v/>
      </c>
      <c r="AU369" s="129">
        <f t="shared" si="235"/>
        <v/>
      </c>
      <c r="AV369" s="129">
        <f t="shared" si="236"/>
        <v/>
      </c>
      <c r="AW369" s="129">
        <f>IF(AV369="","",AV369&amp;"."&amp;COUNTIFS($A$3:A369,A369,$AV$3:AV369,AV369))</f>
        <v/>
      </c>
      <c r="AX369" s="129">
        <f t="shared" si="237"/>
        <v/>
      </c>
      <c r="AY369" s="129">
        <f>IF(N369="б/к",0,IF(OR(ISNUMBER(SEARCH("L=",Разбивка_по_щитам!P369)),N369="+",N369="="),1,0))</f>
      </c>
      <c r="AZ369" s="129">
        <f t="shared" si="238"/>
      </c>
      <c r="BA369" s="129">
        <f t="shared" si="239"/>
      </c>
      <c r="BB369" s="129">
        <f t="shared" si="240"/>
      </c>
      <c r="BD369" s="129">
        <f t="shared" si="241"/>
      </c>
      <c r="BE369" s="129">
        <f t="shared" si="242"/>
      </c>
      <c r="BF369" s="129">
        <f t="shared" si="243"/>
      </c>
      <c r="BG369" s="129">
        <f t="shared" si="244"/>
        <v/>
      </c>
      <c r="BH369" s="129">
        <f t="shared" si="245"/>
        <v/>
      </c>
      <c r="BI369" s="129">
        <f t="shared" si="246"/>
        <v/>
      </c>
      <c r="BJ369" s="129">
        <f t="shared" si="247"/>
        <v/>
      </c>
      <c r="BK369" s="129">
        <f>IF(R369="","",IF(OR(BY369="",BY369=0),"BOX",IFERROR(IF(VLOOKUP(BY369,УГО_блоки,3,FALSE)&amp;""&lt;&gt;"",VLOOKUP(BY369,УГО_блоки,3,FALSE),VLOOKUP(BY369,УГО_блоки,2,FALSE)),BY369)))</f>
      </c>
      <c r="BL369" s="129">
        <f t="shared" si="249"/>
      </c>
      <c r="BM369" s="129">
        <f>IF(H369="","",IF(COUNTIF($H$3:H369,H369)=1,MAX($BM$2:BM368)+1,""))</f>
      </c>
      <c r="BN369" s="129">
        <f>IF(I369="","",IF(COUNTIF($I$3:I369,I369)+COUNTIF($J$2:J368,I369)+COUNTIF($K$2:K368,I369)=1,MAX($BN$2:BP368)+1,""))</f>
      </c>
      <c r="BO369" s="129">
        <f>IF(J369="","",IF(COUNTIF($I$3:I369,J369)+COUNTIF($J$3:J369,J369)+COUNTIF($K$2:K368,J369)=1,MAX($BN$2:BP368,BN369)+1,""))</f>
      </c>
      <c r="BP369" s="129">
        <f>IF(K369="","",IF(COUNTIF($I$3:I369,K369)+COUNTIF($J$3:J369,K369)+COUNTIF($K$3:K369,K369)=1,MAX($BN$2:BP368,BN369,BO369)+1,""))</f>
      </c>
      <c r="BQ369" s="129">
        <f>IF(AY369=1,IFERROR(MID(Q369,FIND(" (",Q369)+2,FIND(")",Q369,FIND(" (",Q369))-FIND(" (",Q369)-2),"?"),"")</f>
      </c>
      <c r="BR369" s="129">
        <f>IF(BQ369="","",IF(COUNTIF($BQ$3:BQ369,BQ369)=1,MAX($BR$2:BR368)+1,""))</f>
      </c>
      <c r="BS369" s="129">
        <f>IF(AW369="","",COUNTIF($AW$3:AW369,"?*"))</f>
      </c>
      <c r="BT369" s="129">
        <f>IF(OR(AW369="",AI369=""),"",IF(COUNTIFS($AW$3:AW369,"?*",$AI$3:AI369,AI369)=1,MAX($BT$2:BT368)+1,""))</f>
      </c>
      <c r="BU369" s="129">
        <f>IF(AE369="",0,IF(OR(ISNUMBER(SEARCH("дубль",AE369)),ISNUMBER(SEARCH("ПЕРЕГРУЗ",AE369)),ISNUMBER(SEARCH("ЗАЩИЩ",AE369)),ISNUMBER(SEARCH("КАНАЛ",AE369)),ISNUMBER(SEARCH("без 30",AE369))),2,1))</f>
      </c>
      <c r="BV369" s="129">
        <f>IF(R369="","",COUNTIF($R$3:R369,"?*"))</f>
      </c>
      <c r="BW369" s="129">
        <f>IF(AY369&lt;&gt;1,0,IF(MAX(IFERROR(--VLOOKUP(R369,УГО_спр,5,FALSE),0),IFERROR(--VLOOKUP(AL369,УГО_спр,5,FALSE),0),IFERROR(--VLOOKUP(LEFT(AL369,2),УГО_спр,5,FALSE),0))&gt;0,MAX(IFERROR(--VLOOKUP(R369,УГО_спр,5,FALSE),0),IFERROR(--VLOOKUP(AL369,УГО_спр,5,FALSE),0),IFERROR(--VLOOKUP(LEFT(AL369,2),УГО_спр,5,FALSE),0)),IF(IFERROR(--LEFT(SUBSTITUTE(BQ369,"x","х"),FIND("х",SUBSTITUTE(BQ369,"x","х"))-1),3)&gt;3,Каталог!$S$9,1)))</f>
      </c>
      <c r="BX369" s="129">
        <f>IF(AY369&lt;&gt;1,0,MAX(0,IFERROR(--LEFT(SUBSTITUTE(BQ369,"x","х"),FIND("х",SUBSTITUTE(BQ369,"x","х"))-1),3)-3*BW369))</f>
      </c>
      <c r="BY369" s="129">
        <f>IF(R369="","",IFERROR(VLOOKUP(R369,УГО_спр,2,FALSE),IFERROR(VLOOKUP(AL369,УГО_спр,2,FALSE),IFERROR(VLOOKUP(LEFT(AL369,2),УГО_спр,2,FALSE),""))))</f>
      </c>
    </row>
    <row r="370" spans="1:64" x14ac:dyDescent="0.3">
      <c r="A370" s="135">
        <f>IF(Разбивка_по_щитам!F370=0,"",Разбивка_по_щитам!F370)</f>
      </c>
      <c r="B370" s="138">
        <f>IF(A370="","",Разбивка_по_щитам!C370)</f>
      </c>
      <c r="C370" s="138">
        <f t="shared" si="214"/>
      </c>
      <c r="D370" s="266"/>
      <c r="E370" s="266"/>
      <c r="F370" s="267"/>
      <c r="G370" s="145">
        <f t="shared" si="250"/>
        <v/>
      </c>
      <c r="H370" s="145">
        <f t="shared" si="251"/>
        <v/>
      </c>
      <c r="I370" s="266"/>
      <c r="J370" s="267"/>
      <c r="K370" s="267"/>
      <c r="L370" s="266"/>
      <c r="M370" s="147">
        <f t="shared" si="252"/>
        <v/>
      </c>
      <c r="N370" s="267"/>
      <c r="O370" s="147">
        <f t="shared" si="253"/>
        <v/>
      </c>
      <c r="P370" s="268">
        <f>IF(AY370=1,"XT"&amp;COUNTIFS($A$3:A370,A370,$AY$3:AY370,1),"")</f>
        <v/>
      </c>
      <c r="Q370" s="152">
        <f>IF(R370="","",IFERROR(SUBSTITUTE(Разбивка_по_щитам!P370,CHAR(10)," "),""))</f>
        <v/>
      </c>
      <c r="R370" s="153">
        <f>IF(OR(Разбивка_по_щитам!H370="",Разбивка_по_щитам!H370=0),"",Разбивка_по_щитам!H370)</f>
        <v/>
      </c>
      <c r="S370" s="154">
        <f>IF(R370="","",IFERROR(Разбивка_по_щитам!J370&amp;"",""))</f>
        <v/>
      </c>
      <c r="T370" s="155">
        <f>IF(R370="","",IFERROR(--Разбивка_по_щитам!L370,""))</f>
        <v/>
      </c>
      <c r="U370" s="155">
        <f>IF(R370="","",IFERROR(--Разбивка_по_щитам!K370,""))</f>
        <v/>
      </c>
      <c r="V370" s="138">
        <f>IF(R370="","",IFERROR(IF(Разбивка_по_щитам!M370=0,"",Разбивка_по_щитам!M370),""))</f>
        <v/>
      </c>
      <c r="W370" s="156">
        <f t="shared" si="215"/>
        <v/>
      </c>
      <c r="X370" s="157">
        <f t="shared" si="216"/>
        <v/>
      </c>
      <c r="Y370" s="266"/>
      <c r="Z370" s="158">
        <f t="shared" si="217"/>
        <v/>
      </c>
      <c r="AA370" s="160">
        <f t="shared" si="218"/>
        <v/>
      </c>
      <c r="AB370" s="160">
        <f>IF(R370="","",IFERROR(LOOKUP(INDEX(Справочная!$I$4:$I$19,MATCH(VLOOKUP(R370,Исходные_данные,22,FALSE),Справочная!$J$4:$J$19,0)+1),{6,10,16,20,25,32,40,50,63,80,100,125}),""))</f>
        <v/>
      </c>
      <c r="AC370" s="160">
        <f t="shared" si="219"/>
        <v/>
      </c>
      <c r="AD370" s="161">
        <f t="shared" si="220"/>
        <v/>
      </c>
      <c r="AE370" s="161">
        <f>IF(AND(R370="",G370=""),"",_xlfn.TEXTJOIN("; ",TRUE,IF(AND(R370&lt;&gt;"",V370=""),"нет фазы",""),IF(AND(R370&lt;&gt;"",N(T370)=0),"нет мощности",""),IF(AND(P370&lt;&gt;"",COUNTIFS($A$3:$A$1000,A370,$P$3:$P$1000,P370)&gt;1),"дубль клеммы "&amp;P370,""),IF(AND(W370&lt;&gt;"",W370&lt;&gt;"ok"),W370,""),IF(X370&lt;&gt;"",X370,""),IF(AND(ISNUMBER(SEARCH("(5х",Q370)),N(AK370)=1),"5 жил на 1 фазе",""),IF(AND(AL370="R",E370&lt;&gt;"",N(AS370)=0),"розетка без 30 мА",""),IF(IFERROR(_xlfn.NUMBERVALUE(MID(Q370,FIND("-",Q370,FIND("L=",Q370))+1,FIND("%",Q370)-FIND("-",Q370,FIND("L=",Q370))-1),","),0)&gt;4,"потери &gt; 4 %","")))</f>
      </c>
      <c r="AF370" s="129">
        <f>IF(E370&lt;&gt;"",COUNTIFS($A$3:A370,A370,$E$3:E370,"?*"),IF(OR(A370&lt;&gt;A369,Y370="вручную"),"",AF369))</f>
      </c>
      <c r="AG370" s="129">
        <f t="shared" si="221"/>
      </c>
      <c r="AH370" s="129">
        <f t="shared" si="222"/>
        <v/>
      </c>
      <c r="AI370" s="129">
        <f t="shared" si="223"/>
        <v/>
      </c>
      <c r="AJ370" s="129">
        <f t="shared" si="224"/>
        <v/>
      </c>
      <c r="AK370" s="129">
        <f t="shared" si="225"/>
        <v/>
      </c>
      <c r="AL370" s="129">
        <f t="shared" si="226"/>
        <v/>
      </c>
      <c r="AM370" s="129">
        <f t="shared" si="227"/>
      </c>
      <c r="AN370" s="129">
        <f t="shared" si="228"/>
      </c>
      <c r="AO370" s="129">
        <f t="shared" si="229"/>
        <v/>
      </c>
      <c r="AP370" s="129">
        <f t="shared" si="230"/>
        <v/>
      </c>
      <c r="AQ370" s="129">
        <f t="shared" si="231"/>
        <v/>
      </c>
      <c r="AR370" s="129">
        <f t="shared" si="232"/>
        <v/>
      </c>
      <c r="AS370" s="129">
        <f t="shared" si="233"/>
        <v/>
      </c>
      <c r="AT370" s="129">
        <f t="shared" si="234"/>
        <v/>
      </c>
      <c r="AU370" s="129">
        <f t="shared" si="235"/>
        <v/>
      </c>
      <c r="AV370" s="129">
        <f t="shared" si="236"/>
        <v/>
      </c>
      <c r="AW370" s="129">
        <f>IF(AV370="","",AV370&amp;"."&amp;COUNTIFS($A$3:A370,A370,$AV$3:AV370,AV370))</f>
        <v/>
      </c>
      <c r="AX370" s="129">
        <f t="shared" si="237"/>
        <v/>
      </c>
      <c r="AY370" s="129">
        <f>IF(N370="б/к",0,IF(OR(ISNUMBER(SEARCH("L=",Разбивка_по_щитам!P370)),N370="+",N370="="),1,0))</f>
      </c>
      <c r="AZ370" s="129">
        <f t="shared" si="238"/>
      </c>
      <c r="BA370" s="129">
        <f t="shared" si="239"/>
      </c>
      <c r="BB370" s="129">
        <f t="shared" si="240"/>
      </c>
      <c r="BD370" s="129">
        <f t="shared" si="241"/>
      </c>
      <c r="BE370" s="129">
        <f t="shared" si="242"/>
      </c>
      <c r="BF370" s="129">
        <f t="shared" si="243"/>
      </c>
      <c r="BG370" s="129">
        <f t="shared" si="244"/>
        <v/>
      </c>
      <c r="BH370" s="129">
        <f t="shared" si="245"/>
        <v/>
      </c>
      <c r="BI370" s="129">
        <f t="shared" si="246"/>
        <v/>
      </c>
      <c r="BJ370" s="129">
        <f t="shared" si="247"/>
        <v/>
      </c>
      <c r="BK370" s="129">
        <f>IF(R370="","",IF(OR(BY370="",BY370=0),"BOX",IFERROR(IF(VLOOKUP(BY370,УГО_блоки,3,FALSE)&amp;""&lt;&gt;"",VLOOKUP(BY370,УГО_блоки,3,FALSE),VLOOKUP(BY370,УГО_блоки,2,FALSE)),BY370)))</f>
      </c>
      <c r="BL370" s="129">
        <f t="shared" si="249"/>
      </c>
      <c r="BM370" s="129">
        <f>IF(H370="","",IF(COUNTIF($H$3:H370,H370)=1,MAX($BM$2:BM369)+1,""))</f>
      </c>
      <c r="BN370" s="129">
        <f>IF(I370="","",IF(COUNTIF($I$3:I370,I370)+COUNTIF($J$2:J369,I370)+COUNTIF($K$2:K369,I370)=1,MAX($BN$2:BP369)+1,""))</f>
      </c>
      <c r="BO370" s="129">
        <f>IF(J370="","",IF(COUNTIF($I$3:I370,J370)+COUNTIF($J$3:J370,J370)+COUNTIF($K$2:K369,J370)=1,MAX($BN$2:BP369,BN370)+1,""))</f>
      </c>
      <c r="BP370" s="129">
        <f>IF(K370="","",IF(COUNTIF($I$3:I370,K370)+COUNTIF($J$3:J370,K370)+COUNTIF($K$3:K370,K370)=1,MAX($BN$2:BP369,BN370,BO370)+1,""))</f>
      </c>
      <c r="BQ370" s="129">
        <f>IF(AY370=1,IFERROR(MID(Q370,FIND(" (",Q370)+2,FIND(")",Q370,FIND(" (",Q370))-FIND(" (",Q370)-2),"?"),"")</f>
      </c>
      <c r="BR370" s="129">
        <f>IF(BQ370="","",IF(COUNTIF($BQ$3:BQ370,BQ370)=1,MAX($BR$2:BR369)+1,""))</f>
      </c>
      <c r="BS370" s="129">
        <f>IF(AW370="","",COUNTIF($AW$3:AW370,"?*"))</f>
      </c>
      <c r="BT370" s="129">
        <f>IF(OR(AW370="",AI370=""),"",IF(COUNTIFS($AW$3:AW370,"?*",$AI$3:AI370,AI370)=1,MAX($BT$2:BT369)+1,""))</f>
      </c>
      <c r="BU370" s="129">
        <f>IF(AE370="",0,IF(OR(ISNUMBER(SEARCH("дубль",AE370)),ISNUMBER(SEARCH("ПЕРЕГРУЗ",AE370)),ISNUMBER(SEARCH("ЗАЩИЩ",AE370)),ISNUMBER(SEARCH("КАНАЛ",AE370)),ISNUMBER(SEARCH("без 30",AE370))),2,1))</f>
      </c>
      <c r="BV370" s="129">
        <f>IF(R370="","",COUNTIF($R$3:R370,"?*"))</f>
      </c>
      <c r="BW370" s="129">
        <f>IF(AY370&lt;&gt;1,0,IF(MAX(IFERROR(--VLOOKUP(R370,УГО_спр,5,FALSE),0),IFERROR(--VLOOKUP(AL370,УГО_спр,5,FALSE),0),IFERROR(--VLOOKUP(LEFT(AL370,2),УГО_спр,5,FALSE),0))&gt;0,MAX(IFERROR(--VLOOKUP(R370,УГО_спр,5,FALSE),0),IFERROR(--VLOOKUP(AL370,УГО_спр,5,FALSE),0),IFERROR(--VLOOKUP(LEFT(AL370,2),УГО_спр,5,FALSE),0)),IF(IFERROR(--LEFT(SUBSTITUTE(BQ370,"x","х"),FIND("х",SUBSTITUTE(BQ370,"x","х"))-1),3)&gt;3,Каталог!$S$9,1)))</f>
      </c>
      <c r="BX370" s="129">
        <f>IF(AY370&lt;&gt;1,0,MAX(0,IFERROR(--LEFT(SUBSTITUTE(BQ370,"x","х"),FIND("х",SUBSTITUTE(BQ370,"x","х"))-1),3)-3*BW370))</f>
      </c>
      <c r="BY370" s="129">
        <f>IF(R370="","",IFERROR(VLOOKUP(R370,УГО_спр,2,FALSE),IFERROR(VLOOKUP(AL370,УГО_спр,2,FALSE),IFERROR(VLOOKUP(LEFT(AL370,2),УГО_спр,2,FALSE),""))))</f>
      </c>
    </row>
    <row r="371" spans="1:64" x14ac:dyDescent="0.3">
      <c r="A371" s="135">
        <f>IF(Разбивка_по_щитам!F371=0,"",Разбивка_по_щитам!F371)</f>
      </c>
      <c r="B371" s="138">
        <f>IF(A371="","",Разбивка_по_щитам!C371)</f>
      </c>
      <c r="C371" s="138">
        <f t="shared" si="214"/>
      </c>
      <c r="D371" s="266"/>
      <c r="E371" s="266"/>
      <c r="F371" s="267"/>
      <c r="G371" s="145">
        <f t="shared" si="250"/>
        <v/>
      </c>
      <c r="H371" s="145">
        <f t="shared" si="251"/>
        <v/>
      </c>
      <c r="I371" s="266"/>
      <c r="J371" s="267"/>
      <c r="K371" s="267"/>
      <c r="L371" s="266"/>
      <c r="M371" s="147">
        <f t="shared" si="252"/>
        <v/>
      </c>
      <c r="N371" s="267"/>
      <c r="O371" s="147">
        <f t="shared" si="253"/>
        <v/>
      </c>
      <c r="P371" s="268">
        <f>IF(AY371=1,"XT"&amp;COUNTIFS($A$3:A371,A371,$AY$3:AY371,1),"")</f>
        <v/>
      </c>
      <c r="Q371" s="152">
        <f>IF(R371="","",IFERROR(SUBSTITUTE(Разбивка_по_щитам!P371,CHAR(10)," "),""))</f>
        <v/>
      </c>
      <c r="R371" s="153">
        <f>IF(OR(Разбивка_по_щитам!H371="",Разбивка_по_щитам!H371=0),"",Разбивка_по_щитам!H371)</f>
        <v/>
      </c>
      <c r="S371" s="154">
        <f>IF(R371="","",IFERROR(Разбивка_по_щитам!J371&amp;"",""))</f>
        <v/>
      </c>
      <c r="T371" s="155">
        <f>IF(R371="","",IFERROR(--Разбивка_по_щитам!L371,""))</f>
        <v/>
      </c>
      <c r="U371" s="155">
        <f>IF(R371="","",IFERROR(--Разбивка_по_щитам!K371,""))</f>
        <v/>
      </c>
      <c r="V371" s="138">
        <f>IF(R371="","",IFERROR(IF(Разбивка_по_щитам!M371=0,"",Разбивка_по_щитам!M371),""))</f>
        <v/>
      </c>
      <c r="W371" s="156">
        <f t="shared" si="215"/>
        <v/>
      </c>
      <c r="X371" s="157">
        <f t="shared" si="216"/>
        <v/>
      </c>
      <c r="Y371" s="266"/>
      <c r="Z371" s="158">
        <f t="shared" si="217"/>
        <v/>
      </c>
      <c r="AA371" s="160">
        <f t="shared" si="218"/>
        <v/>
      </c>
      <c r="AB371" s="160">
        <f>IF(R371="","",IFERROR(LOOKUP(INDEX(Справочная!$I$4:$I$19,MATCH(VLOOKUP(R371,Исходные_данные,22,FALSE),Справочная!$J$4:$J$19,0)+1),{6,10,16,20,25,32,40,50,63,80,100,125}),""))</f>
        <v/>
      </c>
      <c r="AC371" s="160">
        <f t="shared" si="219"/>
        <v/>
      </c>
      <c r="AD371" s="161">
        <f t="shared" si="220"/>
        <v/>
      </c>
      <c r="AE371" s="161">
        <f>IF(AND(R371="",G371=""),"",_xlfn.TEXTJOIN("; ",TRUE,IF(AND(R371&lt;&gt;"",V371=""),"нет фазы",""),IF(AND(R371&lt;&gt;"",N(T371)=0),"нет мощности",""),IF(AND(P371&lt;&gt;"",COUNTIFS($A$3:$A$1000,A371,$P$3:$P$1000,P371)&gt;1),"дубль клеммы "&amp;P371,""),IF(AND(W371&lt;&gt;"",W371&lt;&gt;"ok"),W371,""),IF(X371&lt;&gt;"",X371,""),IF(AND(ISNUMBER(SEARCH("(5х",Q371)),N(AK371)=1),"5 жил на 1 фазе",""),IF(AND(AL371="R",E371&lt;&gt;"",N(AS371)=0),"розетка без 30 мА",""),IF(IFERROR(_xlfn.NUMBERVALUE(MID(Q371,FIND("-",Q371,FIND("L=",Q371))+1,FIND("%",Q371)-FIND("-",Q371,FIND("L=",Q371))-1),","),0)&gt;4,"потери &gt; 4 %","")))</f>
      </c>
      <c r="AF371" s="129">
        <f>IF(E371&lt;&gt;"",COUNTIFS($A$3:A371,A371,$E$3:E371,"?*"),IF(OR(A371&lt;&gt;A370,Y371="вручную"),"",AF370))</f>
      </c>
      <c r="AG371" s="129">
        <f t="shared" si="221"/>
      </c>
      <c r="AH371" s="129">
        <f t="shared" si="222"/>
        <v/>
      </c>
      <c r="AI371" s="129">
        <f t="shared" si="223"/>
        <v/>
      </c>
      <c r="AJ371" s="129">
        <f t="shared" si="224"/>
        <v/>
      </c>
      <c r="AK371" s="129">
        <f t="shared" si="225"/>
        <v/>
      </c>
      <c r="AL371" s="129">
        <f t="shared" si="226"/>
        <v/>
      </c>
      <c r="AM371" s="129">
        <f t="shared" si="227"/>
      </c>
      <c r="AN371" s="129">
        <f t="shared" si="228"/>
      </c>
      <c r="AO371" s="129">
        <f t="shared" si="229"/>
        <v/>
      </c>
      <c r="AP371" s="129">
        <f t="shared" si="230"/>
        <v/>
      </c>
      <c r="AQ371" s="129">
        <f t="shared" si="231"/>
        <v/>
      </c>
      <c r="AR371" s="129">
        <f t="shared" si="232"/>
        <v/>
      </c>
      <c r="AS371" s="129">
        <f t="shared" si="233"/>
        <v/>
      </c>
      <c r="AT371" s="129">
        <f t="shared" si="234"/>
        <v/>
      </c>
      <c r="AU371" s="129">
        <f t="shared" si="235"/>
        <v/>
      </c>
      <c r="AV371" s="129">
        <f t="shared" si="236"/>
        <v/>
      </c>
      <c r="AW371" s="129">
        <f>IF(AV371="","",AV371&amp;"."&amp;COUNTIFS($A$3:A371,A371,$AV$3:AV371,AV371))</f>
        <v/>
      </c>
      <c r="AX371" s="129">
        <f t="shared" si="237"/>
        <v/>
      </c>
      <c r="AY371" s="129">
        <f>IF(N371="б/к",0,IF(OR(ISNUMBER(SEARCH("L=",Разбивка_по_щитам!P371)),N371="+",N371="="),1,0))</f>
      </c>
      <c r="AZ371" s="129">
        <f t="shared" si="238"/>
      </c>
      <c r="BA371" s="129">
        <f t="shared" si="239"/>
      </c>
      <c r="BB371" s="129">
        <f t="shared" si="240"/>
      </c>
      <c r="BD371" s="129">
        <f t="shared" si="241"/>
      </c>
      <c r="BE371" s="129">
        <f t="shared" si="242"/>
      </c>
      <c r="BF371" s="129">
        <f t="shared" si="243"/>
      </c>
      <c r="BG371" s="129">
        <f t="shared" si="244"/>
        <v/>
      </c>
      <c r="BH371" s="129">
        <f t="shared" si="245"/>
        <v/>
      </c>
      <c r="BI371" s="129">
        <f t="shared" si="246"/>
        <v/>
      </c>
      <c r="BJ371" s="129">
        <f t="shared" si="247"/>
        <v/>
      </c>
      <c r="BK371" s="129">
        <f>IF(R371="","",IF(OR(BY371="",BY371=0),"BOX",IFERROR(IF(VLOOKUP(BY371,УГО_блоки,3,FALSE)&amp;""&lt;&gt;"",VLOOKUP(BY371,УГО_блоки,3,FALSE),VLOOKUP(BY371,УГО_блоки,2,FALSE)),BY371)))</f>
      </c>
      <c r="BL371" s="129">
        <f t="shared" si="249"/>
      </c>
      <c r="BM371" s="129">
        <f>IF(H371="","",IF(COUNTIF($H$3:H371,H371)=1,MAX($BM$2:BM370)+1,""))</f>
      </c>
      <c r="BN371" s="129">
        <f>IF(I371="","",IF(COUNTIF($I$3:I371,I371)+COUNTIF($J$2:J370,I371)+COUNTIF($K$2:K370,I371)=1,MAX($BN$2:BP370)+1,""))</f>
      </c>
      <c r="BO371" s="129">
        <f>IF(J371="","",IF(COUNTIF($I$3:I371,J371)+COUNTIF($J$3:J371,J371)+COUNTIF($K$2:K370,J371)=1,MAX($BN$2:BP370,BN371)+1,""))</f>
      </c>
      <c r="BP371" s="129">
        <f>IF(K371="","",IF(COUNTIF($I$3:I371,K371)+COUNTIF($J$3:J371,K371)+COUNTIF($K$3:K371,K371)=1,MAX($BN$2:BP370,BN371,BO371)+1,""))</f>
      </c>
      <c r="BQ371" s="129">
        <f>IF(AY371=1,IFERROR(MID(Q371,FIND(" (",Q371)+2,FIND(")",Q371,FIND(" (",Q371))-FIND(" (",Q371)-2),"?"),"")</f>
      </c>
      <c r="BR371" s="129">
        <f>IF(BQ371="","",IF(COUNTIF($BQ$3:BQ371,BQ371)=1,MAX($BR$2:BR370)+1,""))</f>
      </c>
      <c r="BS371" s="129">
        <f>IF(AW371="","",COUNTIF($AW$3:AW371,"?*"))</f>
      </c>
      <c r="BT371" s="129">
        <f>IF(OR(AW371="",AI371=""),"",IF(COUNTIFS($AW$3:AW371,"?*",$AI$3:AI371,AI371)=1,MAX($BT$2:BT370)+1,""))</f>
      </c>
      <c r="BU371" s="129">
        <f>IF(AE371="",0,IF(OR(ISNUMBER(SEARCH("дубль",AE371)),ISNUMBER(SEARCH("ПЕРЕГРУЗ",AE371)),ISNUMBER(SEARCH("ЗАЩИЩ",AE371)),ISNUMBER(SEARCH("КАНАЛ",AE371)),ISNUMBER(SEARCH("без 30",AE371))),2,1))</f>
      </c>
      <c r="BV371" s="129">
        <f>IF(R371="","",COUNTIF($R$3:R371,"?*"))</f>
      </c>
      <c r="BW371" s="129">
        <f>IF(AY371&lt;&gt;1,0,IF(MAX(IFERROR(--VLOOKUP(R371,УГО_спр,5,FALSE),0),IFERROR(--VLOOKUP(AL371,УГО_спр,5,FALSE),0),IFERROR(--VLOOKUP(LEFT(AL371,2),УГО_спр,5,FALSE),0))&gt;0,MAX(IFERROR(--VLOOKUP(R371,УГО_спр,5,FALSE),0),IFERROR(--VLOOKUP(AL371,УГО_спр,5,FALSE),0),IFERROR(--VLOOKUP(LEFT(AL371,2),УГО_спр,5,FALSE),0)),IF(IFERROR(--LEFT(SUBSTITUTE(BQ371,"x","х"),FIND("х",SUBSTITUTE(BQ371,"x","х"))-1),3)&gt;3,Каталог!$S$9,1)))</f>
      </c>
      <c r="BX371" s="129">
        <f>IF(AY371&lt;&gt;1,0,MAX(0,IFERROR(--LEFT(SUBSTITUTE(BQ371,"x","х"),FIND("х",SUBSTITUTE(BQ371,"x","х"))-1),3)-3*BW371))</f>
      </c>
      <c r="BY371" s="129">
        <f>IF(R371="","",IFERROR(VLOOKUP(R371,УГО_спр,2,FALSE),IFERROR(VLOOKUP(AL371,УГО_спр,2,FALSE),IFERROR(VLOOKUP(LEFT(AL371,2),УГО_спр,2,FALSE),""))))</f>
      </c>
    </row>
    <row r="372" spans="1:64" x14ac:dyDescent="0.3">
      <c r="A372" s="135">
        <f>IF(Разбивка_по_щитам!F372=0,"",Разбивка_по_щитам!F372)</f>
      </c>
      <c r="B372" s="138">
        <f>IF(A372="","",Разбивка_по_щитам!C372)</f>
      </c>
      <c r="C372" s="138">
        <f t="shared" si="214"/>
      </c>
      <c r="D372" s="266"/>
      <c r="E372" s="266"/>
      <c r="F372" s="267"/>
      <c r="G372" s="145">
        <f t="shared" si="250"/>
        <v/>
      </c>
      <c r="H372" s="145">
        <f t="shared" si="251"/>
        <v/>
      </c>
      <c r="I372" s="266"/>
      <c r="J372" s="267"/>
      <c r="K372" s="267"/>
      <c r="L372" s="266"/>
      <c r="M372" s="147">
        <f t="shared" si="252"/>
        <v/>
      </c>
      <c r="N372" s="267"/>
      <c r="O372" s="147">
        <f t="shared" si="253"/>
        <v/>
      </c>
      <c r="P372" s="268">
        <f>IF(AY372=1,"XT"&amp;COUNTIFS($A$3:A372,A372,$AY$3:AY372,1),"")</f>
        <v/>
      </c>
      <c r="Q372" s="152">
        <f>IF(R372="","",IFERROR(SUBSTITUTE(Разбивка_по_щитам!P372,CHAR(10)," "),""))</f>
        <v/>
      </c>
      <c r="R372" s="153">
        <f>IF(OR(Разбивка_по_щитам!H372="",Разбивка_по_щитам!H372=0),"",Разбивка_по_щитам!H372)</f>
        <v/>
      </c>
      <c r="S372" s="154">
        <f>IF(R372="","",IFERROR(Разбивка_по_щитам!J372&amp;"",""))</f>
        <v/>
      </c>
      <c r="T372" s="155">
        <f>IF(R372="","",IFERROR(--Разбивка_по_щитам!L372,""))</f>
        <v/>
      </c>
      <c r="U372" s="155">
        <f>IF(R372="","",IFERROR(--Разбивка_по_щитам!K372,""))</f>
        <v/>
      </c>
      <c r="V372" s="138">
        <f>IF(R372="","",IFERROR(IF(Разбивка_по_щитам!M372=0,"",Разбивка_по_щитам!M372),""))</f>
        <v/>
      </c>
      <c r="W372" s="156">
        <f t="shared" si="215"/>
        <v/>
      </c>
      <c r="X372" s="157">
        <f t="shared" si="216"/>
        <v/>
      </c>
      <c r="Y372" s="266"/>
      <c r="Z372" s="158">
        <f t="shared" si="217"/>
        <v/>
      </c>
      <c r="AA372" s="160">
        <f t="shared" si="218"/>
        <v/>
      </c>
      <c r="AB372" s="160">
        <f>IF(R372="","",IFERROR(LOOKUP(INDEX(Справочная!$I$4:$I$19,MATCH(VLOOKUP(R372,Исходные_данные,22,FALSE),Справочная!$J$4:$J$19,0)+1),{6,10,16,20,25,32,40,50,63,80,100,125}),""))</f>
        <v/>
      </c>
      <c r="AC372" s="160">
        <f t="shared" si="219"/>
        <v/>
      </c>
      <c r="AD372" s="161">
        <f t="shared" si="220"/>
        <v/>
      </c>
      <c r="AE372" s="161">
        <f>IF(AND(R372="",G372=""),"",_xlfn.TEXTJOIN("; ",TRUE,IF(AND(R372&lt;&gt;"",V372=""),"нет фазы",""),IF(AND(R372&lt;&gt;"",N(T372)=0),"нет мощности",""),IF(AND(P372&lt;&gt;"",COUNTIFS($A$3:$A$1000,A372,$P$3:$P$1000,P372)&gt;1),"дубль клеммы "&amp;P372,""),IF(AND(W372&lt;&gt;"",W372&lt;&gt;"ok"),W372,""),IF(X372&lt;&gt;"",X372,""),IF(AND(ISNUMBER(SEARCH("(5х",Q372)),N(AK372)=1),"5 жил на 1 фазе",""),IF(AND(AL372="R",E372&lt;&gt;"",N(AS372)=0),"розетка без 30 мА",""),IF(IFERROR(_xlfn.NUMBERVALUE(MID(Q372,FIND("-",Q372,FIND("L=",Q372))+1,FIND("%",Q372)-FIND("-",Q372,FIND("L=",Q372))-1),","),0)&gt;4,"потери &gt; 4 %","")))</f>
      </c>
      <c r="AF372" s="129">
        <f>IF(E372&lt;&gt;"",COUNTIFS($A$3:A372,A372,$E$3:E372,"?*"),IF(OR(A372&lt;&gt;A371,Y372="вручную"),"",AF371))</f>
      </c>
      <c r="AG372" s="129">
        <f t="shared" si="221"/>
      </c>
      <c r="AH372" s="129">
        <f t="shared" si="222"/>
        <v/>
      </c>
      <c r="AI372" s="129">
        <f t="shared" si="223"/>
        <v/>
      </c>
      <c r="AJ372" s="129">
        <f t="shared" si="224"/>
        <v/>
      </c>
      <c r="AK372" s="129">
        <f t="shared" si="225"/>
        <v/>
      </c>
      <c r="AL372" s="129">
        <f t="shared" si="226"/>
        <v/>
      </c>
      <c r="AM372" s="129">
        <f t="shared" si="227"/>
      </c>
      <c r="AN372" s="129">
        <f t="shared" si="228"/>
      </c>
      <c r="AO372" s="129">
        <f t="shared" si="229"/>
        <v/>
      </c>
      <c r="AP372" s="129">
        <f t="shared" si="230"/>
        <v/>
      </c>
      <c r="AQ372" s="129">
        <f t="shared" si="231"/>
        <v/>
      </c>
      <c r="AR372" s="129">
        <f t="shared" si="232"/>
        <v/>
      </c>
      <c r="AS372" s="129">
        <f t="shared" si="233"/>
        <v/>
      </c>
      <c r="AT372" s="129">
        <f t="shared" si="234"/>
        <v/>
      </c>
      <c r="AU372" s="129">
        <f t="shared" si="235"/>
        <v/>
      </c>
      <c r="AV372" s="129">
        <f t="shared" si="236"/>
        <v/>
      </c>
      <c r="AW372" s="129">
        <f>IF(AV372="","",AV372&amp;"."&amp;COUNTIFS($A$3:A372,A372,$AV$3:AV372,AV372))</f>
        <v/>
      </c>
      <c r="AX372" s="129">
        <f t="shared" si="237"/>
        <v/>
      </c>
      <c r="AY372" s="129">
        <f>IF(N372="б/к",0,IF(OR(ISNUMBER(SEARCH("L=",Разбивка_по_щитам!P372)),N372="+",N372="="),1,0))</f>
      </c>
      <c r="AZ372" s="129">
        <f t="shared" si="238"/>
      </c>
      <c r="BA372" s="129">
        <f t="shared" si="239"/>
      </c>
      <c r="BB372" s="129">
        <f t="shared" si="240"/>
      </c>
      <c r="BD372" s="129">
        <f t="shared" si="241"/>
      </c>
      <c r="BE372" s="129">
        <f t="shared" si="242"/>
      </c>
      <c r="BF372" s="129">
        <f t="shared" si="243"/>
      </c>
      <c r="BG372" s="129">
        <f t="shared" si="244"/>
        <v/>
      </c>
      <c r="BH372" s="129">
        <f t="shared" si="245"/>
        <v/>
      </c>
      <c r="BI372" s="129">
        <f t="shared" si="246"/>
        <v/>
      </c>
      <c r="BJ372" s="129">
        <f t="shared" si="247"/>
        <v/>
      </c>
      <c r="BK372" s="129">
        <f>IF(R372="","",IF(OR(BY372="",BY372=0),"BOX",IFERROR(IF(VLOOKUP(BY372,УГО_блоки,3,FALSE)&amp;""&lt;&gt;"",VLOOKUP(BY372,УГО_блоки,3,FALSE),VLOOKUP(BY372,УГО_блоки,2,FALSE)),BY372)))</f>
      </c>
      <c r="BL372" s="129">
        <f t="shared" si="249"/>
      </c>
      <c r="BM372" s="129">
        <f>IF(H372="","",IF(COUNTIF($H$3:H372,H372)=1,MAX($BM$2:BM371)+1,""))</f>
      </c>
      <c r="BN372" s="129">
        <f>IF(I372="","",IF(COUNTIF($I$3:I372,I372)+COUNTIF($J$2:J371,I372)+COUNTIF($K$2:K371,I372)=1,MAX($BN$2:BP371)+1,""))</f>
      </c>
      <c r="BO372" s="129">
        <f>IF(J372="","",IF(COUNTIF($I$3:I372,J372)+COUNTIF($J$3:J372,J372)+COUNTIF($K$2:K371,J372)=1,MAX($BN$2:BP371,BN372)+1,""))</f>
      </c>
      <c r="BP372" s="129">
        <f>IF(K372="","",IF(COUNTIF($I$3:I372,K372)+COUNTIF($J$3:J372,K372)+COUNTIF($K$3:K372,K372)=1,MAX($BN$2:BP371,BN372,BO372)+1,""))</f>
      </c>
      <c r="BQ372" s="129">
        <f>IF(AY372=1,IFERROR(MID(Q372,FIND(" (",Q372)+2,FIND(")",Q372,FIND(" (",Q372))-FIND(" (",Q372)-2),"?"),"")</f>
      </c>
      <c r="BR372" s="129">
        <f>IF(BQ372="","",IF(COUNTIF($BQ$3:BQ372,BQ372)=1,MAX($BR$2:BR371)+1,""))</f>
      </c>
      <c r="BS372" s="129">
        <f>IF(AW372="","",COUNTIF($AW$3:AW372,"?*"))</f>
      </c>
      <c r="BT372" s="129">
        <f>IF(OR(AW372="",AI372=""),"",IF(COUNTIFS($AW$3:AW372,"?*",$AI$3:AI372,AI372)=1,MAX($BT$2:BT371)+1,""))</f>
      </c>
      <c r="BU372" s="129">
        <f>IF(AE372="",0,IF(OR(ISNUMBER(SEARCH("дубль",AE372)),ISNUMBER(SEARCH("ПЕРЕГРУЗ",AE372)),ISNUMBER(SEARCH("ЗАЩИЩ",AE372)),ISNUMBER(SEARCH("КАНАЛ",AE372)),ISNUMBER(SEARCH("без 30",AE372))),2,1))</f>
      </c>
      <c r="BV372" s="129">
        <f>IF(R372="","",COUNTIF($R$3:R372,"?*"))</f>
      </c>
      <c r="BW372" s="129">
        <f>IF(AY372&lt;&gt;1,0,IF(MAX(IFERROR(--VLOOKUP(R372,УГО_спр,5,FALSE),0),IFERROR(--VLOOKUP(AL372,УГО_спр,5,FALSE),0),IFERROR(--VLOOKUP(LEFT(AL372,2),УГО_спр,5,FALSE),0))&gt;0,MAX(IFERROR(--VLOOKUP(R372,УГО_спр,5,FALSE),0),IFERROR(--VLOOKUP(AL372,УГО_спр,5,FALSE),0),IFERROR(--VLOOKUP(LEFT(AL372,2),УГО_спр,5,FALSE),0)),IF(IFERROR(--LEFT(SUBSTITUTE(BQ372,"x","х"),FIND("х",SUBSTITUTE(BQ372,"x","х"))-1),3)&gt;3,Каталог!$S$9,1)))</f>
      </c>
      <c r="BX372" s="129">
        <f>IF(AY372&lt;&gt;1,0,MAX(0,IFERROR(--LEFT(SUBSTITUTE(BQ372,"x","х"),FIND("х",SUBSTITUTE(BQ372,"x","х"))-1),3)-3*BW372))</f>
      </c>
      <c r="BY372" s="129">
        <f>IF(R372="","",IFERROR(VLOOKUP(R372,УГО_спр,2,FALSE),IFERROR(VLOOKUP(AL372,УГО_спр,2,FALSE),IFERROR(VLOOKUP(LEFT(AL372,2),УГО_спр,2,FALSE),""))))</f>
      </c>
    </row>
    <row r="373" spans="1:64" x14ac:dyDescent="0.3">
      <c r="A373" s="135">
        <f>IF(Разбивка_по_щитам!F373=0,"",Разбивка_по_щитам!F373)</f>
      </c>
      <c r="B373" s="138">
        <f>IF(A373="","",Разбивка_по_щитам!C373)</f>
      </c>
      <c r="C373" s="138">
        <f t="shared" si="214"/>
      </c>
      <c r="D373" s="266"/>
      <c r="E373" s="266"/>
      <c r="F373" s="267"/>
      <c r="G373" s="145">
        <f t="shared" si="250"/>
        <v/>
      </c>
      <c r="H373" s="145">
        <f t="shared" si="251"/>
        <v/>
      </c>
      <c r="I373" s="266"/>
      <c r="J373" s="267"/>
      <c r="K373" s="267"/>
      <c r="L373" s="266"/>
      <c r="M373" s="147">
        <f t="shared" si="252"/>
        <v/>
      </c>
      <c r="N373" s="267"/>
      <c r="O373" s="147">
        <f t="shared" si="253"/>
        <v/>
      </c>
      <c r="P373" s="268">
        <f>IF(AY373=1,"XT"&amp;COUNTIFS($A$3:A373,A373,$AY$3:AY373,1),"")</f>
        <v/>
      </c>
      <c r="Q373" s="152">
        <f>IF(R373="","",IFERROR(SUBSTITUTE(Разбивка_по_щитам!P373,CHAR(10)," "),""))</f>
        <v/>
      </c>
      <c r="R373" s="153">
        <f>IF(OR(Разбивка_по_щитам!H373="",Разбивка_по_щитам!H373=0),"",Разбивка_по_щитам!H373)</f>
        <v/>
      </c>
      <c r="S373" s="154">
        <f>IF(R373="","",IFERROR(Разбивка_по_щитам!J373&amp;"",""))</f>
        <v/>
      </c>
      <c r="T373" s="155">
        <f>IF(R373="","",IFERROR(--Разбивка_по_щитам!L373,""))</f>
        <v/>
      </c>
      <c r="U373" s="155">
        <f>IF(R373="","",IFERROR(--Разбивка_по_щитам!K373,""))</f>
        <v/>
      </c>
      <c r="V373" s="138">
        <f>IF(R373="","",IFERROR(IF(Разбивка_по_щитам!M373=0,"",Разбивка_по_щитам!M373),""))</f>
        <v/>
      </c>
      <c r="W373" s="156">
        <f t="shared" si="215"/>
        <v/>
      </c>
      <c r="X373" s="157">
        <f t="shared" si="216"/>
        <v/>
      </c>
      <c r="Y373" s="266"/>
      <c r="Z373" s="158">
        <f t="shared" si="217"/>
        <v/>
      </c>
      <c r="AA373" s="160">
        <f t="shared" si="218"/>
        <v/>
      </c>
      <c r="AB373" s="160">
        <f>IF(R373="","",IFERROR(LOOKUP(INDEX(Справочная!$I$4:$I$19,MATCH(VLOOKUP(R373,Исходные_данные,22,FALSE),Справочная!$J$4:$J$19,0)+1),{6,10,16,20,25,32,40,50,63,80,100,125}),""))</f>
        <v/>
      </c>
      <c r="AC373" s="160">
        <f t="shared" si="219"/>
        <v/>
      </c>
      <c r="AD373" s="161">
        <f t="shared" si="220"/>
        <v/>
      </c>
      <c r="AE373" s="161">
        <f>IF(AND(R373="",G373=""),"",_xlfn.TEXTJOIN("; ",TRUE,IF(AND(R373&lt;&gt;"",V373=""),"нет фазы",""),IF(AND(R373&lt;&gt;"",N(T373)=0),"нет мощности",""),IF(AND(P373&lt;&gt;"",COUNTIFS($A$3:$A$1000,A373,$P$3:$P$1000,P373)&gt;1),"дубль клеммы "&amp;P373,""),IF(AND(W373&lt;&gt;"",W373&lt;&gt;"ok"),W373,""),IF(X373&lt;&gt;"",X373,""),IF(AND(ISNUMBER(SEARCH("(5х",Q373)),N(AK373)=1),"5 жил на 1 фазе",""),IF(AND(AL373="R",E373&lt;&gt;"",N(AS373)=0),"розетка без 30 мА",""),IF(IFERROR(_xlfn.NUMBERVALUE(MID(Q373,FIND("-",Q373,FIND("L=",Q373))+1,FIND("%",Q373)-FIND("-",Q373,FIND("L=",Q373))-1),","),0)&gt;4,"потери &gt; 4 %","")))</f>
      </c>
      <c r="AF373" s="129">
        <f>IF(E373&lt;&gt;"",COUNTIFS($A$3:A373,A373,$E$3:E373,"?*"),IF(OR(A373&lt;&gt;A372,Y373="вручную"),"",AF372))</f>
      </c>
      <c r="AG373" s="129">
        <f t="shared" si="221"/>
      </c>
      <c r="AH373" s="129">
        <f t="shared" si="222"/>
        <v/>
      </c>
      <c r="AI373" s="129">
        <f t="shared" si="223"/>
        <v/>
      </c>
      <c r="AJ373" s="129">
        <f t="shared" si="224"/>
        <v/>
      </c>
      <c r="AK373" s="129">
        <f t="shared" si="225"/>
        <v/>
      </c>
      <c r="AL373" s="129">
        <f t="shared" si="226"/>
        <v/>
      </c>
      <c r="AM373" s="129">
        <f t="shared" si="227"/>
      </c>
      <c r="AN373" s="129">
        <f t="shared" si="228"/>
      </c>
      <c r="AO373" s="129">
        <f t="shared" si="229"/>
        <v/>
      </c>
      <c r="AP373" s="129">
        <f t="shared" si="230"/>
        <v/>
      </c>
      <c r="AQ373" s="129">
        <f t="shared" si="231"/>
        <v/>
      </c>
      <c r="AR373" s="129">
        <f t="shared" si="232"/>
        <v/>
      </c>
      <c r="AS373" s="129">
        <f t="shared" si="233"/>
        <v/>
      </c>
      <c r="AT373" s="129">
        <f t="shared" si="234"/>
        <v/>
      </c>
      <c r="AU373" s="129">
        <f t="shared" si="235"/>
        <v/>
      </c>
      <c r="AV373" s="129">
        <f t="shared" si="236"/>
        <v/>
      </c>
      <c r="AW373" s="129">
        <f>IF(AV373="","",AV373&amp;"."&amp;COUNTIFS($A$3:A373,A373,$AV$3:AV373,AV373))</f>
        <v/>
      </c>
      <c r="AX373" s="129">
        <f t="shared" si="237"/>
        <v/>
      </c>
      <c r="AY373" s="129">
        <f>IF(N373="б/к",0,IF(OR(ISNUMBER(SEARCH("L=",Разбивка_по_щитам!P373)),N373="+",N373="="),1,0))</f>
      </c>
      <c r="AZ373" s="129">
        <f t="shared" si="238"/>
      </c>
      <c r="BA373" s="129">
        <f t="shared" si="239"/>
      </c>
      <c r="BB373" s="129">
        <f t="shared" si="240"/>
      </c>
      <c r="BD373" s="129">
        <f t="shared" si="241"/>
      </c>
      <c r="BE373" s="129">
        <f t="shared" si="242"/>
      </c>
      <c r="BF373" s="129">
        <f t="shared" si="243"/>
      </c>
      <c r="BG373" s="129">
        <f t="shared" si="244"/>
        <v/>
      </c>
      <c r="BH373" s="129">
        <f t="shared" si="245"/>
        <v/>
      </c>
      <c r="BI373" s="129">
        <f t="shared" si="246"/>
        <v/>
      </c>
      <c r="BJ373" s="129">
        <f t="shared" si="247"/>
        <v/>
      </c>
      <c r="BK373" s="129">
        <f>IF(R373="","",IF(OR(BY373="",BY373=0),"BOX",IFERROR(IF(VLOOKUP(BY373,УГО_блоки,3,FALSE)&amp;""&lt;&gt;"",VLOOKUP(BY373,УГО_блоки,3,FALSE),VLOOKUP(BY373,УГО_блоки,2,FALSE)),BY373)))</f>
      </c>
      <c r="BL373" s="129">
        <f t="shared" si="249"/>
      </c>
      <c r="BM373" s="129">
        <f>IF(H373="","",IF(COUNTIF($H$3:H373,H373)=1,MAX($BM$2:BM372)+1,""))</f>
      </c>
      <c r="BN373" s="129">
        <f>IF(I373="","",IF(COUNTIF($I$3:I373,I373)+COUNTIF($J$2:J372,I373)+COUNTIF($K$2:K372,I373)=1,MAX($BN$2:BP372)+1,""))</f>
      </c>
      <c r="BO373" s="129">
        <f>IF(J373="","",IF(COUNTIF($I$3:I373,J373)+COUNTIF($J$3:J373,J373)+COUNTIF($K$2:K372,J373)=1,MAX($BN$2:BP372,BN373)+1,""))</f>
      </c>
      <c r="BP373" s="129">
        <f>IF(K373="","",IF(COUNTIF($I$3:I373,K373)+COUNTIF($J$3:J373,K373)+COUNTIF($K$3:K373,K373)=1,MAX($BN$2:BP372,BN373,BO373)+1,""))</f>
      </c>
      <c r="BQ373" s="129">
        <f>IF(AY373=1,IFERROR(MID(Q373,FIND(" (",Q373)+2,FIND(")",Q373,FIND(" (",Q373))-FIND(" (",Q373)-2),"?"),"")</f>
      </c>
      <c r="BR373" s="129">
        <f>IF(BQ373="","",IF(COUNTIF($BQ$3:BQ373,BQ373)=1,MAX($BR$2:BR372)+1,""))</f>
      </c>
      <c r="BS373" s="129">
        <f>IF(AW373="","",COUNTIF($AW$3:AW373,"?*"))</f>
      </c>
      <c r="BT373" s="129">
        <f>IF(OR(AW373="",AI373=""),"",IF(COUNTIFS($AW$3:AW373,"?*",$AI$3:AI373,AI373)=1,MAX($BT$2:BT372)+1,""))</f>
      </c>
      <c r="BU373" s="129">
        <f>IF(AE373="",0,IF(OR(ISNUMBER(SEARCH("дубль",AE373)),ISNUMBER(SEARCH("ПЕРЕГРУЗ",AE373)),ISNUMBER(SEARCH("ЗАЩИЩ",AE373)),ISNUMBER(SEARCH("КАНАЛ",AE373)),ISNUMBER(SEARCH("без 30",AE373))),2,1))</f>
      </c>
      <c r="BV373" s="129">
        <f>IF(R373="","",COUNTIF($R$3:R373,"?*"))</f>
      </c>
      <c r="BW373" s="129">
        <f>IF(AY373&lt;&gt;1,0,IF(MAX(IFERROR(--VLOOKUP(R373,УГО_спр,5,FALSE),0),IFERROR(--VLOOKUP(AL373,УГО_спр,5,FALSE),0),IFERROR(--VLOOKUP(LEFT(AL373,2),УГО_спр,5,FALSE),0))&gt;0,MAX(IFERROR(--VLOOKUP(R373,УГО_спр,5,FALSE),0),IFERROR(--VLOOKUP(AL373,УГО_спр,5,FALSE),0),IFERROR(--VLOOKUP(LEFT(AL373,2),УГО_спр,5,FALSE),0)),IF(IFERROR(--LEFT(SUBSTITUTE(BQ373,"x","х"),FIND("х",SUBSTITUTE(BQ373,"x","х"))-1),3)&gt;3,Каталог!$S$9,1)))</f>
      </c>
      <c r="BX373" s="129">
        <f>IF(AY373&lt;&gt;1,0,MAX(0,IFERROR(--LEFT(SUBSTITUTE(BQ373,"x","х"),FIND("х",SUBSTITUTE(BQ373,"x","х"))-1),3)-3*BW373))</f>
      </c>
      <c r="BY373" s="129">
        <f>IF(R373="","",IFERROR(VLOOKUP(R373,УГО_спр,2,FALSE),IFERROR(VLOOKUP(AL373,УГО_спр,2,FALSE),IFERROR(VLOOKUP(LEFT(AL373,2),УГО_спр,2,FALSE),""))))</f>
      </c>
    </row>
    <row r="374" spans="1:64" x14ac:dyDescent="0.3">
      <c r="A374" s="135">
        <f>IF(Разбивка_по_щитам!F374=0,"",Разбивка_по_щитам!F374)</f>
      </c>
      <c r="B374" s="138">
        <f>IF(A374="","",Разбивка_по_щитам!C374)</f>
      </c>
      <c r="C374" s="138">
        <f t="shared" si="214"/>
      </c>
      <c r="D374" s="266"/>
      <c r="E374" s="266"/>
      <c r="F374" s="267"/>
      <c r="G374" s="145">
        <f t="shared" ref="G374:G405" si="254">IF(OR(R374&lt;&gt;"",O374&lt;&gt;"",AY374=1),AG374,"")</f>
        <v/>
      </c>
      <c r="H374" s="145">
        <f t="shared" ref="H374:H405" si="255">IF(E374="","",IF(AND(E374&lt;&gt;"авто",E374&lt;&gt;"+"),E374,AT374&amp;" С"&amp;AQ374&amp;"А"&amp;IF(AS374=1," 30мА","")))</f>
        <v/>
      </c>
      <c r="I374" s="266"/>
      <c r="J374" s="267"/>
      <c r="K374" s="267"/>
      <c r="L374" s="266"/>
      <c r="M374" s="147">
        <f t="shared" ref="M374:M405" si="256">IF(OR(O374&lt;&gt;"",AND(L374&lt;&gt;"",L374&lt;&gt;"-")),AH374,"")</f>
        <v/>
      </c>
      <c r="N374" s="267"/>
      <c r="O374" s="147">
        <f t="shared" ref="O374:O405" si="257">IF(N374="=",AX373,IF(ISNUMBER(N374),N374,IF(AH374="","",IF(OR(R374&lt;&gt;"",N374="+",N374="р"),IF(OR(AW374&lt;&gt;"",AX373=""),1,AX373+1),""))))</f>
        <v/>
      </c>
      <c r="P374" s="268">
        <f>IF(AY374=1,"XT"&amp;COUNTIFS($A$3:A374,A374,$AY$3:AY374,1),"")</f>
        <v/>
      </c>
      <c r="Q374" s="152">
        <f>IF(R374="","",IFERROR(SUBSTITUTE(Разбивка_по_щитам!P374,CHAR(10)," "),""))</f>
        <v/>
      </c>
      <c r="R374" s="153">
        <f>IF(OR(Разбивка_по_щитам!H374="",Разбивка_по_щитам!H374=0),"",Разбивка_по_щитам!H374)</f>
        <v/>
      </c>
      <c r="S374" s="154">
        <f>IF(R374="","",IFERROR(Разбивка_по_щитам!J374&amp;"",""))</f>
        <v/>
      </c>
      <c r="T374" s="155">
        <f>IF(R374="","",IFERROR(--Разбивка_по_щитам!L374,""))</f>
        <v/>
      </c>
      <c r="U374" s="155">
        <f>IF(R374="","",IFERROR(--Разбивка_по_щитам!K374,""))</f>
        <v/>
      </c>
      <c r="V374" s="138">
        <f>IF(R374="","",IFERROR(IF(Разбивка_по_щитам!M374=0,"",Разбивка_по_щитам!M374),""))</f>
        <v/>
      </c>
      <c r="W374" s="156">
        <f t="shared" si="215"/>
        <v/>
      </c>
      <c r="X374" s="157">
        <f t="shared" si="216"/>
        <v/>
      </c>
      <c r="Y374" s="266"/>
      <c r="Z374" s="158">
        <f t="shared" si="217"/>
        <v/>
      </c>
      <c r="AA374" s="160">
        <f t="shared" si="218"/>
        <v/>
      </c>
      <c r="AB374" s="160">
        <f>IF(R374="","",IFERROR(LOOKUP(INDEX(Справочная!$I$4:$I$19,MATCH(VLOOKUP(R374,Исходные_данные,22,FALSE),Справочная!$J$4:$J$19,0)+1),{6,10,16,20,25,32,40,50,63,80,100,125}),""))</f>
        <v/>
      </c>
      <c r="AC374" s="160">
        <f t="shared" si="219"/>
        <v/>
      </c>
      <c r="AD374" s="161">
        <f t="shared" si="220"/>
        <v/>
      </c>
      <c r="AE374" s="161">
        <f>IF(AND(R374="",G374=""),"",_xlfn.TEXTJOIN("; ",TRUE,IF(AND(R374&lt;&gt;"",V374=""),"нет фазы",""),IF(AND(R374&lt;&gt;"",N(T374)=0),"нет мощности",""),IF(AND(P374&lt;&gt;"",COUNTIFS($A$3:$A$1000,A374,$P$3:$P$1000,P374)&gt;1),"дубль клеммы "&amp;P374,""),IF(AND(W374&lt;&gt;"",W374&lt;&gt;"ok"),W374,""),IF(X374&lt;&gt;"",X374,""),IF(AND(ISNUMBER(SEARCH("(5х",Q374)),N(AK374)=1),"5 жил на 1 фазе",""),IF(AND(AL374="R",E374&lt;&gt;"",N(AS374)=0),"розетка без 30 мА",""),IF(IFERROR(_xlfn.NUMBERVALUE(MID(Q374,FIND("-",Q374,FIND("L=",Q374))+1,FIND("%",Q374)-FIND("-",Q374,FIND("L=",Q374))-1),","),0)&gt;4,"потери &gt; 4 %","")))</f>
      </c>
      <c r="AF374" s="129">
        <f>IF(E374&lt;&gt;"",COUNTIFS($A$3:A374,A374,$E$3:E374,"?*"),IF(OR(A374&lt;&gt;A373,Y374="вручную"),"",AF373))</f>
      </c>
      <c r="AG374" s="129">
        <f t="shared" si="221"/>
      </c>
      <c r="AH374" s="129">
        <f t="shared" si="222"/>
        <v/>
      </c>
      <c r="AI374" s="129">
        <f t="shared" si="223"/>
        <v/>
      </c>
      <c r="AJ374" s="129">
        <f t="shared" si="224"/>
        <v/>
      </c>
      <c r="AK374" s="129">
        <f t="shared" si="225"/>
        <v/>
      </c>
      <c r="AL374" s="129">
        <f t="shared" si="226"/>
        <v/>
      </c>
      <c r="AM374" s="129">
        <f t="shared" si="227"/>
      </c>
      <c r="AN374" s="129">
        <f t="shared" si="228"/>
      </c>
      <c r="AO374" s="129">
        <f t="shared" si="229"/>
        <v/>
      </c>
      <c r="AP374" s="129">
        <f t="shared" si="230"/>
        <v/>
      </c>
      <c r="AQ374" s="129">
        <f t="shared" si="231"/>
        <v/>
      </c>
      <c r="AR374" s="129">
        <f t="shared" si="232"/>
        <v/>
      </c>
      <c r="AS374" s="129">
        <f t="shared" si="233"/>
        <v/>
      </c>
      <c r="AT374" s="129">
        <f t="shared" si="234"/>
        <v/>
      </c>
      <c r="AU374" s="129">
        <f t="shared" si="235"/>
        <v/>
      </c>
      <c r="AV374" s="129">
        <f t="shared" si="236"/>
        <v/>
      </c>
      <c r="AW374" s="129">
        <f>IF(AV374="","",AV374&amp;"."&amp;COUNTIFS($A$3:A374,A374,$AV$3:AV374,AV374))</f>
        <v/>
      </c>
      <c r="AX374" s="129">
        <f t="shared" si="237"/>
        <v/>
      </c>
      <c r="AY374" s="129">
        <f>IF(N374="б/к",0,IF(OR(ISNUMBER(SEARCH("L=",Разбивка_по_щитам!P374)),N374="+",N374="="),1,0))</f>
      </c>
      <c r="AZ374" s="129">
        <f t="shared" si="238"/>
      </c>
      <c r="BA374" s="129">
        <f t="shared" si="239"/>
      </c>
      <c r="BB374" s="129">
        <f t="shared" si="240"/>
      </c>
      <c r="BD374" s="129">
        <f t="shared" si="241"/>
      </c>
      <c r="BE374" s="129">
        <f t="shared" si="242"/>
      </c>
      <c r="BF374" s="129">
        <f t="shared" si="243"/>
      </c>
      <c r="BG374" s="129">
        <f t="shared" si="244"/>
        <v/>
      </c>
      <c r="BH374" s="129">
        <f t="shared" si="245"/>
        <v/>
      </c>
      <c r="BI374" s="129">
        <f t="shared" si="246"/>
        <v/>
      </c>
      <c r="BJ374" s="129">
        <f t="shared" si="247"/>
        <v/>
      </c>
      <c r="BK374" s="129">
        <f>IF(R374="","",IF(OR(BY374="",BY374=0),"BOX",IFERROR(IF(VLOOKUP(BY374,УГО_блоки,3,FALSE)&amp;""&lt;&gt;"",VLOOKUP(BY374,УГО_блоки,3,FALSE),VLOOKUP(BY374,УГО_блоки,2,FALSE)),BY374)))</f>
      </c>
      <c r="BL374" s="129">
        <f t="shared" si="249"/>
      </c>
      <c r="BM374" s="129">
        <f>IF(H374="","",IF(COUNTIF($H$3:H374,H374)=1,MAX($BM$2:BM373)+1,""))</f>
      </c>
      <c r="BN374" s="129">
        <f>IF(I374="","",IF(COUNTIF($I$3:I374,I374)+COUNTIF($J$2:J373,I374)+COUNTIF($K$2:K373,I374)=1,MAX($BN$2:BP373)+1,""))</f>
      </c>
      <c r="BO374" s="129">
        <f>IF(J374="","",IF(COUNTIF($I$3:I374,J374)+COUNTIF($J$3:J374,J374)+COUNTIF($K$2:K373,J374)=1,MAX($BN$2:BP373,BN374)+1,""))</f>
      </c>
      <c r="BP374" s="129">
        <f>IF(K374="","",IF(COUNTIF($I$3:I374,K374)+COUNTIF($J$3:J374,K374)+COUNTIF($K$3:K374,K374)=1,MAX($BN$2:BP373,BN374,BO374)+1,""))</f>
      </c>
      <c r="BQ374" s="129">
        <f>IF(AY374=1,IFERROR(MID(Q374,FIND(" (",Q374)+2,FIND(")",Q374,FIND(" (",Q374))-FIND(" (",Q374)-2),"?"),"")</f>
      </c>
      <c r="BR374" s="129">
        <f>IF(BQ374="","",IF(COUNTIF($BQ$3:BQ374,BQ374)=1,MAX($BR$2:BR373)+1,""))</f>
      </c>
      <c r="BS374" s="129">
        <f>IF(AW374="","",COUNTIF($AW$3:AW374,"?*"))</f>
      </c>
      <c r="BT374" s="129">
        <f>IF(OR(AW374="",AI374=""),"",IF(COUNTIFS($AW$3:AW374,"?*",$AI$3:AI374,AI374)=1,MAX($BT$2:BT373)+1,""))</f>
      </c>
      <c r="BU374" s="129">
        <f>IF(AE374="",0,IF(OR(ISNUMBER(SEARCH("дубль",AE374)),ISNUMBER(SEARCH("ПЕРЕГРУЗ",AE374)),ISNUMBER(SEARCH("ЗАЩИЩ",AE374)),ISNUMBER(SEARCH("КАНАЛ",AE374)),ISNUMBER(SEARCH("без 30",AE374))),2,1))</f>
      </c>
      <c r="BV374" s="129">
        <f>IF(R374="","",COUNTIF($R$3:R374,"?*"))</f>
      </c>
      <c r="BW374" s="129">
        <f>IF(AY374&lt;&gt;1,0,IF(MAX(IFERROR(--VLOOKUP(R374,УГО_спр,5,FALSE),0),IFERROR(--VLOOKUP(AL374,УГО_спр,5,FALSE),0),IFERROR(--VLOOKUP(LEFT(AL374,2),УГО_спр,5,FALSE),0))&gt;0,MAX(IFERROR(--VLOOKUP(R374,УГО_спр,5,FALSE),0),IFERROR(--VLOOKUP(AL374,УГО_спр,5,FALSE),0),IFERROR(--VLOOKUP(LEFT(AL374,2),УГО_спр,5,FALSE),0)),IF(IFERROR(--LEFT(SUBSTITUTE(BQ374,"x","х"),FIND("х",SUBSTITUTE(BQ374,"x","х"))-1),3)&gt;3,Каталог!$S$9,1)))</f>
      </c>
      <c r="BX374" s="129">
        <f>IF(AY374&lt;&gt;1,0,MAX(0,IFERROR(--LEFT(SUBSTITUTE(BQ374,"x","х"),FIND("х",SUBSTITUTE(BQ374,"x","х"))-1),3)-3*BW374))</f>
      </c>
      <c r="BY374" s="129">
        <f>IF(R374="","",IFERROR(VLOOKUP(R374,УГО_спр,2,FALSE),IFERROR(VLOOKUP(AL374,УГО_спр,2,FALSE),IFERROR(VLOOKUP(LEFT(AL374,2),УГО_спр,2,FALSE),""))))</f>
      </c>
    </row>
    <row r="375" spans="1:64" x14ac:dyDescent="0.3">
      <c r="A375" s="135">
        <f>IF(Разбивка_по_щитам!F375=0,"",Разбивка_по_щитам!F375)</f>
      </c>
      <c r="B375" s="138">
        <f>IF(A375="","",Разбивка_по_щитам!C375)</f>
      </c>
      <c r="C375" s="138">
        <f t="shared" si="214"/>
      </c>
      <c r="D375" s="266"/>
      <c r="E375" s="266"/>
      <c r="F375" s="267"/>
      <c r="G375" s="145">
        <f t="shared" si="254"/>
        <v/>
      </c>
      <c r="H375" s="145">
        <f t="shared" si="255"/>
        <v/>
      </c>
      <c r="I375" s="266"/>
      <c r="J375" s="267"/>
      <c r="K375" s="267"/>
      <c r="L375" s="266"/>
      <c r="M375" s="147">
        <f t="shared" si="256"/>
        <v/>
      </c>
      <c r="N375" s="267"/>
      <c r="O375" s="147">
        <f t="shared" si="257"/>
        <v/>
      </c>
      <c r="P375" s="268">
        <f>IF(AY375=1,"XT"&amp;COUNTIFS($A$3:A375,A375,$AY$3:AY375,1),"")</f>
        <v/>
      </c>
      <c r="Q375" s="152">
        <f>IF(R375="","",IFERROR(SUBSTITUTE(Разбивка_по_щитам!P375,CHAR(10)," "),""))</f>
        <v/>
      </c>
      <c r="R375" s="153">
        <f>IF(OR(Разбивка_по_щитам!H375="",Разбивка_по_щитам!H375=0),"",Разбивка_по_щитам!H375)</f>
        <v/>
      </c>
      <c r="S375" s="154">
        <f>IF(R375="","",IFERROR(Разбивка_по_щитам!J375&amp;"",""))</f>
        <v/>
      </c>
      <c r="T375" s="155">
        <f>IF(R375="","",IFERROR(--Разбивка_по_щитам!L375,""))</f>
        <v/>
      </c>
      <c r="U375" s="155">
        <f>IF(R375="","",IFERROR(--Разбивка_по_щитам!K375,""))</f>
        <v/>
      </c>
      <c r="V375" s="138">
        <f>IF(R375="","",IFERROR(IF(Разбивка_по_щитам!M375=0,"",Разбивка_по_щитам!M375),""))</f>
        <v/>
      </c>
      <c r="W375" s="156">
        <f t="shared" si="215"/>
        <v/>
      </c>
      <c r="X375" s="157">
        <f t="shared" si="216"/>
        <v/>
      </c>
      <c r="Y375" s="266"/>
      <c r="Z375" s="158">
        <f t="shared" si="217"/>
        <v/>
      </c>
      <c r="AA375" s="160">
        <f t="shared" si="218"/>
        <v/>
      </c>
      <c r="AB375" s="160">
        <f>IF(R375="","",IFERROR(LOOKUP(INDEX(Справочная!$I$4:$I$19,MATCH(VLOOKUP(R375,Исходные_данные,22,FALSE),Справочная!$J$4:$J$19,0)+1),{6,10,16,20,25,32,40,50,63,80,100,125}),""))</f>
        <v/>
      </c>
      <c r="AC375" s="160">
        <f t="shared" si="219"/>
        <v/>
      </c>
      <c r="AD375" s="161">
        <f t="shared" si="220"/>
        <v/>
      </c>
      <c r="AE375" s="161">
        <f>IF(AND(R375="",G375=""),"",_xlfn.TEXTJOIN("; ",TRUE,IF(AND(R375&lt;&gt;"",V375=""),"нет фазы",""),IF(AND(R375&lt;&gt;"",N(T375)=0),"нет мощности",""),IF(AND(P375&lt;&gt;"",COUNTIFS($A$3:$A$1000,A375,$P$3:$P$1000,P375)&gt;1),"дубль клеммы "&amp;P375,""),IF(AND(W375&lt;&gt;"",W375&lt;&gt;"ok"),W375,""),IF(X375&lt;&gt;"",X375,""),IF(AND(ISNUMBER(SEARCH("(5х",Q375)),N(AK375)=1),"5 жил на 1 фазе",""),IF(AND(AL375="R",E375&lt;&gt;"",N(AS375)=0),"розетка без 30 мА",""),IF(IFERROR(_xlfn.NUMBERVALUE(MID(Q375,FIND("-",Q375,FIND("L=",Q375))+1,FIND("%",Q375)-FIND("-",Q375,FIND("L=",Q375))-1),","),0)&gt;4,"потери &gt; 4 %","")))</f>
      </c>
      <c r="AF375" s="129">
        <f>IF(E375&lt;&gt;"",COUNTIFS($A$3:A375,A375,$E$3:E375,"?*"),IF(OR(A375&lt;&gt;A374,Y375="вручную"),"",AF374))</f>
      </c>
      <c r="AG375" s="129">
        <f t="shared" si="221"/>
      </c>
      <c r="AH375" s="129">
        <f t="shared" si="222"/>
        <v/>
      </c>
      <c r="AI375" s="129">
        <f t="shared" si="223"/>
        <v/>
      </c>
      <c r="AJ375" s="129">
        <f t="shared" si="224"/>
        <v/>
      </c>
      <c r="AK375" s="129">
        <f t="shared" si="225"/>
        <v/>
      </c>
      <c r="AL375" s="129">
        <f t="shared" si="226"/>
        <v/>
      </c>
      <c r="AM375" s="129">
        <f t="shared" si="227"/>
      </c>
      <c r="AN375" s="129">
        <f t="shared" si="228"/>
      </c>
      <c r="AO375" s="129">
        <f t="shared" si="229"/>
        <v/>
      </c>
      <c r="AP375" s="129">
        <f t="shared" si="230"/>
        <v/>
      </c>
      <c r="AQ375" s="129">
        <f t="shared" si="231"/>
        <v/>
      </c>
      <c r="AR375" s="129">
        <f t="shared" si="232"/>
        <v/>
      </c>
      <c r="AS375" s="129">
        <f t="shared" si="233"/>
        <v/>
      </c>
      <c r="AT375" s="129">
        <f t="shared" si="234"/>
        <v/>
      </c>
      <c r="AU375" s="129">
        <f t="shared" si="235"/>
        <v/>
      </c>
      <c r="AV375" s="129">
        <f t="shared" si="236"/>
        <v/>
      </c>
      <c r="AW375" s="129">
        <f>IF(AV375="","",AV375&amp;"."&amp;COUNTIFS($A$3:A375,A375,$AV$3:AV375,AV375))</f>
        <v/>
      </c>
      <c r="AX375" s="129">
        <f t="shared" si="237"/>
        <v/>
      </c>
      <c r="AY375" s="129">
        <f>IF(N375="б/к",0,IF(OR(ISNUMBER(SEARCH("L=",Разбивка_по_щитам!P375)),N375="+",N375="="),1,0))</f>
      </c>
      <c r="AZ375" s="129">
        <f t="shared" si="238"/>
      </c>
      <c r="BA375" s="129">
        <f t="shared" si="239"/>
      </c>
      <c r="BB375" s="129">
        <f t="shared" si="240"/>
      </c>
      <c r="BD375" s="129">
        <f t="shared" si="241"/>
      </c>
      <c r="BE375" s="129">
        <f t="shared" si="242"/>
      </c>
      <c r="BF375" s="129">
        <f t="shared" si="243"/>
      </c>
      <c r="BG375" s="129">
        <f t="shared" si="244"/>
        <v/>
      </c>
      <c r="BH375" s="129">
        <f t="shared" si="245"/>
        <v/>
      </c>
      <c r="BI375" s="129">
        <f t="shared" si="246"/>
        <v/>
      </c>
      <c r="BJ375" s="129">
        <f t="shared" si="247"/>
        <v/>
      </c>
      <c r="BK375" s="129">
        <f>IF(R375="","",IF(OR(BY375="",BY375=0),"BOX",IFERROR(IF(VLOOKUP(BY375,УГО_блоки,3,FALSE)&amp;""&lt;&gt;"",VLOOKUP(BY375,УГО_блоки,3,FALSE),VLOOKUP(BY375,УГО_блоки,2,FALSE)),BY375)))</f>
      </c>
      <c r="BL375" s="129">
        <f t="shared" si="249"/>
      </c>
      <c r="BM375" s="129">
        <f>IF(H375="","",IF(COUNTIF($H$3:H375,H375)=1,MAX($BM$2:BM374)+1,""))</f>
      </c>
      <c r="BN375" s="129">
        <f>IF(I375="","",IF(COUNTIF($I$3:I375,I375)+COUNTIF($J$2:J374,I375)+COUNTIF($K$2:K374,I375)=1,MAX($BN$2:BP374)+1,""))</f>
      </c>
      <c r="BO375" s="129">
        <f>IF(J375="","",IF(COUNTIF($I$3:I375,J375)+COUNTIF($J$3:J375,J375)+COUNTIF($K$2:K374,J375)=1,MAX($BN$2:BP374,BN375)+1,""))</f>
      </c>
      <c r="BP375" s="129">
        <f>IF(K375="","",IF(COUNTIF($I$3:I375,K375)+COUNTIF($J$3:J375,K375)+COUNTIF($K$3:K375,K375)=1,MAX($BN$2:BP374,BN375,BO375)+1,""))</f>
      </c>
      <c r="BQ375" s="129">
        <f>IF(AY375=1,IFERROR(MID(Q375,FIND(" (",Q375)+2,FIND(")",Q375,FIND(" (",Q375))-FIND(" (",Q375)-2),"?"),"")</f>
      </c>
      <c r="BR375" s="129">
        <f>IF(BQ375="","",IF(COUNTIF($BQ$3:BQ375,BQ375)=1,MAX($BR$2:BR374)+1,""))</f>
      </c>
      <c r="BS375" s="129">
        <f>IF(AW375="","",COUNTIF($AW$3:AW375,"?*"))</f>
      </c>
      <c r="BT375" s="129">
        <f>IF(OR(AW375="",AI375=""),"",IF(COUNTIFS($AW$3:AW375,"?*",$AI$3:AI375,AI375)=1,MAX($BT$2:BT374)+1,""))</f>
      </c>
      <c r="BU375" s="129">
        <f>IF(AE375="",0,IF(OR(ISNUMBER(SEARCH("дубль",AE375)),ISNUMBER(SEARCH("ПЕРЕГРУЗ",AE375)),ISNUMBER(SEARCH("ЗАЩИЩ",AE375)),ISNUMBER(SEARCH("КАНАЛ",AE375)),ISNUMBER(SEARCH("без 30",AE375))),2,1))</f>
      </c>
      <c r="BV375" s="129">
        <f>IF(R375="","",COUNTIF($R$3:R375,"?*"))</f>
      </c>
      <c r="BW375" s="129">
        <f>IF(AY375&lt;&gt;1,0,IF(MAX(IFERROR(--VLOOKUP(R375,УГО_спр,5,FALSE),0),IFERROR(--VLOOKUP(AL375,УГО_спр,5,FALSE),0),IFERROR(--VLOOKUP(LEFT(AL375,2),УГО_спр,5,FALSE),0))&gt;0,MAX(IFERROR(--VLOOKUP(R375,УГО_спр,5,FALSE),0),IFERROR(--VLOOKUP(AL375,УГО_спр,5,FALSE),0),IFERROR(--VLOOKUP(LEFT(AL375,2),УГО_спр,5,FALSE),0)),IF(IFERROR(--LEFT(SUBSTITUTE(BQ375,"x","х"),FIND("х",SUBSTITUTE(BQ375,"x","х"))-1),3)&gt;3,Каталог!$S$9,1)))</f>
      </c>
      <c r="BX375" s="129">
        <f>IF(AY375&lt;&gt;1,0,MAX(0,IFERROR(--LEFT(SUBSTITUTE(BQ375,"x","х"),FIND("х",SUBSTITUTE(BQ375,"x","х"))-1),3)-3*BW375))</f>
      </c>
      <c r="BY375" s="129">
        <f>IF(R375="","",IFERROR(VLOOKUP(R375,УГО_спр,2,FALSE),IFERROR(VLOOKUP(AL375,УГО_спр,2,FALSE),IFERROR(VLOOKUP(LEFT(AL375,2),УГО_спр,2,FALSE),""))))</f>
      </c>
    </row>
    <row r="376" spans="1:64" x14ac:dyDescent="0.3">
      <c r="A376" s="135">
        <f>IF(Разбивка_по_щитам!F376=0,"",Разбивка_по_щитам!F376)</f>
      </c>
      <c r="B376" s="138">
        <f>IF(A376="","",Разбивка_по_щитам!C376)</f>
      </c>
      <c r="C376" s="138">
        <f t="shared" si="214"/>
      </c>
      <c r="D376" s="266"/>
      <c r="E376" s="266"/>
      <c r="F376" s="267"/>
      <c r="G376" s="145">
        <f t="shared" si="254"/>
        <v/>
      </c>
      <c r="H376" s="145">
        <f t="shared" si="255"/>
        <v/>
      </c>
      <c r="I376" s="266"/>
      <c r="J376" s="267"/>
      <c r="K376" s="267"/>
      <c r="L376" s="266"/>
      <c r="M376" s="147">
        <f t="shared" si="256"/>
        <v/>
      </c>
      <c r="N376" s="267"/>
      <c r="O376" s="147">
        <f t="shared" si="257"/>
        <v/>
      </c>
      <c r="P376" s="268">
        <f>IF(AY376=1,"XT"&amp;COUNTIFS($A$3:A376,A376,$AY$3:AY376,1),"")</f>
        <v/>
      </c>
      <c r="Q376" s="152">
        <f>IF(R376="","",IFERROR(SUBSTITUTE(Разбивка_по_щитам!P376,CHAR(10)," "),""))</f>
        <v/>
      </c>
      <c r="R376" s="153">
        <f>IF(OR(Разбивка_по_щитам!H376="",Разбивка_по_щитам!H376=0),"",Разбивка_по_щитам!H376)</f>
        <v/>
      </c>
      <c r="S376" s="154">
        <f>IF(R376="","",IFERROR(Разбивка_по_щитам!J376&amp;"",""))</f>
        <v/>
      </c>
      <c r="T376" s="155">
        <f>IF(R376="","",IFERROR(--Разбивка_по_щитам!L376,""))</f>
        <v/>
      </c>
      <c r="U376" s="155">
        <f>IF(R376="","",IFERROR(--Разбивка_по_щитам!K376,""))</f>
        <v/>
      </c>
      <c r="V376" s="138">
        <f>IF(R376="","",IFERROR(IF(Разбивка_по_щитам!M376=0,"",Разбивка_по_щитам!M376),""))</f>
        <v/>
      </c>
      <c r="W376" s="156">
        <f t="shared" si="215"/>
        <v/>
      </c>
      <c r="X376" s="157">
        <f t="shared" si="216"/>
        <v/>
      </c>
      <c r="Y376" s="266"/>
      <c r="Z376" s="158">
        <f t="shared" si="217"/>
        <v/>
      </c>
      <c r="AA376" s="160">
        <f t="shared" si="218"/>
        <v/>
      </c>
      <c r="AB376" s="160">
        <f>IF(R376="","",IFERROR(LOOKUP(INDEX(Справочная!$I$4:$I$19,MATCH(VLOOKUP(R376,Исходные_данные,22,FALSE),Справочная!$J$4:$J$19,0)+1),{6,10,16,20,25,32,40,50,63,80,100,125}),""))</f>
        <v/>
      </c>
      <c r="AC376" s="160">
        <f t="shared" si="219"/>
        <v/>
      </c>
      <c r="AD376" s="161">
        <f t="shared" si="220"/>
        <v/>
      </c>
      <c r="AE376" s="161">
        <f>IF(AND(R376="",G376=""),"",_xlfn.TEXTJOIN("; ",TRUE,IF(AND(R376&lt;&gt;"",V376=""),"нет фазы",""),IF(AND(R376&lt;&gt;"",N(T376)=0),"нет мощности",""),IF(AND(P376&lt;&gt;"",COUNTIFS($A$3:$A$1000,A376,$P$3:$P$1000,P376)&gt;1),"дубль клеммы "&amp;P376,""),IF(AND(W376&lt;&gt;"",W376&lt;&gt;"ok"),W376,""),IF(X376&lt;&gt;"",X376,""),IF(AND(ISNUMBER(SEARCH("(5х",Q376)),N(AK376)=1),"5 жил на 1 фазе",""),IF(AND(AL376="R",E376&lt;&gt;"",N(AS376)=0),"розетка без 30 мА",""),IF(IFERROR(_xlfn.NUMBERVALUE(MID(Q376,FIND("-",Q376,FIND("L=",Q376))+1,FIND("%",Q376)-FIND("-",Q376,FIND("L=",Q376))-1),","),0)&gt;4,"потери &gt; 4 %","")))</f>
      </c>
      <c r="AF376" s="129">
        <f>IF(E376&lt;&gt;"",COUNTIFS($A$3:A376,A376,$E$3:E376,"?*"),IF(OR(A376&lt;&gt;A375,Y376="вручную"),"",AF375))</f>
      </c>
      <c r="AG376" s="129">
        <f t="shared" si="221"/>
      </c>
      <c r="AH376" s="129">
        <f t="shared" si="222"/>
        <v/>
      </c>
      <c r="AI376" s="129">
        <f t="shared" si="223"/>
        <v/>
      </c>
      <c r="AJ376" s="129">
        <f t="shared" si="224"/>
        <v/>
      </c>
      <c r="AK376" s="129">
        <f t="shared" si="225"/>
        <v/>
      </c>
      <c r="AL376" s="129">
        <f t="shared" si="226"/>
        <v/>
      </c>
      <c r="AM376" s="129">
        <f t="shared" si="227"/>
      </c>
      <c r="AN376" s="129">
        <f t="shared" si="228"/>
      </c>
      <c r="AO376" s="129">
        <f t="shared" si="229"/>
        <v/>
      </c>
      <c r="AP376" s="129">
        <f t="shared" si="230"/>
        <v/>
      </c>
      <c r="AQ376" s="129">
        <f t="shared" si="231"/>
        <v/>
      </c>
      <c r="AR376" s="129">
        <f t="shared" si="232"/>
        <v/>
      </c>
      <c r="AS376" s="129">
        <f t="shared" si="233"/>
        <v/>
      </c>
      <c r="AT376" s="129">
        <f t="shared" si="234"/>
        <v/>
      </c>
      <c r="AU376" s="129">
        <f t="shared" si="235"/>
        <v/>
      </c>
      <c r="AV376" s="129">
        <f t="shared" si="236"/>
        <v/>
      </c>
      <c r="AW376" s="129">
        <f>IF(AV376="","",AV376&amp;"."&amp;COUNTIFS($A$3:A376,A376,$AV$3:AV376,AV376))</f>
        <v/>
      </c>
      <c r="AX376" s="129">
        <f t="shared" si="237"/>
        <v/>
      </c>
      <c r="AY376" s="129">
        <f>IF(N376="б/к",0,IF(OR(ISNUMBER(SEARCH("L=",Разбивка_по_щитам!P376)),N376="+",N376="="),1,0))</f>
      </c>
      <c r="AZ376" s="129">
        <f t="shared" si="238"/>
      </c>
      <c r="BA376" s="129">
        <f t="shared" si="239"/>
      </c>
      <c r="BB376" s="129">
        <f t="shared" si="240"/>
      </c>
      <c r="BD376" s="129">
        <f t="shared" si="241"/>
      </c>
      <c r="BE376" s="129">
        <f t="shared" si="242"/>
      </c>
      <c r="BF376" s="129">
        <f t="shared" si="243"/>
      </c>
      <c r="BG376" s="129">
        <f t="shared" si="244"/>
        <v/>
      </c>
      <c r="BH376" s="129">
        <f t="shared" si="245"/>
        <v/>
      </c>
      <c r="BI376" s="129">
        <f t="shared" si="246"/>
        <v/>
      </c>
      <c r="BJ376" s="129">
        <f t="shared" si="247"/>
        <v/>
      </c>
      <c r="BK376" s="129">
        <f>IF(R376="","",IF(OR(BY376="",BY376=0),"BOX",IFERROR(IF(VLOOKUP(BY376,УГО_блоки,3,FALSE)&amp;""&lt;&gt;"",VLOOKUP(BY376,УГО_блоки,3,FALSE),VLOOKUP(BY376,УГО_блоки,2,FALSE)),BY376)))</f>
      </c>
      <c r="BL376" s="129">
        <f t="shared" si="249"/>
      </c>
      <c r="BM376" s="129">
        <f>IF(H376="","",IF(COUNTIF($H$3:H376,H376)=1,MAX($BM$2:BM375)+1,""))</f>
      </c>
      <c r="BN376" s="129">
        <f>IF(I376="","",IF(COUNTIF($I$3:I376,I376)+COUNTIF($J$2:J375,I376)+COUNTIF($K$2:K375,I376)=1,MAX($BN$2:BP375)+1,""))</f>
      </c>
      <c r="BO376" s="129">
        <f>IF(J376="","",IF(COUNTIF($I$3:I376,J376)+COUNTIF($J$3:J376,J376)+COUNTIF($K$2:K375,J376)=1,MAX($BN$2:BP375,BN376)+1,""))</f>
      </c>
      <c r="BP376" s="129">
        <f>IF(K376="","",IF(COUNTIF($I$3:I376,K376)+COUNTIF($J$3:J376,K376)+COUNTIF($K$3:K376,K376)=1,MAX($BN$2:BP375,BN376,BO376)+1,""))</f>
      </c>
      <c r="BQ376" s="129">
        <f>IF(AY376=1,IFERROR(MID(Q376,FIND(" (",Q376)+2,FIND(")",Q376,FIND(" (",Q376))-FIND(" (",Q376)-2),"?"),"")</f>
      </c>
      <c r="BR376" s="129">
        <f>IF(BQ376="","",IF(COUNTIF($BQ$3:BQ376,BQ376)=1,MAX($BR$2:BR375)+1,""))</f>
      </c>
      <c r="BS376" s="129">
        <f>IF(AW376="","",COUNTIF($AW$3:AW376,"?*"))</f>
      </c>
      <c r="BT376" s="129">
        <f>IF(OR(AW376="",AI376=""),"",IF(COUNTIFS($AW$3:AW376,"?*",$AI$3:AI376,AI376)=1,MAX($BT$2:BT375)+1,""))</f>
      </c>
      <c r="BU376" s="129">
        <f>IF(AE376="",0,IF(OR(ISNUMBER(SEARCH("дубль",AE376)),ISNUMBER(SEARCH("ПЕРЕГРУЗ",AE376)),ISNUMBER(SEARCH("ЗАЩИЩ",AE376)),ISNUMBER(SEARCH("КАНАЛ",AE376)),ISNUMBER(SEARCH("без 30",AE376))),2,1))</f>
      </c>
      <c r="BV376" s="129">
        <f>IF(R376="","",COUNTIF($R$3:R376,"?*"))</f>
      </c>
      <c r="BW376" s="129">
        <f>IF(AY376&lt;&gt;1,0,IF(MAX(IFERROR(--VLOOKUP(R376,УГО_спр,5,FALSE),0),IFERROR(--VLOOKUP(AL376,УГО_спр,5,FALSE),0),IFERROR(--VLOOKUP(LEFT(AL376,2),УГО_спр,5,FALSE),0))&gt;0,MAX(IFERROR(--VLOOKUP(R376,УГО_спр,5,FALSE),0),IFERROR(--VLOOKUP(AL376,УГО_спр,5,FALSE),0),IFERROR(--VLOOKUP(LEFT(AL376,2),УГО_спр,5,FALSE),0)),IF(IFERROR(--LEFT(SUBSTITUTE(BQ376,"x","х"),FIND("х",SUBSTITUTE(BQ376,"x","х"))-1),3)&gt;3,Каталог!$S$9,1)))</f>
      </c>
      <c r="BX376" s="129">
        <f>IF(AY376&lt;&gt;1,0,MAX(0,IFERROR(--LEFT(SUBSTITUTE(BQ376,"x","х"),FIND("х",SUBSTITUTE(BQ376,"x","х"))-1),3)-3*BW376))</f>
      </c>
      <c r="BY376" s="129">
        <f>IF(R376="","",IFERROR(VLOOKUP(R376,УГО_спр,2,FALSE),IFERROR(VLOOKUP(AL376,УГО_спр,2,FALSE),IFERROR(VLOOKUP(LEFT(AL376,2),УГО_спр,2,FALSE),""))))</f>
      </c>
    </row>
    <row r="377" spans="1:64" x14ac:dyDescent="0.3">
      <c r="A377" s="135">
        <f>IF(Разбивка_по_щитам!F377=0,"",Разбивка_по_щитам!F377)</f>
      </c>
      <c r="B377" s="138">
        <f>IF(A377="","",Разбивка_по_щитам!C377)</f>
      </c>
      <c r="C377" s="138">
        <f t="shared" si="214"/>
      </c>
      <c r="D377" s="266"/>
      <c r="E377" s="266"/>
      <c r="F377" s="267"/>
      <c r="G377" s="145">
        <f t="shared" si="254"/>
        <v/>
      </c>
      <c r="H377" s="145">
        <f t="shared" si="255"/>
        <v/>
      </c>
      <c r="I377" s="266"/>
      <c r="J377" s="267"/>
      <c r="K377" s="267"/>
      <c r="L377" s="266"/>
      <c r="M377" s="147">
        <f t="shared" si="256"/>
        <v/>
      </c>
      <c r="N377" s="267"/>
      <c r="O377" s="147">
        <f t="shared" si="257"/>
        <v/>
      </c>
      <c r="P377" s="268">
        <f>IF(AY377=1,"XT"&amp;COUNTIFS($A$3:A377,A377,$AY$3:AY377,1),"")</f>
        <v/>
      </c>
      <c r="Q377" s="152">
        <f>IF(R377="","",IFERROR(SUBSTITUTE(Разбивка_по_щитам!P377,CHAR(10)," "),""))</f>
        <v/>
      </c>
      <c r="R377" s="153">
        <f>IF(OR(Разбивка_по_щитам!H377="",Разбивка_по_щитам!H377=0),"",Разбивка_по_щитам!H377)</f>
        <v/>
      </c>
      <c r="S377" s="154">
        <f>IF(R377="","",IFERROR(Разбивка_по_щитам!J377&amp;"",""))</f>
        <v/>
      </c>
      <c r="T377" s="155">
        <f>IF(R377="","",IFERROR(--Разбивка_по_щитам!L377,""))</f>
        <v/>
      </c>
      <c r="U377" s="155">
        <f>IF(R377="","",IFERROR(--Разбивка_по_щитам!K377,""))</f>
        <v/>
      </c>
      <c r="V377" s="138">
        <f>IF(R377="","",IFERROR(IF(Разбивка_по_щитам!M377=0,"",Разбивка_по_щитам!M377),""))</f>
        <v/>
      </c>
      <c r="W377" s="156">
        <f t="shared" si="215"/>
        <v/>
      </c>
      <c r="X377" s="157">
        <f t="shared" si="216"/>
        <v/>
      </c>
      <c r="Y377" s="266"/>
      <c r="Z377" s="158">
        <f t="shared" si="217"/>
        <v/>
      </c>
      <c r="AA377" s="160">
        <f t="shared" si="218"/>
        <v/>
      </c>
      <c r="AB377" s="160">
        <f>IF(R377="","",IFERROR(LOOKUP(INDEX(Справочная!$I$4:$I$19,MATCH(VLOOKUP(R377,Исходные_данные,22,FALSE),Справочная!$J$4:$J$19,0)+1),{6,10,16,20,25,32,40,50,63,80,100,125}),""))</f>
        <v/>
      </c>
      <c r="AC377" s="160">
        <f t="shared" si="219"/>
        <v/>
      </c>
      <c r="AD377" s="161">
        <f t="shared" si="220"/>
        <v/>
      </c>
      <c r="AE377" s="161">
        <f>IF(AND(R377="",G377=""),"",_xlfn.TEXTJOIN("; ",TRUE,IF(AND(R377&lt;&gt;"",V377=""),"нет фазы",""),IF(AND(R377&lt;&gt;"",N(T377)=0),"нет мощности",""),IF(AND(P377&lt;&gt;"",COUNTIFS($A$3:$A$1000,A377,$P$3:$P$1000,P377)&gt;1),"дубль клеммы "&amp;P377,""),IF(AND(W377&lt;&gt;"",W377&lt;&gt;"ok"),W377,""),IF(X377&lt;&gt;"",X377,""),IF(AND(ISNUMBER(SEARCH("(5х",Q377)),N(AK377)=1),"5 жил на 1 фазе",""),IF(AND(AL377="R",E377&lt;&gt;"",N(AS377)=0),"розетка без 30 мА",""),IF(IFERROR(_xlfn.NUMBERVALUE(MID(Q377,FIND("-",Q377,FIND("L=",Q377))+1,FIND("%",Q377)-FIND("-",Q377,FIND("L=",Q377))-1),","),0)&gt;4,"потери &gt; 4 %","")))</f>
      </c>
      <c r="AF377" s="129">
        <f>IF(E377&lt;&gt;"",COUNTIFS($A$3:A377,A377,$E$3:E377,"?*"),IF(OR(A377&lt;&gt;A376,Y377="вручную"),"",AF376))</f>
      </c>
      <c r="AG377" s="129">
        <f t="shared" si="221"/>
      </c>
      <c r="AH377" s="129">
        <f t="shared" si="222"/>
        <v/>
      </c>
      <c r="AI377" s="129">
        <f t="shared" si="223"/>
        <v/>
      </c>
      <c r="AJ377" s="129">
        <f t="shared" si="224"/>
        <v/>
      </c>
      <c r="AK377" s="129">
        <f t="shared" si="225"/>
        <v/>
      </c>
      <c r="AL377" s="129">
        <f t="shared" si="226"/>
        <v/>
      </c>
      <c r="AM377" s="129">
        <f t="shared" si="227"/>
      </c>
      <c r="AN377" s="129">
        <f t="shared" si="228"/>
      </c>
      <c r="AO377" s="129">
        <f t="shared" si="229"/>
        <v/>
      </c>
      <c r="AP377" s="129">
        <f t="shared" si="230"/>
        <v/>
      </c>
      <c r="AQ377" s="129">
        <f t="shared" si="231"/>
        <v/>
      </c>
      <c r="AR377" s="129">
        <f t="shared" si="232"/>
        <v/>
      </c>
      <c r="AS377" s="129">
        <f t="shared" si="233"/>
        <v/>
      </c>
      <c r="AT377" s="129">
        <f t="shared" si="234"/>
        <v/>
      </c>
      <c r="AU377" s="129">
        <f t="shared" si="235"/>
        <v/>
      </c>
      <c r="AV377" s="129">
        <f t="shared" si="236"/>
        <v/>
      </c>
      <c r="AW377" s="129">
        <f>IF(AV377="","",AV377&amp;"."&amp;COUNTIFS($A$3:A377,A377,$AV$3:AV377,AV377))</f>
        <v/>
      </c>
      <c r="AX377" s="129">
        <f t="shared" si="237"/>
        <v/>
      </c>
      <c r="AY377" s="129">
        <f>IF(N377="б/к",0,IF(OR(ISNUMBER(SEARCH("L=",Разбивка_по_щитам!P377)),N377="+",N377="="),1,0))</f>
      </c>
      <c r="AZ377" s="129">
        <f t="shared" si="238"/>
      </c>
      <c r="BA377" s="129">
        <f t="shared" si="239"/>
      </c>
      <c r="BB377" s="129">
        <f t="shared" si="240"/>
      </c>
      <c r="BD377" s="129">
        <f t="shared" si="241"/>
      </c>
      <c r="BE377" s="129">
        <f t="shared" si="242"/>
      </c>
      <c r="BF377" s="129">
        <f t="shared" si="243"/>
      </c>
      <c r="BG377" s="129">
        <f t="shared" si="244"/>
        <v/>
      </c>
      <c r="BH377" s="129">
        <f t="shared" si="245"/>
        <v/>
      </c>
      <c r="BI377" s="129">
        <f t="shared" si="246"/>
        <v/>
      </c>
      <c r="BJ377" s="129">
        <f t="shared" si="247"/>
        <v/>
      </c>
      <c r="BK377" s="129">
        <f>IF(R377="","",IF(OR(BY377="",BY377=0),"BOX",IFERROR(IF(VLOOKUP(BY377,УГО_блоки,3,FALSE)&amp;""&lt;&gt;"",VLOOKUP(BY377,УГО_блоки,3,FALSE),VLOOKUP(BY377,УГО_блоки,2,FALSE)),BY377)))</f>
      </c>
      <c r="BL377" s="129">
        <f t="shared" si="249"/>
      </c>
      <c r="BM377" s="129">
        <f>IF(H377="","",IF(COUNTIF($H$3:H377,H377)=1,MAX($BM$2:BM376)+1,""))</f>
      </c>
      <c r="BN377" s="129">
        <f>IF(I377="","",IF(COUNTIF($I$3:I377,I377)+COUNTIF($J$2:J376,I377)+COUNTIF($K$2:K376,I377)=1,MAX($BN$2:BP376)+1,""))</f>
      </c>
      <c r="BO377" s="129">
        <f>IF(J377="","",IF(COUNTIF($I$3:I377,J377)+COUNTIF($J$3:J377,J377)+COUNTIF($K$2:K376,J377)=1,MAX($BN$2:BP376,BN377)+1,""))</f>
      </c>
      <c r="BP377" s="129">
        <f>IF(K377="","",IF(COUNTIF($I$3:I377,K377)+COUNTIF($J$3:J377,K377)+COUNTIF($K$3:K377,K377)=1,MAX($BN$2:BP376,BN377,BO377)+1,""))</f>
      </c>
      <c r="BQ377" s="129">
        <f>IF(AY377=1,IFERROR(MID(Q377,FIND(" (",Q377)+2,FIND(")",Q377,FIND(" (",Q377))-FIND(" (",Q377)-2),"?"),"")</f>
      </c>
      <c r="BR377" s="129">
        <f>IF(BQ377="","",IF(COUNTIF($BQ$3:BQ377,BQ377)=1,MAX($BR$2:BR376)+1,""))</f>
      </c>
      <c r="BS377" s="129">
        <f>IF(AW377="","",COUNTIF($AW$3:AW377,"?*"))</f>
      </c>
      <c r="BT377" s="129">
        <f>IF(OR(AW377="",AI377=""),"",IF(COUNTIFS($AW$3:AW377,"?*",$AI$3:AI377,AI377)=1,MAX($BT$2:BT376)+1,""))</f>
      </c>
      <c r="BU377" s="129">
        <f>IF(AE377="",0,IF(OR(ISNUMBER(SEARCH("дубль",AE377)),ISNUMBER(SEARCH("ПЕРЕГРУЗ",AE377)),ISNUMBER(SEARCH("ЗАЩИЩ",AE377)),ISNUMBER(SEARCH("КАНАЛ",AE377)),ISNUMBER(SEARCH("без 30",AE377))),2,1))</f>
      </c>
      <c r="BV377" s="129">
        <f>IF(R377="","",COUNTIF($R$3:R377,"?*"))</f>
      </c>
      <c r="BW377" s="129">
        <f>IF(AY377&lt;&gt;1,0,IF(MAX(IFERROR(--VLOOKUP(R377,УГО_спр,5,FALSE),0),IFERROR(--VLOOKUP(AL377,УГО_спр,5,FALSE),0),IFERROR(--VLOOKUP(LEFT(AL377,2),УГО_спр,5,FALSE),0))&gt;0,MAX(IFERROR(--VLOOKUP(R377,УГО_спр,5,FALSE),0),IFERROR(--VLOOKUP(AL377,УГО_спр,5,FALSE),0),IFERROR(--VLOOKUP(LEFT(AL377,2),УГО_спр,5,FALSE),0)),IF(IFERROR(--LEFT(SUBSTITUTE(BQ377,"x","х"),FIND("х",SUBSTITUTE(BQ377,"x","х"))-1),3)&gt;3,Каталог!$S$9,1)))</f>
      </c>
      <c r="BX377" s="129">
        <f>IF(AY377&lt;&gt;1,0,MAX(0,IFERROR(--LEFT(SUBSTITUTE(BQ377,"x","х"),FIND("х",SUBSTITUTE(BQ377,"x","х"))-1),3)-3*BW377))</f>
      </c>
      <c r="BY377" s="129">
        <f>IF(R377="","",IFERROR(VLOOKUP(R377,УГО_спр,2,FALSE),IFERROR(VLOOKUP(AL377,УГО_спр,2,FALSE),IFERROR(VLOOKUP(LEFT(AL377,2),УГО_спр,2,FALSE),""))))</f>
      </c>
    </row>
    <row r="378" spans="1:64" x14ac:dyDescent="0.3">
      <c r="A378" s="135">
        <f>IF(Разбивка_по_щитам!F378=0,"",Разбивка_по_щитам!F378)</f>
      </c>
      <c r="B378" s="138">
        <f>IF(A378="","",Разбивка_по_щитам!C378)</f>
      </c>
      <c r="C378" s="138">
        <f t="shared" si="214"/>
      </c>
      <c r="D378" s="266"/>
      <c r="E378" s="266"/>
      <c r="F378" s="267"/>
      <c r="G378" s="145">
        <f t="shared" si="254"/>
        <v/>
      </c>
      <c r="H378" s="145">
        <f t="shared" si="255"/>
        <v/>
      </c>
      <c r="I378" s="266"/>
      <c r="J378" s="267"/>
      <c r="K378" s="267"/>
      <c r="L378" s="266"/>
      <c r="M378" s="147">
        <f t="shared" si="256"/>
        <v/>
      </c>
      <c r="N378" s="267"/>
      <c r="O378" s="147">
        <f t="shared" si="257"/>
        <v/>
      </c>
      <c r="P378" s="268">
        <f>IF(AY378=1,"XT"&amp;COUNTIFS($A$3:A378,A378,$AY$3:AY378,1),"")</f>
        <v/>
      </c>
      <c r="Q378" s="152">
        <f>IF(R378="","",IFERROR(SUBSTITUTE(Разбивка_по_щитам!P378,CHAR(10)," "),""))</f>
        <v/>
      </c>
      <c r="R378" s="153">
        <f>IF(OR(Разбивка_по_щитам!H378="",Разбивка_по_щитам!H378=0),"",Разбивка_по_щитам!H378)</f>
        <v/>
      </c>
      <c r="S378" s="154">
        <f>IF(R378="","",IFERROR(Разбивка_по_щитам!J378&amp;"",""))</f>
        <v/>
      </c>
      <c r="T378" s="155">
        <f>IF(R378="","",IFERROR(--Разбивка_по_щитам!L378,""))</f>
        <v/>
      </c>
      <c r="U378" s="155">
        <f>IF(R378="","",IFERROR(--Разбивка_по_щитам!K378,""))</f>
        <v/>
      </c>
      <c r="V378" s="138">
        <f>IF(R378="","",IFERROR(IF(Разбивка_по_щитам!M378=0,"",Разбивка_по_щитам!M378),""))</f>
        <v/>
      </c>
      <c r="W378" s="156">
        <f t="shared" si="215"/>
        <v/>
      </c>
      <c r="X378" s="157">
        <f t="shared" si="216"/>
        <v/>
      </c>
      <c r="Y378" s="266"/>
      <c r="Z378" s="158">
        <f t="shared" si="217"/>
        <v/>
      </c>
      <c r="AA378" s="160">
        <f t="shared" si="218"/>
        <v/>
      </c>
      <c r="AB378" s="160">
        <f>IF(R378="","",IFERROR(LOOKUP(INDEX(Справочная!$I$4:$I$19,MATCH(VLOOKUP(R378,Исходные_данные,22,FALSE),Справочная!$J$4:$J$19,0)+1),{6,10,16,20,25,32,40,50,63,80,100,125}),""))</f>
        <v/>
      </c>
      <c r="AC378" s="160">
        <f t="shared" si="219"/>
        <v/>
      </c>
      <c r="AD378" s="161">
        <f t="shared" si="220"/>
        <v/>
      </c>
      <c r="AE378" s="161">
        <f>IF(AND(R378="",G378=""),"",_xlfn.TEXTJOIN("; ",TRUE,IF(AND(R378&lt;&gt;"",V378=""),"нет фазы",""),IF(AND(R378&lt;&gt;"",N(T378)=0),"нет мощности",""),IF(AND(P378&lt;&gt;"",COUNTIFS($A$3:$A$1000,A378,$P$3:$P$1000,P378)&gt;1),"дубль клеммы "&amp;P378,""),IF(AND(W378&lt;&gt;"",W378&lt;&gt;"ok"),W378,""),IF(X378&lt;&gt;"",X378,""),IF(AND(ISNUMBER(SEARCH("(5х",Q378)),N(AK378)=1),"5 жил на 1 фазе",""),IF(AND(AL378="R",E378&lt;&gt;"",N(AS378)=0),"розетка без 30 мА",""),IF(IFERROR(_xlfn.NUMBERVALUE(MID(Q378,FIND("-",Q378,FIND("L=",Q378))+1,FIND("%",Q378)-FIND("-",Q378,FIND("L=",Q378))-1),","),0)&gt;4,"потери &gt; 4 %","")))</f>
      </c>
      <c r="AF378" s="129">
        <f>IF(E378&lt;&gt;"",COUNTIFS($A$3:A378,A378,$E$3:E378,"?*"),IF(OR(A378&lt;&gt;A377,Y378="вручную"),"",AF377))</f>
      </c>
      <c r="AG378" s="129">
        <f t="shared" si="221"/>
      </c>
      <c r="AH378" s="129">
        <f t="shared" si="222"/>
        <v/>
      </c>
      <c r="AI378" s="129">
        <f t="shared" si="223"/>
        <v/>
      </c>
      <c r="AJ378" s="129">
        <f t="shared" si="224"/>
        <v/>
      </c>
      <c r="AK378" s="129">
        <f t="shared" si="225"/>
        <v/>
      </c>
      <c r="AL378" s="129">
        <f t="shared" si="226"/>
        <v/>
      </c>
      <c r="AM378" s="129">
        <f t="shared" si="227"/>
      </c>
      <c r="AN378" s="129">
        <f t="shared" si="228"/>
      </c>
      <c r="AO378" s="129">
        <f t="shared" si="229"/>
        <v/>
      </c>
      <c r="AP378" s="129">
        <f t="shared" si="230"/>
        <v/>
      </c>
      <c r="AQ378" s="129">
        <f t="shared" si="231"/>
        <v/>
      </c>
      <c r="AR378" s="129">
        <f t="shared" si="232"/>
        <v/>
      </c>
      <c r="AS378" s="129">
        <f t="shared" si="233"/>
        <v/>
      </c>
      <c r="AT378" s="129">
        <f t="shared" si="234"/>
        <v/>
      </c>
      <c r="AU378" s="129">
        <f t="shared" si="235"/>
        <v/>
      </c>
      <c r="AV378" s="129">
        <f t="shared" si="236"/>
        <v/>
      </c>
      <c r="AW378" s="129">
        <f>IF(AV378="","",AV378&amp;"."&amp;COUNTIFS($A$3:A378,A378,$AV$3:AV378,AV378))</f>
        <v/>
      </c>
      <c r="AX378" s="129">
        <f t="shared" si="237"/>
        <v/>
      </c>
      <c r="AY378" s="129">
        <f>IF(N378="б/к",0,IF(OR(ISNUMBER(SEARCH("L=",Разбивка_по_щитам!P378)),N378="+",N378="="),1,0))</f>
      </c>
      <c r="AZ378" s="129">
        <f t="shared" si="238"/>
      </c>
      <c r="BA378" s="129">
        <f t="shared" si="239"/>
      </c>
      <c r="BB378" s="129">
        <f t="shared" si="240"/>
      </c>
      <c r="BD378" s="129">
        <f t="shared" si="241"/>
      </c>
      <c r="BE378" s="129">
        <f t="shared" si="242"/>
      </c>
      <c r="BF378" s="129">
        <f t="shared" si="243"/>
      </c>
      <c r="BG378" s="129">
        <f t="shared" si="244"/>
        <v/>
      </c>
      <c r="BH378" s="129">
        <f t="shared" si="245"/>
        <v/>
      </c>
      <c r="BI378" s="129">
        <f t="shared" si="246"/>
        <v/>
      </c>
      <c r="BJ378" s="129">
        <f t="shared" si="247"/>
        <v/>
      </c>
      <c r="BK378" s="129">
        <f>IF(R378="","",IF(OR(BY378="",BY378=0),"BOX",IFERROR(IF(VLOOKUP(BY378,УГО_блоки,3,FALSE)&amp;""&lt;&gt;"",VLOOKUP(BY378,УГО_блоки,3,FALSE),VLOOKUP(BY378,УГО_блоки,2,FALSE)),BY378)))</f>
      </c>
      <c r="BL378" s="129">
        <f t="shared" si="249"/>
      </c>
      <c r="BM378" s="129">
        <f>IF(H378="","",IF(COUNTIF($H$3:H378,H378)=1,MAX($BM$2:BM377)+1,""))</f>
      </c>
      <c r="BN378" s="129">
        <f>IF(I378="","",IF(COUNTIF($I$3:I378,I378)+COUNTIF($J$2:J377,I378)+COUNTIF($K$2:K377,I378)=1,MAX($BN$2:BP377)+1,""))</f>
      </c>
      <c r="BO378" s="129">
        <f>IF(J378="","",IF(COUNTIF($I$3:I378,J378)+COUNTIF($J$3:J378,J378)+COUNTIF($K$2:K377,J378)=1,MAX($BN$2:BP377,BN378)+1,""))</f>
      </c>
      <c r="BP378" s="129">
        <f>IF(K378="","",IF(COUNTIF($I$3:I378,K378)+COUNTIF($J$3:J378,K378)+COUNTIF($K$3:K378,K378)=1,MAX($BN$2:BP377,BN378,BO378)+1,""))</f>
      </c>
      <c r="BQ378" s="129">
        <f>IF(AY378=1,IFERROR(MID(Q378,FIND(" (",Q378)+2,FIND(")",Q378,FIND(" (",Q378))-FIND(" (",Q378)-2),"?"),"")</f>
      </c>
      <c r="BR378" s="129">
        <f>IF(BQ378="","",IF(COUNTIF($BQ$3:BQ378,BQ378)=1,MAX($BR$2:BR377)+1,""))</f>
      </c>
      <c r="BS378" s="129">
        <f>IF(AW378="","",COUNTIF($AW$3:AW378,"?*"))</f>
      </c>
      <c r="BT378" s="129">
        <f>IF(OR(AW378="",AI378=""),"",IF(COUNTIFS($AW$3:AW378,"?*",$AI$3:AI378,AI378)=1,MAX($BT$2:BT377)+1,""))</f>
      </c>
      <c r="BU378" s="129">
        <f>IF(AE378="",0,IF(OR(ISNUMBER(SEARCH("дубль",AE378)),ISNUMBER(SEARCH("ПЕРЕГРУЗ",AE378)),ISNUMBER(SEARCH("ЗАЩИЩ",AE378)),ISNUMBER(SEARCH("КАНАЛ",AE378)),ISNUMBER(SEARCH("без 30",AE378))),2,1))</f>
      </c>
      <c r="BV378" s="129">
        <f>IF(R378="","",COUNTIF($R$3:R378,"?*"))</f>
      </c>
      <c r="BW378" s="129">
        <f>IF(AY378&lt;&gt;1,0,IF(MAX(IFERROR(--VLOOKUP(R378,УГО_спр,5,FALSE),0),IFERROR(--VLOOKUP(AL378,УГО_спр,5,FALSE),0),IFERROR(--VLOOKUP(LEFT(AL378,2),УГО_спр,5,FALSE),0))&gt;0,MAX(IFERROR(--VLOOKUP(R378,УГО_спр,5,FALSE),0),IFERROR(--VLOOKUP(AL378,УГО_спр,5,FALSE),0),IFERROR(--VLOOKUP(LEFT(AL378,2),УГО_спр,5,FALSE),0)),IF(IFERROR(--LEFT(SUBSTITUTE(BQ378,"x","х"),FIND("х",SUBSTITUTE(BQ378,"x","х"))-1),3)&gt;3,Каталог!$S$9,1)))</f>
      </c>
      <c r="BX378" s="129">
        <f>IF(AY378&lt;&gt;1,0,MAX(0,IFERROR(--LEFT(SUBSTITUTE(BQ378,"x","х"),FIND("х",SUBSTITUTE(BQ378,"x","х"))-1),3)-3*BW378))</f>
      </c>
      <c r="BY378" s="129">
        <f>IF(R378="","",IFERROR(VLOOKUP(R378,УГО_спр,2,FALSE),IFERROR(VLOOKUP(AL378,УГО_спр,2,FALSE),IFERROR(VLOOKUP(LEFT(AL378,2),УГО_спр,2,FALSE),""))))</f>
      </c>
    </row>
    <row r="379" spans="1:64" x14ac:dyDescent="0.3">
      <c r="A379" s="135">
        <f>IF(Разбивка_по_щитам!F379=0,"",Разбивка_по_щитам!F379)</f>
      </c>
      <c r="B379" s="138">
        <f>IF(A379="","",Разбивка_по_щитам!C379)</f>
      </c>
      <c r="C379" s="138">
        <f t="shared" si="214"/>
      </c>
      <c r="D379" s="266"/>
      <c r="E379" s="266"/>
      <c r="F379" s="267"/>
      <c r="G379" s="145">
        <f t="shared" si="254"/>
        <v/>
      </c>
      <c r="H379" s="145">
        <f t="shared" si="255"/>
        <v/>
      </c>
      <c r="I379" s="266"/>
      <c r="J379" s="267"/>
      <c r="K379" s="267"/>
      <c r="L379" s="266"/>
      <c r="M379" s="147">
        <f t="shared" si="256"/>
        <v/>
      </c>
      <c r="N379" s="267"/>
      <c r="O379" s="147">
        <f t="shared" si="257"/>
        <v/>
      </c>
      <c r="P379" s="268">
        <f>IF(AY379=1,"XT"&amp;COUNTIFS($A$3:A379,A379,$AY$3:AY379,1),"")</f>
        <v/>
      </c>
      <c r="Q379" s="152">
        <f>IF(R379="","",IFERROR(SUBSTITUTE(Разбивка_по_щитам!P379,CHAR(10)," "),""))</f>
        <v/>
      </c>
      <c r="R379" s="153">
        <f>IF(OR(Разбивка_по_щитам!H379="",Разбивка_по_щитам!H379=0),"",Разбивка_по_щитам!H379)</f>
        <v/>
      </c>
      <c r="S379" s="154">
        <f>IF(R379="","",IFERROR(Разбивка_по_щитам!J379&amp;"",""))</f>
        <v/>
      </c>
      <c r="T379" s="155">
        <f>IF(R379="","",IFERROR(--Разбивка_по_щитам!L379,""))</f>
        <v/>
      </c>
      <c r="U379" s="155">
        <f>IF(R379="","",IFERROR(--Разбивка_по_щитам!K379,""))</f>
        <v/>
      </c>
      <c r="V379" s="138">
        <f>IF(R379="","",IFERROR(IF(Разбивка_по_щитам!M379=0,"",Разбивка_по_щитам!M379),""))</f>
        <v/>
      </c>
      <c r="W379" s="156">
        <f t="shared" si="215"/>
        <v/>
      </c>
      <c r="X379" s="157">
        <f t="shared" si="216"/>
        <v/>
      </c>
      <c r="Y379" s="266"/>
      <c r="Z379" s="158">
        <f t="shared" si="217"/>
        <v/>
      </c>
      <c r="AA379" s="160">
        <f t="shared" si="218"/>
        <v/>
      </c>
      <c r="AB379" s="160">
        <f>IF(R379="","",IFERROR(LOOKUP(INDEX(Справочная!$I$4:$I$19,MATCH(VLOOKUP(R379,Исходные_данные,22,FALSE),Справочная!$J$4:$J$19,0)+1),{6,10,16,20,25,32,40,50,63,80,100,125}),""))</f>
        <v/>
      </c>
      <c r="AC379" s="160">
        <f t="shared" si="219"/>
        <v/>
      </c>
      <c r="AD379" s="161">
        <f t="shared" si="220"/>
        <v/>
      </c>
      <c r="AE379" s="161">
        <f>IF(AND(R379="",G379=""),"",_xlfn.TEXTJOIN("; ",TRUE,IF(AND(R379&lt;&gt;"",V379=""),"нет фазы",""),IF(AND(R379&lt;&gt;"",N(T379)=0),"нет мощности",""),IF(AND(P379&lt;&gt;"",COUNTIFS($A$3:$A$1000,A379,$P$3:$P$1000,P379)&gt;1),"дубль клеммы "&amp;P379,""),IF(AND(W379&lt;&gt;"",W379&lt;&gt;"ok"),W379,""),IF(X379&lt;&gt;"",X379,""),IF(AND(ISNUMBER(SEARCH("(5х",Q379)),N(AK379)=1),"5 жил на 1 фазе",""),IF(AND(AL379="R",E379&lt;&gt;"",N(AS379)=0),"розетка без 30 мА",""),IF(IFERROR(_xlfn.NUMBERVALUE(MID(Q379,FIND("-",Q379,FIND("L=",Q379))+1,FIND("%",Q379)-FIND("-",Q379,FIND("L=",Q379))-1),","),0)&gt;4,"потери &gt; 4 %","")))</f>
      </c>
      <c r="AF379" s="129">
        <f>IF(E379&lt;&gt;"",COUNTIFS($A$3:A379,A379,$E$3:E379,"?*"),IF(OR(A379&lt;&gt;A378,Y379="вручную"),"",AF378))</f>
      </c>
      <c r="AG379" s="129">
        <f t="shared" si="221"/>
      </c>
      <c r="AH379" s="129">
        <f t="shared" si="222"/>
        <v/>
      </c>
      <c r="AI379" s="129">
        <f t="shared" si="223"/>
        <v/>
      </c>
      <c r="AJ379" s="129">
        <f t="shared" si="224"/>
        <v/>
      </c>
      <c r="AK379" s="129">
        <f t="shared" si="225"/>
        <v/>
      </c>
      <c r="AL379" s="129">
        <f t="shared" si="226"/>
        <v/>
      </c>
      <c r="AM379" s="129">
        <f t="shared" si="227"/>
      </c>
      <c r="AN379" s="129">
        <f t="shared" si="228"/>
      </c>
      <c r="AO379" s="129">
        <f t="shared" si="229"/>
        <v/>
      </c>
      <c r="AP379" s="129">
        <f t="shared" si="230"/>
        <v/>
      </c>
      <c r="AQ379" s="129">
        <f t="shared" si="231"/>
        <v/>
      </c>
      <c r="AR379" s="129">
        <f t="shared" si="232"/>
        <v/>
      </c>
      <c r="AS379" s="129">
        <f t="shared" si="233"/>
        <v/>
      </c>
      <c r="AT379" s="129">
        <f t="shared" si="234"/>
        <v/>
      </c>
      <c r="AU379" s="129">
        <f t="shared" si="235"/>
        <v/>
      </c>
      <c r="AV379" s="129">
        <f t="shared" si="236"/>
        <v/>
      </c>
      <c r="AW379" s="129">
        <f>IF(AV379="","",AV379&amp;"."&amp;COUNTIFS($A$3:A379,A379,$AV$3:AV379,AV379))</f>
        <v/>
      </c>
      <c r="AX379" s="129">
        <f t="shared" si="237"/>
        <v/>
      </c>
      <c r="AY379" s="129">
        <f>IF(N379="б/к",0,IF(OR(ISNUMBER(SEARCH("L=",Разбивка_по_щитам!P379)),N379="+",N379="="),1,0))</f>
      </c>
      <c r="AZ379" s="129">
        <f t="shared" si="238"/>
      </c>
      <c r="BA379" s="129">
        <f t="shared" si="239"/>
      </c>
      <c r="BB379" s="129">
        <f t="shared" si="240"/>
      </c>
      <c r="BD379" s="129">
        <f t="shared" si="241"/>
      </c>
      <c r="BE379" s="129">
        <f t="shared" si="242"/>
      </c>
      <c r="BF379" s="129">
        <f t="shared" si="243"/>
      </c>
      <c r="BG379" s="129">
        <f t="shared" si="244"/>
        <v/>
      </c>
      <c r="BH379" s="129">
        <f t="shared" si="245"/>
        <v/>
      </c>
      <c r="BI379" s="129">
        <f t="shared" si="246"/>
        <v/>
      </c>
      <c r="BJ379" s="129">
        <f t="shared" si="247"/>
        <v/>
      </c>
      <c r="BK379" s="129">
        <f>IF(R379="","",IF(OR(BY379="",BY379=0),"BOX",IFERROR(IF(VLOOKUP(BY379,УГО_блоки,3,FALSE)&amp;""&lt;&gt;"",VLOOKUP(BY379,УГО_блоки,3,FALSE),VLOOKUP(BY379,УГО_блоки,2,FALSE)),BY379)))</f>
      </c>
      <c r="BL379" s="129">
        <f t="shared" si="249"/>
      </c>
      <c r="BM379" s="129">
        <f>IF(H379="","",IF(COUNTIF($H$3:H379,H379)=1,MAX($BM$2:BM378)+1,""))</f>
      </c>
      <c r="BN379" s="129">
        <f>IF(I379="","",IF(COUNTIF($I$3:I379,I379)+COUNTIF($J$2:J378,I379)+COUNTIF($K$2:K378,I379)=1,MAX($BN$2:BP378)+1,""))</f>
      </c>
      <c r="BO379" s="129">
        <f>IF(J379="","",IF(COUNTIF($I$3:I379,J379)+COUNTIF($J$3:J379,J379)+COUNTIF($K$2:K378,J379)=1,MAX($BN$2:BP378,BN379)+1,""))</f>
      </c>
      <c r="BP379" s="129">
        <f>IF(K379="","",IF(COUNTIF($I$3:I379,K379)+COUNTIF($J$3:J379,K379)+COUNTIF($K$3:K379,K379)=1,MAX($BN$2:BP378,BN379,BO379)+1,""))</f>
      </c>
      <c r="BQ379" s="129">
        <f>IF(AY379=1,IFERROR(MID(Q379,FIND(" (",Q379)+2,FIND(")",Q379,FIND(" (",Q379))-FIND(" (",Q379)-2),"?"),"")</f>
      </c>
      <c r="BR379" s="129">
        <f>IF(BQ379="","",IF(COUNTIF($BQ$3:BQ379,BQ379)=1,MAX($BR$2:BR378)+1,""))</f>
      </c>
      <c r="BS379" s="129">
        <f>IF(AW379="","",COUNTIF($AW$3:AW379,"?*"))</f>
      </c>
      <c r="BT379" s="129">
        <f>IF(OR(AW379="",AI379=""),"",IF(COUNTIFS($AW$3:AW379,"?*",$AI$3:AI379,AI379)=1,MAX($BT$2:BT378)+1,""))</f>
      </c>
      <c r="BU379" s="129">
        <f>IF(AE379="",0,IF(OR(ISNUMBER(SEARCH("дубль",AE379)),ISNUMBER(SEARCH("ПЕРЕГРУЗ",AE379)),ISNUMBER(SEARCH("ЗАЩИЩ",AE379)),ISNUMBER(SEARCH("КАНАЛ",AE379)),ISNUMBER(SEARCH("без 30",AE379))),2,1))</f>
      </c>
      <c r="BV379" s="129">
        <f>IF(R379="","",COUNTIF($R$3:R379,"?*"))</f>
      </c>
      <c r="BW379" s="129">
        <f>IF(AY379&lt;&gt;1,0,IF(MAX(IFERROR(--VLOOKUP(R379,УГО_спр,5,FALSE),0),IFERROR(--VLOOKUP(AL379,УГО_спр,5,FALSE),0),IFERROR(--VLOOKUP(LEFT(AL379,2),УГО_спр,5,FALSE),0))&gt;0,MAX(IFERROR(--VLOOKUP(R379,УГО_спр,5,FALSE),0),IFERROR(--VLOOKUP(AL379,УГО_спр,5,FALSE),0),IFERROR(--VLOOKUP(LEFT(AL379,2),УГО_спр,5,FALSE),0)),IF(IFERROR(--LEFT(SUBSTITUTE(BQ379,"x","х"),FIND("х",SUBSTITUTE(BQ379,"x","х"))-1),3)&gt;3,Каталог!$S$9,1)))</f>
      </c>
      <c r="BX379" s="129">
        <f>IF(AY379&lt;&gt;1,0,MAX(0,IFERROR(--LEFT(SUBSTITUTE(BQ379,"x","х"),FIND("х",SUBSTITUTE(BQ379,"x","х"))-1),3)-3*BW379))</f>
      </c>
      <c r="BY379" s="129">
        <f>IF(R379="","",IFERROR(VLOOKUP(R379,УГО_спр,2,FALSE),IFERROR(VLOOKUP(AL379,УГО_спр,2,FALSE),IFERROR(VLOOKUP(LEFT(AL379,2),УГО_спр,2,FALSE),""))))</f>
      </c>
    </row>
    <row r="380" spans="1:64" x14ac:dyDescent="0.3">
      <c r="A380" s="135">
        <f>IF(Разбивка_по_щитам!F380=0,"",Разбивка_по_щитам!F380)</f>
      </c>
      <c r="B380" s="138">
        <f>IF(A380="","",Разбивка_по_щитам!C380)</f>
      </c>
      <c r="C380" s="138">
        <f t="shared" si="214"/>
      </c>
      <c r="D380" s="266"/>
      <c r="E380" s="266"/>
      <c r="F380" s="267"/>
      <c r="G380" s="145">
        <f t="shared" si="254"/>
        <v/>
      </c>
      <c r="H380" s="145">
        <f t="shared" si="255"/>
        <v/>
      </c>
      <c r="I380" s="266"/>
      <c r="J380" s="267"/>
      <c r="K380" s="267"/>
      <c r="L380" s="266"/>
      <c r="M380" s="147">
        <f t="shared" si="256"/>
        <v/>
      </c>
      <c r="N380" s="267"/>
      <c r="O380" s="147">
        <f t="shared" si="257"/>
        <v/>
      </c>
      <c r="P380" s="268">
        <f>IF(AY380=1,"XT"&amp;COUNTIFS($A$3:A380,A380,$AY$3:AY380,1),"")</f>
        <v/>
      </c>
      <c r="Q380" s="152">
        <f>IF(R380="","",IFERROR(SUBSTITUTE(Разбивка_по_щитам!P380,CHAR(10)," "),""))</f>
        <v/>
      </c>
      <c r="R380" s="153">
        <f>IF(OR(Разбивка_по_щитам!H380="",Разбивка_по_щитам!H380=0),"",Разбивка_по_щитам!H380)</f>
        <v/>
      </c>
      <c r="S380" s="154">
        <f>IF(R380="","",IFERROR(Разбивка_по_щитам!J380&amp;"",""))</f>
        <v/>
      </c>
      <c r="T380" s="155">
        <f>IF(R380="","",IFERROR(--Разбивка_по_щитам!L380,""))</f>
        <v/>
      </c>
      <c r="U380" s="155">
        <f>IF(R380="","",IFERROR(--Разбивка_по_щитам!K380,""))</f>
        <v/>
      </c>
      <c r="V380" s="138">
        <f>IF(R380="","",IFERROR(IF(Разбивка_по_щитам!M380=0,"",Разбивка_по_щитам!M380),""))</f>
        <v/>
      </c>
      <c r="W380" s="156">
        <f t="shared" si="215"/>
        <v/>
      </c>
      <c r="X380" s="157">
        <f t="shared" si="216"/>
        <v/>
      </c>
      <c r="Y380" s="266"/>
      <c r="Z380" s="158">
        <f t="shared" si="217"/>
        <v/>
      </c>
      <c r="AA380" s="160">
        <f t="shared" si="218"/>
        <v/>
      </c>
      <c r="AB380" s="160">
        <f>IF(R380="","",IFERROR(LOOKUP(INDEX(Справочная!$I$4:$I$19,MATCH(VLOOKUP(R380,Исходные_данные,22,FALSE),Справочная!$J$4:$J$19,0)+1),{6,10,16,20,25,32,40,50,63,80,100,125}),""))</f>
        <v/>
      </c>
      <c r="AC380" s="160">
        <f t="shared" si="219"/>
        <v/>
      </c>
      <c r="AD380" s="161">
        <f t="shared" si="220"/>
        <v/>
      </c>
      <c r="AE380" s="161">
        <f>IF(AND(R380="",G380=""),"",_xlfn.TEXTJOIN("; ",TRUE,IF(AND(R380&lt;&gt;"",V380=""),"нет фазы",""),IF(AND(R380&lt;&gt;"",N(T380)=0),"нет мощности",""),IF(AND(P380&lt;&gt;"",COUNTIFS($A$3:$A$1000,A380,$P$3:$P$1000,P380)&gt;1),"дубль клеммы "&amp;P380,""),IF(AND(W380&lt;&gt;"",W380&lt;&gt;"ok"),W380,""),IF(X380&lt;&gt;"",X380,""),IF(AND(ISNUMBER(SEARCH("(5х",Q380)),N(AK380)=1),"5 жил на 1 фазе",""),IF(AND(AL380="R",E380&lt;&gt;"",N(AS380)=0),"розетка без 30 мА",""),IF(IFERROR(_xlfn.NUMBERVALUE(MID(Q380,FIND("-",Q380,FIND("L=",Q380))+1,FIND("%",Q380)-FIND("-",Q380,FIND("L=",Q380))-1),","),0)&gt;4,"потери &gt; 4 %","")))</f>
      </c>
      <c r="AF380" s="129">
        <f>IF(E380&lt;&gt;"",COUNTIFS($A$3:A380,A380,$E$3:E380,"?*"),IF(OR(A380&lt;&gt;A379,Y380="вручную"),"",AF379))</f>
      </c>
      <c r="AG380" s="129">
        <f t="shared" si="221"/>
      </c>
      <c r="AH380" s="129">
        <f t="shared" si="222"/>
        <v/>
      </c>
      <c r="AI380" s="129">
        <f t="shared" si="223"/>
        <v/>
      </c>
      <c r="AJ380" s="129">
        <f t="shared" si="224"/>
        <v/>
      </c>
      <c r="AK380" s="129">
        <f t="shared" si="225"/>
        <v/>
      </c>
      <c r="AL380" s="129">
        <f t="shared" si="226"/>
        <v/>
      </c>
      <c r="AM380" s="129">
        <f t="shared" si="227"/>
      </c>
      <c r="AN380" s="129">
        <f t="shared" si="228"/>
      </c>
      <c r="AO380" s="129">
        <f t="shared" si="229"/>
        <v/>
      </c>
      <c r="AP380" s="129">
        <f t="shared" si="230"/>
        <v/>
      </c>
      <c r="AQ380" s="129">
        <f t="shared" si="231"/>
        <v/>
      </c>
      <c r="AR380" s="129">
        <f t="shared" si="232"/>
        <v/>
      </c>
      <c r="AS380" s="129">
        <f t="shared" si="233"/>
        <v/>
      </c>
      <c r="AT380" s="129">
        <f t="shared" si="234"/>
        <v/>
      </c>
      <c r="AU380" s="129">
        <f t="shared" si="235"/>
        <v/>
      </c>
      <c r="AV380" s="129">
        <f t="shared" si="236"/>
        <v/>
      </c>
      <c r="AW380" s="129">
        <f>IF(AV380="","",AV380&amp;"."&amp;COUNTIFS($A$3:A380,A380,$AV$3:AV380,AV380))</f>
        <v/>
      </c>
      <c r="AX380" s="129">
        <f t="shared" si="237"/>
        <v/>
      </c>
      <c r="AY380" s="129">
        <f>IF(N380="б/к",0,IF(OR(ISNUMBER(SEARCH("L=",Разбивка_по_щитам!P380)),N380="+",N380="="),1,0))</f>
      </c>
      <c r="AZ380" s="129">
        <f t="shared" si="238"/>
      </c>
      <c r="BA380" s="129">
        <f t="shared" si="239"/>
      </c>
      <c r="BB380" s="129">
        <f t="shared" si="240"/>
      </c>
      <c r="BD380" s="129">
        <f t="shared" si="241"/>
      </c>
      <c r="BE380" s="129">
        <f t="shared" si="242"/>
      </c>
      <c r="BF380" s="129">
        <f t="shared" si="243"/>
      </c>
      <c r="BG380" s="129">
        <f t="shared" si="244"/>
        <v/>
      </c>
      <c r="BH380" s="129">
        <f t="shared" si="245"/>
        <v/>
      </c>
      <c r="BI380" s="129">
        <f t="shared" si="246"/>
        <v/>
      </c>
      <c r="BJ380" s="129">
        <f t="shared" si="247"/>
        <v/>
      </c>
      <c r="BK380" s="129">
        <f>IF(R380="","",IF(OR(BY380="",BY380=0),"BOX",IFERROR(IF(VLOOKUP(BY380,УГО_блоки,3,FALSE)&amp;""&lt;&gt;"",VLOOKUP(BY380,УГО_блоки,3,FALSE),VLOOKUP(BY380,УГО_блоки,2,FALSE)),BY380)))</f>
      </c>
      <c r="BL380" s="129">
        <f t="shared" si="249"/>
      </c>
      <c r="BM380" s="129">
        <f>IF(H380="","",IF(COUNTIF($H$3:H380,H380)=1,MAX($BM$2:BM379)+1,""))</f>
      </c>
      <c r="BN380" s="129">
        <f>IF(I380="","",IF(COUNTIF($I$3:I380,I380)+COUNTIF($J$2:J379,I380)+COUNTIF($K$2:K379,I380)=1,MAX($BN$2:BP379)+1,""))</f>
      </c>
      <c r="BO380" s="129">
        <f>IF(J380="","",IF(COUNTIF($I$3:I380,J380)+COUNTIF($J$3:J380,J380)+COUNTIF($K$2:K379,J380)=1,MAX($BN$2:BP379,BN380)+1,""))</f>
      </c>
      <c r="BP380" s="129">
        <f>IF(K380="","",IF(COUNTIF($I$3:I380,K380)+COUNTIF($J$3:J380,K380)+COUNTIF($K$3:K380,K380)=1,MAX($BN$2:BP379,BN380,BO380)+1,""))</f>
      </c>
      <c r="BQ380" s="129">
        <f>IF(AY380=1,IFERROR(MID(Q380,FIND(" (",Q380)+2,FIND(")",Q380,FIND(" (",Q380))-FIND(" (",Q380)-2),"?"),"")</f>
      </c>
      <c r="BR380" s="129">
        <f>IF(BQ380="","",IF(COUNTIF($BQ$3:BQ380,BQ380)=1,MAX($BR$2:BR379)+1,""))</f>
      </c>
      <c r="BS380" s="129">
        <f>IF(AW380="","",COUNTIF($AW$3:AW380,"?*"))</f>
      </c>
      <c r="BT380" s="129">
        <f>IF(OR(AW380="",AI380=""),"",IF(COUNTIFS($AW$3:AW380,"?*",$AI$3:AI380,AI380)=1,MAX($BT$2:BT379)+1,""))</f>
      </c>
      <c r="BU380" s="129">
        <f>IF(AE380="",0,IF(OR(ISNUMBER(SEARCH("дубль",AE380)),ISNUMBER(SEARCH("ПЕРЕГРУЗ",AE380)),ISNUMBER(SEARCH("ЗАЩИЩ",AE380)),ISNUMBER(SEARCH("КАНАЛ",AE380)),ISNUMBER(SEARCH("без 30",AE380))),2,1))</f>
      </c>
      <c r="BV380" s="129">
        <f>IF(R380="","",COUNTIF($R$3:R380,"?*"))</f>
      </c>
      <c r="BW380" s="129">
        <f>IF(AY380&lt;&gt;1,0,IF(MAX(IFERROR(--VLOOKUP(R380,УГО_спр,5,FALSE),0),IFERROR(--VLOOKUP(AL380,УГО_спр,5,FALSE),0),IFERROR(--VLOOKUP(LEFT(AL380,2),УГО_спр,5,FALSE),0))&gt;0,MAX(IFERROR(--VLOOKUP(R380,УГО_спр,5,FALSE),0),IFERROR(--VLOOKUP(AL380,УГО_спр,5,FALSE),0),IFERROR(--VLOOKUP(LEFT(AL380,2),УГО_спр,5,FALSE),0)),IF(IFERROR(--LEFT(SUBSTITUTE(BQ380,"x","х"),FIND("х",SUBSTITUTE(BQ380,"x","х"))-1),3)&gt;3,Каталог!$S$9,1)))</f>
      </c>
      <c r="BX380" s="129">
        <f>IF(AY380&lt;&gt;1,0,MAX(0,IFERROR(--LEFT(SUBSTITUTE(BQ380,"x","х"),FIND("х",SUBSTITUTE(BQ380,"x","х"))-1),3)-3*BW380))</f>
      </c>
      <c r="BY380" s="129">
        <f>IF(R380="","",IFERROR(VLOOKUP(R380,УГО_спр,2,FALSE),IFERROR(VLOOKUP(AL380,УГО_спр,2,FALSE),IFERROR(VLOOKUP(LEFT(AL380,2),УГО_спр,2,FALSE),""))))</f>
      </c>
    </row>
    <row r="381" spans="1:64" x14ac:dyDescent="0.3">
      <c r="A381" s="135">
        <f>IF(Разбивка_по_щитам!F381=0,"",Разбивка_по_щитам!F381)</f>
      </c>
      <c r="B381" s="138">
        <f>IF(A381="","",Разбивка_по_щитам!C381)</f>
      </c>
      <c r="C381" s="138">
        <f t="shared" si="214"/>
      </c>
      <c r="D381" s="266"/>
      <c r="E381" s="266"/>
      <c r="F381" s="267"/>
      <c r="G381" s="145">
        <f t="shared" si="254"/>
        <v/>
      </c>
      <c r="H381" s="145">
        <f t="shared" si="255"/>
        <v/>
      </c>
      <c r="I381" s="266"/>
      <c r="J381" s="267"/>
      <c r="K381" s="267"/>
      <c r="L381" s="266"/>
      <c r="M381" s="147">
        <f t="shared" si="256"/>
        <v/>
      </c>
      <c r="N381" s="267"/>
      <c r="O381" s="147">
        <f t="shared" si="257"/>
        <v/>
      </c>
      <c r="P381" s="268">
        <f>IF(AY381=1,"XT"&amp;COUNTIFS($A$3:A381,A381,$AY$3:AY381,1),"")</f>
        <v/>
      </c>
      <c r="Q381" s="152">
        <f>IF(R381="","",IFERROR(SUBSTITUTE(Разбивка_по_щитам!P381,CHAR(10)," "),""))</f>
        <v/>
      </c>
      <c r="R381" s="153">
        <f>IF(OR(Разбивка_по_щитам!H381="",Разбивка_по_щитам!H381=0),"",Разбивка_по_щитам!H381)</f>
        <v/>
      </c>
      <c r="S381" s="154">
        <f>IF(R381="","",IFERROR(Разбивка_по_щитам!J381&amp;"",""))</f>
        <v/>
      </c>
      <c r="T381" s="155">
        <f>IF(R381="","",IFERROR(--Разбивка_по_щитам!L381,""))</f>
        <v/>
      </c>
      <c r="U381" s="155">
        <f>IF(R381="","",IFERROR(--Разбивка_по_щитам!K381,""))</f>
        <v/>
      </c>
      <c r="V381" s="138">
        <f>IF(R381="","",IFERROR(IF(Разбивка_по_щитам!M381=0,"",Разбивка_по_щитам!M381),""))</f>
        <v/>
      </c>
      <c r="W381" s="156">
        <f t="shared" si="215"/>
        <v/>
      </c>
      <c r="X381" s="157">
        <f t="shared" si="216"/>
        <v/>
      </c>
      <c r="Y381" s="266"/>
      <c r="Z381" s="158">
        <f t="shared" si="217"/>
        <v/>
      </c>
      <c r="AA381" s="160">
        <f t="shared" si="218"/>
        <v/>
      </c>
      <c r="AB381" s="160">
        <f>IF(R381="","",IFERROR(LOOKUP(INDEX(Справочная!$I$4:$I$19,MATCH(VLOOKUP(R381,Исходные_данные,22,FALSE),Справочная!$J$4:$J$19,0)+1),{6,10,16,20,25,32,40,50,63,80,100,125}),""))</f>
        <v/>
      </c>
      <c r="AC381" s="160">
        <f t="shared" si="219"/>
        <v/>
      </c>
      <c r="AD381" s="161">
        <f t="shared" si="220"/>
        <v/>
      </c>
      <c r="AE381" s="161">
        <f>IF(AND(R381="",G381=""),"",_xlfn.TEXTJOIN("; ",TRUE,IF(AND(R381&lt;&gt;"",V381=""),"нет фазы",""),IF(AND(R381&lt;&gt;"",N(T381)=0),"нет мощности",""),IF(AND(P381&lt;&gt;"",COUNTIFS($A$3:$A$1000,A381,$P$3:$P$1000,P381)&gt;1),"дубль клеммы "&amp;P381,""),IF(AND(W381&lt;&gt;"",W381&lt;&gt;"ok"),W381,""),IF(X381&lt;&gt;"",X381,""),IF(AND(ISNUMBER(SEARCH("(5х",Q381)),N(AK381)=1),"5 жил на 1 фазе",""),IF(AND(AL381="R",E381&lt;&gt;"",N(AS381)=0),"розетка без 30 мА",""),IF(IFERROR(_xlfn.NUMBERVALUE(MID(Q381,FIND("-",Q381,FIND("L=",Q381))+1,FIND("%",Q381)-FIND("-",Q381,FIND("L=",Q381))-1),","),0)&gt;4,"потери &gt; 4 %","")))</f>
      </c>
      <c r="AF381" s="129">
        <f>IF(E381&lt;&gt;"",COUNTIFS($A$3:A381,A381,$E$3:E381,"?*"),IF(OR(A381&lt;&gt;A380,Y381="вручную"),"",AF380))</f>
      </c>
      <c r="AG381" s="129">
        <f t="shared" si="221"/>
      </c>
      <c r="AH381" s="129">
        <f t="shared" si="222"/>
        <v/>
      </c>
      <c r="AI381" s="129">
        <f t="shared" si="223"/>
        <v/>
      </c>
      <c r="AJ381" s="129">
        <f t="shared" si="224"/>
        <v/>
      </c>
      <c r="AK381" s="129">
        <f t="shared" si="225"/>
        <v/>
      </c>
      <c r="AL381" s="129">
        <f t="shared" si="226"/>
        <v/>
      </c>
      <c r="AM381" s="129">
        <f t="shared" si="227"/>
      </c>
      <c r="AN381" s="129">
        <f t="shared" si="228"/>
      </c>
      <c r="AO381" s="129">
        <f t="shared" si="229"/>
        <v/>
      </c>
      <c r="AP381" s="129">
        <f t="shared" si="230"/>
        <v/>
      </c>
      <c r="AQ381" s="129">
        <f t="shared" si="231"/>
        <v/>
      </c>
      <c r="AR381" s="129">
        <f t="shared" si="232"/>
        <v/>
      </c>
      <c r="AS381" s="129">
        <f t="shared" si="233"/>
        <v/>
      </c>
      <c r="AT381" s="129">
        <f t="shared" si="234"/>
        <v/>
      </c>
      <c r="AU381" s="129">
        <f t="shared" si="235"/>
        <v/>
      </c>
      <c r="AV381" s="129">
        <f t="shared" si="236"/>
        <v/>
      </c>
      <c r="AW381" s="129">
        <f>IF(AV381="","",AV381&amp;"."&amp;COUNTIFS($A$3:A381,A381,$AV$3:AV381,AV381))</f>
        <v/>
      </c>
      <c r="AX381" s="129">
        <f t="shared" si="237"/>
        <v/>
      </c>
      <c r="AY381" s="129">
        <f>IF(N381="б/к",0,IF(OR(ISNUMBER(SEARCH("L=",Разбивка_по_щитам!P381)),N381="+",N381="="),1,0))</f>
      </c>
      <c r="AZ381" s="129">
        <f t="shared" si="238"/>
      </c>
      <c r="BA381" s="129">
        <f t="shared" si="239"/>
      </c>
      <c r="BB381" s="129">
        <f t="shared" si="240"/>
      </c>
      <c r="BD381" s="129">
        <f t="shared" si="241"/>
      </c>
      <c r="BE381" s="129">
        <f t="shared" si="242"/>
      </c>
      <c r="BF381" s="129">
        <f t="shared" si="243"/>
      </c>
      <c r="BG381" s="129">
        <f t="shared" si="244"/>
        <v/>
      </c>
      <c r="BH381" s="129">
        <f t="shared" si="245"/>
        <v/>
      </c>
      <c r="BI381" s="129">
        <f t="shared" si="246"/>
        <v/>
      </c>
      <c r="BJ381" s="129">
        <f t="shared" si="247"/>
        <v/>
      </c>
      <c r="BK381" s="129">
        <f>IF(R381="","",IF(OR(BY381="",BY381=0),"BOX",IFERROR(IF(VLOOKUP(BY381,УГО_блоки,3,FALSE)&amp;""&lt;&gt;"",VLOOKUP(BY381,УГО_блоки,3,FALSE),VLOOKUP(BY381,УГО_блоки,2,FALSE)),BY381)))</f>
      </c>
      <c r="BL381" s="129">
        <f t="shared" si="249"/>
      </c>
      <c r="BM381" s="129">
        <f>IF(H381="","",IF(COUNTIF($H$3:H381,H381)=1,MAX($BM$2:BM380)+1,""))</f>
      </c>
      <c r="BN381" s="129">
        <f>IF(I381="","",IF(COUNTIF($I$3:I381,I381)+COUNTIF($J$2:J380,I381)+COUNTIF($K$2:K380,I381)=1,MAX($BN$2:BP380)+1,""))</f>
      </c>
      <c r="BO381" s="129">
        <f>IF(J381="","",IF(COUNTIF($I$3:I381,J381)+COUNTIF($J$3:J381,J381)+COUNTIF($K$2:K380,J381)=1,MAX($BN$2:BP380,BN381)+1,""))</f>
      </c>
      <c r="BP381" s="129">
        <f>IF(K381="","",IF(COUNTIF($I$3:I381,K381)+COUNTIF($J$3:J381,K381)+COUNTIF($K$3:K381,K381)=1,MAX($BN$2:BP380,BN381,BO381)+1,""))</f>
      </c>
      <c r="BQ381" s="129">
        <f>IF(AY381=1,IFERROR(MID(Q381,FIND(" (",Q381)+2,FIND(")",Q381,FIND(" (",Q381))-FIND(" (",Q381)-2),"?"),"")</f>
      </c>
      <c r="BR381" s="129">
        <f>IF(BQ381="","",IF(COUNTIF($BQ$3:BQ381,BQ381)=1,MAX($BR$2:BR380)+1,""))</f>
      </c>
      <c r="BS381" s="129">
        <f>IF(AW381="","",COUNTIF($AW$3:AW381,"?*"))</f>
      </c>
      <c r="BT381" s="129">
        <f>IF(OR(AW381="",AI381=""),"",IF(COUNTIFS($AW$3:AW381,"?*",$AI$3:AI381,AI381)=1,MAX($BT$2:BT380)+1,""))</f>
      </c>
      <c r="BU381" s="129">
        <f>IF(AE381="",0,IF(OR(ISNUMBER(SEARCH("дубль",AE381)),ISNUMBER(SEARCH("ПЕРЕГРУЗ",AE381)),ISNUMBER(SEARCH("ЗАЩИЩ",AE381)),ISNUMBER(SEARCH("КАНАЛ",AE381)),ISNUMBER(SEARCH("без 30",AE381))),2,1))</f>
      </c>
      <c r="BV381" s="129">
        <f>IF(R381="","",COUNTIF($R$3:R381,"?*"))</f>
      </c>
      <c r="BW381" s="129">
        <f>IF(AY381&lt;&gt;1,0,IF(MAX(IFERROR(--VLOOKUP(R381,УГО_спр,5,FALSE),0),IFERROR(--VLOOKUP(AL381,УГО_спр,5,FALSE),0),IFERROR(--VLOOKUP(LEFT(AL381,2),УГО_спр,5,FALSE),0))&gt;0,MAX(IFERROR(--VLOOKUP(R381,УГО_спр,5,FALSE),0),IFERROR(--VLOOKUP(AL381,УГО_спр,5,FALSE),0),IFERROR(--VLOOKUP(LEFT(AL381,2),УГО_спр,5,FALSE),0)),IF(IFERROR(--LEFT(SUBSTITUTE(BQ381,"x","х"),FIND("х",SUBSTITUTE(BQ381,"x","х"))-1),3)&gt;3,Каталог!$S$9,1)))</f>
      </c>
      <c r="BX381" s="129">
        <f>IF(AY381&lt;&gt;1,0,MAX(0,IFERROR(--LEFT(SUBSTITUTE(BQ381,"x","х"),FIND("х",SUBSTITUTE(BQ381,"x","х"))-1),3)-3*BW381))</f>
      </c>
      <c r="BY381" s="129">
        <f>IF(R381="","",IFERROR(VLOOKUP(R381,УГО_спр,2,FALSE),IFERROR(VLOOKUP(AL381,УГО_спр,2,FALSE),IFERROR(VLOOKUP(LEFT(AL381,2),УГО_спр,2,FALSE),""))))</f>
      </c>
    </row>
    <row r="382" spans="1:64" x14ac:dyDescent="0.3">
      <c r="A382" s="135">
        <f>IF(Разбивка_по_щитам!F382=0,"",Разбивка_по_щитам!F382)</f>
      </c>
      <c r="B382" s="138">
        <f>IF(A382="","",Разбивка_по_щитам!C382)</f>
      </c>
      <c r="C382" s="138">
        <f t="shared" si="214"/>
      </c>
      <c r="D382" s="266"/>
      <c r="E382" s="266"/>
      <c r="F382" s="267"/>
      <c r="G382" s="145">
        <f t="shared" si="254"/>
        <v/>
      </c>
      <c r="H382" s="145">
        <f t="shared" si="255"/>
        <v/>
      </c>
      <c r="I382" s="266"/>
      <c r="J382" s="267"/>
      <c r="K382" s="267"/>
      <c r="L382" s="266"/>
      <c r="M382" s="147">
        <f t="shared" si="256"/>
        <v/>
      </c>
      <c r="N382" s="267"/>
      <c r="O382" s="147">
        <f t="shared" si="257"/>
        <v/>
      </c>
      <c r="P382" s="268">
        <f>IF(AY382=1,"XT"&amp;COUNTIFS($A$3:A382,A382,$AY$3:AY382,1),"")</f>
        <v/>
      </c>
      <c r="Q382" s="152">
        <f>IF(R382="","",IFERROR(SUBSTITUTE(Разбивка_по_щитам!P382,CHAR(10)," "),""))</f>
        <v/>
      </c>
      <c r="R382" s="153">
        <f>IF(OR(Разбивка_по_щитам!H382="",Разбивка_по_щитам!H382=0),"",Разбивка_по_щитам!H382)</f>
        <v/>
      </c>
      <c r="S382" s="154">
        <f>IF(R382="","",IFERROR(Разбивка_по_щитам!J382&amp;"",""))</f>
        <v/>
      </c>
      <c r="T382" s="155">
        <f>IF(R382="","",IFERROR(--Разбивка_по_щитам!L382,""))</f>
        <v/>
      </c>
      <c r="U382" s="155">
        <f>IF(R382="","",IFERROR(--Разбивка_по_щитам!K382,""))</f>
        <v/>
      </c>
      <c r="V382" s="138">
        <f>IF(R382="","",IFERROR(IF(Разбивка_по_щитам!M382=0,"",Разбивка_по_щитам!M382),""))</f>
        <v/>
      </c>
      <c r="W382" s="156">
        <f t="shared" si="215"/>
        <v/>
      </c>
      <c r="X382" s="157">
        <f t="shared" si="216"/>
        <v/>
      </c>
      <c r="Y382" s="266"/>
      <c r="Z382" s="158">
        <f t="shared" si="217"/>
        <v/>
      </c>
      <c r="AA382" s="160">
        <f t="shared" si="218"/>
        <v/>
      </c>
      <c r="AB382" s="160">
        <f>IF(R382="","",IFERROR(LOOKUP(INDEX(Справочная!$I$4:$I$19,MATCH(VLOOKUP(R382,Исходные_данные,22,FALSE),Справочная!$J$4:$J$19,0)+1),{6,10,16,20,25,32,40,50,63,80,100,125}),""))</f>
        <v/>
      </c>
      <c r="AC382" s="160">
        <f t="shared" si="219"/>
        <v/>
      </c>
      <c r="AD382" s="161">
        <f t="shared" si="220"/>
        <v/>
      </c>
      <c r="AE382" s="161">
        <f>IF(AND(R382="",G382=""),"",_xlfn.TEXTJOIN("; ",TRUE,IF(AND(R382&lt;&gt;"",V382=""),"нет фазы",""),IF(AND(R382&lt;&gt;"",N(T382)=0),"нет мощности",""),IF(AND(P382&lt;&gt;"",COUNTIFS($A$3:$A$1000,A382,$P$3:$P$1000,P382)&gt;1),"дубль клеммы "&amp;P382,""),IF(AND(W382&lt;&gt;"",W382&lt;&gt;"ok"),W382,""),IF(X382&lt;&gt;"",X382,""),IF(AND(ISNUMBER(SEARCH("(5х",Q382)),N(AK382)=1),"5 жил на 1 фазе",""),IF(AND(AL382="R",E382&lt;&gt;"",N(AS382)=0),"розетка без 30 мА",""),IF(IFERROR(_xlfn.NUMBERVALUE(MID(Q382,FIND("-",Q382,FIND("L=",Q382))+1,FIND("%",Q382)-FIND("-",Q382,FIND("L=",Q382))-1),","),0)&gt;4,"потери &gt; 4 %","")))</f>
      </c>
      <c r="AF382" s="129">
        <f>IF(E382&lt;&gt;"",COUNTIFS($A$3:A382,A382,$E$3:E382,"?*"),IF(OR(A382&lt;&gt;A381,Y382="вручную"),"",AF381))</f>
      </c>
      <c r="AG382" s="129">
        <f t="shared" si="221"/>
      </c>
      <c r="AH382" s="129">
        <f t="shared" si="222"/>
        <v/>
      </c>
      <c r="AI382" s="129">
        <f t="shared" si="223"/>
        <v/>
      </c>
      <c r="AJ382" s="129">
        <f t="shared" si="224"/>
        <v/>
      </c>
      <c r="AK382" s="129">
        <f t="shared" si="225"/>
        <v/>
      </c>
      <c r="AL382" s="129">
        <f t="shared" si="226"/>
        <v/>
      </c>
      <c r="AM382" s="129">
        <f t="shared" si="227"/>
      </c>
      <c r="AN382" s="129">
        <f t="shared" si="228"/>
      </c>
      <c r="AO382" s="129">
        <f t="shared" si="229"/>
        <v/>
      </c>
      <c r="AP382" s="129">
        <f t="shared" si="230"/>
        <v/>
      </c>
      <c r="AQ382" s="129">
        <f t="shared" si="231"/>
        <v/>
      </c>
      <c r="AR382" s="129">
        <f t="shared" si="232"/>
        <v/>
      </c>
      <c r="AS382" s="129">
        <f t="shared" si="233"/>
        <v/>
      </c>
      <c r="AT382" s="129">
        <f t="shared" si="234"/>
        <v/>
      </c>
      <c r="AU382" s="129">
        <f t="shared" si="235"/>
        <v/>
      </c>
      <c r="AV382" s="129">
        <f t="shared" si="236"/>
        <v/>
      </c>
      <c r="AW382" s="129">
        <f>IF(AV382="","",AV382&amp;"."&amp;COUNTIFS($A$3:A382,A382,$AV$3:AV382,AV382))</f>
        <v/>
      </c>
      <c r="AX382" s="129">
        <f t="shared" si="237"/>
        <v/>
      </c>
      <c r="AY382" s="129">
        <f>IF(N382="б/к",0,IF(OR(ISNUMBER(SEARCH("L=",Разбивка_по_щитам!P382)),N382="+",N382="="),1,0))</f>
      </c>
      <c r="AZ382" s="129">
        <f t="shared" si="238"/>
      </c>
      <c r="BA382" s="129">
        <f t="shared" si="239"/>
      </c>
      <c r="BB382" s="129">
        <f t="shared" si="240"/>
      </c>
      <c r="BD382" s="129">
        <f t="shared" si="241"/>
      </c>
      <c r="BE382" s="129">
        <f t="shared" si="242"/>
      </c>
      <c r="BF382" s="129">
        <f t="shared" si="243"/>
      </c>
      <c r="BG382" s="129">
        <f t="shared" si="244"/>
        <v/>
      </c>
      <c r="BH382" s="129">
        <f t="shared" si="245"/>
        <v/>
      </c>
      <c r="BI382" s="129">
        <f t="shared" si="246"/>
        <v/>
      </c>
      <c r="BJ382" s="129">
        <f t="shared" si="247"/>
        <v/>
      </c>
      <c r="BK382" s="129">
        <f>IF(R382="","",IF(OR(BY382="",BY382=0),"BOX",IFERROR(IF(VLOOKUP(BY382,УГО_блоки,3,FALSE)&amp;""&lt;&gt;"",VLOOKUP(BY382,УГО_блоки,3,FALSE),VLOOKUP(BY382,УГО_блоки,2,FALSE)),BY382)))</f>
      </c>
      <c r="BL382" s="129">
        <f t="shared" si="249"/>
      </c>
      <c r="BM382" s="129">
        <f>IF(H382="","",IF(COUNTIF($H$3:H382,H382)=1,MAX($BM$2:BM381)+1,""))</f>
      </c>
      <c r="BN382" s="129">
        <f>IF(I382="","",IF(COUNTIF($I$3:I382,I382)+COUNTIF($J$2:J381,I382)+COUNTIF($K$2:K381,I382)=1,MAX($BN$2:BP381)+1,""))</f>
      </c>
      <c r="BO382" s="129">
        <f>IF(J382="","",IF(COUNTIF($I$3:I382,J382)+COUNTIF($J$3:J382,J382)+COUNTIF($K$2:K381,J382)=1,MAX($BN$2:BP381,BN382)+1,""))</f>
      </c>
      <c r="BP382" s="129">
        <f>IF(K382="","",IF(COUNTIF($I$3:I382,K382)+COUNTIF($J$3:J382,K382)+COUNTIF($K$3:K382,K382)=1,MAX($BN$2:BP381,BN382,BO382)+1,""))</f>
      </c>
      <c r="BQ382" s="129">
        <f>IF(AY382=1,IFERROR(MID(Q382,FIND(" (",Q382)+2,FIND(")",Q382,FIND(" (",Q382))-FIND(" (",Q382)-2),"?"),"")</f>
      </c>
      <c r="BR382" s="129">
        <f>IF(BQ382="","",IF(COUNTIF($BQ$3:BQ382,BQ382)=1,MAX($BR$2:BR381)+1,""))</f>
      </c>
      <c r="BS382" s="129">
        <f>IF(AW382="","",COUNTIF($AW$3:AW382,"?*"))</f>
      </c>
      <c r="BT382" s="129">
        <f>IF(OR(AW382="",AI382=""),"",IF(COUNTIFS($AW$3:AW382,"?*",$AI$3:AI382,AI382)=1,MAX($BT$2:BT381)+1,""))</f>
      </c>
      <c r="BU382" s="129">
        <f>IF(AE382="",0,IF(OR(ISNUMBER(SEARCH("дубль",AE382)),ISNUMBER(SEARCH("ПЕРЕГРУЗ",AE382)),ISNUMBER(SEARCH("ЗАЩИЩ",AE382)),ISNUMBER(SEARCH("КАНАЛ",AE382)),ISNUMBER(SEARCH("без 30",AE382))),2,1))</f>
      </c>
      <c r="BV382" s="129">
        <f>IF(R382="","",COUNTIF($R$3:R382,"?*"))</f>
      </c>
      <c r="BW382" s="129">
        <f>IF(AY382&lt;&gt;1,0,IF(MAX(IFERROR(--VLOOKUP(R382,УГО_спр,5,FALSE),0),IFERROR(--VLOOKUP(AL382,УГО_спр,5,FALSE),0),IFERROR(--VLOOKUP(LEFT(AL382,2),УГО_спр,5,FALSE),0))&gt;0,MAX(IFERROR(--VLOOKUP(R382,УГО_спр,5,FALSE),0),IFERROR(--VLOOKUP(AL382,УГО_спр,5,FALSE),0),IFERROR(--VLOOKUP(LEFT(AL382,2),УГО_спр,5,FALSE),0)),IF(IFERROR(--LEFT(SUBSTITUTE(BQ382,"x","х"),FIND("х",SUBSTITUTE(BQ382,"x","х"))-1),3)&gt;3,Каталог!$S$9,1)))</f>
      </c>
      <c r="BX382" s="129">
        <f>IF(AY382&lt;&gt;1,0,MAX(0,IFERROR(--LEFT(SUBSTITUTE(BQ382,"x","х"),FIND("х",SUBSTITUTE(BQ382,"x","х"))-1),3)-3*BW382))</f>
      </c>
      <c r="BY382" s="129">
        <f>IF(R382="","",IFERROR(VLOOKUP(R382,УГО_спр,2,FALSE),IFERROR(VLOOKUP(AL382,УГО_спр,2,FALSE),IFERROR(VLOOKUP(LEFT(AL382,2),УГО_спр,2,FALSE),""))))</f>
      </c>
    </row>
    <row r="383" spans="1:64" x14ac:dyDescent="0.3">
      <c r="A383" s="135">
        <f>IF(Разбивка_по_щитам!F383=0,"",Разбивка_по_щитам!F383)</f>
      </c>
      <c r="B383" s="138">
        <f>IF(A383="","",Разбивка_по_щитам!C383)</f>
      </c>
      <c r="C383" s="138">
        <f t="shared" si="214"/>
      </c>
      <c r="D383" s="266"/>
      <c r="E383" s="266"/>
      <c r="F383" s="267"/>
      <c r="G383" s="145">
        <f t="shared" si="254"/>
        <v/>
      </c>
      <c r="H383" s="145">
        <f t="shared" si="255"/>
        <v/>
      </c>
      <c r="I383" s="266"/>
      <c r="J383" s="267"/>
      <c r="K383" s="267"/>
      <c r="L383" s="266"/>
      <c r="M383" s="147">
        <f t="shared" si="256"/>
        <v/>
      </c>
      <c r="N383" s="267"/>
      <c r="O383" s="147">
        <f t="shared" si="257"/>
        <v/>
      </c>
      <c r="P383" s="268">
        <f>IF(AY383=1,"XT"&amp;COUNTIFS($A$3:A383,A383,$AY$3:AY383,1),"")</f>
        <v/>
      </c>
      <c r="Q383" s="152">
        <f>IF(R383="","",IFERROR(SUBSTITUTE(Разбивка_по_щитам!P383,CHAR(10)," "),""))</f>
        <v/>
      </c>
      <c r="R383" s="153">
        <f>IF(OR(Разбивка_по_щитам!H383="",Разбивка_по_щитам!H383=0),"",Разбивка_по_щитам!H383)</f>
        <v/>
      </c>
      <c r="S383" s="154">
        <f>IF(R383="","",IFERROR(Разбивка_по_щитам!J383&amp;"",""))</f>
        <v/>
      </c>
      <c r="T383" s="155">
        <f>IF(R383="","",IFERROR(--Разбивка_по_щитам!L383,""))</f>
        <v/>
      </c>
      <c r="U383" s="155">
        <f>IF(R383="","",IFERROR(--Разбивка_по_щитам!K383,""))</f>
        <v/>
      </c>
      <c r="V383" s="138">
        <f>IF(R383="","",IFERROR(IF(Разбивка_по_щитам!M383=0,"",Разбивка_по_щитам!M383),""))</f>
        <v/>
      </c>
      <c r="W383" s="156">
        <f t="shared" si="215"/>
        <v/>
      </c>
      <c r="X383" s="157">
        <f t="shared" si="216"/>
        <v/>
      </c>
      <c r="Y383" s="266"/>
      <c r="Z383" s="158">
        <f t="shared" si="217"/>
        <v/>
      </c>
      <c r="AA383" s="160">
        <f t="shared" si="218"/>
        <v/>
      </c>
      <c r="AB383" s="160">
        <f>IF(R383="","",IFERROR(LOOKUP(INDEX(Справочная!$I$4:$I$19,MATCH(VLOOKUP(R383,Исходные_данные,22,FALSE),Справочная!$J$4:$J$19,0)+1),{6,10,16,20,25,32,40,50,63,80,100,125}),""))</f>
        <v/>
      </c>
      <c r="AC383" s="160">
        <f t="shared" si="219"/>
        <v/>
      </c>
      <c r="AD383" s="161">
        <f t="shared" si="220"/>
        <v/>
      </c>
      <c r="AE383" s="161">
        <f>IF(AND(R383="",G383=""),"",_xlfn.TEXTJOIN("; ",TRUE,IF(AND(R383&lt;&gt;"",V383=""),"нет фазы",""),IF(AND(R383&lt;&gt;"",N(T383)=0),"нет мощности",""),IF(AND(P383&lt;&gt;"",COUNTIFS($A$3:$A$1000,A383,$P$3:$P$1000,P383)&gt;1),"дубль клеммы "&amp;P383,""),IF(AND(W383&lt;&gt;"",W383&lt;&gt;"ok"),W383,""),IF(X383&lt;&gt;"",X383,""),IF(AND(ISNUMBER(SEARCH("(5х",Q383)),N(AK383)=1),"5 жил на 1 фазе",""),IF(AND(AL383="R",E383&lt;&gt;"",N(AS383)=0),"розетка без 30 мА",""),IF(IFERROR(_xlfn.NUMBERVALUE(MID(Q383,FIND("-",Q383,FIND("L=",Q383))+1,FIND("%",Q383)-FIND("-",Q383,FIND("L=",Q383))-1),","),0)&gt;4,"потери &gt; 4 %","")))</f>
      </c>
      <c r="AF383" s="129">
        <f>IF(E383&lt;&gt;"",COUNTIFS($A$3:A383,A383,$E$3:E383,"?*"),IF(OR(A383&lt;&gt;A382,Y383="вручную"),"",AF382))</f>
      </c>
      <c r="AG383" s="129">
        <f t="shared" si="221"/>
      </c>
      <c r="AH383" s="129">
        <f t="shared" si="222"/>
        <v/>
      </c>
      <c r="AI383" s="129">
        <f t="shared" si="223"/>
        <v/>
      </c>
      <c r="AJ383" s="129">
        <f t="shared" si="224"/>
        <v/>
      </c>
      <c r="AK383" s="129">
        <f t="shared" si="225"/>
        <v/>
      </c>
      <c r="AL383" s="129">
        <f t="shared" si="226"/>
        <v/>
      </c>
      <c r="AM383" s="129">
        <f t="shared" si="227"/>
      </c>
      <c r="AN383" s="129">
        <f t="shared" si="228"/>
      </c>
      <c r="AO383" s="129">
        <f t="shared" si="229"/>
        <v/>
      </c>
      <c r="AP383" s="129">
        <f t="shared" si="230"/>
        <v/>
      </c>
      <c r="AQ383" s="129">
        <f t="shared" si="231"/>
        <v/>
      </c>
      <c r="AR383" s="129">
        <f t="shared" si="232"/>
        <v/>
      </c>
      <c r="AS383" s="129">
        <f t="shared" si="233"/>
        <v/>
      </c>
      <c r="AT383" s="129">
        <f t="shared" si="234"/>
        <v/>
      </c>
      <c r="AU383" s="129">
        <f t="shared" si="235"/>
        <v/>
      </c>
      <c r="AV383" s="129">
        <f t="shared" si="236"/>
        <v/>
      </c>
      <c r="AW383" s="129">
        <f>IF(AV383="","",AV383&amp;"."&amp;COUNTIFS($A$3:A383,A383,$AV$3:AV383,AV383))</f>
        <v/>
      </c>
      <c r="AX383" s="129">
        <f t="shared" si="237"/>
        <v/>
      </c>
      <c r="AY383" s="129">
        <f>IF(N383="б/к",0,IF(OR(ISNUMBER(SEARCH("L=",Разбивка_по_щитам!P383)),N383="+",N383="="),1,0))</f>
      </c>
      <c r="AZ383" s="129">
        <f t="shared" si="238"/>
      </c>
      <c r="BA383" s="129">
        <f t="shared" si="239"/>
      </c>
      <c r="BB383" s="129">
        <f t="shared" si="240"/>
      </c>
      <c r="BD383" s="129">
        <f t="shared" si="241"/>
      </c>
      <c r="BE383" s="129">
        <f t="shared" si="242"/>
      </c>
      <c r="BF383" s="129">
        <f t="shared" si="243"/>
      </c>
      <c r="BG383" s="129">
        <f t="shared" si="244"/>
        <v/>
      </c>
      <c r="BH383" s="129">
        <f t="shared" si="245"/>
        <v/>
      </c>
      <c r="BI383" s="129">
        <f t="shared" si="246"/>
        <v/>
      </c>
      <c r="BJ383" s="129">
        <f t="shared" si="247"/>
        <v/>
      </c>
      <c r="BK383" s="129">
        <f>IF(R383="","",IF(OR(BY383="",BY383=0),"BOX",IFERROR(IF(VLOOKUP(BY383,УГО_блоки,3,FALSE)&amp;""&lt;&gt;"",VLOOKUP(BY383,УГО_блоки,3,FALSE),VLOOKUP(BY383,УГО_блоки,2,FALSE)),BY383)))</f>
      </c>
      <c r="BL383" s="129">
        <f t="shared" si="249"/>
      </c>
      <c r="BM383" s="129">
        <f>IF(H383="","",IF(COUNTIF($H$3:H383,H383)=1,MAX($BM$2:BM382)+1,""))</f>
      </c>
      <c r="BN383" s="129">
        <f>IF(I383="","",IF(COUNTIF($I$3:I383,I383)+COUNTIF($J$2:J382,I383)+COUNTIF($K$2:K382,I383)=1,MAX($BN$2:BP382)+1,""))</f>
      </c>
      <c r="BO383" s="129">
        <f>IF(J383="","",IF(COUNTIF($I$3:I383,J383)+COUNTIF($J$3:J383,J383)+COUNTIF($K$2:K382,J383)=1,MAX($BN$2:BP382,BN383)+1,""))</f>
      </c>
      <c r="BP383" s="129">
        <f>IF(K383="","",IF(COUNTIF($I$3:I383,K383)+COUNTIF($J$3:J383,K383)+COUNTIF($K$3:K383,K383)=1,MAX($BN$2:BP382,BN383,BO383)+1,""))</f>
      </c>
      <c r="BQ383" s="129">
        <f>IF(AY383=1,IFERROR(MID(Q383,FIND(" (",Q383)+2,FIND(")",Q383,FIND(" (",Q383))-FIND(" (",Q383)-2),"?"),"")</f>
      </c>
      <c r="BR383" s="129">
        <f>IF(BQ383="","",IF(COUNTIF($BQ$3:BQ383,BQ383)=1,MAX($BR$2:BR382)+1,""))</f>
      </c>
      <c r="BS383" s="129">
        <f>IF(AW383="","",COUNTIF($AW$3:AW383,"?*"))</f>
      </c>
      <c r="BT383" s="129">
        <f>IF(OR(AW383="",AI383=""),"",IF(COUNTIFS($AW$3:AW383,"?*",$AI$3:AI383,AI383)=1,MAX($BT$2:BT382)+1,""))</f>
      </c>
      <c r="BU383" s="129">
        <f>IF(AE383="",0,IF(OR(ISNUMBER(SEARCH("дубль",AE383)),ISNUMBER(SEARCH("ПЕРЕГРУЗ",AE383)),ISNUMBER(SEARCH("ЗАЩИЩ",AE383)),ISNUMBER(SEARCH("КАНАЛ",AE383)),ISNUMBER(SEARCH("без 30",AE383))),2,1))</f>
      </c>
      <c r="BV383" s="129">
        <f>IF(R383="","",COUNTIF($R$3:R383,"?*"))</f>
      </c>
      <c r="BW383" s="129">
        <f>IF(AY383&lt;&gt;1,0,IF(MAX(IFERROR(--VLOOKUP(R383,УГО_спр,5,FALSE),0),IFERROR(--VLOOKUP(AL383,УГО_спр,5,FALSE),0),IFERROR(--VLOOKUP(LEFT(AL383,2),УГО_спр,5,FALSE),0))&gt;0,MAX(IFERROR(--VLOOKUP(R383,УГО_спр,5,FALSE),0),IFERROR(--VLOOKUP(AL383,УГО_спр,5,FALSE),0),IFERROR(--VLOOKUP(LEFT(AL383,2),УГО_спр,5,FALSE),0)),IF(IFERROR(--LEFT(SUBSTITUTE(BQ383,"x","х"),FIND("х",SUBSTITUTE(BQ383,"x","х"))-1),3)&gt;3,Каталог!$S$9,1)))</f>
      </c>
      <c r="BX383" s="129">
        <f>IF(AY383&lt;&gt;1,0,MAX(0,IFERROR(--LEFT(SUBSTITUTE(BQ383,"x","х"),FIND("х",SUBSTITUTE(BQ383,"x","х"))-1),3)-3*BW383))</f>
      </c>
      <c r="BY383" s="129">
        <f>IF(R383="","",IFERROR(VLOOKUP(R383,УГО_спр,2,FALSE),IFERROR(VLOOKUP(AL383,УГО_спр,2,FALSE),IFERROR(VLOOKUP(LEFT(AL383,2),УГО_спр,2,FALSE),""))))</f>
      </c>
    </row>
    <row r="384" spans="1:64" x14ac:dyDescent="0.3">
      <c r="A384" s="135">
        <f>IF(Разбивка_по_щитам!F384=0,"",Разбивка_по_щитам!F384)</f>
      </c>
      <c r="B384" s="138">
        <f>IF(A384="","",Разбивка_по_щитам!C384)</f>
      </c>
      <c r="C384" s="138">
        <f t="shared" si="214"/>
      </c>
      <c r="D384" s="266"/>
      <c r="E384" s="266"/>
      <c r="F384" s="267"/>
      <c r="G384" s="145">
        <f t="shared" si="254"/>
        <v/>
      </c>
      <c r="H384" s="145">
        <f t="shared" si="255"/>
        <v/>
      </c>
      <c r="I384" s="266"/>
      <c r="J384" s="267"/>
      <c r="K384" s="267"/>
      <c r="L384" s="266"/>
      <c r="M384" s="147">
        <f t="shared" si="256"/>
        <v/>
      </c>
      <c r="N384" s="267"/>
      <c r="O384" s="147">
        <f t="shared" si="257"/>
        <v/>
      </c>
      <c r="P384" s="268">
        <f>IF(AY384=1,"XT"&amp;COUNTIFS($A$3:A384,A384,$AY$3:AY384,1),"")</f>
        <v/>
      </c>
      <c r="Q384" s="152">
        <f>IF(R384="","",IFERROR(SUBSTITUTE(Разбивка_по_щитам!P384,CHAR(10)," "),""))</f>
        <v/>
      </c>
      <c r="R384" s="153">
        <f>IF(OR(Разбивка_по_щитам!H384="",Разбивка_по_щитам!H384=0),"",Разбивка_по_щитам!H384)</f>
        <v/>
      </c>
      <c r="S384" s="154">
        <f>IF(R384="","",IFERROR(Разбивка_по_щитам!J384&amp;"",""))</f>
        <v/>
      </c>
      <c r="T384" s="155">
        <f>IF(R384="","",IFERROR(--Разбивка_по_щитам!L384,""))</f>
        <v/>
      </c>
      <c r="U384" s="155">
        <f>IF(R384="","",IFERROR(--Разбивка_по_щитам!K384,""))</f>
        <v/>
      </c>
      <c r="V384" s="138">
        <f>IF(R384="","",IFERROR(IF(Разбивка_по_щитам!M384=0,"",Разбивка_по_щитам!M384),""))</f>
        <v/>
      </c>
      <c r="W384" s="156">
        <f t="shared" si="215"/>
        <v/>
      </c>
      <c r="X384" s="157">
        <f t="shared" si="216"/>
        <v/>
      </c>
      <c r="Y384" s="266"/>
      <c r="Z384" s="158">
        <f t="shared" si="217"/>
        <v/>
      </c>
      <c r="AA384" s="160">
        <f t="shared" si="218"/>
        <v/>
      </c>
      <c r="AB384" s="160">
        <f>IF(R384="","",IFERROR(LOOKUP(INDEX(Справочная!$I$4:$I$19,MATCH(VLOOKUP(R384,Исходные_данные,22,FALSE),Справочная!$J$4:$J$19,0)+1),{6,10,16,20,25,32,40,50,63,80,100,125}),""))</f>
        <v/>
      </c>
      <c r="AC384" s="160">
        <f t="shared" si="219"/>
        <v/>
      </c>
      <c r="AD384" s="161">
        <f t="shared" si="220"/>
        <v/>
      </c>
      <c r="AE384" s="161">
        <f>IF(AND(R384="",G384=""),"",_xlfn.TEXTJOIN("; ",TRUE,IF(AND(R384&lt;&gt;"",V384=""),"нет фазы",""),IF(AND(R384&lt;&gt;"",N(T384)=0),"нет мощности",""),IF(AND(P384&lt;&gt;"",COUNTIFS($A$3:$A$1000,A384,$P$3:$P$1000,P384)&gt;1),"дубль клеммы "&amp;P384,""),IF(AND(W384&lt;&gt;"",W384&lt;&gt;"ok"),W384,""),IF(X384&lt;&gt;"",X384,""),IF(AND(ISNUMBER(SEARCH("(5х",Q384)),N(AK384)=1),"5 жил на 1 фазе",""),IF(AND(AL384="R",E384&lt;&gt;"",N(AS384)=0),"розетка без 30 мА",""),IF(IFERROR(_xlfn.NUMBERVALUE(MID(Q384,FIND("-",Q384,FIND("L=",Q384))+1,FIND("%",Q384)-FIND("-",Q384,FIND("L=",Q384))-1),","),0)&gt;4,"потери &gt; 4 %","")))</f>
      </c>
      <c r="AF384" s="129">
        <f>IF(E384&lt;&gt;"",COUNTIFS($A$3:A384,A384,$E$3:E384,"?*"),IF(OR(A384&lt;&gt;A383,Y384="вручную"),"",AF383))</f>
      </c>
      <c r="AG384" s="129">
        <f t="shared" si="221"/>
      </c>
      <c r="AH384" s="129">
        <f t="shared" si="222"/>
        <v/>
      </c>
      <c r="AI384" s="129">
        <f t="shared" si="223"/>
        <v/>
      </c>
      <c r="AJ384" s="129">
        <f t="shared" si="224"/>
        <v/>
      </c>
      <c r="AK384" s="129">
        <f t="shared" si="225"/>
        <v/>
      </c>
      <c r="AL384" s="129">
        <f t="shared" si="226"/>
        <v/>
      </c>
      <c r="AM384" s="129">
        <f t="shared" si="227"/>
      </c>
      <c r="AN384" s="129">
        <f t="shared" si="228"/>
      </c>
      <c r="AO384" s="129">
        <f t="shared" si="229"/>
        <v/>
      </c>
      <c r="AP384" s="129">
        <f t="shared" si="230"/>
        <v/>
      </c>
      <c r="AQ384" s="129">
        <f t="shared" si="231"/>
        <v/>
      </c>
      <c r="AR384" s="129">
        <f t="shared" si="232"/>
        <v/>
      </c>
      <c r="AS384" s="129">
        <f t="shared" si="233"/>
        <v/>
      </c>
      <c r="AT384" s="129">
        <f t="shared" si="234"/>
        <v/>
      </c>
      <c r="AU384" s="129">
        <f t="shared" si="235"/>
        <v/>
      </c>
      <c r="AV384" s="129">
        <f t="shared" si="236"/>
        <v/>
      </c>
      <c r="AW384" s="129">
        <f>IF(AV384="","",AV384&amp;"."&amp;COUNTIFS($A$3:A384,A384,$AV$3:AV384,AV384))</f>
        <v/>
      </c>
      <c r="AX384" s="129">
        <f t="shared" si="237"/>
        <v/>
      </c>
      <c r="AY384" s="129">
        <f>IF(N384="б/к",0,IF(OR(ISNUMBER(SEARCH("L=",Разбивка_по_щитам!P384)),N384="+",N384="="),1,0))</f>
      </c>
      <c r="AZ384" s="129">
        <f t="shared" si="238"/>
      </c>
      <c r="BA384" s="129">
        <f t="shared" si="239"/>
      </c>
      <c r="BB384" s="129">
        <f t="shared" si="240"/>
      </c>
      <c r="BD384" s="129">
        <f t="shared" si="241"/>
      </c>
      <c r="BE384" s="129">
        <f t="shared" si="242"/>
      </c>
      <c r="BF384" s="129">
        <f t="shared" si="243"/>
      </c>
      <c r="BG384" s="129">
        <f t="shared" si="244"/>
        <v/>
      </c>
      <c r="BH384" s="129">
        <f t="shared" si="245"/>
        <v/>
      </c>
      <c r="BI384" s="129">
        <f t="shared" si="246"/>
        <v/>
      </c>
      <c r="BJ384" s="129">
        <f t="shared" si="247"/>
        <v/>
      </c>
      <c r="BK384" s="129">
        <f>IF(R384="","",IF(OR(BY384="",BY384=0),"BOX",IFERROR(IF(VLOOKUP(BY384,УГО_блоки,3,FALSE)&amp;""&lt;&gt;"",VLOOKUP(BY384,УГО_блоки,3,FALSE),VLOOKUP(BY384,УГО_блоки,2,FALSE)),BY384)))</f>
      </c>
      <c r="BL384" s="129">
        <f t="shared" si="249"/>
      </c>
      <c r="BM384" s="129">
        <f>IF(H384="","",IF(COUNTIF($H$3:H384,H384)=1,MAX($BM$2:BM383)+1,""))</f>
      </c>
      <c r="BN384" s="129">
        <f>IF(I384="","",IF(COUNTIF($I$3:I384,I384)+COUNTIF($J$2:J383,I384)+COUNTIF($K$2:K383,I384)=1,MAX($BN$2:BP383)+1,""))</f>
      </c>
      <c r="BO384" s="129">
        <f>IF(J384="","",IF(COUNTIF($I$3:I384,J384)+COUNTIF($J$3:J384,J384)+COUNTIF($K$2:K383,J384)=1,MAX($BN$2:BP383,BN384)+1,""))</f>
      </c>
      <c r="BP384" s="129">
        <f>IF(K384="","",IF(COUNTIF($I$3:I384,K384)+COUNTIF($J$3:J384,K384)+COUNTIF($K$3:K384,K384)=1,MAX($BN$2:BP383,BN384,BO384)+1,""))</f>
      </c>
      <c r="BQ384" s="129">
        <f>IF(AY384=1,IFERROR(MID(Q384,FIND(" (",Q384)+2,FIND(")",Q384,FIND(" (",Q384))-FIND(" (",Q384)-2),"?"),"")</f>
      </c>
      <c r="BR384" s="129">
        <f>IF(BQ384="","",IF(COUNTIF($BQ$3:BQ384,BQ384)=1,MAX($BR$2:BR383)+1,""))</f>
      </c>
      <c r="BS384" s="129">
        <f>IF(AW384="","",COUNTIF($AW$3:AW384,"?*"))</f>
      </c>
      <c r="BT384" s="129">
        <f>IF(OR(AW384="",AI384=""),"",IF(COUNTIFS($AW$3:AW384,"?*",$AI$3:AI384,AI384)=1,MAX($BT$2:BT383)+1,""))</f>
      </c>
      <c r="BU384" s="129">
        <f>IF(AE384="",0,IF(OR(ISNUMBER(SEARCH("дубль",AE384)),ISNUMBER(SEARCH("ПЕРЕГРУЗ",AE384)),ISNUMBER(SEARCH("ЗАЩИЩ",AE384)),ISNUMBER(SEARCH("КАНАЛ",AE384)),ISNUMBER(SEARCH("без 30",AE384))),2,1))</f>
      </c>
      <c r="BV384" s="129">
        <f>IF(R384="","",COUNTIF($R$3:R384,"?*"))</f>
      </c>
      <c r="BW384" s="129">
        <f>IF(AY384&lt;&gt;1,0,IF(MAX(IFERROR(--VLOOKUP(R384,УГО_спр,5,FALSE),0),IFERROR(--VLOOKUP(AL384,УГО_спр,5,FALSE),0),IFERROR(--VLOOKUP(LEFT(AL384,2),УГО_спр,5,FALSE),0))&gt;0,MAX(IFERROR(--VLOOKUP(R384,УГО_спр,5,FALSE),0),IFERROR(--VLOOKUP(AL384,УГО_спр,5,FALSE),0),IFERROR(--VLOOKUP(LEFT(AL384,2),УГО_спр,5,FALSE),0)),IF(IFERROR(--LEFT(SUBSTITUTE(BQ384,"x","х"),FIND("х",SUBSTITUTE(BQ384,"x","х"))-1),3)&gt;3,Каталог!$S$9,1)))</f>
      </c>
      <c r="BX384" s="129">
        <f>IF(AY384&lt;&gt;1,0,MAX(0,IFERROR(--LEFT(SUBSTITUTE(BQ384,"x","х"),FIND("х",SUBSTITUTE(BQ384,"x","х"))-1),3)-3*BW384))</f>
      </c>
      <c r="BY384" s="129">
        <f>IF(R384="","",IFERROR(VLOOKUP(R384,УГО_спр,2,FALSE),IFERROR(VLOOKUP(AL384,УГО_спр,2,FALSE),IFERROR(VLOOKUP(LEFT(AL384,2),УГО_спр,2,FALSE),""))))</f>
      </c>
    </row>
    <row r="385" spans="1:64" x14ac:dyDescent="0.3">
      <c r="A385" s="135">
        <f>IF(Разбивка_по_щитам!F385=0,"",Разбивка_по_щитам!F385)</f>
      </c>
      <c r="B385" s="138">
        <f>IF(A385="","",Разбивка_по_щитам!C385)</f>
      </c>
      <c r="C385" s="138">
        <f t="shared" si="214"/>
      </c>
      <c r="D385" s="266"/>
      <c r="E385" s="266"/>
      <c r="F385" s="267"/>
      <c r="G385" s="145">
        <f t="shared" si="254"/>
        <v/>
      </c>
      <c r="H385" s="145">
        <f t="shared" si="255"/>
        <v/>
      </c>
      <c r="I385" s="266"/>
      <c r="J385" s="267"/>
      <c r="K385" s="267"/>
      <c r="L385" s="266"/>
      <c r="M385" s="147">
        <f t="shared" si="256"/>
        <v/>
      </c>
      <c r="N385" s="267"/>
      <c r="O385" s="147">
        <f t="shared" si="257"/>
        <v/>
      </c>
      <c r="P385" s="268">
        <f>IF(AY385=1,"XT"&amp;COUNTIFS($A$3:A385,A385,$AY$3:AY385,1),"")</f>
        <v/>
      </c>
      <c r="Q385" s="152">
        <f>IF(R385="","",IFERROR(SUBSTITUTE(Разбивка_по_щитам!P385,CHAR(10)," "),""))</f>
        <v/>
      </c>
      <c r="R385" s="153">
        <f>IF(OR(Разбивка_по_щитам!H385="",Разбивка_по_щитам!H385=0),"",Разбивка_по_щитам!H385)</f>
        <v/>
      </c>
      <c r="S385" s="154">
        <f>IF(R385="","",IFERROR(Разбивка_по_щитам!J385&amp;"",""))</f>
        <v/>
      </c>
      <c r="T385" s="155">
        <f>IF(R385="","",IFERROR(--Разбивка_по_щитам!L385,""))</f>
        <v/>
      </c>
      <c r="U385" s="155">
        <f>IF(R385="","",IFERROR(--Разбивка_по_щитам!K385,""))</f>
        <v/>
      </c>
      <c r="V385" s="138">
        <f>IF(R385="","",IFERROR(IF(Разбивка_по_щитам!M385=0,"",Разбивка_по_щитам!M385),""))</f>
        <v/>
      </c>
      <c r="W385" s="156">
        <f t="shared" si="215"/>
        <v/>
      </c>
      <c r="X385" s="157">
        <f t="shared" si="216"/>
        <v/>
      </c>
      <c r="Y385" s="266"/>
      <c r="Z385" s="158">
        <f t="shared" si="217"/>
        <v/>
      </c>
      <c r="AA385" s="160">
        <f t="shared" si="218"/>
        <v/>
      </c>
      <c r="AB385" s="160">
        <f>IF(R385="","",IFERROR(LOOKUP(INDEX(Справочная!$I$4:$I$19,MATCH(VLOOKUP(R385,Исходные_данные,22,FALSE),Справочная!$J$4:$J$19,0)+1),{6,10,16,20,25,32,40,50,63,80,100,125}),""))</f>
        <v/>
      </c>
      <c r="AC385" s="160">
        <f t="shared" si="219"/>
        <v/>
      </c>
      <c r="AD385" s="161">
        <f t="shared" si="220"/>
        <v/>
      </c>
      <c r="AE385" s="161">
        <f>IF(AND(R385="",G385=""),"",_xlfn.TEXTJOIN("; ",TRUE,IF(AND(R385&lt;&gt;"",V385=""),"нет фазы",""),IF(AND(R385&lt;&gt;"",N(T385)=0),"нет мощности",""),IF(AND(P385&lt;&gt;"",COUNTIFS($A$3:$A$1000,A385,$P$3:$P$1000,P385)&gt;1),"дубль клеммы "&amp;P385,""),IF(AND(W385&lt;&gt;"",W385&lt;&gt;"ok"),W385,""),IF(X385&lt;&gt;"",X385,""),IF(AND(ISNUMBER(SEARCH("(5х",Q385)),N(AK385)=1),"5 жил на 1 фазе",""),IF(AND(AL385="R",E385&lt;&gt;"",N(AS385)=0),"розетка без 30 мА",""),IF(IFERROR(_xlfn.NUMBERVALUE(MID(Q385,FIND("-",Q385,FIND("L=",Q385))+1,FIND("%",Q385)-FIND("-",Q385,FIND("L=",Q385))-1),","),0)&gt;4,"потери &gt; 4 %","")))</f>
      </c>
      <c r="AF385" s="129">
        <f>IF(E385&lt;&gt;"",COUNTIFS($A$3:A385,A385,$E$3:E385,"?*"),IF(OR(A385&lt;&gt;A384,Y385="вручную"),"",AF384))</f>
      </c>
      <c r="AG385" s="129">
        <f t="shared" si="221"/>
      </c>
      <c r="AH385" s="129">
        <f t="shared" si="222"/>
        <v/>
      </c>
      <c r="AI385" s="129">
        <f t="shared" si="223"/>
        <v/>
      </c>
      <c r="AJ385" s="129">
        <f t="shared" si="224"/>
        <v/>
      </c>
      <c r="AK385" s="129">
        <f t="shared" si="225"/>
        <v/>
      </c>
      <c r="AL385" s="129">
        <f t="shared" si="226"/>
        <v/>
      </c>
      <c r="AM385" s="129">
        <f t="shared" si="227"/>
      </c>
      <c r="AN385" s="129">
        <f t="shared" si="228"/>
      </c>
      <c r="AO385" s="129">
        <f t="shared" si="229"/>
        <v/>
      </c>
      <c r="AP385" s="129">
        <f t="shared" si="230"/>
        <v/>
      </c>
      <c r="AQ385" s="129">
        <f t="shared" si="231"/>
        <v/>
      </c>
      <c r="AR385" s="129">
        <f t="shared" si="232"/>
        <v/>
      </c>
      <c r="AS385" s="129">
        <f t="shared" si="233"/>
        <v/>
      </c>
      <c r="AT385" s="129">
        <f t="shared" si="234"/>
        <v/>
      </c>
      <c r="AU385" s="129">
        <f t="shared" si="235"/>
        <v/>
      </c>
      <c r="AV385" s="129">
        <f t="shared" si="236"/>
        <v/>
      </c>
      <c r="AW385" s="129">
        <f>IF(AV385="","",AV385&amp;"."&amp;COUNTIFS($A$3:A385,A385,$AV$3:AV385,AV385))</f>
        <v/>
      </c>
      <c r="AX385" s="129">
        <f t="shared" si="237"/>
        <v/>
      </c>
      <c r="AY385" s="129">
        <f>IF(N385="б/к",0,IF(OR(ISNUMBER(SEARCH("L=",Разбивка_по_щитам!P385)),N385="+",N385="="),1,0))</f>
      </c>
      <c r="AZ385" s="129">
        <f t="shared" si="238"/>
      </c>
      <c r="BA385" s="129">
        <f t="shared" si="239"/>
      </c>
      <c r="BB385" s="129">
        <f t="shared" si="240"/>
      </c>
      <c r="BD385" s="129">
        <f t="shared" si="241"/>
      </c>
      <c r="BE385" s="129">
        <f t="shared" si="242"/>
      </c>
      <c r="BF385" s="129">
        <f t="shared" si="243"/>
      </c>
      <c r="BG385" s="129">
        <f t="shared" si="244"/>
        <v/>
      </c>
      <c r="BH385" s="129">
        <f t="shared" si="245"/>
        <v/>
      </c>
      <c r="BI385" s="129">
        <f t="shared" si="246"/>
        <v/>
      </c>
      <c r="BJ385" s="129">
        <f t="shared" si="247"/>
        <v/>
      </c>
      <c r="BK385" s="129">
        <f>IF(R385="","",IF(OR(BY385="",BY385=0),"BOX",IFERROR(IF(VLOOKUP(BY385,УГО_блоки,3,FALSE)&amp;""&lt;&gt;"",VLOOKUP(BY385,УГО_блоки,3,FALSE),VLOOKUP(BY385,УГО_блоки,2,FALSE)),BY385)))</f>
      </c>
      <c r="BL385" s="129">
        <f t="shared" si="249"/>
      </c>
      <c r="BM385" s="129">
        <f>IF(H385="","",IF(COUNTIF($H$3:H385,H385)=1,MAX($BM$2:BM384)+1,""))</f>
      </c>
      <c r="BN385" s="129">
        <f>IF(I385="","",IF(COUNTIF($I$3:I385,I385)+COUNTIF($J$2:J384,I385)+COUNTIF($K$2:K384,I385)=1,MAX($BN$2:BP384)+1,""))</f>
      </c>
      <c r="BO385" s="129">
        <f>IF(J385="","",IF(COUNTIF($I$3:I385,J385)+COUNTIF($J$3:J385,J385)+COUNTIF($K$2:K384,J385)=1,MAX($BN$2:BP384,BN385)+1,""))</f>
      </c>
      <c r="BP385" s="129">
        <f>IF(K385="","",IF(COUNTIF($I$3:I385,K385)+COUNTIF($J$3:J385,K385)+COUNTIF($K$3:K385,K385)=1,MAX($BN$2:BP384,BN385,BO385)+1,""))</f>
      </c>
      <c r="BQ385" s="129">
        <f>IF(AY385=1,IFERROR(MID(Q385,FIND(" (",Q385)+2,FIND(")",Q385,FIND(" (",Q385))-FIND(" (",Q385)-2),"?"),"")</f>
      </c>
      <c r="BR385" s="129">
        <f>IF(BQ385="","",IF(COUNTIF($BQ$3:BQ385,BQ385)=1,MAX($BR$2:BR384)+1,""))</f>
      </c>
      <c r="BS385" s="129">
        <f>IF(AW385="","",COUNTIF($AW$3:AW385,"?*"))</f>
      </c>
      <c r="BT385" s="129">
        <f>IF(OR(AW385="",AI385=""),"",IF(COUNTIFS($AW$3:AW385,"?*",$AI$3:AI385,AI385)=1,MAX($BT$2:BT384)+1,""))</f>
      </c>
      <c r="BU385" s="129">
        <f>IF(AE385="",0,IF(OR(ISNUMBER(SEARCH("дубль",AE385)),ISNUMBER(SEARCH("ПЕРЕГРУЗ",AE385)),ISNUMBER(SEARCH("ЗАЩИЩ",AE385)),ISNUMBER(SEARCH("КАНАЛ",AE385)),ISNUMBER(SEARCH("без 30",AE385))),2,1))</f>
      </c>
      <c r="BV385" s="129">
        <f>IF(R385="","",COUNTIF($R$3:R385,"?*"))</f>
      </c>
      <c r="BW385" s="129">
        <f>IF(AY385&lt;&gt;1,0,IF(MAX(IFERROR(--VLOOKUP(R385,УГО_спр,5,FALSE),0),IFERROR(--VLOOKUP(AL385,УГО_спр,5,FALSE),0),IFERROR(--VLOOKUP(LEFT(AL385,2),УГО_спр,5,FALSE),0))&gt;0,MAX(IFERROR(--VLOOKUP(R385,УГО_спр,5,FALSE),0),IFERROR(--VLOOKUP(AL385,УГО_спр,5,FALSE),0),IFERROR(--VLOOKUP(LEFT(AL385,2),УГО_спр,5,FALSE),0)),IF(IFERROR(--LEFT(SUBSTITUTE(BQ385,"x","х"),FIND("х",SUBSTITUTE(BQ385,"x","х"))-1),3)&gt;3,Каталог!$S$9,1)))</f>
      </c>
      <c r="BX385" s="129">
        <f>IF(AY385&lt;&gt;1,0,MAX(0,IFERROR(--LEFT(SUBSTITUTE(BQ385,"x","х"),FIND("х",SUBSTITUTE(BQ385,"x","х"))-1),3)-3*BW385))</f>
      </c>
      <c r="BY385" s="129">
        <f>IF(R385="","",IFERROR(VLOOKUP(R385,УГО_спр,2,FALSE),IFERROR(VLOOKUP(AL385,УГО_спр,2,FALSE),IFERROR(VLOOKUP(LEFT(AL385,2),УГО_спр,2,FALSE),""))))</f>
      </c>
    </row>
    <row r="386" spans="1:64" x14ac:dyDescent="0.3">
      <c r="A386" s="135">
        <f>IF(Разбивка_по_щитам!F386=0,"",Разбивка_по_щитам!F386)</f>
      </c>
      <c r="B386" s="138">
        <f>IF(A386="","",Разбивка_по_щитам!C386)</f>
      </c>
      <c r="C386" s="138">
        <f t="shared" si="214"/>
      </c>
      <c r="D386" s="266"/>
      <c r="E386" s="266"/>
      <c r="F386" s="267"/>
      <c r="G386" s="145">
        <f t="shared" si="254"/>
        <v/>
      </c>
      <c r="H386" s="145">
        <f t="shared" si="255"/>
        <v/>
      </c>
      <c r="I386" s="266"/>
      <c r="J386" s="267"/>
      <c r="K386" s="267"/>
      <c r="L386" s="266"/>
      <c r="M386" s="147">
        <f t="shared" si="256"/>
        <v/>
      </c>
      <c r="N386" s="267"/>
      <c r="O386" s="147">
        <f t="shared" si="257"/>
        <v/>
      </c>
      <c r="P386" s="268">
        <f>IF(AY386=1,"XT"&amp;COUNTIFS($A$3:A386,A386,$AY$3:AY386,1),"")</f>
        <v/>
      </c>
      <c r="Q386" s="152">
        <f>IF(R386="","",IFERROR(SUBSTITUTE(Разбивка_по_щитам!P386,CHAR(10)," "),""))</f>
        <v/>
      </c>
      <c r="R386" s="153">
        <f>IF(OR(Разбивка_по_щитам!H386="",Разбивка_по_щитам!H386=0),"",Разбивка_по_щитам!H386)</f>
        <v/>
      </c>
      <c r="S386" s="154">
        <f>IF(R386="","",IFERROR(Разбивка_по_щитам!J386&amp;"",""))</f>
        <v/>
      </c>
      <c r="T386" s="155">
        <f>IF(R386="","",IFERROR(--Разбивка_по_щитам!L386,""))</f>
        <v/>
      </c>
      <c r="U386" s="155">
        <f>IF(R386="","",IFERROR(--Разбивка_по_щитам!K386,""))</f>
        <v/>
      </c>
      <c r="V386" s="138">
        <f>IF(R386="","",IFERROR(IF(Разбивка_по_щитам!M386=0,"",Разбивка_по_щитам!M386),""))</f>
        <v/>
      </c>
      <c r="W386" s="156">
        <f t="shared" si="215"/>
        <v/>
      </c>
      <c r="X386" s="157">
        <f t="shared" si="216"/>
        <v/>
      </c>
      <c r="Y386" s="266"/>
      <c r="Z386" s="158">
        <f t="shared" si="217"/>
        <v/>
      </c>
      <c r="AA386" s="160">
        <f t="shared" si="218"/>
        <v/>
      </c>
      <c r="AB386" s="160">
        <f>IF(R386="","",IFERROR(LOOKUP(INDEX(Справочная!$I$4:$I$19,MATCH(VLOOKUP(R386,Исходные_данные,22,FALSE),Справочная!$J$4:$J$19,0)+1),{6,10,16,20,25,32,40,50,63,80,100,125}),""))</f>
        <v/>
      </c>
      <c r="AC386" s="160">
        <f t="shared" si="219"/>
        <v/>
      </c>
      <c r="AD386" s="161">
        <f t="shared" si="220"/>
        <v/>
      </c>
      <c r="AE386" s="161">
        <f>IF(AND(R386="",G386=""),"",_xlfn.TEXTJOIN("; ",TRUE,IF(AND(R386&lt;&gt;"",V386=""),"нет фазы",""),IF(AND(R386&lt;&gt;"",N(T386)=0),"нет мощности",""),IF(AND(P386&lt;&gt;"",COUNTIFS($A$3:$A$1000,A386,$P$3:$P$1000,P386)&gt;1),"дубль клеммы "&amp;P386,""),IF(AND(W386&lt;&gt;"",W386&lt;&gt;"ok"),W386,""),IF(X386&lt;&gt;"",X386,""),IF(AND(ISNUMBER(SEARCH("(5х",Q386)),N(AK386)=1),"5 жил на 1 фазе",""),IF(AND(AL386="R",E386&lt;&gt;"",N(AS386)=0),"розетка без 30 мА",""),IF(IFERROR(_xlfn.NUMBERVALUE(MID(Q386,FIND("-",Q386,FIND("L=",Q386))+1,FIND("%",Q386)-FIND("-",Q386,FIND("L=",Q386))-1),","),0)&gt;4,"потери &gt; 4 %","")))</f>
      </c>
      <c r="AF386" s="129">
        <f>IF(E386&lt;&gt;"",COUNTIFS($A$3:A386,A386,$E$3:E386,"?*"),IF(OR(A386&lt;&gt;A385,Y386="вручную"),"",AF385))</f>
      </c>
      <c r="AG386" s="129">
        <f t="shared" si="221"/>
      </c>
      <c r="AH386" s="129">
        <f t="shared" si="222"/>
        <v/>
      </c>
      <c r="AI386" s="129">
        <f t="shared" si="223"/>
        <v/>
      </c>
      <c r="AJ386" s="129">
        <f t="shared" si="224"/>
        <v/>
      </c>
      <c r="AK386" s="129">
        <f t="shared" si="225"/>
        <v/>
      </c>
      <c r="AL386" s="129">
        <f t="shared" si="226"/>
        <v/>
      </c>
      <c r="AM386" s="129">
        <f t="shared" si="227"/>
      </c>
      <c r="AN386" s="129">
        <f t="shared" si="228"/>
      </c>
      <c r="AO386" s="129">
        <f t="shared" si="229"/>
        <v/>
      </c>
      <c r="AP386" s="129">
        <f t="shared" si="230"/>
        <v/>
      </c>
      <c r="AQ386" s="129">
        <f t="shared" si="231"/>
        <v/>
      </c>
      <c r="AR386" s="129">
        <f t="shared" si="232"/>
        <v/>
      </c>
      <c r="AS386" s="129">
        <f t="shared" si="233"/>
        <v/>
      </c>
      <c r="AT386" s="129">
        <f t="shared" si="234"/>
        <v/>
      </c>
      <c r="AU386" s="129">
        <f t="shared" si="235"/>
        <v/>
      </c>
      <c r="AV386" s="129">
        <f t="shared" si="236"/>
        <v/>
      </c>
      <c r="AW386" s="129">
        <f>IF(AV386="","",AV386&amp;"."&amp;COUNTIFS($A$3:A386,A386,$AV$3:AV386,AV386))</f>
        <v/>
      </c>
      <c r="AX386" s="129">
        <f t="shared" si="237"/>
        <v/>
      </c>
      <c r="AY386" s="129">
        <f>IF(N386="б/к",0,IF(OR(ISNUMBER(SEARCH("L=",Разбивка_по_щитам!P386)),N386="+",N386="="),1,0))</f>
      </c>
      <c r="AZ386" s="129">
        <f t="shared" si="238"/>
      </c>
      <c r="BA386" s="129">
        <f t="shared" si="239"/>
      </c>
      <c r="BB386" s="129">
        <f t="shared" si="240"/>
      </c>
      <c r="BD386" s="129">
        <f t="shared" si="241"/>
      </c>
      <c r="BE386" s="129">
        <f t="shared" si="242"/>
      </c>
      <c r="BF386" s="129">
        <f t="shared" si="243"/>
      </c>
      <c r="BG386" s="129">
        <f t="shared" si="244"/>
        <v/>
      </c>
      <c r="BH386" s="129">
        <f t="shared" si="245"/>
        <v/>
      </c>
      <c r="BI386" s="129">
        <f t="shared" si="246"/>
        <v/>
      </c>
      <c r="BJ386" s="129">
        <f t="shared" si="247"/>
        <v/>
      </c>
      <c r="BK386" s="129">
        <f>IF(R386="","",IF(OR(BY386="",BY386=0),"BOX",IFERROR(IF(VLOOKUP(BY386,УГО_блоки,3,FALSE)&amp;""&lt;&gt;"",VLOOKUP(BY386,УГО_блоки,3,FALSE),VLOOKUP(BY386,УГО_блоки,2,FALSE)),BY386)))</f>
      </c>
      <c r="BL386" s="129">
        <f t="shared" si="249"/>
      </c>
      <c r="BM386" s="129">
        <f>IF(H386="","",IF(COUNTIF($H$3:H386,H386)=1,MAX($BM$2:BM385)+1,""))</f>
      </c>
      <c r="BN386" s="129">
        <f>IF(I386="","",IF(COUNTIF($I$3:I386,I386)+COUNTIF($J$2:J385,I386)+COUNTIF($K$2:K385,I386)=1,MAX($BN$2:BP385)+1,""))</f>
      </c>
      <c r="BO386" s="129">
        <f>IF(J386="","",IF(COUNTIF($I$3:I386,J386)+COUNTIF($J$3:J386,J386)+COUNTIF($K$2:K385,J386)=1,MAX($BN$2:BP385,BN386)+1,""))</f>
      </c>
      <c r="BP386" s="129">
        <f>IF(K386="","",IF(COUNTIF($I$3:I386,K386)+COUNTIF($J$3:J386,K386)+COUNTIF($K$3:K386,K386)=1,MAX($BN$2:BP385,BN386,BO386)+1,""))</f>
      </c>
      <c r="BQ386" s="129">
        <f>IF(AY386=1,IFERROR(MID(Q386,FIND(" (",Q386)+2,FIND(")",Q386,FIND(" (",Q386))-FIND(" (",Q386)-2),"?"),"")</f>
      </c>
      <c r="BR386" s="129">
        <f>IF(BQ386="","",IF(COUNTIF($BQ$3:BQ386,BQ386)=1,MAX($BR$2:BR385)+1,""))</f>
      </c>
      <c r="BS386" s="129">
        <f>IF(AW386="","",COUNTIF($AW$3:AW386,"?*"))</f>
      </c>
      <c r="BT386" s="129">
        <f>IF(OR(AW386="",AI386=""),"",IF(COUNTIFS($AW$3:AW386,"?*",$AI$3:AI386,AI386)=1,MAX($BT$2:BT385)+1,""))</f>
      </c>
      <c r="BU386" s="129">
        <f>IF(AE386="",0,IF(OR(ISNUMBER(SEARCH("дубль",AE386)),ISNUMBER(SEARCH("ПЕРЕГРУЗ",AE386)),ISNUMBER(SEARCH("ЗАЩИЩ",AE386)),ISNUMBER(SEARCH("КАНАЛ",AE386)),ISNUMBER(SEARCH("без 30",AE386))),2,1))</f>
      </c>
      <c r="BV386" s="129">
        <f>IF(R386="","",COUNTIF($R$3:R386,"?*"))</f>
      </c>
      <c r="BW386" s="129">
        <f>IF(AY386&lt;&gt;1,0,IF(MAX(IFERROR(--VLOOKUP(R386,УГО_спр,5,FALSE),0),IFERROR(--VLOOKUP(AL386,УГО_спр,5,FALSE),0),IFERROR(--VLOOKUP(LEFT(AL386,2),УГО_спр,5,FALSE),0))&gt;0,MAX(IFERROR(--VLOOKUP(R386,УГО_спр,5,FALSE),0),IFERROR(--VLOOKUP(AL386,УГО_спр,5,FALSE),0),IFERROR(--VLOOKUP(LEFT(AL386,2),УГО_спр,5,FALSE),0)),IF(IFERROR(--LEFT(SUBSTITUTE(BQ386,"x","х"),FIND("х",SUBSTITUTE(BQ386,"x","х"))-1),3)&gt;3,Каталог!$S$9,1)))</f>
      </c>
      <c r="BX386" s="129">
        <f>IF(AY386&lt;&gt;1,0,MAX(0,IFERROR(--LEFT(SUBSTITUTE(BQ386,"x","х"),FIND("х",SUBSTITUTE(BQ386,"x","х"))-1),3)-3*BW386))</f>
      </c>
      <c r="BY386" s="129">
        <f>IF(R386="","",IFERROR(VLOOKUP(R386,УГО_спр,2,FALSE),IFERROR(VLOOKUP(AL386,УГО_спр,2,FALSE),IFERROR(VLOOKUP(LEFT(AL386,2),УГО_спр,2,FALSE),""))))</f>
      </c>
    </row>
    <row r="387" spans="1:64" x14ac:dyDescent="0.3">
      <c r="A387" s="135">
        <f>IF(Разбивка_по_щитам!F387=0,"",Разбивка_по_щитам!F387)</f>
      </c>
      <c r="B387" s="138">
        <f>IF(A387="","",Разбивка_по_щитам!C387)</f>
      </c>
      <c r="C387" s="138">
        <f t="shared" ref="C387:C450" si="258">IF(B387="","",INT((B387-1)/Столбцов_на_лист)+1)</f>
      </c>
      <c r="D387" s="266"/>
      <c r="E387" s="266"/>
      <c r="F387" s="267"/>
      <c r="G387" s="145">
        <f t="shared" si="254"/>
        <v/>
      </c>
      <c r="H387" s="145">
        <f t="shared" si="255"/>
        <v/>
      </c>
      <c r="I387" s="266"/>
      <c r="J387" s="267"/>
      <c r="K387" s="267"/>
      <c r="L387" s="266"/>
      <c r="M387" s="147">
        <f t="shared" si="256"/>
        <v/>
      </c>
      <c r="N387" s="267"/>
      <c r="O387" s="147">
        <f t="shared" si="257"/>
        <v/>
      </c>
      <c r="P387" s="268">
        <f>IF(AY387=1,"XT"&amp;COUNTIFS($A$3:A387,A387,$AY$3:AY387,1),"")</f>
        <v/>
      </c>
      <c r="Q387" s="152">
        <f>IF(R387="","",IFERROR(SUBSTITUTE(Разбивка_по_щитам!P387,CHAR(10)," "),""))</f>
        <v/>
      </c>
      <c r="R387" s="153">
        <f>IF(OR(Разбивка_по_щитам!H387="",Разбивка_по_щитам!H387=0),"",Разбивка_по_щитам!H387)</f>
        <v/>
      </c>
      <c r="S387" s="154">
        <f>IF(R387="","",IFERROR(Разбивка_по_щитам!J387&amp;"",""))</f>
        <v/>
      </c>
      <c r="T387" s="155">
        <f>IF(R387="","",IFERROR(--Разбивка_по_щитам!L387,""))</f>
        <v/>
      </c>
      <c r="U387" s="155">
        <f>IF(R387="","",IFERROR(--Разбивка_по_щитам!K387,""))</f>
        <v/>
      </c>
      <c r="V387" s="138">
        <f>IF(R387="","",IFERROR(IF(Разбивка_по_щитам!M387=0,"",Разбивка_по_щитам!M387),""))</f>
        <v/>
      </c>
      <c r="W387" s="156">
        <f t="shared" ref="W387:W450" si="259">IF(E387="","",IF(NOT(ISNUMBER(AU387)),"",IF(Z387&gt;AU387,"ПЕРЕГРУЗ",IF(AND(BA387=0,AP387&gt;0,AU387&gt;AP387),"КАБЕЛЬ НЕ ЗАЩИЩЁН","ok"))))</f>
        <v/>
      </c>
      <c r="X387" s="157">
        <f t="shared" ref="X387:X450" si="260">IF(OR(O387="",AH387=""),"",IF(O387&gt;IFERROR(VLOOKUP(AI387,Модули_спр,3,FALSE),99),"ЛИШНИЙ КАНАЛ",IF(AND(N387&lt;&gt;"=",COUNTIFS($AH$3:$AH$1000,AH387,$O$3:$O$1000,O387,$N$3:$N$1000,"&lt;&gt;=")&gt;1),"ДУБЛЬ КАНАЛА","")))</f>
        <v/>
      </c>
      <c r="Y387" s="266"/>
      <c r="Z387" s="158">
        <f t="shared" ref="Z387:Z450" si="261">IF(E387="","",SUMIFS($U$3:$U$1000,$AF$3:$AF$1000,AF387,$A$3:$A$1000,A387,$AN$3:$AN$1000,0))</f>
        <v/>
      </c>
      <c r="AA387" s="160">
        <f t="shared" ref="AA387:AA450" si="262">IF(E387="","",IFERROR(VLOOKUP(Z387,Автомат_номиналы,2,TRUE),""))</f>
        <v/>
      </c>
      <c r="AB387" s="160">
        <f>IF(R387="","",IFERROR(LOOKUP(INDEX(Справочная!$I$4:$I$19,MATCH(VLOOKUP(R387,Исходные_данные,22,FALSE),Справочная!$J$4:$J$19,0)+1),{6,10,16,20,25,32,40,50,63,80,100,125}),""))</f>
        <v/>
      </c>
      <c r="AC387" s="160">
        <f t="shared" ref="AC387:AC450" si="263">IF(M387="","",AI387)</f>
        <v/>
      </c>
      <c r="AD387" s="161">
        <f t="shared" ref="AD387:AD450" si="264">IF(AND(R387="",O387="",P387=""),"",_xlfn.TEXTJOIN(" → ",TRUE,AG387,AZ387,IF(AH387&lt;&gt;"",AH387&amp;IF(O387&lt;&gt;""," к."&amp;O387,""),IF(O387&lt;&gt;"","к."&amp;O387,"")),P387,IF(AN387=1,"(в кабель выше)","")))</f>
        <v/>
      </c>
      <c r="AE387" s="161">
        <f>IF(AND(R387="",G387=""),"",_xlfn.TEXTJOIN("; ",TRUE,IF(AND(R387&lt;&gt;"",V387=""),"нет фазы",""),IF(AND(R387&lt;&gt;"",N(T387)=0),"нет мощности",""),IF(AND(P387&lt;&gt;"",COUNTIFS($A$3:$A$1000,A387,$P$3:$P$1000,P387)&gt;1),"дубль клеммы "&amp;P387,""),IF(AND(W387&lt;&gt;"",W387&lt;&gt;"ok"),W387,""),IF(X387&lt;&gt;"",X387,""),IF(AND(ISNUMBER(SEARCH("(5х",Q387)),N(AK387)=1),"5 жил на 1 фазе",""),IF(AND(AL387="R",E387&lt;&gt;"",N(AS387)=0),"розетка без 30 мА",""),IF(IFERROR(_xlfn.NUMBERVALUE(MID(Q387,FIND("-",Q387,FIND("L=",Q387))+1,FIND("%",Q387)-FIND("-",Q387,FIND("L=",Q387))-1),","),0)&gt;4,"потери &gt; 4 %","")))</f>
      </c>
      <c r="AF387" s="129">
        <f>IF(E387&lt;&gt;"",COUNTIFS($A$3:A387,A387,$E$3:E387,"?*"),IF(OR(A387&lt;&gt;A386,Y387="вручную"),"",AF386))</f>
      </c>
      <c r="AG387" s="129">
        <f t="shared" ref="AG387:AG450" si="265">IF(AJ387&lt;&gt;"",AJ387,IF(OR(A387&lt;&gt;A386,Y387="вручную"),"",AG386))</f>
      </c>
      <c r="AH387" s="129">
        <f t="shared" ref="AH387:AH450" si="266">IF(L387="-","",IF(AW387&lt;&gt;"",AW387,IF(A387&lt;&gt;A386,"",AH386)))</f>
        <v/>
      </c>
      <c r="AI387" s="129">
        <f t="shared" ref="AI387:AI450" si="267">IF(AH387="","",IF(AND(L387&lt;&gt;"",L387&lt;&gt;"-"),L387,AI386))</f>
        <v/>
      </c>
      <c r="AJ387" s="129">
        <f t="shared" ref="AJ387:AJ450" si="268">IF(E387="","",IF(AS387=1,"QFD","QF")&amp;AF387)</f>
        <v/>
      </c>
      <c r="AK387" s="129">
        <f t="shared" ref="AK387:AK450" si="269">IF(R387="","",IFERROR(--VLOOKUP(R387,Исходные_данные,8,FALSE),1))</f>
        <v/>
      </c>
      <c r="AL387" s="129">
        <f t="shared" ref="AL387:AL450" si="270">IF(R387="","",IFERROR(LEFT(R387,FIND(".",R387)-1),R387))</f>
        <v/>
      </c>
      <c r="AM387" s="129">
        <f t="shared" ref="AM387:AM450" si="271">IF(AL387="",0,IFERROR(IF(VLOOKUP(R387,УГО_спр,3,FALSE)="да",1,0),IFERROR(IF(VLOOKUP(AL387,УГО_спр,3,FALSE)="да",1,0),IFERROR(IF(VLOOKUP(LEFT(AL387,2),УГО_спр,3,FALSE)="да",1,0),0))))</f>
      </c>
      <c r="AN387" s="129">
        <f t="shared" ref="AN387:AN450" si="272">IF(OR(N387="+",AND(R387&lt;&gt;"",R387=R386)),1,0)</f>
      </c>
      <c r="AO387" s="129">
        <f t="shared" ref="AO387:AO450" si="273">IF(E387="","",MAX(N(AA387),_xlfn.MAXIFS($BB$3:$BB$1000,$AF$3:$AF$1000,AF387,$A$3:$A$1000,A387)))</f>
        <v/>
      </c>
      <c r="AP387" s="129">
        <f t="shared" ref="AP387:AP450" si="274">IF(E387="","",_xlfn.MINIFS($AB$3:$AB$1000,$AF$3:$AF$1000,AF387,$A$3:$A$1000,A387))</f>
        <v/>
      </c>
      <c r="AQ387" s="129">
        <f t="shared" ref="AQ387:AQ450" si="275">IF(E387="","",IF(BA387=1,MAX(AO387,Мин_автомат_БП),AO387))</f>
        <v/>
      </c>
      <c r="AR387" s="129">
        <f t="shared" ref="AR387:AR450" si="276">IF(E387="","",MAX(1,_xlfn.MAXIFS($AK$3:$AK$1000,$AF$3:$AF$1000,AF387,$A$3:$A$1000,A387)))</f>
        <v/>
      </c>
      <c r="AS387" s="129">
        <f t="shared" ref="AS387:AS450" si="277">IF(E387="","",IF(AND(E387&lt;&gt;"авто",E387&lt;&gt;"+"),IF(ISNUMBER(SEARCH("мА",E387)),1,0),IF(F387="да",1,IF(F387="нет",0,IF(_xlfn.MAXIFS($AM$3:$AM$1000,$AF$3:$AF$1000,AF387,$A$3:$A$1000,A387)&gt;0,1,0)))))</f>
        <v/>
      </c>
      <c r="AT387" s="129">
        <f t="shared" ref="AT387:AT450" si="278">IF(E387="","",IF(AR387&gt;=3,IF(AS387=1,"4P","3P"),IF(AS387=1,"2P","1P")))</f>
        <v/>
      </c>
      <c r="AU387" s="129">
        <f t="shared" ref="AU387:AU450" si="279">IF(H387="","",IFERROR(--MID(SUBSTITUTE(SUBSTITUTE(UPPER(H387),"С","C"),"А","A"),FIND("C",SUBSTITUTE(SUBSTITUTE(UPPER(H387),"С","C"),"А","A"))+1,FIND("A",SUBSTITUTE(SUBSTITUTE(UPPER(H387),"С","C"),"А","A")&amp;"A",FIND("C",SUBSTITUTE(SUBSTITUTE(UPPER(H387),"С","C"),"А","A")))-FIND("C",SUBSTITUTE(SUBSTITUTE(UPPER(H387),"С","C"),"А","A"))-1),""))</f>
        <v/>
      </c>
      <c r="AV387" s="129">
        <f t="shared" ref="AV387:AV450" si="280">IF(OR(L387="",L387="-"),"",IFERROR(VLOOKUP(L387,Модули_спр,2,FALSE),"R"))</f>
        <v/>
      </c>
      <c r="AW387" s="129">
        <f>IF(AV387="","",AV387&amp;"."&amp;COUNTIFS($A$3:A387,A387,$AV$3:AV387,AV387))</f>
        <v/>
      </c>
      <c r="AX387" s="129">
        <f t="shared" ref="AX387:AX450" si="281">IF(O387&lt;&gt;"",O387,IF(OR(A387&lt;&gt;A386,L387="-",AW387&lt;&gt;""),"",AX386))</f>
        <v/>
      </c>
      <c r="AY387" s="129">
        <f>IF(N387="б/к",0,IF(OR(ISNUMBER(SEARCH("L=",Разбивка_по_щитам!P387)),N387="+",N387="="),1,0))</f>
      </c>
      <c r="AZ387" s="129">
        <f t="shared" ref="AZ387:AZ450" si="282">IF(AJ387&lt;&gt;"",_xlfn.TEXTJOIN(" → ",TRUE,I387,J387,K387),IF(AG387="","",AZ386))</f>
      </c>
      <c r="BA387" s="129">
        <f t="shared" ref="BA387:BA450" si="283">IF(AZ387="",0,IF(OR(LEFT(AZ387,2)="T ",LEFT(AZ387,2)="Т ",ISNUMBER(SEARCH("→ T ",AZ387)),ISNUMBER(SEARCH("→ Т ",AZ387)),ISNUMBER(SEARCH("БП",AZ387))),1,0))</f>
      </c>
      <c r="BB387" s="129">
        <f t="shared" ref="BB387:BB450" si="284">IF(R387="",0,MAX(IFERROR(--VLOOKUP(R387,Исходные_данные,18,FALSE),0),IFERROR(--VLOOKUP(R387,УГО_спр,4,FALSE),IFERROR(--VLOOKUP(AL387,УГО_спр,4,FALSE),IFERROR(--VLOOKUP(LEFT(AL387,2),УГО_спр,4,FALSE),0)))))</f>
      </c>
      <c r="BD387" s="129">
        <f t="shared" ref="BD387:BD450" si="285">IF(Y387="вручную",0,1)</f>
      </c>
      <c r="BE387" s="129">
        <f t="shared" ref="BE387:BE450" si="286">IF(D387="",0,1)</f>
      </c>
      <c r="BF387" s="129">
        <f t="shared" ref="BF387:BF450" si="287">IF(AJ387="",0,IF(LEFT(AJ387,3)="QFD",1,0))</f>
      </c>
      <c r="BG387" s="129">
        <f t="shared" ref="BG387:BG450" si="288">IF(N387="=","=",IF(N387="+","+",IF(N387="р","R","")))</f>
        <v/>
      </c>
      <c r="BH387" s="129">
        <f t="shared" ref="BH387:BH450" si="289">IF(I387="","",IF(OR(LEFT(I387,1)="T",LEFT(I387,1)="Т"),"T",IF(LEFT(UPPER(I387),2)="БП","PS",IF(OR(LEFT(UPPER(I387),2)="МК",LEFT(UPPER(I387),2)="MK"),"MK",IF(OR(LEFT(UPPER(I387),2)="КМ",LEFT(UPPER(I387),2)="KM"),"KM","X")))))</f>
        <v/>
      </c>
      <c r="BI387" s="129">
        <f t="shared" ref="BI387:BI450" si="290">IF(J387="","",IF(OR(LEFT(J387,1)="T",LEFT(J387,1)="Т"),"T",IF(LEFT(UPPER(J387),2)="БП","PS",IF(OR(LEFT(UPPER(J387),2)="МК",LEFT(UPPER(J387),2)="MK"),"MK",IF(OR(LEFT(UPPER(J387),2)="КМ",LEFT(UPPER(J387),2)="KM"),"KM","X")))))</f>
        <v/>
      </c>
      <c r="BJ387" s="129">
        <f t="shared" ref="BJ387:BJ450" si="291">IF(K387="","",IF(OR(LEFT(K387,1)="T",LEFT(K387,1)="Т"),"T",IF(LEFT(UPPER(K387),2)="БП","PS",IF(OR(LEFT(UPPER(K387),2)="МК",LEFT(UPPER(K387),2)="MK"),"MK",IF(OR(LEFT(UPPER(K387),2)="КМ",LEFT(UPPER(K387),2)="KM"),"KM","X")))))</f>
        <v/>
      </c>
      <c r="BK387" s="129">
        <f>IF(R387="","",IF(OR(BY387="",BY387=0),"BOX",IFERROR(IF(VLOOKUP(BY387,УГО_блоки,3,FALSE)&amp;""&lt;&gt;"",VLOOKUP(BY387,УГО_блоки,3,FALSE),VLOOKUP(BY387,УГО_блоки,2,FALSE)),BY387)))</f>
      </c>
      <c r="BL387" s="129">
        <f t="shared" ref="BL387:BL450" si="293">IF(R387="",0,1)</f>
      </c>
      <c r="BM387" s="129">
        <f>IF(H387="","",IF(COUNTIF($H$3:H387,H387)=1,MAX($BM$2:BM386)+1,""))</f>
      </c>
      <c r="BN387" s="129">
        <f>IF(I387="","",IF(COUNTIF($I$3:I387,I387)+COUNTIF($J$2:J386,I387)+COUNTIF($K$2:K386,I387)=1,MAX($BN$2:BP386)+1,""))</f>
      </c>
      <c r="BO387" s="129">
        <f>IF(J387="","",IF(COUNTIF($I$3:I387,J387)+COUNTIF($J$3:J387,J387)+COUNTIF($K$2:K386,J387)=1,MAX($BN$2:BP386,BN387)+1,""))</f>
      </c>
      <c r="BP387" s="129">
        <f>IF(K387="","",IF(COUNTIF($I$3:I387,K387)+COUNTIF($J$3:J387,K387)+COUNTIF($K$3:K387,K387)=1,MAX($BN$2:BP386,BN387,BO387)+1,""))</f>
      </c>
      <c r="BQ387" s="129">
        <f>IF(AY387=1,IFERROR(MID(Q387,FIND(" (",Q387)+2,FIND(")",Q387,FIND(" (",Q387))-FIND(" (",Q387)-2),"?"),"")</f>
      </c>
      <c r="BR387" s="129">
        <f>IF(BQ387="","",IF(COUNTIF($BQ$3:BQ387,BQ387)=1,MAX($BR$2:BR386)+1,""))</f>
      </c>
      <c r="BS387" s="129">
        <f>IF(AW387="","",COUNTIF($AW$3:AW387,"?*"))</f>
      </c>
      <c r="BT387" s="129">
        <f>IF(OR(AW387="",AI387=""),"",IF(COUNTIFS($AW$3:AW387,"?*",$AI$3:AI387,AI387)=1,MAX($BT$2:BT386)+1,""))</f>
      </c>
      <c r="BU387" s="129">
        <f>IF(AE387="",0,IF(OR(ISNUMBER(SEARCH("дубль",AE387)),ISNUMBER(SEARCH("ПЕРЕГРУЗ",AE387)),ISNUMBER(SEARCH("ЗАЩИЩ",AE387)),ISNUMBER(SEARCH("КАНАЛ",AE387)),ISNUMBER(SEARCH("без 30",AE387))),2,1))</f>
      </c>
      <c r="BV387" s="129">
        <f>IF(R387="","",COUNTIF($R$3:R387,"?*"))</f>
      </c>
      <c r="BW387" s="129">
        <f>IF(AY387&lt;&gt;1,0,IF(MAX(IFERROR(--VLOOKUP(R387,УГО_спр,5,FALSE),0),IFERROR(--VLOOKUP(AL387,УГО_спр,5,FALSE),0),IFERROR(--VLOOKUP(LEFT(AL387,2),УГО_спр,5,FALSE),0))&gt;0,MAX(IFERROR(--VLOOKUP(R387,УГО_спр,5,FALSE),0),IFERROR(--VLOOKUP(AL387,УГО_спр,5,FALSE),0),IFERROR(--VLOOKUP(LEFT(AL387,2),УГО_спр,5,FALSE),0)),IF(IFERROR(--LEFT(SUBSTITUTE(BQ387,"x","х"),FIND("х",SUBSTITUTE(BQ387,"x","х"))-1),3)&gt;3,Каталог!$S$9,1)))</f>
      </c>
      <c r="BX387" s="129">
        <f>IF(AY387&lt;&gt;1,0,MAX(0,IFERROR(--LEFT(SUBSTITUTE(BQ387,"x","х"),FIND("х",SUBSTITUTE(BQ387,"x","х"))-1),3)-3*BW387))</f>
      </c>
      <c r="BY387" s="129">
        <f>IF(R387="","",IFERROR(VLOOKUP(R387,УГО_спр,2,FALSE),IFERROR(VLOOKUP(AL387,УГО_спр,2,FALSE),IFERROR(VLOOKUP(LEFT(AL387,2),УГО_спр,2,FALSE),""))))</f>
      </c>
    </row>
    <row r="388" spans="1:64" x14ac:dyDescent="0.3">
      <c r="A388" s="135">
        <f>IF(Разбивка_по_щитам!F388=0,"",Разбивка_по_щитам!F388)</f>
      </c>
      <c r="B388" s="138">
        <f>IF(A388="","",Разбивка_по_щитам!C388)</f>
      </c>
      <c r="C388" s="138">
        <f t="shared" si="258"/>
      </c>
      <c r="D388" s="266"/>
      <c r="E388" s="266"/>
      <c r="F388" s="267"/>
      <c r="G388" s="145">
        <f t="shared" si="254"/>
        <v/>
      </c>
      <c r="H388" s="145">
        <f t="shared" si="255"/>
        <v/>
      </c>
      <c r="I388" s="266"/>
      <c r="J388" s="267"/>
      <c r="K388" s="267"/>
      <c r="L388" s="266"/>
      <c r="M388" s="147">
        <f t="shared" si="256"/>
        <v/>
      </c>
      <c r="N388" s="267"/>
      <c r="O388" s="147">
        <f t="shared" si="257"/>
        <v/>
      </c>
      <c r="P388" s="268">
        <f>IF(AY388=1,"XT"&amp;COUNTIFS($A$3:A388,A388,$AY$3:AY388,1),"")</f>
        <v/>
      </c>
      <c r="Q388" s="152">
        <f>IF(R388="","",IFERROR(SUBSTITUTE(Разбивка_по_щитам!P388,CHAR(10)," "),""))</f>
        <v/>
      </c>
      <c r="R388" s="153">
        <f>IF(OR(Разбивка_по_щитам!H388="",Разбивка_по_щитам!H388=0),"",Разбивка_по_щитам!H388)</f>
        <v/>
      </c>
      <c r="S388" s="154">
        <f>IF(R388="","",IFERROR(Разбивка_по_щитам!J388&amp;"",""))</f>
        <v/>
      </c>
      <c r="T388" s="155">
        <f>IF(R388="","",IFERROR(--Разбивка_по_щитам!L388,""))</f>
        <v/>
      </c>
      <c r="U388" s="155">
        <f>IF(R388="","",IFERROR(--Разбивка_по_щитам!K388,""))</f>
        <v/>
      </c>
      <c r="V388" s="138">
        <f>IF(R388="","",IFERROR(IF(Разбивка_по_щитам!M388=0,"",Разбивка_по_щитам!M388),""))</f>
        <v/>
      </c>
      <c r="W388" s="156">
        <f t="shared" si="259"/>
        <v/>
      </c>
      <c r="X388" s="157">
        <f t="shared" si="260"/>
        <v/>
      </c>
      <c r="Y388" s="266"/>
      <c r="Z388" s="158">
        <f t="shared" si="261"/>
        <v/>
      </c>
      <c r="AA388" s="160">
        <f t="shared" si="262"/>
        <v/>
      </c>
      <c r="AB388" s="160">
        <f>IF(R388="","",IFERROR(LOOKUP(INDEX(Справочная!$I$4:$I$19,MATCH(VLOOKUP(R388,Исходные_данные,22,FALSE),Справочная!$J$4:$J$19,0)+1),{6,10,16,20,25,32,40,50,63,80,100,125}),""))</f>
        <v/>
      </c>
      <c r="AC388" s="160">
        <f t="shared" si="263"/>
        <v/>
      </c>
      <c r="AD388" s="161">
        <f t="shared" si="264"/>
        <v/>
      </c>
      <c r="AE388" s="161">
        <f>IF(AND(R388="",G388=""),"",_xlfn.TEXTJOIN("; ",TRUE,IF(AND(R388&lt;&gt;"",V388=""),"нет фазы",""),IF(AND(R388&lt;&gt;"",N(T388)=0),"нет мощности",""),IF(AND(P388&lt;&gt;"",COUNTIFS($A$3:$A$1000,A388,$P$3:$P$1000,P388)&gt;1),"дубль клеммы "&amp;P388,""),IF(AND(W388&lt;&gt;"",W388&lt;&gt;"ok"),W388,""),IF(X388&lt;&gt;"",X388,""),IF(AND(ISNUMBER(SEARCH("(5х",Q388)),N(AK388)=1),"5 жил на 1 фазе",""),IF(AND(AL388="R",E388&lt;&gt;"",N(AS388)=0),"розетка без 30 мА",""),IF(IFERROR(_xlfn.NUMBERVALUE(MID(Q388,FIND("-",Q388,FIND("L=",Q388))+1,FIND("%",Q388)-FIND("-",Q388,FIND("L=",Q388))-1),","),0)&gt;4,"потери &gt; 4 %","")))</f>
      </c>
      <c r="AF388" s="129">
        <f>IF(E388&lt;&gt;"",COUNTIFS($A$3:A388,A388,$E$3:E388,"?*"),IF(OR(A388&lt;&gt;A387,Y388="вручную"),"",AF387))</f>
      </c>
      <c r="AG388" s="129">
        <f t="shared" si="265"/>
      </c>
      <c r="AH388" s="129">
        <f t="shared" si="266"/>
        <v/>
      </c>
      <c r="AI388" s="129">
        <f t="shared" si="267"/>
        <v/>
      </c>
      <c r="AJ388" s="129">
        <f t="shared" si="268"/>
        <v/>
      </c>
      <c r="AK388" s="129">
        <f t="shared" si="269"/>
        <v/>
      </c>
      <c r="AL388" s="129">
        <f t="shared" si="270"/>
        <v/>
      </c>
      <c r="AM388" s="129">
        <f t="shared" si="271"/>
      </c>
      <c r="AN388" s="129">
        <f t="shared" si="272"/>
      </c>
      <c r="AO388" s="129">
        <f t="shared" si="273"/>
        <v/>
      </c>
      <c r="AP388" s="129">
        <f t="shared" si="274"/>
        <v/>
      </c>
      <c r="AQ388" s="129">
        <f t="shared" si="275"/>
        <v/>
      </c>
      <c r="AR388" s="129">
        <f t="shared" si="276"/>
        <v/>
      </c>
      <c r="AS388" s="129">
        <f t="shared" si="277"/>
        <v/>
      </c>
      <c r="AT388" s="129">
        <f t="shared" si="278"/>
        <v/>
      </c>
      <c r="AU388" s="129">
        <f t="shared" si="279"/>
        <v/>
      </c>
      <c r="AV388" s="129">
        <f t="shared" si="280"/>
        <v/>
      </c>
      <c r="AW388" s="129">
        <f>IF(AV388="","",AV388&amp;"."&amp;COUNTIFS($A$3:A388,A388,$AV$3:AV388,AV388))</f>
        <v/>
      </c>
      <c r="AX388" s="129">
        <f t="shared" si="281"/>
        <v/>
      </c>
      <c r="AY388" s="129">
        <f>IF(N388="б/к",0,IF(OR(ISNUMBER(SEARCH("L=",Разбивка_по_щитам!P388)),N388="+",N388="="),1,0))</f>
      </c>
      <c r="AZ388" s="129">
        <f t="shared" si="282"/>
      </c>
      <c r="BA388" s="129">
        <f t="shared" si="283"/>
      </c>
      <c r="BB388" s="129">
        <f t="shared" si="284"/>
      </c>
      <c r="BD388" s="129">
        <f t="shared" si="285"/>
      </c>
      <c r="BE388" s="129">
        <f t="shared" si="286"/>
      </c>
      <c r="BF388" s="129">
        <f t="shared" si="287"/>
      </c>
      <c r="BG388" s="129">
        <f t="shared" si="288"/>
        <v/>
      </c>
      <c r="BH388" s="129">
        <f t="shared" si="289"/>
        <v/>
      </c>
      <c r="BI388" s="129">
        <f t="shared" si="290"/>
        <v/>
      </c>
      <c r="BJ388" s="129">
        <f t="shared" si="291"/>
        <v/>
      </c>
      <c r="BK388" s="129">
        <f>IF(R388="","",IF(OR(BY388="",BY388=0),"BOX",IFERROR(IF(VLOOKUP(BY388,УГО_блоки,3,FALSE)&amp;""&lt;&gt;"",VLOOKUP(BY388,УГО_блоки,3,FALSE),VLOOKUP(BY388,УГО_блоки,2,FALSE)),BY388)))</f>
      </c>
      <c r="BL388" s="129">
        <f t="shared" si="293"/>
      </c>
      <c r="BM388" s="129">
        <f>IF(H388="","",IF(COUNTIF($H$3:H388,H388)=1,MAX($BM$2:BM387)+1,""))</f>
      </c>
      <c r="BN388" s="129">
        <f>IF(I388="","",IF(COUNTIF($I$3:I388,I388)+COUNTIF($J$2:J387,I388)+COUNTIF($K$2:K387,I388)=1,MAX($BN$2:BP387)+1,""))</f>
      </c>
      <c r="BO388" s="129">
        <f>IF(J388="","",IF(COUNTIF($I$3:I388,J388)+COUNTIF($J$3:J388,J388)+COUNTIF($K$2:K387,J388)=1,MAX($BN$2:BP387,BN388)+1,""))</f>
      </c>
      <c r="BP388" s="129">
        <f>IF(K388="","",IF(COUNTIF($I$3:I388,K388)+COUNTIF($J$3:J388,K388)+COUNTIF($K$3:K388,K388)=1,MAX($BN$2:BP387,BN388,BO388)+1,""))</f>
      </c>
      <c r="BQ388" s="129">
        <f>IF(AY388=1,IFERROR(MID(Q388,FIND(" (",Q388)+2,FIND(")",Q388,FIND(" (",Q388))-FIND(" (",Q388)-2),"?"),"")</f>
      </c>
      <c r="BR388" s="129">
        <f>IF(BQ388="","",IF(COUNTIF($BQ$3:BQ388,BQ388)=1,MAX($BR$2:BR387)+1,""))</f>
      </c>
      <c r="BS388" s="129">
        <f>IF(AW388="","",COUNTIF($AW$3:AW388,"?*"))</f>
      </c>
      <c r="BT388" s="129">
        <f>IF(OR(AW388="",AI388=""),"",IF(COUNTIFS($AW$3:AW388,"?*",$AI$3:AI388,AI388)=1,MAX($BT$2:BT387)+1,""))</f>
      </c>
      <c r="BU388" s="129">
        <f>IF(AE388="",0,IF(OR(ISNUMBER(SEARCH("дубль",AE388)),ISNUMBER(SEARCH("ПЕРЕГРУЗ",AE388)),ISNUMBER(SEARCH("ЗАЩИЩ",AE388)),ISNUMBER(SEARCH("КАНАЛ",AE388)),ISNUMBER(SEARCH("без 30",AE388))),2,1))</f>
      </c>
      <c r="BV388" s="129">
        <f>IF(R388="","",COUNTIF($R$3:R388,"?*"))</f>
      </c>
      <c r="BW388" s="129">
        <f>IF(AY388&lt;&gt;1,0,IF(MAX(IFERROR(--VLOOKUP(R388,УГО_спр,5,FALSE),0),IFERROR(--VLOOKUP(AL388,УГО_спр,5,FALSE),0),IFERROR(--VLOOKUP(LEFT(AL388,2),УГО_спр,5,FALSE),0))&gt;0,MAX(IFERROR(--VLOOKUP(R388,УГО_спр,5,FALSE),0),IFERROR(--VLOOKUP(AL388,УГО_спр,5,FALSE),0),IFERROR(--VLOOKUP(LEFT(AL388,2),УГО_спр,5,FALSE),0)),IF(IFERROR(--LEFT(SUBSTITUTE(BQ388,"x","х"),FIND("х",SUBSTITUTE(BQ388,"x","х"))-1),3)&gt;3,Каталог!$S$9,1)))</f>
      </c>
      <c r="BX388" s="129">
        <f>IF(AY388&lt;&gt;1,0,MAX(0,IFERROR(--LEFT(SUBSTITUTE(BQ388,"x","х"),FIND("х",SUBSTITUTE(BQ388,"x","х"))-1),3)-3*BW388))</f>
      </c>
      <c r="BY388" s="129">
        <f>IF(R388="","",IFERROR(VLOOKUP(R388,УГО_спр,2,FALSE),IFERROR(VLOOKUP(AL388,УГО_спр,2,FALSE),IFERROR(VLOOKUP(LEFT(AL388,2),УГО_спр,2,FALSE),""))))</f>
      </c>
    </row>
    <row r="389" spans="1:64" x14ac:dyDescent="0.3">
      <c r="A389" s="135">
        <f>IF(Разбивка_по_щитам!F389=0,"",Разбивка_по_щитам!F389)</f>
      </c>
      <c r="B389" s="138">
        <f>IF(A389="","",Разбивка_по_щитам!C389)</f>
      </c>
      <c r="C389" s="138">
        <f t="shared" si="258"/>
      </c>
      <c r="D389" s="266"/>
      <c r="E389" s="266"/>
      <c r="F389" s="267"/>
      <c r="G389" s="145">
        <f t="shared" si="254"/>
        <v/>
      </c>
      <c r="H389" s="145">
        <f t="shared" si="255"/>
        <v/>
      </c>
      <c r="I389" s="266"/>
      <c r="J389" s="267"/>
      <c r="K389" s="267"/>
      <c r="L389" s="266"/>
      <c r="M389" s="147">
        <f t="shared" si="256"/>
        <v/>
      </c>
      <c r="N389" s="267"/>
      <c r="O389" s="147">
        <f t="shared" si="257"/>
        <v/>
      </c>
      <c r="P389" s="268">
        <f>IF(AY389=1,"XT"&amp;COUNTIFS($A$3:A389,A389,$AY$3:AY389,1),"")</f>
        <v/>
      </c>
      <c r="Q389" s="152">
        <f>IF(R389="","",IFERROR(SUBSTITUTE(Разбивка_по_щитам!P389,CHAR(10)," "),""))</f>
        <v/>
      </c>
      <c r="R389" s="153">
        <f>IF(OR(Разбивка_по_щитам!H389="",Разбивка_по_щитам!H389=0),"",Разбивка_по_щитам!H389)</f>
        <v/>
      </c>
      <c r="S389" s="154">
        <f>IF(R389="","",IFERROR(Разбивка_по_щитам!J389&amp;"",""))</f>
        <v/>
      </c>
      <c r="T389" s="155">
        <f>IF(R389="","",IFERROR(--Разбивка_по_щитам!L389,""))</f>
        <v/>
      </c>
      <c r="U389" s="155">
        <f>IF(R389="","",IFERROR(--Разбивка_по_щитам!K389,""))</f>
        <v/>
      </c>
      <c r="V389" s="138">
        <f>IF(R389="","",IFERROR(IF(Разбивка_по_щитам!M389=0,"",Разбивка_по_щитам!M389),""))</f>
        <v/>
      </c>
      <c r="W389" s="156">
        <f t="shared" si="259"/>
        <v/>
      </c>
      <c r="X389" s="157">
        <f t="shared" si="260"/>
        <v/>
      </c>
      <c r="Y389" s="266"/>
      <c r="Z389" s="158">
        <f t="shared" si="261"/>
        <v/>
      </c>
      <c r="AA389" s="160">
        <f t="shared" si="262"/>
        <v/>
      </c>
      <c r="AB389" s="160">
        <f>IF(R389="","",IFERROR(LOOKUP(INDEX(Справочная!$I$4:$I$19,MATCH(VLOOKUP(R389,Исходные_данные,22,FALSE),Справочная!$J$4:$J$19,0)+1),{6,10,16,20,25,32,40,50,63,80,100,125}),""))</f>
        <v/>
      </c>
      <c r="AC389" s="160">
        <f t="shared" si="263"/>
        <v/>
      </c>
      <c r="AD389" s="161">
        <f t="shared" si="264"/>
        <v/>
      </c>
      <c r="AE389" s="161">
        <f>IF(AND(R389="",G389=""),"",_xlfn.TEXTJOIN("; ",TRUE,IF(AND(R389&lt;&gt;"",V389=""),"нет фазы",""),IF(AND(R389&lt;&gt;"",N(T389)=0),"нет мощности",""),IF(AND(P389&lt;&gt;"",COUNTIFS($A$3:$A$1000,A389,$P$3:$P$1000,P389)&gt;1),"дубль клеммы "&amp;P389,""),IF(AND(W389&lt;&gt;"",W389&lt;&gt;"ok"),W389,""),IF(X389&lt;&gt;"",X389,""),IF(AND(ISNUMBER(SEARCH("(5х",Q389)),N(AK389)=1),"5 жил на 1 фазе",""),IF(AND(AL389="R",E389&lt;&gt;"",N(AS389)=0),"розетка без 30 мА",""),IF(IFERROR(_xlfn.NUMBERVALUE(MID(Q389,FIND("-",Q389,FIND("L=",Q389))+1,FIND("%",Q389)-FIND("-",Q389,FIND("L=",Q389))-1),","),0)&gt;4,"потери &gt; 4 %","")))</f>
      </c>
      <c r="AF389" s="129">
        <f>IF(E389&lt;&gt;"",COUNTIFS($A$3:A389,A389,$E$3:E389,"?*"),IF(OR(A389&lt;&gt;A388,Y389="вручную"),"",AF388))</f>
      </c>
      <c r="AG389" s="129">
        <f t="shared" si="265"/>
      </c>
      <c r="AH389" s="129">
        <f t="shared" si="266"/>
        <v/>
      </c>
      <c r="AI389" s="129">
        <f t="shared" si="267"/>
        <v/>
      </c>
      <c r="AJ389" s="129">
        <f t="shared" si="268"/>
        <v/>
      </c>
      <c r="AK389" s="129">
        <f t="shared" si="269"/>
        <v/>
      </c>
      <c r="AL389" s="129">
        <f t="shared" si="270"/>
        <v/>
      </c>
      <c r="AM389" s="129">
        <f t="shared" si="271"/>
      </c>
      <c r="AN389" s="129">
        <f t="shared" si="272"/>
      </c>
      <c r="AO389" s="129">
        <f t="shared" si="273"/>
        <v/>
      </c>
      <c r="AP389" s="129">
        <f t="shared" si="274"/>
        <v/>
      </c>
      <c r="AQ389" s="129">
        <f t="shared" si="275"/>
        <v/>
      </c>
      <c r="AR389" s="129">
        <f t="shared" si="276"/>
        <v/>
      </c>
      <c r="AS389" s="129">
        <f t="shared" si="277"/>
        <v/>
      </c>
      <c r="AT389" s="129">
        <f t="shared" si="278"/>
        <v/>
      </c>
      <c r="AU389" s="129">
        <f t="shared" si="279"/>
        <v/>
      </c>
      <c r="AV389" s="129">
        <f t="shared" si="280"/>
        <v/>
      </c>
      <c r="AW389" s="129">
        <f>IF(AV389="","",AV389&amp;"."&amp;COUNTIFS($A$3:A389,A389,$AV$3:AV389,AV389))</f>
        <v/>
      </c>
      <c r="AX389" s="129">
        <f t="shared" si="281"/>
        <v/>
      </c>
      <c r="AY389" s="129">
        <f>IF(N389="б/к",0,IF(OR(ISNUMBER(SEARCH("L=",Разбивка_по_щитам!P389)),N389="+",N389="="),1,0))</f>
      </c>
      <c r="AZ389" s="129">
        <f t="shared" si="282"/>
      </c>
      <c r="BA389" s="129">
        <f t="shared" si="283"/>
      </c>
      <c r="BB389" s="129">
        <f t="shared" si="284"/>
      </c>
      <c r="BD389" s="129">
        <f t="shared" si="285"/>
      </c>
      <c r="BE389" s="129">
        <f t="shared" si="286"/>
      </c>
      <c r="BF389" s="129">
        <f t="shared" si="287"/>
      </c>
      <c r="BG389" s="129">
        <f t="shared" si="288"/>
        <v/>
      </c>
      <c r="BH389" s="129">
        <f t="shared" si="289"/>
        <v/>
      </c>
      <c r="BI389" s="129">
        <f t="shared" si="290"/>
        <v/>
      </c>
      <c r="BJ389" s="129">
        <f t="shared" si="291"/>
        <v/>
      </c>
      <c r="BK389" s="129">
        <f>IF(R389="","",IF(OR(BY389="",BY389=0),"BOX",IFERROR(IF(VLOOKUP(BY389,УГО_блоки,3,FALSE)&amp;""&lt;&gt;"",VLOOKUP(BY389,УГО_блоки,3,FALSE),VLOOKUP(BY389,УГО_блоки,2,FALSE)),BY389)))</f>
      </c>
      <c r="BL389" s="129">
        <f t="shared" si="293"/>
      </c>
      <c r="BM389" s="129">
        <f>IF(H389="","",IF(COUNTIF($H$3:H389,H389)=1,MAX($BM$2:BM388)+1,""))</f>
      </c>
      <c r="BN389" s="129">
        <f>IF(I389="","",IF(COUNTIF($I$3:I389,I389)+COUNTIF($J$2:J388,I389)+COUNTIF($K$2:K388,I389)=1,MAX($BN$2:BP388)+1,""))</f>
      </c>
      <c r="BO389" s="129">
        <f>IF(J389="","",IF(COUNTIF($I$3:I389,J389)+COUNTIF($J$3:J389,J389)+COUNTIF($K$2:K388,J389)=1,MAX($BN$2:BP388,BN389)+1,""))</f>
      </c>
      <c r="BP389" s="129">
        <f>IF(K389="","",IF(COUNTIF($I$3:I389,K389)+COUNTIF($J$3:J389,K389)+COUNTIF($K$3:K389,K389)=1,MAX($BN$2:BP388,BN389,BO389)+1,""))</f>
      </c>
      <c r="BQ389" s="129">
        <f>IF(AY389=1,IFERROR(MID(Q389,FIND(" (",Q389)+2,FIND(")",Q389,FIND(" (",Q389))-FIND(" (",Q389)-2),"?"),"")</f>
      </c>
      <c r="BR389" s="129">
        <f>IF(BQ389="","",IF(COUNTIF($BQ$3:BQ389,BQ389)=1,MAX($BR$2:BR388)+1,""))</f>
      </c>
      <c r="BS389" s="129">
        <f>IF(AW389="","",COUNTIF($AW$3:AW389,"?*"))</f>
      </c>
      <c r="BT389" s="129">
        <f>IF(OR(AW389="",AI389=""),"",IF(COUNTIFS($AW$3:AW389,"?*",$AI$3:AI389,AI389)=1,MAX($BT$2:BT388)+1,""))</f>
      </c>
      <c r="BU389" s="129">
        <f>IF(AE389="",0,IF(OR(ISNUMBER(SEARCH("дубль",AE389)),ISNUMBER(SEARCH("ПЕРЕГРУЗ",AE389)),ISNUMBER(SEARCH("ЗАЩИЩ",AE389)),ISNUMBER(SEARCH("КАНАЛ",AE389)),ISNUMBER(SEARCH("без 30",AE389))),2,1))</f>
      </c>
      <c r="BV389" s="129">
        <f>IF(R389="","",COUNTIF($R$3:R389,"?*"))</f>
      </c>
      <c r="BW389" s="129">
        <f>IF(AY389&lt;&gt;1,0,IF(MAX(IFERROR(--VLOOKUP(R389,УГО_спр,5,FALSE),0),IFERROR(--VLOOKUP(AL389,УГО_спр,5,FALSE),0),IFERROR(--VLOOKUP(LEFT(AL389,2),УГО_спр,5,FALSE),0))&gt;0,MAX(IFERROR(--VLOOKUP(R389,УГО_спр,5,FALSE),0),IFERROR(--VLOOKUP(AL389,УГО_спр,5,FALSE),0),IFERROR(--VLOOKUP(LEFT(AL389,2),УГО_спр,5,FALSE),0)),IF(IFERROR(--LEFT(SUBSTITUTE(BQ389,"x","х"),FIND("х",SUBSTITUTE(BQ389,"x","х"))-1),3)&gt;3,Каталог!$S$9,1)))</f>
      </c>
      <c r="BX389" s="129">
        <f>IF(AY389&lt;&gt;1,0,MAX(0,IFERROR(--LEFT(SUBSTITUTE(BQ389,"x","х"),FIND("х",SUBSTITUTE(BQ389,"x","х"))-1),3)-3*BW389))</f>
      </c>
      <c r="BY389" s="129">
        <f>IF(R389="","",IFERROR(VLOOKUP(R389,УГО_спр,2,FALSE),IFERROR(VLOOKUP(AL389,УГО_спр,2,FALSE),IFERROR(VLOOKUP(LEFT(AL389,2),УГО_спр,2,FALSE),""))))</f>
      </c>
    </row>
    <row r="390" spans="1:64" x14ac:dyDescent="0.3">
      <c r="A390" s="135">
        <f>IF(Разбивка_по_щитам!F390=0,"",Разбивка_по_щитам!F390)</f>
      </c>
      <c r="B390" s="138">
        <f>IF(A390="","",Разбивка_по_щитам!C390)</f>
      </c>
      <c r="C390" s="138">
        <f t="shared" si="258"/>
      </c>
      <c r="D390" s="266"/>
      <c r="E390" s="266"/>
      <c r="F390" s="267"/>
      <c r="G390" s="145">
        <f t="shared" si="254"/>
        <v/>
      </c>
      <c r="H390" s="145">
        <f t="shared" si="255"/>
        <v/>
      </c>
      <c r="I390" s="266"/>
      <c r="J390" s="267"/>
      <c r="K390" s="267"/>
      <c r="L390" s="266"/>
      <c r="M390" s="147">
        <f t="shared" si="256"/>
        <v/>
      </c>
      <c r="N390" s="267"/>
      <c r="O390" s="147">
        <f t="shared" si="257"/>
        <v/>
      </c>
      <c r="P390" s="268">
        <f>IF(AY390=1,"XT"&amp;COUNTIFS($A$3:A390,A390,$AY$3:AY390,1),"")</f>
        <v/>
      </c>
      <c r="Q390" s="152">
        <f>IF(R390="","",IFERROR(SUBSTITUTE(Разбивка_по_щитам!P390,CHAR(10)," "),""))</f>
        <v/>
      </c>
      <c r="R390" s="153">
        <f>IF(OR(Разбивка_по_щитам!H390="",Разбивка_по_щитам!H390=0),"",Разбивка_по_щитам!H390)</f>
        <v/>
      </c>
      <c r="S390" s="154">
        <f>IF(R390="","",IFERROR(Разбивка_по_щитам!J390&amp;"",""))</f>
        <v/>
      </c>
      <c r="T390" s="155">
        <f>IF(R390="","",IFERROR(--Разбивка_по_щитам!L390,""))</f>
        <v/>
      </c>
      <c r="U390" s="155">
        <f>IF(R390="","",IFERROR(--Разбивка_по_щитам!K390,""))</f>
        <v/>
      </c>
      <c r="V390" s="138">
        <f>IF(R390="","",IFERROR(IF(Разбивка_по_щитам!M390=0,"",Разбивка_по_щитам!M390),""))</f>
        <v/>
      </c>
      <c r="W390" s="156">
        <f t="shared" si="259"/>
        <v/>
      </c>
      <c r="X390" s="157">
        <f t="shared" si="260"/>
        <v/>
      </c>
      <c r="Y390" s="266"/>
      <c r="Z390" s="158">
        <f t="shared" si="261"/>
        <v/>
      </c>
      <c r="AA390" s="160">
        <f t="shared" si="262"/>
        <v/>
      </c>
      <c r="AB390" s="160">
        <f>IF(R390="","",IFERROR(LOOKUP(INDEX(Справочная!$I$4:$I$19,MATCH(VLOOKUP(R390,Исходные_данные,22,FALSE),Справочная!$J$4:$J$19,0)+1),{6,10,16,20,25,32,40,50,63,80,100,125}),""))</f>
        <v/>
      </c>
      <c r="AC390" s="160">
        <f t="shared" si="263"/>
        <v/>
      </c>
      <c r="AD390" s="161">
        <f t="shared" si="264"/>
        <v/>
      </c>
      <c r="AE390" s="161">
        <f>IF(AND(R390="",G390=""),"",_xlfn.TEXTJOIN("; ",TRUE,IF(AND(R390&lt;&gt;"",V390=""),"нет фазы",""),IF(AND(R390&lt;&gt;"",N(T390)=0),"нет мощности",""),IF(AND(P390&lt;&gt;"",COUNTIFS($A$3:$A$1000,A390,$P$3:$P$1000,P390)&gt;1),"дубль клеммы "&amp;P390,""),IF(AND(W390&lt;&gt;"",W390&lt;&gt;"ok"),W390,""),IF(X390&lt;&gt;"",X390,""),IF(AND(ISNUMBER(SEARCH("(5х",Q390)),N(AK390)=1),"5 жил на 1 фазе",""),IF(AND(AL390="R",E390&lt;&gt;"",N(AS390)=0),"розетка без 30 мА",""),IF(IFERROR(_xlfn.NUMBERVALUE(MID(Q390,FIND("-",Q390,FIND("L=",Q390))+1,FIND("%",Q390)-FIND("-",Q390,FIND("L=",Q390))-1),","),0)&gt;4,"потери &gt; 4 %","")))</f>
      </c>
      <c r="AF390" s="129">
        <f>IF(E390&lt;&gt;"",COUNTIFS($A$3:A390,A390,$E$3:E390,"?*"),IF(OR(A390&lt;&gt;A389,Y390="вручную"),"",AF389))</f>
      </c>
      <c r="AG390" s="129">
        <f t="shared" si="265"/>
      </c>
      <c r="AH390" s="129">
        <f t="shared" si="266"/>
        <v/>
      </c>
      <c r="AI390" s="129">
        <f t="shared" si="267"/>
        <v/>
      </c>
      <c r="AJ390" s="129">
        <f t="shared" si="268"/>
        <v/>
      </c>
      <c r="AK390" s="129">
        <f t="shared" si="269"/>
        <v/>
      </c>
      <c r="AL390" s="129">
        <f t="shared" si="270"/>
        <v/>
      </c>
      <c r="AM390" s="129">
        <f t="shared" si="271"/>
      </c>
      <c r="AN390" s="129">
        <f t="shared" si="272"/>
      </c>
      <c r="AO390" s="129">
        <f t="shared" si="273"/>
        <v/>
      </c>
      <c r="AP390" s="129">
        <f t="shared" si="274"/>
        <v/>
      </c>
      <c r="AQ390" s="129">
        <f t="shared" si="275"/>
        <v/>
      </c>
      <c r="AR390" s="129">
        <f t="shared" si="276"/>
        <v/>
      </c>
      <c r="AS390" s="129">
        <f t="shared" si="277"/>
        <v/>
      </c>
      <c r="AT390" s="129">
        <f t="shared" si="278"/>
        <v/>
      </c>
      <c r="AU390" s="129">
        <f t="shared" si="279"/>
        <v/>
      </c>
      <c r="AV390" s="129">
        <f t="shared" si="280"/>
        <v/>
      </c>
      <c r="AW390" s="129">
        <f>IF(AV390="","",AV390&amp;"."&amp;COUNTIFS($A$3:A390,A390,$AV$3:AV390,AV390))</f>
        <v/>
      </c>
      <c r="AX390" s="129">
        <f t="shared" si="281"/>
        <v/>
      </c>
      <c r="AY390" s="129">
        <f>IF(N390="б/к",0,IF(OR(ISNUMBER(SEARCH("L=",Разбивка_по_щитам!P390)),N390="+",N390="="),1,0))</f>
      </c>
      <c r="AZ390" s="129">
        <f t="shared" si="282"/>
      </c>
      <c r="BA390" s="129">
        <f t="shared" si="283"/>
      </c>
      <c r="BB390" s="129">
        <f t="shared" si="284"/>
      </c>
      <c r="BD390" s="129">
        <f t="shared" si="285"/>
      </c>
      <c r="BE390" s="129">
        <f t="shared" si="286"/>
      </c>
      <c r="BF390" s="129">
        <f t="shared" si="287"/>
      </c>
      <c r="BG390" s="129">
        <f t="shared" si="288"/>
        <v/>
      </c>
      <c r="BH390" s="129">
        <f t="shared" si="289"/>
        <v/>
      </c>
      <c r="BI390" s="129">
        <f t="shared" si="290"/>
        <v/>
      </c>
      <c r="BJ390" s="129">
        <f t="shared" si="291"/>
        <v/>
      </c>
      <c r="BK390" s="129">
        <f>IF(R390="","",IF(OR(BY390="",BY390=0),"BOX",IFERROR(IF(VLOOKUP(BY390,УГО_блоки,3,FALSE)&amp;""&lt;&gt;"",VLOOKUP(BY390,УГО_блоки,3,FALSE),VLOOKUP(BY390,УГО_блоки,2,FALSE)),BY390)))</f>
      </c>
      <c r="BL390" s="129">
        <f t="shared" si="293"/>
      </c>
      <c r="BM390" s="129">
        <f>IF(H390="","",IF(COUNTIF($H$3:H390,H390)=1,MAX($BM$2:BM389)+1,""))</f>
      </c>
      <c r="BN390" s="129">
        <f>IF(I390="","",IF(COUNTIF($I$3:I390,I390)+COUNTIF($J$2:J389,I390)+COUNTIF($K$2:K389,I390)=1,MAX($BN$2:BP389)+1,""))</f>
      </c>
      <c r="BO390" s="129">
        <f>IF(J390="","",IF(COUNTIF($I$3:I390,J390)+COUNTIF($J$3:J390,J390)+COUNTIF($K$2:K389,J390)=1,MAX($BN$2:BP389,BN390)+1,""))</f>
      </c>
      <c r="BP390" s="129">
        <f>IF(K390="","",IF(COUNTIF($I$3:I390,K390)+COUNTIF($J$3:J390,K390)+COUNTIF($K$3:K390,K390)=1,MAX($BN$2:BP389,BN390,BO390)+1,""))</f>
      </c>
      <c r="BQ390" s="129">
        <f>IF(AY390=1,IFERROR(MID(Q390,FIND(" (",Q390)+2,FIND(")",Q390,FIND(" (",Q390))-FIND(" (",Q390)-2),"?"),"")</f>
      </c>
      <c r="BR390" s="129">
        <f>IF(BQ390="","",IF(COUNTIF($BQ$3:BQ390,BQ390)=1,MAX($BR$2:BR389)+1,""))</f>
      </c>
      <c r="BS390" s="129">
        <f>IF(AW390="","",COUNTIF($AW$3:AW390,"?*"))</f>
      </c>
      <c r="BT390" s="129">
        <f>IF(OR(AW390="",AI390=""),"",IF(COUNTIFS($AW$3:AW390,"?*",$AI$3:AI390,AI390)=1,MAX($BT$2:BT389)+1,""))</f>
      </c>
      <c r="BU390" s="129">
        <f>IF(AE390="",0,IF(OR(ISNUMBER(SEARCH("дубль",AE390)),ISNUMBER(SEARCH("ПЕРЕГРУЗ",AE390)),ISNUMBER(SEARCH("ЗАЩИЩ",AE390)),ISNUMBER(SEARCH("КАНАЛ",AE390)),ISNUMBER(SEARCH("без 30",AE390))),2,1))</f>
      </c>
      <c r="BV390" s="129">
        <f>IF(R390="","",COUNTIF($R$3:R390,"?*"))</f>
      </c>
      <c r="BW390" s="129">
        <f>IF(AY390&lt;&gt;1,0,IF(MAX(IFERROR(--VLOOKUP(R390,УГО_спр,5,FALSE),0),IFERROR(--VLOOKUP(AL390,УГО_спр,5,FALSE),0),IFERROR(--VLOOKUP(LEFT(AL390,2),УГО_спр,5,FALSE),0))&gt;0,MAX(IFERROR(--VLOOKUP(R390,УГО_спр,5,FALSE),0),IFERROR(--VLOOKUP(AL390,УГО_спр,5,FALSE),0),IFERROR(--VLOOKUP(LEFT(AL390,2),УГО_спр,5,FALSE),0)),IF(IFERROR(--LEFT(SUBSTITUTE(BQ390,"x","х"),FIND("х",SUBSTITUTE(BQ390,"x","х"))-1),3)&gt;3,Каталог!$S$9,1)))</f>
      </c>
      <c r="BX390" s="129">
        <f>IF(AY390&lt;&gt;1,0,MAX(0,IFERROR(--LEFT(SUBSTITUTE(BQ390,"x","х"),FIND("х",SUBSTITUTE(BQ390,"x","х"))-1),3)-3*BW390))</f>
      </c>
      <c r="BY390" s="129">
        <f>IF(R390="","",IFERROR(VLOOKUP(R390,УГО_спр,2,FALSE),IFERROR(VLOOKUP(AL390,УГО_спр,2,FALSE),IFERROR(VLOOKUP(LEFT(AL390,2),УГО_спр,2,FALSE),""))))</f>
      </c>
    </row>
    <row r="391" spans="1:64" x14ac:dyDescent="0.3">
      <c r="A391" s="135">
        <f>IF(Разбивка_по_щитам!F391=0,"",Разбивка_по_щитам!F391)</f>
      </c>
      <c r="B391" s="138">
        <f>IF(A391="","",Разбивка_по_щитам!C391)</f>
      </c>
      <c r="C391" s="138">
        <f t="shared" si="258"/>
      </c>
      <c r="D391" s="266"/>
      <c r="E391" s="266"/>
      <c r="F391" s="267"/>
      <c r="G391" s="145">
        <f t="shared" si="254"/>
        <v/>
      </c>
      <c r="H391" s="145">
        <f t="shared" si="255"/>
        <v/>
      </c>
      <c r="I391" s="266"/>
      <c r="J391" s="267"/>
      <c r="K391" s="267"/>
      <c r="L391" s="266"/>
      <c r="M391" s="147">
        <f t="shared" si="256"/>
        <v/>
      </c>
      <c r="N391" s="267"/>
      <c r="O391" s="147">
        <f t="shared" si="257"/>
        <v/>
      </c>
      <c r="P391" s="268">
        <f>IF(AY391=1,"XT"&amp;COUNTIFS($A$3:A391,A391,$AY$3:AY391,1),"")</f>
        <v/>
      </c>
      <c r="Q391" s="152">
        <f>IF(R391="","",IFERROR(SUBSTITUTE(Разбивка_по_щитам!P391,CHAR(10)," "),""))</f>
        <v/>
      </c>
      <c r="R391" s="153">
        <f>IF(OR(Разбивка_по_щитам!H391="",Разбивка_по_щитам!H391=0),"",Разбивка_по_щитам!H391)</f>
        <v/>
      </c>
      <c r="S391" s="154">
        <f>IF(R391="","",IFERROR(Разбивка_по_щитам!J391&amp;"",""))</f>
        <v/>
      </c>
      <c r="T391" s="155">
        <f>IF(R391="","",IFERROR(--Разбивка_по_щитам!L391,""))</f>
        <v/>
      </c>
      <c r="U391" s="155">
        <f>IF(R391="","",IFERROR(--Разбивка_по_щитам!K391,""))</f>
        <v/>
      </c>
      <c r="V391" s="138">
        <f>IF(R391="","",IFERROR(IF(Разбивка_по_щитам!M391=0,"",Разбивка_по_щитам!M391),""))</f>
        <v/>
      </c>
      <c r="W391" s="156">
        <f t="shared" si="259"/>
        <v/>
      </c>
      <c r="X391" s="157">
        <f t="shared" si="260"/>
        <v/>
      </c>
      <c r="Y391" s="266"/>
      <c r="Z391" s="158">
        <f t="shared" si="261"/>
        <v/>
      </c>
      <c r="AA391" s="160">
        <f t="shared" si="262"/>
        <v/>
      </c>
      <c r="AB391" s="160">
        <f>IF(R391="","",IFERROR(LOOKUP(INDEX(Справочная!$I$4:$I$19,MATCH(VLOOKUP(R391,Исходные_данные,22,FALSE),Справочная!$J$4:$J$19,0)+1),{6,10,16,20,25,32,40,50,63,80,100,125}),""))</f>
        <v/>
      </c>
      <c r="AC391" s="160">
        <f t="shared" si="263"/>
        <v/>
      </c>
      <c r="AD391" s="161">
        <f t="shared" si="264"/>
        <v/>
      </c>
      <c r="AE391" s="161">
        <f>IF(AND(R391="",G391=""),"",_xlfn.TEXTJOIN("; ",TRUE,IF(AND(R391&lt;&gt;"",V391=""),"нет фазы",""),IF(AND(R391&lt;&gt;"",N(T391)=0),"нет мощности",""),IF(AND(P391&lt;&gt;"",COUNTIFS($A$3:$A$1000,A391,$P$3:$P$1000,P391)&gt;1),"дубль клеммы "&amp;P391,""),IF(AND(W391&lt;&gt;"",W391&lt;&gt;"ok"),W391,""),IF(X391&lt;&gt;"",X391,""),IF(AND(ISNUMBER(SEARCH("(5х",Q391)),N(AK391)=1),"5 жил на 1 фазе",""),IF(AND(AL391="R",E391&lt;&gt;"",N(AS391)=0),"розетка без 30 мА",""),IF(IFERROR(_xlfn.NUMBERVALUE(MID(Q391,FIND("-",Q391,FIND("L=",Q391))+1,FIND("%",Q391)-FIND("-",Q391,FIND("L=",Q391))-1),","),0)&gt;4,"потери &gt; 4 %","")))</f>
      </c>
      <c r="AF391" s="129">
        <f>IF(E391&lt;&gt;"",COUNTIFS($A$3:A391,A391,$E$3:E391,"?*"),IF(OR(A391&lt;&gt;A390,Y391="вручную"),"",AF390))</f>
      </c>
      <c r="AG391" s="129">
        <f t="shared" si="265"/>
      </c>
      <c r="AH391" s="129">
        <f t="shared" si="266"/>
        <v/>
      </c>
      <c r="AI391" s="129">
        <f t="shared" si="267"/>
        <v/>
      </c>
      <c r="AJ391" s="129">
        <f t="shared" si="268"/>
        <v/>
      </c>
      <c r="AK391" s="129">
        <f t="shared" si="269"/>
        <v/>
      </c>
      <c r="AL391" s="129">
        <f t="shared" si="270"/>
        <v/>
      </c>
      <c r="AM391" s="129">
        <f t="shared" si="271"/>
      </c>
      <c r="AN391" s="129">
        <f t="shared" si="272"/>
      </c>
      <c r="AO391" s="129">
        <f t="shared" si="273"/>
        <v/>
      </c>
      <c r="AP391" s="129">
        <f t="shared" si="274"/>
        <v/>
      </c>
      <c r="AQ391" s="129">
        <f t="shared" si="275"/>
        <v/>
      </c>
      <c r="AR391" s="129">
        <f t="shared" si="276"/>
        <v/>
      </c>
      <c r="AS391" s="129">
        <f t="shared" si="277"/>
        <v/>
      </c>
      <c r="AT391" s="129">
        <f t="shared" si="278"/>
        <v/>
      </c>
      <c r="AU391" s="129">
        <f t="shared" si="279"/>
        <v/>
      </c>
      <c r="AV391" s="129">
        <f t="shared" si="280"/>
        <v/>
      </c>
      <c r="AW391" s="129">
        <f>IF(AV391="","",AV391&amp;"."&amp;COUNTIFS($A$3:A391,A391,$AV$3:AV391,AV391))</f>
        <v/>
      </c>
      <c r="AX391" s="129">
        <f t="shared" si="281"/>
        <v/>
      </c>
      <c r="AY391" s="129">
        <f>IF(N391="б/к",0,IF(OR(ISNUMBER(SEARCH("L=",Разбивка_по_щитам!P391)),N391="+",N391="="),1,0))</f>
      </c>
      <c r="AZ391" s="129">
        <f t="shared" si="282"/>
      </c>
      <c r="BA391" s="129">
        <f t="shared" si="283"/>
      </c>
      <c r="BB391" s="129">
        <f t="shared" si="284"/>
      </c>
      <c r="BD391" s="129">
        <f t="shared" si="285"/>
      </c>
      <c r="BE391" s="129">
        <f t="shared" si="286"/>
      </c>
      <c r="BF391" s="129">
        <f t="shared" si="287"/>
      </c>
      <c r="BG391" s="129">
        <f t="shared" si="288"/>
        <v/>
      </c>
      <c r="BH391" s="129">
        <f t="shared" si="289"/>
        <v/>
      </c>
      <c r="BI391" s="129">
        <f t="shared" si="290"/>
        <v/>
      </c>
      <c r="BJ391" s="129">
        <f t="shared" si="291"/>
        <v/>
      </c>
      <c r="BK391" s="129">
        <f>IF(R391="","",IF(OR(BY391="",BY391=0),"BOX",IFERROR(IF(VLOOKUP(BY391,УГО_блоки,3,FALSE)&amp;""&lt;&gt;"",VLOOKUP(BY391,УГО_блоки,3,FALSE),VLOOKUP(BY391,УГО_блоки,2,FALSE)),BY391)))</f>
      </c>
      <c r="BL391" s="129">
        <f t="shared" si="293"/>
      </c>
      <c r="BM391" s="129">
        <f>IF(H391="","",IF(COUNTIF($H$3:H391,H391)=1,MAX($BM$2:BM390)+1,""))</f>
      </c>
      <c r="BN391" s="129">
        <f>IF(I391="","",IF(COUNTIF($I$3:I391,I391)+COUNTIF($J$2:J390,I391)+COUNTIF($K$2:K390,I391)=1,MAX($BN$2:BP390)+1,""))</f>
      </c>
      <c r="BO391" s="129">
        <f>IF(J391="","",IF(COUNTIF($I$3:I391,J391)+COUNTIF($J$3:J391,J391)+COUNTIF($K$2:K390,J391)=1,MAX($BN$2:BP390,BN391)+1,""))</f>
      </c>
      <c r="BP391" s="129">
        <f>IF(K391="","",IF(COUNTIF($I$3:I391,K391)+COUNTIF($J$3:J391,K391)+COUNTIF($K$3:K391,K391)=1,MAX($BN$2:BP390,BN391,BO391)+1,""))</f>
      </c>
      <c r="BQ391" s="129">
        <f>IF(AY391=1,IFERROR(MID(Q391,FIND(" (",Q391)+2,FIND(")",Q391,FIND(" (",Q391))-FIND(" (",Q391)-2),"?"),"")</f>
      </c>
      <c r="BR391" s="129">
        <f>IF(BQ391="","",IF(COUNTIF($BQ$3:BQ391,BQ391)=1,MAX($BR$2:BR390)+1,""))</f>
      </c>
      <c r="BS391" s="129">
        <f>IF(AW391="","",COUNTIF($AW$3:AW391,"?*"))</f>
      </c>
      <c r="BT391" s="129">
        <f>IF(OR(AW391="",AI391=""),"",IF(COUNTIFS($AW$3:AW391,"?*",$AI$3:AI391,AI391)=1,MAX($BT$2:BT390)+1,""))</f>
      </c>
      <c r="BU391" s="129">
        <f>IF(AE391="",0,IF(OR(ISNUMBER(SEARCH("дубль",AE391)),ISNUMBER(SEARCH("ПЕРЕГРУЗ",AE391)),ISNUMBER(SEARCH("ЗАЩИЩ",AE391)),ISNUMBER(SEARCH("КАНАЛ",AE391)),ISNUMBER(SEARCH("без 30",AE391))),2,1))</f>
      </c>
      <c r="BV391" s="129">
        <f>IF(R391="","",COUNTIF($R$3:R391,"?*"))</f>
      </c>
      <c r="BW391" s="129">
        <f>IF(AY391&lt;&gt;1,0,IF(MAX(IFERROR(--VLOOKUP(R391,УГО_спр,5,FALSE),0),IFERROR(--VLOOKUP(AL391,УГО_спр,5,FALSE),0),IFERROR(--VLOOKUP(LEFT(AL391,2),УГО_спр,5,FALSE),0))&gt;0,MAX(IFERROR(--VLOOKUP(R391,УГО_спр,5,FALSE),0),IFERROR(--VLOOKUP(AL391,УГО_спр,5,FALSE),0),IFERROR(--VLOOKUP(LEFT(AL391,2),УГО_спр,5,FALSE),0)),IF(IFERROR(--LEFT(SUBSTITUTE(BQ391,"x","х"),FIND("х",SUBSTITUTE(BQ391,"x","х"))-1),3)&gt;3,Каталог!$S$9,1)))</f>
      </c>
      <c r="BX391" s="129">
        <f>IF(AY391&lt;&gt;1,0,MAX(0,IFERROR(--LEFT(SUBSTITUTE(BQ391,"x","х"),FIND("х",SUBSTITUTE(BQ391,"x","х"))-1),3)-3*BW391))</f>
      </c>
      <c r="BY391" s="129">
        <f>IF(R391="","",IFERROR(VLOOKUP(R391,УГО_спр,2,FALSE),IFERROR(VLOOKUP(AL391,УГО_спр,2,FALSE),IFERROR(VLOOKUP(LEFT(AL391,2),УГО_спр,2,FALSE),""))))</f>
      </c>
    </row>
    <row r="392" spans="1:64" x14ac:dyDescent="0.3">
      <c r="A392" s="135">
        <f>IF(Разбивка_по_щитам!F392=0,"",Разбивка_по_щитам!F392)</f>
      </c>
      <c r="B392" s="138">
        <f>IF(A392="","",Разбивка_по_щитам!C392)</f>
      </c>
      <c r="C392" s="138">
        <f t="shared" si="258"/>
      </c>
      <c r="D392" s="266"/>
      <c r="E392" s="266"/>
      <c r="F392" s="267"/>
      <c r="G392" s="145">
        <f t="shared" si="254"/>
        <v/>
      </c>
      <c r="H392" s="145">
        <f t="shared" si="255"/>
        <v/>
      </c>
      <c r="I392" s="266"/>
      <c r="J392" s="267"/>
      <c r="K392" s="267"/>
      <c r="L392" s="266"/>
      <c r="M392" s="147">
        <f t="shared" si="256"/>
        <v/>
      </c>
      <c r="N392" s="267"/>
      <c r="O392" s="147">
        <f t="shared" si="257"/>
        <v/>
      </c>
      <c r="P392" s="268">
        <f>IF(AY392=1,"XT"&amp;COUNTIFS($A$3:A392,A392,$AY$3:AY392,1),"")</f>
        <v/>
      </c>
      <c r="Q392" s="152">
        <f>IF(R392="","",IFERROR(SUBSTITUTE(Разбивка_по_щитам!P392,CHAR(10)," "),""))</f>
        <v/>
      </c>
      <c r="R392" s="153">
        <f>IF(OR(Разбивка_по_щитам!H392="",Разбивка_по_щитам!H392=0),"",Разбивка_по_щитам!H392)</f>
        <v/>
      </c>
      <c r="S392" s="154">
        <f>IF(R392="","",IFERROR(Разбивка_по_щитам!J392&amp;"",""))</f>
        <v/>
      </c>
      <c r="T392" s="155">
        <f>IF(R392="","",IFERROR(--Разбивка_по_щитам!L392,""))</f>
        <v/>
      </c>
      <c r="U392" s="155">
        <f>IF(R392="","",IFERROR(--Разбивка_по_щитам!K392,""))</f>
        <v/>
      </c>
      <c r="V392" s="138">
        <f>IF(R392="","",IFERROR(IF(Разбивка_по_щитам!M392=0,"",Разбивка_по_щитам!M392),""))</f>
        <v/>
      </c>
      <c r="W392" s="156">
        <f t="shared" si="259"/>
        <v/>
      </c>
      <c r="X392" s="157">
        <f t="shared" si="260"/>
        <v/>
      </c>
      <c r="Y392" s="266"/>
      <c r="Z392" s="158">
        <f t="shared" si="261"/>
        <v/>
      </c>
      <c r="AA392" s="160">
        <f t="shared" si="262"/>
        <v/>
      </c>
      <c r="AB392" s="160">
        <f>IF(R392="","",IFERROR(LOOKUP(INDEX(Справочная!$I$4:$I$19,MATCH(VLOOKUP(R392,Исходные_данные,22,FALSE),Справочная!$J$4:$J$19,0)+1),{6,10,16,20,25,32,40,50,63,80,100,125}),""))</f>
        <v/>
      </c>
      <c r="AC392" s="160">
        <f t="shared" si="263"/>
        <v/>
      </c>
      <c r="AD392" s="161">
        <f t="shared" si="264"/>
        <v/>
      </c>
      <c r="AE392" s="161">
        <f>IF(AND(R392="",G392=""),"",_xlfn.TEXTJOIN("; ",TRUE,IF(AND(R392&lt;&gt;"",V392=""),"нет фазы",""),IF(AND(R392&lt;&gt;"",N(T392)=0),"нет мощности",""),IF(AND(P392&lt;&gt;"",COUNTIFS($A$3:$A$1000,A392,$P$3:$P$1000,P392)&gt;1),"дубль клеммы "&amp;P392,""),IF(AND(W392&lt;&gt;"",W392&lt;&gt;"ok"),W392,""),IF(X392&lt;&gt;"",X392,""),IF(AND(ISNUMBER(SEARCH("(5х",Q392)),N(AK392)=1),"5 жил на 1 фазе",""),IF(AND(AL392="R",E392&lt;&gt;"",N(AS392)=0),"розетка без 30 мА",""),IF(IFERROR(_xlfn.NUMBERVALUE(MID(Q392,FIND("-",Q392,FIND("L=",Q392))+1,FIND("%",Q392)-FIND("-",Q392,FIND("L=",Q392))-1),","),0)&gt;4,"потери &gt; 4 %","")))</f>
      </c>
      <c r="AF392" s="129">
        <f>IF(E392&lt;&gt;"",COUNTIFS($A$3:A392,A392,$E$3:E392,"?*"),IF(OR(A392&lt;&gt;A391,Y392="вручную"),"",AF391))</f>
      </c>
      <c r="AG392" s="129">
        <f t="shared" si="265"/>
      </c>
      <c r="AH392" s="129">
        <f t="shared" si="266"/>
        <v/>
      </c>
      <c r="AI392" s="129">
        <f t="shared" si="267"/>
        <v/>
      </c>
      <c r="AJ392" s="129">
        <f t="shared" si="268"/>
        <v/>
      </c>
      <c r="AK392" s="129">
        <f t="shared" si="269"/>
        <v/>
      </c>
      <c r="AL392" s="129">
        <f t="shared" si="270"/>
        <v/>
      </c>
      <c r="AM392" s="129">
        <f t="shared" si="271"/>
      </c>
      <c r="AN392" s="129">
        <f t="shared" si="272"/>
      </c>
      <c r="AO392" s="129">
        <f t="shared" si="273"/>
        <v/>
      </c>
      <c r="AP392" s="129">
        <f t="shared" si="274"/>
        <v/>
      </c>
      <c r="AQ392" s="129">
        <f t="shared" si="275"/>
        <v/>
      </c>
      <c r="AR392" s="129">
        <f t="shared" si="276"/>
        <v/>
      </c>
      <c r="AS392" s="129">
        <f t="shared" si="277"/>
        <v/>
      </c>
      <c r="AT392" s="129">
        <f t="shared" si="278"/>
        <v/>
      </c>
      <c r="AU392" s="129">
        <f t="shared" si="279"/>
        <v/>
      </c>
      <c r="AV392" s="129">
        <f t="shared" si="280"/>
        <v/>
      </c>
      <c r="AW392" s="129">
        <f>IF(AV392="","",AV392&amp;"."&amp;COUNTIFS($A$3:A392,A392,$AV$3:AV392,AV392))</f>
        <v/>
      </c>
      <c r="AX392" s="129">
        <f t="shared" si="281"/>
        <v/>
      </c>
      <c r="AY392" s="129">
        <f>IF(N392="б/к",0,IF(OR(ISNUMBER(SEARCH("L=",Разбивка_по_щитам!P392)),N392="+",N392="="),1,0))</f>
      </c>
      <c r="AZ392" s="129">
        <f t="shared" si="282"/>
      </c>
      <c r="BA392" s="129">
        <f t="shared" si="283"/>
      </c>
      <c r="BB392" s="129">
        <f t="shared" si="284"/>
      </c>
      <c r="BD392" s="129">
        <f t="shared" si="285"/>
      </c>
      <c r="BE392" s="129">
        <f t="shared" si="286"/>
      </c>
      <c r="BF392" s="129">
        <f t="shared" si="287"/>
      </c>
      <c r="BG392" s="129">
        <f t="shared" si="288"/>
        <v/>
      </c>
      <c r="BH392" s="129">
        <f t="shared" si="289"/>
        <v/>
      </c>
      <c r="BI392" s="129">
        <f t="shared" si="290"/>
        <v/>
      </c>
      <c r="BJ392" s="129">
        <f t="shared" si="291"/>
        <v/>
      </c>
      <c r="BK392" s="129">
        <f>IF(R392="","",IF(OR(BY392="",BY392=0),"BOX",IFERROR(IF(VLOOKUP(BY392,УГО_блоки,3,FALSE)&amp;""&lt;&gt;"",VLOOKUP(BY392,УГО_блоки,3,FALSE),VLOOKUP(BY392,УГО_блоки,2,FALSE)),BY392)))</f>
      </c>
      <c r="BL392" s="129">
        <f t="shared" si="293"/>
      </c>
      <c r="BM392" s="129">
        <f>IF(H392="","",IF(COUNTIF($H$3:H392,H392)=1,MAX($BM$2:BM391)+1,""))</f>
      </c>
      <c r="BN392" s="129">
        <f>IF(I392="","",IF(COUNTIF($I$3:I392,I392)+COUNTIF($J$2:J391,I392)+COUNTIF($K$2:K391,I392)=1,MAX($BN$2:BP391)+1,""))</f>
      </c>
      <c r="BO392" s="129">
        <f>IF(J392="","",IF(COUNTIF($I$3:I392,J392)+COUNTIF($J$3:J392,J392)+COUNTIF($K$2:K391,J392)=1,MAX($BN$2:BP391,BN392)+1,""))</f>
      </c>
      <c r="BP392" s="129">
        <f>IF(K392="","",IF(COUNTIF($I$3:I392,K392)+COUNTIF($J$3:J392,K392)+COUNTIF($K$3:K392,K392)=1,MAX($BN$2:BP391,BN392,BO392)+1,""))</f>
      </c>
      <c r="BQ392" s="129">
        <f>IF(AY392=1,IFERROR(MID(Q392,FIND(" (",Q392)+2,FIND(")",Q392,FIND(" (",Q392))-FIND(" (",Q392)-2),"?"),"")</f>
      </c>
      <c r="BR392" s="129">
        <f>IF(BQ392="","",IF(COUNTIF($BQ$3:BQ392,BQ392)=1,MAX($BR$2:BR391)+1,""))</f>
      </c>
      <c r="BS392" s="129">
        <f>IF(AW392="","",COUNTIF($AW$3:AW392,"?*"))</f>
      </c>
      <c r="BT392" s="129">
        <f>IF(OR(AW392="",AI392=""),"",IF(COUNTIFS($AW$3:AW392,"?*",$AI$3:AI392,AI392)=1,MAX($BT$2:BT391)+1,""))</f>
      </c>
      <c r="BU392" s="129">
        <f>IF(AE392="",0,IF(OR(ISNUMBER(SEARCH("дубль",AE392)),ISNUMBER(SEARCH("ПЕРЕГРУЗ",AE392)),ISNUMBER(SEARCH("ЗАЩИЩ",AE392)),ISNUMBER(SEARCH("КАНАЛ",AE392)),ISNUMBER(SEARCH("без 30",AE392))),2,1))</f>
      </c>
      <c r="BV392" s="129">
        <f>IF(R392="","",COUNTIF($R$3:R392,"?*"))</f>
      </c>
      <c r="BW392" s="129">
        <f>IF(AY392&lt;&gt;1,0,IF(MAX(IFERROR(--VLOOKUP(R392,УГО_спр,5,FALSE),0),IFERROR(--VLOOKUP(AL392,УГО_спр,5,FALSE),0),IFERROR(--VLOOKUP(LEFT(AL392,2),УГО_спр,5,FALSE),0))&gt;0,MAX(IFERROR(--VLOOKUP(R392,УГО_спр,5,FALSE),0),IFERROR(--VLOOKUP(AL392,УГО_спр,5,FALSE),0),IFERROR(--VLOOKUP(LEFT(AL392,2),УГО_спр,5,FALSE),0)),IF(IFERROR(--LEFT(SUBSTITUTE(BQ392,"x","х"),FIND("х",SUBSTITUTE(BQ392,"x","х"))-1),3)&gt;3,Каталог!$S$9,1)))</f>
      </c>
      <c r="BX392" s="129">
        <f>IF(AY392&lt;&gt;1,0,MAX(0,IFERROR(--LEFT(SUBSTITUTE(BQ392,"x","х"),FIND("х",SUBSTITUTE(BQ392,"x","х"))-1),3)-3*BW392))</f>
      </c>
      <c r="BY392" s="129">
        <f>IF(R392="","",IFERROR(VLOOKUP(R392,УГО_спр,2,FALSE),IFERROR(VLOOKUP(AL392,УГО_спр,2,FALSE),IFERROR(VLOOKUP(LEFT(AL392,2),УГО_спр,2,FALSE),""))))</f>
      </c>
    </row>
    <row r="393" spans="1:64" x14ac:dyDescent="0.3">
      <c r="A393" s="135">
        <f>IF(Разбивка_по_щитам!F393=0,"",Разбивка_по_щитам!F393)</f>
      </c>
      <c r="B393" s="138">
        <f>IF(A393="","",Разбивка_по_щитам!C393)</f>
      </c>
      <c r="C393" s="138">
        <f t="shared" si="258"/>
      </c>
      <c r="D393" s="266"/>
      <c r="E393" s="266"/>
      <c r="F393" s="267"/>
      <c r="G393" s="145">
        <f t="shared" si="254"/>
        <v/>
      </c>
      <c r="H393" s="145">
        <f t="shared" si="255"/>
        <v/>
      </c>
      <c r="I393" s="266"/>
      <c r="J393" s="267"/>
      <c r="K393" s="267"/>
      <c r="L393" s="266"/>
      <c r="M393" s="147">
        <f t="shared" si="256"/>
        <v/>
      </c>
      <c r="N393" s="267"/>
      <c r="O393" s="147">
        <f t="shared" si="257"/>
        <v/>
      </c>
      <c r="P393" s="268">
        <f>IF(AY393=1,"XT"&amp;COUNTIFS($A$3:A393,A393,$AY$3:AY393,1),"")</f>
        <v/>
      </c>
      <c r="Q393" s="152">
        <f>IF(R393="","",IFERROR(SUBSTITUTE(Разбивка_по_щитам!P393,CHAR(10)," "),""))</f>
        <v/>
      </c>
      <c r="R393" s="153">
        <f>IF(OR(Разбивка_по_щитам!H393="",Разбивка_по_щитам!H393=0),"",Разбивка_по_щитам!H393)</f>
        <v/>
      </c>
      <c r="S393" s="154">
        <f>IF(R393="","",IFERROR(Разбивка_по_щитам!J393&amp;"",""))</f>
        <v/>
      </c>
      <c r="T393" s="155">
        <f>IF(R393="","",IFERROR(--Разбивка_по_щитам!L393,""))</f>
        <v/>
      </c>
      <c r="U393" s="155">
        <f>IF(R393="","",IFERROR(--Разбивка_по_щитам!K393,""))</f>
        <v/>
      </c>
      <c r="V393" s="138">
        <f>IF(R393="","",IFERROR(IF(Разбивка_по_щитам!M393=0,"",Разбивка_по_щитам!M393),""))</f>
        <v/>
      </c>
      <c r="W393" s="156">
        <f t="shared" si="259"/>
        <v/>
      </c>
      <c r="X393" s="157">
        <f t="shared" si="260"/>
        <v/>
      </c>
      <c r="Y393" s="266"/>
      <c r="Z393" s="158">
        <f t="shared" si="261"/>
        <v/>
      </c>
      <c r="AA393" s="160">
        <f t="shared" si="262"/>
        <v/>
      </c>
      <c r="AB393" s="160">
        <f>IF(R393="","",IFERROR(LOOKUP(INDEX(Справочная!$I$4:$I$19,MATCH(VLOOKUP(R393,Исходные_данные,22,FALSE),Справочная!$J$4:$J$19,0)+1),{6,10,16,20,25,32,40,50,63,80,100,125}),""))</f>
        <v/>
      </c>
      <c r="AC393" s="160">
        <f t="shared" si="263"/>
        <v/>
      </c>
      <c r="AD393" s="161">
        <f t="shared" si="264"/>
        <v/>
      </c>
      <c r="AE393" s="161">
        <f>IF(AND(R393="",G393=""),"",_xlfn.TEXTJOIN("; ",TRUE,IF(AND(R393&lt;&gt;"",V393=""),"нет фазы",""),IF(AND(R393&lt;&gt;"",N(T393)=0),"нет мощности",""),IF(AND(P393&lt;&gt;"",COUNTIFS($A$3:$A$1000,A393,$P$3:$P$1000,P393)&gt;1),"дубль клеммы "&amp;P393,""),IF(AND(W393&lt;&gt;"",W393&lt;&gt;"ok"),W393,""),IF(X393&lt;&gt;"",X393,""),IF(AND(ISNUMBER(SEARCH("(5х",Q393)),N(AK393)=1),"5 жил на 1 фазе",""),IF(AND(AL393="R",E393&lt;&gt;"",N(AS393)=0),"розетка без 30 мА",""),IF(IFERROR(_xlfn.NUMBERVALUE(MID(Q393,FIND("-",Q393,FIND("L=",Q393))+1,FIND("%",Q393)-FIND("-",Q393,FIND("L=",Q393))-1),","),0)&gt;4,"потери &gt; 4 %","")))</f>
      </c>
      <c r="AF393" s="129">
        <f>IF(E393&lt;&gt;"",COUNTIFS($A$3:A393,A393,$E$3:E393,"?*"),IF(OR(A393&lt;&gt;A392,Y393="вручную"),"",AF392))</f>
      </c>
      <c r="AG393" s="129">
        <f t="shared" si="265"/>
      </c>
      <c r="AH393" s="129">
        <f t="shared" si="266"/>
        <v/>
      </c>
      <c r="AI393" s="129">
        <f t="shared" si="267"/>
        <v/>
      </c>
      <c r="AJ393" s="129">
        <f t="shared" si="268"/>
        <v/>
      </c>
      <c r="AK393" s="129">
        <f t="shared" si="269"/>
        <v/>
      </c>
      <c r="AL393" s="129">
        <f t="shared" si="270"/>
        <v/>
      </c>
      <c r="AM393" s="129">
        <f t="shared" si="271"/>
      </c>
      <c r="AN393" s="129">
        <f t="shared" si="272"/>
      </c>
      <c r="AO393" s="129">
        <f t="shared" si="273"/>
        <v/>
      </c>
      <c r="AP393" s="129">
        <f t="shared" si="274"/>
        <v/>
      </c>
      <c r="AQ393" s="129">
        <f t="shared" si="275"/>
        <v/>
      </c>
      <c r="AR393" s="129">
        <f t="shared" si="276"/>
        <v/>
      </c>
      <c r="AS393" s="129">
        <f t="shared" si="277"/>
        <v/>
      </c>
      <c r="AT393" s="129">
        <f t="shared" si="278"/>
        <v/>
      </c>
      <c r="AU393" s="129">
        <f t="shared" si="279"/>
        <v/>
      </c>
      <c r="AV393" s="129">
        <f t="shared" si="280"/>
        <v/>
      </c>
      <c r="AW393" s="129">
        <f>IF(AV393="","",AV393&amp;"."&amp;COUNTIFS($A$3:A393,A393,$AV$3:AV393,AV393))</f>
        <v/>
      </c>
      <c r="AX393" s="129">
        <f t="shared" si="281"/>
        <v/>
      </c>
      <c r="AY393" s="129">
        <f>IF(N393="б/к",0,IF(OR(ISNUMBER(SEARCH("L=",Разбивка_по_щитам!P393)),N393="+",N393="="),1,0))</f>
      </c>
      <c r="AZ393" s="129">
        <f t="shared" si="282"/>
      </c>
      <c r="BA393" s="129">
        <f t="shared" si="283"/>
      </c>
      <c r="BB393" s="129">
        <f t="shared" si="284"/>
      </c>
      <c r="BD393" s="129">
        <f t="shared" si="285"/>
      </c>
      <c r="BE393" s="129">
        <f t="shared" si="286"/>
      </c>
      <c r="BF393" s="129">
        <f t="shared" si="287"/>
      </c>
      <c r="BG393" s="129">
        <f t="shared" si="288"/>
        <v/>
      </c>
      <c r="BH393" s="129">
        <f t="shared" si="289"/>
        <v/>
      </c>
      <c r="BI393" s="129">
        <f t="shared" si="290"/>
        <v/>
      </c>
      <c r="BJ393" s="129">
        <f t="shared" si="291"/>
        <v/>
      </c>
      <c r="BK393" s="129">
        <f>IF(R393="","",IF(OR(BY393="",BY393=0),"BOX",IFERROR(IF(VLOOKUP(BY393,УГО_блоки,3,FALSE)&amp;""&lt;&gt;"",VLOOKUP(BY393,УГО_блоки,3,FALSE),VLOOKUP(BY393,УГО_блоки,2,FALSE)),BY393)))</f>
      </c>
      <c r="BL393" s="129">
        <f t="shared" si="293"/>
      </c>
      <c r="BM393" s="129">
        <f>IF(H393="","",IF(COUNTIF($H$3:H393,H393)=1,MAX($BM$2:BM392)+1,""))</f>
      </c>
      <c r="BN393" s="129">
        <f>IF(I393="","",IF(COUNTIF($I$3:I393,I393)+COUNTIF($J$2:J392,I393)+COUNTIF($K$2:K392,I393)=1,MAX($BN$2:BP392)+1,""))</f>
      </c>
      <c r="BO393" s="129">
        <f>IF(J393="","",IF(COUNTIF($I$3:I393,J393)+COUNTIF($J$3:J393,J393)+COUNTIF($K$2:K392,J393)=1,MAX($BN$2:BP392,BN393)+1,""))</f>
      </c>
      <c r="BP393" s="129">
        <f>IF(K393="","",IF(COUNTIF($I$3:I393,K393)+COUNTIF($J$3:J393,K393)+COUNTIF($K$3:K393,K393)=1,MAX($BN$2:BP392,BN393,BO393)+1,""))</f>
      </c>
      <c r="BQ393" s="129">
        <f>IF(AY393=1,IFERROR(MID(Q393,FIND(" (",Q393)+2,FIND(")",Q393,FIND(" (",Q393))-FIND(" (",Q393)-2),"?"),"")</f>
      </c>
      <c r="BR393" s="129">
        <f>IF(BQ393="","",IF(COUNTIF($BQ$3:BQ393,BQ393)=1,MAX($BR$2:BR392)+1,""))</f>
      </c>
      <c r="BS393" s="129">
        <f>IF(AW393="","",COUNTIF($AW$3:AW393,"?*"))</f>
      </c>
      <c r="BT393" s="129">
        <f>IF(OR(AW393="",AI393=""),"",IF(COUNTIFS($AW$3:AW393,"?*",$AI$3:AI393,AI393)=1,MAX($BT$2:BT392)+1,""))</f>
      </c>
      <c r="BU393" s="129">
        <f>IF(AE393="",0,IF(OR(ISNUMBER(SEARCH("дубль",AE393)),ISNUMBER(SEARCH("ПЕРЕГРУЗ",AE393)),ISNUMBER(SEARCH("ЗАЩИЩ",AE393)),ISNUMBER(SEARCH("КАНАЛ",AE393)),ISNUMBER(SEARCH("без 30",AE393))),2,1))</f>
      </c>
      <c r="BV393" s="129">
        <f>IF(R393="","",COUNTIF($R$3:R393,"?*"))</f>
      </c>
      <c r="BW393" s="129">
        <f>IF(AY393&lt;&gt;1,0,IF(MAX(IFERROR(--VLOOKUP(R393,УГО_спр,5,FALSE),0),IFERROR(--VLOOKUP(AL393,УГО_спр,5,FALSE),0),IFERROR(--VLOOKUP(LEFT(AL393,2),УГО_спр,5,FALSE),0))&gt;0,MAX(IFERROR(--VLOOKUP(R393,УГО_спр,5,FALSE),0),IFERROR(--VLOOKUP(AL393,УГО_спр,5,FALSE),0),IFERROR(--VLOOKUP(LEFT(AL393,2),УГО_спр,5,FALSE),0)),IF(IFERROR(--LEFT(SUBSTITUTE(BQ393,"x","х"),FIND("х",SUBSTITUTE(BQ393,"x","х"))-1),3)&gt;3,Каталог!$S$9,1)))</f>
      </c>
      <c r="BX393" s="129">
        <f>IF(AY393&lt;&gt;1,0,MAX(0,IFERROR(--LEFT(SUBSTITUTE(BQ393,"x","х"),FIND("х",SUBSTITUTE(BQ393,"x","х"))-1),3)-3*BW393))</f>
      </c>
      <c r="BY393" s="129">
        <f>IF(R393="","",IFERROR(VLOOKUP(R393,УГО_спр,2,FALSE),IFERROR(VLOOKUP(AL393,УГО_спр,2,FALSE),IFERROR(VLOOKUP(LEFT(AL393,2),УГО_спр,2,FALSE),""))))</f>
      </c>
    </row>
    <row r="394" spans="1:64" x14ac:dyDescent="0.3">
      <c r="A394" s="135">
        <f>IF(Разбивка_по_щитам!F394=0,"",Разбивка_по_щитам!F394)</f>
      </c>
      <c r="B394" s="138">
        <f>IF(A394="","",Разбивка_по_щитам!C394)</f>
      </c>
      <c r="C394" s="138">
        <f t="shared" si="258"/>
      </c>
      <c r="D394" s="266"/>
      <c r="E394" s="266"/>
      <c r="F394" s="267"/>
      <c r="G394" s="145">
        <f t="shared" si="254"/>
        <v/>
      </c>
      <c r="H394" s="145">
        <f t="shared" si="255"/>
        <v/>
      </c>
      <c r="I394" s="266"/>
      <c r="J394" s="267"/>
      <c r="K394" s="267"/>
      <c r="L394" s="266"/>
      <c r="M394" s="147">
        <f t="shared" si="256"/>
        <v/>
      </c>
      <c r="N394" s="267"/>
      <c r="O394" s="147">
        <f t="shared" si="257"/>
        <v/>
      </c>
      <c r="P394" s="268">
        <f>IF(AY394=1,"XT"&amp;COUNTIFS($A$3:A394,A394,$AY$3:AY394,1),"")</f>
        <v/>
      </c>
      <c r="Q394" s="152">
        <f>IF(R394="","",IFERROR(SUBSTITUTE(Разбивка_по_щитам!P394,CHAR(10)," "),""))</f>
        <v/>
      </c>
      <c r="R394" s="153">
        <f>IF(OR(Разбивка_по_щитам!H394="",Разбивка_по_щитам!H394=0),"",Разбивка_по_щитам!H394)</f>
        <v/>
      </c>
      <c r="S394" s="154">
        <f>IF(R394="","",IFERROR(Разбивка_по_щитам!J394&amp;"",""))</f>
        <v/>
      </c>
      <c r="T394" s="155">
        <f>IF(R394="","",IFERROR(--Разбивка_по_щитам!L394,""))</f>
        <v/>
      </c>
      <c r="U394" s="155">
        <f>IF(R394="","",IFERROR(--Разбивка_по_щитам!K394,""))</f>
        <v/>
      </c>
      <c r="V394" s="138">
        <f>IF(R394="","",IFERROR(IF(Разбивка_по_щитам!M394=0,"",Разбивка_по_щитам!M394),""))</f>
        <v/>
      </c>
      <c r="W394" s="156">
        <f t="shared" si="259"/>
        <v/>
      </c>
      <c r="X394" s="157">
        <f t="shared" si="260"/>
        <v/>
      </c>
      <c r="Y394" s="266"/>
      <c r="Z394" s="158">
        <f t="shared" si="261"/>
        <v/>
      </c>
      <c r="AA394" s="160">
        <f t="shared" si="262"/>
        <v/>
      </c>
      <c r="AB394" s="160">
        <f>IF(R394="","",IFERROR(LOOKUP(INDEX(Справочная!$I$4:$I$19,MATCH(VLOOKUP(R394,Исходные_данные,22,FALSE),Справочная!$J$4:$J$19,0)+1),{6,10,16,20,25,32,40,50,63,80,100,125}),""))</f>
        <v/>
      </c>
      <c r="AC394" s="160">
        <f t="shared" si="263"/>
        <v/>
      </c>
      <c r="AD394" s="161">
        <f t="shared" si="264"/>
        <v/>
      </c>
      <c r="AE394" s="161">
        <f>IF(AND(R394="",G394=""),"",_xlfn.TEXTJOIN("; ",TRUE,IF(AND(R394&lt;&gt;"",V394=""),"нет фазы",""),IF(AND(R394&lt;&gt;"",N(T394)=0),"нет мощности",""),IF(AND(P394&lt;&gt;"",COUNTIFS($A$3:$A$1000,A394,$P$3:$P$1000,P394)&gt;1),"дубль клеммы "&amp;P394,""),IF(AND(W394&lt;&gt;"",W394&lt;&gt;"ok"),W394,""),IF(X394&lt;&gt;"",X394,""),IF(AND(ISNUMBER(SEARCH("(5х",Q394)),N(AK394)=1),"5 жил на 1 фазе",""),IF(AND(AL394="R",E394&lt;&gt;"",N(AS394)=0),"розетка без 30 мА",""),IF(IFERROR(_xlfn.NUMBERVALUE(MID(Q394,FIND("-",Q394,FIND("L=",Q394))+1,FIND("%",Q394)-FIND("-",Q394,FIND("L=",Q394))-1),","),0)&gt;4,"потери &gt; 4 %","")))</f>
      </c>
      <c r="AF394" s="129">
        <f>IF(E394&lt;&gt;"",COUNTIFS($A$3:A394,A394,$E$3:E394,"?*"),IF(OR(A394&lt;&gt;A393,Y394="вручную"),"",AF393))</f>
      </c>
      <c r="AG394" s="129">
        <f t="shared" si="265"/>
      </c>
      <c r="AH394" s="129">
        <f t="shared" si="266"/>
        <v/>
      </c>
      <c r="AI394" s="129">
        <f t="shared" si="267"/>
        <v/>
      </c>
      <c r="AJ394" s="129">
        <f t="shared" si="268"/>
        <v/>
      </c>
      <c r="AK394" s="129">
        <f t="shared" si="269"/>
        <v/>
      </c>
      <c r="AL394" s="129">
        <f t="shared" si="270"/>
        <v/>
      </c>
      <c r="AM394" s="129">
        <f t="shared" si="271"/>
      </c>
      <c r="AN394" s="129">
        <f t="shared" si="272"/>
      </c>
      <c r="AO394" s="129">
        <f t="shared" si="273"/>
        <v/>
      </c>
      <c r="AP394" s="129">
        <f t="shared" si="274"/>
        <v/>
      </c>
      <c r="AQ394" s="129">
        <f t="shared" si="275"/>
        <v/>
      </c>
      <c r="AR394" s="129">
        <f t="shared" si="276"/>
        <v/>
      </c>
      <c r="AS394" s="129">
        <f t="shared" si="277"/>
        <v/>
      </c>
      <c r="AT394" s="129">
        <f t="shared" si="278"/>
        <v/>
      </c>
      <c r="AU394" s="129">
        <f t="shared" si="279"/>
        <v/>
      </c>
      <c r="AV394" s="129">
        <f t="shared" si="280"/>
        <v/>
      </c>
      <c r="AW394" s="129">
        <f>IF(AV394="","",AV394&amp;"."&amp;COUNTIFS($A$3:A394,A394,$AV$3:AV394,AV394))</f>
        <v/>
      </c>
      <c r="AX394" s="129">
        <f t="shared" si="281"/>
        <v/>
      </c>
      <c r="AY394" s="129">
        <f>IF(N394="б/к",0,IF(OR(ISNUMBER(SEARCH("L=",Разбивка_по_щитам!P394)),N394="+",N394="="),1,0))</f>
      </c>
      <c r="AZ394" s="129">
        <f t="shared" si="282"/>
      </c>
      <c r="BA394" s="129">
        <f t="shared" si="283"/>
      </c>
      <c r="BB394" s="129">
        <f t="shared" si="284"/>
      </c>
      <c r="BD394" s="129">
        <f t="shared" si="285"/>
      </c>
      <c r="BE394" s="129">
        <f t="shared" si="286"/>
      </c>
      <c r="BF394" s="129">
        <f t="shared" si="287"/>
      </c>
      <c r="BG394" s="129">
        <f t="shared" si="288"/>
        <v/>
      </c>
      <c r="BH394" s="129">
        <f t="shared" si="289"/>
        <v/>
      </c>
      <c r="BI394" s="129">
        <f t="shared" si="290"/>
        <v/>
      </c>
      <c r="BJ394" s="129">
        <f t="shared" si="291"/>
        <v/>
      </c>
      <c r="BK394" s="129">
        <f>IF(R394="","",IF(OR(BY394="",BY394=0),"BOX",IFERROR(IF(VLOOKUP(BY394,УГО_блоки,3,FALSE)&amp;""&lt;&gt;"",VLOOKUP(BY394,УГО_блоки,3,FALSE),VLOOKUP(BY394,УГО_блоки,2,FALSE)),BY394)))</f>
      </c>
      <c r="BL394" s="129">
        <f t="shared" si="293"/>
      </c>
      <c r="BM394" s="129">
        <f>IF(H394="","",IF(COUNTIF($H$3:H394,H394)=1,MAX($BM$2:BM393)+1,""))</f>
      </c>
      <c r="BN394" s="129">
        <f>IF(I394="","",IF(COUNTIF($I$3:I394,I394)+COUNTIF($J$2:J393,I394)+COUNTIF($K$2:K393,I394)=1,MAX($BN$2:BP393)+1,""))</f>
      </c>
      <c r="BO394" s="129">
        <f>IF(J394="","",IF(COUNTIF($I$3:I394,J394)+COUNTIF($J$3:J394,J394)+COUNTIF($K$2:K393,J394)=1,MAX($BN$2:BP393,BN394)+1,""))</f>
      </c>
      <c r="BP394" s="129">
        <f>IF(K394="","",IF(COUNTIF($I$3:I394,K394)+COUNTIF($J$3:J394,K394)+COUNTIF($K$3:K394,K394)=1,MAX($BN$2:BP393,BN394,BO394)+1,""))</f>
      </c>
      <c r="BQ394" s="129">
        <f>IF(AY394=1,IFERROR(MID(Q394,FIND(" (",Q394)+2,FIND(")",Q394,FIND(" (",Q394))-FIND(" (",Q394)-2),"?"),"")</f>
      </c>
      <c r="BR394" s="129">
        <f>IF(BQ394="","",IF(COUNTIF($BQ$3:BQ394,BQ394)=1,MAX($BR$2:BR393)+1,""))</f>
      </c>
      <c r="BS394" s="129">
        <f>IF(AW394="","",COUNTIF($AW$3:AW394,"?*"))</f>
      </c>
      <c r="BT394" s="129">
        <f>IF(OR(AW394="",AI394=""),"",IF(COUNTIFS($AW$3:AW394,"?*",$AI$3:AI394,AI394)=1,MAX($BT$2:BT393)+1,""))</f>
      </c>
      <c r="BU394" s="129">
        <f>IF(AE394="",0,IF(OR(ISNUMBER(SEARCH("дубль",AE394)),ISNUMBER(SEARCH("ПЕРЕГРУЗ",AE394)),ISNUMBER(SEARCH("ЗАЩИЩ",AE394)),ISNUMBER(SEARCH("КАНАЛ",AE394)),ISNUMBER(SEARCH("без 30",AE394))),2,1))</f>
      </c>
      <c r="BV394" s="129">
        <f>IF(R394="","",COUNTIF($R$3:R394,"?*"))</f>
      </c>
      <c r="BW394" s="129">
        <f>IF(AY394&lt;&gt;1,0,IF(MAX(IFERROR(--VLOOKUP(R394,УГО_спр,5,FALSE),0),IFERROR(--VLOOKUP(AL394,УГО_спр,5,FALSE),0),IFERROR(--VLOOKUP(LEFT(AL394,2),УГО_спр,5,FALSE),0))&gt;0,MAX(IFERROR(--VLOOKUP(R394,УГО_спр,5,FALSE),0),IFERROR(--VLOOKUP(AL394,УГО_спр,5,FALSE),0),IFERROR(--VLOOKUP(LEFT(AL394,2),УГО_спр,5,FALSE),0)),IF(IFERROR(--LEFT(SUBSTITUTE(BQ394,"x","х"),FIND("х",SUBSTITUTE(BQ394,"x","х"))-1),3)&gt;3,Каталог!$S$9,1)))</f>
      </c>
      <c r="BX394" s="129">
        <f>IF(AY394&lt;&gt;1,0,MAX(0,IFERROR(--LEFT(SUBSTITUTE(BQ394,"x","х"),FIND("х",SUBSTITUTE(BQ394,"x","х"))-1),3)-3*BW394))</f>
      </c>
      <c r="BY394" s="129">
        <f>IF(R394="","",IFERROR(VLOOKUP(R394,УГО_спр,2,FALSE),IFERROR(VLOOKUP(AL394,УГО_спр,2,FALSE),IFERROR(VLOOKUP(LEFT(AL394,2),УГО_спр,2,FALSE),""))))</f>
      </c>
    </row>
    <row r="395" spans="1:64" x14ac:dyDescent="0.3">
      <c r="A395" s="135">
        <f>IF(Разбивка_по_щитам!F395=0,"",Разбивка_по_щитам!F395)</f>
      </c>
      <c r="B395" s="138">
        <f>IF(A395="","",Разбивка_по_щитам!C395)</f>
      </c>
      <c r="C395" s="138">
        <f t="shared" si="258"/>
      </c>
      <c r="D395" s="266"/>
      <c r="E395" s="266"/>
      <c r="F395" s="267"/>
      <c r="G395" s="145">
        <f t="shared" si="254"/>
        <v/>
      </c>
      <c r="H395" s="145">
        <f t="shared" si="255"/>
        <v/>
      </c>
      <c r="I395" s="266"/>
      <c r="J395" s="267"/>
      <c r="K395" s="267"/>
      <c r="L395" s="266"/>
      <c r="M395" s="147">
        <f t="shared" si="256"/>
        <v/>
      </c>
      <c r="N395" s="267"/>
      <c r="O395" s="147">
        <f t="shared" si="257"/>
        <v/>
      </c>
      <c r="P395" s="268">
        <f>IF(AY395=1,"XT"&amp;COUNTIFS($A$3:A395,A395,$AY$3:AY395,1),"")</f>
        <v/>
      </c>
      <c r="Q395" s="152">
        <f>IF(R395="","",IFERROR(SUBSTITUTE(Разбивка_по_щитам!P395,CHAR(10)," "),""))</f>
        <v/>
      </c>
      <c r="R395" s="153">
        <f>IF(OR(Разбивка_по_щитам!H395="",Разбивка_по_щитам!H395=0),"",Разбивка_по_щитам!H395)</f>
        <v/>
      </c>
      <c r="S395" s="154">
        <f>IF(R395="","",IFERROR(Разбивка_по_щитам!J395&amp;"",""))</f>
        <v/>
      </c>
      <c r="T395" s="155">
        <f>IF(R395="","",IFERROR(--Разбивка_по_щитам!L395,""))</f>
        <v/>
      </c>
      <c r="U395" s="155">
        <f>IF(R395="","",IFERROR(--Разбивка_по_щитам!K395,""))</f>
        <v/>
      </c>
      <c r="V395" s="138">
        <f>IF(R395="","",IFERROR(IF(Разбивка_по_щитам!M395=0,"",Разбивка_по_щитам!M395),""))</f>
        <v/>
      </c>
      <c r="W395" s="156">
        <f t="shared" si="259"/>
        <v/>
      </c>
      <c r="X395" s="157">
        <f t="shared" si="260"/>
        <v/>
      </c>
      <c r="Y395" s="266"/>
      <c r="Z395" s="158">
        <f t="shared" si="261"/>
        <v/>
      </c>
      <c r="AA395" s="160">
        <f t="shared" si="262"/>
        <v/>
      </c>
      <c r="AB395" s="160">
        <f>IF(R395="","",IFERROR(LOOKUP(INDEX(Справочная!$I$4:$I$19,MATCH(VLOOKUP(R395,Исходные_данные,22,FALSE),Справочная!$J$4:$J$19,0)+1),{6,10,16,20,25,32,40,50,63,80,100,125}),""))</f>
        <v/>
      </c>
      <c r="AC395" s="160">
        <f t="shared" si="263"/>
        <v/>
      </c>
      <c r="AD395" s="161">
        <f t="shared" si="264"/>
        <v/>
      </c>
      <c r="AE395" s="161">
        <f>IF(AND(R395="",G395=""),"",_xlfn.TEXTJOIN("; ",TRUE,IF(AND(R395&lt;&gt;"",V395=""),"нет фазы",""),IF(AND(R395&lt;&gt;"",N(T395)=0),"нет мощности",""),IF(AND(P395&lt;&gt;"",COUNTIFS($A$3:$A$1000,A395,$P$3:$P$1000,P395)&gt;1),"дубль клеммы "&amp;P395,""),IF(AND(W395&lt;&gt;"",W395&lt;&gt;"ok"),W395,""),IF(X395&lt;&gt;"",X395,""),IF(AND(ISNUMBER(SEARCH("(5х",Q395)),N(AK395)=1),"5 жил на 1 фазе",""),IF(AND(AL395="R",E395&lt;&gt;"",N(AS395)=0),"розетка без 30 мА",""),IF(IFERROR(_xlfn.NUMBERVALUE(MID(Q395,FIND("-",Q395,FIND("L=",Q395))+1,FIND("%",Q395)-FIND("-",Q395,FIND("L=",Q395))-1),","),0)&gt;4,"потери &gt; 4 %","")))</f>
      </c>
      <c r="AF395" s="129">
        <f>IF(E395&lt;&gt;"",COUNTIFS($A$3:A395,A395,$E$3:E395,"?*"),IF(OR(A395&lt;&gt;A394,Y395="вручную"),"",AF394))</f>
      </c>
      <c r="AG395" s="129">
        <f t="shared" si="265"/>
      </c>
      <c r="AH395" s="129">
        <f t="shared" si="266"/>
        <v/>
      </c>
      <c r="AI395" s="129">
        <f t="shared" si="267"/>
        <v/>
      </c>
      <c r="AJ395" s="129">
        <f t="shared" si="268"/>
        <v/>
      </c>
      <c r="AK395" s="129">
        <f t="shared" si="269"/>
        <v/>
      </c>
      <c r="AL395" s="129">
        <f t="shared" si="270"/>
        <v/>
      </c>
      <c r="AM395" s="129">
        <f t="shared" si="271"/>
      </c>
      <c r="AN395" s="129">
        <f t="shared" si="272"/>
      </c>
      <c r="AO395" s="129">
        <f t="shared" si="273"/>
        <v/>
      </c>
      <c r="AP395" s="129">
        <f t="shared" si="274"/>
        <v/>
      </c>
      <c r="AQ395" s="129">
        <f t="shared" si="275"/>
        <v/>
      </c>
      <c r="AR395" s="129">
        <f t="shared" si="276"/>
        <v/>
      </c>
      <c r="AS395" s="129">
        <f t="shared" si="277"/>
        <v/>
      </c>
      <c r="AT395" s="129">
        <f t="shared" si="278"/>
        <v/>
      </c>
      <c r="AU395" s="129">
        <f t="shared" si="279"/>
        <v/>
      </c>
      <c r="AV395" s="129">
        <f t="shared" si="280"/>
        <v/>
      </c>
      <c r="AW395" s="129">
        <f>IF(AV395="","",AV395&amp;"."&amp;COUNTIFS($A$3:A395,A395,$AV$3:AV395,AV395))</f>
        <v/>
      </c>
      <c r="AX395" s="129">
        <f t="shared" si="281"/>
        <v/>
      </c>
      <c r="AY395" s="129">
        <f>IF(N395="б/к",0,IF(OR(ISNUMBER(SEARCH("L=",Разбивка_по_щитам!P395)),N395="+",N395="="),1,0))</f>
      </c>
      <c r="AZ395" s="129">
        <f t="shared" si="282"/>
      </c>
      <c r="BA395" s="129">
        <f t="shared" si="283"/>
      </c>
      <c r="BB395" s="129">
        <f t="shared" si="284"/>
      </c>
      <c r="BD395" s="129">
        <f t="shared" si="285"/>
      </c>
      <c r="BE395" s="129">
        <f t="shared" si="286"/>
      </c>
      <c r="BF395" s="129">
        <f t="shared" si="287"/>
      </c>
      <c r="BG395" s="129">
        <f t="shared" si="288"/>
        <v/>
      </c>
      <c r="BH395" s="129">
        <f t="shared" si="289"/>
        <v/>
      </c>
      <c r="BI395" s="129">
        <f t="shared" si="290"/>
        <v/>
      </c>
      <c r="BJ395" s="129">
        <f t="shared" si="291"/>
        <v/>
      </c>
      <c r="BK395" s="129">
        <f>IF(R395="","",IF(OR(BY395="",BY395=0),"BOX",IFERROR(IF(VLOOKUP(BY395,УГО_блоки,3,FALSE)&amp;""&lt;&gt;"",VLOOKUP(BY395,УГО_блоки,3,FALSE),VLOOKUP(BY395,УГО_блоки,2,FALSE)),BY395)))</f>
      </c>
      <c r="BL395" s="129">
        <f t="shared" si="293"/>
      </c>
      <c r="BM395" s="129">
        <f>IF(H395="","",IF(COUNTIF($H$3:H395,H395)=1,MAX($BM$2:BM394)+1,""))</f>
      </c>
      <c r="BN395" s="129">
        <f>IF(I395="","",IF(COUNTIF($I$3:I395,I395)+COUNTIF($J$2:J394,I395)+COUNTIF($K$2:K394,I395)=1,MAX($BN$2:BP394)+1,""))</f>
      </c>
      <c r="BO395" s="129">
        <f>IF(J395="","",IF(COUNTIF($I$3:I395,J395)+COUNTIF($J$3:J395,J395)+COUNTIF($K$2:K394,J395)=1,MAX($BN$2:BP394,BN395)+1,""))</f>
      </c>
      <c r="BP395" s="129">
        <f>IF(K395="","",IF(COUNTIF($I$3:I395,K395)+COUNTIF($J$3:J395,K395)+COUNTIF($K$3:K395,K395)=1,MAX($BN$2:BP394,BN395,BO395)+1,""))</f>
      </c>
      <c r="BQ395" s="129">
        <f>IF(AY395=1,IFERROR(MID(Q395,FIND(" (",Q395)+2,FIND(")",Q395,FIND(" (",Q395))-FIND(" (",Q395)-2),"?"),"")</f>
      </c>
      <c r="BR395" s="129">
        <f>IF(BQ395="","",IF(COUNTIF($BQ$3:BQ395,BQ395)=1,MAX($BR$2:BR394)+1,""))</f>
      </c>
      <c r="BS395" s="129">
        <f>IF(AW395="","",COUNTIF($AW$3:AW395,"?*"))</f>
      </c>
      <c r="BT395" s="129">
        <f>IF(OR(AW395="",AI395=""),"",IF(COUNTIFS($AW$3:AW395,"?*",$AI$3:AI395,AI395)=1,MAX($BT$2:BT394)+1,""))</f>
      </c>
      <c r="BU395" s="129">
        <f>IF(AE395="",0,IF(OR(ISNUMBER(SEARCH("дубль",AE395)),ISNUMBER(SEARCH("ПЕРЕГРУЗ",AE395)),ISNUMBER(SEARCH("ЗАЩИЩ",AE395)),ISNUMBER(SEARCH("КАНАЛ",AE395)),ISNUMBER(SEARCH("без 30",AE395))),2,1))</f>
      </c>
      <c r="BV395" s="129">
        <f>IF(R395="","",COUNTIF($R$3:R395,"?*"))</f>
      </c>
      <c r="BW395" s="129">
        <f>IF(AY395&lt;&gt;1,0,IF(MAX(IFERROR(--VLOOKUP(R395,УГО_спр,5,FALSE),0),IFERROR(--VLOOKUP(AL395,УГО_спр,5,FALSE),0),IFERROR(--VLOOKUP(LEFT(AL395,2),УГО_спр,5,FALSE),0))&gt;0,MAX(IFERROR(--VLOOKUP(R395,УГО_спр,5,FALSE),0),IFERROR(--VLOOKUP(AL395,УГО_спр,5,FALSE),0),IFERROR(--VLOOKUP(LEFT(AL395,2),УГО_спр,5,FALSE),0)),IF(IFERROR(--LEFT(SUBSTITUTE(BQ395,"x","х"),FIND("х",SUBSTITUTE(BQ395,"x","х"))-1),3)&gt;3,Каталог!$S$9,1)))</f>
      </c>
      <c r="BX395" s="129">
        <f>IF(AY395&lt;&gt;1,0,MAX(0,IFERROR(--LEFT(SUBSTITUTE(BQ395,"x","х"),FIND("х",SUBSTITUTE(BQ395,"x","х"))-1),3)-3*BW395))</f>
      </c>
      <c r="BY395" s="129">
        <f>IF(R395="","",IFERROR(VLOOKUP(R395,УГО_спр,2,FALSE),IFERROR(VLOOKUP(AL395,УГО_спр,2,FALSE),IFERROR(VLOOKUP(LEFT(AL395,2),УГО_спр,2,FALSE),""))))</f>
      </c>
    </row>
    <row r="396" spans="1:64" x14ac:dyDescent="0.3">
      <c r="A396" s="135">
        <f>IF(Разбивка_по_щитам!F396=0,"",Разбивка_по_щитам!F396)</f>
      </c>
      <c r="B396" s="138">
        <f>IF(A396="","",Разбивка_по_щитам!C396)</f>
      </c>
      <c r="C396" s="138">
        <f t="shared" si="258"/>
      </c>
      <c r="D396" s="266"/>
      <c r="E396" s="266"/>
      <c r="F396" s="267"/>
      <c r="G396" s="145">
        <f t="shared" si="254"/>
        <v/>
      </c>
      <c r="H396" s="145">
        <f t="shared" si="255"/>
        <v/>
      </c>
      <c r="I396" s="266"/>
      <c r="J396" s="267"/>
      <c r="K396" s="267"/>
      <c r="L396" s="266"/>
      <c r="M396" s="147">
        <f t="shared" si="256"/>
        <v/>
      </c>
      <c r="N396" s="267"/>
      <c r="O396" s="147">
        <f t="shared" si="257"/>
        <v/>
      </c>
      <c r="P396" s="268">
        <f>IF(AY396=1,"XT"&amp;COUNTIFS($A$3:A396,A396,$AY$3:AY396,1),"")</f>
        <v/>
      </c>
      <c r="Q396" s="152">
        <f>IF(R396="","",IFERROR(SUBSTITUTE(Разбивка_по_щитам!P396,CHAR(10)," "),""))</f>
        <v/>
      </c>
      <c r="R396" s="153">
        <f>IF(OR(Разбивка_по_щитам!H396="",Разбивка_по_щитам!H396=0),"",Разбивка_по_щитам!H396)</f>
        <v/>
      </c>
      <c r="S396" s="154">
        <f>IF(R396="","",IFERROR(Разбивка_по_щитам!J396&amp;"",""))</f>
        <v/>
      </c>
      <c r="T396" s="155">
        <f>IF(R396="","",IFERROR(--Разбивка_по_щитам!L396,""))</f>
        <v/>
      </c>
      <c r="U396" s="155">
        <f>IF(R396="","",IFERROR(--Разбивка_по_щитам!K396,""))</f>
        <v/>
      </c>
      <c r="V396" s="138">
        <f>IF(R396="","",IFERROR(IF(Разбивка_по_щитам!M396=0,"",Разбивка_по_щитам!M396),""))</f>
        <v/>
      </c>
      <c r="W396" s="156">
        <f t="shared" si="259"/>
        <v/>
      </c>
      <c r="X396" s="157">
        <f t="shared" si="260"/>
        <v/>
      </c>
      <c r="Y396" s="266"/>
      <c r="Z396" s="158">
        <f t="shared" si="261"/>
        <v/>
      </c>
      <c r="AA396" s="160">
        <f t="shared" si="262"/>
        <v/>
      </c>
      <c r="AB396" s="160">
        <f>IF(R396="","",IFERROR(LOOKUP(INDEX(Справочная!$I$4:$I$19,MATCH(VLOOKUP(R396,Исходные_данные,22,FALSE),Справочная!$J$4:$J$19,0)+1),{6,10,16,20,25,32,40,50,63,80,100,125}),""))</f>
        <v/>
      </c>
      <c r="AC396" s="160">
        <f t="shared" si="263"/>
        <v/>
      </c>
      <c r="AD396" s="161">
        <f t="shared" si="264"/>
        <v/>
      </c>
      <c r="AE396" s="161">
        <f>IF(AND(R396="",G396=""),"",_xlfn.TEXTJOIN("; ",TRUE,IF(AND(R396&lt;&gt;"",V396=""),"нет фазы",""),IF(AND(R396&lt;&gt;"",N(T396)=0),"нет мощности",""),IF(AND(P396&lt;&gt;"",COUNTIFS($A$3:$A$1000,A396,$P$3:$P$1000,P396)&gt;1),"дубль клеммы "&amp;P396,""),IF(AND(W396&lt;&gt;"",W396&lt;&gt;"ok"),W396,""),IF(X396&lt;&gt;"",X396,""),IF(AND(ISNUMBER(SEARCH("(5х",Q396)),N(AK396)=1),"5 жил на 1 фазе",""),IF(AND(AL396="R",E396&lt;&gt;"",N(AS396)=0),"розетка без 30 мА",""),IF(IFERROR(_xlfn.NUMBERVALUE(MID(Q396,FIND("-",Q396,FIND("L=",Q396))+1,FIND("%",Q396)-FIND("-",Q396,FIND("L=",Q396))-1),","),0)&gt;4,"потери &gt; 4 %","")))</f>
      </c>
      <c r="AF396" s="129">
        <f>IF(E396&lt;&gt;"",COUNTIFS($A$3:A396,A396,$E$3:E396,"?*"),IF(OR(A396&lt;&gt;A395,Y396="вручную"),"",AF395))</f>
      </c>
      <c r="AG396" s="129">
        <f t="shared" si="265"/>
      </c>
      <c r="AH396" s="129">
        <f t="shared" si="266"/>
        <v/>
      </c>
      <c r="AI396" s="129">
        <f t="shared" si="267"/>
        <v/>
      </c>
      <c r="AJ396" s="129">
        <f t="shared" si="268"/>
        <v/>
      </c>
      <c r="AK396" s="129">
        <f t="shared" si="269"/>
        <v/>
      </c>
      <c r="AL396" s="129">
        <f t="shared" si="270"/>
        <v/>
      </c>
      <c r="AM396" s="129">
        <f t="shared" si="271"/>
      </c>
      <c r="AN396" s="129">
        <f t="shared" si="272"/>
      </c>
      <c r="AO396" s="129">
        <f t="shared" si="273"/>
        <v/>
      </c>
      <c r="AP396" s="129">
        <f t="shared" si="274"/>
        <v/>
      </c>
      <c r="AQ396" s="129">
        <f t="shared" si="275"/>
        <v/>
      </c>
      <c r="AR396" s="129">
        <f t="shared" si="276"/>
        <v/>
      </c>
      <c r="AS396" s="129">
        <f t="shared" si="277"/>
        <v/>
      </c>
      <c r="AT396" s="129">
        <f t="shared" si="278"/>
        <v/>
      </c>
      <c r="AU396" s="129">
        <f t="shared" si="279"/>
        <v/>
      </c>
      <c r="AV396" s="129">
        <f t="shared" si="280"/>
        <v/>
      </c>
      <c r="AW396" s="129">
        <f>IF(AV396="","",AV396&amp;"."&amp;COUNTIFS($A$3:A396,A396,$AV$3:AV396,AV396))</f>
        <v/>
      </c>
      <c r="AX396" s="129">
        <f t="shared" si="281"/>
        <v/>
      </c>
      <c r="AY396" s="129">
        <f>IF(N396="б/к",0,IF(OR(ISNUMBER(SEARCH("L=",Разбивка_по_щитам!P396)),N396="+",N396="="),1,0))</f>
      </c>
      <c r="AZ396" s="129">
        <f t="shared" si="282"/>
      </c>
      <c r="BA396" s="129">
        <f t="shared" si="283"/>
      </c>
      <c r="BB396" s="129">
        <f t="shared" si="284"/>
      </c>
      <c r="BD396" s="129">
        <f t="shared" si="285"/>
      </c>
      <c r="BE396" s="129">
        <f t="shared" si="286"/>
      </c>
      <c r="BF396" s="129">
        <f t="shared" si="287"/>
      </c>
      <c r="BG396" s="129">
        <f t="shared" si="288"/>
        <v/>
      </c>
      <c r="BH396" s="129">
        <f t="shared" si="289"/>
        <v/>
      </c>
      <c r="BI396" s="129">
        <f t="shared" si="290"/>
        <v/>
      </c>
      <c r="BJ396" s="129">
        <f t="shared" si="291"/>
        <v/>
      </c>
      <c r="BK396" s="129">
        <f>IF(R396="","",IF(OR(BY396="",BY396=0),"BOX",IFERROR(IF(VLOOKUP(BY396,УГО_блоки,3,FALSE)&amp;""&lt;&gt;"",VLOOKUP(BY396,УГО_блоки,3,FALSE),VLOOKUP(BY396,УГО_блоки,2,FALSE)),BY396)))</f>
      </c>
      <c r="BL396" s="129">
        <f t="shared" si="293"/>
      </c>
      <c r="BM396" s="129">
        <f>IF(H396="","",IF(COUNTIF($H$3:H396,H396)=1,MAX($BM$2:BM395)+1,""))</f>
      </c>
      <c r="BN396" s="129">
        <f>IF(I396="","",IF(COUNTIF($I$3:I396,I396)+COUNTIF($J$2:J395,I396)+COUNTIF($K$2:K395,I396)=1,MAX($BN$2:BP395)+1,""))</f>
      </c>
      <c r="BO396" s="129">
        <f>IF(J396="","",IF(COUNTIF($I$3:I396,J396)+COUNTIF($J$3:J396,J396)+COUNTIF($K$2:K395,J396)=1,MAX($BN$2:BP395,BN396)+1,""))</f>
      </c>
      <c r="BP396" s="129">
        <f>IF(K396="","",IF(COUNTIF($I$3:I396,K396)+COUNTIF($J$3:J396,K396)+COUNTIF($K$3:K396,K396)=1,MAX($BN$2:BP395,BN396,BO396)+1,""))</f>
      </c>
      <c r="BQ396" s="129">
        <f>IF(AY396=1,IFERROR(MID(Q396,FIND(" (",Q396)+2,FIND(")",Q396,FIND(" (",Q396))-FIND(" (",Q396)-2),"?"),"")</f>
      </c>
      <c r="BR396" s="129">
        <f>IF(BQ396="","",IF(COUNTIF($BQ$3:BQ396,BQ396)=1,MAX($BR$2:BR395)+1,""))</f>
      </c>
      <c r="BS396" s="129">
        <f>IF(AW396="","",COUNTIF($AW$3:AW396,"?*"))</f>
      </c>
      <c r="BT396" s="129">
        <f>IF(OR(AW396="",AI396=""),"",IF(COUNTIFS($AW$3:AW396,"?*",$AI$3:AI396,AI396)=1,MAX($BT$2:BT395)+1,""))</f>
      </c>
      <c r="BU396" s="129">
        <f>IF(AE396="",0,IF(OR(ISNUMBER(SEARCH("дубль",AE396)),ISNUMBER(SEARCH("ПЕРЕГРУЗ",AE396)),ISNUMBER(SEARCH("ЗАЩИЩ",AE396)),ISNUMBER(SEARCH("КАНАЛ",AE396)),ISNUMBER(SEARCH("без 30",AE396))),2,1))</f>
      </c>
      <c r="BV396" s="129">
        <f>IF(R396="","",COUNTIF($R$3:R396,"?*"))</f>
      </c>
      <c r="BW396" s="129">
        <f>IF(AY396&lt;&gt;1,0,IF(MAX(IFERROR(--VLOOKUP(R396,УГО_спр,5,FALSE),0),IFERROR(--VLOOKUP(AL396,УГО_спр,5,FALSE),0),IFERROR(--VLOOKUP(LEFT(AL396,2),УГО_спр,5,FALSE),0))&gt;0,MAX(IFERROR(--VLOOKUP(R396,УГО_спр,5,FALSE),0),IFERROR(--VLOOKUP(AL396,УГО_спр,5,FALSE),0),IFERROR(--VLOOKUP(LEFT(AL396,2),УГО_спр,5,FALSE),0)),IF(IFERROR(--LEFT(SUBSTITUTE(BQ396,"x","х"),FIND("х",SUBSTITUTE(BQ396,"x","х"))-1),3)&gt;3,Каталог!$S$9,1)))</f>
      </c>
      <c r="BX396" s="129">
        <f>IF(AY396&lt;&gt;1,0,MAX(0,IFERROR(--LEFT(SUBSTITUTE(BQ396,"x","х"),FIND("х",SUBSTITUTE(BQ396,"x","х"))-1),3)-3*BW396))</f>
      </c>
      <c r="BY396" s="129">
        <f>IF(R396="","",IFERROR(VLOOKUP(R396,УГО_спр,2,FALSE),IFERROR(VLOOKUP(AL396,УГО_спр,2,FALSE),IFERROR(VLOOKUP(LEFT(AL396,2),УГО_спр,2,FALSE),""))))</f>
      </c>
    </row>
    <row r="397" spans="1:64" x14ac:dyDescent="0.3">
      <c r="A397" s="135">
        <f>IF(Разбивка_по_щитам!F397=0,"",Разбивка_по_щитам!F397)</f>
      </c>
      <c r="B397" s="138">
        <f>IF(A397="","",Разбивка_по_щитам!C397)</f>
      </c>
      <c r="C397" s="138">
        <f t="shared" si="258"/>
      </c>
      <c r="D397" s="266"/>
      <c r="E397" s="266"/>
      <c r="F397" s="267"/>
      <c r="G397" s="145">
        <f t="shared" si="254"/>
        <v/>
      </c>
      <c r="H397" s="145">
        <f t="shared" si="255"/>
        <v/>
      </c>
      <c r="I397" s="266"/>
      <c r="J397" s="267"/>
      <c r="K397" s="267"/>
      <c r="L397" s="266"/>
      <c r="M397" s="147">
        <f t="shared" si="256"/>
        <v/>
      </c>
      <c r="N397" s="267"/>
      <c r="O397" s="147">
        <f t="shared" si="257"/>
        <v/>
      </c>
      <c r="P397" s="268">
        <f>IF(AY397=1,"XT"&amp;COUNTIFS($A$3:A397,A397,$AY$3:AY397,1),"")</f>
        <v/>
      </c>
      <c r="Q397" s="152">
        <f>IF(R397="","",IFERROR(SUBSTITUTE(Разбивка_по_щитам!P397,CHAR(10)," "),""))</f>
        <v/>
      </c>
      <c r="R397" s="153">
        <f>IF(OR(Разбивка_по_щитам!H397="",Разбивка_по_щитам!H397=0),"",Разбивка_по_щитам!H397)</f>
        <v/>
      </c>
      <c r="S397" s="154">
        <f>IF(R397="","",IFERROR(Разбивка_по_щитам!J397&amp;"",""))</f>
        <v/>
      </c>
      <c r="T397" s="155">
        <f>IF(R397="","",IFERROR(--Разбивка_по_щитам!L397,""))</f>
        <v/>
      </c>
      <c r="U397" s="155">
        <f>IF(R397="","",IFERROR(--Разбивка_по_щитам!K397,""))</f>
        <v/>
      </c>
      <c r="V397" s="138">
        <f>IF(R397="","",IFERROR(IF(Разбивка_по_щитам!M397=0,"",Разбивка_по_щитам!M397),""))</f>
        <v/>
      </c>
      <c r="W397" s="156">
        <f t="shared" si="259"/>
        <v/>
      </c>
      <c r="X397" s="157">
        <f t="shared" si="260"/>
        <v/>
      </c>
      <c r="Y397" s="266"/>
      <c r="Z397" s="158">
        <f t="shared" si="261"/>
        <v/>
      </c>
      <c r="AA397" s="160">
        <f t="shared" si="262"/>
        <v/>
      </c>
      <c r="AB397" s="160">
        <f>IF(R397="","",IFERROR(LOOKUP(INDEX(Справочная!$I$4:$I$19,MATCH(VLOOKUP(R397,Исходные_данные,22,FALSE),Справочная!$J$4:$J$19,0)+1),{6,10,16,20,25,32,40,50,63,80,100,125}),""))</f>
        <v/>
      </c>
      <c r="AC397" s="160">
        <f t="shared" si="263"/>
        <v/>
      </c>
      <c r="AD397" s="161">
        <f t="shared" si="264"/>
        <v/>
      </c>
      <c r="AE397" s="161">
        <f>IF(AND(R397="",G397=""),"",_xlfn.TEXTJOIN("; ",TRUE,IF(AND(R397&lt;&gt;"",V397=""),"нет фазы",""),IF(AND(R397&lt;&gt;"",N(T397)=0),"нет мощности",""),IF(AND(P397&lt;&gt;"",COUNTIFS($A$3:$A$1000,A397,$P$3:$P$1000,P397)&gt;1),"дубль клеммы "&amp;P397,""),IF(AND(W397&lt;&gt;"",W397&lt;&gt;"ok"),W397,""),IF(X397&lt;&gt;"",X397,""),IF(AND(ISNUMBER(SEARCH("(5х",Q397)),N(AK397)=1),"5 жил на 1 фазе",""),IF(AND(AL397="R",E397&lt;&gt;"",N(AS397)=0),"розетка без 30 мА",""),IF(IFERROR(_xlfn.NUMBERVALUE(MID(Q397,FIND("-",Q397,FIND("L=",Q397))+1,FIND("%",Q397)-FIND("-",Q397,FIND("L=",Q397))-1),","),0)&gt;4,"потери &gt; 4 %","")))</f>
      </c>
      <c r="AF397" s="129">
        <f>IF(E397&lt;&gt;"",COUNTIFS($A$3:A397,A397,$E$3:E397,"?*"),IF(OR(A397&lt;&gt;A396,Y397="вручную"),"",AF396))</f>
      </c>
      <c r="AG397" s="129">
        <f t="shared" si="265"/>
      </c>
      <c r="AH397" s="129">
        <f t="shared" si="266"/>
        <v/>
      </c>
      <c r="AI397" s="129">
        <f t="shared" si="267"/>
        <v/>
      </c>
      <c r="AJ397" s="129">
        <f t="shared" si="268"/>
        <v/>
      </c>
      <c r="AK397" s="129">
        <f t="shared" si="269"/>
        <v/>
      </c>
      <c r="AL397" s="129">
        <f t="shared" si="270"/>
        <v/>
      </c>
      <c r="AM397" s="129">
        <f t="shared" si="271"/>
      </c>
      <c r="AN397" s="129">
        <f t="shared" si="272"/>
      </c>
      <c r="AO397" s="129">
        <f t="shared" si="273"/>
        <v/>
      </c>
      <c r="AP397" s="129">
        <f t="shared" si="274"/>
        <v/>
      </c>
      <c r="AQ397" s="129">
        <f t="shared" si="275"/>
        <v/>
      </c>
      <c r="AR397" s="129">
        <f t="shared" si="276"/>
        <v/>
      </c>
      <c r="AS397" s="129">
        <f t="shared" si="277"/>
        <v/>
      </c>
      <c r="AT397" s="129">
        <f t="shared" si="278"/>
        <v/>
      </c>
      <c r="AU397" s="129">
        <f t="shared" si="279"/>
        <v/>
      </c>
      <c r="AV397" s="129">
        <f t="shared" si="280"/>
        <v/>
      </c>
      <c r="AW397" s="129">
        <f>IF(AV397="","",AV397&amp;"."&amp;COUNTIFS($A$3:A397,A397,$AV$3:AV397,AV397))</f>
        <v/>
      </c>
      <c r="AX397" s="129">
        <f t="shared" si="281"/>
        <v/>
      </c>
      <c r="AY397" s="129">
        <f>IF(N397="б/к",0,IF(OR(ISNUMBER(SEARCH("L=",Разбивка_по_щитам!P397)),N397="+",N397="="),1,0))</f>
      </c>
      <c r="AZ397" s="129">
        <f t="shared" si="282"/>
      </c>
      <c r="BA397" s="129">
        <f t="shared" si="283"/>
      </c>
      <c r="BB397" s="129">
        <f t="shared" si="284"/>
      </c>
      <c r="BD397" s="129">
        <f t="shared" si="285"/>
      </c>
      <c r="BE397" s="129">
        <f t="shared" si="286"/>
      </c>
      <c r="BF397" s="129">
        <f t="shared" si="287"/>
      </c>
      <c r="BG397" s="129">
        <f t="shared" si="288"/>
        <v/>
      </c>
      <c r="BH397" s="129">
        <f t="shared" si="289"/>
        <v/>
      </c>
      <c r="BI397" s="129">
        <f t="shared" si="290"/>
        <v/>
      </c>
      <c r="BJ397" s="129">
        <f t="shared" si="291"/>
        <v/>
      </c>
      <c r="BK397" s="129">
        <f>IF(R397="","",IF(OR(BY397="",BY397=0),"BOX",IFERROR(IF(VLOOKUP(BY397,УГО_блоки,3,FALSE)&amp;""&lt;&gt;"",VLOOKUP(BY397,УГО_блоки,3,FALSE),VLOOKUP(BY397,УГО_блоки,2,FALSE)),BY397)))</f>
      </c>
      <c r="BL397" s="129">
        <f t="shared" si="293"/>
      </c>
      <c r="BM397" s="129">
        <f>IF(H397="","",IF(COUNTIF($H$3:H397,H397)=1,MAX($BM$2:BM396)+1,""))</f>
      </c>
      <c r="BN397" s="129">
        <f>IF(I397="","",IF(COUNTIF($I$3:I397,I397)+COUNTIF($J$2:J396,I397)+COUNTIF($K$2:K396,I397)=1,MAX($BN$2:BP396)+1,""))</f>
      </c>
      <c r="BO397" s="129">
        <f>IF(J397="","",IF(COUNTIF($I$3:I397,J397)+COUNTIF($J$3:J397,J397)+COUNTIF($K$2:K396,J397)=1,MAX($BN$2:BP396,BN397)+1,""))</f>
      </c>
      <c r="BP397" s="129">
        <f>IF(K397="","",IF(COUNTIF($I$3:I397,K397)+COUNTIF($J$3:J397,K397)+COUNTIF($K$3:K397,K397)=1,MAX($BN$2:BP396,BN397,BO397)+1,""))</f>
      </c>
      <c r="BQ397" s="129">
        <f>IF(AY397=1,IFERROR(MID(Q397,FIND(" (",Q397)+2,FIND(")",Q397,FIND(" (",Q397))-FIND(" (",Q397)-2),"?"),"")</f>
      </c>
      <c r="BR397" s="129">
        <f>IF(BQ397="","",IF(COUNTIF($BQ$3:BQ397,BQ397)=1,MAX($BR$2:BR396)+1,""))</f>
      </c>
      <c r="BS397" s="129">
        <f>IF(AW397="","",COUNTIF($AW$3:AW397,"?*"))</f>
      </c>
      <c r="BT397" s="129">
        <f>IF(OR(AW397="",AI397=""),"",IF(COUNTIFS($AW$3:AW397,"?*",$AI$3:AI397,AI397)=1,MAX($BT$2:BT396)+1,""))</f>
      </c>
      <c r="BU397" s="129">
        <f>IF(AE397="",0,IF(OR(ISNUMBER(SEARCH("дубль",AE397)),ISNUMBER(SEARCH("ПЕРЕГРУЗ",AE397)),ISNUMBER(SEARCH("ЗАЩИЩ",AE397)),ISNUMBER(SEARCH("КАНАЛ",AE397)),ISNUMBER(SEARCH("без 30",AE397))),2,1))</f>
      </c>
      <c r="BV397" s="129">
        <f>IF(R397="","",COUNTIF($R$3:R397,"?*"))</f>
      </c>
      <c r="BW397" s="129">
        <f>IF(AY397&lt;&gt;1,0,IF(MAX(IFERROR(--VLOOKUP(R397,УГО_спр,5,FALSE),0),IFERROR(--VLOOKUP(AL397,УГО_спр,5,FALSE),0),IFERROR(--VLOOKUP(LEFT(AL397,2),УГО_спр,5,FALSE),0))&gt;0,MAX(IFERROR(--VLOOKUP(R397,УГО_спр,5,FALSE),0),IFERROR(--VLOOKUP(AL397,УГО_спр,5,FALSE),0),IFERROR(--VLOOKUP(LEFT(AL397,2),УГО_спр,5,FALSE),0)),IF(IFERROR(--LEFT(SUBSTITUTE(BQ397,"x","х"),FIND("х",SUBSTITUTE(BQ397,"x","х"))-1),3)&gt;3,Каталог!$S$9,1)))</f>
      </c>
      <c r="BX397" s="129">
        <f>IF(AY397&lt;&gt;1,0,MAX(0,IFERROR(--LEFT(SUBSTITUTE(BQ397,"x","х"),FIND("х",SUBSTITUTE(BQ397,"x","х"))-1),3)-3*BW397))</f>
      </c>
      <c r="BY397" s="129">
        <f>IF(R397="","",IFERROR(VLOOKUP(R397,УГО_спр,2,FALSE),IFERROR(VLOOKUP(AL397,УГО_спр,2,FALSE),IFERROR(VLOOKUP(LEFT(AL397,2),УГО_спр,2,FALSE),""))))</f>
      </c>
    </row>
    <row r="398" spans="1:64" x14ac:dyDescent="0.3">
      <c r="A398" s="135">
        <f>IF(Разбивка_по_щитам!F398=0,"",Разбивка_по_щитам!F398)</f>
      </c>
      <c r="B398" s="138">
        <f>IF(A398="","",Разбивка_по_щитам!C398)</f>
      </c>
      <c r="C398" s="138">
        <f t="shared" si="258"/>
      </c>
      <c r="D398" s="266"/>
      <c r="E398" s="266"/>
      <c r="F398" s="267"/>
      <c r="G398" s="145">
        <f t="shared" si="254"/>
        <v/>
      </c>
      <c r="H398" s="145">
        <f t="shared" si="255"/>
        <v/>
      </c>
      <c r="I398" s="266"/>
      <c r="J398" s="267"/>
      <c r="K398" s="267"/>
      <c r="L398" s="266"/>
      <c r="M398" s="147">
        <f t="shared" si="256"/>
        <v/>
      </c>
      <c r="N398" s="267"/>
      <c r="O398" s="147">
        <f t="shared" si="257"/>
        <v/>
      </c>
      <c r="P398" s="268">
        <f>IF(AY398=1,"XT"&amp;COUNTIFS($A$3:A398,A398,$AY$3:AY398,1),"")</f>
        <v/>
      </c>
      <c r="Q398" s="152">
        <f>IF(R398="","",IFERROR(SUBSTITUTE(Разбивка_по_щитам!P398,CHAR(10)," "),""))</f>
        <v/>
      </c>
      <c r="R398" s="153">
        <f>IF(OR(Разбивка_по_щитам!H398="",Разбивка_по_щитам!H398=0),"",Разбивка_по_щитам!H398)</f>
        <v/>
      </c>
      <c r="S398" s="154">
        <f>IF(R398="","",IFERROR(Разбивка_по_щитам!J398&amp;"",""))</f>
        <v/>
      </c>
      <c r="T398" s="155">
        <f>IF(R398="","",IFERROR(--Разбивка_по_щитам!L398,""))</f>
        <v/>
      </c>
      <c r="U398" s="155">
        <f>IF(R398="","",IFERROR(--Разбивка_по_щитам!K398,""))</f>
        <v/>
      </c>
      <c r="V398" s="138">
        <f>IF(R398="","",IFERROR(IF(Разбивка_по_щитам!M398=0,"",Разбивка_по_щитам!M398),""))</f>
        <v/>
      </c>
      <c r="W398" s="156">
        <f t="shared" si="259"/>
        <v/>
      </c>
      <c r="X398" s="157">
        <f t="shared" si="260"/>
        <v/>
      </c>
      <c r="Y398" s="266"/>
      <c r="Z398" s="158">
        <f t="shared" si="261"/>
        <v/>
      </c>
      <c r="AA398" s="160">
        <f t="shared" si="262"/>
        <v/>
      </c>
      <c r="AB398" s="160">
        <f>IF(R398="","",IFERROR(LOOKUP(INDEX(Справочная!$I$4:$I$19,MATCH(VLOOKUP(R398,Исходные_данные,22,FALSE),Справочная!$J$4:$J$19,0)+1),{6,10,16,20,25,32,40,50,63,80,100,125}),""))</f>
        <v/>
      </c>
      <c r="AC398" s="160">
        <f t="shared" si="263"/>
        <v/>
      </c>
      <c r="AD398" s="161">
        <f t="shared" si="264"/>
        <v/>
      </c>
      <c r="AE398" s="161">
        <f>IF(AND(R398="",G398=""),"",_xlfn.TEXTJOIN("; ",TRUE,IF(AND(R398&lt;&gt;"",V398=""),"нет фазы",""),IF(AND(R398&lt;&gt;"",N(T398)=0),"нет мощности",""),IF(AND(P398&lt;&gt;"",COUNTIFS($A$3:$A$1000,A398,$P$3:$P$1000,P398)&gt;1),"дубль клеммы "&amp;P398,""),IF(AND(W398&lt;&gt;"",W398&lt;&gt;"ok"),W398,""),IF(X398&lt;&gt;"",X398,""),IF(AND(ISNUMBER(SEARCH("(5х",Q398)),N(AK398)=1),"5 жил на 1 фазе",""),IF(AND(AL398="R",E398&lt;&gt;"",N(AS398)=0),"розетка без 30 мА",""),IF(IFERROR(_xlfn.NUMBERVALUE(MID(Q398,FIND("-",Q398,FIND("L=",Q398))+1,FIND("%",Q398)-FIND("-",Q398,FIND("L=",Q398))-1),","),0)&gt;4,"потери &gt; 4 %","")))</f>
      </c>
      <c r="AF398" s="129">
        <f>IF(E398&lt;&gt;"",COUNTIFS($A$3:A398,A398,$E$3:E398,"?*"),IF(OR(A398&lt;&gt;A397,Y398="вручную"),"",AF397))</f>
      </c>
      <c r="AG398" s="129">
        <f t="shared" si="265"/>
      </c>
      <c r="AH398" s="129">
        <f t="shared" si="266"/>
        <v/>
      </c>
      <c r="AI398" s="129">
        <f t="shared" si="267"/>
        <v/>
      </c>
      <c r="AJ398" s="129">
        <f t="shared" si="268"/>
        <v/>
      </c>
      <c r="AK398" s="129">
        <f t="shared" si="269"/>
        <v/>
      </c>
      <c r="AL398" s="129">
        <f t="shared" si="270"/>
        <v/>
      </c>
      <c r="AM398" s="129">
        <f t="shared" si="271"/>
      </c>
      <c r="AN398" s="129">
        <f t="shared" si="272"/>
      </c>
      <c r="AO398" s="129">
        <f t="shared" si="273"/>
        <v/>
      </c>
      <c r="AP398" s="129">
        <f t="shared" si="274"/>
        <v/>
      </c>
      <c r="AQ398" s="129">
        <f t="shared" si="275"/>
        <v/>
      </c>
      <c r="AR398" s="129">
        <f t="shared" si="276"/>
        <v/>
      </c>
      <c r="AS398" s="129">
        <f t="shared" si="277"/>
        <v/>
      </c>
      <c r="AT398" s="129">
        <f t="shared" si="278"/>
        <v/>
      </c>
      <c r="AU398" s="129">
        <f t="shared" si="279"/>
        <v/>
      </c>
      <c r="AV398" s="129">
        <f t="shared" si="280"/>
        <v/>
      </c>
      <c r="AW398" s="129">
        <f>IF(AV398="","",AV398&amp;"."&amp;COUNTIFS($A$3:A398,A398,$AV$3:AV398,AV398))</f>
        <v/>
      </c>
      <c r="AX398" s="129">
        <f t="shared" si="281"/>
        <v/>
      </c>
      <c r="AY398" s="129">
        <f>IF(N398="б/к",0,IF(OR(ISNUMBER(SEARCH("L=",Разбивка_по_щитам!P398)),N398="+",N398="="),1,0))</f>
      </c>
      <c r="AZ398" s="129">
        <f t="shared" si="282"/>
      </c>
      <c r="BA398" s="129">
        <f t="shared" si="283"/>
      </c>
      <c r="BB398" s="129">
        <f t="shared" si="284"/>
      </c>
      <c r="BD398" s="129">
        <f t="shared" si="285"/>
      </c>
      <c r="BE398" s="129">
        <f t="shared" si="286"/>
      </c>
      <c r="BF398" s="129">
        <f t="shared" si="287"/>
      </c>
      <c r="BG398" s="129">
        <f t="shared" si="288"/>
        <v/>
      </c>
      <c r="BH398" s="129">
        <f t="shared" si="289"/>
        <v/>
      </c>
      <c r="BI398" s="129">
        <f t="shared" si="290"/>
        <v/>
      </c>
      <c r="BJ398" s="129">
        <f t="shared" si="291"/>
        <v/>
      </c>
      <c r="BK398" s="129">
        <f>IF(R398="","",IF(OR(BY398="",BY398=0),"BOX",IFERROR(IF(VLOOKUP(BY398,УГО_блоки,3,FALSE)&amp;""&lt;&gt;"",VLOOKUP(BY398,УГО_блоки,3,FALSE),VLOOKUP(BY398,УГО_блоки,2,FALSE)),BY398)))</f>
      </c>
      <c r="BL398" s="129">
        <f t="shared" si="293"/>
      </c>
      <c r="BM398" s="129">
        <f>IF(H398="","",IF(COUNTIF($H$3:H398,H398)=1,MAX($BM$2:BM397)+1,""))</f>
      </c>
      <c r="BN398" s="129">
        <f>IF(I398="","",IF(COUNTIF($I$3:I398,I398)+COUNTIF($J$2:J397,I398)+COUNTIF($K$2:K397,I398)=1,MAX($BN$2:BP397)+1,""))</f>
      </c>
      <c r="BO398" s="129">
        <f>IF(J398="","",IF(COUNTIF($I$3:I398,J398)+COUNTIF($J$3:J398,J398)+COUNTIF($K$2:K397,J398)=1,MAX($BN$2:BP397,BN398)+1,""))</f>
      </c>
      <c r="BP398" s="129">
        <f>IF(K398="","",IF(COUNTIF($I$3:I398,K398)+COUNTIF($J$3:J398,K398)+COUNTIF($K$3:K398,K398)=1,MAX($BN$2:BP397,BN398,BO398)+1,""))</f>
      </c>
      <c r="BQ398" s="129">
        <f>IF(AY398=1,IFERROR(MID(Q398,FIND(" (",Q398)+2,FIND(")",Q398,FIND(" (",Q398))-FIND(" (",Q398)-2),"?"),"")</f>
      </c>
      <c r="BR398" s="129">
        <f>IF(BQ398="","",IF(COUNTIF($BQ$3:BQ398,BQ398)=1,MAX($BR$2:BR397)+1,""))</f>
      </c>
      <c r="BS398" s="129">
        <f>IF(AW398="","",COUNTIF($AW$3:AW398,"?*"))</f>
      </c>
      <c r="BT398" s="129">
        <f>IF(OR(AW398="",AI398=""),"",IF(COUNTIFS($AW$3:AW398,"?*",$AI$3:AI398,AI398)=1,MAX($BT$2:BT397)+1,""))</f>
      </c>
      <c r="BU398" s="129">
        <f>IF(AE398="",0,IF(OR(ISNUMBER(SEARCH("дубль",AE398)),ISNUMBER(SEARCH("ПЕРЕГРУЗ",AE398)),ISNUMBER(SEARCH("ЗАЩИЩ",AE398)),ISNUMBER(SEARCH("КАНАЛ",AE398)),ISNUMBER(SEARCH("без 30",AE398))),2,1))</f>
      </c>
      <c r="BV398" s="129">
        <f>IF(R398="","",COUNTIF($R$3:R398,"?*"))</f>
      </c>
      <c r="BW398" s="129">
        <f>IF(AY398&lt;&gt;1,0,IF(MAX(IFERROR(--VLOOKUP(R398,УГО_спр,5,FALSE),0),IFERROR(--VLOOKUP(AL398,УГО_спр,5,FALSE),0),IFERROR(--VLOOKUP(LEFT(AL398,2),УГО_спр,5,FALSE),0))&gt;0,MAX(IFERROR(--VLOOKUP(R398,УГО_спр,5,FALSE),0),IFERROR(--VLOOKUP(AL398,УГО_спр,5,FALSE),0),IFERROR(--VLOOKUP(LEFT(AL398,2),УГО_спр,5,FALSE),0)),IF(IFERROR(--LEFT(SUBSTITUTE(BQ398,"x","х"),FIND("х",SUBSTITUTE(BQ398,"x","х"))-1),3)&gt;3,Каталог!$S$9,1)))</f>
      </c>
      <c r="BX398" s="129">
        <f>IF(AY398&lt;&gt;1,0,MAX(0,IFERROR(--LEFT(SUBSTITUTE(BQ398,"x","х"),FIND("х",SUBSTITUTE(BQ398,"x","х"))-1),3)-3*BW398))</f>
      </c>
      <c r="BY398" s="129">
        <f>IF(R398="","",IFERROR(VLOOKUP(R398,УГО_спр,2,FALSE),IFERROR(VLOOKUP(AL398,УГО_спр,2,FALSE),IFERROR(VLOOKUP(LEFT(AL398,2),УГО_спр,2,FALSE),""))))</f>
      </c>
    </row>
    <row r="399" spans="1:64" x14ac:dyDescent="0.3">
      <c r="A399" s="135">
        <f>IF(Разбивка_по_щитам!F399=0,"",Разбивка_по_щитам!F399)</f>
      </c>
      <c r="B399" s="138">
        <f>IF(A399="","",Разбивка_по_щитам!C399)</f>
      </c>
      <c r="C399" s="138">
        <f t="shared" si="258"/>
      </c>
      <c r="D399" s="266"/>
      <c r="E399" s="266"/>
      <c r="F399" s="267"/>
      <c r="G399" s="145">
        <f t="shared" si="254"/>
        <v/>
      </c>
      <c r="H399" s="145">
        <f t="shared" si="255"/>
        <v/>
      </c>
      <c r="I399" s="266"/>
      <c r="J399" s="267"/>
      <c r="K399" s="267"/>
      <c r="L399" s="266"/>
      <c r="M399" s="147">
        <f t="shared" si="256"/>
        <v/>
      </c>
      <c r="N399" s="267"/>
      <c r="O399" s="147">
        <f t="shared" si="257"/>
        <v/>
      </c>
      <c r="P399" s="268">
        <f>IF(AY399=1,"XT"&amp;COUNTIFS($A$3:A399,A399,$AY$3:AY399,1),"")</f>
        <v/>
      </c>
      <c r="Q399" s="152">
        <f>IF(R399="","",IFERROR(SUBSTITUTE(Разбивка_по_щитам!P399,CHAR(10)," "),""))</f>
        <v/>
      </c>
      <c r="R399" s="153">
        <f>IF(OR(Разбивка_по_щитам!H399="",Разбивка_по_щитам!H399=0),"",Разбивка_по_щитам!H399)</f>
        <v/>
      </c>
      <c r="S399" s="154">
        <f>IF(R399="","",IFERROR(Разбивка_по_щитам!J399&amp;"",""))</f>
        <v/>
      </c>
      <c r="T399" s="155">
        <f>IF(R399="","",IFERROR(--Разбивка_по_щитам!L399,""))</f>
        <v/>
      </c>
      <c r="U399" s="155">
        <f>IF(R399="","",IFERROR(--Разбивка_по_щитам!K399,""))</f>
        <v/>
      </c>
      <c r="V399" s="138">
        <f>IF(R399="","",IFERROR(IF(Разбивка_по_щитам!M399=0,"",Разбивка_по_щитам!M399),""))</f>
        <v/>
      </c>
      <c r="W399" s="156">
        <f t="shared" si="259"/>
        <v/>
      </c>
      <c r="X399" s="157">
        <f t="shared" si="260"/>
        <v/>
      </c>
      <c r="Y399" s="266"/>
      <c r="Z399" s="158">
        <f t="shared" si="261"/>
        <v/>
      </c>
      <c r="AA399" s="160">
        <f t="shared" si="262"/>
        <v/>
      </c>
      <c r="AB399" s="160">
        <f>IF(R399="","",IFERROR(LOOKUP(INDEX(Справочная!$I$4:$I$19,MATCH(VLOOKUP(R399,Исходные_данные,22,FALSE),Справочная!$J$4:$J$19,0)+1),{6,10,16,20,25,32,40,50,63,80,100,125}),""))</f>
        <v/>
      </c>
      <c r="AC399" s="160">
        <f t="shared" si="263"/>
        <v/>
      </c>
      <c r="AD399" s="161">
        <f t="shared" si="264"/>
        <v/>
      </c>
      <c r="AE399" s="161">
        <f>IF(AND(R399="",G399=""),"",_xlfn.TEXTJOIN("; ",TRUE,IF(AND(R399&lt;&gt;"",V399=""),"нет фазы",""),IF(AND(R399&lt;&gt;"",N(T399)=0),"нет мощности",""),IF(AND(P399&lt;&gt;"",COUNTIFS($A$3:$A$1000,A399,$P$3:$P$1000,P399)&gt;1),"дубль клеммы "&amp;P399,""),IF(AND(W399&lt;&gt;"",W399&lt;&gt;"ok"),W399,""),IF(X399&lt;&gt;"",X399,""),IF(AND(ISNUMBER(SEARCH("(5х",Q399)),N(AK399)=1),"5 жил на 1 фазе",""),IF(AND(AL399="R",E399&lt;&gt;"",N(AS399)=0),"розетка без 30 мА",""),IF(IFERROR(_xlfn.NUMBERVALUE(MID(Q399,FIND("-",Q399,FIND("L=",Q399))+1,FIND("%",Q399)-FIND("-",Q399,FIND("L=",Q399))-1),","),0)&gt;4,"потери &gt; 4 %","")))</f>
      </c>
      <c r="AF399" s="129">
        <f>IF(E399&lt;&gt;"",COUNTIFS($A$3:A399,A399,$E$3:E399,"?*"),IF(OR(A399&lt;&gt;A398,Y399="вручную"),"",AF398))</f>
      </c>
      <c r="AG399" s="129">
        <f t="shared" si="265"/>
      </c>
      <c r="AH399" s="129">
        <f t="shared" si="266"/>
        <v/>
      </c>
      <c r="AI399" s="129">
        <f t="shared" si="267"/>
        <v/>
      </c>
      <c r="AJ399" s="129">
        <f t="shared" si="268"/>
        <v/>
      </c>
      <c r="AK399" s="129">
        <f t="shared" si="269"/>
        <v/>
      </c>
      <c r="AL399" s="129">
        <f t="shared" si="270"/>
        <v/>
      </c>
      <c r="AM399" s="129">
        <f t="shared" si="271"/>
      </c>
      <c r="AN399" s="129">
        <f t="shared" si="272"/>
      </c>
      <c r="AO399" s="129">
        <f t="shared" si="273"/>
        <v/>
      </c>
      <c r="AP399" s="129">
        <f t="shared" si="274"/>
        <v/>
      </c>
      <c r="AQ399" s="129">
        <f t="shared" si="275"/>
        <v/>
      </c>
      <c r="AR399" s="129">
        <f t="shared" si="276"/>
        <v/>
      </c>
      <c r="AS399" s="129">
        <f t="shared" si="277"/>
        <v/>
      </c>
      <c r="AT399" s="129">
        <f t="shared" si="278"/>
        <v/>
      </c>
      <c r="AU399" s="129">
        <f t="shared" si="279"/>
        <v/>
      </c>
      <c r="AV399" s="129">
        <f t="shared" si="280"/>
        <v/>
      </c>
      <c r="AW399" s="129">
        <f>IF(AV399="","",AV399&amp;"."&amp;COUNTIFS($A$3:A399,A399,$AV$3:AV399,AV399))</f>
        <v/>
      </c>
      <c r="AX399" s="129">
        <f t="shared" si="281"/>
        <v/>
      </c>
      <c r="AY399" s="129">
        <f>IF(N399="б/к",0,IF(OR(ISNUMBER(SEARCH("L=",Разбивка_по_щитам!P399)),N399="+",N399="="),1,0))</f>
      </c>
      <c r="AZ399" s="129">
        <f t="shared" si="282"/>
      </c>
      <c r="BA399" s="129">
        <f t="shared" si="283"/>
      </c>
      <c r="BB399" s="129">
        <f t="shared" si="284"/>
      </c>
      <c r="BD399" s="129">
        <f t="shared" si="285"/>
      </c>
      <c r="BE399" s="129">
        <f t="shared" si="286"/>
      </c>
      <c r="BF399" s="129">
        <f t="shared" si="287"/>
      </c>
      <c r="BG399" s="129">
        <f t="shared" si="288"/>
        <v/>
      </c>
      <c r="BH399" s="129">
        <f t="shared" si="289"/>
        <v/>
      </c>
      <c r="BI399" s="129">
        <f t="shared" si="290"/>
        <v/>
      </c>
      <c r="BJ399" s="129">
        <f t="shared" si="291"/>
        <v/>
      </c>
      <c r="BK399" s="129">
        <f>IF(R399="","",IF(OR(BY399="",BY399=0),"BOX",IFERROR(IF(VLOOKUP(BY399,УГО_блоки,3,FALSE)&amp;""&lt;&gt;"",VLOOKUP(BY399,УГО_блоки,3,FALSE),VLOOKUP(BY399,УГО_блоки,2,FALSE)),BY399)))</f>
      </c>
      <c r="BL399" s="129">
        <f t="shared" si="293"/>
      </c>
      <c r="BM399" s="129">
        <f>IF(H399="","",IF(COUNTIF($H$3:H399,H399)=1,MAX($BM$2:BM398)+1,""))</f>
      </c>
      <c r="BN399" s="129">
        <f>IF(I399="","",IF(COUNTIF($I$3:I399,I399)+COUNTIF($J$2:J398,I399)+COUNTIF($K$2:K398,I399)=1,MAX($BN$2:BP398)+1,""))</f>
      </c>
      <c r="BO399" s="129">
        <f>IF(J399="","",IF(COUNTIF($I$3:I399,J399)+COUNTIF($J$3:J399,J399)+COUNTIF($K$2:K398,J399)=1,MAX($BN$2:BP398,BN399)+1,""))</f>
      </c>
      <c r="BP399" s="129">
        <f>IF(K399="","",IF(COUNTIF($I$3:I399,K399)+COUNTIF($J$3:J399,K399)+COUNTIF($K$3:K399,K399)=1,MAX($BN$2:BP398,BN399,BO399)+1,""))</f>
      </c>
      <c r="BQ399" s="129">
        <f>IF(AY399=1,IFERROR(MID(Q399,FIND(" (",Q399)+2,FIND(")",Q399,FIND(" (",Q399))-FIND(" (",Q399)-2),"?"),"")</f>
      </c>
      <c r="BR399" s="129">
        <f>IF(BQ399="","",IF(COUNTIF($BQ$3:BQ399,BQ399)=1,MAX($BR$2:BR398)+1,""))</f>
      </c>
      <c r="BS399" s="129">
        <f>IF(AW399="","",COUNTIF($AW$3:AW399,"?*"))</f>
      </c>
      <c r="BT399" s="129">
        <f>IF(OR(AW399="",AI399=""),"",IF(COUNTIFS($AW$3:AW399,"?*",$AI$3:AI399,AI399)=1,MAX($BT$2:BT398)+1,""))</f>
      </c>
      <c r="BU399" s="129">
        <f>IF(AE399="",0,IF(OR(ISNUMBER(SEARCH("дубль",AE399)),ISNUMBER(SEARCH("ПЕРЕГРУЗ",AE399)),ISNUMBER(SEARCH("ЗАЩИЩ",AE399)),ISNUMBER(SEARCH("КАНАЛ",AE399)),ISNUMBER(SEARCH("без 30",AE399))),2,1))</f>
      </c>
      <c r="BV399" s="129">
        <f>IF(R399="","",COUNTIF($R$3:R399,"?*"))</f>
      </c>
      <c r="BW399" s="129">
        <f>IF(AY399&lt;&gt;1,0,IF(MAX(IFERROR(--VLOOKUP(R399,УГО_спр,5,FALSE),0),IFERROR(--VLOOKUP(AL399,УГО_спр,5,FALSE),0),IFERROR(--VLOOKUP(LEFT(AL399,2),УГО_спр,5,FALSE),0))&gt;0,MAX(IFERROR(--VLOOKUP(R399,УГО_спр,5,FALSE),0),IFERROR(--VLOOKUP(AL399,УГО_спр,5,FALSE),0),IFERROR(--VLOOKUP(LEFT(AL399,2),УГО_спр,5,FALSE),0)),IF(IFERROR(--LEFT(SUBSTITUTE(BQ399,"x","х"),FIND("х",SUBSTITUTE(BQ399,"x","х"))-1),3)&gt;3,Каталог!$S$9,1)))</f>
      </c>
      <c r="BX399" s="129">
        <f>IF(AY399&lt;&gt;1,0,MAX(0,IFERROR(--LEFT(SUBSTITUTE(BQ399,"x","х"),FIND("х",SUBSTITUTE(BQ399,"x","х"))-1),3)-3*BW399))</f>
      </c>
      <c r="BY399" s="129">
        <f>IF(R399="","",IFERROR(VLOOKUP(R399,УГО_спр,2,FALSE),IFERROR(VLOOKUP(AL399,УГО_спр,2,FALSE),IFERROR(VLOOKUP(LEFT(AL399,2),УГО_спр,2,FALSE),""))))</f>
      </c>
    </row>
    <row r="400" spans="1:64" x14ac:dyDescent="0.3">
      <c r="A400" s="135">
        <f>IF(Разбивка_по_щитам!F400=0,"",Разбивка_по_щитам!F400)</f>
      </c>
      <c r="B400" s="138">
        <f>IF(A400="","",Разбивка_по_щитам!C400)</f>
      </c>
      <c r="C400" s="138">
        <f t="shared" si="258"/>
      </c>
      <c r="D400" s="266"/>
      <c r="E400" s="266"/>
      <c r="F400" s="267"/>
      <c r="G400" s="145">
        <f t="shared" si="254"/>
        <v/>
      </c>
      <c r="H400" s="145">
        <f t="shared" si="255"/>
        <v/>
      </c>
      <c r="I400" s="266"/>
      <c r="J400" s="267"/>
      <c r="K400" s="267"/>
      <c r="L400" s="266"/>
      <c r="M400" s="147">
        <f t="shared" si="256"/>
        <v/>
      </c>
      <c r="N400" s="267"/>
      <c r="O400" s="147">
        <f t="shared" si="257"/>
        <v/>
      </c>
      <c r="P400" s="268">
        <f>IF(AY400=1,"XT"&amp;COUNTIFS($A$3:A400,A400,$AY$3:AY400,1),"")</f>
        <v/>
      </c>
      <c r="Q400" s="152">
        <f>IF(R400="","",IFERROR(SUBSTITUTE(Разбивка_по_щитам!P400,CHAR(10)," "),""))</f>
        <v/>
      </c>
      <c r="R400" s="153">
        <f>IF(OR(Разбивка_по_щитам!H400="",Разбивка_по_щитам!H400=0),"",Разбивка_по_щитам!H400)</f>
        <v/>
      </c>
      <c r="S400" s="154">
        <f>IF(R400="","",IFERROR(Разбивка_по_щитам!J400&amp;"",""))</f>
        <v/>
      </c>
      <c r="T400" s="155">
        <f>IF(R400="","",IFERROR(--Разбивка_по_щитам!L400,""))</f>
        <v/>
      </c>
      <c r="U400" s="155">
        <f>IF(R400="","",IFERROR(--Разбивка_по_щитам!K400,""))</f>
        <v/>
      </c>
      <c r="V400" s="138">
        <f>IF(R400="","",IFERROR(IF(Разбивка_по_щитам!M400=0,"",Разбивка_по_щитам!M400),""))</f>
        <v/>
      </c>
      <c r="W400" s="156">
        <f t="shared" si="259"/>
        <v/>
      </c>
      <c r="X400" s="157">
        <f t="shared" si="260"/>
        <v/>
      </c>
      <c r="Y400" s="266"/>
      <c r="Z400" s="158">
        <f t="shared" si="261"/>
        <v/>
      </c>
      <c r="AA400" s="160">
        <f t="shared" si="262"/>
        <v/>
      </c>
      <c r="AB400" s="160">
        <f>IF(R400="","",IFERROR(LOOKUP(INDEX(Справочная!$I$4:$I$19,MATCH(VLOOKUP(R400,Исходные_данные,22,FALSE),Справочная!$J$4:$J$19,0)+1),{6,10,16,20,25,32,40,50,63,80,100,125}),""))</f>
        <v/>
      </c>
      <c r="AC400" s="160">
        <f t="shared" si="263"/>
        <v/>
      </c>
      <c r="AD400" s="161">
        <f t="shared" si="264"/>
        <v/>
      </c>
      <c r="AE400" s="161">
        <f>IF(AND(R400="",G400=""),"",_xlfn.TEXTJOIN("; ",TRUE,IF(AND(R400&lt;&gt;"",V400=""),"нет фазы",""),IF(AND(R400&lt;&gt;"",N(T400)=0),"нет мощности",""),IF(AND(P400&lt;&gt;"",COUNTIFS($A$3:$A$1000,A400,$P$3:$P$1000,P400)&gt;1),"дубль клеммы "&amp;P400,""),IF(AND(W400&lt;&gt;"",W400&lt;&gt;"ok"),W400,""),IF(X400&lt;&gt;"",X400,""),IF(AND(ISNUMBER(SEARCH("(5х",Q400)),N(AK400)=1),"5 жил на 1 фазе",""),IF(AND(AL400="R",E400&lt;&gt;"",N(AS400)=0),"розетка без 30 мА",""),IF(IFERROR(_xlfn.NUMBERVALUE(MID(Q400,FIND("-",Q400,FIND("L=",Q400))+1,FIND("%",Q400)-FIND("-",Q400,FIND("L=",Q400))-1),","),0)&gt;4,"потери &gt; 4 %","")))</f>
      </c>
      <c r="AF400" s="129">
        <f>IF(E400&lt;&gt;"",COUNTIFS($A$3:A400,A400,$E$3:E400,"?*"),IF(OR(A400&lt;&gt;A399,Y400="вручную"),"",AF399))</f>
      </c>
      <c r="AG400" s="129">
        <f t="shared" si="265"/>
      </c>
      <c r="AH400" s="129">
        <f t="shared" si="266"/>
        <v/>
      </c>
      <c r="AI400" s="129">
        <f t="shared" si="267"/>
        <v/>
      </c>
      <c r="AJ400" s="129">
        <f t="shared" si="268"/>
        <v/>
      </c>
      <c r="AK400" s="129">
        <f t="shared" si="269"/>
        <v/>
      </c>
      <c r="AL400" s="129">
        <f t="shared" si="270"/>
        <v/>
      </c>
      <c r="AM400" s="129">
        <f t="shared" si="271"/>
      </c>
      <c r="AN400" s="129">
        <f t="shared" si="272"/>
      </c>
      <c r="AO400" s="129">
        <f t="shared" si="273"/>
        <v/>
      </c>
      <c r="AP400" s="129">
        <f t="shared" si="274"/>
        <v/>
      </c>
      <c r="AQ400" s="129">
        <f t="shared" si="275"/>
        <v/>
      </c>
      <c r="AR400" s="129">
        <f t="shared" si="276"/>
        <v/>
      </c>
      <c r="AS400" s="129">
        <f t="shared" si="277"/>
        <v/>
      </c>
      <c r="AT400" s="129">
        <f t="shared" si="278"/>
        <v/>
      </c>
      <c r="AU400" s="129">
        <f t="shared" si="279"/>
        <v/>
      </c>
      <c r="AV400" s="129">
        <f t="shared" si="280"/>
        <v/>
      </c>
      <c r="AW400" s="129">
        <f>IF(AV400="","",AV400&amp;"."&amp;COUNTIFS($A$3:A400,A400,$AV$3:AV400,AV400))</f>
        <v/>
      </c>
      <c r="AX400" s="129">
        <f t="shared" si="281"/>
        <v/>
      </c>
      <c r="AY400" s="129">
        <f>IF(N400="б/к",0,IF(OR(ISNUMBER(SEARCH("L=",Разбивка_по_щитам!P400)),N400="+",N400="="),1,0))</f>
      </c>
      <c r="AZ400" s="129">
        <f t="shared" si="282"/>
      </c>
      <c r="BA400" s="129">
        <f t="shared" si="283"/>
      </c>
      <c r="BB400" s="129">
        <f t="shared" si="284"/>
      </c>
      <c r="BD400" s="129">
        <f t="shared" si="285"/>
      </c>
      <c r="BE400" s="129">
        <f t="shared" si="286"/>
      </c>
      <c r="BF400" s="129">
        <f t="shared" si="287"/>
      </c>
      <c r="BG400" s="129">
        <f t="shared" si="288"/>
        <v/>
      </c>
      <c r="BH400" s="129">
        <f t="shared" si="289"/>
        <v/>
      </c>
      <c r="BI400" s="129">
        <f t="shared" si="290"/>
        <v/>
      </c>
      <c r="BJ400" s="129">
        <f t="shared" si="291"/>
        <v/>
      </c>
      <c r="BK400" s="129">
        <f>IF(R400="","",IF(OR(BY400="",BY400=0),"BOX",IFERROR(IF(VLOOKUP(BY400,УГО_блоки,3,FALSE)&amp;""&lt;&gt;"",VLOOKUP(BY400,УГО_блоки,3,FALSE),VLOOKUP(BY400,УГО_блоки,2,FALSE)),BY400)))</f>
      </c>
      <c r="BL400" s="129">
        <f t="shared" si="293"/>
      </c>
      <c r="BM400" s="129">
        <f>IF(H400="","",IF(COUNTIF($H$3:H400,H400)=1,MAX($BM$2:BM399)+1,""))</f>
      </c>
      <c r="BN400" s="129">
        <f>IF(I400="","",IF(COUNTIF($I$3:I400,I400)+COUNTIF($J$2:J399,I400)+COUNTIF($K$2:K399,I400)=1,MAX($BN$2:BP399)+1,""))</f>
      </c>
      <c r="BO400" s="129">
        <f>IF(J400="","",IF(COUNTIF($I$3:I400,J400)+COUNTIF($J$3:J400,J400)+COUNTIF($K$2:K399,J400)=1,MAX($BN$2:BP399,BN400)+1,""))</f>
      </c>
      <c r="BP400" s="129">
        <f>IF(K400="","",IF(COUNTIF($I$3:I400,K400)+COUNTIF($J$3:J400,K400)+COUNTIF($K$3:K400,K400)=1,MAX($BN$2:BP399,BN400,BO400)+1,""))</f>
      </c>
      <c r="BQ400" s="129">
        <f>IF(AY400=1,IFERROR(MID(Q400,FIND(" (",Q400)+2,FIND(")",Q400,FIND(" (",Q400))-FIND(" (",Q400)-2),"?"),"")</f>
      </c>
      <c r="BR400" s="129">
        <f>IF(BQ400="","",IF(COUNTIF($BQ$3:BQ400,BQ400)=1,MAX($BR$2:BR399)+1,""))</f>
      </c>
      <c r="BS400" s="129">
        <f>IF(AW400="","",COUNTIF($AW$3:AW400,"?*"))</f>
      </c>
      <c r="BT400" s="129">
        <f>IF(OR(AW400="",AI400=""),"",IF(COUNTIFS($AW$3:AW400,"?*",$AI$3:AI400,AI400)=1,MAX($BT$2:BT399)+1,""))</f>
      </c>
      <c r="BU400" s="129">
        <f>IF(AE400="",0,IF(OR(ISNUMBER(SEARCH("дубль",AE400)),ISNUMBER(SEARCH("ПЕРЕГРУЗ",AE400)),ISNUMBER(SEARCH("ЗАЩИЩ",AE400)),ISNUMBER(SEARCH("КАНАЛ",AE400)),ISNUMBER(SEARCH("без 30",AE400))),2,1))</f>
      </c>
      <c r="BV400" s="129">
        <f>IF(R400="","",COUNTIF($R$3:R400,"?*"))</f>
      </c>
      <c r="BW400" s="129">
        <f>IF(AY400&lt;&gt;1,0,IF(MAX(IFERROR(--VLOOKUP(R400,УГО_спр,5,FALSE),0),IFERROR(--VLOOKUP(AL400,УГО_спр,5,FALSE),0),IFERROR(--VLOOKUP(LEFT(AL400,2),УГО_спр,5,FALSE),0))&gt;0,MAX(IFERROR(--VLOOKUP(R400,УГО_спр,5,FALSE),0),IFERROR(--VLOOKUP(AL400,УГО_спр,5,FALSE),0),IFERROR(--VLOOKUP(LEFT(AL400,2),УГО_спр,5,FALSE),0)),IF(IFERROR(--LEFT(SUBSTITUTE(BQ400,"x","х"),FIND("х",SUBSTITUTE(BQ400,"x","х"))-1),3)&gt;3,Каталог!$S$9,1)))</f>
      </c>
      <c r="BX400" s="129">
        <f>IF(AY400&lt;&gt;1,0,MAX(0,IFERROR(--LEFT(SUBSTITUTE(BQ400,"x","х"),FIND("х",SUBSTITUTE(BQ400,"x","х"))-1),3)-3*BW400))</f>
      </c>
      <c r="BY400" s="129">
        <f>IF(R400="","",IFERROR(VLOOKUP(R400,УГО_спр,2,FALSE),IFERROR(VLOOKUP(AL400,УГО_спр,2,FALSE),IFERROR(VLOOKUP(LEFT(AL400,2),УГО_спр,2,FALSE),""))))</f>
      </c>
    </row>
    <row r="401" spans="1:64" x14ac:dyDescent="0.3">
      <c r="A401" s="135">
        <f>IF(Разбивка_по_щитам!F401=0,"",Разбивка_по_щитам!F401)</f>
      </c>
      <c r="B401" s="138">
        <f>IF(A401="","",Разбивка_по_щитам!C401)</f>
      </c>
      <c r="C401" s="138">
        <f t="shared" si="258"/>
      </c>
      <c r="D401" s="266"/>
      <c r="E401" s="266"/>
      <c r="F401" s="267"/>
      <c r="G401" s="145">
        <f t="shared" si="254"/>
        <v/>
      </c>
      <c r="H401" s="145">
        <f t="shared" si="255"/>
        <v/>
      </c>
      <c r="I401" s="266"/>
      <c r="J401" s="267"/>
      <c r="K401" s="267"/>
      <c r="L401" s="266"/>
      <c r="M401" s="147">
        <f t="shared" si="256"/>
        <v/>
      </c>
      <c r="N401" s="267"/>
      <c r="O401" s="147">
        <f t="shared" si="257"/>
        <v/>
      </c>
      <c r="P401" s="268">
        <f>IF(AY401=1,"XT"&amp;COUNTIFS($A$3:A401,A401,$AY$3:AY401,1),"")</f>
        <v/>
      </c>
      <c r="Q401" s="152">
        <f>IF(R401="","",IFERROR(SUBSTITUTE(Разбивка_по_щитам!P401,CHAR(10)," "),""))</f>
        <v/>
      </c>
      <c r="R401" s="153">
        <f>IF(OR(Разбивка_по_щитам!H401="",Разбивка_по_щитам!H401=0),"",Разбивка_по_щитам!H401)</f>
        <v/>
      </c>
      <c r="S401" s="154">
        <f>IF(R401="","",IFERROR(Разбивка_по_щитам!J401&amp;"",""))</f>
        <v/>
      </c>
      <c r="T401" s="155">
        <f>IF(R401="","",IFERROR(--Разбивка_по_щитам!L401,""))</f>
        <v/>
      </c>
      <c r="U401" s="155">
        <f>IF(R401="","",IFERROR(--Разбивка_по_щитам!K401,""))</f>
        <v/>
      </c>
      <c r="V401" s="138">
        <f>IF(R401="","",IFERROR(IF(Разбивка_по_щитам!M401=0,"",Разбивка_по_щитам!M401),""))</f>
        <v/>
      </c>
      <c r="W401" s="156">
        <f t="shared" si="259"/>
        <v/>
      </c>
      <c r="X401" s="157">
        <f t="shared" si="260"/>
        <v/>
      </c>
      <c r="Y401" s="266"/>
      <c r="Z401" s="158">
        <f t="shared" si="261"/>
        <v/>
      </c>
      <c r="AA401" s="160">
        <f t="shared" si="262"/>
        <v/>
      </c>
      <c r="AB401" s="160">
        <f>IF(R401="","",IFERROR(LOOKUP(INDEX(Справочная!$I$4:$I$19,MATCH(VLOOKUP(R401,Исходные_данные,22,FALSE),Справочная!$J$4:$J$19,0)+1),{6,10,16,20,25,32,40,50,63,80,100,125}),""))</f>
        <v/>
      </c>
      <c r="AC401" s="160">
        <f t="shared" si="263"/>
        <v/>
      </c>
      <c r="AD401" s="161">
        <f t="shared" si="264"/>
        <v/>
      </c>
      <c r="AE401" s="161">
        <f>IF(AND(R401="",G401=""),"",_xlfn.TEXTJOIN("; ",TRUE,IF(AND(R401&lt;&gt;"",V401=""),"нет фазы",""),IF(AND(R401&lt;&gt;"",N(T401)=0),"нет мощности",""),IF(AND(P401&lt;&gt;"",COUNTIFS($A$3:$A$1000,A401,$P$3:$P$1000,P401)&gt;1),"дубль клеммы "&amp;P401,""),IF(AND(W401&lt;&gt;"",W401&lt;&gt;"ok"),W401,""),IF(X401&lt;&gt;"",X401,""),IF(AND(ISNUMBER(SEARCH("(5х",Q401)),N(AK401)=1),"5 жил на 1 фазе",""),IF(AND(AL401="R",E401&lt;&gt;"",N(AS401)=0),"розетка без 30 мА",""),IF(IFERROR(_xlfn.NUMBERVALUE(MID(Q401,FIND("-",Q401,FIND("L=",Q401))+1,FIND("%",Q401)-FIND("-",Q401,FIND("L=",Q401))-1),","),0)&gt;4,"потери &gt; 4 %","")))</f>
      </c>
      <c r="AF401" s="129">
        <f>IF(E401&lt;&gt;"",COUNTIFS($A$3:A401,A401,$E$3:E401,"?*"),IF(OR(A401&lt;&gt;A400,Y401="вручную"),"",AF400))</f>
      </c>
      <c r="AG401" s="129">
        <f t="shared" si="265"/>
      </c>
      <c r="AH401" s="129">
        <f t="shared" si="266"/>
        <v/>
      </c>
      <c r="AI401" s="129">
        <f t="shared" si="267"/>
        <v/>
      </c>
      <c r="AJ401" s="129">
        <f t="shared" si="268"/>
        <v/>
      </c>
      <c r="AK401" s="129">
        <f t="shared" si="269"/>
        <v/>
      </c>
      <c r="AL401" s="129">
        <f t="shared" si="270"/>
        <v/>
      </c>
      <c r="AM401" s="129">
        <f t="shared" si="271"/>
      </c>
      <c r="AN401" s="129">
        <f t="shared" si="272"/>
      </c>
      <c r="AO401" s="129">
        <f t="shared" si="273"/>
        <v/>
      </c>
      <c r="AP401" s="129">
        <f t="shared" si="274"/>
        <v/>
      </c>
      <c r="AQ401" s="129">
        <f t="shared" si="275"/>
        <v/>
      </c>
      <c r="AR401" s="129">
        <f t="shared" si="276"/>
        <v/>
      </c>
      <c r="AS401" s="129">
        <f t="shared" si="277"/>
        <v/>
      </c>
      <c r="AT401" s="129">
        <f t="shared" si="278"/>
        <v/>
      </c>
      <c r="AU401" s="129">
        <f t="shared" si="279"/>
        <v/>
      </c>
      <c r="AV401" s="129">
        <f t="shared" si="280"/>
        <v/>
      </c>
      <c r="AW401" s="129">
        <f>IF(AV401="","",AV401&amp;"."&amp;COUNTIFS($A$3:A401,A401,$AV$3:AV401,AV401))</f>
        <v/>
      </c>
      <c r="AX401" s="129">
        <f t="shared" si="281"/>
        <v/>
      </c>
      <c r="AY401" s="129">
        <f>IF(N401="б/к",0,IF(OR(ISNUMBER(SEARCH("L=",Разбивка_по_щитам!P401)),N401="+",N401="="),1,0))</f>
      </c>
      <c r="AZ401" s="129">
        <f t="shared" si="282"/>
      </c>
      <c r="BA401" s="129">
        <f t="shared" si="283"/>
      </c>
      <c r="BB401" s="129">
        <f t="shared" si="284"/>
      </c>
      <c r="BD401" s="129">
        <f t="shared" si="285"/>
      </c>
      <c r="BE401" s="129">
        <f t="shared" si="286"/>
      </c>
      <c r="BF401" s="129">
        <f t="shared" si="287"/>
      </c>
      <c r="BG401" s="129">
        <f t="shared" si="288"/>
        <v/>
      </c>
      <c r="BH401" s="129">
        <f t="shared" si="289"/>
        <v/>
      </c>
      <c r="BI401" s="129">
        <f t="shared" si="290"/>
        <v/>
      </c>
      <c r="BJ401" s="129">
        <f t="shared" si="291"/>
        <v/>
      </c>
      <c r="BK401" s="129">
        <f>IF(R401="","",IF(OR(BY401="",BY401=0),"BOX",IFERROR(IF(VLOOKUP(BY401,УГО_блоки,3,FALSE)&amp;""&lt;&gt;"",VLOOKUP(BY401,УГО_блоки,3,FALSE),VLOOKUP(BY401,УГО_блоки,2,FALSE)),BY401)))</f>
      </c>
      <c r="BL401" s="129">
        <f t="shared" si="293"/>
      </c>
      <c r="BM401" s="129">
        <f>IF(H401="","",IF(COUNTIF($H$3:H401,H401)=1,MAX($BM$2:BM400)+1,""))</f>
      </c>
      <c r="BN401" s="129">
        <f>IF(I401="","",IF(COUNTIF($I$3:I401,I401)+COUNTIF($J$2:J400,I401)+COUNTIF($K$2:K400,I401)=1,MAX($BN$2:BP400)+1,""))</f>
      </c>
      <c r="BO401" s="129">
        <f>IF(J401="","",IF(COUNTIF($I$3:I401,J401)+COUNTIF($J$3:J401,J401)+COUNTIF($K$2:K400,J401)=1,MAX($BN$2:BP400,BN401)+1,""))</f>
      </c>
      <c r="BP401" s="129">
        <f>IF(K401="","",IF(COUNTIF($I$3:I401,K401)+COUNTIF($J$3:J401,K401)+COUNTIF($K$3:K401,K401)=1,MAX($BN$2:BP400,BN401,BO401)+1,""))</f>
      </c>
      <c r="BQ401" s="129">
        <f>IF(AY401=1,IFERROR(MID(Q401,FIND(" (",Q401)+2,FIND(")",Q401,FIND(" (",Q401))-FIND(" (",Q401)-2),"?"),"")</f>
      </c>
      <c r="BR401" s="129">
        <f>IF(BQ401="","",IF(COUNTIF($BQ$3:BQ401,BQ401)=1,MAX($BR$2:BR400)+1,""))</f>
      </c>
      <c r="BS401" s="129">
        <f>IF(AW401="","",COUNTIF($AW$3:AW401,"?*"))</f>
      </c>
      <c r="BT401" s="129">
        <f>IF(OR(AW401="",AI401=""),"",IF(COUNTIFS($AW$3:AW401,"?*",$AI$3:AI401,AI401)=1,MAX($BT$2:BT400)+1,""))</f>
      </c>
      <c r="BU401" s="129">
        <f>IF(AE401="",0,IF(OR(ISNUMBER(SEARCH("дубль",AE401)),ISNUMBER(SEARCH("ПЕРЕГРУЗ",AE401)),ISNUMBER(SEARCH("ЗАЩИЩ",AE401)),ISNUMBER(SEARCH("КАНАЛ",AE401)),ISNUMBER(SEARCH("без 30",AE401))),2,1))</f>
      </c>
      <c r="BV401" s="129">
        <f>IF(R401="","",COUNTIF($R$3:R401,"?*"))</f>
      </c>
      <c r="BW401" s="129">
        <f>IF(AY401&lt;&gt;1,0,IF(MAX(IFERROR(--VLOOKUP(R401,УГО_спр,5,FALSE),0),IFERROR(--VLOOKUP(AL401,УГО_спр,5,FALSE),0),IFERROR(--VLOOKUP(LEFT(AL401,2),УГО_спр,5,FALSE),0))&gt;0,MAX(IFERROR(--VLOOKUP(R401,УГО_спр,5,FALSE),0),IFERROR(--VLOOKUP(AL401,УГО_спр,5,FALSE),0),IFERROR(--VLOOKUP(LEFT(AL401,2),УГО_спр,5,FALSE),0)),IF(IFERROR(--LEFT(SUBSTITUTE(BQ401,"x","х"),FIND("х",SUBSTITUTE(BQ401,"x","х"))-1),3)&gt;3,Каталог!$S$9,1)))</f>
      </c>
      <c r="BX401" s="129">
        <f>IF(AY401&lt;&gt;1,0,MAX(0,IFERROR(--LEFT(SUBSTITUTE(BQ401,"x","х"),FIND("х",SUBSTITUTE(BQ401,"x","х"))-1),3)-3*BW401))</f>
      </c>
      <c r="BY401" s="129">
        <f>IF(R401="","",IFERROR(VLOOKUP(R401,УГО_спр,2,FALSE),IFERROR(VLOOKUP(AL401,УГО_спр,2,FALSE),IFERROR(VLOOKUP(LEFT(AL401,2),УГО_спр,2,FALSE),""))))</f>
      </c>
    </row>
    <row r="402" spans="1:64" x14ac:dyDescent="0.3">
      <c r="A402" s="135">
        <f>IF(Разбивка_по_щитам!F402=0,"",Разбивка_по_щитам!F402)</f>
      </c>
      <c r="B402" s="138">
        <f>IF(A402="","",Разбивка_по_щитам!C402)</f>
      </c>
      <c r="C402" s="138">
        <f t="shared" si="258"/>
      </c>
      <c r="D402" s="266"/>
      <c r="E402" s="266"/>
      <c r="F402" s="267"/>
      <c r="G402" s="145">
        <f t="shared" si="254"/>
        <v/>
      </c>
      <c r="H402" s="145">
        <f t="shared" si="255"/>
        <v/>
      </c>
      <c r="I402" s="266"/>
      <c r="J402" s="267"/>
      <c r="K402" s="267"/>
      <c r="L402" s="266"/>
      <c r="M402" s="147">
        <f t="shared" si="256"/>
        <v/>
      </c>
      <c r="N402" s="267"/>
      <c r="O402" s="147">
        <f t="shared" si="257"/>
        <v/>
      </c>
      <c r="P402" s="268">
        <f>IF(AY402=1,"XT"&amp;COUNTIFS($A$3:A402,A402,$AY$3:AY402,1),"")</f>
        <v/>
      </c>
      <c r="Q402" s="152">
        <f>IF(R402="","",IFERROR(SUBSTITUTE(Разбивка_по_щитам!P402,CHAR(10)," "),""))</f>
        <v/>
      </c>
      <c r="R402" s="153">
        <f>IF(OR(Разбивка_по_щитам!H402="",Разбивка_по_щитам!H402=0),"",Разбивка_по_щитам!H402)</f>
        <v/>
      </c>
      <c r="S402" s="154">
        <f>IF(R402="","",IFERROR(Разбивка_по_щитам!J402&amp;"",""))</f>
        <v/>
      </c>
      <c r="T402" s="155">
        <f>IF(R402="","",IFERROR(--Разбивка_по_щитам!L402,""))</f>
        <v/>
      </c>
      <c r="U402" s="155">
        <f>IF(R402="","",IFERROR(--Разбивка_по_щитам!K402,""))</f>
        <v/>
      </c>
      <c r="V402" s="138">
        <f>IF(R402="","",IFERROR(IF(Разбивка_по_щитам!M402=0,"",Разбивка_по_щитам!M402),""))</f>
        <v/>
      </c>
      <c r="W402" s="156">
        <f t="shared" si="259"/>
        <v/>
      </c>
      <c r="X402" s="157">
        <f t="shared" si="260"/>
        <v/>
      </c>
      <c r="Y402" s="266"/>
      <c r="Z402" s="158">
        <f t="shared" si="261"/>
        <v/>
      </c>
      <c r="AA402" s="160">
        <f t="shared" si="262"/>
        <v/>
      </c>
      <c r="AB402" s="160">
        <f>IF(R402="","",IFERROR(LOOKUP(INDEX(Справочная!$I$4:$I$19,MATCH(VLOOKUP(R402,Исходные_данные,22,FALSE),Справочная!$J$4:$J$19,0)+1),{6,10,16,20,25,32,40,50,63,80,100,125}),""))</f>
        <v/>
      </c>
      <c r="AC402" s="160">
        <f t="shared" si="263"/>
        <v/>
      </c>
      <c r="AD402" s="161">
        <f t="shared" si="264"/>
        <v/>
      </c>
      <c r="AE402" s="161">
        <f>IF(AND(R402="",G402=""),"",_xlfn.TEXTJOIN("; ",TRUE,IF(AND(R402&lt;&gt;"",V402=""),"нет фазы",""),IF(AND(R402&lt;&gt;"",N(T402)=0),"нет мощности",""),IF(AND(P402&lt;&gt;"",COUNTIFS($A$3:$A$1000,A402,$P$3:$P$1000,P402)&gt;1),"дубль клеммы "&amp;P402,""),IF(AND(W402&lt;&gt;"",W402&lt;&gt;"ok"),W402,""),IF(X402&lt;&gt;"",X402,""),IF(AND(ISNUMBER(SEARCH("(5х",Q402)),N(AK402)=1),"5 жил на 1 фазе",""),IF(AND(AL402="R",E402&lt;&gt;"",N(AS402)=0),"розетка без 30 мА",""),IF(IFERROR(_xlfn.NUMBERVALUE(MID(Q402,FIND("-",Q402,FIND("L=",Q402))+1,FIND("%",Q402)-FIND("-",Q402,FIND("L=",Q402))-1),","),0)&gt;4,"потери &gt; 4 %","")))</f>
      </c>
      <c r="AF402" s="129">
        <f>IF(E402&lt;&gt;"",COUNTIFS($A$3:A402,A402,$E$3:E402,"?*"),IF(OR(A402&lt;&gt;A401,Y402="вручную"),"",AF401))</f>
      </c>
      <c r="AG402" s="129">
        <f t="shared" si="265"/>
      </c>
      <c r="AH402" s="129">
        <f t="shared" si="266"/>
        <v/>
      </c>
      <c r="AI402" s="129">
        <f t="shared" si="267"/>
        <v/>
      </c>
      <c r="AJ402" s="129">
        <f t="shared" si="268"/>
        <v/>
      </c>
      <c r="AK402" s="129">
        <f t="shared" si="269"/>
        <v/>
      </c>
      <c r="AL402" s="129">
        <f t="shared" si="270"/>
        <v/>
      </c>
      <c r="AM402" s="129">
        <f t="shared" si="271"/>
      </c>
      <c r="AN402" s="129">
        <f t="shared" si="272"/>
      </c>
      <c r="AO402" s="129">
        <f t="shared" si="273"/>
        <v/>
      </c>
      <c r="AP402" s="129">
        <f t="shared" si="274"/>
        <v/>
      </c>
      <c r="AQ402" s="129">
        <f t="shared" si="275"/>
        <v/>
      </c>
      <c r="AR402" s="129">
        <f t="shared" si="276"/>
        <v/>
      </c>
      <c r="AS402" s="129">
        <f t="shared" si="277"/>
        <v/>
      </c>
      <c r="AT402" s="129">
        <f t="shared" si="278"/>
        <v/>
      </c>
      <c r="AU402" s="129">
        <f t="shared" si="279"/>
        <v/>
      </c>
      <c r="AV402" s="129">
        <f t="shared" si="280"/>
        <v/>
      </c>
      <c r="AW402" s="129">
        <f>IF(AV402="","",AV402&amp;"."&amp;COUNTIFS($A$3:A402,A402,$AV$3:AV402,AV402))</f>
        <v/>
      </c>
      <c r="AX402" s="129">
        <f t="shared" si="281"/>
        <v/>
      </c>
      <c r="AY402" s="129">
        <f>IF(N402="б/к",0,IF(OR(ISNUMBER(SEARCH("L=",Разбивка_по_щитам!P402)),N402="+",N402="="),1,0))</f>
      </c>
      <c r="AZ402" s="129">
        <f t="shared" si="282"/>
      </c>
      <c r="BA402" s="129">
        <f t="shared" si="283"/>
      </c>
      <c r="BB402" s="129">
        <f t="shared" si="284"/>
      </c>
      <c r="BD402" s="129">
        <f t="shared" si="285"/>
      </c>
      <c r="BE402" s="129">
        <f t="shared" si="286"/>
      </c>
      <c r="BF402" s="129">
        <f t="shared" si="287"/>
      </c>
      <c r="BG402" s="129">
        <f t="shared" si="288"/>
        <v/>
      </c>
      <c r="BH402" s="129">
        <f t="shared" si="289"/>
        <v/>
      </c>
      <c r="BI402" s="129">
        <f t="shared" si="290"/>
        <v/>
      </c>
      <c r="BJ402" s="129">
        <f t="shared" si="291"/>
        <v/>
      </c>
      <c r="BK402" s="129">
        <f>IF(R402="","",IF(OR(BY402="",BY402=0),"BOX",IFERROR(IF(VLOOKUP(BY402,УГО_блоки,3,FALSE)&amp;""&lt;&gt;"",VLOOKUP(BY402,УГО_блоки,3,FALSE),VLOOKUP(BY402,УГО_блоки,2,FALSE)),BY402)))</f>
      </c>
      <c r="BL402" s="129">
        <f t="shared" si="293"/>
      </c>
      <c r="BM402" s="129">
        <f>IF(H402="","",IF(COUNTIF($H$3:H402,H402)=1,MAX($BM$2:BM401)+1,""))</f>
      </c>
      <c r="BN402" s="129">
        <f>IF(I402="","",IF(COUNTIF($I$3:I402,I402)+COUNTIF($J$2:J401,I402)+COUNTIF($K$2:K401,I402)=1,MAX($BN$2:BP401)+1,""))</f>
      </c>
      <c r="BO402" s="129">
        <f>IF(J402="","",IF(COUNTIF($I$3:I402,J402)+COUNTIF($J$3:J402,J402)+COUNTIF($K$2:K401,J402)=1,MAX($BN$2:BP401,BN402)+1,""))</f>
      </c>
      <c r="BP402" s="129">
        <f>IF(K402="","",IF(COUNTIF($I$3:I402,K402)+COUNTIF($J$3:J402,K402)+COUNTIF($K$3:K402,K402)=1,MAX($BN$2:BP401,BN402,BO402)+1,""))</f>
      </c>
      <c r="BQ402" s="129">
        <f>IF(AY402=1,IFERROR(MID(Q402,FIND(" (",Q402)+2,FIND(")",Q402,FIND(" (",Q402))-FIND(" (",Q402)-2),"?"),"")</f>
      </c>
      <c r="BR402" s="129">
        <f>IF(BQ402="","",IF(COUNTIF($BQ$3:BQ402,BQ402)=1,MAX($BR$2:BR401)+1,""))</f>
      </c>
      <c r="BS402" s="129">
        <f>IF(AW402="","",COUNTIF($AW$3:AW402,"?*"))</f>
      </c>
      <c r="BT402" s="129">
        <f>IF(OR(AW402="",AI402=""),"",IF(COUNTIFS($AW$3:AW402,"?*",$AI$3:AI402,AI402)=1,MAX($BT$2:BT401)+1,""))</f>
      </c>
      <c r="BU402" s="129">
        <f>IF(AE402="",0,IF(OR(ISNUMBER(SEARCH("дубль",AE402)),ISNUMBER(SEARCH("ПЕРЕГРУЗ",AE402)),ISNUMBER(SEARCH("ЗАЩИЩ",AE402)),ISNUMBER(SEARCH("КАНАЛ",AE402)),ISNUMBER(SEARCH("без 30",AE402))),2,1))</f>
      </c>
      <c r="BV402" s="129">
        <f>IF(R402="","",COUNTIF($R$3:R402,"?*"))</f>
      </c>
      <c r="BW402" s="129">
        <f>IF(AY402&lt;&gt;1,0,IF(MAX(IFERROR(--VLOOKUP(R402,УГО_спр,5,FALSE),0),IFERROR(--VLOOKUP(AL402,УГО_спр,5,FALSE),0),IFERROR(--VLOOKUP(LEFT(AL402,2),УГО_спр,5,FALSE),0))&gt;0,MAX(IFERROR(--VLOOKUP(R402,УГО_спр,5,FALSE),0),IFERROR(--VLOOKUP(AL402,УГО_спр,5,FALSE),0),IFERROR(--VLOOKUP(LEFT(AL402,2),УГО_спр,5,FALSE),0)),IF(IFERROR(--LEFT(SUBSTITUTE(BQ402,"x","х"),FIND("х",SUBSTITUTE(BQ402,"x","х"))-1),3)&gt;3,Каталог!$S$9,1)))</f>
      </c>
      <c r="BX402" s="129">
        <f>IF(AY402&lt;&gt;1,0,MAX(0,IFERROR(--LEFT(SUBSTITUTE(BQ402,"x","х"),FIND("х",SUBSTITUTE(BQ402,"x","х"))-1),3)-3*BW402))</f>
      </c>
      <c r="BY402" s="129">
        <f>IF(R402="","",IFERROR(VLOOKUP(R402,УГО_спр,2,FALSE),IFERROR(VLOOKUP(AL402,УГО_спр,2,FALSE),IFERROR(VLOOKUP(LEFT(AL402,2),УГО_спр,2,FALSE),""))))</f>
      </c>
    </row>
    <row r="403" spans="1:64" x14ac:dyDescent="0.3">
      <c r="A403" s="135">
        <f>IF(Разбивка_по_щитам!F403=0,"",Разбивка_по_щитам!F403)</f>
      </c>
      <c r="B403" s="138">
        <f>IF(A403="","",Разбивка_по_щитам!C403)</f>
      </c>
      <c r="C403" s="138">
        <f t="shared" si="258"/>
      </c>
      <c r="D403" s="266"/>
      <c r="E403" s="266"/>
      <c r="F403" s="267"/>
      <c r="G403" s="145">
        <f t="shared" si="254"/>
        <v/>
      </c>
      <c r="H403" s="145">
        <f t="shared" si="255"/>
        <v/>
      </c>
      <c r="I403" s="266"/>
      <c r="J403" s="267"/>
      <c r="K403" s="267"/>
      <c r="L403" s="266"/>
      <c r="M403" s="147">
        <f t="shared" si="256"/>
        <v/>
      </c>
      <c r="N403" s="267"/>
      <c r="O403" s="147">
        <f t="shared" si="257"/>
        <v/>
      </c>
      <c r="P403" s="268">
        <f>IF(AY403=1,"XT"&amp;COUNTIFS($A$3:A403,A403,$AY$3:AY403,1),"")</f>
        <v/>
      </c>
      <c r="Q403" s="152">
        <f>IF(R403="","",IFERROR(SUBSTITUTE(Разбивка_по_щитам!P403,CHAR(10)," "),""))</f>
        <v/>
      </c>
      <c r="R403" s="153">
        <f>IF(OR(Разбивка_по_щитам!H403="",Разбивка_по_щитам!H403=0),"",Разбивка_по_щитам!H403)</f>
        <v/>
      </c>
      <c r="S403" s="154">
        <f>IF(R403="","",IFERROR(Разбивка_по_щитам!J403&amp;"",""))</f>
        <v/>
      </c>
      <c r="T403" s="155">
        <f>IF(R403="","",IFERROR(--Разбивка_по_щитам!L403,""))</f>
        <v/>
      </c>
      <c r="U403" s="155">
        <f>IF(R403="","",IFERROR(--Разбивка_по_щитам!K403,""))</f>
        <v/>
      </c>
      <c r="V403" s="138">
        <f>IF(R403="","",IFERROR(IF(Разбивка_по_щитам!M403=0,"",Разбивка_по_щитам!M403),""))</f>
        <v/>
      </c>
      <c r="W403" s="156">
        <f t="shared" si="259"/>
        <v/>
      </c>
      <c r="X403" s="157">
        <f t="shared" si="260"/>
        <v/>
      </c>
      <c r="Y403" s="266"/>
      <c r="Z403" s="158">
        <f t="shared" si="261"/>
        <v/>
      </c>
      <c r="AA403" s="160">
        <f t="shared" si="262"/>
        <v/>
      </c>
      <c r="AB403" s="160">
        <f>IF(R403="","",IFERROR(LOOKUP(INDEX(Справочная!$I$4:$I$19,MATCH(VLOOKUP(R403,Исходные_данные,22,FALSE),Справочная!$J$4:$J$19,0)+1),{6,10,16,20,25,32,40,50,63,80,100,125}),""))</f>
        <v/>
      </c>
      <c r="AC403" s="160">
        <f t="shared" si="263"/>
        <v/>
      </c>
      <c r="AD403" s="161">
        <f t="shared" si="264"/>
        <v/>
      </c>
      <c r="AE403" s="161">
        <f>IF(AND(R403="",G403=""),"",_xlfn.TEXTJOIN("; ",TRUE,IF(AND(R403&lt;&gt;"",V403=""),"нет фазы",""),IF(AND(R403&lt;&gt;"",N(T403)=0),"нет мощности",""),IF(AND(P403&lt;&gt;"",COUNTIFS($A$3:$A$1000,A403,$P$3:$P$1000,P403)&gt;1),"дубль клеммы "&amp;P403,""),IF(AND(W403&lt;&gt;"",W403&lt;&gt;"ok"),W403,""),IF(X403&lt;&gt;"",X403,""),IF(AND(ISNUMBER(SEARCH("(5х",Q403)),N(AK403)=1),"5 жил на 1 фазе",""),IF(AND(AL403="R",E403&lt;&gt;"",N(AS403)=0),"розетка без 30 мА",""),IF(IFERROR(_xlfn.NUMBERVALUE(MID(Q403,FIND("-",Q403,FIND("L=",Q403))+1,FIND("%",Q403)-FIND("-",Q403,FIND("L=",Q403))-1),","),0)&gt;4,"потери &gt; 4 %","")))</f>
      </c>
      <c r="AF403" s="129">
        <f>IF(E403&lt;&gt;"",COUNTIFS($A$3:A403,A403,$E$3:E403,"?*"),IF(OR(A403&lt;&gt;A402,Y403="вручную"),"",AF402))</f>
      </c>
      <c r="AG403" s="129">
        <f t="shared" si="265"/>
      </c>
      <c r="AH403" s="129">
        <f t="shared" si="266"/>
        <v/>
      </c>
      <c r="AI403" s="129">
        <f t="shared" si="267"/>
        <v/>
      </c>
      <c r="AJ403" s="129">
        <f t="shared" si="268"/>
        <v/>
      </c>
      <c r="AK403" s="129">
        <f t="shared" si="269"/>
        <v/>
      </c>
      <c r="AL403" s="129">
        <f t="shared" si="270"/>
        <v/>
      </c>
      <c r="AM403" s="129">
        <f t="shared" si="271"/>
      </c>
      <c r="AN403" s="129">
        <f t="shared" si="272"/>
      </c>
      <c r="AO403" s="129">
        <f t="shared" si="273"/>
        <v/>
      </c>
      <c r="AP403" s="129">
        <f t="shared" si="274"/>
        <v/>
      </c>
      <c r="AQ403" s="129">
        <f t="shared" si="275"/>
        <v/>
      </c>
      <c r="AR403" s="129">
        <f t="shared" si="276"/>
        <v/>
      </c>
      <c r="AS403" s="129">
        <f t="shared" si="277"/>
        <v/>
      </c>
      <c r="AT403" s="129">
        <f t="shared" si="278"/>
        <v/>
      </c>
      <c r="AU403" s="129">
        <f t="shared" si="279"/>
        <v/>
      </c>
      <c r="AV403" s="129">
        <f t="shared" si="280"/>
        <v/>
      </c>
      <c r="AW403" s="129">
        <f>IF(AV403="","",AV403&amp;"."&amp;COUNTIFS($A$3:A403,A403,$AV$3:AV403,AV403))</f>
        <v/>
      </c>
      <c r="AX403" s="129">
        <f t="shared" si="281"/>
        <v/>
      </c>
      <c r="AY403" s="129">
        <f>IF(N403="б/к",0,IF(OR(ISNUMBER(SEARCH("L=",Разбивка_по_щитам!P403)),N403="+",N403="="),1,0))</f>
      </c>
      <c r="AZ403" s="129">
        <f t="shared" si="282"/>
      </c>
      <c r="BA403" s="129">
        <f t="shared" si="283"/>
      </c>
      <c r="BB403" s="129">
        <f t="shared" si="284"/>
      </c>
      <c r="BD403" s="129">
        <f t="shared" si="285"/>
      </c>
      <c r="BE403" s="129">
        <f t="shared" si="286"/>
      </c>
      <c r="BF403" s="129">
        <f t="shared" si="287"/>
      </c>
      <c r="BG403" s="129">
        <f t="shared" si="288"/>
        <v/>
      </c>
      <c r="BH403" s="129">
        <f t="shared" si="289"/>
        <v/>
      </c>
      <c r="BI403" s="129">
        <f t="shared" si="290"/>
        <v/>
      </c>
      <c r="BJ403" s="129">
        <f t="shared" si="291"/>
        <v/>
      </c>
      <c r="BK403" s="129">
        <f>IF(R403="","",IF(OR(BY403="",BY403=0),"BOX",IFERROR(IF(VLOOKUP(BY403,УГО_блоки,3,FALSE)&amp;""&lt;&gt;"",VLOOKUP(BY403,УГО_блоки,3,FALSE),VLOOKUP(BY403,УГО_блоки,2,FALSE)),BY403)))</f>
      </c>
      <c r="BL403" s="129">
        <f t="shared" si="293"/>
      </c>
      <c r="BM403" s="129">
        <f>IF(H403="","",IF(COUNTIF($H$3:H403,H403)=1,MAX($BM$2:BM402)+1,""))</f>
      </c>
      <c r="BN403" s="129">
        <f>IF(I403="","",IF(COUNTIF($I$3:I403,I403)+COUNTIF($J$2:J402,I403)+COUNTIF($K$2:K402,I403)=1,MAX($BN$2:BP402)+1,""))</f>
      </c>
      <c r="BO403" s="129">
        <f>IF(J403="","",IF(COUNTIF($I$3:I403,J403)+COUNTIF($J$3:J403,J403)+COUNTIF($K$2:K402,J403)=1,MAX($BN$2:BP402,BN403)+1,""))</f>
      </c>
      <c r="BP403" s="129">
        <f>IF(K403="","",IF(COUNTIF($I$3:I403,K403)+COUNTIF($J$3:J403,K403)+COUNTIF($K$3:K403,K403)=1,MAX($BN$2:BP402,BN403,BO403)+1,""))</f>
      </c>
      <c r="BQ403" s="129">
        <f>IF(AY403=1,IFERROR(MID(Q403,FIND(" (",Q403)+2,FIND(")",Q403,FIND(" (",Q403))-FIND(" (",Q403)-2),"?"),"")</f>
      </c>
      <c r="BR403" s="129">
        <f>IF(BQ403="","",IF(COUNTIF($BQ$3:BQ403,BQ403)=1,MAX($BR$2:BR402)+1,""))</f>
      </c>
      <c r="BS403" s="129">
        <f>IF(AW403="","",COUNTIF($AW$3:AW403,"?*"))</f>
      </c>
      <c r="BT403" s="129">
        <f>IF(OR(AW403="",AI403=""),"",IF(COUNTIFS($AW$3:AW403,"?*",$AI$3:AI403,AI403)=1,MAX($BT$2:BT402)+1,""))</f>
      </c>
      <c r="BU403" s="129">
        <f>IF(AE403="",0,IF(OR(ISNUMBER(SEARCH("дубль",AE403)),ISNUMBER(SEARCH("ПЕРЕГРУЗ",AE403)),ISNUMBER(SEARCH("ЗАЩИЩ",AE403)),ISNUMBER(SEARCH("КАНАЛ",AE403)),ISNUMBER(SEARCH("без 30",AE403))),2,1))</f>
      </c>
      <c r="BV403" s="129">
        <f>IF(R403="","",COUNTIF($R$3:R403,"?*"))</f>
      </c>
      <c r="BW403" s="129">
        <f>IF(AY403&lt;&gt;1,0,IF(MAX(IFERROR(--VLOOKUP(R403,УГО_спр,5,FALSE),0),IFERROR(--VLOOKUP(AL403,УГО_спр,5,FALSE),0),IFERROR(--VLOOKUP(LEFT(AL403,2),УГО_спр,5,FALSE),0))&gt;0,MAX(IFERROR(--VLOOKUP(R403,УГО_спр,5,FALSE),0),IFERROR(--VLOOKUP(AL403,УГО_спр,5,FALSE),0),IFERROR(--VLOOKUP(LEFT(AL403,2),УГО_спр,5,FALSE),0)),IF(IFERROR(--LEFT(SUBSTITUTE(BQ403,"x","х"),FIND("х",SUBSTITUTE(BQ403,"x","х"))-1),3)&gt;3,Каталог!$S$9,1)))</f>
      </c>
      <c r="BX403" s="129">
        <f>IF(AY403&lt;&gt;1,0,MAX(0,IFERROR(--LEFT(SUBSTITUTE(BQ403,"x","х"),FIND("х",SUBSTITUTE(BQ403,"x","х"))-1),3)-3*BW403))</f>
      </c>
      <c r="BY403" s="129">
        <f>IF(R403="","",IFERROR(VLOOKUP(R403,УГО_спр,2,FALSE),IFERROR(VLOOKUP(AL403,УГО_спр,2,FALSE),IFERROR(VLOOKUP(LEFT(AL403,2),УГО_спр,2,FALSE),""))))</f>
      </c>
    </row>
    <row r="404" spans="1:64" x14ac:dyDescent="0.3">
      <c r="A404" s="135">
        <f>IF(Разбивка_по_щитам!F404=0,"",Разбивка_по_щитам!F404)</f>
      </c>
      <c r="B404" s="138">
        <f>IF(A404="","",Разбивка_по_щитам!C404)</f>
      </c>
      <c r="C404" s="138">
        <f t="shared" si="258"/>
      </c>
      <c r="D404" s="266"/>
      <c r="E404" s="266"/>
      <c r="F404" s="267"/>
      <c r="G404" s="145">
        <f t="shared" si="254"/>
        <v/>
      </c>
      <c r="H404" s="145">
        <f t="shared" si="255"/>
        <v/>
      </c>
      <c r="I404" s="266"/>
      <c r="J404" s="267"/>
      <c r="K404" s="267"/>
      <c r="L404" s="266"/>
      <c r="M404" s="147">
        <f t="shared" si="256"/>
        <v/>
      </c>
      <c r="N404" s="267"/>
      <c r="O404" s="147">
        <f t="shared" si="257"/>
        <v/>
      </c>
      <c r="P404" s="268">
        <f>IF(AY404=1,"XT"&amp;COUNTIFS($A$3:A404,A404,$AY$3:AY404,1),"")</f>
        <v/>
      </c>
      <c r="Q404" s="152">
        <f>IF(R404="","",IFERROR(SUBSTITUTE(Разбивка_по_щитам!P404,CHAR(10)," "),""))</f>
        <v/>
      </c>
      <c r="R404" s="153">
        <f>IF(OR(Разбивка_по_щитам!H404="",Разбивка_по_щитам!H404=0),"",Разбивка_по_щитам!H404)</f>
        <v/>
      </c>
      <c r="S404" s="154">
        <f>IF(R404="","",IFERROR(Разбивка_по_щитам!J404&amp;"",""))</f>
        <v/>
      </c>
      <c r="T404" s="155">
        <f>IF(R404="","",IFERROR(--Разбивка_по_щитам!L404,""))</f>
        <v/>
      </c>
      <c r="U404" s="155">
        <f>IF(R404="","",IFERROR(--Разбивка_по_щитам!K404,""))</f>
        <v/>
      </c>
      <c r="V404" s="138">
        <f>IF(R404="","",IFERROR(IF(Разбивка_по_щитам!M404=0,"",Разбивка_по_щитам!M404),""))</f>
        <v/>
      </c>
      <c r="W404" s="156">
        <f t="shared" si="259"/>
        <v/>
      </c>
      <c r="X404" s="157">
        <f t="shared" si="260"/>
        <v/>
      </c>
      <c r="Y404" s="266"/>
      <c r="Z404" s="158">
        <f t="shared" si="261"/>
        <v/>
      </c>
      <c r="AA404" s="160">
        <f t="shared" si="262"/>
        <v/>
      </c>
      <c r="AB404" s="160">
        <f>IF(R404="","",IFERROR(LOOKUP(INDEX(Справочная!$I$4:$I$19,MATCH(VLOOKUP(R404,Исходные_данные,22,FALSE),Справочная!$J$4:$J$19,0)+1),{6,10,16,20,25,32,40,50,63,80,100,125}),""))</f>
        <v/>
      </c>
      <c r="AC404" s="160">
        <f t="shared" si="263"/>
        <v/>
      </c>
      <c r="AD404" s="161">
        <f t="shared" si="264"/>
        <v/>
      </c>
      <c r="AE404" s="161">
        <f>IF(AND(R404="",G404=""),"",_xlfn.TEXTJOIN("; ",TRUE,IF(AND(R404&lt;&gt;"",V404=""),"нет фазы",""),IF(AND(R404&lt;&gt;"",N(T404)=0),"нет мощности",""),IF(AND(P404&lt;&gt;"",COUNTIFS($A$3:$A$1000,A404,$P$3:$P$1000,P404)&gt;1),"дубль клеммы "&amp;P404,""),IF(AND(W404&lt;&gt;"",W404&lt;&gt;"ok"),W404,""),IF(X404&lt;&gt;"",X404,""),IF(AND(ISNUMBER(SEARCH("(5х",Q404)),N(AK404)=1),"5 жил на 1 фазе",""),IF(AND(AL404="R",E404&lt;&gt;"",N(AS404)=0),"розетка без 30 мА",""),IF(IFERROR(_xlfn.NUMBERVALUE(MID(Q404,FIND("-",Q404,FIND("L=",Q404))+1,FIND("%",Q404)-FIND("-",Q404,FIND("L=",Q404))-1),","),0)&gt;4,"потери &gt; 4 %","")))</f>
      </c>
      <c r="AF404" s="129">
        <f>IF(E404&lt;&gt;"",COUNTIFS($A$3:A404,A404,$E$3:E404,"?*"),IF(OR(A404&lt;&gt;A403,Y404="вручную"),"",AF403))</f>
      </c>
      <c r="AG404" s="129">
        <f t="shared" si="265"/>
      </c>
      <c r="AH404" s="129">
        <f t="shared" si="266"/>
        <v/>
      </c>
      <c r="AI404" s="129">
        <f t="shared" si="267"/>
        <v/>
      </c>
      <c r="AJ404" s="129">
        <f t="shared" si="268"/>
        <v/>
      </c>
      <c r="AK404" s="129">
        <f t="shared" si="269"/>
        <v/>
      </c>
      <c r="AL404" s="129">
        <f t="shared" si="270"/>
        <v/>
      </c>
      <c r="AM404" s="129">
        <f t="shared" si="271"/>
      </c>
      <c r="AN404" s="129">
        <f t="shared" si="272"/>
      </c>
      <c r="AO404" s="129">
        <f t="shared" si="273"/>
        <v/>
      </c>
      <c r="AP404" s="129">
        <f t="shared" si="274"/>
        <v/>
      </c>
      <c r="AQ404" s="129">
        <f t="shared" si="275"/>
        <v/>
      </c>
      <c r="AR404" s="129">
        <f t="shared" si="276"/>
        <v/>
      </c>
      <c r="AS404" s="129">
        <f t="shared" si="277"/>
        <v/>
      </c>
      <c r="AT404" s="129">
        <f t="shared" si="278"/>
        <v/>
      </c>
      <c r="AU404" s="129">
        <f t="shared" si="279"/>
        <v/>
      </c>
      <c r="AV404" s="129">
        <f t="shared" si="280"/>
        <v/>
      </c>
      <c r="AW404" s="129">
        <f>IF(AV404="","",AV404&amp;"."&amp;COUNTIFS($A$3:A404,A404,$AV$3:AV404,AV404))</f>
        <v/>
      </c>
      <c r="AX404" s="129">
        <f t="shared" si="281"/>
        <v/>
      </c>
      <c r="AY404" s="129">
        <f>IF(N404="б/к",0,IF(OR(ISNUMBER(SEARCH("L=",Разбивка_по_щитам!P404)),N404="+",N404="="),1,0))</f>
      </c>
      <c r="AZ404" s="129">
        <f t="shared" si="282"/>
      </c>
      <c r="BA404" s="129">
        <f t="shared" si="283"/>
      </c>
      <c r="BB404" s="129">
        <f t="shared" si="284"/>
      </c>
      <c r="BD404" s="129">
        <f t="shared" si="285"/>
      </c>
      <c r="BE404" s="129">
        <f t="shared" si="286"/>
      </c>
      <c r="BF404" s="129">
        <f t="shared" si="287"/>
      </c>
      <c r="BG404" s="129">
        <f t="shared" si="288"/>
        <v/>
      </c>
      <c r="BH404" s="129">
        <f t="shared" si="289"/>
        <v/>
      </c>
      <c r="BI404" s="129">
        <f t="shared" si="290"/>
        <v/>
      </c>
      <c r="BJ404" s="129">
        <f t="shared" si="291"/>
        <v/>
      </c>
      <c r="BK404" s="129">
        <f>IF(R404="","",IF(OR(BY404="",BY404=0),"BOX",IFERROR(IF(VLOOKUP(BY404,УГО_блоки,3,FALSE)&amp;""&lt;&gt;"",VLOOKUP(BY404,УГО_блоки,3,FALSE),VLOOKUP(BY404,УГО_блоки,2,FALSE)),BY404)))</f>
      </c>
      <c r="BL404" s="129">
        <f t="shared" si="293"/>
      </c>
      <c r="BM404" s="129">
        <f>IF(H404="","",IF(COUNTIF($H$3:H404,H404)=1,MAX($BM$2:BM403)+1,""))</f>
      </c>
      <c r="BN404" s="129">
        <f>IF(I404="","",IF(COUNTIF($I$3:I404,I404)+COUNTIF($J$2:J403,I404)+COUNTIF($K$2:K403,I404)=1,MAX($BN$2:BP403)+1,""))</f>
      </c>
      <c r="BO404" s="129">
        <f>IF(J404="","",IF(COUNTIF($I$3:I404,J404)+COUNTIF($J$3:J404,J404)+COUNTIF($K$2:K403,J404)=1,MAX($BN$2:BP403,BN404)+1,""))</f>
      </c>
      <c r="BP404" s="129">
        <f>IF(K404="","",IF(COUNTIF($I$3:I404,K404)+COUNTIF($J$3:J404,K404)+COUNTIF($K$3:K404,K404)=1,MAX($BN$2:BP403,BN404,BO404)+1,""))</f>
      </c>
      <c r="BQ404" s="129">
        <f>IF(AY404=1,IFERROR(MID(Q404,FIND(" (",Q404)+2,FIND(")",Q404,FIND(" (",Q404))-FIND(" (",Q404)-2),"?"),"")</f>
      </c>
      <c r="BR404" s="129">
        <f>IF(BQ404="","",IF(COUNTIF($BQ$3:BQ404,BQ404)=1,MAX($BR$2:BR403)+1,""))</f>
      </c>
      <c r="BS404" s="129">
        <f>IF(AW404="","",COUNTIF($AW$3:AW404,"?*"))</f>
      </c>
      <c r="BT404" s="129">
        <f>IF(OR(AW404="",AI404=""),"",IF(COUNTIFS($AW$3:AW404,"?*",$AI$3:AI404,AI404)=1,MAX($BT$2:BT403)+1,""))</f>
      </c>
      <c r="BU404" s="129">
        <f>IF(AE404="",0,IF(OR(ISNUMBER(SEARCH("дубль",AE404)),ISNUMBER(SEARCH("ПЕРЕГРУЗ",AE404)),ISNUMBER(SEARCH("ЗАЩИЩ",AE404)),ISNUMBER(SEARCH("КАНАЛ",AE404)),ISNUMBER(SEARCH("без 30",AE404))),2,1))</f>
      </c>
      <c r="BV404" s="129">
        <f>IF(R404="","",COUNTIF($R$3:R404,"?*"))</f>
      </c>
      <c r="BW404" s="129">
        <f>IF(AY404&lt;&gt;1,0,IF(MAX(IFERROR(--VLOOKUP(R404,УГО_спр,5,FALSE),0),IFERROR(--VLOOKUP(AL404,УГО_спр,5,FALSE),0),IFERROR(--VLOOKUP(LEFT(AL404,2),УГО_спр,5,FALSE),0))&gt;0,MAX(IFERROR(--VLOOKUP(R404,УГО_спр,5,FALSE),0),IFERROR(--VLOOKUP(AL404,УГО_спр,5,FALSE),0),IFERROR(--VLOOKUP(LEFT(AL404,2),УГО_спр,5,FALSE),0)),IF(IFERROR(--LEFT(SUBSTITUTE(BQ404,"x","х"),FIND("х",SUBSTITUTE(BQ404,"x","х"))-1),3)&gt;3,Каталог!$S$9,1)))</f>
      </c>
      <c r="BX404" s="129">
        <f>IF(AY404&lt;&gt;1,0,MAX(0,IFERROR(--LEFT(SUBSTITUTE(BQ404,"x","х"),FIND("х",SUBSTITUTE(BQ404,"x","х"))-1),3)-3*BW404))</f>
      </c>
      <c r="BY404" s="129">
        <f>IF(R404="","",IFERROR(VLOOKUP(R404,УГО_спр,2,FALSE),IFERROR(VLOOKUP(AL404,УГО_спр,2,FALSE),IFERROR(VLOOKUP(LEFT(AL404,2),УГО_спр,2,FALSE),""))))</f>
      </c>
    </row>
    <row r="405" spans="1:64" x14ac:dyDescent="0.3">
      <c r="A405" s="135">
        <f>IF(Разбивка_по_щитам!F405=0,"",Разбивка_по_щитам!F405)</f>
      </c>
      <c r="B405" s="138">
        <f>IF(A405="","",Разбивка_по_щитам!C405)</f>
      </c>
      <c r="C405" s="138">
        <f t="shared" si="258"/>
      </c>
      <c r="D405" s="266"/>
      <c r="E405" s="266"/>
      <c r="F405" s="267"/>
      <c r="G405" s="145">
        <f t="shared" si="254"/>
        <v/>
      </c>
      <c r="H405" s="145">
        <f t="shared" si="255"/>
        <v/>
      </c>
      <c r="I405" s="266"/>
      <c r="J405" s="267"/>
      <c r="K405" s="267"/>
      <c r="L405" s="266"/>
      <c r="M405" s="147">
        <f t="shared" si="256"/>
        <v/>
      </c>
      <c r="N405" s="267"/>
      <c r="O405" s="147">
        <f t="shared" si="257"/>
        <v/>
      </c>
      <c r="P405" s="268">
        <f>IF(AY405=1,"XT"&amp;COUNTIFS($A$3:A405,A405,$AY$3:AY405,1),"")</f>
        <v/>
      </c>
      <c r="Q405" s="152">
        <f>IF(R405="","",IFERROR(SUBSTITUTE(Разбивка_по_щитам!P405,CHAR(10)," "),""))</f>
        <v/>
      </c>
      <c r="R405" s="153">
        <f>IF(OR(Разбивка_по_щитам!H405="",Разбивка_по_щитам!H405=0),"",Разбивка_по_щитам!H405)</f>
        <v/>
      </c>
      <c r="S405" s="154">
        <f>IF(R405="","",IFERROR(Разбивка_по_щитам!J405&amp;"",""))</f>
        <v/>
      </c>
      <c r="T405" s="155">
        <f>IF(R405="","",IFERROR(--Разбивка_по_щитам!L405,""))</f>
        <v/>
      </c>
      <c r="U405" s="155">
        <f>IF(R405="","",IFERROR(--Разбивка_по_щитам!K405,""))</f>
        <v/>
      </c>
      <c r="V405" s="138">
        <f>IF(R405="","",IFERROR(IF(Разбивка_по_щитам!M405=0,"",Разбивка_по_щитам!M405),""))</f>
        <v/>
      </c>
      <c r="W405" s="156">
        <f t="shared" si="259"/>
        <v/>
      </c>
      <c r="X405" s="157">
        <f t="shared" si="260"/>
        <v/>
      </c>
      <c r="Y405" s="266"/>
      <c r="Z405" s="158">
        <f t="shared" si="261"/>
        <v/>
      </c>
      <c r="AA405" s="160">
        <f t="shared" si="262"/>
        <v/>
      </c>
      <c r="AB405" s="160">
        <f>IF(R405="","",IFERROR(LOOKUP(INDEX(Справочная!$I$4:$I$19,MATCH(VLOOKUP(R405,Исходные_данные,22,FALSE),Справочная!$J$4:$J$19,0)+1),{6,10,16,20,25,32,40,50,63,80,100,125}),""))</f>
        <v/>
      </c>
      <c r="AC405" s="160">
        <f t="shared" si="263"/>
        <v/>
      </c>
      <c r="AD405" s="161">
        <f t="shared" si="264"/>
        <v/>
      </c>
      <c r="AE405" s="161">
        <f>IF(AND(R405="",G405=""),"",_xlfn.TEXTJOIN("; ",TRUE,IF(AND(R405&lt;&gt;"",V405=""),"нет фазы",""),IF(AND(R405&lt;&gt;"",N(T405)=0),"нет мощности",""),IF(AND(P405&lt;&gt;"",COUNTIFS($A$3:$A$1000,A405,$P$3:$P$1000,P405)&gt;1),"дубль клеммы "&amp;P405,""),IF(AND(W405&lt;&gt;"",W405&lt;&gt;"ok"),W405,""),IF(X405&lt;&gt;"",X405,""),IF(AND(ISNUMBER(SEARCH("(5х",Q405)),N(AK405)=1),"5 жил на 1 фазе",""),IF(AND(AL405="R",E405&lt;&gt;"",N(AS405)=0),"розетка без 30 мА",""),IF(IFERROR(_xlfn.NUMBERVALUE(MID(Q405,FIND("-",Q405,FIND("L=",Q405))+1,FIND("%",Q405)-FIND("-",Q405,FIND("L=",Q405))-1),","),0)&gt;4,"потери &gt; 4 %","")))</f>
      </c>
      <c r="AF405" s="129">
        <f>IF(E405&lt;&gt;"",COUNTIFS($A$3:A405,A405,$E$3:E405,"?*"),IF(OR(A405&lt;&gt;A404,Y405="вручную"),"",AF404))</f>
      </c>
      <c r="AG405" s="129">
        <f t="shared" si="265"/>
      </c>
      <c r="AH405" s="129">
        <f t="shared" si="266"/>
        <v/>
      </c>
      <c r="AI405" s="129">
        <f t="shared" si="267"/>
        <v/>
      </c>
      <c r="AJ405" s="129">
        <f t="shared" si="268"/>
        <v/>
      </c>
      <c r="AK405" s="129">
        <f t="shared" si="269"/>
        <v/>
      </c>
      <c r="AL405" s="129">
        <f t="shared" si="270"/>
        <v/>
      </c>
      <c r="AM405" s="129">
        <f t="shared" si="271"/>
      </c>
      <c r="AN405" s="129">
        <f t="shared" si="272"/>
      </c>
      <c r="AO405" s="129">
        <f t="shared" si="273"/>
        <v/>
      </c>
      <c r="AP405" s="129">
        <f t="shared" si="274"/>
        <v/>
      </c>
      <c r="AQ405" s="129">
        <f t="shared" si="275"/>
        <v/>
      </c>
      <c r="AR405" s="129">
        <f t="shared" si="276"/>
        <v/>
      </c>
      <c r="AS405" s="129">
        <f t="shared" si="277"/>
        <v/>
      </c>
      <c r="AT405" s="129">
        <f t="shared" si="278"/>
        <v/>
      </c>
      <c r="AU405" s="129">
        <f t="shared" si="279"/>
        <v/>
      </c>
      <c r="AV405" s="129">
        <f t="shared" si="280"/>
        <v/>
      </c>
      <c r="AW405" s="129">
        <f>IF(AV405="","",AV405&amp;"."&amp;COUNTIFS($A$3:A405,A405,$AV$3:AV405,AV405))</f>
        <v/>
      </c>
      <c r="AX405" s="129">
        <f t="shared" si="281"/>
        <v/>
      </c>
      <c r="AY405" s="129">
        <f>IF(N405="б/к",0,IF(OR(ISNUMBER(SEARCH("L=",Разбивка_по_щитам!P405)),N405="+",N405="="),1,0))</f>
      </c>
      <c r="AZ405" s="129">
        <f t="shared" si="282"/>
      </c>
      <c r="BA405" s="129">
        <f t="shared" si="283"/>
      </c>
      <c r="BB405" s="129">
        <f t="shared" si="284"/>
      </c>
      <c r="BD405" s="129">
        <f t="shared" si="285"/>
      </c>
      <c r="BE405" s="129">
        <f t="shared" si="286"/>
      </c>
      <c r="BF405" s="129">
        <f t="shared" si="287"/>
      </c>
      <c r="BG405" s="129">
        <f t="shared" si="288"/>
        <v/>
      </c>
      <c r="BH405" s="129">
        <f t="shared" si="289"/>
        <v/>
      </c>
      <c r="BI405" s="129">
        <f t="shared" si="290"/>
        <v/>
      </c>
      <c r="BJ405" s="129">
        <f t="shared" si="291"/>
        <v/>
      </c>
      <c r="BK405" s="129">
        <f>IF(R405="","",IF(OR(BY405="",BY405=0),"BOX",IFERROR(IF(VLOOKUP(BY405,УГО_блоки,3,FALSE)&amp;""&lt;&gt;"",VLOOKUP(BY405,УГО_блоки,3,FALSE),VLOOKUP(BY405,УГО_блоки,2,FALSE)),BY405)))</f>
      </c>
      <c r="BL405" s="129">
        <f t="shared" si="293"/>
      </c>
      <c r="BM405" s="129">
        <f>IF(H405="","",IF(COUNTIF($H$3:H405,H405)=1,MAX($BM$2:BM404)+1,""))</f>
      </c>
      <c r="BN405" s="129">
        <f>IF(I405="","",IF(COUNTIF($I$3:I405,I405)+COUNTIF($J$2:J404,I405)+COUNTIF($K$2:K404,I405)=1,MAX($BN$2:BP404)+1,""))</f>
      </c>
      <c r="BO405" s="129">
        <f>IF(J405="","",IF(COUNTIF($I$3:I405,J405)+COUNTIF($J$3:J405,J405)+COUNTIF($K$2:K404,J405)=1,MAX($BN$2:BP404,BN405)+1,""))</f>
      </c>
      <c r="BP405" s="129">
        <f>IF(K405="","",IF(COUNTIF($I$3:I405,K405)+COUNTIF($J$3:J405,K405)+COUNTIF($K$3:K405,K405)=1,MAX($BN$2:BP404,BN405,BO405)+1,""))</f>
      </c>
      <c r="BQ405" s="129">
        <f>IF(AY405=1,IFERROR(MID(Q405,FIND(" (",Q405)+2,FIND(")",Q405,FIND(" (",Q405))-FIND(" (",Q405)-2),"?"),"")</f>
      </c>
      <c r="BR405" s="129">
        <f>IF(BQ405="","",IF(COUNTIF($BQ$3:BQ405,BQ405)=1,MAX($BR$2:BR404)+1,""))</f>
      </c>
      <c r="BS405" s="129">
        <f>IF(AW405="","",COUNTIF($AW$3:AW405,"?*"))</f>
      </c>
      <c r="BT405" s="129">
        <f>IF(OR(AW405="",AI405=""),"",IF(COUNTIFS($AW$3:AW405,"?*",$AI$3:AI405,AI405)=1,MAX($BT$2:BT404)+1,""))</f>
      </c>
      <c r="BU405" s="129">
        <f>IF(AE405="",0,IF(OR(ISNUMBER(SEARCH("дубль",AE405)),ISNUMBER(SEARCH("ПЕРЕГРУЗ",AE405)),ISNUMBER(SEARCH("ЗАЩИЩ",AE405)),ISNUMBER(SEARCH("КАНАЛ",AE405)),ISNUMBER(SEARCH("без 30",AE405))),2,1))</f>
      </c>
      <c r="BV405" s="129">
        <f>IF(R405="","",COUNTIF($R$3:R405,"?*"))</f>
      </c>
      <c r="BW405" s="129">
        <f>IF(AY405&lt;&gt;1,0,IF(MAX(IFERROR(--VLOOKUP(R405,УГО_спр,5,FALSE),0),IFERROR(--VLOOKUP(AL405,УГО_спр,5,FALSE),0),IFERROR(--VLOOKUP(LEFT(AL405,2),УГО_спр,5,FALSE),0))&gt;0,MAX(IFERROR(--VLOOKUP(R405,УГО_спр,5,FALSE),0),IFERROR(--VLOOKUP(AL405,УГО_спр,5,FALSE),0),IFERROR(--VLOOKUP(LEFT(AL405,2),УГО_спр,5,FALSE),0)),IF(IFERROR(--LEFT(SUBSTITUTE(BQ405,"x","х"),FIND("х",SUBSTITUTE(BQ405,"x","х"))-1),3)&gt;3,Каталог!$S$9,1)))</f>
      </c>
      <c r="BX405" s="129">
        <f>IF(AY405&lt;&gt;1,0,MAX(0,IFERROR(--LEFT(SUBSTITUTE(BQ405,"x","х"),FIND("х",SUBSTITUTE(BQ405,"x","х"))-1),3)-3*BW405))</f>
      </c>
      <c r="BY405" s="129">
        <f>IF(R405="","",IFERROR(VLOOKUP(R405,УГО_спр,2,FALSE),IFERROR(VLOOKUP(AL405,УГО_спр,2,FALSE),IFERROR(VLOOKUP(LEFT(AL405,2),УГО_спр,2,FALSE),""))))</f>
      </c>
    </row>
    <row r="406" spans="1:64" x14ac:dyDescent="0.3">
      <c r="A406" s="135">
        <f>IF(Разбивка_по_щитам!F406=0,"",Разбивка_по_щитам!F406)</f>
      </c>
      <c r="B406" s="138">
        <f>IF(A406="","",Разбивка_по_щитам!C406)</f>
      </c>
      <c r="C406" s="138">
        <f t="shared" si="258"/>
      </c>
      <c r="D406" s="266"/>
      <c r="E406" s="266"/>
      <c r="F406" s="267"/>
      <c r="G406" s="145">
        <f t="shared" ref="G406:G421" si="294">IF(OR(R406&lt;&gt;"",O406&lt;&gt;"",AY406=1),AG406,"")</f>
        <v/>
      </c>
      <c r="H406" s="145">
        <f t="shared" ref="H406:H421" si="295">IF(E406="","",IF(AND(E406&lt;&gt;"авто",E406&lt;&gt;"+"),E406,AT406&amp;" С"&amp;AQ406&amp;"А"&amp;IF(AS406=1," 30мА","")))</f>
        <v/>
      </c>
      <c r="I406" s="266"/>
      <c r="J406" s="267"/>
      <c r="K406" s="267"/>
      <c r="L406" s="266"/>
      <c r="M406" s="147">
        <f t="shared" ref="M406:M437" si="296">IF(OR(O406&lt;&gt;"",AND(L406&lt;&gt;"",L406&lt;&gt;"-")),AH406,"")</f>
        <v/>
      </c>
      <c r="N406" s="267"/>
      <c r="O406" s="147">
        <f t="shared" ref="O406:O437" si="297">IF(N406="=",AX405,IF(ISNUMBER(N406),N406,IF(AH406="","",IF(OR(R406&lt;&gt;"",N406="+",N406="р"),IF(OR(AW406&lt;&gt;"",AX405=""),1,AX405+1),""))))</f>
        <v/>
      </c>
      <c r="P406" s="268">
        <f>IF(AY406=1,"XT"&amp;COUNTIFS($A$3:A406,A406,$AY$3:AY406,1),"")</f>
        <v/>
      </c>
      <c r="Q406" s="152">
        <f>IF(R406="","",IFERROR(SUBSTITUTE(Разбивка_по_щитам!P406,CHAR(10)," "),""))</f>
        <v/>
      </c>
      <c r="R406" s="153">
        <f>IF(OR(Разбивка_по_щитам!H406="",Разбивка_по_щитам!H406=0),"",Разбивка_по_щитам!H406)</f>
        <v/>
      </c>
      <c r="S406" s="154">
        <f>IF(R406="","",IFERROR(Разбивка_по_щитам!J406&amp;"",""))</f>
        <v/>
      </c>
      <c r="T406" s="155">
        <f>IF(R406="","",IFERROR(--Разбивка_по_щитам!L406,""))</f>
        <v/>
      </c>
      <c r="U406" s="155">
        <f>IF(R406="","",IFERROR(--Разбивка_по_щитам!K406,""))</f>
        <v/>
      </c>
      <c r="V406" s="138">
        <f>IF(R406="","",IFERROR(IF(Разбивка_по_щитам!M406=0,"",Разбивка_по_щитам!M406),""))</f>
        <v/>
      </c>
      <c r="W406" s="156">
        <f t="shared" si="259"/>
        <v/>
      </c>
      <c r="X406" s="157">
        <f t="shared" si="260"/>
        <v/>
      </c>
      <c r="Y406" s="266"/>
      <c r="Z406" s="158">
        <f t="shared" si="261"/>
        <v/>
      </c>
      <c r="AA406" s="160">
        <f t="shared" si="262"/>
        <v/>
      </c>
      <c r="AB406" s="160">
        <f>IF(R406="","",IFERROR(LOOKUP(INDEX(Справочная!$I$4:$I$19,MATCH(VLOOKUP(R406,Исходные_данные,22,FALSE),Справочная!$J$4:$J$19,0)+1),{6,10,16,20,25,32,40,50,63,80,100,125}),""))</f>
        <v/>
      </c>
      <c r="AC406" s="160">
        <f t="shared" si="263"/>
        <v/>
      </c>
      <c r="AD406" s="161">
        <f t="shared" si="264"/>
        <v/>
      </c>
      <c r="AE406" s="161">
        <f>IF(AND(R406="",G406=""),"",_xlfn.TEXTJOIN("; ",TRUE,IF(AND(R406&lt;&gt;"",V406=""),"нет фазы",""),IF(AND(R406&lt;&gt;"",N(T406)=0),"нет мощности",""),IF(AND(P406&lt;&gt;"",COUNTIFS($A$3:$A$1000,A406,$P$3:$P$1000,P406)&gt;1),"дубль клеммы "&amp;P406,""),IF(AND(W406&lt;&gt;"",W406&lt;&gt;"ok"),W406,""),IF(X406&lt;&gt;"",X406,""),IF(AND(ISNUMBER(SEARCH("(5х",Q406)),N(AK406)=1),"5 жил на 1 фазе",""),IF(AND(AL406="R",E406&lt;&gt;"",N(AS406)=0),"розетка без 30 мА",""),IF(IFERROR(_xlfn.NUMBERVALUE(MID(Q406,FIND("-",Q406,FIND("L=",Q406))+1,FIND("%",Q406)-FIND("-",Q406,FIND("L=",Q406))-1),","),0)&gt;4,"потери &gt; 4 %","")))</f>
      </c>
      <c r="AF406" s="129">
        <f>IF(E406&lt;&gt;"",COUNTIFS($A$3:A406,A406,$E$3:E406,"?*"),IF(OR(A406&lt;&gt;A405,Y406="вручную"),"",AF405))</f>
      </c>
      <c r="AG406" s="129">
        <f t="shared" si="265"/>
      </c>
      <c r="AH406" s="129">
        <f t="shared" si="266"/>
        <v/>
      </c>
      <c r="AI406" s="129">
        <f t="shared" si="267"/>
        <v/>
      </c>
      <c r="AJ406" s="129">
        <f t="shared" si="268"/>
        <v/>
      </c>
      <c r="AK406" s="129">
        <f t="shared" si="269"/>
        <v/>
      </c>
      <c r="AL406" s="129">
        <f t="shared" si="270"/>
        <v/>
      </c>
      <c r="AM406" s="129">
        <f t="shared" si="271"/>
      </c>
      <c r="AN406" s="129">
        <f t="shared" si="272"/>
      </c>
      <c r="AO406" s="129">
        <f t="shared" si="273"/>
        <v/>
      </c>
      <c r="AP406" s="129">
        <f t="shared" si="274"/>
        <v/>
      </c>
      <c r="AQ406" s="129">
        <f t="shared" si="275"/>
        <v/>
      </c>
      <c r="AR406" s="129">
        <f t="shared" si="276"/>
        <v/>
      </c>
      <c r="AS406" s="129">
        <f t="shared" si="277"/>
        <v/>
      </c>
      <c r="AT406" s="129">
        <f t="shared" si="278"/>
        <v/>
      </c>
      <c r="AU406" s="129">
        <f t="shared" si="279"/>
        <v/>
      </c>
      <c r="AV406" s="129">
        <f t="shared" si="280"/>
        <v/>
      </c>
      <c r="AW406" s="129">
        <f>IF(AV406="","",AV406&amp;"."&amp;COUNTIFS($A$3:A406,A406,$AV$3:AV406,AV406))</f>
        <v/>
      </c>
      <c r="AX406" s="129">
        <f t="shared" si="281"/>
        <v/>
      </c>
      <c r="AY406" s="129">
        <f>IF(N406="б/к",0,IF(OR(ISNUMBER(SEARCH("L=",Разбивка_по_щитам!P406)),N406="+",N406="="),1,0))</f>
      </c>
      <c r="AZ406" s="129">
        <f t="shared" si="282"/>
      </c>
      <c r="BA406" s="129">
        <f t="shared" si="283"/>
      </c>
      <c r="BB406" s="129">
        <f t="shared" si="284"/>
      </c>
      <c r="BD406" s="129">
        <f t="shared" si="285"/>
      </c>
      <c r="BE406" s="129">
        <f t="shared" si="286"/>
      </c>
      <c r="BF406" s="129">
        <f t="shared" si="287"/>
      </c>
      <c r="BG406" s="129">
        <f t="shared" si="288"/>
        <v/>
      </c>
      <c r="BH406" s="129">
        <f t="shared" si="289"/>
        <v/>
      </c>
      <c r="BI406" s="129">
        <f t="shared" si="290"/>
        <v/>
      </c>
      <c r="BJ406" s="129">
        <f t="shared" si="291"/>
        <v/>
      </c>
      <c r="BK406" s="129">
        <f>IF(R406="","",IF(OR(BY406="",BY406=0),"BOX",IFERROR(IF(VLOOKUP(BY406,УГО_блоки,3,FALSE)&amp;""&lt;&gt;"",VLOOKUP(BY406,УГО_блоки,3,FALSE),VLOOKUP(BY406,УГО_блоки,2,FALSE)),BY406)))</f>
      </c>
      <c r="BL406" s="129">
        <f t="shared" si="293"/>
      </c>
      <c r="BM406" s="129">
        <f>IF(H406="","",IF(COUNTIF($H$3:H406,H406)=1,MAX($BM$2:BM405)+1,""))</f>
      </c>
      <c r="BN406" s="129">
        <f>IF(I406="","",IF(COUNTIF($I$3:I406,I406)+COUNTIF($J$2:J405,I406)+COUNTIF($K$2:K405,I406)=1,MAX($BN$2:BP405)+1,""))</f>
      </c>
      <c r="BO406" s="129">
        <f>IF(J406="","",IF(COUNTIF($I$3:I406,J406)+COUNTIF($J$3:J406,J406)+COUNTIF($K$2:K405,J406)=1,MAX($BN$2:BP405,BN406)+1,""))</f>
      </c>
      <c r="BP406" s="129">
        <f>IF(K406="","",IF(COUNTIF($I$3:I406,K406)+COUNTIF($J$3:J406,K406)+COUNTIF($K$3:K406,K406)=1,MAX($BN$2:BP405,BN406,BO406)+1,""))</f>
      </c>
      <c r="BQ406" s="129">
        <f>IF(AY406=1,IFERROR(MID(Q406,FIND(" (",Q406)+2,FIND(")",Q406,FIND(" (",Q406))-FIND(" (",Q406)-2),"?"),"")</f>
      </c>
      <c r="BR406" s="129">
        <f>IF(BQ406="","",IF(COUNTIF($BQ$3:BQ406,BQ406)=1,MAX($BR$2:BR405)+1,""))</f>
      </c>
      <c r="BS406" s="129">
        <f>IF(AW406="","",COUNTIF($AW$3:AW406,"?*"))</f>
      </c>
      <c r="BT406" s="129">
        <f>IF(OR(AW406="",AI406=""),"",IF(COUNTIFS($AW$3:AW406,"?*",$AI$3:AI406,AI406)=1,MAX($BT$2:BT405)+1,""))</f>
      </c>
      <c r="BU406" s="129">
        <f>IF(AE406="",0,IF(OR(ISNUMBER(SEARCH("дубль",AE406)),ISNUMBER(SEARCH("ПЕРЕГРУЗ",AE406)),ISNUMBER(SEARCH("ЗАЩИЩ",AE406)),ISNUMBER(SEARCH("КАНАЛ",AE406)),ISNUMBER(SEARCH("без 30",AE406))),2,1))</f>
      </c>
      <c r="BV406" s="129">
        <f>IF(R406="","",COUNTIF($R$3:R406,"?*"))</f>
      </c>
      <c r="BW406" s="129">
        <f>IF(AY406&lt;&gt;1,0,IF(MAX(IFERROR(--VLOOKUP(R406,УГО_спр,5,FALSE),0),IFERROR(--VLOOKUP(AL406,УГО_спр,5,FALSE),0),IFERROR(--VLOOKUP(LEFT(AL406,2),УГО_спр,5,FALSE),0))&gt;0,MAX(IFERROR(--VLOOKUP(R406,УГО_спр,5,FALSE),0),IFERROR(--VLOOKUP(AL406,УГО_спр,5,FALSE),0),IFERROR(--VLOOKUP(LEFT(AL406,2),УГО_спр,5,FALSE),0)),IF(IFERROR(--LEFT(SUBSTITUTE(BQ406,"x","х"),FIND("х",SUBSTITUTE(BQ406,"x","х"))-1),3)&gt;3,Каталог!$S$9,1)))</f>
      </c>
      <c r="BX406" s="129">
        <f>IF(AY406&lt;&gt;1,0,MAX(0,IFERROR(--LEFT(SUBSTITUTE(BQ406,"x","х"),FIND("х",SUBSTITUTE(BQ406,"x","х"))-1),3)-3*BW406))</f>
      </c>
      <c r="BY406" s="129">
        <f>IF(R406="","",IFERROR(VLOOKUP(R406,УГО_спр,2,FALSE),IFERROR(VLOOKUP(AL406,УГО_спр,2,FALSE),IFERROR(VLOOKUP(LEFT(AL406,2),УГО_спр,2,FALSE),""))))</f>
      </c>
    </row>
    <row r="407" spans="1:64" x14ac:dyDescent="0.3">
      <c r="A407" s="135">
        <f>IF(Разбивка_по_щитам!F407=0,"",Разбивка_по_щитам!F407)</f>
      </c>
      <c r="B407" s="138">
        <f>IF(A407="","",Разбивка_по_щитам!C407)</f>
      </c>
      <c r="C407" s="138">
        <f t="shared" si="258"/>
      </c>
      <c r="D407" s="266"/>
      <c r="E407" s="266"/>
      <c r="F407" s="267"/>
      <c r="G407" s="145">
        <f t="shared" si="294"/>
        <v/>
      </c>
      <c r="H407" s="145">
        <f t="shared" si="295"/>
        <v/>
      </c>
      <c r="I407" s="266"/>
      <c r="J407" s="267"/>
      <c r="K407" s="267"/>
      <c r="L407" s="266"/>
      <c r="M407" s="147">
        <f t="shared" si="296"/>
        <v/>
      </c>
      <c r="N407" s="267"/>
      <c r="O407" s="147">
        <f t="shared" si="297"/>
        <v/>
      </c>
      <c r="P407" s="268">
        <f>IF(AY407=1,"XT"&amp;COUNTIFS($A$3:A407,A407,$AY$3:AY407,1),"")</f>
        <v/>
      </c>
      <c r="Q407" s="152">
        <f>IF(R407="","",IFERROR(SUBSTITUTE(Разбивка_по_щитам!P407,CHAR(10)," "),""))</f>
        <v/>
      </c>
      <c r="R407" s="153">
        <f>IF(OR(Разбивка_по_щитам!H407="",Разбивка_по_щитам!H407=0),"",Разбивка_по_щитам!H407)</f>
        <v/>
      </c>
      <c r="S407" s="154">
        <f>IF(R407="","",IFERROR(Разбивка_по_щитам!J407&amp;"",""))</f>
        <v/>
      </c>
      <c r="T407" s="155">
        <f>IF(R407="","",IFERROR(--Разбивка_по_щитам!L407,""))</f>
        <v/>
      </c>
      <c r="U407" s="155">
        <f>IF(R407="","",IFERROR(--Разбивка_по_щитам!K407,""))</f>
        <v/>
      </c>
      <c r="V407" s="138">
        <f>IF(R407="","",IFERROR(IF(Разбивка_по_щитам!M407=0,"",Разбивка_по_щитам!M407),""))</f>
        <v/>
      </c>
      <c r="W407" s="156">
        <f t="shared" si="259"/>
        <v/>
      </c>
      <c r="X407" s="157">
        <f t="shared" si="260"/>
        <v/>
      </c>
      <c r="Y407" s="266"/>
      <c r="Z407" s="158">
        <f t="shared" si="261"/>
        <v/>
      </c>
      <c r="AA407" s="160">
        <f t="shared" si="262"/>
        <v/>
      </c>
      <c r="AB407" s="160">
        <f>IF(R407="","",IFERROR(LOOKUP(INDEX(Справочная!$I$4:$I$19,MATCH(VLOOKUP(R407,Исходные_данные,22,FALSE),Справочная!$J$4:$J$19,0)+1),{6,10,16,20,25,32,40,50,63,80,100,125}),""))</f>
        <v/>
      </c>
      <c r="AC407" s="160">
        <f t="shared" si="263"/>
        <v/>
      </c>
      <c r="AD407" s="161">
        <f t="shared" si="264"/>
        <v/>
      </c>
      <c r="AE407" s="161">
        <f>IF(AND(R407="",G407=""),"",_xlfn.TEXTJOIN("; ",TRUE,IF(AND(R407&lt;&gt;"",V407=""),"нет фазы",""),IF(AND(R407&lt;&gt;"",N(T407)=0),"нет мощности",""),IF(AND(P407&lt;&gt;"",COUNTIFS($A$3:$A$1000,A407,$P$3:$P$1000,P407)&gt;1),"дубль клеммы "&amp;P407,""),IF(AND(W407&lt;&gt;"",W407&lt;&gt;"ok"),W407,""),IF(X407&lt;&gt;"",X407,""),IF(AND(ISNUMBER(SEARCH("(5х",Q407)),N(AK407)=1),"5 жил на 1 фазе",""),IF(AND(AL407="R",E407&lt;&gt;"",N(AS407)=0),"розетка без 30 мА",""),IF(IFERROR(_xlfn.NUMBERVALUE(MID(Q407,FIND("-",Q407,FIND("L=",Q407))+1,FIND("%",Q407)-FIND("-",Q407,FIND("L=",Q407))-1),","),0)&gt;4,"потери &gt; 4 %","")))</f>
      </c>
      <c r="AF407" s="129">
        <f>IF(E407&lt;&gt;"",COUNTIFS($A$3:A407,A407,$E$3:E407,"?*"),IF(OR(A407&lt;&gt;A406,Y407="вручную"),"",AF406))</f>
      </c>
      <c r="AG407" s="129">
        <f t="shared" si="265"/>
      </c>
      <c r="AH407" s="129">
        <f t="shared" si="266"/>
        <v/>
      </c>
      <c r="AI407" s="129">
        <f t="shared" si="267"/>
        <v/>
      </c>
      <c r="AJ407" s="129">
        <f t="shared" si="268"/>
        <v/>
      </c>
      <c r="AK407" s="129">
        <f t="shared" si="269"/>
        <v/>
      </c>
      <c r="AL407" s="129">
        <f t="shared" si="270"/>
        <v/>
      </c>
      <c r="AM407" s="129">
        <f t="shared" si="271"/>
      </c>
      <c r="AN407" s="129">
        <f t="shared" si="272"/>
      </c>
      <c r="AO407" s="129">
        <f t="shared" si="273"/>
        <v/>
      </c>
      <c r="AP407" s="129">
        <f t="shared" si="274"/>
        <v/>
      </c>
      <c r="AQ407" s="129">
        <f t="shared" si="275"/>
        <v/>
      </c>
      <c r="AR407" s="129">
        <f t="shared" si="276"/>
        <v/>
      </c>
      <c r="AS407" s="129">
        <f t="shared" si="277"/>
        <v/>
      </c>
      <c r="AT407" s="129">
        <f t="shared" si="278"/>
        <v/>
      </c>
      <c r="AU407" s="129">
        <f t="shared" si="279"/>
        <v/>
      </c>
      <c r="AV407" s="129">
        <f t="shared" si="280"/>
        <v/>
      </c>
      <c r="AW407" s="129">
        <f>IF(AV407="","",AV407&amp;"."&amp;COUNTIFS($A$3:A407,A407,$AV$3:AV407,AV407))</f>
        <v/>
      </c>
      <c r="AX407" s="129">
        <f t="shared" si="281"/>
        <v/>
      </c>
      <c r="AY407" s="129">
        <f>IF(N407="б/к",0,IF(OR(ISNUMBER(SEARCH("L=",Разбивка_по_щитам!P407)),N407="+",N407="="),1,0))</f>
      </c>
      <c r="AZ407" s="129">
        <f t="shared" si="282"/>
      </c>
      <c r="BA407" s="129">
        <f t="shared" si="283"/>
      </c>
      <c r="BB407" s="129">
        <f t="shared" si="284"/>
      </c>
      <c r="BD407" s="129">
        <f t="shared" si="285"/>
      </c>
      <c r="BE407" s="129">
        <f t="shared" si="286"/>
      </c>
      <c r="BF407" s="129">
        <f t="shared" si="287"/>
      </c>
      <c r="BG407" s="129">
        <f t="shared" si="288"/>
        <v/>
      </c>
      <c r="BH407" s="129">
        <f t="shared" si="289"/>
        <v/>
      </c>
      <c r="BI407" s="129">
        <f t="shared" si="290"/>
        <v/>
      </c>
      <c r="BJ407" s="129">
        <f t="shared" si="291"/>
        <v/>
      </c>
      <c r="BK407" s="129">
        <f>IF(R407="","",IF(OR(BY407="",BY407=0),"BOX",IFERROR(IF(VLOOKUP(BY407,УГО_блоки,3,FALSE)&amp;""&lt;&gt;"",VLOOKUP(BY407,УГО_блоки,3,FALSE),VLOOKUP(BY407,УГО_блоки,2,FALSE)),BY407)))</f>
      </c>
      <c r="BL407" s="129">
        <f t="shared" si="293"/>
      </c>
      <c r="BM407" s="129">
        <f>IF(H407="","",IF(COUNTIF($H$3:H407,H407)=1,MAX($BM$2:BM406)+1,""))</f>
      </c>
      <c r="BN407" s="129">
        <f>IF(I407="","",IF(COUNTIF($I$3:I407,I407)+COUNTIF($J$2:J406,I407)+COUNTIF($K$2:K406,I407)=1,MAX($BN$2:BP406)+1,""))</f>
      </c>
      <c r="BO407" s="129">
        <f>IF(J407="","",IF(COUNTIF($I$3:I407,J407)+COUNTIF($J$3:J407,J407)+COUNTIF($K$2:K406,J407)=1,MAX($BN$2:BP406,BN407)+1,""))</f>
      </c>
      <c r="BP407" s="129">
        <f>IF(K407="","",IF(COUNTIF($I$3:I407,K407)+COUNTIF($J$3:J407,K407)+COUNTIF($K$3:K407,K407)=1,MAX($BN$2:BP406,BN407,BO407)+1,""))</f>
      </c>
      <c r="BQ407" s="129">
        <f>IF(AY407=1,IFERROR(MID(Q407,FIND(" (",Q407)+2,FIND(")",Q407,FIND(" (",Q407))-FIND(" (",Q407)-2),"?"),"")</f>
      </c>
      <c r="BR407" s="129">
        <f>IF(BQ407="","",IF(COUNTIF($BQ$3:BQ407,BQ407)=1,MAX($BR$2:BR406)+1,""))</f>
      </c>
      <c r="BS407" s="129">
        <f>IF(AW407="","",COUNTIF($AW$3:AW407,"?*"))</f>
      </c>
      <c r="BT407" s="129">
        <f>IF(OR(AW407="",AI407=""),"",IF(COUNTIFS($AW$3:AW407,"?*",$AI$3:AI407,AI407)=1,MAX($BT$2:BT406)+1,""))</f>
      </c>
      <c r="BU407" s="129">
        <f>IF(AE407="",0,IF(OR(ISNUMBER(SEARCH("дубль",AE407)),ISNUMBER(SEARCH("ПЕРЕГРУЗ",AE407)),ISNUMBER(SEARCH("ЗАЩИЩ",AE407)),ISNUMBER(SEARCH("КАНАЛ",AE407)),ISNUMBER(SEARCH("без 30",AE407))),2,1))</f>
      </c>
      <c r="BV407" s="129">
        <f>IF(R407="","",COUNTIF($R$3:R407,"?*"))</f>
      </c>
      <c r="BW407" s="129">
        <f>IF(AY407&lt;&gt;1,0,IF(MAX(IFERROR(--VLOOKUP(R407,УГО_спр,5,FALSE),0),IFERROR(--VLOOKUP(AL407,УГО_спр,5,FALSE),0),IFERROR(--VLOOKUP(LEFT(AL407,2),УГО_спр,5,FALSE),0))&gt;0,MAX(IFERROR(--VLOOKUP(R407,УГО_спр,5,FALSE),0),IFERROR(--VLOOKUP(AL407,УГО_спр,5,FALSE),0),IFERROR(--VLOOKUP(LEFT(AL407,2),УГО_спр,5,FALSE),0)),IF(IFERROR(--LEFT(SUBSTITUTE(BQ407,"x","х"),FIND("х",SUBSTITUTE(BQ407,"x","х"))-1),3)&gt;3,Каталог!$S$9,1)))</f>
      </c>
      <c r="BX407" s="129">
        <f>IF(AY407&lt;&gt;1,0,MAX(0,IFERROR(--LEFT(SUBSTITUTE(BQ407,"x","х"),FIND("х",SUBSTITUTE(BQ407,"x","х"))-1),3)-3*BW407))</f>
      </c>
      <c r="BY407" s="129">
        <f>IF(R407="","",IFERROR(VLOOKUP(R407,УГО_спр,2,FALSE),IFERROR(VLOOKUP(AL407,УГО_спр,2,FALSE),IFERROR(VLOOKUP(LEFT(AL407,2),УГО_спр,2,FALSE),""))))</f>
      </c>
    </row>
    <row r="408" spans="1:64" x14ac:dyDescent="0.3">
      <c r="A408" s="135">
        <f>IF(Разбивка_по_щитам!F408=0,"",Разбивка_по_щитам!F408)</f>
      </c>
      <c r="B408" s="138">
        <f>IF(A408="","",Разбивка_по_щитам!C408)</f>
      </c>
      <c r="C408" s="138">
        <f t="shared" si="258"/>
      </c>
      <c r="D408" s="266"/>
      <c r="E408" s="266"/>
      <c r="F408" s="267"/>
      <c r="G408" s="145">
        <f t="shared" si="294"/>
        <v/>
      </c>
      <c r="H408" s="145">
        <f t="shared" si="295"/>
        <v/>
      </c>
      <c r="I408" s="266"/>
      <c r="J408" s="267"/>
      <c r="K408" s="267"/>
      <c r="L408" s="266"/>
      <c r="M408" s="147">
        <f t="shared" si="296"/>
        <v/>
      </c>
      <c r="N408" s="267"/>
      <c r="O408" s="147">
        <f t="shared" si="297"/>
        <v/>
      </c>
      <c r="P408" s="268">
        <f>IF(AY408=1,"XT"&amp;COUNTIFS($A$3:A408,A408,$AY$3:AY408,1),"")</f>
        <v/>
      </c>
      <c r="Q408" s="152">
        <f>IF(R408="","",IFERROR(SUBSTITUTE(Разбивка_по_щитам!P408,CHAR(10)," "),""))</f>
        <v/>
      </c>
      <c r="R408" s="153">
        <f>IF(OR(Разбивка_по_щитам!H408="",Разбивка_по_щитам!H408=0),"",Разбивка_по_щитам!H408)</f>
        <v/>
      </c>
      <c r="S408" s="154">
        <f>IF(R408="","",IFERROR(Разбивка_по_щитам!J408&amp;"",""))</f>
        <v/>
      </c>
      <c r="T408" s="155">
        <f>IF(R408="","",IFERROR(--Разбивка_по_щитам!L408,""))</f>
        <v/>
      </c>
      <c r="U408" s="155">
        <f>IF(R408="","",IFERROR(--Разбивка_по_щитам!K408,""))</f>
        <v/>
      </c>
      <c r="V408" s="138">
        <f>IF(R408="","",IFERROR(IF(Разбивка_по_щитам!M408=0,"",Разбивка_по_щитам!M408),""))</f>
        <v/>
      </c>
      <c r="W408" s="156">
        <f t="shared" si="259"/>
        <v/>
      </c>
      <c r="X408" s="157">
        <f t="shared" si="260"/>
        <v/>
      </c>
      <c r="Y408" s="266"/>
      <c r="Z408" s="158">
        <f t="shared" si="261"/>
        <v/>
      </c>
      <c r="AA408" s="160">
        <f t="shared" si="262"/>
        <v/>
      </c>
      <c r="AB408" s="160">
        <f>IF(R408="","",IFERROR(LOOKUP(INDEX(Справочная!$I$4:$I$19,MATCH(VLOOKUP(R408,Исходные_данные,22,FALSE),Справочная!$J$4:$J$19,0)+1),{6,10,16,20,25,32,40,50,63,80,100,125}),""))</f>
        <v/>
      </c>
      <c r="AC408" s="160">
        <f t="shared" si="263"/>
        <v/>
      </c>
      <c r="AD408" s="161">
        <f t="shared" si="264"/>
        <v/>
      </c>
      <c r="AE408" s="161">
        <f>IF(AND(R408="",G408=""),"",_xlfn.TEXTJOIN("; ",TRUE,IF(AND(R408&lt;&gt;"",V408=""),"нет фазы",""),IF(AND(R408&lt;&gt;"",N(T408)=0),"нет мощности",""),IF(AND(P408&lt;&gt;"",COUNTIFS($A$3:$A$1000,A408,$P$3:$P$1000,P408)&gt;1),"дубль клеммы "&amp;P408,""),IF(AND(W408&lt;&gt;"",W408&lt;&gt;"ok"),W408,""),IF(X408&lt;&gt;"",X408,""),IF(AND(ISNUMBER(SEARCH("(5х",Q408)),N(AK408)=1),"5 жил на 1 фазе",""),IF(AND(AL408="R",E408&lt;&gt;"",N(AS408)=0),"розетка без 30 мА",""),IF(IFERROR(_xlfn.NUMBERVALUE(MID(Q408,FIND("-",Q408,FIND("L=",Q408))+1,FIND("%",Q408)-FIND("-",Q408,FIND("L=",Q408))-1),","),0)&gt;4,"потери &gt; 4 %","")))</f>
      </c>
      <c r="AF408" s="129">
        <f>IF(E408&lt;&gt;"",COUNTIFS($A$3:A408,A408,$E$3:E408,"?*"),IF(OR(A408&lt;&gt;A407,Y408="вручную"),"",AF407))</f>
      </c>
      <c r="AG408" s="129">
        <f t="shared" si="265"/>
      </c>
      <c r="AH408" s="129">
        <f t="shared" si="266"/>
        <v/>
      </c>
      <c r="AI408" s="129">
        <f t="shared" si="267"/>
        <v/>
      </c>
      <c r="AJ408" s="129">
        <f t="shared" si="268"/>
        <v/>
      </c>
      <c r="AK408" s="129">
        <f t="shared" si="269"/>
        <v/>
      </c>
      <c r="AL408" s="129">
        <f t="shared" si="270"/>
        <v/>
      </c>
      <c r="AM408" s="129">
        <f t="shared" si="271"/>
      </c>
      <c r="AN408" s="129">
        <f t="shared" si="272"/>
      </c>
      <c r="AO408" s="129">
        <f t="shared" si="273"/>
        <v/>
      </c>
      <c r="AP408" s="129">
        <f t="shared" si="274"/>
        <v/>
      </c>
      <c r="AQ408" s="129">
        <f t="shared" si="275"/>
        <v/>
      </c>
      <c r="AR408" s="129">
        <f t="shared" si="276"/>
        <v/>
      </c>
      <c r="AS408" s="129">
        <f t="shared" si="277"/>
        <v/>
      </c>
      <c r="AT408" s="129">
        <f t="shared" si="278"/>
        <v/>
      </c>
      <c r="AU408" s="129">
        <f t="shared" si="279"/>
        <v/>
      </c>
      <c r="AV408" s="129">
        <f t="shared" si="280"/>
        <v/>
      </c>
      <c r="AW408" s="129">
        <f>IF(AV408="","",AV408&amp;"."&amp;COUNTIFS($A$3:A408,A408,$AV$3:AV408,AV408))</f>
        <v/>
      </c>
      <c r="AX408" s="129">
        <f t="shared" si="281"/>
        <v/>
      </c>
      <c r="AY408" s="129">
        <f>IF(N408="б/к",0,IF(OR(ISNUMBER(SEARCH("L=",Разбивка_по_щитам!P408)),N408="+",N408="="),1,0))</f>
      </c>
      <c r="AZ408" s="129">
        <f t="shared" si="282"/>
      </c>
      <c r="BA408" s="129">
        <f t="shared" si="283"/>
      </c>
      <c r="BB408" s="129">
        <f t="shared" si="284"/>
      </c>
      <c r="BD408" s="129">
        <f t="shared" si="285"/>
      </c>
      <c r="BE408" s="129">
        <f t="shared" si="286"/>
      </c>
      <c r="BF408" s="129">
        <f t="shared" si="287"/>
      </c>
      <c r="BG408" s="129">
        <f t="shared" si="288"/>
        <v/>
      </c>
      <c r="BH408" s="129">
        <f t="shared" si="289"/>
        <v/>
      </c>
      <c r="BI408" s="129">
        <f t="shared" si="290"/>
        <v/>
      </c>
      <c r="BJ408" s="129">
        <f t="shared" si="291"/>
        <v/>
      </c>
      <c r="BK408" s="129">
        <f>IF(R408="","",IF(OR(BY408="",BY408=0),"BOX",IFERROR(IF(VLOOKUP(BY408,УГО_блоки,3,FALSE)&amp;""&lt;&gt;"",VLOOKUP(BY408,УГО_блоки,3,FALSE),VLOOKUP(BY408,УГО_блоки,2,FALSE)),BY408)))</f>
      </c>
      <c r="BL408" s="129">
        <f t="shared" si="293"/>
      </c>
      <c r="BM408" s="129">
        <f>IF(H408="","",IF(COUNTIF($H$3:H408,H408)=1,MAX($BM$2:BM407)+1,""))</f>
      </c>
      <c r="BN408" s="129">
        <f>IF(I408="","",IF(COUNTIF($I$3:I408,I408)+COUNTIF($J$2:J407,I408)+COUNTIF($K$2:K407,I408)=1,MAX($BN$2:BP407)+1,""))</f>
      </c>
      <c r="BO408" s="129">
        <f>IF(J408="","",IF(COUNTIF($I$3:I408,J408)+COUNTIF($J$3:J408,J408)+COUNTIF($K$2:K407,J408)=1,MAX($BN$2:BP407,BN408)+1,""))</f>
      </c>
      <c r="BP408" s="129">
        <f>IF(K408="","",IF(COUNTIF($I$3:I408,K408)+COUNTIF($J$3:J408,K408)+COUNTIF($K$3:K408,K408)=1,MAX($BN$2:BP407,BN408,BO408)+1,""))</f>
      </c>
      <c r="BQ408" s="129">
        <f>IF(AY408=1,IFERROR(MID(Q408,FIND(" (",Q408)+2,FIND(")",Q408,FIND(" (",Q408))-FIND(" (",Q408)-2),"?"),"")</f>
      </c>
      <c r="BR408" s="129">
        <f>IF(BQ408="","",IF(COUNTIF($BQ$3:BQ408,BQ408)=1,MAX($BR$2:BR407)+1,""))</f>
      </c>
      <c r="BS408" s="129">
        <f>IF(AW408="","",COUNTIF($AW$3:AW408,"?*"))</f>
      </c>
      <c r="BT408" s="129">
        <f>IF(OR(AW408="",AI408=""),"",IF(COUNTIFS($AW$3:AW408,"?*",$AI$3:AI408,AI408)=1,MAX($BT$2:BT407)+1,""))</f>
      </c>
      <c r="BU408" s="129">
        <f>IF(AE408="",0,IF(OR(ISNUMBER(SEARCH("дубль",AE408)),ISNUMBER(SEARCH("ПЕРЕГРУЗ",AE408)),ISNUMBER(SEARCH("ЗАЩИЩ",AE408)),ISNUMBER(SEARCH("КАНАЛ",AE408)),ISNUMBER(SEARCH("без 30",AE408))),2,1))</f>
      </c>
      <c r="BV408" s="129">
        <f>IF(R408="","",COUNTIF($R$3:R408,"?*"))</f>
      </c>
      <c r="BW408" s="129">
        <f>IF(AY408&lt;&gt;1,0,IF(MAX(IFERROR(--VLOOKUP(R408,УГО_спр,5,FALSE),0),IFERROR(--VLOOKUP(AL408,УГО_спр,5,FALSE),0),IFERROR(--VLOOKUP(LEFT(AL408,2),УГО_спр,5,FALSE),0))&gt;0,MAX(IFERROR(--VLOOKUP(R408,УГО_спр,5,FALSE),0),IFERROR(--VLOOKUP(AL408,УГО_спр,5,FALSE),0),IFERROR(--VLOOKUP(LEFT(AL408,2),УГО_спр,5,FALSE),0)),IF(IFERROR(--LEFT(SUBSTITUTE(BQ408,"x","х"),FIND("х",SUBSTITUTE(BQ408,"x","х"))-1),3)&gt;3,Каталог!$S$9,1)))</f>
      </c>
      <c r="BX408" s="129">
        <f>IF(AY408&lt;&gt;1,0,MAX(0,IFERROR(--LEFT(SUBSTITUTE(BQ408,"x","х"),FIND("х",SUBSTITUTE(BQ408,"x","х"))-1),3)-3*BW408))</f>
      </c>
      <c r="BY408" s="129">
        <f>IF(R408="","",IFERROR(VLOOKUP(R408,УГО_спр,2,FALSE),IFERROR(VLOOKUP(AL408,УГО_спр,2,FALSE),IFERROR(VLOOKUP(LEFT(AL408,2),УГО_спр,2,FALSE),""))))</f>
      </c>
    </row>
    <row r="409" spans="1:64" x14ac:dyDescent="0.3">
      <c r="A409" s="135">
        <f>IF(Разбивка_по_щитам!F409=0,"",Разбивка_по_щитам!F409)</f>
      </c>
      <c r="B409" s="138">
        <f>IF(A409="","",Разбивка_по_щитам!C409)</f>
      </c>
      <c r="C409" s="138">
        <f t="shared" si="258"/>
      </c>
      <c r="D409" s="266"/>
      <c r="E409" s="266"/>
      <c r="F409" s="267"/>
      <c r="G409" s="145">
        <f t="shared" si="294"/>
        <v/>
      </c>
      <c r="H409" s="145">
        <f t="shared" si="295"/>
        <v/>
      </c>
      <c r="I409" s="266"/>
      <c r="J409" s="267"/>
      <c r="K409" s="267"/>
      <c r="L409" s="266"/>
      <c r="M409" s="147">
        <f t="shared" si="296"/>
        <v/>
      </c>
      <c r="N409" s="267"/>
      <c r="O409" s="147">
        <f t="shared" si="297"/>
        <v/>
      </c>
      <c r="P409" s="268">
        <f>IF(AY409=1,"XT"&amp;COUNTIFS($A$3:A409,A409,$AY$3:AY409,1),"")</f>
        <v/>
      </c>
      <c r="Q409" s="152">
        <f>IF(R409="","",IFERROR(SUBSTITUTE(Разбивка_по_щитам!P409,CHAR(10)," "),""))</f>
        <v/>
      </c>
      <c r="R409" s="153">
        <f>IF(OR(Разбивка_по_щитам!H409="",Разбивка_по_щитам!H409=0),"",Разбивка_по_щитам!H409)</f>
        <v/>
      </c>
      <c r="S409" s="154">
        <f>IF(R409="","",IFERROR(Разбивка_по_щитам!J409&amp;"",""))</f>
        <v/>
      </c>
      <c r="T409" s="155">
        <f>IF(R409="","",IFERROR(--Разбивка_по_щитам!L409,""))</f>
        <v/>
      </c>
      <c r="U409" s="155">
        <f>IF(R409="","",IFERROR(--Разбивка_по_щитам!K409,""))</f>
        <v/>
      </c>
      <c r="V409" s="138">
        <f>IF(R409="","",IFERROR(IF(Разбивка_по_щитам!M409=0,"",Разбивка_по_щитам!M409),""))</f>
        <v/>
      </c>
      <c r="W409" s="156">
        <f t="shared" si="259"/>
        <v/>
      </c>
      <c r="X409" s="157">
        <f t="shared" si="260"/>
        <v/>
      </c>
      <c r="Y409" s="266"/>
      <c r="Z409" s="158">
        <f t="shared" si="261"/>
        <v/>
      </c>
      <c r="AA409" s="160">
        <f t="shared" si="262"/>
        <v/>
      </c>
      <c r="AB409" s="160">
        <f>IF(R409="","",IFERROR(LOOKUP(INDEX(Справочная!$I$4:$I$19,MATCH(VLOOKUP(R409,Исходные_данные,22,FALSE),Справочная!$J$4:$J$19,0)+1),{6,10,16,20,25,32,40,50,63,80,100,125}),""))</f>
        <v/>
      </c>
      <c r="AC409" s="160">
        <f t="shared" si="263"/>
        <v/>
      </c>
      <c r="AD409" s="161">
        <f t="shared" si="264"/>
        <v/>
      </c>
      <c r="AE409" s="161">
        <f>IF(AND(R409="",G409=""),"",_xlfn.TEXTJOIN("; ",TRUE,IF(AND(R409&lt;&gt;"",V409=""),"нет фазы",""),IF(AND(R409&lt;&gt;"",N(T409)=0),"нет мощности",""),IF(AND(P409&lt;&gt;"",COUNTIFS($A$3:$A$1000,A409,$P$3:$P$1000,P409)&gt;1),"дубль клеммы "&amp;P409,""),IF(AND(W409&lt;&gt;"",W409&lt;&gt;"ok"),W409,""),IF(X409&lt;&gt;"",X409,""),IF(AND(ISNUMBER(SEARCH("(5х",Q409)),N(AK409)=1),"5 жил на 1 фазе",""),IF(AND(AL409="R",E409&lt;&gt;"",N(AS409)=0),"розетка без 30 мА",""),IF(IFERROR(_xlfn.NUMBERVALUE(MID(Q409,FIND("-",Q409,FIND("L=",Q409))+1,FIND("%",Q409)-FIND("-",Q409,FIND("L=",Q409))-1),","),0)&gt;4,"потери &gt; 4 %","")))</f>
      </c>
      <c r="AF409" s="129">
        <f>IF(E409&lt;&gt;"",COUNTIFS($A$3:A409,A409,$E$3:E409,"?*"),IF(OR(A409&lt;&gt;A408,Y409="вручную"),"",AF408))</f>
      </c>
      <c r="AG409" s="129">
        <f t="shared" si="265"/>
      </c>
      <c r="AH409" s="129">
        <f t="shared" si="266"/>
        <v/>
      </c>
      <c r="AI409" s="129">
        <f t="shared" si="267"/>
        <v/>
      </c>
      <c r="AJ409" s="129">
        <f t="shared" si="268"/>
        <v/>
      </c>
      <c r="AK409" s="129">
        <f t="shared" si="269"/>
        <v/>
      </c>
      <c r="AL409" s="129">
        <f t="shared" si="270"/>
        <v/>
      </c>
      <c r="AM409" s="129">
        <f t="shared" si="271"/>
      </c>
      <c r="AN409" s="129">
        <f t="shared" si="272"/>
      </c>
      <c r="AO409" s="129">
        <f t="shared" si="273"/>
        <v/>
      </c>
      <c r="AP409" s="129">
        <f t="shared" si="274"/>
        <v/>
      </c>
      <c r="AQ409" s="129">
        <f t="shared" si="275"/>
        <v/>
      </c>
      <c r="AR409" s="129">
        <f t="shared" si="276"/>
        <v/>
      </c>
      <c r="AS409" s="129">
        <f t="shared" si="277"/>
        <v/>
      </c>
      <c r="AT409" s="129">
        <f t="shared" si="278"/>
        <v/>
      </c>
      <c r="AU409" s="129">
        <f t="shared" si="279"/>
        <v/>
      </c>
      <c r="AV409" s="129">
        <f t="shared" si="280"/>
        <v/>
      </c>
      <c r="AW409" s="129">
        <f>IF(AV409="","",AV409&amp;"."&amp;COUNTIFS($A$3:A409,A409,$AV$3:AV409,AV409))</f>
        <v/>
      </c>
      <c r="AX409" s="129">
        <f t="shared" si="281"/>
        <v/>
      </c>
      <c r="AY409" s="129">
        <f>IF(N409="б/к",0,IF(OR(ISNUMBER(SEARCH("L=",Разбивка_по_щитам!P409)),N409="+",N409="="),1,0))</f>
      </c>
      <c r="AZ409" s="129">
        <f t="shared" si="282"/>
      </c>
      <c r="BA409" s="129">
        <f t="shared" si="283"/>
      </c>
      <c r="BB409" s="129">
        <f t="shared" si="284"/>
      </c>
      <c r="BD409" s="129">
        <f t="shared" si="285"/>
      </c>
      <c r="BE409" s="129">
        <f t="shared" si="286"/>
      </c>
      <c r="BF409" s="129">
        <f t="shared" si="287"/>
      </c>
      <c r="BG409" s="129">
        <f t="shared" si="288"/>
        <v/>
      </c>
      <c r="BH409" s="129">
        <f t="shared" si="289"/>
        <v/>
      </c>
      <c r="BI409" s="129">
        <f t="shared" si="290"/>
        <v/>
      </c>
      <c r="BJ409" s="129">
        <f t="shared" si="291"/>
        <v/>
      </c>
      <c r="BK409" s="129">
        <f>IF(R409="","",IF(OR(BY409="",BY409=0),"BOX",IFERROR(IF(VLOOKUP(BY409,УГО_блоки,3,FALSE)&amp;""&lt;&gt;"",VLOOKUP(BY409,УГО_блоки,3,FALSE),VLOOKUP(BY409,УГО_блоки,2,FALSE)),BY409)))</f>
      </c>
      <c r="BL409" s="129">
        <f t="shared" si="293"/>
      </c>
      <c r="BM409" s="129">
        <f>IF(H409="","",IF(COUNTIF($H$3:H409,H409)=1,MAX($BM$2:BM408)+1,""))</f>
      </c>
      <c r="BN409" s="129">
        <f>IF(I409="","",IF(COUNTIF($I$3:I409,I409)+COUNTIF($J$2:J408,I409)+COUNTIF($K$2:K408,I409)=1,MAX($BN$2:BP408)+1,""))</f>
      </c>
      <c r="BO409" s="129">
        <f>IF(J409="","",IF(COUNTIF($I$3:I409,J409)+COUNTIF($J$3:J409,J409)+COUNTIF($K$2:K408,J409)=1,MAX($BN$2:BP408,BN409)+1,""))</f>
      </c>
      <c r="BP409" s="129">
        <f>IF(K409="","",IF(COUNTIF($I$3:I409,K409)+COUNTIF($J$3:J409,K409)+COUNTIF($K$3:K409,K409)=1,MAX($BN$2:BP408,BN409,BO409)+1,""))</f>
      </c>
      <c r="BQ409" s="129">
        <f>IF(AY409=1,IFERROR(MID(Q409,FIND(" (",Q409)+2,FIND(")",Q409,FIND(" (",Q409))-FIND(" (",Q409)-2),"?"),"")</f>
      </c>
      <c r="BR409" s="129">
        <f>IF(BQ409="","",IF(COUNTIF($BQ$3:BQ409,BQ409)=1,MAX($BR$2:BR408)+1,""))</f>
      </c>
      <c r="BS409" s="129">
        <f>IF(AW409="","",COUNTIF($AW$3:AW409,"?*"))</f>
      </c>
      <c r="BT409" s="129">
        <f>IF(OR(AW409="",AI409=""),"",IF(COUNTIFS($AW$3:AW409,"?*",$AI$3:AI409,AI409)=1,MAX($BT$2:BT408)+1,""))</f>
      </c>
      <c r="BU409" s="129">
        <f>IF(AE409="",0,IF(OR(ISNUMBER(SEARCH("дубль",AE409)),ISNUMBER(SEARCH("ПЕРЕГРУЗ",AE409)),ISNUMBER(SEARCH("ЗАЩИЩ",AE409)),ISNUMBER(SEARCH("КАНАЛ",AE409)),ISNUMBER(SEARCH("без 30",AE409))),2,1))</f>
      </c>
      <c r="BV409" s="129">
        <f>IF(R409="","",COUNTIF($R$3:R409,"?*"))</f>
      </c>
      <c r="BW409" s="129">
        <f>IF(AY409&lt;&gt;1,0,IF(MAX(IFERROR(--VLOOKUP(R409,УГО_спр,5,FALSE),0),IFERROR(--VLOOKUP(AL409,УГО_спр,5,FALSE),0),IFERROR(--VLOOKUP(LEFT(AL409,2),УГО_спр,5,FALSE),0))&gt;0,MAX(IFERROR(--VLOOKUP(R409,УГО_спр,5,FALSE),0),IFERROR(--VLOOKUP(AL409,УГО_спр,5,FALSE),0),IFERROR(--VLOOKUP(LEFT(AL409,2),УГО_спр,5,FALSE),0)),IF(IFERROR(--LEFT(SUBSTITUTE(BQ409,"x","х"),FIND("х",SUBSTITUTE(BQ409,"x","х"))-1),3)&gt;3,Каталог!$S$9,1)))</f>
      </c>
      <c r="BX409" s="129">
        <f>IF(AY409&lt;&gt;1,0,MAX(0,IFERROR(--LEFT(SUBSTITUTE(BQ409,"x","х"),FIND("х",SUBSTITUTE(BQ409,"x","х"))-1),3)-3*BW409))</f>
      </c>
      <c r="BY409" s="129">
        <f>IF(R409="","",IFERROR(VLOOKUP(R409,УГО_спр,2,FALSE),IFERROR(VLOOKUP(AL409,УГО_спр,2,FALSE),IFERROR(VLOOKUP(LEFT(AL409,2),УГО_спр,2,FALSE),""))))</f>
      </c>
    </row>
    <row r="410" spans="1:64" x14ac:dyDescent="0.3">
      <c r="A410" s="135">
        <f>IF(Разбивка_по_щитам!F410=0,"",Разбивка_по_щитам!F410)</f>
      </c>
      <c r="B410" s="138">
        <f>IF(A410="","",Разбивка_по_щитам!C410)</f>
      </c>
      <c r="C410" s="138">
        <f t="shared" si="258"/>
      </c>
      <c r="D410" s="266"/>
      <c r="E410" s="266"/>
      <c r="F410" s="267"/>
      <c r="G410" s="145">
        <f t="shared" si="294"/>
        <v/>
      </c>
      <c r="H410" s="145">
        <f t="shared" si="295"/>
        <v/>
      </c>
      <c r="I410" s="266"/>
      <c r="J410" s="267"/>
      <c r="K410" s="267"/>
      <c r="L410" s="266"/>
      <c r="M410" s="147">
        <f t="shared" si="296"/>
        <v/>
      </c>
      <c r="N410" s="267"/>
      <c r="O410" s="147">
        <f t="shared" si="297"/>
        <v/>
      </c>
      <c r="P410" s="268">
        <f>IF(AY410=1,"XT"&amp;COUNTIFS($A$3:A410,A410,$AY$3:AY410,1),"")</f>
        <v/>
      </c>
      <c r="Q410" s="152">
        <f>IF(R410="","",IFERROR(SUBSTITUTE(Разбивка_по_щитам!P410,CHAR(10)," "),""))</f>
        <v/>
      </c>
      <c r="R410" s="153">
        <f>IF(OR(Разбивка_по_щитам!H410="",Разбивка_по_щитам!H410=0),"",Разбивка_по_щитам!H410)</f>
        <v/>
      </c>
      <c r="S410" s="154">
        <f>IF(R410="","",IFERROR(Разбивка_по_щитам!J410&amp;"",""))</f>
        <v/>
      </c>
      <c r="T410" s="155">
        <f>IF(R410="","",IFERROR(--Разбивка_по_щитам!L410,""))</f>
        <v/>
      </c>
      <c r="U410" s="155">
        <f>IF(R410="","",IFERROR(--Разбивка_по_щитам!K410,""))</f>
        <v/>
      </c>
      <c r="V410" s="138">
        <f>IF(R410="","",IFERROR(IF(Разбивка_по_щитам!M410=0,"",Разбивка_по_щитам!M410),""))</f>
        <v/>
      </c>
      <c r="W410" s="156">
        <f t="shared" si="259"/>
        <v/>
      </c>
      <c r="X410" s="157">
        <f t="shared" si="260"/>
        <v/>
      </c>
      <c r="Y410" s="266"/>
      <c r="Z410" s="158">
        <f t="shared" si="261"/>
        <v/>
      </c>
      <c r="AA410" s="160">
        <f t="shared" si="262"/>
        <v/>
      </c>
      <c r="AB410" s="160">
        <f>IF(R410="","",IFERROR(LOOKUP(INDEX(Справочная!$I$4:$I$19,MATCH(VLOOKUP(R410,Исходные_данные,22,FALSE),Справочная!$J$4:$J$19,0)+1),{6,10,16,20,25,32,40,50,63,80,100,125}),""))</f>
        <v/>
      </c>
      <c r="AC410" s="160">
        <f t="shared" si="263"/>
        <v/>
      </c>
      <c r="AD410" s="161">
        <f t="shared" si="264"/>
        <v/>
      </c>
      <c r="AE410" s="161">
        <f>IF(AND(R410="",G410=""),"",_xlfn.TEXTJOIN("; ",TRUE,IF(AND(R410&lt;&gt;"",V410=""),"нет фазы",""),IF(AND(R410&lt;&gt;"",N(T410)=0),"нет мощности",""),IF(AND(P410&lt;&gt;"",COUNTIFS($A$3:$A$1000,A410,$P$3:$P$1000,P410)&gt;1),"дубль клеммы "&amp;P410,""),IF(AND(W410&lt;&gt;"",W410&lt;&gt;"ok"),W410,""),IF(X410&lt;&gt;"",X410,""),IF(AND(ISNUMBER(SEARCH("(5х",Q410)),N(AK410)=1),"5 жил на 1 фазе",""),IF(AND(AL410="R",E410&lt;&gt;"",N(AS410)=0),"розетка без 30 мА",""),IF(IFERROR(_xlfn.NUMBERVALUE(MID(Q410,FIND("-",Q410,FIND("L=",Q410))+1,FIND("%",Q410)-FIND("-",Q410,FIND("L=",Q410))-1),","),0)&gt;4,"потери &gt; 4 %","")))</f>
      </c>
      <c r="AF410" s="129">
        <f>IF(E410&lt;&gt;"",COUNTIFS($A$3:A410,A410,$E$3:E410,"?*"),IF(OR(A410&lt;&gt;A409,Y410="вручную"),"",AF409))</f>
      </c>
      <c r="AG410" s="129">
        <f t="shared" si="265"/>
      </c>
      <c r="AH410" s="129">
        <f t="shared" si="266"/>
        <v/>
      </c>
      <c r="AI410" s="129">
        <f t="shared" si="267"/>
        <v/>
      </c>
      <c r="AJ410" s="129">
        <f t="shared" si="268"/>
        <v/>
      </c>
      <c r="AK410" s="129">
        <f t="shared" si="269"/>
        <v/>
      </c>
      <c r="AL410" s="129">
        <f t="shared" si="270"/>
        <v/>
      </c>
      <c r="AM410" s="129">
        <f t="shared" si="271"/>
      </c>
      <c r="AN410" s="129">
        <f t="shared" si="272"/>
      </c>
      <c r="AO410" s="129">
        <f t="shared" si="273"/>
        <v/>
      </c>
      <c r="AP410" s="129">
        <f t="shared" si="274"/>
        <v/>
      </c>
      <c r="AQ410" s="129">
        <f t="shared" si="275"/>
        <v/>
      </c>
      <c r="AR410" s="129">
        <f t="shared" si="276"/>
        <v/>
      </c>
      <c r="AS410" s="129">
        <f t="shared" si="277"/>
        <v/>
      </c>
      <c r="AT410" s="129">
        <f t="shared" si="278"/>
        <v/>
      </c>
      <c r="AU410" s="129">
        <f t="shared" si="279"/>
        <v/>
      </c>
      <c r="AV410" s="129">
        <f t="shared" si="280"/>
        <v/>
      </c>
      <c r="AW410" s="129">
        <f>IF(AV410="","",AV410&amp;"."&amp;COUNTIFS($A$3:A410,A410,$AV$3:AV410,AV410))</f>
        <v/>
      </c>
      <c r="AX410" s="129">
        <f t="shared" si="281"/>
        <v/>
      </c>
      <c r="AY410" s="129">
        <f>IF(N410="б/к",0,IF(OR(ISNUMBER(SEARCH("L=",Разбивка_по_щитам!P410)),N410="+",N410="="),1,0))</f>
      </c>
      <c r="AZ410" s="129">
        <f t="shared" si="282"/>
      </c>
      <c r="BA410" s="129">
        <f t="shared" si="283"/>
      </c>
      <c r="BB410" s="129">
        <f t="shared" si="284"/>
      </c>
      <c r="BD410" s="129">
        <f t="shared" si="285"/>
      </c>
      <c r="BE410" s="129">
        <f t="shared" si="286"/>
      </c>
      <c r="BF410" s="129">
        <f t="shared" si="287"/>
      </c>
      <c r="BG410" s="129">
        <f t="shared" si="288"/>
        <v/>
      </c>
      <c r="BH410" s="129">
        <f t="shared" si="289"/>
        <v/>
      </c>
      <c r="BI410" s="129">
        <f t="shared" si="290"/>
        <v/>
      </c>
      <c r="BJ410" s="129">
        <f t="shared" si="291"/>
        <v/>
      </c>
      <c r="BK410" s="129">
        <f>IF(R410="","",IF(OR(BY410="",BY410=0),"BOX",IFERROR(IF(VLOOKUP(BY410,УГО_блоки,3,FALSE)&amp;""&lt;&gt;"",VLOOKUP(BY410,УГО_блоки,3,FALSE),VLOOKUP(BY410,УГО_блоки,2,FALSE)),BY410)))</f>
      </c>
      <c r="BL410" s="129">
        <f t="shared" si="293"/>
      </c>
      <c r="BM410" s="129">
        <f>IF(H410="","",IF(COUNTIF($H$3:H410,H410)=1,MAX($BM$2:BM409)+1,""))</f>
      </c>
      <c r="BN410" s="129">
        <f>IF(I410="","",IF(COUNTIF($I$3:I410,I410)+COUNTIF($J$2:J409,I410)+COUNTIF($K$2:K409,I410)=1,MAX($BN$2:BP409)+1,""))</f>
      </c>
      <c r="BO410" s="129">
        <f>IF(J410="","",IF(COUNTIF($I$3:I410,J410)+COUNTIF($J$3:J410,J410)+COUNTIF($K$2:K409,J410)=1,MAX($BN$2:BP409,BN410)+1,""))</f>
      </c>
      <c r="BP410" s="129">
        <f>IF(K410="","",IF(COUNTIF($I$3:I410,K410)+COUNTIF($J$3:J410,K410)+COUNTIF($K$3:K410,K410)=1,MAX($BN$2:BP409,BN410,BO410)+1,""))</f>
      </c>
      <c r="BQ410" s="129">
        <f>IF(AY410=1,IFERROR(MID(Q410,FIND(" (",Q410)+2,FIND(")",Q410,FIND(" (",Q410))-FIND(" (",Q410)-2),"?"),"")</f>
      </c>
      <c r="BR410" s="129">
        <f>IF(BQ410="","",IF(COUNTIF($BQ$3:BQ410,BQ410)=1,MAX($BR$2:BR409)+1,""))</f>
      </c>
      <c r="BS410" s="129">
        <f>IF(AW410="","",COUNTIF($AW$3:AW410,"?*"))</f>
      </c>
      <c r="BT410" s="129">
        <f>IF(OR(AW410="",AI410=""),"",IF(COUNTIFS($AW$3:AW410,"?*",$AI$3:AI410,AI410)=1,MAX($BT$2:BT409)+1,""))</f>
      </c>
      <c r="BU410" s="129">
        <f>IF(AE410="",0,IF(OR(ISNUMBER(SEARCH("дубль",AE410)),ISNUMBER(SEARCH("ПЕРЕГРУЗ",AE410)),ISNUMBER(SEARCH("ЗАЩИЩ",AE410)),ISNUMBER(SEARCH("КАНАЛ",AE410)),ISNUMBER(SEARCH("без 30",AE410))),2,1))</f>
      </c>
      <c r="BV410" s="129">
        <f>IF(R410="","",COUNTIF($R$3:R410,"?*"))</f>
      </c>
      <c r="BW410" s="129">
        <f>IF(AY410&lt;&gt;1,0,IF(MAX(IFERROR(--VLOOKUP(R410,УГО_спр,5,FALSE),0),IFERROR(--VLOOKUP(AL410,УГО_спр,5,FALSE),0),IFERROR(--VLOOKUP(LEFT(AL410,2),УГО_спр,5,FALSE),0))&gt;0,MAX(IFERROR(--VLOOKUP(R410,УГО_спр,5,FALSE),0),IFERROR(--VLOOKUP(AL410,УГО_спр,5,FALSE),0),IFERROR(--VLOOKUP(LEFT(AL410,2),УГО_спр,5,FALSE),0)),IF(IFERROR(--LEFT(SUBSTITUTE(BQ410,"x","х"),FIND("х",SUBSTITUTE(BQ410,"x","х"))-1),3)&gt;3,Каталог!$S$9,1)))</f>
      </c>
      <c r="BX410" s="129">
        <f>IF(AY410&lt;&gt;1,0,MAX(0,IFERROR(--LEFT(SUBSTITUTE(BQ410,"x","х"),FIND("х",SUBSTITUTE(BQ410,"x","х"))-1),3)-3*BW410))</f>
      </c>
      <c r="BY410" s="129">
        <f>IF(R410="","",IFERROR(VLOOKUP(R410,УГО_спр,2,FALSE),IFERROR(VLOOKUP(AL410,УГО_спр,2,FALSE),IFERROR(VLOOKUP(LEFT(AL410,2),УГО_спр,2,FALSE),""))))</f>
      </c>
    </row>
    <row r="411" spans="1:64" x14ac:dyDescent="0.3">
      <c r="A411" s="135">
        <f>IF(Разбивка_по_щитам!F411=0,"",Разбивка_по_щитам!F411)</f>
      </c>
      <c r="B411" s="138">
        <f>IF(A411="","",Разбивка_по_щитам!C411)</f>
      </c>
      <c r="C411" s="138">
        <f t="shared" si="258"/>
      </c>
      <c r="D411" s="266"/>
      <c r="E411" s="266"/>
      <c r="F411" s="267"/>
      <c r="G411" s="145">
        <f t="shared" si="294"/>
        <v/>
      </c>
      <c r="H411" s="145">
        <f t="shared" si="295"/>
        <v/>
      </c>
      <c r="I411" s="266"/>
      <c r="J411" s="267"/>
      <c r="K411" s="267"/>
      <c r="L411" s="266"/>
      <c r="M411" s="147">
        <f t="shared" si="296"/>
        <v/>
      </c>
      <c r="N411" s="267"/>
      <c r="O411" s="147">
        <f t="shared" si="297"/>
        <v/>
      </c>
      <c r="P411" s="268">
        <f>IF(AY411=1,"XT"&amp;COUNTIFS($A$3:A411,A411,$AY$3:AY411,1),"")</f>
        <v/>
      </c>
      <c r="Q411" s="152">
        <f>IF(R411="","",IFERROR(SUBSTITUTE(Разбивка_по_щитам!P411,CHAR(10)," "),""))</f>
        <v/>
      </c>
      <c r="R411" s="153">
        <f>IF(OR(Разбивка_по_щитам!H411="",Разбивка_по_щитам!H411=0),"",Разбивка_по_щитам!H411)</f>
        <v/>
      </c>
      <c r="S411" s="154">
        <f>IF(R411="","",IFERROR(Разбивка_по_щитам!J411&amp;"",""))</f>
        <v/>
      </c>
      <c r="T411" s="155">
        <f>IF(R411="","",IFERROR(--Разбивка_по_щитам!L411,""))</f>
        <v/>
      </c>
      <c r="U411" s="155">
        <f>IF(R411="","",IFERROR(--Разбивка_по_щитам!K411,""))</f>
        <v/>
      </c>
      <c r="V411" s="138">
        <f>IF(R411="","",IFERROR(IF(Разбивка_по_щитам!M411=0,"",Разбивка_по_щитам!M411),""))</f>
        <v/>
      </c>
      <c r="W411" s="156">
        <f t="shared" si="259"/>
        <v/>
      </c>
      <c r="X411" s="157">
        <f t="shared" si="260"/>
        <v/>
      </c>
      <c r="Y411" s="266"/>
      <c r="Z411" s="158">
        <f t="shared" si="261"/>
        <v/>
      </c>
      <c r="AA411" s="160">
        <f t="shared" si="262"/>
        <v/>
      </c>
      <c r="AB411" s="160">
        <f>IF(R411="","",IFERROR(LOOKUP(INDEX(Справочная!$I$4:$I$19,MATCH(VLOOKUP(R411,Исходные_данные,22,FALSE),Справочная!$J$4:$J$19,0)+1),{6,10,16,20,25,32,40,50,63,80,100,125}),""))</f>
        <v/>
      </c>
      <c r="AC411" s="160">
        <f t="shared" si="263"/>
        <v/>
      </c>
      <c r="AD411" s="161">
        <f t="shared" si="264"/>
        <v/>
      </c>
      <c r="AE411" s="161">
        <f>IF(AND(R411="",G411=""),"",_xlfn.TEXTJOIN("; ",TRUE,IF(AND(R411&lt;&gt;"",V411=""),"нет фазы",""),IF(AND(R411&lt;&gt;"",N(T411)=0),"нет мощности",""),IF(AND(P411&lt;&gt;"",COUNTIFS($A$3:$A$1000,A411,$P$3:$P$1000,P411)&gt;1),"дубль клеммы "&amp;P411,""),IF(AND(W411&lt;&gt;"",W411&lt;&gt;"ok"),W411,""),IF(X411&lt;&gt;"",X411,""),IF(AND(ISNUMBER(SEARCH("(5х",Q411)),N(AK411)=1),"5 жил на 1 фазе",""),IF(AND(AL411="R",E411&lt;&gt;"",N(AS411)=0),"розетка без 30 мА",""),IF(IFERROR(_xlfn.NUMBERVALUE(MID(Q411,FIND("-",Q411,FIND("L=",Q411))+1,FIND("%",Q411)-FIND("-",Q411,FIND("L=",Q411))-1),","),0)&gt;4,"потери &gt; 4 %","")))</f>
      </c>
      <c r="AF411" s="129">
        <f>IF(E411&lt;&gt;"",COUNTIFS($A$3:A411,A411,$E$3:E411,"?*"),IF(OR(A411&lt;&gt;A410,Y411="вручную"),"",AF410))</f>
      </c>
      <c r="AG411" s="129">
        <f t="shared" si="265"/>
      </c>
      <c r="AH411" s="129">
        <f t="shared" si="266"/>
        <v/>
      </c>
      <c r="AI411" s="129">
        <f t="shared" si="267"/>
        <v/>
      </c>
      <c r="AJ411" s="129">
        <f t="shared" si="268"/>
        <v/>
      </c>
      <c r="AK411" s="129">
        <f t="shared" si="269"/>
        <v/>
      </c>
      <c r="AL411" s="129">
        <f t="shared" si="270"/>
        <v/>
      </c>
      <c r="AM411" s="129">
        <f t="shared" si="271"/>
      </c>
      <c r="AN411" s="129">
        <f t="shared" si="272"/>
      </c>
      <c r="AO411" s="129">
        <f t="shared" si="273"/>
        <v/>
      </c>
      <c r="AP411" s="129">
        <f t="shared" si="274"/>
        <v/>
      </c>
      <c r="AQ411" s="129">
        <f t="shared" si="275"/>
        <v/>
      </c>
      <c r="AR411" s="129">
        <f t="shared" si="276"/>
        <v/>
      </c>
      <c r="AS411" s="129">
        <f t="shared" si="277"/>
        <v/>
      </c>
      <c r="AT411" s="129">
        <f t="shared" si="278"/>
        <v/>
      </c>
      <c r="AU411" s="129">
        <f t="shared" si="279"/>
        <v/>
      </c>
      <c r="AV411" s="129">
        <f t="shared" si="280"/>
        <v/>
      </c>
      <c r="AW411" s="129">
        <f>IF(AV411="","",AV411&amp;"."&amp;COUNTIFS($A$3:A411,A411,$AV$3:AV411,AV411))</f>
        <v/>
      </c>
      <c r="AX411" s="129">
        <f t="shared" si="281"/>
        <v/>
      </c>
      <c r="AY411" s="129">
        <f>IF(N411="б/к",0,IF(OR(ISNUMBER(SEARCH("L=",Разбивка_по_щитам!P411)),N411="+",N411="="),1,0))</f>
      </c>
      <c r="AZ411" s="129">
        <f t="shared" si="282"/>
      </c>
      <c r="BA411" s="129">
        <f t="shared" si="283"/>
      </c>
      <c r="BB411" s="129">
        <f t="shared" si="284"/>
      </c>
      <c r="BD411" s="129">
        <f t="shared" si="285"/>
      </c>
      <c r="BE411" s="129">
        <f t="shared" si="286"/>
      </c>
      <c r="BF411" s="129">
        <f t="shared" si="287"/>
      </c>
      <c r="BG411" s="129">
        <f t="shared" si="288"/>
        <v/>
      </c>
      <c r="BH411" s="129">
        <f t="shared" si="289"/>
        <v/>
      </c>
      <c r="BI411" s="129">
        <f t="shared" si="290"/>
        <v/>
      </c>
      <c r="BJ411" s="129">
        <f t="shared" si="291"/>
        <v/>
      </c>
      <c r="BK411" s="129">
        <f>IF(R411="","",IF(OR(BY411="",BY411=0),"BOX",IFERROR(IF(VLOOKUP(BY411,УГО_блоки,3,FALSE)&amp;""&lt;&gt;"",VLOOKUP(BY411,УГО_блоки,3,FALSE),VLOOKUP(BY411,УГО_блоки,2,FALSE)),BY411)))</f>
      </c>
      <c r="BL411" s="129">
        <f t="shared" si="293"/>
      </c>
      <c r="BM411" s="129">
        <f>IF(H411="","",IF(COUNTIF($H$3:H411,H411)=1,MAX($BM$2:BM410)+1,""))</f>
      </c>
      <c r="BN411" s="129">
        <f>IF(I411="","",IF(COUNTIF($I$3:I411,I411)+COUNTIF($J$2:J410,I411)+COUNTIF($K$2:K410,I411)=1,MAX($BN$2:BP410)+1,""))</f>
      </c>
      <c r="BO411" s="129">
        <f>IF(J411="","",IF(COUNTIF($I$3:I411,J411)+COUNTIF($J$3:J411,J411)+COUNTIF($K$2:K410,J411)=1,MAX($BN$2:BP410,BN411)+1,""))</f>
      </c>
      <c r="BP411" s="129">
        <f>IF(K411="","",IF(COUNTIF($I$3:I411,K411)+COUNTIF($J$3:J411,K411)+COUNTIF($K$3:K411,K411)=1,MAX($BN$2:BP410,BN411,BO411)+1,""))</f>
      </c>
      <c r="BQ411" s="129">
        <f>IF(AY411=1,IFERROR(MID(Q411,FIND(" (",Q411)+2,FIND(")",Q411,FIND(" (",Q411))-FIND(" (",Q411)-2),"?"),"")</f>
      </c>
      <c r="BR411" s="129">
        <f>IF(BQ411="","",IF(COUNTIF($BQ$3:BQ411,BQ411)=1,MAX($BR$2:BR410)+1,""))</f>
      </c>
      <c r="BS411" s="129">
        <f>IF(AW411="","",COUNTIF($AW$3:AW411,"?*"))</f>
      </c>
      <c r="BT411" s="129">
        <f>IF(OR(AW411="",AI411=""),"",IF(COUNTIFS($AW$3:AW411,"?*",$AI$3:AI411,AI411)=1,MAX($BT$2:BT410)+1,""))</f>
      </c>
      <c r="BU411" s="129">
        <f>IF(AE411="",0,IF(OR(ISNUMBER(SEARCH("дубль",AE411)),ISNUMBER(SEARCH("ПЕРЕГРУЗ",AE411)),ISNUMBER(SEARCH("ЗАЩИЩ",AE411)),ISNUMBER(SEARCH("КАНАЛ",AE411)),ISNUMBER(SEARCH("без 30",AE411))),2,1))</f>
      </c>
      <c r="BV411" s="129">
        <f>IF(R411="","",COUNTIF($R$3:R411,"?*"))</f>
      </c>
      <c r="BW411" s="129">
        <f>IF(AY411&lt;&gt;1,0,IF(MAX(IFERROR(--VLOOKUP(R411,УГО_спр,5,FALSE),0),IFERROR(--VLOOKUP(AL411,УГО_спр,5,FALSE),0),IFERROR(--VLOOKUP(LEFT(AL411,2),УГО_спр,5,FALSE),0))&gt;0,MAX(IFERROR(--VLOOKUP(R411,УГО_спр,5,FALSE),0),IFERROR(--VLOOKUP(AL411,УГО_спр,5,FALSE),0),IFERROR(--VLOOKUP(LEFT(AL411,2),УГО_спр,5,FALSE),0)),IF(IFERROR(--LEFT(SUBSTITUTE(BQ411,"x","х"),FIND("х",SUBSTITUTE(BQ411,"x","х"))-1),3)&gt;3,Каталог!$S$9,1)))</f>
      </c>
      <c r="BX411" s="129">
        <f>IF(AY411&lt;&gt;1,0,MAX(0,IFERROR(--LEFT(SUBSTITUTE(BQ411,"x","х"),FIND("х",SUBSTITUTE(BQ411,"x","х"))-1),3)-3*BW411))</f>
      </c>
      <c r="BY411" s="129">
        <f>IF(R411="","",IFERROR(VLOOKUP(R411,УГО_спр,2,FALSE),IFERROR(VLOOKUP(AL411,УГО_спр,2,FALSE),IFERROR(VLOOKUP(LEFT(AL411,2),УГО_спр,2,FALSE),""))))</f>
      </c>
    </row>
    <row r="412" spans="1:64" x14ac:dyDescent="0.3">
      <c r="A412" s="135">
        <f>IF(Разбивка_по_щитам!F412=0,"",Разбивка_по_щитам!F412)</f>
      </c>
      <c r="B412" s="138">
        <f>IF(A412="","",Разбивка_по_щитам!C412)</f>
      </c>
      <c r="C412" s="138">
        <f t="shared" si="258"/>
      </c>
      <c r="D412" s="266"/>
      <c r="E412" s="266"/>
      <c r="F412" s="267"/>
      <c r="G412" s="145">
        <f t="shared" si="294"/>
        <v/>
      </c>
      <c r="H412" s="145">
        <f t="shared" si="295"/>
        <v/>
      </c>
      <c r="I412" s="266"/>
      <c r="J412" s="267"/>
      <c r="K412" s="267"/>
      <c r="L412" s="266"/>
      <c r="M412" s="147">
        <f t="shared" si="296"/>
        <v/>
      </c>
      <c r="N412" s="267"/>
      <c r="O412" s="147">
        <f t="shared" si="297"/>
        <v/>
      </c>
      <c r="P412" s="268">
        <f>IF(AY412=1,"XT"&amp;COUNTIFS($A$3:A412,A412,$AY$3:AY412,1),"")</f>
        <v/>
      </c>
      <c r="Q412" s="152">
        <f>IF(R412="","",IFERROR(SUBSTITUTE(Разбивка_по_щитам!P412,CHAR(10)," "),""))</f>
        <v/>
      </c>
      <c r="R412" s="153">
        <f>IF(OR(Разбивка_по_щитам!H412="",Разбивка_по_щитам!H412=0),"",Разбивка_по_щитам!H412)</f>
        <v/>
      </c>
      <c r="S412" s="154">
        <f>IF(R412="","",IFERROR(Разбивка_по_щитам!J412&amp;"",""))</f>
        <v/>
      </c>
      <c r="T412" s="155">
        <f>IF(R412="","",IFERROR(--Разбивка_по_щитам!L412,""))</f>
        <v/>
      </c>
      <c r="U412" s="155">
        <f>IF(R412="","",IFERROR(--Разбивка_по_щитам!K412,""))</f>
        <v/>
      </c>
      <c r="V412" s="138">
        <f>IF(R412="","",IFERROR(IF(Разбивка_по_щитам!M412=0,"",Разбивка_по_щитам!M412),""))</f>
        <v/>
      </c>
      <c r="W412" s="156">
        <f t="shared" si="259"/>
        <v/>
      </c>
      <c r="X412" s="157">
        <f t="shared" si="260"/>
        <v/>
      </c>
      <c r="Y412" s="266"/>
      <c r="Z412" s="158">
        <f t="shared" si="261"/>
        <v/>
      </c>
      <c r="AA412" s="160">
        <f t="shared" si="262"/>
        <v/>
      </c>
      <c r="AB412" s="160">
        <f>IF(R412="","",IFERROR(LOOKUP(INDEX(Справочная!$I$4:$I$19,MATCH(VLOOKUP(R412,Исходные_данные,22,FALSE),Справочная!$J$4:$J$19,0)+1),{6,10,16,20,25,32,40,50,63,80,100,125}),""))</f>
        <v/>
      </c>
      <c r="AC412" s="160">
        <f t="shared" si="263"/>
        <v/>
      </c>
      <c r="AD412" s="161">
        <f t="shared" si="264"/>
        <v/>
      </c>
      <c r="AE412" s="161">
        <f>IF(AND(R412="",G412=""),"",_xlfn.TEXTJOIN("; ",TRUE,IF(AND(R412&lt;&gt;"",V412=""),"нет фазы",""),IF(AND(R412&lt;&gt;"",N(T412)=0),"нет мощности",""),IF(AND(P412&lt;&gt;"",COUNTIFS($A$3:$A$1000,A412,$P$3:$P$1000,P412)&gt;1),"дубль клеммы "&amp;P412,""),IF(AND(W412&lt;&gt;"",W412&lt;&gt;"ok"),W412,""),IF(X412&lt;&gt;"",X412,""),IF(AND(ISNUMBER(SEARCH("(5х",Q412)),N(AK412)=1),"5 жил на 1 фазе",""),IF(AND(AL412="R",E412&lt;&gt;"",N(AS412)=0),"розетка без 30 мА",""),IF(IFERROR(_xlfn.NUMBERVALUE(MID(Q412,FIND("-",Q412,FIND("L=",Q412))+1,FIND("%",Q412)-FIND("-",Q412,FIND("L=",Q412))-1),","),0)&gt;4,"потери &gt; 4 %","")))</f>
      </c>
      <c r="AF412" s="129">
        <f>IF(E412&lt;&gt;"",COUNTIFS($A$3:A412,A412,$E$3:E412,"?*"),IF(OR(A412&lt;&gt;A411,Y412="вручную"),"",AF411))</f>
      </c>
      <c r="AG412" s="129">
        <f t="shared" si="265"/>
      </c>
      <c r="AH412" s="129">
        <f t="shared" si="266"/>
        <v/>
      </c>
      <c r="AI412" s="129">
        <f t="shared" si="267"/>
        <v/>
      </c>
      <c r="AJ412" s="129">
        <f t="shared" si="268"/>
        <v/>
      </c>
      <c r="AK412" s="129">
        <f t="shared" si="269"/>
        <v/>
      </c>
      <c r="AL412" s="129">
        <f t="shared" si="270"/>
        <v/>
      </c>
      <c r="AM412" s="129">
        <f t="shared" si="271"/>
      </c>
      <c r="AN412" s="129">
        <f t="shared" si="272"/>
      </c>
      <c r="AO412" s="129">
        <f t="shared" si="273"/>
        <v/>
      </c>
      <c r="AP412" s="129">
        <f t="shared" si="274"/>
        <v/>
      </c>
      <c r="AQ412" s="129">
        <f t="shared" si="275"/>
        <v/>
      </c>
      <c r="AR412" s="129">
        <f t="shared" si="276"/>
        <v/>
      </c>
      <c r="AS412" s="129">
        <f t="shared" si="277"/>
        <v/>
      </c>
      <c r="AT412" s="129">
        <f t="shared" si="278"/>
        <v/>
      </c>
      <c r="AU412" s="129">
        <f t="shared" si="279"/>
        <v/>
      </c>
      <c r="AV412" s="129">
        <f t="shared" si="280"/>
        <v/>
      </c>
      <c r="AW412" s="129">
        <f>IF(AV412="","",AV412&amp;"."&amp;COUNTIFS($A$3:A412,A412,$AV$3:AV412,AV412))</f>
        <v/>
      </c>
      <c r="AX412" s="129">
        <f t="shared" si="281"/>
        <v/>
      </c>
      <c r="AY412" s="129">
        <f>IF(N412="б/к",0,IF(OR(ISNUMBER(SEARCH("L=",Разбивка_по_щитам!P412)),N412="+",N412="="),1,0))</f>
      </c>
      <c r="AZ412" s="129">
        <f t="shared" si="282"/>
      </c>
      <c r="BA412" s="129">
        <f t="shared" si="283"/>
      </c>
      <c r="BB412" s="129">
        <f t="shared" si="284"/>
      </c>
      <c r="BD412" s="129">
        <f t="shared" si="285"/>
      </c>
      <c r="BE412" s="129">
        <f t="shared" si="286"/>
      </c>
      <c r="BF412" s="129">
        <f t="shared" si="287"/>
      </c>
      <c r="BG412" s="129">
        <f t="shared" si="288"/>
        <v/>
      </c>
      <c r="BH412" s="129">
        <f t="shared" si="289"/>
        <v/>
      </c>
      <c r="BI412" s="129">
        <f t="shared" si="290"/>
        <v/>
      </c>
      <c r="BJ412" s="129">
        <f t="shared" si="291"/>
        <v/>
      </c>
      <c r="BK412" s="129">
        <f>IF(R412="","",IF(OR(BY412="",BY412=0),"BOX",IFERROR(IF(VLOOKUP(BY412,УГО_блоки,3,FALSE)&amp;""&lt;&gt;"",VLOOKUP(BY412,УГО_блоки,3,FALSE),VLOOKUP(BY412,УГО_блоки,2,FALSE)),BY412)))</f>
      </c>
      <c r="BL412" s="129">
        <f t="shared" si="293"/>
      </c>
      <c r="BM412" s="129">
        <f>IF(H412="","",IF(COUNTIF($H$3:H412,H412)=1,MAX($BM$2:BM411)+1,""))</f>
      </c>
      <c r="BN412" s="129">
        <f>IF(I412="","",IF(COUNTIF($I$3:I412,I412)+COUNTIF($J$2:J411,I412)+COUNTIF($K$2:K411,I412)=1,MAX($BN$2:BP411)+1,""))</f>
      </c>
      <c r="BO412" s="129">
        <f>IF(J412="","",IF(COUNTIF($I$3:I412,J412)+COUNTIF($J$3:J412,J412)+COUNTIF($K$2:K411,J412)=1,MAX($BN$2:BP411,BN412)+1,""))</f>
      </c>
      <c r="BP412" s="129">
        <f>IF(K412="","",IF(COUNTIF($I$3:I412,K412)+COUNTIF($J$3:J412,K412)+COUNTIF($K$3:K412,K412)=1,MAX($BN$2:BP411,BN412,BO412)+1,""))</f>
      </c>
      <c r="BQ412" s="129">
        <f>IF(AY412=1,IFERROR(MID(Q412,FIND(" (",Q412)+2,FIND(")",Q412,FIND(" (",Q412))-FIND(" (",Q412)-2),"?"),"")</f>
      </c>
      <c r="BR412" s="129">
        <f>IF(BQ412="","",IF(COUNTIF($BQ$3:BQ412,BQ412)=1,MAX($BR$2:BR411)+1,""))</f>
      </c>
      <c r="BS412" s="129">
        <f>IF(AW412="","",COUNTIF($AW$3:AW412,"?*"))</f>
      </c>
      <c r="BT412" s="129">
        <f>IF(OR(AW412="",AI412=""),"",IF(COUNTIFS($AW$3:AW412,"?*",$AI$3:AI412,AI412)=1,MAX($BT$2:BT411)+1,""))</f>
      </c>
      <c r="BU412" s="129">
        <f>IF(AE412="",0,IF(OR(ISNUMBER(SEARCH("дубль",AE412)),ISNUMBER(SEARCH("ПЕРЕГРУЗ",AE412)),ISNUMBER(SEARCH("ЗАЩИЩ",AE412)),ISNUMBER(SEARCH("КАНАЛ",AE412)),ISNUMBER(SEARCH("без 30",AE412))),2,1))</f>
      </c>
      <c r="BV412" s="129">
        <f>IF(R412="","",COUNTIF($R$3:R412,"?*"))</f>
      </c>
      <c r="BW412" s="129">
        <f>IF(AY412&lt;&gt;1,0,IF(MAX(IFERROR(--VLOOKUP(R412,УГО_спр,5,FALSE),0),IFERROR(--VLOOKUP(AL412,УГО_спр,5,FALSE),0),IFERROR(--VLOOKUP(LEFT(AL412,2),УГО_спр,5,FALSE),0))&gt;0,MAX(IFERROR(--VLOOKUP(R412,УГО_спр,5,FALSE),0),IFERROR(--VLOOKUP(AL412,УГО_спр,5,FALSE),0),IFERROR(--VLOOKUP(LEFT(AL412,2),УГО_спр,5,FALSE),0)),IF(IFERROR(--LEFT(SUBSTITUTE(BQ412,"x","х"),FIND("х",SUBSTITUTE(BQ412,"x","х"))-1),3)&gt;3,Каталог!$S$9,1)))</f>
      </c>
      <c r="BX412" s="129">
        <f>IF(AY412&lt;&gt;1,0,MAX(0,IFERROR(--LEFT(SUBSTITUTE(BQ412,"x","х"),FIND("х",SUBSTITUTE(BQ412,"x","х"))-1),3)-3*BW412))</f>
      </c>
      <c r="BY412" s="129">
        <f>IF(R412="","",IFERROR(VLOOKUP(R412,УГО_спр,2,FALSE),IFERROR(VLOOKUP(AL412,УГО_спр,2,FALSE),IFERROR(VLOOKUP(LEFT(AL412,2),УГО_спр,2,FALSE),""))))</f>
      </c>
    </row>
    <row r="413" spans="1:64" x14ac:dyDescent="0.3">
      <c r="A413" s="135">
        <f>IF(Разбивка_по_щитам!F413=0,"",Разбивка_по_щитам!F413)</f>
      </c>
      <c r="B413" s="138">
        <f>IF(A413="","",Разбивка_по_щитам!C413)</f>
      </c>
      <c r="C413" s="138">
        <f t="shared" si="258"/>
      </c>
      <c r="D413" s="266"/>
      <c r="E413" s="266"/>
      <c r="F413" s="267"/>
      <c r="G413" s="145">
        <f t="shared" si="294"/>
        <v/>
      </c>
      <c r="H413" s="145">
        <f t="shared" si="295"/>
        <v/>
      </c>
      <c r="I413" s="266"/>
      <c r="J413" s="267"/>
      <c r="K413" s="267"/>
      <c r="L413" s="266"/>
      <c r="M413" s="147">
        <f t="shared" si="296"/>
        <v/>
      </c>
      <c r="N413" s="267"/>
      <c r="O413" s="147">
        <f t="shared" si="297"/>
        <v/>
      </c>
      <c r="P413" s="268">
        <f>IF(AY413=1,"XT"&amp;COUNTIFS($A$3:A413,A413,$AY$3:AY413,1),"")</f>
        <v/>
      </c>
      <c r="Q413" s="152">
        <f>IF(R413="","",IFERROR(SUBSTITUTE(Разбивка_по_щитам!P413,CHAR(10)," "),""))</f>
        <v/>
      </c>
      <c r="R413" s="153">
        <f>IF(OR(Разбивка_по_щитам!H413="",Разбивка_по_щитам!H413=0),"",Разбивка_по_щитам!H413)</f>
        <v/>
      </c>
      <c r="S413" s="154">
        <f>IF(R413="","",IFERROR(Разбивка_по_щитам!J413&amp;"",""))</f>
        <v/>
      </c>
      <c r="T413" s="155">
        <f>IF(R413="","",IFERROR(--Разбивка_по_щитам!L413,""))</f>
        <v/>
      </c>
      <c r="U413" s="155">
        <f>IF(R413="","",IFERROR(--Разбивка_по_щитам!K413,""))</f>
        <v/>
      </c>
      <c r="V413" s="138">
        <f>IF(R413="","",IFERROR(IF(Разбивка_по_щитам!M413=0,"",Разбивка_по_щитам!M413),""))</f>
        <v/>
      </c>
      <c r="W413" s="156">
        <f t="shared" si="259"/>
        <v/>
      </c>
      <c r="X413" s="157">
        <f t="shared" si="260"/>
        <v/>
      </c>
      <c r="Y413" s="266"/>
      <c r="Z413" s="158">
        <f t="shared" si="261"/>
        <v/>
      </c>
      <c r="AA413" s="160">
        <f t="shared" si="262"/>
        <v/>
      </c>
      <c r="AB413" s="160">
        <f>IF(R413="","",IFERROR(LOOKUP(INDEX(Справочная!$I$4:$I$19,MATCH(VLOOKUP(R413,Исходные_данные,22,FALSE),Справочная!$J$4:$J$19,0)+1),{6,10,16,20,25,32,40,50,63,80,100,125}),""))</f>
        <v/>
      </c>
      <c r="AC413" s="160">
        <f t="shared" si="263"/>
        <v/>
      </c>
      <c r="AD413" s="161">
        <f t="shared" si="264"/>
        <v/>
      </c>
      <c r="AE413" s="161">
        <f>IF(AND(R413="",G413=""),"",_xlfn.TEXTJOIN("; ",TRUE,IF(AND(R413&lt;&gt;"",V413=""),"нет фазы",""),IF(AND(R413&lt;&gt;"",N(T413)=0),"нет мощности",""),IF(AND(P413&lt;&gt;"",COUNTIFS($A$3:$A$1000,A413,$P$3:$P$1000,P413)&gt;1),"дубль клеммы "&amp;P413,""),IF(AND(W413&lt;&gt;"",W413&lt;&gt;"ok"),W413,""),IF(X413&lt;&gt;"",X413,""),IF(AND(ISNUMBER(SEARCH("(5х",Q413)),N(AK413)=1),"5 жил на 1 фазе",""),IF(AND(AL413="R",E413&lt;&gt;"",N(AS413)=0),"розетка без 30 мА",""),IF(IFERROR(_xlfn.NUMBERVALUE(MID(Q413,FIND("-",Q413,FIND("L=",Q413))+1,FIND("%",Q413)-FIND("-",Q413,FIND("L=",Q413))-1),","),0)&gt;4,"потери &gt; 4 %","")))</f>
      </c>
      <c r="AF413" s="129">
        <f>IF(E413&lt;&gt;"",COUNTIFS($A$3:A413,A413,$E$3:E413,"?*"),IF(OR(A413&lt;&gt;A412,Y413="вручную"),"",AF412))</f>
      </c>
      <c r="AG413" s="129">
        <f t="shared" si="265"/>
      </c>
      <c r="AH413" s="129">
        <f t="shared" si="266"/>
        <v/>
      </c>
      <c r="AI413" s="129">
        <f t="shared" si="267"/>
        <v/>
      </c>
      <c r="AJ413" s="129">
        <f t="shared" si="268"/>
        <v/>
      </c>
      <c r="AK413" s="129">
        <f t="shared" si="269"/>
        <v/>
      </c>
      <c r="AL413" s="129">
        <f t="shared" si="270"/>
        <v/>
      </c>
      <c r="AM413" s="129">
        <f t="shared" si="271"/>
      </c>
      <c r="AN413" s="129">
        <f t="shared" si="272"/>
      </c>
      <c r="AO413" s="129">
        <f t="shared" si="273"/>
        <v/>
      </c>
      <c r="AP413" s="129">
        <f t="shared" si="274"/>
        <v/>
      </c>
      <c r="AQ413" s="129">
        <f t="shared" si="275"/>
        <v/>
      </c>
      <c r="AR413" s="129">
        <f t="shared" si="276"/>
        <v/>
      </c>
      <c r="AS413" s="129">
        <f t="shared" si="277"/>
        <v/>
      </c>
      <c r="AT413" s="129">
        <f t="shared" si="278"/>
        <v/>
      </c>
      <c r="AU413" s="129">
        <f t="shared" si="279"/>
        <v/>
      </c>
      <c r="AV413" s="129">
        <f t="shared" si="280"/>
        <v/>
      </c>
      <c r="AW413" s="129">
        <f>IF(AV413="","",AV413&amp;"."&amp;COUNTIFS($A$3:A413,A413,$AV$3:AV413,AV413))</f>
        <v/>
      </c>
      <c r="AX413" s="129">
        <f t="shared" si="281"/>
        <v/>
      </c>
      <c r="AY413" s="129">
        <f>IF(N413="б/к",0,IF(OR(ISNUMBER(SEARCH("L=",Разбивка_по_щитам!P413)),N413="+",N413="="),1,0))</f>
      </c>
      <c r="AZ413" s="129">
        <f t="shared" si="282"/>
      </c>
      <c r="BA413" s="129">
        <f t="shared" si="283"/>
      </c>
      <c r="BB413" s="129">
        <f t="shared" si="284"/>
      </c>
      <c r="BD413" s="129">
        <f t="shared" si="285"/>
      </c>
      <c r="BE413" s="129">
        <f t="shared" si="286"/>
      </c>
      <c r="BF413" s="129">
        <f t="shared" si="287"/>
      </c>
      <c r="BG413" s="129">
        <f t="shared" si="288"/>
        <v/>
      </c>
      <c r="BH413" s="129">
        <f t="shared" si="289"/>
        <v/>
      </c>
      <c r="BI413" s="129">
        <f t="shared" si="290"/>
        <v/>
      </c>
      <c r="BJ413" s="129">
        <f t="shared" si="291"/>
        <v/>
      </c>
      <c r="BK413" s="129">
        <f>IF(R413="","",IF(OR(BY413="",BY413=0),"BOX",IFERROR(IF(VLOOKUP(BY413,УГО_блоки,3,FALSE)&amp;""&lt;&gt;"",VLOOKUP(BY413,УГО_блоки,3,FALSE),VLOOKUP(BY413,УГО_блоки,2,FALSE)),BY413)))</f>
      </c>
      <c r="BL413" s="129">
        <f t="shared" si="293"/>
      </c>
      <c r="BM413" s="129">
        <f>IF(H413="","",IF(COUNTIF($H$3:H413,H413)=1,MAX($BM$2:BM412)+1,""))</f>
      </c>
      <c r="BN413" s="129">
        <f>IF(I413="","",IF(COUNTIF($I$3:I413,I413)+COUNTIF($J$2:J412,I413)+COUNTIF($K$2:K412,I413)=1,MAX($BN$2:BP412)+1,""))</f>
      </c>
      <c r="BO413" s="129">
        <f>IF(J413="","",IF(COUNTIF($I$3:I413,J413)+COUNTIF($J$3:J413,J413)+COUNTIF($K$2:K412,J413)=1,MAX($BN$2:BP412,BN413)+1,""))</f>
      </c>
      <c r="BP413" s="129">
        <f>IF(K413="","",IF(COUNTIF($I$3:I413,K413)+COUNTIF($J$3:J413,K413)+COUNTIF($K$3:K413,K413)=1,MAX($BN$2:BP412,BN413,BO413)+1,""))</f>
      </c>
      <c r="BQ413" s="129">
        <f>IF(AY413=1,IFERROR(MID(Q413,FIND(" (",Q413)+2,FIND(")",Q413,FIND(" (",Q413))-FIND(" (",Q413)-2),"?"),"")</f>
      </c>
      <c r="BR413" s="129">
        <f>IF(BQ413="","",IF(COUNTIF($BQ$3:BQ413,BQ413)=1,MAX($BR$2:BR412)+1,""))</f>
      </c>
      <c r="BS413" s="129">
        <f>IF(AW413="","",COUNTIF($AW$3:AW413,"?*"))</f>
      </c>
      <c r="BT413" s="129">
        <f>IF(OR(AW413="",AI413=""),"",IF(COUNTIFS($AW$3:AW413,"?*",$AI$3:AI413,AI413)=1,MAX($BT$2:BT412)+1,""))</f>
      </c>
      <c r="BU413" s="129">
        <f>IF(AE413="",0,IF(OR(ISNUMBER(SEARCH("дубль",AE413)),ISNUMBER(SEARCH("ПЕРЕГРУЗ",AE413)),ISNUMBER(SEARCH("ЗАЩИЩ",AE413)),ISNUMBER(SEARCH("КАНАЛ",AE413)),ISNUMBER(SEARCH("без 30",AE413))),2,1))</f>
      </c>
      <c r="BV413" s="129">
        <f>IF(R413="","",COUNTIF($R$3:R413,"?*"))</f>
      </c>
      <c r="BW413" s="129">
        <f>IF(AY413&lt;&gt;1,0,IF(MAX(IFERROR(--VLOOKUP(R413,УГО_спр,5,FALSE),0),IFERROR(--VLOOKUP(AL413,УГО_спр,5,FALSE),0),IFERROR(--VLOOKUP(LEFT(AL413,2),УГО_спр,5,FALSE),0))&gt;0,MAX(IFERROR(--VLOOKUP(R413,УГО_спр,5,FALSE),0),IFERROR(--VLOOKUP(AL413,УГО_спр,5,FALSE),0),IFERROR(--VLOOKUP(LEFT(AL413,2),УГО_спр,5,FALSE),0)),IF(IFERROR(--LEFT(SUBSTITUTE(BQ413,"x","х"),FIND("х",SUBSTITUTE(BQ413,"x","х"))-1),3)&gt;3,Каталог!$S$9,1)))</f>
      </c>
      <c r="BX413" s="129">
        <f>IF(AY413&lt;&gt;1,0,MAX(0,IFERROR(--LEFT(SUBSTITUTE(BQ413,"x","х"),FIND("х",SUBSTITUTE(BQ413,"x","х"))-1),3)-3*BW413))</f>
      </c>
      <c r="BY413" s="129">
        <f>IF(R413="","",IFERROR(VLOOKUP(R413,УГО_спр,2,FALSE),IFERROR(VLOOKUP(AL413,УГО_спр,2,FALSE),IFERROR(VLOOKUP(LEFT(AL413,2),УГО_спр,2,FALSE),""))))</f>
      </c>
    </row>
    <row r="414" spans="1:64" x14ac:dyDescent="0.3">
      <c r="A414" s="135">
        <f>IF(Разбивка_по_щитам!F414=0,"",Разбивка_по_щитам!F414)</f>
      </c>
      <c r="B414" s="138">
        <f>IF(A414="","",Разбивка_по_щитам!C414)</f>
      </c>
      <c r="C414" s="138">
        <f t="shared" si="258"/>
      </c>
      <c r="D414" s="266"/>
      <c r="E414" s="266"/>
      <c r="F414" s="267"/>
      <c r="G414" s="145">
        <f t="shared" si="294"/>
        <v/>
      </c>
      <c r="H414" s="145">
        <f t="shared" si="295"/>
        <v/>
      </c>
      <c r="I414" s="266"/>
      <c r="J414" s="267"/>
      <c r="K414" s="267"/>
      <c r="L414" s="266"/>
      <c r="M414" s="147">
        <f t="shared" si="296"/>
        <v/>
      </c>
      <c r="N414" s="267"/>
      <c r="O414" s="147">
        <f t="shared" si="297"/>
        <v/>
      </c>
      <c r="P414" s="268">
        <f>IF(AY414=1,"XT"&amp;COUNTIFS($A$3:A414,A414,$AY$3:AY414,1),"")</f>
        <v/>
      </c>
      <c r="Q414" s="152">
        <f>IF(R414="","",IFERROR(SUBSTITUTE(Разбивка_по_щитам!P414,CHAR(10)," "),""))</f>
        <v/>
      </c>
      <c r="R414" s="153">
        <f>IF(OR(Разбивка_по_щитам!H414="",Разбивка_по_щитам!H414=0),"",Разбивка_по_щитам!H414)</f>
        <v/>
      </c>
      <c r="S414" s="154">
        <f>IF(R414="","",IFERROR(Разбивка_по_щитам!J414&amp;"",""))</f>
        <v/>
      </c>
      <c r="T414" s="155">
        <f>IF(R414="","",IFERROR(--Разбивка_по_щитам!L414,""))</f>
        <v/>
      </c>
      <c r="U414" s="155">
        <f>IF(R414="","",IFERROR(--Разбивка_по_щитам!K414,""))</f>
        <v/>
      </c>
      <c r="V414" s="138">
        <f>IF(R414="","",IFERROR(IF(Разбивка_по_щитам!M414=0,"",Разбивка_по_щитам!M414),""))</f>
        <v/>
      </c>
      <c r="W414" s="156">
        <f t="shared" si="259"/>
        <v/>
      </c>
      <c r="X414" s="157">
        <f t="shared" si="260"/>
        <v/>
      </c>
      <c r="Y414" s="266"/>
      <c r="Z414" s="158">
        <f t="shared" si="261"/>
        <v/>
      </c>
      <c r="AA414" s="160">
        <f t="shared" si="262"/>
        <v/>
      </c>
      <c r="AB414" s="160">
        <f>IF(R414="","",IFERROR(LOOKUP(INDEX(Справочная!$I$4:$I$19,MATCH(VLOOKUP(R414,Исходные_данные,22,FALSE),Справочная!$J$4:$J$19,0)+1),{6,10,16,20,25,32,40,50,63,80,100,125}),""))</f>
        <v/>
      </c>
      <c r="AC414" s="160">
        <f t="shared" si="263"/>
        <v/>
      </c>
      <c r="AD414" s="161">
        <f t="shared" si="264"/>
        <v/>
      </c>
      <c r="AE414" s="161">
        <f>IF(AND(R414="",G414=""),"",_xlfn.TEXTJOIN("; ",TRUE,IF(AND(R414&lt;&gt;"",V414=""),"нет фазы",""),IF(AND(R414&lt;&gt;"",N(T414)=0),"нет мощности",""),IF(AND(P414&lt;&gt;"",COUNTIFS($A$3:$A$1000,A414,$P$3:$P$1000,P414)&gt;1),"дубль клеммы "&amp;P414,""),IF(AND(W414&lt;&gt;"",W414&lt;&gt;"ok"),W414,""),IF(X414&lt;&gt;"",X414,""),IF(AND(ISNUMBER(SEARCH("(5х",Q414)),N(AK414)=1),"5 жил на 1 фазе",""),IF(AND(AL414="R",E414&lt;&gt;"",N(AS414)=0),"розетка без 30 мА",""),IF(IFERROR(_xlfn.NUMBERVALUE(MID(Q414,FIND("-",Q414,FIND("L=",Q414))+1,FIND("%",Q414)-FIND("-",Q414,FIND("L=",Q414))-1),","),0)&gt;4,"потери &gt; 4 %","")))</f>
      </c>
      <c r="AF414" s="129">
        <f>IF(E414&lt;&gt;"",COUNTIFS($A$3:A414,A414,$E$3:E414,"?*"),IF(OR(A414&lt;&gt;A413,Y414="вручную"),"",AF413))</f>
      </c>
      <c r="AG414" s="129">
        <f t="shared" si="265"/>
      </c>
      <c r="AH414" s="129">
        <f t="shared" si="266"/>
        <v/>
      </c>
      <c r="AI414" s="129">
        <f t="shared" si="267"/>
        <v/>
      </c>
      <c r="AJ414" s="129">
        <f t="shared" si="268"/>
        <v/>
      </c>
      <c r="AK414" s="129">
        <f t="shared" si="269"/>
        <v/>
      </c>
      <c r="AL414" s="129">
        <f t="shared" si="270"/>
        <v/>
      </c>
      <c r="AM414" s="129">
        <f t="shared" si="271"/>
      </c>
      <c r="AN414" s="129">
        <f t="shared" si="272"/>
      </c>
      <c r="AO414" s="129">
        <f t="shared" si="273"/>
        <v/>
      </c>
      <c r="AP414" s="129">
        <f t="shared" si="274"/>
        <v/>
      </c>
      <c r="AQ414" s="129">
        <f t="shared" si="275"/>
        <v/>
      </c>
      <c r="AR414" s="129">
        <f t="shared" si="276"/>
        <v/>
      </c>
      <c r="AS414" s="129">
        <f t="shared" si="277"/>
        <v/>
      </c>
      <c r="AT414" s="129">
        <f t="shared" si="278"/>
        <v/>
      </c>
      <c r="AU414" s="129">
        <f t="shared" si="279"/>
        <v/>
      </c>
      <c r="AV414" s="129">
        <f t="shared" si="280"/>
        <v/>
      </c>
      <c r="AW414" s="129">
        <f>IF(AV414="","",AV414&amp;"."&amp;COUNTIFS($A$3:A414,A414,$AV$3:AV414,AV414))</f>
        <v/>
      </c>
      <c r="AX414" s="129">
        <f t="shared" si="281"/>
        <v/>
      </c>
      <c r="AY414" s="129">
        <f>IF(N414="б/к",0,IF(OR(ISNUMBER(SEARCH("L=",Разбивка_по_щитам!P414)),N414="+",N414="="),1,0))</f>
      </c>
      <c r="AZ414" s="129">
        <f t="shared" si="282"/>
      </c>
      <c r="BA414" s="129">
        <f t="shared" si="283"/>
      </c>
      <c r="BB414" s="129">
        <f t="shared" si="284"/>
      </c>
      <c r="BD414" s="129">
        <f t="shared" si="285"/>
      </c>
      <c r="BE414" s="129">
        <f t="shared" si="286"/>
      </c>
      <c r="BF414" s="129">
        <f t="shared" si="287"/>
      </c>
      <c r="BG414" s="129">
        <f t="shared" si="288"/>
        <v/>
      </c>
      <c r="BH414" s="129">
        <f t="shared" si="289"/>
        <v/>
      </c>
      <c r="BI414" s="129">
        <f t="shared" si="290"/>
        <v/>
      </c>
      <c r="BJ414" s="129">
        <f t="shared" si="291"/>
        <v/>
      </c>
      <c r="BK414" s="129">
        <f>IF(R414="","",IF(OR(BY414="",BY414=0),"BOX",IFERROR(IF(VLOOKUP(BY414,УГО_блоки,3,FALSE)&amp;""&lt;&gt;"",VLOOKUP(BY414,УГО_блоки,3,FALSE),VLOOKUP(BY414,УГО_блоки,2,FALSE)),BY414)))</f>
      </c>
      <c r="BL414" s="129">
        <f t="shared" si="293"/>
      </c>
      <c r="BM414" s="129">
        <f>IF(H414="","",IF(COUNTIF($H$3:H414,H414)=1,MAX($BM$2:BM413)+1,""))</f>
      </c>
      <c r="BN414" s="129">
        <f>IF(I414="","",IF(COUNTIF($I$3:I414,I414)+COUNTIF($J$2:J413,I414)+COUNTIF($K$2:K413,I414)=1,MAX($BN$2:BP413)+1,""))</f>
      </c>
      <c r="BO414" s="129">
        <f>IF(J414="","",IF(COUNTIF($I$3:I414,J414)+COUNTIF($J$3:J414,J414)+COUNTIF($K$2:K413,J414)=1,MAX($BN$2:BP413,BN414)+1,""))</f>
      </c>
      <c r="BP414" s="129">
        <f>IF(K414="","",IF(COUNTIF($I$3:I414,K414)+COUNTIF($J$3:J414,K414)+COUNTIF($K$3:K414,K414)=1,MAX($BN$2:BP413,BN414,BO414)+1,""))</f>
      </c>
      <c r="BQ414" s="129">
        <f>IF(AY414=1,IFERROR(MID(Q414,FIND(" (",Q414)+2,FIND(")",Q414,FIND(" (",Q414))-FIND(" (",Q414)-2),"?"),"")</f>
      </c>
      <c r="BR414" s="129">
        <f>IF(BQ414="","",IF(COUNTIF($BQ$3:BQ414,BQ414)=1,MAX($BR$2:BR413)+1,""))</f>
      </c>
      <c r="BS414" s="129">
        <f>IF(AW414="","",COUNTIF($AW$3:AW414,"?*"))</f>
      </c>
      <c r="BT414" s="129">
        <f>IF(OR(AW414="",AI414=""),"",IF(COUNTIFS($AW$3:AW414,"?*",$AI$3:AI414,AI414)=1,MAX($BT$2:BT413)+1,""))</f>
      </c>
      <c r="BU414" s="129">
        <f>IF(AE414="",0,IF(OR(ISNUMBER(SEARCH("дубль",AE414)),ISNUMBER(SEARCH("ПЕРЕГРУЗ",AE414)),ISNUMBER(SEARCH("ЗАЩИЩ",AE414)),ISNUMBER(SEARCH("КАНАЛ",AE414)),ISNUMBER(SEARCH("без 30",AE414))),2,1))</f>
      </c>
      <c r="BV414" s="129">
        <f>IF(R414="","",COUNTIF($R$3:R414,"?*"))</f>
      </c>
      <c r="BW414" s="129">
        <f>IF(AY414&lt;&gt;1,0,IF(MAX(IFERROR(--VLOOKUP(R414,УГО_спр,5,FALSE),0),IFERROR(--VLOOKUP(AL414,УГО_спр,5,FALSE),0),IFERROR(--VLOOKUP(LEFT(AL414,2),УГО_спр,5,FALSE),0))&gt;0,MAX(IFERROR(--VLOOKUP(R414,УГО_спр,5,FALSE),0),IFERROR(--VLOOKUP(AL414,УГО_спр,5,FALSE),0),IFERROR(--VLOOKUP(LEFT(AL414,2),УГО_спр,5,FALSE),0)),IF(IFERROR(--LEFT(SUBSTITUTE(BQ414,"x","х"),FIND("х",SUBSTITUTE(BQ414,"x","х"))-1),3)&gt;3,Каталог!$S$9,1)))</f>
      </c>
      <c r="BX414" s="129">
        <f>IF(AY414&lt;&gt;1,0,MAX(0,IFERROR(--LEFT(SUBSTITUTE(BQ414,"x","х"),FIND("х",SUBSTITUTE(BQ414,"x","х"))-1),3)-3*BW414))</f>
      </c>
      <c r="BY414" s="129">
        <f>IF(R414="","",IFERROR(VLOOKUP(R414,УГО_спр,2,FALSE),IFERROR(VLOOKUP(AL414,УГО_спр,2,FALSE),IFERROR(VLOOKUP(LEFT(AL414,2),УГО_спр,2,FALSE),""))))</f>
      </c>
    </row>
    <row r="415" spans="1:64" x14ac:dyDescent="0.3">
      <c r="A415" s="135">
        <f>IF(Разбивка_по_щитам!F415=0,"",Разбивка_по_щитам!F415)</f>
      </c>
      <c r="B415" s="138">
        <f>IF(A415="","",Разбивка_по_щитам!C415)</f>
      </c>
      <c r="C415" s="138">
        <f t="shared" si="258"/>
      </c>
      <c r="D415" s="266"/>
      <c r="E415" s="266"/>
      <c r="F415" s="267"/>
      <c r="G415" s="145">
        <f t="shared" si="294"/>
        <v/>
      </c>
      <c r="H415" s="145">
        <f t="shared" si="295"/>
        <v/>
      </c>
      <c r="I415" s="266"/>
      <c r="J415" s="267"/>
      <c r="K415" s="267"/>
      <c r="L415" s="266"/>
      <c r="M415" s="147">
        <f t="shared" si="296"/>
        <v/>
      </c>
      <c r="N415" s="267"/>
      <c r="O415" s="147">
        <f t="shared" si="297"/>
        <v/>
      </c>
      <c r="P415" s="268">
        <f>IF(AY415=1,"XT"&amp;COUNTIFS($A$3:A415,A415,$AY$3:AY415,1),"")</f>
        <v/>
      </c>
      <c r="Q415" s="152">
        <f>IF(R415="","",IFERROR(SUBSTITUTE(Разбивка_по_щитам!P415,CHAR(10)," "),""))</f>
        <v/>
      </c>
      <c r="R415" s="153">
        <f>IF(OR(Разбивка_по_щитам!H415="",Разбивка_по_щитам!H415=0),"",Разбивка_по_щитам!H415)</f>
        <v/>
      </c>
      <c r="S415" s="154">
        <f>IF(R415="","",IFERROR(Разбивка_по_щитам!J415&amp;"",""))</f>
        <v/>
      </c>
      <c r="T415" s="155">
        <f>IF(R415="","",IFERROR(--Разбивка_по_щитам!L415,""))</f>
        <v/>
      </c>
      <c r="U415" s="155">
        <f>IF(R415="","",IFERROR(--Разбивка_по_щитам!K415,""))</f>
        <v/>
      </c>
      <c r="V415" s="138">
        <f>IF(R415="","",IFERROR(IF(Разбивка_по_щитам!M415=0,"",Разбивка_по_щитам!M415),""))</f>
        <v/>
      </c>
      <c r="W415" s="156">
        <f t="shared" si="259"/>
        <v/>
      </c>
      <c r="X415" s="157">
        <f t="shared" si="260"/>
        <v/>
      </c>
      <c r="Y415" s="266"/>
      <c r="Z415" s="158">
        <f t="shared" si="261"/>
        <v/>
      </c>
      <c r="AA415" s="160">
        <f t="shared" si="262"/>
        <v/>
      </c>
      <c r="AB415" s="160">
        <f>IF(R415="","",IFERROR(LOOKUP(INDEX(Справочная!$I$4:$I$19,MATCH(VLOOKUP(R415,Исходные_данные,22,FALSE),Справочная!$J$4:$J$19,0)+1),{6,10,16,20,25,32,40,50,63,80,100,125}),""))</f>
        <v/>
      </c>
      <c r="AC415" s="160">
        <f t="shared" si="263"/>
        <v/>
      </c>
      <c r="AD415" s="161">
        <f t="shared" si="264"/>
        <v/>
      </c>
      <c r="AE415" s="161">
        <f>IF(AND(R415="",G415=""),"",_xlfn.TEXTJOIN("; ",TRUE,IF(AND(R415&lt;&gt;"",V415=""),"нет фазы",""),IF(AND(R415&lt;&gt;"",N(T415)=0),"нет мощности",""),IF(AND(P415&lt;&gt;"",COUNTIFS($A$3:$A$1000,A415,$P$3:$P$1000,P415)&gt;1),"дубль клеммы "&amp;P415,""),IF(AND(W415&lt;&gt;"",W415&lt;&gt;"ok"),W415,""),IF(X415&lt;&gt;"",X415,""),IF(AND(ISNUMBER(SEARCH("(5х",Q415)),N(AK415)=1),"5 жил на 1 фазе",""),IF(AND(AL415="R",E415&lt;&gt;"",N(AS415)=0),"розетка без 30 мА",""),IF(IFERROR(_xlfn.NUMBERVALUE(MID(Q415,FIND("-",Q415,FIND("L=",Q415))+1,FIND("%",Q415)-FIND("-",Q415,FIND("L=",Q415))-1),","),0)&gt;4,"потери &gt; 4 %","")))</f>
      </c>
      <c r="AF415" s="129">
        <f>IF(E415&lt;&gt;"",COUNTIFS($A$3:A415,A415,$E$3:E415,"?*"),IF(OR(A415&lt;&gt;A414,Y415="вручную"),"",AF414))</f>
      </c>
      <c r="AG415" s="129">
        <f t="shared" si="265"/>
      </c>
      <c r="AH415" s="129">
        <f t="shared" si="266"/>
        <v/>
      </c>
      <c r="AI415" s="129">
        <f t="shared" si="267"/>
        <v/>
      </c>
      <c r="AJ415" s="129">
        <f t="shared" si="268"/>
        <v/>
      </c>
      <c r="AK415" s="129">
        <f t="shared" si="269"/>
        <v/>
      </c>
      <c r="AL415" s="129">
        <f t="shared" si="270"/>
        <v/>
      </c>
      <c r="AM415" s="129">
        <f t="shared" si="271"/>
      </c>
      <c r="AN415" s="129">
        <f t="shared" si="272"/>
      </c>
      <c r="AO415" s="129">
        <f t="shared" si="273"/>
        <v/>
      </c>
      <c r="AP415" s="129">
        <f t="shared" si="274"/>
        <v/>
      </c>
      <c r="AQ415" s="129">
        <f t="shared" si="275"/>
        <v/>
      </c>
      <c r="AR415" s="129">
        <f t="shared" si="276"/>
        <v/>
      </c>
      <c r="AS415" s="129">
        <f t="shared" si="277"/>
        <v/>
      </c>
      <c r="AT415" s="129">
        <f t="shared" si="278"/>
        <v/>
      </c>
      <c r="AU415" s="129">
        <f t="shared" si="279"/>
        <v/>
      </c>
      <c r="AV415" s="129">
        <f t="shared" si="280"/>
        <v/>
      </c>
      <c r="AW415" s="129">
        <f>IF(AV415="","",AV415&amp;"."&amp;COUNTIFS($A$3:A415,A415,$AV$3:AV415,AV415))</f>
        <v/>
      </c>
      <c r="AX415" s="129">
        <f t="shared" si="281"/>
        <v/>
      </c>
      <c r="AY415" s="129">
        <f>IF(N415="б/к",0,IF(OR(ISNUMBER(SEARCH("L=",Разбивка_по_щитам!P415)),N415="+",N415="="),1,0))</f>
      </c>
      <c r="AZ415" s="129">
        <f t="shared" si="282"/>
      </c>
      <c r="BA415" s="129">
        <f t="shared" si="283"/>
      </c>
      <c r="BB415" s="129">
        <f t="shared" si="284"/>
      </c>
      <c r="BD415" s="129">
        <f t="shared" si="285"/>
      </c>
      <c r="BE415" s="129">
        <f t="shared" si="286"/>
      </c>
      <c r="BF415" s="129">
        <f t="shared" si="287"/>
      </c>
      <c r="BG415" s="129">
        <f t="shared" si="288"/>
        <v/>
      </c>
      <c r="BH415" s="129">
        <f t="shared" si="289"/>
        <v/>
      </c>
      <c r="BI415" s="129">
        <f t="shared" si="290"/>
        <v/>
      </c>
      <c r="BJ415" s="129">
        <f t="shared" si="291"/>
        <v/>
      </c>
      <c r="BK415" s="129">
        <f>IF(R415="","",IF(OR(BY415="",BY415=0),"BOX",IFERROR(IF(VLOOKUP(BY415,УГО_блоки,3,FALSE)&amp;""&lt;&gt;"",VLOOKUP(BY415,УГО_блоки,3,FALSE),VLOOKUP(BY415,УГО_блоки,2,FALSE)),BY415)))</f>
      </c>
      <c r="BL415" s="129">
        <f t="shared" si="293"/>
      </c>
      <c r="BM415" s="129">
        <f>IF(H415="","",IF(COUNTIF($H$3:H415,H415)=1,MAX($BM$2:BM414)+1,""))</f>
      </c>
      <c r="BN415" s="129">
        <f>IF(I415="","",IF(COUNTIF($I$3:I415,I415)+COUNTIF($J$2:J414,I415)+COUNTIF($K$2:K414,I415)=1,MAX($BN$2:BP414)+1,""))</f>
      </c>
      <c r="BO415" s="129">
        <f>IF(J415="","",IF(COUNTIF($I$3:I415,J415)+COUNTIF($J$3:J415,J415)+COUNTIF($K$2:K414,J415)=1,MAX($BN$2:BP414,BN415)+1,""))</f>
      </c>
      <c r="BP415" s="129">
        <f>IF(K415="","",IF(COUNTIF($I$3:I415,K415)+COUNTIF($J$3:J415,K415)+COUNTIF($K$3:K415,K415)=1,MAX($BN$2:BP414,BN415,BO415)+1,""))</f>
      </c>
      <c r="BQ415" s="129">
        <f>IF(AY415=1,IFERROR(MID(Q415,FIND(" (",Q415)+2,FIND(")",Q415,FIND(" (",Q415))-FIND(" (",Q415)-2),"?"),"")</f>
      </c>
      <c r="BR415" s="129">
        <f>IF(BQ415="","",IF(COUNTIF($BQ$3:BQ415,BQ415)=1,MAX($BR$2:BR414)+1,""))</f>
      </c>
      <c r="BS415" s="129">
        <f>IF(AW415="","",COUNTIF($AW$3:AW415,"?*"))</f>
      </c>
      <c r="BT415" s="129">
        <f>IF(OR(AW415="",AI415=""),"",IF(COUNTIFS($AW$3:AW415,"?*",$AI$3:AI415,AI415)=1,MAX($BT$2:BT414)+1,""))</f>
      </c>
      <c r="BU415" s="129">
        <f>IF(AE415="",0,IF(OR(ISNUMBER(SEARCH("дубль",AE415)),ISNUMBER(SEARCH("ПЕРЕГРУЗ",AE415)),ISNUMBER(SEARCH("ЗАЩИЩ",AE415)),ISNUMBER(SEARCH("КАНАЛ",AE415)),ISNUMBER(SEARCH("без 30",AE415))),2,1))</f>
      </c>
      <c r="BV415" s="129">
        <f>IF(R415="","",COUNTIF($R$3:R415,"?*"))</f>
      </c>
      <c r="BW415" s="129">
        <f>IF(AY415&lt;&gt;1,0,IF(MAX(IFERROR(--VLOOKUP(R415,УГО_спр,5,FALSE),0),IFERROR(--VLOOKUP(AL415,УГО_спр,5,FALSE),0),IFERROR(--VLOOKUP(LEFT(AL415,2),УГО_спр,5,FALSE),0))&gt;0,MAX(IFERROR(--VLOOKUP(R415,УГО_спр,5,FALSE),0),IFERROR(--VLOOKUP(AL415,УГО_спр,5,FALSE),0),IFERROR(--VLOOKUP(LEFT(AL415,2),УГО_спр,5,FALSE),0)),IF(IFERROR(--LEFT(SUBSTITUTE(BQ415,"x","х"),FIND("х",SUBSTITUTE(BQ415,"x","х"))-1),3)&gt;3,Каталог!$S$9,1)))</f>
      </c>
      <c r="BX415" s="129">
        <f>IF(AY415&lt;&gt;1,0,MAX(0,IFERROR(--LEFT(SUBSTITUTE(BQ415,"x","х"),FIND("х",SUBSTITUTE(BQ415,"x","х"))-1),3)-3*BW415))</f>
      </c>
      <c r="BY415" s="129">
        <f>IF(R415="","",IFERROR(VLOOKUP(R415,УГО_спр,2,FALSE),IFERROR(VLOOKUP(AL415,УГО_спр,2,FALSE),IFERROR(VLOOKUP(LEFT(AL415,2),УГО_спр,2,FALSE),""))))</f>
      </c>
    </row>
    <row r="416" spans="1:64" x14ac:dyDescent="0.3">
      <c r="A416" s="135">
        <f>IF(Разбивка_по_щитам!F416=0,"",Разбивка_по_щитам!F416)</f>
      </c>
      <c r="B416" s="138">
        <f>IF(A416="","",Разбивка_по_щитам!C416)</f>
      </c>
      <c r="C416" s="138">
        <f t="shared" si="258"/>
      </c>
      <c r="D416" s="266"/>
      <c r="E416" s="266"/>
      <c r="F416" s="267"/>
      <c r="G416" s="145">
        <f t="shared" si="294"/>
        <v/>
      </c>
      <c r="H416" s="145">
        <f t="shared" si="295"/>
        <v/>
      </c>
      <c r="I416" s="266"/>
      <c r="J416" s="267"/>
      <c r="K416" s="267"/>
      <c r="L416" s="266"/>
      <c r="M416" s="147">
        <f t="shared" si="296"/>
        <v/>
      </c>
      <c r="N416" s="267"/>
      <c r="O416" s="147">
        <f t="shared" si="297"/>
        <v/>
      </c>
      <c r="P416" s="268">
        <f>IF(AY416=1,"XT"&amp;COUNTIFS($A$3:A416,A416,$AY$3:AY416,1),"")</f>
        <v/>
      </c>
      <c r="Q416" s="152">
        <f>IF(R416="","",IFERROR(SUBSTITUTE(Разбивка_по_щитам!P416,CHAR(10)," "),""))</f>
        <v/>
      </c>
      <c r="R416" s="153">
        <f>IF(OR(Разбивка_по_щитам!H416="",Разбивка_по_щитам!H416=0),"",Разбивка_по_щитам!H416)</f>
        <v/>
      </c>
      <c r="S416" s="154">
        <f>IF(R416="","",IFERROR(Разбивка_по_щитам!J416&amp;"",""))</f>
        <v/>
      </c>
      <c r="T416" s="155">
        <f>IF(R416="","",IFERROR(--Разбивка_по_щитам!L416,""))</f>
        <v/>
      </c>
      <c r="U416" s="155">
        <f>IF(R416="","",IFERROR(--Разбивка_по_щитам!K416,""))</f>
        <v/>
      </c>
      <c r="V416" s="138">
        <f>IF(R416="","",IFERROR(IF(Разбивка_по_щитам!M416=0,"",Разбивка_по_щитам!M416),""))</f>
        <v/>
      </c>
      <c r="W416" s="156">
        <f t="shared" si="259"/>
        <v/>
      </c>
      <c r="X416" s="157">
        <f t="shared" si="260"/>
        <v/>
      </c>
      <c r="Y416" s="266"/>
      <c r="Z416" s="158">
        <f t="shared" si="261"/>
        <v/>
      </c>
      <c r="AA416" s="160">
        <f t="shared" si="262"/>
        <v/>
      </c>
      <c r="AB416" s="160">
        <f>IF(R416="","",IFERROR(LOOKUP(INDEX(Справочная!$I$4:$I$19,MATCH(VLOOKUP(R416,Исходные_данные,22,FALSE),Справочная!$J$4:$J$19,0)+1),{6,10,16,20,25,32,40,50,63,80,100,125}),""))</f>
        <v/>
      </c>
      <c r="AC416" s="160">
        <f t="shared" si="263"/>
        <v/>
      </c>
      <c r="AD416" s="161">
        <f t="shared" si="264"/>
        <v/>
      </c>
      <c r="AE416" s="161">
        <f>IF(AND(R416="",G416=""),"",_xlfn.TEXTJOIN("; ",TRUE,IF(AND(R416&lt;&gt;"",V416=""),"нет фазы",""),IF(AND(R416&lt;&gt;"",N(T416)=0),"нет мощности",""),IF(AND(P416&lt;&gt;"",COUNTIFS($A$3:$A$1000,A416,$P$3:$P$1000,P416)&gt;1),"дубль клеммы "&amp;P416,""),IF(AND(W416&lt;&gt;"",W416&lt;&gt;"ok"),W416,""),IF(X416&lt;&gt;"",X416,""),IF(AND(ISNUMBER(SEARCH("(5х",Q416)),N(AK416)=1),"5 жил на 1 фазе",""),IF(AND(AL416="R",E416&lt;&gt;"",N(AS416)=0),"розетка без 30 мА",""),IF(IFERROR(_xlfn.NUMBERVALUE(MID(Q416,FIND("-",Q416,FIND("L=",Q416))+1,FIND("%",Q416)-FIND("-",Q416,FIND("L=",Q416))-1),","),0)&gt;4,"потери &gt; 4 %","")))</f>
      </c>
      <c r="AF416" s="129">
        <f>IF(E416&lt;&gt;"",COUNTIFS($A$3:A416,A416,$E$3:E416,"?*"),IF(OR(A416&lt;&gt;A415,Y416="вручную"),"",AF415))</f>
      </c>
      <c r="AG416" s="129">
        <f t="shared" si="265"/>
      </c>
      <c r="AH416" s="129">
        <f t="shared" si="266"/>
        <v/>
      </c>
      <c r="AI416" s="129">
        <f t="shared" si="267"/>
        <v/>
      </c>
      <c r="AJ416" s="129">
        <f t="shared" si="268"/>
        <v/>
      </c>
      <c r="AK416" s="129">
        <f t="shared" si="269"/>
        <v/>
      </c>
      <c r="AL416" s="129">
        <f t="shared" si="270"/>
        <v/>
      </c>
      <c r="AM416" s="129">
        <f t="shared" si="271"/>
      </c>
      <c r="AN416" s="129">
        <f t="shared" si="272"/>
      </c>
      <c r="AO416" s="129">
        <f t="shared" si="273"/>
        <v/>
      </c>
      <c r="AP416" s="129">
        <f t="shared" si="274"/>
        <v/>
      </c>
      <c r="AQ416" s="129">
        <f t="shared" si="275"/>
        <v/>
      </c>
      <c r="AR416" s="129">
        <f t="shared" si="276"/>
        <v/>
      </c>
      <c r="AS416" s="129">
        <f t="shared" si="277"/>
        <v/>
      </c>
      <c r="AT416" s="129">
        <f t="shared" si="278"/>
        <v/>
      </c>
      <c r="AU416" s="129">
        <f t="shared" si="279"/>
        <v/>
      </c>
      <c r="AV416" s="129">
        <f t="shared" si="280"/>
        <v/>
      </c>
      <c r="AW416" s="129">
        <f>IF(AV416="","",AV416&amp;"."&amp;COUNTIFS($A$3:A416,A416,$AV$3:AV416,AV416))</f>
        <v/>
      </c>
      <c r="AX416" s="129">
        <f t="shared" si="281"/>
        <v/>
      </c>
      <c r="AY416" s="129">
        <f>IF(N416="б/к",0,IF(OR(ISNUMBER(SEARCH("L=",Разбивка_по_щитам!P416)),N416="+",N416="="),1,0))</f>
      </c>
      <c r="AZ416" s="129">
        <f t="shared" si="282"/>
      </c>
      <c r="BA416" s="129">
        <f t="shared" si="283"/>
      </c>
      <c r="BB416" s="129">
        <f t="shared" si="284"/>
      </c>
      <c r="BD416" s="129">
        <f t="shared" si="285"/>
      </c>
      <c r="BE416" s="129">
        <f t="shared" si="286"/>
      </c>
      <c r="BF416" s="129">
        <f t="shared" si="287"/>
      </c>
      <c r="BG416" s="129">
        <f t="shared" si="288"/>
        <v/>
      </c>
      <c r="BH416" s="129">
        <f t="shared" si="289"/>
        <v/>
      </c>
      <c r="BI416" s="129">
        <f t="shared" si="290"/>
        <v/>
      </c>
      <c r="BJ416" s="129">
        <f t="shared" si="291"/>
        <v/>
      </c>
      <c r="BK416" s="129">
        <f>IF(R416="","",IF(OR(BY416="",BY416=0),"BOX",IFERROR(IF(VLOOKUP(BY416,УГО_блоки,3,FALSE)&amp;""&lt;&gt;"",VLOOKUP(BY416,УГО_блоки,3,FALSE),VLOOKUP(BY416,УГО_блоки,2,FALSE)),BY416)))</f>
      </c>
      <c r="BL416" s="129">
        <f t="shared" si="293"/>
      </c>
      <c r="BM416" s="129">
        <f>IF(H416="","",IF(COUNTIF($H$3:H416,H416)=1,MAX($BM$2:BM415)+1,""))</f>
      </c>
      <c r="BN416" s="129">
        <f>IF(I416="","",IF(COUNTIF($I$3:I416,I416)+COUNTIF($J$2:J415,I416)+COUNTIF($K$2:K415,I416)=1,MAX($BN$2:BP415)+1,""))</f>
      </c>
      <c r="BO416" s="129">
        <f>IF(J416="","",IF(COUNTIF($I$3:I416,J416)+COUNTIF($J$3:J416,J416)+COUNTIF($K$2:K415,J416)=1,MAX($BN$2:BP415,BN416)+1,""))</f>
      </c>
      <c r="BP416" s="129">
        <f>IF(K416="","",IF(COUNTIF($I$3:I416,K416)+COUNTIF($J$3:J416,K416)+COUNTIF($K$3:K416,K416)=1,MAX($BN$2:BP415,BN416,BO416)+1,""))</f>
      </c>
      <c r="BQ416" s="129">
        <f>IF(AY416=1,IFERROR(MID(Q416,FIND(" (",Q416)+2,FIND(")",Q416,FIND(" (",Q416))-FIND(" (",Q416)-2),"?"),"")</f>
      </c>
      <c r="BR416" s="129">
        <f>IF(BQ416="","",IF(COUNTIF($BQ$3:BQ416,BQ416)=1,MAX($BR$2:BR415)+1,""))</f>
      </c>
      <c r="BS416" s="129">
        <f>IF(AW416="","",COUNTIF($AW$3:AW416,"?*"))</f>
      </c>
      <c r="BT416" s="129">
        <f>IF(OR(AW416="",AI416=""),"",IF(COUNTIFS($AW$3:AW416,"?*",$AI$3:AI416,AI416)=1,MAX($BT$2:BT415)+1,""))</f>
      </c>
      <c r="BU416" s="129">
        <f>IF(AE416="",0,IF(OR(ISNUMBER(SEARCH("дубль",AE416)),ISNUMBER(SEARCH("ПЕРЕГРУЗ",AE416)),ISNUMBER(SEARCH("ЗАЩИЩ",AE416)),ISNUMBER(SEARCH("КАНАЛ",AE416)),ISNUMBER(SEARCH("без 30",AE416))),2,1))</f>
      </c>
      <c r="BV416" s="129">
        <f>IF(R416="","",COUNTIF($R$3:R416,"?*"))</f>
      </c>
      <c r="BW416" s="129">
        <f>IF(AY416&lt;&gt;1,0,IF(MAX(IFERROR(--VLOOKUP(R416,УГО_спр,5,FALSE),0),IFERROR(--VLOOKUP(AL416,УГО_спр,5,FALSE),0),IFERROR(--VLOOKUP(LEFT(AL416,2),УГО_спр,5,FALSE),0))&gt;0,MAX(IFERROR(--VLOOKUP(R416,УГО_спр,5,FALSE),0),IFERROR(--VLOOKUP(AL416,УГО_спр,5,FALSE),0),IFERROR(--VLOOKUP(LEFT(AL416,2),УГО_спр,5,FALSE),0)),IF(IFERROR(--LEFT(SUBSTITUTE(BQ416,"x","х"),FIND("х",SUBSTITUTE(BQ416,"x","х"))-1),3)&gt;3,Каталог!$S$9,1)))</f>
      </c>
      <c r="BX416" s="129">
        <f>IF(AY416&lt;&gt;1,0,MAX(0,IFERROR(--LEFT(SUBSTITUTE(BQ416,"x","х"),FIND("х",SUBSTITUTE(BQ416,"x","х"))-1),3)-3*BW416))</f>
      </c>
      <c r="BY416" s="129">
        <f>IF(R416="","",IFERROR(VLOOKUP(R416,УГО_спр,2,FALSE),IFERROR(VLOOKUP(AL416,УГО_спр,2,FALSE),IFERROR(VLOOKUP(LEFT(AL416,2),УГО_спр,2,FALSE),""))))</f>
      </c>
    </row>
    <row r="417" spans="1:64" x14ac:dyDescent="0.3">
      <c r="A417" s="135">
        <f>IF(Разбивка_по_щитам!F417=0,"",Разбивка_по_щитам!F417)</f>
      </c>
      <c r="B417" s="138">
        <f>IF(A417="","",Разбивка_по_щитам!C417)</f>
      </c>
      <c r="C417" s="138">
        <f t="shared" si="258"/>
      </c>
      <c r="D417" s="266"/>
      <c r="E417" s="266"/>
      <c r="F417" s="267"/>
      <c r="G417" s="145">
        <f t="shared" si="294"/>
        <v/>
      </c>
      <c r="H417" s="145">
        <f t="shared" si="295"/>
        <v/>
      </c>
      <c r="I417" s="266"/>
      <c r="J417" s="267"/>
      <c r="K417" s="267"/>
      <c r="L417" s="266"/>
      <c r="M417" s="147">
        <f t="shared" si="296"/>
        <v/>
      </c>
      <c r="N417" s="267"/>
      <c r="O417" s="147">
        <f t="shared" si="297"/>
        <v/>
      </c>
      <c r="P417" s="268">
        <f>IF(AY417=1,"XT"&amp;COUNTIFS($A$3:A417,A417,$AY$3:AY417,1),"")</f>
        <v/>
      </c>
      <c r="Q417" s="152">
        <f>IF(R417="","",IFERROR(SUBSTITUTE(Разбивка_по_щитам!P417,CHAR(10)," "),""))</f>
        <v/>
      </c>
      <c r="R417" s="153">
        <f>IF(OR(Разбивка_по_щитам!H417="",Разбивка_по_щитам!H417=0),"",Разбивка_по_щитам!H417)</f>
        <v/>
      </c>
      <c r="S417" s="154">
        <f>IF(R417="","",IFERROR(Разбивка_по_щитам!J417&amp;"",""))</f>
        <v/>
      </c>
      <c r="T417" s="155">
        <f>IF(R417="","",IFERROR(--Разбивка_по_щитам!L417,""))</f>
        <v/>
      </c>
      <c r="U417" s="155">
        <f>IF(R417="","",IFERROR(--Разбивка_по_щитам!K417,""))</f>
        <v/>
      </c>
      <c r="V417" s="138">
        <f>IF(R417="","",IFERROR(IF(Разбивка_по_щитам!M417=0,"",Разбивка_по_щитам!M417),""))</f>
        <v/>
      </c>
      <c r="W417" s="156">
        <f t="shared" si="259"/>
        <v/>
      </c>
      <c r="X417" s="157">
        <f t="shared" si="260"/>
        <v/>
      </c>
      <c r="Y417" s="266"/>
      <c r="Z417" s="158">
        <f t="shared" si="261"/>
        <v/>
      </c>
      <c r="AA417" s="160">
        <f t="shared" si="262"/>
        <v/>
      </c>
      <c r="AB417" s="160">
        <f>IF(R417="","",IFERROR(LOOKUP(INDEX(Справочная!$I$4:$I$19,MATCH(VLOOKUP(R417,Исходные_данные,22,FALSE),Справочная!$J$4:$J$19,0)+1),{6,10,16,20,25,32,40,50,63,80,100,125}),""))</f>
        <v/>
      </c>
      <c r="AC417" s="160">
        <f t="shared" si="263"/>
        <v/>
      </c>
      <c r="AD417" s="161">
        <f t="shared" si="264"/>
        <v/>
      </c>
      <c r="AE417" s="161">
        <f>IF(AND(R417="",G417=""),"",_xlfn.TEXTJOIN("; ",TRUE,IF(AND(R417&lt;&gt;"",V417=""),"нет фазы",""),IF(AND(R417&lt;&gt;"",N(T417)=0),"нет мощности",""),IF(AND(P417&lt;&gt;"",COUNTIFS($A$3:$A$1000,A417,$P$3:$P$1000,P417)&gt;1),"дубль клеммы "&amp;P417,""),IF(AND(W417&lt;&gt;"",W417&lt;&gt;"ok"),W417,""),IF(X417&lt;&gt;"",X417,""),IF(AND(ISNUMBER(SEARCH("(5х",Q417)),N(AK417)=1),"5 жил на 1 фазе",""),IF(AND(AL417="R",E417&lt;&gt;"",N(AS417)=0),"розетка без 30 мА",""),IF(IFERROR(_xlfn.NUMBERVALUE(MID(Q417,FIND("-",Q417,FIND("L=",Q417))+1,FIND("%",Q417)-FIND("-",Q417,FIND("L=",Q417))-1),","),0)&gt;4,"потери &gt; 4 %","")))</f>
      </c>
      <c r="AF417" s="129">
        <f>IF(E417&lt;&gt;"",COUNTIFS($A$3:A417,A417,$E$3:E417,"?*"),IF(OR(A417&lt;&gt;A416,Y417="вручную"),"",AF416))</f>
      </c>
      <c r="AG417" s="129">
        <f t="shared" si="265"/>
      </c>
      <c r="AH417" s="129">
        <f t="shared" si="266"/>
        <v/>
      </c>
      <c r="AI417" s="129">
        <f t="shared" si="267"/>
        <v/>
      </c>
      <c r="AJ417" s="129">
        <f t="shared" si="268"/>
        <v/>
      </c>
      <c r="AK417" s="129">
        <f t="shared" si="269"/>
        <v/>
      </c>
      <c r="AL417" s="129">
        <f t="shared" si="270"/>
        <v/>
      </c>
      <c r="AM417" s="129">
        <f t="shared" si="271"/>
      </c>
      <c r="AN417" s="129">
        <f t="shared" si="272"/>
      </c>
      <c r="AO417" s="129">
        <f t="shared" si="273"/>
        <v/>
      </c>
      <c r="AP417" s="129">
        <f t="shared" si="274"/>
        <v/>
      </c>
      <c r="AQ417" s="129">
        <f t="shared" si="275"/>
        <v/>
      </c>
      <c r="AR417" s="129">
        <f t="shared" si="276"/>
        <v/>
      </c>
      <c r="AS417" s="129">
        <f t="shared" si="277"/>
        <v/>
      </c>
      <c r="AT417" s="129">
        <f t="shared" si="278"/>
        <v/>
      </c>
      <c r="AU417" s="129">
        <f t="shared" si="279"/>
        <v/>
      </c>
      <c r="AV417" s="129">
        <f t="shared" si="280"/>
        <v/>
      </c>
      <c r="AW417" s="129">
        <f>IF(AV417="","",AV417&amp;"."&amp;COUNTIFS($A$3:A417,A417,$AV$3:AV417,AV417))</f>
        <v/>
      </c>
      <c r="AX417" s="129">
        <f t="shared" si="281"/>
        <v/>
      </c>
      <c r="AY417" s="129">
        <f>IF(N417="б/к",0,IF(OR(ISNUMBER(SEARCH("L=",Разбивка_по_щитам!P417)),N417="+",N417="="),1,0))</f>
      </c>
      <c r="AZ417" s="129">
        <f t="shared" si="282"/>
      </c>
      <c r="BA417" s="129">
        <f t="shared" si="283"/>
      </c>
      <c r="BB417" s="129">
        <f t="shared" si="284"/>
      </c>
      <c r="BD417" s="129">
        <f t="shared" si="285"/>
      </c>
      <c r="BE417" s="129">
        <f t="shared" si="286"/>
      </c>
      <c r="BF417" s="129">
        <f t="shared" si="287"/>
      </c>
      <c r="BG417" s="129">
        <f t="shared" si="288"/>
        <v/>
      </c>
      <c r="BH417" s="129">
        <f t="shared" si="289"/>
        <v/>
      </c>
      <c r="BI417" s="129">
        <f t="shared" si="290"/>
        <v/>
      </c>
      <c r="BJ417" s="129">
        <f t="shared" si="291"/>
        <v/>
      </c>
      <c r="BK417" s="129">
        <f>IF(R417="","",IF(OR(BY417="",BY417=0),"BOX",IFERROR(IF(VLOOKUP(BY417,УГО_блоки,3,FALSE)&amp;""&lt;&gt;"",VLOOKUP(BY417,УГО_блоки,3,FALSE),VLOOKUP(BY417,УГО_блоки,2,FALSE)),BY417)))</f>
      </c>
      <c r="BL417" s="129">
        <f t="shared" si="293"/>
      </c>
      <c r="BM417" s="129">
        <f>IF(H417="","",IF(COUNTIF($H$3:H417,H417)=1,MAX($BM$2:BM416)+1,""))</f>
      </c>
      <c r="BN417" s="129">
        <f>IF(I417="","",IF(COUNTIF($I$3:I417,I417)+COUNTIF($J$2:J416,I417)+COUNTIF($K$2:K416,I417)=1,MAX($BN$2:BP416)+1,""))</f>
      </c>
      <c r="BO417" s="129">
        <f>IF(J417="","",IF(COUNTIF($I$3:I417,J417)+COUNTIF($J$3:J417,J417)+COUNTIF($K$2:K416,J417)=1,MAX($BN$2:BP416,BN417)+1,""))</f>
      </c>
      <c r="BP417" s="129">
        <f>IF(K417="","",IF(COUNTIF($I$3:I417,K417)+COUNTIF($J$3:J417,K417)+COUNTIF($K$3:K417,K417)=1,MAX($BN$2:BP416,BN417,BO417)+1,""))</f>
      </c>
      <c r="BQ417" s="129">
        <f>IF(AY417=1,IFERROR(MID(Q417,FIND(" (",Q417)+2,FIND(")",Q417,FIND(" (",Q417))-FIND(" (",Q417)-2),"?"),"")</f>
      </c>
      <c r="BR417" s="129">
        <f>IF(BQ417="","",IF(COUNTIF($BQ$3:BQ417,BQ417)=1,MAX($BR$2:BR416)+1,""))</f>
      </c>
      <c r="BS417" s="129">
        <f>IF(AW417="","",COUNTIF($AW$3:AW417,"?*"))</f>
      </c>
      <c r="BT417" s="129">
        <f>IF(OR(AW417="",AI417=""),"",IF(COUNTIFS($AW$3:AW417,"?*",$AI$3:AI417,AI417)=1,MAX($BT$2:BT416)+1,""))</f>
      </c>
      <c r="BU417" s="129">
        <f>IF(AE417="",0,IF(OR(ISNUMBER(SEARCH("дубль",AE417)),ISNUMBER(SEARCH("ПЕРЕГРУЗ",AE417)),ISNUMBER(SEARCH("ЗАЩИЩ",AE417)),ISNUMBER(SEARCH("КАНАЛ",AE417)),ISNUMBER(SEARCH("без 30",AE417))),2,1))</f>
      </c>
      <c r="BV417" s="129">
        <f>IF(R417="","",COUNTIF($R$3:R417,"?*"))</f>
      </c>
      <c r="BW417" s="129">
        <f>IF(AY417&lt;&gt;1,0,IF(MAX(IFERROR(--VLOOKUP(R417,УГО_спр,5,FALSE),0),IFERROR(--VLOOKUP(AL417,УГО_спр,5,FALSE),0),IFERROR(--VLOOKUP(LEFT(AL417,2),УГО_спр,5,FALSE),0))&gt;0,MAX(IFERROR(--VLOOKUP(R417,УГО_спр,5,FALSE),0),IFERROR(--VLOOKUP(AL417,УГО_спр,5,FALSE),0),IFERROR(--VLOOKUP(LEFT(AL417,2),УГО_спр,5,FALSE),0)),IF(IFERROR(--LEFT(SUBSTITUTE(BQ417,"x","х"),FIND("х",SUBSTITUTE(BQ417,"x","х"))-1),3)&gt;3,Каталог!$S$9,1)))</f>
      </c>
      <c r="BX417" s="129">
        <f>IF(AY417&lt;&gt;1,0,MAX(0,IFERROR(--LEFT(SUBSTITUTE(BQ417,"x","х"),FIND("х",SUBSTITUTE(BQ417,"x","х"))-1),3)-3*BW417))</f>
      </c>
      <c r="BY417" s="129">
        <f>IF(R417="","",IFERROR(VLOOKUP(R417,УГО_спр,2,FALSE),IFERROR(VLOOKUP(AL417,УГО_спр,2,FALSE),IFERROR(VLOOKUP(LEFT(AL417,2),УГО_спр,2,FALSE),""))))</f>
      </c>
    </row>
    <row r="418" spans="1:64" x14ac:dyDescent="0.3">
      <c r="A418" s="135">
        <f>IF(Разбивка_по_щитам!F418=0,"",Разбивка_по_щитам!F418)</f>
      </c>
      <c r="B418" s="138">
        <f>IF(A418="","",Разбивка_по_щитам!C418)</f>
      </c>
      <c r="C418" s="138">
        <f t="shared" si="258"/>
      </c>
      <c r="D418" s="266"/>
      <c r="E418" s="266"/>
      <c r="F418" s="267"/>
      <c r="G418" s="145">
        <f t="shared" si="294"/>
        <v/>
      </c>
      <c r="H418" s="145">
        <f t="shared" si="295"/>
        <v/>
      </c>
      <c r="I418" s="266"/>
      <c r="J418" s="267"/>
      <c r="K418" s="267"/>
      <c r="L418" s="266"/>
      <c r="M418" s="147">
        <f t="shared" si="296"/>
        <v/>
      </c>
      <c r="N418" s="267"/>
      <c r="O418" s="147">
        <f t="shared" si="297"/>
        <v/>
      </c>
      <c r="P418" s="268">
        <f>IF(AY418=1,"XT"&amp;COUNTIFS($A$3:A418,A418,$AY$3:AY418,1),"")</f>
        <v/>
      </c>
      <c r="Q418" s="152">
        <f>IF(R418="","",IFERROR(SUBSTITUTE(Разбивка_по_щитам!P418,CHAR(10)," "),""))</f>
        <v/>
      </c>
      <c r="R418" s="153">
        <f>IF(OR(Разбивка_по_щитам!H418="",Разбивка_по_щитам!H418=0),"",Разбивка_по_щитам!H418)</f>
        <v/>
      </c>
      <c r="S418" s="154">
        <f>IF(R418="","",IFERROR(Разбивка_по_щитам!J418&amp;"",""))</f>
        <v/>
      </c>
      <c r="T418" s="155">
        <f>IF(R418="","",IFERROR(--Разбивка_по_щитам!L418,""))</f>
        <v/>
      </c>
      <c r="U418" s="155">
        <f>IF(R418="","",IFERROR(--Разбивка_по_щитам!K418,""))</f>
        <v/>
      </c>
      <c r="V418" s="138">
        <f>IF(R418="","",IFERROR(IF(Разбивка_по_щитам!M418=0,"",Разбивка_по_щитам!M418),""))</f>
        <v/>
      </c>
      <c r="W418" s="156">
        <f t="shared" si="259"/>
        <v/>
      </c>
      <c r="X418" s="157">
        <f t="shared" si="260"/>
        <v/>
      </c>
      <c r="Y418" s="266"/>
      <c r="Z418" s="158">
        <f t="shared" si="261"/>
        <v/>
      </c>
      <c r="AA418" s="160">
        <f t="shared" si="262"/>
        <v/>
      </c>
      <c r="AB418" s="160">
        <f>IF(R418="","",IFERROR(LOOKUP(INDEX(Справочная!$I$4:$I$19,MATCH(VLOOKUP(R418,Исходные_данные,22,FALSE),Справочная!$J$4:$J$19,0)+1),{6,10,16,20,25,32,40,50,63,80,100,125}),""))</f>
        <v/>
      </c>
      <c r="AC418" s="160">
        <f t="shared" si="263"/>
        <v/>
      </c>
      <c r="AD418" s="161">
        <f t="shared" si="264"/>
        <v/>
      </c>
      <c r="AE418" s="161">
        <f>IF(AND(R418="",G418=""),"",_xlfn.TEXTJOIN("; ",TRUE,IF(AND(R418&lt;&gt;"",V418=""),"нет фазы",""),IF(AND(R418&lt;&gt;"",N(T418)=0),"нет мощности",""),IF(AND(P418&lt;&gt;"",COUNTIFS($A$3:$A$1000,A418,$P$3:$P$1000,P418)&gt;1),"дубль клеммы "&amp;P418,""),IF(AND(W418&lt;&gt;"",W418&lt;&gt;"ok"),W418,""),IF(X418&lt;&gt;"",X418,""),IF(AND(ISNUMBER(SEARCH("(5х",Q418)),N(AK418)=1),"5 жил на 1 фазе",""),IF(AND(AL418="R",E418&lt;&gt;"",N(AS418)=0),"розетка без 30 мА",""),IF(IFERROR(_xlfn.NUMBERVALUE(MID(Q418,FIND("-",Q418,FIND("L=",Q418))+1,FIND("%",Q418)-FIND("-",Q418,FIND("L=",Q418))-1),","),0)&gt;4,"потери &gt; 4 %","")))</f>
      </c>
      <c r="AF418" s="129">
        <f>IF(E418&lt;&gt;"",COUNTIFS($A$3:A418,A418,$E$3:E418,"?*"),IF(OR(A418&lt;&gt;A417,Y418="вручную"),"",AF417))</f>
      </c>
      <c r="AG418" s="129">
        <f t="shared" si="265"/>
      </c>
      <c r="AH418" s="129">
        <f t="shared" si="266"/>
        <v/>
      </c>
      <c r="AI418" s="129">
        <f t="shared" si="267"/>
        <v/>
      </c>
      <c r="AJ418" s="129">
        <f t="shared" si="268"/>
        <v/>
      </c>
      <c r="AK418" s="129">
        <f t="shared" si="269"/>
        <v/>
      </c>
      <c r="AL418" s="129">
        <f t="shared" si="270"/>
        <v/>
      </c>
      <c r="AM418" s="129">
        <f t="shared" si="271"/>
      </c>
      <c r="AN418" s="129">
        <f t="shared" si="272"/>
      </c>
      <c r="AO418" s="129">
        <f t="shared" si="273"/>
        <v/>
      </c>
      <c r="AP418" s="129">
        <f t="shared" si="274"/>
        <v/>
      </c>
      <c r="AQ418" s="129">
        <f t="shared" si="275"/>
        <v/>
      </c>
      <c r="AR418" s="129">
        <f t="shared" si="276"/>
        <v/>
      </c>
      <c r="AS418" s="129">
        <f t="shared" si="277"/>
        <v/>
      </c>
      <c r="AT418" s="129">
        <f t="shared" si="278"/>
        <v/>
      </c>
      <c r="AU418" s="129">
        <f t="shared" si="279"/>
        <v/>
      </c>
      <c r="AV418" s="129">
        <f t="shared" si="280"/>
        <v/>
      </c>
      <c r="AW418" s="129">
        <f>IF(AV418="","",AV418&amp;"."&amp;COUNTIFS($A$3:A418,A418,$AV$3:AV418,AV418))</f>
        <v/>
      </c>
      <c r="AX418" s="129">
        <f t="shared" si="281"/>
        <v/>
      </c>
      <c r="AY418" s="129">
        <f>IF(N418="б/к",0,IF(OR(ISNUMBER(SEARCH("L=",Разбивка_по_щитам!P418)),N418="+",N418="="),1,0))</f>
      </c>
      <c r="AZ418" s="129">
        <f t="shared" si="282"/>
      </c>
      <c r="BA418" s="129">
        <f t="shared" si="283"/>
      </c>
      <c r="BB418" s="129">
        <f t="shared" si="284"/>
      </c>
      <c r="BD418" s="129">
        <f t="shared" si="285"/>
      </c>
      <c r="BE418" s="129">
        <f t="shared" si="286"/>
      </c>
      <c r="BF418" s="129">
        <f t="shared" si="287"/>
      </c>
      <c r="BG418" s="129">
        <f t="shared" si="288"/>
        <v/>
      </c>
      <c r="BH418" s="129">
        <f t="shared" si="289"/>
        <v/>
      </c>
      <c r="BI418" s="129">
        <f t="shared" si="290"/>
        <v/>
      </c>
      <c r="BJ418" s="129">
        <f t="shared" si="291"/>
        <v/>
      </c>
      <c r="BK418" s="129">
        <f>IF(R418="","",IF(OR(BY418="",BY418=0),"BOX",IFERROR(IF(VLOOKUP(BY418,УГО_блоки,3,FALSE)&amp;""&lt;&gt;"",VLOOKUP(BY418,УГО_блоки,3,FALSE),VLOOKUP(BY418,УГО_блоки,2,FALSE)),BY418)))</f>
      </c>
      <c r="BL418" s="129">
        <f t="shared" si="293"/>
      </c>
      <c r="BM418" s="129">
        <f>IF(H418="","",IF(COUNTIF($H$3:H418,H418)=1,MAX($BM$2:BM417)+1,""))</f>
      </c>
      <c r="BN418" s="129">
        <f>IF(I418="","",IF(COUNTIF($I$3:I418,I418)+COUNTIF($J$2:J417,I418)+COUNTIF($K$2:K417,I418)=1,MAX($BN$2:BP417)+1,""))</f>
      </c>
      <c r="BO418" s="129">
        <f>IF(J418="","",IF(COUNTIF($I$3:I418,J418)+COUNTIF($J$3:J418,J418)+COUNTIF($K$2:K417,J418)=1,MAX($BN$2:BP417,BN418)+1,""))</f>
      </c>
      <c r="BP418" s="129">
        <f>IF(K418="","",IF(COUNTIF($I$3:I418,K418)+COUNTIF($J$3:J418,K418)+COUNTIF($K$3:K418,K418)=1,MAX($BN$2:BP417,BN418,BO418)+1,""))</f>
      </c>
      <c r="BQ418" s="129">
        <f>IF(AY418=1,IFERROR(MID(Q418,FIND(" (",Q418)+2,FIND(")",Q418,FIND(" (",Q418))-FIND(" (",Q418)-2),"?"),"")</f>
      </c>
      <c r="BR418" s="129">
        <f>IF(BQ418="","",IF(COUNTIF($BQ$3:BQ418,BQ418)=1,MAX($BR$2:BR417)+1,""))</f>
      </c>
      <c r="BS418" s="129">
        <f>IF(AW418="","",COUNTIF($AW$3:AW418,"?*"))</f>
      </c>
      <c r="BT418" s="129">
        <f>IF(OR(AW418="",AI418=""),"",IF(COUNTIFS($AW$3:AW418,"?*",$AI$3:AI418,AI418)=1,MAX($BT$2:BT417)+1,""))</f>
      </c>
      <c r="BU418" s="129">
        <f>IF(AE418="",0,IF(OR(ISNUMBER(SEARCH("дубль",AE418)),ISNUMBER(SEARCH("ПЕРЕГРУЗ",AE418)),ISNUMBER(SEARCH("ЗАЩИЩ",AE418)),ISNUMBER(SEARCH("КАНАЛ",AE418)),ISNUMBER(SEARCH("без 30",AE418))),2,1))</f>
      </c>
      <c r="BV418" s="129">
        <f>IF(R418="","",COUNTIF($R$3:R418,"?*"))</f>
      </c>
      <c r="BW418" s="129">
        <f>IF(AY418&lt;&gt;1,0,IF(MAX(IFERROR(--VLOOKUP(R418,УГО_спр,5,FALSE),0),IFERROR(--VLOOKUP(AL418,УГО_спр,5,FALSE),0),IFERROR(--VLOOKUP(LEFT(AL418,2),УГО_спр,5,FALSE),0))&gt;0,MAX(IFERROR(--VLOOKUP(R418,УГО_спр,5,FALSE),0),IFERROR(--VLOOKUP(AL418,УГО_спр,5,FALSE),0),IFERROR(--VLOOKUP(LEFT(AL418,2),УГО_спр,5,FALSE),0)),IF(IFERROR(--LEFT(SUBSTITUTE(BQ418,"x","х"),FIND("х",SUBSTITUTE(BQ418,"x","х"))-1),3)&gt;3,Каталог!$S$9,1)))</f>
      </c>
      <c r="BX418" s="129">
        <f>IF(AY418&lt;&gt;1,0,MAX(0,IFERROR(--LEFT(SUBSTITUTE(BQ418,"x","х"),FIND("х",SUBSTITUTE(BQ418,"x","х"))-1),3)-3*BW418))</f>
      </c>
      <c r="BY418" s="129">
        <f>IF(R418="","",IFERROR(VLOOKUP(R418,УГО_спр,2,FALSE),IFERROR(VLOOKUP(AL418,УГО_спр,2,FALSE),IFERROR(VLOOKUP(LEFT(AL418,2),УГО_спр,2,FALSE),""))))</f>
      </c>
    </row>
    <row r="419" spans="1:64" x14ac:dyDescent="0.3">
      <c r="A419" s="135">
        <f>IF(Разбивка_по_щитам!F419=0,"",Разбивка_по_щитам!F419)</f>
      </c>
      <c r="B419" s="138">
        <f>IF(A419="","",Разбивка_по_щитам!C419)</f>
      </c>
      <c r="C419" s="138">
        <f t="shared" si="258"/>
      </c>
      <c r="D419" s="266"/>
      <c r="E419" s="266"/>
      <c r="F419" s="267"/>
      <c r="G419" s="145">
        <f t="shared" si="294"/>
        <v/>
      </c>
      <c r="H419" s="145">
        <f t="shared" si="295"/>
        <v/>
      </c>
      <c r="I419" s="266"/>
      <c r="J419" s="267"/>
      <c r="K419" s="267"/>
      <c r="L419" s="266"/>
      <c r="M419" s="147">
        <f t="shared" si="296"/>
        <v/>
      </c>
      <c r="N419" s="267"/>
      <c r="O419" s="147">
        <f t="shared" si="297"/>
        <v/>
      </c>
      <c r="P419" s="268">
        <f>IF(AY419=1,"XT"&amp;COUNTIFS($A$3:A419,A419,$AY$3:AY419,1),"")</f>
        <v/>
      </c>
      <c r="Q419" s="152">
        <f>IF(R419="","",IFERROR(SUBSTITUTE(Разбивка_по_щитам!P419,CHAR(10)," "),""))</f>
        <v/>
      </c>
      <c r="R419" s="153">
        <f>IF(OR(Разбивка_по_щитам!H419="",Разбивка_по_щитам!H419=0),"",Разбивка_по_щитам!H419)</f>
        <v/>
      </c>
      <c r="S419" s="154">
        <f>IF(R419="","",IFERROR(Разбивка_по_щитам!J419&amp;"",""))</f>
        <v/>
      </c>
      <c r="T419" s="155">
        <f>IF(R419="","",IFERROR(--Разбивка_по_щитам!L419,""))</f>
        <v/>
      </c>
      <c r="U419" s="155">
        <f>IF(R419="","",IFERROR(--Разбивка_по_щитам!K419,""))</f>
        <v/>
      </c>
      <c r="V419" s="138">
        <f>IF(R419="","",IFERROR(IF(Разбивка_по_щитам!M419=0,"",Разбивка_по_щитам!M419),""))</f>
        <v/>
      </c>
      <c r="W419" s="156">
        <f t="shared" si="259"/>
        <v/>
      </c>
      <c r="X419" s="157">
        <f t="shared" si="260"/>
        <v/>
      </c>
      <c r="Y419" s="266"/>
      <c r="Z419" s="158">
        <f t="shared" si="261"/>
        <v/>
      </c>
      <c r="AA419" s="160">
        <f t="shared" si="262"/>
        <v/>
      </c>
      <c r="AB419" s="160">
        <f>IF(R419="","",IFERROR(LOOKUP(INDEX(Справочная!$I$4:$I$19,MATCH(VLOOKUP(R419,Исходные_данные,22,FALSE),Справочная!$J$4:$J$19,0)+1),{6,10,16,20,25,32,40,50,63,80,100,125}),""))</f>
        <v/>
      </c>
      <c r="AC419" s="160">
        <f t="shared" si="263"/>
        <v/>
      </c>
      <c r="AD419" s="161">
        <f t="shared" si="264"/>
        <v/>
      </c>
      <c r="AE419" s="161">
        <f>IF(AND(R419="",G419=""),"",_xlfn.TEXTJOIN("; ",TRUE,IF(AND(R419&lt;&gt;"",V419=""),"нет фазы",""),IF(AND(R419&lt;&gt;"",N(T419)=0),"нет мощности",""),IF(AND(P419&lt;&gt;"",COUNTIFS($A$3:$A$1000,A419,$P$3:$P$1000,P419)&gt;1),"дубль клеммы "&amp;P419,""),IF(AND(W419&lt;&gt;"",W419&lt;&gt;"ok"),W419,""),IF(X419&lt;&gt;"",X419,""),IF(AND(ISNUMBER(SEARCH("(5х",Q419)),N(AK419)=1),"5 жил на 1 фазе",""),IF(AND(AL419="R",E419&lt;&gt;"",N(AS419)=0),"розетка без 30 мА",""),IF(IFERROR(_xlfn.NUMBERVALUE(MID(Q419,FIND("-",Q419,FIND("L=",Q419))+1,FIND("%",Q419)-FIND("-",Q419,FIND("L=",Q419))-1),","),0)&gt;4,"потери &gt; 4 %","")))</f>
      </c>
      <c r="AF419" s="129">
        <f>IF(E419&lt;&gt;"",COUNTIFS($A$3:A419,A419,$E$3:E419,"?*"),IF(OR(A419&lt;&gt;A418,Y419="вручную"),"",AF418))</f>
      </c>
      <c r="AG419" s="129">
        <f t="shared" si="265"/>
      </c>
      <c r="AH419" s="129">
        <f t="shared" si="266"/>
        <v/>
      </c>
      <c r="AI419" s="129">
        <f t="shared" si="267"/>
        <v/>
      </c>
      <c r="AJ419" s="129">
        <f t="shared" si="268"/>
        <v/>
      </c>
      <c r="AK419" s="129">
        <f t="shared" si="269"/>
        <v/>
      </c>
      <c r="AL419" s="129">
        <f t="shared" si="270"/>
        <v/>
      </c>
      <c r="AM419" s="129">
        <f t="shared" si="271"/>
      </c>
      <c r="AN419" s="129">
        <f t="shared" si="272"/>
      </c>
      <c r="AO419" s="129">
        <f t="shared" si="273"/>
        <v/>
      </c>
      <c r="AP419" s="129">
        <f t="shared" si="274"/>
        <v/>
      </c>
      <c r="AQ419" s="129">
        <f t="shared" si="275"/>
        <v/>
      </c>
      <c r="AR419" s="129">
        <f t="shared" si="276"/>
        <v/>
      </c>
      <c r="AS419" s="129">
        <f t="shared" si="277"/>
        <v/>
      </c>
      <c r="AT419" s="129">
        <f t="shared" si="278"/>
        <v/>
      </c>
      <c r="AU419" s="129">
        <f t="shared" si="279"/>
        <v/>
      </c>
      <c r="AV419" s="129">
        <f t="shared" si="280"/>
        <v/>
      </c>
      <c r="AW419" s="129">
        <f>IF(AV419="","",AV419&amp;"."&amp;COUNTIFS($A$3:A419,A419,$AV$3:AV419,AV419))</f>
        <v/>
      </c>
      <c r="AX419" s="129">
        <f t="shared" si="281"/>
        <v/>
      </c>
      <c r="AY419" s="129">
        <f>IF(N419="б/к",0,IF(OR(ISNUMBER(SEARCH("L=",Разбивка_по_щитам!P419)),N419="+",N419="="),1,0))</f>
      </c>
      <c r="AZ419" s="129">
        <f t="shared" si="282"/>
      </c>
      <c r="BA419" s="129">
        <f t="shared" si="283"/>
      </c>
      <c r="BB419" s="129">
        <f t="shared" si="284"/>
      </c>
      <c r="BD419" s="129">
        <f t="shared" si="285"/>
      </c>
      <c r="BE419" s="129">
        <f t="shared" si="286"/>
      </c>
      <c r="BF419" s="129">
        <f t="shared" si="287"/>
      </c>
      <c r="BG419" s="129">
        <f t="shared" si="288"/>
        <v/>
      </c>
      <c r="BH419" s="129">
        <f t="shared" si="289"/>
        <v/>
      </c>
      <c r="BI419" s="129">
        <f t="shared" si="290"/>
        <v/>
      </c>
      <c r="BJ419" s="129">
        <f t="shared" si="291"/>
        <v/>
      </c>
      <c r="BK419" s="129">
        <f>IF(R419="","",IF(OR(BY419="",BY419=0),"BOX",IFERROR(IF(VLOOKUP(BY419,УГО_блоки,3,FALSE)&amp;""&lt;&gt;"",VLOOKUP(BY419,УГО_блоки,3,FALSE),VLOOKUP(BY419,УГО_блоки,2,FALSE)),BY419)))</f>
      </c>
      <c r="BL419" s="129">
        <f t="shared" si="293"/>
      </c>
      <c r="BM419" s="129">
        <f>IF(H419="","",IF(COUNTIF($H$3:H419,H419)=1,MAX($BM$2:BM418)+1,""))</f>
      </c>
      <c r="BN419" s="129">
        <f>IF(I419="","",IF(COUNTIF($I$3:I419,I419)+COUNTIF($J$2:J418,I419)+COUNTIF($K$2:K418,I419)=1,MAX($BN$2:BP418)+1,""))</f>
      </c>
      <c r="BO419" s="129">
        <f>IF(J419="","",IF(COUNTIF($I$3:I419,J419)+COUNTIF($J$3:J419,J419)+COUNTIF($K$2:K418,J419)=1,MAX($BN$2:BP418,BN419)+1,""))</f>
      </c>
      <c r="BP419" s="129">
        <f>IF(K419="","",IF(COUNTIF($I$3:I419,K419)+COUNTIF($J$3:J419,K419)+COUNTIF($K$3:K419,K419)=1,MAX($BN$2:BP418,BN419,BO419)+1,""))</f>
      </c>
      <c r="BQ419" s="129">
        <f>IF(AY419=1,IFERROR(MID(Q419,FIND(" (",Q419)+2,FIND(")",Q419,FIND(" (",Q419))-FIND(" (",Q419)-2),"?"),"")</f>
      </c>
      <c r="BR419" s="129">
        <f>IF(BQ419="","",IF(COUNTIF($BQ$3:BQ419,BQ419)=1,MAX($BR$2:BR418)+1,""))</f>
      </c>
      <c r="BS419" s="129">
        <f>IF(AW419="","",COUNTIF($AW$3:AW419,"?*"))</f>
      </c>
      <c r="BT419" s="129">
        <f>IF(OR(AW419="",AI419=""),"",IF(COUNTIFS($AW$3:AW419,"?*",$AI$3:AI419,AI419)=1,MAX($BT$2:BT418)+1,""))</f>
      </c>
      <c r="BU419" s="129">
        <f>IF(AE419="",0,IF(OR(ISNUMBER(SEARCH("дубль",AE419)),ISNUMBER(SEARCH("ПЕРЕГРУЗ",AE419)),ISNUMBER(SEARCH("ЗАЩИЩ",AE419)),ISNUMBER(SEARCH("КАНАЛ",AE419)),ISNUMBER(SEARCH("без 30",AE419))),2,1))</f>
      </c>
      <c r="BV419" s="129">
        <f>IF(R419="","",COUNTIF($R$3:R419,"?*"))</f>
      </c>
      <c r="BW419" s="129">
        <f>IF(AY419&lt;&gt;1,0,IF(MAX(IFERROR(--VLOOKUP(R419,УГО_спр,5,FALSE),0),IFERROR(--VLOOKUP(AL419,УГО_спр,5,FALSE),0),IFERROR(--VLOOKUP(LEFT(AL419,2),УГО_спр,5,FALSE),0))&gt;0,MAX(IFERROR(--VLOOKUP(R419,УГО_спр,5,FALSE),0),IFERROR(--VLOOKUP(AL419,УГО_спр,5,FALSE),0),IFERROR(--VLOOKUP(LEFT(AL419,2),УГО_спр,5,FALSE),0)),IF(IFERROR(--LEFT(SUBSTITUTE(BQ419,"x","х"),FIND("х",SUBSTITUTE(BQ419,"x","х"))-1),3)&gt;3,Каталог!$S$9,1)))</f>
      </c>
      <c r="BX419" s="129">
        <f>IF(AY419&lt;&gt;1,0,MAX(0,IFERROR(--LEFT(SUBSTITUTE(BQ419,"x","х"),FIND("х",SUBSTITUTE(BQ419,"x","х"))-1),3)-3*BW419))</f>
      </c>
      <c r="BY419" s="129">
        <f>IF(R419="","",IFERROR(VLOOKUP(R419,УГО_спр,2,FALSE),IFERROR(VLOOKUP(AL419,УГО_спр,2,FALSE),IFERROR(VLOOKUP(LEFT(AL419,2),УГО_спр,2,FALSE),""))))</f>
      </c>
    </row>
    <row r="420" spans="1:64" x14ac:dyDescent="0.3">
      <c r="A420" s="135">
        <f>IF(Разбивка_по_щитам!F420=0,"",Разбивка_по_щитам!F420)</f>
      </c>
      <c r="B420" s="138">
        <f>IF(A420="","",Разбивка_по_щитам!C420)</f>
      </c>
      <c r="C420" s="138">
        <f t="shared" si="258"/>
      </c>
      <c r="D420" s="266"/>
      <c r="E420" s="266"/>
      <c r="F420" s="267"/>
      <c r="G420" s="145">
        <f t="shared" si="294"/>
        <v/>
      </c>
      <c r="H420" s="145">
        <f t="shared" si="295"/>
        <v/>
      </c>
      <c r="I420" s="266"/>
      <c r="J420" s="267"/>
      <c r="K420" s="267"/>
      <c r="L420" s="266"/>
      <c r="M420" s="147">
        <f t="shared" si="296"/>
        <v/>
      </c>
      <c r="N420" s="267"/>
      <c r="O420" s="147">
        <f t="shared" si="297"/>
        <v/>
      </c>
      <c r="P420" s="268">
        <f>IF(AY420=1,"XT"&amp;COUNTIFS($A$3:A420,A420,$AY$3:AY420,1),"")</f>
        <v/>
      </c>
      <c r="Q420" s="152">
        <f>IF(R420="","",IFERROR(SUBSTITUTE(Разбивка_по_щитам!P420,CHAR(10)," "),""))</f>
        <v/>
      </c>
      <c r="R420" s="153">
        <f>IF(OR(Разбивка_по_щитам!H420="",Разбивка_по_щитам!H420=0),"",Разбивка_по_щитам!H420)</f>
        <v/>
      </c>
      <c r="S420" s="154">
        <f>IF(R420="","",IFERROR(Разбивка_по_щитам!J420&amp;"",""))</f>
        <v/>
      </c>
      <c r="T420" s="155">
        <f>IF(R420="","",IFERROR(--Разбивка_по_щитам!L420,""))</f>
        <v/>
      </c>
      <c r="U420" s="155">
        <f>IF(R420="","",IFERROR(--Разбивка_по_щитам!K420,""))</f>
        <v/>
      </c>
      <c r="V420" s="138">
        <f>IF(R420="","",IFERROR(IF(Разбивка_по_щитам!M420=0,"",Разбивка_по_щитам!M420),""))</f>
        <v/>
      </c>
      <c r="W420" s="156">
        <f t="shared" si="259"/>
        <v/>
      </c>
      <c r="X420" s="157">
        <f t="shared" si="260"/>
        <v/>
      </c>
      <c r="Y420" s="266"/>
      <c r="Z420" s="158">
        <f t="shared" si="261"/>
        <v/>
      </c>
      <c r="AA420" s="160">
        <f t="shared" si="262"/>
        <v/>
      </c>
      <c r="AB420" s="160">
        <f>IF(R420="","",IFERROR(LOOKUP(INDEX(Справочная!$I$4:$I$19,MATCH(VLOOKUP(R420,Исходные_данные,22,FALSE),Справочная!$J$4:$J$19,0)+1),{6,10,16,20,25,32,40,50,63,80,100,125}),""))</f>
        <v/>
      </c>
      <c r="AC420" s="160">
        <f t="shared" si="263"/>
        <v/>
      </c>
      <c r="AD420" s="161">
        <f t="shared" si="264"/>
        <v/>
      </c>
      <c r="AE420" s="161">
        <f>IF(AND(R420="",G420=""),"",_xlfn.TEXTJOIN("; ",TRUE,IF(AND(R420&lt;&gt;"",V420=""),"нет фазы",""),IF(AND(R420&lt;&gt;"",N(T420)=0),"нет мощности",""),IF(AND(P420&lt;&gt;"",COUNTIFS($A$3:$A$1000,A420,$P$3:$P$1000,P420)&gt;1),"дубль клеммы "&amp;P420,""),IF(AND(W420&lt;&gt;"",W420&lt;&gt;"ok"),W420,""),IF(X420&lt;&gt;"",X420,""),IF(AND(ISNUMBER(SEARCH("(5х",Q420)),N(AK420)=1),"5 жил на 1 фазе",""),IF(AND(AL420="R",E420&lt;&gt;"",N(AS420)=0),"розетка без 30 мА",""),IF(IFERROR(_xlfn.NUMBERVALUE(MID(Q420,FIND("-",Q420,FIND("L=",Q420))+1,FIND("%",Q420)-FIND("-",Q420,FIND("L=",Q420))-1),","),0)&gt;4,"потери &gt; 4 %","")))</f>
      </c>
      <c r="AF420" s="129">
        <f>IF(E420&lt;&gt;"",COUNTIFS($A$3:A420,A420,$E$3:E420,"?*"),IF(OR(A420&lt;&gt;A419,Y420="вручную"),"",AF419))</f>
      </c>
      <c r="AG420" s="129">
        <f t="shared" si="265"/>
      </c>
      <c r="AH420" s="129">
        <f t="shared" si="266"/>
        <v/>
      </c>
      <c r="AI420" s="129">
        <f t="shared" si="267"/>
        <v/>
      </c>
      <c r="AJ420" s="129">
        <f t="shared" si="268"/>
        <v/>
      </c>
      <c r="AK420" s="129">
        <f t="shared" si="269"/>
        <v/>
      </c>
      <c r="AL420" s="129">
        <f t="shared" si="270"/>
        <v/>
      </c>
      <c r="AM420" s="129">
        <f t="shared" si="271"/>
      </c>
      <c r="AN420" s="129">
        <f t="shared" si="272"/>
      </c>
      <c r="AO420" s="129">
        <f t="shared" si="273"/>
        <v/>
      </c>
      <c r="AP420" s="129">
        <f t="shared" si="274"/>
        <v/>
      </c>
      <c r="AQ420" s="129">
        <f t="shared" si="275"/>
        <v/>
      </c>
      <c r="AR420" s="129">
        <f t="shared" si="276"/>
        <v/>
      </c>
      <c r="AS420" s="129">
        <f t="shared" si="277"/>
        <v/>
      </c>
      <c r="AT420" s="129">
        <f t="shared" si="278"/>
        <v/>
      </c>
      <c r="AU420" s="129">
        <f t="shared" si="279"/>
        <v/>
      </c>
      <c r="AV420" s="129">
        <f t="shared" si="280"/>
        <v/>
      </c>
      <c r="AW420" s="129">
        <f>IF(AV420="","",AV420&amp;"."&amp;COUNTIFS($A$3:A420,A420,$AV$3:AV420,AV420))</f>
        <v/>
      </c>
      <c r="AX420" s="129">
        <f t="shared" si="281"/>
        <v/>
      </c>
      <c r="AY420" s="129">
        <f>IF(N420="б/к",0,IF(OR(ISNUMBER(SEARCH("L=",Разбивка_по_щитам!P420)),N420="+",N420="="),1,0))</f>
      </c>
      <c r="AZ420" s="129">
        <f t="shared" si="282"/>
      </c>
      <c r="BA420" s="129">
        <f t="shared" si="283"/>
      </c>
      <c r="BB420" s="129">
        <f t="shared" si="284"/>
      </c>
      <c r="BD420" s="129">
        <f t="shared" si="285"/>
      </c>
      <c r="BE420" s="129">
        <f t="shared" si="286"/>
      </c>
      <c r="BF420" s="129">
        <f t="shared" si="287"/>
      </c>
      <c r="BG420" s="129">
        <f t="shared" si="288"/>
        <v/>
      </c>
      <c r="BH420" s="129">
        <f t="shared" si="289"/>
        <v/>
      </c>
      <c r="BI420" s="129">
        <f t="shared" si="290"/>
        <v/>
      </c>
      <c r="BJ420" s="129">
        <f t="shared" si="291"/>
        <v/>
      </c>
      <c r="BK420" s="129">
        <f>IF(R420="","",IF(OR(BY420="",BY420=0),"BOX",IFERROR(IF(VLOOKUP(BY420,УГО_блоки,3,FALSE)&amp;""&lt;&gt;"",VLOOKUP(BY420,УГО_блоки,3,FALSE),VLOOKUP(BY420,УГО_блоки,2,FALSE)),BY420)))</f>
      </c>
      <c r="BL420" s="129">
        <f t="shared" si="293"/>
      </c>
      <c r="BM420" s="129">
        <f>IF(H420="","",IF(COUNTIF($H$3:H420,H420)=1,MAX($BM$2:BM419)+1,""))</f>
      </c>
      <c r="BN420" s="129">
        <f>IF(I420="","",IF(COUNTIF($I$3:I420,I420)+COUNTIF($J$2:J419,I420)+COUNTIF($K$2:K419,I420)=1,MAX($BN$2:BP419)+1,""))</f>
      </c>
      <c r="BO420" s="129">
        <f>IF(J420="","",IF(COUNTIF($I$3:I420,J420)+COUNTIF($J$3:J420,J420)+COUNTIF($K$2:K419,J420)=1,MAX($BN$2:BP419,BN420)+1,""))</f>
      </c>
      <c r="BP420" s="129">
        <f>IF(K420="","",IF(COUNTIF($I$3:I420,K420)+COUNTIF($J$3:J420,K420)+COUNTIF($K$3:K420,K420)=1,MAX($BN$2:BP419,BN420,BO420)+1,""))</f>
      </c>
      <c r="BQ420" s="129">
        <f>IF(AY420=1,IFERROR(MID(Q420,FIND(" (",Q420)+2,FIND(")",Q420,FIND(" (",Q420))-FIND(" (",Q420)-2),"?"),"")</f>
      </c>
      <c r="BR420" s="129">
        <f>IF(BQ420="","",IF(COUNTIF($BQ$3:BQ420,BQ420)=1,MAX($BR$2:BR419)+1,""))</f>
      </c>
      <c r="BS420" s="129">
        <f>IF(AW420="","",COUNTIF($AW$3:AW420,"?*"))</f>
      </c>
      <c r="BT420" s="129">
        <f>IF(OR(AW420="",AI420=""),"",IF(COUNTIFS($AW$3:AW420,"?*",$AI$3:AI420,AI420)=1,MAX($BT$2:BT419)+1,""))</f>
      </c>
      <c r="BU420" s="129">
        <f>IF(AE420="",0,IF(OR(ISNUMBER(SEARCH("дубль",AE420)),ISNUMBER(SEARCH("ПЕРЕГРУЗ",AE420)),ISNUMBER(SEARCH("ЗАЩИЩ",AE420)),ISNUMBER(SEARCH("КАНАЛ",AE420)),ISNUMBER(SEARCH("без 30",AE420))),2,1))</f>
      </c>
      <c r="BV420" s="129">
        <f>IF(R420="","",COUNTIF($R$3:R420,"?*"))</f>
      </c>
      <c r="BW420" s="129">
        <f>IF(AY420&lt;&gt;1,0,IF(MAX(IFERROR(--VLOOKUP(R420,УГО_спр,5,FALSE),0),IFERROR(--VLOOKUP(AL420,УГО_спр,5,FALSE),0),IFERROR(--VLOOKUP(LEFT(AL420,2),УГО_спр,5,FALSE),0))&gt;0,MAX(IFERROR(--VLOOKUP(R420,УГО_спр,5,FALSE),0),IFERROR(--VLOOKUP(AL420,УГО_спр,5,FALSE),0),IFERROR(--VLOOKUP(LEFT(AL420,2),УГО_спр,5,FALSE),0)),IF(IFERROR(--LEFT(SUBSTITUTE(BQ420,"x","х"),FIND("х",SUBSTITUTE(BQ420,"x","х"))-1),3)&gt;3,Каталог!$S$9,1)))</f>
      </c>
      <c r="BX420" s="129">
        <f>IF(AY420&lt;&gt;1,0,MAX(0,IFERROR(--LEFT(SUBSTITUTE(BQ420,"x","х"),FIND("х",SUBSTITUTE(BQ420,"x","х"))-1),3)-3*BW420))</f>
      </c>
      <c r="BY420" s="129">
        <f>IF(R420="","",IFERROR(VLOOKUP(R420,УГО_спр,2,FALSE),IFERROR(VLOOKUP(AL420,УГО_спр,2,FALSE),IFERROR(VLOOKUP(LEFT(AL420,2),УГО_спр,2,FALSE),""))))</f>
      </c>
    </row>
    <row r="421" spans="1:64" x14ac:dyDescent="0.3">
      <c r="A421" s="135">
        <f>IF(Разбивка_по_щитам!F421=0,"",Разбивка_по_щитам!F421)</f>
      </c>
      <c r="B421" s="138">
        <f>IF(A421="","",Разбивка_по_щитам!C421)</f>
      </c>
      <c r="C421" s="138">
        <f t="shared" si="258"/>
      </c>
      <c r="D421" s="266"/>
      <c r="E421" s="266"/>
      <c r="F421" s="267"/>
      <c r="G421" s="145">
        <f t="shared" si="294"/>
        <v/>
      </c>
      <c r="H421" s="145">
        <f t="shared" si="295"/>
        <v/>
      </c>
      <c r="I421" s="266"/>
      <c r="J421" s="267"/>
      <c r="K421" s="267"/>
      <c r="L421" s="266"/>
      <c r="M421" s="147">
        <f t="shared" si="296"/>
        <v/>
      </c>
      <c r="N421" s="267"/>
      <c r="O421" s="147">
        <f t="shared" si="297"/>
        <v/>
      </c>
      <c r="P421" s="268">
        <f>IF(AY421=1,"XT"&amp;COUNTIFS($A$3:A421,A421,$AY$3:AY421,1),"")</f>
        <v/>
      </c>
      <c r="Q421" s="152">
        <f>IF(R421="","",IFERROR(SUBSTITUTE(Разбивка_по_щитам!P421,CHAR(10)," "),""))</f>
        <v/>
      </c>
      <c r="R421" s="153">
        <f>IF(OR(Разбивка_по_щитам!H421="",Разбивка_по_щитам!H421=0),"",Разбивка_по_щитам!H421)</f>
        <v/>
      </c>
      <c r="S421" s="154">
        <f>IF(R421="","",IFERROR(Разбивка_по_щитам!J421&amp;"",""))</f>
        <v/>
      </c>
      <c r="T421" s="155">
        <f>IF(R421="","",IFERROR(--Разбивка_по_щитам!L421,""))</f>
        <v/>
      </c>
      <c r="U421" s="155">
        <f>IF(R421="","",IFERROR(--Разбивка_по_щитам!K421,""))</f>
        <v/>
      </c>
      <c r="V421" s="138">
        <f>IF(R421="","",IFERROR(IF(Разбивка_по_щитам!M421=0,"",Разбивка_по_щитам!M421),""))</f>
        <v/>
      </c>
      <c r="W421" s="156">
        <f t="shared" si="259"/>
        <v/>
      </c>
      <c r="X421" s="157">
        <f t="shared" si="260"/>
        <v/>
      </c>
      <c r="Y421" s="266"/>
      <c r="Z421" s="158">
        <f t="shared" si="261"/>
        <v/>
      </c>
      <c r="AA421" s="160">
        <f t="shared" si="262"/>
        <v/>
      </c>
      <c r="AB421" s="160">
        <f>IF(R421="","",IFERROR(LOOKUP(INDEX(Справочная!$I$4:$I$19,MATCH(VLOOKUP(R421,Исходные_данные,22,FALSE),Справочная!$J$4:$J$19,0)+1),{6,10,16,20,25,32,40,50,63,80,100,125}),""))</f>
        <v/>
      </c>
      <c r="AC421" s="160">
        <f t="shared" si="263"/>
        <v/>
      </c>
      <c r="AD421" s="161">
        <f t="shared" si="264"/>
        <v/>
      </c>
      <c r="AE421" s="161">
        <f>IF(AND(R421="",G421=""),"",_xlfn.TEXTJOIN("; ",TRUE,IF(AND(R421&lt;&gt;"",V421=""),"нет фазы",""),IF(AND(R421&lt;&gt;"",N(T421)=0),"нет мощности",""),IF(AND(P421&lt;&gt;"",COUNTIFS($A$3:$A$1000,A421,$P$3:$P$1000,P421)&gt;1),"дубль клеммы "&amp;P421,""),IF(AND(W421&lt;&gt;"",W421&lt;&gt;"ok"),W421,""),IF(X421&lt;&gt;"",X421,""),IF(AND(ISNUMBER(SEARCH("(5х",Q421)),N(AK421)=1),"5 жил на 1 фазе",""),IF(AND(AL421="R",E421&lt;&gt;"",N(AS421)=0),"розетка без 30 мА",""),IF(IFERROR(_xlfn.NUMBERVALUE(MID(Q421,FIND("-",Q421,FIND("L=",Q421))+1,FIND("%",Q421)-FIND("-",Q421,FIND("L=",Q421))-1),","),0)&gt;4,"потери &gt; 4 %","")))</f>
      </c>
      <c r="AF421" s="129">
        <f>IF(E421&lt;&gt;"",COUNTIFS($A$3:A421,A421,$E$3:E421,"?*"),IF(OR(A421&lt;&gt;A420,Y421="вручную"),"",AF420))</f>
      </c>
      <c r="AG421" s="129">
        <f t="shared" si="265"/>
      </c>
      <c r="AH421" s="129">
        <f t="shared" si="266"/>
        <v/>
      </c>
      <c r="AI421" s="129">
        <f t="shared" si="267"/>
        <v/>
      </c>
      <c r="AJ421" s="129">
        <f t="shared" si="268"/>
        <v/>
      </c>
      <c r="AK421" s="129">
        <f t="shared" si="269"/>
        <v/>
      </c>
      <c r="AL421" s="129">
        <f t="shared" si="270"/>
        <v/>
      </c>
      <c r="AM421" s="129">
        <f t="shared" si="271"/>
      </c>
      <c r="AN421" s="129">
        <f t="shared" si="272"/>
      </c>
      <c r="AO421" s="129">
        <f t="shared" si="273"/>
        <v/>
      </c>
      <c r="AP421" s="129">
        <f t="shared" si="274"/>
        <v/>
      </c>
      <c r="AQ421" s="129">
        <f t="shared" si="275"/>
        <v/>
      </c>
      <c r="AR421" s="129">
        <f t="shared" si="276"/>
        <v/>
      </c>
      <c r="AS421" s="129">
        <f t="shared" si="277"/>
        <v/>
      </c>
      <c r="AT421" s="129">
        <f t="shared" si="278"/>
        <v/>
      </c>
      <c r="AU421" s="129">
        <f t="shared" si="279"/>
        <v/>
      </c>
      <c r="AV421" s="129">
        <f t="shared" si="280"/>
        <v/>
      </c>
      <c r="AW421" s="129">
        <f>IF(AV421="","",AV421&amp;"."&amp;COUNTIFS($A$3:A421,A421,$AV$3:AV421,AV421))</f>
        <v/>
      </c>
      <c r="AX421" s="129">
        <f t="shared" si="281"/>
        <v/>
      </c>
      <c r="AY421" s="129">
        <f>IF(N421="б/к",0,IF(OR(ISNUMBER(SEARCH("L=",Разбивка_по_щитам!P421)),N421="+",N421="="),1,0))</f>
      </c>
      <c r="AZ421" s="129">
        <f t="shared" si="282"/>
      </c>
      <c r="BA421" s="129">
        <f t="shared" si="283"/>
      </c>
      <c r="BB421" s="129">
        <f t="shared" si="284"/>
      </c>
      <c r="BD421" s="129">
        <f t="shared" si="285"/>
      </c>
      <c r="BE421" s="129">
        <f t="shared" si="286"/>
      </c>
      <c r="BF421" s="129">
        <f t="shared" si="287"/>
      </c>
      <c r="BG421" s="129">
        <f t="shared" si="288"/>
        <v/>
      </c>
      <c r="BH421" s="129">
        <f t="shared" si="289"/>
        <v/>
      </c>
      <c r="BI421" s="129">
        <f t="shared" si="290"/>
        <v/>
      </c>
      <c r="BJ421" s="129">
        <f t="shared" si="291"/>
        <v/>
      </c>
      <c r="BK421" s="129">
        <f>IF(R421="","",IF(OR(BY421="",BY421=0),"BOX",IFERROR(IF(VLOOKUP(BY421,УГО_блоки,3,FALSE)&amp;""&lt;&gt;"",VLOOKUP(BY421,УГО_блоки,3,FALSE),VLOOKUP(BY421,УГО_блоки,2,FALSE)),BY421)))</f>
      </c>
      <c r="BL421" s="129">
        <f t="shared" si="293"/>
      </c>
      <c r="BM421" s="129">
        <f>IF(H421="","",IF(COUNTIF($H$3:H421,H421)=1,MAX($BM$2:BM420)+1,""))</f>
      </c>
      <c r="BN421" s="129">
        <f>IF(I421="","",IF(COUNTIF($I$3:I421,I421)+COUNTIF($J$2:J420,I421)+COUNTIF($K$2:K420,I421)=1,MAX($BN$2:BP420)+1,""))</f>
      </c>
      <c r="BO421" s="129">
        <f>IF(J421="","",IF(COUNTIF($I$3:I421,J421)+COUNTIF($J$3:J421,J421)+COUNTIF($K$2:K420,J421)=1,MAX($BN$2:BP420,BN421)+1,""))</f>
      </c>
      <c r="BP421" s="129">
        <f>IF(K421="","",IF(COUNTIF($I$3:I421,K421)+COUNTIF($J$3:J421,K421)+COUNTIF($K$3:K421,K421)=1,MAX($BN$2:BP420,BN421,BO421)+1,""))</f>
      </c>
      <c r="BQ421" s="129">
        <f>IF(AY421=1,IFERROR(MID(Q421,FIND(" (",Q421)+2,FIND(")",Q421,FIND(" (",Q421))-FIND(" (",Q421)-2),"?"),"")</f>
      </c>
      <c r="BR421" s="129">
        <f>IF(BQ421="","",IF(COUNTIF($BQ$3:BQ421,BQ421)=1,MAX($BR$2:BR420)+1,""))</f>
      </c>
      <c r="BS421" s="129">
        <f>IF(AW421="","",COUNTIF($AW$3:AW421,"?*"))</f>
      </c>
      <c r="BT421" s="129">
        <f>IF(OR(AW421="",AI421=""),"",IF(COUNTIFS($AW$3:AW421,"?*",$AI$3:AI421,AI421)=1,MAX($BT$2:BT420)+1,""))</f>
      </c>
      <c r="BU421" s="129">
        <f>IF(AE421="",0,IF(OR(ISNUMBER(SEARCH("дубль",AE421)),ISNUMBER(SEARCH("ПЕРЕГРУЗ",AE421)),ISNUMBER(SEARCH("ЗАЩИЩ",AE421)),ISNUMBER(SEARCH("КАНАЛ",AE421)),ISNUMBER(SEARCH("без 30",AE421))),2,1))</f>
      </c>
      <c r="BV421" s="129">
        <f>IF(R421="","",COUNTIF($R$3:R421,"?*"))</f>
      </c>
      <c r="BW421" s="129">
        <f>IF(AY421&lt;&gt;1,0,IF(MAX(IFERROR(--VLOOKUP(R421,УГО_спр,5,FALSE),0),IFERROR(--VLOOKUP(AL421,УГО_спр,5,FALSE),0),IFERROR(--VLOOKUP(LEFT(AL421,2),УГО_спр,5,FALSE),0))&gt;0,MAX(IFERROR(--VLOOKUP(R421,УГО_спр,5,FALSE),0),IFERROR(--VLOOKUP(AL421,УГО_спр,5,FALSE),0),IFERROR(--VLOOKUP(LEFT(AL421,2),УГО_спр,5,FALSE),0)),IF(IFERROR(--LEFT(SUBSTITUTE(BQ421,"x","х"),FIND("х",SUBSTITUTE(BQ421,"x","х"))-1),3)&gt;3,Каталог!$S$9,1)))</f>
      </c>
      <c r="BX421" s="129">
        <f>IF(AY421&lt;&gt;1,0,MAX(0,IFERROR(--LEFT(SUBSTITUTE(BQ421,"x","х"),FIND("х",SUBSTITUTE(BQ421,"x","х"))-1),3)-3*BW421))</f>
      </c>
      <c r="BY421" s="129">
        <f>IF(R421="","",IFERROR(VLOOKUP(R421,УГО_спр,2,FALSE),IFERROR(VLOOKUP(AL421,УГО_спр,2,FALSE),IFERROR(VLOOKUP(LEFT(AL421,2),УГО_спр,2,FALSE),""))))</f>
      </c>
    </row>
    <row r="422" spans="1:64" x14ac:dyDescent="0.3">
      <c r="A422" s="135">
        <f>IF(Разбивка_по_щитам!F422=0,"",Разбивка_по_щитам!F422)</f>
      </c>
      <c r="B422" s="138">
        <f>IF(A422="","",Разбивка_по_щитам!C422)</f>
      </c>
      <c r="C422" s="138">
        <f t="shared" si="258"/>
      </c>
      <c r="D422" s="266"/>
      <c r="E422" s="266"/>
      <c r="F422" s="267"/>
      <c r="G422" s="145">
        <f t="shared" ref="G422:G450" si="298">IF(OR(R422&lt;&gt;"",O422&lt;&gt;"",AY422=1),AG422,"")</f>
        <v/>
      </c>
      <c r="H422" s="145">
        <f t="shared" ref="H422:H450" si="299">IF(E422="","",IF(AND(E422&lt;&gt;"авто",E422&lt;&gt;"+"),E422,AT422&amp;" С"&amp;AQ422&amp;"А"&amp;IF(AS422=1," 30мА","")))</f>
        <v/>
      </c>
      <c r="I422" s="266"/>
      <c r="J422" s="267"/>
      <c r="K422" s="267"/>
      <c r="L422" s="266"/>
      <c r="M422" s="147">
        <f t="shared" ref="M422:M450" si="300">IF(OR(O422&lt;&gt;"",AND(L422&lt;&gt;"",L422&lt;&gt;"-")),AH422,"")</f>
        <v/>
      </c>
      <c r="N422" s="267"/>
      <c r="O422" s="147">
        <f t="shared" ref="O422:O450" si="301">IF(N422="=",AX421,IF(ISNUMBER(N422),N422,IF(AH422="","",IF(OR(R422&lt;&gt;"",N422="+",N422="р"),IF(OR(AW422&lt;&gt;"",AX421=""),1,AX421+1),""))))</f>
        <v/>
      </c>
      <c r="P422" s="268">
        <f>IF(AY422=1,"XT"&amp;COUNTIFS($A$3:A422,A422,$AY$3:AY422,1),"")</f>
        <v/>
      </c>
      <c r="Q422" s="152">
        <f>IF(R422="","",IFERROR(SUBSTITUTE(Разбивка_по_щитам!P422,CHAR(10)," "),""))</f>
        <v/>
      </c>
      <c r="R422" s="153">
        <f>IF(OR(Разбивка_по_щитам!H422="",Разбивка_по_щитам!H422=0),"",Разбивка_по_щитам!H422)</f>
        <v/>
      </c>
      <c r="S422" s="154">
        <f>IF(R422="","",IFERROR(Разбивка_по_щитам!J422&amp;"",""))</f>
        <v/>
      </c>
      <c r="T422" s="155">
        <f>IF(R422="","",IFERROR(--Разбивка_по_щитам!L422,""))</f>
        <v/>
      </c>
      <c r="U422" s="155">
        <f>IF(R422="","",IFERROR(--Разбивка_по_щитам!K422,""))</f>
        <v/>
      </c>
      <c r="V422" s="138">
        <f>IF(R422="","",IFERROR(IF(Разбивка_по_щитам!M422=0,"",Разбивка_по_щитам!M422),""))</f>
        <v/>
      </c>
      <c r="W422" s="156">
        <f t="shared" si="259"/>
        <v/>
      </c>
      <c r="X422" s="157">
        <f t="shared" si="260"/>
        <v/>
      </c>
      <c r="Y422" s="266"/>
      <c r="Z422" s="158">
        <f t="shared" si="261"/>
        <v/>
      </c>
      <c r="AA422" s="160">
        <f t="shared" si="262"/>
        <v/>
      </c>
      <c r="AB422" s="160">
        <f>IF(R422="","",IFERROR(LOOKUP(INDEX(Справочная!$I$4:$I$19,MATCH(VLOOKUP(R422,Исходные_данные,22,FALSE),Справочная!$J$4:$J$19,0)+1),{6,10,16,20,25,32,40,50,63,80,100,125}),""))</f>
        <v/>
      </c>
      <c r="AC422" s="160">
        <f t="shared" si="263"/>
        <v/>
      </c>
      <c r="AD422" s="161">
        <f t="shared" si="264"/>
        <v/>
      </c>
      <c r="AE422" s="161">
        <f>IF(AND(R422="",G422=""),"",_xlfn.TEXTJOIN("; ",TRUE,IF(AND(R422&lt;&gt;"",V422=""),"нет фазы",""),IF(AND(R422&lt;&gt;"",N(T422)=0),"нет мощности",""),IF(AND(P422&lt;&gt;"",COUNTIFS($A$3:$A$1000,A422,$P$3:$P$1000,P422)&gt;1),"дубль клеммы "&amp;P422,""),IF(AND(W422&lt;&gt;"",W422&lt;&gt;"ok"),W422,""),IF(X422&lt;&gt;"",X422,""),IF(AND(ISNUMBER(SEARCH("(5х",Q422)),N(AK422)=1),"5 жил на 1 фазе",""),IF(AND(AL422="R",E422&lt;&gt;"",N(AS422)=0),"розетка без 30 мА",""),IF(IFERROR(_xlfn.NUMBERVALUE(MID(Q422,FIND("-",Q422,FIND("L=",Q422))+1,FIND("%",Q422)-FIND("-",Q422,FIND("L=",Q422))-1),","),0)&gt;4,"потери &gt; 4 %","")))</f>
      </c>
      <c r="AF422" s="129">
        <f>IF(E422&lt;&gt;"",COUNTIFS($A$3:A422,A422,$E$3:E422,"?*"),IF(OR(A422&lt;&gt;A421,Y422="вручную"),"",AF421))</f>
      </c>
      <c r="AG422" s="129">
        <f t="shared" si="265"/>
      </c>
      <c r="AH422" s="129">
        <f t="shared" si="266"/>
        <v/>
      </c>
      <c r="AI422" s="129">
        <f t="shared" si="267"/>
        <v/>
      </c>
      <c r="AJ422" s="129">
        <f t="shared" si="268"/>
        <v/>
      </c>
      <c r="AK422" s="129">
        <f t="shared" si="269"/>
        <v/>
      </c>
      <c r="AL422" s="129">
        <f t="shared" si="270"/>
        <v/>
      </c>
      <c r="AM422" s="129">
        <f t="shared" si="271"/>
      </c>
      <c r="AN422" s="129">
        <f t="shared" si="272"/>
      </c>
      <c r="AO422" s="129">
        <f t="shared" si="273"/>
        <v/>
      </c>
      <c r="AP422" s="129">
        <f t="shared" si="274"/>
        <v/>
      </c>
      <c r="AQ422" s="129">
        <f t="shared" si="275"/>
        <v/>
      </c>
      <c r="AR422" s="129">
        <f t="shared" si="276"/>
        <v/>
      </c>
      <c r="AS422" s="129">
        <f t="shared" si="277"/>
        <v/>
      </c>
      <c r="AT422" s="129">
        <f t="shared" si="278"/>
        <v/>
      </c>
      <c r="AU422" s="129">
        <f t="shared" si="279"/>
        <v/>
      </c>
      <c r="AV422" s="129">
        <f t="shared" si="280"/>
        <v/>
      </c>
      <c r="AW422" s="129">
        <f>IF(AV422="","",AV422&amp;"."&amp;COUNTIFS($A$3:A422,A422,$AV$3:AV422,AV422))</f>
        <v/>
      </c>
      <c r="AX422" s="129">
        <f t="shared" si="281"/>
        <v/>
      </c>
      <c r="AY422" s="129">
        <f>IF(N422="б/к",0,IF(OR(ISNUMBER(SEARCH("L=",Разбивка_по_щитам!P422)),N422="+",N422="="),1,0))</f>
      </c>
      <c r="AZ422" s="129">
        <f t="shared" si="282"/>
      </c>
      <c r="BA422" s="129">
        <f t="shared" si="283"/>
      </c>
      <c r="BB422" s="129">
        <f t="shared" si="284"/>
      </c>
      <c r="BD422" s="129">
        <f t="shared" si="285"/>
      </c>
      <c r="BE422" s="129">
        <f t="shared" si="286"/>
      </c>
      <c r="BF422" s="129">
        <f t="shared" si="287"/>
      </c>
      <c r="BG422" s="129">
        <f t="shared" si="288"/>
        <v/>
      </c>
      <c r="BH422" s="129">
        <f t="shared" si="289"/>
        <v/>
      </c>
      <c r="BI422" s="129">
        <f t="shared" si="290"/>
        <v/>
      </c>
      <c r="BJ422" s="129">
        <f t="shared" si="291"/>
        <v/>
      </c>
      <c r="BK422" s="129">
        <f>IF(R422="","",IF(OR(BY422="",BY422=0),"BOX",IFERROR(IF(VLOOKUP(BY422,УГО_блоки,3,FALSE)&amp;""&lt;&gt;"",VLOOKUP(BY422,УГО_блоки,3,FALSE),VLOOKUP(BY422,УГО_блоки,2,FALSE)),BY422)))</f>
      </c>
      <c r="BL422" s="129">
        <f t="shared" si="293"/>
      </c>
      <c r="BM422" s="129">
        <f>IF(H422="","",IF(COUNTIF($H$3:H422,H422)=1,MAX($BM$2:BM421)+1,""))</f>
      </c>
      <c r="BN422" s="129">
        <f>IF(I422="","",IF(COUNTIF($I$3:I422,I422)+COUNTIF($J$2:J421,I422)+COUNTIF($K$2:K421,I422)=1,MAX($BN$2:BP421)+1,""))</f>
      </c>
      <c r="BO422" s="129">
        <f>IF(J422="","",IF(COUNTIF($I$3:I422,J422)+COUNTIF($J$3:J422,J422)+COUNTIF($K$2:K421,J422)=1,MAX($BN$2:BP421,BN422)+1,""))</f>
      </c>
      <c r="BP422" s="129">
        <f>IF(K422="","",IF(COUNTIF($I$3:I422,K422)+COUNTIF($J$3:J422,K422)+COUNTIF($K$3:K422,K422)=1,MAX($BN$2:BP421,BN422,BO422)+1,""))</f>
      </c>
      <c r="BQ422" s="129">
        <f>IF(AY422=1,IFERROR(MID(Q422,FIND(" (",Q422)+2,FIND(")",Q422,FIND(" (",Q422))-FIND(" (",Q422)-2),"?"),"")</f>
      </c>
      <c r="BR422" s="129">
        <f>IF(BQ422="","",IF(COUNTIF($BQ$3:BQ422,BQ422)=1,MAX($BR$2:BR421)+1,""))</f>
      </c>
      <c r="BS422" s="129">
        <f>IF(AW422="","",COUNTIF($AW$3:AW422,"?*"))</f>
      </c>
      <c r="BT422" s="129">
        <f>IF(OR(AW422="",AI422=""),"",IF(COUNTIFS($AW$3:AW422,"?*",$AI$3:AI422,AI422)=1,MAX($BT$2:BT421)+1,""))</f>
      </c>
      <c r="BU422" s="129">
        <f>IF(AE422="",0,IF(OR(ISNUMBER(SEARCH("дубль",AE422)),ISNUMBER(SEARCH("ПЕРЕГРУЗ",AE422)),ISNUMBER(SEARCH("ЗАЩИЩ",AE422)),ISNUMBER(SEARCH("КАНАЛ",AE422)),ISNUMBER(SEARCH("без 30",AE422))),2,1))</f>
      </c>
      <c r="BV422" s="129">
        <f>IF(R422="","",COUNTIF($R$3:R422,"?*"))</f>
      </c>
      <c r="BW422" s="129">
        <f>IF(AY422&lt;&gt;1,0,IF(MAX(IFERROR(--VLOOKUP(R422,УГО_спр,5,FALSE),0),IFERROR(--VLOOKUP(AL422,УГО_спр,5,FALSE),0),IFERROR(--VLOOKUP(LEFT(AL422,2),УГО_спр,5,FALSE),0))&gt;0,MAX(IFERROR(--VLOOKUP(R422,УГО_спр,5,FALSE),0),IFERROR(--VLOOKUP(AL422,УГО_спр,5,FALSE),0),IFERROR(--VLOOKUP(LEFT(AL422,2),УГО_спр,5,FALSE),0)),IF(IFERROR(--LEFT(SUBSTITUTE(BQ422,"x","х"),FIND("х",SUBSTITUTE(BQ422,"x","х"))-1),3)&gt;3,Каталог!$S$9,1)))</f>
      </c>
      <c r="BX422" s="129">
        <f>IF(AY422&lt;&gt;1,0,MAX(0,IFERROR(--LEFT(SUBSTITUTE(BQ422,"x","х"),FIND("х",SUBSTITUTE(BQ422,"x","х"))-1),3)-3*BW422))</f>
      </c>
      <c r="BY422" s="129">
        <f>IF(R422="","",IFERROR(VLOOKUP(R422,УГО_спр,2,FALSE),IFERROR(VLOOKUP(AL422,УГО_спр,2,FALSE),IFERROR(VLOOKUP(LEFT(AL422,2),УГО_спр,2,FALSE),""))))</f>
      </c>
    </row>
    <row r="423" spans="1:64" x14ac:dyDescent="0.3">
      <c r="A423" s="135">
        <f>IF(Разбивка_по_щитам!F423=0,"",Разбивка_по_щитам!F423)</f>
      </c>
      <c r="B423" s="138">
        <f>IF(A423="","",Разбивка_по_щитам!C423)</f>
      </c>
      <c r="C423" s="138">
        <f t="shared" si="258"/>
      </c>
      <c r="D423" s="266"/>
      <c r="E423" s="266"/>
      <c r="F423" s="267"/>
      <c r="G423" s="145">
        <f t="shared" si="298"/>
        <v/>
      </c>
      <c r="H423" s="145">
        <f t="shared" si="299"/>
        <v/>
      </c>
      <c r="I423" s="266"/>
      <c r="J423" s="267"/>
      <c r="K423" s="267"/>
      <c r="L423" s="266"/>
      <c r="M423" s="147">
        <f t="shared" si="300"/>
        <v/>
      </c>
      <c r="N423" s="267"/>
      <c r="O423" s="147">
        <f t="shared" si="301"/>
        <v/>
      </c>
      <c r="P423" s="268">
        <f>IF(AY423=1,"XT"&amp;COUNTIFS($A$3:A423,A423,$AY$3:AY423,1),"")</f>
        <v/>
      </c>
      <c r="Q423" s="152">
        <f>IF(R423="","",IFERROR(SUBSTITUTE(Разбивка_по_щитам!P423,CHAR(10)," "),""))</f>
        <v/>
      </c>
      <c r="R423" s="153">
        <f>IF(OR(Разбивка_по_щитам!H423="",Разбивка_по_щитам!H423=0),"",Разбивка_по_щитам!H423)</f>
        <v/>
      </c>
      <c r="S423" s="154">
        <f>IF(R423="","",IFERROR(Разбивка_по_щитам!J423&amp;"",""))</f>
        <v/>
      </c>
      <c r="T423" s="155">
        <f>IF(R423="","",IFERROR(--Разбивка_по_щитам!L423,""))</f>
        <v/>
      </c>
      <c r="U423" s="155">
        <f>IF(R423="","",IFERROR(--Разбивка_по_щитам!K423,""))</f>
        <v/>
      </c>
      <c r="V423" s="138">
        <f>IF(R423="","",IFERROR(IF(Разбивка_по_щитам!M423=0,"",Разбивка_по_щитам!M423),""))</f>
        <v/>
      </c>
      <c r="W423" s="156">
        <f t="shared" si="259"/>
        <v/>
      </c>
      <c r="X423" s="157">
        <f t="shared" si="260"/>
        <v/>
      </c>
      <c r="Y423" s="266"/>
      <c r="Z423" s="158">
        <f t="shared" si="261"/>
        <v/>
      </c>
      <c r="AA423" s="160">
        <f t="shared" si="262"/>
        <v/>
      </c>
      <c r="AB423" s="160">
        <f>IF(R423="","",IFERROR(LOOKUP(INDEX(Справочная!$I$4:$I$19,MATCH(VLOOKUP(R423,Исходные_данные,22,FALSE),Справочная!$J$4:$J$19,0)+1),{6,10,16,20,25,32,40,50,63,80,100,125}),""))</f>
        <v/>
      </c>
      <c r="AC423" s="160">
        <f t="shared" si="263"/>
        <v/>
      </c>
      <c r="AD423" s="161">
        <f t="shared" si="264"/>
        <v/>
      </c>
      <c r="AE423" s="161">
        <f>IF(AND(R423="",G423=""),"",_xlfn.TEXTJOIN("; ",TRUE,IF(AND(R423&lt;&gt;"",V423=""),"нет фазы",""),IF(AND(R423&lt;&gt;"",N(T423)=0),"нет мощности",""),IF(AND(P423&lt;&gt;"",COUNTIFS($A$3:$A$1000,A423,$P$3:$P$1000,P423)&gt;1),"дубль клеммы "&amp;P423,""),IF(AND(W423&lt;&gt;"",W423&lt;&gt;"ok"),W423,""),IF(X423&lt;&gt;"",X423,""),IF(AND(ISNUMBER(SEARCH("(5х",Q423)),N(AK423)=1),"5 жил на 1 фазе",""),IF(AND(AL423="R",E423&lt;&gt;"",N(AS423)=0),"розетка без 30 мА",""),IF(IFERROR(_xlfn.NUMBERVALUE(MID(Q423,FIND("-",Q423,FIND("L=",Q423))+1,FIND("%",Q423)-FIND("-",Q423,FIND("L=",Q423))-1),","),0)&gt;4,"потери &gt; 4 %","")))</f>
      </c>
      <c r="AF423" s="129">
        <f>IF(E423&lt;&gt;"",COUNTIFS($A$3:A423,A423,$E$3:E423,"?*"),IF(OR(A423&lt;&gt;A422,Y423="вручную"),"",AF422))</f>
      </c>
      <c r="AG423" s="129">
        <f t="shared" si="265"/>
      </c>
      <c r="AH423" s="129">
        <f t="shared" si="266"/>
        <v/>
      </c>
      <c r="AI423" s="129">
        <f t="shared" si="267"/>
        <v/>
      </c>
      <c r="AJ423" s="129">
        <f t="shared" si="268"/>
        <v/>
      </c>
      <c r="AK423" s="129">
        <f t="shared" si="269"/>
        <v/>
      </c>
      <c r="AL423" s="129">
        <f t="shared" si="270"/>
        <v/>
      </c>
      <c r="AM423" s="129">
        <f t="shared" si="271"/>
      </c>
      <c r="AN423" s="129">
        <f t="shared" si="272"/>
      </c>
      <c r="AO423" s="129">
        <f t="shared" si="273"/>
        <v/>
      </c>
      <c r="AP423" s="129">
        <f t="shared" si="274"/>
        <v/>
      </c>
      <c r="AQ423" s="129">
        <f t="shared" si="275"/>
        <v/>
      </c>
      <c r="AR423" s="129">
        <f t="shared" si="276"/>
        <v/>
      </c>
      <c r="AS423" s="129">
        <f t="shared" si="277"/>
        <v/>
      </c>
      <c r="AT423" s="129">
        <f t="shared" si="278"/>
        <v/>
      </c>
      <c r="AU423" s="129">
        <f t="shared" si="279"/>
        <v/>
      </c>
      <c r="AV423" s="129">
        <f t="shared" si="280"/>
        <v/>
      </c>
      <c r="AW423" s="129">
        <f>IF(AV423="","",AV423&amp;"."&amp;COUNTIFS($A$3:A423,A423,$AV$3:AV423,AV423))</f>
        <v/>
      </c>
      <c r="AX423" s="129">
        <f t="shared" si="281"/>
        <v/>
      </c>
      <c r="AY423" s="129">
        <f>IF(N423="б/к",0,IF(OR(ISNUMBER(SEARCH("L=",Разбивка_по_щитам!P423)),N423="+",N423="="),1,0))</f>
      </c>
      <c r="AZ423" s="129">
        <f t="shared" si="282"/>
      </c>
      <c r="BA423" s="129">
        <f t="shared" si="283"/>
      </c>
      <c r="BB423" s="129">
        <f t="shared" si="284"/>
      </c>
      <c r="BD423" s="129">
        <f t="shared" si="285"/>
      </c>
      <c r="BE423" s="129">
        <f t="shared" si="286"/>
      </c>
      <c r="BF423" s="129">
        <f t="shared" si="287"/>
      </c>
      <c r="BG423" s="129">
        <f t="shared" si="288"/>
        <v/>
      </c>
      <c r="BH423" s="129">
        <f t="shared" si="289"/>
        <v/>
      </c>
      <c r="BI423" s="129">
        <f t="shared" si="290"/>
        <v/>
      </c>
      <c r="BJ423" s="129">
        <f t="shared" si="291"/>
        <v/>
      </c>
      <c r="BK423" s="129">
        <f>IF(R423="","",IF(OR(BY423="",BY423=0),"BOX",IFERROR(IF(VLOOKUP(BY423,УГО_блоки,3,FALSE)&amp;""&lt;&gt;"",VLOOKUP(BY423,УГО_блоки,3,FALSE),VLOOKUP(BY423,УГО_блоки,2,FALSE)),BY423)))</f>
      </c>
      <c r="BL423" s="129">
        <f t="shared" si="293"/>
      </c>
      <c r="BM423" s="129">
        <f>IF(H423="","",IF(COUNTIF($H$3:H423,H423)=1,MAX($BM$2:BM422)+1,""))</f>
      </c>
      <c r="BN423" s="129">
        <f>IF(I423="","",IF(COUNTIF($I$3:I423,I423)+COUNTIF($J$2:J422,I423)+COUNTIF($K$2:K422,I423)=1,MAX($BN$2:BP422)+1,""))</f>
      </c>
      <c r="BO423" s="129">
        <f>IF(J423="","",IF(COUNTIF($I$3:I423,J423)+COUNTIF($J$3:J423,J423)+COUNTIF($K$2:K422,J423)=1,MAX($BN$2:BP422,BN423)+1,""))</f>
      </c>
      <c r="BP423" s="129">
        <f>IF(K423="","",IF(COUNTIF($I$3:I423,K423)+COUNTIF($J$3:J423,K423)+COUNTIF($K$3:K423,K423)=1,MAX($BN$2:BP422,BN423,BO423)+1,""))</f>
      </c>
      <c r="BQ423" s="129">
        <f>IF(AY423=1,IFERROR(MID(Q423,FIND(" (",Q423)+2,FIND(")",Q423,FIND(" (",Q423))-FIND(" (",Q423)-2),"?"),"")</f>
      </c>
      <c r="BR423" s="129">
        <f>IF(BQ423="","",IF(COUNTIF($BQ$3:BQ423,BQ423)=1,MAX($BR$2:BR422)+1,""))</f>
      </c>
      <c r="BS423" s="129">
        <f>IF(AW423="","",COUNTIF($AW$3:AW423,"?*"))</f>
      </c>
      <c r="BT423" s="129">
        <f>IF(OR(AW423="",AI423=""),"",IF(COUNTIFS($AW$3:AW423,"?*",$AI$3:AI423,AI423)=1,MAX($BT$2:BT422)+1,""))</f>
      </c>
      <c r="BU423" s="129">
        <f>IF(AE423="",0,IF(OR(ISNUMBER(SEARCH("дубль",AE423)),ISNUMBER(SEARCH("ПЕРЕГРУЗ",AE423)),ISNUMBER(SEARCH("ЗАЩИЩ",AE423)),ISNUMBER(SEARCH("КАНАЛ",AE423)),ISNUMBER(SEARCH("без 30",AE423))),2,1))</f>
      </c>
      <c r="BV423" s="129">
        <f>IF(R423="","",COUNTIF($R$3:R423,"?*"))</f>
      </c>
      <c r="BW423" s="129">
        <f>IF(AY423&lt;&gt;1,0,IF(MAX(IFERROR(--VLOOKUP(R423,УГО_спр,5,FALSE),0),IFERROR(--VLOOKUP(AL423,УГО_спр,5,FALSE),0),IFERROR(--VLOOKUP(LEFT(AL423,2),УГО_спр,5,FALSE),0))&gt;0,MAX(IFERROR(--VLOOKUP(R423,УГО_спр,5,FALSE),0),IFERROR(--VLOOKUP(AL423,УГО_спр,5,FALSE),0),IFERROR(--VLOOKUP(LEFT(AL423,2),УГО_спр,5,FALSE),0)),IF(IFERROR(--LEFT(SUBSTITUTE(BQ423,"x","х"),FIND("х",SUBSTITUTE(BQ423,"x","х"))-1),3)&gt;3,Каталог!$S$9,1)))</f>
      </c>
      <c r="BX423" s="129">
        <f>IF(AY423&lt;&gt;1,0,MAX(0,IFERROR(--LEFT(SUBSTITUTE(BQ423,"x","х"),FIND("х",SUBSTITUTE(BQ423,"x","х"))-1),3)-3*BW423))</f>
      </c>
      <c r="BY423" s="129">
        <f>IF(R423="","",IFERROR(VLOOKUP(R423,УГО_спр,2,FALSE),IFERROR(VLOOKUP(AL423,УГО_спр,2,FALSE),IFERROR(VLOOKUP(LEFT(AL423,2),УГО_спр,2,FALSE),""))))</f>
      </c>
    </row>
    <row r="424" spans="1:64" x14ac:dyDescent="0.3">
      <c r="A424" s="135">
        <f>IF(Разбивка_по_щитам!F424=0,"",Разбивка_по_щитам!F424)</f>
      </c>
      <c r="B424" s="138">
        <f>IF(A424="","",Разбивка_по_щитам!C424)</f>
      </c>
      <c r="C424" s="138">
        <f t="shared" si="258"/>
      </c>
      <c r="D424" s="266"/>
      <c r="E424" s="266"/>
      <c r="F424" s="267"/>
      <c r="G424" s="145">
        <f t="shared" si="298"/>
        <v/>
      </c>
      <c r="H424" s="145">
        <f t="shared" si="299"/>
        <v/>
      </c>
      <c r="I424" s="266"/>
      <c r="J424" s="267"/>
      <c r="K424" s="267"/>
      <c r="L424" s="266"/>
      <c r="M424" s="147">
        <f t="shared" si="300"/>
        <v/>
      </c>
      <c r="N424" s="267"/>
      <c r="O424" s="147">
        <f t="shared" si="301"/>
        <v/>
      </c>
      <c r="P424" s="268">
        <f>IF(AY424=1,"XT"&amp;COUNTIFS($A$3:A424,A424,$AY$3:AY424,1),"")</f>
        <v/>
      </c>
      <c r="Q424" s="152">
        <f>IF(R424="","",IFERROR(SUBSTITUTE(Разбивка_по_щитам!P424,CHAR(10)," "),""))</f>
        <v/>
      </c>
      <c r="R424" s="153">
        <f>IF(OR(Разбивка_по_щитам!H424="",Разбивка_по_щитам!H424=0),"",Разбивка_по_щитам!H424)</f>
        <v/>
      </c>
      <c r="S424" s="154">
        <f>IF(R424="","",IFERROR(Разбивка_по_щитам!J424&amp;"",""))</f>
        <v/>
      </c>
      <c r="T424" s="155">
        <f>IF(R424="","",IFERROR(--Разбивка_по_щитам!L424,""))</f>
        <v/>
      </c>
      <c r="U424" s="155">
        <f>IF(R424="","",IFERROR(--Разбивка_по_щитам!K424,""))</f>
        <v/>
      </c>
      <c r="V424" s="138">
        <f>IF(R424="","",IFERROR(IF(Разбивка_по_щитам!M424=0,"",Разбивка_по_щитам!M424),""))</f>
        <v/>
      </c>
      <c r="W424" s="156">
        <f t="shared" si="259"/>
        <v/>
      </c>
      <c r="X424" s="157">
        <f t="shared" si="260"/>
        <v/>
      </c>
      <c r="Y424" s="266"/>
      <c r="Z424" s="158">
        <f t="shared" si="261"/>
        <v/>
      </c>
      <c r="AA424" s="160">
        <f t="shared" si="262"/>
        <v/>
      </c>
      <c r="AB424" s="160">
        <f>IF(R424="","",IFERROR(LOOKUP(INDEX(Справочная!$I$4:$I$19,MATCH(VLOOKUP(R424,Исходные_данные,22,FALSE),Справочная!$J$4:$J$19,0)+1),{6,10,16,20,25,32,40,50,63,80,100,125}),""))</f>
        <v/>
      </c>
      <c r="AC424" s="160">
        <f t="shared" si="263"/>
        <v/>
      </c>
      <c r="AD424" s="161">
        <f t="shared" si="264"/>
        <v/>
      </c>
      <c r="AE424" s="161">
        <f>IF(AND(R424="",G424=""),"",_xlfn.TEXTJOIN("; ",TRUE,IF(AND(R424&lt;&gt;"",V424=""),"нет фазы",""),IF(AND(R424&lt;&gt;"",N(T424)=0),"нет мощности",""),IF(AND(P424&lt;&gt;"",COUNTIFS($A$3:$A$1000,A424,$P$3:$P$1000,P424)&gt;1),"дубль клеммы "&amp;P424,""),IF(AND(W424&lt;&gt;"",W424&lt;&gt;"ok"),W424,""),IF(X424&lt;&gt;"",X424,""),IF(AND(ISNUMBER(SEARCH("(5х",Q424)),N(AK424)=1),"5 жил на 1 фазе",""),IF(AND(AL424="R",E424&lt;&gt;"",N(AS424)=0),"розетка без 30 мА",""),IF(IFERROR(_xlfn.NUMBERVALUE(MID(Q424,FIND("-",Q424,FIND("L=",Q424))+1,FIND("%",Q424)-FIND("-",Q424,FIND("L=",Q424))-1),","),0)&gt;4,"потери &gt; 4 %","")))</f>
      </c>
      <c r="AF424" s="129">
        <f>IF(E424&lt;&gt;"",COUNTIFS($A$3:A424,A424,$E$3:E424,"?*"),IF(OR(A424&lt;&gt;A423,Y424="вручную"),"",AF423))</f>
      </c>
      <c r="AG424" s="129">
        <f t="shared" si="265"/>
      </c>
      <c r="AH424" s="129">
        <f t="shared" si="266"/>
        <v/>
      </c>
      <c r="AI424" s="129">
        <f t="shared" si="267"/>
        <v/>
      </c>
      <c r="AJ424" s="129">
        <f t="shared" si="268"/>
        <v/>
      </c>
      <c r="AK424" s="129">
        <f t="shared" si="269"/>
        <v/>
      </c>
      <c r="AL424" s="129">
        <f t="shared" si="270"/>
        <v/>
      </c>
      <c r="AM424" s="129">
        <f t="shared" si="271"/>
      </c>
      <c r="AN424" s="129">
        <f t="shared" si="272"/>
      </c>
      <c r="AO424" s="129">
        <f t="shared" si="273"/>
        <v/>
      </c>
      <c r="AP424" s="129">
        <f t="shared" si="274"/>
        <v/>
      </c>
      <c r="AQ424" s="129">
        <f t="shared" si="275"/>
        <v/>
      </c>
      <c r="AR424" s="129">
        <f t="shared" si="276"/>
        <v/>
      </c>
      <c r="AS424" s="129">
        <f t="shared" si="277"/>
        <v/>
      </c>
      <c r="AT424" s="129">
        <f t="shared" si="278"/>
        <v/>
      </c>
      <c r="AU424" s="129">
        <f t="shared" si="279"/>
        <v/>
      </c>
      <c r="AV424" s="129">
        <f t="shared" si="280"/>
        <v/>
      </c>
      <c r="AW424" s="129">
        <f>IF(AV424="","",AV424&amp;"."&amp;COUNTIFS($A$3:A424,A424,$AV$3:AV424,AV424))</f>
        <v/>
      </c>
      <c r="AX424" s="129">
        <f t="shared" si="281"/>
        <v/>
      </c>
      <c r="AY424" s="129">
        <f>IF(N424="б/к",0,IF(OR(ISNUMBER(SEARCH("L=",Разбивка_по_щитам!P424)),N424="+",N424="="),1,0))</f>
      </c>
      <c r="AZ424" s="129">
        <f t="shared" si="282"/>
      </c>
      <c r="BA424" s="129">
        <f t="shared" si="283"/>
      </c>
      <c r="BB424" s="129">
        <f t="shared" si="284"/>
      </c>
      <c r="BD424" s="129">
        <f t="shared" si="285"/>
      </c>
      <c r="BE424" s="129">
        <f t="shared" si="286"/>
      </c>
      <c r="BF424" s="129">
        <f t="shared" si="287"/>
      </c>
      <c r="BG424" s="129">
        <f t="shared" si="288"/>
        <v/>
      </c>
      <c r="BH424" s="129">
        <f t="shared" si="289"/>
        <v/>
      </c>
      <c r="BI424" s="129">
        <f t="shared" si="290"/>
        <v/>
      </c>
      <c r="BJ424" s="129">
        <f t="shared" si="291"/>
        <v/>
      </c>
      <c r="BK424" s="129">
        <f>IF(R424="","",IF(OR(BY424="",BY424=0),"BOX",IFERROR(IF(VLOOKUP(BY424,УГО_блоки,3,FALSE)&amp;""&lt;&gt;"",VLOOKUP(BY424,УГО_блоки,3,FALSE),VLOOKUP(BY424,УГО_блоки,2,FALSE)),BY424)))</f>
      </c>
      <c r="BL424" s="129">
        <f t="shared" si="293"/>
      </c>
      <c r="BM424" s="129">
        <f>IF(H424="","",IF(COUNTIF($H$3:H424,H424)=1,MAX($BM$2:BM423)+1,""))</f>
      </c>
      <c r="BN424" s="129">
        <f>IF(I424="","",IF(COUNTIF($I$3:I424,I424)+COUNTIF($J$2:J423,I424)+COUNTIF($K$2:K423,I424)=1,MAX($BN$2:BP423)+1,""))</f>
      </c>
      <c r="BO424" s="129">
        <f>IF(J424="","",IF(COUNTIF($I$3:I424,J424)+COUNTIF($J$3:J424,J424)+COUNTIF($K$2:K423,J424)=1,MAX($BN$2:BP423,BN424)+1,""))</f>
      </c>
      <c r="BP424" s="129">
        <f>IF(K424="","",IF(COUNTIF($I$3:I424,K424)+COUNTIF($J$3:J424,K424)+COUNTIF($K$3:K424,K424)=1,MAX($BN$2:BP423,BN424,BO424)+1,""))</f>
      </c>
      <c r="BQ424" s="129">
        <f>IF(AY424=1,IFERROR(MID(Q424,FIND(" (",Q424)+2,FIND(")",Q424,FIND(" (",Q424))-FIND(" (",Q424)-2),"?"),"")</f>
      </c>
      <c r="BR424" s="129">
        <f>IF(BQ424="","",IF(COUNTIF($BQ$3:BQ424,BQ424)=1,MAX($BR$2:BR423)+1,""))</f>
      </c>
      <c r="BS424" s="129">
        <f>IF(AW424="","",COUNTIF($AW$3:AW424,"?*"))</f>
      </c>
      <c r="BT424" s="129">
        <f>IF(OR(AW424="",AI424=""),"",IF(COUNTIFS($AW$3:AW424,"?*",$AI$3:AI424,AI424)=1,MAX($BT$2:BT423)+1,""))</f>
      </c>
      <c r="BU424" s="129">
        <f>IF(AE424="",0,IF(OR(ISNUMBER(SEARCH("дубль",AE424)),ISNUMBER(SEARCH("ПЕРЕГРУЗ",AE424)),ISNUMBER(SEARCH("ЗАЩИЩ",AE424)),ISNUMBER(SEARCH("КАНАЛ",AE424)),ISNUMBER(SEARCH("без 30",AE424))),2,1))</f>
      </c>
      <c r="BV424" s="129">
        <f>IF(R424="","",COUNTIF($R$3:R424,"?*"))</f>
      </c>
      <c r="BW424" s="129">
        <f>IF(AY424&lt;&gt;1,0,IF(MAX(IFERROR(--VLOOKUP(R424,УГО_спр,5,FALSE),0),IFERROR(--VLOOKUP(AL424,УГО_спр,5,FALSE),0),IFERROR(--VLOOKUP(LEFT(AL424,2),УГО_спр,5,FALSE),0))&gt;0,MAX(IFERROR(--VLOOKUP(R424,УГО_спр,5,FALSE),0),IFERROR(--VLOOKUP(AL424,УГО_спр,5,FALSE),0),IFERROR(--VLOOKUP(LEFT(AL424,2),УГО_спр,5,FALSE),0)),IF(IFERROR(--LEFT(SUBSTITUTE(BQ424,"x","х"),FIND("х",SUBSTITUTE(BQ424,"x","х"))-1),3)&gt;3,Каталог!$S$9,1)))</f>
      </c>
      <c r="BX424" s="129">
        <f>IF(AY424&lt;&gt;1,0,MAX(0,IFERROR(--LEFT(SUBSTITUTE(BQ424,"x","х"),FIND("х",SUBSTITUTE(BQ424,"x","х"))-1),3)-3*BW424))</f>
      </c>
      <c r="BY424" s="129">
        <f>IF(R424="","",IFERROR(VLOOKUP(R424,УГО_спр,2,FALSE),IFERROR(VLOOKUP(AL424,УГО_спр,2,FALSE),IFERROR(VLOOKUP(LEFT(AL424,2),УГО_спр,2,FALSE),""))))</f>
      </c>
    </row>
    <row r="425" spans="1:64" x14ac:dyDescent="0.3">
      <c r="A425" s="135">
        <f>IF(Разбивка_по_щитам!F425=0,"",Разбивка_по_щитам!F425)</f>
      </c>
      <c r="B425" s="138">
        <f>IF(A425="","",Разбивка_по_щитам!C425)</f>
      </c>
      <c r="C425" s="138">
        <f t="shared" si="258"/>
      </c>
      <c r="D425" s="266"/>
      <c r="E425" s="266"/>
      <c r="F425" s="267"/>
      <c r="G425" s="145">
        <f t="shared" si="298"/>
        <v/>
      </c>
      <c r="H425" s="145">
        <f t="shared" si="299"/>
        <v/>
      </c>
      <c r="I425" s="266"/>
      <c r="J425" s="267"/>
      <c r="K425" s="267"/>
      <c r="L425" s="266"/>
      <c r="M425" s="147">
        <f t="shared" si="300"/>
        <v/>
      </c>
      <c r="N425" s="267"/>
      <c r="O425" s="147">
        <f t="shared" si="301"/>
        <v/>
      </c>
      <c r="P425" s="268">
        <f>IF(AY425=1,"XT"&amp;COUNTIFS($A$3:A425,A425,$AY$3:AY425,1),"")</f>
        <v/>
      </c>
      <c r="Q425" s="152">
        <f>IF(R425="","",IFERROR(SUBSTITUTE(Разбивка_по_щитам!P425,CHAR(10)," "),""))</f>
        <v/>
      </c>
      <c r="R425" s="153">
        <f>IF(OR(Разбивка_по_щитам!H425="",Разбивка_по_щитам!H425=0),"",Разбивка_по_щитам!H425)</f>
        <v/>
      </c>
      <c r="S425" s="154">
        <f>IF(R425="","",IFERROR(Разбивка_по_щитам!J425&amp;"",""))</f>
        <v/>
      </c>
      <c r="T425" s="155">
        <f>IF(R425="","",IFERROR(--Разбивка_по_щитам!L425,""))</f>
        <v/>
      </c>
      <c r="U425" s="155">
        <f>IF(R425="","",IFERROR(--Разбивка_по_щитам!K425,""))</f>
        <v/>
      </c>
      <c r="V425" s="138">
        <f>IF(R425="","",IFERROR(IF(Разбивка_по_щитам!M425=0,"",Разбивка_по_щитам!M425),""))</f>
        <v/>
      </c>
      <c r="W425" s="156">
        <f t="shared" si="259"/>
        <v/>
      </c>
      <c r="X425" s="157">
        <f t="shared" si="260"/>
        <v/>
      </c>
      <c r="Y425" s="266"/>
      <c r="Z425" s="158">
        <f t="shared" si="261"/>
        <v/>
      </c>
      <c r="AA425" s="160">
        <f t="shared" si="262"/>
        <v/>
      </c>
      <c r="AB425" s="160">
        <f>IF(R425="","",IFERROR(LOOKUP(INDEX(Справочная!$I$4:$I$19,MATCH(VLOOKUP(R425,Исходные_данные,22,FALSE),Справочная!$J$4:$J$19,0)+1),{6,10,16,20,25,32,40,50,63,80,100,125}),""))</f>
        <v/>
      </c>
      <c r="AC425" s="160">
        <f t="shared" si="263"/>
        <v/>
      </c>
      <c r="AD425" s="161">
        <f t="shared" si="264"/>
        <v/>
      </c>
      <c r="AE425" s="161">
        <f>IF(AND(R425="",G425=""),"",_xlfn.TEXTJOIN("; ",TRUE,IF(AND(R425&lt;&gt;"",V425=""),"нет фазы",""),IF(AND(R425&lt;&gt;"",N(T425)=0),"нет мощности",""),IF(AND(P425&lt;&gt;"",COUNTIFS($A$3:$A$1000,A425,$P$3:$P$1000,P425)&gt;1),"дубль клеммы "&amp;P425,""),IF(AND(W425&lt;&gt;"",W425&lt;&gt;"ok"),W425,""),IF(X425&lt;&gt;"",X425,""),IF(AND(ISNUMBER(SEARCH("(5х",Q425)),N(AK425)=1),"5 жил на 1 фазе",""),IF(AND(AL425="R",E425&lt;&gt;"",N(AS425)=0),"розетка без 30 мА",""),IF(IFERROR(_xlfn.NUMBERVALUE(MID(Q425,FIND("-",Q425,FIND("L=",Q425))+1,FIND("%",Q425)-FIND("-",Q425,FIND("L=",Q425))-1),","),0)&gt;4,"потери &gt; 4 %","")))</f>
      </c>
      <c r="AF425" s="129">
        <f>IF(E425&lt;&gt;"",COUNTIFS($A$3:A425,A425,$E$3:E425,"?*"),IF(OR(A425&lt;&gt;A424,Y425="вручную"),"",AF424))</f>
      </c>
      <c r="AG425" s="129">
        <f t="shared" si="265"/>
      </c>
      <c r="AH425" s="129">
        <f t="shared" si="266"/>
        <v/>
      </c>
      <c r="AI425" s="129">
        <f t="shared" si="267"/>
        <v/>
      </c>
      <c r="AJ425" s="129">
        <f t="shared" si="268"/>
        <v/>
      </c>
      <c r="AK425" s="129">
        <f t="shared" si="269"/>
        <v/>
      </c>
      <c r="AL425" s="129">
        <f t="shared" si="270"/>
        <v/>
      </c>
      <c r="AM425" s="129">
        <f t="shared" si="271"/>
      </c>
      <c r="AN425" s="129">
        <f t="shared" si="272"/>
      </c>
      <c r="AO425" s="129">
        <f t="shared" si="273"/>
        <v/>
      </c>
      <c r="AP425" s="129">
        <f t="shared" si="274"/>
        <v/>
      </c>
      <c r="AQ425" s="129">
        <f t="shared" si="275"/>
        <v/>
      </c>
      <c r="AR425" s="129">
        <f t="shared" si="276"/>
        <v/>
      </c>
      <c r="AS425" s="129">
        <f t="shared" si="277"/>
        <v/>
      </c>
      <c r="AT425" s="129">
        <f t="shared" si="278"/>
        <v/>
      </c>
      <c r="AU425" s="129">
        <f t="shared" si="279"/>
        <v/>
      </c>
      <c r="AV425" s="129">
        <f t="shared" si="280"/>
        <v/>
      </c>
      <c r="AW425" s="129">
        <f>IF(AV425="","",AV425&amp;"."&amp;COUNTIFS($A$3:A425,A425,$AV$3:AV425,AV425))</f>
        <v/>
      </c>
      <c r="AX425" s="129">
        <f t="shared" si="281"/>
        <v/>
      </c>
      <c r="AY425" s="129">
        <f>IF(N425="б/к",0,IF(OR(ISNUMBER(SEARCH("L=",Разбивка_по_щитам!P425)),N425="+",N425="="),1,0))</f>
      </c>
      <c r="AZ425" s="129">
        <f t="shared" si="282"/>
      </c>
      <c r="BA425" s="129">
        <f t="shared" si="283"/>
      </c>
      <c r="BB425" s="129">
        <f t="shared" si="284"/>
      </c>
      <c r="BD425" s="129">
        <f t="shared" si="285"/>
      </c>
      <c r="BE425" s="129">
        <f t="shared" si="286"/>
      </c>
      <c r="BF425" s="129">
        <f t="shared" si="287"/>
      </c>
      <c r="BG425" s="129">
        <f t="shared" si="288"/>
        <v/>
      </c>
      <c r="BH425" s="129">
        <f t="shared" si="289"/>
        <v/>
      </c>
      <c r="BI425" s="129">
        <f t="shared" si="290"/>
        <v/>
      </c>
      <c r="BJ425" s="129">
        <f t="shared" si="291"/>
        <v/>
      </c>
      <c r="BK425" s="129">
        <f>IF(R425="","",IF(OR(BY425="",BY425=0),"BOX",IFERROR(IF(VLOOKUP(BY425,УГО_блоки,3,FALSE)&amp;""&lt;&gt;"",VLOOKUP(BY425,УГО_блоки,3,FALSE),VLOOKUP(BY425,УГО_блоки,2,FALSE)),BY425)))</f>
      </c>
      <c r="BL425" s="129">
        <f t="shared" si="293"/>
      </c>
      <c r="BM425" s="129">
        <f>IF(H425="","",IF(COUNTIF($H$3:H425,H425)=1,MAX($BM$2:BM424)+1,""))</f>
      </c>
      <c r="BN425" s="129">
        <f>IF(I425="","",IF(COUNTIF($I$3:I425,I425)+COUNTIF($J$2:J424,I425)+COUNTIF($K$2:K424,I425)=1,MAX($BN$2:BP424)+1,""))</f>
      </c>
      <c r="BO425" s="129">
        <f>IF(J425="","",IF(COUNTIF($I$3:I425,J425)+COUNTIF($J$3:J425,J425)+COUNTIF($K$2:K424,J425)=1,MAX($BN$2:BP424,BN425)+1,""))</f>
      </c>
      <c r="BP425" s="129">
        <f>IF(K425="","",IF(COUNTIF($I$3:I425,K425)+COUNTIF($J$3:J425,K425)+COUNTIF($K$3:K425,K425)=1,MAX($BN$2:BP424,BN425,BO425)+1,""))</f>
      </c>
      <c r="BQ425" s="129">
        <f>IF(AY425=1,IFERROR(MID(Q425,FIND(" (",Q425)+2,FIND(")",Q425,FIND(" (",Q425))-FIND(" (",Q425)-2),"?"),"")</f>
      </c>
      <c r="BR425" s="129">
        <f>IF(BQ425="","",IF(COUNTIF($BQ$3:BQ425,BQ425)=1,MAX($BR$2:BR424)+1,""))</f>
      </c>
      <c r="BS425" s="129">
        <f>IF(AW425="","",COUNTIF($AW$3:AW425,"?*"))</f>
      </c>
      <c r="BT425" s="129">
        <f>IF(OR(AW425="",AI425=""),"",IF(COUNTIFS($AW$3:AW425,"?*",$AI$3:AI425,AI425)=1,MAX($BT$2:BT424)+1,""))</f>
      </c>
      <c r="BU425" s="129">
        <f>IF(AE425="",0,IF(OR(ISNUMBER(SEARCH("дубль",AE425)),ISNUMBER(SEARCH("ПЕРЕГРУЗ",AE425)),ISNUMBER(SEARCH("ЗАЩИЩ",AE425)),ISNUMBER(SEARCH("КАНАЛ",AE425)),ISNUMBER(SEARCH("без 30",AE425))),2,1))</f>
      </c>
      <c r="BV425" s="129">
        <f>IF(R425="","",COUNTIF($R$3:R425,"?*"))</f>
      </c>
      <c r="BW425" s="129">
        <f>IF(AY425&lt;&gt;1,0,IF(MAX(IFERROR(--VLOOKUP(R425,УГО_спр,5,FALSE),0),IFERROR(--VLOOKUP(AL425,УГО_спр,5,FALSE),0),IFERROR(--VLOOKUP(LEFT(AL425,2),УГО_спр,5,FALSE),0))&gt;0,MAX(IFERROR(--VLOOKUP(R425,УГО_спр,5,FALSE),0),IFERROR(--VLOOKUP(AL425,УГО_спр,5,FALSE),0),IFERROR(--VLOOKUP(LEFT(AL425,2),УГО_спр,5,FALSE),0)),IF(IFERROR(--LEFT(SUBSTITUTE(BQ425,"x","х"),FIND("х",SUBSTITUTE(BQ425,"x","х"))-1),3)&gt;3,Каталог!$S$9,1)))</f>
      </c>
      <c r="BX425" s="129">
        <f>IF(AY425&lt;&gt;1,0,MAX(0,IFERROR(--LEFT(SUBSTITUTE(BQ425,"x","х"),FIND("х",SUBSTITUTE(BQ425,"x","х"))-1),3)-3*BW425))</f>
      </c>
      <c r="BY425" s="129">
        <f>IF(R425="","",IFERROR(VLOOKUP(R425,УГО_спр,2,FALSE),IFERROR(VLOOKUP(AL425,УГО_спр,2,FALSE),IFERROR(VLOOKUP(LEFT(AL425,2),УГО_спр,2,FALSE),""))))</f>
      </c>
    </row>
    <row r="426" spans="1:64" x14ac:dyDescent="0.3">
      <c r="A426" s="135">
        <f>IF(Разбивка_по_щитам!F426=0,"",Разбивка_по_щитам!F426)</f>
      </c>
      <c r="B426" s="138">
        <f>IF(A426="","",Разбивка_по_щитам!C426)</f>
      </c>
      <c r="C426" s="138">
        <f t="shared" si="258"/>
      </c>
      <c r="D426" s="266"/>
      <c r="E426" s="266"/>
      <c r="F426" s="267"/>
      <c r="G426" s="145">
        <f t="shared" si="298"/>
        <v/>
      </c>
      <c r="H426" s="145">
        <f t="shared" si="299"/>
        <v/>
      </c>
      <c r="I426" s="266"/>
      <c r="J426" s="267"/>
      <c r="K426" s="267"/>
      <c r="L426" s="266"/>
      <c r="M426" s="147">
        <f t="shared" si="300"/>
        <v/>
      </c>
      <c r="N426" s="267"/>
      <c r="O426" s="147">
        <f t="shared" si="301"/>
        <v/>
      </c>
      <c r="P426" s="268">
        <f>IF(AY426=1,"XT"&amp;COUNTIFS($A$3:A426,A426,$AY$3:AY426,1),"")</f>
        <v/>
      </c>
      <c r="Q426" s="152">
        <f>IF(R426="","",IFERROR(SUBSTITUTE(Разбивка_по_щитам!P426,CHAR(10)," "),""))</f>
        <v/>
      </c>
      <c r="R426" s="153">
        <f>IF(OR(Разбивка_по_щитам!H426="",Разбивка_по_щитам!H426=0),"",Разбивка_по_щитам!H426)</f>
        <v/>
      </c>
      <c r="S426" s="154">
        <f>IF(R426="","",IFERROR(Разбивка_по_щитам!J426&amp;"",""))</f>
        <v/>
      </c>
      <c r="T426" s="155">
        <f>IF(R426="","",IFERROR(--Разбивка_по_щитам!L426,""))</f>
        <v/>
      </c>
      <c r="U426" s="155">
        <f>IF(R426="","",IFERROR(--Разбивка_по_щитам!K426,""))</f>
        <v/>
      </c>
      <c r="V426" s="138">
        <f>IF(R426="","",IFERROR(IF(Разбивка_по_щитам!M426=0,"",Разбивка_по_щитам!M426),""))</f>
        <v/>
      </c>
      <c r="W426" s="156">
        <f t="shared" si="259"/>
        <v/>
      </c>
      <c r="X426" s="157">
        <f t="shared" si="260"/>
        <v/>
      </c>
      <c r="Y426" s="266"/>
      <c r="Z426" s="158">
        <f t="shared" si="261"/>
        <v/>
      </c>
      <c r="AA426" s="160">
        <f t="shared" si="262"/>
        <v/>
      </c>
      <c r="AB426" s="160">
        <f>IF(R426="","",IFERROR(LOOKUP(INDEX(Справочная!$I$4:$I$19,MATCH(VLOOKUP(R426,Исходные_данные,22,FALSE),Справочная!$J$4:$J$19,0)+1),{6,10,16,20,25,32,40,50,63,80,100,125}),""))</f>
        <v/>
      </c>
      <c r="AC426" s="160">
        <f t="shared" si="263"/>
        <v/>
      </c>
      <c r="AD426" s="161">
        <f t="shared" si="264"/>
        <v/>
      </c>
      <c r="AE426" s="161">
        <f>IF(AND(R426="",G426=""),"",_xlfn.TEXTJOIN("; ",TRUE,IF(AND(R426&lt;&gt;"",V426=""),"нет фазы",""),IF(AND(R426&lt;&gt;"",N(T426)=0),"нет мощности",""),IF(AND(P426&lt;&gt;"",COUNTIFS($A$3:$A$1000,A426,$P$3:$P$1000,P426)&gt;1),"дубль клеммы "&amp;P426,""),IF(AND(W426&lt;&gt;"",W426&lt;&gt;"ok"),W426,""),IF(X426&lt;&gt;"",X426,""),IF(AND(ISNUMBER(SEARCH("(5х",Q426)),N(AK426)=1),"5 жил на 1 фазе",""),IF(AND(AL426="R",E426&lt;&gt;"",N(AS426)=0),"розетка без 30 мА",""),IF(IFERROR(_xlfn.NUMBERVALUE(MID(Q426,FIND("-",Q426,FIND("L=",Q426))+1,FIND("%",Q426)-FIND("-",Q426,FIND("L=",Q426))-1),","),0)&gt;4,"потери &gt; 4 %","")))</f>
      </c>
      <c r="AF426" s="129">
        <f>IF(E426&lt;&gt;"",COUNTIFS($A$3:A426,A426,$E$3:E426,"?*"),IF(OR(A426&lt;&gt;A425,Y426="вручную"),"",AF425))</f>
      </c>
      <c r="AG426" s="129">
        <f t="shared" si="265"/>
      </c>
      <c r="AH426" s="129">
        <f t="shared" si="266"/>
        <v/>
      </c>
      <c r="AI426" s="129">
        <f t="shared" si="267"/>
        <v/>
      </c>
      <c r="AJ426" s="129">
        <f t="shared" si="268"/>
        <v/>
      </c>
      <c r="AK426" s="129">
        <f t="shared" si="269"/>
        <v/>
      </c>
      <c r="AL426" s="129">
        <f t="shared" si="270"/>
        <v/>
      </c>
      <c r="AM426" s="129">
        <f t="shared" si="271"/>
      </c>
      <c r="AN426" s="129">
        <f t="shared" si="272"/>
      </c>
      <c r="AO426" s="129">
        <f t="shared" si="273"/>
        <v/>
      </c>
      <c r="AP426" s="129">
        <f t="shared" si="274"/>
        <v/>
      </c>
      <c r="AQ426" s="129">
        <f t="shared" si="275"/>
        <v/>
      </c>
      <c r="AR426" s="129">
        <f t="shared" si="276"/>
        <v/>
      </c>
      <c r="AS426" s="129">
        <f t="shared" si="277"/>
        <v/>
      </c>
      <c r="AT426" s="129">
        <f t="shared" si="278"/>
        <v/>
      </c>
      <c r="AU426" s="129">
        <f t="shared" si="279"/>
        <v/>
      </c>
      <c r="AV426" s="129">
        <f t="shared" si="280"/>
        <v/>
      </c>
      <c r="AW426" s="129">
        <f>IF(AV426="","",AV426&amp;"."&amp;COUNTIFS($A$3:A426,A426,$AV$3:AV426,AV426))</f>
        <v/>
      </c>
      <c r="AX426" s="129">
        <f t="shared" si="281"/>
        <v/>
      </c>
      <c r="AY426" s="129">
        <f>IF(N426="б/к",0,IF(OR(ISNUMBER(SEARCH("L=",Разбивка_по_щитам!P426)),N426="+",N426="="),1,0))</f>
      </c>
      <c r="AZ426" s="129">
        <f t="shared" si="282"/>
      </c>
      <c r="BA426" s="129">
        <f t="shared" si="283"/>
      </c>
      <c r="BB426" s="129">
        <f t="shared" si="284"/>
      </c>
      <c r="BD426" s="129">
        <f t="shared" si="285"/>
      </c>
      <c r="BE426" s="129">
        <f t="shared" si="286"/>
      </c>
      <c r="BF426" s="129">
        <f t="shared" si="287"/>
      </c>
      <c r="BG426" s="129">
        <f t="shared" si="288"/>
        <v/>
      </c>
      <c r="BH426" s="129">
        <f t="shared" si="289"/>
        <v/>
      </c>
      <c r="BI426" s="129">
        <f t="shared" si="290"/>
        <v/>
      </c>
      <c r="BJ426" s="129">
        <f t="shared" si="291"/>
        <v/>
      </c>
      <c r="BK426" s="129">
        <f>IF(R426="","",IF(OR(BY426="",BY426=0),"BOX",IFERROR(IF(VLOOKUP(BY426,УГО_блоки,3,FALSE)&amp;""&lt;&gt;"",VLOOKUP(BY426,УГО_блоки,3,FALSE),VLOOKUP(BY426,УГО_блоки,2,FALSE)),BY426)))</f>
      </c>
      <c r="BL426" s="129">
        <f t="shared" si="293"/>
      </c>
      <c r="BM426" s="129">
        <f>IF(H426="","",IF(COUNTIF($H$3:H426,H426)=1,MAX($BM$2:BM425)+1,""))</f>
      </c>
      <c r="BN426" s="129">
        <f>IF(I426="","",IF(COUNTIF($I$3:I426,I426)+COUNTIF($J$2:J425,I426)+COUNTIF($K$2:K425,I426)=1,MAX($BN$2:BP425)+1,""))</f>
      </c>
      <c r="BO426" s="129">
        <f>IF(J426="","",IF(COUNTIF($I$3:I426,J426)+COUNTIF($J$3:J426,J426)+COUNTIF($K$2:K425,J426)=1,MAX($BN$2:BP425,BN426)+1,""))</f>
      </c>
      <c r="BP426" s="129">
        <f>IF(K426="","",IF(COUNTIF($I$3:I426,K426)+COUNTIF($J$3:J426,K426)+COUNTIF($K$3:K426,K426)=1,MAX($BN$2:BP425,BN426,BO426)+1,""))</f>
      </c>
      <c r="BQ426" s="129">
        <f>IF(AY426=1,IFERROR(MID(Q426,FIND(" (",Q426)+2,FIND(")",Q426,FIND(" (",Q426))-FIND(" (",Q426)-2),"?"),"")</f>
      </c>
      <c r="BR426" s="129">
        <f>IF(BQ426="","",IF(COUNTIF($BQ$3:BQ426,BQ426)=1,MAX($BR$2:BR425)+1,""))</f>
      </c>
      <c r="BS426" s="129">
        <f>IF(AW426="","",COUNTIF($AW$3:AW426,"?*"))</f>
      </c>
      <c r="BT426" s="129">
        <f>IF(OR(AW426="",AI426=""),"",IF(COUNTIFS($AW$3:AW426,"?*",$AI$3:AI426,AI426)=1,MAX($BT$2:BT425)+1,""))</f>
      </c>
      <c r="BU426" s="129">
        <f>IF(AE426="",0,IF(OR(ISNUMBER(SEARCH("дубль",AE426)),ISNUMBER(SEARCH("ПЕРЕГРУЗ",AE426)),ISNUMBER(SEARCH("ЗАЩИЩ",AE426)),ISNUMBER(SEARCH("КАНАЛ",AE426)),ISNUMBER(SEARCH("без 30",AE426))),2,1))</f>
      </c>
      <c r="BV426" s="129">
        <f>IF(R426="","",COUNTIF($R$3:R426,"?*"))</f>
      </c>
      <c r="BW426" s="129">
        <f>IF(AY426&lt;&gt;1,0,IF(MAX(IFERROR(--VLOOKUP(R426,УГО_спр,5,FALSE),0),IFERROR(--VLOOKUP(AL426,УГО_спр,5,FALSE),0),IFERROR(--VLOOKUP(LEFT(AL426,2),УГО_спр,5,FALSE),0))&gt;0,MAX(IFERROR(--VLOOKUP(R426,УГО_спр,5,FALSE),0),IFERROR(--VLOOKUP(AL426,УГО_спр,5,FALSE),0),IFERROR(--VLOOKUP(LEFT(AL426,2),УГО_спр,5,FALSE),0)),IF(IFERROR(--LEFT(SUBSTITUTE(BQ426,"x","х"),FIND("х",SUBSTITUTE(BQ426,"x","х"))-1),3)&gt;3,Каталог!$S$9,1)))</f>
      </c>
      <c r="BX426" s="129">
        <f>IF(AY426&lt;&gt;1,0,MAX(0,IFERROR(--LEFT(SUBSTITUTE(BQ426,"x","х"),FIND("х",SUBSTITUTE(BQ426,"x","х"))-1),3)-3*BW426))</f>
      </c>
      <c r="BY426" s="129">
        <f>IF(R426="","",IFERROR(VLOOKUP(R426,УГО_спр,2,FALSE),IFERROR(VLOOKUP(AL426,УГО_спр,2,FALSE),IFERROR(VLOOKUP(LEFT(AL426,2),УГО_спр,2,FALSE),""))))</f>
      </c>
    </row>
    <row r="427" spans="1:64" x14ac:dyDescent="0.3">
      <c r="A427" s="135">
        <f>IF(Разбивка_по_щитам!F427=0,"",Разбивка_по_щитам!F427)</f>
      </c>
      <c r="B427" s="138">
        <f>IF(A427="","",Разбивка_по_щитам!C427)</f>
      </c>
      <c r="C427" s="138">
        <f t="shared" si="258"/>
      </c>
      <c r="D427" s="266"/>
      <c r="E427" s="266"/>
      <c r="F427" s="267"/>
      <c r="G427" s="145">
        <f t="shared" si="298"/>
        <v/>
      </c>
      <c r="H427" s="145">
        <f t="shared" si="299"/>
        <v/>
      </c>
      <c r="I427" s="266"/>
      <c r="J427" s="267"/>
      <c r="K427" s="267"/>
      <c r="L427" s="266"/>
      <c r="M427" s="147">
        <f t="shared" si="300"/>
        <v/>
      </c>
      <c r="N427" s="267"/>
      <c r="O427" s="147">
        <f t="shared" si="301"/>
        <v/>
      </c>
      <c r="P427" s="268">
        <f>IF(AY427=1,"XT"&amp;COUNTIFS($A$3:A427,A427,$AY$3:AY427,1),"")</f>
        <v/>
      </c>
      <c r="Q427" s="152">
        <f>IF(R427="","",IFERROR(SUBSTITUTE(Разбивка_по_щитам!P427,CHAR(10)," "),""))</f>
        <v/>
      </c>
      <c r="R427" s="153">
        <f>IF(OR(Разбивка_по_щитам!H427="",Разбивка_по_щитам!H427=0),"",Разбивка_по_щитам!H427)</f>
        <v/>
      </c>
      <c r="S427" s="154">
        <f>IF(R427="","",IFERROR(Разбивка_по_щитам!J427&amp;"",""))</f>
        <v/>
      </c>
      <c r="T427" s="155">
        <f>IF(R427="","",IFERROR(--Разбивка_по_щитам!L427,""))</f>
        <v/>
      </c>
      <c r="U427" s="155">
        <f>IF(R427="","",IFERROR(--Разбивка_по_щитам!K427,""))</f>
        <v/>
      </c>
      <c r="V427" s="138">
        <f>IF(R427="","",IFERROR(IF(Разбивка_по_щитам!M427=0,"",Разбивка_по_щитам!M427),""))</f>
        <v/>
      </c>
      <c r="W427" s="156">
        <f t="shared" si="259"/>
        <v/>
      </c>
      <c r="X427" s="157">
        <f t="shared" si="260"/>
        <v/>
      </c>
      <c r="Y427" s="266"/>
      <c r="Z427" s="158">
        <f t="shared" si="261"/>
        <v/>
      </c>
      <c r="AA427" s="160">
        <f t="shared" si="262"/>
        <v/>
      </c>
      <c r="AB427" s="160">
        <f>IF(R427="","",IFERROR(LOOKUP(INDEX(Справочная!$I$4:$I$19,MATCH(VLOOKUP(R427,Исходные_данные,22,FALSE),Справочная!$J$4:$J$19,0)+1),{6,10,16,20,25,32,40,50,63,80,100,125}),""))</f>
        <v/>
      </c>
      <c r="AC427" s="160">
        <f t="shared" si="263"/>
        <v/>
      </c>
      <c r="AD427" s="161">
        <f t="shared" si="264"/>
        <v/>
      </c>
      <c r="AE427" s="161">
        <f>IF(AND(R427="",G427=""),"",_xlfn.TEXTJOIN("; ",TRUE,IF(AND(R427&lt;&gt;"",V427=""),"нет фазы",""),IF(AND(R427&lt;&gt;"",N(T427)=0),"нет мощности",""),IF(AND(P427&lt;&gt;"",COUNTIFS($A$3:$A$1000,A427,$P$3:$P$1000,P427)&gt;1),"дубль клеммы "&amp;P427,""),IF(AND(W427&lt;&gt;"",W427&lt;&gt;"ok"),W427,""),IF(X427&lt;&gt;"",X427,""),IF(AND(ISNUMBER(SEARCH("(5х",Q427)),N(AK427)=1),"5 жил на 1 фазе",""),IF(AND(AL427="R",E427&lt;&gt;"",N(AS427)=0),"розетка без 30 мА",""),IF(IFERROR(_xlfn.NUMBERVALUE(MID(Q427,FIND("-",Q427,FIND("L=",Q427))+1,FIND("%",Q427)-FIND("-",Q427,FIND("L=",Q427))-1),","),0)&gt;4,"потери &gt; 4 %","")))</f>
      </c>
      <c r="AF427" s="129">
        <f>IF(E427&lt;&gt;"",COUNTIFS($A$3:A427,A427,$E$3:E427,"?*"),IF(OR(A427&lt;&gt;A426,Y427="вручную"),"",AF426))</f>
      </c>
      <c r="AG427" s="129">
        <f t="shared" si="265"/>
      </c>
      <c r="AH427" s="129">
        <f t="shared" si="266"/>
        <v/>
      </c>
      <c r="AI427" s="129">
        <f t="shared" si="267"/>
        <v/>
      </c>
      <c r="AJ427" s="129">
        <f t="shared" si="268"/>
        <v/>
      </c>
      <c r="AK427" s="129">
        <f t="shared" si="269"/>
        <v/>
      </c>
      <c r="AL427" s="129">
        <f t="shared" si="270"/>
        <v/>
      </c>
      <c r="AM427" s="129">
        <f t="shared" si="271"/>
      </c>
      <c r="AN427" s="129">
        <f t="shared" si="272"/>
      </c>
      <c r="AO427" s="129">
        <f t="shared" si="273"/>
        <v/>
      </c>
      <c r="AP427" s="129">
        <f t="shared" si="274"/>
        <v/>
      </c>
      <c r="AQ427" s="129">
        <f t="shared" si="275"/>
        <v/>
      </c>
      <c r="AR427" s="129">
        <f t="shared" si="276"/>
        <v/>
      </c>
      <c r="AS427" s="129">
        <f t="shared" si="277"/>
        <v/>
      </c>
      <c r="AT427" s="129">
        <f t="shared" si="278"/>
        <v/>
      </c>
      <c r="AU427" s="129">
        <f t="shared" si="279"/>
        <v/>
      </c>
      <c r="AV427" s="129">
        <f t="shared" si="280"/>
        <v/>
      </c>
      <c r="AW427" s="129">
        <f>IF(AV427="","",AV427&amp;"."&amp;COUNTIFS($A$3:A427,A427,$AV$3:AV427,AV427))</f>
        <v/>
      </c>
      <c r="AX427" s="129">
        <f t="shared" si="281"/>
        <v/>
      </c>
      <c r="AY427" s="129">
        <f>IF(N427="б/к",0,IF(OR(ISNUMBER(SEARCH("L=",Разбивка_по_щитам!P427)),N427="+",N427="="),1,0))</f>
      </c>
      <c r="AZ427" s="129">
        <f t="shared" si="282"/>
      </c>
      <c r="BA427" s="129">
        <f t="shared" si="283"/>
      </c>
      <c r="BB427" s="129">
        <f t="shared" si="284"/>
      </c>
      <c r="BD427" s="129">
        <f t="shared" si="285"/>
      </c>
      <c r="BE427" s="129">
        <f t="shared" si="286"/>
      </c>
      <c r="BF427" s="129">
        <f t="shared" si="287"/>
      </c>
      <c r="BG427" s="129">
        <f t="shared" si="288"/>
        <v/>
      </c>
      <c r="BH427" s="129">
        <f t="shared" si="289"/>
        <v/>
      </c>
      <c r="BI427" s="129">
        <f t="shared" si="290"/>
        <v/>
      </c>
      <c r="BJ427" s="129">
        <f t="shared" si="291"/>
        <v/>
      </c>
      <c r="BK427" s="129">
        <f>IF(R427="","",IF(OR(BY427="",BY427=0),"BOX",IFERROR(IF(VLOOKUP(BY427,УГО_блоки,3,FALSE)&amp;""&lt;&gt;"",VLOOKUP(BY427,УГО_блоки,3,FALSE),VLOOKUP(BY427,УГО_блоки,2,FALSE)),BY427)))</f>
      </c>
      <c r="BL427" s="129">
        <f t="shared" si="293"/>
      </c>
      <c r="BM427" s="129">
        <f>IF(H427="","",IF(COUNTIF($H$3:H427,H427)=1,MAX($BM$2:BM426)+1,""))</f>
      </c>
      <c r="BN427" s="129">
        <f>IF(I427="","",IF(COUNTIF($I$3:I427,I427)+COUNTIF($J$2:J426,I427)+COUNTIF($K$2:K426,I427)=1,MAX($BN$2:BP426)+1,""))</f>
      </c>
      <c r="BO427" s="129">
        <f>IF(J427="","",IF(COUNTIF($I$3:I427,J427)+COUNTIF($J$3:J427,J427)+COUNTIF($K$2:K426,J427)=1,MAX($BN$2:BP426,BN427)+1,""))</f>
      </c>
      <c r="BP427" s="129">
        <f>IF(K427="","",IF(COUNTIF($I$3:I427,K427)+COUNTIF($J$3:J427,K427)+COUNTIF($K$3:K427,K427)=1,MAX($BN$2:BP426,BN427,BO427)+1,""))</f>
      </c>
      <c r="BQ427" s="129">
        <f>IF(AY427=1,IFERROR(MID(Q427,FIND(" (",Q427)+2,FIND(")",Q427,FIND(" (",Q427))-FIND(" (",Q427)-2),"?"),"")</f>
      </c>
      <c r="BR427" s="129">
        <f>IF(BQ427="","",IF(COUNTIF($BQ$3:BQ427,BQ427)=1,MAX($BR$2:BR426)+1,""))</f>
      </c>
      <c r="BS427" s="129">
        <f>IF(AW427="","",COUNTIF($AW$3:AW427,"?*"))</f>
      </c>
      <c r="BT427" s="129">
        <f>IF(OR(AW427="",AI427=""),"",IF(COUNTIFS($AW$3:AW427,"?*",$AI$3:AI427,AI427)=1,MAX($BT$2:BT426)+1,""))</f>
      </c>
      <c r="BU427" s="129">
        <f>IF(AE427="",0,IF(OR(ISNUMBER(SEARCH("дубль",AE427)),ISNUMBER(SEARCH("ПЕРЕГРУЗ",AE427)),ISNUMBER(SEARCH("ЗАЩИЩ",AE427)),ISNUMBER(SEARCH("КАНАЛ",AE427)),ISNUMBER(SEARCH("без 30",AE427))),2,1))</f>
      </c>
      <c r="BV427" s="129">
        <f>IF(R427="","",COUNTIF($R$3:R427,"?*"))</f>
      </c>
      <c r="BW427" s="129">
        <f>IF(AY427&lt;&gt;1,0,IF(MAX(IFERROR(--VLOOKUP(R427,УГО_спр,5,FALSE),0),IFERROR(--VLOOKUP(AL427,УГО_спр,5,FALSE),0),IFERROR(--VLOOKUP(LEFT(AL427,2),УГО_спр,5,FALSE),0))&gt;0,MAX(IFERROR(--VLOOKUP(R427,УГО_спр,5,FALSE),0),IFERROR(--VLOOKUP(AL427,УГО_спр,5,FALSE),0),IFERROR(--VLOOKUP(LEFT(AL427,2),УГО_спр,5,FALSE),0)),IF(IFERROR(--LEFT(SUBSTITUTE(BQ427,"x","х"),FIND("х",SUBSTITUTE(BQ427,"x","х"))-1),3)&gt;3,Каталог!$S$9,1)))</f>
      </c>
      <c r="BX427" s="129">
        <f>IF(AY427&lt;&gt;1,0,MAX(0,IFERROR(--LEFT(SUBSTITUTE(BQ427,"x","х"),FIND("х",SUBSTITUTE(BQ427,"x","х"))-1),3)-3*BW427))</f>
      </c>
      <c r="BY427" s="129">
        <f>IF(R427="","",IFERROR(VLOOKUP(R427,УГО_спр,2,FALSE),IFERROR(VLOOKUP(AL427,УГО_спр,2,FALSE),IFERROR(VLOOKUP(LEFT(AL427,2),УГО_спр,2,FALSE),""))))</f>
      </c>
    </row>
    <row r="428" spans="1:64" x14ac:dyDescent="0.3">
      <c r="A428" s="135">
        <f>IF(Разбивка_по_щитам!F428=0,"",Разбивка_по_щитам!F428)</f>
      </c>
      <c r="B428" s="138">
        <f>IF(A428="","",Разбивка_по_щитам!C428)</f>
      </c>
      <c r="C428" s="138">
        <f t="shared" si="258"/>
      </c>
      <c r="D428" s="266"/>
      <c r="E428" s="266"/>
      <c r="F428" s="267"/>
      <c r="G428" s="145">
        <f t="shared" si="298"/>
        <v/>
      </c>
      <c r="H428" s="145">
        <f t="shared" si="299"/>
        <v/>
      </c>
      <c r="I428" s="266"/>
      <c r="J428" s="267"/>
      <c r="K428" s="267"/>
      <c r="L428" s="266"/>
      <c r="M428" s="147">
        <f t="shared" si="300"/>
        <v/>
      </c>
      <c r="N428" s="267"/>
      <c r="O428" s="147">
        <f t="shared" si="301"/>
        <v/>
      </c>
      <c r="P428" s="268">
        <f>IF(AY428=1,"XT"&amp;COUNTIFS($A$3:A428,A428,$AY$3:AY428,1),"")</f>
        <v/>
      </c>
      <c r="Q428" s="152">
        <f>IF(R428="","",IFERROR(SUBSTITUTE(Разбивка_по_щитам!P428,CHAR(10)," "),""))</f>
        <v/>
      </c>
      <c r="R428" s="153">
        <f>IF(OR(Разбивка_по_щитам!H428="",Разбивка_по_щитам!H428=0),"",Разбивка_по_щитам!H428)</f>
        <v/>
      </c>
      <c r="S428" s="154">
        <f>IF(R428="","",IFERROR(Разбивка_по_щитам!J428&amp;"",""))</f>
        <v/>
      </c>
      <c r="T428" s="155">
        <f>IF(R428="","",IFERROR(--Разбивка_по_щитам!L428,""))</f>
        <v/>
      </c>
      <c r="U428" s="155">
        <f>IF(R428="","",IFERROR(--Разбивка_по_щитам!K428,""))</f>
        <v/>
      </c>
      <c r="V428" s="138">
        <f>IF(R428="","",IFERROR(IF(Разбивка_по_щитам!M428=0,"",Разбивка_по_щитам!M428),""))</f>
        <v/>
      </c>
      <c r="W428" s="156">
        <f t="shared" si="259"/>
        <v/>
      </c>
      <c r="X428" s="157">
        <f t="shared" si="260"/>
        <v/>
      </c>
      <c r="Y428" s="266"/>
      <c r="Z428" s="158">
        <f t="shared" si="261"/>
        <v/>
      </c>
      <c r="AA428" s="160">
        <f t="shared" si="262"/>
        <v/>
      </c>
      <c r="AB428" s="160">
        <f>IF(R428="","",IFERROR(LOOKUP(INDEX(Справочная!$I$4:$I$19,MATCH(VLOOKUP(R428,Исходные_данные,22,FALSE),Справочная!$J$4:$J$19,0)+1),{6,10,16,20,25,32,40,50,63,80,100,125}),""))</f>
        <v/>
      </c>
      <c r="AC428" s="160">
        <f t="shared" si="263"/>
        <v/>
      </c>
      <c r="AD428" s="161">
        <f t="shared" si="264"/>
        <v/>
      </c>
      <c r="AE428" s="161">
        <f>IF(AND(R428="",G428=""),"",_xlfn.TEXTJOIN("; ",TRUE,IF(AND(R428&lt;&gt;"",V428=""),"нет фазы",""),IF(AND(R428&lt;&gt;"",N(T428)=0),"нет мощности",""),IF(AND(P428&lt;&gt;"",COUNTIFS($A$3:$A$1000,A428,$P$3:$P$1000,P428)&gt;1),"дубль клеммы "&amp;P428,""),IF(AND(W428&lt;&gt;"",W428&lt;&gt;"ok"),W428,""),IF(X428&lt;&gt;"",X428,""),IF(AND(ISNUMBER(SEARCH("(5х",Q428)),N(AK428)=1),"5 жил на 1 фазе",""),IF(AND(AL428="R",E428&lt;&gt;"",N(AS428)=0),"розетка без 30 мА",""),IF(IFERROR(_xlfn.NUMBERVALUE(MID(Q428,FIND("-",Q428,FIND("L=",Q428))+1,FIND("%",Q428)-FIND("-",Q428,FIND("L=",Q428))-1),","),0)&gt;4,"потери &gt; 4 %","")))</f>
      </c>
      <c r="AF428" s="129">
        <f>IF(E428&lt;&gt;"",COUNTIFS($A$3:A428,A428,$E$3:E428,"?*"),IF(OR(A428&lt;&gt;A427,Y428="вручную"),"",AF427))</f>
      </c>
      <c r="AG428" s="129">
        <f t="shared" si="265"/>
      </c>
      <c r="AH428" s="129">
        <f t="shared" si="266"/>
        <v/>
      </c>
      <c r="AI428" s="129">
        <f t="shared" si="267"/>
        <v/>
      </c>
      <c r="AJ428" s="129">
        <f t="shared" si="268"/>
        <v/>
      </c>
      <c r="AK428" s="129">
        <f t="shared" si="269"/>
        <v/>
      </c>
      <c r="AL428" s="129">
        <f t="shared" si="270"/>
        <v/>
      </c>
      <c r="AM428" s="129">
        <f t="shared" si="271"/>
      </c>
      <c r="AN428" s="129">
        <f t="shared" si="272"/>
      </c>
      <c r="AO428" s="129">
        <f t="shared" si="273"/>
        <v/>
      </c>
      <c r="AP428" s="129">
        <f t="shared" si="274"/>
        <v/>
      </c>
      <c r="AQ428" s="129">
        <f t="shared" si="275"/>
        <v/>
      </c>
      <c r="AR428" s="129">
        <f t="shared" si="276"/>
        <v/>
      </c>
      <c r="AS428" s="129">
        <f t="shared" si="277"/>
        <v/>
      </c>
      <c r="AT428" s="129">
        <f t="shared" si="278"/>
        <v/>
      </c>
      <c r="AU428" s="129">
        <f t="shared" si="279"/>
        <v/>
      </c>
      <c r="AV428" s="129">
        <f t="shared" si="280"/>
        <v/>
      </c>
      <c r="AW428" s="129">
        <f>IF(AV428="","",AV428&amp;"."&amp;COUNTIFS($A$3:A428,A428,$AV$3:AV428,AV428))</f>
        <v/>
      </c>
      <c r="AX428" s="129">
        <f t="shared" si="281"/>
        <v/>
      </c>
      <c r="AY428" s="129">
        <f>IF(N428="б/к",0,IF(OR(ISNUMBER(SEARCH("L=",Разбивка_по_щитам!P428)),N428="+",N428="="),1,0))</f>
      </c>
      <c r="AZ428" s="129">
        <f t="shared" si="282"/>
      </c>
      <c r="BA428" s="129">
        <f t="shared" si="283"/>
      </c>
      <c r="BB428" s="129">
        <f t="shared" si="284"/>
      </c>
      <c r="BD428" s="129">
        <f t="shared" si="285"/>
      </c>
      <c r="BE428" s="129">
        <f t="shared" si="286"/>
      </c>
      <c r="BF428" s="129">
        <f t="shared" si="287"/>
      </c>
      <c r="BG428" s="129">
        <f t="shared" si="288"/>
        <v/>
      </c>
      <c r="BH428" s="129">
        <f t="shared" si="289"/>
        <v/>
      </c>
      <c r="BI428" s="129">
        <f t="shared" si="290"/>
        <v/>
      </c>
      <c r="BJ428" s="129">
        <f t="shared" si="291"/>
        <v/>
      </c>
      <c r="BK428" s="129">
        <f>IF(R428="","",IF(OR(BY428="",BY428=0),"BOX",IFERROR(IF(VLOOKUP(BY428,УГО_блоки,3,FALSE)&amp;""&lt;&gt;"",VLOOKUP(BY428,УГО_блоки,3,FALSE),VLOOKUP(BY428,УГО_блоки,2,FALSE)),BY428)))</f>
      </c>
      <c r="BL428" s="129">
        <f t="shared" si="293"/>
      </c>
      <c r="BM428" s="129">
        <f>IF(H428="","",IF(COUNTIF($H$3:H428,H428)=1,MAX($BM$2:BM427)+1,""))</f>
      </c>
      <c r="BN428" s="129">
        <f>IF(I428="","",IF(COUNTIF($I$3:I428,I428)+COUNTIF($J$2:J427,I428)+COUNTIF($K$2:K427,I428)=1,MAX($BN$2:BP427)+1,""))</f>
      </c>
      <c r="BO428" s="129">
        <f>IF(J428="","",IF(COUNTIF($I$3:I428,J428)+COUNTIF($J$3:J428,J428)+COUNTIF($K$2:K427,J428)=1,MAX($BN$2:BP427,BN428)+1,""))</f>
      </c>
      <c r="BP428" s="129">
        <f>IF(K428="","",IF(COUNTIF($I$3:I428,K428)+COUNTIF($J$3:J428,K428)+COUNTIF($K$3:K428,K428)=1,MAX($BN$2:BP427,BN428,BO428)+1,""))</f>
      </c>
      <c r="BQ428" s="129">
        <f>IF(AY428=1,IFERROR(MID(Q428,FIND(" (",Q428)+2,FIND(")",Q428,FIND(" (",Q428))-FIND(" (",Q428)-2),"?"),"")</f>
      </c>
      <c r="BR428" s="129">
        <f>IF(BQ428="","",IF(COUNTIF($BQ$3:BQ428,BQ428)=1,MAX($BR$2:BR427)+1,""))</f>
      </c>
      <c r="BS428" s="129">
        <f>IF(AW428="","",COUNTIF($AW$3:AW428,"?*"))</f>
      </c>
      <c r="BT428" s="129">
        <f>IF(OR(AW428="",AI428=""),"",IF(COUNTIFS($AW$3:AW428,"?*",$AI$3:AI428,AI428)=1,MAX($BT$2:BT427)+1,""))</f>
      </c>
      <c r="BU428" s="129">
        <f>IF(AE428="",0,IF(OR(ISNUMBER(SEARCH("дубль",AE428)),ISNUMBER(SEARCH("ПЕРЕГРУЗ",AE428)),ISNUMBER(SEARCH("ЗАЩИЩ",AE428)),ISNUMBER(SEARCH("КАНАЛ",AE428)),ISNUMBER(SEARCH("без 30",AE428))),2,1))</f>
      </c>
      <c r="BV428" s="129">
        <f>IF(R428="","",COUNTIF($R$3:R428,"?*"))</f>
      </c>
      <c r="BW428" s="129">
        <f>IF(AY428&lt;&gt;1,0,IF(MAX(IFERROR(--VLOOKUP(R428,УГО_спр,5,FALSE),0),IFERROR(--VLOOKUP(AL428,УГО_спр,5,FALSE),0),IFERROR(--VLOOKUP(LEFT(AL428,2),УГО_спр,5,FALSE),0))&gt;0,MAX(IFERROR(--VLOOKUP(R428,УГО_спр,5,FALSE),0),IFERROR(--VLOOKUP(AL428,УГО_спр,5,FALSE),0),IFERROR(--VLOOKUP(LEFT(AL428,2),УГО_спр,5,FALSE),0)),IF(IFERROR(--LEFT(SUBSTITUTE(BQ428,"x","х"),FIND("х",SUBSTITUTE(BQ428,"x","х"))-1),3)&gt;3,Каталог!$S$9,1)))</f>
      </c>
      <c r="BX428" s="129">
        <f>IF(AY428&lt;&gt;1,0,MAX(0,IFERROR(--LEFT(SUBSTITUTE(BQ428,"x","х"),FIND("х",SUBSTITUTE(BQ428,"x","х"))-1),3)-3*BW428))</f>
      </c>
      <c r="BY428" s="129">
        <f>IF(R428="","",IFERROR(VLOOKUP(R428,УГО_спр,2,FALSE),IFERROR(VLOOKUP(AL428,УГО_спр,2,FALSE),IFERROR(VLOOKUP(LEFT(AL428,2),УГО_спр,2,FALSE),""))))</f>
      </c>
    </row>
    <row r="429" spans="1:64" x14ac:dyDescent="0.3">
      <c r="A429" s="135">
        <f>IF(Разбивка_по_щитам!F429=0,"",Разбивка_по_щитам!F429)</f>
      </c>
      <c r="B429" s="138">
        <f>IF(A429="","",Разбивка_по_щитам!C429)</f>
      </c>
      <c r="C429" s="138">
        <f t="shared" si="258"/>
      </c>
      <c r="D429" s="266"/>
      <c r="E429" s="266"/>
      <c r="F429" s="267"/>
      <c r="G429" s="145">
        <f t="shared" si="298"/>
        <v/>
      </c>
      <c r="H429" s="145">
        <f t="shared" si="299"/>
        <v/>
      </c>
      <c r="I429" s="266"/>
      <c r="J429" s="267"/>
      <c r="K429" s="267"/>
      <c r="L429" s="266"/>
      <c r="M429" s="147">
        <f t="shared" si="300"/>
        <v/>
      </c>
      <c r="N429" s="267"/>
      <c r="O429" s="147">
        <f t="shared" si="301"/>
        <v/>
      </c>
      <c r="P429" s="268">
        <f>IF(AY429=1,"XT"&amp;COUNTIFS($A$3:A429,A429,$AY$3:AY429,1),"")</f>
        <v/>
      </c>
      <c r="Q429" s="152">
        <f>IF(R429="","",IFERROR(SUBSTITUTE(Разбивка_по_щитам!P429,CHAR(10)," "),""))</f>
        <v/>
      </c>
      <c r="R429" s="153">
        <f>IF(OR(Разбивка_по_щитам!H429="",Разбивка_по_щитам!H429=0),"",Разбивка_по_щитам!H429)</f>
        <v/>
      </c>
      <c r="S429" s="154">
        <f>IF(R429="","",IFERROR(Разбивка_по_щитам!J429&amp;"",""))</f>
        <v/>
      </c>
      <c r="T429" s="155">
        <f>IF(R429="","",IFERROR(--Разбивка_по_щитам!L429,""))</f>
        <v/>
      </c>
      <c r="U429" s="155">
        <f>IF(R429="","",IFERROR(--Разбивка_по_щитам!K429,""))</f>
        <v/>
      </c>
      <c r="V429" s="138">
        <f>IF(R429="","",IFERROR(IF(Разбивка_по_щитам!M429=0,"",Разбивка_по_щитам!M429),""))</f>
        <v/>
      </c>
      <c r="W429" s="156">
        <f t="shared" si="259"/>
        <v/>
      </c>
      <c r="X429" s="157">
        <f t="shared" si="260"/>
        <v/>
      </c>
      <c r="Y429" s="266"/>
      <c r="Z429" s="158">
        <f t="shared" si="261"/>
        <v/>
      </c>
      <c r="AA429" s="160">
        <f t="shared" si="262"/>
        <v/>
      </c>
      <c r="AB429" s="160">
        <f>IF(R429="","",IFERROR(LOOKUP(INDEX(Справочная!$I$4:$I$19,MATCH(VLOOKUP(R429,Исходные_данные,22,FALSE),Справочная!$J$4:$J$19,0)+1),{6,10,16,20,25,32,40,50,63,80,100,125}),""))</f>
        <v/>
      </c>
      <c r="AC429" s="160">
        <f t="shared" si="263"/>
        <v/>
      </c>
      <c r="AD429" s="161">
        <f t="shared" si="264"/>
        <v/>
      </c>
      <c r="AE429" s="161">
        <f>IF(AND(R429="",G429=""),"",_xlfn.TEXTJOIN("; ",TRUE,IF(AND(R429&lt;&gt;"",V429=""),"нет фазы",""),IF(AND(R429&lt;&gt;"",N(T429)=0),"нет мощности",""),IF(AND(P429&lt;&gt;"",COUNTIFS($A$3:$A$1000,A429,$P$3:$P$1000,P429)&gt;1),"дубль клеммы "&amp;P429,""),IF(AND(W429&lt;&gt;"",W429&lt;&gt;"ok"),W429,""),IF(X429&lt;&gt;"",X429,""),IF(AND(ISNUMBER(SEARCH("(5х",Q429)),N(AK429)=1),"5 жил на 1 фазе",""),IF(AND(AL429="R",E429&lt;&gt;"",N(AS429)=0),"розетка без 30 мА",""),IF(IFERROR(_xlfn.NUMBERVALUE(MID(Q429,FIND("-",Q429,FIND("L=",Q429))+1,FIND("%",Q429)-FIND("-",Q429,FIND("L=",Q429))-1),","),0)&gt;4,"потери &gt; 4 %","")))</f>
      </c>
      <c r="AF429" s="129">
        <f>IF(E429&lt;&gt;"",COUNTIFS($A$3:A429,A429,$E$3:E429,"?*"),IF(OR(A429&lt;&gt;A428,Y429="вручную"),"",AF428))</f>
      </c>
      <c r="AG429" s="129">
        <f t="shared" si="265"/>
      </c>
      <c r="AH429" s="129">
        <f t="shared" si="266"/>
        <v/>
      </c>
      <c r="AI429" s="129">
        <f t="shared" si="267"/>
        <v/>
      </c>
      <c r="AJ429" s="129">
        <f t="shared" si="268"/>
        <v/>
      </c>
      <c r="AK429" s="129">
        <f t="shared" si="269"/>
        <v/>
      </c>
      <c r="AL429" s="129">
        <f t="shared" si="270"/>
        <v/>
      </c>
      <c r="AM429" s="129">
        <f t="shared" si="271"/>
      </c>
      <c r="AN429" s="129">
        <f t="shared" si="272"/>
      </c>
      <c r="AO429" s="129">
        <f t="shared" si="273"/>
        <v/>
      </c>
      <c r="AP429" s="129">
        <f t="shared" si="274"/>
        <v/>
      </c>
      <c r="AQ429" s="129">
        <f t="shared" si="275"/>
        <v/>
      </c>
      <c r="AR429" s="129">
        <f t="shared" si="276"/>
        <v/>
      </c>
      <c r="AS429" s="129">
        <f t="shared" si="277"/>
        <v/>
      </c>
      <c r="AT429" s="129">
        <f t="shared" si="278"/>
        <v/>
      </c>
      <c r="AU429" s="129">
        <f t="shared" si="279"/>
        <v/>
      </c>
      <c r="AV429" s="129">
        <f t="shared" si="280"/>
        <v/>
      </c>
      <c r="AW429" s="129">
        <f>IF(AV429="","",AV429&amp;"."&amp;COUNTIFS($A$3:A429,A429,$AV$3:AV429,AV429))</f>
        <v/>
      </c>
      <c r="AX429" s="129">
        <f t="shared" si="281"/>
        <v/>
      </c>
      <c r="AY429" s="129">
        <f>IF(N429="б/к",0,IF(OR(ISNUMBER(SEARCH("L=",Разбивка_по_щитам!P429)),N429="+",N429="="),1,0))</f>
      </c>
      <c r="AZ429" s="129">
        <f t="shared" si="282"/>
      </c>
      <c r="BA429" s="129">
        <f t="shared" si="283"/>
      </c>
      <c r="BB429" s="129">
        <f t="shared" si="284"/>
      </c>
      <c r="BD429" s="129">
        <f t="shared" si="285"/>
      </c>
      <c r="BE429" s="129">
        <f t="shared" si="286"/>
      </c>
      <c r="BF429" s="129">
        <f t="shared" si="287"/>
      </c>
      <c r="BG429" s="129">
        <f t="shared" si="288"/>
        <v/>
      </c>
      <c r="BH429" s="129">
        <f t="shared" si="289"/>
        <v/>
      </c>
      <c r="BI429" s="129">
        <f t="shared" si="290"/>
        <v/>
      </c>
      <c r="BJ429" s="129">
        <f t="shared" si="291"/>
        <v/>
      </c>
      <c r="BK429" s="129">
        <f>IF(R429="","",IF(OR(BY429="",BY429=0),"BOX",IFERROR(IF(VLOOKUP(BY429,УГО_блоки,3,FALSE)&amp;""&lt;&gt;"",VLOOKUP(BY429,УГО_блоки,3,FALSE),VLOOKUP(BY429,УГО_блоки,2,FALSE)),BY429)))</f>
      </c>
      <c r="BL429" s="129">
        <f t="shared" si="293"/>
      </c>
      <c r="BM429" s="129">
        <f>IF(H429="","",IF(COUNTIF($H$3:H429,H429)=1,MAX($BM$2:BM428)+1,""))</f>
      </c>
      <c r="BN429" s="129">
        <f>IF(I429="","",IF(COUNTIF($I$3:I429,I429)+COUNTIF($J$2:J428,I429)+COUNTIF($K$2:K428,I429)=1,MAX($BN$2:BP428)+1,""))</f>
      </c>
      <c r="BO429" s="129">
        <f>IF(J429="","",IF(COUNTIF($I$3:I429,J429)+COUNTIF($J$3:J429,J429)+COUNTIF($K$2:K428,J429)=1,MAX($BN$2:BP428,BN429)+1,""))</f>
      </c>
      <c r="BP429" s="129">
        <f>IF(K429="","",IF(COUNTIF($I$3:I429,K429)+COUNTIF($J$3:J429,K429)+COUNTIF($K$3:K429,K429)=1,MAX($BN$2:BP428,BN429,BO429)+1,""))</f>
      </c>
      <c r="BQ429" s="129">
        <f>IF(AY429=1,IFERROR(MID(Q429,FIND(" (",Q429)+2,FIND(")",Q429,FIND(" (",Q429))-FIND(" (",Q429)-2),"?"),"")</f>
      </c>
      <c r="BR429" s="129">
        <f>IF(BQ429="","",IF(COUNTIF($BQ$3:BQ429,BQ429)=1,MAX($BR$2:BR428)+1,""))</f>
      </c>
      <c r="BS429" s="129">
        <f>IF(AW429="","",COUNTIF($AW$3:AW429,"?*"))</f>
      </c>
      <c r="BT429" s="129">
        <f>IF(OR(AW429="",AI429=""),"",IF(COUNTIFS($AW$3:AW429,"?*",$AI$3:AI429,AI429)=1,MAX($BT$2:BT428)+1,""))</f>
      </c>
      <c r="BU429" s="129">
        <f>IF(AE429="",0,IF(OR(ISNUMBER(SEARCH("дубль",AE429)),ISNUMBER(SEARCH("ПЕРЕГРУЗ",AE429)),ISNUMBER(SEARCH("ЗАЩИЩ",AE429)),ISNUMBER(SEARCH("КАНАЛ",AE429)),ISNUMBER(SEARCH("без 30",AE429))),2,1))</f>
      </c>
      <c r="BV429" s="129">
        <f>IF(R429="","",COUNTIF($R$3:R429,"?*"))</f>
      </c>
      <c r="BW429" s="129">
        <f>IF(AY429&lt;&gt;1,0,IF(MAX(IFERROR(--VLOOKUP(R429,УГО_спр,5,FALSE),0),IFERROR(--VLOOKUP(AL429,УГО_спр,5,FALSE),0),IFERROR(--VLOOKUP(LEFT(AL429,2),УГО_спр,5,FALSE),0))&gt;0,MAX(IFERROR(--VLOOKUP(R429,УГО_спр,5,FALSE),0),IFERROR(--VLOOKUP(AL429,УГО_спр,5,FALSE),0),IFERROR(--VLOOKUP(LEFT(AL429,2),УГО_спр,5,FALSE),0)),IF(IFERROR(--LEFT(SUBSTITUTE(BQ429,"x","х"),FIND("х",SUBSTITUTE(BQ429,"x","х"))-1),3)&gt;3,Каталог!$S$9,1)))</f>
      </c>
      <c r="BX429" s="129">
        <f>IF(AY429&lt;&gt;1,0,MAX(0,IFERROR(--LEFT(SUBSTITUTE(BQ429,"x","х"),FIND("х",SUBSTITUTE(BQ429,"x","х"))-1),3)-3*BW429))</f>
      </c>
      <c r="BY429" s="129">
        <f>IF(R429="","",IFERROR(VLOOKUP(R429,УГО_спр,2,FALSE),IFERROR(VLOOKUP(AL429,УГО_спр,2,FALSE),IFERROR(VLOOKUP(LEFT(AL429,2),УГО_спр,2,FALSE),""))))</f>
      </c>
    </row>
    <row r="430" spans="1:64" x14ac:dyDescent="0.3">
      <c r="A430" s="135">
        <f>IF(Разбивка_по_щитам!F430=0,"",Разбивка_по_щитам!F430)</f>
      </c>
      <c r="B430" s="138">
        <f>IF(A430="","",Разбивка_по_щитам!C430)</f>
      </c>
      <c r="C430" s="138">
        <f t="shared" si="258"/>
      </c>
      <c r="D430" s="266"/>
      <c r="E430" s="266"/>
      <c r="F430" s="267"/>
      <c r="G430" s="145">
        <f t="shared" si="298"/>
        <v/>
      </c>
      <c r="H430" s="145">
        <f t="shared" si="299"/>
        <v/>
      </c>
      <c r="I430" s="266"/>
      <c r="J430" s="267"/>
      <c r="K430" s="267"/>
      <c r="L430" s="266"/>
      <c r="M430" s="147">
        <f t="shared" si="300"/>
        <v/>
      </c>
      <c r="N430" s="267"/>
      <c r="O430" s="147">
        <f t="shared" si="301"/>
        <v/>
      </c>
      <c r="P430" s="268">
        <f>IF(AY430=1,"XT"&amp;COUNTIFS($A$3:A430,A430,$AY$3:AY430,1),"")</f>
        <v/>
      </c>
      <c r="Q430" s="152">
        <f>IF(R430="","",IFERROR(SUBSTITUTE(Разбивка_по_щитам!P430,CHAR(10)," "),""))</f>
        <v/>
      </c>
      <c r="R430" s="153">
        <f>IF(OR(Разбивка_по_щитам!H430="",Разбивка_по_щитам!H430=0),"",Разбивка_по_щитам!H430)</f>
        <v/>
      </c>
      <c r="S430" s="154">
        <f>IF(R430="","",IFERROR(Разбивка_по_щитам!J430&amp;"",""))</f>
        <v/>
      </c>
      <c r="T430" s="155">
        <f>IF(R430="","",IFERROR(--Разбивка_по_щитам!L430,""))</f>
        <v/>
      </c>
      <c r="U430" s="155">
        <f>IF(R430="","",IFERROR(--Разбивка_по_щитам!K430,""))</f>
        <v/>
      </c>
      <c r="V430" s="138">
        <f>IF(R430="","",IFERROR(IF(Разбивка_по_щитам!M430=0,"",Разбивка_по_щитам!M430),""))</f>
        <v/>
      </c>
      <c r="W430" s="156">
        <f t="shared" si="259"/>
        <v/>
      </c>
      <c r="X430" s="157">
        <f t="shared" si="260"/>
        <v/>
      </c>
      <c r="Y430" s="266"/>
      <c r="Z430" s="158">
        <f t="shared" si="261"/>
        <v/>
      </c>
      <c r="AA430" s="160">
        <f t="shared" si="262"/>
        <v/>
      </c>
      <c r="AB430" s="160">
        <f>IF(R430="","",IFERROR(LOOKUP(INDEX(Справочная!$I$4:$I$19,MATCH(VLOOKUP(R430,Исходные_данные,22,FALSE),Справочная!$J$4:$J$19,0)+1),{6,10,16,20,25,32,40,50,63,80,100,125}),""))</f>
        <v/>
      </c>
      <c r="AC430" s="160">
        <f t="shared" si="263"/>
        <v/>
      </c>
      <c r="AD430" s="161">
        <f t="shared" si="264"/>
        <v/>
      </c>
      <c r="AE430" s="161">
        <f>IF(AND(R430="",G430=""),"",_xlfn.TEXTJOIN("; ",TRUE,IF(AND(R430&lt;&gt;"",V430=""),"нет фазы",""),IF(AND(R430&lt;&gt;"",N(T430)=0),"нет мощности",""),IF(AND(P430&lt;&gt;"",COUNTIFS($A$3:$A$1000,A430,$P$3:$P$1000,P430)&gt;1),"дубль клеммы "&amp;P430,""),IF(AND(W430&lt;&gt;"",W430&lt;&gt;"ok"),W430,""),IF(X430&lt;&gt;"",X430,""),IF(AND(ISNUMBER(SEARCH("(5х",Q430)),N(AK430)=1),"5 жил на 1 фазе",""),IF(AND(AL430="R",E430&lt;&gt;"",N(AS430)=0),"розетка без 30 мА",""),IF(IFERROR(_xlfn.NUMBERVALUE(MID(Q430,FIND("-",Q430,FIND("L=",Q430))+1,FIND("%",Q430)-FIND("-",Q430,FIND("L=",Q430))-1),","),0)&gt;4,"потери &gt; 4 %","")))</f>
      </c>
      <c r="AF430" s="129">
        <f>IF(E430&lt;&gt;"",COUNTIFS($A$3:A430,A430,$E$3:E430,"?*"),IF(OR(A430&lt;&gt;A429,Y430="вручную"),"",AF429))</f>
      </c>
      <c r="AG430" s="129">
        <f t="shared" si="265"/>
      </c>
      <c r="AH430" s="129">
        <f t="shared" si="266"/>
        <v/>
      </c>
      <c r="AI430" s="129">
        <f t="shared" si="267"/>
        <v/>
      </c>
      <c r="AJ430" s="129">
        <f t="shared" si="268"/>
        <v/>
      </c>
      <c r="AK430" s="129">
        <f t="shared" si="269"/>
        <v/>
      </c>
      <c r="AL430" s="129">
        <f t="shared" si="270"/>
        <v/>
      </c>
      <c r="AM430" s="129">
        <f t="shared" si="271"/>
      </c>
      <c r="AN430" s="129">
        <f t="shared" si="272"/>
      </c>
      <c r="AO430" s="129">
        <f t="shared" si="273"/>
        <v/>
      </c>
      <c r="AP430" s="129">
        <f t="shared" si="274"/>
        <v/>
      </c>
      <c r="AQ430" s="129">
        <f t="shared" si="275"/>
        <v/>
      </c>
      <c r="AR430" s="129">
        <f t="shared" si="276"/>
        <v/>
      </c>
      <c r="AS430" s="129">
        <f t="shared" si="277"/>
        <v/>
      </c>
      <c r="AT430" s="129">
        <f t="shared" si="278"/>
        <v/>
      </c>
      <c r="AU430" s="129">
        <f t="shared" si="279"/>
        <v/>
      </c>
      <c r="AV430" s="129">
        <f t="shared" si="280"/>
        <v/>
      </c>
      <c r="AW430" s="129">
        <f>IF(AV430="","",AV430&amp;"."&amp;COUNTIFS($A$3:A430,A430,$AV$3:AV430,AV430))</f>
        <v/>
      </c>
      <c r="AX430" s="129">
        <f t="shared" si="281"/>
        <v/>
      </c>
      <c r="AY430" s="129">
        <f>IF(N430="б/к",0,IF(OR(ISNUMBER(SEARCH("L=",Разбивка_по_щитам!P430)),N430="+",N430="="),1,0))</f>
      </c>
      <c r="AZ430" s="129">
        <f t="shared" si="282"/>
      </c>
      <c r="BA430" s="129">
        <f t="shared" si="283"/>
      </c>
      <c r="BB430" s="129">
        <f t="shared" si="284"/>
      </c>
      <c r="BD430" s="129">
        <f t="shared" si="285"/>
      </c>
      <c r="BE430" s="129">
        <f t="shared" si="286"/>
      </c>
      <c r="BF430" s="129">
        <f t="shared" si="287"/>
      </c>
      <c r="BG430" s="129">
        <f t="shared" si="288"/>
        <v/>
      </c>
      <c r="BH430" s="129">
        <f t="shared" si="289"/>
        <v/>
      </c>
      <c r="BI430" s="129">
        <f t="shared" si="290"/>
        <v/>
      </c>
      <c r="BJ430" s="129">
        <f t="shared" si="291"/>
        <v/>
      </c>
      <c r="BK430" s="129">
        <f>IF(R430="","",IF(OR(BY430="",BY430=0),"BOX",IFERROR(IF(VLOOKUP(BY430,УГО_блоки,3,FALSE)&amp;""&lt;&gt;"",VLOOKUP(BY430,УГО_блоки,3,FALSE),VLOOKUP(BY430,УГО_блоки,2,FALSE)),BY430)))</f>
      </c>
      <c r="BL430" s="129">
        <f t="shared" si="293"/>
      </c>
      <c r="BM430" s="129">
        <f>IF(H430="","",IF(COUNTIF($H$3:H430,H430)=1,MAX($BM$2:BM429)+1,""))</f>
      </c>
      <c r="BN430" s="129">
        <f>IF(I430="","",IF(COUNTIF($I$3:I430,I430)+COUNTIF($J$2:J429,I430)+COUNTIF($K$2:K429,I430)=1,MAX($BN$2:BP429)+1,""))</f>
      </c>
      <c r="BO430" s="129">
        <f>IF(J430="","",IF(COUNTIF($I$3:I430,J430)+COUNTIF($J$3:J430,J430)+COUNTIF($K$2:K429,J430)=1,MAX($BN$2:BP429,BN430)+1,""))</f>
      </c>
      <c r="BP430" s="129">
        <f>IF(K430="","",IF(COUNTIF($I$3:I430,K430)+COUNTIF($J$3:J430,K430)+COUNTIF($K$3:K430,K430)=1,MAX($BN$2:BP429,BN430,BO430)+1,""))</f>
      </c>
      <c r="BQ430" s="129">
        <f>IF(AY430=1,IFERROR(MID(Q430,FIND(" (",Q430)+2,FIND(")",Q430,FIND(" (",Q430))-FIND(" (",Q430)-2),"?"),"")</f>
      </c>
      <c r="BR430" s="129">
        <f>IF(BQ430="","",IF(COUNTIF($BQ$3:BQ430,BQ430)=1,MAX($BR$2:BR429)+1,""))</f>
      </c>
      <c r="BS430" s="129">
        <f>IF(AW430="","",COUNTIF($AW$3:AW430,"?*"))</f>
      </c>
      <c r="BT430" s="129">
        <f>IF(OR(AW430="",AI430=""),"",IF(COUNTIFS($AW$3:AW430,"?*",$AI$3:AI430,AI430)=1,MAX($BT$2:BT429)+1,""))</f>
      </c>
      <c r="BU430" s="129">
        <f>IF(AE430="",0,IF(OR(ISNUMBER(SEARCH("дубль",AE430)),ISNUMBER(SEARCH("ПЕРЕГРУЗ",AE430)),ISNUMBER(SEARCH("ЗАЩИЩ",AE430)),ISNUMBER(SEARCH("КАНАЛ",AE430)),ISNUMBER(SEARCH("без 30",AE430))),2,1))</f>
      </c>
      <c r="BV430" s="129">
        <f>IF(R430="","",COUNTIF($R$3:R430,"?*"))</f>
      </c>
      <c r="BW430" s="129">
        <f>IF(AY430&lt;&gt;1,0,IF(MAX(IFERROR(--VLOOKUP(R430,УГО_спр,5,FALSE),0),IFERROR(--VLOOKUP(AL430,УГО_спр,5,FALSE),0),IFERROR(--VLOOKUP(LEFT(AL430,2),УГО_спр,5,FALSE),0))&gt;0,MAX(IFERROR(--VLOOKUP(R430,УГО_спр,5,FALSE),0),IFERROR(--VLOOKUP(AL430,УГО_спр,5,FALSE),0),IFERROR(--VLOOKUP(LEFT(AL430,2),УГО_спр,5,FALSE),0)),IF(IFERROR(--LEFT(SUBSTITUTE(BQ430,"x","х"),FIND("х",SUBSTITUTE(BQ430,"x","х"))-1),3)&gt;3,Каталог!$S$9,1)))</f>
      </c>
      <c r="BX430" s="129">
        <f>IF(AY430&lt;&gt;1,0,MAX(0,IFERROR(--LEFT(SUBSTITUTE(BQ430,"x","х"),FIND("х",SUBSTITUTE(BQ430,"x","х"))-1),3)-3*BW430))</f>
      </c>
      <c r="BY430" s="129">
        <f>IF(R430="","",IFERROR(VLOOKUP(R430,УГО_спр,2,FALSE),IFERROR(VLOOKUP(AL430,УГО_спр,2,FALSE),IFERROR(VLOOKUP(LEFT(AL430,2),УГО_спр,2,FALSE),""))))</f>
      </c>
    </row>
    <row r="431" spans="1:64" x14ac:dyDescent="0.3">
      <c r="A431" s="135">
        <f>IF(Разбивка_по_щитам!F431=0,"",Разбивка_по_щитам!F431)</f>
      </c>
      <c r="B431" s="138">
        <f>IF(A431="","",Разбивка_по_щитам!C431)</f>
      </c>
      <c r="C431" s="138">
        <f t="shared" si="258"/>
      </c>
      <c r="D431" s="266"/>
      <c r="E431" s="266"/>
      <c r="F431" s="267"/>
      <c r="G431" s="145">
        <f t="shared" si="298"/>
        <v/>
      </c>
      <c r="H431" s="145">
        <f t="shared" si="299"/>
        <v/>
      </c>
      <c r="I431" s="266"/>
      <c r="J431" s="267"/>
      <c r="K431" s="267"/>
      <c r="L431" s="266"/>
      <c r="M431" s="147">
        <f t="shared" si="300"/>
        <v/>
      </c>
      <c r="N431" s="267"/>
      <c r="O431" s="147">
        <f t="shared" si="301"/>
        <v/>
      </c>
      <c r="P431" s="268">
        <f>IF(AY431=1,"XT"&amp;COUNTIFS($A$3:A431,A431,$AY$3:AY431,1),"")</f>
        <v/>
      </c>
      <c r="Q431" s="152">
        <f>IF(R431="","",IFERROR(SUBSTITUTE(Разбивка_по_щитам!P431,CHAR(10)," "),""))</f>
        <v/>
      </c>
      <c r="R431" s="153">
        <f>IF(OR(Разбивка_по_щитам!H431="",Разбивка_по_щитам!H431=0),"",Разбивка_по_щитам!H431)</f>
        <v/>
      </c>
      <c r="S431" s="154">
        <f>IF(R431="","",IFERROR(Разбивка_по_щитам!J431&amp;"",""))</f>
        <v/>
      </c>
      <c r="T431" s="155">
        <f>IF(R431="","",IFERROR(--Разбивка_по_щитам!L431,""))</f>
        <v/>
      </c>
      <c r="U431" s="155">
        <f>IF(R431="","",IFERROR(--Разбивка_по_щитам!K431,""))</f>
        <v/>
      </c>
      <c r="V431" s="138">
        <f>IF(R431="","",IFERROR(IF(Разбивка_по_щитам!M431=0,"",Разбивка_по_щитам!M431),""))</f>
        <v/>
      </c>
      <c r="W431" s="156">
        <f t="shared" si="259"/>
        <v/>
      </c>
      <c r="X431" s="157">
        <f t="shared" si="260"/>
        <v/>
      </c>
      <c r="Y431" s="266"/>
      <c r="Z431" s="158">
        <f t="shared" si="261"/>
        <v/>
      </c>
      <c r="AA431" s="160">
        <f t="shared" si="262"/>
        <v/>
      </c>
      <c r="AB431" s="160">
        <f>IF(R431="","",IFERROR(LOOKUP(INDEX(Справочная!$I$4:$I$19,MATCH(VLOOKUP(R431,Исходные_данные,22,FALSE),Справочная!$J$4:$J$19,0)+1),{6,10,16,20,25,32,40,50,63,80,100,125}),""))</f>
        <v/>
      </c>
      <c r="AC431" s="160">
        <f t="shared" si="263"/>
        <v/>
      </c>
      <c r="AD431" s="161">
        <f t="shared" si="264"/>
        <v/>
      </c>
      <c r="AE431" s="161">
        <f>IF(AND(R431="",G431=""),"",_xlfn.TEXTJOIN("; ",TRUE,IF(AND(R431&lt;&gt;"",V431=""),"нет фазы",""),IF(AND(R431&lt;&gt;"",N(T431)=0),"нет мощности",""),IF(AND(P431&lt;&gt;"",COUNTIFS($A$3:$A$1000,A431,$P$3:$P$1000,P431)&gt;1),"дубль клеммы "&amp;P431,""),IF(AND(W431&lt;&gt;"",W431&lt;&gt;"ok"),W431,""),IF(X431&lt;&gt;"",X431,""),IF(AND(ISNUMBER(SEARCH("(5х",Q431)),N(AK431)=1),"5 жил на 1 фазе",""),IF(AND(AL431="R",E431&lt;&gt;"",N(AS431)=0),"розетка без 30 мА",""),IF(IFERROR(_xlfn.NUMBERVALUE(MID(Q431,FIND("-",Q431,FIND("L=",Q431))+1,FIND("%",Q431)-FIND("-",Q431,FIND("L=",Q431))-1),","),0)&gt;4,"потери &gt; 4 %","")))</f>
      </c>
      <c r="AF431" s="129">
        <f>IF(E431&lt;&gt;"",COUNTIFS($A$3:A431,A431,$E$3:E431,"?*"),IF(OR(A431&lt;&gt;A430,Y431="вручную"),"",AF430))</f>
      </c>
      <c r="AG431" s="129">
        <f t="shared" si="265"/>
      </c>
      <c r="AH431" s="129">
        <f t="shared" si="266"/>
        <v/>
      </c>
      <c r="AI431" s="129">
        <f t="shared" si="267"/>
        <v/>
      </c>
      <c r="AJ431" s="129">
        <f t="shared" si="268"/>
        <v/>
      </c>
      <c r="AK431" s="129">
        <f t="shared" si="269"/>
        <v/>
      </c>
      <c r="AL431" s="129">
        <f t="shared" si="270"/>
        <v/>
      </c>
      <c r="AM431" s="129">
        <f t="shared" si="271"/>
      </c>
      <c r="AN431" s="129">
        <f t="shared" si="272"/>
      </c>
      <c r="AO431" s="129">
        <f t="shared" si="273"/>
        <v/>
      </c>
      <c r="AP431" s="129">
        <f t="shared" si="274"/>
        <v/>
      </c>
      <c r="AQ431" s="129">
        <f t="shared" si="275"/>
        <v/>
      </c>
      <c r="AR431" s="129">
        <f t="shared" si="276"/>
        <v/>
      </c>
      <c r="AS431" s="129">
        <f t="shared" si="277"/>
        <v/>
      </c>
      <c r="AT431" s="129">
        <f t="shared" si="278"/>
        <v/>
      </c>
      <c r="AU431" s="129">
        <f t="shared" si="279"/>
        <v/>
      </c>
      <c r="AV431" s="129">
        <f t="shared" si="280"/>
        <v/>
      </c>
      <c r="AW431" s="129">
        <f>IF(AV431="","",AV431&amp;"."&amp;COUNTIFS($A$3:A431,A431,$AV$3:AV431,AV431))</f>
        <v/>
      </c>
      <c r="AX431" s="129">
        <f t="shared" si="281"/>
        <v/>
      </c>
      <c r="AY431" s="129">
        <f>IF(N431="б/к",0,IF(OR(ISNUMBER(SEARCH("L=",Разбивка_по_щитам!P431)),N431="+",N431="="),1,0))</f>
      </c>
      <c r="AZ431" s="129">
        <f t="shared" si="282"/>
      </c>
      <c r="BA431" s="129">
        <f t="shared" si="283"/>
      </c>
      <c r="BB431" s="129">
        <f t="shared" si="284"/>
      </c>
      <c r="BD431" s="129">
        <f t="shared" si="285"/>
      </c>
      <c r="BE431" s="129">
        <f t="shared" si="286"/>
      </c>
      <c r="BF431" s="129">
        <f t="shared" si="287"/>
      </c>
      <c r="BG431" s="129">
        <f t="shared" si="288"/>
        <v/>
      </c>
      <c r="BH431" s="129">
        <f t="shared" si="289"/>
        <v/>
      </c>
      <c r="BI431" s="129">
        <f t="shared" si="290"/>
        <v/>
      </c>
      <c r="BJ431" s="129">
        <f t="shared" si="291"/>
        <v/>
      </c>
      <c r="BK431" s="129">
        <f>IF(R431="","",IF(OR(BY431="",BY431=0),"BOX",IFERROR(IF(VLOOKUP(BY431,УГО_блоки,3,FALSE)&amp;""&lt;&gt;"",VLOOKUP(BY431,УГО_блоки,3,FALSE),VLOOKUP(BY431,УГО_блоки,2,FALSE)),BY431)))</f>
      </c>
      <c r="BL431" s="129">
        <f t="shared" si="293"/>
      </c>
      <c r="BM431" s="129">
        <f>IF(H431="","",IF(COUNTIF($H$3:H431,H431)=1,MAX($BM$2:BM430)+1,""))</f>
      </c>
      <c r="BN431" s="129">
        <f>IF(I431="","",IF(COUNTIF($I$3:I431,I431)+COUNTIF($J$2:J430,I431)+COUNTIF($K$2:K430,I431)=1,MAX($BN$2:BP430)+1,""))</f>
      </c>
      <c r="BO431" s="129">
        <f>IF(J431="","",IF(COUNTIF($I$3:I431,J431)+COUNTIF($J$3:J431,J431)+COUNTIF($K$2:K430,J431)=1,MAX($BN$2:BP430,BN431)+1,""))</f>
      </c>
      <c r="BP431" s="129">
        <f>IF(K431="","",IF(COUNTIF($I$3:I431,K431)+COUNTIF($J$3:J431,K431)+COUNTIF($K$3:K431,K431)=1,MAX($BN$2:BP430,BN431,BO431)+1,""))</f>
      </c>
      <c r="BQ431" s="129">
        <f>IF(AY431=1,IFERROR(MID(Q431,FIND(" (",Q431)+2,FIND(")",Q431,FIND(" (",Q431))-FIND(" (",Q431)-2),"?"),"")</f>
      </c>
      <c r="BR431" s="129">
        <f>IF(BQ431="","",IF(COUNTIF($BQ$3:BQ431,BQ431)=1,MAX($BR$2:BR430)+1,""))</f>
      </c>
      <c r="BS431" s="129">
        <f>IF(AW431="","",COUNTIF($AW$3:AW431,"?*"))</f>
      </c>
      <c r="BT431" s="129">
        <f>IF(OR(AW431="",AI431=""),"",IF(COUNTIFS($AW$3:AW431,"?*",$AI$3:AI431,AI431)=1,MAX($BT$2:BT430)+1,""))</f>
      </c>
      <c r="BU431" s="129">
        <f>IF(AE431="",0,IF(OR(ISNUMBER(SEARCH("дубль",AE431)),ISNUMBER(SEARCH("ПЕРЕГРУЗ",AE431)),ISNUMBER(SEARCH("ЗАЩИЩ",AE431)),ISNUMBER(SEARCH("КАНАЛ",AE431)),ISNUMBER(SEARCH("без 30",AE431))),2,1))</f>
      </c>
      <c r="BV431" s="129">
        <f>IF(R431="","",COUNTIF($R$3:R431,"?*"))</f>
      </c>
      <c r="BW431" s="129">
        <f>IF(AY431&lt;&gt;1,0,IF(MAX(IFERROR(--VLOOKUP(R431,УГО_спр,5,FALSE),0),IFERROR(--VLOOKUP(AL431,УГО_спр,5,FALSE),0),IFERROR(--VLOOKUP(LEFT(AL431,2),УГО_спр,5,FALSE),0))&gt;0,MAX(IFERROR(--VLOOKUP(R431,УГО_спр,5,FALSE),0),IFERROR(--VLOOKUP(AL431,УГО_спр,5,FALSE),0),IFERROR(--VLOOKUP(LEFT(AL431,2),УГО_спр,5,FALSE),0)),IF(IFERROR(--LEFT(SUBSTITUTE(BQ431,"x","х"),FIND("х",SUBSTITUTE(BQ431,"x","х"))-1),3)&gt;3,Каталог!$S$9,1)))</f>
      </c>
      <c r="BX431" s="129">
        <f>IF(AY431&lt;&gt;1,0,MAX(0,IFERROR(--LEFT(SUBSTITUTE(BQ431,"x","х"),FIND("х",SUBSTITUTE(BQ431,"x","х"))-1),3)-3*BW431))</f>
      </c>
      <c r="BY431" s="129">
        <f>IF(R431="","",IFERROR(VLOOKUP(R431,УГО_спр,2,FALSE),IFERROR(VLOOKUP(AL431,УГО_спр,2,FALSE),IFERROR(VLOOKUP(LEFT(AL431,2),УГО_спр,2,FALSE),""))))</f>
      </c>
    </row>
    <row r="432" spans="1:64" x14ac:dyDescent="0.3">
      <c r="A432" s="135">
        <f>IF(Разбивка_по_щитам!F432=0,"",Разбивка_по_щитам!F432)</f>
      </c>
      <c r="B432" s="138">
        <f>IF(A432="","",Разбивка_по_щитам!C432)</f>
      </c>
      <c r="C432" s="138">
        <f t="shared" si="258"/>
      </c>
      <c r="D432" s="266"/>
      <c r="E432" s="266"/>
      <c r="F432" s="267"/>
      <c r="G432" s="145">
        <f t="shared" si="298"/>
        <v/>
      </c>
      <c r="H432" s="145">
        <f t="shared" si="299"/>
        <v/>
      </c>
      <c r="I432" s="266"/>
      <c r="J432" s="267"/>
      <c r="K432" s="267"/>
      <c r="L432" s="266"/>
      <c r="M432" s="147">
        <f t="shared" si="300"/>
        <v/>
      </c>
      <c r="N432" s="267"/>
      <c r="O432" s="147">
        <f t="shared" si="301"/>
        <v/>
      </c>
      <c r="P432" s="268">
        <f>IF(AY432=1,"XT"&amp;COUNTIFS($A$3:A432,A432,$AY$3:AY432,1),"")</f>
        <v/>
      </c>
      <c r="Q432" s="152">
        <f>IF(R432="","",IFERROR(SUBSTITUTE(Разбивка_по_щитам!P432,CHAR(10)," "),""))</f>
        <v/>
      </c>
      <c r="R432" s="153">
        <f>IF(OR(Разбивка_по_щитам!H432="",Разбивка_по_щитам!H432=0),"",Разбивка_по_щитам!H432)</f>
        <v/>
      </c>
      <c r="S432" s="154">
        <f>IF(R432="","",IFERROR(Разбивка_по_щитам!J432&amp;"",""))</f>
        <v/>
      </c>
      <c r="T432" s="155">
        <f>IF(R432="","",IFERROR(--Разбивка_по_щитам!L432,""))</f>
        <v/>
      </c>
      <c r="U432" s="155">
        <f>IF(R432="","",IFERROR(--Разбивка_по_щитам!K432,""))</f>
        <v/>
      </c>
      <c r="V432" s="138">
        <f>IF(R432="","",IFERROR(IF(Разбивка_по_щитам!M432=0,"",Разбивка_по_щитам!M432),""))</f>
        <v/>
      </c>
      <c r="W432" s="156">
        <f t="shared" si="259"/>
        <v/>
      </c>
      <c r="X432" s="157">
        <f t="shared" si="260"/>
        <v/>
      </c>
      <c r="Y432" s="266"/>
      <c r="Z432" s="158">
        <f t="shared" si="261"/>
        <v/>
      </c>
      <c r="AA432" s="160">
        <f t="shared" si="262"/>
        <v/>
      </c>
      <c r="AB432" s="160">
        <f>IF(R432="","",IFERROR(LOOKUP(INDEX(Справочная!$I$4:$I$19,MATCH(VLOOKUP(R432,Исходные_данные,22,FALSE),Справочная!$J$4:$J$19,0)+1),{6,10,16,20,25,32,40,50,63,80,100,125}),""))</f>
        <v/>
      </c>
      <c r="AC432" s="160">
        <f t="shared" si="263"/>
        <v/>
      </c>
      <c r="AD432" s="161">
        <f t="shared" si="264"/>
        <v/>
      </c>
      <c r="AE432" s="161">
        <f>IF(AND(R432="",G432=""),"",_xlfn.TEXTJOIN("; ",TRUE,IF(AND(R432&lt;&gt;"",V432=""),"нет фазы",""),IF(AND(R432&lt;&gt;"",N(T432)=0),"нет мощности",""),IF(AND(P432&lt;&gt;"",COUNTIFS($A$3:$A$1000,A432,$P$3:$P$1000,P432)&gt;1),"дубль клеммы "&amp;P432,""),IF(AND(W432&lt;&gt;"",W432&lt;&gt;"ok"),W432,""),IF(X432&lt;&gt;"",X432,""),IF(AND(ISNUMBER(SEARCH("(5х",Q432)),N(AK432)=1),"5 жил на 1 фазе",""),IF(AND(AL432="R",E432&lt;&gt;"",N(AS432)=0),"розетка без 30 мА",""),IF(IFERROR(_xlfn.NUMBERVALUE(MID(Q432,FIND("-",Q432,FIND("L=",Q432))+1,FIND("%",Q432)-FIND("-",Q432,FIND("L=",Q432))-1),","),0)&gt;4,"потери &gt; 4 %","")))</f>
      </c>
      <c r="AF432" s="129">
        <f>IF(E432&lt;&gt;"",COUNTIFS($A$3:A432,A432,$E$3:E432,"?*"),IF(OR(A432&lt;&gt;A431,Y432="вручную"),"",AF431))</f>
      </c>
      <c r="AG432" s="129">
        <f t="shared" si="265"/>
      </c>
      <c r="AH432" s="129">
        <f t="shared" si="266"/>
        <v/>
      </c>
      <c r="AI432" s="129">
        <f t="shared" si="267"/>
        <v/>
      </c>
      <c r="AJ432" s="129">
        <f t="shared" si="268"/>
        <v/>
      </c>
      <c r="AK432" s="129">
        <f t="shared" si="269"/>
        <v/>
      </c>
      <c r="AL432" s="129">
        <f t="shared" si="270"/>
        <v/>
      </c>
      <c r="AM432" s="129">
        <f t="shared" si="271"/>
      </c>
      <c r="AN432" s="129">
        <f t="shared" si="272"/>
      </c>
      <c r="AO432" s="129">
        <f t="shared" si="273"/>
        <v/>
      </c>
      <c r="AP432" s="129">
        <f t="shared" si="274"/>
        <v/>
      </c>
      <c r="AQ432" s="129">
        <f t="shared" si="275"/>
        <v/>
      </c>
      <c r="AR432" s="129">
        <f t="shared" si="276"/>
        <v/>
      </c>
      <c r="AS432" s="129">
        <f t="shared" si="277"/>
        <v/>
      </c>
      <c r="AT432" s="129">
        <f t="shared" si="278"/>
        <v/>
      </c>
      <c r="AU432" s="129">
        <f t="shared" si="279"/>
        <v/>
      </c>
      <c r="AV432" s="129">
        <f t="shared" si="280"/>
        <v/>
      </c>
      <c r="AW432" s="129">
        <f>IF(AV432="","",AV432&amp;"."&amp;COUNTIFS($A$3:A432,A432,$AV$3:AV432,AV432))</f>
        <v/>
      </c>
      <c r="AX432" s="129">
        <f t="shared" si="281"/>
        <v/>
      </c>
      <c r="AY432" s="129">
        <f>IF(N432="б/к",0,IF(OR(ISNUMBER(SEARCH("L=",Разбивка_по_щитам!P432)),N432="+",N432="="),1,0))</f>
      </c>
      <c r="AZ432" s="129">
        <f t="shared" si="282"/>
      </c>
      <c r="BA432" s="129">
        <f t="shared" si="283"/>
      </c>
      <c r="BB432" s="129">
        <f t="shared" si="284"/>
      </c>
      <c r="BD432" s="129">
        <f t="shared" si="285"/>
      </c>
      <c r="BE432" s="129">
        <f t="shared" si="286"/>
      </c>
      <c r="BF432" s="129">
        <f t="shared" si="287"/>
      </c>
      <c r="BG432" s="129">
        <f t="shared" si="288"/>
        <v/>
      </c>
      <c r="BH432" s="129">
        <f t="shared" si="289"/>
        <v/>
      </c>
      <c r="BI432" s="129">
        <f t="shared" si="290"/>
        <v/>
      </c>
      <c r="BJ432" s="129">
        <f t="shared" si="291"/>
        <v/>
      </c>
      <c r="BK432" s="129">
        <f>IF(R432="","",IF(OR(BY432="",BY432=0),"BOX",IFERROR(IF(VLOOKUP(BY432,УГО_блоки,3,FALSE)&amp;""&lt;&gt;"",VLOOKUP(BY432,УГО_блоки,3,FALSE),VLOOKUP(BY432,УГО_блоки,2,FALSE)),BY432)))</f>
      </c>
      <c r="BL432" s="129">
        <f t="shared" si="293"/>
      </c>
      <c r="BM432" s="129">
        <f>IF(H432="","",IF(COUNTIF($H$3:H432,H432)=1,MAX($BM$2:BM431)+1,""))</f>
      </c>
      <c r="BN432" s="129">
        <f>IF(I432="","",IF(COUNTIF($I$3:I432,I432)+COUNTIF($J$2:J431,I432)+COUNTIF($K$2:K431,I432)=1,MAX($BN$2:BP431)+1,""))</f>
      </c>
      <c r="BO432" s="129">
        <f>IF(J432="","",IF(COUNTIF($I$3:I432,J432)+COUNTIF($J$3:J432,J432)+COUNTIF($K$2:K431,J432)=1,MAX($BN$2:BP431,BN432)+1,""))</f>
      </c>
      <c r="BP432" s="129">
        <f>IF(K432="","",IF(COUNTIF($I$3:I432,K432)+COUNTIF($J$3:J432,K432)+COUNTIF($K$3:K432,K432)=1,MAX($BN$2:BP431,BN432,BO432)+1,""))</f>
      </c>
      <c r="BQ432" s="129">
        <f>IF(AY432=1,IFERROR(MID(Q432,FIND(" (",Q432)+2,FIND(")",Q432,FIND(" (",Q432))-FIND(" (",Q432)-2),"?"),"")</f>
      </c>
      <c r="BR432" s="129">
        <f>IF(BQ432="","",IF(COUNTIF($BQ$3:BQ432,BQ432)=1,MAX($BR$2:BR431)+1,""))</f>
      </c>
      <c r="BS432" s="129">
        <f>IF(AW432="","",COUNTIF($AW$3:AW432,"?*"))</f>
      </c>
      <c r="BT432" s="129">
        <f>IF(OR(AW432="",AI432=""),"",IF(COUNTIFS($AW$3:AW432,"?*",$AI$3:AI432,AI432)=1,MAX($BT$2:BT431)+1,""))</f>
      </c>
      <c r="BU432" s="129">
        <f>IF(AE432="",0,IF(OR(ISNUMBER(SEARCH("дубль",AE432)),ISNUMBER(SEARCH("ПЕРЕГРУЗ",AE432)),ISNUMBER(SEARCH("ЗАЩИЩ",AE432)),ISNUMBER(SEARCH("КАНАЛ",AE432)),ISNUMBER(SEARCH("без 30",AE432))),2,1))</f>
      </c>
      <c r="BV432" s="129">
        <f>IF(R432="","",COUNTIF($R$3:R432,"?*"))</f>
      </c>
      <c r="BW432" s="129">
        <f>IF(AY432&lt;&gt;1,0,IF(MAX(IFERROR(--VLOOKUP(R432,УГО_спр,5,FALSE),0),IFERROR(--VLOOKUP(AL432,УГО_спр,5,FALSE),0),IFERROR(--VLOOKUP(LEFT(AL432,2),УГО_спр,5,FALSE),0))&gt;0,MAX(IFERROR(--VLOOKUP(R432,УГО_спр,5,FALSE),0),IFERROR(--VLOOKUP(AL432,УГО_спр,5,FALSE),0),IFERROR(--VLOOKUP(LEFT(AL432,2),УГО_спр,5,FALSE),0)),IF(IFERROR(--LEFT(SUBSTITUTE(BQ432,"x","х"),FIND("х",SUBSTITUTE(BQ432,"x","х"))-1),3)&gt;3,Каталог!$S$9,1)))</f>
      </c>
      <c r="BX432" s="129">
        <f>IF(AY432&lt;&gt;1,0,MAX(0,IFERROR(--LEFT(SUBSTITUTE(BQ432,"x","х"),FIND("х",SUBSTITUTE(BQ432,"x","х"))-1),3)-3*BW432))</f>
      </c>
      <c r="BY432" s="129">
        <f>IF(R432="","",IFERROR(VLOOKUP(R432,УГО_спр,2,FALSE),IFERROR(VLOOKUP(AL432,УГО_спр,2,FALSE),IFERROR(VLOOKUP(LEFT(AL432,2),УГО_спр,2,FALSE),""))))</f>
      </c>
    </row>
    <row r="433" spans="1:64" x14ac:dyDescent="0.3">
      <c r="A433" s="135">
        <f>IF(Разбивка_по_щитам!F433=0,"",Разбивка_по_щитам!F433)</f>
      </c>
      <c r="B433" s="138">
        <f>IF(A433="","",Разбивка_по_щитам!C433)</f>
      </c>
      <c r="C433" s="138">
        <f t="shared" si="258"/>
      </c>
      <c r="D433" s="266"/>
      <c r="E433" s="266"/>
      <c r="F433" s="267"/>
      <c r="G433" s="145">
        <f t="shared" si="298"/>
        <v/>
      </c>
      <c r="H433" s="145">
        <f t="shared" si="299"/>
        <v/>
      </c>
      <c r="I433" s="266"/>
      <c r="J433" s="267"/>
      <c r="K433" s="267"/>
      <c r="L433" s="266"/>
      <c r="M433" s="147">
        <f t="shared" si="300"/>
        <v/>
      </c>
      <c r="N433" s="267"/>
      <c r="O433" s="147">
        <f t="shared" si="301"/>
        <v/>
      </c>
      <c r="P433" s="268">
        <f>IF(AY433=1,"XT"&amp;COUNTIFS($A$3:A433,A433,$AY$3:AY433,1),"")</f>
        <v/>
      </c>
      <c r="Q433" s="152">
        <f>IF(R433="","",IFERROR(SUBSTITUTE(Разбивка_по_щитам!P433,CHAR(10)," "),""))</f>
        <v/>
      </c>
      <c r="R433" s="153">
        <f>IF(OR(Разбивка_по_щитам!H433="",Разбивка_по_щитам!H433=0),"",Разбивка_по_щитам!H433)</f>
        <v/>
      </c>
      <c r="S433" s="154">
        <f>IF(R433="","",IFERROR(Разбивка_по_щитам!J433&amp;"",""))</f>
        <v/>
      </c>
      <c r="T433" s="155">
        <f>IF(R433="","",IFERROR(--Разбивка_по_щитам!L433,""))</f>
        <v/>
      </c>
      <c r="U433" s="155">
        <f>IF(R433="","",IFERROR(--Разбивка_по_щитам!K433,""))</f>
        <v/>
      </c>
      <c r="V433" s="138">
        <f>IF(R433="","",IFERROR(IF(Разбивка_по_щитам!M433=0,"",Разбивка_по_щитам!M433),""))</f>
        <v/>
      </c>
      <c r="W433" s="156">
        <f t="shared" si="259"/>
        <v/>
      </c>
      <c r="X433" s="157">
        <f t="shared" si="260"/>
        <v/>
      </c>
      <c r="Y433" s="266"/>
      <c r="Z433" s="158">
        <f t="shared" si="261"/>
        <v/>
      </c>
      <c r="AA433" s="160">
        <f t="shared" si="262"/>
        <v/>
      </c>
      <c r="AB433" s="160">
        <f>IF(R433="","",IFERROR(LOOKUP(INDEX(Справочная!$I$4:$I$19,MATCH(VLOOKUP(R433,Исходные_данные,22,FALSE),Справочная!$J$4:$J$19,0)+1),{6,10,16,20,25,32,40,50,63,80,100,125}),""))</f>
        <v/>
      </c>
      <c r="AC433" s="160">
        <f t="shared" si="263"/>
        <v/>
      </c>
      <c r="AD433" s="161">
        <f t="shared" si="264"/>
        <v/>
      </c>
      <c r="AE433" s="161">
        <f>IF(AND(R433="",G433=""),"",_xlfn.TEXTJOIN("; ",TRUE,IF(AND(R433&lt;&gt;"",V433=""),"нет фазы",""),IF(AND(R433&lt;&gt;"",N(T433)=0),"нет мощности",""),IF(AND(P433&lt;&gt;"",COUNTIFS($A$3:$A$1000,A433,$P$3:$P$1000,P433)&gt;1),"дубль клеммы "&amp;P433,""),IF(AND(W433&lt;&gt;"",W433&lt;&gt;"ok"),W433,""),IF(X433&lt;&gt;"",X433,""),IF(AND(ISNUMBER(SEARCH("(5х",Q433)),N(AK433)=1),"5 жил на 1 фазе",""),IF(AND(AL433="R",E433&lt;&gt;"",N(AS433)=0),"розетка без 30 мА",""),IF(IFERROR(_xlfn.NUMBERVALUE(MID(Q433,FIND("-",Q433,FIND("L=",Q433))+1,FIND("%",Q433)-FIND("-",Q433,FIND("L=",Q433))-1),","),0)&gt;4,"потери &gt; 4 %","")))</f>
      </c>
      <c r="AF433" s="129">
        <f>IF(E433&lt;&gt;"",COUNTIFS($A$3:A433,A433,$E$3:E433,"?*"),IF(OR(A433&lt;&gt;A432,Y433="вручную"),"",AF432))</f>
      </c>
      <c r="AG433" s="129">
        <f t="shared" si="265"/>
      </c>
      <c r="AH433" s="129">
        <f t="shared" si="266"/>
        <v/>
      </c>
      <c r="AI433" s="129">
        <f t="shared" si="267"/>
        <v/>
      </c>
      <c r="AJ433" s="129">
        <f t="shared" si="268"/>
        <v/>
      </c>
      <c r="AK433" s="129">
        <f t="shared" si="269"/>
        <v/>
      </c>
      <c r="AL433" s="129">
        <f t="shared" si="270"/>
        <v/>
      </c>
      <c r="AM433" s="129">
        <f t="shared" si="271"/>
      </c>
      <c r="AN433" s="129">
        <f t="shared" si="272"/>
      </c>
      <c r="AO433" s="129">
        <f t="shared" si="273"/>
        <v/>
      </c>
      <c r="AP433" s="129">
        <f t="shared" si="274"/>
        <v/>
      </c>
      <c r="AQ433" s="129">
        <f t="shared" si="275"/>
        <v/>
      </c>
      <c r="AR433" s="129">
        <f t="shared" si="276"/>
        <v/>
      </c>
      <c r="AS433" s="129">
        <f t="shared" si="277"/>
        <v/>
      </c>
      <c r="AT433" s="129">
        <f t="shared" si="278"/>
        <v/>
      </c>
      <c r="AU433" s="129">
        <f t="shared" si="279"/>
        <v/>
      </c>
      <c r="AV433" s="129">
        <f t="shared" si="280"/>
        <v/>
      </c>
      <c r="AW433" s="129">
        <f>IF(AV433="","",AV433&amp;"."&amp;COUNTIFS($A$3:A433,A433,$AV$3:AV433,AV433))</f>
        <v/>
      </c>
      <c r="AX433" s="129">
        <f t="shared" si="281"/>
        <v/>
      </c>
      <c r="AY433" s="129">
        <f>IF(N433="б/к",0,IF(OR(ISNUMBER(SEARCH("L=",Разбивка_по_щитам!P433)),N433="+",N433="="),1,0))</f>
      </c>
      <c r="AZ433" s="129">
        <f t="shared" si="282"/>
      </c>
      <c r="BA433" s="129">
        <f t="shared" si="283"/>
      </c>
      <c r="BB433" s="129">
        <f t="shared" si="284"/>
      </c>
      <c r="BD433" s="129">
        <f t="shared" si="285"/>
      </c>
      <c r="BE433" s="129">
        <f t="shared" si="286"/>
      </c>
      <c r="BF433" s="129">
        <f t="shared" si="287"/>
      </c>
      <c r="BG433" s="129">
        <f t="shared" si="288"/>
        <v/>
      </c>
      <c r="BH433" s="129">
        <f t="shared" si="289"/>
        <v/>
      </c>
      <c r="BI433" s="129">
        <f t="shared" si="290"/>
        <v/>
      </c>
      <c r="BJ433" s="129">
        <f t="shared" si="291"/>
        <v/>
      </c>
      <c r="BK433" s="129">
        <f>IF(R433="","",IF(OR(BY433="",BY433=0),"BOX",IFERROR(IF(VLOOKUP(BY433,УГО_блоки,3,FALSE)&amp;""&lt;&gt;"",VLOOKUP(BY433,УГО_блоки,3,FALSE),VLOOKUP(BY433,УГО_блоки,2,FALSE)),BY433)))</f>
      </c>
      <c r="BL433" s="129">
        <f t="shared" si="293"/>
      </c>
      <c r="BM433" s="129">
        <f>IF(H433="","",IF(COUNTIF($H$3:H433,H433)=1,MAX($BM$2:BM432)+1,""))</f>
      </c>
      <c r="BN433" s="129">
        <f>IF(I433="","",IF(COUNTIF($I$3:I433,I433)+COUNTIF($J$2:J432,I433)+COUNTIF($K$2:K432,I433)=1,MAX($BN$2:BP432)+1,""))</f>
      </c>
      <c r="BO433" s="129">
        <f>IF(J433="","",IF(COUNTIF($I$3:I433,J433)+COUNTIF($J$3:J433,J433)+COUNTIF($K$2:K432,J433)=1,MAX($BN$2:BP432,BN433)+1,""))</f>
      </c>
      <c r="BP433" s="129">
        <f>IF(K433="","",IF(COUNTIF($I$3:I433,K433)+COUNTIF($J$3:J433,K433)+COUNTIF($K$3:K433,K433)=1,MAX($BN$2:BP432,BN433,BO433)+1,""))</f>
      </c>
      <c r="BQ433" s="129">
        <f>IF(AY433=1,IFERROR(MID(Q433,FIND(" (",Q433)+2,FIND(")",Q433,FIND(" (",Q433))-FIND(" (",Q433)-2),"?"),"")</f>
      </c>
      <c r="BR433" s="129">
        <f>IF(BQ433="","",IF(COUNTIF($BQ$3:BQ433,BQ433)=1,MAX($BR$2:BR432)+1,""))</f>
      </c>
      <c r="BS433" s="129">
        <f>IF(AW433="","",COUNTIF($AW$3:AW433,"?*"))</f>
      </c>
      <c r="BT433" s="129">
        <f>IF(OR(AW433="",AI433=""),"",IF(COUNTIFS($AW$3:AW433,"?*",$AI$3:AI433,AI433)=1,MAX($BT$2:BT432)+1,""))</f>
      </c>
      <c r="BU433" s="129">
        <f>IF(AE433="",0,IF(OR(ISNUMBER(SEARCH("дубль",AE433)),ISNUMBER(SEARCH("ПЕРЕГРУЗ",AE433)),ISNUMBER(SEARCH("ЗАЩИЩ",AE433)),ISNUMBER(SEARCH("КАНАЛ",AE433)),ISNUMBER(SEARCH("без 30",AE433))),2,1))</f>
      </c>
      <c r="BV433" s="129">
        <f>IF(R433="","",COUNTIF($R$3:R433,"?*"))</f>
      </c>
      <c r="BW433" s="129">
        <f>IF(AY433&lt;&gt;1,0,IF(MAX(IFERROR(--VLOOKUP(R433,УГО_спр,5,FALSE),0),IFERROR(--VLOOKUP(AL433,УГО_спр,5,FALSE),0),IFERROR(--VLOOKUP(LEFT(AL433,2),УГО_спр,5,FALSE),0))&gt;0,MAX(IFERROR(--VLOOKUP(R433,УГО_спр,5,FALSE),0),IFERROR(--VLOOKUP(AL433,УГО_спр,5,FALSE),0),IFERROR(--VLOOKUP(LEFT(AL433,2),УГО_спр,5,FALSE),0)),IF(IFERROR(--LEFT(SUBSTITUTE(BQ433,"x","х"),FIND("х",SUBSTITUTE(BQ433,"x","х"))-1),3)&gt;3,Каталог!$S$9,1)))</f>
      </c>
      <c r="BX433" s="129">
        <f>IF(AY433&lt;&gt;1,0,MAX(0,IFERROR(--LEFT(SUBSTITUTE(BQ433,"x","х"),FIND("х",SUBSTITUTE(BQ433,"x","х"))-1),3)-3*BW433))</f>
      </c>
      <c r="BY433" s="129">
        <f>IF(R433="","",IFERROR(VLOOKUP(R433,УГО_спр,2,FALSE),IFERROR(VLOOKUP(AL433,УГО_спр,2,FALSE),IFERROR(VLOOKUP(LEFT(AL433,2),УГО_спр,2,FALSE),""))))</f>
      </c>
    </row>
    <row r="434" spans="1:64" x14ac:dyDescent="0.3">
      <c r="A434" s="135">
        <f>IF(Разбивка_по_щитам!F434=0,"",Разбивка_по_щитам!F434)</f>
      </c>
      <c r="B434" s="138">
        <f>IF(A434="","",Разбивка_по_щитам!C434)</f>
      </c>
      <c r="C434" s="138">
        <f t="shared" si="258"/>
      </c>
      <c r="D434" s="266"/>
      <c r="E434" s="266"/>
      <c r="F434" s="267"/>
      <c r="G434" s="145">
        <f t="shared" si="298"/>
        <v/>
      </c>
      <c r="H434" s="145">
        <f t="shared" si="299"/>
        <v/>
      </c>
      <c r="I434" s="266"/>
      <c r="J434" s="267"/>
      <c r="K434" s="267"/>
      <c r="L434" s="266"/>
      <c r="M434" s="147">
        <f t="shared" si="300"/>
        <v/>
      </c>
      <c r="N434" s="267"/>
      <c r="O434" s="147">
        <f t="shared" si="301"/>
        <v/>
      </c>
      <c r="P434" s="268">
        <f>IF(AY434=1,"XT"&amp;COUNTIFS($A$3:A434,A434,$AY$3:AY434,1),"")</f>
        <v/>
      </c>
      <c r="Q434" s="152">
        <f>IF(R434="","",IFERROR(SUBSTITUTE(Разбивка_по_щитам!P434,CHAR(10)," "),""))</f>
        <v/>
      </c>
      <c r="R434" s="153">
        <f>IF(OR(Разбивка_по_щитам!H434="",Разбивка_по_щитам!H434=0),"",Разбивка_по_щитам!H434)</f>
        <v/>
      </c>
      <c r="S434" s="154">
        <f>IF(R434="","",IFERROR(Разбивка_по_щитам!J434&amp;"",""))</f>
        <v/>
      </c>
      <c r="T434" s="155">
        <f>IF(R434="","",IFERROR(--Разбивка_по_щитам!L434,""))</f>
        <v/>
      </c>
      <c r="U434" s="155">
        <f>IF(R434="","",IFERROR(--Разбивка_по_щитам!K434,""))</f>
        <v/>
      </c>
      <c r="V434" s="138">
        <f>IF(R434="","",IFERROR(IF(Разбивка_по_щитам!M434=0,"",Разбивка_по_щитам!M434),""))</f>
        <v/>
      </c>
      <c r="W434" s="156">
        <f t="shared" si="259"/>
        <v/>
      </c>
      <c r="X434" s="157">
        <f t="shared" si="260"/>
        <v/>
      </c>
      <c r="Y434" s="266"/>
      <c r="Z434" s="158">
        <f t="shared" si="261"/>
        <v/>
      </c>
      <c r="AA434" s="160">
        <f t="shared" si="262"/>
        <v/>
      </c>
      <c r="AB434" s="160">
        <f>IF(R434="","",IFERROR(LOOKUP(INDEX(Справочная!$I$4:$I$19,MATCH(VLOOKUP(R434,Исходные_данные,22,FALSE),Справочная!$J$4:$J$19,0)+1),{6,10,16,20,25,32,40,50,63,80,100,125}),""))</f>
        <v/>
      </c>
      <c r="AC434" s="160">
        <f t="shared" si="263"/>
        <v/>
      </c>
      <c r="AD434" s="161">
        <f t="shared" si="264"/>
        <v/>
      </c>
      <c r="AE434" s="161">
        <f>IF(AND(R434="",G434=""),"",_xlfn.TEXTJOIN("; ",TRUE,IF(AND(R434&lt;&gt;"",V434=""),"нет фазы",""),IF(AND(R434&lt;&gt;"",N(T434)=0),"нет мощности",""),IF(AND(P434&lt;&gt;"",COUNTIFS($A$3:$A$1000,A434,$P$3:$P$1000,P434)&gt;1),"дубль клеммы "&amp;P434,""),IF(AND(W434&lt;&gt;"",W434&lt;&gt;"ok"),W434,""),IF(X434&lt;&gt;"",X434,""),IF(AND(ISNUMBER(SEARCH("(5х",Q434)),N(AK434)=1),"5 жил на 1 фазе",""),IF(AND(AL434="R",E434&lt;&gt;"",N(AS434)=0),"розетка без 30 мА",""),IF(IFERROR(_xlfn.NUMBERVALUE(MID(Q434,FIND("-",Q434,FIND("L=",Q434))+1,FIND("%",Q434)-FIND("-",Q434,FIND("L=",Q434))-1),","),0)&gt;4,"потери &gt; 4 %","")))</f>
      </c>
      <c r="AF434" s="129">
        <f>IF(E434&lt;&gt;"",COUNTIFS($A$3:A434,A434,$E$3:E434,"?*"),IF(OR(A434&lt;&gt;A433,Y434="вручную"),"",AF433))</f>
      </c>
      <c r="AG434" s="129">
        <f t="shared" si="265"/>
      </c>
      <c r="AH434" s="129">
        <f t="shared" si="266"/>
        <v/>
      </c>
      <c r="AI434" s="129">
        <f t="shared" si="267"/>
        <v/>
      </c>
      <c r="AJ434" s="129">
        <f t="shared" si="268"/>
        <v/>
      </c>
      <c r="AK434" s="129">
        <f t="shared" si="269"/>
        <v/>
      </c>
      <c r="AL434" s="129">
        <f t="shared" si="270"/>
        <v/>
      </c>
      <c r="AM434" s="129">
        <f t="shared" si="271"/>
      </c>
      <c r="AN434" s="129">
        <f t="shared" si="272"/>
      </c>
      <c r="AO434" s="129">
        <f t="shared" si="273"/>
        <v/>
      </c>
      <c r="AP434" s="129">
        <f t="shared" si="274"/>
        <v/>
      </c>
      <c r="AQ434" s="129">
        <f t="shared" si="275"/>
        <v/>
      </c>
      <c r="AR434" s="129">
        <f t="shared" si="276"/>
        <v/>
      </c>
      <c r="AS434" s="129">
        <f t="shared" si="277"/>
        <v/>
      </c>
      <c r="AT434" s="129">
        <f t="shared" si="278"/>
        <v/>
      </c>
      <c r="AU434" s="129">
        <f t="shared" si="279"/>
        <v/>
      </c>
      <c r="AV434" s="129">
        <f t="shared" si="280"/>
        <v/>
      </c>
      <c r="AW434" s="129">
        <f>IF(AV434="","",AV434&amp;"."&amp;COUNTIFS($A$3:A434,A434,$AV$3:AV434,AV434))</f>
        <v/>
      </c>
      <c r="AX434" s="129">
        <f t="shared" si="281"/>
        <v/>
      </c>
      <c r="AY434" s="129">
        <f>IF(N434="б/к",0,IF(OR(ISNUMBER(SEARCH("L=",Разбивка_по_щитам!P434)),N434="+",N434="="),1,0))</f>
      </c>
      <c r="AZ434" s="129">
        <f t="shared" si="282"/>
      </c>
      <c r="BA434" s="129">
        <f t="shared" si="283"/>
      </c>
      <c r="BB434" s="129">
        <f t="shared" si="284"/>
      </c>
      <c r="BD434" s="129">
        <f t="shared" si="285"/>
      </c>
      <c r="BE434" s="129">
        <f t="shared" si="286"/>
      </c>
      <c r="BF434" s="129">
        <f t="shared" si="287"/>
      </c>
      <c r="BG434" s="129">
        <f t="shared" si="288"/>
        <v/>
      </c>
      <c r="BH434" s="129">
        <f t="shared" si="289"/>
        <v/>
      </c>
      <c r="BI434" s="129">
        <f t="shared" si="290"/>
        <v/>
      </c>
      <c r="BJ434" s="129">
        <f t="shared" si="291"/>
        <v/>
      </c>
      <c r="BK434" s="129">
        <f>IF(R434="","",IF(OR(BY434="",BY434=0),"BOX",IFERROR(IF(VLOOKUP(BY434,УГО_блоки,3,FALSE)&amp;""&lt;&gt;"",VLOOKUP(BY434,УГО_блоки,3,FALSE),VLOOKUP(BY434,УГО_блоки,2,FALSE)),BY434)))</f>
      </c>
      <c r="BL434" s="129">
        <f t="shared" si="293"/>
      </c>
      <c r="BM434" s="129">
        <f>IF(H434="","",IF(COUNTIF($H$3:H434,H434)=1,MAX($BM$2:BM433)+1,""))</f>
      </c>
      <c r="BN434" s="129">
        <f>IF(I434="","",IF(COUNTIF($I$3:I434,I434)+COUNTIF($J$2:J433,I434)+COUNTIF($K$2:K433,I434)=1,MAX($BN$2:BP433)+1,""))</f>
      </c>
      <c r="BO434" s="129">
        <f>IF(J434="","",IF(COUNTIF($I$3:I434,J434)+COUNTIF($J$3:J434,J434)+COUNTIF($K$2:K433,J434)=1,MAX($BN$2:BP433,BN434)+1,""))</f>
      </c>
      <c r="BP434" s="129">
        <f>IF(K434="","",IF(COUNTIF($I$3:I434,K434)+COUNTIF($J$3:J434,K434)+COUNTIF($K$3:K434,K434)=1,MAX($BN$2:BP433,BN434,BO434)+1,""))</f>
      </c>
      <c r="BQ434" s="129">
        <f>IF(AY434=1,IFERROR(MID(Q434,FIND(" (",Q434)+2,FIND(")",Q434,FIND(" (",Q434))-FIND(" (",Q434)-2),"?"),"")</f>
      </c>
      <c r="BR434" s="129">
        <f>IF(BQ434="","",IF(COUNTIF($BQ$3:BQ434,BQ434)=1,MAX($BR$2:BR433)+1,""))</f>
      </c>
      <c r="BS434" s="129">
        <f>IF(AW434="","",COUNTIF($AW$3:AW434,"?*"))</f>
      </c>
      <c r="BT434" s="129">
        <f>IF(OR(AW434="",AI434=""),"",IF(COUNTIFS($AW$3:AW434,"?*",$AI$3:AI434,AI434)=1,MAX($BT$2:BT433)+1,""))</f>
      </c>
      <c r="BU434" s="129">
        <f>IF(AE434="",0,IF(OR(ISNUMBER(SEARCH("дубль",AE434)),ISNUMBER(SEARCH("ПЕРЕГРУЗ",AE434)),ISNUMBER(SEARCH("ЗАЩИЩ",AE434)),ISNUMBER(SEARCH("КАНАЛ",AE434)),ISNUMBER(SEARCH("без 30",AE434))),2,1))</f>
      </c>
      <c r="BV434" s="129">
        <f>IF(R434="","",COUNTIF($R$3:R434,"?*"))</f>
      </c>
      <c r="BW434" s="129">
        <f>IF(AY434&lt;&gt;1,0,IF(MAX(IFERROR(--VLOOKUP(R434,УГО_спр,5,FALSE),0),IFERROR(--VLOOKUP(AL434,УГО_спр,5,FALSE),0),IFERROR(--VLOOKUP(LEFT(AL434,2),УГО_спр,5,FALSE),0))&gt;0,MAX(IFERROR(--VLOOKUP(R434,УГО_спр,5,FALSE),0),IFERROR(--VLOOKUP(AL434,УГО_спр,5,FALSE),0),IFERROR(--VLOOKUP(LEFT(AL434,2),УГО_спр,5,FALSE),0)),IF(IFERROR(--LEFT(SUBSTITUTE(BQ434,"x","х"),FIND("х",SUBSTITUTE(BQ434,"x","х"))-1),3)&gt;3,Каталог!$S$9,1)))</f>
      </c>
      <c r="BX434" s="129">
        <f>IF(AY434&lt;&gt;1,0,MAX(0,IFERROR(--LEFT(SUBSTITUTE(BQ434,"x","х"),FIND("х",SUBSTITUTE(BQ434,"x","х"))-1),3)-3*BW434))</f>
      </c>
      <c r="BY434" s="129">
        <f>IF(R434="","",IFERROR(VLOOKUP(R434,УГО_спр,2,FALSE),IFERROR(VLOOKUP(AL434,УГО_спр,2,FALSE),IFERROR(VLOOKUP(LEFT(AL434,2),УГО_спр,2,FALSE),""))))</f>
      </c>
    </row>
    <row r="435" spans="1:64" x14ac:dyDescent="0.3">
      <c r="A435" s="135">
        <f>IF(Разбивка_по_щитам!F435=0,"",Разбивка_по_щитам!F435)</f>
      </c>
      <c r="B435" s="138">
        <f>IF(A435="","",Разбивка_по_щитам!C435)</f>
      </c>
      <c r="C435" s="138">
        <f t="shared" si="258"/>
      </c>
      <c r="D435" s="266"/>
      <c r="E435" s="266"/>
      <c r="F435" s="267"/>
      <c r="G435" s="145">
        <f t="shared" si="298"/>
        <v/>
      </c>
      <c r="H435" s="145">
        <f t="shared" si="299"/>
        <v/>
      </c>
      <c r="I435" s="266"/>
      <c r="J435" s="267"/>
      <c r="K435" s="267"/>
      <c r="L435" s="266"/>
      <c r="M435" s="147">
        <f t="shared" si="300"/>
        <v/>
      </c>
      <c r="N435" s="267"/>
      <c r="O435" s="147">
        <f t="shared" si="301"/>
        <v/>
      </c>
      <c r="P435" s="268">
        <f>IF(AY435=1,"XT"&amp;COUNTIFS($A$3:A435,A435,$AY$3:AY435,1),"")</f>
        <v/>
      </c>
      <c r="Q435" s="152">
        <f>IF(R435="","",IFERROR(SUBSTITUTE(Разбивка_по_щитам!P435,CHAR(10)," "),""))</f>
        <v/>
      </c>
      <c r="R435" s="153">
        <f>IF(OR(Разбивка_по_щитам!H435="",Разбивка_по_щитам!H435=0),"",Разбивка_по_щитам!H435)</f>
        <v/>
      </c>
      <c r="S435" s="154">
        <f>IF(R435="","",IFERROR(Разбивка_по_щитам!J435&amp;"",""))</f>
        <v/>
      </c>
      <c r="T435" s="155">
        <f>IF(R435="","",IFERROR(--Разбивка_по_щитам!L435,""))</f>
        <v/>
      </c>
      <c r="U435" s="155">
        <f>IF(R435="","",IFERROR(--Разбивка_по_щитам!K435,""))</f>
        <v/>
      </c>
      <c r="V435" s="138">
        <f>IF(R435="","",IFERROR(IF(Разбивка_по_щитам!M435=0,"",Разбивка_по_щитам!M435),""))</f>
        <v/>
      </c>
      <c r="W435" s="156">
        <f t="shared" si="259"/>
        <v/>
      </c>
      <c r="X435" s="157">
        <f t="shared" si="260"/>
        <v/>
      </c>
      <c r="Y435" s="266"/>
      <c r="Z435" s="158">
        <f t="shared" si="261"/>
        <v/>
      </c>
      <c r="AA435" s="160">
        <f t="shared" si="262"/>
        <v/>
      </c>
      <c r="AB435" s="160">
        <f>IF(R435="","",IFERROR(LOOKUP(INDEX(Справочная!$I$4:$I$19,MATCH(VLOOKUP(R435,Исходные_данные,22,FALSE),Справочная!$J$4:$J$19,0)+1),{6,10,16,20,25,32,40,50,63,80,100,125}),""))</f>
        <v/>
      </c>
      <c r="AC435" s="160">
        <f t="shared" si="263"/>
        <v/>
      </c>
      <c r="AD435" s="161">
        <f t="shared" si="264"/>
        <v/>
      </c>
      <c r="AE435" s="161">
        <f>IF(AND(R435="",G435=""),"",_xlfn.TEXTJOIN("; ",TRUE,IF(AND(R435&lt;&gt;"",V435=""),"нет фазы",""),IF(AND(R435&lt;&gt;"",N(T435)=0),"нет мощности",""),IF(AND(P435&lt;&gt;"",COUNTIFS($A$3:$A$1000,A435,$P$3:$P$1000,P435)&gt;1),"дубль клеммы "&amp;P435,""),IF(AND(W435&lt;&gt;"",W435&lt;&gt;"ok"),W435,""),IF(X435&lt;&gt;"",X435,""),IF(AND(ISNUMBER(SEARCH("(5х",Q435)),N(AK435)=1),"5 жил на 1 фазе",""),IF(AND(AL435="R",E435&lt;&gt;"",N(AS435)=0),"розетка без 30 мА",""),IF(IFERROR(_xlfn.NUMBERVALUE(MID(Q435,FIND("-",Q435,FIND("L=",Q435))+1,FIND("%",Q435)-FIND("-",Q435,FIND("L=",Q435))-1),","),0)&gt;4,"потери &gt; 4 %","")))</f>
      </c>
      <c r="AF435" s="129">
        <f>IF(E435&lt;&gt;"",COUNTIFS($A$3:A435,A435,$E$3:E435,"?*"),IF(OR(A435&lt;&gt;A434,Y435="вручную"),"",AF434))</f>
      </c>
      <c r="AG435" s="129">
        <f t="shared" si="265"/>
      </c>
      <c r="AH435" s="129">
        <f t="shared" si="266"/>
        <v/>
      </c>
      <c r="AI435" s="129">
        <f t="shared" si="267"/>
        <v/>
      </c>
      <c r="AJ435" s="129">
        <f t="shared" si="268"/>
        <v/>
      </c>
      <c r="AK435" s="129">
        <f t="shared" si="269"/>
        <v/>
      </c>
      <c r="AL435" s="129">
        <f t="shared" si="270"/>
        <v/>
      </c>
      <c r="AM435" s="129">
        <f t="shared" si="271"/>
      </c>
      <c r="AN435" s="129">
        <f t="shared" si="272"/>
      </c>
      <c r="AO435" s="129">
        <f t="shared" si="273"/>
        <v/>
      </c>
      <c r="AP435" s="129">
        <f t="shared" si="274"/>
        <v/>
      </c>
      <c r="AQ435" s="129">
        <f t="shared" si="275"/>
        <v/>
      </c>
      <c r="AR435" s="129">
        <f t="shared" si="276"/>
        <v/>
      </c>
      <c r="AS435" s="129">
        <f t="shared" si="277"/>
        <v/>
      </c>
      <c r="AT435" s="129">
        <f t="shared" si="278"/>
        <v/>
      </c>
      <c r="AU435" s="129">
        <f t="shared" si="279"/>
        <v/>
      </c>
      <c r="AV435" s="129">
        <f t="shared" si="280"/>
        <v/>
      </c>
      <c r="AW435" s="129">
        <f>IF(AV435="","",AV435&amp;"."&amp;COUNTIFS($A$3:A435,A435,$AV$3:AV435,AV435))</f>
        <v/>
      </c>
      <c r="AX435" s="129">
        <f t="shared" si="281"/>
        <v/>
      </c>
      <c r="AY435" s="129">
        <f>IF(N435="б/к",0,IF(OR(ISNUMBER(SEARCH("L=",Разбивка_по_щитам!P435)),N435="+",N435="="),1,0))</f>
      </c>
      <c r="AZ435" s="129">
        <f t="shared" si="282"/>
      </c>
      <c r="BA435" s="129">
        <f t="shared" si="283"/>
      </c>
      <c r="BB435" s="129">
        <f t="shared" si="284"/>
      </c>
      <c r="BD435" s="129">
        <f t="shared" si="285"/>
      </c>
      <c r="BE435" s="129">
        <f t="shared" si="286"/>
      </c>
      <c r="BF435" s="129">
        <f t="shared" si="287"/>
      </c>
      <c r="BG435" s="129">
        <f t="shared" si="288"/>
        <v/>
      </c>
      <c r="BH435" s="129">
        <f t="shared" si="289"/>
        <v/>
      </c>
      <c r="BI435" s="129">
        <f t="shared" si="290"/>
        <v/>
      </c>
      <c r="BJ435" s="129">
        <f t="shared" si="291"/>
        <v/>
      </c>
      <c r="BK435" s="129">
        <f>IF(R435="","",IF(OR(BY435="",BY435=0),"BOX",IFERROR(IF(VLOOKUP(BY435,УГО_блоки,3,FALSE)&amp;""&lt;&gt;"",VLOOKUP(BY435,УГО_блоки,3,FALSE),VLOOKUP(BY435,УГО_блоки,2,FALSE)),BY435)))</f>
      </c>
      <c r="BL435" s="129">
        <f t="shared" si="293"/>
      </c>
      <c r="BM435" s="129">
        <f>IF(H435="","",IF(COUNTIF($H$3:H435,H435)=1,MAX($BM$2:BM434)+1,""))</f>
      </c>
      <c r="BN435" s="129">
        <f>IF(I435="","",IF(COUNTIF($I$3:I435,I435)+COUNTIF($J$2:J434,I435)+COUNTIF($K$2:K434,I435)=1,MAX($BN$2:BP434)+1,""))</f>
      </c>
      <c r="BO435" s="129">
        <f>IF(J435="","",IF(COUNTIF($I$3:I435,J435)+COUNTIF($J$3:J435,J435)+COUNTIF($K$2:K434,J435)=1,MAX($BN$2:BP434,BN435)+1,""))</f>
      </c>
      <c r="BP435" s="129">
        <f>IF(K435="","",IF(COUNTIF($I$3:I435,K435)+COUNTIF($J$3:J435,K435)+COUNTIF($K$3:K435,K435)=1,MAX($BN$2:BP434,BN435,BO435)+1,""))</f>
      </c>
      <c r="BQ435" s="129">
        <f>IF(AY435=1,IFERROR(MID(Q435,FIND(" (",Q435)+2,FIND(")",Q435,FIND(" (",Q435))-FIND(" (",Q435)-2),"?"),"")</f>
      </c>
      <c r="BR435" s="129">
        <f>IF(BQ435="","",IF(COUNTIF($BQ$3:BQ435,BQ435)=1,MAX($BR$2:BR434)+1,""))</f>
      </c>
      <c r="BS435" s="129">
        <f>IF(AW435="","",COUNTIF($AW$3:AW435,"?*"))</f>
      </c>
      <c r="BT435" s="129">
        <f>IF(OR(AW435="",AI435=""),"",IF(COUNTIFS($AW$3:AW435,"?*",$AI$3:AI435,AI435)=1,MAX($BT$2:BT434)+1,""))</f>
      </c>
      <c r="BU435" s="129">
        <f>IF(AE435="",0,IF(OR(ISNUMBER(SEARCH("дубль",AE435)),ISNUMBER(SEARCH("ПЕРЕГРУЗ",AE435)),ISNUMBER(SEARCH("ЗАЩИЩ",AE435)),ISNUMBER(SEARCH("КАНАЛ",AE435)),ISNUMBER(SEARCH("без 30",AE435))),2,1))</f>
      </c>
      <c r="BV435" s="129">
        <f>IF(R435="","",COUNTIF($R$3:R435,"?*"))</f>
      </c>
      <c r="BW435" s="129">
        <f>IF(AY435&lt;&gt;1,0,IF(MAX(IFERROR(--VLOOKUP(R435,УГО_спр,5,FALSE),0),IFERROR(--VLOOKUP(AL435,УГО_спр,5,FALSE),0),IFERROR(--VLOOKUP(LEFT(AL435,2),УГО_спр,5,FALSE),0))&gt;0,MAX(IFERROR(--VLOOKUP(R435,УГО_спр,5,FALSE),0),IFERROR(--VLOOKUP(AL435,УГО_спр,5,FALSE),0),IFERROR(--VLOOKUP(LEFT(AL435,2),УГО_спр,5,FALSE),0)),IF(IFERROR(--LEFT(SUBSTITUTE(BQ435,"x","х"),FIND("х",SUBSTITUTE(BQ435,"x","х"))-1),3)&gt;3,Каталог!$S$9,1)))</f>
      </c>
      <c r="BX435" s="129">
        <f>IF(AY435&lt;&gt;1,0,MAX(0,IFERROR(--LEFT(SUBSTITUTE(BQ435,"x","х"),FIND("х",SUBSTITUTE(BQ435,"x","х"))-1),3)-3*BW435))</f>
      </c>
      <c r="BY435" s="129">
        <f>IF(R435="","",IFERROR(VLOOKUP(R435,УГО_спр,2,FALSE),IFERROR(VLOOKUP(AL435,УГО_спр,2,FALSE),IFERROR(VLOOKUP(LEFT(AL435,2),УГО_спр,2,FALSE),""))))</f>
      </c>
    </row>
    <row r="436" spans="1:64" x14ac:dyDescent="0.3">
      <c r="A436" s="135">
        <f>IF(Разбивка_по_щитам!F436=0,"",Разбивка_по_щитам!F436)</f>
      </c>
      <c r="B436" s="138">
        <f>IF(A436="","",Разбивка_по_щитам!C436)</f>
      </c>
      <c r="C436" s="138">
        <f t="shared" si="258"/>
      </c>
      <c r="D436" s="266"/>
      <c r="E436" s="266"/>
      <c r="F436" s="267"/>
      <c r="G436" s="145">
        <f t="shared" si="298"/>
        <v/>
      </c>
      <c r="H436" s="145">
        <f t="shared" si="299"/>
        <v/>
      </c>
      <c r="I436" s="266"/>
      <c r="J436" s="267"/>
      <c r="K436" s="267"/>
      <c r="L436" s="266"/>
      <c r="M436" s="147">
        <f t="shared" si="300"/>
        <v/>
      </c>
      <c r="N436" s="267"/>
      <c r="O436" s="147">
        <f t="shared" si="301"/>
        <v/>
      </c>
      <c r="P436" s="268">
        <f>IF(AY436=1,"XT"&amp;COUNTIFS($A$3:A436,A436,$AY$3:AY436,1),"")</f>
        <v/>
      </c>
      <c r="Q436" s="152">
        <f>IF(R436="","",IFERROR(SUBSTITUTE(Разбивка_по_щитам!P436,CHAR(10)," "),""))</f>
        <v/>
      </c>
      <c r="R436" s="153">
        <f>IF(OR(Разбивка_по_щитам!H436="",Разбивка_по_щитам!H436=0),"",Разбивка_по_щитам!H436)</f>
        <v/>
      </c>
      <c r="S436" s="154">
        <f>IF(R436="","",IFERROR(Разбивка_по_щитам!J436&amp;"",""))</f>
        <v/>
      </c>
      <c r="T436" s="155">
        <f>IF(R436="","",IFERROR(--Разбивка_по_щитам!L436,""))</f>
        <v/>
      </c>
      <c r="U436" s="155">
        <f>IF(R436="","",IFERROR(--Разбивка_по_щитам!K436,""))</f>
        <v/>
      </c>
      <c r="V436" s="138">
        <f>IF(R436="","",IFERROR(IF(Разбивка_по_щитам!M436=0,"",Разбивка_по_щитам!M436),""))</f>
        <v/>
      </c>
      <c r="W436" s="156">
        <f t="shared" si="259"/>
        <v/>
      </c>
      <c r="X436" s="157">
        <f t="shared" si="260"/>
        <v/>
      </c>
      <c r="Y436" s="266"/>
      <c r="Z436" s="158">
        <f t="shared" si="261"/>
        <v/>
      </c>
      <c r="AA436" s="160">
        <f t="shared" si="262"/>
        <v/>
      </c>
      <c r="AB436" s="160">
        <f>IF(R436="","",IFERROR(LOOKUP(INDEX(Справочная!$I$4:$I$19,MATCH(VLOOKUP(R436,Исходные_данные,22,FALSE),Справочная!$J$4:$J$19,0)+1),{6,10,16,20,25,32,40,50,63,80,100,125}),""))</f>
        <v/>
      </c>
      <c r="AC436" s="160">
        <f t="shared" si="263"/>
        <v/>
      </c>
      <c r="AD436" s="161">
        <f t="shared" si="264"/>
        <v/>
      </c>
      <c r="AE436" s="161">
        <f>IF(AND(R436="",G436=""),"",_xlfn.TEXTJOIN("; ",TRUE,IF(AND(R436&lt;&gt;"",V436=""),"нет фазы",""),IF(AND(R436&lt;&gt;"",N(T436)=0),"нет мощности",""),IF(AND(P436&lt;&gt;"",COUNTIFS($A$3:$A$1000,A436,$P$3:$P$1000,P436)&gt;1),"дубль клеммы "&amp;P436,""),IF(AND(W436&lt;&gt;"",W436&lt;&gt;"ok"),W436,""),IF(X436&lt;&gt;"",X436,""),IF(AND(ISNUMBER(SEARCH("(5х",Q436)),N(AK436)=1),"5 жил на 1 фазе",""),IF(AND(AL436="R",E436&lt;&gt;"",N(AS436)=0),"розетка без 30 мА",""),IF(IFERROR(_xlfn.NUMBERVALUE(MID(Q436,FIND("-",Q436,FIND("L=",Q436))+1,FIND("%",Q436)-FIND("-",Q436,FIND("L=",Q436))-1),","),0)&gt;4,"потери &gt; 4 %","")))</f>
      </c>
      <c r="AF436" s="129">
        <f>IF(E436&lt;&gt;"",COUNTIFS($A$3:A436,A436,$E$3:E436,"?*"),IF(OR(A436&lt;&gt;A435,Y436="вручную"),"",AF435))</f>
      </c>
      <c r="AG436" s="129">
        <f t="shared" si="265"/>
      </c>
      <c r="AH436" s="129">
        <f t="shared" si="266"/>
        <v/>
      </c>
      <c r="AI436" s="129">
        <f t="shared" si="267"/>
        <v/>
      </c>
      <c r="AJ436" s="129">
        <f t="shared" si="268"/>
        <v/>
      </c>
      <c r="AK436" s="129">
        <f t="shared" si="269"/>
        <v/>
      </c>
      <c r="AL436" s="129">
        <f t="shared" si="270"/>
        <v/>
      </c>
      <c r="AM436" s="129">
        <f t="shared" si="271"/>
      </c>
      <c r="AN436" s="129">
        <f t="shared" si="272"/>
      </c>
      <c r="AO436" s="129">
        <f t="shared" si="273"/>
        <v/>
      </c>
      <c r="AP436" s="129">
        <f t="shared" si="274"/>
        <v/>
      </c>
      <c r="AQ436" s="129">
        <f t="shared" si="275"/>
        <v/>
      </c>
      <c r="AR436" s="129">
        <f t="shared" si="276"/>
        <v/>
      </c>
      <c r="AS436" s="129">
        <f t="shared" si="277"/>
        <v/>
      </c>
      <c r="AT436" s="129">
        <f t="shared" si="278"/>
        <v/>
      </c>
      <c r="AU436" s="129">
        <f t="shared" si="279"/>
        <v/>
      </c>
      <c r="AV436" s="129">
        <f t="shared" si="280"/>
        <v/>
      </c>
      <c r="AW436" s="129">
        <f>IF(AV436="","",AV436&amp;"."&amp;COUNTIFS($A$3:A436,A436,$AV$3:AV436,AV436))</f>
        <v/>
      </c>
      <c r="AX436" s="129">
        <f t="shared" si="281"/>
        <v/>
      </c>
      <c r="AY436" s="129">
        <f>IF(N436="б/к",0,IF(OR(ISNUMBER(SEARCH("L=",Разбивка_по_щитам!P436)),N436="+",N436="="),1,0))</f>
      </c>
      <c r="AZ436" s="129">
        <f t="shared" si="282"/>
      </c>
      <c r="BA436" s="129">
        <f t="shared" si="283"/>
      </c>
      <c r="BB436" s="129">
        <f t="shared" si="284"/>
      </c>
      <c r="BD436" s="129">
        <f t="shared" si="285"/>
      </c>
      <c r="BE436" s="129">
        <f t="shared" si="286"/>
      </c>
      <c r="BF436" s="129">
        <f t="shared" si="287"/>
      </c>
      <c r="BG436" s="129">
        <f t="shared" si="288"/>
        <v/>
      </c>
      <c r="BH436" s="129">
        <f t="shared" si="289"/>
        <v/>
      </c>
      <c r="BI436" s="129">
        <f t="shared" si="290"/>
        <v/>
      </c>
      <c r="BJ436" s="129">
        <f t="shared" si="291"/>
        <v/>
      </c>
      <c r="BK436" s="129">
        <f>IF(R436="","",IF(OR(BY436="",BY436=0),"BOX",IFERROR(IF(VLOOKUP(BY436,УГО_блоки,3,FALSE)&amp;""&lt;&gt;"",VLOOKUP(BY436,УГО_блоки,3,FALSE),VLOOKUP(BY436,УГО_блоки,2,FALSE)),BY436)))</f>
      </c>
      <c r="BL436" s="129">
        <f t="shared" si="293"/>
      </c>
      <c r="BM436" s="129">
        <f>IF(H436="","",IF(COUNTIF($H$3:H436,H436)=1,MAX($BM$2:BM435)+1,""))</f>
      </c>
      <c r="BN436" s="129">
        <f>IF(I436="","",IF(COUNTIF($I$3:I436,I436)+COUNTIF($J$2:J435,I436)+COUNTIF($K$2:K435,I436)=1,MAX($BN$2:BP435)+1,""))</f>
      </c>
      <c r="BO436" s="129">
        <f>IF(J436="","",IF(COUNTIF($I$3:I436,J436)+COUNTIF($J$3:J436,J436)+COUNTIF($K$2:K435,J436)=1,MAX($BN$2:BP435,BN436)+1,""))</f>
      </c>
      <c r="BP436" s="129">
        <f>IF(K436="","",IF(COUNTIF($I$3:I436,K436)+COUNTIF($J$3:J436,K436)+COUNTIF($K$3:K436,K436)=1,MAX($BN$2:BP435,BN436,BO436)+1,""))</f>
      </c>
      <c r="BQ436" s="129">
        <f>IF(AY436=1,IFERROR(MID(Q436,FIND(" (",Q436)+2,FIND(")",Q436,FIND(" (",Q436))-FIND(" (",Q436)-2),"?"),"")</f>
      </c>
      <c r="BR436" s="129">
        <f>IF(BQ436="","",IF(COUNTIF($BQ$3:BQ436,BQ436)=1,MAX($BR$2:BR435)+1,""))</f>
      </c>
      <c r="BS436" s="129">
        <f>IF(AW436="","",COUNTIF($AW$3:AW436,"?*"))</f>
      </c>
      <c r="BT436" s="129">
        <f>IF(OR(AW436="",AI436=""),"",IF(COUNTIFS($AW$3:AW436,"?*",$AI$3:AI436,AI436)=1,MAX($BT$2:BT435)+1,""))</f>
      </c>
      <c r="BU436" s="129">
        <f>IF(AE436="",0,IF(OR(ISNUMBER(SEARCH("дубль",AE436)),ISNUMBER(SEARCH("ПЕРЕГРУЗ",AE436)),ISNUMBER(SEARCH("ЗАЩИЩ",AE436)),ISNUMBER(SEARCH("КАНАЛ",AE436)),ISNUMBER(SEARCH("без 30",AE436))),2,1))</f>
      </c>
      <c r="BV436" s="129">
        <f>IF(R436="","",COUNTIF($R$3:R436,"?*"))</f>
      </c>
      <c r="BW436" s="129">
        <f>IF(AY436&lt;&gt;1,0,IF(MAX(IFERROR(--VLOOKUP(R436,УГО_спр,5,FALSE),0),IFERROR(--VLOOKUP(AL436,УГО_спр,5,FALSE),0),IFERROR(--VLOOKUP(LEFT(AL436,2),УГО_спр,5,FALSE),0))&gt;0,MAX(IFERROR(--VLOOKUP(R436,УГО_спр,5,FALSE),0),IFERROR(--VLOOKUP(AL436,УГО_спр,5,FALSE),0),IFERROR(--VLOOKUP(LEFT(AL436,2),УГО_спр,5,FALSE),0)),IF(IFERROR(--LEFT(SUBSTITUTE(BQ436,"x","х"),FIND("х",SUBSTITUTE(BQ436,"x","х"))-1),3)&gt;3,Каталог!$S$9,1)))</f>
      </c>
      <c r="BX436" s="129">
        <f>IF(AY436&lt;&gt;1,0,MAX(0,IFERROR(--LEFT(SUBSTITUTE(BQ436,"x","х"),FIND("х",SUBSTITUTE(BQ436,"x","х"))-1),3)-3*BW436))</f>
      </c>
      <c r="BY436" s="129">
        <f>IF(R436="","",IFERROR(VLOOKUP(R436,УГО_спр,2,FALSE),IFERROR(VLOOKUP(AL436,УГО_спр,2,FALSE),IFERROR(VLOOKUP(LEFT(AL436,2),УГО_спр,2,FALSE),""))))</f>
      </c>
    </row>
    <row r="437" spans="1:64" x14ac:dyDescent="0.3">
      <c r="A437" s="135">
        <f>IF(Разбивка_по_щитам!F437=0,"",Разбивка_по_щитам!F437)</f>
      </c>
      <c r="B437" s="138">
        <f>IF(A437="","",Разбивка_по_щитам!C437)</f>
      </c>
      <c r="C437" s="138">
        <f t="shared" si="258"/>
      </c>
      <c r="D437" s="266"/>
      <c r="E437" s="266"/>
      <c r="F437" s="267"/>
      <c r="G437" s="145">
        <f t="shared" si="298"/>
        <v/>
      </c>
      <c r="H437" s="145">
        <f t="shared" si="299"/>
        <v/>
      </c>
      <c r="I437" s="266"/>
      <c r="J437" s="267"/>
      <c r="K437" s="267"/>
      <c r="L437" s="266"/>
      <c r="M437" s="147">
        <f t="shared" si="300"/>
        <v/>
      </c>
      <c r="N437" s="267"/>
      <c r="O437" s="147">
        <f t="shared" si="301"/>
        <v/>
      </c>
      <c r="P437" s="268">
        <f>IF(AY437=1,"XT"&amp;COUNTIFS($A$3:A437,A437,$AY$3:AY437,1),"")</f>
        <v/>
      </c>
      <c r="Q437" s="152">
        <f>IF(R437="","",IFERROR(SUBSTITUTE(Разбивка_по_щитам!P437,CHAR(10)," "),""))</f>
        <v/>
      </c>
      <c r="R437" s="153">
        <f>IF(OR(Разбивка_по_щитам!H437="",Разбивка_по_щитам!H437=0),"",Разбивка_по_щитам!H437)</f>
        <v/>
      </c>
      <c r="S437" s="154">
        <f>IF(R437="","",IFERROR(Разбивка_по_щитам!J437&amp;"",""))</f>
        <v/>
      </c>
      <c r="T437" s="155">
        <f>IF(R437="","",IFERROR(--Разбивка_по_щитам!L437,""))</f>
        <v/>
      </c>
      <c r="U437" s="155">
        <f>IF(R437="","",IFERROR(--Разбивка_по_щитам!K437,""))</f>
        <v/>
      </c>
      <c r="V437" s="138">
        <f>IF(R437="","",IFERROR(IF(Разбивка_по_щитам!M437=0,"",Разбивка_по_щитам!M437),""))</f>
        <v/>
      </c>
      <c r="W437" s="156">
        <f t="shared" si="259"/>
        <v/>
      </c>
      <c r="X437" s="157">
        <f t="shared" si="260"/>
        <v/>
      </c>
      <c r="Y437" s="266"/>
      <c r="Z437" s="158">
        <f t="shared" si="261"/>
        <v/>
      </c>
      <c r="AA437" s="160">
        <f t="shared" si="262"/>
        <v/>
      </c>
      <c r="AB437" s="160">
        <f>IF(R437="","",IFERROR(LOOKUP(INDEX(Справочная!$I$4:$I$19,MATCH(VLOOKUP(R437,Исходные_данные,22,FALSE),Справочная!$J$4:$J$19,0)+1),{6,10,16,20,25,32,40,50,63,80,100,125}),""))</f>
        <v/>
      </c>
      <c r="AC437" s="160">
        <f t="shared" si="263"/>
        <v/>
      </c>
      <c r="AD437" s="161">
        <f t="shared" si="264"/>
        <v/>
      </c>
      <c r="AE437" s="161">
        <f>IF(AND(R437="",G437=""),"",_xlfn.TEXTJOIN("; ",TRUE,IF(AND(R437&lt;&gt;"",V437=""),"нет фазы",""),IF(AND(R437&lt;&gt;"",N(T437)=0),"нет мощности",""),IF(AND(P437&lt;&gt;"",COUNTIFS($A$3:$A$1000,A437,$P$3:$P$1000,P437)&gt;1),"дубль клеммы "&amp;P437,""),IF(AND(W437&lt;&gt;"",W437&lt;&gt;"ok"),W437,""),IF(X437&lt;&gt;"",X437,""),IF(AND(ISNUMBER(SEARCH("(5х",Q437)),N(AK437)=1),"5 жил на 1 фазе",""),IF(AND(AL437="R",E437&lt;&gt;"",N(AS437)=0),"розетка без 30 мА",""),IF(IFERROR(_xlfn.NUMBERVALUE(MID(Q437,FIND("-",Q437,FIND("L=",Q437))+1,FIND("%",Q437)-FIND("-",Q437,FIND("L=",Q437))-1),","),0)&gt;4,"потери &gt; 4 %","")))</f>
      </c>
      <c r="AF437" s="129">
        <f>IF(E437&lt;&gt;"",COUNTIFS($A$3:A437,A437,$E$3:E437,"?*"),IF(OR(A437&lt;&gt;A436,Y437="вручную"),"",AF436))</f>
      </c>
      <c r="AG437" s="129">
        <f t="shared" si="265"/>
      </c>
      <c r="AH437" s="129">
        <f t="shared" si="266"/>
        <v/>
      </c>
      <c r="AI437" s="129">
        <f t="shared" si="267"/>
        <v/>
      </c>
      <c r="AJ437" s="129">
        <f t="shared" si="268"/>
        <v/>
      </c>
      <c r="AK437" s="129">
        <f t="shared" si="269"/>
        <v/>
      </c>
      <c r="AL437" s="129">
        <f t="shared" si="270"/>
        <v/>
      </c>
      <c r="AM437" s="129">
        <f t="shared" si="271"/>
      </c>
      <c r="AN437" s="129">
        <f t="shared" si="272"/>
      </c>
      <c r="AO437" s="129">
        <f t="shared" si="273"/>
        <v/>
      </c>
      <c r="AP437" s="129">
        <f t="shared" si="274"/>
        <v/>
      </c>
      <c r="AQ437" s="129">
        <f t="shared" si="275"/>
        <v/>
      </c>
      <c r="AR437" s="129">
        <f t="shared" si="276"/>
        <v/>
      </c>
      <c r="AS437" s="129">
        <f t="shared" si="277"/>
        <v/>
      </c>
      <c r="AT437" s="129">
        <f t="shared" si="278"/>
        <v/>
      </c>
      <c r="AU437" s="129">
        <f t="shared" si="279"/>
        <v/>
      </c>
      <c r="AV437" s="129">
        <f t="shared" si="280"/>
        <v/>
      </c>
      <c r="AW437" s="129">
        <f>IF(AV437="","",AV437&amp;"."&amp;COUNTIFS($A$3:A437,A437,$AV$3:AV437,AV437))</f>
        <v/>
      </c>
      <c r="AX437" s="129">
        <f t="shared" si="281"/>
        <v/>
      </c>
      <c r="AY437" s="129">
        <f>IF(N437="б/к",0,IF(OR(ISNUMBER(SEARCH("L=",Разбивка_по_щитам!P437)),N437="+",N437="="),1,0))</f>
      </c>
      <c r="AZ437" s="129">
        <f t="shared" si="282"/>
      </c>
      <c r="BA437" s="129">
        <f t="shared" si="283"/>
      </c>
      <c r="BB437" s="129">
        <f t="shared" si="284"/>
      </c>
      <c r="BD437" s="129">
        <f t="shared" si="285"/>
      </c>
      <c r="BE437" s="129">
        <f t="shared" si="286"/>
      </c>
      <c r="BF437" s="129">
        <f t="shared" si="287"/>
      </c>
      <c r="BG437" s="129">
        <f t="shared" si="288"/>
        <v/>
      </c>
      <c r="BH437" s="129">
        <f t="shared" si="289"/>
        <v/>
      </c>
      <c r="BI437" s="129">
        <f t="shared" si="290"/>
        <v/>
      </c>
      <c r="BJ437" s="129">
        <f t="shared" si="291"/>
        <v/>
      </c>
      <c r="BK437" s="129">
        <f>IF(R437="","",IF(OR(BY437="",BY437=0),"BOX",IFERROR(IF(VLOOKUP(BY437,УГО_блоки,3,FALSE)&amp;""&lt;&gt;"",VLOOKUP(BY437,УГО_блоки,3,FALSE),VLOOKUP(BY437,УГО_блоки,2,FALSE)),BY437)))</f>
      </c>
      <c r="BL437" s="129">
        <f t="shared" si="293"/>
      </c>
      <c r="BM437" s="129">
        <f>IF(H437="","",IF(COUNTIF($H$3:H437,H437)=1,MAX($BM$2:BM436)+1,""))</f>
      </c>
      <c r="BN437" s="129">
        <f>IF(I437="","",IF(COUNTIF($I$3:I437,I437)+COUNTIF($J$2:J436,I437)+COUNTIF($K$2:K436,I437)=1,MAX($BN$2:BP436)+1,""))</f>
      </c>
      <c r="BO437" s="129">
        <f>IF(J437="","",IF(COUNTIF($I$3:I437,J437)+COUNTIF($J$3:J437,J437)+COUNTIF($K$2:K436,J437)=1,MAX($BN$2:BP436,BN437)+1,""))</f>
      </c>
      <c r="BP437" s="129">
        <f>IF(K437="","",IF(COUNTIF($I$3:I437,K437)+COUNTIF($J$3:J437,K437)+COUNTIF($K$3:K437,K437)=1,MAX($BN$2:BP436,BN437,BO437)+1,""))</f>
      </c>
      <c r="BQ437" s="129">
        <f>IF(AY437=1,IFERROR(MID(Q437,FIND(" (",Q437)+2,FIND(")",Q437,FIND(" (",Q437))-FIND(" (",Q437)-2),"?"),"")</f>
      </c>
      <c r="BR437" s="129">
        <f>IF(BQ437="","",IF(COUNTIF($BQ$3:BQ437,BQ437)=1,MAX($BR$2:BR436)+1,""))</f>
      </c>
      <c r="BS437" s="129">
        <f>IF(AW437="","",COUNTIF($AW$3:AW437,"?*"))</f>
      </c>
      <c r="BT437" s="129">
        <f>IF(OR(AW437="",AI437=""),"",IF(COUNTIFS($AW$3:AW437,"?*",$AI$3:AI437,AI437)=1,MAX($BT$2:BT436)+1,""))</f>
      </c>
      <c r="BU437" s="129">
        <f>IF(AE437="",0,IF(OR(ISNUMBER(SEARCH("дубль",AE437)),ISNUMBER(SEARCH("ПЕРЕГРУЗ",AE437)),ISNUMBER(SEARCH("ЗАЩИЩ",AE437)),ISNUMBER(SEARCH("КАНАЛ",AE437)),ISNUMBER(SEARCH("без 30",AE437))),2,1))</f>
      </c>
      <c r="BV437" s="129">
        <f>IF(R437="","",COUNTIF($R$3:R437,"?*"))</f>
      </c>
      <c r="BW437" s="129">
        <f>IF(AY437&lt;&gt;1,0,IF(MAX(IFERROR(--VLOOKUP(R437,УГО_спр,5,FALSE),0),IFERROR(--VLOOKUP(AL437,УГО_спр,5,FALSE),0),IFERROR(--VLOOKUP(LEFT(AL437,2),УГО_спр,5,FALSE),0))&gt;0,MAX(IFERROR(--VLOOKUP(R437,УГО_спр,5,FALSE),0),IFERROR(--VLOOKUP(AL437,УГО_спр,5,FALSE),0),IFERROR(--VLOOKUP(LEFT(AL437,2),УГО_спр,5,FALSE),0)),IF(IFERROR(--LEFT(SUBSTITUTE(BQ437,"x","х"),FIND("х",SUBSTITUTE(BQ437,"x","х"))-1),3)&gt;3,Каталог!$S$9,1)))</f>
      </c>
      <c r="BX437" s="129">
        <f>IF(AY437&lt;&gt;1,0,MAX(0,IFERROR(--LEFT(SUBSTITUTE(BQ437,"x","х"),FIND("х",SUBSTITUTE(BQ437,"x","х"))-1),3)-3*BW437))</f>
      </c>
      <c r="BY437" s="129">
        <f>IF(R437="","",IFERROR(VLOOKUP(R437,УГО_спр,2,FALSE),IFERROR(VLOOKUP(AL437,УГО_спр,2,FALSE),IFERROR(VLOOKUP(LEFT(AL437,2),УГО_спр,2,FALSE),""))))</f>
      </c>
    </row>
    <row r="438" spans="1:64" x14ac:dyDescent="0.3">
      <c r="A438" s="135">
        <f>IF(Разбивка_по_щитам!F438=0,"",Разбивка_по_щитам!F438)</f>
      </c>
      <c r="B438" s="138">
        <f>IF(A438="","",Разбивка_по_щитам!C438)</f>
      </c>
      <c r="C438" s="138">
        <f t="shared" si="258"/>
      </c>
      <c r="D438" s="266"/>
      <c r="E438" s="266"/>
      <c r="F438" s="267"/>
      <c r="G438" s="145">
        <f t="shared" si="298"/>
        <v/>
      </c>
      <c r="H438" s="145">
        <f t="shared" si="299"/>
        <v/>
      </c>
      <c r="I438" s="266"/>
      <c r="J438" s="267"/>
      <c r="K438" s="267"/>
      <c r="L438" s="266"/>
      <c r="M438" s="147">
        <f t="shared" si="300"/>
        <v/>
      </c>
      <c r="N438" s="267"/>
      <c r="O438" s="147">
        <f t="shared" si="301"/>
        <v/>
      </c>
      <c r="P438" s="268">
        <f>IF(AY438=1,"XT"&amp;COUNTIFS($A$3:A438,A438,$AY$3:AY438,1),"")</f>
        <v/>
      </c>
      <c r="Q438" s="152">
        <f>IF(R438="","",IFERROR(SUBSTITUTE(Разбивка_по_щитам!P438,CHAR(10)," "),""))</f>
        <v/>
      </c>
      <c r="R438" s="153">
        <f>IF(OR(Разбивка_по_щитам!H438="",Разбивка_по_щитам!H438=0),"",Разбивка_по_щитам!H438)</f>
        <v/>
      </c>
      <c r="S438" s="154">
        <f>IF(R438="","",IFERROR(Разбивка_по_щитам!J438&amp;"",""))</f>
        <v/>
      </c>
      <c r="T438" s="155">
        <f>IF(R438="","",IFERROR(--Разбивка_по_щитам!L438,""))</f>
        <v/>
      </c>
      <c r="U438" s="155">
        <f>IF(R438="","",IFERROR(--Разбивка_по_щитам!K438,""))</f>
        <v/>
      </c>
      <c r="V438" s="138">
        <f>IF(R438="","",IFERROR(IF(Разбивка_по_щитам!M438=0,"",Разбивка_по_щитам!M438),""))</f>
        <v/>
      </c>
      <c r="W438" s="156">
        <f t="shared" si="259"/>
        <v/>
      </c>
      <c r="X438" s="157">
        <f t="shared" si="260"/>
        <v/>
      </c>
      <c r="Y438" s="266"/>
      <c r="Z438" s="158">
        <f t="shared" si="261"/>
        <v/>
      </c>
      <c r="AA438" s="160">
        <f t="shared" si="262"/>
        <v/>
      </c>
      <c r="AB438" s="160">
        <f>IF(R438="","",IFERROR(LOOKUP(INDEX(Справочная!$I$4:$I$19,MATCH(VLOOKUP(R438,Исходные_данные,22,FALSE),Справочная!$J$4:$J$19,0)+1),{6,10,16,20,25,32,40,50,63,80,100,125}),""))</f>
        <v/>
      </c>
      <c r="AC438" s="160">
        <f t="shared" si="263"/>
        <v/>
      </c>
      <c r="AD438" s="161">
        <f t="shared" si="264"/>
        <v/>
      </c>
      <c r="AE438" s="161">
        <f>IF(AND(R438="",G438=""),"",_xlfn.TEXTJOIN("; ",TRUE,IF(AND(R438&lt;&gt;"",V438=""),"нет фазы",""),IF(AND(R438&lt;&gt;"",N(T438)=0),"нет мощности",""),IF(AND(P438&lt;&gt;"",COUNTIFS($A$3:$A$1000,A438,$P$3:$P$1000,P438)&gt;1),"дубль клеммы "&amp;P438,""),IF(AND(W438&lt;&gt;"",W438&lt;&gt;"ok"),W438,""),IF(X438&lt;&gt;"",X438,""),IF(AND(ISNUMBER(SEARCH("(5х",Q438)),N(AK438)=1),"5 жил на 1 фазе",""),IF(AND(AL438="R",E438&lt;&gt;"",N(AS438)=0),"розетка без 30 мА",""),IF(IFERROR(_xlfn.NUMBERVALUE(MID(Q438,FIND("-",Q438,FIND("L=",Q438))+1,FIND("%",Q438)-FIND("-",Q438,FIND("L=",Q438))-1),","),0)&gt;4,"потери &gt; 4 %","")))</f>
      </c>
      <c r="AF438" s="129">
        <f>IF(E438&lt;&gt;"",COUNTIFS($A$3:A438,A438,$E$3:E438,"?*"),IF(OR(A438&lt;&gt;A437,Y438="вручную"),"",AF437))</f>
      </c>
      <c r="AG438" s="129">
        <f t="shared" si="265"/>
      </c>
      <c r="AH438" s="129">
        <f t="shared" si="266"/>
        <v/>
      </c>
      <c r="AI438" s="129">
        <f t="shared" si="267"/>
        <v/>
      </c>
      <c r="AJ438" s="129">
        <f t="shared" si="268"/>
        <v/>
      </c>
      <c r="AK438" s="129">
        <f t="shared" si="269"/>
        <v/>
      </c>
      <c r="AL438" s="129">
        <f t="shared" si="270"/>
        <v/>
      </c>
      <c r="AM438" s="129">
        <f t="shared" si="271"/>
      </c>
      <c r="AN438" s="129">
        <f t="shared" si="272"/>
      </c>
      <c r="AO438" s="129">
        <f t="shared" si="273"/>
        <v/>
      </c>
      <c r="AP438" s="129">
        <f t="shared" si="274"/>
        <v/>
      </c>
      <c r="AQ438" s="129">
        <f t="shared" si="275"/>
        <v/>
      </c>
      <c r="AR438" s="129">
        <f t="shared" si="276"/>
        <v/>
      </c>
      <c r="AS438" s="129">
        <f t="shared" si="277"/>
        <v/>
      </c>
      <c r="AT438" s="129">
        <f t="shared" si="278"/>
        <v/>
      </c>
      <c r="AU438" s="129">
        <f t="shared" si="279"/>
        <v/>
      </c>
      <c r="AV438" s="129">
        <f t="shared" si="280"/>
        <v/>
      </c>
      <c r="AW438" s="129">
        <f>IF(AV438="","",AV438&amp;"."&amp;COUNTIFS($A$3:A438,A438,$AV$3:AV438,AV438))</f>
        <v/>
      </c>
      <c r="AX438" s="129">
        <f t="shared" si="281"/>
        <v/>
      </c>
      <c r="AY438" s="129">
        <f>IF(N438="б/к",0,IF(OR(ISNUMBER(SEARCH("L=",Разбивка_по_щитам!P438)),N438="+",N438="="),1,0))</f>
      </c>
      <c r="AZ438" s="129">
        <f t="shared" si="282"/>
      </c>
      <c r="BA438" s="129">
        <f t="shared" si="283"/>
      </c>
      <c r="BB438" s="129">
        <f t="shared" si="284"/>
      </c>
      <c r="BD438" s="129">
        <f t="shared" si="285"/>
      </c>
      <c r="BE438" s="129">
        <f t="shared" si="286"/>
      </c>
      <c r="BF438" s="129">
        <f t="shared" si="287"/>
      </c>
      <c r="BG438" s="129">
        <f t="shared" si="288"/>
        <v/>
      </c>
      <c r="BH438" s="129">
        <f t="shared" si="289"/>
        <v/>
      </c>
      <c r="BI438" s="129">
        <f t="shared" si="290"/>
        <v/>
      </c>
      <c r="BJ438" s="129">
        <f t="shared" si="291"/>
        <v/>
      </c>
      <c r="BK438" s="129">
        <f>IF(R438="","",IF(OR(BY438="",BY438=0),"BOX",IFERROR(IF(VLOOKUP(BY438,УГО_блоки,3,FALSE)&amp;""&lt;&gt;"",VLOOKUP(BY438,УГО_блоки,3,FALSE),VLOOKUP(BY438,УГО_блоки,2,FALSE)),BY438)))</f>
      </c>
      <c r="BL438" s="129">
        <f t="shared" si="293"/>
      </c>
      <c r="BM438" s="129">
        <f>IF(H438="","",IF(COUNTIF($H$3:H438,H438)=1,MAX($BM$2:BM437)+1,""))</f>
      </c>
      <c r="BN438" s="129">
        <f>IF(I438="","",IF(COUNTIF($I$3:I438,I438)+COUNTIF($J$2:J437,I438)+COUNTIF($K$2:K437,I438)=1,MAX($BN$2:BP437)+1,""))</f>
      </c>
      <c r="BO438" s="129">
        <f>IF(J438="","",IF(COUNTIF($I$3:I438,J438)+COUNTIF($J$3:J438,J438)+COUNTIF($K$2:K437,J438)=1,MAX($BN$2:BP437,BN438)+1,""))</f>
      </c>
      <c r="BP438" s="129">
        <f>IF(K438="","",IF(COUNTIF($I$3:I438,K438)+COUNTIF($J$3:J438,K438)+COUNTIF($K$3:K438,K438)=1,MAX($BN$2:BP437,BN438,BO438)+1,""))</f>
      </c>
      <c r="BQ438" s="129">
        <f>IF(AY438=1,IFERROR(MID(Q438,FIND(" (",Q438)+2,FIND(")",Q438,FIND(" (",Q438))-FIND(" (",Q438)-2),"?"),"")</f>
      </c>
      <c r="BR438" s="129">
        <f>IF(BQ438="","",IF(COUNTIF($BQ$3:BQ438,BQ438)=1,MAX($BR$2:BR437)+1,""))</f>
      </c>
      <c r="BS438" s="129">
        <f>IF(AW438="","",COUNTIF($AW$3:AW438,"?*"))</f>
      </c>
      <c r="BT438" s="129">
        <f>IF(OR(AW438="",AI438=""),"",IF(COUNTIFS($AW$3:AW438,"?*",$AI$3:AI438,AI438)=1,MAX($BT$2:BT437)+1,""))</f>
      </c>
      <c r="BU438" s="129">
        <f>IF(AE438="",0,IF(OR(ISNUMBER(SEARCH("дубль",AE438)),ISNUMBER(SEARCH("ПЕРЕГРУЗ",AE438)),ISNUMBER(SEARCH("ЗАЩИЩ",AE438)),ISNUMBER(SEARCH("КАНАЛ",AE438)),ISNUMBER(SEARCH("без 30",AE438))),2,1))</f>
      </c>
      <c r="BV438" s="129">
        <f>IF(R438="","",COUNTIF($R$3:R438,"?*"))</f>
      </c>
      <c r="BW438" s="129">
        <f>IF(AY438&lt;&gt;1,0,IF(MAX(IFERROR(--VLOOKUP(R438,УГО_спр,5,FALSE),0),IFERROR(--VLOOKUP(AL438,УГО_спр,5,FALSE),0),IFERROR(--VLOOKUP(LEFT(AL438,2),УГО_спр,5,FALSE),0))&gt;0,MAX(IFERROR(--VLOOKUP(R438,УГО_спр,5,FALSE),0),IFERROR(--VLOOKUP(AL438,УГО_спр,5,FALSE),0),IFERROR(--VLOOKUP(LEFT(AL438,2),УГО_спр,5,FALSE),0)),IF(IFERROR(--LEFT(SUBSTITUTE(BQ438,"x","х"),FIND("х",SUBSTITUTE(BQ438,"x","х"))-1),3)&gt;3,Каталог!$S$9,1)))</f>
      </c>
      <c r="BX438" s="129">
        <f>IF(AY438&lt;&gt;1,0,MAX(0,IFERROR(--LEFT(SUBSTITUTE(BQ438,"x","х"),FIND("х",SUBSTITUTE(BQ438,"x","х"))-1),3)-3*BW438))</f>
      </c>
      <c r="BY438" s="129">
        <f>IF(R438="","",IFERROR(VLOOKUP(R438,УГО_спр,2,FALSE),IFERROR(VLOOKUP(AL438,УГО_спр,2,FALSE),IFERROR(VLOOKUP(LEFT(AL438,2),УГО_спр,2,FALSE),""))))</f>
      </c>
    </row>
    <row r="439" spans="1:64" x14ac:dyDescent="0.3">
      <c r="A439" s="135">
        <f>IF(Разбивка_по_щитам!F439=0,"",Разбивка_по_щитам!F439)</f>
      </c>
      <c r="B439" s="138">
        <f>IF(A439="","",Разбивка_по_щитам!C439)</f>
      </c>
      <c r="C439" s="138">
        <f t="shared" si="258"/>
      </c>
      <c r="D439" s="266"/>
      <c r="E439" s="266"/>
      <c r="F439" s="267"/>
      <c r="G439" s="145">
        <f t="shared" si="298"/>
        <v/>
      </c>
      <c r="H439" s="145">
        <f t="shared" si="299"/>
        <v/>
      </c>
      <c r="I439" s="266"/>
      <c r="J439" s="267"/>
      <c r="K439" s="267"/>
      <c r="L439" s="266"/>
      <c r="M439" s="147">
        <f t="shared" si="300"/>
        <v/>
      </c>
      <c r="N439" s="267"/>
      <c r="O439" s="147">
        <f t="shared" si="301"/>
        <v/>
      </c>
      <c r="P439" s="268">
        <f>IF(AY439=1,"XT"&amp;COUNTIFS($A$3:A439,A439,$AY$3:AY439,1),"")</f>
        <v/>
      </c>
      <c r="Q439" s="152">
        <f>IF(R439="","",IFERROR(SUBSTITUTE(Разбивка_по_щитам!P439,CHAR(10)," "),""))</f>
        <v/>
      </c>
      <c r="R439" s="153">
        <f>IF(OR(Разбивка_по_щитам!H439="",Разбивка_по_щитам!H439=0),"",Разбивка_по_щитам!H439)</f>
        <v/>
      </c>
      <c r="S439" s="154">
        <f>IF(R439="","",IFERROR(Разбивка_по_щитам!J439&amp;"",""))</f>
        <v/>
      </c>
      <c r="T439" s="155">
        <f>IF(R439="","",IFERROR(--Разбивка_по_щитам!L439,""))</f>
        <v/>
      </c>
      <c r="U439" s="155">
        <f>IF(R439="","",IFERROR(--Разбивка_по_щитам!K439,""))</f>
        <v/>
      </c>
      <c r="V439" s="138">
        <f>IF(R439="","",IFERROR(IF(Разбивка_по_щитам!M439=0,"",Разбивка_по_щитам!M439),""))</f>
        <v/>
      </c>
      <c r="W439" s="156">
        <f t="shared" si="259"/>
        <v/>
      </c>
      <c r="X439" s="157">
        <f t="shared" si="260"/>
        <v/>
      </c>
      <c r="Y439" s="266"/>
      <c r="Z439" s="158">
        <f t="shared" si="261"/>
        <v/>
      </c>
      <c r="AA439" s="160">
        <f t="shared" si="262"/>
        <v/>
      </c>
      <c r="AB439" s="160">
        <f>IF(R439="","",IFERROR(LOOKUP(INDEX(Справочная!$I$4:$I$19,MATCH(VLOOKUP(R439,Исходные_данные,22,FALSE),Справочная!$J$4:$J$19,0)+1),{6,10,16,20,25,32,40,50,63,80,100,125}),""))</f>
        <v/>
      </c>
      <c r="AC439" s="160">
        <f t="shared" si="263"/>
        <v/>
      </c>
      <c r="AD439" s="161">
        <f t="shared" si="264"/>
        <v/>
      </c>
      <c r="AE439" s="161">
        <f>IF(AND(R439="",G439=""),"",_xlfn.TEXTJOIN("; ",TRUE,IF(AND(R439&lt;&gt;"",V439=""),"нет фазы",""),IF(AND(R439&lt;&gt;"",N(T439)=0),"нет мощности",""),IF(AND(P439&lt;&gt;"",COUNTIFS($A$3:$A$1000,A439,$P$3:$P$1000,P439)&gt;1),"дубль клеммы "&amp;P439,""),IF(AND(W439&lt;&gt;"",W439&lt;&gt;"ok"),W439,""),IF(X439&lt;&gt;"",X439,""),IF(AND(ISNUMBER(SEARCH("(5х",Q439)),N(AK439)=1),"5 жил на 1 фазе",""),IF(AND(AL439="R",E439&lt;&gt;"",N(AS439)=0),"розетка без 30 мА",""),IF(IFERROR(_xlfn.NUMBERVALUE(MID(Q439,FIND("-",Q439,FIND("L=",Q439))+1,FIND("%",Q439)-FIND("-",Q439,FIND("L=",Q439))-1),","),0)&gt;4,"потери &gt; 4 %","")))</f>
      </c>
      <c r="AF439" s="129">
        <f>IF(E439&lt;&gt;"",COUNTIFS($A$3:A439,A439,$E$3:E439,"?*"),IF(OR(A439&lt;&gt;A438,Y439="вручную"),"",AF438))</f>
      </c>
      <c r="AG439" s="129">
        <f t="shared" si="265"/>
      </c>
      <c r="AH439" s="129">
        <f t="shared" si="266"/>
        <v/>
      </c>
      <c r="AI439" s="129">
        <f t="shared" si="267"/>
        <v/>
      </c>
      <c r="AJ439" s="129">
        <f t="shared" si="268"/>
        <v/>
      </c>
      <c r="AK439" s="129">
        <f t="shared" si="269"/>
        <v/>
      </c>
      <c r="AL439" s="129">
        <f t="shared" si="270"/>
        <v/>
      </c>
      <c r="AM439" s="129">
        <f t="shared" si="271"/>
      </c>
      <c r="AN439" s="129">
        <f t="shared" si="272"/>
      </c>
      <c r="AO439" s="129">
        <f t="shared" si="273"/>
        <v/>
      </c>
      <c r="AP439" s="129">
        <f t="shared" si="274"/>
        <v/>
      </c>
      <c r="AQ439" s="129">
        <f t="shared" si="275"/>
        <v/>
      </c>
      <c r="AR439" s="129">
        <f t="shared" si="276"/>
        <v/>
      </c>
      <c r="AS439" s="129">
        <f t="shared" si="277"/>
        <v/>
      </c>
      <c r="AT439" s="129">
        <f t="shared" si="278"/>
        <v/>
      </c>
      <c r="AU439" s="129">
        <f t="shared" si="279"/>
        <v/>
      </c>
      <c r="AV439" s="129">
        <f t="shared" si="280"/>
        <v/>
      </c>
      <c r="AW439" s="129">
        <f>IF(AV439="","",AV439&amp;"."&amp;COUNTIFS($A$3:A439,A439,$AV$3:AV439,AV439))</f>
        <v/>
      </c>
      <c r="AX439" s="129">
        <f t="shared" si="281"/>
        <v/>
      </c>
      <c r="AY439" s="129">
        <f>IF(N439="б/к",0,IF(OR(ISNUMBER(SEARCH("L=",Разбивка_по_щитам!P439)),N439="+",N439="="),1,0))</f>
      </c>
      <c r="AZ439" s="129">
        <f t="shared" si="282"/>
      </c>
      <c r="BA439" s="129">
        <f t="shared" si="283"/>
      </c>
      <c r="BB439" s="129">
        <f t="shared" si="284"/>
      </c>
      <c r="BD439" s="129">
        <f t="shared" si="285"/>
      </c>
      <c r="BE439" s="129">
        <f t="shared" si="286"/>
      </c>
      <c r="BF439" s="129">
        <f t="shared" si="287"/>
      </c>
      <c r="BG439" s="129">
        <f t="shared" si="288"/>
        <v/>
      </c>
      <c r="BH439" s="129">
        <f t="shared" si="289"/>
        <v/>
      </c>
      <c r="BI439" s="129">
        <f t="shared" si="290"/>
        <v/>
      </c>
      <c r="BJ439" s="129">
        <f t="shared" si="291"/>
        <v/>
      </c>
      <c r="BK439" s="129">
        <f>IF(R439="","",IF(OR(BY439="",BY439=0),"BOX",IFERROR(IF(VLOOKUP(BY439,УГО_блоки,3,FALSE)&amp;""&lt;&gt;"",VLOOKUP(BY439,УГО_блоки,3,FALSE),VLOOKUP(BY439,УГО_блоки,2,FALSE)),BY439)))</f>
      </c>
      <c r="BL439" s="129">
        <f t="shared" si="293"/>
      </c>
      <c r="BM439" s="129">
        <f>IF(H439="","",IF(COUNTIF($H$3:H439,H439)=1,MAX($BM$2:BM438)+1,""))</f>
      </c>
      <c r="BN439" s="129">
        <f>IF(I439="","",IF(COUNTIF($I$3:I439,I439)+COUNTIF($J$2:J438,I439)+COUNTIF($K$2:K438,I439)=1,MAX($BN$2:BP438)+1,""))</f>
      </c>
      <c r="BO439" s="129">
        <f>IF(J439="","",IF(COUNTIF($I$3:I439,J439)+COUNTIF($J$3:J439,J439)+COUNTIF($K$2:K438,J439)=1,MAX($BN$2:BP438,BN439)+1,""))</f>
      </c>
      <c r="BP439" s="129">
        <f>IF(K439="","",IF(COUNTIF($I$3:I439,K439)+COUNTIF($J$3:J439,K439)+COUNTIF($K$3:K439,K439)=1,MAX($BN$2:BP438,BN439,BO439)+1,""))</f>
      </c>
      <c r="BQ439" s="129">
        <f>IF(AY439=1,IFERROR(MID(Q439,FIND(" (",Q439)+2,FIND(")",Q439,FIND(" (",Q439))-FIND(" (",Q439)-2),"?"),"")</f>
      </c>
      <c r="BR439" s="129">
        <f>IF(BQ439="","",IF(COUNTIF($BQ$3:BQ439,BQ439)=1,MAX($BR$2:BR438)+1,""))</f>
      </c>
      <c r="BS439" s="129">
        <f>IF(AW439="","",COUNTIF($AW$3:AW439,"?*"))</f>
      </c>
      <c r="BT439" s="129">
        <f>IF(OR(AW439="",AI439=""),"",IF(COUNTIFS($AW$3:AW439,"?*",$AI$3:AI439,AI439)=1,MAX($BT$2:BT438)+1,""))</f>
      </c>
      <c r="BU439" s="129">
        <f>IF(AE439="",0,IF(OR(ISNUMBER(SEARCH("дубль",AE439)),ISNUMBER(SEARCH("ПЕРЕГРУЗ",AE439)),ISNUMBER(SEARCH("ЗАЩИЩ",AE439)),ISNUMBER(SEARCH("КАНАЛ",AE439)),ISNUMBER(SEARCH("без 30",AE439))),2,1))</f>
      </c>
      <c r="BV439" s="129">
        <f>IF(R439="","",COUNTIF($R$3:R439,"?*"))</f>
      </c>
      <c r="BW439" s="129">
        <f>IF(AY439&lt;&gt;1,0,IF(MAX(IFERROR(--VLOOKUP(R439,УГО_спр,5,FALSE),0),IFERROR(--VLOOKUP(AL439,УГО_спр,5,FALSE),0),IFERROR(--VLOOKUP(LEFT(AL439,2),УГО_спр,5,FALSE),0))&gt;0,MAX(IFERROR(--VLOOKUP(R439,УГО_спр,5,FALSE),0),IFERROR(--VLOOKUP(AL439,УГО_спр,5,FALSE),0),IFERROR(--VLOOKUP(LEFT(AL439,2),УГО_спр,5,FALSE),0)),IF(IFERROR(--LEFT(SUBSTITUTE(BQ439,"x","х"),FIND("х",SUBSTITUTE(BQ439,"x","х"))-1),3)&gt;3,Каталог!$S$9,1)))</f>
      </c>
      <c r="BX439" s="129">
        <f>IF(AY439&lt;&gt;1,0,MAX(0,IFERROR(--LEFT(SUBSTITUTE(BQ439,"x","х"),FIND("х",SUBSTITUTE(BQ439,"x","х"))-1),3)-3*BW439))</f>
      </c>
      <c r="BY439" s="129">
        <f>IF(R439="","",IFERROR(VLOOKUP(R439,УГО_спр,2,FALSE),IFERROR(VLOOKUP(AL439,УГО_спр,2,FALSE),IFERROR(VLOOKUP(LEFT(AL439,2),УГО_спр,2,FALSE),""))))</f>
      </c>
    </row>
    <row r="440" spans="1:64" x14ac:dyDescent="0.3">
      <c r="A440" s="135">
        <f>IF(Разбивка_по_щитам!F440=0,"",Разбивка_по_щитам!F440)</f>
      </c>
      <c r="B440" s="138">
        <f>IF(A440="","",Разбивка_по_щитам!C440)</f>
      </c>
      <c r="C440" s="138">
        <f t="shared" si="258"/>
      </c>
      <c r="D440" s="266"/>
      <c r="E440" s="266"/>
      <c r="F440" s="267"/>
      <c r="G440" s="145">
        <f t="shared" si="298"/>
        <v/>
      </c>
      <c r="H440" s="145">
        <f t="shared" si="299"/>
        <v/>
      </c>
      <c r="I440" s="266"/>
      <c r="J440" s="267"/>
      <c r="K440" s="267"/>
      <c r="L440" s="266"/>
      <c r="M440" s="147">
        <f t="shared" si="300"/>
        <v/>
      </c>
      <c r="N440" s="267"/>
      <c r="O440" s="147">
        <f t="shared" si="301"/>
        <v/>
      </c>
      <c r="P440" s="268">
        <f>IF(AY440=1,"XT"&amp;COUNTIFS($A$3:A440,A440,$AY$3:AY440,1),"")</f>
        <v/>
      </c>
      <c r="Q440" s="152">
        <f>IF(R440="","",IFERROR(SUBSTITUTE(Разбивка_по_щитам!P440,CHAR(10)," "),""))</f>
        <v/>
      </c>
      <c r="R440" s="153">
        <f>IF(OR(Разбивка_по_щитам!H440="",Разбивка_по_щитам!H440=0),"",Разбивка_по_щитам!H440)</f>
        <v/>
      </c>
      <c r="S440" s="154">
        <f>IF(R440="","",IFERROR(Разбивка_по_щитам!J440&amp;"",""))</f>
        <v/>
      </c>
      <c r="T440" s="155">
        <f>IF(R440="","",IFERROR(--Разбивка_по_щитам!L440,""))</f>
        <v/>
      </c>
      <c r="U440" s="155">
        <f>IF(R440="","",IFERROR(--Разбивка_по_щитам!K440,""))</f>
        <v/>
      </c>
      <c r="V440" s="138">
        <f>IF(R440="","",IFERROR(IF(Разбивка_по_щитам!M440=0,"",Разбивка_по_щитам!M440),""))</f>
        <v/>
      </c>
      <c r="W440" s="156">
        <f t="shared" si="259"/>
        <v/>
      </c>
      <c r="X440" s="157">
        <f t="shared" si="260"/>
        <v/>
      </c>
      <c r="Y440" s="266"/>
      <c r="Z440" s="158">
        <f t="shared" si="261"/>
        <v/>
      </c>
      <c r="AA440" s="160">
        <f t="shared" si="262"/>
        <v/>
      </c>
      <c r="AB440" s="160">
        <f>IF(R440="","",IFERROR(LOOKUP(INDEX(Справочная!$I$4:$I$19,MATCH(VLOOKUP(R440,Исходные_данные,22,FALSE),Справочная!$J$4:$J$19,0)+1),{6,10,16,20,25,32,40,50,63,80,100,125}),""))</f>
        <v/>
      </c>
      <c r="AC440" s="160">
        <f t="shared" si="263"/>
        <v/>
      </c>
      <c r="AD440" s="161">
        <f t="shared" si="264"/>
        <v/>
      </c>
      <c r="AE440" s="161">
        <f>IF(AND(R440="",G440=""),"",_xlfn.TEXTJOIN("; ",TRUE,IF(AND(R440&lt;&gt;"",V440=""),"нет фазы",""),IF(AND(R440&lt;&gt;"",N(T440)=0),"нет мощности",""),IF(AND(P440&lt;&gt;"",COUNTIFS($A$3:$A$1000,A440,$P$3:$P$1000,P440)&gt;1),"дубль клеммы "&amp;P440,""),IF(AND(W440&lt;&gt;"",W440&lt;&gt;"ok"),W440,""),IF(X440&lt;&gt;"",X440,""),IF(AND(ISNUMBER(SEARCH("(5х",Q440)),N(AK440)=1),"5 жил на 1 фазе",""),IF(AND(AL440="R",E440&lt;&gt;"",N(AS440)=0),"розетка без 30 мА",""),IF(IFERROR(_xlfn.NUMBERVALUE(MID(Q440,FIND("-",Q440,FIND("L=",Q440))+1,FIND("%",Q440)-FIND("-",Q440,FIND("L=",Q440))-1),","),0)&gt;4,"потери &gt; 4 %","")))</f>
      </c>
      <c r="AF440" s="129">
        <f>IF(E440&lt;&gt;"",COUNTIFS($A$3:A440,A440,$E$3:E440,"?*"),IF(OR(A440&lt;&gt;A439,Y440="вручную"),"",AF439))</f>
      </c>
      <c r="AG440" s="129">
        <f t="shared" si="265"/>
      </c>
      <c r="AH440" s="129">
        <f t="shared" si="266"/>
        <v/>
      </c>
      <c r="AI440" s="129">
        <f t="shared" si="267"/>
        <v/>
      </c>
      <c r="AJ440" s="129">
        <f t="shared" si="268"/>
        <v/>
      </c>
      <c r="AK440" s="129">
        <f t="shared" si="269"/>
        <v/>
      </c>
      <c r="AL440" s="129">
        <f t="shared" si="270"/>
        <v/>
      </c>
      <c r="AM440" s="129">
        <f t="shared" si="271"/>
      </c>
      <c r="AN440" s="129">
        <f t="shared" si="272"/>
      </c>
      <c r="AO440" s="129">
        <f t="shared" si="273"/>
        <v/>
      </c>
      <c r="AP440" s="129">
        <f t="shared" si="274"/>
        <v/>
      </c>
      <c r="AQ440" s="129">
        <f t="shared" si="275"/>
        <v/>
      </c>
      <c r="AR440" s="129">
        <f t="shared" si="276"/>
        <v/>
      </c>
      <c r="AS440" s="129">
        <f t="shared" si="277"/>
        <v/>
      </c>
      <c r="AT440" s="129">
        <f t="shared" si="278"/>
        <v/>
      </c>
      <c r="AU440" s="129">
        <f t="shared" si="279"/>
        <v/>
      </c>
      <c r="AV440" s="129">
        <f t="shared" si="280"/>
        <v/>
      </c>
      <c r="AW440" s="129">
        <f>IF(AV440="","",AV440&amp;"."&amp;COUNTIFS($A$3:A440,A440,$AV$3:AV440,AV440))</f>
        <v/>
      </c>
      <c r="AX440" s="129">
        <f t="shared" si="281"/>
        <v/>
      </c>
      <c r="AY440" s="129">
        <f>IF(N440="б/к",0,IF(OR(ISNUMBER(SEARCH("L=",Разбивка_по_щитам!P440)),N440="+",N440="="),1,0))</f>
      </c>
      <c r="AZ440" s="129">
        <f t="shared" si="282"/>
      </c>
      <c r="BA440" s="129">
        <f t="shared" si="283"/>
      </c>
      <c r="BB440" s="129">
        <f t="shared" si="284"/>
      </c>
      <c r="BD440" s="129">
        <f t="shared" si="285"/>
      </c>
      <c r="BE440" s="129">
        <f t="shared" si="286"/>
      </c>
      <c r="BF440" s="129">
        <f t="shared" si="287"/>
      </c>
      <c r="BG440" s="129">
        <f t="shared" si="288"/>
        <v/>
      </c>
      <c r="BH440" s="129">
        <f t="shared" si="289"/>
        <v/>
      </c>
      <c r="BI440" s="129">
        <f t="shared" si="290"/>
        <v/>
      </c>
      <c r="BJ440" s="129">
        <f t="shared" si="291"/>
        <v/>
      </c>
      <c r="BK440" s="129">
        <f>IF(R440="","",IF(OR(BY440="",BY440=0),"BOX",IFERROR(IF(VLOOKUP(BY440,УГО_блоки,3,FALSE)&amp;""&lt;&gt;"",VLOOKUP(BY440,УГО_блоки,3,FALSE),VLOOKUP(BY440,УГО_блоки,2,FALSE)),BY440)))</f>
      </c>
      <c r="BL440" s="129">
        <f t="shared" si="293"/>
      </c>
      <c r="BM440" s="129">
        <f>IF(H440="","",IF(COUNTIF($H$3:H440,H440)=1,MAX($BM$2:BM439)+1,""))</f>
      </c>
      <c r="BN440" s="129">
        <f>IF(I440="","",IF(COUNTIF($I$3:I440,I440)+COUNTIF($J$2:J439,I440)+COUNTIF($K$2:K439,I440)=1,MAX($BN$2:BP439)+1,""))</f>
      </c>
      <c r="BO440" s="129">
        <f>IF(J440="","",IF(COUNTIF($I$3:I440,J440)+COUNTIF($J$3:J440,J440)+COUNTIF($K$2:K439,J440)=1,MAX($BN$2:BP439,BN440)+1,""))</f>
      </c>
      <c r="BP440" s="129">
        <f>IF(K440="","",IF(COUNTIF($I$3:I440,K440)+COUNTIF($J$3:J440,K440)+COUNTIF($K$3:K440,K440)=1,MAX($BN$2:BP439,BN440,BO440)+1,""))</f>
      </c>
      <c r="BQ440" s="129">
        <f>IF(AY440=1,IFERROR(MID(Q440,FIND(" (",Q440)+2,FIND(")",Q440,FIND(" (",Q440))-FIND(" (",Q440)-2),"?"),"")</f>
      </c>
      <c r="BR440" s="129">
        <f>IF(BQ440="","",IF(COUNTIF($BQ$3:BQ440,BQ440)=1,MAX($BR$2:BR439)+1,""))</f>
      </c>
      <c r="BS440" s="129">
        <f>IF(AW440="","",COUNTIF($AW$3:AW440,"?*"))</f>
      </c>
      <c r="BT440" s="129">
        <f>IF(OR(AW440="",AI440=""),"",IF(COUNTIFS($AW$3:AW440,"?*",$AI$3:AI440,AI440)=1,MAX($BT$2:BT439)+1,""))</f>
      </c>
      <c r="BU440" s="129">
        <f>IF(AE440="",0,IF(OR(ISNUMBER(SEARCH("дубль",AE440)),ISNUMBER(SEARCH("ПЕРЕГРУЗ",AE440)),ISNUMBER(SEARCH("ЗАЩИЩ",AE440)),ISNUMBER(SEARCH("КАНАЛ",AE440)),ISNUMBER(SEARCH("без 30",AE440))),2,1))</f>
      </c>
      <c r="BV440" s="129">
        <f>IF(R440="","",COUNTIF($R$3:R440,"?*"))</f>
      </c>
      <c r="BW440" s="129">
        <f>IF(AY440&lt;&gt;1,0,IF(MAX(IFERROR(--VLOOKUP(R440,УГО_спр,5,FALSE),0),IFERROR(--VLOOKUP(AL440,УГО_спр,5,FALSE),0),IFERROR(--VLOOKUP(LEFT(AL440,2),УГО_спр,5,FALSE),0))&gt;0,MAX(IFERROR(--VLOOKUP(R440,УГО_спр,5,FALSE),0),IFERROR(--VLOOKUP(AL440,УГО_спр,5,FALSE),0),IFERROR(--VLOOKUP(LEFT(AL440,2),УГО_спр,5,FALSE),0)),IF(IFERROR(--LEFT(SUBSTITUTE(BQ440,"x","х"),FIND("х",SUBSTITUTE(BQ440,"x","х"))-1),3)&gt;3,Каталог!$S$9,1)))</f>
      </c>
      <c r="BX440" s="129">
        <f>IF(AY440&lt;&gt;1,0,MAX(0,IFERROR(--LEFT(SUBSTITUTE(BQ440,"x","х"),FIND("х",SUBSTITUTE(BQ440,"x","х"))-1),3)-3*BW440))</f>
      </c>
      <c r="BY440" s="129">
        <f>IF(R440="","",IFERROR(VLOOKUP(R440,УГО_спр,2,FALSE),IFERROR(VLOOKUP(AL440,УГО_спр,2,FALSE),IFERROR(VLOOKUP(LEFT(AL440,2),УГО_спр,2,FALSE),""))))</f>
      </c>
    </row>
    <row r="441" spans="1:64" x14ac:dyDescent="0.3">
      <c r="A441" s="135">
        <f>IF(Разбивка_по_щитам!F441=0,"",Разбивка_по_щитам!F441)</f>
      </c>
      <c r="B441" s="138">
        <f>IF(A441="","",Разбивка_по_щитам!C441)</f>
      </c>
      <c r="C441" s="138">
        <f t="shared" si="258"/>
      </c>
      <c r="D441" s="266"/>
      <c r="E441" s="266"/>
      <c r="F441" s="267"/>
      <c r="G441" s="145">
        <f t="shared" si="298"/>
        <v/>
      </c>
      <c r="H441" s="145">
        <f t="shared" si="299"/>
        <v/>
      </c>
      <c r="I441" s="266"/>
      <c r="J441" s="267"/>
      <c r="K441" s="267"/>
      <c r="L441" s="266"/>
      <c r="M441" s="147">
        <f t="shared" si="300"/>
        <v/>
      </c>
      <c r="N441" s="267"/>
      <c r="O441" s="147">
        <f t="shared" si="301"/>
        <v/>
      </c>
      <c r="P441" s="268">
        <f>IF(AY441=1,"XT"&amp;COUNTIFS($A$3:A441,A441,$AY$3:AY441,1),"")</f>
        <v/>
      </c>
      <c r="Q441" s="152">
        <f>IF(R441="","",IFERROR(SUBSTITUTE(Разбивка_по_щитам!P441,CHAR(10)," "),""))</f>
        <v/>
      </c>
      <c r="R441" s="153">
        <f>IF(OR(Разбивка_по_щитам!H441="",Разбивка_по_щитам!H441=0),"",Разбивка_по_щитам!H441)</f>
        <v/>
      </c>
      <c r="S441" s="154">
        <f>IF(R441="","",IFERROR(Разбивка_по_щитам!J441&amp;"",""))</f>
        <v/>
      </c>
      <c r="T441" s="155">
        <f>IF(R441="","",IFERROR(--Разбивка_по_щитам!L441,""))</f>
        <v/>
      </c>
      <c r="U441" s="155">
        <f>IF(R441="","",IFERROR(--Разбивка_по_щитам!K441,""))</f>
        <v/>
      </c>
      <c r="V441" s="138">
        <f>IF(R441="","",IFERROR(IF(Разбивка_по_щитам!M441=0,"",Разбивка_по_щитам!M441),""))</f>
        <v/>
      </c>
      <c r="W441" s="156">
        <f t="shared" si="259"/>
        <v/>
      </c>
      <c r="X441" s="157">
        <f t="shared" si="260"/>
        <v/>
      </c>
      <c r="Y441" s="266"/>
      <c r="Z441" s="158">
        <f t="shared" si="261"/>
        <v/>
      </c>
      <c r="AA441" s="160">
        <f t="shared" si="262"/>
        <v/>
      </c>
      <c r="AB441" s="160">
        <f>IF(R441="","",IFERROR(LOOKUP(INDEX(Справочная!$I$4:$I$19,MATCH(VLOOKUP(R441,Исходные_данные,22,FALSE),Справочная!$J$4:$J$19,0)+1),{6,10,16,20,25,32,40,50,63,80,100,125}),""))</f>
        <v/>
      </c>
      <c r="AC441" s="160">
        <f t="shared" si="263"/>
        <v/>
      </c>
      <c r="AD441" s="161">
        <f t="shared" si="264"/>
        <v/>
      </c>
      <c r="AE441" s="161">
        <f>IF(AND(R441="",G441=""),"",_xlfn.TEXTJOIN("; ",TRUE,IF(AND(R441&lt;&gt;"",V441=""),"нет фазы",""),IF(AND(R441&lt;&gt;"",N(T441)=0),"нет мощности",""),IF(AND(P441&lt;&gt;"",COUNTIFS($A$3:$A$1000,A441,$P$3:$P$1000,P441)&gt;1),"дубль клеммы "&amp;P441,""),IF(AND(W441&lt;&gt;"",W441&lt;&gt;"ok"),W441,""),IF(X441&lt;&gt;"",X441,""),IF(AND(ISNUMBER(SEARCH("(5х",Q441)),N(AK441)=1),"5 жил на 1 фазе",""),IF(AND(AL441="R",E441&lt;&gt;"",N(AS441)=0),"розетка без 30 мА",""),IF(IFERROR(_xlfn.NUMBERVALUE(MID(Q441,FIND("-",Q441,FIND("L=",Q441))+1,FIND("%",Q441)-FIND("-",Q441,FIND("L=",Q441))-1),","),0)&gt;4,"потери &gt; 4 %","")))</f>
      </c>
      <c r="AF441" s="129">
        <f>IF(E441&lt;&gt;"",COUNTIFS($A$3:A441,A441,$E$3:E441,"?*"),IF(OR(A441&lt;&gt;A440,Y441="вручную"),"",AF440))</f>
      </c>
      <c r="AG441" s="129">
        <f t="shared" si="265"/>
      </c>
      <c r="AH441" s="129">
        <f t="shared" si="266"/>
        <v/>
      </c>
      <c r="AI441" s="129">
        <f t="shared" si="267"/>
        <v/>
      </c>
      <c r="AJ441" s="129">
        <f t="shared" si="268"/>
        <v/>
      </c>
      <c r="AK441" s="129">
        <f t="shared" si="269"/>
        <v/>
      </c>
      <c r="AL441" s="129">
        <f t="shared" si="270"/>
        <v/>
      </c>
      <c r="AM441" s="129">
        <f t="shared" si="271"/>
      </c>
      <c r="AN441" s="129">
        <f t="shared" si="272"/>
      </c>
      <c r="AO441" s="129">
        <f t="shared" si="273"/>
        <v/>
      </c>
      <c r="AP441" s="129">
        <f t="shared" si="274"/>
        <v/>
      </c>
      <c r="AQ441" s="129">
        <f t="shared" si="275"/>
        <v/>
      </c>
      <c r="AR441" s="129">
        <f t="shared" si="276"/>
        <v/>
      </c>
      <c r="AS441" s="129">
        <f t="shared" si="277"/>
        <v/>
      </c>
      <c r="AT441" s="129">
        <f t="shared" si="278"/>
        <v/>
      </c>
      <c r="AU441" s="129">
        <f t="shared" si="279"/>
        <v/>
      </c>
      <c r="AV441" s="129">
        <f t="shared" si="280"/>
        <v/>
      </c>
      <c r="AW441" s="129">
        <f>IF(AV441="","",AV441&amp;"."&amp;COUNTIFS($A$3:A441,A441,$AV$3:AV441,AV441))</f>
        <v/>
      </c>
      <c r="AX441" s="129">
        <f t="shared" si="281"/>
        <v/>
      </c>
      <c r="AY441" s="129">
        <f>IF(N441="б/к",0,IF(OR(ISNUMBER(SEARCH("L=",Разбивка_по_щитам!P441)),N441="+",N441="="),1,0))</f>
      </c>
      <c r="AZ441" s="129">
        <f t="shared" si="282"/>
      </c>
      <c r="BA441" s="129">
        <f t="shared" si="283"/>
      </c>
      <c r="BB441" s="129">
        <f t="shared" si="284"/>
      </c>
      <c r="BD441" s="129">
        <f t="shared" si="285"/>
      </c>
      <c r="BE441" s="129">
        <f t="shared" si="286"/>
      </c>
      <c r="BF441" s="129">
        <f t="shared" si="287"/>
      </c>
      <c r="BG441" s="129">
        <f t="shared" si="288"/>
        <v/>
      </c>
      <c r="BH441" s="129">
        <f t="shared" si="289"/>
        <v/>
      </c>
      <c r="BI441" s="129">
        <f t="shared" si="290"/>
        <v/>
      </c>
      <c r="BJ441" s="129">
        <f t="shared" si="291"/>
        <v/>
      </c>
      <c r="BK441" s="129">
        <f>IF(R441="","",IF(OR(BY441="",BY441=0),"BOX",IFERROR(IF(VLOOKUP(BY441,УГО_блоки,3,FALSE)&amp;""&lt;&gt;"",VLOOKUP(BY441,УГО_блоки,3,FALSE),VLOOKUP(BY441,УГО_блоки,2,FALSE)),BY441)))</f>
      </c>
      <c r="BL441" s="129">
        <f t="shared" si="293"/>
      </c>
      <c r="BM441" s="129">
        <f>IF(H441="","",IF(COUNTIF($H$3:H441,H441)=1,MAX($BM$2:BM440)+1,""))</f>
      </c>
      <c r="BN441" s="129">
        <f>IF(I441="","",IF(COUNTIF($I$3:I441,I441)+COUNTIF($J$2:J440,I441)+COUNTIF($K$2:K440,I441)=1,MAX($BN$2:BP440)+1,""))</f>
      </c>
      <c r="BO441" s="129">
        <f>IF(J441="","",IF(COUNTIF($I$3:I441,J441)+COUNTIF($J$3:J441,J441)+COUNTIF($K$2:K440,J441)=1,MAX($BN$2:BP440,BN441)+1,""))</f>
      </c>
      <c r="BP441" s="129">
        <f>IF(K441="","",IF(COUNTIF($I$3:I441,K441)+COUNTIF($J$3:J441,K441)+COUNTIF($K$3:K441,K441)=1,MAX($BN$2:BP440,BN441,BO441)+1,""))</f>
      </c>
      <c r="BQ441" s="129">
        <f>IF(AY441=1,IFERROR(MID(Q441,FIND(" (",Q441)+2,FIND(")",Q441,FIND(" (",Q441))-FIND(" (",Q441)-2),"?"),"")</f>
      </c>
      <c r="BR441" s="129">
        <f>IF(BQ441="","",IF(COUNTIF($BQ$3:BQ441,BQ441)=1,MAX($BR$2:BR440)+1,""))</f>
      </c>
      <c r="BS441" s="129">
        <f>IF(AW441="","",COUNTIF($AW$3:AW441,"?*"))</f>
      </c>
      <c r="BT441" s="129">
        <f>IF(OR(AW441="",AI441=""),"",IF(COUNTIFS($AW$3:AW441,"?*",$AI$3:AI441,AI441)=1,MAX($BT$2:BT440)+1,""))</f>
      </c>
      <c r="BU441" s="129">
        <f>IF(AE441="",0,IF(OR(ISNUMBER(SEARCH("дубль",AE441)),ISNUMBER(SEARCH("ПЕРЕГРУЗ",AE441)),ISNUMBER(SEARCH("ЗАЩИЩ",AE441)),ISNUMBER(SEARCH("КАНАЛ",AE441)),ISNUMBER(SEARCH("без 30",AE441))),2,1))</f>
      </c>
      <c r="BV441" s="129">
        <f>IF(R441="","",COUNTIF($R$3:R441,"?*"))</f>
      </c>
      <c r="BW441" s="129">
        <f>IF(AY441&lt;&gt;1,0,IF(MAX(IFERROR(--VLOOKUP(R441,УГО_спр,5,FALSE),0),IFERROR(--VLOOKUP(AL441,УГО_спр,5,FALSE),0),IFERROR(--VLOOKUP(LEFT(AL441,2),УГО_спр,5,FALSE),0))&gt;0,MAX(IFERROR(--VLOOKUP(R441,УГО_спр,5,FALSE),0),IFERROR(--VLOOKUP(AL441,УГО_спр,5,FALSE),0),IFERROR(--VLOOKUP(LEFT(AL441,2),УГО_спр,5,FALSE),0)),IF(IFERROR(--LEFT(SUBSTITUTE(BQ441,"x","х"),FIND("х",SUBSTITUTE(BQ441,"x","х"))-1),3)&gt;3,Каталог!$S$9,1)))</f>
      </c>
      <c r="BX441" s="129">
        <f>IF(AY441&lt;&gt;1,0,MAX(0,IFERROR(--LEFT(SUBSTITUTE(BQ441,"x","х"),FIND("х",SUBSTITUTE(BQ441,"x","х"))-1),3)-3*BW441))</f>
      </c>
      <c r="BY441" s="129">
        <f>IF(R441="","",IFERROR(VLOOKUP(R441,УГО_спр,2,FALSE),IFERROR(VLOOKUP(AL441,УГО_спр,2,FALSE),IFERROR(VLOOKUP(LEFT(AL441,2),УГО_спр,2,FALSE),""))))</f>
      </c>
    </row>
    <row r="442" spans="1:64" x14ac:dyDescent="0.3">
      <c r="A442" s="135">
        <f>IF(Разбивка_по_щитам!F442=0,"",Разбивка_по_щитам!F442)</f>
      </c>
      <c r="B442" s="138">
        <f>IF(A442="","",Разбивка_по_щитам!C442)</f>
      </c>
      <c r="C442" s="138">
        <f t="shared" si="258"/>
      </c>
      <c r="D442" s="266"/>
      <c r="E442" s="266"/>
      <c r="F442" s="267"/>
      <c r="G442" s="145">
        <f t="shared" si="298"/>
        <v/>
      </c>
      <c r="H442" s="145">
        <f t="shared" si="299"/>
        <v/>
      </c>
      <c r="I442" s="266"/>
      <c r="J442" s="267"/>
      <c r="K442" s="267"/>
      <c r="L442" s="266"/>
      <c r="M442" s="147">
        <f t="shared" si="300"/>
        <v/>
      </c>
      <c r="N442" s="267"/>
      <c r="O442" s="147">
        <f t="shared" si="301"/>
        <v/>
      </c>
      <c r="P442" s="268">
        <f>IF(AY442=1,"XT"&amp;COUNTIFS($A$3:A442,A442,$AY$3:AY442,1),"")</f>
        <v/>
      </c>
      <c r="Q442" s="152">
        <f>IF(R442="","",IFERROR(SUBSTITUTE(Разбивка_по_щитам!P442,CHAR(10)," "),""))</f>
        <v/>
      </c>
      <c r="R442" s="153">
        <f>IF(OR(Разбивка_по_щитам!H442="",Разбивка_по_щитам!H442=0),"",Разбивка_по_щитам!H442)</f>
        <v/>
      </c>
      <c r="S442" s="154">
        <f>IF(R442="","",IFERROR(Разбивка_по_щитам!J442&amp;"",""))</f>
        <v/>
      </c>
      <c r="T442" s="155">
        <f>IF(R442="","",IFERROR(--Разбивка_по_щитам!L442,""))</f>
        <v/>
      </c>
      <c r="U442" s="155">
        <f>IF(R442="","",IFERROR(--Разбивка_по_щитам!K442,""))</f>
        <v/>
      </c>
      <c r="V442" s="138">
        <f>IF(R442="","",IFERROR(IF(Разбивка_по_щитам!M442=0,"",Разбивка_по_щитам!M442),""))</f>
        <v/>
      </c>
      <c r="W442" s="156">
        <f t="shared" si="259"/>
        <v/>
      </c>
      <c r="X442" s="157">
        <f t="shared" si="260"/>
        <v/>
      </c>
      <c r="Y442" s="266"/>
      <c r="Z442" s="158">
        <f t="shared" si="261"/>
        <v/>
      </c>
      <c r="AA442" s="160">
        <f t="shared" si="262"/>
        <v/>
      </c>
      <c r="AB442" s="160">
        <f>IF(R442="","",IFERROR(LOOKUP(INDEX(Справочная!$I$4:$I$19,MATCH(VLOOKUP(R442,Исходные_данные,22,FALSE),Справочная!$J$4:$J$19,0)+1),{6,10,16,20,25,32,40,50,63,80,100,125}),""))</f>
        <v/>
      </c>
      <c r="AC442" s="160">
        <f t="shared" si="263"/>
        <v/>
      </c>
      <c r="AD442" s="161">
        <f t="shared" si="264"/>
        <v/>
      </c>
      <c r="AE442" s="161">
        <f>IF(AND(R442="",G442=""),"",_xlfn.TEXTJOIN("; ",TRUE,IF(AND(R442&lt;&gt;"",V442=""),"нет фазы",""),IF(AND(R442&lt;&gt;"",N(T442)=0),"нет мощности",""),IF(AND(P442&lt;&gt;"",COUNTIFS($A$3:$A$1000,A442,$P$3:$P$1000,P442)&gt;1),"дубль клеммы "&amp;P442,""),IF(AND(W442&lt;&gt;"",W442&lt;&gt;"ok"),W442,""),IF(X442&lt;&gt;"",X442,""),IF(AND(ISNUMBER(SEARCH("(5х",Q442)),N(AK442)=1),"5 жил на 1 фазе",""),IF(AND(AL442="R",E442&lt;&gt;"",N(AS442)=0),"розетка без 30 мА",""),IF(IFERROR(_xlfn.NUMBERVALUE(MID(Q442,FIND("-",Q442,FIND("L=",Q442))+1,FIND("%",Q442)-FIND("-",Q442,FIND("L=",Q442))-1),","),0)&gt;4,"потери &gt; 4 %","")))</f>
      </c>
      <c r="AF442" s="129">
        <f>IF(E442&lt;&gt;"",COUNTIFS($A$3:A442,A442,$E$3:E442,"?*"),IF(OR(A442&lt;&gt;A441,Y442="вручную"),"",AF441))</f>
      </c>
      <c r="AG442" s="129">
        <f t="shared" si="265"/>
      </c>
      <c r="AH442" s="129">
        <f t="shared" si="266"/>
        <v/>
      </c>
      <c r="AI442" s="129">
        <f t="shared" si="267"/>
        <v/>
      </c>
      <c r="AJ442" s="129">
        <f t="shared" si="268"/>
        <v/>
      </c>
      <c r="AK442" s="129">
        <f t="shared" si="269"/>
        <v/>
      </c>
      <c r="AL442" s="129">
        <f t="shared" si="270"/>
        <v/>
      </c>
      <c r="AM442" s="129">
        <f t="shared" si="271"/>
      </c>
      <c r="AN442" s="129">
        <f t="shared" si="272"/>
      </c>
      <c r="AO442" s="129">
        <f t="shared" si="273"/>
        <v/>
      </c>
      <c r="AP442" s="129">
        <f t="shared" si="274"/>
        <v/>
      </c>
      <c r="AQ442" s="129">
        <f t="shared" si="275"/>
        <v/>
      </c>
      <c r="AR442" s="129">
        <f t="shared" si="276"/>
        <v/>
      </c>
      <c r="AS442" s="129">
        <f t="shared" si="277"/>
        <v/>
      </c>
      <c r="AT442" s="129">
        <f t="shared" si="278"/>
        <v/>
      </c>
      <c r="AU442" s="129">
        <f t="shared" si="279"/>
        <v/>
      </c>
      <c r="AV442" s="129">
        <f t="shared" si="280"/>
        <v/>
      </c>
      <c r="AW442" s="129">
        <f>IF(AV442="","",AV442&amp;"."&amp;COUNTIFS($A$3:A442,A442,$AV$3:AV442,AV442))</f>
        <v/>
      </c>
      <c r="AX442" s="129">
        <f t="shared" si="281"/>
        <v/>
      </c>
      <c r="AY442" s="129">
        <f>IF(N442="б/к",0,IF(OR(ISNUMBER(SEARCH("L=",Разбивка_по_щитам!P442)),N442="+",N442="="),1,0))</f>
      </c>
      <c r="AZ442" s="129">
        <f t="shared" si="282"/>
      </c>
      <c r="BA442" s="129">
        <f t="shared" si="283"/>
      </c>
      <c r="BB442" s="129">
        <f t="shared" si="284"/>
      </c>
      <c r="BD442" s="129">
        <f t="shared" si="285"/>
      </c>
      <c r="BE442" s="129">
        <f t="shared" si="286"/>
      </c>
      <c r="BF442" s="129">
        <f t="shared" si="287"/>
      </c>
      <c r="BG442" s="129">
        <f t="shared" si="288"/>
        <v/>
      </c>
      <c r="BH442" s="129">
        <f t="shared" si="289"/>
        <v/>
      </c>
      <c r="BI442" s="129">
        <f t="shared" si="290"/>
        <v/>
      </c>
      <c r="BJ442" s="129">
        <f t="shared" si="291"/>
        <v/>
      </c>
      <c r="BK442" s="129">
        <f>IF(R442="","",IF(OR(BY442="",BY442=0),"BOX",IFERROR(IF(VLOOKUP(BY442,УГО_блоки,3,FALSE)&amp;""&lt;&gt;"",VLOOKUP(BY442,УГО_блоки,3,FALSE),VLOOKUP(BY442,УГО_блоки,2,FALSE)),BY442)))</f>
      </c>
      <c r="BL442" s="129">
        <f t="shared" si="293"/>
      </c>
      <c r="BM442" s="129">
        <f>IF(H442="","",IF(COUNTIF($H$3:H442,H442)=1,MAX($BM$2:BM441)+1,""))</f>
      </c>
      <c r="BN442" s="129">
        <f>IF(I442="","",IF(COUNTIF($I$3:I442,I442)+COUNTIF($J$2:J441,I442)+COUNTIF($K$2:K441,I442)=1,MAX($BN$2:BP441)+1,""))</f>
      </c>
      <c r="BO442" s="129">
        <f>IF(J442="","",IF(COUNTIF($I$3:I442,J442)+COUNTIF($J$3:J442,J442)+COUNTIF($K$2:K441,J442)=1,MAX($BN$2:BP441,BN442)+1,""))</f>
      </c>
      <c r="BP442" s="129">
        <f>IF(K442="","",IF(COUNTIF($I$3:I442,K442)+COUNTIF($J$3:J442,K442)+COUNTIF($K$3:K442,K442)=1,MAX($BN$2:BP441,BN442,BO442)+1,""))</f>
      </c>
      <c r="BQ442" s="129">
        <f>IF(AY442=1,IFERROR(MID(Q442,FIND(" (",Q442)+2,FIND(")",Q442,FIND(" (",Q442))-FIND(" (",Q442)-2),"?"),"")</f>
      </c>
      <c r="BR442" s="129">
        <f>IF(BQ442="","",IF(COUNTIF($BQ$3:BQ442,BQ442)=1,MAX($BR$2:BR441)+1,""))</f>
      </c>
      <c r="BS442" s="129">
        <f>IF(AW442="","",COUNTIF($AW$3:AW442,"?*"))</f>
      </c>
      <c r="BT442" s="129">
        <f>IF(OR(AW442="",AI442=""),"",IF(COUNTIFS($AW$3:AW442,"?*",$AI$3:AI442,AI442)=1,MAX($BT$2:BT441)+1,""))</f>
      </c>
      <c r="BU442" s="129">
        <f>IF(AE442="",0,IF(OR(ISNUMBER(SEARCH("дубль",AE442)),ISNUMBER(SEARCH("ПЕРЕГРУЗ",AE442)),ISNUMBER(SEARCH("ЗАЩИЩ",AE442)),ISNUMBER(SEARCH("КАНАЛ",AE442)),ISNUMBER(SEARCH("без 30",AE442))),2,1))</f>
      </c>
      <c r="BV442" s="129">
        <f>IF(R442="","",COUNTIF($R$3:R442,"?*"))</f>
      </c>
      <c r="BW442" s="129">
        <f>IF(AY442&lt;&gt;1,0,IF(MAX(IFERROR(--VLOOKUP(R442,УГО_спр,5,FALSE),0),IFERROR(--VLOOKUP(AL442,УГО_спр,5,FALSE),0),IFERROR(--VLOOKUP(LEFT(AL442,2),УГО_спр,5,FALSE),0))&gt;0,MAX(IFERROR(--VLOOKUP(R442,УГО_спр,5,FALSE),0),IFERROR(--VLOOKUP(AL442,УГО_спр,5,FALSE),0),IFERROR(--VLOOKUP(LEFT(AL442,2),УГО_спр,5,FALSE),0)),IF(IFERROR(--LEFT(SUBSTITUTE(BQ442,"x","х"),FIND("х",SUBSTITUTE(BQ442,"x","х"))-1),3)&gt;3,Каталог!$S$9,1)))</f>
      </c>
      <c r="BX442" s="129">
        <f>IF(AY442&lt;&gt;1,0,MAX(0,IFERROR(--LEFT(SUBSTITUTE(BQ442,"x","х"),FIND("х",SUBSTITUTE(BQ442,"x","х"))-1),3)-3*BW442))</f>
      </c>
      <c r="BY442" s="129">
        <f>IF(R442="","",IFERROR(VLOOKUP(R442,УГО_спр,2,FALSE),IFERROR(VLOOKUP(AL442,УГО_спр,2,FALSE),IFERROR(VLOOKUP(LEFT(AL442,2),УГО_спр,2,FALSE),""))))</f>
      </c>
    </row>
    <row r="443" spans="1:64" x14ac:dyDescent="0.3">
      <c r="A443" s="135">
        <f>IF(Разбивка_по_щитам!F443=0,"",Разбивка_по_щитам!F443)</f>
      </c>
      <c r="B443" s="138">
        <f>IF(A443="","",Разбивка_по_щитам!C443)</f>
      </c>
      <c r="C443" s="138">
        <f t="shared" si="258"/>
      </c>
      <c r="D443" s="266"/>
      <c r="E443" s="266"/>
      <c r="F443" s="267"/>
      <c r="G443" s="145">
        <f t="shared" si="298"/>
        <v/>
      </c>
      <c r="H443" s="145">
        <f t="shared" si="299"/>
        <v/>
      </c>
      <c r="I443" s="266"/>
      <c r="J443" s="267"/>
      <c r="K443" s="267"/>
      <c r="L443" s="266"/>
      <c r="M443" s="147">
        <f t="shared" si="300"/>
        <v/>
      </c>
      <c r="N443" s="267"/>
      <c r="O443" s="147">
        <f t="shared" si="301"/>
        <v/>
      </c>
      <c r="P443" s="268">
        <f>IF(AY443=1,"XT"&amp;COUNTIFS($A$3:A443,A443,$AY$3:AY443,1),"")</f>
        <v/>
      </c>
      <c r="Q443" s="152">
        <f>IF(R443="","",IFERROR(SUBSTITUTE(Разбивка_по_щитам!P443,CHAR(10)," "),""))</f>
        <v/>
      </c>
      <c r="R443" s="153">
        <f>IF(OR(Разбивка_по_щитам!H443="",Разбивка_по_щитам!H443=0),"",Разбивка_по_щитам!H443)</f>
        <v/>
      </c>
      <c r="S443" s="154">
        <f>IF(R443="","",IFERROR(Разбивка_по_щитам!J443&amp;"",""))</f>
        <v/>
      </c>
      <c r="T443" s="155">
        <f>IF(R443="","",IFERROR(--Разбивка_по_щитам!L443,""))</f>
        <v/>
      </c>
      <c r="U443" s="155">
        <f>IF(R443="","",IFERROR(--Разбивка_по_щитам!K443,""))</f>
        <v/>
      </c>
      <c r="V443" s="138">
        <f>IF(R443="","",IFERROR(IF(Разбивка_по_щитам!M443=0,"",Разбивка_по_щитам!M443),""))</f>
        <v/>
      </c>
      <c r="W443" s="156">
        <f t="shared" si="259"/>
        <v/>
      </c>
      <c r="X443" s="157">
        <f t="shared" si="260"/>
        <v/>
      </c>
      <c r="Y443" s="266"/>
      <c r="Z443" s="158">
        <f t="shared" si="261"/>
        <v/>
      </c>
      <c r="AA443" s="160">
        <f t="shared" si="262"/>
        <v/>
      </c>
      <c r="AB443" s="160">
        <f>IF(R443="","",IFERROR(LOOKUP(INDEX(Справочная!$I$4:$I$19,MATCH(VLOOKUP(R443,Исходные_данные,22,FALSE),Справочная!$J$4:$J$19,0)+1),{6,10,16,20,25,32,40,50,63,80,100,125}),""))</f>
        <v/>
      </c>
      <c r="AC443" s="160">
        <f t="shared" si="263"/>
        <v/>
      </c>
      <c r="AD443" s="161">
        <f t="shared" si="264"/>
        <v/>
      </c>
      <c r="AE443" s="161">
        <f>IF(AND(R443="",G443=""),"",_xlfn.TEXTJOIN("; ",TRUE,IF(AND(R443&lt;&gt;"",V443=""),"нет фазы",""),IF(AND(R443&lt;&gt;"",N(T443)=0),"нет мощности",""),IF(AND(P443&lt;&gt;"",COUNTIFS($A$3:$A$1000,A443,$P$3:$P$1000,P443)&gt;1),"дубль клеммы "&amp;P443,""),IF(AND(W443&lt;&gt;"",W443&lt;&gt;"ok"),W443,""),IF(X443&lt;&gt;"",X443,""),IF(AND(ISNUMBER(SEARCH("(5х",Q443)),N(AK443)=1),"5 жил на 1 фазе",""),IF(AND(AL443="R",E443&lt;&gt;"",N(AS443)=0),"розетка без 30 мА",""),IF(IFERROR(_xlfn.NUMBERVALUE(MID(Q443,FIND("-",Q443,FIND("L=",Q443))+1,FIND("%",Q443)-FIND("-",Q443,FIND("L=",Q443))-1),","),0)&gt;4,"потери &gt; 4 %","")))</f>
      </c>
      <c r="AF443" s="129">
        <f>IF(E443&lt;&gt;"",COUNTIFS($A$3:A443,A443,$E$3:E443,"?*"),IF(OR(A443&lt;&gt;A442,Y443="вручную"),"",AF442))</f>
      </c>
      <c r="AG443" s="129">
        <f t="shared" si="265"/>
      </c>
      <c r="AH443" s="129">
        <f t="shared" si="266"/>
        <v/>
      </c>
      <c r="AI443" s="129">
        <f t="shared" si="267"/>
        <v/>
      </c>
      <c r="AJ443" s="129">
        <f t="shared" si="268"/>
        <v/>
      </c>
      <c r="AK443" s="129">
        <f t="shared" si="269"/>
        <v/>
      </c>
      <c r="AL443" s="129">
        <f t="shared" si="270"/>
        <v/>
      </c>
      <c r="AM443" s="129">
        <f t="shared" si="271"/>
      </c>
      <c r="AN443" s="129">
        <f t="shared" si="272"/>
      </c>
      <c r="AO443" s="129">
        <f t="shared" si="273"/>
        <v/>
      </c>
      <c r="AP443" s="129">
        <f t="shared" si="274"/>
        <v/>
      </c>
      <c r="AQ443" s="129">
        <f t="shared" si="275"/>
        <v/>
      </c>
      <c r="AR443" s="129">
        <f t="shared" si="276"/>
        <v/>
      </c>
      <c r="AS443" s="129">
        <f t="shared" si="277"/>
        <v/>
      </c>
      <c r="AT443" s="129">
        <f t="shared" si="278"/>
        <v/>
      </c>
      <c r="AU443" s="129">
        <f t="shared" si="279"/>
        <v/>
      </c>
      <c r="AV443" s="129">
        <f t="shared" si="280"/>
        <v/>
      </c>
      <c r="AW443" s="129">
        <f>IF(AV443="","",AV443&amp;"."&amp;COUNTIFS($A$3:A443,A443,$AV$3:AV443,AV443))</f>
        <v/>
      </c>
      <c r="AX443" s="129">
        <f t="shared" si="281"/>
        <v/>
      </c>
      <c r="AY443" s="129">
        <f>IF(N443="б/к",0,IF(OR(ISNUMBER(SEARCH("L=",Разбивка_по_щитам!P443)),N443="+",N443="="),1,0))</f>
      </c>
      <c r="AZ443" s="129">
        <f t="shared" si="282"/>
      </c>
      <c r="BA443" s="129">
        <f t="shared" si="283"/>
      </c>
      <c r="BB443" s="129">
        <f t="shared" si="284"/>
      </c>
      <c r="BD443" s="129">
        <f t="shared" si="285"/>
      </c>
      <c r="BE443" s="129">
        <f t="shared" si="286"/>
      </c>
      <c r="BF443" s="129">
        <f t="shared" si="287"/>
      </c>
      <c r="BG443" s="129">
        <f t="shared" si="288"/>
        <v/>
      </c>
      <c r="BH443" s="129">
        <f t="shared" si="289"/>
        <v/>
      </c>
      <c r="BI443" s="129">
        <f t="shared" si="290"/>
        <v/>
      </c>
      <c r="BJ443" s="129">
        <f t="shared" si="291"/>
        <v/>
      </c>
      <c r="BK443" s="129">
        <f>IF(R443="","",IF(OR(BY443="",BY443=0),"BOX",IFERROR(IF(VLOOKUP(BY443,УГО_блоки,3,FALSE)&amp;""&lt;&gt;"",VLOOKUP(BY443,УГО_блоки,3,FALSE),VLOOKUP(BY443,УГО_блоки,2,FALSE)),BY443)))</f>
      </c>
      <c r="BL443" s="129">
        <f t="shared" si="293"/>
      </c>
      <c r="BM443" s="129">
        <f>IF(H443="","",IF(COUNTIF($H$3:H443,H443)=1,MAX($BM$2:BM442)+1,""))</f>
      </c>
      <c r="BN443" s="129">
        <f>IF(I443="","",IF(COUNTIF($I$3:I443,I443)+COUNTIF($J$2:J442,I443)+COUNTIF($K$2:K442,I443)=1,MAX($BN$2:BP442)+1,""))</f>
      </c>
      <c r="BO443" s="129">
        <f>IF(J443="","",IF(COUNTIF($I$3:I443,J443)+COUNTIF($J$3:J443,J443)+COUNTIF($K$2:K442,J443)=1,MAX($BN$2:BP442,BN443)+1,""))</f>
      </c>
      <c r="BP443" s="129">
        <f>IF(K443="","",IF(COUNTIF($I$3:I443,K443)+COUNTIF($J$3:J443,K443)+COUNTIF($K$3:K443,K443)=1,MAX($BN$2:BP442,BN443,BO443)+1,""))</f>
      </c>
      <c r="BQ443" s="129">
        <f>IF(AY443=1,IFERROR(MID(Q443,FIND(" (",Q443)+2,FIND(")",Q443,FIND(" (",Q443))-FIND(" (",Q443)-2),"?"),"")</f>
      </c>
      <c r="BR443" s="129">
        <f>IF(BQ443="","",IF(COUNTIF($BQ$3:BQ443,BQ443)=1,MAX($BR$2:BR442)+1,""))</f>
      </c>
      <c r="BS443" s="129">
        <f>IF(AW443="","",COUNTIF($AW$3:AW443,"?*"))</f>
      </c>
      <c r="BT443" s="129">
        <f>IF(OR(AW443="",AI443=""),"",IF(COUNTIFS($AW$3:AW443,"?*",$AI$3:AI443,AI443)=1,MAX($BT$2:BT442)+1,""))</f>
      </c>
      <c r="BU443" s="129">
        <f>IF(AE443="",0,IF(OR(ISNUMBER(SEARCH("дубль",AE443)),ISNUMBER(SEARCH("ПЕРЕГРУЗ",AE443)),ISNUMBER(SEARCH("ЗАЩИЩ",AE443)),ISNUMBER(SEARCH("КАНАЛ",AE443)),ISNUMBER(SEARCH("без 30",AE443))),2,1))</f>
      </c>
      <c r="BV443" s="129">
        <f>IF(R443="","",COUNTIF($R$3:R443,"?*"))</f>
      </c>
      <c r="BW443" s="129">
        <f>IF(AY443&lt;&gt;1,0,IF(MAX(IFERROR(--VLOOKUP(R443,УГО_спр,5,FALSE),0),IFERROR(--VLOOKUP(AL443,УГО_спр,5,FALSE),0),IFERROR(--VLOOKUP(LEFT(AL443,2),УГО_спр,5,FALSE),0))&gt;0,MAX(IFERROR(--VLOOKUP(R443,УГО_спр,5,FALSE),0),IFERROR(--VLOOKUP(AL443,УГО_спр,5,FALSE),0),IFERROR(--VLOOKUP(LEFT(AL443,2),УГО_спр,5,FALSE),0)),IF(IFERROR(--LEFT(SUBSTITUTE(BQ443,"x","х"),FIND("х",SUBSTITUTE(BQ443,"x","х"))-1),3)&gt;3,Каталог!$S$9,1)))</f>
      </c>
      <c r="BX443" s="129">
        <f>IF(AY443&lt;&gt;1,0,MAX(0,IFERROR(--LEFT(SUBSTITUTE(BQ443,"x","х"),FIND("х",SUBSTITUTE(BQ443,"x","х"))-1),3)-3*BW443))</f>
      </c>
      <c r="BY443" s="129">
        <f>IF(R443="","",IFERROR(VLOOKUP(R443,УГО_спр,2,FALSE),IFERROR(VLOOKUP(AL443,УГО_спр,2,FALSE),IFERROR(VLOOKUP(LEFT(AL443,2),УГО_спр,2,FALSE),""))))</f>
      </c>
    </row>
    <row r="444" spans="1:64" x14ac:dyDescent="0.3">
      <c r="A444" s="135">
        <f>IF(Разбивка_по_щитам!F444=0,"",Разбивка_по_щитам!F444)</f>
      </c>
      <c r="B444" s="138">
        <f>IF(A444="","",Разбивка_по_щитам!C444)</f>
      </c>
      <c r="C444" s="138">
        <f t="shared" si="258"/>
      </c>
      <c r="D444" s="266"/>
      <c r="E444" s="266"/>
      <c r="F444" s="267"/>
      <c r="G444" s="145">
        <f t="shared" si="298"/>
        <v/>
      </c>
      <c r="H444" s="145">
        <f t="shared" si="299"/>
        <v/>
      </c>
      <c r="I444" s="266"/>
      <c r="J444" s="267"/>
      <c r="K444" s="267"/>
      <c r="L444" s="266"/>
      <c r="M444" s="147">
        <f t="shared" si="300"/>
        <v/>
      </c>
      <c r="N444" s="267"/>
      <c r="O444" s="147">
        <f t="shared" si="301"/>
        <v/>
      </c>
      <c r="P444" s="268">
        <f>IF(AY444=1,"XT"&amp;COUNTIFS($A$3:A444,A444,$AY$3:AY444,1),"")</f>
        <v/>
      </c>
      <c r="Q444" s="152">
        <f>IF(R444="","",IFERROR(SUBSTITUTE(Разбивка_по_щитам!P444,CHAR(10)," "),""))</f>
        <v/>
      </c>
      <c r="R444" s="153">
        <f>IF(OR(Разбивка_по_щитам!H444="",Разбивка_по_щитам!H444=0),"",Разбивка_по_щитам!H444)</f>
        <v/>
      </c>
      <c r="S444" s="154">
        <f>IF(R444="","",IFERROR(Разбивка_по_щитам!J444&amp;"",""))</f>
        <v/>
      </c>
      <c r="T444" s="155">
        <f>IF(R444="","",IFERROR(--Разбивка_по_щитам!L444,""))</f>
        <v/>
      </c>
      <c r="U444" s="155">
        <f>IF(R444="","",IFERROR(--Разбивка_по_щитам!K444,""))</f>
        <v/>
      </c>
      <c r="V444" s="138">
        <f>IF(R444="","",IFERROR(IF(Разбивка_по_щитам!M444=0,"",Разбивка_по_щитам!M444),""))</f>
        <v/>
      </c>
      <c r="W444" s="156">
        <f t="shared" si="259"/>
        <v/>
      </c>
      <c r="X444" s="157">
        <f t="shared" si="260"/>
        <v/>
      </c>
      <c r="Y444" s="266"/>
      <c r="Z444" s="158">
        <f t="shared" si="261"/>
        <v/>
      </c>
      <c r="AA444" s="160">
        <f t="shared" si="262"/>
        <v/>
      </c>
      <c r="AB444" s="160">
        <f>IF(R444="","",IFERROR(LOOKUP(INDEX(Справочная!$I$4:$I$19,MATCH(VLOOKUP(R444,Исходные_данные,22,FALSE),Справочная!$J$4:$J$19,0)+1),{6,10,16,20,25,32,40,50,63,80,100,125}),""))</f>
        <v/>
      </c>
      <c r="AC444" s="160">
        <f t="shared" si="263"/>
        <v/>
      </c>
      <c r="AD444" s="161">
        <f t="shared" si="264"/>
        <v/>
      </c>
      <c r="AE444" s="161">
        <f>IF(AND(R444="",G444=""),"",_xlfn.TEXTJOIN("; ",TRUE,IF(AND(R444&lt;&gt;"",V444=""),"нет фазы",""),IF(AND(R444&lt;&gt;"",N(T444)=0),"нет мощности",""),IF(AND(P444&lt;&gt;"",COUNTIFS($A$3:$A$1000,A444,$P$3:$P$1000,P444)&gt;1),"дубль клеммы "&amp;P444,""),IF(AND(W444&lt;&gt;"",W444&lt;&gt;"ok"),W444,""),IF(X444&lt;&gt;"",X444,""),IF(AND(ISNUMBER(SEARCH("(5х",Q444)),N(AK444)=1),"5 жил на 1 фазе",""),IF(AND(AL444="R",E444&lt;&gt;"",N(AS444)=0),"розетка без 30 мА",""),IF(IFERROR(_xlfn.NUMBERVALUE(MID(Q444,FIND("-",Q444,FIND("L=",Q444))+1,FIND("%",Q444)-FIND("-",Q444,FIND("L=",Q444))-1),","),0)&gt;4,"потери &gt; 4 %","")))</f>
      </c>
      <c r="AF444" s="129">
        <f>IF(E444&lt;&gt;"",COUNTIFS($A$3:A444,A444,$E$3:E444,"?*"),IF(OR(A444&lt;&gt;A443,Y444="вручную"),"",AF443))</f>
      </c>
      <c r="AG444" s="129">
        <f t="shared" si="265"/>
      </c>
      <c r="AH444" s="129">
        <f t="shared" si="266"/>
        <v/>
      </c>
      <c r="AI444" s="129">
        <f t="shared" si="267"/>
        <v/>
      </c>
      <c r="AJ444" s="129">
        <f t="shared" si="268"/>
        <v/>
      </c>
      <c r="AK444" s="129">
        <f t="shared" si="269"/>
        <v/>
      </c>
      <c r="AL444" s="129">
        <f t="shared" si="270"/>
        <v/>
      </c>
      <c r="AM444" s="129">
        <f t="shared" si="271"/>
      </c>
      <c r="AN444" s="129">
        <f t="shared" si="272"/>
      </c>
      <c r="AO444" s="129">
        <f t="shared" si="273"/>
        <v/>
      </c>
      <c r="AP444" s="129">
        <f t="shared" si="274"/>
        <v/>
      </c>
      <c r="AQ444" s="129">
        <f t="shared" si="275"/>
        <v/>
      </c>
      <c r="AR444" s="129">
        <f t="shared" si="276"/>
        <v/>
      </c>
      <c r="AS444" s="129">
        <f t="shared" si="277"/>
        <v/>
      </c>
      <c r="AT444" s="129">
        <f t="shared" si="278"/>
        <v/>
      </c>
      <c r="AU444" s="129">
        <f t="shared" si="279"/>
        <v/>
      </c>
      <c r="AV444" s="129">
        <f t="shared" si="280"/>
        <v/>
      </c>
      <c r="AW444" s="129">
        <f>IF(AV444="","",AV444&amp;"."&amp;COUNTIFS($A$3:A444,A444,$AV$3:AV444,AV444))</f>
        <v/>
      </c>
      <c r="AX444" s="129">
        <f t="shared" si="281"/>
        <v/>
      </c>
      <c r="AY444" s="129">
        <f>IF(N444="б/к",0,IF(OR(ISNUMBER(SEARCH("L=",Разбивка_по_щитам!P444)),N444="+",N444="="),1,0))</f>
      </c>
      <c r="AZ444" s="129">
        <f t="shared" si="282"/>
      </c>
      <c r="BA444" s="129">
        <f t="shared" si="283"/>
      </c>
      <c r="BB444" s="129">
        <f t="shared" si="284"/>
      </c>
      <c r="BD444" s="129">
        <f t="shared" si="285"/>
      </c>
      <c r="BE444" s="129">
        <f t="shared" si="286"/>
      </c>
      <c r="BF444" s="129">
        <f t="shared" si="287"/>
      </c>
      <c r="BG444" s="129">
        <f t="shared" si="288"/>
        <v/>
      </c>
      <c r="BH444" s="129">
        <f t="shared" si="289"/>
        <v/>
      </c>
      <c r="BI444" s="129">
        <f t="shared" si="290"/>
        <v/>
      </c>
      <c r="BJ444" s="129">
        <f t="shared" si="291"/>
        <v/>
      </c>
      <c r="BK444" s="129">
        <f>IF(R444="","",IF(OR(BY444="",BY444=0),"BOX",IFERROR(IF(VLOOKUP(BY444,УГО_блоки,3,FALSE)&amp;""&lt;&gt;"",VLOOKUP(BY444,УГО_блоки,3,FALSE),VLOOKUP(BY444,УГО_блоки,2,FALSE)),BY444)))</f>
      </c>
      <c r="BL444" s="129">
        <f t="shared" si="293"/>
      </c>
      <c r="BM444" s="129">
        <f>IF(H444="","",IF(COUNTIF($H$3:H444,H444)=1,MAX($BM$2:BM443)+1,""))</f>
      </c>
      <c r="BN444" s="129">
        <f>IF(I444="","",IF(COUNTIF($I$3:I444,I444)+COUNTIF($J$2:J443,I444)+COUNTIF($K$2:K443,I444)=1,MAX($BN$2:BP443)+1,""))</f>
      </c>
      <c r="BO444" s="129">
        <f>IF(J444="","",IF(COUNTIF($I$3:I444,J444)+COUNTIF($J$3:J444,J444)+COUNTIF($K$2:K443,J444)=1,MAX($BN$2:BP443,BN444)+1,""))</f>
      </c>
      <c r="BP444" s="129">
        <f>IF(K444="","",IF(COUNTIF($I$3:I444,K444)+COUNTIF($J$3:J444,K444)+COUNTIF($K$3:K444,K444)=1,MAX($BN$2:BP443,BN444,BO444)+1,""))</f>
      </c>
      <c r="BQ444" s="129">
        <f>IF(AY444=1,IFERROR(MID(Q444,FIND(" (",Q444)+2,FIND(")",Q444,FIND(" (",Q444))-FIND(" (",Q444)-2),"?"),"")</f>
      </c>
      <c r="BR444" s="129">
        <f>IF(BQ444="","",IF(COUNTIF($BQ$3:BQ444,BQ444)=1,MAX($BR$2:BR443)+1,""))</f>
      </c>
      <c r="BS444" s="129">
        <f>IF(AW444="","",COUNTIF($AW$3:AW444,"?*"))</f>
      </c>
      <c r="BT444" s="129">
        <f>IF(OR(AW444="",AI444=""),"",IF(COUNTIFS($AW$3:AW444,"?*",$AI$3:AI444,AI444)=1,MAX($BT$2:BT443)+1,""))</f>
      </c>
      <c r="BU444" s="129">
        <f>IF(AE444="",0,IF(OR(ISNUMBER(SEARCH("дубль",AE444)),ISNUMBER(SEARCH("ПЕРЕГРУЗ",AE444)),ISNUMBER(SEARCH("ЗАЩИЩ",AE444)),ISNUMBER(SEARCH("КАНАЛ",AE444)),ISNUMBER(SEARCH("без 30",AE444))),2,1))</f>
      </c>
      <c r="BV444" s="129">
        <f>IF(R444="","",COUNTIF($R$3:R444,"?*"))</f>
      </c>
      <c r="BW444" s="129">
        <f>IF(AY444&lt;&gt;1,0,IF(MAX(IFERROR(--VLOOKUP(R444,УГО_спр,5,FALSE),0),IFERROR(--VLOOKUP(AL444,УГО_спр,5,FALSE),0),IFERROR(--VLOOKUP(LEFT(AL444,2),УГО_спр,5,FALSE),0))&gt;0,MAX(IFERROR(--VLOOKUP(R444,УГО_спр,5,FALSE),0),IFERROR(--VLOOKUP(AL444,УГО_спр,5,FALSE),0),IFERROR(--VLOOKUP(LEFT(AL444,2),УГО_спр,5,FALSE),0)),IF(IFERROR(--LEFT(SUBSTITUTE(BQ444,"x","х"),FIND("х",SUBSTITUTE(BQ444,"x","х"))-1),3)&gt;3,Каталог!$S$9,1)))</f>
      </c>
      <c r="BX444" s="129">
        <f>IF(AY444&lt;&gt;1,0,MAX(0,IFERROR(--LEFT(SUBSTITUTE(BQ444,"x","х"),FIND("х",SUBSTITUTE(BQ444,"x","х"))-1),3)-3*BW444))</f>
      </c>
      <c r="BY444" s="129">
        <f>IF(R444="","",IFERROR(VLOOKUP(R444,УГО_спр,2,FALSE),IFERROR(VLOOKUP(AL444,УГО_спр,2,FALSE),IFERROR(VLOOKUP(LEFT(AL444,2),УГО_спр,2,FALSE),""))))</f>
      </c>
    </row>
    <row r="445" spans="1:64" x14ac:dyDescent="0.3">
      <c r="A445" s="135">
        <f>IF(Разбивка_по_щитам!F445=0,"",Разбивка_по_щитам!F445)</f>
      </c>
      <c r="B445" s="138">
        <f>IF(A445="","",Разбивка_по_щитам!C445)</f>
      </c>
      <c r="C445" s="138">
        <f t="shared" si="258"/>
      </c>
      <c r="D445" s="266"/>
      <c r="E445" s="266"/>
      <c r="F445" s="267"/>
      <c r="G445" s="145">
        <f t="shared" si="298"/>
        <v/>
      </c>
      <c r="H445" s="145">
        <f t="shared" si="299"/>
        <v/>
      </c>
      <c r="I445" s="266"/>
      <c r="J445" s="267"/>
      <c r="K445" s="267"/>
      <c r="L445" s="266"/>
      <c r="M445" s="147">
        <f t="shared" si="300"/>
        <v/>
      </c>
      <c r="N445" s="267"/>
      <c r="O445" s="147">
        <f t="shared" si="301"/>
        <v/>
      </c>
      <c r="P445" s="268">
        <f>IF(AY445=1,"XT"&amp;COUNTIFS($A$3:A445,A445,$AY$3:AY445,1),"")</f>
        <v/>
      </c>
      <c r="Q445" s="152">
        <f>IF(R445="","",IFERROR(SUBSTITUTE(Разбивка_по_щитам!P445,CHAR(10)," "),""))</f>
        <v/>
      </c>
      <c r="R445" s="153">
        <f>IF(OR(Разбивка_по_щитам!H445="",Разбивка_по_щитам!H445=0),"",Разбивка_по_щитам!H445)</f>
        <v/>
      </c>
      <c r="S445" s="154">
        <f>IF(R445="","",IFERROR(Разбивка_по_щитам!J445&amp;"",""))</f>
        <v/>
      </c>
      <c r="T445" s="155">
        <f>IF(R445="","",IFERROR(--Разбивка_по_щитам!L445,""))</f>
        <v/>
      </c>
      <c r="U445" s="155">
        <f>IF(R445="","",IFERROR(--Разбивка_по_щитам!K445,""))</f>
        <v/>
      </c>
      <c r="V445" s="138">
        <f>IF(R445="","",IFERROR(IF(Разбивка_по_щитам!M445=0,"",Разбивка_по_щитам!M445),""))</f>
        <v/>
      </c>
      <c r="W445" s="156">
        <f t="shared" si="259"/>
        <v/>
      </c>
      <c r="X445" s="157">
        <f t="shared" si="260"/>
        <v/>
      </c>
      <c r="Y445" s="266"/>
      <c r="Z445" s="158">
        <f t="shared" si="261"/>
        <v/>
      </c>
      <c r="AA445" s="160">
        <f t="shared" si="262"/>
        <v/>
      </c>
      <c r="AB445" s="160">
        <f>IF(R445="","",IFERROR(LOOKUP(INDEX(Справочная!$I$4:$I$19,MATCH(VLOOKUP(R445,Исходные_данные,22,FALSE),Справочная!$J$4:$J$19,0)+1),{6,10,16,20,25,32,40,50,63,80,100,125}),""))</f>
        <v/>
      </c>
      <c r="AC445" s="160">
        <f t="shared" si="263"/>
        <v/>
      </c>
      <c r="AD445" s="161">
        <f t="shared" si="264"/>
        <v/>
      </c>
      <c r="AE445" s="161">
        <f>IF(AND(R445="",G445=""),"",_xlfn.TEXTJOIN("; ",TRUE,IF(AND(R445&lt;&gt;"",V445=""),"нет фазы",""),IF(AND(R445&lt;&gt;"",N(T445)=0),"нет мощности",""),IF(AND(P445&lt;&gt;"",COUNTIFS($A$3:$A$1000,A445,$P$3:$P$1000,P445)&gt;1),"дубль клеммы "&amp;P445,""),IF(AND(W445&lt;&gt;"",W445&lt;&gt;"ok"),W445,""),IF(X445&lt;&gt;"",X445,""),IF(AND(ISNUMBER(SEARCH("(5х",Q445)),N(AK445)=1),"5 жил на 1 фазе",""),IF(AND(AL445="R",E445&lt;&gt;"",N(AS445)=0),"розетка без 30 мА",""),IF(IFERROR(_xlfn.NUMBERVALUE(MID(Q445,FIND("-",Q445,FIND("L=",Q445))+1,FIND("%",Q445)-FIND("-",Q445,FIND("L=",Q445))-1),","),0)&gt;4,"потери &gt; 4 %","")))</f>
      </c>
      <c r="AF445" s="129">
        <f>IF(E445&lt;&gt;"",COUNTIFS($A$3:A445,A445,$E$3:E445,"?*"),IF(OR(A445&lt;&gt;A444,Y445="вручную"),"",AF444))</f>
      </c>
      <c r="AG445" s="129">
        <f t="shared" si="265"/>
      </c>
      <c r="AH445" s="129">
        <f t="shared" si="266"/>
        <v/>
      </c>
      <c r="AI445" s="129">
        <f t="shared" si="267"/>
        <v/>
      </c>
      <c r="AJ445" s="129">
        <f t="shared" si="268"/>
        <v/>
      </c>
      <c r="AK445" s="129">
        <f t="shared" si="269"/>
        <v/>
      </c>
      <c r="AL445" s="129">
        <f t="shared" si="270"/>
        <v/>
      </c>
      <c r="AM445" s="129">
        <f t="shared" si="271"/>
      </c>
      <c r="AN445" s="129">
        <f t="shared" si="272"/>
      </c>
      <c r="AO445" s="129">
        <f t="shared" si="273"/>
        <v/>
      </c>
      <c r="AP445" s="129">
        <f t="shared" si="274"/>
        <v/>
      </c>
      <c r="AQ445" s="129">
        <f t="shared" si="275"/>
        <v/>
      </c>
      <c r="AR445" s="129">
        <f t="shared" si="276"/>
        <v/>
      </c>
      <c r="AS445" s="129">
        <f t="shared" si="277"/>
        <v/>
      </c>
      <c r="AT445" s="129">
        <f t="shared" si="278"/>
        <v/>
      </c>
      <c r="AU445" s="129">
        <f t="shared" si="279"/>
        <v/>
      </c>
      <c r="AV445" s="129">
        <f t="shared" si="280"/>
        <v/>
      </c>
      <c r="AW445" s="129">
        <f>IF(AV445="","",AV445&amp;"."&amp;COUNTIFS($A$3:A445,A445,$AV$3:AV445,AV445))</f>
        <v/>
      </c>
      <c r="AX445" s="129">
        <f t="shared" si="281"/>
        <v/>
      </c>
      <c r="AY445" s="129">
        <f>IF(N445="б/к",0,IF(OR(ISNUMBER(SEARCH("L=",Разбивка_по_щитам!P445)),N445="+",N445="="),1,0))</f>
      </c>
      <c r="AZ445" s="129">
        <f t="shared" si="282"/>
      </c>
      <c r="BA445" s="129">
        <f t="shared" si="283"/>
      </c>
      <c r="BB445" s="129">
        <f t="shared" si="284"/>
      </c>
      <c r="BD445" s="129">
        <f t="shared" si="285"/>
      </c>
      <c r="BE445" s="129">
        <f t="shared" si="286"/>
      </c>
      <c r="BF445" s="129">
        <f t="shared" si="287"/>
      </c>
      <c r="BG445" s="129">
        <f t="shared" si="288"/>
        <v/>
      </c>
      <c r="BH445" s="129">
        <f t="shared" si="289"/>
        <v/>
      </c>
      <c r="BI445" s="129">
        <f t="shared" si="290"/>
        <v/>
      </c>
      <c r="BJ445" s="129">
        <f t="shared" si="291"/>
        <v/>
      </c>
      <c r="BK445" s="129">
        <f>IF(R445="","",IF(OR(BY445="",BY445=0),"BOX",IFERROR(IF(VLOOKUP(BY445,УГО_блоки,3,FALSE)&amp;""&lt;&gt;"",VLOOKUP(BY445,УГО_блоки,3,FALSE),VLOOKUP(BY445,УГО_блоки,2,FALSE)),BY445)))</f>
      </c>
      <c r="BL445" s="129">
        <f t="shared" si="293"/>
      </c>
      <c r="BM445" s="129">
        <f>IF(H445="","",IF(COUNTIF($H$3:H445,H445)=1,MAX($BM$2:BM444)+1,""))</f>
      </c>
      <c r="BN445" s="129">
        <f>IF(I445="","",IF(COUNTIF($I$3:I445,I445)+COUNTIF($J$2:J444,I445)+COUNTIF($K$2:K444,I445)=1,MAX($BN$2:BP444)+1,""))</f>
      </c>
      <c r="BO445" s="129">
        <f>IF(J445="","",IF(COUNTIF($I$3:I445,J445)+COUNTIF($J$3:J445,J445)+COUNTIF($K$2:K444,J445)=1,MAX($BN$2:BP444,BN445)+1,""))</f>
      </c>
      <c r="BP445" s="129">
        <f>IF(K445="","",IF(COUNTIF($I$3:I445,K445)+COUNTIF($J$3:J445,K445)+COUNTIF($K$3:K445,K445)=1,MAX($BN$2:BP444,BN445,BO445)+1,""))</f>
      </c>
      <c r="BQ445" s="129">
        <f>IF(AY445=1,IFERROR(MID(Q445,FIND(" (",Q445)+2,FIND(")",Q445,FIND(" (",Q445))-FIND(" (",Q445)-2),"?"),"")</f>
      </c>
      <c r="BR445" s="129">
        <f>IF(BQ445="","",IF(COUNTIF($BQ$3:BQ445,BQ445)=1,MAX($BR$2:BR444)+1,""))</f>
      </c>
      <c r="BS445" s="129">
        <f>IF(AW445="","",COUNTIF($AW$3:AW445,"?*"))</f>
      </c>
      <c r="BT445" s="129">
        <f>IF(OR(AW445="",AI445=""),"",IF(COUNTIFS($AW$3:AW445,"?*",$AI$3:AI445,AI445)=1,MAX($BT$2:BT444)+1,""))</f>
      </c>
      <c r="BU445" s="129">
        <f>IF(AE445="",0,IF(OR(ISNUMBER(SEARCH("дубль",AE445)),ISNUMBER(SEARCH("ПЕРЕГРУЗ",AE445)),ISNUMBER(SEARCH("ЗАЩИЩ",AE445)),ISNUMBER(SEARCH("КАНАЛ",AE445)),ISNUMBER(SEARCH("без 30",AE445))),2,1))</f>
      </c>
      <c r="BV445" s="129">
        <f>IF(R445="","",COUNTIF($R$3:R445,"?*"))</f>
      </c>
      <c r="BW445" s="129">
        <f>IF(AY445&lt;&gt;1,0,IF(MAX(IFERROR(--VLOOKUP(R445,УГО_спр,5,FALSE),0),IFERROR(--VLOOKUP(AL445,УГО_спр,5,FALSE),0),IFERROR(--VLOOKUP(LEFT(AL445,2),УГО_спр,5,FALSE),0))&gt;0,MAX(IFERROR(--VLOOKUP(R445,УГО_спр,5,FALSE),0),IFERROR(--VLOOKUP(AL445,УГО_спр,5,FALSE),0),IFERROR(--VLOOKUP(LEFT(AL445,2),УГО_спр,5,FALSE),0)),IF(IFERROR(--LEFT(SUBSTITUTE(BQ445,"x","х"),FIND("х",SUBSTITUTE(BQ445,"x","х"))-1),3)&gt;3,Каталог!$S$9,1)))</f>
      </c>
      <c r="BX445" s="129">
        <f>IF(AY445&lt;&gt;1,0,MAX(0,IFERROR(--LEFT(SUBSTITUTE(BQ445,"x","х"),FIND("х",SUBSTITUTE(BQ445,"x","х"))-1),3)-3*BW445))</f>
      </c>
      <c r="BY445" s="129">
        <f>IF(R445="","",IFERROR(VLOOKUP(R445,УГО_спр,2,FALSE),IFERROR(VLOOKUP(AL445,УГО_спр,2,FALSE),IFERROR(VLOOKUP(LEFT(AL445,2),УГО_спр,2,FALSE),""))))</f>
      </c>
    </row>
    <row r="446" spans="1:64" x14ac:dyDescent="0.3">
      <c r="A446" s="135">
        <f>IF(Разбивка_по_щитам!F446=0,"",Разбивка_по_щитам!F446)</f>
      </c>
      <c r="B446" s="138">
        <f>IF(A446="","",Разбивка_по_щитам!C446)</f>
      </c>
      <c r="C446" s="138">
        <f t="shared" si="258"/>
      </c>
      <c r="D446" s="266"/>
      <c r="E446" s="266"/>
      <c r="F446" s="267"/>
      <c r="G446" s="145">
        <f t="shared" si="298"/>
        <v/>
      </c>
      <c r="H446" s="145">
        <f t="shared" si="299"/>
        <v/>
      </c>
      <c r="I446" s="266"/>
      <c r="J446" s="267"/>
      <c r="K446" s="267"/>
      <c r="L446" s="266"/>
      <c r="M446" s="147">
        <f t="shared" si="300"/>
        <v/>
      </c>
      <c r="N446" s="267"/>
      <c r="O446" s="147">
        <f t="shared" si="301"/>
        <v/>
      </c>
      <c r="P446" s="268">
        <f>IF(AY446=1,"XT"&amp;COUNTIFS($A$3:A446,A446,$AY$3:AY446,1),"")</f>
        <v/>
      </c>
      <c r="Q446" s="152">
        <f>IF(R446="","",IFERROR(SUBSTITUTE(Разбивка_по_щитам!P446,CHAR(10)," "),""))</f>
        <v/>
      </c>
      <c r="R446" s="153">
        <f>IF(OR(Разбивка_по_щитам!H446="",Разбивка_по_щитам!H446=0),"",Разбивка_по_щитам!H446)</f>
        <v/>
      </c>
      <c r="S446" s="154">
        <f>IF(R446="","",IFERROR(Разбивка_по_щитам!J446&amp;"",""))</f>
        <v/>
      </c>
      <c r="T446" s="155">
        <f>IF(R446="","",IFERROR(--Разбивка_по_щитам!L446,""))</f>
        <v/>
      </c>
      <c r="U446" s="155">
        <f>IF(R446="","",IFERROR(--Разбивка_по_щитам!K446,""))</f>
        <v/>
      </c>
      <c r="V446" s="138">
        <f>IF(R446="","",IFERROR(IF(Разбивка_по_щитам!M446=0,"",Разбивка_по_щитам!M446),""))</f>
        <v/>
      </c>
      <c r="W446" s="156">
        <f t="shared" si="259"/>
        <v/>
      </c>
      <c r="X446" s="157">
        <f t="shared" si="260"/>
        <v/>
      </c>
      <c r="Y446" s="266"/>
      <c r="Z446" s="158">
        <f t="shared" si="261"/>
        <v/>
      </c>
      <c r="AA446" s="160">
        <f t="shared" si="262"/>
        <v/>
      </c>
      <c r="AB446" s="160">
        <f>IF(R446="","",IFERROR(LOOKUP(INDEX(Справочная!$I$4:$I$19,MATCH(VLOOKUP(R446,Исходные_данные,22,FALSE),Справочная!$J$4:$J$19,0)+1),{6,10,16,20,25,32,40,50,63,80,100,125}),""))</f>
        <v/>
      </c>
      <c r="AC446" s="160">
        <f t="shared" si="263"/>
        <v/>
      </c>
      <c r="AD446" s="161">
        <f t="shared" si="264"/>
        <v/>
      </c>
      <c r="AE446" s="161">
        <f>IF(AND(R446="",G446=""),"",_xlfn.TEXTJOIN("; ",TRUE,IF(AND(R446&lt;&gt;"",V446=""),"нет фазы",""),IF(AND(R446&lt;&gt;"",N(T446)=0),"нет мощности",""),IF(AND(P446&lt;&gt;"",COUNTIFS($A$3:$A$1000,A446,$P$3:$P$1000,P446)&gt;1),"дубль клеммы "&amp;P446,""),IF(AND(W446&lt;&gt;"",W446&lt;&gt;"ok"),W446,""),IF(X446&lt;&gt;"",X446,""),IF(AND(ISNUMBER(SEARCH("(5х",Q446)),N(AK446)=1),"5 жил на 1 фазе",""),IF(AND(AL446="R",E446&lt;&gt;"",N(AS446)=0),"розетка без 30 мА",""),IF(IFERROR(_xlfn.NUMBERVALUE(MID(Q446,FIND("-",Q446,FIND("L=",Q446))+1,FIND("%",Q446)-FIND("-",Q446,FIND("L=",Q446))-1),","),0)&gt;4,"потери &gt; 4 %","")))</f>
      </c>
      <c r="AF446" s="129">
        <f>IF(E446&lt;&gt;"",COUNTIFS($A$3:A446,A446,$E$3:E446,"?*"),IF(OR(A446&lt;&gt;A445,Y446="вручную"),"",AF445))</f>
      </c>
      <c r="AG446" s="129">
        <f t="shared" si="265"/>
      </c>
      <c r="AH446" s="129">
        <f t="shared" si="266"/>
        <v/>
      </c>
      <c r="AI446" s="129">
        <f t="shared" si="267"/>
        <v/>
      </c>
      <c r="AJ446" s="129">
        <f t="shared" si="268"/>
        <v/>
      </c>
      <c r="AK446" s="129">
        <f t="shared" si="269"/>
        <v/>
      </c>
      <c r="AL446" s="129">
        <f t="shared" si="270"/>
        <v/>
      </c>
      <c r="AM446" s="129">
        <f t="shared" si="271"/>
      </c>
      <c r="AN446" s="129">
        <f t="shared" si="272"/>
      </c>
      <c r="AO446" s="129">
        <f t="shared" si="273"/>
        <v/>
      </c>
      <c r="AP446" s="129">
        <f t="shared" si="274"/>
        <v/>
      </c>
      <c r="AQ446" s="129">
        <f t="shared" si="275"/>
        <v/>
      </c>
      <c r="AR446" s="129">
        <f t="shared" si="276"/>
        <v/>
      </c>
      <c r="AS446" s="129">
        <f t="shared" si="277"/>
        <v/>
      </c>
      <c r="AT446" s="129">
        <f t="shared" si="278"/>
        <v/>
      </c>
      <c r="AU446" s="129">
        <f t="shared" si="279"/>
        <v/>
      </c>
      <c r="AV446" s="129">
        <f t="shared" si="280"/>
        <v/>
      </c>
      <c r="AW446" s="129">
        <f>IF(AV446="","",AV446&amp;"."&amp;COUNTIFS($A$3:A446,A446,$AV$3:AV446,AV446))</f>
        <v/>
      </c>
      <c r="AX446" s="129">
        <f t="shared" si="281"/>
        <v/>
      </c>
      <c r="AY446" s="129">
        <f>IF(N446="б/к",0,IF(OR(ISNUMBER(SEARCH("L=",Разбивка_по_щитам!P446)),N446="+",N446="="),1,0))</f>
      </c>
      <c r="AZ446" s="129">
        <f t="shared" si="282"/>
      </c>
      <c r="BA446" s="129">
        <f t="shared" si="283"/>
      </c>
      <c r="BB446" s="129">
        <f t="shared" si="284"/>
      </c>
      <c r="BD446" s="129">
        <f t="shared" si="285"/>
      </c>
      <c r="BE446" s="129">
        <f t="shared" si="286"/>
      </c>
      <c r="BF446" s="129">
        <f t="shared" si="287"/>
      </c>
      <c r="BG446" s="129">
        <f t="shared" si="288"/>
        <v/>
      </c>
      <c r="BH446" s="129">
        <f t="shared" si="289"/>
        <v/>
      </c>
      <c r="BI446" s="129">
        <f t="shared" si="290"/>
        <v/>
      </c>
      <c r="BJ446" s="129">
        <f t="shared" si="291"/>
        <v/>
      </c>
      <c r="BK446" s="129">
        <f>IF(R446="","",IF(OR(BY446="",BY446=0),"BOX",IFERROR(IF(VLOOKUP(BY446,УГО_блоки,3,FALSE)&amp;""&lt;&gt;"",VLOOKUP(BY446,УГО_блоки,3,FALSE),VLOOKUP(BY446,УГО_блоки,2,FALSE)),BY446)))</f>
      </c>
      <c r="BL446" s="129">
        <f t="shared" si="293"/>
      </c>
      <c r="BM446" s="129">
        <f>IF(H446="","",IF(COUNTIF($H$3:H446,H446)=1,MAX($BM$2:BM445)+1,""))</f>
      </c>
      <c r="BN446" s="129">
        <f>IF(I446="","",IF(COUNTIF($I$3:I446,I446)+COUNTIF($J$2:J445,I446)+COUNTIF($K$2:K445,I446)=1,MAX($BN$2:BP445)+1,""))</f>
      </c>
      <c r="BO446" s="129">
        <f>IF(J446="","",IF(COUNTIF($I$3:I446,J446)+COUNTIF($J$3:J446,J446)+COUNTIF($K$2:K445,J446)=1,MAX($BN$2:BP445,BN446)+1,""))</f>
      </c>
      <c r="BP446" s="129">
        <f>IF(K446="","",IF(COUNTIF($I$3:I446,K446)+COUNTIF($J$3:J446,K446)+COUNTIF($K$3:K446,K446)=1,MAX($BN$2:BP445,BN446,BO446)+1,""))</f>
      </c>
      <c r="BQ446" s="129">
        <f>IF(AY446=1,IFERROR(MID(Q446,FIND(" (",Q446)+2,FIND(")",Q446,FIND(" (",Q446))-FIND(" (",Q446)-2),"?"),"")</f>
      </c>
      <c r="BR446" s="129">
        <f>IF(BQ446="","",IF(COUNTIF($BQ$3:BQ446,BQ446)=1,MAX($BR$2:BR445)+1,""))</f>
      </c>
      <c r="BS446" s="129">
        <f>IF(AW446="","",COUNTIF($AW$3:AW446,"?*"))</f>
      </c>
      <c r="BT446" s="129">
        <f>IF(OR(AW446="",AI446=""),"",IF(COUNTIFS($AW$3:AW446,"?*",$AI$3:AI446,AI446)=1,MAX($BT$2:BT445)+1,""))</f>
      </c>
      <c r="BU446" s="129">
        <f>IF(AE446="",0,IF(OR(ISNUMBER(SEARCH("дубль",AE446)),ISNUMBER(SEARCH("ПЕРЕГРУЗ",AE446)),ISNUMBER(SEARCH("ЗАЩИЩ",AE446)),ISNUMBER(SEARCH("КАНАЛ",AE446)),ISNUMBER(SEARCH("без 30",AE446))),2,1))</f>
      </c>
      <c r="BV446" s="129">
        <f>IF(R446="","",COUNTIF($R$3:R446,"?*"))</f>
      </c>
      <c r="BW446" s="129">
        <f>IF(AY446&lt;&gt;1,0,IF(MAX(IFERROR(--VLOOKUP(R446,УГО_спр,5,FALSE),0),IFERROR(--VLOOKUP(AL446,УГО_спр,5,FALSE),0),IFERROR(--VLOOKUP(LEFT(AL446,2),УГО_спр,5,FALSE),0))&gt;0,MAX(IFERROR(--VLOOKUP(R446,УГО_спр,5,FALSE),0),IFERROR(--VLOOKUP(AL446,УГО_спр,5,FALSE),0),IFERROR(--VLOOKUP(LEFT(AL446,2),УГО_спр,5,FALSE),0)),IF(IFERROR(--LEFT(SUBSTITUTE(BQ446,"x","х"),FIND("х",SUBSTITUTE(BQ446,"x","х"))-1),3)&gt;3,Каталог!$S$9,1)))</f>
      </c>
      <c r="BX446" s="129">
        <f>IF(AY446&lt;&gt;1,0,MAX(0,IFERROR(--LEFT(SUBSTITUTE(BQ446,"x","х"),FIND("х",SUBSTITUTE(BQ446,"x","х"))-1),3)-3*BW446))</f>
      </c>
      <c r="BY446" s="129">
        <f>IF(R446="","",IFERROR(VLOOKUP(R446,УГО_спр,2,FALSE),IFERROR(VLOOKUP(AL446,УГО_спр,2,FALSE),IFERROR(VLOOKUP(LEFT(AL446,2),УГО_спр,2,FALSE),""))))</f>
      </c>
    </row>
    <row r="447" spans="1:64" x14ac:dyDescent="0.3">
      <c r="A447" s="135">
        <f>IF(Разбивка_по_щитам!F447=0,"",Разбивка_по_щитам!F447)</f>
      </c>
      <c r="B447" s="138">
        <f>IF(A447="","",Разбивка_по_щитам!C447)</f>
      </c>
      <c r="C447" s="138">
        <f t="shared" si="258"/>
      </c>
      <c r="D447" s="266"/>
      <c r="E447" s="266"/>
      <c r="F447" s="267"/>
      <c r="G447" s="145">
        <f t="shared" si="298"/>
        <v/>
      </c>
      <c r="H447" s="145">
        <f t="shared" si="299"/>
        <v/>
      </c>
      <c r="I447" s="266"/>
      <c r="J447" s="267"/>
      <c r="K447" s="267"/>
      <c r="L447" s="266"/>
      <c r="M447" s="147">
        <f t="shared" si="300"/>
        <v/>
      </c>
      <c r="N447" s="267"/>
      <c r="O447" s="147">
        <f t="shared" si="301"/>
        <v/>
      </c>
      <c r="P447" s="268">
        <f>IF(AY447=1,"XT"&amp;COUNTIFS($A$3:A447,A447,$AY$3:AY447,1),"")</f>
        <v/>
      </c>
      <c r="Q447" s="152">
        <f>IF(R447="","",IFERROR(SUBSTITUTE(Разбивка_по_щитам!P447,CHAR(10)," "),""))</f>
        <v/>
      </c>
      <c r="R447" s="153">
        <f>IF(OR(Разбивка_по_щитам!H447="",Разбивка_по_щитам!H447=0),"",Разбивка_по_щитам!H447)</f>
        <v/>
      </c>
      <c r="S447" s="154">
        <f>IF(R447="","",IFERROR(Разбивка_по_щитам!J447&amp;"",""))</f>
        <v/>
      </c>
      <c r="T447" s="155">
        <f>IF(R447="","",IFERROR(--Разбивка_по_щитам!L447,""))</f>
        <v/>
      </c>
      <c r="U447" s="155">
        <f>IF(R447="","",IFERROR(--Разбивка_по_щитам!K447,""))</f>
        <v/>
      </c>
      <c r="V447" s="138">
        <f>IF(R447="","",IFERROR(IF(Разбивка_по_щитам!M447=0,"",Разбивка_по_щитам!M447),""))</f>
        <v/>
      </c>
      <c r="W447" s="156">
        <f t="shared" si="259"/>
        <v/>
      </c>
      <c r="X447" s="157">
        <f t="shared" si="260"/>
        <v/>
      </c>
      <c r="Y447" s="266"/>
      <c r="Z447" s="158">
        <f t="shared" si="261"/>
        <v/>
      </c>
      <c r="AA447" s="160">
        <f t="shared" si="262"/>
        <v/>
      </c>
      <c r="AB447" s="160">
        <f>IF(R447="","",IFERROR(LOOKUP(INDEX(Справочная!$I$4:$I$19,MATCH(VLOOKUP(R447,Исходные_данные,22,FALSE),Справочная!$J$4:$J$19,0)+1),{6,10,16,20,25,32,40,50,63,80,100,125}),""))</f>
        <v/>
      </c>
      <c r="AC447" s="160">
        <f t="shared" si="263"/>
        <v/>
      </c>
      <c r="AD447" s="161">
        <f t="shared" si="264"/>
        <v/>
      </c>
      <c r="AE447" s="161">
        <f>IF(AND(R447="",G447=""),"",_xlfn.TEXTJOIN("; ",TRUE,IF(AND(R447&lt;&gt;"",V447=""),"нет фазы",""),IF(AND(R447&lt;&gt;"",N(T447)=0),"нет мощности",""),IF(AND(P447&lt;&gt;"",COUNTIFS($A$3:$A$1000,A447,$P$3:$P$1000,P447)&gt;1),"дубль клеммы "&amp;P447,""),IF(AND(W447&lt;&gt;"",W447&lt;&gt;"ok"),W447,""),IF(X447&lt;&gt;"",X447,""),IF(AND(ISNUMBER(SEARCH("(5х",Q447)),N(AK447)=1),"5 жил на 1 фазе",""),IF(AND(AL447="R",E447&lt;&gt;"",N(AS447)=0),"розетка без 30 мА",""),IF(IFERROR(_xlfn.NUMBERVALUE(MID(Q447,FIND("-",Q447,FIND("L=",Q447))+1,FIND("%",Q447)-FIND("-",Q447,FIND("L=",Q447))-1),","),0)&gt;4,"потери &gt; 4 %","")))</f>
      </c>
      <c r="AF447" s="129">
        <f>IF(E447&lt;&gt;"",COUNTIFS($A$3:A447,A447,$E$3:E447,"?*"),IF(OR(A447&lt;&gt;A446,Y447="вручную"),"",AF446))</f>
      </c>
      <c r="AG447" s="129">
        <f t="shared" si="265"/>
      </c>
      <c r="AH447" s="129">
        <f t="shared" si="266"/>
        <v/>
      </c>
      <c r="AI447" s="129">
        <f t="shared" si="267"/>
        <v/>
      </c>
      <c r="AJ447" s="129">
        <f t="shared" si="268"/>
        <v/>
      </c>
      <c r="AK447" s="129">
        <f t="shared" si="269"/>
        <v/>
      </c>
      <c r="AL447" s="129">
        <f t="shared" si="270"/>
        <v/>
      </c>
      <c r="AM447" s="129">
        <f t="shared" si="271"/>
      </c>
      <c r="AN447" s="129">
        <f t="shared" si="272"/>
      </c>
      <c r="AO447" s="129">
        <f t="shared" si="273"/>
        <v/>
      </c>
      <c r="AP447" s="129">
        <f t="shared" si="274"/>
        <v/>
      </c>
      <c r="AQ447" s="129">
        <f t="shared" si="275"/>
        <v/>
      </c>
      <c r="AR447" s="129">
        <f t="shared" si="276"/>
        <v/>
      </c>
      <c r="AS447" s="129">
        <f t="shared" si="277"/>
        <v/>
      </c>
      <c r="AT447" s="129">
        <f t="shared" si="278"/>
        <v/>
      </c>
      <c r="AU447" s="129">
        <f t="shared" si="279"/>
        <v/>
      </c>
      <c r="AV447" s="129">
        <f t="shared" si="280"/>
        <v/>
      </c>
      <c r="AW447" s="129">
        <f>IF(AV447="","",AV447&amp;"."&amp;COUNTIFS($A$3:A447,A447,$AV$3:AV447,AV447))</f>
        <v/>
      </c>
      <c r="AX447" s="129">
        <f t="shared" si="281"/>
        <v/>
      </c>
      <c r="AY447" s="129">
        <f>IF(N447="б/к",0,IF(OR(ISNUMBER(SEARCH("L=",Разбивка_по_щитам!P447)),N447="+",N447="="),1,0))</f>
      </c>
      <c r="AZ447" s="129">
        <f t="shared" si="282"/>
      </c>
      <c r="BA447" s="129">
        <f t="shared" si="283"/>
      </c>
      <c r="BB447" s="129">
        <f t="shared" si="284"/>
      </c>
      <c r="BD447" s="129">
        <f t="shared" si="285"/>
      </c>
      <c r="BE447" s="129">
        <f t="shared" si="286"/>
      </c>
      <c r="BF447" s="129">
        <f t="shared" si="287"/>
      </c>
      <c r="BG447" s="129">
        <f t="shared" si="288"/>
        <v/>
      </c>
      <c r="BH447" s="129">
        <f t="shared" si="289"/>
        <v/>
      </c>
      <c r="BI447" s="129">
        <f t="shared" si="290"/>
        <v/>
      </c>
      <c r="BJ447" s="129">
        <f t="shared" si="291"/>
        <v/>
      </c>
      <c r="BK447" s="129">
        <f>IF(R447="","",IF(OR(BY447="",BY447=0),"BOX",IFERROR(IF(VLOOKUP(BY447,УГО_блоки,3,FALSE)&amp;""&lt;&gt;"",VLOOKUP(BY447,УГО_блоки,3,FALSE),VLOOKUP(BY447,УГО_блоки,2,FALSE)),BY447)))</f>
      </c>
      <c r="BL447" s="129">
        <f t="shared" si="293"/>
      </c>
      <c r="BM447" s="129">
        <f>IF(H447="","",IF(COUNTIF($H$3:H447,H447)=1,MAX($BM$2:BM446)+1,""))</f>
      </c>
      <c r="BN447" s="129">
        <f>IF(I447="","",IF(COUNTIF($I$3:I447,I447)+COUNTIF($J$2:J446,I447)+COUNTIF($K$2:K446,I447)=1,MAX($BN$2:BP446)+1,""))</f>
      </c>
      <c r="BO447" s="129">
        <f>IF(J447="","",IF(COUNTIF($I$3:I447,J447)+COUNTIF($J$3:J447,J447)+COUNTIF($K$2:K446,J447)=1,MAX($BN$2:BP446,BN447)+1,""))</f>
      </c>
      <c r="BP447" s="129">
        <f>IF(K447="","",IF(COUNTIF($I$3:I447,K447)+COUNTIF($J$3:J447,K447)+COUNTIF($K$3:K447,K447)=1,MAX($BN$2:BP446,BN447,BO447)+1,""))</f>
      </c>
      <c r="BQ447" s="129">
        <f>IF(AY447=1,IFERROR(MID(Q447,FIND(" (",Q447)+2,FIND(")",Q447,FIND(" (",Q447))-FIND(" (",Q447)-2),"?"),"")</f>
      </c>
      <c r="BR447" s="129">
        <f>IF(BQ447="","",IF(COUNTIF($BQ$3:BQ447,BQ447)=1,MAX($BR$2:BR446)+1,""))</f>
      </c>
      <c r="BS447" s="129">
        <f>IF(AW447="","",COUNTIF($AW$3:AW447,"?*"))</f>
      </c>
      <c r="BT447" s="129">
        <f>IF(OR(AW447="",AI447=""),"",IF(COUNTIFS($AW$3:AW447,"?*",$AI$3:AI447,AI447)=1,MAX($BT$2:BT446)+1,""))</f>
      </c>
      <c r="BU447" s="129">
        <f>IF(AE447="",0,IF(OR(ISNUMBER(SEARCH("дубль",AE447)),ISNUMBER(SEARCH("ПЕРЕГРУЗ",AE447)),ISNUMBER(SEARCH("ЗАЩИЩ",AE447)),ISNUMBER(SEARCH("КАНАЛ",AE447)),ISNUMBER(SEARCH("без 30",AE447))),2,1))</f>
      </c>
      <c r="BV447" s="129">
        <f>IF(R447="","",COUNTIF($R$3:R447,"?*"))</f>
      </c>
      <c r="BW447" s="129">
        <f>IF(AY447&lt;&gt;1,0,IF(MAX(IFERROR(--VLOOKUP(R447,УГО_спр,5,FALSE),0),IFERROR(--VLOOKUP(AL447,УГО_спр,5,FALSE),0),IFERROR(--VLOOKUP(LEFT(AL447,2),УГО_спр,5,FALSE),0))&gt;0,MAX(IFERROR(--VLOOKUP(R447,УГО_спр,5,FALSE),0),IFERROR(--VLOOKUP(AL447,УГО_спр,5,FALSE),0),IFERROR(--VLOOKUP(LEFT(AL447,2),УГО_спр,5,FALSE),0)),IF(IFERROR(--LEFT(SUBSTITUTE(BQ447,"x","х"),FIND("х",SUBSTITUTE(BQ447,"x","х"))-1),3)&gt;3,Каталог!$S$9,1)))</f>
      </c>
      <c r="BX447" s="129">
        <f>IF(AY447&lt;&gt;1,0,MAX(0,IFERROR(--LEFT(SUBSTITUTE(BQ447,"x","х"),FIND("х",SUBSTITUTE(BQ447,"x","х"))-1),3)-3*BW447))</f>
      </c>
      <c r="BY447" s="129">
        <f>IF(R447="","",IFERROR(VLOOKUP(R447,УГО_спр,2,FALSE),IFERROR(VLOOKUP(AL447,УГО_спр,2,FALSE),IFERROR(VLOOKUP(LEFT(AL447,2),УГО_спр,2,FALSE),""))))</f>
      </c>
    </row>
    <row r="448" spans="1:64" x14ac:dyDescent="0.3">
      <c r="A448" s="135">
        <f>IF(Разбивка_по_щитам!F448=0,"",Разбивка_по_щитам!F448)</f>
      </c>
      <c r="B448" s="138">
        <f>IF(A448="","",Разбивка_по_щитам!C448)</f>
      </c>
      <c r="C448" s="138">
        <f t="shared" si="258"/>
      </c>
      <c r="D448" s="266"/>
      <c r="E448" s="266"/>
      <c r="F448" s="267"/>
      <c r="G448" s="145">
        <f t="shared" si="298"/>
        <v/>
      </c>
      <c r="H448" s="145">
        <f t="shared" si="299"/>
        <v/>
      </c>
      <c r="I448" s="266"/>
      <c r="J448" s="267"/>
      <c r="K448" s="267"/>
      <c r="L448" s="266"/>
      <c r="M448" s="147">
        <f t="shared" si="300"/>
        <v/>
      </c>
      <c r="N448" s="267"/>
      <c r="O448" s="147">
        <f t="shared" si="301"/>
        <v/>
      </c>
      <c r="P448" s="268">
        <f>IF(AY448=1,"XT"&amp;COUNTIFS($A$3:A448,A448,$AY$3:AY448,1),"")</f>
        <v/>
      </c>
      <c r="Q448" s="152">
        <f>IF(R448="","",IFERROR(SUBSTITUTE(Разбивка_по_щитам!P448,CHAR(10)," "),""))</f>
        <v/>
      </c>
      <c r="R448" s="153">
        <f>IF(OR(Разбивка_по_щитам!H448="",Разбивка_по_щитам!H448=0),"",Разбивка_по_щитам!H448)</f>
        <v/>
      </c>
      <c r="S448" s="154">
        <f>IF(R448="","",IFERROR(Разбивка_по_щитам!J448&amp;"",""))</f>
        <v/>
      </c>
      <c r="T448" s="155">
        <f>IF(R448="","",IFERROR(--Разбивка_по_щитам!L448,""))</f>
        <v/>
      </c>
      <c r="U448" s="155">
        <f>IF(R448="","",IFERROR(--Разбивка_по_щитам!K448,""))</f>
        <v/>
      </c>
      <c r="V448" s="138">
        <f>IF(R448="","",IFERROR(IF(Разбивка_по_щитам!M448=0,"",Разбивка_по_щитам!M448),""))</f>
        <v/>
      </c>
      <c r="W448" s="156">
        <f t="shared" si="259"/>
        <v/>
      </c>
      <c r="X448" s="157">
        <f t="shared" si="260"/>
        <v/>
      </c>
      <c r="Y448" s="266"/>
      <c r="Z448" s="158">
        <f t="shared" si="261"/>
        <v/>
      </c>
      <c r="AA448" s="160">
        <f t="shared" si="262"/>
        <v/>
      </c>
      <c r="AB448" s="160">
        <f>IF(R448="","",IFERROR(LOOKUP(INDEX(Справочная!$I$4:$I$19,MATCH(VLOOKUP(R448,Исходные_данные,22,FALSE),Справочная!$J$4:$J$19,0)+1),{6,10,16,20,25,32,40,50,63,80,100,125}),""))</f>
        <v/>
      </c>
      <c r="AC448" s="160">
        <f t="shared" si="263"/>
        <v/>
      </c>
      <c r="AD448" s="161">
        <f t="shared" si="264"/>
        <v/>
      </c>
      <c r="AE448" s="161">
        <f>IF(AND(R448="",G448=""),"",_xlfn.TEXTJOIN("; ",TRUE,IF(AND(R448&lt;&gt;"",V448=""),"нет фазы",""),IF(AND(R448&lt;&gt;"",N(T448)=0),"нет мощности",""),IF(AND(P448&lt;&gt;"",COUNTIFS($A$3:$A$1000,A448,$P$3:$P$1000,P448)&gt;1),"дубль клеммы "&amp;P448,""),IF(AND(W448&lt;&gt;"",W448&lt;&gt;"ok"),W448,""),IF(X448&lt;&gt;"",X448,""),IF(AND(ISNUMBER(SEARCH("(5х",Q448)),N(AK448)=1),"5 жил на 1 фазе",""),IF(AND(AL448="R",E448&lt;&gt;"",N(AS448)=0),"розетка без 30 мА",""),IF(IFERROR(_xlfn.NUMBERVALUE(MID(Q448,FIND("-",Q448,FIND("L=",Q448))+1,FIND("%",Q448)-FIND("-",Q448,FIND("L=",Q448))-1),","),0)&gt;4,"потери &gt; 4 %","")))</f>
      </c>
      <c r="AF448" s="129">
        <f>IF(E448&lt;&gt;"",COUNTIFS($A$3:A448,A448,$E$3:E448,"?*"),IF(OR(A448&lt;&gt;A447,Y448="вручную"),"",AF447))</f>
      </c>
      <c r="AG448" s="129">
        <f t="shared" si="265"/>
      </c>
      <c r="AH448" s="129">
        <f t="shared" si="266"/>
        <v/>
      </c>
      <c r="AI448" s="129">
        <f t="shared" si="267"/>
        <v/>
      </c>
      <c r="AJ448" s="129">
        <f t="shared" si="268"/>
        <v/>
      </c>
      <c r="AK448" s="129">
        <f t="shared" si="269"/>
        <v/>
      </c>
      <c r="AL448" s="129">
        <f t="shared" si="270"/>
        <v/>
      </c>
      <c r="AM448" s="129">
        <f t="shared" si="271"/>
      </c>
      <c r="AN448" s="129">
        <f t="shared" si="272"/>
      </c>
      <c r="AO448" s="129">
        <f t="shared" si="273"/>
        <v/>
      </c>
      <c r="AP448" s="129">
        <f t="shared" si="274"/>
        <v/>
      </c>
      <c r="AQ448" s="129">
        <f t="shared" si="275"/>
        <v/>
      </c>
      <c r="AR448" s="129">
        <f t="shared" si="276"/>
        <v/>
      </c>
      <c r="AS448" s="129">
        <f t="shared" si="277"/>
        <v/>
      </c>
      <c r="AT448" s="129">
        <f t="shared" si="278"/>
        <v/>
      </c>
      <c r="AU448" s="129">
        <f t="shared" si="279"/>
        <v/>
      </c>
      <c r="AV448" s="129">
        <f t="shared" si="280"/>
        <v/>
      </c>
      <c r="AW448" s="129">
        <f>IF(AV448="","",AV448&amp;"."&amp;COUNTIFS($A$3:A448,A448,$AV$3:AV448,AV448))</f>
        <v/>
      </c>
      <c r="AX448" s="129">
        <f t="shared" si="281"/>
        <v/>
      </c>
      <c r="AY448" s="129">
        <f>IF(N448="б/к",0,IF(OR(ISNUMBER(SEARCH("L=",Разбивка_по_щитам!P448)),N448="+",N448="="),1,0))</f>
      </c>
      <c r="AZ448" s="129">
        <f t="shared" si="282"/>
      </c>
      <c r="BA448" s="129">
        <f t="shared" si="283"/>
      </c>
      <c r="BB448" s="129">
        <f t="shared" si="284"/>
      </c>
      <c r="BD448" s="129">
        <f t="shared" si="285"/>
      </c>
      <c r="BE448" s="129">
        <f t="shared" si="286"/>
      </c>
      <c r="BF448" s="129">
        <f t="shared" si="287"/>
      </c>
      <c r="BG448" s="129">
        <f t="shared" si="288"/>
        <v/>
      </c>
      <c r="BH448" s="129">
        <f t="shared" si="289"/>
        <v/>
      </c>
      <c r="BI448" s="129">
        <f t="shared" si="290"/>
        <v/>
      </c>
      <c r="BJ448" s="129">
        <f t="shared" si="291"/>
        <v/>
      </c>
      <c r="BK448" s="129">
        <f>IF(R448="","",IF(OR(BY448="",BY448=0),"BOX",IFERROR(IF(VLOOKUP(BY448,УГО_блоки,3,FALSE)&amp;""&lt;&gt;"",VLOOKUP(BY448,УГО_блоки,3,FALSE),VLOOKUP(BY448,УГО_блоки,2,FALSE)),BY448)))</f>
      </c>
      <c r="BL448" s="129">
        <f t="shared" si="293"/>
      </c>
      <c r="BM448" s="129">
        <f>IF(H448="","",IF(COUNTIF($H$3:H448,H448)=1,MAX($BM$2:BM447)+1,""))</f>
      </c>
      <c r="BN448" s="129">
        <f>IF(I448="","",IF(COUNTIF($I$3:I448,I448)+COUNTIF($J$2:J447,I448)+COUNTIF($K$2:K447,I448)=1,MAX($BN$2:BP447)+1,""))</f>
      </c>
      <c r="BO448" s="129">
        <f>IF(J448="","",IF(COUNTIF($I$3:I448,J448)+COUNTIF($J$3:J448,J448)+COUNTIF($K$2:K447,J448)=1,MAX($BN$2:BP447,BN448)+1,""))</f>
      </c>
      <c r="BP448" s="129">
        <f>IF(K448="","",IF(COUNTIF($I$3:I448,K448)+COUNTIF($J$3:J448,K448)+COUNTIF($K$3:K448,K448)=1,MAX($BN$2:BP447,BN448,BO448)+1,""))</f>
      </c>
      <c r="BQ448" s="129">
        <f>IF(AY448=1,IFERROR(MID(Q448,FIND(" (",Q448)+2,FIND(")",Q448,FIND(" (",Q448))-FIND(" (",Q448)-2),"?"),"")</f>
      </c>
      <c r="BR448" s="129">
        <f>IF(BQ448="","",IF(COUNTIF($BQ$3:BQ448,BQ448)=1,MAX($BR$2:BR447)+1,""))</f>
      </c>
      <c r="BS448" s="129">
        <f>IF(AW448="","",COUNTIF($AW$3:AW448,"?*"))</f>
      </c>
      <c r="BT448" s="129">
        <f>IF(OR(AW448="",AI448=""),"",IF(COUNTIFS($AW$3:AW448,"?*",$AI$3:AI448,AI448)=1,MAX($BT$2:BT447)+1,""))</f>
      </c>
      <c r="BU448" s="129">
        <f>IF(AE448="",0,IF(OR(ISNUMBER(SEARCH("дубль",AE448)),ISNUMBER(SEARCH("ПЕРЕГРУЗ",AE448)),ISNUMBER(SEARCH("ЗАЩИЩ",AE448)),ISNUMBER(SEARCH("КАНАЛ",AE448)),ISNUMBER(SEARCH("без 30",AE448))),2,1))</f>
      </c>
      <c r="BV448" s="129">
        <f>IF(R448="","",COUNTIF($R$3:R448,"?*"))</f>
      </c>
      <c r="BW448" s="129">
        <f>IF(AY448&lt;&gt;1,0,IF(MAX(IFERROR(--VLOOKUP(R448,УГО_спр,5,FALSE),0),IFERROR(--VLOOKUP(AL448,УГО_спр,5,FALSE),0),IFERROR(--VLOOKUP(LEFT(AL448,2),УГО_спр,5,FALSE),0))&gt;0,MAX(IFERROR(--VLOOKUP(R448,УГО_спр,5,FALSE),0),IFERROR(--VLOOKUP(AL448,УГО_спр,5,FALSE),0),IFERROR(--VLOOKUP(LEFT(AL448,2),УГО_спр,5,FALSE),0)),IF(IFERROR(--LEFT(SUBSTITUTE(BQ448,"x","х"),FIND("х",SUBSTITUTE(BQ448,"x","х"))-1),3)&gt;3,Каталог!$S$9,1)))</f>
      </c>
      <c r="BX448" s="129">
        <f>IF(AY448&lt;&gt;1,0,MAX(0,IFERROR(--LEFT(SUBSTITUTE(BQ448,"x","х"),FIND("х",SUBSTITUTE(BQ448,"x","х"))-1),3)-3*BW448))</f>
      </c>
      <c r="BY448" s="129">
        <f>IF(R448="","",IFERROR(VLOOKUP(R448,УГО_спр,2,FALSE),IFERROR(VLOOKUP(AL448,УГО_спр,2,FALSE),IFERROR(VLOOKUP(LEFT(AL448,2),УГО_спр,2,FALSE),""))))</f>
      </c>
    </row>
    <row r="449" spans="1:64" x14ac:dyDescent="0.3">
      <c r="A449" s="135">
        <f>IF(Разбивка_по_щитам!F449=0,"",Разбивка_по_щитам!F449)</f>
      </c>
      <c r="B449" s="138">
        <f>IF(A449="","",Разбивка_по_щитам!C449)</f>
      </c>
      <c r="C449" s="138">
        <f t="shared" si="258"/>
      </c>
      <c r="D449" s="266"/>
      <c r="E449" s="266"/>
      <c r="F449" s="267"/>
      <c r="G449" s="145">
        <f t="shared" si="298"/>
        <v/>
      </c>
      <c r="H449" s="145">
        <f t="shared" si="299"/>
        <v/>
      </c>
      <c r="I449" s="266"/>
      <c r="J449" s="267"/>
      <c r="K449" s="267"/>
      <c r="L449" s="266"/>
      <c r="M449" s="147">
        <f t="shared" si="300"/>
        <v/>
      </c>
      <c r="N449" s="267"/>
      <c r="O449" s="147">
        <f t="shared" si="301"/>
        <v/>
      </c>
      <c r="P449" s="268">
        <f>IF(AY449=1,"XT"&amp;COUNTIFS($A$3:A449,A449,$AY$3:AY449,1),"")</f>
        <v/>
      </c>
      <c r="Q449" s="152">
        <f>IF(R449="","",IFERROR(SUBSTITUTE(Разбивка_по_щитам!P449,CHAR(10)," "),""))</f>
        <v/>
      </c>
      <c r="R449" s="153">
        <f>IF(OR(Разбивка_по_щитам!H449="",Разбивка_по_щитам!H449=0),"",Разбивка_по_щитам!H449)</f>
        <v/>
      </c>
      <c r="S449" s="154">
        <f>IF(R449="","",IFERROR(Разбивка_по_щитам!J449&amp;"",""))</f>
        <v/>
      </c>
      <c r="T449" s="155">
        <f>IF(R449="","",IFERROR(--Разбивка_по_щитам!L449,""))</f>
        <v/>
      </c>
      <c r="U449" s="155">
        <f>IF(R449="","",IFERROR(--Разбивка_по_щитам!K449,""))</f>
        <v/>
      </c>
      <c r="V449" s="138">
        <f>IF(R449="","",IFERROR(IF(Разбивка_по_щитам!M449=0,"",Разбивка_по_щитам!M449),""))</f>
        <v/>
      </c>
      <c r="W449" s="156">
        <f t="shared" si="259"/>
        <v/>
      </c>
      <c r="X449" s="157">
        <f t="shared" si="260"/>
        <v/>
      </c>
      <c r="Y449" s="266"/>
      <c r="Z449" s="158">
        <f t="shared" si="261"/>
        <v/>
      </c>
      <c r="AA449" s="160">
        <f t="shared" si="262"/>
        <v/>
      </c>
      <c r="AB449" s="160">
        <f>IF(R449="","",IFERROR(LOOKUP(INDEX(Справочная!$I$4:$I$19,MATCH(VLOOKUP(R449,Исходные_данные,22,FALSE),Справочная!$J$4:$J$19,0)+1),{6,10,16,20,25,32,40,50,63,80,100,125}),""))</f>
        <v/>
      </c>
      <c r="AC449" s="160">
        <f t="shared" si="263"/>
        <v/>
      </c>
      <c r="AD449" s="161">
        <f t="shared" si="264"/>
        <v/>
      </c>
      <c r="AE449" s="161">
        <f>IF(AND(R449="",G449=""),"",_xlfn.TEXTJOIN("; ",TRUE,IF(AND(R449&lt;&gt;"",V449=""),"нет фазы",""),IF(AND(R449&lt;&gt;"",N(T449)=0),"нет мощности",""),IF(AND(P449&lt;&gt;"",COUNTIFS($A$3:$A$1000,A449,$P$3:$P$1000,P449)&gt;1),"дубль клеммы "&amp;P449,""),IF(AND(W449&lt;&gt;"",W449&lt;&gt;"ok"),W449,""),IF(X449&lt;&gt;"",X449,""),IF(AND(ISNUMBER(SEARCH("(5х",Q449)),N(AK449)=1),"5 жил на 1 фазе",""),IF(AND(AL449="R",E449&lt;&gt;"",N(AS449)=0),"розетка без 30 мА",""),IF(IFERROR(_xlfn.NUMBERVALUE(MID(Q449,FIND("-",Q449,FIND("L=",Q449))+1,FIND("%",Q449)-FIND("-",Q449,FIND("L=",Q449))-1),","),0)&gt;4,"потери &gt; 4 %","")))</f>
      </c>
      <c r="AF449" s="129">
        <f>IF(E449&lt;&gt;"",COUNTIFS($A$3:A449,A449,$E$3:E449,"?*"),IF(OR(A449&lt;&gt;A448,Y449="вручную"),"",AF448))</f>
      </c>
      <c r="AG449" s="129">
        <f t="shared" si="265"/>
      </c>
      <c r="AH449" s="129">
        <f t="shared" si="266"/>
        <v/>
      </c>
      <c r="AI449" s="129">
        <f t="shared" si="267"/>
        <v/>
      </c>
      <c r="AJ449" s="129">
        <f t="shared" si="268"/>
        <v/>
      </c>
      <c r="AK449" s="129">
        <f t="shared" si="269"/>
        <v/>
      </c>
      <c r="AL449" s="129">
        <f t="shared" si="270"/>
        <v/>
      </c>
      <c r="AM449" s="129">
        <f t="shared" si="271"/>
      </c>
      <c r="AN449" s="129">
        <f t="shared" si="272"/>
      </c>
      <c r="AO449" s="129">
        <f t="shared" si="273"/>
        <v/>
      </c>
      <c r="AP449" s="129">
        <f t="shared" si="274"/>
        <v/>
      </c>
      <c r="AQ449" s="129">
        <f t="shared" si="275"/>
        <v/>
      </c>
      <c r="AR449" s="129">
        <f t="shared" si="276"/>
        <v/>
      </c>
      <c r="AS449" s="129">
        <f t="shared" si="277"/>
        <v/>
      </c>
      <c r="AT449" s="129">
        <f t="shared" si="278"/>
        <v/>
      </c>
      <c r="AU449" s="129">
        <f t="shared" si="279"/>
        <v/>
      </c>
      <c r="AV449" s="129">
        <f t="shared" si="280"/>
        <v/>
      </c>
      <c r="AW449" s="129">
        <f>IF(AV449="","",AV449&amp;"."&amp;COUNTIFS($A$3:A449,A449,$AV$3:AV449,AV449))</f>
        <v/>
      </c>
      <c r="AX449" s="129">
        <f t="shared" si="281"/>
        <v/>
      </c>
      <c r="AY449" s="129">
        <f>IF(N449="б/к",0,IF(OR(ISNUMBER(SEARCH("L=",Разбивка_по_щитам!P449)),N449="+",N449="="),1,0))</f>
      </c>
      <c r="AZ449" s="129">
        <f t="shared" si="282"/>
      </c>
      <c r="BA449" s="129">
        <f t="shared" si="283"/>
      </c>
      <c r="BB449" s="129">
        <f t="shared" si="284"/>
      </c>
      <c r="BD449" s="129">
        <f t="shared" si="285"/>
      </c>
      <c r="BE449" s="129">
        <f t="shared" si="286"/>
      </c>
      <c r="BF449" s="129">
        <f t="shared" si="287"/>
      </c>
      <c r="BG449" s="129">
        <f t="shared" si="288"/>
        <v/>
      </c>
      <c r="BH449" s="129">
        <f t="shared" si="289"/>
        <v/>
      </c>
      <c r="BI449" s="129">
        <f t="shared" si="290"/>
        <v/>
      </c>
      <c r="BJ449" s="129">
        <f t="shared" si="291"/>
        <v/>
      </c>
      <c r="BK449" s="129">
        <f>IF(R449="","",IF(OR(BY449="",BY449=0),"BOX",IFERROR(IF(VLOOKUP(BY449,УГО_блоки,3,FALSE)&amp;""&lt;&gt;"",VLOOKUP(BY449,УГО_блоки,3,FALSE),VLOOKUP(BY449,УГО_блоки,2,FALSE)),BY449)))</f>
      </c>
      <c r="BL449" s="129">
        <f t="shared" si="293"/>
      </c>
      <c r="BM449" s="129">
        <f>IF(H449="","",IF(COUNTIF($H$3:H449,H449)=1,MAX($BM$2:BM448)+1,""))</f>
      </c>
      <c r="BN449" s="129">
        <f>IF(I449="","",IF(COUNTIF($I$3:I449,I449)+COUNTIF($J$2:J448,I449)+COUNTIF($K$2:K448,I449)=1,MAX($BN$2:BP448)+1,""))</f>
      </c>
      <c r="BO449" s="129">
        <f>IF(J449="","",IF(COUNTIF($I$3:I449,J449)+COUNTIF($J$3:J449,J449)+COUNTIF($K$2:K448,J449)=1,MAX($BN$2:BP448,BN449)+1,""))</f>
      </c>
      <c r="BP449" s="129">
        <f>IF(K449="","",IF(COUNTIF($I$3:I449,K449)+COUNTIF($J$3:J449,K449)+COUNTIF($K$3:K449,K449)=1,MAX($BN$2:BP448,BN449,BO449)+1,""))</f>
      </c>
      <c r="BQ449" s="129">
        <f>IF(AY449=1,IFERROR(MID(Q449,FIND(" (",Q449)+2,FIND(")",Q449,FIND(" (",Q449))-FIND(" (",Q449)-2),"?"),"")</f>
      </c>
      <c r="BR449" s="129">
        <f>IF(BQ449="","",IF(COUNTIF($BQ$3:BQ449,BQ449)=1,MAX($BR$2:BR448)+1,""))</f>
      </c>
      <c r="BS449" s="129">
        <f>IF(AW449="","",COUNTIF($AW$3:AW449,"?*"))</f>
      </c>
      <c r="BT449" s="129">
        <f>IF(OR(AW449="",AI449=""),"",IF(COUNTIFS($AW$3:AW449,"?*",$AI$3:AI449,AI449)=1,MAX($BT$2:BT448)+1,""))</f>
      </c>
      <c r="BU449" s="129">
        <f>IF(AE449="",0,IF(OR(ISNUMBER(SEARCH("дубль",AE449)),ISNUMBER(SEARCH("ПЕРЕГРУЗ",AE449)),ISNUMBER(SEARCH("ЗАЩИЩ",AE449)),ISNUMBER(SEARCH("КАНАЛ",AE449)),ISNUMBER(SEARCH("без 30",AE449))),2,1))</f>
      </c>
      <c r="BV449" s="129">
        <f>IF(R449="","",COUNTIF($R$3:R449,"?*"))</f>
      </c>
      <c r="BW449" s="129">
        <f>IF(AY449&lt;&gt;1,0,IF(MAX(IFERROR(--VLOOKUP(R449,УГО_спр,5,FALSE),0),IFERROR(--VLOOKUP(AL449,УГО_спр,5,FALSE),0),IFERROR(--VLOOKUP(LEFT(AL449,2),УГО_спр,5,FALSE),0))&gt;0,MAX(IFERROR(--VLOOKUP(R449,УГО_спр,5,FALSE),0),IFERROR(--VLOOKUP(AL449,УГО_спр,5,FALSE),0),IFERROR(--VLOOKUP(LEFT(AL449,2),УГО_спр,5,FALSE),0)),IF(IFERROR(--LEFT(SUBSTITUTE(BQ449,"x","х"),FIND("х",SUBSTITUTE(BQ449,"x","х"))-1),3)&gt;3,Каталог!$S$9,1)))</f>
      </c>
      <c r="BX449" s="129">
        <f>IF(AY449&lt;&gt;1,0,MAX(0,IFERROR(--LEFT(SUBSTITUTE(BQ449,"x","х"),FIND("х",SUBSTITUTE(BQ449,"x","х"))-1),3)-3*BW449))</f>
      </c>
      <c r="BY449" s="129">
        <f>IF(R449="","",IFERROR(VLOOKUP(R449,УГО_спр,2,FALSE),IFERROR(VLOOKUP(AL449,УГО_спр,2,FALSE),IFERROR(VLOOKUP(LEFT(AL449,2),УГО_спр,2,FALSE),""))))</f>
      </c>
    </row>
    <row r="450" spans="1:64" x14ac:dyDescent="0.3">
      <c r="A450" s="135">
        <f>IF(Разбивка_по_щитам!F450=0,"",Разбивка_по_щитам!F450)</f>
      </c>
      <c r="B450" s="138">
        <f>IF(A450="","",Разбивка_по_щитам!C450)</f>
      </c>
      <c r="C450" s="138">
        <f t="shared" si="258"/>
      </c>
      <c r="D450" s="266"/>
      <c r="E450" s="266"/>
      <c r="F450" s="267"/>
      <c r="G450" s="145">
        <f t="shared" si="298"/>
        <v/>
      </c>
      <c r="H450" s="145">
        <f t="shared" si="299"/>
        <v/>
      </c>
      <c r="I450" s="266"/>
      <c r="J450" s="267"/>
      <c r="K450" s="267"/>
      <c r="L450" s="266"/>
      <c r="M450" s="147">
        <f t="shared" si="300"/>
        <v/>
      </c>
      <c r="N450" s="267"/>
      <c r="O450" s="147">
        <f t="shared" si="301"/>
        <v/>
      </c>
      <c r="P450" s="268">
        <f>IF(AY450=1,"XT"&amp;COUNTIFS($A$3:A450,A450,$AY$3:AY450,1),"")</f>
        <v/>
      </c>
      <c r="Q450" s="152">
        <f>IF(R450="","",IFERROR(SUBSTITUTE(Разбивка_по_щитам!P450,CHAR(10)," "),""))</f>
        <v/>
      </c>
      <c r="R450" s="153">
        <f>IF(OR(Разбивка_по_щитам!H450="",Разбивка_по_щитам!H450=0),"",Разбивка_по_щитам!H450)</f>
        <v/>
      </c>
      <c r="S450" s="154">
        <f>IF(R450="","",IFERROR(Разбивка_по_щитам!J450&amp;"",""))</f>
        <v/>
      </c>
      <c r="T450" s="155">
        <f>IF(R450="","",IFERROR(--Разбивка_по_щитам!L450,""))</f>
        <v/>
      </c>
      <c r="U450" s="155">
        <f>IF(R450="","",IFERROR(--Разбивка_по_щитам!K450,""))</f>
        <v/>
      </c>
      <c r="V450" s="138">
        <f>IF(R450="","",IFERROR(IF(Разбивка_по_щитам!M450=0,"",Разбивка_по_щитам!M450),""))</f>
        <v/>
      </c>
      <c r="W450" s="156">
        <f t="shared" si="259"/>
        <v/>
      </c>
      <c r="X450" s="157">
        <f t="shared" si="260"/>
        <v/>
      </c>
      <c r="Y450" s="266"/>
      <c r="Z450" s="158">
        <f t="shared" si="261"/>
        <v/>
      </c>
      <c r="AA450" s="160">
        <f t="shared" si="262"/>
        <v/>
      </c>
      <c r="AB450" s="160">
        <f>IF(R450="","",IFERROR(LOOKUP(INDEX(Справочная!$I$4:$I$19,MATCH(VLOOKUP(R450,Исходные_данные,22,FALSE),Справочная!$J$4:$J$19,0)+1),{6,10,16,20,25,32,40,50,63,80,100,125}),""))</f>
        <v/>
      </c>
      <c r="AC450" s="160">
        <f t="shared" si="263"/>
        <v/>
      </c>
      <c r="AD450" s="161">
        <f t="shared" si="264"/>
        <v/>
      </c>
      <c r="AE450" s="161">
        <f>IF(AND(R450="",G450=""),"",_xlfn.TEXTJOIN("; ",TRUE,IF(AND(R450&lt;&gt;"",V450=""),"нет фазы",""),IF(AND(R450&lt;&gt;"",N(T450)=0),"нет мощности",""),IF(AND(P450&lt;&gt;"",COUNTIFS($A$3:$A$1000,A450,$P$3:$P$1000,P450)&gt;1),"дубль клеммы "&amp;P450,""),IF(AND(W450&lt;&gt;"",W450&lt;&gt;"ok"),W450,""),IF(X450&lt;&gt;"",X450,""),IF(AND(ISNUMBER(SEARCH("(5х",Q450)),N(AK450)=1),"5 жил на 1 фазе",""),IF(AND(AL450="R",E450&lt;&gt;"",N(AS450)=0),"розетка без 30 мА",""),IF(IFERROR(_xlfn.NUMBERVALUE(MID(Q450,FIND("-",Q450,FIND("L=",Q450))+1,FIND("%",Q450)-FIND("-",Q450,FIND("L=",Q450))-1),","),0)&gt;4,"потери &gt; 4 %","")))</f>
      </c>
      <c r="AF450" s="129">
        <f>IF(E450&lt;&gt;"",COUNTIFS($A$3:A450,A450,$E$3:E450,"?*"),IF(OR(A450&lt;&gt;A449,Y450="вручную"),"",AF449))</f>
      </c>
      <c r="AG450" s="129">
        <f t="shared" si="265"/>
      </c>
      <c r="AH450" s="129">
        <f t="shared" si="266"/>
        <v/>
      </c>
      <c r="AI450" s="129">
        <f t="shared" si="267"/>
        <v/>
      </c>
      <c r="AJ450" s="129">
        <f t="shared" si="268"/>
        <v/>
      </c>
      <c r="AK450" s="129">
        <f t="shared" si="269"/>
        <v/>
      </c>
      <c r="AL450" s="129">
        <f t="shared" si="270"/>
        <v/>
      </c>
      <c r="AM450" s="129">
        <f t="shared" si="271"/>
      </c>
      <c r="AN450" s="129">
        <f t="shared" si="272"/>
      </c>
      <c r="AO450" s="129">
        <f t="shared" si="273"/>
        <v/>
      </c>
      <c r="AP450" s="129">
        <f t="shared" si="274"/>
        <v/>
      </c>
      <c r="AQ450" s="129">
        <f t="shared" si="275"/>
        <v/>
      </c>
      <c r="AR450" s="129">
        <f t="shared" si="276"/>
        <v/>
      </c>
      <c r="AS450" s="129">
        <f t="shared" si="277"/>
        <v/>
      </c>
      <c r="AT450" s="129">
        <f t="shared" si="278"/>
        <v/>
      </c>
      <c r="AU450" s="129">
        <f t="shared" si="279"/>
        <v/>
      </c>
      <c r="AV450" s="129">
        <f t="shared" si="280"/>
        <v/>
      </c>
      <c r="AW450" s="129">
        <f>IF(AV450="","",AV450&amp;"."&amp;COUNTIFS($A$3:A450,A450,$AV$3:AV450,AV450))</f>
        <v/>
      </c>
      <c r="AX450" s="129">
        <f t="shared" si="281"/>
        <v/>
      </c>
      <c r="AY450" s="129">
        <f>IF(N450="б/к",0,IF(OR(ISNUMBER(SEARCH("L=",Разбивка_по_щитам!P450)),N450="+",N450="="),1,0))</f>
      </c>
      <c r="AZ450" s="129">
        <f t="shared" si="282"/>
      </c>
      <c r="BA450" s="129">
        <f t="shared" si="283"/>
      </c>
      <c r="BB450" s="129">
        <f t="shared" si="284"/>
      </c>
      <c r="BD450" s="129">
        <f t="shared" si="285"/>
      </c>
      <c r="BE450" s="129">
        <f t="shared" si="286"/>
      </c>
      <c r="BF450" s="129">
        <f t="shared" si="287"/>
      </c>
      <c r="BG450" s="129">
        <f t="shared" si="288"/>
        <v/>
      </c>
      <c r="BH450" s="129">
        <f t="shared" si="289"/>
        <v/>
      </c>
      <c r="BI450" s="129">
        <f t="shared" si="290"/>
        <v/>
      </c>
      <c r="BJ450" s="129">
        <f t="shared" si="291"/>
        <v/>
      </c>
      <c r="BK450" s="129">
        <f>IF(R450="","",IF(OR(BY450="",BY450=0),"BOX",IFERROR(IF(VLOOKUP(BY450,УГО_блоки,3,FALSE)&amp;""&lt;&gt;"",VLOOKUP(BY450,УГО_блоки,3,FALSE),VLOOKUP(BY450,УГО_блоки,2,FALSE)),BY450)))</f>
      </c>
      <c r="BL450" s="129">
        <f t="shared" si="293"/>
      </c>
      <c r="BM450" s="129">
        <f>IF(H450="","",IF(COUNTIF($H$3:H450,H450)=1,MAX($BM$2:BM449)+1,""))</f>
      </c>
      <c r="BN450" s="129">
        <f>IF(I450="","",IF(COUNTIF($I$3:I450,I450)+COUNTIF($J$2:J449,I450)+COUNTIF($K$2:K449,I450)=1,MAX($BN$2:BP449)+1,""))</f>
      </c>
      <c r="BO450" s="129">
        <f>IF(J450="","",IF(COUNTIF($I$3:I450,J450)+COUNTIF($J$3:J450,J450)+COUNTIF($K$2:K449,J450)=1,MAX($BN$2:BP449,BN450)+1,""))</f>
      </c>
      <c r="BP450" s="129">
        <f>IF(K450="","",IF(COUNTIF($I$3:I450,K450)+COUNTIF($J$3:J450,K450)+COUNTIF($K$3:K450,K450)=1,MAX($BN$2:BP449,BN450,BO450)+1,""))</f>
      </c>
      <c r="BQ450" s="129">
        <f>IF(AY450=1,IFERROR(MID(Q450,FIND(" (",Q450)+2,FIND(")",Q450,FIND(" (",Q450))-FIND(" (",Q450)-2),"?"),"")</f>
      </c>
      <c r="BR450" s="129">
        <f>IF(BQ450="","",IF(COUNTIF($BQ$3:BQ450,BQ450)=1,MAX($BR$2:BR449)+1,""))</f>
      </c>
      <c r="BS450" s="129">
        <f>IF(AW450="","",COUNTIF($AW$3:AW450,"?*"))</f>
      </c>
      <c r="BT450" s="129">
        <f>IF(OR(AW450="",AI450=""),"",IF(COUNTIFS($AW$3:AW450,"?*",$AI$3:AI450,AI450)=1,MAX($BT$2:BT449)+1,""))</f>
      </c>
      <c r="BU450" s="129">
        <f>IF(AE450="",0,IF(OR(ISNUMBER(SEARCH("дубль",AE450)),ISNUMBER(SEARCH("ПЕРЕГРУЗ",AE450)),ISNUMBER(SEARCH("ЗАЩИЩ",AE450)),ISNUMBER(SEARCH("КАНАЛ",AE450)),ISNUMBER(SEARCH("без 30",AE450))),2,1))</f>
      </c>
      <c r="BV450" s="129">
        <f>IF(R450="","",COUNTIF($R$3:R450,"?*"))</f>
      </c>
      <c r="BW450" s="129">
        <f>IF(AY450&lt;&gt;1,0,IF(MAX(IFERROR(--VLOOKUP(R450,УГО_спр,5,FALSE),0),IFERROR(--VLOOKUP(AL450,УГО_спр,5,FALSE),0),IFERROR(--VLOOKUP(LEFT(AL450,2),УГО_спр,5,FALSE),0))&gt;0,MAX(IFERROR(--VLOOKUP(R450,УГО_спр,5,FALSE),0),IFERROR(--VLOOKUP(AL450,УГО_спр,5,FALSE),0),IFERROR(--VLOOKUP(LEFT(AL450,2),УГО_спр,5,FALSE),0)),IF(IFERROR(--LEFT(SUBSTITUTE(BQ450,"x","х"),FIND("х",SUBSTITUTE(BQ450,"x","х"))-1),3)&gt;3,Каталог!$S$9,1)))</f>
      </c>
      <c r="BX450" s="129">
        <f>IF(AY450&lt;&gt;1,0,MAX(0,IFERROR(--LEFT(SUBSTITUTE(BQ450,"x","х"),FIND("х",SUBSTITUTE(BQ450,"x","х"))-1),3)-3*BW450))</f>
      </c>
      <c r="BY450" s="129">
        <f>IF(R450="","",IFERROR(VLOOKUP(R450,УГО_спр,2,FALSE),IFERROR(VLOOKUP(AL450,УГО_спр,2,FALSE),IFERROR(VLOOKUP(LEFT(AL450,2),УГО_спр,2,FALSE),""))))</f>
      </c>
    </row>
    <row r="451" spans="1:64" x14ac:dyDescent="0.3">
      <c r="A451" s="135">
        <f>IF(Разбивка_по_щитам!F451=0,"",Разбивка_по_щитам!F451)</f>
      </c>
      <c r="B451" s="138">
        <f>IF(A451="","",Разбивка_по_щитам!C451)</f>
      </c>
      <c r="C451" s="138">
        <f t="shared" ref="C451:C514" si="302">IF(B451="","",INT((B451-1)/Столбцов_на_лист)+1)</f>
      </c>
      <c r="D451" s="266"/>
      <c r="E451" s="266"/>
      <c r="F451" s="267"/>
      <c r="G451" s="145">
        <f t="shared" ref="G451:G514" si="303">IF(OR(R451&lt;&gt;"",O451&lt;&gt;"",AY451=1),AG451,"")</f>
        <v/>
      </c>
      <c r="H451" s="145">
        <f t="shared" ref="H451:H514" si="304">IF(E451="","",IF(AND(E451&lt;&gt;"авто",E451&lt;&gt;"+"),E451,AT451&amp;" С"&amp;AQ451&amp;"А"&amp;IF(AS451=1," 30мА","")))</f>
        <v/>
      </c>
      <c r="I451" s="266"/>
      <c r="J451" s="267"/>
      <c r="K451" s="267"/>
      <c r="L451" s="266"/>
      <c r="M451" s="147">
        <f t="shared" ref="M451:M514" si="305">IF(OR(O451&lt;&gt;"",AND(L451&lt;&gt;"",L451&lt;&gt;"-")),AH451,"")</f>
        <v/>
      </c>
      <c r="N451" s="267"/>
      <c r="O451" s="147">
        <f t="shared" ref="O451:O514" si="306">IF(N451="=",AX450,IF(ISNUMBER(N451),N451,IF(AH451="","",IF(OR(R451&lt;&gt;"",N451="+",N451="р"),IF(OR(AW451&lt;&gt;"",AX450=""),1,AX450+1),""))))</f>
        <v/>
      </c>
      <c r="P451" s="268">
        <f>IF(AY451=1,"XT"&amp;COUNTIFS($A$3:A451,A451,$AY$3:AY451,1),"")</f>
        <v/>
      </c>
      <c r="Q451" s="152">
        <f>IF(R451="","",IFERROR(SUBSTITUTE(Разбивка_по_щитам!P451,CHAR(10)," "),""))</f>
        <v/>
      </c>
      <c r="R451" s="153">
        <f>IF(OR(Разбивка_по_щитам!H451="",Разбивка_по_щитам!H451=0),"",Разбивка_по_щитам!H451)</f>
        <v/>
      </c>
      <c r="S451" s="154">
        <f>IF(R451="","",IFERROR(Разбивка_по_щитам!J451&amp;"",""))</f>
        <v/>
      </c>
      <c r="T451" s="155">
        <f>IF(R451="","",IFERROR(--Разбивка_по_щитам!L451,""))</f>
        <v/>
      </c>
      <c r="U451" s="155">
        <f>IF(R451="","",IFERROR(--Разбивка_по_щитам!K451,""))</f>
        <v/>
      </c>
      <c r="V451" s="138">
        <f>IF(R451="","",IFERROR(IF(Разбивка_по_щитам!M451=0,"",Разбивка_по_щитам!M451),""))</f>
        <v/>
      </c>
      <c r="W451" s="156">
        <f t="shared" ref="W451:W514" si="307">IF(E451="","",IF(NOT(ISNUMBER(AU451)),"",IF(Z451&gt;AU451,"ПЕРЕГРУЗ",IF(AND(BA451=0,AP451&gt;0,AU451&gt;AP451),"КАБЕЛЬ НЕ ЗАЩИЩЁН","ok"))))</f>
        <v/>
      </c>
      <c r="X451" s="157">
        <f t="shared" ref="X451:X514" si="308">IF(OR(O451="",AH451=""),"",IF(O451&gt;IFERROR(VLOOKUP(AI451,Модули_спр,3,FALSE),99),"ЛИШНИЙ КАНАЛ",IF(AND(N451&lt;&gt;"=",COUNTIFS($AH$3:$AH$1000,AH451,$O$3:$O$1000,O451,$N$3:$N$1000,"&lt;&gt;=")&gt;1),"ДУБЛЬ КАНАЛА","")))</f>
        <v/>
      </c>
      <c r="Y451" s="266"/>
      <c r="Z451" s="158">
        <f t="shared" ref="Z451:Z514" si="309">IF(E451="","",SUMIFS($U$3:$U$1000,$AF$3:$AF$1000,AF451,$A$3:$A$1000,A451,$AN$3:$AN$1000,0))</f>
        <v/>
      </c>
      <c r="AA451" s="160">
        <f t="shared" ref="AA451:AA514" si="310">IF(E451="","",IFERROR(VLOOKUP(Z451,Автомат_номиналы,2,TRUE),""))</f>
        <v/>
      </c>
      <c r="AB451" s="160">
        <f>IF(R451="","",IFERROR(LOOKUP(INDEX(Справочная!$I$4:$I$19,MATCH(VLOOKUP(R451,Исходные_данные,22,FALSE),Справочная!$J$4:$J$19,0)+1),{6,10,16,20,25,32,40,50,63,80,100,125}),""))</f>
        <v/>
      </c>
      <c r="AC451" s="160">
        <f t="shared" ref="AC451:AC514" si="311">IF(M451="","",AI451)</f>
        <v/>
      </c>
      <c r="AD451" s="161">
        <f t="shared" ref="AD451:AD514" si="312">IF(AND(R451="",O451="",P451=""),"",_xlfn.TEXTJOIN(" → ",TRUE,AG451,AZ451,IF(AH451&lt;&gt;"",AH451&amp;IF(O451&lt;&gt;""," к."&amp;O451,""),IF(O451&lt;&gt;"","к."&amp;O451,"")),P451,IF(AN451=1,"(в кабель выше)","")))</f>
        <v/>
      </c>
      <c r="AE451" s="161">
        <f>IF(AND(R451="",G451=""),"",_xlfn.TEXTJOIN("; ",TRUE,IF(AND(R451&lt;&gt;"",V451=""),"нет фазы",""),IF(AND(R451&lt;&gt;"",N(T451)=0),"нет мощности",""),IF(AND(P451&lt;&gt;"",COUNTIFS($A$3:$A$1000,A451,$P$3:$P$1000,P451)&gt;1),"дубль клеммы "&amp;P451,""),IF(AND(W451&lt;&gt;"",W451&lt;&gt;"ok"),W451,""),IF(X451&lt;&gt;"",X451,""),IF(AND(ISNUMBER(SEARCH("(5х",Q451)),N(AK451)=1),"5 жил на 1 фазе",""),IF(AND(AL451="R",E451&lt;&gt;"",N(AS451)=0),"розетка без 30 мА",""),IF(IFERROR(_xlfn.NUMBERVALUE(MID(Q451,FIND("-",Q451,FIND("L=",Q451))+1,FIND("%",Q451)-FIND("-",Q451,FIND("L=",Q451))-1),","),0)&gt;4,"потери &gt; 4 %","")))</f>
      </c>
      <c r="AF451" s="129">
        <f>IF(E451&lt;&gt;"",COUNTIFS($A$3:A451,A451,$E$3:E451,"?*"),IF(OR(A451&lt;&gt;A450,Y451="вручную"),"",AF450))</f>
      </c>
      <c r="AG451" s="129">
        <f t="shared" ref="AG451:AG514" si="313">IF(AJ451&lt;&gt;"",AJ451,IF(OR(A451&lt;&gt;A450,Y451="вручную"),"",AG450))</f>
      </c>
      <c r="AH451" s="129">
        <f t="shared" ref="AH451:AH514" si="314">IF(L451="-","",IF(AW451&lt;&gt;"",AW451,IF(A451&lt;&gt;A450,"",AH450)))</f>
        <v/>
      </c>
      <c r="AI451" s="129">
        <f t="shared" ref="AI451:AI514" si="315">IF(AH451="","",IF(AND(L451&lt;&gt;"",L451&lt;&gt;"-"),L451,AI450))</f>
        <v/>
      </c>
      <c r="AJ451" s="129">
        <f t="shared" ref="AJ451:AJ514" si="316">IF(E451="","",IF(AS451=1,"QFD","QF")&amp;AF451)</f>
        <v/>
      </c>
      <c r="AK451" s="129">
        <f t="shared" ref="AK451:AK514" si="317">IF(R451="","",IFERROR(--VLOOKUP(R451,Исходные_данные,8,FALSE),1))</f>
        <v/>
      </c>
      <c r="AL451" s="129">
        <f t="shared" ref="AL451:AL514" si="318">IF(R451="","",IFERROR(LEFT(R451,FIND(".",R451)-1),R451))</f>
        <v/>
      </c>
      <c r="AM451" s="129">
        <f t="shared" ref="AM451:AM514" si="319">IF(AL451="",0,IFERROR(IF(VLOOKUP(R451,УГО_спр,3,FALSE)="да",1,0),IFERROR(IF(VLOOKUP(AL451,УГО_спр,3,FALSE)="да",1,0),IFERROR(IF(VLOOKUP(LEFT(AL451,2),УГО_спр,3,FALSE)="да",1,0),0))))</f>
      </c>
      <c r="AN451" s="129">
        <f t="shared" ref="AN451:AN514" si="320">IF(OR(N451="+",AND(R451&lt;&gt;"",R451=R450)),1,0)</f>
      </c>
      <c r="AO451" s="129">
        <f t="shared" ref="AO451:AO514" si="321">IF(E451="","",MAX(N(AA451),_xlfn.MAXIFS($BB$3:$BB$1000,$AF$3:$AF$1000,AF451,$A$3:$A$1000,A451)))</f>
        <v/>
      </c>
      <c r="AP451" s="129">
        <f t="shared" ref="AP451:AP514" si="322">IF(E451="","",_xlfn.MINIFS($AB$3:$AB$1000,$AF$3:$AF$1000,AF451,$A$3:$A$1000,A451))</f>
        <v/>
      </c>
      <c r="AQ451" s="129">
        <f t="shared" ref="AQ451:AQ514" si="323">IF(E451="","",IF(BA451=1,MAX(AO451,Мин_автомат_БП),AO451))</f>
        <v/>
      </c>
      <c r="AR451" s="129">
        <f t="shared" ref="AR451:AR514" si="324">IF(E451="","",MAX(1,_xlfn.MAXIFS($AK$3:$AK$1000,$AF$3:$AF$1000,AF451,$A$3:$A$1000,A451)))</f>
        <v/>
      </c>
      <c r="AS451" s="129">
        <f t="shared" ref="AS451:AS514" si="325">IF(E451="","",IF(AND(E451&lt;&gt;"авто",E451&lt;&gt;"+"),IF(ISNUMBER(SEARCH("мА",E451)),1,0),IF(F451="да",1,IF(F451="нет",0,IF(_xlfn.MAXIFS($AM$3:$AM$1000,$AF$3:$AF$1000,AF451,$A$3:$A$1000,A451)&gt;0,1,0)))))</f>
        <v/>
      </c>
      <c r="AT451" s="129">
        <f t="shared" ref="AT451:AT514" si="326">IF(E451="","",IF(AR451&gt;=3,IF(AS451=1,"4P","3P"),IF(AS451=1,"2P","1P")))</f>
        <v/>
      </c>
      <c r="AU451" s="129">
        <f t="shared" ref="AU451:AU514" si="327">IF(H451="","",IFERROR(--MID(SUBSTITUTE(SUBSTITUTE(UPPER(H451),"С","C"),"А","A"),FIND("C",SUBSTITUTE(SUBSTITUTE(UPPER(H451),"С","C"),"А","A"))+1,FIND("A",SUBSTITUTE(SUBSTITUTE(UPPER(H451),"С","C"),"А","A")&amp;"A",FIND("C",SUBSTITUTE(SUBSTITUTE(UPPER(H451),"С","C"),"А","A")))-FIND("C",SUBSTITUTE(SUBSTITUTE(UPPER(H451),"С","C"),"А","A"))-1),""))</f>
        <v/>
      </c>
      <c r="AV451" s="129">
        <f t="shared" ref="AV451:AV514" si="328">IF(OR(L451="",L451="-"),"",IFERROR(VLOOKUP(L451,Модули_спр,2,FALSE),"R"))</f>
        <v/>
      </c>
      <c r="AW451" s="129">
        <f>IF(AV451="","",AV451&amp;"."&amp;COUNTIFS($A$3:A451,A451,$AV$3:AV451,AV451))</f>
        <v/>
      </c>
      <c r="AX451" s="129">
        <f t="shared" ref="AX451:AX514" si="329">IF(O451&lt;&gt;"",O451,IF(OR(A451&lt;&gt;A450,L451="-",AW451&lt;&gt;""),"",AX450))</f>
        <v/>
      </c>
      <c r="AY451" s="129">
        <f>IF(N451="б/к",0,IF(OR(ISNUMBER(SEARCH("L=",Разбивка_по_щитам!P451)),N451="+",N451="="),1,0))</f>
      </c>
      <c r="AZ451" s="129">
        <f t="shared" ref="AZ451:AZ514" si="330">IF(AJ451&lt;&gt;"",_xlfn.TEXTJOIN(" → ",TRUE,I451,J451,K451),IF(AG451="","",AZ450))</f>
      </c>
      <c r="BA451" s="129">
        <f t="shared" ref="BA451:BA514" si="331">IF(AZ451="",0,IF(OR(LEFT(AZ451,2)="T ",LEFT(AZ451,2)="Т ",ISNUMBER(SEARCH("→ T ",AZ451)),ISNUMBER(SEARCH("→ Т ",AZ451)),ISNUMBER(SEARCH("БП",AZ451))),1,0))</f>
      </c>
      <c r="BB451" s="129">
        <f t="shared" ref="BB451:BB514" si="332">IF(R451="",0,MAX(IFERROR(--VLOOKUP(R451,Исходные_данные,18,FALSE),0),IFERROR(--VLOOKUP(R451,УГО_спр,4,FALSE),IFERROR(--VLOOKUP(AL451,УГО_спр,4,FALSE),IFERROR(--VLOOKUP(LEFT(AL451,2),УГО_спр,4,FALSE),0)))))</f>
      </c>
      <c r="BD451" s="129">
        <f t="shared" ref="BD451:BD514" si="333">IF(Y451="вручную",0,1)</f>
      </c>
      <c r="BE451" s="129">
        <f t="shared" ref="BE451:BE514" si="334">IF(D451="",0,1)</f>
      </c>
      <c r="BF451" s="129">
        <f t="shared" ref="BF451:BF514" si="335">IF(AJ451="",0,IF(LEFT(AJ451,3)="QFD",1,0))</f>
      </c>
      <c r="BG451" s="129">
        <f t="shared" ref="BG451:BG514" si="336">IF(N451="=","=",IF(N451="+","+",IF(N451="р","R","")))</f>
        <v/>
      </c>
      <c r="BH451" s="129">
        <f t="shared" ref="BH451:BH514" si="337">IF(I451="","",IF(OR(LEFT(I451,1)="T",LEFT(I451,1)="Т"),"T",IF(LEFT(UPPER(I451),2)="БП","PS",IF(OR(LEFT(UPPER(I451),2)="МК",LEFT(UPPER(I451),2)="MK"),"MK",IF(OR(LEFT(UPPER(I451),2)="КМ",LEFT(UPPER(I451),2)="KM"),"KM","X")))))</f>
        <v/>
      </c>
      <c r="BI451" s="129">
        <f t="shared" ref="BI451:BI514" si="338">IF(J451="","",IF(OR(LEFT(J451,1)="T",LEFT(J451,1)="Т"),"T",IF(LEFT(UPPER(J451),2)="БП","PS",IF(OR(LEFT(UPPER(J451),2)="МК",LEFT(UPPER(J451),2)="MK"),"MK",IF(OR(LEFT(UPPER(J451),2)="КМ",LEFT(UPPER(J451),2)="KM"),"KM","X")))))</f>
        <v/>
      </c>
      <c r="BJ451" s="129">
        <f t="shared" ref="BJ451:BJ514" si="339">IF(K451="","",IF(OR(LEFT(K451,1)="T",LEFT(K451,1)="Т"),"T",IF(LEFT(UPPER(K451),2)="БП","PS",IF(OR(LEFT(UPPER(K451),2)="МК",LEFT(UPPER(K451),2)="MK"),"MK",IF(OR(LEFT(UPPER(K451),2)="КМ",LEFT(UPPER(K451),2)="KM"),"KM","X")))))</f>
        <v/>
      </c>
      <c r="BK451" s="129">
        <f>IF(R451="","",IF(OR(BY451="",BY451=0),"BOX",IFERROR(IF(VLOOKUP(BY451,УГО_блоки,3,FALSE)&amp;""&lt;&gt;"",VLOOKUP(BY451,УГО_блоки,3,FALSE),VLOOKUP(BY451,УГО_блоки,2,FALSE)),BY451)))</f>
      </c>
      <c r="BL451" s="129">
        <f t="shared" ref="BL451:BL514" si="341">IF(R451="",0,1)</f>
      </c>
      <c r="BM451" s="129">
        <f>IF(H451="","",IF(COUNTIF($H$3:H451,H451)=1,MAX($BM$2:BM450)+1,""))</f>
      </c>
      <c r="BN451" s="129">
        <f>IF(I451="","",IF(COUNTIF($I$3:I451,I451)+COUNTIF($J$2:J450,I451)+COUNTIF($K$2:K450,I451)=1,MAX($BN$2:BP450)+1,""))</f>
      </c>
      <c r="BO451" s="129">
        <f>IF(J451="","",IF(COUNTIF($I$3:I451,J451)+COUNTIF($J$3:J451,J451)+COUNTIF($K$2:K450,J451)=1,MAX($BN$2:BP450,BN451)+1,""))</f>
      </c>
      <c r="BP451" s="129">
        <f>IF(K451="","",IF(COUNTIF($I$3:I451,K451)+COUNTIF($J$3:J451,K451)+COUNTIF($K$3:K451,K451)=1,MAX($BN$2:BP450,BN451,BO451)+1,""))</f>
      </c>
      <c r="BQ451" s="129">
        <f>IF(AY451=1,IFERROR(MID(Q451,FIND(" (",Q451)+2,FIND(")",Q451,FIND(" (",Q451))-FIND(" (",Q451)-2),"?"),"")</f>
      </c>
      <c r="BR451" s="129">
        <f>IF(BQ451="","",IF(COUNTIF($BQ$3:BQ451,BQ451)=1,MAX($BR$2:BR450)+1,""))</f>
      </c>
      <c r="BS451" s="129">
        <f>IF(AW451="","",COUNTIF($AW$3:AW451,"?*"))</f>
      </c>
      <c r="BT451" s="129">
        <f>IF(OR(AW451="",AI451=""),"",IF(COUNTIFS($AW$3:AW451,"?*",$AI$3:AI451,AI451)=1,MAX($BT$2:BT450)+1,""))</f>
      </c>
      <c r="BU451" s="129">
        <f>IF(AE451="",0,IF(OR(ISNUMBER(SEARCH("дубль",AE451)),ISNUMBER(SEARCH("ПЕРЕГРУЗ",AE451)),ISNUMBER(SEARCH("ЗАЩИЩ",AE451)),ISNUMBER(SEARCH("КАНАЛ",AE451)),ISNUMBER(SEARCH("без 30",AE451))),2,1))</f>
      </c>
      <c r="BV451" s="129">
        <f>IF(R451="","",COUNTIF($R$3:R451,"?*"))</f>
      </c>
      <c r="BW451" s="129">
        <f>IF(AY451&lt;&gt;1,0,IF(MAX(IFERROR(--VLOOKUP(R451,УГО_спр,5,FALSE),0),IFERROR(--VLOOKUP(AL451,УГО_спр,5,FALSE),0),IFERROR(--VLOOKUP(LEFT(AL451,2),УГО_спр,5,FALSE),0))&gt;0,MAX(IFERROR(--VLOOKUP(R451,УГО_спр,5,FALSE),0),IFERROR(--VLOOKUP(AL451,УГО_спр,5,FALSE),0),IFERROR(--VLOOKUP(LEFT(AL451,2),УГО_спр,5,FALSE),0)),IF(IFERROR(--LEFT(SUBSTITUTE(BQ451,"x","х"),FIND("х",SUBSTITUTE(BQ451,"x","х"))-1),3)&gt;3,Каталог!$S$9,1)))</f>
      </c>
      <c r="BX451" s="129">
        <f>IF(AY451&lt;&gt;1,0,MAX(0,IFERROR(--LEFT(SUBSTITUTE(BQ451,"x","х"),FIND("х",SUBSTITUTE(BQ451,"x","х"))-1),3)-3*BW451))</f>
      </c>
      <c r="BY451" s="129">
        <f>IF(R451="","",IFERROR(VLOOKUP(R451,УГО_спр,2,FALSE),IFERROR(VLOOKUP(AL451,УГО_спр,2,FALSE),IFERROR(VLOOKUP(LEFT(AL451,2),УГО_спр,2,FALSE),""))))</f>
      </c>
    </row>
    <row r="452" spans="1:64" x14ac:dyDescent="0.3">
      <c r="A452" s="135">
        <f>IF(Разбивка_по_щитам!F452=0,"",Разбивка_по_щитам!F452)</f>
      </c>
      <c r="B452" s="138">
        <f>IF(A452="","",Разбивка_по_щитам!C452)</f>
      </c>
      <c r="C452" s="138">
        <f t="shared" si="302"/>
      </c>
      <c r="D452" s="266"/>
      <c r="E452" s="266"/>
      <c r="F452" s="267"/>
      <c r="G452" s="145">
        <f t="shared" si="303"/>
        <v/>
      </c>
      <c r="H452" s="145">
        <f t="shared" si="304"/>
        <v/>
      </c>
      <c r="I452" s="266"/>
      <c r="J452" s="267"/>
      <c r="K452" s="267"/>
      <c r="L452" s="266"/>
      <c r="M452" s="147">
        <f t="shared" si="305"/>
        <v/>
      </c>
      <c r="N452" s="267"/>
      <c r="O452" s="147">
        <f t="shared" si="306"/>
        <v/>
      </c>
      <c r="P452" s="268">
        <f>IF(AY452=1,"XT"&amp;COUNTIFS($A$3:A452,A452,$AY$3:AY452,1),"")</f>
        <v/>
      </c>
      <c r="Q452" s="152">
        <f>IF(R452="","",IFERROR(SUBSTITUTE(Разбивка_по_щитам!P452,CHAR(10)," "),""))</f>
        <v/>
      </c>
      <c r="R452" s="153">
        <f>IF(OR(Разбивка_по_щитам!H452="",Разбивка_по_щитам!H452=0),"",Разбивка_по_щитам!H452)</f>
        <v/>
      </c>
      <c r="S452" s="154">
        <f>IF(R452="","",IFERROR(Разбивка_по_щитам!J452&amp;"",""))</f>
        <v/>
      </c>
      <c r="T452" s="155">
        <f>IF(R452="","",IFERROR(--Разбивка_по_щитам!L452,""))</f>
        <v/>
      </c>
      <c r="U452" s="155">
        <f>IF(R452="","",IFERROR(--Разбивка_по_щитам!K452,""))</f>
        <v/>
      </c>
      <c r="V452" s="138">
        <f>IF(R452="","",IFERROR(IF(Разбивка_по_щитам!M452=0,"",Разбивка_по_щитам!M452),""))</f>
        <v/>
      </c>
      <c r="W452" s="156">
        <f t="shared" si="307"/>
        <v/>
      </c>
      <c r="X452" s="157">
        <f t="shared" si="308"/>
        <v/>
      </c>
      <c r="Y452" s="266"/>
      <c r="Z452" s="158">
        <f t="shared" si="309"/>
        <v/>
      </c>
      <c r="AA452" s="160">
        <f t="shared" si="310"/>
        <v/>
      </c>
      <c r="AB452" s="160">
        <f>IF(R452="","",IFERROR(LOOKUP(INDEX(Справочная!$I$4:$I$19,MATCH(VLOOKUP(R452,Исходные_данные,22,FALSE),Справочная!$J$4:$J$19,0)+1),{6,10,16,20,25,32,40,50,63,80,100,125}),""))</f>
        <v/>
      </c>
      <c r="AC452" s="160">
        <f t="shared" si="311"/>
        <v/>
      </c>
      <c r="AD452" s="161">
        <f t="shared" si="312"/>
        <v/>
      </c>
      <c r="AE452" s="161">
        <f>IF(AND(R452="",G452=""),"",_xlfn.TEXTJOIN("; ",TRUE,IF(AND(R452&lt;&gt;"",V452=""),"нет фазы",""),IF(AND(R452&lt;&gt;"",N(T452)=0),"нет мощности",""),IF(AND(P452&lt;&gt;"",COUNTIFS($A$3:$A$1000,A452,$P$3:$P$1000,P452)&gt;1),"дубль клеммы "&amp;P452,""),IF(AND(W452&lt;&gt;"",W452&lt;&gt;"ok"),W452,""),IF(X452&lt;&gt;"",X452,""),IF(AND(ISNUMBER(SEARCH("(5х",Q452)),N(AK452)=1),"5 жил на 1 фазе",""),IF(AND(AL452="R",E452&lt;&gt;"",N(AS452)=0),"розетка без 30 мА",""),IF(IFERROR(_xlfn.NUMBERVALUE(MID(Q452,FIND("-",Q452,FIND("L=",Q452))+1,FIND("%",Q452)-FIND("-",Q452,FIND("L=",Q452))-1),","),0)&gt;4,"потери &gt; 4 %","")))</f>
      </c>
      <c r="AF452" s="129">
        <f>IF(E452&lt;&gt;"",COUNTIFS($A$3:A452,A452,$E$3:E452,"?*"),IF(OR(A452&lt;&gt;A451,Y452="вручную"),"",AF451))</f>
      </c>
      <c r="AG452" s="129">
        <f t="shared" si="313"/>
      </c>
      <c r="AH452" s="129">
        <f t="shared" si="314"/>
        <v/>
      </c>
      <c r="AI452" s="129">
        <f t="shared" si="315"/>
        <v/>
      </c>
      <c r="AJ452" s="129">
        <f t="shared" si="316"/>
        <v/>
      </c>
      <c r="AK452" s="129">
        <f t="shared" si="317"/>
        <v/>
      </c>
      <c r="AL452" s="129">
        <f t="shared" si="318"/>
        <v/>
      </c>
      <c r="AM452" s="129">
        <f t="shared" si="319"/>
      </c>
      <c r="AN452" s="129">
        <f t="shared" si="320"/>
      </c>
      <c r="AO452" s="129">
        <f t="shared" si="321"/>
        <v/>
      </c>
      <c r="AP452" s="129">
        <f t="shared" si="322"/>
        <v/>
      </c>
      <c r="AQ452" s="129">
        <f t="shared" si="323"/>
        <v/>
      </c>
      <c r="AR452" s="129">
        <f t="shared" si="324"/>
        <v/>
      </c>
      <c r="AS452" s="129">
        <f t="shared" si="325"/>
        <v/>
      </c>
      <c r="AT452" s="129">
        <f t="shared" si="326"/>
        <v/>
      </c>
      <c r="AU452" s="129">
        <f t="shared" si="327"/>
        <v/>
      </c>
      <c r="AV452" s="129">
        <f t="shared" si="328"/>
        <v/>
      </c>
      <c r="AW452" s="129">
        <f>IF(AV452="","",AV452&amp;"."&amp;COUNTIFS($A$3:A452,A452,$AV$3:AV452,AV452))</f>
        <v/>
      </c>
      <c r="AX452" s="129">
        <f t="shared" si="329"/>
        <v/>
      </c>
      <c r="AY452" s="129">
        <f>IF(N452="б/к",0,IF(OR(ISNUMBER(SEARCH("L=",Разбивка_по_щитам!P452)),N452="+",N452="="),1,0))</f>
      </c>
      <c r="AZ452" s="129">
        <f t="shared" si="330"/>
      </c>
      <c r="BA452" s="129">
        <f t="shared" si="331"/>
      </c>
      <c r="BB452" s="129">
        <f t="shared" si="332"/>
      </c>
      <c r="BD452" s="129">
        <f t="shared" si="333"/>
      </c>
      <c r="BE452" s="129">
        <f t="shared" si="334"/>
      </c>
      <c r="BF452" s="129">
        <f t="shared" si="335"/>
      </c>
      <c r="BG452" s="129">
        <f t="shared" si="336"/>
        <v/>
      </c>
      <c r="BH452" s="129">
        <f t="shared" si="337"/>
        <v/>
      </c>
      <c r="BI452" s="129">
        <f t="shared" si="338"/>
        <v/>
      </c>
      <c r="BJ452" s="129">
        <f t="shared" si="339"/>
        <v/>
      </c>
      <c r="BK452" s="129">
        <f>IF(R452="","",IF(OR(BY452="",BY452=0),"BOX",IFERROR(IF(VLOOKUP(BY452,УГО_блоки,3,FALSE)&amp;""&lt;&gt;"",VLOOKUP(BY452,УГО_блоки,3,FALSE),VLOOKUP(BY452,УГО_блоки,2,FALSE)),BY452)))</f>
      </c>
      <c r="BL452" s="129">
        <f t="shared" si="341"/>
      </c>
      <c r="BM452" s="129">
        <f>IF(H452="","",IF(COUNTIF($H$3:H452,H452)=1,MAX($BM$2:BM451)+1,""))</f>
      </c>
      <c r="BN452" s="129">
        <f>IF(I452="","",IF(COUNTIF($I$3:I452,I452)+COUNTIF($J$2:J451,I452)+COUNTIF($K$2:K451,I452)=1,MAX($BN$2:BP451)+1,""))</f>
      </c>
      <c r="BO452" s="129">
        <f>IF(J452="","",IF(COUNTIF($I$3:I452,J452)+COUNTIF($J$3:J452,J452)+COUNTIF($K$2:K451,J452)=1,MAX($BN$2:BP451,BN452)+1,""))</f>
      </c>
      <c r="BP452" s="129">
        <f>IF(K452="","",IF(COUNTIF($I$3:I452,K452)+COUNTIF($J$3:J452,K452)+COUNTIF($K$3:K452,K452)=1,MAX($BN$2:BP451,BN452,BO452)+1,""))</f>
      </c>
      <c r="BQ452" s="129">
        <f>IF(AY452=1,IFERROR(MID(Q452,FIND(" (",Q452)+2,FIND(")",Q452,FIND(" (",Q452))-FIND(" (",Q452)-2),"?"),"")</f>
      </c>
      <c r="BR452" s="129">
        <f>IF(BQ452="","",IF(COUNTIF($BQ$3:BQ452,BQ452)=1,MAX($BR$2:BR451)+1,""))</f>
      </c>
      <c r="BS452" s="129">
        <f>IF(AW452="","",COUNTIF($AW$3:AW452,"?*"))</f>
      </c>
      <c r="BT452" s="129">
        <f>IF(OR(AW452="",AI452=""),"",IF(COUNTIFS($AW$3:AW452,"?*",$AI$3:AI452,AI452)=1,MAX($BT$2:BT451)+1,""))</f>
      </c>
      <c r="BU452" s="129">
        <f>IF(AE452="",0,IF(OR(ISNUMBER(SEARCH("дубль",AE452)),ISNUMBER(SEARCH("ПЕРЕГРУЗ",AE452)),ISNUMBER(SEARCH("ЗАЩИЩ",AE452)),ISNUMBER(SEARCH("КАНАЛ",AE452)),ISNUMBER(SEARCH("без 30",AE452))),2,1))</f>
      </c>
      <c r="BV452" s="129">
        <f>IF(R452="","",COUNTIF($R$3:R452,"?*"))</f>
      </c>
      <c r="BW452" s="129">
        <f>IF(AY452&lt;&gt;1,0,IF(MAX(IFERROR(--VLOOKUP(R452,УГО_спр,5,FALSE),0),IFERROR(--VLOOKUP(AL452,УГО_спр,5,FALSE),0),IFERROR(--VLOOKUP(LEFT(AL452,2),УГО_спр,5,FALSE),0))&gt;0,MAX(IFERROR(--VLOOKUP(R452,УГО_спр,5,FALSE),0),IFERROR(--VLOOKUP(AL452,УГО_спр,5,FALSE),0),IFERROR(--VLOOKUP(LEFT(AL452,2),УГО_спр,5,FALSE),0)),IF(IFERROR(--LEFT(SUBSTITUTE(BQ452,"x","х"),FIND("х",SUBSTITUTE(BQ452,"x","х"))-1),3)&gt;3,Каталог!$S$9,1)))</f>
      </c>
      <c r="BX452" s="129">
        <f>IF(AY452&lt;&gt;1,0,MAX(0,IFERROR(--LEFT(SUBSTITUTE(BQ452,"x","х"),FIND("х",SUBSTITUTE(BQ452,"x","х"))-1),3)-3*BW452))</f>
      </c>
      <c r="BY452" s="129">
        <f>IF(R452="","",IFERROR(VLOOKUP(R452,УГО_спр,2,FALSE),IFERROR(VLOOKUP(AL452,УГО_спр,2,FALSE),IFERROR(VLOOKUP(LEFT(AL452,2),УГО_спр,2,FALSE),""))))</f>
      </c>
    </row>
    <row r="453" spans="1:64" x14ac:dyDescent="0.3">
      <c r="A453" s="135">
        <f>IF(Разбивка_по_щитам!F453=0,"",Разбивка_по_щитам!F453)</f>
      </c>
      <c r="B453" s="138">
        <f>IF(A453="","",Разбивка_по_щитам!C453)</f>
      </c>
      <c r="C453" s="138">
        <f t="shared" si="302"/>
      </c>
      <c r="D453" s="266"/>
      <c r="E453" s="266"/>
      <c r="F453" s="267"/>
      <c r="G453" s="145">
        <f t="shared" si="303"/>
        <v/>
      </c>
      <c r="H453" s="145">
        <f t="shared" si="304"/>
        <v/>
      </c>
      <c r="I453" s="266"/>
      <c r="J453" s="267"/>
      <c r="K453" s="267"/>
      <c r="L453" s="266"/>
      <c r="M453" s="147">
        <f t="shared" si="305"/>
        <v/>
      </c>
      <c r="N453" s="267"/>
      <c r="O453" s="147">
        <f t="shared" si="306"/>
        <v/>
      </c>
      <c r="P453" s="268">
        <f>IF(AY453=1,"XT"&amp;COUNTIFS($A$3:A453,A453,$AY$3:AY453,1),"")</f>
        <v/>
      </c>
      <c r="Q453" s="152">
        <f>IF(R453="","",IFERROR(SUBSTITUTE(Разбивка_по_щитам!P453,CHAR(10)," "),""))</f>
        <v/>
      </c>
      <c r="R453" s="153">
        <f>IF(OR(Разбивка_по_щитам!H453="",Разбивка_по_щитам!H453=0),"",Разбивка_по_щитам!H453)</f>
        <v/>
      </c>
      <c r="S453" s="154">
        <f>IF(R453="","",IFERROR(Разбивка_по_щитам!J453&amp;"",""))</f>
        <v/>
      </c>
      <c r="T453" s="155">
        <f>IF(R453="","",IFERROR(--Разбивка_по_щитам!L453,""))</f>
        <v/>
      </c>
      <c r="U453" s="155">
        <f>IF(R453="","",IFERROR(--Разбивка_по_щитам!K453,""))</f>
        <v/>
      </c>
      <c r="V453" s="138">
        <f>IF(R453="","",IFERROR(IF(Разбивка_по_щитам!M453=0,"",Разбивка_по_щитам!M453),""))</f>
        <v/>
      </c>
      <c r="W453" s="156">
        <f t="shared" si="307"/>
        <v/>
      </c>
      <c r="X453" s="157">
        <f t="shared" si="308"/>
        <v/>
      </c>
      <c r="Y453" s="266"/>
      <c r="Z453" s="158">
        <f t="shared" si="309"/>
        <v/>
      </c>
      <c r="AA453" s="160">
        <f t="shared" si="310"/>
        <v/>
      </c>
      <c r="AB453" s="160">
        <f>IF(R453="","",IFERROR(LOOKUP(INDEX(Справочная!$I$4:$I$19,MATCH(VLOOKUP(R453,Исходные_данные,22,FALSE),Справочная!$J$4:$J$19,0)+1),{6,10,16,20,25,32,40,50,63,80,100,125}),""))</f>
        <v/>
      </c>
      <c r="AC453" s="160">
        <f t="shared" si="311"/>
        <v/>
      </c>
      <c r="AD453" s="161">
        <f t="shared" si="312"/>
        <v/>
      </c>
      <c r="AE453" s="161">
        <f>IF(AND(R453="",G453=""),"",_xlfn.TEXTJOIN("; ",TRUE,IF(AND(R453&lt;&gt;"",V453=""),"нет фазы",""),IF(AND(R453&lt;&gt;"",N(T453)=0),"нет мощности",""),IF(AND(P453&lt;&gt;"",COUNTIFS($A$3:$A$1000,A453,$P$3:$P$1000,P453)&gt;1),"дубль клеммы "&amp;P453,""),IF(AND(W453&lt;&gt;"",W453&lt;&gt;"ok"),W453,""),IF(X453&lt;&gt;"",X453,""),IF(AND(ISNUMBER(SEARCH("(5х",Q453)),N(AK453)=1),"5 жил на 1 фазе",""),IF(AND(AL453="R",E453&lt;&gt;"",N(AS453)=0),"розетка без 30 мА",""),IF(IFERROR(_xlfn.NUMBERVALUE(MID(Q453,FIND("-",Q453,FIND("L=",Q453))+1,FIND("%",Q453)-FIND("-",Q453,FIND("L=",Q453))-1),","),0)&gt;4,"потери &gt; 4 %","")))</f>
      </c>
      <c r="AF453" s="129">
        <f>IF(E453&lt;&gt;"",COUNTIFS($A$3:A453,A453,$E$3:E453,"?*"),IF(OR(A453&lt;&gt;A452,Y453="вручную"),"",AF452))</f>
      </c>
      <c r="AG453" s="129">
        <f t="shared" si="313"/>
      </c>
      <c r="AH453" s="129">
        <f t="shared" si="314"/>
        <v/>
      </c>
      <c r="AI453" s="129">
        <f t="shared" si="315"/>
        <v/>
      </c>
      <c r="AJ453" s="129">
        <f t="shared" si="316"/>
        <v/>
      </c>
      <c r="AK453" s="129">
        <f t="shared" si="317"/>
        <v/>
      </c>
      <c r="AL453" s="129">
        <f t="shared" si="318"/>
        <v/>
      </c>
      <c r="AM453" s="129">
        <f t="shared" si="319"/>
      </c>
      <c r="AN453" s="129">
        <f t="shared" si="320"/>
      </c>
      <c r="AO453" s="129">
        <f t="shared" si="321"/>
        <v/>
      </c>
      <c r="AP453" s="129">
        <f t="shared" si="322"/>
        <v/>
      </c>
      <c r="AQ453" s="129">
        <f t="shared" si="323"/>
        <v/>
      </c>
      <c r="AR453" s="129">
        <f t="shared" si="324"/>
        <v/>
      </c>
      <c r="AS453" s="129">
        <f t="shared" si="325"/>
        <v/>
      </c>
      <c r="AT453" s="129">
        <f t="shared" si="326"/>
        <v/>
      </c>
      <c r="AU453" s="129">
        <f t="shared" si="327"/>
        <v/>
      </c>
      <c r="AV453" s="129">
        <f t="shared" si="328"/>
        <v/>
      </c>
      <c r="AW453" s="129">
        <f>IF(AV453="","",AV453&amp;"."&amp;COUNTIFS($A$3:A453,A453,$AV$3:AV453,AV453))</f>
        <v/>
      </c>
      <c r="AX453" s="129">
        <f t="shared" si="329"/>
        <v/>
      </c>
      <c r="AY453" s="129">
        <f>IF(N453="б/к",0,IF(OR(ISNUMBER(SEARCH("L=",Разбивка_по_щитам!P453)),N453="+",N453="="),1,0))</f>
      </c>
      <c r="AZ453" s="129">
        <f t="shared" si="330"/>
      </c>
      <c r="BA453" s="129">
        <f t="shared" si="331"/>
      </c>
      <c r="BB453" s="129">
        <f t="shared" si="332"/>
      </c>
      <c r="BD453" s="129">
        <f t="shared" si="333"/>
      </c>
      <c r="BE453" s="129">
        <f t="shared" si="334"/>
      </c>
      <c r="BF453" s="129">
        <f t="shared" si="335"/>
      </c>
      <c r="BG453" s="129">
        <f t="shared" si="336"/>
        <v/>
      </c>
      <c r="BH453" s="129">
        <f t="shared" si="337"/>
        <v/>
      </c>
      <c r="BI453" s="129">
        <f t="shared" si="338"/>
        <v/>
      </c>
      <c r="BJ453" s="129">
        <f t="shared" si="339"/>
        <v/>
      </c>
      <c r="BK453" s="129">
        <f>IF(R453="","",IF(OR(BY453="",BY453=0),"BOX",IFERROR(IF(VLOOKUP(BY453,УГО_блоки,3,FALSE)&amp;""&lt;&gt;"",VLOOKUP(BY453,УГО_блоки,3,FALSE),VLOOKUP(BY453,УГО_блоки,2,FALSE)),BY453)))</f>
      </c>
      <c r="BL453" s="129">
        <f t="shared" si="341"/>
      </c>
      <c r="BM453" s="129">
        <f>IF(H453="","",IF(COUNTIF($H$3:H453,H453)=1,MAX($BM$2:BM452)+1,""))</f>
      </c>
      <c r="BN453" s="129">
        <f>IF(I453="","",IF(COUNTIF($I$3:I453,I453)+COUNTIF($J$2:J452,I453)+COUNTIF($K$2:K452,I453)=1,MAX($BN$2:BP452)+1,""))</f>
      </c>
      <c r="BO453" s="129">
        <f>IF(J453="","",IF(COUNTIF($I$3:I453,J453)+COUNTIF($J$3:J453,J453)+COUNTIF($K$2:K452,J453)=1,MAX($BN$2:BP452,BN453)+1,""))</f>
      </c>
      <c r="BP453" s="129">
        <f>IF(K453="","",IF(COUNTIF($I$3:I453,K453)+COUNTIF($J$3:J453,K453)+COUNTIF($K$3:K453,K453)=1,MAX($BN$2:BP452,BN453,BO453)+1,""))</f>
      </c>
      <c r="BQ453" s="129">
        <f>IF(AY453=1,IFERROR(MID(Q453,FIND(" (",Q453)+2,FIND(")",Q453,FIND(" (",Q453))-FIND(" (",Q453)-2),"?"),"")</f>
      </c>
      <c r="BR453" s="129">
        <f>IF(BQ453="","",IF(COUNTIF($BQ$3:BQ453,BQ453)=1,MAX($BR$2:BR452)+1,""))</f>
      </c>
      <c r="BS453" s="129">
        <f>IF(AW453="","",COUNTIF($AW$3:AW453,"?*"))</f>
      </c>
      <c r="BT453" s="129">
        <f>IF(OR(AW453="",AI453=""),"",IF(COUNTIFS($AW$3:AW453,"?*",$AI$3:AI453,AI453)=1,MAX($BT$2:BT452)+1,""))</f>
      </c>
      <c r="BU453" s="129">
        <f>IF(AE453="",0,IF(OR(ISNUMBER(SEARCH("дубль",AE453)),ISNUMBER(SEARCH("ПЕРЕГРУЗ",AE453)),ISNUMBER(SEARCH("ЗАЩИЩ",AE453)),ISNUMBER(SEARCH("КАНАЛ",AE453)),ISNUMBER(SEARCH("без 30",AE453))),2,1))</f>
      </c>
      <c r="BV453" s="129">
        <f>IF(R453="","",COUNTIF($R$3:R453,"?*"))</f>
      </c>
      <c r="BW453" s="129">
        <f>IF(AY453&lt;&gt;1,0,IF(MAX(IFERROR(--VLOOKUP(R453,УГО_спр,5,FALSE),0),IFERROR(--VLOOKUP(AL453,УГО_спр,5,FALSE),0),IFERROR(--VLOOKUP(LEFT(AL453,2),УГО_спр,5,FALSE),0))&gt;0,MAX(IFERROR(--VLOOKUP(R453,УГО_спр,5,FALSE),0),IFERROR(--VLOOKUP(AL453,УГО_спр,5,FALSE),0),IFERROR(--VLOOKUP(LEFT(AL453,2),УГО_спр,5,FALSE),0)),IF(IFERROR(--LEFT(SUBSTITUTE(BQ453,"x","х"),FIND("х",SUBSTITUTE(BQ453,"x","х"))-1),3)&gt;3,Каталог!$S$9,1)))</f>
      </c>
      <c r="BX453" s="129">
        <f>IF(AY453&lt;&gt;1,0,MAX(0,IFERROR(--LEFT(SUBSTITUTE(BQ453,"x","х"),FIND("х",SUBSTITUTE(BQ453,"x","х"))-1),3)-3*BW453))</f>
      </c>
      <c r="BY453" s="129">
        <f>IF(R453="","",IFERROR(VLOOKUP(R453,УГО_спр,2,FALSE),IFERROR(VLOOKUP(AL453,УГО_спр,2,FALSE),IFERROR(VLOOKUP(LEFT(AL453,2),УГО_спр,2,FALSE),""))))</f>
      </c>
    </row>
    <row r="454" spans="1:64" x14ac:dyDescent="0.3">
      <c r="A454" s="135">
        <f>IF(Разбивка_по_щитам!F454=0,"",Разбивка_по_щитам!F454)</f>
      </c>
      <c r="B454" s="138">
        <f>IF(A454="","",Разбивка_по_щитам!C454)</f>
      </c>
      <c r="C454" s="138">
        <f t="shared" si="302"/>
      </c>
      <c r="D454" s="266"/>
      <c r="E454" s="266"/>
      <c r="F454" s="267"/>
      <c r="G454" s="145">
        <f t="shared" si="303"/>
        <v/>
      </c>
      <c r="H454" s="145">
        <f t="shared" si="304"/>
        <v/>
      </c>
      <c r="I454" s="266"/>
      <c r="J454" s="267"/>
      <c r="K454" s="267"/>
      <c r="L454" s="266"/>
      <c r="M454" s="147">
        <f t="shared" si="305"/>
        <v/>
      </c>
      <c r="N454" s="267"/>
      <c r="O454" s="147">
        <f t="shared" si="306"/>
        <v/>
      </c>
      <c r="P454" s="268">
        <f>IF(AY454=1,"XT"&amp;COUNTIFS($A$3:A454,A454,$AY$3:AY454,1),"")</f>
        <v/>
      </c>
      <c r="Q454" s="152">
        <f>IF(R454="","",IFERROR(SUBSTITUTE(Разбивка_по_щитам!P454,CHAR(10)," "),""))</f>
        <v/>
      </c>
      <c r="R454" s="153">
        <f>IF(OR(Разбивка_по_щитам!H454="",Разбивка_по_щитам!H454=0),"",Разбивка_по_щитам!H454)</f>
        <v/>
      </c>
      <c r="S454" s="154">
        <f>IF(R454="","",IFERROR(Разбивка_по_щитам!J454&amp;"",""))</f>
        <v/>
      </c>
      <c r="T454" s="155">
        <f>IF(R454="","",IFERROR(--Разбивка_по_щитам!L454,""))</f>
        <v/>
      </c>
      <c r="U454" s="155">
        <f>IF(R454="","",IFERROR(--Разбивка_по_щитам!K454,""))</f>
        <v/>
      </c>
      <c r="V454" s="138">
        <f>IF(R454="","",IFERROR(IF(Разбивка_по_щитам!M454=0,"",Разбивка_по_щитам!M454),""))</f>
        <v/>
      </c>
      <c r="W454" s="156">
        <f t="shared" si="307"/>
        <v/>
      </c>
      <c r="X454" s="157">
        <f t="shared" si="308"/>
        <v/>
      </c>
      <c r="Y454" s="266"/>
      <c r="Z454" s="158">
        <f t="shared" si="309"/>
        <v/>
      </c>
      <c r="AA454" s="160">
        <f t="shared" si="310"/>
        <v/>
      </c>
      <c r="AB454" s="160">
        <f>IF(R454="","",IFERROR(LOOKUP(INDEX(Справочная!$I$4:$I$19,MATCH(VLOOKUP(R454,Исходные_данные,22,FALSE),Справочная!$J$4:$J$19,0)+1),{6,10,16,20,25,32,40,50,63,80,100,125}),""))</f>
        <v/>
      </c>
      <c r="AC454" s="160">
        <f t="shared" si="311"/>
        <v/>
      </c>
      <c r="AD454" s="161">
        <f t="shared" si="312"/>
        <v/>
      </c>
      <c r="AE454" s="161">
        <f>IF(AND(R454="",G454=""),"",_xlfn.TEXTJOIN("; ",TRUE,IF(AND(R454&lt;&gt;"",V454=""),"нет фазы",""),IF(AND(R454&lt;&gt;"",N(T454)=0),"нет мощности",""),IF(AND(P454&lt;&gt;"",COUNTIFS($A$3:$A$1000,A454,$P$3:$P$1000,P454)&gt;1),"дубль клеммы "&amp;P454,""),IF(AND(W454&lt;&gt;"",W454&lt;&gt;"ok"),W454,""),IF(X454&lt;&gt;"",X454,""),IF(AND(ISNUMBER(SEARCH("(5х",Q454)),N(AK454)=1),"5 жил на 1 фазе",""),IF(AND(AL454="R",E454&lt;&gt;"",N(AS454)=0),"розетка без 30 мА",""),IF(IFERROR(_xlfn.NUMBERVALUE(MID(Q454,FIND("-",Q454,FIND("L=",Q454))+1,FIND("%",Q454)-FIND("-",Q454,FIND("L=",Q454))-1),","),0)&gt;4,"потери &gt; 4 %","")))</f>
      </c>
      <c r="AF454" s="129">
        <f>IF(E454&lt;&gt;"",COUNTIFS($A$3:A454,A454,$E$3:E454,"?*"),IF(OR(A454&lt;&gt;A453,Y454="вручную"),"",AF453))</f>
      </c>
      <c r="AG454" s="129">
        <f t="shared" si="313"/>
      </c>
      <c r="AH454" s="129">
        <f t="shared" si="314"/>
        <v/>
      </c>
      <c r="AI454" s="129">
        <f t="shared" si="315"/>
        <v/>
      </c>
      <c r="AJ454" s="129">
        <f t="shared" si="316"/>
        <v/>
      </c>
      <c r="AK454" s="129">
        <f t="shared" si="317"/>
        <v/>
      </c>
      <c r="AL454" s="129">
        <f t="shared" si="318"/>
        <v/>
      </c>
      <c r="AM454" s="129">
        <f t="shared" si="319"/>
      </c>
      <c r="AN454" s="129">
        <f t="shared" si="320"/>
      </c>
      <c r="AO454" s="129">
        <f t="shared" si="321"/>
        <v/>
      </c>
      <c r="AP454" s="129">
        <f t="shared" si="322"/>
        <v/>
      </c>
      <c r="AQ454" s="129">
        <f t="shared" si="323"/>
        <v/>
      </c>
      <c r="AR454" s="129">
        <f t="shared" si="324"/>
        <v/>
      </c>
      <c r="AS454" s="129">
        <f t="shared" si="325"/>
        <v/>
      </c>
      <c r="AT454" s="129">
        <f t="shared" si="326"/>
        <v/>
      </c>
      <c r="AU454" s="129">
        <f t="shared" si="327"/>
        <v/>
      </c>
      <c r="AV454" s="129">
        <f t="shared" si="328"/>
        <v/>
      </c>
      <c r="AW454" s="129">
        <f>IF(AV454="","",AV454&amp;"."&amp;COUNTIFS($A$3:A454,A454,$AV$3:AV454,AV454))</f>
        <v/>
      </c>
      <c r="AX454" s="129">
        <f t="shared" si="329"/>
        <v/>
      </c>
      <c r="AY454" s="129">
        <f>IF(N454="б/к",0,IF(OR(ISNUMBER(SEARCH("L=",Разбивка_по_щитам!P454)),N454="+",N454="="),1,0))</f>
      </c>
      <c r="AZ454" s="129">
        <f t="shared" si="330"/>
      </c>
      <c r="BA454" s="129">
        <f t="shared" si="331"/>
      </c>
      <c r="BB454" s="129">
        <f t="shared" si="332"/>
      </c>
      <c r="BD454" s="129">
        <f t="shared" si="333"/>
      </c>
      <c r="BE454" s="129">
        <f t="shared" si="334"/>
      </c>
      <c r="BF454" s="129">
        <f t="shared" si="335"/>
      </c>
      <c r="BG454" s="129">
        <f t="shared" si="336"/>
        <v/>
      </c>
      <c r="BH454" s="129">
        <f t="shared" si="337"/>
        <v/>
      </c>
      <c r="BI454" s="129">
        <f t="shared" si="338"/>
        <v/>
      </c>
      <c r="BJ454" s="129">
        <f t="shared" si="339"/>
        <v/>
      </c>
      <c r="BK454" s="129">
        <f>IF(R454="","",IF(OR(BY454="",BY454=0),"BOX",IFERROR(IF(VLOOKUP(BY454,УГО_блоки,3,FALSE)&amp;""&lt;&gt;"",VLOOKUP(BY454,УГО_блоки,3,FALSE),VLOOKUP(BY454,УГО_блоки,2,FALSE)),BY454)))</f>
      </c>
      <c r="BL454" s="129">
        <f t="shared" si="341"/>
      </c>
      <c r="BM454" s="129">
        <f>IF(H454="","",IF(COUNTIF($H$3:H454,H454)=1,MAX($BM$2:BM453)+1,""))</f>
      </c>
      <c r="BN454" s="129">
        <f>IF(I454="","",IF(COUNTIF($I$3:I454,I454)+COUNTIF($J$2:J453,I454)+COUNTIF($K$2:K453,I454)=1,MAX($BN$2:BP453)+1,""))</f>
      </c>
      <c r="BO454" s="129">
        <f>IF(J454="","",IF(COUNTIF($I$3:I454,J454)+COUNTIF($J$3:J454,J454)+COUNTIF($K$2:K453,J454)=1,MAX($BN$2:BP453,BN454)+1,""))</f>
      </c>
      <c r="BP454" s="129">
        <f>IF(K454="","",IF(COUNTIF($I$3:I454,K454)+COUNTIF($J$3:J454,K454)+COUNTIF($K$3:K454,K454)=1,MAX($BN$2:BP453,BN454,BO454)+1,""))</f>
      </c>
      <c r="BQ454" s="129">
        <f>IF(AY454=1,IFERROR(MID(Q454,FIND(" (",Q454)+2,FIND(")",Q454,FIND(" (",Q454))-FIND(" (",Q454)-2),"?"),"")</f>
      </c>
      <c r="BR454" s="129">
        <f>IF(BQ454="","",IF(COUNTIF($BQ$3:BQ454,BQ454)=1,MAX($BR$2:BR453)+1,""))</f>
      </c>
      <c r="BS454" s="129">
        <f>IF(AW454="","",COUNTIF($AW$3:AW454,"?*"))</f>
      </c>
      <c r="BT454" s="129">
        <f>IF(OR(AW454="",AI454=""),"",IF(COUNTIFS($AW$3:AW454,"?*",$AI$3:AI454,AI454)=1,MAX($BT$2:BT453)+1,""))</f>
      </c>
      <c r="BU454" s="129">
        <f>IF(AE454="",0,IF(OR(ISNUMBER(SEARCH("дубль",AE454)),ISNUMBER(SEARCH("ПЕРЕГРУЗ",AE454)),ISNUMBER(SEARCH("ЗАЩИЩ",AE454)),ISNUMBER(SEARCH("КАНАЛ",AE454)),ISNUMBER(SEARCH("без 30",AE454))),2,1))</f>
      </c>
      <c r="BV454" s="129">
        <f>IF(R454="","",COUNTIF($R$3:R454,"?*"))</f>
      </c>
      <c r="BW454" s="129">
        <f>IF(AY454&lt;&gt;1,0,IF(MAX(IFERROR(--VLOOKUP(R454,УГО_спр,5,FALSE),0),IFERROR(--VLOOKUP(AL454,УГО_спр,5,FALSE),0),IFERROR(--VLOOKUP(LEFT(AL454,2),УГО_спр,5,FALSE),0))&gt;0,MAX(IFERROR(--VLOOKUP(R454,УГО_спр,5,FALSE),0),IFERROR(--VLOOKUP(AL454,УГО_спр,5,FALSE),0),IFERROR(--VLOOKUP(LEFT(AL454,2),УГО_спр,5,FALSE),0)),IF(IFERROR(--LEFT(SUBSTITUTE(BQ454,"x","х"),FIND("х",SUBSTITUTE(BQ454,"x","х"))-1),3)&gt;3,Каталог!$S$9,1)))</f>
      </c>
      <c r="BX454" s="129">
        <f>IF(AY454&lt;&gt;1,0,MAX(0,IFERROR(--LEFT(SUBSTITUTE(BQ454,"x","х"),FIND("х",SUBSTITUTE(BQ454,"x","х"))-1),3)-3*BW454))</f>
      </c>
      <c r="BY454" s="129">
        <f>IF(R454="","",IFERROR(VLOOKUP(R454,УГО_спр,2,FALSE),IFERROR(VLOOKUP(AL454,УГО_спр,2,FALSE),IFERROR(VLOOKUP(LEFT(AL454,2),УГО_спр,2,FALSE),""))))</f>
      </c>
    </row>
    <row r="455" spans="1:64" x14ac:dyDescent="0.3">
      <c r="A455" s="135">
        <f>IF(Разбивка_по_щитам!F455=0,"",Разбивка_по_щитам!F455)</f>
      </c>
      <c r="B455" s="138">
        <f>IF(A455="","",Разбивка_по_щитам!C455)</f>
      </c>
      <c r="C455" s="138">
        <f t="shared" si="302"/>
      </c>
      <c r="D455" s="266"/>
      <c r="E455" s="266"/>
      <c r="F455" s="267"/>
      <c r="G455" s="145">
        <f t="shared" si="303"/>
        <v/>
      </c>
      <c r="H455" s="145">
        <f t="shared" si="304"/>
        <v/>
      </c>
      <c r="I455" s="266"/>
      <c r="J455" s="267"/>
      <c r="K455" s="267"/>
      <c r="L455" s="266"/>
      <c r="M455" s="147">
        <f t="shared" si="305"/>
        <v/>
      </c>
      <c r="N455" s="267"/>
      <c r="O455" s="147">
        <f t="shared" si="306"/>
        <v/>
      </c>
      <c r="P455" s="268">
        <f>IF(AY455=1,"XT"&amp;COUNTIFS($A$3:A455,A455,$AY$3:AY455,1),"")</f>
        <v/>
      </c>
      <c r="Q455" s="152">
        <f>IF(R455="","",IFERROR(SUBSTITUTE(Разбивка_по_щитам!P455,CHAR(10)," "),""))</f>
        <v/>
      </c>
      <c r="R455" s="153">
        <f>IF(OR(Разбивка_по_щитам!H455="",Разбивка_по_щитам!H455=0),"",Разбивка_по_щитам!H455)</f>
        <v/>
      </c>
      <c r="S455" s="154">
        <f>IF(R455="","",IFERROR(Разбивка_по_щитам!J455&amp;"",""))</f>
        <v/>
      </c>
      <c r="T455" s="155">
        <f>IF(R455="","",IFERROR(--Разбивка_по_щитам!L455,""))</f>
        <v/>
      </c>
      <c r="U455" s="155">
        <f>IF(R455="","",IFERROR(--Разбивка_по_щитам!K455,""))</f>
        <v/>
      </c>
      <c r="V455" s="138">
        <f>IF(R455="","",IFERROR(IF(Разбивка_по_щитам!M455=0,"",Разбивка_по_щитам!M455),""))</f>
        <v/>
      </c>
      <c r="W455" s="156">
        <f t="shared" si="307"/>
        <v/>
      </c>
      <c r="X455" s="157">
        <f t="shared" si="308"/>
        <v/>
      </c>
      <c r="Y455" s="266"/>
      <c r="Z455" s="158">
        <f t="shared" si="309"/>
        <v/>
      </c>
      <c r="AA455" s="160">
        <f t="shared" si="310"/>
        <v/>
      </c>
      <c r="AB455" s="160">
        <f>IF(R455="","",IFERROR(LOOKUP(INDEX(Справочная!$I$4:$I$19,MATCH(VLOOKUP(R455,Исходные_данные,22,FALSE),Справочная!$J$4:$J$19,0)+1),{6,10,16,20,25,32,40,50,63,80,100,125}),""))</f>
        <v/>
      </c>
      <c r="AC455" s="160">
        <f t="shared" si="311"/>
        <v/>
      </c>
      <c r="AD455" s="161">
        <f t="shared" si="312"/>
        <v/>
      </c>
      <c r="AE455" s="161">
        <f>IF(AND(R455="",G455=""),"",_xlfn.TEXTJOIN("; ",TRUE,IF(AND(R455&lt;&gt;"",V455=""),"нет фазы",""),IF(AND(R455&lt;&gt;"",N(T455)=0),"нет мощности",""),IF(AND(P455&lt;&gt;"",COUNTIFS($A$3:$A$1000,A455,$P$3:$P$1000,P455)&gt;1),"дубль клеммы "&amp;P455,""),IF(AND(W455&lt;&gt;"",W455&lt;&gt;"ok"),W455,""),IF(X455&lt;&gt;"",X455,""),IF(AND(ISNUMBER(SEARCH("(5х",Q455)),N(AK455)=1),"5 жил на 1 фазе",""),IF(AND(AL455="R",E455&lt;&gt;"",N(AS455)=0),"розетка без 30 мА",""),IF(IFERROR(_xlfn.NUMBERVALUE(MID(Q455,FIND("-",Q455,FIND("L=",Q455))+1,FIND("%",Q455)-FIND("-",Q455,FIND("L=",Q455))-1),","),0)&gt;4,"потери &gt; 4 %","")))</f>
      </c>
      <c r="AF455" s="129">
        <f>IF(E455&lt;&gt;"",COUNTIFS($A$3:A455,A455,$E$3:E455,"?*"),IF(OR(A455&lt;&gt;A454,Y455="вручную"),"",AF454))</f>
      </c>
      <c r="AG455" s="129">
        <f t="shared" si="313"/>
      </c>
      <c r="AH455" s="129">
        <f t="shared" si="314"/>
        <v/>
      </c>
      <c r="AI455" s="129">
        <f t="shared" si="315"/>
        <v/>
      </c>
      <c r="AJ455" s="129">
        <f t="shared" si="316"/>
        <v/>
      </c>
      <c r="AK455" s="129">
        <f t="shared" si="317"/>
        <v/>
      </c>
      <c r="AL455" s="129">
        <f t="shared" si="318"/>
        <v/>
      </c>
      <c r="AM455" s="129">
        <f t="shared" si="319"/>
      </c>
      <c r="AN455" s="129">
        <f t="shared" si="320"/>
      </c>
      <c r="AO455" s="129">
        <f t="shared" si="321"/>
        <v/>
      </c>
      <c r="AP455" s="129">
        <f t="shared" si="322"/>
        <v/>
      </c>
      <c r="AQ455" s="129">
        <f t="shared" si="323"/>
        <v/>
      </c>
      <c r="AR455" s="129">
        <f t="shared" si="324"/>
        <v/>
      </c>
      <c r="AS455" s="129">
        <f t="shared" si="325"/>
        <v/>
      </c>
      <c r="AT455" s="129">
        <f t="shared" si="326"/>
        <v/>
      </c>
      <c r="AU455" s="129">
        <f t="shared" si="327"/>
        <v/>
      </c>
      <c r="AV455" s="129">
        <f t="shared" si="328"/>
        <v/>
      </c>
      <c r="AW455" s="129">
        <f>IF(AV455="","",AV455&amp;"."&amp;COUNTIFS($A$3:A455,A455,$AV$3:AV455,AV455))</f>
        <v/>
      </c>
      <c r="AX455" s="129">
        <f t="shared" si="329"/>
        <v/>
      </c>
      <c r="AY455" s="129">
        <f>IF(N455="б/к",0,IF(OR(ISNUMBER(SEARCH("L=",Разбивка_по_щитам!P455)),N455="+",N455="="),1,0))</f>
      </c>
      <c r="AZ455" s="129">
        <f t="shared" si="330"/>
      </c>
      <c r="BA455" s="129">
        <f t="shared" si="331"/>
      </c>
      <c r="BB455" s="129">
        <f t="shared" si="332"/>
      </c>
      <c r="BD455" s="129">
        <f t="shared" si="333"/>
      </c>
      <c r="BE455" s="129">
        <f t="shared" si="334"/>
      </c>
      <c r="BF455" s="129">
        <f t="shared" si="335"/>
      </c>
      <c r="BG455" s="129">
        <f t="shared" si="336"/>
        <v/>
      </c>
      <c r="BH455" s="129">
        <f t="shared" si="337"/>
        <v/>
      </c>
      <c r="BI455" s="129">
        <f t="shared" si="338"/>
        <v/>
      </c>
      <c r="BJ455" s="129">
        <f t="shared" si="339"/>
        <v/>
      </c>
      <c r="BK455" s="129">
        <f>IF(R455="","",IF(OR(BY455="",BY455=0),"BOX",IFERROR(IF(VLOOKUP(BY455,УГО_блоки,3,FALSE)&amp;""&lt;&gt;"",VLOOKUP(BY455,УГО_блоки,3,FALSE),VLOOKUP(BY455,УГО_блоки,2,FALSE)),BY455)))</f>
      </c>
      <c r="BL455" s="129">
        <f t="shared" si="341"/>
      </c>
      <c r="BM455" s="129">
        <f>IF(H455="","",IF(COUNTIF($H$3:H455,H455)=1,MAX($BM$2:BM454)+1,""))</f>
      </c>
      <c r="BN455" s="129">
        <f>IF(I455="","",IF(COUNTIF($I$3:I455,I455)+COUNTIF($J$2:J454,I455)+COUNTIF($K$2:K454,I455)=1,MAX($BN$2:BP454)+1,""))</f>
      </c>
      <c r="BO455" s="129">
        <f>IF(J455="","",IF(COUNTIF($I$3:I455,J455)+COUNTIF($J$3:J455,J455)+COUNTIF($K$2:K454,J455)=1,MAX($BN$2:BP454,BN455)+1,""))</f>
      </c>
      <c r="BP455" s="129">
        <f>IF(K455="","",IF(COUNTIF($I$3:I455,K455)+COUNTIF($J$3:J455,K455)+COUNTIF($K$3:K455,K455)=1,MAX($BN$2:BP454,BN455,BO455)+1,""))</f>
      </c>
      <c r="BQ455" s="129">
        <f>IF(AY455=1,IFERROR(MID(Q455,FIND(" (",Q455)+2,FIND(")",Q455,FIND(" (",Q455))-FIND(" (",Q455)-2),"?"),"")</f>
      </c>
      <c r="BR455" s="129">
        <f>IF(BQ455="","",IF(COUNTIF($BQ$3:BQ455,BQ455)=1,MAX($BR$2:BR454)+1,""))</f>
      </c>
      <c r="BS455" s="129">
        <f>IF(AW455="","",COUNTIF($AW$3:AW455,"?*"))</f>
      </c>
      <c r="BT455" s="129">
        <f>IF(OR(AW455="",AI455=""),"",IF(COUNTIFS($AW$3:AW455,"?*",$AI$3:AI455,AI455)=1,MAX($BT$2:BT454)+1,""))</f>
      </c>
      <c r="BU455" s="129">
        <f>IF(AE455="",0,IF(OR(ISNUMBER(SEARCH("дубль",AE455)),ISNUMBER(SEARCH("ПЕРЕГРУЗ",AE455)),ISNUMBER(SEARCH("ЗАЩИЩ",AE455)),ISNUMBER(SEARCH("КАНАЛ",AE455)),ISNUMBER(SEARCH("без 30",AE455))),2,1))</f>
      </c>
      <c r="BV455" s="129">
        <f>IF(R455="","",COUNTIF($R$3:R455,"?*"))</f>
      </c>
      <c r="BW455" s="129">
        <f>IF(AY455&lt;&gt;1,0,IF(MAX(IFERROR(--VLOOKUP(R455,УГО_спр,5,FALSE),0),IFERROR(--VLOOKUP(AL455,УГО_спр,5,FALSE),0),IFERROR(--VLOOKUP(LEFT(AL455,2),УГО_спр,5,FALSE),0))&gt;0,MAX(IFERROR(--VLOOKUP(R455,УГО_спр,5,FALSE),0),IFERROR(--VLOOKUP(AL455,УГО_спр,5,FALSE),0),IFERROR(--VLOOKUP(LEFT(AL455,2),УГО_спр,5,FALSE),0)),IF(IFERROR(--LEFT(SUBSTITUTE(BQ455,"x","х"),FIND("х",SUBSTITUTE(BQ455,"x","х"))-1),3)&gt;3,Каталог!$S$9,1)))</f>
      </c>
      <c r="BX455" s="129">
        <f>IF(AY455&lt;&gt;1,0,MAX(0,IFERROR(--LEFT(SUBSTITUTE(BQ455,"x","х"),FIND("х",SUBSTITUTE(BQ455,"x","х"))-1),3)-3*BW455))</f>
      </c>
      <c r="BY455" s="129">
        <f>IF(R455="","",IFERROR(VLOOKUP(R455,УГО_спр,2,FALSE),IFERROR(VLOOKUP(AL455,УГО_спр,2,FALSE),IFERROR(VLOOKUP(LEFT(AL455,2),УГО_спр,2,FALSE),""))))</f>
      </c>
    </row>
    <row r="456" spans="1:64" x14ac:dyDescent="0.3">
      <c r="A456" s="135">
        <f>IF(Разбивка_по_щитам!F456=0,"",Разбивка_по_щитам!F456)</f>
      </c>
      <c r="B456" s="138">
        <f>IF(A456="","",Разбивка_по_щитам!C456)</f>
      </c>
      <c r="C456" s="138">
        <f t="shared" si="302"/>
      </c>
      <c r="D456" s="266"/>
      <c r="E456" s="266"/>
      <c r="F456" s="267"/>
      <c r="G456" s="145">
        <f t="shared" si="303"/>
        <v/>
      </c>
      <c r="H456" s="145">
        <f t="shared" si="304"/>
        <v/>
      </c>
      <c r="I456" s="266"/>
      <c r="J456" s="267"/>
      <c r="K456" s="267"/>
      <c r="L456" s="266"/>
      <c r="M456" s="147">
        <f t="shared" si="305"/>
        <v/>
      </c>
      <c r="N456" s="267"/>
      <c r="O456" s="147">
        <f t="shared" si="306"/>
        <v/>
      </c>
      <c r="P456" s="268">
        <f>IF(AY456=1,"XT"&amp;COUNTIFS($A$3:A456,A456,$AY$3:AY456,1),"")</f>
        <v/>
      </c>
      <c r="Q456" s="152">
        <f>IF(R456="","",IFERROR(SUBSTITUTE(Разбивка_по_щитам!P456,CHAR(10)," "),""))</f>
        <v/>
      </c>
      <c r="R456" s="153">
        <f>IF(OR(Разбивка_по_щитам!H456="",Разбивка_по_щитам!H456=0),"",Разбивка_по_щитам!H456)</f>
        <v/>
      </c>
      <c r="S456" s="154">
        <f>IF(R456="","",IFERROR(Разбивка_по_щитам!J456&amp;"",""))</f>
        <v/>
      </c>
      <c r="T456" s="155">
        <f>IF(R456="","",IFERROR(--Разбивка_по_щитам!L456,""))</f>
        <v/>
      </c>
      <c r="U456" s="155">
        <f>IF(R456="","",IFERROR(--Разбивка_по_щитам!K456,""))</f>
        <v/>
      </c>
      <c r="V456" s="138">
        <f>IF(R456="","",IFERROR(IF(Разбивка_по_щитам!M456=0,"",Разбивка_по_щитам!M456),""))</f>
        <v/>
      </c>
      <c r="W456" s="156">
        <f t="shared" si="307"/>
        <v/>
      </c>
      <c r="X456" s="157">
        <f t="shared" si="308"/>
        <v/>
      </c>
      <c r="Y456" s="266"/>
      <c r="Z456" s="158">
        <f t="shared" si="309"/>
        <v/>
      </c>
      <c r="AA456" s="160">
        <f t="shared" si="310"/>
        <v/>
      </c>
      <c r="AB456" s="160">
        <f>IF(R456="","",IFERROR(LOOKUP(INDEX(Справочная!$I$4:$I$19,MATCH(VLOOKUP(R456,Исходные_данные,22,FALSE),Справочная!$J$4:$J$19,0)+1),{6,10,16,20,25,32,40,50,63,80,100,125}),""))</f>
        <v/>
      </c>
      <c r="AC456" s="160">
        <f t="shared" si="311"/>
        <v/>
      </c>
      <c r="AD456" s="161">
        <f t="shared" si="312"/>
        <v/>
      </c>
      <c r="AE456" s="161">
        <f>IF(AND(R456="",G456=""),"",_xlfn.TEXTJOIN("; ",TRUE,IF(AND(R456&lt;&gt;"",V456=""),"нет фазы",""),IF(AND(R456&lt;&gt;"",N(T456)=0),"нет мощности",""),IF(AND(P456&lt;&gt;"",COUNTIFS($A$3:$A$1000,A456,$P$3:$P$1000,P456)&gt;1),"дубль клеммы "&amp;P456,""),IF(AND(W456&lt;&gt;"",W456&lt;&gt;"ok"),W456,""),IF(X456&lt;&gt;"",X456,""),IF(AND(ISNUMBER(SEARCH("(5х",Q456)),N(AK456)=1),"5 жил на 1 фазе",""),IF(AND(AL456="R",E456&lt;&gt;"",N(AS456)=0),"розетка без 30 мА",""),IF(IFERROR(_xlfn.NUMBERVALUE(MID(Q456,FIND("-",Q456,FIND("L=",Q456))+1,FIND("%",Q456)-FIND("-",Q456,FIND("L=",Q456))-1),","),0)&gt;4,"потери &gt; 4 %","")))</f>
      </c>
      <c r="AF456" s="129">
        <f>IF(E456&lt;&gt;"",COUNTIFS($A$3:A456,A456,$E$3:E456,"?*"),IF(OR(A456&lt;&gt;A455,Y456="вручную"),"",AF455))</f>
      </c>
      <c r="AG456" s="129">
        <f t="shared" si="313"/>
      </c>
      <c r="AH456" s="129">
        <f t="shared" si="314"/>
        <v/>
      </c>
      <c r="AI456" s="129">
        <f t="shared" si="315"/>
        <v/>
      </c>
      <c r="AJ456" s="129">
        <f t="shared" si="316"/>
        <v/>
      </c>
      <c r="AK456" s="129">
        <f t="shared" si="317"/>
        <v/>
      </c>
      <c r="AL456" s="129">
        <f t="shared" si="318"/>
        <v/>
      </c>
      <c r="AM456" s="129">
        <f t="shared" si="319"/>
      </c>
      <c r="AN456" s="129">
        <f t="shared" si="320"/>
      </c>
      <c r="AO456" s="129">
        <f t="shared" si="321"/>
        <v/>
      </c>
      <c r="AP456" s="129">
        <f t="shared" si="322"/>
        <v/>
      </c>
      <c r="AQ456" s="129">
        <f t="shared" si="323"/>
        <v/>
      </c>
      <c r="AR456" s="129">
        <f t="shared" si="324"/>
        <v/>
      </c>
      <c r="AS456" s="129">
        <f t="shared" si="325"/>
        <v/>
      </c>
      <c r="AT456" s="129">
        <f t="shared" si="326"/>
        <v/>
      </c>
      <c r="AU456" s="129">
        <f t="shared" si="327"/>
        <v/>
      </c>
      <c r="AV456" s="129">
        <f t="shared" si="328"/>
        <v/>
      </c>
      <c r="AW456" s="129">
        <f>IF(AV456="","",AV456&amp;"."&amp;COUNTIFS($A$3:A456,A456,$AV$3:AV456,AV456))</f>
        <v/>
      </c>
      <c r="AX456" s="129">
        <f t="shared" si="329"/>
        <v/>
      </c>
      <c r="AY456" s="129">
        <f>IF(N456="б/к",0,IF(OR(ISNUMBER(SEARCH("L=",Разбивка_по_щитам!P456)),N456="+",N456="="),1,0))</f>
      </c>
      <c r="AZ456" s="129">
        <f t="shared" si="330"/>
      </c>
      <c r="BA456" s="129">
        <f t="shared" si="331"/>
      </c>
      <c r="BB456" s="129">
        <f t="shared" si="332"/>
      </c>
      <c r="BD456" s="129">
        <f t="shared" si="333"/>
      </c>
      <c r="BE456" s="129">
        <f t="shared" si="334"/>
      </c>
      <c r="BF456" s="129">
        <f t="shared" si="335"/>
      </c>
      <c r="BG456" s="129">
        <f t="shared" si="336"/>
        <v/>
      </c>
      <c r="BH456" s="129">
        <f t="shared" si="337"/>
        <v/>
      </c>
      <c r="BI456" s="129">
        <f t="shared" si="338"/>
        <v/>
      </c>
      <c r="BJ456" s="129">
        <f t="shared" si="339"/>
        <v/>
      </c>
      <c r="BK456" s="129">
        <f>IF(R456="","",IF(OR(BY456="",BY456=0),"BOX",IFERROR(IF(VLOOKUP(BY456,УГО_блоки,3,FALSE)&amp;""&lt;&gt;"",VLOOKUP(BY456,УГО_блоки,3,FALSE),VLOOKUP(BY456,УГО_блоки,2,FALSE)),BY456)))</f>
      </c>
      <c r="BL456" s="129">
        <f t="shared" si="341"/>
      </c>
      <c r="BM456" s="129">
        <f>IF(H456="","",IF(COUNTIF($H$3:H456,H456)=1,MAX($BM$2:BM455)+1,""))</f>
      </c>
      <c r="BN456" s="129">
        <f>IF(I456="","",IF(COUNTIF($I$3:I456,I456)+COUNTIF($J$2:J455,I456)+COUNTIF($K$2:K455,I456)=1,MAX($BN$2:BP455)+1,""))</f>
      </c>
      <c r="BO456" s="129">
        <f>IF(J456="","",IF(COUNTIF($I$3:I456,J456)+COUNTIF($J$3:J456,J456)+COUNTIF($K$2:K455,J456)=1,MAX($BN$2:BP455,BN456)+1,""))</f>
      </c>
      <c r="BP456" s="129">
        <f>IF(K456="","",IF(COUNTIF($I$3:I456,K456)+COUNTIF($J$3:J456,K456)+COUNTIF($K$3:K456,K456)=1,MAX($BN$2:BP455,BN456,BO456)+1,""))</f>
      </c>
      <c r="BQ456" s="129">
        <f>IF(AY456=1,IFERROR(MID(Q456,FIND(" (",Q456)+2,FIND(")",Q456,FIND(" (",Q456))-FIND(" (",Q456)-2),"?"),"")</f>
      </c>
      <c r="BR456" s="129">
        <f>IF(BQ456="","",IF(COUNTIF($BQ$3:BQ456,BQ456)=1,MAX($BR$2:BR455)+1,""))</f>
      </c>
      <c r="BS456" s="129">
        <f>IF(AW456="","",COUNTIF($AW$3:AW456,"?*"))</f>
      </c>
      <c r="BT456" s="129">
        <f>IF(OR(AW456="",AI456=""),"",IF(COUNTIFS($AW$3:AW456,"?*",$AI$3:AI456,AI456)=1,MAX($BT$2:BT455)+1,""))</f>
      </c>
      <c r="BU456" s="129">
        <f>IF(AE456="",0,IF(OR(ISNUMBER(SEARCH("дубль",AE456)),ISNUMBER(SEARCH("ПЕРЕГРУЗ",AE456)),ISNUMBER(SEARCH("ЗАЩИЩ",AE456)),ISNUMBER(SEARCH("КАНАЛ",AE456)),ISNUMBER(SEARCH("без 30",AE456))),2,1))</f>
      </c>
      <c r="BV456" s="129">
        <f>IF(R456="","",COUNTIF($R$3:R456,"?*"))</f>
      </c>
      <c r="BW456" s="129">
        <f>IF(AY456&lt;&gt;1,0,IF(MAX(IFERROR(--VLOOKUP(R456,УГО_спр,5,FALSE),0),IFERROR(--VLOOKUP(AL456,УГО_спр,5,FALSE),0),IFERROR(--VLOOKUP(LEFT(AL456,2),УГО_спр,5,FALSE),0))&gt;0,MAX(IFERROR(--VLOOKUP(R456,УГО_спр,5,FALSE),0),IFERROR(--VLOOKUP(AL456,УГО_спр,5,FALSE),0),IFERROR(--VLOOKUP(LEFT(AL456,2),УГО_спр,5,FALSE),0)),IF(IFERROR(--LEFT(SUBSTITUTE(BQ456,"x","х"),FIND("х",SUBSTITUTE(BQ456,"x","х"))-1),3)&gt;3,Каталог!$S$9,1)))</f>
      </c>
      <c r="BX456" s="129">
        <f>IF(AY456&lt;&gt;1,0,MAX(0,IFERROR(--LEFT(SUBSTITUTE(BQ456,"x","х"),FIND("х",SUBSTITUTE(BQ456,"x","х"))-1),3)-3*BW456))</f>
      </c>
      <c r="BY456" s="129">
        <f>IF(R456="","",IFERROR(VLOOKUP(R456,УГО_спр,2,FALSE),IFERROR(VLOOKUP(AL456,УГО_спр,2,FALSE),IFERROR(VLOOKUP(LEFT(AL456,2),УГО_спр,2,FALSE),""))))</f>
      </c>
    </row>
    <row r="457" spans="1:64" x14ac:dyDescent="0.3">
      <c r="A457" s="135">
        <f>IF(Разбивка_по_щитам!F457=0,"",Разбивка_по_щитам!F457)</f>
      </c>
      <c r="B457" s="138">
        <f>IF(A457="","",Разбивка_по_щитам!C457)</f>
      </c>
      <c r="C457" s="138">
        <f t="shared" si="302"/>
      </c>
      <c r="D457" s="266"/>
      <c r="E457" s="266"/>
      <c r="F457" s="267"/>
      <c r="G457" s="145">
        <f t="shared" si="303"/>
        <v/>
      </c>
      <c r="H457" s="145">
        <f t="shared" si="304"/>
        <v/>
      </c>
      <c r="I457" s="266"/>
      <c r="J457" s="267"/>
      <c r="K457" s="267"/>
      <c r="L457" s="266"/>
      <c r="M457" s="147">
        <f t="shared" si="305"/>
        <v/>
      </c>
      <c r="N457" s="267"/>
      <c r="O457" s="147">
        <f t="shared" si="306"/>
        <v/>
      </c>
      <c r="P457" s="268">
        <f>IF(AY457=1,"XT"&amp;COUNTIFS($A$3:A457,A457,$AY$3:AY457,1),"")</f>
        <v/>
      </c>
      <c r="Q457" s="152">
        <f>IF(R457="","",IFERROR(SUBSTITUTE(Разбивка_по_щитам!P457,CHAR(10)," "),""))</f>
        <v/>
      </c>
      <c r="R457" s="153">
        <f>IF(OR(Разбивка_по_щитам!H457="",Разбивка_по_щитам!H457=0),"",Разбивка_по_щитам!H457)</f>
        <v/>
      </c>
      <c r="S457" s="154">
        <f>IF(R457="","",IFERROR(Разбивка_по_щитам!J457&amp;"",""))</f>
        <v/>
      </c>
      <c r="T457" s="155">
        <f>IF(R457="","",IFERROR(--Разбивка_по_щитам!L457,""))</f>
        <v/>
      </c>
      <c r="U457" s="155">
        <f>IF(R457="","",IFERROR(--Разбивка_по_щитам!K457,""))</f>
        <v/>
      </c>
      <c r="V457" s="138">
        <f>IF(R457="","",IFERROR(IF(Разбивка_по_щитам!M457=0,"",Разбивка_по_щитам!M457),""))</f>
        <v/>
      </c>
      <c r="W457" s="156">
        <f t="shared" si="307"/>
        <v/>
      </c>
      <c r="X457" s="157">
        <f t="shared" si="308"/>
        <v/>
      </c>
      <c r="Y457" s="266"/>
      <c r="Z457" s="158">
        <f t="shared" si="309"/>
        <v/>
      </c>
      <c r="AA457" s="160">
        <f t="shared" si="310"/>
        <v/>
      </c>
      <c r="AB457" s="160">
        <f>IF(R457="","",IFERROR(LOOKUP(INDEX(Справочная!$I$4:$I$19,MATCH(VLOOKUP(R457,Исходные_данные,22,FALSE),Справочная!$J$4:$J$19,0)+1),{6,10,16,20,25,32,40,50,63,80,100,125}),""))</f>
        <v/>
      </c>
      <c r="AC457" s="160">
        <f t="shared" si="311"/>
        <v/>
      </c>
      <c r="AD457" s="161">
        <f t="shared" si="312"/>
        <v/>
      </c>
      <c r="AE457" s="161">
        <f>IF(AND(R457="",G457=""),"",_xlfn.TEXTJOIN("; ",TRUE,IF(AND(R457&lt;&gt;"",V457=""),"нет фазы",""),IF(AND(R457&lt;&gt;"",N(T457)=0),"нет мощности",""),IF(AND(P457&lt;&gt;"",COUNTIFS($A$3:$A$1000,A457,$P$3:$P$1000,P457)&gt;1),"дубль клеммы "&amp;P457,""),IF(AND(W457&lt;&gt;"",W457&lt;&gt;"ok"),W457,""),IF(X457&lt;&gt;"",X457,""),IF(AND(ISNUMBER(SEARCH("(5х",Q457)),N(AK457)=1),"5 жил на 1 фазе",""),IF(AND(AL457="R",E457&lt;&gt;"",N(AS457)=0),"розетка без 30 мА",""),IF(IFERROR(_xlfn.NUMBERVALUE(MID(Q457,FIND("-",Q457,FIND("L=",Q457))+1,FIND("%",Q457)-FIND("-",Q457,FIND("L=",Q457))-1),","),0)&gt;4,"потери &gt; 4 %","")))</f>
      </c>
      <c r="AF457" s="129">
        <f>IF(E457&lt;&gt;"",COUNTIFS($A$3:A457,A457,$E$3:E457,"?*"),IF(OR(A457&lt;&gt;A456,Y457="вручную"),"",AF456))</f>
      </c>
      <c r="AG457" s="129">
        <f t="shared" si="313"/>
      </c>
      <c r="AH457" s="129">
        <f t="shared" si="314"/>
        <v/>
      </c>
      <c r="AI457" s="129">
        <f t="shared" si="315"/>
        <v/>
      </c>
      <c r="AJ457" s="129">
        <f t="shared" si="316"/>
        <v/>
      </c>
      <c r="AK457" s="129">
        <f t="shared" si="317"/>
        <v/>
      </c>
      <c r="AL457" s="129">
        <f t="shared" si="318"/>
        <v/>
      </c>
      <c r="AM457" s="129">
        <f t="shared" si="319"/>
      </c>
      <c r="AN457" s="129">
        <f t="shared" si="320"/>
      </c>
      <c r="AO457" s="129">
        <f t="shared" si="321"/>
        <v/>
      </c>
      <c r="AP457" s="129">
        <f t="shared" si="322"/>
        <v/>
      </c>
      <c r="AQ457" s="129">
        <f t="shared" si="323"/>
        <v/>
      </c>
      <c r="AR457" s="129">
        <f t="shared" si="324"/>
        <v/>
      </c>
      <c r="AS457" s="129">
        <f t="shared" si="325"/>
        <v/>
      </c>
      <c r="AT457" s="129">
        <f t="shared" si="326"/>
        <v/>
      </c>
      <c r="AU457" s="129">
        <f t="shared" si="327"/>
        <v/>
      </c>
      <c r="AV457" s="129">
        <f t="shared" si="328"/>
        <v/>
      </c>
      <c r="AW457" s="129">
        <f>IF(AV457="","",AV457&amp;"."&amp;COUNTIFS($A$3:A457,A457,$AV$3:AV457,AV457))</f>
        <v/>
      </c>
      <c r="AX457" s="129">
        <f t="shared" si="329"/>
        <v/>
      </c>
      <c r="AY457" s="129">
        <f>IF(N457="б/к",0,IF(OR(ISNUMBER(SEARCH("L=",Разбивка_по_щитам!P457)),N457="+",N457="="),1,0))</f>
      </c>
      <c r="AZ457" s="129">
        <f t="shared" si="330"/>
      </c>
      <c r="BA457" s="129">
        <f t="shared" si="331"/>
      </c>
      <c r="BB457" s="129">
        <f t="shared" si="332"/>
      </c>
      <c r="BD457" s="129">
        <f t="shared" si="333"/>
      </c>
      <c r="BE457" s="129">
        <f t="shared" si="334"/>
      </c>
      <c r="BF457" s="129">
        <f t="shared" si="335"/>
      </c>
      <c r="BG457" s="129">
        <f t="shared" si="336"/>
        <v/>
      </c>
      <c r="BH457" s="129">
        <f t="shared" si="337"/>
        <v/>
      </c>
      <c r="BI457" s="129">
        <f t="shared" si="338"/>
        <v/>
      </c>
      <c r="BJ457" s="129">
        <f t="shared" si="339"/>
        <v/>
      </c>
      <c r="BK457" s="129">
        <f>IF(R457="","",IF(OR(BY457="",BY457=0),"BOX",IFERROR(IF(VLOOKUP(BY457,УГО_блоки,3,FALSE)&amp;""&lt;&gt;"",VLOOKUP(BY457,УГО_блоки,3,FALSE),VLOOKUP(BY457,УГО_блоки,2,FALSE)),BY457)))</f>
      </c>
      <c r="BL457" s="129">
        <f t="shared" si="341"/>
      </c>
      <c r="BM457" s="129">
        <f>IF(H457="","",IF(COUNTIF($H$3:H457,H457)=1,MAX($BM$2:BM456)+1,""))</f>
      </c>
      <c r="BN457" s="129">
        <f>IF(I457="","",IF(COUNTIF($I$3:I457,I457)+COUNTIF($J$2:J456,I457)+COUNTIF($K$2:K456,I457)=1,MAX($BN$2:BP456)+1,""))</f>
      </c>
      <c r="BO457" s="129">
        <f>IF(J457="","",IF(COUNTIF($I$3:I457,J457)+COUNTIF($J$3:J457,J457)+COUNTIF($K$2:K456,J457)=1,MAX($BN$2:BP456,BN457)+1,""))</f>
      </c>
      <c r="BP457" s="129">
        <f>IF(K457="","",IF(COUNTIF($I$3:I457,K457)+COUNTIF($J$3:J457,K457)+COUNTIF($K$3:K457,K457)=1,MAX($BN$2:BP456,BN457,BO457)+1,""))</f>
      </c>
      <c r="BQ457" s="129">
        <f>IF(AY457=1,IFERROR(MID(Q457,FIND(" (",Q457)+2,FIND(")",Q457,FIND(" (",Q457))-FIND(" (",Q457)-2),"?"),"")</f>
      </c>
      <c r="BR457" s="129">
        <f>IF(BQ457="","",IF(COUNTIF($BQ$3:BQ457,BQ457)=1,MAX($BR$2:BR456)+1,""))</f>
      </c>
      <c r="BS457" s="129">
        <f>IF(AW457="","",COUNTIF($AW$3:AW457,"?*"))</f>
      </c>
      <c r="BT457" s="129">
        <f>IF(OR(AW457="",AI457=""),"",IF(COUNTIFS($AW$3:AW457,"?*",$AI$3:AI457,AI457)=1,MAX($BT$2:BT456)+1,""))</f>
      </c>
      <c r="BU457" s="129">
        <f>IF(AE457="",0,IF(OR(ISNUMBER(SEARCH("дубль",AE457)),ISNUMBER(SEARCH("ПЕРЕГРУЗ",AE457)),ISNUMBER(SEARCH("ЗАЩИЩ",AE457)),ISNUMBER(SEARCH("КАНАЛ",AE457)),ISNUMBER(SEARCH("без 30",AE457))),2,1))</f>
      </c>
      <c r="BV457" s="129">
        <f>IF(R457="","",COUNTIF($R$3:R457,"?*"))</f>
      </c>
      <c r="BW457" s="129">
        <f>IF(AY457&lt;&gt;1,0,IF(MAX(IFERROR(--VLOOKUP(R457,УГО_спр,5,FALSE),0),IFERROR(--VLOOKUP(AL457,УГО_спр,5,FALSE),0),IFERROR(--VLOOKUP(LEFT(AL457,2),УГО_спр,5,FALSE),0))&gt;0,MAX(IFERROR(--VLOOKUP(R457,УГО_спр,5,FALSE),0),IFERROR(--VLOOKUP(AL457,УГО_спр,5,FALSE),0),IFERROR(--VLOOKUP(LEFT(AL457,2),УГО_спр,5,FALSE),0)),IF(IFERROR(--LEFT(SUBSTITUTE(BQ457,"x","х"),FIND("х",SUBSTITUTE(BQ457,"x","х"))-1),3)&gt;3,Каталог!$S$9,1)))</f>
      </c>
      <c r="BX457" s="129">
        <f>IF(AY457&lt;&gt;1,0,MAX(0,IFERROR(--LEFT(SUBSTITUTE(BQ457,"x","х"),FIND("х",SUBSTITUTE(BQ457,"x","х"))-1),3)-3*BW457))</f>
      </c>
      <c r="BY457" s="129">
        <f>IF(R457="","",IFERROR(VLOOKUP(R457,УГО_спр,2,FALSE),IFERROR(VLOOKUP(AL457,УГО_спр,2,FALSE),IFERROR(VLOOKUP(LEFT(AL457,2),УГО_спр,2,FALSE),""))))</f>
      </c>
    </row>
    <row r="458" spans="1:64" x14ac:dyDescent="0.3">
      <c r="A458" s="135">
        <f>IF(Разбивка_по_щитам!F458=0,"",Разбивка_по_щитам!F458)</f>
      </c>
      <c r="B458" s="138">
        <f>IF(A458="","",Разбивка_по_щитам!C458)</f>
      </c>
      <c r="C458" s="138">
        <f t="shared" si="302"/>
      </c>
      <c r="D458" s="266"/>
      <c r="E458" s="266"/>
      <c r="F458" s="267"/>
      <c r="G458" s="145">
        <f t="shared" si="303"/>
        <v/>
      </c>
      <c r="H458" s="145">
        <f t="shared" si="304"/>
        <v/>
      </c>
      <c r="I458" s="266"/>
      <c r="J458" s="267"/>
      <c r="K458" s="267"/>
      <c r="L458" s="266"/>
      <c r="M458" s="147">
        <f t="shared" si="305"/>
        <v/>
      </c>
      <c r="N458" s="267"/>
      <c r="O458" s="147">
        <f t="shared" si="306"/>
        <v/>
      </c>
      <c r="P458" s="268">
        <f>IF(AY458=1,"XT"&amp;COUNTIFS($A$3:A458,A458,$AY$3:AY458,1),"")</f>
        <v/>
      </c>
      <c r="Q458" s="152">
        <f>IF(R458="","",IFERROR(SUBSTITUTE(Разбивка_по_щитам!P458,CHAR(10)," "),""))</f>
        <v/>
      </c>
      <c r="R458" s="153">
        <f>IF(OR(Разбивка_по_щитам!H458="",Разбивка_по_щитам!H458=0),"",Разбивка_по_щитам!H458)</f>
        <v/>
      </c>
      <c r="S458" s="154">
        <f>IF(R458="","",IFERROR(Разбивка_по_щитам!J458&amp;"",""))</f>
        <v/>
      </c>
      <c r="T458" s="155">
        <f>IF(R458="","",IFERROR(--Разбивка_по_щитам!L458,""))</f>
        <v/>
      </c>
      <c r="U458" s="155">
        <f>IF(R458="","",IFERROR(--Разбивка_по_щитам!K458,""))</f>
        <v/>
      </c>
      <c r="V458" s="138">
        <f>IF(R458="","",IFERROR(IF(Разбивка_по_щитам!M458=0,"",Разбивка_по_щитам!M458),""))</f>
        <v/>
      </c>
      <c r="W458" s="156">
        <f t="shared" si="307"/>
        <v/>
      </c>
      <c r="X458" s="157">
        <f t="shared" si="308"/>
        <v/>
      </c>
      <c r="Y458" s="266"/>
      <c r="Z458" s="158">
        <f t="shared" si="309"/>
        <v/>
      </c>
      <c r="AA458" s="160">
        <f t="shared" si="310"/>
        <v/>
      </c>
      <c r="AB458" s="160">
        <f>IF(R458="","",IFERROR(LOOKUP(INDEX(Справочная!$I$4:$I$19,MATCH(VLOOKUP(R458,Исходные_данные,22,FALSE),Справочная!$J$4:$J$19,0)+1),{6,10,16,20,25,32,40,50,63,80,100,125}),""))</f>
        <v/>
      </c>
      <c r="AC458" s="160">
        <f t="shared" si="311"/>
        <v/>
      </c>
      <c r="AD458" s="161">
        <f t="shared" si="312"/>
        <v/>
      </c>
      <c r="AE458" s="161">
        <f>IF(AND(R458="",G458=""),"",_xlfn.TEXTJOIN("; ",TRUE,IF(AND(R458&lt;&gt;"",V458=""),"нет фазы",""),IF(AND(R458&lt;&gt;"",N(T458)=0),"нет мощности",""),IF(AND(P458&lt;&gt;"",COUNTIFS($A$3:$A$1000,A458,$P$3:$P$1000,P458)&gt;1),"дубль клеммы "&amp;P458,""),IF(AND(W458&lt;&gt;"",W458&lt;&gt;"ok"),W458,""),IF(X458&lt;&gt;"",X458,""),IF(AND(ISNUMBER(SEARCH("(5х",Q458)),N(AK458)=1),"5 жил на 1 фазе",""),IF(AND(AL458="R",E458&lt;&gt;"",N(AS458)=0),"розетка без 30 мА",""),IF(IFERROR(_xlfn.NUMBERVALUE(MID(Q458,FIND("-",Q458,FIND("L=",Q458))+1,FIND("%",Q458)-FIND("-",Q458,FIND("L=",Q458))-1),","),0)&gt;4,"потери &gt; 4 %","")))</f>
      </c>
      <c r="AF458" s="129">
        <f>IF(E458&lt;&gt;"",COUNTIFS($A$3:A458,A458,$E$3:E458,"?*"),IF(OR(A458&lt;&gt;A457,Y458="вручную"),"",AF457))</f>
      </c>
      <c r="AG458" s="129">
        <f t="shared" si="313"/>
      </c>
      <c r="AH458" s="129">
        <f t="shared" si="314"/>
        <v/>
      </c>
      <c r="AI458" s="129">
        <f t="shared" si="315"/>
        <v/>
      </c>
      <c r="AJ458" s="129">
        <f t="shared" si="316"/>
        <v/>
      </c>
      <c r="AK458" s="129">
        <f t="shared" si="317"/>
        <v/>
      </c>
      <c r="AL458" s="129">
        <f t="shared" si="318"/>
        <v/>
      </c>
      <c r="AM458" s="129">
        <f t="shared" si="319"/>
      </c>
      <c r="AN458" s="129">
        <f t="shared" si="320"/>
      </c>
      <c r="AO458" s="129">
        <f t="shared" si="321"/>
        <v/>
      </c>
      <c r="AP458" s="129">
        <f t="shared" si="322"/>
        <v/>
      </c>
      <c r="AQ458" s="129">
        <f t="shared" si="323"/>
        <v/>
      </c>
      <c r="AR458" s="129">
        <f t="shared" si="324"/>
        <v/>
      </c>
      <c r="AS458" s="129">
        <f t="shared" si="325"/>
        <v/>
      </c>
      <c r="AT458" s="129">
        <f t="shared" si="326"/>
        <v/>
      </c>
      <c r="AU458" s="129">
        <f t="shared" si="327"/>
        <v/>
      </c>
      <c r="AV458" s="129">
        <f t="shared" si="328"/>
        <v/>
      </c>
      <c r="AW458" s="129">
        <f>IF(AV458="","",AV458&amp;"."&amp;COUNTIFS($A$3:A458,A458,$AV$3:AV458,AV458))</f>
        <v/>
      </c>
      <c r="AX458" s="129">
        <f t="shared" si="329"/>
        <v/>
      </c>
      <c r="AY458" s="129">
        <f>IF(N458="б/к",0,IF(OR(ISNUMBER(SEARCH("L=",Разбивка_по_щитам!P458)),N458="+",N458="="),1,0))</f>
      </c>
      <c r="AZ458" s="129">
        <f t="shared" si="330"/>
      </c>
      <c r="BA458" s="129">
        <f t="shared" si="331"/>
      </c>
      <c r="BB458" s="129">
        <f t="shared" si="332"/>
      </c>
      <c r="BD458" s="129">
        <f t="shared" si="333"/>
      </c>
      <c r="BE458" s="129">
        <f t="shared" si="334"/>
      </c>
      <c r="BF458" s="129">
        <f t="shared" si="335"/>
      </c>
      <c r="BG458" s="129">
        <f t="shared" si="336"/>
        <v/>
      </c>
      <c r="BH458" s="129">
        <f t="shared" si="337"/>
        <v/>
      </c>
      <c r="BI458" s="129">
        <f t="shared" si="338"/>
        <v/>
      </c>
      <c r="BJ458" s="129">
        <f t="shared" si="339"/>
        <v/>
      </c>
      <c r="BK458" s="129">
        <f>IF(R458="","",IF(OR(BY458="",BY458=0),"BOX",IFERROR(IF(VLOOKUP(BY458,УГО_блоки,3,FALSE)&amp;""&lt;&gt;"",VLOOKUP(BY458,УГО_блоки,3,FALSE),VLOOKUP(BY458,УГО_блоки,2,FALSE)),BY458)))</f>
      </c>
      <c r="BL458" s="129">
        <f t="shared" si="341"/>
      </c>
      <c r="BM458" s="129">
        <f>IF(H458="","",IF(COUNTIF($H$3:H458,H458)=1,MAX($BM$2:BM457)+1,""))</f>
      </c>
      <c r="BN458" s="129">
        <f>IF(I458="","",IF(COUNTIF($I$3:I458,I458)+COUNTIF($J$2:J457,I458)+COUNTIF($K$2:K457,I458)=1,MAX($BN$2:BP457)+1,""))</f>
      </c>
      <c r="BO458" s="129">
        <f>IF(J458="","",IF(COUNTIF($I$3:I458,J458)+COUNTIF($J$3:J458,J458)+COUNTIF($K$2:K457,J458)=1,MAX($BN$2:BP457,BN458)+1,""))</f>
      </c>
      <c r="BP458" s="129">
        <f>IF(K458="","",IF(COUNTIF($I$3:I458,K458)+COUNTIF($J$3:J458,K458)+COUNTIF($K$3:K458,K458)=1,MAX($BN$2:BP457,BN458,BO458)+1,""))</f>
      </c>
      <c r="BQ458" s="129">
        <f>IF(AY458=1,IFERROR(MID(Q458,FIND(" (",Q458)+2,FIND(")",Q458,FIND(" (",Q458))-FIND(" (",Q458)-2),"?"),"")</f>
      </c>
      <c r="BR458" s="129">
        <f>IF(BQ458="","",IF(COUNTIF($BQ$3:BQ458,BQ458)=1,MAX($BR$2:BR457)+1,""))</f>
      </c>
      <c r="BS458" s="129">
        <f>IF(AW458="","",COUNTIF($AW$3:AW458,"?*"))</f>
      </c>
      <c r="BT458" s="129">
        <f>IF(OR(AW458="",AI458=""),"",IF(COUNTIFS($AW$3:AW458,"?*",$AI$3:AI458,AI458)=1,MAX($BT$2:BT457)+1,""))</f>
      </c>
      <c r="BU458" s="129">
        <f>IF(AE458="",0,IF(OR(ISNUMBER(SEARCH("дубль",AE458)),ISNUMBER(SEARCH("ПЕРЕГРУЗ",AE458)),ISNUMBER(SEARCH("ЗАЩИЩ",AE458)),ISNUMBER(SEARCH("КАНАЛ",AE458)),ISNUMBER(SEARCH("без 30",AE458))),2,1))</f>
      </c>
      <c r="BV458" s="129">
        <f>IF(R458="","",COUNTIF($R$3:R458,"?*"))</f>
      </c>
      <c r="BW458" s="129">
        <f>IF(AY458&lt;&gt;1,0,IF(MAX(IFERROR(--VLOOKUP(R458,УГО_спр,5,FALSE),0),IFERROR(--VLOOKUP(AL458,УГО_спр,5,FALSE),0),IFERROR(--VLOOKUP(LEFT(AL458,2),УГО_спр,5,FALSE),0))&gt;0,MAX(IFERROR(--VLOOKUP(R458,УГО_спр,5,FALSE),0),IFERROR(--VLOOKUP(AL458,УГО_спр,5,FALSE),0),IFERROR(--VLOOKUP(LEFT(AL458,2),УГО_спр,5,FALSE),0)),IF(IFERROR(--LEFT(SUBSTITUTE(BQ458,"x","х"),FIND("х",SUBSTITUTE(BQ458,"x","х"))-1),3)&gt;3,Каталог!$S$9,1)))</f>
      </c>
      <c r="BX458" s="129">
        <f>IF(AY458&lt;&gt;1,0,MAX(0,IFERROR(--LEFT(SUBSTITUTE(BQ458,"x","х"),FIND("х",SUBSTITUTE(BQ458,"x","х"))-1),3)-3*BW458))</f>
      </c>
      <c r="BY458" s="129">
        <f>IF(R458="","",IFERROR(VLOOKUP(R458,УГО_спр,2,FALSE),IFERROR(VLOOKUP(AL458,УГО_спр,2,FALSE),IFERROR(VLOOKUP(LEFT(AL458,2),УГО_спр,2,FALSE),""))))</f>
      </c>
    </row>
    <row r="459" spans="1:64" x14ac:dyDescent="0.3">
      <c r="A459" s="135">
        <f>IF(Разбивка_по_щитам!F459=0,"",Разбивка_по_щитам!F459)</f>
      </c>
      <c r="B459" s="138">
        <f>IF(A459="","",Разбивка_по_щитам!C459)</f>
      </c>
      <c r="C459" s="138">
        <f t="shared" si="302"/>
      </c>
      <c r="D459" s="266"/>
      <c r="E459" s="266"/>
      <c r="F459" s="267"/>
      <c r="G459" s="145">
        <f t="shared" si="303"/>
        <v/>
      </c>
      <c r="H459" s="145">
        <f t="shared" si="304"/>
        <v/>
      </c>
      <c r="I459" s="266"/>
      <c r="J459" s="267"/>
      <c r="K459" s="267"/>
      <c r="L459" s="266"/>
      <c r="M459" s="147">
        <f t="shared" si="305"/>
        <v/>
      </c>
      <c r="N459" s="267"/>
      <c r="O459" s="147">
        <f t="shared" si="306"/>
        <v/>
      </c>
      <c r="P459" s="268">
        <f>IF(AY459=1,"XT"&amp;COUNTIFS($A$3:A459,A459,$AY$3:AY459,1),"")</f>
        <v/>
      </c>
      <c r="Q459" s="152">
        <f>IF(R459="","",IFERROR(SUBSTITUTE(Разбивка_по_щитам!P459,CHAR(10)," "),""))</f>
        <v/>
      </c>
      <c r="R459" s="153">
        <f>IF(OR(Разбивка_по_щитам!H459="",Разбивка_по_щитам!H459=0),"",Разбивка_по_щитам!H459)</f>
        <v/>
      </c>
      <c r="S459" s="154">
        <f>IF(R459="","",IFERROR(Разбивка_по_щитам!J459&amp;"",""))</f>
        <v/>
      </c>
      <c r="T459" s="155">
        <f>IF(R459="","",IFERROR(--Разбивка_по_щитам!L459,""))</f>
        <v/>
      </c>
      <c r="U459" s="155">
        <f>IF(R459="","",IFERROR(--Разбивка_по_щитам!K459,""))</f>
        <v/>
      </c>
      <c r="V459" s="138">
        <f>IF(R459="","",IFERROR(IF(Разбивка_по_щитам!M459=0,"",Разбивка_по_щитам!M459),""))</f>
        <v/>
      </c>
      <c r="W459" s="156">
        <f t="shared" si="307"/>
        <v/>
      </c>
      <c r="X459" s="157">
        <f t="shared" si="308"/>
        <v/>
      </c>
      <c r="Y459" s="266"/>
      <c r="Z459" s="158">
        <f t="shared" si="309"/>
        <v/>
      </c>
      <c r="AA459" s="160">
        <f t="shared" si="310"/>
        <v/>
      </c>
      <c r="AB459" s="160">
        <f>IF(R459="","",IFERROR(LOOKUP(INDEX(Справочная!$I$4:$I$19,MATCH(VLOOKUP(R459,Исходные_данные,22,FALSE),Справочная!$J$4:$J$19,0)+1),{6,10,16,20,25,32,40,50,63,80,100,125}),""))</f>
        <v/>
      </c>
      <c r="AC459" s="160">
        <f t="shared" si="311"/>
        <v/>
      </c>
      <c r="AD459" s="161">
        <f t="shared" si="312"/>
        <v/>
      </c>
      <c r="AE459" s="161">
        <f>IF(AND(R459="",G459=""),"",_xlfn.TEXTJOIN("; ",TRUE,IF(AND(R459&lt;&gt;"",V459=""),"нет фазы",""),IF(AND(R459&lt;&gt;"",N(T459)=0),"нет мощности",""),IF(AND(P459&lt;&gt;"",COUNTIFS($A$3:$A$1000,A459,$P$3:$P$1000,P459)&gt;1),"дубль клеммы "&amp;P459,""),IF(AND(W459&lt;&gt;"",W459&lt;&gt;"ok"),W459,""),IF(X459&lt;&gt;"",X459,""),IF(AND(ISNUMBER(SEARCH("(5х",Q459)),N(AK459)=1),"5 жил на 1 фазе",""),IF(AND(AL459="R",E459&lt;&gt;"",N(AS459)=0),"розетка без 30 мА",""),IF(IFERROR(_xlfn.NUMBERVALUE(MID(Q459,FIND("-",Q459,FIND("L=",Q459))+1,FIND("%",Q459)-FIND("-",Q459,FIND("L=",Q459))-1),","),0)&gt;4,"потери &gt; 4 %","")))</f>
      </c>
      <c r="AF459" s="129">
        <f>IF(E459&lt;&gt;"",COUNTIFS($A$3:A459,A459,$E$3:E459,"?*"),IF(OR(A459&lt;&gt;A458,Y459="вручную"),"",AF458))</f>
      </c>
      <c r="AG459" s="129">
        <f t="shared" si="313"/>
      </c>
      <c r="AH459" s="129">
        <f t="shared" si="314"/>
        <v/>
      </c>
      <c r="AI459" s="129">
        <f t="shared" si="315"/>
        <v/>
      </c>
      <c r="AJ459" s="129">
        <f t="shared" si="316"/>
        <v/>
      </c>
      <c r="AK459" s="129">
        <f t="shared" si="317"/>
        <v/>
      </c>
      <c r="AL459" s="129">
        <f t="shared" si="318"/>
        <v/>
      </c>
      <c r="AM459" s="129">
        <f t="shared" si="319"/>
      </c>
      <c r="AN459" s="129">
        <f t="shared" si="320"/>
      </c>
      <c r="AO459" s="129">
        <f t="shared" si="321"/>
        <v/>
      </c>
      <c r="AP459" s="129">
        <f t="shared" si="322"/>
        <v/>
      </c>
      <c r="AQ459" s="129">
        <f t="shared" si="323"/>
        <v/>
      </c>
      <c r="AR459" s="129">
        <f t="shared" si="324"/>
        <v/>
      </c>
      <c r="AS459" s="129">
        <f t="shared" si="325"/>
        <v/>
      </c>
      <c r="AT459" s="129">
        <f t="shared" si="326"/>
        <v/>
      </c>
      <c r="AU459" s="129">
        <f t="shared" si="327"/>
        <v/>
      </c>
      <c r="AV459" s="129">
        <f t="shared" si="328"/>
        <v/>
      </c>
      <c r="AW459" s="129">
        <f>IF(AV459="","",AV459&amp;"."&amp;COUNTIFS($A$3:A459,A459,$AV$3:AV459,AV459))</f>
        <v/>
      </c>
      <c r="AX459" s="129">
        <f t="shared" si="329"/>
        <v/>
      </c>
      <c r="AY459" s="129">
        <f>IF(N459="б/к",0,IF(OR(ISNUMBER(SEARCH("L=",Разбивка_по_щитам!P459)),N459="+",N459="="),1,0))</f>
      </c>
      <c r="AZ459" s="129">
        <f t="shared" si="330"/>
      </c>
      <c r="BA459" s="129">
        <f t="shared" si="331"/>
      </c>
      <c r="BB459" s="129">
        <f t="shared" si="332"/>
      </c>
      <c r="BD459" s="129">
        <f t="shared" si="333"/>
      </c>
      <c r="BE459" s="129">
        <f t="shared" si="334"/>
      </c>
      <c r="BF459" s="129">
        <f t="shared" si="335"/>
      </c>
      <c r="BG459" s="129">
        <f t="shared" si="336"/>
        <v/>
      </c>
      <c r="BH459" s="129">
        <f t="shared" si="337"/>
        <v/>
      </c>
      <c r="BI459" s="129">
        <f t="shared" si="338"/>
        <v/>
      </c>
      <c r="BJ459" s="129">
        <f t="shared" si="339"/>
        <v/>
      </c>
      <c r="BK459" s="129">
        <f>IF(R459="","",IF(OR(BY459="",BY459=0),"BOX",IFERROR(IF(VLOOKUP(BY459,УГО_блоки,3,FALSE)&amp;""&lt;&gt;"",VLOOKUP(BY459,УГО_блоки,3,FALSE),VLOOKUP(BY459,УГО_блоки,2,FALSE)),BY459)))</f>
      </c>
      <c r="BL459" s="129">
        <f t="shared" si="341"/>
      </c>
      <c r="BM459" s="129">
        <f>IF(H459="","",IF(COUNTIF($H$3:H459,H459)=1,MAX($BM$2:BM458)+1,""))</f>
      </c>
      <c r="BN459" s="129">
        <f>IF(I459="","",IF(COUNTIF($I$3:I459,I459)+COUNTIF($J$2:J458,I459)+COUNTIF($K$2:K458,I459)=1,MAX($BN$2:BP458)+1,""))</f>
      </c>
      <c r="BO459" s="129">
        <f>IF(J459="","",IF(COUNTIF($I$3:I459,J459)+COUNTIF($J$3:J459,J459)+COUNTIF($K$2:K458,J459)=1,MAX($BN$2:BP458,BN459)+1,""))</f>
      </c>
      <c r="BP459" s="129">
        <f>IF(K459="","",IF(COUNTIF($I$3:I459,K459)+COUNTIF($J$3:J459,K459)+COUNTIF($K$3:K459,K459)=1,MAX($BN$2:BP458,BN459,BO459)+1,""))</f>
      </c>
      <c r="BQ459" s="129">
        <f>IF(AY459=1,IFERROR(MID(Q459,FIND(" (",Q459)+2,FIND(")",Q459,FIND(" (",Q459))-FIND(" (",Q459)-2),"?"),"")</f>
      </c>
      <c r="BR459" s="129">
        <f>IF(BQ459="","",IF(COUNTIF($BQ$3:BQ459,BQ459)=1,MAX($BR$2:BR458)+1,""))</f>
      </c>
      <c r="BS459" s="129">
        <f>IF(AW459="","",COUNTIF($AW$3:AW459,"?*"))</f>
      </c>
      <c r="BT459" s="129">
        <f>IF(OR(AW459="",AI459=""),"",IF(COUNTIFS($AW$3:AW459,"?*",$AI$3:AI459,AI459)=1,MAX($BT$2:BT458)+1,""))</f>
      </c>
      <c r="BU459" s="129">
        <f>IF(AE459="",0,IF(OR(ISNUMBER(SEARCH("дубль",AE459)),ISNUMBER(SEARCH("ПЕРЕГРУЗ",AE459)),ISNUMBER(SEARCH("ЗАЩИЩ",AE459)),ISNUMBER(SEARCH("КАНАЛ",AE459)),ISNUMBER(SEARCH("без 30",AE459))),2,1))</f>
      </c>
      <c r="BV459" s="129">
        <f>IF(R459="","",COUNTIF($R$3:R459,"?*"))</f>
      </c>
      <c r="BW459" s="129">
        <f>IF(AY459&lt;&gt;1,0,IF(MAX(IFERROR(--VLOOKUP(R459,УГО_спр,5,FALSE),0),IFERROR(--VLOOKUP(AL459,УГО_спр,5,FALSE),0),IFERROR(--VLOOKUP(LEFT(AL459,2),УГО_спр,5,FALSE),0))&gt;0,MAX(IFERROR(--VLOOKUP(R459,УГО_спр,5,FALSE),0),IFERROR(--VLOOKUP(AL459,УГО_спр,5,FALSE),0),IFERROR(--VLOOKUP(LEFT(AL459,2),УГО_спр,5,FALSE),0)),IF(IFERROR(--LEFT(SUBSTITUTE(BQ459,"x","х"),FIND("х",SUBSTITUTE(BQ459,"x","х"))-1),3)&gt;3,Каталог!$S$9,1)))</f>
      </c>
      <c r="BX459" s="129">
        <f>IF(AY459&lt;&gt;1,0,MAX(0,IFERROR(--LEFT(SUBSTITUTE(BQ459,"x","х"),FIND("х",SUBSTITUTE(BQ459,"x","х"))-1),3)-3*BW459))</f>
      </c>
      <c r="BY459" s="129">
        <f>IF(R459="","",IFERROR(VLOOKUP(R459,УГО_спр,2,FALSE),IFERROR(VLOOKUP(AL459,УГО_спр,2,FALSE),IFERROR(VLOOKUP(LEFT(AL459,2),УГО_спр,2,FALSE),""))))</f>
      </c>
    </row>
    <row r="460" spans="1:64" x14ac:dyDescent="0.3">
      <c r="A460" s="135">
        <f>IF(Разбивка_по_щитам!F460=0,"",Разбивка_по_щитам!F460)</f>
      </c>
      <c r="B460" s="138">
        <f>IF(A460="","",Разбивка_по_щитам!C460)</f>
      </c>
      <c r="C460" s="138">
        <f t="shared" si="302"/>
      </c>
      <c r="D460" s="266"/>
      <c r="E460" s="266"/>
      <c r="F460" s="267"/>
      <c r="G460" s="145">
        <f t="shared" si="303"/>
        <v/>
      </c>
      <c r="H460" s="145">
        <f t="shared" si="304"/>
        <v/>
      </c>
      <c r="I460" s="266"/>
      <c r="J460" s="267"/>
      <c r="K460" s="267"/>
      <c r="L460" s="266"/>
      <c r="M460" s="147">
        <f t="shared" si="305"/>
        <v/>
      </c>
      <c r="N460" s="267"/>
      <c r="O460" s="147">
        <f t="shared" si="306"/>
        <v/>
      </c>
      <c r="P460" s="268">
        <f>IF(AY460=1,"XT"&amp;COUNTIFS($A$3:A460,A460,$AY$3:AY460,1),"")</f>
        <v/>
      </c>
      <c r="Q460" s="152">
        <f>IF(R460="","",IFERROR(SUBSTITUTE(Разбивка_по_щитам!P460,CHAR(10)," "),""))</f>
        <v/>
      </c>
      <c r="R460" s="153">
        <f>IF(OR(Разбивка_по_щитам!H460="",Разбивка_по_щитам!H460=0),"",Разбивка_по_щитам!H460)</f>
        <v/>
      </c>
      <c r="S460" s="154">
        <f>IF(R460="","",IFERROR(Разбивка_по_щитам!J460&amp;"",""))</f>
        <v/>
      </c>
      <c r="T460" s="155">
        <f>IF(R460="","",IFERROR(--Разбивка_по_щитам!L460,""))</f>
        <v/>
      </c>
      <c r="U460" s="155">
        <f>IF(R460="","",IFERROR(--Разбивка_по_щитам!K460,""))</f>
        <v/>
      </c>
      <c r="V460" s="138">
        <f>IF(R460="","",IFERROR(IF(Разбивка_по_щитам!M460=0,"",Разбивка_по_щитам!M460),""))</f>
        <v/>
      </c>
      <c r="W460" s="156">
        <f t="shared" si="307"/>
        <v/>
      </c>
      <c r="X460" s="157">
        <f t="shared" si="308"/>
        <v/>
      </c>
      <c r="Y460" s="266"/>
      <c r="Z460" s="158">
        <f t="shared" si="309"/>
        <v/>
      </c>
      <c r="AA460" s="160">
        <f t="shared" si="310"/>
        <v/>
      </c>
      <c r="AB460" s="160">
        <f>IF(R460="","",IFERROR(LOOKUP(INDEX(Справочная!$I$4:$I$19,MATCH(VLOOKUP(R460,Исходные_данные,22,FALSE),Справочная!$J$4:$J$19,0)+1),{6,10,16,20,25,32,40,50,63,80,100,125}),""))</f>
        <v/>
      </c>
      <c r="AC460" s="160">
        <f t="shared" si="311"/>
        <v/>
      </c>
      <c r="AD460" s="161">
        <f t="shared" si="312"/>
        <v/>
      </c>
      <c r="AE460" s="161">
        <f>IF(AND(R460="",G460=""),"",_xlfn.TEXTJOIN("; ",TRUE,IF(AND(R460&lt;&gt;"",V460=""),"нет фазы",""),IF(AND(R460&lt;&gt;"",N(T460)=0),"нет мощности",""),IF(AND(P460&lt;&gt;"",COUNTIFS($A$3:$A$1000,A460,$P$3:$P$1000,P460)&gt;1),"дубль клеммы "&amp;P460,""),IF(AND(W460&lt;&gt;"",W460&lt;&gt;"ok"),W460,""),IF(X460&lt;&gt;"",X460,""),IF(AND(ISNUMBER(SEARCH("(5х",Q460)),N(AK460)=1),"5 жил на 1 фазе",""),IF(AND(AL460="R",E460&lt;&gt;"",N(AS460)=0),"розетка без 30 мА",""),IF(IFERROR(_xlfn.NUMBERVALUE(MID(Q460,FIND("-",Q460,FIND("L=",Q460))+1,FIND("%",Q460)-FIND("-",Q460,FIND("L=",Q460))-1),","),0)&gt;4,"потери &gt; 4 %","")))</f>
      </c>
      <c r="AF460" s="129">
        <f>IF(E460&lt;&gt;"",COUNTIFS($A$3:A460,A460,$E$3:E460,"?*"),IF(OR(A460&lt;&gt;A459,Y460="вручную"),"",AF459))</f>
      </c>
      <c r="AG460" s="129">
        <f t="shared" si="313"/>
      </c>
      <c r="AH460" s="129">
        <f t="shared" si="314"/>
        <v/>
      </c>
      <c r="AI460" s="129">
        <f t="shared" si="315"/>
        <v/>
      </c>
      <c r="AJ460" s="129">
        <f t="shared" si="316"/>
        <v/>
      </c>
      <c r="AK460" s="129">
        <f t="shared" si="317"/>
        <v/>
      </c>
      <c r="AL460" s="129">
        <f t="shared" si="318"/>
        <v/>
      </c>
      <c r="AM460" s="129">
        <f t="shared" si="319"/>
      </c>
      <c r="AN460" s="129">
        <f t="shared" si="320"/>
      </c>
      <c r="AO460" s="129">
        <f t="shared" si="321"/>
        <v/>
      </c>
      <c r="AP460" s="129">
        <f t="shared" si="322"/>
        <v/>
      </c>
      <c r="AQ460" s="129">
        <f t="shared" si="323"/>
        <v/>
      </c>
      <c r="AR460" s="129">
        <f t="shared" si="324"/>
        <v/>
      </c>
      <c r="AS460" s="129">
        <f t="shared" si="325"/>
        <v/>
      </c>
      <c r="AT460" s="129">
        <f t="shared" si="326"/>
        <v/>
      </c>
      <c r="AU460" s="129">
        <f t="shared" si="327"/>
        <v/>
      </c>
      <c r="AV460" s="129">
        <f t="shared" si="328"/>
        <v/>
      </c>
      <c r="AW460" s="129">
        <f>IF(AV460="","",AV460&amp;"."&amp;COUNTIFS($A$3:A460,A460,$AV$3:AV460,AV460))</f>
        <v/>
      </c>
      <c r="AX460" s="129">
        <f t="shared" si="329"/>
        <v/>
      </c>
      <c r="AY460" s="129">
        <f>IF(N460="б/к",0,IF(OR(ISNUMBER(SEARCH("L=",Разбивка_по_щитам!P460)),N460="+",N460="="),1,0))</f>
      </c>
      <c r="AZ460" s="129">
        <f t="shared" si="330"/>
      </c>
      <c r="BA460" s="129">
        <f t="shared" si="331"/>
      </c>
      <c r="BB460" s="129">
        <f t="shared" si="332"/>
      </c>
      <c r="BD460" s="129">
        <f t="shared" si="333"/>
      </c>
      <c r="BE460" s="129">
        <f t="shared" si="334"/>
      </c>
      <c r="BF460" s="129">
        <f t="shared" si="335"/>
      </c>
      <c r="BG460" s="129">
        <f t="shared" si="336"/>
        <v/>
      </c>
      <c r="BH460" s="129">
        <f t="shared" si="337"/>
        <v/>
      </c>
      <c r="BI460" s="129">
        <f t="shared" si="338"/>
        <v/>
      </c>
      <c r="BJ460" s="129">
        <f t="shared" si="339"/>
        <v/>
      </c>
      <c r="BK460" s="129">
        <f>IF(R460="","",IF(OR(BY460="",BY460=0),"BOX",IFERROR(IF(VLOOKUP(BY460,УГО_блоки,3,FALSE)&amp;""&lt;&gt;"",VLOOKUP(BY460,УГО_блоки,3,FALSE),VLOOKUP(BY460,УГО_блоки,2,FALSE)),BY460)))</f>
      </c>
      <c r="BL460" s="129">
        <f t="shared" si="341"/>
      </c>
      <c r="BM460" s="129">
        <f>IF(H460="","",IF(COUNTIF($H$3:H460,H460)=1,MAX($BM$2:BM459)+1,""))</f>
      </c>
      <c r="BN460" s="129">
        <f>IF(I460="","",IF(COUNTIF($I$3:I460,I460)+COUNTIF($J$2:J459,I460)+COUNTIF($K$2:K459,I460)=1,MAX($BN$2:BP459)+1,""))</f>
      </c>
      <c r="BO460" s="129">
        <f>IF(J460="","",IF(COUNTIF($I$3:I460,J460)+COUNTIF($J$3:J460,J460)+COUNTIF($K$2:K459,J460)=1,MAX($BN$2:BP459,BN460)+1,""))</f>
      </c>
      <c r="BP460" s="129">
        <f>IF(K460="","",IF(COUNTIF($I$3:I460,K460)+COUNTIF($J$3:J460,K460)+COUNTIF($K$3:K460,K460)=1,MAX($BN$2:BP459,BN460,BO460)+1,""))</f>
      </c>
      <c r="BQ460" s="129">
        <f>IF(AY460=1,IFERROR(MID(Q460,FIND(" (",Q460)+2,FIND(")",Q460,FIND(" (",Q460))-FIND(" (",Q460)-2),"?"),"")</f>
      </c>
      <c r="BR460" s="129">
        <f>IF(BQ460="","",IF(COUNTIF($BQ$3:BQ460,BQ460)=1,MAX($BR$2:BR459)+1,""))</f>
      </c>
      <c r="BS460" s="129">
        <f>IF(AW460="","",COUNTIF($AW$3:AW460,"?*"))</f>
      </c>
      <c r="BT460" s="129">
        <f>IF(OR(AW460="",AI460=""),"",IF(COUNTIFS($AW$3:AW460,"?*",$AI$3:AI460,AI460)=1,MAX($BT$2:BT459)+1,""))</f>
      </c>
      <c r="BU460" s="129">
        <f>IF(AE460="",0,IF(OR(ISNUMBER(SEARCH("дубль",AE460)),ISNUMBER(SEARCH("ПЕРЕГРУЗ",AE460)),ISNUMBER(SEARCH("ЗАЩИЩ",AE460)),ISNUMBER(SEARCH("КАНАЛ",AE460)),ISNUMBER(SEARCH("без 30",AE460))),2,1))</f>
      </c>
      <c r="BV460" s="129">
        <f>IF(R460="","",COUNTIF($R$3:R460,"?*"))</f>
      </c>
      <c r="BW460" s="129">
        <f>IF(AY460&lt;&gt;1,0,IF(MAX(IFERROR(--VLOOKUP(R460,УГО_спр,5,FALSE),0),IFERROR(--VLOOKUP(AL460,УГО_спр,5,FALSE),0),IFERROR(--VLOOKUP(LEFT(AL460,2),УГО_спр,5,FALSE),0))&gt;0,MAX(IFERROR(--VLOOKUP(R460,УГО_спр,5,FALSE),0),IFERROR(--VLOOKUP(AL460,УГО_спр,5,FALSE),0),IFERROR(--VLOOKUP(LEFT(AL460,2),УГО_спр,5,FALSE),0)),IF(IFERROR(--LEFT(SUBSTITUTE(BQ460,"x","х"),FIND("х",SUBSTITUTE(BQ460,"x","х"))-1),3)&gt;3,Каталог!$S$9,1)))</f>
      </c>
      <c r="BX460" s="129">
        <f>IF(AY460&lt;&gt;1,0,MAX(0,IFERROR(--LEFT(SUBSTITUTE(BQ460,"x","х"),FIND("х",SUBSTITUTE(BQ460,"x","х"))-1),3)-3*BW460))</f>
      </c>
      <c r="BY460" s="129">
        <f>IF(R460="","",IFERROR(VLOOKUP(R460,УГО_спр,2,FALSE),IFERROR(VLOOKUP(AL460,УГО_спр,2,FALSE),IFERROR(VLOOKUP(LEFT(AL460,2),УГО_спр,2,FALSE),""))))</f>
      </c>
    </row>
    <row r="461" spans="1:64" x14ac:dyDescent="0.3">
      <c r="A461" s="135">
        <f>IF(Разбивка_по_щитам!F461=0,"",Разбивка_по_щитам!F461)</f>
      </c>
      <c r="B461" s="138">
        <f>IF(A461="","",Разбивка_по_щитам!C461)</f>
      </c>
      <c r="C461" s="138">
        <f t="shared" si="302"/>
      </c>
      <c r="D461" s="266"/>
      <c r="E461" s="266"/>
      <c r="F461" s="267"/>
      <c r="G461" s="145">
        <f t="shared" si="303"/>
        <v/>
      </c>
      <c r="H461" s="145">
        <f t="shared" si="304"/>
        <v/>
      </c>
      <c r="I461" s="266"/>
      <c r="J461" s="267"/>
      <c r="K461" s="267"/>
      <c r="L461" s="266"/>
      <c r="M461" s="147">
        <f t="shared" si="305"/>
        <v/>
      </c>
      <c r="N461" s="267"/>
      <c r="O461" s="147">
        <f t="shared" si="306"/>
        <v/>
      </c>
      <c r="P461" s="268">
        <f>IF(AY461=1,"XT"&amp;COUNTIFS($A$3:A461,A461,$AY$3:AY461,1),"")</f>
        <v/>
      </c>
      <c r="Q461" s="152">
        <f>IF(R461="","",IFERROR(SUBSTITUTE(Разбивка_по_щитам!P461,CHAR(10)," "),""))</f>
        <v/>
      </c>
      <c r="R461" s="153">
        <f>IF(OR(Разбивка_по_щитам!H461="",Разбивка_по_щитам!H461=0),"",Разбивка_по_щитам!H461)</f>
        <v/>
      </c>
      <c r="S461" s="154">
        <f>IF(R461="","",IFERROR(Разбивка_по_щитам!J461&amp;"",""))</f>
        <v/>
      </c>
      <c r="T461" s="155">
        <f>IF(R461="","",IFERROR(--Разбивка_по_щитам!L461,""))</f>
        <v/>
      </c>
      <c r="U461" s="155">
        <f>IF(R461="","",IFERROR(--Разбивка_по_щитам!K461,""))</f>
        <v/>
      </c>
      <c r="V461" s="138">
        <f>IF(R461="","",IFERROR(IF(Разбивка_по_щитам!M461=0,"",Разбивка_по_щитам!M461),""))</f>
        <v/>
      </c>
      <c r="W461" s="156">
        <f t="shared" si="307"/>
        <v/>
      </c>
      <c r="X461" s="157">
        <f t="shared" si="308"/>
        <v/>
      </c>
      <c r="Y461" s="266"/>
      <c r="Z461" s="158">
        <f t="shared" si="309"/>
        <v/>
      </c>
      <c r="AA461" s="160">
        <f t="shared" si="310"/>
        <v/>
      </c>
      <c r="AB461" s="160">
        <f>IF(R461="","",IFERROR(LOOKUP(INDEX(Справочная!$I$4:$I$19,MATCH(VLOOKUP(R461,Исходные_данные,22,FALSE),Справочная!$J$4:$J$19,0)+1),{6,10,16,20,25,32,40,50,63,80,100,125}),""))</f>
        <v/>
      </c>
      <c r="AC461" s="160">
        <f t="shared" si="311"/>
        <v/>
      </c>
      <c r="AD461" s="161">
        <f t="shared" si="312"/>
        <v/>
      </c>
      <c r="AE461" s="161">
        <f>IF(AND(R461="",G461=""),"",_xlfn.TEXTJOIN("; ",TRUE,IF(AND(R461&lt;&gt;"",V461=""),"нет фазы",""),IF(AND(R461&lt;&gt;"",N(T461)=0),"нет мощности",""),IF(AND(P461&lt;&gt;"",COUNTIFS($A$3:$A$1000,A461,$P$3:$P$1000,P461)&gt;1),"дубль клеммы "&amp;P461,""),IF(AND(W461&lt;&gt;"",W461&lt;&gt;"ok"),W461,""),IF(X461&lt;&gt;"",X461,""),IF(AND(ISNUMBER(SEARCH("(5х",Q461)),N(AK461)=1),"5 жил на 1 фазе",""),IF(AND(AL461="R",E461&lt;&gt;"",N(AS461)=0),"розетка без 30 мА",""),IF(IFERROR(_xlfn.NUMBERVALUE(MID(Q461,FIND("-",Q461,FIND("L=",Q461))+1,FIND("%",Q461)-FIND("-",Q461,FIND("L=",Q461))-1),","),0)&gt;4,"потери &gt; 4 %","")))</f>
      </c>
      <c r="AF461" s="129">
        <f>IF(E461&lt;&gt;"",COUNTIFS($A$3:A461,A461,$E$3:E461,"?*"),IF(OR(A461&lt;&gt;A460,Y461="вручную"),"",AF460))</f>
      </c>
      <c r="AG461" s="129">
        <f t="shared" si="313"/>
      </c>
      <c r="AH461" s="129">
        <f t="shared" si="314"/>
        <v/>
      </c>
      <c r="AI461" s="129">
        <f t="shared" si="315"/>
        <v/>
      </c>
      <c r="AJ461" s="129">
        <f t="shared" si="316"/>
        <v/>
      </c>
      <c r="AK461" s="129">
        <f t="shared" si="317"/>
        <v/>
      </c>
      <c r="AL461" s="129">
        <f t="shared" si="318"/>
        <v/>
      </c>
      <c r="AM461" s="129">
        <f t="shared" si="319"/>
      </c>
      <c r="AN461" s="129">
        <f t="shared" si="320"/>
      </c>
      <c r="AO461" s="129">
        <f t="shared" si="321"/>
        <v/>
      </c>
      <c r="AP461" s="129">
        <f t="shared" si="322"/>
        <v/>
      </c>
      <c r="AQ461" s="129">
        <f t="shared" si="323"/>
        <v/>
      </c>
      <c r="AR461" s="129">
        <f t="shared" si="324"/>
        <v/>
      </c>
      <c r="AS461" s="129">
        <f t="shared" si="325"/>
        <v/>
      </c>
      <c r="AT461" s="129">
        <f t="shared" si="326"/>
        <v/>
      </c>
      <c r="AU461" s="129">
        <f t="shared" si="327"/>
        <v/>
      </c>
      <c r="AV461" s="129">
        <f t="shared" si="328"/>
        <v/>
      </c>
      <c r="AW461" s="129">
        <f>IF(AV461="","",AV461&amp;"."&amp;COUNTIFS($A$3:A461,A461,$AV$3:AV461,AV461))</f>
        <v/>
      </c>
      <c r="AX461" s="129">
        <f t="shared" si="329"/>
        <v/>
      </c>
      <c r="AY461" s="129">
        <f>IF(N461="б/к",0,IF(OR(ISNUMBER(SEARCH("L=",Разбивка_по_щитам!P461)),N461="+",N461="="),1,0))</f>
      </c>
      <c r="AZ461" s="129">
        <f t="shared" si="330"/>
      </c>
      <c r="BA461" s="129">
        <f t="shared" si="331"/>
      </c>
      <c r="BB461" s="129">
        <f t="shared" si="332"/>
      </c>
      <c r="BD461" s="129">
        <f t="shared" si="333"/>
      </c>
      <c r="BE461" s="129">
        <f t="shared" si="334"/>
      </c>
      <c r="BF461" s="129">
        <f t="shared" si="335"/>
      </c>
      <c r="BG461" s="129">
        <f t="shared" si="336"/>
        <v/>
      </c>
      <c r="BH461" s="129">
        <f t="shared" si="337"/>
        <v/>
      </c>
      <c r="BI461" s="129">
        <f t="shared" si="338"/>
        <v/>
      </c>
      <c r="BJ461" s="129">
        <f t="shared" si="339"/>
        <v/>
      </c>
      <c r="BK461" s="129">
        <f>IF(R461="","",IF(OR(BY461="",BY461=0),"BOX",IFERROR(IF(VLOOKUP(BY461,УГО_блоки,3,FALSE)&amp;""&lt;&gt;"",VLOOKUP(BY461,УГО_блоки,3,FALSE),VLOOKUP(BY461,УГО_блоки,2,FALSE)),BY461)))</f>
      </c>
      <c r="BL461" s="129">
        <f t="shared" si="341"/>
      </c>
      <c r="BM461" s="129">
        <f>IF(H461="","",IF(COUNTIF($H$3:H461,H461)=1,MAX($BM$2:BM460)+1,""))</f>
      </c>
      <c r="BN461" s="129">
        <f>IF(I461="","",IF(COUNTIF($I$3:I461,I461)+COUNTIF($J$2:J460,I461)+COUNTIF($K$2:K460,I461)=1,MAX($BN$2:BP460)+1,""))</f>
      </c>
      <c r="BO461" s="129">
        <f>IF(J461="","",IF(COUNTIF($I$3:I461,J461)+COUNTIF($J$3:J461,J461)+COUNTIF($K$2:K460,J461)=1,MAX($BN$2:BP460,BN461)+1,""))</f>
      </c>
      <c r="BP461" s="129">
        <f>IF(K461="","",IF(COUNTIF($I$3:I461,K461)+COUNTIF($J$3:J461,K461)+COUNTIF($K$3:K461,K461)=1,MAX($BN$2:BP460,BN461,BO461)+1,""))</f>
      </c>
      <c r="BQ461" s="129">
        <f>IF(AY461=1,IFERROR(MID(Q461,FIND(" (",Q461)+2,FIND(")",Q461,FIND(" (",Q461))-FIND(" (",Q461)-2),"?"),"")</f>
      </c>
      <c r="BR461" s="129">
        <f>IF(BQ461="","",IF(COUNTIF($BQ$3:BQ461,BQ461)=1,MAX($BR$2:BR460)+1,""))</f>
      </c>
      <c r="BS461" s="129">
        <f>IF(AW461="","",COUNTIF($AW$3:AW461,"?*"))</f>
      </c>
      <c r="BT461" s="129">
        <f>IF(OR(AW461="",AI461=""),"",IF(COUNTIFS($AW$3:AW461,"?*",$AI$3:AI461,AI461)=1,MAX($BT$2:BT460)+1,""))</f>
      </c>
      <c r="BU461" s="129">
        <f>IF(AE461="",0,IF(OR(ISNUMBER(SEARCH("дубль",AE461)),ISNUMBER(SEARCH("ПЕРЕГРУЗ",AE461)),ISNUMBER(SEARCH("ЗАЩИЩ",AE461)),ISNUMBER(SEARCH("КАНАЛ",AE461)),ISNUMBER(SEARCH("без 30",AE461))),2,1))</f>
      </c>
      <c r="BV461" s="129">
        <f>IF(R461="","",COUNTIF($R$3:R461,"?*"))</f>
      </c>
      <c r="BW461" s="129">
        <f>IF(AY461&lt;&gt;1,0,IF(MAX(IFERROR(--VLOOKUP(R461,УГО_спр,5,FALSE),0),IFERROR(--VLOOKUP(AL461,УГО_спр,5,FALSE),0),IFERROR(--VLOOKUP(LEFT(AL461,2),УГО_спр,5,FALSE),0))&gt;0,MAX(IFERROR(--VLOOKUP(R461,УГО_спр,5,FALSE),0),IFERROR(--VLOOKUP(AL461,УГО_спр,5,FALSE),0),IFERROR(--VLOOKUP(LEFT(AL461,2),УГО_спр,5,FALSE),0)),IF(IFERROR(--LEFT(SUBSTITUTE(BQ461,"x","х"),FIND("х",SUBSTITUTE(BQ461,"x","х"))-1),3)&gt;3,Каталог!$S$9,1)))</f>
      </c>
      <c r="BX461" s="129">
        <f>IF(AY461&lt;&gt;1,0,MAX(0,IFERROR(--LEFT(SUBSTITUTE(BQ461,"x","х"),FIND("х",SUBSTITUTE(BQ461,"x","х"))-1),3)-3*BW461))</f>
      </c>
      <c r="BY461" s="129">
        <f>IF(R461="","",IFERROR(VLOOKUP(R461,УГО_спр,2,FALSE),IFERROR(VLOOKUP(AL461,УГО_спр,2,FALSE),IFERROR(VLOOKUP(LEFT(AL461,2),УГО_спр,2,FALSE),""))))</f>
      </c>
    </row>
    <row r="462" spans="1:64" x14ac:dyDescent="0.3">
      <c r="A462" s="135">
        <f>IF(Разбивка_по_щитам!F462=0,"",Разбивка_по_щитам!F462)</f>
      </c>
      <c r="B462" s="138">
        <f>IF(A462="","",Разбивка_по_щитам!C462)</f>
      </c>
      <c r="C462" s="138">
        <f t="shared" si="302"/>
      </c>
      <c r="D462" s="266"/>
      <c r="E462" s="266"/>
      <c r="F462" s="267"/>
      <c r="G462" s="145">
        <f t="shared" si="303"/>
        <v/>
      </c>
      <c r="H462" s="145">
        <f t="shared" si="304"/>
        <v/>
      </c>
      <c r="I462" s="266"/>
      <c r="J462" s="267"/>
      <c r="K462" s="267"/>
      <c r="L462" s="266"/>
      <c r="M462" s="147">
        <f t="shared" si="305"/>
        <v/>
      </c>
      <c r="N462" s="267"/>
      <c r="O462" s="147">
        <f t="shared" si="306"/>
        <v/>
      </c>
      <c r="P462" s="268">
        <f>IF(AY462=1,"XT"&amp;COUNTIFS($A$3:A462,A462,$AY$3:AY462,1),"")</f>
        <v/>
      </c>
      <c r="Q462" s="152">
        <f>IF(R462="","",IFERROR(SUBSTITUTE(Разбивка_по_щитам!P462,CHAR(10)," "),""))</f>
        <v/>
      </c>
      <c r="R462" s="153">
        <f>IF(OR(Разбивка_по_щитам!H462="",Разбивка_по_щитам!H462=0),"",Разбивка_по_щитам!H462)</f>
        <v/>
      </c>
      <c r="S462" s="154">
        <f>IF(R462="","",IFERROR(Разбивка_по_щитам!J462&amp;"",""))</f>
        <v/>
      </c>
      <c r="T462" s="155">
        <f>IF(R462="","",IFERROR(--Разбивка_по_щитам!L462,""))</f>
        <v/>
      </c>
      <c r="U462" s="155">
        <f>IF(R462="","",IFERROR(--Разбивка_по_щитам!K462,""))</f>
        <v/>
      </c>
      <c r="V462" s="138">
        <f>IF(R462="","",IFERROR(IF(Разбивка_по_щитам!M462=0,"",Разбивка_по_щитам!M462),""))</f>
        <v/>
      </c>
      <c r="W462" s="156">
        <f t="shared" si="307"/>
        <v/>
      </c>
      <c r="X462" s="157">
        <f t="shared" si="308"/>
        <v/>
      </c>
      <c r="Y462" s="266"/>
      <c r="Z462" s="158">
        <f t="shared" si="309"/>
        <v/>
      </c>
      <c r="AA462" s="160">
        <f t="shared" si="310"/>
        <v/>
      </c>
      <c r="AB462" s="160">
        <f>IF(R462="","",IFERROR(LOOKUP(INDEX(Справочная!$I$4:$I$19,MATCH(VLOOKUP(R462,Исходные_данные,22,FALSE),Справочная!$J$4:$J$19,0)+1),{6,10,16,20,25,32,40,50,63,80,100,125}),""))</f>
        <v/>
      </c>
      <c r="AC462" s="160">
        <f t="shared" si="311"/>
        <v/>
      </c>
      <c r="AD462" s="161">
        <f t="shared" si="312"/>
        <v/>
      </c>
      <c r="AE462" s="161">
        <f>IF(AND(R462="",G462=""),"",_xlfn.TEXTJOIN("; ",TRUE,IF(AND(R462&lt;&gt;"",V462=""),"нет фазы",""),IF(AND(R462&lt;&gt;"",N(T462)=0),"нет мощности",""),IF(AND(P462&lt;&gt;"",COUNTIFS($A$3:$A$1000,A462,$P$3:$P$1000,P462)&gt;1),"дубль клеммы "&amp;P462,""),IF(AND(W462&lt;&gt;"",W462&lt;&gt;"ok"),W462,""),IF(X462&lt;&gt;"",X462,""),IF(AND(ISNUMBER(SEARCH("(5х",Q462)),N(AK462)=1),"5 жил на 1 фазе",""),IF(AND(AL462="R",E462&lt;&gt;"",N(AS462)=0),"розетка без 30 мА",""),IF(IFERROR(_xlfn.NUMBERVALUE(MID(Q462,FIND("-",Q462,FIND("L=",Q462))+1,FIND("%",Q462)-FIND("-",Q462,FIND("L=",Q462))-1),","),0)&gt;4,"потери &gt; 4 %","")))</f>
      </c>
      <c r="AF462" s="129">
        <f>IF(E462&lt;&gt;"",COUNTIFS($A$3:A462,A462,$E$3:E462,"?*"),IF(OR(A462&lt;&gt;A461,Y462="вручную"),"",AF461))</f>
      </c>
      <c r="AG462" s="129">
        <f t="shared" si="313"/>
      </c>
      <c r="AH462" s="129">
        <f t="shared" si="314"/>
        <v/>
      </c>
      <c r="AI462" s="129">
        <f t="shared" si="315"/>
        <v/>
      </c>
      <c r="AJ462" s="129">
        <f t="shared" si="316"/>
        <v/>
      </c>
      <c r="AK462" s="129">
        <f t="shared" si="317"/>
        <v/>
      </c>
      <c r="AL462" s="129">
        <f t="shared" si="318"/>
        <v/>
      </c>
      <c r="AM462" s="129">
        <f t="shared" si="319"/>
      </c>
      <c r="AN462" s="129">
        <f t="shared" si="320"/>
      </c>
      <c r="AO462" s="129">
        <f t="shared" si="321"/>
        <v/>
      </c>
      <c r="AP462" s="129">
        <f t="shared" si="322"/>
        <v/>
      </c>
      <c r="AQ462" s="129">
        <f t="shared" si="323"/>
        <v/>
      </c>
      <c r="AR462" s="129">
        <f t="shared" si="324"/>
        <v/>
      </c>
      <c r="AS462" s="129">
        <f t="shared" si="325"/>
        <v/>
      </c>
      <c r="AT462" s="129">
        <f t="shared" si="326"/>
        <v/>
      </c>
      <c r="AU462" s="129">
        <f t="shared" si="327"/>
        <v/>
      </c>
      <c r="AV462" s="129">
        <f t="shared" si="328"/>
        <v/>
      </c>
      <c r="AW462" s="129">
        <f>IF(AV462="","",AV462&amp;"."&amp;COUNTIFS($A$3:A462,A462,$AV$3:AV462,AV462))</f>
        <v/>
      </c>
      <c r="AX462" s="129">
        <f t="shared" si="329"/>
        <v/>
      </c>
      <c r="AY462" s="129">
        <f>IF(N462="б/к",0,IF(OR(ISNUMBER(SEARCH("L=",Разбивка_по_щитам!P462)),N462="+",N462="="),1,0))</f>
      </c>
      <c r="AZ462" s="129">
        <f t="shared" si="330"/>
      </c>
      <c r="BA462" s="129">
        <f t="shared" si="331"/>
      </c>
      <c r="BB462" s="129">
        <f t="shared" si="332"/>
      </c>
      <c r="BD462" s="129">
        <f t="shared" si="333"/>
      </c>
      <c r="BE462" s="129">
        <f t="shared" si="334"/>
      </c>
      <c r="BF462" s="129">
        <f t="shared" si="335"/>
      </c>
      <c r="BG462" s="129">
        <f t="shared" si="336"/>
        <v/>
      </c>
      <c r="BH462" s="129">
        <f t="shared" si="337"/>
        <v/>
      </c>
      <c r="BI462" s="129">
        <f t="shared" si="338"/>
        <v/>
      </c>
      <c r="BJ462" s="129">
        <f t="shared" si="339"/>
        <v/>
      </c>
      <c r="BK462" s="129">
        <f>IF(R462="","",IF(OR(BY462="",BY462=0),"BOX",IFERROR(IF(VLOOKUP(BY462,УГО_блоки,3,FALSE)&amp;""&lt;&gt;"",VLOOKUP(BY462,УГО_блоки,3,FALSE),VLOOKUP(BY462,УГО_блоки,2,FALSE)),BY462)))</f>
      </c>
      <c r="BL462" s="129">
        <f t="shared" si="341"/>
      </c>
      <c r="BM462" s="129">
        <f>IF(H462="","",IF(COUNTIF($H$3:H462,H462)=1,MAX($BM$2:BM461)+1,""))</f>
      </c>
      <c r="BN462" s="129">
        <f>IF(I462="","",IF(COUNTIF($I$3:I462,I462)+COUNTIF($J$2:J461,I462)+COUNTIF($K$2:K461,I462)=1,MAX($BN$2:BP461)+1,""))</f>
      </c>
      <c r="BO462" s="129">
        <f>IF(J462="","",IF(COUNTIF($I$3:I462,J462)+COUNTIF($J$3:J462,J462)+COUNTIF($K$2:K461,J462)=1,MAX($BN$2:BP461,BN462)+1,""))</f>
      </c>
      <c r="BP462" s="129">
        <f>IF(K462="","",IF(COUNTIF($I$3:I462,K462)+COUNTIF($J$3:J462,K462)+COUNTIF($K$3:K462,K462)=1,MAX($BN$2:BP461,BN462,BO462)+1,""))</f>
      </c>
      <c r="BQ462" s="129">
        <f>IF(AY462=1,IFERROR(MID(Q462,FIND(" (",Q462)+2,FIND(")",Q462,FIND(" (",Q462))-FIND(" (",Q462)-2),"?"),"")</f>
      </c>
      <c r="BR462" s="129">
        <f>IF(BQ462="","",IF(COUNTIF($BQ$3:BQ462,BQ462)=1,MAX($BR$2:BR461)+1,""))</f>
      </c>
      <c r="BS462" s="129">
        <f>IF(AW462="","",COUNTIF($AW$3:AW462,"?*"))</f>
      </c>
      <c r="BT462" s="129">
        <f>IF(OR(AW462="",AI462=""),"",IF(COUNTIFS($AW$3:AW462,"?*",$AI$3:AI462,AI462)=1,MAX($BT$2:BT461)+1,""))</f>
      </c>
      <c r="BU462" s="129">
        <f>IF(AE462="",0,IF(OR(ISNUMBER(SEARCH("дубль",AE462)),ISNUMBER(SEARCH("ПЕРЕГРУЗ",AE462)),ISNUMBER(SEARCH("ЗАЩИЩ",AE462)),ISNUMBER(SEARCH("КАНАЛ",AE462)),ISNUMBER(SEARCH("без 30",AE462))),2,1))</f>
      </c>
      <c r="BV462" s="129">
        <f>IF(R462="","",COUNTIF($R$3:R462,"?*"))</f>
      </c>
      <c r="BW462" s="129">
        <f>IF(AY462&lt;&gt;1,0,IF(MAX(IFERROR(--VLOOKUP(R462,УГО_спр,5,FALSE),0),IFERROR(--VLOOKUP(AL462,УГО_спр,5,FALSE),0),IFERROR(--VLOOKUP(LEFT(AL462,2),УГО_спр,5,FALSE),0))&gt;0,MAX(IFERROR(--VLOOKUP(R462,УГО_спр,5,FALSE),0),IFERROR(--VLOOKUP(AL462,УГО_спр,5,FALSE),0),IFERROR(--VLOOKUP(LEFT(AL462,2),УГО_спр,5,FALSE),0)),IF(IFERROR(--LEFT(SUBSTITUTE(BQ462,"x","х"),FIND("х",SUBSTITUTE(BQ462,"x","х"))-1),3)&gt;3,Каталог!$S$9,1)))</f>
      </c>
      <c r="BX462" s="129">
        <f>IF(AY462&lt;&gt;1,0,MAX(0,IFERROR(--LEFT(SUBSTITUTE(BQ462,"x","х"),FIND("х",SUBSTITUTE(BQ462,"x","х"))-1),3)-3*BW462))</f>
      </c>
      <c r="BY462" s="129">
        <f>IF(R462="","",IFERROR(VLOOKUP(R462,УГО_спр,2,FALSE),IFERROR(VLOOKUP(AL462,УГО_спр,2,FALSE),IFERROR(VLOOKUP(LEFT(AL462,2),УГО_спр,2,FALSE),""))))</f>
      </c>
    </row>
    <row r="463" spans="1:64" x14ac:dyDescent="0.3">
      <c r="A463" s="135">
        <f>IF(Разбивка_по_щитам!F463=0,"",Разбивка_по_щитам!F463)</f>
      </c>
      <c r="B463" s="138">
        <f>IF(A463="","",Разбивка_по_щитам!C463)</f>
      </c>
      <c r="C463" s="138">
        <f t="shared" si="302"/>
      </c>
      <c r="D463" s="266"/>
      <c r="E463" s="266"/>
      <c r="F463" s="267"/>
      <c r="G463" s="145">
        <f t="shared" si="303"/>
        <v/>
      </c>
      <c r="H463" s="145">
        <f t="shared" si="304"/>
        <v/>
      </c>
      <c r="I463" s="266"/>
      <c r="J463" s="267"/>
      <c r="K463" s="267"/>
      <c r="L463" s="266"/>
      <c r="M463" s="147">
        <f t="shared" si="305"/>
        <v/>
      </c>
      <c r="N463" s="267"/>
      <c r="O463" s="147">
        <f t="shared" si="306"/>
        <v/>
      </c>
      <c r="P463" s="268">
        <f>IF(AY463=1,"XT"&amp;COUNTIFS($A$3:A463,A463,$AY$3:AY463,1),"")</f>
        <v/>
      </c>
      <c r="Q463" s="152">
        <f>IF(R463="","",IFERROR(SUBSTITUTE(Разбивка_по_щитам!P463,CHAR(10)," "),""))</f>
        <v/>
      </c>
      <c r="R463" s="153">
        <f>IF(OR(Разбивка_по_щитам!H463="",Разбивка_по_щитам!H463=0),"",Разбивка_по_щитам!H463)</f>
        <v/>
      </c>
      <c r="S463" s="154">
        <f>IF(R463="","",IFERROR(Разбивка_по_щитам!J463&amp;"",""))</f>
        <v/>
      </c>
      <c r="T463" s="155">
        <f>IF(R463="","",IFERROR(--Разбивка_по_щитам!L463,""))</f>
        <v/>
      </c>
      <c r="U463" s="155">
        <f>IF(R463="","",IFERROR(--Разбивка_по_щитам!K463,""))</f>
        <v/>
      </c>
      <c r="V463" s="138">
        <f>IF(R463="","",IFERROR(IF(Разбивка_по_щитам!M463=0,"",Разбивка_по_щитам!M463),""))</f>
        <v/>
      </c>
      <c r="W463" s="156">
        <f t="shared" si="307"/>
        <v/>
      </c>
      <c r="X463" s="157">
        <f t="shared" si="308"/>
        <v/>
      </c>
      <c r="Y463" s="266"/>
      <c r="Z463" s="158">
        <f t="shared" si="309"/>
        <v/>
      </c>
      <c r="AA463" s="160">
        <f t="shared" si="310"/>
        <v/>
      </c>
      <c r="AB463" s="160">
        <f>IF(R463="","",IFERROR(LOOKUP(INDEX(Справочная!$I$4:$I$19,MATCH(VLOOKUP(R463,Исходные_данные,22,FALSE),Справочная!$J$4:$J$19,0)+1),{6,10,16,20,25,32,40,50,63,80,100,125}),""))</f>
        <v/>
      </c>
      <c r="AC463" s="160">
        <f t="shared" si="311"/>
        <v/>
      </c>
      <c r="AD463" s="161">
        <f t="shared" si="312"/>
        <v/>
      </c>
      <c r="AE463" s="161">
        <f>IF(AND(R463="",G463=""),"",_xlfn.TEXTJOIN("; ",TRUE,IF(AND(R463&lt;&gt;"",V463=""),"нет фазы",""),IF(AND(R463&lt;&gt;"",N(T463)=0),"нет мощности",""),IF(AND(P463&lt;&gt;"",COUNTIFS($A$3:$A$1000,A463,$P$3:$P$1000,P463)&gt;1),"дубль клеммы "&amp;P463,""),IF(AND(W463&lt;&gt;"",W463&lt;&gt;"ok"),W463,""),IF(X463&lt;&gt;"",X463,""),IF(AND(ISNUMBER(SEARCH("(5х",Q463)),N(AK463)=1),"5 жил на 1 фазе",""),IF(AND(AL463="R",E463&lt;&gt;"",N(AS463)=0),"розетка без 30 мА",""),IF(IFERROR(_xlfn.NUMBERVALUE(MID(Q463,FIND("-",Q463,FIND("L=",Q463))+1,FIND("%",Q463)-FIND("-",Q463,FIND("L=",Q463))-1),","),0)&gt;4,"потери &gt; 4 %","")))</f>
      </c>
      <c r="AF463" s="129">
        <f>IF(E463&lt;&gt;"",COUNTIFS($A$3:A463,A463,$E$3:E463,"?*"),IF(OR(A463&lt;&gt;A462,Y463="вручную"),"",AF462))</f>
      </c>
      <c r="AG463" s="129">
        <f t="shared" si="313"/>
      </c>
      <c r="AH463" s="129">
        <f t="shared" si="314"/>
        <v/>
      </c>
      <c r="AI463" s="129">
        <f t="shared" si="315"/>
        <v/>
      </c>
      <c r="AJ463" s="129">
        <f t="shared" si="316"/>
        <v/>
      </c>
      <c r="AK463" s="129">
        <f t="shared" si="317"/>
        <v/>
      </c>
      <c r="AL463" s="129">
        <f t="shared" si="318"/>
        <v/>
      </c>
      <c r="AM463" s="129">
        <f t="shared" si="319"/>
      </c>
      <c r="AN463" s="129">
        <f t="shared" si="320"/>
      </c>
      <c r="AO463" s="129">
        <f t="shared" si="321"/>
        <v/>
      </c>
      <c r="AP463" s="129">
        <f t="shared" si="322"/>
        <v/>
      </c>
      <c r="AQ463" s="129">
        <f t="shared" si="323"/>
        <v/>
      </c>
      <c r="AR463" s="129">
        <f t="shared" si="324"/>
        <v/>
      </c>
      <c r="AS463" s="129">
        <f t="shared" si="325"/>
        <v/>
      </c>
      <c r="AT463" s="129">
        <f t="shared" si="326"/>
        <v/>
      </c>
      <c r="AU463" s="129">
        <f t="shared" si="327"/>
        <v/>
      </c>
      <c r="AV463" s="129">
        <f t="shared" si="328"/>
        <v/>
      </c>
      <c r="AW463" s="129">
        <f>IF(AV463="","",AV463&amp;"."&amp;COUNTIFS($A$3:A463,A463,$AV$3:AV463,AV463))</f>
        <v/>
      </c>
      <c r="AX463" s="129">
        <f t="shared" si="329"/>
        <v/>
      </c>
      <c r="AY463" s="129">
        <f>IF(N463="б/к",0,IF(OR(ISNUMBER(SEARCH("L=",Разбивка_по_щитам!P463)),N463="+",N463="="),1,0))</f>
      </c>
      <c r="AZ463" s="129">
        <f t="shared" si="330"/>
      </c>
      <c r="BA463" s="129">
        <f t="shared" si="331"/>
      </c>
      <c r="BB463" s="129">
        <f t="shared" si="332"/>
      </c>
      <c r="BD463" s="129">
        <f t="shared" si="333"/>
      </c>
      <c r="BE463" s="129">
        <f t="shared" si="334"/>
      </c>
      <c r="BF463" s="129">
        <f t="shared" si="335"/>
      </c>
      <c r="BG463" s="129">
        <f t="shared" si="336"/>
        <v/>
      </c>
      <c r="BH463" s="129">
        <f t="shared" si="337"/>
        <v/>
      </c>
      <c r="BI463" s="129">
        <f t="shared" si="338"/>
        <v/>
      </c>
      <c r="BJ463" s="129">
        <f t="shared" si="339"/>
        <v/>
      </c>
      <c r="BK463" s="129">
        <f>IF(R463="","",IF(OR(BY463="",BY463=0),"BOX",IFERROR(IF(VLOOKUP(BY463,УГО_блоки,3,FALSE)&amp;""&lt;&gt;"",VLOOKUP(BY463,УГО_блоки,3,FALSE),VLOOKUP(BY463,УГО_блоки,2,FALSE)),BY463)))</f>
      </c>
      <c r="BL463" s="129">
        <f t="shared" si="341"/>
      </c>
      <c r="BM463" s="129">
        <f>IF(H463="","",IF(COUNTIF($H$3:H463,H463)=1,MAX($BM$2:BM462)+1,""))</f>
      </c>
      <c r="BN463" s="129">
        <f>IF(I463="","",IF(COUNTIF($I$3:I463,I463)+COUNTIF($J$2:J462,I463)+COUNTIF($K$2:K462,I463)=1,MAX($BN$2:BP462)+1,""))</f>
      </c>
      <c r="BO463" s="129">
        <f>IF(J463="","",IF(COUNTIF($I$3:I463,J463)+COUNTIF($J$3:J463,J463)+COUNTIF($K$2:K462,J463)=1,MAX($BN$2:BP462,BN463)+1,""))</f>
      </c>
      <c r="BP463" s="129">
        <f>IF(K463="","",IF(COUNTIF($I$3:I463,K463)+COUNTIF($J$3:J463,K463)+COUNTIF($K$3:K463,K463)=1,MAX($BN$2:BP462,BN463,BO463)+1,""))</f>
      </c>
      <c r="BQ463" s="129">
        <f>IF(AY463=1,IFERROR(MID(Q463,FIND(" (",Q463)+2,FIND(")",Q463,FIND(" (",Q463))-FIND(" (",Q463)-2),"?"),"")</f>
      </c>
      <c r="BR463" s="129">
        <f>IF(BQ463="","",IF(COUNTIF($BQ$3:BQ463,BQ463)=1,MAX($BR$2:BR462)+1,""))</f>
      </c>
      <c r="BS463" s="129">
        <f>IF(AW463="","",COUNTIF($AW$3:AW463,"?*"))</f>
      </c>
      <c r="BT463" s="129">
        <f>IF(OR(AW463="",AI463=""),"",IF(COUNTIFS($AW$3:AW463,"?*",$AI$3:AI463,AI463)=1,MAX($BT$2:BT462)+1,""))</f>
      </c>
      <c r="BU463" s="129">
        <f>IF(AE463="",0,IF(OR(ISNUMBER(SEARCH("дубль",AE463)),ISNUMBER(SEARCH("ПЕРЕГРУЗ",AE463)),ISNUMBER(SEARCH("ЗАЩИЩ",AE463)),ISNUMBER(SEARCH("КАНАЛ",AE463)),ISNUMBER(SEARCH("без 30",AE463))),2,1))</f>
      </c>
      <c r="BV463" s="129">
        <f>IF(R463="","",COUNTIF($R$3:R463,"?*"))</f>
      </c>
      <c r="BW463" s="129">
        <f>IF(AY463&lt;&gt;1,0,IF(MAX(IFERROR(--VLOOKUP(R463,УГО_спр,5,FALSE),0),IFERROR(--VLOOKUP(AL463,УГО_спр,5,FALSE),0),IFERROR(--VLOOKUP(LEFT(AL463,2),УГО_спр,5,FALSE),0))&gt;0,MAX(IFERROR(--VLOOKUP(R463,УГО_спр,5,FALSE),0),IFERROR(--VLOOKUP(AL463,УГО_спр,5,FALSE),0),IFERROR(--VLOOKUP(LEFT(AL463,2),УГО_спр,5,FALSE),0)),IF(IFERROR(--LEFT(SUBSTITUTE(BQ463,"x","х"),FIND("х",SUBSTITUTE(BQ463,"x","х"))-1),3)&gt;3,Каталог!$S$9,1)))</f>
      </c>
      <c r="BX463" s="129">
        <f>IF(AY463&lt;&gt;1,0,MAX(0,IFERROR(--LEFT(SUBSTITUTE(BQ463,"x","х"),FIND("х",SUBSTITUTE(BQ463,"x","х"))-1),3)-3*BW463))</f>
      </c>
      <c r="BY463" s="129">
        <f>IF(R463="","",IFERROR(VLOOKUP(R463,УГО_спр,2,FALSE),IFERROR(VLOOKUP(AL463,УГО_спр,2,FALSE),IFERROR(VLOOKUP(LEFT(AL463,2),УГО_спр,2,FALSE),""))))</f>
      </c>
    </row>
    <row r="464" spans="1:64" x14ac:dyDescent="0.3">
      <c r="A464" s="135">
        <f>IF(Разбивка_по_щитам!F464=0,"",Разбивка_по_щитам!F464)</f>
      </c>
      <c r="B464" s="138">
        <f>IF(A464="","",Разбивка_по_щитам!C464)</f>
      </c>
      <c r="C464" s="138">
        <f t="shared" si="302"/>
      </c>
      <c r="D464" s="266"/>
      <c r="E464" s="266"/>
      <c r="F464" s="267"/>
      <c r="G464" s="145">
        <f t="shared" si="303"/>
        <v/>
      </c>
      <c r="H464" s="145">
        <f t="shared" si="304"/>
        <v/>
      </c>
      <c r="I464" s="266"/>
      <c r="J464" s="267"/>
      <c r="K464" s="267"/>
      <c r="L464" s="266"/>
      <c r="M464" s="147">
        <f t="shared" si="305"/>
        <v/>
      </c>
      <c r="N464" s="267"/>
      <c r="O464" s="147">
        <f t="shared" si="306"/>
        <v/>
      </c>
      <c r="P464" s="268">
        <f>IF(AY464=1,"XT"&amp;COUNTIFS($A$3:A464,A464,$AY$3:AY464,1),"")</f>
        <v/>
      </c>
      <c r="Q464" s="152">
        <f>IF(R464="","",IFERROR(SUBSTITUTE(Разбивка_по_щитам!P464,CHAR(10)," "),""))</f>
        <v/>
      </c>
      <c r="R464" s="153">
        <f>IF(OR(Разбивка_по_щитам!H464="",Разбивка_по_щитам!H464=0),"",Разбивка_по_щитам!H464)</f>
        <v/>
      </c>
      <c r="S464" s="154">
        <f>IF(R464="","",IFERROR(Разбивка_по_щитам!J464&amp;"",""))</f>
        <v/>
      </c>
      <c r="T464" s="155">
        <f>IF(R464="","",IFERROR(--Разбивка_по_щитам!L464,""))</f>
        <v/>
      </c>
      <c r="U464" s="155">
        <f>IF(R464="","",IFERROR(--Разбивка_по_щитам!K464,""))</f>
        <v/>
      </c>
      <c r="V464" s="138">
        <f>IF(R464="","",IFERROR(IF(Разбивка_по_щитам!M464=0,"",Разбивка_по_щитам!M464),""))</f>
        <v/>
      </c>
      <c r="W464" s="156">
        <f t="shared" si="307"/>
        <v/>
      </c>
      <c r="X464" s="157">
        <f t="shared" si="308"/>
        <v/>
      </c>
      <c r="Y464" s="266"/>
      <c r="Z464" s="158">
        <f t="shared" si="309"/>
        <v/>
      </c>
      <c r="AA464" s="160">
        <f t="shared" si="310"/>
        <v/>
      </c>
      <c r="AB464" s="160">
        <f>IF(R464="","",IFERROR(LOOKUP(INDEX(Справочная!$I$4:$I$19,MATCH(VLOOKUP(R464,Исходные_данные,22,FALSE),Справочная!$J$4:$J$19,0)+1),{6,10,16,20,25,32,40,50,63,80,100,125}),""))</f>
        <v/>
      </c>
      <c r="AC464" s="160">
        <f t="shared" si="311"/>
        <v/>
      </c>
      <c r="AD464" s="161">
        <f t="shared" si="312"/>
        <v/>
      </c>
      <c r="AE464" s="161">
        <f>IF(AND(R464="",G464=""),"",_xlfn.TEXTJOIN("; ",TRUE,IF(AND(R464&lt;&gt;"",V464=""),"нет фазы",""),IF(AND(R464&lt;&gt;"",N(T464)=0),"нет мощности",""),IF(AND(P464&lt;&gt;"",COUNTIFS($A$3:$A$1000,A464,$P$3:$P$1000,P464)&gt;1),"дубль клеммы "&amp;P464,""),IF(AND(W464&lt;&gt;"",W464&lt;&gt;"ok"),W464,""),IF(X464&lt;&gt;"",X464,""),IF(AND(ISNUMBER(SEARCH("(5х",Q464)),N(AK464)=1),"5 жил на 1 фазе",""),IF(AND(AL464="R",E464&lt;&gt;"",N(AS464)=0),"розетка без 30 мА",""),IF(IFERROR(_xlfn.NUMBERVALUE(MID(Q464,FIND("-",Q464,FIND("L=",Q464))+1,FIND("%",Q464)-FIND("-",Q464,FIND("L=",Q464))-1),","),0)&gt;4,"потери &gt; 4 %","")))</f>
      </c>
      <c r="AF464" s="129">
        <f>IF(E464&lt;&gt;"",COUNTIFS($A$3:A464,A464,$E$3:E464,"?*"),IF(OR(A464&lt;&gt;A463,Y464="вручную"),"",AF463))</f>
      </c>
      <c r="AG464" s="129">
        <f t="shared" si="313"/>
      </c>
      <c r="AH464" s="129">
        <f t="shared" si="314"/>
        <v/>
      </c>
      <c r="AI464" s="129">
        <f t="shared" si="315"/>
        <v/>
      </c>
      <c r="AJ464" s="129">
        <f t="shared" si="316"/>
        <v/>
      </c>
      <c r="AK464" s="129">
        <f t="shared" si="317"/>
        <v/>
      </c>
      <c r="AL464" s="129">
        <f t="shared" si="318"/>
        <v/>
      </c>
      <c r="AM464" s="129">
        <f t="shared" si="319"/>
      </c>
      <c r="AN464" s="129">
        <f t="shared" si="320"/>
      </c>
      <c r="AO464" s="129">
        <f t="shared" si="321"/>
        <v/>
      </c>
      <c r="AP464" s="129">
        <f t="shared" si="322"/>
        <v/>
      </c>
      <c r="AQ464" s="129">
        <f t="shared" si="323"/>
        <v/>
      </c>
      <c r="AR464" s="129">
        <f t="shared" si="324"/>
        <v/>
      </c>
      <c r="AS464" s="129">
        <f t="shared" si="325"/>
        <v/>
      </c>
      <c r="AT464" s="129">
        <f t="shared" si="326"/>
        <v/>
      </c>
      <c r="AU464" s="129">
        <f t="shared" si="327"/>
        <v/>
      </c>
      <c r="AV464" s="129">
        <f t="shared" si="328"/>
        <v/>
      </c>
      <c r="AW464" s="129">
        <f>IF(AV464="","",AV464&amp;"."&amp;COUNTIFS($A$3:A464,A464,$AV$3:AV464,AV464))</f>
        <v/>
      </c>
      <c r="AX464" s="129">
        <f t="shared" si="329"/>
        <v/>
      </c>
      <c r="AY464" s="129">
        <f>IF(N464="б/к",0,IF(OR(ISNUMBER(SEARCH("L=",Разбивка_по_щитам!P464)),N464="+",N464="="),1,0))</f>
      </c>
      <c r="AZ464" s="129">
        <f t="shared" si="330"/>
      </c>
      <c r="BA464" s="129">
        <f t="shared" si="331"/>
      </c>
      <c r="BB464" s="129">
        <f t="shared" si="332"/>
      </c>
      <c r="BD464" s="129">
        <f t="shared" si="333"/>
      </c>
      <c r="BE464" s="129">
        <f t="shared" si="334"/>
      </c>
      <c r="BF464" s="129">
        <f t="shared" si="335"/>
      </c>
      <c r="BG464" s="129">
        <f t="shared" si="336"/>
        <v/>
      </c>
      <c r="BH464" s="129">
        <f t="shared" si="337"/>
        <v/>
      </c>
      <c r="BI464" s="129">
        <f t="shared" si="338"/>
        <v/>
      </c>
      <c r="BJ464" s="129">
        <f t="shared" si="339"/>
        <v/>
      </c>
      <c r="BK464" s="129">
        <f>IF(R464="","",IF(OR(BY464="",BY464=0),"BOX",IFERROR(IF(VLOOKUP(BY464,УГО_блоки,3,FALSE)&amp;""&lt;&gt;"",VLOOKUP(BY464,УГО_блоки,3,FALSE),VLOOKUP(BY464,УГО_блоки,2,FALSE)),BY464)))</f>
      </c>
      <c r="BL464" s="129">
        <f t="shared" si="341"/>
      </c>
      <c r="BM464" s="129">
        <f>IF(H464="","",IF(COUNTIF($H$3:H464,H464)=1,MAX($BM$2:BM463)+1,""))</f>
      </c>
      <c r="BN464" s="129">
        <f>IF(I464="","",IF(COUNTIF($I$3:I464,I464)+COUNTIF($J$2:J463,I464)+COUNTIF($K$2:K463,I464)=1,MAX($BN$2:BP463)+1,""))</f>
      </c>
      <c r="BO464" s="129">
        <f>IF(J464="","",IF(COUNTIF($I$3:I464,J464)+COUNTIF($J$3:J464,J464)+COUNTIF($K$2:K463,J464)=1,MAX($BN$2:BP463,BN464)+1,""))</f>
      </c>
      <c r="BP464" s="129">
        <f>IF(K464="","",IF(COUNTIF($I$3:I464,K464)+COUNTIF($J$3:J464,K464)+COUNTIF($K$3:K464,K464)=1,MAX($BN$2:BP463,BN464,BO464)+1,""))</f>
      </c>
      <c r="BQ464" s="129">
        <f>IF(AY464=1,IFERROR(MID(Q464,FIND(" (",Q464)+2,FIND(")",Q464,FIND(" (",Q464))-FIND(" (",Q464)-2),"?"),"")</f>
      </c>
      <c r="BR464" s="129">
        <f>IF(BQ464="","",IF(COUNTIF($BQ$3:BQ464,BQ464)=1,MAX($BR$2:BR463)+1,""))</f>
      </c>
      <c r="BS464" s="129">
        <f>IF(AW464="","",COUNTIF($AW$3:AW464,"?*"))</f>
      </c>
      <c r="BT464" s="129">
        <f>IF(OR(AW464="",AI464=""),"",IF(COUNTIFS($AW$3:AW464,"?*",$AI$3:AI464,AI464)=1,MAX($BT$2:BT463)+1,""))</f>
      </c>
      <c r="BU464" s="129">
        <f>IF(AE464="",0,IF(OR(ISNUMBER(SEARCH("дубль",AE464)),ISNUMBER(SEARCH("ПЕРЕГРУЗ",AE464)),ISNUMBER(SEARCH("ЗАЩИЩ",AE464)),ISNUMBER(SEARCH("КАНАЛ",AE464)),ISNUMBER(SEARCH("без 30",AE464))),2,1))</f>
      </c>
      <c r="BV464" s="129">
        <f>IF(R464="","",COUNTIF($R$3:R464,"?*"))</f>
      </c>
      <c r="BW464" s="129">
        <f>IF(AY464&lt;&gt;1,0,IF(MAX(IFERROR(--VLOOKUP(R464,УГО_спр,5,FALSE),0),IFERROR(--VLOOKUP(AL464,УГО_спр,5,FALSE),0),IFERROR(--VLOOKUP(LEFT(AL464,2),УГО_спр,5,FALSE),0))&gt;0,MAX(IFERROR(--VLOOKUP(R464,УГО_спр,5,FALSE),0),IFERROR(--VLOOKUP(AL464,УГО_спр,5,FALSE),0),IFERROR(--VLOOKUP(LEFT(AL464,2),УГО_спр,5,FALSE),0)),IF(IFERROR(--LEFT(SUBSTITUTE(BQ464,"x","х"),FIND("х",SUBSTITUTE(BQ464,"x","х"))-1),3)&gt;3,Каталог!$S$9,1)))</f>
      </c>
      <c r="BX464" s="129">
        <f>IF(AY464&lt;&gt;1,0,MAX(0,IFERROR(--LEFT(SUBSTITUTE(BQ464,"x","х"),FIND("х",SUBSTITUTE(BQ464,"x","х"))-1),3)-3*BW464))</f>
      </c>
      <c r="BY464" s="129">
        <f>IF(R464="","",IFERROR(VLOOKUP(R464,УГО_спр,2,FALSE),IFERROR(VLOOKUP(AL464,УГО_спр,2,FALSE),IFERROR(VLOOKUP(LEFT(AL464,2),УГО_спр,2,FALSE),""))))</f>
      </c>
    </row>
    <row r="465" spans="1:64" x14ac:dyDescent="0.3">
      <c r="A465" s="135">
        <f>IF(Разбивка_по_щитам!F465=0,"",Разбивка_по_щитам!F465)</f>
      </c>
      <c r="B465" s="138">
        <f>IF(A465="","",Разбивка_по_щитам!C465)</f>
      </c>
      <c r="C465" s="138">
        <f t="shared" si="302"/>
      </c>
      <c r="D465" s="266"/>
      <c r="E465" s="266"/>
      <c r="F465" s="267"/>
      <c r="G465" s="145">
        <f t="shared" si="303"/>
        <v/>
      </c>
      <c r="H465" s="145">
        <f t="shared" si="304"/>
        <v/>
      </c>
      <c r="I465" s="266"/>
      <c r="J465" s="267"/>
      <c r="K465" s="267"/>
      <c r="L465" s="266"/>
      <c r="M465" s="147">
        <f t="shared" si="305"/>
        <v/>
      </c>
      <c r="N465" s="267"/>
      <c r="O465" s="147">
        <f t="shared" si="306"/>
        <v/>
      </c>
      <c r="P465" s="268">
        <f>IF(AY465=1,"XT"&amp;COUNTIFS($A$3:A465,A465,$AY$3:AY465,1),"")</f>
        <v/>
      </c>
      <c r="Q465" s="152">
        <f>IF(R465="","",IFERROR(SUBSTITUTE(Разбивка_по_щитам!P465,CHAR(10)," "),""))</f>
        <v/>
      </c>
      <c r="R465" s="153">
        <f>IF(OR(Разбивка_по_щитам!H465="",Разбивка_по_щитам!H465=0),"",Разбивка_по_щитам!H465)</f>
        <v/>
      </c>
      <c r="S465" s="154">
        <f>IF(R465="","",IFERROR(Разбивка_по_щитам!J465&amp;"",""))</f>
        <v/>
      </c>
      <c r="T465" s="155">
        <f>IF(R465="","",IFERROR(--Разбивка_по_щитам!L465,""))</f>
        <v/>
      </c>
      <c r="U465" s="155">
        <f>IF(R465="","",IFERROR(--Разбивка_по_щитам!K465,""))</f>
        <v/>
      </c>
      <c r="V465" s="138">
        <f>IF(R465="","",IFERROR(IF(Разбивка_по_щитам!M465=0,"",Разбивка_по_щитам!M465),""))</f>
        <v/>
      </c>
      <c r="W465" s="156">
        <f t="shared" si="307"/>
        <v/>
      </c>
      <c r="X465" s="157">
        <f t="shared" si="308"/>
        <v/>
      </c>
      <c r="Y465" s="266"/>
      <c r="Z465" s="158">
        <f t="shared" si="309"/>
        <v/>
      </c>
      <c r="AA465" s="160">
        <f t="shared" si="310"/>
        <v/>
      </c>
      <c r="AB465" s="160">
        <f>IF(R465="","",IFERROR(LOOKUP(INDEX(Справочная!$I$4:$I$19,MATCH(VLOOKUP(R465,Исходные_данные,22,FALSE),Справочная!$J$4:$J$19,0)+1),{6,10,16,20,25,32,40,50,63,80,100,125}),""))</f>
        <v/>
      </c>
      <c r="AC465" s="160">
        <f t="shared" si="311"/>
        <v/>
      </c>
      <c r="AD465" s="161">
        <f t="shared" si="312"/>
        <v/>
      </c>
      <c r="AE465" s="161">
        <f>IF(AND(R465="",G465=""),"",_xlfn.TEXTJOIN("; ",TRUE,IF(AND(R465&lt;&gt;"",V465=""),"нет фазы",""),IF(AND(R465&lt;&gt;"",N(T465)=0),"нет мощности",""),IF(AND(P465&lt;&gt;"",COUNTIFS($A$3:$A$1000,A465,$P$3:$P$1000,P465)&gt;1),"дубль клеммы "&amp;P465,""),IF(AND(W465&lt;&gt;"",W465&lt;&gt;"ok"),W465,""),IF(X465&lt;&gt;"",X465,""),IF(AND(ISNUMBER(SEARCH("(5х",Q465)),N(AK465)=1),"5 жил на 1 фазе",""),IF(AND(AL465="R",E465&lt;&gt;"",N(AS465)=0),"розетка без 30 мА",""),IF(IFERROR(_xlfn.NUMBERVALUE(MID(Q465,FIND("-",Q465,FIND("L=",Q465))+1,FIND("%",Q465)-FIND("-",Q465,FIND("L=",Q465))-1),","),0)&gt;4,"потери &gt; 4 %","")))</f>
      </c>
      <c r="AF465" s="129">
        <f>IF(E465&lt;&gt;"",COUNTIFS($A$3:A465,A465,$E$3:E465,"?*"),IF(OR(A465&lt;&gt;A464,Y465="вручную"),"",AF464))</f>
      </c>
      <c r="AG465" s="129">
        <f t="shared" si="313"/>
      </c>
      <c r="AH465" s="129">
        <f t="shared" si="314"/>
        <v/>
      </c>
      <c r="AI465" s="129">
        <f t="shared" si="315"/>
        <v/>
      </c>
      <c r="AJ465" s="129">
        <f t="shared" si="316"/>
        <v/>
      </c>
      <c r="AK465" s="129">
        <f t="shared" si="317"/>
        <v/>
      </c>
      <c r="AL465" s="129">
        <f t="shared" si="318"/>
        <v/>
      </c>
      <c r="AM465" s="129">
        <f t="shared" si="319"/>
      </c>
      <c r="AN465" s="129">
        <f t="shared" si="320"/>
      </c>
      <c r="AO465" s="129">
        <f t="shared" si="321"/>
        <v/>
      </c>
      <c r="AP465" s="129">
        <f t="shared" si="322"/>
        <v/>
      </c>
      <c r="AQ465" s="129">
        <f t="shared" si="323"/>
        <v/>
      </c>
      <c r="AR465" s="129">
        <f t="shared" si="324"/>
        <v/>
      </c>
      <c r="AS465" s="129">
        <f t="shared" si="325"/>
        <v/>
      </c>
      <c r="AT465" s="129">
        <f t="shared" si="326"/>
        <v/>
      </c>
      <c r="AU465" s="129">
        <f t="shared" si="327"/>
        <v/>
      </c>
      <c r="AV465" s="129">
        <f t="shared" si="328"/>
        <v/>
      </c>
      <c r="AW465" s="129">
        <f>IF(AV465="","",AV465&amp;"."&amp;COUNTIFS($A$3:A465,A465,$AV$3:AV465,AV465))</f>
        <v/>
      </c>
      <c r="AX465" s="129">
        <f t="shared" si="329"/>
        <v/>
      </c>
      <c r="AY465" s="129">
        <f>IF(N465="б/к",0,IF(OR(ISNUMBER(SEARCH("L=",Разбивка_по_щитам!P465)),N465="+",N465="="),1,0))</f>
      </c>
      <c r="AZ465" s="129">
        <f t="shared" si="330"/>
      </c>
      <c r="BA465" s="129">
        <f t="shared" si="331"/>
      </c>
      <c r="BB465" s="129">
        <f t="shared" si="332"/>
      </c>
      <c r="BD465" s="129">
        <f t="shared" si="333"/>
      </c>
      <c r="BE465" s="129">
        <f t="shared" si="334"/>
      </c>
      <c r="BF465" s="129">
        <f t="shared" si="335"/>
      </c>
      <c r="BG465" s="129">
        <f t="shared" si="336"/>
        <v/>
      </c>
      <c r="BH465" s="129">
        <f t="shared" si="337"/>
        <v/>
      </c>
      <c r="BI465" s="129">
        <f t="shared" si="338"/>
        <v/>
      </c>
      <c r="BJ465" s="129">
        <f t="shared" si="339"/>
        <v/>
      </c>
      <c r="BK465" s="129">
        <f>IF(R465="","",IF(OR(BY465="",BY465=0),"BOX",IFERROR(IF(VLOOKUP(BY465,УГО_блоки,3,FALSE)&amp;""&lt;&gt;"",VLOOKUP(BY465,УГО_блоки,3,FALSE),VLOOKUP(BY465,УГО_блоки,2,FALSE)),BY465)))</f>
      </c>
      <c r="BL465" s="129">
        <f t="shared" si="341"/>
      </c>
      <c r="BM465" s="129">
        <f>IF(H465="","",IF(COUNTIF($H$3:H465,H465)=1,MAX($BM$2:BM464)+1,""))</f>
      </c>
      <c r="BN465" s="129">
        <f>IF(I465="","",IF(COUNTIF($I$3:I465,I465)+COUNTIF($J$2:J464,I465)+COUNTIF($K$2:K464,I465)=1,MAX($BN$2:BP464)+1,""))</f>
      </c>
      <c r="BO465" s="129">
        <f>IF(J465="","",IF(COUNTIF($I$3:I465,J465)+COUNTIF($J$3:J465,J465)+COUNTIF($K$2:K464,J465)=1,MAX($BN$2:BP464,BN465)+1,""))</f>
      </c>
      <c r="BP465" s="129">
        <f>IF(K465="","",IF(COUNTIF($I$3:I465,K465)+COUNTIF($J$3:J465,K465)+COUNTIF($K$3:K465,K465)=1,MAX($BN$2:BP464,BN465,BO465)+1,""))</f>
      </c>
      <c r="BQ465" s="129">
        <f>IF(AY465=1,IFERROR(MID(Q465,FIND(" (",Q465)+2,FIND(")",Q465,FIND(" (",Q465))-FIND(" (",Q465)-2),"?"),"")</f>
      </c>
      <c r="BR465" s="129">
        <f>IF(BQ465="","",IF(COUNTIF($BQ$3:BQ465,BQ465)=1,MAX($BR$2:BR464)+1,""))</f>
      </c>
      <c r="BS465" s="129">
        <f>IF(AW465="","",COUNTIF($AW$3:AW465,"?*"))</f>
      </c>
      <c r="BT465" s="129">
        <f>IF(OR(AW465="",AI465=""),"",IF(COUNTIFS($AW$3:AW465,"?*",$AI$3:AI465,AI465)=1,MAX($BT$2:BT464)+1,""))</f>
      </c>
      <c r="BU465" s="129">
        <f>IF(AE465="",0,IF(OR(ISNUMBER(SEARCH("дубль",AE465)),ISNUMBER(SEARCH("ПЕРЕГРУЗ",AE465)),ISNUMBER(SEARCH("ЗАЩИЩ",AE465)),ISNUMBER(SEARCH("КАНАЛ",AE465)),ISNUMBER(SEARCH("без 30",AE465))),2,1))</f>
      </c>
      <c r="BV465" s="129">
        <f>IF(R465="","",COUNTIF($R$3:R465,"?*"))</f>
      </c>
      <c r="BW465" s="129">
        <f>IF(AY465&lt;&gt;1,0,IF(MAX(IFERROR(--VLOOKUP(R465,УГО_спр,5,FALSE),0),IFERROR(--VLOOKUP(AL465,УГО_спр,5,FALSE),0),IFERROR(--VLOOKUP(LEFT(AL465,2),УГО_спр,5,FALSE),0))&gt;0,MAX(IFERROR(--VLOOKUP(R465,УГО_спр,5,FALSE),0),IFERROR(--VLOOKUP(AL465,УГО_спр,5,FALSE),0),IFERROR(--VLOOKUP(LEFT(AL465,2),УГО_спр,5,FALSE),0)),IF(IFERROR(--LEFT(SUBSTITUTE(BQ465,"x","х"),FIND("х",SUBSTITUTE(BQ465,"x","х"))-1),3)&gt;3,Каталог!$S$9,1)))</f>
      </c>
      <c r="BX465" s="129">
        <f>IF(AY465&lt;&gt;1,0,MAX(0,IFERROR(--LEFT(SUBSTITUTE(BQ465,"x","х"),FIND("х",SUBSTITUTE(BQ465,"x","х"))-1),3)-3*BW465))</f>
      </c>
      <c r="BY465" s="129">
        <f>IF(R465="","",IFERROR(VLOOKUP(R465,УГО_спр,2,FALSE),IFERROR(VLOOKUP(AL465,УГО_спр,2,FALSE),IFERROR(VLOOKUP(LEFT(AL465,2),УГО_спр,2,FALSE),""))))</f>
      </c>
    </row>
    <row r="466" spans="1:64" x14ac:dyDescent="0.3">
      <c r="A466" s="135">
        <f>IF(Разбивка_по_щитам!F466=0,"",Разбивка_по_щитам!F466)</f>
      </c>
      <c r="B466" s="138">
        <f>IF(A466="","",Разбивка_по_щитам!C466)</f>
      </c>
      <c r="C466" s="138">
        <f t="shared" si="302"/>
      </c>
      <c r="D466" s="266"/>
      <c r="E466" s="266"/>
      <c r="F466" s="267"/>
      <c r="G466" s="145">
        <f t="shared" si="303"/>
        <v/>
      </c>
      <c r="H466" s="145">
        <f t="shared" si="304"/>
        <v/>
      </c>
      <c r="I466" s="266"/>
      <c r="J466" s="267"/>
      <c r="K466" s="267"/>
      <c r="L466" s="266"/>
      <c r="M466" s="147">
        <f t="shared" si="305"/>
        <v/>
      </c>
      <c r="N466" s="267"/>
      <c r="O466" s="147">
        <f t="shared" si="306"/>
        <v/>
      </c>
      <c r="P466" s="268">
        <f>IF(AY466=1,"XT"&amp;COUNTIFS($A$3:A466,A466,$AY$3:AY466,1),"")</f>
        <v/>
      </c>
      <c r="Q466" s="152">
        <f>IF(R466="","",IFERROR(SUBSTITUTE(Разбивка_по_щитам!P466,CHAR(10)," "),""))</f>
        <v/>
      </c>
      <c r="R466" s="153">
        <f>IF(OR(Разбивка_по_щитам!H466="",Разбивка_по_щитам!H466=0),"",Разбивка_по_щитам!H466)</f>
        <v/>
      </c>
      <c r="S466" s="154">
        <f>IF(R466="","",IFERROR(Разбивка_по_щитам!J466&amp;"",""))</f>
        <v/>
      </c>
      <c r="T466" s="155">
        <f>IF(R466="","",IFERROR(--Разбивка_по_щитам!L466,""))</f>
        <v/>
      </c>
      <c r="U466" s="155">
        <f>IF(R466="","",IFERROR(--Разбивка_по_щитам!K466,""))</f>
        <v/>
      </c>
      <c r="V466" s="138">
        <f>IF(R466="","",IFERROR(IF(Разбивка_по_щитам!M466=0,"",Разбивка_по_щитам!M466),""))</f>
        <v/>
      </c>
      <c r="W466" s="156">
        <f t="shared" si="307"/>
        <v/>
      </c>
      <c r="X466" s="157">
        <f t="shared" si="308"/>
        <v/>
      </c>
      <c r="Y466" s="266"/>
      <c r="Z466" s="158">
        <f t="shared" si="309"/>
        <v/>
      </c>
      <c r="AA466" s="160">
        <f t="shared" si="310"/>
        <v/>
      </c>
      <c r="AB466" s="160">
        <f>IF(R466="","",IFERROR(LOOKUP(INDEX(Справочная!$I$4:$I$19,MATCH(VLOOKUP(R466,Исходные_данные,22,FALSE),Справочная!$J$4:$J$19,0)+1),{6,10,16,20,25,32,40,50,63,80,100,125}),""))</f>
        <v/>
      </c>
      <c r="AC466" s="160">
        <f t="shared" si="311"/>
        <v/>
      </c>
      <c r="AD466" s="161">
        <f t="shared" si="312"/>
        <v/>
      </c>
      <c r="AE466" s="161">
        <f>IF(AND(R466="",G466=""),"",_xlfn.TEXTJOIN("; ",TRUE,IF(AND(R466&lt;&gt;"",V466=""),"нет фазы",""),IF(AND(R466&lt;&gt;"",N(T466)=0),"нет мощности",""),IF(AND(P466&lt;&gt;"",COUNTIFS($A$3:$A$1000,A466,$P$3:$P$1000,P466)&gt;1),"дубль клеммы "&amp;P466,""),IF(AND(W466&lt;&gt;"",W466&lt;&gt;"ok"),W466,""),IF(X466&lt;&gt;"",X466,""),IF(AND(ISNUMBER(SEARCH("(5х",Q466)),N(AK466)=1),"5 жил на 1 фазе",""),IF(AND(AL466="R",E466&lt;&gt;"",N(AS466)=0),"розетка без 30 мА",""),IF(IFERROR(_xlfn.NUMBERVALUE(MID(Q466,FIND("-",Q466,FIND("L=",Q466))+1,FIND("%",Q466)-FIND("-",Q466,FIND("L=",Q466))-1),","),0)&gt;4,"потери &gt; 4 %","")))</f>
      </c>
      <c r="AF466" s="129">
        <f>IF(E466&lt;&gt;"",COUNTIFS($A$3:A466,A466,$E$3:E466,"?*"),IF(OR(A466&lt;&gt;A465,Y466="вручную"),"",AF465))</f>
      </c>
      <c r="AG466" s="129">
        <f t="shared" si="313"/>
      </c>
      <c r="AH466" s="129">
        <f t="shared" si="314"/>
        <v/>
      </c>
      <c r="AI466" s="129">
        <f t="shared" si="315"/>
        <v/>
      </c>
      <c r="AJ466" s="129">
        <f t="shared" si="316"/>
        <v/>
      </c>
      <c r="AK466" s="129">
        <f t="shared" si="317"/>
        <v/>
      </c>
      <c r="AL466" s="129">
        <f t="shared" si="318"/>
        <v/>
      </c>
      <c r="AM466" s="129">
        <f t="shared" si="319"/>
      </c>
      <c r="AN466" s="129">
        <f t="shared" si="320"/>
      </c>
      <c r="AO466" s="129">
        <f t="shared" si="321"/>
        <v/>
      </c>
      <c r="AP466" s="129">
        <f t="shared" si="322"/>
        <v/>
      </c>
      <c r="AQ466" s="129">
        <f t="shared" si="323"/>
        <v/>
      </c>
      <c r="AR466" s="129">
        <f t="shared" si="324"/>
        <v/>
      </c>
      <c r="AS466" s="129">
        <f t="shared" si="325"/>
        <v/>
      </c>
      <c r="AT466" s="129">
        <f t="shared" si="326"/>
        <v/>
      </c>
      <c r="AU466" s="129">
        <f t="shared" si="327"/>
        <v/>
      </c>
      <c r="AV466" s="129">
        <f t="shared" si="328"/>
        <v/>
      </c>
      <c r="AW466" s="129">
        <f>IF(AV466="","",AV466&amp;"."&amp;COUNTIFS($A$3:A466,A466,$AV$3:AV466,AV466))</f>
        <v/>
      </c>
      <c r="AX466" s="129">
        <f t="shared" si="329"/>
        <v/>
      </c>
      <c r="AY466" s="129">
        <f>IF(N466="б/к",0,IF(OR(ISNUMBER(SEARCH("L=",Разбивка_по_щитам!P466)),N466="+",N466="="),1,0))</f>
      </c>
      <c r="AZ466" s="129">
        <f t="shared" si="330"/>
      </c>
      <c r="BA466" s="129">
        <f t="shared" si="331"/>
      </c>
      <c r="BB466" s="129">
        <f t="shared" si="332"/>
      </c>
      <c r="BD466" s="129">
        <f t="shared" si="333"/>
      </c>
      <c r="BE466" s="129">
        <f t="shared" si="334"/>
      </c>
      <c r="BF466" s="129">
        <f t="shared" si="335"/>
      </c>
      <c r="BG466" s="129">
        <f t="shared" si="336"/>
        <v/>
      </c>
      <c r="BH466" s="129">
        <f t="shared" si="337"/>
        <v/>
      </c>
      <c r="BI466" s="129">
        <f t="shared" si="338"/>
        <v/>
      </c>
      <c r="BJ466" s="129">
        <f t="shared" si="339"/>
        <v/>
      </c>
      <c r="BK466" s="129">
        <f>IF(R466="","",IF(OR(BY466="",BY466=0),"BOX",IFERROR(IF(VLOOKUP(BY466,УГО_блоки,3,FALSE)&amp;""&lt;&gt;"",VLOOKUP(BY466,УГО_блоки,3,FALSE),VLOOKUP(BY466,УГО_блоки,2,FALSE)),BY466)))</f>
      </c>
      <c r="BL466" s="129">
        <f t="shared" si="341"/>
      </c>
      <c r="BM466" s="129">
        <f>IF(H466="","",IF(COUNTIF($H$3:H466,H466)=1,MAX($BM$2:BM465)+1,""))</f>
      </c>
      <c r="BN466" s="129">
        <f>IF(I466="","",IF(COUNTIF($I$3:I466,I466)+COUNTIF($J$2:J465,I466)+COUNTIF($K$2:K465,I466)=1,MAX($BN$2:BP465)+1,""))</f>
      </c>
      <c r="BO466" s="129">
        <f>IF(J466="","",IF(COUNTIF($I$3:I466,J466)+COUNTIF($J$3:J466,J466)+COUNTIF($K$2:K465,J466)=1,MAX($BN$2:BP465,BN466)+1,""))</f>
      </c>
      <c r="BP466" s="129">
        <f>IF(K466="","",IF(COUNTIF($I$3:I466,K466)+COUNTIF($J$3:J466,K466)+COUNTIF($K$3:K466,K466)=1,MAX($BN$2:BP465,BN466,BO466)+1,""))</f>
      </c>
      <c r="BQ466" s="129">
        <f>IF(AY466=1,IFERROR(MID(Q466,FIND(" (",Q466)+2,FIND(")",Q466,FIND(" (",Q466))-FIND(" (",Q466)-2),"?"),"")</f>
      </c>
      <c r="BR466" s="129">
        <f>IF(BQ466="","",IF(COUNTIF($BQ$3:BQ466,BQ466)=1,MAX($BR$2:BR465)+1,""))</f>
      </c>
      <c r="BS466" s="129">
        <f>IF(AW466="","",COUNTIF($AW$3:AW466,"?*"))</f>
      </c>
      <c r="BT466" s="129">
        <f>IF(OR(AW466="",AI466=""),"",IF(COUNTIFS($AW$3:AW466,"?*",$AI$3:AI466,AI466)=1,MAX($BT$2:BT465)+1,""))</f>
      </c>
      <c r="BU466" s="129">
        <f>IF(AE466="",0,IF(OR(ISNUMBER(SEARCH("дубль",AE466)),ISNUMBER(SEARCH("ПЕРЕГРУЗ",AE466)),ISNUMBER(SEARCH("ЗАЩИЩ",AE466)),ISNUMBER(SEARCH("КАНАЛ",AE466)),ISNUMBER(SEARCH("без 30",AE466))),2,1))</f>
      </c>
      <c r="BV466" s="129">
        <f>IF(R466="","",COUNTIF($R$3:R466,"?*"))</f>
      </c>
      <c r="BW466" s="129">
        <f>IF(AY466&lt;&gt;1,0,IF(MAX(IFERROR(--VLOOKUP(R466,УГО_спр,5,FALSE),0),IFERROR(--VLOOKUP(AL466,УГО_спр,5,FALSE),0),IFERROR(--VLOOKUP(LEFT(AL466,2),УГО_спр,5,FALSE),0))&gt;0,MAX(IFERROR(--VLOOKUP(R466,УГО_спр,5,FALSE),0),IFERROR(--VLOOKUP(AL466,УГО_спр,5,FALSE),0),IFERROR(--VLOOKUP(LEFT(AL466,2),УГО_спр,5,FALSE),0)),IF(IFERROR(--LEFT(SUBSTITUTE(BQ466,"x","х"),FIND("х",SUBSTITUTE(BQ466,"x","х"))-1),3)&gt;3,Каталог!$S$9,1)))</f>
      </c>
      <c r="BX466" s="129">
        <f>IF(AY466&lt;&gt;1,0,MAX(0,IFERROR(--LEFT(SUBSTITUTE(BQ466,"x","х"),FIND("х",SUBSTITUTE(BQ466,"x","х"))-1),3)-3*BW466))</f>
      </c>
      <c r="BY466" s="129">
        <f>IF(R466="","",IFERROR(VLOOKUP(R466,УГО_спр,2,FALSE),IFERROR(VLOOKUP(AL466,УГО_спр,2,FALSE),IFERROR(VLOOKUP(LEFT(AL466,2),УГО_спр,2,FALSE),""))))</f>
      </c>
    </row>
    <row r="467" spans="1:64" x14ac:dyDescent="0.3">
      <c r="A467" s="135">
        <f>IF(Разбивка_по_щитам!F467=0,"",Разбивка_по_щитам!F467)</f>
        <v/>
      </c>
      <c r="B467" s="138">
        <f>IF(A467="","",Разбивка_по_щитам!C467)</f>
        <v/>
      </c>
      <c r="C467" s="138">
        <f t="shared" si="302"/>
        <v/>
      </c>
      <c r="D467" s="266"/>
      <c r="E467" s="266"/>
      <c r="F467" s="267"/>
      <c r="G467" s="145">
        <f t="shared" si="303"/>
        <v/>
      </c>
      <c r="H467" s="145">
        <f t="shared" si="304"/>
        <v/>
      </c>
      <c r="I467" s="266"/>
      <c r="J467" s="267"/>
      <c r="K467" s="267"/>
      <c r="L467" s="266"/>
      <c r="M467" s="147">
        <f t="shared" si="305"/>
        <v/>
      </c>
      <c r="N467" s="267"/>
      <c r="O467" s="147">
        <f t="shared" si="306"/>
        <v/>
      </c>
      <c r="P467" s="268">
        <f>IF(AY467=1,"XT"&amp;COUNTIFS($A$3:A467,A467,$AY$3:AY467,1),"")</f>
        <v/>
      </c>
      <c r="Q467" s="152">
        <f>IF(R467="","",IFERROR(SUBSTITUTE(Разбивка_по_щитам!P467,CHAR(10)," "),""))</f>
        <v/>
      </c>
      <c r="R467" s="153">
        <f>IF(OR(Разбивка_по_щитам!H467="",Разбивка_по_щитам!H467=0),"",Разбивка_по_щитам!H467)</f>
        <v/>
      </c>
      <c r="S467" s="154">
        <f>IF(R467="","",IFERROR(Разбивка_по_щитам!J467&amp;"",""))</f>
        <v/>
      </c>
      <c r="T467" s="155">
        <f>IF(R467="","",IFERROR(--Разбивка_по_щитам!L467,""))</f>
        <v/>
      </c>
      <c r="U467" s="155">
        <f>IF(R467="","",IFERROR(--Разбивка_по_щитам!K467,""))</f>
        <v/>
      </c>
      <c r="V467" s="138">
        <f>IF(R467="","",IFERROR(IF(Разбивка_по_щитам!M467=0,"",Разбивка_по_щитам!M467),""))</f>
        <v/>
      </c>
      <c r="W467" s="156">
        <f t="shared" si="307"/>
        <v/>
      </c>
      <c r="X467" s="157">
        <f t="shared" si="308"/>
        <v/>
      </c>
      <c r="Y467" s="266"/>
      <c r="Z467" s="158">
        <f t="shared" si="309"/>
        <v/>
      </c>
      <c r="AA467" s="160">
        <f t="shared" si="310"/>
        <v/>
      </c>
      <c r="AB467" s="160">
        <f>IF(R467="","",IFERROR(LOOKUP(INDEX(Справочная!$I$4:$I$19,MATCH(VLOOKUP(R467,Исходные_данные,22,FALSE),Справочная!$J$4:$J$19,0)+1),{6,10,16,20,25,32,40,50,63,80,100,125}),""))</f>
        <v/>
      </c>
      <c r="AC467" s="160">
        <f t="shared" si="311"/>
        <v/>
      </c>
      <c r="AD467" s="161">
        <f t="shared" si="312"/>
        <v/>
      </c>
      <c r="AE467" s="161">
        <f>IF(AND(R467="",G467=""),"",_xlfn.TEXTJOIN("; ",TRUE,IF(AND(R467&lt;&gt;"",V467=""),"нет фазы",""),IF(AND(R467&lt;&gt;"",N(T467)=0),"нет мощности",""),IF(AND(P467&lt;&gt;"",COUNTIFS($A$3:$A$1000,A467,$P$3:$P$1000,P467)&gt;1),"дубль клеммы "&amp;P467,""),IF(AND(W467&lt;&gt;"",W467&lt;&gt;"ok"),W467,""),IF(X467&lt;&gt;"",X467,""),IF(AND(ISNUMBER(SEARCH("(5х",Q467)),N(AK467)=1),"5 жил на 1 фазе",""),IF(AND(AL467="R",E467&lt;&gt;"",N(AS467)=0),"розетка без 30 мА",""),IF(IFERROR(_xlfn.NUMBERVALUE(MID(Q467,FIND("-",Q467,FIND("L=",Q467))+1,FIND("%",Q467)-FIND("-",Q467,FIND("L=",Q467))-1),","),0)&gt;4,"потери &gt; 4 %","")))</f>
      </c>
      <c r="AF467" s="129">
        <f>IF(E467&lt;&gt;"",COUNTIFS($A$3:A467,A467,$E$3:E467,"?*"),IF(OR(A467&lt;&gt;A466,Y467="вручную"),"",AF466))</f>
        <v/>
      </c>
      <c r="AG467" s="129">
        <f t="shared" si="313"/>
        <v/>
      </c>
      <c r="AH467" s="129">
        <f t="shared" si="314"/>
        <v/>
      </c>
      <c r="AI467" s="129">
        <f t="shared" si="315"/>
        <v/>
      </c>
      <c r="AJ467" s="129">
        <f t="shared" si="316"/>
        <v/>
      </c>
      <c r="AK467" s="129">
        <f t="shared" si="317"/>
        <v/>
      </c>
      <c r="AL467" s="129">
        <f t="shared" si="318"/>
        <v/>
      </c>
      <c r="AM467" s="129">
        <f t="shared" si="319"/>
      </c>
      <c r="AN467" s="129">
        <f t="shared" si="320"/>
      </c>
      <c r="AO467" s="129">
        <f t="shared" si="321"/>
        <v/>
      </c>
      <c r="AP467" s="129">
        <f t="shared" si="322"/>
        <v/>
      </c>
      <c r="AQ467" s="129">
        <f t="shared" si="323"/>
        <v/>
      </c>
      <c r="AR467" s="129">
        <f t="shared" si="324"/>
        <v/>
      </c>
      <c r="AS467" s="129">
        <f t="shared" si="325"/>
        <v/>
      </c>
      <c r="AT467" s="129">
        <f t="shared" si="326"/>
        <v/>
      </c>
      <c r="AU467" s="129">
        <f t="shared" si="327"/>
        <v/>
      </c>
      <c r="AV467" s="129">
        <f t="shared" si="328"/>
        <v/>
      </c>
      <c r="AW467" s="129">
        <f>IF(AV467="","",AV467&amp;"."&amp;COUNTIFS($A$3:A467,A467,$AV$3:AV467,AV467))</f>
        <v/>
      </c>
      <c r="AX467" s="129">
        <f t="shared" si="329"/>
        <v/>
      </c>
      <c r="AY467" s="129">
        <f>IF(N467="б/к",0,IF(OR(ISNUMBER(SEARCH("L=",Разбивка_по_щитам!P467)),N467="+",N467="="),1,0))</f>
      </c>
      <c r="AZ467" s="129">
        <f t="shared" si="330"/>
        <v/>
      </c>
      <c r="BA467" s="129">
        <f t="shared" si="331"/>
      </c>
      <c r="BB467" s="129">
        <f t="shared" si="332"/>
      </c>
      <c r="BD467" s="129">
        <f t="shared" si="333"/>
      </c>
      <c r="BE467" s="129">
        <f t="shared" si="334"/>
      </c>
      <c r="BF467" s="129">
        <f t="shared" si="335"/>
      </c>
      <c r="BG467" s="129">
        <f t="shared" si="336"/>
        <v/>
      </c>
      <c r="BH467" s="129">
        <f t="shared" si="337"/>
        <v/>
      </c>
      <c r="BI467" s="129">
        <f t="shared" si="338"/>
        <v/>
      </c>
      <c r="BJ467" s="129">
        <f t="shared" si="339"/>
        <v/>
      </c>
      <c r="BK467" s="129">
        <f>IF(R467="","",IF(OR(BY467="",BY467=0),"BOX",IFERROR(IF(VLOOKUP(BY467,УГО_блоки,3,FALSE)&amp;""&lt;&gt;"",VLOOKUP(BY467,УГО_блоки,3,FALSE),VLOOKUP(BY467,УГО_блоки,2,FALSE)),BY467)))</f>
      </c>
      <c r="BL467" s="129">
        <f t="shared" si="341"/>
      </c>
      <c r="BM467" s="129">
        <f>IF(H467="","",IF(COUNTIF($H$3:H467,H467)=1,MAX($BM$2:BM466)+1,""))</f>
      </c>
      <c r="BN467" s="129">
        <f>IF(I467="","",IF(COUNTIF($I$3:I467,I467)+COUNTIF($J$2:J466,I467)+COUNTIF($K$2:K466,I467)=1,MAX($BN$2:BP466)+1,""))</f>
      </c>
      <c r="BO467" s="129">
        <f>IF(J467="","",IF(COUNTIF($I$3:I467,J467)+COUNTIF($J$3:J467,J467)+COUNTIF($K$2:K466,J467)=1,MAX($BN$2:BP466,BN467)+1,""))</f>
      </c>
      <c r="BP467" s="129">
        <f>IF(K467="","",IF(COUNTIF($I$3:I467,K467)+COUNTIF($J$3:J467,K467)+COUNTIF($K$3:K467,K467)=1,MAX($BN$2:BP466,BN467,BO467)+1,""))</f>
      </c>
      <c r="BQ467" s="129">
        <f>IF(AY467=1,IFERROR(MID(Q467,FIND(" (",Q467)+2,FIND(")",Q467,FIND(" (",Q467))-FIND(" (",Q467)-2),"?"),"")</f>
      </c>
      <c r="BR467" s="129">
        <f>IF(BQ467="","",IF(COUNTIF($BQ$3:BQ467,BQ467)=1,MAX($BR$2:BR466)+1,""))</f>
      </c>
      <c r="BS467" s="129">
        <f>IF(AW467="","",COUNTIF($AW$3:AW467,"?*"))</f>
      </c>
      <c r="BT467" s="129">
        <f>IF(OR(AW467="",AI467=""),"",IF(COUNTIFS($AW$3:AW467,"?*",$AI$3:AI467,AI467)=1,MAX($BT$2:BT466)+1,""))</f>
      </c>
      <c r="BU467" s="129">
        <f>IF(AE467="",0,IF(OR(ISNUMBER(SEARCH("дубль",AE467)),ISNUMBER(SEARCH("ПЕРЕГРУЗ",AE467)),ISNUMBER(SEARCH("ЗАЩИЩ",AE467)),ISNUMBER(SEARCH("КАНАЛ",AE467)),ISNUMBER(SEARCH("без 30",AE467))),2,1))</f>
      </c>
      <c r="BV467" s="129">
        <f>IF(R467="","",COUNTIF($R$3:R467,"?*"))</f>
      </c>
      <c r="BW467" s="129">
        <f>IF(AY467&lt;&gt;1,0,IF(MAX(IFERROR(--VLOOKUP(R467,УГО_спр,5,FALSE),0),IFERROR(--VLOOKUP(AL467,УГО_спр,5,FALSE),0),IFERROR(--VLOOKUP(LEFT(AL467,2),УГО_спр,5,FALSE),0))&gt;0,MAX(IFERROR(--VLOOKUP(R467,УГО_спр,5,FALSE),0),IFERROR(--VLOOKUP(AL467,УГО_спр,5,FALSE),0),IFERROR(--VLOOKUP(LEFT(AL467,2),УГО_спр,5,FALSE),0)),IF(IFERROR(--LEFT(SUBSTITUTE(BQ467,"x","х"),FIND("х",SUBSTITUTE(BQ467,"x","х"))-1),3)&gt;3,Каталог!$S$9,1)))</f>
      </c>
      <c r="BX467" s="129">
        <f>IF(AY467&lt;&gt;1,0,MAX(0,IFERROR(--LEFT(SUBSTITUTE(BQ467,"x","х"),FIND("х",SUBSTITUTE(BQ467,"x","х"))-1),3)-3*BW467))</f>
      </c>
      <c r="BY467" s="129">
        <f>IF(R467="","",IFERROR(VLOOKUP(R467,УГО_спр,2,FALSE),IFERROR(VLOOKUP(AL467,УГО_спр,2,FALSE),IFERROR(VLOOKUP(LEFT(AL467,2),УГО_спр,2,FALSE),""))))</f>
      </c>
    </row>
    <row r="468" spans="1:64" x14ac:dyDescent="0.3">
      <c r="A468" s="135">
        <f>IF(Разбивка_по_щитам!F468=0,"",Разбивка_по_щитам!F468)</f>
        <v/>
      </c>
      <c r="B468" s="138">
        <f>IF(A468="","",Разбивка_по_щитам!C468)</f>
        <v/>
      </c>
      <c r="C468" s="138">
        <f t="shared" si="302"/>
        <v/>
      </c>
      <c r="D468" s="266"/>
      <c r="E468" s="266"/>
      <c r="F468" s="267"/>
      <c r="G468" s="145">
        <f t="shared" si="303"/>
        <v/>
      </c>
      <c r="H468" s="145">
        <f t="shared" si="304"/>
        <v/>
      </c>
      <c r="I468" s="266"/>
      <c r="J468" s="267"/>
      <c r="K468" s="267"/>
      <c r="L468" s="266"/>
      <c r="M468" s="147">
        <f t="shared" si="305"/>
        <v/>
      </c>
      <c r="N468" s="267"/>
      <c r="O468" s="147">
        <f t="shared" si="306"/>
        <v/>
      </c>
      <c r="P468" s="268">
        <f>IF(AY468=1,"XT"&amp;COUNTIFS($A$3:A468,A468,$AY$3:AY468,1),"")</f>
        <v/>
      </c>
      <c r="Q468" s="152">
        <f>IF(R468="","",IFERROR(SUBSTITUTE(Разбивка_по_щитам!P468,CHAR(10)," "),""))</f>
        <v/>
      </c>
      <c r="R468" s="153">
        <f>IF(OR(Разбивка_по_щитам!H468="",Разбивка_по_щитам!H468=0),"",Разбивка_по_щитам!H468)</f>
        <v/>
      </c>
      <c r="S468" s="154">
        <f>IF(R468="","",IFERROR(Разбивка_по_щитам!J468&amp;"",""))</f>
        <v/>
      </c>
      <c r="T468" s="155">
        <f>IF(R468="","",IFERROR(--Разбивка_по_щитам!L468,""))</f>
        <v/>
      </c>
      <c r="U468" s="155">
        <f>IF(R468="","",IFERROR(--Разбивка_по_щитам!K468,""))</f>
        <v/>
      </c>
      <c r="V468" s="138">
        <f>IF(R468="","",IFERROR(IF(Разбивка_по_щитам!M468=0,"",Разбивка_по_щитам!M468),""))</f>
        <v/>
      </c>
      <c r="W468" s="156">
        <f t="shared" si="307"/>
        <v/>
      </c>
      <c r="X468" s="157">
        <f t="shared" si="308"/>
        <v/>
      </c>
      <c r="Y468" s="266"/>
      <c r="Z468" s="158">
        <f t="shared" si="309"/>
        <v/>
      </c>
      <c r="AA468" s="160">
        <f t="shared" si="310"/>
        <v/>
      </c>
      <c r="AB468" s="160">
        <f>IF(R468="","",IFERROR(LOOKUP(INDEX(Справочная!$I$4:$I$19,MATCH(VLOOKUP(R468,Исходные_данные,22,FALSE),Справочная!$J$4:$J$19,0)+1),{6,10,16,20,25,32,40,50,63,80,100,125}),""))</f>
        <v/>
      </c>
      <c r="AC468" s="160">
        <f t="shared" si="311"/>
        <v/>
      </c>
      <c r="AD468" s="161">
        <f t="shared" si="312"/>
        <v/>
      </c>
      <c r="AE468" s="161">
        <f>IF(AND(R468="",G468=""),"",_xlfn.TEXTJOIN("; ",TRUE,IF(AND(R468&lt;&gt;"",V468=""),"нет фазы",""),IF(AND(R468&lt;&gt;"",N(T468)=0),"нет мощности",""),IF(AND(P468&lt;&gt;"",COUNTIFS($A$3:$A$1000,A468,$P$3:$P$1000,P468)&gt;1),"дубль клеммы "&amp;P468,""),IF(AND(W468&lt;&gt;"",W468&lt;&gt;"ok"),W468,""),IF(X468&lt;&gt;"",X468,""),IF(AND(ISNUMBER(SEARCH("(5х",Q468)),N(AK468)=1),"5 жил на 1 фазе",""),IF(AND(AL468="R",E468&lt;&gt;"",N(AS468)=0),"розетка без 30 мА",""),IF(IFERROR(_xlfn.NUMBERVALUE(MID(Q468,FIND("-",Q468,FIND("L=",Q468))+1,FIND("%",Q468)-FIND("-",Q468,FIND("L=",Q468))-1),","),0)&gt;4,"потери &gt; 4 %","")))</f>
      </c>
      <c r="AF468" s="129">
        <f>IF(E468&lt;&gt;"",COUNTIFS($A$3:A468,A468,$E$3:E468,"?*"),IF(OR(A468&lt;&gt;A467,Y468="вручную"),"",AF467))</f>
        <v/>
      </c>
      <c r="AG468" s="129">
        <f t="shared" si="313"/>
        <v/>
      </c>
      <c r="AH468" s="129">
        <f t="shared" si="314"/>
        <v/>
      </c>
      <c r="AI468" s="129">
        <f t="shared" si="315"/>
        <v/>
      </c>
      <c r="AJ468" s="129">
        <f t="shared" si="316"/>
        <v/>
      </c>
      <c r="AK468" s="129">
        <f t="shared" si="317"/>
        <v/>
      </c>
      <c r="AL468" s="129">
        <f t="shared" si="318"/>
        <v/>
      </c>
      <c r="AM468" s="129">
        <f t="shared" si="319"/>
      </c>
      <c r="AN468" s="129">
        <f t="shared" si="320"/>
      </c>
      <c r="AO468" s="129">
        <f t="shared" si="321"/>
        <v/>
      </c>
      <c r="AP468" s="129">
        <f t="shared" si="322"/>
        <v/>
      </c>
      <c r="AQ468" s="129">
        <f t="shared" si="323"/>
        <v/>
      </c>
      <c r="AR468" s="129">
        <f t="shared" si="324"/>
        <v/>
      </c>
      <c r="AS468" s="129">
        <f t="shared" si="325"/>
        <v/>
      </c>
      <c r="AT468" s="129">
        <f t="shared" si="326"/>
        <v/>
      </c>
      <c r="AU468" s="129">
        <f t="shared" si="327"/>
        <v/>
      </c>
      <c r="AV468" s="129">
        <f t="shared" si="328"/>
        <v/>
      </c>
      <c r="AW468" s="129">
        <f>IF(AV468="","",AV468&amp;"."&amp;COUNTIFS($A$3:A468,A468,$AV$3:AV468,AV468))</f>
        <v/>
      </c>
      <c r="AX468" s="129">
        <f t="shared" si="329"/>
        <v/>
      </c>
      <c r="AY468" s="129">
        <f>IF(N468="б/к",0,IF(OR(ISNUMBER(SEARCH("L=",Разбивка_по_щитам!P468)),N468="+",N468="="),1,0))</f>
      </c>
      <c r="AZ468" s="129">
        <f t="shared" si="330"/>
        <v/>
      </c>
      <c r="BA468" s="129">
        <f t="shared" si="331"/>
      </c>
      <c r="BB468" s="129">
        <f t="shared" si="332"/>
      </c>
      <c r="BD468" s="129">
        <f t="shared" si="333"/>
      </c>
      <c r="BE468" s="129">
        <f t="shared" si="334"/>
      </c>
      <c r="BF468" s="129">
        <f t="shared" si="335"/>
      </c>
      <c r="BG468" s="129">
        <f t="shared" si="336"/>
        <v/>
      </c>
      <c r="BH468" s="129">
        <f t="shared" si="337"/>
        <v/>
      </c>
      <c r="BI468" s="129">
        <f t="shared" si="338"/>
        <v/>
      </c>
      <c r="BJ468" s="129">
        <f t="shared" si="339"/>
        <v/>
      </c>
      <c r="BK468" s="129">
        <f>IF(R468="","",IF(OR(BY468="",BY468=0),"BOX",IFERROR(IF(VLOOKUP(BY468,УГО_блоки,3,FALSE)&amp;""&lt;&gt;"",VLOOKUP(BY468,УГО_блоки,3,FALSE),VLOOKUP(BY468,УГО_блоки,2,FALSE)),BY468)))</f>
      </c>
      <c r="BL468" s="129">
        <f t="shared" si="341"/>
      </c>
      <c r="BM468" s="129">
        <f>IF(H468="","",IF(COUNTIF($H$3:H468,H468)=1,MAX($BM$2:BM467)+1,""))</f>
      </c>
      <c r="BN468" s="129">
        <f>IF(I468="","",IF(COUNTIF($I$3:I468,I468)+COUNTIF($J$2:J467,I468)+COUNTIF($K$2:K467,I468)=1,MAX($BN$2:BP467)+1,""))</f>
      </c>
      <c r="BO468" s="129">
        <f>IF(J468="","",IF(COUNTIF($I$3:I468,J468)+COUNTIF($J$3:J468,J468)+COUNTIF($K$2:K467,J468)=1,MAX($BN$2:BP467,BN468)+1,""))</f>
      </c>
      <c r="BP468" s="129">
        <f>IF(K468="","",IF(COUNTIF($I$3:I468,K468)+COUNTIF($J$3:J468,K468)+COUNTIF($K$3:K468,K468)=1,MAX($BN$2:BP467,BN468,BO468)+1,""))</f>
      </c>
      <c r="BQ468" s="129">
        <f>IF(AY468=1,IFERROR(MID(Q468,FIND(" (",Q468)+2,FIND(")",Q468,FIND(" (",Q468))-FIND(" (",Q468)-2),"?"),"")</f>
      </c>
      <c r="BR468" s="129">
        <f>IF(BQ468="","",IF(COUNTIF($BQ$3:BQ468,BQ468)=1,MAX($BR$2:BR467)+1,""))</f>
      </c>
      <c r="BS468" s="129">
        <f>IF(AW468="","",COUNTIF($AW$3:AW468,"?*"))</f>
      </c>
      <c r="BT468" s="129">
        <f>IF(OR(AW468="",AI468=""),"",IF(COUNTIFS($AW$3:AW468,"?*",$AI$3:AI468,AI468)=1,MAX($BT$2:BT467)+1,""))</f>
      </c>
      <c r="BU468" s="129">
        <f>IF(AE468="",0,IF(OR(ISNUMBER(SEARCH("дубль",AE468)),ISNUMBER(SEARCH("ПЕРЕГРУЗ",AE468)),ISNUMBER(SEARCH("ЗАЩИЩ",AE468)),ISNUMBER(SEARCH("КАНАЛ",AE468)),ISNUMBER(SEARCH("без 30",AE468))),2,1))</f>
      </c>
      <c r="BV468" s="129">
        <f>IF(R468="","",COUNTIF($R$3:R468,"?*"))</f>
      </c>
      <c r="BW468" s="129">
        <f>IF(AY468&lt;&gt;1,0,IF(MAX(IFERROR(--VLOOKUP(R468,УГО_спр,5,FALSE),0),IFERROR(--VLOOKUP(AL468,УГО_спр,5,FALSE),0),IFERROR(--VLOOKUP(LEFT(AL468,2),УГО_спр,5,FALSE),0))&gt;0,MAX(IFERROR(--VLOOKUP(R468,УГО_спр,5,FALSE),0),IFERROR(--VLOOKUP(AL468,УГО_спр,5,FALSE),0),IFERROR(--VLOOKUP(LEFT(AL468,2),УГО_спр,5,FALSE),0)),IF(IFERROR(--LEFT(SUBSTITUTE(BQ468,"x","х"),FIND("х",SUBSTITUTE(BQ468,"x","х"))-1),3)&gt;3,Каталог!$S$9,1)))</f>
      </c>
      <c r="BX468" s="129">
        <f>IF(AY468&lt;&gt;1,0,MAX(0,IFERROR(--LEFT(SUBSTITUTE(BQ468,"x","х"),FIND("х",SUBSTITUTE(BQ468,"x","х"))-1),3)-3*BW468))</f>
      </c>
      <c r="BY468" s="129">
        <f>IF(R468="","",IFERROR(VLOOKUP(R468,УГО_спр,2,FALSE),IFERROR(VLOOKUP(AL468,УГО_спр,2,FALSE),IFERROR(VLOOKUP(LEFT(AL468,2),УГО_спр,2,FALSE),""))))</f>
      </c>
    </row>
    <row r="469" spans="1:64" x14ac:dyDescent="0.3">
      <c r="A469" s="135">
        <f>IF(Разбивка_по_щитам!F469=0,"",Разбивка_по_щитам!F469)</f>
        <v/>
      </c>
      <c r="B469" s="138">
        <f>IF(A469="","",Разбивка_по_щитам!C469)</f>
        <v/>
      </c>
      <c r="C469" s="138">
        <f t="shared" si="302"/>
        <v/>
      </c>
      <c r="D469" s="266"/>
      <c r="E469" s="266"/>
      <c r="F469" s="267"/>
      <c r="G469" s="145">
        <f t="shared" si="303"/>
        <v/>
      </c>
      <c r="H469" s="145">
        <f t="shared" si="304"/>
        <v/>
      </c>
      <c r="I469" s="266"/>
      <c r="J469" s="267"/>
      <c r="K469" s="267"/>
      <c r="L469" s="266"/>
      <c r="M469" s="147">
        <f t="shared" si="305"/>
        <v/>
      </c>
      <c r="N469" s="267"/>
      <c r="O469" s="147">
        <f t="shared" si="306"/>
        <v/>
      </c>
      <c r="P469" s="268">
        <f>IF(AY469=1,"XT"&amp;COUNTIFS($A$3:A469,A469,$AY$3:AY469,1),"")</f>
        <v/>
      </c>
      <c r="Q469" s="152">
        <f>IF(R469="","",IFERROR(SUBSTITUTE(Разбивка_по_щитам!P469,CHAR(10)," "),""))</f>
        <v/>
      </c>
      <c r="R469" s="153">
        <f>IF(OR(Разбивка_по_щитам!H469="",Разбивка_по_щитам!H469=0),"",Разбивка_по_щитам!H469)</f>
        <v/>
      </c>
      <c r="S469" s="154">
        <f>IF(R469="","",IFERROR(Разбивка_по_щитам!J469&amp;"",""))</f>
        <v/>
      </c>
      <c r="T469" s="155">
        <f>IF(R469="","",IFERROR(--Разбивка_по_щитам!L469,""))</f>
        <v/>
      </c>
      <c r="U469" s="155">
        <f>IF(R469="","",IFERROR(--Разбивка_по_щитам!K469,""))</f>
        <v/>
      </c>
      <c r="V469" s="138">
        <f>IF(R469="","",IFERROR(IF(Разбивка_по_щитам!M469=0,"",Разбивка_по_щитам!M469),""))</f>
        <v/>
      </c>
      <c r="W469" s="156">
        <f t="shared" si="307"/>
        <v/>
      </c>
      <c r="X469" s="157">
        <f t="shared" si="308"/>
        <v/>
      </c>
      <c r="Y469" s="266"/>
      <c r="Z469" s="158">
        <f t="shared" si="309"/>
        <v/>
      </c>
      <c r="AA469" s="160">
        <f t="shared" si="310"/>
        <v/>
      </c>
      <c r="AB469" s="160">
        <f>IF(R469="","",IFERROR(LOOKUP(INDEX(Справочная!$I$4:$I$19,MATCH(VLOOKUP(R469,Исходные_данные,22,FALSE),Справочная!$J$4:$J$19,0)+1),{6,10,16,20,25,32,40,50,63,80,100,125}),""))</f>
        <v/>
      </c>
      <c r="AC469" s="160">
        <f t="shared" si="311"/>
        <v/>
      </c>
      <c r="AD469" s="161">
        <f t="shared" si="312"/>
        <v/>
      </c>
      <c r="AE469" s="161">
        <f>IF(AND(R469="",G469=""),"",_xlfn.TEXTJOIN("; ",TRUE,IF(AND(R469&lt;&gt;"",V469=""),"нет фазы",""),IF(AND(R469&lt;&gt;"",N(T469)=0),"нет мощности",""),IF(AND(P469&lt;&gt;"",COUNTIFS($A$3:$A$1000,A469,$P$3:$P$1000,P469)&gt;1),"дубль клеммы "&amp;P469,""),IF(AND(W469&lt;&gt;"",W469&lt;&gt;"ok"),W469,""),IF(X469&lt;&gt;"",X469,""),IF(AND(ISNUMBER(SEARCH("(5х",Q469)),N(AK469)=1),"5 жил на 1 фазе",""),IF(AND(AL469="R",E469&lt;&gt;"",N(AS469)=0),"розетка без 30 мА",""),IF(IFERROR(_xlfn.NUMBERVALUE(MID(Q469,FIND("-",Q469,FIND("L=",Q469))+1,FIND("%",Q469)-FIND("-",Q469,FIND("L=",Q469))-1),","),0)&gt;4,"потери &gt; 4 %","")))</f>
      </c>
      <c r="AF469" s="129">
        <f>IF(E469&lt;&gt;"",COUNTIFS($A$3:A469,A469,$E$3:E469,"?*"),IF(OR(A469&lt;&gt;A468,Y469="вручную"),"",AF468))</f>
        <v/>
      </c>
      <c r="AG469" s="129">
        <f t="shared" si="313"/>
        <v/>
      </c>
      <c r="AH469" s="129">
        <f t="shared" si="314"/>
        <v/>
      </c>
      <c r="AI469" s="129">
        <f t="shared" si="315"/>
        <v/>
      </c>
      <c r="AJ469" s="129">
        <f t="shared" si="316"/>
        <v/>
      </c>
      <c r="AK469" s="129">
        <f t="shared" si="317"/>
        <v/>
      </c>
      <c r="AL469" s="129">
        <f t="shared" si="318"/>
        <v/>
      </c>
      <c r="AM469" s="129">
        <f t="shared" si="319"/>
      </c>
      <c r="AN469" s="129">
        <f t="shared" si="320"/>
      </c>
      <c r="AO469" s="129">
        <f t="shared" si="321"/>
        <v/>
      </c>
      <c r="AP469" s="129">
        <f t="shared" si="322"/>
        <v/>
      </c>
      <c r="AQ469" s="129">
        <f t="shared" si="323"/>
        <v/>
      </c>
      <c r="AR469" s="129">
        <f t="shared" si="324"/>
        <v/>
      </c>
      <c r="AS469" s="129">
        <f t="shared" si="325"/>
        <v/>
      </c>
      <c r="AT469" s="129">
        <f t="shared" si="326"/>
        <v/>
      </c>
      <c r="AU469" s="129">
        <f t="shared" si="327"/>
        <v/>
      </c>
      <c r="AV469" s="129">
        <f t="shared" si="328"/>
        <v/>
      </c>
      <c r="AW469" s="129">
        <f>IF(AV469="","",AV469&amp;"."&amp;COUNTIFS($A$3:A469,A469,$AV$3:AV469,AV469))</f>
        <v/>
      </c>
      <c r="AX469" s="129">
        <f t="shared" si="329"/>
        <v/>
      </c>
      <c r="AY469" s="129">
        <f>IF(N469="б/к",0,IF(OR(ISNUMBER(SEARCH("L=",Разбивка_по_щитам!P469)),N469="+",N469="="),1,0))</f>
      </c>
      <c r="AZ469" s="129">
        <f t="shared" si="330"/>
        <v/>
      </c>
      <c r="BA469" s="129">
        <f t="shared" si="331"/>
      </c>
      <c r="BB469" s="129">
        <f t="shared" si="332"/>
      </c>
      <c r="BD469" s="129">
        <f t="shared" si="333"/>
      </c>
      <c r="BE469" s="129">
        <f t="shared" si="334"/>
      </c>
      <c r="BF469" s="129">
        <f t="shared" si="335"/>
      </c>
      <c r="BG469" s="129">
        <f t="shared" si="336"/>
        <v/>
      </c>
      <c r="BH469" s="129">
        <f t="shared" si="337"/>
        <v/>
      </c>
      <c r="BI469" s="129">
        <f t="shared" si="338"/>
        <v/>
      </c>
      <c r="BJ469" s="129">
        <f t="shared" si="339"/>
        <v/>
      </c>
      <c r="BK469" s="129">
        <f>IF(R469="","",IF(OR(BY469="",BY469=0),"BOX",IFERROR(IF(VLOOKUP(BY469,УГО_блоки,3,FALSE)&amp;""&lt;&gt;"",VLOOKUP(BY469,УГО_блоки,3,FALSE),VLOOKUP(BY469,УГО_блоки,2,FALSE)),BY469)))</f>
      </c>
      <c r="BL469" s="129">
        <f t="shared" si="341"/>
      </c>
      <c r="BM469" s="129">
        <f>IF(H469="","",IF(COUNTIF($H$3:H469,H469)=1,MAX($BM$2:BM468)+1,""))</f>
      </c>
      <c r="BN469" s="129">
        <f>IF(I469="","",IF(COUNTIF($I$3:I469,I469)+COUNTIF($J$2:J468,I469)+COUNTIF($K$2:K468,I469)=1,MAX($BN$2:BP468)+1,""))</f>
      </c>
      <c r="BO469" s="129">
        <f>IF(J469="","",IF(COUNTIF($I$3:I469,J469)+COUNTIF($J$3:J469,J469)+COUNTIF($K$2:K468,J469)=1,MAX($BN$2:BP468,BN469)+1,""))</f>
      </c>
      <c r="BP469" s="129">
        <f>IF(K469="","",IF(COUNTIF($I$3:I469,K469)+COUNTIF($J$3:J469,K469)+COUNTIF($K$3:K469,K469)=1,MAX($BN$2:BP468,BN469,BO469)+1,""))</f>
      </c>
      <c r="BQ469" s="129">
        <f>IF(AY469=1,IFERROR(MID(Q469,FIND(" (",Q469)+2,FIND(")",Q469,FIND(" (",Q469))-FIND(" (",Q469)-2),"?"),"")</f>
      </c>
      <c r="BR469" s="129">
        <f>IF(BQ469="","",IF(COUNTIF($BQ$3:BQ469,BQ469)=1,MAX($BR$2:BR468)+1,""))</f>
      </c>
      <c r="BS469" s="129">
        <f>IF(AW469="","",COUNTIF($AW$3:AW469,"?*"))</f>
      </c>
      <c r="BT469" s="129">
        <f>IF(OR(AW469="",AI469=""),"",IF(COUNTIFS($AW$3:AW469,"?*",$AI$3:AI469,AI469)=1,MAX($BT$2:BT468)+1,""))</f>
      </c>
      <c r="BU469" s="129">
        <f>IF(AE469="",0,IF(OR(ISNUMBER(SEARCH("дубль",AE469)),ISNUMBER(SEARCH("ПЕРЕГРУЗ",AE469)),ISNUMBER(SEARCH("ЗАЩИЩ",AE469)),ISNUMBER(SEARCH("КАНАЛ",AE469)),ISNUMBER(SEARCH("без 30",AE469))),2,1))</f>
      </c>
      <c r="BV469" s="129">
        <f>IF(R469="","",COUNTIF($R$3:R469,"?*"))</f>
      </c>
      <c r="BW469" s="129">
        <f>IF(AY469&lt;&gt;1,0,IF(MAX(IFERROR(--VLOOKUP(R469,УГО_спр,5,FALSE),0),IFERROR(--VLOOKUP(AL469,УГО_спр,5,FALSE),0),IFERROR(--VLOOKUP(LEFT(AL469,2),УГО_спр,5,FALSE),0))&gt;0,MAX(IFERROR(--VLOOKUP(R469,УГО_спр,5,FALSE),0),IFERROR(--VLOOKUP(AL469,УГО_спр,5,FALSE),0),IFERROR(--VLOOKUP(LEFT(AL469,2),УГО_спр,5,FALSE),0)),IF(IFERROR(--LEFT(SUBSTITUTE(BQ469,"x","х"),FIND("х",SUBSTITUTE(BQ469,"x","х"))-1),3)&gt;3,Каталог!$S$9,1)))</f>
      </c>
      <c r="BX469" s="129">
        <f>IF(AY469&lt;&gt;1,0,MAX(0,IFERROR(--LEFT(SUBSTITUTE(BQ469,"x","х"),FIND("х",SUBSTITUTE(BQ469,"x","х"))-1),3)-3*BW469))</f>
      </c>
      <c r="BY469" s="129">
        <f>IF(R469="","",IFERROR(VLOOKUP(R469,УГО_спр,2,FALSE),IFERROR(VLOOKUP(AL469,УГО_спр,2,FALSE),IFERROR(VLOOKUP(LEFT(AL469,2),УГО_спр,2,FALSE),""))))</f>
      </c>
    </row>
    <row r="470" spans="1:64" x14ac:dyDescent="0.3">
      <c r="A470" s="135">
        <f>IF(Разбивка_по_щитам!F470=0,"",Разбивка_по_щитам!F470)</f>
        <v/>
      </c>
      <c r="B470" s="138">
        <f>IF(A470="","",Разбивка_по_щитам!C470)</f>
        <v/>
      </c>
      <c r="C470" s="138">
        <f t="shared" si="302"/>
        <v/>
      </c>
      <c r="D470" s="266"/>
      <c r="E470" s="266"/>
      <c r="F470" s="267"/>
      <c r="G470" s="145">
        <f t="shared" si="303"/>
        <v/>
      </c>
      <c r="H470" s="145">
        <f t="shared" si="304"/>
        <v/>
      </c>
      <c r="I470" s="266"/>
      <c r="J470" s="267"/>
      <c r="K470" s="267"/>
      <c r="L470" s="266"/>
      <c r="M470" s="147">
        <f t="shared" si="305"/>
        <v/>
      </c>
      <c r="N470" s="267"/>
      <c r="O470" s="147">
        <f t="shared" si="306"/>
        <v/>
      </c>
      <c r="P470" s="268">
        <f>IF(AY470=1,"XT"&amp;COUNTIFS($A$3:A470,A470,$AY$3:AY470,1),"")</f>
        <v/>
      </c>
      <c r="Q470" s="152">
        <f>IF(R470="","",IFERROR(SUBSTITUTE(Разбивка_по_щитам!P470,CHAR(10)," "),""))</f>
        <v/>
      </c>
      <c r="R470" s="153">
        <f>IF(OR(Разбивка_по_щитам!H470="",Разбивка_по_щитам!H470=0),"",Разбивка_по_щитам!H470)</f>
        <v/>
      </c>
      <c r="S470" s="154">
        <f>IF(R470="","",IFERROR(Разбивка_по_щитам!J470&amp;"",""))</f>
        <v/>
      </c>
      <c r="T470" s="155">
        <f>IF(R470="","",IFERROR(--Разбивка_по_щитам!L470,""))</f>
        <v/>
      </c>
      <c r="U470" s="155">
        <f>IF(R470="","",IFERROR(--Разбивка_по_щитам!K470,""))</f>
        <v/>
      </c>
      <c r="V470" s="138">
        <f>IF(R470="","",IFERROR(IF(Разбивка_по_щитам!M470=0,"",Разбивка_по_щитам!M470),""))</f>
        <v/>
      </c>
      <c r="W470" s="156">
        <f t="shared" si="307"/>
        <v/>
      </c>
      <c r="X470" s="157">
        <f t="shared" si="308"/>
        <v/>
      </c>
      <c r="Y470" s="266"/>
      <c r="Z470" s="158">
        <f t="shared" si="309"/>
        <v/>
      </c>
      <c r="AA470" s="160">
        <f t="shared" si="310"/>
        <v/>
      </c>
      <c r="AB470" s="160">
        <f>IF(R470="","",IFERROR(LOOKUP(INDEX(Справочная!$I$4:$I$19,MATCH(VLOOKUP(R470,Исходные_данные,22,FALSE),Справочная!$J$4:$J$19,0)+1),{6,10,16,20,25,32,40,50,63,80,100,125}),""))</f>
        <v/>
      </c>
      <c r="AC470" s="160">
        <f t="shared" si="311"/>
        <v/>
      </c>
      <c r="AD470" s="161">
        <f t="shared" si="312"/>
        <v/>
      </c>
      <c r="AE470" s="161">
        <f>IF(AND(R470="",G470=""),"",_xlfn.TEXTJOIN("; ",TRUE,IF(AND(R470&lt;&gt;"",V470=""),"нет фазы",""),IF(AND(R470&lt;&gt;"",N(T470)=0),"нет мощности",""),IF(AND(P470&lt;&gt;"",COUNTIFS($A$3:$A$1000,A470,$P$3:$P$1000,P470)&gt;1),"дубль клеммы "&amp;P470,""),IF(AND(W470&lt;&gt;"",W470&lt;&gt;"ok"),W470,""),IF(X470&lt;&gt;"",X470,""),IF(AND(ISNUMBER(SEARCH("(5х",Q470)),N(AK470)=1),"5 жил на 1 фазе",""),IF(AND(AL470="R",E470&lt;&gt;"",N(AS470)=0),"розетка без 30 мА",""),IF(IFERROR(_xlfn.NUMBERVALUE(MID(Q470,FIND("-",Q470,FIND("L=",Q470))+1,FIND("%",Q470)-FIND("-",Q470,FIND("L=",Q470))-1),","),0)&gt;4,"потери &gt; 4 %","")))</f>
      </c>
      <c r="AF470" s="129">
        <f>IF(E470&lt;&gt;"",COUNTIFS($A$3:A470,A470,$E$3:E470,"?*"),IF(OR(A470&lt;&gt;A469,Y470="вручную"),"",AF469))</f>
        <v/>
      </c>
      <c r="AG470" s="129">
        <f t="shared" si="313"/>
        <v/>
      </c>
      <c r="AH470" s="129">
        <f t="shared" si="314"/>
        <v/>
      </c>
      <c r="AI470" s="129">
        <f t="shared" si="315"/>
        <v/>
      </c>
      <c r="AJ470" s="129">
        <f t="shared" si="316"/>
        <v/>
      </c>
      <c r="AK470" s="129">
        <f t="shared" si="317"/>
        <v/>
      </c>
      <c r="AL470" s="129">
        <f t="shared" si="318"/>
        <v/>
      </c>
      <c r="AM470" s="129">
        <f t="shared" si="319"/>
      </c>
      <c r="AN470" s="129">
        <f t="shared" si="320"/>
      </c>
      <c r="AO470" s="129">
        <f t="shared" si="321"/>
        <v/>
      </c>
      <c r="AP470" s="129">
        <f t="shared" si="322"/>
        <v/>
      </c>
      <c r="AQ470" s="129">
        <f t="shared" si="323"/>
        <v/>
      </c>
      <c r="AR470" s="129">
        <f t="shared" si="324"/>
        <v/>
      </c>
      <c r="AS470" s="129">
        <f t="shared" si="325"/>
        <v/>
      </c>
      <c r="AT470" s="129">
        <f t="shared" si="326"/>
        <v/>
      </c>
      <c r="AU470" s="129">
        <f t="shared" si="327"/>
        <v/>
      </c>
      <c r="AV470" s="129">
        <f t="shared" si="328"/>
        <v/>
      </c>
      <c r="AW470" s="129">
        <f>IF(AV470="","",AV470&amp;"."&amp;COUNTIFS($A$3:A470,A470,$AV$3:AV470,AV470))</f>
        <v/>
      </c>
      <c r="AX470" s="129">
        <f t="shared" si="329"/>
        <v/>
      </c>
      <c r="AY470" s="129">
        <f>IF(N470="б/к",0,IF(OR(ISNUMBER(SEARCH("L=",Разбивка_по_щитам!P470)),N470="+",N470="="),1,0))</f>
      </c>
      <c r="AZ470" s="129">
        <f t="shared" si="330"/>
        <v/>
      </c>
      <c r="BA470" s="129">
        <f t="shared" si="331"/>
      </c>
      <c r="BB470" s="129">
        <f t="shared" si="332"/>
      </c>
      <c r="BD470" s="129">
        <f t="shared" si="333"/>
      </c>
      <c r="BE470" s="129">
        <f t="shared" si="334"/>
      </c>
      <c r="BF470" s="129">
        <f t="shared" si="335"/>
      </c>
      <c r="BG470" s="129">
        <f t="shared" si="336"/>
        <v/>
      </c>
      <c r="BH470" s="129">
        <f t="shared" si="337"/>
        <v/>
      </c>
      <c r="BI470" s="129">
        <f t="shared" si="338"/>
        <v/>
      </c>
      <c r="BJ470" s="129">
        <f t="shared" si="339"/>
        <v/>
      </c>
      <c r="BK470" s="129">
        <f>IF(R470="","",IF(OR(BY470="",BY470=0),"BOX",IFERROR(IF(VLOOKUP(BY470,УГО_блоки,3,FALSE)&amp;""&lt;&gt;"",VLOOKUP(BY470,УГО_блоки,3,FALSE),VLOOKUP(BY470,УГО_блоки,2,FALSE)),BY470)))</f>
      </c>
      <c r="BL470" s="129">
        <f t="shared" si="341"/>
      </c>
      <c r="BM470" s="129">
        <f>IF(H470="","",IF(COUNTIF($H$3:H470,H470)=1,MAX($BM$2:BM469)+1,""))</f>
      </c>
      <c r="BN470" s="129">
        <f>IF(I470="","",IF(COUNTIF($I$3:I470,I470)+COUNTIF($J$2:J469,I470)+COUNTIF($K$2:K469,I470)=1,MAX($BN$2:BP469)+1,""))</f>
      </c>
      <c r="BO470" s="129">
        <f>IF(J470="","",IF(COUNTIF($I$3:I470,J470)+COUNTIF($J$3:J470,J470)+COUNTIF($K$2:K469,J470)=1,MAX($BN$2:BP469,BN470)+1,""))</f>
      </c>
      <c r="BP470" s="129">
        <f>IF(K470="","",IF(COUNTIF($I$3:I470,K470)+COUNTIF($J$3:J470,K470)+COUNTIF($K$3:K470,K470)=1,MAX($BN$2:BP469,BN470,BO470)+1,""))</f>
      </c>
      <c r="BQ470" s="129">
        <f>IF(AY470=1,IFERROR(MID(Q470,FIND(" (",Q470)+2,FIND(")",Q470,FIND(" (",Q470))-FIND(" (",Q470)-2),"?"),"")</f>
      </c>
      <c r="BR470" s="129">
        <f>IF(BQ470="","",IF(COUNTIF($BQ$3:BQ470,BQ470)=1,MAX($BR$2:BR469)+1,""))</f>
      </c>
      <c r="BS470" s="129">
        <f>IF(AW470="","",COUNTIF($AW$3:AW470,"?*"))</f>
      </c>
      <c r="BT470" s="129">
        <f>IF(OR(AW470="",AI470=""),"",IF(COUNTIFS($AW$3:AW470,"?*",$AI$3:AI470,AI470)=1,MAX($BT$2:BT469)+1,""))</f>
      </c>
      <c r="BU470" s="129">
        <f>IF(AE470="",0,IF(OR(ISNUMBER(SEARCH("дубль",AE470)),ISNUMBER(SEARCH("ПЕРЕГРУЗ",AE470)),ISNUMBER(SEARCH("ЗАЩИЩ",AE470)),ISNUMBER(SEARCH("КАНАЛ",AE470)),ISNUMBER(SEARCH("без 30",AE470))),2,1))</f>
      </c>
      <c r="BV470" s="129">
        <f>IF(R470="","",COUNTIF($R$3:R470,"?*"))</f>
      </c>
      <c r="BW470" s="129">
        <f>IF(AY470&lt;&gt;1,0,IF(MAX(IFERROR(--VLOOKUP(R470,УГО_спр,5,FALSE),0),IFERROR(--VLOOKUP(AL470,УГО_спр,5,FALSE),0),IFERROR(--VLOOKUP(LEFT(AL470,2),УГО_спр,5,FALSE),0))&gt;0,MAX(IFERROR(--VLOOKUP(R470,УГО_спр,5,FALSE),0),IFERROR(--VLOOKUP(AL470,УГО_спр,5,FALSE),0),IFERROR(--VLOOKUP(LEFT(AL470,2),УГО_спр,5,FALSE),0)),IF(IFERROR(--LEFT(SUBSTITUTE(BQ470,"x","х"),FIND("х",SUBSTITUTE(BQ470,"x","х"))-1),3)&gt;3,Каталог!$S$9,1)))</f>
      </c>
      <c r="BX470" s="129">
        <f>IF(AY470&lt;&gt;1,0,MAX(0,IFERROR(--LEFT(SUBSTITUTE(BQ470,"x","х"),FIND("х",SUBSTITUTE(BQ470,"x","х"))-1),3)-3*BW470))</f>
      </c>
      <c r="BY470" s="129">
        <f>IF(R470="","",IFERROR(VLOOKUP(R470,УГО_спр,2,FALSE),IFERROR(VLOOKUP(AL470,УГО_спр,2,FALSE),IFERROR(VLOOKUP(LEFT(AL470,2),УГО_спр,2,FALSE),""))))</f>
      </c>
    </row>
    <row r="471" spans="1:64" x14ac:dyDescent="0.3">
      <c r="A471" s="135">
        <f>IF(Разбивка_по_щитам!F471=0,"",Разбивка_по_щитам!F471)</f>
        <v/>
      </c>
      <c r="B471" s="138">
        <f>IF(A471="","",Разбивка_по_щитам!C471)</f>
        <v/>
      </c>
      <c r="C471" s="138">
        <f t="shared" si="302"/>
        <v/>
      </c>
      <c r="D471" s="266"/>
      <c r="E471" s="266"/>
      <c r="F471" s="267"/>
      <c r="G471" s="145">
        <f t="shared" si="303"/>
        <v/>
      </c>
      <c r="H471" s="145">
        <f t="shared" si="304"/>
        <v/>
      </c>
      <c r="I471" s="266"/>
      <c r="J471" s="267"/>
      <c r="K471" s="267"/>
      <c r="L471" s="266"/>
      <c r="M471" s="147">
        <f t="shared" si="305"/>
        <v/>
      </c>
      <c r="N471" s="267"/>
      <c r="O471" s="147">
        <f t="shared" si="306"/>
        <v/>
      </c>
      <c r="P471" s="268">
        <f>IF(AY471=1,"XT"&amp;COUNTIFS($A$3:A471,A471,$AY$3:AY471,1),"")</f>
        <v/>
      </c>
      <c r="Q471" s="152">
        <f>IF(R471="","",IFERROR(SUBSTITUTE(Разбивка_по_щитам!P471,CHAR(10)," "),""))</f>
        <v/>
      </c>
      <c r="R471" s="153">
        <f>IF(OR(Разбивка_по_щитам!H471="",Разбивка_по_щитам!H471=0),"",Разбивка_по_щитам!H471)</f>
        <v/>
      </c>
      <c r="S471" s="154">
        <f>IF(R471="","",IFERROR(Разбивка_по_щитам!J471&amp;"",""))</f>
        <v/>
      </c>
      <c r="T471" s="155">
        <f>IF(R471="","",IFERROR(--Разбивка_по_щитам!L471,""))</f>
        <v/>
      </c>
      <c r="U471" s="155">
        <f>IF(R471="","",IFERROR(--Разбивка_по_щитам!K471,""))</f>
        <v/>
      </c>
      <c r="V471" s="138">
        <f>IF(R471="","",IFERROR(IF(Разбивка_по_щитам!M471=0,"",Разбивка_по_щитам!M471),""))</f>
        <v/>
      </c>
      <c r="W471" s="156">
        <f t="shared" si="307"/>
        <v/>
      </c>
      <c r="X471" s="157">
        <f t="shared" si="308"/>
        <v/>
      </c>
      <c r="Y471" s="266"/>
      <c r="Z471" s="158">
        <f t="shared" si="309"/>
        <v/>
      </c>
      <c r="AA471" s="160">
        <f t="shared" si="310"/>
        <v/>
      </c>
      <c r="AB471" s="160">
        <f>IF(R471="","",IFERROR(LOOKUP(INDEX(Справочная!$I$4:$I$19,MATCH(VLOOKUP(R471,Исходные_данные,22,FALSE),Справочная!$J$4:$J$19,0)+1),{6,10,16,20,25,32,40,50,63,80,100,125}),""))</f>
        <v/>
      </c>
      <c r="AC471" s="160">
        <f t="shared" si="311"/>
        <v/>
      </c>
      <c r="AD471" s="161">
        <f t="shared" si="312"/>
        <v/>
      </c>
      <c r="AE471" s="161">
        <f>IF(AND(R471="",G471=""),"",_xlfn.TEXTJOIN("; ",TRUE,IF(AND(R471&lt;&gt;"",V471=""),"нет фазы",""),IF(AND(R471&lt;&gt;"",N(T471)=0),"нет мощности",""),IF(AND(P471&lt;&gt;"",COUNTIFS($A$3:$A$1000,A471,$P$3:$P$1000,P471)&gt;1),"дубль клеммы "&amp;P471,""),IF(AND(W471&lt;&gt;"",W471&lt;&gt;"ok"),W471,""),IF(X471&lt;&gt;"",X471,""),IF(AND(ISNUMBER(SEARCH("(5х",Q471)),N(AK471)=1),"5 жил на 1 фазе",""),IF(AND(AL471="R",E471&lt;&gt;"",N(AS471)=0),"розетка без 30 мА",""),IF(IFERROR(_xlfn.NUMBERVALUE(MID(Q471,FIND("-",Q471,FIND("L=",Q471))+1,FIND("%",Q471)-FIND("-",Q471,FIND("L=",Q471))-1),","),0)&gt;4,"потери &gt; 4 %","")))</f>
      </c>
      <c r="AF471" s="129">
        <f>IF(E471&lt;&gt;"",COUNTIFS($A$3:A471,A471,$E$3:E471,"?*"),IF(OR(A471&lt;&gt;A470,Y471="вручную"),"",AF470))</f>
        <v/>
      </c>
      <c r="AG471" s="129">
        <f t="shared" si="313"/>
        <v/>
      </c>
      <c r="AH471" s="129">
        <f t="shared" si="314"/>
        <v/>
      </c>
      <c r="AI471" s="129">
        <f t="shared" si="315"/>
        <v/>
      </c>
      <c r="AJ471" s="129">
        <f t="shared" si="316"/>
        <v/>
      </c>
      <c r="AK471" s="129">
        <f t="shared" si="317"/>
        <v/>
      </c>
      <c r="AL471" s="129">
        <f t="shared" si="318"/>
        <v/>
      </c>
      <c r="AM471" s="129">
        <f t="shared" si="319"/>
      </c>
      <c r="AN471" s="129">
        <f t="shared" si="320"/>
      </c>
      <c r="AO471" s="129">
        <f t="shared" si="321"/>
        <v/>
      </c>
      <c r="AP471" s="129">
        <f t="shared" si="322"/>
        <v/>
      </c>
      <c r="AQ471" s="129">
        <f t="shared" si="323"/>
        <v/>
      </c>
      <c r="AR471" s="129">
        <f t="shared" si="324"/>
        <v/>
      </c>
      <c r="AS471" s="129">
        <f t="shared" si="325"/>
        <v/>
      </c>
      <c r="AT471" s="129">
        <f t="shared" si="326"/>
        <v/>
      </c>
      <c r="AU471" s="129">
        <f t="shared" si="327"/>
        <v/>
      </c>
      <c r="AV471" s="129">
        <f t="shared" si="328"/>
        <v/>
      </c>
      <c r="AW471" s="129">
        <f>IF(AV471="","",AV471&amp;"."&amp;COUNTIFS($A$3:A471,A471,$AV$3:AV471,AV471))</f>
        <v/>
      </c>
      <c r="AX471" s="129">
        <f t="shared" si="329"/>
        <v/>
      </c>
      <c r="AY471" s="129">
        <f>IF(N471="б/к",0,IF(OR(ISNUMBER(SEARCH("L=",Разбивка_по_щитам!P471)),N471="+",N471="="),1,0))</f>
      </c>
      <c r="AZ471" s="129">
        <f t="shared" si="330"/>
        <v/>
      </c>
      <c r="BA471" s="129">
        <f t="shared" si="331"/>
      </c>
      <c r="BB471" s="129">
        <f t="shared" si="332"/>
      </c>
      <c r="BD471" s="129">
        <f t="shared" si="333"/>
      </c>
      <c r="BE471" s="129">
        <f t="shared" si="334"/>
      </c>
      <c r="BF471" s="129">
        <f t="shared" si="335"/>
      </c>
      <c r="BG471" s="129">
        <f t="shared" si="336"/>
        <v/>
      </c>
      <c r="BH471" s="129">
        <f t="shared" si="337"/>
        <v/>
      </c>
      <c r="BI471" s="129">
        <f t="shared" si="338"/>
        <v/>
      </c>
      <c r="BJ471" s="129">
        <f t="shared" si="339"/>
        <v/>
      </c>
      <c r="BK471" s="129">
        <f>IF(R471="","",IF(OR(BY471="",BY471=0),"BOX",IFERROR(IF(VLOOKUP(BY471,УГО_блоки,3,FALSE)&amp;""&lt;&gt;"",VLOOKUP(BY471,УГО_блоки,3,FALSE),VLOOKUP(BY471,УГО_блоки,2,FALSE)),BY471)))</f>
      </c>
      <c r="BL471" s="129">
        <f t="shared" si="341"/>
      </c>
      <c r="BM471" s="129">
        <f>IF(H471="","",IF(COUNTIF($H$3:H471,H471)=1,MAX($BM$2:BM470)+1,""))</f>
      </c>
      <c r="BN471" s="129">
        <f>IF(I471="","",IF(COUNTIF($I$3:I471,I471)+COUNTIF($J$2:J470,I471)+COUNTIF($K$2:K470,I471)=1,MAX($BN$2:BP470)+1,""))</f>
      </c>
      <c r="BO471" s="129">
        <f>IF(J471="","",IF(COUNTIF($I$3:I471,J471)+COUNTIF($J$3:J471,J471)+COUNTIF($K$2:K470,J471)=1,MAX($BN$2:BP470,BN471)+1,""))</f>
      </c>
      <c r="BP471" s="129">
        <f>IF(K471="","",IF(COUNTIF($I$3:I471,K471)+COUNTIF($J$3:J471,K471)+COUNTIF($K$3:K471,K471)=1,MAX($BN$2:BP470,BN471,BO471)+1,""))</f>
      </c>
      <c r="BQ471" s="129">
        <f>IF(AY471=1,IFERROR(MID(Q471,FIND(" (",Q471)+2,FIND(")",Q471,FIND(" (",Q471))-FIND(" (",Q471)-2),"?"),"")</f>
      </c>
      <c r="BR471" s="129">
        <f>IF(BQ471="","",IF(COUNTIF($BQ$3:BQ471,BQ471)=1,MAX($BR$2:BR470)+1,""))</f>
      </c>
      <c r="BS471" s="129">
        <f>IF(AW471="","",COUNTIF($AW$3:AW471,"?*"))</f>
      </c>
      <c r="BT471" s="129">
        <f>IF(OR(AW471="",AI471=""),"",IF(COUNTIFS($AW$3:AW471,"?*",$AI$3:AI471,AI471)=1,MAX($BT$2:BT470)+1,""))</f>
      </c>
      <c r="BU471" s="129">
        <f>IF(AE471="",0,IF(OR(ISNUMBER(SEARCH("дубль",AE471)),ISNUMBER(SEARCH("ПЕРЕГРУЗ",AE471)),ISNUMBER(SEARCH("ЗАЩИЩ",AE471)),ISNUMBER(SEARCH("КАНАЛ",AE471)),ISNUMBER(SEARCH("без 30",AE471))),2,1))</f>
      </c>
      <c r="BV471" s="129">
        <f>IF(R471="","",COUNTIF($R$3:R471,"?*"))</f>
      </c>
      <c r="BW471" s="129">
        <f>IF(AY471&lt;&gt;1,0,IF(MAX(IFERROR(--VLOOKUP(R471,УГО_спр,5,FALSE),0),IFERROR(--VLOOKUP(AL471,УГО_спр,5,FALSE),0),IFERROR(--VLOOKUP(LEFT(AL471,2),УГО_спр,5,FALSE),0))&gt;0,MAX(IFERROR(--VLOOKUP(R471,УГО_спр,5,FALSE),0),IFERROR(--VLOOKUP(AL471,УГО_спр,5,FALSE),0),IFERROR(--VLOOKUP(LEFT(AL471,2),УГО_спр,5,FALSE),0)),IF(IFERROR(--LEFT(SUBSTITUTE(BQ471,"x","х"),FIND("х",SUBSTITUTE(BQ471,"x","х"))-1),3)&gt;3,Каталог!$S$9,1)))</f>
      </c>
      <c r="BX471" s="129">
        <f>IF(AY471&lt;&gt;1,0,MAX(0,IFERROR(--LEFT(SUBSTITUTE(BQ471,"x","х"),FIND("х",SUBSTITUTE(BQ471,"x","х"))-1),3)-3*BW471))</f>
      </c>
      <c r="BY471" s="129">
        <f>IF(R471="","",IFERROR(VLOOKUP(R471,УГО_спр,2,FALSE),IFERROR(VLOOKUP(AL471,УГО_спр,2,FALSE),IFERROR(VLOOKUP(LEFT(AL471,2),УГО_спр,2,FALSE),""))))</f>
      </c>
    </row>
    <row r="472" spans="1:64" x14ac:dyDescent="0.3">
      <c r="A472" s="135">
        <f>IF(Разбивка_по_щитам!F472=0,"",Разбивка_по_щитам!F472)</f>
        <v/>
      </c>
      <c r="B472" s="138">
        <f>IF(A472="","",Разбивка_по_щитам!C472)</f>
        <v/>
      </c>
      <c r="C472" s="138">
        <f t="shared" si="302"/>
        <v/>
      </c>
      <c r="D472" s="266"/>
      <c r="E472" s="266"/>
      <c r="F472" s="267"/>
      <c r="G472" s="145">
        <f t="shared" si="303"/>
        <v/>
      </c>
      <c r="H472" s="145">
        <f t="shared" si="304"/>
        <v/>
      </c>
      <c r="I472" s="266"/>
      <c r="J472" s="267"/>
      <c r="K472" s="267"/>
      <c r="L472" s="266"/>
      <c r="M472" s="147">
        <f t="shared" si="305"/>
        <v/>
      </c>
      <c r="N472" s="267"/>
      <c r="O472" s="147">
        <f t="shared" si="306"/>
        <v/>
      </c>
      <c r="P472" s="268">
        <f>IF(AY472=1,"XT"&amp;COUNTIFS($A$3:A472,A472,$AY$3:AY472,1),"")</f>
        <v/>
      </c>
      <c r="Q472" s="152">
        <f>IF(R472="","",IFERROR(SUBSTITUTE(Разбивка_по_щитам!P472,CHAR(10)," "),""))</f>
        <v/>
      </c>
      <c r="R472" s="153">
        <f>IF(OR(Разбивка_по_щитам!H472="",Разбивка_по_щитам!H472=0),"",Разбивка_по_щитам!H472)</f>
        <v/>
      </c>
      <c r="S472" s="154">
        <f>IF(R472="","",IFERROR(Разбивка_по_щитам!J472&amp;"",""))</f>
        <v/>
      </c>
      <c r="T472" s="155">
        <f>IF(R472="","",IFERROR(--Разбивка_по_щитам!L472,""))</f>
        <v/>
      </c>
      <c r="U472" s="155">
        <f>IF(R472="","",IFERROR(--Разбивка_по_щитам!K472,""))</f>
        <v/>
      </c>
      <c r="V472" s="138">
        <f>IF(R472="","",IFERROR(IF(Разбивка_по_щитам!M472=0,"",Разбивка_по_щитам!M472),""))</f>
        <v/>
      </c>
      <c r="W472" s="156">
        <f t="shared" si="307"/>
        <v/>
      </c>
      <c r="X472" s="157">
        <f t="shared" si="308"/>
        <v/>
      </c>
      <c r="Y472" s="266"/>
      <c r="Z472" s="158">
        <f t="shared" si="309"/>
        <v/>
      </c>
      <c r="AA472" s="160">
        <f t="shared" si="310"/>
        <v/>
      </c>
      <c r="AB472" s="160">
        <f>IF(R472="","",IFERROR(LOOKUP(INDEX(Справочная!$I$4:$I$19,MATCH(VLOOKUP(R472,Исходные_данные,22,FALSE),Справочная!$J$4:$J$19,0)+1),{6,10,16,20,25,32,40,50,63,80,100,125}),""))</f>
        <v/>
      </c>
      <c r="AC472" s="160">
        <f t="shared" si="311"/>
        <v/>
      </c>
      <c r="AD472" s="161">
        <f t="shared" si="312"/>
        <v/>
      </c>
      <c r="AE472" s="161">
        <f>IF(AND(R472="",G472=""),"",_xlfn.TEXTJOIN("; ",TRUE,IF(AND(R472&lt;&gt;"",V472=""),"нет фазы",""),IF(AND(R472&lt;&gt;"",N(T472)=0),"нет мощности",""),IF(AND(P472&lt;&gt;"",COUNTIFS($A$3:$A$1000,A472,$P$3:$P$1000,P472)&gt;1),"дубль клеммы "&amp;P472,""),IF(AND(W472&lt;&gt;"",W472&lt;&gt;"ok"),W472,""),IF(X472&lt;&gt;"",X472,""),IF(AND(ISNUMBER(SEARCH("(5х",Q472)),N(AK472)=1),"5 жил на 1 фазе",""),IF(AND(AL472="R",E472&lt;&gt;"",N(AS472)=0),"розетка без 30 мА",""),IF(IFERROR(_xlfn.NUMBERVALUE(MID(Q472,FIND("-",Q472,FIND("L=",Q472))+1,FIND("%",Q472)-FIND("-",Q472,FIND("L=",Q472))-1),","),0)&gt;4,"потери &gt; 4 %","")))</f>
      </c>
      <c r="AF472" s="129">
        <f>IF(E472&lt;&gt;"",COUNTIFS($A$3:A472,A472,$E$3:E472,"?*"),IF(OR(A472&lt;&gt;A471,Y472="вручную"),"",AF471))</f>
        <v/>
      </c>
      <c r="AG472" s="129">
        <f t="shared" si="313"/>
        <v/>
      </c>
      <c r="AH472" s="129">
        <f t="shared" si="314"/>
        <v/>
      </c>
      <c r="AI472" s="129">
        <f t="shared" si="315"/>
        <v/>
      </c>
      <c r="AJ472" s="129">
        <f t="shared" si="316"/>
        <v/>
      </c>
      <c r="AK472" s="129">
        <f t="shared" si="317"/>
        <v/>
      </c>
      <c r="AL472" s="129">
        <f t="shared" si="318"/>
        <v/>
      </c>
      <c r="AM472" s="129">
        <f t="shared" si="319"/>
      </c>
      <c r="AN472" s="129">
        <f t="shared" si="320"/>
      </c>
      <c r="AO472" s="129">
        <f t="shared" si="321"/>
        <v/>
      </c>
      <c r="AP472" s="129">
        <f t="shared" si="322"/>
        <v/>
      </c>
      <c r="AQ472" s="129">
        <f t="shared" si="323"/>
        <v/>
      </c>
      <c r="AR472" s="129">
        <f t="shared" si="324"/>
        <v/>
      </c>
      <c r="AS472" s="129">
        <f t="shared" si="325"/>
        <v/>
      </c>
      <c r="AT472" s="129">
        <f t="shared" si="326"/>
        <v/>
      </c>
      <c r="AU472" s="129">
        <f t="shared" si="327"/>
        <v/>
      </c>
      <c r="AV472" s="129">
        <f t="shared" si="328"/>
        <v/>
      </c>
      <c r="AW472" s="129">
        <f>IF(AV472="","",AV472&amp;"."&amp;COUNTIFS($A$3:A472,A472,$AV$3:AV472,AV472))</f>
        <v/>
      </c>
      <c r="AX472" s="129">
        <f t="shared" si="329"/>
        <v/>
      </c>
      <c r="AY472" s="129">
        <f>IF(N472="б/к",0,IF(OR(ISNUMBER(SEARCH("L=",Разбивка_по_щитам!P472)),N472="+",N472="="),1,0))</f>
      </c>
      <c r="AZ472" s="129">
        <f t="shared" si="330"/>
        <v/>
      </c>
      <c r="BA472" s="129">
        <f t="shared" si="331"/>
      </c>
      <c r="BB472" s="129">
        <f t="shared" si="332"/>
      </c>
      <c r="BD472" s="129">
        <f t="shared" si="333"/>
      </c>
      <c r="BE472" s="129">
        <f t="shared" si="334"/>
      </c>
      <c r="BF472" s="129">
        <f t="shared" si="335"/>
      </c>
      <c r="BG472" s="129">
        <f t="shared" si="336"/>
        <v/>
      </c>
      <c r="BH472" s="129">
        <f t="shared" si="337"/>
        <v/>
      </c>
      <c r="BI472" s="129">
        <f t="shared" si="338"/>
        <v/>
      </c>
      <c r="BJ472" s="129">
        <f t="shared" si="339"/>
        <v/>
      </c>
      <c r="BK472" s="129">
        <f>IF(R472="","",IF(OR(BY472="",BY472=0),"BOX",IFERROR(IF(VLOOKUP(BY472,УГО_блоки,3,FALSE)&amp;""&lt;&gt;"",VLOOKUP(BY472,УГО_блоки,3,FALSE),VLOOKUP(BY472,УГО_блоки,2,FALSE)),BY472)))</f>
      </c>
      <c r="BL472" s="129">
        <f t="shared" si="341"/>
      </c>
      <c r="BM472" s="129">
        <f>IF(H472="","",IF(COUNTIF($H$3:H472,H472)=1,MAX($BM$2:BM471)+1,""))</f>
      </c>
      <c r="BN472" s="129">
        <f>IF(I472="","",IF(COUNTIF($I$3:I472,I472)+COUNTIF($J$2:J471,I472)+COUNTIF($K$2:K471,I472)=1,MAX($BN$2:BP471)+1,""))</f>
      </c>
      <c r="BO472" s="129">
        <f>IF(J472="","",IF(COUNTIF($I$3:I472,J472)+COUNTIF($J$3:J472,J472)+COUNTIF($K$2:K471,J472)=1,MAX($BN$2:BP471,BN472)+1,""))</f>
      </c>
      <c r="BP472" s="129">
        <f>IF(K472="","",IF(COUNTIF($I$3:I472,K472)+COUNTIF($J$3:J472,K472)+COUNTIF($K$3:K472,K472)=1,MAX($BN$2:BP471,BN472,BO472)+1,""))</f>
      </c>
      <c r="BQ472" s="129">
        <f>IF(AY472=1,IFERROR(MID(Q472,FIND(" (",Q472)+2,FIND(")",Q472,FIND(" (",Q472))-FIND(" (",Q472)-2),"?"),"")</f>
      </c>
      <c r="BR472" s="129">
        <f>IF(BQ472="","",IF(COUNTIF($BQ$3:BQ472,BQ472)=1,MAX($BR$2:BR471)+1,""))</f>
      </c>
      <c r="BS472" s="129">
        <f>IF(AW472="","",COUNTIF($AW$3:AW472,"?*"))</f>
      </c>
      <c r="BT472" s="129">
        <f>IF(OR(AW472="",AI472=""),"",IF(COUNTIFS($AW$3:AW472,"?*",$AI$3:AI472,AI472)=1,MAX($BT$2:BT471)+1,""))</f>
      </c>
      <c r="BU472" s="129">
        <f>IF(AE472="",0,IF(OR(ISNUMBER(SEARCH("дубль",AE472)),ISNUMBER(SEARCH("ПЕРЕГРУЗ",AE472)),ISNUMBER(SEARCH("ЗАЩИЩ",AE472)),ISNUMBER(SEARCH("КАНАЛ",AE472)),ISNUMBER(SEARCH("без 30",AE472))),2,1))</f>
      </c>
      <c r="BV472" s="129">
        <f>IF(R472="","",COUNTIF($R$3:R472,"?*"))</f>
      </c>
      <c r="BW472" s="129">
        <f>IF(AY472&lt;&gt;1,0,IF(MAX(IFERROR(--VLOOKUP(R472,УГО_спр,5,FALSE),0),IFERROR(--VLOOKUP(AL472,УГО_спр,5,FALSE),0),IFERROR(--VLOOKUP(LEFT(AL472,2),УГО_спр,5,FALSE),0))&gt;0,MAX(IFERROR(--VLOOKUP(R472,УГО_спр,5,FALSE),0),IFERROR(--VLOOKUP(AL472,УГО_спр,5,FALSE),0),IFERROR(--VLOOKUP(LEFT(AL472,2),УГО_спр,5,FALSE),0)),IF(IFERROR(--LEFT(SUBSTITUTE(BQ472,"x","х"),FIND("х",SUBSTITUTE(BQ472,"x","х"))-1),3)&gt;3,Каталог!$S$9,1)))</f>
      </c>
      <c r="BX472" s="129">
        <f>IF(AY472&lt;&gt;1,0,MAX(0,IFERROR(--LEFT(SUBSTITUTE(BQ472,"x","х"),FIND("х",SUBSTITUTE(BQ472,"x","х"))-1),3)-3*BW472))</f>
      </c>
      <c r="BY472" s="129">
        <f>IF(R472="","",IFERROR(VLOOKUP(R472,УГО_спр,2,FALSE),IFERROR(VLOOKUP(AL472,УГО_спр,2,FALSE),IFERROR(VLOOKUP(LEFT(AL472,2),УГО_спр,2,FALSE),""))))</f>
      </c>
    </row>
    <row r="473" spans="1:64" x14ac:dyDescent="0.3">
      <c r="A473" s="135">
        <f>IF(Разбивка_по_щитам!F473=0,"",Разбивка_по_щитам!F473)</f>
        <v/>
      </c>
      <c r="B473" s="138">
        <f>IF(A473="","",Разбивка_по_щитам!C473)</f>
        <v/>
      </c>
      <c r="C473" s="138">
        <f t="shared" si="302"/>
        <v/>
      </c>
      <c r="D473" s="266"/>
      <c r="E473" s="266"/>
      <c r="F473" s="267"/>
      <c r="G473" s="145">
        <f t="shared" si="303"/>
        <v/>
      </c>
      <c r="H473" s="145">
        <f t="shared" si="304"/>
        <v/>
      </c>
      <c r="I473" s="266"/>
      <c r="J473" s="267"/>
      <c r="K473" s="267"/>
      <c r="L473" s="266"/>
      <c r="M473" s="147">
        <f t="shared" si="305"/>
        <v/>
      </c>
      <c r="N473" s="267"/>
      <c r="O473" s="147">
        <f t="shared" si="306"/>
        <v/>
      </c>
      <c r="P473" s="268">
        <f>IF(AY473=1,"XT"&amp;COUNTIFS($A$3:A473,A473,$AY$3:AY473,1),"")</f>
        <v/>
      </c>
      <c r="Q473" s="152">
        <f>IF(R473="","",IFERROR(SUBSTITUTE(Разбивка_по_щитам!P473,CHAR(10)," "),""))</f>
        <v/>
      </c>
      <c r="R473" s="153">
        <f>IF(OR(Разбивка_по_щитам!H473="",Разбивка_по_щитам!H473=0),"",Разбивка_по_щитам!H473)</f>
        <v/>
      </c>
      <c r="S473" s="154">
        <f>IF(R473="","",IFERROR(Разбивка_по_щитам!J473&amp;"",""))</f>
        <v/>
      </c>
      <c r="T473" s="155">
        <f>IF(R473="","",IFERROR(--Разбивка_по_щитам!L473,""))</f>
        <v/>
      </c>
      <c r="U473" s="155">
        <f>IF(R473="","",IFERROR(--Разбивка_по_щитам!K473,""))</f>
        <v/>
      </c>
      <c r="V473" s="138">
        <f>IF(R473="","",IFERROR(IF(Разбивка_по_щитам!M473=0,"",Разбивка_по_щитам!M473),""))</f>
        <v/>
      </c>
      <c r="W473" s="156">
        <f t="shared" si="307"/>
        <v/>
      </c>
      <c r="X473" s="157">
        <f t="shared" si="308"/>
        <v/>
      </c>
      <c r="Y473" s="266"/>
      <c r="Z473" s="158">
        <f t="shared" si="309"/>
        <v/>
      </c>
      <c r="AA473" s="160">
        <f t="shared" si="310"/>
        <v/>
      </c>
      <c r="AB473" s="160">
        <f>IF(R473="","",IFERROR(LOOKUP(INDEX(Справочная!$I$4:$I$19,MATCH(VLOOKUP(R473,Исходные_данные,22,FALSE),Справочная!$J$4:$J$19,0)+1),{6,10,16,20,25,32,40,50,63,80,100,125}),""))</f>
        <v/>
      </c>
      <c r="AC473" s="160">
        <f t="shared" si="311"/>
        <v/>
      </c>
      <c r="AD473" s="161">
        <f t="shared" si="312"/>
        <v/>
      </c>
      <c r="AE473" s="161">
        <f>IF(AND(R473="",G473=""),"",_xlfn.TEXTJOIN("; ",TRUE,IF(AND(R473&lt;&gt;"",V473=""),"нет фазы",""),IF(AND(R473&lt;&gt;"",N(T473)=0),"нет мощности",""),IF(AND(P473&lt;&gt;"",COUNTIFS($A$3:$A$1000,A473,$P$3:$P$1000,P473)&gt;1),"дубль клеммы "&amp;P473,""),IF(AND(W473&lt;&gt;"",W473&lt;&gt;"ok"),W473,""),IF(X473&lt;&gt;"",X473,""),IF(AND(ISNUMBER(SEARCH("(5х",Q473)),N(AK473)=1),"5 жил на 1 фазе",""),IF(AND(AL473="R",E473&lt;&gt;"",N(AS473)=0),"розетка без 30 мА",""),IF(IFERROR(_xlfn.NUMBERVALUE(MID(Q473,FIND("-",Q473,FIND("L=",Q473))+1,FIND("%",Q473)-FIND("-",Q473,FIND("L=",Q473))-1),","),0)&gt;4,"потери &gt; 4 %","")))</f>
      </c>
      <c r="AF473" s="129">
        <f>IF(E473&lt;&gt;"",COUNTIFS($A$3:A473,A473,$E$3:E473,"?*"),IF(OR(A473&lt;&gt;A472,Y473="вручную"),"",AF472))</f>
        <v/>
      </c>
      <c r="AG473" s="129">
        <f t="shared" si="313"/>
        <v/>
      </c>
      <c r="AH473" s="129">
        <f t="shared" si="314"/>
        <v/>
      </c>
      <c r="AI473" s="129">
        <f t="shared" si="315"/>
        <v/>
      </c>
      <c r="AJ473" s="129">
        <f t="shared" si="316"/>
        <v/>
      </c>
      <c r="AK473" s="129">
        <f t="shared" si="317"/>
        <v/>
      </c>
      <c r="AL473" s="129">
        <f t="shared" si="318"/>
        <v/>
      </c>
      <c r="AM473" s="129">
        <f t="shared" si="319"/>
      </c>
      <c r="AN473" s="129">
        <f t="shared" si="320"/>
      </c>
      <c r="AO473" s="129">
        <f t="shared" si="321"/>
        <v/>
      </c>
      <c r="AP473" s="129">
        <f t="shared" si="322"/>
        <v/>
      </c>
      <c r="AQ473" s="129">
        <f t="shared" si="323"/>
        <v/>
      </c>
      <c r="AR473" s="129">
        <f t="shared" si="324"/>
        <v/>
      </c>
      <c r="AS473" s="129">
        <f t="shared" si="325"/>
        <v/>
      </c>
      <c r="AT473" s="129">
        <f t="shared" si="326"/>
        <v/>
      </c>
      <c r="AU473" s="129">
        <f t="shared" si="327"/>
        <v/>
      </c>
      <c r="AV473" s="129">
        <f t="shared" si="328"/>
        <v/>
      </c>
      <c r="AW473" s="129">
        <f>IF(AV473="","",AV473&amp;"."&amp;COUNTIFS($A$3:A473,A473,$AV$3:AV473,AV473))</f>
        <v/>
      </c>
      <c r="AX473" s="129">
        <f t="shared" si="329"/>
        <v/>
      </c>
      <c r="AY473" s="129">
        <f>IF(N473="б/к",0,IF(OR(ISNUMBER(SEARCH("L=",Разбивка_по_щитам!P473)),N473="+",N473="="),1,0))</f>
      </c>
      <c r="AZ473" s="129">
        <f t="shared" si="330"/>
        <v/>
      </c>
      <c r="BA473" s="129">
        <f t="shared" si="331"/>
      </c>
      <c r="BB473" s="129">
        <f t="shared" si="332"/>
      </c>
      <c r="BD473" s="129">
        <f t="shared" si="333"/>
      </c>
      <c r="BE473" s="129">
        <f t="shared" si="334"/>
      </c>
      <c r="BF473" s="129">
        <f t="shared" si="335"/>
      </c>
      <c r="BG473" s="129">
        <f t="shared" si="336"/>
        <v/>
      </c>
      <c r="BH473" s="129">
        <f t="shared" si="337"/>
        <v/>
      </c>
      <c r="BI473" s="129">
        <f t="shared" si="338"/>
        <v/>
      </c>
      <c r="BJ473" s="129">
        <f t="shared" si="339"/>
        <v/>
      </c>
      <c r="BK473" s="129">
        <f>IF(R473="","",IF(OR(BY473="",BY473=0),"BOX",IFERROR(IF(VLOOKUP(BY473,УГО_блоки,3,FALSE)&amp;""&lt;&gt;"",VLOOKUP(BY473,УГО_блоки,3,FALSE),VLOOKUP(BY473,УГО_блоки,2,FALSE)),BY473)))</f>
      </c>
      <c r="BL473" s="129">
        <f t="shared" si="341"/>
      </c>
      <c r="BM473" s="129">
        <f>IF(H473="","",IF(COUNTIF($H$3:H473,H473)=1,MAX($BM$2:BM472)+1,""))</f>
      </c>
      <c r="BN473" s="129">
        <f>IF(I473="","",IF(COUNTIF($I$3:I473,I473)+COUNTIF($J$2:J472,I473)+COUNTIF($K$2:K472,I473)=1,MAX($BN$2:BP472)+1,""))</f>
      </c>
      <c r="BO473" s="129">
        <f>IF(J473="","",IF(COUNTIF($I$3:I473,J473)+COUNTIF($J$3:J473,J473)+COUNTIF($K$2:K472,J473)=1,MAX($BN$2:BP472,BN473)+1,""))</f>
      </c>
      <c r="BP473" s="129">
        <f>IF(K473="","",IF(COUNTIF($I$3:I473,K473)+COUNTIF($J$3:J473,K473)+COUNTIF($K$3:K473,K473)=1,MAX($BN$2:BP472,BN473,BO473)+1,""))</f>
      </c>
      <c r="BQ473" s="129">
        <f>IF(AY473=1,IFERROR(MID(Q473,FIND(" (",Q473)+2,FIND(")",Q473,FIND(" (",Q473))-FIND(" (",Q473)-2),"?"),"")</f>
      </c>
      <c r="BR473" s="129">
        <f>IF(BQ473="","",IF(COUNTIF($BQ$3:BQ473,BQ473)=1,MAX($BR$2:BR472)+1,""))</f>
      </c>
      <c r="BS473" s="129">
        <f>IF(AW473="","",COUNTIF($AW$3:AW473,"?*"))</f>
      </c>
      <c r="BT473" s="129">
        <f>IF(OR(AW473="",AI473=""),"",IF(COUNTIFS($AW$3:AW473,"?*",$AI$3:AI473,AI473)=1,MAX($BT$2:BT472)+1,""))</f>
      </c>
      <c r="BU473" s="129">
        <f>IF(AE473="",0,IF(OR(ISNUMBER(SEARCH("дубль",AE473)),ISNUMBER(SEARCH("ПЕРЕГРУЗ",AE473)),ISNUMBER(SEARCH("ЗАЩИЩ",AE473)),ISNUMBER(SEARCH("КАНАЛ",AE473)),ISNUMBER(SEARCH("без 30",AE473))),2,1))</f>
      </c>
      <c r="BV473" s="129">
        <f>IF(R473="","",COUNTIF($R$3:R473,"?*"))</f>
      </c>
      <c r="BW473" s="129">
        <f>IF(AY473&lt;&gt;1,0,IF(MAX(IFERROR(--VLOOKUP(R473,УГО_спр,5,FALSE),0),IFERROR(--VLOOKUP(AL473,УГО_спр,5,FALSE),0),IFERROR(--VLOOKUP(LEFT(AL473,2),УГО_спр,5,FALSE),0))&gt;0,MAX(IFERROR(--VLOOKUP(R473,УГО_спр,5,FALSE),0),IFERROR(--VLOOKUP(AL473,УГО_спр,5,FALSE),0),IFERROR(--VLOOKUP(LEFT(AL473,2),УГО_спр,5,FALSE),0)),IF(IFERROR(--LEFT(SUBSTITUTE(BQ473,"x","х"),FIND("х",SUBSTITUTE(BQ473,"x","х"))-1),3)&gt;3,Каталог!$S$9,1)))</f>
      </c>
      <c r="BX473" s="129">
        <f>IF(AY473&lt;&gt;1,0,MAX(0,IFERROR(--LEFT(SUBSTITUTE(BQ473,"x","х"),FIND("х",SUBSTITUTE(BQ473,"x","х"))-1),3)-3*BW473))</f>
      </c>
      <c r="BY473" s="129">
        <f>IF(R473="","",IFERROR(VLOOKUP(R473,УГО_спр,2,FALSE),IFERROR(VLOOKUP(AL473,УГО_спр,2,FALSE),IFERROR(VLOOKUP(LEFT(AL473,2),УГО_спр,2,FALSE),""))))</f>
      </c>
    </row>
    <row r="474" spans="1:64" x14ac:dyDescent="0.3">
      <c r="A474" s="135">
        <f>IF(Разбивка_по_щитам!F474=0,"",Разбивка_по_щитам!F474)</f>
        <v/>
      </c>
      <c r="B474" s="138">
        <f>IF(A474="","",Разбивка_по_щитам!C474)</f>
        <v/>
      </c>
      <c r="C474" s="138">
        <f t="shared" si="302"/>
        <v/>
      </c>
      <c r="D474" s="266"/>
      <c r="E474" s="266"/>
      <c r="F474" s="267"/>
      <c r="G474" s="145">
        <f t="shared" si="303"/>
        <v/>
      </c>
      <c r="H474" s="145">
        <f t="shared" si="304"/>
        <v/>
      </c>
      <c r="I474" s="266"/>
      <c r="J474" s="267"/>
      <c r="K474" s="267"/>
      <c r="L474" s="266"/>
      <c r="M474" s="147">
        <f t="shared" si="305"/>
        <v/>
      </c>
      <c r="N474" s="267"/>
      <c r="O474" s="147">
        <f t="shared" si="306"/>
        <v/>
      </c>
      <c r="P474" s="268">
        <f>IF(AY474=1,"XT"&amp;COUNTIFS($A$3:A474,A474,$AY$3:AY474,1),"")</f>
        <v/>
      </c>
      <c r="Q474" s="152">
        <f>IF(R474="","",IFERROR(SUBSTITUTE(Разбивка_по_щитам!P474,CHAR(10)," "),""))</f>
        <v/>
      </c>
      <c r="R474" s="153">
        <f>IF(OR(Разбивка_по_щитам!H474="",Разбивка_по_щитам!H474=0),"",Разбивка_по_щитам!H474)</f>
        <v/>
      </c>
      <c r="S474" s="154">
        <f>IF(R474="","",IFERROR(Разбивка_по_щитам!J474&amp;"",""))</f>
        <v/>
      </c>
      <c r="T474" s="155">
        <f>IF(R474="","",IFERROR(--Разбивка_по_щитам!L474,""))</f>
        <v/>
      </c>
      <c r="U474" s="155">
        <f>IF(R474="","",IFERROR(--Разбивка_по_щитам!K474,""))</f>
        <v/>
      </c>
      <c r="V474" s="138">
        <f>IF(R474="","",IFERROR(IF(Разбивка_по_щитам!M474=0,"",Разбивка_по_щитам!M474),""))</f>
        <v/>
      </c>
      <c r="W474" s="156">
        <f t="shared" si="307"/>
        <v/>
      </c>
      <c r="X474" s="157">
        <f t="shared" si="308"/>
        <v/>
      </c>
      <c r="Y474" s="266"/>
      <c r="Z474" s="158">
        <f t="shared" si="309"/>
        <v/>
      </c>
      <c r="AA474" s="160">
        <f t="shared" si="310"/>
        <v/>
      </c>
      <c r="AB474" s="160">
        <f>IF(R474="","",IFERROR(LOOKUP(INDEX(Справочная!$I$4:$I$19,MATCH(VLOOKUP(R474,Исходные_данные,22,FALSE),Справочная!$J$4:$J$19,0)+1),{6,10,16,20,25,32,40,50,63,80,100,125}),""))</f>
        <v/>
      </c>
      <c r="AC474" s="160">
        <f t="shared" si="311"/>
        <v/>
      </c>
      <c r="AD474" s="161">
        <f t="shared" si="312"/>
        <v/>
      </c>
      <c r="AE474" s="161">
        <f>IF(AND(R474="",G474=""),"",_xlfn.TEXTJOIN("; ",TRUE,IF(AND(R474&lt;&gt;"",V474=""),"нет фазы",""),IF(AND(R474&lt;&gt;"",N(T474)=0),"нет мощности",""),IF(AND(P474&lt;&gt;"",COUNTIFS($A$3:$A$1000,A474,$P$3:$P$1000,P474)&gt;1),"дубль клеммы "&amp;P474,""),IF(AND(W474&lt;&gt;"",W474&lt;&gt;"ok"),W474,""),IF(X474&lt;&gt;"",X474,""),IF(AND(ISNUMBER(SEARCH("(5х",Q474)),N(AK474)=1),"5 жил на 1 фазе",""),IF(AND(AL474="R",E474&lt;&gt;"",N(AS474)=0),"розетка без 30 мА",""),IF(IFERROR(_xlfn.NUMBERVALUE(MID(Q474,FIND("-",Q474,FIND("L=",Q474))+1,FIND("%",Q474)-FIND("-",Q474,FIND("L=",Q474))-1),","),0)&gt;4,"потери &gt; 4 %","")))</f>
      </c>
      <c r="AF474" s="129">
        <f>IF(E474&lt;&gt;"",COUNTIFS($A$3:A474,A474,$E$3:E474,"?*"),IF(OR(A474&lt;&gt;A473,Y474="вручную"),"",AF473))</f>
        <v/>
      </c>
      <c r="AG474" s="129">
        <f t="shared" si="313"/>
        <v/>
      </c>
      <c r="AH474" s="129">
        <f t="shared" si="314"/>
        <v/>
      </c>
      <c r="AI474" s="129">
        <f t="shared" si="315"/>
        <v/>
      </c>
      <c r="AJ474" s="129">
        <f t="shared" si="316"/>
        <v/>
      </c>
      <c r="AK474" s="129">
        <f t="shared" si="317"/>
        <v/>
      </c>
      <c r="AL474" s="129">
        <f t="shared" si="318"/>
        <v/>
      </c>
      <c r="AM474" s="129">
        <f t="shared" si="319"/>
      </c>
      <c r="AN474" s="129">
        <f t="shared" si="320"/>
      </c>
      <c r="AO474" s="129">
        <f t="shared" si="321"/>
        <v/>
      </c>
      <c r="AP474" s="129">
        <f t="shared" si="322"/>
        <v/>
      </c>
      <c r="AQ474" s="129">
        <f t="shared" si="323"/>
        <v/>
      </c>
      <c r="AR474" s="129">
        <f t="shared" si="324"/>
        <v/>
      </c>
      <c r="AS474" s="129">
        <f t="shared" si="325"/>
        <v/>
      </c>
      <c r="AT474" s="129">
        <f t="shared" si="326"/>
        <v/>
      </c>
      <c r="AU474" s="129">
        <f t="shared" si="327"/>
        <v/>
      </c>
      <c r="AV474" s="129">
        <f t="shared" si="328"/>
        <v/>
      </c>
      <c r="AW474" s="129">
        <f>IF(AV474="","",AV474&amp;"."&amp;COUNTIFS($A$3:A474,A474,$AV$3:AV474,AV474))</f>
        <v/>
      </c>
      <c r="AX474" s="129">
        <f t="shared" si="329"/>
        <v/>
      </c>
      <c r="AY474" s="129">
        <f>IF(N474="б/к",0,IF(OR(ISNUMBER(SEARCH("L=",Разбивка_по_щитам!P474)),N474="+",N474="="),1,0))</f>
      </c>
      <c r="AZ474" s="129">
        <f t="shared" si="330"/>
        <v/>
      </c>
      <c r="BA474" s="129">
        <f t="shared" si="331"/>
      </c>
      <c r="BB474" s="129">
        <f t="shared" si="332"/>
      </c>
      <c r="BD474" s="129">
        <f t="shared" si="333"/>
      </c>
      <c r="BE474" s="129">
        <f t="shared" si="334"/>
      </c>
      <c r="BF474" s="129">
        <f t="shared" si="335"/>
      </c>
      <c r="BG474" s="129">
        <f t="shared" si="336"/>
        <v/>
      </c>
      <c r="BH474" s="129">
        <f t="shared" si="337"/>
        <v/>
      </c>
      <c r="BI474" s="129">
        <f t="shared" si="338"/>
        <v/>
      </c>
      <c r="BJ474" s="129">
        <f t="shared" si="339"/>
        <v/>
      </c>
      <c r="BK474" s="129">
        <f>IF(R474="","",IF(OR(BY474="",BY474=0),"BOX",IFERROR(IF(VLOOKUP(BY474,УГО_блоки,3,FALSE)&amp;""&lt;&gt;"",VLOOKUP(BY474,УГО_блоки,3,FALSE),VLOOKUP(BY474,УГО_блоки,2,FALSE)),BY474)))</f>
      </c>
      <c r="BL474" s="129">
        <f t="shared" si="341"/>
      </c>
      <c r="BM474" s="129">
        <f>IF(H474="","",IF(COUNTIF($H$3:H474,H474)=1,MAX($BM$2:BM473)+1,""))</f>
      </c>
      <c r="BN474" s="129">
        <f>IF(I474="","",IF(COUNTIF($I$3:I474,I474)+COUNTIF($J$2:J473,I474)+COUNTIF($K$2:K473,I474)=1,MAX($BN$2:BP473)+1,""))</f>
      </c>
      <c r="BO474" s="129">
        <f>IF(J474="","",IF(COUNTIF($I$3:I474,J474)+COUNTIF($J$3:J474,J474)+COUNTIF($K$2:K473,J474)=1,MAX($BN$2:BP473,BN474)+1,""))</f>
      </c>
      <c r="BP474" s="129">
        <f>IF(K474="","",IF(COUNTIF($I$3:I474,K474)+COUNTIF($J$3:J474,K474)+COUNTIF($K$3:K474,K474)=1,MAX($BN$2:BP473,BN474,BO474)+1,""))</f>
      </c>
      <c r="BQ474" s="129">
        <f>IF(AY474=1,IFERROR(MID(Q474,FIND(" (",Q474)+2,FIND(")",Q474,FIND(" (",Q474))-FIND(" (",Q474)-2),"?"),"")</f>
      </c>
      <c r="BR474" s="129">
        <f>IF(BQ474="","",IF(COUNTIF($BQ$3:BQ474,BQ474)=1,MAX($BR$2:BR473)+1,""))</f>
      </c>
      <c r="BS474" s="129">
        <f>IF(AW474="","",COUNTIF($AW$3:AW474,"?*"))</f>
      </c>
      <c r="BT474" s="129">
        <f>IF(OR(AW474="",AI474=""),"",IF(COUNTIFS($AW$3:AW474,"?*",$AI$3:AI474,AI474)=1,MAX($BT$2:BT473)+1,""))</f>
      </c>
      <c r="BU474" s="129">
        <f>IF(AE474="",0,IF(OR(ISNUMBER(SEARCH("дубль",AE474)),ISNUMBER(SEARCH("ПЕРЕГРУЗ",AE474)),ISNUMBER(SEARCH("ЗАЩИЩ",AE474)),ISNUMBER(SEARCH("КАНАЛ",AE474)),ISNUMBER(SEARCH("без 30",AE474))),2,1))</f>
      </c>
      <c r="BV474" s="129">
        <f>IF(R474="","",COUNTIF($R$3:R474,"?*"))</f>
      </c>
      <c r="BW474" s="129">
        <f>IF(AY474&lt;&gt;1,0,IF(MAX(IFERROR(--VLOOKUP(R474,УГО_спр,5,FALSE),0),IFERROR(--VLOOKUP(AL474,УГО_спр,5,FALSE),0),IFERROR(--VLOOKUP(LEFT(AL474,2),УГО_спр,5,FALSE),0))&gt;0,MAX(IFERROR(--VLOOKUP(R474,УГО_спр,5,FALSE),0),IFERROR(--VLOOKUP(AL474,УГО_спр,5,FALSE),0),IFERROR(--VLOOKUP(LEFT(AL474,2),УГО_спр,5,FALSE),0)),IF(IFERROR(--LEFT(SUBSTITUTE(BQ474,"x","х"),FIND("х",SUBSTITUTE(BQ474,"x","х"))-1),3)&gt;3,Каталог!$S$9,1)))</f>
      </c>
      <c r="BX474" s="129">
        <f>IF(AY474&lt;&gt;1,0,MAX(0,IFERROR(--LEFT(SUBSTITUTE(BQ474,"x","х"),FIND("х",SUBSTITUTE(BQ474,"x","х"))-1),3)-3*BW474))</f>
      </c>
      <c r="BY474" s="129">
        <f>IF(R474="","",IFERROR(VLOOKUP(R474,УГО_спр,2,FALSE),IFERROR(VLOOKUP(AL474,УГО_спр,2,FALSE),IFERROR(VLOOKUP(LEFT(AL474,2),УГО_спр,2,FALSE),""))))</f>
      </c>
    </row>
    <row r="475" spans="1:64" x14ac:dyDescent="0.3">
      <c r="A475" s="135">
        <f>IF(Разбивка_по_щитам!F475=0,"",Разбивка_по_щитам!F475)</f>
        <v/>
      </c>
      <c r="B475" s="138">
        <f>IF(A475="","",Разбивка_по_щитам!C475)</f>
        <v/>
      </c>
      <c r="C475" s="138">
        <f t="shared" si="302"/>
        <v/>
      </c>
      <c r="D475" s="266"/>
      <c r="E475" s="266"/>
      <c r="F475" s="267"/>
      <c r="G475" s="145">
        <f t="shared" si="303"/>
        <v/>
      </c>
      <c r="H475" s="145">
        <f t="shared" si="304"/>
        <v/>
      </c>
      <c r="I475" s="266"/>
      <c r="J475" s="267"/>
      <c r="K475" s="267"/>
      <c r="L475" s="266"/>
      <c r="M475" s="147">
        <f t="shared" si="305"/>
        <v/>
      </c>
      <c r="N475" s="267"/>
      <c r="O475" s="147">
        <f t="shared" si="306"/>
        <v/>
      </c>
      <c r="P475" s="268">
        <f>IF(AY475=1,"XT"&amp;COUNTIFS($A$3:A475,A475,$AY$3:AY475,1),"")</f>
        <v/>
      </c>
      <c r="Q475" s="152">
        <f>IF(R475="","",IFERROR(SUBSTITUTE(Разбивка_по_щитам!P475,CHAR(10)," "),""))</f>
        <v/>
      </c>
      <c r="R475" s="153">
        <f>IF(OR(Разбивка_по_щитам!H475="",Разбивка_по_щитам!H475=0),"",Разбивка_по_щитам!H475)</f>
        <v/>
      </c>
      <c r="S475" s="154">
        <f>IF(R475="","",IFERROR(Разбивка_по_щитам!J475&amp;"",""))</f>
        <v/>
      </c>
      <c r="T475" s="155">
        <f>IF(R475="","",IFERROR(--Разбивка_по_щитам!L475,""))</f>
        <v/>
      </c>
      <c r="U475" s="155">
        <f>IF(R475="","",IFERROR(--Разбивка_по_щитам!K475,""))</f>
        <v/>
      </c>
      <c r="V475" s="138">
        <f>IF(R475="","",IFERROR(IF(Разбивка_по_щитам!M475=0,"",Разбивка_по_щитам!M475),""))</f>
        <v/>
      </c>
      <c r="W475" s="156">
        <f t="shared" si="307"/>
        <v/>
      </c>
      <c r="X475" s="157">
        <f t="shared" si="308"/>
        <v/>
      </c>
      <c r="Y475" s="266"/>
      <c r="Z475" s="158">
        <f t="shared" si="309"/>
        <v/>
      </c>
      <c r="AA475" s="160">
        <f t="shared" si="310"/>
        <v/>
      </c>
      <c r="AB475" s="160">
        <f>IF(R475="","",IFERROR(LOOKUP(INDEX(Справочная!$I$4:$I$19,MATCH(VLOOKUP(R475,Исходные_данные,22,FALSE),Справочная!$J$4:$J$19,0)+1),{6,10,16,20,25,32,40,50,63,80,100,125}),""))</f>
        <v/>
      </c>
      <c r="AC475" s="160">
        <f t="shared" si="311"/>
        <v/>
      </c>
      <c r="AD475" s="161">
        <f t="shared" si="312"/>
        <v/>
      </c>
      <c r="AE475" s="161">
        <f>IF(AND(R475="",G475=""),"",_xlfn.TEXTJOIN("; ",TRUE,IF(AND(R475&lt;&gt;"",V475=""),"нет фазы",""),IF(AND(R475&lt;&gt;"",N(T475)=0),"нет мощности",""),IF(AND(P475&lt;&gt;"",COUNTIFS($A$3:$A$1000,A475,$P$3:$P$1000,P475)&gt;1),"дубль клеммы "&amp;P475,""),IF(AND(W475&lt;&gt;"",W475&lt;&gt;"ok"),W475,""),IF(X475&lt;&gt;"",X475,""),IF(AND(ISNUMBER(SEARCH("(5х",Q475)),N(AK475)=1),"5 жил на 1 фазе",""),IF(AND(AL475="R",E475&lt;&gt;"",N(AS475)=0),"розетка без 30 мА",""),IF(IFERROR(_xlfn.NUMBERVALUE(MID(Q475,FIND("-",Q475,FIND("L=",Q475))+1,FIND("%",Q475)-FIND("-",Q475,FIND("L=",Q475))-1),","),0)&gt;4,"потери &gt; 4 %","")))</f>
      </c>
      <c r="AF475" s="129">
        <f>IF(E475&lt;&gt;"",COUNTIFS($A$3:A475,A475,$E$3:E475,"?*"),IF(OR(A475&lt;&gt;A474,Y475="вручную"),"",AF474))</f>
        <v/>
      </c>
      <c r="AG475" s="129">
        <f t="shared" si="313"/>
        <v/>
      </c>
      <c r="AH475" s="129">
        <f t="shared" si="314"/>
        <v/>
      </c>
      <c r="AI475" s="129">
        <f t="shared" si="315"/>
        <v/>
      </c>
      <c r="AJ475" s="129">
        <f t="shared" si="316"/>
        <v/>
      </c>
      <c r="AK475" s="129">
        <f t="shared" si="317"/>
        <v/>
      </c>
      <c r="AL475" s="129">
        <f t="shared" si="318"/>
        <v/>
      </c>
      <c r="AM475" s="129">
        <f t="shared" si="319"/>
      </c>
      <c r="AN475" s="129">
        <f t="shared" si="320"/>
      </c>
      <c r="AO475" s="129">
        <f t="shared" si="321"/>
        <v/>
      </c>
      <c r="AP475" s="129">
        <f t="shared" si="322"/>
        <v/>
      </c>
      <c r="AQ475" s="129">
        <f t="shared" si="323"/>
        <v/>
      </c>
      <c r="AR475" s="129">
        <f t="shared" si="324"/>
        <v/>
      </c>
      <c r="AS475" s="129">
        <f t="shared" si="325"/>
        <v/>
      </c>
      <c r="AT475" s="129">
        <f t="shared" si="326"/>
        <v/>
      </c>
      <c r="AU475" s="129">
        <f t="shared" si="327"/>
        <v/>
      </c>
      <c r="AV475" s="129">
        <f t="shared" si="328"/>
        <v/>
      </c>
      <c r="AW475" s="129">
        <f>IF(AV475="","",AV475&amp;"."&amp;COUNTIFS($A$3:A475,A475,$AV$3:AV475,AV475))</f>
        <v/>
      </c>
      <c r="AX475" s="129">
        <f t="shared" si="329"/>
        <v/>
      </c>
      <c r="AY475" s="129">
        <f>IF(N475="б/к",0,IF(OR(ISNUMBER(SEARCH("L=",Разбивка_по_щитам!P475)),N475="+",N475="="),1,0))</f>
      </c>
      <c r="AZ475" s="129">
        <f t="shared" si="330"/>
        <v/>
      </c>
      <c r="BA475" s="129">
        <f t="shared" si="331"/>
      </c>
      <c r="BB475" s="129">
        <f t="shared" si="332"/>
      </c>
      <c r="BD475" s="129">
        <f t="shared" si="333"/>
      </c>
      <c r="BE475" s="129">
        <f t="shared" si="334"/>
      </c>
      <c r="BF475" s="129">
        <f t="shared" si="335"/>
      </c>
      <c r="BG475" s="129">
        <f t="shared" si="336"/>
        <v/>
      </c>
      <c r="BH475" s="129">
        <f t="shared" si="337"/>
        <v/>
      </c>
      <c r="BI475" s="129">
        <f t="shared" si="338"/>
        <v/>
      </c>
      <c r="BJ475" s="129">
        <f t="shared" si="339"/>
        <v/>
      </c>
      <c r="BK475" s="129">
        <f>IF(R475="","",IF(OR(BY475="",BY475=0),"BOX",IFERROR(IF(VLOOKUP(BY475,УГО_блоки,3,FALSE)&amp;""&lt;&gt;"",VLOOKUP(BY475,УГО_блоки,3,FALSE),VLOOKUP(BY475,УГО_блоки,2,FALSE)),BY475)))</f>
      </c>
      <c r="BL475" s="129">
        <f t="shared" si="341"/>
      </c>
      <c r="BM475" s="129">
        <f>IF(H475="","",IF(COUNTIF($H$3:H475,H475)=1,MAX($BM$2:BM474)+1,""))</f>
      </c>
      <c r="BN475" s="129">
        <f>IF(I475="","",IF(COUNTIF($I$3:I475,I475)+COUNTIF($J$2:J474,I475)+COUNTIF($K$2:K474,I475)=1,MAX($BN$2:BP474)+1,""))</f>
      </c>
      <c r="BO475" s="129">
        <f>IF(J475="","",IF(COUNTIF($I$3:I475,J475)+COUNTIF($J$3:J475,J475)+COUNTIF($K$2:K474,J475)=1,MAX($BN$2:BP474,BN475)+1,""))</f>
      </c>
      <c r="BP475" s="129">
        <f>IF(K475="","",IF(COUNTIF($I$3:I475,K475)+COUNTIF($J$3:J475,K475)+COUNTIF($K$3:K475,K475)=1,MAX($BN$2:BP474,BN475,BO475)+1,""))</f>
      </c>
      <c r="BQ475" s="129">
        <f>IF(AY475=1,IFERROR(MID(Q475,FIND(" (",Q475)+2,FIND(")",Q475,FIND(" (",Q475))-FIND(" (",Q475)-2),"?"),"")</f>
      </c>
      <c r="BR475" s="129">
        <f>IF(BQ475="","",IF(COUNTIF($BQ$3:BQ475,BQ475)=1,MAX($BR$2:BR474)+1,""))</f>
      </c>
      <c r="BS475" s="129">
        <f>IF(AW475="","",COUNTIF($AW$3:AW475,"?*"))</f>
      </c>
      <c r="BT475" s="129">
        <f>IF(OR(AW475="",AI475=""),"",IF(COUNTIFS($AW$3:AW475,"?*",$AI$3:AI475,AI475)=1,MAX($BT$2:BT474)+1,""))</f>
      </c>
      <c r="BU475" s="129">
        <f>IF(AE475="",0,IF(OR(ISNUMBER(SEARCH("дубль",AE475)),ISNUMBER(SEARCH("ПЕРЕГРУЗ",AE475)),ISNUMBER(SEARCH("ЗАЩИЩ",AE475)),ISNUMBER(SEARCH("КАНАЛ",AE475)),ISNUMBER(SEARCH("без 30",AE475))),2,1))</f>
      </c>
      <c r="BV475" s="129">
        <f>IF(R475="","",COUNTIF($R$3:R475,"?*"))</f>
      </c>
      <c r="BW475" s="129">
        <f>IF(AY475&lt;&gt;1,0,IF(MAX(IFERROR(--VLOOKUP(R475,УГО_спр,5,FALSE),0),IFERROR(--VLOOKUP(AL475,УГО_спр,5,FALSE),0),IFERROR(--VLOOKUP(LEFT(AL475,2),УГО_спр,5,FALSE),0))&gt;0,MAX(IFERROR(--VLOOKUP(R475,УГО_спр,5,FALSE),0),IFERROR(--VLOOKUP(AL475,УГО_спр,5,FALSE),0),IFERROR(--VLOOKUP(LEFT(AL475,2),УГО_спр,5,FALSE),0)),IF(IFERROR(--LEFT(SUBSTITUTE(BQ475,"x","х"),FIND("х",SUBSTITUTE(BQ475,"x","х"))-1),3)&gt;3,Каталог!$S$9,1)))</f>
      </c>
      <c r="BX475" s="129">
        <f>IF(AY475&lt;&gt;1,0,MAX(0,IFERROR(--LEFT(SUBSTITUTE(BQ475,"x","х"),FIND("х",SUBSTITUTE(BQ475,"x","х"))-1),3)-3*BW475))</f>
      </c>
      <c r="BY475" s="129">
        <f>IF(R475="","",IFERROR(VLOOKUP(R475,УГО_спр,2,FALSE),IFERROR(VLOOKUP(AL475,УГО_спр,2,FALSE),IFERROR(VLOOKUP(LEFT(AL475,2),УГО_спр,2,FALSE),""))))</f>
      </c>
    </row>
    <row r="476" spans="1:64" x14ac:dyDescent="0.3">
      <c r="A476" s="135">
        <f>IF(Разбивка_по_щитам!F476=0,"",Разбивка_по_щитам!F476)</f>
        <v/>
      </c>
      <c r="B476" s="138">
        <f>IF(A476="","",Разбивка_по_щитам!C476)</f>
        <v/>
      </c>
      <c r="C476" s="138">
        <f t="shared" si="302"/>
        <v/>
      </c>
      <c r="D476" s="266"/>
      <c r="E476" s="266"/>
      <c r="F476" s="267"/>
      <c r="G476" s="145">
        <f t="shared" si="303"/>
        <v/>
      </c>
      <c r="H476" s="145">
        <f t="shared" si="304"/>
        <v/>
      </c>
      <c r="I476" s="266"/>
      <c r="J476" s="267"/>
      <c r="K476" s="267"/>
      <c r="L476" s="266"/>
      <c r="M476" s="147">
        <f t="shared" si="305"/>
        <v/>
      </c>
      <c r="N476" s="267"/>
      <c r="O476" s="147">
        <f t="shared" si="306"/>
        <v/>
      </c>
      <c r="P476" s="268">
        <f>IF(AY476=1,"XT"&amp;COUNTIFS($A$3:A476,A476,$AY$3:AY476,1),"")</f>
        <v/>
      </c>
      <c r="Q476" s="152">
        <f>IF(R476="","",IFERROR(SUBSTITUTE(Разбивка_по_щитам!P476,CHAR(10)," "),""))</f>
        <v/>
      </c>
      <c r="R476" s="153">
        <f>IF(OR(Разбивка_по_щитам!H476="",Разбивка_по_щитам!H476=0),"",Разбивка_по_щитам!H476)</f>
        <v/>
      </c>
      <c r="S476" s="154">
        <f>IF(R476="","",IFERROR(Разбивка_по_щитам!J476&amp;"",""))</f>
        <v/>
      </c>
      <c r="T476" s="155">
        <f>IF(R476="","",IFERROR(--Разбивка_по_щитам!L476,""))</f>
        <v/>
      </c>
      <c r="U476" s="155">
        <f>IF(R476="","",IFERROR(--Разбивка_по_щитам!K476,""))</f>
        <v/>
      </c>
      <c r="V476" s="138">
        <f>IF(R476="","",IFERROR(IF(Разбивка_по_щитам!M476=0,"",Разбивка_по_щитам!M476),""))</f>
        <v/>
      </c>
      <c r="W476" s="156">
        <f t="shared" si="307"/>
        <v/>
      </c>
      <c r="X476" s="157">
        <f t="shared" si="308"/>
        <v/>
      </c>
      <c r="Y476" s="266"/>
      <c r="Z476" s="158">
        <f t="shared" si="309"/>
        <v/>
      </c>
      <c r="AA476" s="160">
        <f t="shared" si="310"/>
        <v/>
      </c>
      <c r="AB476" s="160">
        <f>IF(R476="","",IFERROR(LOOKUP(INDEX(Справочная!$I$4:$I$19,MATCH(VLOOKUP(R476,Исходные_данные,22,FALSE),Справочная!$J$4:$J$19,0)+1),{6,10,16,20,25,32,40,50,63,80,100,125}),""))</f>
        <v/>
      </c>
      <c r="AC476" s="160">
        <f t="shared" si="311"/>
        <v/>
      </c>
      <c r="AD476" s="161">
        <f t="shared" si="312"/>
        <v/>
      </c>
      <c r="AE476" s="161">
        <f>IF(AND(R476="",G476=""),"",_xlfn.TEXTJOIN("; ",TRUE,IF(AND(R476&lt;&gt;"",V476=""),"нет фазы",""),IF(AND(R476&lt;&gt;"",N(T476)=0),"нет мощности",""),IF(AND(P476&lt;&gt;"",COUNTIFS($A$3:$A$1000,A476,$P$3:$P$1000,P476)&gt;1),"дубль клеммы "&amp;P476,""),IF(AND(W476&lt;&gt;"",W476&lt;&gt;"ok"),W476,""),IF(X476&lt;&gt;"",X476,""),IF(AND(ISNUMBER(SEARCH("(5х",Q476)),N(AK476)=1),"5 жил на 1 фазе",""),IF(AND(AL476="R",E476&lt;&gt;"",N(AS476)=0),"розетка без 30 мА",""),IF(IFERROR(_xlfn.NUMBERVALUE(MID(Q476,FIND("-",Q476,FIND("L=",Q476))+1,FIND("%",Q476)-FIND("-",Q476,FIND("L=",Q476))-1),","),0)&gt;4,"потери &gt; 4 %","")))</f>
      </c>
      <c r="AF476" s="129">
        <f>IF(E476&lt;&gt;"",COUNTIFS($A$3:A476,A476,$E$3:E476,"?*"),IF(OR(A476&lt;&gt;A475,Y476="вручную"),"",AF475))</f>
        <v/>
      </c>
      <c r="AG476" s="129">
        <f t="shared" si="313"/>
        <v/>
      </c>
      <c r="AH476" s="129">
        <f t="shared" si="314"/>
        <v/>
      </c>
      <c r="AI476" s="129">
        <f t="shared" si="315"/>
        <v/>
      </c>
      <c r="AJ476" s="129">
        <f t="shared" si="316"/>
        <v/>
      </c>
      <c r="AK476" s="129">
        <f t="shared" si="317"/>
        <v/>
      </c>
      <c r="AL476" s="129">
        <f t="shared" si="318"/>
        <v/>
      </c>
      <c r="AM476" s="129">
        <f t="shared" si="319"/>
      </c>
      <c r="AN476" s="129">
        <f t="shared" si="320"/>
      </c>
      <c r="AO476" s="129">
        <f t="shared" si="321"/>
        <v/>
      </c>
      <c r="AP476" s="129">
        <f t="shared" si="322"/>
        <v/>
      </c>
      <c r="AQ476" s="129">
        <f t="shared" si="323"/>
        <v/>
      </c>
      <c r="AR476" s="129">
        <f t="shared" si="324"/>
        <v/>
      </c>
      <c r="AS476" s="129">
        <f t="shared" si="325"/>
        <v/>
      </c>
      <c r="AT476" s="129">
        <f t="shared" si="326"/>
        <v/>
      </c>
      <c r="AU476" s="129">
        <f t="shared" si="327"/>
        <v/>
      </c>
      <c r="AV476" s="129">
        <f t="shared" si="328"/>
        <v/>
      </c>
      <c r="AW476" s="129">
        <f>IF(AV476="","",AV476&amp;"."&amp;COUNTIFS($A$3:A476,A476,$AV$3:AV476,AV476))</f>
        <v/>
      </c>
      <c r="AX476" s="129">
        <f t="shared" si="329"/>
        <v/>
      </c>
      <c r="AY476" s="129">
        <f>IF(N476="б/к",0,IF(OR(ISNUMBER(SEARCH("L=",Разбивка_по_щитам!P476)),N476="+",N476="="),1,0))</f>
      </c>
      <c r="AZ476" s="129">
        <f t="shared" si="330"/>
        <v/>
      </c>
      <c r="BA476" s="129">
        <f t="shared" si="331"/>
      </c>
      <c r="BB476" s="129">
        <f t="shared" si="332"/>
      </c>
      <c r="BD476" s="129">
        <f t="shared" si="333"/>
      </c>
      <c r="BE476" s="129">
        <f t="shared" si="334"/>
      </c>
      <c r="BF476" s="129">
        <f t="shared" si="335"/>
      </c>
      <c r="BG476" s="129">
        <f t="shared" si="336"/>
        <v/>
      </c>
      <c r="BH476" s="129">
        <f t="shared" si="337"/>
        <v/>
      </c>
      <c r="BI476" s="129">
        <f t="shared" si="338"/>
        <v/>
      </c>
      <c r="BJ476" s="129">
        <f t="shared" si="339"/>
        <v/>
      </c>
      <c r="BK476" s="129">
        <f>IF(R476="","",IF(OR(BY476="",BY476=0),"BOX",IFERROR(IF(VLOOKUP(BY476,УГО_блоки,3,FALSE)&amp;""&lt;&gt;"",VLOOKUP(BY476,УГО_блоки,3,FALSE),VLOOKUP(BY476,УГО_блоки,2,FALSE)),BY476)))</f>
      </c>
      <c r="BL476" s="129">
        <f t="shared" si="341"/>
      </c>
      <c r="BM476" s="129">
        <f>IF(H476="","",IF(COUNTIF($H$3:H476,H476)=1,MAX($BM$2:BM475)+1,""))</f>
      </c>
      <c r="BN476" s="129">
        <f>IF(I476="","",IF(COUNTIF($I$3:I476,I476)+COUNTIF($J$2:J475,I476)+COUNTIF($K$2:K475,I476)=1,MAX($BN$2:BP475)+1,""))</f>
      </c>
      <c r="BO476" s="129">
        <f>IF(J476="","",IF(COUNTIF($I$3:I476,J476)+COUNTIF($J$3:J476,J476)+COUNTIF($K$2:K475,J476)=1,MAX($BN$2:BP475,BN476)+1,""))</f>
      </c>
      <c r="BP476" s="129">
        <f>IF(K476="","",IF(COUNTIF($I$3:I476,K476)+COUNTIF($J$3:J476,K476)+COUNTIF($K$3:K476,K476)=1,MAX($BN$2:BP475,BN476,BO476)+1,""))</f>
      </c>
      <c r="BQ476" s="129">
        <f>IF(AY476=1,IFERROR(MID(Q476,FIND(" (",Q476)+2,FIND(")",Q476,FIND(" (",Q476))-FIND(" (",Q476)-2),"?"),"")</f>
      </c>
      <c r="BR476" s="129">
        <f>IF(BQ476="","",IF(COUNTIF($BQ$3:BQ476,BQ476)=1,MAX($BR$2:BR475)+1,""))</f>
      </c>
      <c r="BS476" s="129">
        <f>IF(AW476="","",COUNTIF($AW$3:AW476,"?*"))</f>
      </c>
      <c r="BT476" s="129">
        <f>IF(OR(AW476="",AI476=""),"",IF(COUNTIFS($AW$3:AW476,"?*",$AI$3:AI476,AI476)=1,MAX($BT$2:BT475)+1,""))</f>
      </c>
      <c r="BU476" s="129">
        <f>IF(AE476="",0,IF(OR(ISNUMBER(SEARCH("дубль",AE476)),ISNUMBER(SEARCH("ПЕРЕГРУЗ",AE476)),ISNUMBER(SEARCH("ЗАЩИЩ",AE476)),ISNUMBER(SEARCH("КАНАЛ",AE476)),ISNUMBER(SEARCH("без 30",AE476))),2,1))</f>
      </c>
      <c r="BV476" s="129">
        <f>IF(R476="","",COUNTIF($R$3:R476,"?*"))</f>
      </c>
      <c r="BW476" s="129">
        <f>IF(AY476&lt;&gt;1,0,IF(MAX(IFERROR(--VLOOKUP(R476,УГО_спр,5,FALSE),0),IFERROR(--VLOOKUP(AL476,УГО_спр,5,FALSE),0),IFERROR(--VLOOKUP(LEFT(AL476,2),УГО_спр,5,FALSE),0))&gt;0,MAX(IFERROR(--VLOOKUP(R476,УГО_спр,5,FALSE),0),IFERROR(--VLOOKUP(AL476,УГО_спр,5,FALSE),0),IFERROR(--VLOOKUP(LEFT(AL476,2),УГО_спр,5,FALSE),0)),IF(IFERROR(--LEFT(SUBSTITUTE(BQ476,"x","х"),FIND("х",SUBSTITUTE(BQ476,"x","х"))-1),3)&gt;3,Каталог!$S$9,1)))</f>
      </c>
      <c r="BX476" s="129">
        <f>IF(AY476&lt;&gt;1,0,MAX(0,IFERROR(--LEFT(SUBSTITUTE(BQ476,"x","х"),FIND("х",SUBSTITUTE(BQ476,"x","х"))-1),3)-3*BW476))</f>
      </c>
      <c r="BY476" s="129">
        <f>IF(R476="","",IFERROR(VLOOKUP(R476,УГО_спр,2,FALSE),IFERROR(VLOOKUP(AL476,УГО_спр,2,FALSE),IFERROR(VLOOKUP(LEFT(AL476,2),УГО_спр,2,FALSE),""))))</f>
      </c>
    </row>
    <row r="477" spans="1:64" x14ac:dyDescent="0.3">
      <c r="A477" s="135">
        <f>IF(Разбивка_по_щитам!F477=0,"",Разбивка_по_щитам!F477)</f>
        <v/>
      </c>
      <c r="B477" s="138">
        <f>IF(A477="","",Разбивка_по_щитам!C477)</f>
        <v/>
      </c>
      <c r="C477" s="138">
        <f t="shared" si="302"/>
        <v/>
      </c>
      <c r="D477" s="266"/>
      <c r="E477" s="266"/>
      <c r="F477" s="267"/>
      <c r="G477" s="145">
        <f t="shared" si="303"/>
        <v/>
      </c>
      <c r="H477" s="145">
        <f t="shared" si="304"/>
        <v/>
      </c>
      <c r="I477" s="266"/>
      <c r="J477" s="267"/>
      <c r="K477" s="267"/>
      <c r="L477" s="266"/>
      <c r="M477" s="147">
        <f t="shared" si="305"/>
        <v/>
      </c>
      <c r="N477" s="267"/>
      <c r="O477" s="147">
        <f t="shared" si="306"/>
        <v/>
      </c>
      <c r="P477" s="268">
        <f>IF(AY477=1,"XT"&amp;COUNTIFS($A$3:A477,A477,$AY$3:AY477,1),"")</f>
        <v/>
      </c>
      <c r="Q477" s="152">
        <f>IF(R477="","",IFERROR(SUBSTITUTE(Разбивка_по_щитам!P477,CHAR(10)," "),""))</f>
        <v/>
      </c>
      <c r="R477" s="153">
        <f>IF(OR(Разбивка_по_щитам!H477="",Разбивка_по_щитам!H477=0),"",Разбивка_по_щитам!H477)</f>
        <v/>
      </c>
      <c r="S477" s="154">
        <f>IF(R477="","",IFERROR(Разбивка_по_щитам!J477&amp;"",""))</f>
        <v/>
      </c>
      <c r="T477" s="155">
        <f>IF(R477="","",IFERROR(--Разбивка_по_щитам!L477,""))</f>
        <v/>
      </c>
      <c r="U477" s="155">
        <f>IF(R477="","",IFERROR(--Разбивка_по_щитам!K477,""))</f>
        <v/>
      </c>
      <c r="V477" s="138">
        <f>IF(R477="","",IFERROR(IF(Разбивка_по_щитам!M477=0,"",Разбивка_по_щитам!M477),""))</f>
        <v/>
      </c>
      <c r="W477" s="156">
        <f t="shared" si="307"/>
        <v/>
      </c>
      <c r="X477" s="157">
        <f t="shared" si="308"/>
        <v/>
      </c>
      <c r="Y477" s="266"/>
      <c r="Z477" s="158">
        <f t="shared" si="309"/>
        <v/>
      </c>
      <c r="AA477" s="160">
        <f t="shared" si="310"/>
        <v/>
      </c>
      <c r="AB477" s="160">
        <f>IF(R477="","",IFERROR(LOOKUP(INDEX(Справочная!$I$4:$I$19,MATCH(VLOOKUP(R477,Исходные_данные,22,FALSE),Справочная!$J$4:$J$19,0)+1),{6,10,16,20,25,32,40,50,63,80,100,125}),""))</f>
        <v/>
      </c>
      <c r="AC477" s="160">
        <f t="shared" si="311"/>
        <v/>
      </c>
      <c r="AD477" s="161">
        <f t="shared" si="312"/>
        <v/>
      </c>
      <c r="AE477" s="161">
        <f>IF(AND(R477="",G477=""),"",_xlfn.TEXTJOIN("; ",TRUE,IF(AND(R477&lt;&gt;"",V477=""),"нет фазы",""),IF(AND(R477&lt;&gt;"",N(T477)=0),"нет мощности",""),IF(AND(P477&lt;&gt;"",COUNTIFS($A$3:$A$1000,A477,$P$3:$P$1000,P477)&gt;1),"дубль клеммы "&amp;P477,""),IF(AND(W477&lt;&gt;"",W477&lt;&gt;"ok"),W477,""),IF(X477&lt;&gt;"",X477,""),IF(AND(ISNUMBER(SEARCH("(5х",Q477)),N(AK477)=1),"5 жил на 1 фазе",""),IF(AND(AL477="R",E477&lt;&gt;"",N(AS477)=0),"розетка без 30 мА",""),IF(IFERROR(_xlfn.NUMBERVALUE(MID(Q477,FIND("-",Q477,FIND("L=",Q477))+1,FIND("%",Q477)-FIND("-",Q477,FIND("L=",Q477))-1),","),0)&gt;4,"потери &gt; 4 %","")))</f>
      </c>
      <c r="AF477" s="129">
        <f>IF(E477&lt;&gt;"",COUNTIFS($A$3:A477,A477,$E$3:E477,"?*"),IF(OR(A477&lt;&gt;A476,Y477="вручную"),"",AF476))</f>
        <v/>
      </c>
      <c r="AG477" s="129">
        <f t="shared" si="313"/>
        <v/>
      </c>
      <c r="AH477" s="129">
        <f t="shared" si="314"/>
        <v/>
      </c>
      <c r="AI477" s="129">
        <f t="shared" si="315"/>
        <v/>
      </c>
      <c r="AJ477" s="129">
        <f t="shared" si="316"/>
        <v/>
      </c>
      <c r="AK477" s="129">
        <f t="shared" si="317"/>
        <v/>
      </c>
      <c r="AL477" s="129">
        <f t="shared" si="318"/>
        <v/>
      </c>
      <c r="AM477" s="129">
        <f t="shared" si="319"/>
      </c>
      <c r="AN477" s="129">
        <f t="shared" si="320"/>
      </c>
      <c r="AO477" s="129">
        <f t="shared" si="321"/>
        <v/>
      </c>
      <c r="AP477" s="129">
        <f t="shared" si="322"/>
        <v/>
      </c>
      <c r="AQ477" s="129">
        <f t="shared" si="323"/>
        <v/>
      </c>
      <c r="AR477" s="129">
        <f t="shared" si="324"/>
        <v/>
      </c>
      <c r="AS477" s="129">
        <f t="shared" si="325"/>
        <v/>
      </c>
      <c r="AT477" s="129">
        <f t="shared" si="326"/>
        <v/>
      </c>
      <c r="AU477" s="129">
        <f t="shared" si="327"/>
        <v/>
      </c>
      <c r="AV477" s="129">
        <f t="shared" si="328"/>
        <v/>
      </c>
      <c r="AW477" s="129">
        <f>IF(AV477="","",AV477&amp;"."&amp;COUNTIFS($A$3:A477,A477,$AV$3:AV477,AV477))</f>
        <v/>
      </c>
      <c r="AX477" s="129">
        <f t="shared" si="329"/>
        <v/>
      </c>
      <c r="AY477" s="129">
        <f>IF(N477="б/к",0,IF(OR(ISNUMBER(SEARCH("L=",Разбивка_по_щитам!P477)),N477="+",N477="="),1,0))</f>
      </c>
      <c r="AZ477" s="129">
        <f t="shared" si="330"/>
        <v/>
      </c>
      <c r="BA477" s="129">
        <f t="shared" si="331"/>
      </c>
      <c r="BB477" s="129">
        <f t="shared" si="332"/>
      </c>
      <c r="BD477" s="129">
        <f t="shared" si="333"/>
      </c>
      <c r="BE477" s="129">
        <f t="shared" si="334"/>
      </c>
      <c r="BF477" s="129">
        <f t="shared" si="335"/>
      </c>
      <c r="BG477" s="129">
        <f t="shared" si="336"/>
        <v/>
      </c>
      <c r="BH477" s="129">
        <f t="shared" si="337"/>
        <v/>
      </c>
      <c r="BI477" s="129">
        <f t="shared" si="338"/>
        <v/>
      </c>
      <c r="BJ477" s="129">
        <f t="shared" si="339"/>
        <v/>
      </c>
      <c r="BK477" s="129">
        <f>IF(R477="","",IF(OR(BY477="",BY477=0),"BOX",IFERROR(IF(VLOOKUP(BY477,УГО_блоки,3,FALSE)&amp;""&lt;&gt;"",VLOOKUP(BY477,УГО_блоки,3,FALSE),VLOOKUP(BY477,УГО_блоки,2,FALSE)),BY477)))</f>
      </c>
      <c r="BL477" s="129">
        <f t="shared" si="341"/>
      </c>
      <c r="BM477" s="129">
        <f>IF(H477="","",IF(COUNTIF($H$3:H477,H477)=1,MAX($BM$2:BM476)+1,""))</f>
      </c>
      <c r="BN477" s="129">
        <f>IF(I477="","",IF(COUNTIF($I$3:I477,I477)+COUNTIF($J$2:J476,I477)+COUNTIF($K$2:K476,I477)=1,MAX($BN$2:BP476)+1,""))</f>
      </c>
      <c r="BO477" s="129">
        <f>IF(J477="","",IF(COUNTIF($I$3:I477,J477)+COUNTIF($J$3:J477,J477)+COUNTIF($K$2:K476,J477)=1,MAX($BN$2:BP476,BN477)+1,""))</f>
      </c>
      <c r="BP477" s="129">
        <f>IF(K477="","",IF(COUNTIF($I$3:I477,K477)+COUNTIF($J$3:J477,K477)+COUNTIF($K$3:K477,K477)=1,MAX($BN$2:BP476,BN477,BO477)+1,""))</f>
      </c>
      <c r="BQ477" s="129">
        <f>IF(AY477=1,IFERROR(MID(Q477,FIND(" (",Q477)+2,FIND(")",Q477,FIND(" (",Q477))-FIND(" (",Q477)-2),"?"),"")</f>
      </c>
      <c r="BR477" s="129">
        <f>IF(BQ477="","",IF(COUNTIF($BQ$3:BQ477,BQ477)=1,MAX($BR$2:BR476)+1,""))</f>
      </c>
      <c r="BS477" s="129">
        <f>IF(AW477="","",COUNTIF($AW$3:AW477,"?*"))</f>
      </c>
      <c r="BT477" s="129">
        <f>IF(OR(AW477="",AI477=""),"",IF(COUNTIFS($AW$3:AW477,"?*",$AI$3:AI477,AI477)=1,MAX($BT$2:BT476)+1,""))</f>
      </c>
      <c r="BU477" s="129">
        <f>IF(AE477="",0,IF(OR(ISNUMBER(SEARCH("дубль",AE477)),ISNUMBER(SEARCH("ПЕРЕГРУЗ",AE477)),ISNUMBER(SEARCH("ЗАЩИЩ",AE477)),ISNUMBER(SEARCH("КАНАЛ",AE477)),ISNUMBER(SEARCH("без 30",AE477))),2,1))</f>
      </c>
      <c r="BV477" s="129">
        <f>IF(R477="","",COUNTIF($R$3:R477,"?*"))</f>
      </c>
      <c r="BW477" s="129">
        <f>IF(AY477&lt;&gt;1,0,IF(MAX(IFERROR(--VLOOKUP(R477,УГО_спр,5,FALSE),0),IFERROR(--VLOOKUP(AL477,УГО_спр,5,FALSE),0),IFERROR(--VLOOKUP(LEFT(AL477,2),УГО_спр,5,FALSE),0))&gt;0,MAX(IFERROR(--VLOOKUP(R477,УГО_спр,5,FALSE),0),IFERROR(--VLOOKUP(AL477,УГО_спр,5,FALSE),0),IFERROR(--VLOOKUP(LEFT(AL477,2),УГО_спр,5,FALSE),0)),IF(IFERROR(--LEFT(SUBSTITUTE(BQ477,"x","х"),FIND("х",SUBSTITUTE(BQ477,"x","х"))-1),3)&gt;3,Каталог!$S$9,1)))</f>
      </c>
      <c r="BX477" s="129">
        <f>IF(AY477&lt;&gt;1,0,MAX(0,IFERROR(--LEFT(SUBSTITUTE(BQ477,"x","х"),FIND("х",SUBSTITUTE(BQ477,"x","х"))-1),3)-3*BW477))</f>
      </c>
      <c r="BY477" s="129">
        <f>IF(R477="","",IFERROR(VLOOKUP(R477,УГО_спр,2,FALSE),IFERROR(VLOOKUP(AL477,УГО_спр,2,FALSE),IFERROR(VLOOKUP(LEFT(AL477,2),УГО_спр,2,FALSE),""))))</f>
      </c>
    </row>
    <row r="478" spans="1:64" x14ac:dyDescent="0.3">
      <c r="A478" s="135">
        <f>IF(Разбивка_по_щитам!F478=0,"",Разбивка_по_щитам!F478)</f>
        <v/>
      </c>
      <c r="B478" s="138">
        <f>IF(A478="","",Разбивка_по_щитам!C478)</f>
        <v/>
      </c>
      <c r="C478" s="138">
        <f t="shared" si="302"/>
        <v/>
      </c>
      <c r="D478" s="266"/>
      <c r="E478" s="266"/>
      <c r="F478" s="267"/>
      <c r="G478" s="145">
        <f t="shared" si="303"/>
        <v/>
      </c>
      <c r="H478" s="145">
        <f t="shared" si="304"/>
        <v/>
      </c>
      <c r="I478" s="266"/>
      <c r="J478" s="267"/>
      <c r="K478" s="267"/>
      <c r="L478" s="266"/>
      <c r="M478" s="147">
        <f t="shared" si="305"/>
        <v/>
      </c>
      <c r="N478" s="267"/>
      <c r="O478" s="147">
        <f t="shared" si="306"/>
        <v/>
      </c>
      <c r="P478" s="268">
        <f>IF(AY478=1,"XT"&amp;COUNTIFS($A$3:A478,A478,$AY$3:AY478,1),"")</f>
        <v/>
      </c>
      <c r="Q478" s="152">
        <f>IF(R478="","",IFERROR(SUBSTITUTE(Разбивка_по_щитам!P478,CHAR(10)," "),""))</f>
        <v/>
      </c>
      <c r="R478" s="153">
        <f>IF(OR(Разбивка_по_щитам!H478="",Разбивка_по_щитам!H478=0),"",Разбивка_по_щитам!H478)</f>
        <v/>
      </c>
      <c r="S478" s="154">
        <f>IF(R478="","",IFERROR(Разбивка_по_щитам!J478&amp;"",""))</f>
        <v/>
      </c>
      <c r="T478" s="155">
        <f>IF(R478="","",IFERROR(--Разбивка_по_щитам!L478,""))</f>
        <v/>
      </c>
      <c r="U478" s="155">
        <f>IF(R478="","",IFERROR(--Разбивка_по_щитам!K478,""))</f>
        <v/>
      </c>
      <c r="V478" s="138">
        <f>IF(R478="","",IFERROR(IF(Разбивка_по_щитам!M478=0,"",Разбивка_по_щитам!M478),""))</f>
        <v/>
      </c>
      <c r="W478" s="156">
        <f t="shared" si="307"/>
        <v/>
      </c>
      <c r="X478" s="157">
        <f t="shared" si="308"/>
        <v/>
      </c>
      <c r="Y478" s="266"/>
      <c r="Z478" s="158">
        <f t="shared" si="309"/>
        <v/>
      </c>
      <c r="AA478" s="160">
        <f t="shared" si="310"/>
        <v/>
      </c>
      <c r="AB478" s="160">
        <f>IF(R478="","",IFERROR(LOOKUP(INDEX(Справочная!$I$4:$I$19,MATCH(VLOOKUP(R478,Исходные_данные,22,FALSE),Справочная!$J$4:$J$19,0)+1),{6,10,16,20,25,32,40,50,63,80,100,125}),""))</f>
        <v/>
      </c>
      <c r="AC478" s="160">
        <f t="shared" si="311"/>
        <v/>
      </c>
      <c r="AD478" s="161">
        <f t="shared" si="312"/>
        <v/>
      </c>
      <c r="AE478" s="161">
        <f>IF(AND(R478="",G478=""),"",_xlfn.TEXTJOIN("; ",TRUE,IF(AND(R478&lt;&gt;"",V478=""),"нет фазы",""),IF(AND(R478&lt;&gt;"",N(T478)=0),"нет мощности",""),IF(AND(P478&lt;&gt;"",COUNTIFS($A$3:$A$1000,A478,$P$3:$P$1000,P478)&gt;1),"дубль клеммы "&amp;P478,""),IF(AND(W478&lt;&gt;"",W478&lt;&gt;"ok"),W478,""),IF(X478&lt;&gt;"",X478,""),IF(AND(ISNUMBER(SEARCH("(5х",Q478)),N(AK478)=1),"5 жил на 1 фазе",""),IF(AND(AL478="R",E478&lt;&gt;"",N(AS478)=0),"розетка без 30 мА",""),IF(IFERROR(_xlfn.NUMBERVALUE(MID(Q478,FIND("-",Q478,FIND("L=",Q478))+1,FIND("%",Q478)-FIND("-",Q478,FIND("L=",Q478))-1),","),0)&gt;4,"потери &gt; 4 %","")))</f>
      </c>
      <c r="AF478" s="129">
        <f>IF(E478&lt;&gt;"",COUNTIFS($A$3:A478,A478,$E$3:E478,"?*"),IF(OR(A478&lt;&gt;A477,Y478="вручную"),"",AF477))</f>
        <v/>
      </c>
      <c r="AG478" s="129">
        <f t="shared" si="313"/>
        <v/>
      </c>
      <c r="AH478" s="129">
        <f t="shared" si="314"/>
        <v/>
      </c>
      <c r="AI478" s="129">
        <f t="shared" si="315"/>
        <v/>
      </c>
      <c r="AJ478" s="129">
        <f t="shared" si="316"/>
        <v/>
      </c>
      <c r="AK478" s="129">
        <f t="shared" si="317"/>
        <v/>
      </c>
      <c r="AL478" s="129">
        <f t="shared" si="318"/>
        <v/>
      </c>
      <c r="AM478" s="129">
        <f t="shared" si="319"/>
      </c>
      <c r="AN478" s="129">
        <f t="shared" si="320"/>
      </c>
      <c r="AO478" s="129">
        <f t="shared" si="321"/>
        <v/>
      </c>
      <c r="AP478" s="129">
        <f t="shared" si="322"/>
        <v/>
      </c>
      <c r="AQ478" s="129">
        <f t="shared" si="323"/>
        <v/>
      </c>
      <c r="AR478" s="129">
        <f t="shared" si="324"/>
        <v/>
      </c>
      <c r="AS478" s="129">
        <f t="shared" si="325"/>
        <v/>
      </c>
      <c r="AT478" s="129">
        <f t="shared" si="326"/>
        <v/>
      </c>
      <c r="AU478" s="129">
        <f t="shared" si="327"/>
        <v/>
      </c>
      <c r="AV478" s="129">
        <f t="shared" si="328"/>
        <v/>
      </c>
      <c r="AW478" s="129">
        <f>IF(AV478="","",AV478&amp;"."&amp;COUNTIFS($A$3:A478,A478,$AV$3:AV478,AV478))</f>
        <v/>
      </c>
      <c r="AX478" s="129">
        <f t="shared" si="329"/>
        <v/>
      </c>
      <c r="AY478" s="129">
        <f>IF(N478="б/к",0,IF(OR(ISNUMBER(SEARCH("L=",Разбивка_по_щитам!P478)),N478="+",N478="="),1,0))</f>
      </c>
      <c r="AZ478" s="129">
        <f t="shared" si="330"/>
        <v/>
      </c>
      <c r="BA478" s="129">
        <f t="shared" si="331"/>
      </c>
      <c r="BB478" s="129">
        <f t="shared" si="332"/>
      </c>
      <c r="BD478" s="129">
        <f t="shared" si="333"/>
      </c>
      <c r="BE478" s="129">
        <f t="shared" si="334"/>
      </c>
      <c r="BF478" s="129">
        <f t="shared" si="335"/>
      </c>
      <c r="BG478" s="129">
        <f t="shared" si="336"/>
        <v/>
      </c>
      <c r="BH478" s="129">
        <f t="shared" si="337"/>
        <v/>
      </c>
      <c r="BI478" s="129">
        <f t="shared" si="338"/>
        <v/>
      </c>
      <c r="BJ478" s="129">
        <f t="shared" si="339"/>
        <v/>
      </c>
      <c r="BK478" s="129">
        <f>IF(R478="","",IF(OR(BY478="",BY478=0),"BOX",IFERROR(IF(VLOOKUP(BY478,УГО_блоки,3,FALSE)&amp;""&lt;&gt;"",VLOOKUP(BY478,УГО_блоки,3,FALSE),VLOOKUP(BY478,УГО_блоки,2,FALSE)),BY478)))</f>
      </c>
      <c r="BL478" s="129">
        <f t="shared" si="341"/>
      </c>
      <c r="BM478" s="129">
        <f>IF(H478="","",IF(COUNTIF($H$3:H478,H478)=1,MAX($BM$2:BM477)+1,""))</f>
      </c>
      <c r="BN478" s="129">
        <f>IF(I478="","",IF(COUNTIF($I$3:I478,I478)+COUNTIF($J$2:J477,I478)+COUNTIF($K$2:K477,I478)=1,MAX($BN$2:BP477)+1,""))</f>
      </c>
      <c r="BO478" s="129">
        <f>IF(J478="","",IF(COUNTIF($I$3:I478,J478)+COUNTIF($J$3:J478,J478)+COUNTIF($K$2:K477,J478)=1,MAX($BN$2:BP477,BN478)+1,""))</f>
      </c>
      <c r="BP478" s="129">
        <f>IF(K478="","",IF(COUNTIF($I$3:I478,K478)+COUNTIF($J$3:J478,K478)+COUNTIF($K$3:K478,K478)=1,MAX($BN$2:BP477,BN478,BO478)+1,""))</f>
      </c>
      <c r="BQ478" s="129">
        <f>IF(AY478=1,IFERROR(MID(Q478,FIND(" (",Q478)+2,FIND(")",Q478,FIND(" (",Q478))-FIND(" (",Q478)-2),"?"),"")</f>
      </c>
      <c r="BR478" s="129">
        <f>IF(BQ478="","",IF(COUNTIF($BQ$3:BQ478,BQ478)=1,MAX($BR$2:BR477)+1,""))</f>
      </c>
      <c r="BS478" s="129">
        <f>IF(AW478="","",COUNTIF($AW$3:AW478,"?*"))</f>
      </c>
      <c r="BT478" s="129">
        <f>IF(OR(AW478="",AI478=""),"",IF(COUNTIFS($AW$3:AW478,"?*",$AI$3:AI478,AI478)=1,MAX($BT$2:BT477)+1,""))</f>
      </c>
      <c r="BU478" s="129">
        <f>IF(AE478="",0,IF(OR(ISNUMBER(SEARCH("дубль",AE478)),ISNUMBER(SEARCH("ПЕРЕГРУЗ",AE478)),ISNUMBER(SEARCH("ЗАЩИЩ",AE478)),ISNUMBER(SEARCH("КАНАЛ",AE478)),ISNUMBER(SEARCH("без 30",AE478))),2,1))</f>
      </c>
      <c r="BV478" s="129">
        <f>IF(R478="","",COUNTIF($R$3:R478,"?*"))</f>
      </c>
      <c r="BW478" s="129">
        <f>IF(AY478&lt;&gt;1,0,IF(MAX(IFERROR(--VLOOKUP(R478,УГО_спр,5,FALSE),0),IFERROR(--VLOOKUP(AL478,УГО_спр,5,FALSE),0),IFERROR(--VLOOKUP(LEFT(AL478,2),УГО_спр,5,FALSE),0))&gt;0,MAX(IFERROR(--VLOOKUP(R478,УГО_спр,5,FALSE),0),IFERROR(--VLOOKUP(AL478,УГО_спр,5,FALSE),0),IFERROR(--VLOOKUP(LEFT(AL478,2),УГО_спр,5,FALSE),0)),IF(IFERROR(--LEFT(SUBSTITUTE(BQ478,"x","х"),FIND("х",SUBSTITUTE(BQ478,"x","х"))-1),3)&gt;3,Каталог!$S$9,1)))</f>
      </c>
      <c r="BX478" s="129">
        <f>IF(AY478&lt;&gt;1,0,MAX(0,IFERROR(--LEFT(SUBSTITUTE(BQ478,"x","х"),FIND("х",SUBSTITUTE(BQ478,"x","х"))-1),3)-3*BW478))</f>
      </c>
      <c r="BY478" s="129">
        <f>IF(R478="","",IFERROR(VLOOKUP(R478,УГО_спр,2,FALSE),IFERROR(VLOOKUP(AL478,УГО_спр,2,FALSE),IFERROR(VLOOKUP(LEFT(AL478,2),УГО_спр,2,FALSE),""))))</f>
      </c>
    </row>
    <row r="479" spans="1:64" x14ac:dyDescent="0.3">
      <c r="A479" s="135">
        <f>IF(Разбивка_по_щитам!F479=0,"",Разбивка_по_щитам!F479)</f>
        <v/>
      </c>
      <c r="B479" s="138">
        <f>IF(A479="","",Разбивка_по_щитам!C479)</f>
        <v/>
      </c>
      <c r="C479" s="138">
        <f t="shared" si="302"/>
        <v/>
      </c>
      <c r="D479" s="266"/>
      <c r="E479" s="266"/>
      <c r="F479" s="267"/>
      <c r="G479" s="145">
        <f t="shared" si="303"/>
        <v/>
      </c>
      <c r="H479" s="145">
        <f t="shared" si="304"/>
        <v/>
      </c>
      <c r="I479" s="266"/>
      <c r="J479" s="267"/>
      <c r="K479" s="267"/>
      <c r="L479" s="266"/>
      <c r="M479" s="147">
        <f t="shared" si="305"/>
        <v/>
      </c>
      <c r="N479" s="267"/>
      <c r="O479" s="147">
        <f t="shared" si="306"/>
        <v/>
      </c>
      <c r="P479" s="268">
        <f>IF(AY479=1,"XT"&amp;COUNTIFS($A$3:A479,A479,$AY$3:AY479,1),"")</f>
        <v/>
      </c>
      <c r="Q479" s="152">
        <f>IF(R479="","",IFERROR(SUBSTITUTE(Разбивка_по_щитам!P479,CHAR(10)," "),""))</f>
        <v/>
      </c>
      <c r="R479" s="153">
        <f>IF(OR(Разбивка_по_щитам!H479="",Разбивка_по_щитам!H479=0),"",Разбивка_по_щитам!H479)</f>
        <v/>
      </c>
      <c r="S479" s="154">
        <f>IF(R479="","",IFERROR(Разбивка_по_щитам!J479&amp;"",""))</f>
        <v/>
      </c>
      <c r="T479" s="155">
        <f>IF(R479="","",IFERROR(--Разбивка_по_щитам!L479,""))</f>
        <v/>
      </c>
      <c r="U479" s="155">
        <f>IF(R479="","",IFERROR(--Разбивка_по_щитам!K479,""))</f>
        <v/>
      </c>
      <c r="V479" s="138">
        <f>IF(R479="","",IFERROR(IF(Разбивка_по_щитам!M479=0,"",Разбивка_по_щитам!M479),""))</f>
        <v/>
      </c>
      <c r="W479" s="156">
        <f t="shared" si="307"/>
        <v/>
      </c>
      <c r="X479" s="157">
        <f t="shared" si="308"/>
        <v/>
      </c>
      <c r="Y479" s="266"/>
      <c r="Z479" s="158">
        <f t="shared" si="309"/>
        <v/>
      </c>
      <c r="AA479" s="160">
        <f t="shared" si="310"/>
        <v/>
      </c>
      <c r="AB479" s="160">
        <f>IF(R479="","",IFERROR(LOOKUP(INDEX(Справочная!$I$4:$I$19,MATCH(VLOOKUP(R479,Исходные_данные,22,FALSE),Справочная!$J$4:$J$19,0)+1),{6,10,16,20,25,32,40,50,63,80,100,125}),""))</f>
        <v/>
      </c>
      <c r="AC479" s="160">
        <f t="shared" si="311"/>
        <v/>
      </c>
      <c r="AD479" s="161">
        <f t="shared" si="312"/>
        <v/>
      </c>
      <c r="AE479" s="161">
        <f>IF(AND(R479="",G479=""),"",_xlfn.TEXTJOIN("; ",TRUE,IF(AND(R479&lt;&gt;"",V479=""),"нет фазы",""),IF(AND(R479&lt;&gt;"",N(T479)=0),"нет мощности",""),IF(AND(P479&lt;&gt;"",COUNTIFS($A$3:$A$1000,A479,$P$3:$P$1000,P479)&gt;1),"дубль клеммы "&amp;P479,""),IF(AND(W479&lt;&gt;"",W479&lt;&gt;"ok"),W479,""),IF(X479&lt;&gt;"",X479,""),IF(AND(ISNUMBER(SEARCH("(5х",Q479)),N(AK479)=1),"5 жил на 1 фазе",""),IF(AND(AL479="R",E479&lt;&gt;"",N(AS479)=0),"розетка без 30 мА",""),IF(IFERROR(_xlfn.NUMBERVALUE(MID(Q479,FIND("-",Q479,FIND("L=",Q479))+1,FIND("%",Q479)-FIND("-",Q479,FIND("L=",Q479))-1),","),0)&gt;4,"потери &gt; 4 %","")))</f>
      </c>
      <c r="AF479" s="129">
        <f>IF(E479&lt;&gt;"",COUNTIFS($A$3:A479,A479,$E$3:E479,"?*"),IF(OR(A479&lt;&gt;A478,Y479="вручную"),"",AF478))</f>
        <v/>
      </c>
      <c r="AG479" s="129">
        <f t="shared" si="313"/>
        <v/>
      </c>
      <c r="AH479" s="129">
        <f t="shared" si="314"/>
        <v/>
      </c>
      <c r="AI479" s="129">
        <f t="shared" si="315"/>
        <v/>
      </c>
      <c r="AJ479" s="129">
        <f t="shared" si="316"/>
        <v/>
      </c>
      <c r="AK479" s="129">
        <f t="shared" si="317"/>
        <v/>
      </c>
      <c r="AL479" s="129">
        <f t="shared" si="318"/>
        <v/>
      </c>
      <c r="AM479" s="129">
        <f t="shared" si="319"/>
      </c>
      <c r="AN479" s="129">
        <f t="shared" si="320"/>
      </c>
      <c r="AO479" s="129">
        <f t="shared" si="321"/>
        <v/>
      </c>
      <c r="AP479" s="129">
        <f t="shared" si="322"/>
        <v/>
      </c>
      <c r="AQ479" s="129">
        <f t="shared" si="323"/>
        <v/>
      </c>
      <c r="AR479" s="129">
        <f t="shared" si="324"/>
        <v/>
      </c>
      <c r="AS479" s="129">
        <f t="shared" si="325"/>
        <v/>
      </c>
      <c r="AT479" s="129">
        <f t="shared" si="326"/>
        <v/>
      </c>
      <c r="AU479" s="129">
        <f t="shared" si="327"/>
        <v/>
      </c>
      <c r="AV479" s="129">
        <f t="shared" si="328"/>
        <v/>
      </c>
      <c r="AW479" s="129">
        <f>IF(AV479="","",AV479&amp;"."&amp;COUNTIFS($A$3:A479,A479,$AV$3:AV479,AV479))</f>
        <v/>
      </c>
      <c r="AX479" s="129">
        <f t="shared" si="329"/>
        <v/>
      </c>
      <c r="AY479" s="129">
        <f>IF(N479="б/к",0,IF(OR(ISNUMBER(SEARCH("L=",Разбивка_по_щитам!P479)),N479="+",N479="="),1,0))</f>
      </c>
      <c r="AZ479" s="129">
        <f t="shared" si="330"/>
        <v/>
      </c>
      <c r="BA479" s="129">
        <f t="shared" si="331"/>
      </c>
      <c r="BB479" s="129">
        <f t="shared" si="332"/>
      </c>
      <c r="BD479" s="129">
        <f t="shared" si="333"/>
      </c>
      <c r="BE479" s="129">
        <f t="shared" si="334"/>
      </c>
      <c r="BF479" s="129">
        <f t="shared" si="335"/>
      </c>
      <c r="BG479" s="129">
        <f t="shared" si="336"/>
        <v/>
      </c>
      <c r="BH479" s="129">
        <f t="shared" si="337"/>
        <v/>
      </c>
      <c r="BI479" s="129">
        <f t="shared" si="338"/>
        <v/>
      </c>
      <c r="BJ479" s="129">
        <f t="shared" si="339"/>
        <v/>
      </c>
      <c r="BK479" s="129">
        <f>IF(R479="","",IF(OR(BY479="",BY479=0),"BOX",IFERROR(IF(VLOOKUP(BY479,УГО_блоки,3,FALSE)&amp;""&lt;&gt;"",VLOOKUP(BY479,УГО_блоки,3,FALSE),VLOOKUP(BY479,УГО_блоки,2,FALSE)),BY479)))</f>
      </c>
      <c r="BL479" s="129">
        <f t="shared" si="341"/>
      </c>
      <c r="BM479" s="129">
        <f>IF(H479="","",IF(COUNTIF($H$3:H479,H479)=1,MAX($BM$2:BM478)+1,""))</f>
      </c>
      <c r="BN479" s="129">
        <f>IF(I479="","",IF(COUNTIF($I$3:I479,I479)+COUNTIF($J$2:J478,I479)+COUNTIF($K$2:K478,I479)=1,MAX($BN$2:BP478)+1,""))</f>
      </c>
      <c r="BO479" s="129">
        <f>IF(J479="","",IF(COUNTIF($I$3:I479,J479)+COUNTIF($J$3:J479,J479)+COUNTIF($K$2:K478,J479)=1,MAX($BN$2:BP478,BN479)+1,""))</f>
      </c>
      <c r="BP479" s="129">
        <f>IF(K479="","",IF(COUNTIF($I$3:I479,K479)+COUNTIF($J$3:J479,K479)+COUNTIF($K$3:K479,K479)=1,MAX($BN$2:BP478,BN479,BO479)+1,""))</f>
      </c>
      <c r="BQ479" s="129">
        <f>IF(AY479=1,IFERROR(MID(Q479,FIND(" (",Q479)+2,FIND(")",Q479,FIND(" (",Q479))-FIND(" (",Q479)-2),"?"),"")</f>
      </c>
      <c r="BR479" s="129">
        <f>IF(BQ479="","",IF(COUNTIF($BQ$3:BQ479,BQ479)=1,MAX($BR$2:BR478)+1,""))</f>
      </c>
      <c r="BS479" s="129">
        <f>IF(AW479="","",COUNTIF($AW$3:AW479,"?*"))</f>
      </c>
      <c r="BT479" s="129">
        <f>IF(OR(AW479="",AI479=""),"",IF(COUNTIFS($AW$3:AW479,"?*",$AI$3:AI479,AI479)=1,MAX($BT$2:BT478)+1,""))</f>
      </c>
      <c r="BU479" s="129">
        <f>IF(AE479="",0,IF(OR(ISNUMBER(SEARCH("дубль",AE479)),ISNUMBER(SEARCH("ПЕРЕГРУЗ",AE479)),ISNUMBER(SEARCH("ЗАЩИЩ",AE479)),ISNUMBER(SEARCH("КАНАЛ",AE479)),ISNUMBER(SEARCH("без 30",AE479))),2,1))</f>
      </c>
      <c r="BV479" s="129">
        <f>IF(R479="","",COUNTIF($R$3:R479,"?*"))</f>
      </c>
      <c r="BW479" s="129">
        <f>IF(AY479&lt;&gt;1,0,IF(MAX(IFERROR(--VLOOKUP(R479,УГО_спр,5,FALSE),0),IFERROR(--VLOOKUP(AL479,УГО_спр,5,FALSE),0),IFERROR(--VLOOKUP(LEFT(AL479,2),УГО_спр,5,FALSE),0))&gt;0,MAX(IFERROR(--VLOOKUP(R479,УГО_спр,5,FALSE),0),IFERROR(--VLOOKUP(AL479,УГО_спр,5,FALSE),0),IFERROR(--VLOOKUP(LEFT(AL479,2),УГО_спр,5,FALSE),0)),IF(IFERROR(--LEFT(SUBSTITUTE(BQ479,"x","х"),FIND("х",SUBSTITUTE(BQ479,"x","х"))-1),3)&gt;3,Каталог!$S$9,1)))</f>
      </c>
      <c r="BX479" s="129">
        <f>IF(AY479&lt;&gt;1,0,MAX(0,IFERROR(--LEFT(SUBSTITUTE(BQ479,"x","х"),FIND("х",SUBSTITUTE(BQ479,"x","х"))-1),3)-3*BW479))</f>
      </c>
      <c r="BY479" s="129">
        <f>IF(R479="","",IFERROR(VLOOKUP(R479,УГО_спр,2,FALSE),IFERROR(VLOOKUP(AL479,УГО_спр,2,FALSE),IFERROR(VLOOKUP(LEFT(AL479,2),УГО_спр,2,FALSE),""))))</f>
      </c>
    </row>
    <row r="480" spans="1:64" x14ac:dyDescent="0.3">
      <c r="A480" s="135">
        <f>IF(Разбивка_по_щитам!F480=0,"",Разбивка_по_щитам!F480)</f>
        <v/>
      </c>
      <c r="B480" s="138">
        <f>IF(A480="","",Разбивка_по_щитам!C480)</f>
        <v/>
      </c>
      <c r="C480" s="138">
        <f t="shared" si="302"/>
        <v/>
      </c>
      <c r="D480" s="266"/>
      <c r="E480" s="266"/>
      <c r="F480" s="267"/>
      <c r="G480" s="145">
        <f t="shared" si="303"/>
        <v/>
      </c>
      <c r="H480" s="145">
        <f t="shared" si="304"/>
        <v/>
      </c>
      <c r="I480" s="266"/>
      <c r="J480" s="267"/>
      <c r="K480" s="267"/>
      <c r="L480" s="266"/>
      <c r="M480" s="147">
        <f t="shared" si="305"/>
        <v/>
      </c>
      <c r="N480" s="267"/>
      <c r="O480" s="147">
        <f t="shared" si="306"/>
        <v/>
      </c>
      <c r="P480" s="268">
        <f>IF(AY480=1,"XT"&amp;COUNTIFS($A$3:A480,A480,$AY$3:AY480,1),"")</f>
        <v/>
      </c>
      <c r="Q480" s="152">
        <f>IF(R480="","",IFERROR(SUBSTITUTE(Разбивка_по_щитам!P480,CHAR(10)," "),""))</f>
        <v/>
      </c>
      <c r="R480" s="153">
        <f>IF(OR(Разбивка_по_щитам!H480="",Разбивка_по_щитам!H480=0),"",Разбивка_по_щитам!H480)</f>
        <v/>
      </c>
      <c r="S480" s="154">
        <f>IF(R480="","",IFERROR(Разбивка_по_щитам!J480&amp;"",""))</f>
        <v/>
      </c>
      <c r="T480" s="155">
        <f>IF(R480="","",IFERROR(--Разбивка_по_щитам!L480,""))</f>
        <v/>
      </c>
      <c r="U480" s="155">
        <f>IF(R480="","",IFERROR(--Разбивка_по_щитам!K480,""))</f>
        <v/>
      </c>
      <c r="V480" s="138">
        <f>IF(R480="","",IFERROR(IF(Разбивка_по_щитам!M480=0,"",Разбивка_по_щитам!M480),""))</f>
        <v/>
      </c>
      <c r="W480" s="156">
        <f t="shared" si="307"/>
        <v/>
      </c>
      <c r="X480" s="157">
        <f t="shared" si="308"/>
        <v/>
      </c>
      <c r="Y480" s="266"/>
      <c r="Z480" s="158">
        <f t="shared" si="309"/>
        <v/>
      </c>
      <c r="AA480" s="160">
        <f t="shared" si="310"/>
        <v/>
      </c>
      <c r="AB480" s="160">
        <f>IF(R480="","",IFERROR(LOOKUP(INDEX(Справочная!$I$4:$I$19,MATCH(VLOOKUP(R480,Исходные_данные,22,FALSE),Справочная!$J$4:$J$19,0)+1),{6,10,16,20,25,32,40,50,63,80,100,125}),""))</f>
        <v/>
      </c>
      <c r="AC480" s="160">
        <f t="shared" si="311"/>
        <v/>
      </c>
      <c r="AD480" s="161">
        <f t="shared" si="312"/>
        <v/>
      </c>
      <c r="AE480" s="161">
        <f>IF(AND(R480="",G480=""),"",_xlfn.TEXTJOIN("; ",TRUE,IF(AND(R480&lt;&gt;"",V480=""),"нет фазы",""),IF(AND(R480&lt;&gt;"",N(T480)=0),"нет мощности",""),IF(AND(P480&lt;&gt;"",COUNTIFS($A$3:$A$1000,A480,$P$3:$P$1000,P480)&gt;1),"дубль клеммы "&amp;P480,""),IF(AND(W480&lt;&gt;"",W480&lt;&gt;"ok"),W480,""),IF(X480&lt;&gt;"",X480,""),IF(AND(ISNUMBER(SEARCH("(5х",Q480)),N(AK480)=1),"5 жил на 1 фазе",""),IF(AND(AL480="R",E480&lt;&gt;"",N(AS480)=0),"розетка без 30 мА",""),IF(IFERROR(_xlfn.NUMBERVALUE(MID(Q480,FIND("-",Q480,FIND("L=",Q480))+1,FIND("%",Q480)-FIND("-",Q480,FIND("L=",Q480))-1),","),0)&gt;4,"потери &gt; 4 %","")))</f>
      </c>
      <c r="AF480" s="129">
        <f>IF(E480&lt;&gt;"",COUNTIFS($A$3:A480,A480,$E$3:E480,"?*"),IF(OR(A480&lt;&gt;A479,Y480="вручную"),"",AF479))</f>
        <v/>
      </c>
      <c r="AG480" s="129">
        <f t="shared" si="313"/>
        <v/>
      </c>
      <c r="AH480" s="129">
        <f t="shared" si="314"/>
        <v/>
      </c>
      <c r="AI480" s="129">
        <f t="shared" si="315"/>
        <v/>
      </c>
      <c r="AJ480" s="129">
        <f t="shared" si="316"/>
        <v/>
      </c>
      <c r="AK480" s="129">
        <f t="shared" si="317"/>
        <v/>
      </c>
      <c r="AL480" s="129">
        <f t="shared" si="318"/>
        <v/>
      </c>
      <c r="AM480" s="129">
        <f t="shared" si="319"/>
      </c>
      <c r="AN480" s="129">
        <f t="shared" si="320"/>
      </c>
      <c r="AO480" s="129">
        <f t="shared" si="321"/>
        <v/>
      </c>
      <c r="AP480" s="129">
        <f t="shared" si="322"/>
        <v/>
      </c>
      <c r="AQ480" s="129">
        <f t="shared" si="323"/>
        <v/>
      </c>
      <c r="AR480" s="129">
        <f t="shared" si="324"/>
        <v/>
      </c>
      <c r="AS480" s="129">
        <f t="shared" si="325"/>
        <v/>
      </c>
      <c r="AT480" s="129">
        <f t="shared" si="326"/>
        <v/>
      </c>
      <c r="AU480" s="129">
        <f t="shared" si="327"/>
        <v/>
      </c>
      <c r="AV480" s="129">
        <f t="shared" si="328"/>
        <v/>
      </c>
      <c r="AW480" s="129">
        <f>IF(AV480="","",AV480&amp;"."&amp;COUNTIFS($A$3:A480,A480,$AV$3:AV480,AV480))</f>
        <v/>
      </c>
      <c r="AX480" s="129">
        <f t="shared" si="329"/>
        <v/>
      </c>
      <c r="AY480" s="129">
        <f>IF(N480="б/к",0,IF(OR(ISNUMBER(SEARCH("L=",Разбивка_по_щитам!P480)),N480="+",N480="="),1,0))</f>
      </c>
      <c r="AZ480" s="129">
        <f t="shared" si="330"/>
        <v/>
      </c>
      <c r="BA480" s="129">
        <f t="shared" si="331"/>
      </c>
      <c r="BB480" s="129">
        <f t="shared" si="332"/>
      </c>
      <c r="BD480" s="129">
        <f t="shared" si="333"/>
      </c>
      <c r="BE480" s="129">
        <f t="shared" si="334"/>
      </c>
      <c r="BF480" s="129">
        <f t="shared" si="335"/>
      </c>
      <c r="BG480" s="129">
        <f t="shared" si="336"/>
        <v/>
      </c>
      <c r="BH480" s="129">
        <f t="shared" si="337"/>
        <v/>
      </c>
      <c r="BI480" s="129">
        <f t="shared" si="338"/>
        <v/>
      </c>
      <c r="BJ480" s="129">
        <f t="shared" si="339"/>
        <v/>
      </c>
      <c r="BK480" s="129">
        <f>IF(R480="","",IF(OR(BY480="",BY480=0),"BOX",IFERROR(IF(VLOOKUP(BY480,УГО_блоки,3,FALSE)&amp;""&lt;&gt;"",VLOOKUP(BY480,УГО_блоки,3,FALSE),VLOOKUP(BY480,УГО_блоки,2,FALSE)),BY480)))</f>
      </c>
      <c r="BL480" s="129">
        <f t="shared" si="341"/>
      </c>
      <c r="BM480" s="129">
        <f>IF(H480="","",IF(COUNTIF($H$3:H480,H480)=1,MAX($BM$2:BM479)+1,""))</f>
      </c>
      <c r="BN480" s="129">
        <f>IF(I480="","",IF(COUNTIF($I$3:I480,I480)+COUNTIF($J$2:J479,I480)+COUNTIF($K$2:K479,I480)=1,MAX($BN$2:BP479)+1,""))</f>
      </c>
      <c r="BO480" s="129">
        <f>IF(J480="","",IF(COUNTIF($I$3:I480,J480)+COUNTIF($J$3:J480,J480)+COUNTIF($K$2:K479,J480)=1,MAX($BN$2:BP479,BN480)+1,""))</f>
      </c>
      <c r="BP480" s="129">
        <f>IF(K480="","",IF(COUNTIF($I$3:I480,K480)+COUNTIF($J$3:J480,K480)+COUNTIF($K$3:K480,K480)=1,MAX($BN$2:BP479,BN480,BO480)+1,""))</f>
      </c>
      <c r="BQ480" s="129">
        <f>IF(AY480=1,IFERROR(MID(Q480,FIND(" (",Q480)+2,FIND(")",Q480,FIND(" (",Q480))-FIND(" (",Q480)-2),"?"),"")</f>
      </c>
      <c r="BR480" s="129">
        <f>IF(BQ480="","",IF(COUNTIF($BQ$3:BQ480,BQ480)=1,MAX($BR$2:BR479)+1,""))</f>
      </c>
      <c r="BS480" s="129">
        <f>IF(AW480="","",COUNTIF($AW$3:AW480,"?*"))</f>
      </c>
      <c r="BT480" s="129">
        <f>IF(OR(AW480="",AI480=""),"",IF(COUNTIFS($AW$3:AW480,"?*",$AI$3:AI480,AI480)=1,MAX($BT$2:BT479)+1,""))</f>
      </c>
      <c r="BU480" s="129">
        <f>IF(AE480="",0,IF(OR(ISNUMBER(SEARCH("дубль",AE480)),ISNUMBER(SEARCH("ПЕРЕГРУЗ",AE480)),ISNUMBER(SEARCH("ЗАЩИЩ",AE480)),ISNUMBER(SEARCH("КАНАЛ",AE480)),ISNUMBER(SEARCH("без 30",AE480))),2,1))</f>
      </c>
      <c r="BV480" s="129">
        <f>IF(R480="","",COUNTIF($R$3:R480,"?*"))</f>
      </c>
      <c r="BW480" s="129">
        <f>IF(AY480&lt;&gt;1,0,IF(MAX(IFERROR(--VLOOKUP(R480,УГО_спр,5,FALSE),0),IFERROR(--VLOOKUP(AL480,УГО_спр,5,FALSE),0),IFERROR(--VLOOKUP(LEFT(AL480,2),УГО_спр,5,FALSE),0))&gt;0,MAX(IFERROR(--VLOOKUP(R480,УГО_спр,5,FALSE),0),IFERROR(--VLOOKUP(AL480,УГО_спр,5,FALSE),0),IFERROR(--VLOOKUP(LEFT(AL480,2),УГО_спр,5,FALSE),0)),IF(IFERROR(--LEFT(SUBSTITUTE(BQ480,"x","х"),FIND("х",SUBSTITUTE(BQ480,"x","х"))-1),3)&gt;3,Каталог!$S$9,1)))</f>
      </c>
      <c r="BX480" s="129">
        <f>IF(AY480&lt;&gt;1,0,MAX(0,IFERROR(--LEFT(SUBSTITUTE(BQ480,"x","х"),FIND("х",SUBSTITUTE(BQ480,"x","х"))-1),3)-3*BW480))</f>
      </c>
      <c r="BY480" s="129">
        <f>IF(R480="","",IFERROR(VLOOKUP(R480,УГО_спр,2,FALSE),IFERROR(VLOOKUP(AL480,УГО_спр,2,FALSE),IFERROR(VLOOKUP(LEFT(AL480,2),УГО_спр,2,FALSE),""))))</f>
      </c>
    </row>
    <row r="481" spans="1:64" x14ac:dyDescent="0.3">
      <c r="A481" s="135">
        <f>IF(Разбивка_по_щитам!F481=0,"",Разбивка_по_щитам!F481)</f>
        <v/>
      </c>
      <c r="B481" s="138">
        <f>IF(A481="","",Разбивка_по_щитам!C481)</f>
        <v/>
      </c>
      <c r="C481" s="138">
        <f t="shared" si="302"/>
        <v/>
      </c>
      <c r="D481" s="266"/>
      <c r="E481" s="266"/>
      <c r="F481" s="267"/>
      <c r="G481" s="145">
        <f t="shared" si="303"/>
        <v/>
      </c>
      <c r="H481" s="145">
        <f t="shared" si="304"/>
        <v/>
      </c>
      <c r="I481" s="266"/>
      <c r="J481" s="267"/>
      <c r="K481" s="267"/>
      <c r="L481" s="266"/>
      <c r="M481" s="147">
        <f t="shared" si="305"/>
        <v/>
      </c>
      <c r="N481" s="267"/>
      <c r="O481" s="147">
        <f t="shared" si="306"/>
        <v/>
      </c>
      <c r="P481" s="268">
        <f>IF(AY481=1,"XT"&amp;COUNTIFS($A$3:A481,A481,$AY$3:AY481,1),"")</f>
        <v/>
      </c>
      <c r="Q481" s="152">
        <f>IF(R481="","",IFERROR(SUBSTITUTE(Разбивка_по_щитам!P481,CHAR(10)," "),""))</f>
        <v/>
      </c>
      <c r="R481" s="153">
        <f>IF(OR(Разбивка_по_щитам!H481="",Разбивка_по_щитам!H481=0),"",Разбивка_по_щитам!H481)</f>
        <v/>
      </c>
      <c r="S481" s="154">
        <f>IF(R481="","",IFERROR(Разбивка_по_щитам!J481&amp;"",""))</f>
        <v/>
      </c>
      <c r="T481" s="155">
        <f>IF(R481="","",IFERROR(--Разбивка_по_щитам!L481,""))</f>
        <v/>
      </c>
      <c r="U481" s="155">
        <f>IF(R481="","",IFERROR(--Разбивка_по_щитам!K481,""))</f>
        <v/>
      </c>
      <c r="V481" s="138">
        <f>IF(R481="","",IFERROR(IF(Разбивка_по_щитам!M481=0,"",Разбивка_по_щитам!M481),""))</f>
        <v/>
      </c>
      <c r="W481" s="156">
        <f t="shared" si="307"/>
        <v/>
      </c>
      <c r="X481" s="157">
        <f t="shared" si="308"/>
        <v/>
      </c>
      <c r="Y481" s="266"/>
      <c r="Z481" s="158">
        <f t="shared" si="309"/>
        <v/>
      </c>
      <c r="AA481" s="160">
        <f t="shared" si="310"/>
        <v/>
      </c>
      <c r="AB481" s="160">
        <f>IF(R481="","",IFERROR(LOOKUP(INDEX(Справочная!$I$4:$I$19,MATCH(VLOOKUP(R481,Исходные_данные,22,FALSE),Справочная!$J$4:$J$19,0)+1),{6,10,16,20,25,32,40,50,63,80,100,125}),""))</f>
        <v/>
      </c>
      <c r="AC481" s="160">
        <f t="shared" si="311"/>
        <v/>
      </c>
      <c r="AD481" s="161">
        <f t="shared" si="312"/>
        <v/>
      </c>
      <c r="AE481" s="161">
        <f>IF(AND(R481="",G481=""),"",_xlfn.TEXTJOIN("; ",TRUE,IF(AND(R481&lt;&gt;"",V481=""),"нет фазы",""),IF(AND(R481&lt;&gt;"",N(T481)=0),"нет мощности",""),IF(AND(P481&lt;&gt;"",COUNTIFS($A$3:$A$1000,A481,$P$3:$P$1000,P481)&gt;1),"дубль клеммы "&amp;P481,""),IF(AND(W481&lt;&gt;"",W481&lt;&gt;"ok"),W481,""),IF(X481&lt;&gt;"",X481,""),IF(AND(ISNUMBER(SEARCH("(5х",Q481)),N(AK481)=1),"5 жил на 1 фазе",""),IF(AND(AL481="R",E481&lt;&gt;"",N(AS481)=0),"розетка без 30 мА",""),IF(IFERROR(_xlfn.NUMBERVALUE(MID(Q481,FIND("-",Q481,FIND("L=",Q481))+1,FIND("%",Q481)-FIND("-",Q481,FIND("L=",Q481))-1),","),0)&gt;4,"потери &gt; 4 %","")))</f>
      </c>
      <c r="AF481" s="129">
        <f>IF(E481&lt;&gt;"",COUNTIFS($A$3:A481,A481,$E$3:E481,"?*"),IF(OR(A481&lt;&gt;A480,Y481="вручную"),"",AF480))</f>
        <v/>
      </c>
      <c r="AG481" s="129">
        <f t="shared" si="313"/>
        <v/>
      </c>
      <c r="AH481" s="129">
        <f t="shared" si="314"/>
        <v/>
      </c>
      <c r="AI481" s="129">
        <f t="shared" si="315"/>
        <v/>
      </c>
      <c r="AJ481" s="129">
        <f t="shared" si="316"/>
        <v/>
      </c>
      <c r="AK481" s="129">
        <f t="shared" si="317"/>
        <v/>
      </c>
      <c r="AL481" s="129">
        <f t="shared" si="318"/>
        <v/>
      </c>
      <c r="AM481" s="129">
        <f t="shared" si="319"/>
      </c>
      <c r="AN481" s="129">
        <f t="shared" si="320"/>
      </c>
      <c r="AO481" s="129">
        <f t="shared" si="321"/>
        <v/>
      </c>
      <c r="AP481" s="129">
        <f t="shared" si="322"/>
        <v/>
      </c>
      <c r="AQ481" s="129">
        <f t="shared" si="323"/>
        <v/>
      </c>
      <c r="AR481" s="129">
        <f t="shared" si="324"/>
        <v/>
      </c>
      <c r="AS481" s="129">
        <f t="shared" si="325"/>
        <v/>
      </c>
      <c r="AT481" s="129">
        <f t="shared" si="326"/>
        <v/>
      </c>
      <c r="AU481" s="129">
        <f t="shared" si="327"/>
        <v/>
      </c>
      <c r="AV481" s="129">
        <f t="shared" si="328"/>
        <v/>
      </c>
      <c r="AW481" s="129">
        <f>IF(AV481="","",AV481&amp;"."&amp;COUNTIFS($A$3:A481,A481,$AV$3:AV481,AV481))</f>
        <v/>
      </c>
      <c r="AX481" s="129">
        <f t="shared" si="329"/>
        <v/>
      </c>
      <c r="AY481" s="129">
        <f>IF(N481="б/к",0,IF(OR(ISNUMBER(SEARCH("L=",Разбивка_по_щитам!P481)),N481="+",N481="="),1,0))</f>
      </c>
      <c r="AZ481" s="129">
        <f t="shared" si="330"/>
        <v/>
      </c>
      <c r="BA481" s="129">
        <f t="shared" si="331"/>
      </c>
      <c r="BB481" s="129">
        <f t="shared" si="332"/>
      </c>
      <c r="BD481" s="129">
        <f t="shared" si="333"/>
      </c>
      <c r="BE481" s="129">
        <f t="shared" si="334"/>
      </c>
      <c r="BF481" s="129">
        <f t="shared" si="335"/>
      </c>
      <c r="BG481" s="129">
        <f t="shared" si="336"/>
        <v/>
      </c>
      <c r="BH481" s="129">
        <f t="shared" si="337"/>
        <v/>
      </c>
      <c r="BI481" s="129">
        <f t="shared" si="338"/>
        <v/>
      </c>
      <c r="BJ481" s="129">
        <f t="shared" si="339"/>
        <v/>
      </c>
      <c r="BK481" s="129">
        <f>IF(R481="","",IF(OR(BY481="",BY481=0),"BOX",IFERROR(IF(VLOOKUP(BY481,УГО_блоки,3,FALSE)&amp;""&lt;&gt;"",VLOOKUP(BY481,УГО_блоки,3,FALSE),VLOOKUP(BY481,УГО_блоки,2,FALSE)),BY481)))</f>
      </c>
      <c r="BL481" s="129">
        <f t="shared" si="341"/>
      </c>
      <c r="BM481" s="129">
        <f>IF(H481="","",IF(COUNTIF($H$3:H481,H481)=1,MAX($BM$2:BM480)+1,""))</f>
      </c>
      <c r="BN481" s="129">
        <f>IF(I481="","",IF(COUNTIF($I$3:I481,I481)+COUNTIF($J$2:J480,I481)+COUNTIF($K$2:K480,I481)=1,MAX($BN$2:BP480)+1,""))</f>
      </c>
      <c r="BO481" s="129">
        <f>IF(J481="","",IF(COUNTIF($I$3:I481,J481)+COUNTIF($J$3:J481,J481)+COUNTIF($K$2:K480,J481)=1,MAX($BN$2:BP480,BN481)+1,""))</f>
      </c>
      <c r="BP481" s="129">
        <f>IF(K481="","",IF(COUNTIF($I$3:I481,K481)+COUNTIF($J$3:J481,K481)+COUNTIF($K$3:K481,K481)=1,MAX($BN$2:BP480,BN481,BO481)+1,""))</f>
      </c>
      <c r="BQ481" s="129">
        <f>IF(AY481=1,IFERROR(MID(Q481,FIND(" (",Q481)+2,FIND(")",Q481,FIND(" (",Q481))-FIND(" (",Q481)-2),"?"),"")</f>
      </c>
      <c r="BR481" s="129">
        <f>IF(BQ481="","",IF(COUNTIF($BQ$3:BQ481,BQ481)=1,MAX($BR$2:BR480)+1,""))</f>
      </c>
      <c r="BS481" s="129">
        <f>IF(AW481="","",COUNTIF($AW$3:AW481,"?*"))</f>
      </c>
      <c r="BT481" s="129">
        <f>IF(OR(AW481="",AI481=""),"",IF(COUNTIFS($AW$3:AW481,"?*",$AI$3:AI481,AI481)=1,MAX($BT$2:BT480)+1,""))</f>
      </c>
      <c r="BU481" s="129">
        <f>IF(AE481="",0,IF(OR(ISNUMBER(SEARCH("дубль",AE481)),ISNUMBER(SEARCH("ПЕРЕГРУЗ",AE481)),ISNUMBER(SEARCH("ЗАЩИЩ",AE481)),ISNUMBER(SEARCH("КАНАЛ",AE481)),ISNUMBER(SEARCH("без 30",AE481))),2,1))</f>
      </c>
      <c r="BV481" s="129">
        <f>IF(R481="","",COUNTIF($R$3:R481,"?*"))</f>
      </c>
      <c r="BW481" s="129">
        <f>IF(AY481&lt;&gt;1,0,IF(MAX(IFERROR(--VLOOKUP(R481,УГО_спр,5,FALSE),0),IFERROR(--VLOOKUP(AL481,УГО_спр,5,FALSE),0),IFERROR(--VLOOKUP(LEFT(AL481,2),УГО_спр,5,FALSE),0))&gt;0,MAX(IFERROR(--VLOOKUP(R481,УГО_спр,5,FALSE),0),IFERROR(--VLOOKUP(AL481,УГО_спр,5,FALSE),0),IFERROR(--VLOOKUP(LEFT(AL481,2),УГО_спр,5,FALSE),0)),IF(IFERROR(--LEFT(SUBSTITUTE(BQ481,"x","х"),FIND("х",SUBSTITUTE(BQ481,"x","х"))-1),3)&gt;3,Каталог!$S$9,1)))</f>
      </c>
      <c r="BX481" s="129">
        <f>IF(AY481&lt;&gt;1,0,MAX(0,IFERROR(--LEFT(SUBSTITUTE(BQ481,"x","х"),FIND("х",SUBSTITUTE(BQ481,"x","х"))-1),3)-3*BW481))</f>
      </c>
      <c r="BY481" s="129">
        <f>IF(R481="","",IFERROR(VLOOKUP(R481,УГО_спр,2,FALSE),IFERROR(VLOOKUP(AL481,УГО_спр,2,FALSE),IFERROR(VLOOKUP(LEFT(AL481,2),УГО_спр,2,FALSE),""))))</f>
      </c>
    </row>
    <row r="482" spans="1:64" x14ac:dyDescent="0.3">
      <c r="A482" s="135">
        <f>IF(Разбивка_по_щитам!F482=0,"",Разбивка_по_щитам!F482)</f>
        <v/>
      </c>
      <c r="B482" s="138">
        <f>IF(A482="","",Разбивка_по_щитам!C482)</f>
        <v/>
      </c>
      <c r="C482" s="138">
        <f t="shared" si="302"/>
        <v/>
      </c>
      <c r="D482" s="266"/>
      <c r="E482" s="266"/>
      <c r="F482" s="267"/>
      <c r="G482" s="145">
        <f t="shared" si="303"/>
        <v/>
      </c>
      <c r="H482" s="145">
        <f t="shared" si="304"/>
        <v/>
      </c>
      <c r="I482" s="266"/>
      <c r="J482" s="267"/>
      <c r="K482" s="267"/>
      <c r="L482" s="266"/>
      <c r="M482" s="147">
        <f t="shared" si="305"/>
        <v/>
      </c>
      <c r="N482" s="267"/>
      <c r="O482" s="147">
        <f t="shared" si="306"/>
        <v/>
      </c>
      <c r="P482" s="268">
        <f>IF(AY482=1,"XT"&amp;COUNTIFS($A$3:A482,A482,$AY$3:AY482,1),"")</f>
        <v/>
      </c>
      <c r="Q482" s="152">
        <f>IF(R482="","",IFERROR(SUBSTITUTE(Разбивка_по_щитам!P482,CHAR(10)," "),""))</f>
        <v/>
      </c>
      <c r="R482" s="153">
        <f>IF(OR(Разбивка_по_щитам!H482="",Разбивка_по_щитам!H482=0),"",Разбивка_по_щитам!H482)</f>
        <v/>
      </c>
      <c r="S482" s="154">
        <f>IF(R482="","",IFERROR(Разбивка_по_щитам!J482&amp;"",""))</f>
        <v/>
      </c>
      <c r="T482" s="155">
        <f>IF(R482="","",IFERROR(--Разбивка_по_щитам!L482,""))</f>
        <v/>
      </c>
      <c r="U482" s="155">
        <f>IF(R482="","",IFERROR(--Разбивка_по_щитам!K482,""))</f>
        <v/>
      </c>
      <c r="V482" s="138">
        <f>IF(R482="","",IFERROR(IF(Разбивка_по_щитам!M482=0,"",Разбивка_по_щитам!M482),""))</f>
        <v/>
      </c>
      <c r="W482" s="156">
        <f t="shared" si="307"/>
        <v/>
      </c>
      <c r="X482" s="157">
        <f t="shared" si="308"/>
        <v/>
      </c>
      <c r="Y482" s="266"/>
      <c r="Z482" s="158">
        <f t="shared" si="309"/>
        <v/>
      </c>
      <c r="AA482" s="160">
        <f t="shared" si="310"/>
        <v/>
      </c>
      <c r="AB482" s="160">
        <f>IF(R482="","",IFERROR(LOOKUP(INDEX(Справочная!$I$4:$I$19,MATCH(VLOOKUP(R482,Исходные_данные,22,FALSE),Справочная!$J$4:$J$19,0)+1),{6,10,16,20,25,32,40,50,63,80,100,125}),""))</f>
        <v/>
      </c>
      <c r="AC482" s="160">
        <f t="shared" si="311"/>
        <v/>
      </c>
      <c r="AD482" s="161">
        <f t="shared" si="312"/>
        <v/>
      </c>
      <c r="AE482" s="161">
        <f>IF(AND(R482="",G482=""),"",_xlfn.TEXTJOIN("; ",TRUE,IF(AND(R482&lt;&gt;"",V482=""),"нет фазы",""),IF(AND(R482&lt;&gt;"",N(T482)=0),"нет мощности",""),IF(AND(P482&lt;&gt;"",COUNTIFS($A$3:$A$1000,A482,$P$3:$P$1000,P482)&gt;1),"дубль клеммы "&amp;P482,""),IF(AND(W482&lt;&gt;"",W482&lt;&gt;"ok"),W482,""),IF(X482&lt;&gt;"",X482,""),IF(AND(ISNUMBER(SEARCH("(5х",Q482)),N(AK482)=1),"5 жил на 1 фазе",""),IF(AND(AL482="R",E482&lt;&gt;"",N(AS482)=0),"розетка без 30 мА",""),IF(IFERROR(_xlfn.NUMBERVALUE(MID(Q482,FIND("-",Q482,FIND("L=",Q482))+1,FIND("%",Q482)-FIND("-",Q482,FIND("L=",Q482))-1),","),0)&gt;4,"потери &gt; 4 %","")))</f>
      </c>
      <c r="AF482" s="129">
        <f>IF(E482&lt;&gt;"",COUNTIFS($A$3:A482,A482,$E$3:E482,"?*"),IF(OR(A482&lt;&gt;A481,Y482="вручную"),"",AF481))</f>
        <v/>
      </c>
      <c r="AG482" s="129">
        <f t="shared" si="313"/>
        <v/>
      </c>
      <c r="AH482" s="129">
        <f t="shared" si="314"/>
        <v/>
      </c>
      <c r="AI482" s="129">
        <f t="shared" si="315"/>
        <v/>
      </c>
      <c r="AJ482" s="129">
        <f t="shared" si="316"/>
        <v/>
      </c>
      <c r="AK482" s="129">
        <f t="shared" si="317"/>
        <v/>
      </c>
      <c r="AL482" s="129">
        <f t="shared" si="318"/>
        <v/>
      </c>
      <c r="AM482" s="129">
        <f t="shared" si="319"/>
      </c>
      <c r="AN482" s="129">
        <f t="shared" si="320"/>
      </c>
      <c r="AO482" s="129">
        <f t="shared" si="321"/>
        <v/>
      </c>
      <c r="AP482" s="129">
        <f t="shared" si="322"/>
        <v/>
      </c>
      <c r="AQ482" s="129">
        <f t="shared" si="323"/>
        <v/>
      </c>
      <c r="AR482" s="129">
        <f t="shared" si="324"/>
        <v/>
      </c>
      <c r="AS482" s="129">
        <f t="shared" si="325"/>
        <v/>
      </c>
      <c r="AT482" s="129">
        <f t="shared" si="326"/>
        <v/>
      </c>
      <c r="AU482" s="129">
        <f t="shared" si="327"/>
        <v/>
      </c>
      <c r="AV482" s="129">
        <f t="shared" si="328"/>
        <v/>
      </c>
      <c r="AW482" s="129">
        <f>IF(AV482="","",AV482&amp;"."&amp;COUNTIFS($A$3:A482,A482,$AV$3:AV482,AV482))</f>
        <v/>
      </c>
      <c r="AX482" s="129">
        <f t="shared" si="329"/>
        <v/>
      </c>
      <c r="AY482" s="129">
        <f>IF(N482="б/к",0,IF(OR(ISNUMBER(SEARCH("L=",Разбивка_по_щитам!P482)),N482="+",N482="="),1,0))</f>
      </c>
      <c r="AZ482" s="129">
        <f t="shared" si="330"/>
        <v/>
      </c>
      <c r="BA482" s="129">
        <f t="shared" si="331"/>
      </c>
      <c r="BB482" s="129">
        <f t="shared" si="332"/>
      </c>
      <c r="BD482" s="129">
        <f t="shared" si="333"/>
      </c>
      <c r="BE482" s="129">
        <f t="shared" si="334"/>
      </c>
      <c r="BF482" s="129">
        <f t="shared" si="335"/>
      </c>
      <c r="BG482" s="129">
        <f t="shared" si="336"/>
        <v/>
      </c>
      <c r="BH482" s="129">
        <f t="shared" si="337"/>
        <v/>
      </c>
      <c r="BI482" s="129">
        <f t="shared" si="338"/>
        <v/>
      </c>
      <c r="BJ482" s="129">
        <f t="shared" si="339"/>
        <v/>
      </c>
      <c r="BK482" s="129">
        <f>IF(R482="","",IF(OR(BY482="",BY482=0),"BOX",IFERROR(IF(VLOOKUP(BY482,УГО_блоки,3,FALSE)&amp;""&lt;&gt;"",VLOOKUP(BY482,УГО_блоки,3,FALSE),VLOOKUP(BY482,УГО_блоки,2,FALSE)),BY482)))</f>
      </c>
      <c r="BL482" s="129">
        <f t="shared" si="341"/>
      </c>
      <c r="BM482" s="129">
        <f>IF(H482="","",IF(COUNTIF($H$3:H482,H482)=1,MAX($BM$2:BM481)+1,""))</f>
      </c>
      <c r="BN482" s="129">
        <f>IF(I482="","",IF(COUNTIF($I$3:I482,I482)+COUNTIF($J$2:J481,I482)+COUNTIF($K$2:K481,I482)=1,MAX($BN$2:BP481)+1,""))</f>
      </c>
      <c r="BO482" s="129">
        <f>IF(J482="","",IF(COUNTIF($I$3:I482,J482)+COUNTIF($J$3:J482,J482)+COUNTIF($K$2:K481,J482)=1,MAX($BN$2:BP481,BN482)+1,""))</f>
      </c>
      <c r="BP482" s="129">
        <f>IF(K482="","",IF(COUNTIF($I$3:I482,K482)+COUNTIF($J$3:J482,K482)+COUNTIF($K$3:K482,K482)=1,MAX($BN$2:BP481,BN482,BO482)+1,""))</f>
      </c>
      <c r="BQ482" s="129">
        <f>IF(AY482=1,IFERROR(MID(Q482,FIND(" (",Q482)+2,FIND(")",Q482,FIND(" (",Q482))-FIND(" (",Q482)-2),"?"),"")</f>
      </c>
      <c r="BR482" s="129">
        <f>IF(BQ482="","",IF(COUNTIF($BQ$3:BQ482,BQ482)=1,MAX($BR$2:BR481)+1,""))</f>
      </c>
      <c r="BS482" s="129">
        <f>IF(AW482="","",COUNTIF($AW$3:AW482,"?*"))</f>
      </c>
      <c r="BT482" s="129">
        <f>IF(OR(AW482="",AI482=""),"",IF(COUNTIFS($AW$3:AW482,"?*",$AI$3:AI482,AI482)=1,MAX($BT$2:BT481)+1,""))</f>
      </c>
      <c r="BU482" s="129">
        <f>IF(AE482="",0,IF(OR(ISNUMBER(SEARCH("дубль",AE482)),ISNUMBER(SEARCH("ПЕРЕГРУЗ",AE482)),ISNUMBER(SEARCH("ЗАЩИЩ",AE482)),ISNUMBER(SEARCH("КАНАЛ",AE482)),ISNUMBER(SEARCH("без 30",AE482))),2,1))</f>
      </c>
      <c r="BV482" s="129">
        <f>IF(R482="","",COUNTIF($R$3:R482,"?*"))</f>
      </c>
      <c r="BW482" s="129">
        <f>IF(AY482&lt;&gt;1,0,IF(MAX(IFERROR(--VLOOKUP(R482,УГО_спр,5,FALSE),0),IFERROR(--VLOOKUP(AL482,УГО_спр,5,FALSE),0),IFERROR(--VLOOKUP(LEFT(AL482,2),УГО_спр,5,FALSE),0))&gt;0,MAX(IFERROR(--VLOOKUP(R482,УГО_спр,5,FALSE),0),IFERROR(--VLOOKUP(AL482,УГО_спр,5,FALSE),0),IFERROR(--VLOOKUP(LEFT(AL482,2),УГО_спр,5,FALSE),0)),IF(IFERROR(--LEFT(SUBSTITUTE(BQ482,"x","х"),FIND("х",SUBSTITUTE(BQ482,"x","х"))-1),3)&gt;3,Каталог!$S$9,1)))</f>
      </c>
      <c r="BX482" s="129">
        <f>IF(AY482&lt;&gt;1,0,MAX(0,IFERROR(--LEFT(SUBSTITUTE(BQ482,"x","х"),FIND("х",SUBSTITUTE(BQ482,"x","х"))-1),3)-3*BW482))</f>
      </c>
      <c r="BY482" s="129">
        <f>IF(R482="","",IFERROR(VLOOKUP(R482,УГО_спр,2,FALSE),IFERROR(VLOOKUP(AL482,УГО_спр,2,FALSE),IFERROR(VLOOKUP(LEFT(AL482,2),УГО_спр,2,FALSE),""))))</f>
      </c>
    </row>
    <row r="483" spans="1:64" x14ac:dyDescent="0.3">
      <c r="A483" s="135">
        <f>IF(Разбивка_по_щитам!F483=0,"",Разбивка_по_щитам!F483)</f>
        <v/>
      </c>
      <c r="B483" s="138">
        <f>IF(A483="","",Разбивка_по_щитам!C483)</f>
        <v/>
      </c>
      <c r="C483" s="138">
        <f t="shared" si="302"/>
        <v/>
      </c>
      <c r="D483" s="266"/>
      <c r="E483" s="266"/>
      <c r="F483" s="267"/>
      <c r="G483" s="145">
        <f t="shared" si="303"/>
        <v/>
      </c>
      <c r="H483" s="145">
        <f t="shared" si="304"/>
        <v/>
      </c>
      <c r="I483" s="266"/>
      <c r="J483" s="267"/>
      <c r="K483" s="267"/>
      <c r="L483" s="266"/>
      <c r="M483" s="147">
        <f t="shared" si="305"/>
        <v/>
      </c>
      <c r="N483" s="267"/>
      <c r="O483" s="147">
        <f t="shared" si="306"/>
        <v/>
      </c>
      <c r="P483" s="268">
        <f>IF(AY483=1,"XT"&amp;COUNTIFS($A$3:A483,A483,$AY$3:AY483,1),"")</f>
        <v/>
      </c>
      <c r="Q483" s="152">
        <f>IF(R483="","",IFERROR(SUBSTITUTE(Разбивка_по_щитам!P483,CHAR(10)," "),""))</f>
        <v/>
      </c>
      <c r="R483" s="153">
        <f>IF(OR(Разбивка_по_щитам!H483="",Разбивка_по_щитам!H483=0),"",Разбивка_по_щитам!H483)</f>
        <v/>
      </c>
      <c r="S483" s="154">
        <f>IF(R483="","",IFERROR(Разбивка_по_щитам!J483&amp;"",""))</f>
        <v/>
      </c>
      <c r="T483" s="155">
        <f>IF(R483="","",IFERROR(--Разбивка_по_щитам!L483,""))</f>
        <v/>
      </c>
      <c r="U483" s="155">
        <f>IF(R483="","",IFERROR(--Разбивка_по_щитам!K483,""))</f>
        <v/>
      </c>
      <c r="V483" s="138">
        <f>IF(R483="","",IFERROR(IF(Разбивка_по_щитам!M483=0,"",Разбивка_по_щитам!M483),""))</f>
        <v/>
      </c>
      <c r="W483" s="156">
        <f t="shared" si="307"/>
        <v/>
      </c>
      <c r="X483" s="157">
        <f t="shared" si="308"/>
        <v/>
      </c>
      <c r="Y483" s="266"/>
      <c r="Z483" s="158">
        <f t="shared" si="309"/>
        <v/>
      </c>
      <c r="AA483" s="160">
        <f t="shared" si="310"/>
        <v/>
      </c>
      <c r="AB483" s="160">
        <f>IF(R483="","",IFERROR(LOOKUP(INDEX(Справочная!$I$4:$I$19,MATCH(VLOOKUP(R483,Исходные_данные,22,FALSE),Справочная!$J$4:$J$19,0)+1),{6,10,16,20,25,32,40,50,63,80,100,125}),""))</f>
        <v/>
      </c>
      <c r="AC483" s="160">
        <f t="shared" si="311"/>
        <v/>
      </c>
      <c r="AD483" s="161">
        <f t="shared" si="312"/>
        <v/>
      </c>
      <c r="AE483" s="161">
        <f>IF(AND(R483="",G483=""),"",_xlfn.TEXTJOIN("; ",TRUE,IF(AND(R483&lt;&gt;"",V483=""),"нет фазы",""),IF(AND(R483&lt;&gt;"",N(T483)=0),"нет мощности",""),IF(AND(P483&lt;&gt;"",COUNTIFS($A$3:$A$1000,A483,$P$3:$P$1000,P483)&gt;1),"дубль клеммы "&amp;P483,""),IF(AND(W483&lt;&gt;"",W483&lt;&gt;"ok"),W483,""),IF(X483&lt;&gt;"",X483,""),IF(AND(ISNUMBER(SEARCH("(5х",Q483)),N(AK483)=1),"5 жил на 1 фазе",""),IF(AND(AL483="R",E483&lt;&gt;"",N(AS483)=0),"розетка без 30 мА",""),IF(IFERROR(_xlfn.NUMBERVALUE(MID(Q483,FIND("-",Q483,FIND("L=",Q483))+1,FIND("%",Q483)-FIND("-",Q483,FIND("L=",Q483))-1),","),0)&gt;4,"потери &gt; 4 %","")))</f>
      </c>
      <c r="AF483" s="129">
        <f>IF(E483&lt;&gt;"",COUNTIFS($A$3:A483,A483,$E$3:E483,"?*"),IF(OR(A483&lt;&gt;A482,Y483="вручную"),"",AF482))</f>
        <v/>
      </c>
      <c r="AG483" s="129">
        <f t="shared" si="313"/>
        <v/>
      </c>
      <c r="AH483" s="129">
        <f t="shared" si="314"/>
        <v/>
      </c>
      <c r="AI483" s="129">
        <f t="shared" si="315"/>
        <v/>
      </c>
      <c r="AJ483" s="129">
        <f t="shared" si="316"/>
        <v/>
      </c>
      <c r="AK483" s="129">
        <f t="shared" si="317"/>
        <v/>
      </c>
      <c r="AL483" s="129">
        <f t="shared" si="318"/>
        <v/>
      </c>
      <c r="AM483" s="129">
        <f t="shared" si="319"/>
      </c>
      <c r="AN483" s="129">
        <f t="shared" si="320"/>
      </c>
      <c r="AO483" s="129">
        <f t="shared" si="321"/>
        <v/>
      </c>
      <c r="AP483" s="129">
        <f t="shared" si="322"/>
        <v/>
      </c>
      <c r="AQ483" s="129">
        <f t="shared" si="323"/>
        <v/>
      </c>
      <c r="AR483" s="129">
        <f t="shared" si="324"/>
        <v/>
      </c>
      <c r="AS483" s="129">
        <f t="shared" si="325"/>
        <v/>
      </c>
      <c r="AT483" s="129">
        <f t="shared" si="326"/>
        <v/>
      </c>
      <c r="AU483" s="129">
        <f t="shared" si="327"/>
        <v/>
      </c>
      <c r="AV483" s="129">
        <f t="shared" si="328"/>
        <v/>
      </c>
      <c r="AW483" s="129">
        <f>IF(AV483="","",AV483&amp;"."&amp;COUNTIFS($A$3:A483,A483,$AV$3:AV483,AV483))</f>
        <v/>
      </c>
      <c r="AX483" s="129">
        <f t="shared" si="329"/>
        <v/>
      </c>
      <c r="AY483" s="129">
        <f>IF(N483="б/к",0,IF(OR(ISNUMBER(SEARCH("L=",Разбивка_по_щитам!P483)),N483="+",N483="="),1,0))</f>
      </c>
      <c r="AZ483" s="129">
        <f t="shared" si="330"/>
        <v/>
      </c>
      <c r="BA483" s="129">
        <f t="shared" si="331"/>
      </c>
      <c r="BB483" s="129">
        <f t="shared" si="332"/>
      </c>
      <c r="BD483" s="129">
        <f t="shared" si="333"/>
      </c>
      <c r="BE483" s="129">
        <f t="shared" si="334"/>
      </c>
      <c r="BF483" s="129">
        <f t="shared" si="335"/>
      </c>
      <c r="BG483" s="129">
        <f t="shared" si="336"/>
        <v/>
      </c>
      <c r="BH483" s="129">
        <f t="shared" si="337"/>
        <v/>
      </c>
      <c r="BI483" s="129">
        <f t="shared" si="338"/>
        <v/>
      </c>
      <c r="BJ483" s="129">
        <f t="shared" si="339"/>
        <v/>
      </c>
      <c r="BK483" s="129">
        <f>IF(R483="","",IF(OR(BY483="",BY483=0),"BOX",IFERROR(IF(VLOOKUP(BY483,УГО_блоки,3,FALSE)&amp;""&lt;&gt;"",VLOOKUP(BY483,УГО_блоки,3,FALSE),VLOOKUP(BY483,УГО_блоки,2,FALSE)),BY483)))</f>
      </c>
      <c r="BL483" s="129">
        <f t="shared" si="341"/>
      </c>
      <c r="BM483" s="129">
        <f>IF(H483="","",IF(COUNTIF($H$3:H483,H483)=1,MAX($BM$2:BM482)+1,""))</f>
      </c>
      <c r="BN483" s="129">
        <f>IF(I483="","",IF(COUNTIF($I$3:I483,I483)+COUNTIF($J$2:J482,I483)+COUNTIF($K$2:K482,I483)=1,MAX($BN$2:BP482)+1,""))</f>
      </c>
      <c r="BO483" s="129">
        <f>IF(J483="","",IF(COUNTIF($I$3:I483,J483)+COUNTIF($J$3:J483,J483)+COUNTIF($K$2:K482,J483)=1,MAX($BN$2:BP482,BN483)+1,""))</f>
      </c>
      <c r="BP483" s="129">
        <f>IF(K483="","",IF(COUNTIF($I$3:I483,K483)+COUNTIF($J$3:J483,K483)+COUNTIF($K$3:K483,K483)=1,MAX($BN$2:BP482,BN483,BO483)+1,""))</f>
      </c>
      <c r="BQ483" s="129">
        <f>IF(AY483=1,IFERROR(MID(Q483,FIND(" (",Q483)+2,FIND(")",Q483,FIND(" (",Q483))-FIND(" (",Q483)-2),"?"),"")</f>
      </c>
      <c r="BR483" s="129">
        <f>IF(BQ483="","",IF(COUNTIF($BQ$3:BQ483,BQ483)=1,MAX($BR$2:BR482)+1,""))</f>
      </c>
      <c r="BS483" s="129">
        <f>IF(AW483="","",COUNTIF($AW$3:AW483,"?*"))</f>
      </c>
      <c r="BT483" s="129">
        <f>IF(OR(AW483="",AI483=""),"",IF(COUNTIFS($AW$3:AW483,"?*",$AI$3:AI483,AI483)=1,MAX($BT$2:BT482)+1,""))</f>
      </c>
      <c r="BU483" s="129">
        <f>IF(AE483="",0,IF(OR(ISNUMBER(SEARCH("дубль",AE483)),ISNUMBER(SEARCH("ПЕРЕГРУЗ",AE483)),ISNUMBER(SEARCH("ЗАЩИЩ",AE483)),ISNUMBER(SEARCH("КАНАЛ",AE483)),ISNUMBER(SEARCH("без 30",AE483))),2,1))</f>
      </c>
      <c r="BV483" s="129">
        <f>IF(R483="","",COUNTIF($R$3:R483,"?*"))</f>
      </c>
      <c r="BW483" s="129">
        <f>IF(AY483&lt;&gt;1,0,IF(MAX(IFERROR(--VLOOKUP(R483,УГО_спр,5,FALSE),0),IFERROR(--VLOOKUP(AL483,УГО_спр,5,FALSE),0),IFERROR(--VLOOKUP(LEFT(AL483,2),УГО_спр,5,FALSE),0))&gt;0,MAX(IFERROR(--VLOOKUP(R483,УГО_спр,5,FALSE),0),IFERROR(--VLOOKUP(AL483,УГО_спр,5,FALSE),0),IFERROR(--VLOOKUP(LEFT(AL483,2),УГО_спр,5,FALSE),0)),IF(IFERROR(--LEFT(SUBSTITUTE(BQ483,"x","х"),FIND("х",SUBSTITUTE(BQ483,"x","х"))-1),3)&gt;3,Каталог!$S$9,1)))</f>
      </c>
      <c r="BX483" s="129">
        <f>IF(AY483&lt;&gt;1,0,MAX(0,IFERROR(--LEFT(SUBSTITUTE(BQ483,"x","х"),FIND("х",SUBSTITUTE(BQ483,"x","х"))-1),3)-3*BW483))</f>
      </c>
      <c r="BY483" s="129">
        <f>IF(R483="","",IFERROR(VLOOKUP(R483,УГО_спр,2,FALSE),IFERROR(VLOOKUP(AL483,УГО_спр,2,FALSE),IFERROR(VLOOKUP(LEFT(AL483,2),УГО_спр,2,FALSE),""))))</f>
      </c>
    </row>
    <row r="484" spans="1:64" x14ac:dyDescent="0.3">
      <c r="A484" s="135">
        <f>IF(Разбивка_по_щитам!F484=0,"",Разбивка_по_щитам!F484)</f>
        <v/>
      </c>
      <c r="B484" s="138">
        <f>IF(A484="","",Разбивка_по_щитам!C484)</f>
        <v/>
      </c>
      <c r="C484" s="138">
        <f t="shared" si="302"/>
        <v/>
      </c>
      <c r="D484" s="266"/>
      <c r="E484" s="266"/>
      <c r="F484" s="267"/>
      <c r="G484" s="145">
        <f t="shared" si="303"/>
        <v/>
      </c>
      <c r="H484" s="145">
        <f t="shared" si="304"/>
        <v/>
      </c>
      <c r="I484" s="266"/>
      <c r="J484" s="267"/>
      <c r="K484" s="267"/>
      <c r="L484" s="266"/>
      <c r="M484" s="147">
        <f t="shared" si="305"/>
        <v/>
      </c>
      <c r="N484" s="267"/>
      <c r="O484" s="147">
        <f t="shared" si="306"/>
        <v/>
      </c>
      <c r="P484" s="268">
        <f>IF(AY484=1,"XT"&amp;COUNTIFS($A$3:A484,A484,$AY$3:AY484,1),"")</f>
        <v/>
      </c>
      <c r="Q484" s="152">
        <f>IF(R484="","",IFERROR(SUBSTITUTE(Разбивка_по_щитам!P484,CHAR(10)," "),""))</f>
        <v/>
      </c>
      <c r="R484" s="153">
        <f>IF(OR(Разбивка_по_щитам!H484="",Разбивка_по_щитам!H484=0),"",Разбивка_по_щитам!H484)</f>
        <v/>
      </c>
      <c r="S484" s="154">
        <f>IF(R484="","",IFERROR(Разбивка_по_щитам!J484&amp;"",""))</f>
        <v/>
      </c>
      <c r="T484" s="155">
        <f>IF(R484="","",IFERROR(--Разбивка_по_щитам!L484,""))</f>
        <v/>
      </c>
      <c r="U484" s="155">
        <f>IF(R484="","",IFERROR(--Разбивка_по_щитам!K484,""))</f>
        <v/>
      </c>
      <c r="V484" s="138">
        <f>IF(R484="","",IFERROR(IF(Разбивка_по_щитам!M484=0,"",Разбивка_по_щитам!M484),""))</f>
        <v/>
      </c>
      <c r="W484" s="156">
        <f t="shared" si="307"/>
        <v/>
      </c>
      <c r="X484" s="157">
        <f t="shared" si="308"/>
        <v/>
      </c>
      <c r="Y484" s="266"/>
      <c r="Z484" s="158">
        <f t="shared" si="309"/>
        <v/>
      </c>
      <c r="AA484" s="160">
        <f t="shared" si="310"/>
        <v/>
      </c>
      <c r="AB484" s="160">
        <f>IF(R484="","",IFERROR(LOOKUP(INDEX(Справочная!$I$4:$I$19,MATCH(VLOOKUP(R484,Исходные_данные,22,FALSE),Справочная!$J$4:$J$19,0)+1),{6,10,16,20,25,32,40,50,63,80,100,125}),""))</f>
        <v/>
      </c>
      <c r="AC484" s="160">
        <f t="shared" si="311"/>
        <v/>
      </c>
      <c r="AD484" s="161">
        <f t="shared" si="312"/>
        <v/>
      </c>
      <c r="AE484" s="161">
        <f>IF(AND(R484="",G484=""),"",_xlfn.TEXTJOIN("; ",TRUE,IF(AND(R484&lt;&gt;"",V484=""),"нет фазы",""),IF(AND(R484&lt;&gt;"",N(T484)=0),"нет мощности",""),IF(AND(P484&lt;&gt;"",COUNTIFS($A$3:$A$1000,A484,$P$3:$P$1000,P484)&gt;1),"дубль клеммы "&amp;P484,""),IF(AND(W484&lt;&gt;"",W484&lt;&gt;"ok"),W484,""),IF(X484&lt;&gt;"",X484,""),IF(AND(ISNUMBER(SEARCH("(5х",Q484)),N(AK484)=1),"5 жил на 1 фазе",""),IF(AND(AL484="R",E484&lt;&gt;"",N(AS484)=0),"розетка без 30 мА",""),IF(IFERROR(_xlfn.NUMBERVALUE(MID(Q484,FIND("-",Q484,FIND("L=",Q484))+1,FIND("%",Q484)-FIND("-",Q484,FIND("L=",Q484))-1),","),0)&gt;4,"потери &gt; 4 %","")))</f>
      </c>
      <c r="AF484" s="129">
        <f>IF(E484&lt;&gt;"",COUNTIFS($A$3:A484,A484,$E$3:E484,"?*"),IF(OR(A484&lt;&gt;A483,Y484="вручную"),"",AF483))</f>
        <v/>
      </c>
      <c r="AG484" s="129">
        <f t="shared" si="313"/>
        <v/>
      </c>
      <c r="AH484" s="129">
        <f t="shared" si="314"/>
        <v/>
      </c>
      <c r="AI484" s="129">
        <f t="shared" si="315"/>
        <v/>
      </c>
      <c r="AJ484" s="129">
        <f t="shared" si="316"/>
        <v/>
      </c>
      <c r="AK484" s="129">
        <f t="shared" si="317"/>
        <v/>
      </c>
      <c r="AL484" s="129">
        <f t="shared" si="318"/>
        <v/>
      </c>
      <c r="AM484" s="129">
        <f t="shared" si="319"/>
      </c>
      <c r="AN484" s="129">
        <f t="shared" si="320"/>
      </c>
      <c r="AO484" s="129">
        <f t="shared" si="321"/>
        <v/>
      </c>
      <c r="AP484" s="129">
        <f t="shared" si="322"/>
        <v/>
      </c>
      <c r="AQ484" s="129">
        <f t="shared" si="323"/>
        <v/>
      </c>
      <c r="AR484" s="129">
        <f t="shared" si="324"/>
        <v/>
      </c>
      <c r="AS484" s="129">
        <f t="shared" si="325"/>
        <v/>
      </c>
      <c r="AT484" s="129">
        <f t="shared" si="326"/>
        <v/>
      </c>
      <c r="AU484" s="129">
        <f t="shared" si="327"/>
        <v/>
      </c>
      <c r="AV484" s="129">
        <f t="shared" si="328"/>
        <v/>
      </c>
      <c r="AW484" s="129">
        <f>IF(AV484="","",AV484&amp;"."&amp;COUNTIFS($A$3:A484,A484,$AV$3:AV484,AV484))</f>
        <v/>
      </c>
      <c r="AX484" s="129">
        <f t="shared" si="329"/>
        <v/>
      </c>
      <c r="AY484" s="129">
        <f>IF(N484="б/к",0,IF(OR(ISNUMBER(SEARCH("L=",Разбивка_по_щитам!P484)),N484="+",N484="="),1,0))</f>
      </c>
      <c r="AZ484" s="129">
        <f t="shared" si="330"/>
        <v/>
      </c>
      <c r="BA484" s="129">
        <f t="shared" si="331"/>
      </c>
      <c r="BB484" s="129">
        <f t="shared" si="332"/>
      </c>
      <c r="BD484" s="129">
        <f t="shared" si="333"/>
      </c>
      <c r="BE484" s="129">
        <f t="shared" si="334"/>
      </c>
      <c r="BF484" s="129">
        <f t="shared" si="335"/>
      </c>
      <c r="BG484" s="129">
        <f t="shared" si="336"/>
        <v/>
      </c>
      <c r="BH484" s="129">
        <f t="shared" si="337"/>
        <v/>
      </c>
      <c r="BI484" s="129">
        <f t="shared" si="338"/>
        <v/>
      </c>
      <c r="BJ484" s="129">
        <f t="shared" si="339"/>
        <v/>
      </c>
      <c r="BK484" s="129">
        <f>IF(R484="","",IF(OR(BY484="",BY484=0),"BOX",IFERROR(IF(VLOOKUP(BY484,УГО_блоки,3,FALSE)&amp;""&lt;&gt;"",VLOOKUP(BY484,УГО_блоки,3,FALSE),VLOOKUP(BY484,УГО_блоки,2,FALSE)),BY484)))</f>
      </c>
      <c r="BL484" s="129">
        <f t="shared" si="341"/>
      </c>
      <c r="BM484" s="129">
        <f>IF(H484="","",IF(COUNTIF($H$3:H484,H484)=1,MAX($BM$2:BM483)+1,""))</f>
      </c>
      <c r="BN484" s="129">
        <f>IF(I484="","",IF(COUNTIF($I$3:I484,I484)+COUNTIF($J$2:J483,I484)+COUNTIF($K$2:K483,I484)=1,MAX($BN$2:BP483)+1,""))</f>
      </c>
      <c r="BO484" s="129">
        <f>IF(J484="","",IF(COUNTIF($I$3:I484,J484)+COUNTIF($J$3:J484,J484)+COUNTIF($K$2:K483,J484)=1,MAX($BN$2:BP483,BN484)+1,""))</f>
      </c>
      <c r="BP484" s="129">
        <f>IF(K484="","",IF(COUNTIF($I$3:I484,K484)+COUNTIF($J$3:J484,K484)+COUNTIF($K$3:K484,K484)=1,MAX($BN$2:BP483,BN484,BO484)+1,""))</f>
      </c>
      <c r="BQ484" s="129">
        <f>IF(AY484=1,IFERROR(MID(Q484,FIND(" (",Q484)+2,FIND(")",Q484,FIND(" (",Q484))-FIND(" (",Q484)-2),"?"),"")</f>
      </c>
      <c r="BR484" s="129">
        <f>IF(BQ484="","",IF(COUNTIF($BQ$3:BQ484,BQ484)=1,MAX($BR$2:BR483)+1,""))</f>
      </c>
      <c r="BS484" s="129">
        <f>IF(AW484="","",COUNTIF($AW$3:AW484,"?*"))</f>
      </c>
      <c r="BT484" s="129">
        <f>IF(OR(AW484="",AI484=""),"",IF(COUNTIFS($AW$3:AW484,"?*",$AI$3:AI484,AI484)=1,MAX($BT$2:BT483)+1,""))</f>
      </c>
      <c r="BU484" s="129">
        <f>IF(AE484="",0,IF(OR(ISNUMBER(SEARCH("дубль",AE484)),ISNUMBER(SEARCH("ПЕРЕГРУЗ",AE484)),ISNUMBER(SEARCH("ЗАЩИЩ",AE484)),ISNUMBER(SEARCH("КАНАЛ",AE484)),ISNUMBER(SEARCH("без 30",AE484))),2,1))</f>
      </c>
      <c r="BV484" s="129">
        <f>IF(R484="","",COUNTIF($R$3:R484,"?*"))</f>
      </c>
      <c r="BW484" s="129">
        <f>IF(AY484&lt;&gt;1,0,IF(MAX(IFERROR(--VLOOKUP(R484,УГО_спр,5,FALSE),0),IFERROR(--VLOOKUP(AL484,УГО_спр,5,FALSE),0),IFERROR(--VLOOKUP(LEFT(AL484,2),УГО_спр,5,FALSE),0))&gt;0,MAX(IFERROR(--VLOOKUP(R484,УГО_спр,5,FALSE),0),IFERROR(--VLOOKUP(AL484,УГО_спр,5,FALSE),0),IFERROR(--VLOOKUP(LEFT(AL484,2),УГО_спр,5,FALSE),0)),IF(IFERROR(--LEFT(SUBSTITUTE(BQ484,"x","х"),FIND("х",SUBSTITUTE(BQ484,"x","х"))-1),3)&gt;3,Каталог!$S$9,1)))</f>
      </c>
      <c r="BX484" s="129">
        <f>IF(AY484&lt;&gt;1,0,MAX(0,IFERROR(--LEFT(SUBSTITUTE(BQ484,"x","х"),FIND("х",SUBSTITUTE(BQ484,"x","х"))-1),3)-3*BW484))</f>
      </c>
      <c r="BY484" s="129">
        <f>IF(R484="","",IFERROR(VLOOKUP(R484,УГО_спр,2,FALSE),IFERROR(VLOOKUP(AL484,УГО_спр,2,FALSE),IFERROR(VLOOKUP(LEFT(AL484,2),УГО_спр,2,FALSE),""))))</f>
      </c>
    </row>
    <row r="485" spans="1:64" x14ac:dyDescent="0.3">
      <c r="A485" s="135">
        <f>IF(Разбивка_по_щитам!F485=0,"",Разбивка_по_щитам!F485)</f>
        <v/>
      </c>
      <c r="B485" s="138">
        <f>IF(A485="","",Разбивка_по_щитам!C485)</f>
        <v/>
      </c>
      <c r="C485" s="138">
        <f t="shared" si="302"/>
        <v/>
      </c>
      <c r="D485" s="266"/>
      <c r="E485" s="266"/>
      <c r="F485" s="267"/>
      <c r="G485" s="145">
        <f t="shared" si="303"/>
        <v/>
      </c>
      <c r="H485" s="145">
        <f t="shared" si="304"/>
        <v/>
      </c>
      <c r="I485" s="266"/>
      <c r="J485" s="267"/>
      <c r="K485" s="267"/>
      <c r="L485" s="266"/>
      <c r="M485" s="147">
        <f t="shared" si="305"/>
        <v/>
      </c>
      <c r="N485" s="267"/>
      <c r="O485" s="147">
        <f t="shared" si="306"/>
        <v/>
      </c>
      <c r="P485" s="268">
        <f>IF(AY485=1,"XT"&amp;COUNTIFS($A$3:A485,A485,$AY$3:AY485,1),"")</f>
        <v/>
      </c>
      <c r="Q485" s="152">
        <f>IF(R485="","",IFERROR(SUBSTITUTE(Разбивка_по_щитам!P485,CHAR(10)," "),""))</f>
        <v/>
      </c>
      <c r="R485" s="153">
        <f>IF(OR(Разбивка_по_щитам!H485="",Разбивка_по_щитам!H485=0),"",Разбивка_по_щитам!H485)</f>
        <v/>
      </c>
      <c r="S485" s="154">
        <f>IF(R485="","",IFERROR(Разбивка_по_щитам!J485&amp;"",""))</f>
        <v/>
      </c>
      <c r="T485" s="155">
        <f>IF(R485="","",IFERROR(--Разбивка_по_щитам!L485,""))</f>
        <v/>
      </c>
      <c r="U485" s="155">
        <f>IF(R485="","",IFERROR(--Разбивка_по_щитам!K485,""))</f>
        <v/>
      </c>
      <c r="V485" s="138">
        <f>IF(R485="","",IFERROR(IF(Разбивка_по_щитам!M485=0,"",Разбивка_по_щитам!M485),""))</f>
        <v/>
      </c>
      <c r="W485" s="156">
        <f t="shared" si="307"/>
        <v/>
      </c>
      <c r="X485" s="157">
        <f t="shared" si="308"/>
        <v/>
      </c>
      <c r="Y485" s="266"/>
      <c r="Z485" s="158">
        <f t="shared" si="309"/>
        <v/>
      </c>
      <c r="AA485" s="160">
        <f t="shared" si="310"/>
        <v/>
      </c>
      <c r="AB485" s="160">
        <f>IF(R485="","",IFERROR(LOOKUP(INDEX(Справочная!$I$4:$I$19,MATCH(VLOOKUP(R485,Исходные_данные,22,FALSE),Справочная!$J$4:$J$19,0)+1),{6,10,16,20,25,32,40,50,63,80,100,125}),""))</f>
        <v/>
      </c>
      <c r="AC485" s="160">
        <f t="shared" si="311"/>
        <v/>
      </c>
      <c r="AD485" s="161">
        <f t="shared" si="312"/>
        <v/>
      </c>
      <c r="AE485" s="161">
        <f>IF(AND(R485="",G485=""),"",_xlfn.TEXTJOIN("; ",TRUE,IF(AND(R485&lt;&gt;"",V485=""),"нет фазы",""),IF(AND(R485&lt;&gt;"",N(T485)=0),"нет мощности",""),IF(AND(P485&lt;&gt;"",COUNTIFS($A$3:$A$1000,A485,$P$3:$P$1000,P485)&gt;1),"дубль клеммы "&amp;P485,""),IF(AND(W485&lt;&gt;"",W485&lt;&gt;"ok"),W485,""),IF(X485&lt;&gt;"",X485,""),IF(AND(ISNUMBER(SEARCH("(5х",Q485)),N(AK485)=1),"5 жил на 1 фазе",""),IF(AND(AL485="R",E485&lt;&gt;"",N(AS485)=0),"розетка без 30 мА",""),IF(IFERROR(_xlfn.NUMBERVALUE(MID(Q485,FIND("-",Q485,FIND("L=",Q485))+1,FIND("%",Q485)-FIND("-",Q485,FIND("L=",Q485))-1),","),0)&gt;4,"потери &gt; 4 %","")))</f>
      </c>
      <c r="AF485" s="129">
        <f>IF(E485&lt;&gt;"",COUNTIFS($A$3:A485,A485,$E$3:E485,"?*"),IF(OR(A485&lt;&gt;A484,Y485="вручную"),"",AF484))</f>
        <v/>
      </c>
      <c r="AG485" s="129">
        <f t="shared" si="313"/>
        <v/>
      </c>
      <c r="AH485" s="129">
        <f t="shared" si="314"/>
        <v/>
      </c>
      <c r="AI485" s="129">
        <f t="shared" si="315"/>
        <v/>
      </c>
      <c r="AJ485" s="129">
        <f t="shared" si="316"/>
        <v/>
      </c>
      <c r="AK485" s="129">
        <f t="shared" si="317"/>
        <v/>
      </c>
      <c r="AL485" s="129">
        <f t="shared" si="318"/>
        <v/>
      </c>
      <c r="AM485" s="129">
        <f t="shared" si="319"/>
      </c>
      <c r="AN485" s="129">
        <f t="shared" si="320"/>
      </c>
      <c r="AO485" s="129">
        <f t="shared" si="321"/>
        <v/>
      </c>
      <c r="AP485" s="129">
        <f t="shared" si="322"/>
        <v/>
      </c>
      <c r="AQ485" s="129">
        <f t="shared" si="323"/>
        <v/>
      </c>
      <c r="AR485" s="129">
        <f t="shared" si="324"/>
        <v/>
      </c>
      <c r="AS485" s="129">
        <f t="shared" si="325"/>
        <v/>
      </c>
      <c r="AT485" s="129">
        <f t="shared" si="326"/>
        <v/>
      </c>
      <c r="AU485" s="129">
        <f t="shared" si="327"/>
        <v/>
      </c>
      <c r="AV485" s="129">
        <f t="shared" si="328"/>
        <v/>
      </c>
      <c r="AW485" s="129">
        <f>IF(AV485="","",AV485&amp;"."&amp;COUNTIFS($A$3:A485,A485,$AV$3:AV485,AV485))</f>
        <v/>
      </c>
      <c r="AX485" s="129">
        <f t="shared" si="329"/>
        <v/>
      </c>
      <c r="AY485" s="129">
        <f>IF(N485="б/к",0,IF(OR(ISNUMBER(SEARCH("L=",Разбивка_по_щитам!P485)),N485="+",N485="="),1,0))</f>
      </c>
      <c r="AZ485" s="129">
        <f t="shared" si="330"/>
        <v/>
      </c>
      <c r="BA485" s="129">
        <f t="shared" si="331"/>
      </c>
      <c r="BB485" s="129">
        <f t="shared" si="332"/>
      </c>
      <c r="BD485" s="129">
        <f t="shared" si="333"/>
      </c>
      <c r="BE485" s="129">
        <f t="shared" si="334"/>
      </c>
      <c r="BF485" s="129">
        <f t="shared" si="335"/>
      </c>
      <c r="BG485" s="129">
        <f t="shared" si="336"/>
        <v/>
      </c>
      <c r="BH485" s="129">
        <f t="shared" si="337"/>
        <v/>
      </c>
      <c r="BI485" s="129">
        <f t="shared" si="338"/>
        <v/>
      </c>
      <c r="BJ485" s="129">
        <f t="shared" si="339"/>
        <v/>
      </c>
      <c r="BK485" s="129">
        <f>IF(R485="","",IF(OR(BY485="",BY485=0),"BOX",IFERROR(IF(VLOOKUP(BY485,УГО_блоки,3,FALSE)&amp;""&lt;&gt;"",VLOOKUP(BY485,УГО_блоки,3,FALSE),VLOOKUP(BY485,УГО_блоки,2,FALSE)),BY485)))</f>
      </c>
      <c r="BL485" s="129">
        <f t="shared" si="341"/>
      </c>
      <c r="BM485" s="129">
        <f>IF(H485="","",IF(COUNTIF($H$3:H485,H485)=1,MAX($BM$2:BM484)+1,""))</f>
      </c>
      <c r="BN485" s="129">
        <f>IF(I485="","",IF(COUNTIF($I$3:I485,I485)+COUNTIF($J$2:J484,I485)+COUNTIF($K$2:K484,I485)=1,MAX($BN$2:BP484)+1,""))</f>
      </c>
      <c r="BO485" s="129">
        <f>IF(J485="","",IF(COUNTIF($I$3:I485,J485)+COUNTIF($J$3:J485,J485)+COUNTIF($K$2:K484,J485)=1,MAX($BN$2:BP484,BN485)+1,""))</f>
      </c>
      <c r="BP485" s="129">
        <f>IF(K485="","",IF(COUNTIF($I$3:I485,K485)+COUNTIF($J$3:J485,K485)+COUNTIF($K$3:K485,K485)=1,MAX($BN$2:BP484,BN485,BO485)+1,""))</f>
      </c>
      <c r="BQ485" s="129">
        <f>IF(AY485=1,IFERROR(MID(Q485,FIND(" (",Q485)+2,FIND(")",Q485,FIND(" (",Q485))-FIND(" (",Q485)-2),"?"),"")</f>
      </c>
      <c r="BR485" s="129">
        <f>IF(BQ485="","",IF(COUNTIF($BQ$3:BQ485,BQ485)=1,MAX($BR$2:BR484)+1,""))</f>
      </c>
      <c r="BS485" s="129">
        <f>IF(AW485="","",COUNTIF($AW$3:AW485,"?*"))</f>
      </c>
      <c r="BT485" s="129">
        <f>IF(OR(AW485="",AI485=""),"",IF(COUNTIFS($AW$3:AW485,"?*",$AI$3:AI485,AI485)=1,MAX($BT$2:BT484)+1,""))</f>
      </c>
      <c r="BU485" s="129">
        <f>IF(AE485="",0,IF(OR(ISNUMBER(SEARCH("дубль",AE485)),ISNUMBER(SEARCH("ПЕРЕГРУЗ",AE485)),ISNUMBER(SEARCH("ЗАЩИЩ",AE485)),ISNUMBER(SEARCH("КАНАЛ",AE485)),ISNUMBER(SEARCH("без 30",AE485))),2,1))</f>
      </c>
      <c r="BV485" s="129">
        <f>IF(R485="","",COUNTIF($R$3:R485,"?*"))</f>
      </c>
      <c r="BW485" s="129">
        <f>IF(AY485&lt;&gt;1,0,IF(MAX(IFERROR(--VLOOKUP(R485,УГО_спр,5,FALSE),0),IFERROR(--VLOOKUP(AL485,УГО_спр,5,FALSE),0),IFERROR(--VLOOKUP(LEFT(AL485,2),УГО_спр,5,FALSE),0))&gt;0,MAX(IFERROR(--VLOOKUP(R485,УГО_спр,5,FALSE),0),IFERROR(--VLOOKUP(AL485,УГО_спр,5,FALSE),0),IFERROR(--VLOOKUP(LEFT(AL485,2),УГО_спр,5,FALSE),0)),IF(IFERROR(--LEFT(SUBSTITUTE(BQ485,"x","х"),FIND("х",SUBSTITUTE(BQ485,"x","х"))-1),3)&gt;3,Каталог!$S$9,1)))</f>
      </c>
      <c r="BX485" s="129">
        <f>IF(AY485&lt;&gt;1,0,MAX(0,IFERROR(--LEFT(SUBSTITUTE(BQ485,"x","х"),FIND("х",SUBSTITUTE(BQ485,"x","х"))-1),3)-3*BW485))</f>
      </c>
      <c r="BY485" s="129">
        <f>IF(R485="","",IFERROR(VLOOKUP(R485,УГО_спр,2,FALSE),IFERROR(VLOOKUP(AL485,УГО_спр,2,FALSE),IFERROR(VLOOKUP(LEFT(AL485,2),УГО_спр,2,FALSE),""))))</f>
      </c>
    </row>
    <row r="486" spans="1:64" x14ac:dyDescent="0.3">
      <c r="A486" s="135">
        <f>IF(Разбивка_по_щитам!F486=0,"",Разбивка_по_щитам!F486)</f>
        <v/>
      </c>
      <c r="B486" s="138">
        <f>IF(A486="","",Разбивка_по_щитам!C486)</f>
        <v/>
      </c>
      <c r="C486" s="138">
        <f t="shared" si="302"/>
        <v/>
      </c>
      <c r="D486" s="266"/>
      <c r="E486" s="266"/>
      <c r="F486" s="267"/>
      <c r="G486" s="145">
        <f t="shared" si="303"/>
        <v/>
      </c>
      <c r="H486" s="145">
        <f t="shared" si="304"/>
        <v/>
      </c>
      <c r="I486" s="266"/>
      <c r="J486" s="267"/>
      <c r="K486" s="267"/>
      <c r="L486" s="266"/>
      <c r="M486" s="147">
        <f t="shared" si="305"/>
        <v/>
      </c>
      <c r="N486" s="267"/>
      <c r="O486" s="147">
        <f t="shared" si="306"/>
        <v/>
      </c>
      <c r="P486" s="268">
        <f>IF(AY486=1,"XT"&amp;COUNTIFS($A$3:A486,A486,$AY$3:AY486,1),"")</f>
        <v/>
      </c>
      <c r="Q486" s="152">
        <f>IF(R486="","",IFERROR(SUBSTITUTE(Разбивка_по_щитам!P486,CHAR(10)," "),""))</f>
        <v/>
      </c>
      <c r="R486" s="153">
        <f>IF(OR(Разбивка_по_щитам!H486="",Разбивка_по_щитам!H486=0),"",Разбивка_по_щитам!H486)</f>
        <v/>
      </c>
      <c r="S486" s="154">
        <f>IF(R486="","",IFERROR(Разбивка_по_щитам!J486&amp;"",""))</f>
        <v/>
      </c>
      <c r="T486" s="155">
        <f>IF(R486="","",IFERROR(--Разбивка_по_щитам!L486,""))</f>
        <v/>
      </c>
      <c r="U486" s="155">
        <f>IF(R486="","",IFERROR(--Разбивка_по_щитам!K486,""))</f>
        <v/>
      </c>
      <c r="V486" s="138">
        <f>IF(R486="","",IFERROR(IF(Разбивка_по_щитам!M486=0,"",Разбивка_по_щитам!M486),""))</f>
        <v/>
      </c>
      <c r="W486" s="156">
        <f t="shared" si="307"/>
        <v/>
      </c>
      <c r="X486" s="157">
        <f t="shared" si="308"/>
        <v/>
      </c>
      <c r="Y486" s="266"/>
      <c r="Z486" s="158">
        <f t="shared" si="309"/>
        <v/>
      </c>
      <c r="AA486" s="160">
        <f t="shared" si="310"/>
        <v/>
      </c>
      <c r="AB486" s="160">
        <f>IF(R486="","",IFERROR(LOOKUP(INDEX(Справочная!$I$4:$I$19,MATCH(VLOOKUP(R486,Исходные_данные,22,FALSE),Справочная!$J$4:$J$19,0)+1),{6,10,16,20,25,32,40,50,63,80,100,125}),""))</f>
        <v/>
      </c>
      <c r="AC486" s="160">
        <f t="shared" si="311"/>
        <v/>
      </c>
      <c r="AD486" s="161">
        <f t="shared" si="312"/>
        <v/>
      </c>
      <c r="AE486" s="161">
        <f>IF(AND(R486="",G486=""),"",_xlfn.TEXTJOIN("; ",TRUE,IF(AND(R486&lt;&gt;"",V486=""),"нет фазы",""),IF(AND(R486&lt;&gt;"",N(T486)=0),"нет мощности",""),IF(AND(P486&lt;&gt;"",COUNTIFS($A$3:$A$1000,A486,$P$3:$P$1000,P486)&gt;1),"дубль клеммы "&amp;P486,""),IF(AND(W486&lt;&gt;"",W486&lt;&gt;"ok"),W486,""),IF(X486&lt;&gt;"",X486,""),IF(AND(ISNUMBER(SEARCH("(5х",Q486)),N(AK486)=1),"5 жил на 1 фазе",""),IF(AND(AL486="R",E486&lt;&gt;"",N(AS486)=0),"розетка без 30 мА",""),IF(IFERROR(_xlfn.NUMBERVALUE(MID(Q486,FIND("-",Q486,FIND("L=",Q486))+1,FIND("%",Q486)-FIND("-",Q486,FIND("L=",Q486))-1),","),0)&gt;4,"потери &gt; 4 %","")))</f>
      </c>
      <c r="AF486" s="129">
        <f>IF(E486&lt;&gt;"",COUNTIFS($A$3:A486,A486,$E$3:E486,"?*"),IF(OR(A486&lt;&gt;A485,Y486="вручную"),"",AF485))</f>
        <v/>
      </c>
      <c r="AG486" s="129">
        <f t="shared" si="313"/>
        <v/>
      </c>
      <c r="AH486" s="129">
        <f t="shared" si="314"/>
        <v/>
      </c>
      <c r="AI486" s="129">
        <f t="shared" si="315"/>
        <v/>
      </c>
      <c r="AJ486" s="129">
        <f t="shared" si="316"/>
        <v/>
      </c>
      <c r="AK486" s="129">
        <f t="shared" si="317"/>
        <v/>
      </c>
      <c r="AL486" s="129">
        <f t="shared" si="318"/>
        <v/>
      </c>
      <c r="AM486" s="129">
        <f t="shared" si="319"/>
      </c>
      <c r="AN486" s="129">
        <f t="shared" si="320"/>
      </c>
      <c r="AO486" s="129">
        <f t="shared" si="321"/>
        <v/>
      </c>
      <c r="AP486" s="129">
        <f t="shared" si="322"/>
        <v/>
      </c>
      <c r="AQ486" s="129">
        <f t="shared" si="323"/>
        <v/>
      </c>
      <c r="AR486" s="129">
        <f t="shared" si="324"/>
        <v/>
      </c>
      <c r="AS486" s="129">
        <f t="shared" si="325"/>
        <v/>
      </c>
      <c r="AT486" s="129">
        <f t="shared" si="326"/>
        <v/>
      </c>
      <c r="AU486" s="129">
        <f t="shared" si="327"/>
        <v/>
      </c>
      <c r="AV486" s="129">
        <f t="shared" si="328"/>
        <v/>
      </c>
      <c r="AW486" s="129">
        <f>IF(AV486="","",AV486&amp;"."&amp;COUNTIFS($A$3:A486,A486,$AV$3:AV486,AV486))</f>
        <v/>
      </c>
      <c r="AX486" s="129">
        <f t="shared" si="329"/>
        <v/>
      </c>
      <c r="AY486" s="129">
        <f>IF(N486="б/к",0,IF(OR(ISNUMBER(SEARCH("L=",Разбивка_по_щитам!P486)),N486="+",N486="="),1,0))</f>
      </c>
      <c r="AZ486" s="129">
        <f t="shared" si="330"/>
        <v/>
      </c>
      <c r="BA486" s="129">
        <f t="shared" si="331"/>
      </c>
      <c r="BB486" s="129">
        <f t="shared" si="332"/>
      </c>
      <c r="BD486" s="129">
        <f t="shared" si="333"/>
      </c>
      <c r="BE486" s="129">
        <f t="shared" si="334"/>
      </c>
      <c r="BF486" s="129">
        <f t="shared" si="335"/>
      </c>
      <c r="BG486" s="129">
        <f t="shared" si="336"/>
        <v/>
      </c>
      <c r="BH486" s="129">
        <f t="shared" si="337"/>
        <v/>
      </c>
      <c r="BI486" s="129">
        <f t="shared" si="338"/>
        <v/>
      </c>
      <c r="BJ486" s="129">
        <f t="shared" si="339"/>
        <v/>
      </c>
      <c r="BK486" s="129">
        <f>IF(R486="","",IF(OR(BY486="",BY486=0),"BOX",IFERROR(IF(VLOOKUP(BY486,УГО_блоки,3,FALSE)&amp;""&lt;&gt;"",VLOOKUP(BY486,УГО_блоки,3,FALSE),VLOOKUP(BY486,УГО_блоки,2,FALSE)),BY486)))</f>
      </c>
      <c r="BL486" s="129">
        <f t="shared" si="341"/>
      </c>
      <c r="BM486" s="129">
        <f>IF(H486="","",IF(COUNTIF($H$3:H486,H486)=1,MAX($BM$2:BM485)+1,""))</f>
      </c>
      <c r="BN486" s="129">
        <f>IF(I486="","",IF(COUNTIF($I$3:I486,I486)+COUNTIF($J$2:J485,I486)+COUNTIF($K$2:K485,I486)=1,MAX($BN$2:BP485)+1,""))</f>
      </c>
      <c r="BO486" s="129">
        <f>IF(J486="","",IF(COUNTIF($I$3:I486,J486)+COUNTIF($J$3:J486,J486)+COUNTIF($K$2:K485,J486)=1,MAX($BN$2:BP485,BN486)+1,""))</f>
      </c>
      <c r="BP486" s="129">
        <f>IF(K486="","",IF(COUNTIF($I$3:I486,K486)+COUNTIF($J$3:J486,K486)+COUNTIF($K$3:K486,K486)=1,MAX($BN$2:BP485,BN486,BO486)+1,""))</f>
      </c>
      <c r="BQ486" s="129">
        <f>IF(AY486=1,IFERROR(MID(Q486,FIND(" (",Q486)+2,FIND(")",Q486,FIND(" (",Q486))-FIND(" (",Q486)-2),"?"),"")</f>
      </c>
      <c r="BR486" s="129">
        <f>IF(BQ486="","",IF(COUNTIF($BQ$3:BQ486,BQ486)=1,MAX($BR$2:BR485)+1,""))</f>
      </c>
      <c r="BS486" s="129">
        <f>IF(AW486="","",COUNTIF($AW$3:AW486,"?*"))</f>
      </c>
      <c r="BT486" s="129">
        <f>IF(OR(AW486="",AI486=""),"",IF(COUNTIFS($AW$3:AW486,"?*",$AI$3:AI486,AI486)=1,MAX($BT$2:BT485)+1,""))</f>
      </c>
      <c r="BU486" s="129">
        <f>IF(AE486="",0,IF(OR(ISNUMBER(SEARCH("дубль",AE486)),ISNUMBER(SEARCH("ПЕРЕГРУЗ",AE486)),ISNUMBER(SEARCH("ЗАЩИЩ",AE486)),ISNUMBER(SEARCH("КАНАЛ",AE486)),ISNUMBER(SEARCH("без 30",AE486))),2,1))</f>
      </c>
      <c r="BV486" s="129">
        <f>IF(R486="","",COUNTIF($R$3:R486,"?*"))</f>
      </c>
      <c r="BW486" s="129">
        <f>IF(AY486&lt;&gt;1,0,IF(MAX(IFERROR(--VLOOKUP(R486,УГО_спр,5,FALSE),0),IFERROR(--VLOOKUP(AL486,УГО_спр,5,FALSE),0),IFERROR(--VLOOKUP(LEFT(AL486,2),УГО_спр,5,FALSE),0))&gt;0,MAX(IFERROR(--VLOOKUP(R486,УГО_спр,5,FALSE),0),IFERROR(--VLOOKUP(AL486,УГО_спр,5,FALSE),0),IFERROR(--VLOOKUP(LEFT(AL486,2),УГО_спр,5,FALSE),0)),IF(IFERROR(--LEFT(SUBSTITUTE(BQ486,"x","х"),FIND("х",SUBSTITUTE(BQ486,"x","х"))-1),3)&gt;3,Каталог!$S$9,1)))</f>
      </c>
      <c r="BX486" s="129">
        <f>IF(AY486&lt;&gt;1,0,MAX(0,IFERROR(--LEFT(SUBSTITUTE(BQ486,"x","х"),FIND("х",SUBSTITUTE(BQ486,"x","х"))-1),3)-3*BW486))</f>
      </c>
      <c r="BY486" s="129">
        <f>IF(R486="","",IFERROR(VLOOKUP(R486,УГО_спр,2,FALSE),IFERROR(VLOOKUP(AL486,УГО_спр,2,FALSE),IFERROR(VLOOKUP(LEFT(AL486,2),УГО_спр,2,FALSE),""))))</f>
      </c>
    </row>
    <row r="487" spans="1:64" x14ac:dyDescent="0.3">
      <c r="A487" s="135">
        <f>IF(Разбивка_по_щитам!F487=0,"",Разбивка_по_щитам!F487)</f>
        <v/>
      </c>
      <c r="B487" s="138">
        <f>IF(A487="","",Разбивка_по_щитам!C487)</f>
        <v/>
      </c>
      <c r="C487" s="138">
        <f t="shared" si="302"/>
        <v/>
      </c>
      <c r="D487" s="266"/>
      <c r="E487" s="266"/>
      <c r="F487" s="267"/>
      <c r="G487" s="145">
        <f t="shared" si="303"/>
        <v/>
      </c>
      <c r="H487" s="145">
        <f t="shared" si="304"/>
        <v/>
      </c>
      <c r="I487" s="266"/>
      <c r="J487" s="267"/>
      <c r="K487" s="267"/>
      <c r="L487" s="266"/>
      <c r="M487" s="147">
        <f t="shared" si="305"/>
        <v/>
      </c>
      <c r="N487" s="267"/>
      <c r="O487" s="147">
        <f t="shared" si="306"/>
        <v/>
      </c>
      <c r="P487" s="268">
        <f>IF(AY487=1,"XT"&amp;COUNTIFS($A$3:A487,A487,$AY$3:AY487,1),"")</f>
        <v/>
      </c>
      <c r="Q487" s="152">
        <f>IF(R487="","",IFERROR(SUBSTITUTE(Разбивка_по_щитам!P487,CHAR(10)," "),""))</f>
        <v/>
      </c>
      <c r="R487" s="153">
        <f>IF(OR(Разбивка_по_щитам!H487="",Разбивка_по_щитам!H487=0),"",Разбивка_по_щитам!H487)</f>
        <v/>
      </c>
      <c r="S487" s="154">
        <f>IF(R487="","",IFERROR(Разбивка_по_щитам!J487&amp;"",""))</f>
        <v/>
      </c>
      <c r="T487" s="155">
        <f>IF(R487="","",IFERROR(--Разбивка_по_щитам!L487,""))</f>
        <v/>
      </c>
      <c r="U487" s="155">
        <f>IF(R487="","",IFERROR(--Разбивка_по_щитам!K487,""))</f>
        <v/>
      </c>
      <c r="V487" s="138">
        <f>IF(R487="","",IFERROR(IF(Разбивка_по_щитам!M487=0,"",Разбивка_по_щитам!M487),""))</f>
        <v/>
      </c>
      <c r="W487" s="156">
        <f t="shared" si="307"/>
        <v/>
      </c>
      <c r="X487" s="157">
        <f t="shared" si="308"/>
        <v/>
      </c>
      <c r="Y487" s="266"/>
      <c r="Z487" s="158">
        <f t="shared" si="309"/>
        <v/>
      </c>
      <c r="AA487" s="160">
        <f t="shared" si="310"/>
        <v/>
      </c>
      <c r="AB487" s="160">
        <f>IF(R487="","",IFERROR(LOOKUP(INDEX(Справочная!$I$4:$I$19,MATCH(VLOOKUP(R487,Исходные_данные,22,FALSE),Справочная!$J$4:$J$19,0)+1),{6,10,16,20,25,32,40,50,63,80,100,125}),""))</f>
        <v/>
      </c>
      <c r="AC487" s="160">
        <f t="shared" si="311"/>
        <v/>
      </c>
      <c r="AD487" s="161">
        <f t="shared" si="312"/>
        <v/>
      </c>
      <c r="AE487" s="161">
        <f>IF(AND(R487="",G487=""),"",_xlfn.TEXTJOIN("; ",TRUE,IF(AND(R487&lt;&gt;"",V487=""),"нет фазы",""),IF(AND(R487&lt;&gt;"",N(T487)=0),"нет мощности",""),IF(AND(P487&lt;&gt;"",COUNTIFS($A$3:$A$1000,A487,$P$3:$P$1000,P487)&gt;1),"дубль клеммы "&amp;P487,""),IF(AND(W487&lt;&gt;"",W487&lt;&gt;"ok"),W487,""),IF(X487&lt;&gt;"",X487,""),IF(AND(ISNUMBER(SEARCH("(5х",Q487)),N(AK487)=1),"5 жил на 1 фазе",""),IF(AND(AL487="R",E487&lt;&gt;"",N(AS487)=0),"розетка без 30 мА",""),IF(IFERROR(_xlfn.NUMBERVALUE(MID(Q487,FIND("-",Q487,FIND("L=",Q487))+1,FIND("%",Q487)-FIND("-",Q487,FIND("L=",Q487))-1),","),0)&gt;4,"потери &gt; 4 %","")))</f>
      </c>
      <c r="AF487" s="129">
        <f>IF(E487&lt;&gt;"",COUNTIFS($A$3:A487,A487,$E$3:E487,"?*"),IF(OR(A487&lt;&gt;A486,Y487="вручную"),"",AF486))</f>
        <v/>
      </c>
      <c r="AG487" s="129">
        <f t="shared" si="313"/>
        <v/>
      </c>
      <c r="AH487" s="129">
        <f t="shared" si="314"/>
        <v/>
      </c>
      <c r="AI487" s="129">
        <f t="shared" si="315"/>
        <v/>
      </c>
      <c r="AJ487" s="129">
        <f t="shared" si="316"/>
        <v/>
      </c>
      <c r="AK487" s="129">
        <f t="shared" si="317"/>
        <v/>
      </c>
      <c r="AL487" s="129">
        <f t="shared" si="318"/>
        <v/>
      </c>
      <c r="AM487" s="129">
        <f t="shared" si="319"/>
      </c>
      <c r="AN487" s="129">
        <f t="shared" si="320"/>
      </c>
      <c r="AO487" s="129">
        <f t="shared" si="321"/>
        <v/>
      </c>
      <c r="AP487" s="129">
        <f t="shared" si="322"/>
        <v/>
      </c>
      <c r="AQ487" s="129">
        <f t="shared" si="323"/>
        <v/>
      </c>
      <c r="AR487" s="129">
        <f t="shared" si="324"/>
        <v/>
      </c>
      <c r="AS487" s="129">
        <f t="shared" si="325"/>
        <v/>
      </c>
      <c r="AT487" s="129">
        <f t="shared" si="326"/>
        <v/>
      </c>
      <c r="AU487" s="129">
        <f t="shared" si="327"/>
        <v/>
      </c>
      <c r="AV487" s="129">
        <f t="shared" si="328"/>
        <v/>
      </c>
      <c r="AW487" s="129">
        <f>IF(AV487="","",AV487&amp;"."&amp;COUNTIFS($A$3:A487,A487,$AV$3:AV487,AV487))</f>
        <v/>
      </c>
      <c r="AX487" s="129">
        <f t="shared" si="329"/>
        <v/>
      </c>
      <c r="AY487" s="129">
        <f>IF(N487="б/к",0,IF(OR(ISNUMBER(SEARCH("L=",Разбивка_по_щитам!P487)),N487="+",N487="="),1,0))</f>
      </c>
      <c r="AZ487" s="129">
        <f t="shared" si="330"/>
        <v/>
      </c>
      <c r="BA487" s="129">
        <f t="shared" si="331"/>
      </c>
      <c r="BB487" s="129">
        <f t="shared" si="332"/>
      </c>
      <c r="BD487" s="129">
        <f t="shared" si="333"/>
      </c>
      <c r="BE487" s="129">
        <f t="shared" si="334"/>
      </c>
      <c r="BF487" s="129">
        <f t="shared" si="335"/>
      </c>
      <c r="BG487" s="129">
        <f t="shared" si="336"/>
        <v/>
      </c>
      <c r="BH487" s="129">
        <f t="shared" si="337"/>
        <v/>
      </c>
      <c r="BI487" s="129">
        <f t="shared" si="338"/>
        <v/>
      </c>
      <c r="BJ487" s="129">
        <f t="shared" si="339"/>
        <v/>
      </c>
      <c r="BK487" s="129">
        <f>IF(R487="","",IF(OR(BY487="",BY487=0),"BOX",IFERROR(IF(VLOOKUP(BY487,УГО_блоки,3,FALSE)&amp;""&lt;&gt;"",VLOOKUP(BY487,УГО_блоки,3,FALSE),VLOOKUP(BY487,УГО_блоки,2,FALSE)),BY487)))</f>
      </c>
      <c r="BL487" s="129">
        <f t="shared" si="341"/>
      </c>
      <c r="BM487" s="129">
        <f>IF(H487="","",IF(COUNTIF($H$3:H487,H487)=1,MAX($BM$2:BM486)+1,""))</f>
      </c>
      <c r="BN487" s="129">
        <f>IF(I487="","",IF(COUNTIF($I$3:I487,I487)+COUNTIF($J$2:J486,I487)+COUNTIF($K$2:K486,I487)=1,MAX($BN$2:BP486)+1,""))</f>
      </c>
      <c r="BO487" s="129">
        <f>IF(J487="","",IF(COUNTIF($I$3:I487,J487)+COUNTIF($J$3:J487,J487)+COUNTIF($K$2:K486,J487)=1,MAX($BN$2:BP486,BN487)+1,""))</f>
      </c>
      <c r="BP487" s="129">
        <f>IF(K487="","",IF(COUNTIF($I$3:I487,K487)+COUNTIF($J$3:J487,K487)+COUNTIF($K$3:K487,K487)=1,MAX($BN$2:BP486,BN487,BO487)+1,""))</f>
      </c>
      <c r="BQ487" s="129">
        <f>IF(AY487=1,IFERROR(MID(Q487,FIND(" (",Q487)+2,FIND(")",Q487,FIND(" (",Q487))-FIND(" (",Q487)-2),"?"),"")</f>
      </c>
      <c r="BR487" s="129">
        <f>IF(BQ487="","",IF(COUNTIF($BQ$3:BQ487,BQ487)=1,MAX($BR$2:BR486)+1,""))</f>
      </c>
      <c r="BS487" s="129">
        <f>IF(AW487="","",COUNTIF($AW$3:AW487,"?*"))</f>
      </c>
      <c r="BT487" s="129">
        <f>IF(OR(AW487="",AI487=""),"",IF(COUNTIFS($AW$3:AW487,"?*",$AI$3:AI487,AI487)=1,MAX($BT$2:BT486)+1,""))</f>
      </c>
      <c r="BU487" s="129">
        <f>IF(AE487="",0,IF(OR(ISNUMBER(SEARCH("дубль",AE487)),ISNUMBER(SEARCH("ПЕРЕГРУЗ",AE487)),ISNUMBER(SEARCH("ЗАЩИЩ",AE487)),ISNUMBER(SEARCH("КАНАЛ",AE487)),ISNUMBER(SEARCH("без 30",AE487))),2,1))</f>
      </c>
      <c r="BV487" s="129">
        <f>IF(R487="","",COUNTIF($R$3:R487,"?*"))</f>
      </c>
      <c r="BW487" s="129">
        <f>IF(AY487&lt;&gt;1,0,IF(MAX(IFERROR(--VLOOKUP(R487,УГО_спр,5,FALSE),0),IFERROR(--VLOOKUP(AL487,УГО_спр,5,FALSE),0),IFERROR(--VLOOKUP(LEFT(AL487,2),УГО_спр,5,FALSE),0))&gt;0,MAX(IFERROR(--VLOOKUP(R487,УГО_спр,5,FALSE),0),IFERROR(--VLOOKUP(AL487,УГО_спр,5,FALSE),0),IFERROR(--VLOOKUP(LEFT(AL487,2),УГО_спр,5,FALSE),0)),IF(IFERROR(--LEFT(SUBSTITUTE(BQ487,"x","х"),FIND("х",SUBSTITUTE(BQ487,"x","х"))-1),3)&gt;3,Каталог!$S$9,1)))</f>
      </c>
      <c r="BX487" s="129">
        <f>IF(AY487&lt;&gt;1,0,MAX(0,IFERROR(--LEFT(SUBSTITUTE(BQ487,"x","х"),FIND("х",SUBSTITUTE(BQ487,"x","х"))-1),3)-3*BW487))</f>
      </c>
      <c r="BY487" s="129">
        <f>IF(R487="","",IFERROR(VLOOKUP(R487,УГО_спр,2,FALSE),IFERROR(VLOOKUP(AL487,УГО_спр,2,FALSE),IFERROR(VLOOKUP(LEFT(AL487,2),УГО_спр,2,FALSE),""))))</f>
      </c>
    </row>
    <row r="488" spans="1:64" x14ac:dyDescent="0.3">
      <c r="A488" s="135">
        <f>IF(Разбивка_по_щитам!F488=0,"",Разбивка_по_щитам!F488)</f>
        <v/>
      </c>
      <c r="B488" s="138">
        <f>IF(A488="","",Разбивка_по_щитам!C488)</f>
        <v/>
      </c>
      <c r="C488" s="138">
        <f t="shared" si="302"/>
        <v/>
      </c>
      <c r="D488" s="266"/>
      <c r="E488" s="266"/>
      <c r="F488" s="267"/>
      <c r="G488" s="145">
        <f t="shared" si="303"/>
        <v/>
      </c>
      <c r="H488" s="145">
        <f t="shared" si="304"/>
        <v/>
      </c>
      <c r="I488" s="266"/>
      <c r="J488" s="267"/>
      <c r="K488" s="267"/>
      <c r="L488" s="266"/>
      <c r="M488" s="147">
        <f t="shared" si="305"/>
        <v/>
      </c>
      <c r="N488" s="267"/>
      <c r="O488" s="147">
        <f t="shared" si="306"/>
        <v/>
      </c>
      <c r="P488" s="268">
        <f>IF(AY488=1,"XT"&amp;COUNTIFS($A$3:A488,A488,$AY$3:AY488,1),"")</f>
        <v/>
      </c>
      <c r="Q488" s="152">
        <f>IF(R488="","",IFERROR(SUBSTITUTE(Разбивка_по_щитам!P488,CHAR(10)," "),""))</f>
        <v/>
      </c>
      <c r="R488" s="153">
        <f>IF(OR(Разбивка_по_щитам!H488="",Разбивка_по_щитам!H488=0),"",Разбивка_по_щитам!H488)</f>
        <v/>
      </c>
      <c r="S488" s="154">
        <f>IF(R488="","",IFERROR(Разбивка_по_щитам!J488&amp;"",""))</f>
        <v/>
      </c>
      <c r="T488" s="155">
        <f>IF(R488="","",IFERROR(--Разбивка_по_щитам!L488,""))</f>
        <v/>
      </c>
      <c r="U488" s="155">
        <f>IF(R488="","",IFERROR(--Разбивка_по_щитам!K488,""))</f>
        <v/>
      </c>
      <c r="V488" s="138">
        <f>IF(R488="","",IFERROR(IF(Разбивка_по_щитам!M488=0,"",Разбивка_по_щитам!M488),""))</f>
        <v/>
      </c>
      <c r="W488" s="156">
        <f t="shared" si="307"/>
        <v/>
      </c>
      <c r="X488" s="157">
        <f t="shared" si="308"/>
        <v/>
      </c>
      <c r="Y488" s="266"/>
      <c r="Z488" s="158">
        <f t="shared" si="309"/>
        <v/>
      </c>
      <c r="AA488" s="160">
        <f t="shared" si="310"/>
        <v/>
      </c>
      <c r="AB488" s="160">
        <f>IF(R488="","",IFERROR(LOOKUP(INDEX(Справочная!$I$4:$I$19,MATCH(VLOOKUP(R488,Исходные_данные,22,FALSE),Справочная!$J$4:$J$19,0)+1),{6,10,16,20,25,32,40,50,63,80,100,125}),""))</f>
        <v/>
      </c>
      <c r="AC488" s="160">
        <f t="shared" si="311"/>
        <v/>
      </c>
      <c r="AD488" s="161">
        <f t="shared" si="312"/>
        <v/>
      </c>
      <c r="AE488" s="161">
        <f>IF(AND(R488="",G488=""),"",_xlfn.TEXTJOIN("; ",TRUE,IF(AND(R488&lt;&gt;"",V488=""),"нет фазы",""),IF(AND(R488&lt;&gt;"",N(T488)=0),"нет мощности",""),IF(AND(P488&lt;&gt;"",COUNTIFS($A$3:$A$1000,A488,$P$3:$P$1000,P488)&gt;1),"дубль клеммы "&amp;P488,""),IF(AND(W488&lt;&gt;"",W488&lt;&gt;"ok"),W488,""),IF(X488&lt;&gt;"",X488,""),IF(AND(ISNUMBER(SEARCH("(5х",Q488)),N(AK488)=1),"5 жил на 1 фазе",""),IF(AND(AL488="R",E488&lt;&gt;"",N(AS488)=0),"розетка без 30 мА",""),IF(IFERROR(_xlfn.NUMBERVALUE(MID(Q488,FIND("-",Q488,FIND("L=",Q488))+1,FIND("%",Q488)-FIND("-",Q488,FIND("L=",Q488))-1),","),0)&gt;4,"потери &gt; 4 %","")))</f>
      </c>
      <c r="AF488" s="129">
        <f>IF(E488&lt;&gt;"",COUNTIFS($A$3:A488,A488,$E$3:E488,"?*"),IF(OR(A488&lt;&gt;A487,Y488="вручную"),"",AF487))</f>
        <v/>
      </c>
      <c r="AG488" s="129">
        <f t="shared" si="313"/>
        <v/>
      </c>
      <c r="AH488" s="129">
        <f t="shared" si="314"/>
        <v/>
      </c>
      <c r="AI488" s="129">
        <f t="shared" si="315"/>
        <v/>
      </c>
      <c r="AJ488" s="129">
        <f t="shared" si="316"/>
        <v/>
      </c>
      <c r="AK488" s="129">
        <f t="shared" si="317"/>
        <v/>
      </c>
      <c r="AL488" s="129">
        <f t="shared" si="318"/>
        <v/>
      </c>
      <c r="AM488" s="129">
        <f t="shared" si="319"/>
      </c>
      <c r="AN488" s="129">
        <f t="shared" si="320"/>
      </c>
      <c r="AO488" s="129">
        <f t="shared" si="321"/>
        <v/>
      </c>
      <c r="AP488" s="129">
        <f t="shared" si="322"/>
        <v/>
      </c>
      <c r="AQ488" s="129">
        <f t="shared" si="323"/>
        <v/>
      </c>
      <c r="AR488" s="129">
        <f t="shared" si="324"/>
        <v/>
      </c>
      <c r="AS488" s="129">
        <f t="shared" si="325"/>
        <v/>
      </c>
      <c r="AT488" s="129">
        <f t="shared" si="326"/>
        <v/>
      </c>
      <c r="AU488" s="129">
        <f t="shared" si="327"/>
        <v/>
      </c>
      <c r="AV488" s="129">
        <f t="shared" si="328"/>
        <v/>
      </c>
      <c r="AW488" s="129">
        <f>IF(AV488="","",AV488&amp;"."&amp;COUNTIFS($A$3:A488,A488,$AV$3:AV488,AV488))</f>
        <v/>
      </c>
      <c r="AX488" s="129">
        <f t="shared" si="329"/>
        <v/>
      </c>
      <c r="AY488" s="129">
        <f>IF(N488="б/к",0,IF(OR(ISNUMBER(SEARCH("L=",Разбивка_по_щитам!P488)),N488="+",N488="="),1,0))</f>
      </c>
      <c r="AZ488" s="129">
        <f t="shared" si="330"/>
        <v/>
      </c>
      <c r="BA488" s="129">
        <f t="shared" si="331"/>
      </c>
      <c r="BB488" s="129">
        <f t="shared" si="332"/>
      </c>
      <c r="BD488" s="129">
        <f t="shared" si="333"/>
      </c>
      <c r="BE488" s="129">
        <f t="shared" si="334"/>
      </c>
      <c r="BF488" s="129">
        <f t="shared" si="335"/>
      </c>
      <c r="BG488" s="129">
        <f t="shared" si="336"/>
        <v/>
      </c>
      <c r="BH488" s="129">
        <f t="shared" si="337"/>
        <v/>
      </c>
      <c r="BI488" s="129">
        <f t="shared" si="338"/>
        <v/>
      </c>
      <c r="BJ488" s="129">
        <f t="shared" si="339"/>
        <v/>
      </c>
      <c r="BK488" s="129">
        <f>IF(R488="","",IF(OR(BY488="",BY488=0),"BOX",IFERROR(IF(VLOOKUP(BY488,УГО_блоки,3,FALSE)&amp;""&lt;&gt;"",VLOOKUP(BY488,УГО_блоки,3,FALSE),VLOOKUP(BY488,УГО_блоки,2,FALSE)),BY488)))</f>
      </c>
      <c r="BL488" s="129">
        <f t="shared" si="341"/>
      </c>
      <c r="BM488" s="129">
        <f>IF(H488="","",IF(COUNTIF($H$3:H488,H488)=1,MAX($BM$2:BM487)+1,""))</f>
      </c>
      <c r="BN488" s="129">
        <f>IF(I488="","",IF(COUNTIF($I$3:I488,I488)+COUNTIF($J$2:J487,I488)+COUNTIF($K$2:K487,I488)=1,MAX($BN$2:BP487)+1,""))</f>
      </c>
      <c r="BO488" s="129">
        <f>IF(J488="","",IF(COUNTIF($I$3:I488,J488)+COUNTIF($J$3:J488,J488)+COUNTIF($K$2:K487,J488)=1,MAX($BN$2:BP487,BN488)+1,""))</f>
      </c>
      <c r="BP488" s="129">
        <f>IF(K488="","",IF(COUNTIF($I$3:I488,K488)+COUNTIF($J$3:J488,K488)+COUNTIF($K$3:K488,K488)=1,MAX($BN$2:BP487,BN488,BO488)+1,""))</f>
      </c>
      <c r="BQ488" s="129">
        <f>IF(AY488=1,IFERROR(MID(Q488,FIND(" (",Q488)+2,FIND(")",Q488,FIND(" (",Q488))-FIND(" (",Q488)-2),"?"),"")</f>
      </c>
      <c r="BR488" s="129">
        <f>IF(BQ488="","",IF(COUNTIF($BQ$3:BQ488,BQ488)=1,MAX($BR$2:BR487)+1,""))</f>
      </c>
      <c r="BS488" s="129">
        <f>IF(AW488="","",COUNTIF($AW$3:AW488,"?*"))</f>
      </c>
      <c r="BT488" s="129">
        <f>IF(OR(AW488="",AI488=""),"",IF(COUNTIFS($AW$3:AW488,"?*",$AI$3:AI488,AI488)=1,MAX($BT$2:BT487)+1,""))</f>
      </c>
      <c r="BU488" s="129">
        <f>IF(AE488="",0,IF(OR(ISNUMBER(SEARCH("дубль",AE488)),ISNUMBER(SEARCH("ПЕРЕГРУЗ",AE488)),ISNUMBER(SEARCH("ЗАЩИЩ",AE488)),ISNUMBER(SEARCH("КАНАЛ",AE488)),ISNUMBER(SEARCH("без 30",AE488))),2,1))</f>
      </c>
      <c r="BV488" s="129">
        <f>IF(R488="","",COUNTIF($R$3:R488,"?*"))</f>
      </c>
      <c r="BW488" s="129">
        <f>IF(AY488&lt;&gt;1,0,IF(MAX(IFERROR(--VLOOKUP(R488,УГО_спр,5,FALSE),0),IFERROR(--VLOOKUP(AL488,УГО_спр,5,FALSE),0),IFERROR(--VLOOKUP(LEFT(AL488,2),УГО_спр,5,FALSE),0))&gt;0,MAX(IFERROR(--VLOOKUP(R488,УГО_спр,5,FALSE),0),IFERROR(--VLOOKUP(AL488,УГО_спр,5,FALSE),0),IFERROR(--VLOOKUP(LEFT(AL488,2),УГО_спр,5,FALSE),0)),IF(IFERROR(--LEFT(SUBSTITUTE(BQ488,"x","х"),FIND("х",SUBSTITUTE(BQ488,"x","х"))-1),3)&gt;3,Каталог!$S$9,1)))</f>
      </c>
      <c r="BX488" s="129">
        <f>IF(AY488&lt;&gt;1,0,MAX(0,IFERROR(--LEFT(SUBSTITUTE(BQ488,"x","х"),FIND("х",SUBSTITUTE(BQ488,"x","х"))-1),3)-3*BW488))</f>
      </c>
      <c r="BY488" s="129">
        <f>IF(R488="","",IFERROR(VLOOKUP(R488,УГО_спр,2,FALSE),IFERROR(VLOOKUP(AL488,УГО_спр,2,FALSE),IFERROR(VLOOKUP(LEFT(AL488,2),УГО_спр,2,FALSE),""))))</f>
      </c>
    </row>
    <row r="489" spans="1:64" x14ac:dyDescent="0.3">
      <c r="A489" s="135">
        <f>IF(Разбивка_по_щитам!F489=0,"",Разбивка_по_щитам!F489)</f>
        <v/>
      </c>
      <c r="B489" s="138">
        <f>IF(A489="","",Разбивка_по_щитам!C489)</f>
        <v/>
      </c>
      <c r="C489" s="138">
        <f t="shared" si="302"/>
        <v/>
      </c>
      <c r="D489" s="266"/>
      <c r="E489" s="266"/>
      <c r="F489" s="267"/>
      <c r="G489" s="145">
        <f t="shared" si="303"/>
        <v/>
      </c>
      <c r="H489" s="145">
        <f t="shared" si="304"/>
        <v/>
      </c>
      <c r="I489" s="266"/>
      <c r="J489" s="267"/>
      <c r="K489" s="267"/>
      <c r="L489" s="266"/>
      <c r="M489" s="147">
        <f t="shared" si="305"/>
        <v/>
      </c>
      <c r="N489" s="267"/>
      <c r="O489" s="147">
        <f t="shared" si="306"/>
        <v/>
      </c>
      <c r="P489" s="268">
        <f>IF(AY489=1,"XT"&amp;COUNTIFS($A$3:A489,A489,$AY$3:AY489,1),"")</f>
        <v/>
      </c>
      <c r="Q489" s="152">
        <f>IF(R489="","",IFERROR(SUBSTITUTE(Разбивка_по_щитам!P489,CHAR(10)," "),""))</f>
        <v/>
      </c>
      <c r="R489" s="153">
        <f>IF(OR(Разбивка_по_щитам!H489="",Разбивка_по_щитам!H489=0),"",Разбивка_по_щитам!H489)</f>
        <v/>
      </c>
      <c r="S489" s="154">
        <f>IF(R489="","",IFERROR(Разбивка_по_щитам!J489&amp;"",""))</f>
        <v/>
      </c>
      <c r="T489" s="155">
        <f>IF(R489="","",IFERROR(--Разбивка_по_щитам!L489,""))</f>
        <v/>
      </c>
      <c r="U489" s="155">
        <f>IF(R489="","",IFERROR(--Разбивка_по_щитам!K489,""))</f>
        <v/>
      </c>
      <c r="V489" s="138">
        <f>IF(R489="","",IFERROR(IF(Разбивка_по_щитам!M489=0,"",Разбивка_по_щитам!M489),""))</f>
        <v/>
      </c>
      <c r="W489" s="156">
        <f t="shared" si="307"/>
        <v/>
      </c>
      <c r="X489" s="157">
        <f t="shared" si="308"/>
        <v/>
      </c>
      <c r="Y489" s="266"/>
      <c r="Z489" s="158">
        <f t="shared" si="309"/>
        <v/>
      </c>
      <c r="AA489" s="160">
        <f t="shared" si="310"/>
        <v/>
      </c>
      <c r="AB489" s="160">
        <f>IF(R489="","",IFERROR(LOOKUP(INDEX(Справочная!$I$4:$I$19,MATCH(VLOOKUP(R489,Исходные_данные,22,FALSE),Справочная!$J$4:$J$19,0)+1),{6,10,16,20,25,32,40,50,63,80,100,125}),""))</f>
        <v/>
      </c>
      <c r="AC489" s="160">
        <f t="shared" si="311"/>
        <v/>
      </c>
      <c r="AD489" s="161">
        <f t="shared" si="312"/>
        <v/>
      </c>
      <c r="AE489" s="161">
        <f>IF(AND(R489="",G489=""),"",_xlfn.TEXTJOIN("; ",TRUE,IF(AND(R489&lt;&gt;"",V489=""),"нет фазы",""),IF(AND(R489&lt;&gt;"",N(T489)=0),"нет мощности",""),IF(AND(P489&lt;&gt;"",COUNTIFS($A$3:$A$1000,A489,$P$3:$P$1000,P489)&gt;1),"дубль клеммы "&amp;P489,""),IF(AND(W489&lt;&gt;"",W489&lt;&gt;"ok"),W489,""),IF(X489&lt;&gt;"",X489,""),IF(AND(ISNUMBER(SEARCH("(5х",Q489)),N(AK489)=1),"5 жил на 1 фазе",""),IF(AND(AL489="R",E489&lt;&gt;"",N(AS489)=0),"розетка без 30 мА",""),IF(IFERROR(_xlfn.NUMBERVALUE(MID(Q489,FIND("-",Q489,FIND("L=",Q489))+1,FIND("%",Q489)-FIND("-",Q489,FIND("L=",Q489))-1),","),0)&gt;4,"потери &gt; 4 %","")))</f>
      </c>
      <c r="AF489" s="129">
        <f>IF(E489&lt;&gt;"",COUNTIFS($A$3:A489,A489,$E$3:E489,"?*"),IF(OR(A489&lt;&gt;A488,Y489="вручную"),"",AF488))</f>
        <v/>
      </c>
      <c r="AG489" s="129">
        <f t="shared" si="313"/>
        <v/>
      </c>
      <c r="AH489" s="129">
        <f t="shared" si="314"/>
        <v/>
      </c>
      <c r="AI489" s="129">
        <f t="shared" si="315"/>
        <v/>
      </c>
      <c r="AJ489" s="129">
        <f t="shared" si="316"/>
        <v/>
      </c>
      <c r="AK489" s="129">
        <f t="shared" si="317"/>
        <v/>
      </c>
      <c r="AL489" s="129">
        <f t="shared" si="318"/>
        <v/>
      </c>
      <c r="AM489" s="129">
        <f t="shared" si="319"/>
      </c>
      <c r="AN489" s="129">
        <f t="shared" si="320"/>
      </c>
      <c r="AO489" s="129">
        <f t="shared" si="321"/>
        <v/>
      </c>
      <c r="AP489" s="129">
        <f t="shared" si="322"/>
        <v/>
      </c>
      <c r="AQ489" s="129">
        <f t="shared" si="323"/>
        <v/>
      </c>
      <c r="AR489" s="129">
        <f t="shared" si="324"/>
        <v/>
      </c>
      <c r="AS489" s="129">
        <f t="shared" si="325"/>
        <v/>
      </c>
      <c r="AT489" s="129">
        <f t="shared" si="326"/>
        <v/>
      </c>
      <c r="AU489" s="129">
        <f t="shared" si="327"/>
        <v/>
      </c>
      <c r="AV489" s="129">
        <f t="shared" si="328"/>
        <v/>
      </c>
      <c r="AW489" s="129">
        <f>IF(AV489="","",AV489&amp;"."&amp;COUNTIFS($A$3:A489,A489,$AV$3:AV489,AV489))</f>
        <v/>
      </c>
      <c r="AX489" s="129">
        <f t="shared" si="329"/>
        <v/>
      </c>
      <c r="AY489" s="129">
        <f>IF(N489="б/к",0,IF(OR(ISNUMBER(SEARCH("L=",Разбивка_по_щитам!P489)),N489="+",N489="="),1,0))</f>
      </c>
      <c r="AZ489" s="129">
        <f t="shared" si="330"/>
        <v/>
      </c>
      <c r="BA489" s="129">
        <f t="shared" si="331"/>
      </c>
      <c r="BB489" s="129">
        <f t="shared" si="332"/>
      </c>
      <c r="BD489" s="129">
        <f t="shared" si="333"/>
      </c>
      <c r="BE489" s="129">
        <f t="shared" si="334"/>
      </c>
      <c r="BF489" s="129">
        <f t="shared" si="335"/>
      </c>
      <c r="BG489" s="129">
        <f t="shared" si="336"/>
        <v/>
      </c>
      <c r="BH489" s="129">
        <f t="shared" si="337"/>
        <v/>
      </c>
      <c r="BI489" s="129">
        <f t="shared" si="338"/>
        <v/>
      </c>
      <c r="BJ489" s="129">
        <f t="shared" si="339"/>
        <v/>
      </c>
      <c r="BK489" s="129">
        <f>IF(R489="","",IF(OR(BY489="",BY489=0),"BOX",IFERROR(IF(VLOOKUP(BY489,УГО_блоки,3,FALSE)&amp;""&lt;&gt;"",VLOOKUP(BY489,УГО_блоки,3,FALSE),VLOOKUP(BY489,УГО_блоки,2,FALSE)),BY489)))</f>
      </c>
      <c r="BL489" s="129">
        <f t="shared" si="341"/>
      </c>
      <c r="BM489" s="129">
        <f>IF(H489="","",IF(COUNTIF($H$3:H489,H489)=1,MAX($BM$2:BM488)+1,""))</f>
      </c>
      <c r="BN489" s="129">
        <f>IF(I489="","",IF(COUNTIF($I$3:I489,I489)+COUNTIF($J$2:J488,I489)+COUNTIF($K$2:K488,I489)=1,MAX($BN$2:BP488)+1,""))</f>
      </c>
      <c r="BO489" s="129">
        <f>IF(J489="","",IF(COUNTIF($I$3:I489,J489)+COUNTIF($J$3:J489,J489)+COUNTIF($K$2:K488,J489)=1,MAX($BN$2:BP488,BN489)+1,""))</f>
      </c>
      <c r="BP489" s="129">
        <f>IF(K489="","",IF(COUNTIF($I$3:I489,K489)+COUNTIF($J$3:J489,K489)+COUNTIF($K$3:K489,K489)=1,MAX($BN$2:BP488,BN489,BO489)+1,""))</f>
      </c>
      <c r="BQ489" s="129">
        <f>IF(AY489=1,IFERROR(MID(Q489,FIND(" (",Q489)+2,FIND(")",Q489,FIND(" (",Q489))-FIND(" (",Q489)-2),"?"),"")</f>
      </c>
      <c r="BR489" s="129">
        <f>IF(BQ489="","",IF(COUNTIF($BQ$3:BQ489,BQ489)=1,MAX($BR$2:BR488)+1,""))</f>
      </c>
      <c r="BS489" s="129">
        <f>IF(AW489="","",COUNTIF($AW$3:AW489,"?*"))</f>
      </c>
      <c r="BT489" s="129">
        <f>IF(OR(AW489="",AI489=""),"",IF(COUNTIFS($AW$3:AW489,"?*",$AI$3:AI489,AI489)=1,MAX($BT$2:BT488)+1,""))</f>
      </c>
      <c r="BU489" s="129">
        <f>IF(AE489="",0,IF(OR(ISNUMBER(SEARCH("дубль",AE489)),ISNUMBER(SEARCH("ПЕРЕГРУЗ",AE489)),ISNUMBER(SEARCH("ЗАЩИЩ",AE489)),ISNUMBER(SEARCH("КАНАЛ",AE489)),ISNUMBER(SEARCH("без 30",AE489))),2,1))</f>
      </c>
      <c r="BV489" s="129">
        <f>IF(R489="","",COUNTIF($R$3:R489,"?*"))</f>
      </c>
      <c r="BW489" s="129">
        <f>IF(AY489&lt;&gt;1,0,IF(MAX(IFERROR(--VLOOKUP(R489,УГО_спр,5,FALSE),0),IFERROR(--VLOOKUP(AL489,УГО_спр,5,FALSE),0),IFERROR(--VLOOKUP(LEFT(AL489,2),УГО_спр,5,FALSE),0))&gt;0,MAX(IFERROR(--VLOOKUP(R489,УГО_спр,5,FALSE),0),IFERROR(--VLOOKUP(AL489,УГО_спр,5,FALSE),0),IFERROR(--VLOOKUP(LEFT(AL489,2),УГО_спр,5,FALSE),0)),IF(IFERROR(--LEFT(SUBSTITUTE(BQ489,"x","х"),FIND("х",SUBSTITUTE(BQ489,"x","х"))-1),3)&gt;3,Каталог!$S$9,1)))</f>
      </c>
      <c r="BX489" s="129">
        <f>IF(AY489&lt;&gt;1,0,MAX(0,IFERROR(--LEFT(SUBSTITUTE(BQ489,"x","х"),FIND("х",SUBSTITUTE(BQ489,"x","х"))-1),3)-3*BW489))</f>
      </c>
      <c r="BY489" s="129">
        <f>IF(R489="","",IFERROR(VLOOKUP(R489,УГО_спр,2,FALSE),IFERROR(VLOOKUP(AL489,УГО_спр,2,FALSE),IFERROR(VLOOKUP(LEFT(AL489,2),УГО_спр,2,FALSE),""))))</f>
      </c>
    </row>
    <row r="490" spans="1:64" x14ac:dyDescent="0.3">
      <c r="A490" s="135">
        <f>IF(Разбивка_по_щитам!F490=0,"",Разбивка_по_щитам!F490)</f>
        <v/>
      </c>
      <c r="B490" s="138">
        <f>IF(A490="","",Разбивка_по_щитам!C490)</f>
        <v/>
      </c>
      <c r="C490" s="138">
        <f t="shared" si="302"/>
        <v/>
      </c>
      <c r="D490" s="266"/>
      <c r="E490" s="266"/>
      <c r="F490" s="267"/>
      <c r="G490" s="145">
        <f t="shared" si="303"/>
        <v/>
      </c>
      <c r="H490" s="145">
        <f t="shared" si="304"/>
        <v/>
      </c>
      <c r="I490" s="266"/>
      <c r="J490" s="267"/>
      <c r="K490" s="267"/>
      <c r="L490" s="266"/>
      <c r="M490" s="147">
        <f t="shared" si="305"/>
        <v/>
      </c>
      <c r="N490" s="267"/>
      <c r="O490" s="147">
        <f t="shared" si="306"/>
        <v/>
      </c>
      <c r="P490" s="268">
        <f>IF(AY490=1,"XT"&amp;COUNTIFS($A$3:A490,A490,$AY$3:AY490,1),"")</f>
        <v/>
      </c>
      <c r="Q490" s="152">
        <f>IF(R490="","",IFERROR(SUBSTITUTE(Разбивка_по_щитам!P490,CHAR(10)," "),""))</f>
        <v/>
      </c>
      <c r="R490" s="153">
        <f>IF(OR(Разбивка_по_щитам!H490="",Разбивка_по_щитам!H490=0),"",Разбивка_по_щитам!H490)</f>
        <v/>
      </c>
      <c r="S490" s="154">
        <f>IF(R490="","",IFERROR(Разбивка_по_щитам!J490&amp;"",""))</f>
        <v/>
      </c>
      <c r="T490" s="155">
        <f>IF(R490="","",IFERROR(--Разбивка_по_щитам!L490,""))</f>
        <v/>
      </c>
      <c r="U490" s="155">
        <f>IF(R490="","",IFERROR(--Разбивка_по_щитам!K490,""))</f>
        <v/>
      </c>
      <c r="V490" s="138">
        <f>IF(R490="","",IFERROR(IF(Разбивка_по_щитам!M490=0,"",Разбивка_по_щитам!M490),""))</f>
        <v/>
      </c>
      <c r="W490" s="156">
        <f t="shared" si="307"/>
        <v/>
      </c>
      <c r="X490" s="157">
        <f t="shared" si="308"/>
        <v/>
      </c>
      <c r="Y490" s="266"/>
      <c r="Z490" s="158">
        <f t="shared" si="309"/>
        <v/>
      </c>
      <c r="AA490" s="160">
        <f t="shared" si="310"/>
        <v/>
      </c>
      <c r="AB490" s="160">
        <f>IF(R490="","",IFERROR(LOOKUP(INDEX(Справочная!$I$4:$I$19,MATCH(VLOOKUP(R490,Исходные_данные,22,FALSE),Справочная!$J$4:$J$19,0)+1),{6,10,16,20,25,32,40,50,63,80,100,125}),""))</f>
        <v/>
      </c>
      <c r="AC490" s="160">
        <f t="shared" si="311"/>
        <v/>
      </c>
      <c r="AD490" s="161">
        <f t="shared" si="312"/>
        <v/>
      </c>
      <c r="AE490" s="161">
        <f>IF(AND(R490="",G490=""),"",_xlfn.TEXTJOIN("; ",TRUE,IF(AND(R490&lt;&gt;"",V490=""),"нет фазы",""),IF(AND(R490&lt;&gt;"",N(T490)=0),"нет мощности",""),IF(AND(P490&lt;&gt;"",COUNTIFS($A$3:$A$1000,A490,$P$3:$P$1000,P490)&gt;1),"дубль клеммы "&amp;P490,""),IF(AND(W490&lt;&gt;"",W490&lt;&gt;"ok"),W490,""),IF(X490&lt;&gt;"",X490,""),IF(AND(ISNUMBER(SEARCH("(5х",Q490)),N(AK490)=1),"5 жил на 1 фазе",""),IF(AND(AL490="R",E490&lt;&gt;"",N(AS490)=0),"розетка без 30 мА",""),IF(IFERROR(_xlfn.NUMBERVALUE(MID(Q490,FIND("-",Q490,FIND("L=",Q490))+1,FIND("%",Q490)-FIND("-",Q490,FIND("L=",Q490))-1),","),0)&gt;4,"потери &gt; 4 %","")))</f>
      </c>
      <c r="AF490" s="129">
        <f>IF(E490&lt;&gt;"",COUNTIFS($A$3:A490,A490,$E$3:E490,"?*"),IF(OR(A490&lt;&gt;A489,Y490="вручную"),"",AF489))</f>
        <v/>
      </c>
      <c r="AG490" s="129">
        <f t="shared" si="313"/>
        <v/>
      </c>
      <c r="AH490" s="129">
        <f t="shared" si="314"/>
        <v/>
      </c>
      <c r="AI490" s="129">
        <f t="shared" si="315"/>
        <v/>
      </c>
      <c r="AJ490" s="129">
        <f t="shared" si="316"/>
        <v/>
      </c>
      <c r="AK490" s="129">
        <f t="shared" si="317"/>
        <v/>
      </c>
      <c r="AL490" s="129">
        <f t="shared" si="318"/>
        <v/>
      </c>
      <c r="AM490" s="129">
        <f t="shared" si="319"/>
      </c>
      <c r="AN490" s="129">
        <f t="shared" si="320"/>
      </c>
      <c r="AO490" s="129">
        <f t="shared" si="321"/>
        <v/>
      </c>
      <c r="AP490" s="129">
        <f t="shared" si="322"/>
        <v/>
      </c>
      <c r="AQ490" s="129">
        <f t="shared" si="323"/>
        <v/>
      </c>
      <c r="AR490" s="129">
        <f t="shared" si="324"/>
        <v/>
      </c>
      <c r="AS490" s="129">
        <f t="shared" si="325"/>
        <v/>
      </c>
      <c r="AT490" s="129">
        <f t="shared" si="326"/>
        <v/>
      </c>
      <c r="AU490" s="129">
        <f t="shared" si="327"/>
        <v/>
      </c>
      <c r="AV490" s="129">
        <f t="shared" si="328"/>
        <v/>
      </c>
      <c r="AW490" s="129">
        <f>IF(AV490="","",AV490&amp;"."&amp;COUNTIFS($A$3:A490,A490,$AV$3:AV490,AV490))</f>
        <v/>
      </c>
      <c r="AX490" s="129">
        <f t="shared" si="329"/>
        <v/>
      </c>
      <c r="AY490" s="129">
        <f>IF(N490="б/к",0,IF(OR(ISNUMBER(SEARCH("L=",Разбивка_по_щитам!P490)),N490="+",N490="="),1,0))</f>
      </c>
      <c r="AZ490" s="129">
        <f t="shared" si="330"/>
        <v/>
      </c>
      <c r="BA490" s="129">
        <f t="shared" si="331"/>
      </c>
      <c r="BB490" s="129">
        <f t="shared" si="332"/>
      </c>
      <c r="BD490" s="129">
        <f t="shared" si="333"/>
      </c>
      <c r="BE490" s="129">
        <f t="shared" si="334"/>
      </c>
      <c r="BF490" s="129">
        <f t="shared" si="335"/>
      </c>
      <c r="BG490" s="129">
        <f t="shared" si="336"/>
        <v/>
      </c>
      <c r="BH490" s="129">
        <f t="shared" si="337"/>
        <v/>
      </c>
      <c r="BI490" s="129">
        <f t="shared" si="338"/>
        <v/>
      </c>
      <c r="BJ490" s="129">
        <f t="shared" si="339"/>
        <v/>
      </c>
      <c r="BK490" s="129">
        <f>IF(R490="","",IF(OR(BY490="",BY490=0),"BOX",IFERROR(IF(VLOOKUP(BY490,УГО_блоки,3,FALSE)&amp;""&lt;&gt;"",VLOOKUP(BY490,УГО_блоки,3,FALSE),VLOOKUP(BY490,УГО_блоки,2,FALSE)),BY490)))</f>
      </c>
      <c r="BL490" s="129">
        <f t="shared" si="341"/>
      </c>
      <c r="BM490" s="129">
        <f>IF(H490="","",IF(COUNTIF($H$3:H490,H490)=1,MAX($BM$2:BM489)+1,""))</f>
      </c>
      <c r="BN490" s="129">
        <f>IF(I490="","",IF(COUNTIF($I$3:I490,I490)+COUNTIF($J$2:J489,I490)+COUNTIF($K$2:K489,I490)=1,MAX($BN$2:BP489)+1,""))</f>
      </c>
      <c r="BO490" s="129">
        <f>IF(J490="","",IF(COUNTIF($I$3:I490,J490)+COUNTIF($J$3:J490,J490)+COUNTIF($K$2:K489,J490)=1,MAX($BN$2:BP489,BN490)+1,""))</f>
      </c>
      <c r="BP490" s="129">
        <f>IF(K490="","",IF(COUNTIF($I$3:I490,K490)+COUNTIF($J$3:J490,K490)+COUNTIF($K$3:K490,K490)=1,MAX($BN$2:BP489,BN490,BO490)+1,""))</f>
      </c>
      <c r="BQ490" s="129">
        <f>IF(AY490=1,IFERROR(MID(Q490,FIND(" (",Q490)+2,FIND(")",Q490,FIND(" (",Q490))-FIND(" (",Q490)-2),"?"),"")</f>
      </c>
      <c r="BR490" s="129">
        <f>IF(BQ490="","",IF(COUNTIF($BQ$3:BQ490,BQ490)=1,MAX($BR$2:BR489)+1,""))</f>
      </c>
      <c r="BS490" s="129">
        <f>IF(AW490="","",COUNTIF($AW$3:AW490,"?*"))</f>
      </c>
      <c r="BT490" s="129">
        <f>IF(OR(AW490="",AI490=""),"",IF(COUNTIFS($AW$3:AW490,"?*",$AI$3:AI490,AI490)=1,MAX($BT$2:BT489)+1,""))</f>
      </c>
      <c r="BU490" s="129">
        <f>IF(AE490="",0,IF(OR(ISNUMBER(SEARCH("дубль",AE490)),ISNUMBER(SEARCH("ПЕРЕГРУЗ",AE490)),ISNUMBER(SEARCH("ЗАЩИЩ",AE490)),ISNUMBER(SEARCH("КАНАЛ",AE490)),ISNUMBER(SEARCH("без 30",AE490))),2,1))</f>
      </c>
      <c r="BV490" s="129">
        <f>IF(R490="","",COUNTIF($R$3:R490,"?*"))</f>
      </c>
      <c r="BW490" s="129">
        <f>IF(AY490&lt;&gt;1,0,IF(MAX(IFERROR(--VLOOKUP(R490,УГО_спр,5,FALSE),0),IFERROR(--VLOOKUP(AL490,УГО_спр,5,FALSE),0),IFERROR(--VLOOKUP(LEFT(AL490,2),УГО_спр,5,FALSE),0))&gt;0,MAX(IFERROR(--VLOOKUP(R490,УГО_спр,5,FALSE),0),IFERROR(--VLOOKUP(AL490,УГО_спр,5,FALSE),0),IFERROR(--VLOOKUP(LEFT(AL490,2),УГО_спр,5,FALSE),0)),IF(IFERROR(--LEFT(SUBSTITUTE(BQ490,"x","х"),FIND("х",SUBSTITUTE(BQ490,"x","х"))-1),3)&gt;3,Каталог!$S$9,1)))</f>
      </c>
      <c r="BX490" s="129">
        <f>IF(AY490&lt;&gt;1,0,MAX(0,IFERROR(--LEFT(SUBSTITUTE(BQ490,"x","х"),FIND("х",SUBSTITUTE(BQ490,"x","х"))-1),3)-3*BW490))</f>
      </c>
      <c r="BY490" s="129">
        <f>IF(R490="","",IFERROR(VLOOKUP(R490,УГО_спр,2,FALSE),IFERROR(VLOOKUP(AL490,УГО_спр,2,FALSE),IFERROR(VLOOKUP(LEFT(AL490,2),УГО_спр,2,FALSE),""))))</f>
      </c>
    </row>
    <row r="491" spans="1:64" x14ac:dyDescent="0.3">
      <c r="A491" s="135">
        <f>IF(Разбивка_по_щитам!F491=0,"",Разбивка_по_щитам!F491)</f>
        <v/>
      </c>
      <c r="B491" s="138">
        <f>IF(A491="","",Разбивка_по_щитам!C491)</f>
        <v/>
      </c>
      <c r="C491" s="138">
        <f t="shared" si="302"/>
        <v/>
      </c>
      <c r="D491" s="266"/>
      <c r="E491" s="266"/>
      <c r="F491" s="267"/>
      <c r="G491" s="145">
        <f t="shared" si="303"/>
        <v/>
      </c>
      <c r="H491" s="145">
        <f t="shared" si="304"/>
        <v/>
      </c>
      <c r="I491" s="266"/>
      <c r="J491" s="267"/>
      <c r="K491" s="267"/>
      <c r="L491" s="266"/>
      <c r="M491" s="147">
        <f t="shared" si="305"/>
        <v/>
      </c>
      <c r="N491" s="267"/>
      <c r="O491" s="147">
        <f t="shared" si="306"/>
        <v/>
      </c>
      <c r="P491" s="268">
        <f>IF(AY491=1,"XT"&amp;COUNTIFS($A$3:A491,A491,$AY$3:AY491,1),"")</f>
        <v/>
      </c>
      <c r="Q491" s="152">
        <f>IF(R491="","",IFERROR(SUBSTITUTE(Разбивка_по_щитам!P491,CHAR(10)," "),""))</f>
        <v/>
      </c>
      <c r="R491" s="153">
        <f>IF(OR(Разбивка_по_щитам!H491="",Разбивка_по_щитам!H491=0),"",Разбивка_по_щитам!H491)</f>
        <v/>
      </c>
      <c r="S491" s="154">
        <f>IF(R491="","",IFERROR(Разбивка_по_щитам!J491&amp;"",""))</f>
        <v/>
      </c>
      <c r="T491" s="155">
        <f>IF(R491="","",IFERROR(--Разбивка_по_щитам!L491,""))</f>
        <v/>
      </c>
      <c r="U491" s="155">
        <f>IF(R491="","",IFERROR(--Разбивка_по_щитам!K491,""))</f>
        <v/>
      </c>
      <c r="V491" s="138">
        <f>IF(R491="","",IFERROR(IF(Разбивка_по_щитам!M491=0,"",Разбивка_по_щитам!M491),""))</f>
        <v/>
      </c>
      <c r="W491" s="156">
        <f t="shared" si="307"/>
        <v/>
      </c>
      <c r="X491" s="157">
        <f t="shared" si="308"/>
        <v/>
      </c>
      <c r="Y491" s="266"/>
      <c r="Z491" s="158">
        <f t="shared" si="309"/>
        <v/>
      </c>
      <c r="AA491" s="160">
        <f t="shared" si="310"/>
        <v/>
      </c>
      <c r="AB491" s="160">
        <f>IF(R491="","",IFERROR(LOOKUP(INDEX(Справочная!$I$4:$I$19,MATCH(VLOOKUP(R491,Исходные_данные,22,FALSE),Справочная!$J$4:$J$19,0)+1),{6,10,16,20,25,32,40,50,63,80,100,125}),""))</f>
        <v/>
      </c>
      <c r="AC491" s="160">
        <f t="shared" si="311"/>
        <v/>
      </c>
      <c r="AD491" s="161">
        <f t="shared" si="312"/>
        <v/>
      </c>
      <c r="AE491" s="161">
        <f>IF(AND(R491="",G491=""),"",_xlfn.TEXTJOIN("; ",TRUE,IF(AND(R491&lt;&gt;"",V491=""),"нет фазы",""),IF(AND(R491&lt;&gt;"",N(T491)=0),"нет мощности",""),IF(AND(P491&lt;&gt;"",COUNTIFS($A$3:$A$1000,A491,$P$3:$P$1000,P491)&gt;1),"дубль клеммы "&amp;P491,""),IF(AND(W491&lt;&gt;"",W491&lt;&gt;"ok"),W491,""),IF(X491&lt;&gt;"",X491,""),IF(AND(ISNUMBER(SEARCH("(5х",Q491)),N(AK491)=1),"5 жил на 1 фазе",""),IF(AND(AL491="R",E491&lt;&gt;"",N(AS491)=0),"розетка без 30 мА",""),IF(IFERROR(_xlfn.NUMBERVALUE(MID(Q491,FIND("-",Q491,FIND("L=",Q491))+1,FIND("%",Q491)-FIND("-",Q491,FIND("L=",Q491))-1),","),0)&gt;4,"потери &gt; 4 %","")))</f>
      </c>
      <c r="AF491" s="129">
        <f>IF(E491&lt;&gt;"",COUNTIFS($A$3:A491,A491,$E$3:E491,"?*"),IF(OR(A491&lt;&gt;A490,Y491="вручную"),"",AF490))</f>
        <v/>
      </c>
      <c r="AG491" s="129">
        <f t="shared" si="313"/>
        <v/>
      </c>
      <c r="AH491" s="129">
        <f t="shared" si="314"/>
        <v/>
      </c>
      <c r="AI491" s="129">
        <f t="shared" si="315"/>
        <v/>
      </c>
      <c r="AJ491" s="129">
        <f t="shared" si="316"/>
        <v/>
      </c>
      <c r="AK491" s="129">
        <f t="shared" si="317"/>
        <v/>
      </c>
      <c r="AL491" s="129">
        <f t="shared" si="318"/>
        <v/>
      </c>
      <c r="AM491" s="129">
        <f t="shared" si="319"/>
      </c>
      <c r="AN491" s="129">
        <f t="shared" si="320"/>
      </c>
      <c r="AO491" s="129">
        <f t="shared" si="321"/>
        <v/>
      </c>
      <c r="AP491" s="129">
        <f t="shared" si="322"/>
        <v/>
      </c>
      <c r="AQ491" s="129">
        <f t="shared" si="323"/>
        <v/>
      </c>
      <c r="AR491" s="129">
        <f t="shared" si="324"/>
        <v/>
      </c>
      <c r="AS491" s="129">
        <f t="shared" si="325"/>
        <v/>
      </c>
      <c r="AT491" s="129">
        <f t="shared" si="326"/>
        <v/>
      </c>
      <c r="AU491" s="129">
        <f t="shared" si="327"/>
        <v/>
      </c>
      <c r="AV491" s="129">
        <f t="shared" si="328"/>
        <v/>
      </c>
      <c r="AW491" s="129">
        <f>IF(AV491="","",AV491&amp;"."&amp;COUNTIFS($A$3:A491,A491,$AV$3:AV491,AV491))</f>
        <v/>
      </c>
      <c r="AX491" s="129">
        <f t="shared" si="329"/>
        <v/>
      </c>
      <c r="AY491" s="129">
        <f>IF(N491="б/к",0,IF(OR(ISNUMBER(SEARCH("L=",Разбивка_по_щитам!P491)),N491="+",N491="="),1,0))</f>
      </c>
      <c r="AZ491" s="129">
        <f t="shared" si="330"/>
        <v/>
      </c>
      <c r="BA491" s="129">
        <f t="shared" si="331"/>
      </c>
      <c r="BB491" s="129">
        <f t="shared" si="332"/>
      </c>
      <c r="BD491" s="129">
        <f t="shared" si="333"/>
      </c>
      <c r="BE491" s="129">
        <f t="shared" si="334"/>
      </c>
      <c r="BF491" s="129">
        <f t="shared" si="335"/>
      </c>
      <c r="BG491" s="129">
        <f t="shared" si="336"/>
        <v/>
      </c>
      <c r="BH491" s="129">
        <f t="shared" si="337"/>
        <v/>
      </c>
      <c r="BI491" s="129">
        <f t="shared" si="338"/>
        <v/>
      </c>
      <c r="BJ491" s="129">
        <f t="shared" si="339"/>
        <v/>
      </c>
      <c r="BK491" s="129">
        <f>IF(R491="","",IF(OR(BY491="",BY491=0),"BOX",IFERROR(IF(VLOOKUP(BY491,УГО_блоки,3,FALSE)&amp;""&lt;&gt;"",VLOOKUP(BY491,УГО_блоки,3,FALSE),VLOOKUP(BY491,УГО_блоки,2,FALSE)),BY491)))</f>
      </c>
      <c r="BL491" s="129">
        <f t="shared" si="341"/>
      </c>
      <c r="BM491" s="129">
        <f>IF(H491="","",IF(COUNTIF($H$3:H491,H491)=1,MAX($BM$2:BM490)+1,""))</f>
      </c>
      <c r="BN491" s="129">
        <f>IF(I491="","",IF(COUNTIF($I$3:I491,I491)+COUNTIF($J$2:J490,I491)+COUNTIF($K$2:K490,I491)=1,MAX($BN$2:BP490)+1,""))</f>
      </c>
      <c r="BO491" s="129">
        <f>IF(J491="","",IF(COUNTIF($I$3:I491,J491)+COUNTIF($J$3:J491,J491)+COUNTIF($K$2:K490,J491)=1,MAX($BN$2:BP490,BN491)+1,""))</f>
      </c>
      <c r="BP491" s="129">
        <f>IF(K491="","",IF(COUNTIF($I$3:I491,K491)+COUNTIF($J$3:J491,K491)+COUNTIF($K$3:K491,K491)=1,MAX($BN$2:BP490,BN491,BO491)+1,""))</f>
      </c>
      <c r="BQ491" s="129">
        <f>IF(AY491=1,IFERROR(MID(Q491,FIND(" (",Q491)+2,FIND(")",Q491,FIND(" (",Q491))-FIND(" (",Q491)-2),"?"),"")</f>
      </c>
      <c r="BR491" s="129">
        <f>IF(BQ491="","",IF(COUNTIF($BQ$3:BQ491,BQ491)=1,MAX($BR$2:BR490)+1,""))</f>
      </c>
      <c r="BS491" s="129">
        <f>IF(AW491="","",COUNTIF($AW$3:AW491,"?*"))</f>
      </c>
      <c r="BT491" s="129">
        <f>IF(OR(AW491="",AI491=""),"",IF(COUNTIFS($AW$3:AW491,"?*",$AI$3:AI491,AI491)=1,MAX($BT$2:BT490)+1,""))</f>
      </c>
      <c r="BU491" s="129">
        <f>IF(AE491="",0,IF(OR(ISNUMBER(SEARCH("дубль",AE491)),ISNUMBER(SEARCH("ПЕРЕГРУЗ",AE491)),ISNUMBER(SEARCH("ЗАЩИЩ",AE491)),ISNUMBER(SEARCH("КАНАЛ",AE491)),ISNUMBER(SEARCH("без 30",AE491))),2,1))</f>
      </c>
      <c r="BV491" s="129">
        <f>IF(R491="","",COUNTIF($R$3:R491,"?*"))</f>
      </c>
      <c r="BW491" s="129">
        <f>IF(AY491&lt;&gt;1,0,IF(MAX(IFERROR(--VLOOKUP(R491,УГО_спр,5,FALSE),0),IFERROR(--VLOOKUP(AL491,УГО_спр,5,FALSE),0),IFERROR(--VLOOKUP(LEFT(AL491,2),УГО_спр,5,FALSE),0))&gt;0,MAX(IFERROR(--VLOOKUP(R491,УГО_спр,5,FALSE),0),IFERROR(--VLOOKUP(AL491,УГО_спр,5,FALSE),0),IFERROR(--VLOOKUP(LEFT(AL491,2),УГО_спр,5,FALSE),0)),IF(IFERROR(--LEFT(SUBSTITUTE(BQ491,"x","х"),FIND("х",SUBSTITUTE(BQ491,"x","х"))-1),3)&gt;3,Каталог!$S$9,1)))</f>
      </c>
      <c r="BX491" s="129">
        <f>IF(AY491&lt;&gt;1,0,MAX(0,IFERROR(--LEFT(SUBSTITUTE(BQ491,"x","х"),FIND("х",SUBSTITUTE(BQ491,"x","х"))-1),3)-3*BW491))</f>
      </c>
      <c r="BY491" s="129">
        <f>IF(R491="","",IFERROR(VLOOKUP(R491,УГО_спр,2,FALSE),IFERROR(VLOOKUP(AL491,УГО_спр,2,FALSE),IFERROR(VLOOKUP(LEFT(AL491,2),УГО_спр,2,FALSE),""))))</f>
      </c>
    </row>
    <row r="492" spans="1:64" x14ac:dyDescent="0.3">
      <c r="A492" s="135">
        <f>IF(Разбивка_по_щитам!F492=0,"",Разбивка_по_щитам!F492)</f>
        <v/>
      </c>
      <c r="B492" s="138">
        <f>IF(A492="","",Разбивка_по_щитам!C492)</f>
        <v/>
      </c>
      <c r="C492" s="138">
        <f t="shared" si="302"/>
        <v/>
      </c>
      <c r="D492" s="266"/>
      <c r="E492" s="266"/>
      <c r="F492" s="267"/>
      <c r="G492" s="145">
        <f t="shared" si="303"/>
        <v/>
      </c>
      <c r="H492" s="145">
        <f t="shared" si="304"/>
        <v/>
      </c>
      <c r="I492" s="266"/>
      <c r="J492" s="267"/>
      <c r="K492" s="267"/>
      <c r="L492" s="266"/>
      <c r="M492" s="147">
        <f t="shared" si="305"/>
        <v/>
      </c>
      <c r="N492" s="267"/>
      <c r="O492" s="147">
        <f t="shared" si="306"/>
        <v/>
      </c>
      <c r="P492" s="268">
        <f>IF(AY492=1,"XT"&amp;COUNTIFS($A$3:A492,A492,$AY$3:AY492,1),"")</f>
        <v/>
      </c>
      <c r="Q492" s="152">
        <f>IF(R492="","",IFERROR(SUBSTITUTE(Разбивка_по_щитам!P492,CHAR(10)," "),""))</f>
        <v/>
      </c>
      <c r="R492" s="153">
        <f>IF(OR(Разбивка_по_щитам!H492="",Разбивка_по_щитам!H492=0),"",Разбивка_по_щитам!H492)</f>
        <v/>
      </c>
      <c r="S492" s="154">
        <f>IF(R492="","",IFERROR(Разбивка_по_щитам!J492&amp;"",""))</f>
        <v/>
      </c>
      <c r="T492" s="155">
        <f>IF(R492="","",IFERROR(--Разбивка_по_щитам!L492,""))</f>
        <v/>
      </c>
      <c r="U492" s="155">
        <f>IF(R492="","",IFERROR(--Разбивка_по_щитам!K492,""))</f>
        <v/>
      </c>
      <c r="V492" s="138">
        <f>IF(R492="","",IFERROR(IF(Разбивка_по_щитам!M492=0,"",Разбивка_по_щитам!M492),""))</f>
        <v/>
      </c>
      <c r="W492" s="156">
        <f t="shared" si="307"/>
        <v/>
      </c>
      <c r="X492" s="157">
        <f t="shared" si="308"/>
        <v/>
      </c>
      <c r="Y492" s="266"/>
      <c r="Z492" s="158">
        <f t="shared" si="309"/>
        <v/>
      </c>
      <c r="AA492" s="160">
        <f t="shared" si="310"/>
        <v/>
      </c>
      <c r="AB492" s="160">
        <f>IF(R492="","",IFERROR(LOOKUP(INDEX(Справочная!$I$4:$I$19,MATCH(VLOOKUP(R492,Исходные_данные,22,FALSE),Справочная!$J$4:$J$19,0)+1),{6,10,16,20,25,32,40,50,63,80,100,125}),""))</f>
        <v/>
      </c>
      <c r="AC492" s="160">
        <f t="shared" si="311"/>
        <v/>
      </c>
      <c r="AD492" s="161">
        <f t="shared" si="312"/>
        <v/>
      </c>
      <c r="AE492" s="161">
        <f>IF(AND(R492="",G492=""),"",_xlfn.TEXTJOIN("; ",TRUE,IF(AND(R492&lt;&gt;"",V492=""),"нет фазы",""),IF(AND(R492&lt;&gt;"",N(T492)=0),"нет мощности",""),IF(AND(P492&lt;&gt;"",COUNTIFS($A$3:$A$1000,A492,$P$3:$P$1000,P492)&gt;1),"дубль клеммы "&amp;P492,""),IF(AND(W492&lt;&gt;"",W492&lt;&gt;"ok"),W492,""),IF(X492&lt;&gt;"",X492,""),IF(AND(ISNUMBER(SEARCH("(5х",Q492)),N(AK492)=1),"5 жил на 1 фазе",""),IF(AND(AL492="R",E492&lt;&gt;"",N(AS492)=0),"розетка без 30 мА",""),IF(IFERROR(_xlfn.NUMBERVALUE(MID(Q492,FIND("-",Q492,FIND("L=",Q492))+1,FIND("%",Q492)-FIND("-",Q492,FIND("L=",Q492))-1),","),0)&gt;4,"потери &gt; 4 %","")))</f>
      </c>
      <c r="AF492" s="129">
        <f>IF(E492&lt;&gt;"",COUNTIFS($A$3:A492,A492,$E$3:E492,"?*"),IF(OR(A492&lt;&gt;A491,Y492="вручную"),"",AF491))</f>
        <v/>
      </c>
      <c r="AG492" s="129">
        <f t="shared" si="313"/>
        <v/>
      </c>
      <c r="AH492" s="129">
        <f t="shared" si="314"/>
        <v/>
      </c>
      <c r="AI492" s="129">
        <f t="shared" si="315"/>
        <v/>
      </c>
      <c r="AJ492" s="129">
        <f t="shared" si="316"/>
        <v/>
      </c>
      <c r="AK492" s="129">
        <f t="shared" si="317"/>
        <v/>
      </c>
      <c r="AL492" s="129">
        <f t="shared" si="318"/>
        <v/>
      </c>
      <c r="AM492" s="129">
        <f t="shared" si="319"/>
      </c>
      <c r="AN492" s="129">
        <f t="shared" si="320"/>
      </c>
      <c r="AO492" s="129">
        <f t="shared" si="321"/>
        <v/>
      </c>
      <c r="AP492" s="129">
        <f t="shared" si="322"/>
        <v/>
      </c>
      <c r="AQ492" s="129">
        <f t="shared" si="323"/>
        <v/>
      </c>
      <c r="AR492" s="129">
        <f t="shared" si="324"/>
        <v/>
      </c>
      <c r="AS492" s="129">
        <f t="shared" si="325"/>
        <v/>
      </c>
      <c r="AT492" s="129">
        <f t="shared" si="326"/>
        <v/>
      </c>
      <c r="AU492" s="129">
        <f t="shared" si="327"/>
        <v/>
      </c>
      <c r="AV492" s="129">
        <f t="shared" si="328"/>
        <v/>
      </c>
      <c r="AW492" s="129">
        <f>IF(AV492="","",AV492&amp;"."&amp;COUNTIFS($A$3:A492,A492,$AV$3:AV492,AV492))</f>
        <v/>
      </c>
      <c r="AX492" s="129">
        <f t="shared" si="329"/>
        <v/>
      </c>
      <c r="AY492" s="129">
        <f>IF(N492="б/к",0,IF(OR(ISNUMBER(SEARCH("L=",Разбивка_по_щитам!P492)),N492="+",N492="="),1,0))</f>
      </c>
      <c r="AZ492" s="129">
        <f t="shared" si="330"/>
        <v/>
      </c>
      <c r="BA492" s="129">
        <f t="shared" si="331"/>
      </c>
      <c r="BB492" s="129">
        <f t="shared" si="332"/>
      </c>
      <c r="BD492" s="129">
        <f t="shared" si="333"/>
      </c>
      <c r="BE492" s="129">
        <f t="shared" si="334"/>
      </c>
      <c r="BF492" s="129">
        <f t="shared" si="335"/>
      </c>
      <c r="BG492" s="129">
        <f t="shared" si="336"/>
        <v/>
      </c>
      <c r="BH492" s="129">
        <f t="shared" si="337"/>
        <v/>
      </c>
      <c r="BI492" s="129">
        <f t="shared" si="338"/>
        <v/>
      </c>
      <c r="BJ492" s="129">
        <f t="shared" si="339"/>
        <v/>
      </c>
      <c r="BK492" s="129">
        <f>IF(R492="","",IF(OR(BY492="",BY492=0),"BOX",IFERROR(IF(VLOOKUP(BY492,УГО_блоки,3,FALSE)&amp;""&lt;&gt;"",VLOOKUP(BY492,УГО_блоки,3,FALSE),VLOOKUP(BY492,УГО_блоки,2,FALSE)),BY492)))</f>
      </c>
      <c r="BL492" s="129">
        <f t="shared" si="341"/>
      </c>
      <c r="BM492" s="129">
        <f>IF(H492="","",IF(COUNTIF($H$3:H492,H492)=1,MAX($BM$2:BM491)+1,""))</f>
      </c>
      <c r="BN492" s="129">
        <f>IF(I492="","",IF(COUNTIF($I$3:I492,I492)+COUNTIF($J$2:J491,I492)+COUNTIF($K$2:K491,I492)=1,MAX($BN$2:BP491)+1,""))</f>
      </c>
      <c r="BO492" s="129">
        <f>IF(J492="","",IF(COUNTIF($I$3:I492,J492)+COUNTIF($J$3:J492,J492)+COUNTIF($K$2:K491,J492)=1,MAX($BN$2:BP491,BN492)+1,""))</f>
      </c>
      <c r="BP492" s="129">
        <f>IF(K492="","",IF(COUNTIF($I$3:I492,K492)+COUNTIF($J$3:J492,K492)+COUNTIF($K$3:K492,K492)=1,MAX($BN$2:BP491,BN492,BO492)+1,""))</f>
      </c>
      <c r="BQ492" s="129">
        <f>IF(AY492=1,IFERROR(MID(Q492,FIND(" (",Q492)+2,FIND(")",Q492,FIND(" (",Q492))-FIND(" (",Q492)-2),"?"),"")</f>
      </c>
      <c r="BR492" s="129">
        <f>IF(BQ492="","",IF(COUNTIF($BQ$3:BQ492,BQ492)=1,MAX($BR$2:BR491)+1,""))</f>
      </c>
      <c r="BS492" s="129">
        <f>IF(AW492="","",COUNTIF($AW$3:AW492,"?*"))</f>
      </c>
      <c r="BT492" s="129">
        <f>IF(OR(AW492="",AI492=""),"",IF(COUNTIFS($AW$3:AW492,"?*",$AI$3:AI492,AI492)=1,MAX($BT$2:BT491)+1,""))</f>
      </c>
      <c r="BU492" s="129">
        <f>IF(AE492="",0,IF(OR(ISNUMBER(SEARCH("дубль",AE492)),ISNUMBER(SEARCH("ПЕРЕГРУЗ",AE492)),ISNUMBER(SEARCH("ЗАЩИЩ",AE492)),ISNUMBER(SEARCH("КАНАЛ",AE492)),ISNUMBER(SEARCH("без 30",AE492))),2,1))</f>
      </c>
      <c r="BV492" s="129">
        <f>IF(R492="","",COUNTIF($R$3:R492,"?*"))</f>
      </c>
      <c r="BW492" s="129">
        <f>IF(AY492&lt;&gt;1,0,IF(MAX(IFERROR(--VLOOKUP(R492,УГО_спр,5,FALSE),0),IFERROR(--VLOOKUP(AL492,УГО_спр,5,FALSE),0),IFERROR(--VLOOKUP(LEFT(AL492,2),УГО_спр,5,FALSE),0))&gt;0,MAX(IFERROR(--VLOOKUP(R492,УГО_спр,5,FALSE),0),IFERROR(--VLOOKUP(AL492,УГО_спр,5,FALSE),0),IFERROR(--VLOOKUP(LEFT(AL492,2),УГО_спр,5,FALSE),0)),IF(IFERROR(--LEFT(SUBSTITUTE(BQ492,"x","х"),FIND("х",SUBSTITUTE(BQ492,"x","х"))-1),3)&gt;3,Каталог!$S$9,1)))</f>
      </c>
      <c r="BX492" s="129">
        <f>IF(AY492&lt;&gt;1,0,MAX(0,IFERROR(--LEFT(SUBSTITUTE(BQ492,"x","х"),FIND("х",SUBSTITUTE(BQ492,"x","х"))-1),3)-3*BW492))</f>
      </c>
      <c r="BY492" s="129">
        <f>IF(R492="","",IFERROR(VLOOKUP(R492,УГО_спр,2,FALSE),IFERROR(VLOOKUP(AL492,УГО_спр,2,FALSE),IFERROR(VLOOKUP(LEFT(AL492,2),УГО_спр,2,FALSE),""))))</f>
      </c>
    </row>
    <row r="493" spans="1:64" x14ac:dyDescent="0.3">
      <c r="A493" s="135">
        <f>IF(Разбивка_по_щитам!F493=0,"",Разбивка_по_щитам!F493)</f>
        <v/>
      </c>
      <c r="B493" s="138">
        <f>IF(A493="","",Разбивка_по_щитам!C493)</f>
        <v/>
      </c>
      <c r="C493" s="138">
        <f t="shared" si="302"/>
        <v/>
      </c>
      <c r="D493" s="266"/>
      <c r="E493" s="266"/>
      <c r="F493" s="267"/>
      <c r="G493" s="145">
        <f t="shared" si="303"/>
        <v/>
      </c>
      <c r="H493" s="145">
        <f t="shared" si="304"/>
        <v/>
      </c>
      <c r="I493" s="266"/>
      <c r="J493" s="267"/>
      <c r="K493" s="267"/>
      <c r="L493" s="266"/>
      <c r="M493" s="147">
        <f t="shared" si="305"/>
        <v/>
      </c>
      <c r="N493" s="267"/>
      <c r="O493" s="147">
        <f t="shared" si="306"/>
        <v/>
      </c>
      <c r="P493" s="268">
        <f>IF(AY493=1,"XT"&amp;COUNTIFS($A$3:A493,A493,$AY$3:AY493,1),"")</f>
        <v/>
      </c>
      <c r="Q493" s="152">
        <f>IF(R493="","",IFERROR(SUBSTITUTE(Разбивка_по_щитам!P493,CHAR(10)," "),""))</f>
        <v/>
      </c>
      <c r="R493" s="153">
        <f>IF(OR(Разбивка_по_щитам!H493="",Разбивка_по_щитам!H493=0),"",Разбивка_по_щитам!H493)</f>
        <v/>
      </c>
      <c r="S493" s="154">
        <f>IF(R493="","",IFERROR(Разбивка_по_щитам!J493&amp;"",""))</f>
        <v/>
      </c>
      <c r="T493" s="155">
        <f>IF(R493="","",IFERROR(--Разбивка_по_щитам!L493,""))</f>
        <v/>
      </c>
      <c r="U493" s="155">
        <f>IF(R493="","",IFERROR(--Разбивка_по_щитам!K493,""))</f>
        <v/>
      </c>
      <c r="V493" s="138">
        <f>IF(R493="","",IFERROR(IF(Разбивка_по_щитам!M493=0,"",Разбивка_по_щитам!M493),""))</f>
        <v/>
      </c>
      <c r="W493" s="156">
        <f t="shared" si="307"/>
        <v/>
      </c>
      <c r="X493" s="157">
        <f t="shared" si="308"/>
        <v/>
      </c>
      <c r="Y493" s="266"/>
      <c r="Z493" s="158">
        <f t="shared" si="309"/>
        <v/>
      </c>
      <c r="AA493" s="160">
        <f t="shared" si="310"/>
        <v/>
      </c>
      <c r="AB493" s="160">
        <f>IF(R493="","",IFERROR(LOOKUP(INDEX(Справочная!$I$4:$I$19,MATCH(VLOOKUP(R493,Исходные_данные,22,FALSE),Справочная!$J$4:$J$19,0)+1),{6,10,16,20,25,32,40,50,63,80,100,125}),""))</f>
        <v/>
      </c>
      <c r="AC493" s="160">
        <f t="shared" si="311"/>
        <v/>
      </c>
      <c r="AD493" s="161">
        <f t="shared" si="312"/>
        <v/>
      </c>
      <c r="AE493" s="161">
        <f>IF(AND(R493="",G493=""),"",_xlfn.TEXTJOIN("; ",TRUE,IF(AND(R493&lt;&gt;"",V493=""),"нет фазы",""),IF(AND(R493&lt;&gt;"",N(T493)=0),"нет мощности",""),IF(AND(P493&lt;&gt;"",COUNTIFS($A$3:$A$1000,A493,$P$3:$P$1000,P493)&gt;1),"дубль клеммы "&amp;P493,""),IF(AND(W493&lt;&gt;"",W493&lt;&gt;"ok"),W493,""),IF(X493&lt;&gt;"",X493,""),IF(AND(ISNUMBER(SEARCH("(5х",Q493)),N(AK493)=1),"5 жил на 1 фазе",""),IF(AND(AL493="R",E493&lt;&gt;"",N(AS493)=0),"розетка без 30 мА",""),IF(IFERROR(_xlfn.NUMBERVALUE(MID(Q493,FIND("-",Q493,FIND("L=",Q493))+1,FIND("%",Q493)-FIND("-",Q493,FIND("L=",Q493))-1),","),0)&gt;4,"потери &gt; 4 %","")))</f>
      </c>
      <c r="AF493" s="129">
        <f>IF(E493&lt;&gt;"",COUNTIFS($A$3:A493,A493,$E$3:E493,"?*"),IF(OR(A493&lt;&gt;A492,Y493="вручную"),"",AF492))</f>
        <v/>
      </c>
      <c r="AG493" s="129">
        <f t="shared" si="313"/>
        <v/>
      </c>
      <c r="AH493" s="129">
        <f t="shared" si="314"/>
        <v/>
      </c>
      <c r="AI493" s="129">
        <f t="shared" si="315"/>
        <v/>
      </c>
      <c r="AJ493" s="129">
        <f t="shared" si="316"/>
        <v/>
      </c>
      <c r="AK493" s="129">
        <f t="shared" si="317"/>
        <v/>
      </c>
      <c r="AL493" s="129">
        <f t="shared" si="318"/>
        <v/>
      </c>
      <c r="AM493" s="129">
        <f t="shared" si="319"/>
      </c>
      <c r="AN493" s="129">
        <f t="shared" si="320"/>
      </c>
      <c r="AO493" s="129">
        <f t="shared" si="321"/>
        <v/>
      </c>
      <c r="AP493" s="129">
        <f t="shared" si="322"/>
        <v/>
      </c>
      <c r="AQ493" s="129">
        <f t="shared" si="323"/>
        <v/>
      </c>
      <c r="AR493" s="129">
        <f t="shared" si="324"/>
        <v/>
      </c>
      <c r="AS493" s="129">
        <f t="shared" si="325"/>
        <v/>
      </c>
      <c r="AT493" s="129">
        <f t="shared" si="326"/>
        <v/>
      </c>
      <c r="AU493" s="129">
        <f t="shared" si="327"/>
        <v/>
      </c>
      <c r="AV493" s="129">
        <f t="shared" si="328"/>
        <v/>
      </c>
      <c r="AW493" s="129">
        <f>IF(AV493="","",AV493&amp;"."&amp;COUNTIFS($A$3:A493,A493,$AV$3:AV493,AV493))</f>
        <v/>
      </c>
      <c r="AX493" s="129">
        <f t="shared" si="329"/>
        <v/>
      </c>
      <c r="AY493" s="129">
        <f>IF(N493="б/к",0,IF(OR(ISNUMBER(SEARCH("L=",Разбивка_по_щитам!P493)),N493="+",N493="="),1,0))</f>
      </c>
      <c r="AZ493" s="129">
        <f t="shared" si="330"/>
        <v/>
      </c>
      <c r="BA493" s="129">
        <f t="shared" si="331"/>
      </c>
      <c r="BB493" s="129">
        <f t="shared" si="332"/>
      </c>
      <c r="BD493" s="129">
        <f t="shared" si="333"/>
      </c>
      <c r="BE493" s="129">
        <f t="shared" si="334"/>
      </c>
      <c r="BF493" s="129">
        <f t="shared" si="335"/>
      </c>
      <c r="BG493" s="129">
        <f t="shared" si="336"/>
        <v/>
      </c>
      <c r="BH493" s="129">
        <f t="shared" si="337"/>
        <v/>
      </c>
      <c r="BI493" s="129">
        <f t="shared" si="338"/>
        <v/>
      </c>
      <c r="BJ493" s="129">
        <f t="shared" si="339"/>
        <v/>
      </c>
      <c r="BK493" s="129">
        <f>IF(R493="","",IF(OR(BY493="",BY493=0),"BOX",IFERROR(IF(VLOOKUP(BY493,УГО_блоки,3,FALSE)&amp;""&lt;&gt;"",VLOOKUP(BY493,УГО_блоки,3,FALSE),VLOOKUP(BY493,УГО_блоки,2,FALSE)),BY493)))</f>
      </c>
      <c r="BL493" s="129">
        <f t="shared" si="341"/>
      </c>
      <c r="BM493" s="129">
        <f>IF(H493="","",IF(COUNTIF($H$3:H493,H493)=1,MAX($BM$2:BM492)+1,""))</f>
      </c>
      <c r="BN493" s="129">
        <f>IF(I493="","",IF(COUNTIF($I$3:I493,I493)+COUNTIF($J$2:J492,I493)+COUNTIF($K$2:K492,I493)=1,MAX($BN$2:BP492)+1,""))</f>
      </c>
      <c r="BO493" s="129">
        <f>IF(J493="","",IF(COUNTIF($I$3:I493,J493)+COUNTIF($J$3:J493,J493)+COUNTIF($K$2:K492,J493)=1,MAX($BN$2:BP492,BN493)+1,""))</f>
      </c>
      <c r="BP493" s="129">
        <f>IF(K493="","",IF(COUNTIF($I$3:I493,K493)+COUNTIF($J$3:J493,K493)+COUNTIF($K$3:K493,K493)=1,MAX($BN$2:BP492,BN493,BO493)+1,""))</f>
      </c>
      <c r="BQ493" s="129">
        <f>IF(AY493=1,IFERROR(MID(Q493,FIND(" (",Q493)+2,FIND(")",Q493,FIND(" (",Q493))-FIND(" (",Q493)-2),"?"),"")</f>
      </c>
      <c r="BR493" s="129">
        <f>IF(BQ493="","",IF(COUNTIF($BQ$3:BQ493,BQ493)=1,MAX($BR$2:BR492)+1,""))</f>
      </c>
      <c r="BS493" s="129">
        <f>IF(AW493="","",COUNTIF($AW$3:AW493,"?*"))</f>
      </c>
      <c r="BT493" s="129">
        <f>IF(OR(AW493="",AI493=""),"",IF(COUNTIFS($AW$3:AW493,"?*",$AI$3:AI493,AI493)=1,MAX($BT$2:BT492)+1,""))</f>
      </c>
      <c r="BU493" s="129">
        <f>IF(AE493="",0,IF(OR(ISNUMBER(SEARCH("дубль",AE493)),ISNUMBER(SEARCH("ПЕРЕГРУЗ",AE493)),ISNUMBER(SEARCH("ЗАЩИЩ",AE493)),ISNUMBER(SEARCH("КАНАЛ",AE493)),ISNUMBER(SEARCH("без 30",AE493))),2,1))</f>
      </c>
      <c r="BV493" s="129">
        <f>IF(R493="","",COUNTIF($R$3:R493,"?*"))</f>
      </c>
      <c r="BW493" s="129">
        <f>IF(AY493&lt;&gt;1,0,IF(MAX(IFERROR(--VLOOKUP(R493,УГО_спр,5,FALSE),0),IFERROR(--VLOOKUP(AL493,УГО_спр,5,FALSE),0),IFERROR(--VLOOKUP(LEFT(AL493,2),УГО_спр,5,FALSE),0))&gt;0,MAX(IFERROR(--VLOOKUP(R493,УГО_спр,5,FALSE),0),IFERROR(--VLOOKUP(AL493,УГО_спр,5,FALSE),0),IFERROR(--VLOOKUP(LEFT(AL493,2),УГО_спр,5,FALSE),0)),IF(IFERROR(--LEFT(SUBSTITUTE(BQ493,"x","х"),FIND("х",SUBSTITUTE(BQ493,"x","х"))-1),3)&gt;3,Каталог!$S$9,1)))</f>
      </c>
      <c r="BX493" s="129">
        <f>IF(AY493&lt;&gt;1,0,MAX(0,IFERROR(--LEFT(SUBSTITUTE(BQ493,"x","х"),FIND("х",SUBSTITUTE(BQ493,"x","х"))-1),3)-3*BW493))</f>
      </c>
      <c r="BY493" s="129">
        <f>IF(R493="","",IFERROR(VLOOKUP(R493,УГО_спр,2,FALSE),IFERROR(VLOOKUP(AL493,УГО_спр,2,FALSE),IFERROR(VLOOKUP(LEFT(AL493,2),УГО_спр,2,FALSE),""))))</f>
      </c>
    </row>
    <row r="494" spans="1:64" x14ac:dyDescent="0.3">
      <c r="A494" s="135">
        <f>IF(Разбивка_по_щитам!F494=0,"",Разбивка_по_щитам!F494)</f>
        <v/>
      </c>
      <c r="B494" s="138">
        <f>IF(A494="","",Разбивка_по_щитам!C494)</f>
        <v/>
      </c>
      <c r="C494" s="138">
        <f t="shared" si="302"/>
        <v/>
      </c>
      <c r="D494" s="266"/>
      <c r="E494" s="266"/>
      <c r="F494" s="267"/>
      <c r="G494" s="145">
        <f t="shared" si="303"/>
        <v/>
      </c>
      <c r="H494" s="145">
        <f t="shared" si="304"/>
        <v/>
      </c>
      <c r="I494" s="266"/>
      <c r="J494" s="267"/>
      <c r="K494" s="267"/>
      <c r="L494" s="266"/>
      <c r="M494" s="147">
        <f t="shared" si="305"/>
        <v/>
      </c>
      <c r="N494" s="267"/>
      <c r="O494" s="147">
        <f t="shared" si="306"/>
        <v/>
      </c>
      <c r="P494" s="268">
        <f>IF(AY494=1,"XT"&amp;COUNTIFS($A$3:A494,A494,$AY$3:AY494,1),"")</f>
        <v/>
      </c>
      <c r="Q494" s="152">
        <f>IF(R494="","",IFERROR(SUBSTITUTE(Разбивка_по_щитам!P494,CHAR(10)," "),""))</f>
        <v/>
      </c>
      <c r="R494" s="153">
        <f>IF(OR(Разбивка_по_щитам!H494="",Разбивка_по_щитам!H494=0),"",Разбивка_по_щитам!H494)</f>
        <v/>
      </c>
      <c r="S494" s="154">
        <f>IF(R494="","",IFERROR(Разбивка_по_щитам!J494&amp;"",""))</f>
        <v/>
      </c>
      <c r="T494" s="155">
        <f>IF(R494="","",IFERROR(--Разбивка_по_щитам!L494,""))</f>
        <v/>
      </c>
      <c r="U494" s="155">
        <f>IF(R494="","",IFERROR(--Разбивка_по_щитам!K494,""))</f>
        <v/>
      </c>
      <c r="V494" s="138">
        <f>IF(R494="","",IFERROR(IF(Разбивка_по_щитам!M494=0,"",Разбивка_по_щитам!M494),""))</f>
        <v/>
      </c>
      <c r="W494" s="156">
        <f t="shared" si="307"/>
        <v/>
      </c>
      <c r="X494" s="157">
        <f t="shared" si="308"/>
        <v/>
      </c>
      <c r="Y494" s="266"/>
      <c r="Z494" s="158">
        <f t="shared" si="309"/>
        <v/>
      </c>
      <c r="AA494" s="160">
        <f t="shared" si="310"/>
        <v/>
      </c>
      <c r="AB494" s="160">
        <f>IF(R494="","",IFERROR(LOOKUP(INDEX(Справочная!$I$4:$I$19,MATCH(VLOOKUP(R494,Исходные_данные,22,FALSE),Справочная!$J$4:$J$19,0)+1),{6,10,16,20,25,32,40,50,63,80,100,125}),""))</f>
        <v/>
      </c>
      <c r="AC494" s="160">
        <f t="shared" si="311"/>
        <v/>
      </c>
      <c r="AD494" s="161">
        <f t="shared" si="312"/>
        <v/>
      </c>
      <c r="AE494" s="161">
        <f>IF(AND(R494="",G494=""),"",_xlfn.TEXTJOIN("; ",TRUE,IF(AND(R494&lt;&gt;"",V494=""),"нет фазы",""),IF(AND(R494&lt;&gt;"",N(T494)=0),"нет мощности",""),IF(AND(P494&lt;&gt;"",COUNTIFS($A$3:$A$1000,A494,$P$3:$P$1000,P494)&gt;1),"дубль клеммы "&amp;P494,""),IF(AND(W494&lt;&gt;"",W494&lt;&gt;"ok"),W494,""),IF(X494&lt;&gt;"",X494,""),IF(AND(ISNUMBER(SEARCH("(5х",Q494)),N(AK494)=1),"5 жил на 1 фазе",""),IF(AND(AL494="R",E494&lt;&gt;"",N(AS494)=0),"розетка без 30 мА",""),IF(IFERROR(_xlfn.NUMBERVALUE(MID(Q494,FIND("-",Q494,FIND("L=",Q494))+1,FIND("%",Q494)-FIND("-",Q494,FIND("L=",Q494))-1),","),0)&gt;4,"потери &gt; 4 %","")))</f>
      </c>
      <c r="AF494" s="129">
        <f>IF(E494&lt;&gt;"",COUNTIFS($A$3:A494,A494,$E$3:E494,"?*"),IF(OR(A494&lt;&gt;A493,Y494="вручную"),"",AF493))</f>
        <v/>
      </c>
      <c r="AG494" s="129">
        <f t="shared" si="313"/>
        <v/>
      </c>
      <c r="AH494" s="129">
        <f t="shared" si="314"/>
        <v/>
      </c>
      <c r="AI494" s="129">
        <f t="shared" si="315"/>
        <v/>
      </c>
      <c r="AJ494" s="129">
        <f t="shared" si="316"/>
        <v/>
      </c>
      <c r="AK494" s="129">
        <f t="shared" si="317"/>
        <v/>
      </c>
      <c r="AL494" s="129">
        <f t="shared" si="318"/>
        <v/>
      </c>
      <c r="AM494" s="129">
        <f t="shared" si="319"/>
      </c>
      <c r="AN494" s="129">
        <f t="shared" si="320"/>
      </c>
      <c r="AO494" s="129">
        <f t="shared" si="321"/>
        <v/>
      </c>
      <c r="AP494" s="129">
        <f t="shared" si="322"/>
        <v/>
      </c>
      <c r="AQ494" s="129">
        <f t="shared" si="323"/>
        <v/>
      </c>
      <c r="AR494" s="129">
        <f t="shared" si="324"/>
        <v/>
      </c>
      <c r="AS494" s="129">
        <f t="shared" si="325"/>
        <v/>
      </c>
      <c r="AT494" s="129">
        <f t="shared" si="326"/>
        <v/>
      </c>
      <c r="AU494" s="129">
        <f t="shared" si="327"/>
        <v/>
      </c>
      <c r="AV494" s="129">
        <f t="shared" si="328"/>
        <v/>
      </c>
      <c r="AW494" s="129">
        <f>IF(AV494="","",AV494&amp;"."&amp;COUNTIFS($A$3:A494,A494,$AV$3:AV494,AV494))</f>
        <v/>
      </c>
      <c r="AX494" s="129">
        <f t="shared" si="329"/>
        <v/>
      </c>
      <c r="AY494" s="129">
        <f>IF(N494="б/к",0,IF(OR(ISNUMBER(SEARCH("L=",Разбивка_по_щитам!P494)),N494="+",N494="="),1,0))</f>
      </c>
      <c r="AZ494" s="129">
        <f t="shared" si="330"/>
        <v/>
      </c>
      <c r="BA494" s="129">
        <f t="shared" si="331"/>
      </c>
      <c r="BB494" s="129">
        <f t="shared" si="332"/>
      </c>
      <c r="BD494" s="129">
        <f t="shared" si="333"/>
      </c>
      <c r="BE494" s="129">
        <f t="shared" si="334"/>
      </c>
      <c r="BF494" s="129">
        <f t="shared" si="335"/>
      </c>
      <c r="BG494" s="129">
        <f t="shared" si="336"/>
        <v/>
      </c>
      <c r="BH494" s="129">
        <f t="shared" si="337"/>
        <v/>
      </c>
      <c r="BI494" s="129">
        <f t="shared" si="338"/>
        <v/>
      </c>
      <c r="BJ494" s="129">
        <f t="shared" si="339"/>
        <v/>
      </c>
      <c r="BK494" s="129">
        <f>IF(R494="","",IF(OR(BY494="",BY494=0),"BOX",IFERROR(IF(VLOOKUP(BY494,УГО_блоки,3,FALSE)&amp;""&lt;&gt;"",VLOOKUP(BY494,УГО_блоки,3,FALSE),VLOOKUP(BY494,УГО_блоки,2,FALSE)),BY494)))</f>
      </c>
      <c r="BL494" s="129">
        <f t="shared" si="341"/>
      </c>
      <c r="BM494" s="129">
        <f>IF(H494="","",IF(COUNTIF($H$3:H494,H494)=1,MAX($BM$2:BM493)+1,""))</f>
      </c>
      <c r="BN494" s="129">
        <f>IF(I494="","",IF(COUNTIF($I$3:I494,I494)+COUNTIF($J$2:J493,I494)+COUNTIF($K$2:K493,I494)=1,MAX($BN$2:BP493)+1,""))</f>
      </c>
      <c r="BO494" s="129">
        <f>IF(J494="","",IF(COUNTIF($I$3:I494,J494)+COUNTIF($J$3:J494,J494)+COUNTIF($K$2:K493,J494)=1,MAX($BN$2:BP493,BN494)+1,""))</f>
      </c>
      <c r="BP494" s="129">
        <f>IF(K494="","",IF(COUNTIF($I$3:I494,K494)+COUNTIF($J$3:J494,K494)+COUNTIF($K$3:K494,K494)=1,MAX($BN$2:BP493,BN494,BO494)+1,""))</f>
      </c>
      <c r="BQ494" s="129">
        <f>IF(AY494=1,IFERROR(MID(Q494,FIND(" (",Q494)+2,FIND(")",Q494,FIND(" (",Q494))-FIND(" (",Q494)-2),"?"),"")</f>
      </c>
      <c r="BR494" s="129">
        <f>IF(BQ494="","",IF(COUNTIF($BQ$3:BQ494,BQ494)=1,MAX($BR$2:BR493)+1,""))</f>
      </c>
      <c r="BS494" s="129">
        <f>IF(AW494="","",COUNTIF($AW$3:AW494,"?*"))</f>
      </c>
      <c r="BT494" s="129">
        <f>IF(OR(AW494="",AI494=""),"",IF(COUNTIFS($AW$3:AW494,"?*",$AI$3:AI494,AI494)=1,MAX($BT$2:BT493)+1,""))</f>
      </c>
      <c r="BU494" s="129">
        <f>IF(AE494="",0,IF(OR(ISNUMBER(SEARCH("дубль",AE494)),ISNUMBER(SEARCH("ПЕРЕГРУЗ",AE494)),ISNUMBER(SEARCH("ЗАЩИЩ",AE494)),ISNUMBER(SEARCH("КАНАЛ",AE494)),ISNUMBER(SEARCH("без 30",AE494))),2,1))</f>
      </c>
      <c r="BV494" s="129">
        <f>IF(R494="","",COUNTIF($R$3:R494,"?*"))</f>
      </c>
      <c r="BW494" s="129">
        <f>IF(AY494&lt;&gt;1,0,IF(MAX(IFERROR(--VLOOKUP(R494,УГО_спр,5,FALSE),0),IFERROR(--VLOOKUP(AL494,УГО_спр,5,FALSE),0),IFERROR(--VLOOKUP(LEFT(AL494,2),УГО_спр,5,FALSE),0))&gt;0,MAX(IFERROR(--VLOOKUP(R494,УГО_спр,5,FALSE),0),IFERROR(--VLOOKUP(AL494,УГО_спр,5,FALSE),0),IFERROR(--VLOOKUP(LEFT(AL494,2),УГО_спр,5,FALSE),0)),IF(IFERROR(--LEFT(SUBSTITUTE(BQ494,"x","х"),FIND("х",SUBSTITUTE(BQ494,"x","х"))-1),3)&gt;3,Каталог!$S$9,1)))</f>
      </c>
      <c r="BX494" s="129">
        <f>IF(AY494&lt;&gt;1,0,MAX(0,IFERROR(--LEFT(SUBSTITUTE(BQ494,"x","х"),FIND("х",SUBSTITUTE(BQ494,"x","х"))-1),3)-3*BW494))</f>
      </c>
      <c r="BY494" s="129">
        <f>IF(R494="","",IFERROR(VLOOKUP(R494,УГО_спр,2,FALSE),IFERROR(VLOOKUP(AL494,УГО_спр,2,FALSE),IFERROR(VLOOKUP(LEFT(AL494,2),УГО_спр,2,FALSE),""))))</f>
      </c>
    </row>
    <row r="495" spans="1:64" x14ac:dyDescent="0.3">
      <c r="A495" s="135">
        <f>IF(Разбивка_по_щитам!F495=0,"",Разбивка_по_щитам!F495)</f>
        <v/>
      </c>
      <c r="B495" s="138">
        <f>IF(A495="","",Разбивка_по_щитам!C495)</f>
        <v/>
      </c>
      <c r="C495" s="138">
        <f t="shared" si="302"/>
        <v/>
      </c>
      <c r="D495" s="266"/>
      <c r="E495" s="266"/>
      <c r="F495" s="267"/>
      <c r="G495" s="145">
        <f t="shared" si="303"/>
        <v/>
      </c>
      <c r="H495" s="145">
        <f t="shared" si="304"/>
        <v/>
      </c>
      <c r="I495" s="266"/>
      <c r="J495" s="267"/>
      <c r="K495" s="267"/>
      <c r="L495" s="266"/>
      <c r="M495" s="147">
        <f t="shared" si="305"/>
        <v/>
      </c>
      <c r="N495" s="267"/>
      <c r="O495" s="147">
        <f t="shared" si="306"/>
        <v/>
      </c>
      <c r="P495" s="268">
        <f>IF(AY495=1,"XT"&amp;COUNTIFS($A$3:A495,A495,$AY$3:AY495,1),"")</f>
        <v/>
      </c>
      <c r="Q495" s="152">
        <f>IF(R495="","",IFERROR(SUBSTITUTE(Разбивка_по_щитам!P495,CHAR(10)," "),""))</f>
        <v/>
      </c>
      <c r="R495" s="153">
        <f>IF(OR(Разбивка_по_щитам!H495="",Разбивка_по_щитам!H495=0),"",Разбивка_по_щитам!H495)</f>
        <v/>
      </c>
      <c r="S495" s="154">
        <f>IF(R495="","",IFERROR(Разбивка_по_щитам!J495&amp;"",""))</f>
        <v/>
      </c>
      <c r="T495" s="155">
        <f>IF(R495="","",IFERROR(--Разбивка_по_щитам!L495,""))</f>
        <v/>
      </c>
      <c r="U495" s="155">
        <f>IF(R495="","",IFERROR(--Разбивка_по_щитам!K495,""))</f>
        <v/>
      </c>
      <c r="V495" s="138">
        <f>IF(R495="","",IFERROR(IF(Разбивка_по_щитам!M495=0,"",Разбивка_по_щитам!M495),""))</f>
        <v/>
      </c>
      <c r="W495" s="156">
        <f t="shared" si="307"/>
        <v/>
      </c>
      <c r="X495" s="157">
        <f t="shared" si="308"/>
        <v/>
      </c>
      <c r="Y495" s="266"/>
      <c r="Z495" s="158">
        <f t="shared" si="309"/>
        <v/>
      </c>
      <c r="AA495" s="160">
        <f t="shared" si="310"/>
        <v/>
      </c>
      <c r="AB495" s="160">
        <f>IF(R495="","",IFERROR(LOOKUP(INDEX(Справочная!$I$4:$I$19,MATCH(VLOOKUP(R495,Исходные_данные,22,FALSE),Справочная!$J$4:$J$19,0)+1),{6,10,16,20,25,32,40,50,63,80,100,125}),""))</f>
        <v/>
      </c>
      <c r="AC495" s="160">
        <f t="shared" si="311"/>
        <v/>
      </c>
      <c r="AD495" s="161">
        <f t="shared" si="312"/>
        <v/>
      </c>
      <c r="AE495" s="161">
        <f>IF(AND(R495="",G495=""),"",_xlfn.TEXTJOIN("; ",TRUE,IF(AND(R495&lt;&gt;"",V495=""),"нет фазы",""),IF(AND(R495&lt;&gt;"",N(T495)=0),"нет мощности",""),IF(AND(P495&lt;&gt;"",COUNTIFS($A$3:$A$1000,A495,$P$3:$P$1000,P495)&gt;1),"дубль клеммы "&amp;P495,""),IF(AND(W495&lt;&gt;"",W495&lt;&gt;"ok"),W495,""),IF(X495&lt;&gt;"",X495,""),IF(AND(ISNUMBER(SEARCH("(5х",Q495)),N(AK495)=1),"5 жил на 1 фазе",""),IF(AND(AL495="R",E495&lt;&gt;"",N(AS495)=0),"розетка без 30 мА",""),IF(IFERROR(_xlfn.NUMBERVALUE(MID(Q495,FIND("-",Q495,FIND("L=",Q495))+1,FIND("%",Q495)-FIND("-",Q495,FIND("L=",Q495))-1),","),0)&gt;4,"потери &gt; 4 %","")))</f>
      </c>
      <c r="AF495" s="129">
        <f>IF(E495&lt;&gt;"",COUNTIFS($A$3:A495,A495,$E$3:E495,"?*"),IF(OR(A495&lt;&gt;A494,Y495="вручную"),"",AF494))</f>
        <v/>
      </c>
      <c r="AG495" s="129">
        <f t="shared" si="313"/>
        <v/>
      </c>
      <c r="AH495" s="129">
        <f t="shared" si="314"/>
        <v/>
      </c>
      <c r="AI495" s="129">
        <f t="shared" si="315"/>
        <v/>
      </c>
      <c r="AJ495" s="129">
        <f t="shared" si="316"/>
        <v/>
      </c>
      <c r="AK495" s="129">
        <f t="shared" si="317"/>
        <v/>
      </c>
      <c r="AL495" s="129">
        <f t="shared" si="318"/>
        <v/>
      </c>
      <c r="AM495" s="129">
        <f t="shared" si="319"/>
      </c>
      <c r="AN495" s="129">
        <f t="shared" si="320"/>
      </c>
      <c r="AO495" s="129">
        <f t="shared" si="321"/>
        <v/>
      </c>
      <c r="AP495" s="129">
        <f t="shared" si="322"/>
        <v/>
      </c>
      <c r="AQ495" s="129">
        <f t="shared" si="323"/>
        <v/>
      </c>
      <c r="AR495" s="129">
        <f t="shared" si="324"/>
        <v/>
      </c>
      <c r="AS495" s="129">
        <f t="shared" si="325"/>
        <v/>
      </c>
      <c r="AT495" s="129">
        <f t="shared" si="326"/>
        <v/>
      </c>
      <c r="AU495" s="129">
        <f t="shared" si="327"/>
        <v/>
      </c>
      <c r="AV495" s="129">
        <f t="shared" si="328"/>
        <v/>
      </c>
      <c r="AW495" s="129">
        <f>IF(AV495="","",AV495&amp;"."&amp;COUNTIFS($A$3:A495,A495,$AV$3:AV495,AV495))</f>
        <v/>
      </c>
      <c r="AX495" s="129">
        <f t="shared" si="329"/>
        <v/>
      </c>
      <c r="AY495" s="129">
        <f>IF(N495="б/к",0,IF(OR(ISNUMBER(SEARCH("L=",Разбивка_по_щитам!P495)),N495="+",N495="="),1,0))</f>
      </c>
      <c r="AZ495" s="129">
        <f t="shared" si="330"/>
        <v/>
      </c>
      <c r="BA495" s="129">
        <f t="shared" si="331"/>
      </c>
      <c r="BB495" s="129">
        <f t="shared" si="332"/>
      </c>
      <c r="BD495" s="129">
        <f t="shared" si="333"/>
      </c>
      <c r="BE495" s="129">
        <f t="shared" si="334"/>
      </c>
      <c r="BF495" s="129">
        <f t="shared" si="335"/>
      </c>
      <c r="BG495" s="129">
        <f t="shared" si="336"/>
        <v/>
      </c>
      <c r="BH495" s="129">
        <f t="shared" si="337"/>
        <v/>
      </c>
      <c r="BI495" s="129">
        <f t="shared" si="338"/>
        <v/>
      </c>
      <c r="BJ495" s="129">
        <f t="shared" si="339"/>
        <v/>
      </c>
      <c r="BK495" s="129">
        <f>IF(R495="","",IF(OR(BY495="",BY495=0),"BOX",IFERROR(IF(VLOOKUP(BY495,УГО_блоки,3,FALSE)&amp;""&lt;&gt;"",VLOOKUP(BY495,УГО_блоки,3,FALSE),VLOOKUP(BY495,УГО_блоки,2,FALSE)),BY495)))</f>
      </c>
      <c r="BL495" s="129">
        <f t="shared" si="341"/>
      </c>
      <c r="BM495" s="129">
        <f>IF(H495="","",IF(COUNTIF($H$3:H495,H495)=1,MAX($BM$2:BM494)+1,""))</f>
      </c>
      <c r="BN495" s="129">
        <f>IF(I495="","",IF(COUNTIF($I$3:I495,I495)+COUNTIF($J$2:J494,I495)+COUNTIF($K$2:K494,I495)=1,MAX($BN$2:BP494)+1,""))</f>
      </c>
      <c r="BO495" s="129">
        <f>IF(J495="","",IF(COUNTIF($I$3:I495,J495)+COUNTIF($J$3:J495,J495)+COUNTIF($K$2:K494,J495)=1,MAX($BN$2:BP494,BN495)+1,""))</f>
      </c>
      <c r="BP495" s="129">
        <f>IF(K495="","",IF(COUNTIF($I$3:I495,K495)+COUNTIF($J$3:J495,K495)+COUNTIF($K$3:K495,K495)=1,MAX($BN$2:BP494,BN495,BO495)+1,""))</f>
      </c>
      <c r="BQ495" s="129">
        <f>IF(AY495=1,IFERROR(MID(Q495,FIND(" (",Q495)+2,FIND(")",Q495,FIND(" (",Q495))-FIND(" (",Q495)-2),"?"),"")</f>
      </c>
      <c r="BR495" s="129">
        <f>IF(BQ495="","",IF(COUNTIF($BQ$3:BQ495,BQ495)=1,MAX($BR$2:BR494)+1,""))</f>
      </c>
      <c r="BS495" s="129">
        <f>IF(AW495="","",COUNTIF($AW$3:AW495,"?*"))</f>
      </c>
      <c r="BT495" s="129">
        <f>IF(OR(AW495="",AI495=""),"",IF(COUNTIFS($AW$3:AW495,"?*",$AI$3:AI495,AI495)=1,MAX($BT$2:BT494)+1,""))</f>
      </c>
      <c r="BU495" s="129">
        <f>IF(AE495="",0,IF(OR(ISNUMBER(SEARCH("дубль",AE495)),ISNUMBER(SEARCH("ПЕРЕГРУЗ",AE495)),ISNUMBER(SEARCH("ЗАЩИЩ",AE495)),ISNUMBER(SEARCH("КАНАЛ",AE495)),ISNUMBER(SEARCH("без 30",AE495))),2,1))</f>
      </c>
      <c r="BV495" s="129">
        <f>IF(R495="","",COUNTIF($R$3:R495,"?*"))</f>
      </c>
      <c r="BW495" s="129">
        <f>IF(AY495&lt;&gt;1,0,IF(MAX(IFERROR(--VLOOKUP(R495,УГО_спр,5,FALSE),0),IFERROR(--VLOOKUP(AL495,УГО_спр,5,FALSE),0),IFERROR(--VLOOKUP(LEFT(AL495,2),УГО_спр,5,FALSE),0))&gt;0,MAX(IFERROR(--VLOOKUP(R495,УГО_спр,5,FALSE),0),IFERROR(--VLOOKUP(AL495,УГО_спр,5,FALSE),0),IFERROR(--VLOOKUP(LEFT(AL495,2),УГО_спр,5,FALSE),0)),IF(IFERROR(--LEFT(SUBSTITUTE(BQ495,"x","х"),FIND("х",SUBSTITUTE(BQ495,"x","х"))-1),3)&gt;3,Каталог!$S$9,1)))</f>
      </c>
      <c r="BX495" s="129">
        <f>IF(AY495&lt;&gt;1,0,MAX(0,IFERROR(--LEFT(SUBSTITUTE(BQ495,"x","х"),FIND("х",SUBSTITUTE(BQ495,"x","х"))-1),3)-3*BW495))</f>
      </c>
      <c r="BY495" s="129">
        <f>IF(R495="","",IFERROR(VLOOKUP(R495,УГО_спр,2,FALSE),IFERROR(VLOOKUP(AL495,УГО_спр,2,FALSE),IFERROR(VLOOKUP(LEFT(AL495,2),УГО_спр,2,FALSE),""))))</f>
      </c>
    </row>
    <row r="496" spans="1:64" x14ac:dyDescent="0.3">
      <c r="A496" s="135">
        <f>IF(Разбивка_по_щитам!F496=0,"",Разбивка_по_щитам!F496)</f>
        <v/>
      </c>
      <c r="B496" s="138">
        <f>IF(A496="","",Разбивка_по_щитам!C496)</f>
        <v/>
      </c>
      <c r="C496" s="138">
        <f t="shared" si="302"/>
        <v/>
      </c>
      <c r="D496" s="266"/>
      <c r="E496" s="266"/>
      <c r="F496" s="267"/>
      <c r="G496" s="145">
        <f t="shared" si="303"/>
        <v/>
      </c>
      <c r="H496" s="145">
        <f t="shared" si="304"/>
        <v/>
      </c>
      <c r="I496" s="266"/>
      <c r="J496" s="267"/>
      <c r="K496" s="267"/>
      <c r="L496" s="266"/>
      <c r="M496" s="147">
        <f t="shared" si="305"/>
        <v/>
      </c>
      <c r="N496" s="267"/>
      <c r="O496" s="147">
        <f t="shared" si="306"/>
        <v/>
      </c>
      <c r="P496" s="268">
        <f>IF(AY496=1,"XT"&amp;COUNTIFS($A$3:A496,A496,$AY$3:AY496,1),"")</f>
        <v/>
      </c>
      <c r="Q496" s="152">
        <f>IF(R496="","",IFERROR(SUBSTITUTE(Разбивка_по_щитам!P496,CHAR(10)," "),""))</f>
        <v/>
      </c>
      <c r="R496" s="153">
        <f>IF(OR(Разбивка_по_щитам!H496="",Разбивка_по_щитам!H496=0),"",Разбивка_по_щитам!H496)</f>
        <v/>
      </c>
      <c r="S496" s="154">
        <f>IF(R496="","",IFERROR(Разбивка_по_щитам!J496&amp;"",""))</f>
        <v/>
      </c>
      <c r="T496" s="155">
        <f>IF(R496="","",IFERROR(--Разбивка_по_щитам!L496,""))</f>
        <v/>
      </c>
      <c r="U496" s="155">
        <f>IF(R496="","",IFERROR(--Разбивка_по_щитам!K496,""))</f>
        <v/>
      </c>
      <c r="V496" s="138">
        <f>IF(R496="","",IFERROR(IF(Разбивка_по_щитам!M496=0,"",Разбивка_по_щитам!M496),""))</f>
        <v/>
      </c>
      <c r="W496" s="156">
        <f t="shared" si="307"/>
        <v/>
      </c>
      <c r="X496" s="157">
        <f t="shared" si="308"/>
        <v/>
      </c>
      <c r="Y496" s="266"/>
      <c r="Z496" s="158">
        <f t="shared" si="309"/>
        <v/>
      </c>
      <c r="AA496" s="160">
        <f t="shared" si="310"/>
        <v/>
      </c>
      <c r="AB496" s="160">
        <f>IF(R496="","",IFERROR(LOOKUP(INDEX(Справочная!$I$4:$I$19,MATCH(VLOOKUP(R496,Исходные_данные,22,FALSE),Справочная!$J$4:$J$19,0)+1),{6,10,16,20,25,32,40,50,63,80,100,125}),""))</f>
        <v/>
      </c>
      <c r="AC496" s="160">
        <f t="shared" si="311"/>
        <v/>
      </c>
      <c r="AD496" s="161">
        <f t="shared" si="312"/>
        <v/>
      </c>
      <c r="AE496" s="161">
        <f>IF(AND(R496="",G496=""),"",_xlfn.TEXTJOIN("; ",TRUE,IF(AND(R496&lt;&gt;"",V496=""),"нет фазы",""),IF(AND(R496&lt;&gt;"",N(T496)=0),"нет мощности",""),IF(AND(P496&lt;&gt;"",COUNTIFS($A$3:$A$1000,A496,$P$3:$P$1000,P496)&gt;1),"дубль клеммы "&amp;P496,""),IF(AND(W496&lt;&gt;"",W496&lt;&gt;"ok"),W496,""),IF(X496&lt;&gt;"",X496,""),IF(AND(ISNUMBER(SEARCH("(5х",Q496)),N(AK496)=1),"5 жил на 1 фазе",""),IF(AND(AL496="R",E496&lt;&gt;"",N(AS496)=0),"розетка без 30 мА",""),IF(IFERROR(_xlfn.NUMBERVALUE(MID(Q496,FIND("-",Q496,FIND("L=",Q496))+1,FIND("%",Q496)-FIND("-",Q496,FIND("L=",Q496))-1),","),0)&gt;4,"потери &gt; 4 %","")))</f>
      </c>
      <c r="AF496" s="129">
        <f>IF(E496&lt;&gt;"",COUNTIFS($A$3:A496,A496,$E$3:E496,"?*"),IF(OR(A496&lt;&gt;A495,Y496="вручную"),"",AF495))</f>
        <v/>
      </c>
      <c r="AG496" s="129">
        <f t="shared" si="313"/>
        <v/>
      </c>
      <c r="AH496" s="129">
        <f t="shared" si="314"/>
        <v/>
      </c>
      <c r="AI496" s="129">
        <f t="shared" si="315"/>
        <v/>
      </c>
      <c r="AJ496" s="129">
        <f t="shared" si="316"/>
        <v/>
      </c>
      <c r="AK496" s="129">
        <f t="shared" si="317"/>
        <v/>
      </c>
      <c r="AL496" s="129">
        <f t="shared" si="318"/>
        <v/>
      </c>
      <c r="AM496" s="129">
        <f t="shared" si="319"/>
      </c>
      <c r="AN496" s="129">
        <f t="shared" si="320"/>
      </c>
      <c r="AO496" s="129">
        <f t="shared" si="321"/>
        <v/>
      </c>
      <c r="AP496" s="129">
        <f t="shared" si="322"/>
        <v/>
      </c>
      <c r="AQ496" s="129">
        <f t="shared" si="323"/>
        <v/>
      </c>
      <c r="AR496" s="129">
        <f t="shared" si="324"/>
        <v/>
      </c>
      <c r="AS496" s="129">
        <f t="shared" si="325"/>
        <v/>
      </c>
      <c r="AT496" s="129">
        <f t="shared" si="326"/>
        <v/>
      </c>
      <c r="AU496" s="129">
        <f t="shared" si="327"/>
        <v/>
      </c>
      <c r="AV496" s="129">
        <f t="shared" si="328"/>
        <v/>
      </c>
      <c r="AW496" s="129">
        <f>IF(AV496="","",AV496&amp;"."&amp;COUNTIFS($A$3:A496,A496,$AV$3:AV496,AV496))</f>
        <v/>
      </c>
      <c r="AX496" s="129">
        <f t="shared" si="329"/>
        <v/>
      </c>
      <c r="AY496" s="129">
        <f>IF(N496="б/к",0,IF(OR(ISNUMBER(SEARCH("L=",Разбивка_по_щитам!P496)),N496="+",N496="="),1,0))</f>
      </c>
      <c r="AZ496" s="129">
        <f t="shared" si="330"/>
        <v/>
      </c>
      <c r="BA496" s="129">
        <f t="shared" si="331"/>
      </c>
      <c r="BB496" s="129">
        <f t="shared" si="332"/>
      </c>
      <c r="BD496" s="129">
        <f t="shared" si="333"/>
      </c>
      <c r="BE496" s="129">
        <f t="shared" si="334"/>
      </c>
      <c r="BF496" s="129">
        <f t="shared" si="335"/>
      </c>
      <c r="BG496" s="129">
        <f t="shared" si="336"/>
        <v/>
      </c>
      <c r="BH496" s="129">
        <f t="shared" si="337"/>
        <v/>
      </c>
      <c r="BI496" s="129">
        <f t="shared" si="338"/>
        <v/>
      </c>
      <c r="BJ496" s="129">
        <f t="shared" si="339"/>
        <v/>
      </c>
      <c r="BK496" s="129">
        <f>IF(R496="","",IF(OR(BY496="",BY496=0),"BOX",IFERROR(IF(VLOOKUP(BY496,УГО_блоки,3,FALSE)&amp;""&lt;&gt;"",VLOOKUP(BY496,УГО_блоки,3,FALSE),VLOOKUP(BY496,УГО_блоки,2,FALSE)),BY496)))</f>
      </c>
      <c r="BL496" s="129">
        <f t="shared" si="341"/>
      </c>
      <c r="BM496" s="129">
        <f>IF(H496="","",IF(COUNTIF($H$3:H496,H496)=1,MAX($BM$2:BM495)+1,""))</f>
      </c>
      <c r="BN496" s="129">
        <f>IF(I496="","",IF(COUNTIF($I$3:I496,I496)+COUNTIF($J$2:J495,I496)+COUNTIF($K$2:K495,I496)=1,MAX($BN$2:BP495)+1,""))</f>
      </c>
      <c r="BO496" s="129">
        <f>IF(J496="","",IF(COUNTIF($I$3:I496,J496)+COUNTIF($J$3:J496,J496)+COUNTIF($K$2:K495,J496)=1,MAX($BN$2:BP495,BN496)+1,""))</f>
      </c>
      <c r="BP496" s="129">
        <f>IF(K496="","",IF(COUNTIF($I$3:I496,K496)+COUNTIF($J$3:J496,K496)+COUNTIF($K$3:K496,K496)=1,MAX($BN$2:BP495,BN496,BO496)+1,""))</f>
      </c>
      <c r="BQ496" s="129">
        <f>IF(AY496=1,IFERROR(MID(Q496,FIND(" (",Q496)+2,FIND(")",Q496,FIND(" (",Q496))-FIND(" (",Q496)-2),"?"),"")</f>
      </c>
      <c r="BR496" s="129">
        <f>IF(BQ496="","",IF(COUNTIF($BQ$3:BQ496,BQ496)=1,MAX($BR$2:BR495)+1,""))</f>
      </c>
      <c r="BS496" s="129">
        <f>IF(AW496="","",COUNTIF($AW$3:AW496,"?*"))</f>
      </c>
      <c r="BT496" s="129">
        <f>IF(OR(AW496="",AI496=""),"",IF(COUNTIFS($AW$3:AW496,"?*",$AI$3:AI496,AI496)=1,MAX($BT$2:BT495)+1,""))</f>
      </c>
      <c r="BU496" s="129">
        <f>IF(AE496="",0,IF(OR(ISNUMBER(SEARCH("дубль",AE496)),ISNUMBER(SEARCH("ПЕРЕГРУЗ",AE496)),ISNUMBER(SEARCH("ЗАЩИЩ",AE496)),ISNUMBER(SEARCH("КАНАЛ",AE496)),ISNUMBER(SEARCH("без 30",AE496))),2,1))</f>
      </c>
      <c r="BV496" s="129">
        <f>IF(R496="","",COUNTIF($R$3:R496,"?*"))</f>
      </c>
      <c r="BW496" s="129">
        <f>IF(AY496&lt;&gt;1,0,IF(MAX(IFERROR(--VLOOKUP(R496,УГО_спр,5,FALSE),0),IFERROR(--VLOOKUP(AL496,УГО_спр,5,FALSE),0),IFERROR(--VLOOKUP(LEFT(AL496,2),УГО_спр,5,FALSE),0))&gt;0,MAX(IFERROR(--VLOOKUP(R496,УГО_спр,5,FALSE),0),IFERROR(--VLOOKUP(AL496,УГО_спр,5,FALSE),0),IFERROR(--VLOOKUP(LEFT(AL496,2),УГО_спр,5,FALSE),0)),IF(IFERROR(--LEFT(SUBSTITUTE(BQ496,"x","х"),FIND("х",SUBSTITUTE(BQ496,"x","х"))-1),3)&gt;3,Каталог!$S$9,1)))</f>
      </c>
      <c r="BX496" s="129">
        <f>IF(AY496&lt;&gt;1,0,MAX(0,IFERROR(--LEFT(SUBSTITUTE(BQ496,"x","х"),FIND("х",SUBSTITUTE(BQ496,"x","х"))-1),3)-3*BW496))</f>
      </c>
      <c r="BY496" s="129">
        <f>IF(R496="","",IFERROR(VLOOKUP(R496,УГО_спр,2,FALSE),IFERROR(VLOOKUP(AL496,УГО_спр,2,FALSE),IFERROR(VLOOKUP(LEFT(AL496,2),УГО_спр,2,FALSE),""))))</f>
      </c>
    </row>
    <row r="497" spans="1:64" x14ac:dyDescent="0.3">
      <c r="A497" s="135">
        <f>IF(Разбивка_по_щитам!F497=0,"",Разбивка_по_щитам!F497)</f>
        <v/>
      </c>
      <c r="B497" s="138">
        <f>IF(A497="","",Разбивка_по_щитам!C497)</f>
        <v/>
      </c>
      <c r="C497" s="138">
        <f t="shared" si="302"/>
        <v/>
      </c>
      <c r="D497" s="266"/>
      <c r="E497" s="266"/>
      <c r="F497" s="267"/>
      <c r="G497" s="145">
        <f t="shared" si="303"/>
        <v/>
      </c>
      <c r="H497" s="145">
        <f t="shared" si="304"/>
        <v/>
      </c>
      <c r="I497" s="266"/>
      <c r="J497" s="267"/>
      <c r="K497" s="267"/>
      <c r="L497" s="266"/>
      <c r="M497" s="147">
        <f t="shared" si="305"/>
        <v/>
      </c>
      <c r="N497" s="267"/>
      <c r="O497" s="147">
        <f t="shared" si="306"/>
        <v/>
      </c>
      <c r="P497" s="268">
        <f>IF(AY497=1,"XT"&amp;COUNTIFS($A$3:A497,A497,$AY$3:AY497,1),"")</f>
        <v/>
      </c>
      <c r="Q497" s="152">
        <f>IF(R497="","",IFERROR(SUBSTITUTE(Разбивка_по_щитам!P497,CHAR(10)," "),""))</f>
        <v/>
      </c>
      <c r="R497" s="153">
        <f>IF(OR(Разбивка_по_щитам!H497="",Разбивка_по_щитам!H497=0),"",Разбивка_по_щитам!H497)</f>
        <v/>
      </c>
      <c r="S497" s="154">
        <f>IF(R497="","",IFERROR(Разбивка_по_щитам!J497&amp;"",""))</f>
        <v/>
      </c>
      <c r="T497" s="155">
        <f>IF(R497="","",IFERROR(--Разбивка_по_щитам!L497,""))</f>
        <v/>
      </c>
      <c r="U497" s="155">
        <f>IF(R497="","",IFERROR(--Разбивка_по_щитам!K497,""))</f>
        <v/>
      </c>
      <c r="V497" s="138">
        <f>IF(R497="","",IFERROR(IF(Разбивка_по_щитам!M497=0,"",Разбивка_по_щитам!M497),""))</f>
        <v/>
      </c>
      <c r="W497" s="156">
        <f t="shared" si="307"/>
        <v/>
      </c>
      <c r="X497" s="157">
        <f t="shared" si="308"/>
        <v/>
      </c>
      <c r="Y497" s="266"/>
      <c r="Z497" s="158">
        <f t="shared" si="309"/>
        <v/>
      </c>
      <c r="AA497" s="160">
        <f t="shared" si="310"/>
        <v/>
      </c>
      <c r="AB497" s="160">
        <f>IF(R497="","",IFERROR(LOOKUP(INDEX(Справочная!$I$4:$I$19,MATCH(VLOOKUP(R497,Исходные_данные,22,FALSE),Справочная!$J$4:$J$19,0)+1),{6,10,16,20,25,32,40,50,63,80,100,125}),""))</f>
        <v/>
      </c>
      <c r="AC497" s="160">
        <f t="shared" si="311"/>
        <v/>
      </c>
      <c r="AD497" s="161">
        <f t="shared" si="312"/>
        <v/>
      </c>
      <c r="AE497" s="161">
        <f>IF(AND(R497="",G497=""),"",_xlfn.TEXTJOIN("; ",TRUE,IF(AND(R497&lt;&gt;"",V497=""),"нет фазы",""),IF(AND(R497&lt;&gt;"",N(T497)=0),"нет мощности",""),IF(AND(P497&lt;&gt;"",COUNTIFS($A$3:$A$1000,A497,$P$3:$P$1000,P497)&gt;1),"дубль клеммы "&amp;P497,""),IF(AND(W497&lt;&gt;"",W497&lt;&gt;"ok"),W497,""),IF(X497&lt;&gt;"",X497,""),IF(AND(ISNUMBER(SEARCH("(5х",Q497)),N(AK497)=1),"5 жил на 1 фазе",""),IF(AND(AL497="R",E497&lt;&gt;"",N(AS497)=0),"розетка без 30 мА",""),IF(IFERROR(_xlfn.NUMBERVALUE(MID(Q497,FIND("-",Q497,FIND("L=",Q497))+1,FIND("%",Q497)-FIND("-",Q497,FIND("L=",Q497))-1),","),0)&gt;4,"потери &gt; 4 %","")))</f>
      </c>
      <c r="AF497" s="129">
        <f>IF(E497&lt;&gt;"",COUNTIFS($A$3:A497,A497,$E$3:E497,"?*"),IF(OR(A497&lt;&gt;A496,Y497="вручную"),"",AF496))</f>
        <v/>
      </c>
      <c r="AG497" s="129">
        <f t="shared" si="313"/>
        <v/>
      </c>
      <c r="AH497" s="129">
        <f t="shared" si="314"/>
        <v/>
      </c>
      <c r="AI497" s="129">
        <f t="shared" si="315"/>
        <v/>
      </c>
      <c r="AJ497" s="129">
        <f t="shared" si="316"/>
        <v/>
      </c>
      <c r="AK497" s="129">
        <f t="shared" si="317"/>
        <v/>
      </c>
      <c r="AL497" s="129">
        <f t="shared" si="318"/>
        <v/>
      </c>
      <c r="AM497" s="129">
        <f t="shared" si="319"/>
      </c>
      <c r="AN497" s="129">
        <f t="shared" si="320"/>
      </c>
      <c r="AO497" s="129">
        <f t="shared" si="321"/>
        <v/>
      </c>
      <c r="AP497" s="129">
        <f t="shared" si="322"/>
        <v/>
      </c>
      <c r="AQ497" s="129">
        <f t="shared" si="323"/>
        <v/>
      </c>
      <c r="AR497" s="129">
        <f t="shared" si="324"/>
        <v/>
      </c>
      <c r="AS497" s="129">
        <f t="shared" si="325"/>
        <v/>
      </c>
      <c r="AT497" s="129">
        <f t="shared" si="326"/>
        <v/>
      </c>
      <c r="AU497" s="129">
        <f t="shared" si="327"/>
        <v/>
      </c>
      <c r="AV497" s="129">
        <f t="shared" si="328"/>
        <v/>
      </c>
      <c r="AW497" s="129">
        <f>IF(AV497="","",AV497&amp;"."&amp;COUNTIFS($A$3:A497,A497,$AV$3:AV497,AV497))</f>
        <v/>
      </c>
      <c r="AX497" s="129">
        <f t="shared" si="329"/>
        <v/>
      </c>
      <c r="AY497" s="129">
        <f>IF(N497="б/к",0,IF(OR(ISNUMBER(SEARCH("L=",Разбивка_по_щитам!P497)),N497="+",N497="="),1,0))</f>
      </c>
      <c r="AZ497" s="129">
        <f t="shared" si="330"/>
        <v/>
      </c>
      <c r="BA497" s="129">
        <f t="shared" si="331"/>
      </c>
      <c r="BB497" s="129">
        <f t="shared" si="332"/>
      </c>
      <c r="BD497" s="129">
        <f t="shared" si="333"/>
      </c>
      <c r="BE497" s="129">
        <f t="shared" si="334"/>
      </c>
      <c r="BF497" s="129">
        <f t="shared" si="335"/>
      </c>
      <c r="BG497" s="129">
        <f t="shared" si="336"/>
        <v/>
      </c>
      <c r="BH497" s="129">
        <f t="shared" si="337"/>
        <v/>
      </c>
      <c r="BI497" s="129">
        <f t="shared" si="338"/>
        <v/>
      </c>
      <c r="BJ497" s="129">
        <f t="shared" si="339"/>
        <v/>
      </c>
      <c r="BK497" s="129">
        <f>IF(R497="","",IF(OR(BY497="",BY497=0),"BOX",IFERROR(IF(VLOOKUP(BY497,УГО_блоки,3,FALSE)&amp;""&lt;&gt;"",VLOOKUP(BY497,УГО_блоки,3,FALSE),VLOOKUP(BY497,УГО_блоки,2,FALSE)),BY497)))</f>
      </c>
      <c r="BL497" s="129">
        <f t="shared" si="341"/>
      </c>
      <c r="BM497" s="129">
        <f>IF(H497="","",IF(COUNTIF($H$3:H497,H497)=1,MAX($BM$2:BM496)+1,""))</f>
      </c>
      <c r="BN497" s="129">
        <f>IF(I497="","",IF(COUNTIF($I$3:I497,I497)+COUNTIF($J$2:J496,I497)+COUNTIF($K$2:K496,I497)=1,MAX($BN$2:BP496)+1,""))</f>
      </c>
      <c r="BO497" s="129">
        <f>IF(J497="","",IF(COUNTIF($I$3:I497,J497)+COUNTIF($J$3:J497,J497)+COUNTIF($K$2:K496,J497)=1,MAX($BN$2:BP496,BN497)+1,""))</f>
      </c>
      <c r="BP497" s="129">
        <f>IF(K497="","",IF(COUNTIF($I$3:I497,K497)+COUNTIF($J$3:J497,K497)+COUNTIF($K$3:K497,K497)=1,MAX($BN$2:BP496,BN497,BO497)+1,""))</f>
      </c>
      <c r="BQ497" s="129">
        <f>IF(AY497=1,IFERROR(MID(Q497,FIND(" (",Q497)+2,FIND(")",Q497,FIND(" (",Q497))-FIND(" (",Q497)-2),"?"),"")</f>
      </c>
      <c r="BR497" s="129">
        <f>IF(BQ497="","",IF(COUNTIF($BQ$3:BQ497,BQ497)=1,MAX($BR$2:BR496)+1,""))</f>
      </c>
      <c r="BS497" s="129">
        <f>IF(AW497="","",COUNTIF($AW$3:AW497,"?*"))</f>
      </c>
      <c r="BT497" s="129">
        <f>IF(OR(AW497="",AI497=""),"",IF(COUNTIFS($AW$3:AW497,"?*",$AI$3:AI497,AI497)=1,MAX($BT$2:BT496)+1,""))</f>
      </c>
      <c r="BU497" s="129">
        <f>IF(AE497="",0,IF(OR(ISNUMBER(SEARCH("дубль",AE497)),ISNUMBER(SEARCH("ПЕРЕГРУЗ",AE497)),ISNUMBER(SEARCH("ЗАЩИЩ",AE497)),ISNUMBER(SEARCH("КАНАЛ",AE497)),ISNUMBER(SEARCH("без 30",AE497))),2,1))</f>
      </c>
      <c r="BV497" s="129">
        <f>IF(R497="","",COUNTIF($R$3:R497,"?*"))</f>
      </c>
      <c r="BW497" s="129">
        <f>IF(AY497&lt;&gt;1,0,IF(MAX(IFERROR(--VLOOKUP(R497,УГО_спр,5,FALSE),0),IFERROR(--VLOOKUP(AL497,УГО_спр,5,FALSE),0),IFERROR(--VLOOKUP(LEFT(AL497,2),УГО_спр,5,FALSE),0))&gt;0,MAX(IFERROR(--VLOOKUP(R497,УГО_спр,5,FALSE),0),IFERROR(--VLOOKUP(AL497,УГО_спр,5,FALSE),0),IFERROR(--VLOOKUP(LEFT(AL497,2),УГО_спр,5,FALSE),0)),IF(IFERROR(--LEFT(SUBSTITUTE(BQ497,"x","х"),FIND("х",SUBSTITUTE(BQ497,"x","х"))-1),3)&gt;3,Каталог!$S$9,1)))</f>
      </c>
      <c r="BX497" s="129">
        <f>IF(AY497&lt;&gt;1,0,MAX(0,IFERROR(--LEFT(SUBSTITUTE(BQ497,"x","х"),FIND("х",SUBSTITUTE(BQ497,"x","х"))-1),3)-3*BW497))</f>
      </c>
      <c r="BY497" s="129">
        <f>IF(R497="","",IFERROR(VLOOKUP(R497,УГО_спр,2,FALSE),IFERROR(VLOOKUP(AL497,УГО_спр,2,FALSE),IFERROR(VLOOKUP(LEFT(AL497,2),УГО_спр,2,FALSE),""))))</f>
      </c>
    </row>
    <row r="498" spans="1:64" x14ac:dyDescent="0.3">
      <c r="A498" s="135">
        <f>IF(Разбивка_по_щитам!F498=0,"",Разбивка_по_щитам!F498)</f>
        <v/>
      </c>
      <c r="B498" s="138">
        <f>IF(A498="","",Разбивка_по_щитам!C498)</f>
        <v/>
      </c>
      <c r="C498" s="138">
        <f t="shared" si="302"/>
        <v/>
      </c>
      <c r="D498" s="266"/>
      <c r="E498" s="266"/>
      <c r="F498" s="267"/>
      <c r="G498" s="145">
        <f t="shared" si="303"/>
        <v/>
      </c>
      <c r="H498" s="145">
        <f t="shared" si="304"/>
        <v/>
      </c>
      <c r="I498" s="266"/>
      <c r="J498" s="267"/>
      <c r="K498" s="267"/>
      <c r="L498" s="266"/>
      <c r="M498" s="147">
        <f t="shared" si="305"/>
        <v/>
      </c>
      <c r="N498" s="267"/>
      <c r="O498" s="147">
        <f t="shared" si="306"/>
        <v/>
      </c>
      <c r="P498" s="268">
        <f>IF(AY498=1,"XT"&amp;COUNTIFS($A$3:A498,A498,$AY$3:AY498,1),"")</f>
        <v/>
      </c>
      <c r="Q498" s="152">
        <f>IF(R498="","",IFERROR(SUBSTITUTE(Разбивка_по_щитам!P498,CHAR(10)," "),""))</f>
        <v/>
      </c>
      <c r="R498" s="153">
        <f>IF(OR(Разбивка_по_щитам!H498="",Разбивка_по_щитам!H498=0),"",Разбивка_по_щитам!H498)</f>
        <v/>
      </c>
      <c r="S498" s="154">
        <f>IF(R498="","",IFERROR(Разбивка_по_щитам!J498&amp;"",""))</f>
        <v/>
      </c>
      <c r="T498" s="155">
        <f>IF(R498="","",IFERROR(--Разбивка_по_щитам!L498,""))</f>
        <v/>
      </c>
      <c r="U498" s="155">
        <f>IF(R498="","",IFERROR(--Разбивка_по_щитам!K498,""))</f>
        <v/>
      </c>
      <c r="V498" s="138">
        <f>IF(R498="","",IFERROR(IF(Разбивка_по_щитам!M498=0,"",Разбивка_по_щитам!M498),""))</f>
        <v/>
      </c>
      <c r="W498" s="156">
        <f t="shared" si="307"/>
        <v/>
      </c>
      <c r="X498" s="157">
        <f t="shared" si="308"/>
        <v/>
      </c>
      <c r="Y498" s="266"/>
      <c r="Z498" s="158">
        <f t="shared" si="309"/>
        <v/>
      </c>
      <c r="AA498" s="160">
        <f t="shared" si="310"/>
        <v/>
      </c>
      <c r="AB498" s="160">
        <f>IF(R498="","",IFERROR(LOOKUP(INDEX(Справочная!$I$4:$I$19,MATCH(VLOOKUP(R498,Исходные_данные,22,FALSE),Справочная!$J$4:$J$19,0)+1),{6,10,16,20,25,32,40,50,63,80,100,125}),""))</f>
        <v/>
      </c>
      <c r="AC498" s="160">
        <f t="shared" si="311"/>
        <v/>
      </c>
      <c r="AD498" s="161">
        <f t="shared" si="312"/>
        <v/>
      </c>
      <c r="AE498" s="161">
        <f>IF(AND(R498="",G498=""),"",_xlfn.TEXTJOIN("; ",TRUE,IF(AND(R498&lt;&gt;"",V498=""),"нет фазы",""),IF(AND(R498&lt;&gt;"",N(T498)=0),"нет мощности",""),IF(AND(P498&lt;&gt;"",COUNTIFS($A$3:$A$1000,A498,$P$3:$P$1000,P498)&gt;1),"дубль клеммы "&amp;P498,""),IF(AND(W498&lt;&gt;"",W498&lt;&gt;"ok"),W498,""),IF(X498&lt;&gt;"",X498,""),IF(AND(ISNUMBER(SEARCH("(5х",Q498)),N(AK498)=1),"5 жил на 1 фазе",""),IF(AND(AL498="R",E498&lt;&gt;"",N(AS498)=0),"розетка без 30 мА",""),IF(IFERROR(_xlfn.NUMBERVALUE(MID(Q498,FIND("-",Q498,FIND("L=",Q498))+1,FIND("%",Q498)-FIND("-",Q498,FIND("L=",Q498))-1),","),0)&gt;4,"потери &gt; 4 %","")))</f>
      </c>
      <c r="AF498" s="129">
        <f>IF(E498&lt;&gt;"",COUNTIFS($A$3:A498,A498,$E$3:E498,"?*"),IF(OR(A498&lt;&gt;A497,Y498="вручную"),"",AF497))</f>
        <v/>
      </c>
      <c r="AG498" s="129">
        <f t="shared" si="313"/>
        <v/>
      </c>
      <c r="AH498" s="129">
        <f t="shared" si="314"/>
        <v/>
      </c>
      <c r="AI498" s="129">
        <f t="shared" si="315"/>
        <v/>
      </c>
      <c r="AJ498" s="129">
        <f t="shared" si="316"/>
        <v/>
      </c>
      <c r="AK498" s="129">
        <f t="shared" si="317"/>
        <v/>
      </c>
      <c r="AL498" s="129">
        <f t="shared" si="318"/>
        <v/>
      </c>
      <c r="AM498" s="129">
        <f t="shared" si="319"/>
      </c>
      <c r="AN498" s="129">
        <f t="shared" si="320"/>
      </c>
      <c r="AO498" s="129">
        <f t="shared" si="321"/>
        <v/>
      </c>
      <c r="AP498" s="129">
        <f t="shared" si="322"/>
        <v/>
      </c>
      <c r="AQ498" s="129">
        <f t="shared" si="323"/>
        <v/>
      </c>
      <c r="AR498" s="129">
        <f t="shared" si="324"/>
        <v/>
      </c>
      <c r="AS498" s="129">
        <f t="shared" si="325"/>
        <v/>
      </c>
      <c r="AT498" s="129">
        <f t="shared" si="326"/>
        <v/>
      </c>
      <c r="AU498" s="129">
        <f t="shared" si="327"/>
        <v/>
      </c>
      <c r="AV498" s="129">
        <f t="shared" si="328"/>
        <v/>
      </c>
      <c r="AW498" s="129">
        <f>IF(AV498="","",AV498&amp;"."&amp;COUNTIFS($A$3:A498,A498,$AV$3:AV498,AV498))</f>
        <v/>
      </c>
      <c r="AX498" s="129">
        <f t="shared" si="329"/>
        <v/>
      </c>
      <c r="AY498" s="129">
        <f>IF(N498="б/к",0,IF(OR(ISNUMBER(SEARCH("L=",Разбивка_по_щитам!P498)),N498="+",N498="="),1,0))</f>
      </c>
      <c r="AZ498" s="129">
        <f t="shared" si="330"/>
        <v/>
      </c>
      <c r="BA498" s="129">
        <f t="shared" si="331"/>
      </c>
      <c r="BB498" s="129">
        <f t="shared" si="332"/>
      </c>
      <c r="BD498" s="129">
        <f t="shared" si="333"/>
      </c>
      <c r="BE498" s="129">
        <f t="shared" si="334"/>
      </c>
      <c r="BF498" s="129">
        <f t="shared" si="335"/>
      </c>
      <c r="BG498" s="129">
        <f t="shared" si="336"/>
        <v/>
      </c>
      <c r="BH498" s="129">
        <f t="shared" si="337"/>
        <v/>
      </c>
      <c r="BI498" s="129">
        <f t="shared" si="338"/>
        <v/>
      </c>
      <c r="BJ498" s="129">
        <f t="shared" si="339"/>
        <v/>
      </c>
      <c r="BK498" s="129">
        <f>IF(R498="","",IF(OR(BY498="",BY498=0),"BOX",IFERROR(IF(VLOOKUP(BY498,УГО_блоки,3,FALSE)&amp;""&lt;&gt;"",VLOOKUP(BY498,УГО_блоки,3,FALSE),VLOOKUP(BY498,УГО_блоки,2,FALSE)),BY498)))</f>
      </c>
      <c r="BL498" s="129">
        <f t="shared" si="341"/>
      </c>
      <c r="BM498" s="129">
        <f>IF(H498="","",IF(COUNTIF($H$3:H498,H498)=1,MAX($BM$2:BM497)+1,""))</f>
      </c>
      <c r="BN498" s="129">
        <f>IF(I498="","",IF(COUNTIF($I$3:I498,I498)+COUNTIF($J$2:J497,I498)+COUNTIF($K$2:K497,I498)=1,MAX($BN$2:BP497)+1,""))</f>
      </c>
      <c r="BO498" s="129">
        <f>IF(J498="","",IF(COUNTIF($I$3:I498,J498)+COUNTIF($J$3:J498,J498)+COUNTIF($K$2:K497,J498)=1,MAX($BN$2:BP497,BN498)+1,""))</f>
      </c>
      <c r="BP498" s="129">
        <f>IF(K498="","",IF(COUNTIF($I$3:I498,K498)+COUNTIF($J$3:J498,K498)+COUNTIF($K$3:K498,K498)=1,MAX($BN$2:BP497,BN498,BO498)+1,""))</f>
      </c>
      <c r="BQ498" s="129">
        <f>IF(AY498=1,IFERROR(MID(Q498,FIND(" (",Q498)+2,FIND(")",Q498,FIND(" (",Q498))-FIND(" (",Q498)-2),"?"),"")</f>
      </c>
      <c r="BR498" s="129">
        <f>IF(BQ498="","",IF(COUNTIF($BQ$3:BQ498,BQ498)=1,MAX($BR$2:BR497)+1,""))</f>
      </c>
      <c r="BS498" s="129">
        <f>IF(AW498="","",COUNTIF($AW$3:AW498,"?*"))</f>
      </c>
      <c r="BT498" s="129">
        <f>IF(OR(AW498="",AI498=""),"",IF(COUNTIFS($AW$3:AW498,"?*",$AI$3:AI498,AI498)=1,MAX($BT$2:BT497)+1,""))</f>
      </c>
      <c r="BU498" s="129">
        <f>IF(AE498="",0,IF(OR(ISNUMBER(SEARCH("дубль",AE498)),ISNUMBER(SEARCH("ПЕРЕГРУЗ",AE498)),ISNUMBER(SEARCH("ЗАЩИЩ",AE498)),ISNUMBER(SEARCH("КАНАЛ",AE498)),ISNUMBER(SEARCH("без 30",AE498))),2,1))</f>
      </c>
      <c r="BV498" s="129">
        <f>IF(R498="","",COUNTIF($R$3:R498,"?*"))</f>
      </c>
      <c r="BW498" s="129">
        <f>IF(AY498&lt;&gt;1,0,IF(MAX(IFERROR(--VLOOKUP(R498,УГО_спр,5,FALSE),0),IFERROR(--VLOOKUP(AL498,УГО_спр,5,FALSE),0),IFERROR(--VLOOKUP(LEFT(AL498,2),УГО_спр,5,FALSE),0))&gt;0,MAX(IFERROR(--VLOOKUP(R498,УГО_спр,5,FALSE),0),IFERROR(--VLOOKUP(AL498,УГО_спр,5,FALSE),0),IFERROR(--VLOOKUP(LEFT(AL498,2),УГО_спр,5,FALSE),0)),IF(IFERROR(--LEFT(SUBSTITUTE(BQ498,"x","х"),FIND("х",SUBSTITUTE(BQ498,"x","х"))-1),3)&gt;3,Каталог!$S$9,1)))</f>
      </c>
      <c r="BX498" s="129">
        <f>IF(AY498&lt;&gt;1,0,MAX(0,IFERROR(--LEFT(SUBSTITUTE(BQ498,"x","х"),FIND("х",SUBSTITUTE(BQ498,"x","х"))-1),3)-3*BW498))</f>
      </c>
      <c r="BY498" s="129">
        <f>IF(R498="","",IFERROR(VLOOKUP(R498,УГО_спр,2,FALSE),IFERROR(VLOOKUP(AL498,УГО_спр,2,FALSE),IFERROR(VLOOKUP(LEFT(AL498,2),УГО_спр,2,FALSE),""))))</f>
      </c>
    </row>
    <row r="499" spans="1:64" x14ac:dyDescent="0.3">
      <c r="A499" s="135">
        <f>IF(Разбивка_по_щитам!F499=0,"",Разбивка_по_щитам!F499)</f>
        <v/>
      </c>
      <c r="B499" s="138">
        <f>IF(A499="","",Разбивка_по_щитам!C499)</f>
        <v/>
      </c>
      <c r="C499" s="138">
        <f t="shared" si="302"/>
        <v/>
      </c>
      <c r="D499" s="266"/>
      <c r="E499" s="266"/>
      <c r="F499" s="267"/>
      <c r="G499" s="145">
        <f t="shared" si="303"/>
        <v/>
      </c>
      <c r="H499" s="145">
        <f t="shared" si="304"/>
        <v/>
      </c>
      <c r="I499" s="266"/>
      <c r="J499" s="267"/>
      <c r="K499" s="267"/>
      <c r="L499" s="266"/>
      <c r="M499" s="147">
        <f t="shared" si="305"/>
        <v/>
      </c>
      <c r="N499" s="267"/>
      <c r="O499" s="147">
        <f t="shared" si="306"/>
        <v/>
      </c>
      <c r="P499" s="268">
        <f>IF(AY499=1,"XT"&amp;COUNTIFS($A$3:A499,A499,$AY$3:AY499,1),"")</f>
        <v/>
      </c>
      <c r="Q499" s="152">
        <f>IF(R499="","",IFERROR(SUBSTITUTE(Разбивка_по_щитам!P499,CHAR(10)," "),""))</f>
        <v/>
      </c>
      <c r="R499" s="153">
        <f>IF(OR(Разбивка_по_щитам!H499="",Разбивка_по_щитам!H499=0),"",Разбивка_по_щитам!H499)</f>
        <v/>
      </c>
      <c r="S499" s="154">
        <f>IF(R499="","",IFERROR(Разбивка_по_щитам!J499&amp;"",""))</f>
        <v/>
      </c>
      <c r="T499" s="155">
        <f>IF(R499="","",IFERROR(--Разбивка_по_щитам!L499,""))</f>
        <v/>
      </c>
      <c r="U499" s="155">
        <f>IF(R499="","",IFERROR(--Разбивка_по_щитам!K499,""))</f>
        <v/>
      </c>
      <c r="V499" s="138">
        <f>IF(R499="","",IFERROR(IF(Разбивка_по_щитам!M499=0,"",Разбивка_по_щитам!M499),""))</f>
        <v/>
      </c>
      <c r="W499" s="156">
        <f t="shared" si="307"/>
        <v/>
      </c>
      <c r="X499" s="157">
        <f t="shared" si="308"/>
        <v/>
      </c>
      <c r="Y499" s="266"/>
      <c r="Z499" s="158">
        <f t="shared" si="309"/>
        <v/>
      </c>
      <c r="AA499" s="160">
        <f t="shared" si="310"/>
        <v/>
      </c>
      <c r="AB499" s="160">
        <f>IF(R499="","",IFERROR(LOOKUP(INDEX(Справочная!$I$4:$I$19,MATCH(VLOOKUP(R499,Исходные_данные,22,FALSE),Справочная!$J$4:$J$19,0)+1),{6,10,16,20,25,32,40,50,63,80,100,125}),""))</f>
        <v/>
      </c>
      <c r="AC499" s="160">
        <f t="shared" si="311"/>
        <v/>
      </c>
      <c r="AD499" s="161">
        <f t="shared" si="312"/>
        <v/>
      </c>
      <c r="AE499" s="161">
        <f>IF(AND(R499="",G499=""),"",_xlfn.TEXTJOIN("; ",TRUE,IF(AND(R499&lt;&gt;"",V499=""),"нет фазы",""),IF(AND(R499&lt;&gt;"",N(T499)=0),"нет мощности",""),IF(AND(P499&lt;&gt;"",COUNTIFS($A$3:$A$1000,A499,$P$3:$P$1000,P499)&gt;1),"дубль клеммы "&amp;P499,""),IF(AND(W499&lt;&gt;"",W499&lt;&gt;"ok"),W499,""),IF(X499&lt;&gt;"",X499,""),IF(AND(ISNUMBER(SEARCH("(5х",Q499)),N(AK499)=1),"5 жил на 1 фазе",""),IF(AND(AL499="R",E499&lt;&gt;"",N(AS499)=0),"розетка без 30 мА",""),IF(IFERROR(_xlfn.NUMBERVALUE(MID(Q499,FIND("-",Q499,FIND("L=",Q499))+1,FIND("%",Q499)-FIND("-",Q499,FIND("L=",Q499))-1),","),0)&gt;4,"потери &gt; 4 %","")))</f>
      </c>
      <c r="AF499" s="129">
        <f>IF(E499&lt;&gt;"",COUNTIFS($A$3:A499,A499,$E$3:E499,"?*"),IF(OR(A499&lt;&gt;A498,Y499="вручную"),"",AF498))</f>
        <v/>
      </c>
      <c r="AG499" s="129">
        <f t="shared" si="313"/>
        <v/>
      </c>
      <c r="AH499" s="129">
        <f t="shared" si="314"/>
        <v/>
      </c>
      <c r="AI499" s="129">
        <f t="shared" si="315"/>
        <v/>
      </c>
      <c r="AJ499" s="129">
        <f t="shared" si="316"/>
        <v/>
      </c>
      <c r="AK499" s="129">
        <f t="shared" si="317"/>
        <v/>
      </c>
      <c r="AL499" s="129">
        <f t="shared" si="318"/>
        <v/>
      </c>
      <c r="AM499" s="129">
        <f t="shared" si="319"/>
      </c>
      <c r="AN499" s="129">
        <f t="shared" si="320"/>
      </c>
      <c r="AO499" s="129">
        <f t="shared" si="321"/>
        <v/>
      </c>
      <c r="AP499" s="129">
        <f t="shared" si="322"/>
        <v/>
      </c>
      <c r="AQ499" s="129">
        <f t="shared" si="323"/>
        <v/>
      </c>
      <c r="AR499" s="129">
        <f t="shared" si="324"/>
        <v/>
      </c>
      <c r="AS499" s="129">
        <f t="shared" si="325"/>
        <v/>
      </c>
      <c r="AT499" s="129">
        <f t="shared" si="326"/>
        <v/>
      </c>
      <c r="AU499" s="129">
        <f t="shared" si="327"/>
        <v/>
      </c>
      <c r="AV499" s="129">
        <f t="shared" si="328"/>
        <v/>
      </c>
      <c r="AW499" s="129">
        <f>IF(AV499="","",AV499&amp;"."&amp;COUNTIFS($A$3:A499,A499,$AV$3:AV499,AV499))</f>
        <v/>
      </c>
      <c r="AX499" s="129">
        <f t="shared" si="329"/>
        <v/>
      </c>
      <c r="AY499" s="129">
        <f>IF(N499="б/к",0,IF(OR(ISNUMBER(SEARCH("L=",Разбивка_по_щитам!P499)),N499="+",N499="="),1,0))</f>
      </c>
      <c r="AZ499" s="129">
        <f t="shared" si="330"/>
        <v/>
      </c>
      <c r="BA499" s="129">
        <f t="shared" si="331"/>
      </c>
      <c r="BB499" s="129">
        <f t="shared" si="332"/>
      </c>
      <c r="BD499" s="129">
        <f t="shared" si="333"/>
      </c>
      <c r="BE499" s="129">
        <f t="shared" si="334"/>
      </c>
      <c r="BF499" s="129">
        <f t="shared" si="335"/>
      </c>
      <c r="BG499" s="129">
        <f t="shared" si="336"/>
        <v/>
      </c>
      <c r="BH499" s="129">
        <f t="shared" si="337"/>
        <v/>
      </c>
      <c r="BI499" s="129">
        <f t="shared" si="338"/>
        <v/>
      </c>
      <c r="BJ499" s="129">
        <f t="shared" si="339"/>
        <v/>
      </c>
      <c r="BK499" s="129">
        <f>IF(R499="","",IF(OR(BY499="",BY499=0),"BOX",IFERROR(IF(VLOOKUP(BY499,УГО_блоки,3,FALSE)&amp;""&lt;&gt;"",VLOOKUP(BY499,УГО_блоки,3,FALSE),VLOOKUP(BY499,УГО_блоки,2,FALSE)),BY499)))</f>
      </c>
      <c r="BL499" s="129">
        <f t="shared" si="341"/>
      </c>
      <c r="BM499" s="129">
        <f>IF(H499="","",IF(COUNTIF($H$3:H499,H499)=1,MAX($BM$2:BM498)+1,""))</f>
      </c>
      <c r="BN499" s="129">
        <f>IF(I499="","",IF(COUNTIF($I$3:I499,I499)+COUNTIF($J$2:J498,I499)+COUNTIF($K$2:K498,I499)=1,MAX($BN$2:BP498)+1,""))</f>
      </c>
      <c r="BO499" s="129">
        <f>IF(J499="","",IF(COUNTIF($I$3:I499,J499)+COUNTIF($J$3:J499,J499)+COUNTIF($K$2:K498,J499)=1,MAX($BN$2:BP498,BN499)+1,""))</f>
      </c>
      <c r="BP499" s="129">
        <f>IF(K499="","",IF(COUNTIF($I$3:I499,K499)+COUNTIF($J$3:J499,K499)+COUNTIF($K$3:K499,K499)=1,MAX($BN$2:BP498,BN499,BO499)+1,""))</f>
      </c>
      <c r="BQ499" s="129">
        <f>IF(AY499=1,IFERROR(MID(Q499,FIND(" (",Q499)+2,FIND(")",Q499,FIND(" (",Q499))-FIND(" (",Q499)-2),"?"),"")</f>
      </c>
      <c r="BR499" s="129">
        <f>IF(BQ499="","",IF(COUNTIF($BQ$3:BQ499,BQ499)=1,MAX($BR$2:BR498)+1,""))</f>
      </c>
      <c r="BS499" s="129">
        <f>IF(AW499="","",COUNTIF($AW$3:AW499,"?*"))</f>
      </c>
      <c r="BT499" s="129">
        <f>IF(OR(AW499="",AI499=""),"",IF(COUNTIFS($AW$3:AW499,"?*",$AI$3:AI499,AI499)=1,MAX($BT$2:BT498)+1,""))</f>
      </c>
      <c r="BU499" s="129">
        <f>IF(AE499="",0,IF(OR(ISNUMBER(SEARCH("дубль",AE499)),ISNUMBER(SEARCH("ПЕРЕГРУЗ",AE499)),ISNUMBER(SEARCH("ЗАЩИЩ",AE499)),ISNUMBER(SEARCH("КАНАЛ",AE499)),ISNUMBER(SEARCH("без 30",AE499))),2,1))</f>
      </c>
      <c r="BV499" s="129">
        <f>IF(R499="","",COUNTIF($R$3:R499,"?*"))</f>
      </c>
      <c r="BW499" s="129">
        <f>IF(AY499&lt;&gt;1,0,IF(MAX(IFERROR(--VLOOKUP(R499,УГО_спр,5,FALSE),0),IFERROR(--VLOOKUP(AL499,УГО_спр,5,FALSE),0),IFERROR(--VLOOKUP(LEFT(AL499,2),УГО_спр,5,FALSE),0))&gt;0,MAX(IFERROR(--VLOOKUP(R499,УГО_спр,5,FALSE),0),IFERROR(--VLOOKUP(AL499,УГО_спр,5,FALSE),0),IFERROR(--VLOOKUP(LEFT(AL499,2),УГО_спр,5,FALSE),0)),IF(IFERROR(--LEFT(SUBSTITUTE(BQ499,"x","х"),FIND("х",SUBSTITUTE(BQ499,"x","х"))-1),3)&gt;3,Каталог!$S$9,1)))</f>
      </c>
      <c r="BX499" s="129">
        <f>IF(AY499&lt;&gt;1,0,MAX(0,IFERROR(--LEFT(SUBSTITUTE(BQ499,"x","х"),FIND("х",SUBSTITUTE(BQ499,"x","х"))-1),3)-3*BW499))</f>
      </c>
      <c r="BY499" s="129">
        <f>IF(R499="","",IFERROR(VLOOKUP(R499,УГО_спр,2,FALSE),IFERROR(VLOOKUP(AL499,УГО_спр,2,FALSE),IFERROR(VLOOKUP(LEFT(AL499,2),УГО_спр,2,FALSE),""))))</f>
      </c>
    </row>
    <row r="500" spans="1:64" x14ac:dyDescent="0.3">
      <c r="A500" s="135">
        <f>IF(Разбивка_по_щитам!F500=0,"",Разбивка_по_щитам!F500)</f>
        <v/>
      </c>
      <c r="B500" s="138">
        <f>IF(A500="","",Разбивка_по_щитам!C500)</f>
        <v/>
      </c>
      <c r="C500" s="138">
        <f t="shared" si="302"/>
        <v/>
      </c>
      <c r="D500" s="266"/>
      <c r="E500" s="266"/>
      <c r="F500" s="267"/>
      <c r="G500" s="145">
        <f t="shared" si="303"/>
        <v/>
      </c>
      <c r="H500" s="145">
        <f t="shared" si="304"/>
        <v/>
      </c>
      <c r="I500" s="266"/>
      <c r="J500" s="267"/>
      <c r="K500" s="267"/>
      <c r="L500" s="266"/>
      <c r="M500" s="147">
        <f t="shared" si="305"/>
        <v/>
      </c>
      <c r="N500" s="267"/>
      <c r="O500" s="147">
        <f t="shared" si="306"/>
        <v/>
      </c>
      <c r="P500" s="268">
        <f>IF(AY500=1,"XT"&amp;COUNTIFS($A$3:A500,A500,$AY$3:AY500,1),"")</f>
        <v/>
      </c>
      <c r="Q500" s="152">
        <f>IF(R500="","",IFERROR(SUBSTITUTE(Разбивка_по_щитам!P500,CHAR(10)," "),""))</f>
        <v/>
      </c>
      <c r="R500" s="153">
        <f>IF(OR(Разбивка_по_щитам!H500="",Разбивка_по_щитам!H500=0),"",Разбивка_по_щитам!H500)</f>
        <v/>
      </c>
      <c r="S500" s="154">
        <f>IF(R500="","",IFERROR(Разбивка_по_щитам!J500&amp;"",""))</f>
        <v/>
      </c>
      <c r="T500" s="155">
        <f>IF(R500="","",IFERROR(--Разбивка_по_щитам!L500,""))</f>
        <v/>
      </c>
      <c r="U500" s="155">
        <f>IF(R500="","",IFERROR(--Разбивка_по_щитам!K500,""))</f>
        <v/>
      </c>
      <c r="V500" s="138">
        <f>IF(R500="","",IFERROR(IF(Разбивка_по_щитам!M500=0,"",Разбивка_по_щитам!M500),""))</f>
        <v/>
      </c>
      <c r="W500" s="156">
        <f t="shared" si="307"/>
        <v/>
      </c>
      <c r="X500" s="157">
        <f t="shared" si="308"/>
        <v/>
      </c>
      <c r="Y500" s="266"/>
      <c r="Z500" s="158">
        <f t="shared" si="309"/>
        <v/>
      </c>
      <c r="AA500" s="160">
        <f t="shared" si="310"/>
        <v/>
      </c>
      <c r="AB500" s="160">
        <f>IF(R500="","",IFERROR(LOOKUP(INDEX(Справочная!$I$4:$I$19,MATCH(VLOOKUP(R500,Исходные_данные,22,FALSE),Справочная!$J$4:$J$19,0)+1),{6,10,16,20,25,32,40,50,63,80,100,125}),""))</f>
        <v/>
      </c>
      <c r="AC500" s="160">
        <f t="shared" si="311"/>
        <v/>
      </c>
      <c r="AD500" s="161">
        <f t="shared" si="312"/>
        <v/>
      </c>
      <c r="AE500" s="161">
        <f>IF(AND(R500="",G500=""),"",_xlfn.TEXTJOIN("; ",TRUE,IF(AND(R500&lt;&gt;"",V500=""),"нет фазы",""),IF(AND(R500&lt;&gt;"",N(T500)=0),"нет мощности",""),IF(AND(P500&lt;&gt;"",COUNTIFS($A$3:$A$1000,A500,$P$3:$P$1000,P500)&gt;1),"дубль клеммы "&amp;P500,""),IF(AND(W500&lt;&gt;"",W500&lt;&gt;"ok"),W500,""),IF(X500&lt;&gt;"",X500,""),IF(AND(ISNUMBER(SEARCH("(5х",Q500)),N(AK500)=1),"5 жил на 1 фазе",""),IF(AND(AL500="R",E500&lt;&gt;"",N(AS500)=0),"розетка без 30 мА",""),IF(IFERROR(_xlfn.NUMBERVALUE(MID(Q500,FIND("-",Q500,FIND("L=",Q500))+1,FIND("%",Q500)-FIND("-",Q500,FIND("L=",Q500))-1),","),0)&gt;4,"потери &gt; 4 %","")))</f>
      </c>
      <c r="AF500" s="129">
        <f>IF(E500&lt;&gt;"",COUNTIFS($A$3:A500,A500,$E$3:E500,"?*"),IF(OR(A500&lt;&gt;A499,Y500="вручную"),"",AF499))</f>
        <v/>
      </c>
      <c r="AG500" s="129">
        <f t="shared" si="313"/>
        <v/>
      </c>
      <c r="AH500" s="129">
        <f t="shared" si="314"/>
        <v/>
      </c>
      <c r="AI500" s="129">
        <f t="shared" si="315"/>
        <v/>
      </c>
      <c r="AJ500" s="129">
        <f t="shared" si="316"/>
        <v/>
      </c>
      <c r="AK500" s="129">
        <f t="shared" si="317"/>
        <v/>
      </c>
      <c r="AL500" s="129">
        <f t="shared" si="318"/>
        <v/>
      </c>
      <c r="AM500" s="129">
        <f t="shared" si="319"/>
      </c>
      <c r="AN500" s="129">
        <f t="shared" si="320"/>
      </c>
      <c r="AO500" s="129">
        <f t="shared" si="321"/>
        <v/>
      </c>
      <c r="AP500" s="129">
        <f t="shared" si="322"/>
        <v/>
      </c>
      <c r="AQ500" s="129">
        <f t="shared" si="323"/>
        <v/>
      </c>
      <c r="AR500" s="129">
        <f t="shared" si="324"/>
        <v/>
      </c>
      <c r="AS500" s="129">
        <f t="shared" si="325"/>
        <v/>
      </c>
      <c r="AT500" s="129">
        <f t="shared" si="326"/>
        <v/>
      </c>
      <c r="AU500" s="129">
        <f t="shared" si="327"/>
        <v/>
      </c>
      <c r="AV500" s="129">
        <f t="shared" si="328"/>
        <v/>
      </c>
      <c r="AW500" s="129">
        <f>IF(AV500="","",AV500&amp;"."&amp;COUNTIFS($A$3:A500,A500,$AV$3:AV500,AV500))</f>
        <v/>
      </c>
      <c r="AX500" s="129">
        <f t="shared" si="329"/>
        <v/>
      </c>
      <c r="AY500" s="129">
        <f>IF(N500="б/к",0,IF(OR(ISNUMBER(SEARCH("L=",Разбивка_по_щитам!P500)),N500="+",N500="="),1,0))</f>
      </c>
      <c r="AZ500" s="129">
        <f t="shared" si="330"/>
        <v/>
      </c>
      <c r="BA500" s="129">
        <f t="shared" si="331"/>
      </c>
      <c r="BB500" s="129">
        <f t="shared" si="332"/>
      </c>
      <c r="BD500" s="129">
        <f t="shared" si="333"/>
      </c>
      <c r="BE500" s="129">
        <f t="shared" si="334"/>
      </c>
      <c r="BF500" s="129">
        <f t="shared" si="335"/>
      </c>
      <c r="BG500" s="129">
        <f t="shared" si="336"/>
        <v/>
      </c>
      <c r="BH500" s="129">
        <f t="shared" si="337"/>
        <v/>
      </c>
      <c r="BI500" s="129">
        <f t="shared" si="338"/>
        <v/>
      </c>
      <c r="BJ500" s="129">
        <f t="shared" si="339"/>
        <v/>
      </c>
      <c r="BK500" s="129">
        <f>IF(R500="","",IF(OR(BY500="",BY500=0),"BOX",IFERROR(IF(VLOOKUP(BY500,УГО_блоки,3,FALSE)&amp;""&lt;&gt;"",VLOOKUP(BY500,УГО_блоки,3,FALSE),VLOOKUP(BY500,УГО_блоки,2,FALSE)),BY500)))</f>
      </c>
      <c r="BL500" s="129">
        <f t="shared" si="341"/>
      </c>
      <c r="BM500" s="129">
        <f>IF(H500="","",IF(COUNTIF($H$3:H500,H500)=1,MAX($BM$2:BM499)+1,""))</f>
      </c>
      <c r="BN500" s="129">
        <f>IF(I500="","",IF(COUNTIF($I$3:I500,I500)+COUNTIF($J$2:J499,I500)+COUNTIF($K$2:K499,I500)=1,MAX($BN$2:BP499)+1,""))</f>
      </c>
      <c r="BO500" s="129">
        <f>IF(J500="","",IF(COUNTIF($I$3:I500,J500)+COUNTIF($J$3:J500,J500)+COUNTIF($K$2:K499,J500)=1,MAX($BN$2:BP499,BN500)+1,""))</f>
      </c>
      <c r="BP500" s="129">
        <f>IF(K500="","",IF(COUNTIF($I$3:I500,K500)+COUNTIF($J$3:J500,K500)+COUNTIF($K$3:K500,K500)=1,MAX($BN$2:BP499,BN500,BO500)+1,""))</f>
      </c>
      <c r="BQ500" s="129">
        <f>IF(AY500=1,IFERROR(MID(Q500,FIND(" (",Q500)+2,FIND(")",Q500,FIND(" (",Q500))-FIND(" (",Q500)-2),"?"),"")</f>
      </c>
      <c r="BR500" s="129">
        <f>IF(BQ500="","",IF(COUNTIF($BQ$3:BQ500,BQ500)=1,MAX($BR$2:BR499)+1,""))</f>
      </c>
      <c r="BS500" s="129">
        <f>IF(AW500="","",COUNTIF($AW$3:AW500,"?*"))</f>
      </c>
      <c r="BT500" s="129">
        <f>IF(OR(AW500="",AI500=""),"",IF(COUNTIFS($AW$3:AW500,"?*",$AI$3:AI500,AI500)=1,MAX($BT$2:BT499)+1,""))</f>
      </c>
      <c r="BU500" s="129">
        <f>IF(AE500="",0,IF(OR(ISNUMBER(SEARCH("дубль",AE500)),ISNUMBER(SEARCH("ПЕРЕГРУЗ",AE500)),ISNUMBER(SEARCH("ЗАЩИЩ",AE500)),ISNUMBER(SEARCH("КАНАЛ",AE500)),ISNUMBER(SEARCH("без 30",AE500))),2,1))</f>
      </c>
      <c r="BV500" s="129">
        <f>IF(R500="","",COUNTIF($R$3:R500,"?*"))</f>
      </c>
      <c r="BW500" s="129">
        <f>IF(AY500&lt;&gt;1,0,IF(MAX(IFERROR(--VLOOKUP(R500,УГО_спр,5,FALSE),0),IFERROR(--VLOOKUP(AL500,УГО_спр,5,FALSE),0),IFERROR(--VLOOKUP(LEFT(AL500,2),УГО_спр,5,FALSE),0))&gt;0,MAX(IFERROR(--VLOOKUP(R500,УГО_спр,5,FALSE),0),IFERROR(--VLOOKUP(AL500,УГО_спр,5,FALSE),0),IFERROR(--VLOOKUP(LEFT(AL500,2),УГО_спр,5,FALSE),0)),IF(IFERROR(--LEFT(SUBSTITUTE(BQ500,"x","х"),FIND("х",SUBSTITUTE(BQ500,"x","х"))-1),3)&gt;3,Каталог!$S$9,1)))</f>
      </c>
      <c r="BX500" s="129">
        <f>IF(AY500&lt;&gt;1,0,MAX(0,IFERROR(--LEFT(SUBSTITUTE(BQ500,"x","х"),FIND("х",SUBSTITUTE(BQ500,"x","х"))-1),3)-3*BW500))</f>
      </c>
      <c r="BY500" s="129">
        <f>IF(R500="","",IFERROR(VLOOKUP(R500,УГО_спр,2,FALSE),IFERROR(VLOOKUP(AL500,УГО_спр,2,FALSE),IFERROR(VLOOKUP(LEFT(AL500,2),УГО_спр,2,FALSE),""))))</f>
      </c>
    </row>
    <row r="501" spans="1:64" x14ac:dyDescent="0.3">
      <c r="A501" s="135">
        <f>IF(Разбивка_по_щитам!F501=0,"",Разбивка_по_щитам!F501)</f>
        <v/>
      </c>
      <c r="B501" s="138">
        <f>IF(A501="","",Разбивка_по_щитам!C501)</f>
        <v/>
      </c>
      <c r="C501" s="138">
        <f t="shared" si="302"/>
        <v/>
      </c>
      <c r="D501" s="266"/>
      <c r="E501" s="266"/>
      <c r="F501" s="267"/>
      <c r="G501" s="145">
        <f t="shared" si="303"/>
        <v/>
      </c>
      <c r="H501" s="145">
        <f t="shared" si="304"/>
        <v/>
      </c>
      <c r="I501" s="266"/>
      <c r="J501" s="267"/>
      <c r="K501" s="267"/>
      <c r="L501" s="266"/>
      <c r="M501" s="147">
        <f t="shared" si="305"/>
        <v/>
      </c>
      <c r="N501" s="267"/>
      <c r="O501" s="147">
        <f t="shared" si="306"/>
        <v/>
      </c>
      <c r="P501" s="268">
        <f>IF(AY501=1,"XT"&amp;COUNTIFS($A$3:A501,A501,$AY$3:AY501,1),"")</f>
        <v/>
      </c>
      <c r="Q501" s="152">
        <f>IF(R501="","",IFERROR(SUBSTITUTE(Разбивка_по_щитам!P501,CHAR(10)," "),""))</f>
        <v/>
      </c>
      <c r="R501" s="153">
        <f>IF(OR(Разбивка_по_щитам!H501="",Разбивка_по_щитам!H501=0),"",Разбивка_по_щитам!H501)</f>
        <v/>
      </c>
      <c r="S501" s="154">
        <f>IF(R501="","",IFERROR(Разбивка_по_щитам!J501&amp;"",""))</f>
        <v/>
      </c>
      <c r="T501" s="155">
        <f>IF(R501="","",IFERROR(--Разбивка_по_щитам!L501,""))</f>
        <v/>
      </c>
      <c r="U501" s="155">
        <f>IF(R501="","",IFERROR(--Разбивка_по_щитам!K501,""))</f>
        <v/>
      </c>
      <c r="V501" s="138">
        <f>IF(R501="","",IFERROR(IF(Разбивка_по_щитам!M501=0,"",Разбивка_по_щитам!M501),""))</f>
        <v/>
      </c>
      <c r="W501" s="156">
        <f t="shared" si="307"/>
        <v/>
      </c>
      <c r="X501" s="157">
        <f t="shared" si="308"/>
        <v/>
      </c>
      <c r="Y501" s="266"/>
      <c r="Z501" s="158">
        <f t="shared" si="309"/>
        <v/>
      </c>
      <c r="AA501" s="160">
        <f t="shared" si="310"/>
        <v/>
      </c>
      <c r="AB501" s="160">
        <f>IF(R501="","",IFERROR(LOOKUP(INDEX(Справочная!$I$4:$I$19,MATCH(VLOOKUP(R501,Исходные_данные,22,FALSE),Справочная!$J$4:$J$19,0)+1),{6,10,16,20,25,32,40,50,63,80,100,125}),""))</f>
        <v/>
      </c>
      <c r="AC501" s="160">
        <f t="shared" si="311"/>
        <v/>
      </c>
      <c r="AD501" s="161">
        <f t="shared" si="312"/>
        <v/>
      </c>
      <c r="AE501" s="161">
        <f>IF(AND(R501="",G501=""),"",_xlfn.TEXTJOIN("; ",TRUE,IF(AND(R501&lt;&gt;"",V501=""),"нет фазы",""),IF(AND(R501&lt;&gt;"",N(T501)=0),"нет мощности",""),IF(AND(P501&lt;&gt;"",COUNTIFS($A$3:$A$1000,A501,$P$3:$P$1000,P501)&gt;1),"дубль клеммы "&amp;P501,""),IF(AND(W501&lt;&gt;"",W501&lt;&gt;"ok"),W501,""),IF(X501&lt;&gt;"",X501,""),IF(AND(ISNUMBER(SEARCH("(5х",Q501)),N(AK501)=1),"5 жил на 1 фазе",""),IF(AND(AL501="R",E501&lt;&gt;"",N(AS501)=0),"розетка без 30 мА",""),IF(IFERROR(_xlfn.NUMBERVALUE(MID(Q501,FIND("-",Q501,FIND("L=",Q501))+1,FIND("%",Q501)-FIND("-",Q501,FIND("L=",Q501))-1),","),0)&gt;4,"потери &gt; 4 %","")))</f>
      </c>
      <c r="AF501" s="129">
        <f>IF(E501&lt;&gt;"",COUNTIFS($A$3:A501,A501,$E$3:E501,"?*"),IF(OR(A501&lt;&gt;A500,Y501="вручную"),"",AF500))</f>
        <v/>
      </c>
      <c r="AG501" s="129">
        <f t="shared" si="313"/>
        <v/>
      </c>
      <c r="AH501" s="129">
        <f t="shared" si="314"/>
        <v/>
      </c>
      <c r="AI501" s="129">
        <f t="shared" si="315"/>
        <v/>
      </c>
      <c r="AJ501" s="129">
        <f t="shared" si="316"/>
        <v/>
      </c>
      <c r="AK501" s="129">
        <f t="shared" si="317"/>
        <v/>
      </c>
      <c r="AL501" s="129">
        <f t="shared" si="318"/>
        <v/>
      </c>
      <c r="AM501" s="129">
        <f t="shared" si="319"/>
      </c>
      <c r="AN501" s="129">
        <f t="shared" si="320"/>
      </c>
      <c r="AO501" s="129">
        <f t="shared" si="321"/>
        <v/>
      </c>
      <c r="AP501" s="129">
        <f t="shared" si="322"/>
        <v/>
      </c>
      <c r="AQ501" s="129">
        <f t="shared" si="323"/>
        <v/>
      </c>
      <c r="AR501" s="129">
        <f t="shared" si="324"/>
        <v/>
      </c>
      <c r="AS501" s="129">
        <f t="shared" si="325"/>
        <v/>
      </c>
      <c r="AT501" s="129">
        <f t="shared" si="326"/>
        <v/>
      </c>
      <c r="AU501" s="129">
        <f t="shared" si="327"/>
        <v/>
      </c>
      <c r="AV501" s="129">
        <f t="shared" si="328"/>
        <v/>
      </c>
      <c r="AW501" s="129">
        <f>IF(AV501="","",AV501&amp;"."&amp;COUNTIFS($A$3:A501,A501,$AV$3:AV501,AV501))</f>
        <v/>
      </c>
      <c r="AX501" s="129">
        <f t="shared" si="329"/>
        <v/>
      </c>
      <c r="AY501" s="129">
        <f>IF(N501="б/к",0,IF(OR(ISNUMBER(SEARCH("L=",Разбивка_по_щитам!P501)),N501="+",N501="="),1,0))</f>
      </c>
      <c r="AZ501" s="129">
        <f t="shared" si="330"/>
        <v/>
      </c>
      <c r="BA501" s="129">
        <f t="shared" si="331"/>
      </c>
      <c r="BB501" s="129">
        <f t="shared" si="332"/>
      </c>
      <c r="BD501" s="129">
        <f t="shared" si="333"/>
      </c>
      <c r="BE501" s="129">
        <f t="shared" si="334"/>
      </c>
      <c r="BF501" s="129">
        <f t="shared" si="335"/>
      </c>
      <c r="BG501" s="129">
        <f t="shared" si="336"/>
        <v/>
      </c>
      <c r="BH501" s="129">
        <f t="shared" si="337"/>
        <v/>
      </c>
      <c r="BI501" s="129">
        <f t="shared" si="338"/>
        <v/>
      </c>
      <c r="BJ501" s="129">
        <f t="shared" si="339"/>
        <v/>
      </c>
      <c r="BK501" s="129">
        <f>IF(R501="","",IF(OR(BY501="",BY501=0),"BOX",IFERROR(IF(VLOOKUP(BY501,УГО_блоки,3,FALSE)&amp;""&lt;&gt;"",VLOOKUP(BY501,УГО_блоки,3,FALSE),VLOOKUP(BY501,УГО_блоки,2,FALSE)),BY501)))</f>
      </c>
      <c r="BL501" s="129">
        <f t="shared" si="341"/>
      </c>
      <c r="BM501" s="129">
        <f>IF(H501="","",IF(COUNTIF($H$3:H501,H501)=1,MAX($BM$2:BM500)+1,""))</f>
      </c>
      <c r="BN501" s="129">
        <f>IF(I501="","",IF(COUNTIF($I$3:I501,I501)+COUNTIF($J$2:J500,I501)+COUNTIF($K$2:K500,I501)=1,MAX($BN$2:BP500)+1,""))</f>
      </c>
      <c r="BO501" s="129">
        <f>IF(J501="","",IF(COUNTIF($I$3:I501,J501)+COUNTIF($J$3:J501,J501)+COUNTIF($K$2:K500,J501)=1,MAX($BN$2:BP500,BN501)+1,""))</f>
      </c>
      <c r="BP501" s="129">
        <f>IF(K501="","",IF(COUNTIF($I$3:I501,K501)+COUNTIF($J$3:J501,K501)+COUNTIF($K$3:K501,K501)=1,MAX($BN$2:BP500,BN501,BO501)+1,""))</f>
      </c>
      <c r="BQ501" s="129">
        <f>IF(AY501=1,IFERROR(MID(Q501,FIND(" (",Q501)+2,FIND(")",Q501,FIND(" (",Q501))-FIND(" (",Q501)-2),"?"),"")</f>
      </c>
      <c r="BR501" s="129">
        <f>IF(BQ501="","",IF(COUNTIF($BQ$3:BQ501,BQ501)=1,MAX($BR$2:BR500)+1,""))</f>
      </c>
      <c r="BS501" s="129">
        <f>IF(AW501="","",COUNTIF($AW$3:AW501,"?*"))</f>
      </c>
      <c r="BT501" s="129">
        <f>IF(OR(AW501="",AI501=""),"",IF(COUNTIFS($AW$3:AW501,"?*",$AI$3:AI501,AI501)=1,MAX($BT$2:BT500)+1,""))</f>
      </c>
      <c r="BU501" s="129">
        <f>IF(AE501="",0,IF(OR(ISNUMBER(SEARCH("дубль",AE501)),ISNUMBER(SEARCH("ПЕРЕГРУЗ",AE501)),ISNUMBER(SEARCH("ЗАЩИЩ",AE501)),ISNUMBER(SEARCH("КАНАЛ",AE501)),ISNUMBER(SEARCH("без 30",AE501))),2,1))</f>
      </c>
      <c r="BV501" s="129">
        <f>IF(R501="","",COUNTIF($R$3:R501,"?*"))</f>
      </c>
      <c r="BW501" s="129">
        <f>IF(AY501&lt;&gt;1,0,IF(MAX(IFERROR(--VLOOKUP(R501,УГО_спр,5,FALSE),0),IFERROR(--VLOOKUP(AL501,УГО_спр,5,FALSE),0),IFERROR(--VLOOKUP(LEFT(AL501,2),УГО_спр,5,FALSE),0))&gt;0,MAX(IFERROR(--VLOOKUP(R501,УГО_спр,5,FALSE),0),IFERROR(--VLOOKUP(AL501,УГО_спр,5,FALSE),0),IFERROR(--VLOOKUP(LEFT(AL501,2),УГО_спр,5,FALSE),0)),IF(IFERROR(--LEFT(SUBSTITUTE(BQ501,"x","х"),FIND("х",SUBSTITUTE(BQ501,"x","х"))-1),3)&gt;3,Каталог!$S$9,1)))</f>
      </c>
      <c r="BX501" s="129">
        <f>IF(AY501&lt;&gt;1,0,MAX(0,IFERROR(--LEFT(SUBSTITUTE(BQ501,"x","х"),FIND("х",SUBSTITUTE(BQ501,"x","х"))-1),3)-3*BW501))</f>
      </c>
      <c r="BY501" s="129">
        <f>IF(R501="","",IFERROR(VLOOKUP(R501,УГО_спр,2,FALSE),IFERROR(VLOOKUP(AL501,УГО_спр,2,FALSE),IFERROR(VLOOKUP(LEFT(AL501,2),УГО_спр,2,FALSE),""))))</f>
      </c>
    </row>
    <row r="502" spans="1:64" x14ac:dyDescent="0.3">
      <c r="A502" s="135">
        <f>IF(Разбивка_по_щитам!F502=0,"",Разбивка_по_щитам!F502)</f>
        <v/>
      </c>
      <c r="B502" s="138">
        <f>IF(A502="","",Разбивка_по_щитам!C502)</f>
        <v/>
      </c>
      <c r="C502" s="138">
        <f t="shared" si="302"/>
        <v/>
      </c>
      <c r="D502" s="266"/>
      <c r="E502" s="266"/>
      <c r="F502" s="267"/>
      <c r="G502" s="145">
        <f t="shared" si="303"/>
        <v/>
      </c>
      <c r="H502" s="145">
        <f t="shared" si="304"/>
        <v/>
      </c>
      <c r="I502" s="266"/>
      <c r="J502" s="267"/>
      <c r="K502" s="267"/>
      <c r="L502" s="266"/>
      <c r="M502" s="147">
        <f t="shared" si="305"/>
        <v/>
      </c>
      <c r="N502" s="267"/>
      <c r="O502" s="147">
        <f t="shared" si="306"/>
        <v/>
      </c>
      <c r="P502" s="268">
        <f>IF(AY502=1,"XT"&amp;COUNTIFS($A$3:A502,A502,$AY$3:AY502,1),"")</f>
        <v/>
      </c>
      <c r="Q502" s="152">
        <f>IF(R502="","",IFERROR(SUBSTITUTE(Разбивка_по_щитам!P502,CHAR(10)," "),""))</f>
        <v/>
      </c>
      <c r="R502" s="153">
        <f>IF(OR(Разбивка_по_щитам!H502="",Разбивка_по_щитам!H502=0),"",Разбивка_по_щитам!H502)</f>
        <v/>
      </c>
      <c r="S502" s="154">
        <f>IF(R502="","",IFERROR(Разбивка_по_щитам!J502&amp;"",""))</f>
        <v/>
      </c>
      <c r="T502" s="155">
        <f>IF(R502="","",IFERROR(--Разбивка_по_щитам!L502,""))</f>
        <v/>
      </c>
      <c r="U502" s="155">
        <f>IF(R502="","",IFERROR(--Разбивка_по_щитам!K502,""))</f>
        <v/>
      </c>
      <c r="V502" s="138">
        <f>IF(R502="","",IFERROR(IF(Разбивка_по_щитам!M502=0,"",Разбивка_по_щитам!M502),""))</f>
        <v/>
      </c>
      <c r="W502" s="156">
        <f t="shared" si="307"/>
        <v/>
      </c>
      <c r="X502" s="157">
        <f t="shared" si="308"/>
        <v/>
      </c>
      <c r="Y502" s="266"/>
      <c r="Z502" s="158">
        <f t="shared" si="309"/>
        <v/>
      </c>
      <c r="AA502" s="160">
        <f t="shared" si="310"/>
        <v/>
      </c>
      <c r="AB502" s="160">
        <f>IF(R502="","",IFERROR(LOOKUP(INDEX(Справочная!$I$4:$I$19,MATCH(VLOOKUP(R502,Исходные_данные,22,FALSE),Справочная!$J$4:$J$19,0)+1),{6,10,16,20,25,32,40,50,63,80,100,125}),""))</f>
        <v/>
      </c>
      <c r="AC502" s="160">
        <f t="shared" si="311"/>
        <v/>
      </c>
      <c r="AD502" s="161">
        <f t="shared" si="312"/>
        <v/>
      </c>
      <c r="AE502" s="161">
        <f>IF(AND(R502="",G502=""),"",_xlfn.TEXTJOIN("; ",TRUE,IF(AND(R502&lt;&gt;"",V502=""),"нет фазы",""),IF(AND(R502&lt;&gt;"",N(T502)=0),"нет мощности",""),IF(AND(P502&lt;&gt;"",COUNTIFS($A$3:$A$1000,A502,$P$3:$P$1000,P502)&gt;1),"дубль клеммы "&amp;P502,""),IF(AND(W502&lt;&gt;"",W502&lt;&gt;"ok"),W502,""),IF(X502&lt;&gt;"",X502,""),IF(AND(ISNUMBER(SEARCH("(5х",Q502)),N(AK502)=1),"5 жил на 1 фазе",""),IF(AND(AL502="R",E502&lt;&gt;"",N(AS502)=0),"розетка без 30 мА",""),IF(IFERROR(_xlfn.NUMBERVALUE(MID(Q502,FIND("-",Q502,FIND("L=",Q502))+1,FIND("%",Q502)-FIND("-",Q502,FIND("L=",Q502))-1),","),0)&gt;4,"потери &gt; 4 %","")))</f>
      </c>
      <c r="AF502" s="129">
        <f>IF(E502&lt;&gt;"",COUNTIFS($A$3:A502,A502,$E$3:E502,"?*"),IF(OR(A502&lt;&gt;A501,Y502="вручную"),"",AF501))</f>
        <v/>
      </c>
      <c r="AG502" s="129">
        <f t="shared" si="313"/>
        <v/>
      </c>
      <c r="AH502" s="129">
        <f t="shared" si="314"/>
        <v/>
      </c>
      <c r="AI502" s="129">
        <f t="shared" si="315"/>
        <v/>
      </c>
      <c r="AJ502" s="129">
        <f t="shared" si="316"/>
        <v/>
      </c>
      <c r="AK502" s="129">
        <f t="shared" si="317"/>
        <v/>
      </c>
      <c r="AL502" s="129">
        <f t="shared" si="318"/>
        <v/>
      </c>
      <c r="AM502" s="129">
        <f t="shared" si="319"/>
      </c>
      <c r="AN502" s="129">
        <f t="shared" si="320"/>
      </c>
      <c r="AO502" s="129">
        <f t="shared" si="321"/>
        <v/>
      </c>
      <c r="AP502" s="129">
        <f t="shared" si="322"/>
        <v/>
      </c>
      <c r="AQ502" s="129">
        <f t="shared" si="323"/>
        <v/>
      </c>
      <c r="AR502" s="129">
        <f t="shared" si="324"/>
        <v/>
      </c>
      <c r="AS502" s="129">
        <f t="shared" si="325"/>
        <v/>
      </c>
      <c r="AT502" s="129">
        <f t="shared" si="326"/>
        <v/>
      </c>
      <c r="AU502" s="129">
        <f t="shared" si="327"/>
        <v/>
      </c>
      <c r="AV502" s="129">
        <f t="shared" si="328"/>
        <v/>
      </c>
      <c r="AW502" s="129">
        <f>IF(AV502="","",AV502&amp;"."&amp;COUNTIFS($A$3:A502,A502,$AV$3:AV502,AV502))</f>
        <v/>
      </c>
      <c r="AX502" s="129">
        <f t="shared" si="329"/>
        <v/>
      </c>
      <c r="AY502" s="129">
        <f>IF(N502="б/к",0,IF(OR(ISNUMBER(SEARCH("L=",Разбивка_по_щитам!P502)),N502="+",N502="="),1,0))</f>
      </c>
      <c r="AZ502" s="129">
        <f t="shared" si="330"/>
        <v/>
      </c>
      <c r="BA502" s="129">
        <f t="shared" si="331"/>
      </c>
      <c r="BB502" s="129">
        <f t="shared" si="332"/>
      </c>
      <c r="BD502" s="129">
        <f t="shared" si="333"/>
      </c>
      <c r="BE502" s="129">
        <f t="shared" si="334"/>
      </c>
      <c r="BF502" s="129">
        <f t="shared" si="335"/>
      </c>
      <c r="BG502" s="129">
        <f t="shared" si="336"/>
        <v/>
      </c>
      <c r="BH502" s="129">
        <f t="shared" si="337"/>
        <v/>
      </c>
      <c r="BI502" s="129">
        <f t="shared" si="338"/>
        <v/>
      </c>
      <c r="BJ502" s="129">
        <f t="shared" si="339"/>
        <v/>
      </c>
      <c r="BK502" s="129">
        <f>IF(R502="","",IF(OR(BY502="",BY502=0),"BOX",IFERROR(IF(VLOOKUP(BY502,УГО_блоки,3,FALSE)&amp;""&lt;&gt;"",VLOOKUP(BY502,УГО_блоки,3,FALSE),VLOOKUP(BY502,УГО_блоки,2,FALSE)),BY502)))</f>
      </c>
      <c r="BL502" s="129">
        <f t="shared" si="341"/>
      </c>
      <c r="BM502" s="129">
        <f>IF(H502="","",IF(COUNTIF($H$3:H502,H502)=1,MAX($BM$2:BM501)+1,""))</f>
      </c>
      <c r="BN502" s="129">
        <f>IF(I502="","",IF(COUNTIF($I$3:I502,I502)+COUNTIF($J$2:J501,I502)+COUNTIF($K$2:K501,I502)=1,MAX($BN$2:BP501)+1,""))</f>
      </c>
      <c r="BO502" s="129">
        <f>IF(J502="","",IF(COUNTIF($I$3:I502,J502)+COUNTIF($J$3:J502,J502)+COUNTIF($K$2:K501,J502)=1,MAX($BN$2:BP501,BN502)+1,""))</f>
      </c>
      <c r="BP502" s="129">
        <f>IF(K502="","",IF(COUNTIF($I$3:I502,K502)+COUNTIF($J$3:J502,K502)+COUNTIF($K$3:K502,K502)=1,MAX($BN$2:BP501,BN502,BO502)+1,""))</f>
      </c>
      <c r="BQ502" s="129">
        <f>IF(AY502=1,IFERROR(MID(Q502,FIND(" (",Q502)+2,FIND(")",Q502,FIND(" (",Q502))-FIND(" (",Q502)-2),"?"),"")</f>
      </c>
      <c r="BR502" s="129">
        <f>IF(BQ502="","",IF(COUNTIF($BQ$3:BQ502,BQ502)=1,MAX($BR$2:BR501)+1,""))</f>
      </c>
      <c r="BS502" s="129">
        <f>IF(AW502="","",COUNTIF($AW$3:AW502,"?*"))</f>
      </c>
      <c r="BT502" s="129">
        <f>IF(OR(AW502="",AI502=""),"",IF(COUNTIFS($AW$3:AW502,"?*",$AI$3:AI502,AI502)=1,MAX($BT$2:BT501)+1,""))</f>
      </c>
      <c r="BU502" s="129">
        <f>IF(AE502="",0,IF(OR(ISNUMBER(SEARCH("дубль",AE502)),ISNUMBER(SEARCH("ПЕРЕГРУЗ",AE502)),ISNUMBER(SEARCH("ЗАЩИЩ",AE502)),ISNUMBER(SEARCH("КАНАЛ",AE502)),ISNUMBER(SEARCH("без 30",AE502))),2,1))</f>
      </c>
      <c r="BV502" s="129">
        <f>IF(R502="","",COUNTIF($R$3:R502,"?*"))</f>
      </c>
      <c r="BW502" s="129">
        <f>IF(AY502&lt;&gt;1,0,IF(MAX(IFERROR(--VLOOKUP(R502,УГО_спр,5,FALSE),0),IFERROR(--VLOOKUP(AL502,УГО_спр,5,FALSE),0),IFERROR(--VLOOKUP(LEFT(AL502,2),УГО_спр,5,FALSE),0))&gt;0,MAX(IFERROR(--VLOOKUP(R502,УГО_спр,5,FALSE),0),IFERROR(--VLOOKUP(AL502,УГО_спр,5,FALSE),0),IFERROR(--VLOOKUP(LEFT(AL502,2),УГО_спр,5,FALSE),0)),IF(IFERROR(--LEFT(SUBSTITUTE(BQ502,"x","х"),FIND("х",SUBSTITUTE(BQ502,"x","х"))-1),3)&gt;3,Каталог!$S$9,1)))</f>
      </c>
      <c r="BX502" s="129">
        <f>IF(AY502&lt;&gt;1,0,MAX(0,IFERROR(--LEFT(SUBSTITUTE(BQ502,"x","х"),FIND("х",SUBSTITUTE(BQ502,"x","х"))-1),3)-3*BW502))</f>
      </c>
      <c r="BY502" s="129">
        <f>IF(R502="","",IFERROR(VLOOKUP(R502,УГО_спр,2,FALSE),IFERROR(VLOOKUP(AL502,УГО_спр,2,FALSE),IFERROR(VLOOKUP(LEFT(AL502,2),УГО_спр,2,FALSE),""))))</f>
      </c>
    </row>
    <row r="503" spans="1:64" x14ac:dyDescent="0.3">
      <c r="A503" s="135">
        <f>IF(Разбивка_по_щитам!F503=0,"",Разбивка_по_щитам!F503)</f>
        <v/>
      </c>
      <c r="B503" s="138">
        <f>IF(A503="","",Разбивка_по_щитам!C503)</f>
        <v/>
      </c>
      <c r="C503" s="138">
        <f t="shared" si="302"/>
        <v/>
      </c>
      <c r="D503" s="266"/>
      <c r="E503" s="266"/>
      <c r="F503" s="267"/>
      <c r="G503" s="145">
        <f t="shared" si="303"/>
        <v/>
      </c>
      <c r="H503" s="145">
        <f t="shared" si="304"/>
        <v/>
      </c>
      <c r="I503" s="266"/>
      <c r="J503" s="267"/>
      <c r="K503" s="267"/>
      <c r="L503" s="266"/>
      <c r="M503" s="147">
        <f t="shared" si="305"/>
        <v/>
      </c>
      <c r="N503" s="267"/>
      <c r="O503" s="147">
        <f t="shared" si="306"/>
        <v/>
      </c>
      <c r="P503" s="268">
        <f>IF(AY503=1,"XT"&amp;COUNTIFS($A$3:A503,A503,$AY$3:AY503,1),"")</f>
        <v/>
      </c>
      <c r="Q503" s="152">
        <f>IF(R503="","",IFERROR(SUBSTITUTE(Разбивка_по_щитам!P503,CHAR(10)," "),""))</f>
        <v/>
      </c>
      <c r="R503" s="153">
        <f>IF(OR(Разбивка_по_щитам!H503="",Разбивка_по_щитам!H503=0),"",Разбивка_по_щитам!H503)</f>
        <v/>
      </c>
      <c r="S503" s="154">
        <f>IF(R503="","",IFERROR(Разбивка_по_щитам!J503&amp;"",""))</f>
        <v/>
      </c>
      <c r="T503" s="155">
        <f>IF(R503="","",IFERROR(--Разбивка_по_щитам!L503,""))</f>
        <v/>
      </c>
      <c r="U503" s="155">
        <f>IF(R503="","",IFERROR(--Разбивка_по_щитам!K503,""))</f>
        <v/>
      </c>
      <c r="V503" s="138">
        <f>IF(R503="","",IFERROR(IF(Разбивка_по_щитам!M503=0,"",Разбивка_по_щитам!M503),""))</f>
        <v/>
      </c>
      <c r="W503" s="156">
        <f t="shared" si="307"/>
        <v/>
      </c>
      <c r="X503" s="157">
        <f t="shared" si="308"/>
        <v/>
      </c>
      <c r="Y503" s="266"/>
      <c r="Z503" s="158">
        <f t="shared" si="309"/>
        <v/>
      </c>
      <c r="AA503" s="160">
        <f t="shared" si="310"/>
        <v/>
      </c>
      <c r="AB503" s="160">
        <f>IF(R503="","",IFERROR(LOOKUP(INDEX(Справочная!$I$4:$I$19,MATCH(VLOOKUP(R503,Исходные_данные,22,FALSE),Справочная!$J$4:$J$19,0)+1),{6,10,16,20,25,32,40,50,63,80,100,125}),""))</f>
        <v/>
      </c>
      <c r="AC503" s="160">
        <f t="shared" si="311"/>
        <v/>
      </c>
      <c r="AD503" s="161">
        <f t="shared" si="312"/>
        <v/>
      </c>
      <c r="AE503" s="161">
        <f>IF(AND(R503="",G503=""),"",_xlfn.TEXTJOIN("; ",TRUE,IF(AND(R503&lt;&gt;"",V503=""),"нет фазы",""),IF(AND(R503&lt;&gt;"",N(T503)=0),"нет мощности",""),IF(AND(P503&lt;&gt;"",COUNTIFS($A$3:$A$1000,A503,$P$3:$P$1000,P503)&gt;1),"дубль клеммы "&amp;P503,""),IF(AND(W503&lt;&gt;"",W503&lt;&gt;"ok"),W503,""),IF(X503&lt;&gt;"",X503,""),IF(AND(ISNUMBER(SEARCH("(5х",Q503)),N(AK503)=1),"5 жил на 1 фазе",""),IF(AND(AL503="R",E503&lt;&gt;"",N(AS503)=0),"розетка без 30 мА",""),IF(IFERROR(_xlfn.NUMBERVALUE(MID(Q503,FIND("-",Q503,FIND("L=",Q503))+1,FIND("%",Q503)-FIND("-",Q503,FIND("L=",Q503))-1),","),0)&gt;4,"потери &gt; 4 %","")))</f>
      </c>
      <c r="AF503" s="129">
        <f>IF(E503&lt;&gt;"",COUNTIFS($A$3:A503,A503,$E$3:E503,"?*"),IF(OR(A503&lt;&gt;A502,Y503="вручную"),"",AF502))</f>
        <v/>
      </c>
      <c r="AG503" s="129">
        <f t="shared" si="313"/>
        <v/>
      </c>
      <c r="AH503" s="129">
        <f t="shared" si="314"/>
        <v/>
      </c>
      <c r="AI503" s="129">
        <f t="shared" si="315"/>
        <v/>
      </c>
      <c r="AJ503" s="129">
        <f t="shared" si="316"/>
        <v/>
      </c>
      <c r="AK503" s="129">
        <f t="shared" si="317"/>
        <v/>
      </c>
      <c r="AL503" s="129">
        <f t="shared" si="318"/>
        <v/>
      </c>
      <c r="AM503" s="129">
        <f t="shared" si="319"/>
      </c>
      <c r="AN503" s="129">
        <f t="shared" si="320"/>
      </c>
      <c r="AO503" s="129">
        <f t="shared" si="321"/>
        <v/>
      </c>
      <c r="AP503" s="129">
        <f t="shared" si="322"/>
        <v/>
      </c>
      <c r="AQ503" s="129">
        <f t="shared" si="323"/>
        <v/>
      </c>
      <c r="AR503" s="129">
        <f t="shared" si="324"/>
        <v/>
      </c>
      <c r="AS503" s="129">
        <f t="shared" si="325"/>
        <v/>
      </c>
      <c r="AT503" s="129">
        <f t="shared" si="326"/>
        <v/>
      </c>
      <c r="AU503" s="129">
        <f t="shared" si="327"/>
        <v/>
      </c>
      <c r="AV503" s="129">
        <f t="shared" si="328"/>
        <v/>
      </c>
      <c r="AW503" s="129">
        <f>IF(AV503="","",AV503&amp;"."&amp;COUNTIFS($A$3:A503,A503,$AV$3:AV503,AV503))</f>
        <v/>
      </c>
      <c r="AX503" s="129">
        <f t="shared" si="329"/>
        <v/>
      </c>
      <c r="AY503" s="129">
        <f>IF(N503="б/к",0,IF(OR(ISNUMBER(SEARCH("L=",Разбивка_по_щитам!P503)),N503="+",N503="="),1,0))</f>
      </c>
      <c r="AZ503" s="129">
        <f t="shared" si="330"/>
        <v/>
      </c>
      <c r="BA503" s="129">
        <f t="shared" si="331"/>
      </c>
      <c r="BB503" s="129">
        <f t="shared" si="332"/>
      </c>
      <c r="BD503" s="129">
        <f t="shared" si="333"/>
      </c>
      <c r="BE503" s="129">
        <f t="shared" si="334"/>
      </c>
      <c r="BF503" s="129">
        <f t="shared" si="335"/>
      </c>
      <c r="BG503" s="129">
        <f t="shared" si="336"/>
        <v/>
      </c>
      <c r="BH503" s="129">
        <f t="shared" si="337"/>
        <v/>
      </c>
      <c r="BI503" s="129">
        <f t="shared" si="338"/>
        <v/>
      </c>
      <c r="BJ503" s="129">
        <f t="shared" si="339"/>
        <v/>
      </c>
      <c r="BK503" s="129">
        <f>IF(R503="","",IF(OR(BY503="",BY503=0),"BOX",IFERROR(IF(VLOOKUP(BY503,УГО_блоки,3,FALSE)&amp;""&lt;&gt;"",VLOOKUP(BY503,УГО_блоки,3,FALSE),VLOOKUP(BY503,УГО_блоки,2,FALSE)),BY503)))</f>
      </c>
      <c r="BL503" s="129">
        <f t="shared" si="341"/>
      </c>
      <c r="BM503" s="129">
        <f>IF(H503="","",IF(COUNTIF($H$3:H503,H503)=1,MAX($BM$2:BM502)+1,""))</f>
      </c>
      <c r="BN503" s="129">
        <f>IF(I503="","",IF(COUNTIF($I$3:I503,I503)+COUNTIF($J$2:J502,I503)+COUNTIF($K$2:K502,I503)=1,MAX($BN$2:BP502)+1,""))</f>
      </c>
      <c r="BO503" s="129">
        <f>IF(J503="","",IF(COUNTIF($I$3:I503,J503)+COUNTIF($J$3:J503,J503)+COUNTIF($K$2:K502,J503)=1,MAX($BN$2:BP502,BN503)+1,""))</f>
      </c>
      <c r="BP503" s="129">
        <f>IF(K503="","",IF(COUNTIF($I$3:I503,K503)+COUNTIF($J$3:J503,K503)+COUNTIF($K$3:K503,K503)=1,MAX($BN$2:BP502,BN503,BO503)+1,""))</f>
      </c>
      <c r="BQ503" s="129">
        <f>IF(AY503=1,IFERROR(MID(Q503,FIND(" (",Q503)+2,FIND(")",Q503,FIND(" (",Q503))-FIND(" (",Q503)-2),"?"),"")</f>
      </c>
      <c r="BR503" s="129">
        <f>IF(BQ503="","",IF(COUNTIF($BQ$3:BQ503,BQ503)=1,MAX($BR$2:BR502)+1,""))</f>
      </c>
      <c r="BS503" s="129">
        <f>IF(AW503="","",COUNTIF($AW$3:AW503,"?*"))</f>
      </c>
      <c r="BT503" s="129">
        <f>IF(OR(AW503="",AI503=""),"",IF(COUNTIFS($AW$3:AW503,"?*",$AI$3:AI503,AI503)=1,MAX($BT$2:BT502)+1,""))</f>
      </c>
      <c r="BU503" s="129">
        <f>IF(AE503="",0,IF(OR(ISNUMBER(SEARCH("дубль",AE503)),ISNUMBER(SEARCH("ПЕРЕГРУЗ",AE503)),ISNUMBER(SEARCH("ЗАЩИЩ",AE503)),ISNUMBER(SEARCH("КАНАЛ",AE503)),ISNUMBER(SEARCH("без 30",AE503))),2,1))</f>
      </c>
      <c r="BV503" s="129">
        <f>IF(R503="","",COUNTIF($R$3:R503,"?*"))</f>
      </c>
      <c r="BW503" s="129">
        <f>IF(AY503&lt;&gt;1,0,IF(MAX(IFERROR(--VLOOKUP(R503,УГО_спр,5,FALSE),0),IFERROR(--VLOOKUP(AL503,УГО_спр,5,FALSE),0),IFERROR(--VLOOKUP(LEFT(AL503,2),УГО_спр,5,FALSE),0))&gt;0,MAX(IFERROR(--VLOOKUP(R503,УГО_спр,5,FALSE),0),IFERROR(--VLOOKUP(AL503,УГО_спр,5,FALSE),0),IFERROR(--VLOOKUP(LEFT(AL503,2),УГО_спр,5,FALSE),0)),IF(IFERROR(--LEFT(SUBSTITUTE(BQ503,"x","х"),FIND("х",SUBSTITUTE(BQ503,"x","х"))-1),3)&gt;3,Каталог!$S$9,1)))</f>
      </c>
      <c r="BX503" s="129">
        <f>IF(AY503&lt;&gt;1,0,MAX(0,IFERROR(--LEFT(SUBSTITUTE(BQ503,"x","х"),FIND("х",SUBSTITUTE(BQ503,"x","х"))-1),3)-3*BW503))</f>
      </c>
      <c r="BY503" s="129">
        <f>IF(R503="","",IFERROR(VLOOKUP(R503,УГО_спр,2,FALSE),IFERROR(VLOOKUP(AL503,УГО_спр,2,FALSE),IFERROR(VLOOKUP(LEFT(AL503,2),УГО_спр,2,FALSE),""))))</f>
      </c>
    </row>
    <row r="504" spans="1:64" x14ac:dyDescent="0.3">
      <c r="A504" s="135">
        <f>IF(Разбивка_по_щитам!F504=0,"",Разбивка_по_щитам!F504)</f>
        <v/>
      </c>
      <c r="B504" s="138">
        <f>IF(A504="","",Разбивка_по_щитам!C504)</f>
        <v/>
      </c>
      <c r="C504" s="138">
        <f t="shared" si="302"/>
        <v/>
      </c>
      <c r="D504" s="266"/>
      <c r="E504" s="266"/>
      <c r="F504" s="267"/>
      <c r="G504" s="145">
        <f t="shared" si="303"/>
        <v/>
      </c>
      <c r="H504" s="145">
        <f t="shared" si="304"/>
        <v/>
      </c>
      <c r="I504" s="266"/>
      <c r="J504" s="267"/>
      <c r="K504" s="267"/>
      <c r="L504" s="266"/>
      <c r="M504" s="147">
        <f t="shared" si="305"/>
        <v/>
      </c>
      <c r="N504" s="267"/>
      <c r="O504" s="147">
        <f t="shared" si="306"/>
        <v/>
      </c>
      <c r="P504" s="268">
        <f>IF(AY504=1,"XT"&amp;COUNTIFS($A$3:A504,A504,$AY$3:AY504,1),"")</f>
        <v/>
      </c>
      <c r="Q504" s="152">
        <f>IF(R504="","",IFERROR(SUBSTITUTE(Разбивка_по_щитам!P504,CHAR(10)," "),""))</f>
        <v/>
      </c>
      <c r="R504" s="153">
        <f>IF(OR(Разбивка_по_щитам!H504="",Разбивка_по_щитам!H504=0),"",Разбивка_по_щитам!H504)</f>
        <v/>
      </c>
      <c r="S504" s="154">
        <f>IF(R504="","",IFERROR(Разбивка_по_щитам!J504&amp;"",""))</f>
        <v/>
      </c>
      <c r="T504" s="155">
        <f>IF(R504="","",IFERROR(--Разбивка_по_щитам!L504,""))</f>
        <v/>
      </c>
      <c r="U504" s="155">
        <f>IF(R504="","",IFERROR(--Разбивка_по_щитам!K504,""))</f>
        <v/>
      </c>
      <c r="V504" s="138">
        <f>IF(R504="","",IFERROR(IF(Разбивка_по_щитам!M504=0,"",Разбивка_по_щитам!M504),""))</f>
        <v/>
      </c>
      <c r="W504" s="156">
        <f t="shared" si="307"/>
        <v/>
      </c>
      <c r="X504" s="157">
        <f t="shared" si="308"/>
        <v/>
      </c>
      <c r="Y504" s="266"/>
      <c r="Z504" s="158">
        <f t="shared" si="309"/>
        <v/>
      </c>
      <c r="AA504" s="160">
        <f t="shared" si="310"/>
        <v/>
      </c>
      <c r="AB504" s="160">
        <f>IF(R504="","",IFERROR(LOOKUP(INDEX(Справочная!$I$4:$I$19,MATCH(VLOOKUP(R504,Исходные_данные,22,FALSE),Справочная!$J$4:$J$19,0)+1),{6,10,16,20,25,32,40,50,63,80,100,125}),""))</f>
        <v/>
      </c>
      <c r="AC504" s="160">
        <f t="shared" si="311"/>
        <v/>
      </c>
      <c r="AD504" s="161">
        <f t="shared" si="312"/>
        <v/>
      </c>
      <c r="AE504" s="161">
        <f>IF(AND(R504="",G504=""),"",_xlfn.TEXTJOIN("; ",TRUE,IF(AND(R504&lt;&gt;"",V504=""),"нет фазы",""),IF(AND(R504&lt;&gt;"",N(T504)=0),"нет мощности",""),IF(AND(P504&lt;&gt;"",COUNTIFS($A$3:$A$1000,A504,$P$3:$P$1000,P504)&gt;1),"дубль клеммы "&amp;P504,""),IF(AND(W504&lt;&gt;"",W504&lt;&gt;"ok"),W504,""),IF(X504&lt;&gt;"",X504,""),IF(AND(ISNUMBER(SEARCH("(5х",Q504)),N(AK504)=1),"5 жил на 1 фазе",""),IF(AND(AL504="R",E504&lt;&gt;"",N(AS504)=0),"розетка без 30 мА",""),IF(IFERROR(_xlfn.NUMBERVALUE(MID(Q504,FIND("-",Q504,FIND("L=",Q504))+1,FIND("%",Q504)-FIND("-",Q504,FIND("L=",Q504))-1),","),0)&gt;4,"потери &gt; 4 %","")))</f>
      </c>
      <c r="AF504" s="129">
        <f>IF(E504&lt;&gt;"",COUNTIFS($A$3:A504,A504,$E$3:E504,"?*"),IF(OR(A504&lt;&gt;A503,Y504="вручную"),"",AF503))</f>
        <v/>
      </c>
      <c r="AG504" s="129">
        <f t="shared" si="313"/>
        <v/>
      </c>
      <c r="AH504" s="129">
        <f t="shared" si="314"/>
        <v/>
      </c>
      <c r="AI504" s="129">
        <f t="shared" si="315"/>
        <v/>
      </c>
      <c r="AJ504" s="129">
        <f t="shared" si="316"/>
        <v/>
      </c>
      <c r="AK504" s="129">
        <f t="shared" si="317"/>
        <v/>
      </c>
      <c r="AL504" s="129">
        <f t="shared" si="318"/>
        <v/>
      </c>
      <c r="AM504" s="129">
        <f t="shared" si="319"/>
      </c>
      <c r="AN504" s="129">
        <f t="shared" si="320"/>
      </c>
      <c r="AO504" s="129">
        <f t="shared" si="321"/>
        <v/>
      </c>
      <c r="AP504" s="129">
        <f t="shared" si="322"/>
        <v/>
      </c>
      <c r="AQ504" s="129">
        <f t="shared" si="323"/>
        <v/>
      </c>
      <c r="AR504" s="129">
        <f t="shared" si="324"/>
        <v/>
      </c>
      <c r="AS504" s="129">
        <f t="shared" si="325"/>
        <v/>
      </c>
      <c r="AT504" s="129">
        <f t="shared" si="326"/>
        <v/>
      </c>
      <c r="AU504" s="129">
        <f t="shared" si="327"/>
        <v/>
      </c>
      <c r="AV504" s="129">
        <f t="shared" si="328"/>
        <v/>
      </c>
      <c r="AW504" s="129">
        <f>IF(AV504="","",AV504&amp;"."&amp;COUNTIFS($A$3:A504,A504,$AV$3:AV504,AV504))</f>
        <v/>
      </c>
      <c r="AX504" s="129">
        <f t="shared" si="329"/>
        <v/>
      </c>
      <c r="AY504" s="129">
        <f>IF(N504="б/к",0,IF(OR(ISNUMBER(SEARCH("L=",Разбивка_по_щитам!P504)),N504="+",N504="="),1,0))</f>
      </c>
      <c r="AZ504" s="129">
        <f t="shared" si="330"/>
        <v/>
      </c>
      <c r="BA504" s="129">
        <f t="shared" si="331"/>
      </c>
      <c r="BB504" s="129">
        <f t="shared" si="332"/>
      </c>
      <c r="BD504" s="129">
        <f t="shared" si="333"/>
      </c>
      <c r="BE504" s="129">
        <f t="shared" si="334"/>
      </c>
      <c r="BF504" s="129">
        <f t="shared" si="335"/>
      </c>
      <c r="BG504" s="129">
        <f t="shared" si="336"/>
        <v/>
      </c>
      <c r="BH504" s="129">
        <f t="shared" si="337"/>
        <v/>
      </c>
      <c r="BI504" s="129">
        <f t="shared" si="338"/>
        <v/>
      </c>
      <c r="BJ504" s="129">
        <f t="shared" si="339"/>
        <v/>
      </c>
      <c r="BK504" s="129">
        <f>IF(R504="","",IF(OR(BY504="",BY504=0),"BOX",IFERROR(IF(VLOOKUP(BY504,УГО_блоки,3,FALSE)&amp;""&lt;&gt;"",VLOOKUP(BY504,УГО_блоки,3,FALSE),VLOOKUP(BY504,УГО_блоки,2,FALSE)),BY504)))</f>
      </c>
      <c r="BL504" s="129">
        <f t="shared" si="341"/>
      </c>
      <c r="BM504" s="129">
        <f>IF(H504="","",IF(COUNTIF($H$3:H504,H504)=1,MAX($BM$2:BM503)+1,""))</f>
      </c>
      <c r="BN504" s="129">
        <f>IF(I504="","",IF(COUNTIF($I$3:I504,I504)+COUNTIF($J$2:J503,I504)+COUNTIF($K$2:K503,I504)=1,MAX($BN$2:BP503)+1,""))</f>
      </c>
      <c r="BO504" s="129">
        <f>IF(J504="","",IF(COUNTIF($I$3:I504,J504)+COUNTIF($J$3:J504,J504)+COUNTIF($K$2:K503,J504)=1,MAX($BN$2:BP503,BN504)+1,""))</f>
      </c>
      <c r="BP504" s="129">
        <f>IF(K504="","",IF(COUNTIF($I$3:I504,K504)+COUNTIF($J$3:J504,K504)+COUNTIF($K$3:K504,K504)=1,MAX($BN$2:BP503,BN504,BO504)+1,""))</f>
      </c>
      <c r="BQ504" s="129">
        <f>IF(AY504=1,IFERROR(MID(Q504,FIND(" (",Q504)+2,FIND(")",Q504,FIND(" (",Q504))-FIND(" (",Q504)-2),"?"),"")</f>
      </c>
      <c r="BR504" s="129">
        <f>IF(BQ504="","",IF(COUNTIF($BQ$3:BQ504,BQ504)=1,MAX($BR$2:BR503)+1,""))</f>
      </c>
      <c r="BS504" s="129">
        <f>IF(AW504="","",COUNTIF($AW$3:AW504,"?*"))</f>
      </c>
      <c r="BT504" s="129">
        <f>IF(OR(AW504="",AI504=""),"",IF(COUNTIFS($AW$3:AW504,"?*",$AI$3:AI504,AI504)=1,MAX($BT$2:BT503)+1,""))</f>
      </c>
      <c r="BU504" s="129">
        <f>IF(AE504="",0,IF(OR(ISNUMBER(SEARCH("дубль",AE504)),ISNUMBER(SEARCH("ПЕРЕГРУЗ",AE504)),ISNUMBER(SEARCH("ЗАЩИЩ",AE504)),ISNUMBER(SEARCH("КАНАЛ",AE504)),ISNUMBER(SEARCH("без 30",AE504))),2,1))</f>
      </c>
      <c r="BV504" s="129">
        <f>IF(R504="","",COUNTIF($R$3:R504,"?*"))</f>
      </c>
      <c r="BW504" s="129">
        <f>IF(AY504&lt;&gt;1,0,IF(MAX(IFERROR(--VLOOKUP(R504,УГО_спр,5,FALSE),0),IFERROR(--VLOOKUP(AL504,УГО_спр,5,FALSE),0),IFERROR(--VLOOKUP(LEFT(AL504,2),УГО_спр,5,FALSE),0))&gt;0,MAX(IFERROR(--VLOOKUP(R504,УГО_спр,5,FALSE),0),IFERROR(--VLOOKUP(AL504,УГО_спр,5,FALSE),0),IFERROR(--VLOOKUP(LEFT(AL504,2),УГО_спр,5,FALSE),0)),IF(IFERROR(--LEFT(SUBSTITUTE(BQ504,"x","х"),FIND("х",SUBSTITUTE(BQ504,"x","х"))-1),3)&gt;3,Каталог!$S$9,1)))</f>
      </c>
      <c r="BX504" s="129">
        <f>IF(AY504&lt;&gt;1,0,MAX(0,IFERROR(--LEFT(SUBSTITUTE(BQ504,"x","х"),FIND("х",SUBSTITUTE(BQ504,"x","х"))-1),3)-3*BW504))</f>
      </c>
      <c r="BY504" s="129">
        <f>IF(R504="","",IFERROR(VLOOKUP(R504,УГО_спр,2,FALSE),IFERROR(VLOOKUP(AL504,УГО_спр,2,FALSE),IFERROR(VLOOKUP(LEFT(AL504,2),УГО_спр,2,FALSE),""))))</f>
      </c>
    </row>
    <row r="505" spans="1:64" x14ac:dyDescent="0.3">
      <c r="A505" s="135">
        <f>IF(Разбивка_по_щитам!F505=0,"",Разбивка_по_щитам!F505)</f>
        <v/>
      </c>
      <c r="B505" s="138">
        <f>IF(A505="","",Разбивка_по_щитам!C505)</f>
        <v/>
      </c>
      <c r="C505" s="138">
        <f t="shared" si="302"/>
        <v/>
      </c>
      <c r="D505" s="266"/>
      <c r="E505" s="266"/>
      <c r="F505" s="267"/>
      <c r="G505" s="145">
        <f t="shared" si="303"/>
        <v/>
      </c>
      <c r="H505" s="145">
        <f t="shared" si="304"/>
        <v/>
      </c>
      <c r="I505" s="266"/>
      <c r="J505" s="267"/>
      <c r="K505" s="267"/>
      <c r="L505" s="266"/>
      <c r="M505" s="147">
        <f t="shared" si="305"/>
        <v/>
      </c>
      <c r="N505" s="267"/>
      <c r="O505" s="147">
        <f t="shared" si="306"/>
        <v/>
      </c>
      <c r="P505" s="268">
        <f>IF(AY505=1,"XT"&amp;COUNTIFS($A$3:A505,A505,$AY$3:AY505,1),"")</f>
        <v/>
      </c>
      <c r="Q505" s="152">
        <f>IF(R505="","",IFERROR(SUBSTITUTE(Разбивка_по_щитам!P505,CHAR(10)," "),""))</f>
        <v/>
      </c>
      <c r="R505" s="153">
        <f>IF(OR(Разбивка_по_щитам!H505="",Разбивка_по_щитам!H505=0),"",Разбивка_по_щитам!H505)</f>
        <v/>
      </c>
      <c r="S505" s="154">
        <f>IF(R505="","",IFERROR(Разбивка_по_щитам!J505&amp;"",""))</f>
        <v/>
      </c>
      <c r="T505" s="155">
        <f>IF(R505="","",IFERROR(--Разбивка_по_щитам!L505,""))</f>
        <v/>
      </c>
      <c r="U505" s="155">
        <f>IF(R505="","",IFERROR(--Разбивка_по_щитам!K505,""))</f>
        <v/>
      </c>
      <c r="V505" s="138">
        <f>IF(R505="","",IFERROR(IF(Разбивка_по_щитам!M505=0,"",Разбивка_по_щитам!M505),""))</f>
        <v/>
      </c>
      <c r="W505" s="156">
        <f t="shared" si="307"/>
        <v/>
      </c>
      <c r="X505" s="157">
        <f t="shared" si="308"/>
        <v/>
      </c>
      <c r="Y505" s="266"/>
      <c r="Z505" s="158">
        <f t="shared" si="309"/>
        <v/>
      </c>
      <c r="AA505" s="160">
        <f t="shared" si="310"/>
        <v/>
      </c>
      <c r="AB505" s="160">
        <f>IF(R505="","",IFERROR(LOOKUP(INDEX(Справочная!$I$4:$I$19,MATCH(VLOOKUP(R505,Исходные_данные,22,FALSE),Справочная!$J$4:$J$19,0)+1),{6,10,16,20,25,32,40,50,63,80,100,125}),""))</f>
        <v/>
      </c>
      <c r="AC505" s="160">
        <f t="shared" si="311"/>
        <v/>
      </c>
      <c r="AD505" s="161">
        <f t="shared" si="312"/>
        <v/>
      </c>
      <c r="AE505" s="161">
        <f>IF(AND(R505="",G505=""),"",_xlfn.TEXTJOIN("; ",TRUE,IF(AND(R505&lt;&gt;"",V505=""),"нет фазы",""),IF(AND(R505&lt;&gt;"",N(T505)=0),"нет мощности",""),IF(AND(P505&lt;&gt;"",COUNTIFS($A$3:$A$1000,A505,$P$3:$P$1000,P505)&gt;1),"дубль клеммы "&amp;P505,""),IF(AND(W505&lt;&gt;"",W505&lt;&gt;"ok"),W505,""),IF(X505&lt;&gt;"",X505,""),IF(AND(ISNUMBER(SEARCH("(5х",Q505)),N(AK505)=1),"5 жил на 1 фазе",""),IF(AND(AL505="R",E505&lt;&gt;"",N(AS505)=0),"розетка без 30 мА",""),IF(IFERROR(_xlfn.NUMBERVALUE(MID(Q505,FIND("-",Q505,FIND("L=",Q505))+1,FIND("%",Q505)-FIND("-",Q505,FIND("L=",Q505))-1),","),0)&gt;4,"потери &gt; 4 %","")))</f>
      </c>
      <c r="AF505" s="129">
        <f>IF(E505&lt;&gt;"",COUNTIFS($A$3:A505,A505,$E$3:E505,"?*"),IF(OR(A505&lt;&gt;A504,Y505="вручную"),"",AF504))</f>
        <v/>
      </c>
      <c r="AG505" s="129">
        <f t="shared" si="313"/>
        <v/>
      </c>
      <c r="AH505" s="129">
        <f t="shared" si="314"/>
        <v/>
      </c>
      <c r="AI505" s="129">
        <f t="shared" si="315"/>
        <v/>
      </c>
      <c r="AJ505" s="129">
        <f t="shared" si="316"/>
        <v/>
      </c>
      <c r="AK505" s="129">
        <f t="shared" si="317"/>
        <v/>
      </c>
      <c r="AL505" s="129">
        <f t="shared" si="318"/>
        <v/>
      </c>
      <c r="AM505" s="129">
        <f t="shared" si="319"/>
      </c>
      <c r="AN505" s="129">
        <f t="shared" si="320"/>
      </c>
      <c r="AO505" s="129">
        <f t="shared" si="321"/>
        <v/>
      </c>
      <c r="AP505" s="129">
        <f t="shared" si="322"/>
        <v/>
      </c>
      <c r="AQ505" s="129">
        <f t="shared" si="323"/>
        <v/>
      </c>
      <c r="AR505" s="129">
        <f t="shared" si="324"/>
        <v/>
      </c>
      <c r="AS505" s="129">
        <f t="shared" si="325"/>
        <v/>
      </c>
      <c r="AT505" s="129">
        <f t="shared" si="326"/>
        <v/>
      </c>
      <c r="AU505" s="129">
        <f t="shared" si="327"/>
        <v/>
      </c>
      <c r="AV505" s="129">
        <f t="shared" si="328"/>
        <v/>
      </c>
      <c r="AW505" s="129">
        <f>IF(AV505="","",AV505&amp;"."&amp;COUNTIFS($A$3:A505,A505,$AV$3:AV505,AV505))</f>
        <v/>
      </c>
      <c r="AX505" s="129">
        <f t="shared" si="329"/>
        <v/>
      </c>
      <c r="AY505" s="129">
        <f>IF(N505="б/к",0,IF(OR(ISNUMBER(SEARCH("L=",Разбивка_по_щитам!P505)),N505="+",N505="="),1,0))</f>
      </c>
      <c r="AZ505" s="129">
        <f t="shared" si="330"/>
        <v/>
      </c>
      <c r="BA505" s="129">
        <f t="shared" si="331"/>
      </c>
      <c r="BB505" s="129">
        <f t="shared" si="332"/>
      </c>
      <c r="BD505" s="129">
        <f t="shared" si="333"/>
      </c>
      <c r="BE505" s="129">
        <f t="shared" si="334"/>
      </c>
      <c r="BF505" s="129">
        <f t="shared" si="335"/>
      </c>
      <c r="BG505" s="129">
        <f t="shared" si="336"/>
        <v/>
      </c>
      <c r="BH505" s="129">
        <f t="shared" si="337"/>
        <v/>
      </c>
      <c r="BI505" s="129">
        <f t="shared" si="338"/>
        <v/>
      </c>
      <c r="BJ505" s="129">
        <f t="shared" si="339"/>
        <v/>
      </c>
      <c r="BK505" s="129">
        <f>IF(R505="","",IF(OR(BY505="",BY505=0),"BOX",IFERROR(IF(VLOOKUP(BY505,УГО_блоки,3,FALSE)&amp;""&lt;&gt;"",VLOOKUP(BY505,УГО_блоки,3,FALSE),VLOOKUP(BY505,УГО_блоки,2,FALSE)),BY505)))</f>
      </c>
      <c r="BL505" s="129">
        <f t="shared" si="341"/>
      </c>
      <c r="BM505" s="129">
        <f>IF(H505="","",IF(COUNTIF($H$3:H505,H505)=1,MAX($BM$2:BM504)+1,""))</f>
      </c>
      <c r="BN505" s="129">
        <f>IF(I505="","",IF(COUNTIF($I$3:I505,I505)+COUNTIF($J$2:J504,I505)+COUNTIF($K$2:K504,I505)=1,MAX($BN$2:BP504)+1,""))</f>
      </c>
      <c r="BO505" s="129">
        <f>IF(J505="","",IF(COUNTIF($I$3:I505,J505)+COUNTIF($J$3:J505,J505)+COUNTIF($K$2:K504,J505)=1,MAX($BN$2:BP504,BN505)+1,""))</f>
      </c>
      <c r="BP505" s="129">
        <f>IF(K505="","",IF(COUNTIF($I$3:I505,K505)+COUNTIF($J$3:J505,K505)+COUNTIF($K$3:K505,K505)=1,MAX($BN$2:BP504,BN505,BO505)+1,""))</f>
      </c>
      <c r="BQ505" s="129">
        <f>IF(AY505=1,IFERROR(MID(Q505,FIND(" (",Q505)+2,FIND(")",Q505,FIND(" (",Q505))-FIND(" (",Q505)-2),"?"),"")</f>
      </c>
      <c r="BR505" s="129">
        <f>IF(BQ505="","",IF(COUNTIF($BQ$3:BQ505,BQ505)=1,MAX($BR$2:BR504)+1,""))</f>
      </c>
      <c r="BS505" s="129">
        <f>IF(AW505="","",COUNTIF($AW$3:AW505,"?*"))</f>
      </c>
      <c r="BT505" s="129">
        <f>IF(OR(AW505="",AI505=""),"",IF(COUNTIFS($AW$3:AW505,"?*",$AI$3:AI505,AI505)=1,MAX($BT$2:BT504)+1,""))</f>
      </c>
      <c r="BU505" s="129">
        <f>IF(AE505="",0,IF(OR(ISNUMBER(SEARCH("дубль",AE505)),ISNUMBER(SEARCH("ПЕРЕГРУЗ",AE505)),ISNUMBER(SEARCH("ЗАЩИЩ",AE505)),ISNUMBER(SEARCH("КАНАЛ",AE505)),ISNUMBER(SEARCH("без 30",AE505))),2,1))</f>
      </c>
      <c r="BV505" s="129">
        <f>IF(R505="","",COUNTIF($R$3:R505,"?*"))</f>
      </c>
      <c r="BW505" s="129">
        <f>IF(AY505&lt;&gt;1,0,IF(MAX(IFERROR(--VLOOKUP(R505,УГО_спр,5,FALSE),0),IFERROR(--VLOOKUP(AL505,УГО_спр,5,FALSE),0),IFERROR(--VLOOKUP(LEFT(AL505,2),УГО_спр,5,FALSE),0))&gt;0,MAX(IFERROR(--VLOOKUP(R505,УГО_спр,5,FALSE),0),IFERROR(--VLOOKUP(AL505,УГО_спр,5,FALSE),0),IFERROR(--VLOOKUP(LEFT(AL505,2),УГО_спр,5,FALSE),0)),IF(IFERROR(--LEFT(SUBSTITUTE(BQ505,"x","х"),FIND("х",SUBSTITUTE(BQ505,"x","х"))-1),3)&gt;3,Каталог!$S$9,1)))</f>
      </c>
      <c r="BX505" s="129">
        <f>IF(AY505&lt;&gt;1,0,MAX(0,IFERROR(--LEFT(SUBSTITUTE(BQ505,"x","х"),FIND("х",SUBSTITUTE(BQ505,"x","х"))-1),3)-3*BW505))</f>
      </c>
      <c r="BY505" s="129">
        <f>IF(R505="","",IFERROR(VLOOKUP(R505,УГО_спр,2,FALSE),IFERROR(VLOOKUP(AL505,УГО_спр,2,FALSE),IFERROR(VLOOKUP(LEFT(AL505,2),УГО_спр,2,FALSE),""))))</f>
      </c>
    </row>
    <row r="506" spans="1:64" x14ac:dyDescent="0.3">
      <c r="A506" s="135">
        <f>IF(Разбивка_по_щитам!F506=0,"",Разбивка_по_щитам!F506)</f>
        <v/>
      </c>
      <c r="B506" s="138">
        <f>IF(A506="","",Разбивка_по_щитам!C506)</f>
        <v/>
      </c>
      <c r="C506" s="138">
        <f t="shared" si="302"/>
        <v/>
      </c>
      <c r="D506" s="266"/>
      <c r="E506" s="266"/>
      <c r="F506" s="267"/>
      <c r="G506" s="145">
        <f t="shared" si="303"/>
        <v/>
      </c>
      <c r="H506" s="145">
        <f t="shared" si="304"/>
        <v/>
      </c>
      <c r="I506" s="266"/>
      <c r="J506" s="267"/>
      <c r="K506" s="267"/>
      <c r="L506" s="266"/>
      <c r="M506" s="147">
        <f t="shared" si="305"/>
        <v/>
      </c>
      <c r="N506" s="267"/>
      <c r="O506" s="147">
        <f t="shared" si="306"/>
        <v/>
      </c>
      <c r="P506" s="268">
        <f>IF(AY506=1,"XT"&amp;COUNTIFS($A$3:A506,A506,$AY$3:AY506,1),"")</f>
        <v/>
      </c>
      <c r="Q506" s="152">
        <f>IF(R506="","",IFERROR(SUBSTITUTE(Разбивка_по_щитам!P506,CHAR(10)," "),""))</f>
        <v/>
      </c>
      <c r="R506" s="153">
        <f>IF(OR(Разбивка_по_щитам!H506="",Разбивка_по_щитам!H506=0),"",Разбивка_по_щитам!H506)</f>
        <v/>
      </c>
      <c r="S506" s="154">
        <f>IF(R506="","",IFERROR(Разбивка_по_щитам!J506&amp;"",""))</f>
        <v/>
      </c>
      <c r="T506" s="155">
        <f>IF(R506="","",IFERROR(--Разбивка_по_щитам!L506,""))</f>
        <v/>
      </c>
      <c r="U506" s="155">
        <f>IF(R506="","",IFERROR(--Разбивка_по_щитам!K506,""))</f>
        <v/>
      </c>
      <c r="V506" s="138">
        <f>IF(R506="","",IFERROR(IF(Разбивка_по_щитам!M506=0,"",Разбивка_по_щитам!M506),""))</f>
        <v/>
      </c>
      <c r="W506" s="156">
        <f t="shared" si="307"/>
        <v/>
      </c>
      <c r="X506" s="157">
        <f t="shared" si="308"/>
        <v/>
      </c>
      <c r="Y506" s="266"/>
      <c r="Z506" s="158">
        <f t="shared" si="309"/>
        <v/>
      </c>
      <c r="AA506" s="160">
        <f t="shared" si="310"/>
        <v/>
      </c>
      <c r="AB506" s="160">
        <f>IF(R506="","",IFERROR(LOOKUP(INDEX(Справочная!$I$4:$I$19,MATCH(VLOOKUP(R506,Исходные_данные,22,FALSE),Справочная!$J$4:$J$19,0)+1),{6,10,16,20,25,32,40,50,63,80,100,125}),""))</f>
        <v/>
      </c>
      <c r="AC506" s="160">
        <f t="shared" si="311"/>
        <v/>
      </c>
      <c r="AD506" s="161">
        <f t="shared" si="312"/>
        <v/>
      </c>
      <c r="AE506" s="161">
        <f>IF(AND(R506="",G506=""),"",_xlfn.TEXTJOIN("; ",TRUE,IF(AND(R506&lt;&gt;"",V506=""),"нет фазы",""),IF(AND(R506&lt;&gt;"",N(T506)=0),"нет мощности",""),IF(AND(P506&lt;&gt;"",COUNTIFS($A$3:$A$1000,A506,$P$3:$P$1000,P506)&gt;1),"дубль клеммы "&amp;P506,""),IF(AND(W506&lt;&gt;"",W506&lt;&gt;"ok"),W506,""),IF(X506&lt;&gt;"",X506,""),IF(AND(ISNUMBER(SEARCH("(5х",Q506)),N(AK506)=1),"5 жил на 1 фазе",""),IF(AND(AL506="R",E506&lt;&gt;"",N(AS506)=0),"розетка без 30 мА",""),IF(IFERROR(_xlfn.NUMBERVALUE(MID(Q506,FIND("-",Q506,FIND("L=",Q506))+1,FIND("%",Q506)-FIND("-",Q506,FIND("L=",Q506))-1),","),0)&gt;4,"потери &gt; 4 %","")))</f>
      </c>
      <c r="AF506" s="129">
        <f>IF(E506&lt;&gt;"",COUNTIFS($A$3:A506,A506,$E$3:E506,"?*"),IF(OR(A506&lt;&gt;A505,Y506="вручную"),"",AF505))</f>
        <v/>
      </c>
      <c r="AG506" s="129">
        <f t="shared" si="313"/>
        <v/>
      </c>
      <c r="AH506" s="129">
        <f t="shared" si="314"/>
        <v/>
      </c>
      <c r="AI506" s="129">
        <f t="shared" si="315"/>
        <v/>
      </c>
      <c r="AJ506" s="129">
        <f t="shared" si="316"/>
        <v/>
      </c>
      <c r="AK506" s="129">
        <f t="shared" si="317"/>
        <v/>
      </c>
      <c r="AL506" s="129">
        <f t="shared" si="318"/>
        <v/>
      </c>
      <c r="AM506" s="129">
        <f t="shared" si="319"/>
      </c>
      <c r="AN506" s="129">
        <f t="shared" si="320"/>
      </c>
      <c r="AO506" s="129">
        <f t="shared" si="321"/>
        <v/>
      </c>
      <c r="AP506" s="129">
        <f t="shared" si="322"/>
        <v/>
      </c>
      <c r="AQ506" s="129">
        <f t="shared" si="323"/>
        <v/>
      </c>
      <c r="AR506" s="129">
        <f t="shared" si="324"/>
        <v/>
      </c>
      <c r="AS506" s="129">
        <f t="shared" si="325"/>
        <v/>
      </c>
      <c r="AT506" s="129">
        <f t="shared" si="326"/>
        <v/>
      </c>
      <c r="AU506" s="129">
        <f t="shared" si="327"/>
        <v/>
      </c>
      <c r="AV506" s="129">
        <f t="shared" si="328"/>
        <v/>
      </c>
      <c r="AW506" s="129">
        <f>IF(AV506="","",AV506&amp;"."&amp;COUNTIFS($A$3:A506,A506,$AV$3:AV506,AV506))</f>
        <v/>
      </c>
      <c r="AX506" s="129">
        <f t="shared" si="329"/>
        <v/>
      </c>
      <c r="AY506" s="129">
        <f>IF(N506="б/к",0,IF(OR(ISNUMBER(SEARCH("L=",Разбивка_по_щитам!P506)),N506="+",N506="="),1,0))</f>
      </c>
      <c r="AZ506" s="129">
        <f t="shared" si="330"/>
        <v/>
      </c>
      <c r="BA506" s="129">
        <f t="shared" si="331"/>
      </c>
      <c r="BB506" s="129">
        <f t="shared" si="332"/>
      </c>
      <c r="BD506" s="129">
        <f t="shared" si="333"/>
      </c>
      <c r="BE506" s="129">
        <f t="shared" si="334"/>
      </c>
      <c r="BF506" s="129">
        <f t="shared" si="335"/>
      </c>
      <c r="BG506" s="129">
        <f t="shared" si="336"/>
        <v/>
      </c>
      <c r="BH506" s="129">
        <f t="shared" si="337"/>
        <v/>
      </c>
      <c r="BI506" s="129">
        <f t="shared" si="338"/>
        <v/>
      </c>
      <c r="BJ506" s="129">
        <f t="shared" si="339"/>
        <v/>
      </c>
      <c r="BK506" s="129">
        <f>IF(R506="","",IF(OR(BY506="",BY506=0),"BOX",IFERROR(IF(VLOOKUP(BY506,УГО_блоки,3,FALSE)&amp;""&lt;&gt;"",VLOOKUP(BY506,УГО_блоки,3,FALSE),VLOOKUP(BY506,УГО_блоки,2,FALSE)),BY506)))</f>
      </c>
      <c r="BL506" s="129">
        <f t="shared" si="341"/>
      </c>
      <c r="BM506" s="129">
        <f>IF(H506="","",IF(COUNTIF($H$3:H506,H506)=1,MAX($BM$2:BM505)+1,""))</f>
      </c>
      <c r="BN506" s="129">
        <f>IF(I506="","",IF(COUNTIF($I$3:I506,I506)+COUNTIF($J$2:J505,I506)+COUNTIF($K$2:K505,I506)=1,MAX($BN$2:BP505)+1,""))</f>
      </c>
      <c r="BO506" s="129">
        <f>IF(J506="","",IF(COUNTIF($I$3:I506,J506)+COUNTIF($J$3:J506,J506)+COUNTIF($K$2:K505,J506)=1,MAX($BN$2:BP505,BN506)+1,""))</f>
      </c>
      <c r="BP506" s="129">
        <f>IF(K506="","",IF(COUNTIF($I$3:I506,K506)+COUNTIF($J$3:J506,K506)+COUNTIF($K$3:K506,K506)=1,MAX($BN$2:BP505,BN506,BO506)+1,""))</f>
      </c>
      <c r="BQ506" s="129">
        <f>IF(AY506=1,IFERROR(MID(Q506,FIND(" (",Q506)+2,FIND(")",Q506,FIND(" (",Q506))-FIND(" (",Q506)-2),"?"),"")</f>
      </c>
      <c r="BR506" s="129">
        <f>IF(BQ506="","",IF(COUNTIF($BQ$3:BQ506,BQ506)=1,MAX($BR$2:BR505)+1,""))</f>
      </c>
      <c r="BS506" s="129">
        <f>IF(AW506="","",COUNTIF($AW$3:AW506,"?*"))</f>
      </c>
      <c r="BT506" s="129">
        <f>IF(OR(AW506="",AI506=""),"",IF(COUNTIFS($AW$3:AW506,"?*",$AI$3:AI506,AI506)=1,MAX($BT$2:BT505)+1,""))</f>
      </c>
      <c r="BU506" s="129">
        <f>IF(AE506="",0,IF(OR(ISNUMBER(SEARCH("дубль",AE506)),ISNUMBER(SEARCH("ПЕРЕГРУЗ",AE506)),ISNUMBER(SEARCH("ЗАЩИЩ",AE506)),ISNUMBER(SEARCH("КАНАЛ",AE506)),ISNUMBER(SEARCH("без 30",AE506))),2,1))</f>
      </c>
      <c r="BV506" s="129">
        <f>IF(R506="","",COUNTIF($R$3:R506,"?*"))</f>
      </c>
      <c r="BW506" s="129">
        <f>IF(AY506&lt;&gt;1,0,IF(MAX(IFERROR(--VLOOKUP(R506,УГО_спр,5,FALSE),0),IFERROR(--VLOOKUP(AL506,УГО_спр,5,FALSE),0),IFERROR(--VLOOKUP(LEFT(AL506,2),УГО_спр,5,FALSE),0))&gt;0,MAX(IFERROR(--VLOOKUP(R506,УГО_спр,5,FALSE),0),IFERROR(--VLOOKUP(AL506,УГО_спр,5,FALSE),0),IFERROR(--VLOOKUP(LEFT(AL506,2),УГО_спр,5,FALSE),0)),IF(IFERROR(--LEFT(SUBSTITUTE(BQ506,"x","х"),FIND("х",SUBSTITUTE(BQ506,"x","х"))-1),3)&gt;3,Каталог!$S$9,1)))</f>
      </c>
      <c r="BX506" s="129">
        <f>IF(AY506&lt;&gt;1,0,MAX(0,IFERROR(--LEFT(SUBSTITUTE(BQ506,"x","х"),FIND("х",SUBSTITUTE(BQ506,"x","х"))-1),3)-3*BW506))</f>
      </c>
      <c r="BY506" s="129">
        <f>IF(R506="","",IFERROR(VLOOKUP(R506,УГО_спр,2,FALSE),IFERROR(VLOOKUP(AL506,УГО_спр,2,FALSE),IFERROR(VLOOKUP(LEFT(AL506,2),УГО_спр,2,FALSE),""))))</f>
      </c>
    </row>
    <row r="507" spans="1:64" x14ac:dyDescent="0.3">
      <c r="A507" s="135">
        <f>IF(Разбивка_по_щитам!F507=0,"",Разбивка_по_щитам!F507)</f>
        <v/>
      </c>
      <c r="B507" s="138">
        <f>IF(A507="","",Разбивка_по_щитам!C507)</f>
        <v/>
      </c>
      <c r="C507" s="138">
        <f t="shared" si="302"/>
        <v/>
      </c>
      <c r="D507" s="266"/>
      <c r="E507" s="266"/>
      <c r="F507" s="267"/>
      <c r="G507" s="145">
        <f t="shared" si="303"/>
        <v/>
      </c>
      <c r="H507" s="145">
        <f t="shared" si="304"/>
        <v/>
      </c>
      <c r="I507" s="266"/>
      <c r="J507" s="267"/>
      <c r="K507" s="267"/>
      <c r="L507" s="266"/>
      <c r="M507" s="147">
        <f t="shared" si="305"/>
        <v/>
      </c>
      <c r="N507" s="267"/>
      <c r="O507" s="147">
        <f t="shared" si="306"/>
        <v/>
      </c>
      <c r="P507" s="268">
        <f>IF(AY507=1,"XT"&amp;COUNTIFS($A$3:A507,A507,$AY$3:AY507,1),"")</f>
        <v/>
      </c>
      <c r="Q507" s="152">
        <f>IF(R507="","",IFERROR(SUBSTITUTE(Разбивка_по_щитам!P507,CHAR(10)," "),""))</f>
        <v/>
      </c>
      <c r="R507" s="153">
        <f>IF(OR(Разбивка_по_щитам!H507="",Разбивка_по_щитам!H507=0),"",Разбивка_по_щитам!H507)</f>
        <v/>
      </c>
      <c r="S507" s="154">
        <f>IF(R507="","",IFERROR(Разбивка_по_щитам!J507&amp;"",""))</f>
        <v/>
      </c>
      <c r="T507" s="155">
        <f>IF(R507="","",IFERROR(--Разбивка_по_щитам!L507,""))</f>
        <v/>
      </c>
      <c r="U507" s="155">
        <f>IF(R507="","",IFERROR(--Разбивка_по_щитам!K507,""))</f>
        <v/>
      </c>
      <c r="V507" s="138">
        <f>IF(R507="","",IFERROR(IF(Разбивка_по_щитам!M507=0,"",Разбивка_по_щитам!M507),""))</f>
        <v/>
      </c>
      <c r="W507" s="156">
        <f t="shared" si="307"/>
        <v/>
      </c>
      <c r="X507" s="157">
        <f t="shared" si="308"/>
        <v/>
      </c>
      <c r="Y507" s="266"/>
      <c r="Z507" s="158">
        <f t="shared" si="309"/>
        <v/>
      </c>
      <c r="AA507" s="160">
        <f t="shared" si="310"/>
        <v/>
      </c>
      <c r="AB507" s="160">
        <f>IF(R507="","",IFERROR(LOOKUP(INDEX(Справочная!$I$4:$I$19,MATCH(VLOOKUP(R507,Исходные_данные,22,FALSE),Справочная!$J$4:$J$19,0)+1),{6,10,16,20,25,32,40,50,63,80,100,125}),""))</f>
        <v/>
      </c>
      <c r="AC507" s="160">
        <f t="shared" si="311"/>
        <v/>
      </c>
      <c r="AD507" s="161">
        <f t="shared" si="312"/>
        <v/>
      </c>
      <c r="AE507" s="161">
        <f>IF(AND(R507="",G507=""),"",_xlfn.TEXTJOIN("; ",TRUE,IF(AND(R507&lt;&gt;"",V507=""),"нет фазы",""),IF(AND(R507&lt;&gt;"",N(T507)=0),"нет мощности",""),IF(AND(P507&lt;&gt;"",COUNTIFS($A$3:$A$1000,A507,$P$3:$P$1000,P507)&gt;1),"дубль клеммы "&amp;P507,""),IF(AND(W507&lt;&gt;"",W507&lt;&gt;"ok"),W507,""),IF(X507&lt;&gt;"",X507,""),IF(AND(ISNUMBER(SEARCH("(5х",Q507)),N(AK507)=1),"5 жил на 1 фазе",""),IF(AND(AL507="R",E507&lt;&gt;"",N(AS507)=0),"розетка без 30 мА",""),IF(IFERROR(_xlfn.NUMBERVALUE(MID(Q507,FIND("-",Q507,FIND("L=",Q507))+1,FIND("%",Q507)-FIND("-",Q507,FIND("L=",Q507))-1),","),0)&gt;4,"потери &gt; 4 %","")))</f>
      </c>
      <c r="AF507" s="129">
        <f>IF(E507&lt;&gt;"",COUNTIFS($A$3:A507,A507,$E$3:E507,"?*"),IF(OR(A507&lt;&gt;A506,Y507="вручную"),"",AF506))</f>
        <v/>
      </c>
      <c r="AG507" s="129">
        <f t="shared" si="313"/>
        <v/>
      </c>
      <c r="AH507" s="129">
        <f t="shared" si="314"/>
        <v/>
      </c>
      <c r="AI507" s="129">
        <f t="shared" si="315"/>
        <v/>
      </c>
      <c r="AJ507" s="129">
        <f t="shared" si="316"/>
        <v/>
      </c>
      <c r="AK507" s="129">
        <f t="shared" si="317"/>
        <v/>
      </c>
      <c r="AL507" s="129">
        <f t="shared" si="318"/>
        <v/>
      </c>
      <c r="AM507" s="129">
        <f t="shared" si="319"/>
      </c>
      <c r="AN507" s="129">
        <f t="shared" si="320"/>
      </c>
      <c r="AO507" s="129">
        <f t="shared" si="321"/>
        <v/>
      </c>
      <c r="AP507" s="129">
        <f t="shared" si="322"/>
        <v/>
      </c>
      <c r="AQ507" s="129">
        <f t="shared" si="323"/>
        <v/>
      </c>
      <c r="AR507" s="129">
        <f t="shared" si="324"/>
        <v/>
      </c>
      <c r="AS507" s="129">
        <f t="shared" si="325"/>
        <v/>
      </c>
      <c r="AT507" s="129">
        <f t="shared" si="326"/>
        <v/>
      </c>
      <c r="AU507" s="129">
        <f t="shared" si="327"/>
        <v/>
      </c>
      <c r="AV507" s="129">
        <f t="shared" si="328"/>
        <v/>
      </c>
      <c r="AW507" s="129">
        <f>IF(AV507="","",AV507&amp;"."&amp;COUNTIFS($A$3:A507,A507,$AV$3:AV507,AV507))</f>
        <v/>
      </c>
      <c r="AX507" s="129">
        <f t="shared" si="329"/>
        <v/>
      </c>
      <c r="AY507" s="129">
        <f>IF(N507="б/к",0,IF(OR(ISNUMBER(SEARCH("L=",Разбивка_по_щитам!P507)),N507="+",N507="="),1,0))</f>
      </c>
      <c r="AZ507" s="129">
        <f t="shared" si="330"/>
        <v/>
      </c>
      <c r="BA507" s="129">
        <f t="shared" si="331"/>
      </c>
      <c r="BB507" s="129">
        <f t="shared" si="332"/>
      </c>
      <c r="BD507" s="129">
        <f t="shared" si="333"/>
      </c>
      <c r="BE507" s="129">
        <f t="shared" si="334"/>
      </c>
      <c r="BF507" s="129">
        <f t="shared" si="335"/>
      </c>
      <c r="BG507" s="129">
        <f t="shared" si="336"/>
        <v/>
      </c>
      <c r="BH507" s="129">
        <f t="shared" si="337"/>
        <v/>
      </c>
      <c r="BI507" s="129">
        <f t="shared" si="338"/>
        <v/>
      </c>
      <c r="BJ507" s="129">
        <f t="shared" si="339"/>
        <v/>
      </c>
      <c r="BK507" s="129">
        <f>IF(R507="","",IF(OR(BY507="",BY507=0),"BOX",IFERROR(IF(VLOOKUP(BY507,УГО_блоки,3,FALSE)&amp;""&lt;&gt;"",VLOOKUP(BY507,УГО_блоки,3,FALSE),VLOOKUP(BY507,УГО_блоки,2,FALSE)),BY507)))</f>
      </c>
      <c r="BL507" s="129">
        <f t="shared" si="341"/>
      </c>
      <c r="BM507" s="129">
        <f>IF(H507="","",IF(COUNTIF($H$3:H507,H507)=1,MAX($BM$2:BM506)+1,""))</f>
      </c>
      <c r="BN507" s="129">
        <f>IF(I507="","",IF(COUNTIF($I$3:I507,I507)+COUNTIF($J$2:J506,I507)+COUNTIF($K$2:K506,I507)=1,MAX($BN$2:BP506)+1,""))</f>
      </c>
      <c r="BO507" s="129">
        <f>IF(J507="","",IF(COUNTIF($I$3:I507,J507)+COUNTIF($J$3:J507,J507)+COUNTIF($K$2:K506,J507)=1,MAX($BN$2:BP506,BN507)+1,""))</f>
      </c>
      <c r="BP507" s="129">
        <f>IF(K507="","",IF(COUNTIF($I$3:I507,K507)+COUNTIF($J$3:J507,K507)+COUNTIF($K$3:K507,K507)=1,MAX($BN$2:BP506,BN507,BO507)+1,""))</f>
      </c>
      <c r="BQ507" s="129">
        <f>IF(AY507=1,IFERROR(MID(Q507,FIND(" (",Q507)+2,FIND(")",Q507,FIND(" (",Q507))-FIND(" (",Q507)-2),"?"),"")</f>
      </c>
      <c r="BR507" s="129">
        <f>IF(BQ507="","",IF(COUNTIF($BQ$3:BQ507,BQ507)=1,MAX($BR$2:BR506)+1,""))</f>
      </c>
      <c r="BS507" s="129">
        <f>IF(AW507="","",COUNTIF($AW$3:AW507,"?*"))</f>
      </c>
      <c r="BT507" s="129">
        <f>IF(OR(AW507="",AI507=""),"",IF(COUNTIFS($AW$3:AW507,"?*",$AI$3:AI507,AI507)=1,MAX($BT$2:BT506)+1,""))</f>
      </c>
      <c r="BU507" s="129">
        <f>IF(AE507="",0,IF(OR(ISNUMBER(SEARCH("дубль",AE507)),ISNUMBER(SEARCH("ПЕРЕГРУЗ",AE507)),ISNUMBER(SEARCH("ЗАЩИЩ",AE507)),ISNUMBER(SEARCH("КАНАЛ",AE507)),ISNUMBER(SEARCH("без 30",AE507))),2,1))</f>
      </c>
      <c r="BV507" s="129">
        <f>IF(R507="","",COUNTIF($R$3:R507,"?*"))</f>
      </c>
      <c r="BW507" s="129">
        <f>IF(AY507&lt;&gt;1,0,IF(MAX(IFERROR(--VLOOKUP(R507,УГО_спр,5,FALSE),0),IFERROR(--VLOOKUP(AL507,УГО_спр,5,FALSE),0),IFERROR(--VLOOKUP(LEFT(AL507,2),УГО_спр,5,FALSE),0))&gt;0,MAX(IFERROR(--VLOOKUP(R507,УГО_спр,5,FALSE),0),IFERROR(--VLOOKUP(AL507,УГО_спр,5,FALSE),0),IFERROR(--VLOOKUP(LEFT(AL507,2),УГО_спр,5,FALSE),0)),IF(IFERROR(--LEFT(SUBSTITUTE(BQ507,"x","х"),FIND("х",SUBSTITUTE(BQ507,"x","х"))-1),3)&gt;3,Каталог!$S$9,1)))</f>
      </c>
      <c r="BX507" s="129">
        <f>IF(AY507&lt;&gt;1,0,MAX(0,IFERROR(--LEFT(SUBSTITUTE(BQ507,"x","х"),FIND("х",SUBSTITUTE(BQ507,"x","х"))-1),3)-3*BW507))</f>
      </c>
      <c r="BY507" s="129">
        <f>IF(R507="","",IFERROR(VLOOKUP(R507,УГО_спр,2,FALSE),IFERROR(VLOOKUP(AL507,УГО_спр,2,FALSE),IFERROR(VLOOKUP(LEFT(AL507,2),УГО_спр,2,FALSE),""))))</f>
      </c>
    </row>
    <row r="508" spans="1:64" x14ac:dyDescent="0.3">
      <c r="A508" s="135">
        <f>IF(Разбивка_по_щитам!F508=0,"",Разбивка_по_щитам!F508)</f>
        <v/>
      </c>
      <c r="B508" s="138">
        <f>IF(A508="","",Разбивка_по_щитам!C508)</f>
        <v/>
      </c>
      <c r="C508" s="138">
        <f t="shared" si="302"/>
        <v/>
      </c>
      <c r="D508" s="266"/>
      <c r="E508" s="266"/>
      <c r="F508" s="267"/>
      <c r="G508" s="145">
        <f t="shared" si="303"/>
        <v/>
      </c>
      <c r="H508" s="145">
        <f t="shared" si="304"/>
        <v/>
      </c>
      <c r="I508" s="266"/>
      <c r="J508" s="267"/>
      <c r="K508" s="267"/>
      <c r="L508" s="266"/>
      <c r="M508" s="147">
        <f t="shared" si="305"/>
        <v/>
      </c>
      <c r="N508" s="267"/>
      <c r="O508" s="147">
        <f t="shared" si="306"/>
        <v/>
      </c>
      <c r="P508" s="268">
        <f>IF(AY508=1,"XT"&amp;COUNTIFS($A$3:A508,A508,$AY$3:AY508,1),"")</f>
        <v/>
      </c>
      <c r="Q508" s="152">
        <f>IF(R508="","",IFERROR(SUBSTITUTE(Разбивка_по_щитам!P508,CHAR(10)," "),""))</f>
        <v/>
      </c>
      <c r="R508" s="153">
        <f>IF(OR(Разбивка_по_щитам!H508="",Разбивка_по_щитам!H508=0),"",Разбивка_по_щитам!H508)</f>
        <v/>
      </c>
      <c r="S508" s="154">
        <f>IF(R508="","",IFERROR(Разбивка_по_щитам!J508&amp;"",""))</f>
        <v/>
      </c>
      <c r="T508" s="155">
        <f>IF(R508="","",IFERROR(--Разбивка_по_щитам!L508,""))</f>
        <v/>
      </c>
      <c r="U508" s="155">
        <f>IF(R508="","",IFERROR(--Разбивка_по_щитам!K508,""))</f>
        <v/>
      </c>
      <c r="V508" s="138">
        <f>IF(R508="","",IFERROR(IF(Разбивка_по_щитам!M508=0,"",Разбивка_по_щитам!M508),""))</f>
        <v/>
      </c>
      <c r="W508" s="156">
        <f t="shared" si="307"/>
        <v/>
      </c>
      <c r="X508" s="157">
        <f t="shared" si="308"/>
        <v/>
      </c>
      <c r="Y508" s="266"/>
      <c r="Z508" s="158">
        <f t="shared" si="309"/>
        <v/>
      </c>
      <c r="AA508" s="160">
        <f t="shared" si="310"/>
        <v/>
      </c>
      <c r="AB508" s="160">
        <f>IF(R508="","",IFERROR(LOOKUP(INDEX(Справочная!$I$4:$I$19,MATCH(VLOOKUP(R508,Исходные_данные,22,FALSE),Справочная!$J$4:$J$19,0)+1),{6,10,16,20,25,32,40,50,63,80,100,125}),""))</f>
        <v/>
      </c>
      <c r="AC508" s="160">
        <f t="shared" si="311"/>
        <v/>
      </c>
      <c r="AD508" s="161">
        <f t="shared" si="312"/>
        <v/>
      </c>
      <c r="AE508" s="161">
        <f>IF(AND(R508="",G508=""),"",_xlfn.TEXTJOIN("; ",TRUE,IF(AND(R508&lt;&gt;"",V508=""),"нет фазы",""),IF(AND(R508&lt;&gt;"",N(T508)=0),"нет мощности",""),IF(AND(P508&lt;&gt;"",COUNTIFS($A$3:$A$1000,A508,$P$3:$P$1000,P508)&gt;1),"дубль клеммы "&amp;P508,""),IF(AND(W508&lt;&gt;"",W508&lt;&gt;"ok"),W508,""),IF(X508&lt;&gt;"",X508,""),IF(AND(ISNUMBER(SEARCH("(5х",Q508)),N(AK508)=1),"5 жил на 1 фазе",""),IF(AND(AL508="R",E508&lt;&gt;"",N(AS508)=0),"розетка без 30 мА",""),IF(IFERROR(_xlfn.NUMBERVALUE(MID(Q508,FIND("-",Q508,FIND("L=",Q508))+1,FIND("%",Q508)-FIND("-",Q508,FIND("L=",Q508))-1),","),0)&gt;4,"потери &gt; 4 %","")))</f>
      </c>
      <c r="AF508" s="129">
        <f>IF(E508&lt;&gt;"",COUNTIFS($A$3:A508,A508,$E$3:E508,"?*"),IF(OR(A508&lt;&gt;A507,Y508="вручную"),"",AF507))</f>
        <v/>
      </c>
      <c r="AG508" s="129">
        <f t="shared" si="313"/>
        <v/>
      </c>
      <c r="AH508" s="129">
        <f t="shared" si="314"/>
        <v/>
      </c>
      <c r="AI508" s="129">
        <f t="shared" si="315"/>
        <v/>
      </c>
      <c r="AJ508" s="129">
        <f t="shared" si="316"/>
        <v/>
      </c>
      <c r="AK508" s="129">
        <f t="shared" si="317"/>
        <v/>
      </c>
      <c r="AL508" s="129">
        <f t="shared" si="318"/>
        <v/>
      </c>
      <c r="AM508" s="129">
        <f t="shared" si="319"/>
      </c>
      <c r="AN508" s="129">
        <f t="shared" si="320"/>
      </c>
      <c r="AO508" s="129">
        <f t="shared" si="321"/>
        <v/>
      </c>
      <c r="AP508" s="129">
        <f t="shared" si="322"/>
        <v/>
      </c>
      <c r="AQ508" s="129">
        <f t="shared" si="323"/>
        <v/>
      </c>
      <c r="AR508" s="129">
        <f t="shared" si="324"/>
        <v/>
      </c>
      <c r="AS508" s="129">
        <f t="shared" si="325"/>
        <v/>
      </c>
      <c r="AT508" s="129">
        <f t="shared" si="326"/>
        <v/>
      </c>
      <c r="AU508" s="129">
        <f t="shared" si="327"/>
        <v/>
      </c>
      <c r="AV508" s="129">
        <f t="shared" si="328"/>
        <v/>
      </c>
      <c r="AW508" s="129">
        <f>IF(AV508="","",AV508&amp;"."&amp;COUNTIFS($A$3:A508,A508,$AV$3:AV508,AV508))</f>
        <v/>
      </c>
      <c r="AX508" s="129">
        <f t="shared" si="329"/>
        <v/>
      </c>
      <c r="AY508" s="129">
        <f>IF(N508="б/к",0,IF(OR(ISNUMBER(SEARCH("L=",Разбивка_по_щитам!P508)),N508="+",N508="="),1,0))</f>
      </c>
      <c r="AZ508" s="129">
        <f t="shared" si="330"/>
        <v/>
      </c>
      <c r="BA508" s="129">
        <f t="shared" si="331"/>
      </c>
      <c r="BB508" s="129">
        <f t="shared" si="332"/>
      </c>
      <c r="BD508" s="129">
        <f t="shared" si="333"/>
      </c>
      <c r="BE508" s="129">
        <f t="shared" si="334"/>
      </c>
      <c r="BF508" s="129">
        <f t="shared" si="335"/>
      </c>
      <c r="BG508" s="129">
        <f t="shared" si="336"/>
        <v/>
      </c>
      <c r="BH508" s="129">
        <f t="shared" si="337"/>
        <v/>
      </c>
      <c r="BI508" s="129">
        <f t="shared" si="338"/>
        <v/>
      </c>
      <c r="BJ508" s="129">
        <f t="shared" si="339"/>
        <v/>
      </c>
      <c r="BK508" s="129">
        <f>IF(R508="","",IF(OR(BY508="",BY508=0),"BOX",IFERROR(IF(VLOOKUP(BY508,УГО_блоки,3,FALSE)&amp;""&lt;&gt;"",VLOOKUP(BY508,УГО_блоки,3,FALSE),VLOOKUP(BY508,УГО_блоки,2,FALSE)),BY508)))</f>
      </c>
      <c r="BL508" s="129">
        <f t="shared" si="341"/>
      </c>
      <c r="BM508" s="129">
        <f>IF(H508="","",IF(COUNTIF($H$3:H508,H508)=1,MAX($BM$2:BM507)+1,""))</f>
      </c>
      <c r="BN508" s="129">
        <f>IF(I508="","",IF(COUNTIF($I$3:I508,I508)+COUNTIF($J$2:J507,I508)+COUNTIF($K$2:K507,I508)=1,MAX($BN$2:BP507)+1,""))</f>
      </c>
      <c r="BO508" s="129">
        <f>IF(J508="","",IF(COUNTIF($I$3:I508,J508)+COUNTIF($J$3:J508,J508)+COUNTIF($K$2:K507,J508)=1,MAX($BN$2:BP507,BN508)+1,""))</f>
      </c>
      <c r="BP508" s="129">
        <f>IF(K508="","",IF(COUNTIF($I$3:I508,K508)+COUNTIF($J$3:J508,K508)+COUNTIF($K$3:K508,K508)=1,MAX($BN$2:BP507,BN508,BO508)+1,""))</f>
      </c>
      <c r="BQ508" s="129">
        <f>IF(AY508=1,IFERROR(MID(Q508,FIND(" (",Q508)+2,FIND(")",Q508,FIND(" (",Q508))-FIND(" (",Q508)-2),"?"),"")</f>
      </c>
      <c r="BR508" s="129">
        <f>IF(BQ508="","",IF(COUNTIF($BQ$3:BQ508,BQ508)=1,MAX($BR$2:BR507)+1,""))</f>
      </c>
      <c r="BS508" s="129">
        <f>IF(AW508="","",COUNTIF($AW$3:AW508,"?*"))</f>
      </c>
      <c r="BT508" s="129">
        <f>IF(OR(AW508="",AI508=""),"",IF(COUNTIFS($AW$3:AW508,"?*",$AI$3:AI508,AI508)=1,MAX($BT$2:BT507)+1,""))</f>
      </c>
      <c r="BU508" s="129">
        <f>IF(AE508="",0,IF(OR(ISNUMBER(SEARCH("дубль",AE508)),ISNUMBER(SEARCH("ПЕРЕГРУЗ",AE508)),ISNUMBER(SEARCH("ЗАЩИЩ",AE508)),ISNUMBER(SEARCH("КАНАЛ",AE508)),ISNUMBER(SEARCH("без 30",AE508))),2,1))</f>
      </c>
      <c r="BV508" s="129">
        <f>IF(R508="","",COUNTIF($R$3:R508,"?*"))</f>
      </c>
      <c r="BW508" s="129">
        <f>IF(AY508&lt;&gt;1,0,IF(MAX(IFERROR(--VLOOKUP(R508,УГО_спр,5,FALSE),0),IFERROR(--VLOOKUP(AL508,УГО_спр,5,FALSE),0),IFERROR(--VLOOKUP(LEFT(AL508,2),УГО_спр,5,FALSE),0))&gt;0,MAX(IFERROR(--VLOOKUP(R508,УГО_спр,5,FALSE),0),IFERROR(--VLOOKUP(AL508,УГО_спр,5,FALSE),0),IFERROR(--VLOOKUP(LEFT(AL508,2),УГО_спр,5,FALSE),0)),IF(IFERROR(--LEFT(SUBSTITUTE(BQ508,"x","х"),FIND("х",SUBSTITUTE(BQ508,"x","х"))-1),3)&gt;3,Каталог!$S$9,1)))</f>
      </c>
      <c r="BX508" s="129">
        <f>IF(AY508&lt;&gt;1,0,MAX(0,IFERROR(--LEFT(SUBSTITUTE(BQ508,"x","х"),FIND("х",SUBSTITUTE(BQ508,"x","х"))-1),3)-3*BW508))</f>
      </c>
      <c r="BY508" s="129">
        <f>IF(R508="","",IFERROR(VLOOKUP(R508,УГО_спр,2,FALSE),IFERROR(VLOOKUP(AL508,УГО_спр,2,FALSE),IFERROR(VLOOKUP(LEFT(AL508,2),УГО_спр,2,FALSE),""))))</f>
      </c>
    </row>
    <row r="509" spans="1:64" x14ac:dyDescent="0.3">
      <c r="A509" s="135">
        <f>IF(Разбивка_по_щитам!F509=0,"",Разбивка_по_щитам!F509)</f>
        <v/>
      </c>
      <c r="B509" s="138">
        <f>IF(A509="","",Разбивка_по_щитам!C509)</f>
        <v/>
      </c>
      <c r="C509" s="138">
        <f t="shared" si="302"/>
        <v/>
      </c>
      <c r="D509" s="266"/>
      <c r="E509" s="266"/>
      <c r="F509" s="267"/>
      <c r="G509" s="145">
        <f t="shared" si="303"/>
        <v/>
      </c>
      <c r="H509" s="145">
        <f t="shared" si="304"/>
        <v/>
      </c>
      <c r="I509" s="266"/>
      <c r="J509" s="267"/>
      <c r="K509" s="267"/>
      <c r="L509" s="266"/>
      <c r="M509" s="147">
        <f t="shared" si="305"/>
        <v/>
      </c>
      <c r="N509" s="267"/>
      <c r="O509" s="147">
        <f t="shared" si="306"/>
        <v/>
      </c>
      <c r="P509" s="268">
        <f>IF(AY509=1,"XT"&amp;COUNTIFS($A$3:A509,A509,$AY$3:AY509,1),"")</f>
        <v/>
      </c>
      <c r="Q509" s="152">
        <f>IF(R509="","",IFERROR(SUBSTITUTE(Разбивка_по_щитам!P509,CHAR(10)," "),""))</f>
        <v/>
      </c>
      <c r="R509" s="153">
        <f>IF(OR(Разбивка_по_щитам!H509="",Разбивка_по_щитам!H509=0),"",Разбивка_по_щитам!H509)</f>
        <v/>
      </c>
      <c r="S509" s="154">
        <f>IF(R509="","",IFERROR(Разбивка_по_щитам!J509&amp;"",""))</f>
        <v/>
      </c>
      <c r="T509" s="155">
        <f>IF(R509="","",IFERROR(--Разбивка_по_щитам!L509,""))</f>
        <v/>
      </c>
      <c r="U509" s="155">
        <f>IF(R509="","",IFERROR(--Разбивка_по_щитам!K509,""))</f>
        <v/>
      </c>
      <c r="V509" s="138">
        <f>IF(R509="","",IFERROR(IF(Разбивка_по_щитам!M509=0,"",Разбивка_по_щитам!M509),""))</f>
        <v/>
      </c>
      <c r="W509" s="156">
        <f t="shared" si="307"/>
        <v/>
      </c>
      <c r="X509" s="157">
        <f t="shared" si="308"/>
        <v/>
      </c>
      <c r="Y509" s="266"/>
      <c r="Z509" s="158">
        <f t="shared" si="309"/>
        <v/>
      </c>
      <c r="AA509" s="160">
        <f t="shared" si="310"/>
        <v/>
      </c>
      <c r="AB509" s="160">
        <f>IF(R509="","",IFERROR(LOOKUP(INDEX(Справочная!$I$4:$I$19,MATCH(VLOOKUP(R509,Исходные_данные,22,FALSE),Справочная!$J$4:$J$19,0)+1),{6,10,16,20,25,32,40,50,63,80,100,125}),""))</f>
        <v/>
      </c>
      <c r="AC509" s="160">
        <f t="shared" si="311"/>
        <v/>
      </c>
      <c r="AD509" s="161">
        <f t="shared" si="312"/>
        <v/>
      </c>
      <c r="AE509" s="161">
        <f>IF(AND(R509="",G509=""),"",_xlfn.TEXTJOIN("; ",TRUE,IF(AND(R509&lt;&gt;"",V509=""),"нет фазы",""),IF(AND(R509&lt;&gt;"",N(T509)=0),"нет мощности",""),IF(AND(P509&lt;&gt;"",COUNTIFS($A$3:$A$1000,A509,$P$3:$P$1000,P509)&gt;1),"дубль клеммы "&amp;P509,""),IF(AND(W509&lt;&gt;"",W509&lt;&gt;"ok"),W509,""),IF(X509&lt;&gt;"",X509,""),IF(AND(ISNUMBER(SEARCH("(5х",Q509)),N(AK509)=1),"5 жил на 1 фазе",""),IF(AND(AL509="R",E509&lt;&gt;"",N(AS509)=0),"розетка без 30 мА",""),IF(IFERROR(_xlfn.NUMBERVALUE(MID(Q509,FIND("-",Q509,FIND("L=",Q509))+1,FIND("%",Q509)-FIND("-",Q509,FIND("L=",Q509))-1),","),0)&gt;4,"потери &gt; 4 %","")))</f>
      </c>
      <c r="AF509" s="129">
        <f>IF(E509&lt;&gt;"",COUNTIFS($A$3:A509,A509,$E$3:E509,"?*"),IF(OR(A509&lt;&gt;A508,Y509="вручную"),"",AF508))</f>
        <v/>
      </c>
      <c r="AG509" s="129">
        <f t="shared" si="313"/>
        <v/>
      </c>
      <c r="AH509" s="129">
        <f t="shared" si="314"/>
        <v/>
      </c>
      <c r="AI509" s="129">
        <f t="shared" si="315"/>
        <v/>
      </c>
      <c r="AJ509" s="129">
        <f t="shared" si="316"/>
        <v/>
      </c>
      <c r="AK509" s="129">
        <f t="shared" si="317"/>
        <v/>
      </c>
      <c r="AL509" s="129">
        <f t="shared" si="318"/>
        <v/>
      </c>
      <c r="AM509" s="129">
        <f t="shared" si="319"/>
      </c>
      <c r="AN509" s="129">
        <f t="shared" si="320"/>
      </c>
      <c r="AO509" s="129">
        <f t="shared" si="321"/>
        <v/>
      </c>
      <c r="AP509" s="129">
        <f t="shared" si="322"/>
        <v/>
      </c>
      <c r="AQ509" s="129">
        <f t="shared" si="323"/>
        <v/>
      </c>
      <c r="AR509" s="129">
        <f t="shared" si="324"/>
        <v/>
      </c>
      <c r="AS509" s="129">
        <f t="shared" si="325"/>
        <v/>
      </c>
      <c r="AT509" s="129">
        <f t="shared" si="326"/>
        <v/>
      </c>
      <c r="AU509" s="129">
        <f t="shared" si="327"/>
        <v/>
      </c>
      <c r="AV509" s="129">
        <f t="shared" si="328"/>
        <v/>
      </c>
      <c r="AW509" s="129">
        <f>IF(AV509="","",AV509&amp;"."&amp;COUNTIFS($A$3:A509,A509,$AV$3:AV509,AV509))</f>
        <v/>
      </c>
      <c r="AX509" s="129">
        <f t="shared" si="329"/>
        <v/>
      </c>
      <c r="AY509" s="129">
        <f>IF(N509="б/к",0,IF(OR(ISNUMBER(SEARCH("L=",Разбивка_по_щитам!P509)),N509="+",N509="="),1,0))</f>
      </c>
      <c r="AZ509" s="129">
        <f t="shared" si="330"/>
        <v/>
      </c>
      <c r="BA509" s="129">
        <f t="shared" si="331"/>
      </c>
      <c r="BB509" s="129">
        <f t="shared" si="332"/>
      </c>
      <c r="BD509" s="129">
        <f t="shared" si="333"/>
      </c>
      <c r="BE509" s="129">
        <f t="shared" si="334"/>
      </c>
      <c r="BF509" s="129">
        <f t="shared" si="335"/>
      </c>
      <c r="BG509" s="129">
        <f t="shared" si="336"/>
        <v/>
      </c>
      <c r="BH509" s="129">
        <f t="shared" si="337"/>
        <v/>
      </c>
      <c r="BI509" s="129">
        <f t="shared" si="338"/>
        <v/>
      </c>
      <c r="BJ509" s="129">
        <f t="shared" si="339"/>
        <v/>
      </c>
      <c r="BK509" s="129">
        <f>IF(R509="","",IF(OR(BY509="",BY509=0),"BOX",IFERROR(IF(VLOOKUP(BY509,УГО_блоки,3,FALSE)&amp;""&lt;&gt;"",VLOOKUP(BY509,УГО_блоки,3,FALSE),VLOOKUP(BY509,УГО_блоки,2,FALSE)),BY509)))</f>
      </c>
      <c r="BL509" s="129">
        <f t="shared" si="341"/>
      </c>
      <c r="BM509" s="129">
        <f>IF(H509="","",IF(COUNTIF($H$3:H509,H509)=1,MAX($BM$2:BM508)+1,""))</f>
      </c>
      <c r="BN509" s="129">
        <f>IF(I509="","",IF(COUNTIF($I$3:I509,I509)+COUNTIF($J$2:J508,I509)+COUNTIF($K$2:K508,I509)=1,MAX($BN$2:BP508)+1,""))</f>
      </c>
      <c r="BO509" s="129">
        <f>IF(J509="","",IF(COUNTIF($I$3:I509,J509)+COUNTIF($J$3:J509,J509)+COUNTIF($K$2:K508,J509)=1,MAX($BN$2:BP508,BN509)+1,""))</f>
      </c>
      <c r="BP509" s="129">
        <f>IF(K509="","",IF(COUNTIF($I$3:I509,K509)+COUNTIF($J$3:J509,K509)+COUNTIF($K$3:K509,K509)=1,MAX($BN$2:BP508,BN509,BO509)+1,""))</f>
      </c>
      <c r="BQ509" s="129">
        <f>IF(AY509=1,IFERROR(MID(Q509,FIND(" (",Q509)+2,FIND(")",Q509,FIND(" (",Q509))-FIND(" (",Q509)-2),"?"),"")</f>
      </c>
      <c r="BR509" s="129">
        <f>IF(BQ509="","",IF(COUNTIF($BQ$3:BQ509,BQ509)=1,MAX($BR$2:BR508)+1,""))</f>
      </c>
      <c r="BS509" s="129">
        <f>IF(AW509="","",COUNTIF($AW$3:AW509,"?*"))</f>
      </c>
      <c r="BT509" s="129">
        <f>IF(OR(AW509="",AI509=""),"",IF(COUNTIFS($AW$3:AW509,"?*",$AI$3:AI509,AI509)=1,MAX($BT$2:BT508)+1,""))</f>
      </c>
      <c r="BU509" s="129">
        <f>IF(AE509="",0,IF(OR(ISNUMBER(SEARCH("дубль",AE509)),ISNUMBER(SEARCH("ПЕРЕГРУЗ",AE509)),ISNUMBER(SEARCH("ЗАЩИЩ",AE509)),ISNUMBER(SEARCH("КАНАЛ",AE509)),ISNUMBER(SEARCH("без 30",AE509))),2,1))</f>
      </c>
      <c r="BV509" s="129">
        <f>IF(R509="","",COUNTIF($R$3:R509,"?*"))</f>
      </c>
      <c r="BW509" s="129">
        <f>IF(AY509&lt;&gt;1,0,IF(MAX(IFERROR(--VLOOKUP(R509,УГО_спр,5,FALSE),0),IFERROR(--VLOOKUP(AL509,УГО_спр,5,FALSE),0),IFERROR(--VLOOKUP(LEFT(AL509,2),УГО_спр,5,FALSE),0))&gt;0,MAX(IFERROR(--VLOOKUP(R509,УГО_спр,5,FALSE),0),IFERROR(--VLOOKUP(AL509,УГО_спр,5,FALSE),0),IFERROR(--VLOOKUP(LEFT(AL509,2),УГО_спр,5,FALSE),0)),IF(IFERROR(--LEFT(SUBSTITUTE(BQ509,"x","х"),FIND("х",SUBSTITUTE(BQ509,"x","х"))-1),3)&gt;3,Каталог!$S$9,1)))</f>
      </c>
      <c r="BX509" s="129">
        <f>IF(AY509&lt;&gt;1,0,MAX(0,IFERROR(--LEFT(SUBSTITUTE(BQ509,"x","х"),FIND("х",SUBSTITUTE(BQ509,"x","х"))-1),3)-3*BW509))</f>
      </c>
      <c r="BY509" s="129">
        <f>IF(R509="","",IFERROR(VLOOKUP(R509,УГО_спр,2,FALSE),IFERROR(VLOOKUP(AL509,УГО_спр,2,FALSE),IFERROR(VLOOKUP(LEFT(AL509,2),УГО_спр,2,FALSE),""))))</f>
      </c>
    </row>
    <row r="510" spans="1:64" x14ac:dyDescent="0.3">
      <c r="A510" s="135">
        <f>IF(Разбивка_по_щитам!F510=0,"",Разбивка_по_щитам!F510)</f>
        <v/>
      </c>
      <c r="B510" s="138">
        <f>IF(A510="","",Разбивка_по_щитам!C510)</f>
        <v/>
      </c>
      <c r="C510" s="138">
        <f t="shared" si="302"/>
        <v/>
      </c>
      <c r="D510" s="266"/>
      <c r="E510" s="266"/>
      <c r="F510" s="267"/>
      <c r="G510" s="145">
        <f t="shared" si="303"/>
        <v/>
      </c>
      <c r="H510" s="145">
        <f t="shared" si="304"/>
        <v/>
      </c>
      <c r="I510" s="266"/>
      <c r="J510" s="267"/>
      <c r="K510" s="267"/>
      <c r="L510" s="266"/>
      <c r="M510" s="147">
        <f t="shared" si="305"/>
        <v/>
      </c>
      <c r="N510" s="267"/>
      <c r="O510" s="147">
        <f t="shared" si="306"/>
        <v/>
      </c>
      <c r="P510" s="268">
        <f>IF(AY510=1,"XT"&amp;COUNTIFS($A$3:A510,A510,$AY$3:AY510,1),"")</f>
        <v/>
      </c>
      <c r="Q510" s="152">
        <f>IF(R510="","",IFERROR(SUBSTITUTE(Разбивка_по_щитам!P510,CHAR(10)," "),""))</f>
        <v/>
      </c>
      <c r="R510" s="153">
        <f>IF(OR(Разбивка_по_щитам!H510="",Разбивка_по_щитам!H510=0),"",Разбивка_по_щитам!H510)</f>
        <v/>
      </c>
      <c r="S510" s="154">
        <f>IF(R510="","",IFERROR(Разбивка_по_щитам!J510&amp;"",""))</f>
        <v/>
      </c>
      <c r="T510" s="155">
        <f>IF(R510="","",IFERROR(--Разбивка_по_щитам!L510,""))</f>
        <v/>
      </c>
      <c r="U510" s="155">
        <f>IF(R510="","",IFERROR(--Разбивка_по_щитам!K510,""))</f>
        <v/>
      </c>
      <c r="V510" s="138">
        <f>IF(R510="","",IFERROR(IF(Разбивка_по_щитам!M510=0,"",Разбивка_по_щитам!M510),""))</f>
        <v/>
      </c>
      <c r="W510" s="156">
        <f t="shared" si="307"/>
        <v/>
      </c>
      <c r="X510" s="157">
        <f t="shared" si="308"/>
        <v/>
      </c>
      <c r="Y510" s="266"/>
      <c r="Z510" s="158">
        <f t="shared" si="309"/>
        <v/>
      </c>
      <c r="AA510" s="160">
        <f t="shared" si="310"/>
        <v/>
      </c>
      <c r="AB510" s="160">
        <f>IF(R510="","",IFERROR(LOOKUP(INDEX(Справочная!$I$4:$I$19,MATCH(VLOOKUP(R510,Исходные_данные,22,FALSE),Справочная!$J$4:$J$19,0)+1),{6,10,16,20,25,32,40,50,63,80,100,125}),""))</f>
        <v/>
      </c>
      <c r="AC510" s="160">
        <f t="shared" si="311"/>
        <v/>
      </c>
      <c r="AD510" s="161">
        <f t="shared" si="312"/>
        <v/>
      </c>
      <c r="AE510" s="161">
        <f>IF(AND(R510="",G510=""),"",_xlfn.TEXTJOIN("; ",TRUE,IF(AND(R510&lt;&gt;"",V510=""),"нет фазы",""),IF(AND(R510&lt;&gt;"",N(T510)=0),"нет мощности",""),IF(AND(P510&lt;&gt;"",COUNTIFS($A$3:$A$1000,A510,$P$3:$P$1000,P510)&gt;1),"дубль клеммы "&amp;P510,""),IF(AND(W510&lt;&gt;"",W510&lt;&gt;"ok"),W510,""),IF(X510&lt;&gt;"",X510,""),IF(AND(ISNUMBER(SEARCH("(5х",Q510)),N(AK510)=1),"5 жил на 1 фазе",""),IF(AND(AL510="R",E510&lt;&gt;"",N(AS510)=0),"розетка без 30 мА",""),IF(IFERROR(_xlfn.NUMBERVALUE(MID(Q510,FIND("-",Q510,FIND("L=",Q510))+1,FIND("%",Q510)-FIND("-",Q510,FIND("L=",Q510))-1),","),0)&gt;4,"потери &gt; 4 %","")))</f>
      </c>
      <c r="AF510" s="129">
        <f>IF(E510&lt;&gt;"",COUNTIFS($A$3:A510,A510,$E$3:E510,"?*"),IF(OR(A510&lt;&gt;A509,Y510="вручную"),"",AF509))</f>
        <v/>
      </c>
      <c r="AG510" s="129">
        <f t="shared" si="313"/>
        <v/>
      </c>
      <c r="AH510" s="129">
        <f t="shared" si="314"/>
        <v/>
      </c>
      <c r="AI510" s="129">
        <f t="shared" si="315"/>
        <v/>
      </c>
      <c r="AJ510" s="129">
        <f t="shared" si="316"/>
        <v/>
      </c>
      <c r="AK510" s="129">
        <f t="shared" si="317"/>
        <v/>
      </c>
      <c r="AL510" s="129">
        <f t="shared" si="318"/>
        <v/>
      </c>
      <c r="AM510" s="129">
        <f t="shared" si="319"/>
      </c>
      <c r="AN510" s="129">
        <f t="shared" si="320"/>
      </c>
      <c r="AO510" s="129">
        <f t="shared" si="321"/>
        <v/>
      </c>
      <c r="AP510" s="129">
        <f t="shared" si="322"/>
        <v/>
      </c>
      <c r="AQ510" s="129">
        <f t="shared" si="323"/>
        <v/>
      </c>
      <c r="AR510" s="129">
        <f t="shared" si="324"/>
        <v/>
      </c>
      <c r="AS510" s="129">
        <f t="shared" si="325"/>
        <v/>
      </c>
      <c r="AT510" s="129">
        <f t="shared" si="326"/>
        <v/>
      </c>
      <c r="AU510" s="129">
        <f t="shared" si="327"/>
        <v/>
      </c>
      <c r="AV510" s="129">
        <f t="shared" si="328"/>
        <v/>
      </c>
      <c r="AW510" s="129">
        <f>IF(AV510="","",AV510&amp;"."&amp;COUNTIFS($A$3:A510,A510,$AV$3:AV510,AV510))</f>
        <v/>
      </c>
      <c r="AX510" s="129">
        <f t="shared" si="329"/>
        <v/>
      </c>
      <c r="AY510" s="129">
        <f>IF(N510="б/к",0,IF(OR(ISNUMBER(SEARCH("L=",Разбивка_по_щитам!P510)),N510="+",N510="="),1,0))</f>
      </c>
      <c r="AZ510" s="129">
        <f t="shared" si="330"/>
        <v/>
      </c>
      <c r="BA510" s="129">
        <f t="shared" si="331"/>
      </c>
      <c r="BB510" s="129">
        <f t="shared" si="332"/>
      </c>
      <c r="BD510" s="129">
        <f t="shared" si="333"/>
      </c>
      <c r="BE510" s="129">
        <f t="shared" si="334"/>
      </c>
      <c r="BF510" s="129">
        <f t="shared" si="335"/>
      </c>
      <c r="BG510" s="129">
        <f t="shared" si="336"/>
        <v/>
      </c>
      <c r="BH510" s="129">
        <f t="shared" si="337"/>
        <v/>
      </c>
      <c r="BI510" s="129">
        <f t="shared" si="338"/>
        <v/>
      </c>
      <c r="BJ510" s="129">
        <f t="shared" si="339"/>
        <v/>
      </c>
      <c r="BK510" s="129">
        <f>IF(R510="","",IF(OR(BY510="",BY510=0),"BOX",IFERROR(IF(VLOOKUP(BY510,УГО_блоки,3,FALSE)&amp;""&lt;&gt;"",VLOOKUP(BY510,УГО_блоки,3,FALSE),VLOOKUP(BY510,УГО_блоки,2,FALSE)),BY510)))</f>
      </c>
      <c r="BL510" s="129">
        <f t="shared" si="341"/>
      </c>
      <c r="BM510" s="129">
        <f>IF(H510="","",IF(COUNTIF($H$3:H510,H510)=1,MAX($BM$2:BM509)+1,""))</f>
      </c>
      <c r="BN510" s="129">
        <f>IF(I510="","",IF(COUNTIF($I$3:I510,I510)+COUNTIF($J$2:J509,I510)+COUNTIF($K$2:K509,I510)=1,MAX($BN$2:BP509)+1,""))</f>
      </c>
      <c r="BO510" s="129">
        <f>IF(J510="","",IF(COUNTIF($I$3:I510,J510)+COUNTIF($J$3:J510,J510)+COUNTIF($K$2:K509,J510)=1,MAX($BN$2:BP509,BN510)+1,""))</f>
      </c>
      <c r="BP510" s="129">
        <f>IF(K510="","",IF(COUNTIF($I$3:I510,K510)+COUNTIF($J$3:J510,K510)+COUNTIF($K$3:K510,K510)=1,MAX($BN$2:BP509,BN510,BO510)+1,""))</f>
      </c>
      <c r="BQ510" s="129">
        <f>IF(AY510=1,IFERROR(MID(Q510,FIND(" (",Q510)+2,FIND(")",Q510,FIND(" (",Q510))-FIND(" (",Q510)-2),"?"),"")</f>
      </c>
      <c r="BR510" s="129">
        <f>IF(BQ510="","",IF(COUNTIF($BQ$3:BQ510,BQ510)=1,MAX($BR$2:BR509)+1,""))</f>
      </c>
      <c r="BS510" s="129">
        <f>IF(AW510="","",COUNTIF($AW$3:AW510,"?*"))</f>
      </c>
      <c r="BT510" s="129">
        <f>IF(OR(AW510="",AI510=""),"",IF(COUNTIFS($AW$3:AW510,"?*",$AI$3:AI510,AI510)=1,MAX($BT$2:BT509)+1,""))</f>
      </c>
      <c r="BU510" s="129">
        <f>IF(AE510="",0,IF(OR(ISNUMBER(SEARCH("дубль",AE510)),ISNUMBER(SEARCH("ПЕРЕГРУЗ",AE510)),ISNUMBER(SEARCH("ЗАЩИЩ",AE510)),ISNUMBER(SEARCH("КАНАЛ",AE510)),ISNUMBER(SEARCH("без 30",AE510))),2,1))</f>
      </c>
      <c r="BV510" s="129">
        <f>IF(R510="","",COUNTIF($R$3:R510,"?*"))</f>
      </c>
      <c r="BW510" s="129">
        <f>IF(AY510&lt;&gt;1,0,IF(MAX(IFERROR(--VLOOKUP(R510,УГО_спр,5,FALSE),0),IFERROR(--VLOOKUP(AL510,УГО_спр,5,FALSE),0),IFERROR(--VLOOKUP(LEFT(AL510,2),УГО_спр,5,FALSE),0))&gt;0,MAX(IFERROR(--VLOOKUP(R510,УГО_спр,5,FALSE),0),IFERROR(--VLOOKUP(AL510,УГО_спр,5,FALSE),0),IFERROR(--VLOOKUP(LEFT(AL510,2),УГО_спр,5,FALSE),0)),IF(IFERROR(--LEFT(SUBSTITUTE(BQ510,"x","х"),FIND("х",SUBSTITUTE(BQ510,"x","х"))-1),3)&gt;3,Каталог!$S$9,1)))</f>
      </c>
      <c r="BX510" s="129">
        <f>IF(AY510&lt;&gt;1,0,MAX(0,IFERROR(--LEFT(SUBSTITUTE(BQ510,"x","х"),FIND("х",SUBSTITUTE(BQ510,"x","х"))-1),3)-3*BW510))</f>
      </c>
      <c r="BY510" s="129">
        <f>IF(R510="","",IFERROR(VLOOKUP(R510,УГО_спр,2,FALSE),IFERROR(VLOOKUP(AL510,УГО_спр,2,FALSE),IFERROR(VLOOKUP(LEFT(AL510,2),УГО_спр,2,FALSE),""))))</f>
      </c>
    </row>
    <row r="511" spans="1:64" x14ac:dyDescent="0.3">
      <c r="A511" s="135">
        <f>IF(Разбивка_по_щитам!F511=0,"",Разбивка_по_щитам!F511)</f>
        <v/>
      </c>
      <c r="B511" s="138">
        <f>IF(A511="","",Разбивка_по_щитам!C511)</f>
        <v/>
      </c>
      <c r="C511" s="138">
        <f t="shared" si="302"/>
        <v/>
      </c>
      <c r="D511" s="266"/>
      <c r="E511" s="266"/>
      <c r="F511" s="267"/>
      <c r="G511" s="145">
        <f t="shared" si="303"/>
        <v/>
      </c>
      <c r="H511" s="145">
        <f t="shared" si="304"/>
        <v/>
      </c>
      <c r="I511" s="266"/>
      <c r="J511" s="267"/>
      <c r="K511" s="267"/>
      <c r="L511" s="266"/>
      <c r="M511" s="147">
        <f t="shared" si="305"/>
        <v/>
      </c>
      <c r="N511" s="267"/>
      <c r="O511" s="147">
        <f t="shared" si="306"/>
        <v/>
      </c>
      <c r="P511" s="268">
        <f>IF(AY511=1,"XT"&amp;COUNTIFS($A$3:A511,A511,$AY$3:AY511,1),"")</f>
        <v/>
      </c>
      <c r="Q511" s="152">
        <f>IF(R511="","",IFERROR(SUBSTITUTE(Разбивка_по_щитам!P511,CHAR(10)," "),""))</f>
        <v/>
      </c>
      <c r="R511" s="153">
        <f>IF(OR(Разбивка_по_щитам!H511="",Разбивка_по_щитам!H511=0),"",Разбивка_по_щитам!H511)</f>
        <v/>
      </c>
      <c r="S511" s="154">
        <f>IF(R511="","",IFERROR(Разбивка_по_щитам!J511&amp;"",""))</f>
        <v/>
      </c>
      <c r="T511" s="155">
        <f>IF(R511="","",IFERROR(--Разбивка_по_щитам!L511,""))</f>
        <v/>
      </c>
      <c r="U511" s="155">
        <f>IF(R511="","",IFERROR(--Разбивка_по_щитам!K511,""))</f>
        <v/>
      </c>
      <c r="V511" s="138">
        <f>IF(R511="","",IFERROR(IF(Разбивка_по_щитам!M511=0,"",Разбивка_по_щитам!M511),""))</f>
        <v/>
      </c>
      <c r="W511" s="156">
        <f t="shared" si="307"/>
        <v/>
      </c>
      <c r="X511" s="157">
        <f t="shared" si="308"/>
        <v/>
      </c>
      <c r="Y511" s="266"/>
      <c r="Z511" s="158">
        <f t="shared" si="309"/>
        <v/>
      </c>
      <c r="AA511" s="160">
        <f t="shared" si="310"/>
        <v/>
      </c>
      <c r="AB511" s="160">
        <f>IF(R511="","",IFERROR(LOOKUP(INDEX(Справочная!$I$4:$I$19,MATCH(VLOOKUP(R511,Исходные_данные,22,FALSE),Справочная!$J$4:$J$19,0)+1),{6,10,16,20,25,32,40,50,63,80,100,125}),""))</f>
        <v/>
      </c>
      <c r="AC511" s="160">
        <f t="shared" si="311"/>
        <v/>
      </c>
      <c r="AD511" s="161">
        <f t="shared" si="312"/>
        <v/>
      </c>
      <c r="AE511" s="161">
        <f>IF(AND(R511="",G511=""),"",_xlfn.TEXTJOIN("; ",TRUE,IF(AND(R511&lt;&gt;"",V511=""),"нет фазы",""),IF(AND(R511&lt;&gt;"",N(T511)=0),"нет мощности",""),IF(AND(P511&lt;&gt;"",COUNTIFS($A$3:$A$1000,A511,$P$3:$P$1000,P511)&gt;1),"дубль клеммы "&amp;P511,""),IF(AND(W511&lt;&gt;"",W511&lt;&gt;"ok"),W511,""),IF(X511&lt;&gt;"",X511,""),IF(AND(ISNUMBER(SEARCH("(5х",Q511)),N(AK511)=1),"5 жил на 1 фазе",""),IF(AND(AL511="R",E511&lt;&gt;"",N(AS511)=0),"розетка без 30 мА",""),IF(IFERROR(_xlfn.NUMBERVALUE(MID(Q511,FIND("-",Q511,FIND("L=",Q511))+1,FIND("%",Q511)-FIND("-",Q511,FIND("L=",Q511))-1),","),0)&gt;4,"потери &gt; 4 %","")))</f>
      </c>
      <c r="AF511" s="129">
        <f>IF(E511&lt;&gt;"",COUNTIFS($A$3:A511,A511,$E$3:E511,"?*"),IF(OR(A511&lt;&gt;A510,Y511="вручную"),"",AF510))</f>
        <v/>
      </c>
      <c r="AG511" s="129">
        <f t="shared" si="313"/>
        <v/>
      </c>
      <c r="AH511" s="129">
        <f t="shared" si="314"/>
        <v/>
      </c>
      <c r="AI511" s="129">
        <f t="shared" si="315"/>
        <v/>
      </c>
      <c r="AJ511" s="129">
        <f t="shared" si="316"/>
        <v/>
      </c>
      <c r="AK511" s="129">
        <f t="shared" si="317"/>
        <v/>
      </c>
      <c r="AL511" s="129">
        <f t="shared" si="318"/>
        <v/>
      </c>
      <c r="AM511" s="129">
        <f t="shared" si="319"/>
      </c>
      <c r="AN511" s="129">
        <f t="shared" si="320"/>
      </c>
      <c r="AO511" s="129">
        <f t="shared" si="321"/>
        <v/>
      </c>
      <c r="AP511" s="129">
        <f t="shared" si="322"/>
        <v/>
      </c>
      <c r="AQ511" s="129">
        <f t="shared" si="323"/>
        <v/>
      </c>
      <c r="AR511" s="129">
        <f t="shared" si="324"/>
        <v/>
      </c>
      <c r="AS511" s="129">
        <f t="shared" si="325"/>
        <v/>
      </c>
      <c r="AT511" s="129">
        <f t="shared" si="326"/>
        <v/>
      </c>
      <c r="AU511" s="129">
        <f t="shared" si="327"/>
        <v/>
      </c>
      <c r="AV511" s="129">
        <f t="shared" si="328"/>
        <v/>
      </c>
      <c r="AW511" s="129">
        <f>IF(AV511="","",AV511&amp;"."&amp;COUNTIFS($A$3:A511,A511,$AV$3:AV511,AV511))</f>
        <v/>
      </c>
      <c r="AX511" s="129">
        <f t="shared" si="329"/>
        <v/>
      </c>
      <c r="AY511" s="129">
        <f>IF(N511="б/к",0,IF(OR(ISNUMBER(SEARCH("L=",Разбивка_по_щитам!P511)),N511="+",N511="="),1,0))</f>
      </c>
      <c r="AZ511" s="129">
        <f t="shared" si="330"/>
        <v/>
      </c>
      <c r="BA511" s="129">
        <f t="shared" si="331"/>
      </c>
      <c r="BB511" s="129">
        <f t="shared" si="332"/>
      </c>
      <c r="BD511" s="129">
        <f t="shared" si="333"/>
      </c>
      <c r="BE511" s="129">
        <f t="shared" si="334"/>
      </c>
      <c r="BF511" s="129">
        <f t="shared" si="335"/>
      </c>
      <c r="BG511" s="129">
        <f t="shared" si="336"/>
        <v/>
      </c>
      <c r="BH511" s="129">
        <f t="shared" si="337"/>
        <v/>
      </c>
      <c r="BI511" s="129">
        <f t="shared" si="338"/>
        <v/>
      </c>
      <c r="BJ511" s="129">
        <f t="shared" si="339"/>
        <v/>
      </c>
      <c r="BK511" s="129">
        <f>IF(R511="","",IF(OR(BY511="",BY511=0),"BOX",IFERROR(IF(VLOOKUP(BY511,УГО_блоки,3,FALSE)&amp;""&lt;&gt;"",VLOOKUP(BY511,УГО_блоки,3,FALSE),VLOOKUP(BY511,УГО_блоки,2,FALSE)),BY511)))</f>
      </c>
      <c r="BL511" s="129">
        <f t="shared" si="341"/>
      </c>
      <c r="BM511" s="129">
        <f>IF(H511="","",IF(COUNTIF($H$3:H511,H511)=1,MAX($BM$2:BM510)+1,""))</f>
      </c>
      <c r="BN511" s="129">
        <f>IF(I511="","",IF(COUNTIF($I$3:I511,I511)+COUNTIF($J$2:J510,I511)+COUNTIF($K$2:K510,I511)=1,MAX($BN$2:BP510)+1,""))</f>
      </c>
      <c r="BO511" s="129">
        <f>IF(J511="","",IF(COUNTIF($I$3:I511,J511)+COUNTIF($J$3:J511,J511)+COUNTIF($K$2:K510,J511)=1,MAX($BN$2:BP510,BN511)+1,""))</f>
      </c>
      <c r="BP511" s="129">
        <f>IF(K511="","",IF(COUNTIF($I$3:I511,K511)+COUNTIF($J$3:J511,K511)+COUNTIF($K$3:K511,K511)=1,MAX($BN$2:BP510,BN511,BO511)+1,""))</f>
      </c>
      <c r="BQ511" s="129">
        <f>IF(AY511=1,IFERROR(MID(Q511,FIND(" (",Q511)+2,FIND(")",Q511,FIND(" (",Q511))-FIND(" (",Q511)-2),"?"),"")</f>
      </c>
      <c r="BR511" s="129">
        <f>IF(BQ511="","",IF(COUNTIF($BQ$3:BQ511,BQ511)=1,MAX($BR$2:BR510)+1,""))</f>
      </c>
      <c r="BS511" s="129">
        <f>IF(AW511="","",COUNTIF($AW$3:AW511,"?*"))</f>
      </c>
      <c r="BT511" s="129">
        <f>IF(OR(AW511="",AI511=""),"",IF(COUNTIFS($AW$3:AW511,"?*",$AI$3:AI511,AI511)=1,MAX($BT$2:BT510)+1,""))</f>
      </c>
      <c r="BU511" s="129">
        <f>IF(AE511="",0,IF(OR(ISNUMBER(SEARCH("дубль",AE511)),ISNUMBER(SEARCH("ПЕРЕГРУЗ",AE511)),ISNUMBER(SEARCH("ЗАЩИЩ",AE511)),ISNUMBER(SEARCH("КАНАЛ",AE511)),ISNUMBER(SEARCH("без 30",AE511))),2,1))</f>
      </c>
      <c r="BV511" s="129">
        <f>IF(R511="","",COUNTIF($R$3:R511,"?*"))</f>
      </c>
      <c r="BW511" s="129">
        <f>IF(AY511&lt;&gt;1,0,IF(MAX(IFERROR(--VLOOKUP(R511,УГО_спр,5,FALSE),0),IFERROR(--VLOOKUP(AL511,УГО_спр,5,FALSE),0),IFERROR(--VLOOKUP(LEFT(AL511,2),УГО_спр,5,FALSE),0))&gt;0,MAX(IFERROR(--VLOOKUP(R511,УГО_спр,5,FALSE),0),IFERROR(--VLOOKUP(AL511,УГО_спр,5,FALSE),0),IFERROR(--VLOOKUP(LEFT(AL511,2),УГО_спр,5,FALSE),0)),IF(IFERROR(--LEFT(SUBSTITUTE(BQ511,"x","х"),FIND("х",SUBSTITUTE(BQ511,"x","х"))-1),3)&gt;3,Каталог!$S$9,1)))</f>
      </c>
      <c r="BX511" s="129">
        <f>IF(AY511&lt;&gt;1,0,MAX(0,IFERROR(--LEFT(SUBSTITUTE(BQ511,"x","х"),FIND("х",SUBSTITUTE(BQ511,"x","х"))-1),3)-3*BW511))</f>
      </c>
      <c r="BY511" s="129">
        <f>IF(R511="","",IFERROR(VLOOKUP(R511,УГО_спр,2,FALSE),IFERROR(VLOOKUP(AL511,УГО_спр,2,FALSE),IFERROR(VLOOKUP(LEFT(AL511,2),УГО_спр,2,FALSE),""))))</f>
      </c>
    </row>
    <row r="512" spans="1:64" x14ac:dyDescent="0.3">
      <c r="A512" s="135">
        <f>IF(Разбивка_по_щитам!F512=0,"",Разбивка_по_щитам!F512)</f>
        <v/>
      </c>
      <c r="B512" s="138">
        <f>IF(A512="","",Разбивка_по_щитам!C512)</f>
        <v/>
      </c>
      <c r="C512" s="138">
        <f t="shared" si="302"/>
        <v/>
      </c>
      <c r="D512" s="266"/>
      <c r="E512" s="266"/>
      <c r="F512" s="267"/>
      <c r="G512" s="145">
        <f t="shared" si="303"/>
        <v/>
      </c>
      <c r="H512" s="145">
        <f t="shared" si="304"/>
        <v/>
      </c>
      <c r="I512" s="266"/>
      <c r="J512" s="267"/>
      <c r="K512" s="267"/>
      <c r="L512" s="266"/>
      <c r="M512" s="147">
        <f t="shared" si="305"/>
        <v/>
      </c>
      <c r="N512" s="267"/>
      <c r="O512" s="147">
        <f t="shared" si="306"/>
        <v/>
      </c>
      <c r="P512" s="268">
        <f>IF(AY512=1,"XT"&amp;COUNTIFS($A$3:A512,A512,$AY$3:AY512,1),"")</f>
        <v/>
      </c>
      <c r="Q512" s="152">
        <f>IF(R512="","",IFERROR(SUBSTITUTE(Разбивка_по_щитам!P512,CHAR(10)," "),""))</f>
        <v/>
      </c>
      <c r="R512" s="153">
        <f>IF(OR(Разбивка_по_щитам!H512="",Разбивка_по_щитам!H512=0),"",Разбивка_по_щитам!H512)</f>
        <v/>
      </c>
      <c r="S512" s="154">
        <f>IF(R512="","",IFERROR(Разбивка_по_щитам!J512&amp;"",""))</f>
        <v/>
      </c>
      <c r="T512" s="155">
        <f>IF(R512="","",IFERROR(--Разбивка_по_щитам!L512,""))</f>
        <v/>
      </c>
      <c r="U512" s="155">
        <f>IF(R512="","",IFERROR(--Разбивка_по_щитам!K512,""))</f>
        <v/>
      </c>
      <c r="V512" s="138">
        <f>IF(R512="","",IFERROR(IF(Разбивка_по_щитам!M512=0,"",Разбивка_по_щитам!M512),""))</f>
        <v/>
      </c>
      <c r="W512" s="156">
        <f t="shared" si="307"/>
        <v/>
      </c>
      <c r="X512" s="157">
        <f t="shared" si="308"/>
        <v/>
      </c>
      <c r="Y512" s="266"/>
      <c r="Z512" s="158">
        <f t="shared" si="309"/>
        <v/>
      </c>
      <c r="AA512" s="160">
        <f t="shared" si="310"/>
        <v/>
      </c>
      <c r="AB512" s="160">
        <f>IF(R512="","",IFERROR(LOOKUP(INDEX(Справочная!$I$4:$I$19,MATCH(VLOOKUP(R512,Исходные_данные,22,FALSE),Справочная!$J$4:$J$19,0)+1),{6,10,16,20,25,32,40,50,63,80,100,125}),""))</f>
        <v/>
      </c>
      <c r="AC512" s="160">
        <f t="shared" si="311"/>
        <v/>
      </c>
      <c r="AD512" s="161">
        <f t="shared" si="312"/>
        <v/>
      </c>
      <c r="AE512" s="161">
        <f>IF(AND(R512="",G512=""),"",_xlfn.TEXTJOIN("; ",TRUE,IF(AND(R512&lt;&gt;"",V512=""),"нет фазы",""),IF(AND(R512&lt;&gt;"",N(T512)=0),"нет мощности",""),IF(AND(P512&lt;&gt;"",COUNTIFS($A$3:$A$1000,A512,$P$3:$P$1000,P512)&gt;1),"дубль клеммы "&amp;P512,""),IF(AND(W512&lt;&gt;"",W512&lt;&gt;"ok"),W512,""),IF(X512&lt;&gt;"",X512,""),IF(AND(ISNUMBER(SEARCH("(5х",Q512)),N(AK512)=1),"5 жил на 1 фазе",""),IF(AND(AL512="R",E512&lt;&gt;"",N(AS512)=0),"розетка без 30 мА",""),IF(IFERROR(_xlfn.NUMBERVALUE(MID(Q512,FIND("-",Q512,FIND("L=",Q512))+1,FIND("%",Q512)-FIND("-",Q512,FIND("L=",Q512))-1),","),0)&gt;4,"потери &gt; 4 %","")))</f>
      </c>
      <c r="AF512" s="129">
        <f>IF(E512&lt;&gt;"",COUNTIFS($A$3:A512,A512,$E$3:E512,"?*"),IF(OR(A512&lt;&gt;A511,Y512="вручную"),"",AF511))</f>
        <v/>
      </c>
      <c r="AG512" s="129">
        <f t="shared" si="313"/>
        <v/>
      </c>
      <c r="AH512" s="129">
        <f t="shared" si="314"/>
        <v/>
      </c>
      <c r="AI512" s="129">
        <f t="shared" si="315"/>
        <v/>
      </c>
      <c r="AJ512" s="129">
        <f t="shared" si="316"/>
        <v/>
      </c>
      <c r="AK512" s="129">
        <f t="shared" si="317"/>
        <v/>
      </c>
      <c r="AL512" s="129">
        <f t="shared" si="318"/>
        <v/>
      </c>
      <c r="AM512" s="129">
        <f t="shared" si="319"/>
      </c>
      <c r="AN512" s="129">
        <f t="shared" si="320"/>
      </c>
      <c r="AO512" s="129">
        <f t="shared" si="321"/>
        <v/>
      </c>
      <c r="AP512" s="129">
        <f t="shared" si="322"/>
        <v/>
      </c>
      <c r="AQ512" s="129">
        <f t="shared" si="323"/>
        <v/>
      </c>
      <c r="AR512" s="129">
        <f t="shared" si="324"/>
        <v/>
      </c>
      <c r="AS512" s="129">
        <f t="shared" si="325"/>
        <v/>
      </c>
      <c r="AT512" s="129">
        <f t="shared" si="326"/>
        <v/>
      </c>
      <c r="AU512" s="129">
        <f t="shared" si="327"/>
        <v/>
      </c>
      <c r="AV512" s="129">
        <f t="shared" si="328"/>
        <v/>
      </c>
      <c r="AW512" s="129">
        <f>IF(AV512="","",AV512&amp;"."&amp;COUNTIFS($A$3:A512,A512,$AV$3:AV512,AV512))</f>
        <v/>
      </c>
      <c r="AX512" s="129">
        <f t="shared" si="329"/>
        <v/>
      </c>
      <c r="AY512" s="129">
        <f>IF(N512="б/к",0,IF(OR(ISNUMBER(SEARCH("L=",Разбивка_по_щитам!P512)),N512="+",N512="="),1,0))</f>
      </c>
      <c r="AZ512" s="129">
        <f t="shared" si="330"/>
        <v/>
      </c>
      <c r="BA512" s="129">
        <f t="shared" si="331"/>
      </c>
      <c r="BB512" s="129">
        <f t="shared" si="332"/>
      </c>
      <c r="BD512" s="129">
        <f t="shared" si="333"/>
      </c>
      <c r="BE512" s="129">
        <f t="shared" si="334"/>
      </c>
      <c r="BF512" s="129">
        <f t="shared" si="335"/>
      </c>
      <c r="BG512" s="129">
        <f t="shared" si="336"/>
        <v/>
      </c>
      <c r="BH512" s="129">
        <f t="shared" si="337"/>
        <v/>
      </c>
      <c r="BI512" s="129">
        <f t="shared" si="338"/>
        <v/>
      </c>
      <c r="BJ512" s="129">
        <f t="shared" si="339"/>
        <v/>
      </c>
      <c r="BK512" s="129">
        <f>IF(R512="","",IF(OR(BY512="",BY512=0),"BOX",IFERROR(IF(VLOOKUP(BY512,УГО_блоки,3,FALSE)&amp;""&lt;&gt;"",VLOOKUP(BY512,УГО_блоки,3,FALSE),VLOOKUP(BY512,УГО_блоки,2,FALSE)),BY512)))</f>
      </c>
      <c r="BL512" s="129">
        <f t="shared" si="341"/>
      </c>
      <c r="BM512" s="129">
        <f>IF(H512="","",IF(COUNTIF($H$3:H512,H512)=1,MAX($BM$2:BM511)+1,""))</f>
      </c>
      <c r="BN512" s="129">
        <f>IF(I512="","",IF(COUNTIF($I$3:I512,I512)+COUNTIF($J$2:J511,I512)+COUNTIF($K$2:K511,I512)=1,MAX($BN$2:BP511)+1,""))</f>
      </c>
      <c r="BO512" s="129">
        <f>IF(J512="","",IF(COUNTIF($I$3:I512,J512)+COUNTIF($J$3:J512,J512)+COUNTIF($K$2:K511,J512)=1,MAX($BN$2:BP511,BN512)+1,""))</f>
      </c>
      <c r="BP512" s="129">
        <f>IF(K512="","",IF(COUNTIF($I$3:I512,K512)+COUNTIF($J$3:J512,K512)+COUNTIF($K$3:K512,K512)=1,MAX($BN$2:BP511,BN512,BO512)+1,""))</f>
      </c>
      <c r="BQ512" s="129">
        <f>IF(AY512=1,IFERROR(MID(Q512,FIND(" (",Q512)+2,FIND(")",Q512,FIND(" (",Q512))-FIND(" (",Q512)-2),"?"),"")</f>
      </c>
      <c r="BR512" s="129">
        <f>IF(BQ512="","",IF(COUNTIF($BQ$3:BQ512,BQ512)=1,MAX($BR$2:BR511)+1,""))</f>
      </c>
      <c r="BS512" s="129">
        <f>IF(AW512="","",COUNTIF($AW$3:AW512,"?*"))</f>
      </c>
      <c r="BT512" s="129">
        <f>IF(OR(AW512="",AI512=""),"",IF(COUNTIFS($AW$3:AW512,"?*",$AI$3:AI512,AI512)=1,MAX($BT$2:BT511)+1,""))</f>
      </c>
      <c r="BU512" s="129">
        <f>IF(AE512="",0,IF(OR(ISNUMBER(SEARCH("дубль",AE512)),ISNUMBER(SEARCH("ПЕРЕГРУЗ",AE512)),ISNUMBER(SEARCH("ЗАЩИЩ",AE512)),ISNUMBER(SEARCH("КАНАЛ",AE512)),ISNUMBER(SEARCH("без 30",AE512))),2,1))</f>
      </c>
      <c r="BV512" s="129">
        <f>IF(R512="","",COUNTIF($R$3:R512,"?*"))</f>
      </c>
      <c r="BW512" s="129">
        <f>IF(AY512&lt;&gt;1,0,IF(MAX(IFERROR(--VLOOKUP(R512,УГО_спр,5,FALSE),0),IFERROR(--VLOOKUP(AL512,УГО_спр,5,FALSE),0),IFERROR(--VLOOKUP(LEFT(AL512,2),УГО_спр,5,FALSE),0))&gt;0,MAX(IFERROR(--VLOOKUP(R512,УГО_спр,5,FALSE),0),IFERROR(--VLOOKUP(AL512,УГО_спр,5,FALSE),0),IFERROR(--VLOOKUP(LEFT(AL512,2),УГО_спр,5,FALSE),0)),IF(IFERROR(--LEFT(SUBSTITUTE(BQ512,"x","х"),FIND("х",SUBSTITUTE(BQ512,"x","х"))-1),3)&gt;3,Каталог!$S$9,1)))</f>
      </c>
      <c r="BX512" s="129">
        <f>IF(AY512&lt;&gt;1,0,MAX(0,IFERROR(--LEFT(SUBSTITUTE(BQ512,"x","х"),FIND("х",SUBSTITUTE(BQ512,"x","х"))-1),3)-3*BW512))</f>
      </c>
      <c r="BY512" s="129">
        <f>IF(R512="","",IFERROR(VLOOKUP(R512,УГО_спр,2,FALSE),IFERROR(VLOOKUP(AL512,УГО_спр,2,FALSE),IFERROR(VLOOKUP(LEFT(AL512,2),УГО_спр,2,FALSE),""))))</f>
      </c>
    </row>
    <row r="513" spans="1:64" x14ac:dyDescent="0.3">
      <c r="A513" s="135">
        <f>IF(Разбивка_по_щитам!F513=0,"",Разбивка_по_щитам!F513)</f>
        <v/>
      </c>
      <c r="B513" s="138">
        <f>IF(A513="","",Разбивка_по_щитам!C513)</f>
        <v/>
      </c>
      <c r="C513" s="138">
        <f t="shared" si="302"/>
        <v/>
      </c>
      <c r="D513" s="266"/>
      <c r="E513" s="266"/>
      <c r="F513" s="267"/>
      <c r="G513" s="145">
        <f t="shared" si="303"/>
        <v/>
      </c>
      <c r="H513" s="145">
        <f t="shared" si="304"/>
        <v/>
      </c>
      <c r="I513" s="266"/>
      <c r="J513" s="267"/>
      <c r="K513" s="267"/>
      <c r="L513" s="266"/>
      <c r="M513" s="147">
        <f t="shared" si="305"/>
        <v/>
      </c>
      <c r="N513" s="267"/>
      <c r="O513" s="147">
        <f t="shared" si="306"/>
        <v/>
      </c>
      <c r="P513" s="268">
        <f>IF(AY513=1,"XT"&amp;COUNTIFS($A$3:A513,A513,$AY$3:AY513,1),"")</f>
        <v/>
      </c>
      <c r="Q513" s="152">
        <f>IF(R513="","",IFERROR(SUBSTITUTE(Разбивка_по_щитам!P513,CHAR(10)," "),""))</f>
        <v/>
      </c>
      <c r="R513" s="153">
        <f>IF(OR(Разбивка_по_щитам!H513="",Разбивка_по_щитам!H513=0),"",Разбивка_по_щитам!H513)</f>
        <v/>
      </c>
      <c r="S513" s="154">
        <f>IF(R513="","",IFERROR(Разбивка_по_щитам!J513&amp;"",""))</f>
        <v/>
      </c>
      <c r="T513" s="155">
        <f>IF(R513="","",IFERROR(--Разбивка_по_щитам!L513,""))</f>
        <v/>
      </c>
      <c r="U513" s="155">
        <f>IF(R513="","",IFERROR(--Разбивка_по_щитам!K513,""))</f>
        <v/>
      </c>
      <c r="V513" s="138">
        <f>IF(R513="","",IFERROR(IF(Разбивка_по_щитам!M513=0,"",Разбивка_по_щитам!M513),""))</f>
        <v/>
      </c>
      <c r="W513" s="156">
        <f t="shared" si="307"/>
        <v/>
      </c>
      <c r="X513" s="157">
        <f t="shared" si="308"/>
        <v/>
      </c>
      <c r="Y513" s="266"/>
      <c r="Z513" s="158">
        <f t="shared" si="309"/>
        <v/>
      </c>
      <c r="AA513" s="160">
        <f t="shared" si="310"/>
        <v/>
      </c>
      <c r="AB513" s="160">
        <f>IF(R513="","",IFERROR(LOOKUP(INDEX(Справочная!$I$4:$I$19,MATCH(VLOOKUP(R513,Исходные_данные,22,FALSE),Справочная!$J$4:$J$19,0)+1),{6,10,16,20,25,32,40,50,63,80,100,125}),""))</f>
        <v/>
      </c>
      <c r="AC513" s="160">
        <f t="shared" si="311"/>
        <v/>
      </c>
      <c r="AD513" s="161">
        <f t="shared" si="312"/>
        <v/>
      </c>
      <c r="AE513" s="161">
        <f>IF(AND(R513="",G513=""),"",_xlfn.TEXTJOIN("; ",TRUE,IF(AND(R513&lt;&gt;"",V513=""),"нет фазы",""),IF(AND(R513&lt;&gt;"",N(T513)=0),"нет мощности",""),IF(AND(P513&lt;&gt;"",COUNTIFS($A$3:$A$1000,A513,$P$3:$P$1000,P513)&gt;1),"дубль клеммы "&amp;P513,""),IF(AND(W513&lt;&gt;"",W513&lt;&gt;"ok"),W513,""),IF(X513&lt;&gt;"",X513,""),IF(AND(ISNUMBER(SEARCH("(5х",Q513)),N(AK513)=1),"5 жил на 1 фазе",""),IF(AND(AL513="R",E513&lt;&gt;"",N(AS513)=0),"розетка без 30 мА",""),IF(IFERROR(_xlfn.NUMBERVALUE(MID(Q513,FIND("-",Q513,FIND("L=",Q513))+1,FIND("%",Q513)-FIND("-",Q513,FIND("L=",Q513))-1),","),0)&gt;4,"потери &gt; 4 %","")))</f>
      </c>
      <c r="AF513" s="129">
        <f>IF(E513&lt;&gt;"",COUNTIFS($A$3:A513,A513,$E$3:E513,"?*"),IF(OR(A513&lt;&gt;A512,Y513="вручную"),"",AF512))</f>
        <v/>
      </c>
      <c r="AG513" s="129">
        <f t="shared" si="313"/>
        <v/>
      </c>
      <c r="AH513" s="129">
        <f t="shared" si="314"/>
        <v/>
      </c>
      <c r="AI513" s="129">
        <f t="shared" si="315"/>
        <v/>
      </c>
      <c r="AJ513" s="129">
        <f t="shared" si="316"/>
        <v/>
      </c>
      <c r="AK513" s="129">
        <f t="shared" si="317"/>
        <v/>
      </c>
      <c r="AL513" s="129">
        <f t="shared" si="318"/>
        <v/>
      </c>
      <c r="AM513" s="129">
        <f t="shared" si="319"/>
      </c>
      <c r="AN513" s="129">
        <f t="shared" si="320"/>
      </c>
      <c r="AO513" s="129">
        <f t="shared" si="321"/>
        <v/>
      </c>
      <c r="AP513" s="129">
        <f t="shared" si="322"/>
        <v/>
      </c>
      <c r="AQ513" s="129">
        <f t="shared" si="323"/>
        <v/>
      </c>
      <c r="AR513" s="129">
        <f t="shared" si="324"/>
        <v/>
      </c>
      <c r="AS513" s="129">
        <f t="shared" si="325"/>
        <v/>
      </c>
      <c r="AT513" s="129">
        <f t="shared" si="326"/>
        <v/>
      </c>
      <c r="AU513" s="129">
        <f t="shared" si="327"/>
        <v/>
      </c>
      <c r="AV513" s="129">
        <f t="shared" si="328"/>
        <v/>
      </c>
      <c r="AW513" s="129">
        <f>IF(AV513="","",AV513&amp;"."&amp;COUNTIFS($A$3:A513,A513,$AV$3:AV513,AV513))</f>
        <v/>
      </c>
      <c r="AX513" s="129">
        <f t="shared" si="329"/>
        <v/>
      </c>
      <c r="AY513" s="129">
        <f>IF(N513="б/к",0,IF(OR(ISNUMBER(SEARCH("L=",Разбивка_по_щитам!P513)),N513="+",N513="="),1,0))</f>
      </c>
      <c r="AZ513" s="129">
        <f t="shared" si="330"/>
        <v/>
      </c>
      <c r="BA513" s="129">
        <f t="shared" si="331"/>
      </c>
      <c r="BB513" s="129">
        <f t="shared" si="332"/>
      </c>
      <c r="BD513" s="129">
        <f t="shared" si="333"/>
      </c>
      <c r="BE513" s="129">
        <f t="shared" si="334"/>
      </c>
      <c r="BF513" s="129">
        <f t="shared" si="335"/>
      </c>
      <c r="BG513" s="129">
        <f t="shared" si="336"/>
        <v/>
      </c>
      <c r="BH513" s="129">
        <f t="shared" si="337"/>
        <v/>
      </c>
      <c r="BI513" s="129">
        <f t="shared" si="338"/>
        <v/>
      </c>
      <c r="BJ513" s="129">
        <f t="shared" si="339"/>
        <v/>
      </c>
      <c r="BK513" s="129">
        <f>IF(R513="","",IF(OR(BY513="",BY513=0),"BOX",IFERROR(IF(VLOOKUP(BY513,УГО_блоки,3,FALSE)&amp;""&lt;&gt;"",VLOOKUP(BY513,УГО_блоки,3,FALSE),VLOOKUP(BY513,УГО_блоки,2,FALSE)),BY513)))</f>
      </c>
      <c r="BL513" s="129">
        <f t="shared" si="341"/>
      </c>
      <c r="BM513" s="129">
        <f>IF(H513="","",IF(COUNTIF($H$3:H513,H513)=1,MAX($BM$2:BM512)+1,""))</f>
      </c>
      <c r="BN513" s="129">
        <f>IF(I513="","",IF(COUNTIF($I$3:I513,I513)+COUNTIF($J$2:J512,I513)+COUNTIF($K$2:K512,I513)=1,MAX($BN$2:BP512)+1,""))</f>
      </c>
      <c r="BO513" s="129">
        <f>IF(J513="","",IF(COUNTIF($I$3:I513,J513)+COUNTIF($J$3:J513,J513)+COUNTIF($K$2:K512,J513)=1,MAX($BN$2:BP512,BN513)+1,""))</f>
      </c>
      <c r="BP513" s="129">
        <f>IF(K513="","",IF(COUNTIF($I$3:I513,K513)+COUNTIF($J$3:J513,K513)+COUNTIF($K$3:K513,K513)=1,MAX($BN$2:BP512,BN513,BO513)+1,""))</f>
      </c>
      <c r="BQ513" s="129">
        <f>IF(AY513=1,IFERROR(MID(Q513,FIND(" (",Q513)+2,FIND(")",Q513,FIND(" (",Q513))-FIND(" (",Q513)-2),"?"),"")</f>
      </c>
      <c r="BR513" s="129">
        <f>IF(BQ513="","",IF(COUNTIF($BQ$3:BQ513,BQ513)=1,MAX($BR$2:BR512)+1,""))</f>
      </c>
      <c r="BS513" s="129">
        <f>IF(AW513="","",COUNTIF($AW$3:AW513,"?*"))</f>
      </c>
      <c r="BT513" s="129">
        <f>IF(OR(AW513="",AI513=""),"",IF(COUNTIFS($AW$3:AW513,"?*",$AI$3:AI513,AI513)=1,MAX($BT$2:BT512)+1,""))</f>
      </c>
      <c r="BU513" s="129">
        <f>IF(AE513="",0,IF(OR(ISNUMBER(SEARCH("дубль",AE513)),ISNUMBER(SEARCH("ПЕРЕГРУЗ",AE513)),ISNUMBER(SEARCH("ЗАЩИЩ",AE513)),ISNUMBER(SEARCH("КАНАЛ",AE513)),ISNUMBER(SEARCH("без 30",AE513))),2,1))</f>
      </c>
      <c r="BV513" s="129">
        <f>IF(R513="","",COUNTIF($R$3:R513,"?*"))</f>
      </c>
      <c r="BW513" s="129">
        <f>IF(AY513&lt;&gt;1,0,IF(MAX(IFERROR(--VLOOKUP(R513,УГО_спр,5,FALSE),0),IFERROR(--VLOOKUP(AL513,УГО_спр,5,FALSE),0),IFERROR(--VLOOKUP(LEFT(AL513,2),УГО_спр,5,FALSE),0))&gt;0,MAX(IFERROR(--VLOOKUP(R513,УГО_спр,5,FALSE),0),IFERROR(--VLOOKUP(AL513,УГО_спр,5,FALSE),0),IFERROR(--VLOOKUP(LEFT(AL513,2),УГО_спр,5,FALSE),0)),IF(IFERROR(--LEFT(SUBSTITUTE(BQ513,"x","х"),FIND("х",SUBSTITUTE(BQ513,"x","х"))-1),3)&gt;3,Каталог!$S$9,1)))</f>
      </c>
      <c r="BX513" s="129">
        <f>IF(AY513&lt;&gt;1,0,MAX(0,IFERROR(--LEFT(SUBSTITUTE(BQ513,"x","х"),FIND("х",SUBSTITUTE(BQ513,"x","х"))-1),3)-3*BW513))</f>
      </c>
      <c r="BY513" s="129">
        <f>IF(R513="","",IFERROR(VLOOKUP(R513,УГО_спр,2,FALSE),IFERROR(VLOOKUP(AL513,УГО_спр,2,FALSE),IFERROR(VLOOKUP(LEFT(AL513,2),УГО_спр,2,FALSE),""))))</f>
      </c>
    </row>
    <row r="514" spans="1:64" x14ac:dyDescent="0.3">
      <c r="A514" s="135">
        <f>IF(Разбивка_по_щитам!F514=0,"",Разбивка_по_щитам!F514)</f>
        <v/>
      </c>
      <c r="B514" s="138">
        <f>IF(A514="","",Разбивка_по_щитам!C514)</f>
        <v/>
      </c>
      <c r="C514" s="138">
        <f t="shared" si="302"/>
        <v/>
      </c>
      <c r="D514" s="266"/>
      <c r="E514" s="266"/>
      <c r="F514" s="267"/>
      <c r="G514" s="145">
        <f t="shared" si="303"/>
        <v/>
      </c>
      <c r="H514" s="145">
        <f t="shared" si="304"/>
        <v/>
      </c>
      <c r="I514" s="266"/>
      <c r="J514" s="267"/>
      <c r="K514" s="267"/>
      <c r="L514" s="266"/>
      <c r="M514" s="147">
        <f t="shared" si="305"/>
        <v/>
      </c>
      <c r="N514" s="267"/>
      <c r="O514" s="147">
        <f t="shared" si="306"/>
        <v/>
      </c>
      <c r="P514" s="268">
        <f>IF(AY514=1,"XT"&amp;COUNTIFS($A$3:A514,A514,$AY$3:AY514,1),"")</f>
        <v/>
      </c>
      <c r="Q514" s="152">
        <f>IF(R514="","",IFERROR(SUBSTITUTE(Разбивка_по_щитам!P514,CHAR(10)," "),""))</f>
        <v/>
      </c>
      <c r="R514" s="153">
        <f>IF(OR(Разбивка_по_щитам!H514="",Разбивка_по_щитам!H514=0),"",Разбивка_по_щитам!H514)</f>
        <v/>
      </c>
      <c r="S514" s="154">
        <f>IF(R514="","",IFERROR(Разбивка_по_щитам!J514&amp;"",""))</f>
        <v/>
      </c>
      <c r="T514" s="155">
        <f>IF(R514="","",IFERROR(--Разбивка_по_щитам!L514,""))</f>
        <v/>
      </c>
      <c r="U514" s="155">
        <f>IF(R514="","",IFERROR(--Разбивка_по_щитам!K514,""))</f>
        <v/>
      </c>
      <c r="V514" s="138">
        <f>IF(R514="","",IFERROR(IF(Разбивка_по_щитам!M514=0,"",Разбивка_по_щитам!M514),""))</f>
        <v/>
      </c>
      <c r="W514" s="156">
        <f t="shared" si="307"/>
        <v/>
      </c>
      <c r="X514" s="157">
        <f t="shared" si="308"/>
        <v/>
      </c>
      <c r="Y514" s="266"/>
      <c r="Z514" s="158">
        <f t="shared" si="309"/>
        <v/>
      </c>
      <c r="AA514" s="160">
        <f t="shared" si="310"/>
        <v/>
      </c>
      <c r="AB514" s="160">
        <f>IF(R514="","",IFERROR(LOOKUP(INDEX(Справочная!$I$4:$I$19,MATCH(VLOOKUP(R514,Исходные_данные,22,FALSE),Справочная!$J$4:$J$19,0)+1),{6,10,16,20,25,32,40,50,63,80,100,125}),""))</f>
        <v/>
      </c>
      <c r="AC514" s="160">
        <f t="shared" si="311"/>
        <v/>
      </c>
      <c r="AD514" s="161">
        <f t="shared" si="312"/>
        <v/>
      </c>
      <c r="AE514" s="161">
        <f>IF(AND(R514="",G514=""),"",_xlfn.TEXTJOIN("; ",TRUE,IF(AND(R514&lt;&gt;"",V514=""),"нет фазы",""),IF(AND(R514&lt;&gt;"",N(T514)=0),"нет мощности",""),IF(AND(P514&lt;&gt;"",COUNTIFS($A$3:$A$1000,A514,$P$3:$P$1000,P514)&gt;1),"дубль клеммы "&amp;P514,""),IF(AND(W514&lt;&gt;"",W514&lt;&gt;"ok"),W514,""),IF(X514&lt;&gt;"",X514,""),IF(AND(ISNUMBER(SEARCH("(5х",Q514)),N(AK514)=1),"5 жил на 1 фазе",""),IF(AND(AL514="R",E514&lt;&gt;"",N(AS514)=0),"розетка без 30 мА",""),IF(IFERROR(_xlfn.NUMBERVALUE(MID(Q514,FIND("-",Q514,FIND("L=",Q514))+1,FIND("%",Q514)-FIND("-",Q514,FIND("L=",Q514))-1),","),0)&gt;4,"потери &gt; 4 %","")))</f>
      </c>
      <c r="AF514" s="129">
        <f>IF(E514&lt;&gt;"",COUNTIFS($A$3:A514,A514,$E$3:E514,"?*"),IF(OR(A514&lt;&gt;A513,Y514="вручную"),"",AF513))</f>
        <v/>
      </c>
      <c r="AG514" s="129">
        <f t="shared" si="313"/>
        <v/>
      </c>
      <c r="AH514" s="129">
        <f t="shared" si="314"/>
        <v/>
      </c>
      <c r="AI514" s="129">
        <f t="shared" si="315"/>
        <v/>
      </c>
      <c r="AJ514" s="129">
        <f t="shared" si="316"/>
        <v/>
      </c>
      <c r="AK514" s="129">
        <f t="shared" si="317"/>
        <v/>
      </c>
      <c r="AL514" s="129">
        <f t="shared" si="318"/>
        <v/>
      </c>
      <c r="AM514" s="129">
        <f t="shared" si="319"/>
      </c>
      <c r="AN514" s="129">
        <f t="shared" si="320"/>
      </c>
      <c r="AO514" s="129">
        <f t="shared" si="321"/>
        <v/>
      </c>
      <c r="AP514" s="129">
        <f t="shared" si="322"/>
        <v/>
      </c>
      <c r="AQ514" s="129">
        <f t="shared" si="323"/>
        <v/>
      </c>
      <c r="AR514" s="129">
        <f t="shared" si="324"/>
        <v/>
      </c>
      <c r="AS514" s="129">
        <f t="shared" si="325"/>
        <v/>
      </c>
      <c r="AT514" s="129">
        <f t="shared" si="326"/>
        <v/>
      </c>
      <c r="AU514" s="129">
        <f t="shared" si="327"/>
        <v/>
      </c>
      <c r="AV514" s="129">
        <f t="shared" si="328"/>
        <v/>
      </c>
      <c r="AW514" s="129">
        <f>IF(AV514="","",AV514&amp;"."&amp;COUNTIFS($A$3:A514,A514,$AV$3:AV514,AV514))</f>
        <v/>
      </c>
      <c r="AX514" s="129">
        <f t="shared" si="329"/>
        <v/>
      </c>
      <c r="AY514" s="129">
        <f>IF(N514="б/к",0,IF(OR(ISNUMBER(SEARCH("L=",Разбивка_по_щитам!P514)),N514="+",N514="="),1,0))</f>
      </c>
      <c r="AZ514" s="129">
        <f t="shared" si="330"/>
        <v/>
      </c>
      <c r="BA514" s="129">
        <f t="shared" si="331"/>
      </c>
      <c r="BB514" s="129">
        <f t="shared" si="332"/>
      </c>
      <c r="BD514" s="129">
        <f t="shared" si="333"/>
      </c>
      <c r="BE514" s="129">
        <f t="shared" si="334"/>
      </c>
      <c r="BF514" s="129">
        <f t="shared" si="335"/>
      </c>
      <c r="BG514" s="129">
        <f t="shared" si="336"/>
        <v/>
      </c>
      <c r="BH514" s="129">
        <f t="shared" si="337"/>
        <v/>
      </c>
      <c r="BI514" s="129">
        <f t="shared" si="338"/>
        <v/>
      </c>
      <c r="BJ514" s="129">
        <f t="shared" si="339"/>
        <v/>
      </c>
      <c r="BK514" s="129">
        <f>IF(R514="","",IF(OR(BY514="",BY514=0),"BOX",IFERROR(IF(VLOOKUP(BY514,УГО_блоки,3,FALSE)&amp;""&lt;&gt;"",VLOOKUP(BY514,УГО_блоки,3,FALSE),VLOOKUP(BY514,УГО_блоки,2,FALSE)),BY514)))</f>
      </c>
      <c r="BL514" s="129">
        <f t="shared" si="341"/>
      </c>
      <c r="BM514" s="129">
        <f>IF(H514="","",IF(COUNTIF($H$3:H514,H514)=1,MAX($BM$2:BM513)+1,""))</f>
      </c>
      <c r="BN514" s="129">
        <f>IF(I514="","",IF(COUNTIF($I$3:I514,I514)+COUNTIF($J$2:J513,I514)+COUNTIF($K$2:K513,I514)=1,MAX($BN$2:BP513)+1,""))</f>
      </c>
      <c r="BO514" s="129">
        <f>IF(J514="","",IF(COUNTIF($I$3:I514,J514)+COUNTIF($J$3:J514,J514)+COUNTIF($K$2:K513,J514)=1,MAX($BN$2:BP513,BN514)+1,""))</f>
      </c>
      <c r="BP514" s="129">
        <f>IF(K514="","",IF(COUNTIF($I$3:I514,K514)+COUNTIF($J$3:J514,K514)+COUNTIF($K$3:K514,K514)=1,MAX($BN$2:BP513,BN514,BO514)+1,""))</f>
      </c>
      <c r="BQ514" s="129">
        <f>IF(AY514=1,IFERROR(MID(Q514,FIND(" (",Q514)+2,FIND(")",Q514,FIND(" (",Q514))-FIND(" (",Q514)-2),"?"),"")</f>
      </c>
      <c r="BR514" s="129">
        <f>IF(BQ514="","",IF(COUNTIF($BQ$3:BQ514,BQ514)=1,MAX($BR$2:BR513)+1,""))</f>
      </c>
      <c r="BS514" s="129">
        <f>IF(AW514="","",COUNTIF($AW$3:AW514,"?*"))</f>
      </c>
      <c r="BT514" s="129">
        <f>IF(OR(AW514="",AI514=""),"",IF(COUNTIFS($AW$3:AW514,"?*",$AI$3:AI514,AI514)=1,MAX($BT$2:BT513)+1,""))</f>
      </c>
      <c r="BU514" s="129">
        <f>IF(AE514="",0,IF(OR(ISNUMBER(SEARCH("дубль",AE514)),ISNUMBER(SEARCH("ПЕРЕГРУЗ",AE514)),ISNUMBER(SEARCH("ЗАЩИЩ",AE514)),ISNUMBER(SEARCH("КАНАЛ",AE514)),ISNUMBER(SEARCH("без 30",AE514))),2,1))</f>
      </c>
      <c r="BV514" s="129">
        <f>IF(R514="","",COUNTIF($R$3:R514,"?*"))</f>
      </c>
      <c r="BW514" s="129">
        <f>IF(AY514&lt;&gt;1,0,IF(MAX(IFERROR(--VLOOKUP(R514,УГО_спр,5,FALSE),0),IFERROR(--VLOOKUP(AL514,УГО_спр,5,FALSE),0),IFERROR(--VLOOKUP(LEFT(AL514,2),УГО_спр,5,FALSE),0))&gt;0,MAX(IFERROR(--VLOOKUP(R514,УГО_спр,5,FALSE),0),IFERROR(--VLOOKUP(AL514,УГО_спр,5,FALSE),0),IFERROR(--VLOOKUP(LEFT(AL514,2),УГО_спр,5,FALSE),0)),IF(IFERROR(--LEFT(SUBSTITUTE(BQ514,"x","х"),FIND("х",SUBSTITUTE(BQ514,"x","х"))-1),3)&gt;3,Каталог!$S$9,1)))</f>
      </c>
      <c r="BX514" s="129">
        <f>IF(AY514&lt;&gt;1,0,MAX(0,IFERROR(--LEFT(SUBSTITUTE(BQ514,"x","х"),FIND("х",SUBSTITUTE(BQ514,"x","х"))-1),3)-3*BW514))</f>
      </c>
      <c r="BY514" s="129">
        <f>IF(R514="","",IFERROR(VLOOKUP(R514,УГО_спр,2,FALSE),IFERROR(VLOOKUP(AL514,УГО_спр,2,FALSE),IFERROR(VLOOKUP(LEFT(AL514,2),УГО_спр,2,FALSE),""))))</f>
      </c>
    </row>
    <row r="515" spans="1:64" x14ac:dyDescent="0.3">
      <c r="A515" s="135">
        <f>IF(Разбивка_по_щитам!F515=0,"",Разбивка_по_щитам!F515)</f>
        <v/>
      </c>
      <c r="B515" s="138">
        <f>IF(A515="","",Разбивка_по_щитам!C515)</f>
        <v/>
      </c>
      <c r="C515" s="138">
        <f t="shared" ref="C515:C578" si="342">IF(B515="","",INT((B515-1)/Столбцов_на_лист)+1)</f>
        <v/>
      </c>
      <c r="D515" s="266"/>
      <c r="E515" s="266"/>
      <c r="F515" s="267"/>
      <c r="G515" s="145">
        <f t="shared" ref="G515:G578" si="343">IF(OR(R515&lt;&gt;"",O515&lt;&gt;"",AY515=1),AG515,"")</f>
        <v/>
      </c>
      <c r="H515" s="145">
        <f t="shared" ref="H515:H578" si="344">IF(E515="","",IF(AND(E515&lt;&gt;"авто",E515&lt;&gt;"+"),E515,AT515&amp;" С"&amp;AQ515&amp;"А"&amp;IF(AS515=1," 30мА","")))</f>
        <v/>
      </c>
      <c r="I515" s="266"/>
      <c r="J515" s="267"/>
      <c r="K515" s="267"/>
      <c r="L515" s="266"/>
      <c r="M515" s="147">
        <f t="shared" ref="M515:M578" si="345">IF(OR(O515&lt;&gt;"",AND(L515&lt;&gt;"",L515&lt;&gt;"-")),AH515,"")</f>
        <v/>
      </c>
      <c r="N515" s="267"/>
      <c r="O515" s="147">
        <f t="shared" ref="O515:O578" si="346">IF(N515="=",AX514,IF(ISNUMBER(N515),N515,IF(AH515="","",IF(OR(R515&lt;&gt;"",N515="+",N515="р"),IF(OR(AW515&lt;&gt;"",AX514=""),1,AX514+1),""))))</f>
        <v/>
      </c>
      <c r="P515" s="268">
        <f>IF(AY515=1,"XT"&amp;COUNTIFS($A$3:A515,A515,$AY$3:AY515,1),"")</f>
        <v/>
      </c>
      <c r="Q515" s="152">
        <f>IF(R515="","",IFERROR(SUBSTITUTE(Разбивка_по_щитам!P515,CHAR(10)," "),""))</f>
        <v/>
      </c>
      <c r="R515" s="153">
        <f>IF(OR(Разбивка_по_щитам!H515="",Разбивка_по_щитам!H515=0),"",Разбивка_по_щитам!H515)</f>
        <v/>
      </c>
      <c r="S515" s="154">
        <f>IF(R515="","",IFERROR(Разбивка_по_щитам!J515&amp;"",""))</f>
        <v/>
      </c>
      <c r="T515" s="155">
        <f>IF(R515="","",IFERROR(--Разбивка_по_щитам!L515,""))</f>
        <v/>
      </c>
      <c r="U515" s="155">
        <f>IF(R515="","",IFERROR(--Разбивка_по_щитам!K515,""))</f>
        <v/>
      </c>
      <c r="V515" s="138">
        <f>IF(R515="","",IFERROR(IF(Разбивка_по_щитам!M515=0,"",Разбивка_по_щитам!M515),""))</f>
        <v/>
      </c>
      <c r="W515" s="156">
        <f t="shared" ref="W515:W578" si="347">IF(E515="","",IF(NOT(ISNUMBER(AU515)),"",IF(Z515&gt;AU515,"ПЕРЕГРУЗ",IF(AND(BA515=0,AP515&gt;0,AU515&gt;AP515),"КАБЕЛЬ НЕ ЗАЩИЩЁН","ok"))))</f>
        <v/>
      </c>
      <c r="X515" s="157">
        <f t="shared" ref="X515:X578" si="348">IF(OR(O515="",AH515=""),"",IF(O515&gt;IFERROR(VLOOKUP(AI515,Модули_спр,3,FALSE),99),"ЛИШНИЙ КАНАЛ",IF(AND(N515&lt;&gt;"=",COUNTIFS($AH$3:$AH$1000,AH515,$O$3:$O$1000,O515,$N$3:$N$1000,"&lt;&gt;=")&gt;1),"ДУБЛЬ КАНАЛА","")))</f>
        <v/>
      </c>
      <c r="Y515" s="266"/>
      <c r="Z515" s="158">
        <f t="shared" ref="Z515:Z578" si="349">IF(E515="","",SUMIFS($U$3:$U$1000,$AF$3:$AF$1000,AF515,$A$3:$A$1000,A515,$AN$3:$AN$1000,0))</f>
        <v/>
      </c>
      <c r="AA515" s="160">
        <f t="shared" ref="AA515:AA578" si="350">IF(E515="","",IFERROR(VLOOKUP(Z515,Автомат_номиналы,2,TRUE),""))</f>
        <v/>
      </c>
      <c r="AB515" s="160">
        <f>IF(R515="","",IFERROR(LOOKUP(INDEX(Справочная!$I$4:$I$19,MATCH(VLOOKUP(R515,Исходные_данные,22,FALSE),Справочная!$J$4:$J$19,0)+1),{6,10,16,20,25,32,40,50,63,80,100,125}),""))</f>
        <v/>
      </c>
      <c r="AC515" s="160">
        <f t="shared" ref="AC515:AC578" si="351">IF(M515="","",AI515)</f>
        <v/>
      </c>
      <c r="AD515" s="161">
        <f t="shared" ref="AD515:AD578" si="352">IF(AND(R515="",O515="",P515=""),"",_xlfn.TEXTJOIN(" → ",TRUE,AG515,AZ515,IF(AH515&lt;&gt;"",AH515&amp;IF(O515&lt;&gt;""," к."&amp;O515,""),IF(O515&lt;&gt;"","к."&amp;O515,"")),P515,IF(AN515=1,"(в кабель выше)","")))</f>
        <v/>
      </c>
      <c r="AE515" s="161">
        <f>IF(AND(R515="",G515=""),"",_xlfn.TEXTJOIN("; ",TRUE,IF(AND(R515&lt;&gt;"",V515=""),"нет фазы",""),IF(AND(R515&lt;&gt;"",N(T515)=0),"нет мощности",""),IF(AND(P515&lt;&gt;"",COUNTIFS($A$3:$A$1000,A515,$P$3:$P$1000,P515)&gt;1),"дубль клеммы "&amp;P515,""),IF(AND(W515&lt;&gt;"",W515&lt;&gt;"ok"),W515,""),IF(X515&lt;&gt;"",X515,""),IF(AND(ISNUMBER(SEARCH("(5х",Q515)),N(AK515)=1),"5 жил на 1 фазе",""),IF(AND(AL515="R",E515&lt;&gt;"",N(AS515)=0),"розетка без 30 мА",""),IF(IFERROR(_xlfn.NUMBERVALUE(MID(Q515,FIND("-",Q515,FIND("L=",Q515))+1,FIND("%",Q515)-FIND("-",Q515,FIND("L=",Q515))-1),","),0)&gt;4,"потери &gt; 4 %","")))</f>
      </c>
      <c r="AF515" s="129">
        <f>IF(E515&lt;&gt;"",COUNTIFS($A$3:A515,A515,$E$3:E515,"?*"),IF(OR(A515&lt;&gt;A514,Y515="вручную"),"",AF514))</f>
        <v/>
      </c>
      <c r="AG515" s="129">
        <f t="shared" ref="AG515:AG578" si="353">IF(AJ515&lt;&gt;"",AJ515,IF(OR(A515&lt;&gt;A514,Y515="вручную"),"",AG514))</f>
        <v/>
      </c>
      <c r="AH515" s="129">
        <f t="shared" ref="AH515:AH578" si="354">IF(L515="-","",IF(AW515&lt;&gt;"",AW515,IF(A515&lt;&gt;A514,"",AH514)))</f>
        <v/>
      </c>
      <c r="AI515" s="129">
        <f t="shared" ref="AI515:AI578" si="355">IF(AH515="","",IF(AND(L515&lt;&gt;"",L515&lt;&gt;"-"),L515,AI514))</f>
        <v/>
      </c>
      <c r="AJ515" s="129">
        <f t="shared" ref="AJ515:AJ578" si="356">IF(E515="","",IF(AS515=1,"QFD","QF")&amp;AF515)</f>
        <v/>
      </c>
      <c r="AK515" s="129">
        <f t="shared" ref="AK515:AK578" si="357">IF(R515="","",IFERROR(--VLOOKUP(R515,Исходные_данные,8,FALSE),1))</f>
        <v/>
      </c>
      <c r="AL515" s="129">
        <f t="shared" ref="AL515:AL578" si="358">IF(R515="","",IFERROR(LEFT(R515,FIND(".",R515)-1),R515))</f>
        <v/>
      </c>
      <c r="AM515" s="129">
        <f t="shared" ref="AM515:AM578" si="359">IF(AL515="",0,IFERROR(IF(VLOOKUP(R515,УГО_спр,3,FALSE)="да",1,0),IFERROR(IF(VLOOKUP(AL515,УГО_спр,3,FALSE)="да",1,0),IFERROR(IF(VLOOKUP(LEFT(AL515,2),УГО_спр,3,FALSE)="да",1,0),0))))</f>
      </c>
      <c r="AN515" s="129">
        <f t="shared" ref="AN515:AN578" si="360">IF(OR(N515="+",AND(R515&lt;&gt;"",R515=R514)),1,0)</f>
      </c>
      <c r="AO515" s="129">
        <f t="shared" ref="AO515:AO578" si="361">IF(E515="","",MAX(N(AA515),_xlfn.MAXIFS($BB$3:$BB$1000,$AF$3:$AF$1000,AF515,$A$3:$A$1000,A515)))</f>
        <v/>
      </c>
      <c r="AP515" s="129">
        <f t="shared" ref="AP515:AP578" si="362">IF(E515="","",_xlfn.MINIFS($AB$3:$AB$1000,$AF$3:$AF$1000,AF515,$A$3:$A$1000,A515))</f>
        <v/>
      </c>
      <c r="AQ515" s="129">
        <f t="shared" ref="AQ515:AQ578" si="363">IF(E515="","",IF(BA515=1,MAX(AO515,Мин_автомат_БП),AO515))</f>
        <v/>
      </c>
      <c r="AR515" s="129">
        <f t="shared" ref="AR515:AR578" si="364">IF(E515="","",MAX(1,_xlfn.MAXIFS($AK$3:$AK$1000,$AF$3:$AF$1000,AF515,$A$3:$A$1000,A515)))</f>
        <v/>
      </c>
      <c r="AS515" s="129">
        <f t="shared" ref="AS515:AS578" si="365">IF(E515="","",IF(AND(E515&lt;&gt;"авто",E515&lt;&gt;"+"),IF(ISNUMBER(SEARCH("мА",E515)),1,0),IF(F515="да",1,IF(F515="нет",0,IF(_xlfn.MAXIFS($AM$3:$AM$1000,$AF$3:$AF$1000,AF515,$A$3:$A$1000,A515)&gt;0,1,0)))))</f>
        <v/>
      </c>
      <c r="AT515" s="129">
        <f t="shared" ref="AT515:AT578" si="366">IF(E515="","",IF(AR515&gt;=3,IF(AS515=1,"4P","3P"),IF(AS515=1,"2P","1P")))</f>
        <v/>
      </c>
      <c r="AU515" s="129">
        <f t="shared" ref="AU515:AU578" si="367">IF(H515="","",IFERROR(--MID(SUBSTITUTE(SUBSTITUTE(UPPER(H515),"С","C"),"А","A"),FIND("C",SUBSTITUTE(SUBSTITUTE(UPPER(H515),"С","C"),"А","A"))+1,FIND("A",SUBSTITUTE(SUBSTITUTE(UPPER(H515),"С","C"),"А","A")&amp;"A",FIND("C",SUBSTITUTE(SUBSTITUTE(UPPER(H515),"С","C"),"А","A")))-FIND("C",SUBSTITUTE(SUBSTITUTE(UPPER(H515),"С","C"),"А","A"))-1),""))</f>
        <v/>
      </c>
      <c r="AV515" s="129">
        <f t="shared" ref="AV515:AV578" si="368">IF(OR(L515="",L515="-"),"",IFERROR(VLOOKUP(L515,Модули_спр,2,FALSE),"R"))</f>
        <v/>
      </c>
      <c r="AW515" s="129">
        <f>IF(AV515="","",AV515&amp;"."&amp;COUNTIFS($A$3:A515,A515,$AV$3:AV515,AV515))</f>
        <v/>
      </c>
      <c r="AX515" s="129">
        <f t="shared" ref="AX515:AX578" si="369">IF(O515&lt;&gt;"",O515,IF(OR(A515&lt;&gt;A514,L515="-",AW515&lt;&gt;""),"",AX514))</f>
        <v/>
      </c>
      <c r="AY515" s="129">
        <f>IF(N515="б/к",0,IF(OR(ISNUMBER(SEARCH("L=",Разбивка_по_щитам!P515)),N515="+",N515="="),1,0))</f>
      </c>
      <c r="AZ515" s="129">
        <f t="shared" ref="AZ515:AZ578" si="370">IF(AJ515&lt;&gt;"",_xlfn.TEXTJOIN(" → ",TRUE,I515,J515,K515),IF(AG515="","",AZ514))</f>
        <v/>
      </c>
      <c r="BA515" s="129">
        <f t="shared" ref="BA515:BA578" si="371">IF(AZ515="",0,IF(OR(LEFT(AZ515,2)="T ",LEFT(AZ515,2)="Т ",ISNUMBER(SEARCH("→ T ",AZ515)),ISNUMBER(SEARCH("→ Т ",AZ515)),ISNUMBER(SEARCH("БП",AZ515))),1,0))</f>
      </c>
      <c r="BB515" s="129">
        <f t="shared" ref="BB515:BB578" si="372">IF(R515="",0,MAX(IFERROR(--VLOOKUP(R515,Исходные_данные,18,FALSE),0),IFERROR(--VLOOKUP(R515,УГО_спр,4,FALSE),IFERROR(--VLOOKUP(AL515,УГО_спр,4,FALSE),IFERROR(--VLOOKUP(LEFT(AL515,2),УГО_спр,4,FALSE),0)))))</f>
      </c>
      <c r="BD515" s="129">
        <f t="shared" ref="BD515:BD578" si="373">IF(Y515="вручную",0,1)</f>
      </c>
      <c r="BE515" s="129">
        <f t="shared" ref="BE515:BE578" si="374">IF(D515="",0,1)</f>
      </c>
      <c r="BF515" s="129">
        <f t="shared" ref="BF515:BF578" si="375">IF(AJ515="",0,IF(LEFT(AJ515,3)="QFD",1,0))</f>
      </c>
      <c r="BG515" s="129">
        <f t="shared" ref="BG515:BG578" si="376">IF(N515="=","=",IF(N515="+","+",IF(N515="р","R","")))</f>
        <v/>
      </c>
      <c r="BH515" s="129">
        <f t="shared" ref="BH515:BH578" si="377">IF(I515="","",IF(OR(LEFT(I515,1)="T",LEFT(I515,1)="Т"),"T",IF(LEFT(UPPER(I515),2)="БП","PS",IF(OR(LEFT(UPPER(I515),2)="МК",LEFT(UPPER(I515),2)="MK"),"MK",IF(OR(LEFT(UPPER(I515),2)="КМ",LEFT(UPPER(I515),2)="KM"),"KM","X")))))</f>
        <v/>
      </c>
      <c r="BI515" s="129">
        <f t="shared" ref="BI515:BI578" si="378">IF(J515="","",IF(OR(LEFT(J515,1)="T",LEFT(J515,1)="Т"),"T",IF(LEFT(UPPER(J515),2)="БП","PS",IF(OR(LEFT(UPPER(J515),2)="МК",LEFT(UPPER(J515),2)="MK"),"MK",IF(OR(LEFT(UPPER(J515),2)="КМ",LEFT(UPPER(J515),2)="KM"),"KM","X")))))</f>
        <v/>
      </c>
      <c r="BJ515" s="129">
        <f t="shared" ref="BJ515:BJ578" si="379">IF(K515="","",IF(OR(LEFT(K515,1)="T",LEFT(K515,1)="Т"),"T",IF(LEFT(UPPER(K515),2)="БП","PS",IF(OR(LEFT(UPPER(K515),2)="МК",LEFT(UPPER(K515),2)="MK"),"MK",IF(OR(LEFT(UPPER(K515),2)="КМ",LEFT(UPPER(K515),2)="KM"),"KM","X")))))</f>
        <v/>
      </c>
      <c r="BK515" s="129">
        <f>IF(R515="","",IF(OR(BY515="",BY515=0),"BOX",IFERROR(IF(VLOOKUP(BY515,УГО_блоки,3,FALSE)&amp;""&lt;&gt;"",VLOOKUP(BY515,УГО_блоки,3,FALSE),VLOOKUP(BY515,УГО_блоки,2,FALSE)),BY515)))</f>
      </c>
      <c r="BL515" s="129">
        <f t="shared" ref="BL515:BL578" si="381">IF(R515="",0,1)</f>
      </c>
      <c r="BM515" s="129">
        <f>IF(H515="","",IF(COUNTIF($H$3:H515,H515)=1,MAX($BM$2:BM514)+1,""))</f>
      </c>
      <c r="BN515" s="129">
        <f>IF(I515="","",IF(COUNTIF($I$3:I515,I515)+COUNTIF($J$2:J514,I515)+COUNTIF($K$2:K514,I515)=1,MAX($BN$2:BP514)+1,""))</f>
      </c>
      <c r="BO515" s="129">
        <f>IF(J515="","",IF(COUNTIF($I$3:I515,J515)+COUNTIF($J$3:J515,J515)+COUNTIF($K$2:K514,J515)=1,MAX($BN$2:BP514,BN515)+1,""))</f>
      </c>
      <c r="BP515" s="129">
        <f>IF(K515="","",IF(COUNTIF($I$3:I515,K515)+COUNTIF($J$3:J515,K515)+COUNTIF($K$3:K515,K515)=1,MAX($BN$2:BP514,BN515,BO515)+1,""))</f>
      </c>
      <c r="BQ515" s="129">
        <f>IF(AY515=1,IFERROR(MID(Q515,FIND(" (",Q515)+2,FIND(")",Q515,FIND(" (",Q515))-FIND(" (",Q515)-2),"?"),"")</f>
      </c>
      <c r="BR515" s="129">
        <f>IF(BQ515="","",IF(COUNTIF($BQ$3:BQ515,BQ515)=1,MAX($BR$2:BR514)+1,""))</f>
      </c>
      <c r="BS515" s="129">
        <f>IF(AW515="","",COUNTIF($AW$3:AW515,"?*"))</f>
      </c>
      <c r="BT515" s="129">
        <f>IF(OR(AW515="",AI515=""),"",IF(COUNTIFS($AW$3:AW515,"?*",$AI$3:AI515,AI515)=1,MAX($BT$2:BT514)+1,""))</f>
      </c>
      <c r="BU515" s="129">
        <f>IF(AE515="",0,IF(OR(ISNUMBER(SEARCH("дубль",AE515)),ISNUMBER(SEARCH("ПЕРЕГРУЗ",AE515)),ISNUMBER(SEARCH("ЗАЩИЩ",AE515)),ISNUMBER(SEARCH("КАНАЛ",AE515)),ISNUMBER(SEARCH("без 30",AE515))),2,1))</f>
      </c>
      <c r="BV515" s="129">
        <f>IF(R515="","",COUNTIF($R$3:R515,"?*"))</f>
      </c>
      <c r="BW515" s="129">
        <f>IF(AY515&lt;&gt;1,0,IF(MAX(IFERROR(--VLOOKUP(R515,УГО_спр,5,FALSE),0),IFERROR(--VLOOKUP(AL515,УГО_спр,5,FALSE),0),IFERROR(--VLOOKUP(LEFT(AL515,2),УГО_спр,5,FALSE),0))&gt;0,MAX(IFERROR(--VLOOKUP(R515,УГО_спр,5,FALSE),0),IFERROR(--VLOOKUP(AL515,УГО_спр,5,FALSE),0),IFERROR(--VLOOKUP(LEFT(AL515,2),УГО_спр,5,FALSE),0)),IF(IFERROR(--LEFT(SUBSTITUTE(BQ515,"x","х"),FIND("х",SUBSTITUTE(BQ515,"x","х"))-1),3)&gt;3,Каталог!$S$9,1)))</f>
      </c>
      <c r="BX515" s="129">
        <f>IF(AY515&lt;&gt;1,0,MAX(0,IFERROR(--LEFT(SUBSTITUTE(BQ515,"x","х"),FIND("х",SUBSTITUTE(BQ515,"x","х"))-1),3)-3*BW515))</f>
      </c>
      <c r="BY515" s="129">
        <f>IF(R515="","",IFERROR(VLOOKUP(R515,УГО_спр,2,FALSE),IFERROR(VLOOKUP(AL515,УГО_спр,2,FALSE),IFERROR(VLOOKUP(LEFT(AL515,2),УГО_спр,2,FALSE),""))))</f>
      </c>
    </row>
    <row r="516" spans="1:64" x14ac:dyDescent="0.3">
      <c r="A516" s="135">
        <f>IF(Разбивка_по_щитам!F516=0,"",Разбивка_по_щитам!F516)</f>
        <v/>
      </c>
      <c r="B516" s="138">
        <f>IF(A516="","",Разбивка_по_щитам!C516)</f>
        <v/>
      </c>
      <c r="C516" s="138">
        <f t="shared" si="342"/>
        <v/>
      </c>
      <c r="D516" s="266"/>
      <c r="E516" s="266"/>
      <c r="F516" s="267"/>
      <c r="G516" s="145">
        <f t="shared" si="343"/>
        <v/>
      </c>
      <c r="H516" s="145">
        <f t="shared" si="344"/>
        <v/>
      </c>
      <c r="I516" s="266"/>
      <c r="J516" s="267"/>
      <c r="K516" s="267"/>
      <c r="L516" s="266"/>
      <c r="M516" s="147">
        <f t="shared" si="345"/>
        <v/>
      </c>
      <c r="N516" s="267"/>
      <c r="O516" s="147">
        <f t="shared" si="346"/>
        <v/>
      </c>
      <c r="P516" s="268">
        <f>IF(AY516=1,"XT"&amp;COUNTIFS($A$3:A516,A516,$AY$3:AY516,1),"")</f>
        <v/>
      </c>
      <c r="Q516" s="152">
        <f>IF(R516="","",IFERROR(SUBSTITUTE(Разбивка_по_щитам!P516,CHAR(10)," "),""))</f>
        <v/>
      </c>
      <c r="R516" s="153">
        <f>IF(OR(Разбивка_по_щитам!H516="",Разбивка_по_щитам!H516=0),"",Разбивка_по_щитам!H516)</f>
        <v/>
      </c>
      <c r="S516" s="154">
        <f>IF(R516="","",IFERROR(Разбивка_по_щитам!J516&amp;"",""))</f>
        <v/>
      </c>
      <c r="T516" s="155">
        <f>IF(R516="","",IFERROR(--Разбивка_по_щитам!L516,""))</f>
        <v/>
      </c>
      <c r="U516" s="155">
        <f>IF(R516="","",IFERROR(--Разбивка_по_щитам!K516,""))</f>
        <v/>
      </c>
      <c r="V516" s="138">
        <f>IF(R516="","",IFERROR(IF(Разбивка_по_щитам!M516=0,"",Разбивка_по_щитам!M516),""))</f>
        <v/>
      </c>
      <c r="W516" s="156">
        <f t="shared" si="347"/>
        <v/>
      </c>
      <c r="X516" s="157">
        <f t="shared" si="348"/>
        <v/>
      </c>
      <c r="Y516" s="266"/>
      <c r="Z516" s="158">
        <f t="shared" si="349"/>
        <v/>
      </c>
      <c r="AA516" s="160">
        <f t="shared" si="350"/>
        <v/>
      </c>
      <c r="AB516" s="160">
        <f>IF(R516="","",IFERROR(LOOKUP(INDEX(Справочная!$I$4:$I$19,MATCH(VLOOKUP(R516,Исходные_данные,22,FALSE),Справочная!$J$4:$J$19,0)+1),{6,10,16,20,25,32,40,50,63,80,100,125}),""))</f>
        <v/>
      </c>
      <c r="AC516" s="160">
        <f t="shared" si="351"/>
        <v/>
      </c>
      <c r="AD516" s="161">
        <f t="shared" si="352"/>
        <v/>
      </c>
      <c r="AE516" s="161">
        <f>IF(AND(R516="",G516=""),"",_xlfn.TEXTJOIN("; ",TRUE,IF(AND(R516&lt;&gt;"",V516=""),"нет фазы",""),IF(AND(R516&lt;&gt;"",N(T516)=0),"нет мощности",""),IF(AND(P516&lt;&gt;"",COUNTIFS($A$3:$A$1000,A516,$P$3:$P$1000,P516)&gt;1),"дубль клеммы "&amp;P516,""),IF(AND(W516&lt;&gt;"",W516&lt;&gt;"ok"),W516,""),IF(X516&lt;&gt;"",X516,""),IF(AND(ISNUMBER(SEARCH("(5х",Q516)),N(AK516)=1),"5 жил на 1 фазе",""),IF(AND(AL516="R",E516&lt;&gt;"",N(AS516)=0),"розетка без 30 мА",""),IF(IFERROR(_xlfn.NUMBERVALUE(MID(Q516,FIND("-",Q516,FIND("L=",Q516))+1,FIND("%",Q516)-FIND("-",Q516,FIND("L=",Q516))-1),","),0)&gt;4,"потери &gt; 4 %","")))</f>
      </c>
      <c r="AF516" s="129">
        <f>IF(E516&lt;&gt;"",COUNTIFS($A$3:A516,A516,$E$3:E516,"?*"),IF(OR(A516&lt;&gt;A515,Y516="вручную"),"",AF515))</f>
        <v/>
      </c>
      <c r="AG516" s="129">
        <f t="shared" si="353"/>
        <v/>
      </c>
      <c r="AH516" s="129">
        <f t="shared" si="354"/>
        <v/>
      </c>
      <c r="AI516" s="129">
        <f t="shared" si="355"/>
        <v/>
      </c>
      <c r="AJ516" s="129">
        <f t="shared" si="356"/>
        <v/>
      </c>
      <c r="AK516" s="129">
        <f t="shared" si="357"/>
        <v/>
      </c>
      <c r="AL516" s="129">
        <f t="shared" si="358"/>
        <v/>
      </c>
      <c r="AM516" s="129">
        <f t="shared" si="359"/>
      </c>
      <c r="AN516" s="129">
        <f t="shared" si="360"/>
      </c>
      <c r="AO516" s="129">
        <f t="shared" si="361"/>
        <v/>
      </c>
      <c r="AP516" s="129">
        <f t="shared" si="362"/>
        <v/>
      </c>
      <c r="AQ516" s="129">
        <f t="shared" si="363"/>
        <v/>
      </c>
      <c r="AR516" s="129">
        <f t="shared" si="364"/>
        <v/>
      </c>
      <c r="AS516" s="129">
        <f t="shared" si="365"/>
        <v/>
      </c>
      <c r="AT516" s="129">
        <f t="shared" si="366"/>
        <v/>
      </c>
      <c r="AU516" s="129">
        <f t="shared" si="367"/>
        <v/>
      </c>
      <c r="AV516" s="129">
        <f t="shared" si="368"/>
        <v/>
      </c>
      <c r="AW516" s="129">
        <f>IF(AV516="","",AV516&amp;"."&amp;COUNTIFS($A$3:A516,A516,$AV$3:AV516,AV516))</f>
        <v/>
      </c>
      <c r="AX516" s="129">
        <f t="shared" si="369"/>
        <v/>
      </c>
      <c r="AY516" s="129">
        <f>IF(N516="б/к",0,IF(OR(ISNUMBER(SEARCH("L=",Разбивка_по_щитам!P516)),N516="+",N516="="),1,0))</f>
      </c>
      <c r="AZ516" s="129">
        <f t="shared" si="370"/>
        <v/>
      </c>
      <c r="BA516" s="129">
        <f t="shared" si="371"/>
      </c>
      <c r="BB516" s="129">
        <f t="shared" si="372"/>
      </c>
      <c r="BD516" s="129">
        <f t="shared" si="373"/>
      </c>
      <c r="BE516" s="129">
        <f t="shared" si="374"/>
      </c>
      <c r="BF516" s="129">
        <f t="shared" si="375"/>
      </c>
      <c r="BG516" s="129">
        <f t="shared" si="376"/>
        <v/>
      </c>
      <c r="BH516" s="129">
        <f t="shared" si="377"/>
        <v/>
      </c>
      <c r="BI516" s="129">
        <f t="shared" si="378"/>
        <v/>
      </c>
      <c r="BJ516" s="129">
        <f t="shared" si="379"/>
        <v/>
      </c>
      <c r="BK516" s="129">
        <f>IF(R516="","",IF(OR(BY516="",BY516=0),"BOX",IFERROR(IF(VLOOKUP(BY516,УГО_блоки,3,FALSE)&amp;""&lt;&gt;"",VLOOKUP(BY516,УГО_блоки,3,FALSE),VLOOKUP(BY516,УГО_блоки,2,FALSE)),BY516)))</f>
      </c>
      <c r="BL516" s="129">
        <f t="shared" si="381"/>
      </c>
      <c r="BM516" s="129">
        <f>IF(H516="","",IF(COUNTIF($H$3:H516,H516)=1,MAX($BM$2:BM515)+1,""))</f>
      </c>
      <c r="BN516" s="129">
        <f>IF(I516="","",IF(COUNTIF($I$3:I516,I516)+COUNTIF($J$2:J515,I516)+COUNTIF($K$2:K515,I516)=1,MAX($BN$2:BP515)+1,""))</f>
      </c>
      <c r="BO516" s="129">
        <f>IF(J516="","",IF(COUNTIF($I$3:I516,J516)+COUNTIF($J$3:J516,J516)+COUNTIF($K$2:K515,J516)=1,MAX($BN$2:BP515,BN516)+1,""))</f>
      </c>
      <c r="BP516" s="129">
        <f>IF(K516="","",IF(COUNTIF($I$3:I516,K516)+COUNTIF($J$3:J516,K516)+COUNTIF($K$3:K516,K516)=1,MAX($BN$2:BP515,BN516,BO516)+1,""))</f>
      </c>
      <c r="BQ516" s="129">
        <f>IF(AY516=1,IFERROR(MID(Q516,FIND(" (",Q516)+2,FIND(")",Q516,FIND(" (",Q516))-FIND(" (",Q516)-2),"?"),"")</f>
      </c>
      <c r="BR516" s="129">
        <f>IF(BQ516="","",IF(COUNTIF($BQ$3:BQ516,BQ516)=1,MAX($BR$2:BR515)+1,""))</f>
      </c>
      <c r="BS516" s="129">
        <f>IF(AW516="","",COUNTIF($AW$3:AW516,"?*"))</f>
      </c>
      <c r="BT516" s="129">
        <f>IF(OR(AW516="",AI516=""),"",IF(COUNTIFS($AW$3:AW516,"?*",$AI$3:AI516,AI516)=1,MAX($BT$2:BT515)+1,""))</f>
      </c>
      <c r="BU516" s="129">
        <f>IF(AE516="",0,IF(OR(ISNUMBER(SEARCH("дубль",AE516)),ISNUMBER(SEARCH("ПЕРЕГРУЗ",AE516)),ISNUMBER(SEARCH("ЗАЩИЩ",AE516)),ISNUMBER(SEARCH("КАНАЛ",AE516)),ISNUMBER(SEARCH("без 30",AE516))),2,1))</f>
      </c>
      <c r="BV516" s="129">
        <f>IF(R516="","",COUNTIF($R$3:R516,"?*"))</f>
      </c>
      <c r="BW516" s="129">
        <f>IF(AY516&lt;&gt;1,0,IF(MAX(IFERROR(--VLOOKUP(R516,УГО_спр,5,FALSE),0),IFERROR(--VLOOKUP(AL516,УГО_спр,5,FALSE),0),IFERROR(--VLOOKUP(LEFT(AL516,2),УГО_спр,5,FALSE),0))&gt;0,MAX(IFERROR(--VLOOKUP(R516,УГО_спр,5,FALSE),0),IFERROR(--VLOOKUP(AL516,УГО_спр,5,FALSE),0),IFERROR(--VLOOKUP(LEFT(AL516,2),УГО_спр,5,FALSE),0)),IF(IFERROR(--LEFT(SUBSTITUTE(BQ516,"x","х"),FIND("х",SUBSTITUTE(BQ516,"x","х"))-1),3)&gt;3,Каталог!$S$9,1)))</f>
      </c>
      <c r="BX516" s="129">
        <f>IF(AY516&lt;&gt;1,0,MAX(0,IFERROR(--LEFT(SUBSTITUTE(BQ516,"x","х"),FIND("х",SUBSTITUTE(BQ516,"x","х"))-1),3)-3*BW516))</f>
      </c>
      <c r="BY516" s="129">
        <f>IF(R516="","",IFERROR(VLOOKUP(R516,УГО_спр,2,FALSE),IFERROR(VLOOKUP(AL516,УГО_спр,2,FALSE),IFERROR(VLOOKUP(LEFT(AL516,2),УГО_спр,2,FALSE),""))))</f>
      </c>
    </row>
    <row r="517" spans="1:64" x14ac:dyDescent="0.3">
      <c r="A517" s="135">
        <f>IF(Разбивка_по_щитам!F517=0,"",Разбивка_по_щитам!F517)</f>
        <v/>
      </c>
      <c r="B517" s="138">
        <f>IF(A517="","",Разбивка_по_щитам!C517)</f>
        <v/>
      </c>
      <c r="C517" s="138">
        <f t="shared" si="342"/>
        <v/>
      </c>
      <c r="D517" s="266"/>
      <c r="E517" s="266"/>
      <c r="F517" s="267"/>
      <c r="G517" s="145">
        <f t="shared" si="343"/>
        <v/>
      </c>
      <c r="H517" s="145">
        <f t="shared" si="344"/>
        <v/>
      </c>
      <c r="I517" s="266"/>
      <c r="J517" s="267"/>
      <c r="K517" s="267"/>
      <c r="L517" s="266"/>
      <c r="M517" s="147">
        <f t="shared" si="345"/>
        <v/>
      </c>
      <c r="N517" s="267"/>
      <c r="O517" s="147">
        <f t="shared" si="346"/>
        <v/>
      </c>
      <c r="P517" s="268">
        <f>IF(AY517=1,"XT"&amp;COUNTIFS($A$3:A517,A517,$AY$3:AY517,1),"")</f>
        <v/>
      </c>
      <c r="Q517" s="152">
        <f>IF(R517="","",IFERROR(SUBSTITUTE(Разбивка_по_щитам!P517,CHAR(10)," "),""))</f>
        <v/>
      </c>
      <c r="R517" s="153">
        <f>IF(OR(Разбивка_по_щитам!H517="",Разбивка_по_щитам!H517=0),"",Разбивка_по_щитам!H517)</f>
        <v/>
      </c>
      <c r="S517" s="154">
        <f>IF(R517="","",IFERROR(Разбивка_по_щитам!J517&amp;"",""))</f>
        <v/>
      </c>
      <c r="T517" s="155">
        <f>IF(R517="","",IFERROR(--Разбивка_по_щитам!L517,""))</f>
        <v/>
      </c>
      <c r="U517" s="155">
        <f>IF(R517="","",IFERROR(--Разбивка_по_щитам!K517,""))</f>
        <v/>
      </c>
      <c r="V517" s="138">
        <f>IF(R517="","",IFERROR(IF(Разбивка_по_щитам!M517=0,"",Разбивка_по_щитам!M517),""))</f>
        <v/>
      </c>
      <c r="W517" s="156">
        <f t="shared" si="347"/>
        <v/>
      </c>
      <c r="X517" s="157">
        <f t="shared" si="348"/>
        <v/>
      </c>
      <c r="Y517" s="266"/>
      <c r="Z517" s="158">
        <f t="shared" si="349"/>
        <v/>
      </c>
      <c r="AA517" s="160">
        <f t="shared" si="350"/>
        <v/>
      </c>
      <c r="AB517" s="160">
        <f>IF(R517="","",IFERROR(LOOKUP(INDEX(Справочная!$I$4:$I$19,MATCH(VLOOKUP(R517,Исходные_данные,22,FALSE),Справочная!$J$4:$J$19,0)+1),{6,10,16,20,25,32,40,50,63,80,100,125}),""))</f>
        <v/>
      </c>
      <c r="AC517" s="160">
        <f t="shared" si="351"/>
        <v/>
      </c>
      <c r="AD517" s="161">
        <f t="shared" si="352"/>
        <v/>
      </c>
      <c r="AE517" s="161">
        <f>IF(AND(R517="",G517=""),"",_xlfn.TEXTJOIN("; ",TRUE,IF(AND(R517&lt;&gt;"",V517=""),"нет фазы",""),IF(AND(R517&lt;&gt;"",N(T517)=0),"нет мощности",""),IF(AND(P517&lt;&gt;"",COUNTIFS($A$3:$A$1000,A517,$P$3:$P$1000,P517)&gt;1),"дубль клеммы "&amp;P517,""),IF(AND(W517&lt;&gt;"",W517&lt;&gt;"ok"),W517,""),IF(X517&lt;&gt;"",X517,""),IF(AND(ISNUMBER(SEARCH("(5х",Q517)),N(AK517)=1),"5 жил на 1 фазе",""),IF(AND(AL517="R",E517&lt;&gt;"",N(AS517)=0),"розетка без 30 мА",""),IF(IFERROR(_xlfn.NUMBERVALUE(MID(Q517,FIND("-",Q517,FIND("L=",Q517))+1,FIND("%",Q517)-FIND("-",Q517,FIND("L=",Q517))-1),","),0)&gt;4,"потери &gt; 4 %","")))</f>
      </c>
      <c r="AF517" s="129">
        <f>IF(E517&lt;&gt;"",COUNTIFS($A$3:A517,A517,$E$3:E517,"?*"),IF(OR(A517&lt;&gt;A516,Y517="вручную"),"",AF516))</f>
        <v/>
      </c>
      <c r="AG517" s="129">
        <f t="shared" si="353"/>
        <v/>
      </c>
      <c r="AH517" s="129">
        <f t="shared" si="354"/>
        <v/>
      </c>
      <c r="AI517" s="129">
        <f t="shared" si="355"/>
        <v/>
      </c>
      <c r="AJ517" s="129">
        <f t="shared" si="356"/>
        <v/>
      </c>
      <c r="AK517" s="129">
        <f t="shared" si="357"/>
        <v/>
      </c>
      <c r="AL517" s="129">
        <f t="shared" si="358"/>
        <v/>
      </c>
      <c r="AM517" s="129">
        <f t="shared" si="359"/>
      </c>
      <c r="AN517" s="129">
        <f t="shared" si="360"/>
      </c>
      <c r="AO517" s="129">
        <f t="shared" si="361"/>
        <v/>
      </c>
      <c r="AP517" s="129">
        <f t="shared" si="362"/>
        <v/>
      </c>
      <c r="AQ517" s="129">
        <f t="shared" si="363"/>
        <v/>
      </c>
      <c r="AR517" s="129">
        <f t="shared" si="364"/>
        <v/>
      </c>
      <c r="AS517" s="129">
        <f t="shared" si="365"/>
        <v/>
      </c>
      <c r="AT517" s="129">
        <f t="shared" si="366"/>
        <v/>
      </c>
      <c r="AU517" s="129">
        <f t="shared" si="367"/>
        <v/>
      </c>
      <c r="AV517" s="129">
        <f t="shared" si="368"/>
        <v/>
      </c>
      <c r="AW517" s="129">
        <f>IF(AV517="","",AV517&amp;"."&amp;COUNTIFS($A$3:A517,A517,$AV$3:AV517,AV517))</f>
        <v/>
      </c>
      <c r="AX517" s="129">
        <f t="shared" si="369"/>
        <v/>
      </c>
      <c r="AY517" s="129">
        <f>IF(N517="б/к",0,IF(OR(ISNUMBER(SEARCH("L=",Разбивка_по_щитам!P517)),N517="+",N517="="),1,0))</f>
      </c>
      <c r="AZ517" s="129">
        <f t="shared" si="370"/>
        <v/>
      </c>
      <c r="BA517" s="129">
        <f t="shared" si="371"/>
      </c>
      <c r="BB517" s="129">
        <f t="shared" si="372"/>
      </c>
      <c r="BD517" s="129">
        <f t="shared" si="373"/>
      </c>
      <c r="BE517" s="129">
        <f t="shared" si="374"/>
      </c>
      <c r="BF517" s="129">
        <f t="shared" si="375"/>
      </c>
      <c r="BG517" s="129">
        <f t="shared" si="376"/>
        <v/>
      </c>
      <c r="BH517" s="129">
        <f t="shared" si="377"/>
        <v/>
      </c>
      <c r="BI517" s="129">
        <f t="shared" si="378"/>
        <v/>
      </c>
      <c r="BJ517" s="129">
        <f t="shared" si="379"/>
        <v/>
      </c>
      <c r="BK517" s="129">
        <f>IF(R517="","",IF(OR(BY517="",BY517=0),"BOX",IFERROR(IF(VLOOKUP(BY517,УГО_блоки,3,FALSE)&amp;""&lt;&gt;"",VLOOKUP(BY517,УГО_блоки,3,FALSE),VLOOKUP(BY517,УГО_блоки,2,FALSE)),BY517)))</f>
      </c>
      <c r="BL517" s="129">
        <f t="shared" si="381"/>
      </c>
      <c r="BM517" s="129">
        <f>IF(H517="","",IF(COUNTIF($H$3:H517,H517)=1,MAX($BM$2:BM516)+1,""))</f>
      </c>
      <c r="BN517" s="129">
        <f>IF(I517="","",IF(COUNTIF($I$3:I517,I517)+COUNTIF($J$2:J516,I517)+COUNTIF($K$2:K516,I517)=1,MAX($BN$2:BP516)+1,""))</f>
      </c>
      <c r="BO517" s="129">
        <f>IF(J517="","",IF(COUNTIF($I$3:I517,J517)+COUNTIF($J$3:J517,J517)+COUNTIF($K$2:K516,J517)=1,MAX($BN$2:BP516,BN517)+1,""))</f>
      </c>
      <c r="BP517" s="129">
        <f>IF(K517="","",IF(COUNTIF($I$3:I517,K517)+COUNTIF($J$3:J517,K517)+COUNTIF($K$3:K517,K517)=1,MAX($BN$2:BP516,BN517,BO517)+1,""))</f>
      </c>
      <c r="BQ517" s="129">
        <f>IF(AY517=1,IFERROR(MID(Q517,FIND(" (",Q517)+2,FIND(")",Q517,FIND(" (",Q517))-FIND(" (",Q517)-2),"?"),"")</f>
      </c>
      <c r="BR517" s="129">
        <f>IF(BQ517="","",IF(COUNTIF($BQ$3:BQ517,BQ517)=1,MAX($BR$2:BR516)+1,""))</f>
      </c>
      <c r="BS517" s="129">
        <f>IF(AW517="","",COUNTIF($AW$3:AW517,"?*"))</f>
      </c>
      <c r="BT517" s="129">
        <f>IF(OR(AW517="",AI517=""),"",IF(COUNTIFS($AW$3:AW517,"?*",$AI$3:AI517,AI517)=1,MAX($BT$2:BT516)+1,""))</f>
      </c>
      <c r="BU517" s="129">
        <f>IF(AE517="",0,IF(OR(ISNUMBER(SEARCH("дубль",AE517)),ISNUMBER(SEARCH("ПЕРЕГРУЗ",AE517)),ISNUMBER(SEARCH("ЗАЩИЩ",AE517)),ISNUMBER(SEARCH("КАНАЛ",AE517)),ISNUMBER(SEARCH("без 30",AE517))),2,1))</f>
      </c>
      <c r="BV517" s="129">
        <f>IF(R517="","",COUNTIF($R$3:R517,"?*"))</f>
      </c>
      <c r="BW517" s="129">
        <f>IF(AY517&lt;&gt;1,0,IF(MAX(IFERROR(--VLOOKUP(R517,УГО_спр,5,FALSE),0),IFERROR(--VLOOKUP(AL517,УГО_спр,5,FALSE),0),IFERROR(--VLOOKUP(LEFT(AL517,2),УГО_спр,5,FALSE),0))&gt;0,MAX(IFERROR(--VLOOKUP(R517,УГО_спр,5,FALSE),0),IFERROR(--VLOOKUP(AL517,УГО_спр,5,FALSE),0),IFERROR(--VLOOKUP(LEFT(AL517,2),УГО_спр,5,FALSE),0)),IF(IFERROR(--LEFT(SUBSTITUTE(BQ517,"x","х"),FIND("х",SUBSTITUTE(BQ517,"x","х"))-1),3)&gt;3,Каталог!$S$9,1)))</f>
      </c>
      <c r="BX517" s="129">
        <f>IF(AY517&lt;&gt;1,0,MAX(0,IFERROR(--LEFT(SUBSTITUTE(BQ517,"x","х"),FIND("х",SUBSTITUTE(BQ517,"x","х"))-1),3)-3*BW517))</f>
      </c>
      <c r="BY517" s="129">
        <f>IF(R517="","",IFERROR(VLOOKUP(R517,УГО_спр,2,FALSE),IFERROR(VLOOKUP(AL517,УГО_спр,2,FALSE),IFERROR(VLOOKUP(LEFT(AL517,2),УГО_спр,2,FALSE),""))))</f>
      </c>
    </row>
    <row r="518" spans="1:64" x14ac:dyDescent="0.3">
      <c r="A518" s="135">
        <f>IF(Разбивка_по_щитам!F518=0,"",Разбивка_по_щитам!F518)</f>
        <v/>
      </c>
      <c r="B518" s="138">
        <f>IF(A518="","",Разбивка_по_щитам!C518)</f>
        <v/>
      </c>
      <c r="C518" s="138">
        <f t="shared" si="342"/>
        <v/>
      </c>
      <c r="D518" s="266"/>
      <c r="E518" s="266"/>
      <c r="F518" s="267"/>
      <c r="G518" s="145">
        <f t="shared" si="343"/>
        <v/>
      </c>
      <c r="H518" s="145">
        <f t="shared" si="344"/>
        <v/>
      </c>
      <c r="I518" s="266"/>
      <c r="J518" s="267"/>
      <c r="K518" s="267"/>
      <c r="L518" s="266"/>
      <c r="M518" s="147">
        <f t="shared" si="345"/>
        <v/>
      </c>
      <c r="N518" s="267"/>
      <c r="O518" s="147">
        <f t="shared" si="346"/>
        <v/>
      </c>
      <c r="P518" s="268">
        <f>IF(AY518=1,"XT"&amp;COUNTIFS($A$3:A518,A518,$AY$3:AY518,1),"")</f>
        <v/>
      </c>
      <c r="Q518" s="152">
        <f>IF(R518="","",IFERROR(SUBSTITUTE(Разбивка_по_щитам!P518,CHAR(10)," "),""))</f>
        <v/>
      </c>
      <c r="R518" s="153">
        <f>IF(OR(Разбивка_по_щитам!H518="",Разбивка_по_щитам!H518=0),"",Разбивка_по_щитам!H518)</f>
        <v/>
      </c>
      <c r="S518" s="154">
        <f>IF(R518="","",IFERROR(Разбивка_по_щитам!J518&amp;"",""))</f>
        <v/>
      </c>
      <c r="T518" s="155">
        <f>IF(R518="","",IFERROR(--Разбивка_по_щитам!L518,""))</f>
        <v/>
      </c>
      <c r="U518" s="155">
        <f>IF(R518="","",IFERROR(--Разбивка_по_щитам!K518,""))</f>
        <v/>
      </c>
      <c r="V518" s="138">
        <f>IF(R518="","",IFERROR(IF(Разбивка_по_щитам!M518=0,"",Разбивка_по_щитам!M518),""))</f>
        <v/>
      </c>
      <c r="W518" s="156">
        <f t="shared" si="347"/>
        <v/>
      </c>
      <c r="X518" s="157">
        <f t="shared" si="348"/>
        <v/>
      </c>
      <c r="Y518" s="266"/>
      <c r="Z518" s="158">
        <f t="shared" si="349"/>
        <v/>
      </c>
      <c r="AA518" s="160">
        <f t="shared" si="350"/>
        <v/>
      </c>
      <c r="AB518" s="160">
        <f>IF(R518="","",IFERROR(LOOKUP(INDEX(Справочная!$I$4:$I$19,MATCH(VLOOKUP(R518,Исходные_данные,22,FALSE),Справочная!$J$4:$J$19,0)+1),{6,10,16,20,25,32,40,50,63,80,100,125}),""))</f>
        <v/>
      </c>
      <c r="AC518" s="160">
        <f t="shared" si="351"/>
        <v/>
      </c>
      <c r="AD518" s="161">
        <f t="shared" si="352"/>
        <v/>
      </c>
      <c r="AE518" s="161">
        <f>IF(AND(R518="",G518=""),"",_xlfn.TEXTJOIN("; ",TRUE,IF(AND(R518&lt;&gt;"",V518=""),"нет фазы",""),IF(AND(R518&lt;&gt;"",N(T518)=0),"нет мощности",""),IF(AND(P518&lt;&gt;"",COUNTIFS($A$3:$A$1000,A518,$P$3:$P$1000,P518)&gt;1),"дубль клеммы "&amp;P518,""),IF(AND(W518&lt;&gt;"",W518&lt;&gt;"ok"),W518,""),IF(X518&lt;&gt;"",X518,""),IF(AND(ISNUMBER(SEARCH("(5х",Q518)),N(AK518)=1),"5 жил на 1 фазе",""),IF(AND(AL518="R",E518&lt;&gt;"",N(AS518)=0),"розетка без 30 мА",""),IF(IFERROR(_xlfn.NUMBERVALUE(MID(Q518,FIND("-",Q518,FIND("L=",Q518))+1,FIND("%",Q518)-FIND("-",Q518,FIND("L=",Q518))-1),","),0)&gt;4,"потери &gt; 4 %","")))</f>
      </c>
      <c r="AF518" s="129">
        <f>IF(E518&lt;&gt;"",COUNTIFS($A$3:A518,A518,$E$3:E518,"?*"),IF(OR(A518&lt;&gt;A517,Y518="вручную"),"",AF517))</f>
        <v/>
      </c>
      <c r="AG518" s="129">
        <f t="shared" si="353"/>
        <v/>
      </c>
      <c r="AH518" s="129">
        <f t="shared" si="354"/>
        <v/>
      </c>
      <c r="AI518" s="129">
        <f t="shared" si="355"/>
        <v/>
      </c>
      <c r="AJ518" s="129">
        <f t="shared" si="356"/>
        <v/>
      </c>
      <c r="AK518" s="129">
        <f t="shared" si="357"/>
        <v/>
      </c>
      <c r="AL518" s="129">
        <f t="shared" si="358"/>
        <v/>
      </c>
      <c r="AM518" s="129">
        <f t="shared" si="359"/>
      </c>
      <c r="AN518" s="129">
        <f t="shared" si="360"/>
      </c>
      <c r="AO518" s="129">
        <f t="shared" si="361"/>
        <v/>
      </c>
      <c r="AP518" s="129">
        <f t="shared" si="362"/>
        <v/>
      </c>
      <c r="AQ518" s="129">
        <f t="shared" si="363"/>
        <v/>
      </c>
      <c r="AR518" s="129">
        <f t="shared" si="364"/>
        <v/>
      </c>
      <c r="AS518" s="129">
        <f t="shared" si="365"/>
        <v/>
      </c>
      <c r="AT518" s="129">
        <f t="shared" si="366"/>
        <v/>
      </c>
      <c r="AU518" s="129">
        <f t="shared" si="367"/>
        <v/>
      </c>
      <c r="AV518" s="129">
        <f t="shared" si="368"/>
        <v/>
      </c>
      <c r="AW518" s="129">
        <f>IF(AV518="","",AV518&amp;"."&amp;COUNTIFS($A$3:A518,A518,$AV$3:AV518,AV518))</f>
        <v/>
      </c>
      <c r="AX518" s="129">
        <f t="shared" si="369"/>
        <v/>
      </c>
      <c r="AY518" s="129">
        <f>IF(N518="б/к",0,IF(OR(ISNUMBER(SEARCH("L=",Разбивка_по_щитам!P518)),N518="+",N518="="),1,0))</f>
      </c>
      <c r="AZ518" s="129">
        <f t="shared" si="370"/>
        <v/>
      </c>
      <c r="BA518" s="129">
        <f t="shared" si="371"/>
      </c>
      <c r="BB518" s="129">
        <f t="shared" si="372"/>
      </c>
      <c r="BD518" s="129">
        <f t="shared" si="373"/>
      </c>
      <c r="BE518" s="129">
        <f t="shared" si="374"/>
      </c>
      <c r="BF518" s="129">
        <f t="shared" si="375"/>
      </c>
      <c r="BG518" s="129">
        <f t="shared" si="376"/>
        <v/>
      </c>
      <c r="BH518" s="129">
        <f t="shared" si="377"/>
        <v/>
      </c>
      <c r="BI518" s="129">
        <f t="shared" si="378"/>
        <v/>
      </c>
      <c r="BJ518" s="129">
        <f t="shared" si="379"/>
        <v/>
      </c>
      <c r="BK518" s="129">
        <f>IF(R518="","",IF(OR(BY518="",BY518=0),"BOX",IFERROR(IF(VLOOKUP(BY518,УГО_блоки,3,FALSE)&amp;""&lt;&gt;"",VLOOKUP(BY518,УГО_блоки,3,FALSE),VLOOKUP(BY518,УГО_блоки,2,FALSE)),BY518)))</f>
      </c>
      <c r="BL518" s="129">
        <f t="shared" si="381"/>
      </c>
      <c r="BM518" s="129">
        <f>IF(H518="","",IF(COUNTIF($H$3:H518,H518)=1,MAX($BM$2:BM517)+1,""))</f>
      </c>
      <c r="BN518" s="129">
        <f>IF(I518="","",IF(COUNTIF($I$3:I518,I518)+COUNTIF($J$2:J517,I518)+COUNTIF($K$2:K517,I518)=1,MAX($BN$2:BP517)+1,""))</f>
      </c>
      <c r="BO518" s="129">
        <f>IF(J518="","",IF(COUNTIF($I$3:I518,J518)+COUNTIF($J$3:J518,J518)+COUNTIF($K$2:K517,J518)=1,MAX($BN$2:BP517,BN518)+1,""))</f>
      </c>
      <c r="BP518" s="129">
        <f>IF(K518="","",IF(COUNTIF($I$3:I518,K518)+COUNTIF($J$3:J518,K518)+COUNTIF($K$3:K518,K518)=1,MAX($BN$2:BP517,BN518,BO518)+1,""))</f>
      </c>
      <c r="BQ518" s="129">
        <f>IF(AY518=1,IFERROR(MID(Q518,FIND(" (",Q518)+2,FIND(")",Q518,FIND(" (",Q518))-FIND(" (",Q518)-2),"?"),"")</f>
      </c>
      <c r="BR518" s="129">
        <f>IF(BQ518="","",IF(COUNTIF($BQ$3:BQ518,BQ518)=1,MAX($BR$2:BR517)+1,""))</f>
      </c>
      <c r="BS518" s="129">
        <f>IF(AW518="","",COUNTIF($AW$3:AW518,"?*"))</f>
      </c>
      <c r="BT518" s="129">
        <f>IF(OR(AW518="",AI518=""),"",IF(COUNTIFS($AW$3:AW518,"?*",$AI$3:AI518,AI518)=1,MAX($BT$2:BT517)+1,""))</f>
      </c>
      <c r="BU518" s="129">
        <f>IF(AE518="",0,IF(OR(ISNUMBER(SEARCH("дубль",AE518)),ISNUMBER(SEARCH("ПЕРЕГРУЗ",AE518)),ISNUMBER(SEARCH("ЗАЩИЩ",AE518)),ISNUMBER(SEARCH("КАНАЛ",AE518)),ISNUMBER(SEARCH("без 30",AE518))),2,1))</f>
      </c>
      <c r="BV518" s="129">
        <f>IF(R518="","",COUNTIF($R$3:R518,"?*"))</f>
      </c>
      <c r="BW518" s="129">
        <f>IF(AY518&lt;&gt;1,0,IF(MAX(IFERROR(--VLOOKUP(R518,УГО_спр,5,FALSE),0),IFERROR(--VLOOKUP(AL518,УГО_спр,5,FALSE),0),IFERROR(--VLOOKUP(LEFT(AL518,2),УГО_спр,5,FALSE),0))&gt;0,MAX(IFERROR(--VLOOKUP(R518,УГО_спр,5,FALSE),0),IFERROR(--VLOOKUP(AL518,УГО_спр,5,FALSE),0),IFERROR(--VLOOKUP(LEFT(AL518,2),УГО_спр,5,FALSE),0)),IF(IFERROR(--LEFT(SUBSTITUTE(BQ518,"x","х"),FIND("х",SUBSTITUTE(BQ518,"x","х"))-1),3)&gt;3,Каталог!$S$9,1)))</f>
      </c>
      <c r="BX518" s="129">
        <f>IF(AY518&lt;&gt;1,0,MAX(0,IFERROR(--LEFT(SUBSTITUTE(BQ518,"x","х"),FIND("х",SUBSTITUTE(BQ518,"x","х"))-1),3)-3*BW518))</f>
      </c>
      <c r="BY518" s="129">
        <f>IF(R518="","",IFERROR(VLOOKUP(R518,УГО_спр,2,FALSE),IFERROR(VLOOKUP(AL518,УГО_спр,2,FALSE),IFERROR(VLOOKUP(LEFT(AL518,2),УГО_спр,2,FALSE),""))))</f>
      </c>
    </row>
    <row r="519" spans="1:64" x14ac:dyDescent="0.3">
      <c r="A519" s="135">
        <f>IF(Разбивка_по_щитам!F519=0,"",Разбивка_по_щитам!F519)</f>
        <v/>
      </c>
      <c r="B519" s="138">
        <f>IF(A519="","",Разбивка_по_щитам!C519)</f>
        <v/>
      </c>
      <c r="C519" s="138">
        <f t="shared" si="342"/>
        <v/>
      </c>
      <c r="D519" s="266"/>
      <c r="E519" s="266"/>
      <c r="F519" s="267"/>
      <c r="G519" s="145">
        <f t="shared" si="343"/>
        <v/>
      </c>
      <c r="H519" s="145">
        <f t="shared" si="344"/>
        <v/>
      </c>
      <c r="I519" s="266"/>
      <c r="J519" s="267"/>
      <c r="K519" s="267"/>
      <c r="L519" s="266"/>
      <c r="M519" s="147">
        <f t="shared" si="345"/>
        <v/>
      </c>
      <c r="N519" s="267"/>
      <c r="O519" s="147">
        <f t="shared" si="346"/>
        <v/>
      </c>
      <c r="P519" s="268">
        <f>IF(AY519=1,"XT"&amp;COUNTIFS($A$3:A519,A519,$AY$3:AY519,1),"")</f>
        <v/>
      </c>
      <c r="Q519" s="152">
        <f>IF(R519="","",IFERROR(SUBSTITUTE(Разбивка_по_щитам!P519,CHAR(10)," "),""))</f>
        <v/>
      </c>
      <c r="R519" s="153">
        <f>IF(OR(Разбивка_по_щитам!H519="",Разбивка_по_щитам!H519=0),"",Разбивка_по_щитам!H519)</f>
        <v/>
      </c>
      <c r="S519" s="154">
        <f>IF(R519="","",IFERROR(Разбивка_по_щитам!J519&amp;"",""))</f>
        <v/>
      </c>
      <c r="T519" s="155">
        <f>IF(R519="","",IFERROR(--Разбивка_по_щитам!L519,""))</f>
        <v/>
      </c>
      <c r="U519" s="155">
        <f>IF(R519="","",IFERROR(--Разбивка_по_щитам!K519,""))</f>
        <v/>
      </c>
      <c r="V519" s="138">
        <f>IF(R519="","",IFERROR(IF(Разбивка_по_щитам!M519=0,"",Разбивка_по_щитам!M519),""))</f>
        <v/>
      </c>
      <c r="W519" s="156">
        <f t="shared" si="347"/>
        <v/>
      </c>
      <c r="X519" s="157">
        <f t="shared" si="348"/>
        <v/>
      </c>
      <c r="Y519" s="266"/>
      <c r="Z519" s="158">
        <f t="shared" si="349"/>
        <v/>
      </c>
      <c r="AA519" s="160">
        <f t="shared" si="350"/>
        <v/>
      </c>
      <c r="AB519" s="160">
        <f>IF(R519="","",IFERROR(LOOKUP(INDEX(Справочная!$I$4:$I$19,MATCH(VLOOKUP(R519,Исходные_данные,22,FALSE),Справочная!$J$4:$J$19,0)+1),{6,10,16,20,25,32,40,50,63,80,100,125}),""))</f>
        <v/>
      </c>
      <c r="AC519" s="160">
        <f t="shared" si="351"/>
        <v/>
      </c>
      <c r="AD519" s="161">
        <f t="shared" si="352"/>
        <v/>
      </c>
      <c r="AE519" s="161">
        <f>IF(AND(R519="",G519=""),"",_xlfn.TEXTJOIN("; ",TRUE,IF(AND(R519&lt;&gt;"",V519=""),"нет фазы",""),IF(AND(R519&lt;&gt;"",N(T519)=0),"нет мощности",""),IF(AND(P519&lt;&gt;"",COUNTIFS($A$3:$A$1000,A519,$P$3:$P$1000,P519)&gt;1),"дубль клеммы "&amp;P519,""),IF(AND(W519&lt;&gt;"",W519&lt;&gt;"ok"),W519,""),IF(X519&lt;&gt;"",X519,""),IF(AND(ISNUMBER(SEARCH("(5х",Q519)),N(AK519)=1),"5 жил на 1 фазе",""),IF(AND(AL519="R",E519&lt;&gt;"",N(AS519)=0),"розетка без 30 мА",""),IF(IFERROR(_xlfn.NUMBERVALUE(MID(Q519,FIND("-",Q519,FIND("L=",Q519))+1,FIND("%",Q519)-FIND("-",Q519,FIND("L=",Q519))-1),","),0)&gt;4,"потери &gt; 4 %","")))</f>
      </c>
      <c r="AF519" s="129">
        <f>IF(E519&lt;&gt;"",COUNTIFS($A$3:A519,A519,$E$3:E519,"?*"),IF(OR(A519&lt;&gt;A518,Y519="вручную"),"",AF518))</f>
        <v/>
      </c>
      <c r="AG519" s="129">
        <f t="shared" si="353"/>
        <v/>
      </c>
      <c r="AH519" s="129">
        <f t="shared" si="354"/>
        <v/>
      </c>
      <c r="AI519" s="129">
        <f t="shared" si="355"/>
        <v/>
      </c>
      <c r="AJ519" s="129">
        <f t="shared" si="356"/>
        <v/>
      </c>
      <c r="AK519" s="129">
        <f t="shared" si="357"/>
        <v/>
      </c>
      <c r="AL519" s="129">
        <f t="shared" si="358"/>
        <v/>
      </c>
      <c r="AM519" s="129">
        <f t="shared" si="359"/>
      </c>
      <c r="AN519" s="129">
        <f t="shared" si="360"/>
      </c>
      <c r="AO519" s="129">
        <f t="shared" si="361"/>
        <v/>
      </c>
      <c r="AP519" s="129">
        <f t="shared" si="362"/>
        <v/>
      </c>
      <c r="AQ519" s="129">
        <f t="shared" si="363"/>
        <v/>
      </c>
      <c r="AR519" s="129">
        <f t="shared" si="364"/>
        <v/>
      </c>
      <c r="AS519" s="129">
        <f t="shared" si="365"/>
        <v/>
      </c>
      <c r="AT519" s="129">
        <f t="shared" si="366"/>
        <v/>
      </c>
      <c r="AU519" s="129">
        <f t="shared" si="367"/>
        <v/>
      </c>
      <c r="AV519" s="129">
        <f t="shared" si="368"/>
        <v/>
      </c>
      <c r="AW519" s="129">
        <f>IF(AV519="","",AV519&amp;"."&amp;COUNTIFS($A$3:A519,A519,$AV$3:AV519,AV519))</f>
        <v/>
      </c>
      <c r="AX519" s="129">
        <f t="shared" si="369"/>
        <v/>
      </c>
      <c r="AY519" s="129">
        <f>IF(N519="б/к",0,IF(OR(ISNUMBER(SEARCH("L=",Разбивка_по_щитам!P519)),N519="+",N519="="),1,0))</f>
      </c>
      <c r="AZ519" s="129">
        <f t="shared" si="370"/>
        <v/>
      </c>
      <c r="BA519" s="129">
        <f t="shared" si="371"/>
      </c>
      <c r="BB519" s="129">
        <f t="shared" si="372"/>
      </c>
      <c r="BD519" s="129">
        <f t="shared" si="373"/>
      </c>
      <c r="BE519" s="129">
        <f t="shared" si="374"/>
      </c>
      <c r="BF519" s="129">
        <f t="shared" si="375"/>
      </c>
      <c r="BG519" s="129">
        <f t="shared" si="376"/>
        <v/>
      </c>
      <c r="BH519" s="129">
        <f t="shared" si="377"/>
        <v/>
      </c>
      <c r="BI519" s="129">
        <f t="shared" si="378"/>
        <v/>
      </c>
      <c r="BJ519" s="129">
        <f t="shared" si="379"/>
        <v/>
      </c>
      <c r="BK519" s="129">
        <f>IF(R519="","",IF(OR(BY519="",BY519=0),"BOX",IFERROR(IF(VLOOKUP(BY519,УГО_блоки,3,FALSE)&amp;""&lt;&gt;"",VLOOKUP(BY519,УГО_блоки,3,FALSE),VLOOKUP(BY519,УГО_блоки,2,FALSE)),BY519)))</f>
      </c>
      <c r="BL519" s="129">
        <f t="shared" si="381"/>
      </c>
      <c r="BM519" s="129">
        <f>IF(H519="","",IF(COUNTIF($H$3:H519,H519)=1,MAX($BM$2:BM518)+1,""))</f>
      </c>
      <c r="BN519" s="129">
        <f>IF(I519="","",IF(COUNTIF($I$3:I519,I519)+COUNTIF($J$2:J518,I519)+COUNTIF($K$2:K518,I519)=1,MAX($BN$2:BP518)+1,""))</f>
      </c>
      <c r="BO519" s="129">
        <f>IF(J519="","",IF(COUNTIF($I$3:I519,J519)+COUNTIF($J$3:J519,J519)+COUNTIF($K$2:K518,J519)=1,MAX($BN$2:BP518,BN519)+1,""))</f>
      </c>
      <c r="BP519" s="129">
        <f>IF(K519="","",IF(COUNTIF($I$3:I519,K519)+COUNTIF($J$3:J519,K519)+COUNTIF($K$3:K519,K519)=1,MAX($BN$2:BP518,BN519,BO519)+1,""))</f>
      </c>
      <c r="BQ519" s="129">
        <f>IF(AY519=1,IFERROR(MID(Q519,FIND(" (",Q519)+2,FIND(")",Q519,FIND(" (",Q519))-FIND(" (",Q519)-2),"?"),"")</f>
      </c>
      <c r="BR519" s="129">
        <f>IF(BQ519="","",IF(COUNTIF($BQ$3:BQ519,BQ519)=1,MAX($BR$2:BR518)+1,""))</f>
      </c>
      <c r="BS519" s="129">
        <f>IF(AW519="","",COUNTIF($AW$3:AW519,"?*"))</f>
      </c>
      <c r="BT519" s="129">
        <f>IF(OR(AW519="",AI519=""),"",IF(COUNTIFS($AW$3:AW519,"?*",$AI$3:AI519,AI519)=1,MAX($BT$2:BT518)+1,""))</f>
      </c>
      <c r="BU519" s="129">
        <f>IF(AE519="",0,IF(OR(ISNUMBER(SEARCH("дубль",AE519)),ISNUMBER(SEARCH("ПЕРЕГРУЗ",AE519)),ISNUMBER(SEARCH("ЗАЩИЩ",AE519)),ISNUMBER(SEARCH("КАНАЛ",AE519)),ISNUMBER(SEARCH("без 30",AE519))),2,1))</f>
      </c>
      <c r="BV519" s="129">
        <f>IF(R519="","",COUNTIF($R$3:R519,"?*"))</f>
      </c>
      <c r="BW519" s="129">
        <f>IF(AY519&lt;&gt;1,0,IF(MAX(IFERROR(--VLOOKUP(R519,УГО_спр,5,FALSE),0),IFERROR(--VLOOKUP(AL519,УГО_спр,5,FALSE),0),IFERROR(--VLOOKUP(LEFT(AL519,2),УГО_спр,5,FALSE),0))&gt;0,MAX(IFERROR(--VLOOKUP(R519,УГО_спр,5,FALSE),0),IFERROR(--VLOOKUP(AL519,УГО_спр,5,FALSE),0),IFERROR(--VLOOKUP(LEFT(AL519,2),УГО_спр,5,FALSE),0)),IF(IFERROR(--LEFT(SUBSTITUTE(BQ519,"x","х"),FIND("х",SUBSTITUTE(BQ519,"x","х"))-1),3)&gt;3,Каталог!$S$9,1)))</f>
      </c>
      <c r="BX519" s="129">
        <f>IF(AY519&lt;&gt;1,0,MAX(0,IFERROR(--LEFT(SUBSTITUTE(BQ519,"x","х"),FIND("х",SUBSTITUTE(BQ519,"x","х"))-1),3)-3*BW519))</f>
      </c>
      <c r="BY519" s="129">
        <f>IF(R519="","",IFERROR(VLOOKUP(R519,УГО_спр,2,FALSE),IFERROR(VLOOKUP(AL519,УГО_спр,2,FALSE),IFERROR(VLOOKUP(LEFT(AL519,2),УГО_спр,2,FALSE),""))))</f>
      </c>
    </row>
    <row r="520" spans="1:64" x14ac:dyDescent="0.3">
      <c r="A520" s="135">
        <f>IF(Разбивка_по_щитам!F520=0,"",Разбивка_по_щитам!F520)</f>
        <v/>
      </c>
      <c r="B520" s="138">
        <f>IF(A520="","",Разбивка_по_щитам!C520)</f>
        <v/>
      </c>
      <c r="C520" s="138">
        <f t="shared" si="342"/>
        <v/>
      </c>
      <c r="D520" s="266"/>
      <c r="E520" s="266"/>
      <c r="F520" s="267"/>
      <c r="G520" s="145">
        <f t="shared" si="343"/>
        <v/>
      </c>
      <c r="H520" s="145">
        <f t="shared" si="344"/>
        <v/>
      </c>
      <c r="I520" s="266"/>
      <c r="J520" s="267"/>
      <c r="K520" s="267"/>
      <c r="L520" s="266"/>
      <c r="M520" s="147">
        <f t="shared" si="345"/>
        <v/>
      </c>
      <c r="N520" s="267"/>
      <c r="O520" s="147">
        <f t="shared" si="346"/>
        <v/>
      </c>
      <c r="P520" s="268">
        <f>IF(AY520=1,"XT"&amp;COUNTIFS($A$3:A520,A520,$AY$3:AY520,1),"")</f>
        <v/>
      </c>
      <c r="Q520" s="152">
        <f>IF(R520="","",IFERROR(SUBSTITUTE(Разбивка_по_щитам!P520,CHAR(10)," "),""))</f>
        <v/>
      </c>
      <c r="R520" s="153">
        <f>IF(OR(Разбивка_по_щитам!H520="",Разбивка_по_щитам!H520=0),"",Разбивка_по_щитам!H520)</f>
        <v/>
      </c>
      <c r="S520" s="154">
        <f>IF(R520="","",IFERROR(Разбивка_по_щитам!J520&amp;"",""))</f>
        <v/>
      </c>
      <c r="T520" s="155">
        <f>IF(R520="","",IFERROR(--Разбивка_по_щитам!L520,""))</f>
        <v/>
      </c>
      <c r="U520" s="155">
        <f>IF(R520="","",IFERROR(--Разбивка_по_щитам!K520,""))</f>
        <v/>
      </c>
      <c r="V520" s="138">
        <f>IF(R520="","",IFERROR(IF(Разбивка_по_щитам!M520=0,"",Разбивка_по_щитам!M520),""))</f>
        <v/>
      </c>
      <c r="W520" s="156">
        <f t="shared" si="347"/>
        <v/>
      </c>
      <c r="X520" s="157">
        <f t="shared" si="348"/>
        <v/>
      </c>
      <c r="Y520" s="266"/>
      <c r="Z520" s="158">
        <f t="shared" si="349"/>
        <v/>
      </c>
      <c r="AA520" s="160">
        <f t="shared" si="350"/>
        <v/>
      </c>
      <c r="AB520" s="160">
        <f>IF(R520="","",IFERROR(LOOKUP(INDEX(Справочная!$I$4:$I$19,MATCH(VLOOKUP(R520,Исходные_данные,22,FALSE),Справочная!$J$4:$J$19,0)+1),{6,10,16,20,25,32,40,50,63,80,100,125}),""))</f>
        <v/>
      </c>
      <c r="AC520" s="160">
        <f t="shared" si="351"/>
        <v/>
      </c>
      <c r="AD520" s="161">
        <f t="shared" si="352"/>
        <v/>
      </c>
      <c r="AE520" s="161">
        <f>IF(AND(R520="",G520=""),"",_xlfn.TEXTJOIN("; ",TRUE,IF(AND(R520&lt;&gt;"",V520=""),"нет фазы",""),IF(AND(R520&lt;&gt;"",N(T520)=0),"нет мощности",""),IF(AND(P520&lt;&gt;"",COUNTIFS($A$3:$A$1000,A520,$P$3:$P$1000,P520)&gt;1),"дубль клеммы "&amp;P520,""),IF(AND(W520&lt;&gt;"",W520&lt;&gt;"ok"),W520,""),IF(X520&lt;&gt;"",X520,""),IF(AND(ISNUMBER(SEARCH("(5х",Q520)),N(AK520)=1),"5 жил на 1 фазе",""),IF(AND(AL520="R",E520&lt;&gt;"",N(AS520)=0),"розетка без 30 мА",""),IF(IFERROR(_xlfn.NUMBERVALUE(MID(Q520,FIND("-",Q520,FIND("L=",Q520))+1,FIND("%",Q520)-FIND("-",Q520,FIND("L=",Q520))-1),","),0)&gt;4,"потери &gt; 4 %","")))</f>
      </c>
      <c r="AF520" s="129">
        <f>IF(E520&lt;&gt;"",COUNTIFS($A$3:A520,A520,$E$3:E520,"?*"),IF(OR(A520&lt;&gt;A519,Y520="вручную"),"",AF519))</f>
        <v/>
      </c>
      <c r="AG520" s="129">
        <f t="shared" si="353"/>
        <v/>
      </c>
      <c r="AH520" s="129">
        <f t="shared" si="354"/>
        <v/>
      </c>
      <c r="AI520" s="129">
        <f t="shared" si="355"/>
        <v/>
      </c>
      <c r="AJ520" s="129">
        <f t="shared" si="356"/>
        <v/>
      </c>
      <c r="AK520" s="129">
        <f t="shared" si="357"/>
        <v/>
      </c>
      <c r="AL520" s="129">
        <f t="shared" si="358"/>
        <v/>
      </c>
      <c r="AM520" s="129">
        <f t="shared" si="359"/>
      </c>
      <c r="AN520" s="129">
        <f t="shared" si="360"/>
      </c>
      <c r="AO520" s="129">
        <f t="shared" si="361"/>
        <v/>
      </c>
      <c r="AP520" s="129">
        <f t="shared" si="362"/>
        <v/>
      </c>
      <c r="AQ520" s="129">
        <f t="shared" si="363"/>
        <v/>
      </c>
      <c r="AR520" s="129">
        <f t="shared" si="364"/>
        <v/>
      </c>
      <c r="AS520" s="129">
        <f t="shared" si="365"/>
        <v/>
      </c>
      <c r="AT520" s="129">
        <f t="shared" si="366"/>
        <v/>
      </c>
      <c r="AU520" s="129">
        <f t="shared" si="367"/>
        <v/>
      </c>
      <c r="AV520" s="129">
        <f t="shared" si="368"/>
        <v/>
      </c>
      <c r="AW520" s="129">
        <f>IF(AV520="","",AV520&amp;"."&amp;COUNTIFS($A$3:A520,A520,$AV$3:AV520,AV520))</f>
        <v/>
      </c>
      <c r="AX520" s="129">
        <f t="shared" si="369"/>
        <v/>
      </c>
      <c r="AY520" s="129">
        <f>IF(N520="б/к",0,IF(OR(ISNUMBER(SEARCH("L=",Разбивка_по_щитам!P520)),N520="+",N520="="),1,0))</f>
      </c>
      <c r="AZ520" s="129">
        <f t="shared" si="370"/>
        <v/>
      </c>
      <c r="BA520" s="129">
        <f t="shared" si="371"/>
      </c>
      <c r="BB520" s="129">
        <f t="shared" si="372"/>
      </c>
      <c r="BD520" s="129">
        <f t="shared" si="373"/>
      </c>
      <c r="BE520" s="129">
        <f t="shared" si="374"/>
      </c>
      <c r="BF520" s="129">
        <f t="shared" si="375"/>
      </c>
      <c r="BG520" s="129">
        <f t="shared" si="376"/>
        <v/>
      </c>
      <c r="BH520" s="129">
        <f t="shared" si="377"/>
        <v/>
      </c>
      <c r="BI520" s="129">
        <f t="shared" si="378"/>
        <v/>
      </c>
      <c r="BJ520" s="129">
        <f t="shared" si="379"/>
        <v/>
      </c>
      <c r="BK520" s="129">
        <f>IF(R520="","",IF(OR(BY520="",BY520=0),"BOX",IFERROR(IF(VLOOKUP(BY520,УГО_блоки,3,FALSE)&amp;""&lt;&gt;"",VLOOKUP(BY520,УГО_блоки,3,FALSE),VLOOKUP(BY520,УГО_блоки,2,FALSE)),BY520)))</f>
      </c>
      <c r="BL520" s="129">
        <f t="shared" si="381"/>
      </c>
      <c r="BM520" s="129">
        <f>IF(H520="","",IF(COUNTIF($H$3:H520,H520)=1,MAX($BM$2:BM519)+1,""))</f>
      </c>
      <c r="BN520" s="129">
        <f>IF(I520="","",IF(COUNTIF($I$3:I520,I520)+COUNTIF($J$2:J519,I520)+COUNTIF($K$2:K519,I520)=1,MAX($BN$2:BP519)+1,""))</f>
      </c>
      <c r="BO520" s="129">
        <f>IF(J520="","",IF(COUNTIF($I$3:I520,J520)+COUNTIF($J$3:J520,J520)+COUNTIF($K$2:K519,J520)=1,MAX($BN$2:BP519,BN520)+1,""))</f>
      </c>
      <c r="BP520" s="129">
        <f>IF(K520="","",IF(COUNTIF($I$3:I520,K520)+COUNTIF($J$3:J520,K520)+COUNTIF($K$3:K520,K520)=1,MAX($BN$2:BP519,BN520,BO520)+1,""))</f>
      </c>
      <c r="BQ520" s="129">
        <f>IF(AY520=1,IFERROR(MID(Q520,FIND(" (",Q520)+2,FIND(")",Q520,FIND(" (",Q520))-FIND(" (",Q520)-2),"?"),"")</f>
      </c>
      <c r="BR520" s="129">
        <f>IF(BQ520="","",IF(COUNTIF($BQ$3:BQ520,BQ520)=1,MAX($BR$2:BR519)+1,""))</f>
      </c>
      <c r="BS520" s="129">
        <f>IF(AW520="","",COUNTIF($AW$3:AW520,"?*"))</f>
      </c>
      <c r="BT520" s="129">
        <f>IF(OR(AW520="",AI520=""),"",IF(COUNTIFS($AW$3:AW520,"?*",$AI$3:AI520,AI520)=1,MAX($BT$2:BT519)+1,""))</f>
      </c>
      <c r="BU520" s="129">
        <f>IF(AE520="",0,IF(OR(ISNUMBER(SEARCH("дубль",AE520)),ISNUMBER(SEARCH("ПЕРЕГРУЗ",AE520)),ISNUMBER(SEARCH("ЗАЩИЩ",AE520)),ISNUMBER(SEARCH("КАНАЛ",AE520)),ISNUMBER(SEARCH("без 30",AE520))),2,1))</f>
      </c>
      <c r="BV520" s="129">
        <f>IF(R520="","",COUNTIF($R$3:R520,"?*"))</f>
      </c>
      <c r="BW520" s="129">
        <f>IF(AY520&lt;&gt;1,0,IF(MAX(IFERROR(--VLOOKUP(R520,УГО_спр,5,FALSE),0),IFERROR(--VLOOKUP(AL520,УГО_спр,5,FALSE),0),IFERROR(--VLOOKUP(LEFT(AL520,2),УГО_спр,5,FALSE),0))&gt;0,MAX(IFERROR(--VLOOKUP(R520,УГО_спр,5,FALSE),0),IFERROR(--VLOOKUP(AL520,УГО_спр,5,FALSE),0),IFERROR(--VLOOKUP(LEFT(AL520,2),УГО_спр,5,FALSE),0)),IF(IFERROR(--LEFT(SUBSTITUTE(BQ520,"x","х"),FIND("х",SUBSTITUTE(BQ520,"x","х"))-1),3)&gt;3,Каталог!$S$9,1)))</f>
      </c>
      <c r="BX520" s="129">
        <f>IF(AY520&lt;&gt;1,0,MAX(0,IFERROR(--LEFT(SUBSTITUTE(BQ520,"x","х"),FIND("х",SUBSTITUTE(BQ520,"x","х"))-1),3)-3*BW520))</f>
      </c>
      <c r="BY520" s="129">
        <f>IF(R520="","",IFERROR(VLOOKUP(R520,УГО_спр,2,FALSE),IFERROR(VLOOKUP(AL520,УГО_спр,2,FALSE),IFERROR(VLOOKUP(LEFT(AL520,2),УГО_спр,2,FALSE),""))))</f>
      </c>
    </row>
    <row r="521" spans="1:64" x14ac:dyDescent="0.3">
      <c r="A521" s="135">
        <f>IF(Разбивка_по_щитам!F521=0,"",Разбивка_по_щитам!F521)</f>
        <v/>
      </c>
      <c r="B521" s="138">
        <f>IF(A521="","",Разбивка_по_щитам!C521)</f>
        <v/>
      </c>
      <c r="C521" s="138">
        <f t="shared" si="342"/>
        <v/>
      </c>
      <c r="D521" s="266"/>
      <c r="E521" s="266"/>
      <c r="F521" s="267"/>
      <c r="G521" s="145">
        <f t="shared" si="343"/>
        <v/>
      </c>
      <c r="H521" s="145">
        <f t="shared" si="344"/>
        <v/>
      </c>
      <c r="I521" s="266"/>
      <c r="J521" s="267"/>
      <c r="K521" s="267"/>
      <c r="L521" s="266"/>
      <c r="M521" s="147">
        <f t="shared" si="345"/>
        <v/>
      </c>
      <c r="N521" s="267"/>
      <c r="O521" s="147">
        <f t="shared" si="346"/>
        <v/>
      </c>
      <c r="P521" s="268">
        <f>IF(AY521=1,"XT"&amp;COUNTIFS($A$3:A521,A521,$AY$3:AY521,1),"")</f>
        <v/>
      </c>
      <c r="Q521" s="152">
        <f>IF(R521="","",IFERROR(SUBSTITUTE(Разбивка_по_щитам!P521,CHAR(10)," "),""))</f>
        <v/>
      </c>
      <c r="R521" s="153">
        <f>IF(OR(Разбивка_по_щитам!H521="",Разбивка_по_щитам!H521=0),"",Разбивка_по_щитам!H521)</f>
        <v/>
      </c>
      <c r="S521" s="154">
        <f>IF(R521="","",IFERROR(Разбивка_по_щитам!J521&amp;"",""))</f>
        <v/>
      </c>
      <c r="T521" s="155">
        <f>IF(R521="","",IFERROR(--Разбивка_по_щитам!L521,""))</f>
        <v/>
      </c>
      <c r="U521" s="155">
        <f>IF(R521="","",IFERROR(--Разбивка_по_щитам!K521,""))</f>
        <v/>
      </c>
      <c r="V521" s="138">
        <f>IF(R521="","",IFERROR(IF(Разбивка_по_щитам!M521=0,"",Разбивка_по_щитам!M521),""))</f>
        <v/>
      </c>
      <c r="W521" s="156">
        <f t="shared" si="347"/>
        <v/>
      </c>
      <c r="X521" s="157">
        <f t="shared" si="348"/>
        <v/>
      </c>
      <c r="Y521" s="266"/>
      <c r="Z521" s="158">
        <f t="shared" si="349"/>
        <v/>
      </c>
      <c r="AA521" s="160">
        <f t="shared" si="350"/>
        <v/>
      </c>
      <c r="AB521" s="160">
        <f>IF(R521="","",IFERROR(LOOKUP(INDEX(Справочная!$I$4:$I$19,MATCH(VLOOKUP(R521,Исходные_данные,22,FALSE),Справочная!$J$4:$J$19,0)+1),{6,10,16,20,25,32,40,50,63,80,100,125}),""))</f>
        <v/>
      </c>
      <c r="AC521" s="160">
        <f t="shared" si="351"/>
        <v/>
      </c>
      <c r="AD521" s="161">
        <f t="shared" si="352"/>
        <v/>
      </c>
      <c r="AE521" s="161">
        <f>IF(AND(R521="",G521=""),"",_xlfn.TEXTJOIN("; ",TRUE,IF(AND(R521&lt;&gt;"",V521=""),"нет фазы",""),IF(AND(R521&lt;&gt;"",N(T521)=0),"нет мощности",""),IF(AND(P521&lt;&gt;"",COUNTIFS($A$3:$A$1000,A521,$P$3:$P$1000,P521)&gt;1),"дубль клеммы "&amp;P521,""),IF(AND(W521&lt;&gt;"",W521&lt;&gt;"ok"),W521,""),IF(X521&lt;&gt;"",X521,""),IF(AND(ISNUMBER(SEARCH("(5х",Q521)),N(AK521)=1),"5 жил на 1 фазе",""),IF(AND(AL521="R",E521&lt;&gt;"",N(AS521)=0),"розетка без 30 мА",""),IF(IFERROR(_xlfn.NUMBERVALUE(MID(Q521,FIND("-",Q521,FIND("L=",Q521))+1,FIND("%",Q521)-FIND("-",Q521,FIND("L=",Q521))-1),","),0)&gt;4,"потери &gt; 4 %","")))</f>
      </c>
      <c r="AF521" s="129">
        <f>IF(E521&lt;&gt;"",COUNTIFS($A$3:A521,A521,$E$3:E521,"?*"),IF(OR(A521&lt;&gt;A520,Y521="вручную"),"",AF520))</f>
        <v/>
      </c>
      <c r="AG521" s="129">
        <f t="shared" si="353"/>
        <v/>
      </c>
      <c r="AH521" s="129">
        <f t="shared" si="354"/>
        <v/>
      </c>
      <c r="AI521" s="129">
        <f t="shared" si="355"/>
        <v/>
      </c>
      <c r="AJ521" s="129">
        <f t="shared" si="356"/>
        <v/>
      </c>
      <c r="AK521" s="129">
        <f t="shared" si="357"/>
        <v/>
      </c>
      <c r="AL521" s="129">
        <f t="shared" si="358"/>
        <v/>
      </c>
      <c r="AM521" s="129">
        <f t="shared" si="359"/>
      </c>
      <c r="AN521" s="129">
        <f t="shared" si="360"/>
      </c>
      <c r="AO521" s="129">
        <f t="shared" si="361"/>
        <v/>
      </c>
      <c r="AP521" s="129">
        <f t="shared" si="362"/>
        <v/>
      </c>
      <c r="AQ521" s="129">
        <f t="shared" si="363"/>
        <v/>
      </c>
      <c r="AR521" s="129">
        <f t="shared" si="364"/>
        <v/>
      </c>
      <c r="AS521" s="129">
        <f t="shared" si="365"/>
        <v/>
      </c>
      <c r="AT521" s="129">
        <f t="shared" si="366"/>
        <v/>
      </c>
      <c r="AU521" s="129">
        <f t="shared" si="367"/>
        <v/>
      </c>
      <c r="AV521" s="129">
        <f t="shared" si="368"/>
        <v/>
      </c>
      <c r="AW521" s="129">
        <f>IF(AV521="","",AV521&amp;"."&amp;COUNTIFS($A$3:A521,A521,$AV$3:AV521,AV521))</f>
        <v/>
      </c>
      <c r="AX521" s="129">
        <f t="shared" si="369"/>
        <v/>
      </c>
      <c r="AY521" s="129">
        <f>IF(N521="б/к",0,IF(OR(ISNUMBER(SEARCH("L=",Разбивка_по_щитам!P521)),N521="+",N521="="),1,0))</f>
      </c>
      <c r="AZ521" s="129">
        <f t="shared" si="370"/>
        <v/>
      </c>
      <c r="BA521" s="129">
        <f t="shared" si="371"/>
      </c>
      <c r="BB521" s="129">
        <f t="shared" si="372"/>
      </c>
      <c r="BD521" s="129">
        <f t="shared" si="373"/>
      </c>
      <c r="BE521" s="129">
        <f t="shared" si="374"/>
      </c>
      <c r="BF521" s="129">
        <f t="shared" si="375"/>
      </c>
      <c r="BG521" s="129">
        <f t="shared" si="376"/>
        <v/>
      </c>
      <c r="BH521" s="129">
        <f t="shared" si="377"/>
        <v/>
      </c>
      <c r="BI521" s="129">
        <f t="shared" si="378"/>
        <v/>
      </c>
      <c r="BJ521" s="129">
        <f t="shared" si="379"/>
        <v/>
      </c>
      <c r="BK521" s="129">
        <f>IF(R521="","",IF(OR(BY521="",BY521=0),"BOX",IFERROR(IF(VLOOKUP(BY521,УГО_блоки,3,FALSE)&amp;""&lt;&gt;"",VLOOKUP(BY521,УГО_блоки,3,FALSE),VLOOKUP(BY521,УГО_блоки,2,FALSE)),BY521)))</f>
      </c>
      <c r="BL521" s="129">
        <f t="shared" si="381"/>
      </c>
      <c r="BM521" s="129">
        <f>IF(H521="","",IF(COUNTIF($H$3:H521,H521)=1,MAX($BM$2:BM520)+1,""))</f>
      </c>
      <c r="BN521" s="129">
        <f>IF(I521="","",IF(COUNTIF($I$3:I521,I521)+COUNTIF($J$2:J520,I521)+COUNTIF($K$2:K520,I521)=1,MAX($BN$2:BP520)+1,""))</f>
      </c>
      <c r="BO521" s="129">
        <f>IF(J521="","",IF(COUNTIF($I$3:I521,J521)+COUNTIF($J$3:J521,J521)+COUNTIF($K$2:K520,J521)=1,MAX($BN$2:BP520,BN521)+1,""))</f>
      </c>
      <c r="BP521" s="129">
        <f>IF(K521="","",IF(COUNTIF($I$3:I521,K521)+COUNTIF($J$3:J521,K521)+COUNTIF($K$3:K521,K521)=1,MAX($BN$2:BP520,BN521,BO521)+1,""))</f>
      </c>
      <c r="BQ521" s="129">
        <f>IF(AY521=1,IFERROR(MID(Q521,FIND(" (",Q521)+2,FIND(")",Q521,FIND(" (",Q521))-FIND(" (",Q521)-2),"?"),"")</f>
      </c>
      <c r="BR521" s="129">
        <f>IF(BQ521="","",IF(COUNTIF($BQ$3:BQ521,BQ521)=1,MAX($BR$2:BR520)+1,""))</f>
      </c>
      <c r="BS521" s="129">
        <f>IF(AW521="","",COUNTIF($AW$3:AW521,"?*"))</f>
      </c>
      <c r="BT521" s="129">
        <f>IF(OR(AW521="",AI521=""),"",IF(COUNTIFS($AW$3:AW521,"?*",$AI$3:AI521,AI521)=1,MAX($BT$2:BT520)+1,""))</f>
      </c>
      <c r="BU521" s="129">
        <f>IF(AE521="",0,IF(OR(ISNUMBER(SEARCH("дубль",AE521)),ISNUMBER(SEARCH("ПЕРЕГРУЗ",AE521)),ISNUMBER(SEARCH("ЗАЩИЩ",AE521)),ISNUMBER(SEARCH("КАНАЛ",AE521)),ISNUMBER(SEARCH("без 30",AE521))),2,1))</f>
      </c>
      <c r="BV521" s="129">
        <f>IF(R521="","",COUNTIF($R$3:R521,"?*"))</f>
      </c>
      <c r="BW521" s="129">
        <f>IF(AY521&lt;&gt;1,0,IF(MAX(IFERROR(--VLOOKUP(R521,УГО_спр,5,FALSE),0),IFERROR(--VLOOKUP(AL521,УГО_спр,5,FALSE),0),IFERROR(--VLOOKUP(LEFT(AL521,2),УГО_спр,5,FALSE),0))&gt;0,MAX(IFERROR(--VLOOKUP(R521,УГО_спр,5,FALSE),0),IFERROR(--VLOOKUP(AL521,УГО_спр,5,FALSE),0),IFERROR(--VLOOKUP(LEFT(AL521,2),УГО_спр,5,FALSE),0)),IF(IFERROR(--LEFT(SUBSTITUTE(BQ521,"x","х"),FIND("х",SUBSTITUTE(BQ521,"x","х"))-1),3)&gt;3,Каталог!$S$9,1)))</f>
      </c>
      <c r="BX521" s="129">
        <f>IF(AY521&lt;&gt;1,0,MAX(0,IFERROR(--LEFT(SUBSTITUTE(BQ521,"x","х"),FIND("х",SUBSTITUTE(BQ521,"x","х"))-1),3)-3*BW521))</f>
      </c>
      <c r="BY521" s="129">
        <f>IF(R521="","",IFERROR(VLOOKUP(R521,УГО_спр,2,FALSE),IFERROR(VLOOKUP(AL521,УГО_спр,2,FALSE),IFERROR(VLOOKUP(LEFT(AL521,2),УГО_спр,2,FALSE),""))))</f>
      </c>
    </row>
    <row r="522" spans="1:64" x14ac:dyDescent="0.3">
      <c r="A522" s="135">
        <f>IF(Разбивка_по_щитам!F522=0,"",Разбивка_по_щитам!F522)</f>
        <v/>
      </c>
      <c r="B522" s="138">
        <f>IF(A522="","",Разбивка_по_щитам!C522)</f>
        <v/>
      </c>
      <c r="C522" s="138">
        <f t="shared" si="342"/>
        <v/>
      </c>
      <c r="D522" s="266"/>
      <c r="E522" s="266"/>
      <c r="F522" s="267"/>
      <c r="G522" s="145">
        <f t="shared" si="343"/>
        <v/>
      </c>
      <c r="H522" s="145">
        <f t="shared" si="344"/>
        <v/>
      </c>
      <c r="I522" s="266"/>
      <c r="J522" s="267"/>
      <c r="K522" s="267"/>
      <c r="L522" s="266"/>
      <c r="M522" s="147">
        <f t="shared" si="345"/>
        <v/>
      </c>
      <c r="N522" s="267"/>
      <c r="O522" s="147">
        <f t="shared" si="346"/>
        <v/>
      </c>
      <c r="P522" s="268">
        <f>IF(AY522=1,"XT"&amp;COUNTIFS($A$3:A522,A522,$AY$3:AY522,1),"")</f>
        <v/>
      </c>
      <c r="Q522" s="152">
        <f>IF(R522="","",IFERROR(SUBSTITUTE(Разбивка_по_щитам!P522,CHAR(10)," "),""))</f>
        <v/>
      </c>
      <c r="R522" s="153">
        <f>IF(OR(Разбивка_по_щитам!H522="",Разбивка_по_щитам!H522=0),"",Разбивка_по_щитам!H522)</f>
        <v/>
      </c>
      <c r="S522" s="154">
        <f>IF(R522="","",IFERROR(Разбивка_по_щитам!J522&amp;"",""))</f>
        <v/>
      </c>
      <c r="T522" s="155">
        <f>IF(R522="","",IFERROR(--Разбивка_по_щитам!L522,""))</f>
        <v/>
      </c>
      <c r="U522" s="155">
        <f>IF(R522="","",IFERROR(--Разбивка_по_щитам!K522,""))</f>
        <v/>
      </c>
      <c r="V522" s="138">
        <f>IF(R522="","",IFERROR(IF(Разбивка_по_щитам!M522=0,"",Разбивка_по_щитам!M522),""))</f>
        <v/>
      </c>
      <c r="W522" s="156">
        <f t="shared" si="347"/>
        <v/>
      </c>
      <c r="X522" s="157">
        <f t="shared" si="348"/>
        <v/>
      </c>
      <c r="Y522" s="266"/>
      <c r="Z522" s="158">
        <f t="shared" si="349"/>
        <v/>
      </c>
      <c r="AA522" s="160">
        <f t="shared" si="350"/>
        <v/>
      </c>
      <c r="AB522" s="160">
        <f>IF(R522="","",IFERROR(LOOKUP(INDEX(Справочная!$I$4:$I$19,MATCH(VLOOKUP(R522,Исходные_данные,22,FALSE),Справочная!$J$4:$J$19,0)+1),{6,10,16,20,25,32,40,50,63,80,100,125}),""))</f>
        <v/>
      </c>
      <c r="AC522" s="160">
        <f t="shared" si="351"/>
        <v/>
      </c>
      <c r="AD522" s="161">
        <f t="shared" si="352"/>
        <v/>
      </c>
      <c r="AE522" s="161">
        <f>IF(AND(R522="",G522=""),"",_xlfn.TEXTJOIN("; ",TRUE,IF(AND(R522&lt;&gt;"",V522=""),"нет фазы",""),IF(AND(R522&lt;&gt;"",N(T522)=0),"нет мощности",""),IF(AND(P522&lt;&gt;"",COUNTIFS($A$3:$A$1000,A522,$P$3:$P$1000,P522)&gt;1),"дубль клеммы "&amp;P522,""),IF(AND(W522&lt;&gt;"",W522&lt;&gt;"ok"),W522,""),IF(X522&lt;&gt;"",X522,""),IF(AND(ISNUMBER(SEARCH("(5х",Q522)),N(AK522)=1),"5 жил на 1 фазе",""),IF(AND(AL522="R",E522&lt;&gt;"",N(AS522)=0),"розетка без 30 мА",""),IF(IFERROR(_xlfn.NUMBERVALUE(MID(Q522,FIND("-",Q522,FIND("L=",Q522))+1,FIND("%",Q522)-FIND("-",Q522,FIND("L=",Q522))-1),","),0)&gt;4,"потери &gt; 4 %","")))</f>
      </c>
      <c r="AF522" s="129">
        <f>IF(E522&lt;&gt;"",COUNTIFS($A$3:A522,A522,$E$3:E522,"?*"),IF(OR(A522&lt;&gt;A521,Y522="вручную"),"",AF521))</f>
        <v/>
      </c>
      <c r="AG522" s="129">
        <f t="shared" si="353"/>
        <v/>
      </c>
      <c r="AH522" s="129">
        <f t="shared" si="354"/>
        <v/>
      </c>
      <c r="AI522" s="129">
        <f t="shared" si="355"/>
        <v/>
      </c>
      <c r="AJ522" s="129">
        <f t="shared" si="356"/>
        <v/>
      </c>
      <c r="AK522" s="129">
        <f t="shared" si="357"/>
        <v/>
      </c>
      <c r="AL522" s="129">
        <f t="shared" si="358"/>
        <v/>
      </c>
      <c r="AM522" s="129">
        <f t="shared" si="359"/>
      </c>
      <c r="AN522" s="129">
        <f t="shared" si="360"/>
      </c>
      <c r="AO522" s="129">
        <f t="shared" si="361"/>
        <v/>
      </c>
      <c r="AP522" s="129">
        <f t="shared" si="362"/>
        <v/>
      </c>
      <c r="AQ522" s="129">
        <f t="shared" si="363"/>
        <v/>
      </c>
      <c r="AR522" s="129">
        <f t="shared" si="364"/>
        <v/>
      </c>
      <c r="AS522" s="129">
        <f t="shared" si="365"/>
        <v/>
      </c>
      <c r="AT522" s="129">
        <f t="shared" si="366"/>
        <v/>
      </c>
      <c r="AU522" s="129">
        <f t="shared" si="367"/>
        <v/>
      </c>
      <c r="AV522" s="129">
        <f t="shared" si="368"/>
        <v/>
      </c>
      <c r="AW522" s="129">
        <f>IF(AV522="","",AV522&amp;"."&amp;COUNTIFS($A$3:A522,A522,$AV$3:AV522,AV522))</f>
        <v/>
      </c>
      <c r="AX522" s="129">
        <f t="shared" si="369"/>
        <v/>
      </c>
      <c r="AY522" s="129">
        <f>IF(N522="б/к",0,IF(OR(ISNUMBER(SEARCH("L=",Разбивка_по_щитам!P522)),N522="+",N522="="),1,0))</f>
      </c>
      <c r="AZ522" s="129">
        <f t="shared" si="370"/>
        <v/>
      </c>
      <c r="BA522" s="129">
        <f t="shared" si="371"/>
      </c>
      <c r="BB522" s="129">
        <f t="shared" si="372"/>
      </c>
      <c r="BD522" s="129">
        <f t="shared" si="373"/>
      </c>
      <c r="BE522" s="129">
        <f t="shared" si="374"/>
      </c>
      <c r="BF522" s="129">
        <f t="shared" si="375"/>
      </c>
      <c r="BG522" s="129">
        <f t="shared" si="376"/>
        <v/>
      </c>
      <c r="BH522" s="129">
        <f t="shared" si="377"/>
        <v/>
      </c>
      <c r="BI522" s="129">
        <f t="shared" si="378"/>
        <v/>
      </c>
      <c r="BJ522" s="129">
        <f t="shared" si="379"/>
        <v/>
      </c>
      <c r="BK522" s="129">
        <f>IF(R522="","",IF(OR(BY522="",BY522=0),"BOX",IFERROR(IF(VLOOKUP(BY522,УГО_блоки,3,FALSE)&amp;""&lt;&gt;"",VLOOKUP(BY522,УГО_блоки,3,FALSE),VLOOKUP(BY522,УГО_блоки,2,FALSE)),BY522)))</f>
      </c>
      <c r="BL522" s="129">
        <f t="shared" si="381"/>
      </c>
      <c r="BM522" s="129">
        <f>IF(H522="","",IF(COUNTIF($H$3:H522,H522)=1,MAX($BM$2:BM521)+1,""))</f>
      </c>
      <c r="BN522" s="129">
        <f>IF(I522="","",IF(COUNTIF($I$3:I522,I522)+COUNTIF($J$2:J521,I522)+COUNTIF($K$2:K521,I522)=1,MAX($BN$2:BP521)+1,""))</f>
      </c>
      <c r="BO522" s="129">
        <f>IF(J522="","",IF(COUNTIF($I$3:I522,J522)+COUNTIF($J$3:J522,J522)+COUNTIF($K$2:K521,J522)=1,MAX($BN$2:BP521,BN522)+1,""))</f>
      </c>
      <c r="BP522" s="129">
        <f>IF(K522="","",IF(COUNTIF($I$3:I522,K522)+COUNTIF($J$3:J522,K522)+COUNTIF($K$3:K522,K522)=1,MAX($BN$2:BP521,BN522,BO522)+1,""))</f>
      </c>
      <c r="BQ522" s="129">
        <f>IF(AY522=1,IFERROR(MID(Q522,FIND(" (",Q522)+2,FIND(")",Q522,FIND(" (",Q522))-FIND(" (",Q522)-2),"?"),"")</f>
      </c>
      <c r="BR522" s="129">
        <f>IF(BQ522="","",IF(COUNTIF($BQ$3:BQ522,BQ522)=1,MAX($BR$2:BR521)+1,""))</f>
      </c>
      <c r="BS522" s="129">
        <f>IF(AW522="","",COUNTIF($AW$3:AW522,"?*"))</f>
      </c>
      <c r="BT522" s="129">
        <f>IF(OR(AW522="",AI522=""),"",IF(COUNTIFS($AW$3:AW522,"?*",$AI$3:AI522,AI522)=1,MAX($BT$2:BT521)+1,""))</f>
      </c>
      <c r="BU522" s="129">
        <f>IF(AE522="",0,IF(OR(ISNUMBER(SEARCH("дубль",AE522)),ISNUMBER(SEARCH("ПЕРЕГРУЗ",AE522)),ISNUMBER(SEARCH("ЗАЩИЩ",AE522)),ISNUMBER(SEARCH("КАНАЛ",AE522)),ISNUMBER(SEARCH("без 30",AE522))),2,1))</f>
      </c>
      <c r="BV522" s="129">
        <f>IF(R522="","",COUNTIF($R$3:R522,"?*"))</f>
      </c>
      <c r="BW522" s="129">
        <f>IF(AY522&lt;&gt;1,0,IF(MAX(IFERROR(--VLOOKUP(R522,УГО_спр,5,FALSE),0),IFERROR(--VLOOKUP(AL522,УГО_спр,5,FALSE),0),IFERROR(--VLOOKUP(LEFT(AL522,2),УГО_спр,5,FALSE),0))&gt;0,MAX(IFERROR(--VLOOKUP(R522,УГО_спр,5,FALSE),0),IFERROR(--VLOOKUP(AL522,УГО_спр,5,FALSE),0),IFERROR(--VLOOKUP(LEFT(AL522,2),УГО_спр,5,FALSE),0)),IF(IFERROR(--LEFT(SUBSTITUTE(BQ522,"x","х"),FIND("х",SUBSTITUTE(BQ522,"x","х"))-1),3)&gt;3,Каталог!$S$9,1)))</f>
      </c>
      <c r="BX522" s="129">
        <f>IF(AY522&lt;&gt;1,0,MAX(0,IFERROR(--LEFT(SUBSTITUTE(BQ522,"x","х"),FIND("х",SUBSTITUTE(BQ522,"x","х"))-1),3)-3*BW522))</f>
      </c>
      <c r="BY522" s="129">
        <f>IF(R522="","",IFERROR(VLOOKUP(R522,УГО_спр,2,FALSE),IFERROR(VLOOKUP(AL522,УГО_спр,2,FALSE),IFERROR(VLOOKUP(LEFT(AL522,2),УГО_спр,2,FALSE),""))))</f>
      </c>
    </row>
    <row r="523" spans="1:64" x14ac:dyDescent="0.3">
      <c r="A523" s="135">
        <f>IF(Разбивка_по_щитам!F523=0,"",Разбивка_по_щитам!F523)</f>
        <v/>
      </c>
      <c r="B523" s="138">
        <f>IF(A523="","",Разбивка_по_щитам!C523)</f>
        <v/>
      </c>
      <c r="C523" s="138">
        <f t="shared" si="342"/>
        <v/>
      </c>
      <c r="D523" s="266"/>
      <c r="E523" s="266"/>
      <c r="F523" s="267"/>
      <c r="G523" s="145">
        <f t="shared" si="343"/>
        <v/>
      </c>
      <c r="H523" s="145">
        <f t="shared" si="344"/>
        <v/>
      </c>
      <c r="I523" s="266"/>
      <c r="J523" s="267"/>
      <c r="K523" s="267"/>
      <c r="L523" s="266"/>
      <c r="M523" s="147">
        <f t="shared" si="345"/>
        <v/>
      </c>
      <c r="N523" s="267"/>
      <c r="O523" s="147">
        <f t="shared" si="346"/>
        <v/>
      </c>
      <c r="P523" s="268">
        <f>IF(AY523=1,"XT"&amp;COUNTIFS($A$3:A523,A523,$AY$3:AY523,1),"")</f>
        <v/>
      </c>
      <c r="Q523" s="152">
        <f>IF(R523="","",IFERROR(SUBSTITUTE(Разбивка_по_щитам!P523,CHAR(10)," "),""))</f>
        <v/>
      </c>
      <c r="R523" s="153">
        <f>IF(OR(Разбивка_по_щитам!H523="",Разбивка_по_щитам!H523=0),"",Разбивка_по_щитам!H523)</f>
        <v/>
      </c>
      <c r="S523" s="154">
        <f>IF(R523="","",IFERROR(Разбивка_по_щитам!J523&amp;"",""))</f>
        <v/>
      </c>
      <c r="T523" s="155">
        <f>IF(R523="","",IFERROR(--Разбивка_по_щитам!L523,""))</f>
        <v/>
      </c>
      <c r="U523" s="155">
        <f>IF(R523="","",IFERROR(--Разбивка_по_щитам!K523,""))</f>
        <v/>
      </c>
      <c r="V523" s="138">
        <f>IF(R523="","",IFERROR(IF(Разбивка_по_щитам!M523=0,"",Разбивка_по_щитам!M523),""))</f>
        <v/>
      </c>
      <c r="W523" s="156">
        <f t="shared" si="347"/>
        <v/>
      </c>
      <c r="X523" s="157">
        <f t="shared" si="348"/>
        <v/>
      </c>
      <c r="Y523" s="266"/>
      <c r="Z523" s="158">
        <f t="shared" si="349"/>
        <v/>
      </c>
      <c r="AA523" s="160">
        <f t="shared" si="350"/>
        <v/>
      </c>
      <c r="AB523" s="160">
        <f>IF(R523="","",IFERROR(LOOKUP(INDEX(Справочная!$I$4:$I$19,MATCH(VLOOKUP(R523,Исходные_данные,22,FALSE),Справочная!$J$4:$J$19,0)+1),{6,10,16,20,25,32,40,50,63,80,100,125}),""))</f>
        <v/>
      </c>
      <c r="AC523" s="160">
        <f t="shared" si="351"/>
        <v/>
      </c>
      <c r="AD523" s="161">
        <f t="shared" si="352"/>
        <v/>
      </c>
      <c r="AE523" s="161">
        <f>IF(AND(R523="",G523=""),"",_xlfn.TEXTJOIN("; ",TRUE,IF(AND(R523&lt;&gt;"",V523=""),"нет фазы",""),IF(AND(R523&lt;&gt;"",N(T523)=0),"нет мощности",""),IF(AND(P523&lt;&gt;"",COUNTIFS($A$3:$A$1000,A523,$P$3:$P$1000,P523)&gt;1),"дубль клеммы "&amp;P523,""),IF(AND(W523&lt;&gt;"",W523&lt;&gt;"ok"),W523,""),IF(X523&lt;&gt;"",X523,""),IF(AND(ISNUMBER(SEARCH("(5х",Q523)),N(AK523)=1),"5 жил на 1 фазе",""),IF(AND(AL523="R",E523&lt;&gt;"",N(AS523)=0),"розетка без 30 мА",""),IF(IFERROR(_xlfn.NUMBERVALUE(MID(Q523,FIND("-",Q523,FIND("L=",Q523))+1,FIND("%",Q523)-FIND("-",Q523,FIND("L=",Q523))-1),","),0)&gt;4,"потери &gt; 4 %","")))</f>
      </c>
      <c r="AF523" s="129">
        <f>IF(E523&lt;&gt;"",COUNTIFS($A$3:A523,A523,$E$3:E523,"?*"),IF(OR(A523&lt;&gt;A522,Y523="вручную"),"",AF522))</f>
        <v/>
      </c>
      <c r="AG523" s="129">
        <f t="shared" si="353"/>
        <v/>
      </c>
      <c r="AH523" s="129">
        <f t="shared" si="354"/>
        <v/>
      </c>
      <c r="AI523" s="129">
        <f t="shared" si="355"/>
        <v/>
      </c>
      <c r="AJ523" s="129">
        <f t="shared" si="356"/>
        <v/>
      </c>
      <c r="AK523" s="129">
        <f t="shared" si="357"/>
        <v/>
      </c>
      <c r="AL523" s="129">
        <f t="shared" si="358"/>
        <v/>
      </c>
      <c r="AM523" s="129">
        <f t="shared" si="359"/>
      </c>
      <c r="AN523" s="129">
        <f t="shared" si="360"/>
      </c>
      <c r="AO523" s="129">
        <f t="shared" si="361"/>
        <v/>
      </c>
      <c r="AP523" s="129">
        <f t="shared" si="362"/>
        <v/>
      </c>
      <c r="AQ523" s="129">
        <f t="shared" si="363"/>
        <v/>
      </c>
      <c r="AR523" s="129">
        <f t="shared" si="364"/>
        <v/>
      </c>
      <c r="AS523" s="129">
        <f t="shared" si="365"/>
        <v/>
      </c>
      <c r="AT523" s="129">
        <f t="shared" si="366"/>
        <v/>
      </c>
      <c r="AU523" s="129">
        <f t="shared" si="367"/>
        <v/>
      </c>
      <c r="AV523" s="129">
        <f t="shared" si="368"/>
        <v/>
      </c>
      <c r="AW523" s="129">
        <f>IF(AV523="","",AV523&amp;"."&amp;COUNTIFS($A$3:A523,A523,$AV$3:AV523,AV523))</f>
        <v/>
      </c>
      <c r="AX523" s="129">
        <f t="shared" si="369"/>
        <v/>
      </c>
      <c r="AY523" s="129">
        <f>IF(N523="б/к",0,IF(OR(ISNUMBER(SEARCH("L=",Разбивка_по_щитам!P523)),N523="+",N523="="),1,0))</f>
      </c>
      <c r="AZ523" s="129">
        <f t="shared" si="370"/>
        <v/>
      </c>
      <c r="BA523" s="129">
        <f t="shared" si="371"/>
      </c>
      <c r="BB523" s="129">
        <f t="shared" si="372"/>
      </c>
      <c r="BD523" s="129">
        <f t="shared" si="373"/>
      </c>
      <c r="BE523" s="129">
        <f t="shared" si="374"/>
      </c>
      <c r="BF523" s="129">
        <f t="shared" si="375"/>
      </c>
      <c r="BG523" s="129">
        <f t="shared" si="376"/>
        <v/>
      </c>
      <c r="BH523" s="129">
        <f t="shared" si="377"/>
        <v/>
      </c>
      <c r="BI523" s="129">
        <f t="shared" si="378"/>
        <v/>
      </c>
      <c r="BJ523" s="129">
        <f t="shared" si="379"/>
        <v/>
      </c>
      <c r="BK523" s="129">
        <f>IF(R523="","",IF(OR(BY523="",BY523=0),"BOX",IFERROR(IF(VLOOKUP(BY523,УГО_блоки,3,FALSE)&amp;""&lt;&gt;"",VLOOKUP(BY523,УГО_блоки,3,FALSE),VLOOKUP(BY523,УГО_блоки,2,FALSE)),BY523)))</f>
      </c>
      <c r="BL523" s="129">
        <f t="shared" si="381"/>
      </c>
      <c r="BM523" s="129">
        <f>IF(H523="","",IF(COUNTIF($H$3:H523,H523)=1,MAX($BM$2:BM522)+1,""))</f>
      </c>
      <c r="BN523" s="129">
        <f>IF(I523="","",IF(COUNTIF($I$3:I523,I523)+COUNTIF($J$2:J522,I523)+COUNTIF($K$2:K522,I523)=1,MAX($BN$2:BP522)+1,""))</f>
      </c>
      <c r="BO523" s="129">
        <f>IF(J523="","",IF(COUNTIF($I$3:I523,J523)+COUNTIF($J$3:J523,J523)+COUNTIF($K$2:K522,J523)=1,MAX($BN$2:BP522,BN523)+1,""))</f>
      </c>
      <c r="BP523" s="129">
        <f>IF(K523="","",IF(COUNTIF($I$3:I523,K523)+COUNTIF($J$3:J523,K523)+COUNTIF($K$3:K523,K523)=1,MAX($BN$2:BP522,BN523,BO523)+1,""))</f>
      </c>
      <c r="BQ523" s="129">
        <f>IF(AY523=1,IFERROR(MID(Q523,FIND(" (",Q523)+2,FIND(")",Q523,FIND(" (",Q523))-FIND(" (",Q523)-2),"?"),"")</f>
      </c>
      <c r="BR523" s="129">
        <f>IF(BQ523="","",IF(COUNTIF($BQ$3:BQ523,BQ523)=1,MAX($BR$2:BR522)+1,""))</f>
      </c>
      <c r="BS523" s="129">
        <f>IF(AW523="","",COUNTIF($AW$3:AW523,"?*"))</f>
      </c>
      <c r="BT523" s="129">
        <f>IF(OR(AW523="",AI523=""),"",IF(COUNTIFS($AW$3:AW523,"?*",$AI$3:AI523,AI523)=1,MAX($BT$2:BT522)+1,""))</f>
      </c>
      <c r="BU523" s="129">
        <f>IF(AE523="",0,IF(OR(ISNUMBER(SEARCH("дубль",AE523)),ISNUMBER(SEARCH("ПЕРЕГРУЗ",AE523)),ISNUMBER(SEARCH("ЗАЩИЩ",AE523)),ISNUMBER(SEARCH("КАНАЛ",AE523)),ISNUMBER(SEARCH("без 30",AE523))),2,1))</f>
      </c>
      <c r="BV523" s="129">
        <f>IF(R523="","",COUNTIF($R$3:R523,"?*"))</f>
      </c>
      <c r="BW523" s="129">
        <f>IF(AY523&lt;&gt;1,0,IF(MAX(IFERROR(--VLOOKUP(R523,УГО_спр,5,FALSE),0),IFERROR(--VLOOKUP(AL523,УГО_спр,5,FALSE),0),IFERROR(--VLOOKUP(LEFT(AL523,2),УГО_спр,5,FALSE),0))&gt;0,MAX(IFERROR(--VLOOKUP(R523,УГО_спр,5,FALSE),0),IFERROR(--VLOOKUP(AL523,УГО_спр,5,FALSE),0),IFERROR(--VLOOKUP(LEFT(AL523,2),УГО_спр,5,FALSE),0)),IF(IFERROR(--LEFT(SUBSTITUTE(BQ523,"x","х"),FIND("х",SUBSTITUTE(BQ523,"x","х"))-1),3)&gt;3,Каталог!$S$9,1)))</f>
      </c>
      <c r="BX523" s="129">
        <f>IF(AY523&lt;&gt;1,0,MAX(0,IFERROR(--LEFT(SUBSTITUTE(BQ523,"x","х"),FIND("х",SUBSTITUTE(BQ523,"x","х"))-1),3)-3*BW523))</f>
      </c>
      <c r="BY523" s="129">
        <f>IF(R523="","",IFERROR(VLOOKUP(R523,УГО_спр,2,FALSE),IFERROR(VLOOKUP(AL523,УГО_спр,2,FALSE),IFERROR(VLOOKUP(LEFT(AL523,2),УГО_спр,2,FALSE),""))))</f>
      </c>
    </row>
    <row r="524" spans="1:64" x14ac:dyDescent="0.3">
      <c r="A524" s="135">
        <f>IF(Разбивка_по_щитам!F524=0,"",Разбивка_по_щитам!F524)</f>
        <v/>
      </c>
      <c r="B524" s="138">
        <f>IF(A524="","",Разбивка_по_щитам!C524)</f>
        <v/>
      </c>
      <c r="C524" s="138">
        <f t="shared" si="342"/>
        <v/>
      </c>
      <c r="D524" s="266"/>
      <c r="E524" s="266"/>
      <c r="F524" s="267"/>
      <c r="G524" s="145">
        <f t="shared" si="343"/>
        <v/>
      </c>
      <c r="H524" s="145">
        <f t="shared" si="344"/>
        <v/>
      </c>
      <c r="I524" s="266"/>
      <c r="J524" s="267"/>
      <c r="K524" s="267"/>
      <c r="L524" s="266"/>
      <c r="M524" s="147">
        <f t="shared" si="345"/>
        <v/>
      </c>
      <c r="N524" s="267"/>
      <c r="O524" s="147">
        <f t="shared" si="346"/>
        <v/>
      </c>
      <c r="P524" s="268">
        <f>IF(AY524=1,"XT"&amp;COUNTIFS($A$3:A524,A524,$AY$3:AY524,1),"")</f>
        <v/>
      </c>
      <c r="Q524" s="152">
        <f>IF(R524="","",IFERROR(SUBSTITUTE(Разбивка_по_щитам!P524,CHAR(10)," "),""))</f>
        <v/>
      </c>
      <c r="R524" s="153">
        <f>IF(OR(Разбивка_по_щитам!H524="",Разбивка_по_щитам!H524=0),"",Разбивка_по_щитам!H524)</f>
        <v/>
      </c>
      <c r="S524" s="154">
        <f>IF(R524="","",IFERROR(Разбивка_по_щитам!J524&amp;"",""))</f>
        <v/>
      </c>
      <c r="T524" s="155">
        <f>IF(R524="","",IFERROR(--Разбивка_по_щитам!L524,""))</f>
        <v/>
      </c>
      <c r="U524" s="155">
        <f>IF(R524="","",IFERROR(--Разбивка_по_щитам!K524,""))</f>
        <v/>
      </c>
      <c r="V524" s="138">
        <f>IF(R524="","",IFERROR(IF(Разбивка_по_щитам!M524=0,"",Разбивка_по_щитам!M524),""))</f>
        <v/>
      </c>
      <c r="W524" s="156">
        <f t="shared" si="347"/>
        <v/>
      </c>
      <c r="X524" s="157">
        <f t="shared" si="348"/>
        <v/>
      </c>
      <c r="Y524" s="266"/>
      <c r="Z524" s="158">
        <f t="shared" si="349"/>
        <v/>
      </c>
      <c r="AA524" s="160">
        <f t="shared" si="350"/>
        <v/>
      </c>
      <c r="AB524" s="160">
        <f>IF(R524="","",IFERROR(LOOKUP(INDEX(Справочная!$I$4:$I$19,MATCH(VLOOKUP(R524,Исходные_данные,22,FALSE),Справочная!$J$4:$J$19,0)+1),{6,10,16,20,25,32,40,50,63,80,100,125}),""))</f>
        <v/>
      </c>
      <c r="AC524" s="160">
        <f t="shared" si="351"/>
        <v/>
      </c>
      <c r="AD524" s="161">
        <f t="shared" si="352"/>
        <v/>
      </c>
      <c r="AE524" s="161">
        <f>IF(AND(R524="",G524=""),"",_xlfn.TEXTJOIN("; ",TRUE,IF(AND(R524&lt;&gt;"",V524=""),"нет фазы",""),IF(AND(R524&lt;&gt;"",N(T524)=0),"нет мощности",""),IF(AND(P524&lt;&gt;"",COUNTIFS($A$3:$A$1000,A524,$P$3:$P$1000,P524)&gt;1),"дубль клеммы "&amp;P524,""),IF(AND(W524&lt;&gt;"",W524&lt;&gt;"ok"),W524,""),IF(X524&lt;&gt;"",X524,""),IF(AND(ISNUMBER(SEARCH("(5х",Q524)),N(AK524)=1),"5 жил на 1 фазе",""),IF(AND(AL524="R",E524&lt;&gt;"",N(AS524)=0),"розетка без 30 мА",""),IF(IFERROR(_xlfn.NUMBERVALUE(MID(Q524,FIND("-",Q524,FIND("L=",Q524))+1,FIND("%",Q524)-FIND("-",Q524,FIND("L=",Q524))-1),","),0)&gt;4,"потери &gt; 4 %","")))</f>
      </c>
      <c r="AF524" s="129">
        <f>IF(E524&lt;&gt;"",COUNTIFS($A$3:A524,A524,$E$3:E524,"?*"),IF(OR(A524&lt;&gt;A523,Y524="вручную"),"",AF523))</f>
        <v/>
      </c>
      <c r="AG524" s="129">
        <f t="shared" si="353"/>
        <v/>
      </c>
      <c r="AH524" s="129">
        <f t="shared" si="354"/>
        <v/>
      </c>
      <c r="AI524" s="129">
        <f t="shared" si="355"/>
        <v/>
      </c>
      <c r="AJ524" s="129">
        <f t="shared" si="356"/>
        <v/>
      </c>
      <c r="AK524" s="129">
        <f t="shared" si="357"/>
        <v/>
      </c>
      <c r="AL524" s="129">
        <f t="shared" si="358"/>
        <v/>
      </c>
      <c r="AM524" s="129">
        <f t="shared" si="359"/>
      </c>
      <c r="AN524" s="129">
        <f t="shared" si="360"/>
      </c>
      <c r="AO524" s="129">
        <f t="shared" si="361"/>
        <v/>
      </c>
      <c r="AP524" s="129">
        <f t="shared" si="362"/>
        <v/>
      </c>
      <c r="AQ524" s="129">
        <f t="shared" si="363"/>
        <v/>
      </c>
      <c r="AR524" s="129">
        <f t="shared" si="364"/>
        <v/>
      </c>
      <c r="AS524" s="129">
        <f t="shared" si="365"/>
        <v/>
      </c>
      <c r="AT524" s="129">
        <f t="shared" si="366"/>
        <v/>
      </c>
      <c r="AU524" s="129">
        <f t="shared" si="367"/>
        <v/>
      </c>
      <c r="AV524" s="129">
        <f t="shared" si="368"/>
        <v/>
      </c>
      <c r="AW524" s="129">
        <f>IF(AV524="","",AV524&amp;"."&amp;COUNTIFS($A$3:A524,A524,$AV$3:AV524,AV524))</f>
        <v/>
      </c>
      <c r="AX524" s="129">
        <f t="shared" si="369"/>
        <v/>
      </c>
      <c r="AY524" s="129">
        <f>IF(N524="б/к",0,IF(OR(ISNUMBER(SEARCH("L=",Разбивка_по_щитам!P524)),N524="+",N524="="),1,0))</f>
      </c>
      <c r="AZ524" s="129">
        <f t="shared" si="370"/>
        <v/>
      </c>
      <c r="BA524" s="129">
        <f t="shared" si="371"/>
      </c>
      <c r="BB524" s="129">
        <f t="shared" si="372"/>
      </c>
      <c r="BD524" s="129">
        <f t="shared" si="373"/>
      </c>
      <c r="BE524" s="129">
        <f t="shared" si="374"/>
      </c>
      <c r="BF524" s="129">
        <f t="shared" si="375"/>
      </c>
      <c r="BG524" s="129">
        <f t="shared" si="376"/>
        <v/>
      </c>
      <c r="BH524" s="129">
        <f t="shared" si="377"/>
        <v/>
      </c>
      <c r="BI524" s="129">
        <f t="shared" si="378"/>
        <v/>
      </c>
      <c r="BJ524" s="129">
        <f t="shared" si="379"/>
        <v/>
      </c>
      <c r="BK524" s="129">
        <f>IF(R524="","",IF(OR(BY524="",BY524=0),"BOX",IFERROR(IF(VLOOKUP(BY524,УГО_блоки,3,FALSE)&amp;""&lt;&gt;"",VLOOKUP(BY524,УГО_блоки,3,FALSE),VLOOKUP(BY524,УГО_блоки,2,FALSE)),BY524)))</f>
      </c>
      <c r="BL524" s="129">
        <f t="shared" si="381"/>
      </c>
      <c r="BM524" s="129">
        <f>IF(H524="","",IF(COUNTIF($H$3:H524,H524)=1,MAX($BM$2:BM523)+1,""))</f>
      </c>
      <c r="BN524" s="129">
        <f>IF(I524="","",IF(COUNTIF($I$3:I524,I524)+COUNTIF($J$2:J523,I524)+COUNTIF($K$2:K523,I524)=1,MAX($BN$2:BP523)+1,""))</f>
      </c>
      <c r="BO524" s="129">
        <f>IF(J524="","",IF(COUNTIF($I$3:I524,J524)+COUNTIF($J$3:J524,J524)+COUNTIF($K$2:K523,J524)=1,MAX($BN$2:BP523,BN524)+1,""))</f>
      </c>
      <c r="BP524" s="129">
        <f>IF(K524="","",IF(COUNTIF($I$3:I524,K524)+COUNTIF($J$3:J524,K524)+COUNTIF($K$3:K524,K524)=1,MAX($BN$2:BP523,BN524,BO524)+1,""))</f>
      </c>
      <c r="BQ524" s="129">
        <f>IF(AY524=1,IFERROR(MID(Q524,FIND(" (",Q524)+2,FIND(")",Q524,FIND(" (",Q524))-FIND(" (",Q524)-2),"?"),"")</f>
      </c>
      <c r="BR524" s="129">
        <f>IF(BQ524="","",IF(COUNTIF($BQ$3:BQ524,BQ524)=1,MAX($BR$2:BR523)+1,""))</f>
      </c>
      <c r="BS524" s="129">
        <f>IF(AW524="","",COUNTIF($AW$3:AW524,"?*"))</f>
      </c>
      <c r="BT524" s="129">
        <f>IF(OR(AW524="",AI524=""),"",IF(COUNTIFS($AW$3:AW524,"?*",$AI$3:AI524,AI524)=1,MAX($BT$2:BT523)+1,""))</f>
      </c>
      <c r="BU524" s="129">
        <f>IF(AE524="",0,IF(OR(ISNUMBER(SEARCH("дубль",AE524)),ISNUMBER(SEARCH("ПЕРЕГРУЗ",AE524)),ISNUMBER(SEARCH("ЗАЩИЩ",AE524)),ISNUMBER(SEARCH("КАНАЛ",AE524)),ISNUMBER(SEARCH("без 30",AE524))),2,1))</f>
      </c>
      <c r="BV524" s="129">
        <f>IF(R524="","",COUNTIF($R$3:R524,"?*"))</f>
      </c>
      <c r="BW524" s="129">
        <f>IF(AY524&lt;&gt;1,0,IF(MAX(IFERROR(--VLOOKUP(R524,УГО_спр,5,FALSE),0),IFERROR(--VLOOKUP(AL524,УГО_спр,5,FALSE),0),IFERROR(--VLOOKUP(LEFT(AL524,2),УГО_спр,5,FALSE),0))&gt;0,MAX(IFERROR(--VLOOKUP(R524,УГО_спр,5,FALSE),0),IFERROR(--VLOOKUP(AL524,УГО_спр,5,FALSE),0),IFERROR(--VLOOKUP(LEFT(AL524,2),УГО_спр,5,FALSE),0)),IF(IFERROR(--LEFT(SUBSTITUTE(BQ524,"x","х"),FIND("х",SUBSTITUTE(BQ524,"x","х"))-1),3)&gt;3,Каталог!$S$9,1)))</f>
      </c>
      <c r="BX524" s="129">
        <f>IF(AY524&lt;&gt;1,0,MAX(0,IFERROR(--LEFT(SUBSTITUTE(BQ524,"x","х"),FIND("х",SUBSTITUTE(BQ524,"x","х"))-1),3)-3*BW524))</f>
      </c>
      <c r="BY524" s="129">
        <f>IF(R524="","",IFERROR(VLOOKUP(R524,УГО_спр,2,FALSE),IFERROR(VLOOKUP(AL524,УГО_спр,2,FALSE),IFERROR(VLOOKUP(LEFT(AL524,2),УГО_спр,2,FALSE),""))))</f>
      </c>
    </row>
    <row r="525" spans="1:64" x14ac:dyDescent="0.3">
      <c r="A525" s="135">
        <f>IF(Разбивка_по_щитам!F525=0,"",Разбивка_по_щитам!F525)</f>
        <v/>
      </c>
      <c r="B525" s="138">
        <f>IF(A525="","",Разбивка_по_щитам!C525)</f>
        <v/>
      </c>
      <c r="C525" s="138">
        <f t="shared" si="342"/>
        <v/>
      </c>
      <c r="D525" s="266"/>
      <c r="E525" s="266"/>
      <c r="F525" s="267"/>
      <c r="G525" s="145">
        <f t="shared" si="343"/>
        <v/>
      </c>
      <c r="H525" s="145">
        <f t="shared" si="344"/>
        <v/>
      </c>
      <c r="I525" s="266"/>
      <c r="J525" s="267"/>
      <c r="K525" s="267"/>
      <c r="L525" s="266"/>
      <c r="M525" s="147">
        <f t="shared" si="345"/>
        <v/>
      </c>
      <c r="N525" s="267"/>
      <c r="O525" s="147">
        <f t="shared" si="346"/>
        <v/>
      </c>
      <c r="P525" s="268">
        <f>IF(AY525=1,"XT"&amp;COUNTIFS($A$3:A525,A525,$AY$3:AY525,1),"")</f>
        <v/>
      </c>
      <c r="Q525" s="152">
        <f>IF(R525="","",IFERROR(SUBSTITUTE(Разбивка_по_щитам!P525,CHAR(10)," "),""))</f>
        <v/>
      </c>
      <c r="R525" s="153">
        <f>IF(OR(Разбивка_по_щитам!H525="",Разбивка_по_щитам!H525=0),"",Разбивка_по_щитам!H525)</f>
        <v/>
      </c>
      <c r="S525" s="154">
        <f>IF(R525="","",IFERROR(Разбивка_по_щитам!J525&amp;"",""))</f>
        <v/>
      </c>
      <c r="T525" s="155">
        <f>IF(R525="","",IFERROR(--Разбивка_по_щитам!L525,""))</f>
        <v/>
      </c>
      <c r="U525" s="155">
        <f>IF(R525="","",IFERROR(--Разбивка_по_щитам!K525,""))</f>
        <v/>
      </c>
      <c r="V525" s="138">
        <f>IF(R525="","",IFERROR(IF(Разбивка_по_щитам!M525=0,"",Разбивка_по_щитам!M525),""))</f>
        <v/>
      </c>
      <c r="W525" s="156">
        <f t="shared" si="347"/>
        <v/>
      </c>
      <c r="X525" s="157">
        <f t="shared" si="348"/>
        <v/>
      </c>
      <c r="Y525" s="266"/>
      <c r="Z525" s="158">
        <f t="shared" si="349"/>
        <v/>
      </c>
      <c r="AA525" s="160">
        <f t="shared" si="350"/>
        <v/>
      </c>
      <c r="AB525" s="160">
        <f>IF(R525="","",IFERROR(LOOKUP(INDEX(Справочная!$I$4:$I$19,MATCH(VLOOKUP(R525,Исходные_данные,22,FALSE),Справочная!$J$4:$J$19,0)+1),{6,10,16,20,25,32,40,50,63,80,100,125}),""))</f>
        <v/>
      </c>
      <c r="AC525" s="160">
        <f t="shared" si="351"/>
        <v/>
      </c>
      <c r="AD525" s="161">
        <f t="shared" si="352"/>
        <v/>
      </c>
      <c r="AE525" s="161">
        <f>IF(AND(R525="",G525=""),"",_xlfn.TEXTJOIN("; ",TRUE,IF(AND(R525&lt;&gt;"",V525=""),"нет фазы",""),IF(AND(R525&lt;&gt;"",N(T525)=0),"нет мощности",""),IF(AND(P525&lt;&gt;"",COUNTIFS($A$3:$A$1000,A525,$P$3:$P$1000,P525)&gt;1),"дубль клеммы "&amp;P525,""),IF(AND(W525&lt;&gt;"",W525&lt;&gt;"ok"),W525,""),IF(X525&lt;&gt;"",X525,""),IF(AND(ISNUMBER(SEARCH("(5х",Q525)),N(AK525)=1),"5 жил на 1 фазе",""),IF(AND(AL525="R",E525&lt;&gt;"",N(AS525)=0),"розетка без 30 мА",""),IF(IFERROR(_xlfn.NUMBERVALUE(MID(Q525,FIND("-",Q525,FIND("L=",Q525))+1,FIND("%",Q525)-FIND("-",Q525,FIND("L=",Q525))-1),","),0)&gt;4,"потери &gt; 4 %","")))</f>
      </c>
      <c r="AF525" s="129">
        <f>IF(E525&lt;&gt;"",COUNTIFS($A$3:A525,A525,$E$3:E525,"?*"),IF(OR(A525&lt;&gt;A524,Y525="вручную"),"",AF524))</f>
        <v/>
      </c>
      <c r="AG525" s="129">
        <f t="shared" si="353"/>
        <v/>
      </c>
      <c r="AH525" s="129">
        <f t="shared" si="354"/>
        <v/>
      </c>
      <c r="AI525" s="129">
        <f t="shared" si="355"/>
        <v/>
      </c>
      <c r="AJ525" s="129">
        <f t="shared" si="356"/>
        <v/>
      </c>
      <c r="AK525" s="129">
        <f t="shared" si="357"/>
        <v/>
      </c>
      <c r="AL525" s="129">
        <f t="shared" si="358"/>
        <v/>
      </c>
      <c r="AM525" s="129">
        <f t="shared" si="359"/>
      </c>
      <c r="AN525" s="129">
        <f t="shared" si="360"/>
      </c>
      <c r="AO525" s="129">
        <f t="shared" si="361"/>
        <v/>
      </c>
      <c r="AP525" s="129">
        <f t="shared" si="362"/>
        <v/>
      </c>
      <c r="AQ525" s="129">
        <f t="shared" si="363"/>
        <v/>
      </c>
      <c r="AR525" s="129">
        <f t="shared" si="364"/>
        <v/>
      </c>
      <c r="AS525" s="129">
        <f t="shared" si="365"/>
        <v/>
      </c>
      <c r="AT525" s="129">
        <f t="shared" si="366"/>
        <v/>
      </c>
      <c r="AU525" s="129">
        <f t="shared" si="367"/>
        <v/>
      </c>
      <c r="AV525" s="129">
        <f t="shared" si="368"/>
        <v/>
      </c>
      <c r="AW525" s="129">
        <f>IF(AV525="","",AV525&amp;"."&amp;COUNTIFS($A$3:A525,A525,$AV$3:AV525,AV525))</f>
        <v/>
      </c>
      <c r="AX525" s="129">
        <f t="shared" si="369"/>
        <v/>
      </c>
      <c r="AY525" s="129">
        <f>IF(N525="б/к",0,IF(OR(ISNUMBER(SEARCH("L=",Разбивка_по_щитам!P525)),N525="+",N525="="),1,0))</f>
      </c>
      <c r="AZ525" s="129">
        <f t="shared" si="370"/>
        <v/>
      </c>
      <c r="BA525" s="129">
        <f t="shared" si="371"/>
      </c>
      <c r="BB525" s="129">
        <f t="shared" si="372"/>
      </c>
      <c r="BD525" s="129">
        <f t="shared" si="373"/>
      </c>
      <c r="BE525" s="129">
        <f t="shared" si="374"/>
      </c>
      <c r="BF525" s="129">
        <f t="shared" si="375"/>
      </c>
      <c r="BG525" s="129">
        <f t="shared" si="376"/>
        <v/>
      </c>
      <c r="BH525" s="129">
        <f t="shared" si="377"/>
        <v/>
      </c>
      <c r="BI525" s="129">
        <f t="shared" si="378"/>
        <v/>
      </c>
      <c r="BJ525" s="129">
        <f t="shared" si="379"/>
        <v/>
      </c>
      <c r="BK525" s="129">
        <f>IF(R525="","",IF(OR(BY525="",BY525=0),"BOX",IFERROR(IF(VLOOKUP(BY525,УГО_блоки,3,FALSE)&amp;""&lt;&gt;"",VLOOKUP(BY525,УГО_блоки,3,FALSE),VLOOKUP(BY525,УГО_блоки,2,FALSE)),BY525)))</f>
      </c>
      <c r="BL525" s="129">
        <f t="shared" si="381"/>
      </c>
      <c r="BM525" s="129">
        <f>IF(H525="","",IF(COUNTIF($H$3:H525,H525)=1,MAX($BM$2:BM524)+1,""))</f>
      </c>
      <c r="BN525" s="129">
        <f>IF(I525="","",IF(COUNTIF($I$3:I525,I525)+COUNTIF($J$2:J524,I525)+COUNTIF($K$2:K524,I525)=1,MAX($BN$2:BP524)+1,""))</f>
      </c>
      <c r="BO525" s="129">
        <f>IF(J525="","",IF(COUNTIF($I$3:I525,J525)+COUNTIF($J$3:J525,J525)+COUNTIF($K$2:K524,J525)=1,MAX($BN$2:BP524,BN525)+1,""))</f>
      </c>
      <c r="BP525" s="129">
        <f>IF(K525="","",IF(COUNTIF($I$3:I525,K525)+COUNTIF($J$3:J525,K525)+COUNTIF($K$3:K525,K525)=1,MAX($BN$2:BP524,BN525,BO525)+1,""))</f>
      </c>
      <c r="BQ525" s="129">
        <f>IF(AY525=1,IFERROR(MID(Q525,FIND(" (",Q525)+2,FIND(")",Q525,FIND(" (",Q525))-FIND(" (",Q525)-2),"?"),"")</f>
      </c>
      <c r="BR525" s="129">
        <f>IF(BQ525="","",IF(COUNTIF($BQ$3:BQ525,BQ525)=1,MAX($BR$2:BR524)+1,""))</f>
      </c>
      <c r="BS525" s="129">
        <f>IF(AW525="","",COUNTIF($AW$3:AW525,"?*"))</f>
      </c>
      <c r="BT525" s="129">
        <f>IF(OR(AW525="",AI525=""),"",IF(COUNTIFS($AW$3:AW525,"?*",$AI$3:AI525,AI525)=1,MAX($BT$2:BT524)+1,""))</f>
      </c>
      <c r="BU525" s="129">
        <f>IF(AE525="",0,IF(OR(ISNUMBER(SEARCH("дубль",AE525)),ISNUMBER(SEARCH("ПЕРЕГРУЗ",AE525)),ISNUMBER(SEARCH("ЗАЩИЩ",AE525)),ISNUMBER(SEARCH("КАНАЛ",AE525)),ISNUMBER(SEARCH("без 30",AE525))),2,1))</f>
      </c>
      <c r="BV525" s="129">
        <f>IF(R525="","",COUNTIF($R$3:R525,"?*"))</f>
      </c>
      <c r="BW525" s="129">
        <f>IF(AY525&lt;&gt;1,0,IF(MAX(IFERROR(--VLOOKUP(R525,УГО_спр,5,FALSE),0),IFERROR(--VLOOKUP(AL525,УГО_спр,5,FALSE),0),IFERROR(--VLOOKUP(LEFT(AL525,2),УГО_спр,5,FALSE),0))&gt;0,MAX(IFERROR(--VLOOKUP(R525,УГО_спр,5,FALSE),0),IFERROR(--VLOOKUP(AL525,УГО_спр,5,FALSE),0),IFERROR(--VLOOKUP(LEFT(AL525,2),УГО_спр,5,FALSE),0)),IF(IFERROR(--LEFT(SUBSTITUTE(BQ525,"x","х"),FIND("х",SUBSTITUTE(BQ525,"x","х"))-1),3)&gt;3,Каталог!$S$9,1)))</f>
      </c>
      <c r="BX525" s="129">
        <f>IF(AY525&lt;&gt;1,0,MAX(0,IFERROR(--LEFT(SUBSTITUTE(BQ525,"x","х"),FIND("х",SUBSTITUTE(BQ525,"x","х"))-1),3)-3*BW525))</f>
      </c>
      <c r="BY525" s="129">
        <f>IF(R525="","",IFERROR(VLOOKUP(R525,УГО_спр,2,FALSE),IFERROR(VLOOKUP(AL525,УГО_спр,2,FALSE),IFERROR(VLOOKUP(LEFT(AL525,2),УГО_спр,2,FALSE),""))))</f>
      </c>
    </row>
    <row r="526" spans="1:64" x14ac:dyDescent="0.3">
      <c r="A526" s="135">
        <f>IF(Разбивка_по_щитам!F526=0,"",Разбивка_по_щитам!F526)</f>
        <v/>
      </c>
      <c r="B526" s="138">
        <f>IF(A526="","",Разбивка_по_щитам!C526)</f>
        <v/>
      </c>
      <c r="C526" s="138">
        <f t="shared" si="342"/>
        <v/>
      </c>
      <c r="D526" s="266"/>
      <c r="E526" s="266"/>
      <c r="F526" s="267"/>
      <c r="G526" s="145">
        <f t="shared" si="343"/>
        <v/>
      </c>
      <c r="H526" s="145">
        <f t="shared" si="344"/>
        <v/>
      </c>
      <c r="I526" s="266"/>
      <c r="J526" s="267"/>
      <c r="K526" s="267"/>
      <c r="L526" s="266"/>
      <c r="M526" s="147">
        <f t="shared" si="345"/>
        <v/>
      </c>
      <c r="N526" s="267"/>
      <c r="O526" s="147">
        <f t="shared" si="346"/>
        <v/>
      </c>
      <c r="P526" s="268">
        <f>IF(AY526=1,"XT"&amp;COUNTIFS($A$3:A526,A526,$AY$3:AY526,1),"")</f>
        <v/>
      </c>
      <c r="Q526" s="152">
        <f>IF(R526="","",IFERROR(SUBSTITUTE(Разбивка_по_щитам!P526,CHAR(10)," "),""))</f>
        <v/>
      </c>
      <c r="R526" s="153">
        <f>IF(OR(Разбивка_по_щитам!H526="",Разбивка_по_щитам!H526=0),"",Разбивка_по_щитам!H526)</f>
        <v/>
      </c>
      <c r="S526" s="154">
        <f>IF(R526="","",IFERROR(Разбивка_по_щитам!J526&amp;"",""))</f>
        <v/>
      </c>
      <c r="T526" s="155">
        <f>IF(R526="","",IFERROR(--Разбивка_по_щитам!L526,""))</f>
        <v/>
      </c>
      <c r="U526" s="155">
        <f>IF(R526="","",IFERROR(--Разбивка_по_щитам!K526,""))</f>
        <v/>
      </c>
      <c r="V526" s="138">
        <f>IF(R526="","",IFERROR(IF(Разбивка_по_щитам!M526=0,"",Разбивка_по_щитам!M526),""))</f>
        <v/>
      </c>
      <c r="W526" s="156">
        <f t="shared" si="347"/>
        <v/>
      </c>
      <c r="X526" s="157">
        <f t="shared" si="348"/>
        <v/>
      </c>
      <c r="Y526" s="266"/>
      <c r="Z526" s="158">
        <f t="shared" si="349"/>
        <v/>
      </c>
      <c r="AA526" s="160">
        <f t="shared" si="350"/>
        <v/>
      </c>
      <c r="AB526" s="160">
        <f>IF(R526="","",IFERROR(LOOKUP(INDEX(Справочная!$I$4:$I$19,MATCH(VLOOKUP(R526,Исходные_данные,22,FALSE),Справочная!$J$4:$J$19,0)+1),{6,10,16,20,25,32,40,50,63,80,100,125}),""))</f>
        <v/>
      </c>
      <c r="AC526" s="160">
        <f t="shared" si="351"/>
        <v/>
      </c>
      <c r="AD526" s="161">
        <f t="shared" si="352"/>
        <v/>
      </c>
      <c r="AE526" s="161">
        <f>IF(AND(R526="",G526=""),"",_xlfn.TEXTJOIN("; ",TRUE,IF(AND(R526&lt;&gt;"",V526=""),"нет фазы",""),IF(AND(R526&lt;&gt;"",N(T526)=0),"нет мощности",""),IF(AND(P526&lt;&gt;"",COUNTIFS($A$3:$A$1000,A526,$P$3:$P$1000,P526)&gt;1),"дубль клеммы "&amp;P526,""),IF(AND(W526&lt;&gt;"",W526&lt;&gt;"ok"),W526,""),IF(X526&lt;&gt;"",X526,""),IF(AND(ISNUMBER(SEARCH("(5х",Q526)),N(AK526)=1),"5 жил на 1 фазе",""),IF(AND(AL526="R",E526&lt;&gt;"",N(AS526)=0),"розетка без 30 мА",""),IF(IFERROR(_xlfn.NUMBERVALUE(MID(Q526,FIND("-",Q526,FIND("L=",Q526))+1,FIND("%",Q526)-FIND("-",Q526,FIND("L=",Q526))-1),","),0)&gt;4,"потери &gt; 4 %","")))</f>
      </c>
      <c r="AF526" s="129">
        <f>IF(E526&lt;&gt;"",COUNTIFS($A$3:A526,A526,$E$3:E526,"?*"),IF(OR(A526&lt;&gt;A525,Y526="вручную"),"",AF525))</f>
        <v/>
      </c>
      <c r="AG526" s="129">
        <f t="shared" si="353"/>
        <v/>
      </c>
      <c r="AH526" s="129">
        <f t="shared" si="354"/>
        <v/>
      </c>
      <c r="AI526" s="129">
        <f t="shared" si="355"/>
        <v/>
      </c>
      <c r="AJ526" s="129">
        <f t="shared" si="356"/>
        <v/>
      </c>
      <c r="AK526" s="129">
        <f t="shared" si="357"/>
        <v/>
      </c>
      <c r="AL526" s="129">
        <f t="shared" si="358"/>
        <v/>
      </c>
      <c r="AM526" s="129">
        <f t="shared" si="359"/>
      </c>
      <c r="AN526" s="129">
        <f t="shared" si="360"/>
      </c>
      <c r="AO526" s="129">
        <f t="shared" si="361"/>
        <v/>
      </c>
      <c r="AP526" s="129">
        <f t="shared" si="362"/>
        <v/>
      </c>
      <c r="AQ526" s="129">
        <f t="shared" si="363"/>
        <v/>
      </c>
      <c r="AR526" s="129">
        <f t="shared" si="364"/>
        <v/>
      </c>
      <c r="AS526" s="129">
        <f t="shared" si="365"/>
        <v/>
      </c>
      <c r="AT526" s="129">
        <f t="shared" si="366"/>
        <v/>
      </c>
      <c r="AU526" s="129">
        <f t="shared" si="367"/>
        <v/>
      </c>
      <c r="AV526" s="129">
        <f t="shared" si="368"/>
        <v/>
      </c>
      <c r="AW526" s="129">
        <f>IF(AV526="","",AV526&amp;"."&amp;COUNTIFS($A$3:A526,A526,$AV$3:AV526,AV526))</f>
        <v/>
      </c>
      <c r="AX526" s="129">
        <f t="shared" si="369"/>
        <v/>
      </c>
      <c r="AY526" s="129">
        <f>IF(N526="б/к",0,IF(OR(ISNUMBER(SEARCH("L=",Разбивка_по_щитам!P526)),N526="+",N526="="),1,0))</f>
      </c>
      <c r="AZ526" s="129">
        <f t="shared" si="370"/>
        <v/>
      </c>
      <c r="BA526" s="129">
        <f t="shared" si="371"/>
      </c>
      <c r="BB526" s="129">
        <f t="shared" si="372"/>
      </c>
      <c r="BD526" s="129">
        <f t="shared" si="373"/>
      </c>
      <c r="BE526" s="129">
        <f t="shared" si="374"/>
      </c>
      <c r="BF526" s="129">
        <f t="shared" si="375"/>
      </c>
      <c r="BG526" s="129">
        <f t="shared" si="376"/>
        <v/>
      </c>
      <c r="BH526" s="129">
        <f t="shared" si="377"/>
        <v/>
      </c>
      <c r="BI526" s="129">
        <f t="shared" si="378"/>
        <v/>
      </c>
      <c r="BJ526" s="129">
        <f t="shared" si="379"/>
        <v/>
      </c>
      <c r="BK526" s="129">
        <f>IF(R526="","",IF(OR(BY526="",BY526=0),"BOX",IFERROR(IF(VLOOKUP(BY526,УГО_блоки,3,FALSE)&amp;""&lt;&gt;"",VLOOKUP(BY526,УГО_блоки,3,FALSE),VLOOKUP(BY526,УГО_блоки,2,FALSE)),BY526)))</f>
      </c>
      <c r="BL526" s="129">
        <f t="shared" si="381"/>
      </c>
      <c r="BM526" s="129">
        <f>IF(H526="","",IF(COUNTIF($H$3:H526,H526)=1,MAX($BM$2:BM525)+1,""))</f>
      </c>
      <c r="BN526" s="129">
        <f>IF(I526="","",IF(COUNTIF($I$3:I526,I526)+COUNTIF($J$2:J525,I526)+COUNTIF($K$2:K525,I526)=1,MAX($BN$2:BP525)+1,""))</f>
      </c>
      <c r="BO526" s="129">
        <f>IF(J526="","",IF(COUNTIF($I$3:I526,J526)+COUNTIF($J$3:J526,J526)+COUNTIF($K$2:K525,J526)=1,MAX($BN$2:BP525,BN526)+1,""))</f>
      </c>
      <c r="BP526" s="129">
        <f>IF(K526="","",IF(COUNTIF($I$3:I526,K526)+COUNTIF($J$3:J526,K526)+COUNTIF($K$3:K526,K526)=1,MAX($BN$2:BP525,BN526,BO526)+1,""))</f>
      </c>
      <c r="BQ526" s="129">
        <f>IF(AY526=1,IFERROR(MID(Q526,FIND(" (",Q526)+2,FIND(")",Q526,FIND(" (",Q526))-FIND(" (",Q526)-2),"?"),"")</f>
      </c>
      <c r="BR526" s="129">
        <f>IF(BQ526="","",IF(COUNTIF($BQ$3:BQ526,BQ526)=1,MAX($BR$2:BR525)+1,""))</f>
      </c>
      <c r="BS526" s="129">
        <f>IF(AW526="","",COUNTIF($AW$3:AW526,"?*"))</f>
      </c>
      <c r="BT526" s="129">
        <f>IF(OR(AW526="",AI526=""),"",IF(COUNTIFS($AW$3:AW526,"?*",$AI$3:AI526,AI526)=1,MAX($BT$2:BT525)+1,""))</f>
      </c>
      <c r="BU526" s="129">
        <f>IF(AE526="",0,IF(OR(ISNUMBER(SEARCH("дубль",AE526)),ISNUMBER(SEARCH("ПЕРЕГРУЗ",AE526)),ISNUMBER(SEARCH("ЗАЩИЩ",AE526)),ISNUMBER(SEARCH("КАНАЛ",AE526)),ISNUMBER(SEARCH("без 30",AE526))),2,1))</f>
      </c>
      <c r="BV526" s="129">
        <f>IF(R526="","",COUNTIF($R$3:R526,"?*"))</f>
      </c>
      <c r="BW526" s="129">
        <f>IF(AY526&lt;&gt;1,0,IF(MAX(IFERROR(--VLOOKUP(R526,УГО_спр,5,FALSE),0),IFERROR(--VLOOKUP(AL526,УГО_спр,5,FALSE),0),IFERROR(--VLOOKUP(LEFT(AL526,2),УГО_спр,5,FALSE),0))&gt;0,MAX(IFERROR(--VLOOKUP(R526,УГО_спр,5,FALSE),0),IFERROR(--VLOOKUP(AL526,УГО_спр,5,FALSE),0),IFERROR(--VLOOKUP(LEFT(AL526,2),УГО_спр,5,FALSE),0)),IF(IFERROR(--LEFT(SUBSTITUTE(BQ526,"x","х"),FIND("х",SUBSTITUTE(BQ526,"x","х"))-1),3)&gt;3,Каталог!$S$9,1)))</f>
      </c>
      <c r="BX526" s="129">
        <f>IF(AY526&lt;&gt;1,0,MAX(0,IFERROR(--LEFT(SUBSTITUTE(BQ526,"x","х"),FIND("х",SUBSTITUTE(BQ526,"x","х"))-1),3)-3*BW526))</f>
      </c>
      <c r="BY526" s="129">
        <f>IF(R526="","",IFERROR(VLOOKUP(R526,УГО_спр,2,FALSE),IFERROR(VLOOKUP(AL526,УГО_спр,2,FALSE),IFERROR(VLOOKUP(LEFT(AL526,2),УГО_спр,2,FALSE),""))))</f>
      </c>
    </row>
    <row r="527" spans="1:64" x14ac:dyDescent="0.3">
      <c r="A527" s="135">
        <f>IF(Разбивка_по_щитам!F527=0,"",Разбивка_по_щитам!F527)</f>
        <v/>
      </c>
      <c r="B527" s="138">
        <f>IF(A527="","",Разбивка_по_щитам!C527)</f>
        <v/>
      </c>
      <c r="C527" s="138">
        <f t="shared" si="342"/>
        <v/>
      </c>
      <c r="D527" s="266"/>
      <c r="E527" s="266"/>
      <c r="F527" s="267"/>
      <c r="G527" s="145">
        <f t="shared" si="343"/>
        <v/>
      </c>
      <c r="H527" s="145">
        <f t="shared" si="344"/>
        <v/>
      </c>
      <c r="I527" s="266"/>
      <c r="J527" s="267"/>
      <c r="K527" s="267"/>
      <c r="L527" s="266"/>
      <c r="M527" s="147">
        <f t="shared" si="345"/>
        <v/>
      </c>
      <c r="N527" s="267"/>
      <c r="O527" s="147">
        <f t="shared" si="346"/>
        <v/>
      </c>
      <c r="P527" s="268">
        <f>IF(AY527=1,"XT"&amp;COUNTIFS($A$3:A527,A527,$AY$3:AY527,1),"")</f>
        <v/>
      </c>
      <c r="Q527" s="152">
        <f>IF(R527="","",IFERROR(SUBSTITUTE(Разбивка_по_щитам!P527,CHAR(10)," "),""))</f>
        <v/>
      </c>
      <c r="R527" s="153">
        <f>IF(OR(Разбивка_по_щитам!H527="",Разбивка_по_щитам!H527=0),"",Разбивка_по_щитам!H527)</f>
        <v/>
      </c>
      <c r="S527" s="154">
        <f>IF(R527="","",IFERROR(Разбивка_по_щитам!J527&amp;"",""))</f>
        <v/>
      </c>
      <c r="T527" s="155">
        <f>IF(R527="","",IFERROR(--Разбивка_по_щитам!L527,""))</f>
        <v/>
      </c>
      <c r="U527" s="155">
        <f>IF(R527="","",IFERROR(--Разбивка_по_щитам!K527,""))</f>
        <v/>
      </c>
      <c r="V527" s="138">
        <f>IF(R527="","",IFERROR(IF(Разбивка_по_щитам!M527=0,"",Разбивка_по_щитам!M527),""))</f>
        <v/>
      </c>
      <c r="W527" s="156">
        <f t="shared" si="347"/>
        <v/>
      </c>
      <c r="X527" s="157">
        <f t="shared" si="348"/>
        <v/>
      </c>
      <c r="Y527" s="266"/>
      <c r="Z527" s="158">
        <f t="shared" si="349"/>
        <v/>
      </c>
      <c r="AA527" s="160">
        <f t="shared" si="350"/>
        <v/>
      </c>
      <c r="AB527" s="160">
        <f>IF(R527="","",IFERROR(LOOKUP(INDEX(Справочная!$I$4:$I$19,MATCH(VLOOKUP(R527,Исходные_данные,22,FALSE),Справочная!$J$4:$J$19,0)+1),{6,10,16,20,25,32,40,50,63,80,100,125}),""))</f>
        <v/>
      </c>
      <c r="AC527" s="160">
        <f t="shared" si="351"/>
        <v/>
      </c>
      <c r="AD527" s="161">
        <f t="shared" si="352"/>
        <v/>
      </c>
      <c r="AE527" s="161">
        <f>IF(AND(R527="",G527=""),"",_xlfn.TEXTJOIN("; ",TRUE,IF(AND(R527&lt;&gt;"",V527=""),"нет фазы",""),IF(AND(R527&lt;&gt;"",N(T527)=0),"нет мощности",""),IF(AND(P527&lt;&gt;"",COUNTIFS($A$3:$A$1000,A527,$P$3:$P$1000,P527)&gt;1),"дубль клеммы "&amp;P527,""),IF(AND(W527&lt;&gt;"",W527&lt;&gt;"ok"),W527,""),IF(X527&lt;&gt;"",X527,""),IF(AND(ISNUMBER(SEARCH("(5х",Q527)),N(AK527)=1),"5 жил на 1 фазе",""),IF(AND(AL527="R",E527&lt;&gt;"",N(AS527)=0),"розетка без 30 мА",""),IF(IFERROR(_xlfn.NUMBERVALUE(MID(Q527,FIND("-",Q527,FIND("L=",Q527))+1,FIND("%",Q527)-FIND("-",Q527,FIND("L=",Q527))-1),","),0)&gt;4,"потери &gt; 4 %","")))</f>
      </c>
      <c r="AF527" s="129">
        <f>IF(E527&lt;&gt;"",COUNTIFS($A$3:A527,A527,$E$3:E527,"?*"),IF(OR(A527&lt;&gt;A526,Y527="вручную"),"",AF526))</f>
        <v/>
      </c>
      <c r="AG527" s="129">
        <f t="shared" si="353"/>
        <v/>
      </c>
      <c r="AH527" s="129">
        <f t="shared" si="354"/>
        <v/>
      </c>
      <c r="AI527" s="129">
        <f t="shared" si="355"/>
        <v/>
      </c>
      <c r="AJ527" s="129">
        <f t="shared" si="356"/>
        <v/>
      </c>
      <c r="AK527" s="129">
        <f t="shared" si="357"/>
        <v/>
      </c>
      <c r="AL527" s="129">
        <f t="shared" si="358"/>
        <v/>
      </c>
      <c r="AM527" s="129">
        <f t="shared" si="359"/>
      </c>
      <c r="AN527" s="129">
        <f t="shared" si="360"/>
      </c>
      <c r="AO527" s="129">
        <f t="shared" si="361"/>
        <v/>
      </c>
      <c r="AP527" s="129">
        <f t="shared" si="362"/>
        <v/>
      </c>
      <c r="AQ527" s="129">
        <f t="shared" si="363"/>
        <v/>
      </c>
      <c r="AR527" s="129">
        <f t="shared" si="364"/>
        <v/>
      </c>
      <c r="AS527" s="129">
        <f t="shared" si="365"/>
        <v/>
      </c>
      <c r="AT527" s="129">
        <f t="shared" si="366"/>
        <v/>
      </c>
      <c r="AU527" s="129">
        <f t="shared" si="367"/>
        <v/>
      </c>
      <c r="AV527" s="129">
        <f t="shared" si="368"/>
        <v/>
      </c>
      <c r="AW527" s="129">
        <f>IF(AV527="","",AV527&amp;"."&amp;COUNTIFS($A$3:A527,A527,$AV$3:AV527,AV527))</f>
        <v/>
      </c>
      <c r="AX527" s="129">
        <f t="shared" si="369"/>
        <v/>
      </c>
      <c r="AY527" s="129">
        <f>IF(N527="б/к",0,IF(OR(ISNUMBER(SEARCH("L=",Разбивка_по_щитам!P527)),N527="+",N527="="),1,0))</f>
      </c>
      <c r="AZ527" s="129">
        <f t="shared" si="370"/>
        <v/>
      </c>
      <c r="BA527" s="129">
        <f t="shared" si="371"/>
      </c>
      <c r="BB527" s="129">
        <f t="shared" si="372"/>
      </c>
      <c r="BD527" s="129">
        <f t="shared" si="373"/>
      </c>
      <c r="BE527" s="129">
        <f t="shared" si="374"/>
      </c>
      <c r="BF527" s="129">
        <f t="shared" si="375"/>
      </c>
      <c r="BG527" s="129">
        <f t="shared" si="376"/>
        <v/>
      </c>
      <c r="BH527" s="129">
        <f t="shared" si="377"/>
        <v/>
      </c>
      <c r="BI527" s="129">
        <f t="shared" si="378"/>
        <v/>
      </c>
      <c r="BJ527" s="129">
        <f t="shared" si="379"/>
        <v/>
      </c>
      <c r="BK527" s="129">
        <f>IF(R527="","",IF(OR(BY527="",BY527=0),"BOX",IFERROR(IF(VLOOKUP(BY527,УГО_блоки,3,FALSE)&amp;""&lt;&gt;"",VLOOKUP(BY527,УГО_блоки,3,FALSE),VLOOKUP(BY527,УГО_блоки,2,FALSE)),BY527)))</f>
      </c>
      <c r="BL527" s="129">
        <f t="shared" si="381"/>
      </c>
      <c r="BM527" s="129">
        <f>IF(H527="","",IF(COUNTIF($H$3:H527,H527)=1,MAX($BM$2:BM526)+1,""))</f>
      </c>
      <c r="BN527" s="129">
        <f>IF(I527="","",IF(COUNTIF($I$3:I527,I527)+COUNTIF($J$2:J526,I527)+COUNTIF($K$2:K526,I527)=1,MAX($BN$2:BP526)+1,""))</f>
      </c>
      <c r="BO527" s="129">
        <f>IF(J527="","",IF(COUNTIF($I$3:I527,J527)+COUNTIF($J$3:J527,J527)+COUNTIF($K$2:K526,J527)=1,MAX($BN$2:BP526,BN527)+1,""))</f>
      </c>
      <c r="BP527" s="129">
        <f>IF(K527="","",IF(COUNTIF($I$3:I527,K527)+COUNTIF($J$3:J527,K527)+COUNTIF($K$3:K527,K527)=1,MAX($BN$2:BP526,BN527,BO527)+1,""))</f>
      </c>
      <c r="BQ527" s="129">
        <f>IF(AY527=1,IFERROR(MID(Q527,FIND(" (",Q527)+2,FIND(")",Q527,FIND(" (",Q527))-FIND(" (",Q527)-2),"?"),"")</f>
      </c>
      <c r="BR527" s="129">
        <f>IF(BQ527="","",IF(COUNTIF($BQ$3:BQ527,BQ527)=1,MAX($BR$2:BR526)+1,""))</f>
      </c>
      <c r="BS527" s="129">
        <f>IF(AW527="","",COUNTIF($AW$3:AW527,"?*"))</f>
      </c>
      <c r="BT527" s="129">
        <f>IF(OR(AW527="",AI527=""),"",IF(COUNTIFS($AW$3:AW527,"?*",$AI$3:AI527,AI527)=1,MAX($BT$2:BT526)+1,""))</f>
      </c>
      <c r="BU527" s="129">
        <f>IF(AE527="",0,IF(OR(ISNUMBER(SEARCH("дубль",AE527)),ISNUMBER(SEARCH("ПЕРЕГРУЗ",AE527)),ISNUMBER(SEARCH("ЗАЩИЩ",AE527)),ISNUMBER(SEARCH("КАНАЛ",AE527)),ISNUMBER(SEARCH("без 30",AE527))),2,1))</f>
      </c>
      <c r="BV527" s="129">
        <f>IF(R527="","",COUNTIF($R$3:R527,"?*"))</f>
      </c>
      <c r="BW527" s="129">
        <f>IF(AY527&lt;&gt;1,0,IF(MAX(IFERROR(--VLOOKUP(R527,УГО_спр,5,FALSE),0),IFERROR(--VLOOKUP(AL527,УГО_спр,5,FALSE),0),IFERROR(--VLOOKUP(LEFT(AL527,2),УГО_спр,5,FALSE),0))&gt;0,MAX(IFERROR(--VLOOKUP(R527,УГО_спр,5,FALSE),0),IFERROR(--VLOOKUP(AL527,УГО_спр,5,FALSE),0),IFERROR(--VLOOKUP(LEFT(AL527,2),УГО_спр,5,FALSE),0)),IF(IFERROR(--LEFT(SUBSTITUTE(BQ527,"x","х"),FIND("х",SUBSTITUTE(BQ527,"x","х"))-1),3)&gt;3,Каталог!$S$9,1)))</f>
      </c>
      <c r="BX527" s="129">
        <f>IF(AY527&lt;&gt;1,0,MAX(0,IFERROR(--LEFT(SUBSTITUTE(BQ527,"x","х"),FIND("х",SUBSTITUTE(BQ527,"x","х"))-1),3)-3*BW527))</f>
      </c>
      <c r="BY527" s="129">
        <f>IF(R527="","",IFERROR(VLOOKUP(R527,УГО_спр,2,FALSE),IFERROR(VLOOKUP(AL527,УГО_спр,2,FALSE),IFERROR(VLOOKUP(LEFT(AL527,2),УГО_спр,2,FALSE),""))))</f>
      </c>
    </row>
    <row r="528" spans="1:64" x14ac:dyDescent="0.3">
      <c r="A528" s="135">
        <f>IF(Разбивка_по_щитам!F528=0,"",Разбивка_по_щитам!F528)</f>
        <v/>
      </c>
      <c r="B528" s="138">
        <f>IF(A528="","",Разбивка_по_щитам!C528)</f>
        <v/>
      </c>
      <c r="C528" s="138">
        <f t="shared" si="342"/>
        <v/>
      </c>
      <c r="D528" s="266"/>
      <c r="E528" s="266"/>
      <c r="F528" s="267"/>
      <c r="G528" s="145">
        <f t="shared" si="343"/>
        <v/>
      </c>
      <c r="H528" s="145">
        <f t="shared" si="344"/>
        <v/>
      </c>
      <c r="I528" s="266"/>
      <c r="J528" s="267"/>
      <c r="K528" s="267"/>
      <c r="L528" s="266"/>
      <c r="M528" s="147">
        <f t="shared" si="345"/>
        <v/>
      </c>
      <c r="N528" s="267"/>
      <c r="O528" s="147">
        <f t="shared" si="346"/>
        <v/>
      </c>
      <c r="P528" s="268">
        <f>IF(AY528=1,"XT"&amp;COUNTIFS($A$3:A528,A528,$AY$3:AY528,1),"")</f>
        <v/>
      </c>
      <c r="Q528" s="152">
        <f>IF(R528="","",IFERROR(SUBSTITUTE(Разбивка_по_щитам!P528,CHAR(10)," "),""))</f>
        <v/>
      </c>
      <c r="R528" s="153">
        <f>IF(OR(Разбивка_по_щитам!H528="",Разбивка_по_щитам!H528=0),"",Разбивка_по_щитам!H528)</f>
        <v/>
      </c>
      <c r="S528" s="154">
        <f>IF(R528="","",IFERROR(Разбивка_по_щитам!J528&amp;"",""))</f>
        <v/>
      </c>
      <c r="T528" s="155">
        <f>IF(R528="","",IFERROR(--Разбивка_по_щитам!L528,""))</f>
        <v/>
      </c>
      <c r="U528" s="155">
        <f>IF(R528="","",IFERROR(--Разбивка_по_щитам!K528,""))</f>
        <v/>
      </c>
      <c r="V528" s="138">
        <f>IF(R528="","",IFERROR(IF(Разбивка_по_щитам!M528=0,"",Разбивка_по_щитам!M528),""))</f>
        <v/>
      </c>
      <c r="W528" s="156">
        <f t="shared" si="347"/>
        <v/>
      </c>
      <c r="X528" s="157">
        <f t="shared" si="348"/>
        <v/>
      </c>
      <c r="Y528" s="266"/>
      <c r="Z528" s="158">
        <f t="shared" si="349"/>
        <v/>
      </c>
      <c r="AA528" s="160">
        <f t="shared" si="350"/>
        <v/>
      </c>
      <c r="AB528" s="160">
        <f>IF(R528="","",IFERROR(LOOKUP(INDEX(Справочная!$I$4:$I$19,MATCH(VLOOKUP(R528,Исходные_данные,22,FALSE),Справочная!$J$4:$J$19,0)+1),{6,10,16,20,25,32,40,50,63,80,100,125}),""))</f>
        <v/>
      </c>
      <c r="AC528" s="160">
        <f t="shared" si="351"/>
        <v/>
      </c>
      <c r="AD528" s="161">
        <f t="shared" si="352"/>
        <v/>
      </c>
      <c r="AE528" s="161">
        <f>IF(AND(R528="",G528=""),"",_xlfn.TEXTJOIN("; ",TRUE,IF(AND(R528&lt;&gt;"",V528=""),"нет фазы",""),IF(AND(R528&lt;&gt;"",N(T528)=0),"нет мощности",""),IF(AND(P528&lt;&gt;"",COUNTIFS($A$3:$A$1000,A528,$P$3:$P$1000,P528)&gt;1),"дубль клеммы "&amp;P528,""),IF(AND(W528&lt;&gt;"",W528&lt;&gt;"ok"),W528,""),IF(X528&lt;&gt;"",X528,""),IF(AND(ISNUMBER(SEARCH("(5х",Q528)),N(AK528)=1),"5 жил на 1 фазе",""),IF(AND(AL528="R",E528&lt;&gt;"",N(AS528)=0),"розетка без 30 мА",""),IF(IFERROR(_xlfn.NUMBERVALUE(MID(Q528,FIND("-",Q528,FIND("L=",Q528))+1,FIND("%",Q528)-FIND("-",Q528,FIND("L=",Q528))-1),","),0)&gt;4,"потери &gt; 4 %","")))</f>
      </c>
      <c r="AF528" s="129">
        <f>IF(E528&lt;&gt;"",COUNTIFS($A$3:A528,A528,$E$3:E528,"?*"),IF(OR(A528&lt;&gt;A527,Y528="вручную"),"",AF527))</f>
        <v/>
      </c>
      <c r="AG528" s="129">
        <f t="shared" si="353"/>
        <v/>
      </c>
      <c r="AH528" s="129">
        <f t="shared" si="354"/>
        <v/>
      </c>
      <c r="AI528" s="129">
        <f t="shared" si="355"/>
        <v/>
      </c>
      <c r="AJ528" s="129">
        <f t="shared" si="356"/>
        <v/>
      </c>
      <c r="AK528" s="129">
        <f t="shared" si="357"/>
        <v/>
      </c>
      <c r="AL528" s="129">
        <f t="shared" si="358"/>
        <v/>
      </c>
      <c r="AM528" s="129">
        <f t="shared" si="359"/>
      </c>
      <c r="AN528" s="129">
        <f t="shared" si="360"/>
      </c>
      <c r="AO528" s="129">
        <f t="shared" si="361"/>
        <v/>
      </c>
      <c r="AP528" s="129">
        <f t="shared" si="362"/>
        <v/>
      </c>
      <c r="AQ528" s="129">
        <f t="shared" si="363"/>
        <v/>
      </c>
      <c r="AR528" s="129">
        <f t="shared" si="364"/>
        <v/>
      </c>
      <c r="AS528" s="129">
        <f t="shared" si="365"/>
        <v/>
      </c>
      <c r="AT528" s="129">
        <f t="shared" si="366"/>
        <v/>
      </c>
      <c r="AU528" s="129">
        <f t="shared" si="367"/>
        <v/>
      </c>
      <c r="AV528" s="129">
        <f t="shared" si="368"/>
        <v/>
      </c>
      <c r="AW528" s="129">
        <f>IF(AV528="","",AV528&amp;"."&amp;COUNTIFS($A$3:A528,A528,$AV$3:AV528,AV528))</f>
        <v/>
      </c>
      <c r="AX528" s="129">
        <f t="shared" si="369"/>
        <v/>
      </c>
      <c r="AY528" s="129">
        <f>IF(N528="б/к",0,IF(OR(ISNUMBER(SEARCH("L=",Разбивка_по_щитам!P528)),N528="+",N528="="),1,0))</f>
      </c>
      <c r="AZ528" s="129">
        <f t="shared" si="370"/>
        <v/>
      </c>
      <c r="BA528" s="129">
        <f t="shared" si="371"/>
      </c>
      <c r="BB528" s="129">
        <f t="shared" si="372"/>
      </c>
      <c r="BD528" s="129">
        <f t="shared" si="373"/>
      </c>
      <c r="BE528" s="129">
        <f t="shared" si="374"/>
      </c>
      <c r="BF528" s="129">
        <f t="shared" si="375"/>
      </c>
      <c r="BG528" s="129">
        <f t="shared" si="376"/>
        <v/>
      </c>
      <c r="BH528" s="129">
        <f t="shared" si="377"/>
        <v/>
      </c>
      <c r="BI528" s="129">
        <f t="shared" si="378"/>
        <v/>
      </c>
      <c r="BJ528" s="129">
        <f t="shared" si="379"/>
        <v/>
      </c>
      <c r="BK528" s="129">
        <f>IF(R528="","",IF(OR(BY528="",BY528=0),"BOX",IFERROR(IF(VLOOKUP(BY528,УГО_блоки,3,FALSE)&amp;""&lt;&gt;"",VLOOKUP(BY528,УГО_блоки,3,FALSE),VLOOKUP(BY528,УГО_блоки,2,FALSE)),BY528)))</f>
      </c>
      <c r="BL528" s="129">
        <f t="shared" si="381"/>
      </c>
      <c r="BM528" s="129">
        <f>IF(H528="","",IF(COUNTIF($H$3:H528,H528)=1,MAX($BM$2:BM527)+1,""))</f>
      </c>
      <c r="BN528" s="129">
        <f>IF(I528="","",IF(COUNTIF($I$3:I528,I528)+COUNTIF($J$2:J527,I528)+COUNTIF($K$2:K527,I528)=1,MAX($BN$2:BP527)+1,""))</f>
      </c>
      <c r="BO528" s="129">
        <f>IF(J528="","",IF(COUNTIF($I$3:I528,J528)+COUNTIF($J$3:J528,J528)+COUNTIF($K$2:K527,J528)=1,MAX($BN$2:BP527,BN528)+1,""))</f>
      </c>
      <c r="BP528" s="129">
        <f>IF(K528="","",IF(COUNTIF($I$3:I528,K528)+COUNTIF($J$3:J528,K528)+COUNTIF($K$3:K528,K528)=1,MAX($BN$2:BP527,BN528,BO528)+1,""))</f>
      </c>
      <c r="BQ528" s="129">
        <f>IF(AY528=1,IFERROR(MID(Q528,FIND(" (",Q528)+2,FIND(")",Q528,FIND(" (",Q528))-FIND(" (",Q528)-2),"?"),"")</f>
      </c>
      <c r="BR528" s="129">
        <f>IF(BQ528="","",IF(COUNTIF($BQ$3:BQ528,BQ528)=1,MAX($BR$2:BR527)+1,""))</f>
      </c>
      <c r="BS528" s="129">
        <f>IF(AW528="","",COUNTIF($AW$3:AW528,"?*"))</f>
      </c>
      <c r="BT528" s="129">
        <f>IF(OR(AW528="",AI528=""),"",IF(COUNTIFS($AW$3:AW528,"?*",$AI$3:AI528,AI528)=1,MAX($BT$2:BT527)+1,""))</f>
      </c>
      <c r="BU528" s="129">
        <f>IF(AE528="",0,IF(OR(ISNUMBER(SEARCH("дубль",AE528)),ISNUMBER(SEARCH("ПЕРЕГРУЗ",AE528)),ISNUMBER(SEARCH("ЗАЩИЩ",AE528)),ISNUMBER(SEARCH("КАНАЛ",AE528)),ISNUMBER(SEARCH("без 30",AE528))),2,1))</f>
      </c>
      <c r="BV528" s="129">
        <f>IF(R528="","",COUNTIF($R$3:R528,"?*"))</f>
      </c>
      <c r="BW528" s="129">
        <f>IF(AY528&lt;&gt;1,0,IF(MAX(IFERROR(--VLOOKUP(R528,УГО_спр,5,FALSE),0),IFERROR(--VLOOKUP(AL528,УГО_спр,5,FALSE),0),IFERROR(--VLOOKUP(LEFT(AL528,2),УГО_спр,5,FALSE),0))&gt;0,MAX(IFERROR(--VLOOKUP(R528,УГО_спр,5,FALSE),0),IFERROR(--VLOOKUP(AL528,УГО_спр,5,FALSE),0),IFERROR(--VLOOKUP(LEFT(AL528,2),УГО_спр,5,FALSE),0)),IF(IFERROR(--LEFT(SUBSTITUTE(BQ528,"x","х"),FIND("х",SUBSTITUTE(BQ528,"x","х"))-1),3)&gt;3,Каталог!$S$9,1)))</f>
      </c>
      <c r="BX528" s="129">
        <f>IF(AY528&lt;&gt;1,0,MAX(0,IFERROR(--LEFT(SUBSTITUTE(BQ528,"x","х"),FIND("х",SUBSTITUTE(BQ528,"x","х"))-1),3)-3*BW528))</f>
      </c>
      <c r="BY528" s="129">
        <f>IF(R528="","",IFERROR(VLOOKUP(R528,УГО_спр,2,FALSE),IFERROR(VLOOKUP(AL528,УГО_спр,2,FALSE),IFERROR(VLOOKUP(LEFT(AL528,2),УГО_спр,2,FALSE),""))))</f>
      </c>
    </row>
    <row r="529" spans="1:64" x14ac:dyDescent="0.3">
      <c r="A529" s="135">
        <f>IF(Разбивка_по_щитам!F529=0,"",Разбивка_по_щитам!F529)</f>
        <v/>
      </c>
      <c r="B529" s="138">
        <f>IF(A529="","",Разбивка_по_щитам!C529)</f>
        <v/>
      </c>
      <c r="C529" s="138">
        <f t="shared" si="342"/>
        <v/>
      </c>
      <c r="D529" s="266"/>
      <c r="E529" s="266"/>
      <c r="F529" s="267"/>
      <c r="G529" s="145">
        <f t="shared" si="343"/>
        <v/>
      </c>
      <c r="H529" s="145">
        <f t="shared" si="344"/>
        <v/>
      </c>
      <c r="I529" s="266"/>
      <c r="J529" s="267"/>
      <c r="K529" s="267"/>
      <c r="L529" s="266"/>
      <c r="M529" s="147">
        <f t="shared" si="345"/>
        <v/>
      </c>
      <c r="N529" s="267"/>
      <c r="O529" s="147">
        <f t="shared" si="346"/>
        <v/>
      </c>
      <c r="P529" s="268">
        <f>IF(AY529=1,"XT"&amp;COUNTIFS($A$3:A529,A529,$AY$3:AY529,1),"")</f>
        <v/>
      </c>
      <c r="Q529" s="152">
        <f>IF(R529="","",IFERROR(SUBSTITUTE(Разбивка_по_щитам!P529,CHAR(10)," "),""))</f>
        <v/>
      </c>
      <c r="R529" s="153">
        <f>IF(OR(Разбивка_по_щитам!H529="",Разбивка_по_щитам!H529=0),"",Разбивка_по_щитам!H529)</f>
        <v/>
      </c>
      <c r="S529" s="154">
        <f>IF(R529="","",IFERROR(Разбивка_по_щитам!J529&amp;"",""))</f>
        <v/>
      </c>
      <c r="T529" s="155">
        <f>IF(R529="","",IFERROR(--Разбивка_по_щитам!L529,""))</f>
        <v/>
      </c>
      <c r="U529" s="155">
        <f>IF(R529="","",IFERROR(--Разбивка_по_щитам!K529,""))</f>
        <v/>
      </c>
      <c r="V529" s="138">
        <f>IF(R529="","",IFERROR(IF(Разбивка_по_щитам!M529=0,"",Разбивка_по_щитам!M529),""))</f>
        <v/>
      </c>
      <c r="W529" s="156">
        <f t="shared" si="347"/>
        <v/>
      </c>
      <c r="X529" s="157">
        <f t="shared" si="348"/>
        <v/>
      </c>
      <c r="Y529" s="266"/>
      <c r="Z529" s="158">
        <f t="shared" si="349"/>
        <v/>
      </c>
      <c r="AA529" s="160">
        <f t="shared" si="350"/>
        <v/>
      </c>
      <c r="AB529" s="160">
        <f>IF(R529="","",IFERROR(LOOKUP(INDEX(Справочная!$I$4:$I$19,MATCH(VLOOKUP(R529,Исходные_данные,22,FALSE),Справочная!$J$4:$J$19,0)+1),{6,10,16,20,25,32,40,50,63,80,100,125}),""))</f>
        <v/>
      </c>
      <c r="AC529" s="160">
        <f t="shared" si="351"/>
        <v/>
      </c>
      <c r="AD529" s="161">
        <f t="shared" si="352"/>
        <v/>
      </c>
      <c r="AE529" s="161">
        <f>IF(AND(R529="",G529=""),"",_xlfn.TEXTJOIN("; ",TRUE,IF(AND(R529&lt;&gt;"",V529=""),"нет фазы",""),IF(AND(R529&lt;&gt;"",N(T529)=0),"нет мощности",""),IF(AND(P529&lt;&gt;"",COUNTIFS($A$3:$A$1000,A529,$P$3:$P$1000,P529)&gt;1),"дубль клеммы "&amp;P529,""),IF(AND(W529&lt;&gt;"",W529&lt;&gt;"ok"),W529,""),IF(X529&lt;&gt;"",X529,""),IF(AND(ISNUMBER(SEARCH("(5х",Q529)),N(AK529)=1),"5 жил на 1 фазе",""),IF(AND(AL529="R",E529&lt;&gt;"",N(AS529)=0),"розетка без 30 мА",""),IF(IFERROR(_xlfn.NUMBERVALUE(MID(Q529,FIND("-",Q529,FIND("L=",Q529))+1,FIND("%",Q529)-FIND("-",Q529,FIND("L=",Q529))-1),","),0)&gt;4,"потери &gt; 4 %","")))</f>
      </c>
      <c r="AF529" s="129">
        <f>IF(E529&lt;&gt;"",COUNTIFS($A$3:A529,A529,$E$3:E529,"?*"),IF(OR(A529&lt;&gt;A528,Y529="вручную"),"",AF528))</f>
        <v/>
      </c>
      <c r="AG529" s="129">
        <f t="shared" si="353"/>
        <v/>
      </c>
      <c r="AH529" s="129">
        <f t="shared" si="354"/>
        <v/>
      </c>
      <c r="AI529" s="129">
        <f t="shared" si="355"/>
        <v/>
      </c>
      <c r="AJ529" s="129">
        <f t="shared" si="356"/>
        <v/>
      </c>
      <c r="AK529" s="129">
        <f t="shared" si="357"/>
        <v/>
      </c>
      <c r="AL529" s="129">
        <f t="shared" si="358"/>
        <v/>
      </c>
      <c r="AM529" s="129">
        <f t="shared" si="359"/>
      </c>
      <c r="AN529" s="129">
        <f t="shared" si="360"/>
      </c>
      <c r="AO529" s="129">
        <f t="shared" si="361"/>
        <v/>
      </c>
      <c r="AP529" s="129">
        <f t="shared" si="362"/>
        <v/>
      </c>
      <c r="AQ529" s="129">
        <f t="shared" si="363"/>
        <v/>
      </c>
      <c r="AR529" s="129">
        <f t="shared" si="364"/>
        <v/>
      </c>
      <c r="AS529" s="129">
        <f t="shared" si="365"/>
        <v/>
      </c>
      <c r="AT529" s="129">
        <f t="shared" si="366"/>
        <v/>
      </c>
      <c r="AU529" s="129">
        <f t="shared" si="367"/>
        <v/>
      </c>
      <c r="AV529" s="129">
        <f t="shared" si="368"/>
        <v/>
      </c>
      <c r="AW529" s="129">
        <f>IF(AV529="","",AV529&amp;"."&amp;COUNTIFS($A$3:A529,A529,$AV$3:AV529,AV529))</f>
        <v/>
      </c>
      <c r="AX529" s="129">
        <f t="shared" si="369"/>
        <v/>
      </c>
      <c r="AY529" s="129">
        <f>IF(N529="б/к",0,IF(OR(ISNUMBER(SEARCH("L=",Разбивка_по_щитам!P529)),N529="+",N529="="),1,0))</f>
      </c>
      <c r="AZ529" s="129">
        <f t="shared" si="370"/>
        <v/>
      </c>
      <c r="BA529" s="129">
        <f t="shared" si="371"/>
      </c>
      <c r="BB529" s="129">
        <f t="shared" si="372"/>
      </c>
      <c r="BD529" s="129">
        <f t="shared" si="373"/>
      </c>
      <c r="BE529" s="129">
        <f t="shared" si="374"/>
      </c>
      <c r="BF529" s="129">
        <f t="shared" si="375"/>
      </c>
      <c r="BG529" s="129">
        <f t="shared" si="376"/>
        <v/>
      </c>
      <c r="BH529" s="129">
        <f t="shared" si="377"/>
        <v/>
      </c>
      <c r="BI529" s="129">
        <f t="shared" si="378"/>
        <v/>
      </c>
      <c r="BJ529" s="129">
        <f t="shared" si="379"/>
        <v/>
      </c>
      <c r="BK529" s="129">
        <f>IF(R529="","",IF(OR(BY529="",BY529=0),"BOX",IFERROR(IF(VLOOKUP(BY529,УГО_блоки,3,FALSE)&amp;""&lt;&gt;"",VLOOKUP(BY529,УГО_блоки,3,FALSE),VLOOKUP(BY529,УГО_блоки,2,FALSE)),BY529)))</f>
      </c>
      <c r="BL529" s="129">
        <f t="shared" si="381"/>
      </c>
      <c r="BM529" s="129">
        <f>IF(H529="","",IF(COUNTIF($H$3:H529,H529)=1,MAX($BM$2:BM528)+1,""))</f>
      </c>
      <c r="BN529" s="129">
        <f>IF(I529="","",IF(COUNTIF($I$3:I529,I529)+COUNTIF($J$2:J528,I529)+COUNTIF($K$2:K528,I529)=1,MAX($BN$2:BP528)+1,""))</f>
      </c>
      <c r="BO529" s="129">
        <f>IF(J529="","",IF(COUNTIF($I$3:I529,J529)+COUNTIF($J$3:J529,J529)+COUNTIF($K$2:K528,J529)=1,MAX($BN$2:BP528,BN529)+1,""))</f>
      </c>
      <c r="BP529" s="129">
        <f>IF(K529="","",IF(COUNTIF($I$3:I529,K529)+COUNTIF($J$3:J529,K529)+COUNTIF($K$3:K529,K529)=1,MAX($BN$2:BP528,BN529,BO529)+1,""))</f>
      </c>
      <c r="BQ529" s="129">
        <f>IF(AY529=1,IFERROR(MID(Q529,FIND(" (",Q529)+2,FIND(")",Q529,FIND(" (",Q529))-FIND(" (",Q529)-2),"?"),"")</f>
      </c>
      <c r="BR529" s="129">
        <f>IF(BQ529="","",IF(COUNTIF($BQ$3:BQ529,BQ529)=1,MAX($BR$2:BR528)+1,""))</f>
      </c>
      <c r="BS529" s="129">
        <f>IF(AW529="","",COUNTIF($AW$3:AW529,"?*"))</f>
      </c>
      <c r="BT529" s="129">
        <f>IF(OR(AW529="",AI529=""),"",IF(COUNTIFS($AW$3:AW529,"?*",$AI$3:AI529,AI529)=1,MAX($BT$2:BT528)+1,""))</f>
      </c>
      <c r="BU529" s="129">
        <f>IF(AE529="",0,IF(OR(ISNUMBER(SEARCH("дубль",AE529)),ISNUMBER(SEARCH("ПЕРЕГРУЗ",AE529)),ISNUMBER(SEARCH("ЗАЩИЩ",AE529)),ISNUMBER(SEARCH("КАНАЛ",AE529)),ISNUMBER(SEARCH("без 30",AE529))),2,1))</f>
      </c>
      <c r="BV529" s="129">
        <f>IF(R529="","",COUNTIF($R$3:R529,"?*"))</f>
      </c>
      <c r="BW529" s="129">
        <f>IF(AY529&lt;&gt;1,0,IF(MAX(IFERROR(--VLOOKUP(R529,УГО_спр,5,FALSE),0),IFERROR(--VLOOKUP(AL529,УГО_спр,5,FALSE),0),IFERROR(--VLOOKUP(LEFT(AL529,2),УГО_спр,5,FALSE),0))&gt;0,MAX(IFERROR(--VLOOKUP(R529,УГО_спр,5,FALSE),0),IFERROR(--VLOOKUP(AL529,УГО_спр,5,FALSE),0),IFERROR(--VLOOKUP(LEFT(AL529,2),УГО_спр,5,FALSE),0)),IF(IFERROR(--LEFT(SUBSTITUTE(BQ529,"x","х"),FIND("х",SUBSTITUTE(BQ529,"x","х"))-1),3)&gt;3,Каталог!$S$9,1)))</f>
      </c>
      <c r="BX529" s="129">
        <f>IF(AY529&lt;&gt;1,0,MAX(0,IFERROR(--LEFT(SUBSTITUTE(BQ529,"x","х"),FIND("х",SUBSTITUTE(BQ529,"x","х"))-1),3)-3*BW529))</f>
      </c>
      <c r="BY529" s="129">
        <f>IF(R529="","",IFERROR(VLOOKUP(R529,УГО_спр,2,FALSE),IFERROR(VLOOKUP(AL529,УГО_спр,2,FALSE),IFERROR(VLOOKUP(LEFT(AL529,2),УГО_спр,2,FALSE),""))))</f>
      </c>
    </row>
    <row r="530" spans="1:64" x14ac:dyDescent="0.3">
      <c r="A530" s="135">
        <f>IF(Разбивка_по_щитам!F530=0,"",Разбивка_по_щитам!F530)</f>
        <v/>
      </c>
      <c r="B530" s="138">
        <f>IF(A530="","",Разбивка_по_щитам!C530)</f>
        <v/>
      </c>
      <c r="C530" s="138">
        <f t="shared" si="342"/>
        <v/>
      </c>
      <c r="D530" s="266"/>
      <c r="E530" s="266"/>
      <c r="F530" s="267"/>
      <c r="G530" s="145">
        <f t="shared" si="343"/>
        <v/>
      </c>
      <c r="H530" s="145">
        <f t="shared" si="344"/>
        <v/>
      </c>
      <c r="I530" s="266"/>
      <c r="J530" s="267"/>
      <c r="K530" s="267"/>
      <c r="L530" s="266"/>
      <c r="M530" s="147">
        <f t="shared" si="345"/>
        <v/>
      </c>
      <c r="N530" s="267"/>
      <c r="O530" s="147">
        <f t="shared" si="346"/>
        <v/>
      </c>
      <c r="P530" s="268">
        <f>IF(AY530=1,"XT"&amp;COUNTIFS($A$3:A530,A530,$AY$3:AY530,1),"")</f>
        <v/>
      </c>
      <c r="Q530" s="152">
        <f>IF(R530="","",IFERROR(SUBSTITUTE(Разбивка_по_щитам!P530,CHAR(10)," "),""))</f>
        <v/>
      </c>
      <c r="R530" s="153">
        <f>IF(OR(Разбивка_по_щитам!H530="",Разбивка_по_щитам!H530=0),"",Разбивка_по_щитам!H530)</f>
        <v/>
      </c>
      <c r="S530" s="154">
        <f>IF(R530="","",IFERROR(Разбивка_по_щитам!J530&amp;"",""))</f>
        <v/>
      </c>
      <c r="T530" s="155">
        <f>IF(R530="","",IFERROR(--Разбивка_по_щитам!L530,""))</f>
        <v/>
      </c>
      <c r="U530" s="155">
        <f>IF(R530="","",IFERROR(--Разбивка_по_щитам!K530,""))</f>
        <v/>
      </c>
      <c r="V530" s="138">
        <f>IF(R530="","",IFERROR(IF(Разбивка_по_щитам!M530=0,"",Разбивка_по_щитам!M530),""))</f>
        <v/>
      </c>
      <c r="W530" s="156">
        <f t="shared" si="347"/>
        <v/>
      </c>
      <c r="X530" s="157">
        <f t="shared" si="348"/>
        <v/>
      </c>
      <c r="Y530" s="266"/>
      <c r="Z530" s="158">
        <f t="shared" si="349"/>
        <v/>
      </c>
      <c r="AA530" s="160">
        <f t="shared" si="350"/>
        <v/>
      </c>
      <c r="AB530" s="160">
        <f>IF(R530="","",IFERROR(LOOKUP(INDEX(Справочная!$I$4:$I$19,MATCH(VLOOKUP(R530,Исходные_данные,22,FALSE),Справочная!$J$4:$J$19,0)+1),{6,10,16,20,25,32,40,50,63,80,100,125}),""))</f>
        <v/>
      </c>
      <c r="AC530" s="160">
        <f t="shared" si="351"/>
        <v/>
      </c>
      <c r="AD530" s="161">
        <f t="shared" si="352"/>
        <v/>
      </c>
      <c r="AE530" s="161">
        <f>IF(AND(R530="",G530=""),"",_xlfn.TEXTJOIN("; ",TRUE,IF(AND(R530&lt;&gt;"",V530=""),"нет фазы",""),IF(AND(R530&lt;&gt;"",N(T530)=0),"нет мощности",""),IF(AND(P530&lt;&gt;"",COUNTIFS($A$3:$A$1000,A530,$P$3:$P$1000,P530)&gt;1),"дубль клеммы "&amp;P530,""),IF(AND(W530&lt;&gt;"",W530&lt;&gt;"ok"),W530,""),IF(X530&lt;&gt;"",X530,""),IF(AND(ISNUMBER(SEARCH("(5х",Q530)),N(AK530)=1),"5 жил на 1 фазе",""),IF(AND(AL530="R",E530&lt;&gt;"",N(AS530)=0),"розетка без 30 мА",""),IF(IFERROR(_xlfn.NUMBERVALUE(MID(Q530,FIND("-",Q530,FIND("L=",Q530))+1,FIND("%",Q530)-FIND("-",Q530,FIND("L=",Q530))-1),","),0)&gt;4,"потери &gt; 4 %","")))</f>
      </c>
      <c r="AF530" s="129">
        <f>IF(E530&lt;&gt;"",COUNTIFS($A$3:A530,A530,$E$3:E530,"?*"),IF(OR(A530&lt;&gt;A529,Y530="вручную"),"",AF529))</f>
        <v/>
      </c>
      <c r="AG530" s="129">
        <f t="shared" si="353"/>
        <v/>
      </c>
      <c r="AH530" s="129">
        <f t="shared" si="354"/>
        <v/>
      </c>
      <c r="AI530" s="129">
        <f t="shared" si="355"/>
        <v/>
      </c>
      <c r="AJ530" s="129">
        <f t="shared" si="356"/>
        <v/>
      </c>
      <c r="AK530" s="129">
        <f t="shared" si="357"/>
        <v/>
      </c>
      <c r="AL530" s="129">
        <f t="shared" si="358"/>
        <v/>
      </c>
      <c r="AM530" s="129">
        <f t="shared" si="359"/>
      </c>
      <c r="AN530" s="129">
        <f t="shared" si="360"/>
      </c>
      <c r="AO530" s="129">
        <f t="shared" si="361"/>
        <v/>
      </c>
      <c r="AP530" s="129">
        <f t="shared" si="362"/>
        <v/>
      </c>
      <c r="AQ530" s="129">
        <f t="shared" si="363"/>
        <v/>
      </c>
      <c r="AR530" s="129">
        <f t="shared" si="364"/>
        <v/>
      </c>
      <c r="AS530" s="129">
        <f t="shared" si="365"/>
        <v/>
      </c>
      <c r="AT530" s="129">
        <f t="shared" si="366"/>
        <v/>
      </c>
      <c r="AU530" s="129">
        <f t="shared" si="367"/>
        <v/>
      </c>
      <c r="AV530" s="129">
        <f t="shared" si="368"/>
        <v/>
      </c>
      <c r="AW530" s="129">
        <f>IF(AV530="","",AV530&amp;"."&amp;COUNTIFS($A$3:A530,A530,$AV$3:AV530,AV530))</f>
        <v/>
      </c>
      <c r="AX530" s="129">
        <f t="shared" si="369"/>
        <v/>
      </c>
      <c r="AY530" s="129">
        <f>IF(N530="б/к",0,IF(OR(ISNUMBER(SEARCH("L=",Разбивка_по_щитам!P530)),N530="+",N530="="),1,0))</f>
      </c>
      <c r="AZ530" s="129">
        <f t="shared" si="370"/>
        <v/>
      </c>
      <c r="BA530" s="129">
        <f t="shared" si="371"/>
      </c>
      <c r="BB530" s="129">
        <f t="shared" si="372"/>
      </c>
      <c r="BD530" s="129">
        <f t="shared" si="373"/>
      </c>
      <c r="BE530" s="129">
        <f t="shared" si="374"/>
      </c>
      <c r="BF530" s="129">
        <f t="shared" si="375"/>
      </c>
      <c r="BG530" s="129">
        <f t="shared" si="376"/>
        <v/>
      </c>
      <c r="BH530" s="129">
        <f t="shared" si="377"/>
        <v/>
      </c>
      <c r="BI530" s="129">
        <f t="shared" si="378"/>
        <v/>
      </c>
      <c r="BJ530" s="129">
        <f t="shared" si="379"/>
        <v/>
      </c>
      <c r="BK530" s="129">
        <f>IF(R530="","",IF(OR(BY530="",BY530=0),"BOX",IFERROR(IF(VLOOKUP(BY530,УГО_блоки,3,FALSE)&amp;""&lt;&gt;"",VLOOKUP(BY530,УГО_блоки,3,FALSE),VLOOKUP(BY530,УГО_блоки,2,FALSE)),BY530)))</f>
      </c>
      <c r="BL530" s="129">
        <f t="shared" si="381"/>
      </c>
      <c r="BM530" s="129">
        <f>IF(H530="","",IF(COUNTIF($H$3:H530,H530)=1,MAX($BM$2:BM529)+1,""))</f>
      </c>
      <c r="BN530" s="129">
        <f>IF(I530="","",IF(COUNTIF($I$3:I530,I530)+COUNTIF($J$2:J529,I530)+COUNTIF($K$2:K529,I530)=1,MAX($BN$2:BP529)+1,""))</f>
      </c>
      <c r="BO530" s="129">
        <f>IF(J530="","",IF(COUNTIF($I$3:I530,J530)+COUNTIF($J$3:J530,J530)+COUNTIF($K$2:K529,J530)=1,MAX($BN$2:BP529,BN530)+1,""))</f>
      </c>
      <c r="BP530" s="129">
        <f>IF(K530="","",IF(COUNTIF($I$3:I530,K530)+COUNTIF($J$3:J530,K530)+COUNTIF($K$3:K530,K530)=1,MAX($BN$2:BP529,BN530,BO530)+1,""))</f>
      </c>
      <c r="BQ530" s="129">
        <f>IF(AY530=1,IFERROR(MID(Q530,FIND(" (",Q530)+2,FIND(")",Q530,FIND(" (",Q530))-FIND(" (",Q530)-2),"?"),"")</f>
      </c>
      <c r="BR530" s="129">
        <f>IF(BQ530="","",IF(COUNTIF($BQ$3:BQ530,BQ530)=1,MAX($BR$2:BR529)+1,""))</f>
      </c>
      <c r="BS530" s="129">
        <f>IF(AW530="","",COUNTIF($AW$3:AW530,"?*"))</f>
      </c>
      <c r="BT530" s="129">
        <f>IF(OR(AW530="",AI530=""),"",IF(COUNTIFS($AW$3:AW530,"?*",$AI$3:AI530,AI530)=1,MAX($BT$2:BT529)+1,""))</f>
      </c>
      <c r="BU530" s="129">
        <f>IF(AE530="",0,IF(OR(ISNUMBER(SEARCH("дубль",AE530)),ISNUMBER(SEARCH("ПЕРЕГРУЗ",AE530)),ISNUMBER(SEARCH("ЗАЩИЩ",AE530)),ISNUMBER(SEARCH("КАНАЛ",AE530)),ISNUMBER(SEARCH("без 30",AE530))),2,1))</f>
      </c>
      <c r="BV530" s="129">
        <f>IF(R530="","",COUNTIF($R$3:R530,"?*"))</f>
      </c>
      <c r="BW530" s="129">
        <f>IF(AY530&lt;&gt;1,0,IF(MAX(IFERROR(--VLOOKUP(R530,УГО_спр,5,FALSE),0),IFERROR(--VLOOKUP(AL530,УГО_спр,5,FALSE),0),IFERROR(--VLOOKUP(LEFT(AL530,2),УГО_спр,5,FALSE),0))&gt;0,MAX(IFERROR(--VLOOKUP(R530,УГО_спр,5,FALSE),0),IFERROR(--VLOOKUP(AL530,УГО_спр,5,FALSE),0),IFERROR(--VLOOKUP(LEFT(AL530,2),УГО_спр,5,FALSE),0)),IF(IFERROR(--LEFT(SUBSTITUTE(BQ530,"x","х"),FIND("х",SUBSTITUTE(BQ530,"x","х"))-1),3)&gt;3,Каталог!$S$9,1)))</f>
      </c>
      <c r="BX530" s="129">
        <f>IF(AY530&lt;&gt;1,0,MAX(0,IFERROR(--LEFT(SUBSTITUTE(BQ530,"x","х"),FIND("х",SUBSTITUTE(BQ530,"x","х"))-1),3)-3*BW530))</f>
      </c>
      <c r="BY530" s="129">
        <f>IF(R530="","",IFERROR(VLOOKUP(R530,УГО_спр,2,FALSE),IFERROR(VLOOKUP(AL530,УГО_спр,2,FALSE),IFERROR(VLOOKUP(LEFT(AL530,2),УГО_спр,2,FALSE),""))))</f>
      </c>
    </row>
    <row r="531" spans="1:64" x14ac:dyDescent="0.3">
      <c r="A531" s="135">
        <f>IF(Разбивка_по_щитам!F531=0,"",Разбивка_по_щитам!F531)</f>
        <v/>
      </c>
      <c r="B531" s="138">
        <f>IF(A531="","",Разбивка_по_щитам!C531)</f>
        <v/>
      </c>
      <c r="C531" s="138">
        <f t="shared" si="342"/>
        <v/>
      </c>
      <c r="D531" s="266"/>
      <c r="E531" s="266"/>
      <c r="F531" s="267"/>
      <c r="G531" s="145">
        <f t="shared" si="343"/>
        <v/>
      </c>
      <c r="H531" s="145">
        <f t="shared" si="344"/>
        <v/>
      </c>
      <c r="I531" s="266"/>
      <c r="J531" s="267"/>
      <c r="K531" s="267"/>
      <c r="L531" s="266"/>
      <c r="M531" s="147">
        <f t="shared" si="345"/>
        <v/>
      </c>
      <c r="N531" s="267"/>
      <c r="O531" s="147">
        <f t="shared" si="346"/>
        <v/>
      </c>
      <c r="P531" s="268">
        <f>IF(AY531=1,"XT"&amp;COUNTIFS($A$3:A531,A531,$AY$3:AY531,1),"")</f>
        <v/>
      </c>
      <c r="Q531" s="152">
        <f>IF(R531="","",IFERROR(SUBSTITUTE(Разбивка_по_щитам!P531,CHAR(10)," "),""))</f>
        <v/>
      </c>
      <c r="R531" s="153">
        <f>IF(OR(Разбивка_по_щитам!H531="",Разбивка_по_щитам!H531=0),"",Разбивка_по_щитам!H531)</f>
        <v/>
      </c>
      <c r="S531" s="154">
        <f>IF(R531="","",IFERROR(Разбивка_по_щитам!J531&amp;"",""))</f>
        <v/>
      </c>
      <c r="T531" s="155">
        <f>IF(R531="","",IFERROR(--Разбивка_по_щитам!L531,""))</f>
        <v/>
      </c>
      <c r="U531" s="155">
        <f>IF(R531="","",IFERROR(--Разбивка_по_щитам!K531,""))</f>
        <v/>
      </c>
      <c r="V531" s="138">
        <f>IF(R531="","",IFERROR(IF(Разбивка_по_щитам!M531=0,"",Разбивка_по_щитам!M531),""))</f>
        <v/>
      </c>
      <c r="W531" s="156">
        <f t="shared" si="347"/>
        <v/>
      </c>
      <c r="X531" s="157">
        <f t="shared" si="348"/>
        <v/>
      </c>
      <c r="Y531" s="266"/>
      <c r="Z531" s="158">
        <f t="shared" si="349"/>
        <v/>
      </c>
      <c r="AA531" s="160">
        <f t="shared" si="350"/>
        <v/>
      </c>
      <c r="AB531" s="160">
        <f>IF(R531="","",IFERROR(LOOKUP(INDEX(Справочная!$I$4:$I$19,MATCH(VLOOKUP(R531,Исходные_данные,22,FALSE),Справочная!$J$4:$J$19,0)+1),{6,10,16,20,25,32,40,50,63,80,100,125}),""))</f>
        <v/>
      </c>
      <c r="AC531" s="160">
        <f t="shared" si="351"/>
        <v/>
      </c>
      <c r="AD531" s="161">
        <f t="shared" si="352"/>
        <v/>
      </c>
      <c r="AE531" s="161">
        <f>IF(AND(R531="",G531=""),"",_xlfn.TEXTJOIN("; ",TRUE,IF(AND(R531&lt;&gt;"",V531=""),"нет фазы",""),IF(AND(R531&lt;&gt;"",N(T531)=0),"нет мощности",""),IF(AND(P531&lt;&gt;"",COUNTIFS($A$3:$A$1000,A531,$P$3:$P$1000,P531)&gt;1),"дубль клеммы "&amp;P531,""),IF(AND(W531&lt;&gt;"",W531&lt;&gt;"ok"),W531,""),IF(X531&lt;&gt;"",X531,""),IF(AND(ISNUMBER(SEARCH("(5х",Q531)),N(AK531)=1),"5 жил на 1 фазе",""),IF(AND(AL531="R",E531&lt;&gt;"",N(AS531)=0),"розетка без 30 мА",""),IF(IFERROR(_xlfn.NUMBERVALUE(MID(Q531,FIND("-",Q531,FIND("L=",Q531))+1,FIND("%",Q531)-FIND("-",Q531,FIND("L=",Q531))-1),","),0)&gt;4,"потери &gt; 4 %","")))</f>
      </c>
      <c r="AF531" s="129">
        <f>IF(E531&lt;&gt;"",COUNTIFS($A$3:A531,A531,$E$3:E531,"?*"),IF(OR(A531&lt;&gt;A530,Y531="вручную"),"",AF530))</f>
        <v/>
      </c>
      <c r="AG531" s="129">
        <f t="shared" si="353"/>
        <v/>
      </c>
      <c r="AH531" s="129">
        <f t="shared" si="354"/>
        <v/>
      </c>
      <c r="AI531" s="129">
        <f t="shared" si="355"/>
        <v/>
      </c>
      <c r="AJ531" s="129">
        <f t="shared" si="356"/>
        <v/>
      </c>
      <c r="AK531" s="129">
        <f t="shared" si="357"/>
        <v/>
      </c>
      <c r="AL531" s="129">
        <f t="shared" si="358"/>
        <v/>
      </c>
      <c r="AM531" s="129">
        <f t="shared" si="359"/>
      </c>
      <c r="AN531" s="129">
        <f t="shared" si="360"/>
      </c>
      <c r="AO531" s="129">
        <f t="shared" si="361"/>
        <v/>
      </c>
      <c r="AP531" s="129">
        <f t="shared" si="362"/>
        <v/>
      </c>
      <c r="AQ531" s="129">
        <f t="shared" si="363"/>
        <v/>
      </c>
      <c r="AR531" s="129">
        <f t="shared" si="364"/>
        <v/>
      </c>
      <c r="AS531" s="129">
        <f t="shared" si="365"/>
        <v/>
      </c>
      <c r="AT531" s="129">
        <f t="shared" si="366"/>
        <v/>
      </c>
      <c r="AU531" s="129">
        <f t="shared" si="367"/>
        <v/>
      </c>
      <c r="AV531" s="129">
        <f t="shared" si="368"/>
        <v/>
      </c>
      <c r="AW531" s="129">
        <f>IF(AV531="","",AV531&amp;"."&amp;COUNTIFS($A$3:A531,A531,$AV$3:AV531,AV531))</f>
        <v/>
      </c>
      <c r="AX531" s="129">
        <f t="shared" si="369"/>
        <v/>
      </c>
      <c r="AY531" s="129">
        <f>IF(N531="б/к",0,IF(OR(ISNUMBER(SEARCH("L=",Разбивка_по_щитам!P531)),N531="+",N531="="),1,0))</f>
      </c>
      <c r="AZ531" s="129">
        <f t="shared" si="370"/>
        <v/>
      </c>
      <c r="BA531" s="129">
        <f t="shared" si="371"/>
      </c>
      <c r="BB531" s="129">
        <f t="shared" si="372"/>
      </c>
      <c r="BD531" s="129">
        <f t="shared" si="373"/>
      </c>
      <c r="BE531" s="129">
        <f t="shared" si="374"/>
      </c>
      <c r="BF531" s="129">
        <f t="shared" si="375"/>
      </c>
      <c r="BG531" s="129">
        <f t="shared" si="376"/>
        <v/>
      </c>
      <c r="BH531" s="129">
        <f t="shared" si="377"/>
        <v/>
      </c>
      <c r="BI531" s="129">
        <f t="shared" si="378"/>
        <v/>
      </c>
      <c r="BJ531" s="129">
        <f t="shared" si="379"/>
        <v/>
      </c>
      <c r="BK531" s="129">
        <f>IF(R531="","",IF(OR(BY531="",BY531=0),"BOX",IFERROR(IF(VLOOKUP(BY531,УГО_блоки,3,FALSE)&amp;""&lt;&gt;"",VLOOKUP(BY531,УГО_блоки,3,FALSE),VLOOKUP(BY531,УГО_блоки,2,FALSE)),BY531)))</f>
      </c>
      <c r="BL531" s="129">
        <f t="shared" si="381"/>
      </c>
      <c r="BM531" s="129">
        <f>IF(H531="","",IF(COUNTIF($H$3:H531,H531)=1,MAX($BM$2:BM530)+1,""))</f>
      </c>
      <c r="BN531" s="129">
        <f>IF(I531="","",IF(COUNTIF($I$3:I531,I531)+COUNTIF($J$2:J530,I531)+COUNTIF($K$2:K530,I531)=1,MAX($BN$2:BP530)+1,""))</f>
      </c>
      <c r="BO531" s="129">
        <f>IF(J531="","",IF(COUNTIF($I$3:I531,J531)+COUNTIF($J$3:J531,J531)+COUNTIF($K$2:K530,J531)=1,MAX($BN$2:BP530,BN531)+1,""))</f>
      </c>
      <c r="BP531" s="129">
        <f>IF(K531="","",IF(COUNTIF($I$3:I531,K531)+COUNTIF($J$3:J531,K531)+COUNTIF($K$3:K531,K531)=1,MAX($BN$2:BP530,BN531,BO531)+1,""))</f>
      </c>
      <c r="BQ531" s="129">
        <f>IF(AY531=1,IFERROR(MID(Q531,FIND(" (",Q531)+2,FIND(")",Q531,FIND(" (",Q531))-FIND(" (",Q531)-2),"?"),"")</f>
      </c>
      <c r="BR531" s="129">
        <f>IF(BQ531="","",IF(COUNTIF($BQ$3:BQ531,BQ531)=1,MAX($BR$2:BR530)+1,""))</f>
      </c>
      <c r="BS531" s="129">
        <f>IF(AW531="","",COUNTIF($AW$3:AW531,"?*"))</f>
      </c>
      <c r="BT531" s="129">
        <f>IF(OR(AW531="",AI531=""),"",IF(COUNTIFS($AW$3:AW531,"?*",$AI$3:AI531,AI531)=1,MAX($BT$2:BT530)+1,""))</f>
      </c>
      <c r="BU531" s="129">
        <f>IF(AE531="",0,IF(OR(ISNUMBER(SEARCH("дубль",AE531)),ISNUMBER(SEARCH("ПЕРЕГРУЗ",AE531)),ISNUMBER(SEARCH("ЗАЩИЩ",AE531)),ISNUMBER(SEARCH("КАНАЛ",AE531)),ISNUMBER(SEARCH("без 30",AE531))),2,1))</f>
      </c>
      <c r="BV531" s="129">
        <f>IF(R531="","",COUNTIF($R$3:R531,"?*"))</f>
      </c>
      <c r="BW531" s="129">
        <f>IF(AY531&lt;&gt;1,0,IF(MAX(IFERROR(--VLOOKUP(R531,УГО_спр,5,FALSE),0),IFERROR(--VLOOKUP(AL531,УГО_спр,5,FALSE),0),IFERROR(--VLOOKUP(LEFT(AL531,2),УГО_спр,5,FALSE),0))&gt;0,MAX(IFERROR(--VLOOKUP(R531,УГО_спр,5,FALSE),0),IFERROR(--VLOOKUP(AL531,УГО_спр,5,FALSE),0),IFERROR(--VLOOKUP(LEFT(AL531,2),УГО_спр,5,FALSE),0)),IF(IFERROR(--LEFT(SUBSTITUTE(BQ531,"x","х"),FIND("х",SUBSTITUTE(BQ531,"x","х"))-1),3)&gt;3,Каталог!$S$9,1)))</f>
      </c>
      <c r="BX531" s="129">
        <f>IF(AY531&lt;&gt;1,0,MAX(0,IFERROR(--LEFT(SUBSTITUTE(BQ531,"x","х"),FIND("х",SUBSTITUTE(BQ531,"x","х"))-1),3)-3*BW531))</f>
      </c>
      <c r="BY531" s="129">
        <f>IF(R531="","",IFERROR(VLOOKUP(R531,УГО_спр,2,FALSE),IFERROR(VLOOKUP(AL531,УГО_спр,2,FALSE),IFERROR(VLOOKUP(LEFT(AL531,2),УГО_спр,2,FALSE),""))))</f>
      </c>
    </row>
    <row r="532" spans="1:64" x14ac:dyDescent="0.3">
      <c r="A532" s="135">
        <f>IF(Разбивка_по_щитам!F532=0,"",Разбивка_по_щитам!F532)</f>
        <v/>
      </c>
      <c r="B532" s="138">
        <f>IF(A532="","",Разбивка_по_щитам!C532)</f>
        <v/>
      </c>
      <c r="C532" s="138">
        <f t="shared" si="342"/>
        <v/>
      </c>
      <c r="D532" s="266"/>
      <c r="E532" s="266"/>
      <c r="F532" s="267"/>
      <c r="G532" s="145">
        <f t="shared" si="343"/>
        <v/>
      </c>
      <c r="H532" s="145">
        <f t="shared" si="344"/>
        <v/>
      </c>
      <c r="I532" s="266"/>
      <c r="J532" s="267"/>
      <c r="K532" s="267"/>
      <c r="L532" s="266"/>
      <c r="M532" s="147">
        <f t="shared" si="345"/>
        <v/>
      </c>
      <c r="N532" s="267"/>
      <c r="O532" s="147">
        <f t="shared" si="346"/>
        <v/>
      </c>
      <c r="P532" s="268">
        <f>IF(AY532=1,"XT"&amp;COUNTIFS($A$3:A532,A532,$AY$3:AY532,1),"")</f>
        <v/>
      </c>
      <c r="Q532" s="152">
        <f>IF(R532="","",IFERROR(SUBSTITUTE(Разбивка_по_щитам!P532,CHAR(10)," "),""))</f>
        <v/>
      </c>
      <c r="R532" s="153">
        <f>IF(OR(Разбивка_по_щитам!H532="",Разбивка_по_щитам!H532=0),"",Разбивка_по_щитам!H532)</f>
        <v/>
      </c>
      <c r="S532" s="154">
        <f>IF(R532="","",IFERROR(Разбивка_по_щитам!J532&amp;"",""))</f>
        <v/>
      </c>
      <c r="T532" s="155">
        <f>IF(R532="","",IFERROR(--Разбивка_по_щитам!L532,""))</f>
        <v/>
      </c>
      <c r="U532" s="155">
        <f>IF(R532="","",IFERROR(--Разбивка_по_щитам!K532,""))</f>
        <v/>
      </c>
      <c r="V532" s="138">
        <f>IF(R532="","",IFERROR(IF(Разбивка_по_щитам!M532=0,"",Разбивка_по_щитам!M532),""))</f>
        <v/>
      </c>
      <c r="W532" s="156">
        <f t="shared" si="347"/>
        <v/>
      </c>
      <c r="X532" s="157">
        <f t="shared" si="348"/>
        <v/>
      </c>
      <c r="Y532" s="266"/>
      <c r="Z532" s="158">
        <f t="shared" si="349"/>
        <v/>
      </c>
      <c r="AA532" s="160">
        <f t="shared" si="350"/>
        <v/>
      </c>
      <c r="AB532" s="160">
        <f>IF(R532="","",IFERROR(LOOKUP(INDEX(Справочная!$I$4:$I$19,MATCH(VLOOKUP(R532,Исходные_данные,22,FALSE),Справочная!$J$4:$J$19,0)+1),{6,10,16,20,25,32,40,50,63,80,100,125}),""))</f>
        <v/>
      </c>
      <c r="AC532" s="160">
        <f t="shared" si="351"/>
        <v/>
      </c>
      <c r="AD532" s="161">
        <f t="shared" si="352"/>
        <v/>
      </c>
      <c r="AE532" s="161">
        <f>IF(AND(R532="",G532=""),"",_xlfn.TEXTJOIN("; ",TRUE,IF(AND(R532&lt;&gt;"",V532=""),"нет фазы",""),IF(AND(R532&lt;&gt;"",N(T532)=0),"нет мощности",""),IF(AND(P532&lt;&gt;"",COUNTIFS($A$3:$A$1000,A532,$P$3:$P$1000,P532)&gt;1),"дубль клеммы "&amp;P532,""),IF(AND(W532&lt;&gt;"",W532&lt;&gt;"ok"),W532,""),IF(X532&lt;&gt;"",X532,""),IF(AND(ISNUMBER(SEARCH("(5х",Q532)),N(AK532)=1),"5 жил на 1 фазе",""),IF(AND(AL532="R",E532&lt;&gt;"",N(AS532)=0),"розетка без 30 мА",""),IF(IFERROR(_xlfn.NUMBERVALUE(MID(Q532,FIND("-",Q532,FIND("L=",Q532))+1,FIND("%",Q532)-FIND("-",Q532,FIND("L=",Q532))-1),","),0)&gt;4,"потери &gt; 4 %","")))</f>
      </c>
      <c r="AF532" s="129">
        <f>IF(E532&lt;&gt;"",COUNTIFS($A$3:A532,A532,$E$3:E532,"?*"),IF(OR(A532&lt;&gt;A531,Y532="вручную"),"",AF531))</f>
        <v/>
      </c>
      <c r="AG532" s="129">
        <f t="shared" si="353"/>
        <v/>
      </c>
      <c r="AH532" s="129">
        <f t="shared" si="354"/>
        <v/>
      </c>
      <c r="AI532" s="129">
        <f t="shared" si="355"/>
        <v/>
      </c>
      <c r="AJ532" s="129">
        <f t="shared" si="356"/>
        <v/>
      </c>
      <c r="AK532" s="129">
        <f t="shared" si="357"/>
        <v/>
      </c>
      <c r="AL532" s="129">
        <f t="shared" si="358"/>
        <v/>
      </c>
      <c r="AM532" s="129">
        <f t="shared" si="359"/>
      </c>
      <c r="AN532" s="129">
        <f t="shared" si="360"/>
      </c>
      <c r="AO532" s="129">
        <f t="shared" si="361"/>
        <v/>
      </c>
      <c r="AP532" s="129">
        <f t="shared" si="362"/>
        <v/>
      </c>
      <c r="AQ532" s="129">
        <f t="shared" si="363"/>
        <v/>
      </c>
      <c r="AR532" s="129">
        <f t="shared" si="364"/>
        <v/>
      </c>
      <c r="AS532" s="129">
        <f t="shared" si="365"/>
        <v/>
      </c>
      <c r="AT532" s="129">
        <f t="shared" si="366"/>
        <v/>
      </c>
      <c r="AU532" s="129">
        <f t="shared" si="367"/>
        <v/>
      </c>
      <c r="AV532" s="129">
        <f t="shared" si="368"/>
        <v/>
      </c>
      <c r="AW532" s="129">
        <f>IF(AV532="","",AV532&amp;"."&amp;COUNTIFS($A$3:A532,A532,$AV$3:AV532,AV532))</f>
        <v/>
      </c>
      <c r="AX532" s="129">
        <f t="shared" si="369"/>
        <v/>
      </c>
      <c r="AY532" s="129">
        <f>IF(N532="б/к",0,IF(OR(ISNUMBER(SEARCH("L=",Разбивка_по_щитам!P532)),N532="+",N532="="),1,0))</f>
      </c>
      <c r="AZ532" s="129">
        <f t="shared" si="370"/>
        <v/>
      </c>
      <c r="BA532" s="129">
        <f t="shared" si="371"/>
      </c>
      <c r="BB532" s="129">
        <f t="shared" si="372"/>
      </c>
      <c r="BD532" s="129">
        <f t="shared" si="373"/>
      </c>
      <c r="BE532" s="129">
        <f t="shared" si="374"/>
      </c>
      <c r="BF532" s="129">
        <f t="shared" si="375"/>
      </c>
      <c r="BG532" s="129">
        <f t="shared" si="376"/>
        <v/>
      </c>
      <c r="BH532" s="129">
        <f t="shared" si="377"/>
        <v/>
      </c>
      <c r="BI532" s="129">
        <f t="shared" si="378"/>
        <v/>
      </c>
      <c r="BJ532" s="129">
        <f t="shared" si="379"/>
        <v/>
      </c>
      <c r="BK532" s="129">
        <f>IF(R532="","",IF(OR(BY532="",BY532=0),"BOX",IFERROR(IF(VLOOKUP(BY532,УГО_блоки,3,FALSE)&amp;""&lt;&gt;"",VLOOKUP(BY532,УГО_блоки,3,FALSE),VLOOKUP(BY532,УГО_блоки,2,FALSE)),BY532)))</f>
      </c>
      <c r="BL532" s="129">
        <f t="shared" si="381"/>
      </c>
      <c r="BM532" s="129">
        <f>IF(H532="","",IF(COUNTIF($H$3:H532,H532)=1,MAX($BM$2:BM531)+1,""))</f>
      </c>
      <c r="BN532" s="129">
        <f>IF(I532="","",IF(COUNTIF($I$3:I532,I532)+COUNTIF($J$2:J531,I532)+COUNTIF($K$2:K531,I532)=1,MAX($BN$2:BP531)+1,""))</f>
      </c>
      <c r="BO532" s="129">
        <f>IF(J532="","",IF(COUNTIF($I$3:I532,J532)+COUNTIF($J$3:J532,J532)+COUNTIF($K$2:K531,J532)=1,MAX($BN$2:BP531,BN532)+1,""))</f>
      </c>
      <c r="BP532" s="129">
        <f>IF(K532="","",IF(COUNTIF($I$3:I532,K532)+COUNTIF($J$3:J532,K532)+COUNTIF($K$3:K532,K532)=1,MAX($BN$2:BP531,BN532,BO532)+1,""))</f>
      </c>
      <c r="BQ532" s="129">
        <f>IF(AY532=1,IFERROR(MID(Q532,FIND(" (",Q532)+2,FIND(")",Q532,FIND(" (",Q532))-FIND(" (",Q532)-2),"?"),"")</f>
      </c>
      <c r="BR532" s="129">
        <f>IF(BQ532="","",IF(COUNTIF($BQ$3:BQ532,BQ532)=1,MAX($BR$2:BR531)+1,""))</f>
      </c>
      <c r="BS532" s="129">
        <f>IF(AW532="","",COUNTIF($AW$3:AW532,"?*"))</f>
      </c>
      <c r="BT532" s="129">
        <f>IF(OR(AW532="",AI532=""),"",IF(COUNTIFS($AW$3:AW532,"?*",$AI$3:AI532,AI532)=1,MAX($BT$2:BT531)+1,""))</f>
      </c>
      <c r="BU532" s="129">
        <f>IF(AE532="",0,IF(OR(ISNUMBER(SEARCH("дубль",AE532)),ISNUMBER(SEARCH("ПЕРЕГРУЗ",AE532)),ISNUMBER(SEARCH("ЗАЩИЩ",AE532)),ISNUMBER(SEARCH("КАНАЛ",AE532)),ISNUMBER(SEARCH("без 30",AE532))),2,1))</f>
      </c>
      <c r="BV532" s="129">
        <f>IF(R532="","",COUNTIF($R$3:R532,"?*"))</f>
      </c>
      <c r="BW532" s="129">
        <f>IF(AY532&lt;&gt;1,0,IF(MAX(IFERROR(--VLOOKUP(R532,УГО_спр,5,FALSE),0),IFERROR(--VLOOKUP(AL532,УГО_спр,5,FALSE),0),IFERROR(--VLOOKUP(LEFT(AL532,2),УГО_спр,5,FALSE),0))&gt;0,MAX(IFERROR(--VLOOKUP(R532,УГО_спр,5,FALSE),0),IFERROR(--VLOOKUP(AL532,УГО_спр,5,FALSE),0),IFERROR(--VLOOKUP(LEFT(AL532,2),УГО_спр,5,FALSE),0)),IF(IFERROR(--LEFT(SUBSTITUTE(BQ532,"x","х"),FIND("х",SUBSTITUTE(BQ532,"x","х"))-1),3)&gt;3,Каталог!$S$9,1)))</f>
      </c>
      <c r="BX532" s="129">
        <f>IF(AY532&lt;&gt;1,0,MAX(0,IFERROR(--LEFT(SUBSTITUTE(BQ532,"x","х"),FIND("х",SUBSTITUTE(BQ532,"x","х"))-1),3)-3*BW532))</f>
      </c>
      <c r="BY532" s="129">
        <f>IF(R532="","",IFERROR(VLOOKUP(R532,УГО_спр,2,FALSE),IFERROR(VLOOKUP(AL532,УГО_спр,2,FALSE),IFERROR(VLOOKUP(LEFT(AL532,2),УГО_спр,2,FALSE),""))))</f>
      </c>
    </row>
    <row r="533" spans="1:64" x14ac:dyDescent="0.3">
      <c r="A533" s="135">
        <f>IF(Разбивка_по_щитам!F533=0,"",Разбивка_по_щитам!F533)</f>
        <v/>
      </c>
      <c r="B533" s="138">
        <f>IF(A533="","",Разбивка_по_щитам!C533)</f>
        <v/>
      </c>
      <c r="C533" s="138">
        <f t="shared" si="342"/>
        <v/>
      </c>
      <c r="D533" s="266"/>
      <c r="E533" s="266"/>
      <c r="F533" s="267"/>
      <c r="G533" s="145">
        <f t="shared" si="343"/>
        <v/>
      </c>
      <c r="H533" s="145">
        <f t="shared" si="344"/>
        <v/>
      </c>
      <c r="I533" s="266"/>
      <c r="J533" s="267"/>
      <c r="K533" s="267"/>
      <c r="L533" s="266"/>
      <c r="M533" s="147">
        <f t="shared" si="345"/>
        <v/>
      </c>
      <c r="N533" s="267"/>
      <c r="O533" s="147">
        <f t="shared" si="346"/>
        <v/>
      </c>
      <c r="P533" s="268">
        <f>IF(AY533=1,"XT"&amp;COUNTIFS($A$3:A533,A533,$AY$3:AY533,1),"")</f>
        <v/>
      </c>
      <c r="Q533" s="152">
        <f>IF(R533="","",IFERROR(SUBSTITUTE(Разбивка_по_щитам!P533,CHAR(10)," "),""))</f>
        <v/>
      </c>
      <c r="R533" s="153">
        <f>IF(OR(Разбивка_по_щитам!H533="",Разбивка_по_щитам!H533=0),"",Разбивка_по_щитам!H533)</f>
        <v/>
      </c>
      <c r="S533" s="154">
        <f>IF(R533="","",IFERROR(Разбивка_по_щитам!J533&amp;"",""))</f>
        <v/>
      </c>
      <c r="T533" s="155">
        <f>IF(R533="","",IFERROR(--Разбивка_по_щитам!L533,""))</f>
        <v/>
      </c>
      <c r="U533" s="155">
        <f>IF(R533="","",IFERROR(--Разбивка_по_щитам!K533,""))</f>
        <v/>
      </c>
      <c r="V533" s="138">
        <f>IF(R533="","",IFERROR(IF(Разбивка_по_щитам!M533=0,"",Разбивка_по_щитам!M533),""))</f>
        <v/>
      </c>
      <c r="W533" s="156">
        <f t="shared" si="347"/>
        <v/>
      </c>
      <c r="X533" s="157">
        <f t="shared" si="348"/>
        <v/>
      </c>
      <c r="Y533" s="266"/>
      <c r="Z533" s="158">
        <f t="shared" si="349"/>
        <v/>
      </c>
      <c r="AA533" s="160">
        <f t="shared" si="350"/>
        <v/>
      </c>
      <c r="AB533" s="160">
        <f>IF(R533="","",IFERROR(LOOKUP(INDEX(Справочная!$I$4:$I$19,MATCH(VLOOKUP(R533,Исходные_данные,22,FALSE),Справочная!$J$4:$J$19,0)+1),{6,10,16,20,25,32,40,50,63,80,100,125}),""))</f>
        <v/>
      </c>
      <c r="AC533" s="160">
        <f t="shared" si="351"/>
        <v/>
      </c>
      <c r="AD533" s="161">
        <f t="shared" si="352"/>
        <v/>
      </c>
      <c r="AE533" s="161">
        <f>IF(AND(R533="",G533=""),"",_xlfn.TEXTJOIN("; ",TRUE,IF(AND(R533&lt;&gt;"",V533=""),"нет фазы",""),IF(AND(R533&lt;&gt;"",N(T533)=0),"нет мощности",""),IF(AND(P533&lt;&gt;"",COUNTIFS($A$3:$A$1000,A533,$P$3:$P$1000,P533)&gt;1),"дубль клеммы "&amp;P533,""),IF(AND(W533&lt;&gt;"",W533&lt;&gt;"ok"),W533,""),IF(X533&lt;&gt;"",X533,""),IF(AND(ISNUMBER(SEARCH("(5х",Q533)),N(AK533)=1),"5 жил на 1 фазе",""),IF(AND(AL533="R",E533&lt;&gt;"",N(AS533)=0),"розетка без 30 мА",""),IF(IFERROR(_xlfn.NUMBERVALUE(MID(Q533,FIND("-",Q533,FIND("L=",Q533))+1,FIND("%",Q533)-FIND("-",Q533,FIND("L=",Q533))-1),","),0)&gt;4,"потери &gt; 4 %","")))</f>
      </c>
      <c r="AF533" s="129">
        <f>IF(E533&lt;&gt;"",COUNTIFS($A$3:A533,A533,$E$3:E533,"?*"),IF(OR(A533&lt;&gt;A532,Y533="вручную"),"",AF532))</f>
        <v/>
      </c>
      <c r="AG533" s="129">
        <f t="shared" si="353"/>
        <v/>
      </c>
      <c r="AH533" s="129">
        <f t="shared" si="354"/>
        <v/>
      </c>
      <c r="AI533" s="129">
        <f t="shared" si="355"/>
        <v/>
      </c>
      <c r="AJ533" s="129">
        <f t="shared" si="356"/>
        <v/>
      </c>
      <c r="AK533" s="129">
        <f t="shared" si="357"/>
        <v/>
      </c>
      <c r="AL533" s="129">
        <f t="shared" si="358"/>
        <v/>
      </c>
      <c r="AM533" s="129">
        <f t="shared" si="359"/>
      </c>
      <c r="AN533" s="129">
        <f t="shared" si="360"/>
      </c>
      <c r="AO533" s="129">
        <f t="shared" si="361"/>
        <v/>
      </c>
      <c r="AP533" s="129">
        <f t="shared" si="362"/>
        <v/>
      </c>
      <c r="AQ533" s="129">
        <f t="shared" si="363"/>
        <v/>
      </c>
      <c r="AR533" s="129">
        <f t="shared" si="364"/>
        <v/>
      </c>
      <c r="AS533" s="129">
        <f t="shared" si="365"/>
        <v/>
      </c>
      <c r="AT533" s="129">
        <f t="shared" si="366"/>
        <v/>
      </c>
      <c r="AU533" s="129">
        <f t="shared" si="367"/>
        <v/>
      </c>
      <c r="AV533" s="129">
        <f t="shared" si="368"/>
        <v/>
      </c>
      <c r="AW533" s="129">
        <f>IF(AV533="","",AV533&amp;"."&amp;COUNTIFS($A$3:A533,A533,$AV$3:AV533,AV533))</f>
        <v/>
      </c>
      <c r="AX533" s="129">
        <f t="shared" si="369"/>
        <v/>
      </c>
      <c r="AY533" s="129">
        <f>IF(N533="б/к",0,IF(OR(ISNUMBER(SEARCH("L=",Разбивка_по_щитам!P533)),N533="+",N533="="),1,0))</f>
      </c>
      <c r="AZ533" s="129">
        <f t="shared" si="370"/>
        <v/>
      </c>
      <c r="BA533" s="129">
        <f t="shared" si="371"/>
      </c>
      <c r="BB533" s="129">
        <f t="shared" si="372"/>
      </c>
      <c r="BD533" s="129">
        <f t="shared" si="373"/>
      </c>
      <c r="BE533" s="129">
        <f t="shared" si="374"/>
      </c>
      <c r="BF533" s="129">
        <f t="shared" si="375"/>
      </c>
      <c r="BG533" s="129">
        <f t="shared" si="376"/>
        <v/>
      </c>
      <c r="BH533" s="129">
        <f t="shared" si="377"/>
        <v/>
      </c>
      <c r="BI533" s="129">
        <f t="shared" si="378"/>
        <v/>
      </c>
      <c r="BJ533" s="129">
        <f t="shared" si="379"/>
        <v/>
      </c>
      <c r="BK533" s="129">
        <f>IF(R533="","",IF(OR(BY533="",BY533=0),"BOX",IFERROR(IF(VLOOKUP(BY533,УГО_блоки,3,FALSE)&amp;""&lt;&gt;"",VLOOKUP(BY533,УГО_блоки,3,FALSE),VLOOKUP(BY533,УГО_блоки,2,FALSE)),BY533)))</f>
      </c>
      <c r="BL533" s="129">
        <f t="shared" si="381"/>
      </c>
      <c r="BM533" s="129">
        <f>IF(H533="","",IF(COUNTIF($H$3:H533,H533)=1,MAX($BM$2:BM532)+1,""))</f>
      </c>
      <c r="BN533" s="129">
        <f>IF(I533="","",IF(COUNTIF($I$3:I533,I533)+COUNTIF($J$2:J532,I533)+COUNTIF($K$2:K532,I533)=1,MAX($BN$2:BP532)+1,""))</f>
      </c>
      <c r="BO533" s="129">
        <f>IF(J533="","",IF(COUNTIF($I$3:I533,J533)+COUNTIF($J$3:J533,J533)+COUNTIF($K$2:K532,J533)=1,MAX($BN$2:BP532,BN533)+1,""))</f>
      </c>
      <c r="BP533" s="129">
        <f>IF(K533="","",IF(COUNTIF($I$3:I533,K533)+COUNTIF($J$3:J533,K533)+COUNTIF($K$3:K533,K533)=1,MAX($BN$2:BP532,BN533,BO533)+1,""))</f>
      </c>
      <c r="BQ533" s="129">
        <f>IF(AY533=1,IFERROR(MID(Q533,FIND(" (",Q533)+2,FIND(")",Q533,FIND(" (",Q533))-FIND(" (",Q533)-2),"?"),"")</f>
      </c>
      <c r="BR533" s="129">
        <f>IF(BQ533="","",IF(COUNTIF($BQ$3:BQ533,BQ533)=1,MAX($BR$2:BR532)+1,""))</f>
      </c>
      <c r="BS533" s="129">
        <f>IF(AW533="","",COUNTIF($AW$3:AW533,"?*"))</f>
      </c>
      <c r="BT533" s="129">
        <f>IF(OR(AW533="",AI533=""),"",IF(COUNTIFS($AW$3:AW533,"?*",$AI$3:AI533,AI533)=1,MAX($BT$2:BT532)+1,""))</f>
      </c>
      <c r="BU533" s="129">
        <f>IF(AE533="",0,IF(OR(ISNUMBER(SEARCH("дубль",AE533)),ISNUMBER(SEARCH("ПЕРЕГРУЗ",AE533)),ISNUMBER(SEARCH("ЗАЩИЩ",AE533)),ISNUMBER(SEARCH("КАНАЛ",AE533)),ISNUMBER(SEARCH("без 30",AE533))),2,1))</f>
      </c>
      <c r="BV533" s="129">
        <f>IF(R533="","",COUNTIF($R$3:R533,"?*"))</f>
      </c>
      <c r="BW533" s="129">
        <f>IF(AY533&lt;&gt;1,0,IF(MAX(IFERROR(--VLOOKUP(R533,УГО_спр,5,FALSE),0),IFERROR(--VLOOKUP(AL533,УГО_спр,5,FALSE),0),IFERROR(--VLOOKUP(LEFT(AL533,2),УГО_спр,5,FALSE),0))&gt;0,MAX(IFERROR(--VLOOKUP(R533,УГО_спр,5,FALSE),0),IFERROR(--VLOOKUP(AL533,УГО_спр,5,FALSE),0),IFERROR(--VLOOKUP(LEFT(AL533,2),УГО_спр,5,FALSE),0)),IF(IFERROR(--LEFT(SUBSTITUTE(BQ533,"x","х"),FIND("х",SUBSTITUTE(BQ533,"x","х"))-1),3)&gt;3,Каталог!$S$9,1)))</f>
      </c>
      <c r="BX533" s="129">
        <f>IF(AY533&lt;&gt;1,0,MAX(0,IFERROR(--LEFT(SUBSTITUTE(BQ533,"x","х"),FIND("х",SUBSTITUTE(BQ533,"x","х"))-1),3)-3*BW533))</f>
      </c>
      <c r="BY533" s="129">
        <f>IF(R533="","",IFERROR(VLOOKUP(R533,УГО_спр,2,FALSE),IFERROR(VLOOKUP(AL533,УГО_спр,2,FALSE),IFERROR(VLOOKUP(LEFT(AL533,2),УГО_спр,2,FALSE),""))))</f>
      </c>
    </row>
    <row r="534" spans="1:64" x14ac:dyDescent="0.3">
      <c r="A534" s="135">
        <f>IF(Разбивка_по_щитам!F534=0,"",Разбивка_по_щитам!F534)</f>
        <v/>
      </c>
      <c r="B534" s="138">
        <f>IF(A534="","",Разбивка_по_щитам!C534)</f>
        <v/>
      </c>
      <c r="C534" s="138">
        <f t="shared" si="342"/>
        <v/>
      </c>
      <c r="D534" s="266"/>
      <c r="E534" s="266"/>
      <c r="F534" s="267"/>
      <c r="G534" s="145">
        <f t="shared" si="343"/>
        <v/>
      </c>
      <c r="H534" s="145">
        <f t="shared" si="344"/>
        <v/>
      </c>
      <c r="I534" s="266"/>
      <c r="J534" s="267"/>
      <c r="K534" s="267"/>
      <c r="L534" s="266"/>
      <c r="M534" s="147">
        <f t="shared" si="345"/>
        <v/>
      </c>
      <c r="N534" s="267"/>
      <c r="O534" s="147">
        <f t="shared" si="346"/>
        <v/>
      </c>
      <c r="P534" s="268">
        <f>IF(AY534=1,"XT"&amp;COUNTIFS($A$3:A534,A534,$AY$3:AY534,1),"")</f>
        <v/>
      </c>
      <c r="Q534" s="152">
        <f>IF(R534="","",IFERROR(SUBSTITUTE(Разбивка_по_щитам!P534,CHAR(10)," "),""))</f>
        <v/>
      </c>
      <c r="R534" s="153">
        <f>IF(OR(Разбивка_по_щитам!H534="",Разбивка_по_щитам!H534=0),"",Разбивка_по_щитам!H534)</f>
        <v/>
      </c>
      <c r="S534" s="154">
        <f>IF(R534="","",IFERROR(Разбивка_по_щитам!J534&amp;"",""))</f>
        <v/>
      </c>
      <c r="T534" s="155">
        <f>IF(R534="","",IFERROR(--Разбивка_по_щитам!L534,""))</f>
        <v/>
      </c>
      <c r="U534" s="155">
        <f>IF(R534="","",IFERROR(--Разбивка_по_щитам!K534,""))</f>
        <v/>
      </c>
      <c r="V534" s="138">
        <f>IF(R534="","",IFERROR(IF(Разбивка_по_щитам!M534=0,"",Разбивка_по_щитам!M534),""))</f>
        <v/>
      </c>
      <c r="W534" s="156">
        <f t="shared" si="347"/>
        <v/>
      </c>
      <c r="X534" s="157">
        <f t="shared" si="348"/>
        <v/>
      </c>
      <c r="Y534" s="266"/>
      <c r="Z534" s="158">
        <f t="shared" si="349"/>
        <v/>
      </c>
      <c r="AA534" s="160">
        <f t="shared" si="350"/>
        <v/>
      </c>
      <c r="AB534" s="160">
        <f>IF(R534="","",IFERROR(LOOKUP(INDEX(Справочная!$I$4:$I$19,MATCH(VLOOKUP(R534,Исходные_данные,22,FALSE),Справочная!$J$4:$J$19,0)+1),{6,10,16,20,25,32,40,50,63,80,100,125}),""))</f>
        <v/>
      </c>
      <c r="AC534" s="160">
        <f t="shared" si="351"/>
        <v/>
      </c>
      <c r="AD534" s="161">
        <f t="shared" si="352"/>
        <v/>
      </c>
      <c r="AE534" s="161">
        <f>IF(AND(R534="",G534=""),"",_xlfn.TEXTJOIN("; ",TRUE,IF(AND(R534&lt;&gt;"",V534=""),"нет фазы",""),IF(AND(R534&lt;&gt;"",N(T534)=0),"нет мощности",""),IF(AND(P534&lt;&gt;"",COUNTIFS($A$3:$A$1000,A534,$P$3:$P$1000,P534)&gt;1),"дубль клеммы "&amp;P534,""),IF(AND(W534&lt;&gt;"",W534&lt;&gt;"ok"),W534,""),IF(X534&lt;&gt;"",X534,""),IF(AND(ISNUMBER(SEARCH("(5х",Q534)),N(AK534)=1),"5 жил на 1 фазе",""),IF(AND(AL534="R",E534&lt;&gt;"",N(AS534)=0),"розетка без 30 мА",""),IF(IFERROR(_xlfn.NUMBERVALUE(MID(Q534,FIND("-",Q534,FIND("L=",Q534))+1,FIND("%",Q534)-FIND("-",Q534,FIND("L=",Q534))-1),","),0)&gt;4,"потери &gt; 4 %","")))</f>
      </c>
      <c r="AF534" s="129">
        <f>IF(E534&lt;&gt;"",COUNTIFS($A$3:A534,A534,$E$3:E534,"?*"),IF(OR(A534&lt;&gt;A533,Y534="вручную"),"",AF533))</f>
        <v/>
      </c>
      <c r="AG534" s="129">
        <f t="shared" si="353"/>
        <v/>
      </c>
      <c r="AH534" s="129">
        <f t="shared" si="354"/>
        <v/>
      </c>
      <c r="AI534" s="129">
        <f t="shared" si="355"/>
        <v/>
      </c>
      <c r="AJ534" s="129">
        <f t="shared" si="356"/>
        <v/>
      </c>
      <c r="AK534" s="129">
        <f t="shared" si="357"/>
        <v/>
      </c>
      <c r="AL534" s="129">
        <f t="shared" si="358"/>
        <v/>
      </c>
      <c r="AM534" s="129">
        <f t="shared" si="359"/>
      </c>
      <c r="AN534" s="129">
        <f t="shared" si="360"/>
      </c>
      <c r="AO534" s="129">
        <f t="shared" si="361"/>
        <v/>
      </c>
      <c r="AP534" s="129">
        <f t="shared" si="362"/>
        <v/>
      </c>
      <c r="AQ534" s="129">
        <f t="shared" si="363"/>
        <v/>
      </c>
      <c r="AR534" s="129">
        <f t="shared" si="364"/>
        <v/>
      </c>
      <c r="AS534" s="129">
        <f t="shared" si="365"/>
        <v/>
      </c>
      <c r="AT534" s="129">
        <f t="shared" si="366"/>
        <v/>
      </c>
      <c r="AU534" s="129">
        <f t="shared" si="367"/>
        <v/>
      </c>
      <c r="AV534" s="129">
        <f t="shared" si="368"/>
        <v/>
      </c>
      <c r="AW534" s="129">
        <f>IF(AV534="","",AV534&amp;"."&amp;COUNTIFS($A$3:A534,A534,$AV$3:AV534,AV534))</f>
        <v/>
      </c>
      <c r="AX534" s="129">
        <f t="shared" si="369"/>
        <v/>
      </c>
      <c r="AY534" s="129">
        <f>IF(N534="б/к",0,IF(OR(ISNUMBER(SEARCH("L=",Разбивка_по_щитам!P534)),N534="+",N534="="),1,0))</f>
      </c>
      <c r="AZ534" s="129">
        <f t="shared" si="370"/>
        <v/>
      </c>
      <c r="BA534" s="129">
        <f t="shared" si="371"/>
      </c>
      <c r="BB534" s="129">
        <f t="shared" si="372"/>
      </c>
      <c r="BD534" s="129">
        <f t="shared" si="373"/>
      </c>
      <c r="BE534" s="129">
        <f t="shared" si="374"/>
      </c>
      <c r="BF534" s="129">
        <f t="shared" si="375"/>
      </c>
      <c r="BG534" s="129">
        <f t="shared" si="376"/>
        <v/>
      </c>
      <c r="BH534" s="129">
        <f t="shared" si="377"/>
        <v/>
      </c>
      <c r="BI534" s="129">
        <f t="shared" si="378"/>
        <v/>
      </c>
      <c r="BJ534" s="129">
        <f t="shared" si="379"/>
        <v/>
      </c>
      <c r="BK534" s="129">
        <f>IF(R534="","",IF(OR(BY534="",BY534=0),"BOX",IFERROR(IF(VLOOKUP(BY534,УГО_блоки,3,FALSE)&amp;""&lt;&gt;"",VLOOKUP(BY534,УГО_блоки,3,FALSE),VLOOKUP(BY534,УГО_блоки,2,FALSE)),BY534)))</f>
      </c>
      <c r="BL534" s="129">
        <f t="shared" si="381"/>
      </c>
      <c r="BM534" s="129">
        <f>IF(H534="","",IF(COUNTIF($H$3:H534,H534)=1,MAX($BM$2:BM533)+1,""))</f>
      </c>
      <c r="BN534" s="129">
        <f>IF(I534="","",IF(COUNTIF($I$3:I534,I534)+COUNTIF($J$2:J533,I534)+COUNTIF($K$2:K533,I534)=1,MAX($BN$2:BP533)+1,""))</f>
      </c>
      <c r="BO534" s="129">
        <f>IF(J534="","",IF(COUNTIF($I$3:I534,J534)+COUNTIF($J$3:J534,J534)+COUNTIF($K$2:K533,J534)=1,MAX($BN$2:BP533,BN534)+1,""))</f>
      </c>
      <c r="BP534" s="129">
        <f>IF(K534="","",IF(COUNTIF($I$3:I534,K534)+COUNTIF($J$3:J534,K534)+COUNTIF($K$3:K534,K534)=1,MAX($BN$2:BP533,BN534,BO534)+1,""))</f>
      </c>
      <c r="BQ534" s="129">
        <f>IF(AY534=1,IFERROR(MID(Q534,FIND(" (",Q534)+2,FIND(")",Q534,FIND(" (",Q534))-FIND(" (",Q534)-2),"?"),"")</f>
      </c>
      <c r="BR534" s="129">
        <f>IF(BQ534="","",IF(COUNTIF($BQ$3:BQ534,BQ534)=1,MAX($BR$2:BR533)+1,""))</f>
      </c>
      <c r="BS534" s="129">
        <f>IF(AW534="","",COUNTIF($AW$3:AW534,"?*"))</f>
      </c>
      <c r="BT534" s="129">
        <f>IF(OR(AW534="",AI534=""),"",IF(COUNTIFS($AW$3:AW534,"?*",$AI$3:AI534,AI534)=1,MAX($BT$2:BT533)+1,""))</f>
      </c>
      <c r="BU534" s="129">
        <f>IF(AE534="",0,IF(OR(ISNUMBER(SEARCH("дубль",AE534)),ISNUMBER(SEARCH("ПЕРЕГРУЗ",AE534)),ISNUMBER(SEARCH("ЗАЩИЩ",AE534)),ISNUMBER(SEARCH("КАНАЛ",AE534)),ISNUMBER(SEARCH("без 30",AE534))),2,1))</f>
      </c>
      <c r="BV534" s="129">
        <f>IF(R534="","",COUNTIF($R$3:R534,"?*"))</f>
      </c>
      <c r="BW534" s="129">
        <f>IF(AY534&lt;&gt;1,0,IF(MAX(IFERROR(--VLOOKUP(R534,УГО_спр,5,FALSE),0),IFERROR(--VLOOKUP(AL534,УГО_спр,5,FALSE),0),IFERROR(--VLOOKUP(LEFT(AL534,2),УГО_спр,5,FALSE),0))&gt;0,MAX(IFERROR(--VLOOKUP(R534,УГО_спр,5,FALSE),0),IFERROR(--VLOOKUP(AL534,УГО_спр,5,FALSE),0),IFERROR(--VLOOKUP(LEFT(AL534,2),УГО_спр,5,FALSE),0)),IF(IFERROR(--LEFT(SUBSTITUTE(BQ534,"x","х"),FIND("х",SUBSTITUTE(BQ534,"x","х"))-1),3)&gt;3,Каталог!$S$9,1)))</f>
      </c>
      <c r="BX534" s="129">
        <f>IF(AY534&lt;&gt;1,0,MAX(0,IFERROR(--LEFT(SUBSTITUTE(BQ534,"x","х"),FIND("х",SUBSTITUTE(BQ534,"x","х"))-1),3)-3*BW534))</f>
      </c>
      <c r="BY534" s="129">
        <f>IF(R534="","",IFERROR(VLOOKUP(R534,УГО_спр,2,FALSE),IFERROR(VLOOKUP(AL534,УГО_спр,2,FALSE),IFERROR(VLOOKUP(LEFT(AL534,2),УГО_спр,2,FALSE),""))))</f>
      </c>
    </row>
    <row r="535" spans="1:64" x14ac:dyDescent="0.3">
      <c r="A535" s="135">
        <f>IF(Разбивка_по_щитам!F535=0,"",Разбивка_по_щитам!F535)</f>
        <v/>
      </c>
      <c r="B535" s="138">
        <f>IF(A535="","",Разбивка_по_щитам!C535)</f>
        <v/>
      </c>
      <c r="C535" s="138">
        <f t="shared" si="342"/>
        <v/>
      </c>
      <c r="D535" s="266"/>
      <c r="E535" s="266"/>
      <c r="F535" s="267"/>
      <c r="G535" s="145">
        <f t="shared" si="343"/>
        <v/>
      </c>
      <c r="H535" s="145">
        <f t="shared" si="344"/>
        <v/>
      </c>
      <c r="I535" s="266"/>
      <c r="J535" s="267"/>
      <c r="K535" s="267"/>
      <c r="L535" s="266"/>
      <c r="M535" s="147">
        <f t="shared" si="345"/>
        <v/>
      </c>
      <c r="N535" s="267"/>
      <c r="O535" s="147">
        <f t="shared" si="346"/>
        <v/>
      </c>
      <c r="P535" s="268">
        <f>IF(AY535=1,"XT"&amp;COUNTIFS($A$3:A535,A535,$AY$3:AY535,1),"")</f>
        <v/>
      </c>
      <c r="Q535" s="152">
        <f>IF(R535="","",IFERROR(SUBSTITUTE(Разбивка_по_щитам!P535,CHAR(10)," "),""))</f>
        <v/>
      </c>
      <c r="R535" s="153">
        <f>IF(OR(Разбивка_по_щитам!H535="",Разбивка_по_щитам!H535=0),"",Разбивка_по_щитам!H535)</f>
        <v/>
      </c>
      <c r="S535" s="154">
        <f>IF(R535="","",IFERROR(Разбивка_по_щитам!J535&amp;"",""))</f>
        <v/>
      </c>
      <c r="T535" s="155">
        <f>IF(R535="","",IFERROR(--Разбивка_по_щитам!L535,""))</f>
        <v/>
      </c>
      <c r="U535" s="155">
        <f>IF(R535="","",IFERROR(--Разбивка_по_щитам!K535,""))</f>
        <v/>
      </c>
      <c r="V535" s="138">
        <f>IF(R535="","",IFERROR(IF(Разбивка_по_щитам!M535=0,"",Разбивка_по_щитам!M535),""))</f>
        <v/>
      </c>
      <c r="W535" s="156">
        <f t="shared" si="347"/>
        <v/>
      </c>
      <c r="X535" s="157">
        <f t="shared" si="348"/>
        <v/>
      </c>
      <c r="Y535" s="266"/>
      <c r="Z535" s="158">
        <f t="shared" si="349"/>
        <v/>
      </c>
      <c r="AA535" s="160">
        <f t="shared" si="350"/>
        <v/>
      </c>
      <c r="AB535" s="160">
        <f>IF(R535="","",IFERROR(LOOKUP(INDEX(Справочная!$I$4:$I$19,MATCH(VLOOKUP(R535,Исходные_данные,22,FALSE),Справочная!$J$4:$J$19,0)+1),{6,10,16,20,25,32,40,50,63,80,100,125}),""))</f>
        <v/>
      </c>
      <c r="AC535" s="160">
        <f t="shared" si="351"/>
        <v/>
      </c>
      <c r="AD535" s="161">
        <f t="shared" si="352"/>
        <v/>
      </c>
      <c r="AE535" s="161">
        <f>IF(AND(R535="",G535=""),"",_xlfn.TEXTJOIN("; ",TRUE,IF(AND(R535&lt;&gt;"",V535=""),"нет фазы",""),IF(AND(R535&lt;&gt;"",N(T535)=0),"нет мощности",""),IF(AND(P535&lt;&gt;"",COUNTIFS($A$3:$A$1000,A535,$P$3:$P$1000,P535)&gt;1),"дубль клеммы "&amp;P535,""),IF(AND(W535&lt;&gt;"",W535&lt;&gt;"ok"),W535,""),IF(X535&lt;&gt;"",X535,""),IF(AND(ISNUMBER(SEARCH("(5х",Q535)),N(AK535)=1),"5 жил на 1 фазе",""),IF(AND(AL535="R",E535&lt;&gt;"",N(AS535)=0),"розетка без 30 мА",""),IF(IFERROR(_xlfn.NUMBERVALUE(MID(Q535,FIND("-",Q535,FIND("L=",Q535))+1,FIND("%",Q535)-FIND("-",Q535,FIND("L=",Q535))-1),","),0)&gt;4,"потери &gt; 4 %","")))</f>
      </c>
      <c r="AF535" s="129">
        <f>IF(E535&lt;&gt;"",COUNTIFS($A$3:A535,A535,$E$3:E535,"?*"),IF(OR(A535&lt;&gt;A534,Y535="вручную"),"",AF534))</f>
        <v/>
      </c>
      <c r="AG535" s="129">
        <f t="shared" si="353"/>
        <v/>
      </c>
      <c r="AH535" s="129">
        <f t="shared" si="354"/>
        <v/>
      </c>
      <c r="AI535" s="129">
        <f t="shared" si="355"/>
        <v/>
      </c>
      <c r="AJ535" s="129">
        <f t="shared" si="356"/>
        <v/>
      </c>
      <c r="AK535" s="129">
        <f t="shared" si="357"/>
        <v/>
      </c>
      <c r="AL535" s="129">
        <f t="shared" si="358"/>
        <v/>
      </c>
      <c r="AM535" s="129">
        <f t="shared" si="359"/>
      </c>
      <c r="AN535" s="129">
        <f t="shared" si="360"/>
      </c>
      <c r="AO535" s="129">
        <f t="shared" si="361"/>
        <v/>
      </c>
      <c r="AP535" s="129">
        <f t="shared" si="362"/>
        <v/>
      </c>
      <c r="AQ535" s="129">
        <f t="shared" si="363"/>
        <v/>
      </c>
      <c r="AR535" s="129">
        <f t="shared" si="364"/>
        <v/>
      </c>
      <c r="AS535" s="129">
        <f t="shared" si="365"/>
        <v/>
      </c>
      <c r="AT535" s="129">
        <f t="shared" si="366"/>
        <v/>
      </c>
      <c r="AU535" s="129">
        <f t="shared" si="367"/>
        <v/>
      </c>
      <c r="AV535" s="129">
        <f t="shared" si="368"/>
        <v/>
      </c>
      <c r="AW535" s="129">
        <f>IF(AV535="","",AV535&amp;"."&amp;COUNTIFS($A$3:A535,A535,$AV$3:AV535,AV535))</f>
        <v/>
      </c>
      <c r="AX535" s="129">
        <f t="shared" si="369"/>
        <v/>
      </c>
      <c r="AY535" s="129">
        <f>IF(N535="б/к",0,IF(OR(ISNUMBER(SEARCH("L=",Разбивка_по_щитам!P535)),N535="+",N535="="),1,0))</f>
      </c>
      <c r="AZ535" s="129">
        <f t="shared" si="370"/>
        <v/>
      </c>
      <c r="BA535" s="129">
        <f t="shared" si="371"/>
      </c>
      <c r="BB535" s="129">
        <f t="shared" si="372"/>
      </c>
      <c r="BD535" s="129">
        <f t="shared" si="373"/>
      </c>
      <c r="BE535" s="129">
        <f t="shared" si="374"/>
      </c>
      <c r="BF535" s="129">
        <f t="shared" si="375"/>
      </c>
      <c r="BG535" s="129">
        <f t="shared" si="376"/>
        <v/>
      </c>
      <c r="BH535" s="129">
        <f t="shared" si="377"/>
        <v/>
      </c>
      <c r="BI535" s="129">
        <f t="shared" si="378"/>
        <v/>
      </c>
      <c r="BJ535" s="129">
        <f t="shared" si="379"/>
        <v/>
      </c>
      <c r="BK535" s="129">
        <f>IF(R535="","",IF(OR(BY535="",BY535=0),"BOX",IFERROR(IF(VLOOKUP(BY535,УГО_блоки,3,FALSE)&amp;""&lt;&gt;"",VLOOKUP(BY535,УГО_блоки,3,FALSE),VLOOKUP(BY535,УГО_блоки,2,FALSE)),BY535)))</f>
      </c>
      <c r="BL535" s="129">
        <f t="shared" si="381"/>
      </c>
      <c r="BM535" s="129">
        <f>IF(H535="","",IF(COUNTIF($H$3:H535,H535)=1,MAX($BM$2:BM534)+1,""))</f>
      </c>
      <c r="BN535" s="129">
        <f>IF(I535="","",IF(COUNTIF($I$3:I535,I535)+COUNTIF($J$2:J534,I535)+COUNTIF($K$2:K534,I535)=1,MAX($BN$2:BP534)+1,""))</f>
      </c>
      <c r="BO535" s="129">
        <f>IF(J535="","",IF(COUNTIF($I$3:I535,J535)+COUNTIF($J$3:J535,J535)+COUNTIF($K$2:K534,J535)=1,MAX($BN$2:BP534,BN535)+1,""))</f>
      </c>
      <c r="BP535" s="129">
        <f>IF(K535="","",IF(COUNTIF($I$3:I535,K535)+COUNTIF($J$3:J535,K535)+COUNTIF($K$3:K535,K535)=1,MAX($BN$2:BP534,BN535,BO535)+1,""))</f>
      </c>
      <c r="BQ535" s="129">
        <f>IF(AY535=1,IFERROR(MID(Q535,FIND(" (",Q535)+2,FIND(")",Q535,FIND(" (",Q535))-FIND(" (",Q535)-2),"?"),"")</f>
      </c>
      <c r="BR535" s="129">
        <f>IF(BQ535="","",IF(COUNTIF($BQ$3:BQ535,BQ535)=1,MAX($BR$2:BR534)+1,""))</f>
      </c>
      <c r="BS535" s="129">
        <f>IF(AW535="","",COUNTIF($AW$3:AW535,"?*"))</f>
      </c>
      <c r="BT535" s="129">
        <f>IF(OR(AW535="",AI535=""),"",IF(COUNTIFS($AW$3:AW535,"?*",$AI$3:AI535,AI535)=1,MAX($BT$2:BT534)+1,""))</f>
      </c>
      <c r="BU535" s="129">
        <f>IF(AE535="",0,IF(OR(ISNUMBER(SEARCH("дубль",AE535)),ISNUMBER(SEARCH("ПЕРЕГРУЗ",AE535)),ISNUMBER(SEARCH("ЗАЩИЩ",AE535)),ISNUMBER(SEARCH("КАНАЛ",AE535)),ISNUMBER(SEARCH("без 30",AE535))),2,1))</f>
      </c>
      <c r="BV535" s="129">
        <f>IF(R535="","",COUNTIF($R$3:R535,"?*"))</f>
      </c>
      <c r="BW535" s="129">
        <f>IF(AY535&lt;&gt;1,0,IF(MAX(IFERROR(--VLOOKUP(R535,УГО_спр,5,FALSE),0),IFERROR(--VLOOKUP(AL535,УГО_спр,5,FALSE),0),IFERROR(--VLOOKUP(LEFT(AL535,2),УГО_спр,5,FALSE),0))&gt;0,MAX(IFERROR(--VLOOKUP(R535,УГО_спр,5,FALSE),0),IFERROR(--VLOOKUP(AL535,УГО_спр,5,FALSE),0),IFERROR(--VLOOKUP(LEFT(AL535,2),УГО_спр,5,FALSE),0)),IF(IFERROR(--LEFT(SUBSTITUTE(BQ535,"x","х"),FIND("х",SUBSTITUTE(BQ535,"x","х"))-1),3)&gt;3,Каталог!$S$9,1)))</f>
      </c>
      <c r="BX535" s="129">
        <f>IF(AY535&lt;&gt;1,0,MAX(0,IFERROR(--LEFT(SUBSTITUTE(BQ535,"x","х"),FIND("х",SUBSTITUTE(BQ535,"x","х"))-1),3)-3*BW535))</f>
      </c>
      <c r="BY535" s="129">
        <f>IF(R535="","",IFERROR(VLOOKUP(R535,УГО_спр,2,FALSE),IFERROR(VLOOKUP(AL535,УГО_спр,2,FALSE),IFERROR(VLOOKUP(LEFT(AL535,2),УГО_спр,2,FALSE),""))))</f>
      </c>
    </row>
    <row r="536" spans="1:64" x14ac:dyDescent="0.3">
      <c r="A536" s="135">
        <f>IF(Разбивка_по_щитам!F536=0,"",Разбивка_по_щитам!F536)</f>
        <v/>
      </c>
      <c r="B536" s="138">
        <f>IF(A536="","",Разбивка_по_щитам!C536)</f>
        <v/>
      </c>
      <c r="C536" s="138">
        <f t="shared" si="342"/>
        <v/>
      </c>
      <c r="D536" s="266"/>
      <c r="E536" s="266"/>
      <c r="F536" s="267"/>
      <c r="G536" s="145">
        <f t="shared" si="343"/>
        <v/>
      </c>
      <c r="H536" s="145">
        <f t="shared" si="344"/>
        <v/>
      </c>
      <c r="I536" s="266"/>
      <c r="J536" s="267"/>
      <c r="K536" s="267"/>
      <c r="L536" s="266"/>
      <c r="M536" s="147">
        <f t="shared" si="345"/>
        <v/>
      </c>
      <c r="N536" s="267"/>
      <c r="O536" s="147">
        <f t="shared" si="346"/>
        <v/>
      </c>
      <c r="P536" s="268">
        <f>IF(AY536=1,"XT"&amp;COUNTIFS($A$3:A536,A536,$AY$3:AY536,1),"")</f>
        <v/>
      </c>
      <c r="Q536" s="152">
        <f>IF(R536="","",IFERROR(SUBSTITUTE(Разбивка_по_щитам!P536,CHAR(10)," "),""))</f>
        <v/>
      </c>
      <c r="R536" s="153">
        <f>IF(OR(Разбивка_по_щитам!H536="",Разбивка_по_щитам!H536=0),"",Разбивка_по_щитам!H536)</f>
        <v/>
      </c>
      <c r="S536" s="154">
        <f>IF(R536="","",IFERROR(Разбивка_по_щитам!J536&amp;"",""))</f>
        <v/>
      </c>
      <c r="T536" s="155">
        <f>IF(R536="","",IFERROR(--Разбивка_по_щитам!L536,""))</f>
        <v/>
      </c>
      <c r="U536" s="155">
        <f>IF(R536="","",IFERROR(--Разбивка_по_щитам!K536,""))</f>
        <v/>
      </c>
      <c r="V536" s="138">
        <f>IF(R536="","",IFERROR(IF(Разбивка_по_щитам!M536=0,"",Разбивка_по_щитам!M536),""))</f>
        <v/>
      </c>
      <c r="W536" s="156">
        <f t="shared" si="347"/>
        <v/>
      </c>
      <c r="X536" s="157">
        <f t="shared" si="348"/>
        <v/>
      </c>
      <c r="Y536" s="266"/>
      <c r="Z536" s="158">
        <f t="shared" si="349"/>
        <v/>
      </c>
      <c r="AA536" s="160">
        <f t="shared" si="350"/>
        <v/>
      </c>
      <c r="AB536" s="160">
        <f>IF(R536="","",IFERROR(LOOKUP(INDEX(Справочная!$I$4:$I$19,MATCH(VLOOKUP(R536,Исходные_данные,22,FALSE),Справочная!$J$4:$J$19,0)+1),{6,10,16,20,25,32,40,50,63,80,100,125}),""))</f>
        <v/>
      </c>
      <c r="AC536" s="160">
        <f t="shared" si="351"/>
        <v/>
      </c>
      <c r="AD536" s="161">
        <f t="shared" si="352"/>
        <v/>
      </c>
      <c r="AE536" s="161">
        <f>IF(AND(R536="",G536=""),"",_xlfn.TEXTJOIN("; ",TRUE,IF(AND(R536&lt;&gt;"",V536=""),"нет фазы",""),IF(AND(R536&lt;&gt;"",N(T536)=0),"нет мощности",""),IF(AND(P536&lt;&gt;"",COUNTIFS($A$3:$A$1000,A536,$P$3:$P$1000,P536)&gt;1),"дубль клеммы "&amp;P536,""),IF(AND(W536&lt;&gt;"",W536&lt;&gt;"ok"),W536,""),IF(X536&lt;&gt;"",X536,""),IF(AND(ISNUMBER(SEARCH("(5х",Q536)),N(AK536)=1),"5 жил на 1 фазе",""),IF(AND(AL536="R",E536&lt;&gt;"",N(AS536)=0),"розетка без 30 мА",""),IF(IFERROR(_xlfn.NUMBERVALUE(MID(Q536,FIND("-",Q536,FIND("L=",Q536))+1,FIND("%",Q536)-FIND("-",Q536,FIND("L=",Q536))-1),","),0)&gt;4,"потери &gt; 4 %","")))</f>
      </c>
      <c r="AF536" s="129">
        <f>IF(E536&lt;&gt;"",COUNTIFS($A$3:A536,A536,$E$3:E536,"?*"),IF(OR(A536&lt;&gt;A535,Y536="вручную"),"",AF535))</f>
        <v/>
      </c>
      <c r="AG536" s="129">
        <f t="shared" si="353"/>
        <v/>
      </c>
      <c r="AH536" s="129">
        <f t="shared" si="354"/>
        <v/>
      </c>
      <c r="AI536" s="129">
        <f t="shared" si="355"/>
        <v/>
      </c>
      <c r="AJ536" s="129">
        <f t="shared" si="356"/>
        <v/>
      </c>
      <c r="AK536" s="129">
        <f t="shared" si="357"/>
        <v/>
      </c>
      <c r="AL536" s="129">
        <f t="shared" si="358"/>
        <v/>
      </c>
      <c r="AM536" s="129">
        <f t="shared" si="359"/>
      </c>
      <c r="AN536" s="129">
        <f t="shared" si="360"/>
      </c>
      <c r="AO536" s="129">
        <f t="shared" si="361"/>
        <v/>
      </c>
      <c r="AP536" s="129">
        <f t="shared" si="362"/>
        <v/>
      </c>
      <c r="AQ536" s="129">
        <f t="shared" si="363"/>
        <v/>
      </c>
      <c r="AR536" s="129">
        <f t="shared" si="364"/>
        <v/>
      </c>
      <c r="AS536" s="129">
        <f t="shared" si="365"/>
        <v/>
      </c>
      <c r="AT536" s="129">
        <f t="shared" si="366"/>
        <v/>
      </c>
      <c r="AU536" s="129">
        <f t="shared" si="367"/>
        <v/>
      </c>
      <c r="AV536" s="129">
        <f t="shared" si="368"/>
        <v/>
      </c>
      <c r="AW536" s="129">
        <f>IF(AV536="","",AV536&amp;"."&amp;COUNTIFS($A$3:A536,A536,$AV$3:AV536,AV536))</f>
        <v/>
      </c>
      <c r="AX536" s="129">
        <f t="shared" si="369"/>
        <v/>
      </c>
      <c r="AY536" s="129">
        <f>IF(N536="б/к",0,IF(OR(ISNUMBER(SEARCH("L=",Разбивка_по_щитам!P536)),N536="+",N536="="),1,0))</f>
      </c>
      <c r="AZ536" s="129">
        <f t="shared" si="370"/>
        <v/>
      </c>
      <c r="BA536" s="129">
        <f t="shared" si="371"/>
      </c>
      <c r="BB536" s="129">
        <f t="shared" si="372"/>
      </c>
      <c r="BD536" s="129">
        <f t="shared" si="373"/>
      </c>
      <c r="BE536" s="129">
        <f t="shared" si="374"/>
      </c>
      <c r="BF536" s="129">
        <f t="shared" si="375"/>
      </c>
      <c r="BG536" s="129">
        <f t="shared" si="376"/>
        <v/>
      </c>
      <c r="BH536" s="129">
        <f t="shared" si="377"/>
        <v/>
      </c>
      <c r="BI536" s="129">
        <f t="shared" si="378"/>
        <v/>
      </c>
      <c r="BJ536" s="129">
        <f t="shared" si="379"/>
        <v/>
      </c>
      <c r="BK536" s="129">
        <f>IF(R536="","",IF(OR(BY536="",BY536=0),"BOX",IFERROR(IF(VLOOKUP(BY536,УГО_блоки,3,FALSE)&amp;""&lt;&gt;"",VLOOKUP(BY536,УГО_блоки,3,FALSE),VLOOKUP(BY536,УГО_блоки,2,FALSE)),BY536)))</f>
      </c>
      <c r="BL536" s="129">
        <f t="shared" si="381"/>
      </c>
      <c r="BM536" s="129">
        <f>IF(H536="","",IF(COUNTIF($H$3:H536,H536)=1,MAX($BM$2:BM535)+1,""))</f>
      </c>
      <c r="BN536" s="129">
        <f>IF(I536="","",IF(COUNTIF($I$3:I536,I536)+COUNTIF($J$2:J535,I536)+COUNTIF($K$2:K535,I536)=1,MAX($BN$2:BP535)+1,""))</f>
      </c>
      <c r="BO536" s="129">
        <f>IF(J536="","",IF(COUNTIF($I$3:I536,J536)+COUNTIF($J$3:J536,J536)+COUNTIF($K$2:K535,J536)=1,MAX($BN$2:BP535,BN536)+1,""))</f>
      </c>
      <c r="BP536" s="129">
        <f>IF(K536="","",IF(COUNTIF($I$3:I536,K536)+COUNTIF($J$3:J536,K536)+COUNTIF($K$3:K536,K536)=1,MAX($BN$2:BP535,BN536,BO536)+1,""))</f>
      </c>
      <c r="BQ536" s="129">
        <f>IF(AY536=1,IFERROR(MID(Q536,FIND(" (",Q536)+2,FIND(")",Q536,FIND(" (",Q536))-FIND(" (",Q536)-2),"?"),"")</f>
      </c>
      <c r="BR536" s="129">
        <f>IF(BQ536="","",IF(COUNTIF($BQ$3:BQ536,BQ536)=1,MAX($BR$2:BR535)+1,""))</f>
      </c>
      <c r="BS536" s="129">
        <f>IF(AW536="","",COUNTIF($AW$3:AW536,"?*"))</f>
      </c>
      <c r="BT536" s="129">
        <f>IF(OR(AW536="",AI536=""),"",IF(COUNTIFS($AW$3:AW536,"?*",$AI$3:AI536,AI536)=1,MAX($BT$2:BT535)+1,""))</f>
      </c>
      <c r="BU536" s="129">
        <f>IF(AE536="",0,IF(OR(ISNUMBER(SEARCH("дубль",AE536)),ISNUMBER(SEARCH("ПЕРЕГРУЗ",AE536)),ISNUMBER(SEARCH("ЗАЩИЩ",AE536)),ISNUMBER(SEARCH("КАНАЛ",AE536)),ISNUMBER(SEARCH("без 30",AE536))),2,1))</f>
      </c>
      <c r="BV536" s="129">
        <f>IF(R536="","",COUNTIF($R$3:R536,"?*"))</f>
      </c>
      <c r="BW536" s="129">
        <f>IF(AY536&lt;&gt;1,0,IF(MAX(IFERROR(--VLOOKUP(R536,УГО_спр,5,FALSE),0),IFERROR(--VLOOKUP(AL536,УГО_спр,5,FALSE),0),IFERROR(--VLOOKUP(LEFT(AL536,2),УГО_спр,5,FALSE),0))&gt;0,MAX(IFERROR(--VLOOKUP(R536,УГО_спр,5,FALSE),0),IFERROR(--VLOOKUP(AL536,УГО_спр,5,FALSE),0),IFERROR(--VLOOKUP(LEFT(AL536,2),УГО_спр,5,FALSE),0)),IF(IFERROR(--LEFT(SUBSTITUTE(BQ536,"x","х"),FIND("х",SUBSTITUTE(BQ536,"x","х"))-1),3)&gt;3,Каталог!$S$9,1)))</f>
      </c>
      <c r="BX536" s="129">
        <f>IF(AY536&lt;&gt;1,0,MAX(0,IFERROR(--LEFT(SUBSTITUTE(BQ536,"x","х"),FIND("х",SUBSTITUTE(BQ536,"x","х"))-1),3)-3*BW536))</f>
      </c>
      <c r="BY536" s="129">
        <f>IF(R536="","",IFERROR(VLOOKUP(R536,УГО_спр,2,FALSE),IFERROR(VLOOKUP(AL536,УГО_спр,2,FALSE),IFERROR(VLOOKUP(LEFT(AL536,2),УГО_спр,2,FALSE),""))))</f>
      </c>
    </row>
    <row r="537" spans="1:64" x14ac:dyDescent="0.3">
      <c r="A537" s="135">
        <f>IF(Разбивка_по_щитам!F537=0,"",Разбивка_по_щитам!F537)</f>
        <v/>
      </c>
      <c r="B537" s="138">
        <f>IF(A537="","",Разбивка_по_щитам!C537)</f>
        <v/>
      </c>
      <c r="C537" s="138">
        <f t="shared" si="342"/>
        <v/>
      </c>
      <c r="D537" s="266"/>
      <c r="E537" s="266"/>
      <c r="F537" s="267"/>
      <c r="G537" s="145">
        <f t="shared" si="343"/>
        <v/>
      </c>
      <c r="H537" s="145">
        <f t="shared" si="344"/>
        <v/>
      </c>
      <c r="I537" s="266"/>
      <c r="J537" s="267"/>
      <c r="K537" s="267"/>
      <c r="L537" s="266"/>
      <c r="M537" s="147">
        <f t="shared" si="345"/>
        <v/>
      </c>
      <c r="N537" s="267"/>
      <c r="O537" s="147">
        <f t="shared" si="346"/>
        <v/>
      </c>
      <c r="P537" s="268">
        <f>IF(AY537=1,"XT"&amp;COUNTIFS($A$3:A537,A537,$AY$3:AY537,1),"")</f>
        <v/>
      </c>
      <c r="Q537" s="152">
        <f>IF(R537="","",IFERROR(SUBSTITUTE(Разбивка_по_щитам!P537,CHAR(10)," "),""))</f>
        <v/>
      </c>
      <c r="R537" s="153">
        <f>IF(OR(Разбивка_по_щитам!H537="",Разбивка_по_щитам!H537=0),"",Разбивка_по_щитам!H537)</f>
        <v/>
      </c>
      <c r="S537" s="154">
        <f>IF(R537="","",IFERROR(Разбивка_по_щитам!J537&amp;"",""))</f>
        <v/>
      </c>
      <c r="T537" s="155">
        <f>IF(R537="","",IFERROR(--Разбивка_по_щитам!L537,""))</f>
        <v/>
      </c>
      <c r="U537" s="155">
        <f>IF(R537="","",IFERROR(--Разбивка_по_щитам!K537,""))</f>
        <v/>
      </c>
      <c r="V537" s="138">
        <f>IF(R537="","",IFERROR(IF(Разбивка_по_щитам!M537=0,"",Разбивка_по_щитам!M537),""))</f>
        <v/>
      </c>
      <c r="W537" s="156">
        <f t="shared" si="347"/>
        <v/>
      </c>
      <c r="X537" s="157">
        <f t="shared" si="348"/>
        <v/>
      </c>
      <c r="Y537" s="266"/>
      <c r="Z537" s="158">
        <f t="shared" si="349"/>
        <v/>
      </c>
      <c r="AA537" s="160">
        <f t="shared" si="350"/>
        <v/>
      </c>
      <c r="AB537" s="160">
        <f>IF(R537="","",IFERROR(LOOKUP(INDEX(Справочная!$I$4:$I$19,MATCH(VLOOKUP(R537,Исходные_данные,22,FALSE),Справочная!$J$4:$J$19,0)+1),{6,10,16,20,25,32,40,50,63,80,100,125}),""))</f>
        <v/>
      </c>
      <c r="AC537" s="160">
        <f t="shared" si="351"/>
        <v/>
      </c>
      <c r="AD537" s="161">
        <f t="shared" si="352"/>
        <v/>
      </c>
      <c r="AE537" s="161">
        <f>IF(AND(R537="",G537=""),"",_xlfn.TEXTJOIN("; ",TRUE,IF(AND(R537&lt;&gt;"",V537=""),"нет фазы",""),IF(AND(R537&lt;&gt;"",N(T537)=0),"нет мощности",""),IF(AND(P537&lt;&gt;"",COUNTIFS($A$3:$A$1000,A537,$P$3:$P$1000,P537)&gt;1),"дубль клеммы "&amp;P537,""),IF(AND(W537&lt;&gt;"",W537&lt;&gt;"ok"),W537,""),IF(X537&lt;&gt;"",X537,""),IF(AND(ISNUMBER(SEARCH("(5х",Q537)),N(AK537)=1),"5 жил на 1 фазе",""),IF(AND(AL537="R",E537&lt;&gt;"",N(AS537)=0),"розетка без 30 мА",""),IF(IFERROR(_xlfn.NUMBERVALUE(MID(Q537,FIND("-",Q537,FIND("L=",Q537))+1,FIND("%",Q537)-FIND("-",Q537,FIND("L=",Q537))-1),","),0)&gt;4,"потери &gt; 4 %","")))</f>
      </c>
      <c r="AF537" s="129">
        <f>IF(E537&lt;&gt;"",COUNTIFS($A$3:A537,A537,$E$3:E537,"?*"),IF(OR(A537&lt;&gt;A536,Y537="вручную"),"",AF536))</f>
        <v/>
      </c>
      <c r="AG537" s="129">
        <f t="shared" si="353"/>
        <v/>
      </c>
      <c r="AH537" s="129">
        <f t="shared" si="354"/>
        <v/>
      </c>
      <c r="AI537" s="129">
        <f t="shared" si="355"/>
        <v/>
      </c>
      <c r="AJ537" s="129">
        <f t="shared" si="356"/>
        <v/>
      </c>
      <c r="AK537" s="129">
        <f t="shared" si="357"/>
        <v/>
      </c>
      <c r="AL537" s="129">
        <f t="shared" si="358"/>
        <v/>
      </c>
      <c r="AM537" s="129">
        <f t="shared" si="359"/>
      </c>
      <c r="AN537" s="129">
        <f t="shared" si="360"/>
      </c>
      <c r="AO537" s="129">
        <f t="shared" si="361"/>
        <v/>
      </c>
      <c r="AP537" s="129">
        <f t="shared" si="362"/>
        <v/>
      </c>
      <c r="AQ537" s="129">
        <f t="shared" si="363"/>
        <v/>
      </c>
      <c r="AR537" s="129">
        <f t="shared" si="364"/>
        <v/>
      </c>
      <c r="AS537" s="129">
        <f t="shared" si="365"/>
        <v/>
      </c>
      <c r="AT537" s="129">
        <f t="shared" si="366"/>
        <v/>
      </c>
      <c r="AU537" s="129">
        <f t="shared" si="367"/>
        <v/>
      </c>
      <c r="AV537" s="129">
        <f t="shared" si="368"/>
        <v/>
      </c>
      <c r="AW537" s="129">
        <f>IF(AV537="","",AV537&amp;"."&amp;COUNTIFS($A$3:A537,A537,$AV$3:AV537,AV537))</f>
        <v/>
      </c>
      <c r="AX537" s="129">
        <f t="shared" si="369"/>
        <v/>
      </c>
      <c r="AY537" s="129">
        <f>IF(N537="б/к",0,IF(OR(ISNUMBER(SEARCH("L=",Разбивка_по_щитам!P537)),N537="+",N537="="),1,0))</f>
      </c>
      <c r="AZ537" s="129">
        <f t="shared" si="370"/>
        <v/>
      </c>
      <c r="BA537" s="129">
        <f t="shared" si="371"/>
      </c>
      <c r="BB537" s="129">
        <f t="shared" si="372"/>
      </c>
      <c r="BD537" s="129">
        <f t="shared" si="373"/>
      </c>
      <c r="BE537" s="129">
        <f t="shared" si="374"/>
      </c>
      <c r="BF537" s="129">
        <f t="shared" si="375"/>
      </c>
      <c r="BG537" s="129">
        <f t="shared" si="376"/>
        <v/>
      </c>
      <c r="BH537" s="129">
        <f t="shared" si="377"/>
        <v/>
      </c>
      <c r="BI537" s="129">
        <f t="shared" si="378"/>
        <v/>
      </c>
      <c r="BJ537" s="129">
        <f t="shared" si="379"/>
        <v/>
      </c>
      <c r="BK537" s="129">
        <f>IF(R537="","",IF(OR(BY537="",BY537=0),"BOX",IFERROR(IF(VLOOKUP(BY537,УГО_блоки,3,FALSE)&amp;""&lt;&gt;"",VLOOKUP(BY537,УГО_блоки,3,FALSE),VLOOKUP(BY537,УГО_блоки,2,FALSE)),BY537)))</f>
      </c>
      <c r="BL537" s="129">
        <f t="shared" si="381"/>
      </c>
      <c r="BM537" s="129">
        <f>IF(H537="","",IF(COUNTIF($H$3:H537,H537)=1,MAX($BM$2:BM536)+1,""))</f>
      </c>
      <c r="BN537" s="129">
        <f>IF(I537="","",IF(COUNTIF($I$3:I537,I537)+COUNTIF($J$2:J536,I537)+COUNTIF($K$2:K536,I537)=1,MAX($BN$2:BP536)+1,""))</f>
      </c>
      <c r="BO537" s="129">
        <f>IF(J537="","",IF(COUNTIF($I$3:I537,J537)+COUNTIF($J$3:J537,J537)+COUNTIF($K$2:K536,J537)=1,MAX($BN$2:BP536,BN537)+1,""))</f>
      </c>
      <c r="BP537" s="129">
        <f>IF(K537="","",IF(COUNTIF($I$3:I537,K537)+COUNTIF($J$3:J537,K537)+COUNTIF($K$3:K537,K537)=1,MAX($BN$2:BP536,BN537,BO537)+1,""))</f>
      </c>
      <c r="BQ537" s="129">
        <f>IF(AY537=1,IFERROR(MID(Q537,FIND(" (",Q537)+2,FIND(")",Q537,FIND(" (",Q537))-FIND(" (",Q537)-2),"?"),"")</f>
      </c>
      <c r="BR537" s="129">
        <f>IF(BQ537="","",IF(COUNTIF($BQ$3:BQ537,BQ537)=1,MAX($BR$2:BR536)+1,""))</f>
      </c>
      <c r="BS537" s="129">
        <f>IF(AW537="","",COUNTIF($AW$3:AW537,"?*"))</f>
      </c>
      <c r="BT537" s="129">
        <f>IF(OR(AW537="",AI537=""),"",IF(COUNTIFS($AW$3:AW537,"?*",$AI$3:AI537,AI537)=1,MAX($BT$2:BT536)+1,""))</f>
      </c>
      <c r="BU537" s="129">
        <f>IF(AE537="",0,IF(OR(ISNUMBER(SEARCH("дубль",AE537)),ISNUMBER(SEARCH("ПЕРЕГРУЗ",AE537)),ISNUMBER(SEARCH("ЗАЩИЩ",AE537)),ISNUMBER(SEARCH("КАНАЛ",AE537)),ISNUMBER(SEARCH("без 30",AE537))),2,1))</f>
      </c>
      <c r="BV537" s="129">
        <f>IF(R537="","",COUNTIF($R$3:R537,"?*"))</f>
      </c>
      <c r="BW537" s="129">
        <f>IF(AY537&lt;&gt;1,0,IF(MAX(IFERROR(--VLOOKUP(R537,УГО_спр,5,FALSE),0),IFERROR(--VLOOKUP(AL537,УГО_спр,5,FALSE),0),IFERROR(--VLOOKUP(LEFT(AL537,2),УГО_спр,5,FALSE),0))&gt;0,MAX(IFERROR(--VLOOKUP(R537,УГО_спр,5,FALSE),0),IFERROR(--VLOOKUP(AL537,УГО_спр,5,FALSE),0),IFERROR(--VLOOKUP(LEFT(AL537,2),УГО_спр,5,FALSE),0)),IF(IFERROR(--LEFT(SUBSTITUTE(BQ537,"x","х"),FIND("х",SUBSTITUTE(BQ537,"x","х"))-1),3)&gt;3,Каталог!$S$9,1)))</f>
      </c>
      <c r="BX537" s="129">
        <f>IF(AY537&lt;&gt;1,0,MAX(0,IFERROR(--LEFT(SUBSTITUTE(BQ537,"x","х"),FIND("х",SUBSTITUTE(BQ537,"x","х"))-1),3)-3*BW537))</f>
      </c>
      <c r="BY537" s="129">
        <f>IF(R537="","",IFERROR(VLOOKUP(R537,УГО_спр,2,FALSE),IFERROR(VLOOKUP(AL537,УГО_спр,2,FALSE),IFERROR(VLOOKUP(LEFT(AL537,2),УГО_спр,2,FALSE),""))))</f>
      </c>
    </row>
    <row r="538" spans="1:64" x14ac:dyDescent="0.3">
      <c r="A538" s="135">
        <f>IF(Разбивка_по_щитам!F538=0,"",Разбивка_по_щитам!F538)</f>
        <v/>
      </c>
      <c r="B538" s="138">
        <f>IF(A538="","",Разбивка_по_щитам!C538)</f>
        <v/>
      </c>
      <c r="C538" s="138">
        <f t="shared" si="342"/>
        <v/>
      </c>
      <c r="D538" s="266"/>
      <c r="E538" s="266"/>
      <c r="F538" s="267"/>
      <c r="G538" s="145">
        <f t="shared" si="343"/>
        <v/>
      </c>
      <c r="H538" s="145">
        <f t="shared" si="344"/>
        <v/>
      </c>
      <c r="I538" s="266"/>
      <c r="J538" s="267"/>
      <c r="K538" s="267"/>
      <c r="L538" s="266"/>
      <c r="M538" s="147">
        <f t="shared" si="345"/>
        <v/>
      </c>
      <c r="N538" s="267"/>
      <c r="O538" s="147">
        <f t="shared" si="346"/>
        <v/>
      </c>
      <c r="P538" s="268">
        <f>IF(AY538=1,"XT"&amp;COUNTIFS($A$3:A538,A538,$AY$3:AY538,1),"")</f>
        <v/>
      </c>
      <c r="Q538" s="152">
        <f>IF(R538="","",IFERROR(SUBSTITUTE(Разбивка_по_щитам!P538,CHAR(10)," "),""))</f>
        <v/>
      </c>
      <c r="R538" s="153">
        <f>IF(OR(Разбивка_по_щитам!H538="",Разбивка_по_щитам!H538=0),"",Разбивка_по_щитам!H538)</f>
        <v/>
      </c>
      <c r="S538" s="154">
        <f>IF(R538="","",IFERROR(Разбивка_по_щитам!J538&amp;"",""))</f>
        <v/>
      </c>
      <c r="T538" s="155">
        <f>IF(R538="","",IFERROR(--Разбивка_по_щитам!L538,""))</f>
        <v/>
      </c>
      <c r="U538" s="155">
        <f>IF(R538="","",IFERROR(--Разбивка_по_щитам!K538,""))</f>
        <v/>
      </c>
      <c r="V538" s="138">
        <f>IF(R538="","",IFERROR(IF(Разбивка_по_щитам!M538=0,"",Разбивка_по_щитам!M538),""))</f>
        <v/>
      </c>
      <c r="W538" s="156">
        <f t="shared" si="347"/>
        <v/>
      </c>
      <c r="X538" s="157">
        <f t="shared" si="348"/>
        <v/>
      </c>
      <c r="Y538" s="266"/>
      <c r="Z538" s="158">
        <f t="shared" si="349"/>
        <v/>
      </c>
      <c r="AA538" s="160">
        <f t="shared" si="350"/>
        <v/>
      </c>
      <c r="AB538" s="160">
        <f>IF(R538="","",IFERROR(LOOKUP(INDEX(Справочная!$I$4:$I$19,MATCH(VLOOKUP(R538,Исходные_данные,22,FALSE),Справочная!$J$4:$J$19,0)+1),{6,10,16,20,25,32,40,50,63,80,100,125}),""))</f>
        <v/>
      </c>
      <c r="AC538" s="160">
        <f t="shared" si="351"/>
        <v/>
      </c>
      <c r="AD538" s="161">
        <f t="shared" si="352"/>
        <v/>
      </c>
      <c r="AE538" s="161">
        <f>IF(AND(R538="",G538=""),"",_xlfn.TEXTJOIN("; ",TRUE,IF(AND(R538&lt;&gt;"",V538=""),"нет фазы",""),IF(AND(R538&lt;&gt;"",N(T538)=0),"нет мощности",""),IF(AND(P538&lt;&gt;"",COUNTIFS($A$3:$A$1000,A538,$P$3:$P$1000,P538)&gt;1),"дубль клеммы "&amp;P538,""),IF(AND(W538&lt;&gt;"",W538&lt;&gt;"ok"),W538,""),IF(X538&lt;&gt;"",X538,""),IF(AND(ISNUMBER(SEARCH("(5х",Q538)),N(AK538)=1),"5 жил на 1 фазе",""),IF(AND(AL538="R",E538&lt;&gt;"",N(AS538)=0),"розетка без 30 мА",""),IF(IFERROR(_xlfn.NUMBERVALUE(MID(Q538,FIND("-",Q538,FIND("L=",Q538))+1,FIND("%",Q538)-FIND("-",Q538,FIND("L=",Q538))-1),","),0)&gt;4,"потери &gt; 4 %","")))</f>
      </c>
      <c r="AF538" s="129">
        <f>IF(E538&lt;&gt;"",COUNTIFS($A$3:A538,A538,$E$3:E538,"?*"),IF(OR(A538&lt;&gt;A537,Y538="вручную"),"",AF537))</f>
        <v/>
      </c>
      <c r="AG538" s="129">
        <f t="shared" si="353"/>
        <v/>
      </c>
      <c r="AH538" s="129">
        <f t="shared" si="354"/>
        <v/>
      </c>
      <c r="AI538" s="129">
        <f t="shared" si="355"/>
        <v/>
      </c>
      <c r="AJ538" s="129">
        <f t="shared" si="356"/>
        <v/>
      </c>
      <c r="AK538" s="129">
        <f t="shared" si="357"/>
        <v/>
      </c>
      <c r="AL538" s="129">
        <f t="shared" si="358"/>
        <v/>
      </c>
      <c r="AM538" s="129">
        <f t="shared" si="359"/>
      </c>
      <c r="AN538" s="129">
        <f t="shared" si="360"/>
      </c>
      <c r="AO538" s="129">
        <f t="shared" si="361"/>
        <v/>
      </c>
      <c r="AP538" s="129">
        <f t="shared" si="362"/>
        <v/>
      </c>
      <c r="AQ538" s="129">
        <f t="shared" si="363"/>
        <v/>
      </c>
      <c r="AR538" s="129">
        <f t="shared" si="364"/>
        <v/>
      </c>
      <c r="AS538" s="129">
        <f t="shared" si="365"/>
        <v/>
      </c>
      <c r="AT538" s="129">
        <f t="shared" si="366"/>
        <v/>
      </c>
      <c r="AU538" s="129">
        <f t="shared" si="367"/>
        <v/>
      </c>
      <c r="AV538" s="129">
        <f t="shared" si="368"/>
        <v/>
      </c>
      <c r="AW538" s="129">
        <f>IF(AV538="","",AV538&amp;"."&amp;COUNTIFS($A$3:A538,A538,$AV$3:AV538,AV538))</f>
        <v/>
      </c>
      <c r="AX538" s="129">
        <f t="shared" si="369"/>
        <v/>
      </c>
      <c r="AY538" s="129">
        <f>IF(N538="б/к",0,IF(OR(ISNUMBER(SEARCH("L=",Разбивка_по_щитам!P538)),N538="+",N538="="),1,0))</f>
      </c>
      <c r="AZ538" s="129">
        <f t="shared" si="370"/>
        <v/>
      </c>
      <c r="BA538" s="129">
        <f t="shared" si="371"/>
      </c>
      <c r="BB538" s="129">
        <f t="shared" si="372"/>
      </c>
      <c r="BD538" s="129">
        <f t="shared" si="373"/>
      </c>
      <c r="BE538" s="129">
        <f t="shared" si="374"/>
      </c>
      <c r="BF538" s="129">
        <f t="shared" si="375"/>
      </c>
      <c r="BG538" s="129">
        <f t="shared" si="376"/>
        <v/>
      </c>
      <c r="BH538" s="129">
        <f t="shared" si="377"/>
        <v/>
      </c>
      <c r="BI538" s="129">
        <f t="shared" si="378"/>
        <v/>
      </c>
      <c r="BJ538" s="129">
        <f t="shared" si="379"/>
        <v/>
      </c>
      <c r="BK538" s="129">
        <f>IF(R538="","",IF(OR(BY538="",BY538=0),"BOX",IFERROR(IF(VLOOKUP(BY538,УГО_блоки,3,FALSE)&amp;""&lt;&gt;"",VLOOKUP(BY538,УГО_блоки,3,FALSE),VLOOKUP(BY538,УГО_блоки,2,FALSE)),BY538)))</f>
      </c>
      <c r="BL538" s="129">
        <f t="shared" si="381"/>
      </c>
      <c r="BM538" s="129">
        <f>IF(H538="","",IF(COUNTIF($H$3:H538,H538)=1,MAX($BM$2:BM537)+1,""))</f>
      </c>
      <c r="BN538" s="129">
        <f>IF(I538="","",IF(COUNTIF($I$3:I538,I538)+COUNTIF($J$2:J537,I538)+COUNTIF($K$2:K537,I538)=1,MAX($BN$2:BP537)+1,""))</f>
      </c>
      <c r="BO538" s="129">
        <f>IF(J538="","",IF(COUNTIF($I$3:I538,J538)+COUNTIF($J$3:J538,J538)+COUNTIF($K$2:K537,J538)=1,MAX($BN$2:BP537,BN538)+1,""))</f>
      </c>
      <c r="BP538" s="129">
        <f>IF(K538="","",IF(COUNTIF($I$3:I538,K538)+COUNTIF($J$3:J538,K538)+COUNTIF($K$3:K538,K538)=1,MAX($BN$2:BP537,BN538,BO538)+1,""))</f>
      </c>
      <c r="BQ538" s="129">
        <f>IF(AY538=1,IFERROR(MID(Q538,FIND(" (",Q538)+2,FIND(")",Q538,FIND(" (",Q538))-FIND(" (",Q538)-2),"?"),"")</f>
      </c>
      <c r="BR538" s="129">
        <f>IF(BQ538="","",IF(COUNTIF($BQ$3:BQ538,BQ538)=1,MAX($BR$2:BR537)+1,""))</f>
      </c>
      <c r="BS538" s="129">
        <f>IF(AW538="","",COUNTIF($AW$3:AW538,"?*"))</f>
      </c>
      <c r="BT538" s="129">
        <f>IF(OR(AW538="",AI538=""),"",IF(COUNTIFS($AW$3:AW538,"?*",$AI$3:AI538,AI538)=1,MAX($BT$2:BT537)+1,""))</f>
      </c>
      <c r="BU538" s="129">
        <f>IF(AE538="",0,IF(OR(ISNUMBER(SEARCH("дубль",AE538)),ISNUMBER(SEARCH("ПЕРЕГРУЗ",AE538)),ISNUMBER(SEARCH("ЗАЩИЩ",AE538)),ISNUMBER(SEARCH("КАНАЛ",AE538)),ISNUMBER(SEARCH("без 30",AE538))),2,1))</f>
      </c>
      <c r="BV538" s="129">
        <f>IF(R538="","",COUNTIF($R$3:R538,"?*"))</f>
      </c>
      <c r="BW538" s="129">
        <f>IF(AY538&lt;&gt;1,0,IF(MAX(IFERROR(--VLOOKUP(R538,УГО_спр,5,FALSE),0),IFERROR(--VLOOKUP(AL538,УГО_спр,5,FALSE),0),IFERROR(--VLOOKUP(LEFT(AL538,2),УГО_спр,5,FALSE),0))&gt;0,MAX(IFERROR(--VLOOKUP(R538,УГО_спр,5,FALSE),0),IFERROR(--VLOOKUP(AL538,УГО_спр,5,FALSE),0),IFERROR(--VLOOKUP(LEFT(AL538,2),УГО_спр,5,FALSE),0)),IF(IFERROR(--LEFT(SUBSTITUTE(BQ538,"x","х"),FIND("х",SUBSTITUTE(BQ538,"x","х"))-1),3)&gt;3,Каталог!$S$9,1)))</f>
      </c>
      <c r="BX538" s="129">
        <f>IF(AY538&lt;&gt;1,0,MAX(0,IFERROR(--LEFT(SUBSTITUTE(BQ538,"x","х"),FIND("х",SUBSTITUTE(BQ538,"x","х"))-1),3)-3*BW538))</f>
      </c>
      <c r="BY538" s="129">
        <f>IF(R538="","",IFERROR(VLOOKUP(R538,УГО_спр,2,FALSE),IFERROR(VLOOKUP(AL538,УГО_спр,2,FALSE),IFERROR(VLOOKUP(LEFT(AL538,2),УГО_спр,2,FALSE),""))))</f>
      </c>
    </row>
    <row r="539" spans="1:64" x14ac:dyDescent="0.3">
      <c r="A539" s="135">
        <f>IF(Разбивка_по_щитам!F539=0,"",Разбивка_по_щитам!F539)</f>
        <v/>
      </c>
      <c r="B539" s="138">
        <f>IF(A539="","",Разбивка_по_щитам!C539)</f>
        <v/>
      </c>
      <c r="C539" s="138">
        <f t="shared" si="342"/>
        <v/>
      </c>
      <c r="D539" s="266"/>
      <c r="E539" s="266"/>
      <c r="F539" s="267"/>
      <c r="G539" s="145">
        <f t="shared" si="343"/>
        <v/>
      </c>
      <c r="H539" s="145">
        <f t="shared" si="344"/>
        <v/>
      </c>
      <c r="I539" s="266"/>
      <c r="J539" s="267"/>
      <c r="K539" s="267"/>
      <c r="L539" s="266"/>
      <c r="M539" s="147">
        <f t="shared" si="345"/>
        <v/>
      </c>
      <c r="N539" s="267"/>
      <c r="O539" s="147">
        <f t="shared" si="346"/>
        <v/>
      </c>
      <c r="P539" s="268">
        <f>IF(AY539=1,"XT"&amp;COUNTIFS($A$3:A539,A539,$AY$3:AY539,1),"")</f>
        <v/>
      </c>
      <c r="Q539" s="152">
        <f>IF(R539="","",IFERROR(SUBSTITUTE(Разбивка_по_щитам!P539,CHAR(10)," "),""))</f>
        <v/>
      </c>
      <c r="R539" s="153">
        <f>IF(OR(Разбивка_по_щитам!H539="",Разбивка_по_щитам!H539=0),"",Разбивка_по_щитам!H539)</f>
        <v/>
      </c>
      <c r="S539" s="154">
        <f>IF(R539="","",IFERROR(Разбивка_по_щитам!J539&amp;"",""))</f>
        <v/>
      </c>
      <c r="T539" s="155">
        <f>IF(R539="","",IFERROR(--Разбивка_по_щитам!L539,""))</f>
        <v/>
      </c>
      <c r="U539" s="155">
        <f>IF(R539="","",IFERROR(--Разбивка_по_щитам!K539,""))</f>
        <v/>
      </c>
      <c r="V539" s="138">
        <f>IF(R539="","",IFERROR(IF(Разбивка_по_щитам!M539=0,"",Разбивка_по_щитам!M539),""))</f>
        <v/>
      </c>
      <c r="W539" s="156">
        <f t="shared" si="347"/>
        <v/>
      </c>
      <c r="X539" s="157">
        <f t="shared" si="348"/>
        <v/>
      </c>
      <c r="Y539" s="266"/>
      <c r="Z539" s="158">
        <f t="shared" si="349"/>
        <v/>
      </c>
      <c r="AA539" s="160">
        <f t="shared" si="350"/>
        <v/>
      </c>
      <c r="AB539" s="160">
        <f>IF(R539="","",IFERROR(LOOKUP(INDEX(Справочная!$I$4:$I$19,MATCH(VLOOKUP(R539,Исходные_данные,22,FALSE),Справочная!$J$4:$J$19,0)+1),{6,10,16,20,25,32,40,50,63,80,100,125}),""))</f>
        <v/>
      </c>
      <c r="AC539" s="160">
        <f t="shared" si="351"/>
        <v/>
      </c>
      <c r="AD539" s="161">
        <f t="shared" si="352"/>
        <v/>
      </c>
      <c r="AE539" s="161">
        <f>IF(AND(R539="",G539=""),"",_xlfn.TEXTJOIN("; ",TRUE,IF(AND(R539&lt;&gt;"",V539=""),"нет фазы",""),IF(AND(R539&lt;&gt;"",N(T539)=0),"нет мощности",""),IF(AND(P539&lt;&gt;"",COUNTIFS($A$3:$A$1000,A539,$P$3:$P$1000,P539)&gt;1),"дубль клеммы "&amp;P539,""),IF(AND(W539&lt;&gt;"",W539&lt;&gt;"ok"),W539,""),IF(X539&lt;&gt;"",X539,""),IF(AND(ISNUMBER(SEARCH("(5х",Q539)),N(AK539)=1),"5 жил на 1 фазе",""),IF(AND(AL539="R",E539&lt;&gt;"",N(AS539)=0),"розетка без 30 мА",""),IF(IFERROR(_xlfn.NUMBERVALUE(MID(Q539,FIND("-",Q539,FIND("L=",Q539))+1,FIND("%",Q539)-FIND("-",Q539,FIND("L=",Q539))-1),","),0)&gt;4,"потери &gt; 4 %","")))</f>
      </c>
      <c r="AF539" s="129">
        <f>IF(E539&lt;&gt;"",COUNTIFS($A$3:A539,A539,$E$3:E539,"?*"),IF(OR(A539&lt;&gt;A538,Y539="вручную"),"",AF538))</f>
        <v/>
      </c>
      <c r="AG539" s="129">
        <f t="shared" si="353"/>
        <v/>
      </c>
      <c r="AH539" s="129">
        <f t="shared" si="354"/>
        <v/>
      </c>
      <c r="AI539" s="129">
        <f t="shared" si="355"/>
        <v/>
      </c>
      <c r="AJ539" s="129">
        <f t="shared" si="356"/>
        <v/>
      </c>
      <c r="AK539" s="129">
        <f t="shared" si="357"/>
        <v/>
      </c>
      <c r="AL539" s="129">
        <f t="shared" si="358"/>
        <v/>
      </c>
      <c r="AM539" s="129">
        <f t="shared" si="359"/>
      </c>
      <c r="AN539" s="129">
        <f t="shared" si="360"/>
      </c>
      <c r="AO539" s="129">
        <f t="shared" si="361"/>
        <v/>
      </c>
      <c r="AP539" s="129">
        <f t="shared" si="362"/>
        <v/>
      </c>
      <c r="AQ539" s="129">
        <f t="shared" si="363"/>
        <v/>
      </c>
      <c r="AR539" s="129">
        <f t="shared" si="364"/>
        <v/>
      </c>
      <c r="AS539" s="129">
        <f t="shared" si="365"/>
        <v/>
      </c>
      <c r="AT539" s="129">
        <f t="shared" si="366"/>
        <v/>
      </c>
      <c r="AU539" s="129">
        <f t="shared" si="367"/>
        <v/>
      </c>
      <c r="AV539" s="129">
        <f t="shared" si="368"/>
        <v/>
      </c>
      <c r="AW539" s="129">
        <f>IF(AV539="","",AV539&amp;"."&amp;COUNTIFS($A$3:A539,A539,$AV$3:AV539,AV539))</f>
        <v/>
      </c>
      <c r="AX539" s="129">
        <f t="shared" si="369"/>
        <v/>
      </c>
      <c r="AY539" s="129">
        <f>IF(N539="б/к",0,IF(OR(ISNUMBER(SEARCH("L=",Разбивка_по_щитам!P539)),N539="+",N539="="),1,0))</f>
      </c>
      <c r="AZ539" s="129">
        <f t="shared" si="370"/>
        <v/>
      </c>
      <c r="BA539" s="129">
        <f t="shared" si="371"/>
      </c>
      <c r="BB539" s="129">
        <f t="shared" si="372"/>
      </c>
      <c r="BD539" s="129">
        <f t="shared" si="373"/>
      </c>
      <c r="BE539" s="129">
        <f t="shared" si="374"/>
      </c>
      <c r="BF539" s="129">
        <f t="shared" si="375"/>
      </c>
      <c r="BG539" s="129">
        <f t="shared" si="376"/>
        <v/>
      </c>
      <c r="BH539" s="129">
        <f t="shared" si="377"/>
        <v/>
      </c>
      <c r="BI539" s="129">
        <f t="shared" si="378"/>
        <v/>
      </c>
      <c r="BJ539" s="129">
        <f t="shared" si="379"/>
        <v/>
      </c>
      <c r="BK539" s="129">
        <f>IF(R539="","",IF(OR(BY539="",BY539=0),"BOX",IFERROR(IF(VLOOKUP(BY539,УГО_блоки,3,FALSE)&amp;""&lt;&gt;"",VLOOKUP(BY539,УГО_блоки,3,FALSE),VLOOKUP(BY539,УГО_блоки,2,FALSE)),BY539)))</f>
      </c>
      <c r="BL539" s="129">
        <f t="shared" si="381"/>
      </c>
      <c r="BM539" s="129">
        <f>IF(H539="","",IF(COUNTIF($H$3:H539,H539)=1,MAX($BM$2:BM538)+1,""))</f>
      </c>
      <c r="BN539" s="129">
        <f>IF(I539="","",IF(COUNTIF($I$3:I539,I539)+COUNTIF($J$2:J538,I539)+COUNTIF($K$2:K538,I539)=1,MAX($BN$2:BP538)+1,""))</f>
      </c>
      <c r="BO539" s="129">
        <f>IF(J539="","",IF(COUNTIF($I$3:I539,J539)+COUNTIF($J$3:J539,J539)+COUNTIF($K$2:K538,J539)=1,MAX($BN$2:BP538,BN539)+1,""))</f>
      </c>
      <c r="BP539" s="129">
        <f>IF(K539="","",IF(COUNTIF($I$3:I539,K539)+COUNTIF($J$3:J539,K539)+COUNTIF($K$3:K539,K539)=1,MAX($BN$2:BP538,BN539,BO539)+1,""))</f>
      </c>
      <c r="BQ539" s="129">
        <f>IF(AY539=1,IFERROR(MID(Q539,FIND(" (",Q539)+2,FIND(")",Q539,FIND(" (",Q539))-FIND(" (",Q539)-2),"?"),"")</f>
      </c>
      <c r="BR539" s="129">
        <f>IF(BQ539="","",IF(COUNTIF($BQ$3:BQ539,BQ539)=1,MAX($BR$2:BR538)+1,""))</f>
      </c>
      <c r="BS539" s="129">
        <f>IF(AW539="","",COUNTIF($AW$3:AW539,"?*"))</f>
      </c>
      <c r="BT539" s="129">
        <f>IF(OR(AW539="",AI539=""),"",IF(COUNTIFS($AW$3:AW539,"?*",$AI$3:AI539,AI539)=1,MAX($BT$2:BT538)+1,""))</f>
      </c>
      <c r="BU539" s="129">
        <f>IF(AE539="",0,IF(OR(ISNUMBER(SEARCH("дубль",AE539)),ISNUMBER(SEARCH("ПЕРЕГРУЗ",AE539)),ISNUMBER(SEARCH("ЗАЩИЩ",AE539)),ISNUMBER(SEARCH("КАНАЛ",AE539)),ISNUMBER(SEARCH("без 30",AE539))),2,1))</f>
      </c>
      <c r="BV539" s="129">
        <f>IF(R539="","",COUNTIF($R$3:R539,"?*"))</f>
      </c>
      <c r="BW539" s="129">
        <f>IF(AY539&lt;&gt;1,0,IF(MAX(IFERROR(--VLOOKUP(R539,УГО_спр,5,FALSE),0),IFERROR(--VLOOKUP(AL539,УГО_спр,5,FALSE),0),IFERROR(--VLOOKUP(LEFT(AL539,2),УГО_спр,5,FALSE),0))&gt;0,MAX(IFERROR(--VLOOKUP(R539,УГО_спр,5,FALSE),0),IFERROR(--VLOOKUP(AL539,УГО_спр,5,FALSE),0),IFERROR(--VLOOKUP(LEFT(AL539,2),УГО_спр,5,FALSE),0)),IF(IFERROR(--LEFT(SUBSTITUTE(BQ539,"x","х"),FIND("х",SUBSTITUTE(BQ539,"x","х"))-1),3)&gt;3,Каталог!$S$9,1)))</f>
      </c>
      <c r="BX539" s="129">
        <f>IF(AY539&lt;&gt;1,0,MAX(0,IFERROR(--LEFT(SUBSTITUTE(BQ539,"x","х"),FIND("х",SUBSTITUTE(BQ539,"x","х"))-1),3)-3*BW539))</f>
      </c>
      <c r="BY539" s="129">
        <f>IF(R539="","",IFERROR(VLOOKUP(R539,УГО_спр,2,FALSE),IFERROR(VLOOKUP(AL539,УГО_спр,2,FALSE),IFERROR(VLOOKUP(LEFT(AL539,2),УГО_спр,2,FALSE),""))))</f>
      </c>
    </row>
    <row r="540" spans="1:64" x14ac:dyDescent="0.3">
      <c r="A540" s="135">
        <f>IF(Разбивка_по_щитам!F540=0,"",Разбивка_по_щитам!F540)</f>
        <v/>
      </c>
      <c r="B540" s="138">
        <f>IF(A540="","",Разбивка_по_щитам!C540)</f>
        <v/>
      </c>
      <c r="C540" s="138">
        <f t="shared" si="342"/>
        <v/>
      </c>
      <c r="D540" s="266"/>
      <c r="E540" s="266"/>
      <c r="F540" s="267"/>
      <c r="G540" s="145">
        <f t="shared" si="343"/>
        <v/>
      </c>
      <c r="H540" s="145">
        <f t="shared" si="344"/>
        <v/>
      </c>
      <c r="I540" s="266"/>
      <c r="J540" s="267"/>
      <c r="K540" s="267"/>
      <c r="L540" s="266"/>
      <c r="M540" s="147">
        <f t="shared" si="345"/>
        <v/>
      </c>
      <c r="N540" s="267"/>
      <c r="O540" s="147">
        <f t="shared" si="346"/>
        <v/>
      </c>
      <c r="P540" s="268">
        <f>IF(AY540=1,"XT"&amp;COUNTIFS($A$3:A540,A540,$AY$3:AY540,1),"")</f>
        <v/>
      </c>
      <c r="Q540" s="152">
        <f>IF(R540="","",IFERROR(SUBSTITUTE(Разбивка_по_щитам!P540,CHAR(10)," "),""))</f>
        <v/>
      </c>
      <c r="R540" s="153">
        <f>IF(OR(Разбивка_по_щитам!H540="",Разбивка_по_щитам!H540=0),"",Разбивка_по_щитам!H540)</f>
        <v/>
      </c>
      <c r="S540" s="154">
        <f>IF(R540="","",IFERROR(Разбивка_по_щитам!J540&amp;"",""))</f>
        <v/>
      </c>
      <c r="T540" s="155">
        <f>IF(R540="","",IFERROR(--Разбивка_по_щитам!L540,""))</f>
        <v/>
      </c>
      <c r="U540" s="155">
        <f>IF(R540="","",IFERROR(--Разбивка_по_щитам!K540,""))</f>
        <v/>
      </c>
      <c r="V540" s="138">
        <f>IF(R540="","",IFERROR(IF(Разбивка_по_щитам!M540=0,"",Разбивка_по_щитам!M540),""))</f>
        <v/>
      </c>
      <c r="W540" s="156">
        <f t="shared" si="347"/>
        <v/>
      </c>
      <c r="X540" s="157">
        <f t="shared" si="348"/>
        <v/>
      </c>
      <c r="Y540" s="266"/>
      <c r="Z540" s="158">
        <f t="shared" si="349"/>
        <v/>
      </c>
      <c r="AA540" s="160">
        <f t="shared" si="350"/>
        <v/>
      </c>
      <c r="AB540" s="160">
        <f>IF(R540="","",IFERROR(LOOKUP(INDEX(Справочная!$I$4:$I$19,MATCH(VLOOKUP(R540,Исходные_данные,22,FALSE),Справочная!$J$4:$J$19,0)+1),{6,10,16,20,25,32,40,50,63,80,100,125}),""))</f>
        <v/>
      </c>
      <c r="AC540" s="160">
        <f t="shared" si="351"/>
        <v/>
      </c>
      <c r="AD540" s="161">
        <f t="shared" si="352"/>
        <v/>
      </c>
      <c r="AE540" s="161">
        <f>IF(AND(R540="",G540=""),"",_xlfn.TEXTJOIN("; ",TRUE,IF(AND(R540&lt;&gt;"",V540=""),"нет фазы",""),IF(AND(R540&lt;&gt;"",N(T540)=0),"нет мощности",""),IF(AND(P540&lt;&gt;"",COUNTIFS($A$3:$A$1000,A540,$P$3:$P$1000,P540)&gt;1),"дубль клеммы "&amp;P540,""),IF(AND(W540&lt;&gt;"",W540&lt;&gt;"ok"),W540,""),IF(X540&lt;&gt;"",X540,""),IF(AND(ISNUMBER(SEARCH("(5х",Q540)),N(AK540)=1),"5 жил на 1 фазе",""),IF(AND(AL540="R",E540&lt;&gt;"",N(AS540)=0),"розетка без 30 мА",""),IF(IFERROR(_xlfn.NUMBERVALUE(MID(Q540,FIND("-",Q540,FIND("L=",Q540))+1,FIND("%",Q540)-FIND("-",Q540,FIND("L=",Q540))-1),","),0)&gt;4,"потери &gt; 4 %","")))</f>
      </c>
      <c r="AF540" s="129">
        <f>IF(E540&lt;&gt;"",COUNTIFS($A$3:A540,A540,$E$3:E540,"?*"),IF(OR(A540&lt;&gt;A539,Y540="вручную"),"",AF539))</f>
        <v/>
      </c>
      <c r="AG540" s="129">
        <f t="shared" si="353"/>
        <v/>
      </c>
      <c r="AH540" s="129">
        <f t="shared" si="354"/>
        <v/>
      </c>
      <c r="AI540" s="129">
        <f t="shared" si="355"/>
        <v/>
      </c>
      <c r="AJ540" s="129">
        <f t="shared" si="356"/>
        <v/>
      </c>
      <c r="AK540" s="129">
        <f t="shared" si="357"/>
        <v/>
      </c>
      <c r="AL540" s="129">
        <f t="shared" si="358"/>
        <v/>
      </c>
      <c r="AM540" s="129">
        <f t="shared" si="359"/>
      </c>
      <c r="AN540" s="129">
        <f t="shared" si="360"/>
      </c>
      <c r="AO540" s="129">
        <f t="shared" si="361"/>
        <v/>
      </c>
      <c r="AP540" s="129">
        <f t="shared" si="362"/>
        <v/>
      </c>
      <c r="AQ540" s="129">
        <f t="shared" si="363"/>
        <v/>
      </c>
      <c r="AR540" s="129">
        <f t="shared" si="364"/>
        <v/>
      </c>
      <c r="AS540" s="129">
        <f t="shared" si="365"/>
        <v/>
      </c>
      <c r="AT540" s="129">
        <f t="shared" si="366"/>
        <v/>
      </c>
      <c r="AU540" s="129">
        <f t="shared" si="367"/>
        <v/>
      </c>
      <c r="AV540" s="129">
        <f t="shared" si="368"/>
        <v/>
      </c>
      <c r="AW540" s="129">
        <f>IF(AV540="","",AV540&amp;"."&amp;COUNTIFS($A$3:A540,A540,$AV$3:AV540,AV540))</f>
        <v/>
      </c>
      <c r="AX540" s="129">
        <f t="shared" si="369"/>
        <v/>
      </c>
      <c r="AY540" s="129">
        <f>IF(N540="б/к",0,IF(OR(ISNUMBER(SEARCH("L=",Разбивка_по_щитам!P540)),N540="+",N540="="),1,0))</f>
      </c>
      <c r="AZ540" s="129">
        <f t="shared" si="370"/>
        <v/>
      </c>
      <c r="BA540" s="129">
        <f t="shared" si="371"/>
      </c>
      <c r="BB540" s="129">
        <f t="shared" si="372"/>
      </c>
      <c r="BD540" s="129">
        <f t="shared" si="373"/>
      </c>
      <c r="BE540" s="129">
        <f t="shared" si="374"/>
      </c>
      <c r="BF540" s="129">
        <f t="shared" si="375"/>
      </c>
      <c r="BG540" s="129">
        <f t="shared" si="376"/>
        <v/>
      </c>
      <c r="BH540" s="129">
        <f t="shared" si="377"/>
        <v/>
      </c>
      <c r="BI540" s="129">
        <f t="shared" si="378"/>
        <v/>
      </c>
      <c r="BJ540" s="129">
        <f t="shared" si="379"/>
        <v/>
      </c>
      <c r="BK540" s="129">
        <f>IF(R540="","",IF(OR(BY540="",BY540=0),"BOX",IFERROR(IF(VLOOKUP(BY540,УГО_блоки,3,FALSE)&amp;""&lt;&gt;"",VLOOKUP(BY540,УГО_блоки,3,FALSE),VLOOKUP(BY540,УГО_блоки,2,FALSE)),BY540)))</f>
      </c>
      <c r="BL540" s="129">
        <f t="shared" si="381"/>
      </c>
      <c r="BM540" s="129">
        <f>IF(H540="","",IF(COUNTIF($H$3:H540,H540)=1,MAX($BM$2:BM539)+1,""))</f>
      </c>
      <c r="BN540" s="129">
        <f>IF(I540="","",IF(COUNTIF($I$3:I540,I540)+COUNTIF($J$2:J539,I540)+COUNTIF($K$2:K539,I540)=1,MAX($BN$2:BP539)+1,""))</f>
      </c>
      <c r="BO540" s="129">
        <f>IF(J540="","",IF(COUNTIF($I$3:I540,J540)+COUNTIF($J$3:J540,J540)+COUNTIF($K$2:K539,J540)=1,MAX($BN$2:BP539,BN540)+1,""))</f>
      </c>
      <c r="BP540" s="129">
        <f>IF(K540="","",IF(COUNTIF($I$3:I540,K540)+COUNTIF($J$3:J540,K540)+COUNTIF($K$3:K540,K540)=1,MAX($BN$2:BP539,BN540,BO540)+1,""))</f>
      </c>
      <c r="BQ540" s="129">
        <f>IF(AY540=1,IFERROR(MID(Q540,FIND(" (",Q540)+2,FIND(")",Q540,FIND(" (",Q540))-FIND(" (",Q540)-2),"?"),"")</f>
      </c>
      <c r="BR540" s="129">
        <f>IF(BQ540="","",IF(COUNTIF($BQ$3:BQ540,BQ540)=1,MAX($BR$2:BR539)+1,""))</f>
      </c>
      <c r="BS540" s="129">
        <f>IF(AW540="","",COUNTIF($AW$3:AW540,"?*"))</f>
      </c>
      <c r="BT540" s="129">
        <f>IF(OR(AW540="",AI540=""),"",IF(COUNTIFS($AW$3:AW540,"?*",$AI$3:AI540,AI540)=1,MAX($BT$2:BT539)+1,""))</f>
      </c>
      <c r="BU540" s="129">
        <f>IF(AE540="",0,IF(OR(ISNUMBER(SEARCH("дубль",AE540)),ISNUMBER(SEARCH("ПЕРЕГРУЗ",AE540)),ISNUMBER(SEARCH("ЗАЩИЩ",AE540)),ISNUMBER(SEARCH("КАНАЛ",AE540)),ISNUMBER(SEARCH("без 30",AE540))),2,1))</f>
      </c>
      <c r="BV540" s="129">
        <f>IF(R540="","",COUNTIF($R$3:R540,"?*"))</f>
      </c>
      <c r="BW540" s="129">
        <f>IF(AY540&lt;&gt;1,0,IF(MAX(IFERROR(--VLOOKUP(R540,УГО_спр,5,FALSE),0),IFERROR(--VLOOKUP(AL540,УГО_спр,5,FALSE),0),IFERROR(--VLOOKUP(LEFT(AL540,2),УГО_спр,5,FALSE),0))&gt;0,MAX(IFERROR(--VLOOKUP(R540,УГО_спр,5,FALSE),0),IFERROR(--VLOOKUP(AL540,УГО_спр,5,FALSE),0),IFERROR(--VLOOKUP(LEFT(AL540,2),УГО_спр,5,FALSE),0)),IF(IFERROR(--LEFT(SUBSTITUTE(BQ540,"x","х"),FIND("х",SUBSTITUTE(BQ540,"x","х"))-1),3)&gt;3,Каталог!$S$9,1)))</f>
      </c>
      <c r="BX540" s="129">
        <f>IF(AY540&lt;&gt;1,0,MAX(0,IFERROR(--LEFT(SUBSTITUTE(BQ540,"x","х"),FIND("х",SUBSTITUTE(BQ540,"x","х"))-1),3)-3*BW540))</f>
      </c>
      <c r="BY540" s="129">
        <f>IF(R540="","",IFERROR(VLOOKUP(R540,УГО_спр,2,FALSE),IFERROR(VLOOKUP(AL540,УГО_спр,2,FALSE),IFERROR(VLOOKUP(LEFT(AL540,2),УГО_спр,2,FALSE),""))))</f>
      </c>
    </row>
    <row r="541" spans="1:64" x14ac:dyDescent="0.3">
      <c r="A541" s="135">
        <f>IF(Разбивка_по_щитам!F541=0,"",Разбивка_по_щитам!F541)</f>
        <v/>
      </c>
      <c r="B541" s="138">
        <f>IF(A541="","",Разбивка_по_щитам!C541)</f>
        <v/>
      </c>
      <c r="C541" s="138">
        <f t="shared" si="342"/>
        <v/>
      </c>
      <c r="D541" s="266"/>
      <c r="E541" s="266"/>
      <c r="F541" s="267"/>
      <c r="G541" s="145">
        <f t="shared" si="343"/>
        <v/>
      </c>
      <c r="H541" s="145">
        <f t="shared" si="344"/>
        <v/>
      </c>
      <c r="I541" s="266"/>
      <c r="J541" s="267"/>
      <c r="K541" s="267"/>
      <c r="L541" s="266"/>
      <c r="M541" s="147">
        <f t="shared" si="345"/>
        <v/>
      </c>
      <c r="N541" s="267"/>
      <c r="O541" s="147">
        <f t="shared" si="346"/>
        <v/>
      </c>
      <c r="P541" s="268">
        <f>IF(AY541=1,"XT"&amp;COUNTIFS($A$3:A541,A541,$AY$3:AY541,1),"")</f>
        <v/>
      </c>
      <c r="Q541" s="152">
        <f>IF(R541="","",IFERROR(SUBSTITUTE(Разбивка_по_щитам!P541,CHAR(10)," "),""))</f>
        <v/>
      </c>
      <c r="R541" s="153">
        <f>IF(OR(Разбивка_по_щитам!H541="",Разбивка_по_щитам!H541=0),"",Разбивка_по_щитам!H541)</f>
        <v/>
      </c>
      <c r="S541" s="154">
        <f>IF(R541="","",IFERROR(Разбивка_по_щитам!J541&amp;"",""))</f>
        <v/>
      </c>
      <c r="T541" s="155">
        <f>IF(R541="","",IFERROR(--Разбивка_по_щитам!L541,""))</f>
        <v/>
      </c>
      <c r="U541" s="155">
        <f>IF(R541="","",IFERROR(--Разбивка_по_щитам!K541,""))</f>
        <v/>
      </c>
      <c r="V541" s="138">
        <f>IF(R541="","",IFERROR(IF(Разбивка_по_щитам!M541=0,"",Разбивка_по_щитам!M541),""))</f>
        <v/>
      </c>
      <c r="W541" s="156">
        <f t="shared" si="347"/>
        <v/>
      </c>
      <c r="X541" s="157">
        <f t="shared" si="348"/>
        <v/>
      </c>
      <c r="Y541" s="266"/>
      <c r="Z541" s="158">
        <f t="shared" si="349"/>
        <v/>
      </c>
      <c r="AA541" s="160">
        <f t="shared" si="350"/>
        <v/>
      </c>
      <c r="AB541" s="160">
        <f>IF(R541="","",IFERROR(LOOKUP(INDEX(Справочная!$I$4:$I$19,MATCH(VLOOKUP(R541,Исходные_данные,22,FALSE),Справочная!$J$4:$J$19,0)+1),{6,10,16,20,25,32,40,50,63,80,100,125}),""))</f>
        <v/>
      </c>
      <c r="AC541" s="160">
        <f t="shared" si="351"/>
        <v/>
      </c>
      <c r="AD541" s="161">
        <f t="shared" si="352"/>
        <v/>
      </c>
      <c r="AE541" s="161">
        <f>IF(AND(R541="",G541=""),"",_xlfn.TEXTJOIN("; ",TRUE,IF(AND(R541&lt;&gt;"",V541=""),"нет фазы",""),IF(AND(R541&lt;&gt;"",N(T541)=0),"нет мощности",""),IF(AND(P541&lt;&gt;"",COUNTIFS($A$3:$A$1000,A541,$P$3:$P$1000,P541)&gt;1),"дубль клеммы "&amp;P541,""),IF(AND(W541&lt;&gt;"",W541&lt;&gt;"ok"),W541,""),IF(X541&lt;&gt;"",X541,""),IF(AND(ISNUMBER(SEARCH("(5х",Q541)),N(AK541)=1),"5 жил на 1 фазе",""),IF(AND(AL541="R",E541&lt;&gt;"",N(AS541)=0),"розетка без 30 мА",""),IF(IFERROR(_xlfn.NUMBERVALUE(MID(Q541,FIND("-",Q541,FIND("L=",Q541))+1,FIND("%",Q541)-FIND("-",Q541,FIND("L=",Q541))-1),","),0)&gt;4,"потери &gt; 4 %","")))</f>
      </c>
      <c r="AF541" s="129">
        <f>IF(E541&lt;&gt;"",COUNTIFS($A$3:A541,A541,$E$3:E541,"?*"),IF(OR(A541&lt;&gt;A540,Y541="вручную"),"",AF540))</f>
        <v/>
      </c>
      <c r="AG541" s="129">
        <f t="shared" si="353"/>
        <v/>
      </c>
      <c r="AH541" s="129">
        <f t="shared" si="354"/>
        <v/>
      </c>
      <c r="AI541" s="129">
        <f t="shared" si="355"/>
        <v/>
      </c>
      <c r="AJ541" s="129">
        <f t="shared" si="356"/>
        <v/>
      </c>
      <c r="AK541" s="129">
        <f t="shared" si="357"/>
        <v/>
      </c>
      <c r="AL541" s="129">
        <f t="shared" si="358"/>
        <v/>
      </c>
      <c r="AM541" s="129">
        <f t="shared" si="359"/>
      </c>
      <c r="AN541" s="129">
        <f t="shared" si="360"/>
      </c>
      <c r="AO541" s="129">
        <f t="shared" si="361"/>
        <v/>
      </c>
      <c r="AP541" s="129">
        <f t="shared" si="362"/>
        <v/>
      </c>
      <c r="AQ541" s="129">
        <f t="shared" si="363"/>
        <v/>
      </c>
      <c r="AR541" s="129">
        <f t="shared" si="364"/>
        <v/>
      </c>
      <c r="AS541" s="129">
        <f t="shared" si="365"/>
        <v/>
      </c>
      <c r="AT541" s="129">
        <f t="shared" si="366"/>
        <v/>
      </c>
      <c r="AU541" s="129">
        <f t="shared" si="367"/>
        <v/>
      </c>
      <c r="AV541" s="129">
        <f t="shared" si="368"/>
        <v/>
      </c>
      <c r="AW541" s="129">
        <f>IF(AV541="","",AV541&amp;"."&amp;COUNTIFS($A$3:A541,A541,$AV$3:AV541,AV541))</f>
        <v/>
      </c>
      <c r="AX541" s="129">
        <f t="shared" si="369"/>
        <v/>
      </c>
      <c r="AY541" s="129">
        <f>IF(N541="б/к",0,IF(OR(ISNUMBER(SEARCH("L=",Разбивка_по_щитам!P541)),N541="+",N541="="),1,0))</f>
      </c>
      <c r="AZ541" s="129">
        <f t="shared" si="370"/>
        <v/>
      </c>
      <c r="BA541" s="129">
        <f t="shared" si="371"/>
      </c>
      <c r="BB541" s="129">
        <f t="shared" si="372"/>
      </c>
      <c r="BD541" s="129">
        <f t="shared" si="373"/>
      </c>
      <c r="BE541" s="129">
        <f t="shared" si="374"/>
      </c>
      <c r="BF541" s="129">
        <f t="shared" si="375"/>
      </c>
      <c r="BG541" s="129">
        <f t="shared" si="376"/>
        <v/>
      </c>
      <c r="BH541" s="129">
        <f t="shared" si="377"/>
        <v/>
      </c>
      <c r="BI541" s="129">
        <f t="shared" si="378"/>
        <v/>
      </c>
      <c r="BJ541" s="129">
        <f t="shared" si="379"/>
        <v/>
      </c>
      <c r="BK541" s="129">
        <f>IF(R541="","",IF(OR(BY541="",BY541=0),"BOX",IFERROR(IF(VLOOKUP(BY541,УГО_блоки,3,FALSE)&amp;""&lt;&gt;"",VLOOKUP(BY541,УГО_блоки,3,FALSE),VLOOKUP(BY541,УГО_блоки,2,FALSE)),BY541)))</f>
      </c>
      <c r="BL541" s="129">
        <f t="shared" si="381"/>
      </c>
      <c r="BM541" s="129">
        <f>IF(H541="","",IF(COUNTIF($H$3:H541,H541)=1,MAX($BM$2:BM540)+1,""))</f>
      </c>
      <c r="BN541" s="129">
        <f>IF(I541="","",IF(COUNTIF($I$3:I541,I541)+COUNTIF($J$2:J540,I541)+COUNTIF($K$2:K540,I541)=1,MAX($BN$2:BP540)+1,""))</f>
      </c>
      <c r="BO541" s="129">
        <f>IF(J541="","",IF(COUNTIF($I$3:I541,J541)+COUNTIF($J$3:J541,J541)+COUNTIF($K$2:K540,J541)=1,MAX($BN$2:BP540,BN541)+1,""))</f>
      </c>
      <c r="BP541" s="129">
        <f>IF(K541="","",IF(COUNTIF($I$3:I541,K541)+COUNTIF($J$3:J541,K541)+COUNTIF($K$3:K541,K541)=1,MAX($BN$2:BP540,BN541,BO541)+1,""))</f>
      </c>
      <c r="BQ541" s="129">
        <f>IF(AY541=1,IFERROR(MID(Q541,FIND(" (",Q541)+2,FIND(")",Q541,FIND(" (",Q541))-FIND(" (",Q541)-2),"?"),"")</f>
      </c>
      <c r="BR541" s="129">
        <f>IF(BQ541="","",IF(COUNTIF($BQ$3:BQ541,BQ541)=1,MAX($BR$2:BR540)+1,""))</f>
      </c>
      <c r="BS541" s="129">
        <f>IF(AW541="","",COUNTIF($AW$3:AW541,"?*"))</f>
      </c>
      <c r="BT541" s="129">
        <f>IF(OR(AW541="",AI541=""),"",IF(COUNTIFS($AW$3:AW541,"?*",$AI$3:AI541,AI541)=1,MAX($BT$2:BT540)+1,""))</f>
      </c>
      <c r="BU541" s="129">
        <f>IF(AE541="",0,IF(OR(ISNUMBER(SEARCH("дубль",AE541)),ISNUMBER(SEARCH("ПЕРЕГРУЗ",AE541)),ISNUMBER(SEARCH("ЗАЩИЩ",AE541)),ISNUMBER(SEARCH("КАНАЛ",AE541)),ISNUMBER(SEARCH("без 30",AE541))),2,1))</f>
      </c>
      <c r="BV541" s="129">
        <f>IF(R541="","",COUNTIF($R$3:R541,"?*"))</f>
      </c>
      <c r="BW541" s="129">
        <f>IF(AY541&lt;&gt;1,0,IF(MAX(IFERROR(--VLOOKUP(R541,УГО_спр,5,FALSE),0),IFERROR(--VLOOKUP(AL541,УГО_спр,5,FALSE),0),IFERROR(--VLOOKUP(LEFT(AL541,2),УГО_спр,5,FALSE),0))&gt;0,MAX(IFERROR(--VLOOKUP(R541,УГО_спр,5,FALSE),0),IFERROR(--VLOOKUP(AL541,УГО_спр,5,FALSE),0),IFERROR(--VLOOKUP(LEFT(AL541,2),УГО_спр,5,FALSE),0)),IF(IFERROR(--LEFT(SUBSTITUTE(BQ541,"x","х"),FIND("х",SUBSTITUTE(BQ541,"x","х"))-1),3)&gt;3,Каталог!$S$9,1)))</f>
      </c>
      <c r="BX541" s="129">
        <f>IF(AY541&lt;&gt;1,0,MAX(0,IFERROR(--LEFT(SUBSTITUTE(BQ541,"x","х"),FIND("х",SUBSTITUTE(BQ541,"x","х"))-1),3)-3*BW541))</f>
      </c>
      <c r="BY541" s="129">
        <f>IF(R541="","",IFERROR(VLOOKUP(R541,УГО_спр,2,FALSE),IFERROR(VLOOKUP(AL541,УГО_спр,2,FALSE),IFERROR(VLOOKUP(LEFT(AL541,2),УГО_спр,2,FALSE),""))))</f>
      </c>
    </row>
    <row r="542" spans="1:64" x14ac:dyDescent="0.3">
      <c r="A542" s="135">
        <f>IF(Разбивка_по_щитам!F542=0,"",Разбивка_по_щитам!F542)</f>
        <v/>
      </c>
      <c r="B542" s="138">
        <f>IF(A542="","",Разбивка_по_щитам!C542)</f>
        <v/>
      </c>
      <c r="C542" s="138">
        <f t="shared" si="342"/>
        <v/>
      </c>
      <c r="D542" s="266"/>
      <c r="E542" s="266"/>
      <c r="F542" s="267"/>
      <c r="G542" s="145">
        <f t="shared" si="343"/>
        <v/>
      </c>
      <c r="H542" s="145">
        <f t="shared" si="344"/>
        <v/>
      </c>
      <c r="I542" s="266"/>
      <c r="J542" s="267"/>
      <c r="K542" s="267"/>
      <c r="L542" s="266"/>
      <c r="M542" s="147">
        <f t="shared" si="345"/>
        <v/>
      </c>
      <c r="N542" s="267"/>
      <c r="O542" s="147">
        <f t="shared" si="346"/>
        <v/>
      </c>
      <c r="P542" s="268">
        <f>IF(AY542=1,"XT"&amp;COUNTIFS($A$3:A542,A542,$AY$3:AY542,1),"")</f>
        <v/>
      </c>
      <c r="Q542" s="152">
        <f>IF(R542="","",IFERROR(SUBSTITUTE(Разбивка_по_щитам!P542,CHAR(10)," "),""))</f>
        <v/>
      </c>
      <c r="R542" s="153">
        <f>IF(OR(Разбивка_по_щитам!H542="",Разбивка_по_щитам!H542=0),"",Разбивка_по_щитам!H542)</f>
        <v/>
      </c>
      <c r="S542" s="154">
        <f>IF(R542="","",IFERROR(Разбивка_по_щитам!J542&amp;"",""))</f>
        <v/>
      </c>
      <c r="T542" s="155">
        <f>IF(R542="","",IFERROR(--Разбивка_по_щитам!L542,""))</f>
        <v/>
      </c>
      <c r="U542" s="155">
        <f>IF(R542="","",IFERROR(--Разбивка_по_щитам!K542,""))</f>
        <v/>
      </c>
      <c r="V542" s="138">
        <f>IF(R542="","",IFERROR(IF(Разбивка_по_щитам!M542=0,"",Разбивка_по_щитам!M542),""))</f>
        <v/>
      </c>
      <c r="W542" s="156">
        <f t="shared" si="347"/>
        <v/>
      </c>
      <c r="X542" s="157">
        <f t="shared" si="348"/>
        <v/>
      </c>
      <c r="Y542" s="266"/>
      <c r="Z542" s="158">
        <f t="shared" si="349"/>
        <v/>
      </c>
      <c r="AA542" s="160">
        <f t="shared" si="350"/>
        <v/>
      </c>
      <c r="AB542" s="160">
        <f>IF(R542="","",IFERROR(LOOKUP(INDEX(Справочная!$I$4:$I$19,MATCH(VLOOKUP(R542,Исходные_данные,22,FALSE),Справочная!$J$4:$J$19,0)+1),{6,10,16,20,25,32,40,50,63,80,100,125}),""))</f>
        <v/>
      </c>
      <c r="AC542" s="160">
        <f t="shared" si="351"/>
        <v/>
      </c>
      <c r="AD542" s="161">
        <f t="shared" si="352"/>
        <v/>
      </c>
      <c r="AE542" s="161">
        <f>IF(AND(R542="",G542=""),"",_xlfn.TEXTJOIN("; ",TRUE,IF(AND(R542&lt;&gt;"",V542=""),"нет фазы",""),IF(AND(R542&lt;&gt;"",N(T542)=0),"нет мощности",""),IF(AND(P542&lt;&gt;"",COUNTIFS($A$3:$A$1000,A542,$P$3:$P$1000,P542)&gt;1),"дубль клеммы "&amp;P542,""),IF(AND(W542&lt;&gt;"",W542&lt;&gt;"ok"),W542,""),IF(X542&lt;&gt;"",X542,""),IF(AND(ISNUMBER(SEARCH("(5х",Q542)),N(AK542)=1),"5 жил на 1 фазе",""),IF(AND(AL542="R",E542&lt;&gt;"",N(AS542)=0),"розетка без 30 мА",""),IF(IFERROR(_xlfn.NUMBERVALUE(MID(Q542,FIND("-",Q542,FIND("L=",Q542))+1,FIND("%",Q542)-FIND("-",Q542,FIND("L=",Q542))-1),","),0)&gt;4,"потери &gt; 4 %","")))</f>
      </c>
      <c r="AF542" s="129">
        <f>IF(E542&lt;&gt;"",COUNTIFS($A$3:A542,A542,$E$3:E542,"?*"),IF(OR(A542&lt;&gt;A541,Y542="вручную"),"",AF541))</f>
        <v/>
      </c>
      <c r="AG542" s="129">
        <f t="shared" si="353"/>
        <v/>
      </c>
      <c r="AH542" s="129">
        <f t="shared" si="354"/>
        <v/>
      </c>
      <c r="AI542" s="129">
        <f t="shared" si="355"/>
        <v/>
      </c>
      <c r="AJ542" s="129">
        <f t="shared" si="356"/>
        <v/>
      </c>
      <c r="AK542" s="129">
        <f t="shared" si="357"/>
        <v/>
      </c>
      <c r="AL542" s="129">
        <f t="shared" si="358"/>
        <v/>
      </c>
      <c r="AM542" s="129">
        <f t="shared" si="359"/>
      </c>
      <c r="AN542" s="129">
        <f t="shared" si="360"/>
      </c>
      <c r="AO542" s="129">
        <f t="shared" si="361"/>
        <v/>
      </c>
      <c r="AP542" s="129">
        <f t="shared" si="362"/>
        <v/>
      </c>
      <c r="AQ542" s="129">
        <f t="shared" si="363"/>
        <v/>
      </c>
      <c r="AR542" s="129">
        <f t="shared" si="364"/>
        <v/>
      </c>
      <c r="AS542" s="129">
        <f t="shared" si="365"/>
        <v/>
      </c>
      <c r="AT542" s="129">
        <f t="shared" si="366"/>
        <v/>
      </c>
      <c r="AU542" s="129">
        <f t="shared" si="367"/>
        <v/>
      </c>
      <c r="AV542" s="129">
        <f t="shared" si="368"/>
        <v/>
      </c>
      <c r="AW542" s="129">
        <f>IF(AV542="","",AV542&amp;"."&amp;COUNTIFS($A$3:A542,A542,$AV$3:AV542,AV542))</f>
        <v/>
      </c>
      <c r="AX542" s="129">
        <f t="shared" si="369"/>
        <v/>
      </c>
      <c r="AY542" s="129">
        <f>IF(N542="б/к",0,IF(OR(ISNUMBER(SEARCH("L=",Разбивка_по_щитам!P542)),N542="+",N542="="),1,0))</f>
      </c>
      <c r="AZ542" s="129">
        <f t="shared" si="370"/>
        <v/>
      </c>
      <c r="BA542" s="129">
        <f t="shared" si="371"/>
      </c>
      <c r="BB542" s="129">
        <f t="shared" si="372"/>
      </c>
      <c r="BD542" s="129">
        <f t="shared" si="373"/>
      </c>
      <c r="BE542" s="129">
        <f t="shared" si="374"/>
      </c>
      <c r="BF542" s="129">
        <f t="shared" si="375"/>
      </c>
      <c r="BG542" s="129">
        <f t="shared" si="376"/>
        <v/>
      </c>
      <c r="BH542" s="129">
        <f t="shared" si="377"/>
        <v/>
      </c>
      <c r="BI542" s="129">
        <f t="shared" si="378"/>
        <v/>
      </c>
      <c r="BJ542" s="129">
        <f t="shared" si="379"/>
        <v/>
      </c>
      <c r="BK542" s="129">
        <f>IF(R542="","",IF(OR(BY542="",BY542=0),"BOX",IFERROR(IF(VLOOKUP(BY542,УГО_блоки,3,FALSE)&amp;""&lt;&gt;"",VLOOKUP(BY542,УГО_блоки,3,FALSE),VLOOKUP(BY542,УГО_блоки,2,FALSE)),BY542)))</f>
      </c>
      <c r="BL542" s="129">
        <f t="shared" si="381"/>
      </c>
      <c r="BM542" s="129">
        <f>IF(H542="","",IF(COUNTIF($H$3:H542,H542)=1,MAX($BM$2:BM541)+1,""))</f>
      </c>
      <c r="BN542" s="129">
        <f>IF(I542="","",IF(COUNTIF($I$3:I542,I542)+COUNTIF($J$2:J541,I542)+COUNTIF($K$2:K541,I542)=1,MAX($BN$2:BP541)+1,""))</f>
      </c>
      <c r="BO542" s="129">
        <f>IF(J542="","",IF(COUNTIF($I$3:I542,J542)+COUNTIF($J$3:J542,J542)+COUNTIF($K$2:K541,J542)=1,MAX($BN$2:BP541,BN542)+1,""))</f>
      </c>
      <c r="BP542" s="129">
        <f>IF(K542="","",IF(COUNTIF($I$3:I542,K542)+COUNTIF($J$3:J542,K542)+COUNTIF($K$3:K542,K542)=1,MAX($BN$2:BP541,BN542,BO542)+1,""))</f>
      </c>
      <c r="BQ542" s="129">
        <f>IF(AY542=1,IFERROR(MID(Q542,FIND(" (",Q542)+2,FIND(")",Q542,FIND(" (",Q542))-FIND(" (",Q542)-2),"?"),"")</f>
      </c>
      <c r="BR542" s="129">
        <f>IF(BQ542="","",IF(COUNTIF($BQ$3:BQ542,BQ542)=1,MAX($BR$2:BR541)+1,""))</f>
      </c>
      <c r="BS542" s="129">
        <f>IF(AW542="","",COUNTIF($AW$3:AW542,"?*"))</f>
      </c>
      <c r="BT542" s="129">
        <f>IF(OR(AW542="",AI542=""),"",IF(COUNTIFS($AW$3:AW542,"?*",$AI$3:AI542,AI542)=1,MAX($BT$2:BT541)+1,""))</f>
      </c>
      <c r="BU542" s="129">
        <f>IF(AE542="",0,IF(OR(ISNUMBER(SEARCH("дубль",AE542)),ISNUMBER(SEARCH("ПЕРЕГРУЗ",AE542)),ISNUMBER(SEARCH("ЗАЩИЩ",AE542)),ISNUMBER(SEARCH("КАНАЛ",AE542)),ISNUMBER(SEARCH("без 30",AE542))),2,1))</f>
      </c>
      <c r="BV542" s="129">
        <f>IF(R542="","",COUNTIF($R$3:R542,"?*"))</f>
      </c>
      <c r="BW542" s="129">
        <f>IF(AY542&lt;&gt;1,0,IF(MAX(IFERROR(--VLOOKUP(R542,УГО_спр,5,FALSE),0),IFERROR(--VLOOKUP(AL542,УГО_спр,5,FALSE),0),IFERROR(--VLOOKUP(LEFT(AL542,2),УГО_спр,5,FALSE),0))&gt;0,MAX(IFERROR(--VLOOKUP(R542,УГО_спр,5,FALSE),0),IFERROR(--VLOOKUP(AL542,УГО_спр,5,FALSE),0),IFERROR(--VLOOKUP(LEFT(AL542,2),УГО_спр,5,FALSE),0)),IF(IFERROR(--LEFT(SUBSTITUTE(BQ542,"x","х"),FIND("х",SUBSTITUTE(BQ542,"x","х"))-1),3)&gt;3,Каталог!$S$9,1)))</f>
      </c>
      <c r="BX542" s="129">
        <f>IF(AY542&lt;&gt;1,0,MAX(0,IFERROR(--LEFT(SUBSTITUTE(BQ542,"x","х"),FIND("х",SUBSTITUTE(BQ542,"x","х"))-1),3)-3*BW542))</f>
      </c>
      <c r="BY542" s="129">
        <f>IF(R542="","",IFERROR(VLOOKUP(R542,УГО_спр,2,FALSE),IFERROR(VLOOKUP(AL542,УГО_спр,2,FALSE),IFERROR(VLOOKUP(LEFT(AL542,2),УГО_спр,2,FALSE),""))))</f>
      </c>
    </row>
    <row r="543" spans="1:64" x14ac:dyDescent="0.3">
      <c r="A543" s="135">
        <f>IF(Разбивка_по_щитам!F543=0,"",Разбивка_по_щитам!F543)</f>
        <v/>
      </c>
      <c r="B543" s="138">
        <f>IF(A543="","",Разбивка_по_щитам!C543)</f>
        <v/>
      </c>
      <c r="C543" s="138">
        <f t="shared" si="342"/>
        <v/>
      </c>
      <c r="D543" s="266"/>
      <c r="E543" s="266"/>
      <c r="F543" s="267"/>
      <c r="G543" s="145">
        <f t="shared" si="343"/>
        <v/>
      </c>
      <c r="H543" s="145">
        <f t="shared" si="344"/>
        <v/>
      </c>
      <c r="I543" s="266"/>
      <c r="J543" s="267"/>
      <c r="K543" s="267"/>
      <c r="L543" s="266"/>
      <c r="M543" s="147">
        <f t="shared" si="345"/>
        <v/>
      </c>
      <c r="N543" s="267"/>
      <c r="O543" s="147">
        <f t="shared" si="346"/>
        <v/>
      </c>
      <c r="P543" s="268">
        <f>IF(AY543=1,"XT"&amp;COUNTIFS($A$3:A543,A543,$AY$3:AY543,1),"")</f>
        <v/>
      </c>
      <c r="Q543" s="152">
        <f>IF(R543="","",IFERROR(SUBSTITUTE(Разбивка_по_щитам!P543,CHAR(10)," "),""))</f>
        <v/>
      </c>
      <c r="R543" s="153">
        <f>IF(OR(Разбивка_по_щитам!H543="",Разбивка_по_щитам!H543=0),"",Разбивка_по_щитам!H543)</f>
        <v/>
      </c>
      <c r="S543" s="154">
        <f>IF(R543="","",IFERROR(Разбивка_по_щитам!J543&amp;"",""))</f>
        <v/>
      </c>
      <c r="T543" s="155">
        <f>IF(R543="","",IFERROR(--Разбивка_по_щитам!L543,""))</f>
        <v/>
      </c>
      <c r="U543" s="155">
        <f>IF(R543="","",IFERROR(--Разбивка_по_щитам!K543,""))</f>
        <v/>
      </c>
      <c r="V543" s="138">
        <f>IF(R543="","",IFERROR(IF(Разбивка_по_щитам!M543=0,"",Разбивка_по_щитам!M543),""))</f>
        <v/>
      </c>
      <c r="W543" s="156">
        <f t="shared" si="347"/>
        <v/>
      </c>
      <c r="X543" s="157">
        <f t="shared" si="348"/>
        <v/>
      </c>
      <c r="Y543" s="266"/>
      <c r="Z543" s="158">
        <f t="shared" si="349"/>
        <v/>
      </c>
      <c r="AA543" s="160">
        <f t="shared" si="350"/>
        <v/>
      </c>
      <c r="AB543" s="160">
        <f>IF(R543="","",IFERROR(LOOKUP(INDEX(Справочная!$I$4:$I$19,MATCH(VLOOKUP(R543,Исходные_данные,22,FALSE),Справочная!$J$4:$J$19,0)+1),{6,10,16,20,25,32,40,50,63,80,100,125}),""))</f>
        <v/>
      </c>
      <c r="AC543" s="160">
        <f t="shared" si="351"/>
        <v/>
      </c>
      <c r="AD543" s="161">
        <f t="shared" si="352"/>
        <v/>
      </c>
      <c r="AE543" s="161">
        <f>IF(AND(R543="",G543=""),"",_xlfn.TEXTJOIN("; ",TRUE,IF(AND(R543&lt;&gt;"",V543=""),"нет фазы",""),IF(AND(R543&lt;&gt;"",N(T543)=0),"нет мощности",""),IF(AND(P543&lt;&gt;"",COUNTIFS($A$3:$A$1000,A543,$P$3:$P$1000,P543)&gt;1),"дубль клеммы "&amp;P543,""),IF(AND(W543&lt;&gt;"",W543&lt;&gt;"ok"),W543,""),IF(X543&lt;&gt;"",X543,""),IF(AND(ISNUMBER(SEARCH("(5х",Q543)),N(AK543)=1),"5 жил на 1 фазе",""),IF(AND(AL543="R",E543&lt;&gt;"",N(AS543)=0),"розетка без 30 мА",""),IF(IFERROR(_xlfn.NUMBERVALUE(MID(Q543,FIND("-",Q543,FIND("L=",Q543))+1,FIND("%",Q543)-FIND("-",Q543,FIND("L=",Q543))-1),","),0)&gt;4,"потери &gt; 4 %","")))</f>
      </c>
      <c r="AF543" s="129">
        <f>IF(E543&lt;&gt;"",COUNTIFS($A$3:A543,A543,$E$3:E543,"?*"),IF(OR(A543&lt;&gt;A542,Y543="вручную"),"",AF542))</f>
        <v/>
      </c>
      <c r="AG543" s="129">
        <f t="shared" si="353"/>
        <v/>
      </c>
      <c r="AH543" s="129">
        <f t="shared" si="354"/>
        <v/>
      </c>
      <c r="AI543" s="129">
        <f t="shared" si="355"/>
        <v/>
      </c>
      <c r="AJ543" s="129">
        <f t="shared" si="356"/>
        <v/>
      </c>
      <c r="AK543" s="129">
        <f t="shared" si="357"/>
        <v/>
      </c>
      <c r="AL543" s="129">
        <f t="shared" si="358"/>
        <v/>
      </c>
      <c r="AM543" s="129">
        <f t="shared" si="359"/>
      </c>
      <c r="AN543" s="129">
        <f t="shared" si="360"/>
      </c>
      <c r="AO543" s="129">
        <f t="shared" si="361"/>
        <v/>
      </c>
      <c r="AP543" s="129">
        <f t="shared" si="362"/>
        <v/>
      </c>
      <c r="AQ543" s="129">
        <f t="shared" si="363"/>
        <v/>
      </c>
      <c r="AR543" s="129">
        <f t="shared" si="364"/>
        <v/>
      </c>
      <c r="AS543" s="129">
        <f t="shared" si="365"/>
        <v/>
      </c>
      <c r="AT543" s="129">
        <f t="shared" si="366"/>
        <v/>
      </c>
      <c r="AU543" s="129">
        <f t="shared" si="367"/>
        <v/>
      </c>
      <c r="AV543" s="129">
        <f t="shared" si="368"/>
        <v/>
      </c>
      <c r="AW543" s="129">
        <f>IF(AV543="","",AV543&amp;"."&amp;COUNTIFS($A$3:A543,A543,$AV$3:AV543,AV543))</f>
        <v/>
      </c>
      <c r="AX543" s="129">
        <f t="shared" si="369"/>
        <v/>
      </c>
      <c r="AY543" s="129">
        <f>IF(N543="б/к",0,IF(OR(ISNUMBER(SEARCH("L=",Разбивка_по_щитам!P543)),N543="+",N543="="),1,0))</f>
      </c>
      <c r="AZ543" s="129">
        <f t="shared" si="370"/>
        <v/>
      </c>
      <c r="BA543" s="129">
        <f t="shared" si="371"/>
      </c>
      <c r="BB543" s="129">
        <f t="shared" si="372"/>
      </c>
      <c r="BD543" s="129">
        <f t="shared" si="373"/>
      </c>
      <c r="BE543" s="129">
        <f t="shared" si="374"/>
      </c>
      <c r="BF543" s="129">
        <f t="shared" si="375"/>
      </c>
      <c r="BG543" s="129">
        <f t="shared" si="376"/>
        <v/>
      </c>
      <c r="BH543" s="129">
        <f t="shared" si="377"/>
        <v/>
      </c>
      <c r="BI543" s="129">
        <f t="shared" si="378"/>
        <v/>
      </c>
      <c r="BJ543" s="129">
        <f t="shared" si="379"/>
        <v/>
      </c>
      <c r="BK543" s="129">
        <f>IF(R543="","",IF(OR(BY543="",BY543=0),"BOX",IFERROR(IF(VLOOKUP(BY543,УГО_блоки,3,FALSE)&amp;""&lt;&gt;"",VLOOKUP(BY543,УГО_блоки,3,FALSE),VLOOKUP(BY543,УГО_блоки,2,FALSE)),BY543)))</f>
      </c>
      <c r="BL543" s="129">
        <f t="shared" si="381"/>
      </c>
      <c r="BM543" s="129">
        <f>IF(H543="","",IF(COUNTIF($H$3:H543,H543)=1,MAX($BM$2:BM542)+1,""))</f>
      </c>
      <c r="BN543" s="129">
        <f>IF(I543="","",IF(COUNTIF($I$3:I543,I543)+COUNTIF($J$2:J542,I543)+COUNTIF($K$2:K542,I543)=1,MAX($BN$2:BP542)+1,""))</f>
      </c>
      <c r="BO543" s="129">
        <f>IF(J543="","",IF(COUNTIF($I$3:I543,J543)+COUNTIF($J$3:J543,J543)+COUNTIF($K$2:K542,J543)=1,MAX($BN$2:BP542,BN543)+1,""))</f>
      </c>
      <c r="BP543" s="129">
        <f>IF(K543="","",IF(COUNTIF($I$3:I543,K543)+COUNTIF($J$3:J543,K543)+COUNTIF($K$3:K543,K543)=1,MAX($BN$2:BP542,BN543,BO543)+1,""))</f>
      </c>
      <c r="BQ543" s="129">
        <f>IF(AY543=1,IFERROR(MID(Q543,FIND(" (",Q543)+2,FIND(")",Q543,FIND(" (",Q543))-FIND(" (",Q543)-2),"?"),"")</f>
      </c>
      <c r="BR543" s="129">
        <f>IF(BQ543="","",IF(COUNTIF($BQ$3:BQ543,BQ543)=1,MAX($BR$2:BR542)+1,""))</f>
      </c>
      <c r="BS543" s="129">
        <f>IF(AW543="","",COUNTIF($AW$3:AW543,"?*"))</f>
      </c>
      <c r="BT543" s="129">
        <f>IF(OR(AW543="",AI543=""),"",IF(COUNTIFS($AW$3:AW543,"?*",$AI$3:AI543,AI543)=1,MAX($BT$2:BT542)+1,""))</f>
      </c>
      <c r="BU543" s="129">
        <f>IF(AE543="",0,IF(OR(ISNUMBER(SEARCH("дубль",AE543)),ISNUMBER(SEARCH("ПЕРЕГРУЗ",AE543)),ISNUMBER(SEARCH("ЗАЩИЩ",AE543)),ISNUMBER(SEARCH("КАНАЛ",AE543)),ISNUMBER(SEARCH("без 30",AE543))),2,1))</f>
      </c>
      <c r="BV543" s="129">
        <f>IF(R543="","",COUNTIF($R$3:R543,"?*"))</f>
      </c>
      <c r="BW543" s="129">
        <f>IF(AY543&lt;&gt;1,0,IF(MAX(IFERROR(--VLOOKUP(R543,УГО_спр,5,FALSE),0),IFERROR(--VLOOKUP(AL543,УГО_спр,5,FALSE),0),IFERROR(--VLOOKUP(LEFT(AL543,2),УГО_спр,5,FALSE),0))&gt;0,MAX(IFERROR(--VLOOKUP(R543,УГО_спр,5,FALSE),0),IFERROR(--VLOOKUP(AL543,УГО_спр,5,FALSE),0),IFERROR(--VLOOKUP(LEFT(AL543,2),УГО_спр,5,FALSE),0)),IF(IFERROR(--LEFT(SUBSTITUTE(BQ543,"x","х"),FIND("х",SUBSTITUTE(BQ543,"x","х"))-1),3)&gt;3,Каталог!$S$9,1)))</f>
      </c>
      <c r="BX543" s="129">
        <f>IF(AY543&lt;&gt;1,0,MAX(0,IFERROR(--LEFT(SUBSTITUTE(BQ543,"x","х"),FIND("х",SUBSTITUTE(BQ543,"x","х"))-1),3)-3*BW543))</f>
      </c>
      <c r="BY543" s="129">
        <f>IF(R543="","",IFERROR(VLOOKUP(R543,УГО_спр,2,FALSE),IFERROR(VLOOKUP(AL543,УГО_спр,2,FALSE),IFERROR(VLOOKUP(LEFT(AL543,2),УГО_спр,2,FALSE),""))))</f>
      </c>
    </row>
    <row r="544" spans="1:64" x14ac:dyDescent="0.3">
      <c r="A544" s="135">
        <f>IF(Разбивка_по_щитам!F544=0,"",Разбивка_по_щитам!F544)</f>
        <v/>
      </c>
      <c r="B544" s="138">
        <f>IF(A544="","",Разбивка_по_щитам!C544)</f>
        <v/>
      </c>
      <c r="C544" s="138">
        <f t="shared" si="342"/>
        <v/>
      </c>
      <c r="D544" s="266"/>
      <c r="E544" s="266"/>
      <c r="F544" s="267"/>
      <c r="G544" s="145">
        <f t="shared" si="343"/>
        <v/>
      </c>
      <c r="H544" s="145">
        <f t="shared" si="344"/>
        <v/>
      </c>
      <c r="I544" s="266"/>
      <c r="J544" s="267"/>
      <c r="K544" s="267"/>
      <c r="L544" s="266"/>
      <c r="M544" s="147">
        <f t="shared" si="345"/>
        <v/>
      </c>
      <c r="N544" s="267"/>
      <c r="O544" s="147">
        <f t="shared" si="346"/>
        <v/>
      </c>
      <c r="P544" s="268">
        <f>IF(AY544=1,"XT"&amp;COUNTIFS($A$3:A544,A544,$AY$3:AY544,1),"")</f>
        <v/>
      </c>
      <c r="Q544" s="152">
        <f>IF(R544="","",IFERROR(SUBSTITUTE(Разбивка_по_щитам!P544,CHAR(10)," "),""))</f>
        <v/>
      </c>
      <c r="R544" s="153">
        <f>IF(OR(Разбивка_по_щитам!H544="",Разбивка_по_щитам!H544=0),"",Разбивка_по_щитам!H544)</f>
        <v/>
      </c>
      <c r="S544" s="154">
        <f>IF(R544="","",IFERROR(Разбивка_по_щитам!J544&amp;"",""))</f>
        <v/>
      </c>
      <c r="T544" s="155">
        <f>IF(R544="","",IFERROR(--Разбивка_по_щитам!L544,""))</f>
        <v/>
      </c>
      <c r="U544" s="155">
        <f>IF(R544="","",IFERROR(--Разбивка_по_щитам!K544,""))</f>
        <v/>
      </c>
      <c r="V544" s="138">
        <f>IF(R544="","",IFERROR(IF(Разбивка_по_щитам!M544=0,"",Разбивка_по_щитам!M544),""))</f>
        <v/>
      </c>
      <c r="W544" s="156">
        <f t="shared" si="347"/>
        <v/>
      </c>
      <c r="X544" s="157">
        <f t="shared" si="348"/>
        <v/>
      </c>
      <c r="Y544" s="266"/>
      <c r="Z544" s="158">
        <f t="shared" si="349"/>
        <v/>
      </c>
      <c r="AA544" s="160">
        <f t="shared" si="350"/>
        <v/>
      </c>
      <c r="AB544" s="160">
        <f>IF(R544="","",IFERROR(LOOKUP(INDEX(Справочная!$I$4:$I$19,MATCH(VLOOKUP(R544,Исходные_данные,22,FALSE),Справочная!$J$4:$J$19,0)+1),{6,10,16,20,25,32,40,50,63,80,100,125}),""))</f>
        <v/>
      </c>
      <c r="AC544" s="160">
        <f t="shared" si="351"/>
        <v/>
      </c>
      <c r="AD544" s="161">
        <f t="shared" si="352"/>
        <v/>
      </c>
      <c r="AE544" s="161">
        <f>IF(AND(R544="",G544=""),"",_xlfn.TEXTJOIN("; ",TRUE,IF(AND(R544&lt;&gt;"",V544=""),"нет фазы",""),IF(AND(R544&lt;&gt;"",N(T544)=0),"нет мощности",""),IF(AND(P544&lt;&gt;"",COUNTIFS($A$3:$A$1000,A544,$P$3:$P$1000,P544)&gt;1),"дубль клеммы "&amp;P544,""),IF(AND(W544&lt;&gt;"",W544&lt;&gt;"ok"),W544,""),IF(X544&lt;&gt;"",X544,""),IF(AND(ISNUMBER(SEARCH("(5х",Q544)),N(AK544)=1),"5 жил на 1 фазе",""),IF(AND(AL544="R",E544&lt;&gt;"",N(AS544)=0),"розетка без 30 мА",""),IF(IFERROR(_xlfn.NUMBERVALUE(MID(Q544,FIND("-",Q544,FIND("L=",Q544))+1,FIND("%",Q544)-FIND("-",Q544,FIND("L=",Q544))-1),","),0)&gt;4,"потери &gt; 4 %","")))</f>
      </c>
      <c r="AF544" s="129">
        <f>IF(E544&lt;&gt;"",COUNTIFS($A$3:A544,A544,$E$3:E544,"?*"),IF(OR(A544&lt;&gt;A543,Y544="вручную"),"",AF543))</f>
        <v/>
      </c>
      <c r="AG544" s="129">
        <f t="shared" si="353"/>
        <v/>
      </c>
      <c r="AH544" s="129">
        <f t="shared" si="354"/>
        <v/>
      </c>
      <c r="AI544" s="129">
        <f t="shared" si="355"/>
        <v/>
      </c>
      <c r="AJ544" s="129">
        <f t="shared" si="356"/>
        <v/>
      </c>
      <c r="AK544" s="129">
        <f t="shared" si="357"/>
        <v/>
      </c>
      <c r="AL544" s="129">
        <f t="shared" si="358"/>
        <v/>
      </c>
      <c r="AM544" s="129">
        <f t="shared" si="359"/>
      </c>
      <c r="AN544" s="129">
        <f t="shared" si="360"/>
      </c>
      <c r="AO544" s="129">
        <f t="shared" si="361"/>
        <v/>
      </c>
      <c r="AP544" s="129">
        <f t="shared" si="362"/>
        <v/>
      </c>
      <c r="AQ544" s="129">
        <f t="shared" si="363"/>
        <v/>
      </c>
      <c r="AR544" s="129">
        <f t="shared" si="364"/>
        <v/>
      </c>
      <c r="AS544" s="129">
        <f t="shared" si="365"/>
        <v/>
      </c>
      <c r="AT544" s="129">
        <f t="shared" si="366"/>
        <v/>
      </c>
      <c r="AU544" s="129">
        <f t="shared" si="367"/>
        <v/>
      </c>
      <c r="AV544" s="129">
        <f t="shared" si="368"/>
        <v/>
      </c>
      <c r="AW544" s="129">
        <f>IF(AV544="","",AV544&amp;"."&amp;COUNTIFS($A$3:A544,A544,$AV$3:AV544,AV544))</f>
        <v/>
      </c>
      <c r="AX544" s="129">
        <f t="shared" si="369"/>
        <v/>
      </c>
      <c r="AY544" s="129">
        <f>IF(N544="б/к",0,IF(OR(ISNUMBER(SEARCH("L=",Разбивка_по_щитам!P544)),N544="+",N544="="),1,0))</f>
      </c>
      <c r="AZ544" s="129">
        <f t="shared" si="370"/>
        <v/>
      </c>
      <c r="BA544" s="129">
        <f t="shared" si="371"/>
      </c>
      <c r="BB544" s="129">
        <f t="shared" si="372"/>
      </c>
      <c r="BD544" s="129">
        <f t="shared" si="373"/>
      </c>
      <c r="BE544" s="129">
        <f t="shared" si="374"/>
      </c>
      <c r="BF544" s="129">
        <f t="shared" si="375"/>
      </c>
      <c r="BG544" s="129">
        <f t="shared" si="376"/>
        <v/>
      </c>
      <c r="BH544" s="129">
        <f t="shared" si="377"/>
        <v/>
      </c>
      <c r="BI544" s="129">
        <f t="shared" si="378"/>
        <v/>
      </c>
      <c r="BJ544" s="129">
        <f t="shared" si="379"/>
        <v/>
      </c>
      <c r="BK544" s="129">
        <f>IF(R544="","",IF(OR(BY544="",BY544=0),"BOX",IFERROR(IF(VLOOKUP(BY544,УГО_блоки,3,FALSE)&amp;""&lt;&gt;"",VLOOKUP(BY544,УГО_блоки,3,FALSE),VLOOKUP(BY544,УГО_блоки,2,FALSE)),BY544)))</f>
      </c>
      <c r="BL544" s="129">
        <f t="shared" si="381"/>
      </c>
      <c r="BM544" s="129">
        <f>IF(H544="","",IF(COUNTIF($H$3:H544,H544)=1,MAX($BM$2:BM543)+1,""))</f>
      </c>
      <c r="BN544" s="129">
        <f>IF(I544="","",IF(COUNTIF($I$3:I544,I544)+COUNTIF($J$2:J543,I544)+COUNTIF($K$2:K543,I544)=1,MAX($BN$2:BP543)+1,""))</f>
      </c>
      <c r="BO544" s="129">
        <f>IF(J544="","",IF(COUNTIF($I$3:I544,J544)+COUNTIF($J$3:J544,J544)+COUNTIF($K$2:K543,J544)=1,MAX($BN$2:BP543,BN544)+1,""))</f>
      </c>
      <c r="BP544" s="129">
        <f>IF(K544="","",IF(COUNTIF($I$3:I544,K544)+COUNTIF($J$3:J544,K544)+COUNTIF($K$3:K544,K544)=1,MAX($BN$2:BP543,BN544,BO544)+1,""))</f>
      </c>
      <c r="BQ544" s="129">
        <f>IF(AY544=1,IFERROR(MID(Q544,FIND(" (",Q544)+2,FIND(")",Q544,FIND(" (",Q544))-FIND(" (",Q544)-2),"?"),"")</f>
      </c>
      <c r="BR544" s="129">
        <f>IF(BQ544="","",IF(COUNTIF($BQ$3:BQ544,BQ544)=1,MAX($BR$2:BR543)+1,""))</f>
      </c>
      <c r="BS544" s="129">
        <f>IF(AW544="","",COUNTIF($AW$3:AW544,"?*"))</f>
      </c>
      <c r="BT544" s="129">
        <f>IF(OR(AW544="",AI544=""),"",IF(COUNTIFS($AW$3:AW544,"?*",$AI$3:AI544,AI544)=1,MAX($BT$2:BT543)+1,""))</f>
      </c>
      <c r="BU544" s="129">
        <f>IF(AE544="",0,IF(OR(ISNUMBER(SEARCH("дубль",AE544)),ISNUMBER(SEARCH("ПЕРЕГРУЗ",AE544)),ISNUMBER(SEARCH("ЗАЩИЩ",AE544)),ISNUMBER(SEARCH("КАНАЛ",AE544)),ISNUMBER(SEARCH("без 30",AE544))),2,1))</f>
      </c>
      <c r="BV544" s="129">
        <f>IF(R544="","",COUNTIF($R$3:R544,"?*"))</f>
      </c>
      <c r="BW544" s="129">
        <f>IF(AY544&lt;&gt;1,0,IF(MAX(IFERROR(--VLOOKUP(R544,УГО_спр,5,FALSE),0),IFERROR(--VLOOKUP(AL544,УГО_спр,5,FALSE),0),IFERROR(--VLOOKUP(LEFT(AL544,2),УГО_спр,5,FALSE),0))&gt;0,MAX(IFERROR(--VLOOKUP(R544,УГО_спр,5,FALSE),0),IFERROR(--VLOOKUP(AL544,УГО_спр,5,FALSE),0),IFERROR(--VLOOKUP(LEFT(AL544,2),УГО_спр,5,FALSE),0)),IF(IFERROR(--LEFT(SUBSTITUTE(BQ544,"x","х"),FIND("х",SUBSTITUTE(BQ544,"x","х"))-1),3)&gt;3,Каталог!$S$9,1)))</f>
      </c>
      <c r="BX544" s="129">
        <f>IF(AY544&lt;&gt;1,0,MAX(0,IFERROR(--LEFT(SUBSTITUTE(BQ544,"x","х"),FIND("х",SUBSTITUTE(BQ544,"x","х"))-1),3)-3*BW544))</f>
      </c>
      <c r="BY544" s="129">
        <f>IF(R544="","",IFERROR(VLOOKUP(R544,УГО_спр,2,FALSE),IFERROR(VLOOKUP(AL544,УГО_спр,2,FALSE),IFERROR(VLOOKUP(LEFT(AL544,2),УГО_спр,2,FALSE),""))))</f>
      </c>
    </row>
    <row r="545" spans="1:64" x14ac:dyDescent="0.3">
      <c r="A545" s="135">
        <f>IF(Разбивка_по_щитам!F545=0,"",Разбивка_по_щитам!F545)</f>
        <v/>
      </c>
      <c r="B545" s="138">
        <f>IF(A545="","",Разбивка_по_щитам!C545)</f>
        <v/>
      </c>
      <c r="C545" s="138">
        <f t="shared" si="342"/>
        <v/>
      </c>
      <c r="D545" s="266"/>
      <c r="E545" s="266"/>
      <c r="F545" s="267"/>
      <c r="G545" s="145">
        <f t="shared" si="343"/>
        <v/>
      </c>
      <c r="H545" s="145">
        <f t="shared" si="344"/>
        <v/>
      </c>
      <c r="I545" s="266"/>
      <c r="J545" s="267"/>
      <c r="K545" s="267"/>
      <c r="L545" s="266"/>
      <c r="M545" s="147">
        <f t="shared" si="345"/>
        <v/>
      </c>
      <c r="N545" s="267"/>
      <c r="O545" s="147">
        <f t="shared" si="346"/>
        <v/>
      </c>
      <c r="P545" s="268">
        <f>IF(AY545=1,"XT"&amp;COUNTIFS($A$3:A545,A545,$AY$3:AY545,1),"")</f>
        <v/>
      </c>
      <c r="Q545" s="152">
        <f>IF(R545="","",IFERROR(SUBSTITUTE(Разбивка_по_щитам!P545,CHAR(10)," "),""))</f>
        <v/>
      </c>
      <c r="R545" s="153">
        <f>IF(OR(Разбивка_по_щитам!H545="",Разбивка_по_щитам!H545=0),"",Разбивка_по_щитам!H545)</f>
        <v/>
      </c>
      <c r="S545" s="154">
        <f>IF(R545="","",IFERROR(Разбивка_по_щитам!J545&amp;"",""))</f>
        <v/>
      </c>
      <c r="T545" s="155">
        <f>IF(R545="","",IFERROR(--Разбивка_по_щитам!L545,""))</f>
        <v/>
      </c>
      <c r="U545" s="155">
        <f>IF(R545="","",IFERROR(--Разбивка_по_щитам!K545,""))</f>
        <v/>
      </c>
      <c r="V545" s="138">
        <f>IF(R545="","",IFERROR(IF(Разбивка_по_щитам!M545=0,"",Разбивка_по_щитам!M545),""))</f>
        <v/>
      </c>
      <c r="W545" s="156">
        <f t="shared" si="347"/>
        <v/>
      </c>
      <c r="X545" s="157">
        <f t="shared" si="348"/>
        <v/>
      </c>
      <c r="Y545" s="266"/>
      <c r="Z545" s="158">
        <f t="shared" si="349"/>
        <v/>
      </c>
      <c r="AA545" s="160">
        <f t="shared" si="350"/>
        <v/>
      </c>
      <c r="AB545" s="160">
        <f>IF(R545="","",IFERROR(LOOKUP(INDEX(Справочная!$I$4:$I$19,MATCH(VLOOKUP(R545,Исходные_данные,22,FALSE),Справочная!$J$4:$J$19,0)+1),{6,10,16,20,25,32,40,50,63,80,100,125}),""))</f>
        <v/>
      </c>
      <c r="AC545" s="160">
        <f t="shared" si="351"/>
        <v/>
      </c>
      <c r="AD545" s="161">
        <f t="shared" si="352"/>
        <v/>
      </c>
      <c r="AE545" s="161">
        <f>IF(AND(R545="",G545=""),"",_xlfn.TEXTJOIN("; ",TRUE,IF(AND(R545&lt;&gt;"",V545=""),"нет фазы",""),IF(AND(R545&lt;&gt;"",N(T545)=0),"нет мощности",""),IF(AND(P545&lt;&gt;"",COUNTIFS($A$3:$A$1000,A545,$P$3:$P$1000,P545)&gt;1),"дубль клеммы "&amp;P545,""),IF(AND(W545&lt;&gt;"",W545&lt;&gt;"ok"),W545,""),IF(X545&lt;&gt;"",X545,""),IF(AND(ISNUMBER(SEARCH("(5х",Q545)),N(AK545)=1),"5 жил на 1 фазе",""),IF(AND(AL545="R",E545&lt;&gt;"",N(AS545)=0),"розетка без 30 мА",""),IF(IFERROR(_xlfn.NUMBERVALUE(MID(Q545,FIND("-",Q545,FIND("L=",Q545))+1,FIND("%",Q545)-FIND("-",Q545,FIND("L=",Q545))-1),","),0)&gt;4,"потери &gt; 4 %","")))</f>
      </c>
      <c r="AF545" s="129">
        <f>IF(E545&lt;&gt;"",COUNTIFS($A$3:A545,A545,$E$3:E545,"?*"),IF(OR(A545&lt;&gt;A544,Y545="вручную"),"",AF544))</f>
        <v/>
      </c>
      <c r="AG545" s="129">
        <f t="shared" si="353"/>
        <v/>
      </c>
      <c r="AH545" s="129">
        <f t="shared" si="354"/>
        <v/>
      </c>
      <c r="AI545" s="129">
        <f t="shared" si="355"/>
        <v/>
      </c>
      <c r="AJ545" s="129">
        <f t="shared" si="356"/>
        <v/>
      </c>
      <c r="AK545" s="129">
        <f t="shared" si="357"/>
        <v/>
      </c>
      <c r="AL545" s="129">
        <f t="shared" si="358"/>
        <v/>
      </c>
      <c r="AM545" s="129">
        <f t="shared" si="359"/>
      </c>
      <c r="AN545" s="129">
        <f t="shared" si="360"/>
      </c>
      <c r="AO545" s="129">
        <f t="shared" si="361"/>
        <v/>
      </c>
      <c r="AP545" s="129">
        <f t="shared" si="362"/>
        <v/>
      </c>
      <c r="AQ545" s="129">
        <f t="shared" si="363"/>
        <v/>
      </c>
      <c r="AR545" s="129">
        <f t="shared" si="364"/>
        <v/>
      </c>
      <c r="AS545" s="129">
        <f t="shared" si="365"/>
        <v/>
      </c>
      <c r="AT545" s="129">
        <f t="shared" si="366"/>
        <v/>
      </c>
      <c r="AU545" s="129">
        <f t="shared" si="367"/>
        <v/>
      </c>
      <c r="AV545" s="129">
        <f t="shared" si="368"/>
        <v/>
      </c>
      <c r="AW545" s="129">
        <f>IF(AV545="","",AV545&amp;"."&amp;COUNTIFS($A$3:A545,A545,$AV$3:AV545,AV545))</f>
        <v/>
      </c>
      <c r="AX545" s="129">
        <f t="shared" si="369"/>
        <v/>
      </c>
      <c r="AY545" s="129">
        <f>IF(N545="б/к",0,IF(OR(ISNUMBER(SEARCH("L=",Разбивка_по_щитам!P545)),N545="+",N545="="),1,0))</f>
      </c>
      <c r="AZ545" s="129">
        <f t="shared" si="370"/>
        <v/>
      </c>
      <c r="BA545" s="129">
        <f t="shared" si="371"/>
      </c>
      <c r="BB545" s="129">
        <f t="shared" si="372"/>
      </c>
      <c r="BD545" s="129">
        <f t="shared" si="373"/>
      </c>
      <c r="BE545" s="129">
        <f t="shared" si="374"/>
      </c>
      <c r="BF545" s="129">
        <f t="shared" si="375"/>
      </c>
      <c r="BG545" s="129">
        <f t="shared" si="376"/>
        <v/>
      </c>
      <c r="BH545" s="129">
        <f t="shared" si="377"/>
        <v/>
      </c>
      <c r="BI545" s="129">
        <f t="shared" si="378"/>
        <v/>
      </c>
      <c r="BJ545" s="129">
        <f t="shared" si="379"/>
        <v/>
      </c>
      <c r="BK545" s="129">
        <f>IF(R545="","",IF(OR(BY545="",BY545=0),"BOX",IFERROR(IF(VLOOKUP(BY545,УГО_блоки,3,FALSE)&amp;""&lt;&gt;"",VLOOKUP(BY545,УГО_блоки,3,FALSE),VLOOKUP(BY545,УГО_блоки,2,FALSE)),BY545)))</f>
      </c>
      <c r="BL545" s="129">
        <f t="shared" si="381"/>
      </c>
      <c r="BM545" s="129">
        <f>IF(H545="","",IF(COUNTIF($H$3:H545,H545)=1,MAX($BM$2:BM544)+1,""))</f>
      </c>
      <c r="BN545" s="129">
        <f>IF(I545="","",IF(COUNTIF($I$3:I545,I545)+COUNTIF($J$2:J544,I545)+COUNTIF($K$2:K544,I545)=1,MAX($BN$2:BP544)+1,""))</f>
      </c>
      <c r="BO545" s="129">
        <f>IF(J545="","",IF(COUNTIF($I$3:I545,J545)+COUNTIF($J$3:J545,J545)+COUNTIF($K$2:K544,J545)=1,MAX($BN$2:BP544,BN545)+1,""))</f>
      </c>
      <c r="BP545" s="129">
        <f>IF(K545="","",IF(COUNTIF($I$3:I545,K545)+COUNTIF($J$3:J545,K545)+COUNTIF($K$3:K545,K545)=1,MAX($BN$2:BP544,BN545,BO545)+1,""))</f>
      </c>
      <c r="BQ545" s="129">
        <f>IF(AY545=1,IFERROR(MID(Q545,FIND(" (",Q545)+2,FIND(")",Q545,FIND(" (",Q545))-FIND(" (",Q545)-2),"?"),"")</f>
      </c>
      <c r="BR545" s="129">
        <f>IF(BQ545="","",IF(COUNTIF($BQ$3:BQ545,BQ545)=1,MAX($BR$2:BR544)+1,""))</f>
      </c>
      <c r="BS545" s="129">
        <f>IF(AW545="","",COUNTIF($AW$3:AW545,"?*"))</f>
      </c>
      <c r="BT545" s="129">
        <f>IF(OR(AW545="",AI545=""),"",IF(COUNTIFS($AW$3:AW545,"?*",$AI$3:AI545,AI545)=1,MAX($BT$2:BT544)+1,""))</f>
      </c>
      <c r="BU545" s="129">
        <f>IF(AE545="",0,IF(OR(ISNUMBER(SEARCH("дубль",AE545)),ISNUMBER(SEARCH("ПЕРЕГРУЗ",AE545)),ISNUMBER(SEARCH("ЗАЩИЩ",AE545)),ISNUMBER(SEARCH("КАНАЛ",AE545)),ISNUMBER(SEARCH("без 30",AE545))),2,1))</f>
      </c>
      <c r="BV545" s="129">
        <f>IF(R545="","",COUNTIF($R$3:R545,"?*"))</f>
      </c>
      <c r="BW545" s="129">
        <f>IF(AY545&lt;&gt;1,0,IF(MAX(IFERROR(--VLOOKUP(R545,УГО_спр,5,FALSE),0),IFERROR(--VLOOKUP(AL545,УГО_спр,5,FALSE),0),IFERROR(--VLOOKUP(LEFT(AL545,2),УГО_спр,5,FALSE),0))&gt;0,MAX(IFERROR(--VLOOKUP(R545,УГО_спр,5,FALSE),0),IFERROR(--VLOOKUP(AL545,УГО_спр,5,FALSE),0),IFERROR(--VLOOKUP(LEFT(AL545,2),УГО_спр,5,FALSE),0)),IF(IFERROR(--LEFT(SUBSTITUTE(BQ545,"x","х"),FIND("х",SUBSTITUTE(BQ545,"x","х"))-1),3)&gt;3,Каталог!$S$9,1)))</f>
      </c>
      <c r="BX545" s="129">
        <f>IF(AY545&lt;&gt;1,0,MAX(0,IFERROR(--LEFT(SUBSTITUTE(BQ545,"x","х"),FIND("х",SUBSTITUTE(BQ545,"x","х"))-1),3)-3*BW545))</f>
      </c>
      <c r="BY545" s="129">
        <f>IF(R545="","",IFERROR(VLOOKUP(R545,УГО_спр,2,FALSE),IFERROR(VLOOKUP(AL545,УГО_спр,2,FALSE),IFERROR(VLOOKUP(LEFT(AL545,2),УГО_спр,2,FALSE),""))))</f>
      </c>
    </row>
    <row r="546" spans="1:64" x14ac:dyDescent="0.3">
      <c r="A546" s="135">
        <f>IF(Разбивка_по_щитам!F546=0,"",Разбивка_по_щитам!F546)</f>
        <v/>
      </c>
      <c r="B546" s="138">
        <f>IF(A546="","",Разбивка_по_щитам!C546)</f>
        <v/>
      </c>
      <c r="C546" s="138">
        <f t="shared" si="342"/>
        <v/>
      </c>
      <c r="D546" s="266"/>
      <c r="E546" s="266"/>
      <c r="F546" s="267"/>
      <c r="G546" s="145">
        <f t="shared" si="343"/>
        <v/>
      </c>
      <c r="H546" s="145">
        <f t="shared" si="344"/>
        <v/>
      </c>
      <c r="I546" s="266"/>
      <c r="J546" s="267"/>
      <c r="K546" s="267"/>
      <c r="L546" s="266"/>
      <c r="M546" s="147">
        <f t="shared" si="345"/>
        <v/>
      </c>
      <c r="N546" s="267"/>
      <c r="O546" s="147">
        <f t="shared" si="346"/>
        <v/>
      </c>
      <c r="P546" s="268">
        <f>IF(AY546=1,"XT"&amp;COUNTIFS($A$3:A546,A546,$AY$3:AY546,1),"")</f>
        <v/>
      </c>
      <c r="Q546" s="152">
        <f>IF(R546="","",IFERROR(SUBSTITUTE(Разбивка_по_щитам!P546,CHAR(10)," "),""))</f>
        <v/>
      </c>
      <c r="R546" s="153">
        <f>IF(OR(Разбивка_по_щитам!H546="",Разбивка_по_щитам!H546=0),"",Разбивка_по_щитам!H546)</f>
        <v/>
      </c>
      <c r="S546" s="154">
        <f>IF(R546="","",IFERROR(Разбивка_по_щитам!J546&amp;"",""))</f>
        <v/>
      </c>
      <c r="T546" s="155">
        <f>IF(R546="","",IFERROR(--Разбивка_по_щитам!L546,""))</f>
        <v/>
      </c>
      <c r="U546" s="155">
        <f>IF(R546="","",IFERROR(--Разбивка_по_щитам!K546,""))</f>
        <v/>
      </c>
      <c r="V546" s="138">
        <f>IF(R546="","",IFERROR(IF(Разбивка_по_щитам!M546=0,"",Разбивка_по_щитам!M546),""))</f>
        <v/>
      </c>
      <c r="W546" s="156">
        <f t="shared" si="347"/>
        <v/>
      </c>
      <c r="X546" s="157">
        <f t="shared" si="348"/>
        <v/>
      </c>
      <c r="Y546" s="266"/>
      <c r="Z546" s="158">
        <f t="shared" si="349"/>
        <v/>
      </c>
      <c r="AA546" s="160">
        <f t="shared" si="350"/>
        <v/>
      </c>
      <c r="AB546" s="160">
        <f>IF(R546="","",IFERROR(LOOKUP(INDEX(Справочная!$I$4:$I$19,MATCH(VLOOKUP(R546,Исходные_данные,22,FALSE),Справочная!$J$4:$J$19,0)+1),{6,10,16,20,25,32,40,50,63,80,100,125}),""))</f>
        <v/>
      </c>
      <c r="AC546" s="160">
        <f t="shared" si="351"/>
        <v/>
      </c>
      <c r="AD546" s="161">
        <f t="shared" si="352"/>
        <v/>
      </c>
      <c r="AE546" s="161">
        <f>IF(AND(R546="",G546=""),"",_xlfn.TEXTJOIN("; ",TRUE,IF(AND(R546&lt;&gt;"",V546=""),"нет фазы",""),IF(AND(R546&lt;&gt;"",N(T546)=0),"нет мощности",""),IF(AND(P546&lt;&gt;"",COUNTIFS($A$3:$A$1000,A546,$P$3:$P$1000,P546)&gt;1),"дубль клеммы "&amp;P546,""),IF(AND(W546&lt;&gt;"",W546&lt;&gt;"ok"),W546,""),IF(X546&lt;&gt;"",X546,""),IF(AND(ISNUMBER(SEARCH("(5х",Q546)),N(AK546)=1),"5 жил на 1 фазе",""),IF(AND(AL546="R",E546&lt;&gt;"",N(AS546)=0),"розетка без 30 мА",""),IF(IFERROR(_xlfn.NUMBERVALUE(MID(Q546,FIND("-",Q546,FIND("L=",Q546))+1,FIND("%",Q546)-FIND("-",Q546,FIND("L=",Q546))-1),","),0)&gt;4,"потери &gt; 4 %","")))</f>
      </c>
      <c r="AF546" s="129">
        <f>IF(E546&lt;&gt;"",COUNTIFS($A$3:A546,A546,$E$3:E546,"?*"),IF(OR(A546&lt;&gt;A545,Y546="вручную"),"",AF545))</f>
        <v/>
      </c>
      <c r="AG546" s="129">
        <f t="shared" si="353"/>
        <v/>
      </c>
      <c r="AH546" s="129">
        <f t="shared" si="354"/>
        <v/>
      </c>
      <c r="AI546" s="129">
        <f t="shared" si="355"/>
        <v/>
      </c>
      <c r="AJ546" s="129">
        <f t="shared" si="356"/>
        <v/>
      </c>
      <c r="AK546" s="129">
        <f t="shared" si="357"/>
        <v/>
      </c>
      <c r="AL546" s="129">
        <f t="shared" si="358"/>
        <v/>
      </c>
      <c r="AM546" s="129">
        <f t="shared" si="359"/>
      </c>
      <c r="AN546" s="129">
        <f t="shared" si="360"/>
      </c>
      <c r="AO546" s="129">
        <f t="shared" si="361"/>
        <v/>
      </c>
      <c r="AP546" s="129">
        <f t="shared" si="362"/>
        <v/>
      </c>
      <c r="AQ546" s="129">
        <f t="shared" si="363"/>
        <v/>
      </c>
      <c r="AR546" s="129">
        <f t="shared" si="364"/>
        <v/>
      </c>
      <c r="AS546" s="129">
        <f t="shared" si="365"/>
        <v/>
      </c>
      <c r="AT546" s="129">
        <f t="shared" si="366"/>
        <v/>
      </c>
      <c r="AU546" s="129">
        <f t="shared" si="367"/>
        <v/>
      </c>
      <c r="AV546" s="129">
        <f t="shared" si="368"/>
        <v/>
      </c>
      <c r="AW546" s="129">
        <f>IF(AV546="","",AV546&amp;"."&amp;COUNTIFS($A$3:A546,A546,$AV$3:AV546,AV546))</f>
        <v/>
      </c>
      <c r="AX546" s="129">
        <f t="shared" si="369"/>
        <v/>
      </c>
      <c r="AY546" s="129">
        <f>IF(N546="б/к",0,IF(OR(ISNUMBER(SEARCH("L=",Разбивка_по_щитам!P546)),N546="+",N546="="),1,0))</f>
      </c>
      <c r="AZ546" s="129">
        <f t="shared" si="370"/>
        <v/>
      </c>
      <c r="BA546" s="129">
        <f t="shared" si="371"/>
      </c>
      <c r="BB546" s="129">
        <f t="shared" si="372"/>
      </c>
      <c r="BD546" s="129">
        <f t="shared" si="373"/>
      </c>
      <c r="BE546" s="129">
        <f t="shared" si="374"/>
      </c>
      <c r="BF546" s="129">
        <f t="shared" si="375"/>
      </c>
      <c r="BG546" s="129">
        <f t="shared" si="376"/>
        <v/>
      </c>
      <c r="BH546" s="129">
        <f t="shared" si="377"/>
        <v/>
      </c>
      <c r="BI546" s="129">
        <f t="shared" si="378"/>
        <v/>
      </c>
      <c r="BJ546" s="129">
        <f t="shared" si="379"/>
        <v/>
      </c>
      <c r="BK546" s="129">
        <f>IF(R546="","",IF(OR(BY546="",BY546=0),"BOX",IFERROR(IF(VLOOKUP(BY546,УГО_блоки,3,FALSE)&amp;""&lt;&gt;"",VLOOKUP(BY546,УГО_блоки,3,FALSE),VLOOKUP(BY546,УГО_блоки,2,FALSE)),BY546)))</f>
      </c>
      <c r="BL546" s="129">
        <f t="shared" si="381"/>
      </c>
      <c r="BM546" s="129">
        <f>IF(H546="","",IF(COUNTIF($H$3:H546,H546)=1,MAX($BM$2:BM545)+1,""))</f>
      </c>
      <c r="BN546" s="129">
        <f>IF(I546="","",IF(COUNTIF($I$3:I546,I546)+COUNTIF($J$2:J545,I546)+COUNTIF($K$2:K545,I546)=1,MAX($BN$2:BP545)+1,""))</f>
      </c>
      <c r="BO546" s="129">
        <f>IF(J546="","",IF(COUNTIF($I$3:I546,J546)+COUNTIF($J$3:J546,J546)+COUNTIF($K$2:K545,J546)=1,MAX($BN$2:BP545,BN546)+1,""))</f>
      </c>
      <c r="BP546" s="129">
        <f>IF(K546="","",IF(COUNTIF($I$3:I546,K546)+COUNTIF($J$3:J546,K546)+COUNTIF($K$3:K546,K546)=1,MAX($BN$2:BP545,BN546,BO546)+1,""))</f>
      </c>
      <c r="BQ546" s="129">
        <f>IF(AY546=1,IFERROR(MID(Q546,FIND(" (",Q546)+2,FIND(")",Q546,FIND(" (",Q546))-FIND(" (",Q546)-2),"?"),"")</f>
      </c>
      <c r="BR546" s="129">
        <f>IF(BQ546="","",IF(COUNTIF($BQ$3:BQ546,BQ546)=1,MAX($BR$2:BR545)+1,""))</f>
      </c>
      <c r="BS546" s="129">
        <f>IF(AW546="","",COUNTIF($AW$3:AW546,"?*"))</f>
      </c>
      <c r="BT546" s="129">
        <f>IF(OR(AW546="",AI546=""),"",IF(COUNTIFS($AW$3:AW546,"?*",$AI$3:AI546,AI546)=1,MAX($BT$2:BT545)+1,""))</f>
      </c>
      <c r="BU546" s="129">
        <f>IF(AE546="",0,IF(OR(ISNUMBER(SEARCH("дубль",AE546)),ISNUMBER(SEARCH("ПЕРЕГРУЗ",AE546)),ISNUMBER(SEARCH("ЗАЩИЩ",AE546)),ISNUMBER(SEARCH("КАНАЛ",AE546)),ISNUMBER(SEARCH("без 30",AE546))),2,1))</f>
      </c>
      <c r="BV546" s="129">
        <f>IF(R546="","",COUNTIF($R$3:R546,"?*"))</f>
      </c>
      <c r="BW546" s="129">
        <f>IF(AY546&lt;&gt;1,0,IF(MAX(IFERROR(--VLOOKUP(R546,УГО_спр,5,FALSE),0),IFERROR(--VLOOKUP(AL546,УГО_спр,5,FALSE),0),IFERROR(--VLOOKUP(LEFT(AL546,2),УГО_спр,5,FALSE),0))&gt;0,MAX(IFERROR(--VLOOKUP(R546,УГО_спр,5,FALSE),0),IFERROR(--VLOOKUP(AL546,УГО_спр,5,FALSE),0),IFERROR(--VLOOKUP(LEFT(AL546,2),УГО_спр,5,FALSE),0)),IF(IFERROR(--LEFT(SUBSTITUTE(BQ546,"x","х"),FIND("х",SUBSTITUTE(BQ546,"x","х"))-1),3)&gt;3,Каталог!$S$9,1)))</f>
      </c>
      <c r="BX546" s="129">
        <f>IF(AY546&lt;&gt;1,0,MAX(0,IFERROR(--LEFT(SUBSTITUTE(BQ546,"x","х"),FIND("х",SUBSTITUTE(BQ546,"x","х"))-1),3)-3*BW546))</f>
      </c>
      <c r="BY546" s="129">
        <f>IF(R546="","",IFERROR(VLOOKUP(R546,УГО_спр,2,FALSE),IFERROR(VLOOKUP(AL546,УГО_спр,2,FALSE),IFERROR(VLOOKUP(LEFT(AL546,2),УГО_спр,2,FALSE),""))))</f>
      </c>
    </row>
    <row r="547" spans="1:64" x14ac:dyDescent="0.3">
      <c r="A547" s="135">
        <f>IF(Разбивка_по_щитам!F547=0,"",Разбивка_по_щитам!F547)</f>
        <v/>
      </c>
      <c r="B547" s="138">
        <f>IF(A547="","",Разбивка_по_щитам!C547)</f>
        <v/>
      </c>
      <c r="C547" s="138">
        <f t="shared" si="342"/>
        <v/>
      </c>
      <c r="D547" s="266"/>
      <c r="E547" s="266"/>
      <c r="F547" s="267"/>
      <c r="G547" s="145">
        <f t="shared" si="343"/>
        <v/>
      </c>
      <c r="H547" s="145">
        <f t="shared" si="344"/>
        <v/>
      </c>
      <c r="I547" s="266"/>
      <c r="J547" s="267"/>
      <c r="K547" s="267"/>
      <c r="L547" s="266"/>
      <c r="M547" s="147">
        <f t="shared" si="345"/>
        <v/>
      </c>
      <c r="N547" s="267"/>
      <c r="O547" s="147">
        <f t="shared" si="346"/>
        <v/>
      </c>
      <c r="P547" s="268">
        <f>IF(AY547=1,"XT"&amp;COUNTIFS($A$3:A547,A547,$AY$3:AY547,1),"")</f>
        <v/>
      </c>
      <c r="Q547" s="152">
        <f>IF(R547="","",IFERROR(SUBSTITUTE(Разбивка_по_щитам!P547,CHAR(10)," "),""))</f>
        <v/>
      </c>
      <c r="R547" s="153">
        <f>IF(OR(Разбивка_по_щитам!H547="",Разбивка_по_щитам!H547=0),"",Разбивка_по_щитам!H547)</f>
        <v/>
      </c>
      <c r="S547" s="154">
        <f>IF(R547="","",IFERROR(Разбивка_по_щитам!J547&amp;"",""))</f>
        <v/>
      </c>
      <c r="T547" s="155">
        <f>IF(R547="","",IFERROR(--Разбивка_по_щитам!L547,""))</f>
        <v/>
      </c>
      <c r="U547" s="155">
        <f>IF(R547="","",IFERROR(--Разбивка_по_щитам!K547,""))</f>
        <v/>
      </c>
      <c r="V547" s="138">
        <f>IF(R547="","",IFERROR(IF(Разбивка_по_щитам!M547=0,"",Разбивка_по_щитам!M547),""))</f>
        <v/>
      </c>
      <c r="W547" s="156">
        <f t="shared" si="347"/>
        <v/>
      </c>
      <c r="X547" s="157">
        <f t="shared" si="348"/>
        <v/>
      </c>
      <c r="Y547" s="266"/>
      <c r="Z547" s="158">
        <f t="shared" si="349"/>
        <v/>
      </c>
      <c r="AA547" s="160">
        <f t="shared" si="350"/>
        <v/>
      </c>
      <c r="AB547" s="160">
        <f>IF(R547="","",IFERROR(LOOKUP(INDEX(Справочная!$I$4:$I$19,MATCH(VLOOKUP(R547,Исходные_данные,22,FALSE),Справочная!$J$4:$J$19,0)+1),{6,10,16,20,25,32,40,50,63,80,100,125}),""))</f>
        <v/>
      </c>
      <c r="AC547" s="160">
        <f t="shared" si="351"/>
        <v/>
      </c>
      <c r="AD547" s="161">
        <f t="shared" si="352"/>
        <v/>
      </c>
      <c r="AE547" s="161">
        <f>IF(AND(R547="",G547=""),"",_xlfn.TEXTJOIN("; ",TRUE,IF(AND(R547&lt;&gt;"",V547=""),"нет фазы",""),IF(AND(R547&lt;&gt;"",N(T547)=0),"нет мощности",""),IF(AND(P547&lt;&gt;"",COUNTIFS($A$3:$A$1000,A547,$P$3:$P$1000,P547)&gt;1),"дубль клеммы "&amp;P547,""),IF(AND(W547&lt;&gt;"",W547&lt;&gt;"ok"),W547,""),IF(X547&lt;&gt;"",X547,""),IF(AND(ISNUMBER(SEARCH("(5х",Q547)),N(AK547)=1),"5 жил на 1 фазе",""),IF(AND(AL547="R",E547&lt;&gt;"",N(AS547)=0),"розетка без 30 мА",""),IF(IFERROR(_xlfn.NUMBERVALUE(MID(Q547,FIND("-",Q547,FIND("L=",Q547))+1,FIND("%",Q547)-FIND("-",Q547,FIND("L=",Q547))-1),","),0)&gt;4,"потери &gt; 4 %","")))</f>
      </c>
      <c r="AF547" s="129">
        <f>IF(E547&lt;&gt;"",COUNTIFS($A$3:A547,A547,$E$3:E547,"?*"),IF(OR(A547&lt;&gt;A546,Y547="вручную"),"",AF546))</f>
        <v/>
      </c>
      <c r="AG547" s="129">
        <f t="shared" si="353"/>
        <v/>
      </c>
      <c r="AH547" s="129">
        <f t="shared" si="354"/>
        <v/>
      </c>
      <c r="AI547" s="129">
        <f t="shared" si="355"/>
        <v/>
      </c>
      <c r="AJ547" s="129">
        <f t="shared" si="356"/>
        <v/>
      </c>
      <c r="AK547" s="129">
        <f t="shared" si="357"/>
        <v/>
      </c>
      <c r="AL547" s="129">
        <f t="shared" si="358"/>
        <v/>
      </c>
      <c r="AM547" s="129">
        <f t="shared" si="359"/>
      </c>
      <c r="AN547" s="129">
        <f t="shared" si="360"/>
      </c>
      <c r="AO547" s="129">
        <f t="shared" si="361"/>
        <v/>
      </c>
      <c r="AP547" s="129">
        <f t="shared" si="362"/>
        <v/>
      </c>
      <c r="AQ547" s="129">
        <f t="shared" si="363"/>
        <v/>
      </c>
      <c r="AR547" s="129">
        <f t="shared" si="364"/>
        <v/>
      </c>
      <c r="AS547" s="129">
        <f t="shared" si="365"/>
        <v/>
      </c>
      <c r="AT547" s="129">
        <f t="shared" si="366"/>
        <v/>
      </c>
      <c r="AU547" s="129">
        <f t="shared" si="367"/>
        <v/>
      </c>
      <c r="AV547" s="129">
        <f t="shared" si="368"/>
        <v/>
      </c>
      <c r="AW547" s="129">
        <f>IF(AV547="","",AV547&amp;"."&amp;COUNTIFS($A$3:A547,A547,$AV$3:AV547,AV547))</f>
        <v/>
      </c>
      <c r="AX547" s="129">
        <f t="shared" si="369"/>
        <v/>
      </c>
      <c r="AY547" s="129">
        <f>IF(N547="б/к",0,IF(OR(ISNUMBER(SEARCH("L=",Разбивка_по_щитам!P547)),N547="+",N547="="),1,0))</f>
      </c>
      <c r="AZ547" s="129">
        <f t="shared" si="370"/>
        <v/>
      </c>
      <c r="BA547" s="129">
        <f t="shared" si="371"/>
      </c>
      <c r="BB547" s="129">
        <f t="shared" si="372"/>
      </c>
      <c r="BD547" s="129">
        <f t="shared" si="373"/>
      </c>
      <c r="BE547" s="129">
        <f t="shared" si="374"/>
      </c>
      <c r="BF547" s="129">
        <f t="shared" si="375"/>
      </c>
      <c r="BG547" s="129">
        <f t="shared" si="376"/>
        <v/>
      </c>
      <c r="BH547" s="129">
        <f t="shared" si="377"/>
        <v/>
      </c>
      <c r="BI547" s="129">
        <f t="shared" si="378"/>
        <v/>
      </c>
      <c r="BJ547" s="129">
        <f t="shared" si="379"/>
        <v/>
      </c>
      <c r="BK547" s="129">
        <f>IF(R547="","",IF(OR(BY547="",BY547=0),"BOX",IFERROR(IF(VLOOKUP(BY547,УГО_блоки,3,FALSE)&amp;""&lt;&gt;"",VLOOKUP(BY547,УГО_блоки,3,FALSE),VLOOKUP(BY547,УГО_блоки,2,FALSE)),BY547)))</f>
      </c>
      <c r="BL547" s="129">
        <f t="shared" si="381"/>
      </c>
      <c r="BM547" s="129">
        <f>IF(H547="","",IF(COUNTIF($H$3:H547,H547)=1,MAX($BM$2:BM546)+1,""))</f>
      </c>
      <c r="BN547" s="129">
        <f>IF(I547="","",IF(COUNTIF($I$3:I547,I547)+COUNTIF($J$2:J546,I547)+COUNTIF($K$2:K546,I547)=1,MAX($BN$2:BP546)+1,""))</f>
      </c>
      <c r="BO547" s="129">
        <f>IF(J547="","",IF(COUNTIF($I$3:I547,J547)+COUNTIF($J$3:J547,J547)+COUNTIF($K$2:K546,J547)=1,MAX($BN$2:BP546,BN547)+1,""))</f>
      </c>
      <c r="BP547" s="129">
        <f>IF(K547="","",IF(COUNTIF($I$3:I547,K547)+COUNTIF($J$3:J547,K547)+COUNTIF($K$3:K547,K547)=1,MAX($BN$2:BP546,BN547,BO547)+1,""))</f>
      </c>
      <c r="BQ547" s="129">
        <f>IF(AY547=1,IFERROR(MID(Q547,FIND(" (",Q547)+2,FIND(")",Q547,FIND(" (",Q547))-FIND(" (",Q547)-2),"?"),"")</f>
      </c>
      <c r="BR547" s="129">
        <f>IF(BQ547="","",IF(COUNTIF($BQ$3:BQ547,BQ547)=1,MAX($BR$2:BR546)+1,""))</f>
      </c>
      <c r="BS547" s="129">
        <f>IF(AW547="","",COUNTIF($AW$3:AW547,"?*"))</f>
      </c>
      <c r="BT547" s="129">
        <f>IF(OR(AW547="",AI547=""),"",IF(COUNTIFS($AW$3:AW547,"?*",$AI$3:AI547,AI547)=1,MAX($BT$2:BT546)+1,""))</f>
      </c>
      <c r="BU547" s="129">
        <f>IF(AE547="",0,IF(OR(ISNUMBER(SEARCH("дубль",AE547)),ISNUMBER(SEARCH("ПЕРЕГРУЗ",AE547)),ISNUMBER(SEARCH("ЗАЩИЩ",AE547)),ISNUMBER(SEARCH("КАНАЛ",AE547)),ISNUMBER(SEARCH("без 30",AE547))),2,1))</f>
      </c>
      <c r="BV547" s="129">
        <f>IF(R547="","",COUNTIF($R$3:R547,"?*"))</f>
      </c>
      <c r="BW547" s="129">
        <f>IF(AY547&lt;&gt;1,0,IF(MAX(IFERROR(--VLOOKUP(R547,УГО_спр,5,FALSE),0),IFERROR(--VLOOKUP(AL547,УГО_спр,5,FALSE),0),IFERROR(--VLOOKUP(LEFT(AL547,2),УГО_спр,5,FALSE),0))&gt;0,MAX(IFERROR(--VLOOKUP(R547,УГО_спр,5,FALSE),0),IFERROR(--VLOOKUP(AL547,УГО_спр,5,FALSE),0),IFERROR(--VLOOKUP(LEFT(AL547,2),УГО_спр,5,FALSE),0)),IF(IFERROR(--LEFT(SUBSTITUTE(BQ547,"x","х"),FIND("х",SUBSTITUTE(BQ547,"x","х"))-1),3)&gt;3,Каталог!$S$9,1)))</f>
      </c>
      <c r="BX547" s="129">
        <f>IF(AY547&lt;&gt;1,0,MAX(0,IFERROR(--LEFT(SUBSTITUTE(BQ547,"x","х"),FIND("х",SUBSTITUTE(BQ547,"x","х"))-1),3)-3*BW547))</f>
      </c>
      <c r="BY547" s="129">
        <f>IF(R547="","",IFERROR(VLOOKUP(R547,УГО_спр,2,FALSE),IFERROR(VLOOKUP(AL547,УГО_спр,2,FALSE),IFERROR(VLOOKUP(LEFT(AL547,2),УГО_спр,2,FALSE),""))))</f>
      </c>
    </row>
    <row r="548" spans="1:64" x14ac:dyDescent="0.3">
      <c r="A548" s="135">
        <f>IF(Разбивка_по_щитам!F548=0,"",Разбивка_по_щитам!F548)</f>
        <v/>
      </c>
      <c r="B548" s="138">
        <f>IF(A548="","",Разбивка_по_щитам!C548)</f>
        <v/>
      </c>
      <c r="C548" s="138">
        <f t="shared" si="342"/>
        <v/>
      </c>
      <c r="D548" s="266"/>
      <c r="E548" s="266"/>
      <c r="F548" s="267"/>
      <c r="G548" s="145">
        <f t="shared" si="343"/>
        <v/>
      </c>
      <c r="H548" s="145">
        <f t="shared" si="344"/>
        <v/>
      </c>
      <c r="I548" s="266"/>
      <c r="J548" s="267"/>
      <c r="K548" s="267"/>
      <c r="L548" s="266"/>
      <c r="M548" s="147">
        <f t="shared" si="345"/>
        <v/>
      </c>
      <c r="N548" s="267"/>
      <c r="O548" s="147">
        <f t="shared" si="346"/>
        <v/>
      </c>
      <c r="P548" s="268">
        <f>IF(AY548=1,"XT"&amp;COUNTIFS($A$3:A548,A548,$AY$3:AY548,1),"")</f>
        <v/>
      </c>
      <c r="Q548" s="152">
        <f>IF(R548="","",IFERROR(SUBSTITUTE(Разбивка_по_щитам!P548,CHAR(10)," "),""))</f>
        <v/>
      </c>
      <c r="R548" s="153">
        <f>IF(OR(Разбивка_по_щитам!H548="",Разбивка_по_щитам!H548=0),"",Разбивка_по_щитам!H548)</f>
        <v/>
      </c>
      <c r="S548" s="154">
        <f>IF(R548="","",IFERROR(Разбивка_по_щитам!J548&amp;"",""))</f>
        <v/>
      </c>
      <c r="T548" s="155">
        <f>IF(R548="","",IFERROR(--Разбивка_по_щитам!L548,""))</f>
        <v/>
      </c>
      <c r="U548" s="155">
        <f>IF(R548="","",IFERROR(--Разбивка_по_щитам!K548,""))</f>
        <v/>
      </c>
      <c r="V548" s="138">
        <f>IF(R548="","",IFERROR(IF(Разбивка_по_щитам!M548=0,"",Разбивка_по_щитам!M548),""))</f>
        <v/>
      </c>
      <c r="W548" s="156">
        <f t="shared" si="347"/>
        <v/>
      </c>
      <c r="X548" s="157">
        <f t="shared" si="348"/>
        <v/>
      </c>
      <c r="Y548" s="266"/>
      <c r="Z548" s="158">
        <f t="shared" si="349"/>
        <v/>
      </c>
      <c r="AA548" s="160">
        <f t="shared" si="350"/>
        <v/>
      </c>
      <c r="AB548" s="160">
        <f>IF(R548="","",IFERROR(LOOKUP(INDEX(Справочная!$I$4:$I$19,MATCH(VLOOKUP(R548,Исходные_данные,22,FALSE),Справочная!$J$4:$J$19,0)+1),{6,10,16,20,25,32,40,50,63,80,100,125}),""))</f>
        <v/>
      </c>
      <c r="AC548" s="160">
        <f t="shared" si="351"/>
        <v/>
      </c>
      <c r="AD548" s="161">
        <f t="shared" si="352"/>
        <v/>
      </c>
      <c r="AE548" s="161">
        <f>IF(AND(R548="",G548=""),"",_xlfn.TEXTJOIN("; ",TRUE,IF(AND(R548&lt;&gt;"",V548=""),"нет фазы",""),IF(AND(R548&lt;&gt;"",N(T548)=0),"нет мощности",""),IF(AND(P548&lt;&gt;"",COUNTIFS($A$3:$A$1000,A548,$P$3:$P$1000,P548)&gt;1),"дубль клеммы "&amp;P548,""),IF(AND(W548&lt;&gt;"",W548&lt;&gt;"ok"),W548,""),IF(X548&lt;&gt;"",X548,""),IF(AND(ISNUMBER(SEARCH("(5х",Q548)),N(AK548)=1),"5 жил на 1 фазе",""),IF(AND(AL548="R",E548&lt;&gt;"",N(AS548)=0),"розетка без 30 мА",""),IF(IFERROR(_xlfn.NUMBERVALUE(MID(Q548,FIND("-",Q548,FIND("L=",Q548))+1,FIND("%",Q548)-FIND("-",Q548,FIND("L=",Q548))-1),","),0)&gt;4,"потери &gt; 4 %","")))</f>
      </c>
      <c r="AF548" s="129">
        <f>IF(E548&lt;&gt;"",COUNTIFS($A$3:A548,A548,$E$3:E548,"?*"),IF(OR(A548&lt;&gt;A547,Y548="вручную"),"",AF547))</f>
        <v/>
      </c>
      <c r="AG548" s="129">
        <f t="shared" si="353"/>
        <v/>
      </c>
      <c r="AH548" s="129">
        <f t="shared" si="354"/>
        <v/>
      </c>
      <c r="AI548" s="129">
        <f t="shared" si="355"/>
        <v/>
      </c>
      <c r="AJ548" s="129">
        <f t="shared" si="356"/>
        <v/>
      </c>
      <c r="AK548" s="129">
        <f t="shared" si="357"/>
        <v/>
      </c>
      <c r="AL548" s="129">
        <f t="shared" si="358"/>
        <v/>
      </c>
      <c r="AM548" s="129">
        <f t="shared" si="359"/>
      </c>
      <c r="AN548" s="129">
        <f t="shared" si="360"/>
      </c>
      <c r="AO548" s="129">
        <f t="shared" si="361"/>
        <v/>
      </c>
      <c r="AP548" s="129">
        <f t="shared" si="362"/>
        <v/>
      </c>
      <c r="AQ548" s="129">
        <f t="shared" si="363"/>
        <v/>
      </c>
      <c r="AR548" s="129">
        <f t="shared" si="364"/>
        <v/>
      </c>
      <c r="AS548" s="129">
        <f t="shared" si="365"/>
        <v/>
      </c>
      <c r="AT548" s="129">
        <f t="shared" si="366"/>
        <v/>
      </c>
      <c r="AU548" s="129">
        <f t="shared" si="367"/>
        <v/>
      </c>
      <c r="AV548" s="129">
        <f t="shared" si="368"/>
        <v/>
      </c>
      <c r="AW548" s="129">
        <f>IF(AV548="","",AV548&amp;"."&amp;COUNTIFS($A$3:A548,A548,$AV$3:AV548,AV548))</f>
        <v/>
      </c>
      <c r="AX548" s="129">
        <f t="shared" si="369"/>
        <v/>
      </c>
      <c r="AY548" s="129">
        <f>IF(N548="б/к",0,IF(OR(ISNUMBER(SEARCH("L=",Разбивка_по_щитам!P548)),N548="+",N548="="),1,0))</f>
      </c>
      <c r="AZ548" s="129">
        <f t="shared" si="370"/>
        <v/>
      </c>
      <c r="BA548" s="129">
        <f t="shared" si="371"/>
      </c>
      <c r="BB548" s="129">
        <f t="shared" si="372"/>
      </c>
      <c r="BD548" s="129">
        <f t="shared" si="373"/>
      </c>
      <c r="BE548" s="129">
        <f t="shared" si="374"/>
      </c>
      <c r="BF548" s="129">
        <f t="shared" si="375"/>
      </c>
      <c r="BG548" s="129">
        <f t="shared" si="376"/>
        <v/>
      </c>
      <c r="BH548" s="129">
        <f t="shared" si="377"/>
        <v/>
      </c>
      <c r="BI548" s="129">
        <f t="shared" si="378"/>
        <v/>
      </c>
      <c r="BJ548" s="129">
        <f t="shared" si="379"/>
        <v/>
      </c>
      <c r="BK548" s="129">
        <f>IF(R548="","",IF(OR(BY548="",BY548=0),"BOX",IFERROR(IF(VLOOKUP(BY548,УГО_блоки,3,FALSE)&amp;""&lt;&gt;"",VLOOKUP(BY548,УГО_блоки,3,FALSE),VLOOKUP(BY548,УГО_блоки,2,FALSE)),BY548)))</f>
      </c>
      <c r="BL548" s="129">
        <f t="shared" si="381"/>
      </c>
      <c r="BM548" s="129">
        <f>IF(H548="","",IF(COUNTIF($H$3:H548,H548)=1,MAX($BM$2:BM547)+1,""))</f>
      </c>
      <c r="BN548" s="129">
        <f>IF(I548="","",IF(COUNTIF($I$3:I548,I548)+COUNTIF($J$2:J547,I548)+COUNTIF($K$2:K547,I548)=1,MAX($BN$2:BP547)+1,""))</f>
      </c>
      <c r="BO548" s="129">
        <f>IF(J548="","",IF(COUNTIF($I$3:I548,J548)+COUNTIF($J$3:J548,J548)+COUNTIF($K$2:K547,J548)=1,MAX($BN$2:BP547,BN548)+1,""))</f>
      </c>
      <c r="BP548" s="129">
        <f>IF(K548="","",IF(COUNTIF($I$3:I548,K548)+COUNTIF($J$3:J548,K548)+COUNTIF($K$3:K548,K548)=1,MAX($BN$2:BP547,BN548,BO548)+1,""))</f>
      </c>
      <c r="BQ548" s="129">
        <f>IF(AY548=1,IFERROR(MID(Q548,FIND(" (",Q548)+2,FIND(")",Q548,FIND(" (",Q548))-FIND(" (",Q548)-2),"?"),"")</f>
      </c>
      <c r="BR548" s="129">
        <f>IF(BQ548="","",IF(COUNTIF($BQ$3:BQ548,BQ548)=1,MAX($BR$2:BR547)+1,""))</f>
      </c>
      <c r="BS548" s="129">
        <f>IF(AW548="","",COUNTIF($AW$3:AW548,"?*"))</f>
      </c>
      <c r="BT548" s="129">
        <f>IF(OR(AW548="",AI548=""),"",IF(COUNTIFS($AW$3:AW548,"?*",$AI$3:AI548,AI548)=1,MAX($BT$2:BT547)+1,""))</f>
      </c>
      <c r="BU548" s="129">
        <f>IF(AE548="",0,IF(OR(ISNUMBER(SEARCH("дубль",AE548)),ISNUMBER(SEARCH("ПЕРЕГРУЗ",AE548)),ISNUMBER(SEARCH("ЗАЩИЩ",AE548)),ISNUMBER(SEARCH("КАНАЛ",AE548)),ISNUMBER(SEARCH("без 30",AE548))),2,1))</f>
      </c>
      <c r="BV548" s="129">
        <f>IF(R548="","",COUNTIF($R$3:R548,"?*"))</f>
      </c>
      <c r="BW548" s="129">
        <f>IF(AY548&lt;&gt;1,0,IF(MAX(IFERROR(--VLOOKUP(R548,УГО_спр,5,FALSE),0),IFERROR(--VLOOKUP(AL548,УГО_спр,5,FALSE),0),IFERROR(--VLOOKUP(LEFT(AL548,2),УГО_спр,5,FALSE),0))&gt;0,MAX(IFERROR(--VLOOKUP(R548,УГО_спр,5,FALSE),0),IFERROR(--VLOOKUP(AL548,УГО_спр,5,FALSE),0),IFERROR(--VLOOKUP(LEFT(AL548,2),УГО_спр,5,FALSE),0)),IF(IFERROR(--LEFT(SUBSTITUTE(BQ548,"x","х"),FIND("х",SUBSTITUTE(BQ548,"x","х"))-1),3)&gt;3,Каталог!$S$9,1)))</f>
      </c>
      <c r="BX548" s="129">
        <f>IF(AY548&lt;&gt;1,0,MAX(0,IFERROR(--LEFT(SUBSTITUTE(BQ548,"x","х"),FIND("х",SUBSTITUTE(BQ548,"x","х"))-1),3)-3*BW548))</f>
      </c>
      <c r="BY548" s="129">
        <f>IF(R548="","",IFERROR(VLOOKUP(R548,УГО_спр,2,FALSE),IFERROR(VLOOKUP(AL548,УГО_спр,2,FALSE),IFERROR(VLOOKUP(LEFT(AL548,2),УГО_спр,2,FALSE),""))))</f>
      </c>
    </row>
    <row r="549" spans="1:64" x14ac:dyDescent="0.3">
      <c r="A549" s="135">
        <f>IF(Разбивка_по_щитам!F549=0,"",Разбивка_по_щитам!F549)</f>
        <v/>
      </c>
      <c r="B549" s="138">
        <f>IF(A549="","",Разбивка_по_щитам!C549)</f>
        <v/>
      </c>
      <c r="C549" s="138">
        <f t="shared" si="342"/>
        <v/>
      </c>
      <c r="D549" s="266"/>
      <c r="E549" s="266"/>
      <c r="F549" s="267"/>
      <c r="G549" s="145">
        <f t="shared" si="343"/>
        <v/>
      </c>
      <c r="H549" s="145">
        <f t="shared" si="344"/>
        <v/>
      </c>
      <c r="I549" s="266"/>
      <c r="J549" s="267"/>
      <c r="K549" s="267"/>
      <c r="L549" s="266"/>
      <c r="M549" s="147">
        <f t="shared" si="345"/>
        <v/>
      </c>
      <c r="N549" s="267"/>
      <c r="O549" s="147">
        <f t="shared" si="346"/>
        <v/>
      </c>
      <c r="P549" s="268">
        <f>IF(AY549=1,"XT"&amp;COUNTIFS($A$3:A549,A549,$AY$3:AY549,1),"")</f>
        <v/>
      </c>
      <c r="Q549" s="152">
        <f>IF(R549="","",IFERROR(SUBSTITUTE(Разбивка_по_щитам!P549,CHAR(10)," "),""))</f>
        <v/>
      </c>
      <c r="R549" s="153">
        <f>IF(OR(Разбивка_по_щитам!H549="",Разбивка_по_щитам!H549=0),"",Разбивка_по_щитам!H549)</f>
        <v/>
      </c>
      <c r="S549" s="154">
        <f>IF(R549="","",IFERROR(Разбивка_по_щитам!J549&amp;"",""))</f>
        <v/>
      </c>
      <c r="T549" s="155">
        <f>IF(R549="","",IFERROR(--Разбивка_по_щитам!L549,""))</f>
        <v/>
      </c>
      <c r="U549" s="155">
        <f>IF(R549="","",IFERROR(--Разбивка_по_щитам!K549,""))</f>
        <v/>
      </c>
      <c r="V549" s="138">
        <f>IF(R549="","",IFERROR(IF(Разбивка_по_щитам!M549=0,"",Разбивка_по_щитам!M549),""))</f>
        <v/>
      </c>
      <c r="W549" s="156">
        <f t="shared" si="347"/>
        <v/>
      </c>
      <c r="X549" s="157">
        <f t="shared" si="348"/>
        <v/>
      </c>
      <c r="Y549" s="266"/>
      <c r="Z549" s="158">
        <f t="shared" si="349"/>
        <v/>
      </c>
      <c r="AA549" s="160">
        <f t="shared" si="350"/>
        <v/>
      </c>
      <c r="AB549" s="160">
        <f>IF(R549="","",IFERROR(LOOKUP(INDEX(Справочная!$I$4:$I$19,MATCH(VLOOKUP(R549,Исходные_данные,22,FALSE),Справочная!$J$4:$J$19,0)+1),{6,10,16,20,25,32,40,50,63,80,100,125}),""))</f>
        <v/>
      </c>
      <c r="AC549" s="160">
        <f t="shared" si="351"/>
        <v/>
      </c>
      <c r="AD549" s="161">
        <f t="shared" si="352"/>
        <v/>
      </c>
      <c r="AE549" s="161">
        <f>IF(AND(R549="",G549=""),"",_xlfn.TEXTJOIN("; ",TRUE,IF(AND(R549&lt;&gt;"",V549=""),"нет фазы",""),IF(AND(R549&lt;&gt;"",N(T549)=0),"нет мощности",""),IF(AND(P549&lt;&gt;"",COUNTIFS($A$3:$A$1000,A549,$P$3:$P$1000,P549)&gt;1),"дубль клеммы "&amp;P549,""),IF(AND(W549&lt;&gt;"",W549&lt;&gt;"ok"),W549,""),IF(X549&lt;&gt;"",X549,""),IF(AND(ISNUMBER(SEARCH("(5х",Q549)),N(AK549)=1),"5 жил на 1 фазе",""),IF(AND(AL549="R",E549&lt;&gt;"",N(AS549)=0),"розетка без 30 мА",""),IF(IFERROR(_xlfn.NUMBERVALUE(MID(Q549,FIND("-",Q549,FIND("L=",Q549))+1,FIND("%",Q549)-FIND("-",Q549,FIND("L=",Q549))-1),","),0)&gt;4,"потери &gt; 4 %","")))</f>
      </c>
      <c r="AF549" s="129">
        <f>IF(E549&lt;&gt;"",COUNTIFS($A$3:A549,A549,$E$3:E549,"?*"),IF(OR(A549&lt;&gt;A548,Y549="вручную"),"",AF548))</f>
        <v/>
      </c>
      <c r="AG549" s="129">
        <f t="shared" si="353"/>
        <v/>
      </c>
      <c r="AH549" s="129">
        <f t="shared" si="354"/>
        <v/>
      </c>
      <c r="AI549" s="129">
        <f t="shared" si="355"/>
        <v/>
      </c>
      <c r="AJ549" s="129">
        <f t="shared" si="356"/>
        <v/>
      </c>
      <c r="AK549" s="129">
        <f t="shared" si="357"/>
        <v/>
      </c>
      <c r="AL549" s="129">
        <f t="shared" si="358"/>
        <v/>
      </c>
      <c r="AM549" s="129">
        <f t="shared" si="359"/>
      </c>
      <c r="AN549" s="129">
        <f t="shared" si="360"/>
      </c>
      <c r="AO549" s="129">
        <f t="shared" si="361"/>
        <v/>
      </c>
      <c r="AP549" s="129">
        <f t="shared" si="362"/>
        <v/>
      </c>
      <c r="AQ549" s="129">
        <f t="shared" si="363"/>
        <v/>
      </c>
      <c r="AR549" s="129">
        <f t="shared" si="364"/>
        <v/>
      </c>
      <c r="AS549" s="129">
        <f t="shared" si="365"/>
        <v/>
      </c>
      <c r="AT549" s="129">
        <f t="shared" si="366"/>
        <v/>
      </c>
      <c r="AU549" s="129">
        <f t="shared" si="367"/>
        <v/>
      </c>
      <c r="AV549" s="129">
        <f t="shared" si="368"/>
        <v/>
      </c>
      <c r="AW549" s="129">
        <f>IF(AV549="","",AV549&amp;"."&amp;COUNTIFS($A$3:A549,A549,$AV$3:AV549,AV549))</f>
        <v/>
      </c>
      <c r="AX549" s="129">
        <f t="shared" si="369"/>
        <v/>
      </c>
      <c r="AY549" s="129">
        <f>IF(N549="б/к",0,IF(OR(ISNUMBER(SEARCH("L=",Разбивка_по_щитам!P549)),N549="+",N549="="),1,0))</f>
      </c>
      <c r="AZ549" s="129">
        <f t="shared" si="370"/>
        <v/>
      </c>
      <c r="BA549" s="129">
        <f t="shared" si="371"/>
      </c>
      <c r="BB549" s="129">
        <f t="shared" si="372"/>
      </c>
      <c r="BD549" s="129">
        <f t="shared" si="373"/>
      </c>
      <c r="BE549" s="129">
        <f t="shared" si="374"/>
      </c>
      <c r="BF549" s="129">
        <f t="shared" si="375"/>
      </c>
      <c r="BG549" s="129">
        <f t="shared" si="376"/>
        <v/>
      </c>
      <c r="BH549" s="129">
        <f t="shared" si="377"/>
        <v/>
      </c>
      <c r="BI549" s="129">
        <f t="shared" si="378"/>
        <v/>
      </c>
      <c r="BJ549" s="129">
        <f t="shared" si="379"/>
        <v/>
      </c>
      <c r="BK549" s="129">
        <f>IF(R549="","",IF(OR(BY549="",BY549=0),"BOX",IFERROR(IF(VLOOKUP(BY549,УГО_блоки,3,FALSE)&amp;""&lt;&gt;"",VLOOKUP(BY549,УГО_блоки,3,FALSE),VLOOKUP(BY549,УГО_блоки,2,FALSE)),BY549)))</f>
      </c>
      <c r="BL549" s="129">
        <f t="shared" si="381"/>
      </c>
      <c r="BM549" s="129">
        <f>IF(H549="","",IF(COUNTIF($H$3:H549,H549)=1,MAX($BM$2:BM548)+1,""))</f>
      </c>
      <c r="BN549" s="129">
        <f>IF(I549="","",IF(COUNTIF($I$3:I549,I549)+COUNTIF($J$2:J548,I549)+COUNTIF($K$2:K548,I549)=1,MAX($BN$2:BP548)+1,""))</f>
      </c>
      <c r="BO549" s="129">
        <f>IF(J549="","",IF(COUNTIF($I$3:I549,J549)+COUNTIF($J$3:J549,J549)+COUNTIF($K$2:K548,J549)=1,MAX($BN$2:BP548,BN549)+1,""))</f>
      </c>
      <c r="BP549" s="129">
        <f>IF(K549="","",IF(COUNTIF($I$3:I549,K549)+COUNTIF($J$3:J549,K549)+COUNTIF($K$3:K549,K549)=1,MAX($BN$2:BP548,BN549,BO549)+1,""))</f>
      </c>
      <c r="BQ549" s="129">
        <f>IF(AY549=1,IFERROR(MID(Q549,FIND(" (",Q549)+2,FIND(")",Q549,FIND(" (",Q549))-FIND(" (",Q549)-2),"?"),"")</f>
      </c>
      <c r="BR549" s="129">
        <f>IF(BQ549="","",IF(COUNTIF($BQ$3:BQ549,BQ549)=1,MAX($BR$2:BR548)+1,""))</f>
      </c>
      <c r="BS549" s="129">
        <f>IF(AW549="","",COUNTIF($AW$3:AW549,"?*"))</f>
      </c>
      <c r="BT549" s="129">
        <f>IF(OR(AW549="",AI549=""),"",IF(COUNTIFS($AW$3:AW549,"?*",$AI$3:AI549,AI549)=1,MAX($BT$2:BT548)+1,""))</f>
      </c>
      <c r="BU549" s="129">
        <f>IF(AE549="",0,IF(OR(ISNUMBER(SEARCH("дубль",AE549)),ISNUMBER(SEARCH("ПЕРЕГРУЗ",AE549)),ISNUMBER(SEARCH("ЗАЩИЩ",AE549)),ISNUMBER(SEARCH("КАНАЛ",AE549)),ISNUMBER(SEARCH("без 30",AE549))),2,1))</f>
      </c>
      <c r="BV549" s="129">
        <f>IF(R549="","",COUNTIF($R$3:R549,"?*"))</f>
      </c>
      <c r="BW549" s="129">
        <f>IF(AY549&lt;&gt;1,0,IF(MAX(IFERROR(--VLOOKUP(R549,УГО_спр,5,FALSE),0),IFERROR(--VLOOKUP(AL549,УГО_спр,5,FALSE),0),IFERROR(--VLOOKUP(LEFT(AL549,2),УГО_спр,5,FALSE),0))&gt;0,MAX(IFERROR(--VLOOKUP(R549,УГО_спр,5,FALSE),0),IFERROR(--VLOOKUP(AL549,УГО_спр,5,FALSE),0),IFERROR(--VLOOKUP(LEFT(AL549,2),УГО_спр,5,FALSE),0)),IF(IFERROR(--LEFT(SUBSTITUTE(BQ549,"x","х"),FIND("х",SUBSTITUTE(BQ549,"x","х"))-1),3)&gt;3,Каталог!$S$9,1)))</f>
      </c>
      <c r="BX549" s="129">
        <f>IF(AY549&lt;&gt;1,0,MAX(0,IFERROR(--LEFT(SUBSTITUTE(BQ549,"x","х"),FIND("х",SUBSTITUTE(BQ549,"x","х"))-1),3)-3*BW549))</f>
      </c>
      <c r="BY549" s="129">
        <f>IF(R549="","",IFERROR(VLOOKUP(R549,УГО_спр,2,FALSE),IFERROR(VLOOKUP(AL549,УГО_спр,2,FALSE),IFERROR(VLOOKUP(LEFT(AL549,2),УГО_спр,2,FALSE),""))))</f>
      </c>
    </row>
    <row r="550" spans="1:64" x14ac:dyDescent="0.3">
      <c r="A550" s="135">
        <f>IF(Разбивка_по_щитам!F550=0,"",Разбивка_по_щитам!F550)</f>
        <v/>
      </c>
      <c r="B550" s="138">
        <f>IF(A550="","",Разбивка_по_щитам!C550)</f>
        <v/>
      </c>
      <c r="C550" s="138">
        <f t="shared" si="342"/>
        <v/>
      </c>
      <c r="D550" s="266"/>
      <c r="E550" s="266"/>
      <c r="F550" s="267"/>
      <c r="G550" s="145">
        <f t="shared" si="343"/>
        <v/>
      </c>
      <c r="H550" s="145">
        <f t="shared" si="344"/>
        <v/>
      </c>
      <c r="I550" s="266"/>
      <c r="J550" s="267"/>
      <c r="K550" s="267"/>
      <c r="L550" s="266"/>
      <c r="M550" s="147">
        <f t="shared" si="345"/>
        <v/>
      </c>
      <c r="N550" s="267"/>
      <c r="O550" s="147">
        <f t="shared" si="346"/>
        <v/>
      </c>
      <c r="P550" s="268">
        <f>IF(AY550=1,"XT"&amp;COUNTIFS($A$3:A550,A550,$AY$3:AY550,1),"")</f>
        <v/>
      </c>
      <c r="Q550" s="152">
        <f>IF(R550="","",IFERROR(SUBSTITUTE(Разбивка_по_щитам!P550,CHAR(10)," "),""))</f>
        <v/>
      </c>
      <c r="R550" s="153">
        <f>IF(OR(Разбивка_по_щитам!H550="",Разбивка_по_щитам!H550=0),"",Разбивка_по_щитам!H550)</f>
        <v/>
      </c>
      <c r="S550" s="154">
        <f>IF(R550="","",IFERROR(Разбивка_по_щитам!J550&amp;"",""))</f>
        <v/>
      </c>
      <c r="T550" s="155">
        <f>IF(R550="","",IFERROR(--Разбивка_по_щитам!L550,""))</f>
        <v/>
      </c>
      <c r="U550" s="155">
        <f>IF(R550="","",IFERROR(--Разбивка_по_щитам!K550,""))</f>
        <v/>
      </c>
      <c r="V550" s="138">
        <f>IF(R550="","",IFERROR(IF(Разбивка_по_щитам!M550=0,"",Разбивка_по_щитам!M550),""))</f>
        <v/>
      </c>
      <c r="W550" s="156">
        <f t="shared" si="347"/>
        <v/>
      </c>
      <c r="X550" s="157">
        <f t="shared" si="348"/>
        <v/>
      </c>
      <c r="Y550" s="266"/>
      <c r="Z550" s="158">
        <f t="shared" si="349"/>
        <v/>
      </c>
      <c r="AA550" s="160">
        <f t="shared" si="350"/>
        <v/>
      </c>
      <c r="AB550" s="160">
        <f>IF(R550="","",IFERROR(LOOKUP(INDEX(Справочная!$I$4:$I$19,MATCH(VLOOKUP(R550,Исходные_данные,22,FALSE),Справочная!$J$4:$J$19,0)+1),{6,10,16,20,25,32,40,50,63,80,100,125}),""))</f>
        <v/>
      </c>
      <c r="AC550" s="160">
        <f t="shared" si="351"/>
        <v/>
      </c>
      <c r="AD550" s="161">
        <f t="shared" si="352"/>
        <v/>
      </c>
      <c r="AE550" s="161">
        <f>IF(AND(R550="",G550=""),"",_xlfn.TEXTJOIN("; ",TRUE,IF(AND(R550&lt;&gt;"",V550=""),"нет фазы",""),IF(AND(R550&lt;&gt;"",N(T550)=0),"нет мощности",""),IF(AND(P550&lt;&gt;"",COUNTIFS($A$3:$A$1000,A550,$P$3:$P$1000,P550)&gt;1),"дубль клеммы "&amp;P550,""),IF(AND(W550&lt;&gt;"",W550&lt;&gt;"ok"),W550,""),IF(X550&lt;&gt;"",X550,""),IF(AND(ISNUMBER(SEARCH("(5х",Q550)),N(AK550)=1),"5 жил на 1 фазе",""),IF(AND(AL550="R",E550&lt;&gt;"",N(AS550)=0),"розетка без 30 мА",""),IF(IFERROR(_xlfn.NUMBERVALUE(MID(Q550,FIND("-",Q550,FIND("L=",Q550))+1,FIND("%",Q550)-FIND("-",Q550,FIND("L=",Q550))-1),","),0)&gt;4,"потери &gt; 4 %","")))</f>
      </c>
      <c r="AF550" s="129">
        <f>IF(E550&lt;&gt;"",COUNTIFS($A$3:A550,A550,$E$3:E550,"?*"),IF(OR(A550&lt;&gt;A549,Y550="вручную"),"",AF549))</f>
        <v/>
      </c>
      <c r="AG550" s="129">
        <f t="shared" si="353"/>
        <v/>
      </c>
      <c r="AH550" s="129">
        <f t="shared" si="354"/>
        <v/>
      </c>
      <c r="AI550" s="129">
        <f t="shared" si="355"/>
        <v/>
      </c>
      <c r="AJ550" s="129">
        <f t="shared" si="356"/>
        <v/>
      </c>
      <c r="AK550" s="129">
        <f t="shared" si="357"/>
        <v/>
      </c>
      <c r="AL550" s="129">
        <f t="shared" si="358"/>
        <v/>
      </c>
      <c r="AM550" s="129">
        <f t="shared" si="359"/>
      </c>
      <c r="AN550" s="129">
        <f t="shared" si="360"/>
      </c>
      <c r="AO550" s="129">
        <f t="shared" si="361"/>
        <v/>
      </c>
      <c r="AP550" s="129">
        <f t="shared" si="362"/>
        <v/>
      </c>
      <c r="AQ550" s="129">
        <f t="shared" si="363"/>
        <v/>
      </c>
      <c r="AR550" s="129">
        <f t="shared" si="364"/>
        <v/>
      </c>
      <c r="AS550" s="129">
        <f t="shared" si="365"/>
        <v/>
      </c>
      <c r="AT550" s="129">
        <f t="shared" si="366"/>
        <v/>
      </c>
      <c r="AU550" s="129">
        <f t="shared" si="367"/>
        <v/>
      </c>
      <c r="AV550" s="129">
        <f t="shared" si="368"/>
        <v/>
      </c>
      <c r="AW550" s="129">
        <f>IF(AV550="","",AV550&amp;"."&amp;COUNTIFS($A$3:A550,A550,$AV$3:AV550,AV550))</f>
        <v/>
      </c>
      <c r="AX550" s="129">
        <f t="shared" si="369"/>
        <v/>
      </c>
      <c r="AY550" s="129">
        <f>IF(N550="б/к",0,IF(OR(ISNUMBER(SEARCH("L=",Разбивка_по_щитам!P550)),N550="+",N550="="),1,0))</f>
      </c>
      <c r="AZ550" s="129">
        <f t="shared" si="370"/>
        <v/>
      </c>
      <c r="BA550" s="129">
        <f t="shared" si="371"/>
      </c>
      <c r="BB550" s="129">
        <f t="shared" si="372"/>
      </c>
      <c r="BD550" s="129">
        <f t="shared" si="373"/>
      </c>
      <c r="BE550" s="129">
        <f t="shared" si="374"/>
      </c>
      <c r="BF550" s="129">
        <f t="shared" si="375"/>
      </c>
      <c r="BG550" s="129">
        <f t="shared" si="376"/>
        <v/>
      </c>
      <c r="BH550" s="129">
        <f t="shared" si="377"/>
        <v/>
      </c>
      <c r="BI550" s="129">
        <f t="shared" si="378"/>
        <v/>
      </c>
      <c r="BJ550" s="129">
        <f t="shared" si="379"/>
        <v/>
      </c>
      <c r="BK550" s="129">
        <f>IF(R550="","",IF(OR(BY550="",BY550=0),"BOX",IFERROR(IF(VLOOKUP(BY550,УГО_блоки,3,FALSE)&amp;""&lt;&gt;"",VLOOKUP(BY550,УГО_блоки,3,FALSE),VLOOKUP(BY550,УГО_блоки,2,FALSE)),BY550)))</f>
      </c>
      <c r="BL550" s="129">
        <f t="shared" si="381"/>
      </c>
      <c r="BM550" s="129">
        <f>IF(H550="","",IF(COUNTIF($H$3:H550,H550)=1,MAX($BM$2:BM549)+1,""))</f>
      </c>
      <c r="BN550" s="129">
        <f>IF(I550="","",IF(COUNTIF($I$3:I550,I550)+COUNTIF($J$2:J549,I550)+COUNTIF($K$2:K549,I550)=1,MAX($BN$2:BP549)+1,""))</f>
      </c>
      <c r="BO550" s="129">
        <f>IF(J550="","",IF(COUNTIF($I$3:I550,J550)+COUNTIF($J$3:J550,J550)+COUNTIF($K$2:K549,J550)=1,MAX($BN$2:BP549,BN550)+1,""))</f>
      </c>
      <c r="BP550" s="129">
        <f>IF(K550="","",IF(COUNTIF($I$3:I550,K550)+COUNTIF($J$3:J550,K550)+COUNTIF($K$3:K550,K550)=1,MAX($BN$2:BP549,BN550,BO550)+1,""))</f>
      </c>
      <c r="BQ550" s="129">
        <f>IF(AY550=1,IFERROR(MID(Q550,FIND(" (",Q550)+2,FIND(")",Q550,FIND(" (",Q550))-FIND(" (",Q550)-2),"?"),"")</f>
      </c>
      <c r="BR550" s="129">
        <f>IF(BQ550="","",IF(COUNTIF($BQ$3:BQ550,BQ550)=1,MAX($BR$2:BR549)+1,""))</f>
      </c>
      <c r="BS550" s="129">
        <f>IF(AW550="","",COUNTIF($AW$3:AW550,"?*"))</f>
      </c>
      <c r="BT550" s="129">
        <f>IF(OR(AW550="",AI550=""),"",IF(COUNTIFS($AW$3:AW550,"?*",$AI$3:AI550,AI550)=1,MAX($BT$2:BT549)+1,""))</f>
      </c>
      <c r="BU550" s="129">
        <f>IF(AE550="",0,IF(OR(ISNUMBER(SEARCH("дубль",AE550)),ISNUMBER(SEARCH("ПЕРЕГРУЗ",AE550)),ISNUMBER(SEARCH("ЗАЩИЩ",AE550)),ISNUMBER(SEARCH("КАНАЛ",AE550)),ISNUMBER(SEARCH("без 30",AE550))),2,1))</f>
      </c>
      <c r="BV550" s="129">
        <f>IF(R550="","",COUNTIF($R$3:R550,"?*"))</f>
      </c>
      <c r="BW550" s="129">
        <f>IF(AY550&lt;&gt;1,0,IF(MAX(IFERROR(--VLOOKUP(R550,УГО_спр,5,FALSE),0),IFERROR(--VLOOKUP(AL550,УГО_спр,5,FALSE),0),IFERROR(--VLOOKUP(LEFT(AL550,2),УГО_спр,5,FALSE),0))&gt;0,MAX(IFERROR(--VLOOKUP(R550,УГО_спр,5,FALSE),0),IFERROR(--VLOOKUP(AL550,УГО_спр,5,FALSE),0),IFERROR(--VLOOKUP(LEFT(AL550,2),УГО_спр,5,FALSE),0)),IF(IFERROR(--LEFT(SUBSTITUTE(BQ550,"x","х"),FIND("х",SUBSTITUTE(BQ550,"x","х"))-1),3)&gt;3,Каталог!$S$9,1)))</f>
      </c>
      <c r="BX550" s="129">
        <f>IF(AY550&lt;&gt;1,0,MAX(0,IFERROR(--LEFT(SUBSTITUTE(BQ550,"x","х"),FIND("х",SUBSTITUTE(BQ550,"x","х"))-1),3)-3*BW550))</f>
      </c>
      <c r="BY550" s="129">
        <f>IF(R550="","",IFERROR(VLOOKUP(R550,УГО_спр,2,FALSE),IFERROR(VLOOKUP(AL550,УГО_спр,2,FALSE),IFERROR(VLOOKUP(LEFT(AL550,2),УГО_спр,2,FALSE),""))))</f>
      </c>
    </row>
    <row r="551" spans="1:64" x14ac:dyDescent="0.3">
      <c r="A551" s="135">
        <f>IF(Разбивка_по_щитам!F551=0,"",Разбивка_по_щитам!F551)</f>
        <v/>
      </c>
      <c r="B551" s="138">
        <f>IF(A551="","",Разбивка_по_щитам!C551)</f>
        <v/>
      </c>
      <c r="C551" s="138">
        <f t="shared" si="342"/>
        <v/>
      </c>
      <c r="D551" s="266"/>
      <c r="E551" s="266"/>
      <c r="F551" s="267"/>
      <c r="G551" s="145">
        <f t="shared" si="343"/>
        <v/>
      </c>
      <c r="H551" s="145">
        <f t="shared" si="344"/>
        <v/>
      </c>
      <c r="I551" s="266"/>
      <c r="J551" s="267"/>
      <c r="K551" s="267"/>
      <c r="L551" s="266"/>
      <c r="M551" s="147">
        <f t="shared" si="345"/>
        <v/>
      </c>
      <c r="N551" s="267"/>
      <c r="O551" s="147">
        <f t="shared" si="346"/>
        <v/>
      </c>
      <c r="P551" s="268">
        <f>IF(AY551=1,"XT"&amp;COUNTIFS($A$3:A551,A551,$AY$3:AY551,1),"")</f>
        <v/>
      </c>
      <c r="Q551" s="152">
        <f>IF(R551="","",IFERROR(SUBSTITUTE(Разбивка_по_щитам!P551,CHAR(10)," "),""))</f>
        <v/>
      </c>
      <c r="R551" s="153">
        <f>IF(OR(Разбивка_по_щитам!H551="",Разбивка_по_щитам!H551=0),"",Разбивка_по_щитам!H551)</f>
        <v/>
      </c>
      <c r="S551" s="154">
        <f>IF(R551="","",IFERROR(Разбивка_по_щитам!J551&amp;"",""))</f>
        <v/>
      </c>
      <c r="T551" s="155">
        <f>IF(R551="","",IFERROR(--Разбивка_по_щитам!L551,""))</f>
        <v/>
      </c>
      <c r="U551" s="155">
        <f>IF(R551="","",IFERROR(--Разбивка_по_щитам!K551,""))</f>
        <v/>
      </c>
      <c r="V551" s="138">
        <f>IF(R551="","",IFERROR(IF(Разбивка_по_щитам!M551=0,"",Разбивка_по_щитам!M551),""))</f>
        <v/>
      </c>
      <c r="W551" s="156">
        <f t="shared" si="347"/>
        <v/>
      </c>
      <c r="X551" s="157">
        <f t="shared" si="348"/>
        <v/>
      </c>
      <c r="Y551" s="266"/>
      <c r="Z551" s="158">
        <f t="shared" si="349"/>
        <v/>
      </c>
      <c r="AA551" s="160">
        <f t="shared" si="350"/>
        <v/>
      </c>
      <c r="AB551" s="160">
        <f>IF(R551="","",IFERROR(LOOKUP(INDEX(Справочная!$I$4:$I$19,MATCH(VLOOKUP(R551,Исходные_данные,22,FALSE),Справочная!$J$4:$J$19,0)+1),{6,10,16,20,25,32,40,50,63,80,100,125}),""))</f>
        <v/>
      </c>
      <c r="AC551" s="160">
        <f t="shared" si="351"/>
        <v/>
      </c>
      <c r="AD551" s="161">
        <f t="shared" si="352"/>
        <v/>
      </c>
      <c r="AE551" s="161">
        <f>IF(AND(R551="",G551=""),"",_xlfn.TEXTJOIN("; ",TRUE,IF(AND(R551&lt;&gt;"",V551=""),"нет фазы",""),IF(AND(R551&lt;&gt;"",N(T551)=0),"нет мощности",""),IF(AND(P551&lt;&gt;"",COUNTIFS($A$3:$A$1000,A551,$P$3:$P$1000,P551)&gt;1),"дубль клеммы "&amp;P551,""),IF(AND(W551&lt;&gt;"",W551&lt;&gt;"ok"),W551,""),IF(X551&lt;&gt;"",X551,""),IF(AND(ISNUMBER(SEARCH("(5х",Q551)),N(AK551)=1),"5 жил на 1 фазе",""),IF(AND(AL551="R",E551&lt;&gt;"",N(AS551)=0),"розетка без 30 мА",""),IF(IFERROR(_xlfn.NUMBERVALUE(MID(Q551,FIND("-",Q551,FIND("L=",Q551))+1,FIND("%",Q551)-FIND("-",Q551,FIND("L=",Q551))-1),","),0)&gt;4,"потери &gt; 4 %","")))</f>
      </c>
      <c r="AF551" s="129">
        <f>IF(E551&lt;&gt;"",COUNTIFS($A$3:A551,A551,$E$3:E551,"?*"),IF(OR(A551&lt;&gt;A550,Y551="вручную"),"",AF550))</f>
        <v/>
      </c>
      <c r="AG551" s="129">
        <f t="shared" si="353"/>
        <v/>
      </c>
      <c r="AH551" s="129">
        <f t="shared" si="354"/>
        <v/>
      </c>
      <c r="AI551" s="129">
        <f t="shared" si="355"/>
        <v/>
      </c>
      <c r="AJ551" s="129">
        <f t="shared" si="356"/>
        <v/>
      </c>
      <c r="AK551" s="129">
        <f t="shared" si="357"/>
        <v/>
      </c>
      <c r="AL551" s="129">
        <f t="shared" si="358"/>
        <v/>
      </c>
      <c r="AM551" s="129">
        <f t="shared" si="359"/>
      </c>
      <c r="AN551" s="129">
        <f t="shared" si="360"/>
      </c>
      <c r="AO551" s="129">
        <f t="shared" si="361"/>
        <v/>
      </c>
      <c r="AP551" s="129">
        <f t="shared" si="362"/>
        <v/>
      </c>
      <c r="AQ551" s="129">
        <f t="shared" si="363"/>
        <v/>
      </c>
      <c r="AR551" s="129">
        <f t="shared" si="364"/>
        <v/>
      </c>
      <c r="AS551" s="129">
        <f t="shared" si="365"/>
        <v/>
      </c>
      <c r="AT551" s="129">
        <f t="shared" si="366"/>
        <v/>
      </c>
      <c r="AU551" s="129">
        <f t="shared" si="367"/>
        <v/>
      </c>
      <c r="AV551" s="129">
        <f t="shared" si="368"/>
        <v/>
      </c>
      <c r="AW551" s="129">
        <f>IF(AV551="","",AV551&amp;"."&amp;COUNTIFS($A$3:A551,A551,$AV$3:AV551,AV551))</f>
        <v/>
      </c>
      <c r="AX551" s="129">
        <f t="shared" si="369"/>
        <v/>
      </c>
      <c r="AY551" s="129">
        <f>IF(N551="б/к",0,IF(OR(ISNUMBER(SEARCH("L=",Разбивка_по_щитам!P551)),N551="+",N551="="),1,0))</f>
      </c>
      <c r="AZ551" s="129">
        <f t="shared" si="370"/>
        <v/>
      </c>
      <c r="BA551" s="129">
        <f t="shared" si="371"/>
      </c>
      <c r="BB551" s="129">
        <f t="shared" si="372"/>
      </c>
      <c r="BD551" s="129">
        <f t="shared" si="373"/>
      </c>
      <c r="BE551" s="129">
        <f t="shared" si="374"/>
      </c>
      <c r="BF551" s="129">
        <f t="shared" si="375"/>
      </c>
      <c r="BG551" s="129">
        <f t="shared" si="376"/>
        <v/>
      </c>
      <c r="BH551" s="129">
        <f t="shared" si="377"/>
        <v/>
      </c>
      <c r="BI551" s="129">
        <f t="shared" si="378"/>
        <v/>
      </c>
      <c r="BJ551" s="129">
        <f t="shared" si="379"/>
        <v/>
      </c>
      <c r="BK551" s="129">
        <f>IF(R551="","",IF(OR(BY551="",BY551=0),"BOX",IFERROR(IF(VLOOKUP(BY551,УГО_блоки,3,FALSE)&amp;""&lt;&gt;"",VLOOKUP(BY551,УГО_блоки,3,FALSE),VLOOKUP(BY551,УГО_блоки,2,FALSE)),BY551)))</f>
      </c>
      <c r="BL551" s="129">
        <f t="shared" si="381"/>
      </c>
      <c r="BM551" s="129">
        <f>IF(H551="","",IF(COUNTIF($H$3:H551,H551)=1,MAX($BM$2:BM550)+1,""))</f>
      </c>
      <c r="BN551" s="129">
        <f>IF(I551="","",IF(COUNTIF($I$3:I551,I551)+COUNTIF($J$2:J550,I551)+COUNTIF($K$2:K550,I551)=1,MAX($BN$2:BP550)+1,""))</f>
      </c>
      <c r="BO551" s="129">
        <f>IF(J551="","",IF(COUNTIF($I$3:I551,J551)+COUNTIF($J$3:J551,J551)+COUNTIF($K$2:K550,J551)=1,MAX($BN$2:BP550,BN551)+1,""))</f>
      </c>
      <c r="BP551" s="129">
        <f>IF(K551="","",IF(COUNTIF($I$3:I551,K551)+COUNTIF($J$3:J551,K551)+COUNTIF($K$3:K551,K551)=1,MAX($BN$2:BP550,BN551,BO551)+1,""))</f>
      </c>
      <c r="BQ551" s="129">
        <f>IF(AY551=1,IFERROR(MID(Q551,FIND(" (",Q551)+2,FIND(")",Q551,FIND(" (",Q551))-FIND(" (",Q551)-2),"?"),"")</f>
      </c>
      <c r="BR551" s="129">
        <f>IF(BQ551="","",IF(COUNTIF($BQ$3:BQ551,BQ551)=1,MAX($BR$2:BR550)+1,""))</f>
      </c>
      <c r="BS551" s="129">
        <f>IF(AW551="","",COUNTIF($AW$3:AW551,"?*"))</f>
      </c>
      <c r="BT551" s="129">
        <f>IF(OR(AW551="",AI551=""),"",IF(COUNTIFS($AW$3:AW551,"?*",$AI$3:AI551,AI551)=1,MAX($BT$2:BT550)+1,""))</f>
      </c>
      <c r="BU551" s="129">
        <f>IF(AE551="",0,IF(OR(ISNUMBER(SEARCH("дубль",AE551)),ISNUMBER(SEARCH("ПЕРЕГРУЗ",AE551)),ISNUMBER(SEARCH("ЗАЩИЩ",AE551)),ISNUMBER(SEARCH("КАНАЛ",AE551)),ISNUMBER(SEARCH("без 30",AE551))),2,1))</f>
      </c>
      <c r="BV551" s="129">
        <f>IF(R551="","",COUNTIF($R$3:R551,"?*"))</f>
      </c>
      <c r="BW551" s="129">
        <f>IF(AY551&lt;&gt;1,0,IF(MAX(IFERROR(--VLOOKUP(R551,УГО_спр,5,FALSE),0),IFERROR(--VLOOKUP(AL551,УГО_спр,5,FALSE),0),IFERROR(--VLOOKUP(LEFT(AL551,2),УГО_спр,5,FALSE),0))&gt;0,MAX(IFERROR(--VLOOKUP(R551,УГО_спр,5,FALSE),0),IFERROR(--VLOOKUP(AL551,УГО_спр,5,FALSE),0),IFERROR(--VLOOKUP(LEFT(AL551,2),УГО_спр,5,FALSE),0)),IF(IFERROR(--LEFT(SUBSTITUTE(BQ551,"x","х"),FIND("х",SUBSTITUTE(BQ551,"x","х"))-1),3)&gt;3,Каталог!$S$9,1)))</f>
      </c>
      <c r="BX551" s="129">
        <f>IF(AY551&lt;&gt;1,0,MAX(0,IFERROR(--LEFT(SUBSTITUTE(BQ551,"x","х"),FIND("х",SUBSTITUTE(BQ551,"x","х"))-1),3)-3*BW551))</f>
      </c>
      <c r="BY551" s="129">
        <f>IF(R551="","",IFERROR(VLOOKUP(R551,УГО_спр,2,FALSE),IFERROR(VLOOKUP(AL551,УГО_спр,2,FALSE),IFERROR(VLOOKUP(LEFT(AL551,2),УГО_спр,2,FALSE),""))))</f>
      </c>
    </row>
    <row r="552" spans="1:64" x14ac:dyDescent="0.3">
      <c r="A552" s="135">
        <f>IF(Разбивка_по_щитам!F552=0,"",Разбивка_по_щитам!F552)</f>
        <v/>
      </c>
      <c r="B552" s="138">
        <f>IF(A552="","",Разбивка_по_щитам!C552)</f>
        <v/>
      </c>
      <c r="C552" s="138">
        <f t="shared" si="342"/>
        <v/>
      </c>
      <c r="D552" s="266"/>
      <c r="E552" s="266"/>
      <c r="F552" s="267"/>
      <c r="G552" s="145">
        <f t="shared" si="343"/>
        <v/>
      </c>
      <c r="H552" s="145">
        <f t="shared" si="344"/>
        <v/>
      </c>
      <c r="I552" s="266"/>
      <c r="J552" s="267"/>
      <c r="K552" s="267"/>
      <c r="L552" s="266"/>
      <c r="M552" s="147">
        <f t="shared" si="345"/>
        <v/>
      </c>
      <c r="N552" s="267"/>
      <c r="O552" s="147">
        <f t="shared" si="346"/>
        <v/>
      </c>
      <c r="P552" s="268">
        <f>IF(AY552=1,"XT"&amp;COUNTIFS($A$3:A552,A552,$AY$3:AY552,1),"")</f>
        <v/>
      </c>
      <c r="Q552" s="152">
        <f>IF(R552="","",IFERROR(SUBSTITUTE(Разбивка_по_щитам!P552,CHAR(10)," "),""))</f>
        <v/>
      </c>
      <c r="R552" s="153">
        <f>IF(OR(Разбивка_по_щитам!H552="",Разбивка_по_щитам!H552=0),"",Разбивка_по_щитам!H552)</f>
        <v/>
      </c>
      <c r="S552" s="154">
        <f>IF(R552="","",IFERROR(Разбивка_по_щитам!J552&amp;"",""))</f>
        <v/>
      </c>
      <c r="T552" s="155">
        <f>IF(R552="","",IFERROR(--Разбивка_по_щитам!L552,""))</f>
        <v/>
      </c>
      <c r="U552" s="155">
        <f>IF(R552="","",IFERROR(--Разбивка_по_щитам!K552,""))</f>
        <v/>
      </c>
      <c r="V552" s="138">
        <f>IF(R552="","",IFERROR(IF(Разбивка_по_щитам!M552=0,"",Разбивка_по_щитам!M552),""))</f>
        <v/>
      </c>
      <c r="W552" s="156">
        <f t="shared" si="347"/>
        <v/>
      </c>
      <c r="X552" s="157">
        <f t="shared" si="348"/>
        <v/>
      </c>
      <c r="Y552" s="266"/>
      <c r="Z552" s="158">
        <f t="shared" si="349"/>
        <v/>
      </c>
      <c r="AA552" s="160">
        <f t="shared" si="350"/>
        <v/>
      </c>
      <c r="AB552" s="160">
        <f>IF(R552="","",IFERROR(LOOKUP(INDEX(Справочная!$I$4:$I$19,MATCH(VLOOKUP(R552,Исходные_данные,22,FALSE),Справочная!$J$4:$J$19,0)+1),{6,10,16,20,25,32,40,50,63,80,100,125}),""))</f>
        <v/>
      </c>
      <c r="AC552" s="160">
        <f t="shared" si="351"/>
        <v/>
      </c>
      <c r="AD552" s="161">
        <f t="shared" si="352"/>
        <v/>
      </c>
      <c r="AE552" s="161">
        <f>IF(AND(R552="",G552=""),"",_xlfn.TEXTJOIN("; ",TRUE,IF(AND(R552&lt;&gt;"",V552=""),"нет фазы",""),IF(AND(R552&lt;&gt;"",N(T552)=0),"нет мощности",""),IF(AND(P552&lt;&gt;"",COUNTIFS($A$3:$A$1000,A552,$P$3:$P$1000,P552)&gt;1),"дубль клеммы "&amp;P552,""),IF(AND(W552&lt;&gt;"",W552&lt;&gt;"ok"),W552,""),IF(X552&lt;&gt;"",X552,""),IF(AND(ISNUMBER(SEARCH("(5х",Q552)),N(AK552)=1),"5 жил на 1 фазе",""),IF(AND(AL552="R",E552&lt;&gt;"",N(AS552)=0),"розетка без 30 мА",""),IF(IFERROR(_xlfn.NUMBERVALUE(MID(Q552,FIND("-",Q552,FIND("L=",Q552))+1,FIND("%",Q552)-FIND("-",Q552,FIND("L=",Q552))-1),","),0)&gt;4,"потери &gt; 4 %","")))</f>
      </c>
      <c r="AF552" s="129">
        <f>IF(E552&lt;&gt;"",COUNTIFS($A$3:A552,A552,$E$3:E552,"?*"),IF(OR(A552&lt;&gt;A551,Y552="вручную"),"",AF551))</f>
        <v/>
      </c>
      <c r="AG552" s="129">
        <f t="shared" si="353"/>
        <v/>
      </c>
      <c r="AH552" s="129">
        <f t="shared" si="354"/>
        <v/>
      </c>
      <c r="AI552" s="129">
        <f t="shared" si="355"/>
        <v/>
      </c>
      <c r="AJ552" s="129">
        <f t="shared" si="356"/>
        <v/>
      </c>
      <c r="AK552" s="129">
        <f t="shared" si="357"/>
        <v/>
      </c>
      <c r="AL552" s="129">
        <f t="shared" si="358"/>
        <v/>
      </c>
      <c r="AM552" s="129">
        <f t="shared" si="359"/>
      </c>
      <c r="AN552" s="129">
        <f t="shared" si="360"/>
      </c>
      <c r="AO552" s="129">
        <f t="shared" si="361"/>
        <v/>
      </c>
      <c r="AP552" s="129">
        <f t="shared" si="362"/>
        <v/>
      </c>
      <c r="AQ552" s="129">
        <f t="shared" si="363"/>
        <v/>
      </c>
      <c r="AR552" s="129">
        <f t="shared" si="364"/>
        <v/>
      </c>
      <c r="AS552" s="129">
        <f t="shared" si="365"/>
        <v/>
      </c>
      <c r="AT552" s="129">
        <f t="shared" si="366"/>
        <v/>
      </c>
      <c r="AU552" s="129">
        <f t="shared" si="367"/>
        <v/>
      </c>
      <c r="AV552" s="129">
        <f t="shared" si="368"/>
        <v/>
      </c>
      <c r="AW552" s="129">
        <f>IF(AV552="","",AV552&amp;"."&amp;COUNTIFS($A$3:A552,A552,$AV$3:AV552,AV552))</f>
        <v/>
      </c>
      <c r="AX552" s="129">
        <f t="shared" si="369"/>
        <v/>
      </c>
      <c r="AY552" s="129">
        <f>IF(N552="б/к",0,IF(OR(ISNUMBER(SEARCH("L=",Разбивка_по_щитам!P552)),N552="+",N552="="),1,0))</f>
      </c>
      <c r="AZ552" s="129">
        <f t="shared" si="370"/>
        <v/>
      </c>
      <c r="BA552" s="129">
        <f t="shared" si="371"/>
      </c>
      <c r="BB552" s="129">
        <f t="shared" si="372"/>
      </c>
      <c r="BD552" s="129">
        <f t="shared" si="373"/>
      </c>
      <c r="BE552" s="129">
        <f t="shared" si="374"/>
      </c>
      <c r="BF552" s="129">
        <f t="shared" si="375"/>
      </c>
      <c r="BG552" s="129">
        <f t="shared" si="376"/>
        <v/>
      </c>
      <c r="BH552" s="129">
        <f t="shared" si="377"/>
        <v/>
      </c>
      <c r="BI552" s="129">
        <f t="shared" si="378"/>
        <v/>
      </c>
      <c r="BJ552" s="129">
        <f t="shared" si="379"/>
        <v/>
      </c>
      <c r="BK552" s="129">
        <f>IF(R552="","",IF(OR(BY552="",BY552=0),"BOX",IFERROR(IF(VLOOKUP(BY552,УГО_блоки,3,FALSE)&amp;""&lt;&gt;"",VLOOKUP(BY552,УГО_блоки,3,FALSE),VLOOKUP(BY552,УГО_блоки,2,FALSE)),BY552)))</f>
      </c>
      <c r="BL552" s="129">
        <f t="shared" si="381"/>
      </c>
      <c r="BM552" s="129">
        <f>IF(H552="","",IF(COUNTIF($H$3:H552,H552)=1,MAX($BM$2:BM551)+1,""))</f>
      </c>
      <c r="BN552" s="129">
        <f>IF(I552="","",IF(COUNTIF($I$3:I552,I552)+COUNTIF($J$2:J551,I552)+COUNTIF($K$2:K551,I552)=1,MAX($BN$2:BP551)+1,""))</f>
      </c>
      <c r="BO552" s="129">
        <f>IF(J552="","",IF(COUNTIF($I$3:I552,J552)+COUNTIF($J$3:J552,J552)+COUNTIF($K$2:K551,J552)=1,MAX($BN$2:BP551,BN552)+1,""))</f>
      </c>
      <c r="BP552" s="129">
        <f>IF(K552="","",IF(COUNTIF($I$3:I552,K552)+COUNTIF($J$3:J552,K552)+COUNTIF($K$3:K552,K552)=1,MAX($BN$2:BP551,BN552,BO552)+1,""))</f>
      </c>
      <c r="BQ552" s="129">
        <f>IF(AY552=1,IFERROR(MID(Q552,FIND(" (",Q552)+2,FIND(")",Q552,FIND(" (",Q552))-FIND(" (",Q552)-2),"?"),"")</f>
      </c>
      <c r="BR552" s="129">
        <f>IF(BQ552="","",IF(COUNTIF($BQ$3:BQ552,BQ552)=1,MAX($BR$2:BR551)+1,""))</f>
      </c>
      <c r="BS552" s="129">
        <f>IF(AW552="","",COUNTIF($AW$3:AW552,"?*"))</f>
      </c>
      <c r="BT552" s="129">
        <f>IF(OR(AW552="",AI552=""),"",IF(COUNTIFS($AW$3:AW552,"?*",$AI$3:AI552,AI552)=1,MAX($BT$2:BT551)+1,""))</f>
      </c>
      <c r="BU552" s="129">
        <f>IF(AE552="",0,IF(OR(ISNUMBER(SEARCH("дубль",AE552)),ISNUMBER(SEARCH("ПЕРЕГРУЗ",AE552)),ISNUMBER(SEARCH("ЗАЩИЩ",AE552)),ISNUMBER(SEARCH("КАНАЛ",AE552)),ISNUMBER(SEARCH("без 30",AE552))),2,1))</f>
      </c>
      <c r="BV552" s="129">
        <f>IF(R552="","",COUNTIF($R$3:R552,"?*"))</f>
      </c>
      <c r="BW552" s="129">
        <f>IF(AY552&lt;&gt;1,0,IF(MAX(IFERROR(--VLOOKUP(R552,УГО_спр,5,FALSE),0),IFERROR(--VLOOKUP(AL552,УГО_спр,5,FALSE),0),IFERROR(--VLOOKUP(LEFT(AL552,2),УГО_спр,5,FALSE),0))&gt;0,MAX(IFERROR(--VLOOKUP(R552,УГО_спр,5,FALSE),0),IFERROR(--VLOOKUP(AL552,УГО_спр,5,FALSE),0),IFERROR(--VLOOKUP(LEFT(AL552,2),УГО_спр,5,FALSE),0)),IF(IFERROR(--LEFT(SUBSTITUTE(BQ552,"x","х"),FIND("х",SUBSTITUTE(BQ552,"x","х"))-1),3)&gt;3,Каталог!$S$9,1)))</f>
      </c>
      <c r="BX552" s="129">
        <f>IF(AY552&lt;&gt;1,0,MAX(0,IFERROR(--LEFT(SUBSTITUTE(BQ552,"x","х"),FIND("х",SUBSTITUTE(BQ552,"x","х"))-1),3)-3*BW552))</f>
      </c>
      <c r="BY552" s="129">
        <f>IF(R552="","",IFERROR(VLOOKUP(R552,УГО_спр,2,FALSE),IFERROR(VLOOKUP(AL552,УГО_спр,2,FALSE),IFERROR(VLOOKUP(LEFT(AL552,2),УГО_спр,2,FALSE),""))))</f>
      </c>
    </row>
    <row r="553" spans="1:64" x14ac:dyDescent="0.3">
      <c r="A553" s="135">
        <f>IF(Разбивка_по_щитам!F553=0,"",Разбивка_по_щитам!F553)</f>
        <v/>
      </c>
      <c r="B553" s="138">
        <f>IF(A553="","",Разбивка_по_щитам!C553)</f>
        <v/>
      </c>
      <c r="C553" s="138">
        <f t="shared" si="342"/>
        <v/>
      </c>
      <c r="D553" s="266"/>
      <c r="E553" s="266"/>
      <c r="F553" s="267"/>
      <c r="G553" s="145">
        <f t="shared" si="343"/>
        <v/>
      </c>
      <c r="H553" s="145">
        <f t="shared" si="344"/>
        <v/>
      </c>
      <c r="I553" s="266"/>
      <c r="J553" s="267"/>
      <c r="K553" s="267"/>
      <c r="L553" s="266"/>
      <c r="M553" s="147">
        <f t="shared" si="345"/>
        <v/>
      </c>
      <c r="N553" s="267"/>
      <c r="O553" s="147">
        <f t="shared" si="346"/>
        <v/>
      </c>
      <c r="P553" s="268">
        <f>IF(AY553=1,"XT"&amp;COUNTIFS($A$3:A553,A553,$AY$3:AY553,1),"")</f>
        <v/>
      </c>
      <c r="Q553" s="152">
        <f>IF(R553="","",IFERROR(SUBSTITUTE(Разбивка_по_щитам!P553,CHAR(10)," "),""))</f>
        <v/>
      </c>
      <c r="R553" s="153">
        <f>IF(OR(Разбивка_по_щитам!H553="",Разбивка_по_щитам!H553=0),"",Разбивка_по_щитам!H553)</f>
        <v/>
      </c>
      <c r="S553" s="154">
        <f>IF(R553="","",IFERROR(Разбивка_по_щитам!J553&amp;"",""))</f>
        <v/>
      </c>
      <c r="T553" s="155">
        <f>IF(R553="","",IFERROR(--Разбивка_по_щитам!L553,""))</f>
        <v/>
      </c>
      <c r="U553" s="155">
        <f>IF(R553="","",IFERROR(--Разбивка_по_щитам!K553,""))</f>
        <v/>
      </c>
      <c r="V553" s="138">
        <f>IF(R553="","",IFERROR(IF(Разбивка_по_щитам!M553=0,"",Разбивка_по_щитам!M553),""))</f>
        <v/>
      </c>
      <c r="W553" s="156">
        <f t="shared" si="347"/>
        <v/>
      </c>
      <c r="X553" s="157">
        <f t="shared" si="348"/>
        <v/>
      </c>
      <c r="Y553" s="266"/>
      <c r="Z553" s="158">
        <f t="shared" si="349"/>
        <v/>
      </c>
      <c r="AA553" s="160">
        <f t="shared" si="350"/>
        <v/>
      </c>
      <c r="AB553" s="160">
        <f>IF(R553="","",IFERROR(LOOKUP(INDEX(Справочная!$I$4:$I$19,MATCH(VLOOKUP(R553,Исходные_данные,22,FALSE),Справочная!$J$4:$J$19,0)+1),{6,10,16,20,25,32,40,50,63,80,100,125}),""))</f>
        <v/>
      </c>
      <c r="AC553" s="160">
        <f t="shared" si="351"/>
        <v/>
      </c>
      <c r="AD553" s="161">
        <f t="shared" si="352"/>
        <v/>
      </c>
      <c r="AE553" s="161">
        <f>IF(AND(R553="",G553=""),"",_xlfn.TEXTJOIN("; ",TRUE,IF(AND(R553&lt;&gt;"",V553=""),"нет фазы",""),IF(AND(R553&lt;&gt;"",N(T553)=0),"нет мощности",""),IF(AND(P553&lt;&gt;"",COUNTIFS($A$3:$A$1000,A553,$P$3:$P$1000,P553)&gt;1),"дубль клеммы "&amp;P553,""),IF(AND(W553&lt;&gt;"",W553&lt;&gt;"ok"),W553,""),IF(X553&lt;&gt;"",X553,""),IF(AND(ISNUMBER(SEARCH("(5х",Q553)),N(AK553)=1),"5 жил на 1 фазе",""),IF(AND(AL553="R",E553&lt;&gt;"",N(AS553)=0),"розетка без 30 мА",""),IF(IFERROR(_xlfn.NUMBERVALUE(MID(Q553,FIND("-",Q553,FIND("L=",Q553))+1,FIND("%",Q553)-FIND("-",Q553,FIND("L=",Q553))-1),","),0)&gt;4,"потери &gt; 4 %","")))</f>
      </c>
      <c r="AF553" s="129">
        <f>IF(E553&lt;&gt;"",COUNTIFS($A$3:A553,A553,$E$3:E553,"?*"),IF(OR(A553&lt;&gt;A552,Y553="вручную"),"",AF552))</f>
        <v/>
      </c>
      <c r="AG553" s="129">
        <f t="shared" si="353"/>
        <v/>
      </c>
      <c r="AH553" s="129">
        <f t="shared" si="354"/>
        <v/>
      </c>
      <c r="AI553" s="129">
        <f t="shared" si="355"/>
        <v/>
      </c>
      <c r="AJ553" s="129">
        <f t="shared" si="356"/>
        <v/>
      </c>
      <c r="AK553" s="129">
        <f t="shared" si="357"/>
        <v/>
      </c>
      <c r="AL553" s="129">
        <f t="shared" si="358"/>
        <v/>
      </c>
      <c r="AM553" s="129">
        <f t="shared" si="359"/>
      </c>
      <c r="AN553" s="129">
        <f t="shared" si="360"/>
      </c>
      <c r="AO553" s="129">
        <f t="shared" si="361"/>
        <v/>
      </c>
      <c r="AP553" s="129">
        <f t="shared" si="362"/>
        <v/>
      </c>
      <c r="AQ553" s="129">
        <f t="shared" si="363"/>
        <v/>
      </c>
      <c r="AR553" s="129">
        <f t="shared" si="364"/>
        <v/>
      </c>
      <c r="AS553" s="129">
        <f t="shared" si="365"/>
        <v/>
      </c>
      <c r="AT553" s="129">
        <f t="shared" si="366"/>
        <v/>
      </c>
      <c r="AU553" s="129">
        <f t="shared" si="367"/>
        <v/>
      </c>
      <c r="AV553" s="129">
        <f t="shared" si="368"/>
        <v/>
      </c>
      <c r="AW553" s="129">
        <f>IF(AV553="","",AV553&amp;"."&amp;COUNTIFS($A$3:A553,A553,$AV$3:AV553,AV553))</f>
        <v/>
      </c>
      <c r="AX553" s="129">
        <f t="shared" si="369"/>
        <v/>
      </c>
      <c r="AY553" s="129">
        <f>IF(N553="б/к",0,IF(OR(ISNUMBER(SEARCH("L=",Разбивка_по_щитам!P553)),N553="+",N553="="),1,0))</f>
      </c>
      <c r="AZ553" s="129">
        <f t="shared" si="370"/>
        <v/>
      </c>
      <c r="BA553" s="129">
        <f t="shared" si="371"/>
      </c>
      <c r="BB553" s="129">
        <f t="shared" si="372"/>
      </c>
      <c r="BD553" s="129">
        <f t="shared" si="373"/>
      </c>
      <c r="BE553" s="129">
        <f t="shared" si="374"/>
      </c>
      <c r="BF553" s="129">
        <f t="shared" si="375"/>
      </c>
      <c r="BG553" s="129">
        <f t="shared" si="376"/>
        <v/>
      </c>
      <c r="BH553" s="129">
        <f t="shared" si="377"/>
        <v/>
      </c>
      <c r="BI553" s="129">
        <f t="shared" si="378"/>
        <v/>
      </c>
      <c r="BJ553" s="129">
        <f t="shared" si="379"/>
        <v/>
      </c>
      <c r="BK553" s="129">
        <f>IF(R553="","",IF(OR(BY553="",BY553=0),"BOX",IFERROR(IF(VLOOKUP(BY553,УГО_блоки,3,FALSE)&amp;""&lt;&gt;"",VLOOKUP(BY553,УГО_блоки,3,FALSE),VLOOKUP(BY553,УГО_блоки,2,FALSE)),BY553)))</f>
      </c>
      <c r="BL553" s="129">
        <f t="shared" si="381"/>
      </c>
      <c r="BM553" s="129">
        <f>IF(H553="","",IF(COUNTIF($H$3:H553,H553)=1,MAX($BM$2:BM552)+1,""))</f>
      </c>
      <c r="BN553" s="129">
        <f>IF(I553="","",IF(COUNTIF($I$3:I553,I553)+COUNTIF($J$2:J552,I553)+COUNTIF($K$2:K552,I553)=1,MAX($BN$2:BP552)+1,""))</f>
      </c>
      <c r="BO553" s="129">
        <f>IF(J553="","",IF(COUNTIF($I$3:I553,J553)+COUNTIF($J$3:J553,J553)+COUNTIF($K$2:K552,J553)=1,MAX($BN$2:BP552,BN553)+1,""))</f>
      </c>
      <c r="BP553" s="129">
        <f>IF(K553="","",IF(COUNTIF($I$3:I553,K553)+COUNTIF($J$3:J553,K553)+COUNTIF($K$3:K553,K553)=1,MAX($BN$2:BP552,BN553,BO553)+1,""))</f>
      </c>
      <c r="BQ553" s="129">
        <f>IF(AY553=1,IFERROR(MID(Q553,FIND(" (",Q553)+2,FIND(")",Q553,FIND(" (",Q553))-FIND(" (",Q553)-2),"?"),"")</f>
      </c>
      <c r="BR553" s="129">
        <f>IF(BQ553="","",IF(COUNTIF($BQ$3:BQ553,BQ553)=1,MAX($BR$2:BR552)+1,""))</f>
      </c>
      <c r="BS553" s="129">
        <f>IF(AW553="","",COUNTIF($AW$3:AW553,"?*"))</f>
      </c>
      <c r="BT553" s="129">
        <f>IF(OR(AW553="",AI553=""),"",IF(COUNTIFS($AW$3:AW553,"?*",$AI$3:AI553,AI553)=1,MAX($BT$2:BT552)+1,""))</f>
      </c>
      <c r="BU553" s="129">
        <f>IF(AE553="",0,IF(OR(ISNUMBER(SEARCH("дубль",AE553)),ISNUMBER(SEARCH("ПЕРЕГРУЗ",AE553)),ISNUMBER(SEARCH("ЗАЩИЩ",AE553)),ISNUMBER(SEARCH("КАНАЛ",AE553)),ISNUMBER(SEARCH("без 30",AE553))),2,1))</f>
      </c>
      <c r="BV553" s="129">
        <f>IF(R553="","",COUNTIF($R$3:R553,"?*"))</f>
      </c>
      <c r="BW553" s="129">
        <f>IF(AY553&lt;&gt;1,0,IF(MAX(IFERROR(--VLOOKUP(R553,УГО_спр,5,FALSE),0),IFERROR(--VLOOKUP(AL553,УГО_спр,5,FALSE),0),IFERROR(--VLOOKUP(LEFT(AL553,2),УГО_спр,5,FALSE),0))&gt;0,MAX(IFERROR(--VLOOKUP(R553,УГО_спр,5,FALSE),0),IFERROR(--VLOOKUP(AL553,УГО_спр,5,FALSE),0),IFERROR(--VLOOKUP(LEFT(AL553,2),УГО_спр,5,FALSE),0)),IF(IFERROR(--LEFT(SUBSTITUTE(BQ553,"x","х"),FIND("х",SUBSTITUTE(BQ553,"x","х"))-1),3)&gt;3,Каталог!$S$9,1)))</f>
      </c>
      <c r="BX553" s="129">
        <f>IF(AY553&lt;&gt;1,0,MAX(0,IFERROR(--LEFT(SUBSTITUTE(BQ553,"x","х"),FIND("х",SUBSTITUTE(BQ553,"x","х"))-1),3)-3*BW553))</f>
      </c>
      <c r="BY553" s="129">
        <f>IF(R553="","",IFERROR(VLOOKUP(R553,УГО_спр,2,FALSE),IFERROR(VLOOKUP(AL553,УГО_спр,2,FALSE),IFERROR(VLOOKUP(LEFT(AL553,2),УГО_спр,2,FALSE),""))))</f>
      </c>
    </row>
    <row r="554" spans="1:64" x14ac:dyDescent="0.3">
      <c r="A554" s="135">
        <f>IF(Разбивка_по_щитам!F554=0,"",Разбивка_по_щитам!F554)</f>
        <v/>
      </c>
      <c r="B554" s="138">
        <f>IF(A554="","",Разбивка_по_щитам!C554)</f>
        <v/>
      </c>
      <c r="C554" s="138">
        <f t="shared" si="342"/>
        <v/>
      </c>
      <c r="D554" s="266"/>
      <c r="E554" s="266"/>
      <c r="F554" s="267"/>
      <c r="G554" s="145">
        <f t="shared" si="343"/>
        <v/>
      </c>
      <c r="H554" s="145">
        <f t="shared" si="344"/>
        <v/>
      </c>
      <c r="I554" s="266"/>
      <c r="J554" s="267"/>
      <c r="K554" s="267"/>
      <c r="L554" s="266"/>
      <c r="M554" s="147">
        <f t="shared" si="345"/>
        <v/>
      </c>
      <c r="N554" s="267"/>
      <c r="O554" s="147">
        <f t="shared" si="346"/>
        <v/>
      </c>
      <c r="P554" s="268">
        <f>IF(AY554=1,"XT"&amp;COUNTIFS($A$3:A554,A554,$AY$3:AY554,1),"")</f>
        <v/>
      </c>
      <c r="Q554" s="152">
        <f>IF(R554="","",IFERROR(SUBSTITUTE(Разбивка_по_щитам!P554,CHAR(10)," "),""))</f>
        <v/>
      </c>
      <c r="R554" s="153">
        <f>IF(OR(Разбивка_по_щитам!H554="",Разбивка_по_щитам!H554=0),"",Разбивка_по_щитам!H554)</f>
        <v/>
      </c>
      <c r="S554" s="154">
        <f>IF(R554="","",IFERROR(Разбивка_по_щитам!J554&amp;"",""))</f>
        <v/>
      </c>
      <c r="T554" s="155">
        <f>IF(R554="","",IFERROR(--Разбивка_по_щитам!L554,""))</f>
        <v/>
      </c>
      <c r="U554" s="155">
        <f>IF(R554="","",IFERROR(--Разбивка_по_щитам!K554,""))</f>
        <v/>
      </c>
      <c r="V554" s="138">
        <f>IF(R554="","",IFERROR(IF(Разбивка_по_щитам!M554=0,"",Разбивка_по_щитам!M554),""))</f>
        <v/>
      </c>
      <c r="W554" s="156">
        <f t="shared" si="347"/>
        <v/>
      </c>
      <c r="X554" s="157">
        <f t="shared" si="348"/>
        <v/>
      </c>
      <c r="Y554" s="266"/>
      <c r="Z554" s="158">
        <f t="shared" si="349"/>
        <v/>
      </c>
      <c r="AA554" s="160">
        <f t="shared" si="350"/>
        <v/>
      </c>
      <c r="AB554" s="160">
        <f>IF(R554="","",IFERROR(LOOKUP(INDEX(Справочная!$I$4:$I$19,MATCH(VLOOKUP(R554,Исходные_данные,22,FALSE),Справочная!$J$4:$J$19,0)+1),{6,10,16,20,25,32,40,50,63,80,100,125}),""))</f>
        <v/>
      </c>
      <c r="AC554" s="160">
        <f t="shared" si="351"/>
        <v/>
      </c>
      <c r="AD554" s="161">
        <f t="shared" si="352"/>
        <v/>
      </c>
      <c r="AE554" s="161">
        <f>IF(AND(R554="",G554=""),"",_xlfn.TEXTJOIN("; ",TRUE,IF(AND(R554&lt;&gt;"",V554=""),"нет фазы",""),IF(AND(R554&lt;&gt;"",N(T554)=0),"нет мощности",""),IF(AND(P554&lt;&gt;"",COUNTIFS($A$3:$A$1000,A554,$P$3:$P$1000,P554)&gt;1),"дубль клеммы "&amp;P554,""),IF(AND(W554&lt;&gt;"",W554&lt;&gt;"ok"),W554,""),IF(X554&lt;&gt;"",X554,""),IF(AND(ISNUMBER(SEARCH("(5х",Q554)),N(AK554)=1),"5 жил на 1 фазе",""),IF(AND(AL554="R",E554&lt;&gt;"",N(AS554)=0),"розетка без 30 мА",""),IF(IFERROR(_xlfn.NUMBERVALUE(MID(Q554,FIND("-",Q554,FIND("L=",Q554))+1,FIND("%",Q554)-FIND("-",Q554,FIND("L=",Q554))-1),","),0)&gt;4,"потери &gt; 4 %","")))</f>
      </c>
      <c r="AF554" s="129">
        <f>IF(E554&lt;&gt;"",COUNTIFS($A$3:A554,A554,$E$3:E554,"?*"),IF(OR(A554&lt;&gt;A553,Y554="вручную"),"",AF553))</f>
        <v/>
      </c>
      <c r="AG554" s="129">
        <f t="shared" si="353"/>
        <v/>
      </c>
      <c r="AH554" s="129">
        <f t="shared" si="354"/>
        <v/>
      </c>
      <c r="AI554" s="129">
        <f t="shared" si="355"/>
        <v/>
      </c>
      <c r="AJ554" s="129">
        <f t="shared" si="356"/>
        <v/>
      </c>
      <c r="AK554" s="129">
        <f t="shared" si="357"/>
        <v/>
      </c>
      <c r="AL554" s="129">
        <f t="shared" si="358"/>
        <v/>
      </c>
      <c r="AM554" s="129">
        <f t="shared" si="359"/>
      </c>
      <c r="AN554" s="129">
        <f t="shared" si="360"/>
      </c>
      <c r="AO554" s="129">
        <f t="shared" si="361"/>
        <v/>
      </c>
      <c r="AP554" s="129">
        <f t="shared" si="362"/>
        <v/>
      </c>
      <c r="AQ554" s="129">
        <f t="shared" si="363"/>
        <v/>
      </c>
      <c r="AR554" s="129">
        <f t="shared" si="364"/>
        <v/>
      </c>
      <c r="AS554" s="129">
        <f t="shared" si="365"/>
        <v/>
      </c>
      <c r="AT554" s="129">
        <f t="shared" si="366"/>
        <v/>
      </c>
      <c r="AU554" s="129">
        <f t="shared" si="367"/>
        <v/>
      </c>
      <c r="AV554" s="129">
        <f t="shared" si="368"/>
        <v/>
      </c>
      <c r="AW554" s="129">
        <f>IF(AV554="","",AV554&amp;"."&amp;COUNTIFS($A$3:A554,A554,$AV$3:AV554,AV554))</f>
        <v/>
      </c>
      <c r="AX554" s="129">
        <f t="shared" si="369"/>
        <v/>
      </c>
      <c r="AY554" s="129">
        <f>IF(N554="б/к",0,IF(OR(ISNUMBER(SEARCH("L=",Разбивка_по_щитам!P554)),N554="+",N554="="),1,0))</f>
      </c>
      <c r="AZ554" s="129">
        <f t="shared" si="370"/>
        <v/>
      </c>
      <c r="BA554" s="129">
        <f t="shared" si="371"/>
      </c>
      <c r="BB554" s="129">
        <f t="shared" si="372"/>
      </c>
      <c r="BD554" s="129">
        <f t="shared" si="373"/>
      </c>
      <c r="BE554" s="129">
        <f t="shared" si="374"/>
      </c>
      <c r="BF554" s="129">
        <f t="shared" si="375"/>
      </c>
      <c r="BG554" s="129">
        <f t="shared" si="376"/>
        <v/>
      </c>
      <c r="BH554" s="129">
        <f t="shared" si="377"/>
        <v/>
      </c>
      <c r="BI554" s="129">
        <f t="shared" si="378"/>
        <v/>
      </c>
      <c r="BJ554" s="129">
        <f t="shared" si="379"/>
        <v/>
      </c>
      <c r="BK554" s="129">
        <f>IF(R554="","",IF(OR(BY554="",BY554=0),"BOX",IFERROR(IF(VLOOKUP(BY554,УГО_блоки,3,FALSE)&amp;""&lt;&gt;"",VLOOKUP(BY554,УГО_блоки,3,FALSE),VLOOKUP(BY554,УГО_блоки,2,FALSE)),BY554)))</f>
      </c>
      <c r="BL554" s="129">
        <f t="shared" si="381"/>
      </c>
      <c r="BM554" s="129">
        <f>IF(H554="","",IF(COUNTIF($H$3:H554,H554)=1,MAX($BM$2:BM553)+1,""))</f>
      </c>
      <c r="BN554" s="129">
        <f>IF(I554="","",IF(COUNTIF($I$3:I554,I554)+COUNTIF($J$2:J553,I554)+COUNTIF($K$2:K553,I554)=1,MAX($BN$2:BP553)+1,""))</f>
      </c>
      <c r="BO554" s="129">
        <f>IF(J554="","",IF(COUNTIF($I$3:I554,J554)+COUNTIF($J$3:J554,J554)+COUNTIF($K$2:K553,J554)=1,MAX($BN$2:BP553,BN554)+1,""))</f>
      </c>
      <c r="BP554" s="129">
        <f>IF(K554="","",IF(COUNTIF($I$3:I554,K554)+COUNTIF($J$3:J554,K554)+COUNTIF($K$3:K554,K554)=1,MAX($BN$2:BP553,BN554,BO554)+1,""))</f>
      </c>
      <c r="BQ554" s="129">
        <f>IF(AY554=1,IFERROR(MID(Q554,FIND(" (",Q554)+2,FIND(")",Q554,FIND(" (",Q554))-FIND(" (",Q554)-2),"?"),"")</f>
      </c>
      <c r="BR554" s="129">
        <f>IF(BQ554="","",IF(COUNTIF($BQ$3:BQ554,BQ554)=1,MAX($BR$2:BR553)+1,""))</f>
      </c>
      <c r="BS554" s="129">
        <f>IF(AW554="","",COUNTIF($AW$3:AW554,"?*"))</f>
      </c>
      <c r="BT554" s="129">
        <f>IF(OR(AW554="",AI554=""),"",IF(COUNTIFS($AW$3:AW554,"?*",$AI$3:AI554,AI554)=1,MAX($BT$2:BT553)+1,""))</f>
      </c>
      <c r="BU554" s="129">
        <f>IF(AE554="",0,IF(OR(ISNUMBER(SEARCH("дубль",AE554)),ISNUMBER(SEARCH("ПЕРЕГРУЗ",AE554)),ISNUMBER(SEARCH("ЗАЩИЩ",AE554)),ISNUMBER(SEARCH("КАНАЛ",AE554)),ISNUMBER(SEARCH("без 30",AE554))),2,1))</f>
      </c>
      <c r="BV554" s="129">
        <f>IF(R554="","",COUNTIF($R$3:R554,"?*"))</f>
      </c>
      <c r="BW554" s="129">
        <f>IF(AY554&lt;&gt;1,0,IF(MAX(IFERROR(--VLOOKUP(R554,УГО_спр,5,FALSE),0),IFERROR(--VLOOKUP(AL554,УГО_спр,5,FALSE),0),IFERROR(--VLOOKUP(LEFT(AL554,2),УГО_спр,5,FALSE),0))&gt;0,MAX(IFERROR(--VLOOKUP(R554,УГО_спр,5,FALSE),0),IFERROR(--VLOOKUP(AL554,УГО_спр,5,FALSE),0),IFERROR(--VLOOKUP(LEFT(AL554,2),УГО_спр,5,FALSE),0)),IF(IFERROR(--LEFT(SUBSTITUTE(BQ554,"x","х"),FIND("х",SUBSTITUTE(BQ554,"x","х"))-1),3)&gt;3,Каталог!$S$9,1)))</f>
      </c>
      <c r="BX554" s="129">
        <f>IF(AY554&lt;&gt;1,0,MAX(0,IFERROR(--LEFT(SUBSTITUTE(BQ554,"x","х"),FIND("х",SUBSTITUTE(BQ554,"x","х"))-1),3)-3*BW554))</f>
      </c>
      <c r="BY554" s="129">
        <f>IF(R554="","",IFERROR(VLOOKUP(R554,УГО_спр,2,FALSE),IFERROR(VLOOKUP(AL554,УГО_спр,2,FALSE),IFERROR(VLOOKUP(LEFT(AL554,2),УГО_спр,2,FALSE),""))))</f>
      </c>
    </row>
    <row r="555" spans="1:64" x14ac:dyDescent="0.3">
      <c r="A555" s="135">
        <f>IF(Разбивка_по_щитам!F555=0,"",Разбивка_по_щитам!F555)</f>
        <v/>
      </c>
      <c r="B555" s="138">
        <f>IF(A555="","",Разбивка_по_щитам!C555)</f>
        <v/>
      </c>
      <c r="C555" s="138">
        <f t="shared" si="342"/>
        <v/>
      </c>
      <c r="D555" s="266"/>
      <c r="E555" s="266"/>
      <c r="F555" s="267"/>
      <c r="G555" s="145">
        <f t="shared" si="343"/>
        <v/>
      </c>
      <c r="H555" s="145">
        <f t="shared" si="344"/>
        <v/>
      </c>
      <c r="I555" s="266"/>
      <c r="J555" s="267"/>
      <c r="K555" s="267"/>
      <c r="L555" s="266"/>
      <c r="M555" s="147">
        <f t="shared" si="345"/>
        <v/>
      </c>
      <c r="N555" s="267"/>
      <c r="O555" s="147">
        <f t="shared" si="346"/>
        <v/>
      </c>
      <c r="P555" s="268">
        <f>IF(AY555=1,"XT"&amp;COUNTIFS($A$3:A555,A555,$AY$3:AY555,1),"")</f>
        <v/>
      </c>
      <c r="Q555" s="152">
        <f>IF(R555="","",IFERROR(SUBSTITUTE(Разбивка_по_щитам!P555,CHAR(10)," "),""))</f>
        <v/>
      </c>
      <c r="R555" s="153">
        <f>IF(OR(Разбивка_по_щитам!H555="",Разбивка_по_щитам!H555=0),"",Разбивка_по_щитам!H555)</f>
        <v/>
      </c>
      <c r="S555" s="154">
        <f>IF(R555="","",IFERROR(Разбивка_по_щитам!J555&amp;"",""))</f>
        <v/>
      </c>
      <c r="T555" s="155">
        <f>IF(R555="","",IFERROR(--Разбивка_по_щитам!L555,""))</f>
        <v/>
      </c>
      <c r="U555" s="155">
        <f>IF(R555="","",IFERROR(--Разбивка_по_щитам!K555,""))</f>
        <v/>
      </c>
      <c r="V555" s="138">
        <f>IF(R555="","",IFERROR(IF(Разбивка_по_щитам!M555=0,"",Разбивка_по_щитам!M555),""))</f>
        <v/>
      </c>
      <c r="W555" s="156">
        <f t="shared" si="347"/>
        <v/>
      </c>
      <c r="X555" s="157">
        <f t="shared" si="348"/>
        <v/>
      </c>
      <c r="Y555" s="266"/>
      <c r="Z555" s="158">
        <f t="shared" si="349"/>
        <v/>
      </c>
      <c r="AA555" s="160">
        <f t="shared" si="350"/>
        <v/>
      </c>
      <c r="AB555" s="160">
        <f>IF(R555="","",IFERROR(LOOKUP(INDEX(Справочная!$I$4:$I$19,MATCH(VLOOKUP(R555,Исходные_данные,22,FALSE),Справочная!$J$4:$J$19,0)+1),{6,10,16,20,25,32,40,50,63,80,100,125}),""))</f>
        <v/>
      </c>
      <c r="AC555" s="160">
        <f t="shared" si="351"/>
        <v/>
      </c>
      <c r="AD555" s="161">
        <f t="shared" si="352"/>
        <v/>
      </c>
      <c r="AE555" s="161">
        <f>IF(AND(R555="",G555=""),"",_xlfn.TEXTJOIN("; ",TRUE,IF(AND(R555&lt;&gt;"",V555=""),"нет фазы",""),IF(AND(R555&lt;&gt;"",N(T555)=0),"нет мощности",""),IF(AND(P555&lt;&gt;"",COUNTIFS($A$3:$A$1000,A555,$P$3:$P$1000,P555)&gt;1),"дубль клеммы "&amp;P555,""),IF(AND(W555&lt;&gt;"",W555&lt;&gt;"ok"),W555,""),IF(X555&lt;&gt;"",X555,""),IF(AND(ISNUMBER(SEARCH("(5х",Q555)),N(AK555)=1),"5 жил на 1 фазе",""),IF(AND(AL555="R",E555&lt;&gt;"",N(AS555)=0),"розетка без 30 мА",""),IF(IFERROR(_xlfn.NUMBERVALUE(MID(Q555,FIND("-",Q555,FIND("L=",Q555))+1,FIND("%",Q555)-FIND("-",Q555,FIND("L=",Q555))-1),","),0)&gt;4,"потери &gt; 4 %","")))</f>
      </c>
      <c r="AF555" s="129">
        <f>IF(E555&lt;&gt;"",COUNTIFS($A$3:A555,A555,$E$3:E555,"?*"),IF(OR(A555&lt;&gt;A554,Y555="вручную"),"",AF554))</f>
        <v/>
      </c>
      <c r="AG555" s="129">
        <f t="shared" si="353"/>
        <v/>
      </c>
      <c r="AH555" s="129">
        <f t="shared" si="354"/>
        <v/>
      </c>
      <c r="AI555" s="129">
        <f t="shared" si="355"/>
        <v/>
      </c>
      <c r="AJ555" s="129">
        <f t="shared" si="356"/>
        <v/>
      </c>
      <c r="AK555" s="129">
        <f t="shared" si="357"/>
        <v/>
      </c>
      <c r="AL555" s="129">
        <f t="shared" si="358"/>
        <v/>
      </c>
      <c r="AM555" s="129">
        <f t="shared" si="359"/>
      </c>
      <c r="AN555" s="129">
        <f t="shared" si="360"/>
      </c>
      <c r="AO555" s="129">
        <f t="shared" si="361"/>
        <v/>
      </c>
      <c r="AP555" s="129">
        <f t="shared" si="362"/>
        <v/>
      </c>
      <c r="AQ555" s="129">
        <f t="shared" si="363"/>
        <v/>
      </c>
      <c r="AR555" s="129">
        <f t="shared" si="364"/>
        <v/>
      </c>
      <c r="AS555" s="129">
        <f t="shared" si="365"/>
        <v/>
      </c>
      <c r="AT555" s="129">
        <f t="shared" si="366"/>
        <v/>
      </c>
      <c r="AU555" s="129">
        <f t="shared" si="367"/>
        <v/>
      </c>
      <c r="AV555" s="129">
        <f t="shared" si="368"/>
        <v/>
      </c>
      <c r="AW555" s="129">
        <f>IF(AV555="","",AV555&amp;"."&amp;COUNTIFS($A$3:A555,A555,$AV$3:AV555,AV555))</f>
        <v/>
      </c>
      <c r="AX555" s="129">
        <f t="shared" si="369"/>
        <v/>
      </c>
      <c r="AY555" s="129">
        <f>IF(N555="б/к",0,IF(OR(ISNUMBER(SEARCH("L=",Разбивка_по_щитам!P555)),N555="+",N555="="),1,0))</f>
      </c>
      <c r="AZ555" s="129">
        <f t="shared" si="370"/>
        <v/>
      </c>
      <c r="BA555" s="129">
        <f t="shared" si="371"/>
      </c>
      <c r="BB555" s="129">
        <f t="shared" si="372"/>
      </c>
      <c r="BD555" s="129">
        <f t="shared" si="373"/>
      </c>
      <c r="BE555" s="129">
        <f t="shared" si="374"/>
      </c>
      <c r="BF555" s="129">
        <f t="shared" si="375"/>
      </c>
      <c r="BG555" s="129">
        <f t="shared" si="376"/>
        <v/>
      </c>
      <c r="BH555" s="129">
        <f t="shared" si="377"/>
        <v/>
      </c>
      <c r="BI555" s="129">
        <f t="shared" si="378"/>
        <v/>
      </c>
      <c r="BJ555" s="129">
        <f t="shared" si="379"/>
        <v/>
      </c>
      <c r="BK555" s="129">
        <f>IF(R555="","",IF(OR(BY555="",BY555=0),"BOX",IFERROR(IF(VLOOKUP(BY555,УГО_блоки,3,FALSE)&amp;""&lt;&gt;"",VLOOKUP(BY555,УГО_блоки,3,FALSE),VLOOKUP(BY555,УГО_блоки,2,FALSE)),BY555)))</f>
      </c>
      <c r="BL555" s="129">
        <f t="shared" si="381"/>
      </c>
      <c r="BM555" s="129">
        <f>IF(H555="","",IF(COUNTIF($H$3:H555,H555)=1,MAX($BM$2:BM554)+1,""))</f>
      </c>
      <c r="BN555" s="129">
        <f>IF(I555="","",IF(COUNTIF($I$3:I555,I555)+COUNTIF($J$2:J554,I555)+COUNTIF($K$2:K554,I555)=1,MAX($BN$2:BP554)+1,""))</f>
      </c>
      <c r="BO555" s="129">
        <f>IF(J555="","",IF(COUNTIF($I$3:I555,J555)+COUNTIF($J$3:J555,J555)+COUNTIF($K$2:K554,J555)=1,MAX($BN$2:BP554,BN555)+1,""))</f>
      </c>
      <c r="BP555" s="129">
        <f>IF(K555="","",IF(COUNTIF($I$3:I555,K555)+COUNTIF($J$3:J555,K555)+COUNTIF($K$3:K555,K555)=1,MAX($BN$2:BP554,BN555,BO555)+1,""))</f>
      </c>
      <c r="BQ555" s="129">
        <f>IF(AY555=1,IFERROR(MID(Q555,FIND(" (",Q555)+2,FIND(")",Q555,FIND(" (",Q555))-FIND(" (",Q555)-2),"?"),"")</f>
      </c>
      <c r="BR555" s="129">
        <f>IF(BQ555="","",IF(COUNTIF($BQ$3:BQ555,BQ555)=1,MAX($BR$2:BR554)+1,""))</f>
      </c>
      <c r="BS555" s="129">
        <f>IF(AW555="","",COUNTIF($AW$3:AW555,"?*"))</f>
      </c>
      <c r="BT555" s="129">
        <f>IF(OR(AW555="",AI555=""),"",IF(COUNTIFS($AW$3:AW555,"?*",$AI$3:AI555,AI555)=1,MAX($BT$2:BT554)+1,""))</f>
      </c>
      <c r="BU555" s="129">
        <f>IF(AE555="",0,IF(OR(ISNUMBER(SEARCH("дубль",AE555)),ISNUMBER(SEARCH("ПЕРЕГРУЗ",AE555)),ISNUMBER(SEARCH("ЗАЩИЩ",AE555)),ISNUMBER(SEARCH("КАНАЛ",AE555)),ISNUMBER(SEARCH("без 30",AE555))),2,1))</f>
      </c>
      <c r="BV555" s="129">
        <f>IF(R555="","",COUNTIF($R$3:R555,"?*"))</f>
      </c>
      <c r="BW555" s="129">
        <f>IF(AY555&lt;&gt;1,0,IF(MAX(IFERROR(--VLOOKUP(R555,УГО_спр,5,FALSE),0),IFERROR(--VLOOKUP(AL555,УГО_спр,5,FALSE),0),IFERROR(--VLOOKUP(LEFT(AL555,2),УГО_спр,5,FALSE),0))&gt;0,MAX(IFERROR(--VLOOKUP(R555,УГО_спр,5,FALSE),0),IFERROR(--VLOOKUP(AL555,УГО_спр,5,FALSE),0),IFERROR(--VLOOKUP(LEFT(AL555,2),УГО_спр,5,FALSE),0)),IF(IFERROR(--LEFT(SUBSTITUTE(BQ555,"x","х"),FIND("х",SUBSTITUTE(BQ555,"x","х"))-1),3)&gt;3,Каталог!$S$9,1)))</f>
      </c>
      <c r="BX555" s="129">
        <f>IF(AY555&lt;&gt;1,0,MAX(0,IFERROR(--LEFT(SUBSTITUTE(BQ555,"x","х"),FIND("х",SUBSTITUTE(BQ555,"x","х"))-1),3)-3*BW555))</f>
      </c>
      <c r="BY555" s="129">
        <f>IF(R555="","",IFERROR(VLOOKUP(R555,УГО_спр,2,FALSE),IFERROR(VLOOKUP(AL555,УГО_спр,2,FALSE),IFERROR(VLOOKUP(LEFT(AL555,2),УГО_спр,2,FALSE),""))))</f>
      </c>
    </row>
    <row r="556" spans="1:64" x14ac:dyDescent="0.3">
      <c r="A556" s="135">
        <f>IF(Разбивка_по_щитам!F556=0,"",Разбивка_по_щитам!F556)</f>
        <v/>
      </c>
      <c r="B556" s="138">
        <f>IF(A556="","",Разбивка_по_щитам!C556)</f>
        <v/>
      </c>
      <c r="C556" s="138">
        <f t="shared" si="342"/>
        <v/>
      </c>
      <c r="D556" s="266"/>
      <c r="E556" s="266"/>
      <c r="F556" s="267"/>
      <c r="G556" s="145">
        <f t="shared" si="343"/>
        <v/>
      </c>
      <c r="H556" s="145">
        <f t="shared" si="344"/>
        <v/>
      </c>
      <c r="I556" s="266"/>
      <c r="J556" s="267"/>
      <c r="K556" s="267"/>
      <c r="L556" s="266"/>
      <c r="M556" s="147">
        <f t="shared" si="345"/>
        <v/>
      </c>
      <c r="N556" s="267"/>
      <c r="O556" s="147">
        <f t="shared" si="346"/>
        <v/>
      </c>
      <c r="P556" s="268">
        <f>IF(AY556=1,"XT"&amp;COUNTIFS($A$3:A556,A556,$AY$3:AY556,1),"")</f>
        <v/>
      </c>
      <c r="Q556" s="152">
        <f>IF(R556="","",IFERROR(SUBSTITUTE(Разбивка_по_щитам!P556,CHAR(10)," "),""))</f>
        <v/>
      </c>
      <c r="R556" s="153">
        <f>IF(OR(Разбивка_по_щитам!H556="",Разбивка_по_щитам!H556=0),"",Разбивка_по_щитам!H556)</f>
        <v/>
      </c>
      <c r="S556" s="154">
        <f>IF(R556="","",IFERROR(Разбивка_по_щитам!J556&amp;"",""))</f>
        <v/>
      </c>
      <c r="T556" s="155">
        <f>IF(R556="","",IFERROR(--Разбивка_по_щитам!L556,""))</f>
        <v/>
      </c>
      <c r="U556" s="155">
        <f>IF(R556="","",IFERROR(--Разбивка_по_щитам!K556,""))</f>
        <v/>
      </c>
      <c r="V556" s="138">
        <f>IF(R556="","",IFERROR(IF(Разбивка_по_щитам!M556=0,"",Разбивка_по_щитам!M556),""))</f>
        <v/>
      </c>
      <c r="W556" s="156">
        <f t="shared" si="347"/>
        <v/>
      </c>
      <c r="X556" s="157">
        <f t="shared" si="348"/>
        <v/>
      </c>
      <c r="Y556" s="266"/>
      <c r="Z556" s="158">
        <f t="shared" si="349"/>
        <v/>
      </c>
      <c r="AA556" s="160">
        <f t="shared" si="350"/>
        <v/>
      </c>
      <c r="AB556" s="160">
        <f>IF(R556="","",IFERROR(LOOKUP(INDEX(Справочная!$I$4:$I$19,MATCH(VLOOKUP(R556,Исходные_данные,22,FALSE),Справочная!$J$4:$J$19,0)+1),{6,10,16,20,25,32,40,50,63,80,100,125}),""))</f>
        <v/>
      </c>
      <c r="AC556" s="160">
        <f t="shared" si="351"/>
        <v/>
      </c>
      <c r="AD556" s="161">
        <f t="shared" si="352"/>
        <v/>
      </c>
      <c r="AE556" s="161">
        <f>IF(AND(R556="",G556=""),"",_xlfn.TEXTJOIN("; ",TRUE,IF(AND(R556&lt;&gt;"",V556=""),"нет фазы",""),IF(AND(R556&lt;&gt;"",N(T556)=0),"нет мощности",""),IF(AND(P556&lt;&gt;"",COUNTIFS($A$3:$A$1000,A556,$P$3:$P$1000,P556)&gt;1),"дубль клеммы "&amp;P556,""),IF(AND(W556&lt;&gt;"",W556&lt;&gt;"ok"),W556,""),IF(X556&lt;&gt;"",X556,""),IF(AND(ISNUMBER(SEARCH("(5х",Q556)),N(AK556)=1),"5 жил на 1 фазе",""),IF(AND(AL556="R",E556&lt;&gt;"",N(AS556)=0),"розетка без 30 мА",""),IF(IFERROR(_xlfn.NUMBERVALUE(MID(Q556,FIND("-",Q556,FIND("L=",Q556))+1,FIND("%",Q556)-FIND("-",Q556,FIND("L=",Q556))-1),","),0)&gt;4,"потери &gt; 4 %","")))</f>
      </c>
      <c r="AF556" s="129">
        <f>IF(E556&lt;&gt;"",COUNTIFS($A$3:A556,A556,$E$3:E556,"?*"),IF(OR(A556&lt;&gt;A555,Y556="вручную"),"",AF555))</f>
        <v/>
      </c>
      <c r="AG556" s="129">
        <f t="shared" si="353"/>
        <v/>
      </c>
      <c r="AH556" s="129">
        <f t="shared" si="354"/>
        <v/>
      </c>
      <c r="AI556" s="129">
        <f t="shared" si="355"/>
        <v/>
      </c>
      <c r="AJ556" s="129">
        <f t="shared" si="356"/>
        <v/>
      </c>
      <c r="AK556" s="129">
        <f t="shared" si="357"/>
        <v/>
      </c>
      <c r="AL556" s="129">
        <f t="shared" si="358"/>
        <v/>
      </c>
      <c r="AM556" s="129">
        <f t="shared" si="359"/>
      </c>
      <c r="AN556" s="129">
        <f t="shared" si="360"/>
      </c>
      <c r="AO556" s="129">
        <f t="shared" si="361"/>
        <v/>
      </c>
      <c r="AP556" s="129">
        <f t="shared" si="362"/>
        <v/>
      </c>
      <c r="AQ556" s="129">
        <f t="shared" si="363"/>
        <v/>
      </c>
      <c r="AR556" s="129">
        <f t="shared" si="364"/>
        <v/>
      </c>
      <c r="AS556" s="129">
        <f t="shared" si="365"/>
        <v/>
      </c>
      <c r="AT556" s="129">
        <f t="shared" si="366"/>
        <v/>
      </c>
      <c r="AU556" s="129">
        <f t="shared" si="367"/>
        <v/>
      </c>
      <c r="AV556" s="129">
        <f t="shared" si="368"/>
        <v/>
      </c>
      <c r="AW556" s="129">
        <f>IF(AV556="","",AV556&amp;"."&amp;COUNTIFS($A$3:A556,A556,$AV$3:AV556,AV556))</f>
        <v/>
      </c>
      <c r="AX556" s="129">
        <f t="shared" si="369"/>
        <v/>
      </c>
      <c r="AY556" s="129">
        <f>IF(N556="б/к",0,IF(OR(ISNUMBER(SEARCH("L=",Разбивка_по_щитам!P556)),N556="+",N556="="),1,0))</f>
      </c>
      <c r="AZ556" s="129">
        <f t="shared" si="370"/>
        <v/>
      </c>
      <c r="BA556" s="129">
        <f t="shared" si="371"/>
      </c>
      <c r="BB556" s="129">
        <f t="shared" si="372"/>
      </c>
      <c r="BD556" s="129">
        <f t="shared" si="373"/>
      </c>
      <c r="BE556" s="129">
        <f t="shared" si="374"/>
      </c>
      <c r="BF556" s="129">
        <f t="shared" si="375"/>
      </c>
      <c r="BG556" s="129">
        <f t="shared" si="376"/>
        <v/>
      </c>
      <c r="BH556" s="129">
        <f t="shared" si="377"/>
        <v/>
      </c>
      <c r="BI556" s="129">
        <f t="shared" si="378"/>
        <v/>
      </c>
      <c r="BJ556" s="129">
        <f t="shared" si="379"/>
        <v/>
      </c>
      <c r="BK556" s="129">
        <f>IF(R556="","",IF(OR(BY556="",BY556=0),"BOX",IFERROR(IF(VLOOKUP(BY556,УГО_блоки,3,FALSE)&amp;""&lt;&gt;"",VLOOKUP(BY556,УГО_блоки,3,FALSE),VLOOKUP(BY556,УГО_блоки,2,FALSE)),BY556)))</f>
      </c>
      <c r="BL556" s="129">
        <f t="shared" si="381"/>
      </c>
      <c r="BM556" s="129">
        <f>IF(H556="","",IF(COUNTIF($H$3:H556,H556)=1,MAX($BM$2:BM555)+1,""))</f>
      </c>
      <c r="BN556" s="129">
        <f>IF(I556="","",IF(COUNTIF($I$3:I556,I556)+COUNTIF($J$2:J555,I556)+COUNTIF($K$2:K555,I556)=1,MAX($BN$2:BP555)+1,""))</f>
      </c>
      <c r="BO556" s="129">
        <f>IF(J556="","",IF(COUNTIF($I$3:I556,J556)+COUNTIF($J$3:J556,J556)+COUNTIF($K$2:K555,J556)=1,MAX($BN$2:BP555,BN556)+1,""))</f>
      </c>
      <c r="BP556" s="129">
        <f>IF(K556="","",IF(COUNTIF($I$3:I556,K556)+COUNTIF($J$3:J556,K556)+COUNTIF($K$3:K556,K556)=1,MAX($BN$2:BP555,BN556,BO556)+1,""))</f>
      </c>
      <c r="BQ556" s="129">
        <f>IF(AY556=1,IFERROR(MID(Q556,FIND(" (",Q556)+2,FIND(")",Q556,FIND(" (",Q556))-FIND(" (",Q556)-2),"?"),"")</f>
      </c>
      <c r="BR556" s="129">
        <f>IF(BQ556="","",IF(COUNTIF($BQ$3:BQ556,BQ556)=1,MAX($BR$2:BR555)+1,""))</f>
      </c>
      <c r="BS556" s="129">
        <f>IF(AW556="","",COUNTIF($AW$3:AW556,"?*"))</f>
      </c>
      <c r="BT556" s="129">
        <f>IF(OR(AW556="",AI556=""),"",IF(COUNTIFS($AW$3:AW556,"?*",$AI$3:AI556,AI556)=1,MAX($BT$2:BT555)+1,""))</f>
      </c>
      <c r="BU556" s="129">
        <f>IF(AE556="",0,IF(OR(ISNUMBER(SEARCH("дубль",AE556)),ISNUMBER(SEARCH("ПЕРЕГРУЗ",AE556)),ISNUMBER(SEARCH("ЗАЩИЩ",AE556)),ISNUMBER(SEARCH("КАНАЛ",AE556)),ISNUMBER(SEARCH("без 30",AE556))),2,1))</f>
      </c>
      <c r="BV556" s="129">
        <f>IF(R556="","",COUNTIF($R$3:R556,"?*"))</f>
      </c>
      <c r="BW556" s="129">
        <f>IF(AY556&lt;&gt;1,0,IF(MAX(IFERROR(--VLOOKUP(R556,УГО_спр,5,FALSE),0),IFERROR(--VLOOKUP(AL556,УГО_спр,5,FALSE),0),IFERROR(--VLOOKUP(LEFT(AL556,2),УГО_спр,5,FALSE),0))&gt;0,MAX(IFERROR(--VLOOKUP(R556,УГО_спр,5,FALSE),0),IFERROR(--VLOOKUP(AL556,УГО_спр,5,FALSE),0),IFERROR(--VLOOKUP(LEFT(AL556,2),УГО_спр,5,FALSE),0)),IF(IFERROR(--LEFT(SUBSTITUTE(BQ556,"x","х"),FIND("х",SUBSTITUTE(BQ556,"x","х"))-1),3)&gt;3,Каталог!$S$9,1)))</f>
      </c>
      <c r="BX556" s="129">
        <f>IF(AY556&lt;&gt;1,0,MAX(0,IFERROR(--LEFT(SUBSTITUTE(BQ556,"x","х"),FIND("х",SUBSTITUTE(BQ556,"x","х"))-1),3)-3*BW556))</f>
      </c>
      <c r="BY556" s="129">
        <f>IF(R556="","",IFERROR(VLOOKUP(R556,УГО_спр,2,FALSE),IFERROR(VLOOKUP(AL556,УГО_спр,2,FALSE),IFERROR(VLOOKUP(LEFT(AL556,2),УГО_спр,2,FALSE),""))))</f>
      </c>
    </row>
    <row r="557" spans="1:64" x14ac:dyDescent="0.3">
      <c r="A557" s="135">
        <f>IF(Разбивка_по_щитам!F557=0,"",Разбивка_по_щитам!F557)</f>
        <v/>
      </c>
      <c r="B557" s="138">
        <f>IF(A557="","",Разбивка_по_щитам!C557)</f>
        <v/>
      </c>
      <c r="C557" s="138">
        <f t="shared" si="342"/>
        <v/>
      </c>
      <c r="D557" s="266"/>
      <c r="E557" s="266"/>
      <c r="F557" s="267"/>
      <c r="G557" s="145">
        <f t="shared" si="343"/>
        <v/>
      </c>
      <c r="H557" s="145">
        <f t="shared" si="344"/>
        <v/>
      </c>
      <c r="I557" s="266"/>
      <c r="J557" s="267"/>
      <c r="K557" s="267"/>
      <c r="L557" s="266"/>
      <c r="M557" s="147">
        <f t="shared" si="345"/>
        <v/>
      </c>
      <c r="N557" s="267"/>
      <c r="O557" s="147">
        <f t="shared" si="346"/>
        <v/>
      </c>
      <c r="P557" s="268">
        <f>IF(AY557=1,"XT"&amp;COUNTIFS($A$3:A557,A557,$AY$3:AY557,1),"")</f>
        <v/>
      </c>
      <c r="Q557" s="152">
        <f>IF(R557="","",IFERROR(SUBSTITUTE(Разбивка_по_щитам!P557,CHAR(10)," "),""))</f>
        <v/>
      </c>
      <c r="R557" s="153">
        <f>IF(OR(Разбивка_по_щитам!H557="",Разбивка_по_щитам!H557=0),"",Разбивка_по_щитам!H557)</f>
        <v/>
      </c>
      <c r="S557" s="154">
        <f>IF(R557="","",IFERROR(Разбивка_по_щитам!J557&amp;"",""))</f>
        <v/>
      </c>
      <c r="T557" s="155">
        <f>IF(R557="","",IFERROR(--Разбивка_по_щитам!L557,""))</f>
        <v/>
      </c>
      <c r="U557" s="155">
        <f>IF(R557="","",IFERROR(--Разбивка_по_щитам!K557,""))</f>
        <v/>
      </c>
      <c r="V557" s="138">
        <f>IF(R557="","",IFERROR(IF(Разбивка_по_щитам!M557=0,"",Разбивка_по_щитам!M557),""))</f>
        <v/>
      </c>
      <c r="W557" s="156">
        <f t="shared" si="347"/>
        <v/>
      </c>
      <c r="X557" s="157">
        <f t="shared" si="348"/>
        <v/>
      </c>
      <c r="Y557" s="266"/>
      <c r="Z557" s="158">
        <f t="shared" si="349"/>
        <v/>
      </c>
      <c r="AA557" s="160">
        <f t="shared" si="350"/>
        <v/>
      </c>
      <c r="AB557" s="160">
        <f>IF(R557="","",IFERROR(LOOKUP(INDEX(Справочная!$I$4:$I$19,MATCH(VLOOKUP(R557,Исходные_данные,22,FALSE),Справочная!$J$4:$J$19,0)+1),{6,10,16,20,25,32,40,50,63,80,100,125}),""))</f>
        <v/>
      </c>
      <c r="AC557" s="160">
        <f t="shared" si="351"/>
        <v/>
      </c>
      <c r="AD557" s="161">
        <f t="shared" si="352"/>
        <v/>
      </c>
      <c r="AE557" s="161">
        <f>IF(AND(R557="",G557=""),"",_xlfn.TEXTJOIN("; ",TRUE,IF(AND(R557&lt;&gt;"",V557=""),"нет фазы",""),IF(AND(R557&lt;&gt;"",N(T557)=0),"нет мощности",""),IF(AND(P557&lt;&gt;"",COUNTIFS($A$3:$A$1000,A557,$P$3:$P$1000,P557)&gt;1),"дубль клеммы "&amp;P557,""),IF(AND(W557&lt;&gt;"",W557&lt;&gt;"ok"),W557,""),IF(X557&lt;&gt;"",X557,""),IF(AND(ISNUMBER(SEARCH("(5х",Q557)),N(AK557)=1),"5 жил на 1 фазе",""),IF(AND(AL557="R",E557&lt;&gt;"",N(AS557)=0),"розетка без 30 мА",""),IF(IFERROR(_xlfn.NUMBERVALUE(MID(Q557,FIND("-",Q557,FIND("L=",Q557))+1,FIND("%",Q557)-FIND("-",Q557,FIND("L=",Q557))-1),","),0)&gt;4,"потери &gt; 4 %","")))</f>
      </c>
      <c r="AF557" s="129">
        <f>IF(E557&lt;&gt;"",COUNTIFS($A$3:A557,A557,$E$3:E557,"?*"),IF(OR(A557&lt;&gt;A556,Y557="вручную"),"",AF556))</f>
        <v/>
      </c>
      <c r="AG557" s="129">
        <f t="shared" si="353"/>
        <v/>
      </c>
      <c r="AH557" s="129">
        <f t="shared" si="354"/>
        <v/>
      </c>
      <c r="AI557" s="129">
        <f t="shared" si="355"/>
        <v/>
      </c>
      <c r="AJ557" s="129">
        <f t="shared" si="356"/>
        <v/>
      </c>
      <c r="AK557" s="129">
        <f t="shared" si="357"/>
        <v/>
      </c>
      <c r="AL557" s="129">
        <f t="shared" si="358"/>
        <v/>
      </c>
      <c r="AM557" s="129">
        <f t="shared" si="359"/>
      </c>
      <c r="AN557" s="129">
        <f t="shared" si="360"/>
      </c>
      <c r="AO557" s="129">
        <f t="shared" si="361"/>
        <v/>
      </c>
      <c r="AP557" s="129">
        <f t="shared" si="362"/>
        <v/>
      </c>
      <c r="AQ557" s="129">
        <f t="shared" si="363"/>
        <v/>
      </c>
      <c r="AR557" s="129">
        <f t="shared" si="364"/>
        <v/>
      </c>
      <c r="AS557" s="129">
        <f t="shared" si="365"/>
        <v/>
      </c>
      <c r="AT557" s="129">
        <f t="shared" si="366"/>
        <v/>
      </c>
      <c r="AU557" s="129">
        <f t="shared" si="367"/>
        <v/>
      </c>
      <c r="AV557" s="129">
        <f t="shared" si="368"/>
        <v/>
      </c>
      <c r="AW557" s="129">
        <f>IF(AV557="","",AV557&amp;"."&amp;COUNTIFS($A$3:A557,A557,$AV$3:AV557,AV557))</f>
        <v/>
      </c>
      <c r="AX557" s="129">
        <f t="shared" si="369"/>
        <v/>
      </c>
      <c r="AY557" s="129">
        <f>IF(N557="б/к",0,IF(OR(ISNUMBER(SEARCH("L=",Разбивка_по_щитам!P557)),N557="+",N557="="),1,0))</f>
      </c>
      <c r="AZ557" s="129">
        <f t="shared" si="370"/>
        <v/>
      </c>
      <c r="BA557" s="129">
        <f t="shared" si="371"/>
      </c>
      <c r="BB557" s="129">
        <f t="shared" si="372"/>
      </c>
      <c r="BD557" s="129">
        <f t="shared" si="373"/>
      </c>
      <c r="BE557" s="129">
        <f t="shared" si="374"/>
      </c>
      <c r="BF557" s="129">
        <f t="shared" si="375"/>
      </c>
      <c r="BG557" s="129">
        <f t="shared" si="376"/>
        <v/>
      </c>
      <c r="BH557" s="129">
        <f t="shared" si="377"/>
        <v/>
      </c>
      <c r="BI557" s="129">
        <f t="shared" si="378"/>
        <v/>
      </c>
      <c r="BJ557" s="129">
        <f t="shared" si="379"/>
        <v/>
      </c>
      <c r="BK557" s="129">
        <f>IF(R557="","",IF(OR(BY557="",BY557=0),"BOX",IFERROR(IF(VLOOKUP(BY557,УГО_блоки,3,FALSE)&amp;""&lt;&gt;"",VLOOKUP(BY557,УГО_блоки,3,FALSE),VLOOKUP(BY557,УГО_блоки,2,FALSE)),BY557)))</f>
      </c>
      <c r="BL557" s="129">
        <f t="shared" si="381"/>
      </c>
      <c r="BM557" s="129">
        <f>IF(H557="","",IF(COUNTIF($H$3:H557,H557)=1,MAX($BM$2:BM556)+1,""))</f>
      </c>
      <c r="BN557" s="129">
        <f>IF(I557="","",IF(COUNTIF($I$3:I557,I557)+COUNTIF($J$2:J556,I557)+COUNTIF($K$2:K556,I557)=1,MAX($BN$2:BP556)+1,""))</f>
      </c>
      <c r="BO557" s="129">
        <f>IF(J557="","",IF(COUNTIF($I$3:I557,J557)+COUNTIF($J$3:J557,J557)+COUNTIF($K$2:K556,J557)=1,MAX($BN$2:BP556,BN557)+1,""))</f>
      </c>
      <c r="BP557" s="129">
        <f>IF(K557="","",IF(COUNTIF($I$3:I557,K557)+COUNTIF($J$3:J557,K557)+COUNTIF($K$3:K557,K557)=1,MAX($BN$2:BP556,BN557,BO557)+1,""))</f>
      </c>
      <c r="BQ557" s="129">
        <f>IF(AY557=1,IFERROR(MID(Q557,FIND(" (",Q557)+2,FIND(")",Q557,FIND(" (",Q557))-FIND(" (",Q557)-2),"?"),"")</f>
      </c>
      <c r="BR557" s="129">
        <f>IF(BQ557="","",IF(COUNTIF($BQ$3:BQ557,BQ557)=1,MAX($BR$2:BR556)+1,""))</f>
      </c>
      <c r="BS557" s="129">
        <f>IF(AW557="","",COUNTIF($AW$3:AW557,"?*"))</f>
      </c>
      <c r="BT557" s="129">
        <f>IF(OR(AW557="",AI557=""),"",IF(COUNTIFS($AW$3:AW557,"?*",$AI$3:AI557,AI557)=1,MAX($BT$2:BT556)+1,""))</f>
      </c>
      <c r="BU557" s="129">
        <f>IF(AE557="",0,IF(OR(ISNUMBER(SEARCH("дубль",AE557)),ISNUMBER(SEARCH("ПЕРЕГРУЗ",AE557)),ISNUMBER(SEARCH("ЗАЩИЩ",AE557)),ISNUMBER(SEARCH("КАНАЛ",AE557)),ISNUMBER(SEARCH("без 30",AE557))),2,1))</f>
      </c>
      <c r="BV557" s="129">
        <f>IF(R557="","",COUNTIF($R$3:R557,"?*"))</f>
      </c>
      <c r="BW557" s="129">
        <f>IF(AY557&lt;&gt;1,0,IF(MAX(IFERROR(--VLOOKUP(R557,УГО_спр,5,FALSE),0),IFERROR(--VLOOKUP(AL557,УГО_спр,5,FALSE),0),IFERROR(--VLOOKUP(LEFT(AL557,2),УГО_спр,5,FALSE),0))&gt;0,MAX(IFERROR(--VLOOKUP(R557,УГО_спр,5,FALSE),0),IFERROR(--VLOOKUP(AL557,УГО_спр,5,FALSE),0),IFERROR(--VLOOKUP(LEFT(AL557,2),УГО_спр,5,FALSE),0)),IF(IFERROR(--LEFT(SUBSTITUTE(BQ557,"x","х"),FIND("х",SUBSTITUTE(BQ557,"x","х"))-1),3)&gt;3,Каталог!$S$9,1)))</f>
      </c>
      <c r="BX557" s="129">
        <f>IF(AY557&lt;&gt;1,0,MAX(0,IFERROR(--LEFT(SUBSTITUTE(BQ557,"x","х"),FIND("х",SUBSTITUTE(BQ557,"x","х"))-1),3)-3*BW557))</f>
      </c>
      <c r="BY557" s="129">
        <f>IF(R557="","",IFERROR(VLOOKUP(R557,УГО_спр,2,FALSE),IFERROR(VLOOKUP(AL557,УГО_спр,2,FALSE),IFERROR(VLOOKUP(LEFT(AL557,2),УГО_спр,2,FALSE),""))))</f>
      </c>
    </row>
    <row r="558" spans="1:64" x14ac:dyDescent="0.3">
      <c r="A558" s="135">
        <f>IF(Разбивка_по_щитам!F558=0,"",Разбивка_по_щитам!F558)</f>
        <v/>
      </c>
      <c r="B558" s="138">
        <f>IF(A558="","",Разбивка_по_щитам!C558)</f>
        <v/>
      </c>
      <c r="C558" s="138">
        <f t="shared" si="342"/>
        <v/>
      </c>
      <c r="D558" s="266"/>
      <c r="E558" s="266"/>
      <c r="F558" s="267"/>
      <c r="G558" s="145">
        <f t="shared" si="343"/>
        <v/>
      </c>
      <c r="H558" s="145">
        <f t="shared" si="344"/>
        <v/>
      </c>
      <c r="I558" s="266"/>
      <c r="J558" s="267"/>
      <c r="K558" s="267"/>
      <c r="L558" s="266"/>
      <c r="M558" s="147">
        <f t="shared" si="345"/>
        <v/>
      </c>
      <c r="N558" s="267"/>
      <c r="O558" s="147">
        <f t="shared" si="346"/>
        <v/>
      </c>
      <c r="P558" s="268">
        <f>IF(AY558=1,"XT"&amp;COUNTIFS($A$3:A558,A558,$AY$3:AY558,1),"")</f>
        <v/>
      </c>
      <c r="Q558" s="152">
        <f>IF(R558="","",IFERROR(SUBSTITUTE(Разбивка_по_щитам!P558,CHAR(10)," "),""))</f>
        <v/>
      </c>
      <c r="R558" s="153">
        <f>IF(OR(Разбивка_по_щитам!H558="",Разбивка_по_щитам!H558=0),"",Разбивка_по_щитам!H558)</f>
        <v/>
      </c>
      <c r="S558" s="154">
        <f>IF(R558="","",IFERROR(Разбивка_по_щитам!J558&amp;"",""))</f>
        <v/>
      </c>
      <c r="T558" s="155">
        <f>IF(R558="","",IFERROR(--Разбивка_по_щитам!L558,""))</f>
        <v/>
      </c>
      <c r="U558" s="155">
        <f>IF(R558="","",IFERROR(--Разбивка_по_щитам!K558,""))</f>
        <v/>
      </c>
      <c r="V558" s="138">
        <f>IF(R558="","",IFERROR(IF(Разбивка_по_щитам!M558=0,"",Разбивка_по_щитам!M558),""))</f>
        <v/>
      </c>
      <c r="W558" s="156">
        <f t="shared" si="347"/>
        <v/>
      </c>
      <c r="X558" s="157">
        <f t="shared" si="348"/>
        <v/>
      </c>
      <c r="Y558" s="266"/>
      <c r="Z558" s="158">
        <f t="shared" si="349"/>
        <v/>
      </c>
      <c r="AA558" s="160">
        <f t="shared" si="350"/>
        <v/>
      </c>
      <c r="AB558" s="160">
        <f>IF(R558="","",IFERROR(LOOKUP(INDEX(Справочная!$I$4:$I$19,MATCH(VLOOKUP(R558,Исходные_данные,22,FALSE),Справочная!$J$4:$J$19,0)+1),{6,10,16,20,25,32,40,50,63,80,100,125}),""))</f>
        <v/>
      </c>
      <c r="AC558" s="160">
        <f t="shared" si="351"/>
        <v/>
      </c>
      <c r="AD558" s="161">
        <f t="shared" si="352"/>
        <v/>
      </c>
      <c r="AE558" s="161">
        <f>IF(AND(R558="",G558=""),"",_xlfn.TEXTJOIN("; ",TRUE,IF(AND(R558&lt;&gt;"",V558=""),"нет фазы",""),IF(AND(R558&lt;&gt;"",N(T558)=0),"нет мощности",""),IF(AND(P558&lt;&gt;"",COUNTIFS($A$3:$A$1000,A558,$P$3:$P$1000,P558)&gt;1),"дубль клеммы "&amp;P558,""),IF(AND(W558&lt;&gt;"",W558&lt;&gt;"ok"),W558,""),IF(X558&lt;&gt;"",X558,""),IF(AND(ISNUMBER(SEARCH("(5х",Q558)),N(AK558)=1),"5 жил на 1 фазе",""),IF(AND(AL558="R",E558&lt;&gt;"",N(AS558)=0),"розетка без 30 мА",""),IF(IFERROR(_xlfn.NUMBERVALUE(MID(Q558,FIND("-",Q558,FIND("L=",Q558))+1,FIND("%",Q558)-FIND("-",Q558,FIND("L=",Q558))-1),","),0)&gt;4,"потери &gt; 4 %","")))</f>
      </c>
      <c r="AF558" s="129">
        <f>IF(E558&lt;&gt;"",COUNTIFS($A$3:A558,A558,$E$3:E558,"?*"),IF(OR(A558&lt;&gt;A557,Y558="вручную"),"",AF557))</f>
        <v/>
      </c>
      <c r="AG558" s="129">
        <f t="shared" si="353"/>
        <v/>
      </c>
      <c r="AH558" s="129">
        <f t="shared" si="354"/>
        <v/>
      </c>
      <c r="AI558" s="129">
        <f t="shared" si="355"/>
        <v/>
      </c>
      <c r="AJ558" s="129">
        <f t="shared" si="356"/>
        <v/>
      </c>
      <c r="AK558" s="129">
        <f t="shared" si="357"/>
        <v/>
      </c>
      <c r="AL558" s="129">
        <f t="shared" si="358"/>
        <v/>
      </c>
      <c r="AM558" s="129">
        <f t="shared" si="359"/>
      </c>
      <c r="AN558" s="129">
        <f t="shared" si="360"/>
      </c>
      <c r="AO558" s="129">
        <f t="shared" si="361"/>
        <v/>
      </c>
      <c r="AP558" s="129">
        <f t="shared" si="362"/>
        <v/>
      </c>
      <c r="AQ558" s="129">
        <f t="shared" si="363"/>
        <v/>
      </c>
      <c r="AR558" s="129">
        <f t="shared" si="364"/>
        <v/>
      </c>
      <c r="AS558" s="129">
        <f t="shared" si="365"/>
        <v/>
      </c>
      <c r="AT558" s="129">
        <f t="shared" si="366"/>
        <v/>
      </c>
      <c r="AU558" s="129">
        <f t="shared" si="367"/>
        <v/>
      </c>
      <c r="AV558" s="129">
        <f t="shared" si="368"/>
        <v/>
      </c>
      <c r="AW558" s="129">
        <f>IF(AV558="","",AV558&amp;"."&amp;COUNTIFS($A$3:A558,A558,$AV$3:AV558,AV558))</f>
        <v/>
      </c>
      <c r="AX558" s="129">
        <f t="shared" si="369"/>
        <v/>
      </c>
      <c r="AY558" s="129">
        <f>IF(N558="б/к",0,IF(OR(ISNUMBER(SEARCH("L=",Разбивка_по_щитам!P558)),N558="+",N558="="),1,0))</f>
      </c>
      <c r="AZ558" s="129">
        <f t="shared" si="370"/>
        <v/>
      </c>
      <c r="BA558" s="129">
        <f t="shared" si="371"/>
      </c>
      <c r="BB558" s="129">
        <f t="shared" si="372"/>
      </c>
      <c r="BD558" s="129">
        <f t="shared" si="373"/>
      </c>
      <c r="BE558" s="129">
        <f t="shared" si="374"/>
      </c>
      <c r="BF558" s="129">
        <f t="shared" si="375"/>
      </c>
      <c r="BG558" s="129">
        <f t="shared" si="376"/>
        <v/>
      </c>
      <c r="BH558" s="129">
        <f t="shared" si="377"/>
        <v/>
      </c>
      <c r="BI558" s="129">
        <f t="shared" si="378"/>
        <v/>
      </c>
      <c r="BJ558" s="129">
        <f t="shared" si="379"/>
        <v/>
      </c>
      <c r="BK558" s="129">
        <f>IF(R558="","",IF(OR(BY558="",BY558=0),"BOX",IFERROR(IF(VLOOKUP(BY558,УГО_блоки,3,FALSE)&amp;""&lt;&gt;"",VLOOKUP(BY558,УГО_блоки,3,FALSE),VLOOKUP(BY558,УГО_блоки,2,FALSE)),BY558)))</f>
      </c>
      <c r="BL558" s="129">
        <f t="shared" si="381"/>
      </c>
      <c r="BM558" s="129">
        <f>IF(H558="","",IF(COUNTIF($H$3:H558,H558)=1,MAX($BM$2:BM557)+1,""))</f>
      </c>
      <c r="BN558" s="129">
        <f>IF(I558="","",IF(COUNTIF($I$3:I558,I558)+COUNTIF($J$2:J557,I558)+COUNTIF($K$2:K557,I558)=1,MAX($BN$2:BP557)+1,""))</f>
      </c>
      <c r="BO558" s="129">
        <f>IF(J558="","",IF(COUNTIF($I$3:I558,J558)+COUNTIF($J$3:J558,J558)+COUNTIF($K$2:K557,J558)=1,MAX($BN$2:BP557,BN558)+1,""))</f>
      </c>
      <c r="BP558" s="129">
        <f>IF(K558="","",IF(COUNTIF($I$3:I558,K558)+COUNTIF($J$3:J558,K558)+COUNTIF($K$3:K558,K558)=1,MAX($BN$2:BP557,BN558,BO558)+1,""))</f>
      </c>
      <c r="BQ558" s="129">
        <f>IF(AY558=1,IFERROR(MID(Q558,FIND(" (",Q558)+2,FIND(")",Q558,FIND(" (",Q558))-FIND(" (",Q558)-2),"?"),"")</f>
      </c>
      <c r="BR558" s="129">
        <f>IF(BQ558="","",IF(COUNTIF($BQ$3:BQ558,BQ558)=1,MAX($BR$2:BR557)+1,""))</f>
      </c>
      <c r="BS558" s="129">
        <f>IF(AW558="","",COUNTIF($AW$3:AW558,"?*"))</f>
      </c>
      <c r="BT558" s="129">
        <f>IF(OR(AW558="",AI558=""),"",IF(COUNTIFS($AW$3:AW558,"?*",$AI$3:AI558,AI558)=1,MAX($BT$2:BT557)+1,""))</f>
      </c>
      <c r="BU558" s="129">
        <f>IF(AE558="",0,IF(OR(ISNUMBER(SEARCH("дубль",AE558)),ISNUMBER(SEARCH("ПЕРЕГРУЗ",AE558)),ISNUMBER(SEARCH("ЗАЩИЩ",AE558)),ISNUMBER(SEARCH("КАНАЛ",AE558)),ISNUMBER(SEARCH("без 30",AE558))),2,1))</f>
      </c>
      <c r="BV558" s="129">
        <f>IF(R558="","",COUNTIF($R$3:R558,"?*"))</f>
      </c>
      <c r="BW558" s="129">
        <f>IF(AY558&lt;&gt;1,0,IF(MAX(IFERROR(--VLOOKUP(R558,УГО_спр,5,FALSE),0),IFERROR(--VLOOKUP(AL558,УГО_спр,5,FALSE),0),IFERROR(--VLOOKUP(LEFT(AL558,2),УГО_спр,5,FALSE),0))&gt;0,MAX(IFERROR(--VLOOKUP(R558,УГО_спр,5,FALSE),0),IFERROR(--VLOOKUP(AL558,УГО_спр,5,FALSE),0),IFERROR(--VLOOKUP(LEFT(AL558,2),УГО_спр,5,FALSE),0)),IF(IFERROR(--LEFT(SUBSTITUTE(BQ558,"x","х"),FIND("х",SUBSTITUTE(BQ558,"x","х"))-1),3)&gt;3,Каталог!$S$9,1)))</f>
      </c>
      <c r="BX558" s="129">
        <f>IF(AY558&lt;&gt;1,0,MAX(0,IFERROR(--LEFT(SUBSTITUTE(BQ558,"x","х"),FIND("х",SUBSTITUTE(BQ558,"x","х"))-1),3)-3*BW558))</f>
      </c>
      <c r="BY558" s="129">
        <f>IF(R558="","",IFERROR(VLOOKUP(R558,УГО_спр,2,FALSE),IFERROR(VLOOKUP(AL558,УГО_спр,2,FALSE),IFERROR(VLOOKUP(LEFT(AL558,2),УГО_спр,2,FALSE),""))))</f>
      </c>
    </row>
    <row r="559" spans="1:64" x14ac:dyDescent="0.3">
      <c r="A559" s="135">
        <f>IF(Разбивка_по_щитам!F559=0,"",Разбивка_по_щитам!F559)</f>
        <v/>
      </c>
      <c r="B559" s="138">
        <f>IF(A559="","",Разбивка_по_щитам!C559)</f>
        <v/>
      </c>
      <c r="C559" s="138">
        <f t="shared" si="342"/>
        <v/>
      </c>
      <c r="D559" s="266"/>
      <c r="E559" s="266"/>
      <c r="F559" s="267"/>
      <c r="G559" s="145">
        <f t="shared" si="343"/>
        <v/>
      </c>
      <c r="H559" s="145">
        <f t="shared" si="344"/>
        <v/>
      </c>
      <c r="I559" s="266"/>
      <c r="J559" s="267"/>
      <c r="K559" s="267"/>
      <c r="L559" s="266"/>
      <c r="M559" s="147">
        <f t="shared" si="345"/>
        <v/>
      </c>
      <c r="N559" s="267"/>
      <c r="O559" s="147">
        <f t="shared" si="346"/>
        <v/>
      </c>
      <c r="P559" s="268">
        <f>IF(AY559=1,"XT"&amp;COUNTIFS($A$3:A559,A559,$AY$3:AY559,1),"")</f>
        <v/>
      </c>
      <c r="Q559" s="152">
        <f>IF(R559="","",IFERROR(SUBSTITUTE(Разбивка_по_щитам!P559,CHAR(10)," "),""))</f>
        <v/>
      </c>
      <c r="R559" s="153">
        <f>IF(OR(Разбивка_по_щитам!H559="",Разбивка_по_щитам!H559=0),"",Разбивка_по_щитам!H559)</f>
        <v/>
      </c>
      <c r="S559" s="154">
        <f>IF(R559="","",IFERROR(Разбивка_по_щитам!J559&amp;"",""))</f>
        <v/>
      </c>
      <c r="T559" s="155">
        <f>IF(R559="","",IFERROR(--Разбивка_по_щитам!L559,""))</f>
        <v/>
      </c>
      <c r="U559" s="155">
        <f>IF(R559="","",IFERROR(--Разбивка_по_щитам!K559,""))</f>
        <v/>
      </c>
      <c r="V559" s="138">
        <f>IF(R559="","",IFERROR(IF(Разбивка_по_щитам!M559=0,"",Разбивка_по_щитам!M559),""))</f>
        <v/>
      </c>
      <c r="W559" s="156">
        <f t="shared" si="347"/>
        <v/>
      </c>
      <c r="X559" s="157">
        <f t="shared" si="348"/>
        <v/>
      </c>
      <c r="Y559" s="266"/>
      <c r="Z559" s="158">
        <f t="shared" si="349"/>
        <v/>
      </c>
      <c r="AA559" s="160">
        <f t="shared" si="350"/>
        <v/>
      </c>
      <c r="AB559" s="160">
        <f>IF(R559="","",IFERROR(LOOKUP(INDEX(Справочная!$I$4:$I$19,MATCH(VLOOKUP(R559,Исходные_данные,22,FALSE),Справочная!$J$4:$J$19,0)+1),{6,10,16,20,25,32,40,50,63,80,100,125}),""))</f>
        <v/>
      </c>
      <c r="AC559" s="160">
        <f t="shared" si="351"/>
        <v/>
      </c>
      <c r="AD559" s="161">
        <f t="shared" si="352"/>
        <v/>
      </c>
      <c r="AE559" s="161">
        <f>IF(AND(R559="",G559=""),"",_xlfn.TEXTJOIN("; ",TRUE,IF(AND(R559&lt;&gt;"",V559=""),"нет фазы",""),IF(AND(R559&lt;&gt;"",N(T559)=0),"нет мощности",""),IF(AND(P559&lt;&gt;"",COUNTIFS($A$3:$A$1000,A559,$P$3:$P$1000,P559)&gt;1),"дубль клеммы "&amp;P559,""),IF(AND(W559&lt;&gt;"",W559&lt;&gt;"ok"),W559,""),IF(X559&lt;&gt;"",X559,""),IF(AND(ISNUMBER(SEARCH("(5х",Q559)),N(AK559)=1),"5 жил на 1 фазе",""),IF(AND(AL559="R",E559&lt;&gt;"",N(AS559)=0),"розетка без 30 мА",""),IF(IFERROR(_xlfn.NUMBERVALUE(MID(Q559,FIND("-",Q559,FIND("L=",Q559))+1,FIND("%",Q559)-FIND("-",Q559,FIND("L=",Q559))-1),","),0)&gt;4,"потери &gt; 4 %","")))</f>
      </c>
      <c r="AF559" s="129">
        <f>IF(E559&lt;&gt;"",COUNTIFS($A$3:A559,A559,$E$3:E559,"?*"),IF(OR(A559&lt;&gt;A558,Y559="вручную"),"",AF558))</f>
        <v/>
      </c>
      <c r="AG559" s="129">
        <f t="shared" si="353"/>
        <v/>
      </c>
      <c r="AH559" s="129">
        <f t="shared" si="354"/>
        <v/>
      </c>
      <c r="AI559" s="129">
        <f t="shared" si="355"/>
        <v/>
      </c>
      <c r="AJ559" s="129">
        <f t="shared" si="356"/>
        <v/>
      </c>
      <c r="AK559" s="129">
        <f t="shared" si="357"/>
        <v/>
      </c>
      <c r="AL559" s="129">
        <f t="shared" si="358"/>
        <v/>
      </c>
      <c r="AM559" s="129">
        <f t="shared" si="359"/>
      </c>
      <c r="AN559" s="129">
        <f t="shared" si="360"/>
      </c>
      <c r="AO559" s="129">
        <f t="shared" si="361"/>
        <v/>
      </c>
      <c r="AP559" s="129">
        <f t="shared" si="362"/>
        <v/>
      </c>
      <c r="AQ559" s="129">
        <f t="shared" si="363"/>
        <v/>
      </c>
      <c r="AR559" s="129">
        <f t="shared" si="364"/>
        <v/>
      </c>
      <c r="AS559" s="129">
        <f t="shared" si="365"/>
        <v/>
      </c>
      <c r="AT559" s="129">
        <f t="shared" si="366"/>
        <v/>
      </c>
      <c r="AU559" s="129">
        <f t="shared" si="367"/>
        <v/>
      </c>
      <c r="AV559" s="129">
        <f t="shared" si="368"/>
        <v/>
      </c>
      <c r="AW559" s="129">
        <f>IF(AV559="","",AV559&amp;"."&amp;COUNTIFS($A$3:A559,A559,$AV$3:AV559,AV559))</f>
        <v/>
      </c>
      <c r="AX559" s="129">
        <f t="shared" si="369"/>
        <v/>
      </c>
      <c r="AY559" s="129">
        <f>IF(N559="б/к",0,IF(OR(ISNUMBER(SEARCH("L=",Разбивка_по_щитам!P559)),N559="+",N559="="),1,0))</f>
      </c>
      <c r="AZ559" s="129">
        <f t="shared" si="370"/>
        <v/>
      </c>
      <c r="BA559" s="129">
        <f t="shared" si="371"/>
      </c>
      <c r="BB559" s="129">
        <f t="shared" si="372"/>
      </c>
      <c r="BD559" s="129">
        <f t="shared" si="373"/>
      </c>
      <c r="BE559" s="129">
        <f t="shared" si="374"/>
      </c>
      <c r="BF559" s="129">
        <f t="shared" si="375"/>
      </c>
      <c r="BG559" s="129">
        <f t="shared" si="376"/>
        <v/>
      </c>
      <c r="BH559" s="129">
        <f t="shared" si="377"/>
        <v/>
      </c>
      <c r="BI559" s="129">
        <f t="shared" si="378"/>
        <v/>
      </c>
      <c r="BJ559" s="129">
        <f t="shared" si="379"/>
        <v/>
      </c>
      <c r="BK559" s="129">
        <f>IF(R559="","",IF(OR(BY559="",BY559=0),"BOX",IFERROR(IF(VLOOKUP(BY559,УГО_блоки,3,FALSE)&amp;""&lt;&gt;"",VLOOKUP(BY559,УГО_блоки,3,FALSE),VLOOKUP(BY559,УГО_блоки,2,FALSE)),BY559)))</f>
      </c>
      <c r="BL559" s="129">
        <f t="shared" si="381"/>
      </c>
      <c r="BM559" s="129">
        <f>IF(H559="","",IF(COUNTIF($H$3:H559,H559)=1,MAX($BM$2:BM558)+1,""))</f>
      </c>
      <c r="BN559" s="129">
        <f>IF(I559="","",IF(COUNTIF($I$3:I559,I559)+COUNTIF($J$2:J558,I559)+COUNTIF($K$2:K558,I559)=1,MAX($BN$2:BP558)+1,""))</f>
      </c>
      <c r="BO559" s="129">
        <f>IF(J559="","",IF(COUNTIF($I$3:I559,J559)+COUNTIF($J$3:J559,J559)+COUNTIF($K$2:K558,J559)=1,MAX($BN$2:BP558,BN559)+1,""))</f>
      </c>
      <c r="BP559" s="129">
        <f>IF(K559="","",IF(COUNTIF($I$3:I559,K559)+COUNTIF($J$3:J559,K559)+COUNTIF($K$3:K559,K559)=1,MAX($BN$2:BP558,BN559,BO559)+1,""))</f>
      </c>
      <c r="BQ559" s="129">
        <f>IF(AY559=1,IFERROR(MID(Q559,FIND(" (",Q559)+2,FIND(")",Q559,FIND(" (",Q559))-FIND(" (",Q559)-2),"?"),"")</f>
      </c>
      <c r="BR559" s="129">
        <f>IF(BQ559="","",IF(COUNTIF($BQ$3:BQ559,BQ559)=1,MAX($BR$2:BR558)+1,""))</f>
      </c>
      <c r="BS559" s="129">
        <f>IF(AW559="","",COUNTIF($AW$3:AW559,"?*"))</f>
      </c>
      <c r="BT559" s="129">
        <f>IF(OR(AW559="",AI559=""),"",IF(COUNTIFS($AW$3:AW559,"?*",$AI$3:AI559,AI559)=1,MAX($BT$2:BT558)+1,""))</f>
      </c>
      <c r="BU559" s="129">
        <f>IF(AE559="",0,IF(OR(ISNUMBER(SEARCH("дубль",AE559)),ISNUMBER(SEARCH("ПЕРЕГРУЗ",AE559)),ISNUMBER(SEARCH("ЗАЩИЩ",AE559)),ISNUMBER(SEARCH("КАНАЛ",AE559)),ISNUMBER(SEARCH("без 30",AE559))),2,1))</f>
      </c>
      <c r="BV559" s="129">
        <f>IF(R559="","",COUNTIF($R$3:R559,"?*"))</f>
      </c>
      <c r="BW559" s="129">
        <f>IF(AY559&lt;&gt;1,0,IF(MAX(IFERROR(--VLOOKUP(R559,УГО_спр,5,FALSE),0),IFERROR(--VLOOKUP(AL559,УГО_спр,5,FALSE),0),IFERROR(--VLOOKUP(LEFT(AL559,2),УГО_спр,5,FALSE),0))&gt;0,MAX(IFERROR(--VLOOKUP(R559,УГО_спр,5,FALSE),0),IFERROR(--VLOOKUP(AL559,УГО_спр,5,FALSE),0),IFERROR(--VLOOKUP(LEFT(AL559,2),УГО_спр,5,FALSE),0)),IF(IFERROR(--LEFT(SUBSTITUTE(BQ559,"x","х"),FIND("х",SUBSTITUTE(BQ559,"x","х"))-1),3)&gt;3,Каталог!$S$9,1)))</f>
      </c>
      <c r="BX559" s="129">
        <f>IF(AY559&lt;&gt;1,0,MAX(0,IFERROR(--LEFT(SUBSTITUTE(BQ559,"x","х"),FIND("х",SUBSTITUTE(BQ559,"x","х"))-1),3)-3*BW559))</f>
      </c>
      <c r="BY559" s="129">
        <f>IF(R559="","",IFERROR(VLOOKUP(R559,УГО_спр,2,FALSE),IFERROR(VLOOKUP(AL559,УГО_спр,2,FALSE),IFERROR(VLOOKUP(LEFT(AL559,2),УГО_спр,2,FALSE),""))))</f>
      </c>
    </row>
    <row r="560" spans="1:64" x14ac:dyDescent="0.3">
      <c r="A560" s="135">
        <f>IF(Разбивка_по_щитам!F560=0,"",Разбивка_по_щитам!F560)</f>
        <v/>
      </c>
      <c r="B560" s="138">
        <f>IF(A560="","",Разбивка_по_щитам!C560)</f>
        <v/>
      </c>
      <c r="C560" s="138">
        <f t="shared" si="342"/>
        <v/>
      </c>
      <c r="D560" s="266"/>
      <c r="E560" s="266"/>
      <c r="F560" s="267"/>
      <c r="G560" s="145">
        <f t="shared" si="343"/>
        <v/>
      </c>
      <c r="H560" s="145">
        <f t="shared" si="344"/>
        <v/>
      </c>
      <c r="I560" s="266"/>
      <c r="J560" s="267"/>
      <c r="K560" s="267"/>
      <c r="L560" s="266"/>
      <c r="M560" s="147">
        <f t="shared" si="345"/>
        <v/>
      </c>
      <c r="N560" s="267"/>
      <c r="O560" s="147">
        <f t="shared" si="346"/>
        <v/>
      </c>
      <c r="P560" s="268">
        <f>IF(AY560=1,"XT"&amp;COUNTIFS($A$3:A560,A560,$AY$3:AY560,1),"")</f>
        <v/>
      </c>
      <c r="Q560" s="152">
        <f>IF(R560="","",IFERROR(SUBSTITUTE(Разбивка_по_щитам!P560,CHAR(10)," "),""))</f>
        <v/>
      </c>
      <c r="R560" s="153">
        <f>IF(OR(Разбивка_по_щитам!H560="",Разбивка_по_щитам!H560=0),"",Разбивка_по_щитам!H560)</f>
        <v/>
      </c>
      <c r="S560" s="154">
        <f>IF(R560="","",IFERROR(Разбивка_по_щитам!J560&amp;"",""))</f>
        <v/>
      </c>
      <c r="T560" s="155">
        <f>IF(R560="","",IFERROR(--Разбивка_по_щитам!L560,""))</f>
        <v/>
      </c>
      <c r="U560" s="155">
        <f>IF(R560="","",IFERROR(--Разбивка_по_щитам!K560,""))</f>
        <v/>
      </c>
      <c r="V560" s="138">
        <f>IF(R560="","",IFERROR(IF(Разбивка_по_щитам!M560=0,"",Разбивка_по_щитам!M560),""))</f>
        <v/>
      </c>
      <c r="W560" s="156">
        <f t="shared" si="347"/>
        <v/>
      </c>
      <c r="X560" s="157">
        <f t="shared" si="348"/>
        <v/>
      </c>
      <c r="Y560" s="266"/>
      <c r="Z560" s="158">
        <f t="shared" si="349"/>
        <v/>
      </c>
      <c r="AA560" s="160">
        <f t="shared" si="350"/>
        <v/>
      </c>
      <c r="AB560" s="160">
        <f>IF(R560="","",IFERROR(LOOKUP(INDEX(Справочная!$I$4:$I$19,MATCH(VLOOKUP(R560,Исходные_данные,22,FALSE),Справочная!$J$4:$J$19,0)+1),{6,10,16,20,25,32,40,50,63,80,100,125}),""))</f>
        <v/>
      </c>
      <c r="AC560" s="160">
        <f t="shared" si="351"/>
        <v/>
      </c>
      <c r="AD560" s="161">
        <f t="shared" si="352"/>
        <v/>
      </c>
      <c r="AE560" s="161">
        <f>IF(AND(R560="",G560=""),"",_xlfn.TEXTJOIN("; ",TRUE,IF(AND(R560&lt;&gt;"",V560=""),"нет фазы",""),IF(AND(R560&lt;&gt;"",N(T560)=0),"нет мощности",""),IF(AND(P560&lt;&gt;"",COUNTIFS($A$3:$A$1000,A560,$P$3:$P$1000,P560)&gt;1),"дубль клеммы "&amp;P560,""),IF(AND(W560&lt;&gt;"",W560&lt;&gt;"ok"),W560,""),IF(X560&lt;&gt;"",X560,""),IF(AND(ISNUMBER(SEARCH("(5х",Q560)),N(AK560)=1),"5 жил на 1 фазе",""),IF(AND(AL560="R",E560&lt;&gt;"",N(AS560)=0),"розетка без 30 мА",""),IF(IFERROR(_xlfn.NUMBERVALUE(MID(Q560,FIND("-",Q560,FIND("L=",Q560))+1,FIND("%",Q560)-FIND("-",Q560,FIND("L=",Q560))-1),","),0)&gt;4,"потери &gt; 4 %","")))</f>
      </c>
      <c r="AF560" s="129">
        <f>IF(E560&lt;&gt;"",COUNTIFS($A$3:A560,A560,$E$3:E560,"?*"),IF(OR(A560&lt;&gt;A559,Y560="вручную"),"",AF559))</f>
        <v/>
      </c>
      <c r="AG560" s="129">
        <f t="shared" si="353"/>
        <v/>
      </c>
      <c r="AH560" s="129">
        <f t="shared" si="354"/>
        <v/>
      </c>
      <c r="AI560" s="129">
        <f t="shared" si="355"/>
        <v/>
      </c>
      <c r="AJ560" s="129">
        <f t="shared" si="356"/>
        <v/>
      </c>
      <c r="AK560" s="129">
        <f t="shared" si="357"/>
        <v/>
      </c>
      <c r="AL560" s="129">
        <f t="shared" si="358"/>
        <v/>
      </c>
      <c r="AM560" s="129">
        <f t="shared" si="359"/>
      </c>
      <c r="AN560" s="129">
        <f t="shared" si="360"/>
      </c>
      <c r="AO560" s="129">
        <f t="shared" si="361"/>
        <v/>
      </c>
      <c r="AP560" s="129">
        <f t="shared" si="362"/>
        <v/>
      </c>
      <c r="AQ560" s="129">
        <f t="shared" si="363"/>
        <v/>
      </c>
      <c r="AR560" s="129">
        <f t="shared" si="364"/>
        <v/>
      </c>
      <c r="AS560" s="129">
        <f t="shared" si="365"/>
        <v/>
      </c>
      <c r="AT560" s="129">
        <f t="shared" si="366"/>
        <v/>
      </c>
      <c r="AU560" s="129">
        <f t="shared" si="367"/>
        <v/>
      </c>
      <c r="AV560" s="129">
        <f t="shared" si="368"/>
        <v/>
      </c>
      <c r="AW560" s="129">
        <f>IF(AV560="","",AV560&amp;"."&amp;COUNTIFS($A$3:A560,A560,$AV$3:AV560,AV560))</f>
        <v/>
      </c>
      <c r="AX560" s="129">
        <f t="shared" si="369"/>
        <v/>
      </c>
      <c r="AY560" s="129">
        <f>IF(N560="б/к",0,IF(OR(ISNUMBER(SEARCH("L=",Разбивка_по_щитам!P560)),N560="+",N560="="),1,0))</f>
      </c>
      <c r="AZ560" s="129">
        <f t="shared" si="370"/>
        <v/>
      </c>
      <c r="BA560" s="129">
        <f t="shared" si="371"/>
      </c>
      <c r="BB560" s="129">
        <f t="shared" si="372"/>
      </c>
      <c r="BD560" s="129">
        <f t="shared" si="373"/>
      </c>
      <c r="BE560" s="129">
        <f t="shared" si="374"/>
      </c>
      <c r="BF560" s="129">
        <f t="shared" si="375"/>
      </c>
      <c r="BG560" s="129">
        <f t="shared" si="376"/>
        <v/>
      </c>
      <c r="BH560" s="129">
        <f t="shared" si="377"/>
        <v/>
      </c>
      <c r="BI560" s="129">
        <f t="shared" si="378"/>
        <v/>
      </c>
      <c r="BJ560" s="129">
        <f t="shared" si="379"/>
        <v/>
      </c>
      <c r="BK560" s="129">
        <f>IF(R560="","",IF(OR(BY560="",BY560=0),"BOX",IFERROR(IF(VLOOKUP(BY560,УГО_блоки,3,FALSE)&amp;""&lt;&gt;"",VLOOKUP(BY560,УГО_блоки,3,FALSE),VLOOKUP(BY560,УГО_блоки,2,FALSE)),BY560)))</f>
      </c>
      <c r="BL560" s="129">
        <f t="shared" si="381"/>
      </c>
      <c r="BM560" s="129">
        <f>IF(H560="","",IF(COUNTIF($H$3:H560,H560)=1,MAX($BM$2:BM559)+1,""))</f>
      </c>
      <c r="BN560" s="129">
        <f>IF(I560="","",IF(COUNTIF($I$3:I560,I560)+COUNTIF($J$2:J559,I560)+COUNTIF($K$2:K559,I560)=1,MAX($BN$2:BP559)+1,""))</f>
      </c>
      <c r="BO560" s="129">
        <f>IF(J560="","",IF(COUNTIF($I$3:I560,J560)+COUNTIF($J$3:J560,J560)+COUNTIF($K$2:K559,J560)=1,MAX($BN$2:BP559,BN560)+1,""))</f>
      </c>
      <c r="BP560" s="129">
        <f>IF(K560="","",IF(COUNTIF($I$3:I560,K560)+COUNTIF($J$3:J560,K560)+COUNTIF($K$3:K560,K560)=1,MAX($BN$2:BP559,BN560,BO560)+1,""))</f>
      </c>
      <c r="BQ560" s="129">
        <f>IF(AY560=1,IFERROR(MID(Q560,FIND(" (",Q560)+2,FIND(")",Q560,FIND(" (",Q560))-FIND(" (",Q560)-2),"?"),"")</f>
      </c>
      <c r="BR560" s="129">
        <f>IF(BQ560="","",IF(COUNTIF($BQ$3:BQ560,BQ560)=1,MAX($BR$2:BR559)+1,""))</f>
      </c>
      <c r="BS560" s="129">
        <f>IF(AW560="","",COUNTIF($AW$3:AW560,"?*"))</f>
      </c>
      <c r="BT560" s="129">
        <f>IF(OR(AW560="",AI560=""),"",IF(COUNTIFS($AW$3:AW560,"?*",$AI$3:AI560,AI560)=1,MAX($BT$2:BT559)+1,""))</f>
      </c>
      <c r="BU560" s="129">
        <f>IF(AE560="",0,IF(OR(ISNUMBER(SEARCH("дубль",AE560)),ISNUMBER(SEARCH("ПЕРЕГРУЗ",AE560)),ISNUMBER(SEARCH("ЗАЩИЩ",AE560)),ISNUMBER(SEARCH("КАНАЛ",AE560)),ISNUMBER(SEARCH("без 30",AE560))),2,1))</f>
      </c>
      <c r="BV560" s="129">
        <f>IF(R560="","",COUNTIF($R$3:R560,"?*"))</f>
      </c>
      <c r="BW560" s="129">
        <f>IF(AY560&lt;&gt;1,0,IF(MAX(IFERROR(--VLOOKUP(R560,УГО_спр,5,FALSE),0),IFERROR(--VLOOKUP(AL560,УГО_спр,5,FALSE),0),IFERROR(--VLOOKUP(LEFT(AL560,2),УГО_спр,5,FALSE),0))&gt;0,MAX(IFERROR(--VLOOKUP(R560,УГО_спр,5,FALSE),0),IFERROR(--VLOOKUP(AL560,УГО_спр,5,FALSE),0),IFERROR(--VLOOKUP(LEFT(AL560,2),УГО_спр,5,FALSE),0)),IF(IFERROR(--LEFT(SUBSTITUTE(BQ560,"x","х"),FIND("х",SUBSTITUTE(BQ560,"x","х"))-1),3)&gt;3,Каталог!$S$9,1)))</f>
      </c>
      <c r="BX560" s="129">
        <f>IF(AY560&lt;&gt;1,0,MAX(0,IFERROR(--LEFT(SUBSTITUTE(BQ560,"x","х"),FIND("х",SUBSTITUTE(BQ560,"x","х"))-1),3)-3*BW560))</f>
      </c>
      <c r="BY560" s="129">
        <f>IF(R560="","",IFERROR(VLOOKUP(R560,УГО_спр,2,FALSE),IFERROR(VLOOKUP(AL560,УГО_спр,2,FALSE),IFERROR(VLOOKUP(LEFT(AL560,2),УГО_спр,2,FALSE),""))))</f>
      </c>
    </row>
    <row r="561" spans="1:64" x14ac:dyDescent="0.3">
      <c r="A561" s="135">
        <f>IF(Разбивка_по_щитам!F561=0,"",Разбивка_по_щитам!F561)</f>
        <v/>
      </c>
      <c r="B561" s="138">
        <f>IF(A561="","",Разбивка_по_щитам!C561)</f>
        <v/>
      </c>
      <c r="C561" s="138">
        <f t="shared" si="342"/>
        <v/>
      </c>
      <c r="D561" s="266"/>
      <c r="E561" s="266"/>
      <c r="F561" s="267"/>
      <c r="G561" s="145">
        <f t="shared" si="343"/>
        <v/>
      </c>
      <c r="H561" s="145">
        <f t="shared" si="344"/>
        <v/>
      </c>
      <c r="I561" s="266"/>
      <c r="J561" s="267"/>
      <c r="K561" s="267"/>
      <c r="L561" s="266"/>
      <c r="M561" s="147">
        <f t="shared" si="345"/>
        <v/>
      </c>
      <c r="N561" s="267"/>
      <c r="O561" s="147">
        <f t="shared" si="346"/>
        <v/>
      </c>
      <c r="P561" s="268">
        <f>IF(AY561=1,"XT"&amp;COUNTIFS($A$3:A561,A561,$AY$3:AY561,1),"")</f>
        <v/>
      </c>
      <c r="Q561" s="152">
        <f>IF(R561="","",IFERROR(SUBSTITUTE(Разбивка_по_щитам!P561,CHAR(10)," "),""))</f>
        <v/>
      </c>
      <c r="R561" s="153">
        <f>IF(OR(Разбивка_по_щитам!H561="",Разбивка_по_щитам!H561=0),"",Разбивка_по_щитам!H561)</f>
        <v/>
      </c>
      <c r="S561" s="154">
        <f>IF(R561="","",IFERROR(Разбивка_по_щитам!J561&amp;"",""))</f>
        <v/>
      </c>
      <c r="T561" s="155">
        <f>IF(R561="","",IFERROR(--Разбивка_по_щитам!L561,""))</f>
        <v/>
      </c>
      <c r="U561" s="155">
        <f>IF(R561="","",IFERROR(--Разбивка_по_щитам!K561,""))</f>
        <v/>
      </c>
      <c r="V561" s="138">
        <f>IF(R561="","",IFERROR(IF(Разбивка_по_щитам!M561=0,"",Разбивка_по_щитам!M561),""))</f>
        <v/>
      </c>
      <c r="W561" s="156">
        <f t="shared" si="347"/>
        <v/>
      </c>
      <c r="X561" s="157">
        <f t="shared" si="348"/>
        <v/>
      </c>
      <c r="Y561" s="266"/>
      <c r="Z561" s="158">
        <f t="shared" si="349"/>
        <v/>
      </c>
      <c r="AA561" s="160">
        <f t="shared" si="350"/>
        <v/>
      </c>
      <c r="AB561" s="160">
        <f>IF(R561="","",IFERROR(LOOKUP(INDEX(Справочная!$I$4:$I$19,MATCH(VLOOKUP(R561,Исходные_данные,22,FALSE),Справочная!$J$4:$J$19,0)+1),{6,10,16,20,25,32,40,50,63,80,100,125}),""))</f>
        <v/>
      </c>
      <c r="AC561" s="160">
        <f t="shared" si="351"/>
        <v/>
      </c>
      <c r="AD561" s="161">
        <f t="shared" si="352"/>
        <v/>
      </c>
      <c r="AE561" s="161">
        <f>IF(AND(R561="",G561=""),"",_xlfn.TEXTJOIN("; ",TRUE,IF(AND(R561&lt;&gt;"",V561=""),"нет фазы",""),IF(AND(R561&lt;&gt;"",N(T561)=0),"нет мощности",""),IF(AND(P561&lt;&gt;"",COUNTIFS($A$3:$A$1000,A561,$P$3:$P$1000,P561)&gt;1),"дубль клеммы "&amp;P561,""),IF(AND(W561&lt;&gt;"",W561&lt;&gt;"ok"),W561,""),IF(X561&lt;&gt;"",X561,""),IF(AND(ISNUMBER(SEARCH("(5х",Q561)),N(AK561)=1),"5 жил на 1 фазе",""),IF(AND(AL561="R",E561&lt;&gt;"",N(AS561)=0),"розетка без 30 мА",""),IF(IFERROR(_xlfn.NUMBERVALUE(MID(Q561,FIND("-",Q561,FIND("L=",Q561))+1,FIND("%",Q561)-FIND("-",Q561,FIND("L=",Q561))-1),","),0)&gt;4,"потери &gt; 4 %","")))</f>
      </c>
      <c r="AF561" s="129">
        <f>IF(E561&lt;&gt;"",COUNTIFS($A$3:A561,A561,$E$3:E561,"?*"),IF(OR(A561&lt;&gt;A560,Y561="вручную"),"",AF560))</f>
        <v/>
      </c>
      <c r="AG561" s="129">
        <f t="shared" si="353"/>
        <v/>
      </c>
      <c r="AH561" s="129">
        <f t="shared" si="354"/>
        <v/>
      </c>
      <c r="AI561" s="129">
        <f t="shared" si="355"/>
        <v/>
      </c>
      <c r="AJ561" s="129">
        <f t="shared" si="356"/>
        <v/>
      </c>
      <c r="AK561" s="129">
        <f t="shared" si="357"/>
        <v/>
      </c>
      <c r="AL561" s="129">
        <f t="shared" si="358"/>
        <v/>
      </c>
      <c r="AM561" s="129">
        <f t="shared" si="359"/>
      </c>
      <c r="AN561" s="129">
        <f t="shared" si="360"/>
      </c>
      <c r="AO561" s="129">
        <f t="shared" si="361"/>
        <v/>
      </c>
      <c r="AP561" s="129">
        <f t="shared" si="362"/>
        <v/>
      </c>
      <c r="AQ561" s="129">
        <f t="shared" si="363"/>
        <v/>
      </c>
      <c r="AR561" s="129">
        <f t="shared" si="364"/>
        <v/>
      </c>
      <c r="AS561" s="129">
        <f t="shared" si="365"/>
        <v/>
      </c>
      <c r="AT561" s="129">
        <f t="shared" si="366"/>
        <v/>
      </c>
      <c r="AU561" s="129">
        <f t="shared" si="367"/>
        <v/>
      </c>
      <c r="AV561" s="129">
        <f t="shared" si="368"/>
        <v/>
      </c>
      <c r="AW561" s="129">
        <f>IF(AV561="","",AV561&amp;"."&amp;COUNTIFS($A$3:A561,A561,$AV$3:AV561,AV561))</f>
        <v/>
      </c>
      <c r="AX561" s="129">
        <f t="shared" si="369"/>
        <v/>
      </c>
      <c r="AY561" s="129">
        <f>IF(N561="б/к",0,IF(OR(ISNUMBER(SEARCH("L=",Разбивка_по_щитам!P561)),N561="+",N561="="),1,0))</f>
      </c>
      <c r="AZ561" s="129">
        <f t="shared" si="370"/>
        <v/>
      </c>
      <c r="BA561" s="129">
        <f t="shared" si="371"/>
      </c>
      <c r="BB561" s="129">
        <f t="shared" si="372"/>
      </c>
      <c r="BD561" s="129">
        <f t="shared" si="373"/>
      </c>
      <c r="BE561" s="129">
        <f t="shared" si="374"/>
      </c>
      <c r="BF561" s="129">
        <f t="shared" si="375"/>
      </c>
      <c r="BG561" s="129">
        <f t="shared" si="376"/>
        <v/>
      </c>
      <c r="BH561" s="129">
        <f t="shared" si="377"/>
        <v/>
      </c>
      <c r="BI561" s="129">
        <f t="shared" si="378"/>
        <v/>
      </c>
      <c r="BJ561" s="129">
        <f t="shared" si="379"/>
        <v/>
      </c>
      <c r="BK561" s="129">
        <f>IF(R561="","",IF(OR(BY561="",BY561=0),"BOX",IFERROR(IF(VLOOKUP(BY561,УГО_блоки,3,FALSE)&amp;""&lt;&gt;"",VLOOKUP(BY561,УГО_блоки,3,FALSE),VLOOKUP(BY561,УГО_блоки,2,FALSE)),BY561)))</f>
      </c>
      <c r="BL561" s="129">
        <f t="shared" si="381"/>
      </c>
      <c r="BM561" s="129">
        <f>IF(H561="","",IF(COUNTIF($H$3:H561,H561)=1,MAX($BM$2:BM560)+1,""))</f>
      </c>
      <c r="BN561" s="129">
        <f>IF(I561="","",IF(COUNTIF($I$3:I561,I561)+COUNTIF($J$2:J560,I561)+COUNTIF($K$2:K560,I561)=1,MAX($BN$2:BP560)+1,""))</f>
      </c>
      <c r="BO561" s="129">
        <f>IF(J561="","",IF(COUNTIF($I$3:I561,J561)+COUNTIF($J$3:J561,J561)+COUNTIF($K$2:K560,J561)=1,MAX($BN$2:BP560,BN561)+1,""))</f>
      </c>
      <c r="BP561" s="129">
        <f>IF(K561="","",IF(COUNTIF($I$3:I561,K561)+COUNTIF($J$3:J561,K561)+COUNTIF($K$3:K561,K561)=1,MAX($BN$2:BP560,BN561,BO561)+1,""))</f>
      </c>
      <c r="BQ561" s="129">
        <f>IF(AY561=1,IFERROR(MID(Q561,FIND(" (",Q561)+2,FIND(")",Q561,FIND(" (",Q561))-FIND(" (",Q561)-2),"?"),"")</f>
      </c>
      <c r="BR561" s="129">
        <f>IF(BQ561="","",IF(COUNTIF($BQ$3:BQ561,BQ561)=1,MAX($BR$2:BR560)+1,""))</f>
      </c>
      <c r="BS561" s="129">
        <f>IF(AW561="","",COUNTIF($AW$3:AW561,"?*"))</f>
      </c>
      <c r="BT561" s="129">
        <f>IF(OR(AW561="",AI561=""),"",IF(COUNTIFS($AW$3:AW561,"?*",$AI$3:AI561,AI561)=1,MAX($BT$2:BT560)+1,""))</f>
      </c>
      <c r="BU561" s="129">
        <f>IF(AE561="",0,IF(OR(ISNUMBER(SEARCH("дубль",AE561)),ISNUMBER(SEARCH("ПЕРЕГРУЗ",AE561)),ISNUMBER(SEARCH("ЗАЩИЩ",AE561)),ISNUMBER(SEARCH("КАНАЛ",AE561)),ISNUMBER(SEARCH("без 30",AE561))),2,1))</f>
      </c>
      <c r="BV561" s="129">
        <f>IF(R561="","",COUNTIF($R$3:R561,"?*"))</f>
      </c>
      <c r="BW561" s="129">
        <f>IF(AY561&lt;&gt;1,0,IF(MAX(IFERROR(--VLOOKUP(R561,УГО_спр,5,FALSE),0),IFERROR(--VLOOKUP(AL561,УГО_спр,5,FALSE),0),IFERROR(--VLOOKUP(LEFT(AL561,2),УГО_спр,5,FALSE),0))&gt;0,MAX(IFERROR(--VLOOKUP(R561,УГО_спр,5,FALSE),0),IFERROR(--VLOOKUP(AL561,УГО_спр,5,FALSE),0),IFERROR(--VLOOKUP(LEFT(AL561,2),УГО_спр,5,FALSE),0)),IF(IFERROR(--LEFT(SUBSTITUTE(BQ561,"x","х"),FIND("х",SUBSTITUTE(BQ561,"x","х"))-1),3)&gt;3,Каталог!$S$9,1)))</f>
      </c>
      <c r="BX561" s="129">
        <f>IF(AY561&lt;&gt;1,0,MAX(0,IFERROR(--LEFT(SUBSTITUTE(BQ561,"x","х"),FIND("х",SUBSTITUTE(BQ561,"x","х"))-1),3)-3*BW561))</f>
      </c>
      <c r="BY561" s="129">
        <f>IF(R561="","",IFERROR(VLOOKUP(R561,УГО_спр,2,FALSE),IFERROR(VLOOKUP(AL561,УГО_спр,2,FALSE),IFERROR(VLOOKUP(LEFT(AL561,2),УГО_спр,2,FALSE),""))))</f>
      </c>
    </row>
    <row r="562" spans="1:64" x14ac:dyDescent="0.3">
      <c r="A562" s="135">
        <f>IF(Разбивка_по_щитам!F562=0,"",Разбивка_по_щитам!F562)</f>
        <v/>
      </c>
      <c r="B562" s="138">
        <f>IF(A562="","",Разбивка_по_щитам!C562)</f>
        <v/>
      </c>
      <c r="C562" s="138">
        <f t="shared" si="342"/>
        <v/>
      </c>
      <c r="D562" s="266"/>
      <c r="E562" s="266"/>
      <c r="F562" s="267"/>
      <c r="G562" s="145">
        <f t="shared" si="343"/>
        <v/>
      </c>
      <c r="H562" s="145">
        <f t="shared" si="344"/>
        <v/>
      </c>
      <c r="I562" s="266"/>
      <c r="J562" s="267"/>
      <c r="K562" s="267"/>
      <c r="L562" s="266"/>
      <c r="M562" s="147">
        <f t="shared" si="345"/>
        <v/>
      </c>
      <c r="N562" s="267"/>
      <c r="O562" s="147">
        <f t="shared" si="346"/>
        <v/>
      </c>
      <c r="P562" s="268">
        <f>IF(AY562=1,"XT"&amp;COUNTIFS($A$3:A562,A562,$AY$3:AY562,1),"")</f>
        <v/>
      </c>
      <c r="Q562" s="152">
        <f>IF(R562="","",IFERROR(SUBSTITUTE(Разбивка_по_щитам!P562,CHAR(10)," "),""))</f>
        <v/>
      </c>
      <c r="R562" s="153">
        <f>IF(OR(Разбивка_по_щитам!H562="",Разбивка_по_щитам!H562=0),"",Разбивка_по_щитам!H562)</f>
        <v/>
      </c>
      <c r="S562" s="154">
        <f>IF(R562="","",IFERROR(Разбивка_по_щитам!J562&amp;"",""))</f>
        <v/>
      </c>
      <c r="T562" s="155">
        <f>IF(R562="","",IFERROR(--Разбивка_по_щитам!L562,""))</f>
        <v/>
      </c>
      <c r="U562" s="155">
        <f>IF(R562="","",IFERROR(--Разбивка_по_щитам!K562,""))</f>
        <v/>
      </c>
      <c r="V562" s="138">
        <f>IF(R562="","",IFERROR(IF(Разбивка_по_щитам!M562=0,"",Разбивка_по_щитам!M562),""))</f>
        <v/>
      </c>
      <c r="W562" s="156">
        <f t="shared" si="347"/>
        <v/>
      </c>
      <c r="X562" s="157">
        <f t="shared" si="348"/>
        <v/>
      </c>
      <c r="Y562" s="266"/>
      <c r="Z562" s="158">
        <f t="shared" si="349"/>
        <v/>
      </c>
      <c r="AA562" s="160">
        <f t="shared" si="350"/>
        <v/>
      </c>
      <c r="AB562" s="160">
        <f>IF(R562="","",IFERROR(LOOKUP(INDEX(Справочная!$I$4:$I$19,MATCH(VLOOKUP(R562,Исходные_данные,22,FALSE),Справочная!$J$4:$J$19,0)+1),{6,10,16,20,25,32,40,50,63,80,100,125}),""))</f>
        <v/>
      </c>
      <c r="AC562" s="160">
        <f t="shared" si="351"/>
        <v/>
      </c>
      <c r="AD562" s="161">
        <f t="shared" si="352"/>
        <v/>
      </c>
      <c r="AE562" s="161">
        <f>IF(AND(R562="",G562=""),"",_xlfn.TEXTJOIN("; ",TRUE,IF(AND(R562&lt;&gt;"",V562=""),"нет фазы",""),IF(AND(R562&lt;&gt;"",N(T562)=0),"нет мощности",""),IF(AND(P562&lt;&gt;"",COUNTIFS($A$3:$A$1000,A562,$P$3:$P$1000,P562)&gt;1),"дубль клеммы "&amp;P562,""),IF(AND(W562&lt;&gt;"",W562&lt;&gt;"ok"),W562,""),IF(X562&lt;&gt;"",X562,""),IF(AND(ISNUMBER(SEARCH("(5х",Q562)),N(AK562)=1),"5 жил на 1 фазе",""),IF(AND(AL562="R",E562&lt;&gt;"",N(AS562)=0),"розетка без 30 мА",""),IF(IFERROR(_xlfn.NUMBERVALUE(MID(Q562,FIND("-",Q562,FIND("L=",Q562))+1,FIND("%",Q562)-FIND("-",Q562,FIND("L=",Q562))-1),","),0)&gt;4,"потери &gt; 4 %","")))</f>
      </c>
      <c r="AF562" s="129">
        <f>IF(E562&lt;&gt;"",COUNTIFS($A$3:A562,A562,$E$3:E562,"?*"),IF(OR(A562&lt;&gt;A561,Y562="вручную"),"",AF561))</f>
        <v/>
      </c>
      <c r="AG562" s="129">
        <f t="shared" si="353"/>
        <v/>
      </c>
      <c r="AH562" s="129">
        <f t="shared" si="354"/>
        <v/>
      </c>
      <c r="AI562" s="129">
        <f t="shared" si="355"/>
        <v/>
      </c>
      <c r="AJ562" s="129">
        <f t="shared" si="356"/>
        <v/>
      </c>
      <c r="AK562" s="129">
        <f t="shared" si="357"/>
        <v/>
      </c>
      <c r="AL562" s="129">
        <f t="shared" si="358"/>
        <v/>
      </c>
      <c r="AM562" s="129">
        <f t="shared" si="359"/>
      </c>
      <c r="AN562" s="129">
        <f t="shared" si="360"/>
      </c>
      <c r="AO562" s="129">
        <f t="shared" si="361"/>
        <v/>
      </c>
      <c r="AP562" s="129">
        <f t="shared" si="362"/>
        <v/>
      </c>
      <c r="AQ562" s="129">
        <f t="shared" si="363"/>
        <v/>
      </c>
      <c r="AR562" s="129">
        <f t="shared" si="364"/>
        <v/>
      </c>
      <c r="AS562" s="129">
        <f t="shared" si="365"/>
        <v/>
      </c>
      <c r="AT562" s="129">
        <f t="shared" si="366"/>
        <v/>
      </c>
      <c r="AU562" s="129">
        <f t="shared" si="367"/>
        <v/>
      </c>
      <c r="AV562" s="129">
        <f t="shared" si="368"/>
        <v/>
      </c>
      <c r="AW562" s="129">
        <f>IF(AV562="","",AV562&amp;"."&amp;COUNTIFS($A$3:A562,A562,$AV$3:AV562,AV562))</f>
        <v/>
      </c>
      <c r="AX562" s="129">
        <f t="shared" si="369"/>
        <v/>
      </c>
      <c r="AY562" s="129">
        <f>IF(N562="б/к",0,IF(OR(ISNUMBER(SEARCH("L=",Разбивка_по_щитам!P562)),N562="+",N562="="),1,0))</f>
      </c>
      <c r="AZ562" s="129">
        <f t="shared" si="370"/>
        <v/>
      </c>
      <c r="BA562" s="129">
        <f t="shared" si="371"/>
      </c>
      <c r="BB562" s="129">
        <f t="shared" si="372"/>
      </c>
      <c r="BD562" s="129">
        <f t="shared" si="373"/>
      </c>
      <c r="BE562" s="129">
        <f t="shared" si="374"/>
      </c>
      <c r="BF562" s="129">
        <f t="shared" si="375"/>
      </c>
      <c r="BG562" s="129">
        <f t="shared" si="376"/>
        <v/>
      </c>
      <c r="BH562" s="129">
        <f t="shared" si="377"/>
        <v/>
      </c>
      <c r="BI562" s="129">
        <f t="shared" si="378"/>
        <v/>
      </c>
      <c r="BJ562" s="129">
        <f t="shared" si="379"/>
        <v/>
      </c>
      <c r="BK562" s="129">
        <f>IF(R562="","",IF(OR(BY562="",BY562=0),"BOX",IFERROR(IF(VLOOKUP(BY562,УГО_блоки,3,FALSE)&amp;""&lt;&gt;"",VLOOKUP(BY562,УГО_блоки,3,FALSE),VLOOKUP(BY562,УГО_блоки,2,FALSE)),BY562)))</f>
      </c>
      <c r="BL562" s="129">
        <f t="shared" si="381"/>
      </c>
      <c r="BM562" s="129">
        <f>IF(H562="","",IF(COUNTIF($H$3:H562,H562)=1,MAX($BM$2:BM561)+1,""))</f>
      </c>
      <c r="BN562" s="129">
        <f>IF(I562="","",IF(COUNTIF($I$3:I562,I562)+COUNTIF($J$2:J561,I562)+COUNTIF($K$2:K561,I562)=1,MAX($BN$2:BP561)+1,""))</f>
      </c>
      <c r="BO562" s="129">
        <f>IF(J562="","",IF(COUNTIF($I$3:I562,J562)+COUNTIF($J$3:J562,J562)+COUNTIF($K$2:K561,J562)=1,MAX($BN$2:BP561,BN562)+1,""))</f>
      </c>
      <c r="BP562" s="129">
        <f>IF(K562="","",IF(COUNTIF($I$3:I562,K562)+COUNTIF($J$3:J562,K562)+COUNTIF($K$3:K562,K562)=1,MAX($BN$2:BP561,BN562,BO562)+1,""))</f>
      </c>
      <c r="BQ562" s="129">
        <f>IF(AY562=1,IFERROR(MID(Q562,FIND(" (",Q562)+2,FIND(")",Q562,FIND(" (",Q562))-FIND(" (",Q562)-2),"?"),"")</f>
      </c>
      <c r="BR562" s="129">
        <f>IF(BQ562="","",IF(COUNTIF($BQ$3:BQ562,BQ562)=1,MAX($BR$2:BR561)+1,""))</f>
      </c>
      <c r="BS562" s="129">
        <f>IF(AW562="","",COUNTIF($AW$3:AW562,"?*"))</f>
      </c>
      <c r="BT562" s="129">
        <f>IF(OR(AW562="",AI562=""),"",IF(COUNTIFS($AW$3:AW562,"?*",$AI$3:AI562,AI562)=1,MAX($BT$2:BT561)+1,""))</f>
      </c>
      <c r="BU562" s="129">
        <f>IF(AE562="",0,IF(OR(ISNUMBER(SEARCH("дубль",AE562)),ISNUMBER(SEARCH("ПЕРЕГРУЗ",AE562)),ISNUMBER(SEARCH("ЗАЩИЩ",AE562)),ISNUMBER(SEARCH("КАНАЛ",AE562)),ISNUMBER(SEARCH("без 30",AE562))),2,1))</f>
      </c>
      <c r="BV562" s="129">
        <f>IF(R562="","",COUNTIF($R$3:R562,"?*"))</f>
      </c>
      <c r="BW562" s="129">
        <f>IF(AY562&lt;&gt;1,0,IF(MAX(IFERROR(--VLOOKUP(R562,УГО_спр,5,FALSE),0),IFERROR(--VLOOKUP(AL562,УГО_спр,5,FALSE),0),IFERROR(--VLOOKUP(LEFT(AL562,2),УГО_спр,5,FALSE),0))&gt;0,MAX(IFERROR(--VLOOKUP(R562,УГО_спр,5,FALSE),0),IFERROR(--VLOOKUP(AL562,УГО_спр,5,FALSE),0),IFERROR(--VLOOKUP(LEFT(AL562,2),УГО_спр,5,FALSE),0)),IF(IFERROR(--LEFT(SUBSTITUTE(BQ562,"x","х"),FIND("х",SUBSTITUTE(BQ562,"x","х"))-1),3)&gt;3,Каталог!$S$9,1)))</f>
      </c>
      <c r="BX562" s="129">
        <f>IF(AY562&lt;&gt;1,0,MAX(0,IFERROR(--LEFT(SUBSTITUTE(BQ562,"x","х"),FIND("х",SUBSTITUTE(BQ562,"x","х"))-1),3)-3*BW562))</f>
      </c>
      <c r="BY562" s="129">
        <f>IF(R562="","",IFERROR(VLOOKUP(R562,УГО_спр,2,FALSE),IFERROR(VLOOKUP(AL562,УГО_спр,2,FALSE),IFERROR(VLOOKUP(LEFT(AL562,2),УГО_спр,2,FALSE),""))))</f>
      </c>
    </row>
    <row r="563" spans="1:64" x14ac:dyDescent="0.3">
      <c r="A563" s="135">
        <f>IF(Разбивка_по_щитам!F563=0,"",Разбивка_по_щитам!F563)</f>
        <v/>
      </c>
      <c r="B563" s="138">
        <f>IF(A563="","",Разбивка_по_щитам!C563)</f>
        <v/>
      </c>
      <c r="C563" s="138">
        <f t="shared" si="342"/>
        <v/>
      </c>
      <c r="D563" s="266"/>
      <c r="E563" s="266"/>
      <c r="F563" s="267"/>
      <c r="G563" s="145">
        <f t="shared" si="343"/>
        <v/>
      </c>
      <c r="H563" s="145">
        <f t="shared" si="344"/>
        <v/>
      </c>
      <c r="I563" s="266"/>
      <c r="J563" s="267"/>
      <c r="K563" s="267"/>
      <c r="L563" s="266"/>
      <c r="M563" s="147">
        <f t="shared" si="345"/>
        <v/>
      </c>
      <c r="N563" s="267"/>
      <c r="O563" s="147">
        <f t="shared" si="346"/>
        <v/>
      </c>
      <c r="P563" s="268">
        <f>IF(AY563=1,"XT"&amp;COUNTIFS($A$3:A563,A563,$AY$3:AY563,1),"")</f>
        <v/>
      </c>
      <c r="Q563" s="152">
        <f>IF(R563="","",IFERROR(SUBSTITUTE(Разбивка_по_щитам!P563,CHAR(10)," "),""))</f>
        <v/>
      </c>
      <c r="R563" s="153">
        <f>IF(OR(Разбивка_по_щитам!H563="",Разбивка_по_щитам!H563=0),"",Разбивка_по_щитам!H563)</f>
        <v/>
      </c>
      <c r="S563" s="154">
        <f>IF(R563="","",IFERROR(Разбивка_по_щитам!J563&amp;"",""))</f>
        <v/>
      </c>
      <c r="T563" s="155">
        <f>IF(R563="","",IFERROR(--Разбивка_по_щитам!L563,""))</f>
        <v/>
      </c>
      <c r="U563" s="155">
        <f>IF(R563="","",IFERROR(--Разбивка_по_щитам!K563,""))</f>
        <v/>
      </c>
      <c r="V563" s="138">
        <f>IF(R563="","",IFERROR(IF(Разбивка_по_щитам!M563=0,"",Разбивка_по_щитам!M563),""))</f>
        <v/>
      </c>
      <c r="W563" s="156">
        <f t="shared" si="347"/>
        <v/>
      </c>
      <c r="X563" s="157">
        <f t="shared" si="348"/>
        <v/>
      </c>
      <c r="Y563" s="266"/>
      <c r="Z563" s="158">
        <f t="shared" si="349"/>
        <v/>
      </c>
      <c r="AA563" s="160">
        <f t="shared" si="350"/>
        <v/>
      </c>
      <c r="AB563" s="160">
        <f>IF(R563="","",IFERROR(LOOKUP(INDEX(Справочная!$I$4:$I$19,MATCH(VLOOKUP(R563,Исходные_данные,22,FALSE),Справочная!$J$4:$J$19,0)+1),{6,10,16,20,25,32,40,50,63,80,100,125}),""))</f>
        <v/>
      </c>
      <c r="AC563" s="160">
        <f t="shared" si="351"/>
        <v/>
      </c>
      <c r="AD563" s="161">
        <f t="shared" si="352"/>
        <v/>
      </c>
      <c r="AE563" s="161">
        <f>IF(AND(R563="",G563=""),"",_xlfn.TEXTJOIN("; ",TRUE,IF(AND(R563&lt;&gt;"",V563=""),"нет фазы",""),IF(AND(R563&lt;&gt;"",N(T563)=0),"нет мощности",""),IF(AND(P563&lt;&gt;"",COUNTIFS($A$3:$A$1000,A563,$P$3:$P$1000,P563)&gt;1),"дубль клеммы "&amp;P563,""),IF(AND(W563&lt;&gt;"",W563&lt;&gt;"ok"),W563,""),IF(X563&lt;&gt;"",X563,""),IF(AND(ISNUMBER(SEARCH("(5х",Q563)),N(AK563)=1),"5 жил на 1 фазе",""),IF(AND(AL563="R",E563&lt;&gt;"",N(AS563)=0),"розетка без 30 мА",""),IF(IFERROR(_xlfn.NUMBERVALUE(MID(Q563,FIND("-",Q563,FIND("L=",Q563))+1,FIND("%",Q563)-FIND("-",Q563,FIND("L=",Q563))-1),","),0)&gt;4,"потери &gt; 4 %","")))</f>
      </c>
      <c r="AF563" s="129">
        <f>IF(E563&lt;&gt;"",COUNTIFS($A$3:A563,A563,$E$3:E563,"?*"),IF(OR(A563&lt;&gt;A562,Y563="вручную"),"",AF562))</f>
        <v/>
      </c>
      <c r="AG563" s="129">
        <f t="shared" si="353"/>
        <v/>
      </c>
      <c r="AH563" s="129">
        <f t="shared" si="354"/>
        <v/>
      </c>
      <c r="AI563" s="129">
        <f t="shared" si="355"/>
        <v/>
      </c>
      <c r="AJ563" s="129">
        <f t="shared" si="356"/>
        <v/>
      </c>
      <c r="AK563" s="129">
        <f t="shared" si="357"/>
        <v/>
      </c>
      <c r="AL563" s="129">
        <f t="shared" si="358"/>
        <v/>
      </c>
      <c r="AM563" s="129">
        <f t="shared" si="359"/>
      </c>
      <c r="AN563" s="129">
        <f t="shared" si="360"/>
      </c>
      <c r="AO563" s="129">
        <f t="shared" si="361"/>
        <v/>
      </c>
      <c r="AP563" s="129">
        <f t="shared" si="362"/>
        <v/>
      </c>
      <c r="AQ563" s="129">
        <f t="shared" si="363"/>
        <v/>
      </c>
      <c r="AR563" s="129">
        <f t="shared" si="364"/>
        <v/>
      </c>
      <c r="AS563" s="129">
        <f t="shared" si="365"/>
        <v/>
      </c>
      <c r="AT563" s="129">
        <f t="shared" si="366"/>
        <v/>
      </c>
      <c r="AU563" s="129">
        <f t="shared" si="367"/>
        <v/>
      </c>
      <c r="AV563" s="129">
        <f t="shared" si="368"/>
        <v/>
      </c>
      <c r="AW563" s="129">
        <f>IF(AV563="","",AV563&amp;"."&amp;COUNTIFS($A$3:A563,A563,$AV$3:AV563,AV563))</f>
        <v/>
      </c>
      <c r="AX563" s="129">
        <f t="shared" si="369"/>
        <v/>
      </c>
      <c r="AY563" s="129">
        <f>IF(N563="б/к",0,IF(OR(ISNUMBER(SEARCH("L=",Разбивка_по_щитам!P563)),N563="+",N563="="),1,0))</f>
      </c>
      <c r="AZ563" s="129">
        <f t="shared" si="370"/>
        <v/>
      </c>
      <c r="BA563" s="129">
        <f t="shared" si="371"/>
      </c>
      <c r="BB563" s="129">
        <f t="shared" si="372"/>
      </c>
      <c r="BD563" s="129">
        <f t="shared" si="373"/>
      </c>
      <c r="BE563" s="129">
        <f t="shared" si="374"/>
      </c>
      <c r="BF563" s="129">
        <f t="shared" si="375"/>
      </c>
      <c r="BG563" s="129">
        <f t="shared" si="376"/>
        <v/>
      </c>
      <c r="BH563" s="129">
        <f t="shared" si="377"/>
        <v/>
      </c>
      <c r="BI563" s="129">
        <f t="shared" si="378"/>
        <v/>
      </c>
      <c r="BJ563" s="129">
        <f t="shared" si="379"/>
        <v/>
      </c>
      <c r="BK563" s="129">
        <f>IF(R563="","",IF(OR(BY563="",BY563=0),"BOX",IFERROR(IF(VLOOKUP(BY563,УГО_блоки,3,FALSE)&amp;""&lt;&gt;"",VLOOKUP(BY563,УГО_блоки,3,FALSE),VLOOKUP(BY563,УГО_блоки,2,FALSE)),BY563)))</f>
      </c>
      <c r="BL563" s="129">
        <f t="shared" si="381"/>
      </c>
      <c r="BM563" s="129">
        <f>IF(H563="","",IF(COUNTIF($H$3:H563,H563)=1,MAX($BM$2:BM562)+1,""))</f>
      </c>
      <c r="BN563" s="129">
        <f>IF(I563="","",IF(COUNTIF($I$3:I563,I563)+COUNTIF($J$2:J562,I563)+COUNTIF($K$2:K562,I563)=1,MAX($BN$2:BP562)+1,""))</f>
      </c>
      <c r="BO563" s="129">
        <f>IF(J563="","",IF(COUNTIF($I$3:I563,J563)+COUNTIF($J$3:J563,J563)+COUNTIF($K$2:K562,J563)=1,MAX($BN$2:BP562,BN563)+1,""))</f>
      </c>
      <c r="BP563" s="129">
        <f>IF(K563="","",IF(COUNTIF($I$3:I563,K563)+COUNTIF($J$3:J563,K563)+COUNTIF($K$3:K563,K563)=1,MAX($BN$2:BP562,BN563,BO563)+1,""))</f>
      </c>
      <c r="BQ563" s="129">
        <f>IF(AY563=1,IFERROR(MID(Q563,FIND(" (",Q563)+2,FIND(")",Q563,FIND(" (",Q563))-FIND(" (",Q563)-2),"?"),"")</f>
      </c>
      <c r="BR563" s="129">
        <f>IF(BQ563="","",IF(COUNTIF($BQ$3:BQ563,BQ563)=1,MAX($BR$2:BR562)+1,""))</f>
      </c>
      <c r="BS563" s="129">
        <f>IF(AW563="","",COUNTIF($AW$3:AW563,"?*"))</f>
      </c>
      <c r="BT563" s="129">
        <f>IF(OR(AW563="",AI563=""),"",IF(COUNTIFS($AW$3:AW563,"?*",$AI$3:AI563,AI563)=1,MAX($BT$2:BT562)+1,""))</f>
      </c>
      <c r="BU563" s="129">
        <f>IF(AE563="",0,IF(OR(ISNUMBER(SEARCH("дубль",AE563)),ISNUMBER(SEARCH("ПЕРЕГРУЗ",AE563)),ISNUMBER(SEARCH("ЗАЩИЩ",AE563)),ISNUMBER(SEARCH("КАНАЛ",AE563)),ISNUMBER(SEARCH("без 30",AE563))),2,1))</f>
      </c>
      <c r="BV563" s="129">
        <f>IF(R563="","",COUNTIF($R$3:R563,"?*"))</f>
      </c>
      <c r="BW563" s="129">
        <f>IF(AY563&lt;&gt;1,0,IF(MAX(IFERROR(--VLOOKUP(R563,УГО_спр,5,FALSE),0),IFERROR(--VLOOKUP(AL563,УГО_спр,5,FALSE),0),IFERROR(--VLOOKUP(LEFT(AL563,2),УГО_спр,5,FALSE),0))&gt;0,MAX(IFERROR(--VLOOKUP(R563,УГО_спр,5,FALSE),0),IFERROR(--VLOOKUP(AL563,УГО_спр,5,FALSE),0),IFERROR(--VLOOKUP(LEFT(AL563,2),УГО_спр,5,FALSE),0)),IF(IFERROR(--LEFT(SUBSTITUTE(BQ563,"x","х"),FIND("х",SUBSTITUTE(BQ563,"x","х"))-1),3)&gt;3,Каталог!$S$9,1)))</f>
      </c>
      <c r="BX563" s="129">
        <f>IF(AY563&lt;&gt;1,0,MAX(0,IFERROR(--LEFT(SUBSTITUTE(BQ563,"x","х"),FIND("х",SUBSTITUTE(BQ563,"x","х"))-1),3)-3*BW563))</f>
      </c>
      <c r="BY563" s="129">
        <f>IF(R563="","",IFERROR(VLOOKUP(R563,УГО_спр,2,FALSE),IFERROR(VLOOKUP(AL563,УГО_спр,2,FALSE),IFERROR(VLOOKUP(LEFT(AL563,2),УГО_спр,2,FALSE),""))))</f>
      </c>
    </row>
    <row r="564" spans="1:64" x14ac:dyDescent="0.3">
      <c r="A564" s="135">
        <f>IF(Разбивка_по_щитам!F564=0,"",Разбивка_по_щитам!F564)</f>
        <v/>
      </c>
      <c r="B564" s="138">
        <f>IF(A564="","",Разбивка_по_щитам!C564)</f>
        <v/>
      </c>
      <c r="C564" s="138">
        <f t="shared" si="342"/>
        <v/>
      </c>
      <c r="D564" s="266"/>
      <c r="E564" s="266"/>
      <c r="F564" s="267"/>
      <c r="G564" s="145">
        <f t="shared" si="343"/>
        <v/>
      </c>
      <c r="H564" s="145">
        <f t="shared" si="344"/>
        <v/>
      </c>
      <c r="I564" s="266"/>
      <c r="J564" s="267"/>
      <c r="K564" s="267"/>
      <c r="L564" s="266"/>
      <c r="M564" s="147">
        <f t="shared" si="345"/>
        <v/>
      </c>
      <c r="N564" s="267"/>
      <c r="O564" s="147">
        <f t="shared" si="346"/>
        <v/>
      </c>
      <c r="P564" s="268">
        <f>IF(AY564=1,"XT"&amp;COUNTIFS($A$3:A564,A564,$AY$3:AY564,1),"")</f>
        <v/>
      </c>
      <c r="Q564" s="152">
        <f>IF(R564="","",IFERROR(SUBSTITUTE(Разбивка_по_щитам!P564,CHAR(10)," "),""))</f>
        <v/>
      </c>
      <c r="R564" s="153">
        <f>IF(OR(Разбивка_по_щитам!H564="",Разбивка_по_щитам!H564=0),"",Разбивка_по_щитам!H564)</f>
        <v/>
      </c>
      <c r="S564" s="154">
        <f>IF(R564="","",IFERROR(Разбивка_по_щитам!J564&amp;"",""))</f>
        <v/>
      </c>
      <c r="T564" s="155">
        <f>IF(R564="","",IFERROR(--Разбивка_по_щитам!L564,""))</f>
        <v/>
      </c>
      <c r="U564" s="155">
        <f>IF(R564="","",IFERROR(--Разбивка_по_щитам!K564,""))</f>
        <v/>
      </c>
      <c r="V564" s="138">
        <f>IF(R564="","",IFERROR(IF(Разбивка_по_щитам!M564=0,"",Разбивка_по_щитам!M564),""))</f>
        <v/>
      </c>
      <c r="W564" s="156">
        <f t="shared" si="347"/>
        <v/>
      </c>
      <c r="X564" s="157">
        <f t="shared" si="348"/>
        <v/>
      </c>
      <c r="Y564" s="266"/>
      <c r="Z564" s="158">
        <f t="shared" si="349"/>
        <v/>
      </c>
      <c r="AA564" s="160">
        <f t="shared" si="350"/>
        <v/>
      </c>
      <c r="AB564" s="160">
        <f>IF(R564="","",IFERROR(LOOKUP(INDEX(Справочная!$I$4:$I$19,MATCH(VLOOKUP(R564,Исходные_данные,22,FALSE),Справочная!$J$4:$J$19,0)+1),{6,10,16,20,25,32,40,50,63,80,100,125}),""))</f>
        <v/>
      </c>
      <c r="AC564" s="160">
        <f t="shared" si="351"/>
        <v/>
      </c>
      <c r="AD564" s="161">
        <f t="shared" si="352"/>
        <v/>
      </c>
      <c r="AE564" s="161">
        <f>IF(AND(R564="",G564=""),"",_xlfn.TEXTJOIN("; ",TRUE,IF(AND(R564&lt;&gt;"",V564=""),"нет фазы",""),IF(AND(R564&lt;&gt;"",N(T564)=0),"нет мощности",""),IF(AND(P564&lt;&gt;"",COUNTIFS($A$3:$A$1000,A564,$P$3:$P$1000,P564)&gt;1),"дубль клеммы "&amp;P564,""),IF(AND(W564&lt;&gt;"",W564&lt;&gt;"ok"),W564,""),IF(X564&lt;&gt;"",X564,""),IF(AND(ISNUMBER(SEARCH("(5х",Q564)),N(AK564)=1),"5 жил на 1 фазе",""),IF(AND(AL564="R",E564&lt;&gt;"",N(AS564)=0),"розетка без 30 мА",""),IF(IFERROR(_xlfn.NUMBERVALUE(MID(Q564,FIND("-",Q564,FIND("L=",Q564))+1,FIND("%",Q564)-FIND("-",Q564,FIND("L=",Q564))-1),","),0)&gt;4,"потери &gt; 4 %","")))</f>
      </c>
      <c r="AF564" s="129">
        <f>IF(E564&lt;&gt;"",COUNTIFS($A$3:A564,A564,$E$3:E564,"?*"),IF(OR(A564&lt;&gt;A563,Y564="вручную"),"",AF563))</f>
        <v/>
      </c>
      <c r="AG564" s="129">
        <f t="shared" si="353"/>
        <v/>
      </c>
      <c r="AH564" s="129">
        <f t="shared" si="354"/>
        <v/>
      </c>
      <c r="AI564" s="129">
        <f t="shared" si="355"/>
        <v/>
      </c>
      <c r="AJ564" s="129">
        <f t="shared" si="356"/>
        <v/>
      </c>
      <c r="AK564" s="129">
        <f t="shared" si="357"/>
        <v/>
      </c>
      <c r="AL564" s="129">
        <f t="shared" si="358"/>
        <v/>
      </c>
      <c r="AM564" s="129">
        <f t="shared" si="359"/>
      </c>
      <c r="AN564" s="129">
        <f t="shared" si="360"/>
      </c>
      <c r="AO564" s="129">
        <f t="shared" si="361"/>
        <v/>
      </c>
      <c r="AP564" s="129">
        <f t="shared" si="362"/>
        <v/>
      </c>
      <c r="AQ564" s="129">
        <f t="shared" si="363"/>
        <v/>
      </c>
      <c r="AR564" s="129">
        <f t="shared" si="364"/>
        <v/>
      </c>
      <c r="AS564" s="129">
        <f t="shared" si="365"/>
        <v/>
      </c>
      <c r="AT564" s="129">
        <f t="shared" si="366"/>
        <v/>
      </c>
      <c r="AU564" s="129">
        <f t="shared" si="367"/>
        <v/>
      </c>
      <c r="AV564" s="129">
        <f t="shared" si="368"/>
        <v/>
      </c>
      <c r="AW564" s="129">
        <f>IF(AV564="","",AV564&amp;"."&amp;COUNTIFS($A$3:A564,A564,$AV$3:AV564,AV564))</f>
        <v/>
      </c>
      <c r="AX564" s="129">
        <f t="shared" si="369"/>
        <v/>
      </c>
      <c r="AY564" s="129">
        <f>IF(N564="б/к",0,IF(OR(ISNUMBER(SEARCH("L=",Разбивка_по_щитам!P564)),N564="+",N564="="),1,0))</f>
      </c>
      <c r="AZ564" s="129">
        <f t="shared" si="370"/>
        <v/>
      </c>
      <c r="BA564" s="129">
        <f t="shared" si="371"/>
      </c>
      <c r="BB564" s="129">
        <f t="shared" si="372"/>
      </c>
      <c r="BD564" s="129">
        <f t="shared" si="373"/>
      </c>
      <c r="BE564" s="129">
        <f t="shared" si="374"/>
      </c>
      <c r="BF564" s="129">
        <f t="shared" si="375"/>
      </c>
      <c r="BG564" s="129">
        <f t="shared" si="376"/>
        <v/>
      </c>
      <c r="BH564" s="129">
        <f t="shared" si="377"/>
        <v/>
      </c>
      <c r="BI564" s="129">
        <f t="shared" si="378"/>
        <v/>
      </c>
      <c r="BJ564" s="129">
        <f t="shared" si="379"/>
        <v/>
      </c>
      <c r="BK564" s="129">
        <f>IF(R564="","",IF(OR(BY564="",BY564=0),"BOX",IFERROR(IF(VLOOKUP(BY564,УГО_блоки,3,FALSE)&amp;""&lt;&gt;"",VLOOKUP(BY564,УГО_блоки,3,FALSE),VLOOKUP(BY564,УГО_блоки,2,FALSE)),BY564)))</f>
      </c>
      <c r="BL564" s="129">
        <f t="shared" si="381"/>
      </c>
      <c r="BM564" s="129">
        <f>IF(H564="","",IF(COUNTIF($H$3:H564,H564)=1,MAX($BM$2:BM563)+1,""))</f>
      </c>
      <c r="BN564" s="129">
        <f>IF(I564="","",IF(COUNTIF($I$3:I564,I564)+COUNTIF($J$2:J563,I564)+COUNTIF($K$2:K563,I564)=1,MAX($BN$2:BP563)+1,""))</f>
      </c>
      <c r="BO564" s="129">
        <f>IF(J564="","",IF(COUNTIF($I$3:I564,J564)+COUNTIF($J$3:J564,J564)+COUNTIF($K$2:K563,J564)=1,MAX($BN$2:BP563,BN564)+1,""))</f>
      </c>
      <c r="BP564" s="129">
        <f>IF(K564="","",IF(COUNTIF($I$3:I564,K564)+COUNTIF($J$3:J564,K564)+COUNTIF($K$3:K564,K564)=1,MAX($BN$2:BP563,BN564,BO564)+1,""))</f>
      </c>
      <c r="BQ564" s="129">
        <f>IF(AY564=1,IFERROR(MID(Q564,FIND(" (",Q564)+2,FIND(")",Q564,FIND(" (",Q564))-FIND(" (",Q564)-2),"?"),"")</f>
      </c>
      <c r="BR564" s="129">
        <f>IF(BQ564="","",IF(COUNTIF($BQ$3:BQ564,BQ564)=1,MAX($BR$2:BR563)+1,""))</f>
      </c>
      <c r="BS564" s="129">
        <f>IF(AW564="","",COUNTIF($AW$3:AW564,"?*"))</f>
      </c>
      <c r="BT564" s="129">
        <f>IF(OR(AW564="",AI564=""),"",IF(COUNTIFS($AW$3:AW564,"?*",$AI$3:AI564,AI564)=1,MAX($BT$2:BT563)+1,""))</f>
      </c>
      <c r="BU564" s="129">
        <f>IF(AE564="",0,IF(OR(ISNUMBER(SEARCH("дубль",AE564)),ISNUMBER(SEARCH("ПЕРЕГРУЗ",AE564)),ISNUMBER(SEARCH("ЗАЩИЩ",AE564)),ISNUMBER(SEARCH("КАНАЛ",AE564)),ISNUMBER(SEARCH("без 30",AE564))),2,1))</f>
      </c>
      <c r="BV564" s="129">
        <f>IF(R564="","",COUNTIF($R$3:R564,"?*"))</f>
      </c>
      <c r="BW564" s="129">
        <f>IF(AY564&lt;&gt;1,0,IF(MAX(IFERROR(--VLOOKUP(R564,УГО_спр,5,FALSE),0),IFERROR(--VLOOKUP(AL564,УГО_спр,5,FALSE),0),IFERROR(--VLOOKUP(LEFT(AL564,2),УГО_спр,5,FALSE),0))&gt;0,MAX(IFERROR(--VLOOKUP(R564,УГО_спр,5,FALSE),0),IFERROR(--VLOOKUP(AL564,УГО_спр,5,FALSE),0),IFERROR(--VLOOKUP(LEFT(AL564,2),УГО_спр,5,FALSE),0)),IF(IFERROR(--LEFT(SUBSTITUTE(BQ564,"x","х"),FIND("х",SUBSTITUTE(BQ564,"x","х"))-1),3)&gt;3,Каталог!$S$9,1)))</f>
      </c>
      <c r="BX564" s="129">
        <f>IF(AY564&lt;&gt;1,0,MAX(0,IFERROR(--LEFT(SUBSTITUTE(BQ564,"x","х"),FIND("х",SUBSTITUTE(BQ564,"x","х"))-1),3)-3*BW564))</f>
      </c>
      <c r="BY564" s="129">
        <f>IF(R564="","",IFERROR(VLOOKUP(R564,УГО_спр,2,FALSE),IFERROR(VLOOKUP(AL564,УГО_спр,2,FALSE),IFERROR(VLOOKUP(LEFT(AL564,2),УГО_спр,2,FALSE),""))))</f>
      </c>
    </row>
    <row r="565" spans="1:64" x14ac:dyDescent="0.3">
      <c r="A565" s="135">
        <f>IF(Разбивка_по_щитам!F565=0,"",Разбивка_по_щитам!F565)</f>
        <v/>
      </c>
      <c r="B565" s="138">
        <f>IF(A565="","",Разбивка_по_щитам!C565)</f>
        <v/>
      </c>
      <c r="C565" s="138">
        <f t="shared" si="342"/>
        <v/>
      </c>
      <c r="D565" s="266"/>
      <c r="E565" s="266"/>
      <c r="F565" s="267"/>
      <c r="G565" s="145">
        <f t="shared" si="343"/>
        <v/>
      </c>
      <c r="H565" s="145">
        <f t="shared" si="344"/>
        <v/>
      </c>
      <c r="I565" s="266"/>
      <c r="J565" s="267"/>
      <c r="K565" s="267"/>
      <c r="L565" s="266"/>
      <c r="M565" s="147">
        <f t="shared" si="345"/>
        <v/>
      </c>
      <c r="N565" s="267"/>
      <c r="O565" s="147">
        <f t="shared" si="346"/>
        <v/>
      </c>
      <c r="P565" s="268">
        <f>IF(AY565=1,"XT"&amp;COUNTIFS($A$3:A565,A565,$AY$3:AY565,1),"")</f>
        <v/>
      </c>
      <c r="Q565" s="152">
        <f>IF(R565="","",IFERROR(SUBSTITUTE(Разбивка_по_щитам!P565,CHAR(10)," "),""))</f>
        <v/>
      </c>
      <c r="R565" s="153">
        <f>IF(OR(Разбивка_по_щитам!H565="",Разбивка_по_щитам!H565=0),"",Разбивка_по_щитам!H565)</f>
        <v/>
      </c>
      <c r="S565" s="154">
        <f>IF(R565="","",IFERROR(Разбивка_по_щитам!J565&amp;"",""))</f>
        <v/>
      </c>
      <c r="T565" s="155">
        <f>IF(R565="","",IFERROR(--Разбивка_по_щитам!L565,""))</f>
        <v/>
      </c>
      <c r="U565" s="155">
        <f>IF(R565="","",IFERROR(--Разбивка_по_щитам!K565,""))</f>
        <v/>
      </c>
      <c r="V565" s="138">
        <f>IF(R565="","",IFERROR(IF(Разбивка_по_щитам!M565=0,"",Разбивка_по_щитам!M565),""))</f>
        <v/>
      </c>
      <c r="W565" s="156">
        <f t="shared" si="347"/>
        <v/>
      </c>
      <c r="X565" s="157">
        <f t="shared" si="348"/>
        <v/>
      </c>
      <c r="Y565" s="266"/>
      <c r="Z565" s="158">
        <f t="shared" si="349"/>
        <v/>
      </c>
      <c r="AA565" s="160">
        <f t="shared" si="350"/>
        <v/>
      </c>
      <c r="AB565" s="160">
        <f>IF(R565="","",IFERROR(LOOKUP(INDEX(Справочная!$I$4:$I$19,MATCH(VLOOKUP(R565,Исходные_данные,22,FALSE),Справочная!$J$4:$J$19,0)+1),{6,10,16,20,25,32,40,50,63,80,100,125}),""))</f>
        <v/>
      </c>
      <c r="AC565" s="160">
        <f t="shared" si="351"/>
        <v/>
      </c>
      <c r="AD565" s="161">
        <f t="shared" si="352"/>
        <v/>
      </c>
      <c r="AE565" s="161">
        <f>IF(AND(R565="",G565=""),"",_xlfn.TEXTJOIN("; ",TRUE,IF(AND(R565&lt;&gt;"",V565=""),"нет фазы",""),IF(AND(R565&lt;&gt;"",N(T565)=0),"нет мощности",""),IF(AND(P565&lt;&gt;"",COUNTIFS($A$3:$A$1000,A565,$P$3:$P$1000,P565)&gt;1),"дубль клеммы "&amp;P565,""),IF(AND(W565&lt;&gt;"",W565&lt;&gt;"ok"),W565,""),IF(X565&lt;&gt;"",X565,""),IF(AND(ISNUMBER(SEARCH("(5х",Q565)),N(AK565)=1),"5 жил на 1 фазе",""),IF(AND(AL565="R",E565&lt;&gt;"",N(AS565)=0),"розетка без 30 мА",""),IF(IFERROR(_xlfn.NUMBERVALUE(MID(Q565,FIND("-",Q565,FIND("L=",Q565))+1,FIND("%",Q565)-FIND("-",Q565,FIND("L=",Q565))-1),","),0)&gt;4,"потери &gt; 4 %","")))</f>
      </c>
      <c r="AF565" s="129">
        <f>IF(E565&lt;&gt;"",COUNTIFS($A$3:A565,A565,$E$3:E565,"?*"),IF(OR(A565&lt;&gt;A564,Y565="вручную"),"",AF564))</f>
        <v/>
      </c>
      <c r="AG565" s="129">
        <f t="shared" si="353"/>
        <v/>
      </c>
      <c r="AH565" s="129">
        <f t="shared" si="354"/>
        <v/>
      </c>
      <c r="AI565" s="129">
        <f t="shared" si="355"/>
        <v/>
      </c>
      <c r="AJ565" s="129">
        <f t="shared" si="356"/>
        <v/>
      </c>
      <c r="AK565" s="129">
        <f t="shared" si="357"/>
        <v/>
      </c>
      <c r="AL565" s="129">
        <f t="shared" si="358"/>
        <v/>
      </c>
      <c r="AM565" s="129">
        <f t="shared" si="359"/>
      </c>
      <c r="AN565" s="129">
        <f t="shared" si="360"/>
      </c>
      <c r="AO565" s="129">
        <f t="shared" si="361"/>
        <v/>
      </c>
      <c r="AP565" s="129">
        <f t="shared" si="362"/>
        <v/>
      </c>
      <c r="AQ565" s="129">
        <f t="shared" si="363"/>
        <v/>
      </c>
      <c r="AR565" s="129">
        <f t="shared" si="364"/>
        <v/>
      </c>
      <c r="AS565" s="129">
        <f t="shared" si="365"/>
        <v/>
      </c>
      <c r="AT565" s="129">
        <f t="shared" si="366"/>
        <v/>
      </c>
      <c r="AU565" s="129">
        <f t="shared" si="367"/>
        <v/>
      </c>
      <c r="AV565" s="129">
        <f t="shared" si="368"/>
        <v/>
      </c>
      <c r="AW565" s="129">
        <f>IF(AV565="","",AV565&amp;"."&amp;COUNTIFS($A$3:A565,A565,$AV$3:AV565,AV565))</f>
        <v/>
      </c>
      <c r="AX565" s="129">
        <f t="shared" si="369"/>
        <v/>
      </c>
      <c r="AY565" s="129">
        <f>IF(N565="б/к",0,IF(OR(ISNUMBER(SEARCH("L=",Разбивка_по_щитам!P565)),N565="+",N565="="),1,0))</f>
      </c>
      <c r="AZ565" s="129">
        <f t="shared" si="370"/>
        <v/>
      </c>
      <c r="BA565" s="129">
        <f t="shared" si="371"/>
      </c>
      <c r="BB565" s="129">
        <f t="shared" si="372"/>
      </c>
      <c r="BD565" s="129">
        <f t="shared" si="373"/>
      </c>
      <c r="BE565" s="129">
        <f t="shared" si="374"/>
      </c>
      <c r="BF565" s="129">
        <f t="shared" si="375"/>
      </c>
      <c r="BG565" s="129">
        <f t="shared" si="376"/>
        <v/>
      </c>
      <c r="BH565" s="129">
        <f t="shared" si="377"/>
        <v/>
      </c>
      <c r="BI565" s="129">
        <f t="shared" si="378"/>
        <v/>
      </c>
      <c r="BJ565" s="129">
        <f t="shared" si="379"/>
        <v/>
      </c>
      <c r="BK565" s="129">
        <f>IF(R565="","",IF(OR(BY565="",BY565=0),"BOX",IFERROR(IF(VLOOKUP(BY565,УГО_блоки,3,FALSE)&amp;""&lt;&gt;"",VLOOKUP(BY565,УГО_блоки,3,FALSE),VLOOKUP(BY565,УГО_блоки,2,FALSE)),BY565)))</f>
      </c>
      <c r="BL565" s="129">
        <f t="shared" si="381"/>
      </c>
      <c r="BM565" s="129">
        <f>IF(H565="","",IF(COUNTIF($H$3:H565,H565)=1,MAX($BM$2:BM564)+1,""))</f>
      </c>
      <c r="BN565" s="129">
        <f>IF(I565="","",IF(COUNTIF($I$3:I565,I565)+COUNTIF($J$2:J564,I565)+COUNTIF($K$2:K564,I565)=1,MAX($BN$2:BP564)+1,""))</f>
      </c>
      <c r="BO565" s="129">
        <f>IF(J565="","",IF(COUNTIF($I$3:I565,J565)+COUNTIF($J$3:J565,J565)+COUNTIF($K$2:K564,J565)=1,MAX($BN$2:BP564,BN565)+1,""))</f>
      </c>
      <c r="BP565" s="129">
        <f>IF(K565="","",IF(COUNTIF($I$3:I565,K565)+COUNTIF($J$3:J565,K565)+COUNTIF($K$3:K565,K565)=1,MAX($BN$2:BP564,BN565,BO565)+1,""))</f>
      </c>
      <c r="BQ565" s="129">
        <f>IF(AY565=1,IFERROR(MID(Q565,FIND(" (",Q565)+2,FIND(")",Q565,FIND(" (",Q565))-FIND(" (",Q565)-2),"?"),"")</f>
      </c>
      <c r="BR565" s="129">
        <f>IF(BQ565="","",IF(COUNTIF($BQ$3:BQ565,BQ565)=1,MAX($BR$2:BR564)+1,""))</f>
      </c>
      <c r="BS565" s="129">
        <f>IF(AW565="","",COUNTIF($AW$3:AW565,"?*"))</f>
      </c>
      <c r="BT565" s="129">
        <f>IF(OR(AW565="",AI565=""),"",IF(COUNTIFS($AW$3:AW565,"?*",$AI$3:AI565,AI565)=1,MAX($BT$2:BT564)+1,""))</f>
      </c>
      <c r="BU565" s="129">
        <f>IF(AE565="",0,IF(OR(ISNUMBER(SEARCH("дубль",AE565)),ISNUMBER(SEARCH("ПЕРЕГРУЗ",AE565)),ISNUMBER(SEARCH("ЗАЩИЩ",AE565)),ISNUMBER(SEARCH("КАНАЛ",AE565)),ISNUMBER(SEARCH("без 30",AE565))),2,1))</f>
      </c>
      <c r="BV565" s="129">
        <f>IF(R565="","",COUNTIF($R$3:R565,"?*"))</f>
      </c>
      <c r="BW565" s="129">
        <f>IF(AY565&lt;&gt;1,0,IF(MAX(IFERROR(--VLOOKUP(R565,УГО_спр,5,FALSE),0),IFERROR(--VLOOKUP(AL565,УГО_спр,5,FALSE),0),IFERROR(--VLOOKUP(LEFT(AL565,2),УГО_спр,5,FALSE),0))&gt;0,MAX(IFERROR(--VLOOKUP(R565,УГО_спр,5,FALSE),0),IFERROR(--VLOOKUP(AL565,УГО_спр,5,FALSE),0),IFERROR(--VLOOKUP(LEFT(AL565,2),УГО_спр,5,FALSE),0)),IF(IFERROR(--LEFT(SUBSTITUTE(BQ565,"x","х"),FIND("х",SUBSTITUTE(BQ565,"x","х"))-1),3)&gt;3,Каталог!$S$9,1)))</f>
      </c>
      <c r="BX565" s="129">
        <f>IF(AY565&lt;&gt;1,0,MAX(0,IFERROR(--LEFT(SUBSTITUTE(BQ565,"x","х"),FIND("х",SUBSTITUTE(BQ565,"x","х"))-1),3)-3*BW565))</f>
      </c>
      <c r="BY565" s="129">
        <f>IF(R565="","",IFERROR(VLOOKUP(R565,УГО_спр,2,FALSE),IFERROR(VLOOKUP(AL565,УГО_спр,2,FALSE),IFERROR(VLOOKUP(LEFT(AL565,2),УГО_спр,2,FALSE),""))))</f>
      </c>
    </row>
    <row r="566" spans="1:64" x14ac:dyDescent="0.3">
      <c r="A566" s="135">
        <f>IF(Разбивка_по_щитам!F566=0,"",Разбивка_по_щитам!F566)</f>
        <v/>
      </c>
      <c r="B566" s="138">
        <f>IF(A566="","",Разбивка_по_щитам!C566)</f>
        <v/>
      </c>
      <c r="C566" s="138">
        <f t="shared" si="342"/>
        <v/>
      </c>
      <c r="D566" s="266"/>
      <c r="E566" s="266"/>
      <c r="F566" s="267"/>
      <c r="G566" s="145">
        <f t="shared" si="343"/>
        <v/>
      </c>
      <c r="H566" s="145">
        <f t="shared" si="344"/>
        <v/>
      </c>
      <c r="I566" s="266"/>
      <c r="J566" s="267"/>
      <c r="K566" s="267"/>
      <c r="L566" s="266"/>
      <c r="M566" s="147">
        <f t="shared" si="345"/>
        <v/>
      </c>
      <c r="N566" s="267"/>
      <c r="O566" s="147">
        <f t="shared" si="346"/>
        <v/>
      </c>
      <c r="P566" s="268">
        <f>IF(AY566=1,"XT"&amp;COUNTIFS($A$3:A566,A566,$AY$3:AY566,1),"")</f>
        <v/>
      </c>
      <c r="Q566" s="152">
        <f>IF(R566="","",IFERROR(SUBSTITUTE(Разбивка_по_щитам!P566,CHAR(10)," "),""))</f>
        <v/>
      </c>
      <c r="R566" s="153">
        <f>IF(OR(Разбивка_по_щитам!H566="",Разбивка_по_щитам!H566=0),"",Разбивка_по_щитам!H566)</f>
        <v/>
      </c>
      <c r="S566" s="154">
        <f>IF(R566="","",IFERROR(Разбивка_по_щитам!J566&amp;"",""))</f>
        <v/>
      </c>
      <c r="T566" s="155">
        <f>IF(R566="","",IFERROR(--Разбивка_по_щитам!L566,""))</f>
        <v/>
      </c>
      <c r="U566" s="155">
        <f>IF(R566="","",IFERROR(--Разбивка_по_щитам!K566,""))</f>
        <v/>
      </c>
      <c r="V566" s="138">
        <f>IF(R566="","",IFERROR(IF(Разбивка_по_щитам!M566=0,"",Разбивка_по_щитам!M566),""))</f>
        <v/>
      </c>
      <c r="W566" s="156">
        <f t="shared" si="347"/>
        <v/>
      </c>
      <c r="X566" s="157">
        <f t="shared" si="348"/>
        <v/>
      </c>
      <c r="Y566" s="266"/>
      <c r="Z566" s="158">
        <f t="shared" si="349"/>
        <v/>
      </c>
      <c r="AA566" s="160">
        <f t="shared" si="350"/>
        <v/>
      </c>
      <c r="AB566" s="160">
        <f>IF(R566="","",IFERROR(LOOKUP(INDEX(Справочная!$I$4:$I$19,MATCH(VLOOKUP(R566,Исходные_данные,22,FALSE),Справочная!$J$4:$J$19,0)+1),{6,10,16,20,25,32,40,50,63,80,100,125}),""))</f>
        <v/>
      </c>
      <c r="AC566" s="160">
        <f t="shared" si="351"/>
        <v/>
      </c>
      <c r="AD566" s="161">
        <f t="shared" si="352"/>
        <v/>
      </c>
      <c r="AE566" s="161">
        <f>IF(AND(R566="",G566=""),"",_xlfn.TEXTJOIN("; ",TRUE,IF(AND(R566&lt;&gt;"",V566=""),"нет фазы",""),IF(AND(R566&lt;&gt;"",N(T566)=0),"нет мощности",""),IF(AND(P566&lt;&gt;"",COUNTIFS($A$3:$A$1000,A566,$P$3:$P$1000,P566)&gt;1),"дубль клеммы "&amp;P566,""),IF(AND(W566&lt;&gt;"",W566&lt;&gt;"ok"),W566,""),IF(X566&lt;&gt;"",X566,""),IF(AND(ISNUMBER(SEARCH("(5х",Q566)),N(AK566)=1),"5 жил на 1 фазе",""),IF(AND(AL566="R",E566&lt;&gt;"",N(AS566)=0),"розетка без 30 мА",""),IF(IFERROR(_xlfn.NUMBERVALUE(MID(Q566,FIND("-",Q566,FIND("L=",Q566))+1,FIND("%",Q566)-FIND("-",Q566,FIND("L=",Q566))-1),","),0)&gt;4,"потери &gt; 4 %","")))</f>
      </c>
      <c r="AF566" s="129">
        <f>IF(E566&lt;&gt;"",COUNTIFS($A$3:A566,A566,$E$3:E566,"?*"),IF(OR(A566&lt;&gt;A565,Y566="вручную"),"",AF565))</f>
        <v/>
      </c>
      <c r="AG566" s="129">
        <f t="shared" si="353"/>
        <v/>
      </c>
      <c r="AH566" s="129">
        <f t="shared" si="354"/>
        <v/>
      </c>
      <c r="AI566" s="129">
        <f t="shared" si="355"/>
        <v/>
      </c>
      <c r="AJ566" s="129">
        <f t="shared" si="356"/>
        <v/>
      </c>
      <c r="AK566" s="129">
        <f t="shared" si="357"/>
        <v/>
      </c>
      <c r="AL566" s="129">
        <f t="shared" si="358"/>
        <v/>
      </c>
      <c r="AM566" s="129">
        <f t="shared" si="359"/>
      </c>
      <c r="AN566" s="129">
        <f t="shared" si="360"/>
      </c>
      <c r="AO566" s="129">
        <f t="shared" si="361"/>
        <v/>
      </c>
      <c r="AP566" s="129">
        <f t="shared" si="362"/>
        <v/>
      </c>
      <c r="AQ566" s="129">
        <f t="shared" si="363"/>
        <v/>
      </c>
      <c r="AR566" s="129">
        <f t="shared" si="364"/>
        <v/>
      </c>
      <c r="AS566" s="129">
        <f t="shared" si="365"/>
        <v/>
      </c>
      <c r="AT566" s="129">
        <f t="shared" si="366"/>
        <v/>
      </c>
      <c r="AU566" s="129">
        <f t="shared" si="367"/>
        <v/>
      </c>
      <c r="AV566" s="129">
        <f t="shared" si="368"/>
        <v/>
      </c>
      <c r="AW566" s="129">
        <f>IF(AV566="","",AV566&amp;"."&amp;COUNTIFS($A$3:A566,A566,$AV$3:AV566,AV566))</f>
        <v/>
      </c>
      <c r="AX566" s="129">
        <f t="shared" si="369"/>
        <v/>
      </c>
      <c r="AY566" s="129">
        <f>IF(N566="б/к",0,IF(OR(ISNUMBER(SEARCH("L=",Разбивка_по_щитам!P566)),N566="+",N566="="),1,0))</f>
      </c>
      <c r="AZ566" s="129">
        <f t="shared" si="370"/>
        <v/>
      </c>
      <c r="BA566" s="129">
        <f t="shared" si="371"/>
      </c>
      <c r="BB566" s="129">
        <f t="shared" si="372"/>
      </c>
      <c r="BD566" s="129">
        <f t="shared" si="373"/>
      </c>
      <c r="BE566" s="129">
        <f t="shared" si="374"/>
      </c>
      <c r="BF566" s="129">
        <f t="shared" si="375"/>
      </c>
      <c r="BG566" s="129">
        <f t="shared" si="376"/>
        <v/>
      </c>
      <c r="BH566" s="129">
        <f t="shared" si="377"/>
        <v/>
      </c>
      <c r="BI566" s="129">
        <f t="shared" si="378"/>
        <v/>
      </c>
      <c r="BJ566" s="129">
        <f t="shared" si="379"/>
        <v/>
      </c>
      <c r="BK566" s="129">
        <f>IF(R566="","",IF(OR(BY566="",BY566=0),"BOX",IFERROR(IF(VLOOKUP(BY566,УГО_блоки,3,FALSE)&amp;""&lt;&gt;"",VLOOKUP(BY566,УГО_блоки,3,FALSE),VLOOKUP(BY566,УГО_блоки,2,FALSE)),BY566)))</f>
      </c>
      <c r="BL566" s="129">
        <f t="shared" si="381"/>
      </c>
      <c r="BM566" s="129">
        <f>IF(H566="","",IF(COUNTIF($H$3:H566,H566)=1,MAX($BM$2:BM565)+1,""))</f>
      </c>
      <c r="BN566" s="129">
        <f>IF(I566="","",IF(COUNTIF($I$3:I566,I566)+COUNTIF($J$2:J565,I566)+COUNTIF($K$2:K565,I566)=1,MAX($BN$2:BP565)+1,""))</f>
      </c>
      <c r="BO566" s="129">
        <f>IF(J566="","",IF(COUNTIF($I$3:I566,J566)+COUNTIF($J$3:J566,J566)+COUNTIF($K$2:K565,J566)=1,MAX($BN$2:BP565,BN566)+1,""))</f>
      </c>
      <c r="BP566" s="129">
        <f>IF(K566="","",IF(COUNTIF($I$3:I566,K566)+COUNTIF($J$3:J566,K566)+COUNTIF($K$3:K566,K566)=1,MAX($BN$2:BP565,BN566,BO566)+1,""))</f>
      </c>
      <c r="BQ566" s="129">
        <f>IF(AY566=1,IFERROR(MID(Q566,FIND(" (",Q566)+2,FIND(")",Q566,FIND(" (",Q566))-FIND(" (",Q566)-2),"?"),"")</f>
      </c>
      <c r="BR566" s="129">
        <f>IF(BQ566="","",IF(COUNTIF($BQ$3:BQ566,BQ566)=1,MAX($BR$2:BR565)+1,""))</f>
      </c>
      <c r="BS566" s="129">
        <f>IF(AW566="","",COUNTIF($AW$3:AW566,"?*"))</f>
      </c>
      <c r="BT566" s="129">
        <f>IF(OR(AW566="",AI566=""),"",IF(COUNTIFS($AW$3:AW566,"?*",$AI$3:AI566,AI566)=1,MAX($BT$2:BT565)+1,""))</f>
      </c>
      <c r="BU566" s="129">
        <f>IF(AE566="",0,IF(OR(ISNUMBER(SEARCH("дубль",AE566)),ISNUMBER(SEARCH("ПЕРЕГРУЗ",AE566)),ISNUMBER(SEARCH("ЗАЩИЩ",AE566)),ISNUMBER(SEARCH("КАНАЛ",AE566)),ISNUMBER(SEARCH("без 30",AE566))),2,1))</f>
      </c>
      <c r="BV566" s="129">
        <f>IF(R566="","",COUNTIF($R$3:R566,"?*"))</f>
      </c>
      <c r="BW566" s="129">
        <f>IF(AY566&lt;&gt;1,0,IF(MAX(IFERROR(--VLOOKUP(R566,УГО_спр,5,FALSE),0),IFERROR(--VLOOKUP(AL566,УГО_спр,5,FALSE),0),IFERROR(--VLOOKUP(LEFT(AL566,2),УГО_спр,5,FALSE),0))&gt;0,MAX(IFERROR(--VLOOKUP(R566,УГО_спр,5,FALSE),0),IFERROR(--VLOOKUP(AL566,УГО_спр,5,FALSE),0),IFERROR(--VLOOKUP(LEFT(AL566,2),УГО_спр,5,FALSE),0)),IF(IFERROR(--LEFT(SUBSTITUTE(BQ566,"x","х"),FIND("х",SUBSTITUTE(BQ566,"x","х"))-1),3)&gt;3,Каталог!$S$9,1)))</f>
      </c>
      <c r="BX566" s="129">
        <f>IF(AY566&lt;&gt;1,0,MAX(0,IFERROR(--LEFT(SUBSTITUTE(BQ566,"x","х"),FIND("х",SUBSTITUTE(BQ566,"x","х"))-1),3)-3*BW566))</f>
      </c>
      <c r="BY566" s="129">
        <f>IF(R566="","",IFERROR(VLOOKUP(R566,УГО_спр,2,FALSE),IFERROR(VLOOKUP(AL566,УГО_спр,2,FALSE),IFERROR(VLOOKUP(LEFT(AL566,2),УГО_спр,2,FALSE),""))))</f>
      </c>
    </row>
    <row r="567" spans="1:64" x14ac:dyDescent="0.3">
      <c r="A567" s="135">
        <f>IF(Разбивка_по_щитам!F567=0,"",Разбивка_по_щитам!F567)</f>
        <v/>
      </c>
      <c r="B567" s="138">
        <f>IF(A567="","",Разбивка_по_щитам!C567)</f>
        <v/>
      </c>
      <c r="C567" s="138">
        <f t="shared" si="342"/>
        <v/>
      </c>
      <c r="D567" s="266"/>
      <c r="E567" s="266"/>
      <c r="F567" s="267"/>
      <c r="G567" s="145">
        <f t="shared" si="343"/>
        <v/>
      </c>
      <c r="H567" s="145">
        <f t="shared" si="344"/>
        <v/>
      </c>
      <c r="I567" s="266"/>
      <c r="J567" s="267"/>
      <c r="K567" s="267"/>
      <c r="L567" s="266"/>
      <c r="M567" s="147">
        <f t="shared" si="345"/>
        <v/>
      </c>
      <c r="N567" s="267"/>
      <c r="O567" s="147">
        <f t="shared" si="346"/>
        <v/>
      </c>
      <c r="P567" s="268">
        <f>IF(AY567=1,"XT"&amp;COUNTIFS($A$3:A567,A567,$AY$3:AY567,1),"")</f>
        <v/>
      </c>
      <c r="Q567" s="152">
        <f>IF(R567="","",IFERROR(SUBSTITUTE(Разбивка_по_щитам!P567,CHAR(10)," "),""))</f>
        <v/>
      </c>
      <c r="R567" s="153">
        <f>IF(OR(Разбивка_по_щитам!H567="",Разбивка_по_щитам!H567=0),"",Разбивка_по_щитам!H567)</f>
        <v/>
      </c>
      <c r="S567" s="154">
        <f>IF(R567="","",IFERROR(Разбивка_по_щитам!J567&amp;"",""))</f>
        <v/>
      </c>
      <c r="T567" s="155">
        <f>IF(R567="","",IFERROR(--Разбивка_по_щитам!L567,""))</f>
        <v/>
      </c>
      <c r="U567" s="155">
        <f>IF(R567="","",IFERROR(--Разбивка_по_щитам!K567,""))</f>
        <v/>
      </c>
      <c r="V567" s="138">
        <f>IF(R567="","",IFERROR(IF(Разбивка_по_щитам!M567=0,"",Разбивка_по_щитам!M567),""))</f>
        <v/>
      </c>
      <c r="W567" s="156">
        <f t="shared" si="347"/>
        <v/>
      </c>
      <c r="X567" s="157">
        <f t="shared" si="348"/>
        <v/>
      </c>
      <c r="Y567" s="266"/>
      <c r="Z567" s="158">
        <f t="shared" si="349"/>
        <v/>
      </c>
      <c r="AA567" s="160">
        <f t="shared" si="350"/>
        <v/>
      </c>
      <c r="AB567" s="160">
        <f>IF(R567="","",IFERROR(LOOKUP(INDEX(Справочная!$I$4:$I$19,MATCH(VLOOKUP(R567,Исходные_данные,22,FALSE),Справочная!$J$4:$J$19,0)+1),{6,10,16,20,25,32,40,50,63,80,100,125}),""))</f>
        <v/>
      </c>
      <c r="AC567" s="160">
        <f t="shared" si="351"/>
        <v/>
      </c>
      <c r="AD567" s="161">
        <f t="shared" si="352"/>
        <v/>
      </c>
      <c r="AE567" s="161">
        <f>IF(AND(R567="",G567=""),"",_xlfn.TEXTJOIN("; ",TRUE,IF(AND(R567&lt;&gt;"",V567=""),"нет фазы",""),IF(AND(R567&lt;&gt;"",N(T567)=0),"нет мощности",""),IF(AND(P567&lt;&gt;"",COUNTIFS($A$3:$A$1000,A567,$P$3:$P$1000,P567)&gt;1),"дубль клеммы "&amp;P567,""),IF(AND(W567&lt;&gt;"",W567&lt;&gt;"ok"),W567,""),IF(X567&lt;&gt;"",X567,""),IF(AND(ISNUMBER(SEARCH("(5х",Q567)),N(AK567)=1),"5 жил на 1 фазе",""),IF(AND(AL567="R",E567&lt;&gt;"",N(AS567)=0),"розетка без 30 мА",""),IF(IFERROR(_xlfn.NUMBERVALUE(MID(Q567,FIND("-",Q567,FIND("L=",Q567))+1,FIND("%",Q567)-FIND("-",Q567,FIND("L=",Q567))-1),","),0)&gt;4,"потери &gt; 4 %","")))</f>
      </c>
      <c r="AF567" s="129">
        <f>IF(E567&lt;&gt;"",COUNTIFS($A$3:A567,A567,$E$3:E567,"?*"),IF(OR(A567&lt;&gt;A566,Y567="вручную"),"",AF566))</f>
        <v/>
      </c>
      <c r="AG567" s="129">
        <f t="shared" si="353"/>
        <v/>
      </c>
      <c r="AH567" s="129">
        <f t="shared" si="354"/>
        <v/>
      </c>
      <c r="AI567" s="129">
        <f t="shared" si="355"/>
        <v/>
      </c>
      <c r="AJ567" s="129">
        <f t="shared" si="356"/>
        <v/>
      </c>
      <c r="AK567" s="129">
        <f t="shared" si="357"/>
        <v/>
      </c>
      <c r="AL567" s="129">
        <f t="shared" si="358"/>
        <v/>
      </c>
      <c r="AM567" s="129">
        <f t="shared" si="359"/>
      </c>
      <c r="AN567" s="129">
        <f t="shared" si="360"/>
      </c>
      <c r="AO567" s="129">
        <f t="shared" si="361"/>
        <v/>
      </c>
      <c r="AP567" s="129">
        <f t="shared" si="362"/>
        <v/>
      </c>
      <c r="AQ567" s="129">
        <f t="shared" si="363"/>
        <v/>
      </c>
      <c r="AR567" s="129">
        <f t="shared" si="364"/>
        <v/>
      </c>
      <c r="AS567" s="129">
        <f t="shared" si="365"/>
        <v/>
      </c>
      <c r="AT567" s="129">
        <f t="shared" si="366"/>
        <v/>
      </c>
      <c r="AU567" s="129">
        <f t="shared" si="367"/>
        <v/>
      </c>
      <c r="AV567" s="129">
        <f t="shared" si="368"/>
        <v/>
      </c>
      <c r="AW567" s="129">
        <f>IF(AV567="","",AV567&amp;"."&amp;COUNTIFS($A$3:A567,A567,$AV$3:AV567,AV567))</f>
        <v/>
      </c>
      <c r="AX567" s="129">
        <f t="shared" si="369"/>
        <v/>
      </c>
      <c r="AY567" s="129">
        <f>IF(N567="б/к",0,IF(OR(ISNUMBER(SEARCH("L=",Разбивка_по_щитам!P567)),N567="+",N567="="),1,0))</f>
      </c>
      <c r="AZ567" s="129">
        <f t="shared" si="370"/>
        <v/>
      </c>
      <c r="BA567" s="129">
        <f t="shared" si="371"/>
      </c>
      <c r="BB567" s="129">
        <f t="shared" si="372"/>
      </c>
      <c r="BD567" s="129">
        <f t="shared" si="373"/>
      </c>
      <c r="BE567" s="129">
        <f t="shared" si="374"/>
      </c>
      <c r="BF567" s="129">
        <f t="shared" si="375"/>
      </c>
      <c r="BG567" s="129">
        <f t="shared" si="376"/>
        <v/>
      </c>
      <c r="BH567" s="129">
        <f t="shared" si="377"/>
        <v/>
      </c>
      <c r="BI567" s="129">
        <f t="shared" si="378"/>
        <v/>
      </c>
      <c r="BJ567" s="129">
        <f t="shared" si="379"/>
        <v/>
      </c>
      <c r="BK567" s="129">
        <f>IF(R567="","",IF(OR(BY567="",BY567=0),"BOX",IFERROR(IF(VLOOKUP(BY567,УГО_блоки,3,FALSE)&amp;""&lt;&gt;"",VLOOKUP(BY567,УГО_блоки,3,FALSE),VLOOKUP(BY567,УГО_блоки,2,FALSE)),BY567)))</f>
      </c>
      <c r="BL567" s="129">
        <f t="shared" si="381"/>
      </c>
      <c r="BM567" s="129">
        <f>IF(H567="","",IF(COUNTIF($H$3:H567,H567)=1,MAX($BM$2:BM566)+1,""))</f>
      </c>
      <c r="BN567" s="129">
        <f>IF(I567="","",IF(COUNTIF($I$3:I567,I567)+COUNTIF($J$2:J566,I567)+COUNTIF($K$2:K566,I567)=1,MAX($BN$2:BP566)+1,""))</f>
      </c>
      <c r="BO567" s="129">
        <f>IF(J567="","",IF(COUNTIF($I$3:I567,J567)+COUNTIF($J$3:J567,J567)+COUNTIF($K$2:K566,J567)=1,MAX($BN$2:BP566,BN567)+1,""))</f>
      </c>
      <c r="BP567" s="129">
        <f>IF(K567="","",IF(COUNTIF($I$3:I567,K567)+COUNTIF($J$3:J567,K567)+COUNTIF($K$3:K567,K567)=1,MAX($BN$2:BP566,BN567,BO567)+1,""))</f>
      </c>
      <c r="BQ567" s="129">
        <f>IF(AY567=1,IFERROR(MID(Q567,FIND(" (",Q567)+2,FIND(")",Q567,FIND(" (",Q567))-FIND(" (",Q567)-2),"?"),"")</f>
      </c>
      <c r="BR567" s="129">
        <f>IF(BQ567="","",IF(COUNTIF($BQ$3:BQ567,BQ567)=1,MAX($BR$2:BR566)+1,""))</f>
      </c>
      <c r="BS567" s="129">
        <f>IF(AW567="","",COUNTIF($AW$3:AW567,"?*"))</f>
      </c>
      <c r="BT567" s="129">
        <f>IF(OR(AW567="",AI567=""),"",IF(COUNTIFS($AW$3:AW567,"?*",$AI$3:AI567,AI567)=1,MAX($BT$2:BT566)+1,""))</f>
      </c>
      <c r="BU567" s="129">
        <f>IF(AE567="",0,IF(OR(ISNUMBER(SEARCH("дубль",AE567)),ISNUMBER(SEARCH("ПЕРЕГРУЗ",AE567)),ISNUMBER(SEARCH("ЗАЩИЩ",AE567)),ISNUMBER(SEARCH("КАНАЛ",AE567)),ISNUMBER(SEARCH("без 30",AE567))),2,1))</f>
      </c>
      <c r="BV567" s="129">
        <f>IF(R567="","",COUNTIF($R$3:R567,"?*"))</f>
      </c>
      <c r="BW567" s="129">
        <f>IF(AY567&lt;&gt;1,0,IF(MAX(IFERROR(--VLOOKUP(R567,УГО_спр,5,FALSE),0),IFERROR(--VLOOKUP(AL567,УГО_спр,5,FALSE),0),IFERROR(--VLOOKUP(LEFT(AL567,2),УГО_спр,5,FALSE),0))&gt;0,MAX(IFERROR(--VLOOKUP(R567,УГО_спр,5,FALSE),0),IFERROR(--VLOOKUP(AL567,УГО_спр,5,FALSE),0),IFERROR(--VLOOKUP(LEFT(AL567,2),УГО_спр,5,FALSE),0)),IF(IFERROR(--LEFT(SUBSTITUTE(BQ567,"x","х"),FIND("х",SUBSTITUTE(BQ567,"x","х"))-1),3)&gt;3,Каталог!$S$9,1)))</f>
      </c>
      <c r="BX567" s="129">
        <f>IF(AY567&lt;&gt;1,0,MAX(0,IFERROR(--LEFT(SUBSTITUTE(BQ567,"x","х"),FIND("х",SUBSTITUTE(BQ567,"x","х"))-1),3)-3*BW567))</f>
      </c>
      <c r="BY567" s="129">
        <f>IF(R567="","",IFERROR(VLOOKUP(R567,УГО_спр,2,FALSE),IFERROR(VLOOKUP(AL567,УГО_спр,2,FALSE),IFERROR(VLOOKUP(LEFT(AL567,2),УГО_спр,2,FALSE),""))))</f>
      </c>
    </row>
    <row r="568" spans="1:64" x14ac:dyDescent="0.3">
      <c r="A568" s="135">
        <f>IF(Разбивка_по_щитам!F568=0,"",Разбивка_по_щитам!F568)</f>
        <v/>
      </c>
      <c r="B568" s="138">
        <f>IF(A568="","",Разбивка_по_щитам!C568)</f>
        <v/>
      </c>
      <c r="C568" s="138">
        <f t="shared" si="342"/>
        <v/>
      </c>
      <c r="D568" s="266"/>
      <c r="E568" s="266"/>
      <c r="F568" s="267"/>
      <c r="G568" s="145">
        <f t="shared" si="343"/>
        <v/>
      </c>
      <c r="H568" s="145">
        <f t="shared" si="344"/>
        <v/>
      </c>
      <c r="I568" s="266"/>
      <c r="J568" s="267"/>
      <c r="K568" s="267"/>
      <c r="L568" s="266"/>
      <c r="M568" s="147">
        <f t="shared" si="345"/>
        <v/>
      </c>
      <c r="N568" s="267"/>
      <c r="O568" s="147">
        <f t="shared" si="346"/>
        <v/>
      </c>
      <c r="P568" s="268">
        <f>IF(AY568=1,"XT"&amp;COUNTIFS($A$3:A568,A568,$AY$3:AY568,1),"")</f>
        <v/>
      </c>
      <c r="Q568" s="152">
        <f>IF(R568="","",IFERROR(SUBSTITUTE(Разбивка_по_щитам!P568,CHAR(10)," "),""))</f>
        <v/>
      </c>
      <c r="R568" s="153">
        <f>IF(OR(Разбивка_по_щитам!H568="",Разбивка_по_щитам!H568=0),"",Разбивка_по_щитам!H568)</f>
        <v/>
      </c>
      <c r="S568" s="154">
        <f>IF(R568="","",IFERROR(Разбивка_по_щитам!J568&amp;"",""))</f>
        <v/>
      </c>
      <c r="T568" s="155">
        <f>IF(R568="","",IFERROR(--Разбивка_по_щитам!L568,""))</f>
        <v/>
      </c>
      <c r="U568" s="155">
        <f>IF(R568="","",IFERROR(--Разбивка_по_щитам!K568,""))</f>
        <v/>
      </c>
      <c r="V568" s="138">
        <f>IF(R568="","",IFERROR(IF(Разбивка_по_щитам!M568=0,"",Разбивка_по_щитам!M568),""))</f>
        <v/>
      </c>
      <c r="W568" s="156">
        <f t="shared" si="347"/>
        <v/>
      </c>
      <c r="X568" s="157">
        <f t="shared" si="348"/>
        <v/>
      </c>
      <c r="Y568" s="266"/>
      <c r="Z568" s="158">
        <f t="shared" si="349"/>
        <v/>
      </c>
      <c r="AA568" s="160">
        <f t="shared" si="350"/>
        <v/>
      </c>
      <c r="AB568" s="160">
        <f>IF(R568="","",IFERROR(LOOKUP(INDEX(Справочная!$I$4:$I$19,MATCH(VLOOKUP(R568,Исходные_данные,22,FALSE),Справочная!$J$4:$J$19,0)+1),{6,10,16,20,25,32,40,50,63,80,100,125}),""))</f>
        <v/>
      </c>
      <c r="AC568" s="160">
        <f t="shared" si="351"/>
        <v/>
      </c>
      <c r="AD568" s="161">
        <f t="shared" si="352"/>
        <v/>
      </c>
      <c r="AE568" s="161">
        <f>IF(AND(R568="",G568=""),"",_xlfn.TEXTJOIN("; ",TRUE,IF(AND(R568&lt;&gt;"",V568=""),"нет фазы",""),IF(AND(R568&lt;&gt;"",N(T568)=0),"нет мощности",""),IF(AND(P568&lt;&gt;"",COUNTIFS($A$3:$A$1000,A568,$P$3:$P$1000,P568)&gt;1),"дубль клеммы "&amp;P568,""),IF(AND(W568&lt;&gt;"",W568&lt;&gt;"ok"),W568,""),IF(X568&lt;&gt;"",X568,""),IF(AND(ISNUMBER(SEARCH("(5х",Q568)),N(AK568)=1),"5 жил на 1 фазе",""),IF(AND(AL568="R",E568&lt;&gt;"",N(AS568)=0),"розетка без 30 мА",""),IF(IFERROR(_xlfn.NUMBERVALUE(MID(Q568,FIND("-",Q568,FIND("L=",Q568))+1,FIND("%",Q568)-FIND("-",Q568,FIND("L=",Q568))-1),","),0)&gt;4,"потери &gt; 4 %","")))</f>
      </c>
      <c r="AF568" s="129">
        <f>IF(E568&lt;&gt;"",COUNTIFS($A$3:A568,A568,$E$3:E568,"?*"),IF(OR(A568&lt;&gt;A567,Y568="вручную"),"",AF567))</f>
        <v/>
      </c>
      <c r="AG568" s="129">
        <f t="shared" si="353"/>
        <v/>
      </c>
      <c r="AH568" s="129">
        <f t="shared" si="354"/>
        <v/>
      </c>
      <c r="AI568" s="129">
        <f t="shared" si="355"/>
        <v/>
      </c>
      <c r="AJ568" s="129">
        <f t="shared" si="356"/>
        <v/>
      </c>
      <c r="AK568" s="129">
        <f t="shared" si="357"/>
        <v/>
      </c>
      <c r="AL568" s="129">
        <f t="shared" si="358"/>
        <v/>
      </c>
      <c r="AM568" s="129">
        <f t="shared" si="359"/>
      </c>
      <c r="AN568" s="129">
        <f t="shared" si="360"/>
      </c>
      <c r="AO568" s="129">
        <f t="shared" si="361"/>
        <v/>
      </c>
      <c r="AP568" s="129">
        <f t="shared" si="362"/>
        <v/>
      </c>
      <c r="AQ568" s="129">
        <f t="shared" si="363"/>
        <v/>
      </c>
      <c r="AR568" s="129">
        <f t="shared" si="364"/>
        <v/>
      </c>
      <c r="AS568" s="129">
        <f t="shared" si="365"/>
        <v/>
      </c>
      <c r="AT568" s="129">
        <f t="shared" si="366"/>
        <v/>
      </c>
      <c r="AU568" s="129">
        <f t="shared" si="367"/>
        <v/>
      </c>
      <c r="AV568" s="129">
        <f t="shared" si="368"/>
        <v/>
      </c>
      <c r="AW568" s="129">
        <f>IF(AV568="","",AV568&amp;"."&amp;COUNTIFS($A$3:A568,A568,$AV$3:AV568,AV568))</f>
        <v/>
      </c>
      <c r="AX568" s="129">
        <f t="shared" si="369"/>
        <v/>
      </c>
      <c r="AY568" s="129">
        <f>IF(N568="б/к",0,IF(OR(ISNUMBER(SEARCH("L=",Разбивка_по_щитам!P568)),N568="+",N568="="),1,0))</f>
      </c>
      <c r="AZ568" s="129">
        <f t="shared" si="370"/>
        <v/>
      </c>
      <c r="BA568" s="129">
        <f t="shared" si="371"/>
      </c>
      <c r="BB568" s="129">
        <f t="shared" si="372"/>
      </c>
      <c r="BD568" s="129">
        <f t="shared" si="373"/>
      </c>
      <c r="BE568" s="129">
        <f t="shared" si="374"/>
      </c>
      <c r="BF568" s="129">
        <f t="shared" si="375"/>
      </c>
      <c r="BG568" s="129">
        <f t="shared" si="376"/>
        <v/>
      </c>
      <c r="BH568" s="129">
        <f t="shared" si="377"/>
        <v/>
      </c>
      <c r="BI568" s="129">
        <f t="shared" si="378"/>
        <v/>
      </c>
      <c r="BJ568" s="129">
        <f t="shared" si="379"/>
        <v/>
      </c>
      <c r="BK568" s="129">
        <f>IF(R568="","",IF(OR(BY568="",BY568=0),"BOX",IFERROR(IF(VLOOKUP(BY568,УГО_блоки,3,FALSE)&amp;""&lt;&gt;"",VLOOKUP(BY568,УГО_блоки,3,FALSE),VLOOKUP(BY568,УГО_блоки,2,FALSE)),BY568)))</f>
      </c>
      <c r="BL568" s="129">
        <f t="shared" si="381"/>
      </c>
      <c r="BM568" s="129">
        <f>IF(H568="","",IF(COUNTIF($H$3:H568,H568)=1,MAX($BM$2:BM567)+1,""))</f>
      </c>
      <c r="BN568" s="129">
        <f>IF(I568="","",IF(COUNTIF($I$3:I568,I568)+COUNTIF($J$2:J567,I568)+COUNTIF($K$2:K567,I568)=1,MAX($BN$2:BP567)+1,""))</f>
      </c>
      <c r="BO568" s="129">
        <f>IF(J568="","",IF(COUNTIF($I$3:I568,J568)+COUNTIF($J$3:J568,J568)+COUNTIF($K$2:K567,J568)=1,MAX($BN$2:BP567,BN568)+1,""))</f>
      </c>
      <c r="BP568" s="129">
        <f>IF(K568="","",IF(COUNTIF($I$3:I568,K568)+COUNTIF($J$3:J568,K568)+COUNTIF($K$3:K568,K568)=1,MAX($BN$2:BP567,BN568,BO568)+1,""))</f>
      </c>
      <c r="BQ568" s="129">
        <f>IF(AY568=1,IFERROR(MID(Q568,FIND(" (",Q568)+2,FIND(")",Q568,FIND(" (",Q568))-FIND(" (",Q568)-2),"?"),"")</f>
      </c>
      <c r="BR568" s="129">
        <f>IF(BQ568="","",IF(COUNTIF($BQ$3:BQ568,BQ568)=1,MAX($BR$2:BR567)+1,""))</f>
      </c>
      <c r="BS568" s="129">
        <f>IF(AW568="","",COUNTIF($AW$3:AW568,"?*"))</f>
      </c>
      <c r="BT568" s="129">
        <f>IF(OR(AW568="",AI568=""),"",IF(COUNTIFS($AW$3:AW568,"?*",$AI$3:AI568,AI568)=1,MAX($BT$2:BT567)+1,""))</f>
      </c>
      <c r="BU568" s="129">
        <f>IF(AE568="",0,IF(OR(ISNUMBER(SEARCH("дубль",AE568)),ISNUMBER(SEARCH("ПЕРЕГРУЗ",AE568)),ISNUMBER(SEARCH("ЗАЩИЩ",AE568)),ISNUMBER(SEARCH("КАНАЛ",AE568)),ISNUMBER(SEARCH("без 30",AE568))),2,1))</f>
      </c>
      <c r="BV568" s="129">
        <f>IF(R568="","",COUNTIF($R$3:R568,"?*"))</f>
      </c>
      <c r="BW568" s="129">
        <f>IF(AY568&lt;&gt;1,0,IF(MAX(IFERROR(--VLOOKUP(R568,УГО_спр,5,FALSE),0),IFERROR(--VLOOKUP(AL568,УГО_спр,5,FALSE),0),IFERROR(--VLOOKUP(LEFT(AL568,2),УГО_спр,5,FALSE),0))&gt;0,MAX(IFERROR(--VLOOKUP(R568,УГО_спр,5,FALSE),0),IFERROR(--VLOOKUP(AL568,УГО_спр,5,FALSE),0),IFERROR(--VLOOKUP(LEFT(AL568,2),УГО_спр,5,FALSE),0)),IF(IFERROR(--LEFT(SUBSTITUTE(BQ568,"x","х"),FIND("х",SUBSTITUTE(BQ568,"x","х"))-1),3)&gt;3,Каталог!$S$9,1)))</f>
      </c>
      <c r="BX568" s="129">
        <f>IF(AY568&lt;&gt;1,0,MAX(0,IFERROR(--LEFT(SUBSTITUTE(BQ568,"x","х"),FIND("х",SUBSTITUTE(BQ568,"x","х"))-1),3)-3*BW568))</f>
      </c>
      <c r="BY568" s="129">
        <f>IF(R568="","",IFERROR(VLOOKUP(R568,УГО_спр,2,FALSE),IFERROR(VLOOKUP(AL568,УГО_спр,2,FALSE),IFERROR(VLOOKUP(LEFT(AL568,2),УГО_спр,2,FALSE),""))))</f>
      </c>
    </row>
    <row r="569" spans="1:64" x14ac:dyDescent="0.3">
      <c r="A569" s="135">
        <f>IF(Разбивка_по_щитам!F569=0,"",Разбивка_по_щитам!F569)</f>
        <v/>
      </c>
      <c r="B569" s="138">
        <f>IF(A569="","",Разбивка_по_щитам!C569)</f>
        <v/>
      </c>
      <c r="C569" s="138">
        <f t="shared" si="342"/>
        <v/>
      </c>
      <c r="D569" s="266"/>
      <c r="E569" s="266"/>
      <c r="F569" s="267"/>
      <c r="G569" s="145">
        <f t="shared" si="343"/>
        <v/>
      </c>
      <c r="H569" s="145">
        <f t="shared" si="344"/>
        <v/>
      </c>
      <c r="I569" s="266"/>
      <c r="J569" s="267"/>
      <c r="K569" s="267"/>
      <c r="L569" s="266"/>
      <c r="M569" s="147">
        <f t="shared" si="345"/>
        <v/>
      </c>
      <c r="N569" s="267"/>
      <c r="O569" s="147">
        <f t="shared" si="346"/>
        <v/>
      </c>
      <c r="P569" s="268">
        <f>IF(AY569=1,"XT"&amp;COUNTIFS($A$3:A569,A569,$AY$3:AY569,1),"")</f>
        <v/>
      </c>
      <c r="Q569" s="152">
        <f>IF(R569="","",IFERROR(SUBSTITUTE(Разбивка_по_щитам!P569,CHAR(10)," "),""))</f>
        <v/>
      </c>
      <c r="R569" s="153">
        <f>IF(OR(Разбивка_по_щитам!H569="",Разбивка_по_щитам!H569=0),"",Разбивка_по_щитам!H569)</f>
        <v/>
      </c>
      <c r="S569" s="154">
        <f>IF(R569="","",IFERROR(Разбивка_по_щитам!J569&amp;"",""))</f>
        <v/>
      </c>
      <c r="T569" s="155">
        <f>IF(R569="","",IFERROR(--Разбивка_по_щитам!L569,""))</f>
        <v/>
      </c>
      <c r="U569" s="155">
        <f>IF(R569="","",IFERROR(--Разбивка_по_щитам!K569,""))</f>
        <v/>
      </c>
      <c r="V569" s="138">
        <f>IF(R569="","",IFERROR(IF(Разбивка_по_щитам!M569=0,"",Разбивка_по_щитам!M569),""))</f>
        <v/>
      </c>
      <c r="W569" s="156">
        <f t="shared" si="347"/>
        <v/>
      </c>
      <c r="X569" s="157">
        <f t="shared" si="348"/>
        <v/>
      </c>
      <c r="Y569" s="266"/>
      <c r="Z569" s="158">
        <f t="shared" si="349"/>
        <v/>
      </c>
      <c r="AA569" s="160">
        <f t="shared" si="350"/>
        <v/>
      </c>
      <c r="AB569" s="160">
        <f>IF(R569="","",IFERROR(LOOKUP(INDEX(Справочная!$I$4:$I$19,MATCH(VLOOKUP(R569,Исходные_данные,22,FALSE),Справочная!$J$4:$J$19,0)+1),{6,10,16,20,25,32,40,50,63,80,100,125}),""))</f>
        <v/>
      </c>
      <c r="AC569" s="160">
        <f t="shared" si="351"/>
        <v/>
      </c>
      <c r="AD569" s="161">
        <f t="shared" si="352"/>
        <v/>
      </c>
      <c r="AE569" s="161">
        <f>IF(AND(R569="",G569=""),"",_xlfn.TEXTJOIN("; ",TRUE,IF(AND(R569&lt;&gt;"",V569=""),"нет фазы",""),IF(AND(R569&lt;&gt;"",N(T569)=0),"нет мощности",""),IF(AND(P569&lt;&gt;"",COUNTIFS($A$3:$A$1000,A569,$P$3:$P$1000,P569)&gt;1),"дубль клеммы "&amp;P569,""),IF(AND(W569&lt;&gt;"",W569&lt;&gt;"ok"),W569,""),IF(X569&lt;&gt;"",X569,""),IF(AND(ISNUMBER(SEARCH("(5х",Q569)),N(AK569)=1),"5 жил на 1 фазе",""),IF(AND(AL569="R",E569&lt;&gt;"",N(AS569)=0),"розетка без 30 мА",""),IF(IFERROR(_xlfn.NUMBERVALUE(MID(Q569,FIND("-",Q569,FIND("L=",Q569))+1,FIND("%",Q569)-FIND("-",Q569,FIND("L=",Q569))-1),","),0)&gt;4,"потери &gt; 4 %","")))</f>
      </c>
      <c r="AF569" s="129">
        <f>IF(E569&lt;&gt;"",COUNTIFS($A$3:A569,A569,$E$3:E569,"?*"),IF(OR(A569&lt;&gt;A568,Y569="вручную"),"",AF568))</f>
        <v/>
      </c>
      <c r="AG569" s="129">
        <f t="shared" si="353"/>
        <v/>
      </c>
      <c r="AH569" s="129">
        <f t="shared" si="354"/>
        <v/>
      </c>
      <c r="AI569" s="129">
        <f t="shared" si="355"/>
        <v/>
      </c>
      <c r="AJ569" s="129">
        <f t="shared" si="356"/>
        <v/>
      </c>
      <c r="AK569" s="129">
        <f t="shared" si="357"/>
        <v/>
      </c>
      <c r="AL569" s="129">
        <f t="shared" si="358"/>
        <v/>
      </c>
      <c r="AM569" s="129">
        <f t="shared" si="359"/>
      </c>
      <c r="AN569" s="129">
        <f t="shared" si="360"/>
      </c>
      <c r="AO569" s="129">
        <f t="shared" si="361"/>
        <v/>
      </c>
      <c r="AP569" s="129">
        <f t="shared" si="362"/>
        <v/>
      </c>
      <c r="AQ569" s="129">
        <f t="shared" si="363"/>
        <v/>
      </c>
      <c r="AR569" s="129">
        <f t="shared" si="364"/>
        <v/>
      </c>
      <c r="AS569" s="129">
        <f t="shared" si="365"/>
        <v/>
      </c>
      <c r="AT569" s="129">
        <f t="shared" si="366"/>
        <v/>
      </c>
      <c r="AU569" s="129">
        <f t="shared" si="367"/>
        <v/>
      </c>
      <c r="AV569" s="129">
        <f t="shared" si="368"/>
        <v/>
      </c>
      <c r="AW569" s="129">
        <f>IF(AV569="","",AV569&amp;"."&amp;COUNTIFS($A$3:A569,A569,$AV$3:AV569,AV569))</f>
        <v/>
      </c>
      <c r="AX569" s="129">
        <f t="shared" si="369"/>
        <v/>
      </c>
      <c r="AY569" s="129">
        <f>IF(N569="б/к",0,IF(OR(ISNUMBER(SEARCH("L=",Разбивка_по_щитам!P569)),N569="+",N569="="),1,0))</f>
      </c>
      <c r="AZ569" s="129">
        <f t="shared" si="370"/>
        <v/>
      </c>
      <c r="BA569" s="129">
        <f t="shared" si="371"/>
      </c>
      <c r="BB569" s="129">
        <f t="shared" si="372"/>
      </c>
      <c r="BD569" s="129">
        <f t="shared" si="373"/>
      </c>
      <c r="BE569" s="129">
        <f t="shared" si="374"/>
      </c>
      <c r="BF569" s="129">
        <f t="shared" si="375"/>
      </c>
      <c r="BG569" s="129">
        <f t="shared" si="376"/>
        <v/>
      </c>
      <c r="BH569" s="129">
        <f t="shared" si="377"/>
        <v/>
      </c>
      <c r="BI569" s="129">
        <f t="shared" si="378"/>
        <v/>
      </c>
      <c r="BJ569" s="129">
        <f t="shared" si="379"/>
        <v/>
      </c>
      <c r="BK569" s="129">
        <f>IF(R569="","",IF(OR(BY569="",BY569=0),"BOX",IFERROR(IF(VLOOKUP(BY569,УГО_блоки,3,FALSE)&amp;""&lt;&gt;"",VLOOKUP(BY569,УГО_блоки,3,FALSE),VLOOKUP(BY569,УГО_блоки,2,FALSE)),BY569)))</f>
      </c>
      <c r="BL569" s="129">
        <f t="shared" si="381"/>
      </c>
      <c r="BM569" s="129">
        <f>IF(H569="","",IF(COUNTIF($H$3:H569,H569)=1,MAX($BM$2:BM568)+1,""))</f>
      </c>
      <c r="BN569" s="129">
        <f>IF(I569="","",IF(COUNTIF($I$3:I569,I569)+COUNTIF($J$2:J568,I569)+COUNTIF($K$2:K568,I569)=1,MAX($BN$2:BP568)+1,""))</f>
      </c>
      <c r="BO569" s="129">
        <f>IF(J569="","",IF(COUNTIF($I$3:I569,J569)+COUNTIF($J$3:J569,J569)+COUNTIF($K$2:K568,J569)=1,MAX($BN$2:BP568,BN569)+1,""))</f>
      </c>
      <c r="BP569" s="129">
        <f>IF(K569="","",IF(COUNTIF($I$3:I569,K569)+COUNTIF($J$3:J569,K569)+COUNTIF($K$3:K569,K569)=1,MAX($BN$2:BP568,BN569,BO569)+1,""))</f>
      </c>
      <c r="BQ569" s="129">
        <f>IF(AY569=1,IFERROR(MID(Q569,FIND(" (",Q569)+2,FIND(")",Q569,FIND(" (",Q569))-FIND(" (",Q569)-2),"?"),"")</f>
      </c>
      <c r="BR569" s="129">
        <f>IF(BQ569="","",IF(COUNTIF($BQ$3:BQ569,BQ569)=1,MAX($BR$2:BR568)+1,""))</f>
      </c>
      <c r="BS569" s="129">
        <f>IF(AW569="","",COUNTIF($AW$3:AW569,"?*"))</f>
      </c>
      <c r="BT569" s="129">
        <f>IF(OR(AW569="",AI569=""),"",IF(COUNTIFS($AW$3:AW569,"?*",$AI$3:AI569,AI569)=1,MAX($BT$2:BT568)+1,""))</f>
      </c>
      <c r="BU569" s="129">
        <f>IF(AE569="",0,IF(OR(ISNUMBER(SEARCH("дубль",AE569)),ISNUMBER(SEARCH("ПЕРЕГРУЗ",AE569)),ISNUMBER(SEARCH("ЗАЩИЩ",AE569)),ISNUMBER(SEARCH("КАНАЛ",AE569)),ISNUMBER(SEARCH("без 30",AE569))),2,1))</f>
      </c>
      <c r="BV569" s="129">
        <f>IF(R569="","",COUNTIF($R$3:R569,"?*"))</f>
      </c>
      <c r="BW569" s="129">
        <f>IF(AY569&lt;&gt;1,0,IF(MAX(IFERROR(--VLOOKUP(R569,УГО_спр,5,FALSE),0),IFERROR(--VLOOKUP(AL569,УГО_спр,5,FALSE),0),IFERROR(--VLOOKUP(LEFT(AL569,2),УГО_спр,5,FALSE),0))&gt;0,MAX(IFERROR(--VLOOKUP(R569,УГО_спр,5,FALSE),0),IFERROR(--VLOOKUP(AL569,УГО_спр,5,FALSE),0),IFERROR(--VLOOKUP(LEFT(AL569,2),УГО_спр,5,FALSE),0)),IF(IFERROR(--LEFT(SUBSTITUTE(BQ569,"x","х"),FIND("х",SUBSTITUTE(BQ569,"x","х"))-1),3)&gt;3,Каталог!$S$9,1)))</f>
      </c>
      <c r="BX569" s="129">
        <f>IF(AY569&lt;&gt;1,0,MAX(0,IFERROR(--LEFT(SUBSTITUTE(BQ569,"x","х"),FIND("х",SUBSTITUTE(BQ569,"x","х"))-1),3)-3*BW569))</f>
      </c>
      <c r="BY569" s="129">
        <f>IF(R569="","",IFERROR(VLOOKUP(R569,УГО_спр,2,FALSE),IFERROR(VLOOKUP(AL569,УГО_спр,2,FALSE),IFERROR(VLOOKUP(LEFT(AL569,2),УГО_спр,2,FALSE),""))))</f>
      </c>
    </row>
    <row r="570" spans="1:64" x14ac:dyDescent="0.3">
      <c r="A570" s="135">
        <f>IF(Разбивка_по_щитам!F570=0,"",Разбивка_по_щитам!F570)</f>
        <v/>
      </c>
      <c r="B570" s="138">
        <f>IF(A570="","",Разбивка_по_щитам!C570)</f>
        <v/>
      </c>
      <c r="C570" s="138">
        <f t="shared" si="342"/>
        <v/>
      </c>
      <c r="D570" s="266"/>
      <c r="E570" s="266"/>
      <c r="F570" s="267"/>
      <c r="G570" s="145">
        <f t="shared" si="343"/>
        <v/>
      </c>
      <c r="H570" s="145">
        <f t="shared" si="344"/>
        <v/>
      </c>
      <c r="I570" s="266"/>
      <c r="J570" s="267"/>
      <c r="K570" s="267"/>
      <c r="L570" s="266"/>
      <c r="M570" s="147">
        <f t="shared" si="345"/>
        <v/>
      </c>
      <c r="N570" s="267"/>
      <c r="O570" s="147">
        <f t="shared" si="346"/>
        <v/>
      </c>
      <c r="P570" s="268">
        <f>IF(AY570=1,"XT"&amp;COUNTIFS($A$3:A570,A570,$AY$3:AY570,1),"")</f>
        <v/>
      </c>
      <c r="Q570" s="152">
        <f>IF(R570="","",IFERROR(SUBSTITUTE(Разбивка_по_щитам!P570,CHAR(10)," "),""))</f>
        <v/>
      </c>
      <c r="R570" s="153">
        <f>IF(OR(Разбивка_по_щитам!H570="",Разбивка_по_щитам!H570=0),"",Разбивка_по_щитам!H570)</f>
        <v/>
      </c>
      <c r="S570" s="154">
        <f>IF(R570="","",IFERROR(Разбивка_по_щитам!J570&amp;"",""))</f>
        <v/>
      </c>
      <c r="T570" s="155">
        <f>IF(R570="","",IFERROR(--Разбивка_по_щитам!L570,""))</f>
        <v/>
      </c>
      <c r="U570" s="155">
        <f>IF(R570="","",IFERROR(--Разбивка_по_щитам!K570,""))</f>
        <v/>
      </c>
      <c r="V570" s="138">
        <f>IF(R570="","",IFERROR(IF(Разбивка_по_щитам!M570=0,"",Разбивка_по_щитам!M570),""))</f>
        <v/>
      </c>
      <c r="W570" s="156">
        <f t="shared" si="347"/>
        <v/>
      </c>
      <c r="X570" s="157">
        <f t="shared" si="348"/>
        <v/>
      </c>
      <c r="Y570" s="266"/>
      <c r="Z570" s="158">
        <f t="shared" si="349"/>
        <v/>
      </c>
      <c r="AA570" s="160">
        <f t="shared" si="350"/>
        <v/>
      </c>
      <c r="AB570" s="160">
        <f>IF(R570="","",IFERROR(LOOKUP(INDEX(Справочная!$I$4:$I$19,MATCH(VLOOKUP(R570,Исходные_данные,22,FALSE),Справочная!$J$4:$J$19,0)+1),{6,10,16,20,25,32,40,50,63,80,100,125}),""))</f>
        <v/>
      </c>
      <c r="AC570" s="160">
        <f t="shared" si="351"/>
        <v/>
      </c>
      <c r="AD570" s="161">
        <f t="shared" si="352"/>
        <v/>
      </c>
      <c r="AE570" s="161">
        <f>IF(AND(R570="",G570=""),"",_xlfn.TEXTJOIN("; ",TRUE,IF(AND(R570&lt;&gt;"",V570=""),"нет фазы",""),IF(AND(R570&lt;&gt;"",N(T570)=0),"нет мощности",""),IF(AND(P570&lt;&gt;"",COUNTIFS($A$3:$A$1000,A570,$P$3:$P$1000,P570)&gt;1),"дубль клеммы "&amp;P570,""),IF(AND(W570&lt;&gt;"",W570&lt;&gt;"ok"),W570,""),IF(X570&lt;&gt;"",X570,""),IF(AND(ISNUMBER(SEARCH("(5х",Q570)),N(AK570)=1),"5 жил на 1 фазе",""),IF(AND(AL570="R",E570&lt;&gt;"",N(AS570)=0),"розетка без 30 мА",""),IF(IFERROR(_xlfn.NUMBERVALUE(MID(Q570,FIND("-",Q570,FIND("L=",Q570))+1,FIND("%",Q570)-FIND("-",Q570,FIND("L=",Q570))-1),","),0)&gt;4,"потери &gt; 4 %","")))</f>
      </c>
      <c r="AF570" s="129">
        <f>IF(E570&lt;&gt;"",COUNTIFS($A$3:A570,A570,$E$3:E570,"?*"),IF(OR(A570&lt;&gt;A569,Y570="вручную"),"",AF569))</f>
        <v/>
      </c>
      <c r="AG570" s="129">
        <f t="shared" si="353"/>
        <v/>
      </c>
      <c r="AH570" s="129">
        <f t="shared" si="354"/>
        <v/>
      </c>
      <c r="AI570" s="129">
        <f t="shared" si="355"/>
        <v/>
      </c>
      <c r="AJ570" s="129">
        <f t="shared" si="356"/>
        <v/>
      </c>
      <c r="AK570" s="129">
        <f t="shared" si="357"/>
        <v/>
      </c>
      <c r="AL570" s="129">
        <f t="shared" si="358"/>
        <v/>
      </c>
      <c r="AM570" s="129">
        <f t="shared" si="359"/>
      </c>
      <c r="AN570" s="129">
        <f t="shared" si="360"/>
      </c>
      <c r="AO570" s="129">
        <f t="shared" si="361"/>
        <v/>
      </c>
      <c r="AP570" s="129">
        <f t="shared" si="362"/>
        <v/>
      </c>
      <c r="AQ570" s="129">
        <f t="shared" si="363"/>
        <v/>
      </c>
      <c r="AR570" s="129">
        <f t="shared" si="364"/>
        <v/>
      </c>
      <c r="AS570" s="129">
        <f t="shared" si="365"/>
        <v/>
      </c>
      <c r="AT570" s="129">
        <f t="shared" si="366"/>
        <v/>
      </c>
      <c r="AU570" s="129">
        <f t="shared" si="367"/>
        <v/>
      </c>
      <c r="AV570" s="129">
        <f t="shared" si="368"/>
        <v/>
      </c>
      <c r="AW570" s="129">
        <f>IF(AV570="","",AV570&amp;"."&amp;COUNTIFS($A$3:A570,A570,$AV$3:AV570,AV570))</f>
        <v/>
      </c>
      <c r="AX570" s="129">
        <f t="shared" si="369"/>
        <v/>
      </c>
      <c r="AY570" s="129">
        <f>IF(N570="б/к",0,IF(OR(ISNUMBER(SEARCH("L=",Разбивка_по_щитам!P570)),N570="+",N570="="),1,0))</f>
      </c>
      <c r="AZ570" s="129">
        <f t="shared" si="370"/>
        <v/>
      </c>
      <c r="BA570" s="129">
        <f t="shared" si="371"/>
      </c>
      <c r="BB570" s="129">
        <f t="shared" si="372"/>
      </c>
      <c r="BD570" s="129">
        <f t="shared" si="373"/>
      </c>
      <c r="BE570" s="129">
        <f t="shared" si="374"/>
      </c>
      <c r="BF570" s="129">
        <f t="shared" si="375"/>
      </c>
      <c r="BG570" s="129">
        <f t="shared" si="376"/>
        <v/>
      </c>
      <c r="BH570" s="129">
        <f t="shared" si="377"/>
        <v/>
      </c>
      <c r="BI570" s="129">
        <f t="shared" si="378"/>
        <v/>
      </c>
      <c r="BJ570" s="129">
        <f t="shared" si="379"/>
        <v/>
      </c>
      <c r="BK570" s="129">
        <f>IF(R570="","",IF(OR(BY570="",BY570=0),"BOX",IFERROR(IF(VLOOKUP(BY570,УГО_блоки,3,FALSE)&amp;""&lt;&gt;"",VLOOKUP(BY570,УГО_блоки,3,FALSE),VLOOKUP(BY570,УГО_блоки,2,FALSE)),BY570)))</f>
      </c>
      <c r="BL570" s="129">
        <f t="shared" si="381"/>
      </c>
      <c r="BM570" s="129">
        <f>IF(H570="","",IF(COUNTIF($H$3:H570,H570)=1,MAX($BM$2:BM569)+1,""))</f>
      </c>
      <c r="BN570" s="129">
        <f>IF(I570="","",IF(COUNTIF($I$3:I570,I570)+COUNTIF($J$2:J569,I570)+COUNTIF($K$2:K569,I570)=1,MAX($BN$2:BP569)+1,""))</f>
      </c>
      <c r="BO570" s="129">
        <f>IF(J570="","",IF(COUNTIF($I$3:I570,J570)+COUNTIF($J$3:J570,J570)+COUNTIF($K$2:K569,J570)=1,MAX($BN$2:BP569,BN570)+1,""))</f>
      </c>
      <c r="BP570" s="129">
        <f>IF(K570="","",IF(COUNTIF($I$3:I570,K570)+COUNTIF($J$3:J570,K570)+COUNTIF($K$3:K570,K570)=1,MAX($BN$2:BP569,BN570,BO570)+1,""))</f>
      </c>
      <c r="BQ570" s="129">
        <f>IF(AY570=1,IFERROR(MID(Q570,FIND(" (",Q570)+2,FIND(")",Q570,FIND(" (",Q570))-FIND(" (",Q570)-2),"?"),"")</f>
      </c>
      <c r="BR570" s="129">
        <f>IF(BQ570="","",IF(COUNTIF($BQ$3:BQ570,BQ570)=1,MAX($BR$2:BR569)+1,""))</f>
      </c>
      <c r="BS570" s="129">
        <f>IF(AW570="","",COUNTIF($AW$3:AW570,"?*"))</f>
      </c>
      <c r="BT570" s="129">
        <f>IF(OR(AW570="",AI570=""),"",IF(COUNTIFS($AW$3:AW570,"?*",$AI$3:AI570,AI570)=1,MAX($BT$2:BT569)+1,""))</f>
      </c>
      <c r="BU570" s="129">
        <f>IF(AE570="",0,IF(OR(ISNUMBER(SEARCH("дубль",AE570)),ISNUMBER(SEARCH("ПЕРЕГРУЗ",AE570)),ISNUMBER(SEARCH("ЗАЩИЩ",AE570)),ISNUMBER(SEARCH("КАНАЛ",AE570)),ISNUMBER(SEARCH("без 30",AE570))),2,1))</f>
      </c>
      <c r="BV570" s="129">
        <f>IF(R570="","",COUNTIF($R$3:R570,"?*"))</f>
      </c>
      <c r="BW570" s="129">
        <f>IF(AY570&lt;&gt;1,0,IF(MAX(IFERROR(--VLOOKUP(R570,УГО_спр,5,FALSE),0),IFERROR(--VLOOKUP(AL570,УГО_спр,5,FALSE),0),IFERROR(--VLOOKUP(LEFT(AL570,2),УГО_спр,5,FALSE),0))&gt;0,MAX(IFERROR(--VLOOKUP(R570,УГО_спр,5,FALSE),0),IFERROR(--VLOOKUP(AL570,УГО_спр,5,FALSE),0),IFERROR(--VLOOKUP(LEFT(AL570,2),УГО_спр,5,FALSE),0)),IF(IFERROR(--LEFT(SUBSTITUTE(BQ570,"x","х"),FIND("х",SUBSTITUTE(BQ570,"x","х"))-1),3)&gt;3,Каталог!$S$9,1)))</f>
      </c>
      <c r="BX570" s="129">
        <f>IF(AY570&lt;&gt;1,0,MAX(0,IFERROR(--LEFT(SUBSTITUTE(BQ570,"x","х"),FIND("х",SUBSTITUTE(BQ570,"x","х"))-1),3)-3*BW570))</f>
      </c>
      <c r="BY570" s="129">
        <f>IF(R570="","",IFERROR(VLOOKUP(R570,УГО_спр,2,FALSE),IFERROR(VLOOKUP(AL570,УГО_спр,2,FALSE),IFERROR(VLOOKUP(LEFT(AL570,2),УГО_спр,2,FALSE),""))))</f>
      </c>
    </row>
    <row r="571" spans="1:64" x14ac:dyDescent="0.3">
      <c r="A571" s="135">
        <f>IF(Разбивка_по_щитам!F571=0,"",Разбивка_по_щитам!F571)</f>
        <v/>
      </c>
      <c r="B571" s="138">
        <f>IF(A571="","",Разбивка_по_щитам!C571)</f>
        <v/>
      </c>
      <c r="C571" s="138">
        <f t="shared" si="342"/>
        <v/>
      </c>
      <c r="D571" s="266"/>
      <c r="E571" s="266"/>
      <c r="F571" s="267"/>
      <c r="G571" s="145">
        <f t="shared" si="343"/>
        <v/>
      </c>
      <c r="H571" s="145">
        <f t="shared" si="344"/>
        <v/>
      </c>
      <c r="I571" s="266"/>
      <c r="J571" s="267"/>
      <c r="K571" s="267"/>
      <c r="L571" s="266"/>
      <c r="M571" s="147">
        <f t="shared" si="345"/>
        <v/>
      </c>
      <c r="N571" s="267"/>
      <c r="O571" s="147">
        <f t="shared" si="346"/>
        <v/>
      </c>
      <c r="P571" s="268">
        <f>IF(AY571=1,"XT"&amp;COUNTIFS($A$3:A571,A571,$AY$3:AY571,1),"")</f>
        <v/>
      </c>
      <c r="Q571" s="152">
        <f>IF(R571="","",IFERROR(SUBSTITUTE(Разбивка_по_щитам!P571,CHAR(10)," "),""))</f>
        <v/>
      </c>
      <c r="R571" s="153">
        <f>IF(OR(Разбивка_по_щитам!H571="",Разбивка_по_щитам!H571=0),"",Разбивка_по_щитам!H571)</f>
        <v/>
      </c>
      <c r="S571" s="154">
        <f>IF(R571="","",IFERROR(Разбивка_по_щитам!J571&amp;"",""))</f>
        <v/>
      </c>
      <c r="T571" s="155">
        <f>IF(R571="","",IFERROR(--Разбивка_по_щитам!L571,""))</f>
        <v/>
      </c>
      <c r="U571" s="155">
        <f>IF(R571="","",IFERROR(--Разбивка_по_щитам!K571,""))</f>
        <v/>
      </c>
      <c r="V571" s="138">
        <f>IF(R571="","",IFERROR(IF(Разбивка_по_щитам!M571=0,"",Разбивка_по_щитам!M571),""))</f>
        <v/>
      </c>
      <c r="W571" s="156">
        <f t="shared" si="347"/>
        <v/>
      </c>
      <c r="X571" s="157">
        <f t="shared" si="348"/>
        <v/>
      </c>
      <c r="Y571" s="266"/>
      <c r="Z571" s="158">
        <f t="shared" si="349"/>
        <v/>
      </c>
      <c r="AA571" s="160">
        <f t="shared" si="350"/>
        <v/>
      </c>
      <c r="AB571" s="160">
        <f>IF(R571="","",IFERROR(LOOKUP(INDEX(Справочная!$I$4:$I$19,MATCH(VLOOKUP(R571,Исходные_данные,22,FALSE),Справочная!$J$4:$J$19,0)+1),{6,10,16,20,25,32,40,50,63,80,100,125}),""))</f>
        <v/>
      </c>
      <c r="AC571" s="160">
        <f t="shared" si="351"/>
        <v/>
      </c>
      <c r="AD571" s="161">
        <f t="shared" si="352"/>
        <v/>
      </c>
      <c r="AE571" s="161">
        <f>IF(AND(R571="",G571=""),"",_xlfn.TEXTJOIN("; ",TRUE,IF(AND(R571&lt;&gt;"",V571=""),"нет фазы",""),IF(AND(R571&lt;&gt;"",N(T571)=0),"нет мощности",""),IF(AND(P571&lt;&gt;"",COUNTIFS($A$3:$A$1000,A571,$P$3:$P$1000,P571)&gt;1),"дубль клеммы "&amp;P571,""),IF(AND(W571&lt;&gt;"",W571&lt;&gt;"ok"),W571,""),IF(X571&lt;&gt;"",X571,""),IF(AND(ISNUMBER(SEARCH("(5х",Q571)),N(AK571)=1),"5 жил на 1 фазе",""),IF(AND(AL571="R",E571&lt;&gt;"",N(AS571)=0),"розетка без 30 мА",""),IF(IFERROR(_xlfn.NUMBERVALUE(MID(Q571,FIND("-",Q571,FIND("L=",Q571))+1,FIND("%",Q571)-FIND("-",Q571,FIND("L=",Q571))-1),","),0)&gt;4,"потери &gt; 4 %","")))</f>
      </c>
      <c r="AF571" s="129">
        <f>IF(E571&lt;&gt;"",COUNTIFS($A$3:A571,A571,$E$3:E571,"?*"),IF(OR(A571&lt;&gt;A570,Y571="вручную"),"",AF570))</f>
        <v/>
      </c>
      <c r="AG571" s="129">
        <f t="shared" si="353"/>
        <v/>
      </c>
      <c r="AH571" s="129">
        <f t="shared" si="354"/>
        <v/>
      </c>
      <c r="AI571" s="129">
        <f t="shared" si="355"/>
        <v/>
      </c>
      <c r="AJ571" s="129">
        <f t="shared" si="356"/>
        <v/>
      </c>
      <c r="AK571" s="129">
        <f t="shared" si="357"/>
        <v/>
      </c>
      <c r="AL571" s="129">
        <f t="shared" si="358"/>
        <v/>
      </c>
      <c r="AM571" s="129">
        <f t="shared" si="359"/>
      </c>
      <c r="AN571" s="129">
        <f t="shared" si="360"/>
      </c>
      <c r="AO571" s="129">
        <f t="shared" si="361"/>
        <v/>
      </c>
      <c r="AP571" s="129">
        <f t="shared" si="362"/>
        <v/>
      </c>
      <c r="AQ571" s="129">
        <f t="shared" si="363"/>
        <v/>
      </c>
      <c r="AR571" s="129">
        <f t="shared" si="364"/>
        <v/>
      </c>
      <c r="AS571" s="129">
        <f t="shared" si="365"/>
        <v/>
      </c>
      <c r="AT571" s="129">
        <f t="shared" si="366"/>
        <v/>
      </c>
      <c r="AU571" s="129">
        <f t="shared" si="367"/>
        <v/>
      </c>
      <c r="AV571" s="129">
        <f t="shared" si="368"/>
        <v/>
      </c>
      <c r="AW571" s="129">
        <f>IF(AV571="","",AV571&amp;"."&amp;COUNTIFS($A$3:A571,A571,$AV$3:AV571,AV571))</f>
        <v/>
      </c>
      <c r="AX571" s="129">
        <f t="shared" si="369"/>
        <v/>
      </c>
      <c r="AY571" s="129">
        <f>IF(N571="б/к",0,IF(OR(ISNUMBER(SEARCH("L=",Разбивка_по_щитам!P571)),N571="+",N571="="),1,0))</f>
      </c>
      <c r="AZ571" s="129">
        <f t="shared" si="370"/>
        <v/>
      </c>
      <c r="BA571" s="129">
        <f t="shared" si="371"/>
      </c>
      <c r="BB571" s="129">
        <f t="shared" si="372"/>
      </c>
      <c r="BD571" s="129">
        <f t="shared" si="373"/>
      </c>
      <c r="BE571" s="129">
        <f t="shared" si="374"/>
      </c>
      <c r="BF571" s="129">
        <f t="shared" si="375"/>
      </c>
      <c r="BG571" s="129">
        <f t="shared" si="376"/>
        <v/>
      </c>
      <c r="BH571" s="129">
        <f t="shared" si="377"/>
        <v/>
      </c>
      <c r="BI571" s="129">
        <f t="shared" si="378"/>
        <v/>
      </c>
      <c r="BJ571" s="129">
        <f t="shared" si="379"/>
        <v/>
      </c>
      <c r="BK571" s="129">
        <f>IF(R571="","",IF(OR(BY571="",BY571=0),"BOX",IFERROR(IF(VLOOKUP(BY571,УГО_блоки,3,FALSE)&amp;""&lt;&gt;"",VLOOKUP(BY571,УГО_блоки,3,FALSE),VLOOKUP(BY571,УГО_блоки,2,FALSE)),BY571)))</f>
      </c>
      <c r="BL571" s="129">
        <f t="shared" si="381"/>
      </c>
      <c r="BM571" s="129">
        <f>IF(H571="","",IF(COUNTIF($H$3:H571,H571)=1,MAX($BM$2:BM570)+1,""))</f>
      </c>
      <c r="BN571" s="129">
        <f>IF(I571="","",IF(COUNTIF($I$3:I571,I571)+COUNTIF($J$2:J570,I571)+COUNTIF($K$2:K570,I571)=1,MAX($BN$2:BP570)+1,""))</f>
      </c>
      <c r="BO571" s="129">
        <f>IF(J571="","",IF(COUNTIF($I$3:I571,J571)+COUNTIF($J$3:J571,J571)+COUNTIF($K$2:K570,J571)=1,MAX($BN$2:BP570,BN571)+1,""))</f>
      </c>
      <c r="BP571" s="129">
        <f>IF(K571="","",IF(COUNTIF($I$3:I571,K571)+COUNTIF($J$3:J571,K571)+COUNTIF($K$3:K571,K571)=1,MAX($BN$2:BP570,BN571,BO571)+1,""))</f>
      </c>
      <c r="BQ571" s="129">
        <f>IF(AY571=1,IFERROR(MID(Q571,FIND(" (",Q571)+2,FIND(")",Q571,FIND(" (",Q571))-FIND(" (",Q571)-2),"?"),"")</f>
      </c>
      <c r="BR571" s="129">
        <f>IF(BQ571="","",IF(COUNTIF($BQ$3:BQ571,BQ571)=1,MAX($BR$2:BR570)+1,""))</f>
      </c>
      <c r="BS571" s="129">
        <f>IF(AW571="","",COUNTIF($AW$3:AW571,"?*"))</f>
      </c>
      <c r="BT571" s="129">
        <f>IF(OR(AW571="",AI571=""),"",IF(COUNTIFS($AW$3:AW571,"?*",$AI$3:AI571,AI571)=1,MAX($BT$2:BT570)+1,""))</f>
      </c>
      <c r="BU571" s="129">
        <f>IF(AE571="",0,IF(OR(ISNUMBER(SEARCH("дубль",AE571)),ISNUMBER(SEARCH("ПЕРЕГРУЗ",AE571)),ISNUMBER(SEARCH("ЗАЩИЩ",AE571)),ISNUMBER(SEARCH("КАНАЛ",AE571)),ISNUMBER(SEARCH("без 30",AE571))),2,1))</f>
      </c>
      <c r="BV571" s="129">
        <f>IF(R571="","",COUNTIF($R$3:R571,"?*"))</f>
      </c>
      <c r="BW571" s="129">
        <f>IF(AY571&lt;&gt;1,0,IF(MAX(IFERROR(--VLOOKUP(R571,УГО_спр,5,FALSE),0),IFERROR(--VLOOKUP(AL571,УГО_спр,5,FALSE),0),IFERROR(--VLOOKUP(LEFT(AL571,2),УГО_спр,5,FALSE),0))&gt;0,MAX(IFERROR(--VLOOKUP(R571,УГО_спр,5,FALSE),0),IFERROR(--VLOOKUP(AL571,УГО_спр,5,FALSE),0),IFERROR(--VLOOKUP(LEFT(AL571,2),УГО_спр,5,FALSE),0)),IF(IFERROR(--LEFT(SUBSTITUTE(BQ571,"x","х"),FIND("х",SUBSTITUTE(BQ571,"x","х"))-1),3)&gt;3,Каталог!$S$9,1)))</f>
      </c>
      <c r="BX571" s="129">
        <f>IF(AY571&lt;&gt;1,0,MAX(0,IFERROR(--LEFT(SUBSTITUTE(BQ571,"x","х"),FIND("х",SUBSTITUTE(BQ571,"x","х"))-1),3)-3*BW571))</f>
      </c>
      <c r="BY571" s="129">
        <f>IF(R571="","",IFERROR(VLOOKUP(R571,УГО_спр,2,FALSE),IFERROR(VLOOKUP(AL571,УГО_спр,2,FALSE),IFERROR(VLOOKUP(LEFT(AL571,2),УГО_спр,2,FALSE),""))))</f>
      </c>
    </row>
    <row r="572" spans="1:64" x14ac:dyDescent="0.3">
      <c r="A572" s="135">
        <f>IF(Разбивка_по_щитам!F572=0,"",Разбивка_по_щитам!F572)</f>
        <v/>
      </c>
      <c r="B572" s="138">
        <f>IF(A572="","",Разбивка_по_щитам!C572)</f>
        <v/>
      </c>
      <c r="C572" s="138">
        <f t="shared" si="342"/>
        <v/>
      </c>
      <c r="D572" s="266"/>
      <c r="E572" s="266"/>
      <c r="F572" s="267"/>
      <c r="G572" s="145">
        <f t="shared" si="343"/>
        <v/>
      </c>
      <c r="H572" s="145">
        <f t="shared" si="344"/>
        <v/>
      </c>
      <c r="I572" s="266"/>
      <c r="J572" s="267"/>
      <c r="K572" s="267"/>
      <c r="L572" s="266"/>
      <c r="M572" s="147">
        <f t="shared" si="345"/>
        <v/>
      </c>
      <c r="N572" s="267"/>
      <c r="O572" s="147">
        <f t="shared" si="346"/>
        <v/>
      </c>
      <c r="P572" s="268">
        <f>IF(AY572=1,"XT"&amp;COUNTIFS($A$3:A572,A572,$AY$3:AY572,1),"")</f>
        <v/>
      </c>
      <c r="Q572" s="152">
        <f>IF(R572="","",IFERROR(SUBSTITUTE(Разбивка_по_щитам!P572,CHAR(10)," "),""))</f>
        <v/>
      </c>
      <c r="R572" s="153">
        <f>IF(OR(Разбивка_по_щитам!H572="",Разбивка_по_щитам!H572=0),"",Разбивка_по_щитам!H572)</f>
        <v/>
      </c>
      <c r="S572" s="154">
        <f>IF(R572="","",IFERROR(Разбивка_по_щитам!J572&amp;"",""))</f>
        <v/>
      </c>
      <c r="T572" s="155">
        <f>IF(R572="","",IFERROR(--Разбивка_по_щитам!L572,""))</f>
        <v/>
      </c>
      <c r="U572" s="155">
        <f>IF(R572="","",IFERROR(--Разбивка_по_щитам!K572,""))</f>
        <v/>
      </c>
      <c r="V572" s="138">
        <f>IF(R572="","",IFERROR(IF(Разбивка_по_щитам!M572=0,"",Разбивка_по_щитам!M572),""))</f>
        <v/>
      </c>
      <c r="W572" s="156">
        <f t="shared" si="347"/>
        <v/>
      </c>
      <c r="X572" s="157">
        <f t="shared" si="348"/>
        <v/>
      </c>
      <c r="Y572" s="266"/>
      <c r="Z572" s="158">
        <f t="shared" si="349"/>
        <v/>
      </c>
      <c r="AA572" s="160">
        <f t="shared" si="350"/>
        <v/>
      </c>
      <c r="AB572" s="160">
        <f>IF(R572="","",IFERROR(LOOKUP(INDEX(Справочная!$I$4:$I$19,MATCH(VLOOKUP(R572,Исходные_данные,22,FALSE),Справочная!$J$4:$J$19,0)+1),{6,10,16,20,25,32,40,50,63,80,100,125}),""))</f>
        <v/>
      </c>
      <c r="AC572" s="160">
        <f t="shared" si="351"/>
        <v/>
      </c>
      <c r="AD572" s="161">
        <f t="shared" si="352"/>
        <v/>
      </c>
      <c r="AE572" s="161">
        <f>IF(AND(R572="",G572=""),"",_xlfn.TEXTJOIN("; ",TRUE,IF(AND(R572&lt;&gt;"",V572=""),"нет фазы",""),IF(AND(R572&lt;&gt;"",N(T572)=0),"нет мощности",""),IF(AND(P572&lt;&gt;"",COUNTIFS($A$3:$A$1000,A572,$P$3:$P$1000,P572)&gt;1),"дубль клеммы "&amp;P572,""),IF(AND(W572&lt;&gt;"",W572&lt;&gt;"ok"),W572,""),IF(X572&lt;&gt;"",X572,""),IF(AND(ISNUMBER(SEARCH("(5х",Q572)),N(AK572)=1),"5 жил на 1 фазе",""),IF(AND(AL572="R",E572&lt;&gt;"",N(AS572)=0),"розетка без 30 мА",""),IF(IFERROR(_xlfn.NUMBERVALUE(MID(Q572,FIND("-",Q572,FIND("L=",Q572))+1,FIND("%",Q572)-FIND("-",Q572,FIND("L=",Q572))-1),","),0)&gt;4,"потери &gt; 4 %","")))</f>
      </c>
      <c r="AF572" s="129">
        <f>IF(E572&lt;&gt;"",COUNTIFS($A$3:A572,A572,$E$3:E572,"?*"),IF(OR(A572&lt;&gt;A571,Y572="вручную"),"",AF571))</f>
        <v/>
      </c>
      <c r="AG572" s="129">
        <f t="shared" si="353"/>
        <v/>
      </c>
      <c r="AH572" s="129">
        <f t="shared" si="354"/>
        <v/>
      </c>
      <c r="AI572" s="129">
        <f t="shared" si="355"/>
        <v/>
      </c>
      <c r="AJ572" s="129">
        <f t="shared" si="356"/>
        <v/>
      </c>
      <c r="AK572" s="129">
        <f t="shared" si="357"/>
        <v/>
      </c>
      <c r="AL572" s="129">
        <f t="shared" si="358"/>
        <v/>
      </c>
      <c r="AM572" s="129">
        <f t="shared" si="359"/>
      </c>
      <c r="AN572" s="129">
        <f t="shared" si="360"/>
      </c>
      <c r="AO572" s="129">
        <f t="shared" si="361"/>
        <v/>
      </c>
      <c r="AP572" s="129">
        <f t="shared" si="362"/>
        <v/>
      </c>
      <c r="AQ572" s="129">
        <f t="shared" si="363"/>
        <v/>
      </c>
      <c r="AR572" s="129">
        <f t="shared" si="364"/>
        <v/>
      </c>
      <c r="AS572" s="129">
        <f t="shared" si="365"/>
        <v/>
      </c>
      <c r="AT572" s="129">
        <f t="shared" si="366"/>
        <v/>
      </c>
      <c r="AU572" s="129">
        <f t="shared" si="367"/>
        <v/>
      </c>
      <c r="AV572" s="129">
        <f t="shared" si="368"/>
        <v/>
      </c>
      <c r="AW572" s="129">
        <f>IF(AV572="","",AV572&amp;"."&amp;COUNTIFS($A$3:A572,A572,$AV$3:AV572,AV572))</f>
        <v/>
      </c>
      <c r="AX572" s="129">
        <f t="shared" si="369"/>
        <v/>
      </c>
      <c r="AY572" s="129">
        <f>IF(N572="б/к",0,IF(OR(ISNUMBER(SEARCH("L=",Разбивка_по_щитам!P572)),N572="+",N572="="),1,0))</f>
      </c>
      <c r="AZ572" s="129">
        <f t="shared" si="370"/>
        <v/>
      </c>
      <c r="BA572" s="129">
        <f t="shared" si="371"/>
      </c>
      <c r="BB572" s="129">
        <f t="shared" si="372"/>
      </c>
      <c r="BD572" s="129">
        <f t="shared" si="373"/>
      </c>
      <c r="BE572" s="129">
        <f t="shared" si="374"/>
      </c>
      <c r="BF572" s="129">
        <f t="shared" si="375"/>
      </c>
      <c r="BG572" s="129">
        <f t="shared" si="376"/>
        <v/>
      </c>
      <c r="BH572" s="129">
        <f t="shared" si="377"/>
        <v/>
      </c>
      <c r="BI572" s="129">
        <f t="shared" si="378"/>
        <v/>
      </c>
      <c r="BJ572" s="129">
        <f t="shared" si="379"/>
        <v/>
      </c>
      <c r="BK572" s="129">
        <f>IF(R572="","",IF(OR(BY572="",BY572=0),"BOX",IFERROR(IF(VLOOKUP(BY572,УГО_блоки,3,FALSE)&amp;""&lt;&gt;"",VLOOKUP(BY572,УГО_блоки,3,FALSE),VLOOKUP(BY572,УГО_блоки,2,FALSE)),BY572)))</f>
      </c>
      <c r="BL572" s="129">
        <f t="shared" si="381"/>
      </c>
      <c r="BM572" s="129">
        <f>IF(H572="","",IF(COUNTIF($H$3:H572,H572)=1,MAX($BM$2:BM571)+1,""))</f>
      </c>
      <c r="BN572" s="129">
        <f>IF(I572="","",IF(COUNTIF($I$3:I572,I572)+COUNTIF($J$2:J571,I572)+COUNTIF($K$2:K571,I572)=1,MAX($BN$2:BP571)+1,""))</f>
      </c>
      <c r="BO572" s="129">
        <f>IF(J572="","",IF(COUNTIF($I$3:I572,J572)+COUNTIF($J$3:J572,J572)+COUNTIF($K$2:K571,J572)=1,MAX($BN$2:BP571,BN572)+1,""))</f>
      </c>
      <c r="BP572" s="129">
        <f>IF(K572="","",IF(COUNTIF($I$3:I572,K572)+COUNTIF($J$3:J572,K572)+COUNTIF($K$3:K572,K572)=1,MAX($BN$2:BP571,BN572,BO572)+1,""))</f>
      </c>
      <c r="BQ572" s="129">
        <f>IF(AY572=1,IFERROR(MID(Q572,FIND(" (",Q572)+2,FIND(")",Q572,FIND(" (",Q572))-FIND(" (",Q572)-2),"?"),"")</f>
      </c>
      <c r="BR572" s="129">
        <f>IF(BQ572="","",IF(COUNTIF($BQ$3:BQ572,BQ572)=1,MAX($BR$2:BR571)+1,""))</f>
      </c>
      <c r="BS572" s="129">
        <f>IF(AW572="","",COUNTIF($AW$3:AW572,"?*"))</f>
      </c>
      <c r="BT572" s="129">
        <f>IF(OR(AW572="",AI572=""),"",IF(COUNTIFS($AW$3:AW572,"?*",$AI$3:AI572,AI572)=1,MAX($BT$2:BT571)+1,""))</f>
      </c>
      <c r="BU572" s="129">
        <f>IF(AE572="",0,IF(OR(ISNUMBER(SEARCH("дубль",AE572)),ISNUMBER(SEARCH("ПЕРЕГРУЗ",AE572)),ISNUMBER(SEARCH("ЗАЩИЩ",AE572)),ISNUMBER(SEARCH("КАНАЛ",AE572)),ISNUMBER(SEARCH("без 30",AE572))),2,1))</f>
      </c>
      <c r="BV572" s="129">
        <f>IF(R572="","",COUNTIF($R$3:R572,"?*"))</f>
      </c>
      <c r="BW572" s="129">
        <f>IF(AY572&lt;&gt;1,0,IF(MAX(IFERROR(--VLOOKUP(R572,УГО_спр,5,FALSE),0),IFERROR(--VLOOKUP(AL572,УГО_спр,5,FALSE),0),IFERROR(--VLOOKUP(LEFT(AL572,2),УГО_спр,5,FALSE),0))&gt;0,MAX(IFERROR(--VLOOKUP(R572,УГО_спр,5,FALSE),0),IFERROR(--VLOOKUP(AL572,УГО_спр,5,FALSE),0),IFERROR(--VLOOKUP(LEFT(AL572,2),УГО_спр,5,FALSE),0)),IF(IFERROR(--LEFT(SUBSTITUTE(BQ572,"x","х"),FIND("х",SUBSTITUTE(BQ572,"x","х"))-1),3)&gt;3,Каталог!$S$9,1)))</f>
      </c>
      <c r="BX572" s="129">
        <f>IF(AY572&lt;&gt;1,0,MAX(0,IFERROR(--LEFT(SUBSTITUTE(BQ572,"x","х"),FIND("х",SUBSTITUTE(BQ572,"x","х"))-1),3)-3*BW572))</f>
      </c>
      <c r="BY572" s="129">
        <f>IF(R572="","",IFERROR(VLOOKUP(R572,УГО_спр,2,FALSE),IFERROR(VLOOKUP(AL572,УГО_спр,2,FALSE),IFERROR(VLOOKUP(LEFT(AL572,2),УГО_спр,2,FALSE),""))))</f>
      </c>
    </row>
    <row r="573" spans="1:64" x14ac:dyDescent="0.3">
      <c r="A573" s="135">
        <f>IF(Разбивка_по_щитам!F573=0,"",Разбивка_по_щитам!F573)</f>
        <v/>
      </c>
      <c r="B573" s="138">
        <f>IF(A573="","",Разбивка_по_щитам!C573)</f>
        <v/>
      </c>
      <c r="C573" s="138">
        <f t="shared" si="342"/>
        <v/>
      </c>
      <c r="D573" s="266"/>
      <c r="E573" s="266"/>
      <c r="F573" s="267"/>
      <c r="G573" s="145">
        <f t="shared" si="343"/>
        <v/>
      </c>
      <c r="H573" s="145">
        <f t="shared" si="344"/>
        <v/>
      </c>
      <c r="I573" s="266"/>
      <c r="J573" s="267"/>
      <c r="K573" s="267"/>
      <c r="L573" s="266"/>
      <c r="M573" s="147">
        <f t="shared" si="345"/>
        <v/>
      </c>
      <c r="N573" s="267"/>
      <c r="O573" s="147">
        <f t="shared" si="346"/>
        <v/>
      </c>
      <c r="P573" s="268">
        <f>IF(AY573=1,"XT"&amp;COUNTIFS($A$3:A573,A573,$AY$3:AY573,1),"")</f>
        <v/>
      </c>
      <c r="Q573" s="152">
        <f>IF(R573="","",IFERROR(SUBSTITUTE(Разбивка_по_щитам!P573,CHAR(10)," "),""))</f>
        <v/>
      </c>
      <c r="R573" s="153">
        <f>IF(OR(Разбивка_по_щитам!H573="",Разбивка_по_щитам!H573=0),"",Разбивка_по_щитам!H573)</f>
        <v/>
      </c>
      <c r="S573" s="154">
        <f>IF(R573="","",IFERROR(Разбивка_по_щитам!J573&amp;"",""))</f>
        <v/>
      </c>
      <c r="T573" s="155">
        <f>IF(R573="","",IFERROR(--Разбивка_по_щитам!L573,""))</f>
        <v/>
      </c>
      <c r="U573" s="155">
        <f>IF(R573="","",IFERROR(--Разбивка_по_щитам!K573,""))</f>
        <v/>
      </c>
      <c r="V573" s="138">
        <f>IF(R573="","",IFERROR(IF(Разбивка_по_щитам!M573=0,"",Разбивка_по_щитам!M573),""))</f>
        <v/>
      </c>
      <c r="W573" s="156">
        <f t="shared" si="347"/>
        <v/>
      </c>
      <c r="X573" s="157">
        <f t="shared" si="348"/>
        <v/>
      </c>
      <c r="Y573" s="266"/>
      <c r="Z573" s="158">
        <f t="shared" si="349"/>
        <v/>
      </c>
      <c r="AA573" s="160">
        <f t="shared" si="350"/>
        <v/>
      </c>
      <c r="AB573" s="160">
        <f>IF(R573="","",IFERROR(LOOKUP(INDEX(Справочная!$I$4:$I$19,MATCH(VLOOKUP(R573,Исходные_данные,22,FALSE),Справочная!$J$4:$J$19,0)+1),{6,10,16,20,25,32,40,50,63,80,100,125}),""))</f>
        <v/>
      </c>
      <c r="AC573" s="160">
        <f t="shared" si="351"/>
        <v/>
      </c>
      <c r="AD573" s="161">
        <f t="shared" si="352"/>
        <v/>
      </c>
      <c r="AE573" s="161">
        <f>IF(AND(R573="",G573=""),"",_xlfn.TEXTJOIN("; ",TRUE,IF(AND(R573&lt;&gt;"",V573=""),"нет фазы",""),IF(AND(R573&lt;&gt;"",N(T573)=0),"нет мощности",""),IF(AND(P573&lt;&gt;"",COUNTIFS($A$3:$A$1000,A573,$P$3:$P$1000,P573)&gt;1),"дубль клеммы "&amp;P573,""),IF(AND(W573&lt;&gt;"",W573&lt;&gt;"ok"),W573,""),IF(X573&lt;&gt;"",X573,""),IF(AND(ISNUMBER(SEARCH("(5х",Q573)),N(AK573)=1),"5 жил на 1 фазе",""),IF(AND(AL573="R",E573&lt;&gt;"",N(AS573)=0),"розетка без 30 мА",""),IF(IFERROR(_xlfn.NUMBERVALUE(MID(Q573,FIND("-",Q573,FIND("L=",Q573))+1,FIND("%",Q573)-FIND("-",Q573,FIND("L=",Q573))-1),","),0)&gt;4,"потери &gt; 4 %","")))</f>
      </c>
      <c r="AF573" s="129">
        <f>IF(E573&lt;&gt;"",COUNTIFS($A$3:A573,A573,$E$3:E573,"?*"),IF(OR(A573&lt;&gt;A572,Y573="вручную"),"",AF572))</f>
        <v/>
      </c>
      <c r="AG573" s="129">
        <f t="shared" si="353"/>
        <v/>
      </c>
      <c r="AH573" s="129">
        <f t="shared" si="354"/>
        <v/>
      </c>
      <c r="AI573" s="129">
        <f t="shared" si="355"/>
        <v/>
      </c>
      <c r="AJ573" s="129">
        <f t="shared" si="356"/>
        <v/>
      </c>
      <c r="AK573" s="129">
        <f t="shared" si="357"/>
        <v/>
      </c>
      <c r="AL573" s="129">
        <f t="shared" si="358"/>
        <v/>
      </c>
      <c r="AM573" s="129">
        <f t="shared" si="359"/>
      </c>
      <c r="AN573" s="129">
        <f t="shared" si="360"/>
      </c>
      <c r="AO573" s="129">
        <f t="shared" si="361"/>
        <v/>
      </c>
      <c r="AP573" s="129">
        <f t="shared" si="362"/>
        <v/>
      </c>
      <c r="AQ573" s="129">
        <f t="shared" si="363"/>
        <v/>
      </c>
      <c r="AR573" s="129">
        <f t="shared" si="364"/>
        <v/>
      </c>
      <c r="AS573" s="129">
        <f t="shared" si="365"/>
        <v/>
      </c>
      <c r="AT573" s="129">
        <f t="shared" si="366"/>
        <v/>
      </c>
      <c r="AU573" s="129">
        <f t="shared" si="367"/>
        <v/>
      </c>
      <c r="AV573" s="129">
        <f t="shared" si="368"/>
        <v/>
      </c>
      <c r="AW573" s="129">
        <f>IF(AV573="","",AV573&amp;"."&amp;COUNTIFS($A$3:A573,A573,$AV$3:AV573,AV573))</f>
        <v/>
      </c>
      <c r="AX573" s="129">
        <f t="shared" si="369"/>
        <v/>
      </c>
      <c r="AY573" s="129">
        <f>IF(N573="б/к",0,IF(OR(ISNUMBER(SEARCH("L=",Разбивка_по_щитам!P573)),N573="+",N573="="),1,0))</f>
      </c>
      <c r="AZ573" s="129">
        <f t="shared" si="370"/>
        <v/>
      </c>
      <c r="BA573" s="129">
        <f t="shared" si="371"/>
      </c>
      <c r="BB573" s="129">
        <f t="shared" si="372"/>
      </c>
      <c r="BD573" s="129">
        <f t="shared" si="373"/>
      </c>
      <c r="BE573" s="129">
        <f t="shared" si="374"/>
      </c>
      <c r="BF573" s="129">
        <f t="shared" si="375"/>
      </c>
      <c r="BG573" s="129">
        <f t="shared" si="376"/>
        <v/>
      </c>
      <c r="BH573" s="129">
        <f t="shared" si="377"/>
        <v/>
      </c>
      <c r="BI573" s="129">
        <f t="shared" si="378"/>
        <v/>
      </c>
      <c r="BJ573" s="129">
        <f t="shared" si="379"/>
        <v/>
      </c>
      <c r="BK573" s="129">
        <f>IF(R573="","",IF(OR(BY573="",BY573=0),"BOX",IFERROR(IF(VLOOKUP(BY573,УГО_блоки,3,FALSE)&amp;""&lt;&gt;"",VLOOKUP(BY573,УГО_блоки,3,FALSE),VLOOKUP(BY573,УГО_блоки,2,FALSE)),BY573)))</f>
      </c>
      <c r="BL573" s="129">
        <f t="shared" si="381"/>
      </c>
      <c r="BM573" s="129">
        <f>IF(H573="","",IF(COUNTIF($H$3:H573,H573)=1,MAX($BM$2:BM572)+1,""))</f>
      </c>
      <c r="BN573" s="129">
        <f>IF(I573="","",IF(COUNTIF($I$3:I573,I573)+COUNTIF($J$2:J572,I573)+COUNTIF($K$2:K572,I573)=1,MAX($BN$2:BP572)+1,""))</f>
      </c>
      <c r="BO573" s="129">
        <f>IF(J573="","",IF(COUNTIF($I$3:I573,J573)+COUNTIF($J$3:J573,J573)+COUNTIF($K$2:K572,J573)=1,MAX($BN$2:BP572,BN573)+1,""))</f>
      </c>
      <c r="BP573" s="129">
        <f>IF(K573="","",IF(COUNTIF($I$3:I573,K573)+COUNTIF($J$3:J573,K573)+COUNTIF($K$3:K573,K573)=1,MAX($BN$2:BP572,BN573,BO573)+1,""))</f>
      </c>
      <c r="BQ573" s="129">
        <f>IF(AY573=1,IFERROR(MID(Q573,FIND(" (",Q573)+2,FIND(")",Q573,FIND(" (",Q573))-FIND(" (",Q573)-2),"?"),"")</f>
      </c>
      <c r="BR573" s="129">
        <f>IF(BQ573="","",IF(COUNTIF($BQ$3:BQ573,BQ573)=1,MAX($BR$2:BR572)+1,""))</f>
      </c>
      <c r="BS573" s="129">
        <f>IF(AW573="","",COUNTIF($AW$3:AW573,"?*"))</f>
      </c>
      <c r="BT573" s="129">
        <f>IF(OR(AW573="",AI573=""),"",IF(COUNTIFS($AW$3:AW573,"?*",$AI$3:AI573,AI573)=1,MAX($BT$2:BT572)+1,""))</f>
      </c>
      <c r="BU573" s="129">
        <f>IF(AE573="",0,IF(OR(ISNUMBER(SEARCH("дубль",AE573)),ISNUMBER(SEARCH("ПЕРЕГРУЗ",AE573)),ISNUMBER(SEARCH("ЗАЩИЩ",AE573)),ISNUMBER(SEARCH("КАНАЛ",AE573)),ISNUMBER(SEARCH("без 30",AE573))),2,1))</f>
      </c>
      <c r="BV573" s="129">
        <f>IF(R573="","",COUNTIF($R$3:R573,"?*"))</f>
      </c>
      <c r="BW573" s="129">
        <f>IF(AY573&lt;&gt;1,0,IF(MAX(IFERROR(--VLOOKUP(R573,УГО_спр,5,FALSE),0),IFERROR(--VLOOKUP(AL573,УГО_спр,5,FALSE),0),IFERROR(--VLOOKUP(LEFT(AL573,2),УГО_спр,5,FALSE),0))&gt;0,MAX(IFERROR(--VLOOKUP(R573,УГО_спр,5,FALSE),0),IFERROR(--VLOOKUP(AL573,УГО_спр,5,FALSE),0),IFERROR(--VLOOKUP(LEFT(AL573,2),УГО_спр,5,FALSE),0)),IF(IFERROR(--LEFT(SUBSTITUTE(BQ573,"x","х"),FIND("х",SUBSTITUTE(BQ573,"x","х"))-1),3)&gt;3,Каталог!$S$9,1)))</f>
      </c>
      <c r="BX573" s="129">
        <f>IF(AY573&lt;&gt;1,0,MAX(0,IFERROR(--LEFT(SUBSTITUTE(BQ573,"x","х"),FIND("х",SUBSTITUTE(BQ573,"x","х"))-1),3)-3*BW573))</f>
      </c>
      <c r="BY573" s="129">
        <f>IF(R573="","",IFERROR(VLOOKUP(R573,УГО_спр,2,FALSE),IFERROR(VLOOKUP(AL573,УГО_спр,2,FALSE),IFERROR(VLOOKUP(LEFT(AL573,2),УГО_спр,2,FALSE),""))))</f>
      </c>
    </row>
    <row r="574" spans="1:64" x14ac:dyDescent="0.3">
      <c r="A574" s="135">
        <f>IF(Разбивка_по_щитам!F574=0,"",Разбивка_по_щитам!F574)</f>
        <v/>
      </c>
      <c r="B574" s="138">
        <f>IF(A574="","",Разбивка_по_щитам!C574)</f>
        <v/>
      </c>
      <c r="C574" s="138">
        <f t="shared" si="342"/>
        <v/>
      </c>
      <c r="D574" s="266"/>
      <c r="E574" s="266"/>
      <c r="F574" s="267"/>
      <c r="G574" s="145">
        <f t="shared" si="343"/>
        <v/>
      </c>
      <c r="H574" s="145">
        <f t="shared" si="344"/>
        <v/>
      </c>
      <c r="I574" s="266"/>
      <c r="J574" s="267"/>
      <c r="K574" s="267"/>
      <c r="L574" s="266"/>
      <c r="M574" s="147">
        <f t="shared" si="345"/>
        <v/>
      </c>
      <c r="N574" s="267"/>
      <c r="O574" s="147">
        <f t="shared" si="346"/>
        <v/>
      </c>
      <c r="P574" s="268">
        <f>IF(AY574=1,"XT"&amp;COUNTIFS($A$3:A574,A574,$AY$3:AY574,1),"")</f>
        <v/>
      </c>
      <c r="Q574" s="152">
        <f>IF(R574="","",IFERROR(SUBSTITUTE(Разбивка_по_щитам!P574,CHAR(10)," "),""))</f>
        <v/>
      </c>
      <c r="R574" s="153">
        <f>IF(OR(Разбивка_по_щитам!H574="",Разбивка_по_щитам!H574=0),"",Разбивка_по_щитам!H574)</f>
        <v/>
      </c>
      <c r="S574" s="154">
        <f>IF(R574="","",IFERROR(Разбивка_по_щитам!J574&amp;"",""))</f>
        <v/>
      </c>
      <c r="T574" s="155">
        <f>IF(R574="","",IFERROR(--Разбивка_по_щитам!L574,""))</f>
        <v/>
      </c>
      <c r="U574" s="155">
        <f>IF(R574="","",IFERROR(--Разбивка_по_щитам!K574,""))</f>
        <v/>
      </c>
      <c r="V574" s="138">
        <f>IF(R574="","",IFERROR(IF(Разбивка_по_щитам!M574=0,"",Разбивка_по_щитам!M574),""))</f>
        <v/>
      </c>
      <c r="W574" s="156">
        <f t="shared" si="347"/>
        <v/>
      </c>
      <c r="X574" s="157">
        <f t="shared" si="348"/>
        <v/>
      </c>
      <c r="Y574" s="266"/>
      <c r="Z574" s="158">
        <f t="shared" si="349"/>
        <v/>
      </c>
      <c r="AA574" s="160">
        <f t="shared" si="350"/>
        <v/>
      </c>
      <c r="AB574" s="160">
        <f>IF(R574="","",IFERROR(LOOKUP(INDEX(Справочная!$I$4:$I$19,MATCH(VLOOKUP(R574,Исходные_данные,22,FALSE),Справочная!$J$4:$J$19,0)+1),{6,10,16,20,25,32,40,50,63,80,100,125}),""))</f>
        <v/>
      </c>
      <c r="AC574" s="160">
        <f t="shared" si="351"/>
        <v/>
      </c>
      <c r="AD574" s="161">
        <f t="shared" si="352"/>
        <v/>
      </c>
      <c r="AE574" s="161">
        <f>IF(AND(R574="",G574=""),"",_xlfn.TEXTJOIN("; ",TRUE,IF(AND(R574&lt;&gt;"",V574=""),"нет фазы",""),IF(AND(R574&lt;&gt;"",N(T574)=0),"нет мощности",""),IF(AND(P574&lt;&gt;"",COUNTIFS($A$3:$A$1000,A574,$P$3:$P$1000,P574)&gt;1),"дубль клеммы "&amp;P574,""),IF(AND(W574&lt;&gt;"",W574&lt;&gt;"ok"),W574,""),IF(X574&lt;&gt;"",X574,""),IF(AND(ISNUMBER(SEARCH("(5х",Q574)),N(AK574)=1),"5 жил на 1 фазе",""),IF(AND(AL574="R",E574&lt;&gt;"",N(AS574)=0),"розетка без 30 мА",""),IF(IFERROR(_xlfn.NUMBERVALUE(MID(Q574,FIND("-",Q574,FIND("L=",Q574))+1,FIND("%",Q574)-FIND("-",Q574,FIND("L=",Q574))-1),","),0)&gt;4,"потери &gt; 4 %","")))</f>
      </c>
      <c r="AF574" s="129">
        <f>IF(E574&lt;&gt;"",COUNTIFS($A$3:A574,A574,$E$3:E574,"?*"),IF(OR(A574&lt;&gt;A573,Y574="вручную"),"",AF573))</f>
        <v/>
      </c>
      <c r="AG574" s="129">
        <f t="shared" si="353"/>
        <v/>
      </c>
      <c r="AH574" s="129">
        <f t="shared" si="354"/>
        <v/>
      </c>
      <c r="AI574" s="129">
        <f t="shared" si="355"/>
        <v/>
      </c>
      <c r="AJ574" s="129">
        <f t="shared" si="356"/>
        <v/>
      </c>
      <c r="AK574" s="129">
        <f t="shared" si="357"/>
        <v/>
      </c>
      <c r="AL574" s="129">
        <f t="shared" si="358"/>
        <v/>
      </c>
      <c r="AM574" s="129">
        <f t="shared" si="359"/>
      </c>
      <c r="AN574" s="129">
        <f t="shared" si="360"/>
      </c>
      <c r="AO574" s="129">
        <f t="shared" si="361"/>
        <v/>
      </c>
      <c r="AP574" s="129">
        <f t="shared" si="362"/>
        <v/>
      </c>
      <c r="AQ574" s="129">
        <f t="shared" si="363"/>
        <v/>
      </c>
      <c r="AR574" s="129">
        <f t="shared" si="364"/>
        <v/>
      </c>
      <c r="AS574" s="129">
        <f t="shared" si="365"/>
        <v/>
      </c>
      <c r="AT574" s="129">
        <f t="shared" si="366"/>
        <v/>
      </c>
      <c r="AU574" s="129">
        <f t="shared" si="367"/>
        <v/>
      </c>
      <c r="AV574" s="129">
        <f t="shared" si="368"/>
        <v/>
      </c>
      <c r="AW574" s="129">
        <f>IF(AV574="","",AV574&amp;"."&amp;COUNTIFS($A$3:A574,A574,$AV$3:AV574,AV574))</f>
        <v/>
      </c>
      <c r="AX574" s="129">
        <f t="shared" si="369"/>
        <v/>
      </c>
      <c r="AY574" s="129">
        <f>IF(N574="б/к",0,IF(OR(ISNUMBER(SEARCH("L=",Разбивка_по_щитам!P574)),N574="+",N574="="),1,0))</f>
      </c>
      <c r="AZ574" s="129">
        <f t="shared" si="370"/>
        <v/>
      </c>
      <c r="BA574" s="129">
        <f t="shared" si="371"/>
      </c>
      <c r="BB574" s="129">
        <f t="shared" si="372"/>
      </c>
      <c r="BD574" s="129">
        <f t="shared" si="373"/>
      </c>
      <c r="BE574" s="129">
        <f t="shared" si="374"/>
      </c>
      <c r="BF574" s="129">
        <f t="shared" si="375"/>
      </c>
      <c r="BG574" s="129">
        <f t="shared" si="376"/>
        <v/>
      </c>
      <c r="BH574" s="129">
        <f t="shared" si="377"/>
        <v/>
      </c>
      <c r="BI574" s="129">
        <f t="shared" si="378"/>
        <v/>
      </c>
      <c r="BJ574" s="129">
        <f t="shared" si="379"/>
        <v/>
      </c>
      <c r="BK574" s="129">
        <f>IF(R574="","",IF(OR(BY574="",BY574=0),"BOX",IFERROR(IF(VLOOKUP(BY574,УГО_блоки,3,FALSE)&amp;""&lt;&gt;"",VLOOKUP(BY574,УГО_блоки,3,FALSE),VLOOKUP(BY574,УГО_блоки,2,FALSE)),BY574)))</f>
      </c>
      <c r="BL574" s="129">
        <f t="shared" si="381"/>
      </c>
      <c r="BM574" s="129">
        <f>IF(H574="","",IF(COUNTIF($H$3:H574,H574)=1,MAX($BM$2:BM573)+1,""))</f>
      </c>
      <c r="BN574" s="129">
        <f>IF(I574="","",IF(COUNTIF($I$3:I574,I574)+COUNTIF($J$2:J573,I574)+COUNTIF($K$2:K573,I574)=1,MAX($BN$2:BP573)+1,""))</f>
      </c>
      <c r="BO574" s="129">
        <f>IF(J574="","",IF(COUNTIF($I$3:I574,J574)+COUNTIF($J$3:J574,J574)+COUNTIF($K$2:K573,J574)=1,MAX($BN$2:BP573,BN574)+1,""))</f>
      </c>
      <c r="BP574" s="129">
        <f>IF(K574="","",IF(COUNTIF($I$3:I574,K574)+COUNTIF($J$3:J574,K574)+COUNTIF($K$3:K574,K574)=1,MAX($BN$2:BP573,BN574,BO574)+1,""))</f>
      </c>
      <c r="BQ574" s="129">
        <f>IF(AY574=1,IFERROR(MID(Q574,FIND(" (",Q574)+2,FIND(")",Q574,FIND(" (",Q574))-FIND(" (",Q574)-2),"?"),"")</f>
      </c>
      <c r="BR574" s="129">
        <f>IF(BQ574="","",IF(COUNTIF($BQ$3:BQ574,BQ574)=1,MAX($BR$2:BR573)+1,""))</f>
      </c>
      <c r="BS574" s="129">
        <f>IF(AW574="","",COUNTIF($AW$3:AW574,"?*"))</f>
      </c>
      <c r="BT574" s="129">
        <f>IF(OR(AW574="",AI574=""),"",IF(COUNTIFS($AW$3:AW574,"?*",$AI$3:AI574,AI574)=1,MAX($BT$2:BT573)+1,""))</f>
      </c>
      <c r="BU574" s="129">
        <f>IF(AE574="",0,IF(OR(ISNUMBER(SEARCH("дубль",AE574)),ISNUMBER(SEARCH("ПЕРЕГРУЗ",AE574)),ISNUMBER(SEARCH("ЗАЩИЩ",AE574)),ISNUMBER(SEARCH("КАНАЛ",AE574)),ISNUMBER(SEARCH("без 30",AE574))),2,1))</f>
      </c>
      <c r="BV574" s="129">
        <f>IF(R574="","",COUNTIF($R$3:R574,"?*"))</f>
      </c>
      <c r="BW574" s="129">
        <f>IF(AY574&lt;&gt;1,0,IF(MAX(IFERROR(--VLOOKUP(R574,УГО_спр,5,FALSE),0),IFERROR(--VLOOKUP(AL574,УГО_спр,5,FALSE),0),IFERROR(--VLOOKUP(LEFT(AL574,2),УГО_спр,5,FALSE),0))&gt;0,MAX(IFERROR(--VLOOKUP(R574,УГО_спр,5,FALSE),0),IFERROR(--VLOOKUP(AL574,УГО_спр,5,FALSE),0),IFERROR(--VLOOKUP(LEFT(AL574,2),УГО_спр,5,FALSE),0)),IF(IFERROR(--LEFT(SUBSTITUTE(BQ574,"x","х"),FIND("х",SUBSTITUTE(BQ574,"x","х"))-1),3)&gt;3,Каталог!$S$9,1)))</f>
      </c>
      <c r="BX574" s="129">
        <f>IF(AY574&lt;&gt;1,0,MAX(0,IFERROR(--LEFT(SUBSTITUTE(BQ574,"x","х"),FIND("х",SUBSTITUTE(BQ574,"x","х"))-1),3)-3*BW574))</f>
      </c>
      <c r="BY574" s="129">
        <f>IF(R574="","",IFERROR(VLOOKUP(R574,УГО_спр,2,FALSE),IFERROR(VLOOKUP(AL574,УГО_спр,2,FALSE),IFERROR(VLOOKUP(LEFT(AL574,2),УГО_спр,2,FALSE),""))))</f>
      </c>
    </row>
    <row r="575" spans="1:64" x14ac:dyDescent="0.3">
      <c r="A575" s="135">
        <f>IF(Разбивка_по_щитам!F575=0,"",Разбивка_по_щитам!F575)</f>
        <v/>
      </c>
      <c r="B575" s="138">
        <f>IF(A575="","",Разбивка_по_щитам!C575)</f>
        <v/>
      </c>
      <c r="C575" s="138">
        <f t="shared" si="342"/>
        <v/>
      </c>
      <c r="D575" s="266"/>
      <c r="E575" s="266"/>
      <c r="F575" s="267"/>
      <c r="G575" s="145">
        <f t="shared" si="343"/>
        <v/>
      </c>
      <c r="H575" s="145">
        <f t="shared" si="344"/>
        <v/>
      </c>
      <c r="I575" s="266"/>
      <c r="J575" s="267"/>
      <c r="K575" s="267"/>
      <c r="L575" s="266"/>
      <c r="M575" s="147">
        <f t="shared" si="345"/>
        <v/>
      </c>
      <c r="N575" s="267"/>
      <c r="O575" s="147">
        <f t="shared" si="346"/>
        <v/>
      </c>
      <c r="P575" s="268">
        <f>IF(AY575=1,"XT"&amp;COUNTIFS($A$3:A575,A575,$AY$3:AY575,1),"")</f>
        <v/>
      </c>
      <c r="Q575" s="152">
        <f>IF(R575="","",IFERROR(SUBSTITUTE(Разбивка_по_щитам!P575,CHAR(10)," "),""))</f>
        <v/>
      </c>
      <c r="R575" s="153">
        <f>IF(OR(Разбивка_по_щитам!H575="",Разбивка_по_щитам!H575=0),"",Разбивка_по_щитам!H575)</f>
        <v/>
      </c>
      <c r="S575" s="154">
        <f>IF(R575="","",IFERROR(Разбивка_по_щитам!J575&amp;"",""))</f>
        <v/>
      </c>
      <c r="T575" s="155">
        <f>IF(R575="","",IFERROR(--Разбивка_по_щитам!L575,""))</f>
        <v/>
      </c>
      <c r="U575" s="155">
        <f>IF(R575="","",IFERROR(--Разбивка_по_щитам!K575,""))</f>
        <v/>
      </c>
      <c r="V575" s="138">
        <f>IF(R575="","",IFERROR(IF(Разбивка_по_щитам!M575=0,"",Разбивка_по_щитам!M575),""))</f>
        <v/>
      </c>
      <c r="W575" s="156">
        <f t="shared" si="347"/>
        <v/>
      </c>
      <c r="X575" s="157">
        <f t="shared" si="348"/>
        <v/>
      </c>
      <c r="Y575" s="266"/>
      <c r="Z575" s="158">
        <f t="shared" si="349"/>
        <v/>
      </c>
      <c r="AA575" s="160">
        <f t="shared" si="350"/>
        <v/>
      </c>
      <c r="AB575" s="160">
        <f>IF(R575="","",IFERROR(LOOKUP(INDEX(Справочная!$I$4:$I$19,MATCH(VLOOKUP(R575,Исходные_данные,22,FALSE),Справочная!$J$4:$J$19,0)+1),{6,10,16,20,25,32,40,50,63,80,100,125}),""))</f>
        <v/>
      </c>
      <c r="AC575" s="160">
        <f t="shared" si="351"/>
        <v/>
      </c>
      <c r="AD575" s="161">
        <f t="shared" si="352"/>
        <v/>
      </c>
      <c r="AE575" s="161">
        <f>IF(AND(R575="",G575=""),"",_xlfn.TEXTJOIN("; ",TRUE,IF(AND(R575&lt;&gt;"",V575=""),"нет фазы",""),IF(AND(R575&lt;&gt;"",N(T575)=0),"нет мощности",""),IF(AND(P575&lt;&gt;"",COUNTIFS($A$3:$A$1000,A575,$P$3:$P$1000,P575)&gt;1),"дубль клеммы "&amp;P575,""),IF(AND(W575&lt;&gt;"",W575&lt;&gt;"ok"),W575,""),IF(X575&lt;&gt;"",X575,""),IF(AND(ISNUMBER(SEARCH("(5х",Q575)),N(AK575)=1),"5 жил на 1 фазе",""),IF(AND(AL575="R",E575&lt;&gt;"",N(AS575)=0),"розетка без 30 мА",""),IF(IFERROR(_xlfn.NUMBERVALUE(MID(Q575,FIND("-",Q575,FIND("L=",Q575))+1,FIND("%",Q575)-FIND("-",Q575,FIND("L=",Q575))-1),","),0)&gt;4,"потери &gt; 4 %","")))</f>
      </c>
      <c r="AF575" s="129">
        <f>IF(E575&lt;&gt;"",COUNTIFS($A$3:A575,A575,$E$3:E575,"?*"),IF(OR(A575&lt;&gt;A574,Y575="вручную"),"",AF574))</f>
        <v/>
      </c>
      <c r="AG575" s="129">
        <f t="shared" si="353"/>
        <v/>
      </c>
      <c r="AH575" s="129">
        <f t="shared" si="354"/>
        <v/>
      </c>
      <c r="AI575" s="129">
        <f t="shared" si="355"/>
        <v/>
      </c>
      <c r="AJ575" s="129">
        <f t="shared" si="356"/>
        <v/>
      </c>
      <c r="AK575" s="129">
        <f t="shared" si="357"/>
        <v/>
      </c>
      <c r="AL575" s="129">
        <f t="shared" si="358"/>
        <v/>
      </c>
      <c r="AM575" s="129">
        <f t="shared" si="359"/>
      </c>
      <c r="AN575" s="129">
        <f t="shared" si="360"/>
      </c>
      <c r="AO575" s="129">
        <f t="shared" si="361"/>
        <v/>
      </c>
      <c r="AP575" s="129">
        <f t="shared" si="362"/>
        <v/>
      </c>
      <c r="AQ575" s="129">
        <f t="shared" si="363"/>
        <v/>
      </c>
      <c r="AR575" s="129">
        <f t="shared" si="364"/>
        <v/>
      </c>
      <c r="AS575" s="129">
        <f t="shared" si="365"/>
        <v/>
      </c>
      <c r="AT575" s="129">
        <f t="shared" si="366"/>
        <v/>
      </c>
      <c r="AU575" s="129">
        <f t="shared" si="367"/>
        <v/>
      </c>
      <c r="AV575" s="129">
        <f t="shared" si="368"/>
        <v/>
      </c>
      <c r="AW575" s="129">
        <f>IF(AV575="","",AV575&amp;"."&amp;COUNTIFS($A$3:A575,A575,$AV$3:AV575,AV575))</f>
        <v/>
      </c>
      <c r="AX575" s="129">
        <f t="shared" si="369"/>
        <v/>
      </c>
      <c r="AY575" s="129">
        <f>IF(N575="б/к",0,IF(OR(ISNUMBER(SEARCH("L=",Разбивка_по_щитам!P575)),N575="+",N575="="),1,0))</f>
      </c>
      <c r="AZ575" s="129">
        <f t="shared" si="370"/>
        <v/>
      </c>
      <c r="BA575" s="129">
        <f t="shared" si="371"/>
      </c>
      <c r="BB575" s="129">
        <f t="shared" si="372"/>
      </c>
      <c r="BD575" s="129">
        <f t="shared" si="373"/>
      </c>
      <c r="BE575" s="129">
        <f t="shared" si="374"/>
      </c>
      <c r="BF575" s="129">
        <f t="shared" si="375"/>
      </c>
      <c r="BG575" s="129">
        <f t="shared" si="376"/>
        <v/>
      </c>
      <c r="BH575" s="129">
        <f t="shared" si="377"/>
        <v/>
      </c>
      <c r="BI575" s="129">
        <f t="shared" si="378"/>
        <v/>
      </c>
      <c r="BJ575" s="129">
        <f t="shared" si="379"/>
        <v/>
      </c>
      <c r="BK575" s="129">
        <f>IF(R575="","",IF(OR(BY575="",BY575=0),"BOX",IFERROR(IF(VLOOKUP(BY575,УГО_блоки,3,FALSE)&amp;""&lt;&gt;"",VLOOKUP(BY575,УГО_блоки,3,FALSE),VLOOKUP(BY575,УГО_блоки,2,FALSE)),BY575)))</f>
      </c>
      <c r="BL575" s="129">
        <f t="shared" si="381"/>
      </c>
      <c r="BM575" s="129">
        <f>IF(H575="","",IF(COUNTIF($H$3:H575,H575)=1,MAX($BM$2:BM574)+1,""))</f>
      </c>
      <c r="BN575" s="129">
        <f>IF(I575="","",IF(COUNTIF($I$3:I575,I575)+COUNTIF($J$2:J574,I575)+COUNTIF($K$2:K574,I575)=1,MAX($BN$2:BP574)+1,""))</f>
      </c>
      <c r="BO575" s="129">
        <f>IF(J575="","",IF(COUNTIF($I$3:I575,J575)+COUNTIF($J$3:J575,J575)+COUNTIF($K$2:K574,J575)=1,MAX($BN$2:BP574,BN575)+1,""))</f>
      </c>
      <c r="BP575" s="129">
        <f>IF(K575="","",IF(COUNTIF($I$3:I575,K575)+COUNTIF($J$3:J575,K575)+COUNTIF($K$3:K575,K575)=1,MAX($BN$2:BP574,BN575,BO575)+1,""))</f>
      </c>
      <c r="BQ575" s="129">
        <f>IF(AY575=1,IFERROR(MID(Q575,FIND(" (",Q575)+2,FIND(")",Q575,FIND(" (",Q575))-FIND(" (",Q575)-2),"?"),"")</f>
      </c>
      <c r="BR575" s="129">
        <f>IF(BQ575="","",IF(COUNTIF($BQ$3:BQ575,BQ575)=1,MAX($BR$2:BR574)+1,""))</f>
      </c>
      <c r="BS575" s="129">
        <f>IF(AW575="","",COUNTIF($AW$3:AW575,"?*"))</f>
      </c>
      <c r="BT575" s="129">
        <f>IF(OR(AW575="",AI575=""),"",IF(COUNTIFS($AW$3:AW575,"?*",$AI$3:AI575,AI575)=1,MAX($BT$2:BT574)+1,""))</f>
      </c>
      <c r="BU575" s="129">
        <f>IF(AE575="",0,IF(OR(ISNUMBER(SEARCH("дубль",AE575)),ISNUMBER(SEARCH("ПЕРЕГРУЗ",AE575)),ISNUMBER(SEARCH("ЗАЩИЩ",AE575)),ISNUMBER(SEARCH("КАНАЛ",AE575)),ISNUMBER(SEARCH("без 30",AE575))),2,1))</f>
      </c>
      <c r="BV575" s="129">
        <f>IF(R575="","",COUNTIF($R$3:R575,"?*"))</f>
      </c>
      <c r="BW575" s="129">
        <f>IF(AY575&lt;&gt;1,0,IF(MAX(IFERROR(--VLOOKUP(R575,УГО_спр,5,FALSE),0),IFERROR(--VLOOKUP(AL575,УГО_спр,5,FALSE),0),IFERROR(--VLOOKUP(LEFT(AL575,2),УГО_спр,5,FALSE),0))&gt;0,MAX(IFERROR(--VLOOKUP(R575,УГО_спр,5,FALSE),0),IFERROR(--VLOOKUP(AL575,УГО_спр,5,FALSE),0),IFERROR(--VLOOKUP(LEFT(AL575,2),УГО_спр,5,FALSE),0)),IF(IFERROR(--LEFT(SUBSTITUTE(BQ575,"x","х"),FIND("х",SUBSTITUTE(BQ575,"x","х"))-1),3)&gt;3,Каталог!$S$9,1)))</f>
      </c>
      <c r="BX575" s="129">
        <f>IF(AY575&lt;&gt;1,0,MAX(0,IFERROR(--LEFT(SUBSTITUTE(BQ575,"x","х"),FIND("х",SUBSTITUTE(BQ575,"x","х"))-1),3)-3*BW575))</f>
      </c>
      <c r="BY575" s="129">
        <f>IF(R575="","",IFERROR(VLOOKUP(R575,УГО_спр,2,FALSE),IFERROR(VLOOKUP(AL575,УГО_спр,2,FALSE),IFERROR(VLOOKUP(LEFT(AL575,2),УГО_спр,2,FALSE),""))))</f>
      </c>
    </row>
    <row r="576" spans="1:64" x14ac:dyDescent="0.3">
      <c r="A576" s="135">
        <f>IF(Разбивка_по_щитам!F576=0,"",Разбивка_по_щитам!F576)</f>
        <v/>
      </c>
      <c r="B576" s="138">
        <f>IF(A576="","",Разбивка_по_щитам!C576)</f>
        <v/>
      </c>
      <c r="C576" s="138">
        <f t="shared" si="342"/>
        <v/>
      </c>
      <c r="D576" s="266"/>
      <c r="E576" s="266"/>
      <c r="F576" s="267"/>
      <c r="G576" s="145">
        <f t="shared" si="343"/>
        <v/>
      </c>
      <c r="H576" s="145">
        <f t="shared" si="344"/>
        <v/>
      </c>
      <c r="I576" s="266"/>
      <c r="J576" s="267"/>
      <c r="K576" s="267"/>
      <c r="L576" s="266"/>
      <c r="M576" s="147">
        <f t="shared" si="345"/>
        <v/>
      </c>
      <c r="N576" s="267"/>
      <c r="O576" s="147">
        <f t="shared" si="346"/>
        <v/>
      </c>
      <c r="P576" s="268">
        <f>IF(AY576=1,"XT"&amp;COUNTIFS($A$3:A576,A576,$AY$3:AY576,1),"")</f>
        <v/>
      </c>
      <c r="Q576" s="152">
        <f>IF(R576="","",IFERROR(SUBSTITUTE(Разбивка_по_щитам!P576,CHAR(10)," "),""))</f>
        <v/>
      </c>
      <c r="R576" s="153">
        <f>IF(OR(Разбивка_по_щитам!H576="",Разбивка_по_щитам!H576=0),"",Разбивка_по_щитам!H576)</f>
        <v/>
      </c>
      <c r="S576" s="154">
        <f>IF(R576="","",IFERROR(Разбивка_по_щитам!J576&amp;"",""))</f>
        <v/>
      </c>
      <c r="T576" s="155">
        <f>IF(R576="","",IFERROR(--Разбивка_по_щитам!L576,""))</f>
        <v/>
      </c>
      <c r="U576" s="155">
        <f>IF(R576="","",IFERROR(--Разбивка_по_щитам!K576,""))</f>
        <v/>
      </c>
      <c r="V576" s="138">
        <f>IF(R576="","",IFERROR(IF(Разбивка_по_щитам!M576=0,"",Разбивка_по_щитам!M576),""))</f>
        <v/>
      </c>
      <c r="W576" s="156">
        <f t="shared" si="347"/>
        <v/>
      </c>
      <c r="X576" s="157">
        <f t="shared" si="348"/>
        <v/>
      </c>
      <c r="Y576" s="266"/>
      <c r="Z576" s="158">
        <f t="shared" si="349"/>
        <v/>
      </c>
      <c r="AA576" s="160">
        <f t="shared" si="350"/>
        <v/>
      </c>
      <c r="AB576" s="160">
        <f>IF(R576="","",IFERROR(LOOKUP(INDEX(Справочная!$I$4:$I$19,MATCH(VLOOKUP(R576,Исходные_данные,22,FALSE),Справочная!$J$4:$J$19,0)+1),{6,10,16,20,25,32,40,50,63,80,100,125}),""))</f>
        <v/>
      </c>
      <c r="AC576" s="160">
        <f t="shared" si="351"/>
        <v/>
      </c>
      <c r="AD576" s="161">
        <f t="shared" si="352"/>
        <v/>
      </c>
      <c r="AE576" s="161">
        <f>IF(AND(R576="",G576=""),"",_xlfn.TEXTJOIN("; ",TRUE,IF(AND(R576&lt;&gt;"",V576=""),"нет фазы",""),IF(AND(R576&lt;&gt;"",N(T576)=0),"нет мощности",""),IF(AND(P576&lt;&gt;"",COUNTIFS($A$3:$A$1000,A576,$P$3:$P$1000,P576)&gt;1),"дубль клеммы "&amp;P576,""),IF(AND(W576&lt;&gt;"",W576&lt;&gt;"ok"),W576,""),IF(X576&lt;&gt;"",X576,""),IF(AND(ISNUMBER(SEARCH("(5х",Q576)),N(AK576)=1),"5 жил на 1 фазе",""),IF(AND(AL576="R",E576&lt;&gt;"",N(AS576)=0),"розетка без 30 мА",""),IF(IFERROR(_xlfn.NUMBERVALUE(MID(Q576,FIND("-",Q576,FIND("L=",Q576))+1,FIND("%",Q576)-FIND("-",Q576,FIND("L=",Q576))-1),","),0)&gt;4,"потери &gt; 4 %","")))</f>
      </c>
      <c r="AF576" s="129">
        <f>IF(E576&lt;&gt;"",COUNTIFS($A$3:A576,A576,$E$3:E576,"?*"),IF(OR(A576&lt;&gt;A575,Y576="вручную"),"",AF575))</f>
        <v/>
      </c>
      <c r="AG576" s="129">
        <f t="shared" si="353"/>
        <v/>
      </c>
      <c r="AH576" s="129">
        <f t="shared" si="354"/>
        <v/>
      </c>
      <c r="AI576" s="129">
        <f t="shared" si="355"/>
        <v/>
      </c>
      <c r="AJ576" s="129">
        <f t="shared" si="356"/>
        <v/>
      </c>
      <c r="AK576" s="129">
        <f t="shared" si="357"/>
        <v/>
      </c>
      <c r="AL576" s="129">
        <f t="shared" si="358"/>
        <v/>
      </c>
      <c r="AM576" s="129">
        <f t="shared" si="359"/>
      </c>
      <c r="AN576" s="129">
        <f t="shared" si="360"/>
      </c>
      <c r="AO576" s="129">
        <f t="shared" si="361"/>
        <v/>
      </c>
      <c r="AP576" s="129">
        <f t="shared" si="362"/>
        <v/>
      </c>
      <c r="AQ576" s="129">
        <f t="shared" si="363"/>
        <v/>
      </c>
      <c r="AR576" s="129">
        <f t="shared" si="364"/>
        <v/>
      </c>
      <c r="AS576" s="129">
        <f t="shared" si="365"/>
        <v/>
      </c>
      <c r="AT576" s="129">
        <f t="shared" si="366"/>
        <v/>
      </c>
      <c r="AU576" s="129">
        <f t="shared" si="367"/>
        <v/>
      </c>
      <c r="AV576" s="129">
        <f t="shared" si="368"/>
        <v/>
      </c>
      <c r="AW576" s="129">
        <f>IF(AV576="","",AV576&amp;"."&amp;COUNTIFS($A$3:A576,A576,$AV$3:AV576,AV576))</f>
        <v/>
      </c>
      <c r="AX576" s="129">
        <f t="shared" si="369"/>
        <v/>
      </c>
      <c r="AY576" s="129">
        <f>IF(N576="б/к",0,IF(OR(ISNUMBER(SEARCH("L=",Разбивка_по_щитам!P576)),N576="+",N576="="),1,0))</f>
      </c>
      <c r="AZ576" s="129">
        <f t="shared" si="370"/>
        <v/>
      </c>
      <c r="BA576" s="129">
        <f t="shared" si="371"/>
      </c>
      <c r="BB576" s="129">
        <f t="shared" si="372"/>
      </c>
      <c r="BD576" s="129">
        <f t="shared" si="373"/>
      </c>
      <c r="BE576" s="129">
        <f t="shared" si="374"/>
      </c>
      <c r="BF576" s="129">
        <f t="shared" si="375"/>
      </c>
      <c r="BG576" s="129">
        <f t="shared" si="376"/>
        <v/>
      </c>
      <c r="BH576" s="129">
        <f t="shared" si="377"/>
        <v/>
      </c>
      <c r="BI576" s="129">
        <f t="shared" si="378"/>
        <v/>
      </c>
      <c r="BJ576" s="129">
        <f t="shared" si="379"/>
        <v/>
      </c>
      <c r="BK576" s="129">
        <f>IF(R576="","",IF(OR(BY576="",BY576=0),"BOX",IFERROR(IF(VLOOKUP(BY576,УГО_блоки,3,FALSE)&amp;""&lt;&gt;"",VLOOKUP(BY576,УГО_блоки,3,FALSE),VLOOKUP(BY576,УГО_блоки,2,FALSE)),BY576)))</f>
      </c>
      <c r="BL576" s="129">
        <f t="shared" si="381"/>
      </c>
      <c r="BM576" s="129">
        <f>IF(H576="","",IF(COUNTIF($H$3:H576,H576)=1,MAX($BM$2:BM575)+1,""))</f>
      </c>
      <c r="BN576" s="129">
        <f>IF(I576="","",IF(COUNTIF($I$3:I576,I576)+COUNTIF($J$2:J575,I576)+COUNTIF($K$2:K575,I576)=1,MAX($BN$2:BP575)+1,""))</f>
      </c>
      <c r="BO576" s="129">
        <f>IF(J576="","",IF(COUNTIF($I$3:I576,J576)+COUNTIF($J$3:J576,J576)+COUNTIF($K$2:K575,J576)=1,MAX($BN$2:BP575,BN576)+1,""))</f>
      </c>
      <c r="BP576" s="129">
        <f>IF(K576="","",IF(COUNTIF($I$3:I576,K576)+COUNTIF($J$3:J576,K576)+COUNTIF($K$3:K576,K576)=1,MAX($BN$2:BP575,BN576,BO576)+1,""))</f>
      </c>
      <c r="BQ576" s="129">
        <f>IF(AY576=1,IFERROR(MID(Q576,FIND(" (",Q576)+2,FIND(")",Q576,FIND(" (",Q576))-FIND(" (",Q576)-2),"?"),"")</f>
      </c>
      <c r="BR576" s="129">
        <f>IF(BQ576="","",IF(COUNTIF($BQ$3:BQ576,BQ576)=1,MAX($BR$2:BR575)+1,""))</f>
      </c>
      <c r="BS576" s="129">
        <f>IF(AW576="","",COUNTIF($AW$3:AW576,"?*"))</f>
      </c>
      <c r="BT576" s="129">
        <f>IF(OR(AW576="",AI576=""),"",IF(COUNTIFS($AW$3:AW576,"?*",$AI$3:AI576,AI576)=1,MAX($BT$2:BT575)+1,""))</f>
      </c>
      <c r="BU576" s="129">
        <f>IF(AE576="",0,IF(OR(ISNUMBER(SEARCH("дубль",AE576)),ISNUMBER(SEARCH("ПЕРЕГРУЗ",AE576)),ISNUMBER(SEARCH("ЗАЩИЩ",AE576)),ISNUMBER(SEARCH("КАНАЛ",AE576)),ISNUMBER(SEARCH("без 30",AE576))),2,1))</f>
      </c>
      <c r="BV576" s="129">
        <f>IF(R576="","",COUNTIF($R$3:R576,"?*"))</f>
      </c>
      <c r="BW576" s="129">
        <f>IF(AY576&lt;&gt;1,0,IF(MAX(IFERROR(--VLOOKUP(R576,УГО_спр,5,FALSE),0),IFERROR(--VLOOKUP(AL576,УГО_спр,5,FALSE),0),IFERROR(--VLOOKUP(LEFT(AL576,2),УГО_спр,5,FALSE),0))&gt;0,MAX(IFERROR(--VLOOKUP(R576,УГО_спр,5,FALSE),0),IFERROR(--VLOOKUP(AL576,УГО_спр,5,FALSE),0),IFERROR(--VLOOKUP(LEFT(AL576,2),УГО_спр,5,FALSE),0)),IF(IFERROR(--LEFT(SUBSTITUTE(BQ576,"x","х"),FIND("х",SUBSTITUTE(BQ576,"x","х"))-1),3)&gt;3,Каталог!$S$9,1)))</f>
      </c>
      <c r="BX576" s="129">
        <f>IF(AY576&lt;&gt;1,0,MAX(0,IFERROR(--LEFT(SUBSTITUTE(BQ576,"x","х"),FIND("х",SUBSTITUTE(BQ576,"x","х"))-1),3)-3*BW576))</f>
      </c>
      <c r="BY576" s="129">
        <f>IF(R576="","",IFERROR(VLOOKUP(R576,УГО_спр,2,FALSE),IFERROR(VLOOKUP(AL576,УГО_спр,2,FALSE),IFERROR(VLOOKUP(LEFT(AL576,2),УГО_спр,2,FALSE),""))))</f>
      </c>
    </row>
    <row r="577" spans="1:64" x14ac:dyDescent="0.3">
      <c r="A577" s="135">
        <f>IF(Разбивка_по_щитам!F577=0,"",Разбивка_по_щитам!F577)</f>
        <v/>
      </c>
      <c r="B577" s="138">
        <f>IF(A577="","",Разбивка_по_щитам!C577)</f>
        <v/>
      </c>
      <c r="C577" s="138">
        <f t="shared" si="342"/>
        <v/>
      </c>
      <c r="D577" s="266"/>
      <c r="E577" s="266"/>
      <c r="F577" s="267"/>
      <c r="G577" s="145">
        <f t="shared" si="343"/>
        <v/>
      </c>
      <c r="H577" s="145">
        <f t="shared" si="344"/>
        <v/>
      </c>
      <c r="I577" s="266"/>
      <c r="J577" s="267"/>
      <c r="K577" s="267"/>
      <c r="L577" s="266"/>
      <c r="M577" s="147">
        <f t="shared" si="345"/>
        <v/>
      </c>
      <c r="N577" s="267"/>
      <c r="O577" s="147">
        <f t="shared" si="346"/>
        <v/>
      </c>
      <c r="P577" s="268">
        <f>IF(AY577=1,"XT"&amp;COUNTIFS($A$3:A577,A577,$AY$3:AY577,1),"")</f>
        <v/>
      </c>
      <c r="Q577" s="152">
        <f>IF(R577="","",IFERROR(SUBSTITUTE(Разбивка_по_щитам!P577,CHAR(10)," "),""))</f>
        <v/>
      </c>
      <c r="R577" s="153">
        <f>IF(OR(Разбивка_по_щитам!H577="",Разбивка_по_щитам!H577=0),"",Разбивка_по_щитам!H577)</f>
        <v/>
      </c>
      <c r="S577" s="154">
        <f>IF(R577="","",IFERROR(Разбивка_по_щитам!J577&amp;"",""))</f>
        <v/>
      </c>
      <c r="T577" s="155">
        <f>IF(R577="","",IFERROR(--Разбивка_по_щитам!L577,""))</f>
        <v/>
      </c>
      <c r="U577" s="155">
        <f>IF(R577="","",IFERROR(--Разбивка_по_щитам!K577,""))</f>
        <v/>
      </c>
      <c r="V577" s="138">
        <f>IF(R577="","",IFERROR(IF(Разбивка_по_щитам!M577=0,"",Разбивка_по_щитам!M577),""))</f>
        <v/>
      </c>
      <c r="W577" s="156">
        <f t="shared" si="347"/>
        <v/>
      </c>
      <c r="X577" s="157">
        <f t="shared" si="348"/>
        <v/>
      </c>
      <c r="Y577" s="266"/>
      <c r="Z577" s="158">
        <f t="shared" si="349"/>
        <v/>
      </c>
      <c r="AA577" s="160">
        <f t="shared" si="350"/>
        <v/>
      </c>
      <c r="AB577" s="160">
        <f>IF(R577="","",IFERROR(LOOKUP(INDEX(Справочная!$I$4:$I$19,MATCH(VLOOKUP(R577,Исходные_данные,22,FALSE),Справочная!$J$4:$J$19,0)+1),{6,10,16,20,25,32,40,50,63,80,100,125}),""))</f>
        <v/>
      </c>
      <c r="AC577" s="160">
        <f t="shared" si="351"/>
        <v/>
      </c>
      <c r="AD577" s="161">
        <f t="shared" si="352"/>
        <v/>
      </c>
      <c r="AE577" s="161">
        <f>IF(AND(R577="",G577=""),"",_xlfn.TEXTJOIN("; ",TRUE,IF(AND(R577&lt;&gt;"",V577=""),"нет фазы",""),IF(AND(R577&lt;&gt;"",N(T577)=0),"нет мощности",""),IF(AND(P577&lt;&gt;"",COUNTIFS($A$3:$A$1000,A577,$P$3:$P$1000,P577)&gt;1),"дубль клеммы "&amp;P577,""),IF(AND(W577&lt;&gt;"",W577&lt;&gt;"ok"),W577,""),IF(X577&lt;&gt;"",X577,""),IF(AND(ISNUMBER(SEARCH("(5х",Q577)),N(AK577)=1),"5 жил на 1 фазе",""),IF(AND(AL577="R",E577&lt;&gt;"",N(AS577)=0),"розетка без 30 мА",""),IF(IFERROR(_xlfn.NUMBERVALUE(MID(Q577,FIND("-",Q577,FIND("L=",Q577))+1,FIND("%",Q577)-FIND("-",Q577,FIND("L=",Q577))-1),","),0)&gt;4,"потери &gt; 4 %","")))</f>
      </c>
      <c r="AF577" s="129">
        <f>IF(E577&lt;&gt;"",COUNTIFS($A$3:A577,A577,$E$3:E577,"?*"),IF(OR(A577&lt;&gt;A576,Y577="вручную"),"",AF576))</f>
        <v/>
      </c>
      <c r="AG577" s="129">
        <f t="shared" si="353"/>
        <v/>
      </c>
      <c r="AH577" s="129">
        <f t="shared" si="354"/>
        <v/>
      </c>
      <c r="AI577" s="129">
        <f t="shared" si="355"/>
        <v/>
      </c>
      <c r="AJ577" s="129">
        <f t="shared" si="356"/>
        <v/>
      </c>
      <c r="AK577" s="129">
        <f t="shared" si="357"/>
        <v/>
      </c>
      <c r="AL577" s="129">
        <f t="shared" si="358"/>
        <v/>
      </c>
      <c r="AM577" s="129">
        <f t="shared" si="359"/>
      </c>
      <c r="AN577" s="129">
        <f t="shared" si="360"/>
      </c>
      <c r="AO577" s="129">
        <f t="shared" si="361"/>
        <v/>
      </c>
      <c r="AP577" s="129">
        <f t="shared" si="362"/>
        <v/>
      </c>
      <c r="AQ577" s="129">
        <f t="shared" si="363"/>
        <v/>
      </c>
      <c r="AR577" s="129">
        <f t="shared" si="364"/>
        <v/>
      </c>
      <c r="AS577" s="129">
        <f t="shared" si="365"/>
        <v/>
      </c>
      <c r="AT577" s="129">
        <f t="shared" si="366"/>
        <v/>
      </c>
      <c r="AU577" s="129">
        <f t="shared" si="367"/>
        <v/>
      </c>
      <c r="AV577" s="129">
        <f t="shared" si="368"/>
        <v/>
      </c>
      <c r="AW577" s="129">
        <f>IF(AV577="","",AV577&amp;"."&amp;COUNTIFS($A$3:A577,A577,$AV$3:AV577,AV577))</f>
        <v/>
      </c>
      <c r="AX577" s="129">
        <f t="shared" si="369"/>
        <v/>
      </c>
      <c r="AY577" s="129">
        <f>IF(N577="б/к",0,IF(OR(ISNUMBER(SEARCH("L=",Разбивка_по_щитам!P577)),N577="+",N577="="),1,0))</f>
      </c>
      <c r="AZ577" s="129">
        <f t="shared" si="370"/>
        <v/>
      </c>
      <c r="BA577" s="129">
        <f t="shared" si="371"/>
      </c>
      <c r="BB577" s="129">
        <f t="shared" si="372"/>
      </c>
      <c r="BD577" s="129">
        <f t="shared" si="373"/>
      </c>
      <c r="BE577" s="129">
        <f t="shared" si="374"/>
      </c>
      <c r="BF577" s="129">
        <f t="shared" si="375"/>
      </c>
      <c r="BG577" s="129">
        <f t="shared" si="376"/>
        <v/>
      </c>
      <c r="BH577" s="129">
        <f t="shared" si="377"/>
        <v/>
      </c>
      <c r="BI577" s="129">
        <f t="shared" si="378"/>
        <v/>
      </c>
      <c r="BJ577" s="129">
        <f t="shared" si="379"/>
        <v/>
      </c>
      <c r="BK577" s="129">
        <f>IF(R577="","",IF(OR(BY577="",BY577=0),"BOX",IFERROR(IF(VLOOKUP(BY577,УГО_блоки,3,FALSE)&amp;""&lt;&gt;"",VLOOKUP(BY577,УГО_блоки,3,FALSE),VLOOKUP(BY577,УГО_блоки,2,FALSE)),BY577)))</f>
      </c>
      <c r="BL577" s="129">
        <f t="shared" si="381"/>
      </c>
      <c r="BM577" s="129">
        <f>IF(H577="","",IF(COUNTIF($H$3:H577,H577)=1,MAX($BM$2:BM576)+1,""))</f>
      </c>
      <c r="BN577" s="129">
        <f>IF(I577="","",IF(COUNTIF($I$3:I577,I577)+COUNTIF($J$2:J576,I577)+COUNTIF($K$2:K576,I577)=1,MAX($BN$2:BP576)+1,""))</f>
      </c>
      <c r="BO577" s="129">
        <f>IF(J577="","",IF(COUNTIF($I$3:I577,J577)+COUNTIF($J$3:J577,J577)+COUNTIF($K$2:K576,J577)=1,MAX($BN$2:BP576,BN577)+1,""))</f>
      </c>
      <c r="BP577" s="129">
        <f>IF(K577="","",IF(COUNTIF($I$3:I577,K577)+COUNTIF($J$3:J577,K577)+COUNTIF($K$3:K577,K577)=1,MAX($BN$2:BP576,BN577,BO577)+1,""))</f>
      </c>
      <c r="BQ577" s="129">
        <f>IF(AY577=1,IFERROR(MID(Q577,FIND(" (",Q577)+2,FIND(")",Q577,FIND(" (",Q577))-FIND(" (",Q577)-2),"?"),"")</f>
      </c>
      <c r="BR577" s="129">
        <f>IF(BQ577="","",IF(COUNTIF($BQ$3:BQ577,BQ577)=1,MAX($BR$2:BR576)+1,""))</f>
      </c>
      <c r="BS577" s="129">
        <f>IF(AW577="","",COUNTIF($AW$3:AW577,"?*"))</f>
      </c>
      <c r="BT577" s="129">
        <f>IF(OR(AW577="",AI577=""),"",IF(COUNTIFS($AW$3:AW577,"?*",$AI$3:AI577,AI577)=1,MAX($BT$2:BT576)+1,""))</f>
      </c>
      <c r="BU577" s="129">
        <f>IF(AE577="",0,IF(OR(ISNUMBER(SEARCH("дубль",AE577)),ISNUMBER(SEARCH("ПЕРЕГРУЗ",AE577)),ISNUMBER(SEARCH("ЗАЩИЩ",AE577)),ISNUMBER(SEARCH("КАНАЛ",AE577)),ISNUMBER(SEARCH("без 30",AE577))),2,1))</f>
      </c>
      <c r="BV577" s="129">
        <f>IF(R577="","",COUNTIF($R$3:R577,"?*"))</f>
      </c>
      <c r="BW577" s="129">
        <f>IF(AY577&lt;&gt;1,0,IF(MAX(IFERROR(--VLOOKUP(R577,УГО_спр,5,FALSE),0),IFERROR(--VLOOKUP(AL577,УГО_спр,5,FALSE),0),IFERROR(--VLOOKUP(LEFT(AL577,2),УГО_спр,5,FALSE),0))&gt;0,MAX(IFERROR(--VLOOKUP(R577,УГО_спр,5,FALSE),0),IFERROR(--VLOOKUP(AL577,УГО_спр,5,FALSE),0),IFERROR(--VLOOKUP(LEFT(AL577,2),УГО_спр,5,FALSE),0)),IF(IFERROR(--LEFT(SUBSTITUTE(BQ577,"x","х"),FIND("х",SUBSTITUTE(BQ577,"x","х"))-1),3)&gt;3,Каталог!$S$9,1)))</f>
      </c>
      <c r="BX577" s="129">
        <f>IF(AY577&lt;&gt;1,0,MAX(0,IFERROR(--LEFT(SUBSTITUTE(BQ577,"x","х"),FIND("х",SUBSTITUTE(BQ577,"x","х"))-1),3)-3*BW577))</f>
      </c>
      <c r="BY577" s="129">
        <f>IF(R577="","",IFERROR(VLOOKUP(R577,УГО_спр,2,FALSE),IFERROR(VLOOKUP(AL577,УГО_спр,2,FALSE),IFERROR(VLOOKUP(LEFT(AL577,2),УГО_спр,2,FALSE),""))))</f>
      </c>
    </row>
    <row r="578" spans="1:64" x14ac:dyDescent="0.3">
      <c r="A578" s="135">
        <f>IF(Разбивка_по_щитам!F578=0,"",Разбивка_по_щитам!F578)</f>
        <v/>
      </c>
      <c r="B578" s="138">
        <f>IF(A578="","",Разбивка_по_щитам!C578)</f>
        <v/>
      </c>
      <c r="C578" s="138">
        <f t="shared" si="342"/>
        <v/>
      </c>
      <c r="D578" s="266"/>
      <c r="E578" s="266"/>
      <c r="F578" s="267"/>
      <c r="G578" s="145">
        <f t="shared" si="343"/>
        <v/>
      </c>
      <c r="H578" s="145">
        <f t="shared" si="344"/>
        <v/>
      </c>
      <c r="I578" s="266"/>
      <c r="J578" s="267"/>
      <c r="K578" s="267"/>
      <c r="L578" s="266"/>
      <c r="M578" s="147">
        <f t="shared" si="345"/>
        <v/>
      </c>
      <c r="N578" s="267"/>
      <c r="O578" s="147">
        <f t="shared" si="346"/>
        <v/>
      </c>
      <c r="P578" s="268">
        <f>IF(AY578=1,"XT"&amp;COUNTIFS($A$3:A578,A578,$AY$3:AY578,1),"")</f>
        <v/>
      </c>
      <c r="Q578" s="152">
        <f>IF(R578="","",IFERROR(SUBSTITUTE(Разбивка_по_щитам!P578,CHAR(10)," "),""))</f>
        <v/>
      </c>
      <c r="R578" s="153">
        <f>IF(OR(Разбивка_по_щитам!H578="",Разбивка_по_щитам!H578=0),"",Разбивка_по_щитам!H578)</f>
        <v/>
      </c>
      <c r="S578" s="154">
        <f>IF(R578="","",IFERROR(Разбивка_по_щитам!J578&amp;"",""))</f>
        <v/>
      </c>
      <c r="T578" s="155">
        <f>IF(R578="","",IFERROR(--Разбивка_по_щитам!L578,""))</f>
        <v/>
      </c>
      <c r="U578" s="155">
        <f>IF(R578="","",IFERROR(--Разбивка_по_щитам!K578,""))</f>
        <v/>
      </c>
      <c r="V578" s="138">
        <f>IF(R578="","",IFERROR(IF(Разбивка_по_щитам!M578=0,"",Разбивка_по_щитам!M578),""))</f>
        <v/>
      </c>
      <c r="W578" s="156">
        <f t="shared" si="347"/>
        <v/>
      </c>
      <c r="X578" s="157">
        <f t="shared" si="348"/>
        <v/>
      </c>
      <c r="Y578" s="266"/>
      <c r="Z578" s="158">
        <f t="shared" si="349"/>
        <v/>
      </c>
      <c r="AA578" s="160">
        <f t="shared" si="350"/>
        <v/>
      </c>
      <c r="AB578" s="160">
        <f>IF(R578="","",IFERROR(LOOKUP(INDEX(Справочная!$I$4:$I$19,MATCH(VLOOKUP(R578,Исходные_данные,22,FALSE),Справочная!$J$4:$J$19,0)+1),{6,10,16,20,25,32,40,50,63,80,100,125}),""))</f>
        <v/>
      </c>
      <c r="AC578" s="160">
        <f t="shared" si="351"/>
        <v/>
      </c>
      <c r="AD578" s="161">
        <f t="shared" si="352"/>
        <v/>
      </c>
      <c r="AE578" s="161">
        <f>IF(AND(R578="",G578=""),"",_xlfn.TEXTJOIN("; ",TRUE,IF(AND(R578&lt;&gt;"",V578=""),"нет фазы",""),IF(AND(R578&lt;&gt;"",N(T578)=0),"нет мощности",""),IF(AND(P578&lt;&gt;"",COUNTIFS($A$3:$A$1000,A578,$P$3:$P$1000,P578)&gt;1),"дубль клеммы "&amp;P578,""),IF(AND(W578&lt;&gt;"",W578&lt;&gt;"ok"),W578,""),IF(X578&lt;&gt;"",X578,""),IF(AND(ISNUMBER(SEARCH("(5х",Q578)),N(AK578)=1),"5 жил на 1 фазе",""),IF(AND(AL578="R",E578&lt;&gt;"",N(AS578)=0),"розетка без 30 мА",""),IF(IFERROR(_xlfn.NUMBERVALUE(MID(Q578,FIND("-",Q578,FIND("L=",Q578))+1,FIND("%",Q578)-FIND("-",Q578,FIND("L=",Q578))-1),","),0)&gt;4,"потери &gt; 4 %","")))</f>
      </c>
      <c r="AF578" s="129">
        <f>IF(E578&lt;&gt;"",COUNTIFS($A$3:A578,A578,$E$3:E578,"?*"),IF(OR(A578&lt;&gt;A577,Y578="вручную"),"",AF577))</f>
        <v/>
      </c>
      <c r="AG578" s="129">
        <f t="shared" si="353"/>
        <v/>
      </c>
      <c r="AH578" s="129">
        <f t="shared" si="354"/>
        <v/>
      </c>
      <c r="AI578" s="129">
        <f t="shared" si="355"/>
        <v/>
      </c>
      <c r="AJ578" s="129">
        <f t="shared" si="356"/>
        <v/>
      </c>
      <c r="AK578" s="129">
        <f t="shared" si="357"/>
        <v/>
      </c>
      <c r="AL578" s="129">
        <f t="shared" si="358"/>
        <v/>
      </c>
      <c r="AM578" s="129">
        <f t="shared" si="359"/>
      </c>
      <c r="AN578" s="129">
        <f t="shared" si="360"/>
      </c>
      <c r="AO578" s="129">
        <f t="shared" si="361"/>
        <v/>
      </c>
      <c r="AP578" s="129">
        <f t="shared" si="362"/>
        <v/>
      </c>
      <c r="AQ578" s="129">
        <f t="shared" si="363"/>
        <v/>
      </c>
      <c r="AR578" s="129">
        <f t="shared" si="364"/>
        <v/>
      </c>
      <c r="AS578" s="129">
        <f t="shared" si="365"/>
        <v/>
      </c>
      <c r="AT578" s="129">
        <f t="shared" si="366"/>
        <v/>
      </c>
      <c r="AU578" s="129">
        <f t="shared" si="367"/>
        <v/>
      </c>
      <c r="AV578" s="129">
        <f t="shared" si="368"/>
        <v/>
      </c>
      <c r="AW578" s="129">
        <f>IF(AV578="","",AV578&amp;"."&amp;COUNTIFS($A$3:A578,A578,$AV$3:AV578,AV578))</f>
        <v/>
      </c>
      <c r="AX578" s="129">
        <f t="shared" si="369"/>
        <v/>
      </c>
      <c r="AY578" s="129">
        <f>IF(N578="б/к",0,IF(OR(ISNUMBER(SEARCH("L=",Разбивка_по_щитам!P578)),N578="+",N578="="),1,0))</f>
      </c>
      <c r="AZ578" s="129">
        <f t="shared" si="370"/>
        <v/>
      </c>
      <c r="BA578" s="129">
        <f t="shared" si="371"/>
      </c>
      <c r="BB578" s="129">
        <f t="shared" si="372"/>
      </c>
      <c r="BD578" s="129">
        <f t="shared" si="373"/>
      </c>
      <c r="BE578" s="129">
        <f t="shared" si="374"/>
      </c>
      <c r="BF578" s="129">
        <f t="shared" si="375"/>
      </c>
      <c r="BG578" s="129">
        <f t="shared" si="376"/>
        <v/>
      </c>
      <c r="BH578" s="129">
        <f t="shared" si="377"/>
        <v/>
      </c>
      <c r="BI578" s="129">
        <f t="shared" si="378"/>
        <v/>
      </c>
      <c r="BJ578" s="129">
        <f t="shared" si="379"/>
        <v/>
      </c>
      <c r="BK578" s="129">
        <f>IF(R578="","",IF(OR(BY578="",BY578=0),"BOX",IFERROR(IF(VLOOKUP(BY578,УГО_блоки,3,FALSE)&amp;""&lt;&gt;"",VLOOKUP(BY578,УГО_блоки,3,FALSE),VLOOKUP(BY578,УГО_блоки,2,FALSE)),BY578)))</f>
      </c>
      <c r="BL578" s="129">
        <f t="shared" si="381"/>
      </c>
      <c r="BM578" s="129">
        <f>IF(H578="","",IF(COUNTIF($H$3:H578,H578)=1,MAX($BM$2:BM577)+1,""))</f>
      </c>
      <c r="BN578" s="129">
        <f>IF(I578="","",IF(COUNTIF($I$3:I578,I578)+COUNTIF($J$2:J577,I578)+COUNTIF($K$2:K577,I578)=1,MAX($BN$2:BP577)+1,""))</f>
      </c>
      <c r="BO578" s="129">
        <f>IF(J578="","",IF(COUNTIF($I$3:I578,J578)+COUNTIF($J$3:J578,J578)+COUNTIF($K$2:K577,J578)=1,MAX($BN$2:BP577,BN578)+1,""))</f>
      </c>
      <c r="BP578" s="129">
        <f>IF(K578="","",IF(COUNTIF($I$3:I578,K578)+COUNTIF($J$3:J578,K578)+COUNTIF($K$3:K578,K578)=1,MAX($BN$2:BP577,BN578,BO578)+1,""))</f>
      </c>
      <c r="BQ578" s="129">
        <f>IF(AY578=1,IFERROR(MID(Q578,FIND(" (",Q578)+2,FIND(")",Q578,FIND(" (",Q578))-FIND(" (",Q578)-2),"?"),"")</f>
      </c>
      <c r="BR578" s="129">
        <f>IF(BQ578="","",IF(COUNTIF($BQ$3:BQ578,BQ578)=1,MAX($BR$2:BR577)+1,""))</f>
      </c>
      <c r="BS578" s="129">
        <f>IF(AW578="","",COUNTIF($AW$3:AW578,"?*"))</f>
      </c>
      <c r="BT578" s="129">
        <f>IF(OR(AW578="",AI578=""),"",IF(COUNTIFS($AW$3:AW578,"?*",$AI$3:AI578,AI578)=1,MAX($BT$2:BT577)+1,""))</f>
      </c>
      <c r="BU578" s="129">
        <f>IF(AE578="",0,IF(OR(ISNUMBER(SEARCH("дубль",AE578)),ISNUMBER(SEARCH("ПЕРЕГРУЗ",AE578)),ISNUMBER(SEARCH("ЗАЩИЩ",AE578)),ISNUMBER(SEARCH("КАНАЛ",AE578)),ISNUMBER(SEARCH("без 30",AE578))),2,1))</f>
      </c>
      <c r="BV578" s="129">
        <f>IF(R578="","",COUNTIF($R$3:R578,"?*"))</f>
      </c>
      <c r="BW578" s="129">
        <f>IF(AY578&lt;&gt;1,0,IF(MAX(IFERROR(--VLOOKUP(R578,УГО_спр,5,FALSE),0),IFERROR(--VLOOKUP(AL578,УГО_спр,5,FALSE),0),IFERROR(--VLOOKUP(LEFT(AL578,2),УГО_спр,5,FALSE),0))&gt;0,MAX(IFERROR(--VLOOKUP(R578,УГО_спр,5,FALSE),0),IFERROR(--VLOOKUP(AL578,УГО_спр,5,FALSE),0),IFERROR(--VLOOKUP(LEFT(AL578,2),УГО_спр,5,FALSE),0)),IF(IFERROR(--LEFT(SUBSTITUTE(BQ578,"x","х"),FIND("х",SUBSTITUTE(BQ578,"x","х"))-1),3)&gt;3,Каталог!$S$9,1)))</f>
      </c>
      <c r="BX578" s="129">
        <f>IF(AY578&lt;&gt;1,0,MAX(0,IFERROR(--LEFT(SUBSTITUTE(BQ578,"x","х"),FIND("х",SUBSTITUTE(BQ578,"x","х"))-1),3)-3*BW578))</f>
      </c>
      <c r="BY578" s="129">
        <f>IF(R578="","",IFERROR(VLOOKUP(R578,УГО_спр,2,FALSE),IFERROR(VLOOKUP(AL578,УГО_спр,2,FALSE),IFERROR(VLOOKUP(LEFT(AL578,2),УГО_спр,2,FALSE),""))))</f>
      </c>
    </row>
    <row r="579" spans="1:64" x14ac:dyDescent="0.3">
      <c r="A579" s="135">
        <f>IF(Разбивка_по_щитам!F579=0,"",Разбивка_по_щитам!F579)</f>
        <v/>
      </c>
      <c r="B579" s="138">
        <f>IF(A579="","",Разбивка_по_щитам!C579)</f>
        <v/>
      </c>
      <c r="C579" s="138">
        <f t="shared" ref="C579:C642" si="382">IF(B579="","",INT((B579-1)/Столбцов_на_лист)+1)</f>
        <v/>
      </c>
      <c r="D579" s="266"/>
      <c r="E579" s="266"/>
      <c r="F579" s="267"/>
      <c r="G579" s="145">
        <f t="shared" ref="G579:G642" si="383">IF(OR(R579&lt;&gt;"",O579&lt;&gt;"",AY579=1),AG579,"")</f>
        <v/>
      </c>
      <c r="H579" s="145">
        <f t="shared" ref="H579:H642" si="384">IF(E579="","",IF(AND(E579&lt;&gt;"авто",E579&lt;&gt;"+"),E579,AT579&amp;" С"&amp;AQ579&amp;"А"&amp;IF(AS579=1," 30мА","")))</f>
        <v/>
      </c>
      <c r="I579" s="266"/>
      <c r="J579" s="267"/>
      <c r="K579" s="267"/>
      <c r="L579" s="266"/>
      <c r="M579" s="147">
        <f t="shared" ref="M579:M642" si="385">IF(OR(O579&lt;&gt;"",AND(L579&lt;&gt;"",L579&lt;&gt;"-")),AH579,"")</f>
        <v/>
      </c>
      <c r="N579" s="267"/>
      <c r="O579" s="147">
        <f t="shared" ref="O579:O642" si="386">IF(N579="=",AX578,IF(ISNUMBER(N579),N579,IF(AH579="","",IF(OR(R579&lt;&gt;"",N579="+",N579="р"),IF(OR(AW579&lt;&gt;"",AX578=""),1,AX578+1),""))))</f>
        <v/>
      </c>
      <c r="P579" s="268">
        <f>IF(AY579=1,"XT"&amp;COUNTIFS($A$3:A579,A579,$AY$3:AY579,1),"")</f>
        <v/>
      </c>
      <c r="Q579" s="152">
        <f>IF(R579="","",IFERROR(SUBSTITUTE(Разбивка_по_щитам!P579,CHAR(10)," "),""))</f>
        <v/>
      </c>
      <c r="R579" s="153">
        <f>IF(OR(Разбивка_по_щитам!H579="",Разбивка_по_щитам!H579=0),"",Разбивка_по_щитам!H579)</f>
        <v/>
      </c>
      <c r="S579" s="154">
        <f>IF(R579="","",IFERROR(Разбивка_по_щитам!J579&amp;"",""))</f>
        <v/>
      </c>
      <c r="T579" s="155">
        <f>IF(R579="","",IFERROR(--Разбивка_по_щитам!L579,""))</f>
        <v/>
      </c>
      <c r="U579" s="155">
        <f>IF(R579="","",IFERROR(--Разбивка_по_щитам!K579,""))</f>
        <v/>
      </c>
      <c r="V579" s="138">
        <f>IF(R579="","",IFERROR(IF(Разбивка_по_щитам!M579=0,"",Разбивка_по_щитам!M579),""))</f>
        <v/>
      </c>
      <c r="W579" s="156">
        <f t="shared" ref="W579:W642" si="387">IF(E579="","",IF(NOT(ISNUMBER(AU579)),"",IF(Z579&gt;AU579,"ПЕРЕГРУЗ",IF(AND(BA579=0,AP579&gt;0,AU579&gt;AP579),"КАБЕЛЬ НЕ ЗАЩИЩЁН","ok"))))</f>
        <v/>
      </c>
      <c r="X579" s="157">
        <f t="shared" ref="X579:X642" si="388">IF(OR(O579="",AH579=""),"",IF(O579&gt;IFERROR(VLOOKUP(AI579,Модули_спр,3,FALSE),99),"ЛИШНИЙ КАНАЛ",IF(AND(N579&lt;&gt;"=",COUNTIFS($AH$3:$AH$1000,AH579,$O$3:$O$1000,O579,$N$3:$N$1000,"&lt;&gt;=")&gt;1),"ДУБЛЬ КАНАЛА","")))</f>
        <v/>
      </c>
      <c r="Y579" s="266"/>
      <c r="Z579" s="158">
        <f t="shared" ref="Z579:Z642" si="389">IF(E579="","",SUMIFS($U$3:$U$1000,$AF$3:$AF$1000,AF579,$A$3:$A$1000,A579,$AN$3:$AN$1000,0))</f>
        <v/>
      </c>
      <c r="AA579" s="160">
        <f t="shared" ref="AA579:AA642" si="390">IF(E579="","",IFERROR(VLOOKUP(Z579,Автомат_номиналы,2,TRUE),""))</f>
        <v/>
      </c>
      <c r="AB579" s="160">
        <f>IF(R579="","",IFERROR(LOOKUP(INDEX(Справочная!$I$4:$I$19,MATCH(VLOOKUP(R579,Исходные_данные,22,FALSE),Справочная!$J$4:$J$19,0)+1),{6,10,16,20,25,32,40,50,63,80,100,125}),""))</f>
        <v/>
      </c>
      <c r="AC579" s="160">
        <f t="shared" ref="AC579:AC642" si="391">IF(M579="","",AI579)</f>
        <v/>
      </c>
      <c r="AD579" s="161">
        <f t="shared" ref="AD579:AD642" si="392">IF(AND(R579="",O579="",P579=""),"",_xlfn.TEXTJOIN(" → ",TRUE,AG579,AZ579,IF(AH579&lt;&gt;"",AH579&amp;IF(O579&lt;&gt;""," к."&amp;O579,""),IF(O579&lt;&gt;"","к."&amp;O579,"")),P579,IF(AN579=1,"(в кабель выше)","")))</f>
        <v/>
      </c>
      <c r="AE579" s="161">
        <f>IF(AND(R579="",G579=""),"",_xlfn.TEXTJOIN("; ",TRUE,IF(AND(R579&lt;&gt;"",V579=""),"нет фазы",""),IF(AND(R579&lt;&gt;"",N(T579)=0),"нет мощности",""),IF(AND(P579&lt;&gt;"",COUNTIFS($A$3:$A$1000,A579,$P$3:$P$1000,P579)&gt;1),"дубль клеммы "&amp;P579,""),IF(AND(W579&lt;&gt;"",W579&lt;&gt;"ok"),W579,""),IF(X579&lt;&gt;"",X579,""),IF(AND(ISNUMBER(SEARCH("(5х",Q579)),N(AK579)=1),"5 жил на 1 фазе",""),IF(AND(AL579="R",E579&lt;&gt;"",N(AS579)=0),"розетка без 30 мА",""),IF(IFERROR(_xlfn.NUMBERVALUE(MID(Q579,FIND("-",Q579,FIND("L=",Q579))+1,FIND("%",Q579)-FIND("-",Q579,FIND("L=",Q579))-1),","),0)&gt;4,"потери &gt; 4 %","")))</f>
      </c>
      <c r="AF579" s="129">
        <f>IF(E579&lt;&gt;"",COUNTIFS($A$3:A579,A579,$E$3:E579,"?*"),IF(OR(A579&lt;&gt;A578,Y579="вручную"),"",AF578))</f>
        <v/>
      </c>
      <c r="AG579" s="129">
        <f t="shared" ref="AG579:AG642" si="393">IF(AJ579&lt;&gt;"",AJ579,IF(OR(A579&lt;&gt;A578,Y579="вручную"),"",AG578))</f>
        <v/>
      </c>
      <c r="AH579" s="129">
        <f t="shared" ref="AH579:AH642" si="394">IF(L579="-","",IF(AW579&lt;&gt;"",AW579,IF(A579&lt;&gt;A578,"",AH578)))</f>
        <v/>
      </c>
      <c r="AI579" s="129">
        <f t="shared" ref="AI579:AI642" si="395">IF(AH579="","",IF(AND(L579&lt;&gt;"",L579&lt;&gt;"-"),L579,AI578))</f>
        <v/>
      </c>
      <c r="AJ579" s="129">
        <f t="shared" ref="AJ579:AJ642" si="396">IF(E579="","",IF(AS579=1,"QFD","QF")&amp;AF579)</f>
        <v/>
      </c>
      <c r="AK579" s="129">
        <f t="shared" ref="AK579:AK642" si="397">IF(R579="","",IFERROR(--VLOOKUP(R579,Исходные_данные,8,FALSE),1))</f>
        <v/>
      </c>
      <c r="AL579" s="129">
        <f t="shared" ref="AL579:AL642" si="398">IF(R579="","",IFERROR(LEFT(R579,FIND(".",R579)-1),R579))</f>
        <v/>
      </c>
      <c r="AM579" s="129">
        <f t="shared" ref="AM579:AM642" si="399">IF(AL579="",0,IFERROR(IF(VLOOKUP(R579,УГО_спр,3,FALSE)="да",1,0),IFERROR(IF(VLOOKUP(AL579,УГО_спр,3,FALSE)="да",1,0),IFERROR(IF(VLOOKUP(LEFT(AL579,2),УГО_спр,3,FALSE)="да",1,0),0))))</f>
      </c>
      <c r="AN579" s="129">
        <f t="shared" ref="AN579:AN642" si="400">IF(OR(N579="+",AND(R579&lt;&gt;"",R579=R578)),1,0)</f>
      </c>
      <c r="AO579" s="129">
        <f t="shared" ref="AO579:AO642" si="401">IF(E579="","",MAX(N(AA579),_xlfn.MAXIFS($BB$3:$BB$1000,$AF$3:$AF$1000,AF579,$A$3:$A$1000,A579)))</f>
        <v/>
      </c>
      <c r="AP579" s="129">
        <f t="shared" ref="AP579:AP642" si="402">IF(E579="","",_xlfn.MINIFS($AB$3:$AB$1000,$AF$3:$AF$1000,AF579,$A$3:$A$1000,A579))</f>
        <v/>
      </c>
      <c r="AQ579" s="129">
        <f t="shared" ref="AQ579:AQ642" si="403">IF(E579="","",IF(BA579=1,MAX(AO579,Мин_автомат_БП),AO579))</f>
        <v/>
      </c>
      <c r="AR579" s="129">
        <f t="shared" ref="AR579:AR642" si="404">IF(E579="","",MAX(1,_xlfn.MAXIFS($AK$3:$AK$1000,$AF$3:$AF$1000,AF579,$A$3:$A$1000,A579)))</f>
        <v/>
      </c>
      <c r="AS579" s="129">
        <f t="shared" ref="AS579:AS642" si="405">IF(E579="","",IF(AND(E579&lt;&gt;"авто",E579&lt;&gt;"+"),IF(ISNUMBER(SEARCH("мА",E579)),1,0),IF(F579="да",1,IF(F579="нет",0,IF(_xlfn.MAXIFS($AM$3:$AM$1000,$AF$3:$AF$1000,AF579,$A$3:$A$1000,A579)&gt;0,1,0)))))</f>
        <v/>
      </c>
      <c r="AT579" s="129">
        <f t="shared" ref="AT579:AT642" si="406">IF(E579="","",IF(AR579&gt;=3,IF(AS579=1,"4P","3P"),IF(AS579=1,"2P","1P")))</f>
        <v/>
      </c>
      <c r="AU579" s="129">
        <f t="shared" ref="AU579:AU642" si="407">IF(H579="","",IFERROR(--MID(SUBSTITUTE(SUBSTITUTE(UPPER(H579),"С","C"),"А","A"),FIND("C",SUBSTITUTE(SUBSTITUTE(UPPER(H579),"С","C"),"А","A"))+1,FIND("A",SUBSTITUTE(SUBSTITUTE(UPPER(H579),"С","C"),"А","A")&amp;"A",FIND("C",SUBSTITUTE(SUBSTITUTE(UPPER(H579),"С","C"),"А","A")))-FIND("C",SUBSTITUTE(SUBSTITUTE(UPPER(H579),"С","C"),"А","A"))-1),""))</f>
        <v/>
      </c>
      <c r="AV579" s="129">
        <f t="shared" ref="AV579:AV642" si="408">IF(OR(L579="",L579="-"),"",IFERROR(VLOOKUP(L579,Модули_спр,2,FALSE),"R"))</f>
        <v/>
      </c>
      <c r="AW579" s="129">
        <f>IF(AV579="","",AV579&amp;"."&amp;COUNTIFS($A$3:A579,A579,$AV$3:AV579,AV579))</f>
        <v/>
      </c>
      <c r="AX579" s="129">
        <f t="shared" ref="AX579:AX642" si="409">IF(O579&lt;&gt;"",O579,IF(OR(A579&lt;&gt;A578,L579="-",AW579&lt;&gt;""),"",AX578))</f>
        <v/>
      </c>
      <c r="AY579" s="129">
        <f>IF(N579="б/к",0,IF(OR(ISNUMBER(SEARCH("L=",Разбивка_по_щитам!P579)),N579="+",N579="="),1,0))</f>
      </c>
      <c r="AZ579" s="129">
        <f t="shared" ref="AZ579:AZ642" si="410">IF(AJ579&lt;&gt;"",_xlfn.TEXTJOIN(" → ",TRUE,I579,J579,K579),IF(AG579="","",AZ578))</f>
        <v/>
      </c>
      <c r="BA579" s="129">
        <f t="shared" ref="BA579:BA642" si="411">IF(AZ579="",0,IF(OR(LEFT(AZ579,2)="T ",LEFT(AZ579,2)="Т ",ISNUMBER(SEARCH("→ T ",AZ579)),ISNUMBER(SEARCH("→ Т ",AZ579)),ISNUMBER(SEARCH("БП",AZ579))),1,0))</f>
      </c>
      <c r="BB579" s="129">
        <f t="shared" ref="BB579:BB642" si="412">IF(R579="",0,MAX(IFERROR(--VLOOKUP(R579,Исходные_данные,18,FALSE),0),IFERROR(--VLOOKUP(R579,УГО_спр,4,FALSE),IFERROR(--VLOOKUP(AL579,УГО_спр,4,FALSE),IFERROR(--VLOOKUP(LEFT(AL579,2),УГО_спр,4,FALSE),0)))))</f>
      </c>
      <c r="BD579" s="129">
        <f t="shared" ref="BD579:BD642" si="413">IF(Y579="вручную",0,1)</f>
      </c>
      <c r="BE579" s="129">
        <f t="shared" ref="BE579:BE642" si="414">IF(D579="",0,1)</f>
      </c>
      <c r="BF579" s="129">
        <f t="shared" ref="BF579:BF642" si="415">IF(AJ579="",0,IF(LEFT(AJ579,3)="QFD",1,0))</f>
      </c>
      <c r="BG579" s="129">
        <f t="shared" ref="BG579:BG642" si="416">IF(N579="=","=",IF(N579="+","+",IF(N579="р","R","")))</f>
        <v/>
      </c>
      <c r="BH579" s="129">
        <f t="shared" ref="BH579:BH642" si="417">IF(I579="","",IF(OR(LEFT(I579,1)="T",LEFT(I579,1)="Т"),"T",IF(LEFT(UPPER(I579),2)="БП","PS",IF(OR(LEFT(UPPER(I579),2)="МК",LEFT(UPPER(I579),2)="MK"),"MK",IF(OR(LEFT(UPPER(I579),2)="КМ",LEFT(UPPER(I579),2)="KM"),"KM","X")))))</f>
        <v/>
      </c>
      <c r="BI579" s="129">
        <f t="shared" ref="BI579:BI642" si="418">IF(J579="","",IF(OR(LEFT(J579,1)="T",LEFT(J579,1)="Т"),"T",IF(LEFT(UPPER(J579),2)="БП","PS",IF(OR(LEFT(UPPER(J579),2)="МК",LEFT(UPPER(J579),2)="MK"),"MK",IF(OR(LEFT(UPPER(J579),2)="КМ",LEFT(UPPER(J579),2)="KM"),"KM","X")))))</f>
        <v/>
      </c>
      <c r="BJ579" s="129">
        <f t="shared" ref="BJ579:BJ642" si="419">IF(K579="","",IF(OR(LEFT(K579,1)="T",LEFT(K579,1)="Т"),"T",IF(LEFT(UPPER(K579),2)="БП","PS",IF(OR(LEFT(UPPER(K579),2)="МК",LEFT(UPPER(K579),2)="MK"),"MK",IF(OR(LEFT(UPPER(K579),2)="КМ",LEFT(UPPER(K579),2)="KM"),"KM","X")))))</f>
        <v/>
      </c>
      <c r="BK579" s="129">
        <f>IF(R579="","",IF(OR(BY579="",BY579=0),"BOX",IFERROR(IF(VLOOKUP(BY579,УГО_блоки,3,FALSE)&amp;""&lt;&gt;"",VLOOKUP(BY579,УГО_блоки,3,FALSE),VLOOKUP(BY579,УГО_блоки,2,FALSE)),BY579)))</f>
      </c>
      <c r="BL579" s="129">
        <f t="shared" ref="BL579:BL642" si="421">IF(R579="",0,1)</f>
      </c>
      <c r="BM579" s="129">
        <f>IF(H579="","",IF(COUNTIF($H$3:H579,H579)=1,MAX($BM$2:BM578)+1,""))</f>
      </c>
      <c r="BN579" s="129">
        <f>IF(I579="","",IF(COUNTIF($I$3:I579,I579)+COUNTIF($J$2:J578,I579)+COUNTIF($K$2:K578,I579)=1,MAX($BN$2:BP578)+1,""))</f>
      </c>
      <c r="BO579" s="129">
        <f>IF(J579="","",IF(COUNTIF($I$3:I579,J579)+COUNTIF($J$3:J579,J579)+COUNTIF($K$2:K578,J579)=1,MAX($BN$2:BP578,BN579)+1,""))</f>
      </c>
      <c r="BP579" s="129">
        <f>IF(K579="","",IF(COUNTIF($I$3:I579,K579)+COUNTIF($J$3:J579,K579)+COUNTIF($K$3:K579,K579)=1,MAX($BN$2:BP578,BN579,BO579)+1,""))</f>
      </c>
      <c r="BQ579" s="129">
        <f>IF(AY579=1,IFERROR(MID(Q579,FIND(" (",Q579)+2,FIND(")",Q579,FIND(" (",Q579))-FIND(" (",Q579)-2),"?"),"")</f>
      </c>
      <c r="BR579" s="129">
        <f>IF(BQ579="","",IF(COUNTIF($BQ$3:BQ579,BQ579)=1,MAX($BR$2:BR578)+1,""))</f>
      </c>
      <c r="BS579" s="129">
        <f>IF(AW579="","",COUNTIF($AW$3:AW579,"?*"))</f>
      </c>
      <c r="BT579" s="129">
        <f>IF(OR(AW579="",AI579=""),"",IF(COUNTIFS($AW$3:AW579,"?*",$AI$3:AI579,AI579)=1,MAX($BT$2:BT578)+1,""))</f>
      </c>
      <c r="BU579" s="129">
        <f>IF(AE579="",0,IF(OR(ISNUMBER(SEARCH("дубль",AE579)),ISNUMBER(SEARCH("ПЕРЕГРУЗ",AE579)),ISNUMBER(SEARCH("ЗАЩИЩ",AE579)),ISNUMBER(SEARCH("КАНАЛ",AE579)),ISNUMBER(SEARCH("без 30",AE579))),2,1))</f>
      </c>
      <c r="BV579" s="129">
        <f>IF(R579="","",COUNTIF($R$3:R579,"?*"))</f>
      </c>
      <c r="BW579" s="129">
        <f>IF(AY579&lt;&gt;1,0,IF(MAX(IFERROR(--VLOOKUP(R579,УГО_спр,5,FALSE),0),IFERROR(--VLOOKUP(AL579,УГО_спр,5,FALSE),0),IFERROR(--VLOOKUP(LEFT(AL579,2),УГО_спр,5,FALSE),0))&gt;0,MAX(IFERROR(--VLOOKUP(R579,УГО_спр,5,FALSE),0),IFERROR(--VLOOKUP(AL579,УГО_спр,5,FALSE),0),IFERROR(--VLOOKUP(LEFT(AL579,2),УГО_спр,5,FALSE),0)),IF(IFERROR(--LEFT(SUBSTITUTE(BQ579,"x","х"),FIND("х",SUBSTITUTE(BQ579,"x","х"))-1),3)&gt;3,Каталог!$S$9,1)))</f>
      </c>
      <c r="BX579" s="129">
        <f>IF(AY579&lt;&gt;1,0,MAX(0,IFERROR(--LEFT(SUBSTITUTE(BQ579,"x","х"),FIND("х",SUBSTITUTE(BQ579,"x","х"))-1),3)-3*BW579))</f>
      </c>
      <c r="BY579" s="129">
        <f>IF(R579="","",IFERROR(VLOOKUP(R579,УГО_спр,2,FALSE),IFERROR(VLOOKUP(AL579,УГО_спр,2,FALSE),IFERROR(VLOOKUP(LEFT(AL579,2),УГО_спр,2,FALSE),""))))</f>
      </c>
    </row>
    <row r="580" spans="1:64" x14ac:dyDescent="0.3">
      <c r="A580" s="135">
        <f>IF(Разбивка_по_щитам!F580=0,"",Разбивка_по_щитам!F580)</f>
        <v/>
      </c>
      <c r="B580" s="138">
        <f>IF(A580="","",Разбивка_по_щитам!C580)</f>
        <v/>
      </c>
      <c r="C580" s="138">
        <f t="shared" si="382"/>
        <v/>
      </c>
      <c r="D580" s="266"/>
      <c r="E580" s="266"/>
      <c r="F580" s="267"/>
      <c r="G580" s="145">
        <f t="shared" si="383"/>
        <v/>
      </c>
      <c r="H580" s="145">
        <f t="shared" si="384"/>
        <v/>
      </c>
      <c r="I580" s="266"/>
      <c r="J580" s="267"/>
      <c r="K580" s="267"/>
      <c r="L580" s="266"/>
      <c r="M580" s="147">
        <f t="shared" si="385"/>
        <v/>
      </c>
      <c r="N580" s="267"/>
      <c r="O580" s="147">
        <f t="shared" si="386"/>
        <v/>
      </c>
      <c r="P580" s="268">
        <f>IF(AY580=1,"XT"&amp;COUNTIFS($A$3:A580,A580,$AY$3:AY580,1),"")</f>
        <v/>
      </c>
      <c r="Q580" s="152">
        <f>IF(R580="","",IFERROR(SUBSTITUTE(Разбивка_по_щитам!P580,CHAR(10)," "),""))</f>
        <v/>
      </c>
      <c r="R580" s="153">
        <f>IF(OR(Разбивка_по_щитам!H580="",Разбивка_по_щитам!H580=0),"",Разбивка_по_щитам!H580)</f>
        <v/>
      </c>
      <c r="S580" s="154">
        <f>IF(R580="","",IFERROR(Разбивка_по_щитам!J580&amp;"",""))</f>
        <v/>
      </c>
      <c r="T580" s="155">
        <f>IF(R580="","",IFERROR(--Разбивка_по_щитам!L580,""))</f>
        <v/>
      </c>
      <c r="U580" s="155">
        <f>IF(R580="","",IFERROR(--Разбивка_по_щитам!K580,""))</f>
        <v/>
      </c>
      <c r="V580" s="138">
        <f>IF(R580="","",IFERROR(IF(Разбивка_по_щитам!M580=0,"",Разбивка_по_щитам!M580),""))</f>
        <v/>
      </c>
      <c r="W580" s="156">
        <f t="shared" si="387"/>
        <v/>
      </c>
      <c r="X580" s="157">
        <f t="shared" si="388"/>
        <v/>
      </c>
      <c r="Y580" s="266"/>
      <c r="Z580" s="158">
        <f t="shared" si="389"/>
        <v/>
      </c>
      <c r="AA580" s="160">
        <f t="shared" si="390"/>
        <v/>
      </c>
      <c r="AB580" s="160">
        <f>IF(R580="","",IFERROR(LOOKUP(INDEX(Справочная!$I$4:$I$19,MATCH(VLOOKUP(R580,Исходные_данные,22,FALSE),Справочная!$J$4:$J$19,0)+1),{6,10,16,20,25,32,40,50,63,80,100,125}),""))</f>
        <v/>
      </c>
      <c r="AC580" s="160">
        <f t="shared" si="391"/>
        <v/>
      </c>
      <c r="AD580" s="161">
        <f t="shared" si="392"/>
        <v/>
      </c>
      <c r="AE580" s="161">
        <f>IF(AND(R580="",G580=""),"",_xlfn.TEXTJOIN("; ",TRUE,IF(AND(R580&lt;&gt;"",V580=""),"нет фазы",""),IF(AND(R580&lt;&gt;"",N(T580)=0),"нет мощности",""),IF(AND(P580&lt;&gt;"",COUNTIFS($A$3:$A$1000,A580,$P$3:$P$1000,P580)&gt;1),"дубль клеммы "&amp;P580,""),IF(AND(W580&lt;&gt;"",W580&lt;&gt;"ok"),W580,""),IF(X580&lt;&gt;"",X580,""),IF(AND(ISNUMBER(SEARCH("(5х",Q580)),N(AK580)=1),"5 жил на 1 фазе",""),IF(AND(AL580="R",E580&lt;&gt;"",N(AS580)=0),"розетка без 30 мА",""),IF(IFERROR(_xlfn.NUMBERVALUE(MID(Q580,FIND("-",Q580,FIND("L=",Q580))+1,FIND("%",Q580)-FIND("-",Q580,FIND("L=",Q580))-1),","),0)&gt;4,"потери &gt; 4 %","")))</f>
      </c>
      <c r="AF580" s="129">
        <f>IF(E580&lt;&gt;"",COUNTIFS($A$3:A580,A580,$E$3:E580,"?*"),IF(OR(A580&lt;&gt;A579,Y580="вручную"),"",AF579))</f>
        <v/>
      </c>
      <c r="AG580" s="129">
        <f t="shared" si="393"/>
        <v/>
      </c>
      <c r="AH580" s="129">
        <f t="shared" si="394"/>
        <v/>
      </c>
      <c r="AI580" s="129">
        <f t="shared" si="395"/>
        <v/>
      </c>
      <c r="AJ580" s="129">
        <f t="shared" si="396"/>
        <v/>
      </c>
      <c r="AK580" s="129">
        <f t="shared" si="397"/>
        <v/>
      </c>
      <c r="AL580" s="129">
        <f t="shared" si="398"/>
        <v/>
      </c>
      <c r="AM580" s="129">
        <f t="shared" si="399"/>
      </c>
      <c r="AN580" s="129">
        <f t="shared" si="400"/>
      </c>
      <c r="AO580" s="129">
        <f t="shared" si="401"/>
        <v/>
      </c>
      <c r="AP580" s="129">
        <f t="shared" si="402"/>
        <v/>
      </c>
      <c r="AQ580" s="129">
        <f t="shared" si="403"/>
        <v/>
      </c>
      <c r="AR580" s="129">
        <f t="shared" si="404"/>
        <v/>
      </c>
      <c r="AS580" s="129">
        <f t="shared" si="405"/>
        <v/>
      </c>
      <c r="AT580" s="129">
        <f t="shared" si="406"/>
        <v/>
      </c>
      <c r="AU580" s="129">
        <f t="shared" si="407"/>
        <v/>
      </c>
      <c r="AV580" s="129">
        <f t="shared" si="408"/>
        <v/>
      </c>
      <c r="AW580" s="129">
        <f>IF(AV580="","",AV580&amp;"."&amp;COUNTIFS($A$3:A580,A580,$AV$3:AV580,AV580))</f>
        <v/>
      </c>
      <c r="AX580" s="129">
        <f t="shared" si="409"/>
        <v/>
      </c>
      <c r="AY580" s="129">
        <f>IF(N580="б/к",0,IF(OR(ISNUMBER(SEARCH("L=",Разбивка_по_щитам!P580)),N580="+",N580="="),1,0))</f>
      </c>
      <c r="AZ580" s="129">
        <f t="shared" si="410"/>
        <v/>
      </c>
      <c r="BA580" s="129">
        <f t="shared" si="411"/>
      </c>
      <c r="BB580" s="129">
        <f t="shared" si="412"/>
      </c>
      <c r="BD580" s="129">
        <f t="shared" si="413"/>
      </c>
      <c r="BE580" s="129">
        <f t="shared" si="414"/>
      </c>
      <c r="BF580" s="129">
        <f t="shared" si="415"/>
      </c>
      <c r="BG580" s="129">
        <f t="shared" si="416"/>
        <v/>
      </c>
      <c r="BH580" s="129">
        <f t="shared" si="417"/>
        <v/>
      </c>
      <c r="BI580" s="129">
        <f t="shared" si="418"/>
        <v/>
      </c>
      <c r="BJ580" s="129">
        <f t="shared" si="419"/>
        <v/>
      </c>
      <c r="BK580" s="129">
        <f>IF(R580="","",IF(OR(BY580="",BY580=0),"BOX",IFERROR(IF(VLOOKUP(BY580,УГО_блоки,3,FALSE)&amp;""&lt;&gt;"",VLOOKUP(BY580,УГО_блоки,3,FALSE),VLOOKUP(BY580,УГО_блоки,2,FALSE)),BY580)))</f>
      </c>
      <c r="BL580" s="129">
        <f t="shared" si="421"/>
      </c>
      <c r="BM580" s="129">
        <f>IF(H580="","",IF(COUNTIF($H$3:H580,H580)=1,MAX($BM$2:BM579)+1,""))</f>
      </c>
      <c r="BN580" s="129">
        <f>IF(I580="","",IF(COUNTIF($I$3:I580,I580)+COUNTIF($J$2:J579,I580)+COUNTIF($K$2:K579,I580)=1,MAX($BN$2:BP579)+1,""))</f>
      </c>
      <c r="BO580" s="129">
        <f>IF(J580="","",IF(COUNTIF($I$3:I580,J580)+COUNTIF($J$3:J580,J580)+COUNTIF($K$2:K579,J580)=1,MAX($BN$2:BP579,BN580)+1,""))</f>
      </c>
      <c r="BP580" s="129">
        <f>IF(K580="","",IF(COUNTIF($I$3:I580,K580)+COUNTIF($J$3:J580,K580)+COUNTIF($K$3:K580,K580)=1,MAX($BN$2:BP579,BN580,BO580)+1,""))</f>
      </c>
      <c r="BQ580" s="129">
        <f>IF(AY580=1,IFERROR(MID(Q580,FIND(" (",Q580)+2,FIND(")",Q580,FIND(" (",Q580))-FIND(" (",Q580)-2),"?"),"")</f>
      </c>
      <c r="BR580" s="129">
        <f>IF(BQ580="","",IF(COUNTIF($BQ$3:BQ580,BQ580)=1,MAX($BR$2:BR579)+1,""))</f>
      </c>
      <c r="BS580" s="129">
        <f>IF(AW580="","",COUNTIF($AW$3:AW580,"?*"))</f>
      </c>
      <c r="BT580" s="129">
        <f>IF(OR(AW580="",AI580=""),"",IF(COUNTIFS($AW$3:AW580,"?*",$AI$3:AI580,AI580)=1,MAX($BT$2:BT579)+1,""))</f>
      </c>
      <c r="BU580" s="129">
        <f>IF(AE580="",0,IF(OR(ISNUMBER(SEARCH("дубль",AE580)),ISNUMBER(SEARCH("ПЕРЕГРУЗ",AE580)),ISNUMBER(SEARCH("ЗАЩИЩ",AE580)),ISNUMBER(SEARCH("КАНАЛ",AE580)),ISNUMBER(SEARCH("без 30",AE580))),2,1))</f>
      </c>
      <c r="BV580" s="129">
        <f>IF(R580="","",COUNTIF($R$3:R580,"?*"))</f>
      </c>
      <c r="BW580" s="129">
        <f>IF(AY580&lt;&gt;1,0,IF(MAX(IFERROR(--VLOOKUP(R580,УГО_спр,5,FALSE),0),IFERROR(--VLOOKUP(AL580,УГО_спр,5,FALSE),0),IFERROR(--VLOOKUP(LEFT(AL580,2),УГО_спр,5,FALSE),0))&gt;0,MAX(IFERROR(--VLOOKUP(R580,УГО_спр,5,FALSE),0),IFERROR(--VLOOKUP(AL580,УГО_спр,5,FALSE),0),IFERROR(--VLOOKUP(LEFT(AL580,2),УГО_спр,5,FALSE),0)),IF(IFERROR(--LEFT(SUBSTITUTE(BQ580,"x","х"),FIND("х",SUBSTITUTE(BQ580,"x","х"))-1),3)&gt;3,Каталог!$S$9,1)))</f>
      </c>
      <c r="BX580" s="129">
        <f>IF(AY580&lt;&gt;1,0,MAX(0,IFERROR(--LEFT(SUBSTITUTE(BQ580,"x","х"),FIND("х",SUBSTITUTE(BQ580,"x","х"))-1),3)-3*BW580))</f>
      </c>
      <c r="BY580" s="129">
        <f>IF(R580="","",IFERROR(VLOOKUP(R580,УГО_спр,2,FALSE),IFERROR(VLOOKUP(AL580,УГО_спр,2,FALSE),IFERROR(VLOOKUP(LEFT(AL580,2),УГО_спр,2,FALSE),""))))</f>
      </c>
    </row>
    <row r="581" spans="1:64" x14ac:dyDescent="0.3">
      <c r="A581" s="135">
        <f>IF(Разбивка_по_щитам!F581=0,"",Разбивка_по_щитам!F581)</f>
        <v/>
      </c>
      <c r="B581" s="138">
        <f>IF(A581="","",Разбивка_по_щитам!C581)</f>
        <v/>
      </c>
      <c r="C581" s="138">
        <f t="shared" si="382"/>
        <v/>
      </c>
      <c r="D581" s="266"/>
      <c r="E581" s="266"/>
      <c r="F581" s="267"/>
      <c r="G581" s="145">
        <f t="shared" si="383"/>
        <v/>
      </c>
      <c r="H581" s="145">
        <f t="shared" si="384"/>
        <v/>
      </c>
      <c r="I581" s="266"/>
      <c r="J581" s="267"/>
      <c r="K581" s="267"/>
      <c r="L581" s="266"/>
      <c r="M581" s="147">
        <f t="shared" si="385"/>
        <v/>
      </c>
      <c r="N581" s="267"/>
      <c r="O581" s="147">
        <f t="shared" si="386"/>
        <v/>
      </c>
      <c r="P581" s="268">
        <f>IF(AY581=1,"XT"&amp;COUNTIFS($A$3:A581,A581,$AY$3:AY581,1),"")</f>
        <v/>
      </c>
      <c r="Q581" s="152">
        <f>IF(R581="","",IFERROR(SUBSTITUTE(Разбивка_по_щитам!P581,CHAR(10)," "),""))</f>
        <v/>
      </c>
      <c r="R581" s="153">
        <f>IF(OR(Разбивка_по_щитам!H581="",Разбивка_по_щитам!H581=0),"",Разбивка_по_щитам!H581)</f>
        <v/>
      </c>
      <c r="S581" s="154">
        <f>IF(R581="","",IFERROR(Разбивка_по_щитам!J581&amp;"",""))</f>
        <v/>
      </c>
      <c r="T581" s="155">
        <f>IF(R581="","",IFERROR(--Разбивка_по_щитам!L581,""))</f>
        <v/>
      </c>
      <c r="U581" s="155">
        <f>IF(R581="","",IFERROR(--Разбивка_по_щитам!K581,""))</f>
        <v/>
      </c>
      <c r="V581" s="138">
        <f>IF(R581="","",IFERROR(IF(Разбивка_по_щитам!M581=0,"",Разбивка_по_щитам!M581),""))</f>
        <v/>
      </c>
      <c r="W581" s="156">
        <f t="shared" si="387"/>
        <v/>
      </c>
      <c r="X581" s="157">
        <f t="shared" si="388"/>
        <v/>
      </c>
      <c r="Y581" s="266"/>
      <c r="Z581" s="158">
        <f t="shared" si="389"/>
        <v/>
      </c>
      <c r="AA581" s="160">
        <f t="shared" si="390"/>
        <v/>
      </c>
      <c r="AB581" s="160">
        <f>IF(R581="","",IFERROR(LOOKUP(INDEX(Справочная!$I$4:$I$19,MATCH(VLOOKUP(R581,Исходные_данные,22,FALSE),Справочная!$J$4:$J$19,0)+1),{6,10,16,20,25,32,40,50,63,80,100,125}),""))</f>
        <v/>
      </c>
      <c r="AC581" s="160">
        <f t="shared" si="391"/>
        <v/>
      </c>
      <c r="AD581" s="161">
        <f t="shared" si="392"/>
        <v/>
      </c>
      <c r="AE581" s="161">
        <f>IF(AND(R581="",G581=""),"",_xlfn.TEXTJOIN("; ",TRUE,IF(AND(R581&lt;&gt;"",V581=""),"нет фазы",""),IF(AND(R581&lt;&gt;"",N(T581)=0),"нет мощности",""),IF(AND(P581&lt;&gt;"",COUNTIFS($A$3:$A$1000,A581,$P$3:$P$1000,P581)&gt;1),"дубль клеммы "&amp;P581,""),IF(AND(W581&lt;&gt;"",W581&lt;&gt;"ok"),W581,""),IF(X581&lt;&gt;"",X581,""),IF(AND(ISNUMBER(SEARCH("(5х",Q581)),N(AK581)=1),"5 жил на 1 фазе",""),IF(AND(AL581="R",E581&lt;&gt;"",N(AS581)=0),"розетка без 30 мА",""),IF(IFERROR(_xlfn.NUMBERVALUE(MID(Q581,FIND("-",Q581,FIND("L=",Q581))+1,FIND("%",Q581)-FIND("-",Q581,FIND("L=",Q581))-1),","),0)&gt;4,"потери &gt; 4 %","")))</f>
      </c>
      <c r="AF581" s="129">
        <f>IF(E581&lt;&gt;"",COUNTIFS($A$3:A581,A581,$E$3:E581,"?*"),IF(OR(A581&lt;&gt;A580,Y581="вручную"),"",AF580))</f>
        <v/>
      </c>
      <c r="AG581" s="129">
        <f t="shared" si="393"/>
        <v/>
      </c>
      <c r="AH581" s="129">
        <f t="shared" si="394"/>
        <v/>
      </c>
      <c r="AI581" s="129">
        <f t="shared" si="395"/>
        <v/>
      </c>
      <c r="AJ581" s="129">
        <f t="shared" si="396"/>
        <v/>
      </c>
      <c r="AK581" s="129">
        <f t="shared" si="397"/>
        <v/>
      </c>
      <c r="AL581" s="129">
        <f t="shared" si="398"/>
        <v/>
      </c>
      <c r="AM581" s="129">
        <f t="shared" si="399"/>
      </c>
      <c r="AN581" s="129">
        <f t="shared" si="400"/>
      </c>
      <c r="AO581" s="129">
        <f t="shared" si="401"/>
        <v/>
      </c>
      <c r="AP581" s="129">
        <f t="shared" si="402"/>
        <v/>
      </c>
      <c r="AQ581" s="129">
        <f t="shared" si="403"/>
        <v/>
      </c>
      <c r="AR581" s="129">
        <f t="shared" si="404"/>
        <v/>
      </c>
      <c r="AS581" s="129">
        <f t="shared" si="405"/>
        <v/>
      </c>
      <c r="AT581" s="129">
        <f t="shared" si="406"/>
        <v/>
      </c>
      <c r="AU581" s="129">
        <f t="shared" si="407"/>
        <v/>
      </c>
      <c r="AV581" s="129">
        <f t="shared" si="408"/>
        <v/>
      </c>
      <c r="AW581" s="129">
        <f>IF(AV581="","",AV581&amp;"."&amp;COUNTIFS($A$3:A581,A581,$AV$3:AV581,AV581))</f>
        <v/>
      </c>
      <c r="AX581" s="129">
        <f t="shared" si="409"/>
        <v/>
      </c>
      <c r="AY581" s="129">
        <f>IF(N581="б/к",0,IF(OR(ISNUMBER(SEARCH("L=",Разбивка_по_щитам!P581)),N581="+",N581="="),1,0))</f>
      </c>
      <c r="AZ581" s="129">
        <f t="shared" si="410"/>
        <v/>
      </c>
      <c r="BA581" s="129">
        <f t="shared" si="411"/>
      </c>
      <c r="BB581" s="129">
        <f t="shared" si="412"/>
      </c>
      <c r="BD581" s="129">
        <f t="shared" si="413"/>
      </c>
      <c r="BE581" s="129">
        <f t="shared" si="414"/>
      </c>
      <c r="BF581" s="129">
        <f t="shared" si="415"/>
      </c>
      <c r="BG581" s="129">
        <f t="shared" si="416"/>
        <v/>
      </c>
      <c r="BH581" s="129">
        <f t="shared" si="417"/>
        <v/>
      </c>
      <c r="BI581" s="129">
        <f t="shared" si="418"/>
        <v/>
      </c>
      <c r="BJ581" s="129">
        <f t="shared" si="419"/>
        <v/>
      </c>
      <c r="BK581" s="129">
        <f>IF(R581="","",IF(OR(BY581="",BY581=0),"BOX",IFERROR(IF(VLOOKUP(BY581,УГО_блоки,3,FALSE)&amp;""&lt;&gt;"",VLOOKUP(BY581,УГО_блоки,3,FALSE),VLOOKUP(BY581,УГО_блоки,2,FALSE)),BY581)))</f>
      </c>
      <c r="BL581" s="129">
        <f t="shared" si="421"/>
      </c>
      <c r="BM581" s="129">
        <f>IF(H581="","",IF(COUNTIF($H$3:H581,H581)=1,MAX($BM$2:BM580)+1,""))</f>
      </c>
      <c r="BN581" s="129">
        <f>IF(I581="","",IF(COUNTIF($I$3:I581,I581)+COUNTIF($J$2:J580,I581)+COUNTIF($K$2:K580,I581)=1,MAX($BN$2:BP580)+1,""))</f>
      </c>
      <c r="BO581" s="129">
        <f>IF(J581="","",IF(COUNTIF($I$3:I581,J581)+COUNTIF($J$3:J581,J581)+COUNTIF($K$2:K580,J581)=1,MAX($BN$2:BP580,BN581)+1,""))</f>
      </c>
      <c r="BP581" s="129">
        <f>IF(K581="","",IF(COUNTIF($I$3:I581,K581)+COUNTIF($J$3:J581,K581)+COUNTIF($K$3:K581,K581)=1,MAX($BN$2:BP580,BN581,BO581)+1,""))</f>
      </c>
      <c r="BQ581" s="129">
        <f>IF(AY581=1,IFERROR(MID(Q581,FIND(" (",Q581)+2,FIND(")",Q581,FIND(" (",Q581))-FIND(" (",Q581)-2),"?"),"")</f>
      </c>
      <c r="BR581" s="129">
        <f>IF(BQ581="","",IF(COUNTIF($BQ$3:BQ581,BQ581)=1,MAX($BR$2:BR580)+1,""))</f>
      </c>
      <c r="BS581" s="129">
        <f>IF(AW581="","",COUNTIF($AW$3:AW581,"?*"))</f>
      </c>
      <c r="BT581" s="129">
        <f>IF(OR(AW581="",AI581=""),"",IF(COUNTIFS($AW$3:AW581,"?*",$AI$3:AI581,AI581)=1,MAX($BT$2:BT580)+1,""))</f>
      </c>
      <c r="BU581" s="129">
        <f>IF(AE581="",0,IF(OR(ISNUMBER(SEARCH("дубль",AE581)),ISNUMBER(SEARCH("ПЕРЕГРУЗ",AE581)),ISNUMBER(SEARCH("ЗАЩИЩ",AE581)),ISNUMBER(SEARCH("КАНАЛ",AE581)),ISNUMBER(SEARCH("без 30",AE581))),2,1))</f>
      </c>
      <c r="BV581" s="129">
        <f>IF(R581="","",COUNTIF($R$3:R581,"?*"))</f>
      </c>
      <c r="BW581" s="129">
        <f>IF(AY581&lt;&gt;1,0,IF(MAX(IFERROR(--VLOOKUP(R581,УГО_спр,5,FALSE),0),IFERROR(--VLOOKUP(AL581,УГО_спр,5,FALSE),0),IFERROR(--VLOOKUP(LEFT(AL581,2),УГО_спр,5,FALSE),0))&gt;0,MAX(IFERROR(--VLOOKUP(R581,УГО_спр,5,FALSE),0),IFERROR(--VLOOKUP(AL581,УГО_спр,5,FALSE),0),IFERROR(--VLOOKUP(LEFT(AL581,2),УГО_спр,5,FALSE),0)),IF(IFERROR(--LEFT(SUBSTITUTE(BQ581,"x","х"),FIND("х",SUBSTITUTE(BQ581,"x","х"))-1),3)&gt;3,Каталог!$S$9,1)))</f>
      </c>
      <c r="BX581" s="129">
        <f>IF(AY581&lt;&gt;1,0,MAX(0,IFERROR(--LEFT(SUBSTITUTE(BQ581,"x","х"),FIND("х",SUBSTITUTE(BQ581,"x","х"))-1),3)-3*BW581))</f>
      </c>
      <c r="BY581" s="129">
        <f>IF(R581="","",IFERROR(VLOOKUP(R581,УГО_спр,2,FALSE),IFERROR(VLOOKUP(AL581,УГО_спр,2,FALSE),IFERROR(VLOOKUP(LEFT(AL581,2),УГО_спр,2,FALSE),""))))</f>
      </c>
    </row>
    <row r="582" spans="1:64" x14ac:dyDescent="0.3">
      <c r="A582" s="135">
        <f>IF(Разбивка_по_щитам!F582=0,"",Разбивка_по_щитам!F582)</f>
        <v/>
      </c>
      <c r="B582" s="138">
        <f>IF(A582="","",Разбивка_по_щитам!C582)</f>
        <v/>
      </c>
      <c r="C582" s="138">
        <f t="shared" si="382"/>
        <v/>
      </c>
      <c r="D582" s="266"/>
      <c r="E582" s="266"/>
      <c r="F582" s="267"/>
      <c r="G582" s="145">
        <f t="shared" si="383"/>
        <v/>
      </c>
      <c r="H582" s="145">
        <f t="shared" si="384"/>
        <v/>
      </c>
      <c r="I582" s="266"/>
      <c r="J582" s="267"/>
      <c r="K582" s="267"/>
      <c r="L582" s="266"/>
      <c r="M582" s="147">
        <f t="shared" si="385"/>
        <v/>
      </c>
      <c r="N582" s="267"/>
      <c r="O582" s="147">
        <f t="shared" si="386"/>
        <v/>
      </c>
      <c r="P582" s="268">
        <f>IF(AY582=1,"XT"&amp;COUNTIFS($A$3:A582,A582,$AY$3:AY582,1),"")</f>
        <v/>
      </c>
      <c r="Q582" s="152">
        <f>IF(R582="","",IFERROR(SUBSTITUTE(Разбивка_по_щитам!P582,CHAR(10)," "),""))</f>
        <v/>
      </c>
      <c r="R582" s="153">
        <f>IF(OR(Разбивка_по_щитам!H582="",Разбивка_по_щитам!H582=0),"",Разбивка_по_щитам!H582)</f>
        <v/>
      </c>
      <c r="S582" s="154">
        <f>IF(R582="","",IFERROR(Разбивка_по_щитам!J582&amp;"",""))</f>
        <v/>
      </c>
      <c r="T582" s="155">
        <f>IF(R582="","",IFERROR(--Разбивка_по_щитам!L582,""))</f>
        <v/>
      </c>
      <c r="U582" s="155">
        <f>IF(R582="","",IFERROR(--Разбивка_по_щитам!K582,""))</f>
        <v/>
      </c>
      <c r="V582" s="138">
        <f>IF(R582="","",IFERROR(IF(Разбивка_по_щитам!M582=0,"",Разбивка_по_щитам!M582),""))</f>
        <v/>
      </c>
      <c r="W582" s="156">
        <f t="shared" si="387"/>
        <v/>
      </c>
      <c r="X582" s="157">
        <f t="shared" si="388"/>
        <v/>
      </c>
      <c r="Y582" s="266"/>
      <c r="Z582" s="158">
        <f t="shared" si="389"/>
        <v/>
      </c>
      <c r="AA582" s="160">
        <f t="shared" si="390"/>
        <v/>
      </c>
      <c r="AB582" s="160">
        <f>IF(R582="","",IFERROR(LOOKUP(INDEX(Справочная!$I$4:$I$19,MATCH(VLOOKUP(R582,Исходные_данные,22,FALSE),Справочная!$J$4:$J$19,0)+1),{6,10,16,20,25,32,40,50,63,80,100,125}),""))</f>
        <v/>
      </c>
      <c r="AC582" s="160">
        <f t="shared" si="391"/>
        <v/>
      </c>
      <c r="AD582" s="161">
        <f t="shared" si="392"/>
        <v/>
      </c>
      <c r="AE582" s="161">
        <f>IF(AND(R582="",G582=""),"",_xlfn.TEXTJOIN("; ",TRUE,IF(AND(R582&lt;&gt;"",V582=""),"нет фазы",""),IF(AND(R582&lt;&gt;"",N(T582)=0),"нет мощности",""),IF(AND(P582&lt;&gt;"",COUNTIFS($A$3:$A$1000,A582,$P$3:$P$1000,P582)&gt;1),"дубль клеммы "&amp;P582,""),IF(AND(W582&lt;&gt;"",W582&lt;&gt;"ok"),W582,""),IF(X582&lt;&gt;"",X582,""),IF(AND(ISNUMBER(SEARCH("(5х",Q582)),N(AK582)=1),"5 жил на 1 фазе",""),IF(AND(AL582="R",E582&lt;&gt;"",N(AS582)=0),"розетка без 30 мА",""),IF(IFERROR(_xlfn.NUMBERVALUE(MID(Q582,FIND("-",Q582,FIND("L=",Q582))+1,FIND("%",Q582)-FIND("-",Q582,FIND("L=",Q582))-1),","),0)&gt;4,"потери &gt; 4 %","")))</f>
      </c>
      <c r="AF582" s="129">
        <f>IF(E582&lt;&gt;"",COUNTIFS($A$3:A582,A582,$E$3:E582,"?*"),IF(OR(A582&lt;&gt;A581,Y582="вручную"),"",AF581))</f>
        <v/>
      </c>
      <c r="AG582" s="129">
        <f t="shared" si="393"/>
        <v/>
      </c>
      <c r="AH582" s="129">
        <f t="shared" si="394"/>
        <v/>
      </c>
      <c r="AI582" s="129">
        <f t="shared" si="395"/>
        <v/>
      </c>
      <c r="AJ582" s="129">
        <f t="shared" si="396"/>
        <v/>
      </c>
      <c r="AK582" s="129">
        <f t="shared" si="397"/>
        <v/>
      </c>
      <c r="AL582" s="129">
        <f t="shared" si="398"/>
        <v/>
      </c>
      <c r="AM582" s="129">
        <f t="shared" si="399"/>
      </c>
      <c r="AN582" s="129">
        <f t="shared" si="400"/>
      </c>
      <c r="AO582" s="129">
        <f t="shared" si="401"/>
        <v/>
      </c>
      <c r="AP582" s="129">
        <f t="shared" si="402"/>
        <v/>
      </c>
      <c r="AQ582" s="129">
        <f t="shared" si="403"/>
        <v/>
      </c>
      <c r="AR582" s="129">
        <f t="shared" si="404"/>
        <v/>
      </c>
      <c r="AS582" s="129">
        <f t="shared" si="405"/>
        <v/>
      </c>
      <c r="AT582" s="129">
        <f t="shared" si="406"/>
        <v/>
      </c>
      <c r="AU582" s="129">
        <f t="shared" si="407"/>
        <v/>
      </c>
      <c r="AV582" s="129">
        <f t="shared" si="408"/>
        <v/>
      </c>
      <c r="AW582" s="129">
        <f>IF(AV582="","",AV582&amp;"."&amp;COUNTIFS($A$3:A582,A582,$AV$3:AV582,AV582))</f>
        <v/>
      </c>
      <c r="AX582" s="129">
        <f t="shared" si="409"/>
        <v/>
      </c>
      <c r="AY582" s="129">
        <f>IF(N582="б/к",0,IF(OR(ISNUMBER(SEARCH("L=",Разбивка_по_щитам!P582)),N582="+",N582="="),1,0))</f>
      </c>
      <c r="AZ582" s="129">
        <f t="shared" si="410"/>
        <v/>
      </c>
      <c r="BA582" s="129">
        <f t="shared" si="411"/>
      </c>
      <c r="BB582" s="129">
        <f t="shared" si="412"/>
      </c>
      <c r="BD582" s="129">
        <f t="shared" si="413"/>
      </c>
      <c r="BE582" s="129">
        <f t="shared" si="414"/>
      </c>
      <c r="BF582" s="129">
        <f t="shared" si="415"/>
      </c>
      <c r="BG582" s="129">
        <f t="shared" si="416"/>
        <v/>
      </c>
      <c r="BH582" s="129">
        <f t="shared" si="417"/>
        <v/>
      </c>
      <c r="BI582" s="129">
        <f t="shared" si="418"/>
        <v/>
      </c>
      <c r="BJ582" s="129">
        <f t="shared" si="419"/>
        <v/>
      </c>
      <c r="BK582" s="129">
        <f>IF(R582="","",IF(OR(BY582="",BY582=0),"BOX",IFERROR(IF(VLOOKUP(BY582,УГО_блоки,3,FALSE)&amp;""&lt;&gt;"",VLOOKUP(BY582,УГО_блоки,3,FALSE),VLOOKUP(BY582,УГО_блоки,2,FALSE)),BY582)))</f>
      </c>
      <c r="BL582" s="129">
        <f t="shared" si="421"/>
      </c>
      <c r="BM582" s="129">
        <f>IF(H582="","",IF(COUNTIF($H$3:H582,H582)=1,MAX($BM$2:BM581)+1,""))</f>
      </c>
      <c r="BN582" s="129">
        <f>IF(I582="","",IF(COUNTIF($I$3:I582,I582)+COUNTIF($J$2:J581,I582)+COUNTIF($K$2:K581,I582)=1,MAX($BN$2:BP581)+1,""))</f>
      </c>
      <c r="BO582" s="129">
        <f>IF(J582="","",IF(COUNTIF($I$3:I582,J582)+COUNTIF($J$3:J582,J582)+COUNTIF($K$2:K581,J582)=1,MAX($BN$2:BP581,BN582)+1,""))</f>
      </c>
      <c r="BP582" s="129">
        <f>IF(K582="","",IF(COUNTIF($I$3:I582,K582)+COUNTIF($J$3:J582,K582)+COUNTIF($K$3:K582,K582)=1,MAX($BN$2:BP581,BN582,BO582)+1,""))</f>
      </c>
      <c r="BQ582" s="129">
        <f>IF(AY582=1,IFERROR(MID(Q582,FIND(" (",Q582)+2,FIND(")",Q582,FIND(" (",Q582))-FIND(" (",Q582)-2),"?"),"")</f>
      </c>
      <c r="BR582" s="129">
        <f>IF(BQ582="","",IF(COUNTIF($BQ$3:BQ582,BQ582)=1,MAX($BR$2:BR581)+1,""))</f>
      </c>
      <c r="BS582" s="129">
        <f>IF(AW582="","",COUNTIF($AW$3:AW582,"?*"))</f>
      </c>
      <c r="BT582" s="129">
        <f>IF(OR(AW582="",AI582=""),"",IF(COUNTIFS($AW$3:AW582,"?*",$AI$3:AI582,AI582)=1,MAX($BT$2:BT581)+1,""))</f>
      </c>
      <c r="BU582" s="129">
        <f>IF(AE582="",0,IF(OR(ISNUMBER(SEARCH("дубль",AE582)),ISNUMBER(SEARCH("ПЕРЕГРУЗ",AE582)),ISNUMBER(SEARCH("ЗАЩИЩ",AE582)),ISNUMBER(SEARCH("КАНАЛ",AE582)),ISNUMBER(SEARCH("без 30",AE582))),2,1))</f>
      </c>
      <c r="BV582" s="129">
        <f>IF(R582="","",COUNTIF($R$3:R582,"?*"))</f>
      </c>
      <c r="BW582" s="129">
        <f>IF(AY582&lt;&gt;1,0,IF(MAX(IFERROR(--VLOOKUP(R582,УГО_спр,5,FALSE),0),IFERROR(--VLOOKUP(AL582,УГО_спр,5,FALSE),0),IFERROR(--VLOOKUP(LEFT(AL582,2),УГО_спр,5,FALSE),0))&gt;0,MAX(IFERROR(--VLOOKUP(R582,УГО_спр,5,FALSE),0),IFERROR(--VLOOKUP(AL582,УГО_спр,5,FALSE),0),IFERROR(--VLOOKUP(LEFT(AL582,2),УГО_спр,5,FALSE),0)),IF(IFERROR(--LEFT(SUBSTITUTE(BQ582,"x","х"),FIND("х",SUBSTITUTE(BQ582,"x","х"))-1),3)&gt;3,Каталог!$S$9,1)))</f>
      </c>
      <c r="BX582" s="129">
        <f>IF(AY582&lt;&gt;1,0,MAX(0,IFERROR(--LEFT(SUBSTITUTE(BQ582,"x","х"),FIND("х",SUBSTITUTE(BQ582,"x","х"))-1),3)-3*BW582))</f>
      </c>
      <c r="BY582" s="129">
        <f>IF(R582="","",IFERROR(VLOOKUP(R582,УГО_спр,2,FALSE),IFERROR(VLOOKUP(AL582,УГО_спр,2,FALSE),IFERROR(VLOOKUP(LEFT(AL582,2),УГО_спр,2,FALSE),""))))</f>
      </c>
    </row>
    <row r="583" spans="1:64" x14ac:dyDescent="0.3">
      <c r="A583" s="135">
        <f>IF(Разбивка_по_щитам!F583=0,"",Разбивка_по_щитам!F583)</f>
        <v/>
      </c>
      <c r="B583" s="138">
        <f>IF(A583="","",Разбивка_по_щитам!C583)</f>
        <v/>
      </c>
      <c r="C583" s="138">
        <f t="shared" si="382"/>
        <v/>
      </c>
      <c r="D583" s="266"/>
      <c r="E583" s="266"/>
      <c r="F583" s="267"/>
      <c r="G583" s="145">
        <f t="shared" si="383"/>
        <v/>
      </c>
      <c r="H583" s="145">
        <f t="shared" si="384"/>
        <v/>
      </c>
      <c r="I583" s="266"/>
      <c r="J583" s="267"/>
      <c r="K583" s="267"/>
      <c r="L583" s="266"/>
      <c r="M583" s="147">
        <f t="shared" si="385"/>
        <v/>
      </c>
      <c r="N583" s="267"/>
      <c r="O583" s="147">
        <f t="shared" si="386"/>
        <v/>
      </c>
      <c r="P583" s="268">
        <f>IF(AY583=1,"XT"&amp;COUNTIFS($A$3:A583,A583,$AY$3:AY583,1),"")</f>
        <v/>
      </c>
      <c r="Q583" s="152">
        <f>IF(R583="","",IFERROR(SUBSTITUTE(Разбивка_по_щитам!P583,CHAR(10)," "),""))</f>
        <v/>
      </c>
      <c r="R583" s="153">
        <f>IF(OR(Разбивка_по_щитам!H583="",Разбивка_по_щитам!H583=0),"",Разбивка_по_щитам!H583)</f>
        <v/>
      </c>
      <c r="S583" s="154">
        <f>IF(R583="","",IFERROR(Разбивка_по_щитам!J583&amp;"",""))</f>
        <v/>
      </c>
      <c r="T583" s="155">
        <f>IF(R583="","",IFERROR(--Разбивка_по_щитам!L583,""))</f>
        <v/>
      </c>
      <c r="U583" s="155">
        <f>IF(R583="","",IFERROR(--Разбивка_по_щитам!K583,""))</f>
        <v/>
      </c>
      <c r="V583" s="138">
        <f>IF(R583="","",IFERROR(IF(Разбивка_по_щитам!M583=0,"",Разбивка_по_щитам!M583),""))</f>
        <v/>
      </c>
      <c r="W583" s="156">
        <f t="shared" si="387"/>
        <v/>
      </c>
      <c r="X583" s="157">
        <f t="shared" si="388"/>
        <v/>
      </c>
      <c r="Y583" s="266"/>
      <c r="Z583" s="158">
        <f t="shared" si="389"/>
        <v/>
      </c>
      <c r="AA583" s="160">
        <f t="shared" si="390"/>
        <v/>
      </c>
      <c r="AB583" s="160">
        <f>IF(R583="","",IFERROR(LOOKUP(INDEX(Справочная!$I$4:$I$19,MATCH(VLOOKUP(R583,Исходные_данные,22,FALSE),Справочная!$J$4:$J$19,0)+1),{6,10,16,20,25,32,40,50,63,80,100,125}),""))</f>
        <v/>
      </c>
      <c r="AC583" s="160">
        <f t="shared" si="391"/>
        <v/>
      </c>
      <c r="AD583" s="161">
        <f t="shared" si="392"/>
        <v/>
      </c>
      <c r="AE583" s="161">
        <f>IF(AND(R583="",G583=""),"",_xlfn.TEXTJOIN("; ",TRUE,IF(AND(R583&lt;&gt;"",V583=""),"нет фазы",""),IF(AND(R583&lt;&gt;"",N(T583)=0),"нет мощности",""),IF(AND(P583&lt;&gt;"",COUNTIFS($A$3:$A$1000,A583,$P$3:$P$1000,P583)&gt;1),"дубль клеммы "&amp;P583,""),IF(AND(W583&lt;&gt;"",W583&lt;&gt;"ok"),W583,""),IF(X583&lt;&gt;"",X583,""),IF(AND(ISNUMBER(SEARCH("(5х",Q583)),N(AK583)=1),"5 жил на 1 фазе",""),IF(AND(AL583="R",E583&lt;&gt;"",N(AS583)=0),"розетка без 30 мА",""),IF(IFERROR(_xlfn.NUMBERVALUE(MID(Q583,FIND("-",Q583,FIND("L=",Q583))+1,FIND("%",Q583)-FIND("-",Q583,FIND("L=",Q583))-1),","),0)&gt;4,"потери &gt; 4 %","")))</f>
      </c>
      <c r="AF583" s="129">
        <f>IF(E583&lt;&gt;"",COUNTIFS($A$3:A583,A583,$E$3:E583,"?*"),IF(OR(A583&lt;&gt;A582,Y583="вручную"),"",AF582))</f>
        <v/>
      </c>
      <c r="AG583" s="129">
        <f t="shared" si="393"/>
        <v/>
      </c>
      <c r="AH583" s="129">
        <f t="shared" si="394"/>
        <v/>
      </c>
      <c r="AI583" s="129">
        <f t="shared" si="395"/>
        <v/>
      </c>
      <c r="AJ583" s="129">
        <f t="shared" si="396"/>
        <v/>
      </c>
      <c r="AK583" s="129">
        <f t="shared" si="397"/>
        <v/>
      </c>
      <c r="AL583" s="129">
        <f t="shared" si="398"/>
        <v/>
      </c>
      <c r="AM583" s="129">
        <f t="shared" si="399"/>
      </c>
      <c r="AN583" s="129">
        <f t="shared" si="400"/>
      </c>
      <c r="AO583" s="129">
        <f t="shared" si="401"/>
        <v/>
      </c>
      <c r="AP583" s="129">
        <f t="shared" si="402"/>
        <v/>
      </c>
      <c r="AQ583" s="129">
        <f t="shared" si="403"/>
        <v/>
      </c>
      <c r="AR583" s="129">
        <f t="shared" si="404"/>
        <v/>
      </c>
      <c r="AS583" s="129">
        <f t="shared" si="405"/>
        <v/>
      </c>
      <c r="AT583" s="129">
        <f t="shared" si="406"/>
        <v/>
      </c>
      <c r="AU583" s="129">
        <f t="shared" si="407"/>
        <v/>
      </c>
      <c r="AV583" s="129">
        <f t="shared" si="408"/>
        <v/>
      </c>
      <c r="AW583" s="129">
        <f>IF(AV583="","",AV583&amp;"."&amp;COUNTIFS($A$3:A583,A583,$AV$3:AV583,AV583))</f>
        <v/>
      </c>
      <c r="AX583" s="129">
        <f t="shared" si="409"/>
        <v/>
      </c>
      <c r="AY583" s="129">
        <f>IF(N583="б/к",0,IF(OR(ISNUMBER(SEARCH("L=",Разбивка_по_щитам!P583)),N583="+",N583="="),1,0))</f>
      </c>
      <c r="AZ583" s="129">
        <f t="shared" si="410"/>
        <v/>
      </c>
      <c r="BA583" s="129">
        <f t="shared" si="411"/>
      </c>
      <c r="BB583" s="129">
        <f t="shared" si="412"/>
      </c>
      <c r="BD583" s="129">
        <f t="shared" si="413"/>
      </c>
      <c r="BE583" s="129">
        <f t="shared" si="414"/>
      </c>
      <c r="BF583" s="129">
        <f t="shared" si="415"/>
      </c>
      <c r="BG583" s="129">
        <f t="shared" si="416"/>
        <v/>
      </c>
      <c r="BH583" s="129">
        <f t="shared" si="417"/>
        <v/>
      </c>
      <c r="BI583" s="129">
        <f t="shared" si="418"/>
        <v/>
      </c>
      <c r="BJ583" s="129">
        <f t="shared" si="419"/>
        <v/>
      </c>
      <c r="BK583" s="129">
        <f>IF(R583="","",IF(OR(BY583="",BY583=0),"BOX",IFERROR(IF(VLOOKUP(BY583,УГО_блоки,3,FALSE)&amp;""&lt;&gt;"",VLOOKUP(BY583,УГО_блоки,3,FALSE),VLOOKUP(BY583,УГО_блоки,2,FALSE)),BY583)))</f>
      </c>
      <c r="BL583" s="129">
        <f t="shared" si="421"/>
      </c>
      <c r="BM583" s="129">
        <f>IF(H583="","",IF(COUNTIF($H$3:H583,H583)=1,MAX($BM$2:BM582)+1,""))</f>
      </c>
      <c r="BN583" s="129">
        <f>IF(I583="","",IF(COUNTIF($I$3:I583,I583)+COUNTIF($J$2:J582,I583)+COUNTIF($K$2:K582,I583)=1,MAX($BN$2:BP582)+1,""))</f>
      </c>
      <c r="BO583" s="129">
        <f>IF(J583="","",IF(COUNTIF($I$3:I583,J583)+COUNTIF($J$3:J583,J583)+COUNTIF($K$2:K582,J583)=1,MAX($BN$2:BP582,BN583)+1,""))</f>
      </c>
      <c r="BP583" s="129">
        <f>IF(K583="","",IF(COUNTIF($I$3:I583,K583)+COUNTIF($J$3:J583,K583)+COUNTIF($K$3:K583,K583)=1,MAX($BN$2:BP582,BN583,BO583)+1,""))</f>
      </c>
      <c r="BQ583" s="129">
        <f>IF(AY583=1,IFERROR(MID(Q583,FIND(" (",Q583)+2,FIND(")",Q583,FIND(" (",Q583))-FIND(" (",Q583)-2),"?"),"")</f>
      </c>
      <c r="BR583" s="129">
        <f>IF(BQ583="","",IF(COUNTIF($BQ$3:BQ583,BQ583)=1,MAX($BR$2:BR582)+1,""))</f>
      </c>
      <c r="BS583" s="129">
        <f>IF(AW583="","",COUNTIF($AW$3:AW583,"?*"))</f>
      </c>
      <c r="BT583" s="129">
        <f>IF(OR(AW583="",AI583=""),"",IF(COUNTIFS($AW$3:AW583,"?*",$AI$3:AI583,AI583)=1,MAX($BT$2:BT582)+1,""))</f>
      </c>
      <c r="BU583" s="129">
        <f>IF(AE583="",0,IF(OR(ISNUMBER(SEARCH("дубль",AE583)),ISNUMBER(SEARCH("ПЕРЕГРУЗ",AE583)),ISNUMBER(SEARCH("ЗАЩИЩ",AE583)),ISNUMBER(SEARCH("КАНАЛ",AE583)),ISNUMBER(SEARCH("без 30",AE583))),2,1))</f>
      </c>
      <c r="BV583" s="129">
        <f>IF(R583="","",COUNTIF($R$3:R583,"?*"))</f>
      </c>
      <c r="BW583" s="129">
        <f>IF(AY583&lt;&gt;1,0,IF(MAX(IFERROR(--VLOOKUP(R583,УГО_спр,5,FALSE),0),IFERROR(--VLOOKUP(AL583,УГО_спр,5,FALSE),0),IFERROR(--VLOOKUP(LEFT(AL583,2),УГО_спр,5,FALSE),0))&gt;0,MAX(IFERROR(--VLOOKUP(R583,УГО_спр,5,FALSE),0),IFERROR(--VLOOKUP(AL583,УГО_спр,5,FALSE),0),IFERROR(--VLOOKUP(LEFT(AL583,2),УГО_спр,5,FALSE),0)),IF(IFERROR(--LEFT(SUBSTITUTE(BQ583,"x","х"),FIND("х",SUBSTITUTE(BQ583,"x","х"))-1),3)&gt;3,Каталог!$S$9,1)))</f>
      </c>
      <c r="BX583" s="129">
        <f>IF(AY583&lt;&gt;1,0,MAX(0,IFERROR(--LEFT(SUBSTITUTE(BQ583,"x","х"),FIND("х",SUBSTITUTE(BQ583,"x","х"))-1),3)-3*BW583))</f>
      </c>
      <c r="BY583" s="129">
        <f>IF(R583="","",IFERROR(VLOOKUP(R583,УГО_спр,2,FALSE),IFERROR(VLOOKUP(AL583,УГО_спр,2,FALSE),IFERROR(VLOOKUP(LEFT(AL583,2),УГО_спр,2,FALSE),""))))</f>
      </c>
    </row>
    <row r="584" spans="1:64" x14ac:dyDescent="0.3">
      <c r="A584" s="135">
        <f>IF(Разбивка_по_щитам!F584=0,"",Разбивка_по_щитам!F584)</f>
        <v/>
      </c>
      <c r="B584" s="138">
        <f>IF(A584="","",Разбивка_по_щитам!C584)</f>
        <v/>
      </c>
      <c r="C584" s="138">
        <f t="shared" si="382"/>
        <v/>
      </c>
      <c r="D584" s="266"/>
      <c r="E584" s="266"/>
      <c r="F584" s="267"/>
      <c r="G584" s="145">
        <f t="shared" si="383"/>
        <v/>
      </c>
      <c r="H584" s="145">
        <f t="shared" si="384"/>
        <v/>
      </c>
      <c r="I584" s="266"/>
      <c r="J584" s="267"/>
      <c r="K584" s="267"/>
      <c r="L584" s="266"/>
      <c r="M584" s="147">
        <f t="shared" si="385"/>
        <v/>
      </c>
      <c r="N584" s="267"/>
      <c r="O584" s="147">
        <f t="shared" si="386"/>
        <v/>
      </c>
      <c r="P584" s="268">
        <f>IF(AY584=1,"XT"&amp;COUNTIFS($A$3:A584,A584,$AY$3:AY584,1),"")</f>
        <v/>
      </c>
      <c r="Q584" s="152">
        <f>IF(R584="","",IFERROR(SUBSTITUTE(Разбивка_по_щитам!P584,CHAR(10)," "),""))</f>
        <v/>
      </c>
      <c r="R584" s="153">
        <f>IF(OR(Разбивка_по_щитам!H584="",Разбивка_по_щитам!H584=0),"",Разбивка_по_щитам!H584)</f>
        <v/>
      </c>
      <c r="S584" s="154">
        <f>IF(R584="","",IFERROR(Разбивка_по_щитам!J584&amp;"",""))</f>
        <v/>
      </c>
      <c r="T584" s="155">
        <f>IF(R584="","",IFERROR(--Разбивка_по_щитам!L584,""))</f>
        <v/>
      </c>
      <c r="U584" s="155">
        <f>IF(R584="","",IFERROR(--Разбивка_по_щитам!K584,""))</f>
        <v/>
      </c>
      <c r="V584" s="138">
        <f>IF(R584="","",IFERROR(IF(Разбивка_по_щитам!M584=0,"",Разбивка_по_щитам!M584),""))</f>
        <v/>
      </c>
      <c r="W584" s="156">
        <f t="shared" si="387"/>
        <v/>
      </c>
      <c r="X584" s="157">
        <f t="shared" si="388"/>
        <v/>
      </c>
      <c r="Y584" s="266"/>
      <c r="Z584" s="158">
        <f t="shared" si="389"/>
        <v/>
      </c>
      <c r="AA584" s="160">
        <f t="shared" si="390"/>
        <v/>
      </c>
      <c r="AB584" s="160">
        <f>IF(R584="","",IFERROR(LOOKUP(INDEX(Справочная!$I$4:$I$19,MATCH(VLOOKUP(R584,Исходные_данные,22,FALSE),Справочная!$J$4:$J$19,0)+1),{6,10,16,20,25,32,40,50,63,80,100,125}),""))</f>
        <v/>
      </c>
      <c r="AC584" s="160">
        <f t="shared" si="391"/>
        <v/>
      </c>
      <c r="AD584" s="161">
        <f t="shared" si="392"/>
        <v/>
      </c>
      <c r="AE584" s="161">
        <f>IF(AND(R584="",G584=""),"",_xlfn.TEXTJOIN("; ",TRUE,IF(AND(R584&lt;&gt;"",V584=""),"нет фазы",""),IF(AND(R584&lt;&gt;"",N(T584)=0),"нет мощности",""),IF(AND(P584&lt;&gt;"",COUNTIFS($A$3:$A$1000,A584,$P$3:$P$1000,P584)&gt;1),"дубль клеммы "&amp;P584,""),IF(AND(W584&lt;&gt;"",W584&lt;&gt;"ok"),W584,""),IF(X584&lt;&gt;"",X584,""),IF(AND(ISNUMBER(SEARCH("(5х",Q584)),N(AK584)=1),"5 жил на 1 фазе",""),IF(AND(AL584="R",E584&lt;&gt;"",N(AS584)=0),"розетка без 30 мА",""),IF(IFERROR(_xlfn.NUMBERVALUE(MID(Q584,FIND("-",Q584,FIND("L=",Q584))+1,FIND("%",Q584)-FIND("-",Q584,FIND("L=",Q584))-1),","),0)&gt;4,"потери &gt; 4 %","")))</f>
      </c>
      <c r="AF584" s="129">
        <f>IF(E584&lt;&gt;"",COUNTIFS($A$3:A584,A584,$E$3:E584,"?*"),IF(OR(A584&lt;&gt;A583,Y584="вручную"),"",AF583))</f>
        <v/>
      </c>
      <c r="AG584" s="129">
        <f t="shared" si="393"/>
        <v/>
      </c>
      <c r="AH584" s="129">
        <f t="shared" si="394"/>
        <v/>
      </c>
      <c r="AI584" s="129">
        <f t="shared" si="395"/>
        <v/>
      </c>
      <c r="AJ584" s="129">
        <f t="shared" si="396"/>
        <v/>
      </c>
      <c r="AK584" s="129">
        <f t="shared" si="397"/>
        <v/>
      </c>
      <c r="AL584" s="129">
        <f t="shared" si="398"/>
        <v/>
      </c>
      <c r="AM584" s="129">
        <f t="shared" si="399"/>
      </c>
      <c r="AN584" s="129">
        <f t="shared" si="400"/>
      </c>
      <c r="AO584" s="129">
        <f t="shared" si="401"/>
        <v/>
      </c>
      <c r="AP584" s="129">
        <f t="shared" si="402"/>
        <v/>
      </c>
      <c r="AQ584" s="129">
        <f t="shared" si="403"/>
        <v/>
      </c>
      <c r="AR584" s="129">
        <f t="shared" si="404"/>
        <v/>
      </c>
      <c r="AS584" s="129">
        <f t="shared" si="405"/>
        <v/>
      </c>
      <c r="AT584" s="129">
        <f t="shared" si="406"/>
        <v/>
      </c>
      <c r="AU584" s="129">
        <f t="shared" si="407"/>
        <v/>
      </c>
      <c r="AV584" s="129">
        <f t="shared" si="408"/>
        <v/>
      </c>
      <c r="AW584" s="129">
        <f>IF(AV584="","",AV584&amp;"."&amp;COUNTIFS($A$3:A584,A584,$AV$3:AV584,AV584))</f>
        <v/>
      </c>
      <c r="AX584" s="129">
        <f t="shared" si="409"/>
        <v/>
      </c>
      <c r="AY584" s="129">
        <f>IF(N584="б/к",0,IF(OR(ISNUMBER(SEARCH("L=",Разбивка_по_щитам!P584)),N584="+",N584="="),1,0))</f>
      </c>
      <c r="AZ584" s="129">
        <f t="shared" si="410"/>
        <v/>
      </c>
      <c r="BA584" s="129">
        <f t="shared" si="411"/>
      </c>
      <c r="BB584" s="129">
        <f t="shared" si="412"/>
      </c>
      <c r="BD584" s="129">
        <f t="shared" si="413"/>
      </c>
      <c r="BE584" s="129">
        <f t="shared" si="414"/>
      </c>
      <c r="BF584" s="129">
        <f t="shared" si="415"/>
      </c>
      <c r="BG584" s="129">
        <f t="shared" si="416"/>
        <v/>
      </c>
      <c r="BH584" s="129">
        <f t="shared" si="417"/>
        <v/>
      </c>
      <c r="BI584" s="129">
        <f t="shared" si="418"/>
        <v/>
      </c>
      <c r="BJ584" s="129">
        <f t="shared" si="419"/>
        <v/>
      </c>
      <c r="BK584" s="129">
        <f>IF(R584="","",IF(OR(BY584="",BY584=0),"BOX",IFERROR(IF(VLOOKUP(BY584,УГО_блоки,3,FALSE)&amp;""&lt;&gt;"",VLOOKUP(BY584,УГО_блоки,3,FALSE),VLOOKUP(BY584,УГО_блоки,2,FALSE)),BY584)))</f>
      </c>
      <c r="BL584" s="129">
        <f t="shared" si="421"/>
      </c>
      <c r="BM584" s="129">
        <f>IF(H584="","",IF(COUNTIF($H$3:H584,H584)=1,MAX($BM$2:BM583)+1,""))</f>
      </c>
      <c r="BN584" s="129">
        <f>IF(I584="","",IF(COUNTIF($I$3:I584,I584)+COUNTIF($J$2:J583,I584)+COUNTIF($K$2:K583,I584)=1,MAX($BN$2:BP583)+1,""))</f>
      </c>
      <c r="BO584" s="129">
        <f>IF(J584="","",IF(COUNTIF($I$3:I584,J584)+COUNTIF($J$3:J584,J584)+COUNTIF($K$2:K583,J584)=1,MAX($BN$2:BP583,BN584)+1,""))</f>
      </c>
      <c r="BP584" s="129">
        <f>IF(K584="","",IF(COUNTIF($I$3:I584,K584)+COUNTIF($J$3:J584,K584)+COUNTIF($K$3:K584,K584)=1,MAX($BN$2:BP583,BN584,BO584)+1,""))</f>
      </c>
      <c r="BQ584" s="129">
        <f>IF(AY584=1,IFERROR(MID(Q584,FIND(" (",Q584)+2,FIND(")",Q584,FIND(" (",Q584))-FIND(" (",Q584)-2),"?"),"")</f>
      </c>
      <c r="BR584" s="129">
        <f>IF(BQ584="","",IF(COUNTIF($BQ$3:BQ584,BQ584)=1,MAX($BR$2:BR583)+1,""))</f>
      </c>
      <c r="BS584" s="129">
        <f>IF(AW584="","",COUNTIF($AW$3:AW584,"?*"))</f>
      </c>
      <c r="BT584" s="129">
        <f>IF(OR(AW584="",AI584=""),"",IF(COUNTIFS($AW$3:AW584,"?*",$AI$3:AI584,AI584)=1,MAX($BT$2:BT583)+1,""))</f>
      </c>
      <c r="BU584" s="129">
        <f>IF(AE584="",0,IF(OR(ISNUMBER(SEARCH("дубль",AE584)),ISNUMBER(SEARCH("ПЕРЕГРУЗ",AE584)),ISNUMBER(SEARCH("ЗАЩИЩ",AE584)),ISNUMBER(SEARCH("КАНАЛ",AE584)),ISNUMBER(SEARCH("без 30",AE584))),2,1))</f>
      </c>
      <c r="BV584" s="129">
        <f>IF(R584="","",COUNTIF($R$3:R584,"?*"))</f>
      </c>
      <c r="BW584" s="129">
        <f>IF(AY584&lt;&gt;1,0,IF(MAX(IFERROR(--VLOOKUP(R584,УГО_спр,5,FALSE),0),IFERROR(--VLOOKUP(AL584,УГО_спр,5,FALSE),0),IFERROR(--VLOOKUP(LEFT(AL584,2),УГО_спр,5,FALSE),0))&gt;0,MAX(IFERROR(--VLOOKUP(R584,УГО_спр,5,FALSE),0),IFERROR(--VLOOKUP(AL584,УГО_спр,5,FALSE),0),IFERROR(--VLOOKUP(LEFT(AL584,2),УГО_спр,5,FALSE),0)),IF(IFERROR(--LEFT(SUBSTITUTE(BQ584,"x","х"),FIND("х",SUBSTITUTE(BQ584,"x","х"))-1),3)&gt;3,Каталог!$S$9,1)))</f>
      </c>
      <c r="BX584" s="129">
        <f>IF(AY584&lt;&gt;1,0,MAX(0,IFERROR(--LEFT(SUBSTITUTE(BQ584,"x","х"),FIND("х",SUBSTITUTE(BQ584,"x","х"))-1),3)-3*BW584))</f>
      </c>
      <c r="BY584" s="129">
        <f>IF(R584="","",IFERROR(VLOOKUP(R584,УГО_спр,2,FALSE),IFERROR(VLOOKUP(AL584,УГО_спр,2,FALSE),IFERROR(VLOOKUP(LEFT(AL584,2),УГО_спр,2,FALSE),""))))</f>
      </c>
    </row>
    <row r="585" spans="1:64" x14ac:dyDescent="0.3">
      <c r="A585" s="135">
        <f>IF(Разбивка_по_щитам!F585=0,"",Разбивка_по_щитам!F585)</f>
        <v/>
      </c>
      <c r="B585" s="138">
        <f>IF(A585="","",Разбивка_по_щитам!C585)</f>
        <v/>
      </c>
      <c r="C585" s="138">
        <f t="shared" si="382"/>
        <v/>
      </c>
      <c r="D585" s="266"/>
      <c r="E585" s="266"/>
      <c r="F585" s="267"/>
      <c r="G585" s="145">
        <f t="shared" si="383"/>
        <v/>
      </c>
      <c r="H585" s="145">
        <f t="shared" si="384"/>
        <v/>
      </c>
      <c r="I585" s="266"/>
      <c r="J585" s="267"/>
      <c r="K585" s="267"/>
      <c r="L585" s="266"/>
      <c r="M585" s="147">
        <f t="shared" si="385"/>
        <v/>
      </c>
      <c r="N585" s="267"/>
      <c r="O585" s="147">
        <f t="shared" si="386"/>
        <v/>
      </c>
      <c r="P585" s="268">
        <f>IF(AY585=1,"XT"&amp;COUNTIFS($A$3:A585,A585,$AY$3:AY585,1),"")</f>
        <v/>
      </c>
      <c r="Q585" s="152">
        <f>IF(R585="","",IFERROR(SUBSTITUTE(Разбивка_по_щитам!P585,CHAR(10)," "),""))</f>
        <v/>
      </c>
      <c r="R585" s="153">
        <f>IF(OR(Разбивка_по_щитам!H585="",Разбивка_по_щитам!H585=0),"",Разбивка_по_щитам!H585)</f>
        <v/>
      </c>
      <c r="S585" s="154">
        <f>IF(R585="","",IFERROR(Разбивка_по_щитам!J585&amp;"",""))</f>
        <v/>
      </c>
      <c r="T585" s="155">
        <f>IF(R585="","",IFERROR(--Разбивка_по_щитам!L585,""))</f>
        <v/>
      </c>
      <c r="U585" s="155">
        <f>IF(R585="","",IFERROR(--Разбивка_по_щитам!K585,""))</f>
        <v/>
      </c>
      <c r="V585" s="138">
        <f>IF(R585="","",IFERROR(IF(Разбивка_по_щитам!M585=0,"",Разбивка_по_щитам!M585),""))</f>
        <v/>
      </c>
      <c r="W585" s="156">
        <f t="shared" si="387"/>
        <v/>
      </c>
      <c r="X585" s="157">
        <f t="shared" si="388"/>
        <v/>
      </c>
      <c r="Y585" s="266"/>
      <c r="Z585" s="158">
        <f t="shared" si="389"/>
        <v/>
      </c>
      <c r="AA585" s="160">
        <f t="shared" si="390"/>
        <v/>
      </c>
      <c r="AB585" s="160">
        <f>IF(R585="","",IFERROR(LOOKUP(INDEX(Справочная!$I$4:$I$19,MATCH(VLOOKUP(R585,Исходные_данные,22,FALSE),Справочная!$J$4:$J$19,0)+1),{6,10,16,20,25,32,40,50,63,80,100,125}),""))</f>
        <v/>
      </c>
      <c r="AC585" s="160">
        <f t="shared" si="391"/>
        <v/>
      </c>
      <c r="AD585" s="161">
        <f t="shared" si="392"/>
        <v/>
      </c>
      <c r="AE585" s="161">
        <f>IF(AND(R585="",G585=""),"",_xlfn.TEXTJOIN("; ",TRUE,IF(AND(R585&lt;&gt;"",V585=""),"нет фазы",""),IF(AND(R585&lt;&gt;"",N(T585)=0),"нет мощности",""),IF(AND(P585&lt;&gt;"",COUNTIFS($A$3:$A$1000,A585,$P$3:$P$1000,P585)&gt;1),"дубль клеммы "&amp;P585,""),IF(AND(W585&lt;&gt;"",W585&lt;&gt;"ok"),W585,""),IF(X585&lt;&gt;"",X585,""),IF(AND(ISNUMBER(SEARCH("(5х",Q585)),N(AK585)=1),"5 жил на 1 фазе",""),IF(AND(AL585="R",E585&lt;&gt;"",N(AS585)=0),"розетка без 30 мА",""),IF(IFERROR(_xlfn.NUMBERVALUE(MID(Q585,FIND("-",Q585,FIND("L=",Q585))+1,FIND("%",Q585)-FIND("-",Q585,FIND("L=",Q585))-1),","),0)&gt;4,"потери &gt; 4 %","")))</f>
      </c>
      <c r="AF585" s="129">
        <f>IF(E585&lt;&gt;"",COUNTIFS($A$3:A585,A585,$E$3:E585,"?*"),IF(OR(A585&lt;&gt;A584,Y585="вручную"),"",AF584))</f>
        <v/>
      </c>
      <c r="AG585" s="129">
        <f t="shared" si="393"/>
        <v/>
      </c>
      <c r="AH585" s="129">
        <f t="shared" si="394"/>
        <v/>
      </c>
      <c r="AI585" s="129">
        <f t="shared" si="395"/>
        <v/>
      </c>
      <c r="AJ585" s="129">
        <f t="shared" si="396"/>
        <v/>
      </c>
      <c r="AK585" s="129">
        <f t="shared" si="397"/>
        <v/>
      </c>
      <c r="AL585" s="129">
        <f t="shared" si="398"/>
        <v/>
      </c>
      <c r="AM585" s="129">
        <f t="shared" si="399"/>
      </c>
      <c r="AN585" s="129">
        <f t="shared" si="400"/>
      </c>
      <c r="AO585" s="129">
        <f t="shared" si="401"/>
        <v/>
      </c>
      <c r="AP585" s="129">
        <f t="shared" si="402"/>
        <v/>
      </c>
      <c r="AQ585" s="129">
        <f t="shared" si="403"/>
        <v/>
      </c>
      <c r="AR585" s="129">
        <f t="shared" si="404"/>
        <v/>
      </c>
      <c r="AS585" s="129">
        <f t="shared" si="405"/>
        <v/>
      </c>
      <c r="AT585" s="129">
        <f t="shared" si="406"/>
        <v/>
      </c>
      <c r="AU585" s="129">
        <f t="shared" si="407"/>
        <v/>
      </c>
      <c r="AV585" s="129">
        <f t="shared" si="408"/>
        <v/>
      </c>
      <c r="AW585" s="129">
        <f>IF(AV585="","",AV585&amp;"."&amp;COUNTIFS($A$3:A585,A585,$AV$3:AV585,AV585))</f>
        <v/>
      </c>
      <c r="AX585" s="129">
        <f t="shared" si="409"/>
        <v/>
      </c>
      <c r="AY585" s="129">
        <f>IF(N585="б/к",0,IF(OR(ISNUMBER(SEARCH("L=",Разбивка_по_щитам!P585)),N585="+",N585="="),1,0))</f>
      </c>
      <c r="AZ585" s="129">
        <f t="shared" si="410"/>
        <v/>
      </c>
      <c r="BA585" s="129">
        <f t="shared" si="411"/>
      </c>
      <c r="BB585" s="129">
        <f t="shared" si="412"/>
      </c>
      <c r="BD585" s="129">
        <f t="shared" si="413"/>
      </c>
      <c r="BE585" s="129">
        <f t="shared" si="414"/>
      </c>
      <c r="BF585" s="129">
        <f t="shared" si="415"/>
      </c>
      <c r="BG585" s="129">
        <f t="shared" si="416"/>
        <v/>
      </c>
      <c r="BH585" s="129">
        <f t="shared" si="417"/>
        <v/>
      </c>
      <c r="BI585" s="129">
        <f t="shared" si="418"/>
        <v/>
      </c>
      <c r="BJ585" s="129">
        <f t="shared" si="419"/>
        <v/>
      </c>
      <c r="BK585" s="129">
        <f>IF(R585="","",IF(OR(BY585="",BY585=0),"BOX",IFERROR(IF(VLOOKUP(BY585,УГО_блоки,3,FALSE)&amp;""&lt;&gt;"",VLOOKUP(BY585,УГО_блоки,3,FALSE),VLOOKUP(BY585,УГО_блоки,2,FALSE)),BY585)))</f>
      </c>
      <c r="BL585" s="129">
        <f t="shared" si="421"/>
      </c>
      <c r="BM585" s="129">
        <f>IF(H585="","",IF(COUNTIF($H$3:H585,H585)=1,MAX($BM$2:BM584)+1,""))</f>
      </c>
      <c r="BN585" s="129">
        <f>IF(I585="","",IF(COUNTIF($I$3:I585,I585)+COUNTIF($J$2:J584,I585)+COUNTIF($K$2:K584,I585)=1,MAX($BN$2:BP584)+1,""))</f>
      </c>
      <c r="BO585" s="129">
        <f>IF(J585="","",IF(COUNTIF($I$3:I585,J585)+COUNTIF($J$3:J585,J585)+COUNTIF($K$2:K584,J585)=1,MAX($BN$2:BP584,BN585)+1,""))</f>
      </c>
      <c r="BP585" s="129">
        <f>IF(K585="","",IF(COUNTIF($I$3:I585,K585)+COUNTIF($J$3:J585,K585)+COUNTIF($K$3:K585,K585)=1,MAX($BN$2:BP584,BN585,BO585)+1,""))</f>
      </c>
      <c r="BQ585" s="129">
        <f>IF(AY585=1,IFERROR(MID(Q585,FIND(" (",Q585)+2,FIND(")",Q585,FIND(" (",Q585))-FIND(" (",Q585)-2),"?"),"")</f>
      </c>
      <c r="BR585" s="129">
        <f>IF(BQ585="","",IF(COUNTIF($BQ$3:BQ585,BQ585)=1,MAX($BR$2:BR584)+1,""))</f>
      </c>
      <c r="BS585" s="129">
        <f>IF(AW585="","",COUNTIF($AW$3:AW585,"?*"))</f>
      </c>
      <c r="BT585" s="129">
        <f>IF(OR(AW585="",AI585=""),"",IF(COUNTIFS($AW$3:AW585,"?*",$AI$3:AI585,AI585)=1,MAX($BT$2:BT584)+1,""))</f>
      </c>
      <c r="BU585" s="129">
        <f>IF(AE585="",0,IF(OR(ISNUMBER(SEARCH("дубль",AE585)),ISNUMBER(SEARCH("ПЕРЕГРУЗ",AE585)),ISNUMBER(SEARCH("ЗАЩИЩ",AE585)),ISNUMBER(SEARCH("КАНАЛ",AE585)),ISNUMBER(SEARCH("без 30",AE585))),2,1))</f>
      </c>
      <c r="BV585" s="129">
        <f>IF(R585="","",COUNTIF($R$3:R585,"?*"))</f>
      </c>
      <c r="BW585" s="129">
        <f>IF(AY585&lt;&gt;1,0,IF(MAX(IFERROR(--VLOOKUP(R585,УГО_спр,5,FALSE),0),IFERROR(--VLOOKUP(AL585,УГО_спр,5,FALSE),0),IFERROR(--VLOOKUP(LEFT(AL585,2),УГО_спр,5,FALSE),0))&gt;0,MAX(IFERROR(--VLOOKUP(R585,УГО_спр,5,FALSE),0),IFERROR(--VLOOKUP(AL585,УГО_спр,5,FALSE),0),IFERROR(--VLOOKUP(LEFT(AL585,2),УГО_спр,5,FALSE),0)),IF(IFERROR(--LEFT(SUBSTITUTE(BQ585,"x","х"),FIND("х",SUBSTITUTE(BQ585,"x","х"))-1),3)&gt;3,Каталог!$S$9,1)))</f>
      </c>
      <c r="BX585" s="129">
        <f>IF(AY585&lt;&gt;1,0,MAX(0,IFERROR(--LEFT(SUBSTITUTE(BQ585,"x","х"),FIND("х",SUBSTITUTE(BQ585,"x","х"))-1),3)-3*BW585))</f>
      </c>
      <c r="BY585" s="129">
        <f>IF(R585="","",IFERROR(VLOOKUP(R585,УГО_спр,2,FALSE),IFERROR(VLOOKUP(AL585,УГО_спр,2,FALSE),IFERROR(VLOOKUP(LEFT(AL585,2),УГО_спр,2,FALSE),""))))</f>
      </c>
    </row>
    <row r="586" spans="1:64" x14ac:dyDescent="0.3">
      <c r="A586" s="135">
        <f>IF(Разбивка_по_щитам!F586=0,"",Разбивка_по_щитам!F586)</f>
        <v/>
      </c>
      <c r="B586" s="138">
        <f>IF(A586="","",Разбивка_по_щитам!C586)</f>
        <v/>
      </c>
      <c r="C586" s="138">
        <f t="shared" si="382"/>
        <v/>
      </c>
      <c r="D586" s="266"/>
      <c r="E586" s="266"/>
      <c r="F586" s="267"/>
      <c r="G586" s="145">
        <f t="shared" si="383"/>
        <v/>
      </c>
      <c r="H586" s="145">
        <f t="shared" si="384"/>
        <v/>
      </c>
      <c r="I586" s="266"/>
      <c r="J586" s="267"/>
      <c r="K586" s="267"/>
      <c r="L586" s="266"/>
      <c r="M586" s="147">
        <f t="shared" si="385"/>
        <v/>
      </c>
      <c r="N586" s="267"/>
      <c r="O586" s="147">
        <f t="shared" si="386"/>
        <v/>
      </c>
      <c r="P586" s="268">
        <f>IF(AY586=1,"XT"&amp;COUNTIFS($A$3:A586,A586,$AY$3:AY586,1),"")</f>
        <v/>
      </c>
      <c r="Q586" s="152">
        <f>IF(R586="","",IFERROR(SUBSTITUTE(Разбивка_по_щитам!P586,CHAR(10)," "),""))</f>
        <v/>
      </c>
      <c r="R586" s="153">
        <f>IF(OR(Разбивка_по_щитам!H586="",Разбивка_по_щитам!H586=0),"",Разбивка_по_щитам!H586)</f>
        <v/>
      </c>
      <c r="S586" s="154">
        <f>IF(R586="","",IFERROR(Разбивка_по_щитам!J586&amp;"",""))</f>
        <v/>
      </c>
      <c r="T586" s="155">
        <f>IF(R586="","",IFERROR(--Разбивка_по_щитам!L586,""))</f>
        <v/>
      </c>
      <c r="U586" s="155">
        <f>IF(R586="","",IFERROR(--Разбивка_по_щитам!K586,""))</f>
        <v/>
      </c>
      <c r="V586" s="138">
        <f>IF(R586="","",IFERROR(IF(Разбивка_по_щитам!M586=0,"",Разбивка_по_щитам!M586),""))</f>
        <v/>
      </c>
      <c r="W586" s="156">
        <f t="shared" si="387"/>
        <v/>
      </c>
      <c r="X586" s="157">
        <f t="shared" si="388"/>
        <v/>
      </c>
      <c r="Y586" s="266"/>
      <c r="Z586" s="158">
        <f t="shared" si="389"/>
        <v/>
      </c>
      <c r="AA586" s="160">
        <f t="shared" si="390"/>
        <v/>
      </c>
      <c r="AB586" s="160">
        <f>IF(R586="","",IFERROR(LOOKUP(INDEX(Справочная!$I$4:$I$19,MATCH(VLOOKUP(R586,Исходные_данные,22,FALSE),Справочная!$J$4:$J$19,0)+1),{6,10,16,20,25,32,40,50,63,80,100,125}),""))</f>
        <v/>
      </c>
      <c r="AC586" s="160">
        <f t="shared" si="391"/>
        <v/>
      </c>
      <c r="AD586" s="161">
        <f t="shared" si="392"/>
        <v/>
      </c>
      <c r="AE586" s="161">
        <f>IF(AND(R586="",G586=""),"",_xlfn.TEXTJOIN("; ",TRUE,IF(AND(R586&lt;&gt;"",V586=""),"нет фазы",""),IF(AND(R586&lt;&gt;"",N(T586)=0),"нет мощности",""),IF(AND(P586&lt;&gt;"",COUNTIFS($A$3:$A$1000,A586,$P$3:$P$1000,P586)&gt;1),"дубль клеммы "&amp;P586,""),IF(AND(W586&lt;&gt;"",W586&lt;&gt;"ok"),W586,""),IF(X586&lt;&gt;"",X586,""),IF(AND(ISNUMBER(SEARCH("(5х",Q586)),N(AK586)=1),"5 жил на 1 фазе",""),IF(AND(AL586="R",E586&lt;&gt;"",N(AS586)=0),"розетка без 30 мА",""),IF(IFERROR(_xlfn.NUMBERVALUE(MID(Q586,FIND("-",Q586,FIND("L=",Q586))+1,FIND("%",Q586)-FIND("-",Q586,FIND("L=",Q586))-1),","),0)&gt;4,"потери &gt; 4 %","")))</f>
      </c>
      <c r="AF586" s="129">
        <f>IF(E586&lt;&gt;"",COUNTIFS($A$3:A586,A586,$E$3:E586,"?*"),IF(OR(A586&lt;&gt;A585,Y586="вручную"),"",AF585))</f>
        <v/>
      </c>
      <c r="AG586" s="129">
        <f t="shared" si="393"/>
        <v/>
      </c>
      <c r="AH586" s="129">
        <f t="shared" si="394"/>
        <v/>
      </c>
      <c r="AI586" s="129">
        <f t="shared" si="395"/>
        <v/>
      </c>
      <c r="AJ586" s="129">
        <f t="shared" si="396"/>
        <v/>
      </c>
      <c r="AK586" s="129">
        <f t="shared" si="397"/>
        <v/>
      </c>
      <c r="AL586" s="129">
        <f t="shared" si="398"/>
        <v/>
      </c>
      <c r="AM586" s="129">
        <f t="shared" si="399"/>
      </c>
      <c r="AN586" s="129">
        <f t="shared" si="400"/>
      </c>
      <c r="AO586" s="129">
        <f t="shared" si="401"/>
        <v/>
      </c>
      <c r="AP586" s="129">
        <f t="shared" si="402"/>
        <v/>
      </c>
      <c r="AQ586" s="129">
        <f t="shared" si="403"/>
        <v/>
      </c>
      <c r="AR586" s="129">
        <f t="shared" si="404"/>
        <v/>
      </c>
      <c r="AS586" s="129">
        <f t="shared" si="405"/>
        <v/>
      </c>
      <c r="AT586" s="129">
        <f t="shared" si="406"/>
        <v/>
      </c>
      <c r="AU586" s="129">
        <f t="shared" si="407"/>
        <v/>
      </c>
      <c r="AV586" s="129">
        <f t="shared" si="408"/>
        <v/>
      </c>
      <c r="AW586" s="129">
        <f>IF(AV586="","",AV586&amp;"."&amp;COUNTIFS($A$3:A586,A586,$AV$3:AV586,AV586))</f>
        <v/>
      </c>
      <c r="AX586" s="129">
        <f t="shared" si="409"/>
        <v/>
      </c>
      <c r="AY586" s="129">
        <f>IF(N586="б/к",0,IF(OR(ISNUMBER(SEARCH("L=",Разбивка_по_щитам!P586)),N586="+",N586="="),1,0))</f>
      </c>
      <c r="AZ586" s="129">
        <f t="shared" si="410"/>
        <v/>
      </c>
      <c r="BA586" s="129">
        <f t="shared" si="411"/>
      </c>
      <c r="BB586" s="129">
        <f t="shared" si="412"/>
      </c>
      <c r="BD586" s="129">
        <f t="shared" si="413"/>
      </c>
      <c r="BE586" s="129">
        <f t="shared" si="414"/>
      </c>
      <c r="BF586" s="129">
        <f t="shared" si="415"/>
      </c>
      <c r="BG586" s="129">
        <f t="shared" si="416"/>
        <v/>
      </c>
      <c r="BH586" s="129">
        <f t="shared" si="417"/>
        <v/>
      </c>
      <c r="BI586" s="129">
        <f t="shared" si="418"/>
        <v/>
      </c>
      <c r="BJ586" s="129">
        <f t="shared" si="419"/>
        <v/>
      </c>
      <c r="BK586" s="129">
        <f>IF(R586="","",IF(OR(BY586="",BY586=0),"BOX",IFERROR(IF(VLOOKUP(BY586,УГО_блоки,3,FALSE)&amp;""&lt;&gt;"",VLOOKUP(BY586,УГО_блоки,3,FALSE),VLOOKUP(BY586,УГО_блоки,2,FALSE)),BY586)))</f>
      </c>
      <c r="BL586" s="129">
        <f t="shared" si="421"/>
      </c>
      <c r="BM586" s="129">
        <f>IF(H586="","",IF(COUNTIF($H$3:H586,H586)=1,MAX($BM$2:BM585)+1,""))</f>
      </c>
      <c r="BN586" s="129">
        <f>IF(I586="","",IF(COUNTIF($I$3:I586,I586)+COUNTIF($J$2:J585,I586)+COUNTIF($K$2:K585,I586)=1,MAX($BN$2:BP585)+1,""))</f>
      </c>
      <c r="BO586" s="129">
        <f>IF(J586="","",IF(COUNTIF($I$3:I586,J586)+COUNTIF($J$3:J586,J586)+COUNTIF($K$2:K585,J586)=1,MAX($BN$2:BP585,BN586)+1,""))</f>
      </c>
      <c r="BP586" s="129">
        <f>IF(K586="","",IF(COUNTIF($I$3:I586,K586)+COUNTIF($J$3:J586,K586)+COUNTIF($K$3:K586,K586)=1,MAX($BN$2:BP585,BN586,BO586)+1,""))</f>
      </c>
      <c r="BQ586" s="129">
        <f>IF(AY586=1,IFERROR(MID(Q586,FIND(" (",Q586)+2,FIND(")",Q586,FIND(" (",Q586))-FIND(" (",Q586)-2),"?"),"")</f>
      </c>
      <c r="BR586" s="129">
        <f>IF(BQ586="","",IF(COUNTIF($BQ$3:BQ586,BQ586)=1,MAX($BR$2:BR585)+1,""))</f>
      </c>
      <c r="BS586" s="129">
        <f>IF(AW586="","",COUNTIF($AW$3:AW586,"?*"))</f>
      </c>
      <c r="BT586" s="129">
        <f>IF(OR(AW586="",AI586=""),"",IF(COUNTIFS($AW$3:AW586,"?*",$AI$3:AI586,AI586)=1,MAX($BT$2:BT585)+1,""))</f>
      </c>
      <c r="BU586" s="129">
        <f>IF(AE586="",0,IF(OR(ISNUMBER(SEARCH("дубль",AE586)),ISNUMBER(SEARCH("ПЕРЕГРУЗ",AE586)),ISNUMBER(SEARCH("ЗАЩИЩ",AE586)),ISNUMBER(SEARCH("КАНАЛ",AE586)),ISNUMBER(SEARCH("без 30",AE586))),2,1))</f>
      </c>
      <c r="BV586" s="129">
        <f>IF(R586="","",COUNTIF($R$3:R586,"?*"))</f>
      </c>
      <c r="BW586" s="129">
        <f>IF(AY586&lt;&gt;1,0,IF(MAX(IFERROR(--VLOOKUP(R586,УГО_спр,5,FALSE),0),IFERROR(--VLOOKUP(AL586,УГО_спр,5,FALSE),0),IFERROR(--VLOOKUP(LEFT(AL586,2),УГО_спр,5,FALSE),0))&gt;0,MAX(IFERROR(--VLOOKUP(R586,УГО_спр,5,FALSE),0),IFERROR(--VLOOKUP(AL586,УГО_спр,5,FALSE),0),IFERROR(--VLOOKUP(LEFT(AL586,2),УГО_спр,5,FALSE),0)),IF(IFERROR(--LEFT(SUBSTITUTE(BQ586,"x","х"),FIND("х",SUBSTITUTE(BQ586,"x","х"))-1),3)&gt;3,Каталог!$S$9,1)))</f>
      </c>
      <c r="BX586" s="129">
        <f>IF(AY586&lt;&gt;1,0,MAX(0,IFERROR(--LEFT(SUBSTITUTE(BQ586,"x","х"),FIND("х",SUBSTITUTE(BQ586,"x","х"))-1),3)-3*BW586))</f>
      </c>
      <c r="BY586" s="129">
        <f>IF(R586="","",IFERROR(VLOOKUP(R586,УГО_спр,2,FALSE),IFERROR(VLOOKUP(AL586,УГО_спр,2,FALSE),IFERROR(VLOOKUP(LEFT(AL586,2),УГО_спр,2,FALSE),""))))</f>
      </c>
    </row>
    <row r="587" spans="1:64" x14ac:dyDescent="0.3">
      <c r="A587" s="135">
        <f>IF(Разбивка_по_щитам!F587=0,"",Разбивка_по_щитам!F587)</f>
        <v/>
      </c>
      <c r="B587" s="138">
        <f>IF(A587="","",Разбивка_по_щитам!C587)</f>
        <v/>
      </c>
      <c r="C587" s="138">
        <f t="shared" si="382"/>
        <v/>
      </c>
      <c r="D587" s="266"/>
      <c r="E587" s="266"/>
      <c r="F587" s="267"/>
      <c r="G587" s="145">
        <f t="shared" si="383"/>
        <v/>
      </c>
      <c r="H587" s="145">
        <f t="shared" si="384"/>
        <v/>
      </c>
      <c r="I587" s="266"/>
      <c r="J587" s="267"/>
      <c r="K587" s="267"/>
      <c r="L587" s="266"/>
      <c r="M587" s="147">
        <f t="shared" si="385"/>
        <v/>
      </c>
      <c r="N587" s="267"/>
      <c r="O587" s="147">
        <f t="shared" si="386"/>
        <v/>
      </c>
      <c r="P587" s="268">
        <f>IF(AY587=1,"XT"&amp;COUNTIFS($A$3:A587,A587,$AY$3:AY587,1),"")</f>
        <v/>
      </c>
      <c r="Q587" s="152">
        <f>IF(R587="","",IFERROR(SUBSTITUTE(Разбивка_по_щитам!P587,CHAR(10)," "),""))</f>
        <v/>
      </c>
      <c r="R587" s="153">
        <f>IF(OR(Разбивка_по_щитам!H587="",Разбивка_по_щитам!H587=0),"",Разбивка_по_щитам!H587)</f>
        <v/>
      </c>
      <c r="S587" s="154">
        <f>IF(R587="","",IFERROR(Разбивка_по_щитам!J587&amp;"",""))</f>
        <v/>
      </c>
      <c r="T587" s="155">
        <f>IF(R587="","",IFERROR(--Разбивка_по_щитам!L587,""))</f>
        <v/>
      </c>
      <c r="U587" s="155">
        <f>IF(R587="","",IFERROR(--Разбивка_по_щитам!K587,""))</f>
        <v/>
      </c>
      <c r="V587" s="138">
        <f>IF(R587="","",IFERROR(IF(Разбивка_по_щитам!M587=0,"",Разбивка_по_щитам!M587),""))</f>
        <v/>
      </c>
      <c r="W587" s="156">
        <f t="shared" si="387"/>
        <v/>
      </c>
      <c r="X587" s="157">
        <f t="shared" si="388"/>
        <v/>
      </c>
      <c r="Y587" s="266"/>
      <c r="Z587" s="158">
        <f t="shared" si="389"/>
        <v/>
      </c>
      <c r="AA587" s="160">
        <f t="shared" si="390"/>
        <v/>
      </c>
      <c r="AB587" s="160">
        <f>IF(R587="","",IFERROR(LOOKUP(INDEX(Справочная!$I$4:$I$19,MATCH(VLOOKUP(R587,Исходные_данные,22,FALSE),Справочная!$J$4:$J$19,0)+1),{6,10,16,20,25,32,40,50,63,80,100,125}),""))</f>
        <v/>
      </c>
      <c r="AC587" s="160">
        <f t="shared" si="391"/>
        <v/>
      </c>
      <c r="AD587" s="161">
        <f t="shared" si="392"/>
        <v/>
      </c>
      <c r="AE587" s="161">
        <f>IF(AND(R587="",G587=""),"",_xlfn.TEXTJOIN("; ",TRUE,IF(AND(R587&lt;&gt;"",V587=""),"нет фазы",""),IF(AND(R587&lt;&gt;"",N(T587)=0),"нет мощности",""),IF(AND(P587&lt;&gt;"",COUNTIFS($A$3:$A$1000,A587,$P$3:$P$1000,P587)&gt;1),"дубль клеммы "&amp;P587,""),IF(AND(W587&lt;&gt;"",W587&lt;&gt;"ok"),W587,""),IF(X587&lt;&gt;"",X587,""),IF(AND(ISNUMBER(SEARCH("(5х",Q587)),N(AK587)=1),"5 жил на 1 фазе",""),IF(AND(AL587="R",E587&lt;&gt;"",N(AS587)=0),"розетка без 30 мА",""),IF(IFERROR(_xlfn.NUMBERVALUE(MID(Q587,FIND("-",Q587,FIND("L=",Q587))+1,FIND("%",Q587)-FIND("-",Q587,FIND("L=",Q587))-1),","),0)&gt;4,"потери &gt; 4 %","")))</f>
      </c>
      <c r="AF587" s="129">
        <f>IF(E587&lt;&gt;"",COUNTIFS($A$3:A587,A587,$E$3:E587,"?*"),IF(OR(A587&lt;&gt;A586,Y587="вручную"),"",AF586))</f>
        <v/>
      </c>
      <c r="AG587" s="129">
        <f t="shared" si="393"/>
        <v/>
      </c>
      <c r="AH587" s="129">
        <f t="shared" si="394"/>
        <v/>
      </c>
      <c r="AI587" s="129">
        <f t="shared" si="395"/>
        <v/>
      </c>
      <c r="AJ587" s="129">
        <f t="shared" si="396"/>
        <v/>
      </c>
      <c r="AK587" s="129">
        <f t="shared" si="397"/>
        <v/>
      </c>
      <c r="AL587" s="129">
        <f t="shared" si="398"/>
        <v/>
      </c>
      <c r="AM587" s="129">
        <f t="shared" si="399"/>
      </c>
      <c r="AN587" s="129">
        <f t="shared" si="400"/>
      </c>
      <c r="AO587" s="129">
        <f t="shared" si="401"/>
        <v/>
      </c>
      <c r="AP587" s="129">
        <f t="shared" si="402"/>
        <v/>
      </c>
      <c r="AQ587" s="129">
        <f t="shared" si="403"/>
        <v/>
      </c>
      <c r="AR587" s="129">
        <f t="shared" si="404"/>
        <v/>
      </c>
      <c r="AS587" s="129">
        <f t="shared" si="405"/>
        <v/>
      </c>
      <c r="AT587" s="129">
        <f t="shared" si="406"/>
        <v/>
      </c>
      <c r="AU587" s="129">
        <f t="shared" si="407"/>
        <v/>
      </c>
      <c r="AV587" s="129">
        <f t="shared" si="408"/>
        <v/>
      </c>
      <c r="AW587" s="129">
        <f>IF(AV587="","",AV587&amp;"."&amp;COUNTIFS($A$3:A587,A587,$AV$3:AV587,AV587))</f>
        <v/>
      </c>
      <c r="AX587" s="129">
        <f t="shared" si="409"/>
        <v/>
      </c>
      <c r="AY587" s="129">
        <f>IF(N587="б/к",0,IF(OR(ISNUMBER(SEARCH("L=",Разбивка_по_щитам!P587)),N587="+",N587="="),1,0))</f>
      </c>
      <c r="AZ587" s="129">
        <f t="shared" si="410"/>
        <v/>
      </c>
      <c r="BA587" s="129">
        <f t="shared" si="411"/>
      </c>
      <c r="BB587" s="129">
        <f t="shared" si="412"/>
      </c>
      <c r="BD587" s="129">
        <f t="shared" si="413"/>
      </c>
      <c r="BE587" s="129">
        <f t="shared" si="414"/>
      </c>
      <c r="BF587" s="129">
        <f t="shared" si="415"/>
      </c>
      <c r="BG587" s="129">
        <f t="shared" si="416"/>
        <v/>
      </c>
      <c r="BH587" s="129">
        <f t="shared" si="417"/>
        <v/>
      </c>
      <c r="BI587" s="129">
        <f t="shared" si="418"/>
        <v/>
      </c>
      <c r="BJ587" s="129">
        <f t="shared" si="419"/>
        <v/>
      </c>
      <c r="BK587" s="129">
        <f>IF(R587="","",IF(OR(BY587="",BY587=0),"BOX",IFERROR(IF(VLOOKUP(BY587,УГО_блоки,3,FALSE)&amp;""&lt;&gt;"",VLOOKUP(BY587,УГО_блоки,3,FALSE),VLOOKUP(BY587,УГО_блоки,2,FALSE)),BY587)))</f>
      </c>
      <c r="BL587" s="129">
        <f t="shared" si="421"/>
      </c>
      <c r="BM587" s="129">
        <f>IF(H587="","",IF(COUNTIF($H$3:H587,H587)=1,MAX($BM$2:BM586)+1,""))</f>
      </c>
      <c r="BN587" s="129">
        <f>IF(I587="","",IF(COUNTIF($I$3:I587,I587)+COUNTIF($J$2:J586,I587)+COUNTIF($K$2:K586,I587)=1,MAX($BN$2:BP586)+1,""))</f>
      </c>
      <c r="BO587" s="129">
        <f>IF(J587="","",IF(COUNTIF($I$3:I587,J587)+COUNTIF($J$3:J587,J587)+COUNTIF($K$2:K586,J587)=1,MAX($BN$2:BP586,BN587)+1,""))</f>
      </c>
      <c r="BP587" s="129">
        <f>IF(K587="","",IF(COUNTIF($I$3:I587,K587)+COUNTIF($J$3:J587,K587)+COUNTIF($K$3:K587,K587)=1,MAX($BN$2:BP586,BN587,BO587)+1,""))</f>
      </c>
      <c r="BQ587" s="129">
        <f>IF(AY587=1,IFERROR(MID(Q587,FIND(" (",Q587)+2,FIND(")",Q587,FIND(" (",Q587))-FIND(" (",Q587)-2),"?"),"")</f>
      </c>
      <c r="BR587" s="129">
        <f>IF(BQ587="","",IF(COUNTIF($BQ$3:BQ587,BQ587)=1,MAX($BR$2:BR586)+1,""))</f>
      </c>
      <c r="BS587" s="129">
        <f>IF(AW587="","",COUNTIF($AW$3:AW587,"?*"))</f>
      </c>
      <c r="BT587" s="129">
        <f>IF(OR(AW587="",AI587=""),"",IF(COUNTIFS($AW$3:AW587,"?*",$AI$3:AI587,AI587)=1,MAX($BT$2:BT586)+1,""))</f>
      </c>
      <c r="BU587" s="129">
        <f>IF(AE587="",0,IF(OR(ISNUMBER(SEARCH("дубль",AE587)),ISNUMBER(SEARCH("ПЕРЕГРУЗ",AE587)),ISNUMBER(SEARCH("ЗАЩИЩ",AE587)),ISNUMBER(SEARCH("КАНАЛ",AE587)),ISNUMBER(SEARCH("без 30",AE587))),2,1))</f>
      </c>
      <c r="BV587" s="129">
        <f>IF(R587="","",COUNTIF($R$3:R587,"?*"))</f>
      </c>
      <c r="BW587" s="129">
        <f>IF(AY587&lt;&gt;1,0,IF(MAX(IFERROR(--VLOOKUP(R587,УГО_спр,5,FALSE),0),IFERROR(--VLOOKUP(AL587,УГО_спр,5,FALSE),0),IFERROR(--VLOOKUP(LEFT(AL587,2),УГО_спр,5,FALSE),0))&gt;0,MAX(IFERROR(--VLOOKUP(R587,УГО_спр,5,FALSE),0),IFERROR(--VLOOKUP(AL587,УГО_спр,5,FALSE),0),IFERROR(--VLOOKUP(LEFT(AL587,2),УГО_спр,5,FALSE),0)),IF(IFERROR(--LEFT(SUBSTITUTE(BQ587,"x","х"),FIND("х",SUBSTITUTE(BQ587,"x","х"))-1),3)&gt;3,Каталог!$S$9,1)))</f>
      </c>
      <c r="BX587" s="129">
        <f>IF(AY587&lt;&gt;1,0,MAX(0,IFERROR(--LEFT(SUBSTITUTE(BQ587,"x","х"),FIND("х",SUBSTITUTE(BQ587,"x","х"))-1),3)-3*BW587))</f>
      </c>
      <c r="BY587" s="129">
        <f>IF(R587="","",IFERROR(VLOOKUP(R587,УГО_спр,2,FALSE),IFERROR(VLOOKUP(AL587,УГО_спр,2,FALSE),IFERROR(VLOOKUP(LEFT(AL587,2),УГО_спр,2,FALSE),""))))</f>
      </c>
    </row>
    <row r="588" spans="1:64" x14ac:dyDescent="0.3">
      <c r="A588" s="135">
        <f>IF(Разбивка_по_щитам!F588=0,"",Разбивка_по_щитам!F588)</f>
        <v/>
      </c>
      <c r="B588" s="138">
        <f>IF(A588="","",Разбивка_по_щитам!C588)</f>
        <v/>
      </c>
      <c r="C588" s="138">
        <f t="shared" si="382"/>
        <v/>
      </c>
      <c r="D588" s="266"/>
      <c r="E588" s="266"/>
      <c r="F588" s="267"/>
      <c r="G588" s="145">
        <f t="shared" si="383"/>
        <v/>
      </c>
      <c r="H588" s="145">
        <f t="shared" si="384"/>
        <v/>
      </c>
      <c r="I588" s="266"/>
      <c r="J588" s="267"/>
      <c r="K588" s="267"/>
      <c r="L588" s="266"/>
      <c r="M588" s="147">
        <f t="shared" si="385"/>
        <v/>
      </c>
      <c r="N588" s="267"/>
      <c r="O588" s="147">
        <f t="shared" si="386"/>
        <v/>
      </c>
      <c r="P588" s="268">
        <f>IF(AY588=1,"XT"&amp;COUNTIFS($A$3:A588,A588,$AY$3:AY588,1),"")</f>
        <v/>
      </c>
      <c r="Q588" s="152">
        <f>IF(R588="","",IFERROR(SUBSTITUTE(Разбивка_по_щитам!P588,CHAR(10)," "),""))</f>
        <v/>
      </c>
      <c r="R588" s="153">
        <f>IF(OR(Разбивка_по_щитам!H588="",Разбивка_по_щитам!H588=0),"",Разбивка_по_щитам!H588)</f>
        <v/>
      </c>
      <c r="S588" s="154">
        <f>IF(R588="","",IFERROR(Разбивка_по_щитам!J588&amp;"",""))</f>
        <v/>
      </c>
      <c r="T588" s="155">
        <f>IF(R588="","",IFERROR(--Разбивка_по_щитам!L588,""))</f>
        <v/>
      </c>
      <c r="U588" s="155">
        <f>IF(R588="","",IFERROR(--Разбивка_по_щитам!K588,""))</f>
        <v/>
      </c>
      <c r="V588" s="138">
        <f>IF(R588="","",IFERROR(IF(Разбивка_по_щитам!M588=0,"",Разбивка_по_щитам!M588),""))</f>
        <v/>
      </c>
      <c r="W588" s="156">
        <f t="shared" si="387"/>
        <v/>
      </c>
      <c r="X588" s="157">
        <f t="shared" si="388"/>
        <v/>
      </c>
      <c r="Y588" s="266"/>
      <c r="Z588" s="158">
        <f t="shared" si="389"/>
        <v/>
      </c>
      <c r="AA588" s="160">
        <f t="shared" si="390"/>
        <v/>
      </c>
      <c r="AB588" s="160">
        <f>IF(R588="","",IFERROR(LOOKUP(INDEX(Справочная!$I$4:$I$19,MATCH(VLOOKUP(R588,Исходные_данные,22,FALSE),Справочная!$J$4:$J$19,0)+1),{6,10,16,20,25,32,40,50,63,80,100,125}),""))</f>
        <v/>
      </c>
      <c r="AC588" s="160">
        <f t="shared" si="391"/>
        <v/>
      </c>
      <c r="AD588" s="161">
        <f t="shared" si="392"/>
        <v/>
      </c>
      <c r="AE588" s="161">
        <f>IF(AND(R588="",G588=""),"",_xlfn.TEXTJOIN("; ",TRUE,IF(AND(R588&lt;&gt;"",V588=""),"нет фазы",""),IF(AND(R588&lt;&gt;"",N(T588)=0),"нет мощности",""),IF(AND(P588&lt;&gt;"",COUNTIFS($A$3:$A$1000,A588,$P$3:$P$1000,P588)&gt;1),"дубль клеммы "&amp;P588,""),IF(AND(W588&lt;&gt;"",W588&lt;&gt;"ok"),W588,""),IF(X588&lt;&gt;"",X588,""),IF(AND(ISNUMBER(SEARCH("(5х",Q588)),N(AK588)=1),"5 жил на 1 фазе",""),IF(AND(AL588="R",E588&lt;&gt;"",N(AS588)=0),"розетка без 30 мА",""),IF(IFERROR(_xlfn.NUMBERVALUE(MID(Q588,FIND("-",Q588,FIND("L=",Q588))+1,FIND("%",Q588)-FIND("-",Q588,FIND("L=",Q588))-1),","),0)&gt;4,"потери &gt; 4 %","")))</f>
      </c>
      <c r="AF588" s="129">
        <f>IF(E588&lt;&gt;"",COUNTIFS($A$3:A588,A588,$E$3:E588,"?*"),IF(OR(A588&lt;&gt;A587,Y588="вручную"),"",AF587))</f>
        <v/>
      </c>
      <c r="AG588" s="129">
        <f t="shared" si="393"/>
        <v/>
      </c>
      <c r="AH588" s="129">
        <f t="shared" si="394"/>
        <v/>
      </c>
      <c r="AI588" s="129">
        <f t="shared" si="395"/>
        <v/>
      </c>
      <c r="AJ588" s="129">
        <f t="shared" si="396"/>
        <v/>
      </c>
      <c r="AK588" s="129">
        <f t="shared" si="397"/>
        <v/>
      </c>
      <c r="AL588" s="129">
        <f t="shared" si="398"/>
        <v/>
      </c>
      <c r="AM588" s="129">
        <f t="shared" si="399"/>
      </c>
      <c r="AN588" s="129">
        <f t="shared" si="400"/>
      </c>
      <c r="AO588" s="129">
        <f t="shared" si="401"/>
        <v/>
      </c>
      <c r="AP588" s="129">
        <f t="shared" si="402"/>
        <v/>
      </c>
      <c r="AQ588" s="129">
        <f t="shared" si="403"/>
        <v/>
      </c>
      <c r="AR588" s="129">
        <f t="shared" si="404"/>
        <v/>
      </c>
      <c r="AS588" s="129">
        <f t="shared" si="405"/>
        <v/>
      </c>
      <c r="AT588" s="129">
        <f t="shared" si="406"/>
        <v/>
      </c>
      <c r="AU588" s="129">
        <f t="shared" si="407"/>
        <v/>
      </c>
      <c r="AV588" s="129">
        <f t="shared" si="408"/>
        <v/>
      </c>
      <c r="AW588" s="129">
        <f>IF(AV588="","",AV588&amp;"."&amp;COUNTIFS($A$3:A588,A588,$AV$3:AV588,AV588))</f>
        <v/>
      </c>
      <c r="AX588" s="129">
        <f t="shared" si="409"/>
        <v/>
      </c>
      <c r="AY588" s="129">
        <f>IF(N588="б/к",0,IF(OR(ISNUMBER(SEARCH("L=",Разбивка_по_щитам!P588)),N588="+",N588="="),1,0))</f>
      </c>
      <c r="AZ588" s="129">
        <f t="shared" si="410"/>
        <v/>
      </c>
      <c r="BA588" s="129">
        <f t="shared" si="411"/>
      </c>
      <c r="BB588" s="129">
        <f t="shared" si="412"/>
      </c>
      <c r="BD588" s="129">
        <f t="shared" si="413"/>
      </c>
      <c r="BE588" s="129">
        <f t="shared" si="414"/>
      </c>
      <c r="BF588" s="129">
        <f t="shared" si="415"/>
      </c>
      <c r="BG588" s="129">
        <f t="shared" si="416"/>
        <v/>
      </c>
      <c r="BH588" s="129">
        <f t="shared" si="417"/>
        <v/>
      </c>
      <c r="BI588" s="129">
        <f t="shared" si="418"/>
        <v/>
      </c>
      <c r="BJ588" s="129">
        <f t="shared" si="419"/>
        <v/>
      </c>
      <c r="BK588" s="129">
        <f>IF(R588="","",IF(OR(BY588="",BY588=0),"BOX",IFERROR(IF(VLOOKUP(BY588,УГО_блоки,3,FALSE)&amp;""&lt;&gt;"",VLOOKUP(BY588,УГО_блоки,3,FALSE),VLOOKUP(BY588,УГО_блоки,2,FALSE)),BY588)))</f>
      </c>
      <c r="BL588" s="129">
        <f t="shared" si="421"/>
      </c>
      <c r="BM588" s="129">
        <f>IF(H588="","",IF(COUNTIF($H$3:H588,H588)=1,MAX($BM$2:BM587)+1,""))</f>
      </c>
      <c r="BN588" s="129">
        <f>IF(I588="","",IF(COUNTIF($I$3:I588,I588)+COUNTIF($J$2:J587,I588)+COUNTIF($K$2:K587,I588)=1,MAX($BN$2:BP587)+1,""))</f>
      </c>
      <c r="BO588" s="129">
        <f>IF(J588="","",IF(COUNTIF($I$3:I588,J588)+COUNTIF($J$3:J588,J588)+COUNTIF($K$2:K587,J588)=1,MAX($BN$2:BP587,BN588)+1,""))</f>
      </c>
      <c r="BP588" s="129">
        <f>IF(K588="","",IF(COUNTIF($I$3:I588,K588)+COUNTIF($J$3:J588,K588)+COUNTIF($K$3:K588,K588)=1,MAX($BN$2:BP587,BN588,BO588)+1,""))</f>
      </c>
      <c r="BQ588" s="129">
        <f>IF(AY588=1,IFERROR(MID(Q588,FIND(" (",Q588)+2,FIND(")",Q588,FIND(" (",Q588))-FIND(" (",Q588)-2),"?"),"")</f>
      </c>
      <c r="BR588" s="129">
        <f>IF(BQ588="","",IF(COUNTIF($BQ$3:BQ588,BQ588)=1,MAX($BR$2:BR587)+1,""))</f>
      </c>
      <c r="BS588" s="129">
        <f>IF(AW588="","",COUNTIF($AW$3:AW588,"?*"))</f>
      </c>
      <c r="BT588" s="129">
        <f>IF(OR(AW588="",AI588=""),"",IF(COUNTIFS($AW$3:AW588,"?*",$AI$3:AI588,AI588)=1,MAX($BT$2:BT587)+1,""))</f>
      </c>
      <c r="BU588" s="129">
        <f>IF(AE588="",0,IF(OR(ISNUMBER(SEARCH("дубль",AE588)),ISNUMBER(SEARCH("ПЕРЕГРУЗ",AE588)),ISNUMBER(SEARCH("ЗАЩИЩ",AE588)),ISNUMBER(SEARCH("КАНАЛ",AE588)),ISNUMBER(SEARCH("без 30",AE588))),2,1))</f>
      </c>
      <c r="BV588" s="129">
        <f>IF(R588="","",COUNTIF($R$3:R588,"?*"))</f>
      </c>
      <c r="BW588" s="129">
        <f>IF(AY588&lt;&gt;1,0,IF(MAX(IFERROR(--VLOOKUP(R588,УГО_спр,5,FALSE),0),IFERROR(--VLOOKUP(AL588,УГО_спр,5,FALSE),0),IFERROR(--VLOOKUP(LEFT(AL588,2),УГО_спр,5,FALSE),0))&gt;0,MAX(IFERROR(--VLOOKUP(R588,УГО_спр,5,FALSE),0),IFERROR(--VLOOKUP(AL588,УГО_спр,5,FALSE),0),IFERROR(--VLOOKUP(LEFT(AL588,2),УГО_спр,5,FALSE),0)),IF(IFERROR(--LEFT(SUBSTITUTE(BQ588,"x","х"),FIND("х",SUBSTITUTE(BQ588,"x","х"))-1),3)&gt;3,Каталог!$S$9,1)))</f>
      </c>
      <c r="BX588" s="129">
        <f>IF(AY588&lt;&gt;1,0,MAX(0,IFERROR(--LEFT(SUBSTITUTE(BQ588,"x","х"),FIND("х",SUBSTITUTE(BQ588,"x","х"))-1),3)-3*BW588))</f>
      </c>
      <c r="BY588" s="129">
        <f>IF(R588="","",IFERROR(VLOOKUP(R588,УГО_спр,2,FALSE),IFERROR(VLOOKUP(AL588,УГО_спр,2,FALSE),IFERROR(VLOOKUP(LEFT(AL588,2),УГО_спр,2,FALSE),""))))</f>
      </c>
    </row>
    <row r="589" spans="1:64" x14ac:dyDescent="0.3">
      <c r="A589" s="135">
        <f>IF(Разбивка_по_щитам!F589=0,"",Разбивка_по_щитам!F589)</f>
        <v/>
      </c>
      <c r="B589" s="138">
        <f>IF(A589="","",Разбивка_по_щитам!C589)</f>
        <v/>
      </c>
      <c r="C589" s="138">
        <f t="shared" si="382"/>
        <v/>
      </c>
      <c r="D589" s="266"/>
      <c r="E589" s="266"/>
      <c r="F589" s="267"/>
      <c r="G589" s="145">
        <f t="shared" si="383"/>
        <v/>
      </c>
      <c r="H589" s="145">
        <f t="shared" si="384"/>
        <v/>
      </c>
      <c r="I589" s="266"/>
      <c r="J589" s="267"/>
      <c r="K589" s="267"/>
      <c r="L589" s="266"/>
      <c r="M589" s="147">
        <f t="shared" si="385"/>
        <v/>
      </c>
      <c r="N589" s="267"/>
      <c r="O589" s="147">
        <f t="shared" si="386"/>
        <v/>
      </c>
      <c r="P589" s="268">
        <f>IF(AY589=1,"XT"&amp;COUNTIFS($A$3:A589,A589,$AY$3:AY589,1),"")</f>
        <v/>
      </c>
      <c r="Q589" s="152">
        <f>IF(R589="","",IFERROR(SUBSTITUTE(Разбивка_по_щитам!P589,CHAR(10)," "),""))</f>
        <v/>
      </c>
      <c r="R589" s="153">
        <f>IF(OR(Разбивка_по_щитам!H589="",Разбивка_по_щитам!H589=0),"",Разбивка_по_щитам!H589)</f>
        <v/>
      </c>
      <c r="S589" s="154">
        <f>IF(R589="","",IFERROR(Разбивка_по_щитам!J589&amp;"",""))</f>
        <v/>
      </c>
      <c r="T589" s="155">
        <f>IF(R589="","",IFERROR(--Разбивка_по_щитам!L589,""))</f>
        <v/>
      </c>
      <c r="U589" s="155">
        <f>IF(R589="","",IFERROR(--Разбивка_по_щитам!K589,""))</f>
        <v/>
      </c>
      <c r="V589" s="138">
        <f>IF(R589="","",IFERROR(IF(Разбивка_по_щитам!M589=0,"",Разбивка_по_щитам!M589),""))</f>
        <v/>
      </c>
      <c r="W589" s="156">
        <f t="shared" si="387"/>
        <v/>
      </c>
      <c r="X589" s="157">
        <f t="shared" si="388"/>
        <v/>
      </c>
      <c r="Y589" s="266"/>
      <c r="Z589" s="158">
        <f t="shared" si="389"/>
        <v/>
      </c>
      <c r="AA589" s="160">
        <f t="shared" si="390"/>
        <v/>
      </c>
      <c r="AB589" s="160">
        <f>IF(R589="","",IFERROR(LOOKUP(INDEX(Справочная!$I$4:$I$19,MATCH(VLOOKUP(R589,Исходные_данные,22,FALSE),Справочная!$J$4:$J$19,0)+1),{6,10,16,20,25,32,40,50,63,80,100,125}),""))</f>
        <v/>
      </c>
      <c r="AC589" s="160">
        <f t="shared" si="391"/>
        <v/>
      </c>
      <c r="AD589" s="161">
        <f t="shared" si="392"/>
        <v/>
      </c>
      <c r="AE589" s="161">
        <f>IF(AND(R589="",G589=""),"",_xlfn.TEXTJOIN("; ",TRUE,IF(AND(R589&lt;&gt;"",V589=""),"нет фазы",""),IF(AND(R589&lt;&gt;"",N(T589)=0),"нет мощности",""),IF(AND(P589&lt;&gt;"",COUNTIFS($A$3:$A$1000,A589,$P$3:$P$1000,P589)&gt;1),"дубль клеммы "&amp;P589,""),IF(AND(W589&lt;&gt;"",W589&lt;&gt;"ok"),W589,""),IF(X589&lt;&gt;"",X589,""),IF(AND(ISNUMBER(SEARCH("(5х",Q589)),N(AK589)=1),"5 жил на 1 фазе",""),IF(AND(AL589="R",E589&lt;&gt;"",N(AS589)=0),"розетка без 30 мА",""),IF(IFERROR(_xlfn.NUMBERVALUE(MID(Q589,FIND("-",Q589,FIND("L=",Q589))+1,FIND("%",Q589)-FIND("-",Q589,FIND("L=",Q589))-1),","),0)&gt;4,"потери &gt; 4 %","")))</f>
      </c>
      <c r="AF589" s="129">
        <f>IF(E589&lt;&gt;"",COUNTIFS($A$3:A589,A589,$E$3:E589,"?*"),IF(OR(A589&lt;&gt;A588,Y589="вручную"),"",AF588))</f>
        <v/>
      </c>
      <c r="AG589" s="129">
        <f t="shared" si="393"/>
        <v/>
      </c>
      <c r="AH589" s="129">
        <f t="shared" si="394"/>
        <v/>
      </c>
      <c r="AI589" s="129">
        <f t="shared" si="395"/>
        <v/>
      </c>
      <c r="AJ589" s="129">
        <f t="shared" si="396"/>
        <v/>
      </c>
      <c r="AK589" s="129">
        <f t="shared" si="397"/>
        <v/>
      </c>
      <c r="AL589" s="129">
        <f t="shared" si="398"/>
        <v/>
      </c>
      <c r="AM589" s="129">
        <f t="shared" si="399"/>
      </c>
      <c r="AN589" s="129">
        <f t="shared" si="400"/>
      </c>
      <c r="AO589" s="129">
        <f t="shared" si="401"/>
        <v/>
      </c>
      <c r="AP589" s="129">
        <f t="shared" si="402"/>
        <v/>
      </c>
      <c r="AQ589" s="129">
        <f t="shared" si="403"/>
        <v/>
      </c>
      <c r="AR589" s="129">
        <f t="shared" si="404"/>
        <v/>
      </c>
      <c r="AS589" s="129">
        <f t="shared" si="405"/>
        <v/>
      </c>
      <c r="AT589" s="129">
        <f t="shared" si="406"/>
        <v/>
      </c>
      <c r="AU589" s="129">
        <f t="shared" si="407"/>
        <v/>
      </c>
      <c r="AV589" s="129">
        <f t="shared" si="408"/>
        <v/>
      </c>
      <c r="AW589" s="129">
        <f>IF(AV589="","",AV589&amp;"."&amp;COUNTIFS($A$3:A589,A589,$AV$3:AV589,AV589))</f>
        <v/>
      </c>
      <c r="AX589" s="129">
        <f t="shared" si="409"/>
        <v/>
      </c>
      <c r="AY589" s="129">
        <f>IF(N589="б/к",0,IF(OR(ISNUMBER(SEARCH("L=",Разбивка_по_щитам!P589)),N589="+",N589="="),1,0))</f>
      </c>
      <c r="AZ589" s="129">
        <f t="shared" si="410"/>
        <v/>
      </c>
      <c r="BA589" s="129">
        <f t="shared" si="411"/>
      </c>
      <c r="BB589" s="129">
        <f t="shared" si="412"/>
      </c>
      <c r="BD589" s="129">
        <f t="shared" si="413"/>
      </c>
      <c r="BE589" s="129">
        <f t="shared" si="414"/>
      </c>
      <c r="BF589" s="129">
        <f t="shared" si="415"/>
      </c>
      <c r="BG589" s="129">
        <f t="shared" si="416"/>
        <v/>
      </c>
      <c r="BH589" s="129">
        <f t="shared" si="417"/>
        <v/>
      </c>
      <c r="BI589" s="129">
        <f t="shared" si="418"/>
        <v/>
      </c>
      <c r="BJ589" s="129">
        <f t="shared" si="419"/>
        <v/>
      </c>
      <c r="BK589" s="129">
        <f>IF(R589="","",IF(OR(BY589="",BY589=0),"BOX",IFERROR(IF(VLOOKUP(BY589,УГО_блоки,3,FALSE)&amp;""&lt;&gt;"",VLOOKUP(BY589,УГО_блоки,3,FALSE),VLOOKUP(BY589,УГО_блоки,2,FALSE)),BY589)))</f>
      </c>
      <c r="BL589" s="129">
        <f t="shared" si="421"/>
      </c>
      <c r="BM589" s="129">
        <f>IF(H589="","",IF(COUNTIF($H$3:H589,H589)=1,MAX($BM$2:BM588)+1,""))</f>
      </c>
      <c r="BN589" s="129">
        <f>IF(I589="","",IF(COUNTIF($I$3:I589,I589)+COUNTIF($J$2:J588,I589)+COUNTIF($K$2:K588,I589)=1,MAX($BN$2:BP588)+1,""))</f>
      </c>
      <c r="BO589" s="129">
        <f>IF(J589="","",IF(COUNTIF($I$3:I589,J589)+COUNTIF($J$3:J589,J589)+COUNTIF($K$2:K588,J589)=1,MAX($BN$2:BP588,BN589)+1,""))</f>
      </c>
      <c r="BP589" s="129">
        <f>IF(K589="","",IF(COUNTIF($I$3:I589,K589)+COUNTIF($J$3:J589,K589)+COUNTIF($K$3:K589,K589)=1,MAX($BN$2:BP588,BN589,BO589)+1,""))</f>
      </c>
      <c r="BQ589" s="129">
        <f>IF(AY589=1,IFERROR(MID(Q589,FIND(" (",Q589)+2,FIND(")",Q589,FIND(" (",Q589))-FIND(" (",Q589)-2),"?"),"")</f>
      </c>
      <c r="BR589" s="129">
        <f>IF(BQ589="","",IF(COUNTIF($BQ$3:BQ589,BQ589)=1,MAX($BR$2:BR588)+1,""))</f>
      </c>
      <c r="BS589" s="129">
        <f>IF(AW589="","",COUNTIF($AW$3:AW589,"?*"))</f>
      </c>
      <c r="BT589" s="129">
        <f>IF(OR(AW589="",AI589=""),"",IF(COUNTIFS($AW$3:AW589,"?*",$AI$3:AI589,AI589)=1,MAX($BT$2:BT588)+1,""))</f>
      </c>
      <c r="BU589" s="129">
        <f>IF(AE589="",0,IF(OR(ISNUMBER(SEARCH("дубль",AE589)),ISNUMBER(SEARCH("ПЕРЕГРУЗ",AE589)),ISNUMBER(SEARCH("ЗАЩИЩ",AE589)),ISNUMBER(SEARCH("КАНАЛ",AE589)),ISNUMBER(SEARCH("без 30",AE589))),2,1))</f>
      </c>
      <c r="BV589" s="129">
        <f>IF(R589="","",COUNTIF($R$3:R589,"?*"))</f>
      </c>
      <c r="BW589" s="129">
        <f>IF(AY589&lt;&gt;1,0,IF(MAX(IFERROR(--VLOOKUP(R589,УГО_спр,5,FALSE),0),IFERROR(--VLOOKUP(AL589,УГО_спр,5,FALSE),0),IFERROR(--VLOOKUP(LEFT(AL589,2),УГО_спр,5,FALSE),0))&gt;0,MAX(IFERROR(--VLOOKUP(R589,УГО_спр,5,FALSE),0),IFERROR(--VLOOKUP(AL589,УГО_спр,5,FALSE),0),IFERROR(--VLOOKUP(LEFT(AL589,2),УГО_спр,5,FALSE),0)),IF(IFERROR(--LEFT(SUBSTITUTE(BQ589,"x","х"),FIND("х",SUBSTITUTE(BQ589,"x","х"))-1),3)&gt;3,Каталог!$S$9,1)))</f>
      </c>
      <c r="BX589" s="129">
        <f>IF(AY589&lt;&gt;1,0,MAX(0,IFERROR(--LEFT(SUBSTITUTE(BQ589,"x","х"),FIND("х",SUBSTITUTE(BQ589,"x","х"))-1),3)-3*BW589))</f>
      </c>
      <c r="BY589" s="129">
        <f>IF(R589="","",IFERROR(VLOOKUP(R589,УГО_спр,2,FALSE),IFERROR(VLOOKUP(AL589,УГО_спр,2,FALSE),IFERROR(VLOOKUP(LEFT(AL589,2),УГО_спр,2,FALSE),""))))</f>
      </c>
    </row>
    <row r="590" spans="1:64" x14ac:dyDescent="0.3">
      <c r="A590" s="135">
        <f>IF(Разбивка_по_щитам!F590=0,"",Разбивка_по_щитам!F590)</f>
        <v/>
      </c>
      <c r="B590" s="138">
        <f>IF(A590="","",Разбивка_по_щитам!C590)</f>
        <v/>
      </c>
      <c r="C590" s="138">
        <f t="shared" si="382"/>
        <v/>
      </c>
      <c r="D590" s="266"/>
      <c r="E590" s="266"/>
      <c r="F590" s="267"/>
      <c r="G590" s="145">
        <f t="shared" si="383"/>
        <v/>
      </c>
      <c r="H590" s="145">
        <f t="shared" si="384"/>
        <v/>
      </c>
      <c r="I590" s="266"/>
      <c r="J590" s="267"/>
      <c r="K590" s="267"/>
      <c r="L590" s="266"/>
      <c r="M590" s="147">
        <f t="shared" si="385"/>
        <v/>
      </c>
      <c r="N590" s="267"/>
      <c r="O590" s="147">
        <f t="shared" si="386"/>
        <v/>
      </c>
      <c r="P590" s="268">
        <f>IF(AY590=1,"XT"&amp;COUNTIFS($A$3:A590,A590,$AY$3:AY590,1),"")</f>
        <v/>
      </c>
      <c r="Q590" s="152">
        <f>IF(R590="","",IFERROR(SUBSTITUTE(Разбивка_по_щитам!P590,CHAR(10)," "),""))</f>
        <v/>
      </c>
      <c r="R590" s="153">
        <f>IF(OR(Разбивка_по_щитам!H590="",Разбивка_по_щитам!H590=0),"",Разбивка_по_щитам!H590)</f>
        <v/>
      </c>
      <c r="S590" s="154">
        <f>IF(R590="","",IFERROR(Разбивка_по_щитам!J590&amp;"",""))</f>
        <v/>
      </c>
      <c r="T590" s="155">
        <f>IF(R590="","",IFERROR(--Разбивка_по_щитам!L590,""))</f>
        <v/>
      </c>
      <c r="U590" s="155">
        <f>IF(R590="","",IFERROR(--Разбивка_по_щитам!K590,""))</f>
        <v/>
      </c>
      <c r="V590" s="138">
        <f>IF(R590="","",IFERROR(IF(Разбивка_по_щитам!M590=0,"",Разбивка_по_щитам!M590),""))</f>
        <v/>
      </c>
      <c r="W590" s="156">
        <f t="shared" si="387"/>
        <v/>
      </c>
      <c r="X590" s="157">
        <f t="shared" si="388"/>
        <v/>
      </c>
      <c r="Y590" s="266"/>
      <c r="Z590" s="158">
        <f t="shared" si="389"/>
        <v/>
      </c>
      <c r="AA590" s="160">
        <f t="shared" si="390"/>
        <v/>
      </c>
      <c r="AB590" s="160">
        <f>IF(R590="","",IFERROR(LOOKUP(INDEX(Справочная!$I$4:$I$19,MATCH(VLOOKUP(R590,Исходные_данные,22,FALSE),Справочная!$J$4:$J$19,0)+1),{6,10,16,20,25,32,40,50,63,80,100,125}),""))</f>
        <v/>
      </c>
      <c r="AC590" s="160">
        <f t="shared" si="391"/>
        <v/>
      </c>
      <c r="AD590" s="161">
        <f t="shared" si="392"/>
        <v/>
      </c>
      <c r="AE590" s="161">
        <f>IF(AND(R590="",G590=""),"",_xlfn.TEXTJOIN("; ",TRUE,IF(AND(R590&lt;&gt;"",V590=""),"нет фазы",""),IF(AND(R590&lt;&gt;"",N(T590)=0),"нет мощности",""),IF(AND(P590&lt;&gt;"",COUNTIFS($A$3:$A$1000,A590,$P$3:$P$1000,P590)&gt;1),"дубль клеммы "&amp;P590,""),IF(AND(W590&lt;&gt;"",W590&lt;&gt;"ok"),W590,""),IF(X590&lt;&gt;"",X590,""),IF(AND(ISNUMBER(SEARCH("(5х",Q590)),N(AK590)=1),"5 жил на 1 фазе",""),IF(AND(AL590="R",E590&lt;&gt;"",N(AS590)=0),"розетка без 30 мА",""),IF(IFERROR(_xlfn.NUMBERVALUE(MID(Q590,FIND("-",Q590,FIND("L=",Q590))+1,FIND("%",Q590)-FIND("-",Q590,FIND("L=",Q590))-1),","),0)&gt;4,"потери &gt; 4 %","")))</f>
      </c>
      <c r="AF590" s="129">
        <f>IF(E590&lt;&gt;"",COUNTIFS($A$3:A590,A590,$E$3:E590,"?*"),IF(OR(A590&lt;&gt;A589,Y590="вручную"),"",AF589))</f>
        <v/>
      </c>
      <c r="AG590" s="129">
        <f t="shared" si="393"/>
        <v/>
      </c>
      <c r="AH590" s="129">
        <f t="shared" si="394"/>
        <v/>
      </c>
      <c r="AI590" s="129">
        <f t="shared" si="395"/>
        <v/>
      </c>
      <c r="AJ590" s="129">
        <f t="shared" si="396"/>
        <v/>
      </c>
      <c r="AK590" s="129">
        <f t="shared" si="397"/>
        <v/>
      </c>
      <c r="AL590" s="129">
        <f t="shared" si="398"/>
        <v/>
      </c>
      <c r="AM590" s="129">
        <f t="shared" si="399"/>
      </c>
      <c r="AN590" s="129">
        <f t="shared" si="400"/>
      </c>
      <c r="AO590" s="129">
        <f t="shared" si="401"/>
        <v/>
      </c>
      <c r="AP590" s="129">
        <f t="shared" si="402"/>
        <v/>
      </c>
      <c r="AQ590" s="129">
        <f t="shared" si="403"/>
        <v/>
      </c>
      <c r="AR590" s="129">
        <f t="shared" si="404"/>
        <v/>
      </c>
      <c r="AS590" s="129">
        <f t="shared" si="405"/>
        <v/>
      </c>
      <c r="AT590" s="129">
        <f t="shared" si="406"/>
        <v/>
      </c>
      <c r="AU590" s="129">
        <f t="shared" si="407"/>
        <v/>
      </c>
      <c r="AV590" s="129">
        <f t="shared" si="408"/>
        <v/>
      </c>
      <c r="AW590" s="129">
        <f>IF(AV590="","",AV590&amp;"."&amp;COUNTIFS($A$3:A590,A590,$AV$3:AV590,AV590))</f>
        <v/>
      </c>
      <c r="AX590" s="129">
        <f t="shared" si="409"/>
        <v/>
      </c>
      <c r="AY590" s="129">
        <f>IF(N590="б/к",0,IF(OR(ISNUMBER(SEARCH("L=",Разбивка_по_щитам!P590)),N590="+",N590="="),1,0))</f>
      </c>
      <c r="AZ590" s="129">
        <f t="shared" si="410"/>
        <v/>
      </c>
      <c r="BA590" s="129">
        <f t="shared" si="411"/>
      </c>
      <c r="BB590" s="129">
        <f t="shared" si="412"/>
      </c>
      <c r="BD590" s="129">
        <f t="shared" si="413"/>
      </c>
      <c r="BE590" s="129">
        <f t="shared" si="414"/>
      </c>
      <c r="BF590" s="129">
        <f t="shared" si="415"/>
      </c>
      <c r="BG590" s="129">
        <f t="shared" si="416"/>
        <v/>
      </c>
      <c r="BH590" s="129">
        <f t="shared" si="417"/>
        <v/>
      </c>
      <c r="BI590" s="129">
        <f t="shared" si="418"/>
        <v/>
      </c>
      <c r="BJ590" s="129">
        <f t="shared" si="419"/>
        <v/>
      </c>
      <c r="BK590" s="129">
        <f>IF(R590="","",IF(OR(BY590="",BY590=0),"BOX",IFERROR(IF(VLOOKUP(BY590,УГО_блоки,3,FALSE)&amp;""&lt;&gt;"",VLOOKUP(BY590,УГО_блоки,3,FALSE),VLOOKUP(BY590,УГО_блоки,2,FALSE)),BY590)))</f>
      </c>
      <c r="BL590" s="129">
        <f t="shared" si="421"/>
      </c>
      <c r="BM590" s="129">
        <f>IF(H590="","",IF(COUNTIF($H$3:H590,H590)=1,MAX($BM$2:BM589)+1,""))</f>
      </c>
      <c r="BN590" s="129">
        <f>IF(I590="","",IF(COUNTIF($I$3:I590,I590)+COUNTIF($J$2:J589,I590)+COUNTIF($K$2:K589,I590)=1,MAX($BN$2:BP589)+1,""))</f>
      </c>
      <c r="BO590" s="129">
        <f>IF(J590="","",IF(COUNTIF($I$3:I590,J590)+COUNTIF($J$3:J590,J590)+COUNTIF($K$2:K589,J590)=1,MAX($BN$2:BP589,BN590)+1,""))</f>
      </c>
      <c r="BP590" s="129">
        <f>IF(K590="","",IF(COUNTIF($I$3:I590,K590)+COUNTIF($J$3:J590,K590)+COUNTIF($K$3:K590,K590)=1,MAX($BN$2:BP589,BN590,BO590)+1,""))</f>
      </c>
      <c r="BQ590" s="129">
        <f>IF(AY590=1,IFERROR(MID(Q590,FIND(" (",Q590)+2,FIND(")",Q590,FIND(" (",Q590))-FIND(" (",Q590)-2),"?"),"")</f>
      </c>
      <c r="BR590" s="129">
        <f>IF(BQ590="","",IF(COUNTIF($BQ$3:BQ590,BQ590)=1,MAX($BR$2:BR589)+1,""))</f>
      </c>
      <c r="BS590" s="129">
        <f>IF(AW590="","",COUNTIF($AW$3:AW590,"?*"))</f>
      </c>
      <c r="BT590" s="129">
        <f>IF(OR(AW590="",AI590=""),"",IF(COUNTIFS($AW$3:AW590,"?*",$AI$3:AI590,AI590)=1,MAX($BT$2:BT589)+1,""))</f>
      </c>
      <c r="BU590" s="129">
        <f>IF(AE590="",0,IF(OR(ISNUMBER(SEARCH("дубль",AE590)),ISNUMBER(SEARCH("ПЕРЕГРУЗ",AE590)),ISNUMBER(SEARCH("ЗАЩИЩ",AE590)),ISNUMBER(SEARCH("КАНАЛ",AE590)),ISNUMBER(SEARCH("без 30",AE590))),2,1))</f>
      </c>
      <c r="BV590" s="129">
        <f>IF(R590="","",COUNTIF($R$3:R590,"?*"))</f>
      </c>
      <c r="BW590" s="129">
        <f>IF(AY590&lt;&gt;1,0,IF(MAX(IFERROR(--VLOOKUP(R590,УГО_спр,5,FALSE),0),IFERROR(--VLOOKUP(AL590,УГО_спр,5,FALSE),0),IFERROR(--VLOOKUP(LEFT(AL590,2),УГО_спр,5,FALSE),0))&gt;0,MAX(IFERROR(--VLOOKUP(R590,УГО_спр,5,FALSE),0),IFERROR(--VLOOKUP(AL590,УГО_спр,5,FALSE),0),IFERROR(--VLOOKUP(LEFT(AL590,2),УГО_спр,5,FALSE),0)),IF(IFERROR(--LEFT(SUBSTITUTE(BQ590,"x","х"),FIND("х",SUBSTITUTE(BQ590,"x","х"))-1),3)&gt;3,Каталог!$S$9,1)))</f>
      </c>
      <c r="BX590" s="129">
        <f>IF(AY590&lt;&gt;1,0,MAX(0,IFERROR(--LEFT(SUBSTITUTE(BQ590,"x","х"),FIND("х",SUBSTITUTE(BQ590,"x","х"))-1),3)-3*BW590))</f>
      </c>
      <c r="BY590" s="129">
        <f>IF(R590="","",IFERROR(VLOOKUP(R590,УГО_спр,2,FALSE),IFERROR(VLOOKUP(AL590,УГО_спр,2,FALSE),IFERROR(VLOOKUP(LEFT(AL590,2),УГО_спр,2,FALSE),""))))</f>
      </c>
    </row>
    <row r="591" spans="1:64" x14ac:dyDescent="0.3">
      <c r="A591" s="135">
        <f>IF(Разбивка_по_щитам!F591=0,"",Разбивка_по_щитам!F591)</f>
        <v/>
      </c>
      <c r="B591" s="138">
        <f>IF(A591="","",Разбивка_по_щитам!C591)</f>
        <v/>
      </c>
      <c r="C591" s="138">
        <f t="shared" si="382"/>
        <v/>
      </c>
      <c r="D591" s="266"/>
      <c r="E591" s="266"/>
      <c r="F591" s="267"/>
      <c r="G591" s="145">
        <f t="shared" si="383"/>
        <v/>
      </c>
      <c r="H591" s="145">
        <f t="shared" si="384"/>
        <v/>
      </c>
      <c r="I591" s="266"/>
      <c r="J591" s="267"/>
      <c r="K591" s="267"/>
      <c r="L591" s="266"/>
      <c r="M591" s="147">
        <f t="shared" si="385"/>
        <v/>
      </c>
      <c r="N591" s="267"/>
      <c r="O591" s="147">
        <f t="shared" si="386"/>
        <v/>
      </c>
      <c r="P591" s="268">
        <f>IF(AY591=1,"XT"&amp;COUNTIFS($A$3:A591,A591,$AY$3:AY591,1),"")</f>
        <v/>
      </c>
      <c r="Q591" s="152">
        <f>IF(R591="","",IFERROR(SUBSTITUTE(Разбивка_по_щитам!P591,CHAR(10)," "),""))</f>
        <v/>
      </c>
      <c r="R591" s="153">
        <f>IF(OR(Разбивка_по_щитам!H591="",Разбивка_по_щитам!H591=0),"",Разбивка_по_щитам!H591)</f>
        <v/>
      </c>
      <c r="S591" s="154">
        <f>IF(R591="","",IFERROR(Разбивка_по_щитам!J591&amp;"",""))</f>
        <v/>
      </c>
      <c r="T591" s="155">
        <f>IF(R591="","",IFERROR(--Разбивка_по_щитам!L591,""))</f>
        <v/>
      </c>
      <c r="U591" s="155">
        <f>IF(R591="","",IFERROR(--Разбивка_по_щитам!K591,""))</f>
        <v/>
      </c>
      <c r="V591" s="138">
        <f>IF(R591="","",IFERROR(IF(Разбивка_по_щитам!M591=0,"",Разбивка_по_щитам!M591),""))</f>
        <v/>
      </c>
      <c r="W591" s="156">
        <f t="shared" si="387"/>
        <v/>
      </c>
      <c r="X591" s="157">
        <f t="shared" si="388"/>
        <v/>
      </c>
      <c r="Y591" s="266"/>
      <c r="Z591" s="158">
        <f t="shared" si="389"/>
        <v/>
      </c>
      <c r="AA591" s="160">
        <f t="shared" si="390"/>
        <v/>
      </c>
      <c r="AB591" s="160">
        <f>IF(R591="","",IFERROR(LOOKUP(INDEX(Справочная!$I$4:$I$19,MATCH(VLOOKUP(R591,Исходные_данные,22,FALSE),Справочная!$J$4:$J$19,0)+1),{6,10,16,20,25,32,40,50,63,80,100,125}),""))</f>
        <v/>
      </c>
      <c r="AC591" s="160">
        <f t="shared" si="391"/>
        <v/>
      </c>
      <c r="AD591" s="161">
        <f t="shared" si="392"/>
        <v/>
      </c>
      <c r="AE591" s="161">
        <f>IF(AND(R591="",G591=""),"",_xlfn.TEXTJOIN("; ",TRUE,IF(AND(R591&lt;&gt;"",V591=""),"нет фазы",""),IF(AND(R591&lt;&gt;"",N(T591)=0),"нет мощности",""),IF(AND(P591&lt;&gt;"",COUNTIFS($A$3:$A$1000,A591,$P$3:$P$1000,P591)&gt;1),"дубль клеммы "&amp;P591,""),IF(AND(W591&lt;&gt;"",W591&lt;&gt;"ok"),W591,""),IF(X591&lt;&gt;"",X591,""),IF(AND(ISNUMBER(SEARCH("(5х",Q591)),N(AK591)=1),"5 жил на 1 фазе",""),IF(AND(AL591="R",E591&lt;&gt;"",N(AS591)=0),"розетка без 30 мА",""),IF(IFERROR(_xlfn.NUMBERVALUE(MID(Q591,FIND("-",Q591,FIND("L=",Q591))+1,FIND("%",Q591)-FIND("-",Q591,FIND("L=",Q591))-1),","),0)&gt;4,"потери &gt; 4 %","")))</f>
      </c>
      <c r="AF591" s="129">
        <f>IF(E591&lt;&gt;"",COUNTIFS($A$3:A591,A591,$E$3:E591,"?*"),IF(OR(A591&lt;&gt;A590,Y591="вручную"),"",AF590))</f>
        <v/>
      </c>
      <c r="AG591" s="129">
        <f t="shared" si="393"/>
        <v/>
      </c>
      <c r="AH591" s="129">
        <f t="shared" si="394"/>
        <v/>
      </c>
      <c r="AI591" s="129">
        <f t="shared" si="395"/>
        <v/>
      </c>
      <c r="AJ591" s="129">
        <f t="shared" si="396"/>
        <v/>
      </c>
      <c r="AK591" s="129">
        <f t="shared" si="397"/>
        <v/>
      </c>
      <c r="AL591" s="129">
        <f t="shared" si="398"/>
        <v/>
      </c>
      <c r="AM591" s="129">
        <f t="shared" si="399"/>
      </c>
      <c r="AN591" s="129">
        <f t="shared" si="400"/>
      </c>
      <c r="AO591" s="129">
        <f t="shared" si="401"/>
        <v/>
      </c>
      <c r="AP591" s="129">
        <f t="shared" si="402"/>
        <v/>
      </c>
      <c r="AQ591" s="129">
        <f t="shared" si="403"/>
        <v/>
      </c>
      <c r="AR591" s="129">
        <f t="shared" si="404"/>
        <v/>
      </c>
      <c r="AS591" s="129">
        <f t="shared" si="405"/>
        <v/>
      </c>
      <c r="AT591" s="129">
        <f t="shared" si="406"/>
        <v/>
      </c>
      <c r="AU591" s="129">
        <f t="shared" si="407"/>
        <v/>
      </c>
      <c r="AV591" s="129">
        <f t="shared" si="408"/>
        <v/>
      </c>
      <c r="AW591" s="129">
        <f>IF(AV591="","",AV591&amp;"."&amp;COUNTIFS($A$3:A591,A591,$AV$3:AV591,AV591))</f>
        <v/>
      </c>
      <c r="AX591" s="129">
        <f t="shared" si="409"/>
        <v/>
      </c>
      <c r="AY591" s="129">
        <f>IF(N591="б/к",0,IF(OR(ISNUMBER(SEARCH("L=",Разбивка_по_щитам!P591)),N591="+",N591="="),1,0))</f>
      </c>
      <c r="AZ591" s="129">
        <f t="shared" si="410"/>
        <v/>
      </c>
      <c r="BA591" s="129">
        <f t="shared" si="411"/>
      </c>
      <c r="BB591" s="129">
        <f t="shared" si="412"/>
      </c>
      <c r="BD591" s="129">
        <f t="shared" si="413"/>
      </c>
      <c r="BE591" s="129">
        <f t="shared" si="414"/>
      </c>
      <c r="BF591" s="129">
        <f t="shared" si="415"/>
      </c>
      <c r="BG591" s="129">
        <f t="shared" si="416"/>
        <v/>
      </c>
      <c r="BH591" s="129">
        <f t="shared" si="417"/>
        <v/>
      </c>
      <c r="BI591" s="129">
        <f t="shared" si="418"/>
        <v/>
      </c>
      <c r="BJ591" s="129">
        <f t="shared" si="419"/>
        <v/>
      </c>
      <c r="BK591" s="129">
        <f>IF(R591="","",IF(OR(BY591="",BY591=0),"BOX",IFERROR(IF(VLOOKUP(BY591,УГО_блоки,3,FALSE)&amp;""&lt;&gt;"",VLOOKUP(BY591,УГО_блоки,3,FALSE),VLOOKUP(BY591,УГО_блоки,2,FALSE)),BY591)))</f>
      </c>
      <c r="BL591" s="129">
        <f t="shared" si="421"/>
      </c>
      <c r="BM591" s="129">
        <f>IF(H591="","",IF(COUNTIF($H$3:H591,H591)=1,MAX($BM$2:BM590)+1,""))</f>
      </c>
      <c r="BN591" s="129">
        <f>IF(I591="","",IF(COUNTIF($I$3:I591,I591)+COUNTIF($J$2:J590,I591)+COUNTIF($K$2:K590,I591)=1,MAX($BN$2:BP590)+1,""))</f>
      </c>
      <c r="BO591" s="129">
        <f>IF(J591="","",IF(COUNTIF($I$3:I591,J591)+COUNTIF($J$3:J591,J591)+COUNTIF($K$2:K590,J591)=1,MAX($BN$2:BP590,BN591)+1,""))</f>
      </c>
      <c r="BP591" s="129">
        <f>IF(K591="","",IF(COUNTIF($I$3:I591,K591)+COUNTIF($J$3:J591,K591)+COUNTIF($K$3:K591,K591)=1,MAX($BN$2:BP590,BN591,BO591)+1,""))</f>
      </c>
      <c r="BQ591" s="129">
        <f>IF(AY591=1,IFERROR(MID(Q591,FIND(" (",Q591)+2,FIND(")",Q591,FIND(" (",Q591))-FIND(" (",Q591)-2),"?"),"")</f>
      </c>
      <c r="BR591" s="129">
        <f>IF(BQ591="","",IF(COUNTIF($BQ$3:BQ591,BQ591)=1,MAX($BR$2:BR590)+1,""))</f>
      </c>
      <c r="BS591" s="129">
        <f>IF(AW591="","",COUNTIF($AW$3:AW591,"?*"))</f>
      </c>
      <c r="BT591" s="129">
        <f>IF(OR(AW591="",AI591=""),"",IF(COUNTIFS($AW$3:AW591,"?*",$AI$3:AI591,AI591)=1,MAX($BT$2:BT590)+1,""))</f>
      </c>
      <c r="BU591" s="129">
        <f>IF(AE591="",0,IF(OR(ISNUMBER(SEARCH("дубль",AE591)),ISNUMBER(SEARCH("ПЕРЕГРУЗ",AE591)),ISNUMBER(SEARCH("ЗАЩИЩ",AE591)),ISNUMBER(SEARCH("КАНАЛ",AE591)),ISNUMBER(SEARCH("без 30",AE591))),2,1))</f>
      </c>
      <c r="BV591" s="129">
        <f>IF(R591="","",COUNTIF($R$3:R591,"?*"))</f>
      </c>
      <c r="BW591" s="129">
        <f>IF(AY591&lt;&gt;1,0,IF(MAX(IFERROR(--VLOOKUP(R591,УГО_спр,5,FALSE),0),IFERROR(--VLOOKUP(AL591,УГО_спр,5,FALSE),0),IFERROR(--VLOOKUP(LEFT(AL591,2),УГО_спр,5,FALSE),0))&gt;0,MAX(IFERROR(--VLOOKUP(R591,УГО_спр,5,FALSE),0),IFERROR(--VLOOKUP(AL591,УГО_спр,5,FALSE),0),IFERROR(--VLOOKUP(LEFT(AL591,2),УГО_спр,5,FALSE),0)),IF(IFERROR(--LEFT(SUBSTITUTE(BQ591,"x","х"),FIND("х",SUBSTITUTE(BQ591,"x","х"))-1),3)&gt;3,Каталог!$S$9,1)))</f>
      </c>
      <c r="BX591" s="129">
        <f>IF(AY591&lt;&gt;1,0,MAX(0,IFERROR(--LEFT(SUBSTITUTE(BQ591,"x","х"),FIND("х",SUBSTITUTE(BQ591,"x","х"))-1),3)-3*BW591))</f>
      </c>
      <c r="BY591" s="129">
        <f>IF(R591="","",IFERROR(VLOOKUP(R591,УГО_спр,2,FALSE),IFERROR(VLOOKUP(AL591,УГО_спр,2,FALSE),IFERROR(VLOOKUP(LEFT(AL591,2),УГО_спр,2,FALSE),""))))</f>
      </c>
    </row>
    <row r="592" spans="1:64" x14ac:dyDescent="0.3">
      <c r="A592" s="135">
        <f>IF(Разбивка_по_щитам!F592=0,"",Разбивка_по_щитам!F592)</f>
        <v/>
      </c>
      <c r="B592" s="138">
        <f>IF(A592="","",Разбивка_по_щитам!C592)</f>
        <v/>
      </c>
      <c r="C592" s="138">
        <f t="shared" si="382"/>
        <v/>
      </c>
      <c r="D592" s="266"/>
      <c r="E592" s="266"/>
      <c r="F592" s="267"/>
      <c r="G592" s="145">
        <f t="shared" si="383"/>
        <v/>
      </c>
      <c r="H592" s="145">
        <f t="shared" si="384"/>
        <v/>
      </c>
      <c r="I592" s="266"/>
      <c r="J592" s="267"/>
      <c r="K592" s="267"/>
      <c r="L592" s="266"/>
      <c r="M592" s="147">
        <f t="shared" si="385"/>
        <v/>
      </c>
      <c r="N592" s="267"/>
      <c r="O592" s="147">
        <f t="shared" si="386"/>
        <v/>
      </c>
      <c r="P592" s="268">
        <f>IF(AY592=1,"XT"&amp;COUNTIFS($A$3:A592,A592,$AY$3:AY592,1),"")</f>
        <v/>
      </c>
      <c r="Q592" s="152">
        <f>IF(R592="","",IFERROR(SUBSTITUTE(Разбивка_по_щитам!P592,CHAR(10)," "),""))</f>
        <v/>
      </c>
      <c r="R592" s="153">
        <f>IF(OR(Разбивка_по_щитам!H592="",Разбивка_по_щитам!H592=0),"",Разбивка_по_щитам!H592)</f>
        <v/>
      </c>
      <c r="S592" s="154">
        <f>IF(R592="","",IFERROR(Разбивка_по_щитам!J592&amp;"",""))</f>
        <v/>
      </c>
      <c r="T592" s="155">
        <f>IF(R592="","",IFERROR(--Разбивка_по_щитам!L592,""))</f>
        <v/>
      </c>
      <c r="U592" s="155">
        <f>IF(R592="","",IFERROR(--Разбивка_по_щитам!K592,""))</f>
        <v/>
      </c>
      <c r="V592" s="138">
        <f>IF(R592="","",IFERROR(IF(Разбивка_по_щитам!M592=0,"",Разбивка_по_щитам!M592),""))</f>
        <v/>
      </c>
      <c r="W592" s="156">
        <f t="shared" si="387"/>
        <v/>
      </c>
      <c r="X592" s="157">
        <f t="shared" si="388"/>
        <v/>
      </c>
      <c r="Y592" s="266"/>
      <c r="Z592" s="158">
        <f t="shared" si="389"/>
        <v/>
      </c>
      <c r="AA592" s="160">
        <f t="shared" si="390"/>
        <v/>
      </c>
      <c r="AB592" s="160">
        <f>IF(R592="","",IFERROR(LOOKUP(INDEX(Справочная!$I$4:$I$19,MATCH(VLOOKUP(R592,Исходные_данные,22,FALSE),Справочная!$J$4:$J$19,0)+1),{6,10,16,20,25,32,40,50,63,80,100,125}),""))</f>
        <v/>
      </c>
      <c r="AC592" s="160">
        <f t="shared" si="391"/>
        <v/>
      </c>
      <c r="AD592" s="161">
        <f t="shared" si="392"/>
        <v/>
      </c>
      <c r="AE592" s="161">
        <f>IF(AND(R592="",G592=""),"",_xlfn.TEXTJOIN("; ",TRUE,IF(AND(R592&lt;&gt;"",V592=""),"нет фазы",""),IF(AND(R592&lt;&gt;"",N(T592)=0),"нет мощности",""),IF(AND(P592&lt;&gt;"",COUNTIFS($A$3:$A$1000,A592,$P$3:$P$1000,P592)&gt;1),"дубль клеммы "&amp;P592,""),IF(AND(W592&lt;&gt;"",W592&lt;&gt;"ok"),W592,""),IF(X592&lt;&gt;"",X592,""),IF(AND(ISNUMBER(SEARCH("(5х",Q592)),N(AK592)=1),"5 жил на 1 фазе",""),IF(AND(AL592="R",E592&lt;&gt;"",N(AS592)=0),"розетка без 30 мА",""),IF(IFERROR(_xlfn.NUMBERVALUE(MID(Q592,FIND("-",Q592,FIND("L=",Q592))+1,FIND("%",Q592)-FIND("-",Q592,FIND("L=",Q592))-1),","),0)&gt;4,"потери &gt; 4 %","")))</f>
      </c>
      <c r="AF592" s="129">
        <f>IF(E592&lt;&gt;"",COUNTIFS($A$3:A592,A592,$E$3:E592,"?*"),IF(OR(A592&lt;&gt;A591,Y592="вручную"),"",AF591))</f>
        <v/>
      </c>
      <c r="AG592" s="129">
        <f t="shared" si="393"/>
        <v/>
      </c>
      <c r="AH592" s="129">
        <f t="shared" si="394"/>
        <v/>
      </c>
      <c r="AI592" s="129">
        <f t="shared" si="395"/>
        <v/>
      </c>
      <c r="AJ592" s="129">
        <f t="shared" si="396"/>
        <v/>
      </c>
      <c r="AK592" s="129">
        <f t="shared" si="397"/>
        <v/>
      </c>
      <c r="AL592" s="129">
        <f t="shared" si="398"/>
        <v/>
      </c>
      <c r="AM592" s="129">
        <f t="shared" si="399"/>
      </c>
      <c r="AN592" s="129">
        <f t="shared" si="400"/>
      </c>
      <c r="AO592" s="129">
        <f t="shared" si="401"/>
        <v/>
      </c>
      <c r="AP592" s="129">
        <f t="shared" si="402"/>
        <v/>
      </c>
      <c r="AQ592" s="129">
        <f t="shared" si="403"/>
        <v/>
      </c>
      <c r="AR592" s="129">
        <f t="shared" si="404"/>
        <v/>
      </c>
      <c r="AS592" s="129">
        <f t="shared" si="405"/>
        <v/>
      </c>
      <c r="AT592" s="129">
        <f t="shared" si="406"/>
        <v/>
      </c>
      <c r="AU592" s="129">
        <f t="shared" si="407"/>
        <v/>
      </c>
      <c r="AV592" s="129">
        <f t="shared" si="408"/>
        <v/>
      </c>
      <c r="AW592" s="129">
        <f>IF(AV592="","",AV592&amp;"."&amp;COUNTIFS($A$3:A592,A592,$AV$3:AV592,AV592))</f>
        <v/>
      </c>
      <c r="AX592" s="129">
        <f t="shared" si="409"/>
        <v/>
      </c>
      <c r="AY592" s="129">
        <f>IF(N592="б/к",0,IF(OR(ISNUMBER(SEARCH("L=",Разбивка_по_щитам!P592)),N592="+",N592="="),1,0))</f>
      </c>
      <c r="AZ592" s="129">
        <f t="shared" si="410"/>
        <v/>
      </c>
      <c r="BA592" s="129">
        <f t="shared" si="411"/>
      </c>
      <c r="BB592" s="129">
        <f t="shared" si="412"/>
      </c>
      <c r="BD592" s="129">
        <f t="shared" si="413"/>
      </c>
      <c r="BE592" s="129">
        <f t="shared" si="414"/>
      </c>
      <c r="BF592" s="129">
        <f t="shared" si="415"/>
      </c>
      <c r="BG592" s="129">
        <f t="shared" si="416"/>
        <v/>
      </c>
      <c r="BH592" s="129">
        <f t="shared" si="417"/>
        <v/>
      </c>
      <c r="BI592" s="129">
        <f t="shared" si="418"/>
        <v/>
      </c>
      <c r="BJ592" s="129">
        <f t="shared" si="419"/>
        <v/>
      </c>
      <c r="BK592" s="129">
        <f>IF(R592="","",IF(OR(BY592="",BY592=0),"BOX",IFERROR(IF(VLOOKUP(BY592,УГО_блоки,3,FALSE)&amp;""&lt;&gt;"",VLOOKUP(BY592,УГО_блоки,3,FALSE),VLOOKUP(BY592,УГО_блоки,2,FALSE)),BY592)))</f>
      </c>
      <c r="BL592" s="129">
        <f t="shared" si="421"/>
      </c>
      <c r="BM592" s="129">
        <f>IF(H592="","",IF(COUNTIF($H$3:H592,H592)=1,MAX($BM$2:BM591)+1,""))</f>
      </c>
      <c r="BN592" s="129">
        <f>IF(I592="","",IF(COUNTIF($I$3:I592,I592)+COUNTIF($J$2:J591,I592)+COUNTIF($K$2:K591,I592)=1,MAX($BN$2:BP591)+1,""))</f>
      </c>
      <c r="BO592" s="129">
        <f>IF(J592="","",IF(COUNTIF($I$3:I592,J592)+COUNTIF($J$3:J592,J592)+COUNTIF($K$2:K591,J592)=1,MAX($BN$2:BP591,BN592)+1,""))</f>
      </c>
      <c r="BP592" s="129">
        <f>IF(K592="","",IF(COUNTIF($I$3:I592,K592)+COUNTIF($J$3:J592,K592)+COUNTIF($K$3:K592,K592)=1,MAX($BN$2:BP591,BN592,BO592)+1,""))</f>
      </c>
      <c r="BQ592" s="129">
        <f>IF(AY592=1,IFERROR(MID(Q592,FIND(" (",Q592)+2,FIND(")",Q592,FIND(" (",Q592))-FIND(" (",Q592)-2),"?"),"")</f>
      </c>
      <c r="BR592" s="129">
        <f>IF(BQ592="","",IF(COUNTIF($BQ$3:BQ592,BQ592)=1,MAX($BR$2:BR591)+1,""))</f>
      </c>
      <c r="BS592" s="129">
        <f>IF(AW592="","",COUNTIF($AW$3:AW592,"?*"))</f>
      </c>
      <c r="BT592" s="129">
        <f>IF(OR(AW592="",AI592=""),"",IF(COUNTIFS($AW$3:AW592,"?*",$AI$3:AI592,AI592)=1,MAX($BT$2:BT591)+1,""))</f>
      </c>
      <c r="BU592" s="129">
        <f>IF(AE592="",0,IF(OR(ISNUMBER(SEARCH("дубль",AE592)),ISNUMBER(SEARCH("ПЕРЕГРУЗ",AE592)),ISNUMBER(SEARCH("ЗАЩИЩ",AE592)),ISNUMBER(SEARCH("КАНАЛ",AE592)),ISNUMBER(SEARCH("без 30",AE592))),2,1))</f>
      </c>
      <c r="BV592" s="129">
        <f>IF(R592="","",COUNTIF($R$3:R592,"?*"))</f>
      </c>
      <c r="BW592" s="129">
        <f>IF(AY592&lt;&gt;1,0,IF(MAX(IFERROR(--VLOOKUP(R592,УГО_спр,5,FALSE),0),IFERROR(--VLOOKUP(AL592,УГО_спр,5,FALSE),0),IFERROR(--VLOOKUP(LEFT(AL592,2),УГО_спр,5,FALSE),0))&gt;0,MAX(IFERROR(--VLOOKUP(R592,УГО_спр,5,FALSE),0),IFERROR(--VLOOKUP(AL592,УГО_спр,5,FALSE),0),IFERROR(--VLOOKUP(LEFT(AL592,2),УГО_спр,5,FALSE),0)),IF(IFERROR(--LEFT(SUBSTITUTE(BQ592,"x","х"),FIND("х",SUBSTITUTE(BQ592,"x","х"))-1),3)&gt;3,Каталог!$S$9,1)))</f>
      </c>
      <c r="BX592" s="129">
        <f>IF(AY592&lt;&gt;1,0,MAX(0,IFERROR(--LEFT(SUBSTITUTE(BQ592,"x","х"),FIND("х",SUBSTITUTE(BQ592,"x","х"))-1),3)-3*BW592))</f>
      </c>
      <c r="BY592" s="129">
        <f>IF(R592="","",IFERROR(VLOOKUP(R592,УГО_спр,2,FALSE),IFERROR(VLOOKUP(AL592,УГО_спр,2,FALSE),IFERROR(VLOOKUP(LEFT(AL592,2),УГО_спр,2,FALSE),""))))</f>
      </c>
    </row>
    <row r="593" spans="1:64" x14ac:dyDescent="0.3">
      <c r="A593" s="135">
        <f>IF(Разбивка_по_щитам!F593=0,"",Разбивка_по_щитам!F593)</f>
        <v/>
      </c>
      <c r="B593" s="138">
        <f>IF(A593="","",Разбивка_по_щитам!C593)</f>
        <v/>
      </c>
      <c r="C593" s="138">
        <f t="shared" si="382"/>
        <v/>
      </c>
      <c r="D593" s="266"/>
      <c r="E593" s="266"/>
      <c r="F593" s="267"/>
      <c r="G593" s="145">
        <f t="shared" si="383"/>
        <v/>
      </c>
      <c r="H593" s="145">
        <f t="shared" si="384"/>
        <v/>
      </c>
      <c r="I593" s="266"/>
      <c r="J593" s="267"/>
      <c r="K593" s="267"/>
      <c r="L593" s="266"/>
      <c r="M593" s="147">
        <f t="shared" si="385"/>
        <v/>
      </c>
      <c r="N593" s="267"/>
      <c r="O593" s="147">
        <f t="shared" si="386"/>
        <v/>
      </c>
      <c r="P593" s="268">
        <f>IF(AY593=1,"XT"&amp;COUNTIFS($A$3:A593,A593,$AY$3:AY593,1),"")</f>
        <v/>
      </c>
      <c r="Q593" s="152">
        <f>IF(R593="","",IFERROR(SUBSTITUTE(Разбивка_по_щитам!P593,CHAR(10)," "),""))</f>
        <v/>
      </c>
      <c r="R593" s="153">
        <f>IF(OR(Разбивка_по_щитам!H593="",Разбивка_по_щитам!H593=0),"",Разбивка_по_щитам!H593)</f>
        <v/>
      </c>
      <c r="S593" s="154">
        <f>IF(R593="","",IFERROR(Разбивка_по_щитам!J593&amp;"",""))</f>
        <v/>
      </c>
      <c r="T593" s="155">
        <f>IF(R593="","",IFERROR(--Разбивка_по_щитам!L593,""))</f>
        <v/>
      </c>
      <c r="U593" s="155">
        <f>IF(R593="","",IFERROR(--Разбивка_по_щитам!K593,""))</f>
        <v/>
      </c>
      <c r="V593" s="138">
        <f>IF(R593="","",IFERROR(IF(Разбивка_по_щитам!M593=0,"",Разбивка_по_щитам!M593),""))</f>
        <v/>
      </c>
      <c r="W593" s="156">
        <f t="shared" si="387"/>
        <v/>
      </c>
      <c r="X593" s="157">
        <f t="shared" si="388"/>
        <v/>
      </c>
      <c r="Y593" s="266"/>
      <c r="Z593" s="158">
        <f t="shared" si="389"/>
        <v/>
      </c>
      <c r="AA593" s="160">
        <f t="shared" si="390"/>
        <v/>
      </c>
      <c r="AB593" s="160">
        <f>IF(R593="","",IFERROR(LOOKUP(INDEX(Справочная!$I$4:$I$19,MATCH(VLOOKUP(R593,Исходные_данные,22,FALSE),Справочная!$J$4:$J$19,0)+1),{6,10,16,20,25,32,40,50,63,80,100,125}),""))</f>
        <v/>
      </c>
      <c r="AC593" s="160">
        <f t="shared" si="391"/>
        <v/>
      </c>
      <c r="AD593" s="161">
        <f t="shared" si="392"/>
        <v/>
      </c>
      <c r="AE593" s="161">
        <f>IF(AND(R593="",G593=""),"",_xlfn.TEXTJOIN("; ",TRUE,IF(AND(R593&lt;&gt;"",V593=""),"нет фазы",""),IF(AND(R593&lt;&gt;"",N(T593)=0),"нет мощности",""),IF(AND(P593&lt;&gt;"",COUNTIFS($A$3:$A$1000,A593,$P$3:$P$1000,P593)&gt;1),"дубль клеммы "&amp;P593,""),IF(AND(W593&lt;&gt;"",W593&lt;&gt;"ok"),W593,""),IF(X593&lt;&gt;"",X593,""),IF(AND(ISNUMBER(SEARCH("(5х",Q593)),N(AK593)=1),"5 жил на 1 фазе",""),IF(AND(AL593="R",E593&lt;&gt;"",N(AS593)=0),"розетка без 30 мА",""),IF(IFERROR(_xlfn.NUMBERVALUE(MID(Q593,FIND("-",Q593,FIND("L=",Q593))+1,FIND("%",Q593)-FIND("-",Q593,FIND("L=",Q593))-1),","),0)&gt;4,"потери &gt; 4 %","")))</f>
      </c>
      <c r="AF593" s="129">
        <f>IF(E593&lt;&gt;"",COUNTIFS($A$3:A593,A593,$E$3:E593,"?*"),IF(OR(A593&lt;&gt;A592,Y593="вручную"),"",AF592))</f>
        <v/>
      </c>
      <c r="AG593" s="129">
        <f t="shared" si="393"/>
        <v/>
      </c>
      <c r="AH593" s="129">
        <f t="shared" si="394"/>
        <v/>
      </c>
      <c r="AI593" s="129">
        <f t="shared" si="395"/>
        <v/>
      </c>
      <c r="AJ593" s="129">
        <f t="shared" si="396"/>
        <v/>
      </c>
      <c r="AK593" s="129">
        <f t="shared" si="397"/>
        <v/>
      </c>
      <c r="AL593" s="129">
        <f t="shared" si="398"/>
        <v/>
      </c>
      <c r="AM593" s="129">
        <f t="shared" si="399"/>
      </c>
      <c r="AN593" s="129">
        <f t="shared" si="400"/>
      </c>
      <c r="AO593" s="129">
        <f t="shared" si="401"/>
        <v/>
      </c>
      <c r="AP593" s="129">
        <f t="shared" si="402"/>
        <v/>
      </c>
      <c r="AQ593" s="129">
        <f t="shared" si="403"/>
        <v/>
      </c>
      <c r="AR593" s="129">
        <f t="shared" si="404"/>
        <v/>
      </c>
      <c r="AS593" s="129">
        <f t="shared" si="405"/>
        <v/>
      </c>
      <c r="AT593" s="129">
        <f t="shared" si="406"/>
        <v/>
      </c>
      <c r="AU593" s="129">
        <f t="shared" si="407"/>
        <v/>
      </c>
      <c r="AV593" s="129">
        <f t="shared" si="408"/>
        <v/>
      </c>
      <c r="AW593" s="129">
        <f>IF(AV593="","",AV593&amp;"."&amp;COUNTIFS($A$3:A593,A593,$AV$3:AV593,AV593))</f>
        <v/>
      </c>
      <c r="AX593" s="129">
        <f t="shared" si="409"/>
        <v/>
      </c>
      <c r="AY593" s="129">
        <f>IF(N593="б/к",0,IF(OR(ISNUMBER(SEARCH("L=",Разбивка_по_щитам!P593)),N593="+",N593="="),1,0))</f>
      </c>
      <c r="AZ593" s="129">
        <f t="shared" si="410"/>
        <v/>
      </c>
      <c r="BA593" s="129">
        <f t="shared" si="411"/>
      </c>
      <c r="BB593" s="129">
        <f t="shared" si="412"/>
      </c>
      <c r="BD593" s="129">
        <f t="shared" si="413"/>
      </c>
      <c r="BE593" s="129">
        <f t="shared" si="414"/>
      </c>
      <c r="BF593" s="129">
        <f t="shared" si="415"/>
      </c>
      <c r="BG593" s="129">
        <f t="shared" si="416"/>
        <v/>
      </c>
      <c r="BH593" s="129">
        <f t="shared" si="417"/>
        <v/>
      </c>
      <c r="BI593" s="129">
        <f t="shared" si="418"/>
        <v/>
      </c>
      <c r="BJ593" s="129">
        <f t="shared" si="419"/>
        <v/>
      </c>
      <c r="BK593" s="129">
        <f>IF(R593="","",IF(OR(BY593="",BY593=0),"BOX",IFERROR(IF(VLOOKUP(BY593,УГО_блоки,3,FALSE)&amp;""&lt;&gt;"",VLOOKUP(BY593,УГО_блоки,3,FALSE),VLOOKUP(BY593,УГО_блоки,2,FALSE)),BY593)))</f>
      </c>
      <c r="BL593" s="129">
        <f t="shared" si="421"/>
      </c>
      <c r="BM593" s="129">
        <f>IF(H593="","",IF(COUNTIF($H$3:H593,H593)=1,MAX($BM$2:BM592)+1,""))</f>
      </c>
      <c r="BN593" s="129">
        <f>IF(I593="","",IF(COUNTIF($I$3:I593,I593)+COUNTIF($J$2:J592,I593)+COUNTIF($K$2:K592,I593)=1,MAX($BN$2:BP592)+1,""))</f>
      </c>
      <c r="BO593" s="129">
        <f>IF(J593="","",IF(COUNTIF($I$3:I593,J593)+COUNTIF($J$3:J593,J593)+COUNTIF($K$2:K592,J593)=1,MAX($BN$2:BP592,BN593)+1,""))</f>
      </c>
      <c r="BP593" s="129">
        <f>IF(K593="","",IF(COUNTIF($I$3:I593,K593)+COUNTIF($J$3:J593,K593)+COUNTIF($K$3:K593,K593)=1,MAX($BN$2:BP592,BN593,BO593)+1,""))</f>
      </c>
      <c r="BQ593" s="129">
        <f>IF(AY593=1,IFERROR(MID(Q593,FIND(" (",Q593)+2,FIND(")",Q593,FIND(" (",Q593))-FIND(" (",Q593)-2),"?"),"")</f>
      </c>
      <c r="BR593" s="129">
        <f>IF(BQ593="","",IF(COUNTIF($BQ$3:BQ593,BQ593)=1,MAX($BR$2:BR592)+1,""))</f>
      </c>
      <c r="BS593" s="129">
        <f>IF(AW593="","",COUNTIF($AW$3:AW593,"?*"))</f>
      </c>
      <c r="BT593" s="129">
        <f>IF(OR(AW593="",AI593=""),"",IF(COUNTIFS($AW$3:AW593,"?*",$AI$3:AI593,AI593)=1,MAX($BT$2:BT592)+1,""))</f>
      </c>
      <c r="BU593" s="129">
        <f>IF(AE593="",0,IF(OR(ISNUMBER(SEARCH("дубль",AE593)),ISNUMBER(SEARCH("ПЕРЕГРУЗ",AE593)),ISNUMBER(SEARCH("ЗАЩИЩ",AE593)),ISNUMBER(SEARCH("КАНАЛ",AE593)),ISNUMBER(SEARCH("без 30",AE593))),2,1))</f>
      </c>
      <c r="BV593" s="129">
        <f>IF(R593="","",COUNTIF($R$3:R593,"?*"))</f>
      </c>
      <c r="BW593" s="129">
        <f>IF(AY593&lt;&gt;1,0,IF(MAX(IFERROR(--VLOOKUP(R593,УГО_спр,5,FALSE),0),IFERROR(--VLOOKUP(AL593,УГО_спр,5,FALSE),0),IFERROR(--VLOOKUP(LEFT(AL593,2),УГО_спр,5,FALSE),0))&gt;0,MAX(IFERROR(--VLOOKUP(R593,УГО_спр,5,FALSE),0),IFERROR(--VLOOKUP(AL593,УГО_спр,5,FALSE),0),IFERROR(--VLOOKUP(LEFT(AL593,2),УГО_спр,5,FALSE),0)),IF(IFERROR(--LEFT(SUBSTITUTE(BQ593,"x","х"),FIND("х",SUBSTITUTE(BQ593,"x","х"))-1),3)&gt;3,Каталог!$S$9,1)))</f>
      </c>
      <c r="BX593" s="129">
        <f>IF(AY593&lt;&gt;1,0,MAX(0,IFERROR(--LEFT(SUBSTITUTE(BQ593,"x","х"),FIND("х",SUBSTITUTE(BQ593,"x","х"))-1),3)-3*BW593))</f>
      </c>
      <c r="BY593" s="129">
        <f>IF(R593="","",IFERROR(VLOOKUP(R593,УГО_спр,2,FALSE),IFERROR(VLOOKUP(AL593,УГО_спр,2,FALSE),IFERROR(VLOOKUP(LEFT(AL593,2),УГО_спр,2,FALSE),""))))</f>
      </c>
    </row>
    <row r="594" spans="1:64" x14ac:dyDescent="0.3">
      <c r="A594" s="135">
        <f>IF(Разбивка_по_щитам!F594=0,"",Разбивка_по_щитам!F594)</f>
        <v/>
      </c>
      <c r="B594" s="138">
        <f>IF(A594="","",Разбивка_по_щитам!C594)</f>
        <v/>
      </c>
      <c r="C594" s="138">
        <f t="shared" si="382"/>
        <v/>
      </c>
      <c r="D594" s="266"/>
      <c r="E594" s="266"/>
      <c r="F594" s="267"/>
      <c r="G594" s="145">
        <f t="shared" si="383"/>
        <v/>
      </c>
      <c r="H594" s="145">
        <f t="shared" si="384"/>
        <v/>
      </c>
      <c r="I594" s="266"/>
      <c r="J594" s="267"/>
      <c r="K594" s="267"/>
      <c r="L594" s="266"/>
      <c r="M594" s="147">
        <f t="shared" si="385"/>
        <v/>
      </c>
      <c r="N594" s="267"/>
      <c r="O594" s="147">
        <f t="shared" si="386"/>
        <v/>
      </c>
      <c r="P594" s="268">
        <f>IF(AY594=1,"XT"&amp;COUNTIFS($A$3:A594,A594,$AY$3:AY594,1),"")</f>
        <v/>
      </c>
      <c r="Q594" s="152">
        <f>IF(R594="","",IFERROR(SUBSTITUTE(Разбивка_по_щитам!P594,CHAR(10)," "),""))</f>
        <v/>
      </c>
      <c r="R594" s="153">
        <f>IF(OR(Разбивка_по_щитам!H594="",Разбивка_по_щитам!H594=0),"",Разбивка_по_щитам!H594)</f>
        <v/>
      </c>
      <c r="S594" s="154">
        <f>IF(R594="","",IFERROR(Разбивка_по_щитам!J594&amp;"",""))</f>
        <v/>
      </c>
      <c r="T594" s="155">
        <f>IF(R594="","",IFERROR(--Разбивка_по_щитам!L594,""))</f>
        <v/>
      </c>
      <c r="U594" s="155">
        <f>IF(R594="","",IFERROR(--Разбивка_по_щитам!K594,""))</f>
        <v/>
      </c>
      <c r="V594" s="138">
        <f>IF(R594="","",IFERROR(IF(Разбивка_по_щитам!M594=0,"",Разбивка_по_щитам!M594),""))</f>
        <v/>
      </c>
      <c r="W594" s="156">
        <f t="shared" si="387"/>
        <v/>
      </c>
      <c r="X594" s="157">
        <f t="shared" si="388"/>
        <v/>
      </c>
      <c r="Y594" s="266"/>
      <c r="Z594" s="158">
        <f t="shared" si="389"/>
        <v/>
      </c>
      <c r="AA594" s="160">
        <f t="shared" si="390"/>
        <v/>
      </c>
      <c r="AB594" s="160">
        <f>IF(R594="","",IFERROR(LOOKUP(INDEX(Справочная!$I$4:$I$19,MATCH(VLOOKUP(R594,Исходные_данные,22,FALSE),Справочная!$J$4:$J$19,0)+1),{6,10,16,20,25,32,40,50,63,80,100,125}),""))</f>
        <v/>
      </c>
      <c r="AC594" s="160">
        <f t="shared" si="391"/>
        <v/>
      </c>
      <c r="AD594" s="161">
        <f t="shared" si="392"/>
        <v/>
      </c>
      <c r="AE594" s="161">
        <f>IF(AND(R594="",G594=""),"",_xlfn.TEXTJOIN("; ",TRUE,IF(AND(R594&lt;&gt;"",V594=""),"нет фазы",""),IF(AND(R594&lt;&gt;"",N(T594)=0),"нет мощности",""),IF(AND(P594&lt;&gt;"",COUNTIFS($A$3:$A$1000,A594,$P$3:$P$1000,P594)&gt;1),"дубль клеммы "&amp;P594,""),IF(AND(W594&lt;&gt;"",W594&lt;&gt;"ok"),W594,""),IF(X594&lt;&gt;"",X594,""),IF(AND(ISNUMBER(SEARCH("(5х",Q594)),N(AK594)=1),"5 жил на 1 фазе",""),IF(AND(AL594="R",E594&lt;&gt;"",N(AS594)=0),"розетка без 30 мА",""),IF(IFERROR(_xlfn.NUMBERVALUE(MID(Q594,FIND("-",Q594,FIND("L=",Q594))+1,FIND("%",Q594)-FIND("-",Q594,FIND("L=",Q594))-1),","),0)&gt;4,"потери &gt; 4 %","")))</f>
      </c>
      <c r="AF594" s="129">
        <f>IF(E594&lt;&gt;"",COUNTIFS($A$3:A594,A594,$E$3:E594,"?*"),IF(OR(A594&lt;&gt;A593,Y594="вручную"),"",AF593))</f>
        <v/>
      </c>
      <c r="AG594" s="129">
        <f t="shared" si="393"/>
        <v/>
      </c>
      <c r="AH594" s="129">
        <f t="shared" si="394"/>
        <v/>
      </c>
      <c r="AI594" s="129">
        <f t="shared" si="395"/>
        <v/>
      </c>
      <c r="AJ594" s="129">
        <f t="shared" si="396"/>
        <v/>
      </c>
      <c r="AK594" s="129">
        <f t="shared" si="397"/>
        <v/>
      </c>
      <c r="AL594" s="129">
        <f t="shared" si="398"/>
        <v/>
      </c>
      <c r="AM594" s="129">
        <f t="shared" si="399"/>
      </c>
      <c r="AN594" s="129">
        <f t="shared" si="400"/>
      </c>
      <c r="AO594" s="129">
        <f t="shared" si="401"/>
        <v/>
      </c>
      <c r="AP594" s="129">
        <f t="shared" si="402"/>
        <v/>
      </c>
      <c r="AQ594" s="129">
        <f t="shared" si="403"/>
        <v/>
      </c>
      <c r="AR594" s="129">
        <f t="shared" si="404"/>
        <v/>
      </c>
      <c r="AS594" s="129">
        <f t="shared" si="405"/>
        <v/>
      </c>
      <c r="AT594" s="129">
        <f t="shared" si="406"/>
        <v/>
      </c>
      <c r="AU594" s="129">
        <f t="shared" si="407"/>
        <v/>
      </c>
      <c r="AV594" s="129">
        <f t="shared" si="408"/>
        <v/>
      </c>
      <c r="AW594" s="129">
        <f>IF(AV594="","",AV594&amp;"."&amp;COUNTIFS($A$3:A594,A594,$AV$3:AV594,AV594))</f>
        <v/>
      </c>
      <c r="AX594" s="129">
        <f t="shared" si="409"/>
        <v/>
      </c>
      <c r="AY594" s="129">
        <f>IF(N594="б/к",0,IF(OR(ISNUMBER(SEARCH("L=",Разбивка_по_щитам!P594)),N594="+",N594="="),1,0))</f>
      </c>
      <c r="AZ594" s="129">
        <f t="shared" si="410"/>
        <v/>
      </c>
      <c r="BA594" s="129">
        <f t="shared" si="411"/>
      </c>
      <c r="BB594" s="129">
        <f t="shared" si="412"/>
      </c>
      <c r="BD594" s="129">
        <f t="shared" si="413"/>
      </c>
      <c r="BE594" s="129">
        <f t="shared" si="414"/>
      </c>
      <c r="BF594" s="129">
        <f t="shared" si="415"/>
      </c>
      <c r="BG594" s="129">
        <f t="shared" si="416"/>
        <v/>
      </c>
      <c r="BH594" s="129">
        <f t="shared" si="417"/>
        <v/>
      </c>
      <c r="BI594" s="129">
        <f t="shared" si="418"/>
        <v/>
      </c>
      <c r="BJ594" s="129">
        <f t="shared" si="419"/>
        <v/>
      </c>
      <c r="BK594" s="129">
        <f>IF(R594="","",IF(OR(BY594="",BY594=0),"BOX",IFERROR(IF(VLOOKUP(BY594,УГО_блоки,3,FALSE)&amp;""&lt;&gt;"",VLOOKUP(BY594,УГО_блоки,3,FALSE),VLOOKUP(BY594,УГО_блоки,2,FALSE)),BY594)))</f>
      </c>
      <c r="BL594" s="129">
        <f t="shared" si="421"/>
      </c>
      <c r="BM594" s="129">
        <f>IF(H594="","",IF(COUNTIF($H$3:H594,H594)=1,MAX($BM$2:BM593)+1,""))</f>
      </c>
      <c r="BN594" s="129">
        <f>IF(I594="","",IF(COUNTIF($I$3:I594,I594)+COUNTIF($J$2:J593,I594)+COUNTIF($K$2:K593,I594)=1,MAX($BN$2:BP593)+1,""))</f>
      </c>
      <c r="BO594" s="129">
        <f>IF(J594="","",IF(COUNTIF($I$3:I594,J594)+COUNTIF($J$3:J594,J594)+COUNTIF($K$2:K593,J594)=1,MAX($BN$2:BP593,BN594)+1,""))</f>
      </c>
      <c r="BP594" s="129">
        <f>IF(K594="","",IF(COUNTIF($I$3:I594,K594)+COUNTIF($J$3:J594,K594)+COUNTIF($K$3:K594,K594)=1,MAX($BN$2:BP593,BN594,BO594)+1,""))</f>
      </c>
      <c r="BQ594" s="129">
        <f>IF(AY594=1,IFERROR(MID(Q594,FIND(" (",Q594)+2,FIND(")",Q594,FIND(" (",Q594))-FIND(" (",Q594)-2),"?"),"")</f>
      </c>
      <c r="BR594" s="129">
        <f>IF(BQ594="","",IF(COUNTIF($BQ$3:BQ594,BQ594)=1,MAX($BR$2:BR593)+1,""))</f>
      </c>
      <c r="BS594" s="129">
        <f>IF(AW594="","",COUNTIF($AW$3:AW594,"?*"))</f>
      </c>
      <c r="BT594" s="129">
        <f>IF(OR(AW594="",AI594=""),"",IF(COUNTIFS($AW$3:AW594,"?*",$AI$3:AI594,AI594)=1,MAX($BT$2:BT593)+1,""))</f>
      </c>
      <c r="BU594" s="129">
        <f>IF(AE594="",0,IF(OR(ISNUMBER(SEARCH("дубль",AE594)),ISNUMBER(SEARCH("ПЕРЕГРУЗ",AE594)),ISNUMBER(SEARCH("ЗАЩИЩ",AE594)),ISNUMBER(SEARCH("КАНАЛ",AE594)),ISNUMBER(SEARCH("без 30",AE594))),2,1))</f>
      </c>
      <c r="BV594" s="129">
        <f>IF(R594="","",COUNTIF($R$3:R594,"?*"))</f>
      </c>
      <c r="BW594" s="129">
        <f>IF(AY594&lt;&gt;1,0,IF(MAX(IFERROR(--VLOOKUP(R594,УГО_спр,5,FALSE),0),IFERROR(--VLOOKUP(AL594,УГО_спр,5,FALSE),0),IFERROR(--VLOOKUP(LEFT(AL594,2),УГО_спр,5,FALSE),0))&gt;0,MAX(IFERROR(--VLOOKUP(R594,УГО_спр,5,FALSE),0),IFERROR(--VLOOKUP(AL594,УГО_спр,5,FALSE),0),IFERROR(--VLOOKUP(LEFT(AL594,2),УГО_спр,5,FALSE),0)),IF(IFERROR(--LEFT(SUBSTITUTE(BQ594,"x","х"),FIND("х",SUBSTITUTE(BQ594,"x","х"))-1),3)&gt;3,Каталог!$S$9,1)))</f>
      </c>
      <c r="BX594" s="129">
        <f>IF(AY594&lt;&gt;1,0,MAX(0,IFERROR(--LEFT(SUBSTITUTE(BQ594,"x","х"),FIND("х",SUBSTITUTE(BQ594,"x","х"))-1),3)-3*BW594))</f>
      </c>
      <c r="BY594" s="129">
        <f>IF(R594="","",IFERROR(VLOOKUP(R594,УГО_спр,2,FALSE),IFERROR(VLOOKUP(AL594,УГО_спр,2,FALSE),IFERROR(VLOOKUP(LEFT(AL594,2),УГО_спр,2,FALSE),""))))</f>
      </c>
    </row>
    <row r="595" spans="1:64" x14ac:dyDescent="0.3">
      <c r="A595" s="135">
        <f>IF(Разбивка_по_щитам!F595=0,"",Разбивка_по_щитам!F595)</f>
        <v/>
      </c>
      <c r="B595" s="138">
        <f>IF(A595="","",Разбивка_по_щитам!C595)</f>
        <v/>
      </c>
      <c r="C595" s="138">
        <f t="shared" si="382"/>
        <v/>
      </c>
      <c r="D595" s="266"/>
      <c r="E595" s="266"/>
      <c r="F595" s="267"/>
      <c r="G595" s="145">
        <f t="shared" si="383"/>
        <v/>
      </c>
      <c r="H595" s="145">
        <f t="shared" si="384"/>
        <v/>
      </c>
      <c r="I595" s="266"/>
      <c r="J595" s="267"/>
      <c r="K595" s="267"/>
      <c r="L595" s="266"/>
      <c r="M595" s="147">
        <f t="shared" si="385"/>
        <v/>
      </c>
      <c r="N595" s="267"/>
      <c r="O595" s="147">
        <f t="shared" si="386"/>
        <v/>
      </c>
      <c r="P595" s="268">
        <f>IF(AY595=1,"XT"&amp;COUNTIFS($A$3:A595,A595,$AY$3:AY595,1),"")</f>
        <v/>
      </c>
      <c r="Q595" s="152">
        <f>IF(R595="","",IFERROR(SUBSTITUTE(Разбивка_по_щитам!P595,CHAR(10)," "),""))</f>
        <v/>
      </c>
      <c r="R595" s="153">
        <f>IF(OR(Разбивка_по_щитам!H595="",Разбивка_по_щитам!H595=0),"",Разбивка_по_щитам!H595)</f>
        <v/>
      </c>
      <c r="S595" s="154">
        <f>IF(R595="","",IFERROR(Разбивка_по_щитам!J595&amp;"",""))</f>
        <v/>
      </c>
      <c r="T595" s="155">
        <f>IF(R595="","",IFERROR(--Разбивка_по_щитам!L595,""))</f>
        <v/>
      </c>
      <c r="U595" s="155">
        <f>IF(R595="","",IFERROR(--Разбивка_по_щитам!K595,""))</f>
        <v/>
      </c>
      <c r="V595" s="138">
        <f>IF(R595="","",IFERROR(IF(Разбивка_по_щитам!M595=0,"",Разбивка_по_щитам!M595),""))</f>
        <v/>
      </c>
      <c r="W595" s="156">
        <f t="shared" si="387"/>
        <v/>
      </c>
      <c r="X595" s="157">
        <f t="shared" si="388"/>
        <v/>
      </c>
      <c r="Y595" s="266"/>
      <c r="Z595" s="158">
        <f t="shared" si="389"/>
        <v/>
      </c>
      <c r="AA595" s="160">
        <f t="shared" si="390"/>
        <v/>
      </c>
      <c r="AB595" s="160">
        <f>IF(R595="","",IFERROR(LOOKUP(INDEX(Справочная!$I$4:$I$19,MATCH(VLOOKUP(R595,Исходные_данные,22,FALSE),Справочная!$J$4:$J$19,0)+1),{6,10,16,20,25,32,40,50,63,80,100,125}),""))</f>
        <v/>
      </c>
      <c r="AC595" s="160">
        <f t="shared" si="391"/>
        <v/>
      </c>
      <c r="AD595" s="161">
        <f t="shared" si="392"/>
        <v/>
      </c>
      <c r="AE595" s="161">
        <f>IF(AND(R595="",G595=""),"",_xlfn.TEXTJOIN("; ",TRUE,IF(AND(R595&lt;&gt;"",V595=""),"нет фазы",""),IF(AND(R595&lt;&gt;"",N(T595)=0),"нет мощности",""),IF(AND(P595&lt;&gt;"",COUNTIFS($A$3:$A$1000,A595,$P$3:$P$1000,P595)&gt;1),"дубль клеммы "&amp;P595,""),IF(AND(W595&lt;&gt;"",W595&lt;&gt;"ok"),W595,""),IF(X595&lt;&gt;"",X595,""),IF(AND(ISNUMBER(SEARCH("(5х",Q595)),N(AK595)=1),"5 жил на 1 фазе",""),IF(AND(AL595="R",E595&lt;&gt;"",N(AS595)=0),"розетка без 30 мА",""),IF(IFERROR(_xlfn.NUMBERVALUE(MID(Q595,FIND("-",Q595,FIND("L=",Q595))+1,FIND("%",Q595)-FIND("-",Q595,FIND("L=",Q595))-1),","),0)&gt;4,"потери &gt; 4 %","")))</f>
      </c>
      <c r="AF595" s="129">
        <f>IF(E595&lt;&gt;"",COUNTIFS($A$3:A595,A595,$E$3:E595,"?*"),IF(OR(A595&lt;&gt;A594,Y595="вручную"),"",AF594))</f>
        <v/>
      </c>
      <c r="AG595" s="129">
        <f t="shared" si="393"/>
        <v/>
      </c>
      <c r="AH595" s="129">
        <f t="shared" si="394"/>
        <v/>
      </c>
      <c r="AI595" s="129">
        <f t="shared" si="395"/>
        <v/>
      </c>
      <c r="AJ595" s="129">
        <f t="shared" si="396"/>
        <v/>
      </c>
      <c r="AK595" s="129">
        <f t="shared" si="397"/>
        <v/>
      </c>
      <c r="AL595" s="129">
        <f t="shared" si="398"/>
        <v/>
      </c>
      <c r="AM595" s="129">
        <f t="shared" si="399"/>
      </c>
      <c r="AN595" s="129">
        <f t="shared" si="400"/>
      </c>
      <c r="AO595" s="129">
        <f t="shared" si="401"/>
        <v/>
      </c>
      <c r="AP595" s="129">
        <f t="shared" si="402"/>
        <v/>
      </c>
      <c r="AQ595" s="129">
        <f t="shared" si="403"/>
        <v/>
      </c>
      <c r="AR595" s="129">
        <f t="shared" si="404"/>
        <v/>
      </c>
      <c r="AS595" s="129">
        <f t="shared" si="405"/>
        <v/>
      </c>
      <c r="AT595" s="129">
        <f t="shared" si="406"/>
        <v/>
      </c>
      <c r="AU595" s="129">
        <f t="shared" si="407"/>
        <v/>
      </c>
      <c r="AV595" s="129">
        <f t="shared" si="408"/>
        <v/>
      </c>
      <c r="AW595" s="129">
        <f>IF(AV595="","",AV595&amp;"."&amp;COUNTIFS($A$3:A595,A595,$AV$3:AV595,AV595))</f>
        <v/>
      </c>
      <c r="AX595" s="129">
        <f t="shared" si="409"/>
        <v/>
      </c>
      <c r="AY595" s="129">
        <f>IF(N595="б/к",0,IF(OR(ISNUMBER(SEARCH("L=",Разбивка_по_щитам!P595)),N595="+",N595="="),1,0))</f>
      </c>
      <c r="AZ595" s="129">
        <f t="shared" si="410"/>
        <v/>
      </c>
      <c r="BA595" s="129">
        <f t="shared" si="411"/>
      </c>
      <c r="BB595" s="129">
        <f t="shared" si="412"/>
      </c>
      <c r="BD595" s="129">
        <f t="shared" si="413"/>
      </c>
      <c r="BE595" s="129">
        <f t="shared" si="414"/>
      </c>
      <c r="BF595" s="129">
        <f t="shared" si="415"/>
      </c>
      <c r="BG595" s="129">
        <f t="shared" si="416"/>
        <v/>
      </c>
      <c r="BH595" s="129">
        <f t="shared" si="417"/>
        <v/>
      </c>
      <c r="BI595" s="129">
        <f t="shared" si="418"/>
        <v/>
      </c>
      <c r="BJ595" s="129">
        <f t="shared" si="419"/>
        <v/>
      </c>
      <c r="BK595" s="129">
        <f>IF(R595="","",IF(OR(BY595="",BY595=0),"BOX",IFERROR(IF(VLOOKUP(BY595,УГО_блоки,3,FALSE)&amp;""&lt;&gt;"",VLOOKUP(BY595,УГО_блоки,3,FALSE),VLOOKUP(BY595,УГО_блоки,2,FALSE)),BY595)))</f>
      </c>
      <c r="BL595" s="129">
        <f t="shared" si="421"/>
      </c>
      <c r="BM595" s="129">
        <f>IF(H595="","",IF(COUNTIF($H$3:H595,H595)=1,MAX($BM$2:BM594)+1,""))</f>
      </c>
      <c r="BN595" s="129">
        <f>IF(I595="","",IF(COUNTIF($I$3:I595,I595)+COUNTIF($J$2:J594,I595)+COUNTIF($K$2:K594,I595)=1,MAX($BN$2:BP594)+1,""))</f>
      </c>
      <c r="BO595" s="129">
        <f>IF(J595="","",IF(COUNTIF($I$3:I595,J595)+COUNTIF($J$3:J595,J595)+COUNTIF($K$2:K594,J595)=1,MAX($BN$2:BP594,BN595)+1,""))</f>
      </c>
      <c r="BP595" s="129">
        <f>IF(K595="","",IF(COUNTIF($I$3:I595,K595)+COUNTIF($J$3:J595,K595)+COUNTIF($K$3:K595,K595)=1,MAX($BN$2:BP594,BN595,BO595)+1,""))</f>
      </c>
      <c r="BQ595" s="129">
        <f>IF(AY595=1,IFERROR(MID(Q595,FIND(" (",Q595)+2,FIND(")",Q595,FIND(" (",Q595))-FIND(" (",Q595)-2),"?"),"")</f>
      </c>
      <c r="BR595" s="129">
        <f>IF(BQ595="","",IF(COUNTIF($BQ$3:BQ595,BQ595)=1,MAX($BR$2:BR594)+1,""))</f>
      </c>
      <c r="BS595" s="129">
        <f>IF(AW595="","",COUNTIF($AW$3:AW595,"?*"))</f>
      </c>
      <c r="BT595" s="129">
        <f>IF(OR(AW595="",AI595=""),"",IF(COUNTIFS($AW$3:AW595,"?*",$AI$3:AI595,AI595)=1,MAX($BT$2:BT594)+1,""))</f>
      </c>
      <c r="BU595" s="129">
        <f>IF(AE595="",0,IF(OR(ISNUMBER(SEARCH("дубль",AE595)),ISNUMBER(SEARCH("ПЕРЕГРУЗ",AE595)),ISNUMBER(SEARCH("ЗАЩИЩ",AE595)),ISNUMBER(SEARCH("КАНАЛ",AE595)),ISNUMBER(SEARCH("без 30",AE595))),2,1))</f>
      </c>
      <c r="BV595" s="129">
        <f>IF(R595="","",COUNTIF($R$3:R595,"?*"))</f>
      </c>
      <c r="BW595" s="129">
        <f>IF(AY595&lt;&gt;1,0,IF(MAX(IFERROR(--VLOOKUP(R595,УГО_спр,5,FALSE),0),IFERROR(--VLOOKUP(AL595,УГО_спр,5,FALSE),0),IFERROR(--VLOOKUP(LEFT(AL595,2),УГО_спр,5,FALSE),0))&gt;0,MAX(IFERROR(--VLOOKUP(R595,УГО_спр,5,FALSE),0),IFERROR(--VLOOKUP(AL595,УГО_спр,5,FALSE),0),IFERROR(--VLOOKUP(LEFT(AL595,2),УГО_спр,5,FALSE),0)),IF(IFERROR(--LEFT(SUBSTITUTE(BQ595,"x","х"),FIND("х",SUBSTITUTE(BQ595,"x","х"))-1),3)&gt;3,Каталог!$S$9,1)))</f>
      </c>
      <c r="BX595" s="129">
        <f>IF(AY595&lt;&gt;1,0,MAX(0,IFERROR(--LEFT(SUBSTITUTE(BQ595,"x","х"),FIND("х",SUBSTITUTE(BQ595,"x","х"))-1),3)-3*BW595))</f>
      </c>
      <c r="BY595" s="129">
        <f>IF(R595="","",IFERROR(VLOOKUP(R595,УГО_спр,2,FALSE),IFERROR(VLOOKUP(AL595,УГО_спр,2,FALSE),IFERROR(VLOOKUP(LEFT(AL595,2),УГО_спр,2,FALSE),""))))</f>
      </c>
    </row>
    <row r="596" spans="1:64" x14ac:dyDescent="0.3">
      <c r="A596" s="135">
        <f>IF(Разбивка_по_щитам!F596=0,"",Разбивка_по_щитам!F596)</f>
        <v/>
      </c>
      <c r="B596" s="138">
        <f>IF(A596="","",Разбивка_по_щитам!C596)</f>
        <v/>
      </c>
      <c r="C596" s="138">
        <f t="shared" si="382"/>
        <v/>
      </c>
      <c r="D596" s="266"/>
      <c r="E596" s="266"/>
      <c r="F596" s="267"/>
      <c r="G596" s="145">
        <f t="shared" si="383"/>
        <v/>
      </c>
      <c r="H596" s="145">
        <f t="shared" si="384"/>
        <v/>
      </c>
      <c r="I596" s="266"/>
      <c r="J596" s="267"/>
      <c r="K596" s="267"/>
      <c r="L596" s="266"/>
      <c r="M596" s="147">
        <f t="shared" si="385"/>
        <v/>
      </c>
      <c r="N596" s="267"/>
      <c r="O596" s="147">
        <f t="shared" si="386"/>
        <v/>
      </c>
      <c r="P596" s="268">
        <f>IF(AY596=1,"XT"&amp;COUNTIFS($A$3:A596,A596,$AY$3:AY596,1),"")</f>
        <v/>
      </c>
      <c r="Q596" s="152">
        <f>IF(R596="","",IFERROR(SUBSTITUTE(Разбивка_по_щитам!P596,CHAR(10)," "),""))</f>
        <v/>
      </c>
      <c r="R596" s="153">
        <f>IF(OR(Разбивка_по_щитам!H596="",Разбивка_по_щитам!H596=0),"",Разбивка_по_щитам!H596)</f>
        <v/>
      </c>
      <c r="S596" s="154">
        <f>IF(R596="","",IFERROR(Разбивка_по_щитам!J596&amp;"",""))</f>
        <v/>
      </c>
      <c r="T596" s="155">
        <f>IF(R596="","",IFERROR(--Разбивка_по_щитам!L596,""))</f>
        <v/>
      </c>
      <c r="U596" s="155">
        <f>IF(R596="","",IFERROR(--Разбивка_по_щитам!K596,""))</f>
        <v/>
      </c>
      <c r="V596" s="138">
        <f>IF(R596="","",IFERROR(IF(Разбивка_по_щитам!M596=0,"",Разбивка_по_щитам!M596),""))</f>
        <v/>
      </c>
      <c r="W596" s="156">
        <f t="shared" si="387"/>
        <v/>
      </c>
      <c r="X596" s="157">
        <f t="shared" si="388"/>
        <v/>
      </c>
      <c r="Y596" s="266"/>
      <c r="Z596" s="158">
        <f t="shared" si="389"/>
        <v/>
      </c>
      <c r="AA596" s="160">
        <f t="shared" si="390"/>
        <v/>
      </c>
      <c r="AB596" s="160">
        <f>IF(R596="","",IFERROR(LOOKUP(INDEX(Справочная!$I$4:$I$19,MATCH(VLOOKUP(R596,Исходные_данные,22,FALSE),Справочная!$J$4:$J$19,0)+1),{6,10,16,20,25,32,40,50,63,80,100,125}),""))</f>
        <v/>
      </c>
      <c r="AC596" s="160">
        <f t="shared" si="391"/>
        <v/>
      </c>
      <c r="AD596" s="161">
        <f t="shared" si="392"/>
        <v/>
      </c>
      <c r="AE596" s="161">
        <f>IF(AND(R596="",G596=""),"",_xlfn.TEXTJOIN("; ",TRUE,IF(AND(R596&lt;&gt;"",V596=""),"нет фазы",""),IF(AND(R596&lt;&gt;"",N(T596)=0),"нет мощности",""),IF(AND(P596&lt;&gt;"",COUNTIFS($A$3:$A$1000,A596,$P$3:$P$1000,P596)&gt;1),"дубль клеммы "&amp;P596,""),IF(AND(W596&lt;&gt;"",W596&lt;&gt;"ok"),W596,""),IF(X596&lt;&gt;"",X596,""),IF(AND(ISNUMBER(SEARCH("(5х",Q596)),N(AK596)=1),"5 жил на 1 фазе",""),IF(AND(AL596="R",E596&lt;&gt;"",N(AS596)=0),"розетка без 30 мА",""),IF(IFERROR(_xlfn.NUMBERVALUE(MID(Q596,FIND("-",Q596,FIND("L=",Q596))+1,FIND("%",Q596)-FIND("-",Q596,FIND("L=",Q596))-1),","),0)&gt;4,"потери &gt; 4 %","")))</f>
      </c>
      <c r="AF596" s="129">
        <f>IF(E596&lt;&gt;"",COUNTIFS($A$3:A596,A596,$E$3:E596,"?*"),IF(OR(A596&lt;&gt;A595,Y596="вручную"),"",AF595))</f>
        <v/>
      </c>
      <c r="AG596" s="129">
        <f t="shared" si="393"/>
        <v/>
      </c>
      <c r="AH596" s="129">
        <f t="shared" si="394"/>
        <v/>
      </c>
      <c r="AI596" s="129">
        <f t="shared" si="395"/>
        <v/>
      </c>
      <c r="AJ596" s="129">
        <f t="shared" si="396"/>
        <v/>
      </c>
      <c r="AK596" s="129">
        <f t="shared" si="397"/>
        <v/>
      </c>
      <c r="AL596" s="129">
        <f t="shared" si="398"/>
        <v/>
      </c>
      <c r="AM596" s="129">
        <f t="shared" si="399"/>
      </c>
      <c r="AN596" s="129">
        <f t="shared" si="400"/>
      </c>
      <c r="AO596" s="129">
        <f t="shared" si="401"/>
        <v/>
      </c>
      <c r="AP596" s="129">
        <f t="shared" si="402"/>
        <v/>
      </c>
      <c r="AQ596" s="129">
        <f t="shared" si="403"/>
        <v/>
      </c>
      <c r="AR596" s="129">
        <f t="shared" si="404"/>
        <v/>
      </c>
      <c r="AS596" s="129">
        <f t="shared" si="405"/>
        <v/>
      </c>
      <c r="AT596" s="129">
        <f t="shared" si="406"/>
        <v/>
      </c>
      <c r="AU596" s="129">
        <f t="shared" si="407"/>
        <v/>
      </c>
      <c r="AV596" s="129">
        <f t="shared" si="408"/>
        <v/>
      </c>
      <c r="AW596" s="129">
        <f>IF(AV596="","",AV596&amp;"."&amp;COUNTIFS($A$3:A596,A596,$AV$3:AV596,AV596))</f>
        <v/>
      </c>
      <c r="AX596" s="129">
        <f t="shared" si="409"/>
        <v/>
      </c>
      <c r="AY596" s="129">
        <f>IF(N596="б/к",0,IF(OR(ISNUMBER(SEARCH("L=",Разбивка_по_щитам!P596)),N596="+",N596="="),1,0))</f>
      </c>
      <c r="AZ596" s="129">
        <f t="shared" si="410"/>
        <v/>
      </c>
      <c r="BA596" s="129">
        <f t="shared" si="411"/>
      </c>
      <c r="BB596" s="129">
        <f t="shared" si="412"/>
      </c>
      <c r="BD596" s="129">
        <f t="shared" si="413"/>
      </c>
      <c r="BE596" s="129">
        <f t="shared" si="414"/>
      </c>
      <c r="BF596" s="129">
        <f t="shared" si="415"/>
      </c>
      <c r="BG596" s="129">
        <f t="shared" si="416"/>
        <v/>
      </c>
      <c r="BH596" s="129">
        <f t="shared" si="417"/>
        <v/>
      </c>
      <c r="BI596" s="129">
        <f t="shared" si="418"/>
        <v/>
      </c>
      <c r="BJ596" s="129">
        <f t="shared" si="419"/>
        <v/>
      </c>
      <c r="BK596" s="129">
        <f>IF(R596="","",IF(OR(BY596="",BY596=0),"BOX",IFERROR(IF(VLOOKUP(BY596,УГО_блоки,3,FALSE)&amp;""&lt;&gt;"",VLOOKUP(BY596,УГО_блоки,3,FALSE),VLOOKUP(BY596,УГО_блоки,2,FALSE)),BY596)))</f>
      </c>
      <c r="BL596" s="129">
        <f t="shared" si="421"/>
      </c>
      <c r="BM596" s="129">
        <f>IF(H596="","",IF(COUNTIF($H$3:H596,H596)=1,MAX($BM$2:BM595)+1,""))</f>
      </c>
      <c r="BN596" s="129">
        <f>IF(I596="","",IF(COUNTIF($I$3:I596,I596)+COUNTIF($J$2:J595,I596)+COUNTIF($K$2:K595,I596)=1,MAX($BN$2:BP595)+1,""))</f>
      </c>
      <c r="BO596" s="129">
        <f>IF(J596="","",IF(COUNTIF($I$3:I596,J596)+COUNTIF($J$3:J596,J596)+COUNTIF($K$2:K595,J596)=1,MAX($BN$2:BP595,BN596)+1,""))</f>
      </c>
      <c r="BP596" s="129">
        <f>IF(K596="","",IF(COUNTIF($I$3:I596,K596)+COUNTIF($J$3:J596,K596)+COUNTIF($K$3:K596,K596)=1,MAX($BN$2:BP595,BN596,BO596)+1,""))</f>
      </c>
      <c r="BQ596" s="129">
        <f>IF(AY596=1,IFERROR(MID(Q596,FIND(" (",Q596)+2,FIND(")",Q596,FIND(" (",Q596))-FIND(" (",Q596)-2),"?"),"")</f>
      </c>
      <c r="BR596" s="129">
        <f>IF(BQ596="","",IF(COUNTIF($BQ$3:BQ596,BQ596)=1,MAX($BR$2:BR595)+1,""))</f>
      </c>
      <c r="BS596" s="129">
        <f>IF(AW596="","",COUNTIF($AW$3:AW596,"?*"))</f>
      </c>
      <c r="BT596" s="129">
        <f>IF(OR(AW596="",AI596=""),"",IF(COUNTIFS($AW$3:AW596,"?*",$AI$3:AI596,AI596)=1,MAX($BT$2:BT595)+1,""))</f>
      </c>
      <c r="BU596" s="129">
        <f>IF(AE596="",0,IF(OR(ISNUMBER(SEARCH("дубль",AE596)),ISNUMBER(SEARCH("ПЕРЕГРУЗ",AE596)),ISNUMBER(SEARCH("ЗАЩИЩ",AE596)),ISNUMBER(SEARCH("КАНАЛ",AE596)),ISNUMBER(SEARCH("без 30",AE596))),2,1))</f>
      </c>
      <c r="BV596" s="129">
        <f>IF(R596="","",COUNTIF($R$3:R596,"?*"))</f>
      </c>
      <c r="BW596" s="129">
        <f>IF(AY596&lt;&gt;1,0,IF(MAX(IFERROR(--VLOOKUP(R596,УГО_спр,5,FALSE),0),IFERROR(--VLOOKUP(AL596,УГО_спр,5,FALSE),0),IFERROR(--VLOOKUP(LEFT(AL596,2),УГО_спр,5,FALSE),0))&gt;0,MAX(IFERROR(--VLOOKUP(R596,УГО_спр,5,FALSE),0),IFERROR(--VLOOKUP(AL596,УГО_спр,5,FALSE),0),IFERROR(--VLOOKUP(LEFT(AL596,2),УГО_спр,5,FALSE),0)),IF(IFERROR(--LEFT(SUBSTITUTE(BQ596,"x","х"),FIND("х",SUBSTITUTE(BQ596,"x","х"))-1),3)&gt;3,Каталог!$S$9,1)))</f>
      </c>
      <c r="BX596" s="129">
        <f>IF(AY596&lt;&gt;1,0,MAX(0,IFERROR(--LEFT(SUBSTITUTE(BQ596,"x","х"),FIND("х",SUBSTITUTE(BQ596,"x","х"))-1),3)-3*BW596))</f>
      </c>
      <c r="BY596" s="129">
        <f>IF(R596="","",IFERROR(VLOOKUP(R596,УГО_спр,2,FALSE),IFERROR(VLOOKUP(AL596,УГО_спр,2,FALSE),IFERROR(VLOOKUP(LEFT(AL596,2),УГО_спр,2,FALSE),""))))</f>
      </c>
    </row>
    <row r="597" spans="1:64" x14ac:dyDescent="0.3">
      <c r="A597" s="135">
        <f>IF(Разбивка_по_щитам!F597=0,"",Разбивка_по_щитам!F597)</f>
        <v/>
      </c>
      <c r="B597" s="138">
        <f>IF(A597="","",Разбивка_по_щитам!C597)</f>
        <v/>
      </c>
      <c r="C597" s="138">
        <f t="shared" si="382"/>
        <v/>
      </c>
      <c r="D597" s="266"/>
      <c r="E597" s="266"/>
      <c r="F597" s="267"/>
      <c r="G597" s="145">
        <f t="shared" si="383"/>
        <v/>
      </c>
      <c r="H597" s="145">
        <f t="shared" si="384"/>
        <v/>
      </c>
      <c r="I597" s="266"/>
      <c r="J597" s="267"/>
      <c r="K597" s="267"/>
      <c r="L597" s="266"/>
      <c r="M597" s="147">
        <f t="shared" si="385"/>
        <v/>
      </c>
      <c r="N597" s="267"/>
      <c r="O597" s="147">
        <f t="shared" si="386"/>
        <v/>
      </c>
      <c r="P597" s="268">
        <f>IF(AY597=1,"XT"&amp;COUNTIFS($A$3:A597,A597,$AY$3:AY597,1),"")</f>
        <v/>
      </c>
      <c r="Q597" s="152">
        <f>IF(R597="","",IFERROR(SUBSTITUTE(Разбивка_по_щитам!P597,CHAR(10)," "),""))</f>
        <v/>
      </c>
      <c r="R597" s="153">
        <f>IF(OR(Разбивка_по_щитам!H597="",Разбивка_по_щитам!H597=0),"",Разбивка_по_щитам!H597)</f>
        <v/>
      </c>
      <c r="S597" s="154">
        <f>IF(R597="","",IFERROR(Разбивка_по_щитам!J597&amp;"",""))</f>
        <v/>
      </c>
      <c r="T597" s="155">
        <f>IF(R597="","",IFERROR(--Разбивка_по_щитам!L597,""))</f>
        <v/>
      </c>
      <c r="U597" s="155">
        <f>IF(R597="","",IFERROR(--Разбивка_по_щитам!K597,""))</f>
        <v/>
      </c>
      <c r="V597" s="138">
        <f>IF(R597="","",IFERROR(IF(Разбивка_по_щитам!M597=0,"",Разбивка_по_щитам!M597),""))</f>
        <v/>
      </c>
      <c r="W597" s="156">
        <f t="shared" si="387"/>
        <v/>
      </c>
      <c r="X597" s="157">
        <f t="shared" si="388"/>
        <v/>
      </c>
      <c r="Y597" s="266"/>
      <c r="Z597" s="158">
        <f t="shared" si="389"/>
        <v/>
      </c>
      <c r="AA597" s="160">
        <f t="shared" si="390"/>
        <v/>
      </c>
      <c r="AB597" s="160">
        <f>IF(R597="","",IFERROR(LOOKUP(INDEX(Справочная!$I$4:$I$19,MATCH(VLOOKUP(R597,Исходные_данные,22,FALSE),Справочная!$J$4:$J$19,0)+1),{6,10,16,20,25,32,40,50,63,80,100,125}),""))</f>
        <v/>
      </c>
      <c r="AC597" s="160">
        <f t="shared" si="391"/>
        <v/>
      </c>
      <c r="AD597" s="161">
        <f t="shared" si="392"/>
        <v/>
      </c>
      <c r="AE597" s="161">
        <f>IF(AND(R597="",G597=""),"",_xlfn.TEXTJOIN("; ",TRUE,IF(AND(R597&lt;&gt;"",V597=""),"нет фазы",""),IF(AND(R597&lt;&gt;"",N(T597)=0),"нет мощности",""),IF(AND(P597&lt;&gt;"",COUNTIFS($A$3:$A$1000,A597,$P$3:$P$1000,P597)&gt;1),"дубль клеммы "&amp;P597,""),IF(AND(W597&lt;&gt;"",W597&lt;&gt;"ok"),W597,""),IF(X597&lt;&gt;"",X597,""),IF(AND(ISNUMBER(SEARCH("(5х",Q597)),N(AK597)=1),"5 жил на 1 фазе",""),IF(AND(AL597="R",E597&lt;&gt;"",N(AS597)=0),"розетка без 30 мА",""),IF(IFERROR(_xlfn.NUMBERVALUE(MID(Q597,FIND("-",Q597,FIND("L=",Q597))+1,FIND("%",Q597)-FIND("-",Q597,FIND("L=",Q597))-1),","),0)&gt;4,"потери &gt; 4 %","")))</f>
      </c>
      <c r="AF597" s="129">
        <f>IF(E597&lt;&gt;"",COUNTIFS($A$3:A597,A597,$E$3:E597,"?*"),IF(OR(A597&lt;&gt;A596,Y597="вручную"),"",AF596))</f>
        <v/>
      </c>
      <c r="AG597" s="129">
        <f t="shared" si="393"/>
        <v/>
      </c>
      <c r="AH597" s="129">
        <f t="shared" si="394"/>
        <v/>
      </c>
      <c r="AI597" s="129">
        <f t="shared" si="395"/>
        <v/>
      </c>
      <c r="AJ597" s="129">
        <f t="shared" si="396"/>
        <v/>
      </c>
      <c r="AK597" s="129">
        <f t="shared" si="397"/>
        <v/>
      </c>
      <c r="AL597" s="129">
        <f t="shared" si="398"/>
        <v/>
      </c>
      <c r="AM597" s="129">
        <f t="shared" si="399"/>
      </c>
      <c r="AN597" s="129">
        <f t="shared" si="400"/>
      </c>
      <c r="AO597" s="129">
        <f t="shared" si="401"/>
        <v/>
      </c>
      <c r="AP597" s="129">
        <f t="shared" si="402"/>
        <v/>
      </c>
      <c r="AQ597" s="129">
        <f t="shared" si="403"/>
        <v/>
      </c>
      <c r="AR597" s="129">
        <f t="shared" si="404"/>
        <v/>
      </c>
      <c r="AS597" s="129">
        <f t="shared" si="405"/>
        <v/>
      </c>
      <c r="AT597" s="129">
        <f t="shared" si="406"/>
        <v/>
      </c>
      <c r="AU597" s="129">
        <f t="shared" si="407"/>
        <v/>
      </c>
      <c r="AV597" s="129">
        <f t="shared" si="408"/>
        <v/>
      </c>
      <c r="AW597" s="129">
        <f>IF(AV597="","",AV597&amp;"."&amp;COUNTIFS($A$3:A597,A597,$AV$3:AV597,AV597))</f>
        <v/>
      </c>
      <c r="AX597" s="129">
        <f t="shared" si="409"/>
        <v/>
      </c>
      <c r="AY597" s="129">
        <f>IF(N597="б/к",0,IF(OR(ISNUMBER(SEARCH("L=",Разбивка_по_щитам!P597)),N597="+",N597="="),1,0))</f>
      </c>
      <c r="AZ597" s="129">
        <f t="shared" si="410"/>
        <v/>
      </c>
      <c r="BA597" s="129">
        <f t="shared" si="411"/>
      </c>
      <c r="BB597" s="129">
        <f t="shared" si="412"/>
      </c>
      <c r="BD597" s="129">
        <f t="shared" si="413"/>
      </c>
      <c r="BE597" s="129">
        <f t="shared" si="414"/>
      </c>
      <c r="BF597" s="129">
        <f t="shared" si="415"/>
      </c>
      <c r="BG597" s="129">
        <f t="shared" si="416"/>
        <v/>
      </c>
      <c r="BH597" s="129">
        <f t="shared" si="417"/>
        <v/>
      </c>
      <c r="BI597" s="129">
        <f t="shared" si="418"/>
        <v/>
      </c>
      <c r="BJ597" s="129">
        <f t="shared" si="419"/>
        <v/>
      </c>
      <c r="BK597" s="129">
        <f>IF(R597="","",IF(OR(BY597="",BY597=0),"BOX",IFERROR(IF(VLOOKUP(BY597,УГО_блоки,3,FALSE)&amp;""&lt;&gt;"",VLOOKUP(BY597,УГО_блоки,3,FALSE),VLOOKUP(BY597,УГО_блоки,2,FALSE)),BY597)))</f>
      </c>
      <c r="BL597" s="129">
        <f t="shared" si="421"/>
      </c>
      <c r="BM597" s="129">
        <f>IF(H597="","",IF(COUNTIF($H$3:H597,H597)=1,MAX($BM$2:BM596)+1,""))</f>
      </c>
      <c r="BN597" s="129">
        <f>IF(I597="","",IF(COUNTIF($I$3:I597,I597)+COUNTIF($J$2:J596,I597)+COUNTIF($K$2:K596,I597)=1,MAX($BN$2:BP596)+1,""))</f>
      </c>
      <c r="BO597" s="129">
        <f>IF(J597="","",IF(COUNTIF($I$3:I597,J597)+COUNTIF($J$3:J597,J597)+COUNTIF($K$2:K596,J597)=1,MAX($BN$2:BP596,BN597)+1,""))</f>
      </c>
      <c r="BP597" s="129">
        <f>IF(K597="","",IF(COUNTIF($I$3:I597,K597)+COUNTIF($J$3:J597,K597)+COUNTIF($K$3:K597,K597)=1,MAX($BN$2:BP596,BN597,BO597)+1,""))</f>
      </c>
      <c r="BQ597" s="129">
        <f>IF(AY597=1,IFERROR(MID(Q597,FIND(" (",Q597)+2,FIND(")",Q597,FIND(" (",Q597))-FIND(" (",Q597)-2),"?"),"")</f>
      </c>
      <c r="BR597" s="129">
        <f>IF(BQ597="","",IF(COUNTIF($BQ$3:BQ597,BQ597)=1,MAX($BR$2:BR596)+1,""))</f>
      </c>
      <c r="BS597" s="129">
        <f>IF(AW597="","",COUNTIF($AW$3:AW597,"?*"))</f>
      </c>
      <c r="BT597" s="129">
        <f>IF(OR(AW597="",AI597=""),"",IF(COUNTIFS($AW$3:AW597,"?*",$AI$3:AI597,AI597)=1,MAX($BT$2:BT596)+1,""))</f>
      </c>
      <c r="BU597" s="129">
        <f>IF(AE597="",0,IF(OR(ISNUMBER(SEARCH("дубль",AE597)),ISNUMBER(SEARCH("ПЕРЕГРУЗ",AE597)),ISNUMBER(SEARCH("ЗАЩИЩ",AE597)),ISNUMBER(SEARCH("КАНАЛ",AE597)),ISNUMBER(SEARCH("без 30",AE597))),2,1))</f>
      </c>
      <c r="BV597" s="129">
        <f>IF(R597="","",COUNTIF($R$3:R597,"?*"))</f>
      </c>
      <c r="BW597" s="129">
        <f>IF(AY597&lt;&gt;1,0,IF(MAX(IFERROR(--VLOOKUP(R597,УГО_спр,5,FALSE),0),IFERROR(--VLOOKUP(AL597,УГО_спр,5,FALSE),0),IFERROR(--VLOOKUP(LEFT(AL597,2),УГО_спр,5,FALSE),0))&gt;0,MAX(IFERROR(--VLOOKUP(R597,УГО_спр,5,FALSE),0),IFERROR(--VLOOKUP(AL597,УГО_спр,5,FALSE),0),IFERROR(--VLOOKUP(LEFT(AL597,2),УГО_спр,5,FALSE),0)),IF(IFERROR(--LEFT(SUBSTITUTE(BQ597,"x","х"),FIND("х",SUBSTITUTE(BQ597,"x","х"))-1),3)&gt;3,Каталог!$S$9,1)))</f>
      </c>
      <c r="BX597" s="129">
        <f>IF(AY597&lt;&gt;1,0,MAX(0,IFERROR(--LEFT(SUBSTITUTE(BQ597,"x","х"),FIND("х",SUBSTITUTE(BQ597,"x","х"))-1),3)-3*BW597))</f>
      </c>
      <c r="BY597" s="129">
        <f>IF(R597="","",IFERROR(VLOOKUP(R597,УГО_спр,2,FALSE),IFERROR(VLOOKUP(AL597,УГО_спр,2,FALSE),IFERROR(VLOOKUP(LEFT(AL597,2),УГО_спр,2,FALSE),""))))</f>
      </c>
    </row>
    <row r="598" spans="1:64" x14ac:dyDescent="0.3">
      <c r="A598" s="135">
        <f>IF(Разбивка_по_щитам!F598=0,"",Разбивка_по_щитам!F598)</f>
        <v/>
      </c>
      <c r="B598" s="138">
        <f>IF(A598="","",Разбивка_по_щитам!C598)</f>
        <v/>
      </c>
      <c r="C598" s="138">
        <f t="shared" si="382"/>
        <v/>
      </c>
      <c r="D598" s="266"/>
      <c r="E598" s="266"/>
      <c r="F598" s="267"/>
      <c r="G598" s="145">
        <f t="shared" si="383"/>
        <v/>
      </c>
      <c r="H598" s="145">
        <f t="shared" si="384"/>
        <v/>
      </c>
      <c r="I598" s="266"/>
      <c r="J598" s="267"/>
      <c r="K598" s="267"/>
      <c r="L598" s="266"/>
      <c r="M598" s="147">
        <f t="shared" si="385"/>
        <v/>
      </c>
      <c r="N598" s="267"/>
      <c r="O598" s="147">
        <f t="shared" si="386"/>
        <v/>
      </c>
      <c r="P598" s="268">
        <f>IF(AY598=1,"XT"&amp;COUNTIFS($A$3:A598,A598,$AY$3:AY598,1),"")</f>
        <v/>
      </c>
      <c r="Q598" s="152">
        <f>IF(R598="","",IFERROR(SUBSTITUTE(Разбивка_по_щитам!P598,CHAR(10)," "),""))</f>
        <v/>
      </c>
      <c r="R598" s="153">
        <f>IF(OR(Разбивка_по_щитам!H598="",Разбивка_по_щитам!H598=0),"",Разбивка_по_щитам!H598)</f>
        <v/>
      </c>
      <c r="S598" s="154">
        <f>IF(R598="","",IFERROR(Разбивка_по_щитам!J598&amp;"",""))</f>
        <v/>
      </c>
      <c r="T598" s="155">
        <f>IF(R598="","",IFERROR(--Разбивка_по_щитам!L598,""))</f>
        <v/>
      </c>
      <c r="U598" s="155">
        <f>IF(R598="","",IFERROR(--Разбивка_по_щитам!K598,""))</f>
        <v/>
      </c>
      <c r="V598" s="138">
        <f>IF(R598="","",IFERROR(IF(Разбивка_по_щитам!M598=0,"",Разбивка_по_щитам!M598),""))</f>
        <v/>
      </c>
      <c r="W598" s="156">
        <f t="shared" si="387"/>
        <v/>
      </c>
      <c r="X598" s="157">
        <f t="shared" si="388"/>
        <v/>
      </c>
      <c r="Y598" s="266"/>
      <c r="Z598" s="158">
        <f t="shared" si="389"/>
        <v/>
      </c>
      <c r="AA598" s="160">
        <f t="shared" si="390"/>
        <v/>
      </c>
      <c r="AB598" s="160">
        <f>IF(R598="","",IFERROR(LOOKUP(INDEX(Справочная!$I$4:$I$19,MATCH(VLOOKUP(R598,Исходные_данные,22,FALSE),Справочная!$J$4:$J$19,0)+1),{6,10,16,20,25,32,40,50,63,80,100,125}),""))</f>
        <v/>
      </c>
      <c r="AC598" s="160">
        <f t="shared" si="391"/>
        <v/>
      </c>
      <c r="AD598" s="161">
        <f t="shared" si="392"/>
        <v/>
      </c>
      <c r="AE598" s="161">
        <f>IF(AND(R598="",G598=""),"",_xlfn.TEXTJOIN("; ",TRUE,IF(AND(R598&lt;&gt;"",V598=""),"нет фазы",""),IF(AND(R598&lt;&gt;"",N(T598)=0),"нет мощности",""),IF(AND(P598&lt;&gt;"",COUNTIFS($A$3:$A$1000,A598,$P$3:$P$1000,P598)&gt;1),"дубль клеммы "&amp;P598,""),IF(AND(W598&lt;&gt;"",W598&lt;&gt;"ok"),W598,""),IF(X598&lt;&gt;"",X598,""),IF(AND(ISNUMBER(SEARCH("(5х",Q598)),N(AK598)=1),"5 жил на 1 фазе",""),IF(AND(AL598="R",E598&lt;&gt;"",N(AS598)=0),"розетка без 30 мА",""),IF(IFERROR(_xlfn.NUMBERVALUE(MID(Q598,FIND("-",Q598,FIND("L=",Q598))+1,FIND("%",Q598)-FIND("-",Q598,FIND("L=",Q598))-1),","),0)&gt;4,"потери &gt; 4 %","")))</f>
      </c>
      <c r="AF598" s="129">
        <f>IF(E598&lt;&gt;"",COUNTIFS($A$3:A598,A598,$E$3:E598,"?*"),IF(OR(A598&lt;&gt;A597,Y598="вручную"),"",AF597))</f>
        <v/>
      </c>
      <c r="AG598" s="129">
        <f t="shared" si="393"/>
        <v/>
      </c>
      <c r="AH598" s="129">
        <f t="shared" si="394"/>
        <v/>
      </c>
      <c r="AI598" s="129">
        <f t="shared" si="395"/>
        <v/>
      </c>
      <c r="AJ598" s="129">
        <f t="shared" si="396"/>
        <v/>
      </c>
      <c r="AK598" s="129">
        <f t="shared" si="397"/>
        <v/>
      </c>
      <c r="AL598" s="129">
        <f t="shared" si="398"/>
        <v/>
      </c>
      <c r="AM598" s="129">
        <f t="shared" si="399"/>
      </c>
      <c r="AN598" s="129">
        <f t="shared" si="400"/>
      </c>
      <c r="AO598" s="129">
        <f t="shared" si="401"/>
        <v/>
      </c>
      <c r="AP598" s="129">
        <f t="shared" si="402"/>
        <v/>
      </c>
      <c r="AQ598" s="129">
        <f t="shared" si="403"/>
        <v/>
      </c>
      <c r="AR598" s="129">
        <f t="shared" si="404"/>
        <v/>
      </c>
      <c r="AS598" s="129">
        <f t="shared" si="405"/>
        <v/>
      </c>
      <c r="AT598" s="129">
        <f t="shared" si="406"/>
        <v/>
      </c>
      <c r="AU598" s="129">
        <f t="shared" si="407"/>
        <v/>
      </c>
      <c r="AV598" s="129">
        <f t="shared" si="408"/>
        <v/>
      </c>
      <c r="AW598" s="129">
        <f>IF(AV598="","",AV598&amp;"."&amp;COUNTIFS($A$3:A598,A598,$AV$3:AV598,AV598))</f>
        <v/>
      </c>
      <c r="AX598" s="129">
        <f t="shared" si="409"/>
        <v/>
      </c>
      <c r="AY598" s="129">
        <f>IF(N598="б/к",0,IF(OR(ISNUMBER(SEARCH("L=",Разбивка_по_щитам!P598)),N598="+",N598="="),1,0))</f>
      </c>
      <c r="AZ598" s="129">
        <f t="shared" si="410"/>
        <v/>
      </c>
      <c r="BA598" s="129">
        <f t="shared" si="411"/>
      </c>
      <c r="BB598" s="129">
        <f t="shared" si="412"/>
      </c>
      <c r="BD598" s="129">
        <f t="shared" si="413"/>
      </c>
      <c r="BE598" s="129">
        <f t="shared" si="414"/>
      </c>
      <c r="BF598" s="129">
        <f t="shared" si="415"/>
      </c>
      <c r="BG598" s="129">
        <f t="shared" si="416"/>
        <v/>
      </c>
      <c r="BH598" s="129">
        <f t="shared" si="417"/>
        <v/>
      </c>
      <c r="BI598" s="129">
        <f t="shared" si="418"/>
        <v/>
      </c>
      <c r="BJ598" s="129">
        <f t="shared" si="419"/>
        <v/>
      </c>
      <c r="BK598" s="129">
        <f>IF(R598="","",IF(OR(BY598="",BY598=0),"BOX",IFERROR(IF(VLOOKUP(BY598,УГО_блоки,3,FALSE)&amp;""&lt;&gt;"",VLOOKUP(BY598,УГО_блоки,3,FALSE),VLOOKUP(BY598,УГО_блоки,2,FALSE)),BY598)))</f>
      </c>
      <c r="BL598" s="129">
        <f t="shared" si="421"/>
      </c>
      <c r="BM598" s="129">
        <f>IF(H598="","",IF(COUNTIF($H$3:H598,H598)=1,MAX($BM$2:BM597)+1,""))</f>
      </c>
      <c r="BN598" s="129">
        <f>IF(I598="","",IF(COUNTIF($I$3:I598,I598)+COUNTIF($J$2:J597,I598)+COUNTIF($K$2:K597,I598)=1,MAX($BN$2:BP597)+1,""))</f>
      </c>
      <c r="BO598" s="129">
        <f>IF(J598="","",IF(COUNTIF($I$3:I598,J598)+COUNTIF($J$3:J598,J598)+COUNTIF($K$2:K597,J598)=1,MAX($BN$2:BP597,BN598)+1,""))</f>
      </c>
      <c r="BP598" s="129">
        <f>IF(K598="","",IF(COUNTIF($I$3:I598,K598)+COUNTIF($J$3:J598,K598)+COUNTIF($K$3:K598,K598)=1,MAX($BN$2:BP597,BN598,BO598)+1,""))</f>
      </c>
      <c r="BQ598" s="129">
        <f>IF(AY598=1,IFERROR(MID(Q598,FIND(" (",Q598)+2,FIND(")",Q598,FIND(" (",Q598))-FIND(" (",Q598)-2),"?"),"")</f>
      </c>
      <c r="BR598" s="129">
        <f>IF(BQ598="","",IF(COUNTIF($BQ$3:BQ598,BQ598)=1,MAX($BR$2:BR597)+1,""))</f>
      </c>
      <c r="BS598" s="129">
        <f>IF(AW598="","",COUNTIF($AW$3:AW598,"?*"))</f>
      </c>
      <c r="BT598" s="129">
        <f>IF(OR(AW598="",AI598=""),"",IF(COUNTIFS($AW$3:AW598,"?*",$AI$3:AI598,AI598)=1,MAX($BT$2:BT597)+1,""))</f>
      </c>
      <c r="BU598" s="129">
        <f>IF(AE598="",0,IF(OR(ISNUMBER(SEARCH("дубль",AE598)),ISNUMBER(SEARCH("ПЕРЕГРУЗ",AE598)),ISNUMBER(SEARCH("ЗАЩИЩ",AE598)),ISNUMBER(SEARCH("КАНАЛ",AE598)),ISNUMBER(SEARCH("без 30",AE598))),2,1))</f>
      </c>
      <c r="BV598" s="129">
        <f>IF(R598="","",COUNTIF($R$3:R598,"?*"))</f>
      </c>
      <c r="BW598" s="129">
        <f>IF(AY598&lt;&gt;1,0,IF(MAX(IFERROR(--VLOOKUP(R598,УГО_спр,5,FALSE),0),IFERROR(--VLOOKUP(AL598,УГО_спр,5,FALSE),0),IFERROR(--VLOOKUP(LEFT(AL598,2),УГО_спр,5,FALSE),0))&gt;0,MAX(IFERROR(--VLOOKUP(R598,УГО_спр,5,FALSE),0),IFERROR(--VLOOKUP(AL598,УГО_спр,5,FALSE),0),IFERROR(--VLOOKUP(LEFT(AL598,2),УГО_спр,5,FALSE),0)),IF(IFERROR(--LEFT(SUBSTITUTE(BQ598,"x","х"),FIND("х",SUBSTITUTE(BQ598,"x","х"))-1),3)&gt;3,Каталог!$S$9,1)))</f>
      </c>
      <c r="BX598" s="129">
        <f>IF(AY598&lt;&gt;1,0,MAX(0,IFERROR(--LEFT(SUBSTITUTE(BQ598,"x","х"),FIND("х",SUBSTITUTE(BQ598,"x","х"))-1),3)-3*BW598))</f>
      </c>
      <c r="BY598" s="129">
        <f>IF(R598="","",IFERROR(VLOOKUP(R598,УГО_спр,2,FALSE),IFERROR(VLOOKUP(AL598,УГО_спр,2,FALSE),IFERROR(VLOOKUP(LEFT(AL598,2),УГО_спр,2,FALSE),""))))</f>
      </c>
    </row>
    <row r="599" spans="1:64" x14ac:dyDescent="0.3">
      <c r="A599" s="135">
        <f>IF(Разбивка_по_щитам!F599=0,"",Разбивка_по_щитам!F599)</f>
        <v/>
      </c>
      <c r="B599" s="138">
        <f>IF(A599="","",Разбивка_по_щитам!C599)</f>
        <v/>
      </c>
      <c r="C599" s="138">
        <f t="shared" si="382"/>
        <v/>
      </c>
      <c r="D599" s="266"/>
      <c r="E599" s="266"/>
      <c r="F599" s="267"/>
      <c r="G599" s="145">
        <f t="shared" si="383"/>
        <v/>
      </c>
      <c r="H599" s="145">
        <f t="shared" si="384"/>
        <v/>
      </c>
      <c r="I599" s="266"/>
      <c r="J599" s="267"/>
      <c r="K599" s="267"/>
      <c r="L599" s="266"/>
      <c r="M599" s="147">
        <f t="shared" si="385"/>
        <v/>
      </c>
      <c r="N599" s="267"/>
      <c r="O599" s="147">
        <f t="shared" si="386"/>
        <v/>
      </c>
      <c r="P599" s="268">
        <f>IF(AY599=1,"XT"&amp;COUNTIFS($A$3:A599,A599,$AY$3:AY599,1),"")</f>
        <v/>
      </c>
      <c r="Q599" s="152">
        <f>IF(R599="","",IFERROR(SUBSTITUTE(Разбивка_по_щитам!P599,CHAR(10)," "),""))</f>
        <v/>
      </c>
      <c r="R599" s="153">
        <f>IF(OR(Разбивка_по_щитам!H599="",Разбивка_по_щитам!H599=0),"",Разбивка_по_щитам!H599)</f>
        <v/>
      </c>
      <c r="S599" s="154">
        <f>IF(R599="","",IFERROR(Разбивка_по_щитам!J599&amp;"",""))</f>
        <v/>
      </c>
      <c r="T599" s="155">
        <f>IF(R599="","",IFERROR(--Разбивка_по_щитам!L599,""))</f>
        <v/>
      </c>
      <c r="U599" s="155">
        <f>IF(R599="","",IFERROR(--Разбивка_по_щитам!K599,""))</f>
        <v/>
      </c>
      <c r="V599" s="138">
        <f>IF(R599="","",IFERROR(IF(Разбивка_по_щитам!M599=0,"",Разбивка_по_щитам!M599),""))</f>
        <v/>
      </c>
      <c r="W599" s="156">
        <f t="shared" si="387"/>
        <v/>
      </c>
      <c r="X599" s="157">
        <f t="shared" si="388"/>
        <v/>
      </c>
      <c r="Y599" s="266"/>
      <c r="Z599" s="158">
        <f t="shared" si="389"/>
        <v/>
      </c>
      <c r="AA599" s="160">
        <f t="shared" si="390"/>
        <v/>
      </c>
      <c r="AB599" s="160">
        <f>IF(R599="","",IFERROR(LOOKUP(INDEX(Справочная!$I$4:$I$19,MATCH(VLOOKUP(R599,Исходные_данные,22,FALSE),Справочная!$J$4:$J$19,0)+1),{6,10,16,20,25,32,40,50,63,80,100,125}),""))</f>
        <v/>
      </c>
      <c r="AC599" s="160">
        <f t="shared" si="391"/>
        <v/>
      </c>
      <c r="AD599" s="161">
        <f t="shared" si="392"/>
        <v/>
      </c>
      <c r="AE599" s="161">
        <f>IF(AND(R599="",G599=""),"",_xlfn.TEXTJOIN("; ",TRUE,IF(AND(R599&lt;&gt;"",V599=""),"нет фазы",""),IF(AND(R599&lt;&gt;"",N(T599)=0),"нет мощности",""),IF(AND(P599&lt;&gt;"",COUNTIFS($A$3:$A$1000,A599,$P$3:$P$1000,P599)&gt;1),"дубль клеммы "&amp;P599,""),IF(AND(W599&lt;&gt;"",W599&lt;&gt;"ok"),W599,""),IF(X599&lt;&gt;"",X599,""),IF(AND(ISNUMBER(SEARCH("(5х",Q599)),N(AK599)=1),"5 жил на 1 фазе",""),IF(AND(AL599="R",E599&lt;&gt;"",N(AS599)=0),"розетка без 30 мА",""),IF(IFERROR(_xlfn.NUMBERVALUE(MID(Q599,FIND("-",Q599,FIND("L=",Q599))+1,FIND("%",Q599)-FIND("-",Q599,FIND("L=",Q599))-1),","),0)&gt;4,"потери &gt; 4 %","")))</f>
      </c>
      <c r="AF599" s="129">
        <f>IF(E599&lt;&gt;"",COUNTIFS($A$3:A599,A599,$E$3:E599,"?*"),IF(OR(A599&lt;&gt;A598,Y599="вручную"),"",AF598))</f>
        <v/>
      </c>
      <c r="AG599" s="129">
        <f t="shared" si="393"/>
        <v/>
      </c>
      <c r="AH599" s="129">
        <f t="shared" si="394"/>
        <v/>
      </c>
      <c r="AI599" s="129">
        <f t="shared" si="395"/>
        <v/>
      </c>
      <c r="AJ599" s="129">
        <f t="shared" si="396"/>
        <v/>
      </c>
      <c r="AK599" s="129">
        <f t="shared" si="397"/>
        <v/>
      </c>
      <c r="AL599" s="129">
        <f t="shared" si="398"/>
        <v/>
      </c>
      <c r="AM599" s="129">
        <f t="shared" si="399"/>
      </c>
      <c r="AN599" s="129">
        <f t="shared" si="400"/>
      </c>
      <c r="AO599" s="129">
        <f t="shared" si="401"/>
        <v/>
      </c>
      <c r="AP599" s="129">
        <f t="shared" si="402"/>
        <v/>
      </c>
      <c r="AQ599" s="129">
        <f t="shared" si="403"/>
        <v/>
      </c>
      <c r="AR599" s="129">
        <f t="shared" si="404"/>
        <v/>
      </c>
      <c r="AS599" s="129">
        <f t="shared" si="405"/>
        <v/>
      </c>
      <c r="AT599" s="129">
        <f t="shared" si="406"/>
        <v/>
      </c>
      <c r="AU599" s="129">
        <f t="shared" si="407"/>
        <v/>
      </c>
      <c r="AV599" s="129">
        <f t="shared" si="408"/>
        <v/>
      </c>
      <c r="AW599" s="129">
        <f>IF(AV599="","",AV599&amp;"."&amp;COUNTIFS($A$3:A599,A599,$AV$3:AV599,AV599))</f>
        <v/>
      </c>
      <c r="AX599" s="129">
        <f t="shared" si="409"/>
        <v/>
      </c>
      <c r="AY599" s="129">
        <f>IF(N599="б/к",0,IF(OR(ISNUMBER(SEARCH("L=",Разбивка_по_щитам!P599)),N599="+",N599="="),1,0))</f>
      </c>
      <c r="AZ599" s="129">
        <f t="shared" si="410"/>
        <v/>
      </c>
      <c r="BA599" s="129">
        <f t="shared" si="411"/>
      </c>
      <c r="BB599" s="129">
        <f t="shared" si="412"/>
      </c>
      <c r="BD599" s="129">
        <f t="shared" si="413"/>
      </c>
      <c r="BE599" s="129">
        <f t="shared" si="414"/>
      </c>
      <c r="BF599" s="129">
        <f t="shared" si="415"/>
      </c>
      <c r="BG599" s="129">
        <f t="shared" si="416"/>
        <v/>
      </c>
      <c r="BH599" s="129">
        <f t="shared" si="417"/>
        <v/>
      </c>
      <c r="BI599" s="129">
        <f t="shared" si="418"/>
        <v/>
      </c>
      <c r="BJ599" s="129">
        <f t="shared" si="419"/>
        <v/>
      </c>
      <c r="BK599" s="129">
        <f>IF(R599="","",IF(OR(BY599="",BY599=0),"BOX",IFERROR(IF(VLOOKUP(BY599,УГО_блоки,3,FALSE)&amp;""&lt;&gt;"",VLOOKUP(BY599,УГО_блоки,3,FALSE),VLOOKUP(BY599,УГО_блоки,2,FALSE)),BY599)))</f>
      </c>
      <c r="BL599" s="129">
        <f t="shared" si="421"/>
      </c>
      <c r="BM599" s="129">
        <f>IF(H599="","",IF(COUNTIF($H$3:H599,H599)=1,MAX($BM$2:BM598)+1,""))</f>
      </c>
      <c r="BN599" s="129">
        <f>IF(I599="","",IF(COUNTIF($I$3:I599,I599)+COUNTIF($J$2:J598,I599)+COUNTIF($K$2:K598,I599)=1,MAX($BN$2:BP598)+1,""))</f>
      </c>
      <c r="BO599" s="129">
        <f>IF(J599="","",IF(COUNTIF($I$3:I599,J599)+COUNTIF($J$3:J599,J599)+COUNTIF($K$2:K598,J599)=1,MAX($BN$2:BP598,BN599)+1,""))</f>
      </c>
      <c r="BP599" s="129">
        <f>IF(K599="","",IF(COUNTIF($I$3:I599,K599)+COUNTIF($J$3:J599,K599)+COUNTIF($K$3:K599,K599)=1,MAX($BN$2:BP598,BN599,BO599)+1,""))</f>
      </c>
      <c r="BQ599" s="129">
        <f>IF(AY599=1,IFERROR(MID(Q599,FIND(" (",Q599)+2,FIND(")",Q599,FIND(" (",Q599))-FIND(" (",Q599)-2),"?"),"")</f>
      </c>
      <c r="BR599" s="129">
        <f>IF(BQ599="","",IF(COUNTIF($BQ$3:BQ599,BQ599)=1,MAX($BR$2:BR598)+1,""))</f>
      </c>
      <c r="BS599" s="129">
        <f>IF(AW599="","",COUNTIF($AW$3:AW599,"?*"))</f>
      </c>
      <c r="BT599" s="129">
        <f>IF(OR(AW599="",AI599=""),"",IF(COUNTIFS($AW$3:AW599,"?*",$AI$3:AI599,AI599)=1,MAX($BT$2:BT598)+1,""))</f>
      </c>
      <c r="BU599" s="129">
        <f>IF(AE599="",0,IF(OR(ISNUMBER(SEARCH("дубль",AE599)),ISNUMBER(SEARCH("ПЕРЕГРУЗ",AE599)),ISNUMBER(SEARCH("ЗАЩИЩ",AE599)),ISNUMBER(SEARCH("КАНАЛ",AE599)),ISNUMBER(SEARCH("без 30",AE599))),2,1))</f>
      </c>
      <c r="BV599" s="129">
        <f>IF(R599="","",COUNTIF($R$3:R599,"?*"))</f>
      </c>
      <c r="BW599" s="129">
        <f>IF(AY599&lt;&gt;1,0,IF(MAX(IFERROR(--VLOOKUP(R599,УГО_спр,5,FALSE),0),IFERROR(--VLOOKUP(AL599,УГО_спр,5,FALSE),0),IFERROR(--VLOOKUP(LEFT(AL599,2),УГО_спр,5,FALSE),0))&gt;0,MAX(IFERROR(--VLOOKUP(R599,УГО_спр,5,FALSE),0),IFERROR(--VLOOKUP(AL599,УГО_спр,5,FALSE),0),IFERROR(--VLOOKUP(LEFT(AL599,2),УГО_спр,5,FALSE),0)),IF(IFERROR(--LEFT(SUBSTITUTE(BQ599,"x","х"),FIND("х",SUBSTITUTE(BQ599,"x","х"))-1),3)&gt;3,Каталог!$S$9,1)))</f>
      </c>
      <c r="BX599" s="129">
        <f>IF(AY599&lt;&gt;1,0,MAX(0,IFERROR(--LEFT(SUBSTITUTE(BQ599,"x","х"),FIND("х",SUBSTITUTE(BQ599,"x","х"))-1),3)-3*BW599))</f>
      </c>
      <c r="BY599" s="129">
        <f>IF(R599="","",IFERROR(VLOOKUP(R599,УГО_спр,2,FALSE),IFERROR(VLOOKUP(AL599,УГО_спр,2,FALSE),IFERROR(VLOOKUP(LEFT(AL599,2),УГО_спр,2,FALSE),""))))</f>
      </c>
    </row>
    <row r="600" spans="1:64" x14ac:dyDescent="0.3">
      <c r="A600" s="135">
        <f>IF(Разбивка_по_щитам!F600=0,"",Разбивка_по_щитам!F600)</f>
        <v/>
      </c>
      <c r="B600" s="138">
        <f>IF(A600="","",Разбивка_по_щитам!C600)</f>
        <v/>
      </c>
      <c r="C600" s="138">
        <f t="shared" si="382"/>
        <v/>
      </c>
      <c r="D600" s="266"/>
      <c r="E600" s="266"/>
      <c r="F600" s="267"/>
      <c r="G600" s="145">
        <f t="shared" si="383"/>
        <v/>
      </c>
      <c r="H600" s="145">
        <f t="shared" si="384"/>
        <v/>
      </c>
      <c r="I600" s="266"/>
      <c r="J600" s="267"/>
      <c r="K600" s="267"/>
      <c r="L600" s="266"/>
      <c r="M600" s="147">
        <f t="shared" si="385"/>
        <v/>
      </c>
      <c r="N600" s="267"/>
      <c r="O600" s="147">
        <f t="shared" si="386"/>
        <v/>
      </c>
      <c r="P600" s="268">
        <f>IF(AY600=1,"XT"&amp;COUNTIFS($A$3:A600,A600,$AY$3:AY600,1),"")</f>
        <v/>
      </c>
      <c r="Q600" s="152">
        <f>IF(R600="","",IFERROR(SUBSTITUTE(Разбивка_по_щитам!P600,CHAR(10)," "),""))</f>
        <v/>
      </c>
      <c r="R600" s="153">
        <f>IF(OR(Разбивка_по_щитам!H600="",Разбивка_по_щитам!H600=0),"",Разбивка_по_щитам!H600)</f>
        <v/>
      </c>
      <c r="S600" s="154">
        <f>IF(R600="","",IFERROR(Разбивка_по_щитам!J600&amp;"",""))</f>
        <v/>
      </c>
      <c r="T600" s="155">
        <f>IF(R600="","",IFERROR(--Разбивка_по_щитам!L600,""))</f>
        <v/>
      </c>
      <c r="U600" s="155">
        <f>IF(R600="","",IFERROR(--Разбивка_по_щитам!K600,""))</f>
        <v/>
      </c>
      <c r="V600" s="138">
        <f>IF(R600="","",IFERROR(IF(Разбивка_по_щитам!M600=0,"",Разбивка_по_щитам!M600),""))</f>
        <v/>
      </c>
      <c r="W600" s="156">
        <f t="shared" si="387"/>
        <v/>
      </c>
      <c r="X600" s="157">
        <f t="shared" si="388"/>
        <v/>
      </c>
      <c r="Y600" s="266"/>
      <c r="Z600" s="158">
        <f t="shared" si="389"/>
        <v/>
      </c>
      <c r="AA600" s="160">
        <f t="shared" si="390"/>
        <v/>
      </c>
      <c r="AB600" s="160">
        <f>IF(R600="","",IFERROR(LOOKUP(INDEX(Справочная!$I$4:$I$19,MATCH(VLOOKUP(R600,Исходные_данные,22,FALSE),Справочная!$J$4:$J$19,0)+1),{6,10,16,20,25,32,40,50,63,80,100,125}),""))</f>
        <v/>
      </c>
      <c r="AC600" s="160">
        <f t="shared" si="391"/>
        <v/>
      </c>
      <c r="AD600" s="161">
        <f t="shared" si="392"/>
        <v/>
      </c>
      <c r="AE600" s="161">
        <f>IF(AND(R600="",G600=""),"",_xlfn.TEXTJOIN("; ",TRUE,IF(AND(R600&lt;&gt;"",V600=""),"нет фазы",""),IF(AND(R600&lt;&gt;"",N(T600)=0),"нет мощности",""),IF(AND(P600&lt;&gt;"",COUNTIFS($A$3:$A$1000,A600,$P$3:$P$1000,P600)&gt;1),"дубль клеммы "&amp;P600,""),IF(AND(W600&lt;&gt;"",W600&lt;&gt;"ok"),W600,""),IF(X600&lt;&gt;"",X600,""),IF(AND(ISNUMBER(SEARCH("(5х",Q600)),N(AK600)=1),"5 жил на 1 фазе",""),IF(AND(AL600="R",E600&lt;&gt;"",N(AS600)=0),"розетка без 30 мА",""),IF(IFERROR(_xlfn.NUMBERVALUE(MID(Q600,FIND("-",Q600,FIND("L=",Q600))+1,FIND("%",Q600)-FIND("-",Q600,FIND("L=",Q600))-1),","),0)&gt;4,"потери &gt; 4 %","")))</f>
      </c>
      <c r="AF600" s="129">
        <f>IF(E600&lt;&gt;"",COUNTIFS($A$3:A600,A600,$E$3:E600,"?*"),IF(OR(A600&lt;&gt;A599,Y600="вручную"),"",AF599))</f>
        <v/>
      </c>
      <c r="AG600" s="129">
        <f t="shared" si="393"/>
        <v/>
      </c>
      <c r="AH600" s="129">
        <f t="shared" si="394"/>
        <v/>
      </c>
      <c r="AI600" s="129">
        <f t="shared" si="395"/>
        <v/>
      </c>
      <c r="AJ600" s="129">
        <f t="shared" si="396"/>
        <v/>
      </c>
      <c r="AK600" s="129">
        <f t="shared" si="397"/>
        <v/>
      </c>
      <c r="AL600" s="129">
        <f t="shared" si="398"/>
        <v/>
      </c>
      <c r="AM600" s="129">
        <f t="shared" si="399"/>
      </c>
      <c r="AN600" s="129">
        <f t="shared" si="400"/>
      </c>
      <c r="AO600" s="129">
        <f t="shared" si="401"/>
        <v/>
      </c>
      <c r="AP600" s="129">
        <f t="shared" si="402"/>
        <v/>
      </c>
      <c r="AQ600" s="129">
        <f t="shared" si="403"/>
        <v/>
      </c>
      <c r="AR600" s="129">
        <f t="shared" si="404"/>
        <v/>
      </c>
      <c r="AS600" s="129">
        <f t="shared" si="405"/>
        <v/>
      </c>
      <c r="AT600" s="129">
        <f t="shared" si="406"/>
        <v/>
      </c>
      <c r="AU600" s="129">
        <f t="shared" si="407"/>
        <v/>
      </c>
      <c r="AV600" s="129">
        <f t="shared" si="408"/>
        <v/>
      </c>
      <c r="AW600" s="129">
        <f>IF(AV600="","",AV600&amp;"."&amp;COUNTIFS($A$3:A600,A600,$AV$3:AV600,AV600))</f>
        <v/>
      </c>
      <c r="AX600" s="129">
        <f t="shared" si="409"/>
        <v/>
      </c>
      <c r="AY600" s="129">
        <f>IF(N600="б/к",0,IF(OR(ISNUMBER(SEARCH("L=",Разбивка_по_щитам!P600)),N600="+",N600="="),1,0))</f>
      </c>
      <c r="AZ600" s="129">
        <f t="shared" si="410"/>
        <v/>
      </c>
      <c r="BA600" s="129">
        <f t="shared" si="411"/>
      </c>
      <c r="BB600" s="129">
        <f t="shared" si="412"/>
      </c>
      <c r="BD600" s="129">
        <f t="shared" si="413"/>
      </c>
      <c r="BE600" s="129">
        <f t="shared" si="414"/>
      </c>
      <c r="BF600" s="129">
        <f t="shared" si="415"/>
      </c>
      <c r="BG600" s="129">
        <f t="shared" si="416"/>
        <v/>
      </c>
      <c r="BH600" s="129">
        <f t="shared" si="417"/>
        <v/>
      </c>
      <c r="BI600" s="129">
        <f t="shared" si="418"/>
        <v/>
      </c>
      <c r="BJ600" s="129">
        <f t="shared" si="419"/>
        <v/>
      </c>
      <c r="BK600" s="129">
        <f>IF(R600="","",IF(OR(BY600="",BY600=0),"BOX",IFERROR(IF(VLOOKUP(BY600,УГО_блоки,3,FALSE)&amp;""&lt;&gt;"",VLOOKUP(BY600,УГО_блоки,3,FALSE),VLOOKUP(BY600,УГО_блоки,2,FALSE)),BY600)))</f>
      </c>
      <c r="BL600" s="129">
        <f t="shared" si="421"/>
      </c>
      <c r="BM600" s="129">
        <f>IF(H600="","",IF(COUNTIF($H$3:H600,H600)=1,MAX($BM$2:BM599)+1,""))</f>
      </c>
      <c r="BN600" s="129">
        <f>IF(I600="","",IF(COUNTIF($I$3:I600,I600)+COUNTIF($J$2:J599,I600)+COUNTIF($K$2:K599,I600)=1,MAX($BN$2:BP599)+1,""))</f>
      </c>
      <c r="BO600" s="129">
        <f>IF(J600="","",IF(COUNTIF($I$3:I600,J600)+COUNTIF($J$3:J600,J600)+COUNTIF($K$2:K599,J600)=1,MAX($BN$2:BP599,BN600)+1,""))</f>
      </c>
      <c r="BP600" s="129">
        <f>IF(K600="","",IF(COUNTIF($I$3:I600,K600)+COUNTIF($J$3:J600,K600)+COUNTIF($K$3:K600,K600)=1,MAX($BN$2:BP599,BN600,BO600)+1,""))</f>
      </c>
      <c r="BQ600" s="129">
        <f>IF(AY600=1,IFERROR(MID(Q600,FIND(" (",Q600)+2,FIND(")",Q600,FIND(" (",Q600))-FIND(" (",Q600)-2),"?"),"")</f>
      </c>
      <c r="BR600" s="129">
        <f>IF(BQ600="","",IF(COUNTIF($BQ$3:BQ600,BQ600)=1,MAX($BR$2:BR599)+1,""))</f>
      </c>
      <c r="BS600" s="129">
        <f>IF(AW600="","",COUNTIF($AW$3:AW600,"?*"))</f>
      </c>
      <c r="BT600" s="129">
        <f>IF(OR(AW600="",AI600=""),"",IF(COUNTIFS($AW$3:AW600,"?*",$AI$3:AI600,AI600)=1,MAX($BT$2:BT599)+1,""))</f>
      </c>
      <c r="BU600" s="129">
        <f>IF(AE600="",0,IF(OR(ISNUMBER(SEARCH("дубль",AE600)),ISNUMBER(SEARCH("ПЕРЕГРУЗ",AE600)),ISNUMBER(SEARCH("ЗАЩИЩ",AE600)),ISNUMBER(SEARCH("КАНАЛ",AE600)),ISNUMBER(SEARCH("без 30",AE600))),2,1))</f>
      </c>
      <c r="BV600" s="129">
        <f>IF(R600="","",COUNTIF($R$3:R600,"?*"))</f>
      </c>
      <c r="BW600" s="129">
        <f>IF(AY600&lt;&gt;1,0,IF(MAX(IFERROR(--VLOOKUP(R600,УГО_спр,5,FALSE),0),IFERROR(--VLOOKUP(AL600,УГО_спр,5,FALSE),0),IFERROR(--VLOOKUP(LEFT(AL600,2),УГО_спр,5,FALSE),0))&gt;0,MAX(IFERROR(--VLOOKUP(R600,УГО_спр,5,FALSE),0),IFERROR(--VLOOKUP(AL600,УГО_спр,5,FALSE),0),IFERROR(--VLOOKUP(LEFT(AL600,2),УГО_спр,5,FALSE),0)),IF(IFERROR(--LEFT(SUBSTITUTE(BQ600,"x","х"),FIND("х",SUBSTITUTE(BQ600,"x","х"))-1),3)&gt;3,Каталог!$S$9,1)))</f>
      </c>
      <c r="BX600" s="129">
        <f>IF(AY600&lt;&gt;1,0,MAX(0,IFERROR(--LEFT(SUBSTITUTE(BQ600,"x","х"),FIND("х",SUBSTITUTE(BQ600,"x","х"))-1),3)-3*BW600))</f>
      </c>
      <c r="BY600" s="129">
        <f>IF(R600="","",IFERROR(VLOOKUP(R600,УГО_спр,2,FALSE),IFERROR(VLOOKUP(AL600,УГО_спр,2,FALSE),IFERROR(VLOOKUP(LEFT(AL600,2),УГО_спр,2,FALSE),""))))</f>
      </c>
    </row>
    <row r="601" spans="1:64" x14ac:dyDescent="0.3">
      <c r="A601" s="135">
        <f>IF(Разбивка_по_щитам!F601=0,"",Разбивка_по_щитам!F601)</f>
        <v/>
      </c>
      <c r="B601" s="138">
        <f>IF(A601="","",Разбивка_по_щитам!C601)</f>
        <v/>
      </c>
      <c r="C601" s="138">
        <f t="shared" si="382"/>
        <v/>
      </c>
      <c r="D601" s="266"/>
      <c r="E601" s="266"/>
      <c r="F601" s="267"/>
      <c r="G601" s="145">
        <f t="shared" si="383"/>
        <v/>
      </c>
      <c r="H601" s="145">
        <f t="shared" si="384"/>
        <v/>
      </c>
      <c r="I601" s="266"/>
      <c r="J601" s="267"/>
      <c r="K601" s="267"/>
      <c r="L601" s="266"/>
      <c r="M601" s="147">
        <f t="shared" si="385"/>
        <v/>
      </c>
      <c r="N601" s="267"/>
      <c r="O601" s="147">
        <f t="shared" si="386"/>
        <v/>
      </c>
      <c r="P601" s="268">
        <f>IF(AY601=1,"XT"&amp;COUNTIFS($A$3:A601,A601,$AY$3:AY601,1),"")</f>
        <v/>
      </c>
      <c r="Q601" s="152">
        <f>IF(R601="","",IFERROR(SUBSTITUTE(Разбивка_по_щитам!P601,CHAR(10)," "),""))</f>
        <v/>
      </c>
      <c r="R601" s="153">
        <f>IF(OR(Разбивка_по_щитам!H601="",Разбивка_по_щитам!H601=0),"",Разбивка_по_щитам!H601)</f>
        <v/>
      </c>
      <c r="S601" s="154">
        <f>IF(R601="","",IFERROR(Разбивка_по_щитам!J601&amp;"",""))</f>
        <v/>
      </c>
      <c r="T601" s="155">
        <f>IF(R601="","",IFERROR(--Разбивка_по_щитам!L601,""))</f>
        <v/>
      </c>
      <c r="U601" s="155">
        <f>IF(R601="","",IFERROR(--Разбивка_по_щитам!K601,""))</f>
        <v/>
      </c>
      <c r="V601" s="138">
        <f>IF(R601="","",IFERROR(IF(Разбивка_по_щитам!M601=0,"",Разбивка_по_щитам!M601),""))</f>
        <v/>
      </c>
      <c r="W601" s="156">
        <f t="shared" si="387"/>
        <v/>
      </c>
      <c r="X601" s="157">
        <f t="shared" si="388"/>
        <v/>
      </c>
      <c r="Y601" s="266"/>
      <c r="Z601" s="158">
        <f t="shared" si="389"/>
        <v/>
      </c>
      <c r="AA601" s="160">
        <f t="shared" si="390"/>
        <v/>
      </c>
      <c r="AB601" s="160">
        <f>IF(R601="","",IFERROR(LOOKUP(INDEX(Справочная!$I$4:$I$19,MATCH(VLOOKUP(R601,Исходные_данные,22,FALSE),Справочная!$J$4:$J$19,0)+1),{6,10,16,20,25,32,40,50,63,80,100,125}),""))</f>
        <v/>
      </c>
      <c r="AC601" s="160">
        <f t="shared" si="391"/>
        <v/>
      </c>
      <c r="AD601" s="161">
        <f t="shared" si="392"/>
        <v/>
      </c>
      <c r="AE601" s="161">
        <f>IF(AND(R601="",G601=""),"",_xlfn.TEXTJOIN("; ",TRUE,IF(AND(R601&lt;&gt;"",V601=""),"нет фазы",""),IF(AND(R601&lt;&gt;"",N(T601)=0),"нет мощности",""),IF(AND(P601&lt;&gt;"",COUNTIFS($A$3:$A$1000,A601,$P$3:$P$1000,P601)&gt;1),"дубль клеммы "&amp;P601,""),IF(AND(W601&lt;&gt;"",W601&lt;&gt;"ok"),W601,""),IF(X601&lt;&gt;"",X601,""),IF(AND(ISNUMBER(SEARCH("(5х",Q601)),N(AK601)=1),"5 жил на 1 фазе",""),IF(AND(AL601="R",E601&lt;&gt;"",N(AS601)=0),"розетка без 30 мА",""),IF(IFERROR(_xlfn.NUMBERVALUE(MID(Q601,FIND("-",Q601,FIND("L=",Q601))+1,FIND("%",Q601)-FIND("-",Q601,FIND("L=",Q601))-1),","),0)&gt;4,"потери &gt; 4 %","")))</f>
      </c>
      <c r="AF601" s="129">
        <f>IF(E601&lt;&gt;"",COUNTIFS($A$3:A601,A601,$E$3:E601,"?*"),IF(OR(A601&lt;&gt;A600,Y601="вручную"),"",AF600))</f>
        <v/>
      </c>
      <c r="AG601" s="129">
        <f t="shared" si="393"/>
        <v/>
      </c>
      <c r="AH601" s="129">
        <f t="shared" si="394"/>
        <v/>
      </c>
      <c r="AI601" s="129">
        <f t="shared" si="395"/>
        <v/>
      </c>
      <c r="AJ601" s="129">
        <f t="shared" si="396"/>
        <v/>
      </c>
      <c r="AK601" s="129">
        <f t="shared" si="397"/>
        <v/>
      </c>
      <c r="AL601" s="129">
        <f t="shared" si="398"/>
        <v/>
      </c>
      <c r="AM601" s="129">
        <f t="shared" si="399"/>
      </c>
      <c r="AN601" s="129">
        <f t="shared" si="400"/>
      </c>
      <c r="AO601" s="129">
        <f t="shared" si="401"/>
        <v/>
      </c>
      <c r="AP601" s="129">
        <f t="shared" si="402"/>
        <v/>
      </c>
      <c r="AQ601" s="129">
        <f t="shared" si="403"/>
        <v/>
      </c>
      <c r="AR601" s="129">
        <f t="shared" si="404"/>
        <v/>
      </c>
      <c r="AS601" s="129">
        <f t="shared" si="405"/>
        <v/>
      </c>
      <c r="AT601" s="129">
        <f t="shared" si="406"/>
        <v/>
      </c>
      <c r="AU601" s="129">
        <f t="shared" si="407"/>
        <v/>
      </c>
      <c r="AV601" s="129">
        <f t="shared" si="408"/>
        <v/>
      </c>
      <c r="AW601" s="129">
        <f>IF(AV601="","",AV601&amp;"."&amp;COUNTIFS($A$3:A601,A601,$AV$3:AV601,AV601))</f>
        <v/>
      </c>
      <c r="AX601" s="129">
        <f t="shared" si="409"/>
        <v/>
      </c>
      <c r="AY601" s="129">
        <f>IF(N601="б/к",0,IF(OR(ISNUMBER(SEARCH("L=",Разбивка_по_щитам!P601)),N601="+",N601="="),1,0))</f>
      </c>
      <c r="AZ601" s="129">
        <f t="shared" si="410"/>
        <v/>
      </c>
      <c r="BA601" s="129">
        <f t="shared" si="411"/>
      </c>
      <c r="BB601" s="129">
        <f t="shared" si="412"/>
      </c>
      <c r="BD601" s="129">
        <f t="shared" si="413"/>
      </c>
      <c r="BE601" s="129">
        <f t="shared" si="414"/>
      </c>
      <c r="BF601" s="129">
        <f t="shared" si="415"/>
      </c>
      <c r="BG601" s="129">
        <f t="shared" si="416"/>
        <v/>
      </c>
      <c r="BH601" s="129">
        <f t="shared" si="417"/>
        <v/>
      </c>
      <c r="BI601" s="129">
        <f t="shared" si="418"/>
        <v/>
      </c>
      <c r="BJ601" s="129">
        <f t="shared" si="419"/>
        <v/>
      </c>
      <c r="BK601" s="129">
        <f>IF(R601="","",IF(OR(BY601="",BY601=0),"BOX",IFERROR(IF(VLOOKUP(BY601,УГО_блоки,3,FALSE)&amp;""&lt;&gt;"",VLOOKUP(BY601,УГО_блоки,3,FALSE),VLOOKUP(BY601,УГО_блоки,2,FALSE)),BY601)))</f>
      </c>
      <c r="BL601" s="129">
        <f t="shared" si="421"/>
      </c>
      <c r="BM601" s="129">
        <f>IF(H601="","",IF(COUNTIF($H$3:H601,H601)=1,MAX($BM$2:BM600)+1,""))</f>
      </c>
      <c r="BN601" s="129">
        <f>IF(I601="","",IF(COUNTIF($I$3:I601,I601)+COUNTIF($J$2:J600,I601)+COUNTIF($K$2:K600,I601)=1,MAX($BN$2:BP600)+1,""))</f>
      </c>
      <c r="BO601" s="129">
        <f>IF(J601="","",IF(COUNTIF($I$3:I601,J601)+COUNTIF($J$3:J601,J601)+COUNTIF($K$2:K600,J601)=1,MAX($BN$2:BP600,BN601)+1,""))</f>
      </c>
      <c r="BP601" s="129">
        <f>IF(K601="","",IF(COUNTIF($I$3:I601,K601)+COUNTIF($J$3:J601,K601)+COUNTIF($K$3:K601,K601)=1,MAX($BN$2:BP600,BN601,BO601)+1,""))</f>
      </c>
      <c r="BQ601" s="129">
        <f>IF(AY601=1,IFERROR(MID(Q601,FIND(" (",Q601)+2,FIND(")",Q601,FIND(" (",Q601))-FIND(" (",Q601)-2),"?"),"")</f>
      </c>
      <c r="BR601" s="129">
        <f>IF(BQ601="","",IF(COUNTIF($BQ$3:BQ601,BQ601)=1,MAX($BR$2:BR600)+1,""))</f>
      </c>
      <c r="BS601" s="129">
        <f>IF(AW601="","",COUNTIF($AW$3:AW601,"?*"))</f>
      </c>
      <c r="BT601" s="129">
        <f>IF(OR(AW601="",AI601=""),"",IF(COUNTIFS($AW$3:AW601,"?*",$AI$3:AI601,AI601)=1,MAX($BT$2:BT600)+1,""))</f>
      </c>
      <c r="BU601" s="129">
        <f>IF(AE601="",0,IF(OR(ISNUMBER(SEARCH("дубль",AE601)),ISNUMBER(SEARCH("ПЕРЕГРУЗ",AE601)),ISNUMBER(SEARCH("ЗАЩИЩ",AE601)),ISNUMBER(SEARCH("КАНАЛ",AE601)),ISNUMBER(SEARCH("без 30",AE601))),2,1))</f>
      </c>
      <c r="BV601" s="129">
        <f>IF(R601="","",COUNTIF($R$3:R601,"?*"))</f>
      </c>
      <c r="BW601" s="129">
        <f>IF(AY601&lt;&gt;1,0,IF(MAX(IFERROR(--VLOOKUP(R601,УГО_спр,5,FALSE),0),IFERROR(--VLOOKUP(AL601,УГО_спр,5,FALSE),0),IFERROR(--VLOOKUP(LEFT(AL601,2),УГО_спр,5,FALSE),0))&gt;0,MAX(IFERROR(--VLOOKUP(R601,УГО_спр,5,FALSE),0),IFERROR(--VLOOKUP(AL601,УГО_спр,5,FALSE),0),IFERROR(--VLOOKUP(LEFT(AL601,2),УГО_спр,5,FALSE),0)),IF(IFERROR(--LEFT(SUBSTITUTE(BQ601,"x","х"),FIND("х",SUBSTITUTE(BQ601,"x","х"))-1),3)&gt;3,Каталог!$S$9,1)))</f>
      </c>
      <c r="BX601" s="129">
        <f>IF(AY601&lt;&gt;1,0,MAX(0,IFERROR(--LEFT(SUBSTITUTE(BQ601,"x","х"),FIND("х",SUBSTITUTE(BQ601,"x","х"))-1),3)-3*BW601))</f>
      </c>
      <c r="BY601" s="129">
        <f>IF(R601="","",IFERROR(VLOOKUP(R601,УГО_спр,2,FALSE),IFERROR(VLOOKUP(AL601,УГО_спр,2,FALSE),IFERROR(VLOOKUP(LEFT(AL601,2),УГО_спр,2,FALSE),""))))</f>
      </c>
    </row>
    <row r="602" spans="1:64" x14ac:dyDescent="0.3">
      <c r="A602" s="135">
        <f>IF(Разбивка_по_щитам!F602=0,"",Разбивка_по_щитам!F602)</f>
        <v/>
      </c>
      <c r="B602" s="138">
        <f>IF(A602="","",Разбивка_по_щитам!C602)</f>
        <v/>
      </c>
      <c r="C602" s="138">
        <f t="shared" si="382"/>
        <v/>
      </c>
      <c r="D602" s="266"/>
      <c r="E602" s="266"/>
      <c r="F602" s="267"/>
      <c r="G602" s="145">
        <f t="shared" si="383"/>
        <v/>
      </c>
      <c r="H602" s="145">
        <f t="shared" si="384"/>
        <v/>
      </c>
      <c r="I602" s="266"/>
      <c r="J602" s="267"/>
      <c r="K602" s="267"/>
      <c r="L602" s="266"/>
      <c r="M602" s="147">
        <f t="shared" si="385"/>
        <v/>
      </c>
      <c r="N602" s="267"/>
      <c r="O602" s="147">
        <f t="shared" si="386"/>
        <v/>
      </c>
      <c r="P602" s="268">
        <f>IF(AY602=1,"XT"&amp;COUNTIFS($A$3:A602,A602,$AY$3:AY602,1),"")</f>
        <v/>
      </c>
      <c r="Q602" s="152">
        <f>IF(R602="","",IFERROR(SUBSTITUTE(Разбивка_по_щитам!P602,CHAR(10)," "),""))</f>
        <v/>
      </c>
      <c r="R602" s="153">
        <f>IF(OR(Разбивка_по_щитам!H602="",Разбивка_по_щитам!H602=0),"",Разбивка_по_щитам!H602)</f>
        <v/>
      </c>
      <c r="S602" s="154">
        <f>IF(R602="","",IFERROR(Разбивка_по_щитам!J602&amp;"",""))</f>
        <v/>
      </c>
      <c r="T602" s="155">
        <f>IF(R602="","",IFERROR(--Разбивка_по_щитам!L602,""))</f>
        <v/>
      </c>
      <c r="U602" s="155">
        <f>IF(R602="","",IFERROR(--Разбивка_по_щитам!K602,""))</f>
        <v/>
      </c>
      <c r="V602" s="138">
        <f>IF(R602="","",IFERROR(IF(Разбивка_по_щитам!M602=0,"",Разбивка_по_щитам!M602),""))</f>
        <v/>
      </c>
      <c r="W602" s="156">
        <f t="shared" si="387"/>
        <v/>
      </c>
      <c r="X602" s="157">
        <f t="shared" si="388"/>
        <v/>
      </c>
      <c r="Y602" s="266"/>
      <c r="Z602" s="158">
        <f t="shared" si="389"/>
        <v/>
      </c>
      <c r="AA602" s="160">
        <f t="shared" si="390"/>
        <v/>
      </c>
      <c r="AB602" s="160">
        <f>IF(R602="","",IFERROR(LOOKUP(INDEX(Справочная!$I$4:$I$19,MATCH(VLOOKUP(R602,Исходные_данные,22,FALSE),Справочная!$J$4:$J$19,0)+1),{6,10,16,20,25,32,40,50,63,80,100,125}),""))</f>
        <v/>
      </c>
      <c r="AC602" s="160">
        <f t="shared" si="391"/>
        <v/>
      </c>
      <c r="AD602" s="161">
        <f t="shared" si="392"/>
        <v/>
      </c>
      <c r="AE602" s="161">
        <f>IF(AND(R602="",G602=""),"",_xlfn.TEXTJOIN("; ",TRUE,IF(AND(R602&lt;&gt;"",V602=""),"нет фазы",""),IF(AND(R602&lt;&gt;"",N(T602)=0),"нет мощности",""),IF(AND(P602&lt;&gt;"",COUNTIFS($A$3:$A$1000,A602,$P$3:$P$1000,P602)&gt;1),"дубль клеммы "&amp;P602,""),IF(AND(W602&lt;&gt;"",W602&lt;&gt;"ok"),W602,""),IF(X602&lt;&gt;"",X602,""),IF(AND(ISNUMBER(SEARCH("(5х",Q602)),N(AK602)=1),"5 жил на 1 фазе",""),IF(AND(AL602="R",E602&lt;&gt;"",N(AS602)=0),"розетка без 30 мА",""),IF(IFERROR(_xlfn.NUMBERVALUE(MID(Q602,FIND("-",Q602,FIND("L=",Q602))+1,FIND("%",Q602)-FIND("-",Q602,FIND("L=",Q602))-1),","),0)&gt;4,"потери &gt; 4 %","")))</f>
      </c>
      <c r="AF602" s="129">
        <f>IF(E602&lt;&gt;"",COUNTIFS($A$3:A602,A602,$E$3:E602,"?*"),IF(OR(A602&lt;&gt;A601,Y602="вручную"),"",AF601))</f>
        <v/>
      </c>
      <c r="AG602" s="129">
        <f t="shared" si="393"/>
        <v/>
      </c>
      <c r="AH602" s="129">
        <f t="shared" si="394"/>
        <v/>
      </c>
      <c r="AI602" s="129">
        <f t="shared" si="395"/>
        <v/>
      </c>
      <c r="AJ602" s="129">
        <f t="shared" si="396"/>
        <v/>
      </c>
      <c r="AK602" s="129">
        <f t="shared" si="397"/>
        <v/>
      </c>
      <c r="AL602" s="129">
        <f t="shared" si="398"/>
        <v/>
      </c>
      <c r="AM602" s="129">
        <f t="shared" si="399"/>
      </c>
      <c r="AN602" s="129">
        <f t="shared" si="400"/>
      </c>
      <c r="AO602" s="129">
        <f t="shared" si="401"/>
        <v/>
      </c>
      <c r="AP602" s="129">
        <f t="shared" si="402"/>
        <v/>
      </c>
      <c r="AQ602" s="129">
        <f t="shared" si="403"/>
        <v/>
      </c>
      <c r="AR602" s="129">
        <f t="shared" si="404"/>
        <v/>
      </c>
      <c r="AS602" s="129">
        <f t="shared" si="405"/>
        <v/>
      </c>
      <c r="AT602" s="129">
        <f t="shared" si="406"/>
        <v/>
      </c>
      <c r="AU602" s="129">
        <f t="shared" si="407"/>
        <v/>
      </c>
      <c r="AV602" s="129">
        <f t="shared" si="408"/>
        <v/>
      </c>
      <c r="AW602" s="129">
        <f>IF(AV602="","",AV602&amp;"."&amp;COUNTIFS($A$3:A602,A602,$AV$3:AV602,AV602))</f>
        <v/>
      </c>
      <c r="AX602" s="129">
        <f t="shared" si="409"/>
        <v/>
      </c>
      <c r="AY602" s="129">
        <f>IF(N602="б/к",0,IF(OR(ISNUMBER(SEARCH("L=",Разбивка_по_щитам!P602)),N602="+",N602="="),1,0))</f>
      </c>
      <c r="AZ602" s="129">
        <f t="shared" si="410"/>
        <v/>
      </c>
      <c r="BA602" s="129">
        <f t="shared" si="411"/>
      </c>
      <c r="BB602" s="129">
        <f t="shared" si="412"/>
      </c>
      <c r="BD602" s="129">
        <f t="shared" si="413"/>
      </c>
      <c r="BE602" s="129">
        <f t="shared" si="414"/>
      </c>
      <c r="BF602" s="129">
        <f t="shared" si="415"/>
      </c>
      <c r="BG602" s="129">
        <f t="shared" si="416"/>
        <v/>
      </c>
      <c r="BH602" s="129">
        <f t="shared" si="417"/>
        <v/>
      </c>
      <c r="BI602" s="129">
        <f t="shared" si="418"/>
        <v/>
      </c>
      <c r="BJ602" s="129">
        <f t="shared" si="419"/>
        <v/>
      </c>
      <c r="BK602" s="129">
        <f>IF(R602="","",IF(OR(BY602="",BY602=0),"BOX",IFERROR(IF(VLOOKUP(BY602,УГО_блоки,3,FALSE)&amp;""&lt;&gt;"",VLOOKUP(BY602,УГО_блоки,3,FALSE),VLOOKUP(BY602,УГО_блоки,2,FALSE)),BY602)))</f>
      </c>
      <c r="BL602" s="129">
        <f t="shared" si="421"/>
      </c>
      <c r="BM602" s="129">
        <f>IF(H602="","",IF(COUNTIF($H$3:H602,H602)=1,MAX($BM$2:BM601)+1,""))</f>
      </c>
      <c r="BN602" s="129">
        <f>IF(I602="","",IF(COUNTIF($I$3:I602,I602)+COUNTIF($J$2:J601,I602)+COUNTIF($K$2:K601,I602)=1,MAX($BN$2:BP601)+1,""))</f>
      </c>
      <c r="BO602" s="129">
        <f>IF(J602="","",IF(COUNTIF($I$3:I602,J602)+COUNTIF($J$3:J602,J602)+COUNTIF($K$2:K601,J602)=1,MAX($BN$2:BP601,BN602)+1,""))</f>
      </c>
      <c r="BP602" s="129">
        <f>IF(K602="","",IF(COUNTIF($I$3:I602,K602)+COUNTIF($J$3:J602,K602)+COUNTIF($K$3:K602,K602)=1,MAX($BN$2:BP601,BN602,BO602)+1,""))</f>
      </c>
      <c r="BQ602" s="129">
        <f>IF(AY602=1,IFERROR(MID(Q602,FIND(" (",Q602)+2,FIND(")",Q602,FIND(" (",Q602))-FIND(" (",Q602)-2),"?"),"")</f>
      </c>
      <c r="BR602" s="129">
        <f>IF(BQ602="","",IF(COUNTIF($BQ$3:BQ602,BQ602)=1,MAX($BR$2:BR601)+1,""))</f>
      </c>
      <c r="BS602" s="129">
        <f>IF(AW602="","",COUNTIF($AW$3:AW602,"?*"))</f>
      </c>
      <c r="BT602" s="129">
        <f>IF(OR(AW602="",AI602=""),"",IF(COUNTIFS($AW$3:AW602,"?*",$AI$3:AI602,AI602)=1,MAX($BT$2:BT601)+1,""))</f>
      </c>
      <c r="BU602" s="129">
        <f>IF(AE602="",0,IF(OR(ISNUMBER(SEARCH("дубль",AE602)),ISNUMBER(SEARCH("ПЕРЕГРУЗ",AE602)),ISNUMBER(SEARCH("ЗАЩИЩ",AE602)),ISNUMBER(SEARCH("КАНАЛ",AE602)),ISNUMBER(SEARCH("без 30",AE602))),2,1))</f>
      </c>
      <c r="BV602" s="129">
        <f>IF(R602="","",COUNTIF($R$3:R602,"?*"))</f>
      </c>
      <c r="BW602" s="129">
        <f>IF(AY602&lt;&gt;1,0,IF(MAX(IFERROR(--VLOOKUP(R602,УГО_спр,5,FALSE),0),IFERROR(--VLOOKUP(AL602,УГО_спр,5,FALSE),0),IFERROR(--VLOOKUP(LEFT(AL602,2),УГО_спр,5,FALSE),0))&gt;0,MAX(IFERROR(--VLOOKUP(R602,УГО_спр,5,FALSE),0),IFERROR(--VLOOKUP(AL602,УГО_спр,5,FALSE),0),IFERROR(--VLOOKUP(LEFT(AL602,2),УГО_спр,5,FALSE),0)),IF(IFERROR(--LEFT(SUBSTITUTE(BQ602,"x","х"),FIND("х",SUBSTITUTE(BQ602,"x","х"))-1),3)&gt;3,Каталог!$S$9,1)))</f>
      </c>
      <c r="BX602" s="129">
        <f>IF(AY602&lt;&gt;1,0,MAX(0,IFERROR(--LEFT(SUBSTITUTE(BQ602,"x","х"),FIND("х",SUBSTITUTE(BQ602,"x","х"))-1),3)-3*BW602))</f>
      </c>
      <c r="BY602" s="129">
        <f>IF(R602="","",IFERROR(VLOOKUP(R602,УГО_спр,2,FALSE),IFERROR(VLOOKUP(AL602,УГО_спр,2,FALSE),IFERROR(VLOOKUP(LEFT(AL602,2),УГО_спр,2,FALSE),""))))</f>
      </c>
    </row>
    <row r="603" spans="1:64" x14ac:dyDescent="0.3">
      <c r="A603" s="135">
        <f>IF(Разбивка_по_щитам!F603=0,"",Разбивка_по_щитам!F603)</f>
        <v/>
      </c>
      <c r="B603" s="138">
        <f>IF(A603="","",Разбивка_по_щитам!C603)</f>
        <v/>
      </c>
      <c r="C603" s="138">
        <f t="shared" si="382"/>
        <v/>
      </c>
      <c r="D603" s="266"/>
      <c r="E603" s="266"/>
      <c r="F603" s="267"/>
      <c r="G603" s="145">
        <f t="shared" si="383"/>
        <v/>
      </c>
      <c r="H603" s="145">
        <f t="shared" si="384"/>
        <v/>
      </c>
      <c r="I603" s="266"/>
      <c r="J603" s="267"/>
      <c r="K603" s="267"/>
      <c r="L603" s="266"/>
      <c r="M603" s="147">
        <f t="shared" si="385"/>
        <v/>
      </c>
      <c r="N603" s="267"/>
      <c r="O603" s="147">
        <f t="shared" si="386"/>
        <v/>
      </c>
      <c r="P603" s="268">
        <f>IF(AY603=1,"XT"&amp;COUNTIFS($A$3:A603,A603,$AY$3:AY603,1),"")</f>
        <v/>
      </c>
      <c r="Q603" s="152">
        <f>IF(R603="","",IFERROR(SUBSTITUTE(Разбивка_по_щитам!P603,CHAR(10)," "),""))</f>
        <v/>
      </c>
      <c r="R603" s="153">
        <f>IF(OR(Разбивка_по_щитам!H603="",Разбивка_по_щитам!H603=0),"",Разбивка_по_щитам!H603)</f>
        <v/>
      </c>
      <c r="S603" s="154">
        <f>IF(R603="","",IFERROR(Разбивка_по_щитам!J603&amp;"",""))</f>
        <v/>
      </c>
      <c r="T603" s="155">
        <f>IF(R603="","",IFERROR(--Разбивка_по_щитам!L603,""))</f>
        <v/>
      </c>
      <c r="U603" s="155">
        <f>IF(R603="","",IFERROR(--Разбивка_по_щитам!K603,""))</f>
        <v/>
      </c>
      <c r="V603" s="138">
        <f>IF(R603="","",IFERROR(IF(Разбивка_по_щитам!M603=0,"",Разбивка_по_щитам!M603),""))</f>
        <v/>
      </c>
      <c r="W603" s="156">
        <f t="shared" si="387"/>
        <v/>
      </c>
      <c r="X603" s="157">
        <f t="shared" si="388"/>
        <v/>
      </c>
      <c r="Y603" s="266"/>
      <c r="Z603" s="158">
        <f t="shared" si="389"/>
        <v/>
      </c>
      <c r="AA603" s="160">
        <f t="shared" si="390"/>
        <v/>
      </c>
      <c r="AB603" s="160">
        <f>IF(R603="","",IFERROR(LOOKUP(INDEX(Справочная!$I$4:$I$19,MATCH(VLOOKUP(R603,Исходные_данные,22,FALSE),Справочная!$J$4:$J$19,0)+1),{6,10,16,20,25,32,40,50,63,80,100,125}),""))</f>
        <v/>
      </c>
      <c r="AC603" s="160">
        <f t="shared" si="391"/>
        <v/>
      </c>
      <c r="AD603" s="161">
        <f t="shared" si="392"/>
        <v/>
      </c>
      <c r="AE603" s="161">
        <f>IF(AND(R603="",G603=""),"",_xlfn.TEXTJOIN("; ",TRUE,IF(AND(R603&lt;&gt;"",V603=""),"нет фазы",""),IF(AND(R603&lt;&gt;"",N(T603)=0),"нет мощности",""),IF(AND(P603&lt;&gt;"",COUNTIFS($A$3:$A$1000,A603,$P$3:$P$1000,P603)&gt;1),"дубль клеммы "&amp;P603,""),IF(AND(W603&lt;&gt;"",W603&lt;&gt;"ok"),W603,""),IF(X603&lt;&gt;"",X603,""),IF(AND(ISNUMBER(SEARCH("(5х",Q603)),N(AK603)=1),"5 жил на 1 фазе",""),IF(AND(AL603="R",E603&lt;&gt;"",N(AS603)=0),"розетка без 30 мА",""),IF(IFERROR(_xlfn.NUMBERVALUE(MID(Q603,FIND("-",Q603,FIND("L=",Q603))+1,FIND("%",Q603)-FIND("-",Q603,FIND("L=",Q603))-1),","),0)&gt;4,"потери &gt; 4 %","")))</f>
      </c>
      <c r="AF603" s="129">
        <f>IF(E603&lt;&gt;"",COUNTIFS($A$3:A603,A603,$E$3:E603,"?*"),IF(OR(A603&lt;&gt;A602,Y603="вручную"),"",AF602))</f>
        <v/>
      </c>
      <c r="AG603" s="129">
        <f t="shared" si="393"/>
        <v/>
      </c>
      <c r="AH603" s="129">
        <f t="shared" si="394"/>
        <v/>
      </c>
      <c r="AI603" s="129">
        <f t="shared" si="395"/>
        <v/>
      </c>
      <c r="AJ603" s="129">
        <f t="shared" si="396"/>
        <v/>
      </c>
      <c r="AK603" s="129">
        <f t="shared" si="397"/>
        <v/>
      </c>
      <c r="AL603" s="129">
        <f t="shared" si="398"/>
        <v/>
      </c>
      <c r="AM603" s="129">
        <f t="shared" si="399"/>
      </c>
      <c r="AN603" s="129">
        <f t="shared" si="400"/>
      </c>
      <c r="AO603" s="129">
        <f t="shared" si="401"/>
        <v/>
      </c>
      <c r="AP603" s="129">
        <f t="shared" si="402"/>
        <v/>
      </c>
      <c r="AQ603" s="129">
        <f t="shared" si="403"/>
        <v/>
      </c>
      <c r="AR603" s="129">
        <f t="shared" si="404"/>
        <v/>
      </c>
      <c r="AS603" s="129">
        <f t="shared" si="405"/>
        <v/>
      </c>
      <c r="AT603" s="129">
        <f t="shared" si="406"/>
        <v/>
      </c>
      <c r="AU603" s="129">
        <f t="shared" si="407"/>
        <v/>
      </c>
      <c r="AV603" s="129">
        <f t="shared" si="408"/>
        <v/>
      </c>
      <c r="AW603" s="129">
        <f>IF(AV603="","",AV603&amp;"."&amp;COUNTIFS($A$3:A603,A603,$AV$3:AV603,AV603))</f>
        <v/>
      </c>
      <c r="AX603" s="129">
        <f t="shared" si="409"/>
        <v/>
      </c>
      <c r="AY603" s="129">
        <f>IF(N603="б/к",0,IF(OR(ISNUMBER(SEARCH("L=",Разбивка_по_щитам!P603)),N603="+",N603="="),1,0))</f>
      </c>
      <c r="AZ603" s="129">
        <f t="shared" si="410"/>
        <v/>
      </c>
      <c r="BA603" s="129">
        <f t="shared" si="411"/>
      </c>
      <c r="BB603" s="129">
        <f t="shared" si="412"/>
      </c>
      <c r="BD603" s="129">
        <f t="shared" si="413"/>
      </c>
      <c r="BE603" s="129">
        <f t="shared" si="414"/>
      </c>
      <c r="BF603" s="129">
        <f t="shared" si="415"/>
      </c>
      <c r="BG603" s="129">
        <f t="shared" si="416"/>
        <v/>
      </c>
      <c r="BH603" s="129">
        <f t="shared" si="417"/>
        <v/>
      </c>
      <c r="BI603" s="129">
        <f t="shared" si="418"/>
        <v/>
      </c>
      <c r="BJ603" s="129">
        <f t="shared" si="419"/>
        <v/>
      </c>
      <c r="BK603" s="129">
        <f>IF(R603="","",IF(OR(BY603="",BY603=0),"BOX",IFERROR(IF(VLOOKUP(BY603,УГО_блоки,3,FALSE)&amp;""&lt;&gt;"",VLOOKUP(BY603,УГО_блоки,3,FALSE),VLOOKUP(BY603,УГО_блоки,2,FALSE)),BY603)))</f>
      </c>
      <c r="BL603" s="129">
        <f t="shared" si="421"/>
      </c>
      <c r="BM603" s="129">
        <f>IF(H603="","",IF(COUNTIF($H$3:H603,H603)=1,MAX($BM$2:BM602)+1,""))</f>
      </c>
      <c r="BN603" s="129">
        <f>IF(I603="","",IF(COUNTIF($I$3:I603,I603)+COUNTIF($J$2:J602,I603)+COUNTIF($K$2:K602,I603)=1,MAX($BN$2:BP602)+1,""))</f>
      </c>
      <c r="BO603" s="129">
        <f>IF(J603="","",IF(COUNTIF($I$3:I603,J603)+COUNTIF($J$3:J603,J603)+COUNTIF($K$2:K602,J603)=1,MAX($BN$2:BP602,BN603)+1,""))</f>
      </c>
      <c r="BP603" s="129">
        <f>IF(K603="","",IF(COUNTIF($I$3:I603,K603)+COUNTIF($J$3:J603,K603)+COUNTIF($K$3:K603,K603)=1,MAX($BN$2:BP602,BN603,BO603)+1,""))</f>
      </c>
      <c r="BQ603" s="129">
        <f>IF(AY603=1,IFERROR(MID(Q603,FIND(" (",Q603)+2,FIND(")",Q603,FIND(" (",Q603))-FIND(" (",Q603)-2),"?"),"")</f>
      </c>
      <c r="BR603" s="129">
        <f>IF(BQ603="","",IF(COUNTIF($BQ$3:BQ603,BQ603)=1,MAX($BR$2:BR602)+1,""))</f>
      </c>
      <c r="BS603" s="129">
        <f>IF(AW603="","",COUNTIF($AW$3:AW603,"?*"))</f>
      </c>
      <c r="BT603" s="129">
        <f>IF(OR(AW603="",AI603=""),"",IF(COUNTIFS($AW$3:AW603,"?*",$AI$3:AI603,AI603)=1,MAX($BT$2:BT602)+1,""))</f>
      </c>
      <c r="BU603" s="129">
        <f>IF(AE603="",0,IF(OR(ISNUMBER(SEARCH("дубль",AE603)),ISNUMBER(SEARCH("ПЕРЕГРУЗ",AE603)),ISNUMBER(SEARCH("ЗАЩИЩ",AE603)),ISNUMBER(SEARCH("КАНАЛ",AE603)),ISNUMBER(SEARCH("без 30",AE603))),2,1))</f>
      </c>
      <c r="BV603" s="129">
        <f>IF(R603="","",COUNTIF($R$3:R603,"?*"))</f>
      </c>
      <c r="BW603" s="129">
        <f>IF(AY603&lt;&gt;1,0,IF(MAX(IFERROR(--VLOOKUP(R603,УГО_спр,5,FALSE),0),IFERROR(--VLOOKUP(AL603,УГО_спр,5,FALSE),0),IFERROR(--VLOOKUP(LEFT(AL603,2),УГО_спр,5,FALSE),0))&gt;0,MAX(IFERROR(--VLOOKUP(R603,УГО_спр,5,FALSE),0),IFERROR(--VLOOKUP(AL603,УГО_спр,5,FALSE),0),IFERROR(--VLOOKUP(LEFT(AL603,2),УГО_спр,5,FALSE),0)),IF(IFERROR(--LEFT(SUBSTITUTE(BQ603,"x","х"),FIND("х",SUBSTITUTE(BQ603,"x","х"))-1),3)&gt;3,Каталог!$S$9,1)))</f>
      </c>
      <c r="BX603" s="129">
        <f>IF(AY603&lt;&gt;1,0,MAX(0,IFERROR(--LEFT(SUBSTITUTE(BQ603,"x","х"),FIND("х",SUBSTITUTE(BQ603,"x","х"))-1),3)-3*BW603))</f>
      </c>
      <c r="BY603" s="129">
        <f>IF(R603="","",IFERROR(VLOOKUP(R603,УГО_спр,2,FALSE),IFERROR(VLOOKUP(AL603,УГО_спр,2,FALSE),IFERROR(VLOOKUP(LEFT(AL603,2),УГО_спр,2,FALSE),""))))</f>
      </c>
    </row>
    <row r="604" spans="1:64" x14ac:dyDescent="0.3">
      <c r="A604" s="135">
        <f>IF(Разбивка_по_щитам!F604=0,"",Разбивка_по_щитам!F604)</f>
        <v/>
      </c>
      <c r="B604" s="138">
        <f>IF(A604="","",Разбивка_по_щитам!C604)</f>
        <v/>
      </c>
      <c r="C604" s="138">
        <f t="shared" si="382"/>
        <v/>
      </c>
      <c r="D604" s="266"/>
      <c r="E604" s="266"/>
      <c r="F604" s="267"/>
      <c r="G604" s="145">
        <f t="shared" si="383"/>
        <v/>
      </c>
      <c r="H604" s="145">
        <f t="shared" si="384"/>
        <v/>
      </c>
      <c r="I604" s="266"/>
      <c r="J604" s="267"/>
      <c r="K604" s="267"/>
      <c r="L604" s="266"/>
      <c r="M604" s="147">
        <f t="shared" si="385"/>
        <v/>
      </c>
      <c r="N604" s="267"/>
      <c r="O604" s="147">
        <f t="shared" si="386"/>
        <v/>
      </c>
      <c r="P604" s="268">
        <f>IF(AY604=1,"XT"&amp;COUNTIFS($A$3:A604,A604,$AY$3:AY604,1),"")</f>
        <v/>
      </c>
      <c r="Q604" s="152">
        <f>IF(R604="","",IFERROR(SUBSTITUTE(Разбивка_по_щитам!P604,CHAR(10)," "),""))</f>
        <v/>
      </c>
      <c r="R604" s="153">
        <f>IF(OR(Разбивка_по_щитам!H604="",Разбивка_по_щитам!H604=0),"",Разбивка_по_щитам!H604)</f>
        <v/>
      </c>
      <c r="S604" s="154">
        <f>IF(R604="","",IFERROR(Разбивка_по_щитам!J604&amp;"",""))</f>
        <v/>
      </c>
      <c r="T604" s="155">
        <f>IF(R604="","",IFERROR(--Разбивка_по_щитам!L604,""))</f>
        <v/>
      </c>
      <c r="U604" s="155">
        <f>IF(R604="","",IFERROR(--Разбивка_по_щитам!K604,""))</f>
        <v/>
      </c>
      <c r="V604" s="138">
        <f>IF(R604="","",IFERROR(IF(Разбивка_по_щитам!M604=0,"",Разбивка_по_щитам!M604),""))</f>
        <v/>
      </c>
      <c r="W604" s="156">
        <f t="shared" si="387"/>
        <v/>
      </c>
      <c r="X604" s="157">
        <f t="shared" si="388"/>
        <v/>
      </c>
      <c r="Y604" s="266"/>
      <c r="Z604" s="158">
        <f t="shared" si="389"/>
        <v/>
      </c>
      <c r="AA604" s="160">
        <f t="shared" si="390"/>
        <v/>
      </c>
      <c r="AB604" s="160">
        <f>IF(R604="","",IFERROR(LOOKUP(INDEX(Справочная!$I$4:$I$19,MATCH(VLOOKUP(R604,Исходные_данные,22,FALSE),Справочная!$J$4:$J$19,0)+1),{6,10,16,20,25,32,40,50,63,80,100,125}),""))</f>
        <v/>
      </c>
      <c r="AC604" s="160">
        <f t="shared" si="391"/>
        <v/>
      </c>
      <c r="AD604" s="161">
        <f t="shared" si="392"/>
        <v/>
      </c>
      <c r="AE604" s="161">
        <f>IF(AND(R604="",G604=""),"",_xlfn.TEXTJOIN("; ",TRUE,IF(AND(R604&lt;&gt;"",V604=""),"нет фазы",""),IF(AND(R604&lt;&gt;"",N(T604)=0),"нет мощности",""),IF(AND(P604&lt;&gt;"",COUNTIFS($A$3:$A$1000,A604,$P$3:$P$1000,P604)&gt;1),"дубль клеммы "&amp;P604,""),IF(AND(W604&lt;&gt;"",W604&lt;&gt;"ok"),W604,""),IF(X604&lt;&gt;"",X604,""),IF(AND(ISNUMBER(SEARCH("(5х",Q604)),N(AK604)=1),"5 жил на 1 фазе",""),IF(AND(AL604="R",E604&lt;&gt;"",N(AS604)=0),"розетка без 30 мА",""),IF(IFERROR(_xlfn.NUMBERVALUE(MID(Q604,FIND("-",Q604,FIND("L=",Q604))+1,FIND("%",Q604)-FIND("-",Q604,FIND("L=",Q604))-1),","),0)&gt;4,"потери &gt; 4 %","")))</f>
      </c>
      <c r="AF604" s="129">
        <f>IF(E604&lt;&gt;"",COUNTIFS($A$3:A604,A604,$E$3:E604,"?*"),IF(OR(A604&lt;&gt;A603,Y604="вручную"),"",AF603))</f>
        <v/>
      </c>
      <c r="AG604" s="129">
        <f t="shared" si="393"/>
        <v/>
      </c>
      <c r="AH604" s="129">
        <f t="shared" si="394"/>
        <v/>
      </c>
      <c r="AI604" s="129">
        <f t="shared" si="395"/>
        <v/>
      </c>
      <c r="AJ604" s="129">
        <f t="shared" si="396"/>
        <v/>
      </c>
      <c r="AK604" s="129">
        <f t="shared" si="397"/>
        <v/>
      </c>
      <c r="AL604" s="129">
        <f t="shared" si="398"/>
        <v/>
      </c>
      <c r="AM604" s="129">
        <f t="shared" si="399"/>
      </c>
      <c r="AN604" s="129">
        <f t="shared" si="400"/>
      </c>
      <c r="AO604" s="129">
        <f t="shared" si="401"/>
        <v/>
      </c>
      <c r="AP604" s="129">
        <f t="shared" si="402"/>
        <v/>
      </c>
      <c r="AQ604" s="129">
        <f t="shared" si="403"/>
        <v/>
      </c>
      <c r="AR604" s="129">
        <f t="shared" si="404"/>
        <v/>
      </c>
      <c r="AS604" s="129">
        <f t="shared" si="405"/>
        <v/>
      </c>
      <c r="AT604" s="129">
        <f t="shared" si="406"/>
        <v/>
      </c>
      <c r="AU604" s="129">
        <f t="shared" si="407"/>
        <v/>
      </c>
      <c r="AV604" s="129">
        <f t="shared" si="408"/>
        <v/>
      </c>
      <c r="AW604" s="129">
        <f>IF(AV604="","",AV604&amp;"."&amp;COUNTIFS($A$3:A604,A604,$AV$3:AV604,AV604))</f>
        <v/>
      </c>
      <c r="AX604" s="129">
        <f t="shared" si="409"/>
        <v/>
      </c>
      <c r="AY604" s="129">
        <f>IF(N604="б/к",0,IF(OR(ISNUMBER(SEARCH("L=",Разбивка_по_щитам!P604)),N604="+",N604="="),1,0))</f>
      </c>
      <c r="AZ604" s="129">
        <f t="shared" si="410"/>
        <v/>
      </c>
      <c r="BA604" s="129">
        <f t="shared" si="411"/>
      </c>
      <c r="BB604" s="129">
        <f t="shared" si="412"/>
      </c>
      <c r="BD604" s="129">
        <f t="shared" si="413"/>
      </c>
      <c r="BE604" s="129">
        <f t="shared" si="414"/>
      </c>
      <c r="BF604" s="129">
        <f t="shared" si="415"/>
      </c>
      <c r="BG604" s="129">
        <f t="shared" si="416"/>
        <v/>
      </c>
      <c r="BH604" s="129">
        <f t="shared" si="417"/>
        <v/>
      </c>
      <c r="BI604" s="129">
        <f t="shared" si="418"/>
        <v/>
      </c>
      <c r="BJ604" s="129">
        <f t="shared" si="419"/>
        <v/>
      </c>
      <c r="BK604" s="129">
        <f>IF(R604="","",IF(OR(BY604="",BY604=0),"BOX",IFERROR(IF(VLOOKUP(BY604,УГО_блоки,3,FALSE)&amp;""&lt;&gt;"",VLOOKUP(BY604,УГО_блоки,3,FALSE),VLOOKUP(BY604,УГО_блоки,2,FALSE)),BY604)))</f>
      </c>
      <c r="BL604" s="129">
        <f t="shared" si="421"/>
      </c>
      <c r="BM604" s="129">
        <f>IF(H604="","",IF(COUNTIF($H$3:H604,H604)=1,MAX($BM$2:BM603)+1,""))</f>
      </c>
      <c r="BN604" s="129">
        <f>IF(I604="","",IF(COUNTIF($I$3:I604,I604)+COUNTIF($J$2:J603,I604)+COUNTIF($K$2:K603,I604)=1,MAX($BN$2:BP603)+1,""))</f>
      </c>
      <c r="BO604" s="129">
        <f>IF(J604="","",IF(COUNTIF($I$3:I604,J604)+COUNTIF($J$3:J604,J604)+COUNTIF($K$2:K603,J604)=1,MAX($BN$2:BP603,BN604)+1,""))</f>
      </c>
      <c r="BP604" s="129">
        <f>IF(K604="","",IF(COUNTIF($I$3:I604,K604)+COUNTIF($J$3:J604,K604)+COUNTIF($K$3:K604,K604)=1,MAX($BN$2:BP603,BN604,BO604)+1,""))</f>
      </c>
      <c r="BQ604" s="129">
        <f>IF(AY604=1,IFERROR(MID(Q604,FIND(" (",Q604)+2,FIND(")",Q604,FIND(" (",Q604))-FIND(" (",Q604)-2),"?"),"")</f>
      </c>
      <c r="BR604" s="129">
        <f>IF(BQ604="","",IF(COUNTIF($BQ$3:BQ604,BQ604)=1,MAX($BR$2:BR603)+1,""))</f>
      </c>
      <c r="BS604" s="129">
        <f>IF(AW604="","",COUNTIF($AW$3:AW604,"?*"))</f>
      </c>
      <c r="BT604" s="129">
        <f>IF(OR(AW604="",AI604=""),"",IF(COUNTIFS($AW$3:AW604,"?*",$AI$3:AI604,AI604)=1,MAX($BT$2:BT603)+1,""))</f>
      </c>
      <c r="BU604" s="129">
        <f>IF(AE604="",0,IF(OR(ISNUMBER(SEARCH("дубль",AE604)),ISNUMBER(SEARCH("ПЕРЕГРУЗ",AE604)),ISNUMBER(SEARCH("ЗАЩИЩ",AE604)),ISNUMBER(SEARCH("КАНАЛ",AE604)),ISNUMBER(SEARCH("без 30",AE604))),2,1))</f>
      </c>
      <c r="BV604" s="129">
        <f>IF(R604="","",COUNTIF($R$3:R604,"?*"))</f>
      </c>
      <c r="BW604" s="129">
        <f>IF(AY604&lt;&gt;1,0,IF(MAX(IFERROR(--VLOOKUP(R604,УГО_спр,5,FALSE),0),IFERROR(--VLOOKUP(AL604,УГО_спр,5,FALSE),0),IFERROR(--VLOOKUP(LEFT(AL604,2),УГО_спр,5,FALSE),0))&gt;0,MAX(IFERROR(--VLOOKUP(R604,УГО_спр,5,FALSE),0),IFERROR(--VLOOKUP(AL604,УГО_спр,5,FALSE),0),IFERROR(--VLOOKUP(LEFT(AL604,2),УГО_спр,5,FALSE),0)),IF(IFERROR(--LEFT(SUBSTITUTE(BQ604,"x","х"),FIND("х",SUBSTITUTE(BQ604,"x","х"))-1),3)&gt;3,Каталог!$S$9,1)))</f>
      </c>
      <c r="BX604" s="129">
        <f>IF(AY604&lt;&gt;1,0,MAX(0,IFERROR(--LEFT(SUBSTITUTE(BQ604,"x","х"),FIND("х",SUBSTITUTE(BQ604,"x","х"))-1),3)-3*BW604))</f>
      </c>
      <c r="BY604" s="129">
        <f>IF(R604="","",IFERROR(VLOOKUP(R604,УГО_спр,2,FALSE),IFERROR(VLOOKUP(AL604,УГО_спр,2,FALSE),IFERROR(VLOOKUP(LEFT(AL604,2),УГО_спр,2,FALSE),""))))</f>
      </c>
    </row>
    <row r="605" spans="1:64" x14ac:dyDescent="0.3">
      <c r="A605" s="135">
        <f>IF(Разбивка_по_щитам!F605=0,"",Разбивка_по_щитам!F605)</f>
        <v/>
      </c>
      <c r="B605" s="138">
        <f>IF(A605="","",Разбивка_по_щитам!C605)</f>
        <v/>
      </c>
      <c r="C605" s="138">
        <f t="shared" si="382"/>
        <v/>
      </c>
      <c r="D605" s="266"/>
      <c r="E605" s="266"/>
      <c r="F605" s="267"/>
      <c r="G605" s="145">
        <f t="shared" si="383"/>
        <v/>
      </c>
      <c r="H605" s="145">
        <f t="shared" si="384"/>
        <v/>
      </c>
      <c r="I605" s="266"/>
      <c r="J605" s="267"/>
      <c r="K605" s="267"/>
      <c r="L605" s="266"/>
      <c r="M605" s="147">
        <f t="shared" si="385"/>
        <v/>
      </c>
      <c r="N605" s="267"/>
      <c r="O605" s="147">
        <f t="shared" si="386"/>
        <v/>
      </c>
      <c r="P605" s="268">
        <f>IF(AY605=1,"XT"&amp;COUNTIFS($A$3:A605,A605,$AY$3:AY605,1),"")</f>
        <v/>
      </c>
      <c r="Q605" s="152">
        <f>IF(R605="","",IFERROR(SUBSTITUTE(Разбивка_по_щитам!P605,CHAR(10)," "),""))</f>
        <v/>
      </c>
      <c r="R605" s="153">
        <f>IF(OR(Разбивка_по_щитам!H605="",Разбивка_по_щитам!H605=0),"",Разбивка_по_щитам!H605)</f>
        <v/>
      </c>
      <c r="S605" s="154">
        <f>IF(R605="","",IFERROR(Разбивка_по_щитам!J605&amp;"",""))</f>
        <v/>
      </c>
      <c r="T605" s="155">
        <f>IF(R605="","",IFERROR(--Разбивка_по_щитам!L605,""))</f>
        <v/>
      </c>
      <c r="U605" s="155">
        <f>IF(R605="","",IFERROR(--Разбивка_по_щитам!K605,""))</f>
        <v/>
      </c>
      <c r="V605" s="138">
        <f>IF(R605="","",IFERROR(IF(Разбивка_по_щитам!M605=0,"",Разбивка_по_щитам!M605),""))</f>
        <v/>
      </c>
      <c r="W605" s="156">
        <f t="shared" si="387"/>
        <v/>
      </c>
      <c r="X605" s="157">
        <f t="shared" si="388"/>
        <v/>
      </c>
      <c r="Y605" s="266"/>
      <c r="Z605" s="158">
        <f t="shared" si="389"/>
        <v/>
      </c>
      <c r="AA605" s="160">
        <f t="shared" si="390"/>
        <v/>
      </c>
      <c r="AB605" s="160">
        <f>IF(R605="","",IFERROR(LOOKUP(INDEX(Справочная!$I$4:$I$19,MATCH(VLOOKUP(R605,Исходные_данные,22,FALSE),Справочная!$J$4:$J$19,0)+1),{6,10,16,20,25,32,40,50,63,80,100,125}),""))</f>
        <v/>
      </c>
      <c r="AC605" s="160">
        <f t="shared" si="391"/>
        <v/>
      </c>
      <c r="AD605" s="161">
        <f t="shared" si="392"/>
        <v/>
      </c>
      <c r="AE605" s="161">
        <f>IF(AND(R605="",G605=""),"",_xlfn.TEXTJOIN("; ",TRUE,IF(AND(R605&lt;&gt;"",V605=""),"нет фазы",""),IF(AND(R605&lt;&gt;"",N(T605)=0),"нет мощности",""),IF(AND(P605&lt;&gt;"",COUNTIFS($A$3:$A$1000,A605,$P$3:$P$1000,P605)&gt;1),"дубль клеммы "&amp;P605,""),IF(AND(W605&lt;&gt;"",W605&lt;&gt;"ok"),W605,""),IF(X605&lt;&gt;"",X605,""),IF(AND(ISNUMBER(SEARCH("(5х",Q605)),N(AK605)=1),"5 жил на 1 фазе",""),IF(AND(AL605="R",E605&lt;&gt;"",N(AS605)=0),"розетка без 30 мА",""),IF(IFERROR(_xlfn.NUMBERVALUE(MID(Q605,FIND("-",Q605,FIND("L=",Q605))+1,FIND("%",Q605)-FIND("-",Q605,FIND("L=",Q605))-1),","),0)&gt;4,"потери &gt; 4 %","")))</f>
      </c>
      <c r="AF605" s="129">
        <f>IF(E605&lt;&gt;"",COUNTIFS($A$3:A605,A605,$E$3:E605,"?*"),IF(OR(A605&lt;&gt;A604,Y605="вручную"),"",AF604))</f>
        <v/>
      </c>
      <c r="AG605" s="129">
        <f t="shared" si="393"/>
        <v/>
      </c>
      <c r="AH605" s="129">
        <f t="shared" si="394"/>
        <v/>
      </c>
      <c r="AI605" s="129">
        <f t="shared" si="395"/>
        <v/>
      </c>
      <c r="AJ605" s="129">
        <f t="shared" si="396"/>
        <v/>
      </c>
      <c r="AK605" s="129">
        <f t="shared" si="397"/>
        <v/>
      </c>
      <c r="AL605" s="129">
        <f t="shared" si="398"/>
        <v/>
      </c>
      <c r="AM605" s="129">
        <f t="shared" si="399"/>
      </c>
      <c r="AN605" s="129">
        <f t="shared" si="400"/>
      </c>
      <c r="AO605" s="129">
        <f t="shared" si="401"/>
        <v/>
      </c>
      <c r="AP605" s="129">
        <f t="shared" si="402"/>
        <v/>
      </c>
      <c r="AQ605" s="129">
        <f t="shared" si="403"/>
        <v/>
      </c>
      <c r="AR605" s="129">
        <f t="shared" si="404"/>
        <v/>
      </c>
      <c r="AS605" s="129">
        <f t="shared" si="405"/>
        <v/>
      </c>
      <c r="AT605" s="129">
        <f t="shared" si="406"/>
        <v/>
      </c>
      <c r="AU605" s="129">
        <f t="shared" si="407"/>
        <v/>
      </c>
      <c r="AV605" s="129">
        <f t="shared" si="408"/>
        <v/>
      </c>
      <c r="AW605" s="129">
        <f>IF(AV605="","",AV605&amp;"."&amp;COUNTIFS($A$3:A605,A605,$AV$3:AV605,AV605))</f>
        <v/>
      </c>
      <c r="AX605" s="129">
        <f t="shared" si="409"/>
        <v/>
      </c>
      <c r="AY605" s="129">
        <f>IF(N605="б/к",0,IF(OR(ISNUMBER(SEARCH("L=",Разбивка_по_щитам!P605)),N605="+",N605="="),1,0))</f>
      </c>
      <c r="AZ605" s="129">
        <f t="shared" si="410"/>
        <v/>
      </c>
      <c r="BA605" s="129">
        <f t="shared" si="411"/>
      </c>
      <c r="BB605" s="129">
        <f t="shared" si="412"/>
      </c>
      <c r="BD605" s="129">
        <f t="shared" si="413"/>
      </c>
      <c r="BE605" s="129">
        <f t="shared" si="414"/>
      </c>
      <c r="BF605" s="129">
        <f t="shared" si="415"/>
      </c>
      <c r="BG605" s="129">
        <f t="shared" si="416"/>
        <v/>
      </c>
      <c r="BH605" s="129">
        <f t="shared" si="417"/>
        <v/>
      </c>
      <c r="BI605" s="129">
        <f t="shared" si="418"/>
        <v/>
      </c>
      <c r="BJ605" s="129">
        <f t="shared" si="419"/>
        <v/>
      </c>
      <c r="BK605" s="129">
        <f>IF(R605="","",IF(OR(BY605="",BY605=0),"BOX",IFERROR(IF(VLOOKUP(BY605,УГО_блоки,3,FALSE)&amp;""&lt;&gt;"",VLOOKUP(BY605,УГО_блоки,3,FALSE),VLOOKUP(BY605,УГО_блоки,2,FALSE)),BY605)))</f>
      </c>
      <c r="BL605" s="129">
        <f t="shared" si="421"/>
      </c>
      <c r="BM605" s="129">
        <f>IF(H605="","",IF(COUNTIF($H$3:H605,H605)=1,MAX($BM$2:BM604)+1,""))</f>
      </c>
      <c r="BN605" s="129">
        <f>IF(I605="","",IF(COUNTIF($I$3:I605,I605)+COUNTIF($J$2:J604,I605)+COUNTIF($K$2:K604,I605)=1,MAX($BN$2:BP604)+1,""))</f>
      </c>
      <c r="BO605" s="129">
        <f>IF(J605="","",IF(COUNTIF($I$3:I605,J605)+COUNTIF($J$3:J605,J605)+COUNTIF($K$2:K604,J605)=1,MAX($BN$2:BP604,BN605)+1,""))</f>
      </c>
      <c r="BP605" s="129">
        <f>IF(K605="","",IF(COUNTIF($I$3:I605,K605)+COUNTIF($J$3:J605,K605)+COUNTIF($K$3:K605,K605)=1,MAX($BN$2:BP604,BN605,BO605)+1,""))</f>
      </c>
      <c r="BQ605" s="129">
        <f>IF(AY605=1,IFERROR(MID(Q605,FIND(" (",Q605)+2,FIND(")",Q605,FIND(" (",Q605))-FIND(" (",Q605)-2),"?"),"")</f>
      </c>
      <c r="BR605" s="129">
        <f>IF(BQ605="","",IF(COUNTIF($BQ$3:BQ605,BQ605)=1,MAX($BR$2:BR604)+1,""))</f>
      </c>
      <c r="BS605" s="129">
        <f>IF(AW605="","",COUNTIF($AW$3:AW605,"?*"))</f>
      </c>
      <c r="BT605" s="129">
        <f>IF(OR(AW605="",AI605=""),"",IF(COUNTIFS($AW$3:AW605,"?*",$AI$3:AI605,AI605)=1,MAX($BT$2:BT604)+1,""))</f>
      </c>
      <c r="BU605" s="129">
        <f>IF(AE605="",0,IF(OR(ISNUMBER(SEARCH("дубль",AE605)),ISNUMBER(SEARCH("ПЕРЕГРУЗ",AE605)),ISNUMBER(SEARCH("ЗАЩИЩ",AE605)),ISNUMBER(SEARCH("КАНАЛ",AE605)),ISNUMBER(SEARCH("без 30",AE605))),2,1))</f>
      </c>
      <c r="BV605" s="129">
        <f>IF(R605="","",COUNTIF($R$3:R605,"?*"))</f>
      </c>
      <c r="BW605" s="129">
        <f>IF(AY605&lt;&gt;1,0,IF(MAX(IFERROR(--VLOOKUP(R605,УГО_спр,5,FALSE),0),IFERROR(--VLOOKUP(AL605,УГО_спр,5,FALSE),0),IFERROR(--VLOOKUP(LEFT(AL605,2),УГО_спр,5,FALSE),0))&gt;0,MAX(IFERROR(--VLOOKUP(R605,УГО_спр,5,FALSE),0),IFERROR(--VLOOKUP(AL605,УГО_спр,5,FALSE),0),IFERROR(--VLOOKUP(LEFT(AL605,2),УГО_спр,5,FALSE),0)),IF(IFERROR(--LEFT(SUBSTITUTE(BQ605,"x","х"),FIND("х",SUBSTITUTE(BQ605,"x","х"))-1),3)&gt;3,Каталог!$S$9,1)))</f>
      </c>
      <c r="BX605" s="129">
        <f>IF(AY605&lt;&gt;1,0,MAX(0,IFERROR(--LEFT(SUBSTITUTE(BQ605,"x","х"),FIND("х",SUBSTITUTE(BQ605,"x","х"))-1),3)-3*BW605))</f>
      </c>
      <c r="BY605" s="129">
        <f>IF(R605="","",IFERROR(VLOOKUP(R605,УГО_спр,2,FALSE),IFERROR(VLOOKUP(AL605,УГО_спр,2,FALSE),IFERROR(VLOOKUP(LEFT(AL605,2),УГО_спр,2,FALSE),""))))</f>
      </c>
    </row>
    <row r="606" spans="1:64" x14ac:dyDescent="0.3">
      <c r="A606" s="135">
        <f>IF(Разбивка_по_щитам!F606=0,"",Разбивка_по_щитам!F606)</f>
        <v/>
      </c>
      <c r="B606" s="138">
        <f>IF(A606="","",Разбивка_по_щитам!C606)</f>
        <v/>
      </c>
      <c r="C606" s="138">
        <f t="shared" si="382"/>
        <v/>
      </c>
      <c r="D606" s="266"/>
      <c r="E606" s="266"/>
      <c r="F606" s="267"/>
      <c r="G606" s="145">
        <f t="shared" si="383"/>
        <v/>
      </c>
      <c r="H606" s="145">
        <f t="shared" si="384"/>
        <v/>
      </c>
      <c r="I606" s="266"/>
      <c r="J606" s="267"/>
      <c r="K606" s="267"/>
      <c r="L606" s="266"/>
      <c r="M606" s="147">
        <f t="shared" si="385"/>
        <v/>
      </c>
      <c r="N606" s="267"/>
      <c r="O606" s="147">
        <f t="shared" si="386"/>
        <v/>
      </c>
      <c r="P606" s="268">
        <f>IF(AY606=1,"XT"&amp;COUNTIFS($A$3:A606,A606,$AY$3:AY606,1),"")</f>
        <v/>
      </c>
      <c r="Q606" s="152">
        <f>IF(R606="","",IFERROR(SUBSTITUTE(Разбивка_по_щитам!P606,CHAR(10)," "),""))</f>
        <v/>
      </c>
      <c r="R606" s="153">
        <f>IF(OR(Разбивка_по_щитам!H606="",Разбивка_по_щитам!H606=0),"",Разбивка_по_щитам!H606)</f>
        <v/>
      </c>
      <c r="S606" s="154">
        <f>IF(R606="","",IFERROR(Разбивка_по_щитам!J606&amp;"",""))</f>
        <v/>
      </c>
      <c r="T606" s="155">
        <f>IF(R606="","",IFERROR(--Разбивка_по_щитам!L606,""))</f>
        <v/>
      </c>
      <c r="U606" s="155">
        <f>IF(R606="","",IFERROR(--Разбивка_по_щитам!K606,""))</f>
        <v/>
      </c>
      <c r="V606" s="138">
        <f>IF(R606="","",IFERROR(IF(Разбивка_по_щитам!M606=0,"",Разбивка_по_щитам!M606),""))</f>
        <v/>
      </c>
      <c r="W606" s="156">
        <f t="shared" si="387"/>
        <v/>
      </c>
      <c r="X606" s="157">
        <f t="shared" si="388"/>
        <v/>
      </c>
      <c r="Y606" s="266"/>
      <c r="Z606" s="158">
        <f t="shared" si="389"/>
        <v/>
      </c>
      <c r="AA606" s="160">
        <f t="shared" si="390"/>
        <v/>
      </c>
      <c r="AB606" s="160">
        <f>IF(R606="","",IFERROR(LOOKUP(INDEX(Справочная!$I$4:$I$19,MATCH(VLOOKUP(R606,Исходные_данные,22,FALSE),Справочная!$J$4:$J$19,0)+1),{6,10,16,20,25,32,40,50,63,80,100,125}),""))</f>
        <v/>
      </c>
      <c r="AC606" s="160">
        <f t="shared" si="391"/>
        <v/>
      </c>
      <c r="AD606" s="161">
        <f t="shared" si="392"/>
        <v/>
      </c>
      <c r="AE606" s="161">
        <f>IF(AND(R606="",G606=""),"",_xlfn.TEXTJOIN("; ",TRUE,IF(AND(R606&lt;&gt;"",V606=""),"нет фазы",""),IF(AND(R606&lt;&gt;"",N(T606)=0),"нет мощности",""),IF(AND(P606&lt;&gt;"",COUNTIFS($A$3:$A$1000,A606,$P$3:$P$1000,P606)&gt;1),"дубль клеммы "&amp;P606,""),IF(AND(W606&lt;&gt;"",W606&lt;&gt;"ok"),W606,""),IF(X606&lt;&gt;"",X606,""),IF(AND(ISNUMBER(SEARCH("(5х",Q606)),N(AK606)=1),"5 жил на 1 фазе",""),IF(AND(AL606="R",E606&lt;&gt;"",N(AS606)=0),"розетка без 30 мА",""),IF(IFERROR(_xlfn.NUMBERVALUE(MID(Q606,FIND("-",Q606,FIND("L=",Q606))+1,FIND("%",Q606)-FIND("-",Q606,FIND("L=",Q606))-1),","),0)&gt;4,"потери &gt; 4 %","")))</f>
      </c>
      <c r="AF606" s="129">
        <f>IF(E606&lt;&gt;"",COUNTIFS($A$3:A606,A606,$E$3:E606,"?*"),IF(OR(A606&lt;&gt;A605,Y606="вручную"),"",AF605))</f>
        <v/>
      </c>
      <c r="AG606" s="129">
        <f t="shared" si="393"/>
        <v/>
      </c>
      <c r="AH606" s="129">
        <f t="shared" si="394"/>
        <v/>
      </c>
      <c r="AI606" s="129">
        <f t="shared" si="395"/>
        <v/>
      </c>
      <c r="AJ606" s="129">
        <f t="shared" si="396"/>
        <v/>
      </c>
      <c r="AK606" s="129">
        <f t="shared" si="397"/>
        <v/>
      </c>
      <c r="AL606" s="129">
        <f t="shared" si="398"/>
        <v/>
      </c>
      <c r="AM606" s="129">
        <f t="shared" si="399"/>
      </c>
      <c r="AN606" s="129">
        <f t="shared" si="400"/>
      </c>
      <c r="AO606" s="129">
        <f t="shared" si="401"/>
        <v/>
      </c>
      <c r="AP606" s="129">
        <f t="shared" si="402"/>
        <v/>
      </c>
      <c r="AQ606" s="129">
        <f t="shared" si="403"/>
        <v/>
      </c>
      <c r="AR606" s="129">
        <f t="shared" si="404"/>
        <v/>
      </c>
      <c r="AS606" s="129">
        <f t="shared" si="405"/>
        <v/>
      </c>
      <c r="AT606" s="129">
        <f t="shared" si="406"/>
        <v/>
      </c>
      <c r="AU606" s="129">
        <f t="shared" si="407"/>
        <v/>
      </c>
      <c r="AV606" s="129">
        <f t="shared" si="408"/>
        <v/>
      </c>
      <c r="AW606" s="129">
        <f>IF(AV606="","",AV606&amp;"."&amp;COUNTIFS($A$3:A606,A606,$AV$3:AV606,AV606))</f>
        <v/>
      </c>
      <c r="AX606" s="129">
        <f t="shared" si="409"/>
        <v/>
      </c>
      <c r="AY606" s="129">
        <f>IF(N606="б/к",0,IF(OR(ISNUMBER(SEARCH("L=",Разбивка_по_щитам!P606)),N606="+",N606="="),1,0))</f>
      </c>
      <c r="AZ606" s="129">
        <f t="shared" si="410"/>
        <v/>
      </c>
      <c r="BA606" s="129">
        <f t="shared" si="411"/>
      </c>
      <c r="BB606" s="129">
        <f t="shared" si="412"/>
      </c>
      <c r="BD606" s="129">
        <f t="shared" si="413"/>
      </c>
      <c r="BE606" s="129">
        <f t="shared" si="414"/>
      </c>
      <c r="BF606" s="129">
        <f t="shared" si="415"/>
      </c>
      <c r="BG606" s="129">
        <f t="shared" si="416"/>
        <v/>
      </c>
      <c r="BH606" s="129">
        <f t="shared" si="417"/>
        <v/>
      </c>
      <c r="BI606" s="129">
        <f t="shared" si="418"/>
        <v/>
      </c>
      <c r="BJ606" s="129">
        <f t="shared" si="419"/>
        <v/>
      </c>
      <c r="BK606" s="129">
        <f>IF(R606="","",IF(OR(BY606="",BY606=0),"BOX",IFERROR(IF(VLOOKUP(BY606,УГО_блоки,3,FALSE)&amp;""&lt;&gt;"",VLOOKUP(BY606,УГО_блоки,3,FALSE),VLOOKUP(BY606,УГО_блоки,2,FALSE)),BY606)))</f>
      </c>
      <c r="BL606" s="129">
        <f t="shared" si="421"/>
      </c>
      <c r="BM606" s="129">
        <f>IF(H606="","",IF(COUNTIF($H$3:H606,H606)=1,MAX($BM$2:BM605)+1,""))</f>
      </c>
      <c r="BN606" s="129">
        <f>IF(I606="","",IF(COUNTIF($I$3:I606,I606)+COUNTIF($J$2:J605,I606)+COUNTIF($K$2:K605,I606)=1,MAX($BN$2:BP605)+1,""))</f>
      </c>
      <c r="BO606" s="129">
        <f>IF(J606="","",IF(COUNTIF($I$3:I606,J606)+COUNTIF($J$3:J606,J606)+COUNTIF($K$2:K605,J606)=1,MAX($BN$2:BP605,BN606)+1,""))</f>
      </c>
      <c r="BP606" s="129">
        <f>IF(K606="","",IF(COUNTIF($I$3:I606,K606)+COUNTIF($J$3:J606,K606)+COUNTIF($K$3:K606,K606)=1,MAX($BN$2:BP605,BN606,BO606)+1,""))</f>
      </c>
      <c r="BQ606" s="129">
        <f>IF(AY606=1,IFERROR(MID(Q606,FIND(" (",Q606)+2,FIND(")",Q606,FIND(" (",Q606))-FIND(" (",Q606)-2),"?"),"")</f>
      </c>
      <c r="BR606" s="129">
        <f>IF(BQ606="","",IF(COUNTIF($BQ$3:BQ606,BQ606)=1,MAX($BR$2:BR605)+1,""))</f>
      </c>
      <c r="BS606" s="129">
        <f>IF(AW606="","",COUNTIF($AW$3:AW606,"?*"))</f>
      </c>
      <c r="BT606" s="129">
        <f>IF(OR(AW606="",AI606=""),"",IF(COUNTIFS($AW$3:AW606,"?*",$AI$3:AI606,AI606)=1,MAX($BT$2:BT605)+1,""))</f>
      </c>
      <c r="BU606" s="129">
        <f>IF(AE606="",0,IF(OR(ISNUMBER(SEARCH("дубль",AE606)),ISNUMBER(SEARCH("ПЕРЕГРУЗ",AE606)),ISNUMBER(SEARCH("ЗАЩИЩ",AE606)),ISNUMBER(SEARCH("КАНАЛ",AE606)),ISNUMBER(SEARCH("без 30",AE606))),2,1))</f>
      </c>
      <c r="BV606" s="129">
        <f>IF(R606="","",COUNTIF($R$3:R606,"?*"))</f>
      </c>
      <c r="BW606" s="129">
        <f>IF(AY606&lt;&gt;1,0,IF(MAX(IFERROR(--VLOOKUP(R606,УГО_спр,5,FALSE),0),IFERROR(--VLOOKUP(AL606,УГО_спр,5,FALSE),0),IFERROR(--VLOOKUP(LEFT(AL606,2),УГО_спр,5,FALSE),0))&gt;0,MAX(IFERROR(--VLOOKUP(R606,УГО_спр,5,FALSE),0),IFERROR(--VLOOKUP(AL606,УГО_спр,5,FALSE),0),IFERROR(--VLOOKUP(LEFT(AL606,2),УГО_спр,5,FALSE),0)),IF(IFERROR(--LEFT(SUBSTITUTE(BQ606,"x","х"),FIND("х",SUBSTITUTE(BQ606,"x","х"))-1),3)&gt;3,Каталог!$S$9,1)))</f>
      </c>
      <c r="BX606" s="129">
        <f>IF(AY606&lt;&gt;1,0,MAX(0,IFERROR(--LEFT(SUBSTITUTE(BQ606,"x","х"),FIND("х",SUBSTITUTE(BQ606,"x","х"))-1),3)-3*BW606))</f>
      </c>
      <c r="BY606" s="129">
        <f>IF(R606="","",IFERROR(VLOOKUP(R606,УГО_спр,2,FALSE),IFERROR(VLOOKUP(AL606,УГО_спр,2,FALSE),IFERROR(VLOOKUP(LEFT(AL606,2),УГО_спр,2,FALSE),""))))</f>
      </c>
    </row>
    <row r="607" spans="1:64" x14ac:dyDescent="0.3">
      <c r="A607" s="135">
        <f>IF(Разбивка_по_щитам!F607=0,"",Разбивка_по_щитам!F607)</f>
        <v/>
      </c>
      <c r="B607" s="138">
        <f>IF(A607="","",Разбивка_по_щитам!C607)</f>
        <v/>
      </c>
      <c r="C607" s="138">
        <f t="shared" si="382"/>
        <v/>
      </c>
      <c r="D607" s="266"/>
      <c r="E607" s="266"/>
      <c r="F607" s="267"/>
      <c r="G607" s="145">
        <f t="shared" si="383"/>
        <v/>
      </c>
      <c r="H607" s="145">
        <f t="shared" si="384"/>
        <v/>
      </c>
      <c r="I607" s="266"/>
      <c r="J607" s="267"/>
      <c r="K607" s="267"/>
      <c r="L607" s="266"/>
      <c r="M607" s="147">
        <f t="shared" si="385"/>
        <v/>
      </c>
      <c r="N607" s="267"/>
      <c r="O607" s="147">
        <f t="shared" si="386"/>
        <v/>
      </c>
      <c r="P607" s="268">
        <f>IF(AY607=1,"XT"&amp;COUNTIFS($A$3:A607,A607,$AY$3:AY607,1),"")</f>
        <v/>
      </c>
      <c r="Q607" s="152">
        <f>IF(R607="","",IFERROR(SUBSTITUTE(Разбивка_по_щитам!P607,CHAR(10)," "),""))</f>
        <v/>
      </c>
      <c r="R607" s="153">
        <f>IF(OR(Разбивка_по_щитам!H607="",Разбивка_по_щитам!H607=0),"",Разбивка_по_щитам!H607)</f>
        <v/>
      </c>
      <c r="S607" s="154">
        <f>IF(R607="","",IFERROR(Разбивка_по_щитам!J607&amp;"",""))</f>
        <v/>
      </c>
      <c r="T607" s="155">
        <f>IF(R607="","",IFERROR(--Разбивка_по_щитам!L607,""))</f>
        <v/>
      </c>
      <c r="U607" s="155">
        <f>IF(R607="","",IFERROR(--Разбивка_по_щитам!K607,""))</f>
        <v/>
      </c>
      <c r="V607" s="138">
        <f>IF(R607="","",IFERROR(IF(Разбивка_по_щитам!M607=0,"",Разбивка_по_щитам!M607),""))</f>
        <v/>
      </c>
      <c r="W607" s="156">
        <f t="shared" si="387"/>
        <v/>
      </c>
      <c r="X607" s="157">
        <f t="shared" si="388"/>
        <v/>
      </c>
      <c r="Y607" s="266"/>
      <c r="Z607" s="158">
        <f t="shared" si="389"/>
        <v/>
      </c>
      <c r="AA607" s="160">
        <f t="shared" si="390"/>
        <v/>
      </c>
      <c r="AB607" s="160">
        <f>IF(R607="","",IFERROR(LOOKUP(INDEX(Справочная!$I$4:$I$19,MATCH(VLOOKUP(R607,Исходные_данные,22,FALSE),Справочная!$J$4:$J$19,0)+1),{6,10,16,20,25,32,40,50,63,80,100,125}),""))</f>
        <v/>
      </c>
      <c r="AC607" s="160">
        <f t="shared" si="391"/>
        <v/>
      </c>
      <c r="AD607" s="161">
        <f t="shared" si="392"/>
        <v/>
      </c>
      <c r="AE607" s="161">
        <f>IF(AND(R607="",G607=""),"",_xlfn.TEXTJOIN("; ",TRUE,IF(AND(R607&lt;&gt;"",V607=""),"нет фазы",""),IF(AND(R607&lt;&gt;"",N(T607)=0),"нет мощности",""),IF(AND(P607&lt;&gt;"",COUNTIFS($A$3:$A$1000,A607,$P$3:$P$1000,P607)&gt;1),"дубль клеммы "&amp;P607,""),IF(AND(W607&lt;&gt;"",W607&lt;&gt;"ok"),W607,""),IF(X607&lt;&gt;"",X607,""),IF(AND(ISNUMBER(SEARCH("(5х",Q607)),N(AK607)=1),"5 жил на 1 фазе",""),IF(AND(AL607="R",E607&lt;&gt;"",N(AS607)=0),"розетка без 30 мА",""),IF(IFERROR(_xlfn.NUMBERVALUE(MID(Q607,FIND("-",Q607,FIND("L=",Q607))+1,FIND("%",Q607)-FIND("-",Q607,FIND("L=",Q607))-1),","),0)&gt;4,"потери &gt; 4 %","")))</f>
      </c>
      <c r="AF607" s="129">
        <f>IF(E607&lt;&gt;"",COUNTIFS($A$3:A607,A607,$E$3:E607,"?*"),IF(OR(A607&lt;&gt;A606,Y607="вручную"),"",AF606))</f>
        <v/>
      </c>
      <c r="AG607" s="129">
        <f t="shared" si="393"/>
        <v/>
      </c>
      <c r="AH607" s="129">
        <f t="shared" si="394"/>
        <v/>
      </c>
      <c r="AI607" s="129">
        <f t="shared" si="395"/>
        <v/>
      </c>
      <c r="AJ607" s="129">
        <f t="shared" si="396"/>
        <v/>
      </c>
      <c r="AK607" s="129">
        <f t="shared" si="397"/>
        <v/>
      </c>
      <c r="AL607" s="129">
        <f t="shared" si="398"/>
        <v/>
      </c>
      <c r="AM607" s="129">
        <f t="shared" si="399"/>
      </c>
      <c r="AN607" s="129">
        <f t="shared" si="400"/>
      </c>
      <c r="AO607" s="129">
        <f t="shared" si="401"/>
        <v/>
      </c>
      <c r="AP607" s="129">
        <f t="shared" si="402"/>
        <v/>
      </c>
      <c r="AQ607" s="129">
        <f t="shared" si="403"/>
        <v/>
      </c>
      <c r="AR607" s="129">
        <f t="shared" si="404"/>
        <v/>
      </c>
      <c r="AS607" s="129">
        <f t="shared" si="405"/>
        <v/>
      </c>
      <c r="AT607" s="129">
        <f t="shared" si="406"/>
        <v/>
      </c>
      <c r="AU607" s="129">
        <f t="shared" si="407"/>
        <v/>
      </c>
      <c r="AV607" s="129">
        <f t="shared" si="408"/>
        <v/>
      </c>
      <c r="AW607" s="129">
        <f>IF(AV607="","",AV607&amp;"."&amp;COUNTIFS($A$3:A607,A607,$AV$3:AV607,AV607))</f>
        <v/>
      </c>
      <c r="AX607" s="129">
        <f t="shared" si="409"/>
        <v/>
      </c>
      <c r="AY607" s="129">
        <f>IF(N607="б/к",0,IF(OR(ISNUMBER(SEARCH("L=",Разбивка_по_щитам!P607)),N607="+",N607="="),1,0))</f>
      </c>
      <c r="AZ607" s="129">
        <f t="shared" si="410"/>
        <v/>
      </c>
      <c r="BA607" s="129">
        <f t="shared" si="411"/>
      </c>
      <c r="BB607" s="129">
        <f t="shared" si="412"/>
      </c>
      <c r="BD607" s="129">
        <f t="shared" si="413"/>
      </c>
      <c r="BE607" s="129">
        <f t="shared" si="414"/>
      </c>
      <c r="BF607" s="129">
        <f t="shared" si="415"/>
      </c>
      <c r="BG607" s="129">
        <f t="shared" si="416"/>
        <v/>
      </c>
      <c r="BH607" s="129">
        <f t="shared" si="417"/>
        <v/>
      </c>
      <c r="BI607" s="129">
        <f t="shared" si="418"/>
        <v/>
      </c>
      <c r="BJ607" s="129">
        <f t="shared" si="419"/>
        <v/>
      </c>
      <c r="BK607" s="129">
        <f>IF(R607="","",IF(OR(BY607="",BY607=0),"BOX",IFERROR(IF(VLOOKUP(BY607,УГО_блоки,3,FALSE)&amp;""&lt;&gt;"",VLOOKUP(BY607,УГО_блоки,3,FALSE),VLOOKUP(BY607,УГО_блоки,2,FALSE)),BY607)))</f>
      </c>
      <c r="BL607" s="129">
        <f t="shared" si="421"/>
      </c>
      <c r="BM607" s="129">
        <f>IF(H607="","",IF(COUNTIF($H$3:H607,H607)=1,MAX($BM$2:BM606)+1,""))</f>
      </c>
      <c r="BN607" s="129">
        <f>IF(I607="","",IF(COUNTIF($I$3:I607,I607)+COUNTIF($J$2:J606,I607)+COUNTIF($K$2:K606,I607)=1,MAX($BN$2:BP606)+1,""))</f>
      </c>
      <c r="BO607" s="129">
        <f>IF(J607="","",IF(COUNTIF($I$3:I607,J607)+COUNTIF($J$3:J607,J607)+COUNTIF($K$2:K606,J607)=1,MAX($BN$2:BP606,BN607)+1,""))</f>
      </c>
      <c r="BP607" s="129">
        <f>IF(K607="","",IF(COUNTIF($I$3:I607,K607)+COUNTIF($J$3:J607,K607)+COUNTIF($K$3:K607,K607)=1,MAX($BN$2:BP606,BN607,BO607)+1,""))</f>
      </c>
      <c r="BQ607" s="129">
        <f>IF(AY607=1,IFERROR(MID(Q607,FIND(" (",Q607)+2,FIND(")",Q607,FIND(" (",Q607))-FIND(" (",Q607)-2),"?"),"")</f>
      </c>
      <c r="BR607" s="129">
        <f>IF(BQ607="","",IF(COUNTIF($BQ$3:BQ607,BQ607)=1,MAX($BR$2:BR606)+1,""))</f>
      </c>
      <c r="BS607" s="129">
        <f>IF(AW607="","",COUNTIF($AW$3:AW607,"?*"))</f>
      </c>
      <c r="BT607" s="129">
        <f>IF(OR(AW607="",AI607=""),"",IF(COUNTIFS($AW$3:AW607,"?*",$AI$3:AI607,AI607)=1,MAX($BT$2:BT606)+1,""))</f>
      </c>
      <c r="BU607" s="129">
        <f>IF(AE607="",0,IF(OR(ISNUMBER(SEARCH("дубль",AE607)),ISNUMBER(SEARCH("ПЕРЕГРУЗ",AE607)),ISNUMBER(SEARCH("ЗАЩИЩ",AE607)),ISNUMBER(SEARCH("КАНАЛ",AE607)),ISNUMBER(SEARCH("без 30",AE607))),2,1))</f>
      </c>
      <c r="BV607" s="129">
        <f>IF(R607="","",COUNTIF($R$3:R607,"?*"))</f>
      </c>
      <c r="BW607" s="129">
        <f>IF(AY607&lt;&gt;1,0,IF(MAX(IFERROR(--VLOOKUP(R607,УГО_спр,5,FALSE),0),IFERROR(--VLOOKUP(AL607,УГО_спр,5,FALSE),0),IFERROR(--VLOOKUP(LEFT(AL607,2),УГО_спр,5,FALSE),0))&gt;0,MAX(IFERROR(--VLOOKUP(R607,УГО_спр,5,FALSE),0),IFERROR(--VLOOKUP(AL607,УГО_спр,5,FALSE),0),IFERROR(--VLOOKUP(LEFT(AL607,2),УГО_спр,5,FALSE),0)),IF(IFERROR(--LEFT(SUBSTITUTE(BQ607,"x","х"),FIND("х",SUBSTITUTE(BQ607,"x","х"))-1),3)&gt;3,Каталог!$S$9,1)))</f>
      </c>
      <c r="BX607" s="129">
        <f>IF(AY607&lt;&gt;1,0,MAX(0,IFERROR(--LEFT(SUBSTITUTE(BQ607,"x","х"),FIND("х",SUBSTITUTE(BQ607,"x","х"))-1),3)-3*BW607))</f>
      </c>
      <c r="BY607" s="129">
        <f>IF(R607="","",IFERROR(VLOOKUP(R607,УГО_спр,2,FALSE),IFERROR(VLOOKUP(AL607,УГО_спр,2,FALSE),IFERROR(VLOOKUP(LEFT(AL607,2),УГО_спр,2,FALSE),""))))</f>
      </c>
    </row>
    <row r="608" spans="1:64" x14ac:dyDescent="0.3">
      <c r="A608" s="135">
        <f>IF(Разбивка_по_щитам!F608=0,"",Разбивка_по_щитам!F608)</f>
        <v/>
      </c>
      <c r="B608" s="138">
        <f>IF(A608="","",Разбивка_по_щитам!C608)</f>
        <v/>
      </c>
      <c r="C608" s="138">
        <f t="shared" si="382"/>
        <v/>
      </c>
      <c r="D608" s="266"/>
      <c r="E608" s="266"/>
      <c r="F608" s="267"/>
      <c r="G608" s="145">
        <f t="shared" si="383"/>
        <v/>
      </c>
      <c r="H608" s="145">
        <f t="shared" si="384"/>
        <v/>
      </c>
      <c r="I608" s="266"/>
      <c r="J608" s="267"/>
      <c r="K608" s="267"/>
      <c r="L608" s="266"/>
      <c r="M608" s="147">
        <f t="shared" si="385"/>
        <v/>
      </c>
      <c r="N608" s="267"/>
      <c r="O608" s="147">
        <f t="shared" si="386"/>
        <v/>
      </c>
      <c r="P608" s="268">
        <f>IF(AY608=1,"XT"&amp;COUNTIFS($A$3:A608,A608,$AY$3:AY608,1),"")</f>
        <v/>
      </c>
      <c r="Q608" s="152">
        <f>IF(R608="","",IFERROR(SUBSTITUTE(Разбивка_по_щитам!P608,CHAR(10)," "),""))</f>
        <v/>
      </c>
      <c r="R608" s="153">
        <f>IF(OR(Разбивка_по_щитам!H608="",Разбивка_по_щитам!H608=0),"",Разбивка_по_щитам!H608)</f>
        <v/>
      </c>
      <c r="S608" s="154">
        <f>IF(R608="","",IFERROR(Разбивка_по_щитам!J608&amp;"",""))</f>
        <v/>
      </c>
      <c r="T608" s="155">
        <f>IF(R608="","",IFERROR(--Разбивка_по_щитам!L608,""))</f>
        <v/>
      </c>
      <c r="U608" s="155">
        <f>IF(R608="","",IFERROR(--Разбивка_по_щитам!K608,""))</f>
        <v/>
      </c>
      <c r="V608" s="138">
        <f>IF(R608="","",IFERROR(IF(Разбивка_по_щитам!M608=0,"",Разбивка_по_щитам!M608),""))</f>
        <v/>
      </c>
      <c r="W608" s="156">
        <f t="shared" si="387"/>
        <v/>
      </c>
      <c r="X608" s="157">
        <f t="shared" si="388"/>
        <v/>
      </c>
      <c r="Y608" s="266"/>
      <c r="Z608" s="158">
        <f t="shared" si="389"/>
        <v/>
      </c>
      <c r="AA608" s="160">
        <f t="shared" si="390"/>
        <v/>
      </c>
      <c r="AB608" s="160">
        <f>IF(R608="","",IFERROR(LOOKUP(INDEX(Справочная!$I$4:$I$19,MATCH(VLOOKUP(R608,Исходные_данные,22,FALSE),Справочная!$J$4:$J$19,0)+1),{6,10,16,20,25,32,40,50,63,80,100,125}),""))</f>
        <v/>
      </c>
      <c r="AC608" s="160">
        <f t="shared" si="391"/>
        <v/>
      </c>
      <c r="AD608" s="161">
        <f t="shared" si="392"/>
        <v/>
      </c>
      <c r="AE608" s="161">
        <f>IF(AND(R608="",G608=""),"",_xlfn.TEXTJOIN("; ",TRUE,IF(AND(R608&lt;&gt;"",V608=""),"нет фазы",""),IF(AND(R608&lt;&gt;"",N(T608)=0),"нет мощности",""),IF(AND(P608&lt;&gt;"",COUNTIFS($A$3:$A$1000,A608,$P$3:$P$1000,P608)&gt;1),"дубль клеммы "&amp;P608,""),IF(AND(W608&lt;&gt;"",W608&lt;&gt;"ok"),W608,""),IF(X608&lt;&gt;"",X608,""),IF(AND(ISNUMBER(SEARCH("(5х",Q608)),N(AK608)=1),"5 жил на 1 фазе",""),IF(AND(AL608="R",E608&lt;&gt;"",N(AS608)=0),"розетка без 30 мА",""),IF(IFERROR(_xlfn.NUMBERVALUE(MID(Q608,FIND("-",Q608,FIND("L=",Q608))+1,FIND("%",Q608)-FIND("-",Q608,FIND("L=",Q608))-1),","),0)&gt;4,"потери &gt; 4 %","")))</f>
      </c>
      <c r="AF608" s="129">
        <f>IF(E608&lt;&gt;"",COUNTIFS($A$3:A608,A608,$E$3:E608,"?*"),IF(OR(A608&lt;&gt;A607,Y608="вручную"),"",AF607))</f>
        <v/>
      </c>
      <c r="AG608" s="129">
        <f t="shared" si="393"/>
        <v/>
      </c>
      <c r="AH608" s="129">
        <f t="shared" si="394"/>
        <v/>
      </c>
      <c r="AI608" s="129">
        <f t="shared" si="395"/>
        <v/>
      </c>
      <c r="AJ608" s="129">
        <f t="shared" si="396"/>
        <v/>
      </c>
      <c r="AK608" s="129">
        <f t="shared" si="397"/>
        <v/>
      </c>
      <c r="AL608" s="129">
        <f t="shared" si="398"/>
        <v/>
      </c>
      <c r="AM608" s="129">
        <f t="shared" si="399"/>
      </c>
      <c r="AN608" s="129">
        <f t="shared" si="400"/>
      </c>
      <c r="AO608" s="129">
        <f t="shared" si="401"/>
        <v/>
      </c>
      <c r="AP608" s="129">
        <f t="shared" si="402"/>
        <v/>
      </c>
      <c r="AQ608" s="129">
        <f t="shared" si="403"/>
        <v/>
      </c>
      <c r="AR608" s="129">
        <f t="shared" si="404"/>
        <v/>
      </c>
      <c r="AS608" s="129">
        <f t="shared" si="405"/>
        <v/>
      </c>
      <c r="AT608" s="129">
        <f t="shared" si="406"/>
        <v/>
      </c>
      <c r="AU608" s="129">
        <f t="shared" si="407"/>
        <v/>
      </c>
      <c r="AV608" s="129">
        <f t="shared" si="408"/>
        <v/>
      </c>
      <c r="AW608" s="129">
        <f>IF(AV608="","",AV608&amp;"."&amp;COUNTIFS($A$3:A608,A608,$AV$3:AV608,AV608))</f>
        <v/>
      </c>
      <c r="AX608" s="129">
        <f t="shared" si="409"/>
        <v/>
      </c>
      <c r="AY608" s="129">
        <f>IF(N608="б/к",0,IF(OR(ISNUMBER(SEARCH("L=",Разбивка_по_щитам!P608)),N608="+",N608="="),1,0))</f>
      </c>
      <c r="AZ608" s="129">
        <f t="shared" si="410"/>
        <v/>
      </c>
      <c r="BA608" s="129">
        <f t="shared" si="411"/>
      </c>
      <c r="BB608" s="129">
        <f t="shared" si="412"/>
      </c>
      <c r="BD608" s="129">
        <f t="shared" si="413"/>
      </c>
      <c r="BE608" s="129">
        <f t="shared" si="414"/>
      </c>
      <c r="BF608" s="129">
        <f t="shared" si="415"/>
      </c>
      <c r="BG608" s="129">
        <f t="shared" si="416"/>
        <v/>
      </c>
      <c r="BH608" s="129">
        <f t="shared" si="417"/>
        <v/>
      </c>
      <c r="BI608" s="129">
        <f t="shared" si="418"/>
        <v/>
      </c>
      <c r="BJ608" s="129">
        <f t="shared" si="419"/>
        <v/>
      </c>
      <c r="BK608" s="129">
        <f>IF(R608="","",IF(OR(BY608="",BY608=0),"BOX",IFERROR(IF(VLOOKUP(BY608,УГО_блоки,3,FALSE)&amp;""&lt;&gt;"",VLOOKUP(BY608,УГО_блоки,3,FALSE),VLOOKUP(BY608,УГО_блоки,2,FALSE)),BY608)))</f>
      </c>
      <c r="BL608" s="129">
        <f t="shared" si="421"/>
      </c>
      <c r="BM608" s="129">
        <f>IF(H608="","",IF(COUNTIF($H$3:H608,H608)=1,MAX($BM$2:BM607)+1,""))</f>
      </c>
      <c r="BN608" s="129">
        <f>IF(I608="","",IF(COUNTIF($I$3:I608,I608)+COUNTIF($J$2:J607,I608)+COUNTIF($K$2:K607,I608)=1,MAX($BN$2:BP607)+1,""))</f>
      </c>
      <c r="BO608" s="129">
        <f>IF(J608="","",IF(COUNTIF($I$3:I608,J608)+COUNTIF($J$3:J608,J608)+COUNTIF($K$2:K607,J608)=1,MAX($BN$2:BP607,BN608)+1,""))</f>
      </c>
      <c r="BP608" s="129">
        <f>IF(K608="","",IF(COUNTIF($I$3:I608,K608)+COUNTIF($J$3:J608,K608)+COUNTIF($K$3:K608,K608)=1,MAX($BN$2:BP607,BN608,BO608)+1,""))</f>
      </c>
      <c r="BQ608" s="129">
        <f>IF(AY608=1,IFERROR(MID(Q608,FIND(" (",Q608)+2,FIND(")",Q608,FIND(" (",Q608))-FIND(" (",Q608)-2),"?"),"")</f>
      </c>
      <c r="BR608" s="129">
        <f>IF(BQ608="","",IF(COUNTIF($BQ$3:BQ608,BQ608)=1,MAX($BR$2:BR607)+1,""))</f>
      </c>
      <c r="BS608" s="129">
        <f>IF(AW608="","",COUNTIF($AW$3:AW608,"?*"))</f>
      </c>
      <c r="BT608" s="129">
        <f>IF(OR(AW608="",AI608=""),"",IF(COUNTIFS($AW$3:AW608,"?*",$AI$3:AI608,AI608)=1,MAX($BT$2:BT607)+1,""))</f>
      </c>
      <c r="BU608" s="129">
        <f>IF(AE608="",0,IF(OR(ISNUMBER(SEARCH("дубль",AE608)),ISNUMBER(SEARCH("ПЕРЕГРУЗ",AE608)),ISNUMBER(SEARCH("ЗАЩИЩ",AE608)),ISNUMBER(SEARCH("КАНАЛ",AE608)),ISNUMBER(SEARCH("без 30",AE608))),2,1))</f>
      </c>
      <c r="BV608" s="129">
        <f>IF(R608="","",COUNTIF($R$3:R608,"?*"))</f>
      </c>
      <c r="BW608" s="129">
        <f>IF(AY608&lt;&gt;1,0,IF(MAX(IFERROR(--VLOOKUP(R608,УГО_спр,5,FALSE),0),IFERROR(--VLOOKUP(AL608,УГО_спр,5,FALSE),0),IFERROR(--VLOOKUP(LEFT(AL608,2),УГО_спр,5,FALSE),0))&gt;0,MAX(IFERROR(--VLOOKUP(R608,УГО_спр,5,FALSE),0),IFERROR(--VLOOKUP(AL608,УГО_спр,5,FALSE),0),IFERROR(--VLOOKUP(LEFT(AL608,2),УГО_спр,5,FALSE),0)),IF(IFERROR(--LEFT(SUBSTITUTE(BQ608,"x","х"),FIND("х",SUBSTITUTE(BQ608,"x","х"))-1),3)&gt;3,Каталог!$S$9,1)))</f>
      </c>
      <c r="BX608" s="129">
        <f>IF(AY608&lt;&gt;1,0,MAX(0,IFERROR(--LEFT(SUBSTITUTE(BQ608,"x","х"),FIND("х",SUBSTITUTE(BQ608,"x","х"))-1),3)-3*BW608))</f>
      </c>
      <c r="BY608" s="129">
        <f>IF(R608="","",IFERROR(VLOOKUP(R608,УГО_спр,2,FALSE),IFERROR(VLOOKUP(AL608,УГО_спр,2,FALSE),IFERROR(VLOOKUP(LEFT(AL608,2),УГО_спр,2,FALSE),""))))</f>
      </c>
    </row>
    <row r="609" spans="1:64" x14ac:dyDescent="0.3">
      <c r="A609" s="135">
        <f>IF(Разбивка_по_щитам!F609=0,"",Разбивка_по_щитам!F609)</f>
        <v/>
      </c>
      <c r="B609" s="138">
        <f>IF(A609="","",Разбивка_по_щитам!C609)</f>
        <v/>
      </c>
      <c r="C609" s="138">
        <f t="shared" si="382"/>
        <v/>
      </c>
      <c r="D609" s="266"/>
      <c r="E609" s="266"/>
      <c r="F609" s="267"/>
      <c r="G609" s="145">
        <f t="shared" si="383"/>
        <v/>
      </c>
      <c r="H609" s="145">
        <f t="shared" si="384"/>
        <v/>
      </c>
      <c r="I609" s="266"/>
      <c r="J609" s="267"/>
      <c r="K609" s="267"/>
      <c r="L609" s="266"/>
      <c r="M609" s="147">
        <f t="shared" si="385"/>
        <v/>
      </c>
      <c r="N609" s="267"/>
      <c r="O609" s="147">
        <f t="shared" si="386"/>
        <v/>
      </c>
      <c r="P609" s="268">
        <f>IF(AY609=1,"XT"&amp;COUNTIFS($A$3:A609,A609,$AY$3:AY609,1),"")</f>
        <v/>
      </c>
      <c r="Q609" s="152">
        <f>IF(R609="","",IFERROR(SUBSTITUTE(Разбивка_по_щитам!P609,CHAR(10)," "),""))</f>
        <v/>
      </c>
      <c r="R609" s="153">
        <f>IF(OR(Разбивка_по_щитам!H609="",Разбивка_по_щитам!H609=0),"",Разбивка_по_щитам!H609)</f>
        <v/>
      </c>
      <c r="S609" s="154">
        <f>IF(R609="","",IFERROR(Разбивка_по_щитам!J609&amp;"",""))</f>
        <v/>
      </c>
      <c r="T609" s="155">
        <f>IF(R609="","",IFERROR(--Разбивка_по_щитам!L609,""))</f>
        <v/>
      </c>
      <c r="U609" s="155">
        <f>IF(R609="","",IFERROR(--Разбивка_по_щитам!K609,""))</f>
        <v/>
      </c>
      <c r="V609" s="138">
        <f>IF(R609="","",IFERROR(IF(Разбивка_по_щитам!M609=0,"",Разбивка_по_щитам!M609),""))</f>
        <v/>
      </c>
      <c r="W609" s="156">
        <f t="shared" si="387"/>
        <v/>
      </c>
      <c r="X609" s="157">
        <f t="shared" si="388"/>
        <v/>
      </c>
      <c r="Y609" s="266"/>
      <c r="Z609" s="158">
        <f t="shared" si="389"/>
        <v/>
      </c>
      <c r="AA609" s="160">
        <f t="shared" si="390"/>
        <v/>
      </c>
      <c r="AB609" s="160">
        <f>IF(R609="","",IFERROR(LOOKUP(INDEX(Справочная!$I$4:$I$19,MATCH(VLOOKUP(R609,Исходные_данные,22,FALSE),Справочная!$J$4:$J$19,0)+1),{6,10,16,20,25,32,40,50,63,80,100,125}),""))</f>
        <v/>
      </c>
      <c r="AC609" s="160">
        <f t="shared" si="391"/>
        <v/>
      </c>
      <c r="AD609" s="161">
        <f t="shared" si="392"/>
        <v/>
      </c>
      <c r="AE609" s="161">
        <f>IF(AND(R609="",G609=""),"",_xlfn.TEXTJOIN("; ",TRUE,IF(AND(R609&lt;&gt;"",V609=""),"нет фазы",""),IF(AND(R609&lt;&gt;"",N(T609)=0),"нет мощности",""),IF(AND(P609&lt;&gt;"",COUNTIFS($A$3:$A$1000,A609,$P$3:$P$1000,P609)&gt;1),"дубль клеммы "&amp;P609,""),IF(AND(W609&lt;&gt;"",W609&lt;&gt;"ok"),W609,""),IF(X609&lt;&gt;"",X609,""),IF(AND(ISNUMBER(SEARCH("(5х",Q609)),N(AK609)=1),"5 жил на 1 фазе",""),IF(AND(AL609="R",E609&lt;&gt;"",N(AS609)=0),"розетка без 30 мА",""),IF(IFERROR(_xlfn.NUMBERVALUE(MID(Q609,FIND("-",Q609,FIND("L=",Q609))+1,FIND("%",Q609)-FIND("-",Q609,FIND("L=",Q609))-1),","),0)&gt;4,"потери &gt; 4 %","")))</f>
      </c>
      <c r="AF609" s="129">
        <f>IF(E609&lt;&gt;"",COUNTIFS($A$3:A609,A609,$E$3:E609,"?*"),IF(OR(A609&lt;&gt;A608,Y609="вручную"),"",AF608))</f>
        <v/>
      </c>
      <c r="AG609" s="129">
        <f t="shared" si="393"/>
        <v/>
      </c>
      <c r="AH609" s="129">
        <f t="shared" si="394"/>
        <v/>
      </c>
      <c r="AI609" s="129">
        <f t="shared" si="395"/>
        <v/>
      </c>
      <c r="AJ609" s="129">
        <f t="shared" si="396"/>
        <v/>
      </c>
      <c r="AK609" s="129">
        <f t="shared" si="397"/>
        <v/>
      </c>
      <c r="AL609" s="129">
        <f t="shared" si="398"/>
        <v/>
      </c>
      <c r="AM609" s="129">
        <f t="shared" si="399"/>
      </c>
      <c r="AN609" s="129">
        <f t="shared" si="400"/>
      </c>
      <c r="AO609" s="129">
        <f t="shared" si="401"/>
        <v/>
      </c>
      <c r="AP609" s="129">
        <f t="shared" si="402"/>
        <v/>
      </c>
      <c r="AQ609" s="129">
        <f t="shared" si="403"/>
        <v/>
      </c>
      <c r="AR609" s="129">
        <f t="shared" si="404"/>
        <v/>
      </c>
      <c r="AS609" s="129">
        <f t="shared" si="405"/>
        <v/>
      </c>
      <c r="AT609" s="129">
        <f t="shared" si="406"/>
        <v/>
      </c>
      <c r="AU609" s="129">
        <f t="shared" si="407"/>
        <v/>
      </c>
      <c r="AV609" s="129">
        <f t="shared" si="408"/>
        <v/>
      </c>
      <c r="AW609" s="129">
        <f>IF(AV609="","",AV609&amp;"."&amp;COUNTIFS($A$3:A609,A609,$AV$3:AV609,AV609))</f>
        <v/>
      </c>
      <c r="AX609" s="129">
        <f t="shared" si="409"/>
        <v/>
      </c>
      <c r="AY609" s="129">
        <f>IF(N609="б/к",0,IF(OR(ISNUMBER(SEARCH("L=",Разбивка_по_щитам!P609)),N609="+",N609="="),1,0))</f>
      </c>
      <c r="AZ609" s="129">
        <f t="shared" si="410"/>
        <v/>
      </c>
      <c r="BA609" s="129">
        <f t="shared" si="411"/>
      </c>
      <c r="BB609" s="129">
        <f t="shared" si="412"/>
      </c>
      <c r="BD609" s="129">
        <f t="shared" si="413"/>
      </c>
      <c r="BE609" s="129">
        <f t="shared" si="414"/>
      </c>
      <c r="BF609" s="129">
        <f t="shared" si="415"/>
      </c>
      <c r="BG609" s="129">
        <f t="shared" si="416"/>
        <v/>
      </c>
      <c r="BH609" s="129">
        <f t="shared" si="417"/>
        <v/>
      </c>
      <c r="BI609" s="129">
        <f t="shared" si="418"/>
        <v/>
      </c>
      <c r="BJ609" s="129">
        <f t="shared" si="419"/>
        <v/>
      </c>
      <c r="BK609" s="129">
        <f>IF(R609="","",IF(OR(BY609="",BY609=0),"BOX",IFERROR(IF(VLOOKUP(BY609,УГО_блоки,3,FALSE)&amp;""&lt;&gt;"",VLOOKUP(BY609,УГО_блоки,3,FALSE),VLOOKUP(BY609,УГО_блоки,2,FALSE)),BY609)))</f>
      </c>
      <c r="BL609" s="129">
        <f t="shared" si="421"/>
      </c>
      <c r="BM609" s="129">
        <f>IF(H609="","",IF(COUNTIF($H$3:H609,H609)=1,MAX($BM$2:BM608)+1,""))</f>
      </c>
      <c r="BN609" s="129">
        <f>IF(I609="","",IF(COUNTIF($I$3:I609,I609)+COUNTIF($J$2:J608,I609)+COUNTIF($K$2:K608,I609)=1,MAX($BN$2:BP608)+1,""))</f>
      </c>
      <c r="BO609" s="129">
        <f>IF(J609="","",IF(COUNTIF($I$3:I609,J609)+COUNTIF($J$3:J609,J609)+COUNTIF($K$2:K608,J609)=1,MAX($BN$2:BP608,BN609)+1,""))</f>
      </c>
      <c r="BP609" s="129">
        <f>IF(K609="","",IF(COUNTIF($I$3:I609,K609)+COUNTIF($J$3:J609,K609)+COUNTIF($K$3:K609,K609)=1,MAX($BN$2:BP608,BN609,BO609)+1,""))</f>
      </c>
      <c r="BQ609" s="129">
        <f>IF(AY609=1,IFERROR(MID(Q609,FIND(" (",Q609)+2,FIND(")",Q609,FIND(" (",Q609))-FIND(" (",Q609)-2),"?"),"")</f>
      </c>
      <c r="BR609" s="129">
        <f>IF(BQ609="","",IF(COUNTIF($BQ$3:BQ609,BQ609)=1,MAX($BR$2:BR608)+1,""))</f>
      </c>
      <c r="BS609" s="129">
        <f>IF(AW609="","",COUNTIF($AW$3:AW609,"?*"))</f>
      </c>
      <c r="BT609" s="129">
        <f>IF(OR(AW609="",AI609=""),"",IF(COUNTIFS($AW$3:AW609,"?*",$AI$3:AI609,AI609)=1,MAX($BT$2:BT608)+1,""))</f>
      </c>
      <c r="BU609" s="129">
        <f>IF(AE609="",0,IF(OR(ISNUMBER(SEARCH("дубль",AE609)),ISNUMBER(SEARCH("ПЕРЕГРУЗ",AE609)),ISNUMBER(SEARCH("ЗАЩИЩ",AE609)),ISNUMBER(SEARCH("КАНАЛ",AE609)),ISNUMBER(SEARCH("без 30",AE609))),2,1))</f>
      </c>
      <c r="BV609" s="129">
        <f>IF(R609="","",COUNTIF($R$3:R609,"?*"))</f>
      </c>
      <c r="BW609" s="129">
        <f>IF(AY609&lt;&gt;1,0,IF(MAX(IFERROR(--VLOOKUP(R609,УГО_спр,5,FALSE),0),IFERROR(--VLOOKUP(AL609,УГО_спр,5,FALSE),0),IFERROR(--VLOOKUP(LEFT(AL609,2),УГО_спр,5,FALSE),0))&gt;0,MAX(IFERROR(--VLOOKUP(R609,УГО_спр,5,FALSE),0),IFERROR(--VLOOKUP(AL609,УГО_спр,5,FALSE),0),IFERROR(--VLOOKUP(LEFT(AL609,2),УГО_спр,5,FALSE),0)),IF(IFERROR(--LEFT(SUBSTITUTE(BQ609,"x","х"),FIND("х",SUBSTITUTE(BQ609,"x","х"))-1),3)&gt;3,Каталог!$S$9,1)))</f>
      </c>
      <c r="BX609" s="129">
        <f>IF(AY609&lt;&gt;1,0,MAX(0,IFERROR(--LEFT(SUBSTITUTE(BQ609,"x","х"),FIND("х",SUBSTITUTE(BQ609,"x","х"))-1),3)-3*BW609))</f>
      </c>
      <c r="BY609" s="129">
        <f>IF(R609="","",IFERROR(VLOOKUP(R609,УГО_спр,2,FALSE),IFERROR(VLOOKUP(AL609,УГО_спр,2,FALSE),IFERROR(VLOOKUP(LEFT(AL609,2),УГО_спр,2,FALSE),""))))</f>
      </c>
    </row>
    <row r="610" spans="1:64" x14ac:dyDescent="0.3">
      <c r="A610" s="135">
        <f>IF(Разбивка_по_щитам!F610=0,"",Разбивка_по_щитам!F610)</f>
        <v/>
      </c>
      <c r="B610" s="138">
        <f>IF(A610="","",Разбивка_по_щитам!C610)</f>
        <v/>
      </c>
      <c r="C610" s="138">
        <f t="shared" si="382"/>
        <v/>
      </c>
      <c r="D610" s="266"/>
      <c r="E610" s="266"/>
      <c r="F610" s="267"/>
      <c r="G610" s="145">
        <f t="shared" si="383"/>
        <v/>
      </c>
      <c r="H610" s="145">
        <f t="shared" si="384"/>
        <v/>
      </c>
      <c r="I610" s="266"/>
      <c r="J610" s="267"/>
      <c r="K610" s="267"/>
      <c r="L610" s="266"/>
      <c r="M610" s="147">
        <f t="shared" si="385"/>
        <v/>
      </c>
      <c r="N610" s="267"/>
      <c r="O610" s="147">
        <f t="shared" si="386"/>
        <v/>
      </c>
      <c r="P610" s="268">
        <f>IF(AY610=1,"XT"&amp;COUNTIFS($A$3:A610,A610,$AY$3:AY610,1),"")</f>
        <v/>
      </c>
      <c r="Q610" s="152">
        <f>IF(R610="","",IFERROR(SUBSTITUTE(Разбивка_по_щитам!P610,CHAR(10)," "),""))</f>
        <v/>
      </c>
      <c r="R610" s="153">
        <f>IF(OR(Разбивка_по_щитам!H610="",Разбивка_по_щитам!H610=0),"",Разбивка_по_щитам!H610)</f>
        <v/>
      </c>
      <c r="S610" s="154">
        <f>IF(R610="","",IFERROR(Разбивка_по_щитам!J610&amp;"",""))</f>
        <v/>
      </c>
      <c r="T610" s="155">
        <f>IF(R610="","",IFERROR(--Разбивка_по_щитам!L610,""))</f>
        <v/>
      </c>
      <c r="U610" s="155">
        <f>IF(R610="","",IFERROR(--Разбивка_по_щитам!K610,""))</f>
        <v/>
      </c>
      <c r="V610" s="138">
        <f>IF(R610="","",IFERROR(IF(Разбивка_по_щитам!M610=0,"",Разбивка_по_щитам!M610),""))</f>
        <v/>
      </c>
      <c r="W610" s="156">
        <f t="shared" si="387"/>
        <v/>
      </c>
      <c r="X610" s="157">
        <f t="shared" si="388"/>
        <v/>
      </c>
      <c r="Y610" s="266"/>
      <c r="Z610" s="158">
        <f t="shared" si="389"/>
        <v/>
      </c>
      <c r="AA610" s="160">
        <f t="shared" si="390"/>
        <v/>
      </c>
      <c r="AB610" s="160">
        <f>IF(R610="","",IFERROR(LOOKUP(INDEX(Справочная!$I$4:$I$19,MATCH(VLOOKUP(R610,Исходные_данные,22,FALSE),Справочная!$J$4:$J$19,0)+1),{6,10,16,20,25,32,40,50,63,80,100,125}),""))</f>
        <v/>
      </c>
      <c r="AC610" s="160">
        <f t="shared" si="391"/>
        <v/>
      </c>
      <c r="AD610" s="161">
        <f t="shared" si="392"/>
        <v/>
      </c>
      <c r="AE610" s="161">
        <f>IF(AND(R610="",G610=""),"",_xlfn.TEXTJOIN("; ",TRUE,IF(AND(R610&lt;&gt;"",V610=""),"нет фазы",""),IF(AND(R610&lt;&gt;"",N(T610)=0),"нет мощности",""),IF(AND(P610&lt;&gt;"",COUNTIFS($A$3:$A$1000,A610,$P$3:$P$1000,P610)&gt;1),"дубль клеммы "&amp;P610,""),IF(AND(W610&lt;&gt;"",W610&lt;&gt;"ok"),W610,""),IF(X610&lt;&gt;"",X610,""),IF(AND(ISNUMBER(SEARCH("(5х",Q610)),N(AK610)=1),"5 жил на 1 фазе",""),IF(AND(AL610="R",E610&lt;&gt;"",N(AS610)=0),"розетка без 30 мА",""),IF(IFERROR(_xlfn.NUMBERVALUE(MID(Q610,FIND("-",Q610,FIND("L=",Q610))+1,FIND("%",Q610)-FIND("-",Q610,FIND("L=",Q610))-1),","),0)&gt;4,"потери &gt; 4 %","")))</f>
      </c>
      <c r="AF610" s="129">
        <f>IF(E610&lt;&gt;"",COUNTIFS($A$3:A610,A610,$E$3:E610,"?*"),IF(OR(A610&lt;&gt;A609,Y610="вручную"),"",AF609))</f>
        <v/>
      </c>
      <c r="AG610" s="129">
        <f t="shared" si="393"/>
        <v/>
      </c>
      <c r="AH610" s="129">
        <f t="shared" si="394"/>
        <v/>
      </c>
      <c r="AI610" s="129">
        <f t="shared" si="395"/>
        <v/>
      </c>
      <c r="AJ610" s="129">
        <f t="shared" si="396"/>
        <v/>
      </c>
      <c r="AK610" s="129">
        <f t="shared" si="397"/>
        <v/>
      </c>
      <c r="AL610" s="129">
        <f t="shared" si="398"/>
        <v/>
      </c>
      <c r="AM610" s="129">
        <f t="shared" si="399"/>
      </c>
      <c r="AN610" s="129">
        <f t="shared" si="400"/>
      </c>
      <c r="AO610" s="129">
        <f t="shared" si="401"/>
        <v/>
      </c>
      <c r="AP610" s="129">
        <f t="shared" si="402"/>
        <v/>
      </c>
      <c r="AQ610" s="129">
        <f t="shared" si="403"/>
        <v/>
      </c>
      <c r="AR610" s="129">
        <f t="shared" si="404"/>
        <v/>
      </c>
      <c r="AS610" s="129">
        <f t="shared" si="405"/>
        <v/>
      </c>
      <c r="AT610" s="129">
        <f t="shared" si="406"/>
        <v/>
      </c>
      <c r="AU610" s="129">
        <f t="shared" si="407"/>
        <v/>
      </c>
      <c r="AV610" s="129">
        <f t="shared" si="408"/>
        <v/>
      </c>
      <c r="AW610" s="129">
        <f>IF(AV610="","",AV610&amp;"."&amp;COUNTIFS($A$3:A610,A610,$AV$3:AV610,AV610))</f>
        <v/>
      </c>
      <c r="AX610" s="129">
        <f t="shared" si="409"/>
        <v/>
      </c>
      <c r="AY610" s="129">
        <f>IF(N610="б/к",0,IF(OR(ISNUMBER(SEARCH("L=",Разбивка_по_щитам!P610)),N610="+",N610="="),1,0))</f>
      </c>
      <c r="AZ610" s="129">
        <f t="shared" si="410"/>
        <v/>
      </c>
      <c r="BA610" s="129">
        <f t="shared" si="411"/>
      </c>
      <c r="BB610" s="129">
        <f t="shared" si="412"/>
      </c>
      <c r="BD610" s="129">
        <f t="shared" si="413"/>
      </c>
      <c r="BE610" s="129">
        <f t="shared" si="414"/>
      </c>
      <c r="BF610" s="129">
        <f t="shared" si="415"/>
      </c>
      <c r="BG610" s="129">
        <f t="shared" si="416"/>
        <v/>
      </c>
      <c r="BH610" s="129">
        <f t="shared" si="417"/>
        <v/>
      </c>
      <c r="BI610" s="129">
        <f t="shared" si="418"/>
        <v/>
      </c>
      <c r="BJ610" s="129">
        <f t="shared" si="419"/>
        <v/>
      </c>
      <c r="BK610" s="129">
        <f>IF(R610="","",IF(OR(BY610="",BY610=0),"BOX",IFERROR(IF(VLOOKUP(BY610,УГО_блоки,3,FALSE)&amp;""&lt;&gt;"",VLOOKUP(BY610,УГО_блоки,3,FALSE),VLOOKUP(BY610,УГО_блоки,2,FALSE)),BY610)))</f>
      </c>
      <c r="BL610" s="129">
        <f t="shared" si="421"/>
      </c>
      <c r="BM610" s="129">
        <f>IF(H610="","",IF(COUNTIF($H$3:H610,H610)=1,MAX($BM$2:BM609)+1,""))</f>
      </c>
      <c r="BN610" s="129">
        <f>IF(I610="","",IF(COUNTIF($I$3:I610,I610)+COUNTIF($J$2:J609,I610)+COUNTIF($K$2:K609,I610)=1,MAX($BN$2:BP609)+1,""))</f>
      </c>
      <c r="BO610" s="129">
        <f>IF(J610="","",IF(COUNTIF($I$3:I610,J610)+COUNTIF($J$3:J610,J610)+COUNTIF($K$2:K609,J610)=1,MAX($BN$2:BP609,BN610)+1,""))</f>
      </c>
      <c r="BP610" s="129">
        <f>IF(K610="","",IF(COUNTIF($I$3:I610,K610)+COUNTIF($J$3:J610,K610)+COUNTIF($K$3:K610,K610)=1,MAX($BN$2:BP609,BN610,BO610)+1,""))</f>
      </c>
      <c r="BQ610" s="129">
        <f>IF(AY610=1,IFERROR(MID(Q610,FIND(" (",Q610)+2,FIND(")",Q610,FIND(" (",Q610))-FIND(" (",Q610)-2),"?"),"")</f>
      </c>
      <c r="BR610" s="129">
        <f>IF(BQ610="","",IF(COUNTIF($BQ$3:BQ610,BQ610)=1,MAX($BR$2:BR609)+1,""))</f>
      </c>
      <c r="BS610" s="129">
        <f>IF(AW610="","",COUNTIF($AW$3:AW610,"?*"))</f>
      </c>
      <c r="BT610" s="129">
        <f>IF(OR(AW610="",AI610=""),"",IF(COUNTIFS($AW$3:AW610,"?*",$AI$3:AI610,AI610)=1,MAX($BT$2:BT609)+1,""))</f>
      </c>
      <c r="BU610" s="129">
        <f>IF(AE610="",0,IF(OR(ISNUMBER(SEARCH("дубль",AE610)),ISNUMBER(SEARCH("ПЕРЕГРУЗ",AE610)),ISNUMBER(SEARCH("ЗАЩИЩ",AE610)),ISNUMBER(SEARCH("КАНАЛ",AE610)),ISNUMBER(SEARCH("без 30",AE610))),2,1))</f>
      </c>
      <c r="BV610" s="129">
        <f>IF(R610="","",COUNTIF($R$3:R610,"?*"))</f>
      </c>
      <c r="BW610" s="129">
        <f>IF(AY610&lt;&gt;1,0,IF(MAX(IFERROR(--VLOOKUP(R610,УГО_спр,5,FALSE),0),IFERROR(--VLOOKUP(AL610,УГО_спр,5,FALSE),0),IFERROR(--VLOOKUP(LEFT(AL610,2),УГО_спр,5,FALSE),0))&gt;0,MAX(IFERROR(--VLOOKUP(R610,УГО_спр,5,FALSE),0),IFERROR(--VLOOKUP(AL610,УГО_спр,5,FALSE),0),IFERROR(--VLOOKUP(LEFT(AL610,2),УГО_спр,5,FALSE),0)),IF(IFERROR(--LEFT(SUBSTITUTE(BQ610,"x","х"),FIND("х",SUBSTITUTE(BQ610,"x","х"))-1),3)&gt;3,Каталог!$S$9,1)))</f>
      </c>
      <c r="BX610" s="129">
        <f>IF(AY610&lt;&gt;1,0,MAX(0,IFERROR(--LEFT(SUBSTITUTE(BQ610,"x","х"),FIND("х",SUBSTITUTE(BQ610,"x","х"))-1),3)-3*BW610))</f>
      </c>
      <c r="BY610" s="129">
        <f>IF(R610="","",IFERROR(VLOOKUP(R610,УГО_спр,2,FALSE),IFERROR(VLOOKUP(AL610,УГО_спр,2,FALSE),IFERROR(VLOOKUP(LEFT(AL610,2),УГО_спр,2,FALSE),""))))</f>
      </c>
    </row>
    <row r="611" spans="1:64" x14ac:dyDescent="0.3">
      <c r="A611" s="135">
        <f>IF(Разбивка_по_щитам!F611=0,"",Разбивка_по_щитам!F611)</f>
        <v/>
      </c>
      <c r="B611" s="138">
        <f>IF(A611="","",Разбивка_по_щитам!C611)</f>
        <v/>
      </c>
      <c r="C611" s="138">
        <f t="shared" si="382"/>
        <v/>
      </c>
      <c r="D611" s="266"/>
      <c r="E611" s="266"/>
      <c r="F611" s="267"/>
      <c r="G611" s="145">
        <f t="shared" si="383"/>
        <v/>
      </c>
      <c r="H611" s="145">
        <f t="shared" si="384"/>
        <v/>
      </c>
      <c r="I611" s="266"/>
      <c r="J611" s="267"/>
      <c r="K611" s="267"/>
      <c r="L611" s="266"/>
      <c r="M611" s="147">
        <f t="shared" si="385"/>
        <v/>
      </c>
      <c r="N611" s="267"/>
      <c r="O611" s="147">
        <f t="shared" si="386"/>
        <v/>
      </c>
      <c r="P611" s="268">
        <f>IF(AY611=1,"XT"&amp;COUNTIFS($A$3:A611,A611,$AY$3:AY611,1),"")</f>
        <v/>
      </c>
      <c r="Q611" s="152">
        <f>IF(R611="","",IFERROR(SUBSTITUTE(Разбивка_по_щитам!P611,CHAR(10)," "),""))</f>
        <v/>
      </c>
      <c r="R611" s="153">
        <f>IF(OR(Разбивка_по_щитам!H611="",Разбивка_по_щитам!H611=0),"",Разбивка_по_щитам!H611)</f>
        <v/>
      </c>
      <c r="S611" s="154">
        <f>IF(R611="","",IFERROR(Разбивка_по_щитам!J611&amp;"",""))</f>
        <v/>
      </c>
      <c r="T611" s="155">
        <f>IF(R611="","",IFERROR(--Разбивка_по_щитам!L611,""))</f>
        <v/>
      </c>
      <c r="U611" s="155">
        <f>IF(R611="","",IFERROR(--Разбивка_по_щитам!K611,""))</f>
        <v/>
      </c>
      <c r="V611" s="138">
        <f>IF(R611="","",IFERROR(IF(Разбивка_по_щитам!M611=0,"",Разбивка_по_щитам!M611),""))</f>
        <v/>
      </c>
      <c r="W611" s="156">
        <f t="shared" si="387"/>
        <v/>
      </c>
      <c r="X611" s="157">
        <f t="shared" si="388"/>
        <v/>
      </c>
      <c r="Y611" s="266"/>
      <c r="Z611" s="158">
        <f t="shared" si="389"/>
        <v/>
      </c>
      <c r="AA611" s="160">
        <f t="shared" si="390"/>
        <v/>
      </c>
      <c r="AB611" s="160">
        <f>IF(R611="","",IFERROR(LOOKUP(INDEX(Справочная!$I$4:$I$19,MATCH(VLOOKUP(R611,Исходные_данные,22,FALSE),Справочная!$J$4:$J$19,0)+1),{6,10,16,20,25,32,40,50,63,80,100,125}),""))</f>
        <v/>
      </c>
      <c r="AC611" s="160">
        <f t="shared" si="391"/>
        <v/>
      </c>
      <c r="AD611" s="161">
        <f t="shared" si="392"/>
        <v/>
      </c>
      <c r="AE611" s="161">
        <f>IF(AND(R611="",G611=""),"",_xlfn.TEXTJOIN("; ",TRUE,IF(AND(R611&lt;&gt;"",V611=""),"нет фазы",""),IF(AND(R611&lt;&gt;"",N(T611)=0),"нет мощности",""),IF(AND(P611&lt;&gt;"",COUNTIFS($A$3:$A$1000,A611,$P$3:$P$1000,P611)&gt;1),"дубль клеммы "&amp;P611,""),IF(AND(W611&lt;&gt;"",W611&lt;&gt;"ok"),W611,""),IF(X611&lt;&gt;"",X611,""),IF(AND(ISNUMBER(SEARCH("(5х",Q611)),N(AK611)=1),"5 жил на 1 фазе",""),IF(AND(AL611="R",E611&lt;&gt;"",N(AS611)=0),"розетка без 30 мА",""),IF(IFERROR(_xlfn.NUMBERVALUE(MID(Q611,FIND("-",Q611,FIND("L=",Q611))+1,FIND("%",Q611)-FIND("-",Q611,FIND("L=",Q611))-1),","),0)&gt;4,"потери &gt; 4 %","")))</f>
      </c>
      <c r="AF611" s="129">
        <f>IF(E611&lt;&gt;"",COUNTIFS($A$3:A611,A611,$E$3:E611,"?*"),IF(OR(A611&lt;&gt;A610,Y611="вручную"),"",AF610))</f>
        <v/>
      </c>
      <c r="AG611" s="129">
        <f t="shared" si="393"/>
        <v/>
      </c>
      <c r="AH611" s="129">
        <f t="shared" si="394"/>
        <v/>
      </c>
      <c r="AI611" s="129">
        <f t="shared" si="395"/>
        <v/>
      </c>
      <c r="AJ611" s="129">
        <f t="shared" si="396"/>
        <v/>
      </c>
      <c r="AK611" s="129">
        <f t="shared" si="397"/>
        <v/>
      </c>
      <c r="AL611" s="129">
        <f t="shared" si="398"/>
        <v/>
      </c>
      <c r="AM611" s="129">
        <f t="shared" si="399"/>
      </c>
      <c r="AN611" s="129">
        <f t="shared" si="400"/>
      </c>
      <c r="AO611" s="129">
        <f t="shared" si="401"/>
        <v/>
      </c>
      <c r="AP611" s="129">
        <f t="shared" si="402"/>
        <v/>
      </c>
      <c r="AQ611" s="129">
        <f t="shared" si="403"/>
        <v/>
      </c>
      <c r="AR611" s="129">
        <f t="shared" si="404"/>
        <v/>
      </c>
      <c r="AS611" s="129">
        <f t="shared" si="405"/>
        <v/>
      </c>
      <c r="AT611" s="129">
        <f t="shared" si="406"/>
        <v/>
      </c>
      <c r="AU611" s="129">
        <f t="shared" si="407"/>
        <v/>
      </c>
      <c r="AV611" s="129">
        <f t="shared" si="408"/>
        <v/>
      </c>
      <c r="AW611" s="129">
        <f>IF(AV611="","",AV611&amp;"."&amp;COUNTIFS($A$3:A611,A611,$AV$3:AV611,AV611))</f>
        <v/>
      </c>
      <c r="AX611" s="129">
        <f t="shared" si="409"/>
        <v/>
      </c>
      <c r="AY611" s="129">
        <f>IF(N611="б/к",0,IF(OR(ISNUMBER(SEARCH("L=",Разбивка_по_щитам!P611)),N611="+",N611="="),1,0))</f>
      </c>
      <c r="AZ611" s="129">
        <f t="shared" si="410"/>
        <v/>
      </c>
      <c r="BA611" s="129">
        <f t="shared" si="411"/>
      </c>
      <c r="BB611" s="129">
        <f t="shared" si="412"/>
      </c>
      <c r="BD611" s="129">
        <f t="shared" si="413"/>
      </c>
      <c r="BE611" s="129">
        <f t="shared" si="414"/>
      </c>
      <c r="BF611" s="129">
        <f t="shared" si="415"/>
      </c>
      <c r="BG611" s="129">
        <f t="shared" si="416"/>
        <v/>
      </c>
      <c r="BH611" s="129">
        <f t="shared" si="417"/>
        <v/>
      </c>
      <c r="BI611" s="129">
        <f t="shared" si="418"/>
        <v/>
      </c>
      <c r="BJ611" s="129">
        <f t="shared" si="419"/>
        <v/>
      </c>
      <c r="BK611" s="129">
        <f>IF(R611="","",IF(OR(BY611="",BY611=0),"BOX",IFERROR(IF(VLOOKUP(BY611,УГО_блоки,3,FALSE)&amp;""&lt;&gt;"",VLOOKUP(BY611,УГО_блоки,3,FALSE),VLOOKUP(BY611,УГО_блоки,2,FALSE)),BY611)))</f>
      </c>
      <c r="BL611" s="129">
        <f t="shared" si="421"/>
      </c>
      <c r="BM611" s="129">
        <f>IF(H611="","",IF(COUNTIF($H$3:H611,H611)=1,MAX($BM$2:BM610)+1,""))</f>
      </c>
      <c r="BN611" s="129">
        <f>IF(I611="","",IF(COUNTIF($I$3:I611,I611)+COUNTIF($J$2:J610,I611)+COUNTIF($K$2:K610,I611)=1,MAX($BN$2:BP610)+1,""))</f>
      </c>
      <c r="BO611" s="129">
        <f>IF(J611="","",IF(COUNTIF($I$3:I611,J611)+COUNTIF($J$3:J611,J611)+COUNTIF($K$2:K610,J611)=1,MAX($BN$2:BP610,BN611)+1,""))</f>
      </c>
      <c r="BP611" s="129">
        <f>IF(K611="","",IF(COUNTIF($I$3:I611,K611)+COUNTIF($J$3:J611,K611)+COUNTIF($K$3:K611,K611)=1,MAX($BN$2:BP610,BN611,BO611)+1,""))</f>
      </c>
      <c r="BQ611" s="129">
        <f>IF(AY611=1,IFERROR(MID(Q611,FIND(" (",Q611)+2,FIND(")",Q611,FIND(" (",Q611))-FIND(" (",Q611)-2),"?"),"")</f>
      </c>
      <c r="BR611" s="129">
        <f>IF(BQ611="","",IF(COUNTIF($BQ$3:BQ611,BQ611)=1,MAX($BR$2:BR610)+1,""))</f>
      </c>
      <c r="BS611" s="129">
        <f>IF(AW611="","",COUNTIF($AW$3:AW611,"?*"))</f>
      </c>
      <c r="BT611" s="129">
        <f>IF(OR(AW611="",AI611=""),"",IF(COUNTIFS($AW$3:AW611,"?*",$AI$3:AI611,AI611)=1,MAX($BT$2:BT610)+1,""))</f>
      </c>
      <c r="BU611" s="129">
        <f>IF(AE611="",0,IF(OR(ISNUMBER(SEARCH("дубль",AE611)),ISNUMBER(SEARCH("ПЕРЕГРУЗ",AE611)),ISNUMBER(SEARCH("ЗАЩИЩ",AE611)),ISNUMBER(SEARCH("КАНАЛ",AE611)),ISNUMBER(SEARCH("без 30",AE611))),2,1))</f>
      </c>
      <c r="BV611" s="129">
        <f>IF(R611="","",COUNTIF($R$3:R611,"?*"))</f>
      </c>
      <c r="BW611" s="129">
        <f>IF(AY611&lt;&gt;1,0,IF(MAX(IFERROR(--VLOOKUP(R611,УГО_спр,5,FALSE),0),IFERROR(--VLOOKUP(AL611,УГО_спр,5,FALSE),0),IFERROR(--VLOOKUP(LEFT(AL611,2),УГО_спр,5,FALSE),0))&gt;0,MAX(IFERROR(--VLOOKUP(R611,УГО_спр,5,FALSE),0),IFERROR(--VLOOKUP(AL611,УГО_спр,5,FALSE),0),IFERROR(--VLOOKUP(LEFT(AL611,2),УГО_спр,5,FALSE),0)),IF(IFERROR(--LEFT(SUBSTITUTE(BQ611,"x","х"),FIND("х",SUBSTITUTE(BQ611,"x","х"))-1),3)&gt;3,Каталог!$S$9,1)))</f>
      </c>
      <c r="BX611" s="129">
        <f>IF(AY611&lt;&gt;1,0,MAX(0,IFERROR(--LEFT(SUBSTITUTE(BQ611,"x","х"),FIND("х",SUBSTITUTE(BQ611,"x","х"))-1),3)-3*BW611))</f>
      </c>
      <c r="BY611" s="129">
        <f>IF(R611="","",IFERROR(VLOOKUP(R611,УГО_спр,2,FALSE),IFERROR(VLOOKUP(AL611,УГО_спр,2,FALSE),IFERROR(VLOOKUP(LEFT(AL611,2),УГО_спр,2,FALSE),""))))</f>
      </c>
    </row>
    <row r="612" spans="1:64" x14ac:dyDescent="0.3">
      <c r="A612" s="135">
        <f>IF(Разбивка_по_щитам!F612=0,"",Разбивка_по_щитам!F612)</f>
        <v/>
      </c>
      <c r="B612" s="138">
        <f>IF(A612="","",Разбивка_по_щитам!C612)</f>
        <v/>
      </c>
      <c r="C612" s="138">
        <f t="shared" si="382"/>
        <v/>
      </c>
      <c r="D612" s="266"/>
      <c r="E612" s="266"/>
      <c r="F612" s="267"/>
      <c r="G612" s="145">
        <f t="shared" si="383"/>
        <v/>
      </c>
      <c r="H612" s="145">
        <f t="shared" si="384"/>
        <v/>
      </c>
      <c r="I612" s="266"/>
      <c r="J612" s="267"/>
      <c r="K612" s="267"/>
      <c r="L612" s="266"/>
      <c r="M612" s="147">
        <f t="shared" si="385"/>
        <v/>
      </c>
      <c r="N612" s="267"/>
      <c r="O612" s="147">
        <f t="shared" si="386"/>
        <v/>
      </c>
      <c r="P612" s="268">
        <f>IF(AY612=1,"XT"&amp;COUNTIFS($A$3:A612,A612,$AY$3:AY612,1),"")</f>
        <v/>
      </c>
      <c r="Q612" s="152">
        <f>IF(R612="","",IFERROR(SUBSTITUTE(Разбивка_по_щитам!P612,CHAR(10)," "),""))</f>
        <v/>
      </c>
      <c r="R612" s="153">
        <f>IF(OR(Разбивка_по_щитам!H612="",Разбивка_по_щитам!H612=0),"",Разбивка_по_щитам!H612)</f>
        <v/>
      </c>
      <c r="S612" s="154">
        <f>IF(R612="","",IFERROR(Разбивка_по_щитам!J612&amp;"",""))</f>
        <v/>
      </c>
      <c r="T612" s="155">
        <f>IF(R612="","",IFERROR(--Разбивка_по_щитам!L612,""))</f>
        <v/>
      </c>
      <c r="U612" s="155">
        <f>IF(R612="","",IFERROR(--Разбивка_по_щитам!K612,""))</f>
        <v/>
      </c>
      <c r="V612" s="138">
        <f>IF(R612="","",IFERROR(IF(Разбивка_по_щитам!M612=0,"",Разбивка_по_щитам!M612),""))</f>
        <v/>
      </c>
      <c r="W612" s="156">
        <f t="shared" si="387"/>
        <v/>
      </c>
      <c r="X612" s="157">
        <f t="shared" si="388"/>
        <v/>
      </c>
      <c r="Y612" s="266"/>
      <c r="Z612" s="158">
        <f t="shared" si="389"/>
        <v/>
      </c>
      <c r="AA612" s="160">
        <f t="shared" si="390"/>
        <v/>
      </c>
      <c r="AB612" s="160">
        <f>IF(R612="","",IFERROR(LOOKUP(INDEX(Справочная!$I$4:$I$19,MATCH(VLOOKUP(R612,Исходные_данные,22,FALSE),Справочная!$J$4:$J$19,0)+1),{6,10,16,20,25,32,40,50,63,80,100,125}),""))</f>
        <v/>
      </c>
      <c r="AC612" s="160">
        <f t="shared" si="391"/>
        <v/>
      </c>
      <c r="AD612" s="161">
        <f t="shared" si="392"/>
        <v/>
      </c>
      <c r="AE612" s="161">
        <f>IF(AND(R612="",G612=""),"",_xlfn.TEXTJOIN("; ",TRUE,IF(AND(R612&lt;&gt;"",V612=""),"нет фазы",""),IF(AND(R612&lt;&gt;"",N(T612)=0),"нет мощности",""),IF(AND(P612&lt;&gt;"",COUNTIFS($A$3:$A$1000,A612,$P$3:$P$1000,P612)&gt;1),"дубль клеммы "&amp;P612,""),IF(AND(W612&lt;&gt;"",W612&lt;&gt;"ok"),W612,""),IF(X612&lt;&gt;"",X612,""),IF(AND(ISNUMBER(SEARCH("(5х",Q612)),N(AK612)=1),"5 жил на 1 фазе",""),IF(AND(AL612="R",E612&lt;&gt;"",N(AS612)=0),"розетка без 30 мА",""),IF(IFERROR(_xlfn.NUMBERVALUE(MID(Q612,FIND("-",Q612,FIND("L=",Q612))+1,FIND("%",Q612)-FIND("-",Q612,FIND("L=",Q612))-1),","),0)&gt;4,"потери &gt; 4 %","")))</f>
      </c>
      <c r="AF612" s="129">
        <f>IF(E612&lt;&gt;"",COUNTIFS($A$3:A612,A612,$E$3:E612,"?*"),IF(OR(A612&lt;&gt;A611,Y612="вручную"),"",AF611))</f>
        <v/>
      </c>
      <c r="AG612" s="129">
        <f t="shared" si="393"/>
        <v/>
      </c>
      <c r="AH612" s="129">
        <f t="shared" si="394"/>
        <v/>
      </c>
      <c r="AI612" s="129">
        <f t="shared" si="395"/>
        <v/>
      </c>
      <c r="AJ612" s="129">
        <f t="shared" si="396"/>
        <v/>
      </c>
      <c r="AK612" s="129">
        <f t="shared" si="397"/>
        <v/>
      </c>
      <c r="AL612" s="129">
        <f t="shared" si="398"/>
        <v/>
      </c>
      <c r="AM612" s="129">
        <f t="shared" si="399"/>
      </c>
      <c r="AN612" s="129">
        <f t="shared" si="400"/>
      </c>
      <c r="AO612" s="129">
        <f t="shared" si="401"/>
        <v/>
      </c>
      <c r="AP612" s="129">
        <f t="shared" si="402"/>
        <v/>
      </c>
      <c r="AQ612" s="129">
        <f t="shared" si="403"/>
        <v/>
      </c>
      <c r="AR612" s="129">
        <f t="shared" si="404"/>
        <v/>
      </c>
      <c r="AS612" s="129">
        <f t="shared" si="405"/>
        <v/>
      </c>
      <c r="AT612" s="129">
        <f t="shared" si="406"/>
        <v/>
      </c>
      <c r="AU612" s="129">
        <f t="shared" si="407"/>
        <v/>
      </c>
      <c r="AV612" s="129">
        <f t="shared" si="408"/>
        <v/>
      </c>
      <c r="AW612" s="129">
        <f>IF(AV612="","",AV612&amp;"."&amp;COUNTIFS($A$3:A612,A612,$AV$3:AV612,AV612))</f>
        <v/>
      </c>
      <c r="AX612" s="129">
        <f t="shared" si="409"/>
        <v/>
      </c>
      <c r="AY612" s="129">
        <f>IF(N612="б/к",0,IF(OR(ISNUMBER(SEARCH("L=",Разбивка_по_щитам!P612)),N612="+",N612="="),1,0))</f>
      </c>
      <c r="AZ612" s="129">
        <f t="shared" si="410"/>
        <v/>
      </c>
      <c r="BA612" s="129">
        <f t="shared" si="411"/>
      </c>
      <c r="BB612" s="129">
        <f t="shared" si="412"/>
      </c>
      <c r="BD612" s="129">
        <f t="shared" si="413"/>
      </c>
      <c r="BE612" s="129">
        <f t="shared" si="414"/>
      </c>
      <c r="BF612" s="129">
        <f t="shared" si="415"/>
      </c>
      <c r="BG612" s="129">
        <f t="shared" si="416"/>
        <v/>
      </c>
      <c r="BH612" s="129">
        <f t="shared" si="417"/>
        <v/>
      </c>
      <c r="BI612" s="129">
        <f t="shared" si="418"/>
        <v/>
      </c>
      <c r="BJ612" s="129">
        <f t="shared" si="419"/>
        <v/>
      </c>
      <c r="BK612" s="129">
        <f>IF(R612="","",IF(OR(BY612="",BY612=0),"BOX",IFERROR(IF(VLOOKUP(BY612,УГО_блоки,3,FALSE)&amp;""&lt;&gt;"",VLOOKUP(BY612,УГО_блоки,3,FALSE),VLOOKUP(BY612,УГО_блоки,2,FALSE)),BY612)))</f>
      </c>
      <c r="BL612" s="129">
        <f t="shared" si="421"/>
      </c>
      <c r="BM612" s="129">
        <f>IF(H612="","",IF(COUNTIF($H$3:H612,H612)=1,MAX($BM$2:BM611)+1,""))</f>
      </c>
      <c r="BN612" s="129">
        <f>IF(I612="","",IF(COUNTIF($I$3:I612,I612)+COUNTIF($J$2:J611,I612)+COUNTIF($K$2:K611,I612)=1,MAX($BN$2:BP611)+1,""))</f>
      </c>
      <c r="BO612" s="129">
        <f>IF(J612="","",IF(COUNTIF($I$3:I612,J612)+COUNTIF($J$3:J612,J612)+COUNTIF($K$2:K611,J612)=1,MAX($BN$2:BP611,BN612)+1,""))</f>
      </c>
      <c r="BP612" s="129">
        <f>IF(K612="","",IF(COUNTIF($I$3:I612,K612)+COUNTIF($J$3:J612,K612)+COUNTIF($K$3:K612,K612)=1,MAX($BN$2:BP611,BN612,BO612)+1,""))</f>
      </c>
      <c r="BQ612" s="129">
        <f>IF(AY612=1,IFERROR(MID(Q612,FIND(" (",Q612)+2,FIND(")",Q612,FIND(" (",Q612))-FIND(" (",Q612)-2),"?"),"")</f>
      </c>
      <c r="BR612" s="129">
        <f>IF(BQ612="","",IF(COUNTIF($BQ$3:BQ612,BQ612)=1,MAX($BR$2:BR611)+1,""))</f>
      </c>
      <c r="BS612" s="129">
        <f>IF(AW612="","",COUNTIF($AW$3:AW612,"?*"))</f>
      </c>
      <c r="BT612" s="129">
        <f>IF(OR(AW612="",AI612=""),"",IF(COUNTIFS($AW$3:AW612,"?*",$AI$3:AI612,AI612)=1,MAX($BT$2:BT611)+1,""))</f>
      </c>
      <c r="BU612" s="129">
        <f>IF(AE612="",0,IF(OR(ISNUMBER(SEARCH("дубль",AE612)),ISNUMBER(SEARCH("ПЕРЕГРУЗ",AE612)),ISNUMBER(SEARCH("ЗАЩИЩ",AE612)),ISNUMBER(SEARCH("КАНАЛ",AE612)),ISNUMBER(SEARCH("без 30",AE612))),2,1))</f>
      </c>
      <c r="BV612" s="129">
        <f>IF(R612="","",COUNTIF($R$3:R612,"?*"))</f>
      </c>
      <c r="BW612" s="129">
        <f>IF(AY612&lt;&gt;1,0,IF(MAX(IFERROR(--VLOOKUP(R612,УГО_спр,5,FALSE),0),IFERROR(--VLOOKUP(AL612,УГО_спр,5,FALSE),0),IFERROR(--VLOOKUP(LEFT(AL612,2),УГО_спр,5,FALSE),0))&gt;0,MAX(IFERROR(--VLOOKUP(R612,УГО_спр,5,FALSE),0),IFERROR(--VLOOKUP(AL612,УГО_спр,5,FALSE),0),IFERROR(--VLOOKUP(LEFT(AL612,2),УГО_спр,5,FALSE),0)),IF(IFERROR(--LEFT(SUBSTITUTE(BQ612,"x","х"),FIND("х",SUBSTITUTE(BQ612,"x","х"))-1),3)&gt;3,Каталог!$S$9,1)))</f>
      </c>
      <c r="BX612" s="129">
        <f>IF(AY612&lt;&gt;1,0,MAX(0,IFERROR(--LEFT(SUBSTITUTE(BQ612,"x","х"),FIND("х",SUBSTITUTE(BQ612,"x","х"))-1),3)-3*BW612))</f>
      </c>
      <c r="BY612" s="129">
        <f>IF(R612="","",IFERROR(VLOOKUP(R612,УГО_спр,2,FALSE),IFERROR(VLOOKUP(AL612,УГО_спр,2,FALSE),IFERROR(VLOOKUP(LEFT(AL612,2),УГО_спр,2,FALSE),""))))</f>
      </c>
    </row>
    <row r="613" spans="1:64" x14ac:dyDescent="0.3">
      <c r="A613" s="135">
        <f>IF(Разбивка_по_щитам!F613=0,"",Разбивка_по_щитам!F613)</f>
        <v/>
      </c>
      <c r="B613" s="138">
        <f>IF(A613="","",Разбивка_по_щитам!C613)</f>
        <v/>
      </c>
      <c r="C613" s="138">
        <f t="shared" si="382"/>
        <v/>
      </c>
      <c r="D613" s="266"/>
      <c r="E613" s="266"/>
      <c r="F613" s="267"/>
      <c r="G613" s="145">
        <f t="shared" si="383"/>
        <v/>
      </c>
      <c r="H613" s="145">
        <f t="shared" si="384"/>
        <v/>
      </c>
      <c r="I613" s="266"/>
      <c r="J613" s="267"/>
      <c r="K613" s="267"/>
      <c r="L613" s="266"/>
      <c r="M613" s="147">
        <f t="shared" si="385"/>
        <v/>
      </c>
      <c r="N613" s="267"/>
      <c r="O613" s="147">
        <f t="shared" si="386"/>
        <v/>
      </c>
      <c r="P613" s="268">
        <f>IF(AY613=1,"XT"&amp;COUNTIFS($A$3:A613,A613,$AY$3:AY613,1),"")</f>
        <v/>
      </c>
      <c r="Q613" s="152">
        <f>IF(R613="","",IFERROR(SUBSTITUTE(Разбивка_по_щитам!P613,CHAR(10)," "),""))</f>
        <v/>
      </c>
      <c r="R613" s="153">
        <f>IF(OR(Разбивка_по_щитам!H613="",Разбивка_по_щитам!H613=0),"",Разбивка_по_щитам!H613)</f>
        <v/>
      </c>
      <c r="S613" s="154">
        <f>IF(R613="","",IFERROR(Разбивка_по_щитам!J613&amp;"",""))</f>
        <v/>
      </c>
      <c r="T613" s="155">
        <f>IF(R613="","",IFERROR(--Разбивка_по_щитам!L613,""))</f>
        <v/>
      </c>
      <c r="U613" s="155">
        <f>IF(R613="","",IFERROR(--Разбивка_по_щитам!K613,""))</f>
        <v/>
      </c>
      <c r="V613" s="138">
        <f>IF(R613="","",IFERROR(IF(Разбивка_по_щитам!M613=0,"",Разбивка_по_щитам!M613),""))</f>
        <v/>
      </c>
      <c r="W613" s="156">
        <f t="shared" si="387"/>
        <v/>
      </c>
      <c r="X613" s="157">
        <f t="shared" si="388"/>
        <v/>
      </c>
      <c r="Y613" s="266"/>
      <c r="Z613" s="158">
        <f t="shared" si="389"/>
        <v/>
      </c>
      <c r="AA613" s="160">
        <f t="shared" si="390"/>
        <v/>
      </c>
      <c r="AB613" s="160">
        <f>IF(R613="","",IFERROR(LOOKUP(INDEX(Справочная!$I$4:$I$19,MATCH(VLOOKUP(R613,Исходные_данные,22,FALSE),Справочная!$J$4:$J$19,0)+1),{6,10,16,20,25,32,40,50,63,80,100,125}),""))</f>
        <v/>
      </c>
      <c r="AC613" s="160">
        <f t="shared" si="391"/>
        <v/>
      </c>
      <c r="AD613" s="161">
        <f t="shared" si="392"/>
        <v/>
      </c>
      <c r="AE613" s="161">
        <f>IF(AND(R613="",G613=""),"",_xlfn.TEXTJOIN("; ",TRUE,IF(AND(R613&lt;&gt;"",V613=""),"нет фазы",""),IF(AND(R613&lt;&gt;"",N(T613)=0),"нет мощности",""),IF(AND(P613&lt;&gt;"",COUNTIFS($A$3:$A$1000,A613,$P$3:$P$1000,P613)&gt;1),"дубль клеммы "&amp;P613,""),IF(AND(W613&lt;&gt;"",W613&lt;&gt;"ok"),W613,""),IF(X613&lt;&gt;"",X613,""),IF(AND(ISNUMBER(SEARCH("(5х",Q613)),N(AK613)=1),"5 жил на 1 фазе",""),IF(AND(AL613="R",E613&lt;&gt;"",N(AS613)=0),"розетка без 30 мА",""),IF(IFERROR(_xlfn.NUMBERVALUE(MID(Q613,FIND("-",Q613,FIND("L=",Q613))+1,FIND("%",Q613)-FIND("-",Q613,FIND("L=",Q613))-1),","),0)&gt;4,"потери &gt; 4 %","")))</f>
      </c>
      <c r="AF613" s="129">
        <f>IF(E613&lt;&gt;"",COUNTIFS($A$3:A613,A613,$E$3:E613,"?*"),IF(OR(A613&lt;&gt;A612,Y613="вручную"),"",AF612))</f>
        <v/>
      </c>
      <c r="AG613" s="129">
        <f t="shared" si="393"/>
        <v/>
      </c>
      <c r="AH613" s="129">
        <f t="shared" si="394"/>
        <v/>
      </c>
      <c r="AI613" s="129">
        <f t="shared" si="395"/>
        <v/>
      </c>
      <c r="AJ613" s="129">
        <f t="shared" si="396"/>
        <v/>
      </c>
      <c r="AK613" s="129">
        <f t="shared" si="397"/>
        <v/>
      </c>
      <c r="AL613" s="129">
        <f t="shared" si="398"/>
        <v/>
      </c>
      <c r="AM613" s="129">
        <f t="shared" si="399"/>
      </c>
      <c r="AN613" s="129">
        <f t="shared" si="400"/>
      </c>
      <c r="AO613" s="129">
        <f t="shared" si="401"/>
        <v/>
      </c>
      <c r="AP613" s="129">
        <f t="shared" si="402"/>
        <v/>
      </c>
      <c r="AQ613" s="129">
        <f t="shared" si="403"/>
        <v/>
      </c>
      <c r="AR613" s="129">
        <f t="shared" si="404"/>
        <v/>
      </c>
      <c r="AS613" s="129">
        <f t="shared" si="405"/>
        <v/>
      </c>
      <c r="AT613" s="129">
        <f t="shared" si="406"/>
        <v/>
      </c>
      <c r="AU613" s="129">
        <f t="shared" si="407"/>
        <v/>
      </c>
      <c r="AV613" s="129">
        <f t="shared" si="408"/>
        <v/>
      </c>
      <c r="AW613" s="129">
        <f>IF(AV613="","",AV613&amp;"."&amp;COUNTIFS($A$3:A613,A613,$AV$3:AV613,AV613))</f>
        <v/>
      </c>
      <c r="AX613" s="129">
        <f t="shared" si="409"/>
        <v/>
      </c>
      <c r="AY613" s="129">
        <f>IF(N613="б/к",0,IF(OR(ISNUMBER(SEARCH("L=",Разбивка_по_щитам!P613)),N613="+",N613="="),1,0))</f>
      </c>
      <c r="AZ613" s="129">
        <f t="shared" si="410"/>
        <v/>
      </c>
      <c r="BA613" s="129">
        <f t="shared" si="411"/>
      </c>
      <c r="BB613" s="129">
        <f t="shared" si="412"/>
      </c>
      <c r="BD613" s="129">
        <f t="shared" si="413"/>
      </c>
      <c r="BE613" s="129">
        <f t="shared" si="414"/>
      </c>
      <c r="BF613" s="129">
        <f t="shared" si="415"/>
      </c>
      <c r="BG613" s="129">
        <f t="shared" si="416"/>
        <v/>
      </c>
      <c r="BH613" s="129">
        <f t="shared" si="417"/>
        <v/>
      </c>
      <c r="BI613" s="129">
        <f t="shared" si="418"/>
        <v/>
      </c>
      <c r="BJ613" s="129">
        <f t="shared" si="419"/>
        <v/>
      </c>
      <c r="BK613" s="129">
        <f>IF(R613="","",IF(OR(BY613="",BY613=0),"BOX",IFERROR(IF(VLOOKUP(BY613,УГО_блоки,3,FALSE)&amp;""&lt;&gt;"",VLOOKUP(BY613,УГО_блоки,3,FALSE),VLOOKUP(BY613,УГО_блоки,2,FALSE)),BY613)))</f>
      </c>
      <c r="BL613" s="129">
        <f t="shared" si="421"/>
      </c>
      <c r="BM613" s="129">
        <f>IF(H613="","",IF(COUNTIF($H$3:H613,H613)=1,MAX($BM$2:BM612)+1,""))</f>
      </c>
      <c r="BN613" s="129">
        <f>IF(I613="","",IF(COUNTIF($I$3:I613,I613)+COUNTIF($J$2:J612,I613)+COUNTIF($K$2:K612,I613)=1,MAX($BN$2:BP612)+1,""))</f>
      </c>
      <c r="BO613" s="129">
        <f>IF(J613="","",IF(COUNTIF($I$3:I613,J613)+COUNTIF($J$3:J613,J613)+COUNTIF($K$2:K612,J613)=1,MAX($BN$2:BP612,BN613)+1,""))</f>
      </c>
      <c r="BP613" s="129">
        <f>IF(K613="","",IF(COUNTIF($I$3:I613,K613)+COUNTIF($J$3:J613,K613)+COUNTIF($K$3:K613,K613)=1,MAX($BN$2:BP612,BN613,BO613)+1,""))</f>
      </c>
      <c r="BQ613" s="129">
        <f>IF(AY613=1,IFERROR(MID(Q613,FIND(" (",Q613)+2,FIND(")",Q613,FIND(" (",Q613))-FIND(" (",Q613)-2),"?"),"")</f>
      </c>
      <c r="BR613" s="129">
        <f>IF(BQ613="","",IF(COUNTIF($BQ$3:BQ613,BQ613)=1,MAX($BR$2:BR612)+1,""))</f>
      </c>
      <c r="BS613" s="129">
        <f>IF(AW613="","",COUNTIF($AW$3:AW613,"?*"))</f>
      </c>
      <c r="BT613" s="129">
        <f>IF(OR(AW613="",AI613=""),"",IF(COUNTIFS($AW$3:AW613,"?*",$AI$3:AI613,AI613)=1,MAX($BT$2:BT612)+1,""))</f>
      </c>
      <c r="BU613" s="129">
        <f>IF(AE613="",0,IF(OR(ISNUMBER(SEARCH("дубль",AE613)),ISNUMBER(SEARCH("ПЕРЕГРУЗ",AE613)),ISNUMBER(SEARCH("ЗАЩИЩ",AE613)),ISNUMBER(SEARCH("КАНАЛ",AE613)),ISNUMBER(SEARCH("без 30",AE613))),2,1))</f>
      </c>
      <c r="BV613" s="129">
        <f>IF(R613="","",COUNTIF($R$3:R613,"?*"))</f>
      </c>
      <c r="BW613" s="129">
        <f>IF(AY613&lt;&gt;1,0,IF(MAX(IFERROR(--VLOOKUP(R613,УГО_спр,5,FALSE),0),IFERROR(--VLOOKUP(AL613,УГО_спр,5,FALSE),0),IFERROR(--VLOOKUP(LEFT(AL613,2),УГО_спр,5,FALSE),0))&gt;0,MAX(IFERROR(--VLOOKUP(R613,УГО_спр,5,FALSE),0),IFERROR(--VLOOKUP(AL613,УГО_спр,5,FALSE),0),IFERROR(--VLOOKUP(LEFT(AL613,2),УГО_спр,5,FALSE),0)),IF(IFERROR(--LEFT(SUBSTITUTE(BQ613,"x","х"),FIND("х",SUBSTITUTE(BQ613,"x","х"))-1),3)&gt;3,Каталог!$S$9,1)))</f>
      </c>
      <c r="BX613" s="129">
        <f>IF(AY613&lt;&gt;1,0,MAX(0,IFERROR(--LEFT(SUBSTITUTE(BQ613,"x","х"),FIND("х",SUBSTITUTE(BQ613,"x","х"))-1),3)-3*BW613))</f>
      </c>
      <c r="BY613" s="129">
        <f>IF(R613="","",IFERROR(VLOOKUP(R613,УГО_спр,2,FALSE),IFERROR(VLOOKUP(AL613,УГО_спр,2,FALSE),IFERROR(VLOOKUP(LEFT(AL613,2),УГО_спр,2,FALSE),""))))</f>
      </c>
    </row>
    <row r="614" spans="1:64" x14ac:dyDescent="0.3">
      <c r="A614" s="135">
        <f>IF(Разбивка_по_щитам!F614=0,"",Разбивка_по_щитам!F614)</f>
        <v/>
      </c>
      <c r="B614" s="138">
        <f>IF(A614="","",Разбивка_по_щитам!C614)</f>
        <v/>
      </c>
      <c r="C614" s="138">
        <f t="shared" si="382"/>
        <v/>
      </c>
      <c r="D614" s="266"/>
      <c r="E614" s="266"/>
      <c r="F614" s="267"/>
      <c r="G614" s="145">
        <f t="shared" si="383"/>
        <v/>
      </c>
      <c r="H614" s="145">
        <f t="shared" si="384"/>
        <v/>
      </c>
      <c r="I614" s="266"/>
      <c r="J614" s="267"/>
      <c r="K614" s="267"/>
      <c r="L614" s="266"/>
      <c r="M614" s="147">
        <f t="shared" si="385"/>
        <v/>
      </c>
      <c r="N614" s="267"/>
      <c r="O614" s="147">
        <f t="shared" si="386"/>
        <v/>
      </c>
      <c r="P614" s="268">
        <f>IF(AY614=1,"XT"&amp;COUNTIFS($A$3:A614,A614,$AY$3:AY614,1),"")</f>
        <v/>
      </c>
      <c r="Q614" s="152">
        <f>IF(R614="","",IFERROR(SUBSTITUTE(Разбивка_по_щитам!P614,CHAR(10)," "),""))</f>
        <v/>
      </c>
      <c r="R614" s="153">
        <f>IF(OR(Разбивка_по_щитам!H614="",Разбивка_по_щитам!H614=0),"",Разбивка_по_щитам!H614)</f>
        <v/>
      </c>
      <c r="S614" s="154">
        <f>IF(R614="","",IFERROR(Разбивка_по_щитам!J614&amp;"",""))</f>
        <v/>
      </c>
      <c r="T614" s="155">
        <f>IF(R614="","",IFERROR(--Разбивка_по_щитам!L614,""))</f>
        <v/>
      </c>
      <c r="U614" s="155">
        <f>IF(R614="","",IFERROR(--Разбивка_по_щитам!K614,""))</f>
        <v/>
      </c>
      <c r="V614" s="138">
        <f>IF(R614="","",IFERROR(IF(Разбивка_по_щитам!M614=0,"",Разбивка_по_щитам!M614),""))</f>
        <v/>
      </c>
      <c r="W614" s="156">
        <f t="shared" si="387"/>
        <v/>
      </c>
      <c r="X614" s="157">
        <f t="shared" si="388"/>
        <v/>
      </c>
      <c r="Y614" s="266"/>
      <c r="Z614" s="158">
        <f t="shared" si="389"/>
        <v/>
      </c>
      <c r="AA614" s="160">
        <f t="shared" si="390"/>
        <v/>
      </c>
      <c r="AB614" s="160">
        <f>IF(R614="","",IFERROR(LOOKUP(INDEX(Справочная!$I$4:$I$19,MATCH(VLOOKUP(R614,Исходные_данные,22,FALSE),Справочная!$J$4:$J$19,0)+1),{6,10,16,20,25,32,40,50,63,80,100,125}),""))</f>
        <v/>
      </c>
      <c r="AC614" s="160">
        <f t="shared" si="391"/>
        <v/>
      </c>
      <c r="AD614" s="161">
        <f t="shared" si="392"/>
        <v/>
      </c>
      <c r="AE614" s="161">
        <f>IF(AND(R614="",G614=""),"",_xlfn.TEXTJOIN("; ",TRUE,IF(AND(R614&lt;&gt;"",V614=""),"нет фазы",""),IF(AND(R614&lt;&gt;"",N(T614)=0),"нет мощности",""),IF(AND(P614&lt;&gt;"",COUNTIFS($A$3:$A$1000,A614,$P$3:$P$1000,P614)&gt;1),"дубль клеммы "&amp;P614,""),IF(AND(W614&lt;&gt;"",W614&lt;&gt;"ok"),W614,""),IF(X614&lt;&gt;"",X614,""),IF(AND(ISNUMBER(SEARCH("(5х",Q614)),N(AK614)=1),"5 жил на 1 фазе",""),IF(AND(AL614="R",E614&lt;&gt;"",N(AS614)=0),"розетка без 30 мА",""),IF(IFERROR(_xlfn.NUMBERVALUE(MID(Q614,FIND("-",Q614,FIND("L=",Q614))+1,FIND("%",Q614)-FIND("-",Q614,FIND("L=",Q614))-1),","),0)&gt;4,"потери &gt; 4 %","")))</f>
      </c>
      <c r="AF614" s="129">
        <f>IF(E614&lt;&gt;"",COUNTIFS($A$3:A614,A614,$E$3:E614,"?*"),IF(OR(A614&lt;&gt;A613,Y614="вручную"),"",AF613))</f>
        <v/>
      </c>
      <c r="AG614" s="129">
        <f t="shared" si="393"/>
        <v/>
      </c>
      <c r="AH614" s="129">
        <f t="shared" si="394"/>
        <v/>
      </c>
      <c r="AI614" s="129">
        <f t="shared" si="395"/>
        <v/>
      </c>
      <c r="AJ614" s="129">
        <f t="shared" si="396"/>
        <v/>
      </c>
      <c r="AK614" s="129">
        <f t="shared" si="397"/>
        <v/>
      </c>
      <c r="AL614" s="129">
        <f t="shared" si="398"/>
        <v/>
      </c>
      <c r="AM614" s="129">
        <f t="shared" si="399"/>
      </c>
      <c r="AN614" s="129">
        <f t="shared" si="400"/>
      </c>
      <c r="AO614" s="129">
        <f t="shared" si="401"/>
        <v/>
      </c>
      <c r="AP614" s="129">
        <f t="shared" si="402"/>
        <v/>
      </c>
      <c r="AQ614" s="129">
        <f t="shared" si="403"/>
        <v/>
      </c>
      <c r="AR614" s="129">
        <f t="shared" si="404"/>
        <v/>
      </c>
      <c r="AS614" s="129">
        <f t="shared" si="405"/>
        <v/>
      </c>
      <c r="AT614" s="129">
        <f t="shared" si="406"/>
        <v/>
      </c>
      <c r="AU614" s="129">
        <f t="shared" si="407"/>
        <v/>
      </c>
      <c r="AV614" s="129">
        <f t="shared" si="408"/>
        <v/>
      </c>
      <c r="AW614" s="129">
        <f>IF(AV614="","",AV614&amp;"."&amp;COUNTIFS($A$3:A614,A614,$AV$3:AV614,AV614))</f>
        <v/>
      </c>
      <c r="AX614" s="129">
        <f t="shared" si="409"/>
        <v/>
      </c>
      <c r="AY614" s="129">
        <f>IF(N614="б/к",0,IF(OR(ISNUMBER(SEARCH("L=",Разбивка_по_щитам!P614)),N614="+",N614="="),1,0))</f>
      </c>
      <c r="AZ614" s="129">
        <f t="shared" si="410"/>
        <v/>
      </c>
      <c r="BA614" s="129">
        <f t="shared" si="411"/>
      </c>
      <c r="BB614" s="129">
        <f t="shared" si="412"/>
      </c>
      <c r="BD614" s="129">
        <f t="shared" si="413"/>
      </c>
      <c r="BE614" s="129">
        <f t="shared" si="414"/>
      </c>
      <c r="BF614" s="129">
        <f t="shared" si="415"/>
      </c>
      <c r="BG614" s="129">
        <f t="shared" si="416"/>
        <v/>
      </c>
      <c r="BH614" s="129">
        <f t="shared" si="417"/>
        <v/>
      </c>
      <c r="BI614" s="129">
        <f t="shared" si="418"/>
        <v/>
      </c>
      <c r="BJ614" s="129">
        <f t="shared" si="419"/>
        <v/>
      </c>
      <c r="BK614" s="129">
        <f>IF(R614="","",IF(OR(BY614="",BY614=0),"BOX",IFERROR(IF(VLOOKUP(BY614,УГО_блоки,3,FALSE)&amp;""&lt;&gt;"",VLOOKUP(BY614,УГО_блоки,3,FALSE),VLOOKUP(BY614,УГО_блоки,2,FALSE)),BY614)))</f>
      </c>
      <c r="BL614" s="129">
        <f t="shared" si="421"/>
      </c>
      <c r="BM614" s="129">
        <f>IF(H614="","",IF(COUNTIF($H$3:H614,H614)=1,MAX($BM$2:BM613)+1,""))</f>
      </c>
      <c r="BN614" s="129">
        <f>IF(I614="","",IF(COUNTIF($I$3:I614,I614)+COUNTIF($J$2:J613,I614)+COUNTIF($K$2:K613,I614)=1,MAX($BN$2:BP613)+1,""))</f>
      </c>
      <c r="BO614" s="129">
        <f>IF(J614="","",IF(COUNTIF($I$3:I614,J614)+COUNTIF($J$3:J614,J614)+COUNTIF($K$2:K613,J614)=1,MAX($BN$2:BP613,BN614)+1,""))</f>
      </c>
      <c r="BP614" s="129">
        <f>IF(K614="","",IF(COUNTIF($I$3:I614,K614)+COUNTIF($J$3:J614,K614)+COUNTIF($K$3:K614,K614)=1,MAX($BN$2:BP613,BN614,BO614)+1,""))</f>
      </c>
      <c r="BQ614" s="129">
        <f>IF(AY614=1,IFERROR(MID(Q614,FIND(" (",Q614)+2,FIND(")",Q614,FIND(" (",Q614))-FIND(" (",Q614)-2),"?"),"")</f>
      </c>
      <c r="BR614" s="129">
        <f>IF(BQ614="","",IF(COUNTIF($BQ$3:BQ614,BQ614)=1,MAX($BR$2:BR613)+1,""))</f>
      </c>
      <c r="BS614" s="129">
        <f>IF(AW614="","",COUNTIF($AW$3:AW614,"?*"))</f>
      </c>
      <c r="BT614" s="129">
        <f>IF(OR(AW614="",AI614=""),"",IF(COUNTIFS($AW$3:AW614,"?*",$AI$3:AI614,AI614)=1,MAX($BT$2:BT613)+1,""))</f>
      </c>
      <c r="BU614" s="129">
        <f>IF(AE614="",0,IF(OR(ISNUMBER(SEARCH("дубль",AE614)),ISNUMBER(SEARCH("ПЕРЕГРУЗ",AE614)),ISNUMBER(SEARCH("ЗАЩИЩ",AE614)),ISNUMBER(SEARCH("КАНАЛ",AE614)),ISNUMBER(SEARCH("без 30",AE614))),2,1))</f>
      </c>
      <c r="BV614" s="129">
        <f>IF(R614="","",COUNTIF($R$3:R614,"?*"))</f>
      </c>
      <c r="BW614" s="129">
        <f>IF(AY614&lt;&gt;1,0,IF(MAX(IFERROR(--VLOOKUP(R614,УГО_спр,5,FALSE),0),IFERROR(--VLOOKUP(AL614,УГО_спр,5,FALSE),0),IFERROR(--VLOOKUP(LEFT(AL614,2),УГО_спр,5,FALSE),0))&gt;0,MAX(IFERROR(--VLOOKUP(R614,УГО_спр,5,FALSE),0),IFERROR(--VLOOKUP(AL614,УГО_спр,5,FALSE),0),IFERROR(--VLOOKUP(LEFT(AL614,2),УГО_спр,5,FALSE),0)),IF(IFERROR(--LEFT(SUBSTITUTE(BQ614,"x","х"),FIND("х",SUBSTITUTE(BQ614,"x","х"))-1),3)&gt;3,Каталог!$S$9,1)))</f>
      </c>
      <c r="BX614" s="129">
        <f>IF(AY614&lt;&gt;1,0,MAX(0,IFERROR(--LEFT(SUBSTITUTE(BQ614,"x","х"),FIND("х",SUBSTITUTE(BQ614,"x","х"))-1),3)-3*BW614))</f>
      </c>
      <c r="BY614" s="129">
        <f>IF(R614="","",IFERROR(VLOOKUP(R614,УГО_спр,2,FALSE),IFERROR(VLOOKUP(AL614,УГО_спр,2,FALSE),IFERROR(VLOOKUP(LEFT(AL614,2),УГО_спр,2,FALSE),""))))</f>
      </c>
    </row>
    <row r="615" spans="1:64" x14ac:dyDescent="0.3">
      <c r="A615" s="135">
        <f>IF(Разбивка_по_щитам!F615=0,"",Разбивка_по_щитам!F615)</f>
        <v/>
      </c>
      <c r="B615" s="138">
        <f>IF(A615="","",Разбивка_по_щитам!C615)</f>
        <v/>
      </c>
      <c r="C615" s="138">
        <f t="shared" si="382"/>
        <v/>
      </c>
      <c r="D615" s="266"/>
      <c r="E615" s="266"/>
      <c r="F615" s="267"/>
      <c r="G615" s="145">
        <f t="shared" si="383"/>
        <v/>
      </c>
      <c r="H615" s="145">
        <f t="shared" si="384"/>
        <v/>
      </c>
      <c r="I615" s="266"/>
      <c r="J615" s="267"/>
      <c r="K615" s="267"/>
      <c r="L615" s="266"/>
      <c r="M615" s="147">
        <f t="shared" si="385"/>
        <v/>
      </c>
      <c r="N615" s="267"/>
      <c r="O615" s="147">
        <f t="shared" si="386"/>
        <v/>
      </c>
      <c r="P615" s="268">
        <f>IF(AY615=1,"XT"&amp;COUNTIFS($A$3:A615,A615,$AY$3:AY615,1),"")</f>
        <v/>
      </c>
      <c r="Q615" s="152">
        <f>IF(R615="","",IFERROR(SUBSTITUTE(Разбивка_по_щитам!P615,CHAR(10)," "),""))</f>
        <v/>
      </c>
      <c r="R615" s="153">
        <f>IF(OR(Разбивка_по_щитам!H615="",Разбивка_по_щитам!H615=0),"",Разбивка_по_щитам!H615)</f>
        <v/>
      </c>
      <c r="S615" s="154">
        <f>IF(R615="","",IFERROR(Разбивка_по_щитам!J615&amp;"",""))</f>
        <v/>
      </c>
      <c r="T615" s="155">
        <f>IF(R615="","",IFERROR(--Разбивка_по_щитам!L615,""))</f>
        <v/>
      </c>
      <c r="U615" s="155">
        <f>IF(R615="","",IFERROR(--Разбивка_по_щитам!K615,""))</f>
        <v/>
      </c>
      <c r="V615" s="138">
        <f>IF(R615="","",IFERROR(IF(Разбивка_по_щитам!M615=0,"",Разбивка_по_щитам!M615),""))</f>
        <v/>
      </c>
      <c r="W615" s="156">
        <f t="shared" si="387"/>
        <v/>
      </c>
      <c r="X615" s="157">
        <f t="shared" si="388"/>
        <v/>
      </c>
      <c r="Y615" s="266"/>
      <c r="Z615" s="158">
        <f t="shared" si="389"/>
        <v/>
      </c>
      <c r="AA615" s="160">
        <f t="shared" si="390"/>
        <v/>
      </c>
      <c r="AB615" s="160">
        <f>IF(R615="","",IFERROR(LOOKUP(INDEX(Справочная!$I$4:$I$19,MATCH(VLOOKUP(R615,Исходные_данные,22,FALSE),Справочная!$J$4:$J$19,0)+1),{6,10,16,20,25,32,40,50,63,80,100,125}),""))</f>
        <v/>
      </c>
      <c r="AC615" s="160">
        <f t="shared" si="391"/>
        <v/>
      </c>
      <c r="AD615" s="161">
        <f t="shared" si="392"/>
        <v/>
      </c>
      <c r="AE615" s="161">
        <f>IF(AND(R615="",G615=""),"",_xlfn.TEXTJOIN("; ",TRUE,IF(AND(R615&lt;&gt;"",V615=""),"нет фазы",""),IF(AND(R615&lt;&gt;"",N(T615)=0),"нет мощности",""),IF(AND(P615&lt;&gt;"",COUNTIFS($A$3:$A$1000,A615,$P$3:$P$1000,P615)&gt;1),"дубль клеммы "&amp;P615,""),IF(AND(W615&lt;&gt;"",W615&lt;&gt;"ok"),W615,""),IF(X615&lt;&gt;"",X615,""),IF(AND(ISNUMBER(SEARCH("(5х",Q615)),N(AK615)=1),"5 жил на 1 фазе",""),IF(AND(AL615="R",E615&lt;&gt;"",N(AS615)=0),"розетка без 30 мА",""),IF(IFERROR(_xlfn.NUMBERVALUE(MID(Q615,FIND("-",Q615,FIND("L=",Q615))+1,FIND("%",Q615)-FIND("-",Q615,FIND("L=",Q615))-1),","),0)&gt;4,"потери &gt; 4 %","")))</f>
      </c>
      <c r="AF615" s="129">
        <f>IF(E615&lt;&gt;"",COUNTIFS($A$3:A615,A615,$E$3:E615,"?*"),IF(OR(A615&lt;&gt;A614,Y615="вручную"),"",AF614))</f>
        <v/>
      </c>
      <c r="AG615" s="129">
        <f t="shared" si="393"/>
        <v/>
      </c>
      <c r="AH615" s="129">
        <f t="shared" si="394"/>
        <v/>
      </c>
      <c r="AI615" s="129">
        <f t="shared" si="395"/>
        <v/>
      </c>
      <c r="AJ615" s="129">
        <f t="shared" si="396"/>
        <v/>
      </c>
      <c r="AK615" s="129">
        <f t="shared" si="397"/>
        <v/>
      </c>
      <c r="AL615" s="129">
        <f t="shared" si="398"/>
        <v/>
      </c>
      <c r="AM615" s="129">
        <f t="shared" si="399"/>
      </c>
      <c r="AN615" s="129">
        <f t="shared" si="400"/>
      </c>
      <c r="AO615" s="129">
        <f t="shared" si="401"/>
        <v/>
      </c>
      <c r="AP615" s="129">
        <f t="shared" si="402"/>
        <v/>
      </c>
      <c r="AQ615" s="129">
        <f t="shared" si="403"/>
        <v/>
      </c>
      <c r="AR615" s="129">
        <f t="shared" si="404"/>
        <v/>
      </c>
      <c r="AS615" s="129">
        <f t="shared" si="405"/>
        <v/>
      </c>
      <c r="AT615" s="129">
        <f t="shared" si="406"/>
        <v/>
      </c>
      <c r="AU615" s="129">
        <f t="shared" si="407"/>
        <v/>
      </c>
      <c r="AV615" s="129">
        <f t="shared" si="408"/>
        <v/>
      </c>
      <c r="AW615" s="129">
        <f>IF(AV615="","",AV615&amp;"."&amp;COUNTIFS($A$3:A615,A615,$AV$3:AV615,AV615))</f>
        <v/>
      </c>
      <c r="AX615" s="129">
        <f t="shared" si="409"/>
        <v/>
      </c>
      <c r="AY615" s="129">
        <f>IF(N615="б/к",0,IF(OR(ISNUMBER(SEARCH("L=",Разбивка_по_щитам!P615)),N615="+",N615="="),1,0))</f>
      </c>
      <c r="AZ615" s="129">
        <f t="shared" si="410"/>
        <v/>
      </c>
      <c r="BA615" s="129">
        <f t="shared" si="411"/>
      </c>
      <c r="BB615" s="129">
        <f t="shared" si="412"/>
      </c>
      <c r="BD615" s="129">
        <f t="shared" si="413"/>
      </c>
      <c r="BE615" s="129">
        <f t="shared" si="414"/>
      </c>
      <c r="BF615" s="129">
        <f t="shared" si="415"/>
      </c>
      <c r="BG615" s="129">
        <f t="shared" si="416"/>
        <v/>
      </c>
      <c r="BH615" s="129">
        <f t="shared" si="417"/>
        <v/>
      </c>
      <c r="BI615" s="129">
        <f t="shared" si="418"/>
        <v/>
      </c>
      <c r="BJ615" s="129">
        <f t="shared" si="419"/>
        <v/>
      </c>
      <c r="BK615" s="129">
        <f>IF(R615="","",IF(OR(BY615="",BY615=0),"BOX",IFERROR(IF(VLOOKUP(BY615,УГО_блоки,3,FALSE)&amp;""&lt;&gt;"",VLOOKUP(BY615,УГО_блоки,3,FALSE),VLOOKUP(BY615,УГО_блоки,2,FALSE)),BY615)))</f>
      </c>
      <c r="BL615" s="129">
        <f t="shared" si="421"/>
      </c>
      <c r="BM615" s="129">
        <f>IF(H615="","",IF(COUNTIF($H$3:H615,H615)=1,MAX($BM$2:BM614)+1,""))</f>
      </c>
      <c r="BN615" s="129">
        <f>IF(I615="","",IF(COUNTIF($I$3:I615,I615)+COUNTIF($J$2:J614,I615)+COUNTIF($K$2:K614,I615)=1,MAX($BN$2:BP614)+1,""))</f>
      </c>
      <c r="BO615" s="129">
        <f>IF(J615="","",IF(COUNTIF($I$3:I615,J615)+COUNTIF($J$3:J615,J615)+COUNTIF($K$2:K614,J615)=1,MAX($BN$2:BP614,BN615)+1,""))</f>
      </c>
      <c r="BP615" s="129">
        <f>IF(K615="","",IF(COUNTIF($I$3:I615,K615)+COUNTIF($J$3:J615,K615)+COUNTIF($K$3:K615,K615)=1,MAX($BN$2:BP614,BN615,BO615)+1,""))</f>
      </c>
      <c r="BQ615" s="129">
        <f>IF(AY615=1,IFERROR(MID(Q615,FIND(" (",Q615)+2,FIND(")",Q615,FIND(" (",Q615))-FIND(" (",Q615)-2),"?"),"")</f>
      </c>
      <c r="BR615" s="129">
        <f>IF(BQ615="","",IF(COUNTIF($BQ$3:BQ615,BQ615)=1,MAX($BR$2:BR614)+1,""))</f>
      </c>
      <c r="BS615" s="129">
        <f>IF(AW615="","",COUNTIF($AW$3:AW615,"?*"))</f>
      </c>
      <c r="BT615" s="129">
        <f>IF(OR(AW615="",AI615=""),"",IF(COUNTIFS($AW$3:AW615,"?*",$AI$3:AI615,AI615)=1,MAX($BT$2:BT614)+1,""))</f>
      </c>
      <c r="BU615" s="129">
        <f>IF(AE615="",0,IF(OR(ISNUMBER(SEARCH("дубль",AE615)),ISNUMBER(SEARCH("ПЕРЕГРУЗ",AE615)),ISNUMBER(SEARCH("ЗАЩИЩ",AE615)),ISNUMBER(SEARCH("КАНАЛ",AE615)),ISNUMBER(SEARCH("без 30",AE615))),2,1))</f>
      </c>
      <c r="BV615" s="129">
        <f>IF(R615="","",COUNTIF($R$3:R615,"?*"))</f>
      </c>
      <c r="BW615" s="129">
        <f>IF(AY615&lt;&gt;1,0,IF(MAX(IFERROR(--VLOOKUP(R615,УГО_спр,5,FALSE),0),IFERROR(--VLOOKUP(AL615,УГО_спр,5,FALSE),0),IFERROR(--VLOOKUP(LEFT(AL615,2),УГО_спр,5,FALSE),0))&gt;0,MAX(IFERROR(--VLOOKUP(R615,УГО_спр,5,FALSE),0),IFERROR(--VLOOKUP(AL615,УГО_спр,5,FALSE),0),IFERROR(--VLOOKUP(LEFT(AL615,2),УГО_спр,5,FALSE),0)),IF(IFERROR(--LEFT(SUBSTITUTE(BQ615,"x","х"),FIND("х",SUBSTITUTE(BQ615,"x","х"))-1),3)&gt;3,Каталог!$S$9,1)))</f>
      </c>
      <c r="BX615" s="129">
        <f>IF(AY615&lt;&gt;1,0,MAX(0,IFERROR(--LEFT(SUBSTITUTE(BQ615,"x","х"),FIND("х",SUBSTITUTE(BQ615,"x","х"))-1),3)-3*BW615))</f>
      </c>
      <c r="BY615" s="129">
        <f>IF(R615="","",IFERROR(VLOOKUP(R615,УГО_спр,2,FALSE),IFERROR(VLOOKUP(AL615,УГО_спр,2,FALSE),IFERROR(VLOOKUP(LEFT(AL615,2),УГО_спр,2,FALSE),""))))</f>
      </c>
    </row>
    <row r="616" spans="1:64" x14ac:dyDescent="0.3">
      <c r="A616" s="135">
        <f>IF(Разбивка_по_щитам!F616=0,"",Разбивка_по_щитам!F616)</f>
        <v/>
      </c>
      <c r="B616" s="138">
        <f>IF(A616="","",Разбивка_по_щитам!C616)</f>
        <v/>
      </c>
      <c r="C616" s="138">
        <f t="shared" si="382"/>
        <v/>
      </c>
      <c r="D616" s="266"/>
      <c r="E616" s="266"/>
      <c r="F616" s="267"/>
      <c r="G616" s="145">
        <f t="shared" si="383"/>
        <v/>
      </c>
      <c r="H616" s="145">
        <f t="shared" si="384"/>
        <v/>
      </c>
      <c r="I616" s="266"/>
      <c r="J616" s="267"/>
      <c r="K616" s="267"/>
      <c r="L616" s="266"/>
      <c r="M616" s="147">
        <f t="shared" si="385"/>
        <v/>
      </c>
      <c r="N616" s="267"/>
      <c r="O616" s="147">
        <f t="shared" si="386"/>
        <v/>
      </c>
      <c r="P616" s="268">
        <f>IF(AY616=1,"XT"&amp;COUNTIFS($A$3:A616,A616,$AY$3:AY616,1),"")</f>
        <v/>
      </c>
      <c r="Q616" s="152">
        <f>IF(R616="","",IFERROR(SUBSTITUTE(Разбивка_по_щитам!P616,CHAR(10)," "),""))</f>
        <v/>
      </c>
      <c r="R616" s="153">
        <f>IF(OR(Разбивка_по_щитам!H616="",Разбивка_по_щитам!H616=0),"",Разбивка_по_щитам!H616)</f>
        <v/>
      </c>
      <c r="S616" s="154">
        <f>IF(R616="","",IFERROR(Разбивка_по_щитам!J616&amp;"",""))</f>
        <v/>
      </c>
      <c r="T616" s="155">
        <f>IF(R616="","",IFERROR(--Разбивка_по_щитам!L616,""))</f>
        <v/>
      </c>
      <c r="U616" s="155">
        <f>IF(R616="","",IFERROR(--Разбивка_по_щитам!K616,""))</f>
        <v/>
      </c>
      <c r="V616" s="138">
        <f>IF(R616="","",IFERROR(IF(Разбивка_по_щитам!M616=0,"",Разбивка_по_щитам!M616),""))</f>
        <v/>
      </c>
      <c r="W616" s="156">
        <f t="shared" si="387"/>
        <v/>
      </c>
      <c r="X616" s="157">
        <f t="shared" si="388"/>
        <v/>
      </c>
      <c r="Y616" s="266"/>
      <c r="Z616" s="158">
        <f t="shared" si="389"/>
        <v/>
      </c>
      <c r="AA616" s="160">
        <f t="shared" si="390"/>
        <v/>
      </c>
      <c r="AB616" s="160">
        <f>IF(R616="","",IFERROR(LOOKUP(INDEX(Справочная!$I$4:$I$19,MATCH(VLOOKUP(R616,Исходные_данные,22,FALSE),Справочная!$J$4:$J$19,0)+1),{6,10,16,20,25,32,40,50,63,80,100,125}),""))</f>
        <v/>
      </c>
      <c r="AC616" s="160">
        <f t="shared" si="391"/>
        <v/>
      </c>
      <c r="AD616" s="161">
        <f t="shared" si="392"/>
        <v/>
      </c>
      <c r="AE616" s="161">
        <f>IF(AND(R616="",G616=""),"",_xlfn.TEXTJOIN("; ",TRUE,IF(AND(R616&lt;&gt;"",V616=""),"нет фазы",""),IF(AND(R616&lt;&gt;"",N(T616)=0),"нет мощности",""),IF(AND(P616&lt;&gt;"",COUNTIFS($A$3:$A$1000,A616,$P$3:$P$1000,P616)&gt;1),"дубль клеммы "&amp;P616,""),IF(AND(W616&lt;&gt;"",W616&lt;&gt;"ok"),W616,""),IF(X616&lt;&gt;"",X616,""),IF(AND(ISNUMBER(SEARCH("(5х",Q616)),N(AK616)=1),"5 жил на 1 фазе",""),IF(AND(AL616="R",E616&lt;&gt;"",N(AS616)=0),"розетка без 30 мА",""),IF(IFERROR(_xlfn.NUMBERVALUE(MID(Q616,FIND("-",Q616,FIND("L=",Q616))+1,FIND("%",Q616)-FIND("-",Q616,FIND("L=",Q616))-1),","),0)&gt;4,"потери &gt; 4 %","")))</f>
      </c>
      <c r="AF616" s="129">
        <f>IF(E616&lt;&gt;"",COUNTIFS($A$3:A616,A616,$E$3:E616,"?*"),IF(OR(A616&lt;&gt;A615,Y616="вручную"),"",AF615))</f>
        <v/>
      </c>
      <c r="AG616" s="129">
        <f t="shared" si="393"/>
        <v/>
      </c>
      <c r="AH616" s="129">
        <f t="shared" si="394"/>
        <v/>
      </c>
      <c r="AI616" s="129">
        <f t="shared" si="395"/>
        <v/>
      </c>
      <c r="AJ616" s="129">
        <f t="shared" si="396"/>
        <v/>
      </c>
      <c r="AK616" s="129">
        <f t="shared" si="397"/>
        <v/>
      </c>
      <c r="AL616" s="129">
        <f t="shared" si="398"/>
        <v/>
      </c>
      <c r="AM616" s="129">
        <f t="shared" si="399"/>
      </c>
      <c r="AN616" s="129">
        <f t="shared" si="400"/>
      </c>
      <c r="AO616" s="129">
        <f t="shared" si="401"/>
        <v/>
      </c>
      <c r="AP616" s="129">
        <f t="shared" si="402"/>
        <v/>
      </c>
      <c r="AQ616" s="129">
        <f t="shared" si="403"/>
        <v/>
      </c>
      <c r="AR616" s="129">
        <f t="shared" si="404"/>
        <v/>
      </c>
      <c r="AS616" s="129">
        <f t="shared" si="405"/>
        <v/>
      </c>
      <c r="AT616" s="129">
        <f t="shared" si="406"/>
        <v/>
      </c>
      <c r="AU616" s="129">
        <f t="shared" si="407"/>
        <v/>
      </c>
      <c r="AV616" s="129">
        <f t="shared" si="408"/>
        <v/>
      </c>
      <c r="AW616" s="129">
        <f>IF(AV616="","",AV616&amp;"."&amp;COUNTIFS($A$3:A616,A616,$AV$3:AV616,AV616))</f>
        <v/>
      </c>
      <c r="AX616" s="129">
        <f t="shared" si="409"/>
        <v/>
      </c>
      <c r="AY616" s="129">
        <f>IF(N616="б/к",0,IF(OR(ISNUMBER(SEARCH("L=",Разбивка_по_щитам!P616)),N616="+",N616="="),1,0))</f>
      </c>
      <c r="AZ616" s="129">
        <f t="shared" si="410"/>
        <v/>
      </c>
      <c r="BA616" s="129">
        <f t="shared" si="411"/>
      </c>
      <c r="BB616" s="129">
        <f t="shared" si="412"/>
      </c>
      <c r="BD616" s="129">
        <f t="shared" si="413"/>
      </c>
      <c r="BE616" s="129">
        <f t="shared" si="414"/>
      </c>
      <c r="BF616" s="129">
        <f t="shared" si="415"/>
      </c>
      <c r="BG616" s="129">
        <f t="shared" si="416"/>
        <v/>
      </c>
      <c r="BH616" s="129">
        <f t="shared" si="417"/>
        <v/>
      </c>
      <c r="BI616" s="129">
        <f t="shared" si="418"/>
        <v/>
      </c>
      <c r="BJ616" s="129">
        <f t="shared" si="419"/>
        <v/>
      </c>
      <c r="BK616" s="129">
        <f>IF(R616="","",IF(OR(BY616="",BY616=0),"BOX",IFERROR(IF(VLOOKUP(BY616,УГО_блоки,3,FALSE)&amp;""&lt;&gt;"",VLOOKUP(BY616,УГО_блоки,3,FALSE),VLOOKUP(BY616,УГО_блоки,2,FALSE)),BY616)))</f>
      </c>
      <c r="BL616" s="129">
        <f t="shared" si="421"/>
      </c>
      <c r="BM616" s="129">
        <f>IF(H616="","",IF(COUNTIF($H$3:H616,H616)=1,MAX($BM$2:BM615)+1,""))</f>
      </c>
      <c r="BN616" s="129">
        <f>IF(I616="","",IF(COUNTIF($I$3:I616,I616)+COUNTIF($J$2:J615,I616)+COUNTIF($K$2:K615,I616)=1,MAX($BN$2:BP615)+1,""))</f>
      </c>
      <c r="BO616" s="129">
        <f>IF(J616="","",IF(COUNTIF($I$3:I616,J616)+COUNTIF($J$3:J616,J616)+COUNTIF($K$2:K615,J616)=1,MAX($BN$2:BP615,BN616)+1,""))</f>
      </c>
      <c r="BP616" s="129">
        <f>IF(K616="","",IF(COUNTIF($I$3:I616,K616)+COUNTIF($J$3:J616,K616)+COUNTIF($K$3:K616,K616)=1,MAX($BN$2:BP615,BN616,BO616)+1,""))</f>
      </c>
      <c r="BQ616" s="129">
        <f>IF(AY616=1,IFERROR(MID(Q616,FIND(" (",Q616)+2,FIND(")",Q616,FIND(" (",Q616))-FIND(" (",Q616)-2),"?"),"")</f>
      </c>
      <c r="BR616" s="129">
        <f>IF(BQ616="","",IF(COUNTIF($BQ$3:BQ616,BQ616)=1,MAX($BR$2:BR615)+1,""))</f>
      </c>
      <c r="BS616" s="129">
        <f>IF(AW616="","",COUNTIF($AW$3:AW616,"?*"))</f>
      </c>
      <c r="BT616" s="129">
        <f>IF(OR(AW616="",AI616=""),"",IF(COUNTIFS($AW$3:AW616,"?*",$AI$3:AI616,AI616)=1,MAX($BT$2:BT615)+1,""))</f>
      </c>
      <c r="BU616" s="129">
        <f>IF(AE616="",0,IF(OR(ISNUMBER(SEARCH("дубль",AE616)),ISNUMBER(SEARCH("ПЕРЕГРУЗ",AE616)),ISNUMBER(SEARCH("ЗАЩИЩ",AE616)),ISNUMBER(SEARCH("КАНАЛ",AE616)),ISNUMBER(SEARCH("без 30",AE616))),2,1))</f>
      </c>
      <c r="BV616" s="129">
        <f>IF(R616="","",COUNTIF($R$3:R616,"?*"))</f>
      </c>
      <c r="BW616" s="129">
        <f>IF(AY616&lt;&gt;1,0,IF(MAX(IFERROR(--VLOOKUP(R616,УГО_спр,5,FALSE),0),IFERROR(--VLOOKUP(AL616,УГО_спр,5,FALSE),0),IFERROR(--VLOOKUP(LEFT(AL616,2),УГО_спр,5,FALSE),0))&gt;0,MAX(IFERROR(--VLOOKUP(R616,УГО_спр,5,FALSE),0),IFERROR(--VLOOKUP(AL616,УГО_спр,5,FALSE),0),IFERROR(--VLOOKUP(LEFT(AL616,2),УГО_спр,5,FALSE),0)),IF(IFERROR(--LEFT(SUBSTITUTE(BQ616,"x","х"),FIND("х",SUBSTITUTE(BQ616,"x","х"))-1),3)&gt;3,Каталог!$S$9,1)))</f>
      </c>
      <c r="BX616" s="129">
        <f>IF(AY616&lt;&gt;1,0,MAX(0,IFERROR(--LEFT(SUBSTITUTE(BQ616,"x","х"),FIND("х",SUBSTITUTE(BQ616,"x","х"))-1),3)-3*BW616))</f>
      </c>
      <c r="BY616" s="129">
        <f>IF(R616="","",IFERROR(VLOOKUP(R616,УГО_спр,2,FALSE),IFERROR(VLOOKUP(AL616,УГО_спр,2,FALSE),IFERROR(VLOOKUP(LEFT(AL616,2),УГО_спр,2,FALSE),""))))</f>
      </c>
    </row>
    <row r="617" spans="1:64" x14ac:dyDescent="0.3">
      <c r="A617" s="135">
        <f>IF(Разбивка_по_щитам!F617=0,"",Разбивка_по_щитам!F617)</f>
        <v/>
      </c>
      <c r="B617" s="138">
        <f>IF(A617="","",Разбивка_по_щитам!C617)</f>
        <v/>
      </c>
      <c r="C617" s="138">
        <f t="shared" si="382"/>
        <v/>
      </c>
      <c r="D617" s="266"/>
      <c r="E617" s="266"/>
      <c r="F617" s="267"/>
      <c r="G617" s="145">
        <f t="shared" si="383"/>
        <v/>
      </c>
      <c r="H617" s="145">
        <f t="shared" si="384"/>
        <v/>
      </c>
      <c r="I617" s="266"/>
      <c r="J617" s="267"/>
      <c r="K617" s="267"/>
      <c r="L617" s="266"/>
      <c r="M617" s="147">
        <f t="shared" si="385"/>
        <v/>
      </c>
      <c r="N617" s="267"/>
      <c r="O617" s="147">
        <f t="shared" si="386"/>
        <v/>
      </c>
      <c r="P617" s="268">
        <f>IF(AY617=1,"XT"&amp;COUNTIFS($A$3:A617,A617,$AY$3:AY617,1),"")</f>
        <v/>
      </c>
      <c r="Q617" s="152">
        <f>IF(R617="","",IFERROR(SUBSTITUTE(Разбивка_по_щитам!P617,CHAR(10)," "),""))</f>
        <v/>
      </c>
      <c r="R617" s="153">
        <f>IF(OR(Разбивка_по_щитам!H617="",Разбивка_по_щитам!H617=0),"",Разбивка_по_щитам!H617)</f>
        <v/>
      </c>
      <c r="S617" s="154">
        <f>IF(R617="","",IFERROR(Разбивка_по_щитам!J617&amp;"",""))</f>
        <v/>
      </c>
      <c r="T617" s="155">
        <f>IF(R617="","",IFERROR(--Разбивка_по_щитам!L617,""))</f>
        <v/>
      </c>
      <c r="U617" s="155">
        <f>IF(R617="","",IFERROR(--Разбивка_по_щитам!K617,""))</f>
        <v/>
      </c>
      <c r="V617" s="138">
        <f>IF(R617="","",IFERROR(IF(Разбивка_по_щитам!M617=0,"",Разбивка_по_щитам!M617),""))</f>
        <v/>
      </c>
      <c r="W617" s="156">
        <f t="shared" si="387"/>
        <v/>
      </c>
      <c r="X617" s="157">
        <f t="shared" si="388"/>
        <v/>
      </c>
      <c r="Y617" s="266"/>
      <c r="Z617" s="158">
        <f t="shared" si="389"/>
        <v/>
      </c>
      <c r="AA617" s="160">
        <f t="shared" si="390"/>
        <v/>
      </c>
      <c r="AB617" s="160">
        <f>IF(R617="","",IFERROR(LOOKUP(INDEX(Справочная!$I$4:$I$19,MATCH(VLOOKUP(R617,Исходные_данные,22,FALSE),Справочная!$J$4:$J$19,0)+1),{6,10,16,20,25,32,40,50,63,80,100,125}),""))</f>
        <v/>
      </c>
      <c r="AC617" s="160">
        <f t="shared" si="391"/>
        <v/>
      </c>
      <c r="AD617" s="161">
        <f t="shared" si="392"/>
        <v/>
      </c>
      <c r="AE617" s="161">
        <f>IF(AND(R617="",G617=""),"",_xlfn.TEXTJOIN("; ",TRUE,IF(AND(R617&lt;&gt;"",V617=""),"нет фазы",""),IF(AND(R617&lt;&gt;"",N(T617)=0),"нет мощности",""),IF(AND(P617&lt;&gt;"",COUNTIFS($A$3:$A$1000,A617,$P$3:$P$1000,P617)&gt;1),"дубль клеммы "&amp;P617,""),IF(AND(W617&lt;&gt;"",W617&lt;&gt;"ok"),W617,""),IF(X617&lt;&gt;"",X617,""),IF(AND(ISNUMBER(SEARCH("(5х",Q617)),N(AK617)=1),"5 жил на 1 фазе",""),IF(AND(AL617="R",E617&lt;&gt;"",N(AS617)=0),"розетка без 30 мА",""),IF(IFERROR(_xlfn.NUMBERVALUE(MID(Q617,FIND("-",Q617,FIND("L=",Q617))+1,FIND("%",Q617)-FIND("-",Q617,FIND("L=",Q617))-1),","),0)&gt;4,"потери &gt; 4 %","")))</f>
      </c>
      <c r="AF617" s="129">
        <f>IF(E617&lt;&gt;"",COUNTIFS($A$3:A617,A617,$E$3:E617,"?*"),IF(OR(A617&lt;&gt;A616,Y617="вручную"),"",AF616))</f>
        <v/>
      </c>
      <c r="AG617" s="129">
        <f t="shared" si="393"/>
        <v/>
      </c>
      <c r="AH617" s="129">
        <f t="shared" si="394"/>
        <v/>
      </c>
      <c r="AI617" s="129">
        <f t="shared" si="395"/>
        <v/>
      </c>
      <c r="AJ617" s="129">
        <f t="shared" si="396"/>
        <v/>
      </c>
      <c r="AK617" s="129">
        <f t="shared" si="397"/>
        <v/>
      </c>
      <c r="AL617" s="129">
        <f t="shared" si="398"/>
        <v/>
      </c>
      <c r="AM617" s="129">
        <f t="shared" si="399"/>
      </c>
      <c r="AN617" s="129">
        <f t="shared" si="400"/>
      </c>
      <c r="AO617" s="129">
        <f t="shared" si="401"/>
        <v/>
      </c>
      <c r="AP617" s="129">
        <f t="shared" si="402"/>
        <v/>
      </c>
      <c r="AQ617" s="129">
        <f t="shared" si="403"/>
        <v/>
      </c>
      <c r="AR617" s="129">
        <f t="shared" si="404"/>
        <v/>
      </c>
      <c r="AS617" s="129">
        <f t="shared" si="405"/>
        <v/>
      </c>
      <c r="AT617" s="129">
        <f t="shared" si="406"/>
        <v/>
      </c>
      <c r="AU617" s="129">
        <f t="shared" si="407"/>
        <v/>
      </c>
      <c r="AV617" s="129">
        <f t="shared" si="408"/>
        <v/>
      </c>
      <c r="AW617" s="129">
        <f>IF(AV617="","",AV617&amp;"."&amp;COUNTIFS($A$3:A617,A617,$AV$3:AV617,AV617))</f>
        <v/>
      </c>
      <c r="AX617" s="129">
        <f t="shared" si="409"/>
        <v/>
      </c>
      <c r="AY617" s="129">
        <f>IF(N617="б/к",0,IF(OR(ISNUMBER(SEARCH("L=",Разбивка_по_щитам!P617)),N617="+",N617="="),1,0))</f>
      </c>
      <c r="AZ617" s="129">
        <f t="shared" si="410"/>
        <v/>
      </c>
      <c r="BA617" s="129">
        <f t="shared" si="411"/>
      </c>
      <c r="BB617" s="129">
        <f t="shared" si="412"/>
      </c>
      <c r="BD617" s="129">
        <f t="shared" si="413"/>
      </c>
      <c r="BE617" s="129">
        <f t="shared" si="414"/>
      </c>
      <c r="BF617" s="129">
        <f t="shared" si="415"/>
      </c>
      <c r="BG617" s="129">
        <f t="shared" si="416"/>
        <v/>
      </c>
      <c r="BH617" s="129">
        <f t="shared" si="417"/>
        <v/>
      </c>
      <c r="BI617" s="129">
        <f t="shared" si="418"/>
        <v/>
      </c>
      <c r="BJ617" s="129">
        <f t="shared" si="419"/>
        <v/>
      </c>
      <c r="BK617" s="129">
        <f>IF(R617="","",IF(OR(BY617="",BY617=0),"BOX",IFERROR(IF(VLOOKUP(BY617,УГО_блоки,3,FALSE)&amp;""&lt;&gt;"",VLOOKUP(BY617,УГО_блоки,3,FALSE),VLOOKUP(BY617,УГО_блоки,2,FALSE)),BY617)))</f>
      </c>
      <c r="BL617" s="129">
        <f t="shared" si="421"/>
      </c>
      <c r="BM617" s="129">
        <f>IF(H617="","",IF(COUNTIF($H$3:H617,H617)=1,MAX($BM$2:BM616)+1,""))</f>
      </c>
      <c r="BN617" s="129">
        <f>IF(I617="","",IF(COUNTIF($I$3:I617,I617)+COUNTIF($J$2:J616,I617)+COUNTIF($K$2:K616,I617)=1,MAX($BN$2:BP616)+1,""))</f>
      </c>
      <c r="BO617" s="129">
        <f>IF(J617="","",IF(COUNTIF($I$3:I617,J617)+COUNTIF($J$3:J617,J617)+COUNTIF($K$2:K616,J617)=1,MAX($BN$2:BP616,BN617)+1,""))</f>
      </c>
      <c r="BP617" s="129">
        <f>IF(K617="","",IF(COUNTIF($I$3:I617,K617)+COUNTIF($J$3:J617,K617)+COUNTIF($K$3:K617,K617)=1,MAX($BN$2:BP616,BN617,BO617)+1,""))</f>
      </c>
      <c r="BQ617" s="129">
        <f>IF(AY617=1,IFERROR(MID(Q617,FIND(" (",Q617)+2,FIND(")",Q617,FIND(" (",Q617))-FIND(" (",Q617)-2),"?"),"")</f>
      </c>
      <c r="BR617" s="129">
        <f>IF(BQ617="","",IF(COUNTIF($BQ$3:BQ617,BQ617)=1,MAX($BR$2:BR616)+1,""))</f>
      </c>
      <c r="BS617" s="129">
        <f>IF(AW617="","",COUNTIF($AW$3:AW617,"?*"))</f>
      </c>
      <c r="BT617" s="129">
        <f>IF(OR(AW617="",AI617=""),"",IF(COUNTIFS($AW$3:AW617,"?*",$AI$3:AI617,AI617)=1,MAX($BT$2:BT616)+1,""))</f>
      </c>
      <c r="BU617" s="129">
        <f>IF(AE617="",0,IF(OR(ISNUMBER(SEARCH("дубль",AE617)),ISNUMBER(SEARCH("ПЕРЕГРУЗ",AE617)),ISNUMBER(SEARCH("ЗАЩИЩ",AE617)),ISNUMBER(SEARCH("КАНАЛ",AE617)),ISNUMBER(SEARCH("без 30",AE617))),2,1))</f>
      </c>
      <c r="BV617" s="129">
        <f>IF(R617="","",COUNTIF($R$3:R617,"?*"))</f>
      </c>
      <c r="BW617" s="129">
        <f>IF(AY617&lt;&gt;1,0,IF(MAX(IFERROR(--VLOOKUP(R617,УГО_спр,5,FALSE),0),IFERROR(--VLOOKUP(AL617,УГО_спр,5,FALSE),0),IFERROR(--VLOOKUP(LEFT(AL617,2),УГО_спр,5,FALSE),0))&gt;0,MAX(IFERROR(--VLOOKUP(R617,УГО_спр,5,FALSE),0),IFERROR(--VLOOKUP(AL617,УГО_спр,5,FALSE),0),IFERROR(--VLOOKUP(LEFT(AL617,2),УГО_спр,5,FALSE),0)),IF(IFERROR(--LEFT(SUBSTITUTE(BQ617,"x","х"),FIND("х",SUBSTITUTE(BQ617,"x","х"))-1),3)&gt;3,Каталог!$S$9,1)))</f>
      </c>
      <c r="BX617" s="129">
        <f>IF(AY617&lt;&gt;1,0,MAX(0,IFERROR(--LEFT(SUBSTITUTE(BQ617,"x","х"),FIND("х",SUBSTITUTE(BQ617,"x","х"))-1),3)-3*BW617))</f>
      </c>
      <c r="BY617" s="129">
        <f>IF(R617="","",IFERROR(VLOOKUP(R617,УГО_спр,2,FALSE),IFERROR(VLOOKUP(AL617,УГО_спр,2,FALSE),IFERROR(VLOOKUP(LEFT(AL617,2),УГО_спр,2,FALSE),""))))</f>
      </c>
    </row>
    <row r="618" spans="1:64" x14ac:dyDescent="0.3">
      <c r="A618" s="135">
        <f>IF(Разбивка_по_щитам!F618=0,"",Разбивка_по_щитам!F618)</f>
        <v/>
      </c>
      <c r="B618" s="138">
        <f>IF(A618="","",Разбивка_по_щитам!C618)</f>
        <v/>
      </c>
      <c r="C618" s="138">
        <f t="shared" si="382"/>
        <v/>
      </c>
      <c r="D618" s="266"/>
      <c r="E618" s="266"/>
      <c r="F618" s="267"/>
      <c r="G618" s="145">
        <f t="shared" si="383"/>
        <v/>
      </c>
      <c r="H618" s="145">
        <f t="shared" si="384"/>
        <v/>
      </c>
      <c r="I618" s="266"/>
      <c r="J618" s="267"/>
      <c r="K618" s="267"/>
      <c r="L618" s="266"/>
      <c r="M618" s="147">
        <f t="shared" si="385"/>
        <v/>
      </c>
      <c r="N618" s="267"/>
      <c r="O618" s="147">
        <f t="shared" si="386"/>
        <v/>
      </c>
      <c r="P618" s="268">
        <f>IF(AY618=1,"XT"&amp;COUNTIFS($A$3:A618,A618,$AY$3:AY618,1),"")</f>
        <v/>
      </c>
      <c r="Q618" s="152">
        <f>IF(R618="","",IFERROR(SUBSTITUTE(Разбивка_по_щитам!P618,CHAR(10)," "),""))</f>
        <v/>
      </c>
      <c r="R618" s="153">
        <f>IF(OR(Разбивка_по_щитам!H618="",Разбивка_по_щитам!H618=0),"",Разбивка_по_щитам!H618)</f>
        <v/>
      </c>
      <c r="S618" s="154">
        <f>IF(R618="","",IFERROR(Разбивка_по_щитам!J618&amp;"",""))</f>
        <v/>
      </c>
      <c r="T618" s="155">
        <f>IF(R618="","",IFERROR(--Разбивка_по_щитам!L618,""))</f>
        <v/>
      </c>
      <c r="U618" s="155">
        <f>IF(R618="","",IFERROR(--Разбивка_по_щитам!K618,""))</f>
        <v/>
      </c>
      <c r="V618" s="138">
        <f>IF(R618="","",IFERROR(IF(Разбивка_по_щитам!M618=0,"",Разбивка_по_щитам!M618),""))</f>
        <v/>
      </c>
      <c r="W618" s="156">
        <f t="shared" si="387"/>
        <v/>
      </c>
      <c r="X618" s="157">
        <f t="shared" si="388"/>
        <v/>
      </c>
      <c r="Y618" s="266"/>
      <c r="Z618" s="158">
        <f t="shared" si="389"/>
        <v/>
      </c>
      <c r="AA618" s="160">
        <f t="shared" si="390"/>
        <v/>
      </c>
      <c r="AB618" s="160">
        <f>IF(R618="","",IFERROR(LOOKUP(INDEX(Справочная!$I$4:$I$19,MATCH(VLOOKUP(R618,Исходные_данные,22,FALSE),Справочная!$J$4:$J$19,0)+1),{6,10,16,20,25,32,40,50,63,80,100,125}),""))</f>
        <v/>
      </c>
      <c r="AC618" s="160">
        <f t="shared" si="391"/>
        <v/>
      </c>
      <c r="AD618" s="161">
        <f t="shared" si="392"/>
        <v/>
      </c>
      <c r="AE618" s="161">
        <f>IF(AND(R618="",G618=""),"",_xlfn.TEXTJOIN("; ",TRUE,IF(AND(R618&lt;&gt;"",V618=""),"нет фазы",""),IF(AND(R618&lt;&gt;"",N(T618)=0),"нет мощности",""),IF(AND(P618&lt;&gt;"",COUNTIFS($A$3:$A$1000,A618,$P$3:$P$1000,P618)&gt;1),"дубль клеммы "&amp;P618,""),IF(AND(W618&lt;&gt;"",W618&lt;&gt;"ok"),W618,""),IF(X618&lt;&gt;"",X618,""),IF(AND(ISNUMBER(SEARCH("(5х",Q618)),N(AK618)=1),"5 жил на 1 фазе",""),IF(AND(AL618="R",E618&lt;&gt;"",N(AS618)=0),"розетка без 30 мА",""),IF(IFERROR(_xlfn.NUMBERVALUE(MID(Q618,FIND("-",Q618,FIND("L=",Q618))+1,FIND("%",Q618)-FIND("-",Q618,FIND("L=",Q618))-1),","),0)&gt;4,"потери &gt; 4 %","")))</f>
      </c>
      <c r="AF618" s="129">
        <f>IF(E618&lt;&gt;"",COUNTIFS($A$3:A618,A618,$E$3:E618,"?*"),IF(OR(A618&lt;&gt;A617,Y618="вручную"),"",AF617))</f>
        <v/>
      </c>
      <c r="AG618" s="129">
        <f t="shared" si="393"/>
        <v/>
      </c>
      <c r="AH618" s="129">
        <f t="shared" si="394"/>
        <v/>
      </c>
      <c r="AI618" s="129">
        <f t="shared" si="395"/>
        <v/>
      </c>
      <c r="AJ618" s="129">
        <f t="shared" si="396"/>
        <v/>
      </c>
      <c r="AK618" s="129">
        <f t="shared" si="397"/>
        <v/>
      </c>
      <c r="AL618" s="129">
        <f t="shared" si="398"/>
        <v/>
      </c>
      <c r="AM618" s="129">
        <f t="shared" si="399"/>
      </c>
      <c r="AN618" s="129">
        <f t="shared" si="400"/>
      </c>
      <c r="AO618" s="129">
        <f t="shared" si="401"/>
        <v/>
      </c>
      <c r="AP618" s="129">
        <f t="shared" si="402"/>
        <v/>
      </c>
      <c r="AQ618" s="129">
        <f t="shared" si="403"/>
        <v/>
      </c>
      <c r="AR618" s="129">
        <f t="shared" si="404"/>
        <v/>
      </c>
      <c r="AS618" s="129">
        <f t="shared" si="405"/>
        <v/>
      </c>
      <c r="AT618" s="129">
        <f t="shared" si="406"/>
        <v/>
      </c>
      <c r="AU618" s="129">
        <f t="shared" si="407"/>
        <v/>
      </c>
      <c r="AV618" s="129">
        <f t="shared" si="408"/>
        <v/>
      </c>
      <c r="AW618" s="129">
        <f>IF(AV618="","",AV618&amp;"."&amp;COUNTIFS($A$3:A618,A618,$AV$3:AV618,AV618))</f>
        <v/>
      </c>
      <c r="AX618" s="129">
        <f t="shared" si="409"/>
        <v/>
      </c>
      <c r="AY618" s="129">
        <f>IF(N618="б/к",0,IF(OR(ISNUMBER(SEARCH("L=",Разбивка_по_щитам!P618)),N618="+",N618="="),1,0))</f>
      </c>
      <c r="AZ618" s="129">
        <f t="shared" si="410"/>
        <v/>
      </c>
      <c r="BA618" s="129">
        <f t="shared" si="411"/>
      </c>
      <c r="BB618" s="129">
        <f t="shared" si="412"/>
      </c>
      <c r="BD618" s="129">
        <f t="shared" si="413"/>
      </c>
      <c r="BE618" s="129">
        <f t="shared" si="414"/>
      </c>
      <c r="BF618" s="129">
        <f t="shared" si="415"/>
      </c>
      <c r="BG618" s="129">
        <f t="shared" si="416"/>
        <v/>
      </c>
      <c r="BH618" s="129">
        <f t="shared" si="417"/>
        <v/>
      </c>
      <c r="BI618" s="129">
        <f t="shared" si="418"/>
        <v/>
      </c>
      <c r="BJ618" s="129">
        <f t="shared" si="419"/>
        <v/>
      </c>
      <c r="BK618" s="129">
        <f>IF(R618="","",IF(OR(BY618="",BY618=0),"BOX",IFERROR(IF(VLOOKUP(BY618,УГО_блоки,3,FALSE)&amp;""&lt;&gt;"",VLOOKUP(BY618,УГО_блоки,3,FALSE),VLOOKUP(BY618,УГО_блоки,2,FALSE)),BY618)))</f>
      </c>
      <c r="BL618" s="129">
        <f t="shared" si="421"/>
      </c>
      <c r="BM618" s="129">
        <f>IF(H618="","",IF(COUNTIF($H$3:H618,H618)=1,MAX($BM$2:BM617)+1,""))</f>
      </c>
      <c r="BN618" s="129">
        <f>IF(I618="","",IF(COUNTIF($I$3:I618,I618)+COUNTIF($J$2:J617,I618)+COUNTIF($K$2:K617,I618)=1,MAX($BN$2:BP617)+1,""))</f>
      </c>
      <c r="BO618" s="129">
        <f>IF(J618="","",IF(COUNTIF($I$3:I618,J618)+COUNTIF($J$3:J618,J618)+COUNTIF($K$2:K617,J618)=1,MAX($BN$2:BP617,BN618)+1,""))</f>
      </c>
      <c r="BP618" s="129">
        <f>IF(K618="","",IF(COUNTIF($I$3:I618,K618)+COUNTIF($J$3:J618,K618)+COUNTIF($K$3:K618,K618)=1,MAX($BN$2:BP617,BN618,BO618)+1,""))</f>
      </c>
      <c r="BQ618" s="129">
        <f>IF(AY618=1,IFERROR(MID(Q618,FIND(" (",Q618)+2,FIND(")",Q618,FIND(" (",Q618))-FIND(" (",Q618)-2),"?"),"")</f>
      </c>
      <c r="BR618" s="129">
        <f>IF(BQ618="","",IF(COUNTIF($BQ$3:BQ618,BQ618)=1,MAX($BR$2:BR617)+1,""))</f>
      </c>
      <c r="BS618" s="129">
        <f>IF(AW618="","",COUNTIF($AW$3:AW618,"?*"))</f>
      </c>
      <c r="BT618" s="129">
        <f>IF(OR(AW618="",AI618=""),"",IF(COUNTIFS($AW$3:AW618,"?*",$AI$3:AI618,AI618)=1,MAX($BT$2:BT617)+1,""))</f>
      </c>
      <c r="BU618" s="129">
        <f>IF(AE618="",0,IF(OR(ISNUMBER(SEARCH("дубль",AE618)),ISNUMBER(SEARCH("ПЕРЕГРУЗ",AE618)),ISNUMBER(SEARCH("ЗАЩИЩ",AE618)),ISNUMBER(SEARCH("КАНАЛ",AE618)),ISNUMBER(SEARCH("без 30",AE618))),2,1))</f>
      </c>
      <c r="BV618" s="129">
        <f>IF(R618="","",COUNTIF($R$3:R618,"?*"))</f>
      </c>
      <c r="BW618" s="129">
        <f>IF(AY618&lt;&gt;1,0,IF(MAX(IFERROR(--VLOOKUP(R618,УГО_спр,5,FALSE),0),IFERROR(--VLOOKUP(AL618,УГО_спр,5,FALSE),0),IFERROR(--VLOOKUP(LEFT(AL618,2),УГО_спр,5,FALSE),0))&gt;0,MAX(IFERROR(--VLOOKUP(R618,УГО_спр,5,FALSE),0),IFERROR(--VLOOKUP(AL618,УГО_спр,5,FALSE),0),IFERROR(--VLOOKUP(LEFT(AL618,2),УГО_спр,5,FALSE),0)),IF(IFERROR(--LEFT(SUBSTITUTE(BQ618,"x","х"),FIND("х",SUBSTITUTE(BQ618,"x","х"))-1),3)&gt;3,Каталог!$S$9,1)))</f>
      </c>
      <c r="BX618" s="129">
        <f>IF(AY618&lt;&gt;1,0,MAX(0,IFERROR(--LEFT(SUBSTITUTE(BQ618,"x","х"),FIND("х",SUBSTITUTE(BQ618,"x","х"))-1),3)-3*BW618))</f>
      </c>
      <c r="BY618" s="129">
        <f>IF(R618="","",IFERROR(VLOOKUP(R618,УГО_спр,2,FALSE),IFERROR(VLOOKUP(AL618,УГО_спр,2,FALSE),IFERROR(VLOOKUP(LEFT(AL618,2),УГО_спр,2,FALSE),""))))</f>
      </c>
    </row>
    <row r="619" spans="1:64" x14ac:dyDescent="0.3">
      <c r="A619" s="135">
        <f>IF(Разбивка_по_щитам!F619=0,"",Разбивка_по_щитам!F619)</f>
        <v/>
      </c>
      <c r="B619" s="138">
        <f>IF(A619="","",Разбивка_по_щитам!C619)</f>
        <v/>
      </c>
      <c r="C619" s="138">
        <f t="shared" si="382"/>
        <v/>
      </c>
      <c r="D619" s="266"/>
      <c r="E619" s="266"/>
      <c r="F619" s="267"/>
      <c r="G619" s="145">
        <f t="shared" si="383"/>
        <v/>
      </c>
      <c r="H619" s="145">
        <f t="shared" si="384"/>
        <v/>
      </c>
      <c r="I619" s="266"/>
      <c r="J619" s="267"/>
      <c r="K619" s="267"/>
      <c r="L619" s="266"/>
      <c r="M619" s="147">
        <f t="shared" si="385"/>
        <v/>
      </c>
      <c r="N619" s="267"/>
      <c r="O619" s="147">
        <f t="shared" si="386"/>
        <v/>
      </c>
      <c r="P619" s="268">
        <f>IF(AY619=1,"XT"&amp;COUNTIFS($A$3:A619,A619,$AY$3:AY619,1),"")</f>
        <v/>
      </c>
      <c r="Q619" s="152">
        <f>IF(R619="","",IFERROR(SUBSTITUTE(Разбивка_по_щитам!P619,CHAR(10)," "),""))</f>
        <v/>
      </c>
      <c r="R619" s="153">
        <f>IF(OR(Разбивка_по_щитам!H619="",Разбивка_по_щитам!H619=0),"",Разбивка_по_щитам!H619)</f>
        <v/>
      </c>
      <c r="S619" s="154">
        <f>IF(R619="","",IFERROR(Разбивка_по_щитам!J619&amp;"",""))</f>
        <v/>
      </c>
      <c r="T619" s="155">
        <f>IF(R619="","",IFERROR(--Разбивка_по_щитам!L619,""))</f>
        <v/>
      </c>
      <c r="U619" s="155">
        <f>IF(R619="","",IFERROR(--Разбивка_по_щитам!K619,""))</f>
        <v/>
      </c>
      <c r="V619" s="138">
        <f>IF(R619="","",IFERROR(IF(Разбивка_по_щитам!M619=0,"",Разбивка_по_щитам!M619),""))</f>
        <v/>
      </c>
      <c r="W619" s="156">
        <f t="shared" si="387"/>
        <v/>
      </c>
      <c r="X619" s="157">
        <f t="shared" si="388"/>
        <v/>
      </c>
      <c r="Y619" s="266"/>
      <c r="Z619" s="158">
        <f t="shared" si="389"/>
        <v/>
      </c>
      <c r="AA619" s="160">
        <f t="shared" si="390"/>
        <v/>
      </c>
      <c r="AB619" s="160">
        <f>IF(R619="","",IFERROR(LOOKUP(INDEX(Справочная!$I$4:$I$19,MATCH(VLOOKUP(R619,Исходные_данные,22,FALSE),Справочная!$J$4:$J$19,0)+1),{6,10,16,20,25,32,40,50,63,80,100,125}),""))</f>
        <v/>
      </c>
      <c r="AC619" s="160">
        <f t="shared" si="391"/>
        <v/>
      </c>
      <c r="AD619" s="161">
        <f t="shared" si="392"/>
        <v/>
      </c>
      <c r="AE619" s="161">
        <f>IF(AND(R619="",G619=""),"",_xlfn.TEXTJOIN("; ",TRUE,IF(AND(R619&lt;&gt;"",V619=""),"нет фазы",""),IF(AND(R619&lt;&gt;"",N(T619)=0),"нет мощности",""),IF(AND(P619&lt;&gt;"",COUNTIFS($A$3:$A$1000,A619,$P$3:$P$1000,P619)&gt;1),"дубль клеммы "&amp;P619,""),IF(AND(W619&lt;&gt;"",W619&lt;&gt;"ok"),W619,""),IF(X619&lt;&gt;"",X619,""),IF(AND(ISNUMBER(SEARCH("(5х",Q619)),N(AK619)=1),"5 жил на 1 фазе",""),IF(AND(AL619="R",E619&lt;&gt;"",N(AS619)=0),"розетка без 30 мА",""),IF(IFERROR(_xlfn.NUMBERVALUE(MID(Q619,FIND("-",Q619,FIND("L=",Q619))+1,FIND("%",Q619)-FIND("-",Q619,FIND("L=",Q619))-1),","),0)&gt;4,"потери &gt; 4 %","")))</f>
      </c>
      <c r="AF619" s="129">
        <f>IF(E619&lt;&gt;"",COUNTIFS($A$3:A619,A619,$E$3:E619,"?*"),IF(OR(A619&lt;&gt;A618,Y619="вручную"),"",AF618))</f>
        <v/>
      </c>
      <c r="AG619" s="129">
        <f t="shared" si="393"/>
        <v/>
      </c>
      <c r="AH619" s="129">
        <f t="shared" si="394"/>
        <v/>
      </c>
      <c r="AI619" s="129">
        <f t="shared" si="395"/>
        <v/>
      </c>
      <c r="AJ619" s="129">
        <f t="shared" si="396"/>
        <v/>
      </c>
      <c r="AK619" s="129">
        <f t="shared" si="397"/>
        <v/>
      </c>
      <c r="AL619" s="129">
        <f t="shared" si="398"/>
        <v/>
      </c>
      <c r="AM619" s="129">
        <f t="shared" si="399"/>
      </c>
      <c r="AN619" s="129">
        <f t="shared" si="400"/>
      </c>
      <c r="AO619" s="129">
        <f t="shared" si="401"/>
        <v/>
      </c>
      <c r="AP619" s="129">
        <f t="shared" si="402"/>
        <v/>
      </c>
      <c r="AQ619" s="129">
        <f t="shared" si="403"/>
        <v/>
      </c>
      <c r="AR619" s="129">
        <f t="shared" si="404"/>
        <v/>
      </c>
      <c r="AS619" s="129">
        <f t="shared" si="405"/>
        <v/>
      </c>
      <c r="AT619" s="129">
        <f t="shared" si="406"/>
        <v/>
      </c>
      <c r="AU619" s="129">
        <f t="shared" si="407"/>
        <v/>
      </c>
      <c r="AV619" s="129">
        <f t="shared" si="408"/>
        <v/>
      </c>
      <c r="AW619" s="129">
        <f>IF(AV619="","",AV619&amp;"."&amp;COUNTIFS($A$3:A619,A619,$AV$3:AV619,AV619))</f>
        <v/>
      </c>
      <c r="AX619" s="129">
        <f t="shared" si="409"/>
        <v/>
      </c>
      <c r="AY619" s="129">
        <f>IF(N619="б/к",0,IF(OR(ISNUMBER(SEARCH("L=",Разбивка_по_щитам!P619)),N619="+",N619="="),1,0))</f>
      </c>
      <c r="AZ619" s="129">
        <f t="shared" si="410"/>
        <v/>
      </c>
      <c r="BA619" s="129">
        <f t="shared" si="411"/>
      </c>
      <c r="BB619" s="129">
        <f t="shared" si="412"/>
      </c>
      <c r="BD619" s="129">
        <f t="shared" si="413"/>
      </c>
      <c r="BE619" s="129">
        <f t="shared" si="414"/>
      </c>
      <c r="BF619" s="129">
        <f t="shared" si="415"/>
      </c>
      <c r="BG619" s="129">
        <f t="shared" si="416"/>
        <v/>
      </c>
      <c r="BH619" s="129">
        <f t="shared" si="417"/>
        <v/>
      </c>
      <c r="BI619" s="129">
        <f t="shared" si="418"/>
        <v/>
      </c>
      <c r="BJ619" s="129">
        <f t="shared" si="419"/>
        <v/>
      </c>
      <c r="BK619" s="129">
        <f>IF(R619="","",IF(OR(BY619="",BY619=0),"BOX",IFERROR(IF(VLOOKUP(BY619,УГО_блоки,3,FALSE)&amp;""&lt;&gt;"",VLOOKUP(BY619,УГО_блоки,3,FALSE),VLOOKUP(BY619,УГО_блоки,2,FALSE)),BY619)))</f>
      </c>
      <c r="BL619" s="129">
        <f t="shared" si="421"/>
      </c>
      <c r="BM619" s="129">
        <f>IF(H619="","",IF(COUNTIF($H$3:H619,H619)=1,MAX($BM$2:BM618)+1,""))</f>
      </c>
      <c r="BN619" s="129">
        <f>IF(I619="","",IF(COUNTIF($I$3:I619,I619)+COUNTIF($J$2:J618,I619)+COUNTIF($K$2:K618,I619)=1,MAX($BN$2:BP618)+1,""))</f>
      </c>
      <c r="BO619" s="129">
        <f>IF(J619="","",IF(COUNTIF($I$3:I619,J619)+COUNTIF($J$3:J619,J619)+COUNTIF($K$2:K618,J619)=1,MAX($BN$2:BP618,BN619)+1,""))</f>
      </c>
      <c r="BP619" s="129">
        <f>IF(K619="","",IF(COUNTIF($I$3:I619,K619)+COUNTIF($J$3:J619,K619)+COUNTIF($K$3:K619,K619)=1,MAX($BN$2:BP618,BN619,BO619)+1,""))</f>
      </c>
      <c r="BQ619" s="129">
        <f>IF(AY619=1,IFERROR(MID(Q619,FIND(" (",Q619)+2,FIND(")",Q619,FIND(" (",Q619))-FIND(" (",Q619)-2),"?"),"")</f>
      </c>
      <c r="BR619" s="129">
        <f>IF(BQ619="","",IF(COUNTIF($BQ$3:BQ619,BQ619)=1,MAX($BR$2:BR618)+1,""))</f>
      </c>
      <c r="BS619" s="129">
        <f>IF(AW619="","",COUNTIF($AW$3:AW619,"?*"))</f>
      </c>
      <c r="BT619" s="129">
        <f>IF(OR(AW619="",AI619=""),"",IF(COUNTIFS($AW$3:AW619,"?*",$AI$3:AI619,AI619)=1,MAX($BT$2:BT618)+1,""))</f>
      </c>
      <c r="BU619" s="129">
        <f>IF(AE619="",0,IF(OR(ISNUMBER(SEARCH("дубль",AE619)),ISNUMBER(SEARCH("ПЕРЕГРУЗ",AE619)),ISNUMBER(SEARCH("ЗАЩИЩ",AE619)),ISNUMBER(SEARCH("КАНАЛ",AE619)),ISNUMBER(SEARCH("без 30",AE619))),2,1))</f>
      </c>
      <c r="BV619" s="129">
        <f>IF(R619="","",COUNTIF($R$3:R619,"?*"))</f>
      </c>
      <c r="BW619" s="129">
        <f>IF(AY619&lt;&gt;1,0,IF(MAX(IFERROR(--VLOOKUP(R619,УГО_спр,5,FALSE),0),IFERROR(--VLOOKUP(AL619,УГО_спр,5,FALSE),0),IFERROR(--VLOOKUP(LEFT(AL619,2),УГО_спр,5,FALSE),0))&gt;0,MAX(IFERROR(--VLOOKUP(R619,УГО_спр,5,FALSE),0),IFERROR(--VLOOKUP(AL619,УГО_спр,5,FALSE),0),IFERROR(--VLOOKUP(LEFT(AL619,2),УГО_спр,5,FALSE),0)),IF(IFERROR(--LEFT(SUBSTITUTE(BQ619,"x","х"),FIND("х",SUBSTITUTE(BQ619,"x","х"))-1),3)&gt;3,Каталог!$S$9,1)))</f>
      </c>
      <c r="BX619" s="129">
        <f>IF(AY619&lt;&gt;1,0,MAX(0,IFERROR(--LEFT(SUBSTITUTE(BQ619,"x","х"),FIND("х",SUBSTITUTE(BQ619,"x","х"))-1),3)-3*BW619))</f>
      </c>
      <c r="BY619" s="129">
        <f>IF(R619="","",IFERROR(VLOOKUP(R619,УГО_спр,2,FALSE),IFERROR(VLOOKUP(AL619,УГО_спр,2,FALSE),IFERROR(VLOOKUP(LEFT(AL619,2),УГО_спр,2,FALSE),""))))</f>
      </c>
    </row>
    <row r="620" spans="1:64" x14ac:dyDescent="0.3">
      <c r="A620" s="135">
        <f>IF(Разбивка_по_щитам!F620=0,"",Разбивка_по_щитам!F620)</f>
        <v/>
      </c>
      <c r="B620" s="138">
        <f>IF(A620="","",Разбивка_по_щитам!C620)</f>
        <v/>
      </c>
      <c r="C620" s="138">
        <f t="shared" si="382"/>
        <v/>
      </c>
      <c r="D620" s="266"/>
      <c r="E620" s="266"/>
      <c r="F620" s="267"/>
      <c r="G620" s="145">
        <f t="shared" si="383"/>
        <v/>
      </c>
      <c r="H620" s="145">
        <f t="shared" si="384"/>
        <v/>
      </c>
      <c r="I620" s="266"/>
      <c r="J620" s="267"/>
      <c r="K620" s="267"/>
      <c r="L620" s="266"/>
      <c r="M620" s="147">
        <f t="shared" si="385"/>
        <v/>
      </c>
      <c r="N620" s="267"/>
      <c r="O620" s="147">
        <f t="shared" si="386"/>
        <v/>
      </c>
      <c r="P620" s="268">
        <f>IF(AY620=1,"XT"&amp;COUNTIFS($A$3:A620,A620,$AY$3:AY620,1),"")</f>
        <v/>
      </c>
      <c r="Q620" s="152">
        <f>IF(R620="","",IFERROR(SUBSTITUTE(Разбивка_по_щитам!P620,CHAR(10)," "),""))</f>
        <v/>
      </c>
      <c r="R620" s="153">
        <f>IF(OR(Разбивка_по_щитам!H620="",Разбивка_по_щитам!H620=0),"",Разбивка_по_щитам!H620)</f>
        <v/>
      </c>
      <c r="S620" s="154">
        <f>IF(R620="","",IFERROR(Разбивка_по_щитам!J620&amp;"",""))</f>
        <v/>
      </c>
      <c r="T620" s="155">
        <f>IF(R620="","",IFERROR(--Разбивка_по_щитам!L620,""))</f>
        <v/>
      </c>
      <c r="U620" s="155">
        <f>IF(R620="","",IFERROR(--Разбивка_по_щитам!K620,""))</f>
        <v/>
      </c>
      <c r="V620" s="138">
        <f>IF(R620="","",IFERROR(IF(Разбивка_по_щитам!M620=0,"",Разбивка_по_щитам!M620),""))</f>
        <v/>
      </c>
      <c r="W620" s="156">
        <f t="shared" si="387"/>
        <v/>
      </c>
      <c r="X620" s="157">
        <f t="shared" si="388"/>
        <v/>
      </c>
      <c r="Y620" s="266"/>
      <c r="Z620" s="158">
        <f t="shared" si="389"/>
        <v/>
      </c>
      <c r="AA620" s="160">
        <f t="shared" si="390"/>
        <v/>
      </c>
      <c r="AB620" s="160">
        <f>IF(R620="","",IFERROR(LOOKUP(INDEX(Справочная!$I$4:$I$19,MATCH(VLOOKUP(R620,Исходные_данные,22,FALSE),Справочная!$J$4:$J$19,0)+1),{6,10,16,20,25,32,40,50,63,80,100,125}),""))</f>
        <v/>
      </c>
      <c r="AC620" s="160">
        <f t="shared" si="391"/>
        <v/>
      </c>
      <c r="AD620" s="161">
        <f t="shared" si="392"/>
        <v/>
      </c>
      <c r="AE620" s="161">
        <f>IF(AND(R620="",G620=""),"",_xlfn.TEXTJOIN("; ",TRUE,IF(AND(R620&lt;&gt;"",V620=""),"нет фазы",""),IF(AND(R620&lt;&gt;"",N(T620)=0),"нет мощности",""),IF(AND(P620&lt;&gt;"",COUNTIFS($A$3:$A$1000,A620,$P$3:$P$1000,P620)&gt;1),"дубль клеммы "&amp;P620,""),IF(AND(W620&lt;&gt;"",W620&lt;&gt;"ok"),W620,""),IF(X620&lt;&gt;"",X620,""),IF(AND(ISNUMBER(SEARCH("(5х",Q620)),N(AK620)=1),"5 жил на 1 фазе",""),IF(AND(AL620="R",E620&lt;&gt;"",N(AS620)=0),"розетка без 30 мА",""),IF(IFERROR(_xlfn.NUMBERVALUE(MID(Q620,FIND("-",Q620,FIND("L=",Q620))+1,FIND("%",Q620)-FIND("-",Q620,FIND("L=",Q620))-1),","),0)&gt;4,"потери &gt; 4 %","")))</f>
      </c>
      <c r="AF620" s="129">
        <f>IF(E620&lt;&gt;"",COUNTIFS($A$3:A620,A620,$E$3:E620,"?*"),IF(OR(A620&lt;&gt;A619,Y620="вручную"),"",AF619))</f>
        <v/>
      </c>
      <c r="AG620" s="129">
        <f t="shared" si="393"/>
        <v/>
      </c>
      <c r="AH620" s="129">
        <f t="shared" si="394"/>
        <v/>
      </c>
      <c r="AI620" s="129">
        <f t="shared" si="395"/>
        <v/>
      </c>
      <c r="AJ620" s="129">
        <f t="shared" si="396"/>
        <v/>
      </c>
      <c r="AK620" s="129">
        <f t="shared" si="397"/>
        <v/>
      </c>
      <c r="AL620" s="129">
        <f t="shared" si="398"/>
        <v/>
      </c>
      <c r="AM620" s="129">
        <f t="shared" si="399"/>
      </c>
      <c r="AN620" s="129">
        <f t="shared" si="400"/>
      </c>
      <c r="AO620" s="129">
        <f t="shared" si="401"/>
        <v/>
      </c>
      <c r="AP620" s="129">
        <f t="shared" si="402"/>
        <v/>
      </c>
      <c r="AQ620" s="129">
        <f t="shared" si="403"/>
        <v/>
      </c>
      <c r="AR620" s="129">
        <f t="shared" si="404"/>
        <v/>
      </c>
      <c r="AS620" s="129">
        <f t="shared" si="405"/>
        <v/>
      </c>
      <c r="AT620" s="129">
        <f t="shared" si="406"/>
        <v/>
      </c>
      <c r="AU620" s="129">
        <f t="shared" si="407"/>
        <v/>
      </c>
      <c r="AV620" s="129">
        <f t="shared" si="408"/>
        <v/>
      </c>
      <c r="AW620" s="129">
        <f>IF(AV620="","",AV620&amp;"."&amp;COUNTIFS($A$3:A620,A620,$AV$3:AV620,AV620))</f>
        <v/>
      </c>
      <c r="AX620" s="129">
        <f t="shared" si="409"/>
        <v/>
      </c>
      <c r="AY620" s="129">
        <f>IF(N620="б/к",0,IF(OR(ISNUMBER(SEARCH("L=",Разбивка_по_щитам!P620)),N620="+",N620="="),1,0))</f>
      </c>
      <c r="AZ620" s="129">
        <f t="shared" si="410"/>
        <v/>
      </c>
      <c r="BA620" s="129">
        <f t="shared" si="411"/>
      </c>
      <c r="BB620" s="129">
        <f t="shared" si="412"/>
      </c>
      <c r="BD620" s="129">
        <f t="shared" si="413"/>
      </c>
      <c r="BE620" s="129">
        <f t="shared" si="414"/>
      </c>
      <c r="BF620" s="129">
        <f t="shared" si="415"/>
      </c>
      <c r="BG620" s="129">
        <f t="shared" si="416"/>
        <v/>
      </c>
      <c r="BH620" s="129">
        <f t="shared" si="417"/>
        <v/>
      </c>
      <c r="BI620" s="129">
        <f t="shared" si="418"/>
        <v/>
      </c>
      <c r="BJ620" s="129">
        <f t="shared" si="419"/>
        <v/>
      </c>
      <c r="BK620" s="129">
        <f>IF(R620="","",IF(OR(BY620="",BY620=0),"BOX",IFERROR(IF(VLOOKUP(BY620,УГО_блоки,3,FALSE)&amp;""&lt;&gt;"",VLOOKUP(BY620,УГО_блоки,3,FALSE),VLOOKUP(BY620,УГО_блоки,2,FALSE)),BY620)))</f>
      </c>
      <c r="BL620" s="129">
        <f t="shared" si="421"/>
      </c>
      <c r="BM620" s="129">
        <f>IF(H620="","",IF(COUNTIF($H$3:H620,H620)=1,MAX($BM$2:BM619)+1,""))</f>
      </c>
      <c r="BN620" s="129">
        <f>IF(I620="","",IF(COUNTIF($I$3:I620,I620)+COUNTIF($J$2:J619,I620)+COUNTIF($K$2:K619,I620)=1,MAX($BN$2:BP619)+1,""))</f>
      </c>
      <c r="BO620" s="129">
        <f>IF(J620="","",IF(COUNTIF($I$3:I620,J620)+COUNTIF($J$3:J620,J620)+COUNTIF($K$2:K619,J620)=1,MAX($BN$2:BP619,BN620)+1,""))</f>
      </c>
      <c r="BP620" s="129">
        <f>IF(K620="","",IF(COUNTIF($I$3:I620,K620)+COUNTIF($J$3:J620,K620)+COUNTIF($K$3:K620,K620)=1,MAX($BN$2:BP619,BN620,BO620)+1,""))</f>
      </c>
      <c r="BQ620" s="129">
        <f>IF(AY620=1,IFERROR(MID(Q620,FIND(" (",Q620)+2,FIND(")",Q620,FIND(" (",Q620))-FIND(" (",Q620)-2),"?"),"")</f>
      </c>
      <c r="BR620" s="129">
        <f>IF(BQ620="","",IF(COUNTIF($BQ$3:BQ620,BQ620)=1,MAX($BR$2:BR619)+1,""))</f>
      </c>
      <c r="BS620" s="129">
        <f>IF(AW620="","",COUNTIF($AW$3:AW620,"?*"))</f>
      </c>
      <c r="BT620" s="129">
        <f>IF(OR(AW620="",AI620=""),"",IF(COUNTIFS($AW$3:AW620,"?*",$AI$3:AI620,AI620)=1,MAX($BT$2:BT619)+1,""))</f>
      </c>
      <c r="BU620" s="129">
        <f>IF(AE620="",0,IF(OR(ISNUMBER(SEARCH("дубль",AE620)),ISNUMBER(SEARCH("ПЕРЕГРУЗ",AE620)),ISNUMBER(SEARCH("ЗАЩИЩ",AE620)),ISNUMBER(SEARCH("КАНАЛ",AE620)),ISNUMBER(SEARCH("без 30",AE620))),2,1))</f>
      </c>
      <c r="BV620" s="129">
        <f>IF(R620="","",COUNTIF($R$3:R620,"?*"))</f>
      </c>
      <c r="BW620" s="129">
        <f>IF(AY620&lt;&gt;1,0,IF(MAX(IFERROR(--VLOOKUP(R620,УГО_спр,5,FALSE),0),IFERROR(--VLOOKUP(AL620,УГО_спр,5,FALSE),0),IFERROR(--VLOOKUP(LEFT(AL620,2),УГО_спр,5,FALSE),0))&gt;0,MAX(IFERROR(--VLOOKUP(R620,УГО_спр,5,FALSE),0),IFERROR(--VLOOKUP(AL620,УГО_спр,5,FALSE),0),IFERROR(--VLOOKUP(LEFT(AL620,2),УГО_спр,5,FALSE),0)),IF(IFERROR(--LEFT(SUBSTITUTE(BQ620,"x","х"),FIND("х",SUBSTITUTE(BQ620,"x","х"))-1),3)&gt;3,Каталог!$S$9,1)))</f>
      </c>
      <c r="BX620" s="129">
        <f>IF(AY620&lt;&gt;1,0,MAX(0,IFERROR(--LEFT(SUBSTITUTE(BQ620,"x","х"),FIND("х",SUBSTITUTE(BQ620,"x","х"))-1),3)-3*BW620))</f>
      </c>
      <c r="BY620" s="129">
        <f>IF(R620="","",IFERROR(VLOOKUP(R620,УГО_спр,2,FALSE),IFERROR(VLOOKUP(AL620,УГО_спр,2,FALSE),IFERROR(VLOOKUP(LEFT(AL620,2),УГО_спр,2,FALSE),""))))</f>
      </c>
    </row>
    <row r="621" spans="1:64" x14ac:dyDescent="0.3">
      <c r="A621" s="135">
        <f>IF(Разбивка_по_щитам!F621=0,"",Разбивка_по_щитам!F621)</f>
        <v/>
      </c>
      <c r="B621" s="138">
        <f>IF(A621="","",Разбивка_по_щитам!C621)</f>
        <v/>
      </c>
      <c r="C621" s="138">
        <f t="shared" si="382"/>
        <v/>
      </c>
      <c r="D621" s="266"/>
      <c r="E621" s="266"/>
      <c r="F621" s="267"/>
      <c r="G621" s="145">
        <f t="shared" si="383"/>
        <v/>
      </c>
      <c r="H621" s="145">
        <f t="shared" si="384"/>
        <v/>
      </c>
      <c r="I621" s="266"/>
      <c r="J621" s="267"/>
      <c r="K621" s="267"/>
      <c r="L621" s="266"/>
      <c r="M621" s="147">
        <f t="shared" si="385"/>
        <v/>
      </c>
      <c r="N621" s="267"/>
      <c r="O621" s="147">
        <f t="shared" si="386"/>
        <v/>
      </c>
      <c r="P621" s="268">
        <f>IF(AY621=1,"XT"&amp;COUNTIFS($A$3:A621,A621,$AY$3:AY621,1),"")</f>
        <v/>
      </c>
      <c r="Q621" s="152">
        <f>IF(R621="","",IFERROR(SUBSTITUTE(Разбивка_по_щитам!P621,CHAR(10)," "),""))</f>
        <v/>
      </c>
      <c r="R621" s="153">
        <f>IF(OR(Разбивка_по_щитам!H621="",Разбивка_по_щитам!H621=0),"",Разбивка_по_щитам!H621)</f>
        <v/>
      </c>
      <c r="S621" s="154">
        <f>IF(R621="","",IFERROR(Разбивка_по_щитам!J621&amp;"",""))</f>
        <v/>
      </c>
      <c r="T621" s="155">
        <f>IF(R621="","",IFERROR(--Разбивка_по_щитам!L621,""))</f>
        <v/>
      </c>
      <c r="U621" s="155">
        <f>IF(R621="","",IFERROR(--Разбивка_по_щитам!K621,""))</f>
        <v/>
      </c>
      <c r="V621" s="138">
        <f>IF(R621="","",IFERROR(IF(Разбивка_по_щитам!M621=0,"",Разбивка_по_щитам!M621),""))</f>
        <v/>
      </c>
      <c r="W621" s="156">
        <f t="shared" si="387"/>
        <v/>
      </c>
      <c r="X621" s="157">
        <f t="shared" si="388"/>
        <v/>
      </c>
      <c r="Y621" s="266"/>
      <c r="Z621" s="158">
        <f t="shared" si="389"/>
        <v/>
      </c>
      <c r="AA621" s="160">
        <f t="shared" si="390"/>
        <v/>
      </c>
      <c r="AB621" s="160">
        <f>IF(R621="","",IFERROR(LOOKUP(INDEX(Справочная!$I$4:$I$19,MATCH(VLOOKUP(R621,Исходные_данные,22,FALSE),Справочная!$J$4:$J$19,0)+1),{6,10,16,20,25,32,40,50,63,80,100,125}),""))</f>
        <v/>
      </c>
      <c r="AC621" s="160">
        <f t="shared" si="391"/>
        <v/>
      </c>
      <c r="AD621" s="161">
        <f t="shared" si="392"/>
        <v/>
      </c>
      <c r="AE621" s="161">
        <f>IF(AND(R621="",G621=""),"",_xlfn.TEXTJOIN("; ",TRUE,IF(AND(R621&lt;&gt;"",V621=""),"нет фазы",""),IF(AND(R621&lt;&gt;"",N(T621)=0),"нет мощности",""),IF(AND(P621&lt;&gt;"",COUNTIFS($A$3:$A$1000,A621,$P$3:$P$1000,P621)&gt;1),"дубль клеммы "&amp;P621,""),IF(AND(W621&lt;&gt;"",W621&lt;&gt;"ok"),W621,""),IF(X621&lt;&gt;"",X621,""),IF(AND(ISNUMBER(SEARCH("(5х",Q621)),N(AK621)=1),"5 жил на 1 фазе",""),IF(AND(AL621="R",E621&lt;&gt;"",N(AS621)=0),"розетка без 30 мА",""),IF(IFERROR(_xlfn.NUMBERVALUE(MID(Q621,FIND("-",Q621,FIND("L=",Q621))+1,FIND("%",Q621)-FIND("-",Q621,FIND("L=",Q621))-1),","),0)&gt;4,"потери &gt; 4 %","")))</f>
      </c>
      <c r="AF621" s="129">
        <f>IF(E621&lt;&gt;"",COUNTIFS($A$3:A621,A621,$E$3:E621,"?*"),IF(OR(A621&lt;&gt;A620,Y621="вручную"),"",AF620))</f>
        <v/>
      </c>
      <c r="AG621" s="129">
        <f t="shared" si="393"/>
        <v/>
      </c>
      <c r="AH621" s="129">
        <f t="shared" si="394"/>
        <v/>
      </c>
      <c r="AI621" s="129">
        <f t="shared" si="395"/>
        <v/>
      </c>
      <c r="AJ621" s="129">
        <f t="shared" si="396"/>
        <v/>
      </c>
      <c r="AK621" s="129">
        <f t="shared" si="397"/>
        <v/>
      </c>
      <c r="AL621" s="129">
        <f t="shared" si="398"/>
        <v/>
      </c>
      <c r="AM621" s="129">
        <f t="shared" si="399"/>
      </c>
      <c r="AN621" s="129">
        <f t="shared" si="400"/>
      </c>
      <c r="AO621" s="129">
        <f t="shared" si="401"/>
        <v/>
      </c>
      <c r="AP621" s="129">
        <f t="shared" si="402"/>
        <v/>
      </c>
      <c r="AQ621" s="129">
        <f t="shared" si="403"/>
        <v/>
      </c>
      <c r="AR621" s="129">
        <f t="shared" si="404"/>
        <v/>
      </c>
      <c r="AS621" s="129">
        <f t="shared" si="405"/>
        <v/>
      </c>
      <c r="AT621" s="129">
        <f t="shared" si="406"/>
        <v/>
      </c>
      <c r="AU621" s="129">
        <f t="shared" si="407"/>
        <v/>
      </c>
      <c r="AV621" s="129">
        <f t="shared" si="408"/>
        <v/>
      </c>
      <c r="AW621" s="129">
        <f>IF(AV621="","",AV621&amp;"."&amp;COUNTIFS($A$3:A621,A621,$AV$3:AV621,AV621))</f>
        <v/>
      </c>
      <c r="AX621" s="129">
        <f t="shared" si="409"/>
        <v/>
      </c>
      <c r="AY621" s="129">
        <f>IF(N621="б/к",0,IF(OR(ISNUMBER(SEARCH("L=",Разбивка_по_щитам!P621)),N621="+",N621="="),1,0))</f>
      </c>
      <c r="AZ621" s="129">
        <f t="shared" si="410"/>
        <v/>
      </c>
      <c r="BA621" s="129">
        <f t="shared" si="411"/>
      </c>
      <c r="BB621" s="129">
        <f t="shared" si="412"/>
      </c>
      <c r="BD621" s="129">
        <f t="shared" si="413"/>
      </c>
      <c r="BE621" s="129">
        <f t="shared" si="414"/>
      </c>
      <c r="BF621" s="129">
        <f t="shared" si="415"/>
      </c>
      <c r="BG621" s="129">
        <f t="shared" si="416"/>
        <v/>
      </c>
      <c r="BH621" s="129">
        <f t="shared" si="417"/>
        <v/>
      </c>
      <c r="BI621" s="129">
        <f t="shared" si="418"/>
        <v/>
      </c>
      <c r="BJ621" s="129">
        <f t="shared" si="419"/>
        <v/>
      </c>
      <c r="BK621" s="129">
        <f>IF(R621="","",IF(OR(BY621="",BY621=0),"BOX",IFERROR(IF(VLOOKUP(BY621,УГО_блоки,3,FALSE)&amp;""&lt;&gt;"",VLOOKUP(BY621,УГО_блоки,3,FALSE),VLOOKUP(BY621,УГО_блоки,2,FALSE)),BY621)))</f>
      </c>
      <c r="BL621" s="129">
        <f t="shared" si="421"/>
      </c>
      <c r="BM621" s="129">
        <f>IF(H621="","",IF(COUNTIF($H$3:H621,H621)=1,MAX($BM$2:BM620)+1,""))</f>
      </c>
      <c r="BN621" s="129">
        <f>IF(I621="","",IF(COUNTIF($I$3:I621,I621)+COUNTIF($J$2:J620,I621)+COUNTIF($K$2:K620,I621)=1,MAX($BN$2:BP620)+1,""))</f>
      </c>
      <c r="BO621" s="129">
        <f>IF(J621="","",IF(COUNTIF($I$3:I621,J621)+COUNTIF($J$3:J621,J621)+COUNTIF($K$2:K620,J621)=1,MAX($BN$2:BP620,BN621)+1,""))</f>
      </c>
      <c r="BP621" s="129">
        <f>IF(K621="","",IF(COUNTIF($I$3:I621,K621)+COUNTIF($J$3:J621,K621)+COUNTIF($K$3:K621,K621)=1,MAX($BN$2:BP620,BN621,BO621)+1,""))</f>
      </c>
      <c r="BQ621" s="129">
        <f>IF(AY621=1,IFERROR(MID(Q621,FIND(" (",Q621)+2,FIND(")",Q621,FIND(" (",Q621))-FIND(" (",Q621)-2),"?"),"")</f>
      </c>
      <c r="BR621" s="129">
        <f>IF(BQ621="","",IF(COUNTIF($BQ$3:BQ621,BQ621)=1,MAX($BR$2:BR620)+1,""))</f>
      </c>
      <c r="BS621" s="129">
        <f>IF(AW621="","",COUNTIF($AW$3:AW621,"?*"))</f>
      </c>
      <c r="BT621" s="129">
        <f>IF(OR(AW621="",AI621=""),"",IF(COUNTIFS($AW$3:AW621,"?*",$AI$3:AI621,AI621)=1,MAX($BT$2:BT620)+1,""))</f>
      </c>
      <c r="BU621" s="129">
        <f>IF(AE621="",0,IF(OR(ISNUMBER(SEARCH("дубль",AE621)),ISNUMBER(SEARCH("ПЕРЕГРУЗ",AE621)),ISNUMBER(SEARCH("ЗАЩИЩ",AE621)),ISNUMBER(SEARCH("КАНАЛ",AE621)),ISNUMBER(SEARCH("без 30",AE621))),2,1))</f>
      </c>
      <c r="BV621" s="129">
        <f>IF(R621="","",COUNTIF($R$3:R621,"?*"))</f>
      </c>
      <c r="BW621" s="129">
        <f>IF(AY621&lt;&gt;1,0,IF(MAX(IFERROR(--VLOOKUP(R621,УГО_спр,5,FALSE),0),IFERROR(--VLOOKUP(AL621,УГО_спр,5,FALSE),0),IFERROR(--VLOOKUP(LEFT(AL621,2),УГО_спр,5,FALSE),0))&gt;0,MAX(IFERROR(--VLOOKUP(R621,УГО_спр,5,FALSE),0),IFERROR(--VLOOKUP(AL621,УГО_спр,5,FALSE),0),IFERROR(--VLOOKUP(LEFT(AL621,2),УГО_спр,5,FALSE),0)),IF(IFERROR(--LEFT(SUBSTITUTE(BQ621,"x","х"),FIND("х",SUBSTITUTE(BQ621,"x","х"))-1),3)&gt;3,Каталог!$S$9,1)))</f>
      </c>
      <c r="BX621" s="129">
        <f>IF(AY621&lt;&gt;1,0,MAX(0,IFERROR(--LEFT(SUBSTITUTE(BQ621,"x","х"),FIND("х",SUBSTITUTE(BQ621,"x","х"))-1),3)-3*BW621))</f>
      </c>
      <c r="BY621" s="129">
        <f>IF(R621="","",IFERROR(VLOOKUP(R621,УГО_спр,2,FALSE),IFERROR(VLOOKUP(AL621,УГО_спр,2,FALSE),IFERROR(VLOOKUP(LEFT(AL621,2),УГО_спр,2,FALSE),""))))</f>
      </c>
    </row>
    <row r="622" spans="1:64" x14ac:dyDescent="0.3">
      <c r="A622" s="135">
        <f>IF(Разбивка_по_щитам!F622=0,"",Разбивка_по_щитам!F622)</f>
        <v/>
      </c>
      <c r="B622" s="138">
        <f>IF(A622="","",Разбивка_по_щитам!C622)</f>
        <v/>
      </c>
      <c r="C622" s="138">
        <f t="shared" si="382"/>
        <v/>
      </c>
      <c r="D622" s="266"/>
      <c r="E622" s="266"/>
      <c r="F622" s="267"/>
      <c r="G622" s="145">
        <f t="shared" si="383"/>
        <v/>
      </c>
      <c r="H622" s="145">
        <f t="shared" si="384"/>
        <v/>
      </c>
      <c r="I622" s="266"/>
      <c r="J622" s="267"/>
      <c r="K622" s="267"/>
      <c r="L622" s="266"/>
      <c r="M622" s="147">
        <f t="shared" si="385"/>
        <v/>
      </c>
      <c r="N622" s="267"/>
      <c r="O622" s="147">
        <f t="shared" si="386"/>
        <v/>
      </c>
      <c r="P622" s="268">
        <f>IF(AY622=1,"XT"&amp;COUNTIFS($A$3:A622,A622,$AY$3:AY622,1),"")</f>
        <v/>
      </c>
      <c r="Q622" s="152">
        <f>IF(R622="","",IFERROR(SUBSTITUTE(Разбивка_по_щитам!P622,CHAR(10)," "),""))</f>
        <v/>
      </c>
      <c r="R622" s="153">
        <f>IF(OR(Разбивка_по_щитам!H622="",Разбивка_по_щитам!H622=0),"",Разбивка_по_щитам!H622)</f>
        <v/>
      </c>
      <c r="S622" s="154">
        <f>IF(R622="","",IFERROR(Разбивка_по_щитам!J622&amp;"",""))</f>
        <v/>
      </c>
      <c r="T622" s="155">
        <f>IF(R622="","",IFERROR(--Разбивка_по_щитам!L622,""))</f>
        <v/>
      </c>
      <c r="U622" s="155">
        <f>IF(R622="","",IFERROR(--Разбивка_по_щитам!K622,""))</f>
        <v/>
      </c>
      <c r="V622" s="138">
        <f>IF(R622="","",IFERROR(IF(Разбивка_по_щитам!M622=0,"",Разбивка_по_щитам!M622),""))</f>
        <v/>
      </c>
      <c r="W622" s="156">
        <f t="shared" si="387"/>
        <v/>
      </c>
      <c r="X622" s="157">
        <f t="shared" si="388"/>
        <v/>
      </c>
      <c r="Y622" s="266"/>
      <c r="Z622" s="158">
        <f t="shared" si="389"/>
        <v/>
      </c>
      <c r="AA622" s="160">
        <f t="shared" si="390"/>
        <v/>
      </c>
      <c r="AB622" s="160">
        <f>IF(R622="","",IFERROR(LOOKUP(INDEX(Справочная!$I$4:$I$19,MATCH(VLOOKUP(R622,Исходные_данные,22,FALSE),Справочная!$J$4:$J$19,0)+1),{6,10,16,20,25,32,40,50,63,80,100,125}),""))</f>
        <v/>
      </c>
      <c r="AC622" s="160">
        <f t="shared" si="391"/>
        <v/>
      </c>
      <c r="AD622" s="161">
        <f t="shared" si="392"/>
        <v/>
      </c>
      <c r="AE622" s="161">
        <f>IF(AND(R622="",G622=""),"",_xlfn.TEXTJOIN("; ",TRUE,IF(AND(R622&lt;&gt;"",V622=""),"нет фазы",""),IF(AND(R622&lt;&gt;"",N(T622)=0),"нет мощности",""),IF(AND(P622&lt;&gt;"",COUNTIFS($A$3:$A$1000,A622,$P$3:$P$1000,P622)&gt;1),"дубль клеммы "&amp;P622,""),IF(AND(W622&lt;&gt;"",W622&lt;&gt;"ok"),W622,""),IF(X622&lt;&gt;"",X622,""),IF(AND(ISNUMBER(SEARCH("(5х",Q622)),N(AK622)=1),"5 жил на 1 фазе",""),IF(AND(AL622="R",E622&lt;&gt;"",N(AS622)=0),"розетка без 30 мА",""),IF(IFERROR(_xlfn.NUMBERVALUE(MID(Q622,FIND("-",Q622,FIND("L=",Q622))+1,FIND("%",Q622)-FIND("-",Q622,FIND("L=",Q622))-1),","),0)&gt;4,"потери &gt; 4 %","")))</f>
      </c>
      <c r="AF622" s="129">
        <f>IF(E622&lt;&gt;"",COUNTIFS($A$3:A622,A622,$E$3:E622,"?*"),IF(OR(A622&lt;&gt;A621,Y622="вручную"),"",AF621))</f>
        <v/>
      </c>
      <c r="AG622" s="129">
        <f t="shared" si="393"/>
        <v/>
      </c>
      <c r="AH622" s="129">
        <f t="shared" si="394"/>
        <v/>
      </c>
      <c r="AI622" s="129">
        <f t="shared" si="395"/>
        <v/>
      </c>
      <c r="AJ622" s="129">
        <f t="shared" si="396"/>
        <v/>
      </c>
      <c r="AK622" s="129">
        <f t="shared" si="397"/>
        <v/>
      </c>
      <c r="AL622" s="129">
        <f t="shared" si="398"/>
        <v/>
      </c>
      <c r="AM622" s="129">
        <f t="shared" si="399"/>
      </c>
      <c r="AN622" s="129">
        <f t="shared" si="400"/>
      </c>
      <c r="AO622" s="129">
        <f t="shared" si="401"/>
        <v/>
      </c>
      <c r="AP622" s="129">
        <f t="shared" si="402"/>
        <v/>
      </c>
      <c r="AQ622" s="129">
        <f t="shared" si="403"/>
        <v/>
      </c>
      <c r="AR622" s="129">
        <f t="shared" si="404"/>
        <v/>
      </c>
      <c r="AS622" s="129">
        <f t="shared" si="405"/>
        <v/>
      </c>
      <c r="AT622" s="129">
        <f t="shared" si="406"/>
        <v/>
      </c>
      <c r="AU622" s="129">
        <f t="shared" si="407"/>
        <v/>
      </c>
      <c r="AV622" s="129">
        <f t="shared" si="408"/>
        <v/>
      </c>
      <c r="AW622" s="129">
        <f>IF(AV622="","",AV622&amp;"."&amp;COUNTIFS($A$3:A622,A622,$AV$3:AV622,AV622))</f>
        <v/>
      </c>
      <c r="AX622" s="129">
        <f t="shared" si="409"/>
        <v/>
      </c>
      <c r="AY622" s="129">
        <f>IF(N622="б/к",0,IF(OR(ISNUMBER(SEARCH("L=",Разбивка_по_щитам!P622)),N622="+",N622="="),1,0))</f>
      </c>
      <c r="AZ622" s="129">
        <f t="shared" si="410"/>
        <v/>
      </c>
      <c r="BA622" s="129">
        <f t="shared" si="411"/>
      </c>
      <c r="BB622" s="129">
        <f t="shared" si="412"/>
      </c>
      <c r="BD622" s="129">
        <f t="shared" si="413"/>
      </c>
      <c r="BE622" s="129">
        <f t="shared" si="414"/>
      </c>
      <c r="BF622" s="129">
        <f t="shared" si="415"/>
      </c>
      <c r="BG622" s="129">
        <f t="shared" si="416"/>
        <v/>
      </c>
      <c r="BH622" s="129">
        <f t="shared" si="417"/>
        <v/>
      </c>
      <c r="BI622" s="129">
        <f t="shared" si="418"/>
        <v/>
      </c>
      <c r="BJ622" s="129">
        <f t="shared" si="419"/>
        <v/>
      </c>
      <c r="BK622" s="129">
        <f>IF(R622="","",IF(OR(BY622="",BY622=0),"BOX",IFERROR(IF(VLOOKUP(BY622,УГО_блоки,3,FALSE)&amp;""&lt;&gt;"",VLOOKUP(BY622,УГО_блоки,3,FALSE),VLOOKUP(BY622,УГО_блоки,2,FALSE)),BY622)))</f>
      </c>
      <c r="BL622" s="129">
        <f t="shared" si="421"/>
      </c>
      <c r="BM622" s="129">
        <f>IF(H622="","",IF(COUNTIF($H$3:H622,H622)=1,MAX($BM$2:BM621)+1,""))</f>
      </c>
      <c r="BN622" s="129">
        <f>IF(I622="","",IF(COUNTIF($I$3:I622,I622)+COUNTIF($J$2:J621,I622)+COUNTIF($K$2:K621,I622)=1,MAX($BN$2:BP621)+1,""))</f>
      </c>
      <c r="BO622" s="129">
        <f>IF(J622="","",IF(COUNTIF($I$3:I622,J622)+COUNTIF($J$3:J622,J622)+COUNTIF($K$2:K621,J622)=1,MAX($BN$2:BP621,BN622)+1,""))</f>
      </c>
      <c r="BP622" s="129">
        <f>IF(K622="","",IF(COUNTIF($I$3:I622,K622)+COUNTIF($J$3:J622,K622)+COUNTIF($K$3:K622,K622)=1,MAX($BN$2:BP621,BN622,BO622)+1,""))</f>
      </c>
      <c r="BQ622" s="129">
        <f>IF(AY622=1,IFERROR(MID(Q622,FIND(" (",Q622)+2,FIND(")",Q622,FIND(" (",Q622))-FIND(" (",Q622)-2),"?"),"")</f>
      </c>
      <c r="BR622" s="129">
        <f>IF(BQ622="","",IF(COUNTIF($BQ$3:BQ622,BQ622)=1,MAX($BR$2:BR621)+1,""))</f>
      </c>
      <c r="BS622" s="129">
        <f>IF(AW622="","",COUNTIF($AW$3:AW622,"?*"))</f>
      </c>
      <c r="BT622" s="129">
        <f>IF(OR(AW622="",AI622=""),"",IF(COUNTIFS($AW$3:AW622,"?*",$AI$3:AI622,AI622)=1,MAX($BT$2:BT621)+1,""))</f>
      </c>
      <c r="BU622" s="129">
        <f>IF(AE622="",0,IF(OR(ISNUMBER(SEARCH("дубль",AE622)),ISNUMBER(SEARCH("ПЕРЕГРУЗ",AE622)),ISNUMBER(SEARCH("ЗАЩИЩ",AE622)),ISNUMBER(SEARCH("КАНАЛ",AE622)),ISNUMBER(SEARCH("без 30",AE622))),2,1))</f>
      </c>
      <c r="BV622" s="129">
        <f>IF(R622="","",COUNTIF($R$3:R622,"?*"))</f>
      </c>
      <c r="BW622" s="129">
        <f>IF(AY622&lt;&gt;1,0,IF(MAX(IFERROR(--VLOOKUP(R622,УГО_спр,5,FALSE),0),IFERROR(--VLOOKUP(AL622,УГО_спр,5,FALSE),0),IFERROR(--VLOOKUP(LEFT(AL622,2),УГО_спр,5,FALSE),0))&gt;0,MAX(IFERROR(--VLOOKUP(R622,УГО_спр,5,FALSE),0),IFERROR(--VLOOKUP(AL622,УГО_спр,5,FALSE),0),IFERROR(--VLOOKUP(LEFT(AL622,2),УГО_спр,5,FALSE),0)),IF(IFERROR(--LEFT(SUBSTITUTE(BQ622,"x","х"),FIND("х",SUBSTITUTE(BQ622,"x","х"))-1),3)&gt;3,Каталог!$S$9,1)))</f>
      </c>
      <c r="BX622" s="129">
        <f>IF(AY622&lt;&gt;1,0,MAX(0,IFERROR(--LEFT(SUBSTITUTE(BQ622,"x","х"),FIND("х",SUBSTITUTE(BQ622,"x","х"))-1),3)-3*BW622))</f>
      </c>
      <c r="BY622" s="129">
        <f>IF(R622="","",IFERROR(VLOOKUP(R622,УГО_спр,2,FALSE),IFERROR(VLOOKUP(AL622,УГО_спр,2,FALSE),IFERROR(VLOOKUP(LEFT(AL622,2),УГО_спр,2,FALSE),""))))</f>
      </c>
    </row>
    <row r="623" spans="1:64" x14ac:dyDescent="0.3">
      <c r="A623" s="135">
        <f>IF(Разбивка_по_щитам!F623=0,"",Разбивка_по_щитам!F623)</f>
        <v/>
      </c>
      <c r="B623" s="138">
        <f>IF(A623="","",Разбивка_по_щитам!C623)</f>
        <v/>
      </c>
      <c r="C623" s="138">
        <f t="shared" si="382"/>
        <v/>
      </c>
      <c r="D623" s="266"/>
      <c r="E623" s="266"/>
      <c r="F623" s="267"/>
      <c r="G623" s="145">
        <f t="shared" si="383"/>
        <v/>
      </c>
      <c r="H623" s="145">
        <f t="shared" si="384"/>
        <v/>
      </c>
      <c r="I623" s="266"/>
      <c r="J623" s="267"/>
      <c r="K623" s="267"/>
      <c r="L623" s="266"/>
      <c r="M623" s="147">
        <f t="shared" si="385"/>
        <v/>
      </c>
      <c r="N623" s="267"/>
      <c r="O623" s="147">
        <f t="shared" si="386"/>
        <v/>
      </c>
      <c r="P623" s="268">
        <f>IF(AY623=1,"XT"&amp;COUNTIFS($A$3:A623,A623,$AY$3:AY623,1),"")</f>
        <v/>
      </c>
      <c r="Q623" s="152">
        <f>IF(R623="","",IFERROR(SUBSTITUTE(Разбивка_по_щитам!P623,CHAR(10)," "),""))</f>
        <v/>
      </c>
      <c r="R623" s="153">
        <f>IF(OR(Разбивка_по_щитам!H623="",Разбивка_по_щитам!H623=0),"",Разбивка_по_щитам!H623)</f>
        <v/>
      </c>
      <c r="S623" s="154">
        <f>IF(R623="","",IFERROR(Разбивка_по_щитам!J623&amp;"",""))</f>
        <v/>
      </c>
      <c r="T623" s="155">
        <f>IF(R623="","",IFERROR(--Разбивка_по_щитам!L623,""))</f>
        <v/>
      </c>
      <c r="U623" s="155">
        <f>IF(R623="","",IFERROR(--Разбивка_по_щитам!K623,""))</f>
        <v/>
      </c>
      <c r="V623" s="138">
        <f>IF(R623="","",IFERROR(IF(Разбивка_по_щитам!M623=0,"",Разбивка_по_щитам!M623),""))</f>
        <v/>
      </c>
      <c r="W623" s="156">
        <f t="shared" si="387"/>
        <v/>
      </c>
      <c r="X623" s="157">
        <f t="shared" si="388"/>
        <v/>
      </c>
      <c r="Y623" s="266"/>
      <c r="Z623" s="158">
        <f t="shared" si="389"/>
        <v/>
      </c>
      <c r="AA623" s="160">
        <f t="shared" si="390"/>
        <v/>
      </c>
      <c r="AB623" s="160">
        <f>IF(R623="","",IFERROR(LOOKUP(INDEX(Справочная!$I$4:$I$19,MATCH(VLOOKUP(R623,Исходные_данные,22,FALSE),Справочная!$J$4:$J$19,0)+1),{6,10,16,20,25,32,40,50,63,80,100,125}),""))</f>
        <v/>
      </c>
      <c r="AC623" s="160">
        <f t="shared" si="391"/>
        <v/>
      </c>
      <c r="AD623" s="161">
        <f t="shared" si="392"/>
        <v/>
      </c>
      <c r="AE623" s="161">
        <f>IF(AND(R623="",G623=""),"",_xlfn.TEXTJOIN("; ",TRUE,IF(AND(R623&lt;&gt;"",V623=""),"нет фазы",""),IF(AND(R623&lt;&gt;"",N(T623)=0),"нет мощности",""),IF(AND(P623&lt;&gt;"",COUNTIFS($A$3:$A$1000,A623,$P$3:$P$1000,P623)&gt;1),"дубль клеммы "&amp;P623,""),IF(AND(W623&lt;&gt;"",W623&lt;&gt;"ok"),W623,""),IF(X623&lt;&gt;"",X623,""),IF(AND(ISNUMBER(SEARCH("(5х",Q623)),N(AK623)=1),"5 жил на 1 фазе",""),IF(AND(AL623="R",E623&lt;&gt;"",N(AS623)=0),"розетка без 30 мА",""),IF(IFERROR(_xlfn.NUMBERVALUE(MID(Q623,FIND("-",Q623,FIND("L=",Q623))+1,FIND("%",Q623)-FIND("-",Q623,FIND("L=",Q623))-1),","),0)&gt;4,"потери &gt; 4 %","")))</f>
      </c>
      <c r="AF623" s="129">
        <f>IF(E623&lt;&gt;"",COUNTIFS($A$3:A623,A623,$E$3:E623,"?*"),IF(OR(A623&lt;&gt;A622,Y623="вручную"),"",AF622))</f>
        <v/>
      </c>
      <c r="AG623" s="129">
        <f t="shared" si="393"/>
        <v/>
      </c>
      <c r="AH623" s="129">
        <f t="shared" si="394"/>
        <v/>
      </c>
      <c r="AI623" s="129">
        <f t="shared" si="395"/>
        <v/>
      </c>
      <c r="AJ623" s="129">
        <f t="shared" si="396"/>
        <v/>
      </c>
      <c r="AK623" s="129">
        <f t="shared" si="397"/>
        <v/>
      </c>
      <c r="AL623" s="129">
        <f t="shared" si="398"/>
        <v/>
      </c>
      <c r="AM623" s="129">
        <f t="shared" si="399"/>
      </c>
      <c r="AN623" s="129">
        <f t="shared" si="400"/>
      </c>
      <c r="AO623" s="129">
        <f t="shared" si="401"/>
        <v/>
      </c>
      <c r="AP623" s="129">
        <f t="shared" si="402"/>
        <v/>
      </c>
      <c r="AQ623" s="129">
        <f t="shared" si="403"/>
        <v/>
      </c>
      <c r="AR623" s="129">
        <f t="shared" si="404"/>
        <v/>
      </c>
      <c r="AS623" s="129">
        <f t="shared" si="405"/>
        <v/>
      </c>
      <c r="AT623" s="129">
        <f t="shared" si="406"/>
        <v/>
      </c>
      <c r="AU623" s="129">
        <f t="shared" si="407"/>
        <v/>
      </c>
      <c r="AV623" s="129">
        <f t="shared" si="408"/>
        <v/>
      </c>
      <c r="AW623" s="129">
        <f>IF(AV623="","",AV623&amp;"."&amp;COUNTIFS($A$3:A623,A623,$AV$3:AV623,AV623))</f>
        <v/>
      </c>
      <c r="AX623" s="129">
        <f t="shared" si="409"/>
        <v/>
      </c>
      <c r="AY623" s="129">
        <f>IF(N623="б/к",0,IF(OR(ISNUMBER(SEARCH("L=",Разбивка_по_щитам!P623)),N623="+",N623="="),1,0))</f>
      </c>
      <c r="AZ623" s="129">
        <f t="shared" si="410"/>
        <v/>
      </c>
      <c r="BA623" s="129">
        <f t="shared" si="411"/>
      </c>
      <c r="BB623" s="129">
        <f t="shared" si="412"/>
      </c>
      <c r="BD623" s="129">
        <f t="shared" si="413"/>
      </c>
      <c r="BE623" s="129">
        <f t="shared" si="414"/>
      </c>
      <c r="BF623" s="129">
        <f t="shared" si="415"/>
      </c>
      <c r="BG623" s="129">
        <f t="shared" si="416"/>
        <v/>
      </c>
      <c r="BH623" s="129">
        <f t="shared" si="417"/>
        <v/>
      </c>
      <c r="BI623" s="129">
        <f t="shared" si="418"/>
        <v/>
      </c>
      <c r="BJ623" s="129">
        <f t="shared" si="419"/>
        <v/>
      </c>
      <c r="BK623" s="129">
        <f>IF(R623="","",IF(OR(BY623="",BY623=0),"BOX",IFERROR(IF(VLOOKUP(BY623,УГО_блоки,3,FALSE)&amp;""&lt;&gt;"",VLOOKUP(BY623,УГО_блоки,3,FALSE),VLOOKUP(BY623,УГО_блоки,2,FALSE)),BY623)))</f>
      </c>
      <c r="BL623" s="129">
        <f t="shared" si="421"/>
      </c>
      <c r="BM623" s="129">
        <f>IF(H623="","",IF(COUNTIF($H$3:H623,H623)=1,MAX($BM$2:BM622)+1,""))</f>
      </c>
      <c r="BN623" s="129">
        <f>IF(I623="","",IF(COUNTIF($I$3:I623,I623)+COUNTIF($J$2:J622,I623)+COUNTIF($K$2:K622,I623)=1,MAX($BN$2:BP622)+1,""))</f>
      </c>
      <c r="BO623" s="129">
        <f>IF(J623="","",IF(COUNTIF($I$3:I623,J623)+COUNTIF($J$3:J623,J623)+COUNTIF($K$2:K622,J623)=1,MAX($BN$2:BP622,BN623)+1,""))</f>
      </c>
      <c r="BP623" s="129">
        <f>IF(K623="","",IF(COUNTIF($I$3:I623,K623)+COUNTIF($J$3:J623,K623)+COUNTIF($K$3:K623,K623)=1,MAX($BN$2:BP622,BN623,BO623)+1,""))</f>
      </c>
      <c r="BQ623" s="129">
        <f>IF(AY623=1,IFERROR(MID(Q623,FIND(" (",Q623)+2,FIND(")",Q623,FIND(" (",Q623))-FIND(" (",Q623)-2),"?"),"")</f>
      </c>
      <c r="BR623" s="129">
        <f>IF(BQ623="","",IF(COUNTIF($BQ$3:BQ623,BQ623)=1,MAX($BR$2:BR622)+1,""))</f>
      </c>
      <c r="BS623" s="129">
        <f>IF(AW623="","",COUNTIF($AW$3:AW623,"?*"))</f>
      </c>
      <c r="BT623" s="129">
        <f>IF(OR(AW623="",AI623=""),"",IF(COUNTIFS($AW$3:AW623,"?*",$AI$3:AI623,AI623)=1,MAX($BT$2:BT622)+1,""))</f>
      </c>
      <c r="BU623" s="129">
        <f>IF(AE623="",0,IF(OR(ISNUMBER(SEARCH("дубль",AE623)),ISNUMBER(SEARCH("ПЕРЕГРУЗ",AE623)),ISNUMBER(SEARCH("ЗАЩИЩ",AE623)),ISNUMBER(SEARCH("КАНАЛ",AE623)),ISNUMBER(SEARCH("без 30",AE623))),2,1))</f>
      </c>
      <c r="BV623" s="129">
        <f>IF(R623="","",COUNTIF($R$3:R623,"?*"))</f>
      </c>
      <c r="BW623" s="129">
        <f>IF(AY623&lt;&gt;1,0,IF(MAX(IFERROR(--VLOOKUP(R623,УГО_спр,5,FALSE),0),IFERROR(--VLOOKUP(AL623,УГО_спр,5,FALSE),0),IFERROR(--VLOOKUP(LEFT(AL623,2),УГО_спр,5,FALSE),0))&gt;0,MAX(IFERROR(--VLOOKUP(R623,УГО_спр,5,FALSE),0),IFERROR(--VLOOKUP(AL623,УГО_спр,5,FALSE),0),IFERROR(--VLOOKUP(LEFT(AL623,2),УГО_спр,5,FALSE),0)),IF(IFERROR(--LEFT(SUBSTITUTE(BQ623,"x","х"),FIND("х",SUBSTITUTE(BQ623,"x","х"))-1),3)&gt;3,Каталог!$S$9,1)))</f>
      </c>
      <c r="BX623" s="129">
        <f>IF(AY623&lt;&gt;1,0,MAX(0,IFERROR(--LEFT(SUBSTITUTE(BQ623,"x","х"),FIND("х",SUBSTITUTE(BQ623,"x","х"))-1),3)-3*BW623))</f>
      </c>
      <c r="BY623" s="129">
        <f>IF(R623="","",IFERROR(VLOOKUP(R623,УГО_спр,2,FALSE),IFERROR(VLOOKUP(AL623,УГО_спр,2,FALSE),IFERROR(VLOOKUP(LEFT(AL623,2),УГО_спр,2,FALSE),""))))</f>
      </c>
    </row>
    <row r="624" spans="1:64" x14ac:dyDescent="0.3">
      <c r="A624" s="135">
        <f>IF(Разбивка_по_щитам!F624=0,"",Разбивка_по_щитам!F624)</f>
        <v/>
      </c>
      <c r="B624" s="138">
        <f>IF(A624="","",Разбивка_по_щитам!C624)</f>
        <v/>
      </c>
      <c r="C624" s="138">
        <f t="shared" si="382"/>
        <v/>
      </c>
      <c r="D624" s="266"/>
      <c r="E624" s="266"/>
      <c r="F624" s="267"/>
      <c r="G624" s="145">
        <f t="shared" si="383"/>
        <v/>
      </c>
      <c r="H624" s="145">
        <f t="shared" si="384"/>
        <v/>
      </c>
      <c r="I624" s="266"/>
      <c r="J624" s="267"/>
      <c r="K624" s="267"/>
      <c r="L624" s="266"/>
      <c r="M624" s="147">
        <f t="shared" si="385"/>
        <v/>
      </c>
      <c r="N624" s="267"/>
      <c r="O624" s="147">
        <f t="shared" si="386"/>
        <v/>
      </c>
      <c r="P624" s="268">
        <f>IF(AY624=1,"XT"&amp;COUNTIFS($A$3:A624,A624,$AY$3:AY624,1),"")</f>
        <v/>
      </c>
      <c r="Q624" s="152">
        <f>IF(R624="","",IFERROR(SUBSTITUTE(Разбивка_по_щитам!P624,CHAR(10)," "),""))</f>
        <v/>
      </c>
      <c r="R624" s="153">
        <f>IF(OR(Разбивка_по_щитам!H624="",Разбивка_по_щитам!H624=0),"",Разбивка_по_щитам!H624)</f>
        <v/>
      </c>
      <c r="S624" s="154">
        <f>IF(R624="","",IFERROR(Разбивка_по_щитам!J624&amp;"",""))</f>
        <v/>
      </c>
      <c r="T624" s="155">
        <f>IF(R624="","",IFERROR(--Разбивка_по_щитам!L624,""))</f>
        <v/>
      </c>
      <c r="U624" s="155">
        <f>IF(R624="","",IFERROR(--Разбивка_по_щитам!K624,""))</f>
        <v/>
      </c>
      <c r="V624" s="138">
        <f>IF(R624="","",IFERROR(IF(Разбивка_по_щитам!M624=0,"",Разбивка_по_щитам!M624),""))</f>
        <v/>
      </c>
      <c r="W624" s="156">
        <f t="shared" si="387"/>
        <v/>
      </c>
      <c r="X624" s="157">
        <f t="shared" si="388"/>
        <v/>
      </c>
      <c r="Y624" s="266"/>
      <c r="Z624" s="158">
        <f t="shared" si="389"/>
        <v/>
      </c>
      <c r="AA624" s="160">
        <f t="shared" si="390"/>
        <v/>
      </c>
      <c r="AB624" s="160">
        <f>IF(R624="","",IFERROR(LOOKUP(INDEX(Справочная!$I$4:$I$19,MATCH(VLOOKUP(R624,Исходные_данные,22,FALSE),Справочная!$J$4:$J$19,0)+1),{6,10,16,20,25,32,40,50,63,80,100,125}),""))</f>
        <v/>
      </c>
      <c r="AC624" s="160">
        <f t="shared" si="391"/>
        <v/>
      </c>
      <c r="AD624" s="161">
        <f t="shared" si="392"/>
        <v/>
      </c>
      <c r="AE624" s="161">
        <f>IF(AND(R624="",G624=""),"",_xlfn.TEXTJOIN("; ",TRUE,IF(AND(R624&lt;&gt;"",V624=""),"нет фазы",""),IF(AND(R624&lt;&gt;"",N(T624)=0),"нет мощности",""),IF(AND(P624&lt;&gt;"",COUNTIFS($A$3:$A$1000,A624,$P$3:$P$1000,P624)&gt;1),"дубль клеммы "&amp;P624,""),IF(AND(W624&lt;&gt;"",W624&lt;&gt;"ok"),W624,""),IF(X624&lt;&gt;"",X624,""),IF(AND(ISNUMBER(SEARCH("(5х",Q624)),N(AK624)=1),"5 жил на 1 фазе",""),IF(AND(AL624="R",E624&lt;&gt;"",N(AS624)=0),"розетка без 30 мА",""),IF(IFERROR(_xlfn.NUMBERVALUE(MID(Q624,FIND("-",Q624,FIND("L=",Q624))+1,FIND("%",Q624)-FIND("-",Q624,FIND("L=",Q624))-1),","),0)&gt;4,"потери &gt; 4 %","")))</f>
      </c>
      <c r="AF624" s="129">
        <f>IF(E624&lt;&gt;"",COUNTIFS($A$3:A624,A624,$E$3:E624,"?*"),IF(OR(A624&lt;&gt;A623,Y624="вручную"),"",AF623))</f>
        <v/>
      </c>
      <c r="AG624" s="129">
        <f t="shared" si="393"/>
        <v/>
      </c>
      <c r="AH624" s="129">
        <f t="shared" si="394"/>
        <v/>
      </c>
      <c r="AI624" s="129">
        <f t="shared" si="395"/>
        <v/>
      </c>
      <c r="AJ624" s="129">
        <f t="shared" si="396"/>
        <v/>
      </c>
      <c r="AK624" s="129">
        <f t="shared" si="397"/>
        <v/>
      </c>
      <c r="AL624" s="129">
        <f t="shared" si="398"/>
        <v/>
      </c>
      <c r="AM624" s="129">
        <f t="shared" si="399"/>
      </c>
      <c r="AN624" s="129">
        <f t="shared" si="400"/>
      </c>
      <c r="AO624" s="129">
        <f t="shared" si="401"/>
        <v/>
      </c>
      <c r="AP624" s="129">
        <f t="shared" si="402"/>
        <v/>
      </c>
      <c r="AQ624" s="129">
        <f t="shared" si="403"/>
        <v/>
      </c>
      <c r="AR624" s="129">
        <f t="shared" si="404"/>
        <v/>
      </c>
      <c r="AS624" s="129">
        <f t="shared" si="405"/>
        <v/>
      </c>
      <c r="AT624" s="129">
        <f t="shared" si="406"/>
        <v/>
      </c>
      <c r="AU624" s="129">
        <f t="shared" si="407"/>
        <v/>
      </c>
      <c r="AV624" s="129">
        <f t="shared" si="408"/>
        <v/>
      </c>
      <c r="AW624" s="129">
        <f>IF(AV624="","",AV624&amp;"."&amp;COUNTIFS($A$3:A624,A624,$AV$3:AV624,AV624))</f>
        <v/>
      </c>
      <c r="AX624" s="129">
        <f t="shared" si="409"/>
        <v/>
      </c>
      <c r="AY624" s="129">
        <f>IF(N624="б/к",0,IF(OR(ISNUMBER(SEARCH("L=",Разбивка_по_щитам!P624)),N624="+",N624="="),1,0))</f>
      </c>
      <c r="AZ624" s="129">
        <f t="shared" si="410"/>
        <v/>
      </c>
      <c r="BA624" s="129">
        <f t="shared" si="411"/>
      </c>
      <c r="BB624" s="129">
        <f t="shared" si="412"/>
      </c>
      <c r="BD624" s="129">
        <f t="shared" si="413"/>
      </c>
      <c r="BE624" s="129">
        <f t="shared" si="414"/>
      </c>
      <c r="BF624" s="129">
        <f t="shared" si="415"/>
      </c>
      <c r="BG624" s="129">
        <f t="shared" si="416"/>
        <v/>
      </c>
      <c r="BH624" s="129">
        <f t="shared" si="417"/>
        <v/>
      </c>
      <c r="BI624" s="129">
        <f t="shared" si="418"/>
        <v/>
      </c>
      <c r="BJ624" s="129">
        <f t="shared" si="419"/>
        <v/>
      </c>
      <c r="BK624" s="129">
        <f>IF(R624="","",IF(OR(BY624="",BY624=0),"BOX",IFERROR(IF(VLOOKUP(BY624,УГО_блоки,3,FALSE)&amp;""&lt;&gt;"",VLOOKUP(BY624,УГО_блоки,3,FALSE),VLOOKUP(BY624,УГО_блоки,2,FALSE)),BY624)))</f>
      </c>
      <c r="BL624" s="129">
        <f t="shared" si="421"/>
      </c>
      <c r="BM624" s="129">
        <f>IF(H624="","",IF(COUNTIF($H$3:H624,H624)=1,MAX($BM$2:BM623)+1,""))</f>
      </c>
      <c r="BN624" s="129">
        <f>IF(I624="","",IF(COUNTIF($I$3:I624,I624)+COUNTIF($J$2:J623,I624)+COUNTIF($K$2:K623,I624)=1,MAX($BN$2:BP623)+1,""))</f>
      </c>
      <c r="BO624" s="129">
        <f>IF(J624="","",IF(COUNTIF($I$3:I624,J624)+COUNTIF($J$3:J624,J624)+COUNTIF($K$2:K623,J624)=1,MAX($BN$2:BP623,BN624)+1,""))</f>
      </c>
      <c r="BP624" s="129">
        <f>IF(K624="","",IF(COUNTIF($I$3:I624,K624)+COUNTIF($J$3:J624,K624)+COUNTIF($K$3:K624,K624)=1,MAX($BN$2:BP623,BN624,BO624)+1,""))</f>
      </c>
      <c r="BQ624" s="129">
        <f>IF(AY624=1,IFERROR(MID(Q624,FIND(" (",Q624)+2,FIND(")",Q624,FIND(" (",Q624))-FIND(" (",Q624)-2),"?"),"")</f>
      </c>
      <c r="BR624" s="129">
        <f>IF(BQ624="","",IF(COUNTIF($BQ$3:BQ624,BQ624)=1,MAX($BR$2:BR623)+1,""))</f>
      </c>
      <c r="BS624" s="129">
        <f>IF(AW624="","",COUNTIF($AW$3:AW624,"?*"))</f>
      </c>
      <c r="BT624" s="129">
        <f>IF(OR(AW624="",AI624=""),"",IF(COUNTIFS($AW$3:AW624,"?*",$AI$3:AI624,AI624)=1,MAX($BT$2:BT623)+1,""))</f>
      </c>
      <c r="BU624" s="129">
        <f>IF(AE624="",0,IF(OR(ISNUMBER(SEARCH("дубль",AE624)),ISNUMBER(SEARCH("ПЕРЕГРУЗ",AE624)),ISNUMBER(SEARCH("ЗАЩИЩ",AE624)),ISNUMBER(SEARCH("КАНАЛ",AE624)),ISNUMBER(SEARCH("без 30",AE624))),2,1))</f>
      </c>
      <c r="BV624" s="129">
        <f>IF(R624="","",COUNTIF($R$3:R624,"?*"))</f>
      </c>
      <c r="BW624" s="129">
        <f>IF(AY624&lt;&gt;1,0,IF(MAX(IFERROR(--VLOOKUP(R624,УГО_спр,5,FALSE),0),IFERROR(--VLOOKUP(AL624,УГО_спр,5,FALSE),0),IFERROR(--VLOOKUP(LEFT(AL624,2),УГО_спр,5,FALSE),0))&gt;0,MAX(IFERROR(--VLOOKUP(R624,УГО_спр,5,FALSE),0),IFERROR(--VLOOKUP(AL624,УГО_спр,5,FALSE),0),IFERROR(--VLOOKUP(LEFT(AL624,2),УГО_спр,5,FALSE),0)),IF(IFERROR(--LEFT(SUBSTITUTE(BQ624,"x","х"),FIND("х",SUBSTITUTE(BQ624,"x","х"))-1),3)&gt;3,Каталог!$S$9,1)))</f>
      </c>
      <c r="BX624" s="129">
        <f>IF(AY624&lt;&gt;1,0,MAX(0,IFERROR(--LEFT(SUBSTITUTE(BQ624,"x","х"),FIND("х",SUBSTITUTE(BQ624,"x","х"))-1),3)-3*BW624))</f>
      </c>
      <c r="BY624" s="129">
        <f>IF(R624="","",IFERROR(VLOOKUP(R624,УГО_спр,2,FALSE),IFERROR(VLOOKUP(AL624,УГО_спр,2,FALSE),IFERROR(VLOOKUP(LEFT(AL624,2),УГО_спр,2,FALSE),""))))</f>
      </c>
    </row>
    <row r="625" spans="1:64" x14ac:dyDescent="0.3">
      <c r="A625" s="135">
        <f>IF(Разбивка_по_щитам!F625=0,"",Разбивка_по_щитам!F625)</f>
        <v/>
      </c>
      <c r="B625" s="138">
        <f>IF(A625="","",Разбивка_по_щитам!C625)</f>
        <v/>
      </c>
      <c r="C625" s="138">
        <f t="shared" si="382"/>
        <v/>
      </c>
      <c r="D625" s="266"/>
      <c r="E625" s="266"/>
      <c r="F625" s="267"/>
      <c r="G625" s="145">
        <f t="shared" si="383"/>
        <v/>
      </c>
      <c r="H625" s="145">
        <f t="shared" si="384"/>
        <v/>
      </c>
      <c r="I625" s="266"/>
      <c r="J625" s="267"/>
      <c r="K625" s="267"/>
      <c r="L625" s="266"/>
      <c r="M625" s="147">
        <f t="shared" si="385"/>
        <v/>
      </c>
      <c r="N625" s="267"/>
      <c r="O625" s="147">
        <f t="shared" si="386"/>
        <v/>
      </c>
      <c r="P625" s="268">
        <f>IF(AY625=1,"XT"&amp;COUNTIFS($A$3:A625,A625,$AY$3:AY625,1),"")</f>
        <v/>
      </c>
      <c r="Q625" s="152">
        <f>IF(R625="","",IFERROR(SUBSTITUTE(Разбивка_по_щитам!P625,CHAR(10)," "),""))</f>
        <v/>
      </c>
      <c r="R625" s="153">
        <f>IF(OR(Разбивка_по_щитам!H625="",Разбивка_по_щитам!H625=0),"",Разбивка_по_щитам!H625)</f>
        <v/>
      </c>
      <c r="S625" s="154">
        <f>IF(R625="","",IFERROR(Разбивка_по_щитам!J625&amp;"",""))</f>
        <v/>
      </c>
      <c r="T625" s="155">
        <f>IF(R625="","",IFERROR(--Разбивка_по_щитам!L625,""))</f>
        <v/>
      </c>
      <c r="U625" s="155">
        <f>IF(R625="","",IFERROR(--Разбивка_по_щитам!K625,""))</f>
        <v/>
      </c>
      <c r="V625" s="138">
        <f>IF(R625="","",IFERROR(IF(Разбивка_по_щитам!M625=0,"",Разбивка_по_щитам!M625),""))</f>
        <v/>
      </c>
      <c r="W625" s="156">
        <f t="shared" si="387"/>
        <v/>
      </c>
      <c r="X625" s="157">
        <f t="shared" si="388"/>
        <v/>
      </c>
      <c r="Y625" s="266"/>
      <c r="Z625" s="158">
        <f t="shared" si="389"/>
        <v/>
      </c>
      <c r="AA625" s="160">
        <f t="shared" si="390"/>
        <v/>
      </c>
      <c r="AB625" s="160">
        <f>IF(R625="","",IFERROR(LOOKUP(INDEX(Справочная!$I$4:$I$19,MATCH(VLOOKUP(R625,Исходные_данные,22,FALSE),Справочная!$J$4:$J$19,0)+1),{6,10,16,20,25,32,40,50,63,80,100,125}),""))</f>
        <v/>
      </c>
      <c r="AC625" s="160">
        <f t="shared" si="391"/>
        <v/>
      </c>
      <c r="AD625" s="161">
        <f t="shared" si="392"/>
        <v/>
      </c>
      <c r="AE625" s="161">
        <f>IF(AND(R625="",G625=""),"",_xlfn.TEXTJOIN("; ",TRUE,IF(AND(R625&lt;&gt;"",V625=""),"нет фазы",""),IF(AND(R625&lt;&gt;"",N(T625)=0),"нет мощности",""),IF(AND(P625&lt;&gt;"",COUNTIFS($A$3:$A$1000,A625,$P$3:$P$1000,P625)&gt;1),"дубль клеммы "&amp;P625,""),IF(AND(W625&lt;&gt;"",W625&lt;&gt;"ok"),W625,""),IF(X625&lt;&gt;"",X625,""),IF(AND(ISNUMBER(SEARCH("(5х",Q625)),N(AK625)=1),"5 жил на 1 фазе",""),IF(AND(AL625="R",E625&lt;&gt;"",N(AS625)=0),"розетка без 30 мА",""),IF(IFERROR(_xlfn.NUMBERVALUE(MID(Q625,FIND("-",Q625,FIND("L=",Q625))+1,FIND("%",Q625)-FIND("-",Q625,FIND("L=",Q625))-1),","),0)&gt;4,"потери &gt; 4 %","")))</f>
      </c>
      <c r="AF625" s="129">
        <f>IF(E625&lt;&gt;"",COUNTIFS($A$3:A625,A625,$E$3:E625,"?*"),IF(OR(A625&lt;&gt;A624,Y625="вручную"),"",AF624))</f>
        <v/>
      </c>
      <c r="AG625" s="129">
        <f t="shared" si="393"/>
        <v/>
      </c>
      <c r="AH625" s="129">
        <f t="shared" si="394"/>
        <v/>
      </c>
      <c r="AI625" s="129">
        <f t="shared" si="395"/>
        <v/>
      </c>
      <c r="AJ625" s="129">
        <f t="shared" si="396"/>
        <v/>
      </c>
      <c r="AK625" s="129">
        <f t="shared" si="397"/>
        <v/>
      </c>
      <c r="AL625" s="129">
        <f t="shared" si="398"/>
        <v/>
      </c>
      <c r="AM625" s="129">
        <f t="shared" si="399"/>
      </c>
      <c r="AN625" s="129">
        <f t="shared" si="400"/>
      </c>
      <c r="AO625" s="129">
        <f t="shared" si="401"/>
        <v/>
      </c>
      <c r="AP625" s="129">
        <f t="shared" si="402"/>
        <v/>
      </c>
      <c r="AQ625" s="129">
        <f t="shared" si="403"/>
        <v/>
      </c>
      <c r="AR625" s="129">
        <f t="shared" si="404"/>
        <v/>
      </c>
      <c r="AS625" s="129">
        <f t="shared" si="405"/>
        <v/>
      </c>
      <c r="AT625" s="129">
        <f t="shared" si="406"/>
        <v/>
      </c>
      <c r="AU625" s="129">
        <f t="shared" si="407"/>
        <v/>
      </c>
      <c r="AV625" s="129">
        <f t="shared" si="408"/>
        <v/>
      </c>
      <c r="AW625" s="129">
        <f>IF(AV625="","",AV625&amp;"."&amp;COUNTIFS($A$3:A625,A625,$AV$3:AV625,AV625))</f>
        <v/>
      </c>
      <c r="AX625" s="129">
        <f t="shared" si="409"/>
        <v/>
      </c>
      <c r="AY625" s="129">
        <f>IF(N625="б/к",0,IF(OR(ISNUMBER(SEARCH("L=",Разбивка_по_щитам!P625)),N625="+",N625="="),1,0))</f>
      </c>
      <c r="AZ625" s="129">
        <f t="shared" si="410"/>
        <v/>
      </c>
      <c r="BA625" s="129">
        <f t="shared" si="411"/>
      </c>
      <c r="BB625" s="129">
        <f t="shared" si="412"/>
      </c>
      <c r="BD625" s="129">
        <f t="shared" si="413"/>
      </c>
      <c r="BE625" s="129">
        <f t="shared" si="414"/>
      </c>
      <c r="BF625" s="129">
        <f t="shared" si="415"/>
      </c>
      <c r="BG625" s="129">
        <f t="shared" si="416"/>
        <v/>
      </c>
      <c r="BH625" s="129">
        <f t="shared" si="417"/>
        <v/>
      </c>
      <c r="BI625" s="129">
        <f t="shared" si="418"/>
        <v/>
      </c>
      <c r="BJ625" s="129">
        <f t="shared" si="419"/>
        <v/>
      </c>
      <c r="BK625" s="129">
        <f>IF(R625="","",IF(OR(BY625="",BY625=0),"BOX",IFERROR(IF(VLOOKUP(BY625,УГО_блоки,3,FALSE)&amp;""&lt;&gt;"",VLOOKUP(BY625,УГО_блоки,3,FALSE),VLOOKUP(BY625,УГО_блоки,2,FALSE)),BY625)))</f>
      </c>
      <c r="BL625" s="129">
        <f t="shared" si="421"/>
      </c>
      <c r="BM625" s="129">
        <f>IF(H625="","",IF(COUNTIF($H$3:H625,H625)=1,MAX($BM$2:BM624)+1,""))</f>
      </c>
      <c r="BN625" s="129">
        <f>IF(I625="","",IF(COUNTIF($I$3:I625,I625)+COUNTIF($J$2:J624,I625)+COUNTIF($K$2:K624,I625)=1,MAX($BN$2:BP624)+1,""))</f>
      </c>
      <c r="BO625" s="129">
        <f>IF(J625="","",IF(COUNTIF($I$3:I625,J625)+COUNTIF($J$3:J625,J625)+COUNTIF($K$2:K624,J625)=1,MAX($BN$2:BP624,BN625)+1,""))</f>
      </c>
      <c r="BP625" s="129">
        <f>IF(K625="","",IF(COUNTIF($I$3:I625,K625)+COUNTIF($J$3:J625,K625)+COUNTIF($K$3:K625,K625)=1,MAX($BN$2:BP624,BN625,BO625)+1,""))</f>
      </c>
      <c r="BQ625" s="129">
        <f>IF(AY625=1,IFERROR(MID(Q625,FIND(" (",Q625)+2,FIND(")",Q625,FIND(" (",Q625))-FIND(" (",Q625)-2),"?"),"")</f>
      </c>
      <c r="BR625" s="129">
        <f>IF(BQ625="","",IF(COUNTIF($BQ$3:BQ625,BQ625)=1,MAX($BR$2:BR624)+1,""))</f>
      </c>
      <c r="BS625" s="129">
        <f>IF(AW625="","",COUNTIF($AW$3:AW625,"?*"))</f>
      </c>
      <c r="BT625" s="129">
        <f>IF(OR(AW625="",AI625=""),"",IF(COUNTIFS($AW$3:AW625,"?*",$AI$3:AI625,AI625)=1,MAX($BT$2:BT624)+1,""))</f>
      </c>
      <c r="BU625" s="129">
        <f>IF(AE625="",0,IF(OR(ISNUMBER(SEARCH("дубль",AE625)),ISNUMBER(SEARCH("ПЕРЕГРУЗ",AE625)),ISNUMBER(SEARCH("ЗАЩИЩ",AE625)),ISNUMBER(SEARCH("КАНАЛ",AE625)),ISNUMBER(SEARCH("без 30",AE625))),2,1))</f>
      </c>
      <c r="BV625" s="129">
        <f>IF(R625="","",COUNTIF($R$3:R625,"?*"))</f>
      </c>
      <c r="BW625" s="129">
        <f>IF(AY625&lt;&gt;1,0,IF(MAX(IFERROR(--VLOOKUP(R625,УГО_спр,5,FALSE),0),IFERROR(--VLOOKUP(AL625,УГО_спр,5,FALSE),0),IFERROR(--VLOOKUP(LEFT(AL625,2),УГО_спр,5,FALSE),0))&gt;0,MAX(IFERROR(--VLOOKUP(R625,УГО_спр,5,FALSE),0),IFERROR(--VLOOKUP(AL625,УГО_спр,5,FALSE),0),IFERROR(--VLOOKUP(LEFT(AL625,2),УГО_спр,5,FALSE),0)),IF(IFERROR(--LEFT(SUBSTITUTE(BQ625,"x","х"),FIND("х",SUBSTITUTE(BQ625,"x","х"))-1),3)&gt;3,Каталог!$S$9,1)))</f>
      </c>
      <c r="BX625" s="129">
        <f>IF(AY625&lt;&gt;1,0,MAX(0,IFERROR(--LEFT(SUBSTITUTE(BQ625,"x","х"),FIND("х",SUBSTITUTE(BQ625,"x","х"))-1),3)-3*BW625))</f>
      </c>
      <c r="BY625" s="129">
        <f>IF(R625="","",IFERROR(VLOOKUP(R625,УГО_спр,2,FALSE),IFERROR(VLOOKUP(AL625,УГО_спр,2,FALSE),IFERROR(VLOOKUP(LEFT(AL625,2),УГО_спр,2,FALSE),""))))</f>
      </c>
    </row>
    <row r="626" spans="1:64" x14ac:dyDescent="0.3">
      <c r="A626" s="135">
        <f>IF(Разбивка_по_щитам!F626=0,"",Разбивка_по_щитам!F626)</f>
        <v/>
      </c>
      <c r="B626" s="138">
        <f>IF(A626="","",Разбивка_по_щитам!C626)</f>
        <v/>
      </c>
      <c r="C626" s="138">
        <f t="shared" si="382"/>
        <v/>
      </c>
      <c r="D626" s="266"/>
      <c r="E626" s="266"/>
      <c r="F626" s="267"/>
      <c r="G626" s="145">
        <f t="shared" si="383"/>
        <v/>
      </c>
      <c r="H626" s="145">
        <f t="shared" si="384"/>
        <v/>
      </c>
      <c r="I626" s="266"/>
      <c r="J626" s="267"/>
      <c r="K626" s="267"/>
      <c r="L626" s="266"/>
      <c r="M626" s="147">
        <f t="shared" si="385"/>
        <v/>
      </c>
      <c r="N626" s="267"/>
      <c r="O626" s="147">
        <f t="shared" si="386"/>
        <v/>
      </c>
      <c r="P626" s="268">
        <f>IF(AY626=1,"XT"&amp;COUNTIFS($A$3:A626,A626,$AY$3:AY626,1),"")</f>
        <v/>
      </c>
      <c r="Q626" s="152">
        <f>IF(R626="","",IFERROR(SUBSTITUTE(Разбивка_по_щитам!P626,CHAR(10)," "),""))</f>
        <v/>
      </c>
      <c r="R626" s="153">
        <f>IF(OR(Разбивка_по_щитам!H626="",Разбивка_по_щитам!H626=0),"",Разбивка_по_щитам!H626)</f>
        <v/>
      </c>
      <c r="S626" s="154">
        <f>IF(R626="","",IFERROR(Разбивка_по_щитам!J626&amp;"",""))</f>
        <v/>
      </c>
      <c r="T626" s="155">
        <f>IF(R626="","",IFERROR(--Разбивка_по_щитам!L626,""))</f>
        <v/>
      </c>
      <c r="U626" s="155">
        <f>IF(R626="","",IFERROR(--Разбивка_по_щитам!K626,""))</f>
        <v/>
      </c>
      <c r="V626" s="138">
        <f>IF(R626="","",IFERROR(IF(Разбивка_по_щитам!M626=0,"",Разбивка_по_щитам!M626),""))</f>
        <v/>
      </c>
      <c r="W626" s="156">
        <f t="shared" si="387"/>
        <v/>
      </c>
      <c r="X626" s="157">
        <f t="shared" si="388"/>
        <v/>
      </c>
      <c r="Y626" s="266"/>
      <c r="Z626" s="158">
        <f t="shared" si="389"/>
        <v/>
      </c>
      <c r="AA626" s="160">
        <f t="shared" si="390"/>
        <v/>
      </c>
      <c r="AB626" s="160">
        <f>IF(R626="","",IFERROR(LOOKUP(INDEX(Справочная!$I$4:$I$19,MATCH(VLOOKUP(R626,Исходные_данные,22,FALSE),Справочная!$J$4:$J$19,0)+1),{6,10,16,20,25,32,40,50,63,80,100,125}),""))</f>
        <v/>
      </c>
      <c r="AC626" s="160">
        <f t="shared" si="391"/>
        <v/>
      </c>
      <c r="AD626" s="161">
        <f t="shared" si="392"/>
        <v/>
      </c>
      <c r="AE626" s="161">
        <f>IF(AND(R626="",G626=""),"",_xlfn.TEXTJOIN("; ",TRUE,IF(AND(R626&lt;&gt;"",V626=""),"нет фазы",""),IF(AND(R626&lt;&gt;"",N(T626)=0),"нет мощности",""),IF(AND(P626&lt;&gt;"",COUNTIFS($A$3:$A$1000,A626,$P$3:$P$1000,P626)&gt;1),"дубль клеммы "&amp;P626,""),IF(AND(W626&lt;&gt;"",W626&lt;&gt;"ok"),W626,""),IF(X626&lt;&gt;"",X626,""),IF(AND(ISNUMBER(SEARCH("(5х",Q626)),N(AK626)=1),"5 жил на 1 фазе",""),IF(AND(AL626="R",E626&lt;&gt;"",N(AS626)=0),"розетка без 30 мА",""),IF(IFERROR(_xlfn.NUMBERVALUE(MID(Q626,FIND("-",Q626,FIND("L=",Q626))+1,FIND("%",Q626)-FIND("-",Q626,FIND("L=",Q626))-1),","),0)&gt;4,"потери &gt; 4 %","")))</f>
      </c>
      <c r="AF626" s="129">
        <f>IF(E626&lt;&gt;"",COUNTIFS($A$3:A626,A626,$E$3:E626,"?*"),IF(OR(A626&lt;&gt;A625,Y626="вручную"),"",AF625))</f>
        <v/>
      </c>
      <c r="AG626" s="129">
        <f t="shared" si="393"/>
        <v/>
      </c>
      <c r="AH626" s="129">
        <f t="shared" si="394"/>
        <v/>
      </c>
      <c r="AI626" s="129">
        <f t="shared" si="395"/>
        <v/>
      </c>
      <c r="AJ626" s="129">
        <f t="shared" si="396"/>
        <v/>
      </c>
      <c r="AK626" s="129">
        <f t="shared" si="397"/>
        <v/>
      </c>
      <c r="AL626" s="129">
        <f t="shared" si="398"/>
        <v/>
      </c>
      <c r="AM626" s="129">
        <f t="shared" si="399"/>
      </c>
      <c r="AN626" s="129">
        <f t="shared" si="400"/>
      </c>
      <c r="AO626" s="129">
        <f t="shared" si="401"/>
        <v/>
      </c>
      <c r="AP626" s="129">
        <f t="shared" si="402"/>
        <v/>
      </c>
      <c r="AQ626" s="129">
        <f t="shared" si="403"/>
        <v/>
      </c>
      <c r="AR626" s="129">
        <f t="shared" si="404"/>
        <v/>
      </c>
      <c r="AS626" s="129">
        <f t="shared" si="405"/>
        <v/>
      </c>
      <c r="AT626" s="129">
        <f t="shared" si="406"/>
        <v/>
      </c>
      <c r="AU626" s="129">
        <f t="shared" si="407"/>
        <v/>
      </c>
      <c r="AV626" s="129">
        <f t="shared" si="408"/>
        <v/>
      </c>
      <c r="AW626" s="129">
        <f>IF(AV626="","",AV626&amp;"."&amp;COUNTIFS($A$3:A626,A626,$AV$3:AV626,AV626))</f>
        <v/>
      </c>
      <c r="AX626" s="129">
        <f t="shared" si="409"/>
        <v/>
      </c>
      <c r="AY626" s="129">
        <f>IF(N626="б/к",0,IF(OR(ISNUMBER(SEARCH("L=",Разбивка_по_щитам!P626)),N626="+",N626="="),1,0))</f>
      </c>
      <c r="AZ626" s="129">
        <f t="shared" si="410"/>
        <v/>
      </c>
      <c r="BA626" s="129">
        <f t="shared" si="411"/>
      </c>
      <c r="BB626" s="129">
        <f t="shared" si="412"/>
      </c>
      <c r="BD626" s="129">
        <f t="shared" si="413"/>
      </c>
      <c r="BE626" s="129">
        <f t="shared" si="414"/>
      </c>
      <c r="BF626" s="129">
        <f t="shared" si="415"/>
      </c>
      <c r="BG626" s="129">
        <f t="shared" si="416"/>
        <v/>
      </c>
      <c r="BH626" s="129">
        <f t="shared" si="417"/>
        <v/>
      </c>
      <c r="BI626" s="129">
        <f t="shared" si="418"/>
        <v/>
      </c>
      <c r="BJ626" s="129">
        <f t="shared" si="419"/>
        <v/>
      </c>
      <c r="BK626" s="129">
        <f>IF(R626="","",IF(OR(BY626="",BY626=0),"BOX",IFERROR(IF(VLOOKUP(BY626,УГО_блоки,3,FALSE)&amp;""&lt;&gt;"",VLOOKUP(BY626,УГО_блоки,3,FALSE),VLOOKUP(BY626,УГО_блоки,2,FALSE)),BY626)))</f>
      </c>
      <c r="BL626" s="129">
        <f t="shared" si="421"/>
      </c>
      <c r="BM626" s="129">
        <f>IF(H626="","",IF(COUNTIF($H$3:H626,H626)=1,MAX($BM$2:BM625)+1,""))</f>
      </c>
      <c r="BN626" s="129">
        <f>IF(I626="","",IF(COUNTIF($I$3:I626,I626)+COUNTIF($J$2:J625,I626)+COUNTIF($K$2:K625,I626)=1,MAX($BN$2:BP625)+1,""))</f>
      </c>
      <c r="BO626" s="129">
        <f>IF(J626="","",IF(COUNTIF($I$3:I626,J626)+COUNTIF($J$3:J626,J626)+COUNTIF($K$2:K625,J626)=1,MAX($BN$2:BP625,BN626)+1,""))</f>
      </c>
      <c r="BP626" s="129">
        <f>IF(K626="","",IF(COUNTIF($I$3:I626,K626)+COUNTIF($J$3:J626,K626)+COUNTIF($K$3:K626,K626)=1,MAX($BN$2:BP625,BN626,BO626)+1,""))</f>
      </c>
      <c r="BQ626" s="129">
        <f>IF(AY626=1,IFERROR(MID(Q626,FIND(" (",Q626)+2,FIND(")",Q626,FIND(" (",Q626))-FIND(" (",Q626)-2),"?"),"")</f>
      </c>
      <c r="BR626" s="129">
        <f>IF(BQ626="","",IF(COUNTIF($BQ$3:BQ626,BQ626)=1,MAX($BR$2:BR625)+1,""))</f>
      </c>
      <c r="BS626" s="129">
        <f>IF(AW626="","",COUNTIF($AW$3:AW626,"?*"))</f>
      </c>
      <c r="BT626" s="129">
        <f>IF(OR(AW626="",AI626=""),"",IF(COUNTIFS($AW$3:AW626,"?*",$AI$3:AI626,AI626)=1,MAX($BT$2:BT625)+1,""))</f>
      </c>
      <c r="BU626" s="129">
        <f>IF(AE626="",0,IF(OR(ISNUMBER(SEARCH("дубль",AE626)),ISNUMBER(SEARCH("ПЕРЕГРУЗ",AE626)),ISNUMBER(SEARCH("ЗАЩИЩ",AE626)),ISNUMBER(SEARCH("КАНАЛ",AE626)),ISNUMBER(SEARCH("без 30",AE626))),2,1))</f>
      </c>
      <c r="BV626" s="129">
        <f>IF(R626="","",COUNTIF($R$3:R626,"?*"))</f>
      </c>
      <c r="BW626" s="129">
        <f>IF(AY626&lt;&gt;1,0,IF(MAX(IFERROR(--VLOOKUP(R626,УГО_спр,5,FALSE),0),IFERROR(--VLOOKUP(AL626,УГО_спр,5,FALSE),0),IFERROR(--VLOOKUP(LEFT(AL626,2),УГО_спр,5,FALSE),0))&gt;0,MAX(IFERROR(--VLOOKUP(R626,УГО_спр,5,FALSE),0),IFERROR(--VLOOKUP(AL626,УГО_спр,5,FALSE),0),IFERROR(--VLOOKUP(LEFT(AL626,2),УГО_спр,5,FALSE),0)),IF(IFERROR(--LEFT(SUBSTITUTE(BQ626,"x","х"),FIND("х",SUBSTITUTE(BQ626,"x","х"))-1),3)&gt;3,Каталог!$S$9,1)))</f>
      </c>
      <c r="BX626" s="129">
        <f>IF(AY626&lt;&gt;1,0,MAX(0,IFERROR(--LEFT(SUBSTITUTE(BQ626,"x","х"),FIND("х",SUBSTITUTE(BQ626,"x","х"))-1),3)-3*BW626))</f>
      </c>
      <c r="BY626" s="129">
        <f>IF(R626="","",IFERROR(VLOOKUP(R626,УГО_спр,2,FALSE),IFERROR(VLOOKUP(AL626,УГО_спр,2,FALSE),IFERROR(VLOOKUP(LEFT(AL626,2),УГО_спр,2,FALSE),""))))</f>
      </c>
    </row>
    <row r="627" spans="1:64" x14ac:dyDescent="0.3">
      <c r="A627" s="135">
        <f>IF(Разбивка_по_щитам!F627=0,"",Разбивка_по_щитам!F627)</f>
        <v/>
      </c>
      <c r="B627" s="138">
        <f>IF(A627="","",Разбивка_по_щитам!C627)</f>
        <v/>
      </c>
      <c r="C627" s="138">
        <f t="shared" si="382"/>
        <v/>
      </c>
      <c r="D627" s="266"/>
      <c r="E627" s="266"/>
      <c r="F627" s="267"/>
      <c r="G627" s="145">
        <f t="shared" si="383"/>
        <v/>
      </c>
      <c r="H627" s="145">
        <f t="shared" si="384"/>
        <v/>
      </c>
      <c r="I627" s="266"/>
      <c r="J627" s="267"/>
      <c r="K627" s="267"/>
      <c r="L627" s="266"/>
      <c r="M627" s="147">
        <f t="shared" si="385"/>
        <v/>
      </c>
      <c r="N627" s="267"/>
      <c r="O627" s="147">
        <f t="shared" si="386"/>
        <v/>
      </c>
      <c r="P627" s="268">
        <f>IF(AY627=1,"XT"&amp;COUNTIFS($A$3:A627,A627,$AY$3:AY627,1),"")</f>
        <v/>
      </c>
      <c r="Q627" s="152">
        <f>IF(R627="","",IFERROR(SUBSTITUTE(Разбивка_по_щитам!P627,CHAR(10)," "),""))</f>
        <v/>
      </c>
      <c r="R627" s="153">
        <f>IF(OR(Разбивка_по_щитам!H627="",Разбивка_по_щитам!H627=0),"",Разбивка_по_щитам!H627)</f>
        <v/>
      </c>
      <c r="S627" s="154">
        <f>IF(R627="","",IFERROR(Разбивка_по_щитам!J627&amp;"",""))</f>
        <v/>
      </c>
      <c r="T627" s="155">
        <f>IF(R627="","",IFERROR(--Разбивка_по_щитам!L627,""))</f>
        <v/>
      </c>
      <c r="U627" s="155">
        <f>IF(R627="","",IFERROR(--Разбивка_по_щитам!K627,""))</f>
        <v/>
      </c>
      <c r="V627" s="138">
        <f>IF(R627="","",IFERROR(IF(Разбивка_по_щитам!M627=0,"",Разбивка_по_щитам!M627),""))</f>
        <v/>
      </c>
      <c r="W627" s="156">
        <f t="shared" si="387"/>
        <v/>
      </c>
      <c r="X627" s="157">
        <f t="shared" si="388"/>
        <v/>
      </c>
      <c r="Y627" s="266"/>
      <c r="Z627" s="158">
        <f t="shared" si="389"/>
        <v/>
      </c>
      <c r="AA627" s="160">
        <f t="shared" si="390"/>
        <v/>
      </c>
      <c r="AB627" s="160">
        <f>IF(R627="","",IFERROR(LOOKUP(INDEX(Справочная!$I$4:$I$19,MATCH(VLOOKUP(R627,Исходные_данные,22,FALSE),Справочная!$J$4:$J$19,0)+1),{6,10,16,20,25,32,40,50,63,80,100,125}),""))</f>
        <v/>
      </c>
      <c r="AC627" s="160">
        <f t="shared" si="391"/>
        <v/>
      </c>
      <c r="AD627" s="161">
        <f t="shared" si="392"/>
        <v/>
      </c>
      <c r="AE627" s="161">
        <f>IF(AND(R627="",G627=""),"",_xlfn.TEXTJOIN("; ",TRUE,IF(AND(R627&lt;&gt;"",V627=""),"нет фазы",""),IF(AND(R627&lt;&gt;"",N(T627)=0),"нет мощности",""),IF(AND(P627&lt;&gt;"",COUNTIFS($A$3:$A$1000,A627,$P$3:$P$1000,P627)&gt;1),"дубль клеммы "&amp;P627,""),IF(AND(W627&lt;&gt;"",W627&lt;&gt;"ok"),W627,""),IF(X627&lt;&gt;"",X627,""),IF(AND(ISNUMBER(SEARCH("(5х",Q627)),N(AK627)=1),"5 жил на 1 фазе",""),IF(AND(AL627="R",E627&lt;&gt;"",N(AS627)=0),"розетка без 30 мА",""),IF(IFERROR(_xlfn.NUMBERVALUE(MID(Q627,FIND("-",Q627,FIND("L=",Q627))+1,FIND("%",Q627)-FIND("-",Q627,FIND("L=",Q627))-1),","),0)&gt;4,"потери &gt; 4 %","")))</f>
      </c>
      <c r="AF627" s="129">
        <f>IF(E627&lt;&gt;"",COUNTIFS($A$3:A627,A627,$E$3:E627,"?*"),IF(OR(A627&lt;&gt;A626,Y627="вручную"),"",AF626))</f>
        <v/>
      </c>
      <c r="AG627" s="129">
        <f t="shared" si="393"/>
        <v/>
      </c>
      <c r="AH627" s="129">
        <f t="shared" si="394"/>
        <v/>
      </c>
      <c r="AI627" s="129">
        <f t="shared" si="395"/>
        <v/>
      </c>
      <c r="AJ627" s="129">
        <f t="shared" si="396"/>
        <v/>
      </c>
      <c r="AK627" s="129">
        <f t="shared" si="397"/>
        <v/>
      </c>
      <c r="AL627" s="129">
        <f t="shared" si="398"/>
        <v/>
      </c>
      <c r="AM627" s="129">
        <f t="shared" si="399"/>
      </c>
      <c r="AN627" s="129">
        <f t="shared" si="400"/>
      </c>
      <c r="AO627" s="129">
        <f t="shared" si="401"/>
        <v/>
      </c>
      <c r="AP627" s="129">
        <f t="shared" si="402"/>
        <v/>
      </c>
      <c r="AQ627" s="129">
        <f t="shared" si="403"/>
        <v/>
      </c>
      <c r="AR627" s="129">
        <f t="shared" si="404"/>
        <v/>
      </c>
      <c r="AS627" s="129">
        <f t="shared" si="405"/>
        <v/>
      </c>
      <c r="AT627" s="129">
        <f t="shared" si="406"/>
        <v/>
      </c>
      <c r="AU627" s="129">
        <f t="shared" si="407"/>
        <v/>
      </c>
      <c r="AV627" s="129">
        <f t="shared" si="408"/>
        <v/>
      </c>
      <c r="AW627" s="129">
        <f>IF(AV627="","",AV627&amp;"."&amp;COUNTIFS($A$3:A627,A627,$AV$3:AV627,AV627))</f>
        <v/>
      </c>
      <c r="AX627" s="129">
        <f t="shared" si="409"/>
        <v/>
      </c>
      <c r="AY627" s="129">
        <f>IF(N627="б/к",0,IF(OR(ISNUMBER(SEARCH("L=",Разбивка_по_щитам!P627)),N627="+",N627="="),1,0))</f>
      </c>
      <c r="AZ627" s="129">
        <f t="shared" si="410"/>
        <v/>
      </c>
      <c r="BA627" s="129">
        <f t="shared" si="411"/>
      </c>
      <c r="BB627" s="129">
        <f t="shared" si="412"/>
      </c>
      <c r="BD627" s="129">
        <f t="shared" si="413"/>
      </c>
      <c r="BE627" s="129">
        <f t="shared" si="414"/>
      </c>
      <c r="BF627" s="129">
        <f t="shared" si="415"/>
      </c>
      <c r="BG627" s="129">
        <f t="shared" si="416"/>
        <v/>
      </c>
      <c r="BH627" s="129">
        <f t="shared" si="417"/>
        <v/>
      </c>
      <c r="BI627" s="129">
        <f t="shared" si="418"/>
        <v/>
      </c>
      <c r="BJ627" s="129">
        <f t="shared" si="419"/>
        <v/>
      </c>
      <c r="BK627" s="129">
        <f>IF(R627="","",IF(OR(BY627="",BY627=0),"BOX",IFERROR(IF(VLOOKUP(BY627,УГО_блоки,3,FALSE)&amp;""&lt;&gt;"",VLOOKUP(BY627,УГО_блоки,3,FALSE),VLOOKUP(BY627,УГО_блоки,2,FALSE)),BY627)))</f>
      </c>
      <c r="BL627" s="129">
        <f t="shared" si="421"/>
      </c>
      <c r="BM627" s="129">
        <f>IF(H627="","",IF(COUNTIF($H$3:H627,H627)=1,MAX($BM$2:BM626)+1,""))</f>
      </c>
      <c r="BN627" s="129">
        <f>IF(I627="","",IF(COUNTIF($I$3:I627,I627)+COUNTIF($J$2:J626,I627)+COUNTIF($K$2:K626,I627)=1,MAX($BN$2:BP626)+1,""))</f>
      </c>
      <c r="BO627" s="129">
        <f>IF(J627="","",IF(COUNTIF($I$3:I627,J627)+COUNTIF($J$3:J627,J627)+COUNTIF($K$2:K626,J627)=1,MAX($BN$2:BP626,BN627)+1,""))</f>
      </c>
      <c r="BP627" s="129">
        <f>IF(K627="","",IF(COUNTIF($I$3:I627,K627)+COUNTIF($J$3:J627,K627)+COUNTIF($K$3:K627,K627)=1,MAX($BN$2:BP626,BN627,BO627)+1,""))</f>
      </c>
      <c r="BQ627" s="129">
        <f>IF(AY627=1,IFERROR(MID(Q627,FIND(" (",Q627)+2,FIND(")",Q627,FIND(" (",Q627))-FIND(" (",Q627)-2),"?"),"")</f>
      </c>
      <c r="BR627" s="129">
        <f>IF(BQ627="","",IF(COUNTIF($BQ$3:BQ627,BQ627)=1,MAX($BR$2:BR626)+1,""))</f>
      </c>
      <c r="BS627" s="129">
        <f>IF(AW627="","",COUNTIF($AW$3:AW627,"?*"))</f>
      </c>
      <c r="BT627" s="129">
        <f>IF(OR(AW627="",AI627=""),"",IF(COUNTIFS($AW$3:AW627,"?*",$AI$3:AI627,AI627)=1,MAX($BT$2:BT626)+1,""))</f>
      </c>
      <c r="BU627" s="129">
        <f>IF(AE627="",0,IF(OR(ISNUMBER(SEARCH("дубль",AE627)),ISNUMBER(SEARCH("ПЕРЕГРУЗ",AE627)),ISNUMBER(SEARCH("ЗАЩИЩ",AE627)),ISNUMBER(SEARCH("КАНАЛ",AE627)),ISNUMBER(SEARCH("без 30",AE627))),2,1))</f>
      </c>
      <c r="BV627" s="129">
        <f>IF(R627="","",COUNTIF($R$3:R627,"?*"))</f>
      </c>
      <c r="BW627" s="129">
        <f>IF(AY627&lt;&gt;1,0,IF(MAX(IFERROR(--VLOOKUP(R627,УГО_спр,5,FALSE),0),IFERROR(--VLOOKUP(AL627,УГО_спр,5,FALSE),0),IFERROR(--VLOOKUP(LEFT(AL627,2),УГО_спр,5,FALSE),0))&gt;0,MAX(IFERROR(--VLOOKUP(R627,УГО_спр,5,FALSE),0),IFERROR(--VLOOKUP(AL627,УГО_спр,5,FALSE),0),IFERROR(--VLOOKUP(LEFT(AL627,2),УГО_спр,5,FALSE),0)),IF(IFERROR(--LEFT(SUBSTITUTE(BQ627,"x","х"),FIND("х",SUBSTITUTE(BQ627,"x","х"))-1),3)&gt;3,Каталог!$S$9,1)))</f>
      </c>
      <c r="BX627" s="129">
        <f>IF(AY627&lt;&gt;1,0,MAX(0,IFERROR(--LEFT(SUBSTITUTE(BQ627,"x","х"),FIND("х",SUBSTITUTE(BQ627,"x","х"))-1),3)-3*BW627))</f>
      </c>
      <c r="BY627" s="129">
        <f>IF(R627="","",IFERROR(VLOOKUP(R627,УГО_спр,2,FALSE),IFERROR(VLOOKUP(AL627,УГО_спр,2,FALSE),IFERROR(VLOOKUP(LEFT(AL627,2),УГО_спр,2,FALSE),""))))</f>
      </c>
    </row>
    <row r="628" spans="1:64" x14ac:dyDescent="0.3">
      <c r="A628" s="135">
        <f>IF(Разбивка_по_щитам!F628=0,"",Разбивка_по_щитам!F628)</f>
        <v/>
      </c>
      <c r="B628" s="138">
        <f>IF(A628="","",Разбивка_по_щитам!C628)</f>
        <v/>
      </c>
      <c r="C628" s="138">
        <f t="shared" si="382"/>
        <v/>
      </c>
      <c r="D628" s="266"/>
      <c r="E628" s="266"/>
      <c r="F628" s="267"/>
      <c r="G628" s="145">
        <f t="shared" si="383"/>
        <v/>
      </c>
      <c r="H628" s="145">
        <f t="shared" si="384"/>
        <v/>
      </c>
      <c r="I628" s="266"/>
      <c r="J628" s="267"/>
      <c r="K628" s="267"/>
      <c r="L628" s="266"/>
      <c r="M628" s="147">
        <f t="shared" si="385"/>
        <v/>
      </c>
      <c r="N628" s="267"/>
      <c r="O628" s="147">
        <f t="shared" si="386"/>
        <v/>
      </c>
      <c r="P628" s="268">
        <f>IF(AY628=1,"XT"&amp;COUNTIFS($A$3:A628,A628,$AY$3:AY628,1),"")</f>
        <v/>
      </c>
      <c r="Q628" s="152">
        <f>IF(R628="","",IFERROR(SUBSTITUTE(Разбивка_по_щитам!P628,CHAR(10)," "),""))</f>
        <v/>
      </c>
      <c r="R628" s="153">
        <f>IF(OR(Разбивка_по_щитам!H628="",Разбивка_по_щитам!H628=0),"",Разбивка_по_щитам!H628)</f>
        <v/>
      </c>
      <c r="S628" s="154">
        <f>IF(R628="","",IFERROR(Разбивка_по_щитам!J628&amp;"",""))</f>
        <v/>
      </c>
      <c r="T628" s="155">
        <f>IF(R628="","",IFERROR(--Разбивка_по_щитам!L628,""))</f>
        <v/>
      </c>
      <c r="U628" s="155">
        <f>IF(R628="","",IFERROR(--Разбивка_по_щитам!K628,""))</f>
        <v/>
      </c>
      <c r="V628" s="138">
        <f>IF(R628="","",IFERROR(IF(Разбивка_по_щитам!M628=0,"",Разбивка_по_щитам!M628),""))</f>
        <v/>
      </c>
      <c r="W628" s="156">
        <f t="shared" si="387"/>
        <v/>
      </c>
      <c r="X628" s="157">
        <f t="shared" si="388"/>
        <v/>
      </c>
      <c r="Y628" s="266"/>
      <c r="Z628" s="158">
        <f t="shared" si="389"/>
        <v/>
      </c>
      <c r="AA628" s="160">
        <f t="shared" si="390"/>
        <v/>
      </c>
      <c r="AB628" s="160">
        <f>IF(R628="","",IFERROR(LOOKUP(INDEX(Справочная!$I$4:$I$19,MATCH(VLOOKUP(R628,Исходные_данные,22,FALSE),Справочная!$J$4:$J$19,0)+1),{6,10,16,20,25,32,40,50,63,80,100,125}),""))</f>
        <v/>
      </c>
      <c r="AC628" s="160">
        <f t="shared" si="391"/>
        <v/>
      </c>
      <c r="AD628" s="161">
        <f t="shared" si="392"/>
        <v/>
      </c>
      <c r="AE628" s="161">
        <f>IF(AND(R628="",G628=""),"",_xlfn.TEXTJOIN("; ",TRUE,IF(AND(R628&lt;&gt;"",V628=""),"нет фазы",""),IF(AND(R628&lt;&gt;"",N(T628)=0),"нет мощности",""),IF(AND(P628&lt;&gt;"",COUNTIFS($A$3:$A$1000,A628,$P$3:$P$1000,P628)&gt;1),"дубль клеммы "&amp;P628,""),IF(AND(W628&lt;&gt;"",W628&lt;&gt;"ok"),W628,""),IF(X628&lt;&gt;"",X628,""),IF(AND(ISNUMBER(SEARCH("(5х",Q628)),N(AK628)=1),"5 жил на 1 фазе",""),IF(AND(AL628="R",E628&lt;&gt;"",N(AS628)=0),"розетка без 30 мА",""),IF(IFERROR(_xlfn.NUMBERVALUE(MID(Q628,FIND("-",Q628,FIND("L=",Q628))+1,FIND("%",Q628)-FIND("-",Q628,FIND("L=",Q628))-1),","),0)&gt;4,"потери &gt; 4 %","")))</f>
      </c>
      <c r="AF628" s="129">
        <f>IF(E628&lt;&gt;"",COUNTIFS($A$3:A628,A628,$E$3:E628,"?*"),IF(OR(A628&lt;&gt;A627,Y628="вручную"),"",AF627))</f>
        <v/>
      </c>
      <c r="AG628" s="129">
        <f t="shared" si="393"/>
        <v/>
      </c>
      <c r="AH628" s="129">
        <f t="shared" si="394"/>
        <v/>
      </c>
      <c r="AI628" s="129">
        <f t="shared" si="395"/>
        <v/>
      </c>
      <c r="AJ628" s="129">
        <f t="shared" si="396"/>
        <v/>
      </c>
      <c r="AK628" s="129">
        <f t="shared" si="397"/>
        <v/>
      </c>
      <c r="AL628" s="129">
        <f t="shared" si="398"/>
        <v/>
      </c>
      <c r="AM628" s="129">
        <f t="shared" si="399"/>
      </c>
      <c r="AN628" s="129">
        <f t="shared" si="400"/>
      </c>
      <c r="AO628" s="129">
        <f t="shared" si="401"/>
        <v/>
      </c>
      <c r="AP628" s="129">
        <f t="shared" si="402"/>
        <v/>
      </c>
      <c r="AQ628" s="129">
        <f t="shared" si="403"/>
        <v/>
      </c>
      <c r="AR628" s="129">
        <f t="shared" si="404"/>
        <v/>
      </c>
      <c r="AS628" s="129">
        <f t="shared" si="405"/>
        <v/>
      </c>
      <c r="AT628" s="129">
        <f t="shared" si="406"/>
        <v/>
      </c>
      <c r="AU628" s="129">
        <f t="shared" si="407"/>
        <v/>
      </c>
      <c r="AV628" s="129">
        <f t="shared" si="408"/>
        <v/>
      </c>
      <c r="AW628" s="129">
        <f>IF(AV628="","",AV628&amp;"."&amp;COUNTIFS($A$3:A628,A628,$AV$3:AV628,AV628))</f>
        <v/>
      </c>
      <c r="AX628" s="129">
        <f t="shared" si="409"/>
        <v/>
      </c>
      <c r="AY628" s="129">
        <f>IF(N628="б/к",0,IF(OR(ISNUMBER(SEARCH("L=",Разбивка_по_щитам!P628)),N628="+",N628="="),1,0))</f>
      </c>
      <c r="AZ628" s="129">
        <f t="shared" si="410"/>
        <v/>
      </c>
      <c r="BA628" s="129">
        <f t="shared" si="411"/>
      </c>
      <c r="BB628" s="129">
        <f t="shared" si="412"/>
      </c>
      <c r="BD628" s="129">
        <f t="shared" si="413"/>
      </c>
      <c r="BE628" s="129">
        <f t="shared" si="414"/>
      </c>
      <c r="BF628" s="129">
        <f t="shared" si="415"/>
      </c>
      <c r="BG628" s="129">
        <f t="shared" si="416"/>
        <v/>
      </c>
      <c r="BH628" s="129">
        <f t="shared" si="417"/>
        <v/>
      </c>
      <c r="BI628" s="129">
        <f t="shared" si="418"/>
        <v/>
      </c>
      <c r="BJ628" s="129">
        <f t="shared" si="419"/>
        <v/>
      </c>
      <c r="BK628" s="129">
        <f>IF(R628="","",IF(OR(BY628="",BY628=0),"BOX",IFERROR(IF(VLOOKUP(BY628,УГО_блоки,3,FALSE)&amp;""&lt;&gt;"",VLOOKUP(BY628,УГО_блоки,3,FALSE),VLOOKUP(BY628,УГО_блоки,2,FALSE)),BY628)))</f>
      </c>
      <c r="BL628" s="129">
        <f t="shared" si="421"/>
      </c>
      <c r="BM628" s="129">
        <f>IF(H628="","",IF(COUNTIF($H$3:H628,H628)=1,MAX($BM$2:BM627)+1,""))</f>
      </c>
      <c r="BN628" s="129">
        <f>IF(I628="","",IF(COUNTIF($I$3:I628,I628)+COUNTIF($J$2:J627,I628)+COUNTIF($K$2:K627,I628)=1,MAX($BN$2:BP627)+1,""))</f>
      </c>
      <c r="BO628" s="129">
        <f>IF(J628="","",IF(COUNTIF($I$3:I628,J628)+COUNTIF($J$3:J628,J628)+COUNTIF($K$2:K627,J628)=1,MAX($BN$2:BP627,BN628)+1,""))</f>
      </c>
      <c r="BP628" s="129">
        <f>IF(K628="","",IF(COUNTIF($I$3:I628,K628)+COUNTIF($J$3:J628,K628)+COUNTIF($K$3:K628,K628)=1,MAX($BN$2:BP627,BN628,BO628)+1,""))</f>
      </c>
      <c r="BQ628" s="129">
        <f>IF(AY628=1,IFERROR(MID(Q628,FIND(" (",Q628)+2,FIND(")",Q628,FIND(" (",Q628))-FIND(" (",Q628)-2),"?"),"")</f>
      </c>
      <c r="BR628" s="129">
        <f>IF(BQ628="","",IF(COUNTIF($BQ$3:BQ628,BQ628)=1,MAX($BR$2:BR627)+1,""))</f>
      </c>
      <c r="BS628" s="129">
        <f>IF(AW628="","",COUNTIF($AW$3:AW628,"?*"))</f>
      </c>
      <c r="BT628" s="129">
        <f>IF(OR(AW628="",AI628=""),"",IF(COUNTIFS($AW$3:AW628,"?*",$AI$3:AI628,AI628)=1,MAX($BT$2:BT627)+1,""))</f>
      </c>
      <c r="BU628" s="129">
        <f>IF(AE628="",0,IF(OR(ISNUMBER(SEARCH("дубль",AE628)),ISNUMBER(SEARCH("ПЕРЕГРУЗ",AE628)),ISNUMBER(SEARCH("ЗАЩИЩ",AE628)),ISNUMBER(SEARCH("КАНАЛ",AE628)),ISNUMBER(SEARCH("без 30",AE628))),2,1))</f>
      </c>
      <c r="BV628" s="129">
        <f>IF(R628="","",COUNTIF($R$3:R628,"?*"))</f>
      </c>
      <c r="BW628" s="129">
        <f>IF(AY628&lt;&gt;1,0,IF(MAX(IFERROR(--VLOOKUP(R628,УГО_спр,5,FALSE),0),IFERROR(--VLOOKUP(AL628,УГО_спр,5,FALSE),0),IFERROR(--VLOOKUP(LEFT(AL628,2),УГО_спр,5,FALSE),0))&gt;0,MAX(IFERROR(--VLOOKUP(R628,УГО_спр,5,FALSE),0),IFERROR(--VLOOKUP(AL628,УГО_спр,5,FALSE),0),IFERROR(--VLOOKUP(LEFT(AL628,2),УГО_спр,5,FALSE),0)),IF(IFERROR(--LEFT(SUBSTITUTE(BQ628,"x","х"),FIND("х",SUBSTITUTE(BQ628,"x","х"))-1),3)&gt;3,Каталог!$S$9,1)))</f>
      </c>
      <c r="BX628" s="129">
        <f>IF(AY628&lt;&gt;1,0,MAX(0,IFERROR(--LEFT(SUBSTITUTE(BQ628,"x","х"),FIND("х",SUBSTITUTE(BQ628,"x","х"))-1),3)-3*BW628))</f>
      </c>
      <c r="BY628" s="129">
        <f>IF(R628="","",IFERROR(VLOOKUP(R628,УГО_спр,2,FALSE),IFERROR(VLOOKUP(AL628,УГО_спр,2,FALSE),IFERROR(VLOOKUP(LEFT(AL628,2),УГО_спр,2,FALSE),""))))</f>
      </c>
    </row>
    <row r="629" spans="1:64" x14ac:dyDescent="0.3">
      <c r="A629" s="135">
        <f>IF(Разбивка_по_щитам!F629=0,"",Разбивка_по_щитам!F629)</f>
        <v/>
      </c>
      <c r="B629" s="138">
        <f>IF(A629="","",Разбивка_по_щитам!C629)</f>
        <v/>
      </c>
      <c r="C629" s="138">
        <f t="shared" si="382"/>
        <v/>
      </c>
      <c r="D629" s="266"/>
      <c r="E629" s="266"/>
      <c r="F629" s="267"/>
      <c r="G629" s="145">
        <f t="shared" si="383"/>
        <v/>
      </c>
      <c r="H629" s="145">
        <f t="shared" si="384"/>
        <v/>
      </c>
      <c r="I629" s="266"/>
      <c r="J629" s="267"/>
      <c r="K629" s="267"/>
      <c r="L629" s="266"/>
      <c r="M629" s="147">
        <f t="shared" si="385"/>
        <v/>
      </c>
      <c r="N629" s="267"/>
      <c r="O629" s="147">
        <f t="shared" si="386"/>
        <v/>
      </c>
      <c r="P629" s="268">
        <f>IF(AY629=1,"XT"&amp;COUNTIFS($A$3:A629,A629,$AY$3:AY629,1),"")</f>
        <v/>
      </c>
      <c r="Q629" s="152">
        <f>IF(R629="","",IFERROR(SUBSTITUTE(Разбивка_по_щитам!P629,CHAR(10)," "),""))</f>
        <v/>
      </c>
      <c r="R629" s="153">
        <f>IF(OR(Разбивка_по_щитам!H629="",Разбивка_по_щитам!H629=0),"",Разбивка_по_щитам!H629)</f>
        <v/>
      </c>
      <c r="S629" s="154">
        <f>IF(R629="","",IFERROR(Разбивка_по_щитам!J629&amp;"",""))</f>
        <v/>
      </c>
      <c r="T629" s="155">
        <f>IF(R629="","",IFERROR(--Разбивка_по_щитам!L629,""))</f>
        <v/>
      </c>
      <c r="U629" s="155">
        <f>IF(R629="","",IFERROR(--Разбивка_по_щитам!K629,""))</f>
        <v/>
      </c>
      <c r="V629" s="138">
        <f>IF(R629="","",IFERROR(IF(Разбивка_по_щитам!M629=0,"",Разбивка_по_щитам!M629),""))</f>
        <v/>
      </c>
      <c r="W629" s="156">
        <f t="shared" si="387"/>
        <v/>
      </c>
      <c r="X629" s="157">
        <f t="shared" si="388"/>
        <v/>
      </c>
      <c r="Y629" s="266"/>
      <c r="Z629" s="158">
        <f t="shared" si="389"/>
        <v/>
      </c>
      <c r="AA629" s="160">
        <f t="shared" si="390"/>
        <v/>
      </c>
      <c r="AB629" s="160">
        <f>IF(R629="","",IFERROR(LOOKUP(INDEX(Справочная!$I$4:$I$19,MATCH(VLOOKUP(R629,Исходные_данные,22,FALSE),Справочная!$J$4:$J$19,0)+1),{6,10,16,20,25,32,40,50,63,80,100,125}),""))</f>
        <v/>
      </c>
      <c r="AC629" s="160">
        <f t="shared" si="391"/>
        <v/>
      </c>
      <c r="AD629" s="161">
        <f t="shared" si="392"/>
        <v/>
      </c>
      <c r="AE629" s="161">
        <f>IF(AND(R629="",G629=""),"",_xlfn.TEXTJOIN("; ",TRUE,IF(AND(R629&lt;&gt;"",V629=""),"нет фазы",""),IF(AND(R629&lt;&gt;"",N(T629)=0),"нет мощности",""),IF(AND(P629&lt;&gt;"",COUNTIFS($A$3:$A$1000,A629,$P$3:$P$1000,P629)&gt;1),"дубль клеммы "&amp;P629,""),IF(AND(W629&lt;&gt;"",W629&lt;&gt;"ok"),W629,""),IF(X629&lt;&gt;"",X629,""),IF(AND(ISNUMBER(SEARCH("(5х",Q629)),N(AK629)=1),"5 жил на 1 фазе",""),IF(AND(AL629="R",E629&lt;&gt;"",N(AS629)=0),"розетка без 30 мА",""),IF(IFERROR(_xlfn.NUMBERVALUE(MID(Q629,FIND("-",Q629,FIND("L=",Q629))+1,FIND("%",Q629)-FIND("-",Q629,FIND("L=",Q629))-1),","),0)&gt;4,"потери &gt; 4 %","")))</f>
      </c>
      <c r="AF629" s="129">
        <f>IF(E629&lt;&gt;"",COUNTIFS($A$3:A629,A629,$E$3:E629,"?*"),IF(OR(A629&lt;&gt;A628,Y629="вручную"),"",AF628))</f>
        <v/>
      </c>
      <c r="AG629" s="129">
        <f t="shared" si="393"/>
        <v/>
      </c>
      <c r="AH629" s="129">
        <f t="shared" si="394"/>
        <v/>
      </c>
      <c r="AI629" s="129">
        <f t="shared" si="395"/>
        <v/>
      </c>
      <c r="AJ629" s="129">
        <f t="shared" si="396"/>
        <v/>
      </c>
      <c r="AK629" s="129">
        <f t="shared" si="397"/>
        <v/>
      </c>
      <c r="AL629" s="129">
        <f t="shared" si="398"/>
        <v/>
      </c>
      <c r="AM629" s="129">
        <f t="shared" si="399"/>
      </c>
      <c r="AN629" s="129">
        <f t="shared" si="400"/>
      </c>
      <c r="AO629" s="129">
        <f t="shared" si="401"/>
        <v/>
      </c>
      <c r="AP629" s="129">
        <f t="shared" si="402"/>
        <v/>
      </c>
      <c r="AQ629" s="129">
        <f t="shared" si="403"/>
        <v/>
      </c>
      <c r="AR629" s="129">
        <f t="shared" si="404"/>
        <v/>
      </c>
      <c r="AS629" s="129">
        <f t="shared" si="405"/>
        <v/>
      </c>
      <c r="AT629" s="129">
        <f t="shared" si="406"/>
        <v/>
      </c>
      <c r="AU629" s="129">
        <f t="shared" si="407"/>
        <v/>
      </c>
      <c r="AV629" s="129">
        <f t="shared" si="408"/>
        <v/>
      </c>
      <c r="AW629" s="129">
        <f>IF(AV629="","",AV629&amp;"."&amp;COUNTIFS($A$3:A629,A629,$AV$3:AV629,AV629))</f>
        <v/>
      </c>
      <c r="AX629" s="129">
        <f t="shared" si="409"/>
        <v/>
      </c>
      <c r="AY629" s="129">
        <f>IF(N629="б/к",0,IF(OR(ISNUMBER(SEARCH("L=",Разбивка_по_щитам!P629)),N629="+",N629="="),1,0))</f>
      </c>
      <c r="AZ629" s="129">
        <f t="shared" si="410"/>
        <v/>
      </c>
      <c r="BA629" s="129">
        <f t="shared" si="411"/>
      </c>
      <c r="BB629" s="129">
        <f t="shared" si="412"/>
      </c>
      <c r="BD629" s="129">
        <f t="shared" si="413"/>
      </c>
      <c r="BE629" s="129">
        <f t="shared" si="414"/>
      </c>
      <c r="BF629" s="129">
        <f t="shared" si="415"/>
      </c>
      <c r="BG629" s="129">
        <f t="shared" si="416"/>
        <v/>
      </c>
      <c r="BH629" s="129">
        <f t="shared" si="417"/>
        <v/>
      </c>
      <c r="BI629" s="129">
        <f t="shared" si="418"/>
        <v/>
      </c>
      <c r="BJ629" s="129">
        <f t="shared" si="419"/>
        <v/>
      </c>
      <c r="BK629" s="129">
        <f>IF(R629="","",IF(OR(BY629="",BY629=0),"BOX",IFERROR(IF(VLOOKUP(BY629,УГО_блоки,3,FALSE)&amp;""&lt;&gt;"",VLOOKUP(BY629,УГО_блоки,3,FALSE),VLOOKUP(BY629,УГО_блоки,2,FALSE)),BY629)))</f>
      </c>
      <c r="BL629" s="129">
        <f t="shared" si="421"/>
      </c>
      <c r="BM629" s="129">
        <f>IF(H629="","",IF(COUNTIF($H$3:H629,H629)=1,MAX($BM$2:BM628)+1,""))</f>
      </c>
      <c r="BN629" s="129">
        <f>IF(I629="","",IF(COUNTIF($I$3:I629,I629)+COUNTIF($J$2:J628,I629)+COUNTIF($K$2:K628,I629)=1,MAX($BN$2:BP628)+1,""))</f>
      </c>
      <c r="BO629" s="129">
        <f>IF(J629="","",IF(COUNTIF($I$3:I629,J629)+COUNTIF($J$3:J629,J629)+COUNTIF($K$2:K628,J629)=1,MAX($BN$2:BP628,BN629)+1,""))</f>
      </c>
      <c r="BP629" s="129">
        <f>IF(K629="","",IF(COUNTIF($I$3:I629,K629)+COUNTIF($J$3:J629,K629)+COUNTIF($K$3:K629,K629)=1,MAX($BN$2:BP628,BN629,BO629)+1,""))</f>
      </c>
      <c r="BQ629" s="129">
        <f>IF(AY629=1,IFERROR(MID(Q629,FIND(" (",Q629)+2,FIND(")",Q629,FIND(" (",Q629))-FIND(" (",Q629)-2),"?"),"")</f>
      </c>
      <c r="BR629" s="129">
        <f>IF(BQ629="","",IF(COUNTIF($BQ$3:BQ629,BQ629)=1,MAX($BR$2:BR628)+1,""))</f>
      </c>
      <c r="BS629" s="129">
        <f>IF(AW629="","",COUNTIF($AW$3:AW629,"?*"))</f>
      </c>
      <c r="BT629" s="129">
        <f>IF(OR(AW629="",AI629=""),"",IF(COUNTIFS($AW$3:AW629,"?*",$AI$3:AI629,AI629)=1,MAX($BT$2:BT628)+1,""))</f>
      </c>
      <c r="BU629" s="129">
        <f>IF(AE629="",0,IF(OR(ISNUMBER(SEARCH("дубль",AE629)),ISNUMBER(SEARCH("ПЕРЕГРУЗ",AE629)),ISNUMBER(SEARCH("ЗАЩИЩ",AE629)),ISNUMBER(SEARCH("КАНАЛ",AE629)),ISNUMBER(SEARCH("без 30",AE629))),2,1))</f>
      </c>
      <c r="BV629" s="129">
        <f>IF(R629="","",COUNTIF($R$3:R629,"?*"))</f>
      </c>
      <c r="BW629" s="129">
        <f>IF(AY629&lt;&gt;1,0,IF(MAX(IFERROR(--VLOOKUP(R629,УГО_спр,5,FALSE),0),IFERROR(--VLOOKUP(AL629,УГО_спр,5,FALSE),0),IFERROR(--VLOOKUP(LEFT(AL629,2),УГО_спр,5,FALSE),0))&gt;0,MAX(IFERROR(--VLOOKUP(R629,УГО_спр,5,FALSE),0),IFERROR(--VLOOKUP(AL629,УГО_спр,5,FALSE),0),IFERROR(--VLOOKUP(LEFT(AL629,2),УГО_спр,5,FALSE),0)),IF(IFERROR(--LEFT(SUBSTITUTE(BQ629,"x","х"),FIND("х",SUBSTITUTE(BQ629,"x","х"))-1),3)&gt;3,Каталог!$S$9,1)))</f>
      </c>
      <c r="BX629" s="129">
        <f>IF(AY629&lt;&gt;1,0,MAX(0,IFERROR(--LEFT(SUBSTITUTE(BQ629,"x","х"),FIND("х",SUBSTITUTE(BQ629,"x","х"))-1),3)-3*BW629))</f>
      </c>
      <c r="BY629" s="129">
        <f>IF(R629="","",IFERROR(VLOOKUP(R629,УГО_спр,2,FALSE),IFERROR(VLOOKUP(AL629,УГО_спр,2,FALSE),IFERROR(VLOOKUP(LEFT(AL629,2),УГО_спр,2,FALSE),""))))</f>
      </c>
    </row>
    <row r="630" spans="1:64" x14ac:dyDescent="0.3">
      <c r="A630" s="135">
        <f>IF(Разбивка_по_щитам!F630=0,"",Разбивка_по_щитам!F630)</f>
        <v/>
      </c>
      <c r="B630" s="138">
        <f>IF(A630="","",Разбивка_по_щитам!C630)</f>
        <v/>
      </c>
      <c r="C630" s="138">
        <f t="shared" si="382"/>
        <v/>
      </c>
      <c r="D630" s="266"/>
      <c r="E630" s="266"/>
      <c r="F630" s="267"/>
      <c r="G630" s="145">
        <f t="shared" si="383"/>
        <v/>
      </c>
      <c r="H630" s="145">
        <f t="shared" si="384"/>
        <v/>
      </c>
      <c r="I630" s="266"/>
      <c r="J630" s="267"/>
      <c r="K630" s="267"/>
      <c r="L630" s="266"/>
      <c r="M630" s="147">
        <f t="shared" si="385"/>
        <v/>
      </c>
      <c r="N630" s="267"/>
      <c r="O630" s="147">
        <f t="shared" si="386"/>
        <v/>
      </c>
      <c r="P630" s="268">
        <f>IF(AY630=1,"XT"&amp;COUNTIFS($A$3:A630,A630,$AY$3:AY630,1),"")</f>
        <v/>
      </c>
      <c r="Q630" s="152">
        <f>IF(R630="","",IFERROR(SUBSTITUTE(Разбивка_по_щитам!P630,CHAR(10)," "),""))</f>
        <v/>
      </c>
      <c r="R630" s="153">
        <f>IF(OR(Разбивка_по_щитам!H630="",Разбивка_по_щитам!H630=0),"",Разбивка_по_щитам!H630)</f>
        <v/>
      </c>
      <c r="S630" s="154">
        <f>IF(R630="","",IFERROR(Разбивка_по_щитам!J630&amp;"",""))</f>
        <v/>
      </c>
      <c r="T630" s="155">
        <f>IF(R630="","",IFERROR(--Разбивка_по_щитам!L630,""))</f>
        <v/>
      </c>
      <c r="U630" s="155">
        <f>IF(R630="","",IFERROR(--Разбивка_по_щитам!K630,""))</f>
        <v/>
      </c>
      <c r="V630" s="138">
        <f>IF(R630="","",IFERROR(IF(Разбивка_по_щитам!M630=0,"",Разбивка_по_щитам!M630),""))</f>
        <v/>
      </c>
      <c r="W630" s="156">
        <f t="shared" si="387"/>
        <v/>
      </c>
      <c r="X630" s="157">
        <f t="shared" si="388"/>
        <v/>
      </c>
      <c r="Y630" s="266"/>
      <c r="Z630" s="158">
        <f t="shared" si="389"/>
        <v/>
      </c>
      <c r="AA630" s="160">
        <f t="shared" si="390"/>
        <v/>
      </c>
      <c r="AB630" s="160">
        <f>IF(R630="","",IFERROR(LOOKUP(INDEX(Справочная!$I$4:$I$19,MATCH(VLOOKUP(R630,Исходные_данные,22,FALSE),Справочная!$J$4:$J$19,0)+1),{6,10,16,20,25,32,40,50,63,80,100,125}),""))</f>
        <v/>
      </c>
      <c r="AC630" s="160">
        <f t="shared" si="391"/>
        <v/>
      </c>
      <c r="AD630" s="161">
        <f t="shared" si="392"/>
        <v/>
      </c>
      <c r="AE630" s="161">
        <f>IF(AND(R630="",G630=""),"",_xlfn.TEXTJOIN("; ",TRUE,IF(AND(R630&lt;&gt;"",V630=""),"нет фазы",""),IF(AND(R630&lt;&gt;"",N(T630)=0),"нет мощности",""),IF(AND(P630&lt;&gt;"",COUNTIFS($A$3:$A$1000,A630,$P$3:$P$1000,P630)&gt;1),"дубль клеммы "&amp;P630,""),IF(AND(W630&lt;&gt;"",W630&lt;&gt;"ok"),W630,""),IF(X630&lt;&gt;"",X630,""),IF(AND(ISNUMBER(SEARCH("(5х",Q630)),N(AK630)=1),"5 жил на 1 фазе",""),IF(AND(AL630="R",E630&lt;&gt;"",N(AS630)=0),"розетка без 30 мА",""),IF(IFERROR(_xlfn.NUMBERVALUE(MID(Q630,FIND("-",Q630,FIND("L=",Q630))+1,FIND("%",Q630)-FIND("-",Q630,FIND("L=",Q630))-1),","),0)&gt;4,"потери &gt; 4 %","")))</f>
      </c>
      <c r="AF630" s="129">
        <f>IF(E630&lt;&gt;"",COUNTIFS($A$3:A630,A630,$E$3:E630,"?*"),IF(OR(A630&lt;&gt;A629,Y630="вручную"),"",AF629))</f>
        <v/>
      </c>
      <c r="AG630" s="129">
        <f t="shared" si="393"/>
        <v/>
      </c>
      <c r="AH630" s="129">
        <f t="shared" si="394"/>
        <v/>
      </c>
      <c r="AI630" s="129">
        <f t="shared" si="395"/>
        <v/>
      </c>
      <c r="AJ630" s="129">
        <f t="shared" si="396"/>
        <v/>
      </c>
      <c r="AK630" s="129">
        <f t="shared" si="397"/>
        <v/>
      </c>
      <c r="AL630" s="129">
        <f t="shared" si="398"/>
        <v/>
      </c>
      <c r="AM630" s="129">
        <f t="shared" si="399"/>
      </c>
      <c r="AN630" s="129">
        <f t="shared" si="400"/>
      </c>
      <c r="AO630" s="129">
        <f t="shared" si="401"/>
        <v/>
      </c>
      <c r="AP630" s="129">
        <f t="shared" si="402"/>
        <v/>
      </c>
      <c r="AQ630" s="129">
        <f t="shared" si="403"/>
        <v/>
      </c>
      <c r="AR630" s="129">
        <f t="shared" si="404"/>
        <v/>
      </c>
      <c r="AS630" s="129">
        <f t="shared" si="405"/>
        <v/>
      </c>
      <c r="AT630" s="129">
        <f t="shared" si="406"/>
        <v/>
      </c>
      <c r="AU630" s="129">
        <f t="shared" si="407"/>
        <v/>
      </c>
      <c r="AV630" s="129">
        <f t="shared" si="408"/>
        <v/>
      </c>
      <c r="AW630" s="129">
        <f>IF(AV630="","",AV630&amp;"."&amp;COUNTIFS($A$3:A630,A630,$AV$3:AV630,AV630))</f>
        <v/>
      </c>
      <c r="AX630" s="129">
        <f t="shared" si="409"/>
        <v/>
      </c>
      <c r="AY630" s="129">
        <f>IF(N630="б/к",0,IF(OR(ISNUMBER(SEARCH("L=",Разбивка_по_щитам!P630)),N630="+",N630="="),1,0))</f>
      </c>
      <c r="AZ630" s="129">
        <f t="shared" si="410"/>
        <v/>
      </c>
      <c r="BA630" s="129">
        <f t="shared" si="411"/>
      </c>
      <c r="BB630" s="129">
        <f t="shared" si="412"/>
      </c>
      <c r="BD630" s="129">
        <f t="shared" si="413"/>
      </c>
      <c r="BE630" s="129">
        <f t="shared" si="414"/>
      </c>
      <c r="BF630" s="129">
        <f t="shared" si="415"/>
      </c>
      <c r="BG630" s="129">
        <f t="shared" si="416"/>
        <v/>
      </c>
      <c r="BH630" s="129">
        <f t="shared" si="417"/>
        <v/>
      </c>
      <c r="BI630" s="129">
        <f t="shared" si="418"/>
        <v/>
      </c>
      <c r="BJ630" s="129">
        <f t="shared" si="419"/>
        <v/>
      </c>
      <c r="BK630" s="129">
        <f>IF(R630="","",IF(OR(BY630="",BY630=0),"BOX",IFERROR(IF(VLOOKUP(BY630,УГО_блоки,3,FALSE)&amp;""&lt;&gt;"",VLOOKUP(BY630,УГО_блоки,3,FALSE),VLOOKUP(BY630,УГО_блоки,2,FALSE)),BY630)))</f>
      </c>
      <c r="BL630" s="129">
        <f t="shared" si="421"/>
      </c>
      <c r="BM630" s="129">
        <f>IF(H630="","",IF(COUNTIF($H$3:H630,H630)=1,MAX($BM$2:BM629)+1,""))</f>
      </c>
      <c r="BN630" s="129">
        <f>IF(I630="","",IF(COUNTIF($I$3:I630,I630)+COUNTIF($J$2:J629,I630)+COUNTIF($K$2:K629,I630)=1,MAX($BN$2:BP629)+1,""))</f>
      </c>
      <c r="BO630" s="129">
        <f>IF(J630="","",IF(COUNTIF($I$3:I630,J630)+COUNTIF($J$3:J630,J630)+COUNTIF($K$2:K629,J630)=1,MAX($BN$2:BP629,BN630)+1,""))</f>
      </c>
      <c r="BP630" s="129">
        <f>IF(K630="","",IF(COUNTIF($I$3:I630,K630)+COUNTIF($J$3:J630,K630)+COUNTIF($K$3:K630,K630)=1,MAX($BN$2:BP629,BN630,BO630)+1,""))</f>
      </c>
      <c r="BQ630" s="129">
        <f>IF(AY630=1,IFERROR(MID(Q630,FIND(" (",Q630)+2,FIND(")",Q630,FIND(" (",Q630))-FIND(" (",Q630)-2),"?"),"")</f>
      </c>
      <c r="BR630" s="129">
        <f>IF(BQ630="","",IF(COUNTIF($BQ$3:BQ630,BQ630)=1,MAX($BR$2:BR629)+1,""))</f>
      </c>
      <c r="BS630" s="129">
        <f>IF(AW630="","",COUNTIF($AW$3:AW630,"?*"))</f>
      </c>
      <c r="BT630" s="129">
        <f>IF(OR(AW630="",AI630=""),"",IF(COUNTIFS($AW$3:AW630,"?*",$AI$3:AI630,AI630)=1,MAX($BT$2:BT629)+1,""))</f>
      </c>
      <c r="BU630" s="129">
        <f>IF(AE630="",0,IF(OR(ISNUMBER(SEARCH("дубль",AE630)),ISNUMBER(SEARCH("ПЕРЕГРУЗ",AE630)),ISNUMBER(SEARCH("ЗАЩИЩ",AE630)),ISNUMBER(SEARCH("КАНАЛ",AE630)),ISNUMBER(SEARCH("без 30",AE630))),2,1))</f>
      </c>
      <c r="BV630" s="129">
        <f>IF(R630="","",COUNTIF($R$3:R630,"?*"))</f>
      </c>
      <c r="BW630" s="129">
        <f>IF(AY630&lt;&gt;1,0,IF(MAX(IFERROR(--VLOOKUP(R630,УГО_спр,5,FALSE),0),IFERROR(--VLOOKUP(AL630,УГО_спр,5,FALSE),0),IFERROR(--VLOOKUP(LEFT(AL630,2),УГО_спр,5,FALSE),0))&gt;0,MAX(IFERROR(--VLOOKUP(R630,УГО_спр,5,FALSE),0),IFERROR(--VLOOKUP(AL630,УГО_спр,5,FALSE),0),IFERROR(--VLOOKUP(LEFT(AL630,2),УГО_спр,5,FALSE),0)),IF(IFERROR(--LEFT(SUBSTITUTE(BQ630,"x","х"),FIND("х",SUBSTITUTE(BQ630,"x","х"))-1),3)&gt;3,Каталог!$S$9,1)))</f>
      </c>
      <c r="BX630" s="129">
        <f>IF(AY630&lt;&gt;1,0,MAX(0,IFERROR(--LEFT(SUBSTITUTE(BQ630,"x","х"),FIND("х",SUBSTITUTE(BQ630,"x","х"))-1),3)-3*BW630))</f>
      </c>
      <c r="BY630" s="129">
        <f>IF(R630="","",IFERROR(VLOOKUP(R630,УГО_спр,2,FALSE),IFERROR(VLOOKUP(AL630,УГО_спр,2,FALSE),IFERROR(VLOOKUP(LEFT(AL630,2),УГО_спр,2,FALSE),""))))</f>
      </c>
    </row>
    <row r="631" spans="1:64" x14ac:dyDescent="0.3">
      <c r="A631" s="135">
        <f>IF(Разбивка_по_щитам!F631=0,"",Разбивка_по_щитам!F631)</f>
        <v/>
      </c>
      <c r="B631" s="138">
        <f>IF(A631="","",Разбивка_по_щитам!C631)</f>
        <v/>
      </c>
      <c r="C631" s="138">
        <f t="shared" si="382"/>
        <v/>
      </c>
      <c r="D631" s="266"/>
      <c r="E631" s="266"/>
      <c r="F631" s="267"/>
      <c r="G631" s="145">
        <f t="shared" si="383"/>
        <v/>
      </c>
      <c r="H631" s="145">
        <f t="shared" si="384"/>
        <v/>
      </c>
      <c r="I631" s="266"/>
      <c r="J631" s="267"/>
      <c r="K631" s="267"/>
      <c r="L631" s="266"/>
      <c r="M631" s="147">
        <f t="shared" si="385"/>
        <v/>
      </c>
      <c r="N631" s="267"/>
      <c r="O631" s="147">
        <f t="shared" si="386"/>
        <v/>
      </c>
      <c r="P631" s="268">
        <f>IF(AY631=1,"XT"&amp;COUNTIFS($A$3:A631,A631,$AY$3:AY631,1),"")</f>
        <v/>
      </c>
      <c r="Q631" s="152">
        <f>IF(R631="","",IFERROR(SUBSTITUTE(Разбивка_по_щитам!P631,CHAR(10)," "),""))</f>
        <v/>
      </c>
      <c r="R631" s="153">
        <f>IF(OR(Разбивка_по_щитам!H631="",Разбивка_по_щитам!H631=0),"",Разбивка_по_щитам!H631)</f>
        <v/>
      </c>
      <c r="S631" s="154">
        <f>IF(R631="","",IFERROR(Разбивка_по_щитам!J631&amp;"",""))</f>
        <v/>
      </c>
      <c r="T631" s="155">
        <f>IF(R631="","",IFERROR(--Разбивка_по_щитам!L631,""))</f>
        <v/>
      </c>
      <c r="U631" s="155">
        <f>IF(R631="","",IFERROR(--Разбивка_по_щитам!K631,""))</f>
        <v/>
      </c>
      <c r="V631" s="138">
        <f>IF(R631="","",IFERROR(IF(Разбивка_по_щитам!M631=0,"",Разбивка_по_щитам!M631),""))</f>
        <v/>
      </c>
      <c r="W631" s="156">
        <f t="shared" si="387"/>
        <v/>
      </c>
      <c r="X631" s="157">
        <f t="shared" si="388"/>
        <v/>
      </c>
      <c r="Y631" s="266"/>
      <c r="Z631" s="158">
        <f t="shared" si="389"/>
        <v/>
      </c>
      <c r="AA631" s="160">
        <f t="shared" si="390"/>
        <v/>
      </c>
      <c r="AB631" s="160">
        <f>IF(R631="","",IFERROR(LOOKUP(INDEX(Справочная!$I$4:$I$19,MATCH(VLOOKUP(R631,Исходные_данные,22,FALSE),Справочная!$J$4:$J$19,0)+1),{6,10,16,20,25,32,40,50,63,80,100,125}),""))</f>
        <v/>
      </c>
      <c r="AC631" s="160">
        <f t="shared" si="391"/>
        <v/>
      </c>
      <c r="AD631" s="161">
        <f t="shared" si="392"/>
        <v/>
      </c>
      <c r="AE631" s="161">
        <f>IF(AND(R631="",G631=""),"",_xlfn.TEXTJOIN("; ",TRUE,IF(AND(R631&lt;&gt;"",V631=""),"нет фазы",""),IF(AND(R631&lt;&gt;"",N(T631)=0),"нет мощности",""),IF(AND(P631&lt;&gt;"",COUNTIFS($A$3:$A$1000,A631,$P$3:$P$1000,P631)&gt;1),"дубль клеммы "&amp;P631,""),IF(AND(W631&lt;&gt;"",W631&lt;&gt;"ok"),W631,""),IF(X631&lt;&gt;"",X631,""),IF(AND(ISNUMBER(SEARCH("(5х",Q631)),N(AK631)=1),"5 жил на 1 фазе",""),IF(AND(AL631="R",E631&lt;&gt;"",N(AS631)=0),"розетка без 30 мА",""),IF(IFERROR(_xlfn.NUMBERVALUE(MID(Q631,FIND("-",Q631,FIND("L=",Q631))+1,FIND("%",Q631)-FIND("-",Q631,FIND("L=",Q631))-1),","),0)&gt;4,"потери &gt; 4 %","")))</f>
      </c>
      <c r="AF631" s="129">
        <f>IF(E631&lt;&gt;"",COUNTIFS($A$3:A631,A631,$E$3:E631,"?*"),IF(OR(A631&lt;&gt;A630,Y631="вручную"),"",AF630))</f>
        <v/>
      </c>
      <c r="AG631" s="129">
        <f t="shared" si="393"/>
        <v/>
      </c>
      <c r="AH631" s="129">
        <f t="shared" si="394"/>
        <v/>
      </c>
      <c r="AI631" s="129">
        <f t="shared" si="395"/>
        <v/>
      </c>
      <c r="AJ631" s="129">
        <f t="shared" si="396"/>
        <v/>
      </c>
      <c r="AK631" s="129">
        <f t="shared" si="397"/>
        <v/>
      </c>
      <c r="AL631" s="129">
        <f t="shared" si="398"/>
        <v/>
      </c>
      <c r="AM631" s="129">
        <f t="shared" si="399"/>
      </c>
      <c r="AN631" s="129">
        <f t="shared" si="400"/>
      </c>
      <c r="AO631" s="129">
        <f t="shared" si="401"/>
        <v/>
      </c>
      <c r="AP631" s="129">
        <f t="shared" si="402"/>
        <v/>
      </c>
      <c r="AQ631" s="129">
        <f t="shared" si="403"/>
        <v/>
      </c>
      <c r="AR631" s="129">
        <f t="shared" si="404"/>
        <v/>
      </c>
      <c r="AS631" s="129">
        <f t="shared" si="405"/>
        <v/>
      </c>
      <c r="AT631" s="129">
        <f t="shared" si="406"/>
        <v/>
      </c>
      <c r="AU631" s="129">
        <f t="shared" si="407"/>
        <v/>
      </c>
      <c r="AV631" s="129">
        <f t="shared" si="408"/>
        <v/>
      </c>
      <c r="AW631" s="129">
        <f>IF(AV631="","",AV631&amp;"."&amp;COUNTIFS($A$3:A631,A631,$AV$3:AV631,AV631))</f>
        <v/>
      </c>
      <c r="AX631" s="129">
        <f t="shared" si="409"/>
        <v/>
      </c>
      <c r="AY631" s="129">
        <f>IF(N631="б/к",0,IF(OR(ISNUMBER(SEARCH("L=",Разбивка_по_щитам!P631)),N631="+",N631="="),1,0))</f>
      </c>
      <c r="AZ631" s="129">
        <f t="shared" si="410"/>
        <v/>
      </c>
      <c r="BA631" s="129">
        <f t="shared" si="411"/>
      </c>
      <c r="BB631" s="129">
        <f t="shared" si="412"/>
      </c>
      <c r="BD631" s="129">
        <f t="shared" si="413"/>
      </c>
      <c r="BE631" s="129">
        <f t="shared" si="414"/>
      </c>
      <c r="BF631" s="129">
        <f t="shared" si="415"/>
      </c>
      <c r="BG631" s="129">
        <f t="shared" si="416"/>
        <v/>
      </c>
      <c r="BH631" s="129">
        <f t="shared" si="417"/>
        <v/>
      </c>
      <c r="BI631" s="129">
        <f t="shared" si="418"/>
        <v/>
      </c>
      <c r="BJ631" s="129">
        <f t="shared" si="419"/>
        <v/>
      </c>
      <c r="BK631" s="129">
        <f>IF(R631="","",IF(OR(BY631="",BY631=0),"BOX",IFERROR(IF(VLOOKUP(BY631,УГО_блоки,3,FALSE)&amp;""&lt;&gt;"",VLOOKUP(BY631,УГО_блоки,3,FALSE),VLOOKUP(BY631,УГО_блоки,2,FALSE)),BY631)))</f>
      </c>
      <c r="BL631" s="129">
        <f t="shared" si="421"/>
      </c>
      <c r="BM631" s="129">
        <f>IF(H631="","",IF(COUNTIF($H$3:H631,H631)=1,MAX($BM$2:BM630)+1,""))</f>
      </c>
      <c r="BN631" s="129">
        <f>IF(I631="","",IF(COUNTIF($I$3:I631,I631)+COUNTIF($J$2:J630,I631)+COUNTIF($K$2:K630,I631)=1,MAX($BN$2:BP630)+1,""))</f>
      </c>
      <c r="BO631" s="129">
        <f>IF(J631="","",IF(COUNTIF($I$3:I631,J631)+COUNTIF($J$3:J631,J631)+COUNTIF($K$2:K630,J631)=1,MAX($BN$2:BP630,BN631)+1,""))</f>
      </c>
      <c r="BP631" s="129">
        <f>IF(K631="","",IF(COUNTIF($I$3:I631,K631)+COUNTIF($J$3:J631,K631)+COUNTIF($K$3:K631,K631)=1,MAX($BN$2:BP630,BN631,BO631)+1,""))</f>
      </c>
      <c r="BQ631" s="129">
        <f>IF(AY631=1,IFERROR(MID(Q631,FIND(" (",Q631)+2,FIND(")",Q631,FIND(" (",Q631))-FIND(" (",Q631)-2),"?"),"")</f>
      </c>
      <c r="BR631" s="129">
        <f>IF(BQ631="","",IF(COUNTIF($BQ$3:BQ631,BQ631)=1,MAX($BR$2:BR630)+1,""))</f>
      </c>
      <c r="BS631" s="129">
        <f>IF(AW631="","",COUNTIF($AW$3:AW631,"?*"))</f>
      </c>
      <c r="BT631" s="129">
        <f>IF(OR(AW631="",AI631=""),"",IF(COUNTIFS($AW$3:AW631,"?*",$AI$3:AI631,AI631)=1,MAX($BT$2:BT630)+1,""))</f>
      </c>
      <c r="BU631" s="129">
        <f>IF(AE631="",0,IF(OR(ISNUMBER(SEARCH("дубль",AE631)),ISNUMBER(SEARCH("ПЕРЕГРУЗ",AE631)),ISNUMBER(SEARCH("ЗАЩИЩ",AE631)),ISNUMBER(SEARCH("КАНАЛ",AE631)),ISNUMBER(SEARCH("без 30",AE631))),2,1))</f>
      </c>
      <c r="BV631" s="129">
        <f>IF(R631="","",COUNTIF($R$3:R631,"?*"))</f>
      </c>
      <c r="BW631" s="129">
        <f>IF(AY631&lt;&gt;1,0,IF(MAX(IFERROR(--VLOOKUP(R631,УГО_спр,5,FALSE),0),IFERROR(--VLOOKUP(AL631,УГО_спр,5,FALSE),0),IFERROR(--VLOOKUP(LEFT(AL631,2),УГО_спр,5,FALSE),0))&gt;0,MAX(IFERROR(--VLOOKUP(R631,УГО_спр,5,FALSE),0),IFERROR(--VLOOKUP(AL631,УГО_спр,5,FALSE),0),IFERROR(--VLOOKUP(LEFT(AL631,2),УГО_спр,5,FALSE),0)),IF(IFERROR(--LEFT(SUBSTITUTE(BQ631,"x","х"),FIND("х",SUBSTITUTE(BQ631,"x","х"))-1),3)&gt;3,Каталог!$S$9,1)))</f>
      </c>
      <c r="BX631" s="129">
        <f>IF(AY631&lt;&gt;1,0,MAX(0,IFERROR(--LEFT(SUBSTITUTE(BQ631,"x","х"),FIND("х",SUBSTITUTE(BQ631,"x","х"))-1),3)-3*BW631))</f>
      </c>
      <c r="BY631" s="129">
        <f>IF(R631="","",IFERROR(VLOOKUP(R631,УГО_спр,2,FALSE),IFERROR(VLOOKUP(AL631,УГО_спр,2,FALSE),IFERROR(VLOOKUP(LEFT(AL631,2),УГО_спр,2,FALSE),""))))</f>
      </c>
    </row>
    <row r="632" spans="1:64" x14ac:dyDescent="0.3">
      <c r="A632" s="135">
        <f>IF(Разбивка_по_щитам!F632=0,"",Разбивка_по_щитам!F632)</f>
        <v/>
      </c>
      <c r="B632" s="138">
        <f>IF(A632="","",Разбивка_по_щитам!C632)</f>
        <v/>
      </c>
      <c r="C632" s="138">
        <f t="shared" si="382"/>
        <v/>
      </c>
      <c r="D632" s="266"/>
      <c r="E632" s="266"/>
      <c r="F632" s="267"/>
      <c r="G632" s="145">
        <f t="shared" si="383"/>
        <v/>
      </c>
      <c r="H632" s="145">
        <f t="shared" si="384"/>
        <v/>
      </c>
      <c r="I632" s="266"/>
      <c r="J632" s="267"/>
      <c r="K632" s="267"/>
      <c r="L632" s="266"/>
      <c r="M632" s="147">
        <f t="shared" si="385"/>
        <v/>
      </c>
      <c r="N632" s="267"/>
      <c r="O632" s="147">
        <f t="shared" si="386"/>
        <v/>
      </c>
      <c r="P632" s="268">
        <f>IF(AY632=1,"XT"&amp;COUNTIFS($A$3:A632,A632,$AY$3:AY632,1),"")</f>
        <v/>
      </c>
      <c r="Q632" s="152">
        <f>IF(R632="","",IFERROR(SUBSTITUTE(Разбивка_по_щитам!P632,CHAR(10)," "),""))</f>
        <v/>
      </c>
      <c r="R632" s="153">
        <f>IF(OR(Разбивка_по_щитам!H632="",Разбивка_по_щитам!H632=0),"",Разбивка_по_щитам!H632)</f>
        <v/>
      </c>
      <c r="S632" s="154">
        <f>IF(R632="","",IFERROR(Разбивка_по_щитам!J632&amp;"",""))</f>
        <v/>
      </c>
      <c r="T632" s="155">
        <f>IF(R632="","",IFERROR(--Разбивка_по_щитам!L632,""))</f>
        <v/>
      </c>
      <c r="U632" s="155">
        <f>IF(R632="","",IFERROR(--Разбивка_по_щитам!K632,""))</f>
        <v/>
      </c>
      <c r="V632" s="138">
        <f>IF(R632="","",IFERROR(IF(Разбивка_по_щитам!M632=0,"",Разбивка_по_щитам!M632),""))</f>
        <v/>
      </c>
      <c r="W632" s="156">
        <f t="shared" si="387"/>
        <v/>
      </c>
      <c r="X632" s="157">
        <f t="shared" si="388"/>
        <v/>
      </c>
      <c r="Y632" s="266"/>
      <c r="Z632" s="158">
        <f t="shared" si="389"/>
        <v/>
      </c>
      <c r="AA632" s="160">
        <f t="shared" si="390"/>
        <v/>
      </c>
      <c r="AB632" s="160">
        <f>IF(R632="","",IFERROR(LOOKUP(INDEX(Справочная!$I$4:$I$19,MATCH(VLOOKUP(R632,Исходные_данные,22,FALSE),Справочная!$J$4:$J$19,0)+1),{6,10,16,20,25,32,40,50,63,80,100,125}),""))</f>
        <v/>
      </c>
      <c r="AC632" s="160">
        <f t="shared" si="391"/>
        <v/>
      </c>
      <c r="AD632" s="161">
        <f t="shared" si="392"/>
        <v/>
      </c>
      <c r="AE632" s="161">
        <f>IF(AND(R632="",G632=""),"",_xlfn.TEXTJOIN("; ",TRUE,IF(AND(R632&lt;&gt;"",V632=""),"нет фазы",""),IF(AND(R632&lt;&gt;"",N(T632)=0),"нет мощности",""),IF(AND(P632&lt;&gt;"",COUNTIFS($A$3:$A$1000,A632,$P$3:$P$1000,P632)&gt;1),"дубль клеммы "&amp;P632,""),IF(AND(W632&lt;&gt;"",W632&lt;&gt;"ok"),W632,""),IF(X632&lt;&gt;"",X632,""),IF(AND(ISNUMBER(SEARCH("(5х",Q632)),N(AK632)=1),"5 жил на 1 фазе",""),IF(AND(AL632="R",E632&lt;&gt;"",N(AS632)=0),"розетка без 30 мА",""),IF(IFERROR(_xlfn.NUMBERVALUE(MID(Q632,FIND("-",Q632,FIND("L=",Q632))+1,FIND("%",Q632)-FIND("-",Q632,FIND("L=",Q632))-1),","),0)&gt;4,"потери &gt; 4 %","")))</f>
      </c>
      <c r="AF632" s="129">
        <f>IF(E632&lt;&gt;"",COUNTIFS($A$3:A632,A632,$E$3:E632,"?*"),IF(OR(A632&lt;&gt;A631,Y632="вручную"),"",AF631))</f>
        <v/>
      </c>
      <c r="AG632" s="129">
        <f t="shared" si="393"/>
        <v/>
      </c>
      <c r="AH632" s="129">
        <f t="shared" si="394"/>
        <v/>
      </c>
      <c r="AI632" s="129">
        <f t="shared" si="395"/>
        <v/>
      </c>
      <c r="AJ632" s="129">
        <f t="shared" si="396"/>
        <v/>
      </c>
      <c r="AK632" s="129">
        <f t="shared" si="397"/>
        <v/>
      </c>
      <c r="AL632" s="129">
        <f t="shared" si="398"/>
        <v/>
      </c>
      <c r="AM632" s="129">
        <f t="shared" si="399"/>
      </c>
      <c r="AN632" s="129">
        <f t="shared" si="400"/>
      </c>
      <c r="AO632" s="129">
        <f t="shared" si="401"/>
        <v/>
      </c>
      <c r="AP632" s="129">
        <f t="shared" si="402"/>
        <v/>
      </c>
      <c r="AQ632" s="129">
        <f t="shared" si="403"/>
        <v/>
      </c>
      <c r="AR632" s="129">
        <f t="shared" si="404"/>
        <v/>
      </c>
      <c r="AS632" s="129">
        <f t="shared" si="405"/>
        <v/>
      </c>
      <c r="AT632" s="129">
        <f t="shared" si="406"/>
        <v/>
      </c>
      <c r="AU632" s="129">
        <f t="shared" si="407"/>
        <v/>
      </c>
      <c r="AV632" s="129">
        <f t="shared" si="408"/>
        <v/>
      </c>
      <c r="AW632" s="129">
        <f>IF(AV632="","",AV632&amp;"."&amp;COUNTIFS($A$3:A632,A632,$AV$3:AV632,AV632))</f>
        <v/>
      </c>
      <c r="AX632" s="129">
        <f t="shared" si="409"/>
        <v/>
      </c>
      <c r="AY632" s="129">
        <f>IF(N632="б/к",0,IF(OR(ISNUMBER(SEARCH("L=",Разбивка_по_щитам!P632)),N632="+",N632="="),1,0))</f>
      </c>
      <c r="AZ632" s="129">
        <f t="shared" si="410"/>
        <v/>
      </c>
      <c r="BA632" s="129">
        <f t="shared" si="411"/>
      </c>
      <c r="BB632" s="129">
        <f t="shared" si="412"/>
      </c>
      <c r="BD632" s="129">
        <f t="shared" si="413"/>
      </c>
      <c r="BE632" s="129">
        <f t="shared" si="414"/>
      </c>
      <c r="BF632" s="129">
        <f t="shared" si="415"/>
      </c>
      <c r="BG632" s="129">
        <f t="shared" si="416"/>
        <v/>
      </c>
      <c r="BH632" s="129">
        <f t="shared" si="417"/>
        <v/>
      </c>
      <c r="BI632" s="129">
        <f t="shared" si="418"/>
        <v/>
      </c>
      <c r="BJ632" s="129">
        <f t="shared" si="419"/>
        <v/>
      </c>
      <c r="BK632" s="129">
        <f>IF(R632="","",IF(OR(BY632="",BY632=0),"BOX",IFERROR(IF(VLOOKUP(BY632,УГО_блоки,3,FALSE)&amp;""&lt;&gt;"",VLOOKUP(BY632,УГО_блоки,3,FALSE),VLOOKUP(BY632,УГО_блоки,2,FALSE)),BY632)))</f>
      </c>
      <c r="BL632" s="129">
        <f t="shared" si="421"/>
      </c>
      <c r="BM632" s="129">
        <f>IF(H632="","",IF(COUNTIF($H$3:H632,H632)=1,MAX($BM$2:BM631)+1,""))</f>
      </c>
      <c r="BN632" s="129">
        <f>IF(I632="","",IF(COUNTIF($I$3:I632,I632)+COUNTIF($J$2:J631,I632)+COUNTIF($K$2:K631,I632)=1,MAX($BN$2:BP631)+1,""))</f>
      </c>
      <c r="BO632" s="129">
        <f>IF(J632="","",IF(COUNTIF($I$3:I632,J632)+COUNTIF($J$3:J632,J632)+COUNTIF($K$2:K631,J632)=1,MAX($BN$2:BP631,BN632)+1,""))</f>
      </c>
      <c r="BP632" s="129">
        <f>IF(K632="","",IF(COUNTIF($I$3:I632,K632)+COUNTIF($J$3:J632,K632)+COUNTIF($K$3:K632,K632)=1,MAX($BN$2:BP631,BN632,BO632)+1,""))</f>
      </c>
      <c r="BQ632" s="129">
        <f>IF(AY632=1,IFERROR(MID(Q632,FIND(" (",Q632)+2,FIND(")",Q632,FIND(" (",Q632))-FIND(" (",Q632)-2),"?"),"")</f>
      </c>
      <c r="BR632" s="129">
        <f>IF(BQ632="","",IF(COUNTIF($BQ$3:BQ632,BQ632)=1,MAX($BR$2:BR631)+1,""))</f>
      </c>
      <c r="BS632" s="129">
        <f>IF(AW632="","",COUNTIF($AW$3:AW632,"?*"))</f>
      </c>
      <c r="BT632" s="129">
        <f>IF(OR(AW632="",AI632=""),"",IF(COUNTIFS($AW$3:AW632,"?*",$AI$3:AI632,AI632)=1,MAX($BT$2:BT631)+1,""))</f>
      </c>
      <c r="BU632" s="129">
        <f>IF(AE632="",0,IF(OR(ISNUMBER(SEARCH("дубль",AE632)),ISNUMBER(SEARCH("ПЕРЕГРУЗ",AE632)),ISNUMBER(SEARCH("ЗАЩИЩ",AE632)),ISNUMBER(SEARCH("КАНАЛ",AE632)),ISNUMBER(SEARCH("без 30",AE632))),2,1))</f>
      </c>
      <c r="BV632" s="129">
        <f>IF(R632="","",COUNTIF($R$3:R632,"?*"))</f>
      </c>
      <c r="BW632" s="129">
        <f>IF(AY632&lt;&gt;1,0,IF(MAX(IFERROR(--VLOOKUP(R632,УГО_спр,5,FALSE),0),IFERROR(--VLOOKUP(AL632,УГО_спр,5,FALSE),0),IFERROR(--VLOOKUP(LEFT(AL632,2),УГО_спр,5,FALSE),0))&gt;0,MAX(IFERROR(--VLOOKUP(R632,УГО_спр,5,FALSE),0),IFERROR(--VLOOKUP(AL632,УГО_спр,5,FALSE),0),IFERROR(--VLOOKUP(LEFT(AL632,2),УГО_спр,5,FALSE),0)),IF(IFERROR(--LEFT(SUBSTITUTE(BQ632,"x","х"),FIND("х",SUBSTITUTE(BQ632,"x","х"))-1),3)&gt;3,Каталог!$S$9,1)))</f>
      </c>
      <c r="BX632" s="129">
        <f>IF(AY632&lt;&gt;1,0,MAX(0,IFERROR(--LEFT(SUBSTITUTE(BQ632,"x","х"),FIND("х",SUBSTITUTE(BQ632,"x","х"))-1),3)-3*BW632))</f>
      </c>
      <c r="BY632" s="129">
        <f>IF(R632="","",IFERROR(VLOOKUP(R632,УГО_спр,2,FALSE),IFERROR(VLOOKUP(AL632,УГО_спр,2,FALSE),IFERROR(VLOOKUP(LEFT(AL632,2),УГО_спр,2,FALSE),""))))</f>
      </c>
    </row>
    <row r="633" spans="1:64" x14ac:dyDescent="0.3">
      <c r="A633" s="135">
        <f>IF(Разбивка_по_щитам!F633=0,"",Разбивка_по_щитам!F633)</f>
        <v/>
      </c>
      <c r="B633" s="138">
        <f>IF(A633="","",Разбивка_по_щитам!C633)</f>
        <v/>
      </c>
      <c r="C633" s="138">
        <f t="shared" si="382"/>
        <v/>
      </c>
      <c r="D633" s="266"/>
      <c r="E633" s="266"/>
      <c r="F633" s="267"/>
      <c r="G633" s="145">
        <f t="shared" si="383"/>
        <v/>
      </c>
      <c r="H633" s="145">
        <f t="shared" si="384"/>
        <v/>
      </c>
      <c r="I633" s="266"/>
      <c r="J633" s="267"/>
      <c r="K633" s="267"/>
      <c r="L633" s="266"/>
      <c r="M633" s="147">
        <f t="shared" si="385"/>
        <v/>
      </c>
      <c r="N633" s="267"/>
      <c r="O633" s="147">
        <f t="shared" si="386"/>
        <v/>
      </c>
      <c r="P633" s="268">
        <f>IF(AY633=1,"XT"&amp;COUNTIFS($A$3:A633,A633,$AY$3:AY633,1),"")</f>
        <v/>
      </c>
      <c r="Q633" s="152">
        <f>IF(R633="","",IFERROR(SUBSTITUTE(Разбивка_по_щитам!P633,CHAR(10)," "),""))</f>
        <v/>
      </c>
      <c r="R633" s="153">
        <f>IF(OR(Разбивка_по_щитам!H633="",Разбивка_по_щитам!H633=0),"",Разбивка_по_щитам!H633)</f>
        <v/>
      </c>
      <c r="S633" s="154">
        <f>IF(R633="","",IFERROR(Разбивка_по_щитам!J633&amp;"",""))</f>
        <v/>
      </c>
      <c r="T633" s="155">
        <f>IF(R633="","",IFERROR(--Разбивка_по_щитам!L633,""))</f>
        <v/>
      </c>
      <c r="U633" s="155">
        <f>IF(R633="","",IFERROR(--Разбивка_по_щитам!K633,""))</f>
        <v/>
      </c>
      <c r="V633" s="138">
        <f>IF(R633="","",IFERROR(IF(Разбивка_по_щитам!M633=0,"",Разбивка_по_щитам!M633),""))</f>
        <v/>
      </c>
      <c r="W633" s="156">
        <f t="shared" si="387"/>
        <v/>
      </c>
      <c r="X633" s="157">
        <f t="shared" si="388"/>
        <v/>
      </c>
      <c r="Y633" s="266"/>
      <c r="Z633" s="158">
        <f t="shared" si="389"/>
        <v/>
      </c>
      <c r="AA633" s="160">
        <f t="shared" si="390"/>
        <v/>
      </c>
      <c r="AB633" s="160">
        <f>IF(R633="","",IFERROR(LOOKUP(INDEX(Справочная!$I$4:$I$19,MATCH(VLOOKUP(R633,Исходные_данные,22,FALSE),Справочная!$J$4:$J$19,0)+1),{6,10,16,20,25,32,40,50,63,80,100,125}),""))</f>
        <v/>
      </c>
      <c r="AC633" s="160">
        <f t="shared" si="391"/>
        <v/>
      </c>
      <c r="AD633" s="161">
        <f t="shared" si="392"/>
        <v/>
      </c>
      <c r="AE633" s="161">
        <f>IF(AND(R633="",G633=""),"",_xlfn.TEXTJOIN("; ",TRUE,IF(AND(R633&lt;&gt;"",V633=""),"нет фазы",""),IF(AND(R633&lt;&gt;"",N(T633)=0),"нет мощности",""),IF(AND(P633&lt;&gt;"",COUNTIFS($A$3:$A$1000,A633,$P$3:$P$1000,P633)&gt;1),"дубль клеммы "&amp;P633,""),IF(AND(W633&lt;&gt;"",W633&lt;&gt;"ok"),W633,""),IF(X633&lt;&gt;"",X633,""),IF(AND(ISNUMBER(SEARCH("(5х",Q633)),N(AK633)=1),"5 жил на 1 фазе",""),IF(AND(AL633="R",E633&lt;&gt;"",N(AS633)=0),"розетка без 30 мА",""),IF(IFERROR(_xlfn.NUMBERVALUE(MID(Q633,FIND("-",Q633,FIND("L=",Q633))+1,FIND("%",Q633)-FIND("-",Q633,FIND("L=",Q633))-1),","),0)&gt;4,"потери &gt; 4 %","")))</f>
      </c>
      <c r="AF633" s="129">
        <f>IF(E633&lt;&gt;"",COUNTIFS($A$3:A633,A633,$E$3:E633,"?*"),IF(OR(A633&lt;&gt;A632,Y633="вручную"),"",AF632))</f>
        <v/>
      </c>
      <c r="AG633" s="129">
        <f t="shared" si="393"/>
        <v/>
      </c>
      <c r="AH633" s="129">
        <f t="shared" si="394"/>
        <v/>
      </c>
      <c r="AI633" s="129">
        <f t="shared" si="395"/>
        <v/>
      </c>
      <c r="AJ633" s="129">
        <f t="shared" si="396"/>
        <v/>
      </c>
      <c r="AK633" s="129">
        <f t="shared" si="397"/>
        <v/>
      </c>
      <c r="AL633" s="129">
        <f t="shared" si="398"/>
        <v/>
      </c>
      <c r="AM633" s="129">
        <f t="shared" si="399"/>
      </c>
      <c r="AN633" s="129">
        <f t="shared" si="400"/>
      </c>
      <c r="AO633" s="129">
        <f t="shared" si="401"/>
        <v/>
      </c>
      <c r="AP633" s="129">
        <f t="shared" si="402"/>
        <v/>
      </c>
      <c r="AQ633" s="129">
        <f t="shared" si="403"/>
        <v/>
      </c>
      <c r="AR633" s="129">
        <f t="shared" si="404"/>
        <v/>
      </c>
      <c r="AS633" s="129">
        <f t="shared" si="405"/>
        <v/>
      </c>
      <c r="AT633" s="129">
        <f t="shared" si="406"/>
        <v/>
      </c>
      <c r="AU633" s="129">
        <f t="shared" si="407"/>
        <v/>
      </c>
      <c r="AV633" s="129">
        <f t="shared" si="408"/>
        <v/>
      </c>
      <c r="AW633" s="129">
        <f>IF(AV633="","",AV633&amp;"."&amp;COUNTIFS($A$3:A633,A633,$AV$3:AV633,AV633))</f>
        <v/>
      </c>
      <c r="AX633" s="129">
        <f t="shared" si="409"/>
        <v/>
      </c>
      <c r="AY633" s="129">
        <f>IF(N633="б/к",0,IF(OR(ISNUMBER(SEARCH("L=",Разбивка_по_щитам!P633)),N633="+",N633="="),1,0))</f>
      </c>
      <c r="AZ633" s="129">
        <f t="shared" si="410"/>
        <v/>
      </c>
      <c r="BA633" s="129">
        <f t="shared" si="411"/>
      </c>
      <c r="BB633" s="129">
        <f t="shared" si="412"/>
      </c>
      <c r="BD633" s="129">
        <f t="shared" si="413"/>
      </c>
      <c r="BE633" s="129">
        <f t="shared" si="414"/>
      </c>
      <c r="BF633" s="129">
        <f t="shared" si="415"/>
      </c>
      <c r="BG633" s="129">
        <f t="shared" si="416"/>
        <v/>
      </c>
      <c r="BH633" s="129">
        <f t="shared" si="417"/>
        <v/>
      </c>
      <c r="BI633" s="129">
        <f t="shared" si="418"/>
        <v/>
      </c>
      <c r="BJ633" s="129">
        <f t="shared" si="419"/>
        <v/>
      </c>
      <c r="BK633" s="129">
        <f>IF(R633="","",IF(OR(BY633="",BY633=0),"BOX",IFERROR(IF(VLOOKUP(BY633,УГО_блоки,3,FALSE)&amp;""&lt;&gt;"",VLOOKUP(BY633,УГО_блоки,3,FALSE),VLOOKUP(BY633,УГО_блоки,2,FALSE)),BY633)))</f>
      </c>
      <c r="BL633" s="129">
        <f t="shared" si="421"/>
      </c>
      <c r="BM633" s="129">
        <f>IF(H633="","",IF(COUNTIF($H$3:H633,H633)=1,MAX($BM$2:BM632)+1,""))</f>
      </c>
      <c r="BN633" s="129">
        <f>IF(I633="","",IF(COUNTIF($I$3:I633,I633)+COUNTIF($J$2:J632,I633)+COUNTIF($K$2:K632,I633)=1,MAX($BN$2:BP632)+1,""))</f>
      </c>
      <c r="BO633" s="129">
        <f>IF(J633="","",IF(COUNTIF($I$3:I633,J633)+COUNTIF($J$3:J633,J633)+COUNTIF($K$2:K632,J633)=1,MAX($BN$2:BP632,BN633)+1,""))</f>
      </c>
      <c r="BP633" s="129">
        <f>IF(K633="","",IF(COUNTIF($I$3:I633,K633)+COUNTIF($J$3:J633,K633)+COUNTIF($K$3:K633,K633)=1,MAX($BN$2:BP632,BN633,BO633)+1,""))</f>
      </c>
      <c r="BQ633" s="129">
        <f>IF(AY633=1,IFERROR(MID(Q633,FIND(" (",Q633)+2,FIND(")",Q633,FIND(" (",Q633))-FIND(" (",Q633)-2),"?"),"")</f>
      </c>
      <c r="BR633" s="129">
        <f>IF(BQ633="","",IF(COUNTIF($BQ$3:BQ633,BQ633)=1,MAX($BR$2:BR632)+1,""))</f>
      </c>
      <c r="BS633" s="129">
        <f>IF(AW633="","",COUNTIF($AW$3:AW633,"?*"))</f>
      </c>
      <c r="BT633" s="129">
        <f>IF(OR(AW633="",AI633=""),"",IF(COUNTIFS($AW$3:AW633,"?*",$AI$3:AI633,AI633)=1,MAX($BT$2:BT632)+1,""))</f>
      </c>
      <c r="BU633" s="129">
        <f>IF(AE633="",0,IF(OR(ISNUMBER(SEARCH("дубль",AE633)),ISNUMBER(SEARCH("ПЕРЕГРУЗ",AE633)),ISNUMBER(SEARCH("ЗАЩИЩ",AE633)),ISNUMBER(SEARCH("КАНАЛ",AE633)),ISNUMBER(SEARCH("без 30",AE633))),2,1))</f>
      </c>
      <c r="BV633" s="129">
        <f>IF(R633="","",COUNTIF($R$3:R633,"?*"))</f>
      </c>
      <c r="BW633" s="129">
        <f>IF(AY633&lt;&gt;1,0,IF(MAX(IFERROR(--VLOOKUP(R633,УГО_спр,5,FALSE),0),IFERROR(--VLOOKUP(AL633,УГО_спр,5,FALSE),0),IFERROR(--VLOOKUP(LEFT(AL633,2),УГО_спр,5,FALSE),0))&gt;0,MAX(IFERROR(--VLOOKUP(R633,УГО_спр,5,FALSE),0),IFERROR(--VLOOKUP(AL633,УГО_спр,5,FALSE),0),IFERROR(--VLOOKUP(LEFT(AL633,2),УГО_спр,5,FALSE),0)),IF(IFERROR(--LEFT(SUBSTITUTE(BQ633,"x","х"),FIND("х",SUBSTITUTE(BQ633,"x","х"))-1),3)&gt;3,Каталог!$S$9,1)))</f>
      </c>
      <c r="BX633" s="129">
        <f>IF(AY633&lt;&gt;1,0,MAX(0,IFERROR(--LEFT(SUBSTITUTE(BQ633,"x","х"),FIND("х",SUBSTITUTE(BQ633,"x","х"))-1),3)-3*BW633))</f>
      </c>
      <c r="BY633" s="129">
        <f>IF(R633="","",IFERROR(VLOOKUP(R633,УГО_спр,2,FALSE),IFERROR(VLOOKUP(AL633,УГО_спр,2,FALSE),IFERROR(VLOOKUP(LEFT(AL633,2),УГО_спр,2,FALSE),""))))</f>
      </c>
    </row>
    <row r="634" spans="1:64" x14ac:dyDescent="0.3">
      <c r="A634" s="135">
        <f>IF(Разбивка_по_щитам!F634=0,"",Разбивка_по_щитам!F634)</f>
        <v/>
      </c>
      <c r="B634" s="138">
        <f>IF(A634="","",Разбивка_по_щитам!C634)</f>
        <v/>
      </c>
      <c r="C634" s="138">
        <f t="shared" si="382"/>
        <v/>
      </c>
      <c r="D634" s="266"/>
      <c r="E634" s="266"/>
      <c r="F634" s="267"/>
      <c r="G634" s="145">
        <f t="shared" si="383"/>
        <v/>
      </c>
      <c r="H634" s="145">
        <f t="shared" si="384"/>
        <v/>
      </c>
      <c r="I634" s="266"/>
      <c r="J634" s="267"/>
      <c r="K634" s="267"/>
      <c r="L634" s="266"/>
      <c r="M634" s="147">
        <f t="shared" si="385"/>
        <v/>
      </c>
      <c r="N634" s="267"/>
      <c r="O634" s="147">
        <f t="shared" si="386"/>
        <v/>
      </c>
      <c r="P634" s="268">
        <f>IF(AY634=1,"XT"&amp;COUNTIFS($A$3:A634,A634,$AY$3:AY634,1),"")</f>
        <v/>
      </c>
      <c r="Q634" s="152">
        <f>IF(R634="","",IFERROR(SUBSTITUTE(Разбивка_по_щитам!P634,CHAR(10)," "),""))</f>
        <v/>
      </c>
      <c r="R634" s="153">
        <f>IF(OR(Разбивка_по_щитам!H634="",Разбивка_по_щитам!H634=0),"",Разбивка_по_щитам!H634)</f>
        <v/>
      </c>
      <c r="S634" s="154">
        <f>IF(R634="","",IFERROR(Разбивка_по_щитам!J634&amp;"",""))</f>
        <v/>
      </c>
      <c r="T634" s="155">
        <f>IF(R634="","",IFERROR(--Разбивка_по_щитам!L634,""))</f>
        <v/>
      </c>
      <c r="U634" s="155">
        <f>IF(R634="","",IFERROR(--Разбивка_по_щитам!K634,""))</f>
        <v/>
      </c>
      <c r="V634" s="138">
        <f>IF(R634="","",IFERROR(IF(Разбивка_по_щитам!M634=0,"",Разбивка_по_щитам!M634),""))</f>
        <v/>
      </c>
      <c r="W634" s="156">
        <f t="shared" si="387"/>
        <v/>
      </c>
      <c r="X634" s="157">
        <f t="shared" si="388"/>
        <v/>
      </c>
      <c r="Y634" s="266"/>
      <c r="Z634" s="158">
        <f t="shared" si="389"/>
        <v/>
      </c>
      <c r="AA634" s="160">
        <f t="shared" si="390"/>
        <v/>
      </c>
      <c r="AB634" s="160">
        <f>IF(R634="","",IFERROR(LOOKUP(INDEX(Справочная!$I$4:$I$19,MATCH(VLOOKUP(R634,Исходные_данные,22,FALSE),Справочная!$J$4:$J$19,0)+1),{6,10,16,20,25,32,40,50,63,80,100,125}),""))</f>
        <v/>
      </c>
      <c r="AC634" s="160">
        <f t="shared" si="391"/>
        <v/>
      </c>
      <c r="AD634" s="161">
        <f t="shared" si="392"/>
        <v/>
      </c>
      <c r="AE634" s="161">
        <f>IF(AND(R634="",G634=""),"",_xlfn.TEXTJOIN("; ",TRUE,IF(AND(R634&lt;&gt;"",V634=""),"нет фазы",""),IF(AND(R634&lt;&gt;"",N(T634)=0),"нет мощности",""),IF(AND(P634&lt;&gt;"",COUNTIFS($A$3:$A$1000,A634,$P$3:$P$1000,P634)&gt;1),"дубль клеммы "&amp;P634,""),IF(AND(W634&lt;&gt;"",W634&lt;&gt;"ok"),W634,""),IF(X634&lt;&gt;"",X634,""),IF(AND(ISNUMBER(SEARCH("(5х",Q634)),N(AK634)=1),"5 жил на 1 фазе",""),IF(AND(AL634="R",E634&lt;&gt;"",N(AS634)=0),"розетка без 30 мА",""),IF(IFERROR(_xlfn.NUMBERVALUE(MID(Q634,FIND("-",Q634,FIND("L=",Q634))+1,FIND("%",Q634)-FIND("-",Q634,FIND("L=",Q634))-1),","),0)&gt;4,"потери &gt; 4 %","")))</f>
      </c>
      <c r="AF634" s="129">
        <f>IF(E634&lt;&gt;"",COUNTIFS($A$3:A634,A634,$E$3:E634,"?*"),IF(OR(A634&lt;&gt;A633,Y634="вручную"),"",AF633))</f>
        <v/>
      </c>
      <c r="AG634" s="129">
        <f t="shared" si="393"/>
        <v/>
      </c>
      <c r="AH634" s="129">
        <f t="shared" si="394"/>
        <v/>
      </c>
      <c r="AI634" s="129">
        <f t="shared" si="395"/>
        <v/>
      </c>
      <c r="AJ634" s="129">
        <f t="shared" si="396"/>
        <v/>
      </c>
      <c r="AK634" s="129">
        <f t="shared" si="397"/>
        <v/>
      </c>
      <c r="AL634" s="129">
        <f t="shared" si="398"/>
        <v/>
      </c>
      <c r="AM634" s="129">
        <f t="shared" si="399"/>
      </c>
      <c r="AN634" s="129">
        <f t="shared" si="400"/>
      </c>
      <c r="AO634" s="129">
        <f t="shared" si="401"/>
        <v/>
      </c>
      <c r="AP634" s="129">
        <f t="shared" si="402"/>
        <v/>
      </c>
      <c r="AQ634" s="129">
        <f t="shared" si="403"/>
        <v/>
      </c>
      <c r="AR634" s="129">
        <f t="shared" si="404"/>
        <v/>
      </c>
      <c r="AS634" s="129">
        <f t="shared" si="405"/>
        <v/>
      </c>
      <c r="AT634" s="129">
        <f t="shared" si="406"/>
        <v/>
      </c>
      <c r="AU634" s="129">
        <f t="shared" si="407"/>
        <v/>
      </c>
      <c r="AV634" s="129">
        <f t="shared" si="408"/>
        <v/>
      </c>
      <c r="AW634" s="129">
        <f>IF(AV634="","",AV634&amp;"."&amp;COUNTIFS($A$3:A634,A634,$AV$3:AV634,AV634))</f>
        <v/>
      </c>
      <c r="AX634" s="129">
        <f t="shared" si="409"/>
        <v/>
      </c>
      <c r="AY634" s="129">
        <f>IF(N634="б/к",0,IF(OR(ISNUMBER(SEARCH("L=",Разбивка_по_щитам!P634)),N634="+",N634="="),1,0))</f>
      </c>
      <c r="AZ634" s="129">
        <f t="shared" si="410"/>
        <v/>
      </c>
      <c r="BA634" s="129">
        <f t="shared" si="411"/>
      </c>
      <c r="BB634" s="129">
        <f t="shared" si="412"/>
      </c>
      <c r="BD634" s="129">
        <f t="shared" si="413"/>
      </c>
      <c r="BE634" s="129">
        <f t="shared" si="414"/>
      </c>
      <c r="BF634" s="129">
        <f t="shared" si="415"/>
      </c>
      <c r="BG634" s="129">
        <f t="shared" si="416"/>
        <v/>
      </c>
      <c r="BH634" s="129">
        <f t="shared" si="417"/>
        <v/>
      </c>
      <c r="BI634" s="129">
        <f t="shared" si="418"/>
        <v/>
      </c>
      <c r="BJ634" s="129">
        <f t="shared" si="419"/>
        <v/>
      </c>
      <c r="BK634" s="129">
        <f>IF(R634="","",IF(OR(BY634="",BY634=0),"BOX",IFERROR(IF(VLOOKUP(BY634,УГО_блоки,3,FALSE)&amp;""&lt;&gt;"",VLOOKUP(BY634,УГО_блоки,3,FALSE),VLOOKUP(BY634,УГО_блоки,2,FALSE)),BY634)))</f>
      </c>
      <c r="BL634" s="129">
        <f t="shared" si="421"/>
      </c>
      <c r="BM634" s="129">
        <f>IF(H634="","",IF(COUNTIF($H$3:H634,H634)=1,MAX($BM$2:BM633)+1,""))</f>
      </c>
      <c r="BN634" s="129">
        <f>IF(I634="","",IF(COUNTIF($I$3:I634,I634)+COUNTIF($J$2:J633,I634)+COUNTIF($K$2:K633,I634)=1,MAX($BN$2:BP633)+1,""))</f>
      </c>
      <c r="BO634" s="129">
        <f>IF(J634="","",IF(COUNTIF($I$3:I634,J634)+COUNTIF($J$3:J634,J634)+COUNTIF($K$2:K633,J634)=1,MAX($BN$2:BP633,BN634)+1,""))</f>
      </c>
      <c r="BP634" s="129">
        <f>IF(K634="","",IF(COUNTIF($I$3:I634,K634)+COUNTIF($J$3:J634,K634)+COUNTIF($K$3:K634,K634)=1,MAX($BN$2:BP633,BN634,BO634)+1,""))</f>
      </c>
      <c r="BQ634" s="129">
        <f>IF(AY634=1,IFERROR(MID(Q634,FIND(" (",Q634)+2,FIND(")",Q634,FIND(" (",Q634))-FIND(" (",Q634)-2),"?"),"")</f>
      </c>
      <c r="BR634" s="129">
        <f>IF(BQ634="","",IF(COUNTIF($BQ$3:BQ634,BQ634)=1,MAX($BR$2:BR633)+1,""))</f>
      </c>
      <c r="BS634" s="129">
        <f>IF(AW634="","",COUNTIF($AW$3:AW634,"?*"))</f>
      </c>
      <c r="BT634" s="129">
        <f>IF(OR(AW634="",AI634=""),"",IF(COUNTIFS($AW$3:AW634,"?*",$AI$3:AI634,AI634)=1,MAX($BT$2:BT633)+1,""))</f>
      </c>
      <c r="BU634" s="129">
        <f>IF(AE634="",0,IF(OR(ISNUMBER(SEARCH("дубль",AE634)),ISNUMBER(SEARCH("ПЕРЕГРУЗ",AE634)),ISNUMBER(SEARCH("ЗАЩИЩ",AE634)),ISNUMBER(SEARCH("КАНАЛ",AE634)),ISNUMBER(SEARCH("без 30",AE634))),2,1))</f>
      </c>
      <c r="BV634" s="129">
        <f>IF(R634="","",COUNTIF($R$3:R634,"?*"))</f>
      </c>
      <c r="BW634" s="129">
        <f>IF(AY634&lt;&gt;1,0,IF(MAX(IFERROR(--VLOOKUP(R634,УГО_спр,5,FALSE),0),IFERROR(--VLOOKUP(AL634,УГО_спр,5,FALSE),0),IFERROR(--VLOOKUP(LEFT(AL634,2),УГО_спр,5,FALSE),0))&gt;0,MAX(IFERROR(--VLOOKUP(R634,УГО_спр,5,FALSE),0),IFERROR(--VLOOKUP(AL634,УГО_спр,5,FALSE),0),IFERROR(--VLOOKUP(LEFT(AL634,2),УГО_спр,5,FALSE),0)),IF(IFERROR(--LEFT(SUBSTITUTE(BQ634,"x","х"),FIND("х",SUBSTITUTE(BQ634,"x","х"))-1),3)&gt;3,Каталог!$S$9,1)))</f>
      </c>
      <c r="BX634" s="129">
        <f>IF(AY634&lt;&gt;1,0,MAX(0,IFERROR(--LEFT(SUBSTITUTE(BQ634,"x","х"),FIND("х",SUBSTITUTE(BQ634,"x","х"))-1),3)-3*BW634))</f>
      </c>
      <c r="BY634" s="129">
        <f>IF(R634="","",IFERROR(VLOOKUP(R634,УГО_спр,2,FALSE),IFERROR(VLOOKUP(AL634,УГО_спр,2,FALSE),IFERROR(VLOOKUP(LEFT(AL634,2),УГО_спр,2,FALSE),""))))</f>
      </c>
    </row>
    <row r="635" spans="1:64" x14ac:dyDescent="0.3">
      <c r="A635" s="135">
        <f>IF(Разбивка_по_щитам!F635=0,"",Разбивка_по_щитам!F635)</f>
        <v/>
      </c>
      <c r="B635" s="138">
        <f>IF(A635="","",Разбивка_по_щитам!C635)</f>
        <v/>
      </c>
      <c r="C635" s="138">
        <f t="shared" si="382"/>
        <v/>
      </c>
      <c r="D635" s="266"/>
      <c r="E635" s="266"/>
      <c r="F635" s="267"/>
      <c r="G635" s="145">
        <f t="shared" si="383"/>
        <v/>
      </c>
      <c r="H635" s="145">
        <f t="shared" si="384"/>
        <v/>
      </c>
      <c r="I635" s="266"/>
      <c r="J635" s="267"/>
      <c r="K635" s="267"/>
      <c r="L635" s="266"/>
      <c r="M635" s="147">
        <f t="shared" si="385"/>
        <v/>
      </c>
      <c r="N635" s="267"/>
      <c r="O635" s="147">
        <f t="shared" si="386"/>
        <v/>
      </c>
      <c r="P635" s="268">
        <f>IF(AY635=1,"XT"&amp;COUNTIFS($A$3:A635,A635,$AY$3:AY635,1),"")</f>
        <v/>
      </c>
      <c r="Q635" s="152">
        <f>IF(R635="","",IFERROR(SUBSTITUTE(Разбивка_по_щитам!P635,CHAR(10)," "),""))</f>
        <v/>
      </c>
      <c r="R635" s="153">
        <f>IF(OR(Разбивка_по_щитам!H635="",Разбивка_по_щитам!H635=0),"",Разбивка_по_щитам!H635)</f>
        <v/>
      </c>
      <c r="S635" s="154">
        <f>IF(R635="","",IFERROR(Разбивка_по_щитам!J635&amp;"",""))</f>
        <v/>
      </c>
      <c r="T635" s="155">
        <f>IF(R635="","",IFERROR(--Разбивка_по_щитам!L635,""))</f>
        <v/>
      </c>
      <c r="U635" s="155">
        <f>IF(R635="","",IFERROR(--Разбивка_по_щитам!K635,""))</f>
        <v/>
      </c>
      <c r="V635" s="138">
        <f>IF(R635="","",IFERROR(IF(Разбивка_по_щитам!M635=0,"",Разбивка_по_щитам!M635),""))</f>
        <v/>
      </c>
      <c r="W635" s="156">
        <f t="shared" si="387"/>
        <v/>
      </c>
      <c r="X635" s="157">
        <f t="shared" si="388"/>
        <v/>
      </c>
      <c r="Y635" s="266"/>
      <c r="Z635" s="158">
        <f t="shared" si="389"/>
        <v/>
      </c>
      <c r="AA635" s="160">
        <f t="shared" si="390"/>
        <v/>
      </c>
      <c r="AB635" s="160">
        <f>IF(R635="","",IFERROR(LOOKUP(INDEX(Справочная!$I$4:$I$19,MATCH(VLOOKUP(R635,Исходные_данные,22,FALSE),Справочная!$J$4:$J$19,0)+1),{6,10,16,20,25,32,40,50,63,80,100,125}),""))</f>
        <v/>
      </c>
      <c r="AC635" s="160">
        <f t="shared" si="391"/>
        <v/>
      </c>
      <c r="AD635" s="161">
        <f t="shared" si="392"/>
        <v/>
      </c>
      <c r="AE635" s="161">
        <f>IF(AND(R635="",G635=""),"",_xlfn.TEXTJOIN("; ",TRUE,IF(AND(R635&lt;&gt;"",V635=""),"нет фазы",""),IF(AND(R635&lt;&gt;"",N(T635)=0),"нет мощности",""),IF(AND(P635&lt;&gt;"",COUNTIFS($A$3:$A$1000,A635,$P$3:$P$1000,P635)&gt;1),"дубль клеммы "&amp;P635,""),IF(AND(W635&lt;&gt;"",W635&lt;&gt;"ok"),W635,""),IF(X635&lt;&gt;"",X635,""),IF(AND(ISNUMBER(SEARCH("(5х",Q635)),N(AK635)=1),"5 жил на 1 фазе",""),IF(AND(AL635="R",E635&lt;&gt;"",N(AS635)=0),"розетка без 30 мА",""),IF(IFERROR(_xlfn.NUMBERVALUE(MID(Q635,FIND("-",Q635,FIND("L=",Q635))+1,FIND("%",Q635)-FIND("-",Q635,FIND("L=",Q635))-1),","),0)&gt;4,"потери &gt; 4 %","")))</f>
      </c>
      <c r="AF635" s="129">
        <f>IF(E635&lt;&gt;"",COUNTIFS($A$3:A635,A635,$E$3:E635,"?*"),IF(OR(A635&lt;&gt;A634,Y635="вручную"),"",AF634))</f>
        <v/>
      </c>
      <c r="AG635" s="129">
        <f t="shared" si="393"/>
        <v/>
      </c>
      <c r="AH635" s="129">
        <f t="shared" si="394"/>
        <v/>
      </c>
      <c r="AI635" s="129">
        <f t="shared" si="395"/>
        <v/>
      </c>
      <c r="AJ635" s="129">
        <f t="shared" si="396"/>
        <v/>
      </c>
      <c r="AK635" s="129">
        <f t="shared" si="397"/>
        <v/>
      </c>
      <c r="AL635" s="129">
        <f t="shared" si="398"/>
        <v/>
      </c>
      <c r="AM635" s="129">
        <f t="shared" si="399"/>
      </c>
      <c r="AN635" s="129">
        <f t="shared" si="400"/>
      </c>
      <c r="AO635" s="129">
        <f t="shared" si="401"/>
        <v/>
      </c>
      <c r="AP635" s="129">
        <f t="shared" si="402"/>
        <v/>
      </c>
      <c r="AQ635" s="129">
        <f t="shared" si="403"/>
        <v/>
      </c>
      <c r="AR635" s="129">
        <f t="shared" si="404"/>
        <v/>
      </c>
      <c r="AS635" s="129">
        <f t="shared" si="405"/>
        <v/>
      </c>
      <c r="AT635" s="129">
        <f t="shared" si="406"/>
        <v/>
      </c>
      <c r="AU635" s="129">
        <f t="shared" si="407"/>
        <v/>
      </c>
      <c r="AV635" s="129">
        <f t="shared" si="408"/>
        <v/>
      </c>
      <c r="AW635" s="129">
        <f>IF(AV635="","",AV635&amp;"."&amp;COUNTIFS($A$3:A635,A635,$AV$3:AV635,AV635))</f>
        <v/>
      </c>
      <c r="AX635" s="129">
        <f t="shared" si="409"/>
        <v/>
      </c>
      <c r="AY635" s="129">
        <f>IF(N635="б/к",0,IF(OR(ISNUMBER(SEARCH("L=",Разбивка_по_щитам!P635)),N635="+",N635="="),1,0))</f>
      </c>
      <c r="AZ635" s="129">
        <f t="shared" si="410"/>
        <v/>
      </c>
      <c r="BA635" s="129">
        <f t="shared" si="411"/>
      </c>
      <c r="BB635" s="129">
        <f t="shared" si="412"/>
      </c>
      <c r="BD635" s="129">
        <f t="shared" si="413"/>
      </c>
      <c r="BE635" s="129">
        <f t="shared" si="414"/>
      </c>
      <c r="BF635" s="129">
        <f t="shared" si="415"/>
      </c>
      <c r="BG635" s="129">
        <f t="shared" si="416"/>
        <v/>
      </c>
      <c r="BH635" s="129">
        <f t="shared" si="417"/>
        <v/>
      </c>
      <c r="BI635" s="129">
        <f t="shared" si="418"/>
        <v/>
      </c>
      <c r="BJ635" s="129">
        <f t="shared" si="419"/>
        <v/>
      </c>
      <c r="BK635" s="129">
        <f>IF(R635="","",IF(OR(BY635="",BY635=0),"BOX",IFERROR(IF(VLOOKUP(BY635,УГО_блоки,3,FALSE)&amp;""&lt;&gt;"",VLOOKUP(BY635,УГО_блоки,3,FALSE),VLOOKUP(BY635,УГО_блоки,2,FALSE)),BY635)))</f>
      </c>
      <c r="BL635" s="129">
        <f t="shared" si="421"/>
      </c>
      <c r="BM635" s="129">
        <f>IF(H635="","",IF(COUNTIF($H$3:H635,H635)=1,MAX($BM$2:BM634)+1,""))</f>
      </c>
      <c r="BN635" s="129">
        <f>IF(I635="","",IF(COUNTIF($I$3:I635,I635)+COUNTIF($J$2:J634,I635)+COUNTIF($K$2:K634,I635)=1,MAX($BN$2:BP634)+1,""))</f>
      </c>
      <c r="BO635" s="129">
        <f>IF(J635="","",IF(COUNTIF($I$3:I635,J635)+COUNTIF($J$3:J635,J635)+COUNTIF($K$2:K634,J635)=1,MAX($BN$2:BP634,BN635)+1,""))</f>
      </c>
      <c r="BP635" s="129">
        <f>IF(K635="","",IF(COUNTIF($I$3:I635,K635)+COUNTIF($J$3:J635,K635)+COUNTIF($K$3:K635,K635)=1,MAX($BN$2:BP634,BN635,BO635)+1,""))</f>
      </c>
      <c r="BQ635" s="129">
        <f>IF(AY635=1,IFERROR(MID(Q635,FIND(" (",Q635)+2,FIND(")",Q635,FIND(" (",Q635))-FIND(" (",Q635)-2),"?"),"")</f>
      </c>
      <c r="BR635" s="129">
        <f>IF(BQ635="","",IF(COUNTIF($BQ$3:BQ635,BQ635)=1,MAX($BR$2:BR634)+1,""))</f>
      </c>
      <c r="BS635" s="129">
        <f>IF(AW635="","",COUNTIF($AW$3:AW635,"?*"))</f>
      </c>
      <c r="BT635" s="129">
        <f>IF(OR(AW635="",AI635=""),"",IF(COUNTIFS($AW$3:AW635,"?*",$AI$3:AI635,AI635)=1,MAX($BT$2:BT634)+1,""))</f>
      </c>
      <c r="BU635" s="129">
        <f>IF(AE635="",0,IF(OR(ISNUMBER(SEARCH("дубль",AE635)),ISNUMBER(SEARCH("ПЕРЕГРУЗ",AE635)),ISNUMBER(SEARCH("ЗАЩИЩ",AE635)),ISNUMBER(SEARCH("КАНАЛ",AE635)),ISNUMBER(SEARCH("без 30",AE635))),2,1))</f>
      </c>
      <c r="BV635" s="129">
        <f>IF(R635="","",COUNTIF($R$3:R635,"?*"))</f>
      </c>
      <c r="BW635" s="129">
        <f>IF(AY635&lt;&gt;1,0,IF(MAX(IFERROR(--VLOOKUP(R635,УГО_спр,5,FALSE),0),IFERROR(--VLOOKUP(AL635,УГО_спр,5,FALSE),0),IFERROR(--VLOOKUP(LEFT(AL635,2),УГО_спр,5,FALSE),0))&gt;0,MAX(IFERROR(--VLOOKUP(R635,УГО_спр,5,FALSE),0),IFERROR(--VLOOKUP(AL635,УГО_спр,5,FALSE),0),IFERROR(--VLOOKUP(LEFT(AL635,2),УГО_спр,5,FALSE),0)),IF(IFERROR(--LEFT(SUBSTITUTE(BQ635,"x","х"),FIND("х",SUBSTITUTE(BQ635,"x","х"))-1),3)&gt;3,Каталог!$S$9,1)))</f>
      </c>
      <c r="BX635" s="129">
        <f>IF(AY635&lt;&gt;1,0,MAX(0,IFERROR(--LEFT(SUBSTITUTE(BQ635,"x","х"),FIND("х",SUBSTITUTE(BQ635,"x","х"))-1),3)-3*BW635))</f>
      </c>
      <c r="BY635" s="129">
        <f>IF(R635="","",IFERROR(VLOOKUP(R635,УГО_спр,2,FALSE),IFERROR(VLOOKUP(AL635,УГО_спр,2,FALSE),IFERROR(VLOOKUP(LEFT(AL635,2),УГО_спр,2,FALSE),""))))</f>
      </c>
    </row>
    <row r="636" spans="1:64" x14ac:dyDescent="0.3">
      <c r="A636" s="135">
        <f>IF(Разбивка_по_щитам!F636=0,"",Разбивка_по_щитам!F636)</f>
        <v/>
      </c>
      <c r="B636" s="138">
        <f>IF(A636="","",Разбивка_по_щитам!C636)</f>
        <v/>
      </c>
      <c r="C636" s="138">
        <f t="shared" si="382"/>
        <v/>
      </c>
      <c r="D636" s="266"/>
      <c r="E636" s="266"/>
      <c r="F636" s="267"/>
      <c r="G636" s="145">
        <f t="shared" si="383"/>
        <v/>
      </c>
      <c r="H636" s="145">
        <f t="shared" si="384"/>
        <v/>
      </c>
      <c r="I636" s="266"/>
      <c r="J636" s="267"/>
      <c r="K636" s="267"/>
      <c r="L636" s="266"/>
      <c r="M636" s="147">
        <f t="shared" si="385"/>
        <v/>
      </c>
      <c r="N636" s="267"/>
      <c r="O636" s="147">
        <f t="shared" si="386"/>
        <v/>
      </c>
      <c r="P636" s="268">
        <f>IF(AY636=1,"XT"&amp;COUNTIFS($A$3:A636,A636,$AY$3:AY636,1),"")</f>
        <v/>
      </c>
      <c r="Q636" s="152">
        <f>IF(R636="","",IFERROR(SUBSTITUTE(Разбивка_по_щитам!P636,CHAR(10)," "),""))</f>
        <v/>
      </c>
      <c r="R636" s="153">
        <f>IF(OR(Разбивка_по_щитам!H636="",Разбивка_по_щитам!H636=0),"",Разбивка_по_щитам!H636)</f>
        <v/>
      </c>
      <c r="S636" s="154">
        <f>IF(R636="","",IFERROR(Разбивка_по_щитам!J636&amp;"",""))</f>
        <v/>
      </c>
      <c r="T636" s="155">
        <f>IF(R636="","",IFERROR(--Разбивка_по_щитам!L636,""))</f>
        <v/>
      </c>
      <c r="U636" s="155">
        <f>IF(R636="","",IFERROR(--Разбивка_по_щитам!K636,""))</f>
        <v/>
      </c>
      <c r="V636" s="138">
        <f>IF(R636="","",IFERROR(IF(Разбивка_по_щитам!M636=0,"",Разбивка_по_щитам!M636),""))</f>
        <v/>
      </c>
      <c r="W636" s="156">
        <f t="shared" si="387"/>
        <v/>
      </c>
      <c r="X636" s="157">
        <f t="shared" si="388"/>
        <v/>
      </c>
      <c r="Y636" s="266"/>
      <c r="Z636" s="158">
        <f t="shared" si="389"/>
        <v/>
      </c>
      <c r="AA636" s="160">
        <f t="shared" si="390"/>
        <v/>
      </c>
      <c r="AB636" s="160">
        <f>IF(R636="","",IFERROR(LOOKUP(INDEX(Справочная!$I$4:$I$19,MATCH(VLOOKUP(R636,Исходные_данные,22,FALSE),Справочная!$J$4:$J$19,0)+1),{6,10,16,20,25,32,40,50,63,80,100,125}),""))</f>
        <v/>
      </c>
      <c r="AC636" s="160">
        <f t="shared" si="391"/>
        <v/>
      </c>
      <c r="AD636" s="161">
        <f t="shared" si="392"/>
        <v/>
      </c>
      <c r="AE636" s="161">
        <f>IF(AND(R636="",G636=""),"",_xlfn.TEXTJOIN("; ",TRUE,IF(AND(R636&lt;&gt;"",V636=""),"нет фазы",""),IF(AND(R636&lt;&gt;"",N(T636)=0),"нет мощности",""),IF(AND(P636&lt;&gt;"",COUNTIFS($A$3:$A$1000,A636,$P$3:$P$1000,P636)&gt;1),"дубль клеммы "&amp;P636,""),IF(AND(W636&lt;&gt;"",W636&lt;&gt;"ok"),W636,""),IF(X636&lt;&gt;"",X636,""),IF(AND(ISNUMBER(SEARCH("(5х",Q636)),N(AK636)=1),"5 жил на 1 фазе",""),IF(AND(AL636="R",E636&lt;&gt;"",N(AS636)=0),"розетка без 30 мА",""),IF(IFERROR(_xlfn.NUMBERVALUE(MID(Q636,FIND("-",Q636,FIND("L=",Q636))+1,FIND("%",Q636)-FIND("-",Q636,FIND("L=",Q636))-1),","),0)&gt;4,"потери &gt; 4 %","")))</f>
      </c>
      <c r="AF636" s="129">
        <f>IF(E636&lt;&gt;"",COUNTIFS($A$3:A636,A636,$E$3:E636,"?*"),IF(OR(A636&lt;&gt;A635,Y636="вручную"),"",AF635))</f>
        <v/>
      </c>
      <c r="AG636" s="129">
        <f t="shared" si="393"/>
        <v/>
      </c>
      <c r="AH636" s="129">
        <f t="shared" si="394"/>
        <v/>
      </c>
      <c r="AI636" s="129">
        <f t="shared" si="395"/>
        <v/>
      </c>
      <c r="AJ636" s="129">
        <f t="shared" si="396"/>
        <v/>
      </c>
      <c r="AK636" s="129">
        <f t="shared" si="397"/>
        <v/>
      </c>
      <c r="AL636" s="129">
        <f t="shared" si="398"/>
        <v/>
      </c>
      <c r="AM636" s="129">
        <f t="shared" si="399"/>
      </c>
      <c r="AN636" s="129">
        <f t="shared" si="400"/>
      </c>
      <c r="AO636" s="129">
        <f t="shared" si="401"/>
        <v/>
      </c>
      <c r="AP636" s="129">
        <f t="shared" si="402"/>
        <v/>
      </c>
      <c r="AQ636" s="129">
        <f t="shared" si="403"/>
        <v/>
      </c>
      <c r="AR636" s="129">
        <f t="shared" si="404"/>
        <v/>
      </c>
      <c r="AS636" s="129">
        <f t="shared" si="405"/>
        <v/>
      </c>
      <c r="AT636" s="129">
        <f t="shared" si="406"/>
        <v/>
      </c>
      <c r="AU636" s="129">
        <f t="shared" si="407"/>
        <v/>
      </c>
      <c r="AV636" s="129">
        <f t="shared" si="408"/>
        <v/>
      </c>
      <c r="AW636" s="129">
        <f>IF(AV636="","",AV636&amp;"."&amp;COUNTIFS($A$3:A636,A636,$AV$3:AV636,AV636))</f>
        <v/>
      </c>
      <c r="AX636" s="129">
        <f t="shared" si="409"/>
        <v/>
      </c>
      <c r="AY636" s="129">
        <f>IF(N636="б/к",0,IF(OR(ISNUMBER(SEARCH("L=",Разбивка_по_щитам!P636)),N636="+",N636="="),1,0))</f>
      </c>
      <c r="AZ636" s="129">
        <f t="shared" si="410"/>
        <v/>
      </c>
      <c r="BA636" s="129">
        <f t="shared" si="411"/>
      </c>
      <c r="BB636" s="129">
        <f t="shared" si="412"/>
      </c>
      <c r="BD636" s="129">
        <f t="shared" si="413"/>
      </c>
      <c r="BE636" s="129">
        <f t="shared" si="414"/>
      </c>
      <c r="BF636" s="129">
        <f t="shared" si="415"/>
      </c>
      <c r="BG636" s="129">
        <f t="shared" si="416"/>
        <v/>
      </c>
      <c r="BH636" s="129">
        <f t="shared" si="417"/>
        <v/>
      </c>
      <c r="BI636" s="129">
        <f t="shared" si="418"/>
        <v/>
      </c>
      <c r="BJ636" s="129">
        <f t="shared" si="419"/>
        <v/>
      </c>
      <c r="BK636" s="129">
        <f>IF(R636="","",IF(OR(BY636="",BY636=0),"BOX",IFERROR(IF(VLOOKUP(BY636,УГО_блоки,3,FALSE)&amp;""&lt;&gt;"",VLOOKUP(BY636,УГО_блоки,3,FALSE),VLOOKUP(BY636,УГО_блоки,2,FALSE)),BY636)))</f>
      </c>
      <c r="BL636" s="129">
        <f t="shared" si="421"/>
      </c>
      <c r="BM636" s="129">
        <f>IF(H636="","",IF(COUNTIF($H$3:H636,H636)=1,MAX($BM$2:BM635)+1,""))</f>
      </c>
      <c r="BN636" s="129">
        <f>IF(I636="","",IF(COUNTIF($I$3:I636,I636)+COUNTIF($J$2:J635,I636)+COUNTIF($K$2:K635,I636)=1,MAX($BN$2:BP635)+1,""))</f>
      </c>
      <c r="BO636" s="129">
        <f>IF(J636="","",IF(COUNTIF($I$3:I636,J636)+COUNTIF($J$3:J636,J636)+COUNTIF($K$2:K635,J636)=1,MAX($BN$2:BP635,BN636)+1,""))</f>
      </c>
      <c r="BP636" s="129">
        <f>IF(K636="","",IF(COUNTIF($I$3:I636,K636)+COUNTIF($J$3:J636,K636)+COUNTIF($K$3:K636,K636)=1,MAX($BN$2:BP635,BN636,BO636)+1,""))</f>
      </c>
      <c r="BQ636" s="129">
        <f>IF(AY636=1,IFERROR(MID(Q636,FIND(" (",Q636)+2,FIND(")",Q636,FIND(" (",Q636))-FIND(" (",Q636)-2),"?"),"")</f>
      </c>
      <c r="BR636" s="129">
        <f>IF(BQ636="","",IF(COUNTIF($BQ$3:BQ636,BQ636)=1,MAX($BR$2:BR635)+1,""))</f>
      </c>
      <c r="BS636" s="129">
        <f>IF(AW636="","",COUNTIF($AW$3:AW636,"?*"))</f>
      </c>
      <c r="BT636" s="129">
        <f>IF(OR(AW636="",AI636=""),"",IF(COUNTIFS($AW$3:AW636,"?*",$AI$3:AI636,AI636)=1,MAX($BT$2:BT635)+1,""))</f>
      </c>
      <c r="BU636" s="129">
        <f>IF(AE636="",0,IF(OR(ISNUMBER(SEARCH("дубль",AE636)),ISNUMBER(SEARCH("ПЕРЕГРУЗ",AE636)),ISNUMBER(SEARCH("ЗАЩИЩ",AE636)),ISNUMBER(SEARCH("КАНАЛ",AE636)),ISNUMBER(SEARCH("без 30",AE636))),2,1))</f>
      </c>
      <c r="BV636" s="129">
        <f>IF(R636="","",COUNTIF($R$3:R636,"?*"))</f>
      </c>
      <c r="BW636" s="129">
        <f>IF(AY636&lt;&gt;1,0,IF(MAX(IFERROR(--VLOOKUP(R636,УГО_спр,5,FALSE),0),IFERROR(--VLOOKUP(AL636,УГО_спр,5,FALSE),0),IFERROR(--VLOOKUP(LEFT(AL636,2),УГО_спр,5,FALSE),0))&gt;0,MAX(IFERROR(--VLOOKUP(R636,УГО_спр,5,FALSE),0),IFERROR(--VLOOKUP(AL636,УГО_спр,5,FALSE),0),IFERROR(--VLOOKUP(LEFT(AL636,2),УГО_спр,5,FALSE),0)),IF(IFERROR(--LEFT(SUBSTITUTE(BQ636,"x","х"),FIND("х",SUBSTITUTE(BQ636,"x","х"))-1),3)&gt;3,Каталог!$S$9,1)))</f>
      </c>
      <c r="BX636" s="129">
        <f>IF(AY636&lt;&gt;1,0,MAX(0,IFERROR(--LEFT(SUBSTITUTE(BQ636,"x","х"),FIND("х",SUBSTITUTE(BQ636,"x","х"))-1),3)-3*BW636))</f>
      </c>
      <c r="BY636" s="129">
        <f>IF(R636="","",IFERROR(VLOOKUP(R636,УГО_спр,2,FALSE),IFERROR(VLOOKUP(AL636,УГО_спр,2,FALSE),IFERROR(VLOOKUP(LEFT(AL636,2),УГО_спр,2,FALSE),""))))</f>
      </c>
    </row>
    <row r="637" spans="1:64" x14ac:dyDescent="0.3">
      <c r="A637" s="135">
        <f>IF(Разбивка_по_щитам!F637=0,"",Разбивка_по_щитам!F637)</f>
        <v/>
      </c>
      <c r="B637" s="138">
        <f>IF(A637="","",Разбивка_по_щитам!C637)</f>
        <v/>
      </c>
      <c r="C637" s="138">
        <f t="shared" si="382"/>
        <v/>
      </c>
      <c r="D637" s="266"/>
      <c r="E637" s="266"/>
      <c r="F637" s="267"/>
      <c r="G637" s="145">
        <f t="shared" si="383"/>
        <v/>
      </c>
      <c r="H637" s="145">
        <f t="shared" si="384"/>
        <v/>
      </c>
      <c r="I637" s="266"/>
      <c r="J637" s="267"/>
      <c r="K637" s="267"/>
      <c r="L637" s="266"/>
      <c r="M637" s="147">
        <f t="shared" si="385"/>
        <v/>
      </c>
      <c r="N637" s="267"/>
      <c r="O637" s="147">
        <f t="shared" si="386"/>
        <v/>
      </c>
      <c r="P637" s="268">
        <f>IF(AY637=1,"XT"&amp;COUNTIFS($A$3:A637,A637,$AY$3:AY637,1),"")</f>
        <v/>
      </c>
      <c r="Q637" s="152">
        <f>IF(R637="","",IFERROR(SUBSTITUTE(Разбивка_по_щитам!P637,CHAR(10)," "),""))</f>
        <v/>
      </c>
      <c r="R637" s="153">
        <f>IF(OR(Разбивка_по_щитам!H637="",Разбивка_по_щитам!H637=0),"",Разбивка_по_щитам!H637)</f>
        <v/>
      </c>
      <c r="S637" s="154">
        <f>IF(R637="","",IFERROR(Разбивка_по_щитам!J637&amp;"",""))</f>
        <v/>
      </c>
      <c r="T637" s="155">
        <f>IF(R637="","",IFERROR(--Разбивка_по_щитам!L637,""))</f>
        <v/>
      </c>
      <c r="U637" s="155">
        <f>IF(R637="","",IFERROR(--Разбивка_по_щитам!K637,""))</f>
        <v/>
      </c>
      <c r="V637" s="138">
        <f>IF(R637="","",IFERROR(IF(Разбивка_по_щитам!M637=0,"",Разбивка_по_щитам!M637),""))</f>
        <v/>
      </c>
      <c r="W637" s="156">
        <f t="shared" si="387"/>
        <v/>
      </c>
      <c r="X637" s="157">
        <f t="shared" si="388"/>
        <v/>
      </c>
      <c r="Y637" s="266"/>
      <c r="Z637" s="158">
        <f t="shared" si="389"/>
        <v/>
      </c>
      <c r="AA637" s="160">
        <f t="shared" si="390"/>
        <v/>
      </c>
      <c r="AB637" s="160">
        <f>IF(R637="","",IFERROR(LOOKUP(INDEX(Справочная!$I$4:$I$19,MATCH(VLOOKUP(R637,Исходные_данные,22,FALSE),Справочная!$J$4:$J$19,0)+1),{6,10,16,20,25,32,40,50,63,80,100,125}),""))</f>
        <v/>
      </c>
      <c r="AC637" s="160">
        <f t="shared" si="391"/>
        <v/>
      </c>
      <c r="AD637" s="161">
        <f t="shared" si="392"/>
        <v/>
      </c>
      <c r="AE637" s="161">
        <f>IF(AND(R637="",G637=""),"",_xlfn.TEXTJOIN("; ",TRUE,IF(AND(R637&lt;&gt;"",V637=""),"нет фазы",""),IF(AND(R637&lt;&gt;"",N(T637)=0),"нет мощности",""),IF(AND(P637&lt;&gt;"",COUNTIFS($A$3:$A$1000,A637,$P$3:$P$1000,P637)&gt;1),"дубль клеммы "&amp;P637,""),IF(AND(W637&lt;&gt;"",W637&lt;&gt;"ok"),W637,""),IF(X637&lt;&gt;"",X637,""),IF(AND(ISNUMBER(SEARCH("(5х",Q637)),N(AK637)=1),"5 жил на 1 фазе",""),IF(AND(AL637="R",E637&lt;&gt;"",N(AS637)=0),"розетка без 30 мА",""),IF(IFERROR(_xlfn.NUMBERVALUE(MID(Q637,FIND("-",Q637,FIND("L=",Q637))+1,FIND("%",Q637)-FIND("-",Q637,FIND("L=",Q637))-1),","),0)&gt;4,"потери &gt; 4 %","")))</f>
      </c>
      <c r="AF637" s="129">
        <f>IF(E637&lt;&gt;"",COUNTIFS($A$3:A637,A637,$E$3:E637,"?*"),IF(OR(A637&lt;&gt;A636,Y637="вручную"),"",AF636))</f>
        <v/>
      </c>
      <c r="AG637" s="129">
        <f t="shared" si="393"/>
        <v/>
      </c>
      <c r="AH637" s="129">
        <f t="shared" si="394"/>
        <v/>
      </c>
      <c r="AI637" s="129">
        <f t="shared" si="395"/>
        <v/>
      </c>
      <c r="AJ637" s="129">
        <f t="shared" si="396"/>
        <v/>
      </c>
      <c r="AK637" s="129">
        <f t="shared" si="397"/>
        <v/>
      </c>
      <c r="AL637" s="129">
        <f t="shared" si="398"/>
        <v/>
      </c>
      <c r="AM637" s="129">
        <f t="shared" si="399"/>
      </c>
      <c r="AN637" s="129">
        <f t="shared" si="400"/>
      </c>
      <c r="AO637" s="129">
        <f t="shared" si="401"/>
        <v/>
      </c>
      <c r="AP637" s="129">
        <f t="shared" si="402"/>
        <v/>
      </c>
      <c r="AQ637" s="129">
        <f t="shared" si="403"/>
        <v/>
      </c>
      <c r="AR637" s="129">
        <f t="shared" si="404"/>
        <v/>
      </c>
      <c r="AS637" s="129">
        <f t="shared" si="405"/>
        <v/>
      </c>
      <c r="AT637" s="129">
        <f t="shared" si="406"/>
        <v/>
      </c>
      <c r="AU637" s="129">
        <f t="shared" si="407"/>
        <v/>
      </c>
      <c r="AV637" s="129">
        <f t="shared" si="408"/>
        <v/>
      </c>
      <c r="AW637" s="129">
        <f>IF(AV637="","",AV637&amp;"."&amp;COUNTIFS($A$3:A637,A637,$AV$3:AV637,AV637))</f>
        <v/>
      </c>
      <c r="AX637" s="129">
        <f t="shared" si="409"/>
        <v/>
      </c>
      <c r="AY637" s="129">
        <f>IF(N637="б/к",0,IF(OR(ISNUMBER(SEARCH("L=",Разбивка_по_щитам!P637)),N637="+",N637="="),1,0))</f>
      </c>
      <c r="AZ637" s="129">
        <f t="shared" si="410"/>
        <v/>
      </c>
      <c r="BA637" s="129">
        <f t="shared" si="411"/>
      </c>
      <c r="BB637" s="129">
        <f t="shared" si="412"/>
      </c>
      <c r="BD637" s="129">
        <f t="shared" si="413"/>
      </c>
      <c r="BE637" s="129">
        <f t="shared" si="414"/>
      </c>
      <c r="BF637" s="129">
        <f t="shared" si="415"/>
      </c>
      <c r="BG637" s="129">
        <f t="shared" si="416"/>
        <v/>
      </c>
      <c r="BH637" s="129">
        <f t="shared" si="417"/>
        <v/>
      </c>
      <c r="BI637" s="129">
        <f t="shared" si="418"/>
        <v/>
      </c>
      <c r="BJ637" s="129">
        <f t="shared" si="419"/>
        <v/>
      </c>
      <c r="BK637" s="129">
        <f>IF(R637="","",IF(OR(BY637="",BY637=0),"BOX",IFERROR(IF(VLOOKUP(BY637,УГО_блоки,3,FALSE)&amp;""&lt;&gt;"",VLOOKUP(BY637,УГО_блоки,3,FALSE),VLOOKUP(BY637,УГО_блоки,2,FALSE)),BY637)))</f>
      </c>
      <c r="BL637" s="129">
        <f t="shared" si="421"/>
      </c>
      <c r="BM637" s="129">
        <f>IF(H637="","",IF(COUNTIF($H$3:H637,H637)=1,MAX($BM$2:BM636)+1,""))</f>
      </c>
      <c r="BN637" s="129">
        <f>IF(I637="","",IF(COUNTIF($I$3:I637,I637)+COUNTIF($J$2:J636,I637)+COUNTIF($K$2:K636,I637)=1,MAX($BN$2:BP636)+1,""))</f>
      </c>
      <c r="BO637" s="129">
        <f>IF(J637="","",IF(COUNTIF($I$3:I637,J637)+COUNTIF($J$3:J637,J637)+COUNTIF($K$2:K636,J637)=1,MAX($BN$2:BP636,BN637)+1,""))</f>
      </c>
      <c r="BP637" s="129">
        <f>IF(K637="","",IF(COUNTIF($I$3:I637,K637)+COUNTIF($J$3:J637,K637)+COUNTIF($K$3:K637,K637)=1,MAX($BN$2:BP636,BN637,BO637)+1,""))</f>
      </c>
      <c r="BQ637" s="129">
        <f>IF(AY637=1,IFERROR(MID(Q637,FIND(" (",Q637)+2,FIND(")",Q637,FIND(" (",Q637))-FIND(" (",Q637)-2),"?"),"")</f>
      </c>
      <c r="BR637" s="129">
        <f>IF(BQ637="","",IF(COUNTIF($BQ$3:BQ637,BQ637)=1,MAX($BR$2:BR636)+1,""))</f>
      </c>
      <c r="BS637" s="129">
        <f>IF(AW637="","",COUNTIF($AW$3:AW637,"?*"))</f>
      </c>
      <c r="BT637" s="129">
        <f>IF(OR(AW637="",AI637=""),"",IF(COUNTIFS($AW$3:AW637,"?*",$AI$3:AI637,AI637)=1,MAX($BT$2:BT636)+1,""))</f>
      </c>
      <c r="BU637" s="129">
        <f>IF(AE637="",0,IF(OR(ISNUMBER(SEARCH("дубль",AE637)),ISNUMBER(SEARCH("ПЕРЕГРУЗ",AE637)),ISNUMBER(SEARCH("ЗАЩИЩ",AE637)),ISNUMBER(SEARCH("КАНАЛ",AE637)),ISNUMBER(SEARCH("без 30",AE637))),2,1))</f>
      </c>
      <c r="BV637" s="129">
        <f>IF(R637="","",COUNTIF($R$3:R637,"?*"))</f>
      </c>
      <c r="BW637" s="129">
        <f>IF(AY637&lt;&gt;1,0,IF(MAX(IFERROR(--VLOOKUP(R637,УГО_спр,5,FALSE),0),IFERROR(--VLOOKUP(AL637,УГО_спр,5,FALSE),0),IFERROR(--VLOOKUP(LEFT(AL637,2),УГО_спр,5,FALSE),0))&gt;0,MAX(IFERROR(--VLOOKUP(R637,УГО_спр,5,FALSE),0),IFERROR(--VLOOKUP(AL637,УГО_спр,5,FALSE),0),IFERROR(--VLOOKUP(LEFT(AL637,2),УГО_спр,5,FALSE),0)),IF(IFERROR(--LEFT(SUBSTITUTE(BQ637,"x","х"),FIND("х",SUBSTITUTE(BQ637,"x","х"))-1),3)&gt;3,Каталог!$S$9,1)))</f>
      </c>
      <c r="BX637" s="129">
        <f>IF(AY637&lt;&gt;1,0,MAX(0,IFERROR(--LEFT(SUBSTITUTE(BQ637,"x","х"),FIND("х",SUBSTITUTE(BQ637,"x","х"))-1),3)-3*BW637))</f>
      </c>
      <c r="BY637" s="129">
        <f>IF(R637="","",IFERROR(VLOOKUP(R637,УГО_спр,2,FALSE),IFERROR(VLOOKUP(AL637,УГО_спр,2,FALSE),IFERROR(VLOOKUP(LEFT(AL637,2),УГО_спр,2,FALSE),""))))</f>
      </c>
    </row>
    <row r="638" spans="1:64" x14ac:dyDescent="0.3">
      <c r="A638" s="135">
        <f>IF(Разбивка_по_щитам!F638=0,"",Разбивка_по_щитам!F638)</f>
        <v/>
      </c>
      <c r="B638" s="138">
        <f>IF(A638="","",Разбивка_по_щитам!C638)</f>
        <v/>
      </c>
      <c r="C638" s="138">
        <f t="shared" si="382"/>
        <v/>
      </c>
      <c r="D638" s="266"/>
      <c r="E638" s="266"/>
      <c r="F638" s="267"/>
      <c r="G638" s="145">
        <f t="shared" si="383"/>
        <v/>
      </c>
      <c r="H638" s="145">
        <f t="shared" si="384"/>
        <v/>
      </c>
      <c r="I638" s="266"/>
      <c r="J638" s="267"/>
      <c r="K638" s="267"/>
      <c r="L638" s="266"/>
      <c r="M638" s="147">
        <f t="shared" si="385"/>
        <v/>
      </c>
      <c r="N638" s="267"/>
      <c r="O638" s="147">
        <f t="shared" si="386"/>
        <v/>
      </c>
      <c r="P638" s="268">
        <f>IF(AY638=1,"XT"&amp;COUNTIFS($A$3:A638,A638,$AY$3:AY638,1),"")</f>
        <v/>
      </c>
      <c r="Q638" s="152">
        <f>IF(R638="","",IFERROR(SUBSTITUTE(Разбивка_по_щитам!P638,CHAR(10)," "),""))</f>
        <v/>
      </c>
      <c r="R638" s="153">
        <f>IF(OR(Разбивка_по_щитам!H638="",Разбивка_по_щитам!H638=0),"",Разбивка_по_щитам!H638)</f>
        <v/>
      </c>
      <c r="S638" s="154">
        <f>IF(R638="","",IFERROR(Разбивка_по_щитам!J638&amp;"",""))</f>
        <v/>
      </c>
      <c r="T638" s="155">
        <f>IF(R638="","",IFERROR(--Разбивка_по_щитам!L638,""))</f>
        <v/>
      </c>
      <c r="U638" s="155">
        <f>IF(R638="","",IFERROR(--Разбивка_по_щитам!K638,""))</f>
        <v/>
      </c>
      <c r="V638" s="138">
        <f>IF(R638="","",IFERROR(IF(Разбивка_по_щитам!M638=0,"",Разбивка_по_щитам!M638),""))</f>
        <v/>
      </c>
      <c r="W638" s="156">
        <f t="shared" si="387"/>
        <v/>
      </c>
      <c r="X638" s="157">
        <f t="shared" si="388"/>
        <v/>
      </c>
      <c r="Y638" s="266"/>
      <c r="Z638" s="158">
        <f t="shared" si="389"/>
        <v/>
      </c>
      <c r="AA638" s="160">
        <f t="shared" si="390"/>
        <v/>
      </c>
      <c r="AB638" s="160">
        <f>IF(R638="","",IFERROR(LOOKUP(INDEX(Справочная!$I$4:$I$19,MATCH(VLOOKUP(R638,Исходные_данные,22,FALSE),Справочная!$J$4:$J$19,0)+1),{6,10,16,20,25,32,40,50,63,80,100,125}),""))</f>
        <v/>
      </c>
      <c r="AC638" s="160">
        <f t="shared" si="391"/>
        <v/>
      </c>
      <c r="AD638" s="161">
        <f t="shared" si="392"/>
        <v/>
      </c>
      <c r="AE638" s="161">
        <f>IF(AND(R638="",G638=""),"",_xlfn.TEXTJOIN("; ",TRUE,IF(AND(R638&lt;&gt;"",V638=""),"нет фазы",""),IF(AND(R638&lt;&gt;"",N(T638)=0),"нет мощности",""),IF(AND(P638&lt;&gt;"",COUNTIFS($A$3:$A$1000,A638,$P$3:$P$1000,P638)&gt;1),"дубль клеммы "&amp;P638,""),IF(AND(W638&lt;&gt;"",W638&lt;&gt;"ok"),W638,""),IF(X638&lt;&gt;"",X638,""),IF(AND(ISNUMBER(SEARCH("(5х",Q638)),N(AK638)=1),"5 жил на 1 фазе",""),IF(AND(AL638="R",E638&lt;&gt;"",N(AS638)=0),"розетка без 30 мА",""),IF(IFERROR(_xlfn.NUMBERVALUE(MID(Q638,FIND("-",Q638,FIND("L=",Q638))+1,FIND("%",Q638)-FIND("-",Q638,FIND("L=",Q638))-1),","),0)&gt;4,"потери &gt; 4 %","")))</f>
      </c>
      <c r="AF638" s="129">
        <f>IF(E638&lt;&gt;"",COUNTIFS($A$3:A638,A638,$E$3:E638,"?*"),IF(OR(A638&lt;&gt;A637,Y638="вручную"),"",AF637))</f>
        <v/>
      </c>
      <c r="AG638" s="129">
        <f t="shared" si="393"/>
        <v/>
      </c>
      <c r="AH638" s="129">
        <f t="shared" si="394"/>
        <v/>
      </c>
      <c r="AI638" s="129">
        <f t="shared" si="395"/>
        <v/>
      </c>
      <c r="AJ638" s="129">
        <f t="shared" si="396"/>
        <v/>
      </c>
      <c r="AK638" s="129">
        <f t="shared" si="397"/>
        <v/>
      </c>
      <c r="AL638" s="129">
        <f t="shared" si="398"/>
        <v/>
      </c>
      <c r="AM638" s="129">
        <f t="shared" si="399"/>
      </c>
      <c r="AN638" s="129">
        <f t="shared" si="400"/>
      </c>
      <c r="AO638" s="129">
        <f t="shared" si="401"/>
        <v/>
      </c>
      <c r="AP638" s="129">
        <f t="shared" si="402"/>
        <v/>
      </c>
      <c r="AQ638" s="129">
        <f t="shared" si="403"/>
        <v/>
      </c>
      <c r="AR638" s="129">
        <f t="shared" si="404"/>
        <v/>
      </c>
      <c r="AS638" s="129">
        <f t="shared" si="405"/>
        <v/>
      </c>
      <c r="AT638" s="129">
        <f t="shared" si="406"/>
        <v/>
      </c>
      <c r="AU638" s="129">
        <f t="shared" si="407"/>
        <v/>
      </c>
      <c r="AV638" s="129">
        <f t="shared" si="408"/>
        <v/>
      </c>
      <c r="AW638" s="129">
        <f>IF(AV638="","",AV638&amp;"."&amp;COUNTIFS($A$3:A638,A638,$AV$3:AV638,AV638))</f>
        <v/>
      </c>
      <c r="AX638" s="129">
        <f t="shared" si="409"/>
        <v/>
      </c>
      <c r="AY638" s="129">
        <f>IF(N638="б/к",0,IF(OR(ISNUMBER(SEARCH("L=",Разбивка_по_щитам!P638)),N638="+",N638="="),1,0))</f>
      </c>
      <c r="AZ638" s="129">
        <f t="shared" si="410"/>
        <v/>
      </c>
      <c r="BA638" s="129">
        <f t="shared" si="411"/>
      </c>
      <c r="BB638" s="129">
        <f t="shared" si="412"/>
      </c>
      <c r="BD638" s="129">
        <f t="shared" si="413"/>
      </c>
      <c r="BE638" s="129">
        <f t="shared" si="414"/>
      </c>
      <c r="BF638" s="129">
        <f t="shared" si="415"/>
      </c>
      <c r="BG638" s="129">
        <f t="shared" si="416"/>
        <v/>
      </c>
      <c r="BH638" s="129">
        <f t="shared" si="417"/>
        <v/>
      </c>
      <c r="BI638" s="129">
        <f t="shared" si="418"/>
        <v/>
      </c>
      <c r="BJ638" s="129">
        <f t="shared" si="419"/>
        <v/>
      </c>
      <c r="BK638" s="129">
        <f>IF(R638="","",IF(OR(BY638="",BY638=0),"BOX",IFERROR(IF(VLOOKUP(BY638,УГО_блоки,3,FALSE)&amp;""&lt;&gt;"",VLOOKUP(BY638,УГО_блоки,3,FALSE),VLOOKUP(BY638,УГО_блоки,2,FALSE)),BY638)))</f>
      </c>
      <c r="BL638" s="129">
        <f t="shared" si="421"/>
      </c>
      <c r="BM638" s="129">
        <f>IF(H638="","",IF(COUNTIF($H$3:H638,H638)=1,MAX($BM$2:BM637)+1,""))</f>
      </c>
      <c r="BN638" s="129">
        <f>IF(I638="","",IF(COUNTIF($I$3:I638,I638)+COUNTIF($J$2:J637,I638)+COUNTIF($K$2:K637,I638)=1,MAX($BN$2:BP637)+1,""))</f>
      </c>
      <c r="BO638" s="129">
        <f>IF(J638="","",IF(COUNTIF($I$3:I638,J638)+COUNTIF($J$3:J638,J638)+COUNTIF($K$2:K637,J638)=1,MAX($BN$2:BP637,BN638)+1,""))</f>
      </c>
      <c r="BP638" s="129">
        <f>IF(K638="","",IF(COUNTIF($I$3:I638,K638)+COUNTIF($J$3:J638,K638)+COUNTIF($K$3:K638,K638)=1,MAX($BN$2:BP637,BN638,BO638)+1,""))</f>
      </c>
      <c r="BQ638" s="129">
        <f>IF(AY638=1,IFERROR(MID(Q638,FIND(" (",Q638)+2,FIND(")",Q638,FIND(" (",Q638))-FIND(" (",Q638)-2),"?"),"")</f>
      </c>
      <c r="BR638" s="129">
        <f>IF(BQ638="","",IF(COUNTIF($BQ$3:BQ638,BQ638)=1,MAX($BR$2:BR637)+1,""))</f>
      </c>
      <c r="BS638" s="129">
        <f>IF(AW638="","",COUNTIF($AW$3:AW638,"?*"))</f>
      </c>
      <c r="BT638" s="129">
        <f>IF(OR(AW638="",AI638=""),"",IF(COUNTIFS($AW$3:AW638,"?*",$AI$3:AI638,AI638)=1,MAX($BT$2:BT637)+1,""))</f>
      </c>
      <c r="BU638" s="129">
        <f>IF(AE638="",0,IF(OR(ISNUMBER(SEARCH("дубль",AE638)),ISNUMBER(SEARCH("ПЕРЕГРУЗ",AE638)),ISNUMBER(SEARCH("ЗАЩИЩ",AE638)),ISNUMBER(SEARCH("КАНАЛ",AE638)),ISNUMBER(SEARCH("без 30",AE638))),2,1))</f>
      </c>
      <c r="BV638" s="129">
        <f>IF(R638="","",COUNTIF($R$3:R638,"?*"))</f>
      </c>
      <c r="BW638" s="129">
        <f>IF(AY638&lt;&gt;1,0,IF(MAX(IFERROR(--VLOOKUP(R638,УГО_спр,5,FALSE),0),IFERROR(--VLOOKUP(AL638,УГО_спр,5,FALSE),0),IFERROR(--VLOOKUP(LEFT(AL638,2),УГО_спр,5,FALSE),0))&gt;0,MAX(IFERROR(--VLOOKUP(R638,УГО_спр,5,FALSE),0),IFERROR(--VLOOKUP(AL638,УГО_спр,5,FALSE),0),IFERROR(--VLOOKUP(LEFT(AL638,2),УГО_спр,5,FALSE),0)),IF(IFERROR(--LEFT(SUBSTITUTE(BQ638,"x","х"),FIND("х",SUBSTITUTE(BQ638,"x","х"))-1),3)&gt;3,Каталог!$S$9,1)))</f>
      </c>
      <c r="BX638" s="129">
        <f>IF(AY638&lt;&gt;1,0,MAX(0,IFERROR(--LEFT(SUBSTITUTE(BQ638,"x","х"),FIND("х",SUBSTITUTE(BQ638,"x","х"))-1),3)-3*BW638))</f>
      </c>
      <c r="BY638" s="129">
        <f>IF(R638="","",IFERROR(VLOOKUP(R638,УГО_спр,2,FALSE),IFERROR(VLOOKUP(AL638,УГО_спр,2,FALSE),IFERROR(VLOOKUP(LEFT(AL638,2),УГО_спр,2,FALSE),""))))</f>
      </c>
    </row>
    <row r="639" spans="1:64" x14ac:dyDescent="0.3">
      <c r="A639" s="135">
        <f>IF(Разбивка_по_щитам!F639=0,"",Разбивка_по_щитам!F639)</f>
        <v/>
      </c>
      <c r="B639" s="138">
        <f>IF(A639="","",Разбивка_по_щитам!C639)</f>
        <v/>
      </c>
      <c r="C639" s="138">
        <f t="shared" si="382"/>
        <v/>
      </c>
      <c r="D639" s="266"/>
      <c r="E639" s="266"/>
      <c r="F639" s="267"/>
      <c r="G639" s="145">
        <f t="shared" si="383"/>
        <v/>
      </c>
      <c r="H639" s="145">
        <f t="shared" si="384"/>
        <v/>
      </c>
      <c r="I639" s="266"/>
      <c r="J639" s="267"/>
      <c r="K639" s="267"/>
      <c r="L639" s="266"/>
      <c r="M639" s="147">
        <f t="shared" si="385"/>
        <v/>
      </c>
      <c r="N639" s="267"/>
      <c r="O639" s="147">
        <f t="shared" si="386"/>
        <v/>
      </c>
      <c r="P639" s="268">
        <f>IF(AY639=1,"XT"&amp;COUNTIFS($A$3:A639,A639,$AY$3:AY639,1),"")</f>
        <v/>
      </c>
      <c r="Q639" s="152">
        <f>IF(R639="","",IFERROR(SUBSTITUTE(Разбивка_по_щитам!P639,CHAR(10)," "),""))</f>
        <v/>
      </c>
      <c r="R639" s="153">
        <f>IF(OR(Разбивка_по_щитам!H639="",Разбивка_по_щитам!H639=0),"",Разбивка_по_щитам!H639)</f>
        <v/>
      </c>
      <c r="S639" s="154">
        <f>IF(R639="","",IFERROR(Разбивка_по_щитам!J639&amp;"",""))</f>
        <v/>
      </c>
      <c r="T639" s="155">
        <f>IF(R639="","",IFERROR(--Разбивка_по_щитам!L639,""))</f>
        <v/>
      </c>
      <c r="U639" s="155">
        <f>IF(R639="","",IFERROR(--Разбивка_по_щитам!K639,""))</f>
        <v/>
      </c>
      <c r="V639" s="138">
        <f>IF(R639="","",IFERROR(IF(Разбивка_по_щитам!M639=0,"",Разбивка_по_щитам!M639),""))</f>
        <v/>
      </c>
      <c r="W639" s="156">
        <f t="shared" si="387"/>
        <v/>
      </c>
      <c r="X639" s="157">
        <f t="shared" si="388"/>
        <v/>
      </c>
      <c r="Y639" s="266"/>
      <c r="Z639" s="158">
        <f t="shared" si="389"/>
        <v/>
      </c>
      <c r="AA639" s="160">
        <f t="shared" si="390"/>
        <v/>
      </c>
      <c r="AB639" s="160">
        <f>IF(R639="","",IFERROR(LOOKUP(INDEX(Справочная!$I$4:$I$19,MATCH(VLOOKUP(R639,Исходные_данные,22,FALSE),Справочная!$J$4:$J$19,0)+1),{6,10,16,20,25,32,40,50,63,80,100,125}),""))</f>
        <v/>
      </c>
      <c r="AC639" s="160">
        <f t="shared" si="391"/>
        <v/>
      </c>
      <c r="AD639" s="161">
        <f t="shared" si="392"/>
        <v/>
      </c>
      <c r="AE639" s="161">
        <f>IF(AND(R639="",G639=""),"",_xlfn.TEXTJOIN("; ",TRUE,IF(AND(R639&lt;&gt;"",V639=""),"нет фазы",""),IF(AND(R639&lt;&gt;"",N(T639)=0),"нет мощности",""),IF(AND(P639&lt;&gt;"",COUNTIFS($A$3:$A$1000,A639,$P$3:$P$1000,P639)&gt;1),"дубль клеммы "&amp;P639,""),IF(AND(W639&lt;&gt;"",W639&lt;&gt;"ok"),W639,""),IF(X639&lt;&gt;"",X639,""),IF(AND(ISNUMBER(SEARCH("(5х",Q639)),N(AK639)=1),"5 жил на 1 фазе",""),IF(AND(AL639="R",E639&lt;&gt;"",N(AS639)=0),"розетка без 30 мА",""),IF(IFERROR(_xlfn.NUMBERVALUE(MID(Q639,FIND("-",Q639,FIND("L=",Q639))+1,FIND("%",Q639)-FIND("-",Q639,FIND("L=",Q639))-1),","),0)&gt;4,"потери &gt; 4 %","")))</f>
      </c>
      <c r="AF639" s="129">
        <f>IF(E639&lt;&gt;"",COUNTIFS($A$3:A639,A639,$E$3:E639,"?*"),IF(OR(A639&lt;&gt;A638,Y639="вручную"),"",AF638))</f>
        <v/>
      </c>
      <c r="AG639" s="129">
        <f t="shared" si="393"/>
        <v/>
      </c>
      <c r="AH639" s="129">
        <f t="shared" si="394"/>
        <v/>
      </c>
      <c r="AI639" s="129">
        <f t="shared" si="395"/>
        <v/>
      </c>
      <c r="AJ639" s="129">
        <f t="shared" si="396"/>
        <v/>
      </c>
      <c r="AK639" s="129">
        <f t="shared" si="397"/>
        <v/>
      </c>
      <c r="AL639" s="129">
        <f t="shared" si="398"/>
        <v/>
      </c>
      <c r="AM639" s="129">
        <f t="shared" si="399"/>
      </c>
      <c r="AN639" s="129">
        <f t="shared" si="400"/>
      </c>
      <c r="AO639" s="129">
        <f t="shared" si="401"/>
        <v/>
      </c>
      <c r="AP639" s="129">
        <f t="shared" si="402"/>
        <v/>
      </c>
      <c r="AQ639" s="129">
        <f t="shared" si="403"/>
        <v/>
      </c>
      <c r="AR639" s="129">
        <f t="shared" si="404"/>
        <v/>
      </c>
      <c r="AS639" s="129">
        <f t="shared" si="405"/>
        <v/>
      </c>
      <c r="AT639" s="129">
        <f t="shared" si="406"/>
        <v/>
      </c>
      <c r="AU639" s="129">
        <f t="shared" si="407"/>
        <v/>
      </c>
      <c r="AV639" s="129">
        <f t="shared" si="408"/>
        <v/>
      </c>
      <c r="AW639" s="129">
        <f>IF(AV639="","",AV639&amp;"."&amp;COUNTIFS($A$3:A639,A639,$AV$3:AV639,AV639))</f>
        <v/>
      </c>
      <c r="AX639" s="129">
        <f t="shared" si="409"/>
        <v/>
      </c>
      <c r="AY639" s="129">
        <f>IF(N639="б/к",0,IF(OR(ISNUMBER(SEARCH("L=",Разбивка_по_щитам!P639)),N639="+",N639="="),1,0))</f>
      </c>
      <c r="AZ639" s="129">
        <f t="shared" si="410"/>
        <v/>
      </c>
      <c r="BA639" s="129">
        <f t="shared" si="411"/>
      </c>
      <c r="BB639" s="129">
        <f t="shared" si="412"/>
      </c>
      <c r="BD639" s="129">
        <f t="shared" si="413"/>
      </c>
      <c r="BE639" s="129">
        <f t="shared" si="414"/>
      </c>
      <c r="BF639" s="129">
        <f t="shared" si="415"/>
      </c>
      <c r="BG639" s="129">
        <f t="shared" si="416"/>
        <v/>
      </c>
      <c r="BH639" s="129">
        <f t="shared" si="417"/>
        <v/>
      </c>
      <c r="BI639" s="129">
        <f t="shared" si="418"/>
        <v/>
      </c>
      <c r="BJ639" s="129">
        <f t="shared" si="419"/>
        <v/>
      </c>
      <c r="BK639" s="129">
        <f>IF(R639="","",IF(OR(BY639="",BY639=0),"BOX",IFERROR(IF(VLOOKUP(BY639,УГО_блоки,3,FALSE)&amp;""&lt;&gt;"",VLOOKUP(BY639,УГО_блоки,3,FALSE),VLOOKUP(BY639,УГО_блоки,2,FALSE)),BY639)))</f>
      </c>
      <c r="BL639" s="129">
        <f t="shared" si="421"/>
      </c>
      <c r="BM639" s="129">
        <f>IF(H639="","",IF(COUNTIF($H$3:H639,H639)=1,MAX($BM$2:BM638)+1,""))</f>
      </c>
      <c r="BN639" s="129">
        <f>IF(I639="","",IF(COUNTIF($I$3:I639,I639)+COUNTIF($J$2:J638,I639)+COUNTIF($K$2:K638,I639)=1,MAX($BN$2:BP638)+1,""))</f>
      </c>
      <c r="BO639" s="129">
        <f>IF(J639="","",IF(COUNTIF($I$3:I639,J639)+COUNTIF($J$3:J639,J639)+COUNTIF($K$2:K638,J639)=1,MAX($BN$2:BP638,BN639)+1,""))</f>
      </c>
      <c r="BP639" s="129">
        <f>IF(K639="","",IF(COUNTIF($I$3:I639,K639)+COUNTIF($J$3:J639,K639)+COUNTIF($K$3:K639,K639)=1,MAX($BN$2:BP638,BN639,BO639)+1,""))</f>
      </c>
      <c r="BQ639" s="129">
        <f>IF(AY639=1,IFERROR(MID(Q639,FIND(" (",Q639)+2,FIND(")",Q639,FIND(" (",Q639))-FIND(" (",Q639)-2),"?"),"")</f>
      </c>
      <c r="BR639" s="129">
        <f>IF(BQ639="","",IF(COUNTIF($BQ$3:BQ639,BQ639)=1,MAX($BR$2:BR638)+1,""))</f>
      </c>
      <c r="BS639" s="129">
        <f>IF(AW639="","",COUNTIF($AW$3:AW639,"?*"))</f>
      </c>
      <c r="BT639" s="129">
        <f>IF(OR(AW639="",AI639=""),"",IF(COUNTIFS($AW$3:AW639,"?*",$AI$3:AI639,AI639)=1,MAX($BT$2:BT638)+1,""))</f>
      </c>
      <c r="BU639" s="129">
        <f>IF(AE639="",0,IF(OR(ISNUMBER(SEARCH("дубль",AE639)),ISNUMBER(SEARCH("ПЕРЕГРУЗ",AE639)),ISNUMBER(SEARCH("ЗАЩИЩ",AE639)),ISNUMBER(SEARCH("КАНАЛ",AE639)),ISNUMBER(SEARCH("без 30",AE639))),2,1))</f>
      </c>
      <c r="BV639" s="129">
        <f>IF(R639="","",COUNTIF($R$3:R639,"?*"))</f>
      </c>
      <c r="BW639" s="129">
        <f>IF(AY639&lt;&gt;1,0,IF(MAX(IFERROR(--VLOOKUP(R639,УГО_спр,5,FALSE),0),IFERROR(--VLOOKUP(AL639,УГО_спр,5,FALSE),0),IFERROR(--VLOOKUP(LEFT(AL639,2),УГО_спр,5,FALSE),0))&gt;0,MAX(IFERROR(--VLOOKUP(R639,УГО_спр,5,FALSE),0),IFERROR(--VLOOKUP(AL639,УГО_спр,5,FALSE),0),IFERROR(--VLOOKUP(LEFT(AL639,2),УГО_спр,5,FALSE),0)),IF(IFERROR(--LEFT(SUBSTITUTE(BQ639,"x","х"),FIND("х",SUBSTITUTE(BQ639,"x","х"))-1),3)&gt;3,Каталог!$S$9,1)))</f>
      </c>
      <c r="BX639" s="129">
        <f>IF(AY639&lt;&gt;1,0,MAX(0,IFERROR(--LEFT(SUBSTITUTE(BQ639,"x","х"),FIND("х",SUBSTITUTE(BQ639,"x","х"))-1),3)-3*BW639))</f>
      </c>
      <c r="BY639" s="129">
        <f>IF(R639="","",IFERROR(VLOOKUP(R639,УГО_спр,2,FALSE),IFERROR(VLOOKUP(AL639,УГО_спр,2,FALSE),IFERROR(VLOOKUP(LEFT(AL639,2),УГО_спр,2,FALSE),""))))</f>
      </c>
    </row>
    <row r="640" spans="1:64" x14ac:dyDescent="0.3">
      <c r="A640" s="135">
        <f>IF(Разбивка_по_щитам!F640=0,"",Разбивка_по_щитам!F640)</f>
        <v/>
      </c>
      <c r="B640" s="138">
        <f>IF(A640="","",Разбивка_по_щитам!C640)</f>
        <v/>
      </c>
      <c r="C640" s="138">
        <f t="shared" si="382"/>
        <v/>
      </c>
      <c r="D640" s="266"/>
      <c r="E640" s="266"/>
      <c r="F640" s="267"/>
      <c r="G640" s="145">
        <f t="shared" si="383"/>
        <v/>
      </c>
      <c r="H640" s="145">
        <f t="shared" si="384"/>
        <v/>
      </c>
      <c r="I640" s="266"/>
      <c r="J640" s="267"/>
      <c r="K640" s="267"/>
      <c r="L640" s="266"/>
      <c r="M640" s="147">
        <f t="shared" si="385"/>
        <v/>
      </c>
      <c r="N640" s="267"/>
      <c r="O640" s="147">
        <f t="shared" si="386"/>
        <v/>
      </c>
      <c r="P640" s="268">
        <f>IF(AY640=1,"XT"&amp;COUNTIFS($A$3:A640,A640,$AY$3:AY640,1),"")</f>
        <v/>
      </c>
      <c r="Q640" s="152">
        <f>IF(R640="","",IFERROR(SUBSTITUTE(Разбивка_по_щитам!P640,CHAR(10)," "),""))</f>
        <v/>
      </c>
      <c r="R640" s="153">
        <f>IF(OR(Разбивка_по_щитам!H640="",Разбивка_по_щитам!H640=0),"",Разбивка_по_щитам!H640)</f>
        <v/>
      </c>
      <c r="S640" s="154">
        <f>IF(R640="","",IFERROR(Разбивка_по_щитам!J640&amp;"",""))</f>
        <v/>
      </c>
      <c r="T640" s="155">
        <f>IF(R640="","",IFERROR(--Разбивка_по_щитам!L640,""))</f>
        <v/>
      </c>
      <c r="U640" s="155">
        <f>IF(R640="","",IFERROR(--Разбивка_по_щитам!K640,""))</f>
        <v/>
      </c>
      <c r="V640" s="138">
        <f>IF(R640="","",IFERROR(IF(Разбивка_по_щитам!M640=0,"",Разбивка_по_щитам!M640),""))</f>
        <v/>
      </c>
      <c r="W640" s="156">
        <f t="shared" si="387"/>
        <v/>
      </c>
      <c r="X640" s="157">
        <f t="shared" si="388"/>
        <v/>
      </c>
      <c r="Y640" s="266"/>
      <c r="Z640" s="158">
        <f t="shared" si="389"/>
        <v/>
      </c>
      <c r="AA640" s="160">
        <f t="shared" si="390"/>
        <v/>
      </c>
      <c r="AB640" s="160">
        <f>IF(R640="","",IFERROR(LOOKUP(INDEX(Справочная!$I$4:$I$19,MATCH(VLOOKUP(R640,Исходные_данные,22,FALSE),Справочная!$J$4:$J$19,0)+1),{6,10,16,20,25,32,40,50,63,80,100,125}),""))</f>
        <v/>
      </c>
      <c r="AC640" s="160">
        <f t="shared" si="391"/>
        <v/>
      </c>
      <c r="AD640" s="161">
        <f t="shared" si="392"/>
        <v/>
      </c>
      <c r="AE640" s="161">
        <f>IF(AND(R640="",G640=""),"",_xlfn.TEXTJOIN("; ",TRUE,IF(AND(R640&lt;&gt;"",V640=""),"нет фазы",""),IF(AND(R640&lt;&gt;"",N(T640)=0),"нет мощности",""),IF(AND(P640&lt;&gt;"",COUNTIFS($A$3:$A$1000,A640,$P$3:$P$1000,P640)&gt;1),"дубль клеммы "&amp;P640,""),IF(AND(W640&lt;&gt;"",W640&lt;&gt;"ok"),W640,""),IF(X640&lt;&gt;"",X640,""),IF(AND(ISNUMBER(SEARCH("(5х",Q640)),N(AK640)=1),"5 жил на 1 фазе",""),IF(AND(AL640="R",E640&lt;&gt;"",N(AS640)=0),"розетка без 30 мА",""),IF(IFERROR(_xlfn.NUMBERVALUE(MID(Q640,FIND("-",Q640,FIND("L=",Q640))+1,FIND("%",Q640)-FIND("-",Q640,FIND("L=",Q640))-1),","),0)&gt;4,"потери &gt; 4 %","")))</f>
      </c>
      <c r="AF640" s="129">
        <f>IF(E640&lt;&gt;"",COUNTIFS($A$3:A640,A640,$E$3:E640,"?*"),IF(OR(A640&lt;&gt;A639,Y640="вручную"),"",AF639))</f>
        <v/>
      </c>
      <c r="AG640" s="129">
        <f t="shared" si="393"/>
        <v/>
      </c>
      <c r="AH640" s="129">
        <f t="shared" si="394"/>
        <v/>
      </c>
      <c r="AI640" s="129">
        <f t="shared" si="395"/>
        <v/>
      </c>
      <c r="AJ640" s="129">
        <f t="shared" si="396"/>
        <v/>
      </c>
      <c r="AK640" s="129">
        <f t="shared" si="397"/>
        <v/>
      </c>
      <c r="AL640" s="129">
        <f t="shared" si="398"/>
        <v/>
      </c>
      <c r="AM640" s="129">
        <f t="shared" si="399"/>
      </c>
      <c r="AN640" s="129">
        <f t="shared" si="400"/>
      </c>
      <c r="AO640" s="129">
        <f t="shared" si="401"/>
        <v/>
      </c>
      <c r="AP640" s="129">
        <f t="shared" si="402"/>
        <v/>
      </c>
      <c r="AQ640" s="129">
        <f t="shared" si="403"/>
        <v/>
      </c>
      <c r="AR640" s="129">
        <f t="shared" si="404"/>
        <v/>
      </c>
      <c r="AS640" s="129">
        <f t="shared" si="405"/>
        <v/>
      </c>
      <c r="AT640" s="129">
        <f t="shared" si="406"/>
        <v/>
      </c>
      <c r="AU640" s="129">
        <f t="shared" si="407"/>
        <v/>
      </c>
      <c r="AV640" s="129">
        <f t="shared" si="408"/>
        <v/>
      </c>
      <c r="AW640" s="129">
        <f>IF(AV640="","",AV640&amp;"."&amp;COUNTIFS($A$3:A640,A640,$AV$3:AV640,AV640))</f>
        <v/>
      </c>
      <c r="AX640" s="129">
        <f t="shared" si="409"/>
        <v/>
      </c>
      <c r="AY640" s="129">
        <f>IF(N640="б/к",0,IF(OR(ISNUMBER(SEARCH("L=",Разбивка_по_щитам!P640)),N640="+",N640="="),1,0))</f>
      </c>
      <c r="AZ640" s="129">
        <f t="shared" si="410"/>
        <v/>
      </c>
      <c r="BA640" s="129">
        <f t="shared" si="411"/>
      </c>
      <c r="BB640" s="129">
        <f t="shared" si="412"/>
      </c>
      <c r="BD640" s="129">
        <f t="shared" si="413"/>
      </c>
      <c r="BE640" s="129">
        <f t="shared" si="414"/>
      </c>
      <c r="BF640" s="129">
        <f t="shared" si="415"/>
      </c>
      <c r="BG640" s="129">
        <f t="shared" si="416"/>
        <v/>
      </c>
      <c r="BH640" s="129">
        <f t="shared" si="417"/>
        <v/>
      </c>
      <c r="BI640" s="129">
        <f t="shared" si="418"/>
        <v/>
      </c>
      <c r="BJ640" s="129">
        <f t="shared" si="419"/>
        <v/>
      </c>
      <c r="BK640" s="129">
        <f>IF(R640="","",IF(OR(BY640="",BY640=0),"BOX",IFERROR(IF(VLOOKUP(BY640,УГО_блоки,3,FALSE)&amp;""&lt;&gt;"",VLOOKUP(BY640,УГО_блоки,3,FALSE),VLOOKUP(BY640,УГО_блоки,2,FALSE)),BY640)))</f>
      </c>
      <c r="BL640" s="129">
        <f t="shared" si="421"/>
      </c>
      <c r="BM640" s="129">
        <f>IF(H640="","",IF(COUNTIF($H$3:H640,H640)=1,MAX($BM$2:BM639)+1,""))</f>
      </c>
      <c r="BN640" s="129">
        <f>IF(I640="","",IF(COUNTIF($I$3:I640,I640)+COUNTIF($J$2:J639,I640)+COUNTIF($K$2:K639,I640)=1,MAX($BN$2:BP639)+1,""))</f>
      </c>
      <c r="BO640" s="129">
        <f>IF(J640="","",IF(COUNTIF($I$3:I640,J640)+COUNTIF($J$3:J640,J640)+COUNTIF($K$2:K639,J640)=1,MAX($BN$2:BP639,BN640)+1,""))</f>
      </c>
      <c r="BP640" s="129">
        <f>IF(K640="","",IF(COUNTIF($I$3:I640,K640)+COUNTIF($J$3:J640,K640)+COUNTIF($K$3:K640,K640)=1,MAX($BN$2:BP639,BN640,BO640)+1,""))</f>
      </c>
      <c r="BQ640" s="129">
        <f>IF(AY640=1,IFERROR(MID(Q640,FIND(" (",Q640)+2,FIND(")",Q640,FIND(" (",Q640))-FIND(" (",Q640)-2),"?"),"")</f>
      </c>
      <c r="BR640" s="129">
        <f>IF(BQ640="","",IF(COUNTIF($BQ$3:BQ640,BQ640)=1,MAX($BR$2:BR639)+1,""))</f>
      </c>
      <c r="BS640" s="129">
        <f>IF(AW640="","",COUNTIF($AW$3:AW640,"?*"))</f>
      </c>
      <c r="BT640" s="129">
        <f>IF(OR(AW640="",AI640=""),"",IF(COUNTIFS($AW$3:AW640,"?*",$AI$3:AI640,AI640)=1,MAX($BT$2:BT639)+1,""))</f>
      </c>
      <c r="BU640" s="129">
        <f>IF(AE640="",0,IF(OR(ISNUMBER(SEARCH("дубль",AE640)),ISNUMBER(SEARCH("ПЕРЕГРУЗ",AE640)),ISNUMBER(SEARCH("ЗАЩИЩ",AE640)),ISNUMBER(SEARCH("КАНАЛ",AE640)),ISNUMBER(SEARCH("без 30",AE640))),2,1))</f>
      </c>
      <c r="BV640" s="129">
        <f>IF(R640="","",COUNTIF($R$3:R640,"?*"))</f>
      </c>
      <c r="BW640" s="129">
        <f>IF(AY640&lt;&gt;1,0,IF(MAX(IFERROR(--VLOOKUP(R640,УГО_спр,5,FALSE),0),IFERROR(--VLOOKUP(AL640,УГО_спр,5,FALSE),0),IFERROR(--VLOOKUP(LEFT(AL640,2),УГО_спр,5,FALSE),0))&gt;0,MAX(IFERROR(--VLOOKUP(R640,УГО_спр,5,FALSE),0),IFERROR(--VLOOKUP(AL640,УГО_спр,5,FALSE),0),IFERROR(--VLOOKUP(LEFT(AL640,2),УГО_спр,5,FALSE),0)),IF(IFERROR(--LEFT(SUBSTITUTE(BQ640,"x","х"),FIND("х",SUBSTITUTE(BQ640,"x","х"))-1),3)&gt;3,Каталог!$S$9,1)))</f>
      </c>
      <c r="BX640" s="129">
        <f>IF(AY640&lt;&gt;1,0,MAX(0,IFERROR(--LEFT(SUBSTITUTE(BQ640,"x","х"),FIND("х",SUBSTITUTE(BQ640,"x","х"))-1),3)-3*BW640))</f>
      </c>
      <c r="BY640" s="129">
        <f>IF(R640="","",IFERROR(VLOOKUP(R640,УГО_спр,2,FALSE),IFERROR(VLOOKUP(AL640,УГО_спр,2,FALSE),IFERROR(VLOOKUP(LEFT(AL640,2),УГО_спр,2,FALSE),""))))</f>
      </c>
    </row>
    <row r="641" spans="1:64" x14ac:dyDescent="0.3">
      <c r="A641" s="135">
        <f>IF(Разбивка_по_щитам!F641=0,"",Разбивка_по_щитам!F641)</f>
        <v/>
      </c>
      <c r="B641" s="138">
        <f>IF(A641="","",Разбивка_по_щитам!C641)</f>
        <v/>
      </c>
      <c r="C641" s="138">
        <f t="shared" si="382"/>
        <v/>
      </c>
      <c r="D641" s="266"/>
      <c r="E641" s="266"/>
      <c r="F641" s="267"/>
      <c r="G641" s="145">
        <f t="shared" si="383"/>
        <v/>
      </c>
      <c r="H641" s="145">
        <f t="shared" si="384"/>
        <v/>
      </c>
      <c r="I641" s="266"/>
      <c r="J641" s="267"/>
      <c r="K641" s="267"/>
      <c r="L641" s="266"/>
      <c r="M641" s="147">
        <f t="shared" si="385"/>
        <v/>
      </c>
      <c r="N641" s="267"/>
      <c r="O641" s="147">
        <f t="shared" si="386"/>
        <v/>
      </c>
      <c r="P641" s="268">
        <f>IF(AY641=1,"XT"&amp;COUNTIFS($A$3:A641,A641,$AY$3:AY641,1),"")</f>
        <v/>
      </c>
      <c r="Q641" s="152">
        <f>IF(R641="","",IFERROR(SUBSTITUTE(Разбивка_по_щитам!P641,CHAR(10)," "),""))</f>
        <v/>
      </c>
      <c r="R641" s="153">
        <f>IF(OR(Разбивка_по_щитам!H641="",Разбивка_по_щитам!H641=0),"",Разбивка_по_щитам!H641)</f>
        <v/>
      </c>
      <c r="S641" s="154">
        <f>IF(R641="","",IFERROR(Разбивка_по_щитам!J641&amp;"",""))</f>
        <v/>
      </c>
      <c r="T641" s="155">
        <f>IF(R641="","",IFERROR(--Разбивка_по_щитам!L641,""))</f>
        <v/>
      </c>
      <c r="U641" s="155">
        <f>IF(R641="","",IFERROR(--Разбивка_по_щитам!K641,""))</f>
        <v/>
      </c>
      <c r="V641" s="138">
        <f>IF(R641="","",IFERROR(IF(Разбивка_по_щитам!M641=0,"",Разбивка_по_щитам!M641),""))</f>
        <v/>
      </c>
      <c r="W641" s="156">
        <f t="shared" si="387"/>
        <v/>
      </c>
      <c r="X641" s="157">
        <f t="shared" si="388"/>
        <v/>
      </c>
      <c r="Y641" s="266"/>
      <c r="Z641" s="158">
        <f t="shared" si="389"/>
        <v/>
      </c>
      <c r="AA641" s="160">
        <f t="shared" si="390"/>
        <v/>
      </c>
      <c r="AB641" s="160">
        <f>IF(R641="","",IFERROR(LOOKUP(INDEX(Справочная!$I$4:$I$19,MATCH(VLOOKUP(R641,Исходные_данные,22,FALSE),Справочная!$J$4:$J$19,0)+1),{6,10,16,20,25,32,40,50,63,80,100,125}),""))</f>
        <v/>
      </c>
      <c r="AC641" s="160">
        <f t="shared" si="391"/>
        <v/>
      </c>
      <c r="AD641" s="161">
        <f t="shared" si="392"/>
        <v/>
      </c>
      <c r="AE641" s="161">
        <f>IF(AND(R641="",G641=""),"",_xlfn.TEXTJOIN("; ",TRUE,IF(AND(R641&lt;&gt;"",V641=""),"нет фазы",""),IF(AND(R641&lt;&gt;"",N(T641)=0),"нет мощности",""),IF(AND(P641&lt;&gt;"",COUNTIFS($A$3:$A$1000,A641,$P$3:$P$1000,P641)&gt;1),"дубль клеммы "&amp;P641,""),IF(AND(W641&lt;&gt;"",W641&lt;&gt;"ok"),W641,""),IF(X641&lt;&gt;"",X641,""),IF(AND(ISNUMBER(SEARCH("(5х",Q641)),N(AK641)=1),"5 жил на 1 фазе",""),IF(AND(AL641="R",E641&lt;&gt;"",N(AS641)=0),"розетка без 30 мА",""),IF(IFERROR(_xlfn.NUMBERVALUE(MID(Q641,FIND("-",Q641,FIND("L=",Q641))+1,FIND("%",Q641)-FIND("-",Q641,FIND("L=",Q641))-1),","),0)&gt;4,"потери &gt; 4 %","")))</f>
      </c>
      <c r="AF641" s="129">
        <f>IF(E641&lt;&gt;"",COUNTIFS($A$3:A641,A641,$E$3:E641,"?*"),IF(OR(A641&lt;&gt;A640,Y641="вручную"),"",AF640))</f>
        <v/>
      </c>
      <c r="AG641" s="129">
        <f t="shared" si="393"/>
        <v/>
      </c>
      <c r="AH641" s="129">
        <f t="shared" si="394"/>
        <v/>
      </c>
      <c r="AI641" s="129">
        <f t="shared" si="395"/>
        <v/>
      </c>
      <c r="AJ641" s="129">
        <f t="shared" si="396"/>
        <v/>
      </c>
      <c r="AK641" s="129">
        <f t="shared" si="397"/>
        <v/>
      </c>
      <c r="AL641" s="129">
        <f t="shared" si="398"/>
        <v/>
      </c>
      <c r="AM641" s="129">
        <f t="shared" si="399"/>
      </c>
      <c r="AN641" s="129">
        <f t="shared" si="400"/>
      </c>
      <c r="AO641" s="129">
        <f t="shared" si="401"/>
        <v/>
      </c>
      <c r="AP641" s="129">
        <f t="shared" si="402"/>
        <v/>
      </c>
      <c r="AQ641" s="129">
        <f t="shared" si="403"/>
        <v/>
      </c>
      <c r="AR641" s="129">
        <f t="shared" si="404"/>
        <v/>
      </c>
      <c r="AS641" s="129">
        <f t="shared" si="405"/>
        <v/>
      </c>
      <c r="AT641" s="129">
        <f t="shared" si="406"/>
        <v/>
      </c>
      <c r="AU641" s="129">
        <f t="shared" si="407"/>
        <v/>
      </c>
      <c r="AV641" s="129">
        <f t="shared" si="408"/>
        <v/>
      </c>
      <c r="AW641" s="129">
        <f>IF(AV641="","",AV641&amp;"."&amp;COUNTIFS($A$3:A641,A641,$AV$3:AV641,AV641))</f>
        <v/>
      </c>
      <c r="AX641" s="129">
        <f t="shared" si="409"/>
        <v/>
      </c>
      <c r="AY641" s="129">
        <f>IF(N641="б/к",0,IF(OR(ISNUMBER(SEARCH("L=",Разбивка_по_щитам!P641)),N641="+",N641="="),1,0))</f>
      </c>
      <c r="AZ641" s="129">
        <f t="shared" si="410"/>
        <v/>
      </c>
      <c r="BA641" s="129">
        <f t="shared" si="411"/>
      </c>
      <c r="BB641" s="129">
        <f t="shared" si="412"/>
      </c>
      <c r="BD641" s="129">
        <f t="shared" si="413"/>
      </c>
      <c r="BE641" s="129">
        <f t="shared" si="414"/>
      </c>
      <c r="BF641" s="129">
        <f t="shared" si="415"/>
      </c>
      <c r="BG641" s="129">
        <f t="shared" si="416"/>
        <v/>
      </c>
      <c r="BH641" s="129">
        <f t="shared" si="417"/>
        <v/>
      </c>
      <c r="BI641" s="129">
        <f t="shared" si="418"/>
        <v/>
      </c>
      <c r="BJ641" s="129">
        <f t="shared" si="419"/>
        <v/>
      </c>
      <c r="BK641" s="129">
        <f>IF(R641="","",IF(OR(BY641="",BY641=0),"BOX",IFERROR(IF(VLOOKUP(BY641,УГО_блоки,3,FALSE)&amp;""&lt;&gt;"",VLOOKUP(BY641,УГО_блоки,3,FALSE),VLOOKUP(BY641,УГО_блоки,2,FALSE)),BY641)))</f>
      </c>
      <c r="BL641" s="129">
        <f t="shared" si="421"/>
      </c>
      <c r="BM641" s="129">
        <f>IF(H641="","",IF(COUNTIF($H$3:H641,H641)=1,MAX($BM$2:BM640)+1,""))</f>
      </c>
      <c r="BN641" s="129">
        <f>IF(I641="","",IF(COUNTIF($I$3:I641,I641)+COUNTIF($J$2:J640,I641)+COUNTIF($K$2:K640,I641)=1,MAX($BN$2:BP640)+1,""))</f>
      </c>
      <c r="BO641" s="129">
        <f>IF(J641="","",IF(COUNTIF($I$3:I641,J641)+COUNTIF($J$3:J641,J641)+COUNTIF($K$2:K640,J641)=1,MAX($BN$2:BP640,BN641)+1,""))</f>
      </c>
      <c r="BP641" s="129">
        <f>IF(K641="","",IF(COUNTIF($I$3:I641,K641)+COUNTIF($J$3:J641,K641)+COUNTIF($K$3:K641,K641)=1,MAX($BN$2:BP640,BN641,BO641)+1,""))</f>
      </c>
      <c r="BQ641" s="129">
        <f>IF(AY641=1,IFERROR(MID(Q641,FIND(" (",Q641)+2,FIND(")",Q641,FIND(" (",Q641))-FIND(" (",Q641)-2),"?"),"")</f>
      </c>
      <c r="BR641" s="129">
        <f>IF(BQ641="","",IF(COUNTIF($BQ$3:BQ641,BQ641)=1,MAX($BR$2:BR640)+1,""))</f>
      </c>
      <c r="BS641" s="129">
        <f>IF(AW641="","",COUNTIF($AW$3:AW641,"?*"))</f>
      </c>
      <c r="BT641" s="129">
        <f>IF(OR(AW641="",AI641=""),"",IF(COUNTIFS($AW$3:AW641,"?*",$AI$3:AI641,AI641)=1,MAX($BT$2:BT640)+1,""))</f>
      </c>
      <c r="BU641" s="129">
        <f>IF(AE641="",0,IF(OR(ISNUMBER(SEARCH("дубль",AE641)),ISNUMBER(SEARCH("ПЕРЕГРУЗ",AE641)),ISNUMBER(SEARCH("ЗАЩИЩ",AE641)),ISNUMBER(SEARCH("КАНАЛ",AE641)),ISNUMBER(SEARCH("без 30",AE641))),2,1))</f>
      </c>
      <c r="BV641" s="129">
        <f>IF(R641="","",COUNTIF($R$3:R641,"?*"))</f>
      </c>
      <c r="BW641" s="129">
        <f>IF(AY641&lt;&gt;1,0,IF(MAX(IFERROR(--VLOOKUP(R641,УГО_спр,5,FALSE),0),IFERROR(--VLOOKUP(AL641,УГО_спр,5,FALSE),0),IFERROR(--VLOOKUP(LEFT(AL641,2),УГО_спр,5,FALSE),0))&gt;0,MAX(IFERROR(--VLOOKUP(R641,УГО_спр,5,FALSE),0),IFERROR(--VLOOKUP(AL641,УГО_спр,5,FALSE),0),IFERROR(--VLOOKUP(LEFT(AL641,2),УГО_спр,5,FALSE),0)),IF(IFERROR(--LEFT(SUBSTITUTE(BQ641,"x","х"),FIND("х",SUBSTITUTE(BQ641,"x","х"))-1),3)&gt;3,Каталог!$S$9,1)))</f>
      </c>
      <c r="BX641" s="129">
        <f>IF(AY641&lt;&gt;1,0,MAX(0,IFERROR(--LEFT(SUBSTITUTE(BQ641,"x","х"),FIND("х",SUBSTITUTE(BQ641,"x","х"))-1),3)-3*BW641))</f>
      </c>
      <c r="BY641" s="129">
        <f>IF(R641="","",IFERROR(VLOOKUP(R641,УГО_спр,2,FALSE),IFERROR(VLOOKUP(AL641,УГО_спр,2,FALSE),IFERROR(VLOOKUP(LEFT(AL641,2),УГО_спр,2,FALSE),""))))</f>
      </c>
    </row>
    <row r="642" spans="1:64" x14ac:dyDescent="0.3">
      <c r="A642" s="135">
        <f>IF(Разбивка_по_щитам!F642=0,"",Разбивка_по_щитам!F642)</f>
        <v/>
      </c>
      <c r="B642" s="138">
        <f>IF(A642="","",Разбивка_по_щитам!C642)</f>
        <v/>
      </c>
      <c r="C642" s="138">
        <f t="shared" si="382"/>
        <v/>
      </c>
      <c r="D642" s="266"/>
      <c r="E642" s="266"/>
      <c r="F642" s="267"/>
      <c r="G642" s="145">
        <f t="shared" si="383"/>
        <v/>
      </c>
      <c r="H642" s="145">
        <f t="shared" si="384"/>
        <v/>
      </c>
      <c r="I642" s="266"/>
      <c r="J642" s="267"/>
      <c r="K642" s="267"/>
      <c r="L642" s="266"/>
      <c r="M642" s="147">
        <f t="shared" si="385"/>
        <v/>
      </c>
      <c r="N642" s="267"/>
      <c r="O642" s="147">
        <f t="shared" si="386"/>
        <v/>
      </c>
      <c r="P642" s="268">
        <f>IF(AY642=1,"XT"&amp;COUNTIFS($A$3:A642,A642,$AY$3:AY642,1),"")</f>
        <v/>
      </c>
      <c r="Q642" s="152">
        <f>IF(R642="","",IFERROR(SUBSTITUTE(Разбивка_по_щитам!P642,CHAR(10)," "),""))</f>
        <v/>
      </c>
      <c r="R642" s="153">
        <f>IF(OR(Разбивка_по_щитам!H642="",Разбивка_по_щитам!H642=0),"",Разбивка_по_щитам!H642)</f>
        <v/>
      </c>
      <c r="S642" s="154">
        <f>IF(R642="","",IFERROR(Разбивка_по_щитам!J642&amp;"",""))</f>
        <v/>
      </c>
      <c r="T642" s="155">
        <f>IF(R642="","",IFERROR(--Разбивка_по_щитам!L642,""))</f>
        <v/>
      </c>
      <c r="U642" s="155">
        <f>IF(R642="","",IFERROR(--Разбивка_по_щитам!K642,""))</f>
        <v/>
      </c>
      <c r="V642" s="138">
        <f>IF(R642="","",IFERROR(IF(Разбивка_по_щитам!M642=0,"",Разбивка_по_щитам!M642),""))</f>
        <v/>
      </c>
      <c r="W642" s="156">
        <f t="shared" si="387"/>
        <v/>
      </c>
      <c r="X642" s="157">
        <f t="shared" si="388"/>
        <v/>
      </c>
      <c r="Y642" s="266"/>
      <c r="Z642" s="158">
        <f t="shared" si="389"/>
        <v/>
      </c>
      <c r="AA642" s="160">
        <f t="shared" si="390"/>
        <v/>
      </c>
      <c r="AB642" s="160">
        <f>IF(R642="","",IFERROR(LOOKUP(INDEX(Справочная!$I$4:$I$19,MATCH(VLOOKUP(R642,Исходные_данные,22,FALSE),Справочная!$J$4:$J$19,0)+1),{6,10,16,20,25,32,40,50,63,80,100,125}),""))</f>
        <v/>
      </c>
      <c r="AC642" s="160">
        <f t="shared" si="391"/>
        <v/>
      </c>
      <c r="AD642" s="161">
        <f t="shared" si="392"/>
        <v/>
      </c>
      <c r="AE642" s="161">
        <f>IF(AND(R642="",G642=""),"",_xlfn.TEXTJOIN("; ",TRUE,IF(AND(R642&lt;&gt;"",V642=""),"нет фазы",""),IF(AND(R642&lt;&gt;"",N(T642)=0),"нет мощности",""),IF(AND(P642&lt;&gt;"",COUNTIFS($A$3:$A$1000,A642,$P$3:$P$1000,P642)&gt;1),"дубль клеммы "&amp;P642,""),IF(AND(W642&lt;&gt;"",W642&lt;&gt;"ok"),W642,""),IF(X642&lt;&gt;"",X642,""),IF(AND(ISNUMBER(SEARCH("(5х",Q642)),N(AK642)=1),"5 жил на 1 фазе",""),IF(AND(AL642="R",E642&lt;&gt;"",N(AS642)=0),"розетка без 30 мА",""),IF(IFERROR(_xlfn.NUMBERVALUE(MID(Q642,FIND("-",Q642,FIND("L=",Q642))+1,FIND("%",Q642)-FIND("-",Q642,FIND("L=",Q642))-1),","),0)&gt;4,"потери &gt; 4 %","")))</f>
      </c>
      <c r="AF642" s="129">
        <f>IF(E642&lt;&gt;"",COUNTIFS($A$3:A642,A642,$E$3:E642,"?*"),IF(OR(A642&lt;&gt;A641,Y642="вручную"),"",AF641))</f>
        <v/>
      </c>
      <c r="AG642" s="129">
        <f t="shared" si="393"/>
        <v/>
      </c>
      <c r="AH642" s="129">
        <f t="shared" si="394"/>
        <v/>
      </c>
      <c r="AI642" s="129">
        <f t="shared" si="395"/>
        <v/>
      </c>
      <c r="AJ642" s="129">
        <f t="shared" si="396"/>
        <v/>
      </c>
      <c r="AK642" s="129">
        <f t="shared" si="397"/>
        <v/>
      </c>
      <c r="AL642" s="129">
        <f t="shared" si="398"/>
        <v/>
      </c>
      <c r="AM642" s="129">
        <f t="shared" si="399"/>
      </c>
      <c r="AN642" s="129">
        <f t="shared" si="400"/>
      </c>
      <c r="AO642" s="129">
        <f t="shared" si="401"/>
        <v/>
      </c>
      <c r="AP642" s="129">
        <f t="shared" si="402"/>
        <v/>
      </c>
      <c r="AQ642" s="129">
        <f t="shared" si="403"/>
        <v/>
      </c>
      <c r="AR642" s="129">
        <f t="shared" si="404"/>
        <v/>
      </c>
      <c r="AS642" s="129">
        <f t="shared" si="405"/>
        <v/>
      </c>
      <c r="AT642" s="129">
        <f t="shared" si="406"/>
        <v/>
      </c>
      <c r="AU642" s="129">
        <f t="shared" si="407"/>
        <v/>
      </c>
      <c r="AV642" s="129">
        <f t="shared" si="408"/>
        <v/>
      </c>
      <c r="AW642" s="129">
        <f>IF(AV642="","",AV642&amp;"."&amp;COUNTIFS($A$3:A642,A642,$AV$3:AV642,AV642))</f>
        <v/>
      </c>
      <c r="AX642" s="129">
        <f t="shared" si="409"/>
        <v/>
      </c>
      <c r="AY642" s="129">
        <f>IF(N642="б/к",0,IF(OR(ISNUMBER(SEARCH("L=",Разбивка_по_щитам!P642)),N642="+",N642="="),1,0))</f>
      </c>
      <c r="AZ642" s="129">
        <f t="shared" si="410"/>
        <v/>
      </c>
      <c r="BA642" s="129">
        <f t="shared" si="411"/>
      </c>
      <c r="BB642" s="129">
        <f t="shared" si="412"/>
      </c>
      <c r="BD642" s="129">
        <f t="shared" si="413"/>
      </c>
      <c r="BE642" s="129">
        <f t="shared" si="414"/>
      </c>
      <c r="BF642" s="129">
        <f t="shared" si="415"/>
      </c>
      <c r="BG642" s="129">
        <f t="shared" si="416"/>
        <v/>
      </c>
      <c r="BH642" s="129">
        <f t="shared" si="417"/>
        <v/>
      </c>
      <c r="BI642" s="129">
        <f t="shared" si="418"/>
        <v/>
      </c>
      <c r="BJ642" s="129">
        <f t="shared" si="419"/>
        <v/>
      </c>
      <c r="BK642" s="129">
        <f>IF(R642="","",IF(OR(BY642="",BY642=0),"BOX",IFERROR(IF(VLOOKUP(BY642,УГО_блоки,3,FALSE)&amp;""&lt;&gt;"",VLOOKUP(BY642,УГО_блоки,3,FALSE),VLOOKUP(BY642,УГО_блоки,2,FALSE)),BY642)))</f>
      </c>
      <c r="BL642" s="129">
        <f t="shared" si="421"/>
      </c>
      <c r="BM642" s="129">
        <f>IF(H642="","",IF(COUNTIF($H$3:H642,H642)=1,MAX($BM$2:BM641)+1,""))</f>
      </c>
      <c r="BN642" s="129">
        <f>IF(I642="","",IF(COUNTIF($I$3:I642,I642)+COUNTIF($J$2:J641,I642)+COUNTIF($K$2:K641,I642)=1,MAX($BN$2:BP641)+1,""))</f>
      </c>
      <c r="BO642" s="129">
        <f>IF(J642="","",IF(COUNTIF($I$3:I642,J642)+COUNTIF($J$3:J642,J642)+COUNTIF($K$2:K641,J642)=1,MAX($BN$2:BP641,BN642)+1,""))</f>
      </c>
      <c r="BP642" s="129">
        <f>IF(K642="","",IF(COUNTIF($I$3:I642,K642)+COUNTIF($J$3:J642,K642)+COUNTIF($K$3:K642,K642)=1,MAX($BN$2:BP641,BN642,BO642)+1,""))</f>
      </c>
      <c r="BQ642" s="129">
        <f>IF(AY642=1,IFERROR(MID(Q642,FIND(" (",Q642)+2,FIND(")",Q642,FIND(" (",Q642))-FIND(" (",Q642)-2),"?"),"")</f>
      </c>
      <c r="BR642" s="129">
        <f>IF(BQ642="","",IF(COUNTIF($BQ$3:BQ642,BQ642)=1,MAX($BR$2:BR641)+1,""))</f>
      </c>
      <c r="BS642" s="129">
        <f>IF(AW642="","",COUNTIF($AW$3:AW642,"?*"))</f>
      </c>
      <c r="BT642" s="129">
        <f>IF(OR(AW642="",AI642=""),"",IF(COUNTIFS($AW$3:AW642,"?*",$AI$3:AI642,AI642)=1,MAX($BT$2:BT641)+1,""))</f>
      </c>
      <c r="BU642" s="129">
        <f>IF(AE642="",0,IF(OR(ISNUMBER(SEARCH("дубль",AE642)),ISNUMBER(SEARCH("ПЕРЕГРУЗ",AE642)),ISNUMBER(SEARCH("ЗАЩИЩ",AE642)),ISNUMBER(SEARCH("КАНАЛ",AE642)),ISNUMBER(SEARCH("без 30",AE642))),2,1))</f>
      </c>
      <c r="BV642" s="129">
        <f>IF(R642="","",COUNTIF($R$3:R642,"?*"))</f>
      </c>
      <c r="BW642" s="129">
        <f>IF(AY642&lt;&gt;1,0,IF(MAX(IFERROR(--VLOOKUP(R642,УГО_спр,5,FALSE),0),IFERROR(--VLOOKUP(AL642,УГО_спр,5,FALSE),0),IFERROR(--VLOOKUP(LEFT(AL642,2),УГО_спр,5,FALSE),0))&gt;0,MAX(IFERROR(--VLOOKUP(R642,УГО_спр,5,FALSE),0),IFERROR(--VLOOKUP(AL642,УГО_спр,5,FALSE),0),IFERROR(--VLOOKUP(LEFT(AL642,2),УГО_спр,5,FALSE),0)),IF(IFERROR(--LEFT(SUBSTITUTE(BQ642,"x","х"),FIND("х",SUBSTITUTE(BQ642,"x","х"))-1),3)&gt;3,Каталог!$S$9,1)))</f>
      </c>
      <c r="BX642" s="129">
        <f>IF(AY642&lt;&gt;1,0,MAX(0,IFERROR(--LEFT(SUBSTITUTE(BQ642,"x","х"),FIND("х",SUBSTITUTE(BQ642,"x","х"))-1),3)-3*BW642))</f>
      </c>
      <c r="BY642" s="129">
        <f>IF(R642="","",IFERROR(VLOOKUP(R642,УГО_спр,2,FALSE),IFERROR(VLOOKUP(AL642,УГО_спр,2,FALSE),IFERROR(VLOOKUP(LEFT(AL642,2),УГО_спр,2,FALSE),""))))</f>
      </c>
    </row>
    <row r="643" spans="1:64" x14ac:dyDescent="0.3">
      <c r="A643" s="135">
        <f>IF(Разбивка_по_щитам!F643=0,"",Разбивка_по_щитам!F643)</f>
        <v/>
      </c>
      <c r="B643" s="138">
        <f>IF(A643="","",Разбивка_по_щитам!C643)</f>
        <v/>
      </c>
      <c r="C643" s="138">
        <f t="shared" ref="C643:C706" si="422">IF(B643="","",INT((B643-1)/Столбцов_на_лист)+1)</f>
        <v/>
      </c>
      <c r="D643" s="266"/>
      <c r="E643" s="266"/>
      <c r="F643" s="267"/>
      <c r="G643" s="145">
        <f t="shared" ref="G643:G706" si="423">IF(OR(R643&lt;&gt;"",O643&lt;&gt;"",AY643=1),AG643,"")</f>
        <v/>
      </c>
      <c r="H643" s="145">
        <f t="shared" ref="H643:H706" si="424">IF(E643="","",IF(AND(E643&lt;&gt;"авто",E643&lt;&gt;"+"),E643,AT643&amp;" С"&amp;AQ643&amp;"А"&amp;IF(AS643=1," 30мА","")))</f>
        <v/>
      </c>
      <c r="I643" s="266"/>
      <c r="J643" s="267"/>
      <c r="K643" s="267"/>
      <c r="L643" s="266"/>
      <c r="M643" s="147">
        <f t="shared" ref="M643:M706" si="425">IF(OR(O643&lt;&gt;"",AND(L643&lt;&gt;"",L643&lt;&gt;"-")),AH643,"")</f>
        <v/>
      </c>
      <c r="N643" s="267"/>
      <c r="O643" s="147">
        <f t="shared" ref="O643:O706" si="426">IF(N643="=",AX642,IF(ISNUMBER(N643),N643,IF(AH643="","",IF(OR(R643&lt;&gt;"",N643="+",N643="р"),IF(OR(AW643&lt;&gt;"",AX642=""),1,AX642+1),""))))</f>
        <v/>
      </c>
      <c r="P643" s="268">
        <f>IF(AY643=1,"XT"&amp;COUNTIFS($A$3:A643,A643,$AY$3:AY643,1),"")</f>
        <v/>
      </c>
      <c r="Q643" s="152">
        <f>IF(R643="","",IFERROR(SUBSTITUTE(Разбивка_по_щитам!P643,CHAR(10)," "),""))</f>
        <v/>
      </c>
      <c r="R643" s="153">
        <f>IF(OR(Разбивка_по_щитам!H643="",Разбивка_по_щитам!H643=0),"",Разбивка_по_щитам!H643)</f>
        <v/>
      </c>
      <c r="S643" s="154">
        <f>IF(R643="","",IFERROR(Разбивка_по_щитам!J643&amp;"",""))</f>
        <v/>
      </c>
      <c r="T643" s="155">
        <f>IF(R643="","",IFERROR(--Разбивка_по_щитам!L643,""))</f>
        <v/>
      </c>
      <c r="U643" s="155">
        <f>IF(R643="","",IFERROR(--Разбивка_по_щитам!K643,""))</f>
        <v/>
      </c>
      <c r="V643" s="138">
        <f>IF(R643="","",IFERROR(IF(Разбивка_по_щитам!M643=0,"",Разбивка_по_щитам!M643),""))</f>
        <v/>
      </c>
      <c r="W643" s="156">
        <f t="shared" ref="W643:W706" si="427">IF(E643="","",IF(NOT(ISNUMBER(AU643)),"",IF(Z643&gt;AU643,"ПЕРЕГРУЗ",IF(AND(BA643=0,AP643&gt;0,AU643&gt;AP643),"КАБЕЛЬ НЕ ЗАЩИЩЁН","ok"))))</f>
        <v/>
      </c>
      <c r="X643" s="157">
        <f t="shared" ref="X643:X706" si="428">IF(OR(O643="",AH643=""),"",IF(O643&gt;IFERROR(VLOOKUP(AI643,Модули_спр,3,FALSE),99),"ЛИШНИЙ КАНАЛ",IF(AND(N643&lt;&gt;"=",COUNTIFS($AH$3:$AH$1000,AH643,$O$3:$O$1000,O643,$N$3:$N$1000,"&lt;&gt;=")&gt;1),"ДУБЛЬ КАНАЛА","")))</f>
        <v/>
      </c>
      <c r="Y643" s="266"/>
      <c r="Z643" s="158">
        <f t="shared" ref="Z643:Z706" si="429">IF(E643="","",SUMIFS($U$3:$U$1000,$AF$3:$AF$1000,AF643,$A$3:$A$1000,A643,$AN$3:$AN$1000,0))</f>
        <v/>
      </c>
      <c r="AA643" s="160">
        <f t="shared" ref="AA643:AA706" si="430">IF(E643="","",IFERROR(VLOOKUP(Z643,Автомат_номиналы,2,TRUE),""))</f>
        <v/>
      </c>
      <c r="AB643" s="160">
        <f>IF(R643="","",IFERROR(LOOKUP(INDEX(Справочная!$I$4:$I$19,MATCH(VLOOKUP(R643,Исходные_данные,22,FALSE),Справочная!$J$4:$J$19,0)+1),{6,10,16,20,25,32,40,50,63,80,100,125}),""))</f>
        <v/>
      </c>
      <c r="AC643" s="160">
        <f t="shared" ref="AC643:AC706" si="431">IF(M643="","",AI643)</f>
        <v/>
      </c>
      <c r="AD643" s="161">
        <f t="shared" ref="AD643:AD706" si="432">IF(AND(R643="",O643="",P643=""),"",_xlfn.TEXTJOIN(" → ",TRUE,AG643,AZ643,IF(AH643&lt;&gt;"",AH643&amp;IF(O643&lt;&gt;""," к."&amp;O643,""),IF(O643&lt;&gt;"","к."&amp;O643,"")),P643,IF(AN643=1,"(в кабель выше)","")))</f>
        <v/>
      </c>
      <c r="AE643" s="161">
        <f>IF(AND(R643="",G643=""),"",_xlfn.TEXTJOIN("; ",TRUE,IF(AND(R643&lt;&gt;"",V643=""),"нет фазы",""),IF(AND(R643&lt;&gt;"",N(T643)=0),"нет мощности",""),IF(AND(P643&lt;&gt;"",COUNTIFS($A$3:$A$1000,A643,$P$3:$P$1000,P643)&gt;1),"дубль клеммы "&amp;P643,""),IF(AND(W643&lt;&gt;"",W643&lt;&gt;"ok"),W643,""),IF(X643&lt;&gt;"",X643,""),IF(AND(ISNUMBER(SEARCH("(5х",Q643)),N(AK643)=1),"5 жил на 1 фазе",""),IF(AND(AL643="R",E643&lt;&gt;"",N(AS643)=0),"розетка без 30 мА",""),IF(IFERROR(_xlfn.NUMBERVALUE(MID(Q643,FIND("-",Q643,FIND("L=",Q643))+1,FIND("%",Q643)-FIND("-",Q643,FIND("L=",Q643))-1),","),0)&gt;4,"потери &gt; 4 %","")))</f>
      </c>
      <c r="AF643" s="129">
        <f>IF(E643&lt;&gt;"",COUNTIFS($A$3:A643,A643,$E$3:E643,"?*"),IF(OR(A643&lt;&gt;A642,Y643="вручную"),"",AF642))</f>
        <v/>
      </c>
      <c r="AG643" s="129">
        <f t="shared" ref="AG643:AG706" si="433">IF(AJ643&lt;&gt;"",AJ643,IF(OR(A643&lt;&gt;A642,Y643="вручную"),"",AG642))</f>
        <v/>
      </c>
      <c r="AH643" s="129">
        <f t="shared" ref="AH643:AH706" si="434">IF(L643="-","",IF(AW643&lt;&gt;"",AW643,IF(A643&lt;&gt;A642,"",AH642)))</f>
        <v/>
      </c>
      <c r="AI643" s="129">
        <f t="shared" ref="AI643:AI706" si="435">IF(AH643="","",IF(AND(L643&lt;&gt;"",L643&lt;&gt;"-"),L643,AI642))</f>
        <v/>
      </c>
      <c r="AJ643" s="129">
        <f t="shared" ref="AJ643:AJ706" si="436">IF(E643="","",IF(AS643=1,"QFD","QF")&amp;AF643)</f>
        <v/>
      </c>
      <c r="AK643" s="129">
        <f t="shared" ref="AK643:AK706" si="437">IF(R643="","",IFERROR(--VLOOKUP(R643,Исходные_данные,8,FALSE),1))</f>
        <v/>
      </c>
      <c r="AL643" s="129">
        <f t="shared" ref="AL643:AL706" si="438">IF(R643="","",IFERROR(LEFT(R643,FIND(".",R643)-1),R643))</f>
        <v/>
      </c>
      <c r="AM643" s="129">
        <f t="shared" ref="AM643:AM706" si="439">IF(AL643="",0,IFERROR(IF(VLOOKUP(R643,УГО_спр,3,FALSE)="да",1,0),IFERROR(IF(VLOOKUP(AL643,УГО_спр,3,FALSE)="да",1,0),IFERROR(IF(VLOOKUP(LEFT(AL643,2),УГО_спр,3,FALSE)="да",1,0),0))))</f>
      </c>
      <c r="AN643" s="129">
        <f t="shared" ref="AN643:AN706" si="440">IF(OR(N643="+",AND(R643&lt;&gt;"",R643=R642)),1,0)</f>
      </c>
      <c r="AO643" s="129">
        <f t="shared" ref="AO643:AO706" si="441">IF(E643="","",MAX(N(AA643),_xlfn.MAXIFS($BB$3:$BB$1000,$AF$3:$AF$1000,AF643,$A$3:$A$1000,A643)))</f>
        <v/>
      </c>
      <c r="AP643" s="129">
        <f t="shared" ref="AP643:AP706" si="442">IF(E643="","",_xlfn.MINIFS($AB$3:$AB$1000,$AF$3:$AF$1000,AF643,$A$3:$A$1000,A643))</f>
        <v/>
      </c>
      <c r="AQ643" s="129">
        <f t="shared" ref="AQ643:AQ706" si="443">IF(E643="","",IF(BA643=1,MAX(AO643,Мин_автомат_БП),AO643))</f>
        <v/>
      </c>
      <c r="AR643" s="129">
        <f t="shared" ref="AR643:AR706" si="444">IF(E643="","",MAX(1,_xlfn.MAXIFS($AK$3:$AK$1000,$AF$3:$AF$1000,AF643,$A$3:$A$1000,A643)))</f>
        <v/>
      </c>
      <c r="AS643" s="129">
        <f t="shared" ref="AS643:AS706" si="445">IF(E643="","",IF(AND(E643&lt;&gt;"авто",E643&lt;&gt;"+"),IF(ISNUMBER(SEARCH("мА",E643)),1,0),IF(F643="да",1,IF(F643="нет",0,IF(_xlfn.MAXIFS($AM$3:$AM$1000,$AF$3:$AF$1000,AF643,$A$3:$A$1000,A643)&gt;0,1,0)))))</f>
        <v/>
      </c>
      <c r="AT643" s="129">
        <f t="shared" ref="AT643:AT706" si="446">IF(E643="","",IF(AR643&gt;=3,IF(AS643=1,"4P","3P"),IF(AS643=1,"2P","1P")))</f>
        <v/>
      </c>
      <c r="AU643" s="129">
        <f t="shared" ref="AU643:AU706" si="447">IF(H643="","",IFERROR(--MID(SUBSTITUTE(SUBSTITUTE(UPPER(H643),"С","C"),"А","A"),FIND("C",SUBSTITUTE(SUBSTITUTE(UPPER(H643),"С","C"),"А","A"))+1,FIND("A",SUBSTITUTE(SUBSTITUTE(UPPER(H643),"С","C"),"А","A")&amp;"A",FIND("C",SUBSTITUTE(SUBSTITUTE(UPPER(H643),"С","C"),"А","A")))-FIND("C",SUBSTITUTE(SUBSTITUTE(UPPER(H643),"С","C"),"А","A"))-1),""))</f>
        <v/>
      </c>
      <c r="AV643" s="129">
        <f t="shared" ref="AV643:AV706" si="448">IF(OR(L643="",L643="-"),"",IFERROR(VLOOKUP(L643,Модули_спр,2,FALSE),"R"))</f>
        <v/>
      </c>
      <c r="AW643" s="129">
        <f>IF(AV643="","",AV643&amp;"."&amp;COUNTIFS($A$3:A643,A643,$AV$3:AV643,AV643))</f>
        <v/>
      </c>
      <c r="AX643" s="129">
        <f t="shared" ref="AX643:AX706" si="449">IF(O643&lt;&gt;"",O643,IF(OR(A643&lt;&gt;A642,L643="-",AW643&lt;&gt;""),"",AX642))</f>
        <v/>
      </c>
      <c r="AY643" s="129">
        <f>IF(N643="б/к",0,IF(OR(ISNUMBER(SEARCH("L=",Разбивка_по_щитам!P643)),N643="+",N643="="),1,0))</f>
      </c>
      <c r="AZ643" s="129">
        <f t="shared" ref="AZ643:AZ706" si="450">IF(AJ643&lt;&gt;"",_xlfn.TEXTJOIN(" → ",TRUE,I643,J643,K643),IF(AG643="","",AZ642))</f>
        <v/>
      </c>
      <c r="BA643" s="129">
        <f t="shared" ref="BA643:BA706" si="451">IF(AZ643="",0,IF(OR(LEFT(AZ643,2)="T ",LEFT(AZ643,2)="Т ",ISNUMBER(SEARCH("→ T ",AZ643)),ISNUMBER(SEARCH("→ Т ",AZ643)),ISNUMBER(SEARCH("БП",AZ643))),1,0))</f>
      </c>
      <c r="BB643" s="129">
        <f t="shared" ref="BB643:BB706" si="452">IF(R643="",0,MAX(IFERROR(--VLOOKUP(R643,Исходные_данные,18,FALSE),0),IFERROR(--VLOOKUP(R643,УГО_спр,4,FALSE),IFERROR(--VLOOKUP(AL643,УГО_спр,4,FALSE),IFERROR(--VLOOKUP(LEFT(AL643,2),УГО_спр,4,FALSE),0)))))</f>
      </c>
      <c r="BD643" s="129">
        <f t="shared" ref="BD643:BD706" si="453">IF(Y643="вручную",0,1)</f>
      </c>
      <c r="BE643" s="129">
        <f t="shared" ref="BE643:BE706" si="454">IF(D643="",0,1)</f>
      </c>
      <c r="BF643" s="129">
        <f t="shared" ref="BF643:BF706" si="455">IF(AJ643="",0,IF(LEFT(AJ643,3)="QFD",1,0))</f>
      </c>
      <c r="BG643" s="129">
        <f t="shared" ref="BG643:BG706" si="456">IF(N643="=","=",IF(N643="+","+",IF(N643="р","R","")))</f>
        <v/>
      </c>
      <c r="BH643" s="129">
        <f t="shared" ref="BH643:BH706" si="457">IF(I643="","",IF(OR(LEFT(I643,1)="T",LEFT(I643,1)="Т"),"T",IF(LEFT(UPPER(I643),2)="БП","PS",IF(OR(LEFT(UPPER(I643),2)="МК",LEFT(UPPER(I643),2)="MK"),"MK",IF(OR(LEFT(UPPER(I643),2)="КМ",LEFT(UPPER(I643),2)="KM"),"KM","X")))))</f>
        <v/>
      </c>
      <c r="BI643" s="129">
        <f t="shared" ref="BI643:BI706" si="458">IF(J643="","",IF(OR(LEFT(J643,1)="T",LEFT(J643,1)="Т"),"T",IF(LEFT(UPPER(J643),2)="БП","PS",IF(OR(LEFT(UPPER(J643),2)="МК",LEFT(UPPER(J643),2)="MK"),"MK",IF(OR(LEFT(UPPER(J643),2)="КМ",LEFT(UPPER(J643),2)="KM"),"KM","X")))))</f>
        <v/>
      </c>
      <c r="BJ643" s="129">
        <f t="shared" ref="BJ643:BJ706" si="459">IF(K643="","",IF(OR(LEFT(K643,1)="T",LEFT(K643,1)="Т"),"T",IF(LEFT(UPPER(K643),2)="БП","PS",IF(OR(LEFT(UPPER(K643),2)="МК",LEFT(UPPER(K643),2)="MK"),"MK",IF(OR(LEFT(UPPER(K643),2)="КМ",LEFT(UPPER(K643),2)="KM"),"KM","X")))))</f>
        <v/>
      </c>
      <c r="BK643" s="129">
        <f>IF(R643="","",IF(OR(BY643="",BY643=0),"BOX",IFERROR(IF(VLOOKUP(BY643,УГО_блоки,3,FALSE)&amp;""&lt;&gt;"",VLOOKUP(BY643,УГО_блоки,3,FALSE),VLOOKUP(BY643,УГО_блоки,2,FALSE)),BY643)))</f>
      </c>
      <c r="BL643" s="129">
        <f t="shared" ref="BL643:BL706" si="461">IF(R643="",0,1)</f>
      </c>
      <c r="BM643" s="129">
        <f>IF(H643="","",IF(COUNTIF($H$3:H643,H643)=1,MAX($BM$2:BM642)+1,""))</f>
      </c>
      <c r="BN643" s="129">
        <f>IF(I643="","",IF(COUNTIF($I$3:I643,I643)+COUNTIF($J$2:J642,I643)+COUNTIF($K$2:K642,I643)=1,MAX($BN$2:BP642)+1,""))</f>
      </c>
      <c r="BO643" s="129">
        <f>IF(J643="","",IF(COUNTIF($I$3:I643,J643)+COUNTIF($J$3:J643,J643)+COUNTIF($K$2:K642,J643)=1,MAX($BN$2:BP642,BN643)+1,""))</f>
      </c>
      <c r="BP643" s="129">
        <f>IF(K643="","",IF(COUNTIF($I$3:I643,K643)+COUNTIF($J$3:J643,K643)+COUNTIF($K$3:K643,K643)=1,MAX($BN$2:BP642,BN643,BO643)+1,""))</f>
      </c>
      <c r="BQ643" s="129">
        <f>IF(AY643=1,IFERROR(MID(Q643,FIND(" (",Q643)+2,FIND(")",Q643,FIND(" (",Q643))-FIND(" (",Q643)-2),"?"),"")</f>
      </c>
      <c r="BR643" s="129">
        <f>IF(BQ643="","",IF(COUNTIF($BQ$3:BQ643,BQ643)=1,MAX($BR$2:BR642)+1,""))</f>
      </c>
      <c r="BS643" s="129">
        <f>IF(AW643="","",COUNTIF($AW$3:AW643,"?*"))</f>
      </c>
      <c r="BT643" s="129">
        <f>IF(OR(AW643="",AI643=""),"",IF(COUNTIFS($AW$3:AW643,"?*",$AI$3:AI643,AI643)=1,MAX($BT$2:BT642)+1,""))</f>
      </c>
      <c r="BU643" s="129">
        <f>IF(AE643="",0,IF(OR(ISNUMBER(SEARCH("дубль",AE643)),ISNUMBER(SEARCH("ПЕРЕГРУЗ",AE643)),ISNUMBER(SEARCH("ЗАЩИЩ",AE643)),ISNUMBER(SEARCH("КАНАЛ",AE643)),ISNUMBER(SEARCH("без 30",AE643))),2,1))</f>
      </c>
      <c r="BV643" s="129">
        <f>IF(R643="","",COUNTIF($R$3:R643,"?*"))</f>
      </c>
      <c r="BW643" s="129">
        <f>IF(AY643&lt;&gt;1,0,IF(MAX(IFERROR(--VLOOKUP(R643,УГО_спр,5,FALSE),0),IFERROR(--VLOOKUP(AL643,УГО_спр,5,FALSE),0),IFERROR(--VLOOKUP(LEFT(AL643,2),УГО_спр,5,FALSE),0))&gt;0,MAX(IFERROR(--VLOOKUP(R643,УГО_спр,5,FALSE),0),IFERROR(--VLOOKUP(AL643,УГО_спр,5,FALSE),0),IFERROR(--VLOOKUP(LEFT(AL643,2),УГО_спр,5,FALSE),0)),IF(IFERROR(--LEFT(SUBSTITUTE(BQ643,"x","х"),FIND("х",SUBSTITUTE(BQ643,"x","х"))-1),3)&gt;3,Каталог!$S$9,1)))</f>
      </c>
      <c r="BX643" s="129">
        <f>IF(AY643&lt;&gt;1,0,MAX(0,IFERROR(--LEFT(SUBSTITUTE(BQ643,"x","х"),FIND("х",SUBSTITUTE(BQ643,"x","х"))-1),3)-3*BW643))</f>
      </c>
      <c r="BY643" s="129">
        <f>IF(R643="","",IFERROR(VLOOKUP(R643,УГО_спр,2,FALSE),IFERROR(VLOOKUP(AL643,УГО_спр,2,FALSE),IFERROR(VLOOKUP(LEFT(AL643,2),УГО_спр,2,FALSE),""))))</f>
      </c>
    </row>
    <row r="644" spans="1:64" x14ac:dyDescent="0.3">
      <c r="A644" s="135">
        <f>IF(Разбивка_по_щитам!F644=0,"",Разбивка_по_щитам!F644)</f>
        <v/>
      </c>
      <c r="B644" s="138">
        <f>IF(A644="","",Разбивка_по_щитам!C644)</f>
        <v/>
      </c>
      <c r="C644" s="138">
        <f t="shared" si="422"/>
        <v/>
      </c>
      <c r="D644" s="266"/>
      <c r="E644" s="266"/>
      <c r="F644" s="267"/>
      <c r="G644" s="145">
        <f t="shared" si="423"/>
        <v/>
      </c>
      <c r="H644" s="145">
        <f t="shared" si="424"/>
        <v/>
      </c>
      <c r="I644" s="266"/>
      <c r="J644" s="267"/>
      <c r="K644" s="267"/>
      <c r="L644" s="266"/>
      <c r="M644" s="147">
        <f t="shared" si="425"/>
        <v/>
      </c>
      <c r="N644" s="267"/>
      <c r="O644" s="147">
        <f t="shared" si="426"/>
        <v/>
      </c>
      <c r="P644" s="268">
        <f>IF(AY644=1,"XT"&amp;COUNTIFS($A$3:A644,A644,$AY$3:AY644,1),"")</f>
        <v/>
      </c>
      <c r="Q644" s="152">
        <f>IF(R644="","",IFERROR(SUBSTITUTE(Разбивка_по_щитам!P644,CHAR(10)," "),""))</f>
        <v/>
      </c>
      <c r="R644" s="153">
        <f>IF(OR(Разбивка_по_щитам!H644="",Разбивка_по_щитам!H644=0),"",Разбивка_по_щитам!H644)</f>
        <v/>
      </c>
      <c r="S644" s="154">
        <f>IF(R644="","",IFERROR(Разбивка_по_щитам!J644&amp;"",""))</f>
        <v/>
      </c>
      <c r="T644" s="155">
        <f>IF(R644="","",IFERROR(--Разбивка_по_щитам!L644,""))</f>
        <v/>
      </c>
      <c r="U644" s="155">
        <f>IF(R644="","",IFERROR(--Разбивка_по_щитам!K644,""))</f>
        <v/>
      </c>
      <c r="V644" s="138">
        <f>IF(R644="","",IFERROR(IF(Разбивка_по_щитам!M644=0,"",Разбивка_по_щитам!M644),""))</f>
        <v/>
      </c>
      <c r="W644" s="156">
        <f t="shared" si="427"/>
        <v/>
      </c>
      <c r="X644" s="157">
        <f t="shared" si="428"/>
        <v/>
      </c>
      <c r="Y644" s="266"/>
      <c r="Z644" s="158">
        <f t="shared" si="429"/>
        <v/>
      </c>
      <c r="AA644" s="160">
        <f t="shared" si="430"/>
        <v/>
      </c>
      <c r="AB644" s="160">
        <f>IF(R644="","",IFERROR(LOOKUP(INDEX(Справочная!$I$4:$I$19,MATCH(VLOOKUP(R644,Исходные_данные,22,FALSE),Справочная!$J$4:$J$19,0)+1),{6,10,16,20,25,32,40,50,63,80,100,125}),""))</f>
        <v/>
      </c>
      <c r="AC644" s="160">
        <f t="shared" si="431"/>
        <v/>
      </c>
      <c r="AD644" s="161">
        <f t="shared" si="432"/>
        <v/>
      </c>
      <c r="AE644" s="161">
        <f>IF(AND(R644="",G644=""),"",_xlfn.TEXTJOIN("; ",TRUE,IF(AND(R644&lt;&gt;"",V644=""),"нет фазы",""),IF(AND(R644&lt;&gt;"",N(T644)=0),"нет мощности",""),IF(AND(P644&lt;&gt;"",COUNTIFS($A$3:$A$1000,A644,$P$3:$P$1000,P644)&gt;1),"дубль клеммы "&amp;P644,""),IF(AND(W644&lt;&gt;"",W644&lt;&gt;"ok"),W644,""),IF(X644&lt;&gt;"",X644,""),IF(AND(ISNUMBER(SEARCH("(5х",Q644)),N(AK644)=1),"5 жил на 1 фазе",""),IF(AND(AL644="R",E644&lt;&gt;"",N(AS644)=0),"розетка без 30 мА",""),IF(IFERROR(_xlfn.NUMBERVALUE(MID(Q644,FIND("-",Q644,FIND("L=",Q644))+1,FIND("%",Q644)-FIND("-",Q644,FIND("L=",Q644))-1),","),0)&gt;4,"потери &gt; 4 %","")))</f>
      </c>
      <c r="AF644" s="129">
        <f>IF(E644&lt;&gt;"",COUNTIFS($A$3:A644,A644,$E$3:E644,"?*"),IF(OR(A644&lt;&gt;A643,Y644="вручную"),"",AF643))</f>
        <v/>
      </c>
      <c r="AG644" s="129">
        <f t="shared" si="433"/>
        <v/>
      </c>
      <c r="AH644" s="129">
        <f t="shared" si="434"/>
        <v/>
      </c>
      <c r="AI644" s="129">
        <f t="shared" si="435"/>
        <v/>
      </c>
      <c r="AJ644" s="129">
        <f t="shared" si="436"/>
        <v/>
      </c>
      <c r="AK644" s="129">
        <f t="shared" si="437"/>
        <v/>
      </c>
      <c r="AL644" s="129">
        <f t="shared" si="438"/>
        <v/>
      </c>
      <c r="AM644" s="129">
        <f t="shared" si="439"/>
      </c>
      <c r="AN644" s="129">
        <f t="shared" si="440"/>
      </c>
      <c r="AO644" s="129">
        <f t="shared" si="441"/>
        <v/>
      </c>
      <c r="AP644" s="129">
        <f t="shared" si="442"/>
        <v/>
      </c>
      <c r="AQ644" s="129">
        <f t="shared" si="443"/>
        <v/>
      </c>
      <c r="AR644" s="129">
        <f t="shared" si="444"/>
        <v/>
      </c>
      <c r="AS644" s="129">
        <f t="shared" si="445"/>
        <v/>
      </c>
      <c r="AT644" s="129">
        <f t="shared" si="446"/>
        <v/>
      </c>
      <c r="AU644" s="129">
        <f t="shared" si="447"/>
        <v/>
      </c>
      <c r="AV644" s="129">
        <f t="shared" si="448"/>
        <v/>
      </c>
      <c r="AW644" s="129">
        <f>IF(AV644="","",AV644&amp;"."&amp;COUNTIFS($A$3:A644,A644,$AV$3:AV644,AV644))</f>
        <v/>
      </c>
      <c r="AX644" s="129">
        <f t="shared" si="449"/>
        <v/>
      </c>
      <c r="AY644" s="129">
        <f>IF(N644="б/к",0,IF(OR(ISNUMBER(SEARCH("L=",Разбивка_по_щитам!P644)),N644="+",N644="="),1,0))</f>
      </c>
      <c r="AZ644" s="129">
        <f t="shared" si="450"/>
        <v/>
      </c>
      <c r="BA644" s="129">
        <f t="shared" si="451"/>
      </c>
      <c r="BB644" s="129">
        <f t="shared" si="452"/>
      </c>
      <c r="BD644" s="129">
        <f t="shared" si="453"/>
      </c>
      <c r="BE644" s="129">
        <f t="shared" si="454"/>
      </c>
      <c r="BF644" s="129">
        <f t="shared" si="455"/>
      </c>
      <c r="BG644" s="129">
        <f t="shared" si="456"/>
        <v/>
      </c>
      <c r="BH644" s="129">
        <f t="shared" si="457"/>
        <v/>
      </c>
      <c r="BI644" s="129">
        <f t="shared" si="458"/>
        <v/>
      </c>
      <c r="BJ644" s="129">
        <f t="shared" si="459"/>
        <v/>
      </c>
      <c r="BK644" s="129">
        <f>IF(R644="","",IF(OR(BY644="",BY644=0),"BOX",IFERROR(IF(VLOOKUP(BY644,УГО_блоки,3,FALSE)&amp;""&lt;&gt;"",VLOOKUP(BY644,УГО_блоки,3,FALSE),VLOOKUP(BY644,УГО_блоки,2,FALSE)),BY644)))</f>
      </c>
      <c r="BL644" s="129">
        <f t="shared" si="461"/>
      </c>
      <c r="BM644" s="129">
        <f>IF(H644="","",IF(COUNTIF($H$3:H644,H644)=1,MAX($BM$2:BM643)+1,""))</f>
      </c>
      <c r="BN644" s="129">
        <f>IF(I644="","",IF(COUNTIF($I$3:I644,I644)+COUNTIF($J$2:J643,I644)+COUNTIF($K$2:K643,I644)=1,MAX($BN$2:BP643)+1,""))</f>
      </c>
      <c r="BO644" s="129">
        <f>IF(J644="","",IF(COUNTIF($I$3:I644,J644)+COUNTIF($J$3:J644,J644)+COUNTIF($K$2:K643,J644)=1,MAX($BN$2:BP643,BN644)+1,""))</f>
      </c>
      <c r="BP644" s="129">
        <f>IF(K644="","",IF(COUNTIF($I$3:I644,K644)+COUNTIF($J$3:J644,K644)+COUNTIF($K$3:K644,K644)=1,MAX($BN$2:BP643,BN644,BO644)+1,""))</f>
      </c>
      <c r="BQ644" s="129">
        <f>IF(AY644=1,IFERROR(MID(Q644,FIND(" (",Q644)+2,FIND(")",Q644,FIND(" (",Q644))-FIND(" (",Q644)-2),"?"),"")</f>
      </c>
      <c r="BR644" s="129">
        <f>IF(BQ644="","",IF(COUNTIF($BQ$3:BQ644,BQ644)=1,MAX($BR$2:BR643)+1,""))</f>
      </c>
      <c r="BS644" s="129">
        <f>IF(AW644="","",COUNTIF($AW$3:AW644,"?*"))</f>
      </c>
      <c r="BT644" s="129">
        <f>IF(OR(AW644="",AI644=""),"",IF(COUNTIFS($AW$3:AW644,"?*",$AI$3:AI644,AI644)=1,MAX($BT$2:BT643)+1,""))</f>
      </c>
      <c r="BU644" s="129">
        <f>IF(AE644="",0,IF(OR(ISNUMBER(SEARCH("дубль",AE644)),ISNUMBER(SEARCH("ПЕРЕГРУЗ",AE644)),ISNUMBER(SEARCH("ЗАЩИЩ",AE644)),ISNUMBER(SEARCH("КАНАЛ",AE644)),ISNUMBER(SEARCH("без 30",AE644))),2,1))</f>
      </c>
      <c r="BV644" s="129">
        <f>IF(R644="","",COUNTIF($R$3:R644,"?*"))</f>
      </c>
      <c r="BW644" s="129">
        <f>IF(AY644&lt;&gt;1,0,IF(MAX(IFERROR(--VLOOKUP(R644,УГО_спр,5,FALSE),0),IFERROR(--VLOOKUP(AL644,УГО_спр,5,FALSE),0),IFERROR(--VLOOKUP(LEFT(AL644,2),УГО_спр,5,FALSE),0))&gt;0,MAX(IFERROR(--VLOOKUP(R644,УГО_спр,5,FALSE),0),IFERROR(--VLOOKUP(AL644,УГО_спр,5,FALSE),0),IFERROR(--VLOOKUP(LEFT(AL644,2),УГО_спр,5,FALSE),0)),IF(IFERROR(--LEFT(SUBSTITUTE(BQ644,"x","х"),FIND("х",SUBSTITUTE(BQ644,"x","х"))-1),3)&gt;3,Каталог!$S$9,1)))</f>
      </c>
      <c r="BX644" s="129">
        <f>IF(AY644&lt;&gt;1,0,MAX(0,IFERROR(--LEFT(SUBSTITUTE(BQ644,"x","х"),FIND("х",SUBSTITUTE(BQ644,"x","х"))-1),3)-3*BW644))</f>
      </c>
      <c r="BY644" s="129">
        <f>IF(R644="","",IFERROR(VLOOKUP(R644,УГО_спр,2,FALSE),IFERROR(VLOOKUP(AL644,УГО_спр,2,FALSE),IFERROR(VLOOKUP(LEFT(AL644,2),УГО_спр,2,FALSE),""))))</f>
      </c>
    </row>
    <row r="645" spans="1:64" x14ac:dyDescent="0.3">
      <c r="A645" s="135">
        <f>IF(Разбивка_по_щитам!F645=0,"",Разбивка_по_щитам!F645)</f>
        <v/>
      </c>
      <c r="B645" s="138">
        <f>IF(A645="","",Разбивка_по_щитам!C645)</f>
        <v/>
      </c>
      <c r="C645" s="138">
        <f t="shared" si="422"/>
        <v/>
      </c>
      <c r="D645" s="266"/>
      <c r="E645" s="266"/>
      <c r="F645" s="267"/>
      <c r="G645" s="145">
        <f t="shared" si="423"/>
        <v/>
      </c>
      <c r="H645" s="145">
        <f t="shared" si="424"/>
        <v/>
      </c>
      <c r="I645" s="266"/>
      <c r="J645" s="267"/>
      <c r="K645" s="267"/>
      <c r="L645" s="266"/>
      <c r="M645" s="147">
        <f t="shared" si="425"/>
        <v/>
      </c>
      <c r="N645" s="267"/>
      <c r="O645" s="147">
        <f t="shared" si="426"/>
        <v/>
      </c>
      <c r="P645" s="268">
        <f>IF(AY645=1,"XT"&amp;COUNTIFS($A$3:A645,A645,$AY$3:AY645,1),"")</f>
        <v/>
      </c>
      <c r="Q645" s="152">
        <f>IF(R645="","",IFERROR(SUBSTITUTE(Разбивка_по_щитам!P645,CHAR(10)," "),""))</f>
        <v/>
      </c>
      <c r="R645" s="153">
        <f>IF(OR(Разбивка_по_щитам!H645="",Разбивка_по_щитам!H645=0),"",Разбивка_по_щитам!H645)</f>
        <v/>
      </c>
      <c r="S645" s="154">
        <f>IF(R645="","",IFERROR(Разбивка_по_щитам!J645&amp;"",""))</f>
        <v/>
      </c>
      <c r="T645" s="155">
        <f>IF(R645="","",IFERROR(--Разбивка_по_щитам!L645,""))</f>
        <v/>
      </c>
      <c r="U645" s="155">
        <f>IF(R645="","",IFERROR(--Разбивка_по_щитам!K645,""))</f>
        <v/>
      </c>
      <c r="V645" s="138">
        <f>IF(R645="","",IFERROR(IF(Разбивка_по_щитам!M645=0,"",Разбивка_по_щитам!M645),""))</f>
        <v/>
      </c>
      <c r="W645" s="156">
        <f t="shared" si="427"/>
        <v/>
      </c>
      <c r="X645" s="157">
        <f t="shared" si="428"/>
        <v/>
      </c>
      <c r="Y645" s="266"/>
      <c r="Z645" s="158">
        <f t="shared" si="429"/>
        <v/>
      </c>
      <c r="AA645" s="160">
        <f t="shared" si="430"/>
        <v/>
      </c>
      <c r="AB645" s="160">
        <f>IF(R645="","",IFERROR(LOOKUP(INDEX(Справочная!$I$4:$I$19,MATCH(VLOOKUP(R645,Исходные_данные,22,FALSE),Справочная!$J$4:$J$19,0)+1),{6,10,16,20,25,32,40,50,63,80,100,125}),""))</f>
        <v/>
      </c>
      <c r="AC645" s="160">
        <f t="shared" si="431"/>
        <v/>
      </c>
      <c r="AD645" s="161">
        <f t="shared" si="432"/>
        <v/>
      </c>
      <c r="AE645" s="161">
        <f>IF(AND(R645="",G645=""),"",_xlfn.TEXTJOIN("; ",TRUE,IF(AND(R645&lt;&gt;"",V645=""),"нет фазы",""),IF(AND(R645&lt;&gt;"",N(T645)=0),"нет мощности",""),IF(AND(P645&lt;&gt;"",COUNTIFS($A$3:$A$1000,A645,$P$3:$P$1000,P645)&gt;1),"дубль клеммы "&amp;P645,""),IF(AND(W645&lt;&gt;"",W645&lt;&gt;"ok"),W645,""),IF(X645&lt;&gt;"",X645,""),IF(AND(ISNUMBER(SEARCH("(5х",Q645)),N(AK645)=1),"5 жил на 1 фазе",""),IF(AND(AL645="R",E645&lt;&gt;"",N(AS645)=0),"розетка без 30 мА",""),IF(IFERROR(_xlfn.NUMBERVALUE(MID(Q645,FIND("-",Q645,FIND("L=",Q645))+1,FIND("%",Q645)-FIND("-",Q645,FIND("L=",Q645))-1),","),0)&gt;4,"потери &gt; 4 %","")))</f>
      </c>
      <c r="AF645" s="129">
        <f>IF(E645&lt;&gt;"",COUNTIFS($A$3:A645,A645,$E$3:E645,"?*"),IF(OR(A645&lt;&gt;A644,Y645="вручную"),"",AF644))</f>
        <v/>
      </c>
      <c r="AG645" s="129">
        <f t="shared" si="433"/>
        <v/>
      </c>
      <c r="AH645" s="129">
        <f t="shared" si="434"/>
        <v/>
      </c>
      <c r="AI645" s="129">
        <f t="shared" si="435"/>
        <v/>
      </c>
      <c r="AJ645" s="129">
        <f t="shared" si="436"/>
        <v/>
      </c>
      <c r="AK645" s="129">
        <f t="shared" si="437"/>
        <v/>
      </c>
      <c r="AL645" s="129">
        <f t="shared" si="438"/>
        <v/>
      </c>
      <c r="AM645" s="129">
        <f t="shared" si="439"/>
      </c>
      <c r="AN645" s="129">
        <f t="shared" si="440"/>
      </c>
      <c r="AO645" s="129">
        <f t="shared" si="441"/>
        <v/>
      </c>
      <c r="AP645" s="129">
        <f t="shared" si="442"/>
        <v/>
      </c>
      <c r="AQ645" s="129">
        <f t="shared" si="443"/>
        <v/>
      </c>
      <c r="AR645" s="129">
        <f t="shared" si="444"/>
        <v/>
      </c>
      <c r="AS645" s="129">
        <f t="shared" si="445"/>
        <v/>
      </c>
      <c r="AT645" s="129">
        <f t="shared" si="446"/>
        <v/>
      </c>
      <c r="AU645" s="129">
        <f t="shared" si="447"/>
        <v/>
      </c>
      <c r="AV645" s="129">
        <f t="shared" si="448"/>
        <v/>
      </c>
      <c r="AW645" s="129">
        <f>IF(AV645="","",AV645&amp;"."&amp;COUNTIFS($A$3:A645,A645,$AV$3:AV645,AV645))</f>
        <v/>
      </c>
      <c r="AX645" s="129">
        <f t="shared" si="449"/>
        <v/>
      </c>
      <c r="AY645" s="129">
        <f>IF(N645="б/к",0,IF(OR(ISNUMBER(SEARCH("L=",Разбивка_по_щитам!P645)),N645="+",N645="="),1,0))</f>
      </c>
      <c r="AZ645" s="129">
        <f t="shared" si="450"/>
        <v/>
      </c>
      <c r="BA645" s="129">
        <f t="shared" si="451"/>
      </c>
      <c r="BB645" s="129">
        <f t="shared" si="452"/>
      </c>
      <c r="BD645" s="129">
        <f t="shared" si="453"/>
      </c>
      <c r="BE645" s="129">
        <f t="shared" si="454"/>
      </c>
      <c r="BF645" s="129">
        <f t="shared" si="455"/>
      </c>
      <c r="BG645" s="129">
        <f t="shared" si="456"/>
        <v/>
      </c>
      <c r="BH645" s="129">
        <f t="shared" si="457"/>
        <v/>
      </c>
      <c r="BI645" s="129">
        <f t="shared" si="458"/>
        <v/>
      </c>
      <c r="BJ645" s="129">
        <f t="shared" si="459"/>
        <v/>
      </c>
      <c r="BK645" s="129">
        <f>IF(R645="","",IF(OR(BY645="",BY645=0),"BOX",IFERROR(IF(VLOOKUP(BY645,УГО_блоки,3,FALSE)&amp;""&lt;&gt;"",VLOOKUP(BY645,УГО_блоки,3,FALSE),VLOOKUP(BY645,УГО_блоки,2,FALSE)),BY645)))</f>
      </c>
      <c r="BL645" s="129">
        <f t="shared" si="461"/>
      </c>
      <c r="BM645" s="129">
        <f>IF(H645="","",IF(COUNTIF($H$3:H645,H645)=1,MAX($BM$2:BM644)+1,""))</f>
      </c>
      <c r="BN645" s="129">
        <f>IF(I645="","",IF(COUNTIF($I$3:I645,I645)+COUNTIF($J$2:J644,I645)+COUNTIF($K$2:K644,I645)=1,MAX($BN$2:BP644)+1,""))</f>
      </c>
      <c r="BO645" s="129">
        <f>IF(J645="","",IF(COUNTIF($I$3:I645,J645)+COUNTIF($J$3:J645,J645)+COUNTIF($K$2:K644,J645)=1,MAX($BN$2:BP644,BN645)+1,""))</f>
      </c>
      <c r="BP645" s="129">
        <f>IF(K645="","",IF(COUNTIF($I$3:I645,K645)+COUNTIF($J$3:J645,K645)+COUNTIF($K$3:K645,K645)=1,MAX($BN$2:BP644,BN645,BO645)+1,""))</f>
      </c>
      <c r="BQ645" s="129">
        <f>IF(AY645=1,IFERROR(MID(Q645,FIND(" (",Q645)+2,FIND(")",Q645,FIND(" (",Q645))-FIND(" (",Q645)-2),"?"),"")</f>
      </c>
      <c r="BR645" s="129">
        <f>IF(BQ645="","",IF(COUNTIF($BQ$3:BQ645,BQ645)=1,MAX($BR$2:BR644)+1,""))</f>
      </c>
      <c r="BS645" s="129">
        <f>IF(AW645="","",COUNTIF($AW$3:AW645,"?*"))</f>
      </c>
      <c r="BT645" s="129">
        <f>IF(OR(AW645="",AI645=""),"",IF(COUNTIFS($AW$3:AW645,"?*",$AI$3:AI645,AI645)=1,MAX($BT$2:BT644)+1,""))</f>
      </c>
      <c r="BU645" s="129">
        <f>IF(AE645="",0,IF(OR(ISNUMBER(SEARCH("дубль",AE645)),ISNUMBER(SEARCH("ПЕРЕГРУЗ",AE645)),ISNUMBER(SEARCH("ЗАЩИЩ",AE645)),ISNUMBER(SEARCH("КАНАЛ",AE645)),ISNUMBER(SEARCH("без 30",AE645))),2,1))</f>
      </c>
      <c r="BV645" s="129">
        <f>IF(R645="","",COUNTIF($R$3:R645,"?*"))</f>
      </c>
      <c r="BW645" s="129">
        <f>IF(AY645&lt;&gt;1,0,IF(MAX(IFERROR(--VLOOKUP(R645,УГО_спр,5,FALSE),0),IFERROR(--VLOOKUP(AL645,УГО_спр,5,FALSE),0),IFERROR(--VLOOKUP(LEFT(AL645,2),УГО_спр,5,FALSE),0))&gt;0,MAX(IFERROR(--VLOOKUP(R645,УГО_спр,5,FALSE),0),IFERROR(--VLOOKUP(AL645,УГО_спр,5,FALSE),0),IFERROR(--VLOOKUP(LEFT(AL645,2),УГО_спр,5,FALSE),0)),IF(IFERROR(--LEFT(SUBSTITUTE(BQ645,"x","х"),FIND("х",SUBSTITUTE(BQ645,"x","х"))-1),3)&gt;3,Каталог!$S$9,1)))</f>
      </c>
      <c r="BX645" s="129">
        <f>IF(AY645&lt;&gt;1,0,MAX(0,IFERROR(--LEFT(SUBSTITUTE(BQ645,"x","х"),FIND("х",SUBSTITUTE(BQ645,"x","х"))-1),3)-3*BW645))</f>
      </c>
      <c r="BY645" s="129">
        <f>IF(R645="","",IFERROR(VLOOKUP(R645,УГО_спр,2,FALSE),IFERROR(VLOOKUP(AL645,УГО_спр,2,FALSE),IFERROR(VLOOKUP(LEFT(AL645,2),УГО_спр,2,FALSE),""))))</f>
      </c>
    </row>
    <row r="646" spans="1:64" x14ac:dyDescent="0.3">
      <c r="A646" s="135">
        <f>IF(Разбивка_по_щитам!F646=0,"",Разбивка_по_щитам!F646)</f>
        <v/>
      </c>
      <c r="B646" s="138">
        <f>IF(A646="","",Разбивка_по_щитам!C646)</f>
        <v/>
      </c>
      <c r="C646" s="138">
        <f t="shared" si="422"/>
        <v/>
      </c>
      <c r="D646" s="266"/>
      <c r="E646" s="266"/>
      <c r="F646" s="267"/>
      <c r="G646" s="145">
        <f t="shared" si="423"/>
        <v/>
      </c>
      <c r="H646" s="145">
        <f t="shared" si="424"/>
        <v/>
      </c>
      <c r="I646" s="266"/>
      <c r="J646" s="267"/>
      <c r="K646" s="267"/>
      <c r="L646" s="266"/>
      <c r="M646" s="147">
        <f t="shared" si="425"/>
        <v/>
      </c>
      <c r="N646" s="267"/>
      <c r="O646" s="147">
        <f t="shared" si="426"/>
        <v/>
      </c>
      <c r="P646" s="268">
        <f>IF(AY646=1,"XT"&amp;COUNTIFS($A$3:A646,A646,$AY$3:AY646,1),"")</f>
        <v/>
      </c>
      <c r="Q646" s="152">
        <f>IF(R646="","",IFERROR(SUBSTITUTE(Разбивка_по_щитам!P646,CHAR(10)," "),""))</f>
        <v/>
      </c>
      <c r="R646" s="153">
        <f>IF(OR(Разбивка_по_щитам!H646="",Разбивка_по_щитам!H646=0),"",Разбивка_по_щитам!H646)</f>
        <v/>
      </c>
      <c r="S646" s="154">
        <f>IF(R646="","",IFERROR(Разбивка_по_щитам!J646&amp;"",""))</f>
        <v/>
      </c>
      <c r="T646" s="155">
        <f>IF(R646="","",IFERROR(--Разбивка_по_щитам!L646,""))</f>
        <v/>
      </c>
      <c r="U646" s="155">
        <f>IF(R646="","",IFERROR(--Разбивка_по_щитам!K646,""))</f>
        <v/>
      </c>
      <c r="V646" s="138">
        <f>IF(R646="","",IFERROR(IF(Разбивка_по_щитам!M646=0,"",Разбивка_по_щитам!M646),""))</f>
        <v/>
      </c>
      <c r="W646" s="156">
        <f t="shared" si="427"/>
        <v/>
      </c>
      <c r="X646" s="157">
        <f t="shared" si="428"/>
        <v/>
      </c>
      <c r="Y646" s="266"/>
      <c r="Z646" s="158">
        <f t="shared" si="429"/>
        <v/>
      </c>
      <c r="AA646" s="160">
        <f t="shared" si="430"/>
        <v/>
      </c>
      <c r="AB646" s="160">
        <f>IF(R646="","",IFERROR(LOOKUP(INDEX(Справочная!$I$4:$I$19,MATCH(VLOOKUP(R646,Исходные_данные,22,FALSE),Справочная!$J$4:$J$19,0)+1),{6,10,16,20,25,32,40,50,63,80,100,125}),""))</f>
        <v/>
      </c>
      <c r="AC646" s="160">
        <f t="shared" si="431"/>
        <v/>
      </c>
      <c r="AD646" s="161">
        <f t="shared" si="432"/>
        <v/>
      </c>
      <c r="AE646" s="161">
        <f>IF(AND(R646="",G646=""),"",_xlfn.TEXTJOIN("; ",TRUE,IF(AND(R646&lt;&gt;"",V646=""),"нет фазы",""),IF(AND(R646&lt;&gt;"",N(T646)=0),"нет мощности",""),IF(AND(P646&lt;&gt;"",COUNTIFS($A$3:$A$1000,A646,$P$3:$P$1000,P646)&gt;1),"дубль клеммы "&amp;P646,""),IF(AND(W646&lt;&gt;"",W646&lt;&gt;"ok"),W646,""),IF(X646&lt;&gt;"",X646,""),IF(AND(ISNUMBER(SEARCH("(5х",Q646)),N(AK646)=1),"5 жил на 1 фазе",""),IF(AND(AL646="R",E646&lt;&gt;"",N(AS646)=0),"розетка без 30 мА",""),IF(IFERROR(_xlfn.NUMBERVALUE(MID(Q646,FIND("-",Q646,FIND("L=",Q646))+1,FIND("%",Q646)-FIND("-",Q646,FIND("L=",Q646))-1),","),0)&gt;4,"потери &gt; 4 %","")))</f>
      </c>
      <c r="AF646" s="129">
        <f>IF(E646&lt;&gt;"",COUNTIFS($A$3:A646,A646,$E$3:E646,"?*"),IF(OR(A646&lt;&gt;A645,Y646="вручную"),"",AF645))</f>
        <v/>
      </c>
      <c r="AG646" s="129">
        <f t="shared" si="433"/>
        <v/>
      </c>
      <c r="AH646" s="129">
        <f t="shared" si="434"/>
        <v/>
      </c>
      <c r="AI646" s="129">
        <f t="shared" si="435"/>
        <v/>
      </c>
      <c r="AJ646" s="129">
        <f t="shared" si="436"/>
        <v/>
      </c>
      <c r="AK646" s="129">
        <f t="shared" si="437"/>
        <v/>
      </c>
      <c r="AL646" s="129">
        <f t="shared" si="438"/>
        <v/>
      </c>
      <c r="AM646" s="129">
        <f t="shared" si="439"/>
      </c>
      <c r="AN646" s="129">
        <f t="shared" si="440"/>
      </c>
      <c r="AO646" s="129">
        <f t="shared" si="441"/>
        <v/>
      </c>
      <c r="AP646" s="129">
        <f t="shared" si="442"/>
        <v/>
      </c>
      <c r="AQ646" s="129">
        <f t="shared" si="443"/>
        <v/>
      </c>
      <c r="AR646" s="129">
        <f t="shared" si="444"/>
        <v/>
      </c>
      <c r="AS646" s="129">
        <f t="shared" si="445"/>
        <v/>
      </c>
      <c r="AT646" s="129">
        <f t="shared" si="446"/>
        <v/>
      </c>
      <c r="AU646" s="129">
        <f t="shared" si="447"/>
        <v/>
      </c>
      <c r="AV646" s="129">
        <f t="shared" si="448"/>
        <v/>
      </c>
      <c r="AW646" s="129">
        <f>IF(AV646="","",AV646&amp;"."&amp;COUNTIFS($A$3:A646,A646,$AV$3:AV646,AV646))</f>
        <v/>
      </c>
      <c r="AX646" s="129">
        <f t="shared" si="449"/>
        <v/>
      </c>
      <c r="AY646" s="129">
        <f>IF(N646="б/к",0,IF(OR(ISNUMBER(SEARCH("L=",Разбивка_по_щитам!P646)),N646="+",N646="="),1,0))</f>
      </c>
      <c r="AZ646" s="129">
        <f t="shared" si="450"/>
        <v/>
      </c>
      <c r="BA646" s="129">
        <f t="shared" si="451"/>
      </c>
      <c r="BB646" s="129">
        <f t="shared" si="452"/>
      </c>
      <c r="BD646" s="129">
        <f t="shared" si="453"/>
      </c>
      <c r="BE646" s="129">
        <f t="shared" si="454"/>
      </c>
      <c r="BF646" s="129">
        <f t="shared" si="455"/>
      </c>
      <c r="BG646" s="129">
        <f t="shared" si="456"/>
        <v/>
      </c>
      <c r="BH646" s="129">
        <f t="shared" si="457"/>
        <v/>
      </c>
      <c r="BI646" s="129">
        <f t="shared" si="458"/>
        <v/>
      </c>
      <c r="BJ646" s="129">
        <f t="shared" si="459"/>
        <v/>
      </c>
      <c r="BK646" s="129">
        <f>IF(R646="","",IF(OR(BY646="",BY646=0),"BOX",IFERROR(IF(VLOOKUP(BY646,УГО_блоки,3,FALSE)&amp;""&lt;&gt;"",VLOOKUP(BY646,УГО_блоки,3,FALSE),VLOOKUP(BY646,УГО_блоки,2,FALSE)),BY646)))</f>
      </c>
      <c r="BL646" s="129">
        <f t="shared" si="461"/>
      </c>
      <c r="BM646" s="129">
        <f>IF(H646="","",IF(COUNTIF($H$3:H646,H646)=1,MAX($BM$2:BM645)+1,""))</f>
      </c>
      <c r="BN646" s="129">
        <f>IF(I646="","",IF(COUNTIF($I$3:I646,I646)+COUNTIF($J$2:J645,I646)+COUNTIF($K$2:K645,I646)=1,MAX($BN$2:BP645)+1,""))</f>
      </c>
      <c r="BO646" s="129">
        <f>IF(J646="","",IF(COUNTIF($I$3:I646,J646)+COUNTIF($J$3:J646,J646)+COUNTIF($K$2:K645,J646)=1,MAX($BN$2:BP645,BN646)+1,""))</f>
      </c>
      <c r="BP646" s="129">
        <f>IF(K646="","",IF(COUNTIF($I$3:I646,K646)+COUNTIF($J$3:J646,K646)+COUNTIF($K$3:K646,K646)=1,MAX($BN$2:BP645,BN646,BO646)+1,""))</f>
      </c>
      <c r="BQ646" s="129">
        <f>IF(AY646=1,IFERROR(MID(Q646,FIND(" (",Q646)+2,FIND(")",Q646,FIND(" (",Q646))-FIND(" (",Q646)-2),"?"),"")</f>
      </c>
      <c r="BR646" s="129">
        <f>IF(BQ646="","",IF(COUNTIF($BQ$3:BQ646,BQ646)=1,MAX($BR$2:BR645)+1,""))</f>
      </c>
      <c r="BS646" s="129">
        <f>IF(AW646="","",COUNTIF($AW$3:AW646,"?*"))</f>
      </c>
      <c r="BT646" s="129">
        <f>IF(OR(AW646="",AI646=""),"",IF(COUNTIFS($AW$3:AW646,"?*",$AI$3:AI646,AI646)=1,MAX($BT$2:BT645)+1,""))</f>
      </c>
      <c r="BU646" s="129">
        <f>IF(AE646="",0,IF(OR(ISNUMBER(SEARCH("дубль",AE646)),ISNUMBER(SEARCH("ПЕРЕГРУЗ",AE646)),ISNUMBER(SEARCH("ЗАЩИЩ",AE646)),ISNUMBER(SEARCH("КАНАЛ",AE646)),ISNUMBER(SEARCH("без 30",AE646))),2,1))</f>
      </c>
      <c r="BV646" s="129">
        <f>IF(R646="","",COUNTIF($R$3:R646,"?*"))</f>
      </c>
      <c r="BW646" s="129">
        <f>IF(AY646&lt;&gt;1,0,IF(MAX(IFERROR(--VLOOKUP(R646,УГО_спр,5,FALSE),0),IFERROR(--VLOOKUP(AL646,УГО_спр,5,FALSE),0),IFERROR(--VLOOKUP(LEFT(AL646,2),УГО_спр,5,FALSE),0))&gt;0,MAX(IFERROR(--VLOOKUP(R646,УГО_спр,5,FALSE),0),IFERROR(--VLOOKUP(AL646,УГО_спр,5,FALSE),0),IFERROR(--VLOOKUP(LEFT(AL646,2),УГО_спр,5,FALSE),0)),IF(IFERROR(--LEFT(SUBSTITUTE(BQ646,"x","х"),FIND("х",SUBSTITUTE(BQ646,"x","х"))-1),3)&gt;3,Каталог!$S$9,1)))</f>
      </c>
      <c r="BX646" s="129">
        <f>IF(AY646&lt;&gt;1,0,MAX(0,IFERROR(--LEFT(SUBSTITUTE(BQ646,"x","х"),FIND("х",SUBSTITUTE(BQ646,"x","х"))-1),3)-3*BW646))</f>
      </c>
      <c r="BY646" s="129">
        <f>IF(R646="","",IFERROR(VLOOKUP(R646,УГО_спр,2,FALSE),IFERROR(VLOOKUP(AL646,УГО_спр,2,FALSE),IFERROR(VLOOKUP(LEFT(AL646,2),УГО_спр,2,FALSE),""))))</f>
      </c>
    </row>
    <row r="647" spans="1:64" x14ac:dyDescent="0.3">
      <c r="A647" s="135">
        <f>IF(Разбивка_по_щитам!F647=0,"",Разбивка_по_щитам!F647)</f>
        <v/>
      </c>
      <c r="B647" s="138">
        <f>IF(A647="","",Разбивка_по_щитам!C647)</f>
        <v/>
      </c>
      <c r="C647" s="138">
        <f t="shared" si="422"/>
        <v/>
      </c>
      <c r="D647" s="266"/>
      <c r="E647" s="266"/>
      <c r="F647" s="267"/>
      <c r="G647" s="145">
        <f t="shared" si="423"/>
        <v/>
      </c>
      <c r="H647" s="145">
        <f t="shared" si="424"/>
        <v/>
      </c>
      <c r="I647" s="266"/>
      <c r="J647" s="267"/>
      <c r="K647" s="267"/>
      <c r="L647" s="266"/>
      <c r="M647" s="147">
        <f t="shared" si="425"/>
        <v/>
      </c>
      <c r="N647" s="267"/>
      <c r="O647" s="147">
        <f t="shared" si="426"/>
        <v/>
      </c>
      <c r="P647" s="268">
        <f>IF(AY647=1,"XT"&amp;COUNTIFS($A$3:A647,A647,$AY$3:AY647,1),"")</f>
        <v/>
      </c>
      <c r="Q647" s="152">
        <f>IF(R647="","",IFERROR(SUBSTITUTE(Разбивка_по_щитам!P647,CHAR(10)," "),""))</f>
        <v/>
      </c>
      <c r="R647" s="153">
        <f>IF(OR(Разбивка_по_щитам!H647="",Разбивка_по_щитам!H647=0),"",Разбивка_по_щитам!H647)</f>
        <v/>
      </c>
      <c r="S647" s="154">
        <f>IF(R647="","",IFERROR(Разбивка_по_щитам!J647&amp;"",""))</f>
        <v/>
      </c>
      <c r="T647" s="155">
        <f>IF(R647="","",IFERROR(--Разбивка_по_щитам!L647,""))</f>
        <v/>
      </c>
      <c r="U647" s="155">
        <f>IF(R647="","",IFERROR(--Разбивка_по_щитам!K647,""))</f>
        <v/>
      </c>
      <c r="V647" s="138">
        <f>IF(R647="","",IFERROR(IF(Разбивка_по_щитам!M647=0,"",Разбивка_по_щитам!M647),""))</f>
        <v/>
      </c>
      <c r="W647" s="156">
        <f t="shared" si="427"/>
        <v/>
      </c>
      <c r="X647" s="157">
        <f t="shared" si="428"/>
        <v/>
      </c>
      <c r="Y647" s="266"/>
      <c r="Z647" s="158">
        <f t="shared" si="429"/>
        <v/>
      </c>
      <c r="AA647" s="160">
        <f t="shared" si="430"/>
        <v/>
      </c>
      <c r="AB647" s="160">
        <f>IF(R647="","",IFERROR(LOOKUP(INDEX(Справочная!$I$4:$I$19,MATCH(VLOOKUP(R647,Исходные_данные,22,FALSE),Справочная!$J$4:$J$19,0)+1),{6,10,16,20,25,32,40,50,63,80,100,125}),""))</f>
        <v/>
      </c>
      <c r="AC647" s="160">
        <f t="shared" si="431"/>
        <v/>
      </c>
      <c r="AD647" s="161">
        <f t="shared" si="432"/>
        <v/>
      </c>
      <c r="AE647" s="161">
        <f>IF(AND(R647="",G647=""),"",_xlfn.TEXTJOIN("; ",TRUE,IF(AND(R647&lt;&gt;"",V647=""),"нет фазы",""),IF(AND(R647&lt;&gt;"",N(T647)=0),"нет мощности",""),IF(AND(P647&lt;&gt;"",COUNTIFS($A$3:$A$1000,A647,$P$3:$P$1000,P647)&gt;1),"дубль клеммы "&amp;P647,""),IF(AND(W647&lt;&gt;"",W647&lt;&gt;"ok"),W647,""),IF(X647&lt;&gt;"",X647,""),IF(AND(ISNUMBER(SEARCH("(5х",Q647)),N(AK647)=1),"5 жил на 1 фазе",""),IF(AND(AL647="R",E647&lt;&gt;"",N(AS647)=0),"розетка без 30 мА",""),IF(IFERROR(_xlfn.NUMBERVALUE(MID(Q647,FIND("-",Q647,FIND("L=",Q647))+1,FIND("%",Q647)-FIND("-",Q647,FIND("L=",Q647))-1),","),0)&gt;4,"потери &gt; 4 %","")))</f>
      </c>
      <c r="AF647" s="129">
        <f>IF(E647&lt;&gt;"",COUNTIFS($A$3:A647,A647,$E$3:E647,"?*"),IF(OR(A647&lt;&gt;A646,Y647="вручную"),"",AF646))</f>
        <v/>
      </c>
      <c r="AG647" s="129">
        <f t="shared" si="433"/>
        <v/>
      </c>
      <c r="AH647" s="129">
        <f t="shared" si="434"/>
        <v/>
      </c>
      <c r="AI647" s="129">
        <f t="shared" si="435"/>
        <v/>
      </c>
      <c r="AJ647" s="129">
        <f t="shared" si="436"/>
        <v/>
      </c>
      <c r="AK647" s="129">
        <f t="shared" si="437"/>
        <v/>
      </c>
      <c r="AL647" s="129">
        <f t="shared" si="438"/>
        <v/>
      </c>
      <c r="AM647" s="129">
        <f t="shared" si="439"/>
      </c>
      <c r="AN647" s="129">
        <f t="shared" si="440"/>
      </c>
      <c r="AO647" s="129">
        <f t="shared" si="441"/>
        <v/>
      </c>
      <c r="AP647" s="129">
        <f t="shared" si="442"/>
        <v/>
      </c>
      <c r="AQ647" s="129">
        <f t="shared" si="443"/>
        <v/>
      </c>
      <c r="AR647" s="129">
        <f t="shared" si="444"/>
        <v/>
      </c>
      <c r="AS647" s="129">
        <f t="shared" si="445"/>
        <v/>
      </c>
      <c r="AT647" s="129">
        <f t="shared" si="446"/>
        <v/>
      </c>
      <c r="AU647" s="129">
        <f t="shared" si="447"/>
        <v/>
      </c>
      <c r="AV647" s="129">
        <f t="shared" si="448"/>
        <v/>
      </c>
      <c r="AW647" s="129">
        <f>IF(AV647="","",AV647&amp;"."&amp;COUNTIFS($A$3:A647,A647,$AV$3:AV647,AV647))</f>
        <v/>
      </c>
      <c r="AX647" s="129">
        <f t="shared" si="449"/>
        <v/>
      </c>
      <c r="AY647" s="129">
        <f>IF(N647="б/к",0,IF(OR(ISNUMBER(SEARCH("L=",Разбивка_по_щитам!P647)),N647="+",N647="="),1,0))</f>
      </c>
      <c r="AZ647" s="129">
        <f t="shared" si="450"/>
        <v/>
      </c>
      <c r="BA647" s="129">
        <f t="shared" si="451"/>
      </c>
      <c r="BB647" s="129">
        <f t="shared" si="452"/>
      </c>
      <c r="BD647" s="129">
        <f t="shared" si="453"/>
      </c>
      <c r="BE647" s="129">
        <f t="shared" si="454"/>
      </c>
      <c r="BF647" s="129">
        <f t="shared" si="455"/>
      </c>
      <c r="BG647" s="129">
        <f t="shared" si="456"/>
        <v/>
      </c>
      <c r="BH647" s="129">
        <f t="shared" si="457"/>
        <v/>
      </c>
      <c r="BI647" s="129">
        <f t="shared" si="458"/>
        <v/>
      </c>
      <c r="BJ647" s="129">
        <f t="shared" si="459"/>
        <v/>
      </c>
      <c r="BK647" s="129">
        <f>IF(R647="","",IF(OR(BY647="",BY647=0),"BOX",IFERROR(IF(VLOOKUP(BY647,УГО_блоки,3,FALSE)&amp;""&lt;&gt;"",VLOOKUP(BY647,УГО_блоки,3,FALSE),VLOOKUP(BY647,УГО_блоки,2,FALSE)),BY647)))</f>
      </c>
      <c r="BL647" s="129">
        <f t="shared" si="461"/>
      </c>
      <c r="BM647" s="129">
        <f>IF(H647="","",IF(COUNTIF($H$3:H647,H647)=1,MAX($BM$2:BM646)+1,""))</f>
      </c>
      <c r="BN647" s="129">
        <f>IF(I647="","",IF(COUNTIF($I$3:I647,I647)+COUNTIF($J$2:J646,I647)+COUNTIF($K$2:K646,I647)=1,MAX($BN$2:BP646)+1,""))</f>
      </c>
      <c r="BO647" s="129">
        <f>IF(J647="","",IF(COUNTIF($I$3:I647,J647)+COUNTIF($J$3:J647,J647)+COUNTIF($K$2:K646,J647)=1,MAX($BN$2:BP646,BN647)+1,""))</f>
      </c>
      <c r="BP647" s="129">
        <f>IF(K647="","",IF(COUNTIF($I$3:I647,K647)+COUNTIF($J$3:J647,K647)+COUNTIF($K$3:K647,K647)=1,MAX($BN$2:BP646,BN647,BO647)+1,""))</f>
      </c>
      <c r="BQ647" s="129">
        <f>IF(AY647=1,IFERROR(MID(Q647,FIND(" (",Q647)+2,FIND(")",Q647,FIND(" (",Q647))-FIND(" (",Q647)-2),"?"),"")</f>
      </c>
      <c r="BR647" s="129">
        <f>IF(BQ647="","",IF(COUNTIF($BQ$3:BQ647,BQ647)=1,MAX($BR$2:BR646)+1,""))</f>
      </c>
      <c r="BS647" s="129">
        <f>IF(AW647="","",COUNTIF($AW$3:AW647,"?*"))</f>
      </c>
      <c r="BT647" s="129">
        <f>IF(OR(AW647="",AI647=""),"",IF(COUNTIFS($AW$3:AW647,"?*",$AI$3:AI647,AI647)=1,MAX($BT$2:BT646)+1,""))</f>
      </c>
      <c r="BU647" s="129">
        <f>IF(AE647="",0,IF(OR(ISNUMBER(SEARCH("дубль",AE647)),ISNUMBER(SEARCH("ПЕРЕГРУЗ",AE647)),ISNUMBER(SEARCH("ЗАЩИЩ",AE647)),ISNUMBER(SEARCH("КАНАЛ",AE647)),ISNUMBER(SEARCH("без 30",AE647))),2,1))</f>
      </c>
      <c r="BV647" s="129">
        <f>IF(R647="","",COUNTIF($R$3:R647,"?*"))</f>
      </c>
      <c r="BW647" s="129">
        <f>IF(AY647&lt;&gt;1,0,IF(MAX(IFERROR(--VLOOKUP(R647,УГО_спр,5,FALSE),0),IFERROR(--VLOOKUP(AL647,УГО_спр,5,FALSE),0),IFERROR(--VLOOKUP(LEFT(AL647,2),УГО_спр,5,FALSE),0))&gt;0,MAX(IFERROR(--VLOOKUP(R647,УГО_спр,5,FALSE),0),IFERROR(--VLOOKUP(AL647,УГО_спр,5,FALSE),0),IFERROR(--VLOOKUP(LEFT(AL647,2),УГО_спр,5,FALSE),0)),IF(IFERROR(--LEFT(SUBSTITUTE(BQ647,"x","х"),FIND("х",SUBSTITUTE(BQ647,"x","х"))-1),3)&gt;3,Каталог!$S$9,1)))</f>
      </c>
      <c r="BX647" s="129">
        <f>IF(AY647&lt;&gt;1,0,MAX(0,IFERROR(--LEFT(SUBSTITUTE(BQ647,"x","х"),FIND("х",SUBSTITUTE(BQ647,"x","х"))-1),3)-3*BW647))</f>
      </c>
      <c r="BY647" s="129">
        <f>IF(R647="","",IFERROR(VLOOKUP(R647,УГО_спр,2,FALSE),IFERROR(VLOOKUP(AL647,УГО_спр,2,FALSE),IFERROR(VLOOKUP(LEFT(AL647,2),УГО_спр,2,FALSE),""))))</f>
      </c>
    </row>
    <row r="648" spans="1:64" x14ac:dyDescent="0.3">
      <c r="A648" s="135">
        <f>IF(Разбивка_по_щитам!F648=0,"",Разбивка_по_щитам!F648)</f>
        <v/>
      </c>
      <c r="B648" s="138">
        <f>IF(A648="","",Разбивка_по_щитам!C648)</f>
        <v/>
      </c>
      <c r="C648" s="138">
        <f t="shared" si="422"/>
        <v/>
      </c>
      <c r="D648" s="266"/>
      <c r="E648" s="266"/>
      <c r="F648" s="267"/>
      <c r="G648" s="145">
        <f t="shared" si="423"/>
        <v/>
      </c>
      <c r="H648" s="145">
        <f t="shared" si="424"/>
        <v/>
      </c>
      <c r="I648" s="266"/>
      <c r="J648" s="267"/>
      <c r="K648" s="267"/>
      <c r="L648" s="266"/>
      <c r="M648" s="147">
        <f t="shared" si="425"/>
        <v/>
      </c>
      <c r="N648" s="267"/>
      <c r="O648" s="147">
        <f t="shared" si="426"/>
        <v/>
      </c>
      <c r="P648" s="268">
        <f>IF(AY648=1,"XT"&amp;COUNTIFS($A$3:A648,A648,$AY$3:AY648,1),"")</f>
        <v/>
      </c>
      <c r="Q648" s="152">
        <f>IF(R648="","",IFERROR(SUBSTITUTE(Разбивка_по_щитам!P648,CHAR(10)," "),""))</f>
        <v/>
      </c>
      <c r="R648" s="153">
        <f>IF(OR(Разбивка_по_щитам!H648="",Разбивка_по_щитам!H648=0),"",Разбивка_по_щитам!H648)</f>
        <v/>
      </c>
      <c r="S648" s="154">
        <f>IF(R648="","",IFERROR(Разбивка_по_щитам!J648&amp;"",""))</f>
        <v/>
      </c>
      <c r="T648" s="155">
        <f>IF(R648="","",IFERROR(--Разбивка_по_щитам!L648,""))</f>
        <v/>
      </c>
      <c r="U648" s="155">
        <f>IF(R648="","",IFERROR(--Разбивка_по_щитам!K648,""))</f>
        <v/>
      </c>
      <c r="V648" s="138">
        <f>IF(R648="","",IFERROR(IF(Разбивка_по_щитам!M648=0,"",Разбивка_по_щитам!M648),""))</f>
        <v/>
      </c>
      <c r="W648" s="156">
        <f t="shared" si="427"/>
        <v/>
      </c>
      <c r="X648" s="157">
        <f t="shared" si="428"/>
        <v/>
      </c>
      <c r="Y648" s="266"/>
      <c r="Z648" s="158">
        <f t="shared" si="429"/>
        <v/>
      </c>
      <c r="AA648" s="160">
        <f t="shared" si="430"/>
        <v/>
      </c>
      <c r="AB648" s="160">
        <f>IF(R648="","",IFERROR(LOOKUP(INDEX(Справочная!$I$4:$I$19,MATCH(VLOOKUP(R648,Исходные_данные,22,FALSE),Справочная!$J$4:$J$19,0)+1),{6,10,16,20,25,32,40,50,63,80,100,125}),""))</f>
        <v/>
      </c>
      <c r="AC648" s="160">
        <f t="shared" si="431"/>
        <v/>
      </c>
      <c r="AD648" s="161">
        <f t="shared" si="432"/>
        <v/>
      </c>
      <c r="AE648" s="161">
        <f>IF(AND(R648="",G648=""),"",_xlfn.TEXTJOIN("; ",TRUE,IF(AND(R648&lt;&gt;"",V648=""),"нет фазы",""),IF(AND(R648&lt;&gt;"",N(T648)=0),"нет мощности",""),IF(AND(P648&lt;&gt;"",COUNTIFS($A$3:$A$1000,A648,$P$3:$P$1000,P648)&gt;1),"дубль клеммы "&amp;P648,""),IF(AND(W648&lt;&gt;"",W648&lt;&gt;"ok"),W648,""),IF(X648&lt;&gt;"",X648,""),IF(AND(ISNUMBER(SEARCH("(5х",Q648)),N(AK648)=1),"5 жил на 1 фазе",""),IF(AND(AL648="R",E648&lt;&gt;"",N(AS648)=0),"розетка без 30 мА",""),IF(IFERROR(_xlfn.NUMBERVALUE(MID(Q648,FIND("-",Q648,FIND("L=",Q648))+1,FIND("%",Q648)-FIND("-",Q648,FIND("L=",Q648))-1),","),0)&gt;4,"потери &gt; 4 %","")))</f>
      </c>
      <c r="AF648" s="129">
        <f>IF(E648&lt;&gt;"",COUNTIFS($A$3:A648,A648,$E$3:E648,"?*"),IF(OR(A648&lt;&gt;A647,Y648="вручную"),"",AF647))</f>
        <v/>
      </c>
      <c r="AG648" s="129">
        <f t="shared" si="433"/>
        <v/>
      </c>
      <c r="AH648" s="129">
        <f t="shared" si="434"/>
        <v/>
      </c>
      <c r="AI648" s="129">
        <f t="shared" si="435"/>
        <v/>
      </c>
      <c r="AJ648" s="129">
        <f t="shared" si="436"/>
        <v/>
      </c>
      <c r="AK648" s="129">
        <f t="shared" si="437"/>
        <v/>
      </c>
      <c r="AL648" s="129">
        <f t="shared" si="438"/>
        <v/>
      </c>
      <c r="AM648" s="129">
        <f t="shared" si="439"/>
      </c>
      <c r="AN648" s="129">
        <f t="shared" si="440"/>
      </c>
      <c r="AO648" s="129">
        <f t="shared" si="441"/>
        <v/>
      </c>
      <c r="AP648" s="129">
        <f t="shared" si="442"/>
        <v/>
      </c>
      <c r="AQ648" s="129">
        <f t="shared" si="443"/>
        <v/>
      </c>
      <c r="AR648" s="129">
        <f t="shared" si="444"/>
        <v/>
      </c>
      <c r="AS648" s="129">
        <f t="shared" si="445"/>
        <v/>
      </c>
      <c r="AT648" s="129">
        <f t="shared" si="446"/>
        <v/>
      </c>
      <c r="AU648" s="129">
        <f t="shared" si="447"/>
        <v/>
      </c>
      <c r="AV648" s="129">
        <f t="shared" si="448"/>
        <v/>
      </c>
      <c r="AW648" s="129">
        <f>IF(AV648="","",AV648&amp;"."&amp;COUNTIFS($A$3:A648,A648,$AV$3:AV648,AV648))</f>
        <v/>
      </c>
      <c r="AX648" s="129">
        <f t="shared" si="449"/>
        <v/>
      </c>
      <c r="AY648" s="129">
        <f>IF(N648="б/к",0,IF(OR(ISNUMBER(SEARCH("L=",Разбивка_по_щитам!P648)),N648="+",N648="="),1,0))</f>
      </c>
      <c r="AZ648" s="129">
        <f t="shared" si="450"/>
        <v/>
      </c>
      <c r="BA648" s="129">
        <f t="shared" si="451"/>
      </c>
      <c r="BB648" s="129">
        <f t="shared" si="452"/>
      </c>
      <c r="BD648" s="129">
        <f t="shared" si="453"/>
      </c>
      <c r="BE648" s="129">
        <f t="shared" si="454"/>
      </c>
      <c r="BF648" s="129">
        <f t="shared" si="455"/>
      </c>
      <c r="BG648" s="129">
        <f t="shared" si="456"/>
        <v/>
      </c>
      <c r="BH648" s="129">
        <f t="shared" si="457"/>
        <v/>
      </c>
      <c r="BI648" s="129">
        <f t="shared" si="458"/>
        <v/>
      </c>
      <c r="BJ648" s="129">
        <f t="shared" si="459"/>
        <v/>
      </c>
      <c r="BK648" s="129">
        <f>IF(R648="","",IF(OR(BY648="",BY648=0),"BOX",IFERROR(IF(VLOOKUP(BY648,УГО_блоки,3,FALSE)&amp;""&lt;&gt;"",VLOOKUP(BY648,УГО_блоки,3,FALSE),VLOOKUP(BY648,УГО_блоки,2,FALSE)),BY648)))</f>
      </c>
      <c r="BL648" s="129">
        <f t="shared" si="461"/>
      </c>
      <c r="BM648" s="129">
        <f>IF(H648="","",IF(COUNTIF($H$3:H648,H648)=1,MAX($BM$2:BM647)+1,""))</f>
      </c>
      <c r="BN648" s="129">
        <f>IF(I648="","",IF(COUNTIF($I$3:I648,I648)+COUNTIF($J$2:J647,I648)+COUNTIF($K$2:K647,I648)=1,MAX($BN$2:BP647)+1,""))</f>
      </c>
      <c r="BO648" s="129">
        <f>IF(J648="","",IF(COUNTIF($I$3:I648,J648)+COUNTIF($J$3:J648,J648)+COUNTIF($K$2:K647,J648)=1,MAX($BN$2:BP647,BN648)+1,""))</f>
      </c>
      <c r="BP648" s="129">
        <f>IF(K648="","",IF(COUNTIF($I$3:I648,K648)+COUNTIF($J$3:J648,K648)+COUNTIF($K$3:K648,K648)=1,MAX($BN$2:BP647,BN648,BO648)+1,""))</f>
      </c>
      <c r="BQ648" s="129">
        <f>IF(AY648=1,IFERROR(MID(Q648,FIND(" (",Q648)+2,FIND(")",Q648,FIND(" (",Q648))-FIND(" (",Q648)-2),"?"),"")</f>
      </c>
      <c r="BR648" s="129">
        <f>IF(BQ648="","",IF(COUNTIF($BQ$3:BQ648,BQ648)=1,MAX($BR$2:BR647)+1,""))</f>
      </c>
      <c r="BS648" s="129">
        <f>IF(AW648="","",COUNTIF($AW$3:AW648,"?*"))</f>
      </c>
      <c r="BT648" s="129">
        <f>IF(OR(AW648="",AI648=""),"",IF(COUNTIFS($AW$3:AW648,"?*",$AI$3:AI648,AI648)=1,MAX($BT$2:BT647)+1,""))</f>
      </c>
      <c r="BU648" s="129">
        <f>IF(AE648="",0,IF(OR(ISNUMBER(SEARCH("дубль",AE648)),ISNUMBER(SEARCH("ПЕРЕГРУЗ",AE648)),ISNUMBER(SEARCH("ЗАЩИЩ",AE648)),ISNUMBER(SEARCH("КАНАЛ",AE648)),ISNUMBER(SEARCH("без 30",AE648))),2,1))</f>
      </c>
      <c r="BV648" s="129">
        <f>IF(R648="","",COUNTIF($R$3:R648,"?*"))</f>
      </c>
      <c r="BW648" s="129">
        <f>IF(AY648&lt;&gt;1,0,IF(MAX(IFERROR(--VLOOKUP(R648,УГО_спр,5,FALSE),0),IFERROR(--VLOOKUP(AL648,УГО_спр,5,FALSE),0),IFERROR(--VLOOKUP(LEFT(AL648,2),УГО_спр,5,FALSE),0))&gt;0,MAX(IFERROR(--VLOOKUP(R648,УГО_спр,5,FALSE),0),IFERROR(--VLOOKUP(AL648,УГО_спр,5,FALSE),0),IFERROR(--VLOOKUP(LEFT(AL648,2),УГО_спр,5,FALSE),0)),IF(IFERROR(--LEFT(SUBSTITUTE(BQ648,"x","х"),FIND("х",SUBSTITUTE(BQ648,"x","х"))-1),3)&gt;3,Каталог!$S$9,1)))</f>
      </c>
      <c r="BX648" s="129">
        <f>IF(AY648&lt;&gt;1,0,MAX(0,IFERROR(--LEFT(SUBSTITUTE(BQ648,"x","х"),FIND("х",SUBSTITUTE(BQ648,"x","х"))-1),3)-3*BW648))</f>
      </c>
      <c r="BY648" s="129">
        <f>IF(R648="","",IFERROR(VLOOKUP(R648,УГО_спр,2,FALSE),IFERROR(VLOOKUP(AL648,УГО_спр,2,FALSE),IFERROR(VLOOKUP(LEFT(AL648,2),УГО_спр,2,FALSE),""))))</f>
      </c>
    </row>
    <row r="649" spans="1:64" x14ac:dyDescent="0.3">
      <c r="A649" s="135">
        <f>IF(Разбивка_по_щитам!F649=0,"",Разбивка_по_щитам!F649)</f>
        <v/>
      </c>
      <c r="B649" s="138">
        <f>IF(A649="","",Разбивка_по_щитам!C649)</f>
        <v/>
      </c>
      <c r="C649" s="138">
        <f t="shared" si="422"/>
        <v/>
      </c>
      <c r="D649" s="266"/>
      <c r="E649" s="266"/>
      <c r="F649" s="267"/>
      <c r="G649" s="145">
        <f t="shared" si="423"/>
        <v/>
      </c>
      <c r="H649" s="145">
        <f t="shared" si="424"/>
        <v/>
      </c>
      <c r="I649" s="266"/>
      <c r="J649" s="267"/>
      <c r="K649" s="267"/>
      <c r="L649" s="266"/>
      <c r="M649" s="147">
        <f t="shared" si="425"/>
        <v/>
      </c>
      <c r="N649" s="267"/>
      <c r="O649" s="147">
        <f t="shared" si="426"/>
        <v/>
      </c>
      <c r="P649" s="268">
        <f>IF(AY649=1,"XT"&amp;COUNTIFS($A$3:A649,A649,$AY$3:AY649,1),"")</f>
        <v/>
      </c>
      <c r="Q649" s="152">
        <f>IF(R649="","",IFERROR(SUBSTITUTE(Разбивка_по_щитам!P649,CHAR(10)," "),""))</f>
        <v/>
      </c>
      <c r="R649" s="153">
        <f>IF(OR(Разбивка_по_щитам!H649="",Разбивка_по_щитам!H649=0),"",Разбивка_по_щитам!H649)</f>
        <v/>
      </c>
      <c r="S649" s="154">
        <f>IF(R649="","",IFERROR(Разбивка_по_щитам!J649&amp;"",""))</f>
        <v/>
      </c>
      <c r="T649" s="155">
        <f>IF(R649="","",IFERROR(--Разбивка_по_щитам!L649,""))</f>
        <v/>
      </c>
      <c r="U649" s="155">
        <f>IF(R649="","",IFERROR(--Разбивка_по_щитам!K649,""))</f>
        <v/>
      </c>
      <c r="V649" s="138">
        <f>IF(R649="","",IFERROR(IF(Разбивка_по_щитам!M649=0,"",Разбивка_по_щитам!M649),""))</f>
        <v/>
      </c>
      <c r="W649" s="156">
        <f t="shared" si="427"/>
        <v/>
      </c>
      <c r="X649" s="157">
        <f t="shared" si="428"/>
        <v/>
      </c>
      <c r="Y649" s="266"/>
      <c r="Z649" s="158">
        <f t="shared" si="429"/>
        <v/>
      </c>
      <c r="AA649" s="160">
        <f t="shared" si="430"/>
        <v/>
      </c>
      <c r="AB649" s="160">
        <f>IF(R649="","",IFERROR(LOOKUP(INDEX(Справочная!$I$4:$I$19,MATCH(VLOOKUP(R649,Исходные_данные,22,FALSE),Справочная!$J$4:$J$19,0)+1),{6,10,16,20,25,32,40,50,63,80,100,125}),""))</f>
        <v/>
      </c>
      <c r="AC649" s="160">
        <f t="shared" si="431"/>
        <v/>
      </c>
      <c r="AD649" s="161">
        <f t="shared" si="432"/>
        <v/>
      </c>
      <c r="AE649" s="161">
        <f>IF(AND(R649="",G649=""),"",_xlfn.TEXTJOIN("; ",TRUE,IF(AND(R649&lt;&gt;"",V649=""),"нет фазы",""),IF(AND(R649&lt;&gt;"",N(T649)=0),"нет мощности",""),IF(AND(P649&lt;&gt;"",COUNTIFS($A$3:$A$1000,A649,$P$3:$P$1000,P649)&gt;1),"дубль клеммы "&amp;P649,""),IF(AND(W649&lt;&gt;"",W649&lt;&gt;"ok"),W649,""),IF(X649&lt;&gt;"",X649,""),IF(AND(ISNUMBER(SEARCH("(5х",Q649)),N(AK649)=1),"5 жил на 1 фазе",""),IF(AND(AL649="R",E649&lt;&gt;"",N(AS649)=0),"розетка без 30 мА",""),IF(IFERROR(_xlfn.NUMBERVALUE(MID(Q649,FIND("-",Q649,FIND("L=",Q649))+1,FIND("%",Q649)-FIND("-",Q649,FIND("L=",Q649))-1),","),0)&gt;4,"потери &gt; 4 %","")))</f>
      </c>
      <c r="AF649" s="129">
        <f>IF(E649&lt;&gt;"",COUNTIFS($A$3:A649,A649,$E$3:E649,"?*"),IF(OR(A649&lt;&gt;A648,Y649="вручную"),"",AF648))</f>
        <v/>
      </c>
      <c r="AG649" s="129">
        <f t="shared" si="433"/>
        <v/>
      </c>
      <c r="AH649" s="129">
        <f t="shared" si="434"/>
        <v/>
      </c>
      <c r="AI649" s="129">
        <f t="shared" si="435"/>
        <v/>
      </c>
      <c r="AJ649" s="129">
        <f t="shared" si="436"/>
        <v/>
      </c>
      <c r="AK649" s="129">
        <f t="shared" si="437"/>
        <v/>
      </c>
      <c r="AL649" s="129">
        <f t="shared" si="438"/>
        <v/>
      </c>
      <c r="AM649" s="129">
        <f t="shared" si="439"/>
      </c>
      <c r="AN649" s="129">
        <f t="shared" si="440"/>
      </c>
      <c r="AO649" s="129">
        <f t="shared" si="441"/>
        <v/>
      </c>
      <c r="AP649" s="129">
        <f t="shared" si="442"/>
        <v/>
      </c>
      <c r="AQ649" s="129">
        <f t="shared" si="443"/>
        <v/>
      </c>
      <c r="AR649" s="129">
        <f t="shared" si="444"/>
        <v/>
      </c>
      <c r="AS649" s="129">
        <f t="shared" si="445"/>
        <v/>
      </c>
      <c r="AT649" s="129">
        <f t="shared" si="446"/>
        <v/>
      </c>
      <c r="AU649" s="129">
        <f t="shared" si="447"/>
        <v/>
      </c>
      <c r="AV649" s="129">
        <f t="shared" si="448"/>
        <v/>
      </c>
      <c r="AW649" s="129">
        <f>IF(AV649="","",AV649&amp;"."&amp;COUNTIFS($A$3:A649,A649,$AV$3:AV649,AV649))</f>
        <v/>
      </c>
      <c r="AX649" s="129">
        <f t="shared" si="449"/>
        <v/>
      </c>
      <c r="AY649" s="129">
        <f>IF(N649="б/к",0,IF(OR(ISNUMBER(SEARCH("L=",Разбивка_по_щитам!P649)),N649="+",N649="="),1,0))</f>
      </c>
      <c r="AZ649" s="129">
        <f t="shared" si="450"/>
        <v/>
      </c>
      <c r="BA649" s="129">
        <f t="shared" si="451"/>
      </c>
      <c r="BB649" s="129">
        <f t="shared" si="452"/>
      </c>
      <c r="BD649" s="129">
        <f t="shared" si="453"/>
      </c>
      <c r="BE649" s="129">
        <f t="shared" si="454"/>
      </c>
      <c r="BF649" s="129">
        <f t="shared" si="455"/>
      </c>
      <c r="BG649" s="129">
        <f t="shared" si="456"/>
        <v/>
      </c>
      <c r="BH649" s="129">
        <f t="shared" si="457"/>
        <v/>
      </c>
      <c r="BI649" s="129">
        <f t="shared" si="458"/>
        <v/>
      </c>
      <c r="BJ649" s="129">
        <f t="shared" si="459"/>
        <v/>
      </c>
      <c r="BK649" s="129">
        <f>IF(R649="","",IF(OR(BY649="",BY649=0),"BOX",IFERROR(IF(VLOOKUP(BY649,УГО_блоки,3,FALSE)&amp;""&lt;&gt;"",VLOOKUP(BY649,УГО_блоки,3,FALSE),VLOOKUP(BY649,УГО_блоки,2,FALSE)),BY649)))</f>
      </c>
      <c r="BL649" s="129">
        <f t="shared" si="461"/>
      </c>
      <c r="BM649" s="129">
        <f>IF(H649="","",IF(COUNTIF($H$3:H649,H649)=1,MAX($BM$2:BM648)+1,""))</f>
      </c>
      <c r="BN649" s="129">
        <f>IF(I649="","",IF(COUNTIF($I$3:I649,I649)+COUNTIF($J$2:J648,I649)+COUNTIF($K$2:K648,I649)=1,MAX($BN$2:BP648)+1,""))</f>
      </c>
      <c r="BO649" s="129">
        <f>IF(J649="","",IF(COUNTIF($I$3:I649,J649)+COUNTIF($J$3:J649,J649)+COUNTIF($K$2:K648,J649)=1,MAX($BN$2:BP648,BN649)+1,""))</f>
      </c>
      <c r="BP649" s="129">
        <f>IF(K649="","",IF(COUNTIF($I$3:I649,K649)+COUNTIF($J$3:J649,K649)+COUNTIF($K$3:K649,K649)=1,MAX($BN$2:BP648,BN649,BO649)+1,""))</f>
      </c>
      <c r="BQ649" s="129">
        <f>IF(AY649=1,IFERROR(MID(Q649,FIND(" (",Q649)+2,FIND(")",Q649,FIND(" (",Q649))-FIND(" (",Q649)-2),"?"),"")</f>
      </c>
      <c r="BR649" s="129">
        <f>IF(BQ649="","",IF(COUNTIF($BQ$3:BQ649,BQ649)=1,MAX($BR$2:BR648)+1,""))</f>
      </c>
      <c r="BS649" s="129">
        <f>IF(AW649="","",COUNTIF($AW$3:AW649,"?*"))</f>
      </c>
      <c r="BT649" s="129">
        <f>IF(OR(AW649="",AI649=""),"",IF(COUNTIFS($AW$3:AW649,"?*",$AI$3:AI649,AI649)=1,MAX($BT$2:BT648)+1,""))</f>
      </c>
      <c r="BU649" s="129">
        <f>IF(AE649="",0,IF(OR(ISNUMBER(SEARCH("дубль",AE649)),ISNUMBER(SEARCH("ПЕРЕГРУЗ",AE649)),ISNUMBER(SEARCH("ЗАЩИЩ",AE649)),ISNUMBER(SEARCH("КАНАЛ",AE649)),ISNUMBER(SEARCH("без 30",AE649))),2,1))</f>
      </c>
      <c r="BV649" s="129">
        <f>IF(R649="","",COUNTIF($R$3:R649,"?*"))</f>
      </c>
      <c r="BW649" s="129">
        <f>IF(AY649&lt;&gt;1,0,IF(MAX(IFERROR(--VLOOKUP(R649,УГО_спр,5,FALSE),0),IFERROR(--VLOOKUP(AL649,УГО_спр,5,FALSE),0),IFERROR(--VLOOKUP(LEFT(AL649,2),УГО_спр,5,FALSE),0))&gt;0,MAX(IFERROR(--VLOOKUP(R649,УГО_спр,5,FALSE),0),IFERROR(--VLOOKUP(AL649,УГО_спр,5,FALSE),0),IFERROR(--VLOOKUP(LEFT(AL649,2),УГО_спр,5,FALSE),0)),IF(IFERROR(--LEFT(SUBSTITUTE(BQ649,"x","х"),FIND("х",SUBSTITUTE(BQ649,"x","х"))-1),3)&gt;3,Каталог!$S$9,1)))</f>
      </c>
      <c r="BX649" s="129">
        <f>IF(AY649&lt;&gt;1,0,MAX(0,IFERROR(--LEFT(SUBSTITUTE(BQ649,"x","х"),FIND("х",SUBSTITUTE(BQ649,"x","х"))-1),3)-3*BW649))</f>
      </c>
      <c r="BY649" s="129">
        <f>IF(R649="","",IFERROR(VLOOKUP(R649,УГО_спр,2,FALSE),IFERROR(VLOOKUP(AL649,УГО_спр,2,FALSE),IFERROR(VLOOKUP(LEFT(AL649,2),УГО_спр,2,FALSE),""))))</f>
      </c>
    </row>
    <row r="650" spans="1:64" x14ac:dyDescent="0.3">
      <c r="A650" s="135">
        <f>IF(Разбивка_по_щитам!F650=0,"",Разбивка_по_щитам!F650)</f>
        <v/>
      </c>
      <c r="B650" s="138">
        <f>IF(A650="","",Разбивка_по_щитам!C650)</f>
        <v/>
      </c>
      <c r="C650" s="138">
        <f t="shared" si="422"/>
        <v/>
      </c>
      <c r="D650" s="266"/>
      <c r="E650" s="266"/>
      <c r="F650" s="267"/>
      <c r="G650" s="145">
        <f t="shared" si="423"/>
        <v/>
      </c>
      <c r="H650" s="145">
        <f t="shared" si="424"/>
        <v/>
      </c>
      <c r="I650" s="266"/>
      <c r="J650" s="267"/>
      <c r="K650" s="267"/>
      <c r="L650" s="266"/>
      <c r="M650" s="147">
        <f t="shared" si="425"/>
        <v/>
      </c>
      <c r="N650" s="267"/>
      <c r="O650" s="147">
        <f t="shared" si="426"/>
        <v/>
      </c>
      <c r="P650" s="268">
        <f>IF(AY650=1,"XT"&amp;COUNTIFS($A$3:A650,A650,$AY$3:AY650,1),"")</f>
        <v/>
      </c>
      <c r="Q650" s="152">
        <f>IF(R650="","",IFERROR(SUBSTITUTE(Разбивка_по_щитам!P650,CHAR(10)," "),""))</f>
        <v/>
      </c>
      <c r="R650" s="153">
        <f>IF(OR(Разбивка_по_щитам!H650="",Разбивка_по_щитам!H650=0),"",Разбивка_по_щитам!H650)</f>
        <v/>
      </c>
      <c r="S650" s="154">
        <f>IF(R650="","",IFERROR(Разбивка_по_щитам!J650&amp;"",""))</f>
        <v/>
      </c>
      <c r="T650" s="155">
        <f>IF(R650="","",IFERROR(--Разбивка_по_щитам!L650,""))</f>
        <v/>
      </c>
      <c r="U650" s="155">
        <f>IF(R650="","",IFERROR(--Разбивка_по_щитам!K650,""))</f>
        <v/>
      </c>
      <c r="V650" s="138">
        <f>IF(R650="","",IFERROR(IF(Разбивка_по_щитам!M650=0,"",Разбивка_по_щитам!M650),""))</f>
        <v/>
      </c>
      <c r="W650" s="156">
        <f t="shared" si="427"/>
        <v/>
      </c>
      <c r="X650" s="157">
        <f t="shared" si="428"/>
        <v/>
      </c>
      <c r="Y650" s="266"/>
      <c r="Z650" s="158">
        <f t="shared" si="429"/>
        <v/>
      </c>
      <c r="AA650" s="160">
        <f t="shared" si="430"/>
        <v/>
      </c>
      <c r="AB650" s="160">
        <f>IF(R650="","",IFERROR(LOOKUP(INDEX(Справочная!$I$4:$I$19,MATCH(VLOOKUP(R650,Исходные_данные,22,FALSE),Справочная!$J$4:$J$19,0)+1),{6,10,16,20,25,32,40,50,63,80,100,125}),""))</f>
        <v/>
      </c>
      <c r="AC650" s="160">
        <f t="shared" si="431"/>
        <v/>
      </c>
      <c r="AD650" s="161">
        <f t="shared" si="432"/>
        <v/>
      </c>
      <c r="AE650" s="161">
        <f>IF(AND(R650="",G650=""),"",_xlfn.TEXTJOIN("; ",TRUE,IF(AND(R650&lt;&gt;"",V650=""),"нет фазы",""),IF(AND(R650&lt;&gt;"",N(T650)=0),"нет мощности",""),IF(AND(P650&lt;&gt;"",COUNTIFS($A$3:$A$1000,A650,$P$3:$P$1000,P650)&gt;1),"дубль клеммы "&amp;P650,""),IF(AND(W650&lt;&gt;"",W650&lt;&gt;"ok"),W650,""),IF(X650&lt;&gt;"",X650,""),IF(AND(ISNUMBER(SEARCH("(5х",Q650)),N(AK650)=1),"5 жил на 1 фазе",""),IF(AND(AL650="R",E650&lt;&gt;"",N(AS650)=0),"розетка без 30 мА",""),IF(IFERROR(_xlfn.NUMBERVALUE(MID(Q650,FIND("-",Q650,FIND("L=",Q650))+1,FIND("%",Q650)-FIND("-",Q650,FIND("L=",Q650))-1),","),0)&gt;4,"потери &gt; 4 %","")))</f>
      </c>
      <c r="AF650" s="129">
        <f>IF(E650&lt;&gt;"",COUNTIFS($A$3:A650,A650,$E$3:E650,"?*"),IF(OR(A650&lt;&gt;A649,Y650="вручную"),"",AF649))</f>
        <v/>
      </c>
      <c r="AG650" s="129">
        <f t="shared" si="433"/>
        <v/>
      </c>
      <c r="AH650" s="129">
        <f t="shared" si="434"/>
        <v/>
      </c>
      <c r="AI650" s="129">
        <f t="shared" si="435"/>
        <v/>
      </c>
      <c r="AJ650" s="129">
        <f t="shared" si="436"/>
        <v/>
      </c>
      <c r="AK650" s="129">
        <f t="shared" si="437"/>
        <v/>
      </c>
      <c r="AL650" s="129">
        <f t="shared" si="438"/>
        <v/>
      </c>
      <c r="AM650" s="129">
        <f t="shared" si="439"/>
      </c>
      <c r="AN650" s="129">
        <f t="shared" si="440"/>
      </c>
      <c r="AO650" s="129">
        <f t="shared" si="441"/>
        <v/>
      </c>
      <c r="AP650" s="129">
        <f t="shared" si="442"/>
        <v/>
      </c>
      <c r="AQ650" s="129">
        <f t="shared" si="443"/>
        <v/>
      </c>
      <c r="AR650" s="129">
        <f t="shared" si="444"/>
        <v/>
      </c>
      <c r="AS650" s="129">
        <f t="shared" si="445"/>
        <v/>
      </c>
      <c r="AT650" s="129">
        <f t="shared" si="446"/>
        <v/>
      </c>
      <c r="AU650" s="129">
        <f t="shared" si="447"/>
        <v/>
      </c>
      <c r="AV650" s="129">
        <f t="shared" si="448"/>
        <v/>
      </c>
      <c r="AW650" s="129">
        <f>IF(AV650="","",AV650&amp;"."&amp;COUNTIFS($A$3:A650,A650,$AV$3:AV650,AV650))</f>
        <v/>
      </c>
      <c r="AX650" s="129">
        <f t="shared" si="449"/>
        <v/>
      </c>
      <c r="AY650" s="129">
        <f>IF(N650="б/к",0,IF(OR(ISNUMBER(SEARCH("L=",Разбивка_по_щитам!P650)),N650="+",N650="="),1,0))</f>
      </c>
      <c r="AZ650" s="129">
        <f t="shared" si="450"/>
        <v/>
      </c>
      <c r="BA650" s="129">
        <f t="shared" si="451"/>
      </c>
      <c r="BB650" s="129">
        <f t="shared" si="452"/>
      </c>
      <c r="BD650" s="129">
        <f t="shared" si="453"/>
      </c>
      <c r="BE650" s="129">
        <f t="shared" si="454"/>
      </c>
      <c r="BF650" s="129">
        <f t="shared" si="455"/>
      </c>
      <c r="BG650" s="129">
        <f t="shared" si="456"/>
        <v/>
      </c>
      <c r="BH650" s="129">
        <f t="shared" si="457"/>
        <v/>
      </c>
      <c r="BI650" s="129">
        <f t="shared" si="458"/>
        <v/>
      </c>
      <c r="BJ650" s="129">
        <f t="shared" si="459"/>
        <v/>
      </c>
      <c r="BK650" s="129">
        <f>IF(R650="","",IF(OR(BY650="",BY650=0),"BOX",IFERROR(IF(VLOOKUP(BY650,УГО_блоки,3,FALSE)&amp;""&lt;&gt;"",VLOOKUP(BY650,УГО_блоки,3,FALSE),VLOOKUP(BY650,УГО_блоки,2,FALSE)),BY650)))</f>
      </c>
      <c r="BL650" s="129">
        <f t="shared" si="461"/>
      </c>
      <c r="BM650" s="129">
        <f>IF(H650="","",IF(COUNTIF($H$3:H650,H650)=1,MAX($BM$2:BM649)+1,""))</f>
      </c>
      <c r="BN650" s="129">
        <f>IF(I650="","",IF(COUNTIF($I$3:I650,I650)+COUNTIF($J$2:J649,I650)+COUNTIF($K$2:K649,I650)=1,MAX($BN$2:BP649)+1,""))</f>
      </c>
      <c r="BO650" s="129">
        <f>IF(J650="","",IF(COUNTIF($I$3:I650,J650)+COUNTIF($J$3:J650,J650)+COUNTIF($K$2:K649,J650)=1,MAX($BN$2:BP649,BN650)+1,""))</f>
      </c>
      <c r="BP650" s="129">
        <f>IF(K650="","",IF(COUNTIF($I$3:I650,K650)+COUNTIF($J$3:J650,K650)+COUNTIF($K$3:K650,K650)=1,MAX($BN$2:BP649,BN650,BO650)+1,""))</f>
      </c>
      <c r="BQ650" s="129">
        <f>IF(AY650=1,IFERROR(MID(Q650,FIND(" (",Q650)+2,FIND(")",Q650,FIND(" (",Q650))-FIND(" (",Q650)-2),"?"),"")</f>
      </c>
      <c r="BR650" s="129">
        <f>IF(BQ650="","",IF(COUNTIF($BQ$3:BQ650,BQ650)=1,MAX($BR$2:BR649)+1,""))</f>
      </c>
      <c r="BS650" s="129">
        <f>IF(AW650="","",COUNTIF($AW$3:AW650,"?*"))</f>
      </c>
      <c r="BT650" s="129">
        <f>IF(OR(AW650="",AI650=""),"",IF(COUNTIFS($AW$3:AW650,"?*",$AI$3:AI650,AI650)=1,MAX($BT$2:BT649)+1,""))</f>
      </c>
      <c r="BU650" s="129">
        <f>IF(AE650="",0,IF(OR(ISNUMBER(SEARCH("дубль",AE650)),ISNUMBER(SEARCH("ПЕРЕГРУЗ",AE650)),ISNUMBER(SEARCH("ЗАЩИЩ",AE650)),ISNUMBER(SEARCH("КАНАЛ",AE650)),ISNUMBER(SEARCH("без 30",AE650))),2,1))</f>
      </c>
      <c r="BV650" s="129">
        <f>IF(R650="","",COUNTIF($R$3:R650,"?*"))</f>
      </c>
      <c r="BW650" s="129">
        <f>IF(AY650&lt;&gt;1,0,IF(MAX(IFERROR(--VLOOKUP(R650,УГО_спр,5,FALSE),0),IFERROR(--VLOOKUP(AL650,УГО_спр,5,FALSE),0),IFERROR(--VLOOKUP(LEFT(AL650,2),УГО_спр,5,FALSE),0))&gt;0,MAX(IFERROR(--VLOOKUP(R650,УГО_спр,5,FALSE),0),IFERROR(--VLOOKUP(AL650,УГО_спр,5,FALSE),0),IFERROR(--VLOOKUP(LEFT(AL650,2),УГО_спр,5,FALSE),0)),IF(IFERROR(--LEFT(SUBSTITUTE(BQ650,"x","х"),FIND("х",SUBSTITUTE(BQ650,"x","х"))-1),3)&gt;3,Каталог!$S$9,1)))</f>
      </c>
      <c r="BX650" s="129">
        <f>IF(AY650&lt;&gt;1,0,MAX(0,IFERROR(--LEFT(SUBSTITUTE(BQ650,"x","х"),FIND("х",SUBSTITUTE(BQ650,"x","х"))-1),3)-3*BW650))</f>
      </c>
      <c r="BY650" s="129">
        <f>IF(R650="","",IFERROR(VLOOKUP(R650,УГО_спр,2,FALSE),IFERROR(VLOOKUP(AL650,УГО_спр,2,FALSE),IFERROR(VLOOKUP(LEFT(AL650,2),УГО_спр,2,FALSE),""))))</f>
      </c>
    </row>
    <row r="651" spans="1:64" x14ac:dyDescent="0.3">
      <c r="A651" s="135">
        <f>IF(Разбивка_по_щитам!F651=0,"",Разбивка_по_щитам!F651)</f>
        <v/>
      </c>
      <c r="B651" s="138">
        <f>IF(A651="","",Разбивка_по_щитам!C651)</f>
        <v/>
      </c>
      <c r="C651" s="138">
        <f t="shared" si="422"/>
        <v/>
      </c>
      <c r="D651" s="266"/>
      <c r="E651" s="266"/>
      <c r="F651" s="267"/>
      <c r="G651" s="145">
        <f t="shared" si="423"/>
        <v/>
      </c>
      <c r="H651" s="145">
        <f t="shared" si="424"/>
        <v/>
      </c>
      <c r="I651" s="266"/>
      <c r="J651" s="267"/>
      <c r="K651" s="267"/>
      <c r="L651" s="266"/>
      <c r="M651" s="147">
        <f t="shared" si="425"/>
        <v/>
      </c>
      <c r="N651" s="267"/>
      <c r="O651" s="147">
        <f t="shared" si="426"/>
        <v/>
      </c>
      <c r="P651" s="268">
        <f>IF(AY651=1,"XT"&amp;COUNTIFS($A$3:A651,A651,$AY$3:AY651,1),"")</f>
        <v/>
      </c>
      <c r="Q651" s="152">
        <f>IF(R651="","",IFERROR(SUBSTITUTE(Разбивка_по_щитам!P651,CHAR(10)," "),""))</f>
        <v/>
      </c>
      <c r="R651" s="153">
        <f>IF(OR(Разбивка_по_щитам!H651="",Разбивка_по_щитам!H651=0),"",Разбивка_по_щитам!H651)</f>
        <v/>
      </c>
      <c r="S651" s="154">
        <f>IF(R651="","",IFERROR(Разбивка_по_щитам!J651&amp;"",""))</f>
        <v/>
      </c>
      <c r="T651" s="155">
        <f>IF(R651="","",IFERROR(--Разбивка_по_щитам!L651,""))</f>
        <v/>
      </c>
      <c r="U651" s="155">
        <f>IF(R651="","",IFERROR(--Разбивка_по_щитам!K651,""))</f>
        <v/>
      </c>
      <c r="V651" s="138">
        <f>IF(R651="","",IFERROR(IF(Разбивка_по_щитам!M651=0,"",Разбивка_по_щитам!M651),""))</f>
        <v/>
      </c>
      <c r="W651" s="156">
        <f t="shared" si="427"/>
        <v/>
      </c>
      <c r="X651" s="157">
        <f t="shared" si="428"/>
        <v/>
      </c>
      <c r="Y651" s="266"/>
      <c r="Z651" s="158">
        <f t="shared" si="429"/>
        <v/>
      </c>
      <c r="AA651" s="160">
        <f t="shared" si="430"/>
        <v/>
      </c>
      <c r="AB651" s="160">
        <f>IF(R651="","",IFERROR(LOOKUP(INDEX(Справочная!$I$4:$I$19,MATCH(VLOOKUP(R651,Исходные_данные,22,FALSE),Справочная!$J$4:$J$19,0)+1),{6,10,16,20,25,32,40,50,63,80,100,125}),""))</f>
        <v/>
      </c>
      <c r="AC651" s="160">
        <f t="shared" si="431"/>
        <v/>
      </c>
      <c r="AD651" s="161">
        <f t="shared" si="432"/>
        <v/>
      </c>
      <c r="AE651" s="161">
        <f>IF(AND(R651="",G651=""),"",_xlfn.TEXTJOIN("; ",TRUE,IF(AND(R651&lt;&gt;"",V651=""),"нет фазы",""),IF(AND(R651&lt;&gt;"",N(T651)=0),"нет мощности",""),IF(AND(P651&lt;&gt;"",COUNTIFS($A$3:$A$1000,A651,$P$3:$P$1000,P651)&gt;1),"дубль клеммы "&amp;P651,""),IF(AND(W651&lt;&gt;"",W651&lt;&gt;"ok"),W651,""),IF(X651&lt;&gt;"",X651,""),IF(AND(ISNUMBER(SEARCH("(5х",Q651)),N(AK651)=1),"5 жил на 1 фазе",""),IF(AND(AL651="R",E651&lt;&gt;"",N(AS651)=0),"розетка без 30 мА",""),IF(IFERROR(_xlfn.NUMBERVALUE(MID(Q651,FIND("-",Q651,FIND("L=",Q651))+1,FIND("%",Q651)-FIND("-",Q651,FIND("L=",Q651))-1),","),0)&gt;4,"потери &gt; 4 %","")))</f>
      </c>
      <c r="AF651" s="129">
        <f>IF(E651&lt;&gt;"",COUNTIFS($A$3:A651,A651,$E$3:E651,"?*"),IF(OR(A651&lt;&gt;A650,Y651="вручную"),"",AF650))</f>
        <v/>
      </c>
      <c r="AG651" s="129">
        <f t="shared" si="433"/>
        <v/>
      </c>
      <c r="AH651" s="129">
        <f t="shared" si="434"/>
        <v/>
      </c>
      <c r="AI651" s="129">
        <f t="shared" si="435"/>
        <v/>
      </c>
      <c r="AJ651" s="129">
        <f t="shared" si="436"/>
        <v/>
      </c>
      <c r="AK651" s="129">
        <f t="shared" si="437"/>
        <v/>
      </c>
      <c r="AL651" s="129">
        <f t="shared" si="438"/>
        <v/>
      </c>
      <c r="AM651" s="129">
        <f t="shared" si="439"/>
      </c>
      <c r="AN651" s="129">
        <f t="shared" si="440"/>
      </c>
      <c r="AO651" s="129">
        <f t="shared" si="441"/>
        <v/>
      </c>
      <c r="AP651" s="129">
        <f t="shared" si="442"/>
        <v/>
      </c>
      <c r="AQ651" s="129">
        <f t="shared" si="443"/>
        <v/>
      </c>
      <c r="AR651" s="129">
        <f t="shared" si="444"/>
        <v/>
      </c>
      <c r="AS651" s="129">
        <f t="shared" si="445"/>
        <v/>
      </c>
      <c r="AT651" s="129">
        <f t="shared" si="446"/>
        <v/>
      </c>
      <c r="AU651" s="129">
        <f t="shared" si="447"/>
        <v/>
      </c>
      <c r="AV651" s="129">
        <f t="shared" si="448"/>
        <v/>
      </c>
      <c r="AW651" s="129">
        <f>IF(AV651="","",AV651&amp;"."&amp;COUNTIFS($A$3:A651,A651,$AV$3:AV651,AV651))</f>
        <v/>
      </c>
      <c r="AX651" s="129">
        <f t="shared" si="449"/>
        <v/>
      </c>
      <c r="AY651" s="129">
        <f>IF(N651="б/к",0,IF(OR(ISNUMBER(SEARCH("L=",Разбивка_по_щитам!P651)),N651="+",N651="="),1,0))</f>
      </c>
      <c r="AZ651" s="129">
        <f t="shared" si="450"/>
        <v/>
      </c>
      <c r="BA651" s="129">
        <f t="shared" si="451"/>
      </c>
      <c r="BB651" s="129">
        <f t="shared" si="452"/>
      </c>
      <c r="BD651" s="129">
        <f t="shared" si="453"/>
      </c>
      <c r="BE651" s="129">
        <f t="shared" si="454"/>
      </c>
      <c r="BF651" s="129">
        <f t="shared" si="455"/>
      </c>
      <c r="BG651" s="129">
        <f t="shared" si="456"/>
        <v/>
      </c>
      <c r="BH651" s="129">
        <f t="shared" si="457"/>
        <v/>
      </c>
      <c r="BI651" s="129">
        <f t="shared" si="458"/>
        <v/>
      </c>
      <c r="BJ651" s="129">
        <f t="shared" si="459"/>
        <v/>
      </c>
      <c r="BK651" s="129">
        <f>IF(R651="","",IF(OR(BY651="",BY651=0),"BOX",IFERROR(IF(VLOOKUP(BY651,УГО_блоки,3,FALSE)&amp;""&lt;&gt;"",VLOOKUP(BY651,УГО_блоки,3,FALSE),VLOOKUP(BY651,УГО_блоки,2,FALSE)),BY651)))</f>
      </c>
      <c r="BL651" s="129">
        <f t="shared" si="461"/>
      </c>
      <c r="BM651" s="129">
        <f>IF(H651="","",IF(COUNTIF($H$3:H651,H651)=1,MAX($BM$2:BM650)+1,""))</f>
      </c>
      <c r="BN651" s="129">
        <f>IF(I651="","",IF(COUNTIF($I$3:I651,I651)+COUNTIF($J$2:J650,I651)+COUNTIF($K$2:K650,I651)=1,MAX($BN$2:BP650)+1,""))</f>
      </c>
      <c r="BO651" s="129">
        <f>IF(J651="","",IF(COUNTIF($I$3:I651,J651)+COUNTIF($J$3:J651,J651)+COUNTIF($K$2:K650,J651)=1,MAX($BN$2:BP650,BN651)+1,""))</f>
      </c>
      <c r="BP651" s="129">
        <f>IF(K651="","",IF(COUNTIF($I$3:I651,K651)+COUNTIF($J$3:J651,K651)+COUNTIF($K$3:K651,K651)=1,MAX($BN$2:BP650,BN651,BO651)+1,""))</f>
      </c>
      <c r="BQ651" s="129">
        <f>IF(AY651=1,IFERROR(MID(Q651,FIND(" (",Q651)+2,FIND(")",Q651,FIND(" (",Q651))-FIND(" (",Q651)-2),"?"),"")</f>
      </c>
      <c r="BR651" s="129">
        <f>IF(BQ651="","",IF(COUNTIF($BQ$3:BQ651,BQ651)=1,MAX($BR$2:BR650)+1,""))</f>
      </c>
      <c r="BS651" s="129">
        <f>IF(AW651="","",COUNTIF($AW$3:AW651,"?*"))</f>
      </c>
      <c r="BT651" s="129">
        <f>IF(OR(AW651="",AI651=""),"",IF(COUNTIFS($AW$3:AW651,"?*",$AI$3:AI651,AI651)=1,MAX($BT$2:BT650)+1,""))</f>
      </c>
      <c r="BU651" s="129">
        <f>IF(AE651="",0,IF(OR(ISNUMBER(SEARCH("дубль",AE651)),ISNUMBER(SEARCH("ПЕРЕГРУЗ",AE651)),ISNUMBER(SEARCH("ЗАЩИЩ",AE651)),ISNUMBER(SEARCH("КАНАЛ",AE651)),ISNUMBER(SEARCH("без 30",AE651))),2,1))</f>
      </c>
      <c r="BV651" s="129">
        <f>IF(R651="","",COUNTIF($R$3:R651,"?*"))</f>
      </c>
      <c r="BW651" s="129">
        <f>IF(AY651&lt;&gt;1,0,IF(MAX(IFERROR(--VLOOKUP(R651,УГО_спр,5,FALSE),0),IFERROR(--VLOOKUP(AL651,УГО_спр,5,FALSE),0),IFERROR(--VLOOKUP(LEFT(AL651,2),УГО_спр,5,FALSE),0))&gt;0,MAX(IFERROR(--VLOOKUP(R651,УГО_спр,5,FALSE),0),IFERROR(--VLOOKUP(AL651,УГО_спр,5,FALSE),0),IFERROR(--VLOOKUP(LEFT(AL651,2),УГО_спр,5,FALSE),0)),IF(IFERROR(--LEFT(SUBSTITUTE(BQ651,"x","х"),FIND("х",SUBSTITUTE(BQ651,"x","х"))-1),3)&gt;3,Каталог!$S$9,1)))</f>
      </c>
      <c r="BX651" s="129">
        <f>IF(AY651&lt;&gt;1,0,MAX(0,IFERROR(--LEFT(SUBSTITUTE(BQ651,"x","х"),FIND("х",SUBSTITUTE(BQ651,"x","х"))-1),3)-3*BW651))</f>
      </c>
      <c r="BY651" s="129">
        <f>IF(R651="","",IFERROR(VLOOKUP(R651,УГО_спр,2,FALSE),IFERROR(VLOOKUP(AL651,УГО_спр,2,FALSE),IFERROR(VLOOKUP(LEFT(AL651,2),УГО_спр,2,FALSE),""))))</f>
      </c>
    </row>
    <row r="652" spans="1:64" x14ac:dyDescent="0.3">
      <c r="A652" s="135">
        <f>IF(Разбивка_по_щитам!F652=0,"",Разбивка_по_щитам!F652)</f>
        <v/>
      </c>
      <c r="B652" s="138">
        <f>IF(A652="","",Разбивка_по_щитам!C652)</f>
        <v/>
      </c>
      <c r="C652" s="138">
        <f t="shared" si="422"/>
        <v/>
      </c>
      <c r="D652" s="266"/>
      <c r="E652" s="266"/>
      <c r="F652" s="267"/>
      <c r="G652" s="145">
        <f t="shared" si="423"/>
        <v/>
      </c>
      <c r="H652" s="145">
        <f t="shared" si="424"/>
        <v/>
      </c>
      <c r="I652" s="266"/>
      <c r="J652" s="267"/>
      <c r="K652" s="267"/>
      <c r="L652" s="266"/>
      <c r="M652" s="147">
        <f t="shared" si="425"/>
        <v/>
      </c>
      <c r="N652" s="267"/>
      <c r="O652" s="147">
        <f t="shared" si="426"/>
        <v/>
      </c>
      <c r="P652" s="268">
        <f>IF(AY652=1,"XT"&amp;COUNTIFS($A$3:A652,A652,$AY$3:AY652,1),"")</f>
        <v/>
      </c>
      <c r="Q652" s="152">
        <f>IF(R652="","",IFERROR(SUBSTITUTE(Разбивка_по_щитам!P652,CHAR(10)," "),""))</f>
        <v/>
      </c>
      <c r="R652" s="153">
        <f>IF(OR(Разбивка_по_щитам!H652="",Разбивка_по_щитам!H652=0),"",Разбивка_по_щитам!H652)</f>
        <v/>
      </c>
      <c r="S652" s="154">
        <f>IF(R652="","",IFERROR(Разбивка_по_щитам!J652&amp;"",""))</f>
        <v/>
      </c>
      <c r="T652" s="155">
        <f>IF(R652="","",IFERROR(--Разбивка_по_щитам!L652,""))</f>
        <v/>
      </c>
      <c r="U652" s="155">
        <f>IF(R652="","",IFERROR(--Разбивка_по_щитам!K652,""))</f>
        <v/>
      </c>
      <c r="V652" s="138">
        <f>IF(R652="","",IFERROR(IF(Разбивка_по_щитам!M652=0,"",Разбивка_по_щитам!M652),""))</f>
        <v/>
      </c>
      <c r="W652" s="156">
        <f t="shared" si="427"/>
        <v/>
      </c>
      <c r="X652" s="157">
        <f t="shared" si="428"/>
        <v/>
      </c>
      <c r="Y652" s="266"/>
      <c r="Z652" s="158">
        <f t="shared" si="429"/>
        <v/>
      </c>
      <c r="AA652" s="160">
        <f t="shared" si="430"/>
        <v/>
      </c>
      <c r="AB652" s="160">
        <f>IF(R652="","",IFERROR(LOOKUP(INDEX(Справочная!$I$4:$I$19,MATCH(VLOOKUP(R652,Исходные_данные,22,FALSE),Справочная!$J$4:$J$19,0)+1),{6,10,16,20,25,32,40,50,63,80,100,125}),""))</f>
        <v/>
      </c>
      <c r="AC652" s="160">
        <f t="shared" si="431"/>
        <v/>
      </c>
      <c r="AD652" s="161">
        <f t="shared" si="432"/>
        <v/>
      </c>
      <c r="AE652" s="161">
        <f>IF(AND(R652="",G652=""),"",_xlfn.TEXTJOIN("; ",TRUE,IF(AND(R652&lt;&gt;"",V652=""),"нет фазы",""),IF(AND(R652&lt;&gt;"",N(T652)=0),"нет мощности",""),IF(AND(P652&lt;&gt;"",COUNTIFS($A$3:$A$1000,A652,$P$3:$P$1000,P652)&gt;1),"дубль клеммы "&amp;P652,""),IF(AND(W652&lt;&gt;"",W652&lt;&gt;"ok"),W652,""),IF(X652&lt;&gt;"",X652,""),IF(AND(ISNUMBER(SEARCH("(5х",Q652)),N(AK652)=1),"5 жил на 1 фазе",""),IF(AND(AL652="R",E652&lt;&gt;"",N(AS652)=0),"розетка без 30 мА",""),IF(IFERROR(_xlfn.NUMBERVALUE(MID(Q652,FIND("-",Q652,FIND("L=",Q652))+1,FIND("%",Q652)-FIND("-",Q652,FIND("L=",Q652))-1),","),0)&gt;4,"потери &gt; 4 %","")))</f>
      </c>
      <c r="AF652" s="129">
        <f>IF(E652&lt;&gt;"",COUNTIFS($A$3:A652,A652,$E$3:E652,"?*"),IF(OR(A652&lt;&gt;A651,Y652="вручную"),"",AF651))</f>
        <v/>
      </c>
      <c r="AG652" s="129">
        <f t="shared" si="433"/>
        <v/>
      </c>
      <c r="AH652" s="129">
        <f t="shared" si="434"/>
        <v/>
      </c>
      <c r="AI652" s="129">
        <f t="shared" si="435"/>
        <v/>
      </c>
      <c r="AJ652" s="129">
        <f t="shared" si="436"/>
        <v/>
      </c>
      <c r="AK652" s="129">
        <f t="shared" si="437"/>
        <v/>
      </c>
      <c r="AL652" s="129">
        <f t="shared" si="438"/>
        <v/>
      </c>
      <c r="AM652" s="129">
        <f t="shared" si="439"/>
      </c>
      <c r="AN652" s="129">
        <f t="shared" si="440"/>
      </c>
      <c r="AO652" s="129">
        <f t="shared" si="441"/>
        <v/>
      </c>
      <c r="AP652" s="129">
        <f t="shared" si="442"/>
        <v/>
      </c>
      <c r="AQ652" s="129">
        <f t="shared" si="443"/>
        <v/>
      </c>
      <c r="AR652" s="129">
        <f t="shared" si="444"/>
        <v/>
      </c>
      <c r="AS652" s="129">
        <f t="shared" si="445"/>
        <v/>
      </c>
      <c r="AT652" s="129">
        <f t="shared" si="446"/>
        <v/>
      </c>
      <c r="AU652" s="129">
        <f t="shared" si="447"/>
        <v/>
      </c>
      <c r="AV652" s="129">
        <f t="shared" si="448"/>
        <v/>
      </c>
      <c r="AW652" s="129">
        <f>IF(AV652="","",AV652&amp;"."&amp;COUNTIFS($A$3:A652,A652,$AV$3:AV652,AV652))</f>
        <v/>
      </c>
      <c r="AX652" s="129">
        <f t="shared" si="449"/>
        <v/>
      </c>
      <c r="AY652" s="129">
        <f>IF(N652="б/к",0,IF(OR(ISNUMBER(SEARCH("L=",Разбивка_по_щитам!P652)),N652="+",N652="="),1,0))</f>
      </c>
      <c r="AZ652" s="129">
        <f t="shared" si="450"/>
        <v/>
      </c>
      <c r="BA652" s="129">
        <f t="shared" si="451"/>
      </c>
      <c r="BB652" s="129">
        <f t="shared" si="452"/>
      </c>
      <c r="BD652" s="129">
        <f t="shared" si="453"/>
      </c>
      <c r="BE652" s="129">
        <f t="shared" si="454"/>
      </c>
      <c r="BF652" s="129">
        <f t="shared" si="455"/>
      </c>
      <c r="BG652" s="129">
        <f t="shared" si="456"/>
        <v/>
      </c>
      <c r="BH652" s="129">
        <f t="shared" si="457"/>
        <v/>
      </c>
      <c r="BI652" s="129">
        <f t="shared" si="458"/>
        <v/>
      </c>
      <c r="BJ652" s="129">
        <f t="shared" si="459"/>
        <v/>
      </c>
      <c r="BK652" s="129">
        <f>IF(R652="","",IF(OR(BY652="",BY652=0),"BOX",IFERROR(IF(VLOOKUP(BY652,УГО_блоки,3,FALSE)&amp;""&lt;&gt;"",VLOOKUP(BY652,УГО_блоки,3,FALSE),VLOOKUP(BY652,УГО_блоки,2,FALSE)),BY652)))</f>
      </c>
      <c r="BL652" s="129">
        <f t="shared" si="461"/>
      </c>
      <c r="BM652" s="129">
        <f>IF(H652="","",IF(COUNTIF($H$3:H652,H652)=1,MAX($BM$2:BM651)+1,""))</f>
      </c>
      <c r="BN652" s="129">
        <f>IF(I652="","",IF(COUNTIF($I$3:I652,I652)+COUNTIF($J$2:J651,I652)+COUNTIF($K$2:K651,I652)=1,MAX($BN$2:BP651)+1,""))</f>
      </c>
      <c r="BO652" s="129">
        <f>IF(J652="","",IF(COUNTIF($I$3:I652,J652)+COUNTIF($J$3:J652,J652)+COUNTIF($K$2:K651,J652)=1,MAX($BN$2:BP651,BN652)+1,""))</f>
      </c>
      <c r="BP652" s="129">
        <f>IF(K652="","",IF(COUNTIF($I$3:I652,K652)+COUNTIF($J$3:J652,K652)+COUNTIF($K$3:K652,K652)=1,MAX($BN$2:BP651,BN652,BO652)+1,""))</f>
      </c>
      <c r="BQ652" s="129">
        <f>IF(AY652=1,IFERROR(MID(Q652,FIND(" (",Q652)+2,FIND(")",Q652,FIND(" (",Q652))-FIND(" (",Q652)-2),"?"),"")</f>
      </c>
      <c r="BR652" s="129">
        <f>IF(BQ652="","",IF(COUNTIF($BQ$3:BQ652,BQ652)=1,MAX($BR$2:BR651)+1,""))</f>
      </c>
      <c r="BS652" s="129">
        <f>IF(AW652="","",COUNTIF($AW$3:AW652,"?*"))</f>
      </c>
      <c r="BT652" s="129">
        <f>IF(OR(AW652="",AI652=""),"",IF(COUNTIFS($AW$3:AW652,"?*",$AI$3:AI652,AI652)=1,MAX($BT$2:BT651)+1,""))</f>
      </c>
      <c r="BU652" s="129">
        <f>IF(AE652="",0,IF(OR(ISNUMBER(SEARCH("дубль",AE652)),ISNUMBER(SEARCH("ПЕРЕГРУЗ",AE652)),ISNUMBER(SEARCH("ЗАЩИЩ",AE652)),ISNUMBER(SEARCH("КАНАЛ",AE652)),ISNUMBER(SEARCH("без 30",AE652))),2,1))</f>
      </c>
      <c r="BV652" s="129">
        <f>IF(R652="","",COUNTIF($R$3:R652,"?*"))</f>
      </c>
      <c r="BW652" s="129">
        <f>IF(AY652&lt;&gt;1,0,IF(MAX(IFERROR(--VLOOKUP(R652,УГО_спр,5,FALSE),0),IFERROR(--VLOOKUP(AL652,УГО_спр,5,FALSE),0),IFERROR(--VLOOKUP(LEFT(AL652,2),УГО_спр,5,FALSE),0))&gt;0,MAX(IFERROR(--VLOOKUP(R652,УГО_спр,5,FALSE),0),IFERROR(--VLOOKUP(AL652,УГО_спр,5,FALSE),0),IFERROR(--VLOOKUP(LEFT(AL652,2),УГО_спр,5,FALSE),0)),IF(IFERROR(--LEFT(SUBSTITUTE(BQ652,"x","х"),FIND("х",SUBSTITUTE(BQ652,"x","х"))-1),3)&gt;3,Каталог!$S$9,1)))</f>
      </c>
      <c r="BX652" s="129">
        <f>IF(AY652&lt;&gt;1,0,MAX(0,IFERROR(--LEFT(SUBSTITUTE(BQ652,"x","х"),FIND("х",SUBSTITUTE(BQ652,"x","х"))-1),3)-3*BW652))</f>
      </c>
      <c r="BY652" s="129">
        <f>IF(R652="","",IFERROR(VLOOKUP(R652,УГО_спр,2,FALSE),IFERROR(VLOOKUP(AL652,УГО_спр,2,FALSE),IFERROR(VLOOKUP(LEFT(AL652,2),УГО_спр,2,FALSE),""))))</f>
      </c>
    </row>
    <row r="653" spans="1:64" x14ac:dyDescent="0.3">
      <c r="A653" s="135">
        <f>IF(Разбивка_по_щитам!F653=0,"",Разбивка_по_щитам!F653)</f>
        <v/>
      </c>
      <c r="B653" s="138">
        <f>IF(A653="","",Разбивка_по_щитам!C653)</f>
        <v/>
      </c>
      <c r="C653" s="138">
        <f t="shared" si="422"/>
        <v/>
      </c>
      <c r="D653" s="266"/>
      <c r="E653" s="266"/>
      <c r="F653" s="267"/>
      <c r="G653" s="145">
        <f t="shared" si="423"/>
        <v/>
      </c>
      <c r="H653" s="145">
        <f t="shared" si="424"/>
        <v/>
      </c>
      <c r="I653" s="266"/>
      <c r="J653" s="267"/>
      <c r="K653" s="267"/>
      <c r="L653" s="266"/>
      <c r="M653" s="147">
        <f t="shared" si="425"/>
        <v/>
      </c>
      <c r="N653" s="267"/>
      <c r="O653" s="147">
        <f t="shared" si="426"/>
        <v/>
      </c>
      <c r="P653" s="268">
        <f>IF(AY653=1,"XT"&amp;COUNTIFS($A$3:A653,A653,$AY$3:AY653,1),"")</f>
        <v/>
      </c>
      <c r="Q653" s="152">
        <f>IF(R653="","",IFERROR(SUBSTITUTE(Разбивка_по_щитам!P653,CHAR(10)," "),""))</f>
        <v/>
      </c>
      <c r="R653" s="153">
        <f>IF(OR(Разбивка_по_щитам!H653="",Разбивка_по_щитам!H653=0),"",Разбивка_по_щитам!H653)</f>
        <v/>
      </c>
      <c r="S653" s="154">
        <f>IF(R653="","",IFERROR(Разбивка_по_щитам!J653&amp;"",""))</f>
        <v/>
      </c>
      <c r="T653" s="155">
        <f>IF(R653="","",IFERROR(--Разбивка_по_щитам!L653,""))</f>
        <v/>
      </c>
      <c r="U653" s="155">
        <f>IF(R653="","",IFERROR(--Разбивка_по_щитам!K653,""))</f>
        <v/>
      </c>
      <c r="V653" s="138">
        <f>IF(R653="","",IFERROR(IF(Разбивка_по_щитам!M653=0,"",Разбивка_по_щитам!M653),""))</f>
        <v/>
      </c>
      <c r="W653" s="156">
        <f t="shared" si="427"/>
        <v/>
      </c>
      <c r="X653" s="157">
        <f t="shared" si="428"/>
        <v/>
      </c>
      <c r="Y653" s="266"/>
      <c r="Z653" s="158">
        <f t="shared" si="429"/>
        <v/>
      </c>
      <c r="AA653" s="160">
        <f t="shared" si="430"/>
        <v/>
      </c>
      <c r="AB653" s="160">
        <f>IF(R653="","",IFERROR(LOOKUP(INDEX(Справочная!$I$4:$I$19,MATCH(VLOOKUP(R653,Исходные_данные,22,FALSE),Справочная!$J$4:$J$19,0)+1),{6,10,16,20,25,32,40,50,63,80,100,125}),""))</f>
        <v/>
      </c>
      <c r="AC653" s="160">
        <f t="shared" si="431"/>
        <v/>
      </c>
      <c r="AD653" s="161">
        <f t="shared" si="432"/>
        <v/>
      </c>
      <c r="AE653" s="161">
        <f>IF(AND(R653="",G653=""),"",_xlfn.TEXTJOIN("; ",TRUE,IF(AND(R653&lt;&gt;"",V653=""),"нет фазы",""),IF(AND(R653&lt;&gt;"",N(T653)=0),"нет мощности",""),IF(AND(P653&lt;&gt;"",COUNTIFS($A$3:$A$1000,A653,$P$3:$P$1000,P653)&gt;1),"дубль клеммы "&amp;P653,""),IF(AND(W653&lt;&gt;"",W653&lt;&gt;"ok"),W653,""),IF(X653&lt;&gt;"",X653,""),IF(AND(ISNUMBER(SEARCH("(5х",Q653)),N(AK653)=1),"5 жил на 1 фазе",""),IF(AND(AL653="R",E653&lt;&gt;"",N(AS653)=0),"розетка без 30 мА",""),IF(IFERROR(_xlfn.NUMBERVALUE(MID(Q653,FIND("-",Q653,FIND("L=",Q653))+1,FIND("%",Q653)-FIND("-",Q653,FIND("L=",Q653))-1),","),0)&gt;4,"потери &gt; 4 %","")))</f>
      </c>
      <c r="AF653" s="129">
        <f>IF(E653&lt;&gt;"",COUNTIFS($A$3:A653,A653,$E$3:E653,"?*"),IF(OR(A653&lt;&gt;A652,Y653="вручную"),"",AF652))</f>
        <v/>
      </c>
      <c r="AG653" s="129">
        <f t="shared" si="433"/>
        <v/>
      </c>
      <c r="AH653" s="129">
        <f t="shared" si="434"/>
        <v/>
      </c>
      <c r="AI653" s="129">
        <f t="shared" si="435"/>
        <v/>
      </c>
      <c r="AJ653" s="129">
        <f t="shared" si="436"/>
        <v/>
      </c>
      <c r="AK653" s="129">
        <f t="shared" si="437"/>
        <v/>
      </c>
      <c r="AL653" s="129">
        <f t="shared" si="438"/>
        <v/>
      </c>
      <c r="AM653" s="129">
        <f t="shared" si="439"/>
      </c>
      <c r="AN653" s="129">
        <f t="shared" si="440"/>
      </c>
      <c r="AO653" s="129">
        <f t="shared" si="441"/>
        <v/>
      </c>
      <c r="AP653" s="129">
        <f t="shared" si="442"/>
        <v/>
      </c>
      <c r="AQ653" s="129">
        <f t="shared" si="443"/>
        <v/>
      </c>
      <c r="AR653" s="129">
        <f t="shared" si="444"/>
        <v/>
      </c>
      <c r="AS653" s="129">
        <f t="shared" si="445"/>
        <v/>
      </c>
      <c r="AT653" s="129">
        <f t="shared" si="446"/>
        <v/>
      </c>
      <c r="AU653" s="129">
        <f t="shared" si="447"/>
        <v/>
      </c>
      <c r="AV653" s="129">
        <f t="shared" si="448"/>
        <v/>
      </c>
      <c r="AW653" s="129">
        <f>IF(AV653="","",AV653&amp;"."&amp;COUNTIFS($A$3:A653,A653,$AV$3:AV653,AV653))</f>
        <v/>
      </c>
      <c r="AX653" s="129">
        <f t="shared" si="449"/>
        <v/>
      </c>
      <c r="AY653" s="129">
        <f>IF(N653="б/к",0,IF(OR(ISNUMBER(SEARCH("L=",Разбивка_по_щитам!P653)),N653="+",N653="="),1,0))</f>
      </c>
      <c r="AZ653" s="129">
        <f t="shared" si="450"/>
        <v/>
      </c>
      <c r="BA653" s="129">
        <f t="shared" si="451"/>
      </c>
      <c r="BB653" s="129">
        <f t="shared" si="452"/>
      </c>
      <c r="BD653" s="129">
        <f t="shared" si="453"/>
      </c>
      <c r="BE653" s="129">
        <f t="shared" si="454"/>
      </c>
      <c r="BF653" s="129">
        <f t="shared" si="455"/>
      </c>
      <c r="BG653" s="129">
        <f t="shared" si="456"/>
        <v/>
      </c>
      <c r="BH653" s="129">
        <f t="shared" si="457"/>
        <v/>
      </c>
      <c r="BI653" s="129">
        <f t="shared" si="458"/>
        <v/>
      </c>
      <c r="BJ653" s="129">
        <f t="shared" si="459"/>
        <v/>
      </c>
      <c r="BK653" s="129">
        <f>IF(R653="","",IF(OR(BY653="",BY653=0),"BOX",IFERROR(IF(VLOOKUP(BY653,УГО_блоки,3,FALSE)&amp;""&lt;&gt;"",VLOOKUP(BY653,УГО_блоки,3,FALSE),VLOOKUP(BY653,УГО_блоки,2,FALSE)),BY653)))</f>
      </c>
      <c r="BL653" s="129">
        <f t="shared" si="461"/>
      </c>
      <c r="BM653" s="129">
        <f>IF(H653="","",IF(COUNTIF($H$3:H653,H653)=1,MAX($BM$2:BM652)+1,""))</f>
      </c>
      <c r="BN653" s="129">
        <f>IF(I653="","",IF(COUNTIF($I$3:I653,I653)+COUNTIF($J$2:J652,I653)+COUNTIF($K$2:K652,I653)=1,MAX($BN$2:BP652)+1,""))</f>
      </c>
      <c r="BO653" s="129">
        <f>IF(J653="","",IF(COUNTIF($I$3:I653,J653)+COUNTIF($J$3:J653,J653)+COUNTIF($K$2:K652,J653)=1,MAX($BN$2:BP652,BN653)+1,""))</f>
      </c>
      <c r="BP653" s="129">
        <f>IF(K653="","",IF(COUNTIF($I$3:I653,K653)+COUNTIF($J$3:J653,K653)+COUNTIF($K$3:K653,K653)=1,MAX($BN$2:BP652,BN653,BO653)+1,""))</f>
      </c>
      <c r="BQ653" s="129">
        <f>IF(AY653=1,IFERROR(MID(Q653,FIND(" (",Q653)+2,FIND(")",Q653,FIND(" (",Q653))-FIND(" (",Q653)-2),"?"),"")</f>
      </c>
      <c r="BR653" s="129">
        <f>IF(BQ653="","",IF(COUNTIF($BQ$3:BQ653,BQ653)=1,MAX($BR$2:BR652)+1,""))</f>
      </c>
      <c r="BS653" s="129">
        <f>IF(AW653="","",COUNTIF($AW$3:AW653,"?*"))</f>
      </c>
      <c r="BT653" s="129">
        <f>IF(OR(AW653="",AI653=""),"",IF(COUNTIFS($AW$3:AW653,"?*",$AI$3:AI653,AI653)=1,MAX($BT$2:BT652)+1,""))</f>
      </c>
      <c r="BU653" s="129">
        <f>IF(AE653="",0,IF(OR(ISNUMBER(SEARCH("дубль",AE653)),ISNUMBER(SEARCH("ПЕРЕГРУЗ",AE653)),ISNUMBER(SEARCH("ЗАЩИЩ",AE653)),ISNUMBER(SEARCH("КАНАЛ",AE653)),ISNUMBER(SEARCH("без 30",AE653))),2,1))</f>
      </c>
      <c r="BV653" s="129">
        <f>IF(R653="","",COUNTIF($R$3:R653,"?*"))</f>
      </c>
      <c r="BW653" s="129">
        <f>IF(AY653&lt;&gt;1,0,IF(MAX(IFERROR(--VLOOKUP(R653,УГО_спр,5,FALSE),0),IFERROR(--VLOOKUP(AL653,УГО_спр,5,FALSE),0),IFERROR(--VLOOKUP(LEFT(AL653,2),УГО_спр,5,FALSE),0))&gt;0,MAX(IFERROR(--VLOOKUP(R653,УГО_спр,5,FALSE),0),IFERROR(--VLOOKUP(AL653,УГО_спр,5,FALSE),0),IFERROR(--VLOOKUP(LEFT(AL653,2),УГО_спр,5,FALSE),0)),IF(IFERROR(--LEFT(SUBSTITUTE(BQ653,"x","х"),FIND("х",SUBSTITUTE(BQ653,"x","х"))-1),3)&gt;3,Каталог!$S$9,1)))</f>
      </c>
      <c r="BX653" s="129">
        <f>IF(AY653&lt;&gt;1,0,MAX(0,IFERROR(--LEFT(SUBSTITUTE(BQ653,"x","х"),FIND("х",SUBSTITUTE(BQ653,"x","х"))-1),3)-3*BW653))</f>
      </c>
      <c r="BY653" s="129">
        <f>IF(R653="","",IFERROR(VLOOKUP(R653,УГО_спр,2,FALSE),IFERROR(VLOOKUP(AL653,УГО_спр,2,FALSE),IFERROR(VLOOKUP(LEFT(AL653,2),УГО_спр,2,FALSE),""))))</f>
      </c>
    </row>
    <row r="654" spans="1:64" x14ac:dyDescent="0.3">
      <c r="A654" s="135">
        <f>IF(Разбивка_по_щитам!F654=0,"",Разбивка_по_щитам!F654)</f>
        <v/>
      </c>
      <c r="B654" s="138">
        <f>IF(A654="","",Разбивка_по_щитам!C654)</f>
        <v/>
      </c>
      <c r="C654" s="138">
        <f t="shared" si="422"/>
        <v/>
      </c>
      <c r="D654" s="266"/>
      <c r="E654" s="266"/>
      <c r="F654" s="267"/>
      <c r="G654" s="145">
        <f t="shared" si="423"/>
        <v/>
      </c>
      <c r="H654" s="145">
        <f t="shared" si="424"/>
        <v/>
      </c>
      <c r="I654" s="266"/>
      <c r="J654" s="267"/>
      <c r="K654" s="267"/>
      <c r="L654" s="266"/>
      <c r="M654" s="147">
        <f t="shared" si="425"/>
        <v/>
      </c>
      <c r="N654" s="267"/>
      <c r="O654" s="147">
        <f t="shared" si="426"/>
        <v/>
      </c>
      <c r="P654" s="268">
        <f>IF(AY654=1,"XT"&amp;COUNTIFS($A$3:A654,A654,$AY$3:AY654,1),"")</f>
        <v/>
      </c>
      <c r="Q654" s="152">
        <f>IF(R654="","",IFERROR(SUBSTITUTE(Разбивка_по_щитам!P654,CHAR(10)," "),""))</f>
        <v/>
      </c>
      <c r="R654" s="153">
        <f>IF(OR(Разбивка_по_щитам!H654="",Разбивка_по_щитам!H654=0),"",Разбивка_по_щитам!H654)</f>
        <v/>
      </c>
      <c r="S654" s="154">
        <f>IF(R654="","",IFERROR(Разбивка_по_щитам!J654&amp;"",""))</f>
        <v/>
      </c>
      <c r="T654" s="155">
        <f>IF(R654="","",IFERROR(--Разбивка_по_щитам!L654,""))</f>
        <v/>
      </c>
      <c r="U654" s="155">
        <f>IF(R654="","",IFERROR(--Разбивка_по_щитам!K654,""))</f>
        <v/>
      </c>
      <c r="V654" s="138">
        <f>IF(R654="","",IFERROR(IF(Разбивка_по_щитам!M654=0,"",Разбивка_по_щитам!M654),""))</f>
        <v/>
      </c>
      <c r="W654" s="156">
        <f t="shared" si="427"/>
        <v/>
      </c>
      <c r="X654" s="157">
        <f t="shared" si="428"/>
        <v/>
      </c>
      <c r="Y654" s="266"/>
      <c r="Z654" s="158">
        <f t="shared" si="429"/>
        <v/>
      </c>
      <c r="AA654" s="160">
        <f t="shared" si="430"/>
        <v/>
      </c>
      <c r="AB654" s="160">
        <f>IF(R654="","",IFERROR(LOOKUP(INDEX(Справочная!$I$4:$I$19,MATCH(VLOOKUP(R654,Исходные_данные,22,FALSE),Справочная!$J$4:$J$19,0)+1),{6,10,16,20,25,32,40,50,63,80,100,125}),""))</f>
        <v/>
      </c>
      <c r="AC654" s="160">
        <f t="shared" si="431"/>
        <v/>
      </c>
      <c r="AD654" s="161">
        <f t="shared" si="432"/>
        <v/>
      </c>
      <c r="AE654" s="161">
        <f>IF(AND(R654="",G654=""),"",_xlfn.TEXTJOIN("; ",TRUE,IF(AND(R654&lt;&gt;"",V654=""),"нет фазы",""),IF(AND(R654&lt;&gt;"",N(T654)=0),"нет мощности",""),IF(AND(P654&lt;&gt;"",COUNTIFS($A$3:$A$1000,A654,$P$3:$P$1000,P654)&gt;1),"дубль клеммы "&amp;P654,""),IF(AND(W654&lt;&gt;"",W654&lt;&gt;"ok"),W654,""),IF(X654&lt;&gt;"",X654,""),IF(AND(ISNUMBER(SEARCH("(5х",Q654)),N(AK654)=1),"5 жил на 1 фазе",""),IF(AND(AL654="R",E654&lt;&gt;"",N(AS654)=0),"розетка без 30 мА",""),IF(IFERROR(_xlfn.NUMBERVALUE(MID(Q654,FIND("-",Q654,FIND("L=",Q654))+1,FIND("%",Q654)-FIND("-",Q654,FIND("L=",Q654))-1),","),0)&gt;4,"потери &gt; 4 %","")))</f>
      </c>
      <c r="AF654" s="129">
        <f>IF(E654&lt;&gt;"",COUNTIFS($A$3:A654,A654,$E$3:E654,"?*"),IF(OR(A654&lt;&gt;A653,Y654="вручную"),"",AF653))</f>
        <v/>
      </c>
      <c r="AG654" s="129">
        <f t="shared" si="433"/>
        <v/>
      </c>
      <c r="AH654" s="129">
        <f t="shared" si="434"/>
        <v/>
      </c>
      <c r="AI654" s="129">
        <f t="shared" si="435"/>
        <v/>
      </c>
      <c r="AJ654" s="129">
        <f t="shared" si="436"/>
        <v/>
      </c>
      <c r="AK654" s="129">
        <f t="shared" si="437"/>
        <v/>
      </c>
      <c r="AL654" s="129">
        <f t="shared" si="438"/>
        <v/>
      </c>
      <c r="AM654" s="129">
        <f t="shared" si="439"/>
      </c>
      <c r="AN654" s="129">
        <f t="shared" si="440"/>
      </c>
      <c r="AO654" s="129">
        <f t="shared" si="441"/>
        <v/>
      </c>
      <c r="AP654" s="129">
        <f t="shared" si="442"/>
        <v/>
      </c>
      <c r="AQ654" s="129">
        <f t="shared" si="443"/>
        <v/>
      </c>
      <c r="AR654" s="129">
        <f t="shared" si="444"/>
        <v/>
      </c>
      <c r="AS654" s="129">
        <f t="shared" si="445"/>
        <v/>
      </c>
      <c r="AT654" s="129">
        <f t="shared" si="446"/>
        <v/>
      </c>
      <c r="AU654" s="129">
        <f t="shared" si="447"/>
        <v/>
      </c>
      <c r="AV654" s="129">
        <f t="shared" si="448"/>
        <v/>
      </c>
      <c r="AW654" s="129">
        <f>IF(AV654="","",AV654&amp;"."&amp;COUNTIFS($A$3:A654,A654,$AV$3:AV654,AV654))</f>
        <v/>
      </c>
      <c r="AX654" s="129">
        <f t="shared" si="449"/>
        <v/>
      </c>
      <c r="AY654" s="129">
        <f>IF(N654="б/к",0,IF(OR(ISNUMBER(SEARCH("L=",Разбивка_по_щитам!P654)),N654="+",N654="="),1,0))</f>
      </c>
      <c r="AZ654" s="129">
        <f t="shared" si="450"/>
        <v/>
      </c>
      <c r="BA654" s="129">
        <f t="shared" si="451"/>
      </c>
      <c r="BB654" s="129">
        <f t="shared" si="452"/>
      </c>
      <c r="BD654" s="129">
        <f t="shared" si="453"/>
      </c>
      <c r="BE654" s="129">
        <f t="shared" si="454"/>
      </c>
      <c r="BF654" s="129">
        <f t="shared" si="455"/>
      </c>
      <c r="BG654" s="129">
        <f t="shared" si="456"/>
        <v/>
      </c>
      <c r="BH654" s="129">
        <f t="shared" si="457"/>
        <v/>
      </c>
      <c r="BI654" s="129">
        <f t="shared" si="458"/>
        <v/>
      </c>
      <c r="BJ654" s="129">
        <f t="shared" si="459"/>
        <v/>
      </c>
      <c r="BK654" s="129">
        <f>IF(R654="","",IF(OR(BY654="",BY654=0),"BOX",IFERROR(IF(VLOOKUP(BY654,УГО_блоки,3,FALSE)&amp;""&lt;&gt;"",VLOOKUP(BY654,УГО_блоки,3,FALSE),VLOOKUP(BY654,УГО_блоки,2,FALSE)),BY654)))</f>
      </c>
      <c r="BL654" s="129">
        <f t="shared" si="461"/>
      </c>
      <c r="BM654" s="129">
        <f>IF(H654="","",IF(COUNTIF($H$3:H654,H654)=1,MAX($BM$2:BM653)+1,""))</f>
      </c>
      <c r="BN654" s="129">
        <f>IF(I654="","",IF(COUNTIF($I$3:I654,I654)+COUNTIF($J$2:J653,I654)+COUNTIF($K$2:K653,I654)=1,MAX($BN$2:BP653)+1,""))</f>
      </c>
      <c r="BO654" s="129">
        <f>IF(J654="","",IF(COUNTIF($I$3:I654,J654)+COUNTIF($J$3:J654,J654)+COUNTIF($K$2:K653,J654)=1,MAX($BN$2:BP653,BN654)+1,""))</f>
      </c>
      <c r="BP654" s="129">
        <f>IF(K654="","",IF(COUNTIF($I$3:I654,K654)+COUNTIF($J$3:J654,K654)+COUNTIF($K$3:K654,K654)=1,MAX($BN$2:BP653,BN654,BO654)+1,""))</f>
      </c>
      <c r="BQ654" s="129">
        <f>IF(AY654=1,IFERROR(MID(Q654,FIND(" (",Q654)+2,FIND(")",Q654,FIND(" (",Q654))-FIND(" (",Q654)-2),"?"),"")</f>
      </c>
      <c r="BR654" s="129">
        <f>IF(BQ654="","",IF(COUNTIF($BQ$3:BQ654,BQ654)=1,MAX($BR$2:BR653)+1,""))</f>
      </c>
      <c r="BS654" s="129">
        <f>IF(AW654="","",COUNTIF($AW$3:AW654,"?*"))</f>
      </c>
      <c r="BT654" s="129">
        <f>IF(OR(AW654="",AI654=""),"",IF(COUNTIFS($AW$3:AW654,"?*",$AI$3:AI654,AI654)=1,MAX($BT$2:BT653)+1,""))</f>
      </c>
      <c r="BU654" s="129">
        <f>IF(AE654="",0,IF(OR(ISNUMBER(SEARCH("дубль",AE654)),ISNUMBER(SEARCH("ПЕРЕГРУЗ",AE654)),ISNUMBER(SEARCH("ЗАЩИЩ",AE654)),ISNUMBER(SEARCH("КАНАЛ",AE654)),ISNUMBER(SEARCH("без 30",AE654))),2,1))</f>
      </c>
      <c r="BV654" s="129">
        <f>IF(R654="","",COUNTIF($R$3:R654,"?*"))</f>
      </c>
      <c r="BW654" s="129">
        <f>IF(AY654&lt;&gt;1,0,IF(MAX(IFERROR(--VLOOKUP(R654,УГО_спр,5,FALSE),0),IFERROR(--VLOOKUP(AL654,УГО_спр,5,FALSE),0),IFERROR(--VLOOKUP(LEFT(AL654,2),УГО_спр,5,FALSE),0))&gt;0,MAX(IFERROR(--VLOOKUP(R654,УГО_спр,5,FALSE),0),IFERROR(--VLOOKUP(AL654,УГО_спр,5,FALSE),0),IFERROR(--VLOOKUP(LEFT(AL654,2),УГО_спр,5,FALSE),0)),IF(IFERROR(--LEFT(SUBSTITUTE(BQ654,"x","х"),FIND("х",SUBSTITUTE(BQ654,"x","х"))-1),3)&gt;3,Каталог!$S$9,1)))</f>
      </c>
      <c r="BX654" s="129">
        <f>IF(AY654&lt;&gt;1,0,MAX(0,IFERROR(--LEFT(SUBSTITUTE(BQ654,"x","х"),FIND("х",SUBSTITUTE(BQ654,"x","х"))-1),3)-3*BW654))</f>
      </c>
      <c r="BY654" s="129">
        <f>IF(R654="","",IFERROR(VLOOKUP(R654,УГО_спр,2,FALSE),IFERROR(VLOOKUP(AL654,УГО_спр,2,FALSE),IFERROR(VLOOKUP(LEFT(AL654,2),УГО_спр,2,FALSE),""))))</f>
      </c>
    </row>
    <row r="655" spans="1:64" x14ac:dyDescent="0.3">
      <c r="A655" s="135">
        <f>IF(Разбивка_по_щитам!F655=0,"",Разбивка_по_щитам!F655)</f>
        <v/>
      </c>
      <c r="B655" s="138">
        <f>IF(A655="","",Разбивка_по_щитам!C655)</f>
        <v/>
      </c>
      <c r="C655" s="138">
        <f t="shared" si="422"/>
        <v/>
      </c>
      <c r="D655" s="266"/>
      <c r="E655" s="266"/>
      <c r="F655" s="267"/>
      <c r="G655" s="145">
        <f t="shared" si="423"/>
        <v/>
      </c>
      <c r="H655" s="145">
        <f t="shared" si="424"/>
        <v/>
      </c>
      <c r="I655" s="266"/>
      <c r="J655" s="267"/>
      <c r="K655" s="267"/>
      <c r="L655" s="266"/>
      <c r="M655" s="147">
        <f t="shared" si="425"/>
        <v/>
      </c>
      <c r="N655" s="267"/>
      <c r="O655" s="147">
        <f t="shared" si="426"/>
        <v/>
      </c>
      <c r="P655" s="268">
        <f>IF(AY655=1,"XT"&amp;COUNTIFS($A$3:A655,A655,$AY$3:AY655,1),"")</f>
        <v/>
      </c>
      <c r="Q655" s="152">
        <f>IF(R655="","",IFERROR(SUBSTITUTE(Разбивка_по_щитам!P655,CHAR(10)," "),""))</f>
        <v/>
      </c>
      <c r="R655" s="153">
        <f>IF(OR(Разбивка_по_щитам!H655="",Разбивка_по_щитам!H655=0),"",Разбивка_по_щитам!H655)</f>
        <v/>
      </c>
      <c r="S655" s="154">
        <f>IF(R655="","",IFERROR(Разбивка_по_щитам!J655&amp;"",""))</f>
        <v/>
      </c>
      <c r="T655" s="155">
        <f>IF(R655="","",IFERROR(--Разбивка_по_щитам!L655,""))</f>
        <v/>
      </c>
      <c r="U655" s="155">
        <f>IF(R655="","",IFERROR(--Разбивка_по_щитам!K655,""))</f>
        <v/>
      </c>
      <c r="V655" s="138">
        <f>IF(R655="","",IFERROR(IF(Разбивка_по_щитам!M655=0,"",Разбивка_по_щитам!M655),""))</f>
        <v/>
      </c>
      <c r="W655" s="156">
        <f t="shared" si="427"/>
        <v/>
      </c>
      <c r="X655" s="157">
        <f t="shared" si="428"/>
        <v/>
      </c>
      <c r="Y655" s="266"/>
      <c r="Z655" s="158">
        <f t="shared" si="429"/>
        <v/>
      </c>
      <c r="AA655" s="160">
        <f t="shared" si="430"/>
        <v/>
      </c>
      <c r="AB655" s="160">
        <f>IF(R655="","",IFERROR(LOOKUP(INDEX(Справочная!$I$4:$I$19,MATCH(VLOOKUP(R655,Исходные_данные,22,FALSE),Справочная!$J$4:$J$19,0)+1),{6,10,16,20,25,32,40,50,63,80,100,125}),""))</f>
        <v/>
      </c>
      <c r="AC655" s="160">
        <f t="shared" si="431"/>
        <v/>
      </c>
      <c r="AD655" s="161">
        <f t="shared" si="432"/>
        <v/>
      </c>
      <c r="AE655" s="161">
        <f>IF(AND(R655="",G655=""),"",_xlfn.TEXTJOIN("; ",TRUE,IF(AND(R655&lt;&gt;"",V655=""),"нет фазы",""),IF(AND(R655&lt;&gt;"",N(T655)=0),"нет мощности",""),IF(AND(P655&lt;&gt;"",COUNTIFS($A$3:$A$1000,A655,$P$3:$P$1000,P655)&gt;1),"дубль клеммы "&amp;P655,""),IF(AND(W655&lt;&gt;"",W655&lt;&gt;"ok"),W655,""),IF(X655&lt;&gt;"",X655,""),IF(AND(ISNUMBER(SEARCH("(5х",Q655)),N(AK655)=1),"5 жил на 1 фазе",""),IF(AND(AL655="R",E655&lt;&gt;"",N(AS655)=0),"розетка без 30 мА",""),IF(IFERROR(_xlfn.NUMBERVALUE(MID(Q655,FIND("-",Q655,FIND("L=",Q655))+1,FIND("%",Q655)-FIND("-",Q655,FIND("L=",Q655))-1),","),0)&gt;4,"потери &gt; 4 %","")))</f>
      </c>
      <c r="AF655" s="129">
        <f>IF(E655&lt;&gt;"",COUNTIFS($A$3:A655,A655,$E$3:E655,"?*"),IF(OR(A655&lt;&gt;A654,Y655="вручную"),"",AF654))</f>
        <v/>
      </c>
      <c r="AG655" s="129">
        <f t="shared" si="433"/>
        <v/>
      </c>
      <c r="AH655" s="129">
        <f t="shared" si="434"/>
        <v/>
      </c>
      <c r="AI655" s="129">
        <f t="shared" si="435"/>
        <v/>
      </c>
      <c r="AJ655" s="129">
        <f t="shared" si="436"/>
        <v/>
      </c>
      <c r="AK655" s="129">
        <f t="shared" si="437"/>
        <v/>
      </c>
      <c r="AL655" s="129">
        <f t="shared" si="438"/>
        <v/>
      </c>
      <c r="AM655" s="129">
        <f t="shared" si="439"/>
      </c>
      <c r="AN655" s="129">
        <f t="shared" si="440"/>
      </c>
      <c r="AO655" s="129">
        <f t="shared" si="441"/>
        <v/>
      </c>
      <c r="AP655" s="129">
        <f t="shared" si="442"/>
        <v/>
      </c>
      <c r="AQ655" s="129">
        <f t="shared" si="443"/>
        <v/>
      </c>
      <c r="AR655" s="129">
        <f t="shared" si="444"/>
        <v/>
      </c>
      <c r="AS655" s="129">
        <f t="shared" si="445"/>
        <v/>
      </c>
      <c r="AT655" s="129">
        <f t="shared" si="446"/>
        <v/>
      </c>
      <c r="AU655" s="129">
        <f t="shared" si="447"/>
        <v/>
      </c>
      <c r="AV655" s="129">
        <f t="shared" si="448"/>
        <v/>
      </c>
      <c r="AW655" s="129">
        <f>IF(AV655="","",AV655&amp;"."&amp;COUNTIFS($A$3:A655,A655,$AV$3:AV655,AV655))</f>
        <v/>
      </c>
      <c r="AX655" s="129">
        <f t="shared" si="449"/>
        <v/>
      </c>
      <c r="AY655" s="129">
        <f>IF(N655="б/к",0,IF(OR(ISNUMBER(SEARCH("L=",Разбивка_по_щитам!P655)),N655="+",N655="="),1,0))</f>
      </c>
      <c r="AZ655" s="129">
        <f t="shared" si="450"/>
        <v/>
      </c>
      <c r="BA655" s="129">
        <f t="shared" si="451"/>
      </c>
      <c r="BB655" s="129">
        <f t="shared" si="452"/>
      </c>
      <c r="BD655" s="129">
        <f t="shared" si="453"/>
      </c>
      <c r="BE655" s="129">
        <f t="shared" si="454"/>
      </c>
      <c r="BF655" s="129">
        <f t="shared" si="455"/>
      </c>
      <c r="BG655" s="129">
        <f t="shared" si="456"/>
        <v/>
      </c>
      <c r="BH655" s="129">
        <f t="shared" si="457"/>
        <v/>
      </c>
      <c r="BI655" s="129">
        <f t="shared" si="458"/>
        <v/>
      </c>
      <c r="BJ655" s="129">
        <f t="shared" si="459"/>
        <v/>
      </c>
      <c r="BK655" s="129">
        <f>IF(R655="","",IF(OR(BY655="",BY655=0),"BOX",IFERROR(IF(VLOOKUP(BY655,УГО_блоки,3,FALSE)&amp;""&lt;&gt;"",VLOOKUP(BY655,УГО_блоки,3,FALSE),VLOOKUP(BY655,УГО_блоки,2,FALSE)),BY655)))</f>
      </c>
      <c r="BL655" s="129">
        <f t="shared" si="461"/>
      </c>
      <c r="BM655" s="129">
        <f>IF(H655="","",IF(COUNTIF($H$3:H655,H655)=1,MAX($BM$2:BM654)+1,""))</f>
      </c>
      <c r="BN655" s="129">
        <f>IF(I655="","",IF(COUNTIF($I$3:I655,I655)+COUNTIF($J$2:J654,I655)+COUNTIF($K$2:K654,I655)=1,MAX($BN$2:BP654)+1,""))</f>
      </c>
      <c r="BO655" s="129">
        <f>IF(J655="","",IF(COUNTIF($I$3:I655,J655)+COUNTIF($J$3:J655,J655)+COUNTIF($K$2:K654,J655)=1,MAX($BN$2:BP654,BN655)+1,""))</f>
      </c>
      <c r="BP655" s="129">
        <f>IF(K655="","",IF(COUNTIF($I$3:I655,K655)+COUNTIF($J$3:J655,K655)+COUNTIF($K$3:K655,K655)=1,MAX($BN$2:BP654,BN655,BO655)+1,""))</f>
      </c>
      <c r="BQ655" s="129">
        <f>IF(AY655=1,IFERROR(MID(Q655,FIND(" (",Q655)+2,FIND(")",Q655,FIND(" (",Q655))-FIND(" (",Q655)-2),"?"),"")</f>
      </c>
      <c r="BR655" s="129">
        <f>IF(BQ655="","",IF(COUNTIF($BQ$3:BQ655,BQ655)=1,MAX($BR$2:BR654)+1,""))</f>
      </c>
      <c r="BS655" s="129">
        <f>IF(AW655="","",COUNTIF($AW$3:AW655,"?*"))</f>
      </c>
      <c r="BT655" s="129">
        <f>IF(OR(AW655="",AI655=""),"",IF(COUNTIFS($AW$3:AW655,"?*",$AI$3:AI655,AI655)=1,MAX($BT$2:BT654)+1,""))</f>
      </c>
      <c r="BU655" s="129">
        <f>IF(AE655="",0,IF(OR(ISNUMBER(SEARCH("дубль",AE655)),ISNUMBER(SEARCH("ПЕРЕГРУЗ",AE655)),ISNUMBER(SEARCH("ЗАЩИЩ",AE655)),ISNUMBER(SEARCH("КАНАЛ",AE655)),ISNUMBER(SEARCH("без 30",AE655))),2,1))</f>
      </c>
      <c r="BV655" s="129">
        <f>IF(R655="","",COUNTIF($R$3:R655,"?*"))</f>
      </c>
      <c r="BW655" s="129">
        <f>IF(AY655&lt;&gt;1,0,IF(MAX(IFERROR(--VLOOKUP(R655,УГО_спр,5,FALSE),0),IFERROR(--VLOOKUP(AL655,УГО_спр,5,FALSE),0),IFERROR(--VLOOKUP(LEFT(AL655,2),УГО_спр,5,FALSE),0))&gt;0,MAX(IFERROR(--VLOOKUP(R655,УГО_спр,5,FALSE),0),IFERROR(--VLOOKUP(AL655,УГО_спр,5,FALSE),0),IFERROR(--VLOOKUP(LEFT(AL655,2),УГО_спр,5,FALSE),0)),IF(IFERROR(--LEFT(SUBSTITUTE(BQ655,"x","х"),FIND("х",SUBSTITUTE(BQ655,"x","х"))-1),3)&gt;3,Каталог!$S$9,1)))</f>
      </c>
      <c r="BX655" s="129">
        <f>IF(AY655&lt;&gt;1,0,MAX(0,IFERROR(--LEFT(SUBSTITUTE(BQ655,"x","х"),FIND("х",SUBSTITUTE(BQ655,"x","х"))-1),3)-3*BW655))</f>
      </c>
      <c r="BY655" s="129">
        <f>IF(R655="","",IFERROR(VLOOKUP(R655,УГО_спр,2,FALSE),IFERROR(VLOOKUP(AL655,УГО_спр,2,FALSE),IFERROR(VLOOKUP(LEFT(AL655,2),УГО_спр,2,FALSE),""))))</f>
      </c>
    </row>
    <row r="656" spans="1:64" x14ac:dyDescent="0.3">
      <c r="A656" s="135">
        <f>IF(Разбивка_по_щитам!F656=0,"",Разбивка_по_щитам!F656)</f>
        <v/>
      </c>
      <c r="B656" s="138">
        <f>IF(A656="","",Разбивка_по_щитам!C656)</f>
        <v/>
      </c>
      <c r="C656" s="138">
        <f t="shared" si="422"/>
        <v/>
      </c>
      <c r="D656" s="266"/>
      <c r="E656" s="266"/>
      <c r="F656" s="267"/>
      <c r="G656" s="145">
        <f t="shared" si="423"/>
        <v/>
      </c>
      <c r="H656" s="145">
        <f t="shared" si="424"/>
        <v/>
      </c>
      <c r="I656" s="266"/>
      <c r="J656" s="267"/>
      <c r="K656" s="267"/>
      <c r="L656" s="266"/>
      <c r="M656" s="147">
        <f t="shared" si="425"/>
        <v/>
      </c>
      <c r="N656" s="267"/>
      <c r="O656" s="147">
        <f t="shared" si="426"/>
        <v/>
      </c>
      <c r="P656" s="268">
        <f>IF(AY656=1,"XT"&amp;COUNTIFS($A$3:A656,A656,$AY$3:AY656,1),"")</f>
        <v/>
      </c>
      <c r="Q656" s="152">
        <f>IF(R656="","",IFERROR(SUBSTITUTE(Разбивка_по_щитам!P656,CHAR(10)," "),""))</f>
        <v/>
      </c>
      <c r="R656" s="153">
        <f>IF(OR(Разбивка_по_щитам!H656="",Разбивка_по_щитам!H656=0),"",Разбивка_по_щитам!H656)</f>
        <v/>
      </c>
      <c r="S656" s="154">
        <f>IF(R656="","",IFERROR(Разбивка_по_щитам!J656&amp;"",""))</f>
        <v/>
      </c>
      <c r="T656" s="155">
        <f>IF(R656="","",IFERROR(--Разбивка_по_щитам!L656,""))</f>
        <v/>
      </c>
      <c r="U656" s="155">
        <f>IF(R656="","",IFERROR(--Разбивка_по_щитам!K656,""))</f>
        <v/>
      </c>
      <c r="V656" s="138">
        <f>IF(R656="","",IFERROR(IF(Разбивка_по_щитам!M656=0,"",Разбивка_по_щитам!M656),""))</f>
        <v/>
      </c>
      <c r="W656" s="156">
        <f t="shared" si="427"/>
        <v/>
      </c>
      <c r="X656" s="157">
        <f t="shared" si="428"/>
        <v/>
      </c>
      <c r="Y656" s="266"/>
      <c r="Z656" s="158">
        <f t="shared" si="429"/>
        <v/>
      </c>
      <c r="AA656" s="160">
        <f t="shared" si="430"/>
        <v/>
      </c>
      <c r="AB656" s="160">
        <f>IF(R656="","",IFERROR(LOOKUP(INDEX(Справочная!$I$4:$I$19,MATCH(VLOOKUP(R656,Исходные_данные,22,FALSE),Справочная!$J$4:$J$19,0)+1),{6,10,16,20,25,32,40,50,63,80,100,125}),""))</f>
        <v/>
      </c>
      <c r="AC656" s="160">
        <f t="shared" si="431"/>
        <v/>
      </c>
      <c r="AD656" s="161">
        <f t="shared" si="432"/>
        <v/>
      </c>
      <c r="AE656" s="161">
        <f>IF(AND(R656="",G656=""),"",_xlfn.TEXTJOIN("; ",TRUE,IF(AND(R656&lt;&gt;"",V656=""),"нет фазы",""),IF(AND(R656&lt;&gt;"",N(T656)=0),"нет мощности",""),IF(AND(P656&lt;&gt;"",COUNTIFS($A$3:$A$1000,A656,$P$3:$P$1000,P656)&gt;1),"дубль клеммы "&amp;P656,""),IF(AND(W656&lt;&gt;"",W656&lt;&gt;"ok"),W656,""),IF(X656&lt;&gt;"",X656,""),IF(AND(ISNUMBER(SEARCH("(5х",Q656)),N(AK656)=1),"5 жил на 1 фазе",""),IF(AND(AL656="R",E656&lt;&gt;"",N(AS656)=0),"розетка без 30 мА",""),IF(IFERROR(_xlfn.NUMBERVALUE(MID(Q656,FIND("-",Q656,FIND("L=",Q656))+1,FIND("%",Q656)-FIND("-",Q656,FIND("L=",Q656))-1),","),0)&gt;4,"потери &gt; 4 %","")))</f>
      </c>
      <c r="AF656" s="129">
        <f>IF(E656&lt;&gt;"",COUNTIFS($A$3:A656,A656,$E$3:E656,"?*"),IF(OR(A656&lt;&gt;A655,Y656="вручную"),"",AF655))</f>
        <v/>
      </c>
      <c r="AG656" s="129">
        <f t="shared" si="433"/>
        <v/>
      </c>
      <c r="AH656" s="129">
        <f t="shared" si="434"/>
        <v/>
      </c>
      <c r="AI656" s="129">
        <f t="shared" si="435"/>
        <v/>
      </c>
      <c r="AJ656" s="129">
        <f t="shared" si="436"/>
        <v/>
      </c>
      <c r="AK656" s="129">
        <f t="shared" si="437"/>
        <v/>
      </c>
      <c r="AL656" s="129">
        <f t="shared" si="438"/>
        <v/>
      </c>
      <c r="AM656" s="129">
        <f t="shared" si="439"/>
      </c>
      <c r="AN656" s="129">
        <f t="shared" si="440"/>
      </c>
      <c r="AO656" s="129">
        <f t="shared" si="441"/>
        <v/>
      </c>
      <c r="AP656" s="129">
        <f t="shared" si="442"/>
        <v/>
      </c>
      <c r="AQ656" s="129">
        <f t="shared" si="443"/>
        <v/>
      </c>
      <c r="AR656" s="129">
        <f t="shared" si="444"/>
        <v/>
      </c>
      <c r="AS656" s="129">
        <f t="shared" si="445"/>
        <v/>
      </c>
      <c r="AT656" s="129">
        <f t="shared" si="446"/>
        <v/>
      </c>
      <c r="AU656" s="129">
        <f t="shared" si="447"/>
        <v/>
      </c>
      <c r="AV656" s="129">
        <f t="shared" si="448"/>
        <v/>
      </c>
      <c r="AW656" s="129">
        <f>IF(AV656="","",AV656&amp;"."&amp;COUNTIFS($A$3:A656,A656,$AV$3:AV656,AV656))</f>
        <v/>
      </c>
      <c r="AX656" s="129">
        <f t="shared" si="449"/>
        <v/>
      </c>
      <c r="AY656" s="129">
        <f>IF(N656="б/к",0,IF(OR(ISNUMBER(SEARCH("L=",Разбивка_по_щитам!P656)),N656="+",N656="="),1,0))</f>
      </c>
      <c r="AZ656" s="129">
        <f t="shared" si="450"/>
        <v/>
      </c>
      <c r="BA656" s="129">
        <f t="shared" si="451"/>
      </c>
      <c r="BB656" s="129">
        <f t="shared" si="452"/>
      </c>
      <c r="BD656" s="129">
        <f t="shared" si="453"/>
      </c>
      <c r="BE656" s="129">
        <f t="shared" si="454"/>
      </c>
      <c r="BF656" s="129">
        <f t="shared" si="455"/>
      </c>
      <c r="BG656" s="129">
        <f t="shared" si="456"/>
        <v/>
      </c>
      <c r="BH656" s="129">
        <f t="shared" si="457"/>
        <v/>
      </c>
      <c r="BI656" s="129">
        <f t="shared" si="458"/>
        <v/>
      </c>
      <c r="BJ656" s="129">
        <f t="shared" si="459"/>
        <v/>
      </c>
      <c r="BK656" s="129">
        <f>IF(R656="","",IF(OR(BY656="",BY656=0),"BOX",IFERROR(IF(VLOOKUP(BY656,УГО_блоки,3,FALSE)&amp;""&lt;&gt;"",VLOOKUP(BY656,УГО_блоки,3,FALSE),VLOOKUP(BY656,УГО_блоки,2,FALSE)),BY656)))</f>
      </c>
      <c r="BL656" s="129">
        <f t="shared" si="461"/>
      </c>
      <c r="BM656" s="129">
        <f>IF(H656="","",IF(COUNTIF($H$3:H656,H656)=1,MAX($BM$2:BM655)+1,""))</f>
      </c>
      <c r="BN656" s="129">
        <f>IF(I656="","",IF(COUNTIF($I$3:I656,I656)+COUNTIF($J$2:J655,I656)+COUNTIF($K$2:K655,I656)=1,MAX($BN$2:BP655)+1,""))</f>
      </c>
      <c r="BO656" s="129">
        <f>IF(J656="","",IF(COUNTIF($I$3:I656,J656)+COUNTIF($J$3:J656,J656)+COUNTIF($K$2:K655,J656)=1,MAX($BN$2:BP655,BN656)+1,""))</f>
      </c>
      <c r="BP656" s="129">
        <f>IF(K656="","",IF(COUNTIF($I$3:I656,K656)+COUNTIF($J$3:J656,K656)+COUNTIF($K$3:K656,K656)=1,MAX($BN$2:BP655,BN656,BO656)+1,""))</f>
      </c>
      <c r="BQ656" s="129">
        <f>IF(AY656=1,IFERROR(MID(Q656,FIND(" (",Q656)+2,FIND(")",Q656,FIND(" (",Q656))-FIND(" (",Q656)-2),"?"),"")</f>
      </c>
      <c r="BR656" s="129">
        <f>IF(BQ656="","",IF(COUNTIF($BQ$3:BQ656,BQ656)=1,MAX($BR$2:BR655)+1,""))</f>
      </c>
      <c r="BS656" s="129">
        <f>IF(AW656="","",COUNTIF($AW$3:AW656,"?*"))</f>
      </c>
      <c r="BT656" s="129">
        <f>IF(OR(AW656="",AI656=""),"",IF(COUNTIFS($AW$3:AW656,"?*",$AI$3:AI656,AI656)=1,MAX($BT$2:BT655)+1,""))</f>
      </c>
      <c r="BU656" s="129">
        <f>IF(AE656="",0,IF(OR(ISNUMBER(SEARCH("дубль",AE656)),ISNUMBER(SEARCH("ПЕРЕГРУЗ",AE656)),ISNUMBER(SEARCH("ЗАЩИЩ",AE656)),ISNUMBER(SEARCH("КАНАЛ",AE656)),ISNUMBER(SEARCH("без 30",AE656))),2,1))</f>
      </c>
      <c r="BV656" s="129">
        <f>IF(R656="","",COUNTIF($R$3:R656,"?*"))</f>
      </c>
      <c r="BW656" s="129">
        <f>IF(AY656&lt;&gt;1,0,IF(MAX(IFERROR(--VLOOKUP(R656,УГО_спр,5,FALSE),0),IFERROR(--VLOOKUP(AL656,УГО_спр,5,FALSE),0),IFERROR(--VLOOKUP(LEFT(AL656,2),УГО_спр,5,FALSE),0))&gt;0,MAX(IFERROR(--VLOOKUP(R656,УГО_спр,5,FALSE),0),IFERROR(--VLOOKUP(AL656,УГО_спр,5,FALSE),0),IFERROR(--VLOOKUP(LEFT(AL656,2),УГО_спр,5,FALSE),0)),IF(IFERROR(--LEFT(SUBSTITUTE(BQ656,"x","х"),FIND("х",SUBSTITUTE(BQ656,"x","х"))-1),3)&gt;3,Каталог!$S$9,1)))</f>
      </c>
      <c r="BX656" s="129">
        <f>IF(AY656&lt;&gt;1,0,MAX(0,IFERROR(--LEFT(SUBSTITUTE(BQ656,"x","х"),FIND("х",SUBSTITUTE(BQ656,"x","х"))-1),3)-3*BW656))</f>
      </c>
      <c r="BY656" s="129">
        <f>IF(R656="","",IFERROR(VLOOKUP(R656,УГО_спр,2,FALSE),IFERROR(VLOOKUP(AL656,УГО_спр,2,FALSE),IFERROR(VLOOKUP(LEFT(AL656,2),УГО_спр,2,FALSE),""))))</f>
      </c>
    </row>
    <row r="657" spans="1:64" x14ac:dyDescent="0.3">
      <c r="A657" s="135">
        <f>IF(Разбивка_по_щитам!F657=0,"",Разбивка_по_щитам!F657)</f>
        <v/>
      </c>
      <c r="B657" s="138">
        <f>IF(A657="","",Разбивка_по_щитам!C657)</f>
        <v/>
      </c>
      <c r="C657" s="138">
        <f t="shared" si="422"/>
        <v/>
      </c>
      <c r="D657" s="266"/>
      <c r="E657" s="266"/>
      <c r="F657" s="267"/>
      <c r="G657" s="145">
        <f t="shared" si="423"/>
        <v/>
      </c>
      <c r="H657" s="145">
        <f t="shared" si="424"/>
        <v/>
      </c>
      <c r="I657" s="266"/>
      <c r="J657" s="267"/>
      <c r="K657" s="267"/>
      <c r="L657" s="266"/>
      <c r="M657" s="147">
        <f t="shared" si="425"/>
        <v/>
      </c>
      <c r="N657" s="267"/>
      <c r="O657" s="147">
        <f t="shared" si="426"/>
        <v/>
      </c>
      <c r="P657" s="268">
        <f>IF(AY657=1,"XT"&amp;COUNTIFS($A$3:A657,A657,$AY$3:AY657,1),"")</f>
        <v/>
      </c>
      <c r="Q657" s="152">
        <f>IF(R657="","",IFERROR(SUBSTITUTE(Разбивка_по_щитам!P657,CHAR(10)," "),""))</f>
        <v/>
      </c>
      <c r="R657" s="153">
        <f>IF(OR(Разбивка_по_щитам!H657="",Разбивка_по_щитам!H657=0),"",Разбивка_по_щитам!H657)</f>
        <v/>
      </c>
      <c r="S657" s="154">
        <f>IF(R657="","",IFERROR(Разбивка_по_щитам!J657&amp;"",""))</f>
        <v/>
      </c>
      <c r="T657" s="155">
        <f>IF(R657="","",IFERROR(--Разбивка_по_щитам!L657,""))</f>
        <v/>
      </c>
      <c r="U657" s="155">
        <f>IF(R657="","",IFERROR(--Разбивка_по_щитам!K657,""))</f>
        <v/>
      </c>
      <c r="V657" s="138">
        <f>IF(R657="","",IFERROR(IF(Разбивка_по_щитам!M657=0,"",Разбивка_по_щитам!M657),""))</f>
        <v/>
      </c>
      <c r="W657" s="156">
        <f t="shared" si="427"/>
        <v/>
      </c>
      <c r="X657" s="157">
        <f t="shared" si="428"/>
        <v/>
      </c>
      <c r="Y657" s="266"/>
      <c r="Z657" s="158">
        <f t="shared" si="429"/>
        <v/>
      </c>
      <c r="AA657" s="160">
        <f t="shared" si="430"/>
        <v/>
      </c>
      <c r="AB657" s="160">
        <f>IF(R657="","",IFERROR(LOOKUP(INDEX(Справочная!$I$4:$I$19,MATCH(VLOOKUP(R657,Исходные_данные,22,FALSE),Справочная!$J$4:$J$19,0)+1),{6,10,16,20,25,32,40,50,63,80,100,125}),""))</f>
        <v/>
      </c>
      <c r="AC657" s="160">
        <f t="shared" si="431"/>
        <v/>
      </c>
      <c r="AD657" s="161">
        <f t="shared" si="432"/>
        <v/>
      </c>
      <c r="AE657" s="161">
        <f>IF(AND(R657="",G657=""),"",_xlfn.TEXTJOIN("; ",TRUE,IF(AND(R657&lt;&gt;"",V657=""),"нет фазы",""),IF(AND(R657&lt;&gt;"",N(T657)=0),"нет мощности",""),IF(AND(P657&lt;&gt;"",COUNTIFS($A$3:$A$1000,A657,$P$3:$P$1000,P657)&gt;1),"дубль клеммы "&amp;P657,""),IF(AND(W657&lt;&gt;"",W657&lt;&gt;"ok"),W657,""),IF(X657&lt;&gt;"",X657,""),IF(AND(ISNUMBER(SEARCH("(5х",Q657)),N(AK657)=1),"5 жил на 1 фазе",""),IF(AND(AL657="R",E657&lt;&gt;"",N(AS657)=0),"розетка без 30 мА",""),IF(IFERROR(_xlfn.NUMBERVALUE(MID(Q657,FIND("-",Q657,FIND("L=",Q657))+1,FIND("%",Q657)-FIND("-",Q657,FIND("L=",Q657))-1),","),0)&gt;4,"потери &gt; 4 %","")))</f>
      </c>
      <c r="AF657" s="129">
        <f>IF(E657&lt;&gt;"",COUNTIFS($A$3:A657,A657,$E$3:E657,"?*"),IF(OR(A657&lt;&gt;A656,Y657="вручную"),"",AF656))</f>
        <v/>
      </c>
      <c r="AG657" s="129">
        <f t="shared" si="433"/>
        <v/>
      </c>
      <c r="AH657" s="129">
        <f t="shared" si="434"/>
        <v/>
      </c>
      <c r="AI657" s="129">
        <f t="shared" si="435"/>
        <v/>
      </c>
      <c r="AJ657" s="129">
        <f t="shared" si="436"/>
        <v/>
      </c>
      <c r="AK657" s="129">
        <f t="shared" si="437"/>
        <v/>
      </c>
      <c r="AL657" s="129">
        <f t="shared" si="438"/>
        <v/>
      </c>
      <c r="AM657" s="129">
        <f t="shared" si="439"/>
      </c>
      <c r="AN657" s="129">
        <f t="shared" si="440"/>
      </c>
      <c r="AO657" s="129">
        <f t="shared" si="441"/>
        <v/>
      </c>
      <c r="AP657" s="129">
        <f t="shared" si="442"/>
        <v/>
      </c>
      <c r="AQ657" s="129">
        <f t="shared" si="443"/>
        <v/>
      </c>
      <c r="AR657" s="129">
        <f t="shared" si="444"/>
        <v/>
      </c>
      <c r="AS657" s="129">
        <f t="shared" si="445"/>
        <v/>
      </c>
      <c r="AT657" s="129">
        <f t="shared" si="446"/>
        <v/>
      </c>
      <c r="AU657" s="129">
        <f t="shared" si="447"/>
        <v/>
      </c>
      <c r="AV657" s="129">
        <f t="shared" si="448"/>
        <v/>
      </c>
      <c r="AW657" s="129">
        <f>IF(AV657="","",AV657&amp;"."&amp;COUNTIFS($A$3:A657,A657,$AV$3:AV657,AV657))</f>
        <v/>
      </c>
      <c r="AX657" s="129">
        <f t="shared" si="449"/>
        <v/>
      </c>
      <c r="AY657" s="129">
        <f>IF(N657="б/к",0,IF(OR(ISNUMBER(SEARCH("L=",Разбивка_по_щитам!P657)),N657="+",N657="="),1,0))</f>
      </c>
      <c r="AZ657" s="129">
        <f t="shared" si="450"/>
        <v/>
      </c>
      <c r="BA657" s="129">
        <f t="shared" si="451"/>
      </c>
      <c r="BB657" s="129">
        <f t="shared" si="452"/>
      </c>
      <c r="BD657" s="129">
        <f t="shared" si="453"/>
      </c>
      <c r="BE657" s="129">
        <f t="shared" si="454"/>
      </c>
      <c r="BF657" s="129">
        <f t="shared" si="455"/>
      </c>
      <c r="BG657" s="129">
        <f t="shared" si="456"/>
        <v/>
      </c>
      <c r="BH657" s="129">
        <f t="shared" si="457"/>
        <v/>
      </c>
      <c r="BI657" s="129">
        <f t="shared" si="458"/>
        <v/>
      </c>
      <c r="BJ657" s="129">
        <f t="shared" si="459"/>
        <v/>
      </c>
      <c r="BK657" s="129">
        <f>IF(R657="","",IF(OR(BY657="",BY657=0),"BOX",IFERROR(IF(VLOOKUP(BY657,УГО_блоки,3,FALSE)&amp;""&lt;&gt;"",VLOOKUP(BY657,УГО_блоки,3,FALSE),VLOOKUP(BY657,УГО_блоки,2,FALSE)),BY657)))</f>
      </c>
      <c r="BL657" s="129">
        <f t="shared" si="461"/>
      </c>
      <c r="BM657" s="129">
        <f>IF(H657="","",IF(COUNTIF($H$3:H657,H657)=1,MAX($BM$2:BM656)+1,""))</f>
      </c>
      <c r="BN657" s="129">
        <f>IF(I657="","",IF(COUNTIF($I$3:I657,I657)+COUNTIF($J$2:J656,I657)+COUNTIF($K$2:K656,I657)=1,MAX($BN$2:BP656)+1,""))</f>
      </c>
      <c r="BO657" s="129">
        <f>IF(J657="","",IF(COUNTIF($I$3:I657,J657)+COUNTIF($J$3:J657,J657)+COUNTIF($K$2:K656,J657)=1,MAX($BN$2:BP656,BN657)+1,""))</f>
      </c>
      <c r="BP657" s="129">
        <f>IF(K657="","",IF(COUNTIF($I$3:I657,K657)+COUNTIF($J$3:J657,K657)+COUNTIF($K$3:K657,K657)=1,MAX($BN$2:BP656,BN657,BO657)+1,""))</f>
      </c>
      <c r="BQ657" s="129">
        <f>IF(AY657=1,IFERROR(MID(Q657,FIND(" (",Q657)+2,FIND(")",Q657,FIND(" (",Q657))-FIND(" (",Q657)-2),"?"),"")</f>
      </c>
      <c r="BR657" s="129">
        <f>IF(BQ657="","",IF(COUNTIF($BQ$3:BQ657,BQ657)=1,MAX($BR$2:BR656)+1,""))</f>
      </c>
      <c r="BS657" s="129">
        <f>IF(AW657="","",COUNTIF($AW$3:AW657,"?*"))</f>
      </c>
      <c r="BT657" s="129">
        <f>IF(OR(AW657="",AI657=""),"",IF(COUNTIFS($AW$3:AW657,"?*",$AI$3:AI657,AI657)=1,MAX($BT$2:BT656)+1,""))</f>
      </c>
      <c r="BU657" s="129">
        <f>IF(AE657="",0,IF(OR(ISNUMBER(SEARCH("дубль",AE657)),ISNUMBER(SEARCH("ПЕРЕГРУЗ",AE657)),ISNUMBER(SEARCH("ЗАЩИЩ",AE657)),ISNUMBER(SEARCH("КАНАЛ",AE657)),ISNUMBER(SEARCH("без 30",AE657))),2,1))</f>
      </c>
      <c r="BV657" s="129">
        <f>IF(R657="","",COUNTIF($R$3:R657,"?*"))</f>
      </c>
      <c r="BW657" s="129">
        <f>IF(AY657&lt;&gt;1,0,IF(MAX(IFERROR(--VLOOKUP(R657,УГО_спр,5,FALSE),0),IFERROR(--VLOOKUP(AL657,УГО_спр,5,FALSE),0),IFERROR(--VLOOKUP(LEFT(AL657,2),УГО_спр,5,FALSE),0))&gt;0,MAX(IFERROR(--VLOOKUP(R657,УГО_спр,5,FALSE),0),IFERROR(--VLOOKUP(AL657,УГО_спр,5,FALSE),0),IFERROR(--VLOOKUP(LEFT(AL657,2),УГО_спр,5,FALSE),0)),IF(IFERROR(--LEFT(SUBSTITUTE(BQ657,"x","х"),FIND("х",SUBSTITUTE(BQ657,"x","х"))-1),3)&gt;3,Каталог!$S$9,1)))</f>
      </c>
      <c r="BX657" s="129">
        <f>IF(AY657&lt;&gt;1,0,MAX(0,IFERROR(--LEFT(SUBSTITUTE(BQ657,"x","х"),FIND("х",SUBSTITUTE(BQ657,"x","х"))-1),3)-3*BW657))</f>
      </c>
      <c r="BY657" s="129">
        <f>IF(R657="","",IFERROR(VLOOKUP(R657,УГО_спр,2,FALSE),IFERROR(VLOOKUP(AL657,УГО_спр,2,FALSE),IFERROR(VLOOKUP(LEFT(AL657,2),УГО_спр,2,FALSE),""))))</f>
      </c>
    </row>
    <row r="658" spans="1:64" x14ac:dyDescent="0.3">
      <c r="A658" s="135">
        <f>IF(Разбивка_по_щитам!F658=0,"",Разбивка_по_щитам!F658)</f>
        <v/>
      </c>
      <c r="B658" s="138">
        <f>IF(A658="","",Разбивка_по_щитам!C658)</f>
        <v/>
      </c>
      <c r="C658" s="138">
        <f t="shared" si="422"/>
        <v/>
      </c>
      <c r="D658" s="266"/>
      <c r="E658" s="266"/>
      <c r="F658" s="267"/>
      <c r="G658" s="145">
        <f t="shared" si="423"/>
        <v/>
      </c>
      <c r="H658" s="145">
        <f t="shared" si="424"/>
        <v/>
      </c>
      <c r="I658" s="266"/>
      <c r="J658" s="267"/>
      <c r="K658" s="267"/>
      <c r="L658" s="266"/>
      <c r="M658" s="147">
        <f t="shared" si="425"/>
        <v/>
      </c>
      <c r="N658" s="267"/>
      <c r="O658" s="147">
        <f t="shared" si="426"/>
        <v/>
      </c>
      <c r="P658" s="268">
        <f>IF(AY658=1,"XT"&amp;COUNTIFS($A$3:A658,A658,$AY$3:AY658,1),"")</f>
        <v/>
      </c>
      <c r="Q658" s="152">
        <f>IF(R658="","",IFERROR(SUBSTITUTE(Разбивка_по_щитам!P658,CHAR(10)," "),""))</f>
        <v/>
      </c>
      <c r="R658" s="153">
        <f>IF(OR(Разбивка_по_щитам!H658="",Разбивка_по_щитам!H658=0),"",Разбивка_по_щитам!H658)</f>
        <v/>
      </c>
      <c r="S658" s="154">
        <f>IF(R658="","",IFERROR(Разбивка_по_щитам!J658&amp;"",""))</f>
        <v/>
      </c>
      <c r="T658" s="155">
        <f>IF(R658="","",IFERROR(--Разбивка_по_щитам!L658,""))</f>
        <v/>
      </c>
      <c r="U658" s="155">
        <f>IF(R658="","",IFERROR(--Разбивка_по_щитам!K658,""))</f>
        <v/>
      </c>
      <c r="V658" s="138">
        <f>IF(R658="","",IFERROR(IF(Разбивка_по_щитам!M658=0,"",Разбивка_по_щитам!M658),""))</f>
        <v/>
      </c>
      <c r="W658" s="156">
        <f t="shared" si="427"/>
        <v/>
      </c>
      <c r="X658" s="157">
        <f t="shared" si="428"/>
        <v/>
      </c>
      <c r="Y658" s="266"/>
      <c r="Z658" s="158">
        <f t="shared" si="429"/>
        <v/>
      </c>
      <c r="AA658" s="160">
        <f t="shared" si="430"/>
        <v/>
      </c>
      <c r="AB658" s="160">
        <f>IF(R658="","",IFERROR(LOOKUP(INDEX(Справочная!$I$4:$I$19,MATCH(VLOOKUP(R658,Исходные_данные,22,FALSE),Справочная!$J$4:$J$19,0)+1),{6,10,16,20,25,32,40,50,63,80,100,125}),""))</f>
        <v/>
      </c>
      <c r="AC658" s="160">
        <f t="shared" si="431"/>
        <v/>
      </c>
      <c r="AD658" s="161">
        <f t="shared" si="432"/>
        <v/>
      </c>
      <c r="AE658" s="161">
        <f>IF(AND(R658="",G658=""),"",_xlfn.TEXTJOIN("; ",TRUE,IF(AND(R658&lt;&gt;"",V658=""),"нет фазы",""),IF(AND(R658&lt;&gt;"",N(T658)=0),"нет мощности",""),IF(AND(P658&lt;&gt;"",COUNTIFS($A$3:$A$1000,A658,$P$3:$P$1000,P658)&gt;1),"дубль клеммы "&amp;P658,""),IF(AND(W658&lt;&gt;"",W658&lt;&gt;"ok"),W658,""),IF(X658&lt;&gt;"",X658,""),IF(AND(ISNUMBER(SEARCH("(5х",Q658)),N(AK658)=1),"5 жил на 1 фазе",""),IF(AND(AL658="R",E658&lt;&gt;"",N(AS658)=0),"розетка без 30 мА",""),IF(IFERROR(_xlfn.NUMBERVALUE(MID(Q658,FIND("-",Q658,FIND("L=",Q658))+1,FIND("%",Q658)-FIND("-",Q658,FIND("L=",Q658))-1),","),0)&gt;4,"потери &gt; 4 %","")))</f>
      </c>
      <c r="AF658" s="129">
        <f>IF(E658&lt;&gt;"",COUNTIFS($A$3:A658,A658,$E$3:E658,"?*"),IF(OR(A658&lt;&gt;A657,Y658="вручную"),"",AF657))</f>
        <v/>
      </c>
      <c r="AG658" s="129">
        <f t="shared" si="433"/>
        <v/>
      </c>
      <c r="AH658" s="129">
        <f t="shared" si="434"/>
        <v/>
      </c>
      <c r="AI658" s="129">
        <f t="shared" si="435"/>
        <v/>
      </c>
      <c r="AJ658" s="129">
        <f t="shared" si="436"/>
        <v/>
      </c>
      <c r="AK658" s="129">
        <f t="shared" si="437"/>
        <v/>
      </c>
      <c r="AL658" s="129">
        <f t="shared" si="438"/>
        <v/>
      </c>
      <c r="AM658" s="129">
        <f t="shared" si="439"/>
      </c>
      <c r="AN658" s="129">
        <f t="shared" si="440"/>
      </c>
      <c r="AO658" s="129">
        <f t="shared" si="441"/>
        <v/>
      </c>
      <c r="AP658" s="129">
        <f t="shared" si="442"/>
        <v/>
      </c>
      <c r="AQ658" s="129">
        <f t="shared" si="443"/>
        <v/>
      </c>
      <c r="AR658" s="129">
        <f t="shared" si="444"/>
        <v/>
      </c>
      <c r="AS658" s="129">
        <f t="shared" si="445"/>
        <v/>
      </c>
      <c r="AT658" s="129">
        <f t="shared" si="446"/>
        <v/>
      </c>
      <c r="AU658" s="129">
        <f t="shared" si="447"/>
        <v/>
      </c>
      <c r="AV658" s="129">
        <f t="shared" si="448"/>
        <v/>
      </c>
      <c r="AW658" s="129">
        <f>IF(AV658="","",AV658&amp;"."&amp;COUNTIFS($A$3:A658,A658,$AV$3:AV658,AV658))</f>
        <v/>
      </c>
      <c r="AX658" s="129">
        <f t="shared" si="449"/>
        <v/>
      </c>
      <c r="AY658" s="129">
        <f>IF(N658="б/к",0,IF(OR(ISNUMBER(SEARCH("L=",Разбивка_по_щитам!P658)),N658="+",N658="="),1,0))</f>
      </c>
      <c r="AZ658" s="129">
        <f t="shared" si="450"/>
        <v/>
      </c>
      <c r="BA658" s="129">
        <f t="shared" si="451"/>
      </c>
      <c r="BB658" s="129">
        <f t="shared" si="452"/>
      </c>
      <c r="BD658" s="129">
        <f t="shared" si="453"/>
      </c>
      <c r="BE658" s="129">
        <f t="shared" si="454"/>
      </c>
      <c r="BF658" s="129">
        <f t="shared" si="455"/>
      </c>
      <c r="BG658" s="129">
        <f t="shared" si="456"/>
        <v/>
      </c>
      <c r="BH658" s="129">
        <f t="shared" si="457"/>
        <v/>
      </c>
      <c r="BI658" s="129">
        <f t="shared" si="458"/>
        <v/>
      </c>
      <c r="BJ658" s="129">
        <f t="shared" si="459"/>
        <v/>
      </c>
      <c r="BK658" s="129">
        <f>IF(R658="","",IF(OR(BY658="",BY658=0),"BOX",IFERROR(IF(VLOOKUP(BY658,УГО_блоки,3,FALSE)&amp;""&lt;&gt;"",VLOOKUP(BY658,УГО_блоки,3,FALSE),VLOOKUP(BY658,УГО_блоки,2,FALSE)),BY658)))</f>
      </c>
      <c r="BL658" s="129">
        <f t="shared" si="461"/>
      </c>
      <c r="BM658" s="129">
        <f>IF(H658="","",IF(COUNTIF($H$3:H658,H658)=1,MAX($BM$2:BM657)+1,""))</f>
      </c>
      <c r="BN658" s="129">
        <f>IF(I658="","",IF(COUNTIF($I$3:I658,I658)+COUNTIF($J$2:J657,I658)+COUNTIF($K$2:K657,I658)=1,MAX($BN$2:BP657)+1,""))</f>
      </c>
      <c r="BO658" s="129">
        <f>IF(J658="","",IF(COUNTIF($I$3:I658,J658)+COUNTIF($J$3:J658,J658)+COUNTIF($K$2:K657,J658)=1,MAX($BN$2:BP657,BN658)+1,""))</f>
      </c>
      <c r="BP658" s="129">
        <f>IF(K658="","",IF(COUNTIF($I$3:I658,K658)+COUNTIF($J$3:J658,K658)+COUNTIF($K$3:K658,K658)=1,MAX($BN$2:BP657,BN658,BO658)+1,""))</f>
      </c>
      <c r="BQ658" s="129">
        <f>IF(AY658=1,IFERROR(MID(Q658,FIND(" (",Q658)+2,FIND(")",Q658,FIND(" (",Q658))-FIND(" (",Q658)-2),"?"),"")</f>
      </c>
      <c r="BR658" s="129">
        <f>IF(BQ658="","",IF(COUNTIF($BQ$3:BQ658,BQ658)=1,MAX($BR$2:BR657)+1,""))</f>
      </c>
      <c r="BS658" s="129">
        <f>IF(AW658="","",COUNTIF($AW$3:AW658,"?*"))</f>
      </c>
      <c r="BT658" s="129">
        <f>IF(OR(AW658="",AI658=""),"",IF(COUNTIFS($AW$3:AW658,"?*",$AI$3:AI658,AI658)=1,MAX($BT$2:BT657)+1,""))</f>
      </c>
      <c r="BU658" s="129">
        <f>IF(AE658="",0,IF(OR(ISNUMBER(SEARCH("дубль",AE658)),ISNUMBER(SEARCH("ПЕРЕГРУЗ",AE658)),ISNUMBER(SEARCH("ЗАЩИЩ",AE658)),ISNUMBER(SEARCH("КАНАЛ",AE658)),ISNUMBER(SEARCH("без 30",AE658))),2,1))</f>
      </c>
      <c r="BV658" s="129">
        <f>IF(R658="","",COUNTIF($R$3:R658,"?*"))</f>
      </c>
      <c r="BW658" s="129">
        <f>IF(AY658&lt;&gt;1,0,IF(MAX(IFERROR(--VLOOKUP(R658,УГО_спр,5,FALSE),0),IFERROR(--VLOOKUP(AL658,УГО_спр,5,FALSE),0),IFERROR(--VLOOKUP(LEFT(AL658,2),УГО_спр,5,FALSE),0))&gt;0,MAX(IFERROR(--VLOOKUP(R658,УГО_спр,5,FALSE),0),IFERROR(--VLOOKUP(AL658,УГО_спр,5,FALSE),0),IFERROR(--VLOOKUP(LEFT(AL658,2),УГО_спр,5,FALSE),0)),IF(IFERROR(--LEFT(SUBSTITUTE(BQ658,"x","х"),FIND("х",SUBSTITUTE(BQ658,"x","х"))-1),3)&gt;3,Каталог!$S$9,1)))</f>
      </c>
      <c r="BX658" s="129">
        <f>IF(AY658&lt;&gt;1,0,MAX(0,IFERROR(--LEFT(SUBSTITUTE(BQ658,"x","х"),FIND("х",SUBSTITUTE(BQ658,"x","х"))-1),3)-3*BW658))</f>
      </c>
      <c r="BY658" s="129">
        <f>IF(R658="","",IFERROR(VLOOKUP(R658,УГО_спр,2,FALSE),IFERROR(VLOOKUP(AL658,УГО_спр,2,FALSE),IFERROR(VLOOKUP(LEFT(AL658,2),УГО_спр,2,FALSE),""))))</f>
      </c>
    </row>
    <row r="659" spans="1:64" x14ac:dyDescent="0.3">
      <c r="A659" s="135">
        <f>IF(Разбивка_по_щитам!F659=0,"",Разбивка_по_щитам!F659)</f>
        <v/>
      </c>
      <c r="B659" s="138">
        <f>IF(A659="","",Разбивка_по_щитам!C659)</f>
        <v/>
      </c>
      <c r="C659" s="138">
        <f t="shared" si="422"/>
        <v/>
      </c>
      <c r="D659" s="266"/>
      <c r="E659" s="266"/>
      <c r="F659" s="267"/>
      <c r="G659" s="145">
        <f t="shared" si="423"/>
        <v/>
      </c>
      <c r="H659" s="145">
        <f t="shared" si="424"/>
        <v/>
      </c>
      <c r="I659" s="266"/>
      <c r="J659" s="267"/>
      <c r="K659" s="267"/>
      <c r="L659" s="266"/>
      <c r="M659" s="147">
        <f t="shared" si="425"/>
        <v/>
      </c>
      <c r="N659" s="267"/>
      <c r="O659" s="147">
        <f t="shared" si="426"/>
        <v/>
      </c>
      <c r="P659" s="268">
        <f>IF(AY659=1,"XT"&amp;COUNTIFS($A$3:A659,A659,$AY$3:AY659,1),"")</f>
        <v/>
      </c>
      <c r="Q659" s="152">
        <f>IF(R659="","",IFERROR(SUBSTITUTE(Разбивка_по_щитам!P659,CHAR(10)," "),""))</f>
        <v/>
      </c>
      <c r="R659" s="153">
        <f>IF(OR(Разбивка_по_щитам!H659="",Разбивка_по_щитам!H659=0),"",Разбивка_по_щитам!H659)</f>
        <v/>
      </c>
      <c r="S659" s="154">
        <f>IF(R659="","",IFERROR(Разбивка_по_щитам!J659&amp;"",""))</f>
        <v/>
      </c>
      <c r="T659" s="155">
        <f>IF(R659="","",IFERROR(--Разбивка_по_щитам!L659,""))</f>
        <v/>
      </c>
      <c r="U659" s="155">
        <f>IF(R659="","",IFERROR(--Разбивка_по_щитам!K659,""))</f>
        <v/>
      </c>
      <c r="V659" s="138">
        <f>IF(R659="","",IFERROR(IF(Разбивка_по_щитам!M659=0,"",Разбивка_по_щитам!M659),""))</f>
        <v/>
      </c>
      <c r="W659" s="156">
        <f t="shared" si="427"/>
        <v/>
      </c>
      <c r="X659" s="157">
        <f t="shared" si="428"/>
        <v/>
      </c>
      <c r="Y659" s="266"/>
      <c r="Z659" s="158">
        <f t="shared" si="429"/>
        <v/>
      </c>
      <c r="AA659" s="160">
        <f t="shared" si="430"/>
        <v/>
      </c>
      <c r="AB659" s="160">
        <f>IF(R659="","",IFERROR(LOOKUP(INDEX(Справочная!$I$4:$I$19,MATCH(VLOOKUP(R659,Исходные_данные,22,FALSE),Справочная!$J$4:$J$19,0)+1),{6,10,16,20,25,32,40,50,63,80,100,125}),""))</f>
        <v/>
      </c>
      <c r="AC659" s="160">
        <f t="shared" si="431"/>
        <v/>
      </c>
      <c r="AD659" s="161">
        <f t="shared" si="432"/>
        <v/>
      </c>
      <c r="AE659" s="161">
        <f>IF(AND(R659="",G659=""),"",_xlfn.TEXTJOIN("; ",TRUE,IF(AND(R659&lt;&gt;"",V659=""),"нет фазы",""),IF(AND(R659&lt;&gt;"",N(T659)=0),"нет мощности",""),IF(AND(P659&lt;&gt;"",COUNTIFS($A$3:$A$1000,A659,$P$3:$P$1000,P659)&gt;1),"дубль клеммы "&amp;P659,""),IF(AND(W659&lt;&gt;"",W659&lt;&gt;"ok"),W659,""),IF(X659&lt;&gt;"",X659,""),IF(AND(ISNUMBER(SEARCH("(5х",Q659)),N(AK659)=1),"5 жил на 1 фазе",""),IF(AND(AL659="R",E659&lt;&gt;"",N(AS659)=0),"розетка без 30 мА",""),IF(IFERROR(_xlfn.NUMBERVALUE(MID(Q659,FIND("-",Q659,FIND("L=",Q659))+1,FIND("%",Q659)-FIND("-",Q659,FIND("L=",Q659))-1),","),0)&gt;4,"потери &gt; 4 %","")))</f>
      </c>
      <c r="AF659" s="129">
        <f>IF(E659&lt;&gt;"",COUNTIFS($A$3:A659,A659,$E$3:E659,"?*"),IF(OR(A659&lt;&gt;A658,Y659="вручную"),"",AF658))</f>
        <v/>
      </c>
      <c r="AG659" s="129">
        <f t="shared" si="433"/>
        <v/>
      </c>
      <c r="AH659" s="129">
        <f t="shared" si="434"/>
        <v/>
      </c>
      <c r="AI659" s="129">
        <f t="shared" si="435"/>
        <v/>
      </c>
      <c r="AJ659" s="129">
        <f t="shared" si="436"/>
        <v/>
      </c>
      <c r="AK659" s="129">
        <f t="shared" si="437"/>
        <v/>
      </c>
      <c r="AL659" s="129">
        <f t="shared" si="438"/>
        <v/>
      </c>
      <c r="AM659" s="129">
        <f t="shared" si="439"/>
      </c>
      <c r="AN659" s="129">
        <f t="shared" si="440"/>
      </c>
      <c r="AO659" s="129">
        <f t="shared" si="441"/>
        <v/>
      </c>
      <c r="AP659" s="129">
        <f t="shared" si="442"/>
        <v/>
      </c>
      <c r="AQ659" s="129">
        <f t="shared" si="443"/>
        <v/>
      </c>
      <c r="AR659" s="129">
        <f t="shared" si="444"/>
        <v/>
      </c>
      <c r="AS659" s="129">
        <f t="shared" si="445"/>
        <v/>
      </c>
      <c r="AT659" s="129">
        <f t="shared" si="446"/>
        <v/>
      </c>
      <c r="AU659" s="129">
        <f t="shared" si="447"/>
        <v/>
      </c>
      <c r="AV659" s="129">
        <f t="shared" si="448"/>
        <v/>
      </c>
      <c r="AW659" s="129">
        <f>IF(AV659="","",AV659&amp;"."&amp;COUNTIFS($A$3:A659,A659,$AV$3:AV659,AV659))</f>
        <v/>
      </c>
      <c r="AX659" s="129">
        <f t="shared" si="449"/>
        <v/>
      </c>
      <c r="AY659" s="129">
        <f>IF(N659="б/к",0,IF(OR(ISNUMBER(SEARCH("L=",Разбивка_по_щитам!P659)),N659="+",N659="="),1,0))</f>
      </c>
      <c r="AZ659" s="129">
        <f t="shared" si="450"/>
        <v/>
      </c>
      <c r="BA659" s="129">
        <f t="shared" si="451"/>
      </c>
      <c r="BB659" s="129">
        <f t="shared" si="452"/>
      </c>
      <c r="BD659" s="129">
        <f t="shared" si="453"/>
      </c>
      <c r="BE659" s="129">
        <f t="shared" si="454"/>
      </c>
      <c r="BF659" s="129">
        <f t="shared" si="455"/>
      </c>
      <c r="BG659" s="129">
        <f t="shared" si="456"/>
        <v/>
      </c>
      <c r="BH659" s="129">
        <f t="shared" si="457"/>
        <v/>
      </c>
      <c r="BI659" s="129">
        <f t="shared" si="458"/>
        <v/>
      </c>
      <c r="BJ659" s="129">
        <f t="shared" si="459"/>
        <v/>
      </c>
      <c r="BK659" s="129">
        <f>IF(R659="","",IF(OR(BY659="",BY659=0),"BOX",IFERROR(IF(VLOOKUP(BY659,УГО_блоки,3,FALSE)&amp;""&lt;&gt;"",VLOOKUP(BY659,УГО_блоки,3,FALSE),VLOOKUP(BY659,УГО_блоки,2,FALSE)),BY659)))</f>
      </c>
      <c r="BL659" s="129">
        <f t="shared" si="461"/>
      </c>
      <c r="BM659" s="129">
        <f>IF(H659="","",IF(COUNTIF($H$3:H659,H659)=1,MAX($BM$2:BM658)+1,""))</f>
      </c>
      <c r="BN659" s="129">
        <f>IF(I659="","",IF(COUNTIF($I$3:I659,I659)+COUNTIF($J$2:J658,I659)+COUNTIF($K$2:K658,I659)=1,MAX($BN$2:BP658)+1,""))</f>
      </c>
      <c r="BO659" s="129">
        <f>IF(J659="","",IF(COUNTIF($I$3:I659,J659)+COUNTIF($J$3:J659,J659)+COUNTIF($K$2:K658,J659)=1,MAX($BN$2:BP658,BN659)+1,""))</f>
      </c>
      <c r="BP659" s="129">
        <f>IF(K659="","",IF(COUNTIF($I$3:I659,K659)+COUNTIF($J$3:J659,K659)+COUNTIF($K$3:K659,K659)=1,MAX($BN$2:BP658,BN659,BO659)+1,""))</f>
      </c>
      <c r="BQ659" s="129">
        <f>IF(AY659=1,IFERROR(MID(Q659,FIND(" (",Q659)+2,FIND(")",Q659,FIND(" (",Q659))-FIND(" (",Q659)-2),"?"),"")</f>
      </c>
      <c r="BR659" s="129">
        <f>IF(BQ659="","",IF(COUNTIF($BQ$3:BQ659,BQ659)=1,MAX($BR$2:BR658)+1,""))</f>
      </c>
      <c r="BS659" s="129">
        <f>IF(AW659="","",COUNTIF($AW$3:AW659,"?*"))</f>
      </c>
      <c r="BT659" s="129">
        <f>IF(OR(AW659="",AI659=""),"",IF(COUNTIFS($AW$3:AW659,"?*",$AI$3:AI659,AI659)=1,MAX($BT$2:BT658)+1,""))</f>
      </c>
      <c r="BU659" s="129">
        <f>IF(AE659="",0,IF(OR(ISNUMBER(SEARCH("дубль",AE659)),ISNUMBER(SEARCH("ПЕРЕГРУЗ",AE659)),ISNUMBER(SEARCH("ЗАЩИЩ",AE659)),ISNUMBER(SEARCH("КАНАЛ",AE659)),ISNUMBER(SEARCH("без 30",AE659))),2,1))</f>
      </c>
      <c r="BV659" s="129">
        <f>IF(R659="","",COUNTIF($R$3:R659,"?*"))</f>
      </c>
      <c r="BW659" s="129">
        <f>IF(AY659&lt;&gt;1,0,IF(MAX(IFERROR(--VLOOKUP(R659,УГО_спр,5,FALSE),0),IFERROR(--VLOOKUP(AL659,УГО_спр,5,FALSE),0),IFERROR(--VLOOKUP(LEFT(AL659,2),УГО_спр,5,FALSE),0))&gt;0,MAX(IFERROR(--VLOOKUP(R659,УГО_спр,5,FALSE),0),IFERROR(--VLOOKUP(AL659,УГО_спр,5,FALSE),0),IFERROR(--VLOOKUP(LEFT(AL659,2),УГО_спр,5,FALSE),0)),IF(IFERROR(--LEFT(SUBSTITUTE(BQ659,"x","х"),FIND("х",SUBSTITUTE(BQ659,"x","х"))-1),3)&gt;3,Каталог!$S$9,1)))</f>
      </c>
      <c r="BX659" s="129">
        <f>IF(AY659&lt;&gt;1,0,MAX(0,IFERROR(--LEFT(SUBSTITUTE(BQ659,"x","х"),FIND("х",SUBSTITUTE(BQ659,"x","х"))-1),3)-3*BW659))</f>
      </c>
      <c r="BY659" s="129">
        <f>IF(R659="","",IFERROR(VLOOKUP(R659,УГО_спр,2,FALSE),IFERROR(VLOOKUP(AL659,УГО_спр,2,FALSE),IFERROR(VLOOKUP(LEFT(AL659,2),УГО_спр,2,FALSE),""))))</f>
      </c>
    </row>
    <row r="660" spans="1:64" x14ac:dyDescent="0.3">
      <c r="A660" s="135">
        <f>IF(Разбивка_по_щитам!F660=0,"",Разбивка_по_щитам!F660)</f>
        <v/>
      </c>
      <c r="B660" s="138">
        <f>IF(A660="","",Разбивка_по_щитам!C660)</f>
        <v/>
      </c>
      <c r="C660" s="138">
        <f t="shared" si="422"/>
        <v/>
      </c>
      <c r="D660" s="266"/>
      <c r="E660" s="266"/>
      <c r="F660" s="267"/>
      <c r="G660" s="145">
        <f t="shared" si="423"/>
        <v/>
      </c>
      <c r="H660" s="145">
        <f t="shared" si="424"/>
        <v/>
      </c>
      <c r="I660" s="266"/>
      <c r="J660" s="267"/>
      <c r="K660" s="267"/>
      <c r="L660" s="266"/>
      <c r="M660" s="147">
        <f t="shared" si="425"/>
        <v/>
      </c>
      <c r="N660" s="267"/>
      <c r="O660" s="147">
        <f t="shared" si="426"/>
        <v/>
      </c>
      <c r="P660" s="268">
        <f>IF(AY660=1,"XT"&amp;COUNTIFS($A$3:A660,A660,$AY$3:AY660,1),"")</f>
        <v/>
      </c>
      <c r="Q660" s="152">
        <f>IF(R660="","",IFERROR(SUBSTITUTE(Разбивка_по_щитам!P660,CHAR(10)," "),""))</f>
        <v/>
      </c>
      <c r="R660" s="153">
        <f>IF(OR(Разбивка_по_щитам!H660="",Разбивка_по_щитам!H660=0),"",Разбивка_по_щитам!H660)</f>
        <v/>
      </c>
      <c r="S660" s="154">
        <f>IF(R660="","",IFERROR(Разбивка_по_щитам!J660&amp;"",""))</f>
        <v/>
      </c>
      <c r="T660" s="155">
        <f>IF(R660="","",IFERROR(--Разбивка_по_щитам!L660,""))</f>
        <v/>
      </c>
      <c r="U660" s="155">
        <f>IF(R660="","",IFERROR(--Разбивка_по_щитам!K660,""))</f>
        <v/>
      </c>
      <c r="V660" s="138">
        <f>IF(R660="","",IFERROR(IF(Разбивка_по_щитам!M660=0,"",Разбивка_по_щитам!M660),""))</f>
        <v/>
      </c>
      <c r="W660" s="156">
        <f t="shared" si="427"/>
        <v/>
      </c>
      <c r="X660" s="157">
        <f t="shared" si="428"/>
        <v/>
      </c>
      <c r="Y660" s="266"/>
      <c r="Z660" s="158">
        <f t="shared" si="429"/>
        <v/>
      </c>
      <c r="AA660" s="160">
        <f t="shared" si="430"/>
        <v/>
      </c>
      <c r="AB660" s="160">
        <f>IF(R660="","",IFERROR(LOOKUP(INDEX(Справочная!$I$4:$I$19,MATCH(VLOOKUP(R660,Исходные_данные,22,FALSE),Справочная!$J$4:$J$19,0)+1),{6,10,16,20,25,32,40,50,63,80,100,125}),""))</f>
        <v/>
      </c>
      <c r="AC660" s="160">
        <f t="shared" si="431"/>
        <v/>
      </c>
      <c r="AD660" s="161">
        <f t="shared" si="432"/>
        <v/>
      </c>
      <c r="AE660" s="161">
        <f>IF(AND(R660="",G660=""),"",_xlfn.TEXTJOIN("; ",TRUE,IF(AND(R660&lt;&gt;"",V660=""),"нет фазы",""),IF(AND(R660&lt;&gt;"",N(T660)=0),"нет мощности",""),IF(AND(P660&lt;&gt;"",COUNTIFS($A$3:$A$1000,A660,$P$3:$P$1000,P660)&gt;1),"дубль клеммы "&amp;P660,""),IF(AND(W660&lt;&gt;"",W660&lt;&gt;"ok"),W660,""),IF(X660&lt;&gt;"",X660,""),IF(AND(ISNUMBER(SEARCH("(5х",Q660)),N(AK660)=1),"5 жил на 1 фазе",""),IF(AND(AL660="R",E660&lt;&gt;"",N(AS660)=0),"розетка без 30 мА",""),IF(IFERROR(_xlfn.NUMBERVALUE(MID(Q660,FIND("-",Q660,FIND("L=",Q660))+1,FIND("%",Q660)-FIND("-",Q660,FIND("L=",Q660))-1),","),0)&gt;4,"потери &gt; 4 %","")))</f>
      </c>
      <c r="AF660" s="129">
        <f>IF(E660&lt;&gt;"",COUNTIFS($A$3:A660,A660,$E$3:E660,"?*"),IF(OR(A660&lt;&gt;A659,Y660="вручную"),"",AF659))</f>
        <v/>
      </c>
      <c r="AG660" s="129">
        <f t="shared" si="433"/>
        <v/>
      </c>
      <c r="AH660" s="129">
        <f t="shared" si="434"/>
        <v/>
      </c>
      <c r="AI660" s="129">
        <f t="shared" si="435"/>
        <v/>
      </c>
      <c r="AJ660" s="129">
        <f t="shared" si="436"/>
        <v/>
      </c>
      <c r="AK660" s="129">
        <f t="shared" si="437"/>
        <v/>
      </c>
      <c r="AL660" s="129">
        <f t="shared" si="438"/>
        <v/>
      </c>
      <c r="AM660" s="129">
        <f t="shared" si="439"/>
      </c>
      <c r="AN660" s="129">
        <f t="shared" si="440"/>
      </c>
      <c r="AO660" s="129">
        <f t="shared" si="441"/>
        <v/>
      </c>
      <c r="AP660" s="129">
        <f t="shared" si="442"/>
        <v/>
      </c>
      <c r="AQ660" s="129">
        <f t="shared" si="443"/>
        <v/>
      </c>
      <c r="AR660" s="129">
        <f t="shared" si="444"/>
        <v/>
      </c>
      <c r="AS660" s="129">
        <f t="shared" si="445"/>
        <v/>
      </c>
      <c r="AT660" s="129">
        <f t="shared" si="446"/>
        <v/>
      </c>
      <c r="AU660" s="129">
        <f t="shared" si="447"/>
        <v/>
      </c>
      <c r="AV660" s="129">
        <f t="shared" si="448"/>
        <v/>
      </c>
      <c r="AW660" s="129">
        <f>IF(AV660="","",AV660&amp;"."&amp;COUNTIFS($A$3:A660,A660,$AV$3:AV660,AV660))</f>
        <v/>
      </c>
      <c r="AX660" s="129">
        <f t="shared" si="449"/>
        <v/>
      </c>
      <c r="AY660" s="129">
        <f>IF(N660="б/к",0,IF(OR(ISNUMBER(SEARCH("L=",Разбивка_по_щитам!P660)),N660="+",N660="="),1,0))</f>
      </c>
      <c r="AZ660" s="129">
        <f t="shared" si="450"/>
        <v/>
      </c>
      <c r="BA660" s="129">
        <f t="shared" si="451"/>
      </c>
      <c r="BB660" s="129">
        <f t="shared" si="452"/>
      </c>
      <c r="BD660" s="129">
        <f t="shared" si="453"/>
      </c>
      <c r="BE660" s="129">
        <f t="shared" si="454"/>
      </c>
      <c r="BF660" s="129">
        <f t="shared" si="455"/>
      </c>
      <c r="BG660" s="129">
        <f t="shared" si="456"/>
        <v/>
      </c>
      <c r="BH660" s="129">
        <f t="shared" si="457"/>
        <v/>
      </c>
      <c r="BI660" s="129">
        <f t="shared" si="458"/>
        <v/>
      </c>
      <c r="BJ660" s="129">
        <f t="shared" si="459"/>
        <v/>
      </c>
      <c r="BK660" s="129">
        <f>IF(R660="","",IF(OR(BY660="",BY660=0),"BOX",IFERROR(IF(VLOOKUP(BY660,УГО_блоки,3,FALSE)&amp;""&lt;&gt;"",VLOOKUP(BY660,УГО_блоки,3,FALSE),VLOOKUP(BY660,УГО_блоки,2,FALSE)),BY660)))</f>
      </c>
      <c r="BL660" s="129">
        <f t="shared" si="461"/>
      </c>
      <c r="BM660" s="129">
        <f>IF(H660="","",IF(COUNTIF($H$3:H660,H660)=1,MAX($BM$2:BM659)+1,""))</f>
      </c>
      <c r="BN660" s="129">
        <f>IF(I660="","",IF(COUNTIF($I$3:I660,I660)+COUNTIF($J$2:J659,I660)+COUNTIF($K$2:K659,I660)=1,MAX($BN$2:BP659)+1,""))</f>
      </c>
      <c r="BO660" s="129">
        <f>IF(J660="","",IF(COUNTIF($I$3:I660,J660)+COUNTIF($J$3:J660,J660)+COUNTIF($K$2:K659,J660)=1,MAX($BN$2:BP659,BN660)+1,""))</f>
      </c>
      <c r="BP660" s="129">
        <f>IF(K660="","",IF(COUNTIF($I$3:I660,K660)+COUNTIF($J$3:J660,K660)+COUNTIF($K$3:K660,K660)=1,MAX($BN$2:BP659,BN660,BO660)+1,""))</f>
      </c>
      <c r="BQ660" s="129">
        <f>IF(AY660=1,IFERROR(MID(Q660,FIND(" (",Q660)+2,FIND(")",Q660,FIND(" (",Q660))-FIND(" (",Q660)-2),"?"),"")</f>
      </c>
      <c r="BR660" s="129">
        <f>IF(BQ660="","",IF(COUNTIF($BQ$3:BQ660,BQ660)=1,MAX($BR$2:BR659)+1,""))</f>
      </c>
      <c r="BS660" s="129">
        <f>IF(AW660="","",COUNTIF($AW$3:AW660,"?*"))</f>
      </c>
      <c r="BT660" s="129">
        <f>IF(OR(AW660="",AI660=""),"",IF(COUNTIFS($AW$3:AW660,"?*",$AI$3:AI660,AI660)=1,MAX($BT$2:BT659)+1,""))</f>
      </c>
      <c r="BU660" s="129">
        <f>IF(AE660="",0,IF(OR(ISNUMBER(SEARCH("дубль",AE660)),ISNUMBER(SEARCH("ПЕРЕГРУЗ",AE660)),ISNUMBER(SEARCH("ЗАЩИЩ",AE660)),ISNUMBER(SEARCH("КАНАЛ",AE660)),ISNUMBER(SEARCH("без 30",AE660))),2,1))</f>
      </c>
      <c r="BV660" s="129">
        <f>IF(R660="","",COUNTIF($R$3:R660,"?*"))</f>
      </c>
      <c r="BW660" s="129">
        <f>IF(AY660&lt;&gt;1,0,IF(MAX(IFERROR(--VLOOKUP(R660,УГО_спр,5,FALSE),0),IFERROR(--VLOOKUP(AL660,УГО_спр,5,FALSE),0),IFERROR(--VLOOKUP(LEFT(AL660,2),УГО_спр,5,FALSE),0))&gt;0,MAX(IFERROR(--VLOOKUP(R660,УГО_спр,5,FALSE),0),IFERROR(--VLOOKUP(AL660,УГО_спр,5,FALSE),0),IFERROR(--VLOOKUP(LEFT(AL660,2),УГО_спр,5,FALSE),0)),IF(IFERROR(--LEFT(SUBSTITUTE(BQ660,"x","х"),FIND("х",SUBSTITUTE(BQ660,"x","х"))-1),3)&gt;3,Каталог!$S$9,1)))</f>
      </c>
      <c r="BX660" s="129">
        <f>IF(AY660&lt;&gt;1,0,MAX(0,IFERROR(--LEFT(SUBSTITUTE(BQ660,"x","х"),FIND("х",SUBSTITUTE(BQ660,"x","х"))-1),3)-3*BW660))</f>
      </c>
      <c r="BY660" s="129">
        <f>IF(R660="","",IFERROR(VLOOKUP(R660,УГО_спр,2,FALSE),IFERROR(VLOOKUP(AL660,УГО_спр,2,FALSE),IFERROR(VLOOKUP(LEFT(AL660,2),УГО_спр,2,FALSE),""))))</f>
      </c>
    </row>
    <row r="661" spans="1:64" x14ac:dyDescent="0.3">
      <c r="A661" s="135">
        <f>IF(Разбивка_по_щитам!F661=0,"",Разбивка_по_щитам!F661)</f>
        <v/>
      </c>
      <c r="B661" s="138">
        <f>IF(A661="","",Разбивка_по_щитам!C661)</f>
        <v/>
      </c>
      <c r="C661" s="138">
        <f t="shared" si="422"/>
        <v/>
      </c>
      <c r="D661" s="266"/>
      <c r="E661" s="266"/>
      <c r="F661" s="267"/>
      <c r="G661" s="145">
        <f t="shared" si="423"/>
        <v/>
      </c>
      <c r="H661" s="145">
        <f t="shared" si="424"/>
        <v/>
      </c>
      <c r="I661" s="266"/>
      <c r="J661" s="267"/>
      <c r="K661" s="267"/>
      <c r="L661" s="266"/>
      <c r="M661" s="147">
        <f t="shared" si="425"/>
        <v/>
      </c>
      <c r="N661" s="267"/>
      <c r="O661" s="147">
        <f t="shared" si="426"/>
        <v/>
      </c>
      <c r="P661" s="268">
        <f>IF(AY661=1,"XT"&amp;COUNTIFS($A$3:A661,A661,$AY$3:AY661,1),"")</f>
        <v/>
      </c>
      <c r="Q661" s="152">
        <f>IF(R661="","",IFERROR(SUBSTITUTE(Разбивка_по_щитам!P661,CHAR(10)," "),""))</f>
        <v/>
      </c>
      <c r="R661" s="153">
        <f>IF(OR(Разбивка_по_щитам!H661="",Разбивка_по_щитам!H661=0),"",Разбивка_по_щитам!H661)</f>
        <v/>
      </c>
      <c r="S661" s="154">
        <f>IF(R661="","",IFERROR(Разбивка_по_щитам!J661&amp;"",""))</f>
        <v/>
      </c>
      <c r="T661" s="155">
        <f>IF(R661="","",IFERROR(--Разбивка_по_щитам!L661,""))</f>
        <v/>
      </c>
      <c r="U661" s="155">
        <f>IF(R661="","",IFERROR(--Разбивка_по_щитам!K661,""))</f>
        <v/>
      </c>
      <c r="V661" s="138">
        <f>IF(R661="","",IFERROR(IF(Разбивка_по_щитам!M661=0,"",Разбивка_по_щитам!M661),""))</f>
        <v/>
      </c>
      <c r="W661" s="156">
        <f t="shared" si="427"/>
        <v/>
      </c>
      <c r="X661" s="157">
        <f t="shared" si="428"/>
        <v/>
      </c>
      <c r="Y661" s="266"/>
      <c r="Z661" s="158">
        <f t="shared" si="429"/>
        <v/>
      </c>
      <c r="AA661" s="160">
        <f t="shared" si="430"/>
        <v/>
      </c>
      <c r="AB661" s="160">
        <f>IF(R661="","",IFERROR(LOOKUP(INDEX(Справочная!$I$4:$I$19,MATCH(VLOOKUP(R661,Исходные_данные,22,FALSE),Справочная!$J$4:$J$19,0)+1),{6,10,16,20,25,32,40,50,63,80,100,125}),""))</f>
        <v/>
      </c>
      <c r="AC661" s="160">
        <f t="shared" si="431"/>
        <v/>
      </c>
      <c r="AD661" s="161">
        <f t="shared" si="432"/>
        <v/>
      </c>
      <c r="AE661" s="161">
        <f>IF(AND(R661="",G661=""),"",_xlfn.TEXTJOIN("; ",TRUE,IF(AND(R661&lt;&gt;"",V661=""),"нет фазы",""),IF(AND(R661&lt;&gt;"",N(T661)=0),"нет мощности",""),IF(AND(P661&lt;&gt;"",COUNTIFS($A$3:$A$1000,A661,$P$3:$P$1000,P661)&gt;1),"дубль клеммы "&amp;P661,""),IF(AND(W661&lt;&gt;"",W661&lt;&gt;"ok"),W661,""),IF(X661&lt;&gt;"",X661,""),IF(AND(ISNUMBER(SEARCH("(5х",Q661)),N(AK661)=1),"5 жил на 1 фазе",""),IF(AND(AL661="R",E661&lt;&gt;"",N(AS661)=0),"розетка без 30 мА",""),IF(IFERROR(_xlfn.NUMBERVALUE(MID(Q661,FIND("-",Q661,FIND("L=",Q661))+1,FIND("%",Q661)-FIND("-",Q661,FIND("L=",Q661))-1),","),0)&gt;4,"потери &gt; 4 %","")))</f>
      </c>
      <c r="AF661" s="129">
        <f>IF(E661&lt;&gt;"",COUNTIFS($A$3:A661,A661,$E$3:E661,"?*"),IF(OR(A661&lt;&gt;A660,Y661="вручную"),"",AF660))</f>
        <v/>
      </c>
      <c r="AG661" s="129">
        <f t="shared" si="433"/>
        <v/>
      </c>
      <c r="AH661" s="129">
        <f t="shared" si="434"/>
        <v/>
      </c>
      <c r="AI661" s="129">
        <f t="shared" si="435"/>
        <v/>
      </c>
      <c r="AJ661" s="129">
        <f t="shared" si="436"/>
        <v/>
      </c>
      <c r="AK661" s="129">
        <f t="shared" si="437"/>
        <v/>
      </c>
      <c r="AL661" s="129">
        <f t="shared" si="438"/>
        <v/>
      </c>
      <c r="AM661" s="129">
        <f t="shared" si="439"/>
      </c>
      <c r="AN661" s="129">
        <f t="shared" si="440"/>
      </c>
      <c r="AO661" s="129">
        <f t="shared" si="441"/>
        <v/>
      </c>
      <c r="AP661" s="129">
        <f t="shared" si="442"/>
        <v/>
      </c>
      <c r="AQ661" s="129">
        <f t="shared" si="443"/>
        <v/>
      </c>
      <c r="AR661" s="129">
        <f t="shared" si="444"/>
        <v/>
      </c>
      <c r="AS661" s="129">
        <f t="shared" si="445"/>
        <v/>
      </c>
      <c r="AT661" s="129">
        <f t="shared" si="446"/>
        <v/>
      </c>
      <c r="AU661" s="129">
        <f t="shared" si="447"/>
        <v/>
      </c>
      <c r="AV661" s="129">
        <f t="shared" si="448"/>
        <v/>
      </c>
      <c r="AW661" s="129">
        <f>IF(AV661="","",AV661&amp;"."&amp;COUNTIFS($A$3:A661,A661,$AV$3:AV661,AV661))</f>
        <v/>
      </c>
      <c r="AX661" s="129">
        <f t="shared" si="449"/>
        <v/>
      </c>
      <c r="AY661" s="129">
        <f>IF(N661="б/к",0,IF(OR(ISNUMBER(SEARCH("L=",Разбивка_по_щитам!P661)),N661="+",N661="="),1,0))</f>
      </c>
      <c r="AZ661" s="129">
        <f t="shared" si="450"/>
        <v/>
      </c>
      <c r="BA661" s="129">
        <f t="shared" si="451"/>
      </c>
      <c r="BB661" s="129">
        <f t="shared" si="452"/>
      </c>
      <c r="BD661" s="129">
        <f t="shared" si="453"/>
      </c>
      <c r="BE661" s="129">
        <f t="shared" si="454"/>
      </c>
      <c r="BF661" s="129">
        <f t="shared" si="455"/>
      </c>
      <c r="BG661" s="129">
        <f t="shared" si="456"/>
        <v/>
      </c>
      <c r="BH661" s="129">
        <f t="shared" si="457"/>
        <v/>
      </c>
      <c r="BI661" s="129">
        <f t="shared" si="458"/>
        <v/>
      </c>
      <c r="BJ661" s="129">
        <f t="shared" si="459"/>
        <v/>
      </c>
      <c r="BK661" s="129">
        <f>IF(R661="","",IF(OR(BY661="",BY661=0),"BOX",IFERROR(IF(VLOOKUP(BY661,УГО_блоки,3,FALSE)&amp;""&lt;&gt;"",VLOOKUP(BY661,УГО_блоки,3,FALSE),VLOOKUP(BY661,УГО_блоки,2,FALSE)),BY661)))</f>
      </c>
      <c r="BL661" s="129">
        <f t="shared" si="461"/>
      </c>
      <c r="BM661" s="129">
        <f>IF(H661="","",IF(COUNTIF($H$3:H661,H661)=1,MAX($BM$2:BM660)+1,""))</f>
      </c>
      <c r="BN661" s="129">
        <f>IF(I661="","",IF(COUNTIF($I$3:I661,I661)+COUNTIF($J$2:J660,I661)+COUNTIF($K$2:K660,I661)=1,MAX($BN$2:BP660)+1,""))</f>
      </c>
      <c r="BO661" s="129">
        <f>IF(J661="","",IF(COUNTIF($I$3:I661,J661)+COUNTIF($J$3:J661,J661)+COUNTIF($K$2:K660,J661)=1,MAX($BN$2:BP660,BN661)+1,""))</f>
      </c>
      <c r="BP661" s="129">
        <f>IF(K661="","",IF(COUNTIF($I$3:I661,K661)+COUNTIF($J$3:J661,K661)+COUNTIF($K$3:K661,K661)=1,MAX($BN$2:BP660,BN661,BO661)+1,""))</f>
      </c>
      <c r="BQ661" s="129">
        <f>IF(AY661=1,IFERROR(MID(Q661,FIND(" (",Q661)+2,FIND(")",Q661,FIND(" (",Q661))-FIND(" (",Q661)-2),"?"),"")</f>
      </c>
      <c r="BR661" s="129">
        <f>IF(BQ661="","",IF(COUNTIF($BQ$3:BQ661,BQ661)=1,MAX($BR$2:BR660)+1,""))</f>
      </c>
      <c r="BS661" s="129">
        <f>IF(AW661="","",COUNTIF($AW$3:AW661,"?*"))</f>
      </c>
      <c r="BT661" s="129">
        <f>IF(OR(AW661="",AI661=""),"",IF(COUNTIFS($AW$3:AW661,"?*",$AI$3:AI661,AI661)=1,MAX($BT$2:BT660)+1,""))</f>
      </c>
      <c r="BU661" s="129">
        <f>IF(AE661="",0,IF(OR(ISNUMBER(SEARCH("дубль",AE661)),ISNUMBER(SEARCH("ПЕРЕГРУЗ",AE661)),ISNUMBER(SEARCH("ЗАЩИЩ",AE661)),ISNUMBER(SEARCH("КАНАЛ",AE661)),ISNUMBER(SEARCH("без 30",AE661))),2,1))</f>
      </c>
      <c r="BV661" s="129">
        <f>IF(R661="","",COUNTIF($R$3:R661,"?*"))</f>
      </c>
      <c r="BW661" s="129">
        <f>IF(AY661&lt;&gt;1,0,IF(MAX(IFERROR(--VLOOKUP(R661,УГО_спр,5,FALSE),0),IFERROR(--VLOOKUP(AL661,УГО_спр,5,FALSE),0),IFERROR(--VLOOKUP(LEFT(AL661,2),УГО_спр,5,FALSE),0))&gt;0,MAX(IFERROR(--VLOOKUP(R661,УГО_спр,5,FALSE),0),IFERROR(--VLOOKUP(AL661,УГО_спр,5,FALSE),0),IFERROR(--VLOOKUP(LEFT(AL661,2),УГО_спр,5,FALSE),0)),IF(IFERROR(--LEFT(SUBSTITUTE(BQ661,"x","х"),FIND("х",SUBSTITUTE(BQ661,"x","х"))-1),3)&gt;3,Каталог!$S$9,1)))</f>
      </c>
      <c r="BX661" s="129">
        <f>IF(AY661&lt;&gt;1,0,MAX(0,IFERROR(--LEFT(SUBSTITUTE(BQ661,"x","х"),FIND("х",SUBSTITUTE(BQ661,"x","х"))-1),3)-3*BW661))</f>
      </c>
      <c r="BY661" s="129">
        <f>IF(R661="","",IFERROR(VLOOKUP(R661,УГО_спр,2,FALSE),IFERROR(VLOOKUP(AL661,УГО_спр,2,FALSE),IFERROR(VLOOKUP(LEFT(AL661,2),УГО_спр,2,FALSE),""))))</f>
      </c>
    </row>
    <row r="662" spans="1:64" x14ac:dyDescent="0.3">
      <c r="A662" s="135">
        <f>IF(Разбивка_по_щитам!F662=0,"",Разбивка_по_щитам!F662)</f>
        <v/>
      </c>
      <c r="B662" s="138">
        <f>IF(A662="","",Разбивка_по_щитам!C662)</f>
        <v/>
      </c>
      <c r="C662" s="138">
        <f t="shared" si="422"/>
        <v/>
      </c>
      <c r="D662" s="266"/>
      <c r="E662" s="266"/>
      <c r="F662" s="267"/>
      <c r="G662" s="145">
        <f t="shared" si="423"/>
        <v/>
      </c>
      <c r="H662" s="145">
        <f t="shared" si="424"/>
        <v/>
      </c>
      <c r="I662" s="266"/>
      <c r="J662" s="267"/>
      <c r="K662" s="267"/>
      <c r="L662" s="266"/>
      <c r="M662" s="147">
        <f t="shared" si="425"/>
        <v/>
      </c>
      <c r="N662" s="267"/>
      <c r="O662" s="147">
        <f t="shared" si="426"/>
        <v/>
      </c>
      <c r="P662" s="268">
        <f>IF(AY662=1,"XT"&amp;COUNTIFS($A$3:A662,A662,$AY$3:AY662,1),"")</f>
        <v/>
      </c>
      <c r="Q662" s="152">
        <f>IF(R662="","",IFERROR(SUBSTITUTE(Разбивка_по_щитам!P662,CHAR(10)," "),""))</f>
        <v/>
      </c>
      <c r="R662" s="153">
        <f>IF(OR(Разбивка_по_щитам!H662="",Разбивка_по_щитам!H662=0),"",Разбивка_по_щитам!H662)</f>
        <v/>
      </c>
      <c r="S662" s="154">
        <f>IF(R662="","",IFERROR(Разбивка_по_щитам!J662&amp;"",""))</f>
        <v/>
      </c>
      <c r="T662" s="155">
        <f>IF(R662="","",IFERROR(--Разбивка_по_щитам!L662,""))</f>
        <v/>
      </c>
      <c r="U662" s="155">
        <f>IF(R662="","",IFERROR(--Разбивка_по_щитам!K662,""))</f>
        <v/>
      </c>
      <c r="V662" s="138">
        <f>IF(R662="","",IFERROR(IF(Разбивка_по_щитам!M662=0,"",Разбивка_по_щитам!M662),""))</f>
        <v/>
      </c>
      <c r="W662" s="156">
        <f t="shared" si="427"/>
        <v/>
      </c>
      <c r="X662" s="157">
        <f t="shared" si="428"/>
        <v/>
      </c>
      <c r="Y662" s="266"/>
      <c r="Z662" s="158">
        <f t="shared" si="429"/>
        <v/>
      </c>
      <c r="AA662" s="160">
        <f t="shared" si="430"/>
        <v/>
      </c>
      <c r="AB662" s="160">
        <f>IF(R662="","",IFERROR(LOOKUP(INDEX(Справочная!$I$4:$I$19,MATCH(VLOOKUP(R662,Исходные_данные,22,FALSE),Справочная!$J$4:$J$19,0)+1),{6,10,16,20,25,32,40,50,63,80,100,125}),""))</f>
        <v/>
      </c>
      <c r="AC662" s="160">
        <f t="shared" si="431"/>
        <v/>
      </c>
      <c r="AD662" s="161">
        <f t="shared" si="432"/>
        <v/>
      </c>
      <c r="AE662" s="161">
        <f>IF(AND(R662="",G662=""),"",_xlfn.TEXTJOIN("; ",TRUE,IF(AND(R662&lt;&gt;"",V662=""),"нет фазы",""),IF(AND(R662&lt;&gt;"",N(T662)=0),"нет мощности",""),IF(AND(P662&lt;&gt;"",COUNTIFS($A$3:$A$1000,A662,$P$3:$P$1000,P662)&gt;1),"дубль клеммы "&amp;P662,""),IF(AND(W662&lt;&gt;"",W662&lt;&gt;"ok"),W662,""),IF(X662&lt;&gt;"",X662,""),IF(AND(ISNUMBER(SEARCH("(5х",Q662)),N(AK662)=1),"5 жил на 1 фазе",""),IF(AND(AL662="R",E662&lt;&gt;"",N(AS662)=0),"розетка без 30 мА",""),IF(IFERROR(_xlfn.NUMBERVALUE(MID(Q662,FIND("-",Q662,FIND("L=",Q662))+1,FIND("%",Q662)-FIND("-",Q662,FIND("L=",Q662))-1),","),0)&gt;4,"потери &gt; 4 %","")))</f>
      </c>
      <c r="AF662" s="129">
        <f>IF(E662&lt;&gt;"",COUNTIFS($A$3:A662,A662,$E$3:E662,"?*"),IF(OR(A662&lt;&gt;A661,Y662="вручную"),"",AF661))</f>
        <v/>
      </c>
      <c r="AG662" s="129">
        <f t="shared" si="433"/>
        <v/>
      </c>
      <c r="AH662" s="129">
        <f t="shared" si="434"/>
        <v/>
      </c>
      <c r="AI662" s="129">
        <f t="shared" si="435"/>
        <v/>
      </c>
      <c r="AJ662" s="129">
        <f t="shared" si="436"/>
        <v/>
      </c>
      <c r="AK662" s="129">
        <f t="shared" si="437"/>
        <v/>
      </c>
      <c r="AL662" s="129">
        <f t="shared" si="438"/>
        <v/>
      </c>
      <c r="AM662" s="129">
        <f t="shared" si="439"/>
      </c>
      <c r="AN662" s="129">
        <f t="shared" si="440"/>
      </c>
      <c r="AO662" s="129">
        <f t="shared" si="441"/>
        <v/>
      </c>
      <c r="AP662" s="129">
        <f t="shared" si="442"/>
        <v/>
      </c>
      <c r="AQ662" s="129">
        <f t="shared" si="443"/>
        <v/>
      </c>
      <c r="AR662" s="129">
        <f t="shared" si="444"/>
        <v/>
      </c>
      <c r="AS662" s="129">
        <f t="shared" si="445"/>
        <v/>
      </c>
      <c r="AT662" s="129">
        <f t="shared" si="446"/>
        <v/>
      </c>
      <c r="AU662" s="129">
        <f t="shared" si="447"/>
        <v/>
      </c>
      <c r="AV662" s="129">
        <f t="shared" si="448"/>
        <v/>
      </c>
      <c r="AW662" s="129">
        <f>IF(AV662="","",AV662&amp;"."&amp;COUNTIFS($A$3:A662,A662,$AV$3:AV662,AV662))</f>
        <v/>
      </c>
      <c r="AX662" s="129">
        <f t="shared" si="449"/>
        <v/>
      </c>
      <c r="AY662" s="129">
        <f>IF(N662="б/к",0,IF(OR(ISNUMBER(SEARCH("L=",Разбивка_по_щитам!P662)),N662="+",N662="="),1,0))</f>
      </c>
      <c r="AZ662" s="129">
        <f t="shared" si="450"/>
        <v/>
      </c>
      <c r="BA662" s="129">
        <f t="shared" si="451"/>
      </c>
      <c r="BB662" s="129">
        <f t="shared" si="452"/>
      </c>
      <c r="BD662" s="129">
        <f t="shared" si="453"/>
      </c>
      <c r="BE662" s="129">
        <f t="shared" si="454"/>
      </c>
      <c r="BF662" s="129">
        <f t="shared" si="455"/>
      </c>
      <c r="BG662" s="129">
        <f t="shared" si="456"/>
        <v/>
      </c>
      <c r="BH662" s="129">
        <f t="shared" si="457"/>
        <v/>
      </c>
      <c r="BI662" s="129">
        <f t="shared" si="458"/>
        <v/>
      </c>
      <c r="BJ662" s="129">
        <f t="shared" si="459"/>
        <v/>
      </c>
      <c r="BK662" s="129">
        <f>IF(R662="","",IF(OR(BY662="",BY662=0),"BOX",IFERROR(IF(VLOOKUP(BY662,УГО_блоки,3,FALSE)&amp;""&lt;&gt;"",VLOOKUP(BY662,УГО_блоки,3,FALSE),VLOOKUP(BY662,УГО_блоки,2,FALSE)),BY662)))</f>
      </c>
      <c r="BL662" s="129">
        <f t="shared" si="461"/>
      </c>
      <c r="BM662" s="129">
        <f>IF(H662="","",IF(COUNTIF($H$3:H662,H662)=1,MAX($BM$2:BM661)+1,""))</f>
      </c>
      <c r="BN662" s="129">
        <f>IF(I662="","",IF(COUNTIF($I$3:I662,I662)+COUNTIF($J$2:J661,I662)+COUNTIF($K$2:K661,I662)=1,MAX($BN$2:BP661)+1,""))</f>
      </c>
      <c r="BO662" s="129">
        <f>IF(J662="","",IF(COUNTIF($I$3:I662,J662)+COUNTIF($J$3:J662,J662)+COUNTIF($K$2:K661,J662)=1,MAX($BN$2:BP661,BN662)+1,""))</f>
      </c>
      <c r="BP662" s="129">
        <f>IF(K662="","",IF(COUNTIF($I$3:I662,K662)+COUNTIF($J$3:J662,K662)+COUNTIF($K$3:K662,K662)=1,MAX($BN$2:BP661,BN662,BO662)+1,""))</f>
      </c>
      <c r="BQ662" s="129">
        <f>IF(AY662=1,IFERROR(MID(Q662,FIND(" (",Q662)+2,FIND(")",Q662,FIND(" (",Q662))-FIND(" (",Q662)-2),"?"),"")</f>
      </c>
      <c r="BR662" s="129">
        <f>IF(BQ662="","",IF(COUNTIF($BQ$3:BQ662,BQ662)=1,MAX($BR$2:BR661)+1,""))</f>
      </c>
      <c r="BS662" s="129">
        <f>IF(AW662="","",COUNTIF($AW$3:AW662,"?*"))</f>
      </c>
      <c r="BT662" s="129">
        <f>IF(OR(AW662="",AI662=""),"",IF(COUNTIFS($AW$3:AW662,"?*",$AI$3:AI662,AI662)=1,MAX($BT$2:BT661)+1,""))</f>
      </c>
      <c r="BU662" s="129">
        <f>IF(AE662="",0,IF(OR(ISNUMBER(SEARCH("дубль",AE662)),ISNUMBER(SEARCH("ПЕРЕГРУЗ",AE662)),ISNUMBER(SEARCH("ЗАЩИЩ",AE662)),ISNUMBER(SEARCH("КАНАЛ",AE662)),ISNUMBER(SEARCH("без 30",AE662))),2,1))</f>
      </c>
      <c r="BV662" s="129">
        <f>IF(R662="","",COUNTIF($R$3:R662,"?*"))</f>
      </c>
      <c r="BW662" s="129">
        <f>IF(AY662&lt;&gt;1,0,IF(MAX(IFERROR(--VLOOKUP(R662,УГО_спр,5,FALSE),0),IFERROR(--VLOOKUP(AL662,УГО_спр,5,FALSE),0),IFERROR(--VLOOKUP(LEFT(AL662,2),УГО_спр,5,FALSE),0))&gt;0,MAX(IFERROR(--VLOOKUP(R662,УГО_спр,5,FALSE),0),IFERROR(--VLOOKUP(AL662,УГО_спр,5,FALSE),0),IFERROR(--VLOOKUP(LEFT(AL662,2),УГО_спр,5,FALSE),0)),IF(IFERROR(--LEFT(SUBSTITUTE(BQ662,"x","х"),FIND("х",SUBSTITUTE(BQ662,"x","х"))-1),3)&gt;3,Каталог!$S$9,1)))</f>
      </c>
      <c r="BX662" s="129">
        <f>IF(AY662&lt;&gt;1,0,MAX(0,IFERROR(--LEFT(SUBSTITUTE(BQ662,"x","х"),FIND("х",SUBSTITUTE(BQ662,"x","х"))-1),3)-3*BW662))</f>
      </c>
      <c r="BY662" s="129">
        <f>IF(R662="","",IFERROR(VLOOKUP(R662,УГО_спр,2,FALSE),IFERROR(VLOOKUP(AL662,УГО_спр,2,FALSE),IFERROR(VLOOKUP(LEFT(AL662,2),УГО_спр,2,FALSE),""))))</f>
      </c>
    </row>
    <row r="663" spans="1:64" x14ac:dyDescent="0.3">
      <c r="A663" s="135">
        <f>IF(Разбивка_по_щитам!F663=0,"",Разбивка_по_щитам!F663)</f>
        <v/>
      </c>
      <c r="B663" s="138">
        <f>IF(A663="","",Разбивка_по_щитам!C663)</f>
        <v/>
      </c>
      <c r="C663" s="138">
        <f t="shared" si="422"/>
        <v/>
      </c>
      <c r="D663" s="266"/>
      <c r="E663" s="266"/>
      <c r="F663" s="267"/>
      <c r="G663" s="145">
        <f t="shared" si="423"/>
        <v/>
      </c>
      <c r="H663" s="145">
        <f t="shared" si="424"/>
        <v/>
      </c>
      <c r="I663" s="266"/>
      <c r="J663" s="267"/>
      <c r="K663" s="267"/>
      <c r="L663" s="266"/>
      <c r="M663" s="147">
        <f t="shared" si="425"/>
        <v/>
      </c>
      <c r="N663" s="267"/>
      <c r="O663" s="147">
        <f t="shared" si="426"/>
        <v/>
      </c>
      <c r="P663" s="268">
        <f>IF(AY663=1,"XT"&amp;COUNTIFS($A$3:A663,A663,$AY$3:AY663,1),"")</f>
        <v/>
      </c>
      <c r="Q663" s="152">
        <f>IF(R663="","",IFERROR(SUBSTITUTE(Разбивка_по_щитам!P663,CHAR(10)," "),""))</f>
        <v/>
      </c>
      <c r="R663" s="153">
        <f>IF(OR(Разбивка_по_щитам!H663="",Разбивка_по_щитам!H663=0),"",Разбивка_по_щитам!H663)</f>
        <v/>
      </c>
      <c r="S663" s="154">
        <f>IF(R663="","",IFERROR(Разбивка_по_щитам!J663&amp;"",""))</f>
        <v/>
      </c>
      <c r="T663" s="155">
        <f>IF(R663="","",IFERROR(--Разбивка_по_щитам!L663,""))</f>
        <v/>
      </c>
      <c r="U663" s="155">
        <f>IF(R663="","",IFERROR(--Разбивка_по_щитам!K663,""))</f>
        <v/>
      </c>
      <c r="V663" s="138">
        <f>IF(R663="","",IFERROR(IF(Разбивка_по_щитам!M663=0,"",Разбивка_по_щитам!M663),""))</f>
        <v/>
      </c>
      <c r="W663" s="156">
        <f t="shared" si="427"/>
        <v/>
      </c>
      <c r="X663" s="157">
        <f t="shared" si="428"/>
        <v/>
      </c>
      <c r="Y663" s="266"/>
      <c r="Z663" s="158">
        <f t="shared" si="429"/>
        <v/>
      </c>
      <c r="AA663" s="160">
        <f t="shared" si="430"/>
        <v/>
      </c>
      <c r="AB663" s="160">
        <f>IF(R663="","",IFERROR(LOOKUP(INDEX(Справочная!$I$4:$I$19,MATCH(VLOOKUP(R663,Исходные_данные,22,FALSE),Справочная!$J$4:$J$19,0)+1),{6,10,16,20,25,32,40,50,63,80,100,125}),""))</f>
        <v/>
      </c>
      <c r="AC663" s="160">
        <f t="shared" si="431"/>
        <v/>
      </c>
      <c r="AD663" s="161">
        <f t="shared" si="432"/>
        <v/>
      </c>
      <c r="AE663" s="161">
        <f>IF(AND(R663="",G663=""),"",_xlfn.TEXTJOIN("; ",TRUE,IF(AND(R663&lt;&gt;"",V663=""),"нет фазы",""),IF(AND(R663&lt;&gt;"",N(T663)=0),"нет мощности",""),IF(AND(P663&lt;&gt;"",COUNTIFS($A$3:$A$1000,A663,$P$3:$P$1000,P663)&gt;1),"дубль клеммы "&amp;P663,""),IF(AND(W663&lt;&gt;"",W663&lt;&gt;"ok"),W663,""),IF(X663&lt;&gt;"",X663,""),IF(AND(ISNUMBER(SEARCH("(5х",Q663)),N(AK663)=1),"5 жил на 1 фазе",""),IF(AND(AL663="R",E663&lt;&gt;"",N(AS663)=0),"розетка без 30 мА",""),IF(IFERROR(_xlfn.NUMBERVALUE(MID(Q663,FIND("-",Q663,FIND("L=",Q663))+1,FIND("%",Q663)-FIND("-",Q663,FIND("L=",Q663))-1),","),0)&gt;4,"потери &gt; 4 %","")))</f>
      </c>
      <c r="AF663" s="129">
        <f>IF(E663&lt;&gt;"",COUNTIFS($A$3:A663,A663,$E$3:E663,"?*"),IF(OR(A663&lt;&gt;A662,Y663="вручную"),"",AF662))</f>
        <v/>
      </c>
      <c r="AG663" s="129">
        <f t="shared" si="433"/>
        <v/>
      </c>
      <c r="AH663" s="129">
        <f t="shared" si="434"/>
        <v/>
      </c>
      <c r="AI663" s="129">
        <f t="shared" si="435"/>
        <v/>
      </c>
      <c r="AJ663" s="129">
        <f t="shared" si="436"/>
        <v/>
      </c>
      <c r="AK663" s="129">
        <f t="shared" si="437"/>
        <v/>
      </c>
      <c r="AL663" s="129">
        <f t="shared" si="438"/>
        <v/>
      </c>
      <c r="AM663" s="129">
        <f t="shared" si="439"/>
      </c>
      <c r="AN663" s="129">
        <f t="shared" si="440"/>
      </c>
      <c r="AO663" s="129">
        <f t="shared" si="441"/>
        <v/>
      </c>
      <c r="AP663" s="129">
        <f t="shared" si="442"/>
        <v/>
      </c>
      <c r="AQ663" s="129">
        <f t="shared" si="443"/>
        <v/>
      </c>
      <c r="AR663" s="129">
        <f t="shared" si="444"/>
        <v/>
      </c>
      <c r="AS663" s="129">
        <f t="shared" si="445"/>
        <v/>
      </c>
      <c r="AT663" s="129">
        <f t="shared" si="446"/>
        <v/>
      </c>
      <c r="AU663" s="129">
        <f t="shared" si="447"/>
        <v/>
      </c>
      <c r="AV663" s="129">
        <f t="shared" si="448"/>
        <v/>
      </c>
      <c r="AW663" s="129">
        <f>IF(AV663="","",AV663&amp;"."&amp;COUNTIFS($A$3:A663,A663,$AV$3:AV663,AV663))</f>
        <v/>
      </c>
      <c r="AX663" s="129">
        <f t="shared" si="449"/>
        <v/>
      </c>
      <c r="AY663" s="129">
        <f>IF(N663="б/к",0,IF(OR(ISNUMBER(SEARCH("L=",Разбивка_по_щитам!P663)),N663="+",N663="="),1,0))</f>
      </c>
      <c r="AZ663" s="129">
        <f t="shared" si="450"/>
        <v/>
      </c>
      <c r="BA663" s="129">
        <f t="shared" si="451"/>
      </c>
      <c r="BB663" s="129">
        <f t="shared" si="452"/>
      </c>
      <c r="BD663" s="129">
        <f t="shared" si="453"/>
      </c>
      <c r="BE663" s="129">
        <f t="shared" si="454"/>
      </c>
      <c r="BF663" s="129">
        <f t="shared" si="455"/>
      </c>
      <c r="BG663" s="129">
        <f t="shared" si="456"/>
        <v/>
      </c>
      <c r="BH663" s="129">
        <f t="shared" si="457"/>
        <v/>
      </c>
      <c r="BI663" s="129">
        <f t="shared" si="458"/>
        <v/>
      </c>
      <c r="BJ663" s="129">
        <f t="shared" si="459"/>
        <v/>
      </c>
      <c r="BK663" s="129">
        <f>IF(R663="","",IF(OR(BY663="",BY663=0),"BOX",IFERROR(IF(VLOOKUP(BY663,УГО_блоки,3,FALSE)&amp;""&lt;&gt;"",VLOOKUP(BY663,УГО_блоки,3,FALSE),VLOOKUP(BY663,УГО_блоки,2,FALSE)),BY663)))</f>
      </c>
      <c r="BL663" s="129">
        <f t="shared" si="461"/>
      </c>
      <c r="BM663" s="129">
        <f>IF(H663="","",IF(COUNTIF($H$3:H663,H663)=1,MAX($BM$2:BM662)+1,""))</f>
      </c>
      <c r="BN663" s="129">
        <f>IF(I663="","",IF(COUNTIF($I$3:I663,I663)+COUNTIF($J$2:J662,I663)+COUNTIF($K$2:K662,I663)=1,MAX($BN$2:BP662)+1,""))</f>
      </c>
      <c r="BO663" s="129">
        <f>IF(J663="","",IF(COUNTIF($I$3:I663,J663)+COUNTIF($J$3:J663,J663)+COUNTIF($K$2:K662,J663)=1,MAX($BN$2:BP662,BN663)+1,""))</f>
      </c>
      <c r="BP663" s="129">
        <f>IF(K663="","",IF(COUNTIF($I$3:I663,K663)+COUNTIF($J$3:J663,K663)+COUNTIF($K$3:K663,K663)=1,MAX($BN$2:BP662,BN663,BO663)+1,""))</f>
      </c>
      <c r="BQ663" s="129">
        <f>IF(AY663=1,IFERROR(MID(Q663,FIND(" (",Q663)+2,FIND(")",Q663,FIND(" (",Q663))-FIND(" (",Q663)-2),"?"),"")</f>
      </c>
      <c r="BR663" s="129">
        <f>IF(BQ663="","",IF(COUNTIF($BQ$3:BQ663,BQ663)=1,MAX($BR$2:BR662)+1,""))</f>
      </c>
      <c r="BS663" s="129">
        <f>IF(AW663="","",COUNTIF($AW$3:AW663,"?*"))</f>
      </c>
      <c r="BT663" s="129">
        <f>IF(OR(AW663="",AI663=""),"",IF(COUNTIFS($AW$3:AW663,"?*",$AI$3:AI663,AI663)=1,MAX($BT$2:BT662)+1,""))</f>
      </c>
      <c r="BU663" s="129">
        <f>IF(AE663="",0,IF(OR(ISNUMBER(SEARCH("дубль",AE663)),ISNUMBER(SEARCH("ПЕРЕГРУЗ",AE663)),ISNUMBER(SEARCH("ЗАЩИЩ",AE663)),ISNUMBER(SEARCH("КАНАЛ",AE663)),ISNUMBER(SEARCH("без 30",AE663))),2,1))</f>
      </c>
      <c r="BV663" s="129">
        <f>IF(R663="","",COUNTIF($R$3:R663,"?*"))</f>
      </c>
      <c r="BW663" s="129">
        <f>IF(AY663&lt;&gt;1,0,IF(MAX(IFERROR(--VLOOKUP(R663,УГО_спр,5,FALSE),0),IFERROR(--VLOOKUP(AL663,УГО_спр,5,FALSE),0),IFERROR(--VLOOKUP(LEFT(AL663,2),УГО_спр,5,FALSE),0))&gt;0,MAX(IFERROR(--VLOOKUP(R663,УГО_спр,5,FALSE),0),IFERROR(--VLOOKUP(AL663,УГО_спр,5,FALSE),0),IFERROR(--VLOOKUP(LEFT(AL663,2),УГО_спр,5,FALSE),0)),IF(IFERROR(--LEFT(SUBSTITUTE(BQ663,"x","х"),FIND("х",SUBSTITUTE(BQ663,"x","х"))-1),3)&gt;3,Каталог!$S$9,1)))</f>
      </c>
      <c r="BX663" s="129">
        <f>IF(AY663&lt;&gt;1,0,MAX(0,IFERROR(--LEFT(SUBSTITUTE(BQ663,"x","х"),FIND("х",SUBSTITUTE(BQ663,"x","х"))-1),3)-3*BW663))</f>
      </c>
      <c r="BY663" s="129">
        <f>IF(R663="","",IFERROR(VLOOKUP(R663,УГО_спр,2,FALSE),IFERROR(VLOOKUP(AL663,УГО_спр,2,FALSE),IFERROR(VLOOKUP(LEFT(AL663,2),УГО_спр,2,FALSE),""))))</f>
      </c>
    </row>
    <row r="664" spans="1:64" x14ac:dyDescent="0.3">
      <c r="A664" s="135">
        <f>IF(Разбивка_по_щитам!F664=0,"",Разбивка_по_щитам!F664)</f>
        <v/>
      </c>
      <c r="B664" s="138">
        <f>IF(A664="","",Разбивка_по_щитам!C664)</f>
        <v/>
      </c>
      <c r="C664" s="138">
        <f t="shared" si="422"/>
        <v/>
      </c>
      <c r="D664" s="266"/>
      <c r="E664" s="266"/>
      <c r="F664" s="267"/>
      <c r="G664" s="145">
        <f t="shared" si="423"/>
        <v/>
      </c>
      <c r="H664" s="145">
        <f t="shared" si="424"/>
        <v/>
      </c>
      <c r="I664" s="266"/>
      <c r="J664" s="267"/>
      <c r="K664" s="267"/>
      <c r="L664" s="266"/>
      <c r="M664" s="147">
        <f t="shared" si="425"/>
        <v/>
      </c>
      <c r="N664" s="267"/>
      <c r="O664" s="147">
        <f t="shared" si="426"/>
        <v/>
      </c>
      <c r="P664" s="268">
        <f>IF(AY664=1,"XT"&amp;COUNTIFS($A$3:A664,A664,$AY$3:AY664,1),"")</f>
        <v/>
      </c>
      <c r="Q664" s="152">
        <f>IF(R664="","",IFERROR(SUBSTITUTE(Разбивка_по_щитам!P664,CHAR(10)," "),""))</f>
        <v/>
      </c>
      <c r="R664" s="153">
        <f>IF(OR(Разбивка_по_щитам!H664="",Разбивка_по_щитам!H664=0),"",Разбивка_по_щитам!H664)</f>
        <v/>
      </c>
      <c r="S664" s="154">
        <f>IF(R664="","",IFERROR(Разбивка_по_щитам!J664&amp;"",""))</f>
        <v/>
      </c>
      <c r="T664" s="155">
        <f>IF(R664="","",IFERROR(--Разбивка_по_щитам!L664,""))</f>
        <v/>
      </c>
      <c r="U664" s="155">
        <f>IF(R664="","",IFERROR(--Разбивка_по_щитам!K664,""))</f>
        <v/>
      </c>
      <c r="V664" s="138">
        <f>IF(R664="","",IFERROR(IF(Разбивка_по_щитам!M664=0,"",Разбивка_по_щитам!M664),""))</f>
        <v/>
      </c>
      <c r="W664" s="156">
        <f t="shared" si="427"/>
        <v/>
      </c>
      <c r="X664" s="157">
        <f t="shared" si="428"/>
        <v/>
      </c>
      <c r="Y664" s="266"/>
      <c r="Z664" s="158">
        <f t="shared" si="429"/>
        <v/>
      </c>
      <c r="AA664" s="160">
        <f t="shared" si="430"/>
        <v/>
      </c>
      <c r="AB664" s="160">
        <f>IF(R664="","",IFERROR(LOOKUP(INDEX(Справочная!$I$4:$I$19,MATCH(VLOOKUP(R664,Исходные_данные,22,FALSE),Справочная!$J$4:$J$19,0)+1),{6,10,16,20,25,32,40,50,63,80,100,125}),""))</f>
        <v/>
      </c>
      <c r="AC664" s="160">
        <f t="shared" si="431"/>
        <v/>
      </c>
      <c r="AD664" s="161">
        <f t="shared" si="432"/>
        <v/>
      </c>
      <c r="AE664" s="161">
        <f>IF(AND(R664="",G664=""),"",_xlfn.TEXTJOIN("; ",TRUE,IF(AND(R664&lt;&gt;"",V664=""),"нет фазы",""),IF(AND(R664&lt;&gt;"",N(T664)=0),"нет мощности",""),IF(AND(P664&lt;&gt;"",COUNTIFS($A$3:$A$1000,A664,$P$3:$P$1000,P664)&gt;1),"дубль клеммы "&amp;P664,""),IF(AND(W664&lt;&gt;"",W664&lt;&gt;"ok"),W664,""),IF(X664&lt;&gt;"",X664,""),IF(AND(ISNUMBER(SEARCH("(5х",Q664)),N(AK664)=1),"5 жил на 1 фазе",""),IF(AND(AL664="R",E664&lt;&gt;"",N(AS664)=0),"розетка без 30 мА",""),IF(IFERROR(_xlfn.NUMBERVALUE(MID(Q664,FIND("-",Q664,FIND("L=",Q664))+1,FIND("%",Q664)-FIND("-",Q664,FIND("L=",Q664))-1),","),0)&gt;4,"потери &gt; 4 %","")))</f>
      </c>
      <c r="AF664" s="129">
        <f>IF(E664&lt;&gt;"",COUNTIFS($A$3:A664,A664,$E$3:E664,"?*"),IF(OR(A664&lt;&gt;A663,Y664="вручную"),"",AF663))</f>
        <v/>
      </c>
      <c r="AG664" s="129">
        <f t="shared" si="433"/>
        <v/>
      </c>
      <c r="AH664" s="129">
        <f t="shared" si="434"/>
        <v/>
      </c>
      <c r="AI664" s="129">
        <f t="shared" si="435"/>
        <v/>
      </c>
      <c r="AJ664" s="129">
        <f t="shared" si="436"/>
        <v/>
      </c>
      <c r="AK664" s="129">
        <f t="shared" si="437"/>
        <v/>
      </c>
      <c r="AL664" s="129">
        <f t="shared" si="438"/>
        <v/>
      </c>
      <c r="AM664" s="129">
        <f t="shared" si="439"/>
      </c>
      <c r="AN664" s="129">
        <f t="shared" si="440"/>
      </c>
      <c r="AO664" s="129">
        <f t="shared" si="441"/>
        <v/>
      </c>
      <c r="AP664" s="129">
        <f t="shared" si="442"/>
        <v/>
      </c>
      <c r="AQ664" s="129">
        <f t="shared" si="443"/>
        <v/>
      </c>
      <c r="AR664" s="129">
        <f t="shared" si="444"/>
        <v/>
      </c>
      <c r="AS664" s="129">
        <f t="shared" si="445"/>
        <v/>
      </c>
      <c r="AT664" s="129">
        <f t="shared" si="446"/>
        <v/>
      </c>
      <c r="AU664" s="129">
        <f t="shared" si="447"/>
        <v/>
      </c>
      <c r="AV664" s="129">
        <f t="shared" si="448"/>
        <v/>
      </c>
      <c r="AW664" s="129">
        <f>IF(AV664="","",AV664&amp;"."&amp;COUNTIFS($A$3:A664,A664,$AV$3:AV664,AV664))</f>
        <v/>
      </c>
      <c r="AX664" s="129">
        <f t="shared" si="449"/>
        <v/>
      </c>
      <c r="AY664" s="129">
        <f>IF(N664="б/к",0,IF(OR(ISNUMBER(SEARCH("L=",Разбивка_по_щитам!P664)),N664="+",N664="="),1,0))</f>
      </c>
      <c r="AZ664" s="129">
        <f t="shared" si="450"/>
        <v/>
      </c>
      <c r="BA664" s="129">
        <f t="shared" si="451"/>
      </c>
      <c r="BB664" s="129">
        <f t="shared" si="452"/>
      </c>
      <c r="BD664" s="129">
        <f t="shared" si="453"/>
      </c>
      <c r="BE664" s="129">
        <f t="shared" si="454"/>
      </c>
      <c r="BF664" s="129">
        <f t="shared" si="455"/>
      </c>
      <c r="BG664" s="129">
        <f t="shared" si="456"/>
        <v/>
      </c>
      <c r="BH664" s="129">
        <f t="shared" si="457"/>
        <v/>
      </c>
      <c r="BI664" s="129">
        <f t="shared" si="458"/>
        <v/>
      </c>
      <c r="BJ664" s="129">
        <f t="shared" si="459"/>
        <v/>
      </c>
      <c r="BK664" s="129">
        <f>IF(R664="","",IF(OR(BY664="",BY664=0),"BOX",IFERROR(IF(VLOOKUP(BY664,УГО_блоки,3,FALSE)&amp;""&lt;&gt;"",VLOOKUP(BY664,УГО_блоки,3,FALSE),VLOOKUP(BY664,УГО_блоки,2,FALSE)),BY664)))</f>
      </c>
      <c r="BL664" s="129">
        <f t="shared" si="461"/>
      </c>
      <c r="BM664" s="129">
        <f>IF(H664="","",IF(COUNTIF($H$3:H664,H664)=1,MAX($BM$2:BM663)+1,""))</f>
      </c>
      <c r="BN664" s="129">
        <f>IF(I664="","",IF(COUNTIF($I$3:I664,I664)+COUNTIF($J$2:J663,I664)+COUNTIF($K$2:K663,I664)=1,MAX($BN$2:BP663)+1,""))</f>
      </c>
      <c r="BO664" s="129">
        <f>IF(J664="","",IF(COUNTIF($I$3:I664,J664)+COUNTIF($J$3:J664,J664)+COUNTIF($K$2:K663,J664)=1,MAX($BN$2:BP663,BN664)+1,""))</f>
      </c>
      <c r="BP664" s="129">
        <f>IF(K664="","",IF(COUNTIF($I$3:I664,K664)+COUNTIF($J$3:J664,K664)+COUNTIF($K$3:K664,K664)=1,MAX($BN$2:BP663,BN664,BO664)+1,""))</f>
      </c>
      <c r="BQ664" s="129">
        <f>IF(AY664=1,IFERROR(MID(Q664,FIND(" (",Q664)+2,FIND(")",Q664,FIND(" (",Q664))-FIND(" (",Q664)-2),"?"),"")</f>
      </c>
      <c r="BR664" s="129">
        <f>IF(BQ664="","",IF(COUNTIF($BQ$3:BQ664,BQ664)=1,MAX($BR$2:BR663)+1,""))</f>
      </c>
      <c r="BS664" s="129">
        <f>IF(AW664="","",COUNTIF($AW$3:AW664,"?*"))</f>
      </c>
      <c r="BT664" s="129">
        <f>IF(OR(AW664="",AI664=""),"",IF(COUNTIFS($AW$3:AW664,"?*",$AI$3:AI664,AI664)=1,MAX($BT$2:BT663)+1,""))</f>
      </c>
      <c r="BU664" s="129">
        <f>IF(AE664="",0,IF(OR(ISNUMBER(SEARCH("дубль",AE664)),ISNUMBER(SEARCH("ПЕРЕГРУЗ",AE664)),ISNUMBER(SEARCH("ЗАЩИЩ",AE664)),ISNUMBER(SEARCH("КАНАЛ",AE664)),ISNUMBER(SEARCH("без 30",AE664))),2,1))</f>
      </c>
      <c r="BV664" s="129">
        <f>IF(R664="","",COUNTIF($R$3:R664,"?*"))</f>
      </c>
      <c r="BW664" s="129">
        <f>IF(AY664&lt;&gt;1,0,IF(MAX(IFERROR(--VLOOKUP(R664,УГО_спр,5,FALSE),0),IFERROR(--VLOOKUP(AL664,УГО_спр,5,FALSE),0),IFERROR(--VLOOKUP(LEFT(AL664,2),УГО_спр,5,FALSE),0))&gt;0,MAX(IFERROR(--VLOOKUP(R664,УГО_спр,5,FALSE),0),IFERROR(--VLOOKUP(AL664,УГО_спр,5,FALSE),0),IFERROR(--VLOOKUP(LEFT(AL664,2),УГО_спр,5,FALSE),0)),IF(IFERROR(--LEFT(SUBSTITUTE(BQ664,"x","х"),FIND("х",SUBSTITUTE(BQ664,"x","х"))-1),3)&gt;3,Каталог!$S$9,1)))</f>
      </c>
      <c r="BX664" s="129">
        <f>IF(AY664&lt;&gt;1,0,MAX(0,IFERROR(--LEFT(SUBSTITUTE(BQ664,"x","х"),FIND("х",SUBSTITUTE(BQ664,"x","х"))-1),3)-3*BW664))</f>
      </c>
      <c r="BY664" s="129">
        <f>IF(R664="","",IFERROR(VLOOKUP(R664,УГО_спр,2,FALSE),IFERROR(VLOOKUP(AL664,УГО_спр,2,FALSE),IFERROR(VLOOKUP(LEFT(AL664,2),УГО_спр,2,FALSE),""))))</f>
      </c>
    </row>
    <row r="665" spans="1:64" x14ac:dyDescent="0.3">
      <c r="A665" s="135">
        <f>IF(Разбивка_по_щитам!F665=0,"",Разбивка_по_щитам!F665)</f>
        <v/>
      </c>
      <c r="B665" s="138">
        <f>IF(A665="","",Разбивка_по_щитам!C665)</f>
        <v/>
      </c>
      <c r="C665" s="138">
        <f t="shared" si="422"/>
        <v/>
      </c>
      <c r="D665" s="266"/>
      <c r="E665" s="266"/>
      <c r="F665" s="267"/>
      <c r="G665" s="145">
        <f t="shared" si="423"/>
        <v/>
      </c>
      <c r="H665" s="145">
        <f t="shared" si="424"/>
        <v/>
      </c>
      <c r="I665" s="266"/>
      <c r="J665" s="267"/>
      <c r="K665" s="267"/>
      <c r="L665" s="266"/>
      <c r="M665" s="147">
        <f t="shared" si="425"/>
        <v/>
      </c>
      <c r="N665" s="267"/>
      <c r="O665" s="147">
        <f t="shared" si="426"/>
        <v/>
      </c>
      <c r="P665" s="268">
        <f>IF(AY665=1,"XT"&amp;COUNTIFS($A$3:A665,A665,$AY$3:AY665,1),"")</f>
        <v/>
      </c>
      <c r="Q665" s="152">
        <f>IF(R665="","",IFERROR(SUBSTITUTE(Разбивка_по_щитам!P665,CHAR(10)," "),""))</f>
        <v/>
      </c>
      <c r="R665" s="153">
        <f>IF(OR(Разбивка_по_щитам!H665="",Разбивка_по_щитам!H665=0),"",Разбивка_по_щитам!H665)</f>
        <v/>
      </c>
      <c r="S665" s="154">
        <f>IF(R665="","",IFERROR(Разбивка_по_щитам!J665&amp;"",""))</f>
        <v/>
      </c>
      <c r="T665" s="155">
        <f>IF(R665="","",IFERROR(--Разбивка_по_щитам!L665,""))</f>
        <v/>
      </c>
      <c r="U665" s="155">
        <f>IF(R665="","",IFERROR(--Разбивка_по_щитам!K665,""))</f>
        <v/>
      </c>
      <c r="V665" s="138">
        <f>IF(R665="","",IFERROR(IF(Разбивка_по_щитам!M665=0,"",Разбивка_по_щитам!M665),""))</f>
        <v/>
      </c>
      <c r="W665" s="156">
        <f t="shared" si="427"/>
        <v/>
      </c>
      <c r="X665" s="157">
        <f t="shared" si="428"/>
        <v/>
      </c>
      <c r="Y665" s="266"/>
      <c r="Z665" s="158">
        <f t="shared" si="429"/>
        <v/>
      </c>
      <c r="AA665" s="160">
        <f t="shared" si="430"/>
        <v/>
      </c>
      <c r="AB665" s="160">
        <f>IF(R665="","",IFERROR(LOOKUP(INDEX(Справочная!$I$4:$I$19,MATCH(VLOOKUP(R665,Исходные_данные,22,FALSE),Справочная!$J$4:$J$19,0)+1),{6,10,16,20,25,32,40,50,63,80,100,125}),""))</f>
        <v/>
      </c>
      <c r="AC665" s="160">
        <f t="shared" si="431"/>
        <v/>
      </c>
      <c r="AD665" s="161">
        <f t="shared" si="432"/>
        <v/>
      </c>
      <c r="AE665" s="161">
        <f>IF(AND(R665="",G665=""),"",_xlfn.TEXTJOIN("; ",TRUE,IF(AND(R665&lt;&gt;"",V665=""),"нет фазы",""),IF(AND(R665&lt;&gt;"",N(T665)=0),"нет мощности",""),IF(AND(P665&lt;&gt;"",COUNTIFS($A$3:$A$1000,A665,$P$3:$P$1000,P665)&gt;1),"дубль клеммы "&amp;P665,""),IF(AND(W665&lt;&gt;"",W665&lt;&gt;"ok"),W665,""),IF(X665&lt;&gt;"",X665,""),IF(AND(ISNUMBER(SEARCH("(5х",Q665)),N(AK665)=1),"5 жил на 1 фазе",""),IF(AND(AL665="R",E665&lt;&gt;"",N(AS665)=0),"розетка без 30 мА",""),IF(IFERROR(_xlfn.NUMBERVALUE(MID(Q665,FIND("-",Q665,FIND("L=",Q665))+1,FIND("%",Q665)-FIND("-",Q665,FIND("L=",Q665))-1),","),0)&gt;4,"потери &gt; 4 %","")))</f>
      </c>
      <c r="AF665" s="129">
        <f>IF(E665&lt;&gt;"",COUNTIFS($A$3:A665,A665,$E$3:E665,"?*"),IF(OR(A665&lt;&gt;A664,Y665="вручную"),"",AF664))</f>
        <v/>
      </c>
      <c r="AG665" s="129">
        <f t="shared" si="433"/>
        <v/>
      </c>
      <c r="AH665" s="129">
        <f t="shared" si="434"/>
        <v/>
      </c>
      <c r="AI665" s="129">
        <f t="shared" si="435"/>
        <v/>
      </c>
      <c r="AJ665" s="129">
        <f t="shared" si="436"/>
        <v/>
      </c>
      <c r="AK665" s="129">
        <f t="shared" si="437"/>
        <v/>
      </c>
      <c r="AL665" s="129">
        <f t="shared" si="438"/>
        <v/>
      </c>
      <c r="AM665" s="129">
        <f t="shared" si="439"/>
      </c>
      <c r="AN665" s="129">
        <f t="shared" si="440"/>
      </c>
      <c r="AO665" s="129">
        <f t="shared" si="441"/>
        <v/>
      </c>
      <c r="AP665" s="129">
        <f t="shared" si="442"/>
        <v/>
      </c>
      <c r="AQ665" s="129">
        <f t="shared" si="443"/>
        <v/>
      </c>
      <c r="AR665" s="129">
        <f t="shared" si="444"/>
        <v/>
      </c>
      <c r="AS665" s="129">
        <f t="shared" si="445"/>
        <v/>
      </c>
      <c r="AT665" s="129">
        <f t="shared" si="446"/>
        <v/>
      </c>
      <c r="AU665" s="129">
        <f t="shared" si="447"/>
        <v/>
      </c>
      <c r="AV665" s="129">
        <f t="shared" si="448"/>
        <v/>
      </c>
      <c r="AW665" s="129">
        <f>IF(AV665="","",AV665&amp;"."&amp;COUNTIFS($A$3:A665,A665,$AV$3:AV665,AV665))</f>
        <v/>
      </c>
      <c r="AX665" s="129">
        <f t="shared" si="449"/>
        <v/>
      </c>
      <c r="AY665" s="129">
        <f>IF(N665="б/к",0,IF(OR(ISNUMBER(SEARCH("L=",Разбивка_по_щитам!P665)),N665="+",N665="="),1,0))</f>
      </c>
      <c r="AZ665" s="129">
        <f t="shared" si="450"/>
        <v/>
      </c>
      <c r="BA665" s="129">
        <f t="shared" si="451"/>
      </c>
      <c r="BB665" s="129">
        <f t="shared" si="452"/>
      </c>
      <c r="BD665" s="129">
        <f t="shared" si="453"/>
      </c>
      <c r="BE665" s="129">
        <f t="shared" si="454"/>
      </c>
      <c r="BF665" s="129">
        <f t="shared" si="455"/>
      </c>
      <c r="BG665" s="129">
        <f t="shared" si="456"/>
        <v/>
      </c>
      <c r="BH665" s="129">
        <f t="shared" si="457"/>
        <v/>
      </c>
      <c r="BI665" s="129">
        <f t="shared" si="458"/>
        <v/>
      </c>
      <c r="BJ665" s="129">
        <f t="shared" si="459"/>
        <v/>
      </c>
      <c r="BK665" s="129">
        <f>IF(R665="","",IF(OR(BY665="",BY665=0),"BOX",IFERROR(IF(VLOOKUP(BY665,УГО_блоки,3,FALSE)&amp;""&lt;&gt;"",VLOOKUP(BY665,УГО_блоки,3,FALSE),VLOOKUP(BY665,УГО_блоки,2,FALSE)),BY665)))</f>
      </c>
      <c r="BL665" s="129">
        <f t="shared" si="461"/>
      </c>
      <c r="BM665" s="129">
        <f>IF(H665="","",IF(COUNTIF($H$3:H665,H665)=1,MAX($BM$2:BM664)+1,""))</f>
      </c>
      <c r="BN665" s="129">
        <f>IF(I665="","",IF(COUNTIF($I$3:I665,I665)+COUNTIF($J$2:J664,I665)+COUNTIF($K$2:K664,I665)=1,MAX($BN$2:BP664)+1,""))</f>
      </c>
      <c r="BO665" s="129">
        <f>IF(J665="","",IF(COUNTIF($I$3:I665,J665)+COUNTIF($J$3:J665,J665)+COUNTIF($K$2:K664,J665)=1,MAX($BN$2:BP664,BN665)+1,""))</f>
      </c>
      <c r="BP665" s="129">
        <f>IF(K665="","",IF(COUNTIF($I$3:I665,K665)+COUNTIF($J$3:J665,K665)+COUNTIF($K$3:K665,K665)=1,MAX($BN$2:BP664,BN665,BO665)+1,""))</f>
      </c>
      <c r="BQ665" s="129">
        <f>IF(AY665=1,IFERROR(MID(Q665,FIND(" (",Q665)+2,FIND(")",Q665,FIND(" (",Q665))-FIND(" (",Q665)-2),"?"),"")</f>
      </c>
      <c r="BR665" s="129">
        <f>IF(BQ665="","",IF(COUNTIF($BQ$3:BQ665,BQ665)=1,MAX($BR$2:BR664)+1,""))</f>
      </c>
      <c r="BS665" s="129">
        <f>IF(AW665="","",COUNTIF($AW$3:AW665,"?*"))</f>
      </c>
      <c r="BT665" s="129">
        <f>IF(OR(AW665="",AI665=""),"",IF(COUNTIFS($AW$3:AW665,"?*",$AI$3:AI665,AI665)=1,MAX($BT$2:BT664)+1,""))</f>
      </c>
      <c r="BU665" s="129">
        <f>IF(AE665="",0,IF(OR(ISNUMBER(SEARCH("дубль",AE665)),ISNUMBER(SEARCH("ПЕРЕГРУЗ",AE665)),ISNUMBER(SEARCH("ЗАЩИЩ",AE665)),ISNUMBER(SEARCH("КАНАЛ",AE665)),ISNUMBER(SEARCH("без 30",AE665))),2,1))</f>
      </c>
      <c r="BV665" s="129">
        <f>IF(R665="","",COUNTIF($R$3:R665,"?*"))</f>
      </c>
      <c r="BW665" s="129">
        <f>IF(AY665&lt;&gt;1,0,IF(MAX(IFERROR(--VLOOKUP(R665,УГО_спр,5,FALSE),0),IFERROR(--VLOOKUP(AL665,УГО_спр,5,FALSE),0),IFERROR(--VLOOKUP(LEFT(AL665,2),УГО_спр,5,FALSE),0))&gt;0,MAX(IFERROR(--VLOOKUP(R665,УГО_спр,5,FALSE),0),IFERROR(--VLOOKUP(AL665,УГО_спр,5,FALSE),0),IFERROR(--VLOOKUP(LEFT(AL665,2),УГО_спр,5,FALSE),0)),IF(IFERROR(--LEFT(SUBSTITUTE(BQ665,"x","х"),FIND("х",SUBSTITUTE(BQ665,"x","х"))-1),3)&gt;3,Каталог!$S$9,1)))</f>
      </c>
      <c r="BX665" s="129">
        <f>IF(AY665&lt;&gt;1,0,MAX(0,IFERROR(--LEFT(SUBSTITUTE(BQ665,"x","х"),FIND("х",SUBSTITUTE(BQ665,"x","х"))-1),3)-3*BW665))</f>
      </c>
      <c r="BY665" s="129">
        <f>IF(R665="","",IFERROR(VLOOKUP(R665,УГО_спр,2,FALSE),IFERROR(VLOOKUP(AL665,УГО_спр,2,FALSE),IFERROR(VLOOKUP(LEFT(AL665,2),УГО_спр,2,FALSE),""))))</f>
      </c>
    </row>
    <row r="666" spans="1:64" x14ac:dyDescent="0.3">
      <c r="A666" s="135">
        <f>IF(Разбивка_по_щитам!F666=0,"",Разбивка_по_щитам!F666)</f>
        <v/>
      </c>
      <c r="B666" s="138">
        <f>IF(A666="","",Разбивка_по_щитам!C666)</f>
        <v/>
      </c>
      <c r="C666" s="138">
        <f t="shared" si="422"/>
        <v/>
      </c>
      <c r="D666" s="266"/>
      <c r="E666" s="266"/>
      <c r="F666" s="267"/>
      <c r="G666" s="145">
        <f t="shared" si="423"/>
        <v/>
      </c>
      <c r="H666" s="145">
        <f t="shared" si="424"/>
        <v/>
      </c>
      <c r="I666" s="266"/>
      <c r="J666" s="267"/>
      <c r="K666" s="267"/>
      <c r="L666" s="266"/>
      <c r="M666" s="147">
        <f t="shared" si="425"/>
        <v/>
      </c>
      <c r="N666" s="267"/>
      <c r="O666" s="147">
        <f t="shared" si="426"/>
        <v/>
      </c>
      <c r="P666" s="268">
        <f>IF(AY666=1,"XT"&amp;COUNTIFS($A$3:A666,A666,$AY$3:AY666,1),"")</f>
        <v/>
      </c>
      <c r="Q666" s="152">
        <f>IF(R666="","",IFERROR(SUBSTITUTE(Разбивка_по_щитам!P666,CHAR(10)," "),""))</f>
        <v/>
      </c>
      <c r="R666" s="153">
        <f>IF(OR(Разбивка_по_щитам!H666="",Разбивка_по_щитам!H666=0),"",Разбивка_по_щитам!H666)</f>
        <v/>
      </c>
      <c r="S666" s="154">
        <f>IF(R666="","",IFERROR(Разбивка_по_щитам!J666&amp;"",""))</f>
        <v/>
      </c>
      <c r="T666" s="155">
        <f>IF(R666="","",IFERROR(--Разбивка_по_щитам!L666,""))</f>
        <v/>
      </c>
      <c r="U666" s="155">
        <f>IF(R666="","",IFERROR(--Разбивка_по_щитам!K666,""))</f>
        <v/>
      </c>
      <c r="V666" s="138">
        <f>IF(R666="","",IFERROR(IF(Разбивка_по_щитам!M666=0,"",Разбивка_по_щитам!M666),""))</f>
        <v/>
      </c>
      <c r="W666" s="156">
        <f t="shared" si="427"/>
        <v/>
      </c>
      <c r="X666" s="157">
        <f t="shared" si="428"/>
        <v/>
      </c>
      <c r="Y666" s="266"/>
      <c r="Z666" s="158">
        <f t="shared" si="429"/>
        <v/>
      </c>
      <c r="AA666" s="160">
        <f t="shared" si="430"/>
        <v/>
      </c>
      <c r="AB666" s="160">
        <f>IF(R666="","",IFERROR(LOOKUP(INDEX(Справочная!$I$4:$I$19,MATCH(VLOOKUP(R666,Исходные_данные,22,FALSE),Справочная!$J$4:$J$19,0)+1),{6,10,16,20,25,32,40,50,63,80,100,125}),""))</f>
        <v/>
      </c>
      <c r="AC666" s="160">
        <f t="shared" si="431"/>
        <v/>
      </c>
      <c r="AD666" s="161">
        <f t="shared" si="432"/>
        <v/>
      </c>
      <c r="AE666" s="161">
        <f>IF(AND(R666="",G666=""),"",_xlfn.TEXTJOIN("; ",TRUE,IF(AND(R666&lt;&gt;"",V666=""),"нет фазы",""),IF(AND(R666&lt;&gt;"",N(T666)=0),"нет мощности",""),IF(AND(P666&lt;&gt;"",COUNTIFS($A$3:$A$1000,A666,$P$3:$P$1000,P666)&gt;1),"дубль клеммы "&amp;P666,""),IF(AND(W666&lt;&gt;"",W666&lt;&gt;"ok"),W666,""),IF(X666&lt;&gt;"",X666,""),IF(AND(ISNUMBER(SEARCH("(5х",Q666)),N(AK666)=1),"5 жил на 1 фазе",""),IF(AND(AL666="R",E666&lt;&gt;"",N(AS666)=0),"розетка без 30 мА",""),IF(IFERROR(_xlfn.NUMBERVALUE(MID(Q666,FIND("-",Q666,FIND("L=",Q666))+1,FIND("%",Q666)-FIND("-",Q666,FIND("L=",Q666))-1),","),0)&gt;4,"потери &gt; 4 %","")))</f>
      </c>
      <c r="AF666" s="129">
        <f>IF(E666&lt;&gt;"",COUNTIFS($A$3:A666,A666,$E$3:E666,"?*"),IF(OR(A666&lt;&gt;A665,Y666="вручную"),"",AF665))</f>
        <v/>
      </c>
      <c r="AG666" s="129">
        <f t="shared" si="433"/>
        <v/>
      </c>
      <c r="AH666" s="129">
        <f t="shared" si="434"/>
        <v/>
      </c>
      <c r="AI666" s="129">
        <f t="shared" si="435"/>
        <v/>
      </c>
      <c r="AJ666" s="129">
        <f t="shared" si="436"/>
        <v/>
      </c>
      <c r="AK666" s="129">
        <f t="shared" si="437"/>
        <v/>
      </c>
      <c r="AL666" s="129">
        <f t="shared" si="438"/>
        <v/>
      </c>
      <c r="AM666" s="129">
        <f t="shared" si="439"/>
      </c>
      <c r="AN666" s="129">
        <f t="shared" si="440"/>
      </c>
      <c r="AO666" s="129">
        <f t="shared" si="441"/>
        <v/>
      </c>
      <c r="AP666" s="129">
        <f t="shared" si="442"/>
        <v/>
      </c>
      <c r="AQ666" s="129">
        <f t="shared" si="443"/>
        <v/>
      </c>
      <c r="AR666" s="129">
        <f t="shared" si="444"/>
        <v/>
      </c>
      <c r="AS666" s="129">
        <f t="shared" si="445"/>
        <v/>
      </c>
      <c r="AT666" s="129">
        <f t="shared" si="446"/>
        <v/>
      </c>
      <c r="AU666" s="129">
        <f t="shared" si="447"/>
        <v/>
      </c>
      <c r="AV666" s="129">
        <f t="shared" si="448"/>
        <v/>
      </c>
      <c r="AW666" s="129">
        <f>IF(AV666="","",AV666&amp;"."&amp;COUNTIFS($A$3:A666,A666,$AV$3:AV666,AV666))</f>
        <v/>
      </c>
      <c r="AX666" s="129">
        <f t="shared" si="449"/>
        <v/>
      </c>
      <c r="AY666" s="129">
        <f>IF(N666="б/к",0,IF(OR(ISNUMBER(SEARCH("L=",Разбивка_по_щитам!P666)),N666="+",N666="="),1,0))</f>
      </c>
      <c r="AZ666" s="129">
        <f t="shared" si="450"/>
        <v/>
      </c>
      <c r="BA666" s="129">
        <f t="shared" si="451"/>
      </c>
      <c r="BB666" s="129">
        <f t="shared" si="452"/>
      </c>
      <c r="BD666" s="129">
        <f t="shared" si="453"/>
      </c>
      <c r="BE666" s="129">
        <f t="shared" si="454"/>
      </c>
      <c r="BF666" s="129">
        <f t="shared" si="455"/>
      </c>
      <c r="BG666" s="129">
        <f t="shared" si="456"/>
        <v/>
      </c>
      <c r="BH666" s="129">
        <f t="shared" si="457"/>
        <v/>
      </c>
      <c r="BI666" s="129">
        <f t="shared" si="458"/>
        <v/>
      </c>
      <c r="BJ666" s="129">
        <f t="shared" si="459"/>
        <v/>
      </c>
      <c r="BK666" s="129">
        <f>IF(R666="","",IF(OR(BY666="",BY666=0),"BOX",IFERROR(IF(VLOOKUP(BY666,УГО_блоки,3,FALSE)&amp;""&lt;&gt;"",VLOOKUP(BY666,УГО_блоки,3,FALSE),VLOOKUP(BY666,УГО_блоки,2,FALSE)),BY666)))</f>
      </c>
      <c r="BL666" s="129">
        <f t="shared" si="461"/>
      </c>
      <c r="BM666" s="129">
        <f>IF(H666="","",IF(COUNTIF($H$3:H666,H666)=1,MAX($BM$2:BM665)+1,""))</f>
      </c>
      <c r="BN666" s="129">
        <f>IF(I666="","",IF(COUNTIF($I$3:I666,I666)+COUNTIF($J$2:J665,I666)+COUNTIF($K$2:K665,I666)=1,MAX($BN$2:BP665)+1,""))</f>
      </c>
      <c r="BO666" s="129">
        <f>IF(J666="","",IF(COUNTIF($I$3:I666,J666)+COUNTIF($J$3:J666,J666)+COUNTIF($K$2:K665,J666)=1,MAX($BN$2:BP665,BN666)+1,""))</f>
      </c>
      <c r="BP666" s="129">
        <f>IF(K666="","",IF(COUNTIF($I$3:I666,K666)+COUNTIF($J$3:J666,K666)+COUNTIF($K$3:K666,K666)=1,MAX($BN$2:BP665,BN666,BO666)+1,""))</f>
      </c>
      <c r="BQ666" s="129">
        <f>IF(AY666=1,IFERROR(MID(Q666,FIND(" (",Q666)+2,FIND(")",Q666,FIND(" (",Q666))-FIND(" (",Q666)-2),"?"),"")</f>
      </c>
      <c r="BR666" s="129">
        <f>IF(BQ666="","",IF(COUNTIF($BQ$3:BQ666,BQ666)=1,MAX($BR$2:BR665)+1,""))</f>
      </c>
      <c r="BS666" s="129">
        <f>IF(AW666="","",COUNTIF($AW$3:AW666,"?*"))</f>
      </c>
      <c r="BT666" s="129">
        <f>IF(OR(AW666="",AI666=""),"",IF(COUNTIFS($AW$3:AW666,"?*",$AI$3:AI666,AI666)=1,MAX($BT$2:BT665)+1,""))</f>
      </c>
      <c r="BU666" s="129">
        <f>IF(AE666="",0,IF(OR(ISNUMBER(SEARCH("дубль",AE666)),ISNUMBER(SEARCH("ПЕРЕГРУЗ",AE666)),ISNUMBER(SEARCH("ЗАЩИЩ",AE666)),ISNUMBER(SEARCH("КАНАЛ",AE666)),ISNUMBER(SEARCH("без 30",AE666))),2,1))</f>
      </c>
      <c r="BV666" s="129">
        <f>IF(R666="","",COUNTIF($R$3:R666,"?*"))</f>
      </c>
      <c r="BW666" s="129">
        <f>IF(AY666&lt;&gt;1,0,IF(MAX(IFERROR(--VLOOKUP(R666,УГО_спр,5,FALSE),0),IFERROR(--VLOOKUP(AL666,УГО_спр,5,FALSE),0),IFERROR(--VLOOKUP(LEFT(AL666,2),УГО_спр,5,FALSE),0))&gt;0,MAX(IFERROR(--VLOOKUP(R666,УГО_спр,5,FALSE),0),IFERROR(--VLOOKUP(AL666,УГО_спр,5,FALSE),0),IFERROR(--VLOOKUP(LEFT(AL666,2),УГО_спр,5,FALSE),0)),IF(IFERROR(--LEFT(SUBSTITUTE(BQ666,"x","х"),FIND("х",SUBSTITUTE(BQ666,"x","х"))-1),3)&gt;3,Каталог!$S$9,1)))</f>
      </c>
      <c r="BX666" s="129">
        <f>IF(AY666&lt;&gt;1,0,MAX(0,IFERROR(--LEFT(SUBSTITUTE(BQ666,"x","х"),FIND("х",SUBSTITUTE(BQ666,"x","х"))-1),3)-3*BW666))</f>
      </c>
      <c r="BY666" s="129">
        <f>IF(R666="","",IFERROR(VLOOKUP(R666,УГО_спр,2,FALSE),IFERROR(VLOOKUP(AL666,УГО_спр,2,FALSE),IFERROR(VLOOKUP(LEFT(AL666,2),УГО_спр,2,FALSE),""))))</f>
      </c>
    </row>
    <row r="667" spans="1:64" x14ac:dyDescent="0.3">
      <c r="A667" s="135">
        <f>IF(Разбивка_по_щитам!F667=0,"",Разбивка_по_щитам!F667)</f>
        <v/>
      </c>
      <c r="B667" s="138">
        <f>IF(A667="","",Разбивка_по_щитам!C667)</f>
        <v/>
      </c>
      <c r="C667" s="138">
        <f t="shared" si="422"/>
        <v/>
      </c>
      <c r="D667" s="266"/>
      <c r="E667" s="266"/>
      <c r="F667" s="267"/>
      <c r="G667" s="145">
        <f t="shared" si="423"/>
        <v/>
      </c>
      <c r="H667" s="145">
        <f t="shared" si="424"/>
        <v/>
      </c>
      <c r="I667" s="266"/>
      <c r="J667" s="267"/>
      <c r="K667" s="267"/>
      <c r="L667" s="266"/>
      <c r="M667" s="147">
        <f t="shared" si="425"/>
        <v/>
      </c>
      <c r="N667" s="267"/>
      <c r="O667" s="147">
        <f t="shared" si="426"/>
        <v/>
      </c>
      <c r="P667" s="268">
        <f>IF(AY667=1,"XT"&amp;COUNTIFS($A$3:A667,A667,$AY$3:AY667,1),"")</f>
        <v/>
      </c>
      <c r="Q667" s="152">
        <f>IF(R667="","",IFERROR(SUBSTITUTE(Разбивка_по_щитам!P667,CHAR(10)," "),""))</f>
        <v/>
      </c>
      <c r="R667" s="153">
        <f>IF(OR(Разбивка_по_щитам!H667="",Разбивка_по_щитам!H667=0),"",Разбивка_по_щитам!H667)</f>
        <v/>
      </c>
      <c r="S667" s="154">
        <f>IF(R667="","",IFERROR(Разбивка_по_щитам!J667&amp;"",""))</f>
        <v/>
      </c>
      <c r="T667" s="155">
        <f>IF(R667="","",IFERROR(--Разбивка_по_щитам!L667,""))</f>
        <v/>
      </c>
      <c r="U667" s="155">
        <f>IF(R667="","",IFERROR(--Разбивка_по_щитам!K667,""))</f>
        <v/>
      </c>
      <c r="V667" s="138">
        <f>IF(R667="","",IFERROR(IF(Разбивка_по_щитам!M667=0,"",Разбивка_по_щитам!M667),""))</f>
        <v/>
      </c>
      <c r="W667" s="156">
        <f t="shared" si="427"/>
        <v/>
      </c>
      <c r="X667" s="157">
        <f t="shared" si="428"/>
        <v/>
      </c>
      <c r="Y667" s="266"/>
      <c r="Z667" s="158">
        <f t="shared" si="429"/>
        <v/>
      </c>
      <c r="AA667" s="160">
        <f t="shared" si="430"/>
        <v/>
      </c>
      <c r="AB667" s="160">
        <f>IF(R667="","",IFERROR(LOOKUP(INDEX(Справочная!$I$4:$I$19,MATCH(VLOOKUP(R667,Исходные_данные,22,FALSE),Справочная!$J$4:$J$19,0)+1),{6,10,16,20,25,32,40,50,63,80,100,125}),""))</f>
        <v/>
      </c>
      <c r="AC667" s="160">
        <f t="shared" si="431"/>
        <v/>
      </c>
      <c r="AD667" s="161">
        <f t="shared" si="432"/>
        <v/>
      </c>
      <c r="AE667" s="161">
        <f>IF(AND(R667="",G667=""),"",_xlfn.TEXTJOIN("; ",TRUE,IF(AND(R667&lt;&gt;"",V667=""),"нет фазы",""),IF(AND(R667&lt;&gt;"",N(T667)=0),"нет мощности",""),IF(AND(P667&lt;&gt;"",COUNTIFS($A$3:$A$1000,A667,$P$3:$P$1000,P667)&gt;1),"дубль клеммы "&amp;P667,""),IF(AND(W667&lt;&gt;"",W667&lt;&gt;"ok"),W667,""),IF(X667&lt;&gt;"",X667,""),IF(AND(ISNUMBER(SEARCH("(5х",Q667)),N(AK667)=1),"5 жил на 1 фазе",""),IF(AND(AL667="R",E667&lt;&gt;"",N(AS667)=0),"розетка без 30 мА",""),IF(IFERROR(_xlfn.NUMBERVALUE(MID(Q667,FIND("-",Q667,FIND("L=",Q667))+1,FIND("%",Q667)-FIND("-",Q667,FIND("L=",Q667))-1),","),0)&gt;4,"потери &gt; 4 %","")))</f>
      </c>
      <c r="AF667" s="129">
        <f>IF(E667&lt;&gt;"",COUNTIFS($A$3:A667,A667,$E$3:E667,"?*"),IF(OR(A667&lt;&gt;A666,Y667="вручную"),"",AF666))</f>
        <v/>
      </c>
      <c r="AG667" s="129">
        <f t="shared" si="433"/>
        <v/>
      </c>
      <c r="AH667" s="129">
        <f t="shared" si="434"/>
        <v/>
      </c>
      <c r="AI667" s="129">
        <f t="shared" si="435"/>
        <v/>
      </c>
      <c r="AJ667" s="129">
        <f t="shared" si="436"/>
        <v/>
      </c>
      <c r="AK667" s="129">
        <f t="shared" si="437"/>
        <v/>
      </c>
      <c r="AL667" s="129">
        <f t="shared" si="438"/>
        <v/>
      </c>
      <c r="AM667" s="129">
        <f t="shared" si="439"/>
      </c>
      <c r="AN667" s="129">
        <f t="shared" si="440"/>
      </c>
      <c r="AO667" s="129">
        <f t="shared" si="441"/>
        <v/>
      </c>
      <c r="AP667" s="129">
        <f t="shared" si="442"/>
        <v/>
      </c>
      <c r="AQ667" s="129">
        <f t="shared" si="443"/>
        <v/>
      </c>
      <c r="AR667" s="129">
        <f t="shared" si="444"/>
        <v/>
      </c>
      <c r="AS667" s="129">
        <f t="shared" si="445"/>
        <v/>
      </c>
      <c r="AT667" s="129">
        <f t="shared" si="446"/>
        <v/>
      </c>
      <c r="AU667" s="129">
        <f t="shared" si="447"/>
        <v/>
      </c>
      <c r="AV667" s="129">
        <f t="shared" si="448"/>
        <v/>
      </c>
      <c r="AW667" s="129">
        <f>IF(AV667="","",AV667&amp;"."&amp;COUNTIFS($A$3:A667,A667,$AV$3:AV667,AV667))</f>
        <v/>
      </c>
      <c r="AX667" s="129">
        <f t="shared" si="449"/>
        <v/>
      </c>
      <c r="AY667" s="129">
        <f>IF(N667="б/к",0,IF(OR(ISNUMBER(SEARCH("L=",Разбивка_по_щитам!P667)),N667="+",N667="="),1,0))</f>
      </c>
      <c r="AZ667" s="129">
        <f t="shared" si="450"/>
        <v/>
      </c>
      <c r="BA667" s="129">
        <f t="shared" si="451"/>
      </c>
      <c r="BB667" s="129">
        <f t="shared" si="452"/>
      </c>
      <c r="BD667" s="129">
        <f t="shared" si="453"/>
      </c>
      <c r="BE667" s="129">
        <f t="shared" si="454"/>
      </c>
      <c r="BF667" s="129">
        <f t="shared" si="455"/>
      </c>
      <c r="BG667" s="129">
        <f t="shared" si="456"/>
        <v/>
      </c>
      <c r="BH667" s="129">
        <f t="shared" si="457"/>
        <v/>
      </c>
      <c r="BI667" s="129">
        <f t="shared" si="458"/>
        <v/>
      </c>
      <c r="BJ667" s="129">
        <f t="shared" si="459"/>
        <v/>
      </c>
      <c r="BK667" s="129">
        <f>IF(R667="","",IF(OR(BY667="",BY667=0),"BOX",IFERROR(IF(VLOOKUP(BY667,УГО_блоки,3,FALSE)&amp;""&lt;&gt;"",VLOOKUP(BY667,УГО_блоки,3,FALSE),VLOOKUP(BY667,УГО_блоки,2,FALSE)),BY667)))</f>
      </c>
      <c r="BL667" s="129">
        <f t="shared" si="461"/>
      </c>
      <c r="BM667" s="129">
        <f>IF(H667="","",IF(COUNTIF($H$3:H667,H667)=1,MAX($BM$2:BM666)+1,""))</f>
      </c>
      <c r="BN667" s="129">
        <f>IF(I667="","",IF(COUNTIF($I$3:I667,I667)+COUNTIF($J$2:J666,I667)+COUNTIF($K$2:K666,I667)=1,MAX($BN$2:BP666)+1,""))</f>
      </c>
      <c r="BO667" s="129">
        <f>IF(J667="","",IF(COUNTIF($I$3:I667,J667)+COUNTIF($J$3:J667,J667)+COUNTIF($K$2:K666,J667)=1,MAX($BN$2:BP666,BN667)+1,""))</f>
      </c>
      <c r="BP667" s="129">
        <f>IF(K667="","",IF(COUNTIF($I$3:I667,K667)+COUNTIF($J$3:J667,K667)+COUNTIF($K$3:K667,K667)=1,MAX($BN$2:BP666,BN667,BO667)+1,""))</f>
      </c>
      <c r="BQ667" s="129">
        <f>IF(AY667=1,IFERROR(MID(Q667,FIND(" (",Q667)+2,FIND(")",Q667,FIND(" (",Q667))-FIND(" (",Q667)-2),"?"),"")</f>
      </c>
      <c r="BR667" s="129">
        <f>IF(BQ667="","",IF(COUNTIF($BQ$3:BQ667,BQ667)=1,MAX($BR$2:BR666)+1,""))</f>
      </c>
      <c r="BS667" s="129">
        <f>IF(AW667="","",COUNTIF($AW$3:AW667,"?*"))</f>
      </c>
      <c r="BT667" s="129">
        <f>IF(OR(AW667="",AI667=""),"",IF(COUNTIFS($AW$3:AW667,"?*",$AI$3:AI667,AI667)=1,MAX($BT$2:BT666)+1,""))</f>
      </c>
      <c r="BU667" s="129">
        <f>IF(AE667="",0,IF(OR(ISNUMBER(SEARCH("дубль",AE667)),ISNUMBER(SEARCH("ПЕРЕГРУЗ",AE667)),ISNUMBER(SEARCH("ЗАЩИЩ",AE667)),ISNUMBER(SEARCH("КАНАЛ",AE667)),ISNUMBER(SEARCH("без 30",AE667))),2,1))</f>
      </c>
      <c r="BV667" s="129">
        <f>IF(R667="","",COUNTIF($R$3:R667,"?*"))</f>
      </c>
      <c r="BW667" s="129">
        <f>IF(AY667&lt;&gt;1,0,IF(MAX(IFERROR(--VLOOKUP(R667,УГО_спр,5,FALSE),0),IFERROR(--VLOOKUP(AL667,УГО_спр,5,FALSE),0),IFERROR(--VLOOKUP(LEFT(AL667,2),УГО_спр,5,FALSE),0))&gt;0,MAX(IFERROR(--VLOOKUP(R667,УГО_спр,5,FALSE),0),IFERROR(--VLOOKUP(AL667,УГО_спр,5,FALSE),0),IFERROR(--VLOOKUP(LEFT(AL667,2),УГО_спр,5,FALSE),0)),IF(IFERROR(--LEFT(SUBSTITUTE(BQ667,"x","х"),FIND("х",SUBSTITUTE(BQ667,"x","х"))-1),3)&gt;3,Каталог!$S$9,1)))</f>
      </c>
      <c r="BX667" s="129">
        <f>IF(AY667&lt;&gt;1,0,MAX(0,IFERROR(--LEFT(SUBSTITUTE(BQ667,"x","х"),FIND("х",SUBSTITUTE(BQ667,"x","х"))-1),3)-3*BW667))</f>
      </c>
      <c r="BY667" s="129">
        <f>IF(R667="","",IFERROR(VLOOKUP(R667,УГО_спр,2,FALSE),IFERROR(VLOOKUP(AL667,УГО_спр,2,FALSE),IFERROR(VLOOKUP(LEFT(AL667,2),УГО_спр,2,FALSE),""))))</f>
      </c>
    </row>
    <row r="668" spans="1:64" x14ac:dyDescent="0.3">
      <c r="A668" s="135">
        <f>IF(Разбивка_по_щитам!F668=0,"",Разбивка_по_щитам!F668)</f>
        <v/>
      </c>
      <c r="B668" s="138">
        <f>IF(A668="","",Разбивка_по_щитам!C668)</f>
        <v/>
      </c>
      <c r="C668" s="138">
        <f t="shared" si="422"/>
        <v/>
      </c>
      <c r="D668" s="266"/>
      <c r="E668" s="266"/>
      <c r="F668" s="267"/>
      <c r="G668" s="145">
        <f t="shared" si="423"/>
        <v/>
      </c>
      <c r="H668" s="145">
        <f t="shared" si="424"/>
        <v/>
      </c>
      <c r="I668" s="266"/>
      <c r="J668" s="267"/>
      <c r="K668" s="267"/>
      <c r="L668" s="266"/>
      <c r="M668" s="147">
        <f t="shared" si="425"/>
        <v/>
      </c>
      <c r="N668" s="267"/>
      <c r="O668" s="147">
        <f t="shared" si="426"/>
        <v/>
      </c>
      <c r="P668" s="268">
        <f>IF(AY668=1,"XT"&amp;COUNTIFS($A$3:A668,A668,$AY$3:AY668,1),"")</f>
        <v/>
      </c>
      <c r="Q668" s="152">
        <f>IF(R668="","",IFERROR(SUBSTITUTE(Разбивка_по_щитам!P668,CHAR(10)," "),""))</f>
        <v/>
      </c>
      <c r="R668" s="153">
        <f>IF(OR(Разбивка_по_щитам!H668="",Разбивка_по_щитам!H668=0),"",Разбивка_по_щитам!H668)</f>
        <v/>
      </c>
      <c r="S668" s="154">
        <f>IF(R668="","",IFERROR(Разбивка_по_щитам!J668&amp;"",""))</f>
        <v/>
      </c>
      <c r="T668" s="155">
        <f>IF(R668="","",IFERROR(--Разбивка_по_щитам!L668,""))</f>
        <v/>
      </c>
      <c r="U668" s="155">
        <f>IF(R668="","",IFERROR(--Разбивка_по_щитам!K668,""))</f>
        <v/>
      </c>
      <c r="V668" s="138">
        <f>IF(R668="","",IFERROR(IF(Разбивка_по_щитам!M668=0,"",Разбивка_по_щитам!M668),""))</f>
        <v/>
      </c>
      <c r="W668" s="156">
        <f t="shared" si="427"/>
        <v/>
      </c>
      <c r="X668" s="157">
        <f t="shared" si="428"/>
        <v/>
      </c>
      <c r="Y668" s="266"/>
      <c r="Z668" s="158">
        <f t="shared" si="429"/>
        <v/>
      </c>
      <c r="AA668" s="160">
        <f t="shared" si="430"/>
        <v/>
      </c>
      <c r="AB668" s="160">
        <f>IF(R668="","",IFERROR(LOOKUP(INDEX(Справочная!$I$4:$I$19,MATCH(VLOOKUP(R668,Исходные_данные,22,FALSE),Справочная!$J$4:$J$19,0)+1),{6,10,16,20,25,32,40,50,63,80,100,125}),""))</f>
        <v/>
      </c>
      <c r="AC668" s="160">
        <f t="shared" si="431"/>
        <v/>
      </c>
      <c r="AD668" s="161">
        <f t="shared" si="432"/>
        <v/>
      </c>
      <c r="AE668" s="161">
        <f>IF(AND(R668="",G668=""),"",_xlfn.TEXTJOIN("; ",TRUE,IF(AND(R668&lt;&gt;"",V668=""),"нет фазы",""),IF(AND(R668&lt;&gt;"",N(T668)=0),"нет мощности",""),IF(AND(P668&lt;&gt;"",COUNTIFS($A$3:$A$1000,A668,$P$3:$P$1000,P668)&gt;1),"дубль клеммы "&amp;P668,""),IF(AND(W668&lt;&gt;"",W668&lt;&gt;"ok"),W668,""),IF(X668&lt;&gt;"",X668,""),IF(AND(ISNUMBER(SEARCH("(5х",Q668)),N(AK668)=1),"5 жил на 1 фазе",""),IF(AND(AL668="R",E668&lt;&gt;"",N(AS668)=0),"розетка без 30 мА",""),IF(IFERROR(_xlfn.NUMBERVALUE(MID(Q668,FIND("-",Q668,FIND("L=",Q668))+1,FIND("%",Q668)-FIND("-",Q668,FIND("L=",Q668))-1),","),0)&gt;4,"потери &gt; 4 %","")))</f>
      </c>
      <c r="AF668" s="129">
        <f>IF(E668&lt;&gt;"",COUNTIFS($A$3:A668,A668,$E$3:E668,"?*"),IF(OR(A668&lt;&gt;A667,Y668="вручную"),"",AF667))</f>
        <v/>
      </c>
      <c r="AG668" s="129">
        <f t="shared" si="433"/>
        <v/>
      </c>
      <c r="AH668" s="129">
        <f t="shared" si="434"/>
        <v/>
      </c>
      <c r="AI668" s="129">
        <f t="shared" si="435"/>
        <v/>
      </c>
      <c r="AJ668" s="129">
        <f t="shared" si="436"/>
        <v/>
      </c>
      <c r="AK668" s="129">
        <f t="shared" si="437"/>
        <v/>
      </c>
      <c r="AL668" s="129">
        <f t="shared" si="438"/>
        <v/>
      </c>
      <c r="AM668" s="129">
        <f t="shared" si="439"/>
      </c>
      <c r="AN668" s="129">
        <f t="shared" si="440"/>
      </c>
      <c r="AO668" s="129">
        <f t="shared" si="441"/>
        <v/>
      </c>
      <c r="AP668" s="129">
        <f t="shared" si="442"/>
        <v/>
      </c>
      <c r="AQ668" s="129">
        <f t="shared" si="443"/>
        <v/>
      </c>
      <c r="AR668" s="129">
        <f t="shared" si="444"/>
        <v/>
      </c>
      <c r="AS668" s="129">
        <f t="shared" si="445"/>
        <v/>
      </c>
      <c r="AT668" s="129">
        <f t="shared" si="446"/>
        <v/>
      </c>
      <c r="AU668" s="129">
        <f t="shared" si="447"/>
        <v/>
      </c>
      <c r="AV668" s="129">
        <f t="shared" si="448"/>
        <v/>
      </c>
      <c r="AW668" s="129">
        <f>IF(AV668="","",AV668&amp;"."&amp;COUNTIFS($A$3:A668,A668,$AV$3:AV668,AV668))</f>
        <v/>
      </c>
      <c r="AX668" s="129">
        <f t="shared" si="449"/>
        <v/>
      </c>
      <c r="AY668" s="129">
        <f>IF(N668="б/к",0,IF(OR(ISNUMBER(SEARCH("L=",Разбивка_по_щитам!P668)),N668="+",N668="="),1,0))</f>
      </c>
      <c r="AZ668" s="129">
        <f t="shared" si="450"/>
        <v/>
      </c>
      <c r="BA668" s="129">
        <f t="shared" si="451"/>
      </c>
      <c r="BB668" s="129">
        <f t="shared" si="452"/>
      </c>
      <c r="BD668" s="129">
        <f t="shared" si="453"/>
      </c>
      <c r="BE668" s="129">
        <f t="shared" si="454"/>
      </c>
      <c r="BF668" s="129">
        <f t="shared" si="455"/>
      </c>
      <c r="BG668" s="129">
        <f t="shared" si="456"/>
        <v/>
      </c>
      <c r="BH668" s="129">
        <f t="shared" si="457"/>
        <v/>
      </c>
      <c r="BI668" s="129">
        <f t="shared" si="458"/>
        <v/>
      </c>
      <c r="BJ668" s="129">
        <f t="shared" si="459"/>
        <v/>
      </c>
      <c r="BK668" s="129">
        <f>IF(R668="","",IF(OR(BY668="",BY668=0),"BOX",IFERROR(IF(VLOOKUP(BY668,УГО_блоки,3,FALSE)&amp;""&lt;&gt;"",VLOOKUP(BY668,УГО_блоки,3,FALSE),VLOOKUP(BY668,УГО_блоки,2,FALSE)),BY668)))</f>
      </c>
      <c r="BL668" s="129">
        <f t="shared" si="461"/>
      </c>
      <c r="BM668" s="129">
        <f>IF(H668="","",IF(COUNTIF($H$3:H668,H668)=1,MAX($BM$2:BM667)+1,""))</f>
      </c>
      <c r="BN668" s="129">
        <f>IF(I668="","",IF(COUNTIF($I$3:I668,I668)+COUNTIF($J$2:J667,I668)+COUNTIF($K$2:K667,I668)=1,MAX($BN$2:BP667)+1,""))</f>
      </c>
      <c r="BO668" s="129">
        <f>IF(J668="","",IF(COUNTIF($I$3:I668,J668)+COUNTIF($J$3:J668,J668)+COUNTIF($K$2:K667,J668)=1,MAX($BN$2:BP667,BN668)+1,""))</f>
      </c>
      <c r="BP668" s="129">
        <f>IF(K668="","",IF(COUNTIF($I$3:I668,K668)+COUNTIF($J$3:J668,K668)+COUNTIF($K$3:K668,K668)=1,MAX($BN$2:BP667,BN668,BO668)+1,""))</f>
      </c>
      <c r="BQ668" s="129">
        <f>IF(AY668=1,IFERROR(MID(Q668,FIND(" (",Q668)+2,FIND(")",Q668,FIND(" (",Q668))-FIND(" (",Q668)-2),"?"),"")</f>
      </c>
      <c r="BR668" s="129">
        <f>IF(BQ668="","",IF(COUNTIF($BQ$3:BQ668,BQ668)=1,MAX($BR$2:BR667)+1,""))</f>
      </c>
      <c r="BS668" s="129">
        <f>IF(AW668="","",COUNTIF($AW$3:AW668,"?*"))</f>
      </c>
      <c r="BT668" s="129">
        <f>IF(OR(AW668="",AI668=""),"",IF(COUNTIFS($AW$3:AW668,"?*",$AI$3:AI668,AI668)=1,MAX($BT$2:BT667)+1,""))</f>
      </c>
      <c r="BU668" s="129">
        <f>IF(AE668="",0,IF(OR(ISNUMBER(SEARCH("дубль",AE668)),ISNUMBER(SEARCH("ПЕРЕГРУЗ",AE668)),ISNUMBER(SEARCH("ЗАЩИЩ",AE668)),ISNUMBER(SEARCH("КАНАЛ",AE668)),ISNUMBER(SEARCH("без 30",AE668))),2,1))</f>
      </c>
      <c r="BV668" s="129">
        <f>IF(R668="","",COUNTIF($R$3:R668,"?*"))</f>
      </c>
      <c r="BW668" s="129">
        <f>IF(AY668&lt;&gt;1,0,IF(MAX(IFERROR(--VLOOKUP(R668,УГО_спр,5,FALSE),0),IFERROR(--VLOOKUP(AL668,УГО_спр,5,FALSE),0),IFERROR(--VLOOKUP(LEFT(AL668,2),УГО_спр,5,FALSE),0))&gt;0,MAX(IFERROR(--VLOOKUP(R668,УГО_спр,5,FALSE),0),IFERROR(--VLOOKUP(AL668,УГО_спр,5,FALSE),0),IFERROR(--VLOOKUP(LEFT(AL668,2),УГО_спр,5,FALSE),0)),IF(IFERROR(--LEFT(SUBSTITUTE(BQ668,"x","х"),FIND("х",SUBSTITUTE(BQ668,"x","х"))-1),3)&gt;3,Каталог!$S$9,1)))</f>
      </c>
      <c r="BX668" s="129">
        <f>IF(AY668&lt;&gt;1,0,MAX(0,IFERROR(--LEFT(SUBSTITUTE(BQ668,"x","х"),FIND("х",SUBSTITUTE(BQ668,"x","х"))-1),3)-3*BW668))</f>
      </c>
      <c r="BY668" s="129">
        <f>IF(R668="","",IFERROR(VLOOKUP(R668,УГО_спр,2,FALSE),IFERROR(VLOOKUP(AL668,УГО_спр,2,FALSE),IFERROR(VLOOKUP(LEFT(AL668,2),УГО_спр,2,FALSE),""))))</f>
      </c>
    </row>
    <row r="669" spans="1:64" x14ac:dyDescent="0.3">
      <c r="A669" s="135">
        <f>IF(Разбивка_по_щитам!F669=0,"",Разбивка_по_щитам!F669)</f>
        <v/>
      </c>
      <c r="B669" s="138">
        <f>IF(A669="","",Разбивка_по_щитам!C669)</f>
        <v/>
      </c>
      <c r="C669" s="138">
        <f t="shared" si="422"/>
        <v/>
      </c>
      <c r="D669" s="266"/>
      <c r="E669" s="266"/>
      <c r="F669" s="267"/>
      <c r="G669" s="145">
        <f t="shared" si="423"/>
        <v/>
      </c>
      <c r="H669" s="145">
        <f t="shared" si="424"/>
        <v/>
      </c>
      <c r="I669" s="266"/>
      <c r="J669" s="267"/>
      <c r="K669" s="267"/>
      <c r="L669" s="266"/>
      <c r="M669" s="147">
        <f t="shared" si="425"/>
        <v/>
      </c>
      <c r="N669" s="267"/>
      <c r="O669" s="147">
        <f t="shared" si="426"/>
        <v/>
      </c>
      <c r="P669" s="268">
        <f>IF(AY669=1,"XT"&amp;COUNTIFS($A$3:A669,A669,$AY$3:AY669,1),"")</f>
        <v/>
      </c>
      <c r="Q669" s="152">
        <f>IF(R669="","",IFERROR(SUBSTITUTE(Разбивка_по_щитам!P669,CHAR(10)," "),""))</f>
        <v/>
      </c>
      <c r="R669" s="153">
        <f>IF(OR(Разбивка_по_щитам!H669="",Разбивка_по_щитам!H669=0),"",Разбивка_по_щитам!H669)</f>
        <v/>
      </c>
      <c r="S669" s="154">
        <f>IF(R669="","",IFERROR(Разбивка_по_щитам!J669&amp;"",""))</f>
        <v/>
      </c>
      <c r="T669" s="155">
        <f>IF(R669="","",IFERROR(--Разбивка_по_щитам!L669,""))</f>
        <v/>
      </c>
      <c r="U669" s="155">
        <f>IF(R669="","",IFERROR(--Разбивка_по_щитам!K669,""))</f>
        <v/>
      </c>
      <c r="V669" s="138">
        <f>IF(R669="","",IFERROR(IF(Разбивка_по_щитам!M669=0,"",Разбивка_по_щитам!M669),""))</f>
        <v/>
      </c>
      <c r="W669" s="156">
        <f t="shared" si="427"/>
        <v/>
      </c>
      <c r="X669" s="157">
        <f t="shared" si="428"/>
        <v/>
      </c>
      <c r="Y669" s="266"/>
      <c r="Z669" s="158">
        <f t="shared" si="429"/>
        <v/>
      </c>
      <c r="AA669" s="160">
        <f t="shared" si="430"/>
        <v/>
      </c>
      <c r="AB669" s="160">
        <f>IF(R669="","",IFERROR(LOOKUP(INDEX(Справочная!$I$4:$I$19,MATCH(VLOOKUP(R669,Исходные_данные,22,FALSE),Справочная!$J$4:$J$19,0)+1),{6,10,16,20,25,32,40,50,63,80,100,125}),""))</f>
        <v/>
      </c>
      <c r="AC669" s="160">
        <f t="shared" si="431"/>
        <v/>
      </c>
      <c r="AD669" s="161">
        <f t="shared" si="432"/>
        <v/>
      </c>
      <c r="AE669" s="161">
        <f>IF(AND(R669="",G669=""),"",_xlfn.TEXTJOIN("; ",TRUE,IF(AND(R669&lt;&gt;"",V669=""),"нет фазы",""),IF(AND(R669&lt;&gt;"",N(T669)=0),"нет мощности",""),IF(AND(P669&lt;&gt;"",COUNTIFS($A$3:$A$1000,A669,$P$3:$P$1000,P669)&gt;1),"дубль клеммы "&amp;P669,""),IF(AND(W669&lt;&gt;"",W669&lt;&gt;"ok"),W669,""),IF(X669&lt;&gt;"",X669,""),IF(AND(ISNUMBER(SEARCH("(5х",Q669)),N(AK669)=1),"5 жил на 1 фазе",""),IF(AND(AL669="R",E669&lt;&gt;"",N(AS669)=0),"розетка без 30 мА",""),IF(IFERROR(_xlfn.NUMBERVALUE(MID(Q669,FIND("-",Q669,FIND("L=",Q669))+1,FIND("%",Q669)-FIND("-",Q669,FIND("L=",Q669))-1),","),0)&gt;4,"потери &gt; 4 %","")))</f>
      </c>
      <c r="AF669" s="129">
        <f>IF(E669&lt;&gt;"",COUNTIFS($A$3:A669,A669,$E$3:E669,"?*"),IF(OR(A669&lt;&gt;A668,Y669="вручную"),"",AF668))</f>
        <v/>
      </c>
      <c r="AG669" s="129">
        <f t="shared" si="433"/>
        <v/>
      </c>
      <c r="AH669" s="129">
        <f t="shared" si="434"/>
        <v/>
      </c>
      <c r="AI669" s="129">
        <f t="shared" si="435"/>
        <v/>
      </c>
      <c r="AJ669" s="129">
        <f t="shared" si="436"/>
        <v/>
      </c>
      <c r="AK669" s="129">
        <f t="shared" si="437"/>
        <v/>
      </c>
      <c r="AL669" s="129">
        <f t="shared" si="438"/>
        <v/>
      </c>
      <c r="AM669" s="129">
        <f t="shared" si="439"/>
      </c>
      <c r="AN669" s="129">
        <f t="shared" si="440"/>
      </c>
      <c r="AO669" s="129">
        <f t="shared" si="441"/>
        <v/>
      </c>
      <c r="AP669" s="129">
        <f t="shared" si="442"/>
        <v/>
      </c>
      <c r="AQ669" s="129">
        <f t="shared" si="443"/>
        <v/>
      </c>
      <c r="AR669" s="129">
        <f t="shared" si="444"/>
        <v/>
      </c>
      <c r="AS669" s="129">
        <f t="shared" si="445"/>
        <v/>
      </c>
      <c r="AT669" s="129">
        <f t="shared" si="446"/>
        <v/>
      </c>
      <c r="AU669" s="129">
        <f t="shared" si="447"/>
        <v/>
      </c>
      <c r="AV669" s="129">
        <f t="shared" si="448"/>
        <v/>
      </c>
      <c r="AW669" s="129">
        <f>IF(AV669="","",AV669&amp;"."&amp;COUNTIFS($A$3:A669,A669,$AV$3:AV669,AV669))</f>
        <v/>
      </c>
      <c r="AX669" s="129">
        <f t="shared" si="449"/>
        <v/>
      </c>
      <c r="AY669" s="129">
        <f>IF(N669="б/к",0,IF(OR(ISNUMBER(SEARCH("L=",Разбивка_по_щитам!P669)),N669="+",N669="="),1,0))</f>
      </c>
      <c r="AZ669" s="129">
        <f t="shared" si="450"/>
        <v/>
      </c>
      <c r="BA669" s="129">
        <f t="shared" si="451"/>
      </c>
      <c r="BB669" s="129">
        <f t="shared" si="452"/>
      </c>
      <c r="BD669" s="129">
        <f t="shared" si="453"/>
      </c>
      <c r="BE669" s="129">
        <f t="shared" si="454"/>
      </c>
      <c r="BF669" s="129">
        <f t="shared" si="455"/>
      </c>
      <c r="BG669" s="129">
        <f t="shared" si="456"/>
        <v/>
      </c>
      <c r="BH669" s="129">
        <f t="shared" si="457"/>
        <v/>
      </c>
      <c r="BI669" s="129">
        <f t="shared" si="458"/>
        <v/>
      </c>
      <c r="BJ669" s="129">
        <f t="shared" si="459"/>
        <v/>
      </c>
      <c r="BK669" s="129">
        <f>IF(R669="","",IF(OR(BY669="",BY669=0),"BOX",IFERROR(IF(VLOOKUP(BY669,УГО_блоки,3,FALSE)&amp;""&lt;&gt;"",VLOOKUP(BY669,УГО_блоки,3,FALSE),VLOOKUP(BY669,УГО_блоки,2,FALSE)),BY669)))</f>
      </c>
      <c r="BL669" s="129">
        <f t="shared" si="461"/>
      </c>
      <c r="BM669" s="129">
        <f>IF(H669="","",IF(COUNTIF($H$3:H669,H669)=1,MAX($BM$2:BM668)+1,""))</f>
      </c>
      <c r="BN669" s="129">
        <f>IF(I669="","",IF(COUNTIF($I$3:I669,I669)+COUNTIF($J$2:J668,I669)+COUNTIF($K$2:K668,I669)=1,MAX($BN$2:BP668)+1,""))</f>
      </c>
      <c r="BO669" s="129">
        <f>IF(J669="","",IF(COUNTIF($I$3:I669,J669)+COUNTIF($J$3:J669,J669)+COUNTIF($K$2:K668,J669)=1,MAX($BN$2:BP668,BN669)+1,""))</f>
      </c>
      <c r="BP669" s="129">
        <f>IF(K669="","",IF(COUNTIF($I$3:I669,K669)+COUNTIF($J$3:J669,K669)+COUNTIF($K$3:K669,K669)=1,MAX($BN$2:BP668,BN669,BO669)+1,""))</f>
      </c>
      <c r="BQ669" s="129">
        <f>IF(AY669=1,IFERROR(MID(Q669,FIND(" (",Q669)+2,FIND(")",Q669,FIND(" (",Q669))-FIND(" (",Q669)-2),"?"),"")</f>
      </c>
      <c r="BR669" s="129">
        <f>IF(BQ669="","",IF(COUNTIF($BQ$3:BQ669,BQ669)=1,MAX($BR$2:BR668)+1,""))</f>
      </c>
      <c r="BS669" s="129">
        <f>IF(AW669="","",COUNTIF($AW$3:AW669,"?*"))</f>
      </c>
      <c r="BT669" s="129">
        <f>IF(OR(AW669="",AI669=""),"",IF(COUNTIFS($AW$3:AW669,"?*",$AI$3:AI669,AI669)=1,MAX($BT$2:BT668)+1,""))</f>
      </c>
      <c r="BU669" s="129">
        <f>IF(AE669="",0,IF(OR(ISNUMBER(SEARCH("дубль",AE669)),ISNUMBER(SEARCH("ПЕРЕГРУЗ",AE669)),ISNUMBER(SEARCH("ЗАЩИЩ",AE669)),ISNUMBER(SEARCH("КАНАЛ",AE669)),ISNUMBER(SEARCH("без 30",AE669))),2,1))</f>
      </c>
      <c r="BV669" s="129">
        <f>IF(R669="","",COUNTIF($R$3:R669,"?*"))</f>
      </c>
      <c r="BW669" s="129">
        <f>IF(AY669&lt;&gt;1,0,IF(MAX(IFERROR(--VLOOKUP(R669,УГО_спр,5,FALSE),0),IFERROR(--VLOOKUP(AL669,УГО_спр,5,FALSE),0),IFERROR(--VLOOKUP(LEFT(AL669,2),УГО_спр,5,FALSE),0))&gt;0,MAX(IFERROR(--VLOOKUP(R669,УГО_спр,5,FALSE),0),IFERROR(--VLOOKUP(AL669,УГО_спр,5,FALSE),0),IFERROR(--VLOOKUP(LEFT(AL669,2),УГО_спр,5,FALSE),0)),IF(IFERROR(--LEFT(SUBSTITUTE(BQ669,"x","х"),FIND("х",SUBSTITUTE(BQ669,"x","х"))-1),3)&gt;3,Каталог!$S$9,1)))</f>
      </c>
      <c r="BX669" s="129">
        <f>IF(AY669&lt;&gt;1,0,MAX(0,IFERROR(--LEFT(SUBSTITUTE(BQ669,"x","х"),FIND("х",SUBSTITUTE(BQ669,"x","х"))-1),3)-3*BW669))</f>
      </c>
      <c r="BY669" s="129">
        <f>IF(R669="","",IFERROR(VLOOKUP(R669,УГО_спр,2,FALSE),IFERROR(VLOOKUP(AL669,УГО_спр,2,FALSE),IFERROR(VLOOKUP(LEFT(AL669,2),УГО_спр,2,FALSE),""))))</f>
      </c>
    </row>
    <row r="670" spans="1:64" x14ac:dyDescent="0.3">
      <c r="A670" s="135">
        <f>IF(Разбивка_по_щитам!F670=0,"",Разбивка_по_щитам!F670)</f>
        <v/>
      </c>
      <c r="B670" s="138">
        <f>IF(A670="","",Разбивка_по_щитам!C670)</f>
        <v/>
      </c>
      <c r="C670" s="138">
        <f t="shared" si="422"/>
        <v/>
      </c>
      <c r="D670" s="266"/>
      <c r="E670" s="266"/>
      <c r="F670" s="267"/>
      <c r="G670" s="145">
        <f t="shared" si="423"/>
        <v/>
      </c>
      <c r="H670" s="145">
        <f t="shared" si="424"/>
        <v/>
      </c>
      <c r="I670" s="266"/>
      <c r="J670" s="267"/>
      <c r="K670" s="267"/>
      <c r="L670" s="266"/>
      <c r="M670" s="147">
        <f t="shared" si="425"/>
        <v/>
      </c>
      <c r="N670" s="267"/>
      <c r="O670" s="147">
        <f t="shared" si="426"/>
        <v/>
      </c>
      <c r="P670" s="268">
        <f>IF(AY670=1,"XT"&amp;COUNTIFS($A$3:A670,A670,$AY$3:AY670,1),"")</f>
        <v/>
      </c>
      <c r="Q670" s="152">
        <f>IF(R670="","",IFERROR(SUBSTITUTE(Разбивка_по_щитам!P670,CHAR(10)," "),""))</f>
        <v/>
      </c>
      <c r="R670" s="153">
        <f>IF(OR(Разбивка_по_щитам!H670="",Разбивка_по_щитам!H670=0),"",Разбивка_по_щитам!H670)</f>
        <v/>
      </c>
      <c r="S670" s="154">
        <f>IF(R670="","",IFERROR(Разбивка_по_щитам!J670&amp;"",""))</f>
        <v/>
      </c>
      <c r="T670" s="155">
        <f>IF(R670="","",IFERROR(--Разбивка_по_щитам!L670,""))</f>
        <v/>
      </c>
      <c r="U670" s="155">
        <f>IF(R670="","",IFERROR(--Разбивка_по_щитам!K670,""))</f>
        <v/>
      </c>
      <c r="V670" s="138">
        <f>IF(R670="","",IFERROR(IF(Разбивка_по_щитам!M670=0,"",Разбивка_по_щитам!M670),""))</f>
        <v/>
      </c>
      <c r="W670" s="156">
        <f t="shared" si="427"/>
        <v/>
      </c>
      <c r="X670" s="157">
        <f t="shared" si="428"/>
        <v/>
      </c>
      <c r="Y670" s="266"/>
      <c r="Z670" s="158">
        <f t="shared" si="429"/>
        <v/>
      </c>
      <c r="AA670" s="160">
        <f t="shared" si="430"/>
        <v/>
      </c>
      <c r="AB670" s="160">
        <f>IF(R670="","",IFERROR(LOOKUP(INDEX(Справочная!$I$4:$I$19,MATCH(VLOOKUP(R670,Исходные_данные,22,FALSE),Справочная!$J$4:$J$19,0)+1),{6,10,16,20,25,32,40,50,63,80,100,125}),""))</f>
        <v/>
      </c>
      <c r="AC670" s="160">
        <f t="shared" si="431"/>
        <v/>
      </c>
      <c r="AD670" s="161">
        <f t="shared" si="432"/>
        <v/>
      </c>
      <c r="AE670" s="161">
        <f>IF(AND(R670="",G670=""),"",_xlfn.TEXTJOIN("; ",TRUE,IF(AND(R670&lt;&gt;"",V670=""),"нет фазы",""),IF(AND(R670&lt;&gt;"",N(T670)=0),"нет мощности",""),IF(AND(P670&lt;&gt;"",COUNTIFS($A$3:$A$1000,A670,$P$3:$P$1000,P670)&gt;1),"дубль клеммы "&amp;P670,""),IF(AND(W670&lt;&gt;"",W670&lt;&gt;"ok"),W670,""),IF(X670&lt;&gt;"",X670,""),IF(AND(ISNUMBER(SEARCH("(5х",Q670)),N(AK670)=1),"5 жил на 1 фазе",""),IF(AND(AL670="R",E670&lt;&gt;"",N(AS670)=0),"розетка без 30 мА",""),IF(IFERROR(_xlfn.NUMBERVALUE(MID(Q670,FIND("-",Q670,FIND("L=",Q670))+1,FIND("%",Q670)-FIND("-",Q670,FIND("L=",Q670))-1),","),0)&gt;4,"потери &gt; 4 %","")))</f>
      </c>
      <c r="AF670" s="129">
        <f>IF(E670&lt;&gt;"",COUNTIFS($A$3:A670,A670,$E$3:E670,"?*"),IF(OR(A670&lt;&gt;A669,Y670="вручную"),"",AF669))</f>
        <v/>
      </c>
      <c r="AG670" s="129">
        <f t="shared" si="433"/>
        <v/>
      </c>
      <c r="AH670" s="129">
        <f t="shared" si="434"/>
        <v/>
      </c>
      <c r="AI670" s="129">
        <f t="shared" si="435"/>
        <v/>
      </c>
      <c r="AJ670" s="129">
        <f t="shared" si="436"/>
        <v/>
      </c>
      <c r="AK670" s="129">
        <f t="shared" si="437"/>
        <v/>
      </c>
      <c r="AL670" s="129">
        <f t="shared" si="438"/>
        <v/>
      </c>
      <c r="AM670" s="129">
        <f t="shared" si="439"/>
      </c>
      <c r="AN670" s="129">
        <f t="shared" si="440"/>
      </c>
      <c r="AO670" s="129">
        <f t="shared" si="441"/>
        <v/>
      </c>
      <c r="AP670" s="129">
        <f t="shared" si="442"/>
        <v/>
      </c>
      <c r="AQ670" s="129">
        <f t="shared" si="443"/>
        <v/>
      </c>
      <c r="AR670" s="129">
        <f t="shared" si="444"/>
        <v/>
      </c>
      <c r="AS670" s="129">
        <f t="shared" si="445"/>
        <v/>
      </c>
      <c r="AT670" s="129">
        <f t="shared" si="446"/>
        <v/>
      </c>
      <c r="AU670" s="129">
        <f t="shared" si="447"/>
        <v/>
      </c>
      <c r="AV670" s="129">
        <f t="shared" si="448"/>
        <v/>
      </c>
      <c r="AW670" s="129">
        <f>IF(AV670="","",AV670&amp;"."&amp;COUNTIFS($A$3:A670,A670,$AV$3:AV670,AV670))</f>
        <v/>
      </c>
      <c r="AX670" s="129">
        <f t="shared" si="449"/>
        <v/>
      </c>
      <c r="AY670" s="129">
        <f>IF(N670="б/к",0,IF(OR(ISNUMBER(SEARCH("L=",Разбивка_по_щитам!P670)),N670="+",N670="="),1,0))</f>
      </c>
      <c r="AZ670" s="129">
        <f t="shared" si="450"/>
        <v/>
      </c>
      <c r="BA670" s="129">
        <f t="shared" si="451"/>
      </c>
      <c r="BB670" s="129">
        <f t="shared" si="452"/>
      </c>
      <c r="BD670" s="129">
        <f t="shared" si="453"/>
      </c>
      <c r="BE670" s="129">
        <f t="shared" si="454"/>
      </c>
      <c r="BF670" s="129">
        <f t="shared" si="455"/>
      </c>
      <c r="BG670" s="129">
        <f t="shared" si="456"/>
        <v/>
      </c>
      <c r="BH670" s="129">
        <f t="shared" si="457"/>
        <v/>
      </c>
      <c r="BI670" s="129">
        <f t="shared" si="458"/>
        <v/>
      </c>
      <c r="BJ670" s="129">
        <f t="shared" si="459"/>
        <v/>
      </c>
      <c r="BK670" s="129">
        <f>IF(R670="","",IF(OR(BY670="",BY670=0),"BOX",IFERROR(IF(VLOOKUP(BY670,УГО_блоки,3,FALSE)&amp;""&lt;&gt;"",VLOOKUP(BY670,УГО_блоки,3,FALSE),VLOOKUP(BY670,УГО_блоки,2,FALSE)),BY670)))</f>
      </c>
      <c r="BL670" s="129">
        <f t="shared" si="461"/>
      </c>
      <c r="BM670" s="129">
        <f>IF(H670="","",IF(COUNTIF($H$3:H670,H670)=1,MAX($BM$2:BM669)+1,""))</f>
      </c>
      <c r="BN670" s="129">
        <f>IF(I670="","",IF(COUNTIF($I$3:I670,I670)+COUNTIF($J$2:J669,I670)+COUNTIF($K$2:K669,I670)=1,MAX($BN$2:BP669)+1,""))</f>
      </c>
      <c r="BO670" s="129">
        <f>IF(J670="","",IF(COUNTIF($I$3:I670,J670)+COUNTIF($J$3:J670,J670)+COUNTIF($K$2:K669,J670)=1,MAX($BN$2:BP669,BN670)+1,""))</f>
      </c>
      <c r="BP670" s="129">
        <f>IF(K670="","",IF(COUNTIF($I$3:I670,K670)+COUNTIF($J$3:J670,K670)+COUNTIF($K$3:K670,K670)=1,MAX($BN$2:BP669,BN670,BO670)+1,""))</f>
      </c>
      <c r="BQ670" s="129">
        <f>IF(AY670=1,IFERROR(MID(Q670,FIND(" (",Q670)+2,FIND(")",Q670,FIND(" (",Q670))-FIND(" (",Q670)-2),"?"),"")</f>
      </c>
      <c r="BR670" s="129">
        <f>IF(BQ670="","",IF(COUNTIF($BQ$3:BQ670,BQ670)=1,MAX($BR$2:BR669)+1,""))</f>
      </c>
      <c r="BS670" s="129">
        <f>IF(AW670="","",COUNTIF($AW$3:AW670,"?*"))</f>
      </c>
      <c r="BT670" s="129">
        <f>IF(OR(AW670="",AI670=""),"",IF(COUNTIFS($AW$3:AW670,"?*",$AI$3:AI670,AI670)=1,MAX($BT$2:BT669)+1,""))</f>
      </c>
      <c r="BU670" s="129">
        <f>IF(AE670="",0,IF(OR(ISNUMBER(SEARCH("дубль",AE670)),ISNUMBER(SEARCH("ПЕРЕГРУЗ",AE670)),ISNUMBER(SEARCH("ЗАЩИЩ",AE670)),ISNUMBER(SEARCH("КАНАЛ",AE670)),ISNUMBER(SEARCH("без 30",AE670))),2,1))</f>
      </c>
      <c r="BV670" s="129">
        <f>IF(R670="","",COUNTIF($R$3:R670,"?*"))</f>
      </c>
      <c r="BW670" s="129">
        <f>IF(AY670&lt;&gt;1,0,IF(MAX(IFERROR(--VLOOKUP(R670,УГО_спр,5,FALSE),0),IFERROR(--VLOOKUP(AL670,УГО_спр,5,FALSE),0),IFERROR(--VLOOKUP(LEFT(AL670,2),УГО_спр,5,FALSE),0))&gt;0,MAX(IFERROR(--VLOOKUP(R670,УГО_спр,5,FALSE),0),IFERROR(--VLOOKUP(AL670,УГО_спр,5,FALSE),0),IFERROR(--VLOOKUP(LEFT(AL670,2),УГО_спр,5,FALSE),0)),IF(IFERROR(--LEFT(SUBSTITUTE(BQ670,"x","х"),FIND("х",SUBSTITUTE(BQ670,"x","х"))-1),3)&gt;3,Каталог!$S$9,1)))</f>
      </c>
      <c r="BX670" s="129">
        <f>IF(AY670&lt;&gt;1,0,MAX(0,IFERROR(--LEFT(SUBSTITUTE(BQ670,"x","х"),FIND("х",SUBSTITUTE(BQ670,"x","х"))-1),3)-3*BW670))</f>
      </c>
      <c r="BY670" s="129">
        <f>IF(R670="","",IFERROR(VLOOKUP(R670,УГО_спр,2,FALSE),IFERROR(VLOOKUP(AL670,УГО_спр,2,FALSE),IFERROR(VLOOKUP(LEFT(AL670,2),УГО_спр,2,FALSE),""))))</f>
      </c>
    </row>
    <row r="671" spans="1:64" x14ac:dyDescent="0.3">
      <c r="A671" s="135">
        <f>IF(Разбивка_по_щитам!F671=0,"",Разбивка_по_щитам!F671)</f>
        <v/>
      </c>
      <c r="B671" s="138">
        <f>IF(A671="","",Разбивка_по_щитам!C671)</f>
        <v/>
      </c>
      <c r="C671" s="138">
        <f t="shared" si="422"/>
        <v/>
      </c>
      <c r="D671" s="266"/>
      <c r="E671" s="266"/>
      <c r="F671" s="267"/>
      <c r="G671" s="145">
        <f t="shared" si="423"/>
        <v/>
      </c>
      <c r="H671" s="145">
        <f t="shared" si="424"/>
        <v/>
      </c>
      <c r="I671" s="266"/>
      <c r="J671" s="267"/>
      <c r="K671" s="267"/>
      <c r="L671" s="266"/>
      <c r="M671" s="147">
        <f t="shared" si="425"/>
        <v/>
      </c>
      <c r="N671" s="267"/>
      <c r="O671" s="147">
        <f t="shared" si="426"/>
        <v/>
      </c>
      <c r="P671" s="268">
        <f>IF(AY671=1,"XT"&amp;COUNTIFS($A$3:A671,A671,$AY$3:AY671,1),"")</f>
        <v/>
      </c>
      <c r="Q671" s="152">
        <f>IF(R671="","",IFERROR(SUBSTITUTE(Разбивка_по_щитам!P671,CHAR(10)," "),""))</f>
        <v/>
      </c>
      <c r="R671" s="153">
        <f>IF(OR(Разбивка_по_щитам!H671="",Разбивка_по_щитам!H671=0),"",Разбивка_по_щитам!H671)</f>
        <v/>
      </c>
      <c r="S671" s="154">
        <f>IF(R671="","",IFERROR(Разбивка_по_щитам!J671&amp;"",""))</f>
        <v/>
      </c>
      <c r="T671" s="155">
        <f>IF(R671="","",IFERROR(--Разбивка_по_щитам!L671,""))</f>
        <v/>
      </c>
      <c r="U671" s="155">
        <f>IF(R671="","",IFERROR(--Разбивка_по_щитам!K671,""))</f>
        <v/>
      </c>
      <c r="V671" s="138">
        <f>IF(R671="","",IFERROR(IF(Разбивка_по_щитам!M671=0,"",Разбивка_по_щитам!M671),""))</f>
        <v/>
      </c>
      <c r="W671" s="156">
        <f t="shared" si="427"/>
        <v/>
      </c>
      <c r="X671" s="157">
        <f t="shared" si="428"/>
        <v/>
      </c>
      <c r="Y671" s="266"/>
      <c r="Z671" s="158">
        <f t="shared" si="429"/>
        <v/>
      </c>
      <c r="AA671" s="160">
        <f t="shared" si="430"/>
        <v/>
      </c>
      <c r="AB671" s="160">
        <f>IF(R671="","",IFERROR(LOOKUP(INDEX(Справочная!$I$4:$I$19,MATCH(VLOOKUP(R671,Исходные_данные,22,FALSE),Справочная!$J$4:$J$19,0)+1),{6,10,16,20,25,32,40,50,63,80,100,125}),""))</f>
        <v/>
      </c>
      <c r="AC671" s="160">
        <f t="shared" si="431"/>
        <v/>
      </c>
      <c r="AD671" s="161">
        <f t="shared" si="432"/>
        <v/>
      </c>
      <c r="AE671" s="161">
        <f>IF(AND(R671="",G671=""),"",_xlfn.TEXTJOIN("; ",TRUE,IF(AND(R671&lt;&gt;"",V671=""),"нет фазы",""),IF(AND(R671&lt;&gt;"",N(T671)=0),"нет мощности",""),IF(AND(P671&lt;&gt;"",COUNTIFS($A$3:$A$1000,A671,$P$3:$P$1000,P671)&gt;1),"дубль клеммы "&amp;P671,""),IF(AND(W671&lt;&gt;"",W671&lt;&gt;"ok"),W671,""),IF(X671&lt;&gt;"",X671,""),IF(AND(ISNUMBER(SEARCH("(5х",Q671)),N(AK671)=1),"5 жил на 1 фазе",""),IF(AND(AL671="R",E671&lt;&gt;"",N(AS671)=0),"розетка без 30 мА",""),IF(IFERROR(_xlfn.NUMBERVALUE(MID(Q671,FIND("-",Q671,FIND("L=",Q671))+1,FIND("%",Q671)-FIND("-",Q671,FIND("L=",Q671))-1),","),0)&gt;4,"потери &gt; 4 %","")))</f>
      </c>
      <c r="AF671" s="129">
        <f>IF(E671&lt;&gt;"",COUNTIFS($A$3:A671,A671,$E$3:E671,"?*"),IF(OR(A671&lt;&gt;A670,Y671="вручную"),"",AF670))</f>
        <v/>
      </c>
      <c r="AG671" s="129">
        <f t="shared" si="433"/>
        <v/>
      </c>
      <c r="AH671" s="129">
        <f t="shared" si="434"/>
        <v/>
      </c>
      <c r="AI671" s="129">
        <f t="shared" si="435"/>
        <v/>
      </c>
      <c r="AJ671" s="129">
        <f t="shared" si="436"/>
        <v/>
      </c>
      <c r="AK671" s="129">
        <f t="shared" si="437"/>
        <v/>
      </c>
      <c r="AL671" s="129">
        <f t="shared" si="438"/>
        <v/>
      </c>
      <c r="AM671" s="129">
        <f t="shared" si="439"/>
      </c>
      <c r="AN671" s="129">
        <f t="shared" si="440"/>
      </c>
      <c r="AO671" s="129">
        <f t="shared" si="441"/>
        <v/>
      </c>
      <c r="AP671" s="129">
        <f t="shared" si="442"/>
        <v/>
      </c>
      <c r="AQ671" s="129">
        <f t="shared" si="443"/>
        <v/>
      </c>
      <c r="AR671" s="129">
        <f t="shared" si="444"/>
        <v/>
      </c>
      <c r="AS671" s="129">
        <f t="shared" si="445"/>
        <v/>
      </c>
      <c r="AT671" s="129">
        <f t="shared" si="446"/>
        <v/>
      </c>
      <c r="AU671" s="129">
        <f t="shared" si="447"/>
        <v/>
      </c>
      <c r="AV671" s="129">
        <f t="shared" si="448"/>
        <v/>
      </c>
      <c r="AW671" s="129">
        <f>IF(AV671="","",AV671&amp;"."&amp;COUNTIFS($A$3:A671,A671,$AV$3:AV671,AV671))</f>
        <v/>
      </c>
      <c r="AX671" s="129">
        <f t="shared" si="449"/>
        <v/>
      </c>
      <c r="AY671" s="129">
        <f>IF(N671="б/к",0,IF(OR(ISNUMBER(SEARCH("L=",Разбивка_по_щитам!P671)),N671="+",N671="="),1,0))</f>
      </c>
      <c r="AZ671" s="129">
        <f t="shared" si="450"/>
        <v/>
      </c>
      <c r="BA671" s="129">
        <f t="shared" si="451"/>
      </c>
      <c r="BB671" s="129">
        <f t="shared" si="452"/>
      </c>
      <c r="BD671" s="129">
        <f t="shared" si="453"/>
      </c>
      <c r="BE671" s="129">
        <f t="shared" si="454"/>
      </c>
      <c r="BF671" s="129">
        <f t="shared" si="455"/>
      </c>
      <c r="BG671" s="129">
        <f t="shared" si="456"/>
        <v/>
      </c>
      <c r="BH671" s="129">
        <f t="shared" si="457"/>
        <v/>
      </c>
      <c r="BI671" s="129">
        <f t="shared" si="458"/>
        <v/>
      </c>
      <c r="BJ671" s="129">
        <f t="shared" si="459"/>
        <v/>
      </c>
      <c r="BK671" s="129">
        <f>IF(R671="","",IF(OR(BY671="",BY671=0),"BOX",IFERROR(IF(VLOOKUP(BY671,УГО_блоки,3,FALSE)&amp;""&lt;&gt;"",VLOOKUP(BY671,УГО_блоки,3,FALSE),VLOOKUP(BY671,УГО_блоки,2,FALSE)),BY671)))</f>
      </c>
      <c r="BL671" s="129">
        <f t="shared" si="461"/>
      </c>
      <c r="BM671" s="129">
        <f>IF(H671="","",IF(COUNTIF($H$3:H671,H671)=1,MAX($BM$2:BM670)+1,""))</f>
      </c>
      <c r="BN671" s="129">
        <f>IF(I671="","",IF(COUNTIF($I$3:I671,I671)+COUNTIF($J$2:J670,I671)+COUNTIF($K$2:K670,I671)=1,MAX($BN$2:BP670)+1,""))</f>
      </c>
      <c r="BO671" s="129">
        <f>IF(J671="","",IF(COUNTIF($I$3:I671,J671)+COUNTIF($J$3:J671,J671)+COUNTIF($K$2:K670,J671)=1,MAX($BN$2:BP670,BN671)+1,""))</f>
      </c>
      <c r="BP671" s="129">
        <f>IF(K671="","",IF(COUNTIF($I$3:I671,K671)+COUNTIF($J$3:J671,K671)+COUNTIF($K$3:K671,K671)=1,MAX($BN$2:BP670,BN671,BO671)+1,""))</f>
      </c>
      <c r="BQ671" s="129">
        <f>IF(AY671=1,IFERROR(MID(Q671,FIND(" (",Q671)+2,FIND(")",Q671,FIND(" (",Q671))-FIND(" (",Q671)-2),"?"),"")</f>
      </c>
      <c r="BR671" s="129">
        <f>IF(BQ671="","",IF(COUNTIF($BQ$3:BQ671,BQ671)=1,MAX($BR$2:BR670)+1,""))</f>
      </c>
      <c r="BS671" s="129">
        <f>IF(AW671="","",COUNTIF($AW$3:AW671,"?*"))</f>
      </c>
      <c r="BT671" s="129">
        <f>IF(OR(AW671="",AI671=""),"",IF(COUNTIFS($AW$3:AW671,"?*",$AI$3:AI671,AI671)=1,MAX($BT$2:BT670)+1,""))</f>
      </c>
      <c r="BU671" s="129">
        <f>IF(AE671="",0,IF(OR(ISNUMBER(SEARCH("дубль",AE671)),ISNUMBER(SEARCH("ПЕРЕГРУЗ",AE671)),ISNUMBER(SEARCH("ЗАЩИЩ",AE671)),ISNUMBER(SEARCH("КАНАЛ",AE671)),ISNUMBER(SEARCH("без 30",AE671))),2,1))</f>
      </c>
      <c r="BV671" s="129">
        <f>IF(R671="","",COUNTIF($R$3:R671,"?*"))</f>
      </c>
      <c r="BW671" s="129">
        <f>IF(AY671&lt;&gt;1,0,IF(MAX(IFERROR(--VLOOKUP(R671,УГО_спр,5,FALSE),0),IFERROR(--VLOOKUP(AL671,УГО_спр,5,FALSE),0),IFERROR(--VLOOKUP(LEFT(AL671,2),УГО_спр,5,FALSE),0))&gt;0,MAX(IFERROR(--VLOOKUP(R671,УГО_спр,5,FALSE),0),IFERROR(--VLOOKUP(AL671,УГО_спр,5,FALSE),0),IFERROR(--VLOOKUP(LEFT(AL671,2),УГО_спр,5,FALSE),0)),IF(IFERROR(--LEFT(SUBSTITUTE(BQ671,"x","х"),FIND("х",SUBSTITUTE(BQ671,"x","х"))-1),3)&gt;3,Каталог!$S$9,1)))</f>
      </c>
      <c r="BX671" s="129">
        <f>IF(AY671&lt;&gt;1,0,MAX(0,IFERROR(--LEFT(SUBSTITUTE(BQ671,"x","х"),FIND("х",SUBSTITUTE(BQ671,"x","х"))-1),3)-3*BW671))</f>
      </c>
      <c r="BY671" s="129">
        <f>IF(R671="","",IFERROR(VLOOKUP(R671,УГО_спр,2,FALSE),IFERROR(VLOOKUP(AL671,УГО_спр,2,FALSE),IFERROR(VLOOKUP(LEFT(AL671,2),УГО_спр,2,FALSE),""))))</f>
      </c>
    </row>
    <row r="672" spans="1:64" x14ac:dyDescent="0.3">
      <c r="A672" s="135">
        <f>IF(Разбивка_по_щитам!F672=0,"",Разбивка_по_щитам!F672)</f>
        <v/>
      </c>
      <c r="B672" s="138">
        <f>IF(A672="","",Разбивка_по_щитам!C672)</f>
        <v/>
      </c>
      <c r="C672" s="138">
        <f t="shared" si="422"/>
        <v/>
      </c>
      <c r="D672" s="266"/>
      <c r="E672" s="266"/>
      <c r="F672" s="267"/>
      <c r="G672" s="145">
        <f t="shared" si="423"/>
        <v/>
      </c>
      <c r="H672" s="145">
        <f t="shared" si="424"/>
        <v/>
      </c>
      <c r="I672" s="266"/>
      <c r="J672" s="267"/>
      <c r="K672" s="267"/>
      <c r="L672" s="266"/>
      <c r="M672" s="147">
        <f t="shared" si="425"/>
        <v/>
      </c>
      <c r="N672" s="267"/>
      <c r="O672" s="147">
        <f t="shared" si="426"/>
        <v/>
      </c>
      <c r="P672" s="268">
        <f>IF(AY672=1,"XT"&amp;COUNTIFS($A$3:A672,A672,$AY$3:AY672,1),"")</f>
        <v/>
      </c>
      <c r="Q672" s="152">
        <f>IF(R672="","",IFERROR(SUBSTITUTE(Разбивка_по_щитам!P672,CHAR(10)," "),""))</f>
        <v/>
      </c>
      <c r="R672" s="153">
        <f>IF(OR(Разбивка_по_щитам!H672="",Разбивка_по_щитам!H672=0),"",Разбивка_по_щитам!H672)</f>
        <v/>
      </c>
      <c r="S672" s="154">
        <f>IF(R672="","",IFERROR(Разбивка_по_щитам!J672&amp;"",""))</f>
        <v/>
      </c>
      <c r="T672" s="155">
        <f>IF(R672="","",IFERROR(--Разбивка_по_щитам!L672,""))</f>
        <v/>
      </c>
      <c r="U672" s="155">
        <f>IF(R672="","",IFERROR(--Разбивка_по_щитам!K672,""))</f>
        <v/>
      </c>
      <c r="V672" s="138">
        <f>IF(R672="","",IFERROR(IF(Разбивка_по_щитам!M672=0,"",Разбивка_по_щитам!M672),""))</f>
        <v/>
      </c>
      <c r="W672" s="156">
        <f t="shared" si="427"/>
        <v/>
      </c>
      <c r="X672" s="157">
        <f t="shared" si="428"/>
        <v/>
      </c>
      <c r="Y672" s="266"/>
      <c r="Z672" s="158">
        <f t="shared" si="429"/>
        <v/>
      </c>
      <c r="AA672" s="160">
        <f t="shared" si="430"/>
        <v/>
      </c>
      <c r="AB672" s="160">
        <f>IF(R672="","",IFERROR(LOOKUP(INDEX(Справочная!$I$4:$I$19,MATCH(VLOOKUP(R672,Исходные_данные,22,FALSE),Справочная!$J$4:$J$19,0)+1),{6,10,16,20,25,32,40,50,63,80,100,125}),""))</f>
        <v/>
      </c>
      <c r="AC672" s="160">
        <f t="shared" si="431"/>
        <v/>
      </c>
      <c r="AD672" s="161">
        <f t="shared" si="432"/>
        <v/>
      </c>
      <c r="AE672" s="161">
        <f>IF(AND(R672="",G672=""),"",_xlfn.TEXTJOIN("; ",TRUE,IF(AND(R672&lt;&gt;"",V672=""),"нет фазы",""),IF(AND(R672&lt;&gt;"",N(T672)=0),"нет мощности",""),IF(AND(P672&lt;&gt;"",COUNTIFS($A$3:$A$1000,A672,$P$3:$P$1000,P672)&gt;1),"дубль клеммы "&amp;P672,""),IF(AND(W672&lt;&gt;"",W672&lt;&gt;"ok"),W672,""),IF(X672&lt;&gt;"",X672,""),IF(AND(ISNUMBER(SEARCH("(5х",Q672)),N(AK672)=1),"5 жил на 1 фазе",""),IF(AND(AL672="R",E672&lt;&gt;"",N(AS672)=0),"розетка без 30 мА",""),IF(IFERROR(_xlfn.NUMBERVALUE(MID(Q672,FIND("-",Q672,FIND("L=",Q672))+1,FIND("%",Q672)-FIND("-",Q672,FIND("L=",Q672))-1),","),0)&gt;4,"потери &gt; 4 %","")))</f>
      </c>
      <c r="AF672" s="129">
        <f>IF(E672&lt;&gt;"",COUNTIFS($A$3:A672,A672,$E$3:E672,"?*"),IF(OR(A672&lt;&gt;A671,Y672="вручную"),"",AF671))</f>
        <v/>
      </c>
      <c r="AG672" s="129">
        <f t="shared" si="433"/>
        <v/>
      </c>
      <c r="AH672" s="129">
        <f t="shared" si="434"/>
        <v/>
      </c>
      <c r="AI672" s="129">
        <f t="shared" si="435"/>
        <v/>
      </c>
      <c r="AJ672" s="129">
        <f t="shared" si="436"/>
        <v/>
      </c>
      <c r="AK672" s="129">
        <f t="shared" si="437"/>
        <v/>
      </c>
      <c r="AL672" s="129">
        <f t="shared" si="438"/>
        <v/>
      </c>
      <c r="AM672" s="129">
        <f t="shared" si="439"/>
      </c>
      <c r="AN672" s="129">
        <f t="shared" si="440"/>
      </c>
      <c r="AO672" s="129">
        <f t="shared" si="441"/>
        <v/>
      </c>
      <c r="AP672" s="129">
        <f t="shared" si="442"/>
        <v/>
      </c>
      <c r="AQ672" s="129">
        <f t="shared" si="443"/>
        <v/>
      </c>
      <c r="AR672" s="129">
        <f t="shared" si="444"/>
        <v/>
      </c>
      <c r="AS672" s="129">
        <f t="shared" si="445"/>
        <v/>
      </c>
      <c r="AT672" s="129">
        <f t="shared" si="446"/>
        <v/>
      </c>
      <c r="AU672" s="129">
        <f t="shared" si="447"/>
        <v/>
      </c>
      <c r="AV672" s="129">
        <f t="shared" si="448"/>
        <v/>
      </c>
      <c r="AW672" s="129">
        <f>IF(AV672="","",AV672&amp;"."&amp;COUNTIFS($A$3:A672,A672,$AV$3:AV672,AV672))</f>
        <v/>
      </c>
      <c r="AX672" s="129">
        <f t="shared" si="449"/>
        <v/>
      </c>
      <c r="AY672" s="129">
        <f>IF(N672="б/к",0,IF(OR(ISNUMBER(SEARCH("L=",Разбивка_по_щитам!P672)),N672="+",N672="="),1,0))</f>
      </c>
      <c r="AZ672" s="129">
        <f t="shared" si="450"/>
        <v/>
      </c>
      <c r="BA672" s="129">
        <f t="shared" si="451"/>
      </c>
      <c r="BB672" s="129">
        <f t="shared" si="452"/>
      </c>
      <c r="BD672" s="129">
        <f t="shared" si="453"/>
      </c>
      <c r="BE672" s="129">
        <f t="shared" si="454"/>
      </c>
      <c r="BF672" s="129">
        <f t="shared" si="455"/>
      </c>
      <c r="BG672" s="129">
        <f t="shared" si="456"/>
        <v/>
      </c>
      <c r="BH672" s="129">
        <f t="shared" si="457"/>
        <v/>
      </c>
      <c r="BI672" s="129">
        <f t="shared" si="458"/>
        <v/>
      </c>
      <c r="BJ672" s="129">
        <f t="shared" si="459"/>
        <v/>
      </c>
      <c r="BK672" s="129">
        <f>IF(R672="","",IF(OR(BY672="",BY672=0),"BOX",IFERROR(IF(VLOOKUP(BY672,УГО_блоки,3,FALSE)&amp;""&lt;&gt;"",VLOOKUP(BY672,УГО_блоки,3,FALSE),VLOOKUP(BY672,УГО_блоки,2,FALSE)),BY672)))</f>
      </c>
      <c r="BL672" s="129">
        <f t="shared" si="461"/>
      </c>
      <c r="BM672" s="129">
        <f>IF(H672="","",IF(COUNTIF($H$3:H672,H672)=1,MAX($BM$2:BM671)+1,""))</f>
      </c>
      <c r="BN672" s="129">
        <f>IF(I672="","",IF(COUNTIF($I$3:I672,I672)+COUNTIF($J$2:J671,I672)+COUNTIF($K$2:K671,I672)=1,MAX($BN$2:BP671)+1,""))</f>
      </c>
      <c r="BO672" s="129">
        <f>IF(J672="","",IF(COUNTIF($I$3:I672,J672)+COUNTIF($J$3:J672,J672)+COUNTIF($K$2:K671,J672)=1,MAX($BN$2:BP671,BN672)+1,""))</f>
      </c>
      <c r="BP672" s="129">
        <f>IF(K672="","",IF(COUNTIF($I$3:I672,K672)+COUNTIF($J$3:J672,K672)+COUNTIF($K$3:K672,K672)=1,MAX($BN$2:BP671,BN672,BO672)+1,""))</f>
      </c>
      <c r="BQ672" s="129">
        <f>IF(AY672=1,IFERROR(MID(Q672,FIND(" (",Q672)+2,FIND(")",Q672,FIND(" (",Q672))-FIND(" (",Q672)-2),"?"),"")</f>
      </c>
      <c r="BR672" s="129">
        <f>IF(BQ672="","",IF(COUNTIF($BQ$3:BQ672,BQ672)=1,MAX($BR$2:BR671)+1,""))</f>
      </c>
      <c r="BS672" s="129">
        <f>IF(AW672="","",COUNTIF($AW$3:AW672,"?*"))</f>
      </c>
      <c r="BT672" s="129">
        <f>IF(OR(AW672="",AI672=""),"",IF(COUNTIFS($AW$3:AW672,"?*",$AI$3:AI672,AI672)=1,MAX($BT$2:BT671)+1,""))</f>
      </c>
      <c r="BU672" s="129">
        <f>IF(AE672="",0,IF(OR(ISNUMBER(SEARCH("дубль",AE672)),ISNUMBER(SEARCH("ПЕРЕГРУЗ",AE672)),ISNUMBER(SEARCH("ЗАЩИЩ",AE672)),ISNUMBER(SEARCH("КАНАЛ",AE672)),ISNUMBER(SEARCH("без 30",AE672))),2,1))</f>
      </c>
      <c r="BV672" s="129">
        <f>IF(R672="","",COUNTIF($R$3:R672,"?*"))</f>
      </c>
      <c r="BW672" s="129">
        <f>IF(AY672&lt;&gt;1,0,IF(MAX(IFERROR(--VLOOKUP(R672,УГО_спр,5,FALSE),0),IFERROR(--VLOOKUP(AL672,УГО_спр,5,FALSE),0),IFERROR(--VLOOKUP(LEFT(AL672,2),УГО_спр,5,FALSE),0))&gt;0,MAX(IFERROR(--VLOOKUP(R672,УГО_спр,5,FALSE),0),IFERROR(--VLOOKUP(AL672,УГО_спр,5,FALSE),0),IFERROR(--VLOOKUP(LEFT(AL672,2),УГО_спр,5,FALSE),0)),IF(IFERROR(--LEFT(SUBSTITUTE(BQ672,"x","х"),FIND("х",SUBSTITUTE(BQ672,"x","х"))-1),3)&gt;3,Каталог!$S$9,1)))</f>
      </c>
      <c r="BX672" s="129">
        <f>IF(AY672&lt;&gt;1,0,MAX(0,IFERROR(--LEFT(SUBSTITUTE(BQ672,"x","х"),FIND("х",SUBSTITUTE(BQ672,"x","х"))-1),3)-3*BW672))</f>
      </c>
      <c r="BY672" s="129">
        <f>IF(R672="","",IFERROR(VLOOKUP(R672,УГО_спр,2,FALSE),IFERROR(VLOOKUP(AL672,УГО_спр,2,FALSE),IFERROR(VLOOKUP(LEFT(AL672,2),УГО_спр,2,FALSE),""))))</f>
      </c>
    </row>
    <row r="673" spans="1:64" x14ac:dyDescent="0.3">
      <c r="A673" s="135">
        <f>IF(Разбивка_по_щитам!F673=0,"",Разбивка_по_щитам!F673)</f>
        <v/>
      </c>
      <c r="B673" s="138">
        <f>IF(A673="","",Разбивка_по_щитам!C673)</f>
        <v/>
      </c>
      <c r="C673" s="138">
        <f t="shared" si="422"/>
        <v/>
      </c>
      <c r="D673" s="266"/>
      <c r="E673" s="266"/>
      <c r="F673" s="267"/>
      <c r="G673" s="145">
        <f t="shared" si="423"/>
        <v/>
      </c>
      <c r="H673" s="145">
        <f t="shared" si="424"/>
        <v/>
      </c>
      <c r="I673" s="266"/>
      <c r="J673" s="267"/>
      <c r="K673" s="267"/>
      <c r="L673" s="266"/>
      <c r="M673" s="147">
        <f t="shared" si="425"/>
        <v/>
      </c>
      <c r="N673" s="267"/>
      <c r="O673" s="147">
        <f t="shared" si="426"/>
        <v/>
      </c>
      <c r="P673" s="268">
        <f>IF(AY673=1,"XT"&amp;COUNTIFS($A$3:A673,A673,$AY$3:AY673,1),"")</f>
        <v/>
      </c>
      <c r="Q673" s="152">
        <f>IF(R673="","",IFERROR(SUBSTITUTE(Разбивка_по_щитам!P673,CHAR(10)," "),""))</f>
        <v/>
      </c>
      <c r="R673" s="153">
        <f>IF(OR(Разбивка_по_щитам!H673="",Разбивка_по_щитам!H673=0),"",Разбивка_по_щитам!H673)</f>
        <v/>
      </c>
      <c r="S673" s="154">
        <f>IF(R673="","",IFERROR(Разбивка_по_щитам!J673&amp;"",""))</f>
        <v/>
      </c>
      <c r="T673" s="155">
        <f>IF(R673="","",IFERROR(--Разбивка_по_щитам!L673,""))</f>
        <v/>
      </c>
      <c r="U673" s="155">
        <f>IF(R673="","",IFERROR(--Разбивка_по_щитам!K673,""))</f>
        <v/>
      </c>
      <c r="V673" s="138">
        <f>IF(R673="","",IFERROR(IF(Разбивка_по_щитам!M673=0,"",Разбивка_по_щитам!M673),""))</f>
        <v/>
      </c>
      <c r="W673" s="156">
        <f t="shared" si="427"/>
        <v/>
      </c>
      <c r="X673" s="157">
        <f t="shared" si="428"/>
        <v/>
      </c>
      <c r="Y673" s="266"/>
      <c r="Z673" s="158">
        <f t="shared" si="429"/>
        <v/>
      </c>
      <c r="AA673" s="160">
        <f t="shared" si="430"/>
        <v/>
      </c>
      <c r="AB673" s="160">
        <f>IF(R673="","",IFERROR(LOOKUP(INDEX(Справочная!$I$4:$I$19,MATCH(VLOOKUP(R673,Исходные_данные,22,FALSE),Справочная!$J$4:$J$19,0)+1),{6,10,16,20,25,32,40,50,63,80,100,125}),""))</f>
        <v/>
      </c>
      <c r="AC673" s="160">
        <f t="shared" si="431"/>
        <v/>
      </c>
      <c r="AD673" s="161">
        <f t="shared" si="432"/>
        <v/>
      </c>
      <c r="AE673" s="161">
        <f>IF(AND(R673="",G673=""),"",_xlfn.TEXTJOIN("; ",TRUE,IF(AND(R673&lt;&gt;"",V673=""),"нет фазы",""),IF(AND(R673&lt;&gt;"",N(T673)=0),"нет мощности",""),IF(AND(P673&lt;&gt;"",COUNTIFS($A$3:$A$1000,A673,$P$3:$P$1000,P673)&gt;1),"дубль клеммы "&amp;P673,""),IF(AND(W673&lt;&gt;"",W673&lt;&gt;"ok"),W673,""),IF(X673&lt;&gt;"",X673,""),IF(AND(ISNUMBER(SEARCH("(5х",Q673)),N(AK673)=1),"5 жил на 1 фазе",""),IF(AND(AL673="R",E673&lt;&gt;"",N(AS673)=0),"розетка без 30 мА",""),IF(IFERROR(_xlfn.NUMBERVALUE(MID(Q673,FIND("-",Q673,FIND("L=",Q673))+1,FIND("%",Q673)-FIND("-",Q673,FIND("L=",Q673))-1),","),0)&gt;4,"потери &gt; 4 %","")))</f>
      </c>
      <c r="AF673" s="129">
        <f>IF(E673&lt;&gt;"",COUNTIFS($A$3:A673,A673,$E$3:E673,"?*"),IF(OR(A673&lt;&gt;A672,Y673="вручную"),"",AF672))</f>
        <v/>
      </c>
      <c r="AG673" s="129">
        <f t="shared" si="433"/>
        <v/>
      </c>
      <c r="AH673" s="129">
        <f t="shared" si="434"/>
        <v/>
      </c>
      <c r="AI673" s="129">
        <f t="shared" si="435"/>
        <v/>
      </c>
      <c r="AJ673" s="129">
        <f t="shared" si="436"/>
        <v/>
      </c>
      <c r="AK673" s="129">
        <f t="shared" si="437"/>
        <v/>
      </c>
      <c r="AL673" s="129">
        <f t="shared" si="438"/>
        <v/>
      </c>
      <c r="AM673" s="129">
        <f t="shared" si="439"/>
      </c>
      <c r="AN673" s="129">
        <f t="shared" si="440"/>
      </c>
      <c r="AO673" s="129">
        <f t="shared" si="441"/>
        <v/>
      </c>
      <c r="AP673" s="129">
        <f t="shared" si="442"/>
        <v/>
      </c>
      <c r="AQ673" s="129">
        <f t="shared" si="443"/>
        <v/>
      </c>
      <c r="AR673" s="129">
        <f t="shared" si="444"/>
        <v/>
      </c>
      <c r="AS673" s="129">
        <f t="shared" si="445"/>
        <v/>
      </c>
      <c r="AT673" s="129">
        <f t="shared" si="446"/>
        <v/>
      </c>
      <c r="AU673" s="129">
        <f t="shared" si="447"/>
        <v/>
      </c>
      <c r="AV673" s="129">
        <f t="shared" si="448"/>
        <v/>
      </c>
      <c r="AW673" s="129">
        <f>IF(AV673="","",AV673&amp;"."&amp;COUNTIFS($A$3:A673,A673,$AV$3:AV673,AV673))</f>
        <v/>
      </c>
      <c r="AX673" s="129">
        <f t="shared" si="449"/>
        <v/>
      </c>
      <c r="AY673" s="129">
        <f>IF(N673="б/к",0,IF(OR(ISNUMBER(SEARCH("L=",Разбивка_по_щитам!P673)),N673="+",N673="="),1,0))</f>
      </c>
      <c r="AZ673" s="129">
        <f t="shared" si="450"/>
        <v/>
      </c>
      <c r="BA673" s="129">
        <f t="shared" si="451"/>
      </c>
      <c r="BB673" s="129">
        <f t="shared" si="452"/>
      </c>
      <c r="BD673" s="129">
        <f t="shared" si="453"/>
      </c>
      <c r="BE673" s="129">
        <f t="shared" si="454"/>
      </c>
      <c r="BF673" s="129">
        <f t="shared" si="455"/>
      </c>
      <c r="BG673" s="129">
        <f t="shared" si="456"/>
        <v/>
      </c>
      <c r="BH673" s="129">
        <f t="shared" si="457"/>
        <v/>
      </c>
      <c r="BI673" s="129">
        <f t="shared" si="458"/>
        <v/>
      </c>
      <c r="BJ673" s="129">
        <f t="shared" si="459"/>
        <v/>
      </c>
      <c r="BK673" s="129">
        <f>IF(R673="","",IF(OR(BY673="",BY673=0),"BOX",IFERROR(IF(VLOOKUP(BY673,УГО_блоки,3,FALSE)&amp;""&lt;&gt;"",VLOOKUP(BY673,УГО_блоки,3,FALSE),VLOOKUP(BY673,УГО_блоки,2,FALSE)),BY673)))</f>
      </c>
      <c r="BL673" s="129">
        <f t="shared" si="461"/>
      </c>
      <c r="BM673" s="129">
        <f>IF(H673="","",IF(COUNTIF($H$3:H673,H673)=1,MAX($BM$2:BM672)+1,""))</f>
      </c>
      <c r="BN673" s="129">
        <f>IF(I673="","",IF(COUNTIF($I$3:I673,I673)+COUNTIF($J$2:J672,I673)+COUNTIF($K$2:K672,I673)=1,MAX($BN$2:BP672)+1,""))</f>
      </c>
      <c r="BO673" s="129">
        <f>IF(J673="","",IF(COUNTIF($I$3:I673,J673)+COUNTIF($J$3:J673,J673)+COUNTIF($K$2:K672,J673)=1,MAX($BN$2:BP672,BN673)+1,""))</f>
      </c>
      <c r="BP673" s="129">
        <f>IF(K673="","",IF(COUNTIF($I$3:I673,K673)+COUNTIF($J$3:J673,K673)+COUNTIF($K$3:K673,K673)=1,MAX($BN$2:BP672,BN673,BO673)+1,""))</f>
      </c>
      <c r="BQ673" s="129">
        <f>IF(AY673=1,IFERROR(MID(Q673,FIND(" (",Q673)+2,FIND(")",Q673,FIND(" (",Q673))-FIND(" (",Q673)-2),"?"),"")</f>
      </c>
      <c r="BR673" s="129">
        <f>IF(BQ673="","",IF(COUNTIF($BQ$3:BQ673,BQ673)=1,MAX($BR$2:BR672)+1,""))</f>
      </c>
      <c r="BS673" s="129">
        <f>IF(AW673="","",COUNTIF($AW$3:AW673,"?*"))</f>
      </c>
      <c r="BT673" s="129">
        <f>IF(OR(AW673="",AI673=""),"",IF(COUNTIFS($AW$3:AW673,"?*",$AI$3:AI673,AI673)=1,MAX($BT$2:BT672)+1,""))</f>
      </c>
      <c r="BU673" s="129">
        <f>IF(AE673="",0,IF(OR(ISNUMBER(SEARCH("дубль",AE673)),ISNUMBER(SEARCH("ПЕРЕГРУЗ",AE673)),ISNUMBER(SEARCH("ЗАЩИЩ",AE673)),ISNUMBER(SEARCH("КАНАЛ",AE673)),ISNUMBER(SEARCH("без 30",AE673))),2,1))</f>
      </c>
      <c r="BV673" s="129">
        <f>IF(R673="","",COUNTIF($R$3:R673,"?*"))</f>
      </c>
      <c r="BW673" s="129">
        <f>IF(AY673&lt;&gt;1,0,IF(MAX(IFERROR(--VLOOKUP(R673,УГО_спр,5,FALSE),0),IFERROR(--VLOOKUP(AL673,УГО_спр,5,FALSE),0),IFERROR(--VLOOKUP(LEFT(AL673,2),УГО_спр,5,FALSE),0))&gt;0,MAX(IFERROR(--VLOOKUP(R673,УГО_спр,5,FALSE),0),IFERROR(--VLOOKUP(AL673,УГО_спр,5,FALSE),0),IFERROR(--VLOOKUP(LEFT(AL673,2),УГО_спр,5,FALSE),0)),IF(IFERROR(--LEFT(SUBSTITUTE(BQ673,"x","х"),FIND("х",SUBSTITUTE(BQ673,"x","х"))-1),3)&gt;3,Каталог!$S$9,1)))</f>
      </c>
      <c r="BX673" s="129">
        <f>IF(AY673&lt;&gt;1,0,MAX(0,IFERROR(--LEFT(SUBSTITUTE(BQ673,"x","х"),FIND("х",SUBSTITUTE(BQ673,"x","х"))-1),3)-3*BW673))</f>
      </c>
      <c r="BY673" s="129">
        <f>IF(R673="","",IFERROR(VLOOKUP(R673,УГО_спр,2,FALSE),IFERROR(VLOOKUP(AL673,УГО_спр,2,FALSE),IFERROR(VLOOKUP(LEFT(AL673,2),УГО_спр,2,FALSE),""))))</f>
      </c>
    </row>
    <row r="674" spans="1:64" x14ac:dyDescent="0.3">
      <c r="A674" s="135">
        <f>IF(Разбивка_по_щитам!F674=0,"",Разбивка_по_щитам!F674)</f>
        <v/>
      </c>
      <c r="B674" s="138">
        <f>IF(A674="","",Разбивка_по_щитам!C674)</f>
        <v/>
      </c>
      <c r="C674" s="138">
        <f t="shared" si="422"/>
        <v/>
      </c>
      <c r="D674" s="266"/>
      <c r="E674" s="266"/>
      <c r="F674" s="267"/>
      <c r="G674" s="145">
        <f t="shared" si="423"/>
        <v/>
      </c>
      <c r="H674" s="145">
        <f t="shared" si="424"/>
        <v/>
      </c>
      <c r="I674" s="266"/>
      <c r="J674" s="267"/>
      <c r="K674" s="267"/>
      <c r="L674" s="266"/>
      <c r="M674" s="147">
        <f t="shared" si="425"/>
        <v/>
      </c>
      <c r="N674" s="267"/>
      <c r="O674" s="147">
        <f t="shared" si="426"/>
        <v/>
      </c>
      <c r="P674" s="268">
        <f>IF(AY674=1,"XT"&amp;COUNTIFS($A$3:A674,A674,$AY$3:AY674,1),"")</f>
        <v/>
      </c>
      <c r="Q674" s="152">
        <f>IF(R674="","",IFERROR(SUBSTITUTE(Разбивка_по_щитам!P674,CHAR(10)," "),""))</f>
        <v/>
      </c>
      <c r="R674" s="153">
        <f>IF(OR(Разбивка_по_щитам!H674="",Разбивка_по_щитам!H674=0),"",Разбивка_по_щитам!H674)</f>
        <v/>
      </c>
      <c r="S674" s="154">
        <f>IF(R674="","",IFERROR(Разбивка_по_щитам!J674&amp;"",""))</f>
        <v/>
      </c>
      <c r="T674" s="155">
        <f>IF(R674="","",IFERROR(--Разбивка_по_щитам!L674,""))</f>
        <v/>
      </c>
      <c r="U674" s="155">
        <f>IF(R674="","",IFERROR(--Разбивка_по_щитам!K674,""))</f>
        <v/>
      </c>
      <c r="V674" s="138">
        <f>IF(R674="","",IFERROR(IF(Разбивка_по_щитам!M674=0,"",Разбивка_по_щитам!M674),""))</f>
        <v/>
      </c>
      <c r="W674" s="156">
        <f t="shared" si="427"/>
        <v/>
      </c>
      <c r="X674" s="157">
        <f t="shared" si="428"/>
        <v/>
      </c>
      <c r="Y674" s="266"/>
      <c r="Z674" s="158">
        <f t="shared" si="429"/>
        <v/>
      </c>
      <c r="AA674" s="160">
        <f t="shared" si="430"/>
        <v/>
      </c>
      <c r="AB674" s="160">
        <f>IF(R674="","",IFERROR(LOOKUP(INDEX(Справочная!$I$4:$I$19,MATCH(VLOOKUP(R674,Исходные_данные,22,FALSE),Справочная!$J$4:$J$19,0)+1),{6,10,16,20,25,32,40,50,63,80,100,125}),""))</f>
        <v/>
      </c>
      <c r="AC674" s="160">
        <f t="shared" si="431"/>
        <v/>
      </c>
      <c r="AD674" s="161">
        <f t="shared" si="432"/>
        <v/>
      </c>
      <c r="AE674" s="161">
        <f>IF(AND(R674="",G674=""),"",_xlfn.TEXTJOIN("; ",TRUE,IF(AND(R674&lt;&gt;"",V674=""),"нет фазы",""),IF(AND(R674&lt;&gt;"",N(T674)=0),"нет мощности",""),IF(AND(P674&lt;&gt;"",COUNTIFS($A$3:$A$1000,A674,$P$3:$P$1000,P674)&gt;1),"дубль клеммы "&amp;P674,""),IF(AND(W674&lt;&gt;"",W674&lt;&gt;"ok"),W674,""),IF(X674&lt;&gt;"",X674,""),IF(AND(ISNUMBER(SEARCH("(5х",Q674)),N(AK674)=1),"5 жил на 1 фазе",""),IF(AND(AL674="R",E674&lt;&gt;"",N(AS674)=0),"розетка без 30 мА",""),IF(IFERROR(_xlfn.NUMBERVALUE(MID(Q674,FIND("-",Q674,FIND("L=",Q674))+1,FIND("%",Q674)-FIND("-",Q674,FIND("L=",Q674))-1),","),0)&gt;4,"потери &gt; 4 %","")))</f>
      </c>
      <c r="AF674" s="129">
        <f>IF(E674&lt;&gt;"",COUNTIFS($A$3:A674,A674,$E$3:E674,"?*"),IF(OR(A674&lt;&gt;A673,Y674="вручную"),"",AF673))</f>
        <v/>
      </c>
      <c r="AG674" s="129">
        <f t="shared" si="433"/>
        <v/>
      </c>
      <c r="AH674" s="129">
        <f t="shared" si="434"/>
        <v/>
      </c>
      <c r="AI674" s="129">
        <f t="shared" si="435"/>
        <v/>
      </c>
      <c r="AJ674" s="129">
        <f t="shared" si="436"/>
        <v/>
      </c>
      <c r="AK674" s="129">
        <f t="shared" si="437"/>
        <v/>
      </c>
      <c r="AL674" s="129">
        <f t="shared" si="438"/>
        <v/>
      </c>
      <c r="AM674" s="129">
        <f t="shared" si="439"/>
      </c>
      <c r="AN674" s="129">
        <f t="shared" si="440"/>
      </c>
      <c r="AO674" s="129">
        <f t="shared" si="441"/>
        <v/>
      </c>
      <c r="AP674" s="129">
        <f t="shared" si="442"/>
        <v/>
      </c>
      <c r="AQ674" s="129">
        <f t="shared" si="443"/>
        <v/>
      </c>
      <c r="AR674" s="129">
        <f t="shared" si="444"/>
        <v/>
      </c>
      <c r="AS674" s="129">
        <f t="shared" si="445"/>
        <v/>
      </c>
      <c r="AT674" s="129">
        <f t="shared" si="446"/>
        <v/>
      </c>
      <c r="AU674" s="129">
        <f t="shared" si="447"/>
        <v/>
      </c>
      <c r="AV674" s="129">
        <f t="shared" si="448"/>
        <v/>
      </c>
      <c r="AW674" s="129">
        <f>IF(AV674="","",AV674&amp;"."&amp;COUNTIFS($A$3:A674,A674,$AV$3:AV674,AV674))</f>
        <v/>
      </c>
      <c r="AX674" s="129">
        <f t="shared" si="449"/>
        <v/>
      </c>
      <c r="AY674" s="129">
        <f>IF(N674="б/к",0,IF(OR(ISNUMBER(SEARCH("L=",Разбивка_по_щитам!P674)),N674="+",N674="="),1,0))</f>
      </c>
      <c r="AZ674" s="129">
        <f t="shared" si="450"/>
        <v/>
      </c>
      <c r="BA674" s="129">
        <f t="shared" si="451"/>
      </c>
      <c r="BB674" s="129">
        <f t="shared" si="452"/>
      </c>
      <c r="BD674" s="129">
        <f t="shared" si="453"/>
      </c>
      <c r="BE674" s="129">
        <f t="shared" si="454"/>
      </c>
      <c r="BF674" s="129">
        <f t="shared" si="455"/>
      </c>
      <c r="BG674" s="129">
        <f t="shared" si="456"/>
        <v/>
      </c>
      <c r="BH674" s="129">
        <f t="shared" si="457"/>
        <v/>
      </c>
      <c r="BI674" s="129">
        <f t="shared" si="458"/>
        <v/>
      </c>
      <c r="BJ674" s="129">
        <f t="shared" si="459"/>
        <v/>
      </c>
      <c r="BK674" s="129">
        <f>IF(R674="","",IF(OR(BY674="",BY674=0),"BOX",IFERROR(IF(VLOOKUP(BY674,УГО_блоки,3,FALSE)&amp;""&lt;&gt;"",VLOOKUP(BY674,УГО_блоки,3,FALSE),VLOOKUP(BY674,УГО_блоки,2,FALSE)),BY674)))</f>
      </c>
      <c r="BL674" s="129">
        <f t="shared" si="461"/>
      </c>
      <c r="BM674" s="129">
        <f>IF(H674="","",IF(COUNTIF($H$3:H674,H674)=1,MAX($BM$2:BM673)+1,""))</f>
      </c>
      <c r="BN674" s="129">
        <f>IF(I674="","",IF(COUNTIF($I$3:I674,I674)+COUNTIF($J$2:J673,I674)+COUNTIF($K$2:K673,I674)=1,MAX($BN$2:BP673)+1,""))</f>
      </c>
      <c r="BO674" s="129">
        <f>IF(J674="","",IF(COUNTIF($I$3:I674,J674)+COUNTIF($J$3:J674,J674)+COUNTIF($K$2:K673,J674)=1,MAX($BN$2:BP673,BN674)+1,""))</f>
      </c>
      <c r="BP674" s="129">
        <f>IF(K674="","",IF(COUNTIF($I$3:I674,K674)+COUNTIF($J$3:J674,K674)+COUNTIF($K$3:K674,K674)=1,MAX($BN$2:BP673,BN674,BO674)+1,""))</f>
      </c>
      <c r="BQ674" s="129">
        <f>IF(AY674=1,IFERROR(MID(Q674,FIND(" (",Q674)+2,FIND(")",Q674,FIND(" (",Q674))-FIND(" (",Q674)-2),"?"),"")</f>
      </c>
      <c r="BR674" s="129">
        <f>IF(BQ674="","",IF(COUNTIF($BQ$3:BQ674,BQ674)=1,MAX($BR$2:BR673)+1,""))</f>
      </c>
      <c r="BS674" s="129">
        <f>IF(AW674="","",COUNTIF($AW$3:AW674,"?*"))</f>
      </c>
      <c r="BT674" s="129">
        <f>IF(OR(AW674="",AI674=""),"",IF(COUNTIFS($AW$3:AW674,"?*",$AI$3:AI674,AI674)=1,MAX($BT$2:BT673)+1,""))</f>
      </c>
      <c r="BU674" s="129">
        <f>IF(AE674="",0,IF(OR(ISNUMBER(SEARCH("дубль",AE674)),ISNUMBER(SEARCH("ПЕРЕГРУЗ",AE674)),ISNUMBER(SEARCH("ЗАЩИЩ",AE674)),ISNUMBER(SEARCH("КАНАЛ",AE674)),ISNUMBER(SEARCH("без 30",AE674))),2,1))</f>
      </c>
      <c r="BV674" s="129">
        <f>IF(R674="","",COUNTIF($R$3:R674,"?*"))</f>
      </c>
      <c r="BW674" s="129">
        <f>IF(AY674&lt;&gt;1,0,IF(MAX(IFERROR(--VLOOKUP(R674,УГО_спр,5,FALSE),0),IFERROR(--VLOOKUP(AL674,УГО_спр,5,FALSE),0),IFERROR(--VLOOKUP(LEFT(AL674,2),УГО_спр,5,FALSE),0))&gt;0,MAX(IFERROR(--VLOOKUP(R674,УГО_спр,5,FALSE),0),IFERROR(--VLOOKUP(AL674,УГО_спр,5,FALSE),0),IFERROR(--VLOOKUP(LEFT(AL674,2),УГО_спр,5,FALSE),0)),IF(IFERROR(--LEFT(SUBSTITUTE(BQ674,"x","х"),FIND("х",SUBSTITUTE(BQ674,"x","х"))-1),3)&gt;3,Каталог!$S$9,1)))</f>
      </c>
      <c r="BX674" s="129">
        <f>IF(AY674&lt;&gt;1,0,MAX(0,IFERROR(--LEFT(SUBSTITUTE(BQ674,"x","х"),FIND("х",SUBSTITUTE(BQ674,"x","х"))-1),3)-3*BW674))</f>
      </c>
      <c r="BY674" s="129">
        <f>IF(R674="","",IFERROR(VLOOKUP(R674,УГО_спр,2,FALSE),IFERROR(VLOOKUP(AL674,УГО_спр,2,FALSE),IFERROR(VLOOKUP(LEFT(AL674,2),УГО_спр,2,FALSE),""))))</f>
      </c>
    </row>
    <row r="675" spans="1:64" x14ac:dyDescent="0.3">
      <c r="A675" s="135">
        <f>IF(Разбивка_по_щитам!F675=0,"",Разбивка_по_щитам!F675)</f>
        <v/>
      </c>
      <c r="B675" s="138">
        <f>IF(A675="","",Разбивка_по_щитам!C675)</f>
        <v/>
      </c>
      <c r="C675" s="138">
        <f t="shared" si="422"/>
        <v/>
      </c>
      <c r="D675" s="266"/>
      <c r="E675" s="266"/>
      <c r="F675" s="267"/>
      <c r="G675" s="145">
        <f t="shared" si="423"/>
        <v/>
      </c>
      <c r="H675" s="145">
        <f t="shared" si="424"/>
        <v/>
      </c>
      <c r="I675" s="266"/>
      <c r="J675" s="267"/>
      <c r="K675" s="267"/>
      <c r="L675" s="266"/>
      <c r="M675" s="147">
        <f t="shared" si="425"/>
        <v/>
      </c>
      <c r="N675" s="267"/>
      <c r="O675" s="147">
        <f t="shared" si="426"/>
        <v/>
      </c>
      <c r="P675" s="268">
        <f>IF(AY675=1,"XT"&amp;COUNTIFS($A$3:A675,A675,$AY$3:AY675,1),"")</f>
        <v/>
      </c>
      <c r="Q675" s="152">
        <f>IF(R675="","",IFERROR(SUBSTITUTE(Разбивка_по_щитам!P675,CHAR(10)," "),""))</f>
        <v/>
      </c>
      <c r="R675" s="153">
        <f>IF(OR(Разбивка_по_щитам!H675="",Разбивка_по_щитам!H675=0),"",Разбивка_по_щитам!H675)</f>
        <v/>
      </c>
      <c r="S675" s="154">
        <f>IF(R675="","",IFERROR(Разбивка_по_щитам!J675&amp;"",""))</f>
        <v/>
      </c>
      <c r="T675" s="155">
        <f>IF(R675="","",IFERROR(--Разбивка_по_щитам!L675,""))</f>
        <v/>
      </c>
      <c r="U675" s="155">
        <f>IF(R675="","",IFERROR(--Разбивка_по_щитам!K675,""))</f>
        <v/>
      </c>
      <c r="V675" s="138">
        <f>IF(R675="","",IFERROR(IF(Разбивка_по_щитам!M675=0,"",Разбивка_по_щитам!M675),""))</f>
        <v/>
      </c>
      <c r="W675" s="156">
        <f t="shared" si="427"/>
        <v/>
      </c>
      <c r="X675" s="157">
        <f t="shared" si="428"/>
        <v/>
      </c>
      <c r="Y675" s="266"/>
      <c r="Z675" s="158">
        <f t="shared" si="429"/>
        <v/>
      </c>
      <c r="AA675" s="160">
        <f t="shared" si="430"/>
        <v/>
      </c>
      <c r="AB675" s="160">
        <f>IF(R675="","",IFERROR(LOOKUP(INDEX(Справочная!$I$4:$I$19,MATCH(VLOOKUP(R675,Исходные_данные,22,FALSE),Справочная!$J$4:$J$19,0)+1),{6,10,16,20,25,32,40,50,63,80,100,125}),""))</f>
        <v/>
      </c>
      <c r="AC675" s="160">
        <f t="shared" si="431"/>
        <v/>
      </c>
      <c r="AD675" s="161">
        <f t="shared" si="432"/>
        <v/>
      </c>
      <c r="AE675" s="161">
        <f>IF(AND(R675="",G675=""),"",_xlfn.TEXTJOIN("; ",TRUE,IF(AND(R675&lt;&gt;"",V675=""),"нет фазы",""),IF(AND(R675&lt;&gt;"",N(T675)=0),"нет мощности",""),IF(AND(P675&lt;&gt;"",COUNTIFS($A$3:$A$1000,A675,$P$3:$P$1000,P675)&gt;1),"дубль клеммы "&amp;P675,""),IF(AND(W675&lt;&gt;"",W675&lt;&gt;"ok"),W675,""),IF(X675&lt;&gt;"",X675,""),IF(AND(ISNUMBER(SEARCH("(5х",Q675)),N(AK675)=1),"5 жил на 1 фазе",""),IF(AND(AL675="R",E675&lt;&gt;"",N(AS675)=0),"розетка без 30 мА",""),IF(IFERROR(_xlfn.NUMBERVALUE(MID(Q675,FIND("-",Q675,FIND("L=",Q675))+1,FIND("%",Q675)-FIND("-",Q675,FIND("L=",Q675))-1),","),0)&gt;4,"потери &gt; 4 %","")))</f>
      </c>
      <c r="AF675" s="129">
        <f>IF(E675&lt;&gt;"",COUNTIFS($A$3:A675,A675,$E$3:E675,"?*"),IF(OR(A675&lt;&gt;A674,Y675="вручную"),"",AF674))</f>
        <v/>
      </c>
      <c r="AG675" s="129">
        <f t="shared" si="433"/>
        <v/>
      </c>
      <c r="AH675" s="129">
        <f t="shared" si="434"/>
        <v/>
      </c>
      <c r="AI675" s="129">
        <f t="shared" si="435"/>
        <v/>
      </c>
      <c r="AJ675" s="129">
        <f t="shared" si="436"/>
        <v/>
      </c>
      <c r="AK675" s="129">
        <f t="shared" si="437"/>
        <v/>
      </c>
      <c r="AL675" s="129">
        <f t="shared" si="438"/>
        <v/>
      </c>
      <c r="AM675" s="129">
        <f t="shared" si="439"/>
      </c>
      <c r="AN675" s="129">
        <f t="shared" si="440"/>
      </c>
      <c r="AO675" s="129">
        <f t="shared" si="441"/>
        <v/>
      </c>
      <c r="AP675" s="129">
        <f t="shared" si="442"/>
        <v/>
      </c>
      <c r="AQ675" s="129">
        <f t="shared" si="443"/>
        <v/>
      </c>
      <c r="AR675" s="129">
        <f t="shared" si="444"/>
        <v/>
      </c>
      <c r="AS675" s="129">
        <f t="shared" si="445"/>
        <v/>
      </c>
      <c r="AT675" s="129">
        <f t="shared" si="446"/>
        <v/>
      </c>
      <c r="AU675" s="129">
        <f t="shared" si="447"/>
        <v/>
      </c>
      <c r="AV675" s="129">
        <f t="shared" si="448"/>
        <v/>
      </c>
      <c r="AW675" s="129">
        <f>IF(AV675="","",AV675&amp;"."&amp;COUNTIFS($A$3:A675,A675,$AV$3:AV675,AV675))</f>
        <v/>
      </c>
      <c r="AX675" s="129">
        <f t="shared" si="449"/>
        <v/>
      </c>
      <c r="AY675" s="129">
        <f>IF(N675="б/к",0,IF(OR(ISNUMBER(SEARCH("L=",Разбивка_по_щитам!P675)),N675="+",N675="="),1,0))</f>
      </c>
      <c r="AZ675" s="129">
        <f t="shared" si="450"/>
        <v/>
      </c>
      <c r="BA675" s="129">
        <f t="shared" si="451"/>
      </c>
      <c r="BB675" s="129">
        <f t="shared" si="452"/>
      </c>
      <c r="BD675" s="129">
        <f t="shared" si="453"/>
      </c>
      <c r="BE675" s="129">
        <f t="shared" si="454"/>
      </c>
      <c r="BF675" s="129">
        <f t="shared" si="455"/>
      </c>
      <c r="BG675" s="129">
        <f t="shared" si="456"/>
        <v/>
      </c>
      <c r="BH675" s="129">
        <f t="shared" si="457"/>
        <v/>
      </c>
      <c r="BI675" s="129">
        <f t="shared" si="458"/>
        <v/>
      </c>
      <c r="BJ675" s="129">
        <f t="shared" si="459"/>
        <v/>
      </c>
      <c r="BK675" s="129">
        <f>IF(R675="","",IF(OR(BY675="",BY675=0),"BOX",IFERROR(IF(VLOOKUP(BY675,УГО_блоки,3,FALSE)&amp;""&lt;&gt;"",VLOOKUP(BY675,УГО_блоки,3,FALSE),VLOOKUP(BY675,УГО_блоки,2,FALSE)),BY675)))</f>
      </c>
      <c r="BL675" s="129">
        <f t="shared" si="461"/>
      </c>
      <c r="BM675" s="129">
        <f>IF(H675="","",IF(COUNTIF($H$3:H675,H675)=1,MAX($BM$2:BM674)+1,""))</f>
      </c>
      <c r="BN675" s="129">
        <f>IF(I675="","",IF(COUNTIF($I$3:I675,I675)+COUNTIF($J$2:J674,I675)+COUNTIF($K$2:K674,I675)=1,MAX($BN$2:BP674)+1,""))</f>
      </c>
      <c r="BO675" s="129">
        <f>IF(J675="","",IF(COUNTIF($I$3:I675,J675)+COUNTIF($J$3:J675,J675)+COUNTIF($K$2:K674,J675)=1,MAX($BN$2:BP674,BN675)+1,""))</f>
      </c>
      <c r="BP675" s="129">
        <f>IF(K675="","",IF(COUNTIF($I$3:I675,K675)+COUNTIF($J$3:J675,K675)+COUNTIF($K$3:K675,K675)=1,MAX($BN$2:BP674,BN675,BO675)+1,""))</f>
      </c>
      <c r="BQ675" s="129">
        <f>IF(AY675=1,IFERROR(MID(Q675,FIND(" (",Q675)+2,FIND(")",Q675,FIND(" (",Q675))-FIND(" (",Q675)-2),"?"),"")</f>
      </c>
      <c r="BR675" s="129">
        <f>IF(BQ675="","",IF(COUNTIF($BQ$3:BQ675,BQ675)=1,MAX($BR$2:BR674)+1,""))</f>
      </c>
      <c r="BS675" s="129">
        <f>IF(AW675="","",COUNTIF($AW$3:AW675,"?*"))</f>
      </c>
      <c r="BT675" s="129">
        <f>IF(OR(AW675="",AI675=""),"",IF(COUNTIFS($AW$3:AW675,"?*",$AI$3:AI675,AI675)=1,MAX($BT$2:BT674)+1,""))</f>
      </c>
      <c r="BU675" s="129">
        <f>IF(AE675="",0,IF(OR(ISNUMBER(SEARCH("дубль",AE675)),ISNUMBER(SEARCH("ПЕРЕГРУЗ",AE675)),ISNUMBER(SEARCH("ЗАЩИЩ",AE675)),ISNUMBER(SEARCH("КАНАЛ",AE675)),ISNUMBER(SEARCH("без 30",AE675))),2,1))</f>
      </c>
      <c r="BV675" s="129">
        <f>IF(R675="","",COUNTIF($R$3:R675,"?*"))</f>
      </c>
      <c r="BW675" s="129">
        <f>IF(AY675&lt;&gt;1,0,IF(MAX(IFERROR(--VLOOKUP(R675,УГО_спр,5,FALSE),0),IFERROR(--VLOOKUP(AL675,УГО_спр,5,FALSE),0),IFERROR(--VLOOKUP(LEFT(AL675,2),УГО_спр,5,FALSE),0))&gt;0,MAX(IFERROR(--VLOOKUP(R675,УГО_спр,5,FALSE),0),IFERROR(--VLOOKUP(AL675,УГО_спр,5,FALSE),0),IFERROR(--VLOOKUP(LEFT(AL675,2),УГО_спр,5,FALSE),0)),IF(IFERROR(--LEFT(SUBSTITUTE(BQ675,"x","х"),FIND("х",SUBSTITUTE(BQ675,"x","х"))-1),3)&gt;3,Каталог!$S$9,1)))</f>
      </c>
      <c r="BX675" s="129">
        <f>IF(AY675&lt;&gt;1,0,MAX(0,IFERROR(--LEFT(SUBSTITUTE(BQ675,"x","х"),FIND("х",SUBSTITUTE(BQ675,"x","х"))-1),3)-3*BW675))</f>
      </c>
      <c r="BY675" s="129">
        <f>IF(R675="","",IFERROR(VLOOKUP(R675,УГО_спр,2,FALSE),IFERROR(VLOOKUP(AL675,УГО_спр,2,FALSE),IFERROR(VLOOKUP(LEFT(AL675,2),УГО_спр,2,FALSE),""))))</f>
      </c>
    </row>
    <row r="676" spans="1:64" x14ac:dyDescent="0.3">
      <c r="A676" s="135">
        <f>IF(Разбивка_по_щитам!F676=0,"",Разбивка_по_щитам!F676)</f>
        <v/>
      </c>
      <c r="B676" s="138">
        <f>IF(A676="","",Разбивка_по_щитам!C676)</f>
        <v/>
      </c>
      <c r="C676" s="138">
        <f t="shared" si="422"/>
        <v/>
      </c>
      <c r="D676" s="266"/>
      <c r="E676" s="266"/>
      <c r="F676" s="267"/>
      <c r="G676" s="145">
        <f t="shared" si="423"/>
        <v/>
      </c>
      <c r="H676" s="145">
        <f t="shared" si="424"/>
        <v/>
      </c>
      <c r="I676" s="266"/>
      <c r="J676" s="267"/>
      <c r="K676" s="267"/>
      <c r="L676" s="266"/>
      <c r="M676" s="147">
        <f t="shared" si="425"/>
        <v/>
      </c>
      <c r="N676" s="267"/>
      <c r="O676" s="147">
        <f t="shared" si="426"/>
        <v/>
      </c>
      <c r="P676" s="268">
        <f>IF(AY676=1,"XT"&amp;COUNTIFS($A$3:A676,A676,$AY$3:AY676,1),"")</f>
        <v/>
      </c>
      <c r="Q676" s="152">
        <f>IF(R676="","",IFERROR(SUBSTITUTE(Разбивка_по_щитам!P676,CHAR(10)," "),""))</f>
        <v/>
      </c>
      <c r="R676" s="153">
        <f>IF(OR(Разбивка_по_щитам!H676="",Разбивка_по_щитам!H676=0),"",Разбивка_по_щитам!H676)</f>
        <v/>
      </c>
      <c r="S676" s="154">
        <f>IF(R676="","",IFERROR(Разбивка_по_щитам!J676&amp;"",""))</f>
        <v/>
      </c>
      <c r="T676" s="155">
        <f>IF(R676="","",IFERROR(--Разбивка_по_щитам!L676,""))</f>
        <v/>
      </c>
      <c r="U676" s="155">
        <f>IF(R676="","",IFERROR(--Разбивка_по_щитам!K676,""))</f>
        <v/>
      </c>
      <c r="V676" s="138">
        <f>IF(R676="","",IFERROR(IF(Разбивка_по_щитам!M676=0,"",Разбивка_по_щитам!M676),""))</f>
        <v/>
      </c>
      <c r="W676" s="156">
        <f t="shared" si="427"/>
        <v/>
      </c>
      <c r="X676" s="157">
        <f t="shared" si="428"/>
        <v/>
      </c>
      <c r="Y676" s="266"/>
      <c r="Z676" s="158">
        <f t="shared" si="429"/>
        <v/>
      </c>
      <c r="AA676" s="160">
        <f t="shared" si="430"/>
        <v/>
      </c>
      <c r="AB676" s="160">
        <f>IF(R676="","",IFERROR(LOOKUP(INDEX(Справочная!$I$4:$I$19,MATCH(VLOOKUP(R676,Исходные_данные,22,FALSE),Справочная!$J$4:$J$19,0)+1),{6,10,16,20,25,32,40,50,63,80,100,125}),""))</f>
        <v/>
      </c>
      <c r="AC676" s="160">
        <f t="shared" si="431"/>
        <v/>
      </c>
      <c r="AD676" s="161">
        <f t="shared" si="432"/>
        <v/>
      </c>
      <c r="AE676" s="161">
        <f>IF(AND(R676="",G676=""),"",_xlfn.TEXTJOIN("; ",TRUE,IF(AND(R676&lt;&gt;"",V676=""),"нет фазы",""),IF(AND(R676&lt;&gt;"",N(T676)=0),"нет мощности",""),IF(AND(P676&lt;&gt;"",COUNTIFS($A$3:$A$1000,A676,$P$3:$P$1000,P676)&gt;1),"дубль клеммы "&amp;P676,""),IF(AND(W676&lt;&gt;"",W676&lt;&gt;"ok"),W676,""),IF(X676&lt;&gt;"",X676,""),IF(AND(ISNUMBER(SEARCH("(5х",Q676)),N(AK676)=1),"5 жил на 1 фазе",""),IF(AND(AL676="R",E676&lt;&gt;"",N(AS676)=0),"розетка без 30 мА",""),IF(IFERROR(_xlfn.NUMBERVALUE(MID(Q676,FIND("-",Q676,FIND("L=",Q676))+1,FIND("%",Q676)-FIND("-",Q676,FIND("L=",Q676))-1),","),0)&gt;4,"потери &gt; 4 %","")))</f>
      </c>
      <c r="AF676" s="129">
        <f>IF(E676&lt;&gt;"",COUNTIFS($A$3:A676,A676,$E$3:E676,"?*"),IF(OR(A676&lt;&gt;A675,Y676="вручную"),"",AF675))</f>
        <v/>
      </c>
      <c r="AG676" s="129">
        <f t="shared" si="433"/>
        <v/>
      </c>
      <c r="AH676" s="129">
        <f t="shared" si="434"/>
        <v/>
      </c>
      <c r="AI676" s="129">
        <f t="shared" si="435"/>
        <v/>
      </c>
      <c r="AJ676" s="129">
        <f t="shared" si="436"/>
        <v/>
      </c>
      <c r="AK676" s="129">
        <f t="shared" si="437"/>
        <v/>
      </c>
      <c r="AL676" s="129">
        <f t="shared" si="438"/>
        <v/>
      </c>
      <c r="AM676" s="129">
        <f t="shared" si="439"/>
      </c>
      <c r="AN676" s="129">
        <f t="shared" si="440"/>
      </c>
      <c r="AO676" s="129">
        <f t="shared" si="441"/>
        <v/>
      </c>
      <c r="AP676" s="129">
        <f t="shared" si="442"/>
        <v/>
      </c>
      <c r="AQ676" s="129">
        <f t="shared" si="443"/>
        <v/>
      </c>
      <c r="AR676" s="129">
        <f t="shared" si="444"/>
        <v/>
      </c>
      <c r="AS676" s="129">
        <f t="shared" si="445"/>
        <v/>
      </c>
      <c r="AT676" s="129">
        <f t="shared" si="446"/>
        <v/>
      </c>
      <c r="AU676" s="129">
        <f t="shared" si="447"/>
        <v/>
      </c>
      <c r="AV676" s="129">
        <f t="shared" si="448"/>
        <v/>
      </c>
      <c r="AW676" s="129">
        <f>IF(AV676="","",AV676&amp;"."&amp;COUNTIFS($A$3:A676,A676,$AV$3:AV676,AV676))</f>
        <v/>
      </c>
      <c r="AX676" s="129">
        <f t="shared" si="449"/>
        <v/>
      </c>
      <c r="AY676" s="129">
        <f>IF(N676="б/к",0,IF(OR(ISNUMBER(SEARCH("L=",Разбивка_по_щитам!P676)),N676="+",N676="="),1,0))</f>
      </c>
      <c r="AZ676" s="129">
        <f t="shared" si="450"/>
        <v/>
      </c>
      <c r="BA676" s="129">
        <f t="shared" si="451"/>
      </c>
      <c r="BB676" s="129">
        <f t="shared" si="452"/>
      </c>
      <c r="BD676" s="129">
        <f t="shared" si="453"/>
      </c>
      <c r="BE676" s="129">
        <f t="shared" si="454"/>
      </c>
      <c r="BF676" s="129">
        <f t="shared" si="455"/>
      </c>
      <c r="BG676" s="129">
        <f t="shared" si="456"/>
        <v/>
      </c>
      <c r="BH676" s="129">
        <f t="shared" si="457"/>
        <v/>
      </c>
      <c r="BI676" s="129">
        <f t="shared" si="458"/>
        <v/>
      </c>
      <c r="BJ676" s="129">
        <f t="shared" si="459"/>
        <v/>
      </c>
      <c r="BK676" s="129">
        <f>IF(R676="","",IF(OR(BY676="",BY676=0),"BOX",IFERROR(IF(VLOOKUP(BY676,УГО_блоки,3,FALSE)&amp;""&lt;&gt;"",VLOOKUP(BY676,УГО_блоки,3,FALSE),VLOOKUP(BY676,УГО_блоки,2,FALSE)),BY676)))</f>
      </c>
      <c r="BL676" s="129">
        <f t="shared" si="461"/>
      </c>
      <c r="BM676" s="129">
        <f>IF(H676="","",IF(COUNTIF($H$3:H676,H676)=1,MAX($BM$2:BM675)+1,""))</f>
      </c>
      <c r="BN676" s="129">
        <f>IF(I676="","",IF(COUNTIF($I$3:I676,I676)+COUNTIF($J$2:J675,I676)+COUNTIF($K$2:K675,I676)=1,MAX($BN$2:BP675)+1,""))</f>
      </c>
      <c r="BO676" s="129">
        <f>IF(J676="","",IF(COUNTIF($I$3:I676,J676)+COUNTIF($J$3:J676,J676)+COUNTIF($K$2:K675,J676)=1,MAX($BN$2:BP675,BN676)+1,""))</f>
      </c>
      <c r="BP676" s="129">
        <f>IF(K676="","",IF(COUNTIF($I$3:I676,K676)+COUNTIF($J$3:J676,K676)+COUNTIF($K$3:K676,K676)=1,MAX($BN$2:BP675,BN676,BO676)+1,""))</f>
      </c>
      <c r="BQ676" s="129">
        <f>IF(AY676=1,IFERROR(MID(Q676,FIND(" (",Q676)+2,FIND(")",Q676,FIND(" (",Q676))-FIND(" (",Q676)-2),"?"),"")</f>
      </c>
      <c r="BR676" s="129">
        <f>IF(BQ676="","",IF(COUNTIF($BQ$3:BQ676,BQ676)=1,MAX($BR$2:BR675)+1,""))</f>
      </c>
      <c r="BS676" s="129">
        <f>IF(AW676="","",COUNTIF($AW$3:AW676,"?*"))</f>
      </c>
      <c r="BT676" s="129">
        <f>IF(OR(AW676="",AI676=""),"",IF(COUNTIFS($AW$3:AW676,"?*",$AI$3:AI676,AI676)=1,MAX($BT$2:BT675)+1,""))</f>
      </c>
      <c r="BU676" s="129">
        <f>IF(AE676="",0,IF(OR(ISNUMBER(SEARCH("дубль",AE676)),ISNUMBER(SEARCH("ПЕРЕГРУЗ",AE676)),ISNUMBER(SEARCH("ЗАЩИЩ",AE676)),ISNUMBER(SEARCH("КАНАЛ",AE676)),ISNUMBER(SEARCH("без 30",AE676))),2,1))</f>
      </c>
      <c r="BV676" s="129">
        <f>IF(R676="","",COUNTIF($R$3:R676,"?*"))</f>
      </c>
      <c r="BW676" s="129">
        <f>IF(AY676&lt;&gt;1,0,IF(MAX(IFERROR(--VLOOKUP(R676,УГО_спр,5,FALSE),0),IFERROR(--VLOOKUP(AL676,УГО_спр,5,FALSE),0),IFERROR(--VLOOKUP(LEFT(AL676,2),УГО_спр,5,FALSE),0))&gt;0,MAX(IFERROR(--VLOOKUP(R676,УГО_спр,5,FALSE),0),IFERROR(--VLOOKUP(AL676,УГО_спр,5,FALSE),0),IFERROR(--VLOOKUP(LEFT(AL676,2),УГО_спр,5,FALSE),0)),IF(IFERROR(--LEFT(SUBSTITUTE(BQ676,"x","х"),FIND("х",SUBSTITUTE(BQ676,"x","х"))-1),3)&gt;3,Каталог!$S$9,1)))</f>
      </c>
      <c r="BX676" s="129">
        <f>IF(AY676&lt;&gt;1,0,MAX(0,IFERROR(--LEFT(SUBSTITUTE(BQ676,"x","х"),FIND("х",SUBSTITUTE(BQ676,"x","х"))-1),3)-3*BW676))</f>
      </c>
      <c r="BY676" s="129">
        <f>IF(R676="","",IFERROR(VLOOKUP(R676,УГО_спр,2,FALSE),IFERROR(VLOOKUP(AL676,УГО_спр,2,FALSE),IFERROR(VLOOKUP(LEFT(AL676,2),УГО_спр,2,FALSE),""))))</f>
      </c>
    </row>
    <row r="677" spans="1:64" x14ac:dyDescent="0.3">
      <c r="A677" s="135">
        <f>IF(Разбивка_по_щитам!F677=0,"",Разбивка_по_щитам!F677)</f>
        <v/>
      </c>
      <c r="B677" s="138">
        <f>IF(A677="","",Разбивка_по_щитам!C677)</f>
        <v/>
      </c>
      <c r="C677" s="138">
        <f t="shared" si="422"/>
        <v/>
      </c>
      <c r="D677" s="266"/>
      <c r="E677" s="266"/>
      <c r="F677" s="267"/>
      <c r="G677" s="145">
        <f t="shared" si="423"/>
        <v/>
      </c>
      <c r="H677" s="145">
        <f t="shared" si="424"/>
        <v/>
      </c>
      <c r="I677" s="266"/>
      <c r="J677" s="267"/>
      <c r="K677" s="267"/>
      <c r="L677" s="266"/>
      <c r="M677" s="147">
        <f t="shared" si="425"/>
        <v/>
      </c>
      <c r="N677" s="267"/>
      <c r="O677" s="147">
        <f t="shared" si="426"/>
        <v/>
      </c>
      <c r="P677" s="268">
        <f>IF(AY677=1,"XT"&amp;COUNTIFS($A$3:A677,A677,$AY$3:AY677,1),"")</f>
        <v/>
      </c>
      <c r="Q677" s="152">
        <f>IF(R677="","",IFERROR(SUBSTITUTE(Разбивка_по_щитам!P677,CHAR(10)," "),""))</f>
        <v/>
      </c>
      <c r="R677" s="153">
        <f>IF(OR(Разбивка_по_щитам!H677="",Разбивка_по_щитам!H677=0),"",Разбивка_по_щитам!H677)</f>
        <v/>
      </c>
      <c r="S677" s="154">
        <f>IF(R677="","",IFERROR(Разбивка_по_щитам!J677&amp;"",""))</f>
        <v/>
      </c>
      <c r="T677" s="155">
        <f>IF(R677="","",IFERROR(--Разбивка_по_щитам!L677,""))</f>
        <v/>
      </c>
      <c r="U677" s="155">
        <f>IF(R677="","",IFERROR(--Разбивка_по_щитам!K677,""))</f>
        <v/>
      </c>
      <c r="V677" s="138">
        <f>IF(R677="","",IFERROR(IF(Разбивка_по_щитам!M677=0,"",Разбивка_по_щитам!M677),""))</f>
        <v/>
      </c>
      <c r="W677" s="156">
        <f t="shared" si="427"/>
        <v/>
      </c>
      <c r="X677" s="157">
        <f t="shared" si="428"/>
        <v/>
      </c>
      <c r="Y677" s="266"/>
      <c r="Z677" s="158">
        <f t="shared" si="429"/>
        <v/>
      </c>
      <c r="AA677" s="160">
        <f t="shared" si="430"/>
        <v/>
      </c>
      <c r="AB677" s="160">
        <f>IF(R677="","",IFERROR(LOOKUP(INDEX(Справочная!$I$4:$I$19,MATCH(VLOOKUP(R677,Исходные_данные,22,FALSE),Справочная!$J$4:$J$19,0)+1),{6,10,16,20,25,32,40,50,63,80,100,125}),""))</f>
        <v/>
      </c>
      <c r="AC677" s="160">
        <f t="shared" si="431"/>
        <v/>
      </c>
      <c r="AD677" s="161">
        <f t="shared" si="432"/>
        <v/>
      </c>
      <c r="AE677" s="161">
        <f>IF(AND(R677="",G677=""),"",_xlfn.TEXTJOIN("; ",TRUE,IF(AND(R677&lt;&gt;"",V677=""),"нет фазы",""),IF(AND(R677&lt;&gt;"",N(T677)=0),"нет мощности",""),IF(AND(P677&lt;&gt;"",COUNTIFS($A$3:$A$1000,A677,$P$3:$P$1000,P677)&gt;1),"дубль клеммы "&amp;P677,""),IF(AND(W677&lt;&gt;"",W677&lt;&gt;"ok"),W677,""),IF(X677&lt;&gt;"",X677,""),IF(AND(ISNUMBER(SEARCH("(5х",Q677)),N(AK677)=1),"5 жил на 1 фазе",""),IF(AND(AL677="R",E677&lt;&gt;"",N(AS677)=0),"розетка без 30 мА",""),IF(IFERROR(_xlfn.NUMBERVALUE(MID(Q677,FIND("-",Q677,FIND("L=",Q677))+1,FIND("%",Q677)-FIND("-",Q677,FIND("L=",Q677))-1),","),0)&gt;4,"потери &gt; 4 %","")))</f>
      </c>
      <c r="AF677" s="129">
        <f>IF(E677&lt;&gt;"",COUNTIFS($A$3:A677,A677,$E$3:E677,"?*"),IF(OR(A677&lt;&gt;A676,Y677="вручную"),"",AF676))</f>
        <v/>
      </c>
      <c r="AG677" s="129">
        <f t="shared" si="433"/>
        <v/>
      </c>
      <c r="AH677" s="129">
        <f t="shared" si="434"/>
        <v/>
      </c>
      <c r="AI677" s="129">
        <f t="shared" si="435"/>
        <v/>
      </c>
      <c r="AJ677" s="129">
        <f t="shared" si="436"/>
        <v/>
      </c>
      <c r="AK677" s="129">
        <f t="shared" si="437"/>
        <v/>
      </c>
      <c r="AL677" s="129">
        <f t="shared" si="438"/>
        <v/>
      </c>
      <c r="AM677" s="129">
        <f t="shared" si="439"/>
      </c>
      <c r="AN677" s="129">
        <f t="shared" si="440"/>
      </c>
      <c r="AO677" s="129">
        <f t="shared" si="441"/>
        <v/>
      </c>
      <c r="AP677" s="129">
        <f t="shared" si="442"/>
        <v/>
      </c>
      <c r="AQ677" s="129">
        <f t="shared" si="443"/>
        <v/>
      </c>
      <c r="AR677" s="129">
        <f t="shared" si="444"/>
        <v/>
      </c>
      <c r="AS677" s="129">
        <f t="shared" si="445"/>
        <v/>
      </c>
      <c r="AT677" s="129">
        <f t="shared" si="446"/>
        <v/>
      </c>
      <c r="AU677" s="129">
        <f t="shared" si="447"/>
        <v/>
      </c>
      <c r="AV677" s="129">
        <f t="shared" si="448"/>
        <v/>
      </c>
      <c r="AW677" s="129">
        <f>IF(AV677="","",AV677&amp;"."&amp;COUNTIFS($A$3:A677,A677,$AV$3:AV677,AV677))</f>
        <v/>
      </c>
      <c r="AX677" s="129">
        <f t="shared" si="449"/>
        <v/>
      </c>
      <c r="AY677" s="129">
        <f>IF(N677="б/к",0,IF(OR(ISNUMBER(SEARCH("L=",Разбивка_по_щитам!P677)),N677="+",N677="="),1,0))</f>
      </c>
      <c r="AZ677" s="129">
        <f t="shared" si="450"/>
        <v/>
      </c>
      <c r="BA677" s="129">
        <f t="shared" si="451"/>
      </c>
      <c r="BB677" s="129">
        <f t="shared" si="452"/>
      </c>
      <c r="BD677" s="129">
        <f t="shared" si="453"/>
      </c>
      <c r="BE677" s="129">
        <f t="shared" si="454"/>
      </c>
      <c r="BF677" s="129">
        <f t="shared" si="455"/>
      </c>
      <c r="BG677" s="129">
        <f t="shared" si="456"/>
        <v/>
      </c>
      <c r="BH677" s="129">
        <f t="shared" si="457"/>
        <v/>
      </c>
      <c r="BI677" s="129">
        <f t="shared" si="458"/>
        <v/>
      </c>
      <c r="BJ677" s="129">
        <f t="shared" si="459"/>
        <v/>
      </c>
      <c r="BK677" s="129">
        <f>IF(R677="","",IF(OR(BY677="",BY677=0),"BOX",IFERROR(IF(VLOOKUP(BY677,УГО_блоки,3,FALSE)&amp;""&lt;&gt;"",VLOOKUP(BY677,УГО_блоки,3,FALSE),VLOOKUP(BY677,УГО_блоки,2,FALSE)),BY677)))</f>
      </c>
      <c r="BL677" s="129">
        <f t="shared" si="461"/>
      </c>
      <c r="BM677" s="129">
        <f>IF(H677="","",IF(COUNTIF($H$3:H677,H677)=1,MAX($BM$2:BM676)+1,""))</f>
      </c>
      <c r="BN677" s="129">
        <f>IF(I677="","",IF(COUNTIF($I$3:I677,I677)+COUNTIF($J$2:J676,I677)+COUNTIF($K$2:K676,I677)=1,MAX($BN$2:BP676)+1,""))</f>
      </c>
      <c r="BO677" s="129">
        <f>IF(J677="","",IF(COUNTIF($I$3:I677,J677)+COUNTIF($J$3:J677,J677)+COUNTIF($K$2:K676,J677)=1,MAX($BN$2:BP676,BN677)+1,""))</f>
      </c>
      <c r="BP677" s="129">
        <f>IF(K677="","",IF(COUNTIF($I$3:I677,K677)+COUNTIF($J$3:J677,K677)+COUNTIF($K$3:K677,K677)=1,MAX($BN$2:BP676,BN677,BO677)+1,""))</f>
      </c>
      <c r="BQ677" s="129">
        <f>IF(AY677=1,IFERROR(MID(Q677,FIND(" (",Q677)+2,FIND(")",Q677,FIND(" (",Q677))-FIND(" (",Q677)-2),"?"),"")</f>
      </c>
      <c r="BR677" s="129">
        <f>IF(BQ677="","",IF(COUNTIF($BQ$3:BQ677,BQ677)=1,MAX($BR$2:BR676)+1,""))</f>
      </c>
      <c r="BS677" s="129">
        <f>IF(AW677="","",COUNTIF($AW$3:AW677,"?*"))</f>
      </c>
      <c r="BT677" s="129">
        <f>IF(OR(AW677="",AI677=""),"",IF(COUNTIFS($AW$3:AW677,"?*",$AI$3:AI677,AI677)=1,MAX($BT$2:BT676)+1,""))</f>
      </c>
      <c r="BU677" s="129">
        <f>IF(AE677="",0,IF(OR(ISNUMBER(SEARCH("дубль",AE677)),ISNUMBER(SEARCH("ПЕРЕГРУЗ",AE677)),ISNUMBER(SEARCH("ЗАЩИЩ",AE677)),ISNUMBER(SEARCH("КАНАЛ",AE677)),ISNUMBER(SEARCH("без 30",AE677))),2,1))</f>
      </c>
      <c r="BV677" s="129">
        <f>IF(R677="","",COUNTIF($R$3:R677,"?*"))</f>
      </c>
      <c r="BW677" s="129">
        <f>IF(AY677&lt;&gt;1,0,IF(MAX(IFERROR(--VLOOKUP(R677,УГО_спр,5,FALSE),0),IFERROR(--VLOOKUP(AL677,УГО_спр,5,FALSE),0),IFERROR(--VLOOKUP(LEFT(AL677,2),УГО_спр,5,FALSE),0))&gt;0,MAX(IFERROR(--VLOOKUP(R677,УГО_спр,5,FALSE),0),IFERROR(--VLOOKUP(AL677,УГО_спр,5,FALSE),0),IFERROR(--VLOOKUP(LEFT(AL677,2),УГО_спр,5,FALSE),0)),IF(IFERROR(--LEFT(SUBSTITUTE(BQ677,"x","х"),FIND("х",SUBSTITUTE(BQ677,"x","х"))-1),3)&gt;3,Каталог!$S$9,1)))</f>
      </c>
      <c r="BX677" s="129">
        <f>IF(AY677&lt;&gt;1,0,MAX(0,IFERROR(--LEFT(SUBSTITUTE(BQ677,"x","х"),FIND("х",SUBSTITUTE(BQ677,"x","х"))-1),3)-3*BW677))</f>
      </c>
      <c r="BY677" s="129">
        <f>IF(R677="","",IFERROR(VLOOKUP(R677,УГО_спр,2,FALSE),IFERROR(VLOOKUP(AL677,УГО_спр,2,FALSE),IFERROR(VLOOKUP(LEFT(AL677,2),УГО_спр,2,FALSE),""))))</f>
      </c>
    </row>
    <row r="678" spans="1:64" x14ac:dyDescent="0.3">
      <c r="A678" s="135">
        <f>IF(Разбивка_по_щитам!F678=0,"",Разбивка_по_щитам!F678)</f>
        <v/>
      </c>
      <c r="B678" s="138">
        <f>IF(A678="","",Разбивка_по_щитам!C678)</f>
        <v/>
      </c>
      <c r="C678" s="138">
        <f t="shared" si="422"/>
        <v/>
      </c>
      <c r="D678" s="266"/>
      <c r="E678" s="266"/>
      <c r="F678" s="267"/>
      <c r="G678" s="145">
        <f t="shared" si="423"/>
        <v/>
      </c>
      <c r="H678" s="145">
        <f t="shared" si="424"/>
        <v/>
      </c>
      <c r="I678" s="266"/>
      <c r="J678" s="267"/>
      <c r="K678" s="267"/>
      <c r="L678" s="266"/>
      <c r="M678" s="147">
        <f t="shared" si="425"/>
        <v/>
      </c>
      <c r="N678" s="267"/>
      <c r="O678" s="147">
        <f t="shared" si="426"/>
        <v/>
      </c>
      <c r="P678" s="268">
        <f>IF(AY678=1,"XT"&amp;COUNTIFS($A$3:A678,A678,$AY$3:AY678,1),"")</f>
        <v/>
      </c>
      <c r="Q678" s="152">
        <f>IF(R678="","",IFERROR(SUBSTITUTE(Разбивка_по_щитам!P678,CHAR(10)," "),""))</f>
        <v/>
      </c>
      <c r="R678" s="153">
        <f>IF(OR(Разбивка_по_щитам!H678="",Разбивка_по_щитам!H678=0),"",Разбивка_по_щитам!H678)</f>
        <v/>
      </c>
      <c r="S678" s="154">
        <f>IF(R678="","",IFERROR(Разбивка_по_щитам!J678&amp;"",""))</f>
        <v/>
      </c>
      <c r="T678" s="155">
        <f>IF(R678="","",IFERROR(--Разбивка_по_щитам!L678,""))</f>
        <v/>
      </c>
      <c r="U678" s="155">
        <f>IF(R678="","",IFERROR(--Разбивка_по_щитам!K678,""))</f>
        <v/>
      </c>
      <c r="V678" s="138">
        <f>IF(R678="","",IFERROR(IF(Разбивка_по_щитам!M678=0,"",Разбивка_по_щитам!M678),""))</f>
        <v/>
      </c>
      <c r="W678" s="156">
        <f t="shared" si="427"/>
        <v/>
      </c>
      <c r="X678" s="157">
        <f t="shared" si="428"/>
        <v/>
      </c>
      <c r="Y678" s="266"/>
      <c r="Z678" s="158">
        <f t="shared" si="429"/>
        <v/>
      </c>
      <c r="AA678" s="160">
        <f t="shared" si="430"/>
        <v/>
      </c>
      <c r="AB678" s="160">
        <f>IF(R678="","",IFERROR(LOOKUP(INDEX(Справочная!$I$4:$I$19,MATCH(VLOOKUP(R678,Исходные_данные,22,FALSE),Справочная!$J$4:$J$19,0)+1),{6,10,16,20,25,32,40,50,63,80,100,125}),""))</f>
        <v/>
      </c>
      <c r="AC678" s="160">
        <f t="shared" si="431"/>
        <v/>
      </c>
      <c r="AD678" s="161">
        <f t="shared" si="432"/>
        <v/>
      </c>
      <c r="AE678" s="161">
        <f>IF(AND(R678="",G678=""),"",_xlfn.TEXTJOIN("; ",TRUE,IF(AND(R678&lt;&gt;"",V678=""),"нет фазы",""),IF(AND(R678&lt;&gt;"",N(T678)=0),"нет мощности",""),IF(AND(P678&lt;&gt;"",COUNTIFS($A$3:$A$1000,A678,$P$3:$P$1000,P678)&gt;1),"дубль клеммы "&amp;P678,""),IF(AND(W678&lt;&gt;"",W678&lt;&gt;"ok"),W678,""),IF(X678&lt;&gt;"",X678,""),IF(AND(ISNUMBER(SEARCH("(5х",Q678)),N(AK678)=1),"5 жил на 1 фазе",""),IF(AND(AL678="R",E678&lt;&gt;"",N(AS678)=0),"розетка без 30 мА",""),IF(IFERROR(_xlfn.NUMBERVALUE(MID(Q678,FIND("-",Q678,FIND("L=",Q678))+1,FIND("%",Q678)-FIND("-",Q678,FIND("L=",Q678))-1),","),0)&gt;4,"потери &gt; 4 %","")))</f>
      </c>
      <c r="AF678" s="129">
        <f>IF(E678&lt;&gt;"",COUNTIFS($A$3:A678,A678,$E$3:E678,"?*"),IF(OR(A678&lt;&gt;A677,Y678="вручную"),"",AF677))</f>
        <v/>
      </c>
      <c r="AG678" s="129">
        <f t="shared" si="433"/>
        <v/>
      </c>
      <c r="AH678" s="129">
        <f t="shared" si="434"/>
        <v/>
      </c>
      <c r="AI678" s="129">
        <f t="shared" si="435"/>
        <v/>
      </c>
      <c r="AJ678" s="129">
        <f t="shared" si="436"/>
        <v/>
      </c>
      <c r="AK678" s="129">
        <f t="shared" si="437"/>
        <v/>
      </c>
      <c r="AL678" s="129">
        <f t="shared" si="438"/>
        <v/>
      </c>
      <c r="AM678" s="129">
        <f t="shared" si="439"/>
      </c>
      <c r="AN678" s="129">
        <f t="shared" si="440"/>
      </c>
      <c r="AO678" s="129">
        <f t="shared" si="441"/>
        <v/>
      </c>
      <c r="AP678" s="129">
        <f t="shared" si="442"/>
        <v/>
      </c>
      <c r="AQ678" s="129">
        <f t="shared" si="443"/>
        <v/>
      </c>
      <c r="AR678" s="129">
        <f t="shared" si="444"/>
        <v/>
      </c>
      <c r="AS678" s="129">
        <f t="shared" si="445"/>
        <v/>
      </c>
      <c r="AT678" s="129">
        <f t="shared" si="446"/>
        <v/>
      </c>
      <c r="AU678" s="129">
        <f t="shared" si="447"/>
        <v/>
      </c>
      <c r="AV678" s="129">
        <f t="shared" si="448"/>
        <v/>
      </c>
      <c r="AW678" s="129">
        <f>IF(AV678="","",AV678&amp;"."&amp;COUNTIFS($A$3:A678,A678,$AV$3:AV678,AV678))</f>
        <v/>
      </c>
      <c r="AX678" s="129">
        <f t="shared" si="449"/>
        <v/>
      </c>
      <c r="AY678" s="129">
        <f>IF(N678="б/к",0,IF(OR(ISNUMBER(SEARCH("L=",Разбивка_по_щитам!P678)),N678="+",N678="="),1,0))</f>
      </c>
      <c r="AZ678" s="129">
        <f t="shared" si="450"/>
        <v/>
      </c>
      <c r="BA678" s="129">
        <f t="shared" si="451"/>
      </c>
      <c r="BB678" s="129">
        <f t="shared" si="452"/>
      </c>
      <c r="BD678" s="129">
        <f t="shared" si="453"/>
      </c>
      <c r="BE678" s="129">
        <f t="shared" si="454"/>
      </c>
      <c r="BF678" s="129">
        <f t="shared" si="455"/>
      </c>
      <c r="BG678" s="129">
        <f t="shared" si="456"/>
        <v/>
      </c>
      <c r="BH678" s="129">
        <f t="shared" si="457"/>
        <v/>
      </c>
      <c r="BI678" s="129">
        <f t="shared" si="458"/>
        <v/>
      </c>
      <c r="BJ678" s="129">
        <f t="shared" si="459"/>
        <v/>
      </c>
      <c r="BK678" s="129">
        <f>IF(R678="","",IF(OR(BY678="",BY678=0),"BOX",IFERROR(IF(VLOOKUP(BY678,УГО_блоки,3,FALSE)&amp;""&lt;&gt;"",VLOOKUP(BY678,УГО_блоки,3,FALSE),VLOOKUP(BY678,УГО_блоки,2,FALSE)),BY678)))</f>
      </c>
      <c r="BL678" s="129">
        <f t="shared" si="461"/>
      </c>
      <c r="BM678" s="129">
        <f>IF(H678="","",IF(COUNTIF($H$3:H678,H678)=1,MAX($BM$2:BM677)+1,""))</f>
      </c>
      <c r="BN678" s="129">
        <f>IF(I678="","",IF(COUNTIF($I$3:I678,I678)+COUNTIF($J$2:J677,I678)+COUNTIF($K$2:K677,I678)=1,MAX($BN$2:BP677)+1,""))</f>
      </c>
      <c r="BO678" s="129">
        <f>IF(J678="","",IF(COUNTIF($I$3:I678,J678)+COUNTIF($J$3:J678,J678)+COUNTIF($K$2:K677,J678)=1,MAX($BN$2:BP677,BN678)+1,""))</f>
      </c>
      <c r="BP678" s="129">
        <f>IF(K678="","",IF(COUNTIF($I$3:I678,K678)+COUNTIF($J$3:J678,K678)+COUNTIF($K$3:K678,K678)=1,MAX($BN$2:BP677,BN678,BO678)+1,""))</f>
      </c>
      <c r="BQ678" s="129">
        <f>IF(AY678=1,IFERROR(MID(Q678,FIND(" (",Q678)+2,FIND(")",Q678,FIND(" (",Q678))-FIND(" (",Q678)-2),"?"),"")</f>
      </c>
      <c r="BR678" s="129">
        <f>IF(BQ678="","",IF(COUNTIF($BQ$3:BQ678,BQ678)=1,MAX($BR$2:BR677)+1,""))</f>
      </c>
      <c r="BS678" s="129">
        <f>IF(AW678="","",COUNTIF($AW$3:AW678,"?*"))</f>
      </c>
      <c r="BT678" s="129">
        <f>IF(OR(AW678="",AI678=""),"",IF(COUNTIFS($AW$3:AW678,"?*",$AI$3:AI678,AI678)=1,MAX($BT$2:BT677)+1,""))</f>
      </c>
      <c r="BU678" s="129">
        <f>IF(AE678="",0,IF(OR(ISNUMBER(SEARCH("дубль",AE678)),ISNUMBER(SEARCH("ПЕРЕГРУЗ",AE678)),ISNUMBER(SEARCH("ЗАЩИЩ",AE678)),ISNUMBER(SEARCH("КАНАЛ",AE678)),ISNUMBER(SEARCH("без 30",AE678))),2,1))</f>
      </c>
      <c r="BV678" s="129">
        <f>IF(R678="","",COUNTIF($R$3:R678,"?*"))</f>
      </c>
      <c r="BW678" s="129">
        <f>IF(AY678&lt;&gt;1,0,IF(MAX(IFERROR(--VLOOKUP(R678,УГО_спр,5,FALSE),0),IFERROR(--VLOOKUP(AL678,УГО_спр,5,FALSE),0),IFERROR(--VLOOKUP(LEFT(AL678,2),УГО_спр,5,FALSE),0))&gt;0,MAX(IFERROR(--VLOOKUP(R678,УГО_спр,5,FALSE),0),IFERROR(--VLOOKUP(AL678,УГО_спр,5,FALSE),0),IFERROR(--VLOOKUP(LEFT(AL678,2),УГО_спр,5,FALSE),0)),IF(IFERROR(--LEFT(SUBSTITUTE(BQ678,"x","х"),FIND("х",SUBSTITUTE(BQ678,"x","х"))-1),3)&gt;3,Каталог!$S$9,1)))</f>
      </c>
      <c r="BX678" s="129">
        <f>IF(AY678&lt;&gt;1,0,MAX(0,IFERROR(--LEFT(SUBSTITUTE(BQ678,"x","х"),FIND("х",SUBSTITUTE(BQ678,"x","х"))-1),3)-3*BW678))</f>
      </c>
      <c r="BY678" s="129">
        <f>IF(R678="","",IFERROR(VLOOKUP(R678,УГО_спр,2,FALSE),IFERROR(VLOOKUP(AL678,УГО_спр,2,FALSE),IFERROR(VLOOKUP(LEFT(AL678,2),УГО_спр,2,FALSE),""))))</f>
      </c>
    </row>
    <row r="679" spans="1:64" x14ac:dyDescent="0.3">
      <c r="A679" s="135">
        <f>IF(Разбивка_по_щитам!F679=0,"",Разбивка_по_щитам!F679)</f>
        <v/>
      </c>
      <c r="B679" s="138">
        <f>IF(A679="","",Разбивка_по_щитам!C679)</f>
        <v/>
      </c>
      <c r="C679" s="138">
        <f t="shared" si="422"/>
        <v/>
      </c>
      <c r="D679" s="266"/>
      <c r="E679" s="266"/>
      <c r="F679" s="267"/>
      <c r="G679" s="145">
        <f t="shared" si="423"/>
        <v/>
      </c>
      <c r="H679" s="145">
        <f t="shared" si="424"/>
        <v/>
      </c>
      <c r="I679" s="266"/>
      <c r="J679" s="267"/>
      <c r="K679" s="267"/>
      <c r="L679" s="266"/>
      <c r="M679" s="147">
        <f t="shared" si="425"/>
        <v/>
      </c>
      <c r="N679" s="267"/>
      <c r="O679" s="147">
        <f t="shared" si="426"/>
        <v/>
      </c>
      <c r="P679" s="268">
        <f>IF(AY679=1,"XT"&amp;COUNTIFS($A$3:A679,A679,$AY$3:AY679,1),"")</f>
        <v/>
      </c>
      <c r="Q679" s="152">
        <f>IF(R679="","",IFERROR(SUBSTITUTE(Разбивка_по_щитам!P679,CHAR(10)," "),""))</f>
        <v/>
      </c>
      <c r="R679" s="153">
        <f>IF(OR(Разбивка_по_щитам!H679="",Разбивка_по_щитам!H679=0),"",Разбивка_по_щитам!H679)</f>
        <v/>
      </c>
      <c r="S679" s="154">
        <f>IF(R679="","",IFERROR(Разбивка_по_щитам!J679&amp;"",""))</f>
        <v/>
      </c>
      <c r="T679" s="155">
        <f>IF(R679="","",IFERROR(--Разбивка_по_щитам!L679,""))</f>
        <v/>
      </c>
      <c r="U679" s="155">
        <f>IF(R679="","",IFERROR(--Разбивка_по_щитам!K679,""))</f>
        <v/>
      </c>
      <c r="V679" s="138">
        <f>IF(R679="","",IFERROR(IF(Разбивка_по_щитам!M679=0,"",Разбивка_по_щитам!M679),""))</f>
        <v/>
      </c>
      <c r="W679" s="156">
        <f t="shared" si="427"/>
        <v/>
      </c>
      <c r="X679" s="157">
        <f t="shared" si="428"/>
        <v/>
      </c>
      <c r="Y679" s="266"/>
      <c r="Z679" s="158">
        <f t="shared" si="429"/>
        <v/>
      </c>
      <c r="AA679" s="160">
        <f t="shared" si="430"/>
        <v/>
      </c>
      <c r="AB679" s="160">
        <f>IF(R679="","",IFERROR(LOOKUP(INDEX(Справочная!$I$4:$I$19,MATCH(VLOOKUP(R679,Исходные_данные,22,FALSE),Справочная!$J$4:$J$19,0)+1),{6,10,16,20,25,32,40,50,63,80,100,125}),""))</f>
        <v/>
      </c>
      <c r="AC679" s="160">
        <f t="shared" si="431"/>
        <v/>
      </c>
      <c r="AD679" s="161">
        <f t="shared" si="432"/>
        <v/>
      </c>
      <c r="AE679" s="161">
        <f>IF(AND(R679="",G679=""),"",_xlfn.TEXTJOIN("; ",TRUE,IF(AND(R679&lt;&gt;"",V679=""),"нет фазы",""),IF(AND(R679&lt;&gt;"",N(T679)=0),"нет мощности",""),IF(AND(P679&lt;&gt;"",COUNTIFS($A$3:$A$1000,A679,$P$3:$P$1000,P679)&gt;1),"дубль клеммы "&amp;P679,""),IF(AND(W679&lt;&gt;"",W679&lt;&gt;"ok"),W679,""),IF(X679&lt;&gt;"",X679,""),IF(AND(ISNUMBER(SEARCH("(5х",Q679)),N(AK679)=1),"5 жил на 1 фазе",""),IF(AND(AL679="R",E679&lt;&gt;"",N(AS679)=0),"розетка без 30 мА",""),IF(IFERROR(_xlfn.NUMBERVALUE(MID(Q679,FIND("-",Q679,FIND("L=",Q679))+1,FIND("%",Q679)-FIND("-",Q679,FIND("L=",Q679))-1),","),0)&gt;4,"потери &gt; 4 %","")))</f>
      </c>
      <c r="AF679" s="129">
        <f>IF(E679&lt;&gt;"",COUNTIFS($A$3:A679,A679,$E$3:E679,"?*"),IF(OR(A679&lt;&gt;A678,Y679="вручную"),"",AF678))</f>
        <v/>
      </c>
      <c r="AG679" s="129">
        <f t="shared" si="433"/>
        <v/>
      </c>
      <c r="AH679" s="129">
        <f t="shared" si="434"/>
        <v/>
      </c>
      <c r="AI679" s="129">
        <f t="shared" si="435"/>
        <v/>
      </c>
      <c r="AJ679" s="129">
        <f t="shared" si="436"/>
        <v/>
      </c>
      <c r="AK679" s="129">
        <f t="shared" si="437"/>
        <v/>
      </c>
      <c r="AL679" s="129">
        <f t="shared" si="438"/>
        <v/>
      </c>
      <c r="AM679" s="129">
        <f t="shared" si="439"/>
      </c>
      <c r="AN679" s="129">
        <f t="shared" si="440"/>
      </c>
      <c r="AO679" s="129">
        <f t="shared" si="441"/>
        <v/>
      </c>
      <c r="AP679" s="129">
        <f t="shared" si="442"/>
        <v/>
      </c>
      <c r="AQ679" s="129">
        <f t="shared" si="443"/>
        <v/>
      </c>
      <c r="AR679" s="129">
        <f t="shared" si="444"/>
        <v/>
      </c>
      <c r="AS679" s="129">
        <f t="shared" si="445"/>
        <v/>
      </c>
      <c r="AT679" s="129">
        <f t="shared" si="446"/>
        <v/>
      </c>
      <c r="AU679" s="129">
        <f t="shared" si="447"/>
        <v/>
      </c>
      <c r="AV679" s="129">
        <f t="shared" si="448"/>
        <v/>
      </c>
      <c r="AW679" s="129">
        <f>IF(AV679="","",AV679&amp;"."&amp;COUNTIFS($A$3:A679,A679,$AV$3:AV679,AV679))</f>
        <v/>
      </c>
      <c r="AX679" s="129">
        <f t="shared" si="449"/>
        <v/>
      </c>
      <c r="AY679" s="129">
        <f>IF(N679="б/к",0,IF(OR(ISNUMBER(SEARCH("L=",Разбивка_по_щитам!P679)),N679="+",N679="="),1,0))</f>
      </c>
      <c r="AZ679" s="129">
        <f t="shared" si="450"/>
        <v/>
      </c>
      <c r="BA679" s="129">
        <f t="shared" si="451"/>
      </c>
      <c r="BB679" s="129">
        <f t="shared" si="452"/>
      </c>
      <c r="BD679" s="129">
        <f t="shared" si="453"/>
      </c>
      <c r="BE679" s="129">
        <f t="shared" si="454"/>
      </c>
      <c r="BF679" s="129">
        <f t="shared" si="455"/>
      </c>
      <c r="BG679" s="129">
        <f t="shared" si="456"/>
        <v/>
      </c>
      <c r="BH679" s="129">
        <f t="shared" si="457"/>
        <v/>
      </c>
      <c r="BI679" s="129">
        <f t="shared" si="458"/>
        <v/>
      </c>
      <c r="BJ679" s="129">
        <f t="shared" si="459"/>
        <v/>
      </c>
      <c r="BK679" s="129">
        <f>IF(R679="","",IF(OR(BY679="",BY679=0),"BOX",IFERROR(IF(VLOOKUP(BY679,УГО_блоки,3,FALSE)&amp;""&lt;&gt;"",VLOOKUP(BY679,УГО_блоки,3,FALSE),VLOOKUP(BY679,УГО_блоки,2,FALSE)),BY679)))</f>
      </c>
      <c r="BL679" s="129">
        <f t="shared" si="461"/>
      </c>
      <c r="BM679" s="129">
        <f>IF(H679="","",IF(COUNTIF($H$3:H679,H679)=1,MAX($BM$2:BM678)+1,""))</f>
      </c>
      <c r="BN679" s="129">
        <f>IF(I679="","",IF(COUNTIF($I$3:I679,I679)+COUNTIF($J$2:J678,I679)+COUNTIF($K$2:K678,I679)=1,MAX($BN$2:BP678)+1,""))</f>
      </c>
      <c r="BO679" s="129">
        <f>IF(J679="","",IF(COUNTIF($I$3:I679,J679)+COUNTIF($J$3:J679,J679)+COUNTIF($K$2:K678,J679)=1,MAX($BN$2:BP678,BN679)+1,""))</f>
      </c>
      <c r="BP679" s="129">
        <f>IF(K679="","",IF(COUNTIF($I$3:I679,K679)+COUNTIF($J$3:J679,K679)+COUNTIF($K$3:K679,K679)=1,MAX($BN$2:BP678,BN679,BO679)+1,""))</f>
      </c>
      <c r="BQ679" s="129">
        <f>IF(AY679=1,IFERROR(MID(Q679,FIND(" (",Q679)+2,FIND(")",Q679,FIND(" (",Q679))-FIND(" (",Q679)-2),"?"),"")</f>
      </c>
      <c r="BR679" s="129">
        <f>IF(BQ679="","",IF(COUNTIF($BQ$3:BQ679,BQ679)=1,MAX($BR$2:BR678)+1,""))</f>
      </c>
      <c r="BS679" s="129">
        <f>IF(AW679="","",COUNTIF($AW$3:AW679,"?*"))</f>
      </c>
      <c r="BT679" s="129">
        <f>IF(OR(AW679="",AI679=""),"",IF(COUNTIFS($AW$3:AW679,"?*",$AI$3:AI679,AI679)=1,MAX($BT$2:BT678)+1,""))</f>
      </c>
      <c r="BU679" s="129">
        <f>IF(AE679="",0,IF(OR(ISNUMBER(SEARCH("дубль",AE679)),ISNUMBER(SEARCH("ПЕРЕГРУЗ",AE679)),ISNUMBER(SEARCH("ЗАЩИЩ",AE679)),ISNUMBER(SEARCH("КАНАЛ",AE679)),ISNUMBER(SEARCH("без 30",AE679))),2,1))</f>
      </c>
      <c r="BV679" s="129">
        <f>IF(R679="","",COUNTIF($R$3:R679,"?*"))</f>
      </c>
      <c r="BW679" s="129">
        <f>IF(AY679&lt;&gt;1,0,IF(MAX(IFERROR(--VLOOKUP(R679,УГО_спр,5,FALSE),0),IFERROR(--VLOOKUP(AL679,УГО_спр,5,FALSE),0),IFERROR(--VLOOKUP(LEFT(AL679,2),УГО_спр,5,FALSE),0))&gt;0,MAX(IFERROR(--VLOOKUP(R679,УГО_спр,5,FALSE),0),IFERROR(--VLOOKUP(AL679,УГО_спр,5,FALSE),0),IFERROR(--VLOOKUP(LEFT(AL679,2),УГО_спр,5,FALSE),0)),IF(IFERROR(--LEFT(SUBSTITUTE(BQ679,"x","х"),FIND("х",SUBSTITUTE(BQ679,"x","х"))-1),3)&gt;3,Каталог!$S$9,1)))</f>
      </c>
      <c r="BX679" s="129">
        <f>IF(AY679&lt;&gt;1,0,MAX(0,IFERROR(--LEFT(SUBSTITUTE(BQ679,"x","х"),FIND("х",SUBSTITUTE(BQ679,"x","х"))-1),3)-3*BW679))</f>
      </c>
      <c r="BY679" s="129">
        <f>IF(R679="","",IFERROR(VLOOKUP(R679,УГО_спр,2,FALSE),IFERROR(VLOOKUP(AL679,УГО_спр,2,FALSE),IFERROR(VLOOKUP(LEFT(AL679,2),УГО_спр,2,FALSE),""))))</f>
      </c>
    </row>
    <row r="680" spans="1:64" x14ac:dyDescent="0.3">
      <c r="A680" s="135">
        <f>IF(Разбивка_по_щитам!F680=0,"",Разбивка_по_щитам!F680)</f>
        <v/>
      </c>
      <c r="B680" s="138">
        <f>IF(A680="","",Разбивка_по_щитам!C680)</f>
        <v/>
      </c>
      <c r="C680" s="138">
        <f t="shared" si="422"/>
        <v/>
      </c>
      <c r="D680" s="266"/>
      <c r="E680" s="266"/>
      <c r="F680" s="267"/>
      <c r="G680" s="145">
        <f t="shared" si="423"/>
        <v/>
      </c>
      <c r="H680" s="145">
        <f t="shared" si="424"/>
        <v/>
      </c>
      <c r="I680" s="266"/>
      <c r="J680" s="267"/>
      <c r="K680" s="267"/>
      <c r="L680" s="266"/>
      <c r="M680" s="147">
        <f t="shared" si="425"/>
        <v/>
      </c>
      <c r="N680" s="267"/>
      <c r="O680" s="147">
        <f t="shared" si="426"/>
        <v/>
      </c>
      <c r="P680" s="268">
        <f>IF(AY680=1,"XT"&amp;COUNTIFS($A$3:A680,A680,$AY$3:AY680,1),"")</f>
        <v/>
      </c>
      <c r="Q680" s="152">
        <f>IF(R680="","",IFERROR(SUBSTITUTE(Разбивка_по_щитам!P680,CHAR(10)," "),""))</f>
        <v/>
      </c>
      <c r="R680" s="153">
        <f>IF(OR(Разбивка_по_щитам!H680="",Разбивка_по_щитам!H680=0),"",Разбивка_по_щитам!H680)</f>
        <v/>
      </c>
      <c r="S680" s="154">
        <f>IF(R680="","",IFERROR(Разбивка_по_щитам!J680&amp;"",""))</f>
        <v/>
      </c>
      <c r="T680" s="155">
        <f>IF(R680="","",IFERROR(--Разбивка_по_щитам!L680,""))</f>
        <v/>
      </c>
      <c r="U680" s="155">
        <f>IF(R680="","",IFERROR(--Разбивка_по_щитам!K680,""))</f>
        <v/>
      </c>
      <c r="V680" s="138">
        <f>IF(R680="","",IFERROR(IF(Разбивка_по_щитам!M680=0,"",Разбивка_по_щитам!M680),""))</f>
        <v/>
      </c>
      <c r="W680" s="156">
        <f t="shared" si="427"/>
        <v/>
      </c>
      <c r="X680" s="157">
        <f t="shared" si="428"/>
        <v/>
      </c>
      <c r="Y680" s="266"/>
      <c r="Z680" s="158">
        <f t="shared" si="429"/>
        <v/>
      </c>
      <c r="AA680" s="160">
        <f t="shared" si="430"/>
        <v/>
      </c>
      <c r="AB680" s="160">
        <f>IF(R680="","",IFERROR(LOOKUP(INDEX(Справочная!$I$4:$I$19,MATCH(VLOOKUP(R680,Исходные_данные,22,FALSE),Справочная!$J$4:$J$19,0)+1),{6,10,16,20,25,32,40,50,63,80,100,125}),""))</f>
        <v/>
      </c>
      <c r="AC680" s="160">
        <f t="shared" si="431"/>
        <v/>
      </c>
      <c r="AD680" s="161">
        <f t="shared" si="432"/>
        <v/>
      </c>
      <c r="AE680" s="161">
        <f>IF(AND(R680="",G680=""),"",_xlfn.TEXTJOIN("; ",TRUE,IF(AND(R680&lt;&gt;"",V680=""),"нет фазы",""),IF(AND(R680&lt;&gt;"",N(T680)=0),"нет мощности",""),IF(AND(P680&lt;&gt;"",COUNTIFS($A$3:$A$1000,A680,$P$3:$P$1000,P680)&gt;1),"дубль клеммы "&amp;P680,""),IF(AND(W680&lt;&gt;"",W680&lt;&gt;"ok"),W680,""),IF(X680&lt;&gt;"",X680,""),IF(AND(ISNUMBER(SEARCH("(5х",Q680)),N(AK680)=1),"5 жил на 1 фазе",""),IF(AND(AL680="R",E680&lt;&gt;"",N(AS680)=0),"розетка без 30 мА",""),IF(IFERROR(_xlfn.NUMBERVALUE(MID(Q680,FIND("-",Q680,FIND("L=",Q680))+1,FIND("%",Q680)-FIND("-",Q680,FIND("L=",Q680))-1),","),0)&gt;4,"потери &gt; 4 %","")))</f>
      </c>
      <c r="AF680" s="129">
        <f>IF(E680&lt;&gt;"",COUNTIFS($A$3:A680,A680,$E$3:E680,"?*"),IF(OR(A680&lt;&gt;A679,Y680="вручную"),"",AF679))</f>
        <v/>
      </c>
      <c r="AG680" s="129">
        <f t="shared" si="433"/>
        <v/>
      </c>
      <c r="AH680" s="129">
        <f t="shared" si="434"/>
        <v/>
      </c>
      <c r="AI680" s="129">
        <f t="shared" si="435"/>
        <v/>
      </c>
      <c r="AJ680" s="129">
        <f t="shared" si="436"/>
        <v/>
      </c>
      <c r="AK680" s="129">
        <f t="shared" si="437"/>
        <v/>
      </c>
      <c r="AL680" s="129">
        <f t="shared" si="438"/>
        <v/>
      </c>
      <c r="AM680" s="129">
        <f t="shared" si="439"/>
      </c>
      <c r="AN680" s="129">
        <f t="shared" si="440"/>
      </c>
      <c r="AO680" s="129">
        <f t="shared" si="441"/>
        <v/>
      </c>
      <c r="AP680" s="129">
        <f t="shared" si="442"/>
        <v/>
      </c>
      <c r="AQ680" s="129">
        <f t="shared" si="443"/>
        <v/>
      </c>
      <c r="AR680" s="129">
        <f t="shared" si="444"/>
        <v/>
      </c>
      <c r="AS680" s="129">
        <f t="shared" si="445"/>
        <v/>
      </c>
      <c r="AT680" s="129">
        <f t="shared" si="446"/>
        <v/>
      </c>
      <c r="AU680" s="129">
        <f t="shared" si="447"/>
        <v/>
      </c>
      <c r="AV680" s="129">
        <f t="shared" si="448"/>
        <v/>
      </c>
      <c r="AW680" s="129">
        <f>IF(AV680="","",AV680&amp;"."&amp;COUNTIFS($A$3:A680,A680,$AV$3:AV680,AV680))</f>
        <v/>
      </c>
      <c r="AX680" s="129">
        <f t="shared" si="449"/>
        <v/>
      </c>
      <c r="AY680" s="129">
        <f>IF(N680="б/к",0,IF(OR(ISNUMBER(SEARCH("L=",Разбивка_по_щитам!P680)),N680="+",N680="="),1,0))</f>
      </c>
      <c r="AZ680" s="129">
        <f t="shared" si="450"/>
        <v/>
      </c>
      <c r="BA680" s="129">
        <f t="shared" si="451"/>
      </c>
      <c r="BB680" s="129">
        <f t="shared" si="452"/>
      </c>
      <c r="BD680" s="129">
        <f t="shared" si="453"/>
      </c>
      <c r="BE680" s="129">
        <f t="shared" si="454"/>
      </c>
      <c r="BF680" s="129">
        <f t="shared" si="455"/>
      </c>
      <c r="BG680" s="129">
        <f t="shared" si="456"/>
        <v/>
      </c>
      <c r="BH680" s="129">
        <f t="shared" si="457"/>
        <v/>
      </c>
      <c r="BI680" s="129">
        <f t="shared" si="458"/>
        <v/>
      </c>
      <c r="BJ680" s="129">
        <f t="shared" si="459"/>
        <v/>
      </c>
      <c r="BK680" s="129">
        <f>IF(R680="","",IF(OR(BY680="",BY680=0),"BOX",IFERROR(IF(VLOOKUP(BY680,УГО_блоки,3,FALSE)&amp;""&lt;&gt;"",VLOOKUP(BY680,УГО_блоки,3,FALSE),VLOOKUP(BY680,УГО_блоки,2,FALSE)),BY680)))</f>
      </c>
      <c r="BL680" s="129">
        <f t="shared" si="461"/>
      </c>
      <c r="BM680" s="129">
        <f>IF(H680="","",IF(COUNTIF($H$3:H680,H680)=1,MAX($BM$2:BM679)+1,""))</f>
      </c>
      <c r="BN680" s="129">
        <f>IF(I680="","",IF(COUNTIF($I$3:I680,I680)+COUNTIF($J$2:J679,I680)+COUNTIF($K$2:K679,I680)=1,MAX($BN$2:BP679)+1,""))</f>
      </c>
      <c r="BO680" s="129">
        <f>IF(J680="","",IF(COUNTIF($I$3:I680,J680)+COUNTIF($J$3:J680,J680)+COUNTIF($K$2:K679,J680)=1,MAX($BN$2:BP679,BN680)+1,""))</f>
      </c>
      <c r="BP680" s="129">
        <f>IF(K680="","",IF(COUNTIF($I$3:I680,K680)+COUNTIF($J$3:J680,K680)+COUNTIF($K$3:K680,K680)=1,MAX($BN$2:BP679,BN680,BO680)+1,""))</f>
      </c>
      <c r="BQ680" s="129">
        <f>IF(AY680=1,IFERROR(MID(Q680,FIND(" (",Q680)+2,FIND(")",Q680,FIND(" (",Q680))-FIND(" (",Q680)-2),"?"),"")</f>
      </c>
      <c r="BR680" s="129">
        <f>IF(BQ680="","",IF(COUNTIF($BQ$3:BQ680,BQ680)=1,MAX($BR$2:BR679)+1,""))</f>
      </c>
      <c r="BS680" s="129">
        <f>IF(AW680="","",COUNTIF($AW$3:AW680,"?*"))</f>
      </c>
      <c r="BT680" s="129">
        <f>IF(OR(AW680="",AI680=""),"",IF(COUNTIFS($AW$3:AW680,"?*",$AI$3:AI680,AI680)=1,MAX($BT$2:BT679)+1,""))</f>
      </c>
      <c r="BU680" s="129">
        <f>IF(AE680="",0,IF(OR(ISNUMBER(SEARCH("дубль",AE680)),ISNUMBER(SEARCH("ПЕРЕГРУЗ",AE680)),ISNUMBER(SEARCH("ЗАЩИЩ",AE680)),ISNUMBER(SEARCH("КАНАЛ",AE680)),ISNUMBER(SEARCH("без 30",AE680))),2,1))</f>
      </c>
      <c r="BV680" s="129">
        <f>IF(R680="","",COUNTIF($R$3:R680,"?*"))</f>
      </c>
      <c r="BW680" s="129">
        <f>IF(AY680&lt;&gt;1,0,IF(MAX(IFERROR(--VLOOKUP(R680,УГО_спр,5,FALSE),0),IFERROR(--VLOOKUP(AL680,УГО_спр,5,FALSE),0),IFERROR(--VLOOKUP(LEFT(AL680,2),УГО_спр,5,FALSE),0))&gt;0,MAX(IFERROR(--VLOOKUP(R680,УГО_спр,5,FALSE),0),IFERROR(--VLOOKUP(AL680,УГО_спр,5,FALSE),0),IFERROR(--VLOOKUP(LEFT(AL680,2),УГО_спр,5,FALSE),0)),IF(IFERROR(--LEFT(SUBSTITUTE(BQ680,"x","х"),FIND("х",SUBSTITUTE(BQ680,"x","х"))-1),3)&gt;3,Каталог!$S$9,1)))</f>
      </c>
      <c r="BX680" s="129">
        <f>IF(AY680&lt;&gt;1,0,MAX(0,IFERROR(--LEFT(SUBSTITUTE(BQ680,"x","х"),FIND("х",SUBSTITUTE(BQ680,"x","х"))-1),3)-3*BW680))</f>
      </c>
      <c r="BY680" s="129">
        <f>IF(R680="","",IFERROR(VLOOKUP(R680,УГО_спр,2,FALSE),IFERROR(VLOOKUP(AL680,УГО_спр,2,FALSE),IFERROR(VLOOKUP(LEFT(AL680,2),УГО_спр,2,FALSE),""))))</f>
      </c>
    </row>
    <row r="681" spans="1:64" x14ac:dyDescent="0.3">
      <c r="A681" s="135">
        <f>IF(Разбивка_по_щитам!F681=0,"",Разбивка_по_щитам!F681)</f>
        <v/>
      </c>
      <c r="B681" s="138">
        <f>IF(A681="","",Разбивка_по_щитам!C681)</f>
        <v/>
      </c>
      <c r="C681" s="138">
        <f t="shared" si="422"/>
        <v/>
      </c>
      <c r="D681" s="266"/>
      <c r="E681" s="266"/>
      <c r="F681" s="267"/>
      <c r="G681" s="145">
        <f t="shared" si="423"/>
        <v/>
      </c>
      <c r="H681" s="145">
        <f t="shared" si="424"/>
        <v/>
      </c>
      <c r="I681" s="266"/>
      <c r="J681" s="267"/>
      <c r="K681" s="267"/>
      <c r="L681" s="266"/>
      <c r="M681" s="147">
        <f t="shared" si="425"/>
        <v/>
      </c>
      <c r="N681" s="267"/>
      <c r="O681" s="147">
        <f t="shared" si="426"/>
        <v/>
      </c>
      <c r="P681" s="268">
        <f>IF(AY681=1,"XT"&amp;COUNTIFS($A$3:A681,A681,$AY$3:AY681,1),"")</f>
        <v/>
      </c>
      <c r="Q681" s="152">
        <f>IF(R681="","",IFERROR(SUBSTITUTE(Разбивка_по_щитам!P681,CHAR(10)," "),""))</f>
        <v/>
      </c>
      <c r="R681" s="153">
        <f>IF(OR(Разбивка_по_щитам!H681="",Разбивка_по_щитам!H681=0),"",Разбивка_по_щитам!H681)</f>
        <v/>
      </c>
      <c r="S681" s="154">
        <f>IF(R681="","",IFERROR(Разбивка_по_щитам!J681&amp;"",""))</f>
        <v/>
      </c>
      <c r="T681" s="155">
        <f>IF(R681="","",IFERROR(--Разбивка_по_щитам!L681,""))</f>
        <v/>
      </c>
      <c r="U681" s="155">
        <f>IF(R681="","",IFERROR(--Разбивка_по_щитам!K681,""))</f>
        <v/>
      </c>
      <c r="V681" s="138">
        <f>IF(R681="","",IFERROR(IF(Разбивка_по_щитам!M681=0,"",Разбивка_по_щитам!M681),""))</f>
        <v/>
      </c>
      <c r="W681" s="156">
        <f t="shared" si="427"/>
        <v/>
      </c>
      <c r="X681" s="157">
        <f t="shared" si="428"/>
        <v/>
      </c>
      <c r="Y681" s="266"/>
      <c r="Z681" s="158">
        <f t="shared" si="429"/>
        <v/>
      </c>
      <c r="AA681" s="160">
        <f t="shared" si="430"/>
        <v/>
      </c>
      <c r="AB681" s="160">
        <f>IF(R681="","",IFERROR(LOOKUP(INDEX(Справочная!$I$4:$I$19,MATCH(VLOOKUP(R681,Исходные_данные,22,FALSE),Справочная!$J$4:$J$19,0)+1),{6,10,16,20,25,32,40,50,63,80,100,125}),""))</f>
        <v/>
      </c>
      <c r="AC681" s="160">
        <f t="shared" si="431"/>
        <v/>
      </c>
      <c r="AD681" s="161">
        <f t="shared" si="432"/>
        <v/>
      </c>
      <c r="AE681" s="161">
        <f>IF(AND(R681="",G681=""),"",_xlfn.TEXTJOIN("; ",TRUE,IF(AND(R681&lt;&gt;"",V681=""),"нет фазы",""),IF(AND(R681&lt;&gt;"",N(T681)=0),"нет мощности",""),IF(AND(P681&lt;&gt;"",COUNTIFS($A$3:$A$1000,A681,$P$3:$P$1000,P681)&gt;1),"дубль клеммы "&amp;P681,""),IF(AND(W681&lt;&gt;"",W681&lt;&gt;"ok"),W681,""),IF(X681&lt;&gt;"",X681,""),IF(AND(ISNUMBER(SEARCH("(5х",Q681)),N(AK681)=1),"5 жил на 1 фазе",""),IF(AND(AL681="R",E681&lt;&gt;"",N(AS681)=0),"розетка без 30 мА",""),IF(IFERROR(_xlfn.NUMBERVALUE(MID(Q681,FIND("-",Q681,FIND("L=",Q681))+1,FIND("%",Q681)-FIND("-",Q681,FIND("L=",Q681))-1),","),0)&gt;4,"потери &gt; 4 %","")))</f>
      </c>
      <c r="AF681" s="129">
        <f>IF(E681&lt;&gt;"",COUNTIFS($A$3:A681,A681,$E$3:E681,"?*"),IF(OR(A681&lt;&gt;A680,Y681="вручную"),"",AF680))</f>
        <v/>
      </c>
      <c r="AG681" s="129">
        <f t="shared" si="433"/>
        <v/>
      </c>
      <c r="AH681" s="129">
        <f t="shared" si="434"/>
        <v/>
      </c>
      <c r="AI681" s="129">
        <f t="shared" si="435"/>
        <v/>
      </c>
      <c r="AJ681" s="129">
        <f t="shared" si="436"/>
        <v/>
      </c>
      <c r="AK681" s="129">
        <f t="shared" si="437"/>
        <v/>
      </c>
      <c r="AL681" s="129">
        <f t="shared" si="438"/>
        <v/>
      </c>
      <c r="AM681" s="129">
        <f t="shared" si="439"/>
      </c>
      <c r="AN681" s="129">
        <f t="shared" si="440"/>
      </c>
      <c r="AO681" s="129">
        <f t="shared" si="441"/>
        <v/>
      </c>
      <c r="AP681" s="129">
        <f t="shared" si="442"/>
        <v/>
      </c>
      <c r="AQ681" s="129">
        <f t="shared" si="443"/>
        <v/>
      </c>
      <c r="AR681" s="129">
        <f t="shared" si="444"/>
        <v/>
      </c>
      <c r="AS681" s="129">
        <f t="shared" si="445"/>
        <v/>
      </c>
      <c r="AT681" s="129">
        <f t="shared" si="446"/>
        <v/>
      </c>
      <c r="AU681" s="129">
        <f t="shared" si="447"/>
        <v/>
      </c>
      <c r="AV681" s="129">
        <f t="shared" si="448"/>
        <v/>
      </c>
      <c r="AW681" s="129">
        <f>IF(AV681="","",AV681&amp;"."&amp;COUNTIFS($A$3:A681,A681,$AV$3:AV681,AV681))</f>
        <v/>
      </c>
      <c r="AX681" s="129">
        <f t="shared" si="449"/>
        <v/>
      </c>
      <c r="AY681" s="129">
        <f>IF(N681="б/к",0,IF(OR(ISNUMBER(SEARCH("L=",Разбивка_по_щитам!P681)),N681="+",N681="="),1,0))</f>
      </c>
      <c r="AZ681" s="129">
        <f t="shared" si="450"/>
        <v/>
      </c>
      <c r="BA681" s="129">
        <f t="shared" si="451"/>
      </c>
      <c r="BB681" s="129">
        <f t="shared" si="452"/>
      </c>
      <c r="BD681" s="129">
        <f t="shared" si="453"/>
      </c>
      <c r="BE681" s="129">
        <f t="shared" si="454"/>
      </c>
      <c r="BF681" s="129">
        <f t="shared" si="455"/>
      </c>
      <c r="BG681" s="129">
        <f t="shared" si="456"/>
        <v/>
      </c>
      <c r="BH681" s="129">
        <f t="shared" si="457"/>
        <v/>
      </c>
      <c r="BI681" s="129">
        <f t="shared" si="458"/>
        <v/>
      </c>
      <c r="BJ681" s="129">
        <f t="shared" si="459"/>
        <v/>
      </c>
      <c r="BK681" s="129">
        <f>IF(R681="","",IF(OR(BY681="",BY681=0),"BOX",IFERROR(IF(VLOOKUP(BY681,УГО_блоки,3,FALSE)&amp;""&lt;&gt;"",VLOOKUP(BY681,УГО_блоки,3,FALSE),VLOOKUP(BY681,УГО_блоки,2,FALSE)),BY681)))</f>
      </c>
      <c r="BL681" s="129">
        <f t="shared" si="461"/>
      </c>
      <c r="BM681" s="129">
        <f>IF(H681="","",IF(COUNTIF($H$3:H681,H681)=1,MAX($BM$2:BM680)+1,""))</f>
      </c>
      <c r="BN681" s="129">
        <f>IF(I681="","",IF(COUNTIF($I$3:I681,I681)+COUNTIF($J$2:J680,I681)+COUNTIF($K$2:K680,I681)=1,MAX($BN$2:BP680)+1,""))</f>
      </c>
      <c r="BO681" s="129">
        <f>IF(J681="","",IF(COUNTIF($I$3:I681,J681)+COUNTIF($J$3:J681,J681)+COUNTIF($K$2:K680,J681)=1,MAX($BN$2:BP680,BN681)+1,""))</f>
      </c>
      <c r="BP681" s="129">
        <f>IF(K681="","",IF(COUNTIF($I$3:I681,K681)+COUNTIF($J$3:J681,K681)+COUNTIF($K$3:K681,K681)=1,MAX($BN$2:BP680,BN681,BO681)+1,""))</f>
      </c>
      <c r="BQ681" s="129">
        <f>IF(AY681=1,IFERROR(MID(Q681,FIND(" (",Q681)+2,FIND(")",Q681,FIND(" (",Q681))-FIND(" (",Q681)-2),"?"),"")</f>
      </c>
      <c r="BR681" s="129">
        <f>IF(BQ681="","",IF(COUNTIF($BQ$3:BQ681,BQ681)=1,MAX($BR$2:BR680)+1,""))</f>
      </c>
      <c r="BS681" s="129">
        <f>IF(AW681="","",COUNTIF($AW$3:AW681,"?*"))</f>
      </c>
      <c r="BT681" s="129">
        <f>IF(OR(AW681="",AI681=""),"",IF(COUNTIFS($AW$3:AW681,"?*",$AI$3:AI681,AI681)=1,MAX($BT$2:BT680)+1,""))</f>
      </c>
      <c r="BU681" s="129">
        <f>IF(AE681="",0,IF(OR(ISNUMBER(SEARCH("дубль",AE681)),ISNUMBER(SEARCH("ПЕРЕГРУЗ",AE681)),ISNUMBER(SEARCH("ЗАЩИЩ",AE681)),ISNUMBER(SEARCH("КАНАЛ",AE681)),ISNUMBER(SEARCH("без 30",AE681))),2,1))</f>
      </c>
      <c r="BV681" s="129">
        <f>IF(R681="","",COUNTIF($R$3:R681,"?*"))</f>
      </c>
      <c r="BW681" s="129">
        <f>IF(AY681&lt;&gt;1,0,IF(MAX(IFERROR(--VLOOKUP(R681,УГО_спр,5,FALSE),0),IFERROR(--VLOOKUP(AL681,УГО_спр,5,FALSE),0),IFERROR(--VLOOKUP(LEFT(AL681,2),УГО_спр,5,FALSE),0))&gt;0,MAX(IFERROR(--VLOOKUP(R681,УГО_спр,5,FALSE),0),IFERROR(--VLOOKUP(AL681,УГО_спр,5,FALSE),0),IFERROR(--VLOOKUP(LEFT(AL681,2),УГО_спр,5,FALSE),0)),IF(IFERROR(--LEFT(SUBSTITUTE(BQ681,"x","х"),FIND("х",SUBSTITUTE(BQ681,"x","х"))-1),3)&gt;3,Каталог!$S$9,1)))</f>
      </c>
      <c r="BX681" s="129">
        <f>IF(AY681&lt;&gt;1,0,MAX(0,IFERROR(--LEFT(SUBSTITUTE(BQ681,"x","х"),FIND("х",SUBSTITUTE(BQ681,"x","х"))-1),3)-3*BW681))</f>
      </c>
      <c r="BY681" s="129">
        <f>IF(R681="","",IFERROR(VLOOKUP(R681,УГО_спр,2,FALSE),IFERROR(VLOOKUP(AL681,УГО_спр,2,FALSE),IFERROR(VLOOKUP(LEFT(AL681,2),УГО_спр,2,FALSE),""))))</f>
      </c>
    </row>
    <row r="682" spans="1:64" x14ac:dyDescent="0.3">
      <c r="A682" s="135">
        <f>IF(Разбивка_по_щитам!F682=0,"",Разбивка_по_щитам!F682)</f>
        <v/>
      </c>
      <c r="B682" s="138">
        <f>IF(A682="","",Разбивка_по_щитам!C682)</f>
        <v/>
      </c>
      <c r="C682" s="138">
        <f t="shared" si="422"/>
        <v/>
      </c>
      <c r="D682" s="266"/>
      <c r="E682" s="266"/>
      <c r="F682" s="267"/>
      <c r="G682" s="145">
        <f t="shared" si="423"/>
        <v/>
      </c>
      <c r="H682" s="145">
        <f t="shared" si="424"/>
        <v/>
      </c>
      <c r="I682" s="266"/>
      <c r="J682" s="267"/>
      <c r="K682" s="267"/>
      <c r="L682" s="266"/>
      <c r="M682" s="147">
        <f t="shared" si="425"/>
        <v/>
      </c>
      <c r="N682" s="267"/>
      <c r="O682" s="147">
        <f t="shared" si="426"/>
        <v/>
      </c>
      <c r="P682" s="268">
        <f>IF(AY682=1,"XT"&amp;COUNTIFS($A$3:A682,A682,$AY$3:AY682,1),"")</f>
        <v/>
      </c>
      <c r="Q682" s="152">
        <f>IF(R682="","",IFERROR(SUBSTITUTE(Разбивка_по_щитам!P682,CHAR(10)," "),""))</f>
        <v/>
      </c>
      <c r="R682" s="153">
        <f>IF(OR(Разбивка_по_щитам!H682="",Разбивка_по_щитам!H682=0),"",Разбивка_по_щитам!H682)</f>
        <v/>
      </c>
      <c r="S682" s="154">
        <f>IF(R682="","",IFERROR(Разбивка_по_щитам!J682&amp;"",""))</f>
        <v/>
      </c>
      <c r="T682" s="155">
        <f>IF(R682="","",IFERROR(--Разбивка_по_щитам!L682,""))</f>
        <v/>
      </c>
      <c r="U682" s="155">
        <f>IF(R682="","",IFERROR(--Разбивка_по_щитам!K682,""))</f>
        <v/>
      </c>
      <c r="V682" s="138">
        <f>IF(R682="","",IFERROR(IF(Разбивка_по_щитам!M682=0,"",Разбивка_по_щитам!M682),""))</f>
        <v/>
      </c>
      <c r="W682" s="156">
        <f t="shared" si="427"/>
        <v/>
      </c>
      <c r="X682" s="157">
        <f t="shared" si="428"/>
        <v/>
      </c>
      <c r="Y682" s="266"/>
      <c r="Z682" s="158">
        <f t="shared" si="429"/>
        <v/>
      </c>
      <c r="AA682" s="160">
        <f t="shared" si="430"/>
        <v/>
      </c>
      <c r="AB682" s="160">
        <f>IF(R682="","",IFERROR(LOOKUP(INDEX(Справочная!$I$4:$I$19,MATCH(VLOOKUP(R682,Исходные_данные,22,FALSE),Справочная!$J$4:$J$19,0)+1),{6,10,16,20,25,32,40,50,63,80,100,125}),""))</f>
        <v/>
      </c>
      <c r="AC682" s="160">
        <f t="shared" si="431"/>
        <v/>
      </c>
      <c r="AD682" s="161">
        <f t="shared" si="432"/>
        <v/>
      </c>
      <c r="AE682" s="161">
        <f>IF(AND(R682="",G682=""),"",_xlfn.TEXTJOIN("; ",TRUE,IF(AND(R682&lt;&gt;"",V682=""),"нет фазы",""),IF(AND(R682&lt;&gt;"",N(T682)=0),"нет мощности",""),IF(AND(P682&lt;&gt;"",COUNTIFS($A$3:$A$1000,A682,$P$3:$P$1000,P682)&gt;1),"дубль клеммы "&amp;P682,""),IF(AND(W682&lt;&gt;"",W682&lt;&gt;"ok"),W682,""),IF(X682&lt;&gt;"",X682,""),IF(AND(ISNUMBER(SEARCH("(5х",Q682)),N(AK682)=1),"5 жил на 1 фазе",""),IF(AND(AL682="R",E682&lt;&gt;"",N(AS682)=0),"розетка без 30 мА",""),IF(IFERROR(_xlfn.NUMBERVALUE(MID(Q682,FIND("-",Q682,FIND("L=",Q682))+1,FIND("%",Q682)-FIND("-",Q682,FIND("L=",Q682))-1),","),0)&gt;4,"потери &gt; 4 %","")))</f>
      </c>
      <c r="AF682" s="129">
        <f>IF(E682&lt;&gt;"",COUNTIFS($A$3:A682,A682,$E$3:E682,"?*"),IF(OR(A682&lt;&gt;A681,Y682="вручную"),"",AF681))</f>
        <v/>
      </c>
      <c r="AG682" s="129">
        <f t="shared" si="433"/>
        <v/>
      </c>
      <c r="AH682" s="129">
        <f t="shared" si="434"/>
        <v/>
      </c>
      <c r="AI682" s="129">
        <f t="shared" si="435"/>
        <v/>
      </c>
      <c r="AJ682" s="129">
        <f t="shared" si="436"/>
        <v/>
      </c>
      <c r="AK682" s="129">
        <f t="shared" si="437"/>
        <v/>
      </c>
      <c r="AL682" s="129">
        <f t="shared" si="438"/>
        <v/>
      </c>
      <c r="AM682" s="129">
        <f t="shared" si="439"/>
      </c>
      <c r="AN682" s="129">
        <f t="shared" si="440"/>
      </c>
      <c r="AO682" s="129">
        <f t="shared" si="441"/>
        <v/>
      </c>
      <c r="AP682" s="129">
        <f t="shared" si="442"/>
        <v/>
      </c>
      <c r="AQ682" s="129">
        <f t="shared" si="443"/>
        <v/>
      </c>
      <c r="AR682" s="129">
        <f t="shared" si="444"/>
        <v/>
      </c>
      <c r="AS682" s="129">
        <f t="shared" si="445"/>
        <v/>
      </c>
      <c r="AT682" s="129">
        <f t="shared" si="446"/>
        <v/>
      </c>
      <c r="AU682" s="129">
        <f t="shared" si="447"/>
        <v/>
      </c>
      <c r="AV682" s="129">
        <f t="shared" si="448"/>
        <v/>
      </c>
      <c r="AW682" s="129">
        <f>IF(AV682="","",AV682&amp;"."&amp;COUNTIFS($A$3:A682,A682,$AV$3:AV682,AV682))</f>
        <v/>
      </c>
      <c r="AX682" s="129">
        <f t="shared" si="449"/>
        <v/>
      </c>
      <c r="AY682" s="129">
        <f>IF(N682="б/к",0,IF(OR(ISNUMBER(SEARCH("L=",Разбивка_по_щитам!P682)),N682="+",N682="="),1,0))</f>
      </c>
      <c r="AZ682" s="129">
        <f t="shared" si="450"/>
        <v/>
      </c>
      <c r="BA682" s="129">
        <f t="shared" si="451"/>
      </c>
      <c r="BB682" s="129">
        <f t="shared" si="452"/>
      </c>
      <c r="BD682" s="129">
        <f t="shared" si="453"/>
      </c>
      <c r="BE682" s="129">
        <f t="shared" si="454"/>
      </c>
      <c r="BF682" s="129">
        <f t="shared" si="455"/>
      </c>
      <c r="BG682" s="129">
        <f t="shared" si="456"/>
        <v/>
      </c>
      <c r="BH682" s="129">
        <f t="shared" si="457"/>
        <v/>
      </c>
      <c r="BI682" s="129">
        <f t="shared" si="458"/>
        <v/>
      </c>
      <c r="BJ682" s="129">
        <f t="shared" si="459"/>
        <v/>
      </c>
      <c r="BK682" s="129">
        <f>IF(R682="","",IF(OR(BY682="",BY682=0),"BOX",IFERROR(IF(VLOOKUP(BY682,УГО_блоки,3,FALSE)&amp;""&lt;&gt;"",VLOOKUP(BY682,УГО_блоки,3,FALSE),VLOOKUP(BY682,УГО_блоки,2,FALSE)),BY682)))</f>
      </c>
      <c r="BL682" s="129">
        <f t="shared" si="461"/>
      </c>
      <c r="BM682" s="129">
        <f>IF(H682="","",IF(COUNTIF($H$3:H682,H682)=1,MAX($BM$2:BM681)+1,""))</f>
      </c>
      <c r="BN682" s="129">
        <f>IF(I682="","",IF(COUNTIF($I$3:I682,I682)+COUNTIF($J$2:J681,I682)+COUNTIF($K$2:K681,I682)=1,MAX($BN$2:BP681)+1,""))</f>
      </c>
      <c r="BO682" s="129">
        <f>IF(J682="","",IF(COUNTIF($I$3:I682,J682)+COUNTIF($J$3:J682,J682)+COUNTIF($K$2:K681,J682)=1,MAX($BN$2:BP681,BN682)+1,""))</f>
      </c>
      <c r="BP682" s="129">
        <f>IF(K682="","",IF(COUNTIF($I$3:I682,K682)+COUNTIF($J$3:J682,K682)+COUNTIF($K$3:K682,K682)=1,MAX($BN$2:BP681,BN682,BO682)+1,""))</f>
      </c>
      <c r="BQ682" s="129">
        <f>IF(AY682=1,IFERROR(MID(Q682,FIND(" (",Q682)+2,FIND(")",Q682,FIND(" (",Q682))-FIND(" (",Q682)-2),"?"),"")</f>
      </c>
      <c r="BR682" s="129">
        <f>IF(BQ682="","",IF(COUNTIF($BQ$3:BQ682,BQ682)=1,MAX($BR$2:BR681)+1,""))</f>
      </c>
      <c r="BS682" s="129">
        <f>IF(AW682="","",COUNTIF($AW$3:AW682,"?*"))</f>
      </c>
      <c r="BT682" s="129">
        <f>IF(OR(AW682="",AI682=""),"",IF(COUNTIFS($AW$3:AW682,"?*",$AI$3:AI682,AI682)=1,MAX($BT$2:BT681)+1,""))</f>
      </c>
      <c r="BU682" s="129">
        <f>IF(AE682="",0,IF(OR(ISNUMBER(SEARCH("дубль",AE682)),ISNUMBER(SEARCH("ПЕРЕГРУЗ",AE682)),ISNUMBER(SEARCH("ЗАЩИЩ",AE682)),ISNUMBER(SEARCH("КАНАЛ",AE682)),ISNUMBER(SEARCH("без 30",AE682))),2,1))</f>
      </c>
      <c r="BV682" s="129">
        <f>IF(R682="","",COUNTIF($R$3:R682,"?*"))</f>
      </c>
      <c r="BW682" s="129">
        <f>IF(AY682&lt;&gt;1,0,IF(MAX(IFERROR(--VLOOKUP(R682,УГО_спр,5,FALSE),0),IFERROR(--VLOOKUP(AL682,УГО_спр,5,FALSE),0),IFERROR(--VLOOKUP(LEFT(AL682,2),УГО_спр,5,FALSE),0))&gt;0,MAX(IFERROR(--VLOOKUP(R682,УГО_спр,5,FALSE),0),IFERROR(--VLOOKUP(AL682,УГО_спр,5,FALSE),0),IFERROR(--VLOOKUP(LEFT(AL682,2),УГО_спр,5,FALSE),0)),IF(IFERROR(--LEFT(SUBSTITUTE(BQ682,"x","х"),FIND("х",SUBSTITUTE(BQ682,"x","х"))-1),3)&gt;3,Каталог!$S$9,1)))</f>
      </c>
      <c r="BX682" s="129">
        <f>IF(AY682&lt;&gt;1,0,MAX(0,IFERROR(--LEFT(SUBSTITUTE(BQ682,"x","х"),FIND("х",SUBSTITUTE(BQ682,"x","х"))-1),3)-3*BW682))</f>
      </c>
      <c r="BY682" s="129">
        <f>IF(R682="","",IFERROR(VLOOKUP(R682,УГО_спр,2,FALSE),IFERROR(VLOOKUP(AL682,УГО_спр,2,FALSE),IFERROR(VLOOKUP(LEFT(AL682,2),УГО_спр,2,FALSE),""))))</f>
      </c>
    </row>
    <row r="683" spans="1:64" x14ac:dyDescent="0.3">
      <c r="A683" s="135">
        <f>IF(Разбивка_по_щитам!F683=0,"",Разбивка_по_щитам!F683)</f>
        <v/>
      </c>
      <c r="B683" s="138">
        <f>IF(A683="","",Разбивка_по_щитам!C683)</f>
        <v/>
      </c>
      <c r="C683" s="138">
        <f t="shared" si="422"/>
        <v/>
      </c>
      <c r="D683" s="266"/>
      <c r="E683" s="266"/>
      <c r="F683" s="267"/>
      <c r="G683" s="145">
        <f t="shared" si="423"/>
        <v/>
      </c>
      <c r="H683" s="145">
        <f t="shared" si="424"/>
        <v/>
      </c>
      <c r="I683" s="266"/>
      <c r="J683" s="267"/>
      <c r="K683" s="267"/>
      <c r="L683" s="266"/>
      <c r="M683" s="147">
        <f t="shared" si="425"/>
        <v/>
      </c>
      <c r="N683" s="267"/>
      <c r="O683" s="147">
        <f t="shared" si="426"/>
        <v/>
      </c>
      <c r="P683" s="268">
        <f>IF(AY683=1,"XT"&amp;COUNTIFS($A$3:A683,A683,$AY$3:AY683,1),"")</f>
        <v/>
      </c>
      <c r="Q683" s="152">
        <f>IF(R683="","",IFERROR(SUBSTITUTE(Разбивка_по_щитам!P683,CHAR(10)," "),""))</f>
        <v/>
      </c>
      <c r="R683" s="153">
        <f>IF(OR(Разбивка_по_щитам!H683="",Разбивка_по_щитам!H683=0),"",Разбивка_по_щитам!H683)</f>
        <v/>
      </c>
      <c r="S683" s="154">
        <f>IF(R683="","",IFERROR(Разбивка_по_щитам!J683&amp;"",""))</f>
        <v/>
      </c>
      <c r="T683" s="155">
        <f>IF(R683="","",IFERROR(--Разбивка_по_щитам!L683,""))</f>
        <v/>
      </c>
      <c r="U683" s="155">
        <f>IF(R683="","",IFERROR(--Разбивка_по_щитам!K683,""))</f>
        <v/>
      </c>
      <c r="V683" s="138">
        <f>IF(R683="","",IFERROR(IF(Разбивка_по_щитам!M683=0,"",Разбивка_по_щитам!M683),""))</f>
        <v/>
      </c>
      <c r="W683" s="156">
        <f t="shared" si="427"/>
        <v/>
      </c>
      <c r="X683" s="157">
        <f t="shared" si="428"/>
        <v/>
      </c>
      <c r="Y683" s="266"/>
      <c r="Z683" s="158">
        <f t="shared" si="429"/>
        <v/>
      </c>
      <c r="AA683" s="160">
        <f t="shared" si="430"/>
        <v/>
      </c>
      <c r="AB683" s="160">
        <f>IF(R683="","",IFERROR(LOOKUP(INDEX(Справочная!$I$4:$I$19,MATCH(VLOOKUP(R683,Исходные_данные,22,FALSE),Справочная!$J$4:$J$19,0)+1),{6,10,16,20,25,32,40,50,63,80,100,125}),""))</f>
        <v/>
      </c>
      <c r="AC683" s="160">
        <f t="shared" si="431"/>
        <v/>
      </c>
      <c r="AD683" s="161">
        <f t="shared" si="432"/>
        <v/>
      </c>
      <c r="AE683" s="161">
        <f>IF(AND(R683="",G683=""),"",_xlfn.TEXTJOIN("; ",TRUE,IF(AND(R683&lt;&gt;"",V683=""),"нет фазы",""),IF(AND(R683&lt;&gt;"",N(T683)=0),"нет мощности",""),IF(AND(P683&lt;&gt;"",COUNTIFS($A$3:$A$1000,A683,$P$3:$P$1000,P683)&gt;1),"дубль клеммы "&amp;P683,""),IF(AND(W683&lt;&gt;"",W683&lt;&gt;"ok"),W683,""),IF(X683&lt;&gt;"",X683,""),IF(AND(ISNUMBER(SEARCH("(5х",Q683)),N(AK683)=1),"5 жил на 1 фазе",""),IF(AND(AL683="R",E683&lt;&gt;"",N(AS683)=0),"розетка без 30 мА",""),IF(IFERROR(_xlfn.NUMBERVALUE(MID(Q683,FIND("-",Q683,FIND("L=",Q683))+1,FIND("%",Q683)-FIND("-",Q683,FIND("L=",Q683))-1),","),0)&gt;4,"потери &gt; 4 %","")))</f>
      </c>
      <c r="AF683" s="129">
        <f>IF(E683&lt;&gt;"",COUNTIFS($A$3:A683,A683,$E$3:E683,"?*"),IF(OR(A683&lt;&gt;A682,Y683="вручную"),"",AF682))</f>
        <v/>
      </c>
      <c r="AG683" s="129">
        <f t="shared" si="433"/>
        <v/>
      </c>
      <c r="AH683" s="129">
        <f t="shared" si="434"/>
        <v/>
      </c>
      <c r="AI683" s="129">
        <f t="shared" si="435"/>
        <v/>
      </c>
      <c r="AJ683" s="129">
        <f t="shared" si="436"/>
        <v/>
      </c>
      <c r="AK683" s="129">
        <f t="shared" si="437"/>
        <v/>
      </c>
      <c r="AL683" s="129">
        <f t="shared" si="438"/>
        <v/>
      </c>
      <c r="AM683" s="129">
        <f t="shared" si="439"/>
      </c>
      <c r="AN683" s="129">
        <f t="shared" si="440"/>
      </c>
      <c r="AO683" s="129">
        <f t="shared" si="441"/>
        <v/>
      </c>
      <c r="AP683" s="129">
        <f t="shared" si="442"/>
        <v/>
      </c>
      <c r="AQ683" s="129">
        <f t="shared" si="443"/>
        <v/>
      </c>
      <c r="AR683" s="129">
        <f t="shared" si="444"/>
        <v/>
      </c>
      <c r="AS683" s="129">
        <f t="shared" si="445"/>
        <v/>
      </c>
      <c r="AT683" s="129">
        <f t="shared" si="446"/>
        <v/>
      </c>
      <c r="AU683" s="129">
        <f t="shared" si="447"/>
        <v/>
      </c>
      <c r="AV683" s="129">
        <f t="shared" si="448"/>
        <v/>
      </c>
      <c r="AW683" s="129">
        <f>IF(AV683="","",AV683&amp;"."&amp;COUNTIFS($A$3:A683,A683,$AV$3:AV683,AV683))</f>
        <v/>
      </c>
      <c r="AX683" s="129">
        <f t="shared" si="449"/>
        <v/>
      </c>
      <c r="AY683" s="129">
        <f>IF(N683="б/к",0,IF(OR(ISNUMBER(SEARCH("L=",Разбивка_по_щитам!P683)),N683="+",N683="="),1,0))</f>
      </c>
      <c r="AZ683" s="129">
        <f t="shared" si="450"/>
        <v/>
      </c>
      <c r="BA683" s="129">
        <f t="shared" si="451"/>
      </c>
      <c r="BB683" s="129">
        <f t="shared" si="452"/>
      </c>
      <c r="BD683" s="129">
        <f t="shared" si="453"/>
      </c>
      <c r="BE683" s="129">
        <f t="shared" si="454"/>
      </c>
      <c r="BF683" s="129">
        <f t="shared" si="455"/>
      </c>
      <c r="BG683" s="129">
        <f t="shared" si="456"/>
        <v/>
      </c>
      <c r="BH683" s="129">
        <f t="shared" si="457"/>
        <v/>
      </c>
      <c r="BI683" s="129">
        <f t="shared" si="458"/>
        <v/>
      </c>
      <c r="BJ683" s="129">
        <f t="shared" si="459"/>
        <v/>
      </c>
      <c r="BK683" s="129">
        <f>IF(R683="","",IF(OR(BY683="",BY683=0),"BOX",IFERROR(IF(VLOOKUP(BY683,УГО_блоки,3,FALSE)&amp;""&lt;&gt;"",VLOOKUP(BY683,УГО_блоки,3,FALSE),VLOOKUP(BY683,УГО_блоки,2,FALSE)),BY683)))</f>
      </c>
      <c r="BL683" s="129">
        <f t="shared" si="461"/>
      </c>
      <c r="BM683" s="129">
        <f>IF(H683="","",IF(COUNTIF($H$3:H683,H683)=1,MAX($BM$2:BM682)+1,""))</f>
      </c>
      <c r="BN683" s="129">
        <f>IF(I683="","",IF(COUNTIF($I$3:I683,I683)+COUNTIF($J$2:J682,I683)+COUNTIF($K$2:K682,I683)=1,MAX($BN$2:BP682)+1,""))</f>
      </c>
      <c r="BO683" s="129">
        <f>IF(J683="","",IF(COUNTIF($I$3:I683,J683)+COUNTIF($J$3:J683,J683)+COUNTIF($K$2:K682,J683)=1,MAX($BN$2:BP682,BN683)+1,""))</f>
      </c>
      <c r="BP683" s="129">
        <f>IF(K683="","",IF(COUNTIF($I$3:I683,K683)+COUNTIF($J$3:J683,K683)+COUNTIF($K$3:K683,K683)=1,MAX($BN$2:BP682,BN683,BO683)+1,""))</f>
      </c>
      <c r="BQ683" s="129">
        <f>IF(AY683=1,IFERROR(MID(Q683,FIND(" (",Q683)+2,FIND(")",Q683,FIND(" (",Q683))-FIND(" (",Q683)-2),"?"),"")</f>
      </c>
      <c r="BR683" s="129">
        <f>IF(BQ683="","",IF(COUNTIF($BQ$3:BQ683,BQ683)=1,MAX($BR$2:BR682)+1,""))</f>
      </c>
      <c r="BS683" s="129">
        <f>IF(AW683="","",COUNTIF($AW$3:AW683,"?*"))</f>
      </c>
      <c r="BT683" s="129">
        <f>IF(OR(AW683="",AI683=""),"",IF(COUNTIFS($AW$3:AW683,"?*",$AI$3:AI683,AI683)=1,MAX($BT$2:BT682)+1,""))</f>
      </c>
      <c r="BU683" s="129">
        <f>IF(AE683="",0,IF(OR(ISNUMBER(SEARCH("дубль",AE683)),ISNUMBER(SEARCH("ПЕРЕГРУЗ",AE683)),ISNUMBER(SEARCH("ЗАЩИЩ",AE683)),ISNUMBER(SEARCH("КАНАЛ",AE683)),ISNUMBER(SEARCH("без 30",AE683))),2,1))</f>
      </c>
      <c r="BV683" s="129">
        <f>IF(R683="","",COUNTIF($R$3:R683,"?*"))</f>
      </c>
      <c r="BW683" s="129">
        <f>IF(AY683&lt;&gt;1,0,IF(MAX(IFERROR(--VLOOKUP(R683,УГО_спр,5,FALSE),0),IFERROR(--VLOOKUP(AL683,УГО_спр,5,FALSE),0),IFERROR(--VLOOKUP(LEFT(AL683,2),УГО_спр,5,FALSE),0))&gt;0,MAX(IFERROR(--VLOOKUP(R683,УГО_спр,5,FALSE),0),IFERROR(--VLOOKUP(AL683,УГО_спр,5,FALSE),0),IFERROR(--VLOOKUP(LEFT(AL683,2),УГО_спр,5,FALSE),0)),IF(IFERROR(--LEFT(SUBSTITUTE(BQ683,"x","х"),FIND("х",SUBSTITUTE(BQ683,"x","х"))-1),3)&gt;3,Каталог!$S$9,1)))</f>
      </c>
      <c r="BX683" s="129">
        <f>IF(AY683&lt;&gt;1,0,MAX(0,IFERROR(--LEFT(SUBSTITUTE(BQ683,"x","х"),FIND("х",SUBSTITUTE(BQ683,"x","х"))-1),3)-3*BW683))</f>
      </c>
      <c r="BY683" s="129">
        <f>IF(R683="","",IFERROR(VLOOKUP(R683,УГО_спр,2,FALSE),IFERROR(VLOOKUP(AL683,УГО_спр,2,FALSE),IFERROR(VLOOKUP(LEFT(AL683,2),УГО_спр,2,FALSE),""))))</f>
      </c>
    </row>
    <row r="684" spans="1:64" x14ac:dyDescent="0.3">
      <c r="A684" s="135">
        <f>IF(Разбивка_по_щитам!F684=0,"",Разбивка_по_щитам!F684)</f>
        <v/>
      </c>
      <c r="B684" s="138">
        <f>IF(A684="","",Разбивка_по_щитам!C684)</f>
        <v/>
      </c>
      <c r="C684" s="138">
        <f t="shared" si="422"/>
        <v/>
      </c>
      <c r="D684" s="266"/>
      <c r="E684" s="266"/>
      <c r="F684" s="267"/>
      <c r="G684" s="145">
        <f t="shared" si="423"/>
        <v/>
      </c>
      <c r="H684" s="145">
        <f t="shared" si="424"/>
        <v/>
      </c>
      <c r="I684" s="266"/>
      <c r="J684" s="267"/>
      <c r="K684" s="267"/>
      <c r="L684" s="266"/>
      <c r="M684" s="147">
        <f t="shared" si="425"/>
        <v/>
      </c>
      <c r="N684" s="267"/>
      <c r="O684" s="147">
        <f t="shared" si="426"/>
        <v/>
      </c>
      <c r="P684" s="268">
        <f>IF(AY684=1,"XT"&amp;COUNTIFS($A$3:A684,A684,$AY$3:AY684,1),"")</f>
        <v/>
      </c>
      <c r="Q684" s="152">
        <f>IF(R684="","",IFERROR(SUBSTITUTE(Разбивка_по_щитам!P684,CHAR(10)," "),""))</f>
        <v/>
      </c>
      <c r="R684" s="153">
        <f>IF(OR(Разбивка_по_щитам!H684="",Разбивка_по_щитам!H684=0),"",Разбивка_по_щитам!H684)</f>
        <v/>
      </c>
      <c r="S684" s="154">
        <f>IF(R684="","",IFERROR(Разбивка_по_щитам!J684&amp;"",""))</f>
        <v/>
      </c>
      <c r="T684" s="155">
        <f>IF(R684="","",IFERROR(--Разбивка_по_щитам!L684,""))</f>
        <v/>
      </c>
      <c r="U684" s="155">
        <f>IF(R684="","",IFERROR(--Разбивка_по_щитам!K684,""))</f>
        <v/>
      </c>
      <c r="V684" s="138">
        <f>IF(R684="","",IFERROR(IF(Разбивка_по_щитам!M684=0,"",Разбивка_по_щитам!M684),""))</f>
        <v/>
      </c>
      <c r="W684" s="156">
        <f t="shared" si="427"/>
        <v/>
      </c>
      <c r="X684" s="157">
        <f t="shared" si="428"/>
        <v/>
      </c>
      <c r="Y684" s="266"/>
      <c r="Z684" s="158">
        <f t="shared" si="429"/>
        <v/>
      </c>
      <c r="AA684" s="160">
        <f t="shared" si="430"/>
        <v/>
      </c>
      <c r="AB684" s="160">
        <f>IF(R684="","",IFERROR(LOOKUP(INDEX(Справочная!$I$4:$I$19,MATCH(VLOOKUP(R684,Исходные_данные,22,FALSE),Справочная!$J$4:$J$19,0)+1),{6,10,16,20,25,32,40,50,63,80,100,125}),""))</f>
        <v/>
      </c>
      <c r="AC684" s="160">
        <f t="shared" si="431"/>
        <v/>
      </c>
      <c r="AD684" s="161">
        <f t="shared" si="432"/>
        <v/>
      </c>
      <c r="AE684" s="161">
        <f>IF(AND(R684="",G684=""),"",_xlfn.TEXTJOIN("; ",TRUE,IF(AND(R684&lt;&gt;"",V684=""),"нет фазы",""),IF(AND(R684&lt;&gt;"",N(T684)=0),"нет мощности",""),IF(AND(P684&lt;&gt;"",COUNTIFS($A$3:$A$1000,A684,$P$3:$P$1000,P684)&gt;1),"дубль клеммы "&amp;P684,""),IF(AND(W684&lt;&gt;"",W684&lt;&gt;"ok"),W684,""),IF(X684&lt;&gt;"",X684,""),IF(AND(ISNUMBER(SEARCH("(5х",Q684)),N(AK684)=1),"5 жил на 1 фазе",""),IF(AND(AL684="R",E684&lt;&gt;"",N(AS684)=0),"розетка без 30 мА",""),IF(IFERROR(_xlfn.NUMBERVALUE(MID(Q684,FIND("-",Q684,FIND("L=",Q684))+1,FIND("%",Q684)-FIND("-",Q684,FIND("L=",Q684))-1),","),0)&gt;4,"потери &gt; 4 %","")))</f>
      </c>
      <c r="AF684" s="129">
        <f>IF(E684&lt;&gt;"",COUNTIFS($A$3:A684,A684,$E$3:E684,"?*"),IF(OR(A684&lt;&gt;A683,Y684="вручную"),"",AF683))</f>
        <v/>
      </c>
      <c r="AG684" s="129">
        <f t="shared" si="433"/>
        <v/>
      </c>
      <c r="AH684" s="129">
        <f t="shared" si="434"/>
        <v/>
      </c>
      <c r="AI684" s="129">
        <f t="shared" si="435"/>
        <v/>
      </c>
      <c r="AJ684" s="129">
        <f t="shared" si="436"/>
        <v/>
      </c>
      <c r="AK684" s="129">
        <f t="shared" si="437"/>
        <v/>
      </c>
      <c r="AL684" s="129">
        <f t="shared" si="438"/>
        <v/>
      </c>
      <c r="AM684" s="129">
        <f t="shared" si="439"/>
      </c>
      <c r="AN684" s="129">
        <f t="shared" si="440"/>
      </c>
      <c r="AO684" s="129">
        <f t="shared" si="441"/>
        <v/>
      </c>
      <c r="AP684" s="129">
        <f t="shared" si="442"/>
        <v/>
      </c>
      <c r="AQ684" s="129">
        <f t="shared" si="443"/>
        <v/>
      </c>
      <c r="AR684" s="129">
        <f t="shared" si="444"/>
        <v/>
      </c>
      <c r="AS684" s="129">
        <f t="shared" si="445"/>
        <v/>
      </c>
      <c r="AT684" s="129">
        <f t="shared" si="446"/>
        <v/>
      </c>
      <c r="AU684" s="129">
        <f t="shared" si="447"/>
        <v/>
      </c>
      <c r="AV684" s="129">
        <f t="shared" si="448"/>
        <v/>
      </c>
      <c r="AW684" s="129">
        <f>IF(AV684="","",AV684&amp;"."&amp;COUNTIFS($A$3:A684,A684,$AV$3:AV684,AV684))</f>
        <v/>
      </c>
      <c r="AX684" s="129">
        <f t="shared" si="449"/>
        <v/>
      </c>
      <c r="AY684" s="129">
        <f>IF(N684="б/к",0,IF(OR(ISNUMBER(SEARCH("L=",Разбивка_по_щитам!P684)),N684="+",N684="="),1,0))</f>
      </c>
      <c r="AZ684" s="129">
        <f t="shared" si="450"/>
        <v/>
      </c>
      <c r="BA684" s="129">
        <f t="shared" si="451"/>
      </c>
      <c r="BB684" s="129">
        <f t="shared" si="452"/>
      </c>
      <c r="BD684" s="129">
        <f t="shared" si="453"/>
      </c>
      <c r="BE684" s="129">
        <f t="shared" si="454"/>
      </c>
      <c r="BF684" s="129">
        <f t="shared" si="455"/>
      </c>
      <c r="BG684" s="129">
        <f t="shared" si="456"/>
        <v/>
      </c>
      <c r="BH684" s="129">
        <f t="shared" si="457"/>
        <v/>
      </c>
      <c r="BI684" s="129">
        <f t="shared" si="458"/>
        <v/>
      </c>
      <c r="BJ684" s="129">
        <f t="shared" si="459"/>
        <v/>
      </c>
      <c r="BK684" s="129">
        <f>IF(R684="","",IF(OR(BY684="",BY684=0),"BOX",IFERROR(IF(VLOOKUP(BY684,УГО_блоки,3,FALSE)&amp;""&lt;&gt;"",VLOOKUP(BY684,УГО_блоки,3,FALSE),VLOOKUP(BY684,УГО_блоки,2,FALSE)),BY684)))</f>
      </c>
      <c r="BL684" s="129">
        <f t="shared" si="461"/>
      </c>
      <c r="BM684" s="129">
        <f>IF(H684="","",IF(COUNTIF($H$3:H684,H684)=1,MAX($BM$2:BM683)+1,""))</f>
      </c>
      <c r="BN684" s="129">
        <f>IF(I684="","",IF(COUNTIF($I$3:I684,I684)+COUNTIF($J$2:J683,I684)+COUNTIF($K$2:K683,I684)=1,MAX($BN$2:BP683)+1,""))</f>
      </c>
      <c r="BO684" s="129">
        <f>IF(J684="","",IF(COUNTIF($I$3:I684,J684)+COUNTIF($J$3:J684,J684)+COUNTIF($K$2:K683,J684)=1,MAX($BN$2:BP683,BN684)+1,""))</f>
      </c>
      <c r="BP684" s="129">
        <f>IF(K684="","",IF(COUNTIF($I$3:I684,K684)+COUNTIF($J$3:J684,K684)+COUNTIF($K$3:K684,K684)=1,MAX($BN$2:BP683,BN684,BO684)+1,""))</f>
      </c>
      <c r="BQ684" s="129">
        <f>IF(AY684=1,IFERROR(MID(Q684,FIND(" (",Q684)+2,FIND(")",Q684,FIND(" (",Q684))-FIND(" (",Q684)-2),"?"),"")</f>
      </c>
      <c r="BR684" s="129">
        <f>IF(BQ684="","",IF(COUNTIF($BQ$3:BQ684,BQ684)=1,MAX($BR$2:BR683)+1,""))</f>
      </c>
      <c r="BS684" s="129">
        <f>IF(AW684="","",COUNTIF($AW$3:AW684,"?*"))</f>
      </c>
      <c r="BT684" s="129">
        <f>IF(OR(AW684="",AI684=""),"",IF(COUNTIFS($AW$3:AW684,"?*",$AI$3:AI684,AI684)=1,MAX($BT$2:BT683)+1,""))</f>
      </c>
      <c r="BU684" s="129">
        <f>IF(AE684="",0,IF(OR(ISNUMBER(SEARCH("дубль",AE684)),ISNUMBER(SEARCH("ПЕРЕГРУЗ",AE684)),ISNUMBER(SEARCH("ЗАЩИЩ",AE684)),ISNUMBER(SEARCH("КАНАЛ",AE684)),ISNUMBER(SEARCH("без 30",AE684))),2,1))</f>
      </c>
      <c r="BV684" s="129">
        <f>IF(R684="","",COUNTIF($R$3:R684,"?*"))</f>
      </c>
      <c r="BW684" s="129">
        <f>IF(AY684&lt;&gt;1,0,IF(MAX(IFERROR(--VLOOKUP(R684,УГО_спр,5,FALSE),0),IFERROR(--VLOOKUP(AL684,УГО_спр,5,FALSE),0),IFERROR(--VLOOKUP(LEFT(AL684,2),УГО_спр,5,FALSE),0))&gt;0,MAX(IFERROR(--VLOOKUP(R684,УГО_спр,5,FALSE),0),IFERROR(--VLOOKUP(AL684,УГО_спр,5,FALSE),0),IFERROR(--VLOOKUP(LEFT(AL684,2),УГО_спр,5,FALSE),0)),IF(IFERROR(--LEFT(SUBSTITUTE(BQ684,"x","х"),FIND("х",SUBSTITUTE(BQ684,"x","х"))-1),3)&gt;3,Каталог!$S$9,1)))</f>
      </c>
      <c r="BX684" s="129">
        <f>IF(AY684&lt;&gt;1,0,MAX(0,IFERROR(--LEFT(SUBSTITUTE(BQ684,"x","х"),FIND("х",SUBSTITUTE(BQ684,"x","х"))-1),3)-3*BW684))</f>
      </c>
      <c r="BY684" s="129">
        <f>IF(R684="","",IFERROR(VLOOKUP(R684,УГО_спр,2,FALSE),IFERROR(VLOOKUP(AL684,УГО_спр,2,FALSE),IFERROR(VLOOKUP(LEFT(AL684,2),УГО_спр,2,FALSE),""))))</f>
      </c>
    </row>
    <row r="685" spans="1:64" x14ac:dyDescent="0.3">
      <c r="A685" s="135">
        <f>IF(Разбивка_по_щитам!F685=0,"",Разбивка_по_щитам!F685)</f>
        <v/>
      </c>
      <c r="B685" s="138">
        <f>IF(A685="","",Разбивка_по_щитам!C685)</f>
        <v/>
      </c>
      <c r="C685" s="138">
        <f t="shared" si="422"/>
        <v/>
      </c>
      <c r="D685" s="266"/>
      <c r="E685" s="266"/>
      <c r="F685" s="267"/>
      <c r="G685" s="145">
        <f t="shared" si="423"/>
        <v/>
      </c>
      <c r="H685" s="145">
        <f t="shared" si="424"/>
        <v/>
      </c>
      <c r="I685" s="266"/>
      <c r="J685" s="267"/>
      <c r="K685" s="267"/>
      <c r="L685" s="266"/>
      <c r="M685" s="147">
        <f t="shared" si="425"/>
        <v/>
      </c>
      <c r="N685" s="267"/>
      <c r="O685" s="147">
        <f t="shared" si="426"/>
        <v/>
      </c>
      <c r="P685" s="268">
        <f>IF(AY685=1,"XT"&amp;COUNTIFS($A$3:A685,A685,$AY$3:AY685,1),"")</f>
        <v/>
      </c>
      <c r="Q685" s="152">
        <f>IF(R685="","",IFERROR(SUBSTITUTE(Разбивка_по_щитам!P685,CHAR(10)," "),""))</f>
        <v/>
      </c>
      <c r="R685" s="153">
        <f>IF(OR(Разбивка_по_щитам!H685="",Разбивка_по_щитам!H685=0),"",Разбивка_по_щитам!H685)</f>
        <v/>
      </c>
      <c r="S685" s="154">
        <f>IF(R685="","",IFERROR(Разбивка_по_щитам!J685&amp;"",""))</f>
        <v/>
      </c>
      <c r="T685" s="155">
        <f>IF(R685="","",IFERROR(--Разбивка_по_щитам!L685,""))</f>
        <v/>
      </c>
      <c r="U685" s="155">
        <f>IF(R685="","",IFERROR(--Разбивка_по_щитам!K685,""))</f>
        <v/>
      </c>
      <c r="V685" s="138">
        <f>IF(R685="","",IFERROR(IF(Разбивка_по_щитам!M685=0,"",Разбивка_по_щитам!M685),""))</f>
        <v/>
      </c>
      <c r="W685" s="156">
        <f t="shared" si="427"/>
        <v/>
      </c>
      <c r="X685" s="157">
        <f t="shared" si="428"/>
        <v/>
      </c>
      <c r="Y685" s="266"/>
      <c r="Z685" s="158">
        <f t="shared" si="429"/>
        <v/>
      </c>
      <c r="AA685" s="160">
        <f t="shared" si="430"/>
        <v/>
      </c>
      <c r="AB685" s="160">
        <f>IF(R685="","",IFERROR(LOOKUP(INDEX(Справочная!$I$4:$I$19,MATCH(VLOOKUP(R685,Исходные_данные,22,FALSE),Справочная!$J$4:$J$19,0)+1),{6,10,16,20,25,32,40,50,63,80,100,125}),""))</f>
        <v/>
      </c>
      <c r="AC685" s="160">
        <f t="shared" si="431"/>
        <v/>
      </c>
      <c r="AD685" s="161">
        <f t="shared" si="432"/>
        <v/>
      </c>
      <c r="AE685" s="161">
        <f>IF(AND(R685="",G685=""),"",_xlfn.TEXTJOIN("; ",TRUE,IF(AND(R685&lt;&gt;"",V685=""),"нет фазы",""),IF(AND(R685&lt;&gt;"",N(T685)=0),"нет мощности",""),IF(AND(P685&lt;&gt;"",COUNTIFS($A$3:$A$1000,A685,$P$3:$P$1000,P685)&gt;1),"дубль клеммы "&amp;P685,""),IF(AND(W685&lt;&gt;"",W685&lt;&gt;"ok"),W685,""),IF(X685&lt;&gt;"",X685,""),IF(AND(ISNUMBER(SEARCH("(5х",Q685)),N(AK685)=1),"5 жил на 1 фазе",""),IF(AND(AL685="R",E685&lt;&gt;"",N(AS685)=0),"розетка без 30 мА",""),IF(IFERROR(_xlfn.NUMBERVALUE(MID(Q685,FIND("-",Q685,FIND("L=",Q685))+1,FIND("%",Q685)-FIND("-",Q685,FIND("L=",Q685))-1),","),0)&gt;4,"потери &gt; 4 %","")))</f>
      </c>
      <c r="AF685" s="129">
        <f>IF(E685&lt;&gt;"",COUNTIFS($A$3:A685,A685,$E$3:E685,"?*"),IF(OR(A685&lt;&gt;A684,Y685="вручную"),"",AF684))</f>
        <v/>
      </c>
      <c r="AG685" s="129">
        <f t="shared" si="433"/>
        <v/>
      </c>
      <c r="AH685" s="129">
        <f t="shared" si="434"/>
        <v/>
      </c>
      <c r="AI685" s="129">
        <f t="shared" si="435"/>
        <v/>
      </c>
      <c r="AJ685" s="129">
        <f t="shared" si="436"/>
        <v/>
      </c>
      <c r="AK685" s="129">
        <f t="shared" si="437"/>
        <v/>
      </c>
      <c r="AL685" s="129">
        <f t="shared" si="438"/>
        <v/>
      </c>
      <c r="AM685" s="129">
        <f t="shared" si="439"/>
      </c>
      <c r="AN685" s="129">
        <f t="shared" si="440"/>
      </c>
      <c r="AO685" s="129">
        <f t="shared" si="441"/>
        <v/>
      </c>
      <c r="AP685" s="129">
        <f t="shared" si="442"/>
        <v/>
      </c>
      <c r="AQ685" s="129">
        <f t="shared" si="443"/>
        <v/>
      </c>
      <c r="AR685" s="129">
        <f t="shared" si="444"/>
        <v/>
      </c>
      <c r="AS685" s="129">
        <f t="shared" si="445"/>
        <v/>
      </c>
      <c r="AT685" s="129">
        <f t="shared" si="446"/>
        <v/>
      </c>
      <c r="AU685" s="129">
        <f t="shared" si="447"/>
        <v/>
      </c>
      <c r="AV685" s="129">
        <f t="shared" si="448"/>
        <v/>
      </c>
      <c r="AW685" s="129">
        <f>IF(AV685="","",AV685&amp;"."&amp;COUNTIFS($A$3:A685,A685,$AV$3:AV685,AV685))</f>
        <v/>
      </c>
      <c r="AX685" s="129">
        <f t="shared" si="449"/>
        <v/>
      </c>
      <c r="AY685" s="129">
        <f>IF(N685="б/к",0,IF(OR(ISNUMBER(SEARCH("L=",Разбивка_по_щитам!P685)),N685="+",N685="="),1,0))</f>
      </c>
      <c r="AZ685" s="129">
        <f t="shared" si="450"/>
        <v/>
      </c>
      <c r="BA685" s="129">
        <f t="shared" si="451"/>
      </c>
      <c r="BB685" s="129">
        <f t="shared" si="452"/>
      </c>
      <c r="BD685" s="129">
        <f t="shared" si="453"/>
      </c>
      <c r="BE685" s="129">
        <f t="shared" si="454"/>
      </c>
      <c r="BF685" s="129">
        <f t="shared" si="455"/>
      </c>
      <c r="BG685" s="129">
        <f t="shared" si="456"/>
        <v/>
      </c>
      <c r="BH685" s="129">
        <f t="shared" si="457"/>
        <v/>
      </c>
      <c r="BI685" s="129">
        <f t="shared" si="458"/>
        <v/>
      </c>
      <c r="BJ685" s="129">
        <f t="shared" si="459"/>
        <v/>
      </c>
      <c r="BK685" s="129">
        <f>IF(R685="","",IF(OR(BY685="",BY685=0),"BOX",IFERROR(IF(VLOOKUP(BY685,УГО_блоки,3,FALSE)&amp;""&lt;&gt;"",VLOOKUP(BY685,УГО_блоки,3,FALSE),VLOOKUP(BY685,УГО_блоки,2,FALSE)),BY685)))</f>
      </c>
      <c r="BL685" s="129">
        <f t="shared" si="461"/>
      </c>
      <c r="BM685" s="129">
        <f>IF(H685="","",IF(COUNTIF($H$3:H685,H685)=1,MAX($BM$2:BM684)+1,""))</f>
      </c>
      <c r="BN685" s="129">
        <f>IF(I685="","",IF(COUNTIF($I$3:I685,I685)+COUNTIF($J$2:J684,I685)+COUNTIF($K$2:K684,I685)=1,MAX($BN$2:BP684)+1,""))</f>
      </c>
      <c r="BO685" s="129">
        <f>IF(J685="","",IF(COUNTIF($I$3:I685,J685)+COUNTIF($J$3:J685,J685)+COUNTIF($K$2:K684,J685)=1,MAX($BN$2:BP684,BN685)+1,""))</f>
      </c>
      <c r="BP685" s="129">
        <f>IF(K685="","",IF(COUNTIF($I$3:I685,K685)+COUNTIF($J$3:J685,K685)+COUNTIF($K$3:K685,K685)=1,MAX($BN$2:BP684,BN685,BO685)+1,""))</f>
      </c>
      <c r="BQ685" s="129">
        <f>IF(AY685=1,IFERROR(MID(Q685,FIND(" (",Q685)+2,FIND(")",Q685,FIND(" (",Q685))-FIND(" (",Q685)-2),"?"),"")</f>
      </c>
      <c r="BR685" s="129">
        <f>IF(BQ685="","",IF(COUNTIF($BQ$3:BQ685,BQ685)=1,MAX($BR$2:BR684)+1,""))</f>
      </c>
      <c r="BS685" s="129">
        <f>IF(AW685="","",COUNTIF($AW$3:AW685,"?*"))</f>
      </c>
      <c r="BT685" s="129">
        <f>IF(OR(AW685="",AI685=""),"",IF(COUNTIFS($AW$3:AW685,"?*",$AI$3:AI685,AI685)=1,MAX($BT$2:BT684)+1,""))</f>
      </c>
      <c r="BU685" s="129">
        <f>IF(AE685="",0,IF(OR(ISNUMBER(SEARCH("дубль",AE685)),ISNUMBER(SEARCH("ПЕРЕГРУЗ",AE685)),ISNUMBER(SEARCH("ЗАЩИЩ",AE685)),ISNUMBER(SEARCH("КАНАЛ",AE685)),ISNUMBER(SEARCH("без 30",AE685))),2,1))</f>
      </c>
      <c r="BV685" s="129">
        <f>IF(R685="","",COUNTIF($R$3:R685,"?*"))</f>
      </c>
      <c r="BW685" s="129">
        <f>IF(AY685&lt;&gt;1,0,IF(MAX(IFERROR(--VLOOKUP(R685,УГО_спр,5,FALSE),0),IFERROR(--VLOOKUP(AL685,УГО_спр,5,FALSE),0),IFERROR(--VLOOKUP(LEFT(AL685,2),УГО_спр,5,FALSE),0))&gt;0,MAX(IFERROR(--VLOOKUP(R685,УГО_спр,5,FALSE),0),IFERROR(--VLOOKUP(AL685,УГО_спр,5,FALSE),0),IFERROR(--VLOOKUP(LEFT(AL685,2),УГО_спр,5,FALSE),0)),IF(IFERROR(--LEFT(SUBSTITUTE(BQ685,"x","х"),FIND("х",SUBSTITUTE(BQ685,"x","х"))-1),3)&gt;3,Каталог!$S$9,1)))</f>
      </c>
      <c r="BX685" s="129">
        <f>IF(AY685&lt;&gt;1,0,MAX(0,IFERROR(--LEFT(SUBSTITUTE(BQ685,"x","х"),FIND("х",SUBSTITUTE(BQ685,"x","х"))-1),3)-3*BW685))</f>
      </c>
      <c r="BY685" s="129">
        <f>IF(R685="","",IFERROR(VLOOKUP(R685,УГО_спр,2,FALSE),IFERROR(VLOOKUP(AL685,УГО_спр,2,FALSE),IFERROR(VLOOKUP(LEFT(AL685,2),УГО_спр,2,FALSE),""))))</f>
      </c>
    </row>
    <row r="686" spans="1:64" x14ac:dyDescent="0.3">
      <c r="A686" s="135">
        <f>IF(Разбивка_по_щитам!F686=0,"",Разбивка_по_щитам!F686)</f>
        <v/>
      </c>
      <c r="B686" s="138">
        <f>IF(A686="","",Разбивка_по_щитам!C686)</f>
        <v/>
      </c>
      <c r="C686" s="138">
        <f t="shared" si="422"/>
        <v/>
      </c>
      <c r="D686" s="266"/>
      <c r="E686" s="266"/>
      <c r="F686" s="267"/>
      <c r="G686" s="145">
        <f t="shared" si="423"/>
        <v/>
      </c>
      <c r="H686" s="145">
        <f t="shared" si="424"/>
        <v/>
      </c>
      <c r="I686" s="266"/>
      <c r="J686" s="267"/>
      <c r="K686" s="267"/>
      <c r="L686" s="266"/>
      <c r="M686" s="147">
        <f t="shared" si="425"/>
        <v/>
      </c>
      <c r="N686" s="267"/>
      <c r="O686" s="147">
        <f t="shared" si="426"/>
        <v/>
      </c>
      <c r="P686" s="268">
        <f>IF(AY686=1,"XT"&amp;COUNTIFS($A$3:A686,A686,$AY$3:AY686,1),"")</f>
        <v/>
      </c>
      <c r="Q686" s="152">
        <f>IF(R686="","",IFERROR(SUBSTITUTE(Разбивка_по_щитам!P686,CHAR(10)," "),""))</f>
        <v/>
      </c>
      <c r="R686" s="153">
        <f>IF(OR(Разбивка_по_щитам!H686="",Разбивка_по_щитам!H686=0),"",Разбивка_по_щитам!H686)</f>
        <v/>
      </c>
      <c r="S686" s="154">
        <f>IF(R686="","",IFERROR(Разбивка_по_щитам!J686&amp;"",""))</f>
        <v/>
      </c>
      <c r="T686" s="155">
        <f>IF(R686="","",IFERROR(--Разбивка_по_щитам!L686,""))</f>
        <v/>
      </c>
      <c r="U686" s="155">
        <f>IF(R686="","",IFERROR(--Разбивка_по_щитам!K686,""))</f>
        <v/>
      </c>
      <c r="V686" s="138">
        <f>IF(R686="","",IFERROR(IF(Разбивка_по_щитам!M686=0,"",Разбивка_по_щитам!M686),""))</f>
        <v/>
      </c>
      <c r="W686" s="156">
        <f t="shared" si="427"/>
        <v/>
      </c>
      <c r="X686" s="157">
        <f t="shared" si="428"/>
        <v/>
      </c>
      <c r="Y686" s="266"/>
      <c r="Z686" s="158">
        <f t="shared" si="429"/>
        <v/>
      </c>
      <c r="AA686" s="160">
        <f t="shared" si="430"/>
        <v/>
      </c>
      <c r="AB686" s="160">
        <f>IF(R686="","",IFERROR(LOOKUP(INDEX(Справочная!$I$4:$I$19,MATCH(VLOOKUP(R686,Исходные_данные,22,FALSE),Справочная!$J$4:$J$19,0)+1),{6,10,16,20,25,32,40,50,63,80,100,125}),""))</f>
        <v/>
      </c>
      <c r="AC686" s="160">
        <f t="shared" si="431"/>
        <v/>
      </c>
      <c r="AD686" s="161">
        <f t="shared" si="432"/>
        <v/>
      </c>
      <c r="AE686" s="161">
        <f>IF(AND(R686="",G686=""),"",_xlfn.TEXTJOIN("; ",TRUE,IF(AND(R686&lt;&gt;"",V686=""),"нет фазы",""),IF(AND(R686&lt;&gt;"",N(T686)=0),"нет мощности",""),IF(AND(P686&lt;&gt;"",COUNTIFS($A$3:$A$1000,A686,$P$3:$P$1000,P686)&gt;1),"дубль клеммы "&amp;P686,""),IF(AND(W686&lt;&gt;"",W686&lt;&gt;"ok"),W686,""),IF(X686&lt;&gt;"",X686,""),IF(AND(ISNUMBER(SEARCH("(5х",Q686)),N(AK686)=1),"5 жил на 1 фазе",""),IF(AND(AL686="R",E686&lt;&gt;"",N(AS686)=0),"розетка без 30 мА",""),IF(IFERROR(_xlfn.NUMBERVALUE(MID(Q686,FIND("-",Q686,FIND("L=",Q686))+1,FIND("%",Q686)-FIND("-",Q686,FIND("L=",Q686))-1),","),0)&gt;4,"потери &gt; 4 %","")))</f>
      </c>
      <c r="AF686" s="129">
        <f>IF(E686&lt;&gt;"",COUNTIFS($A$3:A686,A686,$E$3:E686,"?*"),IF(OR(A686&lt;&gt;A685,Y686="вручную"),"",AF685))</f>
        <v/>
      </c>
      <c r="AG686" s="129">
        <f t="shared" si="433"/>
        <v/>
      </c>
      <c r="AH686" s="129">
        <f t="shared" si="434"/>
        <v/>
      </c>
      <c r="AI686" s="129">
        <f t="shared" si="435"/>
        <v/>
      </c>
      <c r="AJ686" s="129">
        <f t="shared" si="436"/>
        <v/>
      </c>
      <c r="AK686" s="129">
        <f t="shared" si="437"/>
        <v/>
      </c>
      <c r="AL686" s="129">
        <f t="shared" si="438"/>
        <v/>
      </c>
      <c r="AM686" s="129">
        <f t="shared" si="439"/>
      </c>
      <c r="AN686" s="129">
        <f t="shared" si="440"/>
      </c>
      <c r="AO686" s="129">
        <f t="shared" si="441"/>
        <v/>
      </c>
      <c r="AP686" s="129">
        <f t="shared" si="442"/>
        <v/>
      </c>
      <c r="AQ686" s="129">
        <f t="shared" si="443"/>
        <v/>
      </c>
      <c r="AR686" s="129">
        <f t="shared" si="444"/>
        <v/>
      </c>
      <c r="AS686" s="129">
        <f t="shared" si="445"/>
        <v/>
      </c>
      <c r="AT686" s="129">
        <f t="shared" si="446"/>
        <v/>
      </c>
      <c r="AU686" s="129">
        <f t="shared" si="447"/>
        <v/>
      </c>
      <c r="AV686" s="129">
        <f t="shared" si="448"/>
        <v/>
      </c>
      <c r="AW686" s="129">
        <f>IF(AV686="","",AV686&amp;"."&amp;COUNTIFS($A$3:A686,A686,$AV$3:AV686,AV686))</f>
        <v/>
      </c>
      <c r="AX686" s="129">
        <f t="shared" si="449"/>
        <v/>
      </c>
      <c r="AY686" s="129">
        <f>IF(N686="б/к",0,IF(OR(ISNUMBER(SEARCH("L=",Разбивка_по_щитам!P686)),N686="+",N686="="),1,0))</f>
      </c>
      <c r="AZ686" s="129">
        <f t="shared" si="450"/>
        <v/>
      </c>
      <c r="BA686" s="129">
        <f t="shared" si="451"/>
      </c>
      <c r="BB686" s="129">
        <f t="shared" si="452"/>
      </c>
      <c r="BD686" s="129">
        <f t="shared" si="453"/>
      </c>
      <c r="BE686" s="129">
        <f t="shared" si="454"/>
      </c>
      <c r="BF686" s="129">
        <f t="shared" si="455"/>
      </c>
      <c r="BG686" s="129">
        <f t="shared" si="456"/>
        <v/>
      </c>
      <c r="BH686" s="129">
        <f t="shared" si="457"/>
        <v/>
      </c>
      <c r="BI686" s="129">
        <f t="shared" si="458"/>
        <v/>
      </c>
      <c r="BJ686" s="129">
        <f t="shared" si="459"/>
        <v/>
      </c>
      <c r="BK686" s="129">
        <f>IF(R686="","",IF(OR(BY686="",BY686=0),"BOX",IFERROR(IF(VLOOKUP(BY686,УГО_блоки,3,FALSE)&amp;""&lt;&gt;"",VLOOKUP(BY686,УГО_блоки,3,FALSE),VLOOKUP(BY686,УГО_блоки,2,FALSE)),BY686)))</f>
      </c>
      <c r="BL686" s="129">
        <f t="shared" si="461"/>
      </c>
      <c r="BM686" s="129">
        <f>IF(H686="","",IF(COUNTIF($H$3:H686,H686)=1,MAX($BM$2:BM685)+1,""))</f>
      </c>
      <c r="BN686" s="129">
        <f>IF(I686="","",IF(COUNTIF($I$3:I686,I686)+COUNTIF($J$2:J685,I686)+COUNTIF($K$2:K685,I686)=1,MAX($BN$2:BP685)+1,""))</f>
      </c>
      <c r="BO686" s="129">
        <f>IF(J686="","",IF(COUNTIF($I$3:I686,J686)+COUNTIF($J$3:J686,J686)+COUNTIF($K$2:K685,J686)=1,MAX($BN$2:BP685,BN686)+1,""))</f>
      </c>
      <c r="BP686" s="129">
        <f>IF(K686="","",IF(COUNTIF($I$3:I686,K686)+COUNTIF($J$3:J686,K686)+COUNTIF($K$3:K686,K686)=1,MAX($BN$2:BP685,BN686,BO686)+1,""))</f>
      </c>
      <c r="BQ686" s="129">
        <f>IF(AY686=1,IFERROR(MID(Q686,FIND(" (",Q686)+2,FIND(")",Q686,FIND(" (",Q686))-FIND(" (",Q686)-2),"?"),"")</f>
      </c>
      <c r="BR686" s="129">
        <f>IF(BQ686="","",IF(COUNTIF($BQ$3:BQ686,BQ686)=1,MAX($BR$2:BR685)+1,""))</f>
      </c>
      <c r="BS686" s="129">
        <f>IF(AW686="","",COUNTIF($AW$3:AW686,"?*"))</f>
      </c>
      <c r="BT686" s="129">
        <f>IF(OR(AW686="",AI686=""),"",IF(COUNTIFS($AW$3:AW686,"?*",$AI$3:AI686,AI686)=1,MAX($BT$2:BT685)+1,""))</f>
      </c>
      <c r="BU686" s="129">
        <f>IF(AE686="",0,IF(OR(ISNUMBER(SEARCH("дубль",AE686)),ISNUMBER(SEARCH("ПЕРЕГРУЗ",AE686)),ISNUMBER(SEARCH("ЗАЩИЩ",AE686)),ISNUMBER(SEARCH("КАНАЛ",AE686)),ISNUMBER(SEARCH("без 30",AE686))),2,1))</f>
      </c>
      <c r="BV686" s="129">
        <f>IF(R686="","",COUNTIF($R$3:R686,"?*"))</f>
      </c>
      <c r="BW686" s="129">
        <f>IF(AY686&lt;&gt;1,0,IF(MAX(IFERROR(--VLOOKUP(R686,УГО_спр,5,FALSE),0),IFERROR(--VLOOKUP(AL686,УГО_спр,5,FALSE),0),IFERROR(--VLOOKUP(LEFT(AL686,2),УГО_спр,5,FALSE),0))&gt;0,MAX(IFERROR(--VLOOKUP(R686,УГО_спр,5,FALSE),0),IFERROR(--VLOOKUP(AL686,УГО_спр,5,FALSE),0),IFERROR(--VLOOKUP(LEFT(AL686,2),УГО_спр,5,FALSE),0)),IF(IFERROR(--LEFT(SUBSTITUTE(BQ686,"x","х"),FIND("х",SUBSTITUTE(BQ686,"x","х"))-1),3)&gt;3,Каталог!$S$9,1)))</f>
      </c>
      <c r="BX686" s="129">
        <f>IF(AY686&lt;&gt;1,0,MAX(0,IFERROR(--LEFT(SUBSTITUTE(BQ686,"x","х"),FIND("х",SUBSTITUTE(BQ686,"x","х"))-1),3)-3*BW686))</f>
      </c>
      <c r="BY686" s="129">
        <f>IF(R686="","",IFERROR(VLOOKUP(R686,УГО_спр,2,FALSE),IFERROR(VLOOKUP(AL686,УГО_спр,2,FALSE),IFERROR(VLOOKUP(LEFT(AL686,2),УГО_спр,2,FALSE),""))))</f>
      </c>
    </row>
    <row r="687" spans="1:64" x14ac:dyDescent="0.3">
      <c r="A687" s="135">
        <f>IF(Разбивка_по_щитам!F687=0,"",Разбивка_по_щитам!F687)</f>
        <v/>
      </c>
      <c r="B687" s="138">
        <f>IF(A687="","",Разбивка_по_щитам!C687)</f>
        <v/>
      </c>
      <c r="C687" s="138">
        <f t="shared" si="422"/>
        <v/>
      </c>
      <c r="D687" s="266"/>
      <c r="E687" s="266"/>
      <c r="F687" s="267"/>
      <c r="G687" s="145">
        <f t="shared" si="423"/>
        <v/>
      </c>
      <c r="H687" s="145">
        <f t="shared" si="424"/>
        <v/>
      </c>
      <c r="I687" s="266"/>
      <c r="J687" s="267"/>
      <c r="K687" s="267"/>
      <c r="L687" s="266"/>
      <c r="M687" s="147">
        <f t="shared" si="425"/>
        <v/>
      </c>
      <c r="N687" s="267"/>
      <c r="O687" s="147">
        <f t="shared" si="426"/>
        <v/>
      </c>
      <c r="P687" s="268">
        <f>IF(AY687=1,"XT"&amp;COUNTIFS($A$3:A687,A687,$AY$3:AY687,1),"")</f>
        <v/>
      </c>
      <c r="Q687" s="152">
        <f>IF(R687="","",IFERROR(SUBSTITUTE(Разбивка_по_щитам!P687,CHAR(10)," "),""))</f>
        <v/>
      </c>
      <c r="R687" s="153">
        <f>IF(OR(Разбивка_по_щитам!H687="",Разбивка_по_щитам!H687=0),"",Разбивка_по_щитам!H687)</f>
        <v/>
      </c>
      <c r="S687" s="154">
        <f>IF(R687="","",IFERROR(Разбивка_по_щитам!J687&amp;"",""))</f>
        <v/>
      </c>
      <c r="T687" s="155">
        <f>IF(R687="","",IFERROR(--Разбивка_по_щитам!L687,""))</f>
        <v/>
      </c>
      <c r="U687" s="155">
        <f>IF(R687="","",IFERROR(--Разбивка_по_щитам!K687,""))</f>
        <v/>
      </c>
      <c r="V687" s="138">
        <f>IF(R687="","",IFERROR(IF(Разбивка_по_щитам!M687=0,"",Разбивка_по_щитам!M687),""))</f>
        <v/>
      </c>
      <c r="W687" s="156">
        <f t="shared" si="427"/>
        <v/>
      </c>
      <c r="X687" s="157">
        <f t="shared" si="428"/>
        <v/>
      </c>
      <c r="Y687" s="266"/>
      <c r="Z687" s="158">
        <f t="shared" si="429"/>
        <v/>
      </c>
      <c r="AA687" s="160">
        <f t="shared" si="430"/>
        <v/>
      </c>
      <c r="AB687" s="160">
        <f>IF(R687="","",IFERROR(LOOKUP(INDEX(Справочная!$I$4:$I$19,MATCH(VLOOKUP(R687,Исходные_данные,22,FALSE),Справочная!$J$4:$J$19,0)+1),{6,10,16,20,25,32,40,50,63,80,100,125}),""))</f>
        <v/>
      </c>
      <c r="AC687" s="160">
        <f t="shared" si="431"/>
        <v/>
      </c>
      <c r="AD687" s="161">
        <f t="shared" si="432"/>
        <v/>
      </c>
      <c r="AE687" s="161">
        <f>IF(AND(R687="",G687=""),"",_xlfn.TEXTJOIN("; ",TRUE,IF(AND(R687&lt;&gt;"",V687=""),"нет фазы",""),IF(AND(R687&lt;&gt;"",N(T687)=0),"нет мощности",""),IF(AND(P687&lt;&gt;"",COUNTIFS($A$3:$A$1000,A687,$P$3:$P$1000,P687)&gt;1),"дубль клеммы "&amp;P687,""),IF(AND(W687&lt;&gt;"",W687&lt;&gt;"ok"),W687,""),IF(X687&lt;&gt;"",X687,""),IF(AND(ISNUMBER(SEARCH("(5х",Q687)),N(AK687)=1),"5 жил на 1 фазе",""),IF(AND(AL687="R",E687&lt;&gt;"",N(AS687)=0),"розетка без 30 мА",""),IF(IFERROR(_xlfn.NUMBERVALUE(MID(Q687,FIND("-",Q687,FIND("L=",Q687))+1,FIND("%",Q687)-FIND("-",Q687,FIND("L=",Q687))-1),","),0)&gt;4,"потери &gt; 4 %","")))</f>
      </c>
      <c r="AF687" s="129">
        <f>IF(E687&lt;&gt;"",COUNTIFS($A$3:A687,A687,$E$3:E687,"?*"),IF(OR(A687&lt;&gt;A686,Y687="вручную"),"",AF686))</f>
        <v/>
      </c>
      <c r="AG687" s="129">
        <f t="shared" si="433"/>
        <v/>
      </c>
      <c r="AH687" s="129">
        <f t="shared" si="434"/>
        <v/>
      </c>
      <c r="AI687" s="129">
        <f t="shared" si="435"/>
        <v/>
      </c>
      <c r="AJ687" s="129">
        <f t="shared" si="436"/>
        <v/>
      </c>
      <c r="AK687" s="129">
        <f t="shared" si="437"/>
        <v/>
      </c>
      <c r="AL687" s="129">
        <f t="shared" si="438"/>
        <v/>
      </c>
      <c r="AM687" s="129">
        <f t="shared" si="439"/>
      </c>
      <c r="AN687" s="129">
        <f t="shared" si="440"/>
      </c>
      <c r="AO687" s="129">
        <f t="shared" si="441"/>
        <v/>
      </c>
      <c r="AP687" s="129">
        <f t="shared" si="442"/>
        <v/>
      </c>
      <c r="AQ687" s="129">
        <f t="shared" si="443"/>
        <v/>
      </c>
      <c r="AR687" s="129">
        <f t="shared" si="444"/>
        <v/>
      </c>
      <c r="AS687" s="129">
        <f t="shared" si="445"/>
        <v/>
      </c>
      <c r="AT687" s="129">
        <f t="shared" si="446"/>
        <v/>
      </c>
      <c r="AU687" s="129">
        <f t="shared" si="447"/>
        <v/>
      </c>
      <c r="AV687" s="129">
        <f t="shared" si="448"/>
        <v/>
      </c>
      <c r="AW687" s="129">
        <f>IF(AV687="","",AV687&amp;"."&amp;COUNTIFS($A$3:A687,A687,$AV$3:AV687,AV687))</f>
        <v/>
      </c>
      <c r="AX687" s="129">
        <f t="shared" si="449"/>
        <v/>
      </c>
      <c r="AY687" s="129">
        <f>IF(N687="б/к",0,IF(OR(ISNUMBER(SEARCH("L=",Разбивка_по_щитам!P687)),N687="+",N687="="),1,0))</f>
      </c>
      <c r="AZ687" s="129">
        <f t="shared" si="450"/>
        <v/>
      </c>
      <c r="BA687" s="129">
        <f t="shared" si="451"/>
      </c>
      <c r="BB687" s="129">
        <f t="shared" si="452"/>
      </c>
      <c r="BD687" s="129">
        <f t="shared" si="453"/>
      </c>
      <c r="BE687" s="129">
        <f t="shared" si="454"/>
      </c>
      <c r="BF687" s="129">
        <f t="shared" si="455"/>
      </c>
      <c r="BG687" s="129">
        <f t="shared" si="456"/>
        <v/>
      </c>
      <c r="BH687" s="129">
        <f t="shared" si="457"/>
        <v/>
      </c>
      <c r="BI687" s="129">
        <f t="shared" si="458"/>
        <v/>
      </c>
      <c r="BJ687" s="129">
        <f t="shared" si="459"/>
        <v/>
      </c>
      <c r="BK687" s="129">
        <f>IF(R687="","",IF(OR(BY687="",BY687=0),"BOX",IFERROR(IF(VLOOKUP(BY687,УГО_блоки,3,FALSE)&amp;""&lt;&gt;"",VLOOKUP(BY687,УГО_блоки,3,FALSE),VLOOKUP(BY687,УГО_блоки,2,FALSE)),BY687)))</f>
      </c>
      <c r="BL687" s="129">
        <f t="shared" si="461"/>
      </c>
      <c r="BM687" s="129">
        <f>IF(H687="","",IF(COUNTIF($H$3:H687,H687)=1,MAX($BM$2:BM686)+1,""))</f>
      </c>
      <c r="BN687" s="129">
        <f>IF(I687="","",IF(COUNTIF($I$3:I687,I687)+COUNTIF($J$2:J686,I687)+COUNTIF($K$2:K686,I687)=1,MAX($BN$2:BP686)+1,""))</f>
      </c>
      <c r="BO687" s="129">
        <f>IF(J687="","",IF(COUNTIF($I$3:I687,J687)+COUNTIF($J$3:J687,J687)+COUNTIF($K$2:K686,J687)=1,MAX($BN$2:BP686,BN687)+1,""))</f>
      </c>
      <c r="BP687" s="129">
        <f>IF(K687="","",IF(COUNTIF($I$3:I687,K687)+COUNTIF($J$3:J687,K687)+COUNTIF($K$3:K687,K687)=1,MAX($BN$2:BP686,BN687,BO687)+1,""))</f>
      </c>
      <c r="BQ687" s="129">
        <f>IF(AY687=1,IFERROR(MID(Q687,FIND(" (",Q687)+2,FIND(")",Q687,FIND(" (",Q687))-FIND(" (",Q687)-2),"?"),"")</f>
      </c>
      <c r="BR687" s="129">
        <f>IF(BQ687="","",IF(COUNTIF($BQ$3:BQ687,BQ687)=1,MAX($BR$2:BR686)+1,""))</f>
      </c>
      <c r="BS687" s="129">
        <f>IF(AW687="","",COUNTIF($AW$3:AW687,"?*"))</f>
      </c>
      <c r="BT687" s="129">
        <f>IF(OR(AW687="",AI687=""),"",IF(COUNTIFS($AW$3:AW687,"?*",$AI$3:AI687,AI687)=1,MAX($BT$2:BT686)+1,""))</f>
      </c>
      <c r="BU687" s="129">
        <f>IF(AE687="",0,IF(OR(ISNUMBER(SEARCH("дубль",AE687)),ISNUMBER(SEARCH("ПЕРЕГРУЗ",AE687)),ISNUMBER(SEARCH("ЗАЩИЩ",AE687)),ISNUMBER(SEARCH("КАНАЛ",AE687)),ISNUMBER(SEARCH("без 30",AE687))),2,1))</f>
      </c>
      <c r="BV687" s="129">
        <f>IF(R687="","",COUNTIF($R$3:R687,"?*"))</f>
      </c>
      <c r="BW687" s="129">
        <f>IF(AY687&lt;&gt;1,0,IF(MAX(IFERROR(--VLOOKUP(R687,УГО_спр,5,FALSE),0),IFERROR(--VLOOKUP(AL687,УГО_спр,5,FALSE),0),IFERROR(--VLOOKUP(LEFT(AL687,2),УГО_спр,5,FALSE),0))&gt;0,MAX(IFERROR(--VLOOKUP(R687,УГО_спр,5,FALSE),0),IFERROR(--VLOOKUP(AL687,УГО_спр,5,FALSE),0),IFERROR(--VLOOKUP(LEFT(AL687,2),УГО_спр,5,FALSE),0)),IF(IFERROR(--LEFT(SUBSTITUTE(BQ687,"x","х"),FIND("х",SUBSTITUTE(BQ687,"x","х"))-1),3)&gt;3,Каталог!$S$9,1)))</f>
      </c>
      <c r="BX687" s="129">
        <f>IF(AY687&lt;&gt;1,0,MAX(0,IFERROR(--LEFT(SUBSTITUTE(BQ687,"x","х"),FIND("х",SUBSTITUTE(BQ687,"x","х"))-1),3)-3*BW687))</f>
      </c>
      <c r="BY687" s="129">
        <f>IF(R687="","",IFERROR(VLOOKUP(R687,УГО_спр,2,FALSE),IFERROR(VLOOKUP(AL687,УГО_спр,2,FALSE),IFERROR(VLOOKUP(LEFT(AL687,2),УГО_спр,2,FALSE),""))))</f>
      </c>
    </row>
    <row r="688" spans="1:64" x14ac:dyDescent="0.3">
      <c r="A688" s="135">
        <f>IF(Разбивка_по_щитам!F688=0,"",Разбивка_по_щитам!F688)</f>
        <v/>
      </c>
      <c r="B688" s="138">
        <f>IF(A688="","",Разбивка_по_щитам!C688)</f>
        <v/>
      </c>
      <c r="C688" s="138">
        <f t="shared" si="422"/>
        <v/>
      </c>
      <c r="D688" s="266"/>
      <c r="E688" s="266"/>
      <c r="F688" s="267"/>
      <c r="G688" s="145">
        <f t="shared" si="423"/>
        <v/>
      </c>
      <c r="H688" s="145">
        <f t="shared" si="424"/>
        <v/>
      </c>
      <c r="I688" s="266"/>
      <c r="J688" s="267"/>
      <c r="K688" s="267"/>
      <c r="L688" s="266"/>
      <c r="M688" s="147">
        <f t="shared" si="425"/>
        <v/>
      </c>
      <c r="N688" s="267"/>
      <c r="O688" s="147">
        <f t="shared" si="426"/>
        <v/>
      </c>
      <c r="P688" s="268">
        <f>IF(AY688=1,"XT"&amp;COUNTIFS($A$3:A688,A688,$AY$3:AY688,1),"")</f>
        <v/>
      </c>
      <c r="Q688" s="152">
        <f>IF(R688="","",IFERROR(SUBSTITUTE(Разбивка_по_щитам!P688,CHAR(10)," "),""))</f>
        <v/>
      </c>
      <c r="R688" s="153">
        <f>IF(OR(Разбивка_по_щитам!H688="",Разбивка_по_щитам!H688=0),"",Разбивка_по_щитам!H688)</f>
        <v/>
      </c>
      <c r="S688" s="154">
        <f>IF(R688="","",IFERROR(Разбивка_по_щитам!J688&amp;"",""))</f>
        <v/>
      </c>
      <c r="T688" s="155">
        <f>IF(R688="","",IFERROR(--Разбивка_по_щитам!L688,""))</f>
        <v/>
      </c>
      <c r="U688" s="155">
        <f>IF(R688="","",IFERROR(--Разбивка_по_щитам!K688,""))</f>
        <v/>
      </c>
      <c r="V688" s="138">
        <f>IF(R688="","",IFERROR(IF(Разбивка_по_щитам!M688=0,"",Разбивка_по_щитам!M688),""))</f>
        <v/>
      </c>
      <c r="W688" s="156">
        <f t="shared" si="427"/>
        <v/>
      </c>
      <c r="X688" s="157">
        <f t="shared" si="428"/>
        <v/>
      </c>
      <c r="Y688" s="266"/>
      <c r="Z688" s="158">
        <f t="shared" si="429"/>
        <v/>
      </c>
      <c r="AA688" s="160">
        <f t="shared" si="430"/>
        <v/>
      </c>
      <c r="AB688" s="160">
        <f>IF(R688="","",IFERROR(LOOKUP(INDEX(Справочная!$I$4:$I$19,MATCH(VLOOKUP(R688,Исходные_данные,22,FALSE),Справочная!$J$4:$J$19,0)+1),{6,10,16,20,25,32,40,50,63,80,100,125}),""))</f>
        <v/>
      </c>
      <c r="AC688" s="160">
        <f t="shared" si="431"/>
        <v/>
      </c>
      <c r="AD688" s="161">
        <f t="shared" si="432"/>
        <v/>
      </c>
      <c r="AE688" s="161">
        <f>IF(AND(R688="",G688=""),"",_xlfn.TEXTJOIN("; ",TRUE,IF(AND(R688&lt;&gt;"",V688=""),"нет фазы",""),IF(AND(R688&lt;&gt;"",N(T688)=0),"нет мощности",""),IF(AND(P688&lt;&gt;"",COUNTIFS($A$3:$A$1000,A688,$P$3:$P$1000,P688)&gt;1),"дубль клеммы "&amp;P688,""),IF(AND(W688&lt;&gt;"",W688&lt;&gt;"ok"),W688,""),IF(X688&lt;&gt;"",X688,""),IF(AND(ISNUMBER(SEARCH("(5х",Q688)),N(AK688)=1),"5 жил на 1 фазе",""),IF(AND(AL688="R",E688&lt;&gt;"",N(AS688)=0),"розетка без 30 мА",""),IF(IFERROR(_xlfn.NUMBERVALUE(MID(Q688,FIND("-",Q688,FIND("L=",Q688))+1,FIND("%",Q688)-FIND("-",Q688,FIND("L=",Q688))-1),","),0)&gt;4,"потери &gt; 4 %","")))</f>
      </c>
      <c r="AF688" s="129">
        <f>IF(E688&lt;&gt;"",COUNTIFS($A$3:A688,A688,$E$3:E688,"?*"),IF(OR(A688&lt;&gt;A687,Y688="вручную"),"",AF687))</f>
        <v/>
      </c>
      <c r="AG688" s="129">
        <f t="shared" si="433"/>
        <v/>
      </c>
      <c r="AH688" s="129">
        <f t="shared" si="434"/>
        <v/>
      </c>
      <c r="AI688" s="129">
        <f t="shared" si="435"/>
        <v/>
      </c>
      <c r="AJ688" s="129">
        <f t="shared" si="436"/>
        <v/>
      </c>
      <c r="AK688" s="129">
        <f t="shared" si="437"/>
        <v/>
      </c>
      <c r="AL688" s="129">
        <f t="shared" si="438"/>
        <v/>
      </c>
      <c r="AM688" s="129">
        <f t="shared" si="439"/>
      </c>
      <c r="AN688" s="129">
        <f t="shared" si="440"/>
      </c>
      <c r="AO688" s="129">
        <f t="shared" si="441"/>
        <v/>
      </c>
      <c r="AP688" s="129">
        <f t="shared" si="442"/>
        <v/>
      </c>
      <c r="AQ688" s="129">
        <f t="shared" si="443"/>
        <v/>
      </c>
      <c r="AR688" s="129">
        <f t="shared" si="444"/>
        <v/>
      </c>
      <c r="AS688" s="129">
        <f t="shared" si="445"/>
        <v/>
      </c>
      <c r="AT688" s="129">
        <f t="shared" si="446"/>
        <v/>
      </c>
      <c r="AU688" s="129">
        <f t="shared" si="447"/>
        <v/>
      </c>
      <c r="AV688" s="129">
        <f t="shared" si="448"/>
        <v/>
      </c>
      <c r="AW688" s="129">
        <f>IF(AV688="","",AV688&amp;"."&amp;COUNTIFS($A$3:A688,A688,$AV$3:AV688,AV688))</f>
        <v/>
      </c>
      <c r="AX688" s="129">
        <f t="shared" si="449"/>
        <v/>
      </c>
      <c r="AY688" s="129">
        <f>IF(N688="б/к",0,IF(OR(ISNUMBER(SEARCH("L=",Разбивка_по_щитам!P688)),N688="+",N688="="),1,0))</f>
      </c>
      <c r="AZ688" s="129">
        <f t="shared" si="450"/>
        <v/>
      </c>
      <c r="BA688" s="129">
        <f t="shared" si="451"/>
      </c>
      <c r="BB688" s="129">
        <f t="shared" si="452"/>
      </c>
      <c r="BD688" s="129">
        <f t="shared" si="453"/>
      </c>
      <c r="BE688" s="129">
        <f t="shared" si="454"/>
      </c>
      <c r="BF688" s="129">
        <f t="shared" si="455"/>
      </c>
      <c r="BG688" s="129">
        <f t="shared" si="456"/>
        <v/>
      </c>
      <c r="BH688" s="129">
        <f t="shared" si="457"/>
        <v/>
      </c>
      <c r="BI688" s="129">
        <f t="shared" si="458"/>
        <v/>
      </c>
      <c r="BJ688" s="129">
        <f t="shared" si="459"/>
        <v/>
      </c>
      <c r="BK688" s="129">
        <f>IF(R688="","",IF(OR(BY688="",BY688=0),"BOX",IFERROR(IF(VLOOKUP(BY688,УГО_блоки,3,FALSE)&amp;""&lt;&gt;"",VLOOKUP(BY688,УГО_блоки,3,FALSE),VLOOKUP(BY688,УГО_блоки,2,FALSE)),BY688)))</f>
      </c>
      <c r="BL688" s="129">
        <f t="shared" si="461"/>
      </c>
      <c r="BM688" s="129">
        <f>IF(H688="","",IF(COUNTIF($H$3:H688,H688)=1,MAX($BM$2:BM687)+1,""))</f>
      </c>
      <c r="BN688" s="129">
        <f>IF(I688="","",IF(COUNTIF($I$3:I688,I688)+COUNTIF($J$2:J687,I688)+COUNTIF($K$2:K687,I688)=1,MAX($BN$2:BP687)+1,""))</f>
      </c>
      <c r="BO688" s="129">
        <f>IF(J688="","",IF(COUNTIF($I$3:I688,J688)+COUNTIF($J$3:J688,J688)+COUNTIF($K$2:K687,J688)=1,MAX($BN$2:BP687,BN688)+1,""))</f>
      </c>
      <c r="BP688" s="129">
        <f>IF(K688="","",IF(COUNTIF($I$3:I688,K688)+COUNTIF($J$3:J688,K688)+COUNTIF($K$3:K688,K688)=1,MAX($BN$2:BP687,BN688,BO688)+1,""))</f>
      </c>
      <c r="BQ688" s="129">
        <f>IF(AY688=1,IFERROR(MID(Q688,FIND(" (",Q688)+2,FIND(")",Q688,FIND(" (",Q688))-FIND(" (",Q688)-2),"?"),"")</f>
      </c>
      <c r="BR688" s="129">
        <f>IF(BQ688="","",IF(COUNTIF($BQ$3:BQ688,BQ688)=1,MAX($BR$2:BR687)+1,""))</f>
      </c>
      <c r="BS688" s="129">
        <f>IF(AW688="","",COUNTIF($AW$3:AW688,"?*"))</f>
      </c>
      <c r="BT688" s="129">
        <f>IF(OR(AW688="",AI688=""),"",IF(COUNTIFS($AW$3:AW688,"?*",$AI$3:AI688,AI688)=1,MAX($BT$2:BT687)+1,""))</f>
      </c>
      <c r="BU688" s="129">
        <f>IF(AE688="",0,IF(OR(ISNUMBER(SEARCH("дубль",AE688)),ISNUMBER(SEARCH("ПЕРЕГРУЗ",AE688)),ISNUMBER(SEARCH("ЗАЩИЩ",AE688)),ISNUMBER(SEARCH("КАНАЛ",AE688)),ISNUMBER(SEARCH("без 30",AE688))),2,1))</f>
      </c>
      <c r="BV688" s="129">
        <f>IF(R688="","",COUNTIF($R$3:R688,"?*"))</f>
      </c>
      <c r="BW688" s="129">
        <f>IF(AY688&lt;&gt;1,0,IF(MAX(IFERROR(--VLOOKUP(R688,УГО_спр,5,FALSE),0),IFERROR(--VLOOKUP(AL688,УГО_спр,5,FALSE),0),IFERROR(--VLOOKUP(LEFT(AL688,2),УГО_спр,5,FALSE),0))&gt;0,MAX(IFERROR(--VLOOKUP(R688,УГО_спр,5,FALSE),0),IFERROR(--VLOOKUP(AL688,УГО_спр,5,FALSE),0),IFERROR(--VLOOKUP(LEFT(AL688,2),УГО_спр,5,FALSE),0)),IF(IFERROR(--LEFT(SUBSTITUTE(BQ688,"x","х"),FIND("х",SUBSTITUTE(BQ688,"x","х"))-1),3)&gt;3,Каталог!$S$9,1)))</f>
      </c>
      <c r="BX688" s="129">
        <f>IF(AY688&lt;&gt;1,0,MAX(0,IFERROR(--LEFT(SUBSTITUTE(BQ688,"x","х"),FIND("х",SUBSTITUTE(BQ688,"x","х"))-1),3)-3*BW688))</f>
      </c>
      <c r="BY688" s="129">
        <f>IF(R688="","",IFERROR(VLOOKUP(R688,УГО_спр,2,FALSE),IFERROR(VLOOKUP(AL688,УГО_спр,2,FALSE),IFERROR(VLOOKUP(LEFT(AL688,2),УГО_спр,2,FALSE),""))))</f>
      </c>
    </row>
    <row r="689" spans="1:64" x14ac:dyDescent="0.3">
      <c r="A689" s="135">
        <f>IF(Разбивка_по_щитам!F689=0,"",Разбивка_по_щитам!F689)</f>
        <v/>
      </c>
      <c r="B689" s="138">
        <f>IF(A689="","",Разбивка_по_щитам!C689)</f>
        <v/>
      </c>
      <c r="C689" s="138">
        <f t="shared" si="422"/>
        <v/>
      </c>
      <c r="D689" s="266"/>
      <c r="E689" s="266"/>
      <c r="F689" s="267"/>
      <c r="G689" s="145">
        <f t="shared" si="423"/>
        <v/>
      </c>
      <c r="H689" s="145">
        <f t="shared" si="424"/>
        <v/>
      </c>
      <c r="I689" s="266"/>
      <c r="J689" s="267"/>
      <c r="K689" s="267"/>
      <c r="L689" s="266"/>
      <c r="M689" s="147">
        <f t="shared" si="425"/>
        <v/>
      </c>
      <c r="N689" s="267"/>
      <c r="O689" s="147">
        <f t="shared" si="426"/>
        <v/>
      </c>
      <c r="P689" s="268">
        <f>IF(AY689=1,"XT"&amp;COUNTIFS($A$3:A689,A689,$AY$3:AY689,1),"")</f>
        <v/>
      </c>
      <c r="Q689" s="152">
        <f>IF(R689="","",IFERROR(SUBSTITUTE(Разбивка_по_щитам!P689,CHAR(10)," "),""))</f>
        <v/>
      </c>
      <c r="R689" s="153">
        <f>IF(OR(Разбивка_по_щитам!H689="",Разбивка_по_щитам!H689=0),"",Разбивка_по_щитам!H689)</f>
        <v/>
      </c>
      <c r="S689" s="154">
        <f>IF(R689="","",IFERROR(Разбивка_по_щитам!J689&amp;"",""))</f>
        <v/>
      </c>
      <c r="T689" s="155">
        <f>IF(R689="","",IFERROR(--Разбивка_по_щитам!L689,""))</f>
        <v/>
      </c>
      <c r="U689" s="155">
        <f>IF(R689="","",IFERROR(--Разбивка_по_щитам!K689,""))</f>
        <v/>
      </c>
      <c r="V689" s="138">
        <f>IF(R689="","",IFERROR(IF(Разбивка_по_щитам!M689=0,"",Разбивка_по_щитам!M689),""))</f>
        <v/>
      </c>
      <c r="W689" s="156">
        <f t="shared" si="427"/>
        <v/>
      </c>
      <c r="X689" s="157">
        <f t="shared" si="428"/>
        <v/>
      </c>
      <c r="Y689" s="266"/>
      <c r="Z689" s="158">
        <f t="shared" si="429"/>
        <v/>
      </c>
      <c r="AA689" s="160">
        <f t="shared" si="430"/>
        <v/>
      </c>
      <c r="AB689" s="160">
        <f>IF(R689="","",IFERROR(LOOKUP(INDEX(Справочная!$I$4:$I$19,MATCH(VLOOKUP(R689,Исходные_данные,22,FALSE),Справочная!$J$4:$J$19,0)+1),{6,10,16,20,25,32,40,50,63,80,100,125}),""))</f>
        <v/>
      </c>
      <c r="AC689" s="160">
        <f t="shared" si="431"/>
        <v/>
      </c>
      <c r="AD689" s="161">
        <f t="shared" si="432"/>
        <v/>
      </c>
      <c r="AE689" s="161">
        <f>IF(AND(R689="",G689=""),"",_xlfn.TEXTJOIN("; ",TRUE,IF(AND(R689&lt;&gt;"",V689=""),"нет фазы",""),IF(AND(R689&lt;&gt;"",N(T689)=0),"нет мощности",""),IF(AND(P689&lt;&gt;"",COUNTIFS($A$3:$A$1000,A689,$P$3:$P$1000,P689)&gt;1),"дубль клеммы "&amp;P689,""),IF(AND(W689&lt;&gt;"",W689&lt;&gt;"ok"),W689,""),IF(X689&lt;&gt;"",X689,""),IF(AND(ISNUMBER(SEARCH("(5х",Q689)),N(AK689)=1),"5 жил на 1 фазе",""),IF(AND(AL689="R",E689&lt;&gt;"",N(AS689)=0),"розетка без 30 мА",""),IF(IFERROR(_xlfn.NUMBERVALUE(MID(Q689,FIND("-",Q689,FIND("L=",Q689))+1,FIND("%",Q689)-FIND("-",Q689,FIND("L=",Q689))-1),","),0)&gt;4,"потери &gt; 4 %","")))</f>
      </c>
      <c r="AF689" s="129">
        <f>IF(E689&lt;&gt;"",COUNTIFS($A$3:A689,A689,$E$3:E689,"?*"),IF(OR(A689&lt;&gt;A688,Y689="вручную"),"",AF688))</f>
        <v/>
      </c>
      <c r="AG689" s="129">
        <f t="shared" si="433"/>
        <v/>
      </c>
      <c r="AH689" s="129">
        <f t="shared" si="434"/>
        <v/>
      </c>
      <c r="AI689" s="129">
        <f t="shared" si="435"/>
        <v/>
      </c>
      <c r="AJ689" s="129">
        <f t="shared" si="436"/>
        <v/>
      </c>
      <c r="AK689" s="129">
        <f t="shared" si="437"/>
        <v/>
      </c>
      <c r="AL689" s="129">
        <f t="shared" si="438"/>
        <v/>
      </c>
      <c r="AM689" s="129">
        <f t="shared" si="439"/>
      </c>
      <c r="AN689" s="129">
        <f t="shared" si="440"/>
      </c>
      <c r="AO689" s="129">
        <f t="shared" si="441"/>
        <v/>
      </c>
      <c r="AP689" s="129">
        <f t="shared" si="442"/>
        <v/>
      </c>
      <c r="AQ689" s="129">
        <f t="shared" si="443"/>
        <v/>
      </c>
      <c r="AR689" s="129">
        <f t="shared" si="444"/>
        <v/>
      </c>
      <c r="AS689" s="129">
        <f t="shared" si="445"/>
        <v/>
      </c>
      <c r="AT689" s="129">
        <f t="shared" si="446"/>
        <v/>
      </c>
      <c r="AU689" s="129">
        <f t="shared" si="447"/>
        <v/>
      </c>
      <c r="AV689" s="129">
        <f t="shared" si="448"/>
        <v/>
      </c>
      <c r="AW689" s="129">
        <f>IF(AV689="","",AV689&amp;"."&amp;COUNTIFS($A$3:A689,A689,$AV$3:AV689,AV689))</f>
        <v/>
      </c>
      <c r="AX689" s="129">
        <f t="shared" si="449"/>
        <v/>
      </c>
      <c r="AY689" s="129">
        <f>IF(N689="б/к",0,IF(OR(ISNUMBER(SEARCH("L=",Разбивка_по_щитам!P689)),N689="+",N689="="),1,0))</f>
      </c>
      <c r="AZ689" s="129">
        <f t="shared" si="450"/>
        <v/>
      </c>
      <c r="BA689" s="129">
        <f t="shared" si="451"/>
      </c>
      <c r="BB689" s="129">
        <f t="shared" si="452"/>
      </c>
      <c r="BD689" s="129">
        <f t="shared" si="453"/>
      </c>
      <c r="BE689" s="129">
        <f t="shared" si="454"/>
      </c>
      <c r="BF689" s="129">
        <f t="shared" si="455"/>
      </c>
      <c r="BG689" s="129">
        <f t="shared" si="456"/>
        <v/>
      </c>
      <c r="BH689" s="129">
        <f t="shared" si="457"/>
        <v/>
      </c>
      <c r="BI689" s="129">
        <f t="shared" si="458"/>
        <v/>
      </c>
      <c r="BJ689" s="129">
        <f t="shared" si="459"/>
        <v/>
      </c>
      <c r="BK689" s="129">
        <f>IF(R689="","",IF(OR(BY689="",BY689=0),"BOX",IFERROR(IF(VLOOKUP(BY689,УГО_блоки,3,FALSE)&amp;""&lt;&gt;"",VLOOKUP(BY689,УГО_блоки,3,FALSE),VLOOKUP(BY689,УГО_блоки,2,FALSE)),BY689)))</f>
      </c>
      <c r="BL689" s="129">
        <f t="shared" si="461"/>
      </c>
      <c r="BM689" s="129">
        <f>IF(H689="","",IF(COUNTIF($H$3:H689,H689)=1,MAX($BM$2:BM688)+1,""))</f>
      </c>
      <c r="BN689" s="129">
        <f>IF(I689="","",IF(COUNTIF($I$3:I689,I689)+COUNTIF($J$2:J688,I689)+COUNTIF($K$2:K688,I689)=1,MAX($BN$2:BP688)+1,""))</f>
      </c>
      <c r="BO689" s="129">
        <f>IF(J689="","",IF(COUNTIF($I$3:I689,J689)+COUNTIF($J$3:J689,J689)+COUNTIF($K$2:K688,J689)=1,MAX($BN$2:BP688,BN689)+1,""))</f>
      </c>
      <c r="BP689" s="129">
        <f>IF(K689="","",IF(COUNTIF($I$3:I689,K689)+COUNTIF($J$3:J689,K689)+COUNTIF($K$3:K689,K689)=1,MAX($BN$2:BP688,BN689,BO689)+1,""))</f>
      </c>
      <c r="BQ689" s="129">
        <f>IF(AY689=1,IFERROR(MID(Q689,FIND(" (",Q689)+2,FIND(")",Q689,FIND(" (",Q689))-FIND(" (",Q689)-2),"?"),"")</f>
      </c>
      <c r="BR689" s="129">
        <f>IF(BQ689="","",IF(COUNTIF($BQ$3:BQ689,BQ689)=1,MAX($BR$2:BR688)+1,""))</f>
      </c>
      <c r="BS689" s="129">
        <f>IF(AW689="","",COUNTIF($AW$3:AW689,"?*"))</f>
      </c>
      <c r="BT689" s="129">
        <f>IF(OR(AW689="",AI689=""),"",IF(COUNTIFS($AW$3:AW689,"?*",$AI$3:AI689,AI689)=1,MAX($BT$2:BT688)+1,""))</f>
      </c>
      <c r="BU689" s="129">
        <f>IF(AE689="",0,IF(OR(ISNUMBER(SEARCH("дубль",AE689)),ISNUMBER(SEARCH("ПЕРЕГРУЗ",AE689)),ISNUMBER(SEARCH("ЗАЩИЩ",AE689)),ISNUMBER(SEARCH("КАНАЛ",AE689)),ISNUMBER(SEARCH("без 30",AE689))),2,1))</f>
      </c>
      <c r="BV689" s="129">
        <f>IF(R689="","",COUNTIF($R$3:R689,"?*"))</f>
      </c>
      <c r="BW689" s="129">
        <f>IF(AY689&lt;&gt;1,0,IF(MAX(IFERROR(--VLOOKUP(R689,УГО_спр,5,FALSE),0),IFERROR(--VLOOKUP(AL689,УГО_спр,5,FALSE),0),IFERROR(--VLOOKUP(LEFT(AL689,2),УГО_спр,5,FALSE),0))&gt;0,MAX(IFERROR(--VLOOKUP(R689,УГО_спр,5,FALSE),0),IFERROR(--VLOOKUP(AL689,УГО_спр,5,FALSE),0),IFERROR(--VLOOKUP(LEFT(AL689,2),УГО_спр,5,FALSE),0)),IF(IFERROR(--LEFT(SUBSTITUTE(BQ689,"x","х"),FIND("х",SUBSTITUTE(BQ689,"x","х"))-1),3)&gt;3,Каталог!$S$9,1)))</f>
      </c>
      <c r="BX689" s="129">
        <f>IF(AY689&lt;&gt;1,0,MAX(0,IFERROR(--LEFT(SUBSTITUTE(BQ689,"x","х"),FIND("х",SUBSTITUTE(BQ689,"x","х"))-1),3)-3*BW689))</f>
      </c>
      <c r="BY689" s="129">
        <f>IF(R689="","",IFERROR(VLOOKUP(R689,УГО_спр,2,FALSE),IFERROR(VLOOKUP(AL689,УГО_спр,2,FALSE),IFERROR(VLOOKUP(LEFT(AL689,2),УГО_спр,2,FALSE),""))))</f>
      </c>
    </row>
    <row r="690" spans="1:64" x14ac:dyDescent="0.3">
      <c r="A690" s="135">
        <f>IF(Разбивка_по_щитам!F690=0,"",Разбивка_по_щитам!F690)</f>
        <v/>
      </c>
      <c r="B690" s="138">
        <f>IF(A690="","",Разбивка_по_щитам!C690)</f>
        <v/>
      </c>
      <c r="C690" s="138">
        <f t="shared" si="422"/>
        <v/>
      </c>
      <c r="D690" s="266"/>
      <c r="E690" s="266"/>
      <c r="F690" s="267"/>
      <c r="G690" s="145">
        <f t="shared" si="423"/>
        <v/>
      </c>
      <c r="H690" s="145">
        <f t="shared" si="424"/>
        <v/>
      </c>
      <c r="I690" s="266"/>
      <c r="J690" s="267"/>
      <c r="K690" s="267"/>
      <c r="L690" s="266"/>
      <c r="M690" s="147">
        <f t="shared" si="425"/>
        <v/>
      </c>
      <c r="N690" s="267"/>
      <c r="O690" s="147">
        <f t="shared" si="426"/>
        <v/>
      </c>
      <c r="P690" s="268">
        <f>IF(AY690=1,"XT"&amp;COUNTIFS($A$3:A690,A690,$AY$3:AY690,1),"")</f>
        <v/>
      </c>
      <c r="Q690" s="152">
        <f>IF(R690="","",IFERROR(SUBSTITUTE(Разбивка_по_щитам!P690,CHAR(10)," "),""))</f>
        <v/>
      </c>
      <c r="R690" s="153">
        <f>IF(OR(Разбивка_по_щитам!H690="",Разбивка_по_щитам!H690=0),"",Разбивка_по_щитам!H690)</f>
        <v/>
      </c>
      <c r="S690" s="154">
        <f>IF(R690="","",IFERROR(Разбивка_по_щитам!J690&amp;"",""))</f>
        <v/>
      </c>
      <c r="T690" s="155">
        <f>IF(R690="","",IFERROR(--Разбивка_по_щитам!L690,""))</f>
        <v/>
      </c>
      <c r="U690" s="155">
        <f>IF(R690="","",IFERROR(--Разбивка_по_щитам!K690,""))</f>
        <v/>
      </c>
      <c r="V690" s="138">
        <f>IF(R690="","",IFERROR(IF(Разбивка_по_щитам!M690=0,"",Разбивка_по_щитам!M690),""))</f>
        <v/>
      </c>
      <c r="W690" s="156">
        <f t="shared" si="427"/>
        <v/>
      </c>
      <c r="X690" s="157">
        <f t="shared" si="428"/>
        <v/>
      </c>
      <c r="Y690" s="266"/>
      <c r="Z690" s="158">
        <f t="shared" si="429"/>
        <v/>
      </c>
      <c r="AA690" s="160">
        <f t="shared" si="430"/>
        <v/>
      </c>
      <c r="AB690" s="160">
        <f>IF(R690="","",IFERROR(LOOKUP(INDEX(Справочная!$I$4:$I$19,MATCH(VLOOKUP(R690,Исходные_данные,22,FALSE),Справочная!$J$4:$J$19,0)+1),{6,10,16,20,25,32,40,50,63,80,100,125}),""))</f>
        <v/>
      </c>
      <c r="AC690" s="160">
        <f t="shared" si="431"/>
        <v/>
      </c>
      <c r="AD690" s="161">
        <f t="shared" si="432"/>
        <v/>
      </c>
      <c r="AE690" s="161">
        <f>IF(AND(R690="",G690=""),"",_xlfn.TEXTJOIN("; ",TRUE,IF(AND(R690&lt;&gt;"",V690=""),"нет фазы",""),IF(AND(R690&lt;&gt;"",N(T690)=0),"нет мощности",""),IF(AND(P690&lt;&gt;"",COUNTIFS($A$3:$A$1000,A690,$P$3:$P$1000,P690)&gt;1),"дубль клеммы "&amp;P690,""),IF(AND(W690&lt;&gt;"",W690&lt;&gt;"ok"),W690,""),IF(X690&lt;&gt;"",X690,""),IF(AND(ISNUMBER(SEARCH("(5х",Q690)),N(AK690)=1),"5 жил на 1 фазе",""),IF(AND(AL690="R",E690&lt;&gt;"",N(AS690)=0),"розетка без 30 мА",""),IF(IFERROR(_xlfn.NUMBERVALUE(MID(Q690,FIND("-",Q690,FIND("L=",Q690))+1,FIND("%",Q690)-FIND("-",Q690,FIND("L=",Q690))-1),","),0)&gt;4,"потери &gt; 4 %","")))</f>
      </c>
      <c r="AF690" s="129">
        <f>IF(E690&lt;&gt;"",COUNTIFS($A$3:A690,A690,$E$3:E690,"?*"),IF(OR(A690&lt;&gt;A689,Y690="вручную"),"",AF689))</f>
        <v/>
      </c>
      <c r="AG690" s="129">
        <f t="shared" si="433"/>
        <v/>
      </c>
      <c r="AH690" s="129">
        <f t="shared" si="434"/>
        <v/>
      </c>
      <c r="AI690" s="129">
        <f t="shared" si="435"/>
        <v/>
      </c>
      <c r="AJ690" s="129">
        <f t="shared" si="436"/>
        <v/>
      </c>
      <c r="AK690" s="129">
        <f t="shared" si="437"/>
        <v/>
      </c>
      <c r="AL690" s="129">
        <f t="shared" si="438"/>
        <v/>
      </c>
      <c r="AM690" s="129">
        <f t="shared" si="439"/>
      </c>
      <c r="AN690" s="129">
        <f t="shared" si="440"/>
      </c>
      <c r="AO690" s="129">
        <f t="shared" si="441"/>
        <v/>
      </c>
      <c r="AP690" s="129">
        <f t="shared" si="442"/>
        <v/>
      </c>
      <c r="AQ690" s="129">
        <f t="shared" si="443"/>
        <v/>
      </c>
      <c r="AR690" s="129">
        <f t="shared" si="444"/>
        <v/>
      </c>
      <c r="AS690" s="129">
        <f t="shared" si="445"/>
        <v/>
      </c>
      <c r="AT690" s="129">
        <f t="shared" si="446"/>
        <v/>
      </c>
      <c r="AU690" s="129">
        <f t="shared" si="447"/>
        <v/>
      </c>
      <c r="AV690" s="129">
        <f t="shared" si="448"/>
        <v/>
      </c>
      <c r="AW690" s="129">
        <f>IF(AV690="","",AV690&amp;"."&amp;COUNTIFS($A$3:A690,A690,$AV$3:AV690,AV690))</f>
        <v/>
      </c>
      <c r="AX690" s="129">
        <f t="shared" si="449"/>
        <v/>
      </c>
      <c r="AY690" s="129">
        <f>IF(N690="б/к",0,IF(OR(ISNUMBER(SEARCH("L=",Разбивка_по_щитам!P690)),N690="+",N690="="),1,0))</f>
      </c>
      <c r="AZ690" s="129">
        <f t="shared" si="450"/>
        <v/>
      </c>
      <c r="BA690" s="129">
        <f t="shared" si="451"/>
      </c>
      <c r="BB690" s="129">
        <f t="shared" si="452"/>
      </c>
      <c r="BD690" s="129">
        <f t="shared" si="453"/>
      </c>
      <c r="BE690" s="129">
        <f t="shared" si="454"/>
      </c>
      <c r="BF690" s="129">
        <f t="shared" si="455"/>
      </c>
      <c r="BG690" s="129">
        <f t="shared" si="456"/>
        <v/>
      </c>
      <c r="BH690" s="129">
        <f t="shared" si="457"/>
        <v/>
      </c>
      <c r="BI690" s="129">
        <f t="shared" si="458"/>
        <v/>
      </c>
      <c r="BJ690" s="129">
        <f t="shared" si="459"/>
        <v/>
      </c>
      <c r="BK690" s="129">
        <f>IF(R690="","",IF(OR(BY690="",BY690=0),"BOX",IFERROR(IF(VLOOKUP(BY690,УГО_блоки,3,FALSE)&amp;""&lt;&gt;"",VLOOKUP(BY690,УГО_блоки,3,FALSE),VLOOKUP(BY690,УГО_блоки,2,FALSE)),BY690)))</f>
      </c>
      <c r="BL690" s="129">
        <f t="shared" si="461"/>
      </c>
      <c r="BM690" s="129">
        <f>IF(H690="","",IF(COUNTIF($H$3:H690,H690)=1,MAX($BM$2:BM689)+1,""))</f>
      </c>
      <c r="BN690" s="129">
        <f>IF(I690="","",IF(COUNTIF($I$3:I690,I690)+COUNTIF($J$2:J689,I690)+COUNTIF($K$2:K689,I690)=1,MAX($BN$2:BP689)+1,""))</f>
      </c>
      <c r="BO690" s="129">
        <f>IF(J690="","",IF(COUNTIF($I$3:I690,J690)+COUNTIF($J$3:J690,J690)+COUNTIF($K$2:K689,J690)=1,MAX($BN$2:BP689,BN690)+1,""))</f>
      </c>
      <c r="BP690" s="129">
        <f>IF(K690="","",IF(COUNTIF($I$3:I690,K690)+COUNTIF($J$3:J690,K690)+COUNTIF($K$3:K690,K690)=1,MAX($BN$2:BP689,BN690,BO690)+1,""))</f>
      </c>
      <c r="BQ690" s="129">
        <f>IF(AY690=1,IFERROR(MID(Q690,FIND(" (",Q690)+2,FIND(")",Q690,FIND(" (",Q690))-FIND(" (",Q690)-2),"?"),"")</f>
      </c>
      <c r="BR690" s="129">
        <f>IF(BQ690="","",IF(COUNTIF($BQ$3:BQ690,BQ690)=1,MAX($BR$2:BR689)+1,""))</f>
      </c>
      <c r="BS690" s="129">
        <f>IF(AW690="","",COUNTIF($AW$3:AW690,"?*"))</f>
      </c>
      <c r="BT690" s="129">
        <f>IF(OR(AW690="",AI690=""),"",IF(COUNTIFS($AW$3:AW690,"?*",$AI$3:AI690,AI690)=1,MAX($BT$2:BT689)+1,""))</f>
      </c>
      <c r="BU690" s="129">
        <f>IF(AE690="",0,IF(OR(ISNUMBER(SEARCH("дубль",AE690)),ISNUMBER(SEARCH("ПЕРЕГРУЗ",AE690)),ISNUMBER(SEARCH("ЗАЩИЩ",AE690)),ISNUMBER(SEARCH("КАНАЛ",AE690)),ISNUMBER(SEARCH("без 30",AE690))),2,1))</f>
      </c>
      <c r="BV690" s="129">
        <f>IF(R690="","",COUNTIF($R$3:R690,"?*"))</f>
      </c>
      <c r="BW690" s="129">
        <f>IF(AY690&lt;&gt;1,0,IF(MAX(IFERROR(--VLOOKUP(R690,УГО_спр,5,FALSE),0),IFERROR(--VLOOKUP(AL690,УГО_спр,5,FALSE),0),IFERROR(--VLOOKUP(LEFT(AL690,2),УГО_спр,5,FALSE),0))&gt;0,MAX(IFERROR(--VLOOKUP(R690,УГО_спр,5,FALSE),0),IFERROR(--VLOOKUP(AL690,УГО_спр,5,FALSE),0),IFERROR(--VLOOKUP(LEFT(AL690,2),УГО_спр,5,FALSE),0)),IF(IFERROR(--LEFT(SUBSTITUTE(BQ690,"x","х"),FIND("х",SUBSTITUTE(BQ690,"x","х"))-1),3)&gt;3,Каталог!$S$9,1)))</f>
      </c>
      <c r="BX690" s="129">
        <f>IF(AY690&lt;&gt;1,0,MAX(0,IFERROR(--LEFT(SUBSTITUTE(BQ690,"x","х"),FIND("х",SUBSTITUTE(BQ690,"x","х"))-1),3)-3*BW690))</f>
      </c>
      <c r="BY690" s="129">
        <f>IF(R690="","",IFERROR(VLOOKUP(R690,УГО_спр,2,FALSE),IFERROR(VLOOKUP(AL690,УГО_спр,2,FALSE),IFERROR(VLOOKUP(LEFT(AL690,2),УГО_спр,2,FALSE),""))))</f>
      </c>
    </row>
    <row r="691" spans="1:64" x14ac:dyDescent="0.3">
      <c r="A691" s="135">
        <f>IF(Разбивка_по_щитам!F691=0,"",Разбивка_по_щитам!F691)</f>
        <v/>
      </c>
      <c r="B691" s="138">
        <f>IF(A691="","",Разбивка_по_щитам!C691)</f>
        <v/>
      </c>
      <c r="C691" s="138">
        <f t="shared" si="422"/>
        <v/>
      </c>
      <c r="D691" s="266"/>
      <c r="E691" s="266"/>
      <c r="F691" s="267"/>
      <c r="G691" s="145">
        <f t="shared" si="423"/>
        <v/>
      </c>
      <c r="H691" s="145">
        <f t="shared" si="424"/>
        <v/>
      </c>
      <c r="I691" s="266"/>
      <c r="J691" s="267"/>
      <c r="K691" s="267"/>
      <c r="L691" s="266"/>
      <c r="M691" s="147">
        <f t="shared" si="425"/>
        <v/>
      </c>
      <c r="N691" s="267"/>
      <c r="O691" s="147">
        <f t="shared" si="426"/>
        <v/>
      </c>
      <c r="P691" s="268">
        <f>IF(AY691=1,"XT"&amp;COUNTIFS($A$3:A691,A691,$AY$3:AY691,1),"")</f>
        <v/>
      </c>
      <c r="Q691" s="152">
        <f>IF(R691="","",IFERROR(SUBSTITUTE(Разбивка_по_щитам!P691,CHAR(10)," "),""))</f>
        <v/>
      </c>
      <c r="R691" s="153">
        <f>IF(OR(Разбивка_по_щитам!H691="",Разбивка_по_щитам!H691=0),"",Разбивка_по_щитам!H691)</f>
        <v/>
      </c>
      <c r="S691" s="154">
        <f>IF(R691="","",IFERROR(Разбивка_по_щитам!J691&amp;"",""))</f>
        <v/>
      </c>
      <c r="T691" s="155">
        <f>IF(R691="","",IFERROR(--Разбивка_по_щитам!L691,""))</f>
        <v/>
      </c>
      <c r="U691" s="155">
        <f>IF(R691="","",IFERROR(--Разбивка_по_щитам!K691,""))</f>
        <v/>
      </c>
      <c r="V691" s="138">
        <f>IF(R691="","",IFERROR(IF(Разбивка_по_щитам!M691=0,"",Разбивка_по_щитам!M691),""))</f>
        <v/>
      </c>
      <c r="W691" s="156">
        <f t="shared" si="427"/>
        <v/>
      </c>
      <c r="X691" s="157">
        <f t="shared" si="428"/>
        <v/>
      </c>
      <c r="Y691" s="266"/>
      <c r="Z691" s="158">
        <f t="shared" si="429"/>
        <v/>
      </c>
      <c r="AA691" s="160">
        <f t="shared" si="430"/>
        <v/>
      </c>
      <c r="AB691" s="160">
        <f>IF(R691="","",IFERROR(LOOKUP(INDEX(Справочная!$I$4:$I$19,MATCH(VLOOKUP(R691,Исходные_данные,22,FALSE),Справочная!$J$4:$J$19,0)+1),{6,10,16,20,25,32,40,50,63,80,100,125}),""))</f>
        <v/>
      </c>
      <c r="AC691" s="160">
        <f t="shared" si="431"/>
        <v/>
      </c>
      <c r="AD691" s="161">
        <f t="shared" si="432"/>
        <v/>
      </c>
      <c r="AE691" s="161">
        <f>IF(AND(R691="",G691=""),"",_xlfn.TEXTJOIN("; ",TRUE,IF(AND(R691&lt;&gt;"",V691=""),"нет фазы",""),IF(AND(R691&lt;&gt;"",N(T691)=0),"нет мощности",""),IF(AND(P691&lt;&gt;"",COUNTIFS($A$3:$A$1000,A691,$P$3:$P$1000,P691)&gt;1),"дубль клеммы "&amp;P691,""),IF(AND(W691&lt;&gt;"",W691&lt;&gt;"ok"),W691,""),IF(X691&lt;&gt;"",X691,""),IF(AND(ISNUMBER(SEARCH("(5х",Q691)),N(AK691)=1),"5 жил на 1 фазе",""),IF(AND(AL691="R",E691&lt;&gt;"",N(AS691)=0),"розетка без 30 мА",""),IF(IFERROR(_xlfn.NUMBERVALUE(MID(Q691,FIND("-",Q691,FIND("L=",Q691))+1,FIND("%",Q691)-FIND("-",Q691,FIND("L=",Q691))-1),","),0)&gt;4,"потери &gt; 4 %","")))</f>
      </c>
      <c r="AF691" s="129">
        <f>IF(E691&lt;&gt;"",COUNTIFS($A$3:A691,A691,$E$3:E691,"?*"),IF(OR(A691&lt;&gt;A690,Y691="вручную"),"",AF690))</f>
        <v/>
      </c>
      <c r="AG691" s="129">
        <f t="shared" si="433"/>
        <v/>
      </c>
      <c r="AH691" s="129">
        <f t="shared" si="434"/>
        <v/>
      </c>
      <c r="AI691" s="129">
        <f t="shared" si="435"/>
        <v/>
      </c>
      <c r="AJ691" s="129">
        <f t="shared" si="436"/>
        <v/>
      </c>
      <c r="AK691" s="129">
        <f t="shared" si="437"/>
        <v/>
      </c>
      <c r="AL691" s="129">
        <f t="shared" si="438"/>
        <v/>
      </c>
      <c r="AM691" s="129">
        <f t="shared" si="439"/>
      </c>
      <c r="AN691" s="129">
        <f t="shared" si="440"/>
      </c>
      <c r="AO691" s="129">
        <f t="shared" si="441"/>
        <v/>
      </c>
      <c r="AP691" s="129">
        <f t="shared" si="442"/>
        <v/>
      </c>
      <c r="AQ691" s="129">
        <f t="shared" si="443"/>
        <v/>
      </c>
      <c r="AR691" s="129">
        <f t="shared" si="444"/>
        <v/>
      </c>
      <c r="AS691" s="129">
        <f t="shared" si="445"/>
        <v/>
      </c>
      <c r="AT691" s="129">
        <f t="shared" si="446"/>
        <v/>
      </c>
      <c r="AU691" s="129">
        <f t="shared" si="447"/>
        <v/>
      </c>
      <c r="AV691" s="129">
        <f t="shared" si="448"/>
        <v/>
      </c>
      <c r="AW691" s="129">
        <f>IF(AV691="","",AV691&amp;"."&amp;COUNTIFS($A$3:A691,A691,$AV$3:AV691,AV691))</f>
        <v/>
      </c>
      <c r="AX691" s="129">
        <f t="shared" si="449"/>
        <v/>
      </c>
      <c r="AY691" s="129">
        <f>IF(N691="б/к",0,IF(OR(ISNUMBER(SEARCH("L=",Разбивка_по_щитам!P691)),N691="+",N691="="),1,0))</f>
      </c>
      <c r="AZ691" s="129">
        <f t="shared" si="450"/>
        <v/>
      </c>
      <c r="BA691" s="129">
        <f t="shared" si="451"/>
      </c>
      <c r="BB691" s="129">
        <f t="shared" si="452"/>
      </c>
      <c r="BD691" s="129">
        <f t="shared" si="453"/>
      </c>
      <c r="BE691" s="129">
        <f t="shared" si="454"/>
      </c>
      <c r="BF691" s="129">
        <f t="shared" si="455"/>
      </c>
      <c r="BG691" s="129">
        <f t="shared" si="456"/>
        <v/>
      </c>
      <c r="BH691" s="129">
        <f t="shared" si="457"/>
        <v/>
      </c>
      <c r="BI691" s="129">
        <f t="shared" si="458"/>
        <v/>
      </c>
      <c r="BJ691" s="129">
        <f t="shared" si="459"/>
        <v/>
      </c>
      <c r="BK691" s="129">
        <f>IF(R691="","",IF(OR(BY691="",BY691=0),"BOX",IFERROR(IF(VLOOKUP(BY691,УГО_блоки,3,FALSE)&amp;""&lt;&gt;"",VLOOKUP(BY691,УГО_блоки,3,FALSE),VLOOKUP(BY691,УГО_блоки,2,FALSE)),BY691)))</f>
      </c>
      <c r="BL691" s="129">
        <f t="shared" si="461"/>
      </c>
      <c r="BM691" s="129">
        <f>IF(H691="","",IF(COUNTIF($H$3:H691,H691)=1,MAX($BM$2:BM690)+1,""))</f>
      </c>
      <c r="BN691" s="129">
        <f>IF(I691="","",IF(COUNTIF($I$3:I691,I691)+COUNTIF($J$2:J690,I691)+COUNTIF($K$2:K690,I691)=1,MAX($BN$2:BP690)+1,""))</f>
      </c>
      <c r="BO691" s="129">
        <f>IF(J691="","",IF(COUNTIF($I$3:I691,J691)+COUNTIF($J$3:J691,J691)+COUNTIF($K$2:K690,J691)=1,MAX($BN$2:BP690,BN691)+1,""))</f>
      </c>
      <c r="BP691" s="129">
        <f>IF(K691="","",IF(COUNTIF($I$3:I691,K691)+COUNTIF($J$3:J691,K691)+COUNTIF($K$3:K691,K691)=1,MAX($BN$2:BP690,BN691,BO691)+1,""))</f>
      </c>
      <c r="BQ691" s="129">
        <f>IF(AY691=1,IFERROR(MID(Q691,FIND(" (",Q691)+2,FIND(")",Q691,FIND(" (",Q691))-FIND(" (",Q691)-2),"?"),"")</f>
      </c>
      <c r="BR691" s="129">
        <f>IF(BQ691="","",IF(COUNTIF($BQ$3:BQ691,BQ691)=1,MAX($BR$2:BR690)+1,""))</f>
      </c>
      <c r="BS691" s="129">
        <f>IF(AW691="","",COUNTIF($AW$3:AW691,"?*"))</f>
      </c>
      <c r="BT691" s="129">
        <f>IF(OR(AW691="",AI691=""),"",IF(COUNTIFS($AW$3:AW691,"?*",$AI$3:AI691,AI691)=1,MAX($BT$2:BT690)+1,""))</f>
      </c>
      <c r="BU691" s="129">
        <f>IF(AE691="",0,IF(OR(ISNUMBER(SEARCH("дубль",AE691)),ISNUMBER(SEARCH("ПЕРЕГРУЗ",AE691)),ISNUMBER(SEARCH("ЗАЩИЩ",AE691)),ISNUMBER(SEARCH("КАНАЛ",AE691)),ISNUMBER(SEARCH("без 30",AE691))),2,1))</f>
      </c>
      <c r="BV691" s="129">
        <f>IF(R691="","",COUNTIF($R$3:R691,"?*"))</f>
      </c>
      <c r="BW691" s="129">
        <f>IF(AY691&lt;&gt;1,0,IF(MAX(IFERROR(--VLOOKUP(R691,УГО_спр,5,FALSE),0),IFERROR(--VLOOKUP(AL691,УГО_спр,5,FALSE),0),IFERROR(--VLOOKUP(LEFT(AL691,2),УГО_спр,5,FALSE),0))&gt;0,MAX(IFERROR(--VLOOKUP(R691,УГО_спр,5,FALSE),0),IFERROR(--VLOOKUP(AL691,УГО_спр,5,FALSE),0),IFERROR(--VLOOKUP(LEFT(AL691,2),УГО_спр,5,FALSE),0)),IF(IFERROR(--LEFT(SUBSTITUTE(BQ691,"x","х"),FIND("х",SUBSTITUTE(BQ691,"x","х"))-1),3)&gt;3,Каталог!$S$9,1)))</f>
      </c>
      <c r="BX691" s="129">
        <f>IF(AY691&lt;&gt;1,0,MAX(0,IFERROR(--LEFT(SUBSTITUTE(BQ691,"x","х"),FIND("х",SUBSTITUTE(BQ691,"x","х"))-1),3)-3*BW691))</f>
      </c>
      <c r="BY691" s="129">
        <f>IF(R691="","",IFERROR(VLOOKUP(R691,УГО_спр,2,FALSE),IFERROR(VLOOKUP(AL691,УГО_спр,2,FALSE),IFERROR(VLOOKUP(LEFT(AL691,2),УГО_спр,2,FALSE),""))))</f>
      </c>
    </row>
    <row r="692" spans="1:64" x14ac:dyDescent="0.3">
      <c r="A692" s="135">
        <f>IF(Разбивка_по_щитам!F692=0,"",Разбивка_по_щитам!F692)</f>
        <v/>
      </c>
      <c r="B692" s="138">
        <f>IF(A692="","",Разбивка_по_щитам!C692)</f>
        <v/>
      </c>
      <c r="C692" s="138">
        <f t="shared" si="422"/>
        <v/>
      </c>
      <c r="D692" s="266"/>
      <c r="E692" s="266"/>
      <c r="F692" s="267"/>
      <c r="G692" s="145">
        <f t="shared" si="423"/>
        <v/>
      </c>
      <c r="H692" s="145">
        <f t="shared" si="424"/>
        <v/>
      </c>
      <c r="I692" s="266"/>
      <c r="J692" s="267"/>
      <c r="K692" s="267"/>
      <c r="L692" s="266"/>
      <c r="M692" s="147">
        <f t="shared" si="425"/>
        <v/>
      </c>
      <c r="N692" s="267"/>
      <c r="O692" s="147">
        <f t="shared" si="426"/>
        <v/>
      </c>
      <c r="P692" s="268">
        <f>IF(AY692=1,"XT"&amp;COUNTIFS($A$3:A692,A692,$AY$3:AY692,1),"")</f>
        <v/>
      </c>
      <c r="Q692" s="152">
        <f>IF(R692="","",IFERROR(SUBSTITUTE(Разбивка_по_щитам!P692,CHAR(10)," "),""))</f>
        <v/>
      </c>
      <c r="R692" s="153">
        <f>IF(OR(Разбивка_по_щитам!H692="",Разбивка_по_щитам!H692=0),"",Разбивка_по_щитам!H692)</f>
        <v/>
      </c>
      <c r="S692" s="154">
        <f>IF(R692="","",IFERROR(Разбивка_по_щитам!J692&amp;"",""))</f>
        <v/>
      </c>
      <c r="T692" s="155">
        <f>IF(R692="","",IFERROR(--Разбивка_по_щитам!L692,""))</f>
        <v/>
      </c>
      <c r="U692" s="155">
        <f>IF(R692="","",IFERROR(--Разбивка_по_щитам!K692,""))</f>
        <v/>
      </c>
      <c r="V692" s="138">
        <f>IF(R692="","",IFERROR(IF(Разбивка_по_щитам!M692=0,"",Разбивка_по_щитам!M692),""))</f>
        <v/>
      </c>
      <c r="W692" s="156">
        <f t="shared" si="427"/>
        <v/>
      </c>
      <c r="X692" s="157">
        <f t="shared" si="428"/>
        <v/>
      </c>
      <c r="Y692" s="266"/>
      <c r="Z692" s="158">
        <f t="shared" si="429"/>
        <v/>
      </c>
      <c r="AA692" s="160">
        <f t="shared" si="430"/>
        <v/>
      </c>
      <c r="AB692" s="160">
        <f>IF(R692="","",IFERROR(LOOKUP(INDEX(Справочная!$I$4:$I$19,MATCH(VLOOKUP(R692,Исходные_данные,22,FALSE),Справочная!$J$4:$J$19,0)+1),{6,10,16,20,25,32,40,50,63,80,100,125}),""))</f>
        <v/>
      </c>
      <c r="AC692" s="160">
        <f t="shared" si="431"/>
        <v/>
      </c>
      <c r="AD692" s="161">
        <f t="shared" si="432"/>
        <v/>
      </c>
      <c r="AE692" s="161">
        <f>IF(AND(R692="",G692=""),"",_xlfn.TEXTJOIN("; ",TRUE,IF(AND(R692&lt;&gt;"",V692=""),"нет фазы",""),IF(AND(R692&lt;&gt;"",N(T692)=0),"нет мощности",""),IF(AND(P692&lt;&gt;"",COUNTIFS($A$3:$A$1000,A692,$P$3:$P$1000,P692)&gt;1),"дубль клеммы "&amp;P692,""),IF(AND(W692&lt;&gt;"",W692&lt;&gt;"ok"),W692,""),IF(X692&lt;&gt;"",X692,""),IF(AND(ISNUMBER(SEARCH("(5х",Q692)),N(AK692)=1),"5 жил на 1 фазе",""),IF(AND(AL692="R",E692&lt;&gt;"",N(AS692)=0),"розетка без 30 мА",""),IF(IFERROR(_xlfn.NUMBERVALUE(MID(Q692,FIND("-",Q692,FIND("L=",Q692))+1,FIND("%",Q692)-FIND("-",Q692,FIND("L=",Q692))-1),","),0)&gt;4,"потери &gt; 4 %","")))</f>
      </c>
      <c r="AF692" s="129">
        <f>IF(E692&lt;&gt;"",COUNTIFS($A$3:A692,A692,$E$3:E692,"?*"),IF(OR(A692&lt;&gt;A691,Y692="вручную"),"",AF691))</f>
        <v/>
      </c>
      <c r="AG692" s="129">
        <f t="shared" si="433"/>
        <v/>
      </c>
      <c r="AH692" s="129">
        <f t="shared" si="434"/>
        <v/>
      </c>
      <c r="AI692" s="129">
        <f t="shared" si="435"/>
        <v/>
      </c>
      <c r="AJ692" s="129">
        <f t="shared" si="436"/>
        <v/>
      </c>
      <c r="AK692" s="129">
        <f t="shared" si="437"/>
        <v/>
      </c>
      <c r="AL692" s="129">
        <f t="shared" si="438"/>
        <v/>
      </c>
      <c r="AM692" s="129">
        <f t="shared" si="439"/>
      </c>
      <c r="AN692" s="129">
        <f t="shared" si="440"/>
      </c>
      <c r="AO692" s="129">
        <f t="shared" si="441"/>
        <v/>
      </c>
      <c r="AP692" s="129">
        <f t="shared" si="442"/>
        <v/>
      </c>
      <c r="AQ692" s="129">
        <f t="shared" si="443"/>
        <v/>
      </c>
      <c r="AR692" s="129">
        <f t="shared" si="444"/>
        <v/>
      </c>
      <c r="AS692" s="129">
        <f t="shared" si="445"/>
        <v/>
      </c>
      <c r="AT692" s="129">
        <f t="shared" si="446"/>
        <v/>
      </c>
      <c r="AU692" s="129">
        <f t="shared" si="447"/>
        <v/>
      </c>
      <c r="AV692" s="129">
        <f t="shared" si="448"/>
        <v/>
      </c>
      <c r="AW692" s="129">
        <f>IF(AV692="","",AV692&amp;"."&amp;COUNTIFS($A$3:A692,A692,$AV$3:AV692,AV692))</f>
        <v/>
      </c>
      <c r="AX692" s="129">
        <f t="shared" si="449"/>
        <v/>
      </c>
      <c r="AY692" s="129">
        <f>IF(N692="б/к",0,IF(OR(ISNUMBER(SEARCH("L=",Разбивка_по_щитам!P692)),N692="+",N692="="),1,0))</f>
      </c>
      <c r="AZ692" s="129">
        <f t="shared" si="450"/>
        <v/>
      </c>
      <c r="BA692" s="129">
        <f t="shared" si="451"/>
      </c>
      <c r="BB692" s="129">
        <f t="shared" si="452"/>
      </c>
      <c r="BD692" s="129">
        <f t="shared" si="453"/>
      </c>
      <c r="BE692" s="129">
        <f t="shared" si="454"/>
      </c>
      <c r="BF692" s="129">
        <f t="shared" si="455"/>
      </c>
      <c r="BG692" s="129">
        <f t="shared" si="456"/>
        <v/>
      </c>
      <c r="BH692" s="129">
        <f t="shared" si="457"/>
        <v/>
      </c>
      <c r="BI692" s="129">
        <f t="shared" si="458"/>
        <v/>
      </c>
      <c r="BJ692" s="129">
        <f t="shared" si="459"/>
        <v/>
      </c>
      <c r="BK692" s="129">
        <f>IF(R692="","",IF(OR(BY692="",BY692=0),"BOX",IFERROR(IF(VLOOKUP(BY692,УГО_блоки,3,FALSE)&amp;""&lt;&gt;"",VLOOKUP(BY692,УГО_блоки,3,FALSE),VLOOKUP(BY692,УГО_блоки,2,FALSE)),BY692)))</f>
      </c>
      <c r="BL692" s="129">
        <f t="shared" si="461"/>
      </c>
      <c r="BM692" s="129">
        <f>IF(H692="","",IF(COUNTIF($H$3:H692,H692)=1,MAX($BM$2:BM691)+1,""))</f>
      </c>
      <c r="BN692" s="129">
        <f>IF(I692="","",IF(COUNTIF($I$3:I692,I692)+COUNTIF($J$2:J691,I692)+COUNTIF($K$2:K691,I692)=1,MAX($BN$2:BP691)+1,""))</f>
      </c>
      <c r="BO692" s="129">
        <f>IF(J692="","",IF(COUNTIF($I$3:I692,J692)+COUNTIF($J$3:J692,J692)+COUNTIF($K$2:K691,J692)=1,MAX($BN$2:BP691,BN692)+1,""))</f>
      </c>
      <c r="BP692" s="129">
        <f>IF(K692="","",IF(COUNTIF($I$3:I692,K692)+COUNTIF($J$3:J692,K692)+COUNTIF($K$3:K692,K692)=1,MAX($BN$2:BP691,BN692,BO692)+1,""))</f>
      </c>
      <c r="BQ692" s="129">
        <f>IF(AY692=1,IFERROR(MID(Q692,FIND(" (",Q692)+2,FIND(")",Q692,FIND(" (",Q692))-FIND(" (",Q692)-2),"?"),"")</f>
      </c>
      <c r="BR692" s="129">
        <f>IF(BQ692="","",IF(COUNTIF($BQ$3:BQ692,BQ692)=1,MAX($BR$2:BR691)+1,""))</f>
      </c>
      <c r="BS692" s="129">
        <f>IF(AW692="","",COUNTIF($AW$3:AW692,"?*"))</f>
      </c>
      <c r="BT692" s="129">
        <f>IF(OR(AW692="",AI692=""),"",IF(COUNTIFS($AW$3:AW692,"?*",$AI$3:AI692,AI692)=1,MAX($BT$2:BT691)+1,""))</f>
      </c>
      <c r="BU692" s="129">
        <f>IF(AE692="",0,IF(OR(ISNUMBER(SEARCH("дубль",AE692)),ISNUMBER(SEARCH("ПЕРЕГРУЗ",AE692)),ISNUMBER(SEARCH("ЗАЩИЩ",AE692)),ISNUMBER(SEARCH("КАНАЛ",AE692)),ISNUMBER(SEARCH("без 30",AE692))),2,1))</f>
      </c>
      <c r="BV692" s="129">
        <f>IF(R692="","",COUNTIF($R$3:R692,"?*"))</f>
      </c>
      <c r="BW692" s="129">
        <f>IF(AY692&lt;&gt;1,0,IF(MAX(IFERROR(--VLOOKUP(R692,УГО_спр,5,FALSE),0),IFERROR(--VLOOKUP(AL692,УГО_спр,5,FALSE),0),IFERROR(--VLOOKUP(LEFT(AL692,2),УГО_спр,5,FALSE),0))&gt;0,MAX(IFERROR(--VLOOKUP(R692,УГО_спр,5,FALSE),0),IFERROR(--VLOOKUP(AL692,УГО_спр,5,FALSE),0),IFERROR(--VLOOKUP(LEFT(AL692,2),УГО_спр,5,FALSE),0)),IF(IFERROR(--LEFT(SUBSTITUTE(BQ692,"x","х"),FIND("х",SUBSTITUTE(BQ692,"x","х"))-1),3)&gt;3,Каталог!$S$9,1)))</f>
      </c>
      <c r="BX692" s="129">
        <f>IF(AY692&lt;&gt;1,0,MAX(0,IFERROR(--LEFT(SUBSTITUTE(BQ692,"x","х"),FIND("х",SUBSTITUTE(BQ692,"x","х"))-1),3)-3*BW692))</f>
      </c>
      <c r="BY692" s="129">
        <f>IF(R692="","",IFERROR(VLOOKUP(R692,УГО_спр,2,FALSE),IFERROR(VLOOKUP(AL692,УГО_спр,2,FALSE),IFERROR(VLOOKUP(LEFT(AL692,2),УГО_спр,2,FALSE),""))))</f>
      </c>
    </row>
    <row r="693" spans="1:64" x14ac:dyDescent="0.3">
      <c r="A693" s="135">
        <f>IF(Разбивка_по_щитам!F693=0,"",Разбивка_по_щитам!F693)</f>
        <v/>
      </c>
      <c r="B693" s="138">
        <f>IF(A693="","",Разбивка_по_щитам!C693)</f>
        <v/>
      </c>
      <c r="C693" s="138">
        <f t="shared" si="422"/>
        <v/>
      </c>
      <c r="D693" s="266"/>
      <c r="E693" s="266"/>
      <c r="F693" s="267"/>
      <c r="G693" s="145">
        <f t="shared" si="423"/>
        <v/>
      </c>
      <c r="H693" s="145">
        <f t="shared" si="424"/>
        <v/>
      </c>
      <c r="I693" s="266"/>
      <c r="J693" s="267"/>
      <c r="K693" s="267"/>
      <c r="L693" s="266"/>
      <c r="M693" s="147">
        <f t="shared" si="425"/>
        <v/>
      </c>
      <c r="N693" s="267"/>
      <c r="O693" s="147">
        <f t="shared" si="426"/>
        <v/>
      </c>
      <c r="P693" s="268">
        <f>IF(AY693=1,"XT"&amp;COUNTIFS($A$3:A693,A693,$AY$3:AY693,1),"")</f>
        <v/>
      </c>
      <c r="Q693" s="152">
        <f>IF(R693="","",IFERROR(SUBSTITUTE(Разбивка_по_щитам!P693,CHAR(10)," "),""))</f>
        <v/>
      </c>
      <c r="R693" s="153">
        <f>IF(OR(Разбивка_по_щитам!H693="",Разбивка_по_щитам!H693=0),"",Разбивка_по_щитам!H693)</f>
        <v/>
      </c>
      <c r="S693" s="154">
        <f>IF(R693="","",IFERROR(Разбивка_по_щитам!J693&amp;"",""))</f>
        <v/>
      </c>
      <c r="T693" s="155">
        <f>IF(R693="","",IFERROR(--Разбивка_по_щитам!L693,""))</f>
        <v/>
      </c>
      <c r="U693" s="155">
        <f>IF(R693="","",IFERROR(--Разбивка_по_щитам!K693,""))</f>
        <v/>
      </c>
      <c r="V693" s="138">
        <f>IF(R693="","",IFERROR(IF(Разбивка_по_щитам!M693=0,"",Разбивка_по_щитам!M693),""))</f>
        <v/>
      </c>
      <c r="W693" s="156">
        <f t="shared" si="427"/>
        <v/>
      </c>
      <c r="X693" s="157">
        <f t="shared" si="428"/>
        <v/>
      </c>
      <c r="Y693" s="266"/>
      <c r="Z693" s="158">
        <f t="shared" si="429"/>
        <v/>
      </c>
      <c r="AA693" s="160">
        <f t="shared" si="430"/>
        <v/>
      </c>
      <c r="AB693" s="160">
        <f>IF(R693="","",IFERROR(LOOKUP(INDEX(Справочная!$I$4:$I$19,MATCH(VLOOKUP(R693,Исходные_данные,22,FALSE),Справочная!$J$4:$J$19,0)+1),{6,10,16,20,25,32,40,50,63,80,100,125}),""))</f>
        <v/>
      </c>
      <c r="AC693" s="160">
        <f t="shared" si="431"/>
        <v/>
      </c>
      <c r="AD693" s="161">
        <f t="shared" si="432"/>
        <v/>
      </c>
      <c r="AE693" s="161">
        <f>IF(AND(R693="",G693=""),"",_xlfn.TEXTJOIN("; ",TRUE,IF(AND(R693&lt;&gt;"",V693=""),"нет фазы",""),IF(AND(R693&lt;&gt;"",N(T693)=0),"нет мощности",""),IF(AND(P693&lt;&gt;"",COUNTIFS($A$3:$A$1000,A693,$P$3:$P$1000,P693)&gt;1),"дубль клеммы "&amp;P693,""),IF(AND(W693&lt;&gt;"",W693&lt;&gt;"ok"),W693,""),IF(X693&lt;&gt;"",X693,""),IF(AND(ISNUMBER(SEARCH("(5х",Q693)),N(AK693)=1),"5 жил на 1 фазе",""),IF(AND(AL693="R",E693&lt;&gt;"",N(AS693)=0),"розетка без 30 мА",""),IF(IFERROR(_xlfn.NUMBERVALUE(MID(Q693,FIND("-",Q693,FIND("L=",Q693))+1,FIND("%",Q693)-FIND("-",Q693,FIND("L=",Q693))-1),","),0)&gt;4,"потери &gt; 4 %","")))</f>
      </c>
      <c r="AF693" s="129">
        <f>IF(E693&lt;&gt;"",COUNTIFS($A$3:A693,A693,$E$3:E693,"?*"),IF(OR(A693&lt;&gt;A692,Y693="вручную"),"",AF692))</f>
        <v/>
      </c>
      <c r="AG693" s="129">
        <f t="shared" si="433"/>
        <v/>
      </c>
      <c r="AH693" s="129">
        <f t="shared" si="434"/>
        <v/>
      </c>
      <c r="AI693" s="129">
        <f t="shared" si="435"/>
        <v/>
      </c>
      <c r="AJ693" s="129">
        <f t="shared" si="436"/>
        <v/>
      </c>
      <c r="AK693" s="129">
        <f t="shared" si="437"/>
        <v/>
      </c>
      <c r="AL693" s="129">
        <f t="shared" si="438"/>
        <v/>
      </c>
      <c r="AM693" s="129">
        <f t="shared" si="439"/>
      </c>
      <c r="AN693" s="129">
        <f t="shared" si="440"/>
      </c>
      <c r="AO693" s="129">
        <f t="shared" si="441"/>
        <v/>
      </c>
      <c r="AP693" s="129">
        <f t="shared" si="442"/>
        <v/>
      </c>
      <c r="AQ693" s="129">
        <f t="shared" si="443"/>
        <v/>
      </c>
      <c r="AR693" s="129">
        <f t="shared" si="444"/>
        <v/>
      </c>
      <c r="AS693" s="129">
        <f t="shared" si="445"/>
        <v/>
      </c>
      <c r="AT693" s="129">
        <f t="shared" si="446"/>
        <v/>
      </c>
      <c r="AU693" s="129">
        <f t="shared" si="447"/>
        <v/>
      </c>
      <c r="AV693" s="129">
        <f t="shared" si="448"/>
        <v/>
      </c>
      <c r="AW693" s="129">
        <f>IF(AV693="","",AV693&amp;"."&amp;COUNTIFS($A$3:A693,A693,$AV$3:AV693,AV693))</f>
        <v/>
      </c>
      <c r="AX693" s="129">
        <f t="shared" si="449"/>
        <v/>
      </c>
      <c r="AY693" s="129">
        <f>IF(N693="б/к",0,IF(OR(ISNUMBER(SEARCH("L=",Разбивка_по_щитам!P693)),N693="+",N693="="),1,0))</f>
      </c>
      <c r="AZ693" s="129">
        <f t="shared" si="450"/>
        <v/>
      </c>
      <c r="BA693" s="129">
        <f t="shared" si="451"/>
      </c>
      <c r="BB693" s="129">
        <f t="shared" si="452"/>
      </c>
      <c r="BD693" s="129">
        <f t="shared" si="453"/>
      </c>
      <c r="BE693" s="129">
        <f t="shared" si="454"/>
      </c>
      <c r="BF693" s="129">
        <f t="shared" si="455"/>
      </c>
      <c r="BG693" s="129">
        <f t="shared" si="456"/>
        <v/>
      </c>
      <c r="BH693" s="129">
        <f t="shared" si="457"/>
        <v/>
      </c>
      <c r="BI693" s="129">
        <f t="shared" si="458"/>
        <v/>
      </c>
      <c r="BJ693" s="129">
        <f t="shared" si="459"/>
        <v/>
      </c>
      <c r="BK693" s="129">
        <f>IF(R693="","",IF(OR(BY693="",BY693=0),"BOX",IFERROR(IF(VLOOKUP(BY693,УГО_блоки,3,FALSE)&amp;""&lt;&gt;"",VLOOKUP(BY693,УГО_блоки,3,FALSE),VLOOKUP(BY693,УГО_блоки,2,FALSE)),BY693)))</f>
      </c>
      <c r="BL693" s="129">
        <f t="shared" si="461"/>
      </c>
      <c r="BM693" s="129">
        <f>IF(H693="","",IF(COUNTIF($H$3:H693,H693)=1,MAX($BM$2:BM692)+1,""))</f>
      </c>
      <c r="BN693" s="129">
        <f>IF(I693="","",IF(COUNTIF($I$3:I693,I693)+COUNTIF($J$2:J692,I693)+COUNTIF($K$2:K692,I693)=1,MAX($BN$2:BP692)+1,""))</f>
      </c>
      <c r="BO693" s="129">
        <f>IF(J693="","",IF(COUNTIF($I$3:I693,J693)+COUNTIF($J$3:J693,J693)+COUNTIF($K$2:K692,J693)=1,MAX($BN$2:BP692,BN693)+1,""))</f>
      </c>
      <c r="BP693" s="129">
        <f>IF(K693="","",IF(COUNTIF($I$3:I693,K693)+COUNTIF($J$3:J693,K693)+COUNTIF($K$3:K693,K693)=1,MAX($BN$2:BP692,BN693,BO693)+1,""))</f>
      </c>
      <c r="BQ693" s="129">
        <f>IF(AY693=1,IFERROR(MID(Q693,FIND(" (",Q693)+2,FIND(")",Q693,FIND(" (",Q693))-FIND(" (",Q693)-2),"?"),"")</f>
      </c>
      <c r="BR693" s="129">
        <f>IF(BQ693="","",IF(COUNTIF($BQ$3:BQ693,BQ693)=1,MAX($BR$2:BR692)+1,""))</f>
      </c>
      <c r="BS693" s="129">
        <f>IF(AW693="","",COUNTIF($AW$3:AW693,"?*"))</f>
      </c>
      <c r="BT693" s="129">
        <f>IF(OR(AW693="",AI693=""),"",IF(COUNTIFS($AW$3:AW693,"?*",$AI$3:AI693,AI693)=1,MAX($BT$2:BT692)+1,""))</f>
      </c>
      <c r="BU693" s="129">
        <f>IF(AE693="",0,IF(OR(ISNUMBER(SEARCH("дубль",AE693)),ISNUMBER(SEARCH("ПЕРЕГРУЗ",AE693)),ISNUMBER(SEARCH("ЗАЩИЩ",AE693)),ISNUMBER(SEARCH("КАНАЛ",AE693)),ISNUMBER(SEARCH("без 30",AE693))),2,1))</f>
      </c>
      <c r="BV693" s="129">
        <f>IF(R693="","",COUNTIF($R$3:R693,"?*"))</f>
      </c>
      <c r="BW693" s="129">
        <f>IF(AY693&lt;&gt;1,0,IF(MAX(IFERROR(--VLOOKUP(R693,УГО_спр,5,FALSE),0),IFERROR(--VLOOKUP(AL693,УГО_спр,5,FALSE),0),IFERROR(--VLOOKUP(LEFT(AL693,2),УГО_спр,5,FALSE),0))&gt;0,MAX(IFERROR(--VLOOKUP(R693,УГО_спр,5,FALSE),0),IFERROR(--VLOOKUP(AL693,УГО_спр,5,FALSE),0),IFERROR(--VLOOKUP(LEFT(AL693,2),УГО_спр,5,FALSE),0)),IF(IFERROR(--LEFT(SUBSTITUTE(BQ693,"x","х"),FIND("х",SUBSTITUTE(BQ693,"x","х"))-1),3)&gt;3,Каталог!$S$9,1)))</f>
      </c>
      <c r="BX693" s="129">
        <f>IF(AY693&lt;&gt;1,0,MAX(0,IFERROR(--LEFT(SUBSTITUTE(BQ693,"x","х"),FIND("х",SUBSTITUTE(BQ693,"x","х"))-1),3)-3*BW693))</f>
      </c>
      <c r="BY693" s="129">
        <f>IF(R693="","",IFERROR(VLOOKUP(R693,УГО_спр,2,FALSE),IFERROR(VLOOKUP(AL693,УГО_спр,2,FALSE),IFERROR(VLOOKUP(LEFT(AL693,2),УГО_спр,2,FALSE),""))))</f>
      </c>
    </row>
    <row r="694" spans="1:64" x14ac:dyDescent="0.3">
      <c r="A694" s="135">
        <f>IF(Разбивка_по_щитам!F694=0,"",Разбивка_по_щитам!F694)</f>
        <v/>
      </c>
      <c r="B694" s="138">
        <f>IF(A694="","",Разбивка_по_щитам!C694)</f>
        <v/>
      </c>
      <c r="C694" s="138">
        <f t="shared" si="422"/>
        <v/>
      </c>
      <c r="D694" s="266"/>
      <c r="E694" s="266"/>
      <c r="F694" s="267"/>
      <c r="G694" s="145">
        <f t="shared" si="423"/>
        <v/>
      </c>
      <c r="H694" s="145">
        <f t="shared" si="424"/>
        <v/>
      </c>
      <c r="I694" s="266"/>
      <c r="J694" s="267"/>
      <c r="K694" s="267"/>
      <c r="L694" s="266"/>
      <c r="M694" s="147">
        <f t="shared" si="425"/>
        <v/>
      </c>
      <c r="N694" s="267"/>
      <c r="O694" s="147">
        <f t="shared" si="426"/>
        <v/>
      </c>
      <c r="P694" s="268">
        <f>IF(AY694=1,"XT"&amp;COUNTIFS($A$3:A694,A694,$AY$3:AY694,1),"")</f>
        <v/>
      </c>
      <c r="Q694" s="152">
        <f>IF(R694="","",IFERROR(SUBSTITUTE(Разбивка_по_щитам!P694,CHAR(10)," "),""))</f>
        <v/>
      </c>
      <c r="R694" s="153">
        <f>IF(OR(Разбивка_по_щитам!H694="",Разбивка_по_щитам!H694=0),"",Разбивка_по_щитам!H694)</f>
        <v/>
      </c>
      <c r="S694" s="154">
        <f>IF(R694="","",IFERROR(Разбивка_по_щитам!J694&amp;"",""))</f>
        <v/>
      </c>
      <c r="T694" s="155">
        <f>IF(R694="","",IFERROR(--Разбивка_по_щитам!L694,""))</f>
        <v/>
      </c>
      <c r="U694" s="155">
        <f>IF(R694="","",IFERROR(--Разбивка_по_щитам!K694,""))</f>
        <v/>
      </c>
      <c r="V694" s="138">
        <f>IF(R694="","",IFERROR(IF(Разбивка_по_щитам!M694=0,"",Разбивка_по_щитам!M694),""))</f>
        <v/>
      </c>
      <c r="W694" s="156">
        <f t="shared" si="427"/>
        <v/>
      </c>
      <c r="X694" s="157">
        <f t="shared" si="428"/>
        <v/>
      </c>
      <c r="Y694" s="266"/>
      <c r="Z694" s="158">
        <f t="shared" si="429"/>
        <v/>
      </c>
      <c r="AA694" s="160">
        <f t="shared" si="430"/>
        <v/>
      </c>
      <c r="AB694" s="160">
        <f>IF(R694="","",IFERROR(LOOKUP(INDEX(Справочная!$I$4:$I$19,MATCH(VLOOKUP(R694,Исходные_данные,22,FALSE),Справочная!$J$4:$J$19,0)+1),{6,10,16,20,25,32,40,50,63,80,100,125}),""))</f>
        <v/>
      </c>
      <c r="AC694" s="160">
        <f t="shared" si="431"/>
        <v/>
      </c>
      <c r="AD694" s="161">
        <f t="shared" si="432"/>
        <v/>
      </c>
      <c r="AE694" s="161">
        <f>IF(AND(R694="",G694=""),"",_xlfn.TEXTJOIN("; ",TRUE,IF(AND(R694&lt;&gt;"",V694=""),"нет фазы",""),IF(AND(R694&lt;&gt;"",N(T694)=0),"нет мощности",""),IF(AND(P694&lt;&gt;"",COUNTIFS($A$3:$A$1000,A694,$P$3:$P$1000,P694)&gt;1),"дубль клеммы "&amp;P694,""),IF(AND(W694&lt;&gt;"",W694&lt;&gt;"ok"),W694,""),IF(X694&lt;&gt;"",X694,""),IF(AND(ISNUMBER(SEARCH("(5х",Q694)),N(AK694)=1),"5 жил на 1 фазе",""),IF(AND(AL694="R",E694&lt;&gt;"",N(AS694)=0),"розетка без 30 мА",""),IF(IFERROR(_xlfn.NUMBERVALUE(MID(Q694,FIND("-",Q694,FIND("L=",Q694))+1,FIND("%",Q694)-FIND("-",Q694,FIND("L=",Q694))-1),","),0)&gt;4,"потери &gt; 4 %","")))</f>
      </c>
      <c r="AF694" s="129">
        <f>IF(E694&lt;&gt;"",COUNTIFS($A$3:A694,A694,$E$3:E694,"?*"),IF(OR(A694&lt;&gt;A693,Y694="вручную"),"",AF693))</f>
        <v/>
      </c>
      <c r="AG694" s="129">
        <f t="shared" si="433"/>
        <v/>
      </c>
      <c r="AH694" s="129">
        <f t="shared" si="434"/>
        <v/>
      </c>
      <c r="AI694" s="129">
        <f t="shared" si="435"/>
        <v/>
      </c>
      <c r="AJ694" s="129">
        <f t="shared" si="436"/>
        <v/>
      </c>
      <c r="AK694" s="129">
        <f t="shared" si="437"/>
        <v/>
      </c>
      <c r="AL694" s="129">
        <f t="shared" si="438"/>
        <v/>
      </c>
      <c r="AM694" s="129">
        <f t="shared" si="439"/>
      </c>
      <c r="AN694" s="129">
        <f t="shared" si="440"/>
      </c>
      <c r="AO694" s="129">
        <f t="shared" si="441"/>
        <v/>
      </c>
      <c r="AP694" s="129">
        <f t="shared" si="442"/>
        <v/>
      </c>
      <c r="AQ694" s="129">
        <f t="shared" si="443"/>
        <v/>
      </c>
      <c r="AR694" s="129">
        <f t="shared" si="444"/>
        <v/>
      </c>
      <c r="AS694" s="129">
        <f t="shared" si="445"/>
        <v/>
      </c>
      <c r="AT694" s="129">
        <f t="shared" si="446"/>
        <v/>
      </c>
      <c r="AU694" s="129">
        <f t="shared" si="447"/>
        <v/>
      </c>
      <c r="AV694" s="129">
        <f t="shared" si="448"/>
        <v/>
      </c>
      <c r="AW694" s="129">
        <f>IF(AV694="","",AV694&amp;"."&amp;COUNTIFS($A$3:A694,A694,$AV$3:AV694,AV694))</f>
        <v/>
      </c>
      <c r="AX694" s="129">
        <f t="shared" si="449"/>
        <v/>
      </c>
      <c r="AY694" s="129">
        <f>IF(N694="б/к",0,IF(OR(ISNUMBER(SEARCH("L=",Разбивка_по_щитам!P694)),N694="+",N694="="),1,0))</f>
      </c>
      <c r="AZ694" s="129">
        <f t="shared" si="450"/>
        <v/>
      </c>
      <c r="BA694" s="129">
        <f t="shared" si="451"/>
      </c>
      <c r="BB694" s="129">
        <f t="shared" si="452"/>
      </c>
      <c r="BD694" s="129">
        <f t="shared" si="453"/>
      </c>
      <c r="BE694" s="129">
        <f t="shared" si="454"/>
      </c>
      <c r="BF694" s="129">
        <f t="shared" si="455"/>
      </c>
      <c r="BG694" s="129">
        <f t="shared" si="456"/>
        <v/>
      </c>
      <c r="BH694" s="129">
        <f t="shared" si="457"/>
        <v/>
      </c>
      <c r="BI694" s="129">
        <f t="shared" si="458"/>
        <v/>
      </c>
      <c r="BJ694" s="129">
        <f t="shared" si="459"/>
        <v/>
      </c>
      <c r="BK694" s="129">
        <f>IF(R694="","",IF(OR(BY694="",BY694=0),"BOX",IFERROR(IF(VLOOKUP(BY694,УГО_блоки,3,FALSE)&amp;""&lt;&gt;"",VLOOKUP(BY694,УГО_блоки,3,FALSE),VLOOKUP(BY694,УГО_блоки,2,FALSE)),BY694)))</f>
      </c>
      <c r="BL694" s="129">
        <f t="shared" si="461"/>
      </c>
      <c r="BM694" s="129">
        <f>IF(H694="","",IF(COUNTIF($H$3:H694,H694)=1,MAX($BM$2:BM693)+1,""))</f>
      </c>
      <c r="BN694" s="129">
        <f>IF(I694="","",IF(COUNTIF($I$3:I694,I694)+COUNTIF($J$2:J693,I694)+COUNTIF($K$2:K693,I694)=1,MAX($BN$2:BP693)+1,""))</f>
      </c>
      <c r="BO694" s="129">
        <f>IF(J694="","",IF(COUNTIF($I$3:I694,J694)+COUNTIF($J$3:J694,J694)+COUNTIF($K$2:K693,J694)=1,MAX($BN$2:BP693,BN694)+1,""))</f>
      </c>
      <c r="BP694" s="129">
        <f>IF(K694="","",IF(COUNTIF($I$3:I694,K694)+COUNTIF($J$3:J694,K694)+COUNTIF($K$3:K694,K694)=1,MAX($BN$2:BP693,BN694,BO694)+1,""))</f>
      </c>
      <c r="BQ694" s="129">
        <f>IF(AY694=1,IFERROR(MID(Q694,FIND(" (",Q694)+2,FIND(")",Q694,FIND(" (",Q694))-FIND(" (",Q694)-2),"?"),"")</f>
      </c>
      <c r="BR694" s="129">
        <f>IF(BQ694="","",IF(COUNTIF($BQ$3:BQ694,BQ694)=1,MAX($BR$2:BR693)+1,""))</f>
      </c>
      <c r="BS694" s="129">
        <f>IF(AW694="","",COUNTIF($AW$3:AW694,"?*"))</f>
      </c>
      <c r="BT694" s="129">
        <f>IF(OR(AW694="",AI694=""),"",IF(COUNTIFS($AW$3:AW694,"?*",$AI$3:AI694,AI694)=1,MAX($BT$2:BT693)+1,""))</f>
      </c>
      <c r="BU694" s="129">
        <f>IF(AE694="",0,IF(OR(ISNUMBER(SEARCH("дубль",AE694)),ISNUMBER(SEARCH("ПЕРЕГРУЗ",AE694)),ISNUMBER(SEARCH("ЗАЩИЩ",AE694)),ISNUMBER(SEARCH("КАНАЛ",AE694)),ISNUMBER(SEARCH("без 30",AE694))),2,1))</f>
      </c>
      <c r="BV694" s="129">
        <f>IF(R694="","",COUNTIF($R$3:R694,"?*"))</f>
      </c>
      <c r="BW694" s="129">
        <f>IF(AY694&lt;&gt;1,0,IF(MAX(IFERROR(--VLOOKUP(R694,УГО_спр,5,FALSE),0),IFERROR(--VLOOKUP(AL694,УГО_спр,5,FALSE),0),IFERROR(--VLOOKUP(LEFT(AL694,2),УГО_спр,5,FALSE),0))&gt;0,MAX(IFERROR(--VLOOKUP(R694,УГО_спр,5,FALSE),0),IFERROR(--VLOOKUP(AL694,УГО_спр,5,FALSE),0),IFERROR(--VLOOKUP(LEFT(AL694,2),УГО_спр,5,FALSE),0)),IF(IFERROR(--LEFT(SUBSTITUTE(BQ694,"x","х"),FIND("х",SUBSTITUTE(BQ694,"x","х"))-1),3)&gt;3,Каталог!$S$9,1)))</f>
      </c>
      <c r="BX694" s="129">
        <f>IF(AY694&lt;&gt;1,0,MAX(0,IFERROR(--LEFT(SUBSTITUTE(BQ694,"x","х"),FIND("х",SUBSTITUTE(BQ694,"x","х"))-1),3)-3*BW694))</f>
      </c>
      <c r="BY694" s="129">
        <f>IF(R694="","",IFERROR(VLOOKUP(R694,УГО_спр,2,FALSE),IFERROR(VLOOKUP(AL694,УГО_спр,2,FALSE),IFERROR(VLOOKUP(LEFT(AL694,2),УГО_спр,2,FALSE),""))))</f>
      </c>
    </row>
    <row r="695" spans="1:64" x14ac:dyDescent="0.3">
      <c r="A695" s="135">
        <f>IF(Разбивка_по_щитам!F695=0,"",Разбивка_по_щитам!F695)</f>
        <v/>
      </c>
      <c r="B695" s="138">
        <f>IF(A695="","",Разбивка_по_щитам!C695)</f>
        <v/>
      </c>
      <c r="C695" s="138">
        <f t="shared" si="422"/>
        <v/>
      </c>
      <c r="D695" s="266"/>
      <c r="E695" s="266"/>
      <c r="F695" s="267"/>
      <c r="G695" s="145">
        <f t="shared" si="423"/>
        <v/>
      </c>
      <c r="H695" s="145">
        <f t="shared" si="424"/>
        <v/>
      </c>
      <c r="I695" s="266"/>
      <c r="J695" s="267"/>
      <c r="K695" s="267"/>
      <c r="L695" s="266"/>
      <c r="M695" s="147">
        <f t="shared" si="425"/>
        <v/>
      </c>
      <c r="N695" s="267"/>
      <c r="O695" s="147">
        <f t="shared" si="426"/>
        <v/>
      </c>
      <c r="P695" s="268">
        <f>IF(AY695=1,"XT"&amp;COUNTIFS($A$3:A695,A695,$AY$3:AY695,1),"")</f>
        <v/>
      </c>
      <c r="Q695" s="152">
        <f>IF(R695="","",IFERROR(SUBSTITUTE(Разбивка_по_щитам!P695,CHAR(10)," "),""))</f>
        <v/>
      </c>
      <c r="R695" s="153">
        <f>IF(OR(Разбивка_по_щитам!H695="",Разбивка_по_щитам!H695=0),"",Разбивка_по_щитам!H695)</f>
        <v/>
      </c>
      <c r="S695" s="154">
        <f>IF(R695="","",IFERROR(Разбивка_по_щитам!J695&amp;"",""))</f>
        <v/>
      </c>
      <c r="T695" s="155">
        <f>IF(R695="","",IFERROR(--Разбивка_по_щитам!L695,""))</f>
        <v/>
      </c>
      <c r="U695" s="155">
        <f>IF(R695="","",IFERROR(--Разбивка_по_щитам!K695,""))</f>
        <v/>
      </c>
      <c r="V695" s="138">
        <f>IF(R695="","",IFERROR(IF(Разбивка_по_щитам!M695=0,"",Разбивка_по_щитам!M695),""))</f>
        <v/>
      </c>
      <c r="W695" s="156">
        <f t="shared" si="427"/>
        <v/>
      </c>
      <c r="X695" s="157">
        <f t="shared" si="428"/>
        <v/>
      </c>
      <c r="Y695" s="266"/>
      <c r="Z695" s="158">
        <f t="shared" si="429"/>
        <v/>
      </c>
      <c r="AA695" s="160">
        <f t="shared" si="430"/>
        <v/>
      </c>
      <c r="AB695" s="160">
        <f>IF(R695="","",IFERROR(LOOKUP(INDEX(Справочная!$I$4:$I$19,MATCH(VLOOKUP(R695,Исходные_данные,22,FALSE),Справочная!$J$4:$J$19,0)+1),{6,10,16,20,25,32,40,50,63,80,100,125}),""))</f>
        <v/>
      </c>
      <c r="AC695" s="160">
        <f t="shared" si="431"/>
        <v/>
      </c>
      <c r="AD695" s="161">
        <f t="shared" si="432"/>
        <v/>
      </c>
      <c r="AE695" s="161">
        <f>IF(AND(R695="",G695=""),"",_xlfn.TEXTJOIN("; ",TRUE,IF(AND(R695&lt;&gt;"",V695=""),"нет фазы",""),IF(AND(R695&lt;&gt;"",N(T695)=0),"нет мощности",""),IF(AND(P695&lt;&gt;"",COUNTIFS($A$3:$A$1000,A695,$P$3:$P$1000,P695)&gt;1),"дубль клеммы "&amp;P695,""),IF(AND(W695&lt;&gt;"",W695&lt;&gt;"ok"),W695,""),IF(X695&lt;&gt;"",X695,""),IF(AND(ISNUMBER(SEARCH("(5х",Q695)),N(AK695)=1),"5 жил на 1 фазе",""),IF(AND(AL695="R",E695&lt;&gt;"",N(AS695)=0),"розетка без 30 мА",""),IF(IFERROR(_xlfn.NUMBERVALUE(MID(Q695,FIND("-",Q695,FIND("L=",Q695))+1,FIND("%",Q695)-FIND("-",Q695,FIND("L=",Q695))-1),","),0)&gt;4,"потери &gt; 4 %","")))</f>
      </c>
      <c r="AF695" s="129">
        <f>IF(E695&lt;&gt;"",COUNTIFS($A$3:A695,A695,$E$3:E695,"?*"),IF(OR(A695&lt;&gt;A694,Y695="вручную"),"",AF694))</f>
        <v/>
      </c>
      <c r="AG695" s="129">
        <f t="shared" si="433"/>
        <v/>
      </c>
      <c r="AH695" s="129">
        <f t="shared" si="434"/>
        <v/>
      </c>
      <c r="AI695" s="129">
        <f t="shared" si="435"/>
        <v/>
      </c>
      <c r="AJ695" s="129">
        <f t="shared" si="436"/>
        <v/>
      </c>
      <c r="AK695" s="129">
        <f t="shared" si="437"/>
        <v/>
      </c>
      <c r="AL695" s="129">
        <f t="shared" si="438"/>
        <v/>
      </c>
      <c r="AM695" s="129">
        <f t="shared" si="439"/>
      </c>
      <c r="AN695" s="129">
        <f t="shared" si="440"/>
      </c>
      <c r="AO695" s="129">
        <f t="shared" si="441"/>
        <v/>
      </c>
      <c r="AP695" s="129">
        <f t="shared" si="442"/>
        <v/>
      </c>
      <c r="AQ695" s="129">
        <f t="shared" si="443"/>
        <v/>
      </c>
      <c r="AR695" s="129">
        <f t="shared" si="444"/>
        <v/>
      </c>
      <c r="AS695" s="129">
        <f t="shared" si="445"/>
        <v/>
      </c>
      <c r="AT695" s="129">
        <f t="shared" si="446"/>
        <v/>
      </c>
      <c r="AU695" s="129">
        <f t="shared" si="447"/>
        <v/>
      </c>
      <c r="AV695" s="129">
        <f t="shared" si="448"/>
        <v/>
      </c>
      <c r="AW695" s="129">
        <f>IF(AV695="","",AV695&amp;"."&amp;COUNTIFS($A$3:A695,A695,$AV$3:AV695,AV695))</f>
        <v/>
      </c>
      <c r="AX695" s="129">
        <f t="shared" si="449"/>
        <v/>
      </c>
      <c r="AY695" s="129">
        <f>IF(N695="б/к",0,IF(OR(ISNUMBER(SEARCH("L=",Разбивка_по_щитам!P695)),N695="+",N695="="),1,0))</f>
      </c>
      <c r="AZ695" s="129">
        <f t="shared" si="450"/>
        <v/>
      </c>
      <c r="BA695" s="129">
        <f t="shared" si="451"/>
      </c>
      <c r="BB695" s="129">
        <f t="shared" si="452"/>
      </c>
      <c r="BD695" s="129">
        <f t="shared" si="453"/>
      </c>
      <c r="BE695" s="129">
        <f t="shared" si="454"/>
      </c>
      <c r="BF695" s="129">
        <f t="shared" si="455"/>
      </c>
      <c r="BG695" s="129">
        <f t="shared" si="456"/>
        <v/>
      </c>
      <c r="BH695" s="129">
        <f t="shared" si="457"/>
        <v/>
      </c>
      <c r="BI695" s="129">
        <f t="shared" si="458"/>
        <v/>
      </c>
      <c r="BJ695" s="129">
        <f t="shared" si="459"/>
        <v/>
      </c>
      <c r="BK695" s="129">
        <f>IF(R695="","",IF(OR(BY695="",BY695=0),"BOX",IFERROR(IF(VLOOKUP(BY695,УГО_блоки,3,FALSE)&amp;""&lt;&gt;"",VLOOKUP(BY695,УГО_блоки,3,FALSE),VLOOKUP(BY695,УГО_блоки,2,FALSE)),BY695)))</f>
      </c>
      <c r="BL695" s="129">
        <f t="shared" si="461"/>
      </c>
      <c r="BM695" s="129">
        <f>IF(H695="","",IF(COUNTIF($H$3:H695,H695)=1,MAX($BM$2:BM694)+1,""))</f>
      </c>
      <c r="BN695" s="129">
        <f>IF(I695="","",IF(COUNTIF($I$3:I695,I695)+COUNTIF($J$2:J694,I695)+COUNTIF($K$2:K694,I695)=1,MAX($BN$2:BP694)+1,""))</f>
      </c>
      <c r="BO695" s="129">
        <f>IF(J695="","",IF(COUNTIF($I$3:I695,J695)+COUNTIF($J$3:J695,J695)+COUNTIF($K$2:K694,J695)=1,MAX($BN$2:BP694,BN695)+1,""))</f>
      </c>
      <c r="BP695" s="129">
        <f>IF(K695="","",IF(COUNTIF($I$3:I695,K695)+COUNTIF($J$3:J695,K695)+COUNTIF($K$3:K695,K695)=1,MAX($BN$2:BP694,BN695,BO695)+1,""))</f>
      </c>
      <c r="BQ695" s="129">
        <f>IF(AY695=1,IFERROR(MID(Q695,FIND(" (",Q695)+2,FIND(")",Q695,FIND(" (",Q695))-FIND(" (",Q695)-2),"?"),"")</f>
      </c>
      <c r="BR695" s="129">
        <f>IF(BQ695="","",IF(COUNTIF($BQ$3:BQ695,BQ695)=1,MAX($BR$2:BR694)+1,""))</f>
      </c>
      <c r="BS695" s="129">
        <f>IF(AW695="","",COUNTIF($AW$3:AW695,"?*"))</f>
      </c>
      <c r="BT695" s="129">
        <f>IF(OR(AW695="",AI695=""),"",IF(COUNTIFS($AW$3:AW695,"?*",$AI$3:AI695,AI695)=1,MAX($BT$2:BT694)+1,""))</f>
      </c>
      <c r="BU695" s="129">
        <f>IF(AE695="",0,IF(OR(ISNUMBER(SEARCH("дубль",AE695)),ISNUMBER(SEARCH("ПЕРЕГРУЗ",AE695)),ISNUMBER(SEARCH("ЗАЩИЩ",AE695)),ISNUMBER(SEARCH("КАНАЛ",AE695)),ISNUMBER(SEARCH("без 30",AE695))),2,1))</f>
      </c>
      <c r="BV695" s="129">
        <f>IF(R695="","",COUNTIF($R$3:R695,"?*"))</f>
      </c>
      <c r="BW695" s="129">
        <f>IF(AY695&lt;&gt;1,0,IF(MAX(IFERROR(--VLOOKUP(R695,УГО_спр,5,FALSE),0),IFERROR(--VLOOKUP(AL695,УГО_спр,5,FALSE),0),IFERROR(--VLOOKUP(LEFT(AL695,2),УГО_спр,5,FALSE),0))&gt;0,MAX(IFERROR(--VLOOKUP(R695,УГО_спр,5,FALSE),0),IFERROR(--VLOOKUP(AL695,УГО_спр,5,FALSE),0),IFERROR(--VLOOKUP(LEFT(AL695,2),УГО_спр,5,FALSE),0)),IF(IFERROR(--LEFT(SUBSTITUTE(BQ695,"x","х"),FIND("х",SUBSTITUTE(BQ695,"x","х"))-1),3)&gt;3,Каталог!$S$9,1)))</f>
      </c>
      <c r="BX695" s="129">
        <f>IF(AY695&lt;&gt;1,0,MAX(0,IFERROR(--LEFT(SUBSTITUTE(BQ695,"x","х"),FIND("х",SUBSTITUTE(BQ695,"x","х"))-1),3)-3*BW695))</f>
      </c>
      <c r="BY695" s="129">
        <f>IF(R695="","",IFERROR(VLOOKUP(R695,УГО_спр,2,FALSE),IFERROR(VLOOKUP(AL695,УГО_спр,2,FALSE),IFERROR(VLOOKUP(LEFT(AL695,2),УГО_спр,2,FALSE),""))))</f>
      </c>
    </row>
    <row r="696" spans="1:64" x14ac:dyDescent="0.3">
      <c r="A696" s="135">
        <f>IF(Разбивка_по_щитам!F696=0,"",Разбивка_по_щитам!F696)</f>
        <v/>
      </c>
      <c r="B696" s="138">
        <f>IF(A696="","",Разбивка_по_щитам!C696)</f>
        <v/>
      </c>
      <c r="C696" s="138">
        <f t="shared" si="422"/>
        <v/>
      </c>
      <c r="D696" s="266"/>
      <c r="E696" s="266"/>
      <c r="F696" s="267"/>
      <c r="G696" s="145">
        <f t="shared" si="423"/>
        <v/>
      </c>
      <c r="H696" s="145">
        <f t="shared" si="424"/>
        <v/>
      </c>
      <c r="I696" s="266"/>
      <c r="J696" s="267"/>
      <c r="K696" s="267"/>
      <c r="L696" s="266"/>
      <c r="M696" s="147">
        <f t="shared" si="425"/>
        <v/>
      </c>
      <c r="N696" s="267"/>
      <c r="O696" s="147">
        <f t="shared" si="426"/>
        <v/>
      </c>
      <c r="P696" s="268">
        <f>IF(AY696=1,"XT"&amp;COUNTIFS($A$3:A696,A696,$AY$3:AY696,1),"")</f>
        <v/>
      </c>
      <c r="Q696" s="152">
        <f>IF(R696="","",IFERROR(SUBSTITUTE(Разбивка_по_щитам!P696,CHAR(10)," "),""))</f>
        <v/>
      </c>
      <c r="R696" s="153">
        <f>IF(OR(Разбивка_по_щитам!H696="",Разбивка_по_щитам!H696=0),"",Разбивка_по_щитам!H696)</f>
        <v/>
      </c>
      <c r="S696" s="154">
        <f>IF(R696="","",IFERROR(Разбивка_по_щитам!J696&amp;"",""))</f>
        <v/>
      </c>
      <c r="T696" s="155">
        <f>IF(R696="","",IFERROR(--Разбивка_по_щитам!L696,""))</f>
        <v/>
      </c>
      <c r="U696" s="155">
        <f>IF(R696="","",IFERROR(--Разбивка_по_щитам!K696,""))</f>
        <v/>
      </c>
      <c r="V696" s="138">
        <f>IF(R696="","",IFERROR(IF(Разбивка_по_щитам!M696=0,"",Разбивка_по_щитам!M696),""))</f>
        <v/>
      </c>
      <c r="W696" s="156">
        <f t="shared" si="427"/>
        <v/>
      </c>
      <c r="X696" s="157">
        <f t="shared" si="428"/>
        <v/>
      </c>
      <c r="Y696" s="266"/>
      <c r="Z696" s="158">
        <f t="shared" si="429"/>
        <v/>
      </c>
      <c r="AA696" s="160">
        <f t="shared" si="430"/>
        <v/>
      </c>
      <c r="AB696" s="160">
        <f>IF(R696="","",IFERROR(LOOKUP(INDEX(Справочная!$I$4:$I$19,MATCH(VLOOKUP(R696,Исходные_данные,22,FALSE),Справочная!$J$4:$J$19,0)+1),{6,10,16,20,25,32,40,50,63,80,100,125}),""))</f>
        <v/>
      </c>
      <c r="AC696" s="160">
        <f t="shared" si="431"/>
        <v/>
      </c>
      <c r="AD696" s="161">
        <f t="shared" si="432"/>
        <v/>
      </c>
      <c r="AE696" s="161">
        <f>IF(AND(R696="",G696=""),"",_xlfn.TEXTJOIN("; ",TRUE,IF(AND(R696&lt;&gt;"",V696=""),"нет фазы",""),IF(AND(R696&lt;&gt;"",N(T696)=0),"нет мощности",""),IF(AND(P696&lt;&gt;"",COUNTIFS($A$3:$A$1000,A696,$P$3:$P$1000,P696)&gt;1),"дубль клеммы "&amp;P696,""),IF(AND(W696&lt;&gt;"",W696&lt;&gt;"ok"),W696,""),IF(X696&lt;&gt;"",X696,""),IF(AND(ISNUMBER(SEARCH("(5х",Q696)),N(AK696)=1),"5 жил на 1 фазе",""),IF(AND(AL696="R",E696&lt;&gt;"",N(AS696)=0),"розетка без 30 мА",""),IF(IFERROR(_xlfn.NUMBERVALUE(MID(Q696,FIND("-",Q696,FIND("L=",Q696))+1,FIND("%",Q696)-FIND("-",Q696,FIND("L=",Q696))-1),","),0)&gt;4,"потери &gt; 4 %","")))</f>
      </c>
      <c r="AF696" s="129">
        <f>IF(E696&lt;&gt;"",COUNTIFS($A$3:A696,A696,$E$3:E696,"?*"),IF(OR(A696&lt;&gt;A695,Y696="вручную"),"",AF695))</f>
        <v/>
      </c>
      <c r="AG696" s="129">
        <f t="shared" si="433"/>
        <v/>
      </c>
      <c r="AH696" s="129">
        <f t="shared" si="434"/>
        <v/>
      </c>
      <c r="AI696" s="129">
        <f t="shared" si="435"/>
        <v/>
      </c>
      <c r="AJ696" s="129">
        <f t="shared" si="436"/>
        <v/>
      </c>
      <c r="AK696" s="129">
        <f t="shared" si="437"/>
        <v/>
      </c>
      <c r="AL696" s="129">
        <f t="shared" si="438"/>
        <v/>
      </c>
      <c r="AM696" s="129">
        <f t="shared" si="439"/>
      </c>
      <c r="AN696" s="129">
        <f t="shared" si="440"/>
      </c>
      <c r="AO696" s="129">
        <f t="shared" si="441"/>
        <v/>
      </c>
      <c r="AP696" s="129">
        <f t="shared" si="442"/>
        <v/>
      </c>
      <c r="AQ696" s="129">
        <f t="shared" si="443"/>
        <v/>
      </c>
      <c r="AR696" s="129">
        <f t="shared" si="444"/>
        <v/>
      </c>
      <c r="AS696" s="129">
        <f t="shared" si="445"/>
        <v/>
      </c>
      <c r="AT696" s="129">
        <f t="shared" si="446"/>
        <v/>
      </c>
      <c r="AU696" s="129">
        <f t="shared" si="447"/>
        <v/>
      </c>
      <c r="AV696" s="129">
        <f t="shared" si="448"/>
        <v/>
      </c>
      <c r="AW696" s="129">
        <f>IF(AV696="","",AV696&amp;"."&amp;COUNTIFS($A$3:A696,A696,$AV$3:AV696,AV696))</f>
        <v/>
      </c>
      <c r="AX696" s="129">
        <f t="shared" si="449"/>
        <v/>
      </c>
      <c r="AY696" s="129">
        <f>IF(N696="б/к",0,IF(OR(ISNUMBER(SEARCH("L=",Разбивка_по_щитам!P696)),N696="+",N696="="),1,0))</f>
      </c>
      <c r="AZ696" s="129">
        <f t="shared" si="450"/>
        <v/>
      </c>
      <c r="BA696" s="129">
        <f t="shared" si="451"/>
      </c>
      <c r="BB696" s="129">
        <f t="shared" si="452"/>
      </c>
      <c r="BD696" s="129">
        <f t="shared" si="453"/>
      </c>
      <c r="BE696" s="129">
        <f t="shared" si="454"/>
      </c>
      <c r="BF696" s="129">
        <f t="shared" si="455"/>
      </c>
      <c r="BG696" s="129">
        <f t="shared" si="456"/>
        <v/>
      </c>
      <c r="BH696" s="129">
        <f t="shared" si="457"/>
        <v/>
      </c>
      <c r="BI696" s="129">
        <f t="shared" si="458"/>
        <v/>
      </c>
      <c r="BJ696" s="129">
        <f t="shared" si="459"/>
        <v/>
      </c>
      <c r="BK696" s="129">
        <f>IF(R696="","",IF(OR(BY696="",BY696=0),"BOX",IFERROR(IF(VLOOKUP(BY696,УГО_блоки,3,FALSE)&amp;""&lt;&gt;"",VLOOKUP(BY696,УГО_блоки,3,FALSE),VLOOKUP(BY696,УГО_блоки,2,FALSE)),BY696)))</f>
      </c>
      <c r="BL696" s="129">
        <f t="shared" si="461"/>
      </c>
      <c r="BM696" s="129">
        <f>IF(H696="","",IF(COUNTIF($H$3:H696,H696)=1,MAX($BM$2:BM695)+1,""))</f>
      </c>
      <c r="BN696" s="129">
        <f>IF(I696="","",IF(COUNTIF($I$3:I696,I696)+COUNTIF($J$2:J695,I696)+COUNTIF($K$2:K695,I696)=1,MAX($BN$2:BP695)+1,""))</f>
      </c>
      <c r="BO696" s="129">
        <f>IF(J696="","",IF(COUNTIF($I$3:I696,J696)+COUNTIF($J$3:J696,J696)+COUNTIF($K$2:K695,J696)=1,MAX($BN$2:BP695,BN696)+1,""))</f>
      </c>
      <c r="BP696" s="129">
        <f>IF(K696="","",IF(COUNTIF($I$3:I696,K696)+COUNTIF($J$3:J696,K696)+COUNTIF($K$3:K696,K696)=1,MAX($BN$2:BP695,BN696,BO696)+1,""))</f>
      </c>
      <c r="BQ696" s="129">
        <f>IF(AY696=1,IFERROR(MID(Q696,FIND(" (",Q696)+2,FIND(")",Q696,FIND(" (",Q696))-FIND(" (",Q696)-2),"?"),"")</f>
      </c>
      <c r="BR696" s="129">
        <f>IF(BQ696="","",IF(COUNTIF($BQ$3:BQ696,BQ696)=1,MAX($BR$2:BR695)+1,""))</f>
      </c>
      <c r="BS696" s="129">
        <f>IF(AW696="","",COUNTIF($AW$3:AW696,"?*"))</f>
      </c>
      <c r="BT696" s="129">
        <f>IF(OR(AW696="",AI696=""),"",IF(COUNTIFS($AW$3:AW696,"?*",$AI$3:AI696,AI696)=1,MAX($BT$2:BT695)+1,""))</f>
      </c>
      <c r="BU696" s="129">
        <f>IF(AE696="",0,IF(OR(ISNUMBER(SEARCH("дубль",AE696)),ISNUMBER(SEARCH("ПЕРЕГРУЗ",AE696)),ISNUMBER(SEARCH("ЗАЩИЩ",AE696)),ISNUMBER(SEARCH("КАНАЛ",AE696)),ISNUMBER(SEARCH("без 30",AE696))),2,1))</f>
      </c>
      <c r="BV696" s="129">
        <f>IF(R696="","",COUNTIF($R$3:R696,"?*"))</f>
      </c>
      <c r="BW696" s="129">
        <f>IF(AY696&lt;&gt;1,0,IF(MAX(IFERROR(--VLOOKUP(R696,УГО_спр,5,FALSE),0),IFERROR(--VLOOKUP(AL696,УГО_спр,5,FALSE),0),IFERROR(--VLOOKUP(LEFT(AL696,2),УГО_спр,5,FALSE),0))&gt;0,MAX(IFERROR(--VLOOKUP(R696,УГО_спр,5,FALSE),0),IFERROR(--VLOOKUP(AL696,УГО_спр,5,FALSE),0),IFERROR(--VLOOKUP(LEFT(AL696,2),УГО_спр,5,FALSE),0)),IF(IFERROR(--LEFT(SUBSTITUTE(BQ696,"x","х"),FIND("х",SUBSTITUTE(BQ696,"x","х"))-1),3)&gt;3,Каталог!$S$9,1)))</f>
      </c>
      <c r="BX696" s="129">
        <f>IF(AY696&lt;&gt;1,0,MAX(0,IFERROR(--LEFT(SUBSTITUTE(BQ696,"x","х"),FIND("х",SUBSTITUTE(BQ696,"x","х"))-1),3)-3*BW696))</f>
      </c>
      <c r="BY696" s="129">
        <f>IF(R696="","",IFERROR(VLOOKUP(R696,УГО_спр,2,FALSE),IFERROR(VLOOKUP(AL696,УГО_спр,2,FALSE),IFERROR(VLOOKUP(LEFT(AL696,2),УГО_спр,2,FALSE),""))))</f>
      </c>
    </row>
    <row r="697" spans="1:64" x14ac:dyDescent="0.3">
      <c r="A697" s="135">
        <f>IF(Разбивка_по_щитам!F697=0,"",Разбивка_по_щитам!F697)</f>
        <v/>
      </c>
      <c r="B697" s="138">
        <f>IF(A697="","",Разбивка_по_щитам!C697)</f>
        <v/>
      </c>
      <c r="C697" s="138">
        <f t="shared" si="422"/>
        <v/>
      </c>
      <c r="D697" s="266"/>
      <c r="E697" s="266"/>
      <c r="F697" s="267"/>
      <c r="G697" s="145">
        <f t="shared" si="423"/>
        <v/>
      </c>
      <c r="H697" s="145">
        <f t="shared" si="424"/>
        <v/>
      </c>
      <c r="I697" s="266"/>
      <c r="J697" s="267"/>
      <c r="K697" s="267"/>
      <c r="L697" s="266"/>
      <c r="M697" s="147">
        <f t="shared" si="425"/>
        <v/>
      </c>
      <c r="N697" s="267"/>
      <c r="O697" s="147">
        <f t="shared" si="426"/>
        <v/>
      </c>
      <c r="P697" s="268">
        <f>IF(AY697=1,"XT"&amp;COUNTIFS($A$3:A697,A697,$AY$3:AY697,1),"")</f>
        <v/>
      </c>
      <c r="Q697" s="152">
        <f>IF(R697="","",IFERROR(SUBSTITUTE(Разбивка_по_щитам!P697,CHAR(10)," "),""))</f>
        <v/>
      </c>
      <c r="R697" s="153">
        <f>IF(OR(Разбивка_по_щитам!H697="",Разбивка_по_щитам!H697=0),"",Разбивка_по_щитам!H697)</f>
        <v/>
      </c>
      <c r="S697" s="154">
        <f>IF(R697="","",IFERROR(Разбивка_по_щитам!J697&amp;"",""))</f>
        <v/>
      </c>
      <c r="T697" s="155">
        <f>IF(R697="","",IFERROR(--Разбивка_по_щитам!L697,""))</f>
        <v/>
      </c>
      <c r="U697" s="155">
        <f>IF(R697="","",IFERROR(--Разбивка_по_щитам!K697,""))</f>
        <v/>
      </c>
      <c r="V697" s="138">
        <f>IF(R697="","",IFERROR(IF(Разбивка_по_щитам!M697=0,"",Разбивка_по_щитам!M697),""))</f>
        <v/>
      </c>
      <c r="W697" s="156">
        <f t="shared" si="427"/>
        <v/>
      </c>
      <c r="X697" s="157">
        <f t="shared" si="428"/>
        <v/>
      </c>
      <c r="Y697" s="266"/>
      <c r="Z697" s="158">
        <f t="shared" si="429"/>
        <v/>
      </c>
      <c r="AA697" s="160">
        <f t="shared" si="430"/>
        <v/>
      </c>
      <c r="AB697" s="160">
        <f>IF(R697="","",IFERROR(LOOKUP(INDEX(Справочная!$I$4:$I$19,MATCH(VLOOKUP(R697,Исходные_данные,22,FALSE),Справочная!$J$4:$J$19,0)+1),{6,10,16,20,25,32,40,50,63,80,100,125}),""))</f>
        <v/>
      </c>
      <c r="AC697" s="160">
        <f t="shared" si="431"/>
        <v/>
      </c>
      <c r="AD697" s="161">
        <f t="shared" si="432"/>
        <v/>
      </c>
      <c r="AE697" s="161">
        <f>IF(AND(R697="",G697=""),"",_xlfn.TEXTJOIN("; ",TRUE,IF(AND(R697&lt;&gt;"",V697=""),"нет фазы",""),IF(AND(R697&lt;&gt;"",N(T697)=0),"нет мощности",""),IF(AND(P697&lt;&gt;"",COUNTIFS($A$3:$A$1000,A697,$P$3:$P$1000,P697)&gt;1),"дубль клеммы "&amp;P697,""),IF(AND(W697&lt;&gt;"",W697&lt;&gt;"ok"),W697,""),IF(X697&lt;&gt;"",X697,""),IF(AND(ISNUMBER(SEARCH("(5х",Q697)),N(AK697)=1),"5 жил на 1 фазе",""),IF(AND(AL697="R",E697&lt;&gt;"",N(AS697)=0),"розетка без 30 мА",""),IF(IFERROR(_xlfn.NUMBERVALUE(MID(Q697,FIND("-",Q697,FIND("L=",Q697))+1,FIND("%",Q697)-FIND("-",Q697,FIND("L=",Q697))-1),","),0)&gt;4,"потери &gt; 4 %","")))</f>
      </c>
      <c r="AF697" s="129">
        <f>IF(E697&lt;&gt;"",COUNTIFS($A$3:A697,A697,$E$3:E697,"?*"),IF(OR(A697&lt;&gt;A696,Y697="вручную"),"",AF696))</f>
        <v/>
      </c>
      <c r="AG697" s="129">
        <f t="shared" si="433"/>
        <v/>
      </c>
      <c r="AH697" s="129">
        <f t="shared" si="434"/>
        <v/>
      </c>
      <c r="AI697" s="129">
        <f t="shared" si="435"/>
        <v/>
      </c>
      <c r="AJ697" s="129">
        <f t="shared" si="436"/>
        <v/>
      </c>
      <c r="AK697" s="129">
        <f t="shared" si="437"/>
        <v/>
      </c>
      <c r="AL697" s="129">
        <f t="shared" si="438"/>
        <v/>
      </c>
      <c r="AM697" s="129">
        <f t="shared" si="439"/>
      </c>
      <c r="AN697" s="129">
        <f t="shared" si="440"/>
      </c>
      <c r="AO697" s="129">
        <f t="shared" si="441"/>
        <v/>
      </c>
      <c r="AP697" s="129">
        <f t="shared" si="442"/>
        <v/>
      </c>
      <c r="AQ697" s="129">
        <f t="shared" si="443"/>
        <v/>
      </c>
      <c r="AR697" s="129">
        <f t="shared" si="444"/>
        <v/>
      </c>
      <c r="AS697" s="129">
        <f t="shared" si="445"/>
        <v/>
      </c>
      <c r="AT697" s="129">
        <f t="shared" si="446"/>
        <v/>
      </c>
      <c r="AU697" s="129">
        <f t="shared" si="447"/>
        <v/>
      </c>
      <c r="AV697" s="129">
        <f t="shared" si="448"/>
        <v/>
      </c>
      <c r="AW697" s="129">
        <f>IF(AV697="","",AV697&amp;"."&amp;COUNTIFS($A$3:A697,A697,$AV$3:AV697,AV697))</f>
        <v/>
      </c>
      <c r="AX697" s="129">
        <f t="shared" si="449"/>
        <v/>
      </c>
      <c r="AY697" s="129">
        <f>IF(N697="б/к",0,IF(OR(ISNUMBER(SEARCH("L=",Разбивка_по_щитам!P697)),N697="+",N697="="),1,0))</f>
      </c>
      <c r="AZ697" s="129">
        <f t="shared" si="450"/>
        <v/>
      </c>
      <c r="BA697" s="129">
        <f t="shared" si="451"/>
      </c>
      <c r="BB697" s="129">
        <f t="shared" si="452"/>
      </c>
      <c r="BD697" s="129">
        <f t="shared" si="453"/>
      </c>
      <c r="BE697" s="129">
        <f t="shared" si="454"/>
      </c>
      <c r="BF697" s="129">
        <f t="shared" si="455"/>
      </c>
      <c r="BG697" s="129">
        <f t="shared" si="456"/>
        <v/>
      </c>
      <c r="BH697" s="129">
        <f t="shared" si="457"/>
        <v/>
      </c>
      <c r="BI697" s="129">
        <f t="shared" si="458"/>
        <v/>
      </c>
      <c r="BJ697" s="129">
        <f t="shared" si="459"/>
        <v/>
      </c>
      <c r="BK697" s="129">
        <f>IF(R697="","",IF(OR(BY697="",BY697=0),"BOX",IFERROR(IF(VLOOKUP(BY697,УГО_блоки,3,FALSE)&amp;""&lt;&gt;"",VLOOKUP(BY697,УГО_блоки,3,FALSE),VLOOKUP(BY697,УГО_блоки,2,FALSE)),BY697)))</f>
      </c>
      <c r="BL697" s="129">
        <f t="shared" si="461"/>
      </c>
      <c r="BM697" s="129">
        <f>IF(H697="","",IF(COUNTIF($H$3:H697,H697)=1,MAX($BM$2:BM696)+1,""))</f>
      </c>
      <c r="BN697" s="129">
        <f>IF(I697="","",IF(COUNTIF($I$3:I697,I697)+COUNTIF($J$2:J696,I697)+COUNTIF($K$2:K696,I697)=1,MAX($BN$2:BP696)+1,""))</f>
      </c>
      <c r="BO697" s="129">
        <f>IF(J697="","",IF(COUNTIF($I$3:I697,J697)+COUNTIF($J$3:J697,J697)+COUNTIF($K$2:K696,J697)=1,MAX($BN$2:BP696,BN697)+1,""))</f>
      </c>
      <c r="BP697" s="129">
        <f>IF(K697="","",IF(COUNTIF($I$3:I697,K697)+COUNTIF($J$3:J697,K697)+COUNTIF($K$3:K697,K697)=1,MAX($BN$2:BP696,BN697,BO697)+1,""))</f>
      </c>
      <c r="BQ697" s="129">
        <f>IF(AY697=1,IFERROR(MID(Q697,FIND(" (",Q697)+2,FIND(")",Q697,FIND(" (",Q697))-FIND(" (",Q697)-2),"?"),"")</f>
      </c>
      <c r="BR697" s="129">
        <f>IF(BQ697="","",IF(COUNTIF($BQ$3:BQ697,BQ697)=1,MAX($BR$2:BR696)+1,""))</f>
      </c>
      <c r="BS697" s="129">
        <f>IF(AW697="","",COUNTIF($AW$3:AW697,"?*"))</f>
      </c>
      <c r="BT697" s="129">
        <f>IF(OR(AW697="",AI697=""),"",IF(COUNTIFS($AW$3:AW697,"?*",$AI$3:AI697,AI697)=1,MAX($BT$2:BT696)+1,""))</f>
      </c>
      <c r="BU697" s="129">
        <f>IF(AE697="",0,IF(OR(ISNUMBER(SEARCH("дубль",AE697)),ISNUMBER(SEARCH("ПЕРЕГРУЗ",AE697)),ISNUMBER(SEARCH("ЗАЩИЩ",AE697)),ISNUMBER(SEARCH("КАНАЛ",AE697)),ISNUMBER(SEARCH("без 30",AE697))),2,1))</f>
      </c>
      <c r="BV697" s="129">
        <f>IF(R697="","",COUNTIF($R$3:R697,"?*"))</f>
      </c>
      <c r="BW697" s="129">
        <f>IF(AY697&lt;&gt;1,0,IF(MAX(IFERROR(--VLOOKUP(R697,УГО_спр,5,FALSE),0),IFERROR(--VLOOKUP(AL697,УГО_спр,5,FALSE),0),IFERROR(--VLOOKUP(LEFT(AL697,2),УГО_спр,5,FALSE),0))&gt;0,MAX(IFERROR(--VLOOKUP(R697,УГО_спр,5,FALSE),0),IFERROR(--VLOOKUP(AL697,УГО_спр,5,FALSE),0),IFERROR(--VLOOKUP(LEFT(AL697,2),УГО_спр,5,FALSE),0)),IF(IFERROR(--LEFT(SUBSTITUTE(BQ697,"x","х"),FIND("х",SUBSTITUTE(BQ697,"x","х"))-1),3)&gt;3,Каталог!$S$9,1)))</f>
      </c>
      <c r="BX697" s="129">
        <f>IF(AY697&lt;&gt;1,0,MAX(0,IFERROR(--LEFT(SUBSTITUTE(BQ697,"x","х"),FIND("х",SUBSTITUTE(BQ697,"x","х"))-1),3)-3*BW697))</f>
      </c>
      <c r="BY697" s="129">
        <f>IF(R697="","",IFERROR(VLOOKUP(R697,УГО_спр,2,FALSE),IFERROR(VLOOKUP(AL697,УГО_спр,2,FALSE),IFERROR(VLOOKUP(LEFT(AL697,2),УГО_спр,2,FALSE),""))))</f>
      </c>
    </row>
    <row r="698" spans="1:64" x14ac:dyDescent="0.3">
      <c r="A698" s="135">
        <f>IF(Разбивка_по_щитам!F698=0,"",Разбивка_по_щитам!F698)</f>
        <v/>
      </c>
      <c r="B698" s="138">
        <f>IF(A698="","",Разбивка_по_щитам!C698)</f>
        <v/>
      </c>
      <c r="C698" s="138">
        <f t="shared" si="422"/>
        <v/>
      </c>
      <c r="D698" s="266"/>
      <c r="E698" s="266"/>
      <c r="F698" s="267"/>
      <c r="G698" s="145">
        <f t="shared" si="423"/>
        <v/>
      </c>
      <c r="H698" s="145">
        <f t="shared" si="424"/>
        <v/>
      </c>
      <c r="I698" s="266"/>
      <c r="J698" s="267"/>
      <c r="K698" s="267"/>
      <c r="L698" s="266"/>
      <c r="M698" s="147">
        <f t="shared" si="425"/>
        <v/>
      </c>
      <c r="N698" s="267"/>
      <c r="O698" s="147">
        <f t="shared" si="426"/>
        <v/>
      </c>
      <c r="P698" s="268">
        <f>IF(AY698=1,"XT"&amp;COUNTIFS($A$3:A698,A698,$AY$3:AY698,1),"")</f>
        <v/>
      </c>
      <c r="Q698" s="152">
        <f>IF(R698="","",IFERROR(SUBSTITUTE(Разбивка_по_щитам!P698,CHAR(10)," "),""))</f>
        <v/>
      </c>
      <c r="R698" s="153">
        <f>IF(OR(Разбивка_по_щитам!H698="",Разбивка_по_щитам!H698=0),"",Разбивка_по_щитам!H698)</f>
        <v/>
      </c>
      <c r="S698" s="154">
        <f>IF(R698="","",IFERROR(Разбивка_по_щитам!J698&amp;"",""))</f>
        <v/>
      </c>
      <c r="T698" s="155">
        <f>IF(R698="","",IFERROR(--Разбивка_по_щитам!L698,""))</f>
        <v/>
      </c>
      <c r="U698" s="155">
        <f>IF(R698="","",IFERROR(--Разбивка_по_щитам!K698,""))</f>
        <v/>
      </c>
      <c r="V698" s="138">
        <f>IF(R698="","",IFERROR(IF(Разбивка_по_щитам!M698=0,"",Разбивка_по_щитам!M698),""))</f>
        <v/>
      </c>
      <c r="W698" s="156">
        <f t="shared" si="427"/>
        <v/>
      </c>
      <c r="X698" s="157">
        <f t="shared" si="428"/>
        <v/>
      </c>
      <c r="Y698" s="266"/>
      <c r="Z698" s="158">
        <f t="shared" si="429"/>
        <v/>
      </c>
      <c r="AA698" s="160">
        <f t="shared" si="430"/>
        <v/>
      </c>
      <c r="AB698" s="160">
        <f>IF(R698="","",IFERROR(LOOKUP(INDEX(Справочная!$I$4:$I$19,MATCH(VLOOKUP(R698,Исходные_данные,22,FALSE),Справочная!$J$4:$J$19,0)+1),{6,10,16,20,25,32,40,50,63,80,100,125}),""))</f>
        <v/>
      </c>
      <c r="AC698" s="160">
        <f t="shared" si="431"/>
        <v/>
      </c>
      <c r="AD698" s="161">
        <f t="shared" si="432"/>
        <v/>
      </c>
      <c r="AE698" s="161">
        <f>IF(AND(R698="",G698=""),"",_xlfn.TEXTJOIN("; ",TRUE,IF(AND(R698&lt;&gt;"",V698=""),"нет фазы",""),IF(AND(R698&lt;&gt;"",N(T698)=0),"нет мощности",""),IF(AND(P698&lt;&gt;"",COUNTIFS($A$3:$A$1000,A698,$P$3:$P$1000,P698)&gt;1),"дубль клеммы "&amp;P698,""),IF(AND(W698&lt;&gt;"",W698&lt;&gt;"ok"),W698,""),IF(X698&lt;&gt;"",X698,""),IF(AND(ISNUMBER(SEARCH("(5х",Q698)),N(AK698)=1),"5 жил на 1 фазе",""),IF(AND(AL698="R",E698&lt;&gt;"",N(AS698)=0),"розетка без 30 мА",""),IF(IFERROR(_xlfn.NUMBERVALUE(MID(Q698,FIND("-",Q698,FIND("L=",Q698))+1,FIND("%",Q698)-FIND("-",Q698,FIND("L=",Q698))-1),","),0)&gt;4,"потери &gt; 4 %","")))</f>
      </c>
      <c r="AF698" s="129">
        <f>IF(E698&lt;&gt;"",COUNTIFS($A$3:A698,A698,$E$3:E698,"?*"),IF(OR(A698&lt;&gt;A697,Y698="вручную"),"",AF697))</f>
        <v/>
      </c>
      <c r="AG698" s="129">
        <f t="shared" si="433"/>
        <v/>
      </c>
      <c r="AH698" s="129">
        <f t="shared" si="434"/>
        <v/>
      </c>
      <c r="AI698" s="129">
        <f t="shared" si="435"/>
        <v/>
      </c>
      <c r="AJ698" s="129">
        <f t="shared" si="436"/>
        <v/>
      </c>
      <c r="AK698" s="129">
        <f t="shared" si="437"/>
        <v/>
      </c>
      <c r="AL698" s="129">
        <f t="shared" si="438"/>
        <v/>
      </c>
      <c r="AM698" s="129">
        <f t="shared" si="439"/>
      </c>
      <c r="AN698" s="129">
        <f t="shared" si="440"/>
      </c>
      <c r="AO698" s="129">
        <f t="shared" si="441"/>
        <v/>
      </c>
      <c r="AP698" s="129">
        <f t="shared" si="442"/>
        <v/>
      </c>
      <c r="AQ698" s="129">
        <f t="shared" si="443"/>
        <v/>
      </c>
      <c r="AR698" s="129">
        <f t="shared" si="444"/>
        <v/>
      </c>
      <c r="AS698" s="129">
        <f t="shared" si="445"/>
        <v/>
      </c>
      <c r="AT698" s="129">
        <f t="shared" si="446"/>
        <v/>
      </c>
      <c r="AU698" s="129">
        <f t="shared" si="447"/>
        <v/>
      </c>
      <c r="AV698" s="129">
        <f t="shared" si="448"/>
        <v/>
      </c>
      <c r="AW698" s="129">
        <f>IF(AV698="","",AV698&amp;"."&amp;COUNTIFS($A$3:A698,A698,$AV$3:AV698,AV698))</f>
        <v/>
      </c>
      <c r="AX698" s="129">
        <f t="shared" si="449"/>
        <v/>
      </c>
      <c r="AY698" s="129">
        <f>IF(N698="б/к",0,IF(OR(ISNUMBER(SEARCH("L=",Разбивка_по_щитам!P698)),N698="+",N698="="),1,0))</f>
      </c>
      <c r="AZ698" s="129">
        <f t="shared" si="450"/>
        <v/>
      </c>
      <c r="BA698" s="129">
        <f t="shared" si="451"/>
      </c>
      <c r="BB698" s="129">
        <f t="shared" si="452"/>
      </c>
      <c r="BD698" s="129">
        <f t="shared" si="453"/>
      </c>
      <c r="BE698" s="129">
        <f t="shared" si="454"/>
      </c>
      <c r="BF698" s="129">
        <f t="shared" si="455"/>
      </c>
      <c r="BG698" s="129">
        <f t="shared" si="456"/>
        <v/>
      </c>
      <c r="BH698" s="129">
        <f t="shared" si="457"/>
        <v/>
      </c>
      <c r="BI698" s="129">
        <f t="shared" si="458"/>
        <v/>
      </c>
      <c r="BJ698" s="129">
        <f t="shared" si="459"/>
        <v/>
      </c>
      <c r="BK698" s="129">
        <f>IF(R698="","",IF(OR(BY698="",BY698=0),"BOX",IFERROR(IF(VLOOKUP(BY698,УГО_блоки,3,FALSE)&amp;""&lt;&gt;"",VLOOKUP(BY698,УГО_блоки,3,FALSE),VLOOKUP(BY698,УГО_блоки,2,FALSE)),BY698)))</f>
      </c>
      <c r="BL698" s="129">
        <f t="shared" si="461"/>
      </c>
      <c r="BM698" s="129">
        <f>IF(H698="","",IF(COUNTIF($H$3:H698,H698)=1,MAX($BM$2:BM697)+1,""))</f>
      </c>
      <c r="BN698" s="129">
        <f>IF(I698="","",IF(COUNTIF($I$3:I698,I698)+COUNTIF($J$2:J697,I698)+COUNTIF($K$2:K697,I698)=1,MAX($BN$2:BP697)+1,""))</f>
      </c>
      <c r="BO698" s="129">
        <f>IF(J698="","",IF(COUNTIF($I$3:I698,J698)+COUNTIF($J$3:J698,J698)+COUNTIF($K$2:K697,J698)=1,MAX($BN$2:BP697,BN698)+1,""))</f>
      </c>
      <c r="BP698" s="129">
        <f>IF(K698="","",IF(COUNTIF($I$3:I698,K698)+COUNTIF($J$3:J698,K698)+COUNTIF($K$3:K698,K698)=1,MAX($BN$2:BP697,BN698,BO698)+1,""))</f>
      </c>
      <c r="BQ698" s="129">
        <f>IF(AY698=1,IFERROR(MID(Q698,FIND(" (",Q698)+2,FIND(")",Q698,FIND(" (",Q698))-FIND(" (",Q698)-2),"?"),"")</f>
      </c>
      <c r="BR698" s="129">
        <f>IF(BQ698="","",IF(COUNTIF($BQ$3:BQ698,BQ698)=1,MAX($BR$2:BR697)+1,""))</f>
      </c>
      <c r="BS698" s="129">
        <f>IF(AW698="","",COUNTIF($AW$3:AW698,"?*"))</f>
      </c>
      <c r="BT698" s="129">
        <f>IF(OR(AW698="",AI698=""),"",IF(COUNTIFS($AW$3:AW698,"?*",$AI$3:AI698,AI698)=1,MAX($BT$2:BT697)+1,""))</f>
      </c>
      <c r="BU698" s="129">
        <f>IF(AE698="",0,IF(OR(ISNUMBER(SEARCH("дубль",AE698)),ISNUMBER(SEARCH("ПЕРЕГРУЗ",AE698)),ISNUMBER(SEARCH("ЗАЩИЩ",AE698)),ISNUMBER(SEARCH("КАНАЛ",AE698)),ISNUMBER(SEARCH("без 30",AE698))),2,1))</f>
      </c>
      <c r="BV698" s="129">
        <f>IF(R698="","",COUNTIF($R$3:R698,"?*"))</f>
      </c>
      <c r="BW698" s="129">
        <f>IF(AY698&lt;&gt;1,0,IF(MAX(IFERROR(--VLOOKUP(R698,УГО_спр,5,FALSE),0),IFERROR(--VLOOKUP(AL698,УГО_спр,5,FALSE),0),IFERROR(--VLOOKUP(LEFT(AL698,2),УГО_спр,5,FALSE),0))&gt;0,MAX(IFERROR(--VLOOKUP(R698,УГО_спр,5,FALSE),0),IFERROR(--VLOOKUP(AL698,УГО_спр,5,FALSE),0),IFERROR(--VLOOKUP(LEFT(AL698,2),УГО_спр,5,FALSE),0)),IF(IFERROR(--LEFT(SUBSTITUTE(BQ698,"x","х"),FIND("х",SUBSTITUTE(BQ698,"x","х"))-1),3)&gt;3,Каталог!$S$9,1)))</f>
      </c>
      <c r="BX698" s="129">
        <f>IF(AY698&lt;&gt;1,0,MAX(0,IFERROR(--LEFT(SUBSTITUTE(BQ698,"x","х"),FIND("х",SUBSTITUTE(BQ698,"x","х"))-1),3)-3*BW698))</f>
      </c>
      <c r="BY698" s="129">
        <f>IF(R698="","",IFERROR(VLOOKUP(R698,УГО_спр,2,FALSE),IFERROR(VLOOKUP(AL698,УГО_спр,2,FALSE),IFERROR(VLOOKUP(LEFT(AL698,2),УГО_спр,2,FALSE),""))))</f>
      </c>
    </row>
    <row r="699" spans="1:64" x14ac:dyDescent="0.3">
      <c r="A699" s="135">
        <f>IF(Разбивка_по_щитам!F699=0,"",Разбивка_по_щитам!F699)</f>
        <v/>
      </c>
      <c r="B699" s="138">
        <f>IF(A699="","",Разбивка_по_щитам!C699)</f>
        <v/>
      </c>
      <c r="C699" s="138">
        <f t="shared" si="422"/>
        <v/>
      </c>
      <c r="D699" s="266"/>
      <c r="E699" s="266"/>
      <c r="F699" s="267"/>
      <c r="G699" s="145">
        <f t="shared" si="423"/>
        <v/>
      </c>
      <c r="H699" s="145">
        <f t="shared" si="424"/>
        <v/>
      </c>
      <c r="I699" s="266"/>
      <c r="J699" s="267"/>
      <c r="K699" s="267"/>
      <c r="L699" s="266"/>
      <c r="M699" s="147">
        <f t="shared" si="425"/>
        <v/>
      </c>
      <c r="N699" s="267"/>
      <c r="O699" s="147">
        <f t="shared" si="426"/>
        <v/>
      </c>
      <c r="P699" s="268">
        <f>IF(AY699=1,"XT"&amp;COUNTIFS($A$3:A699,A699,$AY$3:AY699,1),"")</f>
        <v/>
      </c>
      <c r="Q699" s="152">
        <f>IF(R699="","",IFERROR(SUBSTITUTE(Разбивка_по_щитам!P699,CHAR(10)," "),""))</f>
        <v/>
      </c>
      <c r="R699" s="153">
        <f>IF(OR(Разбивка_по_щитам!H699="",Разбивка_по_щитам!H699=0),"",Разбивка_по_щитам!H699)</f>
        <v/>
      </c>
      <c r="S699" s="154">
        <f>IF(R699="","",IFERROR(Разбивка_по_щитам!J699&amp;"",""))</f>
        <v/>
      </c>
      <c r="T699" s="155">
        <f>IF(R699="","",IFERROR(--Разбивка_по_щитам!L699,""))</f>
        <v/>
      </c>
      <c r="U699" s="155">
        <f>IF(R699="","",IFERROR(--Разбивка_по_щитам!K699,""))</f>
        <v/>
      </c>
      <c r="V699" s="138">
        <f>IF(R699="","",IFERROR(IF(Разбивка_по_щитам!M699=0,"",Разбивка_по_щитам!M699),""))</f>
        <v/>
      </c>
      <c r="W699" s="156">
        <f t="shared" si="427"/>
        <v/>
      </c>
      <c r="X699" s="157">
        <f t="shared" si="428"/>
        <v/>
      </c>
      <c r="Y699" s="266"/>
      <c r="Z699" s="158">
        <f t="shared" si="429"/>
        <v/>
      </c>
      <c r="AA699" s="160">
        <f t="shared" si="430"/>
        <v/>
      </c>
      <c r="AB699" s="160">
        <f>IF(R699="","",IFERROR(LOOKUP(INDEX(Справочная!$I$4:$I$19,MATCH(VLOOKUP(R699,Исходные_данные,22,FALSE),Справочная!$J$4:$J$19,0)+1),{6,10,16,20,25,32,40,50,63,80,100,125}),""))</f>
        <v/>
      </c>
      <c r="AC699" s="160">
        <f t="shared" si="431"/>
        <v/>
      </c>
      <c r="AD699" s="161">
        <f t="shared" si="432"/>
        <v/>
      </c>
      <c r="AE699" s="161">
        <f>IF(AND(R699="",G699=""),"",_xlfn.TEXTJOIN("; ",TRUE,IF(AND(R699&lt;&gt;"",V699=""),"нет фазы",""),IF(AND(R699&lt;&gt;"",N(T699)=0),"нет мощности",""),IF(AND(P699&lt;&gt;"",COUNTIFS($A$3:$A$1000,A699,$P$3:$P$1000,P699)&gt;1),"дубль клеммы "&amp;P699,""),IF(AND(W699&lt;&gt;"",W699&lt;&gt;"ok"),W699,""),IF(X699&lt;&gt;"",X699,""),IF(AND(ISNUMBER(SEARCH("(5х",Q699)),N(AK699)=1),"5 жил на 1 фазе",""),IF(AND(AL699="R",E699&lt;&gt;"",N(AS699)=0),"розетка без 30 мА",""),IF(IFERROR(_xlfn.NUMBERVALUE(MID(Q699,FIND("-",Q699,FIND("L=",Q699))+1,FIND("%",Q699)-FIND("-",Q699,FIND("L=",Q699))-1),","),0)&gt;4,"потери &gt; 4 %","")))</f>
      </c>
      <c r="AF699" s="129">
        <f>IF(E699&lt;&gt;"",COUNTIFS($A$3:A699,A699,$E$3:E699,"?*"),IF(OR(A699&lt;&gt;A698,Y699="вручную"),"",AF698))</f>
        <v/>
      </c>
      <c r="AG699" s="129">
        <f t="shared" si="433"/>
        <v/>
      </c>
      <c r="AH699" s="129">
        <f t="shared" si="434"/>
        <v/>
      </c>
      <c r="AI699" s="129">
        <f t="shared" si="435"/>
        <v/>
      </c>
      <c r="AJ699" s="129">
        <f t="shared" si="436"/>
        <v/>
      </c>
      <c r="AK699" s="129">
        <f t="shared" si="437"/>
        <v/>
      </c>
      <c r="AL699" s="129">
        <f t="shared" si="438"/>
        <v/>
      </c>
      <c r="AM699" s="129">
        <f t="shared" si="439"/>
      </c>
      <c r="AN699" s="129">
        <f t="shared" si="440"/>
      </c>
      <c r="AO699" s="129">
        <f t="shared" si="441"/>
        <v/>
      </c>
      <c r="AP699" s="129">
        <f t="shared" si="442"/>
        <v/>
      </c>
      <c r="AQ699" s="129">
        <f t="shared" si="443"/>
        <v/>
      </c>
      <c r="AR699" s="129">
        <f t="shared" si="444"/>
        <v/>
      </c>
      <c r="AS699" s="129">
        <f t="shared" si="445"/>
        <v/>
      </c>
      <c r="AT699" s="129">
        <f t="shared" si="446"/>
        <v/>
      </c>
      <c r="AU699" s="129">
        <f t="shared" si="447"/>
        <v/>
      </c>
      <c r="AV699" s="129">
        <f t="shared" si="448"/>
        <v/>
      </c>
      <c r="AW699" s="129">
        <f>IF(AV699="","",AV699&amp;"."&amp;COUNTIFS($A$3:A699,A699,$AV$3:AV699,AV699))</f>
        <v/>
      </c>
      <c r="AX699" s="129">
        <f t="shared" si="449"/>
        <v/>
      </c>
      <c r="AY699" s="129">
        <f>IF(N699="б/к",0,IF(OR(ISNUMBER(SEARCH("L=",Разбивка_по_щитам!P699)),N699="+",N699="="),1,0))</f>
      </c>
      <c r="AZ699" s="129">
        <f t="shared" si="450"/>
        <v/>
      </c>
      <c r="BA699" s="129">
        <f t="shared" si="451"/>
      </c>
      <c r="BB699" s="129">
        <f t="shared" si="452"/>
      </c>
      <c r="BD699" s="129">
        <f t="shared" si="453"/>
      </c>
      <c r="BE699" s="129">
        <f t="shared" si="454"/>
      </c>
      <c r="BF699" s="129">
        <f t="shared" si="455"/>
      </c>
      <c r="BG699" s="129">
        <f t="shared" si="456"/>
        <v/>
      </c>
      <c r="BH699" s="129">
        <f t="shared" si="457"/>
        <v/>
      </c>
      <c r="BI699" s="129">
        <f t="shared" si="458"/>
        <v/>
      </c>
      <c r="BJ699" s="129">
        <f t="shared" si="459"/>
        <v/>
      </c>
      <c r="BK699" s="129">
        <f>IF(R699="","",IF(OR(BY699="",BY699=0),"BOX",IFERROR(IF(VLOOKUP(BY699,УГО_блоки,3,FALSE)&amp;""&lt;&gt;"",VLOOKUP(BY699,УГО_блоки,3,FALSE),VLOOKUP(BY699,УГО_блоки,2,FALSE)),BY699)))</f>
      </c>
      <c r="BL699" s="129">
        <f t="shared" si="461"/>
      </c>
      <c r="BM699" s="129">
        <f>IF(H699="","",IF(COUNTIF($H$3:H699,H699)=1,MAX($BM$2:BM698)+1,""))</f>
      </c>
      <c r="BN699" s="129">
        <f>IF(I699="","",IF(COUNTIF($I$3:I699,I699)+COUNTIF($J$2:J698,I699)+COUNTIF($K$2:K698,I699)=1,MAX($BN$2:BP698)+1,""))</f>
      </c>
      <c r="BO699" s="129">
        <f>IF(J699="","",IF(COUNTIF($I$3:I699,J699)+COUNTIF($J$3:J699,J699)+COUNTIF($K$2:K698,J699)=1,MAX($BN$2:BP698,BN699)+1,""))</f>
      </c>
      <c r="BP699" s="129">
        <f>IF(K699="","",IF(COUNTIF($I$3:I699,K699)+COUNTIF($J$3:J699,K699)+COUNTIF($K$3:K699,K699)=1,MAX($BN$2:BP698,BN699,BO699)+1,""))</f>
      </c>
      <c r="BQ699" s="129">
        <f>IF(AY699=1,IFERROR(MID(Q699,FIND(" (",Q699)+2,FIND(")",Q699,FIND(" (",Q699))-FIND(" (",Q699)-2),"?"),"")</f>
      </c>
      <c r="BR699" s="129">
        <f>IF(BQ699="","",IF(COUNTIF($BQ$3:BQ699,BQ699)=1,MAX($BR$2:BR698)+1,""))</f>
      </c>
      <c r="BS699" s="129">
        <f>IF(AW699="","",COUNTIF($AW$3:AW699,"?*"))</f>
      </c>
      <c r="BT699" s="129">
        <f>IF(OR(AW699="",AI699=""),"",IF(COUNTIFS($AW$3:AW699,"?*",$AI$3:AI699,AI699)=1,MAX($BT$2:BT698)+1,""))</f>
      </c>
      <c r="BU699" s="129">
        <f>IF(AE699="",0,IF(OR(ISNUMBER(SEARCH("дубль",AE699)),ISNUMBER(SEARCH("ПЕРЕГРУЗ",AE699)),ISNUMBER(SEARCH("ЗАЩИЩ",AE699)),ISNUMBER(SEARCH("КАНАЛ",AE699)),ISNUMBER(SEARCH("без 30",AE699))),2,1))</f>
      </c>
      <c r="BV699" s="129">
        <f>IF(R699="","",COUNTIF($R$3:R699,"?*"))</f>
      </c>
      <c r="BW699" s="129">
        <f>IF(AY699&lt;&gt;1,0,IF(MAX(IFERROR(--VLOOKUP(R699,УГО_спр,5,FALSE),0),IFERROR(--VLOOKUP(AL699,УГО_спр,5,FALSE),0),IFERROR(--VLOOKUP(LEFT(AL699,2),УГО_спр,5,FALSE),0))&gt;0,MAX(IFERROR(--VLOOKUP(R699,УГО_спр,5,FALSE),0),IFERROR(--VLOOKUP(AL699,УГО_спр,5,FALSE),0),IFERROR(--VLOOKUP(LEFT(AL699,2),УГО_спр,5,FALSE),0)),IF(IFERROR(--LEFT(SUBSTITUTE(BQ699,"x","х"),FIND("х",SUBSTITUTE(BQ699,"x","х"))-1),3)&gt;3,Каталог!$S$9,1)))</f>
      </c>
      <c r="BX699" s="129">
        <f>IF(AY699&lt;&gt;1,0,MAX(0,IFERROR(--LEFT(SUBSTITUTE(BQ699,"x","х"),FIND("х",SUBSTITUTE(BQ699,"x","х"))-1),3)-3*BW699))</f>
      </c>
      <c r="BY699" s="129">
        <f>IF(R699="","",IFERROR(VLOOKUP(R699,УГО_спр,2,FALSE),IFERROR(VLOOKUP(AL699,УГО_спр,2,FALSE),IFERROR(VLOOKUP(LEFT(AL699,2),УГО_спр,2,FALSE),""))))</f>
      </c>
    </row>
    <row r="700" spans="1:64" x14ac:dyDescent="0.3">
      <c r="A700" s="135">
        <f>IF(Разбивка_по_щитам!F700=0,"",Разбивка_по_щитам!F700)</f>
        <v/>
      </c>
      <c r="B700" s="138">
        <f>IF(A700="","",Разбивка_по_щитам!C700)</f>
        <v/>
      </c>
      <c r="C700" s="138">
        <f t="shared" si="422"/>
        <v/>
      </c>
      <c r="D700" s="266"/>
      <c r="E700" s="266"/>
      <c r="F700" s="267"/>
      <c r="G700" s="145">
        <f t="shared" si="423"/>
        <v/>
      </c>
      <c r="H700" s="145">
        <f t="shared" si="424"/>
        <v/>
      </c>
      <c r="I700" s="266"/>
      <c r="J700" s="267"/>
      <c r="K700" s="267"/>
      <c r="L700" s="266"/>
      <c r="M700" s="147">
        <f t="shared" si="425"/>
        <v/>
      </c>
      <c r="N700" s="267"/>
      <c r="O700" s="147">
        <f t="shared" si="426"/>
        <v/>
      </c>
      <c r="P700" s="268">
        <f>IF(AY700=1,"XT"&amp;COUNTIFS($A$3:A700,A700,$AY$3:AY700,1),"")</f>
        <v/>
      </c>
      <c r="Q700" s="152">
        <f>IF(R700="","",IFERROR(SUBSTITUTE(Разбивка_по_щитам!P700,CHAR(10)," "),""))</f>
        <v/>
      </c>
      <c r="R700" s="153">
        <f>IF(OR(Разбивка_по_щитам!H700="",Разбивка_по_щитам!H700=0),"",Разбивка_по_щитам!H700)</f>
        <v/>
      </c>
      <c r="S700" s="154">
        <f>IF(R700="","",IFERROR(Разбивка_по_щитам!J700&amp;"",""))</f>
        <v/>
      </c>
      <c r="T700" s="155">
        <f>IF(R700="","",IFERROR(--Разбивка_по_щитам!L700,""))</f>
        <v/>
      </c>
      <c r="U700" s="155">
        <f>IF(R700="","",IFERROR(--Разбивка_по_щитам!K700,""))</f>
        <v/>
      </c>
      <c r="V700" s="138">
        <f>IF(R700="","",IFERROR(IF(Разбивка_по_щитам!M700=0,"",Разбивка_по_щитам!M700),""))</f>
        <v/>
      </c>
      <c r="W700" s="156">
        <f t="shared" si="427"/>
        <v/>
      </c>
      <c r="X700" s="157">
        <f t="shared" si="428"/>
        <v/>
      </c>
      <c r="Y700" s="266"/>
      <c r="Z700" s="158">
        <f t="shared" si="429"/>
        <v/>
      </c>
      <c r="AA700" s="160">
        <f t="shared" si="430"/>
        <v/>
      </c>
      <c r="AB700" s="160">
        <f>IF(R700="","",IFERROR(LOOKUP(INDEX(Справочная!$I$4:$I$19,MATCH(VLOOKUP(R700,Исходные_данные,22,FALSE),Справочная!$J$4:$J$19,0)+1),{6,10,16,20,25,32,40,50,63,80,100,125}),""))</f>
        <v/>
      </c>
      <c r="AC700" s="160">
        <f t="shared" si="431"/>
        <v/>
      </c>
      <c r="AD700" s="161">
        <f t="shared" si="432"/>
        <v/>
      </c>
      <c r="AE700" s="161">
        <f>IF(AND(R700="",G700=""),"",_xlfn.TEXTJOIN("; ",TRUE,IF(AND(R700&lt;&gt;"",V700=""),"нет фазы",""),IF(AND(R700&lt;&gt;"",N(T700)=0),"нет мощности",""),IF(AND(P700&lt;&gt;"",COUNTIFS($A$3:$A$1000,A700,$P$3:$P$1000,P700)&gt;1),"дубль клеммы "&amp;P700,""),IF(AND(W700&lt;&gt;"",W700&lt;&gt;"ok"),W700,""),IF(X700&lt;&gt;"",X700,""),IF(AND(ISNUMBER(SEARCH("(5х",Q700)),N(AK700)=1),"5 жил на 1 фазе",""),IF(AND(AL700="R",E700&lt;&gt;"",N(AS700)=0),"розетка без 30 мА",""),IF(IFERROR(_xlfn.NUMBERVALUE(MID(Q700,FIND("-",Q700,FIND("L=",Q700))+1,FIND("%",Q700)-FIND("-",Q700,FIND("L=",Q700))-1),","),0)&gt;4,"потери &gt; 4 %","")))</f>
      </c>
      <c r="AF700" s="129">
        <f>IF(E700&lt;&gt;"",COUNTIFS($A$3:A700,A700,$E$3:E700,"?*"),IF(OR(A700&lt;&gt;A699,Y700="вручную"),"",AF699))</f>
        <v/>
      </c>
      <c r="AG700" s="129">
        <f t="shared" si="433"/>
        <v/>
      </c>
      <c r="AH700" s="129">
        <f t="shared" si="434"/>
        <v/>
      </c>
      <c r="AI700" s="129">
        <f t="shared" si="435"/>
        <v/>
      </c>
      <c r="AJ700" s="129">
        <f t="shared" si="436"/>
        <v/>
      </c>
      <c r="AK700" s="129">
        <f t="shared" si="437"/>
        <v/>
      </c>
      <c r="AL700" s="129">
        <f t="shared" si="438"/>
        <v/>
      </c>
      <c r="AM700" s="129">
        <f t="shared" si="439"/>
      </c>
      <c r="AN700" s="129">
        <f t="shared" si="440"/>
      </c>
      <c r="AO700" s="129">
        <f t="shared" si="441"/>
        <v/>
      </c>
      <c r="AP700" s="129">
        <f t="shared" si="442"/>
        <v/>
      </c>
      <c r="AQ700" s="129">
        <f t="shared" si="443"/>
        <v/>
      </c>
      <c r="AR700" s="129">
        <f t="shared" si="444"/>
        <v/>
      </c>
      <c r="AS700" s="129">
        <f t="shared" si="445"/>
        <v/>
      </c>
      <c r="AT700" s="129">
        <f t="shared" si="446"/>
        <v/>
      </c>
      <c r="AU700" s="129">
        <f t="shared" si="447"/>
        <v/>
      </c>
      <c r="AV700" s="129">
        <f t="shared" si="448"/>
        <v/>
      </c>
      <c r="AW700" s="129">
        <f>IF(AV700="","",AV700&amp;"."&amp;COUNTIFS($A$3:A700,A700,$AV$3:AV700,AV700))</f>
        <v/>
      </c>
      <c r="AX700" s="129">
        <f t="shared" si="449"/>
        <v/>
      </c>
      <c r="AY700" s="129">
        <f>IF(N700="б/к",0,IF(OR(ISNUMBER(SEARCH("L=",Разбивка_по_щитам!P700)),N700="+",N700="="),1,0))</f>
      </c>
      <c r="AZ700" s="129">
        <f t="shared" si="450"/>
        <v/>
      </c>
      <c r="BA700" s="129">
        <f t="shared" si="451"/>
      </c>
      <c r="BB700" s="129">
        <f t="shared" si="452"/>
      </c>
      <c r="BD700" s="129">
        <f t="shared" si="453"/>
      </c>
      <c r="BE700" s="129">
        <f t="shared" si="454"/>
      </c>
      <c r="BF700" s="129">
        <f t="shared" si="455"/>
      </c>
      <c r="BG700" s="129">
        <f t="shared" si="456"/>
        <v/>
      </c>
      <c r="BH700" s="129">
        <f t="shared" si="457"/>
        <v/>
      </c>
      <c r="BI700" s="129">
        <f t="shared" si="458"/>
        <v/>
      </c>
      <c r="BJ700" s="129">
        <f t="shared" si="459"/>
        <v/>
      </c>
      <c r="BK700" s="129">
        <f>IF(R700="","",IF(OR(BY700="",BY700=0),"BOX",IFERROR(IF(VLOOKUP(BY700,УГО_блоки,3,FALSE)&amp;""&lt;&gt;"",VLOOKUP(BY700,УГО_блоки,3,FALSE),VLOOKUP(BY700,УГО_блоки,2,FALSE)),BY700)))</f>
      </c>
      <c r="BL700" s="129">
        <f t="shared" si="461"/>
      </c>
      <c r="BM700" s="129">
        <f>IF(H700="","",IF(COUNTIF($H$3:H700,H700)=1,MAX($BM$2:BM699)+1,""))</f>
      </c>
      <c r="BN700" s="129">
        <f>IF(I700="","",IF(COUNTIF($I$3:I700,I700)+COUNTIF($J$2:J699,I700)+COUNTIF($K$2:K699,I700)=1,MAX($BN$2:BP699)+1,""))</f>
      </c>
      <c r="BO700" s="129">
        <f>IF(J700="","",IF(COUNTIF($I$3:I700,J700)+COUNTIF($J$3:J700,J700)+COUNTIF($K$2:K699,J700)=1,MAX($BN$2:BP699,BN700)+1,""))</f>
      </c>
      <c r="BP700" s="129">
        <f>IF(K700="","",IF(COUNTIF($I$3:I700,K700)+COUNTIF($J$3:J700,K700)+COUNTIF($K$3:K700,K700)=1,MAX($BN$2:BP699,BN700,BO700)+1,""))</f>
      </c>
      <c r="BQ700" s="129">
        <f>IF(AY700=1,IFERROR(MID(Q700,FIND(" (",Q700)+2,FIND(")",Q700,FIND(" (",Q700))-FIND(" (",Q700)-2),"?"),"")</f>
      </c>
      <c r="BR700" s="129">
        <f>IF(BQ700="","",IF(COUNTIF($BQ$3:BQ700,BQ700)=1,MAX($BR$2:BR699)+1,""))</f>
      </c>
      <c r="BS700" s="129">
        <f>IF(AW700="","",COUNTIF($AW$3:AW700,"?*"))</f>
      </c>
      <c r="BT700" s="129">
        <f>IF(OR(AW700="",AI700=""),"",IF(COUNTIFS($AW$3:AW700,"?*",$AI$3:AI700,AI700)=1,MAX($BT$2:BT699)+1,""))</f>
      </c>
      <c r="BU700" s="129">
        <f>IF(AE700="",0,IF(OR(ISNUMBER(SEARCH("дубль",AE700)),ISNUMBER(SEARCH("ПЕРЕГРУЗ",AE700)),ISNUMBER(SEARCH("ЗАЩИЩ",AE700)),ISNUMBER(SEARCH("КАНАЛ",AE700)),ISNUMBER(SEARCH("без 30",AE700))),2,1))</f>
      </c>
      <c r="BV700" s="129">
        <f>IF(R700="","",COUNTIF($R$3:R700,"?*"))</f>
      </c>
      <c r="BW700" s="129">
        <f>IF(AY700&lt;&gt;1,0,IF(MAX(IFERROR(--VLOOKUP(R700,УГО_спр,5,FALSE),0),IFERROR(--VLOOKUP(AL700,УГО_спр,5,FALSE),0),IFERROR(--VLOOKUP(LEFT(AL700,2),УГО_спр,5,FALSE),0))&gt;0,MAX(IFERROR(--VLOOKUP(R700,УГО_спр,5,FALSE),0),IFERROR(--VLOOKUP(AL700,УГО_спр,5,FALSE),0),IFERROR(--VLOOKUP(LEFT(AL700,2),УГО_спр,5,FALSE),0)),IF(IFERROR(--LEFT(SUBSTITUTE(BQ700,"x","х"),FIND("х",SUBSTITUTE(BQ700,"x","х"))-1),3)&gt;3,Каталог!$S$9,1)))</f>
      </c>
      <c r="BX700" s="129">
        <f>IF(AY700&lt;&gt;1,0,MAX(0,IFERROR(--LEFT(SUBSTITUTE(BQ700,"x","х"),FIND("х",SUBSTITUTE(BQ700,"x","х"))-1),3)-3*BW700))</f>
      </c>
      <c r="BY700" s="129">
        <f>IF(R700="","",IFERROR(VLOOKUP(R700,УГО_спр,2,FALSE),IFERROR(VLOOKUP(AL700,УГО_спр,2,FALSE),IFERROR(VLOOKUP(LEFT(AL700,2),УГО_спр,2,FALSE),""))))</f>
      </c>
    </row>
    <row r="701" spans="1:64" x14ac:dyDescent="0.3">
      <c r="A701" s="135">
        <f>IF(Разбивка_по_щитам!F701=0,"",Разбивка_по_щитам!F701)</f>
        <v/>
      </c>
      <c r="B701" s="138">
        <f>IF(A701="","",Разбивка_по_щитам!C701)</f>
        <v/>
      </c>
      <c r="C701" s="138">
        <f t="shared" si="422"/>
        <v/>
      </c>
      <c r="D701" s="266"/>
      <c r="E701" s="266"/>
      <c r="F701" s="267"/>
      <c r="G701" s="145">
        <f t="shared" si="423"/>
        <v/>
      </c>
      <c r="H701" s="145">
        <f t="shared" si="424"/>
        <v/>
      </c>
      <c r="I701" s="266"/>
      <c r="J701" s="267"/>
      <c r="K701" s="267"/>
      <c r="L701" s="266"/>
      <c r="M701" s="147">
        <f t="shared" si="425"/>
        <v/>
      </c>
      <c r="N701" s="267"/>
      <c r="O701" s="147">
        <f t="shared" si="426"/>
        <v/>
      </c>
      <c r="P701" s="268">
        <f>IF(AY701=1,"XT"&amp;COUNTIFS($A$3:A701,A701,$AY$3:AY701,1),"")</f>
        <v/>
      </c>
      <c r="Q701" s="152">
        <f>IF(R701="","",IFERROR(SUBSTITUTE(Разбивка_по_щитам!P701,CHAR(10)," "),""))</f>
        <v/>
      </c>
      <c r="R701" s="153">
        <f>IF(OR(Разбивка_по_щитам!H701="",Разбивка_по_щитам!H701=0),"",Разбивка_по_щитам!H701)</f>
        <v/>
      </c>
      <c r="S701" s="154">
        <f>IF(R701="","",IFERROR(Разбивка_по_щитам!J701&amp;"",""))</f>
        <v/>
      </c>
      <c r="T701" s="155">
        <f>IF(R701="","",IFERROR(--Разбивка_по_щитам!L701,""))</f>
        <v/>
      </c>
      <c r="U701" s="155">
        <f>IF(R701="","",IFERROR(--Разбивка_по_щитам!K701,""))</f>
        <v/>
      </c>
      <c r="V701" s="138">
        <f>IF(R701="","",IFERROR(IF(Разбивка_по_щитам!M701=0,"",Разбивка_по_щитам!M701),""))</f>
        <v/>
      </c>
      <c r="W701" s="156">
        <f t="shared" si="427"/>
        <v/>
      </c>
      <c r="X701" s="157">
        <f t="shared" si="428"/>
        <v/>
      </c>
      <c r="Y701" s="266"/>
      <c r="Z701" s="158">
        <f t="shared" si="429"/>
        <v/>
      </c>
      <c r="AA701" s="160">
        <f t="shared" si="430"/>
        <v/>
      </c>
      <c r="AB701" s="160">
        <f>IF(R701="","",IFERROR(LOOKUP(INDEX(Справочная!$I$4:$I$19,MATCH(VLOOKUP(R701,Исходные_данные,22,FALSE),Справочная!$J$4:$J$19,0)+1),{6,10,16,20,25,32,40,50,63,80,100,125}),""))</f>
        <v/>
      </c>
      <c r="AC701" s="160">
        <f t="shared" si="431"/>
        <v/>
      </c>
      <c r="AD701" s="161">
        <f t="shared" si="432"/>
        <v/>
      </c>
      <c r="AE701" s="161">
        <f>IF(AND(R701="",G701=""),"",_xlfn.TEXTJOIN("; ",TRUE,IF(AND(R701&lt;&gt;"",V701=""),"нет фазы",""),IF(AND(R701&lt;&gt;"",N(T701)=0),"нет мощности",""),IF(AND(P701&lt;&gt;"",COUNTIFS($A$3:$A$1000,A701,$P$3:$P$1000,P701)&gt;1),"дубль клеммы "&amp;P701,""),IF(AND(W701&lt;&gt;"",W701&lt;&gt;"ok"),W701,""),IF(X701&lt;&gt;"",X701,""),IF(AND(ISNUMBER(SEARCH("(5х",Q701)),N(AK701)=1),"5 жил на 1 фазе",""),IF(AND(AL701="R",E701&lt;&gt;"",N(AS701)=0),"розетка без 30 мА",""),IF(IFERROR(_xlfn.NUMBERVALUE(MID(Q701,FIND("-",Q701,FIND("L=",Q701))+1,FIND("%",Q701)-FIND("-",Q701,FIND("L=",Q701))-1),","),0)&gt;4,"потери &gt; 4 %","")))</f>
      </c>
      <c r="AF701" s="129">
        <f>IF(E701&lt;&gt;"",COUNTIFS($A$3:A701,A701,$E$3:E701,"?*"),IF(OR(A701&lt;&gt;A700,Y701="вручную"),"",AF700))</f>
        <v/>
      </c>
      <c r="AG701" s="129">
        <f t="shared" si="433"/>
        <v/>
      </c>
      <c r="AH701" s="129">
        <f t="shared" si="434"/>
        <v/>
      </c>
      <c r="AI701" s="129">
        <f t="shared" si="435"/>
        <v/>
      </c>
      <c r="AJ701" s="129">
        <f t="shared" si="436"/>
        <v/>
      </c>
      <c r="AK701" s="129">
        <f t="shared" si="437"/>
        <v/>
      </c>
      <c r="AL701" s="129">
        <f t="shared" si="438"/>
        <v/>
      </c>
      <c r="AM701" s="129">
        <f t="shared" si="439"/>
      </c>
      <c r="AN701" s="129">
        <f t="shared" si="440"/>
      </c>
      <c r="AO701" s="129">
        <f t="shared" si="441"/>
        <v/>
      </c>
      <c r="AP701" s="129">
        <f t="shared" si="442"/>
        <v/>
      </c>
      <c r="AQ701" s="129">
        <f t="shared" si="443"/>
        <v/>
      </c>
      <c r="AR701" s="129">
        <f t="shared" si="444"/>
        <v/>
      </c>
      <c r="AS701" s="129">
        <f t="shared" si="445"/>
        <v/>
      </c>
      <c r="AT701" s="129">
        <f t="shared" si="446"/>
        <v/>
      </c>
      <c r="AU701" s="129">
        <f t="shared" si="447"/>
        <v/>
      </c>
      <c r="AV701" s="129">
        <f t="shared" si="448"/>
        <v/>
      </c>
      <c r="AW701" s="129">
        <f>IF(AV701="","",AV701&amp;"."&amp;COUNTIFS($A$3:A701,A701,$AV$3:AV701,AV701))</f>
        <v/>
      </c>
      <c r="AX701" s="129">
        <f t="shared" si="449"/>
        <v/>
      </c>
      <c r="AY701" s="129">
        <f>IF(N701="б/к",0,IF(OR(ISNUMBER(SEARCH("L=",Разбивка_по_щитам!P701)),N701="+",N701="="),1,0))</f>
      </c>
      <c r="AZ701" s="129">
        <f t="shared" si="450"/>
        <v/>
      </c>
      <c r="BA701" s="129">
        <f t="shared" si="451"/>
      </c>
      <c r="BB701" s="129">
        <f t="shared" si="452"/>
      </c>
      <c r="BD701" s="129">
        <f t="shared" si="453"/>
      </c>
      <c r="BE701" s="129">
        <f t="shared" si="454"/>
      </c>
      <c r="BF701" s="129">
        <f t="shared" si="455"/>
      </c>
      <c r="BG701" s="129">
        <f t="shared" si="456"/>
        <v/>
      </c>
      <c r="BH701" s="129">
        <f t="shared" si="457"/>
        <v/>
      </c>
      <c r="BI701" s="129">
        <f t="shared" si="458"/>
        <v/>
      </c>
      <c r="BJ701" s="129">
        <f t="shared" si="459"/>
        <v/>
      </c>
      <c r="BK701" s="129">
        <f>IF(R701="","",IF(OR(BY701="",BY701=0),"BOX",IFERROR(IF(VLOOKUP(BY701,УГО_блоки,3,FALSE)&amp;""&lt;&gt;"",VLOOKUP(BY701,УГО_блоки,3,FALSE),VLOOKUP(BY701,УГО_блоки,2,FALSE)),BY701)))</f>
      </c>
      <c r="BL701" s="129">
        <f t="shared" si="461"/>
      </c>
      <c r="BM701" s="129">
        <f>IF(H701="","",IF(COUNTIF($H$3:H701,H701)=1,MAX($BM$2:BM700)+1,""))</f>
      </c>
      <c r="BN701" s="129">
        <f>IF(I701="","",IF(COUNTIF($I$3:I701,I701)+COUNTIF($J$2:J700,I701)+COUNTIF($K$2:K700,I701)=1,MAX($BN$2:BP700)+1,""))</f>
      </c>
      <c r="BO701" s="129">
        <f>IF(J701="","",IF(COUNTIF($I$3:I701,J701)+COUNTIF($J$3:J701,J701)+COUNTIF($K$2:K700,J701)=1,MAX($BN$2:BP700,BN701)+1,""))</f>
      </c>
      <c r="BP701" s="129">
        <f>IF(K701="","",IF(COUNTIF($I$3:I701,K701)+COUNTIF($J$3:J701,K701)+COUNTIF($K$3:K701,K701)=1,MAX($BN$2:BP700,BN701,BO701)+1,""))</f>
      </c>
      <c r="BQ701" s="129">
        <f>IF(AY701=1,IFERROR(MID(Q701,FIND(" (",Q701)+2,FIND(")",Q701,FIND(" (",Q701))-FIND(" (",Q701)-2),"?"),"")</f>
      </c>
      <c r="BR701" s="129">
        <f>IF(BQ701="","",IF(COUNTIF($BQ$3:BQ701,BQ701)=1,MAX($BR$2:BR700)+1,""))</f>
      </c>
      <c r="BS701" s="129">
        <f>IF(AW701="","",COUNTIF($AW$3:AW701,"?*"))</f>
      </c>
      <c r="BT701" s="129">
        <f>IF(OR(AW701="",AI701=""),"",IF(COUNTIFS($AW$3:AW701,"?*",$AI$3:AI701,AI701)=1,MAX($BT$2:BT700)+1,""))</f>
      </c>
      <c r="BU701" s="129">
        <f>IF(AE701="",0,IF(OR(ISNUMBER(SEARCH("дубль",AE701)),ISNUMBER(SEARCH("ПЕРЕГРУЗ",AE701)),ISNUMBER(SEARCH("ЗАЩИЩ",AE701)),ISNUMBER(SEARCH("КАНАЛ",AE701)),ISNUMBER(SEARCH("без 30",AE701))),2,1))</f>
      </c>
      <c r="BV701" s="129">
        <f>IF(R701="","",COUNTIF($R$3:R701,"?*"))</f>
      </c>
      <c r="BW701" s="129">
        <f>IF(AY701&lt;&gt;1,0,IF(MAX(IFERROR(--VLOOKUP(R701,УГО_спр,5,FALSE),0),IFERROR(--VLOOKUP(AL701,УГО_спр,5,FALSE),0),IFERROR(--VLOOKUP(LEFT(AL701,2),УГО_спр,5,FALSE),0))&gt;0,MAX(IFERROR(--VLOOKUP(R701,УГО_спр,5,FALSE),0),IFERROR(--VLOOKUP(AL701,УГО_спр,5,FALSE),0),IFERROR(--VLOOKUP(LEFT(AL701,2),УГО_спр,5,FALSE),0)),IF(IFERROR(--LEFT(SUBSTITUTE(BQ701,"x","х"),FIND("х",SUBSTITUTE(BQ701,"x","х"))-1),3)&gt;3,Каталог!$S$9,1)))</f>
      </c>
      <c r="BX701" s="129">
        <f>IF(AY701&lt;&gt;1,0,MAX(0,IFERROR(--LEFT(SUBSTITUTE(BQ701,"x","х"),FIND("х",SUBSTITUTE(BQ701,"x","х"))-1),3)-3*BW701))</f>
      </c>
      <c r="BY701" s="129">
        <f>IF(R701="","",IFERROR(VLOOKUP(R701,УГО_спр,2,FALSE),IFERROR(VLOOKUP(AL701,УГО_спр,2,FALSE),IFERROR(VLOOKUP(LEFT(AL701,2),УГО_спр,2,FALSE),""))))</f>
      </c>
    </row>
    <row r="702" spans="1:64" x14ac:dyDescent="0.3">
      <c r="A702" s="135">
        <f>IF(Разбивка_по_щитам!F702=0,"",Разбивка_по_щитам!F702)</f>
        <v/>
      </c>
      <c r="B702" s="138">
        <f>IF(A702="","",Разбивка_по_щитам!C702)</f>
        <v/>
      </c>
      <c r="C702" s="138">
        <f t="shared" si="422"/>
        <v/>
      </c>
      <c r="D702" s="266"/>
      <c r="E702" s="266"/>
      <c r="F702" s="267"/>
      <c r="G702" s="145">
        <f t="shared" si="423"/>
        <v/>
      </c>
      <c r="H702" s="145">
        <f t="shared" si="424"/>
        <v/>
      </c>
      <c r="I702" s="266"/>
      <c r="J702" s="267"/>
      <c r="K702" s="267"/>
      <c r="L702" s="266"/>
      <c r="M702" s="147">
        <f t="shared" si="425"/>
        <v/>
      </c>
      <c r="N702" s="267"/>
      <c r="O702" s="147">
        <f t="shared" si="426"/>
        <v/>
      </c>
      <c r="P702" s="268">
        <f>IF(AY702=1,"XT"&amp;COUNTIFS($A$3:A702,A702,$AY$3:AY702,1),"")</f>
        <v/>
      </c>
      <c r="Q702" s="152">
        <f>IF(R702="","",IFERROR(SUBSTITUTE(Разбивка_по_щитам!P702,CHAR(10)," "),""))</f>
        <v/>
      </c>
      <c r="R702" s="153">
        <f>IF(OR(Разбивка_по_щитам!H702="",Разбивка_по_щитам!H702=0),"",Разбивка_по_щитам!H702)</f>
        <v/>
      </c>
      <c r="S702" s="154">
        <f>IF(R702="","",IFERROR(Разбивка_по_щитам!J702&amp;"",""))</f>
        <v/>
      </c>
      <c r="T702" s="155">
        <f>IF(R702="","",IFERROR(--Разбивка_по_щитам!L702,""))</f>
        <v/>
      </c>
      <c r="U702" s="155">
        <f>IF(R702="","",IFERROR(--Разбивка_по_щитам!K702,""))</f>
        <v/>
      </c>
      <c r="V702" s="138">
        <f>IF(R702="","",IFERROR(IF(Разбивка_по_щитам!M702=0,"",Разбивка_по_щитам!M702),""))</f>
        <v/>
      </c>
      <c r="W702" s="156">
        <f t="shared" si="427"/>
        <v/>
      </c>
      <c r="X702" s="157">
        <f t="shared" si="428"/>
        <v/>
      </c>
      <c r="Y702" s="266"/>
      <c r="Z702" s="158">
        <f t="shared" si="429"/>
        <v/>
      </c>
      <c r="AA702" s="160">
        <f t="shared" si="430"/>
        <v/>
      </c>
      <c r="AB702" s="160">
        <f>IF(R702="","",IFERROR(LOOKUP(INDEX(Справочная!$I$4:$I$19,MATCH(VLOOKUP(R702,Исходные_данные,22,FALSE),Справочная!$J$4:$J$19,0)+1),{6,10,16,20,25,32,40,50,63,80,100,125}),""))</f>
        <v/>
      </c>
      <c r="AC702" s="160">
        <f t="shared" si="431"/>
        <v/>
      </c>
      <c r="AD702" s="161">
        <f t="shared" si="432"/>
        <v/>
      </c>
      <c r="AE702" s="161">
        <f>IF(AND(R702="",G702=""),"",_xlfn.TEXTJOIN("; ",TRUE,IF(AND(R702&lt;&gt;"",V702=""),"нет фазы",""),IF(AND(R702&lt;&gt;"",N(T702)=0),"нет мощности",""),IF(AND(P702&lt;&gt;"",COUNTIFS($A$3:$A$1000,A702,$P$3:$P$1000,P702)&gt;1),"дубль клеммы "&amp;P702,""),IF(AND(W702&lt;&gt;"",W702&lt;&gt;"ok"),W702,""),IF(X702&lt;&gt;"",X702,""),IF(AND(ISNUMBER(SEARCH("(5х",Q702)),N(AK702)=1),"5 жил на 1 фазе",""),IF(AND(AL702="R",E702&lt;&gt;"",N(AS702)=0),"розетка без 30 мА",""),IF(IFERROR(_xlfn.NUMBERVALUE(MID(Q702,FIND("-",Q702,FIND("L=",Q702))+1,FIND("%",Q702)-FIND("-",Q702,FIND("L=",Q702))-1),","),0)&gt;4,"потери &gt; 4 %","")))</f>
      </c>
      <c r="AF702" s="129">
        <f>IF(E702&lt;&gt;"",COUNTIFS($A$3:A702,A702,$E$3:E702,"?*"),IF(OR(A702&lt;&gt;A701,Y702="вручную"),"",AF701))</f>
        <v/>
      </c>
      <c r="AG702" s="129">
        <f t="shared" si="433"/>
        <v/>
      </c>
      <c r="AH702" s="129">
        <f t="shared" si="434"/>
        <v/>
      </c>
      <c r="AI702" s="129">
        <f t="shared" si="435"/>
        <v/>
      </c>
      <c r="AJ702" s="129">
        <f t="shared" si="436"/>
        <v/>
      </c>
      <c r="AK702" s="129">
        <f t="shared" si="437"/>
        <v/>
      </c>
      <c r="AL702" s="129">
        <f t="shared" si="438"/>
        <v/>
      </c>
      <c r="AM702" s="129">
        <f t="shared" si="439"/>
      </c>
      <c r="AN702" s="129">
        <f t="shared" si="440"/>
      </c>
      <c r="AO702" s="129">
        <f t="shared" si="441"/>
        <v/>
      </c>
      <c r="AP702" s="129">
        <f t="shared" si="442"/>
        <v/>
      </c>
      <c r="AQ702" s="129">
        <f t="shared" si="443"/>
        <v/>
      </c>
      <c r="AR702" s="129">
        <f t="shared" si="444"/>
        <v/>
      </c>
      <c r="AS702" s="129">
        <f t="shared" si="445"/>
        <v/>
      </c>
      <c r="AT702" s="129">
        <f t="shared" si="446"/>
        <v/>
      </c>
      <c r="AU702" s="129">
        <f t="shared" si="447"/>
        <v/>
      </c>
      <c r="AV702" s="129">
        <f t="shared" si="448"/>
        <v/>
      </c>
      <c r="AW702" s="129">
        <f>IF(AV702="","",AV702&amp;"."&amp;COUNTIFS($A$3:A702,A702,$AV$3:AV702,AV702))</f>
        <v/>
      </c>
      <c r="AX702" s="129">
        <f t="shared" si="449"/>
        <v/>
      </c>
      <c r="AY702" s="129">
        <f>IF(N702="б/к",0,IF(OR(ISNUMBER(SEARCH("L=",Разбивка_по_щитам!P702)),N702="+",N702="="),1,0))</f>
      </c>
      <c r="AZ702" s="129">
        <f t="shared" si="450"/>
        <v/>
      </c>
      <c r="BA702" s="129">
        <f t="shared" si="451"/>
      </c>
      <c r="BB702" s="129">
        <f t="shared" si="452"/>
      </c>
      <c r="BD702" s="129">
        <f t="shared" si="453"/>
      </c>
      <c r="BE702" s="129">
        <f t="shared" si="454"/>
      </c>
      <c r="BF702" s="129">
        <f t="shared" si="455"/>
      </c>
      <c r="BG702" s="129">
        <f t="shared" si="456"/>
        <v/>
      </c>
      <c r="BH702" s="129">
        <f t="shared" si="457"/>
        <v/>
      </c>
      <c r="BI702" s="129">
        <f t="shared" si="458"/>
        <v/>
      </c>
      <c r="BJ702" s="129">
        <f t="shared" si="459"/>
        <v/>
      </c>
      <c r="BK702" s="129">
        <f>IF(R702="","",IF(OR(BY702="",BY702=0),"BOX",IFERROR(IF(VLOOKUP(BY702,УГО_блоки,3,FALSE)&amp;""&lt;&gt;"",VLOOKUP(BY702,УГО_блоки,3,FALSE),VLOOKUP(BY702,УГО_блоки,2,FALSE)),BY702)))</f>
      </c>
      <c r="BL702" s="129">
        <f t="shared" si="461"/>
      </c>
      <c r="BM702" s="129">
        <f>IF(H702="","",IF(COUNTIF($H$3:H702,H702)=1,MAX($BM$2:BM701)+1,""))</f>
      </c>
      <c r="BN702" s="129">
        <f>IF(I702="","",IF(COUNTIF($I$3:I702,I702)+COUNTIF($J$2:J701,I702)+COUNTIF($K$2:K701,I702)=1,MAX($BN$2:BP701)+1,""))</f>
      </c>
      <c r="BO702" s="129">
        <f>IF(J702="","",IF(COUNTIF($I$3:I702,J702)+COUNTIF($J$3:J702,J702)+COUNTIF($K$2:K701,J702)=1,MAX($BN$2:BP701,BN702)+1,""))</f>
      </c>
      <c r="BP702" s="129">
        <f>IF(K702="","",IF(COUNTIF($I$3:I702,K702)+COUNTIF($J$3:J702,K702)+COUNTIF($K$3:K702,K702)=1,MAX($BN$2:BP701,BN702,BO702)+1,""))</f>
      </c>
      <c r="BQ702" s="129">
        <f>IF(AY702=1,IFERROR(MID(Q702,FIND(" (",Q702)+2,FIND(")",Q702,FIND(" (",Q702))-FIND(" (",Q702)-2),"?"),"")</f>
      </c>
      <c r="BR702" s="129">
        <f>IF(BQ702="","",IF(COUNTIF($BQ$3:BQ702,BQ702)=1,MAX($BR$2:BR701)+1,""))</f>
      </c>
      <c r="BS702" s="129">
        <f>IF(AW702="","",COUNTIF($AW$3:AW702,"?*"))</f>
      </c>
      <c r="BT702" s="129">
        <f>IF(OR(AW702="",AI702=""),"",IF(COUNTIFS($AW$3:AW702,"?*",$AI$3:AI702,AI702)=1,MAX($BT$2:BT701)+1,""))</f>
      </c>
      <c r="BU702" s="129">
        <f>IF(AE702="",0,IF(OR(ISNUMBER(SEARCH("дубль",AE702)),ISNUMBER(SEARCH("ПЕРЕГРУЗ",AE702)),ISNUMBER(SEARCH("ЗАЩИЩ",AE702)),ISNUMBER(SEARCH("КАНАЛ",AE702)),ISNUMBER(SEARCH("без 30",AE702))),2,1))</f>
      </c>
      <c r="BV702" s="129">
        <f>IF(R702="","",COUNTIF($R$3:R702,"?*"))</f>
      </c>
      <c r="BW702" s="129">
        <f>IF(AY702&lt;&gt;1,0,IF(MAX(IFERROR(--VLOOKUP(R702,УГО_спр,5,FALSE),0),IFERROR(--VLOOKUP(AL702,УГО_спр,5,FALSE),0),IFERROR(--VLOOKUP(LEFT(AL702,2),УГО_спр,5,FALSE),0))&gt;0,MAX(IFERROR(--VLOOKUP(R702,УГО_спр,5,FALSE),0),IFERROR(--VLOOKUP(AL702,УГО_спр,5,FALSE),0),IFERROR(--VLOOKUP(LEFT(AL702,2),УГО_спр,5,FALSE),0)),IF(IFERROR(--LEFT(SUBSTITUTE(BQ702,"x","х"),FIND("х",SUBSTITUTE(BQ702,"x","х"))-1),3)&gt;3,Каталог!$S$9,1)))</f>
      </c>
      <c r="BX702" s="129">
        <f>IF(AY702&lt;&gt;1,0,MAX(0,IFERROR(--LEFT(SUBSTITUTE(BQ702,"x","х"),FIND("х",SUBSTITUTE(BQ702,"x","х"))-1),3)-3*BW702))</f>
      </c>
      <c r="BY702" s="129">
        <f>IF(R702="","",IFERROR(VLOOKUP(R702,УГО_спр,2,FALSE),IFERROR(VLOOKUP(AL702,УГО_спр,2,FALSE),IFERROR(VLOOKUP(LEFT(AL702,2),УГО_спр,2,FALSE),""))))</f>
      </c>
    </row>
    <row r="703" spans="1:64" x14ac:dyDescent="0.3">
      <c r="A703" s="135">
        <f>IF(Разбивка_по_щитам!F703=0,"",Разбивка_по_щитам!F703)</f>
        <v/>
      </c>
      <c r="B703" s="138">
        <f>IF(A703="","",Разбивка_по_щитам!C703)</f>
        <v/>
      </c>
      <c r="C703" s="138">
        <f t="shared" si="422"/>
        <v/>
      </c>
      <c r="D703" s="266"/>
      <c r="E703" s="266"/>
      <c r="F703" s="267"/>
      <c r="G703" s="145">
        <f t="shared" si="423"/>
        <v/>
      </c>
      <c r="H703" s="145">
        <f t="shared" si="424"/>
        <v/>
      </c>
      <c r="I703" s="266"/>
      <c r="J703" s="267"/>
      <c r="K703" s="267"/>
      <c r="L703" s="266"/>
      <c r="M703" s="147">
        <f t="shared" si="425"/>
        <v/>
      </c>
      <c r="N703" s="267"/>
      <c r="O703" s="147">
        <f t="shared" si="426"/>
        <v/>
      </c>
      <c r="P703" s="268">
        <f>IF(AY703=1,"XT"&amp;COUNTIFS($A$3:A703,A703,$AY$3:AY703,1),"")</f>
        <v/>
      </c>
      <c r="Q703" s="152">
        <f>IF(R703="","",IFERROR(SUBSTITUTE(Разбивка_по_щитам!P703,CHAR(10)," "),""))</f>
        <v/>
      </c>
      <c r="R703" s="153">
        <f>IF(OR(Разбивка_по_щитам!H703="",Разбивка_по_щитам!H703=0),"",Разбивка_по_щитам!H703)</f>
        <v/>
      </c>
      <c r="S703" s="154">
        <f>IF(R703="","",IFERROR(Разбивка_по_щитам!J703&amp;"",""))</f>
        <v/>
      </c>
      <c r="T703" s="155">
        <f>IF(R703="","",IFERROR(--Разбивка_по_щитам!L703,""))</f>
        <v/>
      </c>
      <c r="U703" s="155">
        <f>IF(R703="","",IFERROR(--Разбивка_по_щитам!K703,""))</f>
        <v/>
      </c>
      <c r="V703" s="138">
        <f>IF(R703="","",IFERROR(IF(Разбивка_по_щитам!M703=0,"",Разбивка_по_щитам!M703),""))</f>
        <v/>
      </c>
      <c r="W703" s="156">
        <f t="shared" si="427"/>
        <v/>
      </c>
      <c r="X703" s="157">
        <f t="shared" si="428"/>
        <v/>
      </c>
      <c r="Y703" s="266"/>
      <c r="Z703" s="158">
        <f t="shared" si="429"/>
        <v/>
      </c>
      <c r="AA703" s="160">
        <f t="shared" si="430"/>
        <v/>
      </c>
      <c r="AB703" s="160">
        <f>IF(R703="","",IFERROR(LOOKUP(INDEX(Справочная!$I$4:$I$19,MATCH(VLOOKUP(R703,Исходные_данные,22,FALSE),Справочная!$J$4:$J$19,0)+1),{6,10,16,20,25,32,40,50,63,80,100,125}),""))</f>
        <v/>
      </c>
      <c r="AC703" s="160">
        <f t="shared" si="431"/>
        <v/>
      </c>
      <c r="AD703" s="161">
        <f t="shared" si="432"/>
        <v/>
      </c>
      <c r="AE703" s="161">
        <f>IF(AND(R703="",G703=""),"",_xlfn.TEXTJOIN("; ",TRUE,IF(AND(R703&lt;&gt;"",V703=""),"нет фазы",""),IF(AND(R703&lt;&gt;"",N(T703)=0),"нет мощности",""),IF(AND(P703&lt;&gt;"",COUNTIFS($A$3:$A$1000,A703,$P$3:$P$1000,P703)&gt;1),"дубль клеммы "&amp;P703,""),IF(AND(W703&lt;&gt;"",W703&lt;&gt;"ok"),W703,""),IF(X703&lt;&gt;"",X703,""),IF(AND(ISNUMBER(SEARCH("(5х",Q703)),N(AK703)=1),"5 жил на 1 фазе",""),IF(AND(AL703="R",E703&lt;&gt;"",N(AS703)=0),"розетка без 30 мА",""),IF(IFERROR(_xlfn.NUMBERVALUE(MID(Q703,FIND("-",Q703,FIND("L=",Q703))+1,FIND("%",Q703)-FIND("-",Q703,FIND("L=",Q703))-1),","),0)&gt;4,"потери &gt; 4 %","")))</f>
      </c>
      <c r="AF703" s="129">
        <f>IF(E703&lt;&gt;"",COUNTIFS($A$3:A703,A703,$E$3:E703,"?*"),IF(OR(A703&lt;&gt;A702,Y703="вручную"),"",AF702))</f>
        <v/>
      </c>
      <c r="AG703" s="129">
        <f t="shared" si="433"/>
        <v/>
      </c>
      <c r="AH703" s="129">
        <f t="shared" si="434"/>
        <v/>
      </c>
      <c r="AI703" s="129">
        <f t="shared" si="435"/>
        <v/>
      </c>
      <c r="AJ703" s="129">
        <f t="shared" si="436"/>
        <v/>
      </c>
      <c r="AK703" s="129">
        <f t="shared" si="437"/>
        <v/>
      </c>
      <c r="AL703" s="129">
        <f t="shared" si="438"/>
        <v/>
      </c>
      <c r="AM703" s="129">
        <f t="shared" si="439"/>
      </c>
      <c r="AN703" s="129">
        <f t="shared" si="440"/>
      </c>
      <c r="AO703" s="129">
        <f t="shared" si="441"/>
        <v/>
      </c>
      <c r="AP703" s="129">
        <f t="shared" si="442"/>
        <v/>
      </c>
      <c r="AQ703" s="129">
        <f t="shared" si="443"/>
        <v/>
      </c>
      <c r="AR703" s="129">
        <f t="shared" si="444"/>
        <v/>
      </c>
      <c r="AS703" s="129">
        <f t="shared" si="445"/>
        <v/>
      </c>
      <c r="AT703" s="129">
        <f t="shared" si="446"/>
        <v/>
      </c>
      <c r="AU703" s="129">
        <f t="shared" si="447"/>
        <v/>
      </c>
      <c r="AV703" s="129">
        <f t="shared" si="448"/>
        <v/>
      </c>
      <c r="AW703" s="129">
        <f>IF(AV703="","",AV703&amp;"."&amp;COUNTIFS($A$3:A703,A703,$AV$3:AV703,AV703))</f>
        <v/>
      </c>
      <c r="AX703" s="129">
        <f t="shared" si="449"/>
        <v/>
      </c>
      <c r="AY703" s="129">
        <f>IF(N703="б/к",0,IF(OR(ISNUMBER(SEARCH("L=",Разбивка_по_щитам!P703)),N703="+",N703="="),1,0))</f>
      </c>
      <c r="AZ703" s="129">
        <f t="shared" si="450"/>
        <v/>
      </c>
      <c r="BA703" s="129">
        <f t="shared" si="451"/>
      </c>
      <c r="BB703" s="129">
        <f t="shared" si="452"/>
      </c>
      <c r="BD703" s="129">
        <f t="shared" si="453"/>
      </c>
      <c r="BE703" s="129">
        <f t="shared" si="454"/>
      </c>
      <c r="BF703" s="129">
        <f t="shared" si="455"/>
      </c>
      <c r="BG703" s="129">
        <f t="shared" si="456"/>
        <v/>
      </c>
      <c r="BH703" s="129">
        <f t="shared" si="457"/>
        <v/>
      </c>
      <c r="BI703" s="129">
        <f t="shared" si="458"/>
        <v/>
      </c>
      <c r="BJ703" s="129">
        <f t="shared" si="459"/>
        <v/>
      </c>
      <c r="BK703" s="129">
        <f>IF(R703="","",IF(OR(BY703="",BY703=0),"BOX",IFERROR(IF(VLOOKUP(BY703,УГО_блоки,3,FALSE)&amp;""&lt;&gt;"",VLOOKUP(BY703,УГО_блоки,3,FALSE),VLOOKUP(BY703,УГО_блоки,2,FALSE)),BY703)))</f>
      </c>
      <c r="BL703" s="129">
        <f t="shared" si="461"/>
      </c>
      <c r="BM703" s="129">
        <f>IF(H703="","",IF(COUNTIF($H$3:H703,H703)=1,MAX($BM$2:BM702)+1,""))</f>
      </c>
      <c r="BN703" s="129">
        <f>IF(I703="","",IF(COUNTIF($I$3:I703,I703)+COUNTIF($J$2:J702,I703)+COUNTIF($K$2:K702,I703)=1,MAX($BN$2:BP702)+1,""))</f>
      </c>
      <c r="BO703" s="129">
        <f>IF(J703="","",IF(COUNTIF($I$3:I703,J703)+COUNTIF($J$3:J703,J703)+COUNTIF($K$2:K702,J703)=1,MAX($BN$2:BP702,BN703)+1,""))</f>
      </c>
      <c r="BP703" s="129">
        <f>IF(K703="","",IF(COUNTIF($I$3:I703,K703)+COUNTIF($J$3:J703,K703)+COUNTIF($K$3:K703,K703)=1,MAX($BN$2:BP702,BN703,BO703)+1,""))</f>
      </c>
      <c r="BQ703" s="129">
        <f>IF(AY703=1,IFERROR(MID(Q703,FIND(" (",Q703)+2,FIND(")",Q703,FIND(" (",Q703))-FIND(" (",Q703)-2),"?"),"")</f>
      </c>
      <c r="BR703" s="129">
        <f>IF(BQ703="","",IF(COUNTIF($BQ$3:BQ703,BQ703)=1,MAX($BR$2:BR702)+1,""))</f>
      </c>
      <c r="BS703" s="129">
        <f>IF(AW703="","",COUNTIF($AW$3:AW703,"?*"))</f>
      </c>
      <c r="BT703" s="129">
        <f>IF(OR(AW703="",AI703=""),"",IF(COUNTIFS($AW$3:AW703,"?*",$AI$3:AI703,AI703)=1,MAX($BT$2:BT702)+1,""))</f>
      </c>
      <c r="BU703" s="129">
        <f>IF(AE703="",0,IF(OR(ISNUMBER(SEARCH("дубль",AE703)),ISNUMBER(SEARCH("ПЕРЕГРУЗ",AE703)),ISNUMBER(SEARCH("ЗАЩИЩ",AE703)),ISNUMBER(SEARCH("КАНАЛ",AE703)),ISNUMBER(SEARCH("без 30",AE703))),2,1))</f>
      </c>
      <c r="BV703" s="129">
        <f>IF(R703="","",COUNTIF($R$3:R703,"?*"))</f>
      </c>
      <c r="BW703" s="129">
        <f>IF(AY703&lt;&gt;1,0,IF(MAX(IFERROR(--VLOOKUP(R703,УГО_спр,5,FALSE),0),IFERROR(--VLOOKUP(AL703,УГО_спр,5,FALSE),0),IFERROR(--VLOOKUP(LEFT(AL703,2),УГО_спр,5,FALSE),0))&gt;0,MAX(IFERROR(--VLOOKUP(R703,УГО_спр,5,FALSE),0),IFERROR(--VLOOKUP(AL703,УГО_спр,5,FALSE),0),IFERROR(--VLOOKUP(LEFT(AL703,2),УГО_спр,5,FALSE),0)),IF(IFERROR(--LEFT(SUBSTITUTE(BQ703,"x","х"),FIND("х",SUBSTITUTE(BQ703,"x","х"))-1),3)&gt;3,Каталог!$S$9,1)))</f>
      </c>
      <c r="BX703" s="129">
        <f>IF(AY703&lt;&gt;1,0,MAX(0,IFERROR(--LEFT(SUBSTITUTE(BQ703,"x","х"),FIND("х",SUBSTITUTE(BQ703,"x","х"))-1),3)-3*BW703))</f>
      </c>
      <c r="BY703" s="129">
        <f>IF(R703="","",IFERROR(VLOOKUP(R703,УГО_спр,2,FALSE),IFERROR(VLOOKUP(AL703,УГО_спр,2,FALSE),IFERROR(VLOOKUP(LEFT(AL703,2),УГО_спр,2,FALSE),""))))</f>
      </c>
    </row>
    <row r="704" spans="1:64" x14ac:dyDescent="0.3">
      <c r="A704" s="135">
        <f>IF(Разбивка_по_щитам!F704=0,"",Разбивка_по_щитам!F704)</f>
        <v/>
      </c>
      <c r="B704" s="138">
        <f>IF(A704="","",Разбивка_по_щитам!C704)</f>
        <v/>
      </c>
      <c r="C704" s="138">
        <f t="shared" si="422"/>
        <v/>
      </c>
      <c r="D704" s="266"/>
      <c r="E704" s="266"/>
      <c r="F704" s="267"/>
      <c r="G704" s="145">
        <f t="shared" si="423"/>
        <v/>
      </c>
      <c r="H704" s="145">
        <f t="shared" si="424"/>
        <v/>
      </c>
      <c r="I704" s="266"/>
      <c r="J704" s="267"/>
      <c r="K704" s="267"/>
      <c r="L704" s="266"/>
      <c r="M704" s="147">
        <f t="shared" si="425"/>
        <v/>
      </c>
      <c r="N704" s="267"/>
      <c r="O704" s="147">
        <f t="shared" si="426"/>
        <v/>
      </c>
      <c r="P704" s="268">
        <f>IF(AY704=1,"XT"&amp;COUNTIFS($A$3:A704,A704,$AY$3:AY704,1),"")</f>
        <v/>
      </c>
      <c r="Q704" s="152">
        <f>IF(R704="","",IFERROR(SUBSTITUTE(Разбивка_по_щитам!P704,CHAR(10)," "),""))</f>
        <v/>
      </c>
      <c r="R704" s="153">
        <f>IF(OR(Разбивка_по_щитам!H704="",Разбивка_по_щитам!H704=0),"",Разбивка_по_щитам!H704)</f>
        <v/>
      </c>
      <c r="S704" s="154">
        <f>IF(R704="","",IFERROR(Разбивка_по_щитам!J704&amp;"",""))</f>
        <v/>
      </c>
      <c r="T704" s="155">
        <f>IF(R704="","",IFERROR(--Разбивка_по_щитам!L704,""))</f>
        <v/>
      </c>
      <c r="U704" s="155">
        <f>IF(R704="","",IFERROR(--Разбивка_по_щитам!K704,""))</f>
        <v/>
      </c>
      <c r="V704" s="138">
        <f>IF(R704="","",IFERROR(IF(Разбивка_по_щитам!M704=0,"",Разбивка_по_щитам!M704),""))</f>
        <v/>
      </c>
      <c r="W704" s="156">
        <f t="shared" si="427"/>
        <v/>
      </c>
      <c r="X704" s="157">
        <f t="shared" si="428"/>
        <v/>
      </c>
      <c r="Y704" s="266"/>
      <c r="Z704" s="158">
        <f t="shared" si="429"/>
        <v/>
      </c>
      <c r="AA704" s="160">
        <f t="shared" si="430"/>
        <v/>
      </c>
      <c r="AB704" s="160">
        <f>IF(R704="","",IFERROR(LOOKUP(INDEX(Справочная!$I$4:$I$19,MATCH(VLOOKUP(R704,Исходные_данные,22,FALSE),Справочная!$J$4:$J$19,0)+1),{6,10,16,20,25,32,40,50,63,80,100,125}),""))</f>
        <v/>
      </c>
      <c r="AC704" s="160">
        <f t="shared" si="431"/>
        <v/>
      </c>
      <c r="AD704" s="161">
        <f t="shared" si="432"/>
        <v/>
      </c>
      <c r="AE704" s="161">
        <f>IF(AND(R704="",G704=""),"",_xlfn.TEXTJOIN("; ",TRUE,IF(AND(R704&lt;&gt;"",V704=""),"нет фазы",""),IF(AND(R704&lt;&gt;"",N(T704)=0),"нет мощности",""),IF(AND(P704&lt;&gt;"",COUNTIFS($A$3:$A$1000,A704,$P$3:$P$1000,P704)&gt;1),"дубль клеммы "&amp;P704,""),IF(AND(W704&lt;&gt;"",W704&lt;&gt;"ok"),W704,""),IF(X704&lt;&gt;"",X704,""),IF(AND(ISNUMBER(SEARCH("(5х",Q704)),N(AK704)=1),"5 жил на 1 фазе",""),IF(AND(AL704="R",E704&lt;&gt;"",N(AS704)=0),"розетка без 30 мА",""),IF(IFERROR(_xlfn.NUMBERVALUE(MID(Q704,FIND("-",Q704,FIND("L=",Q704))+1,FIND("%",Q704)-FIND("-",Q704,FIND("L=",Q704))-1),","),0)&gt;4,"потери &gt; 4 %","")))</f>
      </c>
      <c r="AF704" s="129">
        <f>IF(E704&lt;&gt;"",COUNTIFS($A$3:A704,A704,$E$3:E704,"?*"),IF(OR(A704&lt;&gt;A703,Y704="вручную"),"",AF703))</f>
        <v/>
      </c>
      <c r="AG704" s="129">
        <f t="shared" si="433"/>
        <v/>
      </c>
      <c r="AH704" s="129">
        <f t="shared" si="434"/>
        <v/>
      </c>
      <c r="AI704" s="129">
        <f t="shared" si="435"/>
        <v/>
      </c>
      <c r="AJ704" s="129">
        <f t="shared" si="436"/>
        <v/>
      </c>
      <c r="AK704" s="129">
        <f t="shared" si="437"/>
        <v/>
      </c>
      <c r="AL704" s="129">
        <f t="shared" si="438"/>
        <v/>
      </c>
      <c r="AM704" s="129">
        <f t="shared" si="439"/>
      </c>
      <c r="AN704" s="129">
        <f t="shared" si="440"/>
      </c>
      <c r="AO704" s="129">
        <f t="shared" si="441"/>
        <v/>
      </c>
      <c r="AP704" s="129">
        <f t="shared" si="442"/>
        <v/>
      </c>
      <c r="AQ704" s="129">
        <f t="shared" si="443"/>
        <v/>
      </c>
      <c r="AR704" s="129">
        <f t="shared" si="444"/>
        <v/>
      </c>
      <c r="AS704" s="129">
        <f t="shared" si="445"/>
        <v/>
      </c>
      <c r="AT704" s="129">
        <f t="shared" si="446"/>
        <v/>
      </c>
      <c r="AU704" s="129">
        <f t="shared" si="447"/>
        <v/>
      </c>
      <c r="AV704" s="129">
        <f t="shared" si="448"/>
        <v/>
      </c>
      <c r="AW704" s="129">
        <f>IF(AV704="","",AV704&amp;"."&amp;COUNTIFS($A$3:A704,A704,$AV$3:AV704,AV704))</f>
        <v/>
      </c>
      <c r="AX704" s="129">
        <f t="shared" si="449"/>
        <v/>
      </c>
      <c r="AY704" s="129">
        <f>IF(N704="б/к",0,IF(OR(ISNUMBER(SEARCH("L=",Разбивка_по_щитам!P704)),N704="+",N704="="),1,0))</f>
      </c>
      <c r="AZ704" s="129">
        <f t="shared" si="450"/>
        <v/>
      </c>
      <c r="BA704" s="129">
        <f t="shared" si="451"/>
      </c>
      <c r="BB704" s="129">
        <f t="shared" si="452"/>
      </c>
      <c r="BD704" s="129">
        <f t="shared" si="453"/>
      </c>
      <c r="BE704" s="129">
        <f t="shared" si="454"/>
      </c>
      <c r="BF704" s="129">
        <f t="shared" si="455"/>
      </c>
      <c r="BG704" s="129">
        <f t="shared" si="456"/>
        <v/>
      </c>
      <c r="BH704" s="129">
        <f t="shared" si="457"/>
        <v/>
      </c>
      <c r="BI704" s="129">
        <f t="shared" si="458"/>
        <v/>
      </c>
      <c r="BJ704" s="129">
        <f t="shared" si="459"/>
        <v/>
      </c>
      <c r="BK704" s="129">
        <f>IF(R704="","",IF(OR(BY704="",BY704=0),"BOX",IFERROR(IF(VLOOKUP(BY704,УГО_блоки,3,FALSE)&amp;""&lt;&gt;"",VLOOKUP(BY704,УГО_блоки,3,FALSE),VLOOKUP(BY704,УГО_блоки,2,FALSE)),BY704)))</f>
      </c>
      <c r="BL704" s="129">
        <f t="shared" si="461"/>
      </c>
      <c r="BM704" s="129">
        <f>IF(H704="","",IF(COUNTIF($H$3:H704,H704)=1,MAX($BM$2:BM703)+1,""))</f>
      </c>
      <c r="BN704" s="129">
        <f>IF(I704="","",IF(COUNTIF($I$3:I704,I704)+COUNTIF($J$2:J703,I704)+COUNTIF($K$2:K703,I704)=1,MAX($BN$2:BP703)+1,""))</f>
      </c>
      <c r="BO704" s="129">
        <f>IF(J704="","",IF(COUNTIF($I$3:I704,J704)+COUNTIF($J$3:J704,J704)+COUNTIF($K$2:K703,J704)=1,MAX($BN$2:BP703,BN704)+1,""))</f>
      </c>
      <c r="BP704" s="129">
        <f>IF(K704="","",IF(COUNTIF($I$3:I704,K704)+COUNTIF($J$3:J704,K704)+COUNTIF($K$3:K704,K704)=1,MAX($BN$2:BP703,BN704,BO704)+1,""))</f>
      </c>
      <c r="BQ704" s="129">
        <f>IF(AY704=1,IFERROR(MID(Q704,FIND(" (",Q704)+2,FIND(")",Q704,FIND(" (",Q704))-FIND(" (",Q704)-2),"?"),"")</f>
      </c>
      <c r="BR704" s="129">
        <f>IF(BQ704="","",IF(COUNTIF($BQ$3:BQ704,BQ704)=1,MAX($BR$2:BR703)+1,""))</f>
      </c>
      <c r="BS704" s="129">
        <f>IF(AW704="","",COUNTIF($AW$3:AW704,"?*"))</f>
      </c>
      <c r="BT704" s="129">
        <f>IF(OR(AW704="",AI704=""),"",IF(COUNTIFS($AW$3:AW704,"?*",$AI$3:AI704,AI704)=1,MAX($BT$2:BT703)+1,""))</f>
      </c>
      <c r="BU704" s="129">
        <f>IF(AE704="",0,IF(OR(ISNUMBER(SEARCH("дубль",AE704)),ISNUMBER(SEARCH("ПЕРЕГРУЗ",AE704)),ISNUMBER(SEARCH("ЗАЩИЩ",AE704)),ISNUMBER(SEARCH("КАНАЛ",AE704)),ISNUMBER(SEARCH("без 30",AE704))),2,1))</f>
      </c>
      <c r="BV704" s="129">
        <f>IF(R704="","",COUNTIF($R$3:R704,"?*"))</f>
      </c>
      <c r="BW704" s="129">
        <f>IF(AY704&lt;&gt;1,0,IF(MAX(IFERROR(--VLOOKUP(R704,УГО_спр,5,FALSE),0),IFERROR(--VLOOKUP(AL704,УГО_спр,5,FALSE),0),IFERROR(--VLOOKUP(LEFT(AL704,2),УГО_спр,5,FALSE),0))&gt;0,MAX(IFERROR(--VLOOKUP(R704,УГО_спр,5,FALSE),0),IFERROR(--VLOOKUP(AL704,УГО_спр,5,FALSE),0),IFERROR(--VLOOKUP(LEFT(AL704,2),УГО_спр,5,FALSE),0)),IF(IFERROR(--LEFT(SUBSTITUTE(BQ704,"x","х"),FIND("х",SUBSTITUTE(BQ704,"x","х"))-1),3)&gt;3,Каталог!$S$9,1)))</f>
      </c>
      <c r="BX704" s="129">
        <f>IF(AY704&lt;&gt;1,0,MAX(0,IFERROR(--LEFT(SUBSTITUTE(BQ704,"x","х"),FIND("х",SUBSTITUTE(BQ704,"x","х"))-1),3)-3*BW704))</f>
      </c>
      <c r="BY704" s="129">
        <f>IF(R704="","",IFERROR(VLOOKUP(R704,УГО_спр,2,FALSE),IFERROR(VLOOKUP(AL704,УГО_спр,2,FALSE),IFERROR(VLOOKUP(LEFT(AL704,2),УГО_спр,2,FALSE),""))))</f>
      </c>
    </row>
    <row r="705" spans="1:64" x14ac:dyDescent="0.3">
      <c r="A705" s="135">
        <f>IF(Разбивка_по_щитам!F705=0,"",Разбивка_по_щитам!F705)</f>
        <v/>
      </c>
      <c r="B705" s="138">
        <f>IF(A705="","",Разбивка_по_щитам!C705)</f>
        <v/>
      </c>
      <c r="C705" s="138">
        <f t="shared" si="422"/>
        <v/>
      </c>
      <c r="D705" s="266"/>
      <c r="E705" s="266"/>
      <c r="F705" s="267"/>
      <c r="G705" s="145">
        <f t="shared" si="423"/>
        <v/>
      </c>
      <c r="H705" s="145">
        <f t="shared" si="424"/>
        <v/>
      </c>
      <c r="I705" s="266"/>
      <c r="J705" s="267"/>
      <c r="K705" s="267"/>
      <c r="L705" s="266"/>
      <c r="M705" s="147">
        <f t="shared" si="425"/>
        <v/>
      </c>
      <c r="N705" s="267"/>
      <c r="O705" s="147">
        <f t="shared" si="426"/>
        <v/>
      </c>
      <c r="P705" s="268">
        <f>IF(AY705=1,"XT"&amp;COUNTIFS($A$3:A705,A705,$AY$3:AY705,1),"")</f>
        <v/>
      </c>
      <c r="Q705" s="152">
        <f>IF(R705="","",IFERROR(SUBSTITUTE(Разбивка_по_щитам!P705,CHAR(10)," "),""))</f>
        <v/>
      </c>
      <c r="R705" s="153">
        <f>IF(OR(Разбивка_по_щитам!H705="",Разбивка_по_щитам!H705=0),"",Разбивка_по_щитам!H705)</f>
        <v/>
      </c>
      <c r="S705" s="154">
        <f>IF(R705="","",IFERROR(Разбивка_по_щитам!J705&amp;"",""))</f>
        <v/>
      </c>
      <c r="T705" s="155">
        <f>IF(R705="","",IFERROR(--Разбивка_по_щитам!L705,""))</f>
        <v/>
      </c>
      <c r="U705" s="155">
        <f>IF(R705="","",IFERROR(--Разбивка_по_щитам!K705,""))</f>
        <v/>
      </c>
      <c r="V705" s="138">
        <f>IF(R705="","",IFERROR(IF(Разбивка_по_щитам!M705=0,"",Разбивка_по_щитам!M705),""))</f>
        <v/>
      </c>
      <c r="W705" s="156">
        <f t="shared" si="427"/>
        <v/>
      </c>
      <c r="X705" s="157">
        <f t="shared" si="428"/>
        <v/>
      </c>
      <c r="Y705" s="266"/>
      <c r="Z705" s="158">
        <f t="shared" si="429"/>
        <v/>
      </c>
      <c r="AA705" s="160">
        <f t="shared" si="430"/>
        <v/>
      </c>
      <c r="AB705" s="160">
        <f>IF(R705="","",IFERROR(LOOKUP(INDEX(Справочная!$I$4:$I$19,MATCH(VLOOKUP(R705,Исходные_данные,22,FALSE),Справочная!$J$4:$J$19,0)+1),{6,10,16,20,25,32,40,50,63,80,100,125}),""))</f>
        <v/>
      </c>
      <c r="AC705" s="160">
        <f t="shared" si="431"/>
        <v/>
      </c>
      <c r="AD705" s="161">
        <f t="shared" si="432"/>
        <v/>
      </c>
      <c r="AE705" s="161">
        <f>IF(AND(R705="",G705=""),"",_xlfn.TEXTJOIN("; ",TRUE,IF(AND(R705&lt;&gt;"",V705=""),"нет фазы",""),IF(AND(R705&lt;&gt;"",N(T705)=0),"нет мощности",""),IF(AND(P705&lt;&gt;"",COUNTIFS($A$3:$A$1000,A705,$P$3:$P$1000,P705)&gt;1),"дубль клеммы "&amp;P705,""),IF(AND(W705&lt;&gt;"",W705&lt;&gt;"ok"),W705,""),IF(X705&lt;&gt;"",X705,""),IF(AND(ISNUMBER(SEARCH("(5х",Q705)),N(AK705)=1),"5 жил на 1 фазе",""),IF(AND(AL705="R",E705&lt;&gt;"",N(AS705)=0),"розетка без 30 мА",""),IF(IFERROR(_xlfn.NUMBERVALUE(MID(Q705,FIND("-",Q705,FIND("L=",Q705))+1,FIND("%",Q705)-FIND("-",Q705,FIND("L=",Q705))-1),","),0)&gt;4,"потери &gt; 4 %","")))</f>
      </c>
      <c r="AF705" s="129">
        <f>IF(E705&lt;&gt;"",COUNTIFS($A$3:A705,A705,$E$3:E705,"?*"),IF(OR(A705&lt;&gt;A704,Y705="вручную"),"",AF704))</f>
        <v/>
      </c>
      <c r="AG705" s="129">
        <f t="shared" si="433"/>
        <v/>
      </c>
      <c r="AH705" s="129">
        <f t="shared" si="434"/>
        <v/>
      </c>
      <c r="AI705" s="129">
        <f t="shared" si="435"/>
        <v/>
      </c>
      <c r="AJ705" s="129">
        <f t="shared" si="436"/>
        <v/>
      </c>
      <c r="AK705" s="129">
        <f t="shared" si="437"/>
        <v/>
      </c>
      <c r="AL705" s="129">
        <f t="shared" si="438"/>
        <v/>
      </c>
      <c r="AM705" s="129">
        <f t="shared" si="439"/>
      </c>
      <c r="AN705" s="129">
        <f t="shared" si="440"/>
      </c>
      <c r="AO705" s="129">
        <f t="shared" si="441"/>
        <v/>
      </c>
      <c r="AP705" s="129">
        <f t="shared" si="442"/>
        <v/>
      </c>
      <c r="AQ705" s="129">
        <f t="shared" si="443"/>
        <v/>
      </c>
      <c r="AR705" s="129">
        <f t="shared" si="444"/>
        <v/>
      </c>
      <c r="AS705" s="129">
        <f t="shared" si="445"/>
        <v/>
      </c>
      <c r="AT705" s="129">
        <f t="shared" si="446"/>
        <v/>
      </c>
      <c r="AU705" s="129">
        <f t="shared" si="447"/>
        <v/>
      </c>
      <c r="AV705" s="129">
        <f t="shared" si="448"/>
        <v/>
      </c>
      <c r="AW705" s="129">
        <f>IF(AV705="","",AV705&amp;"."&amp;COUNTIFS($A$3:A705,A705,$AV$3:AV705,AV705))</f>
        <v/>
      </c>
      <c r="AX705" s="129">
        <f t="shared" si="449"/>
        <v/>
      </c>
      <c r="AY705" s="129">
        <f>IF(N705="б/к",0,IF(OR(ISNUMBER(SEARCH("L=",Разбивка_по_щитам!P705)),N705="+",N705="="),1,0))</f>
      </c>
      <c r="AZ705" s="129">
        <f t="shared" si="450"/>
        <v/>
      </c>
      <c r="BA705" s="129">
        <f t="shared" si="451"/>
      </c>
      <c r="BB705" s="129">
        <f t="shared" si="452"/>
      </c>
      <c r="BD705" s="129">
        <f t="shared" si="453"/>
      </c>
      <c r="BE705" s="129">
        <f t="shared" si="454"/>
      </c>
      <c r="BF705" s="129">
        <f t="shared" si="455"/>
      </c>
      <c r="BG705" s="129">
        <f t="shared" si="456"/>
        <v/>
      </c>
      <c r="BH705" s="129">
        <f t="shared" si="457"/>
        <v/>
      </c>
      <c r="BI705" s="129">
        <f t="shared" si="458"/>
        <v/>
      </c>
      <c r="BJ705" s="129">
        <f t="shared" si="459"/>
        <v/>
      </c>
      <c r="BK705" s="129">
        <f>IF(R705="","",IF(OR(BY705="",BY705=0),"BOX",IFERROR(IF(VLOOKUP(BY705,УГО_блоки,3,FALSE)&amp;""&lt;&gt;"",VLOOKUP(BY705,УГО_блоки,3,FALSE),VLOOKUP(BY705,УГО_блоки,2,FALSE)),BY705)))</f>
      </c>
      <c r="BL705" s="129">
        <f t="shared" si="461"/>
      </c>
      <c r="BM705" s="129">
        <f>IF(H705="","",IF(COUNTIF($H$3:H705,H705)=1,MAX($BM$2:BM704)+1,""))</f>
      </c>
      <c r="BN705" s="129">
        <f>IF(I705="","",IF(COUNTIF($I$3:I705,I705)+COUNTIF($J$2:J704,I705)+COUNTIF($K$2:K704,I705)=1,MAX($BN$2:BP704)+1,""))</f>
      </c>
      <c r="BO705" s="129">
        <f>IF(J705="","",IF(COUNTIF($I$3:I705,J705)+COUNTIF($J$3:J705,J705)+COUNTIF($K$2:K704,J705)=1,MAX($BN$2:BP704,BN705)+1,""))</f>
      </c>
      <c r="BP705" s="129">
        <f>IF(K705="","",IF(COUNTIF($I$3:I705,K705)+COUNTIF($J$3:J705,K705)+COUNTIF($K$3:K705,K705)=1,MAX($BN$2:BP704,BN705,BO705)+1,""))</f>
      </c>
      <c r="BQ705" s="129">
        <f>IF(AY705=1,IFERROR(MID(Q705,FIND(" (",Q705)+2,FIND(")",Q705,FIND(" (",Q705))-FIND(" (",Q705)-2),"?"),"")</f>
      </c>
      <c r="BR705" s="129">
        <f>IF(BQ705="","",IF(COUNTIF($BQ$3:BQ705,BQ705)=1,MAX($BR$2:BR704)+1,""))</f>
      </c>
      <c r="BS705" s="129">
        <f>IF(AW705="","",COUNTIF($AW$3:AW705,"?*"))</f>
      </c>
      <c r="BT705" s="129">
        <f>IF(OR(AW705="",AI705=""),"",IF(COUNTIFS($AW$3:AW705,"?*",$AI$3:AI705,AI705)=1,MAX($BT$2:BT704)+1,""))</f>
      </c>
      <c r="BU705" s="129">
        <f>IF(AE705="",0,IF(OR(ISNUMBER(SEARCH("дубль",AE705)),ISNUMBER(SEARCH("ПЕРЕГРУЗ",AE705)),ISNUMBER(SEARCH("ЗАЩИЩ",AE705)),ISNUMBER(SEARCH("КАНАЛ",AE705)),ISNUMBER(SEARCH("без 30",AE705))),2,1))</f>
      </c>
      <c r="BV705" s="129">
        <f>IF(R705="","",COUNTIF($R$3:R705,"?*"))</f>
      </c>
      <c r="BW705" s="129">
        <f>IF(AY705&lt;&gt;1,0,IF(MAX(IFERROR(--VLOOKUP(R705,УГО_спр,5,FALSE),0),IFERROR(--VLOOKUP(AL705,УГО_спр,5,FALSE),0),IFERROR(--VLOOKUP(LEFT(AL705,2),УГО_спр,5,FALSE),0))&gt;0,MAX(IFERROR(--VLOOKUP(R705,УГО_спр,5,FALSE),0),IFERROR(--VLOOKUP(AL705,УГО_спр,5,FALSE),0),IFERROR(--VLOOKUP(LEFT(AL705,2),УГО_спр,5,FALSE),0)),IF(IFERROR(--LEFT(SUBSTITUTE(BQ705,"x","х"),FIND("х",SUBSTITUTE(BQ705,"x","х"))-1),3)&gt;3,Каталог!$S$9,1)))</f>
      </c>
      <c r="BX705" s="129">
        <f>IF(AY705&lt;&gt;1,0,MAX(0,IFERROR(--LEFT(SUBSTITUTE(BQ705,"x","х"),FIND("х",SUBSTITUTE(BQ705,"x","х"))-1),3)-3*BW705))</f>
      </c>
      <c r="BY705" s="129">
        <f>IF(R705="","",IFERROR(VLOOKUP(R705,УГО_спр,2,FALSE),IFERROR(VLOOKUP(AL705,УГО_спр,2,FALSE),IFERROR(VLOOKUP(LEFT(AL705,2),УГО_спр,2,FALSE),""))))</f>
      </c>
    </row>
    <row r="706" spans="1:64" x14ac:dyDescent="0.3">
      <c r="A706" s="135">
        <f>IF(Разбивка_по_щитам!F706=0,"",Разбивка_по_щитам!F706)</f>
        <v/>
      </c>
      <c r="B706" s="138">
        <f>IF(A706="","",Разбивка_по_щитам!C706)</f>
        <v/>
      </c>
      <c r="C706" s="138">
        <f t="shared" si="422"/>
        <v/>
      </c>
      <c r="D706" s="266"/>
      <c r="E706" s="266"/>
      <c r="F706" s="267"/>
      <c r="G706" s="145">
        <f t="shared" si="423"/>
        <v/>
      </c>
      <c r="H706" s="145">
        <f t="shared" si="424"/>
        <v/>
      </c>
      <c r="I706" s="266"/>
      <c r="J706" s="267"/>
      <c r="K706" s="267"/>
      <c r="L706" s="266"/>
      <c r="M706" s="147">
        <f t="shared" si="425"/>
        <v/>
      </c>
      <c r="N706" s="267"/>
      <c r="O706" s="147">
        <f t="shared" si="426"/>
        <v/>
      </c>
      <c r="P706" s="268">
        <f>IF(AY706=1,"XT"&amp;COUNTIFS($A$3:A706,A706,$AY$3:AY706,1),"")</f>
        <v/>
      </c>
      <c r="Q706" s="152">
        <f>IF(R706="","",IFERROR(SUBSTITUTE(Разбивка_по_щитам!P706,CHAR(10)," "),""))</f>
        <v/>
      </c>
      <c r="R706" s="153">
        <f>IF(OR(Разбивка_по_щитам!H706="",Разбивка_по_щитам!H706=0),"",Разбивка_по_щитам!H706)</f>
        <v/>
      </c>
      <c r="S706" s="154">
        <f>IF(R706="","",IFERROR(Разбивка_по_щитам!J706&amp;"",""))</f>
        <v/>
      </c>
      <c r="T706" s="155">
        <f>IF(R706="","",IFERROR(--Разбивка_по_щитам!L706,""))</f>
        <v/>
      </c>
      <c r="U706" s="155">
        <f>IF(R706="","",IFERROR(--Разбивка_по_щитам!K706,""))</f>
        <v/>
      </c>
      <c r="V706" s="138">
        <f>IF(R706="","",IFERROR(IF(Разбивка_по_щитам!M706=0,"",Разбивка_по_щитам!M706),""))</f>
        <v/>
      </c>
      <c r="W706" s="156">
        <f t="shared" si="427"/>
        <v/>
      </c>
      <c r="X706" s="157">
        <f t="shared" si="428"/>
        <v/>
      </c>
      <c r="Y706" s="266"/>
      <c r="Z706" s="158">
        <f t="shared" si="429"/>
        <v/>
      </c>
      <c r="AA706" s="160">
        <f t="shared" si="430"/>
        <v/>
      </c>
      <c r="AB706" s="160">
        <f>IF(R706="","",IFERROR(LOOKUP(INDEX(Справочная!$I$4:$I$19,MATCH(VLOOKUP(R706,Исходные_данные,22,FALSE),Справочная!$J$4:$J$19,0)+1),{6,10,16,20,25,32,40,50,63,80,100,125}),""))</f>
        <v/>
      </c>
      <c r="AC706" s="160">
        <f t="shared" si="431"/>
        <v/>
      </c>
      <c r="AD706" s="161">
        <f t="shared" si="432"/>
        <v/>
      </c>
      <c r="AE706" s="161">
        <f>IF(AND(R706="",G706=""),"",_xlfn.TEXTJOIN("; ",TRUE,IF(AND(R706&lt;&gt;"",V706=""),"нет фазы",""),IF(AND(R706&lt;&gt;"",N(T706)=0),"нет мощности",""),IF(AND(P706&lt;&gt;"",COUNTIFS($A$3:$A$1000,A706,$P$3:$P$1000,P706)&gt;1),"дубль клеммы "&amp;P706,""),IF(AND(W706&lt;&gt;"",W706&lt;&gt;"ok"),W706,""),IF(X706&lt;&gt;"",X706,""),IF(AND(ISNUMBER(SEARCH("(5х",Q706)),N(AK706)=1),"5 жил на 1 фазе",""),IF(AND(AL706="R",E706&lt;&gt;"",N(AS706)=0),"розетка без 30 мА",""),IF(IFERROR(_xlfn.NUMBERVALUE(MID(Q706,FIND("-",Q706,FIND("L=",Q706))+1,FIND("%",Q706)-FIND("-",Q706,FIND("L=",Q706))-1),","),0)&gt;4,"потери &gt; 4 %","")))</f>
      </c>
      <c r="AF706" s="129">
        <f>IF(E706&lt;&gt;"",COUNTIFS($A$3:A706,A706,$E$3:E706,"?*"),IF(OR(A706&lt;&gt;A705,Y706="вручную"),"",AF705))</f>
        <v/>
      </c>
      <c r="AG706" s="129">
        <f t="shared" si="433"/>
        <v/>
      </c>
      <c r="AH706" s="129">
        <f t="shared" si="434"/>
        <v/>
      </c>
      <c r="AI706" s="129">
        <f t="shared" si="435"/>
        <v/>
      </c>
      <c r="AJ706" s="129">
        <f t="shared" si="436"/>
        <v/>
      </c>
      <c r="AK706" s="129">
        <f t="shared" si="437"/>
        <v/>
      </c>
      <c r="AL706" s="129">
        <f t="shared" si="438"/>
        <v/>
      </c>
      <c r="AM706" s="129">
        <f t="shared" si="439"/>
      </c>
      <c r="AN706" s="129">
        <f t="shared" si="440"/>
      </c>
      <c r="AO706" s="129">
        <f t="shared" si="441"/>
        <v/>
      </c>
      <c r="AP706" s="129">
        <f t="shared" si="442"/>
        <v/>
      </c>
      <c r="AQ706" s="129">
        <f t="shared" si="443"/>
        <v/>
      </c>
      <c r="AR706" s="129">
        <f t="shared" si="444"/>
        <v/>
      </c>
      <c r="AS706" s="129">
        <f t="shared" si="445"/>
        <v/>
      </c>
      <c r="AT706" s="129">
        <f t="shared" si="446"/>
        <v/>
      </c>
      <c r="AU706" s="129">
        <f t="shared" si="447"/>
        <v/>
      </c>
      <c r="AV706" s="129">
        <f t="shared" si="448"/>
        <v/>
      </c>
      <c r="AW706" s="129">
        <f>IF(AV706="","",AV706&amp;"."&amp;COUNTIFS($A$3:A706,A706,$AV$3:AV706,AV706))</f>
        <v/>
      </c>
      <c r="AX706" s="129">
        <f t="shared" si="449"/>
        <v/>
      </c>
      <c r="AY706" s="129">
        <f>IF(N706="б/к",0,IF(OR(ISNUMBER(SEARCH("L=",Разбивка_по_щитам!P706)),N706="+",N706="="),1,0))</f>
      </c>
      <c r="AZ706" s="129">
        <f t="shared" si="450"/>
        <v/>
      </c>
      <c r="BA706" s="129">
        <f t="shared" si="451"/>
      </c>
      <c r="BB706" s="129">
        <f t="shared" si="452"/>
      </c>
      <c r="BD706" s="129">
        <f t="shared" si="453"/>
      </c>
      <c r="BE706" s="129">
        <f t="shared" si="454"/>
      </c>
      <c r="BF706" s="129">
        <f t="shared" si="455"/>
      </c>
      <c r="BG706" s="129">
        <f t="shared" si="456"/>
        <v/>
      </c>
      <c r="BH706" s="129">
        <f t="shared" si="457"/>
        <v/>
      </c>
      <c r="BI706" s="129">
        <f t="shared" si="458"/>
        <v/>
      </c>
      <c r="BJ706" s="129">
        <f t="shared" si="459"/>
        <v/>
      </c>
      <c r="BK706" s="129">
        <f>IF(R706="","",IF(OR(BY706="",BY706=0),"BOX",IFERROR(IF(VLOOKUP(BY706,УГО_блоки,3,FALSE)&amp;""&lt;&gt;"",VLOOKUP(BY706,УГО_блоки,3,FALSE),VLOOKUP(BY706,УГО_блоки,2,FALSE)),BY706)))</f>
      </c>
      <c r="BL706" s="129">
        <f t="shared" si="461"/>
      </c>
      <c r="BM706" s="129">
        <f>IF(H706="","",IF(COUNTIF($H$3:H706,H706)=1,MAX($BM$2:BM705)+1,""))</f>
      </c>
      <c r="BN706" s="129">
        <f>IF(I706="","",IF(COUNTIF($I$3:I706,I706)+COUNTIF($J$2:J705,I706)+COUNTIF($K$2:K705,I706)=1,MAX($BN$2:BP705)+1,""))</f>
      </c>
      <c r="BO706" s="129">
        <f>IF(J706="","",IF(COUNTIF($I$3:I706,J706)+COUNTIF($J$3:J706,J706)+COUNTIF($K$2:K705,J706)=1,MAX($BN$2:BP705,BN706)+1,""))</f>
      </c>
      <c r="BP706" s="129">
        <f>IF(K706="","",IF(COUNTIF($I$3:I706,K706)+COUNTIF($J$3:J706,K706)+COUNTIF($K$3:K706,K706)=1,MAX($BN$2:BP705,BN706,BO706)+1,""))</f>
      </c>
      <c r="BQ706" s="129">
        <f>IF(AY706=1,IFERROR(MID(Q706,FIND(" (",Q706)+2,FIND(")",Q706,FIND(" (",Q706))-FIND(" (",Q706)-2),"?"),"")</f>
      </c>
      <c r="BR706" s="129">
        <f>IF(BQ706="","",IF(COUNTIF($BQ$3:BQ706,BQ706)=1,MAX($BR$2:BR705)+1,""))</f>
      </c>
      <c r="BS706" s="129">
        <f>IF(AW706="","",COUNTIF($AW$3:AW706,"?*"))</f>
      </c>
      <c r="BT706" s="129">
        <f>IF(OR(AW706="",AI706=""),"",IF(COUNTIFS($AW$3:AW706,"?*",$AI$3:AI706,AI706)=1,MAX($BT$2:BT705)+1,""))</f>
      </c>
      <c r="BU706" s="129">
        <f>IF(AE706="",0,IF(OR(ISNUMBER(SEARCH("дубль",AE706)),ISNUMBER(SEARCH("ПЕРЕГРУЗ",AE706)),ISNUMBER(SEARCH("ЗАЩИЩ",AE706)),ISNUMBER(SEARCH("КАНАЛ",AE706)),ISNUMBER(SEARCH("без 30",AE706))),2,1))</f>
      </c>
      <c r="BV706" s="129">
        <f>IF(R706="","",COUNTIF($R$3:R706,"?*"))</f>
      </c>
      <c r="BW706" s="129">
        <f>IF(AY706&lt;&gt;1,0,IF(MAX(IFERROR(--VLOOKUP(R706,УГО_спр,5,FALSE),0),IFERROR(--VLOOKUP(AL706,УГО_спр,5,FALSE),0),IFERROR(--VLOOKUP(LEFT(AL706,2),УГО_спр,5,FALSE),0))&gt;0,MAX(IFERROR(--VLOOKUP(R706,УГО_спр,5,FALSE),0),IFERROR(--VLOOKUP(AL706,УГО_спр,5,FALSE),0),IFERROR(--VLOOKUP(LEFT(AL706,2),УГО_спр,5,FALSE),0)),IF(IFERROR(--LEFT(SUBSTITUTE(BQ706,"x","х"),FIND("х",SUBSTITUTE(BQ706,"x","х"))-1),3)&gt;3,Каталог!$S$9,1)))</f>
      </c>
      <c r="BX706" s="129">
        <f>IF(AY706&lt;&gt;1,0,MAX(0,IFERROR(--LEFT(SUBSTITUTE(BQ706,"x","х"),FIND("х",SUBSTITUTE(BQ706,"x","х"))-1),3)-3*BW706))</f>
      </c>
      <c r="BY706" s="129">
        <f>IF(R706="","",IFERROR(VLOOKUP(R706,УГО_спр,2,FALSE),IFERROR(VLOOKUP(AL706,УГО_спр,2,FALSE),IFERROR(VLOOKUP(LEFT(AL706,2),УГО_спр,2,FALSE),""))))</f>
      </c>
    </row>
    <row r="707" spans="1:64" x14ac:dyDescent="0.3">
      <c r="A707" s="135">
        <f>IF(Разбивка_по_щитам!F707=0,"",Разбивка_по_щитам!F707)</f>
        <v/>
      </c>
      <c r="B707" s="138">
        <f>IF(A707="","",Разбивка_по_щитам!C707)</f>
        <v/>
      </c>
      <c r="C707" s="138">
        <f t="shared" ref="C707:C770" si="462">IF(B707="","",INT((B707-1)/Столбцов_на_лист)+1)</f>
        <v/>
      </c>
      <c r="D707" s="266"/>
      <c r="E707" s="266"/>
      <c r="F707" s="267"/>
      <c r="G707" s="145">
        <f t="shared" ref="G707:G770" si="463">IF(OR(R707&lt;&gt;"",O707&lt;&gt;"",AY707=1),AG707,"")</f>
        <v/>
      </c>
      <c r="H707" s="145">
        <f t="shared" ref="H707:H770" si="464">IF(E707="","",IF(AND(E707&lt;&gt;"авто",E707&lt;&gt;"+"),E707,AT707&amp;" С"&amp;AQ707&amp;"А"&amp;IF(AS707=1," 30мА","")))</f>
        <v/>
      </c>
      <c r="I707" s="266"/>
      <c r="J707" s="267"/>
      <c r="K707" s="267"/>
      <c r="L707" s="266"/>
      <c r="M707" s="147">
        <f t="shared" ref="M707:M770" si="465">IF(OR(O707&lt;&gt;"",AND(L707&lt;&gt;"",L707&lt;&gt;"-")),AH707,"")</f>
        <v/>
      </c>
      <c r="N707" s="267"/>
      <c r="O707" s="147">
        <f t="shared" ref="O707:O770" si="466">IF(N707="=",AX706,IF(ISNUMBER(N707),N707,IF(AH707="","",IF(OR(R707&lt;&gt;"",N707="+",N707="р"),IF(OR(AW707&lt;&gt;"",AX706=""),1,AX706+1),""))))</f>
        <v/>
      </c>
      <c r="P707" s="268">
        <f>IF(AY707=1,"XT"&amp;COUNTIFS($A$3:A707,A707,$AY$3:AY707,1),"")</f>
        <v/>
      </c>
      <c r="Q707" s="152">
        <f>IF(R707="","",IFERROR(SUBSTITUTE(Разбивка_по_щитам!P707,CHAR(10)," "),""))</f>
        <v/>
      </c>
      <c r="R707" s="153">
        <f>IF(OR(Разбивка_по_щитам!H707="",Разбивка_по_щитам!H707=0),"",Разбивка_по_щитам!H707)</f>
        <v/>
      </c>
      <c r="S707" s="154">
        <f>IF(R707="","",IFERROR(Разбивка_по_щитам!J707&amp;"",""))</f>
        <v/>
      </c>
      <c r="T707" s="155">
        <f>IF(R707="","",IFERROR(--Разбивка_по_щитам!L707,""))</f>
        <v/>
      </c>
      <c r="U707" s="155">
        <f>IF(R707="","",IFERROR(--Разбивка_по_щитам!K707,""))</f>
        <v/>
      </c>
      <c r="V707" s="138">
        <f>IF(R707="","",IFERROR(IF(Разбивка_по_щитам!M707=0,"",Разбивка_по_щитам!M707),""))</f>
        <v/>
      </c>
      <c r="W707" s="156">
        <f t="shared" ref="W707:W770" si="467">IF(E707="","",IF(NOT(ISNUMBER(AU707)),"",IF(Z707&gt;AU707,"ПЕРЕГРУЗ",IF(AND(BA707=0,AP707&gt;0,AU707&gt;AP707),"КАБЕЛЬ НЕ ЗАЩИЩЁН","ok"))))</f>
        <v/>
      </c>
      <c r="X707" s="157">
        <f t="shared" ref="X707:X770" si="468">IF(OR(O707="",AH707=""),"",IF(O707&gt;IFERROR(VLOOKUP(AI707,Модули_спр,3,FALSE),99),"ЛИШНИЙ КАНАЛ",IF(AND(N707&lt;&gt;"=",COUNTIFS($AH$3:$AH$1000,AH707,$O$3:$O$1000,O707,$N$3:$N$1000,"&lt;&gt;=")&gt;1),"ДУБЛЬ КАНАЛА","")))</f>
        <v/>
      </c>
      <c r="Y707" s="266"/>
      <c r="Z707" s="158">
        <f t="shared" ref="Z707:Z770" si="469">IF(E707="","",SUMIFS($U$3:$U$1000,$AF$3:$AF$1000,AF707,$A$3:$A$1000,A707,$AN$3:$AN$1000,0))</f>
        <v/>
      </c>
      <c r="AA707" s="160">
        <f t="shared" ref="AA707:AA770" si="470">IF(E707="","",IFERROR(VLOOKUP(Z707,Автомат_номиналы,2,TRUE),""))</f>
        <v/>
      </c>
      <c r="AB707" s="160">
        <f>IF(R707="","",IFERROR(LOOKUP(INDEX(Справочная!$I$4:$I$19,MATCH(VLOOKUP(R707,Исходные_данные,22,FALSE),Справочная!$J$4:$J$19,0)+1),{6,10,16,20,25,32,40,50,63,80,100,125}),""))</f>
        <v/>
      </c>
      <c r="AC707" s="160">
        <f t="shared" ref="AC707:AC770" si="471">IF(M707="","",AI707)</f>
        <v/>
      </c>
      <c r="AD707" s="161">
        <f t="shared" ref="AD707:AD770" si="472">IF(AND(R707="",O707="",P707=""),"",_xlfn.TEXTJOIN(" → ",TRUE,AG707,AZ707,IF(AH707&lt;&gt;"",AH707&amp;IF(O707&lt;&gt;""," к."&amp;O707,""),IF(O707&lt;&gt;"","к."&amp;O707,"")),P707,IF(AN707=1,"(в кабель выше)","")))</f>
        <v/>
      </c>
      <c r="AE707" s="161">
        <f>IF(AND(R707="",G707=""),"",_xlfn.TEXTJOIN("; ",TRUE,IF(AND(R707&lt;&gt;"",V707=""),"нет фазы",""),IF(AND(R707&lt;&gt;"",N(T707)=0),"нет мощности",""),IF(AND(P707&lt;&gt;"",COUNTIFS($A$3:$A$1000,A707,$P$3:$P$1000,P707)&gt;1),"дубль клеммы "&amp;P707,""),IF(AND(W707&lt;&gt;"",W707&lt;&gt;"ok"),W707,""),IF(X707&lt;&gt;"",X707,""),IF(AND(ISNUMBER(SEARCH("(5х",Q707)),N(AK707)=1),"5 жил на 1 фазе",""),IF(AND(AL707="R",E707&lt;&gt;"",N(AS707)=0),"розетка без 30 мА",""),IF(IFERROR(_xlfn.NUMBERVALUE(MID(Q707,FIND("-",Q707,FIND("L=",Q707))+1,FIND("%",Q707)-FIND("-",Q707,FIND("L=",Q707))-1),","),0)&gt;4,"потери &gt; 4 %","")))</f>
      </c>
      <c r="AF707" s="129">
        <f>IF(E707&lt;&gt;"",COUNTIFS($A$3:A707,A707,$E$3:E707,"?*"),IF(OR(A707&lt;&gt;A706,Y707="вручную"),"",AF706))</f>
        <v/>
      </c>
      <c r="AG707" s="129">
        <f t="shared" ref="AG707:AG770" si="473">IF(AJ707&lt;&gt;"",AJ707,IF(OR(A707&lt;&gt;A706,Y707="вручную"),"",AG706))</f>
        <v/>
      </c>
      <c r="AH707" s="129">
        <f t="shared" ref="AH707:AH770" si="474">IF(L707="-","",IF(AW707&lt;&gt;"",AW707,IF(A707&lt;&gt;A706,"",AH706)))</f>
        <v/>
      </c>
      <c r="AI707" s="129">
        <f t="shared" ref="AI707:AI770" si="475">IF(AH707="","",IF(AND(L707&lt;&gt;"",L707&lt;&gt;"-"),L707,AI706))</f>
        <v/>
      </c>
      <c r="AJ707" s="129">
        <f t="shared" ref="AJ707:AJ770" si="476">IF(E707="","",IF(AS707=1,"QFD","QF")&amp;AF707)</f>
        <v/>
      </c>
      <c r="AK707" s="129">
        <f t="shared" ref="AK707:AK770" si="477">IF(R707="","",IFERROR(--VLOOKUP(R707,Исходные_данные,8,FALSE),1))</f>
        <v/>
      </c>
      <c r="AL707" s="129">
        <f t="shared" ref="AL707:AL770" si="478">IF(R707="","",IFERROR(LEFT(R707,FIND(".",R707)-1),R707))</f>
        <v/>
      </c>
      <c r="AM707" s="129">
        <f t="shared" ref="AM707:AM770" si="479">IF(AL707="",0,IFERROR(IF(VLOOKUP(R707,УГО_спр,3,FALSE)="да",1,0),IFERROR(IF(VLOOKUP(AL707,УГО_спр,3,FALSE)="да",1,0),IFERROR(IF(VLOOKUP(LEFT(AL707,2),УГО_спр,3,FALSE)="да",1,0),0))))</f>
      </c>
      <c r="AN707" s="129">
        <f t="shared" ref="AN707:AN770" si="480">IF(OR(N707="+",AND(R707&lt;&gt;"",R707=R706)),1,0)</f>
      </c>
      <c r="AO707" s="129">
        <f t="shared" ref="AO707:AO770" si="481">IF(E707="","",MAX(N(AA707),_xlfn.MAXIFS($BB$3:$BB$1000,$AF$3:$AF$1000,AF707,$A$3:$A$1000,A707)))</f>
        <v/>
      </c>
      <c r="AP707" s="129">
        <f t="shared" ref="AP707:AP770" si="482">IF(E707="","",_xlfn.MINIFS($AB$3:$AB$1000,$AF$3:$AF$1000,AF707,$A$3:$A$1000,A707))</f>
        <v/>
      </c>
      <c r="AQ707" s="129">
        <f t="shared" ref="AQ707:AQ770" si="483">IF(E707="","",IF(BA707=1,MAX(AO707,Мин_автомат_БП),AO707))</f>
        <v/>
      </c>
      <c r="AR707" s="129">
        <f t="shared" ref="AR707:AR770" si="484">IF(E707="","",MAX(1,_xlfn.MAXIFS($AK$3:$AK$1000,$AF$3:$AF$1000,AF707,$A$3:$A$1000,A707)))</f>
        <v/>
      </c>
      <c r="AS707" s="129">
        <f t="shared" ref="AS707:AS770" si="485">IF(E707="","",IF(AND(E707&lt;&gt;"авто",E707&lt;&gt;"+"),IF(ISNUMBER(SEARCH("мА",E707)),1,0),IF(F707="да",1,IF(F707="нет",0,IF(_xlfn.MAXIFS($AM$3:$AM$1000,$AF$3:$AF$1000,AF707,$A$3:$A$1000,A707)&gt;0,1,0)))))</f>
        <v/>
      </c>
      <c r="AT707" s="129">
        <f t="shared" ref="AT707:AT770" si="486">IF(E707="","",IF(AR707&gt;=3,IF(AS707=1,"4P","3P"),IF(AS707=1,"2P","1P")))</f>
        <v/>
      </c>
      <c r="AU707" s="129">
        <f t="shared" ref="AU707:AU770" si="487">IF(H707="","",IFERROR(--MID(SUBSTITUTE(SUBSTITUTE(UPPER(H707),"С","C"),"А","A"),FIND("C",SUBSTITUTE(SUBSTITUTE(UPPER(H707),"С","C"),"А","A"))+1,FIND("A",SUBSTITUTE(SUBSTITUTE(UPPER(H707),"С","C"),"А","A")&amp;"A",FIND("C",SUBSTITUTE(SUBSTITUTE(UPPER(H707),"С","C"),"А","A")))-FIND("C",SUBSTITUTE(SUBSTITUTE(UPPER(H707),"С","C"),"А","A"))-1),""))</f>
        <v/>
      </c>
      <c r="AV707" s="129">
        <f t="shared" ref="AV707:AV770" si="488">IF(OR(L707="",L707="-"),"",IFERROR(VLOOKUP(L707,Модули_спр,2,FALSE),"R"))</f>
        <v/>
      </c>
      <c r="AW707" s="129">
        <f>IF(AV707="","",AV707&amp;"."&amp;COUNTIFS($A$3:A707,A707,$AV$3:AV707,AV707))</f>
        <v/>
      </c>
      <c r="AX707" s="129">
        <f t="shared" ref="AX707:AX770" si="489">IF(O707&lt;&gt;"",O707,IF(OR(A707&lt;&gt;A706,L707="-",AW707&lt;&gt;""),"",AX706))</f>
        <v/>
      </c>
      <c r="AY707" s="129">
        <f>IF(N707="б/к",0,IF(OR(ISNUMBER(SEARCH("L=",Разбивка_по_щитам!P707)),N707="+",N707="="),1,0))</f>
      </c>
      <c r="AZ707" s="129">
        <f t="shared" ref="AZ707:AZ770" si="490">IF(AJ707&lt;&gt;"",_xlfn.TEXTJOIN(" → ",TRUE,I707,J707,K707),IF(AG707="","",AZ706))</f>
        <v/>
      </c>
      <c r="BA707" s="129">
        <f t="shared" ref="BA707:BA770" si="491">IF(AZ707="",0,IF(OR(LEFT(AZ707,2)="T ",LEFT(AZ707,2)="Т ",ISNUMBER(SEARCH("→ T ",AZ707)),ISNUMBER(SEARCH("→ Т ",AZ707)),ISNUMBER(SEARCH("БП",AZ707))),1,0))</f>
      </c>
      <c r="BB707" s="129">
        <f t="shared" ref="BB707:BB770" si="492">IF(R707="",0,MAX(IFERROR(--VLOOKUP(R707,Исходные_данные,18,FALSE),0),IFERROR(--VLOOKUP(R707,УГО_спр,4,FALSE),IFERROR(--VLOOKUP(AL707,УГО_спр,4,FALSE),IFERROR(--VLOOKUP(LEFT(AL707,2),УГО_спр,4,FALSE),0)))))</f>
      </c>
      <c r="BD707" s="129">
        <f t="shared" ref="BD707:BD770" si="493">IF(Y707="вручную",0,1)</f>
      </c>
      <c r="BE707" s="129">
        <f t="shared" ref="BE707:BE770" si="494">IF(D707="",0,1)</f>
      </c>
      <c r="BF707" s="129">
        <f t="shared" ref="BF707:BF770" si="495">IF(AJ707="",0,IF(LEFT(AJ707,3)="QFD",1,0))</f>
      </c>
      <c r="BG707" s="129">
        <f t="shared" ref="BG707:BG770" si="496">IF(N707="=","=",IF(N707="+","+",IF(N707="р","R","")))</f>
        <v/>
      </c>
      <c r="BH707" s="129">
        <f t="shared" ref="BH707:BH770" si="497">IF(I707="","",IF(OR(LEFT(I707,1)="T",LEFT(I707,1)="Т"),"T",IF(LEFT(UPPER(I707),2)="БП","PS",IF(OR(LEFT(UPPER(I707),2)="МК",LEFT(UPPER(I707),2)="MK"),"MK",IF(OR(LEFT(UPPER(I707),2)="КМ",LEFT(UPPER(I707),2)="KM"),"KM","X")))))</f>
        <v/>
      </c>
      <c r="BI707" s="129">
        <f t="shared" ref="BI707:BI770" si="498">IF(J707="","",IF(OR(LEFT(J707,1)="T",LEFT(J707,1)="Т"),"T",IF(LEFT(UPPER(J707),2)="БП","PS",IF(OR(LEFT(UPPER(J707),2)="МК",LEFT(UPPER(J707),2)="MK"),"MK",IF(OR(LEFT(UPPER(J707),2)="КМ",LEFT(UPPER(J707),2)="KM"),"KM","X")))))</f>
        <v/>
      </c>
      <c r="BJ707" s="129">
        <f t="shared" ref="BJ707:BJ770" si="499">IF(K707="","",IF(OR(LEFT(K707,1)="T",LEFT(K707,1)="Т"),"T",IF(LEFT(UPPER(K707),2)="БП","PS",IF(OR(LEFT(UPPER(K707),2)="МК",LEFT(UPPER(K707),2)="MK"),"MK",IF(OR(LEFT(UPPER(K707),2)="КМ",LEFT(UPPER(K707),2)="KM"),"KM","X")))))</f>
        <v/>
      </c>
      <c r="BK707" s="129">
        <f>IF(R707="","",IF(OR(BY707="",BY707=0),"BOX",IFERROR(IF(VLOOKUP(BY707,УГО_блоки,3,FALSE)&amp;""&lt;&gt;"",VLOOKUP(BY707,УГО_блоки,3,FALSE),VLOOKUP(BY707,УГО_блоки,2,FALSE)),BY707)))</f>
      </c>
      <c r="BL707" s="129">
        <f t="shared" ref="BL707:BL770" si="501">IF(R707="",0,1)</f>
      </c>
      <c r="BM707" s="129">
        <f>IF(H707="","",IF(COUNTIF($H$3:H707,H707)=1,MAX($BM$2:BM706)+1,""))</f>
      </c>
      <c r="BN707" s="129">
        <f>IF(I707="","",IF(COUNTIF($I$3:I707,I707)+COUNTIF($J$2:J706,I707)+COUNTIF($K$2:K706,I707)=1,MAX($BN$2:BP706)+1,""))</f>
      </c>
      <c r="BO707" s="129">
        <f>IF(J707="","",IF(COUNTIF($I$3:I707,J707)+COUNTIF($J$3:J707,J707)+COUNTIF($K$2:K706,J707)=1,MAX($BN$2:BP706,BN707)+1,""))</f>
      </c>
      <c r="BP707" s="129">
        <f>IF(K707="","",IF(COUNTIF($I$3:I707,K707)+COUNTIF($J$3:J707,K707)+COUNTIF($K$3:K707,K707)=1,MAX($BN$2:BP706,BN707,BO707)+1,""))</f>
      </c>
      <c r="BQ707" s="129">
        <f>IF(AY707=1,IFERROR(MID(Q707,FIND(" (",Q707)+2,FIND(")",Q707,FIND(" (",Q707))-FIND(" (",Q707)-2),"?"),"")</f>
      </c>
      <c r="BR707" s="129">
        <f>IF(BQ707="","",IF(COUNTIF($BQ$3:BQ707,BQ707)=1,MAX($BR$2:BR706)+1,""))</f>
      </c>
      <c r="BS707" s="129">
        <f>IF(AW707="","",COUNTIF($AW$3:AW707,"?*"))</f>
      </c>
      <c r="BT707" s="129">
        <f>IF(OR(AW707="",AI707=""),"",IF(COUNTIFS($AW$3:AW707,"?*",$AI$3:AI707,AI707)=1,MAX($BT$2:BT706)+1,""))</f>
      </c>
      <c r="BU707" s="129">
        <f>IF(AE707="",0,IF(OR(ISNUMBER(SEARCH("дубль",AE707)),ISNUMBER(SEARCH("ПЕРЕГРУЗ",AE707)),ISNUMBER(SEARCH("ЗАЩИЩ",AE707)),ISNUMBER(SEARCH("КАНАЛ",AE707)),ISNUMBER(SEARCH("без 30",AE707))),2,1))</f>
      </c>
      <c r="BV707" s="129">
        <f>IF(R707="","",COUNTIF($R$3:R707,"?*"))</f>
      </c>
      <c r="BW707" s="129">
        <f>IF(AY707&lt;&gt;1,0,IF(MAX(IFERROR(--VLOOKUP(R707,УГО_спр,5,FALSE),0),IFERROR(--VLOOKUP(AL707,УГО_спр,5,FALSE),0),IFERROR(--VLOOKUP(LEFT(AL707,2),УГО_спр,5,FALSE),0))&gt;0,MAX(IFERROR(--VLOOKUP(R707,УГО_спр,5,FALSE),0),IFERROR(--VLOOKUP(AL707,УГО_спр,5,FALSE),0),IFERROR(--VLOOKUP(LEFT(AL707,2),УГО_спр,5,FALSE),0)),IF(IFERROR(--LEFT(SUBSTITUTE(BQ707,"x","х"),FIND("х",SUBSTITUTE(BQ707,"x","х"))-1),3)&gt;3,Каталог!$S$9,1)))</f>
      </c>
      <c r="BX707" s="129">
        <f>IF(AY707&lt;&gt;1,0,MAX(0,IFERROR(--LEFT(SUBSTITUTE(BQ707,"x","х"),FIND("х",SUBSTITUTE(BQ707,"x","х"))-1),3)-3*BW707))</f>
      </c>
      <c r="BY707" s="129">
        <f>IF(R707="","",IFERROR(VLOOKUP(R707,УГО_спр,2,FALSE),IFERROR(VLOOKUP(AL707,УГО_спр,2,FALSE),IFERROR(VLOOKUP(LEFT(AL707,2),УГО_спр,2,FALSE),""))))</f>
      </c>
    </row>
    <row r="708" spans="1:64" x14ac:dyDescent="0.3">
      <c r="A708" s="135">
        <f>IF(Разбивка_по_щитам!F708=0,"",Разбивка_по_щитам!F708)</f>
        <v/>
      </c>
      <c r="B708" s="138">
        <f>IF(A708="","",Разбивка_по_щитам!C708)</f>
        <v/>
      </c>
      <c r="C708" s="138">
        <f t="shared" si="462"/>
        <v/>
      </c>
      <c r="D708" s="266"/>
      <c r="E708" s="266"/>
      <c r="F708" s="267"/>
      <c r="G708" s="145">
        <f t="shared" si="463"/>
        <v/>
      </c>
      <c r="H708" s="145">
        <f t="shared" si="464"/>
        <v/>
      </c>
      <c r="I708" s="266"/>
      <c r="J708" s="267"/>
      <c r="K708" s="267"/>
      <c r="L708" s="266"/>
      <c r="M708" s="147">
        <f t="shared" si="465"/>
        <v/>
      </c>
      <c r="N708" s="267"/>
      <c r="O708" s="147">
        <f t="shared" si="466"/>
        <v/>
      </c>
      <c r="P708" s="268">
        <f>IF(AY708=1,"XT"&amp;COUNTIFS($A$3:A708,A708,$AY$3:AY708,1),"")</f>
        <v/>
      </c>
      <c r="Q708" s="152">
        <f>IF(R708="","",IFERROR(SUBSTITUTE(Разбивка_по_щитам!P708,CHAR(10)," "),""))</f>
        <v/>
      </c>
      <c r="R708" s="153">
        <f>IF(OR(Разбивка_по_щитам!H708="",Разбивка_по_щитам!H708=0),"",Разбивка_по_щитам!H708)</f>
        <v/>
      </c>
      <c r="S708" s="154">
        <f>IF(R708="","",IFERROR(Разбивка_по_щитам!J708&amp;"",""))</f>
        <v/>
      </c>
      <c r="T708" s="155">
        <f>IF(R708="","",IFERROR(--Разбивка_по_щитам!L708,""))</f>
        <v/>
      </c>
      <c r="U708" s="155">
        <f>IF(R708="","",IFERROR(--Разбивка_по_щитам!K708,""))</f>
        <v/>
      </c>
      <c r="V708" s="138">
        <f>IF(R708="","",IFERROR(IF(Разбивка_по_щитам!M708=0,"",Разбивка_по_щитам!M708),""))</f>
        <v/>
      </c>
      <c r="W708" s="156">
        <f t="shared" si="467"/>
        <v/>
      </c>
      <c r="X708" s="157">
        <f t="shared" si="468"/>
        <v/>
      </c>
      <c r="Y708" s="266"/>
      <c r="Z708" s="158">
        <f t="shared" si="469"/>
        <v/>
      </c>
      <c r="AA708" s="160">
        <f t="shared" si="470"/>
        <v/>
      </c>
      <c r="AB708" s="160">
        <f>IF(R708="","",IFERROR(LOOKUP(INDEX(Справочная!$I$4:$I$19,MATCH(VLOOKUP(R708,Исходные_данные,22,FALSE),Справочная!$J$4:$J$19,0)+1),{6,10,16,20,25,32,40,50,63,80,100,125}),""))</f>
        <v/>
      </c>
      <c r="AC708" s="160">
        <f t="shared" si="471"/>
        <v/>
      </c>
      <c r="AD708" s="161">
        <f t="shared" si="472"/>
        <v/>
      </c>
      <c r="AE708" s="161">
        <f>IF(AND(R708="",G708=""),"",_xlfn.TEXTJOIN("; ",TRUE,IF(AND(R708&lt;&gt;"",V708=""),"нет фазы",""),IF(AND(R708&lt;&gt;"",N(T708)=0),"нет мощности",""),IF(AND(P708&lt;&gt;"",COUNTIFS($A$3:$A$1000,A708,$P$3:$P$1000,P708)&gt;1),"дубль клеммы "&amp;P708,""),IF(AND(W708&lt;&gt;"",W708&lt;&gt;"ok"),W708,""),IF(X708&lt;&gt;"",X708,""),IF(AND(ISNUMBER(SEARCH("(5х",Q708)),N(AK708)=1),"5 жил на 1 фазе",""),IF(AND(AL708="R",E708&lt;&gt;"",N(AS708)=0),"розетка без 30 мА",""),IF(IFERROR(_xlfn.NUMBERVALUE(MID(Q708,FIND("-",Q708,FIND("L=",Q708))+1,FIND("%",Q708)-FIND("-",Q708,FIND("L=",Q708))-1),","),0)&gt;4,"потери &gt; 4 %","")))</f>
      </c>
      <c r="AF708" s="129">
        <f>IF(E708&lt;&gt;"",COUNTIFS($A$3:A708,A708,$E$3:E708,"?*"),IF(OR(A708&lt;&gt;A707,Y708="вручную"),"",AF707))</f>
        <v/>
      </c>
      <c r="AG708" s="129">
        <f t="shared" si="473"/>
        <v/>
      </c>
      <c r="AH708" s="129">
        <f t="shared" si="474"/>
        <v/>
      </c>
      <c r="AI708" s="129">
        <f t="shared" si="475"/>
        <v/>
      </c>
      <c r="AJ708" s="129">
        <f t="shared" si="476"/>
        <v/>
      </c>
      <c r="AK708" s="129">
        <f t="shared" si="477"/>
        <v/>
      </c>
      <c r="AL708" s="129">
        <f t="shared" si="478"/>
        <v/>
      </c>
      <c r="AM708" s="129">
        <f t="shared" si="479"/>
      </c>
      <c r="AN708" s="129">
        <f t="shared" si="480"/>
      </c>
      <c r="AO708" s="129">
        <f t="shared" si="481"/>
        <v/>
      </c>
      <c r="AP708" s="129">
        <f t="shared" si="482"/>
        <v/>
      </c>
      <c r="AQ708" s="129">
        <f t="shared" si="483"/>
        <v/>
      </c>
      <c r="AR708" s="129">
        <f t="shared" si="484"/>
        <v/>
      </c>
      <c r="AS708" s="129">
        <f t="shared" si="485"/>
        <v/>
      </c>
      <c r="AT708" s="129">
        <f t="shared" si="486"/>
        <v/>
      </c>
      <c r="AU708" s="129">
        <f t="shared" si="487"/>
        <v/>
      </c>
      <c r="AV708" s="129">
        <f t="shared" si="488"/>
        <v/>
      </c>
      <c r="AW708" s="129">
        <f>IF(AV708="","",AV708&amp;"."&amp;COUNTIFS($A$3:A708,A708,$AV$3:AV708,AV708))</f>
        <v/>
      </c>
      <c r="AX708" s="129">
        <f t="shared" si="489"/>
        <v/>
      </c>
      <c r="AY708" s="129">
        <f>IF(N708="б/к",0,IF(OR(ISNUMBER(SEARCH("L=",Разбивка_по_щитам!P708)),N708="+",N708="="),1,0))</f>
      </c>
      <c r="AZ708" s="129">
        <f t="shared" si="490"/>
        <v/>
      </c>
      <c r="BA708" s="129">
        <f t="shared" si="491"/>
      </c>
      <c r="BB708" s="129">
        <f t="shared" si="492"/>
      </c>
      <c r="BD708" s="129">
        <f t="shared" si="493"/>
      </c>
      <c r="BE708" s="129">
        <f t="shared" si="494"/>
      </c>
      <c r="BF708" s="129">
        <f t="shared" si="495"/>
      </c>
      <c r="BG708" s="129">
        <f t="shared" si="496"/>
        <v/>
      </c>
      <c r="BH708" s="129">
        <f t="shared" si="497"/>
        <v/>
      </c>
      <c r="BI708" s="129">
        <f t="shared" si="498"/>
        <v/>
      </c>
      <c r="BJ708" s="129">
        <f t="shared" si="499"/>
        <v/>
      </c>
      <c r="BK708" s="129">
        <f>IF(R708="","",IF(OR(BY708="",BY708=0),"BOX",IFERROR(IF(VLOOKUP(BY708,УГО_блоки,3,FALSE)&amp;""&lt;&gt;"",VLOOKUP(BY708,УГО_блоки,3,FALSE),VLOOKUP(BY708,УГО_блоки,2,FALSE)),BY708)))</f>
      </c>
      <c r="BL708" s="129">
        <f t="shared" si="501"/>
      </c>
      <c r="BM708" s="129">
        <f>IF(H708="","",IF(COUNTIF($H$3:H708,H708)=1,MAX($BM$2:BM707)+1,""))</f>
      </c>
      <c r="BN708" s="129">
        <f>IF(I708="","",IF(COUNTIF($I$3:I708,I708)+COUNTIF($J$2:J707,I708)+COUNTIF($K$2:K707,I708)=1,MAX($BN$2:BP707)+1,""))</f>
      </c>
      <c r="BO708" s="129">
        <f>IF(J708="","",IF(COUNTIF($I$3:I708,J708)+COUNTIF($J$3:J708,J708)+COUNTIF($K$2:K707,J708)=1,MAX($BN$2:BP707,BN708)+1,""))</f>
      </c>
      <c r="BP708" s="129">
        <f>IF(K708="","",IF(COUNTIF($I$3:I708,K708)+COUNTIF($J$3:J708,K708)+COUNTIF($K$3:K708,K708)=1,MAX($BN$2:BP707,BN708,BO708)+1,""))</f>
      </c>
      <c r="BQ708" s="129">
        <f>IF(AY708=1,IFERROR(MID(Q708,FIND(" (",Q708)+2,FIND(")",Q708,FIND(" (",Q708))-FIND(" (",Q708)-2),"?"),"")</f>
      </c>
      <c r="BR708" s="129">
        <f>IF(BQ708="","",IF(COUNTIF($BQ$3:BQ708,BQ708)=1,MAX($BR$2:BR707)+1,""))</f>
      </c>
      <c r="BS708" s="129">
        <f>IF(AW708="","",COUNTIF($AW$3:AW708,"?*"))</f>
      </c>
      <c r="BT708" s="129">
        <f>IF(OR(AW708="",AI708=""),"",IF(COUNTIFS($AW$3:AW708,"?*",$AI$3:AI708,AI708)=1,MAX($BT$2:BT707)+1,""))</f>
      </c>
      <c r="BU708" s="129">
        <f>IF(AE708="",0,IF(OR(ISNUMBER(SEARCH("дубль",AE708)),ISNUMBER(SEARCH("ПЕРЕГРУЗ",AE708)),ISNUMBER(SEARCH("ЗАЩИЩ",AE708)),ISNUMBER(SEARCH("КАНАЛ",AE708)),ISNUMBER(SEARCH("без 30",AE708))),2,1))</f>
      </c>
      <c r="BV708" s="129">
        <f>IF(R708="","",COUNTIF($R$3:R708,"?*"))</f>
      </c>
      <c r="BW708" s="129">
        <f>IF(AY708&lt;&gt;1,0,IF(MAX(IFERROR(--VLOOKUP(R708,УГО_спр,5,FALSE),0),IFERROR(--VLOOKUP(AL708,УГО_спр,5,FALSE),0),IFERROR(--VLOOKUP(LEFT(AL708,2),УГО_спр,5,FALSE),0))&gt;0,MAX(IFERROR(--VLOOKUP(R708,УГО_спр,5,FALSE),0),IFERROR(--VLOOKUP(AL708,УГО_спр,5,FALSE),0),IFERROR(--VLOOKUP(LEFT(AL708,2),УГО_спр,5,FALSE),0)),IF(IFERROR(--LEFT(SUBSTITUTE(BQ708,"x","х"),FIND("х",SUBSTITUTE(BQ708,"x","х"))-1),3)&gt;3,Каталог!$S$9,1)))</f>
      </c>
      <c r="BX708" s="129">
        <f>IF(AY708&lt;&gt;1,0,MAX(0,IFERROR(--LEFT(SUBSTITUTE(BQ708,"x","х"),FIND("х",SUBSTITUTE(BQ708,"x","х"))-1),3)-3*BW708))</f>
      </c>
      <c r="BY708" s="129">
        <f>IF(R708="","",IFERROR(VLOOKUP(R708,УГО_спр,2,FALSE),IFERROR(VLOOKUP(AL708,УГО_спр,2,FALSE),IFERROR(VLOOKUP(LEFT(AL708,2),УГО_спр,2,FALSE),""))))</f>
      </c>
    </row>
    <row r="709" spans="1:64" x14ac:dyDescent="0.3">
      <c r="A709" s="135">
        <f>IF(Разбивка_по_щитам!F709=0,"",Разбивка_по_щитам!F709)</f>
        <v/>
      </c>
      <c r="B709" s="138">
        <f>IF(A709="","",Разбивка_по_щитам!C709)</f>
        <v/>
      </c>
      <c r="C709" s="138">
        <f t="shared" si="462"/>
        <v/>
      </c>
      <c r="D709" s="266"/>
      <c r="E709" s="266"/>
      <c r="F709" s="267"/>
      <c r="G709" s="145">
        <f t="shared" si="463"/>
        <v/>
      </c>
      <c r="H709" s="145">
        <f t="shared" si="464"/>
        <v/>
      </c>
      <c r="I709" s="266"/>
      <c r="J709" s="267"/>
      <c r="K709" s="267"/>
      <c r="L709" s="266"/>
      <c r="M709" s="147">
        <f t="shared" si="465"/>
        <v/>
      </c>
      <c r="N709" s="267"/>
      <c r="O709" s="147">
        <f t="shared" si="466"/>
        <v/>
      </c>
      <c r="P709" s="268">
        <f>IF(AY709=1,"XT"&amp;COUNTIFS($A$3:A709,A709,$AY$3:AY709,1),"")</f>
        <v/>
      </c>
      <c r="Q709" s="152">
        <f>IF(R709="","",IFERROR(SUBSTITUTE(Разбивка_по_щитам!P709,CHAR(10)," "),""))</f>
        <v/>
      </c>
      <c r="R709" s="153">
        <f>IF(OR(Разбивка_по_щитам!H709="",Разбивка_по_щитам!H709=0),"",Разбивка_по_щитам!H709)</f>
        <v/>
      </c>
      <c r="S709" s="154">
        <f>IF(R709="","",IFERROR(Разбивка_по_щитам!J709&amp;"",""))</f>
        <v/>
      </c>
      <c r="T709" s="155">
        <f>IF(R709="","",IFERROR(--Разбивка_по_щитам!L709,""))</f>
        <v/>
      </c>
      <c r="U709" s="155">
        <f>IF(R709="","",IFERROR(--Разбивка_по_щитам!K709,""))</f>
        <v/>
      </c>
      <c r="V709" s="138">
        <f>IF(R709="","",IFERROR(IF(Разбивка_по_щитам!M709=0,"",Разбивка_по_щитам!M709),""))</f>
        <v/>
      </c>
      <c r="W709" s="156">
        <f t="shared" si="467"/>
        <v/>
      </c>
      <c r="X709" s="157">
        <f t="shared" si="468"/>
        <v/>
      </c>
      <c r="Y709" s="266"/>
      <c r="Z709" s="158">
        <f t="shared" si="469"/>
        <v/>
      </c>
      <c r="AA709" s="160">
        <f t="shared" si="470"/>
        <v/>
      </c>
      <c r="AB709" s="160">
        <f>IF(R709="","",IFERROR(LOOKUP(INDEX(Справочная!$I$4:$I$19,MATCH(VLOOKUP(R709,Исходные_данные,22,FALSE),Справочная!$J$4:$J$19,0)+1),{6,10,16,20,25,32,40,50,63,80,100,125}),""))</f>
        <v/>
      </c>
      <c r="AC709" s="160">
        <f t="shared" si="471"/>
        <v/>
      </c>
      <c r="AD709" s="161">
        <f t="shared" si="472"/>
        <v/>
      </c>
      <c r="AE709" s="161">
        <f>IF(AND(R709="",G709=""),"",_xlfn.TEXTJOIN("; ",TRUE,IF(AND(R709&lt;&gt;"",V709=""),"нет фазы",""),IF(AND(R709&lt;&gt;"",N(T709)=0),"нет мощности",""),IF(AND(P709&lt;&gt;"",COUNTIFS($A$3:$A$1000,A709,$P$3:$P$1000,P709)&gt;1),"дубль клеммы "&amp;P709,""),IF(AND(W709&lt;&gt;"",W709&lt;&gt;"ok"),W709,""),IF(X709&lt;&gt;"",X709,""),IF(AND(ISNUMBER(SEARCH("(5х",Q709)),N(AK709)=1),"5 жил на 1 фазе",""),IF(AND(AL709="R",E709&lt;&gt;"",N(AS709)=0),"розетка без 30 мА",""),IF(IFERROR(_xlfn.NUMBERVALUE(MID(Q709,FIND("-",Q709,FIND("L=",Q709))+1,FIND("%",Q709)-FIND("-",Q709,FIND("L=",Q709))-1),","),0)&gt;4,"потери &gt; 4 %","")))</f>
      </c>
      <c r="AF709" s="129">
        <f>IF(E709&lt;&gt;"",COUNTIFS($A$3:A709,A709,$E$3:E709,"?*"),IF(OR(A709&lt;&gt;A708,Y709="вручную"),"",AF708))</f>
        <v/>
      </c>
      <c r="AG709" s="129">
        <f t="shared" si="473"/>
        <v/>
      </c>
      <c r="AH709" s="129">
        <f t="shared" si="474"/>
        <v/>
      </c>
      <c r="AI709" s="129">
        <f t="shared" si="475"/>
        <v/>
      </c>
      <c r="AJ709" s="129">
        <f t="shared" si="476"/>
        <v/>
      </c>
      <c r="AK709" s="129">
        <f t="shared" si="477"/>
        <v/>
      </c>
      <c r="AL709" s="129">
        <f t="shared" si="478"/>
        <v/>
      </c>
      <c r="AM709" s="129">
        <f t="shared" si="479"/>
      </c>
      <c r="AN709" s="129">
        <f t="shared" si="480"/>
      </c>
      <c r="AO709" s="129">
        <f t="shared" si="481"/>
        <v/>
      </c>
      <c r="AP709" s="129">
        <f t="shared" si="482"/>
        <v/>
      </c>
      <c r="AQ709" s="129">
        <f t="shared" si="483"/>
        <v/>
      </c>
      <c r="AR709" s="129">
        <f t="shared" si="484"/>
        <v/>
      </c>
      <c r="AS709" s="129">
        <f t="shared" si="485"/>
        <v/>
      </c>
      <c r="AT709" s="129">
        <f t="shared" si="486"/>
        <v/>
      </c>
      <c r="AU709" s="129">
        <f t="shared" si="487"/>
        <v/>
      </c>
      <c r="AV709" s="129">
        <f t="shared" si="488"/>
        <v/>
      </c>
      <c r="AW709" s="129">
        <f>IF(AV709="","",AV709&amp;"."&amp;COUNTIFS($A$3:A709,A709,$AV$3:AV709,AV709))</f>
        <v/>
      </c>
      <c r="AX709" s="129">
        <f t="shared" si="489"/>
        <v/>
      </c>
      <c r="AY709" s="129">
        <f>IF(N709="б/к",0,IF(OR(ISNUMBER(SEARCH("L=",Разбивка_по_щитам!P709)),N709="+",N709="="),1,0))</f>
      </c>
      <c r="AZ709" s="129">
        <f t="shared" si="490"/>
        <v/>
      </c>
      <c r="BA709" s="129">
        <f t="shared" si="491"/>
      </c>
      <c r="BB709" s="129">
        <f t="shared" si="492"/>
      </c>
      <c r="BD709" s="129">
        <f t="shared" si="493"/>
      </c>
      <c r="BE709" s="129">
        <f t="shared" si="494"/>
      </c>
      <c r="BF709" s="129">
        <f t="shared" si="495"/>
      </c>
      <c r="BG709" s="129">
        <f t="shared" si="496"/>
        <v/>
      </c>
      <c r="BH709" s="129">
        <f t="shared" si="497"/>
        <v/>
      </c>
      <c r="BI709" s="129">
        <f t="shared" si="498"/>
        <v/>
      </c>
      <c r="BJ709" s="129">
        <f t="shared" si="499"/>
        <v/>
      </c>
      <c r="BK709" s="129">
        <f>IF(R709="","",IF(OR(BY709="",BY709=0),"BOX",IFERROR(IF(VLOOKUP(BY709,УГО_блоки,3,FALSE)&amp;""&lt;&gt;"",VLOOKUP(BY709,УГО_блоки,3,FALSE),VLOOKUP(BY709,УГО_блоки,2,FALSE)),BY709)))</f>
      </c>
      <c r="BL709" s="129">
        <f t="shared" si="501"/>
      </c>
      <c r="BM709" s="129">
        <f>IF(H709="","",IF(COUNTIF($H$3:H709,H709)=1,MAX($BM$2:BM708)+1,""))</f>
      </c>
      <c r="BN709" s="129">
        <f>IF(I709="","",IF(COUNTIF($I$3:I709,I709)+COUNTIF($J$2:J708,I709)+COUNTIF($K$2:K708,I709)=1,MAX($BN$2:BP708)+1,""))</f>
      </c>
      <c r="BO709" s="129">
        <f>IF(J709="","",IF(COUNTIF($I$3:I709,J709)+COUNTIF($J$3:J709,J709)+COUNTIF($K$2:K708,J709)=1,MAX($BN$2:BP708,BN709)+1,""))</f>
      </c>
      <c r="BP709" s="129">
        <f>IF(K709="","",IF(COUNTIF($I$3:I709,K709)+COUNTIF($J$3:J709,K709)+COUNTIF($K$3:K709,K709)=1,MAX($BN$2:BP708,BN709,BO709)+1,""))</f>
      </c>
      <c r="BQ709" s="129">
        <f>IF(AY709=1,IFERROR(MID(Q709,FIND(" (",Q709)+2,FIND(")",Q709,FIND(" (",Q709))-FIND(" (",Q709)-2),"?"),"")</f>
      </c>
      <c r="BR709" s="129">
        <f>IF(BQ709="","",IF(COUNTIF($BQ$3:BQ709,BQ709)=1,MAX($BR$2:BR708)+1,""))</f>
      </c>
      <c r="BS709" s="129">
        <f>IF(AW709="","",COUNTIF($AW$3:AW709,"?*"))</f>
      </c>
      <c r="BT709" s="129">
        <f>IF(OR(AW709="",AI709=""),"",IF(COUNTIFS($AW$3:AW709,"?*",$AI$3:AI709,AI709)=1,MAX($BT$2:BT708)+1,""))</f>
      </c>
      <c r="BU709" s="129">
        <f>IF(AE709="",0,IF(OR(ISNUMBER(SEARCH("дубль",AE709)),ISNUMBER(SEARCH("ПЕРЕГРУЗ",AE709)),ISNUMBER(SEARCH("ЗАЩИЩ",AE709)),ISNUMBER(SEARCH("КАНАЛ",AE709)),ISNUMBER(SEARCH("без 30",AE709))),2,1))</f>
      </c>
      <c r="BV709" s="129">
        <f>IF(R709="","",COUNTIF($R$3:R709,"?*"))</f>
      </c>
      <c r="BW709" s="129">
        <f>IF(AY709&lt;&gt;1,0,IF(MAX(IFERROR(--VLOOKUP(R709,УГО_спр,5,FALSE),0),IFERROR(--VLOOKUP(AL709,УГО_спр,5,FALSE),0),IFERROR(--VLOOKUP(LEFT(AL709,2),УГО_спр,5,FALSE),0))&gt;0,MAX(IFERROR(--VLOOKUP(R709,УГО_спр,5,FALSE),0),IFERROR(--VLOOKUP(AL709,УГО_спр,5,FALSE),0),IFERROR(--VLOOKUP(LEFT(AL709,2),УГО_спр,5,FALSE),0)),IF(IFERROR(--LEFT(SUBSTITUTE(BQ709,"x","х"),FIND("х",SUBSTITUTE(BQ709,"x","х"))-1),3)&gt;3,Каталог!$S$9,1)))</f>
      </c>
      <c r="BX709" s="129">
        <f>IF(AY709&lt;&gt;1,0,MAX(0,IFERROR(--LEFT(SUBSTITUTE(BQ709,"x","х"),FIND("х",SUBSTITUTE(BQ709,"x","х"))-1),3)-3*BW709))</f>
      </c>
      <c r="BY709" s="129">
        <f>IF(R709="","",IFERROR(VLOOKUP(R709,УГО_спр,2,FALSE),IFERROR(VLOOKUP(AL709,УГО_спр,2,FALSE),IFERROR(VLOOKUP(LEFT(AL709,2),УГО_спр,2,FALSE),""))))</f>
      </c>
    </row>
    <row r="710" spans="1:64" x14ac:dyDescent="0.3">
      <c r="A710" s="135">
        <f>IF(Разбивка_по_щитам!F710=0,"",Разбивка_по_щитам!F710)</f>
        <v/>
      </c>
      <c r="B710" s="138">
        <f>IF(A710="","",Разбивка_по_щитам!C710)</f>
        <v/>
      </c>
      <c r="C710" s="138">
        <f t="shared" si="462"/>
        <v/>
      </c>
      <c r="D710" s="266"/>
      <c r="E710" s="266"/>
      <c r="F710" s="267"/>
      <c r="G710" s="145">
        <f t="shared" si="463"/>
        <v/>
      </c>
      <c r="H710" s="145">
        <f t="shared" si="464"/>
        <v/>
      </c>
      <c r="I710" s="266"/>
      <c r="J710" s="267"/>
      <c r="K710" s="267"/>
      <c r="L710" s="266"/>
      <c r="M710" s="147">
        <f t="shared" si="465"/>
        <v/>
      </c>
      <c r="N710" s="267"/>
      <c r="O710" s="147">
        <f t="shared" si="466"/>
        <v/>
      </c>
      <c r="P710" s="268">
        <f>IF(AY710=1,"XT"&amp;COUNTIFS($A$3:A710,A710,$AY$3:AY710,1),"")</f>
        <v/>
      </c>
      <c r="Q710" s="152">
        <f>IF(R710="","",IFERROR(SUBSTITUTE(Разбивка_по_щитам!P710,CHAR(10)," "),""))</f>
        <v/>
      </c>
      <c r="R710" s="153">
        <f>IF(OR(Разбивка_по_щитам!H710="",Разбивка_по_щитам!H710=0),"",Разбивка_по_щитам!H710)</f>
        <v/>
      </c>
      <c r="S710" s="154">
        <f>IF(R710="","",IFERROR(Разбивка_по_щитам!J710&amp;"",""))</f>
        <v/>
      </c>
      <c r="T710" s="155">
        <f>IF(R710="","",IFERROR(--Разбивка_по_щитам!L710,""))</f>
        <v/>
      </c>
      <c r="U710" s="155">
        <f>IF(R710="","",IFERROR(--Разбивка_по_щитам!K710,""))</f>
        <v/>
      </c>
      <c r="V710" s="138">
        <f>IF(R710="","",IFERROR(IF(Разбивка_по_щитам!M710=0,"",Разбивка_по_щитам!M710),""))</f>
        <v/>
      </c>
      <c r="W710" s="156">
        <f t="shared" si="467"/>
        <v/>
      </c>
      <c r="X710" s="157">
        <f t="shared" si="468"/>
        <v/>
      </c>
      <c r="Y710" s="266"/>
      <c r="Z710" s="158">
        <f t="shared" si="469"/>
        <v/>
      </c>
      <c r="AA710" s="160">
        <f t="shared" si="470"/>
        <v/>
      </c>
      <c r="AB710" s="160">
        <f>IF(R710="","",IFERROR(LOOKUP(INDEX(Справочная!$I$4:$I$19,MATCH(VLOOKUP(R710,Исходные_данные,22,FALSE),Справочная!$J$4:$J$19,0)+1),{6,10,16,20,25,32,40,50,63,80,100,125}),""))</f>
        <v/>
      </c>
      <c r="AC710" s="160">
        <f t="shared" si="471"/>
        <v/>
      </c>
      <c r="AD710" s="161">
        <f t="shared" si="472"/>
        <v/>
      </c>
      <c r="AE710" s="161">
        <f>IF(AND(R710="",G710=""),"",_xlfn.TEXTJOIN("; ",TRUE,IF(AND(R710&lt;&gt;"",V710=""),"нет фазы",""),IF(AND(R710&lt;&gt;"",N(T710)=0),"нет мощности",""),IF(AND(P710&lt;&gt;"",COUNTIFS($A$3:$A$1000,A710,$P$3:$P$1000,P710)&gt;1),"дубль клеммы "&amp;P710,""),IF(AND(W710&lt;&gt;"",W710&lt;&gt;"ok"),W710,""),IF(X710&lt;&gt;"",X710,""),IF(AND(ISNUMBER(SEARCH("(5х",Q710)),N(AK710)=1),"5 жил на 1 фазе",""),IF(AND(AL710="R",E710&lt;&gt;"",N(AS710)=0),"розетка без 30 мА",""),IF(IFERROR(_xlfn.NUMBERVALUE(MID(Q710,FIND("-",Q710,FIND("L=",Q710))+1,FIND("%",Q710)-FIND("-",Q710,FIND("L=",Q710))-1),","),0)&gt;4,"потери &gt; 4 %","")))</f>
      </c>
      <c r="AF710" s="129">
        <f>IF(E710&lt;&gt;"",COUNTIFS($A$3:A710,A710,$E$3:E710,"?*"),IF(OR(A710&lt;&gt;A709,Y710="вручную"),"",AF709))</f>
        <v/>
      </c>
      <c r="AG710" s="129">
        <f t="shared" si="473"/>
        <v/>
      </c>
      <c r="AH710" s="129">
        <f t="shared" si="474"/>
        <v/>
      </c>
      <c r="AI710" s="129">
        <f t="shared" si="475"/>
        <v/>
      </c>
      <c r="AJ710" s="129">
        <f t="shared" si="476"/>
        <v/>
      </c>
      <c r="AK710" s="129">
        <f t="shared" si="477"/>
        <v/>
      </c>
      <c r="AL710" s="129">
        <f t="shared" si="478"/>
        <v/>
      </c>
      <c r="AM710" s="129">
        <f t="shared" si="479"/>
      </c>
      <c r="AN710" s="129">
        <f t="shared" si="480"/>
      </c>
      <c r="AO710" s="129">
        <f t="shared" si="481"/>
        <v/>
      </c>
      <c r="AP710" s="129">
        <f t="shared" si="482"/>
        <v/>
      </c>
      <c r="AQ710" s="129">
        <f t="shared" si="483"/>
        <v/>
      </c>
      <c r="AR710" s="129">
        <f t="shared" si="484"/>
        <v/>
      </c>
      <c r="AS710" s="129">
        <f t="shared" si="485"/>
        <v/>
      </c>
      <c r="AT710" s="129">
        <f t="shared" si="486"/>
        <v/>
      </c>
      <c r="AU710" s="129">
        <f t="shared" si="487"/>
        <v/>
      </c>
      <c r="AV710" s="129">
        <f t="shared" si="488"/>
        <v/>
      </c>
      <c r="AW710" s="129">
        <f>IF(AV710="","",AV710&amp;"."&amp;COUNTIFS($A$3:A710,A710,$AV$3:AV710,AV710))</f>
        <v/>
      </c>
      <c r="AX710" s="129">
        <f t="shared" si="489"/>
        <v/>
      </c>
      <c r="AY710" s="129">
        <f>IF(N710="б/к",0,IF(OR(ISNUMBER(SEARCH("L=",Разбивка_по_щитам!P710)),N710="+",N710="="),1,0))</f>
      </c>
      <c r="AZ710" s="129">
        <f t="shared" si="490"/>
        <v/>
      </c>
      <c r="BA710" s="129">
        <f t="shared" si="491"/>
      </c>
      <c r="BB710" s="129">
        <f t="shared" si="492"/>
      </c>
      <c r="BD710" s="129">
        <f t="shared" si="493"/>
      </c>
      <c r="BE710" s="129">
        <f t="shared" si="494"/>
      </c>
      <c r="BF710" s="129">
        <f t="shared" si="495"/>
      </c>
      <c r="BG710" s="129">
        <f t="shared" si="496"/>
        <v/>
      </c>
      <c r="BH710" s="129">
        <f t="shared" si="497"/>
        <v/>
      </c>
      <c r="BI710" s="129">
        <f t="shared" si="498"/>
        <v/>
      </c>
      <c r="BJ710" s="129">
        <f t="shared" si="499"/>
        <v/>
      </c>
      <c r="BK710" s="129">
        <f>IF(R710="","",IF(OR(BY710="",BY710=0),"BOX",IFERROR(IF(VLOOKUP(BY710,УГО_блоки,3,FALSE)&amp;""&lt;&gt;"",VLOOKUP(BY710,УГО_блоки,3,FALSE),VLOOKUP(BY710,УГО_блоки,2,FALSE)),BY710)))</f>
      </c>
      <c r="BL710" s="129">
        <f t="shared" si="501"/>
      </c>
      <c r="BM710" s="129">
        <f>IF(H710="","",IF(COUNTIF($H$3:H710,H710)=1,MAX($BM$2:BM709)+1,""))</f>
      </c>
      <c r="BN710" s="129">
        <f>IF(I710="","",IF(COUNTIF($I$3:I710,I710)+COUNTIF($J$2:J709,I710)+COUNTIF($K$2:K709,I710)=1,MAX($BN$2:BP709)+1,""))</f>
      </c>
      <c r="BO710" s="129">
        <f>IF(J710="","",IF(COUNTIF($I$3:I710,J710)+COUNTIF($J$3:J710,J710)+COUNTIF($K$2:K709,J710)=1,MAX($BN$2:BP709,BN710)+1,""))</f>
      </c>
      <c r="BP710" s="129">
        <f>IF(K710="","",IF(COUNTIF($I$3:I710,K710)+COUNTIF($J$3:J710,K710)+COUNTIF($K$3:K710,K710)=1,MAX($BN$2:BP709,BN710,BO710)+1,""))</f>
      </c>
      <c r="BQ710" s="129">
        <f>IF(AY710=1,IFERROR(MID(Q710,FIND(" (",Q710)+2,FIND(")",Q710,FIND(" (",Q710))-FIND(" (",Q710)-2),"?"),"")</f>
      </c>
      <c r="BR710" s="129">
        <f>IF(BQ710="","",IF(COUNTIF($BQ$3:BQ710,BQ710)=1,MAX($BR$2:BR709)+1,""))</f>
      </c>
      <c r="BS710" s="129">
        <f>IF(AW710="","",COUNTIF($AW$3:AW710,"?*"))</f>
      </c>
      <c r="BT710" s="129">
        <f>IF(OR(AW710="",AI710=""),"",IF(COUNTIFS($AW$3:AW710,"?*",$AI$3:AI710,AI710)=1,MAX($BT$2:BT709)+1,""))</f>
      </c>
      <c r="BU710" s="129">
        <f>IF(AE710="",0,IF(OR(ISNUMBER(SEARCH("дубль",AE710)),ISNUMBER(SEARCH("ПЕРЕГРУЗ",AE710)),ISNUMBER(SEARCH("ЗАЩИЩ",AE710)),ISNUMBER(SEARCH("КАНАЛ",AE710)),ISNUMBER(SEARCH("без 30",AE710))),2,1))</f>
      </c>
      <c r="BV710" s="129">
        <f>IF(R710="","",COUNTIF($R$3:R710,"?*"))</f>
      </c>
      <c r="BW710" s="129">
        <f>IF(AY710&lt;&gt;1,0,IF(MAX(IFERROR(--VLOOKUP(R710,УГО_спр,5,FALSE),0),IFERROR(--VLOOKUP(AL710,УГО_спр,5,FALSE),0),IFERROR(--VLOOKUP(LEFT(AL710,2),УГО_спр,5,FALSE),0))&gt;0,MAX(IFERROR(--VLOOKUP(R710,УГО_спр,5,FALSE),0),IFERROR(--VLOOKUP(AL710,УГО_спр,5,FALSE),0),IFERROR(--VLOOKUP(LEFT(AL710,2),УГО_спр,5,FALSE),0)),IF(IFERROR(--LEFT(SUBSTITUTE(BQ710,"x","х"),FIND("х",SUBSTITUTE(BQ710,"x","х"))-1),3)&gt;3,Каталог!$S$9,1)))</f>
      </c>
      <c r="BX710" s="129">
        <f>IF(AY710&lt;&gt;1,0,MAX(0,IFERROR(--LEFT(SUBSTITUTE(BQ710,"x","х"),FIND("х",SUBSTITUTE(BQ710,"x","х"))-1),3)-3*BW710))</f>
      </c>
      <c r="BY710" s="129">
        <f>IF(R710="","",IFERROR(VLOOKUP(R710,УГО_спр,2,FALSE),IFERROR(VLOOKUP(AL710,УГО_спр,2,FALSE),IFERROR(VLOOKUP(LEFT(AL710,2),УГО_спр,2,FALSE),""))))</f>
      </c>
    </row>
    <row r="711" spans="1:64" x14ac:dyDescent="0.3">
      <c r="A711" s="135">
        <f>IF(Разбивка_по_щитам!F711=0,"",Разбивка_по_щитам!F711)</f>
        <v/>
      </c>
      <c r="B711" s="138">
        <f>IF(A711="","",Разбивка_по_щитам!C711)</f>
        <v/>
      </c>
      <c r="C711" s="138">
        <f t="shared" si="462"/>
        <v/>
      </c>
      <c r="D711" s="266"/>
      <c r="E711" s="266"/>
      <c r="F711" s="267"/>
      <c r="G711" s="145">
        <f t="shared" si="463"/>
        <v/>
      </c>
      <c r="H711" s="145">
        <f t="shared" si="464"/>
        <v/>
      </c>
      <c r="I711" s="266"/>
      <c r="J711" s="267"/>
      <c r="K711" s="267"/>
      <c r="L711" s="266"/>
      <c r="M711" s="147">
        <f t="shared" si="465"/>
        <v/>
      </c>
      <c r="N711" s="267"/>
      <c r="O711" s="147">
        <f t="shared" si="466"/>
        <v/>
      </c>
      <c r="P711" s="268">
        <f>IF(AY711=1,"XT"&amp;COUNTIFS($A$3:A711,A711,$AY$3:AY711,1),"")</f>
        <v/>
      </c>
      <c r="Q711" s="152">
        <f>IF(R711="","",IFERROR(SUBSTITUTE(Разбивка_по_щитам!P711,CHAR(10)," "),""))</f>
        <v/>
      </c>
      <c r="R711" s="153">
        <f>IF(OR(Разбивка_по_щитам!H711="",Разбивка_по_щитам!H711=0),"",Разбивка_по_щитам!H711)</f>
        <v/>
      </c>
      <c r="S711" s="154">
        <f>IF(R711="","",IFERROR(Разбивка_по_щитам!J711&amp;"",""))</f>
        <v/>
      </c>
      <c r="T711" s="155">
        <f>IF(R711="","",IFERROR(--Разбивка_по_щитам!L711,""))</f>
        <v/>
      </c>
      <c r="U711" s="155">
        <f>IF(R711="","",IFERROR(--Разбивка_по_щитам!K711,""))</f>
        <v/>
      </c>
      <c r="V711" s="138">
        <f>IF(R711="","",IFERROR(IF(Разбивка_по_щитам!M711=0,"",Разбивка_по_щитам!M711),""))</f>
        <v/>
      </c>
      <c r="W711" s="156">
        <f t="shared" si="467"/>
        <v/>
      </c>
      <c r="X711" s="157">
        <f t="shared" si="468"/>
        <v/>
      </c>
      <c r="Y711" s="266"/>
      <c r="Z711" s="158">
        <f t="shared" si="469"/>
        <v/>
      </c>
      <c r="AA711" s="160">
        <f t="shared" si="470"/>
        <v/>
      </c>
      <c r="AB711" s="160">
        <f>IF(R711="","",IFERROR(LOOKUP(INDEX(Справочная!$I$4:$I$19,MATCH(VLOOKUP(R711,Исходные_данные,22,FALSE),Справочная!$J$4:$J$19,0)+1),{6,10,16,20,25,32,40,50,63,80,100,125}),""))</f>
        <v/>
      </c>
      <c r="AC711" s="160">
        <f t="shared" si="471"/>
        <v/>
      </c>
      <c r="AD711" s="161">
        <f t="shared" si="472"/>
        <v/>
      </c>
      <c r="AE711" s="161">
        <f>IF(AND(R711="",G711=""),"",_xlfn.TEXTJOIN("; ",TRUE,IF(AND(R711&lt;&gt;"",V711=""),"нет фазы",""),IF(AND(R711&lt;&gt;"",N(T711)=0),"нет мощности",""),IF(AND(P711&lt;&gt;"",COUNTIFS($A$3:$A$1000,A711,$P$3:$P$1000,P711)&gt;1),"дубль клеммы "&amp;P711,""),IF(AND(W711&lt;&gt;"",W711&lt;&gt;"ok"),W711,""),IF(X711&lt;&gt;"",X711,""),IF(AND(ISNUMBER(SEARCH("(5х",Q711)),N(AK711)=1),"5 жил на 1 фазе",""),IF(AND(AL711="R",E711&lt;&gt;"",N(AS711)=0),"розетка без 30 мА",""),IF(IFERROR(_xlfn.NUMBERVALUE(MID(Q711,FIND("-",Q711,FIND("L=",Q711))+1,FIND("%",Q711)-FIND("-",Q711,FIND("L=",Q711))-1),","),0)&gt;4,"потери &gt; 4 %","")))</f>
      </c>
      <c r="AF711" s="129">
        <f>IF(E711&lt;&gt;"",COUNTIFS($A$3:A711,A711,$E$3:E711,"?*"),IF(OR(A711&lt;&gt;A710,Y711="вручную"),"",AF710))</f>
        <v/>
      </c>
      <c r="AG711" s="129">
        <f t="shared" si="473"/>
        <v/>
      </c>
      <c r="AH711" s="129">
        <f t="shared" si="474"/>
        <v/>
      </c>
      <c r="AI711" s="129">
        <f t="shared" si="475"/>
        <v/>
      </c>
      <c r="AJ711" s="129">
        <f t="shared" si="476"/>
        <v/>
      </c>
      <c r="AK711" s="129">
        <f t="shared" si="477"/>
        <v/>
      </c>
      <c r="AL711" s="129">
        <f t="shared" si="478"/>
        <v/>
      </c>
      <c r="AM711" s="129">
        <f t="shared" si="479"/>
      </c>
      <c r="AN711" s="129">
        <f t="shared" si="480"/>
      </c>
      <c r="AO711" s="129">
        <f t="shared" si="481"/>
        <v/>
      </c>
      <c r="AP711" s="129">
        <f t="shared" si="482"/>
        <v/>
      </c>
      <c r="AQ711" s="129">
        <f t="shared" si="483"/>
        <v/>
      </c>
      <c r="AR711" s="129">
        <f t="shared" si="484"/>
        <v/>
      </c>
      <c r="AS711" s="129">
        <f t="shared" si="485"/>
        <v/>
      </c>
      <c r="AT711" s="129">
        <f t="shared" si="486"/>
        <v/>
      </c>
      <c r="AU711" s="129">
        <f t="shared" si="487"/>
        <v/>
      </c>
      <c r="AV711" s="129">
        <f t="shared" si="488"/>
        <v/>
      </c>
      <c r="AW711" s="129">
        <f>IF(AV711="","",AV711&amp;"."&amp;COUNTIFS($A$3:A711,A711,$AV$3:AV711,AV711))</f>
        <v/>
      </c>
      <c r="AX711" s="129">
        <f t="shared" si="489"/>
        <v/>
      </c>
      <c r="AY711" s="129">
        <f>IF(N711="б/к",0,IF(OR(ISNUMBER(SEARCH("L=",Разбивка_по_щитам!P711)),N711="+",N711="="),1,0))</f>
      </c>
      <c r="AZ711" s="129">
        <f t="shared" si="490"/>
        <v/>
      </c>
      <c r="BA711" s="129">
        <f t="shared" si="491"/>
      </c>
      <c r="BB711" s="129">
        <f t="shared" si="492"/>
      </c>
      <c r="BD711" s="129">
        <f t="shared" si="493"/>
      </c>
      <c r="BE711" s="129">
        <f t="shared" si="494"/>
      </c>
      <c r="BF711" s="129">
        <f t="shared" si="495"/>
      </c>
      <c r="BG711" s="129">
        <f t="shared" si="496"/>
        <v/>
      </c>
      <c r="BH711" s="129">
        <f t="shared" si="497"/>
        <v/>
      </c>
      <c r="BI711" s="129">
        <f t="shared" si="498"/>
        <v/>
      </c>
      <c r="BJ711" s="129">
        <f t="shared" si="499"/>
        <v/>
      </c>
      <c r="BK711" s="129">
        <f>IF(R711="","",IF(OR(BY711="",BY711=0),"BOX",IFERROR(IF(VLOOKUP(BY711,УГО_блоки,3,FALSE)&amp;""&lt;&gt;"",VLOOKUP(BY711,УГО_блоки,3,FALSE),VLOOKUP(BY711,УГО_блоки,2,FALSE)),BY711)))</f>
      </c>
      <c r="BL711" s="129">
        <f t="shared" si="501"/>
      </c>
      <c r="BM711" s="129">
        <f>IF(H711="","",IF(COUNTIF($H$3:H711,H711)=1,MAX($BM$2:BM710)+1,""))</f>
      </c>
      <c r="BN711" s="129">
        <f>IF(I711="","",IF(COUNTIF($I$3:I711,I711)+COUNTIF($J$2:J710,I711)+COUNTIF($K$2:K710,I711)=1,MAX($BN$2:BP710)+1,""))</f>
      </c>
      <c r="BO711" s="129">
        <f>IF(J711="","",IF(COUNTIF($I$3:I711,J711)+COUNTIF($J$3:J711,J711)+COUNTIF($K$2:K710,J711)=1,MAX($BN$2:BP710,BN711)+1,""))</f>
      </c>
      <c r="BP711" s="129">
        <f>IF(K711="","",IF(COUNTIF($I$3:I711,K711)+COUNTIF($J$3:J711,K711)+COUNTIF($K$3:K711,K711)=1,MAX($BN$2:BP710,BN711,BO711)+1,""))</f>
      </c>
      <c r="BQ711" s="129">
        <f>IF(AY711=1,IFERROR(MID(Q711,FIND(" (",Q711)+2,FIND(")",Q711,FIND(" (",Q711))-FIND(" (",Q711)-2),"?"),"")</f>
      </c>
      <c r="BR711" s="129">
        <f>IF(BQ711="","",IF(COUNTIF($BQ$3:BQ711,BQ711)=1,MAX($BR$2:BR710)+1,""))</f>
      </c>
      <c r="BS711" s="129">
        <f>IF(AW711="","",COUNTIF($AW$3:AW711,"?*"))</f>
      </c>
      <c r="BT711" s="129">
        <f>IF(OR(AW711="",AI711=""),"",IF(COUNTIFS($AW$3:AW711,"?*",$AI$3:AI711,AI711)=1,MAX($BT$2:BT710)+1,""))</f>
      </c>
      <c r="BU711" s="129">
        <f>IF(AE711="",0,IF(OR(ISNUMBER(SEARCH("дубль",AE711)),ISNUMBER(SEARCH("ПЕРЕГРУЗ",AE711)),ISNUMBER(SEARCH("ЗАЩИЩ",AE711)),ISNUMBER(SEARCH("КАНАЛ",AE711)),ISNUMBER(SEARCH("без 30",AE711))),2,1))</f>
      </c>
      <c r="BV711" s="129">
        <f>IF(R711="","",COUNTIF($R$3:R711,"?*"))</f>
      </c>
      <c r="BW711" s="129">
        <f>IF(AY711&lt;&gt;1,0,IF(MAX(IFERROR(--VLOOKUP(R711,УГО_спр,5,FALSE),0),IFERROR(--VLOOKUP(AL711,УГО_спр,5,FALSE),0),IFERROR(--VLOOKUP(LEFT(AL711,2),УГО_спр,5,FALSE),0))&gt;0,MAX(IFERROR(--VLOOKUP(R711,УГО_спр,5,FALSE),0),IFERROR(--VLOOKUP(AL711,УГО_спр,5,FALSE),0),IFERROR(--VLOOKUP(LEFT(AL711,2),УГО_спр,5,FALSE),0)),IF(IFERROR(--LEFT(SUBSTITUTE(BQ711,"x","х"),FIND("х",SUBSTITUTE(BQ711,"x","х"))-1),3)&gt;3,Каталог!$S$9,1)))</f>
      </c>
      <c r="BX711" s="129">
        <f>IF(AY711&lt;&gt;1,0,MAX(0,IFERROR(--LEFT(SUBSTITUTE(BQ711,"x","х"),FIND("х",SUBSTITUTE(BQ711,"x","х"))-1),3)-3*BW711))</f>
      </c>
      <c r="BY711" s="129">
        <f>IF(R711="","",IFERROR(VLOOKUP(R711,УГО_спр,2,FALSE),IFERROR(VLOOKUP(AL711,УГО_спр,2,FALSE),IFERROR(VLOOKUP(LEFT(AL711,2),УГО_спр,2,FALSE),""))))</f>
      </c>
    </row>
    <row r="712" spans="1:64" x14ac:dyDescent="0.3">
      <c r="A712" s="135">
        <f>IF(Разбивка_по_щитам!F712=0,"",Разбивка_по_щитам!F712)</f>
        <v/>
      </c>
      <c r="B712" s="138">
        <f>IF(A712="","",Разбивка_по_щитам!C712)</f>
        <v/>
      </c>
      <c r="C712" s="138">
        <f t="shared" si="462"/>
        <v/>
      </c>
      <c r="D712" s="266"/>
      <c r="E712" s="266"/>
      <c r="F712" s="267"/>
      <c r="G712" s="145">
        <f t="shared" si="463"/>
        <v/>
      </c>
      <c r="H712" s="145">
        <f t="shared" si="464"/>
        <v/>
      </c>
      <c r="I712" s="266"/>
      <c r="J712" s="267"/>
      <c r="K712" s="267"/>
      <c r="L712" s="266"/>
      <c r="M712" s="147">
        <f t="shared" si="465"/>
        <v/>
      </c>
      <c r="N712" s="267"/>
      <c r="O712" s="147">
        <f t="shared" si="466"/>
        <v/>
      </c>
      <c r="P712" s="268">
        <f>IF(AY712=1,"XT"&amp;COUNTIFS($A$3:A712,A712,$AY$3:AY712,1),"")</f>
        <v/>
      </c>
      <c r="Q712" s="152">
        <f>IF(R712="","",IFERROR(SUBSTITUTE(Разбивка_по_щитам!P712,CHAR(10)," "),""))</f>
        <v/>
      </c>
      <c r="R712" s="153">
        <f>IF(OR(Разбивка_по_щитам!H712="",Разбивка_по_щитам!H712=0),"",Разбивка_по_щитам!H712)</f>
        <v/>
      </c>
      <c r="S712" s="154">
        <f>IF(R712="","",IFERROR(Разбивка_по_щитам!J712&amp;"",""))</f>
        <v/>
      </c>
      <c r="T712" s="155">
        <f>IF(R712="","",IFERROR(--Разбивка_по_щитам!L712,""))</f>
        <v/>
      </c>
      <c r="U712" s="155">
        <f>IF(R712="","",IFERROR(--Разбивка_по_щитам!K712,""))</f>
        <v/>
      </c>
      <c r="V712" s="138">
        <f>IF(R712="","",IFERROR(IF(Разбивка_по_щитам!M712=0,"",Разбивка_по_щитам!M712),""))</f>
        <v/>
      </c>
      <c r="W712" s="156">
        <f t="shared" si="467"/>
        <v/>
      </c>
      <c r="X712" s="157">
        <f t="shared" si="468"/>
        <v/>
      </c>
      <c r="Y712" s="266"/>
      <c r="Z712" s="158">
        <f t="shared" si="469"/>
        <v/>
      </c>
      <c r="AA712" s="160">
        <f t="shared" si="470"/>
        <v/>
      </c>
      <c r="AB712" s="160">
        <f>IF(R712="","",IFERROR(LOOKUP(INDEX(Справочная!$I$4:$I$19,MATCH(VLOOKUP(R712,Исходные_данные,22,FALSE),Справочная!$J$4:$J$19,0)+1),{6,10,16,20,25,32,40,50,63,80,100,125}),""))</f>
        <v/>
      </c>
      <c r="AC712" s="160">
        <f t="shared" si="471"/>
        <v/>
      </c>
      <c r="AD712" s="161">
        <f t="shared" si="472"/>
        <v/>
      </c>
      <c r="AE712" s="161">
        <f>IF(AND(R712="",G712=""),"",_xlfn.TEXTJOIN("; ",TRUE,IF(AND(R712&lt;&gt;"",V712=""),"нет фазы",""),IF(AND(R712&lt;&gt;"",N(T712)=0),"нет мощности",""),IF(AND(P712&lt;&gt;"",COUNTIFS($A$3:$A$1000,A712,$P$3:$P$1000,P712)&gt;1),"дубль клеммы "&amp;P712,""),IF(AND(W712&lt;&gt;"",W712&lt;&gt;"ok"),W712,""),IF(X712&lt;&gt;"",X712,""),IF(AND(ISNUMBER(SEARCH("(5х",Q712)),N(AK712)=1),"5 жил на 1 фазе",""),IF(AND(AL712="R",E712&lt;&gt;"",N(AS712)=0),"розетка без 30 мА",""),IF(IFERROR(_xlfn.NUMBERVALUE(MID(Q712,FIND("-",Q712,FIND("L=",Q712))+1,FIND("%",Q712)-FIND("-",Q712,FIND("L=",Q712))-1),","),0)&gt;4,"потери &gt; 4 %","")))</f>
      </c>
      <c r="AF712" s="129">
        <f>IF(E712&lt;&gt;"",COUNTIFS($A$3:A712,A712,$E$3:E712,"?*"),IF(OR(A712&lt;&gt;A711,Y712="вручную"),"",AF711))</f>
        <v/>
      </c>
      <c r="AG712" s="129">
        <f t="shared" si="473"/>
        <v/>
      </c>
      <c r="AH712" s="129">
        <f t="shared" si="474"/>
        <v/>
      </c>
      <c r="AI712" s="129">
        <f t="shared" si="475"/>
        <v/>
      </c>
      <c r="AJ712" s="129">
        <f t="shared" si="476"/>
        <v/>
      </c>
      <c r="AK712" s="129">
        <f t="shared" si="477"/>
        <v/>
      </c>
      <c r="AL712" s="129">
        <f t="shared" si="478"/>
        <v/>
      </c>
      <c r="AM712" s="129">
        <f t="shared" si="479"/>
      </c>
      <c r="AN712" s="129">
        <f t="shared" si="480"/>
      </c>
      <c r="AO712" s="129">
        <f t="shared" si="481"/>
        <v/>
      </c>
      <c r="AP712" s="129">
        <f t="shared" si="482"/>
        <v/>
      </c>
      <c r="AQ712" s="129">
        <f t="shared" si="483"/>
        <v/>
      </c>
      <c r="AR712" s="129">
        <f t="shared" si="484"/>
        <v/>
      </c>
      <c r="AS712" s="129">
        <f t="shared" si="485"/>
        <v/>
      </c>
      <c r="AT712" s="129">
        <f t="shared" si="486"/>
        <v/>
      </c>
      <c r="AU712" s="129">
        <f t="shared" si="487"/>
        <v/>
      </c>
      <c r="AV712" s="129">
        <f t="shared" si="488"/>
        <v/>
      </c>
      <c r="AW712" s="129">
        <f>IF(AV712="","",AV712&amp;"."&amp;COUNTIFS($A$3:A712,A712,$AV$3:AV712,AV712))</f>
        <v/>
      </c>
      <c r="AX712" s="129">
        <f t="shared" si="489"/>
        <v/>
      </c>
      <c r="AY712" s="129">
        <f>IF(N712="б/к",0,IF(OR(ISNUMBER(SEARCH("L=",Разбивка_по_щитам!P712)),N712="+",N712="="),1,0))</f>
      </c>
      <c r="AZ712" s="129">
        <f t="shared" si="490"/>
        <v/>
      </c>
      <c r="BA712" s="129">
        <f t="shared" si="491"/>
      </c>
      <c r="BB712" s="129">
        <f t="shared" si="492"/>
      </c>
      <c r="BD712" s="129">
        <f t="shared" si="493"/>
      </c>
      <c r="BE712" s="129">
        <f t="shared" si="494"/>
      </c>
      <c r="BF712" s="129">
        <f t="shared" si="495"/>
      </c>
      <c r="BG712" s="129">
        <f t="shared" si="496"/>
        <v/>
      </c>
      <c r="BH712" s="129">
        <f t="shared" si="497"/>
        <v/>
      </c>
      <c r="BI712" s="129">
        <f t="shared" si="498"/>
        <v/>
      </c>
      <c r="BJ712" s="129">
        <f t="shared" si="499"/>
        <v/>
      </c>
      <c r="BK712" s="129">
        <f>IF(R712="","",IF(OR(BY712="",BY712=0),"BOX",IFERROR(IF(VLOOKUP(BY712,УГО_блоки,3,FALSE)&amp;""&lt;&gt;"",VLOOKUP(BY712,УГО_блоки,3,FALSE),VLOOKUP(BY712,УГО_блоки,2,FALSE)),BY712)))</f>
      </c>
      <c r="BL712" s="129">
        <f t="shared" si="501"/>
      </c>
      <c r="BM712" s="129">
        <f>IF(H712="","",IF(COUNTIF($H$3:H712,H712)=1,MAX($BM$2:BM711)+1,""))</f>
      </c>
      <c r="BN712" s="129">
        <f>IF(I712="","",IF(COUNTIF($I$3:I712,I712)+COUNTIF($J$2:J711,I712)+COUNTIF($K$2:K711,I712)=1,MAX($BN$2:BP711)+1,""))</f>
      </c>
      <c r="BO712" s="129">
        <f>IF(J712="","",IF(COUNTIF($I$3:I712,J712)+COUNTIF($J$3:J712,J712)+COUNTIF($K$2:K711,J712)=1,MAX($BN$2:BP711,BN712)+1,""))</f>
      </c>
      <c r="BP712" s="129">
        <f>IF(K712="","",IF(COUNTIF($I$3:I712,K712)+COUNTIF($J$3:J712,K712)+COUNTIF($K$3:K712,K712)=1,MAX($BN$2:BP711,BN712,BO712)+1,""))</f>
      </c>
      <c r="BQ712" s="129">
        <f>IF(AY712=1,IFERROR(MID(Q712,FIND(" (",Q712)+2,FIND(")",Q712,FIND(" (",Q712))-FIND(" (",Q712)-2),"?"),"")</f>
      </c>
      <c r="BR712" s="129">
        <f>IF(BQ712="","",IF(COUNTIF($BQ$3:BQ712,BQ712)=1,MAX($BR$2:BR711)+1,""))</f>
      </c>
      <c r="BS712" s="129">
        <f>IF(AW712="","",COUNTIF($AW$3:AW712,"?*"))</f>
      </c>
      <c r="BT712" s="129">
        <f>IF(OR(AW712="",AI712=""),"",IF(COUNTIFS($AW$3:AW712,"?*",$AI$3:AI712,AI712)=1,MAX($BT$2:BT711)+1,""))</f>
      </c>
      <c r="BU712" s="129">
        <f>IF(AE712="",0,IF(OR(ISNUMBER(SEARCH("дубль",AE712)),ISNUMBER(SEARCH("ПЕРЕГРУЗ",AE712)),ISNUMBER(SEARCH("ЗАЩИЩ",AE712)),ISNUMBER(SEARCH("КАНАЛ",AE712)),ISNUMBER(SEARCH("без 30",AE712))),2,1))</f>
      </c>
      <c r="BV712" s="129">
        <f>IF(R712="","",COUNTIF($R$3:R712,"?*"))</f>
      </c>
      <c r="BW712" s="129">
        <f>IF(AY712&lt;&gt;1,0,IF(MAX(IFERROR(--VLOOKUP(R712,УГО_спр,5,FALSE),0),IFERROR(--VLOOKUP(AL712,УГО_спр,5,FALSE),0),IFERROR(--VLOOKUP(LEFT(AL712,2),УГО_спр,5,FALSE),0))&gt;0,MAX(IFERROR(--VLOOKUP(R712,УГО_спр,5,FALSE),0),IFERROR(--VLOOKUP(AL712,УГО_спр,5,FALSE),0),IFERROR(--VLOOKUP(LEFT(AL712,2),УГО_спр,5,FALSE),0)),IF(IFERROR(--LEFT(SUBSTITUTE(BQ712,"x","х"),FIND("х",SUBSTITUTE(BQ712,"x","х"))-1),3)&gt;3,Каталог!$S$9,1)))</f>
      </c>
      <c r="BX712" s="129">
        <f>IF(AY712&lt;&gt;1,0,MAX(0,IFERROR(--LEFT(SUBSTITUTE(BQ712,"x","х"),FIND("х",SUBSTITUTE(BQ712,"x","х"))-1),3)-3*BW712))</f>
      </c>
      <c r="BY712" s="129">
        <f>IF(R712="","",IFERROR(VLOOKUP(R712,УГО_спр,2,FALSE),IFERROR(VLOOKUP(AL712,УГО_спр,2,FALSE),IFERROR(VLOOKUP(LEFT(AL712,2),УГО_спр,2,FALSE),""))))</f>
      </c>
    </row>
    <row r="713" spans="1:64" x14ac:dyDescent="0.3">
      <c r="A713" s="135">
        <f>IF(Разбивка_по_щитам!F713=0,"",Разбивка_по_щитам!F713)</f>
        <v/>
      </c>
      <c r="B713" s="138">
        <f>IF(A713="","",Разбивка_по_щитам!C713)</f>
        <v/>
      </c>
      <c r="C713" s="138">
        <f t="shared" si="462"/>
        <v/>
      </c>
      <c r="D713" s="266"/>
      <c r="E713" s="266"/>
      <c r="F713" s="267"/>
      <c r="G713" s="145">
        <f t="shared" si="463"/>
        <v/>
      </c>
      <c r="H713" s="145">
        <f t="shared" si="464"/>
        <v/>
      </c>
      <c r="I713" s="266"/>
      <c r="J713" s="267"/>
      <c r="K713" s="267"/>
      <c r="L713" s="266"/>
      <c r="M713" s="147">
        <f t="shared" si="465"/>
        <v/>
      </c>
      <c r="N713" s="267"/>
      <c r="O713" s="147">
        <f t="shared" si="466"/>
        <v/>
      </c>
      <c r="P713" s="268">
        <f>IF(AY713=1,"XT"&amp;COUNTIFS($A$3:A713,A713,$AY$3:AY713,1),"")</f>
        <v/>
      </c>
      <c r="Q713" s="152">
        <f>IF(R713="","",IFERROR(SUBSTITUTE(Разбивка_по_щитам!P713,CHAR(10)," "),""))</f>
        <v/>
      </c>
      <c r="R713" s="153">
        <f>IF(OR(Разбивка_по_щитам!H713="",Разбивка_по_щитам!H713=0),"",Разбивка_по_щитам!H713)</f>
        <v/>
      </c>
      <c r="S713" s="154">
        <f>IF(R713="","",IFERROR(Разбивка_по_щитам!J713&amp;"",""))</f>
        <v/>
      </c>
      <c r="T713" s="155">
        <f>IF(R713="","",IFERROR(--Разбивка_по_щитам!L713,""))</f>
        <v/>
      </c>
      <c r="U713" s="155">
        <f>IF(R713="","",IFERROR(--Разбивка_по_щитам!K713,""))</f>
        <v/>
      </c>
      <c r="V713" s="138">
        <f>IF(R713="","",IFERROR(IF(Разбивка_по_щитам!M713=0,"",Разбивка_по_щитам!M713),""))</f>
        <v/>
      </c>
      <c r="W713" s="156">
        <f t="shared" si="467"/>
        <v/>
      </c>
      <c r="X713" s="157">
        <f t="shared" si="468"/>
        <v/>
      </c>
      <c r="Y713" s="266"/>
      <c r="Z713" s="158">
        <f t="shared" si="469"/>
        <v/>
      </c>
      <c r="AA713" s="160">
        <f t="shared" si="470"/>
        <v/>
      </c>
      <c r="AB713" s="160">
        <f>IF(R713="","",IFERROR(LOOKUP(INDEX(Справочная!$I$4:$I$19,MATCH(VLOOKUP(R713,Исходные_данные,22,FALSE),Справочная!$J$4:$J$19,0)+1),{6,10,16,20,25,32,40,50,63,80,100,125}),""))</f>
        <v/>
      </c>
      <c r="AC713" s="160">
        <f t="shared" si="471"/>
        <v/>
      </c>
      <c r="AD713" s="161">
        <f t="shared" si="472"/>
        <v/>
      </c>
      <c r="AE713" s="161">
        <f>IF(AND(R713="",G713=""),"",_xlfn.TEXTJOIN("; ",TRUE,IF(AND(R713&lt;&gt;"",V713=""),"нет фазы",""),IF(AND(R713&lt;&gt;"",N(T713)=0),"нет мощности",""),IF(AND(P713&lt;&gt;"",COUNTIFS($A$3:$A$1000,A713,$P$3:$P$1000,P713)&gt;1),"дубль клеммы "&amp;P713,""),IF(AND(W713&lt;&gt;"",W713&lt;&gt;"ok"),W713,""),IF(X713&lt;&gt;"",X713,""),IF(AND(ISNUMBER(SEARCH("(5х",Q713)),N(AK713)=1),"5 жил на 1 фазе",""),IF(AND(AL713="R",E713&lt;&gt;"",N(AS713)=0),"розетка без 30 мА",""),IF(IFERROR(_xlfn.NUMBERVALUE(MID(Q713,FIND("-",Q713,FIND("L=",Q713))+1,FIND("%",Q713)-FIND("-",Q713,FIND("L=",Q713))-1),","),0)&gt;4,"потери &gt; 4 %","")))</f>
      </c>
      <c r="AF713" s="129">
        <f>IF(E713&lt;&gt;"",COUNTIFS($A$3:A713,A713,$E$3:E713,"?*"),IF(OR(A713&lt;&gt;A712,Y713="вручную"),"",AF712))</f>
        <v/>
      </c>
      <c r="AG713" s="129">
        <f t="shared" si="473"/>
        <v/>
      </c>
      <c r="AH713" s="129">
        <f t="shared" si="474"/>
        <v/>
      </c>
      <c r="AI713" s="129">
        <f t="shared" si="475"/>
        <v/>
      </c>
      <c r="AJ713" s="129">
        <f t="shared" si="476"/>
        <v/>
      </c>
      <c r="AK713" s="129">
        <f t="shared" si="477"/>
        <v/>
      </c>
      <c r="AL713" s="129">
        <f t="shared" si="478"/>
        <v/>
      </c>
      <c r="AM713" s="129">
        <f t="shared" si="479"/>
      </c>
      <c r="AN713" s="129">
        <f t="shared" si="480"/>
      </c>
      <c r="AO713" s="129">
        <f t="shared" si="481"/>
        <v/>
      </c>
      <c r="AP713" s="129">
        <f t="shared" si="482"/>
        <v/>
      </c>
      <c r="AQ713" s="129">
        <f t="shared" si="483"/>
        <v/>
      </c>
      <c r="AR713" s="129">
        <f t="shared" si="484"/>
        <v/>
      </c>
      <c r="AS713" s="129">
        <f t="shared" si="485"/>
        <v/>
      </c>
      <c r="AT713" s="129">
        <f t="shared" si="486"/>
        <v/>
      </c>
      <c r="AU713" s="129">
        <f t="shared" si="487"/>
        <v/>
      </c>
      <c r="AV713" s="129">
        <f t="shared" si="488"/>
        <v/>
      </c>
      <c r="AW713" s="129">
        <f>IF(AV713="","",AV713&amp;"."&amp;COUNTIFS($A$3:A713,A713,$AV$3:AV713,AV713))</f>
        <v/>
      </c>
      <c r="AX713" s="129">
        <f t="shared" si="489"/>
        <v/>
      </c>
      <c r="AY713" s="129">
        <f>IF(N713="б/к",0,IF(OR(ISNUMBER(SEARCH("L=",Разбивка_по_щитам!P713)),N713="+",N713="="),1,0))</f>
      </c>
      <c r="AZ713" s="129">
        <f t="shared" si="490"/>
        <v/>
      </c>
      <c r="BA713" s="129">
        <f t="shared" si="491"/>
      </c>
      <c r="BB713" s="129">
        <f t="shared" si="492"/>
      </c>
      <c r="BD713" s="129">
        <f t="shared" si="493"/>
      </c>
      <c r="BE713" s="129">
        <f t="shared" si="494"/>
      </c>
      <c r="BF713" s="129">
        <f t="shared" si="495"/>
      </c>
      <c r="BG713" s="129">
        <f t="shared" si="496"/>
        <v/>
      </c>
      <c r="BH713" s="129">
        <f t="shared" si="497"/>
        <v/>
      </c>
      <c r="BI713" s="129">
        <f t="shared" si="498"/>
        <v/>
      </c>
      <c r="BJ713" s="129">
        <f t="shared" si="499"/>
        <v/>
      </c>
      <c r="BK713" s="129">
        <f>IF(R713="","",IF(OR(BY713="",BY713=0),"BOX",IFERROR(IF(VLOOKUP(BY713,УГО_блоки,3,FALSE)&amp;""&lt;&gt;"",VLOOKUP(BY713,УГО_блоки,3,FALSE),VLOOKUP(BY713,УГО_блоки,2,FALSE)),BY713)))</f>
      </c>
      <c r="BL713" s="129">
        <f t="shared" si="501"/>
      </c>
      <c r="BM713" s="129">
        <f>IF(H713="","",IF(COUNTIF($H$3:H713,H713)=1,MAX($BM$2:BM712)+1,""))</f>
      </c>
      <c r="BN713" s="129">
        <f>IF(I713="","",IF(COUNTIF($I$3:I713,I713)+COUNTIF($J$2:J712,I713)+COUNTIF($K$2:K712,I713)=1,MAX($BN$2:BP712)+1,""))</f>
      </c>
      <c r="BO713" s="129">
        <f>IF(J713="","",IF(COUNTIF($I$3:I713,J713)+COUNTIF($J$3:J713,J713)+COUNTIF($K$2:K712,J713)=1,MAX($BN$2:BP712,BN713)+1,""))</f>
      </c>
      <c r="BP713" s="129">
        <f>IF(K713="","",IF(COUNTIF($I$3:I713,K713)+COUNTIF($J$3:J713,K713)+COUNTIF($K$3:K713,K713)=1,MAX($BN$2:BP712,BN713,BO713)+1,""))</f>
      </c>
      <c r="BQ713" s="129">
        <f>IF(AY713=1,IFERROR(MID(Q713,FIND(" (",Q713)+2,FIND(")",Q713,FIND(" (",Q713))-FIND(" (",Q713)-2),"?"),"")</f>
      </c>
      <c r="BR713" s="129">
        <f>IF(BQ713="","",IF(COUNTIF($BQ$3:BQ713,BQ713)=1,MAX($BR$2:BR712)+1,""))</f>
      </c>
      <c r="BS713" s="129">
        <f>IF(AW713="","",COUNTIF($AW$3:AW713,"?*"))</f>
      </c>
      <c r="BT713" s="129">
        <f>IF(OR(AW713="",AI713=""),"",IF(COUNTIFS($AW$3:AW713,"?*",$AI$3:AI713,AI713)=1,MAX($BT$2:BT712)+1,""))</f>
      </c>
      <c r="BU713" s="129">
        <f>IF(AE713="",0,IF(OR(ISNUMBER(SEARCH("дубль",AE713)),ISNUMBER(SEARCH("ПЕРЕГРУЗ",AE713)),ISNUMBER(SEARCH("ЗАЩИЩ",AE713)),ISNUMBER(SEARCH("КАНАЛ",AE713)),ISNUMBER(SEARCH("без 30",AE713))),2,1))</f>
      </c>
      <c r="BV713" s="129">
        <f>IF(R713="","",COUNTIF($R$3:R713,"?*"))</f>
      </c>
      <c r="BW713" s="129">
        <f>IF(AY713&lt;&gt;1,0,IF(MAX(IFERROR(--VLOOKUP(R713,УГО_спр,5,FALSE),0),IFERROR(--VLOOKUP(AL713,УГО_спр,5,FALSE),0),IFERROR(--VLOOKUP(LEFT(AL713,2),УГО_спр,5,FALSE),0))&gt;0,MAX(IFERROR(--VLOOKUP(R713,УГО_спр,5,FALSE),0),IFERROR(--VLOOKUP(AL713,УГО_спр,5,FALSE),0),IFERROR(--VLOOKUP(LEFT(AL713,2),УГО_спр,5,FALSE),0)),IF(IFERROR(--LEFT(SUBSTITUTE(BQ713,"x","х"),FIND("х",SUBSTITUTE(BQ713,"x","х"))-1),3)&gt;3,Каталог!$S$9,1)))</f>
      </c>
      <c r="BX713" s="129">
        <f>IF(AY713&lt;&gt;1,0,MAX(0,IFERROR(--LEFT(SUBSTITUTE(BQ713,"x","х"),FIND("х",SUBSTITUTE(BQ713,"x","х"))-1),3)-3*BW713))</f>
      </c>
      <c r="BY713" s="129">
        <f>IF(R713="","",IFERROR(VLOOKUP(R713,УГО_спр,2,FALSE),IFERROR(VLOOKUP(AL713,УГО_спр,2,FALSE),IFERROR(VLOOKUP(LEFT(AL713,2),УГО_спр,2,FALSE),""))))</f>
      </c>
    </row>
    <row r="714" spans="1:64" x14ac:dyDescent="0.3">
      <c r="A714" s="135">
        <f>IF(Разбивка_по_щитам!F714=0,"",Разбивка_по_щитам!F714)</f>
        <v/>
      </c>
      <c r="B714" s="138">
        <f>IF(A714="","",Разбивка_по_щитам!C714)</f>
        <v/>
      </c>
      <c r="C714" s="138">
        <f t="shared" si="462"/>
        <v/>
      </c>
      <c r="D714" s="266"/>
      <c r="E714" s="266"/>
      <c r="F714" s="267"/>
      <c r="G714" s="145">
        <f t="shared" si="463"/>
        <v/>
      </c>
      <c r="H714" s="145">
        <f t="shared" si="464"/>
        <v/>
      </c>
      <c r="I714" s="266"/>
      <c r="J714" s="267"/>
      <c r="K714" s="267"/>
      <c r="L714" s="266"/>
      <c r="M714" s="147">
        <f t="shared" si="465"/>
        <v/>
      </c>
      <c r="N714" s="267"/>
      <c r="O714" s="147">
        <f t="shared" si="466"/>
        <v/>
      </c>
      <c r="P714" s="268">
        <f>IF(AY714=1,"XT"&amp;COUNTIFS($A$3:A714,A714,$AY$3:AY714,1),"")</f>
        <v/>
      </c>
      <c r="Q714" s="152">
        <f>IF(R714="","",IFERROR(SUBSTITUTE(Разбивка_по_щитам!P714,CHAR(10)," "),""))</f>
        <v/>
      </c>
      <c r="R714" s="153">
        <f>IF(OR(Разбивка_по_щитам!H714="",Разбивка_по_щитам!H714=0),"",Разбивка_по_щитам!H714)</f>
        <v/>
      </c>
      <c r="S714" s="154">
        <f>IF(R714="","",IFERROR(Разбивка_по_щитам!J714&amp;"",""))</f>
        <v/>
      </c>
      <c r="T714" s="155">
        <f>IF(R714="","",IFERROR(--Разбивка_по_щитам!L714,""))</f>
        <v/>
      </c>
      <c r="U714" s="155">
        <f>IF(R714="","",IFERROR(--Разбивка_по_щитам!K714,""))</f>
        <v/>
      </c>
      <c r="V714" s="138">
        <f>IF(R714="","",IFERROR(IF(Разбивка_по_щитам!M714=0,"",Разбивка_по_щитам!M714),""))</f>
        <v/>
      </c>
      <c r="W714" s="156">
        <f t="shared" si="467"/>
        <v/>
      </c>
      <c r="X714" s="157">
        <f t="shared" si="468"/>
        <v/>
      </c>
      <c r="Y714" s="266"/>
      <c r="Z714" s="158">
        <f t="shared" si="469"/>
        <v/>
      </c>
      <c r="AA714" s="160">
        <f t="shared" si="470"/>
        <v/>
      </c>
      <c r="AB714" s="160">
        <f>IF(R714="","",IFERROR(LOOKUP(INDEX(Справочная!$I$4:$I$19,MATCH(VLOOKUP(R714,Исходные_данные,22,FALSE),Справочная!$J$4:$J$19,0)+1),{6,10,16,20,25,32,40,50,63,80,100,125}),""))</f>
        <v/>
      </c>
      <c r="AC714" s="160">
        <f t="shared" si="471"/>
        <v/>
      </c>
      <c r="AD714" s="161">
        <f t="shared" si="472"/>
        <v/>
      </c>
      <c r="AE714" s="161">
        <f>IF(AND(R714="",G714=""),"",_xlfn.TEXTJOIN("; ",TRUE,IF(AND(R714&lt;&gt;"",V714=""),"нет фазы",""),IF(AND(R714&lt;&gt;"",N(T714)=0),"нет мощности",""),IF(AND(P714&lt;&gt;"",COUNTIFS($A$3:$A$1000,A714,$P$3:$P$1000,P714)&gt;1),"дубль клеммы "&amp;P714,""),IF(AND(W714&lt;&gt;"",W714&lt;&gt;"ok"),W714,""),IF(X714&lt;&gt;"",X714,""),IF(AND(ISNUMBER(SEARCH("(5х",Q714)),N(AK714)=1),"5 жил на 1 фазе",""),IF(AND(AL714="R",E714&lt;&gt;"",N(AS714)=0),"розетка без 30 мА",""),IF(IFERROR(_xlfn.NUMBERVALUE(MID(Q714,FIND("-",Q714,FIND("L=",Q714))+1,FIND("%",Q714)-FIND("-",Q714,FIND("L=",Q714))-1),","),0)&gt;4,"потери &gt; 4 %","")))</f>
      </c>
      <c r="AF714" s="129">
        <f>IF(E714&lt;&gt;"",COUNTIFS($A$3:A714,A714,$E$3:E714,"?*"),IF(OR(A714&lt;&gt;A713,Y714="вручную"),"",AF713))</f>
        <v/>
      </c>
      <c r="AG714" s="129">
        <f t="shared" si="473"/>
        <v/>
      </c>
      <c r="AH714" s="129">
        <f t="shared" si="474"/>
        <v/>
      </c>
      <c r="AI714" s="129">
        <f t="shared" si="475"/>
        <v/>
      </c>
      <c r="AJ714" s="129">
        <f t="shared" si="476"/>
        <v/>
      </c>
      <c r="AK714" s="129">
        <f t="shared" si="477"/>
        <v/>
      </c>
      <c r="AL714" s="129">
        <f t="shared" si="478"/>
        <v/>
      </c>
      <c r="AM714" s="129">
        <f t="shared" si="479"/>
      </c>
      <c r="AN714" s="129">
        <f t="shared" si="480"/>
      </c>
      <c r="AO714" s="129">
        <f t="shared" si="481"/>
        <v/>
      </c>
      <c r="AP714" s="129">
        <f t="shared" si="482"/>
        <v/>
      </c>
      <c r="AQ714" s="129">
        <f t="shared" si="483"/>
        <v/>
      </c>
      <c r="AR714" s="129">
        <f t="shared" si="484"/>
        <v/>
      </c>
      <c r="AS714" s="129">
        <f t="shared" si="485"/>
        <v/>
      </c>
      <c r="AT714" s="129">
        <f t="shared" si="486"/>
        <v/>
      </c>
      <c r="AU714" s="129">
        <f t="shared" si="487"/>
        <v/>
      </c>
      <c r="AV714" s="129">
        <f t="shared" si="488"/>
        <v/>
      </c>
      <c r="AW714" s="129">
        <f>IF(AV714="","",AV714&amp;"."&amp;COUNTIFS($A$3:A714,A714,$AV$3:AV714,AV714))</f>
        <v/>
      </c>
      <c r="AX714" s="129">
        <f t="shared" si="489"/>
        <v/>
      </c>
      <c r="AY714" s="129">
        <f>IF(N714="б/к",0,IF(OR(ISNUMBER(SEARCH("L=",Разбивка_по_щитам!P714)),N714="+",N714="="),1,0))</f>
      </c>
      <c r="AZ714" s="129">
        <f t="shared" si="490"/>
        <v/>
      </c>
      <c r="BA714" s="129">
        <f t="shared" si="491"/>
      </c>
      <c r="BB714" s="129">
        <f t="shared" si="492"/>
      </c>
      <c r="BD714" s="129">
        <f t="shared" si="493"/>
      </c>
      <c r="BE714" s="129">
        <f t="shared" si="494"/>
      </c>
      <c r="BF714" s="129">
        <f t="shared" si="495"/>
      </c>
      <c r="BG714" s="129">
        <f t="shared" si="496"/>
        <v/>
      </c>
      <c r="BH714" s="129">
        <f t="shared" si="497"/>
        <v/>
      </c>
      <c r="BI714" s="129">
        <f t="shared" si="498"/>
        <v/>
      </c>
      <c r="BJ714" s="129">
        <f t="shared" si="499"/>
        <v/>
      </c>
      <c r="BK714" s="129">
        <f>IF(R714="","",IF(OR(BY714="",BY714=0),"BOX",IFERROR(IF(VLOOKUP(BY714,УГО_блоки,3,FALSE)&amp;""&lt;&gt;"",VLOOKUP(BY714,УГО_блоки,3,FALSE),VLOOKUP(BY714,УГО_блоки,2,FALSE)),BY714)))</f>
      </c>
      <c r="BL714" s="129">
        <f t="shared" si="501"/>
      </c>
      <c r="BM714" s="129">
        <f>IF(H714="","",IF(COUNTIF($H$3:H714,H714)=1,MAX($BM$2:BM713)+1,""))</f>
      </c>
      <c r="BN714" s="129">
        <f>IF(I714="","",IF(COUNTIF($I$3:I714,I714)+COUNTIF($J$2:J713,I714)+COUNTIF($K$2:K713,I714)=1,MAX($BN$2:BP713)+1,""))</f>
      </c>
      <c r="BO714" s="129">
        <f>IF(J714="","",IF(COUNTIF($I$3:I714,J714)+COUNTIF($J$3:J714,J714)+COUNTIF($K$2:K713,J714)=1,MAX($BN$2:BP713,BN714)+1,""))</f>
      </c>
      <c r="BP714" s="129">
        <f>IF(K714="","",IF(COUNTIF($I$3:I714,K714)+COUNTIF($J$3:J714,K714)+COUNTIF($K$3:K714,K714)=1,MAX($BN$2:BP713,BN714,BO714)+1,""))</f>
      </c>
      <c r="BQ714" s="129">
        <f>IF(AY714=1,IFERROR(MID(Q714,FIND(" (",Q714)+2,FIND(")",Q714,FIND(" (",Q714))-FIND(" (",Q714)-2),"?"),"")</f>
      </c>
      <c r="BR714" s="129">
        <f>IF(BQ714="","",IF(COUNTIF($BQ$3:BQ714,BQ714)=1,MAX($BR$2:BR713)+1,""))</f>
      </c>
      <c r="BS714" s="129">
        <f>IF(AW714="","",COUNTIF($AW$3:AW714,"?*"))</f>
      </c>
      <c r="BT714" s="129">
        <f>IF(OR(AW714="",AI714=""),"",IF(COUNTIFS($AW$3:AW714,"?*",$AI$3:AI714,AI714)=1,MAX($BT$2:BT713)+1,""))</f>
      </c>
      <c r="BU714" s="129">
        <f>IF(AE714="",0,IF(OR(ISNUMBER(SEARCH("дубль",AE714)),ISNUMBER(SEARCH("ПЕРЕГРУЗ",AE714)),ISNUMBER(SEARCH("ЗАЩИЩ",AE714)),ISNUMBER(SEARCH("КАНАЛ",AE714)),ISNUMBER(SEARCH("без 30",AE714))),2,1))</f>
      </c>
      <c r="BV714" s="129">
        <f>IF(R714="","",COUNTIF($R$3:R714,"?*"))</f>
      </c>
      <c r="BW714" s="129">
        <f>IF(AY714&lt;&gt;1,0,IF(MAX(IFERROR(--VLOOKUP(R714,УГО_спр,5,FALSE),0),IFERROR(--VLOOKUP(AL714,УГО_спр,5,FALSE),0),IFERROR(--VLOOKUP(LEFT(AL714,2),УГО_спр,5,FALSE),0))&gt;0,MAX(IFERROR(--VLOOKUP(R714,УГО_спр,5,FALSE),0),IFERROR(--VLOOKUP(AL714,УГО_спр,5,FALSE),0),IFERROR(--VLOOKUP(LEFT(AL714,2),УГО_спр,5,FALSE),0)),IF(IFERROR(--LEFT(SUBSTITUTE(BQ714,"x","х"),FIND("х",SUBSTITUTE(BQ714,"x","х"))-1),3)&gt;3,Каталог!$S$9,1)))</f>
      </c>
      <c r="BX714" s="129">
        <f>IF(AY714&lt;&gt;1,0,MAX(0,IFERROR(--LEFT(SUBSTITUTE(BQ714,"x","х"),FIND("х",SUBSTITUTE(BQ714,"x","х"))-1),3)-3*BW714))</f>
      </c>
      <c r="BY714" s="129">
        <f>IF(R714="","",IFERROR(VLOOKUP(R714,УГО_спр,2,FALSE),IFERROR(VLOOKUP(AL714,УГО_спр,2,FALSE),IFERROR(VLOOKUP(LEFT(AL714,2),УГО_спр,2,FALSE),""))))</f>
      </c>
    </row>
    <row r="715" spans="1:64" x14ac:dyDescent="0.3">
      <c r="A715" s="135">
        <f>IF(Разбивка_по_щитам!F715=0,"",Разбивка_по_щитам!F715)</f>
        <v/>
      </c>
      <c r="B715" s="138">
        <f>IF(A715="","",Разбивка_по_щитам!C715)</f>
        <v/>
      </c>
      <c r="C715" s="138">
        <f t="shared" si="462"/>
        <v/>
      </c>
      <c r="D715" s="266"/>
      <c r="E715" s="266"/>
      <c r="F715" s="267"/>
      <c r="G715" s="145">
        <f t="shared" si="463"/>
        <v/>
      </c>
      <c r="H715" s="145">
        <f t="shared" si="464"/>
        <v/>
      </c>
      <c r="I715" s="266"/>
      <c r="J715" s="267"/>
      <c r="K715" s="267"/>
      <c r="L715" s="266"/>
      <c r="M715" s="147">
        <f t="shared" si="465"/>
        <v/>
      </c>
      <c r="N715" s="267"/>
      <c r="O715" s="147">
        <f t="shared" si="466"/>
        <v/>
      </c>
      <c r="P715" s="268">
        <f>IF(AY715=1,"XT"&amp;COUNTIFS($A$3:A715,A715,$AY$3:AY715,1),"")</f>
        <v/>
      </c>
      <c r="Q715" s="152">
        <f>IF(R715="","",IFERROR(SUBSTITUTE(Разбивка_по_щитам!P715,CHAR(10)," "),""))</f>
        <v/>
      </c>
      <c r="R715" s="153">
        <f>IF(OR(Разбивка_по_щитам!H715="",Разбивка_по_щитам!H715=0),"",Разбивка_по_щитам!H715)</f>
        <v/>
      </c>
      <c r="S715" s="154">
        <f>IF(R715="","",IFERROR(Разбивка_по_щитам!J715&amp;"",""))</f>
        <v/>
      </c>
      <c r="T715" s="155">
        <f>IF(R715="","",IFERROR(--Разбивка_по_щитам!L715,""))</f>
        <v/>
      </c>
      <c r="U715" s="155">
        <f>IF(R715="","",IFERROR(--Разбивка_по_щитам!K715,""))</f>
        <v/>
      </c>
      <c r="V715" s="138">
        <f>IF(R715="","",IFERROR(IF(Разбивка_по_щитам!M715=0,"",Разбивка_по_щитам!M715),""))</f>
        <v/>
      </c>
      <c r="W715" s="156">
        <f t="shared" si="467"/>
        <v/>
      </c>
      <c r="X715" s="157">
        <f t="shared" si="468"/>
        <v/>
      </c>
      <c r="Y715" s="266"/>
      <c r="Z715" s="158">
        <f t="shared" si="469"/>
        <v/>
      </c>
      <c r="AA715" s="160">
        <f t="shared" si="470"/>
        <v/>
      </c>
      <c r="AB715" s="160">
        <f>IF(R715="","",IFERROR(LOOKUP(INDEX(Справочная!$I$4:$I$19,MATCH(VLOOKUP(R715,Исходные_данные,22,FALSE),Справочная!$J$4:$J$19,0)+1),{6,10,16,20,25,32,40,50,63,80,100,125}),""))</f>
        <v/>
      </c>
      <c r="AC715" s="160">
        <f t="shared" si="471"/>
        <v/>
      </c>
      <c r="AD715" s="161">
        <f t="shared" si="472"/>
        <v/>
      </c>
      <c r="AE715" s="161">
        <f>IF(AND(R715="",G715=""),"",_xlfn.TEXTJOIN("; ",TRUE,IF(AND(R715&lt;&gt;"",V715=""),"нет фазы",""),IF(AND(R715&lt;&gt;"",N(T715)=0),"нет мощности",""),IF(AND(P715&lt;&gt;"",COUNTIFS($A$3:$A$1000,A715,$P$3:$P$1000,P715)&gt;1),"дубль клеммы "&amp;P715,""),IF(AND(W715&lt;&gt;"",W715&lt;&gt;"ok"),W715,""),IF(X715&lt;&gt;"",X715,""),IF(AND(ISNUMBER(SEARCH("(5х",Q715)),N(AK715)=1),"5 жил на 1 фазе",""),IF(AND(AL715="R",E715&lt;&gt;"",N(AS715)=0),"розетка без 30 мА",""),IF(IFERROR(_xlfn.NUMBERVALUE(MID(Q715,FIND("-",Q715,FIND("L=",Q715))+1,FIND("%",Q715)-FIND("-",Q715,FIND("L=",Q715))-1),","),0)&gt;4,"потери &gt; 4 %","")))</f>
      </c>
      <c r="AF715" s="129">
        <f>IF(E715&lt;&gt;"",COUNTIFS($A$3:A715,A715,$E$3:E715,"?*"),IF(OR(A715&lt;&gt;A714,Y715="вручную"),"",AF714))</f>
        <v/>
      </c>
      <c r="AG715" s="129">
        <f t="shared" si="473"/>
        <v/>
      </c>
      <c r="AH715" s="129">
        <f t="shared" si="474"/>
        <v/>
      </c>
      <c r="AI715" s="129">
        <f t="shared" si="475"/>
        <v/>
      </c>
      <c r="AJ715" s="129">
        <f t="shared" si="476"/>
        <v/>
      </c>
      <c r="AK715" s="129">
        <f t="shared" si="477"/>
        <v/>
      </c>
      <c r="AL715" s="129">
        <f t="shared" si="478"/>
        <v/>
      </c>
      <c r="AM715" s="129">
        <f t="shared" si="479"/>
      </c>
      <c r="AN715" s="129">
        <f t="shared" si="480"/>
      </c>
      <c r="AO715" s="129">
        <f t="shared" si="481"/>
        <v/>
      </c>
      <c r="AP715" s="129">
        <f t="shared" si="482"/>
        <v/>
      </c>
      <c r="AQ715" s="129">
        <f t="shared" si="483"/>
        <v/>
      </c>
      <c r="AR715" s="129">
        <f t="shared" si="484"/>
        <v/>
      </c>
      <c r="AS715" s="129">
        <f t="shared" si="485"/>
        <v/>
      </c>
      <c r="AT715" s="129">
        <f t="shared" si="486"/>
        <v/>
      </c>
      <c r="AU715" s="129">
        <f t="shared" si="487"/>
        <v/>
      </c>
      <c r="AV715" s="129">
        <f t="shared" si="488"/>
        <v/>
      </c>
      <c r="AW715" s="129">
        <f>IF(AV715="","",AV715&amp;"."&amp;COUNTIFS($A$3:A715,A715,$AV$3:AV715,AV715))</f>
        <v/>
      </c>
      <c r="AX715" s="129">
        <f t="shared" si="489"/>
        <v/>
      </c>
      <c r="AY715" s="129">
        <f>IF(N715="б/к",0,IF(OR(ISNUMBER(SEARCH("L=",Разбивка_по_щитам!P715)),N715="+",N715="="),1,0))</f>
      </c>
      <c r="AZ715" s="129">
        <f t="shared" si="490"/>
        <v/>
      </c>
      <c r="BA715" s="129">
        <f t="shared" si="491"/>
      </c>
      <c r="BB715" s="129">
        <f t="shared" si="492"/>
      </c>
      <c r="BD715" s="129">
        <f t="shared" si="493"/>
      </c>
      <c r="BE715" s="129">
        <f t="shared" si="494"/>
      </c>
      <c r="BF715" s="129">
        <f t="shared" si="495"/>
      </c>
      <c r="BG715" s="129">
        <f t="shared" si="496"/>
        <v/>
      </c>
      <c r="BH715" s="129">
        <f t="shared" si="497"/>
        <v/>
      </c>
      <c r="BI715" s="129">
        <f t="shared" si="498"/>
        <v/>
      </c>
      <c r="BJ715" s="129">
        <f t="shared" si="499"/>
        <v/>
      </c>
      <c r="BK715" s="129">
        <f>IF(R715="","",IF(OR(BY715="",BY715=0),"BOX",IFERROR(IF(VLOOKUP(BY715,УГО_блоки,3,FALSE)&amp;""&lt;&gt;"",VLOOKUP(BY715,УГО_блоки,3,FALSE),VLOOKUP(BY715,УГО_блоки,2,FALSE)),BY715)))</f>
      </c>
      <c r="BL715" s="129">
        <f t="shared" si="501"/>
      </c>
      <c r="BM715" s="129">
        <f>IF(H715="","",IF(COUNTIF($H$3:H715,H715)=1,MAX($BM$2:BM714)+1,""))</f>
      </c>
      <c r="BN715" s="129">
        <f>IF(I715="","",IF(COUNTIF($I$3:I715,I715)+COUNTIF($J$2:J714,I715)+COUNTIF($K$2:K714,I715)=1,MAX($BN$2:BP714)+1,""))</f>
      </c>
      <c r="BO715" s="129">
        <f>IF(J715="","",IF(COUNTIF($I$3:I715,J715)+COUNTIF($J$3:J715,J715)+COUNTIF($K$2:K714,J715)=1,MAX($BN$2:BP714,BN715)+1,""))</f>
      </c>
      <c r="BP715" s="129">
        <f>IF(K715="","",IF(COUNTIF($I$3:I715,K715)+COUNTIF($J$3:J715,K715)+COUNTIF($K$3:K715,K715)=1,MAX($BN$2:BP714,BN715,BO715)+1,""))</f>
      </c>
      <c r="BQ715" s="129">
        <f>IF(AY715=1,IFERROR(MID(Q715,FIND(" (",Q715)+2,FIND(")",Q715,FIND(" (",Q715))-FIND(" (",Q715)-2),"?"),"")</f>
      </c>
      <c r="BR715" s="129">
        <f>IF(BQ715="","",IF(COUNTIF($BQ$3:BQ715,BQ715)=1,MAX($BR$2:BR714)+1,""))</f>
      </c>
      <c r="BS715" s="129">
        <f>IF(AW715="","",COUNTIF($AW$3:AW715,"?*"))</f>
      </c>
      <c r="BT715" s="129">
        <f>IF(OR(AW715="",AI715=""),"",IF(COUNTIFS($AW$3:AW715,"?*",$AI$3:AI715,AI715)=1,MAX($BT$2:BT714)+1,""))</f>
      </c>
      <c r="BU715" s="129">
        <f>IF(AE715="",0,IF(OR(ISNUMBER(SEARCH("дубль",AE715)),ISNUMBER(SEARCH("ПЕРЕГРУЗ",AE715)),ISNUMBER(SEARCH("ЗАЩИЩ",AE715)),ISNUMBER(SEARCH("КАНАЛ",AE715)),ISNUMBER(SEARCH("без 30",AE715))),2,1))</f>
      </c>
      <c r="BV715" s="129">
        <f>IF(R715="","",COUNTIF($R$3:R715,"?*"))</f>
      </c>
      <c r="BW715" s="129">
        <f>IF(AY715&lt;&gt;1,0,IF(MAX(IFERROR(--VLOOKUP(R715,УГО_спр,5,FALSE),0),IFERROR(--VLOOKUP(AL715,УГО_спр,5,FALSE),0),IFERROR(--VLOOKUP(LEFT(AL715,2),УГО_спр,5,FALSE),0))&gt;0,MAX(IFERROR(--VLOOKUP(R715,УГО_спр,5,FALSE),0),IFERROR(--VLOOKUP(AL715,УГО_спр,5,FALSE),0),IFERROR(--VLOOKUP(LEFT(AL715,2),УГО_спр,5,FALSE),0)),IF(IFERROR(--LEFT(SUBSTITUTE(BQ715,"x","х"),FIND("х",SUBSTITUTE(BQ715,"x","х"))-1),3)&gt;3,Каталог!$S$9,1)))</f>
      </c>
      <c r="BX715" s="129">
        <f>IF(AY715&lt;&gt;1,0,MAX(0,IFERROR(--LEFT(SUBSTITUTE(BQ715,"x","х"),FIND("х",SUBSTITUTE(BQ715,"x","х"))-1),3)-3*BW715))</f>
      </c>
      <c r="BY715" s="129">
        <f>IF(R715="","",IFERROR(VLOOKUP(R715,УГО_спр,2,FALSE),IFERROR(VLOOKUP(AL715,УГО_спр,2,FALSE),IFERROR(VLOOKUP(LEFT(AL715,2),УГО_спр,2,FALSE),""))))</f>
      </c>
    </row>
    <row r="716" spans="1:64" x14ac:dyDescent="0.3">
      <c r="A716" s="135">
        <f>IF(Разбивка_по_щитам!F716=0,"",Разбивка_по_щитам!F716)</f>
        <v/>
      </c>
      <c r="B716" s="138">
        <f>IF(A716="","",Разбивка_по_щитам!C716)</f>
        <v/>
      </c>
      <c r="C716" s="138">
        <f t="shared" si="462"/>
        <v/>
      </c>
      <c r="D716" s="266"/>
      <c r="E716" s="266"/>
      <c r="F716" s="267"/>
      <c r="G716" s="145">
        <f t="shared" si="463"/>
        <v/>
      </c>
      <c r="H716" s="145">
        <f t="shared" si="464"/>
        <v/>
      </c>
      <c r="I716" s="266"/>
      <c r="J716" s="267"/>
      <c r="K716" s="267"/>
      <c r="L716" s="266"/>
      <c r="M716" s="147">
        <f t="shared" si="465"/>
        <v/>
      </c>
      <c r="N716" s="267"/>
      <c r="O716" s="147">
        <f t="shared" si="466"/>
        <v/>
      </c>
      <c r="P716" s="268">
        <f>IF(AY716=1,"XT"&amp;COUNTIFS($A$3:A716,A716,$AY$3:AY716,1),"")</f>
        <v/>
      </c>
      <c r="Q716" s="152">
        <f>IF(R716="","",IFERROR(SUBSTITUTE(Разбивка_по_щитам!P716,CHAR(10)," "),""))</f>
        <v/>
      </c>
      <c r="R716" s="153">
        <f>IF(OR(Разбивка_по_щитам!H716="",Разбивка_по_щитам!H716=0),"",Разбивка_по_щитам!H716)</f>
        <v/>
      </c>
      <c r="S716" s="154">
        <f>IF(R716="","",IFERROR(Разбивка_по_щитам!J716&amp;"",""))</f>
        <v/>
      </c>
      <c r="T716" s="155">
        <f>IF(R716="","",IFERROR(--Разбивка_по_щитам!L716,""))</f>
        <v/>
      </c>
      <c r="U716" s="155">
        <f>IF(R716="","",IFERROR(--Разбивка_по_щитам!K716,""))</f>
        <v/>
      </c>
      <c r="V716" s="138">
        <f>IF(R716="","",IFERROR(IF(Разбивка_по_щитам!M716=0,"",Разбивка_по_щитам!M716),""))</f>
        <v/>
      </c>
      <c r="W716" s="156">
        <f t="shared" si="467"/>
        <v/>
      </c>
      <c r="X716" s="157">
        <f t="shared" si="468"/>
        <v/>
      </c>
      <c r="Y716" s="266"/>
      <c r="Z716" s="158">
        <f t="shared" si="469"/>
        <v/>
      </c>
      <c r="AA716" s="160">
        <f t="shared" si="470"/>
        <v/>
      </c>
      <c r="AB716" s="160">
        <f>IF(R716="","",IFERROR(LOOKUP(INDEX(Справочная!$I$4:$I$19,MATCH(VLOOKUP(R716,Исходные_данные,22,FALSE),Справочная!$J$4:$J$19,0)+1),{6,10,16,20,25,32,40,50,63,80,100,125}),""))</f>
        <v/>
      </c>
      <c r="AC716" s="160">
        <f t="shared" si="471"/>
        <v/>
      </c>
      <c r="AD716" s="161">
        <f t="shared" si="472"/>
        <v/>
      </c>
      <c r="AE716" s="161">
        <f>IF(AND(R716="",G716=""),"",_xlfn.TEXTJOIN("; ",TRUE,IF(AND(R716&lt;&gt;"",V716=""),"нет фазы",""),IF(AND(R716&lt;&gt;"",N(T716)=0),"нет мощности",""),IF(AND(P716&lt;&gt;"",COUNTIFS($A$3:$A$1000,A716,$P$3:$P$1000,P716)&gt;1),"дубль клеммы "&amp;P716,""),IF(AND(W716&lt;&gt;"",W716&lt;&gt;"ok"),W716,""),IF(X716&lt;&gt;"",X716,""),IF(AND(ISNUMBER(SEARCH("(5х",Q716)),N(AK716)=1),"5 жил на 1 фазе",""),IF(AND(AL716="R",E716&lt;&gt;"",N(AS716)=0),"розетка без 30 мА",""),IF(IFERROR(_xlfn.NUMBERVALUE(MID(Q716,FIND("-",Q716,FIND("L=",Q716))+1,FIND("%",Q716)-FIND("-",Q716,FIND("L=",Q716))-1),","),0)&gt;4,"потери &gt; 4 %","")))</f>
      </c>
      <c r="AF716" s="129">
        <f>IF(E716&lt;&gt;"",COUNTIFS($A$3:A716,A716,$E$3:E716,"?*"),IF(OR(A716&lt;&gt;A715,Y716="вручную"),"",AF715))</f>
        <v/>
      </c>
      <c r="AG716" s="129">
        <f t="shared" si="473"/>
        <v/>
      </c>
      <c r="AH716" s="129">
        <f t="shared" si="474"/>
        <v/>
      </c>
      <c r="AI716" s="129">
        <f t="shared" si="475"/>
        <v/>
      </c>
      <c r="AJ716" s="129">
        <f t="shared" si="476"/>
        <v/>
      </c>
      <c r="AK716" s="129">
        <f t="shared" si="477"/>
        <v/>
      </c>
      <c r="AL716" s="129">
        <f t="shared" si="478"/>
        <v/>
      </c>
      <c r="AM716" s="129">
        <f t="shared" si="479"/>
      </c>
      <c r="AN716" s="129">
        <f t="shared" si="480"/>
      </c>
      <c r="AO716" s="129">
        <f t="shared" si="481"/>
        <v/>
      </c>
      <c r="AP716" s="129">
        <f t="shared" si="482"/>
        <v/>
      </c>
      <c r="AQ716" s="129">
        <f t="shared" si="483"/>
        <v/>
      </c>
      <c r="AR716" s="129">
        <f t="shared" si="484"/>
        <v/>
      </c>
      <c r="AS716" s="129">
        <f t="shared" si="485"/>
        <v/>
      </c>
      <c r="AT716" s="129">
        <f t="shared" si="486"/>
        <v/>
      </c>
      <c r="AU716" s="129">
        <f t="shared" si="487"/>
        <v/>
      </c>
      <c r="AV716" s="129">
        <f t="shared" si="488"/>
        <v/>
      </c>
      <c r="AW716" s="129">
        <f>IF(AV716="","",AV716&amp;"."&amp;COUNTIFS($A$3:A716,A716,$AV$3:AV716,AV716))</f>
        <v/>
      </c>
      <c r="AX716" s="129">
        <f t="shared" si="489"/>
        <v/>
      </c>
      <c r="AY716" s="129">
        <f>IF(N716="б/к",0,IF(OR(ISNUMBER(SEARCH("L=",Разбивка_по_щитам!P716)),N716="+",N716="="),1,0))</f>
      </c>
      <c r="AZ716" s="129">
        <f t="shared" si="490"/>
        <v/>
      </c>
      <c r="BA716" s="129">
        <f t="shared" si="491"/>
      </c>
      <c r="BB716" s="129">
        <f t="shared" si="492"/>
      </c>
      <c r="BD716" s="129">
        <f t="shared" si="493"/>
      </c>
      <c r="BE716" s="129">
        <f t="shared" si="494"/>
      </c>
      <c r="BF716" s="129">
        <f t="shared" si="495"/>
      </c>
      <c r="BG716" s="129">
        <f t="shared" si="496"/>
        <v/>
      </c>
      <c r="BH716" s="129">
        <f t="shared" si="497"/>
        <v/>
      </c>
      <c r="BI716" s="129">
        <f t="shared" si="498"/>
        <v/>
      </c>
      <c r="BJ716" s="129">
        <f t="shared" si="499"/>
        <v/>
      </c>
      <c r="BK716" s="129">
        <f>IF(R716="","",IF(OR(BY716="",BY716=0),"BOX",IFERROR(IF(VLOOKUP(BY716,УГО_блоки,3,FALSE)&amp;""&lt;&gt;"",VLOOKUP(BY716,УГО_блоки,3,FALSE),VLOOKUP(BY716,УГО_блоки,2,FALSE)),BY716)))</f>
      </c>
      <c r="BL716" s="129">
        <f t="shared" si="501"/>
      </c>
      <c r="BM716" s="129">
        <f>IF(H716="","",IF(COUNTIF($H$3:H716,H716)=1,MAX($BM$2:BM715)+1,""))</f>
      </c>
      <c r="BN716" s="129">
        <f>IF(I716="","",IF(COUNTIF($I$3:I716,I716)+COUNTIF($J$2:J715,I716)+COUNTIF($K$2:K715,I716)=1,MAX($BN$2:BP715)+1,""))</f>
      </c>
      <c r="BO716" s="129">
        <f>IF(J716="","",IF(COUNTIF($I$3:I716,J716)+COUNTIF($J$3:J716,J716)+COUNTIF($K$2:K715,J716)=1,MAX($BN$2:BP715,BN716)+1,""))</f>
      </c>
      <c r="BP716" s="129">
        <f>IF(K716="","",IF(COUNTIF($I$3:I716,K716)+COUNTIF($J$3:J716,K716)+COUNTIF($K$3:K716,K716)=1,MAX($BN$2:BP715,BN716,BO716)+1,""))</f>
      </c>
      <c r="BQ716" s="129">
        <f>IF(AY716=1,IFERROR(MID(Q716,FIND(" (",Q716)+2,FIND(")",Q716,FIND(" (",Q716))-FIND(" (",Q716)-2),"?"),"")</f>
      </c>
      <c r="BR716" s="129">
        <f>IF(BQ716="","",IF(COUNTIF($BQ$3:BQ716,BQ716)=1,MAX($BR$2:BR715)+1,""))</f>
      </c>
      <c r="BS716" s="129">
        <f>IF(AW716="","",COUNTIF($AW$3:AW716,"?*"))</f>
      </c>
      <c r="BT716" s="129">
        <f>IF(OR(AW716="",AI716=""),"",IF(COUNTIFS($AW$3:AW716,"?*",$AI$3:AI716,AI716)=1,MAX($BT$2:BT715)+1,""))</f>
      </c>
      <c r="BU716" s="129">
        <f>IF(AE716="",0,IF(OR(ISNUMBER(SEARCH("дубль",AE716)),ISNUMBER(SEARCH("ПЕРЕГРУЗ",AE716)),ISNUMBER(SEARCH("ЗАЩИЩ",AE716)),ISNUMBER(SEARCH("КАНАЛ",AE716)),ISNUMBER(SEARCH("без 30",AE716))),2,1))</f>
      </c>
      <c r="BV716" s="129">
        <f>IF(R716="","",COUNTIF($R$3:R716,"?*"))</f>
      </c>
      <c r="BW716" s="129">
        <f>IF(AY716&lt;&gt;1,0,IF(MAX(IFERROR(--VLOOKUP(R716,УГО_спр,5,FALSE),0),IFERROR(--VLOOKUP(AL716,УГО_спр,5,FALSE),0),IFERROR(--VLOOKUP(LEFT(AL716,2),УГО_спр,5,FALSE),0))&gt;0,MAX(IFERROR(--VLOOKUP(R716,УГО_спр,5,FALSE),0),IFERROR(--VLOOKUP(AL716,УГО_спр,5,FALSE),0),IFERROR(--VLOOKUP(LEFT(AL716,2),УГО_спр,5,FALSE),0)),IF(IFERROR(--LEFT(SUBSTITUTE(BQ716,"x","х"),FIND("х",SUBSTITUTE(BQ716,"x","х"))-1),3)&gt;3,Каталог!$S$9,1)))</f>
      </c>
      <c r="BX716" s="129">
        <f>IF(AY716&lt;&gt;1,0,MAX(0,IFERROR(--LEFT(SUBSTITUTE(BQ716,"x","х"),FIND("х",SUBSTITUTE(BQ716,"x","х"))-1),3)-3*BW716))</f>
      </c>
      <c r="BY716" s="129">
        <f>IF(R716="","",IFERROR(VLOOKUP(R716,УГО_спр,2,FALSE),IFERROR(VLOOKUP(AL716,УГО_спр,2,FALSE),IFERROR(VLOOKUP(LEFT(AL716,2),УГО_спр,2,FALSE),""))))</f>
      </c>
    </row>
    <row r="717" spans="1:64" x14ac:dyDescent="0.3">
      <c r="A717" s="135">
        <f>IF(Разбивка_по_щитам!F717=0,"",Разбивка_по_щитам!F717)</f>
        <v/>
      </c>
      <c r="B717" s="138">
        <f>IF(A717="","",Разбивка_по_щитам!C717)</f>
        <v/>
      </c>
      <c r="C717" s="138">
        <f t="shared" si="462"/>
        <v/>
      </c>
      <c r="D717" s="266"/>
      <c r="E717" s="266"/>
      <c r="F717" s="267"/>
      <c r="G717" s="145">
        <f t="shared" si="463"/>
        <v/>
      </c>
      <c r="H717" s="145">
        <f t="shared" si="464"/>
        <v/>
      </c>
      <c r="I717" s="266"/>
      <c r="J717" s="267"/>
      <c r="K717" s="267"/>
      <c r="L717" s="266"/>
      <c r="M717" s="147">
        <f t="shared" si="465"/>
        <v/>
      </c>
      <c r="N717" s="267"/>
      <c r="O717" s="147">
        <f t="shared" si="466"/>
        <v/>
      </c>
      <c r="P717" s="268">
        <f>IF(AY717=1,"XT"&amp;COUNTIFS($A$3:A717,A717,$AY$3:AY717,1),"")</f>
        <v/>
      </c>
      <c r="Q717" s="152">
        <f>IF(R717="","",IFERROR(SUBSTITUTE(Разбивка_по_щитам!P717,CHAR(10)," "),""))</f>
        <v/>
      </c>
      <c r="R717" s="153">
        <f>IF(OR(Разбивка_по_щитам!H717="",Разбивка_по_щитам!H717=0),"",Разбивка_по_щитам!H717)</f>
        <v/>
      </c>
      <c r="S717" s="154">
        <f>IF(R717="","",IFERROR(Разбивка_по_щитам!J717&amp;"",""))</f>
        <v/>
      </c>
      <c r="T717" s="155">
        <f>IF(R717="","",IFERROR(--Разбивка_по_щитам!L717,""))</f>
        <v/>
      </c>
      <c r="U717" s="155">
        <f>IF(R717="","",IFERROR(--Разбивка_по_щитам!K717,""))</f>
        <v/>
      </c>
      <c r="V717" s="138">
        <f>IF(R717="","",IFERROR(IF(Разбивка_по_щитам!M717=0,"",Разбивка_по_щитам!M717),""))</f>
        <v/>
      </c>
      <c r="W717" s="156">
        <f t="shared" si="467"/>
        <v/>
      </c>
      <c r="X717" s="157">
        <f t="shared" si="468"/>
        <v/>
      </c>
      <c r="Y717" s="266"/>
      <c r="Z717" s="158">
        <f t="shared" si="469"/>
        <v/>
      </c>
      <c r="AA717" s="160">
        <f t="shared" si="470"/>
        <v/>
      </c>
      <c r="AB717" s="160">
        <f>IF(R717="","",IFERROR(LOOKUP(INDEX(Справочная!$I$4:$I$19,MATCH(VLOOKUP(R717,Исходные_данные,22,FALSE),Справочная!$J$4:$J$19,0)+1),{6,10,16,20,25,32,40,50,63,80,100,125}),""))</f>
        <v/>
      </c>
      <c r="AC717" s="160">
        <f t="shared" si="471"/>
        <v/>
      </c>
      <c r="AD717" s="161">
        <f t="shared" si="472"/>
        <v/>
      </c>
      <c r="AE717" s="161">
        <f>IF(AND(R717="",G717=""),"",_xlfn.TEXTJOIN("; ",TRUE,IF(AND(R717&lt;&gt;"",V717=""),"нет фазы",""),IF(AND(R717&lt;&gt;"",N(T717)=0),"нет мощности",""),IF(AND(P717&lt;&gt;"",COUNTIFS($A$3:$A$1000,A717,$P$3:$P$1000,P717)&gt;1),"дубль клеммы "&amp;P717,""),IF(AND(W717&lt;&gt;"",W717&lt;&gt;"ok"),W717,""),IF(X717&lt;&gt;"",X717,""),IF(AND(ISNUMBER(SEARCH("(5х",Q717)),N(AK717)=1),"5 жил на 1 фазе",""),IF(AND(AL717="R",E717&lt;&gt;"",N(AS717)=0),"розетка без 30 мА",""),IF(IFERROR(_xlfn.NUMBERVALUE(MID(Q717,FIND("-",Q717,FIND("L=",Q717))+1,FIND("%",Q717)-FIND("-",Q717,FIND("L=",Q717))-1),","),0)&gt;4,"потери &gt; 4 %","")))</f>
      </c>
      <c r="AF717" s="129">
        <f>IF(E717&lt;&gt;"",COUNTIFS($A$3:A717,A717,$E$3:E717,"?*"),IF(OR(A717&lt;&gt;A716,Y717="вручную"),"",AF716))</f>
        <v/>
      </c>
      <c r="AG717" s="129">
        <f t="shared" si="473"/>
        <v/>
      </c>
      <c r="AH717" s="129">
        <f t="shared" si="474"/>
        <v/>
      </c>
      <c r="AI717" s="129">
        <f t="shared" si="475"/>
        <v/>
      </c>
      <c r="AJ717" s="129">
        <f t="shared" si="476"/>
        <v/>
      </c>
      <c r="AK717" s="129">
        <f t="shared" si="477"/>
        <v/>
      </c>
      <c r="AL717" s="129">
        <f t="shared" si="478"/>
        <v/>
      </c>
      <c r="AM717" s="129">
        <f t="shared" si="479"/>
      </c>
      <c r="AN717" s="129">
        <f t="shared" si="480"/>
      </c>
      <c r="AO717" s="129">
        <f t="shared" si="481"/>
        <v/>
      </c>
      <c r="AP717" s="129">
        <f t="shared" si="482"/>
        <v/>
      </c>
      <c r="AQ717" s="129">
        <f t="shared" si="483"/>
        <v/>
      </c>
      <c r="AR717" s="129">
        <f t="shared" si="484"/>
        <v/>
      </c>
      <c r="AS717" s="129">
        <f t="shared" si="485"/>
        <v/>
      </c>
      <c r="AT717" s="129">
        <f t="shared" si="486"/>
        <v/>
      </c>
      <c r="AU717" s="129">
        <f t="shared" si="487"/>
        <v/>
      </c>
      <c r="AV717" s="129">
        <f t="shared" si="488"/>
        <v/>
      </c>
      <c r="AW717" s="129">
        <f>IF(AV717="","",AV717&amp;"."&amp;COUNTIFS($A$3:A717,A717,$AV$3:AV717,AV717))</f>
        <v/>
      </c>
      <c r="AX717" s="129">
        <f t="shared" si="489"/>
        <v/>
      </c>
      <c r="AY717" s="129">
        <f>IF(N717="б/к",0,IF(OR(ISNUMBER(SEARCH("L=",Разбивка_по_щитам!P717)),N717="+",N717="="),1,0))</f>
      </c>
      <c r="AZ717" s="129">
        <f t="shared" si="490"/>
        <v/>
      </c>
      <c r="BA717" s="129">
        <f t="shared" si="491"/>
      </c>
      <c r="BB717" s="129">
        <f t="shared" si="492"/>
      </c>
      <c r="BD717" s="129">
        <f t="shared" si="493"/>
      </c>
      <c r="BE717" s="129">
        <f t="shared" si="494"/>
      </c>
      <c r="BF717" s="129">
        <f t="shared" si="495"/>
      </c>
      <c r="BG717" s="129">
        <f t="shared" si="496"/>
        <v/>
      </c>
      <c r="BH717" s="129">
        <f t="shared" si="497"/>
        <v/>
      </c>
      <c r="BI717" s="129">
        <f t="shared" si="498"/>
        <v/>
      </c>
      <c r="BJ717" s="129">
        <f t="shared" si="499"/>
        <v/>
      </c>
      <c r="BK717" s="129">
        <f>IF(R717="","",IF(OR(BY717="",BY717=0),"BOX",IFERROR(IF(VLOOKUP(BY717,УГО_блоки,3,FALSE)&amp;""&lt;&gt;"",VLOOKUP(BY717,УГО_блоки,3,FALSE),VLOOKUP(BY717,УГО_блоки,2,FALSE)),BY717)))</f>
      </c>
      <c r="BL717" s="129">
        <f t="shared" si="501"/>
      </c>
      <c r="BM717" s="129">
        <f>IF(H717="","",IF(COUNTIF($H$3:H717,H717)=1,MAX($BM$2:BM716)+1,""))</f>
      </c>
      <c r="BN717" s="129">
        <f>IF(I717="","",IF(COUNTIF($I$3:I717,I717)+COUNTIF($J$2:J716,I717)+COUNTIF($K$2:K716,I717)=1,MAX($BN$2:BP716)+1,""))</f>
      </c>
      <c r="BO717" s="129">
        <f>IF(J717="","",IF(COUNTIF($I$3:I717,J717)+COUNTIF($J$3:J717,J717)+COUNTIF($K$2:K716,J717)=1,MAX($BN$2:BP716,BN717)+1,""))</f>
      </c>
      <c r="BP717" s="129">
        <f>IF(K717="","",IF(COUNTIF($I$3:I717,K717)+COUNTIF($J$3:J717,K717)+COUNTIF($K$3:K717,K717)=1,MAX($BN$2:BP716,BN717,BO717)+1,""))</f>
      </c>
      <c r="BQ717" s="129">
        <f>IF(AY717=1,IFERROR(MID(Q717,FIND(" (",Q717)+2,FIND(")",Q717,FIND(" (",Q717))-FIND(" (",Q717)-2),"?"),"")</f>
      </c>
      <c r="BR717" s="129">
        <f>IF(BQ717="","",IF(COUNTIF($BQ$3:BQ717,BQ717)=1,MAX($BR$2:BR716)+1,""))</f>
      </c>
      <c r="BS717" s="129">
        <f>IF(AW717="","",COUNTIF($AW$3:AW717,"?*"))</f>
      </c>
      <c r="BT717" s="129">
        <f>IF(OR(AW717="",AI717=""),"",IF(COUNTIFS($AW$3:AW717,"?*",$AI$3:AI717,AI717)=1,MAX($BT$2:BT716)+1,""))</f>
      </c>
      <c r="BU717" s="129">
        <f>IF(AE717="",0,IF(OR(ISNUMBER(SEARCH("дубль",AE717)),ISNUMBER(SEARCH("ПЕРЕГРУЗ",AE717)),ISNUMBER(SEARCH("ЗАЩИЩ",AE717)),ISNUMBER(SEARCH("КАНАЛ",AE717)),ISNUMBER(SEARCH("без 30",AE717))),2,1))</f>
      </c>
      <c r="BV717" s="129">
        <f>IF(R717="","",COUNTIF($R$3:R717,"?*"))</f>
      </c>
      <c r="BW717" s="129">
        <f>IF(AY717&lt;&gt;1,0,IF(MAX(IFERROR(--VLOOKUP(R717,УГО_спр,5,FALSE),0),IFERROR(--VLOOKUP(AL717,УГО_спр,5,FALSE),0),IFERROR(--VLOOKUP(LEFT(AL717,2),УГО_спр,5,FALSE),0))&gt;0,MAX(IFERROR(--VLOOKUP(R717,УГО_спр,5,FALSE),0),IFERROR(--VLOOKUP(AL717,УГО_спр,5,FALSE),0),IFERROR(--VLOOKUP(LEFT(AL717,2),УГО_спр,5,FALSE),0)),IF(IFERROR(--LEFT(SUBSTITUTE(BQ717,"x","х"),FIND("х",SUBSTITUTE(BQ717,"x","х"))-1),3)&gt;3,Каталог!$S$9,1)))</f>
      </c>
      <c r="BX717" s="129">
        <f>IF(AY717&lt;&gt;1,0,MAX(0,IFERROR(--LEFT(SUBSTITUTE(BQ717,"x","х"),FIND("х",SUBSTITUTE(BQ717,"x","х"))-1),3)-3*BW717))</f>
      </c>
      <c r="BY717" s="129">
        <f>IF(R717="","",IFERROR(VLOOKUP(R717,УГО_спр,2,FALSE),IFERROR(VLOOKUP(AL717,УГО_спр,2,FALSE),IFERROR(VLOOKUP(LEFT(AL717,2),УГО_спр,2,FALSE),""))))</f>
      </c>
    </row>
    <row r="718" spans="1:64" x14ac:dyDescent="0.3">
      <c r="A718" s="135">
        <f>IF(Разбивка_по_щитам!F718=0,"",Разбивка_по_щитам!F718)</f>
        <v/>
      </c>
      <c r="B718" s="138">
        <f>IF(A718="","",Разбивка_по_щитам!C718)</f>
        <v/>
      </c>
      <c r="C718" s="138">
        <f t="shared" si="462"/>
        <v/>
      </c>
      <c r="D718" s="266"/>
      <c r="E718" s="266"/>
      <c r="F718" s="267"/>
      <c r="G718" s="145">
        <f t="shared" si="463"/>
        <v/>
      </c>
      <c r="H718" s="145">
        <f t="shared" si="464"/>
        <v/>
      </c>
      <c r="I718" s="266"/>
      <c r="J718" s="267"/>
      <c r="K718" s="267"/>
      <c r="L718" s="266"/>
      <c r="M718" s="147">
        <f t="shared" si="465"/>
        <v/>
      </c>
      <c r="N718" s="267"/>
      <c r="O718" s="147">
        <f t="shared" si="466"/>
        <v/>
      </c>
      <c r="P718" s="268">
        <f>IF(AY718=1,"XT"&amp;COUNTIFS($A$3:A718,A718,$AY$3:AY718,1),"")</f>
        <v/>
      </c>
      <c r="Q718" s="152">
        <f>IF(R718="","",IFERROR(SUBSTITUTE(Разбивка_по_щитам!P718,CHAR(10)," "),""))</f>
        <v/>
      </c>
      <c r="R718" s="153">
        <f>IF(OR(Разбивка_по_щитам!H718="",Разбивка_по_щитам!H718=0),"",Разбивка_по_щитам!H718)</f>
        <v/>
      </c>
      <c r="S718" s="154">
        <f>IF(R718="","",IFERROR(Разбивка_по_щитам!J718&amp;"",""))</f>
        <v/>
      </c>
      <c r="T718" s="155">
        <f>IF(R718="","",IFERROR(--Разбивка_по_щитам!L718,""))</f>
        <v/>
      </c>
      <c r="U718" s="155">
        <f>IF(R718="","",IFERROR(--Разбивка_по_щитам!K718,""))</f>
        <v/>
      </c>
      <c r="V718" s="138">
        <f>IF(R718="","",IFERROR(IF(Разбивка_по_щитам!M718=0,"",Разбивка_по_щитам!M718),""))</f>
        <v/>
      </c>
      <c r="W718" s="156">
        <f t="shared" si="467"/>
        <v/>
      </c>
      <c r="X718" s="157">
        <f t="shared" si="468"/>
        <v/>
      </c>
      <c r="Y718" s="266"/>
      <c r="Z718" s="158">
        <f t="shared" si="469"/>
        <v/>
      </c>
      <c r="AA718" s="160">
        <f t="shared" si="470"/>
        <v/>
      </c>
      <c r="AB718" s="160">
        <f>IF(R718="","",IFERROR(LOOKUP(INDEX(Справочная!$I$4:$I$19,MATCH(VLOOKUP(R718,Исходные_данные,22,FALSE),Справочная!$J$4:$J$19,0)+1),{6,10,16,20,25,32,40,50,63,80,100,125}),""))</f>
        <v/>
      </c>
      <c r="AC718" s="160">
        <f t="shared" si="471"/>
        <v/>
      </c>
      <c r="AD718" s="161">
        <f t="shared" si="472"/>
        <v/>
      </c>
      <c r="AE718" s="161">
        <f>IF(AND(R718="",G718=""),"",_xlfn.TEXTJOIN("; ",TRUE,IF(AND(R718&lt;&gt;"",V718=""),"нет фазы",""),IF(AND(R718&lt;&gt;"",N(T718)=0),"нет мощности",""),IF(AND(P718&lt;&gt;"",COUNTIFS($A$3:$A$1000,A718,$P$3:$P$1000,P718)&gt;1),"дубль клеммы "&amp;P718,""),IF(AND(W718&lt;&gt;"",W718&lt;&gt;"ok"),W718,""),IF(X718&lt;&gt;"",X718,""),IF(AND(ISNUMBER(SEARCH("(5х",Q718)),N(AK718)=1),"5 жил на 1 фазе",""),IF(AND(AL718="R",E718&lt;&gt;"",N(AS718)=0),"розетка без 30 мА",""),IF(IFERROR(_xlfn.NUMBERVALUE(MID(Q718,FIND("-",Q718,FIND("L=",Q718))+1,FIND("%",Q718)-FIND("-",Q718,FIND("L=",Q718))-1),","),0)&gt;4,"потери &gt; 4 %","")))</f>
      </c>
      <c r="AF718" s="129">
        <f>IF(E718&lt;&gt;"",COUNTIFS($A$3:A718,A718,$E$3:E718,"?*"),IF(OR(A718&lt;&gt;A717,Y718="вручную"),"",AF717))</f>
        <v/>
      </c>
      <c r="AG718" s="129">
        <f t="shared" si="473"/>
        <v/>
      </c>
      <c r="AH718" s="129">
        <f t="shared" si="474"/>
        <v/>
      </c>
      <c r="AI718" s="129">
        <f t="shared" si="475"/>
        <v/>
      </c>
      <c r="AJ718" s="129">
        <f t="shared" si="476"/>
        <v/>
      </c>
      <c r="AK718" s="129">
        <f t="shared" si="477"/>
        <v/>
      </c>
      <c r="AL718" s="129">
        <f t="shared" si="478"/>
        <v/>
      </c>
      <c r="AM718" s="129">
        <f t="shared" si="479"/>
      </c>
      <c r="AN718" s="129">
        <f t="shared" si="480"/>
      </c>
      <c r="AO718" s="129">
        <f t="shared" si="481"/>
        <v/>
      </c>
      <c r="AP718" s="129">
        <f t="shared" si="482"/>
        <v/>
      </c>
      <c r="AQ718" s="129">
        <f t="shared" si="483"/>
        <v/>
      </c>
      <c r="AR718" s="129">
        <f t="shared" si="484"/>
        <v/>
      </c>
      <c r="AS718" s="129">
        <f t="shared" si="485"/>
        <v/>
      </c>
      <c r="AT718" s="129">
        <f t="shared" si="486"/>
        <v/>
      </c>
      <c r="AU718" s="129">
        <f t="shared" si="487"/>
        <v/>
      </c>
      <c r="AV718" s="129">
        <f t="shared" si="488"/>
        <v/>
      </c>
      <c r="AW718" s="129">
        <f>IF(AV718="","",AV718&amp;"."&amp;COUNTIFS($A$3:A718,A718,$AV$3:AV718,AV718))</f>
        <v/>
      </c>
      <c r="AX718" s="129">
        <f t="shared" si="489"/>
        <v/>
      </c>
      <c r="AY718" s="129">
        <f>IF(N718="б/к",0,IF(OR(ISNUMBER(SEARCH("L=",Разбивка_по_щитам!P718)),N718="+",N718="="),1,0))</f>
      </c>
      <c r="AZ718" s="129">
        <f t="shared" si="490"/>
        <v/>
      </c>
      <c r="BA718" s="129">
        <f t="shared" si="491"/>
      </c>
      <c r="BB718" s="129">
        <f t="shared" si="492"/>
      </c>
      <c r="BD718" s="129">
        <f t="shared" si="493"/>
      </c>
      <c r="BE718" s="129">
        <f t="shared" si="494"/>
      </c>
      <c r="BF718" s="129">
        <f t="shared" si="495"/>
      </c>
      <c r="BG718" s="129">
        <f t="shared" si="496"/>
        <v/>
      </c>
      <c r="BH718" s="129">
        <f t="shared" si="497"/>
        <v/>
      </c>
      <c r="BI718" s="129">
        <f t="shared" si="498"/>
        <v/>
      </c>
      <c r="BJ718" s="129">
        <f t="shared" si="499"/>
        <v/>
      </c>
      <c r="BK718" s="129">
        <f>IF(R718="","",IF(OR(BY718="",BY718=0),"BOX",IFERROR(IF(VLOOKUP(BY718,УГО_блоки,3,FALSE)&amp;""&lt;&gt;"",VLOOKUP(BY718,УГО_блоки,3,FALSE),VLOOKUP(BY718,УГО_блоки,2,FALSE)),BY718)))</f>
      </c>
      <c r="BL718" s="129">
        <f t="shared" si="501"/>
      </c>
      <c r="BM718" s="129">
        <f>IF(H718="","",IF(COUNTIF($H$3:H718,H718)=1,MAX($BM$2:BM717)+1,""))</f>
      </c>
      <c r="BN718" s="129">
        <f>IF(I718="","",IF(COUNTIF($I$3:I718,I718)+COUNTIF($J$2:J717,I718)+COUNTIF($K$2:K717,I718)=1,MAX($BN$2:BP717)+1,""))</f>
      </c>
      <c r="BO718" s="129">
        <f>IF(J718="","",IF(COUNTIF($I$3:I718,J718)+COUNTIF($J$3:J718,J718)+COUNTIF($K$2:K717,J718)=1,MAX($BN$2:BP717,BN718)+1,""))</f>
      </c>
      <c r="BP718" s="129">
        <f>IF(K718="","",IF(COUNTIF($I$3:I718,K718)+COUNTIF($J$3:J718,K718)+COUNTIF($K$3:K718,K718)=1,MAX($BN$2:BP717,BN718,BO718)+1,""))</f>
      </c>
      <c r="BQ718" s="129">
        <f>IF(AY718=1,IFERROR(MID(Q718,FIND(" (",Q718)+2,FIND(")",Q718,FIND(" (",Q718))-FIND(" (",Q718)-2),"?"),"")</f>
      </c>
      <c r="BR718" s="129">
        <f>IF(BQ718="","",IF(COUNTIF($BQ$3:BQ718,BQ718)=1,MAX($BR$2:BR717)+1,""))</f>
      </c>
      <c r="BS718" s="129">
        <f>IF(AW718="","",COUNTIF($AW$3:AW718,"?*"))</f>
      </c>
      <c r="BT718" s="129">
        <f>IF(OR(AW718="",AI718=""),"",IF(COUNTIFS($AW$3:AW718,"?*",$AI$3:AI718,AI718)=1,MAX($BT$2:BT717)+1,""))</f>
      </c>
      <c r="BU718" s="129">
        <f>IF(AE718="",0,IF(OR(ISNUMBER(SEARCH("дубль",AE718)),ISNUMBER(SEARCH("ПЕРЕГРУЗ",AE718)),ISNUMBER(SEARCH("ЗАЩИЩ",AE718)),ISNUMBER(SEARCH("КАНАЛ",AE718)),ISNUMBER(SEARCH("без 30",AE718))),2,1))</f>
      </c>
      <c r="BV718" s="129">
        <f>IF(R718="","",COUNTIF($R$3:R718,"?*"))</f>
      </c>
      <c r="BW718" s="129">
        <f>IF(AY718&lt;&gt;1,0,IF(MAX(IFERROR(--VLOOKUP(R718,УГО_спр,5,FALSE),0),IFERROR(--VLOOKUP(AL718,УГО_спр,5,FALSE),0),IFERROR(--VLOOKUP(LEFT(AL718,2),УГО_спр,5,FALSE),0))&gt;0,MAX(IFERROR(--VLOOKUP(R718,УГО_спр,5,FALSE),0),IFERROR(--VLOOKUP(AL718,УГО_спр,5,FALSE),0),IFERROR(--VLOOKUP(LEFT(AL718,2),УГО_спр,5,FALSE),0)),IF(IFERROR(--LEFT(SUBSTITUTE(BQ718,"x","х"),FIND("х",SUBSTITUTE(BQ718,"x","х"))-1),3)&gt;3,Каталог!$S$9,1)))</f>
      </c>
      <c r="BX718" s="129">
        <f>IF(AY718&lt;&gt;1,0,MAX(0,IFERROR(--LEFT(SUBSTITUTE(BQ718,"x","х"),FIND("х",SUBSTITUTE(BQ718,"x","х"))-1),3)-3*BW718))</f>
      </c>
      <c r="BY718" s="129">
        <f>IF(R718="","",IFERROR(VLOOKUP(R718,УГО_спр,2,FALSE),IFERROR(VLOOKUP(AL718,УГО_спр,2,FALSE),IFERROR(VLOOKUP(LEFT(AL718,2),УГО_спр,2,FALSE),""))))</f>
      </c>
    </row>
    <row r="719" spans="1:64" x14ac:dyDescent="0.3">
      <c r="A719" s="135">
        <f>IF(Разбивка_по_щитам!F719=0,"",Разбивка_по_щитам!F719)</f>
        <v/>
      </c>
      <c r="B719" s="138">
        <f>IF(A719="","",Разбивка_по_щитам!C719)</f>
        <v/>
      </c>
      <c r="C719" s="138">
        <f t="shared" si="462"/>
        <v/>
      </c>
      <c r="D719" s="266"/>
      <c r="E719" s="266"/>
      <c r="F719" s="267"/>
      <c r="G719" s="145">
        <f t="shared" si="463"/>
        <v/>
      </c>
      <c r="H719" s="145">
        <f t="shared" si="464"/>
        <v/>
      </c>
      <c r="I719" s="266"/>
      <c r="J719" s="267"/>
      <c r="K719" s="267"/>
      <c r="L719" s="266"/>
      <c r="M719" s="147">
        <f t="shared" si="465"/>
        <v/>
      </c>
      <c r="N719" s="267"/>
      <c r="O719" s="147">
        <f t="shared" si="466"/>
        <v/>
      </c>
      <c r="P719" s="268">
        <f>IF(AY719=1,"XT"&amp;COUNTIFS($A$3:A719,A719,$AY$3:AY719,1),"")</f>
        <v/>
      </c>
      <c r="Q719" s="152">
        <f>IF(R719="","",IFERROR(SUBSTITUTE(Разбивка_по_щитам!P719,CHAR(10)," "),""))</f>
        <v/>
      </c>
      <c r="R719" s="153">
        <f>IF(OR(Разбивка_по_щитам!H719="",Разбивка_по_щитам!H719=0),"",Разбивка_по_щитам!H719)</f>
        <v/>
      </c>
      <c r="S719" s="154">
        <f>IF(R719="","",IFERROR(Разбивка_по_щитам!J719&amp;"",""))</f>
        <v/>
      </c>
      <c r="T719" s="155">
        <f>IF(R719="","",IFERROR(--Разбивка_по_щитам!L719,""))</f>
        <v/>
      </c>
      <c r="U719" s="155">
        <f>IF(R719="","",IFERROR(--Разбивка_по_щитам!K719,""))</f>
        <v/>
      </c>
      <c r="V719" s="138">
        <f>IF(R719="","",IFERROR(IF(Разбивка_по_щитам!M719=0,"",Разбивка_по_щитам!M719),""))</f>
        <v/>
      </c>
      <c r="W719" s="156">
        <f t="shared" si="467"/>
        <v/>
      </c>
      <c r="X719" s="157">
        <f t="shared" si="468"/>
        <v/>
      </c>
      <c r="Y719" s="266"/>
      <c r="Z719" s="158">
        <f t="shared" si="469"/>
        <v/>
      </c>
      <c r="AA719" s="160">
        <f t="shared" si="470"/>
        <v/>
      </c>
      <c r="AB719" s="160">
        <f>IF(R719="","",IFERROR(LOOKUP(INDEX(Справочная!$I$4:$I$19,MATCH(VLOOKUP(R719,Исходные_данные,22,FALSE),Справочная!$J$4:$J$19,0)+1),{6,10,16,20,25,32,40,50,63,80,100,125}),""))</f>
        <v/>
      </c>
      <c r="AC719" s="160">
        <f t="shared" si="471"/>
        <v/>
      </c>
      <c r="AD719" s="161">
        <f t="shared" si="472"/>
        <v/>
      </c>
      <c r="AE719" s="161">
        <f>IF(AND(R719="",G719=""),"",_xlfn.TEXTJOIN("; ",TRUE,IF(AND(R719&lt;&gt;"",V719=""),"нет фазы",""),IF(AND(R719&lt;&gt;"",N(T719)=0),"нет мощности",""),IF(AND(P719&lt;&gt;"",COUNTIFS($A$3:$A$1000,A719,$P$3:$P$1000,P719)&gt;1),"дубль клеммы "&amp;P719,""),IF(AND(W719&lt;&gt;"",W719&lt;&gt;"ok"),W719,""),IF(X719&lt;&gt;"",X719,""),IF(AND(ISNUMBER(SEARCH("(5х",Q719)),N(AK719)=1),"5 жил на 1 фазе",""),IF(AND(AL719="R",E719&lt;&gt;"",N(AS719)=0),"розетка без 30 мА",""),IF(IFERROR(_xlfn.NUMBERVALUE(MID(Q719,FIND("-",Q719,FIND("L=",Q719))+1,FIND("%",Q719)-FIND("-",Q719,FIND("L=",Q719))-1),","),0)&gt;4,"потери &gt; 4 %","")))</f>
      </c>
      <c r="AF719" s="129">
        <f>IF(E719&lt;&gt;"",COUNTIFS($A$3:A719,A719,$E$3:E719,"?*"),IF(OR(A719&lt;&gt;A718,Y719="вручную"),"",AF718))</f>
        <v/>
      </c>
      <c r="AG719" s="129">
        <f t="shared" si="473"/>
        <v/>
      </c>
      <c r="AH719" s="129">
        <f t="shared" si="474"/>
        <v/>
      </c>
      <c r="AI719" s="129">
        <f t="shared" si="475"/>
        <v/>
      </c>
      <c r="AJ719" s="129">
        <f t="shared" si="476"/>
        <v/>
      </c>
      <c r="AK719" s="129">
        <f t="shared" si="477"/>
        <v/>
      </c>
      <c r="AL719" s="129">
        <f t="shared" si="478"/>
        <v/>
      </c>
      <c r="AM719" s="129">
        <f t="shared" si="479"/>
      </c>
      <c r="AN719" s="129">
        <f t="shared" si="480"/>
      </c>
      <c r="AO719" s="129">
        <f t="shared" si="481"/>
        <v/>
      </c>
      <c r="AP719" s="129">
        <f t="shared" si="482"/>
        <v/>
      </c>
      <c r="AQ719" s="129">
        <f t="shared" si="483"/>
        <v/>
      </c>
      <c r="AR719" s="129">
        <f t="shared" si="484"/>
        <v/>
      </c>
      <c r="AS719" s="129">
        <f t="shared" si="485"/>
        <v/>
      </c>
      <c r="AT719" s="129">
        <f t="shared" si="486"/>
        <v/>
      </c>
      <c r="AU719" s="129">
        <f t="shared" si="487"/>
        <v/>
      </c>
      <c r="AV719" s="129">
        <f t="shared" si="488"/>
        <v/>
      </c>
      <c r="AW719" s="129">
        <f>IF(AV719="","",AV719&amp;"."&amp;COUNTIFS($A$3:A719,A719,$AV$3:AV719,AV719))</f>
        <v/>
      </c>
      <c r="AX719" s="129">
        <f t="shared" si="489"/>
        <v/>
      </c>
      <c r="AY719" s="129">
        <f>IF(N719="б/к",0,IF(OR(ISNUMBER(SEARCH("L=",Разбивка_по_щитам!P719)),N719="+",N719="="),1,0))</f>
      </c>
      <c r="AZ719" s="129">
        <f t="shared" si="490"/>
        <v/>
      </c>
      <c r="BA719" s="129">
        <f t="shared" si="491"/>
      </c>
      <c r="BB719" s="129">
        <f t="shared" si="492"/>
      </c>
      <c r="BD719" s="129">
        <f t="shared" si="493"/>
      </c>
      <c r="BE719" s="129">
        <f t="shared" si="494"/>
      </c>
      <c r="BF719" s="129">
        <f t="shared" si="495"/>
      </c>
      <c r="BG719" s="129">
        <f t="shared" si="496"/>
        <v/>
      </c>
      <c r="BH719" s="129">
        <f t="shared" si="497"/>
        <v/>
      </c>
      <c r="BI719" s="129">
        <f t="shared" si="498"/>
        <v/>
      </c>
      <c r="BJ719" s="129">
        <f t="shared" si="499"/>
        <v/>
      </c>
      <c r="BK719" s="129">
        <f>IF(R719="","",IF(OR(BY719="",BY719=0),"BOX",IFERROR(IF(VLOOKUP(BY719,УГО_блоки,3,FALSE)&amp;""&lt;&gt;"",VLOOKUP(BY719,УГО_блоки,3,FALSE),VLOOKUP(BY719,УГО_блоки,2,FALSE)),BY719)))</f>
      </c>
      <c r="BL719" s="129">
        <f t="shared" si="501"/>
      </c>
      <c r="BM719" s="129">
        <f>IF(H719="","",IF(COUNTIF($H$3:H719,H719)=1,MAX($BM$2:BM718)+1,""))</f>
      </c>
      <c r="BN719" s="129">
        <f>IF(I719="","",IF(COUNTIF($I$3:I719,I719)+COUNTIF($J$2:J718,I719)+COUNTIF($K$2:K718,I719)=1,MAX($BN$2:BP718)+1,""))</f>
      </c>
      <c r="BO719" s="129">
        <f>IF(J719="","",IF(COUNTIF($I$3:I719,J719)+COUNTIF($J$3:J719,J719)+COUNTIF($K$2:K718,J719)=1,MAX($BN$2:BP718,BN719)+1,""))</f>
      </c>
      <c r="BP719" s="129">
        <f>IF(K719="","",IF(COUNTIF($I$3:I719,K719)+COUNTIF($J$3:J719,K719)+COUNTIF($K$3:K719,K719)=1,MAX($BN$2:BP718,BN719,BO719)+1,""))</f>
      </c>
      <c r="BQ719" s="129">
        <f>IF(AY719=1,IFERROR(MID(Q719,FIND(" (",Q719)+2,FIND(")",Q719,FIND(" (",Q719))-FIND(" (",Q719)-2),"?"),"")</f>
      </c>
      <c r="BR719" s="129">
        <f>IF(BQ719="","",IF(COUNTIF($BQ$3:BQ719,BQ719)=1,MAX($BR$2:BR718)+1,""))</f>
      </c>
      <c r="BS719" s="129">
        <f>IF(AW719="","",COUNTIF($AW$3:AW719,"?*"))</f>
      </c>
      <c r="BT719" s="129">
        <f>IF(OR(AW719="",AI719=""),"",IF(COUNTIFS($AW$3:AW719,"?*",$AI$3:AI719,AI719)=1,MAX($BT$2:BT718)+1,""))</f>
      </c>
      <c r="BU719" s="129">
        <f>IF(AE719="",0,IF(OR(ISNUMBER(SEARCH("дубль",AE719)),ISNUMBER(SEARCH("ПЕРЕГРУЗ",AE719)),ISNUMBER(SEARCH("ЗАЩИЩ",AE719)),ISNUMBER(SEARCH("КАНАЛ",AE719)),ISNUMBER(SEARCH("без 30",AE719))),2,1))</f>
      </c>
      <c r="BV719" s="129">
        <f>IF(R719="","",COUNTIF($R$3:R719,"?*"))</f>
      </c>
      <c r="BW719" s="129">
        <f>IF(AY719&lt;&gt;1,0,IF(MAX(IFERROR(--VLOOKUP(R719,УГО_спр,5,FALSE),0),IFERROR(--VLOOKUP(AL719,УГО_спр,5,FALSE),0),IFERROR(--VLOOKUP(LEFT(AL719,2),УГО_спр,5,FALSE),0))&gt;0,MAX(IFERROR(--VLOOKUP(R719,УГО_спр,5,FALSE),0),IFERROR(--VLOOKUP(AL719,УГО_спр,5,FALSE),0),IFERROR(--VLOOKUP(LEFT(AL719,2),УГО_спр,5,FALSE),0)),IF(IFERROR(--LEFT(SUBSTITUTE(BQ719,"x","х"),FIND("х",SUBSTITUTE(BQ719,"x","х"))-1),3)&gt;3,Каталог!$S$9,1)))</f>
      </c>
      <c r="BX719" s="129">
        <f>IF(AY719&lt;&gt;1,0,MAX(0,IFERROR(--LEFT(SUBSTITUTE(BQ719,"x","х"),FIND("х",SUBSTITUTE(BQ719,"x","х"))-1),3)-3*BW719))</f>
      </c>
      <c r="BY719" s="129">
        <f>IF(R719="","",IFERROR(VLOOKUP(R719,УГО_спр,2,FALSE),IFERROR(VLOOKUP(AL719,УГО_спр,2,FALSE),IFERROR(VLOOKUP(LEFT(AL719,2),УГО_спр,2,FALSE),""))))</f>
      </c>
    </row>
    <row r="720" spans="1:64" x14ac:dyDescent="0.3">
      <c r="A720" s="135">
        <f>IF(Разбивка_по_щитам!F720=0,"",Разбивка_по_щитам!F720)</f>
        <v/>
      </c>
      <c r="B720" s="138">
        <f>IF(A720="","",Разбивка_по_щитам!C720)</f>
        <v/>
      </c>
      <c r="C720" s="138">
        <f t="shared" si="462"/>
        <v/>
      </c>
      <c r="D720" s="266"/>
      <c r="E720" s="266"/>
      <c r="F720" s="267"/>
      <c r="G720" s="145">
        <f t="shared" si="463"/>
        <v/>
      </c>
      <c r="H720" s="145">
        <f t="shared" si="464"/>
        <v/>
      </c>
      <c r="I720" s="266"/>
      <c r="J720" s="267"/>
      <c r="K720" s="267"/>
      <c r="L720" s="266"/>
      <c r="M720" s="147">
        <f t="shared" si="465"/>
        <v/>
      </c>
      <c r="N720" s="267"/>
      <c r="O720" s="147">
        <f t="shared" si="466"/>
        <v/>
      </c>
      <c r="P720" s="268">
        <f>IF(AY720=1,"XT"&amp;COUNTIFS($A$3:A720,A720,$AY$3:AY720,1),"")</f>
        <v/>
      </c>
      <c r="Q720" s="152">
        <f>IF(R720="","",IFERROR(SUBSTITUTE(Разбивка_по_щитам!P720,CHAR(10)," "),""))</f>
        <v/>
      </c>
      <c r="R720" s="153">
        <f>IF(OR(Разбивка_по_щитам!H720="",Разбивка_по_щитам!H720=0),"",Разбивка_по_щитам!H720)</f>
        <v/>
      </c>
      <c r="S720" s="154">
        <f>IF(R720="","",IFERROR(Разбивка_по_щитам!J720&amp;"",""))</f>
        <v/>
      </c>
      <c r="T720" s="155">
        <f>IF(R720="","",IFERROR(--Разбивка_по_щитам!L720,""))</f>
        <v/>
      </c>
      <c r="U720" s="155">
        <f>IF(R720="","",IFERROR(--Разбивка_по_щитам!K720,""))</f>
        <v/>
      </c>
      <c r="V720" s="138">
        <f>IF(R720="","",IFERROR(IF(Разбивка_по_щитам!M720=0,"",Разбивка_по_щитам!M720),""))</f>
        <v/>
      </c>
      <c r="W720" s="156">
        <f t="shared" si="467"/>
        <v/>
      </c>
      <c r="X720" s="157">
        <f t="shared" si="468"/>
        <v/>
      </c>
      <c r="Y720" s="266"/>
      <c r="Z720" s="158">
        <f t="shared" si="469"/>
        <v/>
      </c>
      <c r="AA720" s="160">
        <f t="shared" si="470"/>
        <v/>
      </c>
      <c r="AB720" s="160">
        <f>IF(R720="","",IFERROR(LOOKUP(INDEX(Справочная!$I$4:$I$19,MATCH(VLOOKUP(R720,Исходные_данные,22,FALSE),Справочная!$J$4:$J$19,0)+1),{6,10,16,20,25,32,40,50,63,80,100,125}),""))</f>
        <v/>
      </c>
      <c r="AC720" s="160">
        <f t="shared" si="471"/>
        <v/>
      </c>
      <c r="AD720" s="161">
        <f t="shared" si="472"/>
        <v/>
      </c>
      <c r="AE720" s="161">
        <f>IF(AND(R720="",G720=""),"",_xlfn.TEXTJOIN("; ",TRUE,IF(AND(R720&lt;&gt;"",V720=""),"нет фазы",""),IF(AND(R720&lt;&gt;"",N(T720)=0),"нет мощности",""),IF(AND(P720&lt;&gt;"",COUNTIFS($A$3:$A$1000,A720,$P$3:$P$1000,P720)&gt;1),"дубль клеммы "&amp;P720,""),IF(AND(W720&lt;&gt;"",W720&lt;&gt;"ok"),W720,""),IF(X720&lt;&gt;"",X720,""),IF(AND(ISNUMBER(SEARCH("(5х",Q720)),N(AK720)=1),"5 жил на 1 фазе",""),IF(AND(AL720="R",E720&lt;&gt;"",N(AS720)=0),"розетка без 30 мА",""),IF(IFERROR(_xlfn.NUMBERVALUE(MID(Q720,FIND("-",Q720,FIND("L=",Q720))+1,FIND("%",Q720)-FIND("-",Q720,FIND("L=",Q720))-1),","),0)&gt;4,"потери &gt; 4 %","")))</f>
      </c>
      <c r="AF720" s="129">
        <f>IF(E720&lt;&gt;"",COUNTIFS($A$3:A720,A720,$E$3:E720,"?*"),IF(OR(A720&lt;&gt;A719,Y720="вручную"),"",AF719))</f>
        <v/>
      </c>
      <c r="AG720" s="129">
        <f t="shared" si="473"/>
        <v/>
      </c>
      <c r="AH720" s="129">
        <f t="shared" si="474"/>
        <v/>
      </c>
      <c r="AI720" s="129">
        <f t="shared" si="475"/>
        <v/>
      </c>
      <c r="AJ720" s="129">
        <f t="shared" si="476"/>
        <v/>
      </c>
      <c r="AK720" s="129">
        <f t="shared" si="477"/>
        <v/>
      </c>
      <c r="AL720" s="129">
        <f t="shared" si="478"/>
        <v/>
      </c>
      <c r="AM720" s="129">
        <f t="shared" si="479"/>
      </c>
      <c r="AN720" s="129">
        <f t="shared" si="480"/>
      </c>
      <c r="AO720" s="129">
        <f t="shared" si="481"/>
        <v/>
      </c>
      <c r="AP720" s="129">
        <f t="shared" si="482"/>
        <v/>
      </c>
      <c r="AQ720" s="129">
        <f t="shared" si="483"/>
        <v/>
      </c>
      <c r="AR720" s="129">
        <f t="shared" si="484"/>
        <v/>
      </c>
      <c r="AS720" s="129">
        <f t="shared" si="485"/>
        <v/>
      </c>
      <c r="AT720" s="129">
        <f t="shared" si="486"/>
        <v/>
      </c>
      <c r="AU720" s="129">
        <f t="shared" si="487"/>
        <v/>
      </c>
      <c r="AV720" s="129">
        <f t="shared" si="488"/>
        <v/>
      </c>
      <c r="AW720" s="129">
        <f>IF(AV720="","",AV720&amp;"."&amp;COUNTIFS($A$3:A720,A720,$AV$3:AV720,AV720))</f>
        <v/>
      </c>
      <c r="AX720" s="129">
        <f t="shared" si="489"/>
        <v/>
      </c>
      <c r="AY720" s="129">
        <f>IF(N720="б/к",0,IF(OR(ISNUMBER(SEARCH("L=",Разбивка_по_щитам!P720)),N720="+",N720="="),1,0))</f>
      </c>
      <c r="AZ720" s="129">
        <f t="shared" si="490"/>
        <v/>
      </c>
      <c r="BA720" s="129">
        <f t="shared" si="491"/>
      </c>
      <c r="BB720" s="129">
        <f t="shared" si="492"/>
      </c>
      <c r="BD720" s="129">
        <f t="shared" si="493"/>
      </c>
      <c r="BE720" s="129">
        <f t="shared" si="494"/>
      </c>
      <c r="BF720" s="129">
        <f t="shared" si="495"/>
      </c>
      <c r="BG720" s="129">
        <f t="shared" si="496"/>
        <v/>
      </c>
      <c r="BH720" s="129">
        <f t="shared" si="497"/>
        <v/>
      </c>
      <c r="BI720" s="129">
        <f t="shared" si="498"/>
        <v/>
      </c>
      <c r="BJ720" s="129">
        <f t="shared" si="499"/>
        <v/>
      </c>
      <c r="BK720" s="129">
        <f>IF(R720="","",IF(OR(BY720="",BY720=0),"BOX",IFERROR(IF(VLOOKUP(BY720,УГО_блоки,3,FALSE)&amp;""&lt;&gt;"",VLOOKUP(BY720,УГО_блоки,3,FALSE),VLOOKUP(BY720,УГО_блоки,2,FALSE)),BY720)))</f>
      </c>
      <c r="BL720" s="129">
        <f t="shared" si="501"/>
      </c>
      <c r="BM720" s="129">
        <f>IF(H720="","",IF(COUNTIF($H$3:H720,H720)=1,MAX($BM$2:BM719)+1,""))</f>
      </c>
      <c r="BN720" s="129">
        <f>IF(I720="","",IF(COUNTIF($I$3:I720,I720)+COUNTIF($J$2:J719,I720)+COUNTIF($K$2:K719,I720)=1,MAX($BN$2:BP719)+1,""))</f>
      </c>
      <c r="BO720" s="129">
        <f>IF(J720="","",IF(COUNTIF($I$3:I720,J720)+COUNTIF($J$3:J720,J720)+COUNTIF($K$2:K719,J720)=1,MAX($BN$2:BP719,BN720)+1,""))</f>
      </c>
      <c r="BP720" s="129">
        <f>IF(K720="","",IF(COUNTIF($I$3:I720,K720)+COUNTIF($J$3:J720,K720)+COUNTIF($K$3:K720,K720)=1,MAX($BN$2:BP719,BN720,BO720)+1,""))</f>
      </c>
      <c r="BQ720" s="129">
        <f>IF(AY720=1,IFERROR(MID(Q720,FIND(" (",Q720)+2,FIND(")",Q720,FIND(" (",Q720))-FIND(" (",Q720)-2),"?"),"")</f>
      </c>
      <c r="BR720" s="129">
        <f>IF(BQ720="","",IF(COUNTIF($BQ$3:BQ720,BQ720)=1,MAX($BR$2:BR719)+1,""))</f>
      </c>
      <c r="BS720" s="129">
        <f>IF(AW720="","",COUNTIF($AW$3:AW720,"?*"))</f>
      </c>
      <c r="BT720" s="129">
        <f>IF(OR(AW720="",AI720=""),"",IF(COUNTIFS($AW$3:AW720,"?*",$AI$3:AI720,AI720)=1,MAX($BT$2:BT719)+1,""))</f>
      </c>
      <c r="BU720" s="129">
        <f>IF(AE720="",0,IF(OR(ISNUMBER(SEARCH("дубль",AE720)),ISNUMBER(SEARCH("ПЕРЕГРУЗ",AE720)),ISNUMBER(SEARCH("ЗАЩИЩ",AE720)),ISNUMBER(SEARCH("КАНАЛ",AE720)),ISNUMBER(SEARCH("без 30",AE720))),2,1))</f>
      </c>
      <c r="BV720" s="129">
        <f>IF(R720="","",COUNTIF($R$3:R720,"?*"))</f>
      </c>
      <c r="BW720" s="129">
        <f>IF(AY720&lt;&gt;1,0,IF(MAX(IFERROR(--VLOOKUP(R720,УГО_спр,5,FALSE),0),IFERROR(--VLOOKUP(AL720,УГО_спр,5,FALSE),0),IFERROR(--VLOOKUP(LEFT(AL720,2),УГО_спр,5,FALSE),0))&gt;0,MAX(IFERROR(--VLOOKUP(R720,УГО_спр,5,FALSE),0),IFERROR(--VLOOKUP(AL720,УГО_спр,5,FALSE),0),IFERROR(--VLOOKUP(LEFT(AL720,2),УГО_спр,5,FALSE),0)),IF(IFERROR(--LEFT(SUBSTITUTE(BQ720,"x","х"),FIND("х",SUBSTITUTE(BQ720,"x","х"))-1),3)&gt;3,Каталог!$S$9,1)))</f>
      </c>
      <c r="BX720" s="129">
        <f>IF(AY720&lt;&gt;1,0,MAX(0,IFERROR(--LEFT(SUBSTITUTE(BQ720,"x","х"),FIND("х",SUBSTITUTE(BQ720,"x","х"))-1),3)-3*BW720))</f>
      </c>
      <c r="BY720" s="129">
        <f>IF(R720="","",IFERROR(VLOOKUP(R720,УГО_спр,2,FALSE),IFERROR(VLOOKUP(AL720,УГО_спр,2,FALSE),IFERROR(VLOOKUP(LEFT(AL720,2),УГО_спр,2,FALSE),""))))</f>
      </c>
    </row>
    <row r="721" spans="1:64" x14ac:dyDescent="0.3">
      <c r="A721" s="135">
        <f>IF(Разбивка_по_щитам!F721=0,"",Разбивка_по_щитам!F721)</f>
        <v/>
      </c>
      <c r="B721" s="138">
        <f>IF(A721="","",Разбивка_по_щитам!C721)</f>
        <v/>
      </c>
      <c r="C721" s="138">
        <f t="shared" si="462"/>
        <v/>
      </c>
      <c r="D721" s="266"/>
      <c r="E721" s="266"/>
      <c r="F721" s="267"/>
      <c r="G721" s="145">
        <f t="shared" si="463"/>
        <v/>
      </c>
      <c r="H721" s="145">
        <f t="shared" si="464"/>
        <v/>
      </c>
      <c r="I721" s="266"/>
      <c r="J721" s="267"/>
      <c r="K721" s="267"/>
      <c r="L721" s="266"/>
      <c r="M721" s="147">
        <f t="shared" si="465"/>
        <v/>
      </c>
      <c r="N721" s="267"/>
      <c r="O721" s="147">
        <f t="shared" si="466"/>
        <v/>
      </c>
      <c r="P721" s="268">
        <f>IF(AY721=1,"XT"&amp;COUNTIFS($A$3:A721,A721,$AY$3:AY721,1),"")</f>
        <v/>
      </c>
      <c r="Q721" s="152">
        <f>IF(R721="","",IFERROR(SUBSTITUTE(Разбивка_по_щитам!P721,CHAR(10)," "),""))</f>
        <v/>
      </c>
      <c r="R721" s="153">
        <f>IF(OR(Разбивка_по_щитам!H721="",Разбивка_по_щитам!H721=0),"",Разбивка_по_щитам!H721)</f>
        <v/>
      </c>
      <c r="S721" s="154">
        <f>IF(R721="","",IFERROR(Разбивка_по_щитам!J721&amp;"",""))</f>
        <v/>
      </c>
      <c r="T721" s="155">
        <f>IF(R721="","",IFERROR(--Разбивка_по_щитам!L721,""))</f>
        <v/>
      </c>
      <c r="U721" s="155">
        <f>IF(R721="","",IFERROR(--Разбивка_по_щитам!K721,""))</f>
        <v/>
      </c>
      <c r="V721" s="138">
        <f>IF(R721="","",IFERROR(IF(Разбивка_по_щитам!M721=0,"",Разбивка_по_щитам!M721),""))</f>
        <v/>
      </c>
      <c r="W721" s="156">
        <f t="shared" si="467"/>
        <v/>
      </c>
      <c r="X721" s="157">
        <f t="shared" si="468"/>
        <v/>
      </c>
      <c r="Y721" s="266"/>
      <c r="Z721" s="158">
        <f t="shared" si="469"/>
        <v/>
      </c>
      <c r="AA721" s="160">
        <f t="shared" si="470"/>
        <v/>
      </c>
      <c r="AB721" s="160">
        <f>IF(R721="","",IFERROR(LOOKUP(INDEX(Справочная!$I$4:$I$19,MATCH(VLOOKUP(R721,Исходные_данные,22,FALSE),Справочная!$J$4:$J$19,0)+1),{6,10,16,20,25,32,40,50,63,80,100,125}),""))</f>
        <v/>
      </c>
      <c r="AC721" s="160">
        <f t="shared" si="471"/>
        <v/>
      </c>
      <c r="AD721" s="161">
        <f t="shared" si="472"/>
        <v/>
      </c>
      <c r="AE721" s="161">
        <f>IF(AND(R721="",G721=""),"",_xlfn.TEXTJOIN("; ",TRUE,IF(AND(R721&lt;&gt;"",V721=""),"нет фазы",""),IF(AND(R721&lt;&gt;"",N(T721)=0),"нет мощности",""),IF(AND(P721&lt;&gt;"",COUNTIFS($A$3:$A$1000,A721,$P$3:$P$1000,P721)&gt;1),"дубль клеммы "&amp;P721,""),IF(AND(W721&lt;&gt;"",W721&lt;&gt;"ok"),W721,""),IF(X721&lt;&gt;"",X721,""),IF(AND(ISNUMBER(SEARCH("(5х",Q721)),N(AK721)=1),"5 жил на 1 фазе",""),IF(AND(AL721="R",E721&lt;&gt;"",N(AS721)=0),"розетка без 30 мА",""),IF(IFERROR(_xlfn.NUMBERVALUE(MID(Q721,FIND("-",Q721,FIND("L=",Q721))+1,FIND("%",Q721)-FIND("-",Q721,FIND("L=",Q721))-1),","),0)&gt;4,"потери &gt; 4 %","")))</f>
      </c>
      <c r="AF721" s="129">
        <f>IF(E721&lt;&gt;"",COUNTIFS($A$3:A721,A721,$E$3:E721,"?*"),IF(OR(A721&lt;&gt;A720,Y721="вручную"),"",AF720))</f>
        <v/>
      </c>
      <c r="AG721" s="129">
        <f t="shared" si="473"/>
        <v/>
      </c>
      <c r="AH721" s="129">
        <f t="shared" si="474"/>
        <v/>
      </c>
      <c r="AI721" s="129">
        <f t="shared" si="475"/>
        <v/>
      </c>
      <c r="AJ721" s="129">
        <f t="shared" si="476"/>
        <v/>
      </c>
      <c r="AK721" s="129">
        <f t="shared" si="477"/>
        <v/>
      </c>
      <c r="AL721" s="129">
        <f t="shared" si="478"/>
        <v/>
      </c>
      <c r="AM721" s="129">
        <f t="shared" si="479"/>
      </c>
      <c r="AN721" s="129">
        <f t="shared" si="480"/>
      </c>
      <c r="AO721" s="129">
        <f t="shared" si="481"/>
        <v/>
      </c>
      <c r="AP721" s="129">
        <f t="shared" si="482"/>
        <v/>
      </c>
      <c r="AQ721" s="129">
        <f t="shared" si="483"/>
        <v/>
      </c>
      <c r="AR721" s="129">
        <f t="shared" si="484"/>
        <v/>
      </c>
      <c r="AS721" s="129">
        <f t="shared" si="485"/>
        <v/>
      </c>
      <c r="AT721" s="129">
        <f t="shared" si="486"/>
        <v/>
      </c>
      <c r="AU721" s="129">
        <f t="shared" si="487"/>
        <v/>
      </c>
      <c r="AV721" s="129">
        <f t="shared" si="488"/>
        <v/>
      </c>
      <c r="AW721" s="129">
        <f>IF(AV721="","",AV721&amp;"."&amp;COUNTIFS($A$3:A721,A721,$AV$3:AV721,AV721))</f>
        <v/>
      </c>
      <c r="AX721" s="129">
        <f t="shared" si="489"/>
        <v/>
      </c>
      <c r="AY721" s="129">
        <f>IF(N721="б/к",0,IF(OR(ISNUMBER(SEARCH("L=",Разбивка_по_щитам!P721)),N721="+",N721="="),1,0))</f>
      </c>
      <c r="AZ721" s="129">
        <f t="shared" si="490"/>
        <v/>
      </c>
      <c r="BA721" s="129">
        <f t="shared" si="491"/>
      </c>
      <c r="BB721" s="129">
        <f t="shared" si="492"/>
      </c>
      <c r="BD721" s="129">
        <f t="shared" si="493"/>
      </c>
      <c r="BE721" s="129">
        <f t="shared" si="494"/>
      </c>
      <c r="BF721" s="129">
        <f t="shared" si="495"/>
      </c>
      <c r="BG721" s="129">
        <f t="shared" si="496"/>
        <v/>
      </c>
      <c r="BH721" s="129">
        <f t="shared" si="497"/>
        <v/>
      </c>
      <c r="BI721" s="129">
        <f t="shared" si="498"/>
        <v/>
      </c>
      <c r="BJ721" s="129">
        <f t="shared" si="499"/>
        <v/>
      </c>
      <c r="BK721" s="129">
        <f>IF(R721="","",IF(OR(BY721="",BY721=0),"BOX",IFERROR(IF(VLOOKUP(BY721,УГО_блоки,3,FALSE)&amp;""&lt;&gt;"",VLOOKUP(BY721,УГО_блоки,3,FALSE),VLOOKUP(BY721,УГО_блоки,2,FALSE)),BY721)))</f>
      </c>
      <c r="BL721" s="129">
        <f t="shared" si="501"/>
      </c>
      <c r="BM721" s="129">
        <f>IF(H721="","",IF(COUNTIF($H$3:H721,H721)=1,MAX($BM$2:BM720)+1,""))</f>
      </c>
      <c r="BN721" s="129">
        <f>IF(I721="","",IF(COUNTIF($I$3:I721,I721)+COUNTIF($J$2:J720,I721)+COUNTIF($K$2:K720,I721)=1,MAX($BN$2:BP720)+1,""))</f>
      </c>
      <c r="BO721" s="129">
        <f>IF(J721="","",IF(COUNTIF($I$3:I721,J721)+COUNTIF($J$3:J721,J721)+COUNTIF($K$2:K720,J721)=1,MAX($BN$2:BP720,BN721)+1,""))</f>
      </c>
      <c r="BP721" s="129">
        <f>IF(K721="","",IF(COUNTIF($I$3:I721,K721)+COUNTIF($J$3:J721,K721)+COUNTIF($K$3:K721,K721)=1,MAX($BN$2:BP720,BN721,BO721)+1,""))</f>
      </c>
      <c r="BQ721" s="129">
        <f>IF(AY721=1,IFERROR(MID(Q721,FIND(" (",Q721)+2,FIND(")",Q721,FIND(" (",Q721))-FIND(" (",Q721)-2),"?"),"")</f>
      </c>
      <c r="BR721" s="129">
        <f>IF(BQ721="","",IF(COUNTIF($BQ$3:BQ721,BQ721)=1,MAX($BR$2:BR720)+1,""))</f>
      </c>
      <c r="BS721" s="129">
        <f>IF(AW721="","",COUNTIF($AW$3:AW721,"?*"))</f>
      </c>
      <c r="BT721" s="129">
        <f>IF(OR(AW721="",AI721=""),"",IF(COUNTIFS($AW$3:AW721,"?*",$AI$3:AI721,AI721)=1,MAX($BT$2:BT720)+1,""))</f>
      </c>
      <c r="BU721" s="129">
        <f>IF(AE721="",0,IF(OR(ISNUMBER(SEARCH("дубль",AE721)),ISNUMBER(SEARCH("ПЕРЕГРУЗ",AE721)),ISNUMBER(SEARCH("ЗАЩИЩ",AE721)),ISNUMBER(SEARCH("КАНАЛ",AE721)),ISNUMBER(SEARCH("без 30",AE721))),2,1))</f>
      </c>
      <c r="BV721" s="129">
        <f>IF(R721="","",COUNTIF($R$3:R721,"?*"))</f>
      </c>
      <c r="BW721" s="129">
        <f>IF(AY721&lt;&gt;1,0,IF(MAX(IFERROR(--VLOOKUP(R721,УГО_спр,5,FALSE),0),IFERROR(--VLOOKUP(AL721,УГО_спр,5,FALSE),0),IFERROR(--VLOOKUP(LEFT(AL721,2),УГО_спр,5,FALSE),0))&gt;0,MAX(IFERROR(--VLOOKUP(R721,УГО_спр,5,FALSE),0),IFERROR(--VLOOKUP(AL721,УГО_спр,5,FALSE),0),IFERROR(--VLOOKUP(LEFT(AL721,2),УГО_спр,5,FALSE),0)),IF(IFERROR(--LEFT(SUBSTITUTE(BQ721,"x","х"),FIND("х",SUBSTITUTE(BQ721,"x","х"))-1),3)&gt;3,Каталог!$S$9,1)))</f>
      </c>
      <c r="BX721" s="129">
        <f>IF(AY721&lt;&gt;1,0,MAX(0,IFERROR(--LEFT(SUBSTITUTE(BQ721,"x","х"),FIND("х",SUBSTITUTE(BQ721,"x","х"))-1),3)-3*BW721))</f>
      </c>
      <c r="BY721" s="129">
        <f>IF(R721="","",IFERROR(VLOOKUP(R721,УГО_спр,2,FALSE),IFERROR(VLOOKUP(AL721,УГО_спр,2,FALSE),IFERROR(VLOOKUP(LEFT(AL721,2),УГО_спр,2,FALSE),""))))</f>
      </c>
    </row>
    <row r="722" spans="1:64" x14ac:dyDescent="0.3">
      <c r="A722" s="135">
        <f>IF(Разбивка_по_щитам!F722=0,"",Разбивка_по_щитам!F722)</f>
        <v/>
      </c>
      <c r="B722" s="138">
        <f>IF(A722="","",Разбивка_по_щитам!C722)</f>
        <v/>
      </c>
      <c r="C722" s="138">
        <f t="shared" si="462"/>
        <v/>
      </c>
      <c r="D722" s="266"/>
      <c r="E722" s="266"/>
      <c r="F722" s="267"/>
      <c r="G722" s="145">
        <f t="shared" si="463"/>
        <v/>
      </c>
      <c r="H722" s="145">
        <f t="shared" si="464"/>
        <v/>
      </c>
      <c r="I722" s="266"/>
      <c r="J722" s="267"/>
      <c r="K722" s="267"/>
      <c r="L722" s="266"/>
      <c r="M722" s="147">
        <f t="shared" si="465"/>
        <v/>
      </c>
      <c r="N722" s="267"/>
      <c r="O722" s="147">
        <f t="shared" si="466"/>
        <v/>
      </c>
      <c r="P722" s="268">
        <f>IF(AY722=1,"XT"&amp;COUNTIFS($A$3:A722,A722,$AY$3:AY722,1),"")</f>
        <v/>
      </c>
      <c r="Q722" s="152">
        <f>IF(R722="","",IFERROR(SUBSTITUTE(Разбивка_по_щитам!P722,CHAR(10)," "),""))</f>
        <v/>
      </c>
      <c r="R722" s="153">
        <f>IF(OR(Разбивка_по_щитам!H722="",Разбивка_по_щитам!H722=0),"",Разбивка_по_щитам!H722)</f>
        <v/>
      </c>
      <c r="S722" s="154">
        <f>IF(R722="","",IFERROR(Разбивка_по_щитам!J722&amp;"",""))</f>
        <v/>
      </c>
      <c r="T722" s="155">
        <f>IF(R722="","",IFERROR(--Разбивка_по_щитам!L722,""))</f>
        <v/>
      </c>
      <c r="U722" s="155">
        <f>IF(R722="","",IFERROR(--Разбивка_по_щитам!K722,""))</f>
        <v/>
      </c>
      <c r="V722" s="138">
        <f>IF(R722="","",IFERROR(IF(Разбивка_по_щитам!M722=0,"",Разбивка_по_щитам!M722),""))</f>
        <v/>
      </c>
      <c r="W722" s="156">
        <f t="shared" si="467"/>
        <v/>
      </c>
      <c r="X722" s="157">
        <f t="shared" si="468"/>
        <v/>
      </c>
      <c r="Y722" s="266"/>
      <c r="Z722" s="158">
        <f t="shared" si="469"/>
        <v/>
      </c>
      <c r="AA722" s="160">
        <f t="shared" si="470"/>
        <v/>
      </c>
      <c r="AB722" s="160">
        <f>IF(R722="","",IFERROR(LOOKUP(INDEX(Справочная!$I$4:$I$19,MATCH(VLOOKUP(R722,Исходные_данные,22,FALSE),Справочная!$J$4:$J$19,0)+1),{6,10,16,20,25,32,40,50,63,80,100,125}),""))</f>
        <v/>
      </c>
      <c r="AC722" s="160">
        <f t="shared" si="471"/>
        <v/>
      </c>
      <c r="AD722" s="161">
        <f t="shared" si="472"/>
        <v/>
      </c>
      <c r="AE722" s="161">
        <f>IF(AND(R722="",G722=""),"",_xlfn.TEXTJOIN("; ",TRUE,IF(AND(R722&lt;&gt;"",V722=""),"нет фазы",""),IF(AND(R722&lt;&gt;"",N(T722)=0),"нет мощности",""),IF(AND(P722&lt;&gt;"",COUNTIFS($A$3:$A$1000,A722,$P$3:$P$1000,P722)&gt;1),"дубль клеммы "&amp;P722,""),IF(AND(W722&lt;&gt;"",W722&lt;&gt;"ok"),W722,""),IF(X722&lt;&gt;"",X722,""),IF(AND(ISNUMBER(SEARCH("(5х",Q722)),N(AK722)=1),"5 жил на 1 фазе",""),IF(AND(AL722="R",E722&lt;&gt;"",N(AS722)=0),"розетка без 30 мА",""),IF(IFERROR(_xlfn.NUMBERVALUE(MID(Q722,FIND("-",Q722,FIND("L=",Q722))+1,FIND("%",Q722)-FIND("-",Q722,FIND("L=",Q722))-1),","),0)&gt;4,"потери &gt; 4 %","")))</f>
      </c>
      <c r="AF722" s="129">
        <f>IF(E722&lt;&gt;"",COUNTIFS($A$3:A722,A722,$E$3:E722,"?*"),IF(OR(A722&lt;&gt;A721,Y722="вручную"),"",AF721))</f>
        <v/>
      </c>
      <c r="AG722" s="129">
        <f t="shared" si="473"/>
        <v/>
      </c>
      <c r="AH722" s="129">
        <f t="shared" si="474"/>
        <v/>
      </c>
      <c r="AI722" s="129">
        <f t="shared" si="475"/>
        <v/>
      </c>
      <c r="AJ722" s="129">
        <f t="shared" si="476"/>
        <v/>
      </c>
      <c r="AK722" s="129">
        <f t="shared" si="477"/>
        <v/>
      </c>
      <c r="AL722" s="129">
        <f t="shared" si="478"/>
        <v/>
      </c>
      <c r="AM722" s="129">
        <f t="shared" si="479"/>
      </c>
      <c r="AN722" s="129">
        <f t="shared" si="480"/>
      </c>
      <c r="AO722" s="129">
        <f t="shared" si="481"/>
        <v/>
      </c>
      <c r="AP722" s="129">
        <f t="shared" si="482"/>
        <v/>
      </c>
      <c r="AQ722" s="129">
        <f t="shared" si="483"/>
        <v/>
      </c>
      <c r="AR722" s="129">
        <f t="shared" si="484"/>
        <v/>
      </c>
      <c r="AS722" s="129">
        <f t="shared" si="485"/>
        <v/>
      </c>
      <c r="AT722" s="129">
        <f t="shared" si="486"/>
        <v/>
      </c>
      <c r="AU722" s="129">
        <f t="shared" si="487"/>
        <v/>
      </c>
      <c r="AV722" s="129">
        <f t="shared" si="488"/>
        <v/>
      </c>
      <c r="AW722" s="129">
        <f>IF(AV722="","",AV722&amp;"."&amp;COUNTIFS($A$3:A722,A722,$AV$3:AV722,AV722))</f>
        <v/>
      </c>
      <c r="AX722" s="129">
        <f t="shared" si="489"/>
        <v/>
      </c>
      <c r="AY722" s="129">
        <f>IF(N722="б/к",0,IF(OR(ISNUMBER(SEARCH("L=",Разбивка_по_щитам!P722)),N722="+",N722="="),1,0))</f>
      </c>
      <c r="AZ722" s="129">
        <f t="shared" si="490"/>
        <v/>
      </c>
      <c r="BA722" s="129">
        <f t="shared" si="491"/>
      </c>
      <c r="BB722" s="129">
        <f t="shared" si="492"/>
      </c>
      <c r="BD722" s="129">
        <f t="shared" si="493"/>
      </c>
      <c r="BE722" s="129">
        <f t="shared" si="494"/>
      </c>
      <c r="BF722" s="129">
        <f t="shared" si="495"/>
      </c>
      <c r="BG722" s="129">
        <f t="shared" si="496"/>
        <v/>
      </c>
      <c r="BH722" s="129">
        <f t="shared" si="497"/>
        <v/>
      </c>
      <c r="BI722" s="129">
        <f t="shared" si="498"/>
        <v/>
      </c>
      <c r="BJ722" s="129">
        <f t="shared" si="499"/>
        <v/>
      </c>
      <c r="BK722" s="129">
        <f>IF(R722="","",IF(OR(BY722="",BY722=0),"BOX",IFERROR(IF(VLOOKUP(BY722,УГО_блоки,3,FALSE)&amp;""&lt;&gt;"",VLOOKUP(BY722,УГО_блоки,3,FALSE),VLOOKUP(BY722,УГО_блоки,2,FALSE)),BY722)))</f>
      </c>
      <c r="BL722" s="129">
        <f t="shared" si="501"/>
      </c>
      <c r="BM722" s="129">
        <f>IF(H722="","",IF(COUNTIF($H$3:H722,H722)=1,MAX($BM$2:BM721)+1,""))</f>
      </c>
      <c r="BN722" s="129">
        <f>IF(I722="","",IF(COUNTIF($I$3:I722,I722)+COUNTIF($J$2:J721,I722)+COUNTIF($K$2:K721,I722)=1,MAX($BN$2:BP721)+1,""))</f>
      </c>
      <c r="BO722" s="129">
        <f>IF(J722="","",IF(COUNTIF($I$3:I722,J722)+COUNTIF($J$3:J722,J722)+COUNTIF($K$2:K721,J722)=1,MAX($BN$2:BP721,BN722)+1,""))</f>
      </c>
      <c r="BP722" s="129">
        <f>IF(K722="","",IF(COUNTIF($I$3:I722,K722)+COUNTIF($J$3:J722,K722)+COUNTIF($K$3:K722,K722)=1,MAX($BN$2:BP721,BN722,BO722)+1,""))</f>
      </c>
      <c r="BQ722" s="129">
        <f>IF(AY722=1,IFERROR(MID(Q722,FIND(" (",Q722)+2,FIND(")",Q722,FIND(" (",Q722))-FIND(" (",Q722)-2),"?"),"")</f>
      </c>
      <c r="BR722" s="129">
        <f>IF(BQ722="","",IF(COUNTIF($BQ$3:BQ722,BQ722)=1,MAX($BR$2:BR721)+1,""))</f>
      </c>
      <c r="BS722" s="129">
        <f>IF(AW722="","",COUNTIF($AW$3:AW722,"?*"))</f>
      </c>
      <c r="BT722" s="129">
        <f>IF(OR(AW722="",AI722=""),"",IF(COUNTIFS($AW$3:AW722,"?*",$AI$3:AI722,AI722)=1,MAX($BT$2:BT721)+1,""))</f>
      </c>
      <c r="BU722" s="129">
        <f>IF(AE722="",0,IF(OR(ISNUMBER(SEARCH("дубль",AE722)),ISNUMBER(SEARCH("ПЕРЕГРУЗ",AE722)),ISNUMBER(SEARCH("ЗАЩИЩ",AE722)),ISNUMBER(SEARCH("КАНАЛ",AE722)),ISNUMBER(SEARCH("без 30",AE722))),2,1))</f>
      </c>
      <c r="BV722" s="129">
        <f>IF(R722="","",COUNTIF($R$3:R722,"?*"))</f>
      </c>
      <c r="BW722" s="129">
        <f>IF(AY722&lt;&gt;1,0,IF(MAX(IFERROR(--VLOOKUP(R722,УГО_спр,5,FALSE),0),IFERROR(--VLOOKUP(AL722,УГО_спр,5,FALSE),0),IFERROR(--VLOOKUP(LEFT(AL722,2),УГО_спр,5,FALSE),0))&gt;0,MAX(IFERROR(--VLOOKUP(R722,УГО_спр,5,FALSE),0),IFERROR(--VLOOKUP(AL722,УГО_спр,5,FALSE),0),IFERROR(--VLOOKUP(LEFT(AL722,2),УГО_спр,5,FALSE),0)),IF(IFERROR(--LEFT(SUBSTITUTE(BQ722,"x","х"),FIND("х",SUBSTITUTE(BQ722,"x","х"))-1),3)&gt;3,Каталог!$S$9,1)))</f>
      </c>
      <c r="BX722" s="129">
        <f>IF(AY722&lt;&gt;1,0,MAX(0,IFERROR(--LEFT(SUBSTITUTE(BQ722,"x","х"),FIND("х",SUBSTITUTE(BQ722,"x","х"))-1),3)-3*BW722))</f>
      </c>
      <c r="BY722" s="129">
        <f>IF(R722="","",IFERROR(VLOOKUP(R722,УГО_спр,2,FALSE),IFERROR(VLOOKUP(AL722,УГО_спр,2,FALSE),IFERROR(VLOOKUP(LEFT(AL722,2),УГО_спр,2,FALSE),""))))</f>
      </c>
    </row>
    <row r="723" spans="1:64" x14ac:dyDescent="0.3">
      <c r="A723" s="135">
        <f>IF(Разбивка_по_щитам!F723=0,"",Разбивка_по_щитам!F723)</f>
        <v/>
      </c>
      <c r="B723" s="138">
        <f>IF(A723="","",Разбивка_по_щитам!C723)</f>
        <v/>
      </c>
      <c r="C723" s="138">
        <f t="shared" si="462"/>
        <v/>
      </c>
      <c r="D723" s="266"/>
      <c r="E723" s="266"/>
      <c r="F723" s="267"/>
      <c r="G723" s="145">
        <f t="shared" si="463"/>
        <v/>
      </c>
      <c r="H723" s="145">
        <f t="shared" si="464"/>
        <v/>
      </c>
      <c r="I723" s="266"/>
      <c r="J723" s="267"/>
      <c r="K723" s="267"/>
      <c r="L723" s="266"/>
      <c r="M723" s="147">
        <f t="shared" si="465"/>
        <v/>
      </c>
      <c r="N723" s="267"/>
      <c r="O723" s="147">
        <f t="shared" si="466"/>
        <v/>
      </c>
      <c r="P723" s="268">
        <f>IF(AY723=1,"XT"&amp;COUNTIFS($A$3:A723,A723,$AY$3:AY723,1),"")</f>
        <v/>
      </c>
      <c r="Q723" s="152">
        <f>IF(R723="","",IFERROR(SUBSTITUTE(Разбивка_по_щитам!P723,CHAR(10)," "),""))</f>
        <v/>
      </c>
      <c r="R723" s="153">
        <f>IF(OR(Разбивка_по_щитам!H723="",Разбивка_по_щитам!H723=0),"",Разбивка_по_щитам!H723)</f>
        <v/>
      </c>
      <c r="S723" s="154">
        <f>IF(R723="","",IFERROR(Разбивка_по_щитам!J723&amp;"",""))</f>
        <v/>
      </c>
      <c r="T723" s="155">
        <f>IF(R723="","",IFERROR(--Разбивка_по_щитам!L723,""))</f>
        <v/>
      </c>
      <c r="U723" s="155">
        <f>IF(R723="","",IFERROR(--Разбивка_по_щитам!K723,""))</f>
        <v/>
      </c>
      <c r="V723" s="138">
        <f>IF(R723="","",IFERROR(IF(Разбивка_по_щитам!M723=0,"",Разбивка_по_щитам!M723),""))</f>
        <v/>
      </c>
      <c r="W723" s="156">
        <f t="shared" si="467"/>
        <v/>
      </c>
      <c r="X723" s="157">
        <f t="shared" si="468"/>
        <v/>
      </c>
      <c r="Y723" s="266"/>
      <c r="Z723" s="158">
        <f t="shared" si="469"/>
        <v/>
      </c>
      <c r="AA723" s="160">
        <f t="shared" si="470"/>
        <v/>
      </c>
      <c r="AB723" s="160">
        <f>IF(R723="","",IFERROR(LOOKUP(INDEX(Справочная!$I$4:$I$19,MATCH(VLOOKUP(R723,Исходные_данные,22,FALSE),Справочная!$J$4:$J$19,0)+1),{6,10,16,20,25,32,40,50,63,80,100,125}),""))</f>
        <v/>
      </c>
      <c r="AC723" s="160">
        <f t="shared" si="471"/>
        <v/>
      </c>
      <c r="AD723" s="161">
        <f t="shared" si="472"/>
        <v/>
      </c>
      <c r="AE723" s="161">
        <f>IF(AND(R723="",G723=""),"",_xlfn.TEXTJOIN("; ",TRUE,IF(AND(R723&lt;&gt;"",V723=""),"нет фазы",""),IF(AND(R723&lt;&gt;"",N(T723)=0),"нет мощности",""),IF(AND(P723&lt;&gt;"",COUNTIFS($A$3:$A$1000,A723,$P$3:$P$1000,P723)&gt;1),"дубль клеммы "&amp;P723,""),IF(AND(W723&lt;&gt;"",W723&lt;&gt;"ok"),W723,""),IF(X723&lt;&gt;"",X723,""),IF(AND(ISNUMBER(SEARCH("(5х",Q723)),N(AK723)=1),"5 жил на 1 фазе",""),IF(AND(AL723="R",E723&lt;&gt;"",N(AS723)=0),"розетка без 30 мА",""),IF(IFERROR(_xlfn.NUMBERVALUE(MID(Q723,FIND("-",Q723,FIND("L=",Q723))+1,FIND("%",Q723)-FIND("-",Q723,FIND("L=",Q723))-1),","),0)&gt;4,"потери &gt; 4 %","")))</f>
      </c>
      <c r="AF723" s="129">
        <f>IF(E723&lt;&gt;"",COUNTIFS($A$3:A723,A723,$E$3:E723,"?*"),IF(OR(A723&lt;&gt;A722,Y723="вручную"),"",AF722))</f>
        <v/>
      </c>
      <c r="AG723" s="129">
        <f t="shared" si="473"/>
        <v/>
      </c>
      <c r="AH723" s="129">
        <f t="shared" si="474"/>
        <v/>
      </c>
      <c r="AI723" s="129">
        <f t="shared" si="475"/>
        <v/>
      </c>
      <c r="AJ723" s="129">
        <f t="shared" si="476"/>
        <v/>
      </c>
      <c r="AK723" s="129">
        <f t="shared" si="477"/>
        <v/>
      </c>
      <c r="AL723" s="129">
        <f t="shared" si="478"/>
        <v/>
      </c>
      <c r="AM723" s="129">
        <f t="shared" si="479"/>
      </c>
      <c r="AN723" s="129">
        <f t="shared" si="480"/>
      </c>
      <c r="AO723" s="129">
        <f t="shared" si="481"/>
        <v/>
      </c>
      <c r="AP723" s="129">
        <f t="shared" si="482"/>
        <v/>
      </c>
      <c r="AQ723" s="129">
        <f t="shared" si="483"/>
        <v/>
      </c>
      <c r="AR723" s="129">
        <f t="shared" si="484"/>
        <v/>
      </c>
      <c r="AS723" s="129">
        <f t="shared" si="485"/>
        <v/>
      </c>
      <c r="AT723" s="129">
        <f t="shared" si="486"/>
        <v/>
      </c>
      <c r="AU723" s="129">
        <f t="shared" si="487"/>
        <v/>
      </c>
      <c r="AV723" s="129">
        <f t="shared" si="488"/>
        <v/>
      </c>
      <c r="AW723" s="129">
        <f>IF(AV723="","",AV723&amp;"."&amp;COUNTIFS($A$3:A723,A723,$AV$3:AV723,AV723))</f>
        <v/>
      </c>
      <c r="AX723" s="129">
        <f t="shared" si="489"/>
        <v/>
      </c>
      <c r="AY723" s="129">
        <f>IF(N723="б/к",0,IF(OR(ISNUMBER(SEARCH("L=",Разбивка_по_щитам!P723)),N723="+",N723="="),1,0))</f>
      </c>
      <c r="AZ723" s="129">
        <f t="shared" si="490"/>
        <v/>
      </c>
      <c r="BA723" s="129">
        <f t="shared" si="491"/>
      </c>
      <c r="BB723" s="129">
        <f t="shared" si="492"/>
      </c>
      <c r="BD723" s="129">
        <f t="shared" si="493"/>
      </c>
      <c r="BE723" s="129">
        <f t="shared" si="494"/>
      </c>
      <c r="BF723" s="129">
        <f t="shared" si="495"/>
      </c>
      <c r="BG723" s="129">
        <f t="shared" si="496"/>
        <v/>
      </c>
      <c r="BH723" s="129">
        <f t="shared" si="497"/>
        <v/>
      </c>
      <c r="BI723" s="129">
        <f t="shared" si="498"/>
        <v/>
      </c>
      <c r="BJ723" s="129">
        <f t="shared" si="499"/>
        <v/>
      </c>
      <c r="BK723" s="129">
        <f>IF(R723="","",IF(OR(BY723="",BY723=0),"BOX",IFERROR(IF(VLOOKUP(BY723,УГО_блоки,3,FALSE)&amp;""&lt;&gt;"",VLOOKUP(BY723,УГО_блоки,3,FALSE),VLOOKUP(BY723,УГО_блоки,2,FALSE)),BY723)))</f>
      </c>
      <c r="BL723" s="129">
        <f t="shared" si="501"/>
      </c>
      <c r="BM723" s="129">
        <f>IF(H723="","",IF(COUNTIF($H$3:H723,H723)=1,MAX($BM$2:BM722)+1,""))</f>
      </c>
      <c r="BN723" s="129">
        <f>IF(I723="","",IF(COUNTIF($I$3:I723,I723)+COUNTIF($J$2:J722,I723)+COUNTIF($K$2:K722,I723)=1,MAX($BN$2:BP722)+1,""))</f>
      </c>
      <c r="BO723" s="129">
        <f>IF(J723="","",IF(COUNTIF($I$3:I723,J723)+COUNTIF($J$3:J723,J723)+COUNTIF($K$2:K722,J723)=1,MAX($BN$2:BP722,BN723)+1,""))</f>
      </c>
      <c r="BP723" s="129">
        <f>IF(K723="","",IF(COUNTIF($I$3:I723,K723)+COUNTIF($J$3:J723,K723)+COUNTIF($K$3:K723,K723)=1,MAX($BN$2:BP722,BN723,BO723)+1,""))</f>
      </c>
      <c r="BQ723" s="129">
        <f>IF(AY723=1,IFERROR(MID(Q723,FIND(" (",Q723)+2,FIND(")",Q723,FIND(" (",Q723))-FIND(" (",Q723)-2),"?"),"")</f>
      </c>
      <c r="BR723" s="129">
        <f>IF(BQ723="","",IF(COUNTIF($BQ$3:BQ723,BQ723)=1,MAX($BR$2:BR722)+1,""))</f>
      </c>
      <c r="BS723" s="129">
        <f>IF(AW723="","",COUNTIF($AW$3:AW723,"?*"))</f>
      </c>
      <c r="BT723" s="129">
        <f>IF(OR(AW723="",AI723=""),"",IF(COUNTIFS($AW$3:AW723,"?*",$AI$3:AI723,AI723)=1,MAX($BT$2:BT722)+1,""))</f>
      </c>
      <c r="BU723" s="129">
        <f>IF(AE723="",0,IF(OR(ISNUMBER(SEARCH("дубль",AE723)),ISNUMBER(SEARCH("ПЕРЕГРУЗ",AE723)),ISNUMBER(SEARCH("ЗАЩИЩ",AE723)),ISNUMBER(SEARCH("КАНАЛ",AE723)),ISNUMBER(SEARCH("без 30",AE723))),2,1))</f>
      </c>
      <c r="BV723" s="129">
        <f>IF(R723="","",COUNTIF($R$3:R723,"?*"))</f>
      </c>
      <c r="BW723" s="129">
        <f>IF(AY723&lt;&gt;1,0,IF(MAX(IFERROR(--VLOOKUP(R723,УГО_спр,5,FALSE),0),IFERROR(--VLOOKUP(AL723,УГО_спр,5,FALSE),0),IFERROR(--VLOOKUP(LEFT(AL723,2),УГО_спр,5,FALSE),0))&gt;0,MAX(IFERROR(--VLOOKUP(R723,УГО_спр,5,FALSE),0),IFERROR(--VLOOKUP(AL723,УГО_спр,5,FALSE),0),IFERROR(--VLOOKUP(LEFT(AL723,2),УГО_спр,5,FALSE),0)),IF(IFERROR(--LEFT(SUBSTITUTE(BQ723,"x","х"),FIND("х",SUBSTITUTE(BQ723,"x","х"))-1),3)&gt;3,Каталог!$S$9,1)))</f>
      </c>
      <c r="BX723" s="129">
        <f>IF(AY723&lt;&gt;1,0,MAX(0,IFERROR(--LEFT(SUBSTITUTE(BQ723,"x","х"),FIND("х",SUBSTITUTE(BQ723,"x","х"))-1),3)-3*BW723))</f>
      </c>
      <c r="BY723" s="129">
        <f>IF(R723="","",IFERROR(VLOOKUP(R723,УГО_спр,2,FALSE),IFERROR(VLOOKUP(AL723,УГО_спр,2,FALSE),IFERROR(VLOOKUP(LEFT(AL723,2),УГО_спр,2,FALSE),""))))</f>
      </c>
    </row>
    <row r="724" spans="1:64" x14ac:dyDescent="0.3">
      <c r="A724" s="135">
        <f>IF(Разбивка_по_щитам!F724=0,"",Разбивка_по_щитам!F724)</f>
        <v/>
      </c>
      <c r="B724" s="138">
        <f>IF(A724="","",Разбивка_по_щитам!C724)</f>
        <v/>
      </c>
      <c r="C724" s="138">
        <f t="shared" si="462"/>
        <v/>
      </c>
      <c r="D724" s="266"/>
      <c r="E724" s="266"/>
      <c r="F724" s="267"/>
      <c r="G724" s="145">
        <f t="shared" si="463"/>
        <v/>
      </c>
      <c r="H724" s="145">
        <f t="shared" si="464"/>
        <v/>
      </c>
      <c r="I724" s="266"/>
      <c r="J724" s="267"/>
      <c r="K724" s="267"/>
      <c r="L724" s="266"/>
      <c r="M724" s="147">
        <f t="shared" si="465"/>
        <v/>
      </c>
      <c r="N724" s="267"/>
      <c r="O724" s="147">
        <f t="shared" si="466"/>
        <v/>
      </c>
      <c r="P724" s="268">
        <f>IF(AY724=1,"XT"&amp;COUNTIFS($A$3:A724,A724,$AY$3:AY724,1),"")</f>
        <v/>
      </c>
      <c r="Q724" s="152">
        <f>IF(R724="","",IFERROR(SUBSTITUTE(Разбивка_по_щитам!P724,CHAR(10)," "),""))</f>
        <v/>
      </c>
      <c r="R724" s="153">
        <f>IF(OR(Разбивка_по_щитам!H724="",Разбивка_по_щитам!H724=0),"",Разбивка_по_щитам!H724)</f>
        <v/>
      </c>
      <c r="S724" s="154">
        <f>IF(R724="","",IFERROR(Разбивка_по_щитам!J724&amp;"",""))</f>
        <v/>
      </c>
      <c r="T724" s="155">
        <f>IF(R724="","",IFERROR(--Разбивка_по_щитам!L724,""))</f>
        <v/>
      </c>
      <c r="U724" s="155">
        <f>IF(R724="","",IFERROR(--Разбивка_по_щитам!K724,""))</f>
        <v/>
      </c>
      <c r="V724" s="138">
        <f>IF(R724="","",IFERROR(IF(Разбивка_по_щитам!M724=0,"",Разбивка_по_щитам!M724),""))</f>
        <v/>
      </c>
      <c r="W724" s="156">
        <f t="shared" si="467"/>
        <v/>
      </c>
      <c r="X724" s="157">
        <f t="shared" si="468"/>
        <v/>
      </c>
      <c r="Y724" s="266"/>
      <c r="Z724" s="158">
        <f t="shared" si="469"/>
        <v/>
      </c>
      <c r="AA724" s="160">
        <f t="shared" si="470"/>
        <v/>
      </c>
      <c r="AB724" s="160">
        <f>IF(R724="","",IFERROR(LOOKUP(INDEX(Справочная!$I$4:$I$19,MATCH(VLOOKUP(R724,Исходные_данные,22,FALSE),Справочная!$J$4:$J$19,0)+1),{6,10,16,20,25,32,40,50,63,80,100,125}),""))</f>
        <v/>
      </c>
      <c r="AC724" s="160">
        <f t="shared" si="471"/>
        <v/>
      </c>
      <c r="AD724" s="161">
        <f t="shared" si="472"/>
        <v/>
      </c>
      <c r="AE724" s="161">
        <f>IF(AND(R724="",G724=""),"",_xlfn.TEXTJOIN("; ",TRUE,IF(AND(R724&lt;&gt;"",V724=""),"нет фазы",""),IF(AND(R724&lt;&gt;"",N(T724)=0),"нет мощности",""),IF(AND(P724&lt;&gt;"",COUNTIFS($A$3:$A$1000,A724,$P$3:$P$1000,P724)&gt;1),"дубль клеммы "&amp;P724,""),IF(AND(W724&lt;&gt;"",W724&lt;&gt;"ok"),W724,""),IF(X724&lt;&gt;"",X724,""),IF(AND(ISNUMBER(SEARCH("(5х",Q724)),N(AK724)=1),"5 жил на 1 фазе",""),IF(AND(AL724="R",E724&lt;&gt;"",N(AS724)=0),"розетка без 30 мА",""),IF(IFERROR(_xlfn.NUMBERVALUE(MID(Q724,FIND("-",Q724,FIND("L=",Q724))+1,FIND("%",Q724)-FIND("-",Q724,FIND("L=",Q724))-1),","),0)&gt;4,"потери &gt; 4 %","")))</f>
      </c>
      <c r="AF724" s="129">
        <f>IF(E724&lt;&gt;"",COUNTIFS($A$3:A724,A724,$E$3:E724,"?*"),IF(OR(A724&lt;&gt;A723,Y724="вручную"),"",AF723))</f>
        <v/>
      </c>
      <c r="AG724" s="129">
        <f t="shared" si="473"/>
        <v/>
      </c>
      <c r="AH724" s="129">
        <f t="shared" si="474"/>
        <v/>
      </c>
      <c r="AI724" s="129">
        <f t="shared" si="475"/>
        <v/>
      </c>
      <c r="AJ724" s="129">
        <f t="shared" si="476"/>
        <v/>
      </c>
      <c r="AK724" s="129">
        <f t="shared" si="477"/>
        <v/>
      </c>
      <c r="AL724" s="129">
        <f t="shared" si="478"/>
        <v/>
      </c>
      <c r="AM724" s="129">
        <f t="shared" si="479"/>
      </c>
      <c r="AN724" s="129">
        <f t="shared" si="480"/>
      </c>
      <c r="AO724" s="129">
        <f t="shared" si="481"/>
        <v/>
      </c>
      <c r="AP724" s="129">
        <f t="shared" si="482"/>
        <v/>
      </c>
      <c r="AQ724" s="129">
        <f t="shared" si="483"/>
        <v/>
      </c>
      <c r="AR724" s="129">
        <f t="shared" si="484"/>
        <v/>
      </c>
      <c r="AS724" s="129">
        <f t="shared" si="485"/>
        <v/>
      </c>
      <c r="AT724" s="129">
        <f t="shared" si="486"/>
        <v/>
      </c>
      <c r="AU724" s="129">
        <f t="shared" si="487"/>
        <v/>
      </c>
      <c r="AV724" s="129">
        <f t="shared" si="488"/>
        <v/>
      </c>
      <c r="AW724" s="129">
        <f>IF(AV724="","",AV724&amp;"."&amp;COUNTIFS($A$3:A724,A724,$AV$3:AV724,AV724))</f>
        <v/>
      </c>
      <c r="AX724" s="129">
        <f t="shared" si="489"/>
        <v/>
      </c>
      <c r="AY724" s="129">
        <f>IF(N724="б/к",0,IF(OR(ISNUMBER(SEARCH("L=",Разбивка_по_щитам!P724)),N724="+",N724="="),1,0))</f>
      </c>
      <c r="AZ724" s="129">
        <f t="shared" si="490"/>
        <v/>
      </c>
      <c r="BA724" s="129">
        <f t="shared" si="491"/>
      </c>
      <c r="BB724" s="129">
        <f t="shared" si="492"/>
      </c>
      <c r="BD724" s="129">
        <f t="shared" si="493"/>
      </c>
      <c r="BE724" s="129">
        <f t="shared" si="494"/>
      </c>
      <c r="BF724" s="129">
        <f t="shared" si="495"/>
      </c>
      <c r="BG724" s="129">
        <f t="shared" si="496"/>
        <v/>
      </c>
      <c r="BH724" s="129">
        <f t="shared" si="497"/>
        <v/>
      </c>
      <c r="BI724" s="129">
        <f t="shared" si="498"/>
        <v/>
      </c>
      <c r="BJ724" s="129">
        <f t="shared" si="499"/>
        <v/>
      </c>
      <c r="BK724" s="129">
        <f>IF(R724="","",IF(OR(BY724="",BY724=0),"BOX",IFERROR(IF(VLOOKUP(BY724,УГО_блоки,3,FALSE)&amp;""&lt;&gt;"",VLOOKUP(BY724,УГО_блоки,3,FALSE),VLOOKUP(BY724,УГО_блоки,2,FALSE)),BY724)))</f>
      </c>
      <c r="BL724" s="129">
        <f t="shared" si="501"/>
      </c>
      <c r="BM724" s="129">
        <f>IF(H724="","",IF(COUNTIF($H$3:H724,H724)=1,MAX($BM$2:BM723)+1,""))</f>
      </c>
      <c r="BN724" s="129">
        <f>IF(I724="","",IF(COUNTIF($I$3:I724,I724)+COUNTIF($J$2:J723,I724)+COUNTIF($K$2:K723,I724)=1,MAX($BN$2:BP723)+1,""))</f>
      </c>
      <c r="BO724" s="129">
        <f>IF(J724="","",IF(COUNTIF($I$3:I724,J724)+COUNTIF($J$3:J724,J724)+COUNTIF($K$2:K723,J724)=1,MAX($BN$2:BP723,BN724)+1,""))</f>
      </c>
      <c r="BP724" s="129">
        <f>IF(K724="","",IF(COUNTIF($I$3:I724,K724)+COUNTIF($J$3:J724,K724)+COUNTIF($K$3:K724,K724)=1,MAX($BN$2:BP723,BN724,BO724)+1,""))</f>
      </c>
      <c r="BQ724" s="129">
        <f>IF(AY724=1,IFERROR(MID(Q724,FIND(" (",Q724)+2,FIND(")",Q724,FIND(" (",Q724))-FIND(" (",Q724)-2),"?"),"")</f>
      </c>
      <c r="BR724" s="129">
        <f>IF(BQ724="","",IF(COUNTIF($BQ$3:BQ724,BQ724)=1,MAX($BR$2:BR723)+1,""))</f>
      </c>
      <c r="BS724" s="129">
        <f>IF(AW724="","",COUNTIF($AW$3:AW724,"?*"))</f>
      </c>
      <c r="BT724" s="129">
        <f>IF(OR(AW724="",AI724=""),"",IF(COUNTIFS($AW$3:AW724,"?*",$AI$3:AI724,AI724)=1,MAX($BT$2:BT723)+1,""))</f>
      </c>
      <c r="BU724" s="129">
        <f>IF(AE724="",0,IF(OR(ISNUMBER(SEARCH("дубль",AE724)),ISNUMBER(SEARCH("ПЕРЕГРУЗ",AE724)),ISNUMBER(SEARCH("ЗАЩИЩ",AE724)),ISNUMBER(SEARCH("КАНАЛ",AE724)),ISNUMBER(SEARCH("без 30",AE724))),2,1))</f>
      </c>
      <c r="BV724" s="129">
        <f>IF(R724="","",COUNTIF($R$3:R724,"?*"))</f>
      </c>
      <c r="BW724" s="129">
        <f>IF(AY724&lt;&gt;1,0,IF(MAX(IFERROR(--VLOOKUP(R724,УГО_спр,5,FALSE),0),IFERROR(--VLOOKUP(AL724,УГО_спр,5,FALSE),0),IFERROR(--VLOOKUP(LEFT(AL724,2),УГО_спр,5,FALSE),0))&gt;0,MAX(IFERROR(--VLOOKUP(R724,УГО_спр,5,FALSE),0),IFERROR(--VLOOKUP(AL724,УГО_спр,5,FALSE),0),IFERROR(--VLOOKUP(LEFT(AL724,2),УГО_спр,5,FALSE),0)),IF(IFERROR(--LEFT(SUBSTITUTE(BQ724,"x","х"),FIND("х",SUBSTITUTE(BQ724,"x","х"))-1),3)&gt;3,Каталог!$S$9,1)))</f>
      </c>
      <c r="BX724" s="129">
        <f>IF(AY724&lt;&gt;1,0,MAX(0,IFERROR(--LEFT(SUBSTITUTE(BQ724,"x","х"),FIND("х",SUBSTITUTE(BQ724,"x","х"))-1),3)-3*BW724))</f>
      </c>
      <c r="BY724" s="129">
        <f>IF(R724="","",IFERROR(VLOOKUP(R724,УГО_спр,2,FALSE),IFERROR(VLOOKUP(AL724,УГО_спр,2,FALSE),IFERROR(VLOOKUP(LEFT(AL724,2),УГО_спр,2,FALSE),""))))</f>
      </c>
    </row>
    <row r="725" spans="1:64" x14ac:dyDescent="0.3">
      <c r="A725" s="135">
        <f>IF(Разбивка_по_щитам!F725=0,"",Разбивка_по_щитам!F725)</f>
        <v/>
      </c>
      <c r="B725" s="138">
        <f>IF(A725="","",Разбивка_по_щитам!C725)</f>
        <v/>
      </c>
      <c r="C725" s="138">
        <f t="shared" si="462"/>
        <v/>
      </c>
      <c r="D725" s="266"/>
      <c r="E725" s="266"/>
      <c r="F725" s="267"/>
      <c r="G725" s="145">
        <f t="shared" si="463"/>
        <v/>
      </c>
      <c r="H725" s="145">
        <f t="shared" si="464"/>
        <v/>
      </c>
      <c r="I725" s="266"/>
      <c r="J725" s="267"/>
      <c r="K725" s="267"/>
      <c r="L725" s="266"/>
      <c r="M725" s="147">
        <f t="shared" si="465"/>
        <v/>
      </c>
      <c r="N725" s="267"/>
      <c r="O725" s="147">
        <f t="shared" si="466"/>
        <v/>
      </c>
      <c r="P725" s="268">
        <f>IF(AY725=1,"XT"&amp;COUNTIFS($A$3:A725,A725,$AY$3:AY725,1),"")</f>
        <v/>
      </c>
      <c r="Q725" s="152">
        <f>IF(R725="","",IFERROR(SUBSTITUTE(Разбивка_по_щитам!P725,CHAR(10)," "),""))</f>
        <v/>
      </c>
      <c r="R725" s="153">
        <f>IF(OR(Разбивка_по_щитам!H725="",Разбивка_по_щитам!H725=0),"",Разбивка_по_щитам!H725)</f>
        <v/>
      </c>
      <c r="S725" s="154">
        <f>IF(R725="","",IFERROR(Разбивка_по_щитам!J725&amp;"",""))</f>
        <v/>
      </c>
      <c r="T725" s="155">
        <f>IF(R725="","",IFERROR(--Разбивка_по_щитам!L725,""))</f>
        <v/>
      </c>
      <c r="U725" s="155">
        <f>IF(R725="","",IFERROR(--Разбивка_по_щитам!K725,""))</f>
        <v/>
      </c>
      <c r="V725" s="138">
        <f>IF(R725="","",IFERROR(IF(Разбивка_по_щитам!M725=0,"",Разбивка_по_щитам!M725),""))</f>
        <v/>
      </c>
      <c r="W725" s="156">
        <f t="shared" si="467"/>
        <v/>
      </c>
      <c r="X725" s="157">
        <f t="shared" si="468"/>
        <v/>
      </c>
      <c r="Y725" s="266"/>
      <c r="Z725" s="158">
        <f t="shared" si="469"/>
        <v/>
      </c>
      <c r="AA725" s="160">
        <f t="shared" si="470"/>
        <v/>
      </c>
      <c r="AB725" s="160">
        <f>IF(R725="","",IFERROR(LOOKUP(INDEX(Справочная!$I$4:$I$19,MATCH(VLOOKUP(R725,Исходные_данные,22,FALSE),Справочная!$J$4:$J$19,0)+1),{6,10,16,20,25,32,40,50,63,80,100,125}),""))</f>
        <v/>
      </c>
      <c r="AC725" s="160">
        <f t="shared" si="471"/>
        <v/>
      </c>
      <c r="AD725" s="161">
        <f t="shared" si="472"/>
        <v/>
      </c>
      <c r="AE725" s="161">
        <f>IF(AND(R725="",G725=""),"",_xlfn.TEXTJOIN("; ",TRUE,IF(AND(R725&lt;&gt;"",V725=""),"нет фазы",""),IF(AND(R725&lt;&gt;"",N(T725)=0),"нет мощности",""),IF(AND(P725&lt;&gt;"",COUNTIFS($A$3:$A$1000,A725,$P$3:$P$1000,P725)&gt;1),"дубль клеммы "&amp;P725,""),IF(AND(W725&lt;&gt;"",W725&lt;&gt;"ok"),W725,""),IF(X725&lt;&gt;"",X725,""),IF(AND(ISNUMBER(SEARCH("(5х",Q725)),N(AK725)=1),"5 жил на 1 фазе",""),IF(AND(AL725="R",E725&lt;&gt;"",N(AS725)=0),"розетка без 30 мА",""),IF(IFERROR(_xlfn.NUMBERVALUE(MID(Q725,FIND("-",Q725,FIND("L=",Q725))+1,FIND("%",Q725)-FIND("-",Q725,FIND("L=",Q725))-1),","),0)&gt;4,"потери &gt; 4 %","")))</f>
      </c>
      <c r="AF725" s="129">
        <f>IF(E725&lt;&gt;"",COUNTIFS($A$3:A725,A725,$E$3:E725,"?*"),IF(OR(A725&lt;&gt;A724,Y725="вручную"),"",AF724))</f>
        <v/>
      </c>
      <c r="AG725" s="129">
        <f t="shared" si="473"/>
        <v/>
      </c>
      <c r="AH725" s="129">
        <f t="shared" si="474"/>
        <v/>
      </c>
      <c r="AI725" s="129">
        <f t="shared" si="475"/>
        <v/>
      </c>
      <c r="AJ725" s="129">
        <f t="shared" si="476"/>
        <v/>
      </c>
      <c r="AK725" s="129">
        <f t="shared" si="477"/>
        <v/>
      </c>
      <c r="AL725" s="129">
        <f t="shared" si="478"/>
        <v/>
      </c>
      <c r="AM725" s="129">
        <f t="shared" si="479"/>
      </c>
      <c r="AN725" s="129">
        <f t="shared" si="480"/>
      </c>
      <c r="AO725" s="129">
        <f t="shared" si="481"/>
        <v/>
      </c>
      <c r="AP725" s="129">
        <f t="shared" si="482"/>
        <v/>
      </c>
      <c r="AQ725" s="129">
        <f t="shared" si="483"/>
        <v/>
      </c>
      <c r="AR725" s="129">
        <f t="shared" si="484"/>
        <v/>
      </c>
      <c r="AS725" s="129">
        <f t="shared" si="485"/>
        <v/>
      </c>
      <c r="AT725" s="129">
        <f t="shared" si="486"/>
        <v/>
      </c>
      <c r="AU725" s="129">
        <f t="shared" si="487"/>
        <v/>
      </c>
      <c r="AV725" s="129">
        <f t="shared" si="488"/>
        <v/>
      </c>
      <c r="AW725" s="129">
        <f>IF(AV725="","",AV725&amp;"."&amp;COUNTIFS($A$3:A725,A725,$AV$3:AV725,AV725))</f>
        <v/>
      </c>
      <c r="AX725" s="129">
        <f t="shared" si="489"/>
        <v/>
      </c>
      <c r="AY725" s="129">
        <f>IF(N725="б/к",0,IF(OR(ISNUMBER(SEARCH("L=",Разбивка_по_щитам!P725)),N725="+",N725="="),1,0))</f>
      </c>
      <c r="AZ725" s="129">
        <f t="shared" si="490"/>
        <v/>
      </c>
      <c r="BA725" s="129">
        <f t="shared" si="491"/>
      </c>
      <c r="BB725" s="129">
        <f t="shared" si="492"/>
      </c>
      <c r="BD725" s="129">
        <f t="shared" si="493"/>
      </c>
      <c r="BE725" s="129">
        <f t="shared" si="494"/>
      </c>
      <c r="BF725" s="129">
        <f t="shared" si="495"/>
      </c>
      <c r="BG725" s="129">
        <f t="shared" si="496"/>
        <v/>
      </c>
      <c r="BH725" s="129">
        <f t="shared" si="497"/>
        <v/>
      </c>
      <c r="BI725" s="129">
        <f t="shared" si="498"/>
        <v/>
      </c>
      <c r="BJ725" s="129">
        <f t="shared" si="499"/>
        <v/>
      </c>
      <c r="BK725" s="129">
        <f>IF(R725="","",IF(OR(BY725="",BY725=0),"BOX",IFERROR(IF(VLOOKUP(BY725,УГО_блоки,3,FALSE)&amp;""&lt;&gt;"",VLOOKUP(BY725,УГО_блоки,3,FALSE),VLOOKUP(BY725,УГО_блоки,2,FALSE)),BY725)))</f>
      </c>
      <c r="BL725" s="129">
        <f t="shared" si="501"/>
      </c>
      <c r="BM725" s="129">
        <f>IF(H725="","",IF(COUNTIF($H$3:H725,H725)=1,MAX($BM$2:BM724)+1,""))</f>
      </c>
      <c r="BN725" s="129">
        <f>IF(I725="","",IF(COUNTIF($I$3:I725,I725)+COUNTIF($J$2:J724,I725)+COUNTIF($K$2:K724,I725)=1,MAX($BN$2:BP724)+1,""))</f>
      </c>
      <c r="BO725" s="129">
        <f>IF(J725="","",IF(COUNTIF($I$3:I725,J725)+COUNTIF($J$3:J725,J725)+COUNTIF($K$2:K724,J725)=1,MAX($BN$2:BP724,BN725)+1,""))</f>
      </c>
      <c r="BP725" s="129">
        <f>IF(K725="","",IF(COUNTIF($I$3:I725,K725)+COUNTIF($J$3:J725,K725)+COUNTIF($K$3:K725,K725)=1,MAX($BN$2:BP724,BN725,BO725)+1,""))</f>
      </c>
      <c r="BQ725" s="129">
        <f>IF(AY725=1,IFERROR(MID(Q725,FIND(" (",Q725)+2,FIND(")",Q725,FIND(" (",Q725))-FIND(" (",Q725)-2),"?"),"")</f>
      </c>
      <c r="BR725" s="129">
        <f>IF(BQ725="","",IF(COUNTIF($BQ$3:BQ725,BQ725)=1,MAX($BR$2:BR724)+1,""))</f>
      </c>
      <c r="BS725" s="129">
        <f>IF(AW725="","",COUNTIF($AW$3:AW725,"?*"))</f>
      </c>
      <c r="BT725" s="129">
        <f>IF(OR(AW725="",AI725=""),"",IF(COUNTIFS($AW$3:AW725,"?*",$AI$3:AI725,AI725)=1,MAX($BT$2:BT724)+1,""))</f>
      </c>
      <c r="BU725" s="129">
        <f>IF(AE725="",0,IF(OR(ISNUMBER(SEARCH("дубль",AE725)),ISNUMBER(SEARCH("ПЕРЕГРУЗ",AE725)),ISNUMBER(SEARCH("ЗАЩИЩ",AE725)),ISNUMBER(SEARCH("КАНАЛ",AE725)),ISNUMBER(SEARCH("без 30",AE725))),2,1))</f>
      </c>
      <c r="BV725" s="129">
        <f>IF(R725="","",COUNTIF($R$3:R725,"?*"))</f>
      </c>
      <c r="BW725" s="129">
        <f>IF(AY725&lt;&gt;1,0,IF(MAX(IFERROR(--VLOOKUP(R725,УГО_спр,5,FALSE),0),IFERROR(--VLOOKUP(AL725,УГО_спр,5,FALSE),0),IFERROR(--VLOOKUP(LEFT(AL725,2),УГО_спр,5,FALSE),0))&gt;0,MAX(IFERROR(--VLOOKUP(R725,УГО_спр,5,FALSE),0),IFERROR(--VLOOKUP(AL725,УГО_спр,5,FALSE),0),IFERROR(--VLOOKUP(LEFT(AL725,2),УГО_спр,5,FALSE),0)),IF(IFERROR(--LEFT(SUBSTITUTE(BQ725,"x","х"),FIND("х",SUBSTITUTE(BQ725,"x","х"))-1),3)&gt;3,Каталог!$S$9,1)))</f>
      </c>
      <c r="BX725" s="129">
        <f>IF(AY725&lt;&gt;1,0,MAX(0,IFERROR(--LEFT(SUBSTITUTE(BQ725,"x","х"),FIND("х",SUBSTITUTE(BQ725,"x","х"))-1),3)-3*BW725))</f>
      </c>
      <c r="BY725" s="129">
        <f>IF(R725="","",IFERROR(VLOOKUP(R725,УГО_спр,2,FALSE),IFERROR(VLOOKUP(AL725,УГО_спр,2,FALSE),IFERROR(VLOOKUP(LEFT(AL725,2),УГО_спр,2,FALSE),""))))</f>
      </c>
    </row>
    <row r="726" spans="1:64" x14ac:dyDescent="0.3">
      <c r="A726" s="135">
        <f>IF(Разбивка_по_щитам!F726=0,"",Разбивка_по_щитам!F726)</f>
        <v/>
      </c>
      <c r="B726" s="138">
        <f>IF(A726="","",Разбивка_по_щитам!C726)</f>
        <v/>
      </c>
      <c r="C726" s="138">
        <f t="shared" si="462"/>
        <v/>
      </c>
      <c r="D726" s="266"/>
      <c r="E726" s="266"/>
      <c r="F726" s="267"/>
      <c r="G726" s="145">
        <f t="shared" si="463"/>
        <v/>
      </c>
      <c r="H726" s="145">
        <f t="shared" si="464"/>
        <v/>
      </c>
      <c r="I726" s="266"/>
      <c r="J726" s="267"/>
      <c r="K726" s="267"/>
      <c r="L726" s="266"/>
      <c r="M726" s="147">
        <f t="shared" si="465"/>
        <v/>
      </c>
      <c r="N726" s="267"/>
      <c r="O726" s="147">
        <f t="shared" si="466"/>
        <v/>
      </c>
      <c r="P726" s="268">
        <f>IF(AY726=1,"XT"&amp;COUNTIFS($A$3:A726,A726,$AY$3:AY726,1),"")</f>
        <v/>
      </c>
      <c r="Q726" s="152">
        <f>IF(R726="","",IFERROR(SUBSTITUTE(Разбивка_по_щитам!P726,CHAR(10)," "),""))</f>
        <v/>
      </c>
      <c r="R726" s="153">
        <f>IF(OR(Разбивка_по_щитам!H726="",Разбивка_по_щитам!H726=0),"",Разбивка_по_щитам!H726)</f>
        <v/>
      </c>
      <c r="S726" s="154">
        <f>IF(R726="","",IFERROR(Разбивка_по_щитам!J726&amp;"",""))</f>
        <v/>
      </c>
      <c r="T726" s="155">
        <f>IF(R726="","",IFERROR(--Разбивка_по_щитам!L726,""))</f>
        <v/>
      </c>
      <c r="U726" s="155">
        <f>IF(R726="","",IFERROR(--Разбивка_по_щитам!K726,""))</f>
        <v/>
      </c>
      <c r="V726" s="138">
        <f>IF(R726="","",IFERROR(IF(Разбивка_по_щитам!M726=0,"",Разбивка_по_щитам!M726),""))</f>
        <v/>
      </c>
      <c r="W726" s="156">
        <f t="shared" si="467"/>
        <v/>
      </c>
      <c r="X726" s="157">
        <f t="shared" si="468"/>
        <v/>
      </c>
      <c r="Y726" s="266"/>
      <c r="Z726" s="158">
        <f t="shared" si="469"/>
        <v/>
      </c>
      <c r="AA726" s="160">
        <f t="shared" si="470"/>
        <v/>
      </c>
      <c r="AB726" s="160">
        <f>IF(R726="","",IFERROR(LOOKUP(INDEX(Справочная!$I$4:$I$19,MATCH(VLOOKUP(R726,Исходные_данные,22,FALSE),Справочная!$J$4:$J$19,0)+1),{6,10,16,20,25,32,40,50,63,80,100,125}),""))</f>
        <v/>
      </c>
      <c r="AC726" s="160">
        <f t="shared" si="471"/>
        <v/>
      </c>
      <c r="AD726" s="161">
        <f t="shared" si="472"/>
        <v/>
      </c>
      <c r="AE726" s="161">
        <f>IF(AND(R726="",G726=""),"",_xlfn.TEXTJOIN("; ",TRUE,IF(AND(R726&lt;&gt;"",V726=""),"нет фазы",""),IF(AND(R726&lt;&gt;"",N(T726)=0),"нет мощности",""),IF(AND(P726&lt;&gt;"",COUNTIFS($A$3:$A$1000,A726,$P$3:$P$1000,P726)&gt;1),"дубль клеммы "&amp;P726,""),IF(AND(W726&lt;&gt;"",W726&lt;&gt;"ok"),W726,""),IF(X726&lt;&gt;"",X726,""),IF(AND(ISNUMBER(SEARCH("(5х",Q726)),N(AK726)=1),"5 жил на 1 фазе",""),IF(AND(AL726="R",E726&lt;&gt;"",N(AS726)=0),"розетка без 30 мА",""),IF(IFERROR(_xlfn.NUMBERVALUE(MID(Q726,FIND("-",Q726,FIND("L=",Q726))+1,FIND("%",Q726)-FIND("-",Q726,FIND("L=",Q726))-1),","),0)&gt;4,"потери &gt; 4 %","")))</f>
      </c>
      <c r="AF726" s="129">
        <f>IF(E726&lt;&gt;"",COUNTIFS($A$3:A726,A726,$E$3:E726,"?*"),IF(OR(A726&lt;&gt;A725,Y726="вручную"),"",AF725))</f>
        <v/>
      </c>
      <c r="AG726" s="129">
        <f t="shared" si="473"/>
        <v/>
      </c>
      <c r="AH726" s="129">
        <f t="shared" si="474"/>
        <v/>
      </c>
      <c r="AI726" s="129">
        <f t="shared" si="475"/>
        <v/>
      </c>
      <c r="AJ726" s="129">
        <f t="shared" si="476"/>
        <v/>
      </c>
      <c r="AK726" s="129">
        <f t="shared" si="477"/>
        <v/>
      </c>
      <c r="AL726" s="129">
        <f t="shared" si="478"/>
        <v/>
      </c>
      <c r="AM726" s="129">
        <f t="shared" si="479"/>
      </c>
      <c r="AN726" s="129">
        <f t="shared" si="480"/>
      </c>
      <c r="AO726" s="129">
        <f t="shared" si="481"/>
        <v/>
      </c>
      <c r="AP726" s="129">
        <f t="shared" si="482"/>
        <v/>
      </c>
      <c r="AQ726" s="129">
        <f t="shared" si="483"/>
        <v/>
      </c>
      <c r="AR726" s="129">
        <f t="shared" si="484"/>
        <v/>
      </c>
      <c r="AS726" s="129">
        <f t="shared" si="485"/>
        <v/>
      </c>
      <c r="AT726" s="129">
        <f t="shared" si="486"/>
        <v/>
      </c>
      <c r="AU726" s="129">
        <f t="shared" si="487"/>
        <v/>
      </c>
      <c r="AV726" s="129">
        <f t="shared" si="488"/>
        <v/>
      </c>
      <c r="AW726" s="129">
        <f>IF(AV726="","",AV726&amp;"."&amp;COUNTIFS($A$3:A726,A726,$AV$3:AV726,AV726))</f>
        <v/>
      </c>
      <c r="AX726" s="129">
        <f t="shared" si="489"/>
        <v/>
      </c>
      <c r="AY726" s="129">
        <f>IF(N726="б/к",0,IF(OR(ISNUMBER(SEARCH("L=",Разбивка_по_щитам!P726)),N726="+",N726="="),1,0))</f>
      </c>
      <c r="AZ726" s="129">
        <f t="shared" si="490"/>
        <v/>
      </c>
      <c r="BA726" s="129">
        <f t="shared" si="491"/>
      </c>
      <c r="BB726" s="129">
        <f t="shared" si="492"/>
      </c>
      <c r="BD726" s="129">
        <f t="shared" si="493"/>
      </c>
      <c r="BE726" s="129">
        <f t="shared" si="494"/>
      </c>
      <c r="BF726" s="129">
        <f t="shared" si="495"/>
      </c>
      <c r="BG726" s="129">
        <f t="shared" si="496"/>
        <v/>
      </c>
      <c r="BH726" s="129">
        <f t="shared" si="497"/>
        <v/>
      </c>
      <c r="BI726" s="129">
        <f t="shared" si="498"/>
        <v/>
      </c>
      <c r="BJ726" s="129">
        <f t="shared" si="499"/>
        <v/>
      </c>
      <c r="BK726" s="129">
        <f>IF(R726="","",IF(OR(BY726="",BY726=0),"BOX",IFERROR(IF(VLOOKUP(BY726,УГО_блоки,3,FALSE)&amp;""&lt;&gt;"",VLOOKUP(BY726,УГО_блоки,3,FALSE),VLOOKUP(BY726,УГО_блоки,2,FALSE)),BY726)))</f>
      </c>
      <c r="BL726" s="129">
        <f t="shared" si="501"/>
      </c>
      <c r="BM726" s="129">
        <f>IF(H726="","",IF(COUNTIF($H$3:H726,H726)=1,MAX($BM$2:BM725)+1,""))</f>
      </c>
      <c r="BN726" s="129">
        <f>IF(I726="","",IF(COUNTIF($I$3:I726,I726)+COUNTIF($J$2:J725,I726)+COUNTIF($K$2:K725,I726)=1,MAX($BN$2:BP725)+1,""))</f>
      </c>
      <c r="BO726" s="129">
        <f>IF(J726="","",IF(COUNTIF($I$3:I726,J726)+COUNTIF($J$3:J726,J726)+COUNTIF($K$2:K725,J726)=1,MAX($BN$2:BP725,BN726)+1,""))</f>
      </c>
      <c r="BP726" s="129">
        <f>IF(K726="","",IF(COUNTIF($I$3:I726,K726)+COUNTIF($J$3:J726,K726)+COUNTIF($K$3:K726,K726)=1,MAX($BN$2:BP725,BN726,BO726)+1,""))</f>
      </c>
      <c r="BQ726" s="129">
        <f>IF(AY726=1,IFERROR(MID(Q726,FIND(" (",Q726)+2,FIND(")",Q726,FIND(" (",Q726))-FIND(" (",Q726)-2),"?"),"")</f>
      </c>
      <c r="BR726" s="129">
        <f>IF(BQ726="","",IF(COUNTIF($BQ$3:BQ726,BQ726)=1,MAX($BR$2:BR725)+1,""))</f>
      </c>
      <c r="BS726" s="129">
        <f>IF(AW726="","",COUNTIF($AW$3:AW726,"?*"))</f>
      </c>
      <c r="BT726" s="129">
        <f>IF(OR(AW726="",AI726=""),"",IF(COUNTIFS($AW$3:AW726,"?*",$AI$3:AI726,AI726)=1,MAX($BT$2:BT725)+1,""))</f>
      </c>
      <c r="BU726" s="129">
        <f>IF(AE726="",0,IF(OR(ISNUMBER(SEARCH("дубль",AE726)),ISNUMBER(SEARCH("ПЕРЕГРУЗ",AE726)),ISNUMBER(SEARCH("ЗАЩИЩ",AE726)),ISNUMBER(SEARCH("КАНАЛ",AE726)),ISNUMBER(SEARCH("без 30",AE726))),2,1))</f>
      </c>
      <c r="BV726" s="129">
        <f>IF(R726="","",COUNTIF($R$3:R726,"?*"))</f>
      </c>
      <c r="BW726" s="129">
        <f>IF(AY726&lt;&gt;1,0,IF(MAX(IFERROR(--VLOOKUP(R726,УГО_спр,5,FALSE),0),IFERROR(--VLOOKUP(AL726,УГО_спр,5,FALSE),0),IFERROR(--VLOOKUP(LEFT(AL726,2),УГО_спр,5,FALSE),0))&gt;0,MAX(IFERROR(--VLOOKUP(R726,УГО_спр,5,FALSE),0),IFERROR(--VLOOKUP(AL726,УГО_спр,5,FALSE),0),IFERROR(--VLOOKUP(LEFT(AL726,2),УГО_спр,5,FALSE),0)),IF(IFERROR(--LEFT(SUBSTITUTE(BQ726,"x","х"),FIND("х",SUBSTITUTE(BQ726,"x","х"))-1),3)&gt;3,Каталог!$S$9,1)))</f>
      </c>
      <c r="BX726" s="129">
        <f>IF(AY726&lt;&gt;1,0,MAX(0,IFERROR(--LEFT(SUBSTITUTE(BQ726,"x","х"),FIND("х",SUBSTITUTE(BQ726,"x","х"))-1),3)-3*BW726))</f>
      </c>
      <c r="BY726" s="129">
        <f>IF(R726="","",IFERROR(VLOOKUP(R726,УГО_спр,2,FALSE),IFERROR(VLOOKUP(AL726,УГО_спр,2,FALSE),IFERROR(VLOOKUP(LEFT(AL726,2),УГО_спр,2,FALSE),""))))</f>
      </c>
    </row>
    <row r="727" spans="1:64" x14ac:dyDescent="0.3">
      <c r="A727" s="135">
        <f>IF(Разбивка_по_щитам!F727=0,"",Разбивка_по_щитам!F727)</f>
        <v/>
      </c>
      <c r="B727" s="138">
        <f>IF(A727="","",Разбивка_по_щитам!C727)</f>
        <v/>
      </c>
      <c r="C727" s="138">
        <f t="shared" si="462"/>
        <v/>
      </c>
      <c r="D727" s="266"/>
      <c r="E727" s="266"/>
      <c r="F727" s="267"/>
      <c r="G727" s="145">
        <f t="shared" si="463"/>
        <v/>
      </c>
      <c r="H727" s="145">
        <f t="shared" si="464"/>
        <v/>
      </c>
      <c r="I727" s="266"/>
      <c r="J727" s="267"/>
      <c r="K727" s="267"/>
      <c r="L727" s="266"/>
      <c r="M727" s="147">
        <f t="shared" si="465"/>
        <v/>
      </c>
      <c r="N727" s="267"/>
      <c r="O727" s="147">
        <f t="shared" si="466"/>
        <v/>
      </c>
      <c r="P727" s="268">
        <f>IF(AY727=1,"XT"&amp;COUNTIFS($A$3:A727,A727,$AY$3:AY727,1),"")</f>
        <v/>
      </c>
      <c r="Q727" s="152">
        <f>IF(R727="","",IFERROR(SUBSTITUTE(Разбивка_по_щитам!P727,CHAR(10)," "),""))</f>
        <v/>
      </c>
      <c r="R727" s="153">
        <f>IF(OR(Разбивка_по_щитам!H727="",Разбивка_по_щитам!H727=0),"",Разбивка_по_щитам!H727)</f>
        <v/>
      </c>
      <c r="S727" s="154">
        <f>IF(R727="","",IFERROR(Разбивка_по_щитам!J727&amp;"",""))</f>
        <v/>
      </c>
      <c r="T727" s="155">
        <f>IF(R727="","",IFERROR(--Разбивка_по_щитам!L727,""))</f>
        <v/>
      </c>
      <c r="U727" s="155">
        <f>IF(R727="","",IFERROR(--Разбивка_по_щитам!K727,""))</f>
        <v/>
      </c>
      <c r="V727" s="138">
        <f>IF(R727="","",IFERROR(IF(Разбивка_по_щитам!M727=0,"",Разбивка_по_щитам!M727),""))</f>
        <v/>
      </c>
      <c r="W727" s="156">
        <f t="shared" si="467"/>
        <v/>
      </c>
      <c r="X727" s="157">
        <f t="shared" si="468"/>
        <v/>
      </c>
      <c r="Y727" s="266"/>
      <c r="Z727" s="158">
        <f t="shared" si="469"/>
        <v/>
      </c>
      <c r="AA727" s="160">
        <f t="shared" si="470"/>
        <v/>
      </c>
      <c r="AB727" s="160">
        <f>IF(R727="","",IFERROR(LOOKUP(INDEX(Справочная!$I$4:$I$19,MATCH(VLOOKUP(R727,Исходные_данные,22,FALSE),Справочная!$J$4:$J$19,0)+1),{6,10,16,20,25,32,40,50,63,80,100,125}),""))</f>
        <v/>
      </c>
      <c r="AC727" s="160">
        <f t="shared" si="471"/>
        <v/>
      </c>
      <c r="AD727" s="161">
        <f t="shared" si="472"/>
        <v/>
      </c>
      <c r="AE727" s="161">
        <f>IF(AND(R727="",G727=""),"",_xlfn.TEXTJOIN("; ",TRUE,IF(AND(R727&lt;&gt;"",V727=""),"нет фазы",""),IF(AND(R727&lt;&gt;"",N(T727)=0),"нет мощности",""),IF(AND(P727&lt;&gt;"",COUNTIFS($A$3:$A$1000,A727,$P$3:$P$1000,P727)&gt;1),"дубль клеммы "&amp;P727,""),IF(AND(W727&lt;&gt;"",W727&lt;&gt;"ok"),W727,""),IF(X727&lt;&gt;"",X727,""),IF(AND(ISNUMBER(SEARCH("(5х",Q727)),N(AK727)=1),"5 жил на 1 фазе",""),IF(AND(AL727="R",E727&lt;&gt;"",N(AS727)=0),"розетка без 30 мА",""),IF(IFERROR(_xlfn.NUMBERVALUE(MID(Q727,FIND("-",Q727,FIND("L=",Q727))+1,FIND("%",Q727)-FIND("-",Q727,FIND("L=",Q727))-1),","),0)&gt;4,"потери &gt; 4 %","")))</f>
      </c>
      <c r="AF727" s="129">
        <f>IF(E727&lt;&gt;"",COUNTIFS($A$3:A727,A727,$E$3:E727,"?*"),IF(OR(A727&lt;&gt;A726,Y727="вручную"),"",AF726))</f>
        <v/>
      </c>
      <c r="AG727" s="129">
        <f t="shared" si="473"/>
        <v/>
      </c>
      <c r="AH727" s="129">
        <f t="shared" si="474"/>
        <v/>
      </c>
      <c r="AI727" s="129">
        <f t="shared" si="475"/>
        <v/>
      </c>
      <c r="AJ727" s="129">
        <f t="shared" si="476"/>
        <v/>
      </c>
      <c r="AK727" s="129">
        <f t="shared" si="477"/>
        <v/>
      </c>
      <c r="AL727" s="129">
        <f t="shared" si="478"/>
        <v/>
      </c>
      <c r="AM727" s="129">
        <f t="shared" si="479"/>
      </c>
      <c r="AN727" s="129">
        <f t="shared" si="480"/>
      </c>
      <c r="AO727" s="129">
        <f t="shared" si="481"/>
        <v/>
      </c>
      <c r="AP727" s="129">
        <f t="shared" si="482"/>
        <v/>
      </c>
      <c r="AQ727" s="129">
        <f t="shared" si="483"/>
        <v/>
      </c>
      <c r="AR727" s="129">
        <f t="shared" si="484"/>
        <v/>
      </c>
      <c r="AS727" s="129">
        <f t="shared" si="485"/>
        <v/>
      </c>
      <c r="AT727" s="129">
        <f t="shared" si="486"/>
        <v/>
      </c>
      <c r="AU727" s="129">
        <f t="shared" si="487"/>
        <v/>
      </c>
      <c r="AV727" s="129">
        <f t="shared" si="488"/>
        <v/>
      </c>
      <c r="AW727" s="129">
        <f>IF(AV727="","",AV727&amp;"."&amp;COUNTIFS($A$3:A727,A727,$AV$3:AV727,AV727))</f>
        <v/>
      </c>
      <c r="AX727" s="129">
        <f t="shared" si="489"/>
        <v/>
      </c>
      <c r="AY727" s="129">
        <f>IF(N727="б/к",0,IF(OR(ISNUMBER(SEARCH("L=",Разбивка_по_щитам!P727)),N727="+",N727="="),1,0))</f>
      </c>
      <c r="AZ727" s="129">
        <f t="shared" si="490"/>
        <v/>
      </c>
      <c r="BA727" s="129">
        <f t="shared" si="491"/>
      </c>
      <c r="BB727" s="129">
        <f t="shared" si="492"/>
      </c>
      <c r="BD727" s="129">
        <f t="shared" si="493"/>
      </c>
      <c r="BE727" s="129">
        <f t="shared" si="494"/>
      </c>
      <c r="BF727" s="129">
        <f t="shared" si="495"/>
      </c>
      <c r="BG727" s="129">
        <f t="shared" si="496"/>
        <v/>
      </c>
      <c r="BH727" s="129">
        <f t="shared" si="497"/>
        <v/>
      </c>
      <c r="BI727" s="129">
        <f t="shared" si="498"/>
        <v/>
      </c>
      <c r="BJ727" s="129">
        <f t="shared" si="499"/>
        <v/>
      </c>
      <c r="BK727" s="129">
        <f>IF(R727="","",IF(OR(BY727="",BY727=0),"BOX",IFERROR(IF(VLOOKUP(BY727,УГО_блоки,3,FALSE)&amp;""&lt;&gt;"",VLOOKUP(BY727,УГО_блоки,3,FALSE),VLOOKUP(BY727,УГО_блоки,2,FALSE)),BY727)))</f>
      </c>
      <c r="BL727" s="129">
        <f t="shared" si="501"/>
      </c>
      <c r="BM727" s="129">
        <f>IF(H727="","",IF(COUNTIF($H$3:H727,H727)=1,MAX($BM$2:BM726)+1,""))</f>
      </c>
      <c r="BN727" s="129">
        <f>IF(I727="","",IF(COUNTIF($I$3:I727,I727)+COUNTIF($J$2:J726,I727)+COUNTIF($K$2:K726,I727)=1,MAX($BN$2:BP726)+1,""))</f>
      </c>
      <c r="BO727" s="129">
        <f>IF(J727="","",IF(COUNTIF($I$3:I727,J727)+COUNTIF($J$3:J727,J727)+COUNTIF($K$2:K726,J727)=1,MAX($BN$2:BP726,BN727)+1,""))</f>
      </c>
      <c r="BP727" s="129">
        <f>IF(K727="","",IF(COUNTIF($I$3:I727,K727)+COUNTIF($J$3:J727,K727)+COUNTIF($K$3:K727,K727)=1,MAX($BN$2:BP726,BN727,BO727)+1,""))</f>
      </c>
      <c r="BQ727" s="129">
        <f>IF(AY727=1,IFERROR(MID(Q727,FIND(" (",Q727)+2,FIND(")",Q727,FIND(" (",Q727))-FIND(" (",Q727)-2),"?"),"")</f>
      </c>
      <c r="BR727" s="129">
        <f>IF(BQ727="","",IF(COUNTIF($BQ$3:BQ727,BQ727)=1,MAX($BR$2:BR726)+1,""))</f>
      </c>
      <c r="BS727" s="129">
        <f>IF(AW727="","",COUNTIF($AW$3:AW727,"?*"))</f>
      </c>
      <c r="BT727" s="129">
        <f>IF(OR(AW727="",AI727=""),"",IF(COUNTIFS($AW$3:AW727,"?*",$AI$3:AI727,AI727)=1,MAX($BT$2:BT726)+1,""))</f>
      </c>
      <c r="BU727" s="129">
        <f>IF(AE727="",0,IF(OR(ISNUMBER(SEARCH("дубль",AE727)),ISNUMBER(SEARCH("ПЕРЕГРУЗ",AE727)),ISNUMBER(SEARCH("ЗАЩИЩ",AE727)),ISNUMBER(SEARCH("КАНАЛ",AE727)),ISNUMBER(SEARCH("без 30",AE727))),2,1))</f>
      </c>
      <c r="BV727" s="129">
        <f>IF(R727="","",COUNTIF($R$3:R727,"?*"))</f>
      </c>
      <c r="BW727" s="129">
        <f>IF(AY727&lt;&gt;1,0,IF(MAX(IFERROR(--VLOOKUP(R727,УГО_спр,5,FALSE),0),IFERROR(--VLOOKUP(AL727,УГО_спр,5,FALSE),0),IFERROR(--VLOOKUP(LEFT(AL727,2),УГО_спр,5,FALSE),0))&gt;0,MAX(IFERROR(--VLOOKUP(R727,УГО_спр,5,FALSE),0),IFERROR(--VLOOKUP(AL727,УГО_спр,5,FALSE),0),IFERROR(--VLOOKUP(LEFT(AL727,2),УГО_спр,5,FALSE),0)),IF(IFERROR(--LEFT(SUBSTITUTE(BQ727,"x","х"),FIND("х",SUBSTITUTE(BQ727,"x","х"))-1),3)&gt;3,Каталог!$S$9,1)))</f>
      </c>
      <c r="BX727" s="129">
        <f>IF(AY727&lt;&gt;1,0,MAX(0,IFERROR(--LEFT(SUBSTITUTE(BQ727,"x","х"),FIND("х",SUBSTITUTE(BQ727,"x","х"))-1),3)-3*BW727))</f>
      </c>
      <c r="BY727" s="129">
        <f>IF(R727="","",IFERROR(VLOOKUP(R727,УГО_спр,2,FALSE),IFERROR(VLOOKUP(AL727,УГО_спр,2,FALSE),IFERROR(VLOOKUP(LEFT(AL727,2),УГО_спр,2,FALSE),""))))</f>
      </c>
    </row>
    <row r="728" spans="1:64" x14ac:dyDescent="0.3">
      <c r="A728" s="135">
        <f>IF(Разбивка_по_щитам!F728=0,"",Разбивка_по_щитам!F728)</f>
        <v/>
      </c>
      <c r="B728" s="138">
        <f>IF(A728="","",Разбивка_по_щитам!C728)</f>
        <v/>
      </c>
      <c r="C728" s="138">
        <f t="shared" si="462"/>
        <v/>
      </c>
      <c r="D728" s="266"/>
      <c r="E728" s="266"/>
      <c r="F728" s="267"/>
      <c r="G728" s="145">
        <f t="shared" si="463"/>
        <v/>
      </c>
      <c r="H728" s="145">
        <f t="shared" si="464"/>
        <v/>
      </c>
      <c r="I728" s="266"/>
      <c r="J728" s="267"/>
      <c r="K728" s="267"/>
      <c r="L728" s="266"/>
      <c r="M728" s="147">
        <f t="shared" si="465"/>
        <v/>
      </c>
      <c r="N728" s="267"/>
      <c r="O728" s="147">
        <f t="shared" si="466"/>
        <v/>
      </c>
      <c r="P728" s="268">
        <f>IF(AY728=1,"XT"&amp;COUNTIFS($A$3:A728,A728,$AY$3:AY728,1),"")</f>
        <v/>
      </c>
      <c r="Q728" s="152">
        <f>IF(R728="","",IFERROR(SUBSTITUTE(Разбивка_по_щитам!P728,CHAR(10)," "),""))</f>
        <v/>
      </c>
      <c r="R728" s="153">
        <f>IF(OR(Разбивка_по_щитам!H728="",Разбивка_по_щитам!H728=0),"",Разбивка_по_щитам!H728)</f>
        <v/>
      </c>
      <c r="S728" s="154">
        <f>IF(R728="","",IFERROR(Разбивка_по_щитам!J728&amp;"",""))</f>
        <v/>
      </c>
      <c r="T728" s="155">
        <f>IF(R728="","",IFERROR(--Разбивка_по_щитам!L728,""))</f>
        <v/>
      </c>
      <c r="U728" s="155">
        <f>IF(R728="","",IFERROR(--Разбивка_по_щитам!K728,""))</f>
        <v/>
      </c>
      <c r="V728" s="138">
        <f>IF(R728="","",IFERROR(IF(Разбивка_по_щитам!M728=0,"",Разбивка_по_щитам!M728),""))</f>
        <v/>
      </c>
      <c r="W728" s="156">
        <f t="shared" si="467"/>
        <v/>
      </c>
      <c r="X728" s="157">
        <f t="shared" si="468"/>
        <v/>
      </c>
      <c r="Y728" s="266"/>
      <c r="Z728" s="158">
        <f t="shared" si="469"/>
        <v/>
      </c>
      <c r="AA728" s="160">
        <f t="shared" si="470"/>
        <v/>
      </c>
      <c r="AB728" s="160">
        <f>IF(R728="","",IFERROR(LOOKUP(INDEX(Справочная!$I$4:$I$19,MATCH(VLOOKUP(R728,Исходные_данные,22,FALSE),Справочная!$J$4:$J$19,0)+1),{6,10,16,20,25,32,40,50,63,80,100,125}),""))</f>
        <v/>
      </c>
      <c r="AC728" s="160">
        <f t="shared" si="471"/>
        <v/>
      </c>
      <c r="AD728" s="161">
        <f t="shared" si="472"/>
        <v/>
      </c>
      <c r="AE728" s="161">
        <f>IF(AND(R728="",G728=""),"",_xlfn.TEXTJOIN("; ",TRUE,IF(AND(R728&lt;&gt;"",V728=""),"нет фазы",""),IF(AND(R728&lt;&gt;"",N(T728)=0),"нет мощности",""),IF(AND(P728&lt;&gt;"",COUNTIFS($A$3:$A$1000,A728,$P$3:$P$1000,P728)&gt;1),"дубль клеммы "&amp;P728,""),IF(AND(W728&lt;&gt;"",W728&lt;&gt;"ok"),W728,""),IF(X728&lt;&gt;"",X728,""),IF(AND(ISNUMBER(SEARCH("(5х",Q728)),N(AK728)=1),"5 жил на 1 фазе",""),IF(AND(AL728="R",E728&lt;&gt;"",N(AS728)=0),"розетка без 30 мА",""),IF(IFERROR(_xlfn.NUMBERVALUE(MID(Q728,FIND("-",Q728,FIND("L=",Q728))+1,FIND("%",Q728)-FIND("-",Q728,FIND("L=",Q728))-1),","),0)&gt;4,"потери &gt; 4 %","")))</f>
      </c>
      <c r="AF728" s="129">
        <f>IF(E728&lt;&gt;"",COUNTIFS($A$3:A728,A728,$E$3:E728,"?*"),IF(OR(A728&lt;&gt;A727,Y728="вручную"),"",AF727))</f>
        <v/>
      </c>
      <c r="AG728" s="129">
        <f t="shared" si="473"/>
        <v/>
      </c>
      <c r="AH728" s="129">
        <f t="shared" si="474"/>
        <v/>
      </c>
      <c r="AI728" s="129">
        <f t="shared" si="475"/>
        <v/>
      </c>
      <c r="AJ728" s="129">
        <f t="shared" si="476"/>
        <v/>
      </c>
      <c r="AK728" s="129">
        <f t="shared" si="477"/>
        <v/>
      </c>
      <c r="AL728" s="129">
        <f t="shared" si="478"/>
        <v/>
      </c>
      <c r="AM728" s="129">
        <f t="shared" si="479"/>
      </c>
      <c r="AN728" s="129">
        <f t="shared" si="480"/>
      </c>
      <c r="AO728" s="129">
        <f t="shared" si="481"/>
        <v/>
      </c>
      <c r="AP728" s="129">
        <f t="shared" si="482"/>
        <v/>
      </c>
      <c r="AQ728" s="129">
        <f t="shared" si="483"/>
        <v/>
      </c>
      <c r="AR728" s="129">
        <f t="shared" si="484"/>
        <v/>
      </c>
      <c r="AS728" s="129">
        <f t="shared" si="485"/>
        <v/>
      </c>
      <c r="AT728" s="129">
        <f t="shared" si="486"/>
        <v/>
      </c>
      <c r="AU728" s="129">
        <f t="shared" si="487"/>
        <v/>
      </c>
      <c r="AV728" s="129">
        <f t="shared" si="488"/>
        <v/>
      </c>
      <c r="AW728" s="129">
        <f>IF(AV728="","",AV728&amp;"."&amp;COUNTIFS($A$3:A728,A728,$AV$3:AV728,AV728))</f>
        <v/>
      </c>
      <c r="AX728" s="129">
        <f t="shared" si="489"/>
        <v/>
      </c>
      <c r="AY728" s="129">
        <f>IF(N728="б/к",0,IF(OR(ISNUMBER(SEARCH("L=",Разбивка_по_щитам!P728)),N728="+",N728="="),1,0))</f>
      </c>
      <c r="AZ728" s="129">
        <f t="shared" si="490"/>
        <v/>
      </c>
      <c r="BA728" s="129">
        <f t="shared" si="491"/>
      </c>
      <c r="BB728" s="129">
        <f t="shared" si="492"/>
      </c>
      <c r="BD728" s="129">
        <f t="shared" si="493"/>
      </c>
      <c r="BE728" s="129">
        <f t="shared" si="494"/>
      </c>
      <c r="BF728" s="129">
        <f t="shared" si="495"/>
      </c>
      <c r="BG728" s="129">
        <f t="shared" si="496"/>
        <v/>
      </c>
      <c r="BH728" s="129">
        <f t="shared" si="497"/>
        <v/>
      </c>
      <c r="BI728" s="129">
        <f t="shared" si="498"/>
        <v/>
      </c>
      <c r="BJ728" s="129">
        <f t="shared" si="499"/>
        <v/>
      </c>
      <c r="BK728" s="129">
        <f>IF(R728="","",IF(OR(BY728="",BY728=0),"BOX",IFERROR(IF(VLOOKUP(BY728,УГО_блоки,3,FALSE)&amp;""&lt;&gt;"",VLOOKUP(BY728,УГО_блоки,3,FALSE),VLOOKUP(BY728,УГО_блоки,2,FALSE)),BY728)))</f>
      </c>
      <c r="BL728" s="129">
        <f t="shared" si="501"/>
      </c>
      <c r="BM728" s="129">
        <f>IF(H728="","",IF(COUNTIF($H$3:H728,H728)=1,MAX($BM$2:BM727)+1,""))</f>
      </c>
      <c r="BN728" s="129">
        <f>IF(I728="","",IF(COUNTIF($I$3:I728,I728)+COUNTIF($J$2:J727,I728)+COUNTIF($K$2:K727,I728)=1,MAX($BN$2:BP727)+1,""))</f>
      </c>
      <c r="BO728" s="129">
        <f>IF(J728="","",IF(COUNTIF($I$3:I728,J728)+COUNTIF($J$3:J728,J728)+COUNTIF($K$2:K727,J728)=1,MAX($BN$2:BP727,BN728)+1,""))</f>
      </c>
      <c r="BP728" s="129">
        <f>IF(K728="","",IF(COUNTIF($I$3:I728,K728)+COUNTIF($J$3:J728,K728)+COUNTIF($K$3:K728,K728)=1,MAX($BN$2:BP727,BN728,BO728)+1,""))</f>
      </c>
      <c r="BQ728" s="129">
        <f>IF(AY728=1,IFERROR(MID(Q728,FIND(" (",Q728)+2,FIND(")",Q728,FIND(" (",Q728))-FIND(" (",Q728)-2),"?"),"")</f>
      </c>
      <c r="BR728" s="129">
        <f>IF(BQ728="","",IF(COUNTIF($BQ$3:BQ728,BQ728)=1,MAX($BR$2:BR727)+1,""))</f>
      </c>
      <c r="BS728" s="129">
        <f>IF(AW728="","",COUNTIF($AW$3:AW728,"?*"))</f>
      </c>
      <c r="BT728" s="129">
        <f>IF(OR(AW728="",AI728=""),"",IF(COUNTIFS($AW$3:AW728,"?*",$AI$3:AI728,AI728)=1,MAX($BT$2:BT727)+1,""))</f>
      </c>
      <c r="BU728" s="129">
        <f>IF(AE728="",0,IF(OR(ISNUMBER(SEARCH("дубль",AE728)),ISNUMBER(SEARCH("ПЕРЕГРУЗ",AE728)),ISNUMBER(SEARCH("ЗАЩИЩ",AE728)),ISNUMBER(SEARCH("КАНАЛ",AE728)),ISNUMBER(SEARCH("без 30",AE728))),2,1))</f>
      </c>
      <c r="BV728" s="129">
        <f>IF(R728="","",COUNTIF($R$3:R728,"?*"))</f>
      </c>
      <c r="BW728" s="129">
        <f>IF(AY728&lt;&gt;1,0,IF(MAX(IFERROR(--VLOOKUP(R728,УГО_спр,5,FALSE),0),IFERROR(--VLOOKUP(AL728,УГО_спр,5,FALSE),0),IFERROR(--VLOOKUP(LEFT(AL728,2),УГО_спр,5,FALSE),0))&gt;0,MAX(IFERROR(--VLOOKUP(R728,УГО_спр,5,FALSE),0),IFERROR(--VLOOKUP(AL728,УГО_спр,5,FALSE),0),IFERROR(--VLOOKUP(LEFT(AL728,2),УГО_спр,5,FALSE),0)),IF(IFERROR(--LEFT(SUBSTITUTE(BQ728,"x","х"),FIND("х",SUBSTITUTE(BQ728,"x","х"))-1),3)&gt;3,Каталог!$S$9,1)))</f>
      </c>
      <c r="BX728" s="129">
        <f>IF(AY728&lt;&gt;1,0,MAX(0,IFERROR(--LEFT(SUBSTITUTE(BQ728,"x","х"),FIND("х",SUBSTITUTE(BQ728,"x","х"))-1),3)-3*BW728))</f>
      </c>
      <c r="BY728" s="129">
        <f>IF(R728="","",IFERROR(VLOOKUP(R728,УГО_спр,2,FALSE),IFERROR(VLOOKUP(AL728,УГО_спр,2,FALSE),IFERROR(VLOOKUP(LEFT(AL728,2),УГО_спр,2,FALSE),""))))</f>
      </c>
    </row>
    <row r="729" spans="1:64" x14ac:dyDescent="0.3">
      <c r="A729" s="135">
        <f>IF(Разбивка_по_щитам!F729=0,"",Разбивка_по_щитам!F729)</f>
        <v/>
      </c>
      <c r="B729" s="138">
        <f>IF(A729="","",Разбивка_по_щитам!C729)</f>
        <v/>
      </c>
      <c r="C729" s="138">
        <f t="shared" si="462"/>
        <v/>
      </c>
      <c r="D729" s="266"/>
      <c r="E729" s="266"/>
      <c r="F729" s="267"/>
      <c r="G729" s="145">
        <f t="shared" si="463"/>
        <v/>
      </c>
      <c r="H729" s="145">
        <f t="shared" si="464"/>
        <v/>
      </c>
      <c r="I729" s="266"/>
      <c r="J729" s="267"/>
      <c r="K729" s="267"/>
      <c r="L729" s="266"/>
      <c r="M729" s="147">
        <f t="shared" si="465"/>
        <v/>
      </c>
      <c r="N729" s="267"/>
      <c r="O729" s="147">
        <f t="shared" si="466"/>
        <v/>
      </c>
      <c r="P729" s="268">
        <f>IF(AY729=1,"XT"&amp;COUNTIFS($A$3:A729,A729,$AY$3:AY729,1),"")</f>
        <v/>
      </c>
      <c r="Q729" s="152">
        <f>IF(R729="","",IFERROR(SUBSTITUTE(Разбивка_по_щитам!P729,CHAR(10)," "),""))</f>
        <v/>
      </c>
      <c r="R729" s="153">
        <f>IF(OR(Разбивка_по_щитам!H729="",Разбивка_по_щитам!H729=0),"",Разбивка_по_щитам!H729)</f>
        <v/>
      </c>
      <c r="S729" s="154">
        <f>IF(R729="","",IFERROR(Разбивка_по_щитам!J729&amp;"",""))</f>
        <v/>
      </c>
      <c r="T729" s="155">
        <f>IF(R729="","",IFERROR(--Разбивка_по_щитам!L729,""))</f>
        <v/>
      </c>
      <c r="U729" s="155">
        <f>IF(R729="","",IFERROR(--Разбивка_по_щитам!K729,""))</f>
        <v/>
      </c>
      <c r="V729" s="138">
        <f>IF(R729="","",IFERROR(IF(Разбивка_по_щитам!M729=0,"",Разбивка_по_щитам!M729),""))</f>
        <v/>
      </c>
      <c r="W729" s="156">
        <f t="shared" si="467"/>
        <v/>
      </c>
      <c r="X729" s="157">
        <f t="shared" si="468"/>
        <v/>
      </c>
      <c r="Y729" s="266"/>
      <c r="Z729" s="158">
        <f t="shared" si="469"/>
        <v/>
      </c>
      <c r="AA729" s="160">
        <f t="shared" si="470"/>
        <v/>
      </c>
      <c r="AB729" s="160">
        <f>IF(R729="","",IFERROR(LOOKUP(INDEX(Справочная!$I$4:$I$19,MATCH(VLOOKUP(R729,Исходные_данные,22,FALSE),Справочная!$J$4:$J$19,0)+1),{6,10,16,20,25,32,40,50,63,80,100,125}),""))</f>
        <v/>
      </c>
      <c r="AC729" s="160">
        <f t="shared" si="471"/>
        <v/>
      </c>
      <c r="AD729" s="161">
        <f t="shared" si="472"/>
        <v/>
      </c>
      <c r="AE729" s="161">
        <f>IF(AND(R729="",G729=""),"",_xlfn.TEXTJOIN("; ",TRUE,IF(AND(R729&lt;&gt;"",V729=""),"нет фазы",""),IF(AND(R729&lt;&gt;"",N(T729)=0),"нет мощности",""),IF(AND(P729&lt;&gt;"",COUNTIFS($A$3:$A$1000,A729,$P$3:$P$1000,P729)&gt;1),"дубль клеммы "&amp;P729,""),IF(AND(W729&lt;&gt;"",W729&lt;&gt;"ok"),W729,""),IF(X729&lt;&gt;"",X729,""),IF(AND(ISNUMBER(SEARCH("(5х",Q729)),N(AK729)=1),"5 жил на 1 фазе",""),IF(AND(AL729="R",E729&lt;&gt;"",N(AS729)=0),"розетка без 30 мА",""),IF(IFERROR(_xlfn.NUMBERVALUE(MID(Q729,FIND("-",Q729,FIND("L=",Q729))+1,FIND("%",Q729)-FIND("-",Q729,FIND("L=",Q729))-1),","),0)&gt;4,"потери &gt; 4 %","")))</f>
      </c>
      <c r="AF729" s="129">
        <f>IF(E729&lt;&gt;"",COUNTIFS($A$3:A729,A729,$E$3:E729,"?*"),IF(OR(A729&lt;&gt;A728,Y729="вручную"),"",AF728))</f>
        <v/>
      </c>
      <c r="AG729" s="129">
        <f t="shared" si="473"/>
        <v/>
      </c>
      <c r="AH729" s="129">
        <f t="shared" si="474"/>
        <v/>
      </c>
      <c r="AI729" s="129">
        <f t="shared" si="475"/>
        <v/>
      </c>
      <c r="AJ729" s="129">
        <f t="shared" si="476"/>
        <v/>
      </c>
      <c r="AK729" s="129">
        <f t="shared" si="477"/>
        <v/>
      </c>
      <c r="AL729" s="129">
        <f t="shared" si="478"/>
        <v/>
      </c>
      <c r="AM729" s="129">
        <f t="shared" si="479"/>
      </c>
      <c r="AN729" s="129">
        <f t="shared" si="480"/>
      </c>
      <c r="AO729" s="129">
        <f t="shared" si="481"/>
        <v/>
      </c>
      <c r="AP729" s="129">
        <f t="shared" si="482"/>
        <v/>
      </c>
      <c r="AQ729" s="129">
        <f t="shared" si="483"/>
        <v/>
      </c>
      <c r="AR729" s="129">
        <f t="shared" si="484"/>
        <v/>
      </c>
      <c r="AS729" s="129">
        <f t="shared" si="485"/>
        <v/>
      </c>
      <c r="AT729" s="129">
        <f t="shared" si="486"/>
        <v/>
      </c>
      <c r="AU729" s="129">
        <f t="shared" si="487"/>
        <v/>
      </c>
      <c r="AV729" s="129">
        <f t="shared" si="488"/>
        <v/>
      </c>
      <c r="AW729" s="129">
        <f>IF(AV729="","",AV729&amp;"."&amp;COUNTIFS($A$3:A729,A729,$AV$3:AV729,AV729))</f>
        <v/>
      </c>
      <c r="AX729" s="129">
        <f t="shared" si="489"/>
        <v/>
      </c>
      <c r="AY729" s="129">
        <f>IF(N729="б/к",0,IF(OR(ISNUMBER(SEARCH("L=",Разбивка_по_щитам!P729)),N729="+",N729="="),1,0))</f>
      </c>
      <c r="AZ729" s="129">
        <f t="shared" si="490"/>
        <v/>
      </c>
      <c r="BA729" s="129">
        <f t="shared" si="491"/>
      </c>
      <c r="BB729" s="129">
        <f t="shared" si="492"/>
      </c>
      <c r="BD729" s="129">
        <f t="shared" si="493"/>
      </c>
      <c r="BE729" s="129">
        <f t="shared" si="494"/>
      </c>
      <c r="BF729" s="129">
        <f t="shared" si="495"/>
      </c>
      <c r="BG729" s="129">
        <f t="shared" si="496"/>
        <v/>
      </c>
      <c r="BH729" s="129">
        <f t="shared" si="497"/>
        <v/>
      </c>
      <c r="BI729" s="129">
        <f t="shared" si="498"/>
        <v/>
      </c>
      <c r="BJ729" s="129">
        <f t="shared" si="499"/>
        <v/>
      </c>
      <c r="BK729" s="129">
        <f>IF(R729="","",IF(OR(BY729="",BY729=0),"BOX",IFERROR(IF(VLOOKUP(BY729,УГО_блоки,3,FALSE)&amp;""&lt;&gt;"",VLOOKUP(BY729,УГО_блоки,3,FALSE),VLOOKUP(BY729,УГО_блоки,2,FALSE)),BY729)))</f>
      </c>
      <c r="BL729" s="129">
        <f t="shared" si="501"/>
      </c>
      <c r="BM729" s="129">
        <f>IF(H729="","",IF(COUNTIF($H$3:H729,H729)=1,MAX($BM$2:BM728)+1,""))</f>
      </c>
      <c r="BN729" s="129">
        <f>IF(I729="","",IF(COUNTIF($I$3:I729,I729)+COUNTIF($J$2:J728,I729)+COUNTIF($K$2:K728,I729)=1,MAX($BN$2:BP728)+1,""))</f>
      </c>
      <c r="BO729" s="129">
        <f>IF(J729="","",IF(COUNTIF($I$3:I729,J729)+COUNTIF($J$3:J729,J729)+COUNTIF($K$2:K728,J729)=1,MAX($BN$2:BP728,BN729)+1,""))</f>
      </c>
      <c r="BP729" s="129">
        <f>IF(K729="","",IF(COUNTIF($I$3:I729,K729)+COUNTIF($J$3:J729,K729)+COUNTIF($K$3:K729,K729)=1,MAX($BN$2:BP728,BN729,BO729)+1,""))</f>
      </c>
      <c r="BQ729" s="129">
        <f>IF(AY729=1,IFERROR(MID(Q729,FIND(" (",Q729)+2,FIND(")",Q729,FIND(" (",Q729))-FIND(" (",Q729)-2),"?"),"")</f>
      </c>
      <c r="BR729" s="129">
        <f>IF(BQ729="","",IF(COUNTIF($BQ$3:BQ729,BQ729)=1,MAX($BR$2:BR728)+1,""))</f>
      </c>
      <c r="BS729" s="129">
        <f>IF(AW729="","",COUNTIF($AW$3:AW729,"?*"))</f>
      </c>
      <c r="BT729" s="129">
        <f>IF(OR(AW729="",AI729=""),"",IF(COUNTIFS($AW$3:AW729,"?*",$AI$3:AI729,AI729)=1,MAX($BT$2:BT728)+1,""))</f>
      </c>
      <c r="BU729" s="129">
        <f>IF(AE729="",0,IF(OR(ISNUMBER(SEARCH("дубль",AE729)),ISNUMBER(SEARCH("ПЕРЕГРУЗ",AE729)),ISNUMBER(SEARCH("ЗАЩИЩ",AE729)),ISNUMBER(SEARCH("КАНАЛ",AE729)),ISNUMBER(SEARCH("без 30",AE729))),2,1))</f>
      </c>
      <c r="BV729" s="129">
        <f>IF(R729="","",COUNTIF($R$3:R729,"?*"))</f>
      </c>
      <c r="BW729" s="129">
        <f>IF(AY729&lt;&gt;1,0,IF(MAX(IFERROR(--VLOOKUP(R729,УГО_спр,5,FALSE),0),IFERROR(--VLOOKUP(AL729,УГО_спр,5,FALSE),0),IFERROR(--VLOOKUP(LEFT(AL729,2),УГО_спр,5,FALSE),0))&gt;0,MAX(IFERROR(--VLOOKUP(R729,УГО_спр,5,FALSE),0),IFERROR(--VLOOKUP(AL729,УГО_спр,5,FALSE),0),IFERROR(--VLOOKUP(LEFT(AL729,2),УГО_спр,5,FALSE),0)),IF(IFERROR(--LEFT(SUBSTITUTE(BQ729,"x","х"),FIND("х",SUBSTITUTE(BQ729,"x","х"))-1),3)&gt;3,Каталог!$S$9,1)))</f>
      </c>
      <c r="BX729" s="129">
        <f>IF(AY729&lt;&gt;1,0,MAX(0,IFERROR(--LEFT(SUBSTITUTE(BQ729,"x","х"),FIND("х",SUBSTITUTE(BQ729,"x","х"))-1),3)-3*BW729))</f>
      </c>
      <c r="BY729" s="129">
        <f>IF(R729="","",IFERROR(VLOOKUP(R729,УГО_спр,2,FALSE),IFERROR(VLOOKUP(AL729,УГО_спр,2,FALSE),IFERROR(VLOOKUP(LEFT(AL729,2),УГО_спр,2,FALSE),""))))</f>
      </c>
    </row>
    <row r="730" spans="1:64" x14ac:dyDescent="0.3">
      <c r="A730" s="135">
        <f>IF(Разбивка_по_щитам!F730=0,"",Разбивка_по_щитам!F730)</f>
        <v/>
      </c>
      <c r="B730" s="138">
        <f>IF(A730="","",Разбивка_по_щитам!C730)</f>
        <v/>
      </c>
      <c r="C730" s="138">
        <f t="shared" si="462"/>
        <v/>
      </c>
      <c r="D730" s="266"/>
      <c r="E730" s="266"/>
      <c r="F730" s="267"/>
      <c r="G730" s="145">
        <f t="shared" si="463"/>
        <v/>
      </c>
      <c r="H730" s="145">
        <f t="shared" si="464"/>
        <v/>
      </c>
      <c r="I730" s="266"/>
      <c r="J730" s="267"/>
      <c r="K730" s="267"/>
      <c r="L730" s="266"/>
      <c r="M730" s="147">
        <f t="shared" si="465"/>
        <v/>
      </c>
      <c r="N730" s="267"/>
      <c r="O730" s="147">
        <f t="shared" si="466"/>
        <v/>
      </c>
      <c r="P730" s="268">
        <f>IF(AY730=1,"XT"&amp;COUNTIFS($A$3:A730,A730,$AY$3:AY730,1),"")</f>
        <v/>
      </c>
      <c r="Q730" s="152">
        <f>IF(R730="","",IFERROR(SUBSTITUTE(Разбивка_по_щитам!P730,CHAR(10)," "),""))</f>
        <v/>
      </c>
      <c r="R730" s="153">
        <f>IF(OR(Разбивка_по_щитам!H730="",Разбивка_по_щитам!H730=0),"",Разбивка_по_щитам!H730)</f>
        <v/>
      </c>
      <c r="S730" s="154">
        <f>IF(R730="","",IFERROR(Разбивка_по_щитам!J730&amp;"",""))</f>
        <v/>
      </c>
      <c r="T730" s="155">
        <f>IF(R730="","",IFERROR(--Разбивка_по_щитам!L730,""))</f>
        <v/>
      </c>
      <c r="U730" s="155">
        <f>IF(R730="","",IFERROR(--Разбивка_по_щитам!K730,""))</f>
        <v/>
      </c>
      <c r="V730" s="138">
        <f>IF(R730="","",IFERROR(IF(Разбивка_по_щитам!M730=0,"",Разбивка_по_щитам!M730),""))</f>
        <v/>
      </c>
      <c r="W730" s="156">
        <f t="shared" si="467"/>
        <v/>
      </c>
      <c r="X730" s="157">
        <f t="shared" si="468"/>
        <v/>
      </c>
      <c r="Y730" s="266"/>
      <c r="Z730" s="158">
        <f t="shared" si="469"/>
        <v/>
      </c>
      <c r="AA730" s="160">
        <f t="shared" si="470"/>
        <v/>
      </c>
      <c r="AB730" s="160">
        <f>IF(R730="","",IFERROR(LOOKUP(INDEX(Справочная!$I$4:$I$19,MATCH(VLOOKUP(R730,Исходные_данные,22,FALSE),Справочная!$J$4:$J$19,0)+1),{6,10,16,20,25,32,40,50,63,80,100,125}),""))</f>
        <v/>
      </c>
      <c r="AC730" s="160">
        <f t="shared" si="471"/>
        <v/>
      </c>
      <c r="AD730" s="161">
        <f t="shared" si="472"/>
        <v/>
      </c>
      <c r="AE730" s="161">
        <f>IF(AND(R730="",G730=""),"",_xlfn.TEXTJOIN("; ",TRUE,IF(AND(R730&lt;&gt;"",V730=""),"нет фазы",""),IF(AND(R730&lt;&gt;"",N(T730)=0),"нет мощности",""),IF(AND(P730&lt;&gt;"",COUNTIFS($A$3:$A$1000,A730,$P$3:$P$1000,P730)&gt;1),"дубль клеммы "&amp;P730,""),IF(AND(W730&lt;&gt;"",W730&lt;&gt;"ok"),W730,""),IF(X730&lt;&gt;"",X730,""),IF(AND(ISNUMBER(SEARCH("(5х",Q730)),N(AK730)=1),"5 жил на 1 фазе",""),IF(AND(AL730="R",E730&lt;&gt;"",N(AS730)=0),"розетка без 30 мА",""),IF(IFERROR(_xlfn.NUMBERVALUE(MID(Q730,FIND("-",Q730,FIND("L=",Q730))+1,FIND("%",Q730)-FIND("-",Q730,FIND("L=",Q730))-1),","),0)&gt;4,"потери &gt; 4 %","")))</f>
      </c>
      <c r="AF730" s="129">
        <f>IF(E730&lt;&gt;"",COUNTIFS($A$3:A730,A730,$E$3:E730,"?*"),IF(OR(A730&lt;&gt;A729,Y730="вручную"),"",AF729))</f>
        <v/>
      </c>
      <c r="AG730" s="129">
        <f t="shared" si="473"/>
        <v/>
      </c>
      <c r="AH730" s="129">
        <f t="shared" si="474"/>
        <v/>
      </c>
      <c r="AI730" s="129">
        <f t="shared" si="475"/>
        <v/>
      </c>
      <c r="AJ730" s="129">
        <f t="shared" si="476"/>
        <v/>
      </c>
      <c r="AK730" s="129">
        <f t="shared" si="477"/>
        <v/>
      </c>
      <c r="AL730" s="129">
        <f t="shared" si="478"/>
        <v/>
      </c>
      <c r="AM730" s="129">
        <f t="shared" si="479"/>
      </c>
      <c r="AN730" s="129">
        <f t="shared" si="480"/>
      </c>
      <c r="AO730" s="129">
        <f t="shared" si="481"/>
        <v/>
      </c>
      <c r="AP730" s="129">
        <f t="shared" si="482"/>
        <v/>
      </c>
      <c r="AQ730" s="129">
        <f t="shared" si="483"/>
        <v/>
      </c>
      <c r="AR730" s="129">
        <f t="shared" si="484"/>
        <v/>
      </c>
      <c r="AS730" s="129">
        <f t="shared" si="485"/>
        <v/>
      </c>
      <c r="AT730" s="129">
        <f t="shared" si="486"/>
        <v/>
      </c>
      <c r="AU730" s="129">
        <f t="shared" si="487"/>
        <v/>
      </c>
      <c r="AV730" s="129">
        <f t="shared" si="488"/>
        <v/>
      </c>
      <c r="AW730" s="129">
        <f>IF(AV730="","",AV730&amp;"."&amp;COUNTIFS($A$3:A730,A730,$AV$3:AV730,AV730))</f>
        <v/>
      </c>
      <c r="AX730" s="129">
        <f t="shared" si="489"/>
        <v/>
      </c>
      <c r="AY730" s="129">
        <f>IF(N730="б/к",0,IF(OR(ISNUMBER(SEARCH("L=",Разбивка_по_щитам!P730)),N730="+",N730="="),1,0))</f>
      </c>
      <c r="AZ730" s="129">
        <f t="shared" si="490"/>
        <v/>
      </c>
      <c r="BA730" s="129">
        <f t="shared" si="491"/>
      </c>
      <c r="BB730" s="129">
        <f t="shared" si="492"/>
      </c>
      <c r="BD730" s="129">
        <f t="shared" si="493"/>
      </c>
      <c r="BE730" s="129">
        <f t="shared" si="494"/>
      </c>
      <c r="BF730" s="129">
        <f t="shared" si="495"/>
      </c>
      <c r="BG730" s="129">
        <f t="shared" si="496"/>
        <v/>
      </c>
      <c r="BH730" s="129">
        <f t="shared" si="497"/>
        <v/>
      </c>
      <c r="BI730" s="129">
        <f t="shared" si="498"/>
        <v/>
      </c>
      <c r="BJ730" s="129">
        <f t="shared" si="499"/>
        <v/>
      </c>
      <c r="BK730" s="129">
        <f>IF(R730="","",IF(OR(BY730="",BY730=0),"BOX",IFERROR(IF(VLOOKUP(BY730,УГО_блоки,3,FALSE)&amp;""&lt;&gt;"",VLOOKUP(BY730,УГО_блоки,3,FALSE),VLOOKUP(BY730,УГО_блоки,2,FALSE)),BY730)))</f>
      </c>
      <c r="BL730" s="129">
        <f t="shared" si="501"/>
      </c>
      <c r="BM730" s="129">
        <f>IF(H730="","",IF(COUNTIF($H$3:H730,H730)=1,MAX($BM$2:BM729)+1,""))</f>
      </c>
      <c r="BN730" s="129">
        <f>IF(I730="","",IF(COUNTIF($I$3:I730,I730)+COUNTIF($J$2:J729,I730)+COUNTIF($K$2:K729,I730)=1,MAX($BN$2:BP729)+1,""))</f>
      </c>
      <c r="BO730" s="129">
        <f>IF(J730="","",IF(COUNTIF($I$3:I730,J730)+COUNTIF($J$3:J730,J730)+COUNTIF($K$2:K729,J730)=1,MAX($BN$2:BP729,BN730)+1,""))</f>
      </c>
      <c r="BP730" s="129">
        <f>IF(K730="","",IF(COUNTIF($I$3:I730,K730)+COUNTIF($J$3:J730,K730)+COUNTIF($K$3:K730,K730)=1,MAX($BN$2:BP729,BN730,BO730)+1,""))</f>
      </c>
      <c r="BQ730" s="129">
        <f>IF(AY730=1,IFERROR(MID(Q730,FIND(" (",Q730)+2,FIND(")",Q730,FIND(" (",Q730))-FIND(" (",Q730)-2),"?"),"")</f>
      </c>
      <c r="BR730" s="129">
        <f>IF(BQ730="","",IF(COUNTIF($BQ$3:BQ730,BQ730)=1,MAX($BR$2:BR729)+1,""))</f>
      </c>
      <c r="BS730" s="129">
        <f>IF(AW730="","",COUNTIF($AW$3:AW730,"?*"))</f>
      </c>
      <c r="BT730" s="129">
        <f>IF(OR(AW730="",AI730=""),"",IF(COUNTIFS($AW$3:AW730,"?*",$AI$3:AI730,AI730)=1,MAX($BT$2:BT729)+1,""))</f>
      </c>
      <c r="BU730" s="129">
        <f>IF(AE730="",0,IF(OR(ISNUMBER(SEARCH("дубль",AE730)),ISNUMBER(SEARCH("ПЕРЕГРУЗ",AE730)),ISNUMBER(SEARCH("ЗАЩИЩ",AE730)),ISNUMBER(SEARCH("КАНАЛ",AE730)),ISNUMBER(SEARCH("без 30",AE730))),2,1))</f>
      </c>
      <c r="BV730" s="129">
        <f>IF(R730="","",COUNTIF($R$3:R730,"?*"))</f>
      </c>
      <c r="BW730" s="129">
        <f>IF(AY730&lt;&gt;1,0,IF(MAX(IFERROR(--VLOOKUP(R730,УГО_спр,5,FALSE),0),IFERROR(--VLOOKUP(AL730,УГО_спр,5,FALSE),0),IFERROR(--VLOOKUP(LEFT(AL730,2),УГО_спр,5,FALSE),0))&gt;0,MAX(IFERROR(--VLOOKUP(R730,УГО_спр,5,FALSE),0),IFERROR(--VLOOKUP(AL730,УГО_спр,5,FALSE),0),IFERROR(--VLOOKUP(LEFT(AL730,2),УГО_спр,5,FALSE),0)),IF(IFERROR(--LEFT(SUBSTITUTE(BQ730,"x","х"),FIND("х",SUBSTITUTE(BQ730,"x","х"))-1),3)&gt;3,Каталог!$S$9,1)))</f>
      </c>
      <c r="BX730" s="129">
        <f>IF(AY730&lt;&gt;1,0,MAX(0,IFERROR(--LEFT(SUBSTITUTE(BQ730,"x","х"),FIND("х",SUBSTITUTE(BQ730,"x","х"))-1),3)-3*BW730))</f>
      </c>
      <c r="BY730" s="129">
        <f>IF(R730="","",IFERROR(VLOOKUP(R730,УГО_спр,2,FALSE),IFERROR(VLOOKUP(AL730,УГО_спр,2,FALSE),IFERROR(VLOOKUP(LEFT(AL730,2),УГО_спр,2,FALSE),""))))</f>
      </c>
    </row>
    <row r="731" spans="1:64" x14ac:dyDescent="0.3">
      <c r="A731" s="135">
        <f>IF(Разбивка_по_щитам!F731=0,"",Разбивка_по_щитам!F731)</f>
        <v/>
      </c>
      <c r="B731" s="138">
        <f>IF(A731="","",Разбивка_по_щитам!C731)</f>
        <v/>
      </c>
      <c r="C731" s="138">
        <f t="shared" si="462"/>
        <v/>
      </c>
      <c r="D731" s="266"/>
      <c r="E731" s="266"/>
      <c r="F731" s="267"/>
      <c r="G731" s="145">
        <f t="shared" si="463"/>
        <v/>
      </c>
      <c r="H731" s="145">
        <f t="shared" si="464"/>
        <v/>
      </c>
      <c r="I731" s="266"/>
      <c r="J731" s="267"/>
      <c r="K731" s="267"/>
      <c r="L731" s="266"/>
      <c r="M731" s="147">
        <f t="shared" si="465"/>
        <v/>
      </c>
      <c r="N731" s="267"/>
      <c r="O731" s="147">
        <f t="shared" si="466"/>
        <v/>
      </c>
      <c r="P731" s="268">
        <f>IF(AY731=1,"XT"&amp;COUNTIFS($A$3:A731,A731,$AY$3:AY731,1),"")</f>
        <v/>
      </c>
      <c r="Q731" s="152">
        <f>IF(R731="","",IFERROR(SUBSTITUTE(Разбивка_по_щитам!P731,CHAR(10)," "),""))</f>
        <v/>
      </c>
      <c r="R731" s="153">
        <f>IF(OR(Разбивка_по_щитам!H731="",Разбивка_по_щитам!H731=0),"",Разбивка_по_щитам!H731)</f>
        <v/>
      </c>
      <c r="S731" s="154">
        <f>IF(R731="","",IFERROR(Разбивка_по_щитам!J731&amp;"",""))</f>
        <v/>
      </c>
      <c r="T731" s="155">
        <f>IF(R731="","",IFERROR(--Разбивка_по_щитам!L731,""))</f>
        <v/>
      </c>
      <c r="U731" s="155">
        <f>IF(R731="","",IFERROR(--Разбивка_по_щитам!K731,""))</f>
        <v/>
      </c>
      <c r="V731" s="138">
        <f>IF(R731="","",IFERROR(IF(Разбивка_по_щитам!M731=0,"",Разбивка_по_щитам!M731),""))</f>
        <v/>
      </c>
      <c r="W731" s="156">
        <f t="shared" si="467"/>
        <v/>
      </c>
      <c r="X731" s="157">
        <f t="shared" si="468"/>
        <v/>
      </c>
      <c r="Y731" s="266"/>
      <c r="Z731" s="158">
        <f t="shared" si="469"/>
        <v/>
      </c>
      <c r="AA731" s="160">
        <f t="shared" si="470"/>
        <v/>
      </c>
      <c r="AB731" s="160">
        <f>IF(R731="","",IFERROR(LOOKUP(INDEX(Справочная!$I$4:$I$19,MATCH(VLOOKUP(R731,Исходные_данные,22,FALSE),Справочная!$J$4:$J$19,0)+1),{6,10,16,20,25,32,40,50,63,80,100,125}),""))</f>
        <v/>
      </c>
      <c r="AC731" s="160">
        <f t="shared" si="471"/>
        <v/>
      </c>
      <c r="AD731" s="161">
        <f t="shared" si="472"/>
        <v/>
      </c>
      <c r="AE731" s="161">
        <f>IF(AND(R731="",G731=""),"",_xlfn.TEXTJOIN("; ",TRUE,IF(AND(R731&lt;&gt;"",V731=""),"нет фазы",""),IF(AND(R731&lt;&gt;"",N(T731)=0),"нет мощности",""),IF(AND(P731&lt;&gt;"",COUNTIFS($A$3:$A$1000,A731,$P$3:$P$1000,P731)&gt;1),"дубль клеммы "&amp;P731,""),IF(AND(W731&lt;&gt;"",W731&lt;&gt;"ok"),W731,""),IF(X731&lt;&gt;"",X731,""),IF(AND(ISNUMBER(SEARCH("(5х",Q731)),N(AK731)=1),"5 жил на 1 фазе",""),IF(AND(AL731="R",E731&lt;&gt;"",N(AS731)=0),"розетка без 30 мА",""),IF(IFERROR(_xlfn.NUMBERVALUE(MID(Q731,FIND("-",Q731,FIND("L=",Q731))+1,FIND("%",Q731)-FIND("-",Q731,FIND("L=",Q731))-1),","),0)&gt;4,"потери &gt; 4 %","")))</f>
      </c>
      <c r="AF731" s="129">
        <f>IF(E731&lt;&gt;"",COUNTIFS($A$3:A731,A731,$E$3:E731,"?*"),IF(OR(A731&lt;&gt;A730,Y731="вручную"),"",AF730))</f>
        <v/>
      </c>
      <c r="AG731" s="129">
        <f t="shared" si="473"/>
        <v/>
      </c>
      <c r="AH731" s="129">
        <f t="shared" si="474"/>
        <v/>
      </c>
      <c r="AI731" s="129">
        <f t="shared" si="475"/>
        <v/>
      </c>
      <c r="AJ731" s="129">
        <f t="shared" si="476"/>
        <v/>
      </c>
      <c r="AK731" s="129">
        <f t="shared" si="477"/>
        <v/>
      </c>
      <c r="AL731" s="129">
        <f t="shared" si="478"/>
        <v/>
      </c>
      <c r="AM731" s="129">
        <f t="shared" si="479"/>
      </c>
      <c r="AN731" s="129">
        <f t="shared" si="480"/>
      </c>
      <c r="AO731" s="129">
        <f t="shared" si="481"/>
        <v/>
      </c>
      <c r="AP731" s="129">
        <f t="shared" si="482"/>
        <v/>
      </c>
      <c r="AQ731" s="129">
        <f t="shared" si="483"/>
        <v/>
      </c>
      <c r="AR731" s="129">
        <f t="shared" si="484"/>
        <v/>
      </c>
      <c r="AS731" s="129">
        <f t="shared" si="485"/>
        <v/>
      </c>
      <c r="AT731" s="129">
        <f t="shared" si="486"/>
        <v/>
      </c>
      <c r="AU731" s="129">
        <f t="shared" si="487"/>
        <v/>
      </c>
      <c r="AV731" s="129">
        <f t="shared" si="488"/>
        <v/>
      </c>
      <c r="AW731" s="129">
        <f>IF(AV731="","",AV731&amp;"."&amp;COUNTIFS($A$3:A731,A731,$AV$3:AV731,AV731))</f>
        <v/>
      </c>
      <c r="AX731" s="129">
        <f t="shared" si="489"/>
        <v/>
      </c>
      <c r="AY731" s="129">
        <f>IF(N731="б/к",0,IF(OR(ISNUMBER(SEARCH("L=",Разбивка_по_щитам!P731)),N731="+",N731="="),1,0))</f>
      </c>
      <c r="AZ731" s="129">
        <f t="shared" si="490"/>
        <v/>
      </c>
      <c r="BA731" s="129">
        <f t="shared" si="491"/>
      </c>
      <c r="BB731" s="129">
        <f t="shared" si="492"/>
      </c>
      <c r="BD731" s="129">
        <f t="shared" si="493"/>
      </c>
      <c r="BE731" s="129">
        <f t="shared" si="494"/>
      </c>
      <c r="BF731" s="129">
        <f t="shared" si="495"/>
      </c>
      <c r="BG731" s="129">
        <f t="shared" si="496"/>
        <v/>
      </c>
      <c r="BH731" s="129">
        <f t="shared" si="497"/>
        <v/>
      </c>
      <c r="BI731" s="129">
        <f t="shared" si="498"/>
        <v/>
      </c>
      <c r="BJ731" s="129">
        <f t="shared" si="499"/>
        <v/>
      </c>
      <c r="BK731" s="129">
        <f>IF(R731="","",IF(OR(BY731="",BY731=0),"BOX",IFERROR(IF(VLOOKUP(BY731,УГО_блоки,3,FALSE)&amp;""&lt;&gt;"",VLOOKUP(BY731,УГО_блоки,3,FALSE),VLOOKUP(BY731,УГО_блоки,2,FALSE)),BY731)))</f>
      </c>
      <c r="BL731" s="129">
        <f t="shared" si="501"/>
      </c>
      <c r="BM731" s="129">
        <f>IF(H731="","",IF(COUNTIF($H$3:H731,H731)=1,MAX($BM$2:BM730)+1,""))</f>
      </c>
      <c r="BN731" s="129">
        <f>IF(I731="","",IF(COUNTIF($I$3:I731,I731)+COUNTIF($J$2:J730,I731)+COUNTIF($K$2:K730,I731)=1,MAX($BN$2:BP730)+1,""))</f>
      </c>
      <c r="BO731" s="129">
        <f>IF(J731="","",IF(COUNTIF($I$3:I731,J731)+COUNTIF($J$3:J731,J731)+COUNTIF($K$2:K730,J731)=1,MAX($BN$2:BP730,BN731)+1,""))</f>
      </c>
      <c r="BP731" s="129">
        <f>IF(K731="","",IF(COUNTIF($I$3:I731,K731)+COUNTIF($J$3:J731,K731)+COUNTIF($K$3:K731,K731)=1,MAX($BN$2:BP730,BN731,BO731)+1,""))</f>
      </c>
      <c r="BQ731" s="129">
        <f>IF(AY731=1,IFERROR(MID(Q731,FIND(" (",Q731)+2,FIND(")",Q731,FIND(" (",Q731))-FIND(" (",Q731)-2),"?"),"")</f>
      </c>
      <c r="BR731" s="129">
        <f>IF(BQ731="","",IF(COUNTIF($BQ$3:BQ731,BQ731)=1,MAX($BR$2:BR730)+1,""))</f>
      </c>
      <c r="BS731" s="129">
        <f>IF(AW731="","",COUNTIF($AW$3:AW731,"?*"))</f>
      </c>
      <c r="BT731" s="129">
        <f>IF(OR(AW731="",AI731=""),"",IF(COUNTIFS($AW$3:AW731,"?*",$AI$3:AI731,AI731)=1,MAX($BT$2:BT730)+1,""))</f>
      </c>
      <c r="BU731" s="129">
        <f>IF(AE731="",0,IF(OR(ISNUMBER(SEARCH("дубль",AE731)),ISNUMBER(SEARCH("ПЕРЕГРУЗ",AE731)),ISNUMBER(SEARCH("ЗАЩИЩ",AE731)),ISNUMBER(SEARCH("КАНАЛ",AE731)),ISNUMBER(SEARCH("без 30",AE731))),2,1))</f>
      </c>
      <c r="BV731" s="129">
        <f>IF(R731="","",COUNTIF($R$3:R731,"?*"))</f>
      </c>
      <c r="BW731" s="129">
        <f>IF(AY731&lt;&gt;1,0,IF(MAX(IFERROR(--VLOOKUP(R731,УГО_спр,5,FALSE),0),IFERROR(--VLOOKUP(AL731,УГО_спр,5,FALSE),0),IFERROR(--VLOOKUP(LEFT(AL731,2),УГО_спр,5,FALSE),0))&gt;0,MAX(IFERROR(--VLOOKUP(R731,УГО_спр,5,FALSE),0),IFERROR(--VLOOKUP(AL731,УГО_спр,5,FALSE),0),IFERROR(--VLOOKUP(LEFT(AL731,2),УГО_спр,5,FALSE),0)),IF(IFERROR(--LEFT(SUBSTITUTE(BQ731,"x","х"),FIND("х",SUBSTITUTE(BQ731,"x","х"))-1),3)&gt;3,Каталог!$S$9,1)))</f>
      </c>
      <c r="BX731" s="129">
        <f>IF(AY731&lt;&gt;1,0,MAX(0,IFERROR(--LEFT(SUBSTITUTE(BQ731,"x","х"),FIND("х",SUBSTITUTE(BQ731,"x","х"))-1),3)-3*BW731))</f>
      </c>
      <c r="BY731" s="129">
        <f>IF(R731="","",IFERROR(VLOOKUP(R731,УГО_спр,2,FALSE),IFERROR(VLOOKUP(AL731,УГО_спр,2,FALSE),IFERROR(VLOOKUP(LEFT(AL731,2),УГО_спр,2,FALSE),""))))</f>
      </c>
    </row>
    <row r="732" spans="1:64" x14ac:dyDescent="0.3">
      <c r="A732" s="135">
        <f>IF(Разбивка_по_щитам!F732=0,"",Разбивка_по_щитам!F732)</f>
        <v/>
      </c>
      <c r="B732" s="138">
        <f>IF(A732="","",Разбивка_по_щитам!C732)</f>
        <v/>
      </c>
      <c r="C732" s="138">
        <f t="shared" si="462"/>
        <v/>
      </c>
      <c r="D732" s="266"/>
      <c r="E732" s="266"/>
      <c r="F732" s="267"/>
      <c r="G732" s="145">
        <f t="shared" si="463"/>
        <v/>
      </c>
      <c r="H732" s="145">
        <f t="shared" si="464"/>
        <v/>
      </c>
      <c r="I732" s="266"/>
      <c r="J732" s="267"/>
      <c r="K732" s="267"/>
      <c r="L732" s="266"/>
      <c r="M732" s="147">
        <f t="shared" si="465"/>
        <v/>
      </c>
      <c r="N732" s="267"/>
      <c r="O732" s="147">
        <f t="shared" si="466"/>
        <v/>
      </c>
      <c r="P732" s="268">
        <f>IF(AY732=1,"XT"&amp;COUNTIFS($A$3:A732,A732,$AY$3:AY732,1),"")</f>
        <v/>
      </c>
      <c r="Q732" s="152">
        <f>IF(R732="","",IFERROR(SUBSTITUTE(Разбивка_по_щитам!P732,CHAR(10)," "),""))</f>
        <v/>
      </c>
      <c r="R732" s="153">
        <f>IF(OR(Разбивка_по_щитам!H732="",Разбивка_по_щитам!H732=0),"",Разбивка_по_щитам!H732)</f>
        <v/>
      </c>
      <c r="S732" s="154">
        <f>IF(R732="","",IFERROR(Разбивка_по_щитам!J732&amp;"",""))</f>
        <v/>
      </c>
      <c r="T732" s="155">
        <f>IF(R732="","",IFERROR(--Разбивка_по_щитам!L732,""))</f>
        <v/>
      </c>
      <c r="U732" s="155">
        <f>IF(R732="","",IFERROR(--Разбивка_по_щитам!K732,""))</f>
        <v/>
      </c>
      <c r="V732" s="138">
        <f>IF(R732="","",IFERROR(IF(Разбивка_по_щитам!M732=0,"",Разбивка_по_щитам!M732),""))</f>
        <v/>
      </c>
      <c r="W732" s="156">
        <f t="shared" si="467"/>
        <v/>
      </c>
      <c r="X732" s="157">
        <f t="shared" si="468"/>
        <v/>
      </c>
      <c r="Y732" s="266"/>
      <c r="Z732" s="158">
        <f t="shared" si="469"/>
        <v/>
      </c>
      <c r="AA732" s="160">
        <f t="shared" si="470"/>
        <v/>
      </c>
      <c r="AB732" s="160">
        <f>IF(R732="","",IFERROR(LOOKUP(INDEX(Справочная!$I$4:$I$19,MATCH(VLOOKUP(R732,Исходные_данные,22,FALSE),Справочная!$J$4:$J$19,0)+1),{6,10,16,20,25,32,40,50,63,80,100,125}),""))</f>
        <v/>
      </c>
      <c r="AC732" s="160">
        <f t="shared" si="471"/>
        <v/>
      </c>
      <c r="AD732" s="161">
        <f t="shared" si="472"/>
        <v/>
      </c>
      <c r="AE732" s="161">
        <f>IF(AND(R732="",G732=""),"",_xlfn.TEXTJOIN("; ",TRUE,IF(AND(R732&lt;&gt;"",V732=""),"нет фазы",""),IF(AND(R732&lt;&gt;"",N(T732)=0),"нет мощности",""),IF(AND(P732&lt;&gt;"",COUNTIFS($A$3:$A$1000,A732,$P$3:$P$1000,P732)&gt;1),"дубль клеммы "&amp;P732,""),IF(AND(W732&lt;&gt;"",W732&lt;&gt;"ok"),W732,""),IF(X732&lt;&gt;"",X732,""),IF(AND(ISNUMBER(SEARCH("(5х",Q732)),N(AK732)=1),"5 жил на 1 фазе",""),IF(AND(AL732="R",E732&lt;&gt;"",N(AS732)=0),"розетка без 30 мА",""),IF(IFERROR(_xlfn.NUMBERVALUE(MID(Q732,FIND("-",Q732,FIND("L=",Q732))+1,FIND("%",Q732)-FIND("-",Q732,FIND("L=",Q732))-1),","),0)&gt;4,"потери &gt; 4 %","")))</f>
      </c>
      <c r="AF732" s="129">
        <f>IF(E732&lt;&gt;"",COUNTIFS($A$3:A732,A732,$E$3:E732,"?*"),IF(OR(A732&lt;&gt;A731,Y732="вручную"),"",AF731))</f>
        <v/>
      </c>
      <c r="AG732" s="129">
        <f t="shared" si="473"/>
        <v/>
      </c>
      <c r="AH732" s="129">
        <f t="shared" si="474"/>
        <v/>
      </c>
      <c r="AI732" s="129">
        <f t="shared" si="475"/>
        <v/>
      </c>
      <c r="AJ732" s="129">
        <f t="shared" si="476"/>
        <v/>
      </c>
      <c r="AK732" s="129">
        <f t="shared" si="477"/>
        <v/>
      </c>
      <c r="AL732" s="129">
        <f t="shared" si="478"/>
        <v/>
      </c>
      <c r="AM732" s="129">
        <f t="shared" si="479"/>
      </c>
      <c r="AN732" s="129">
        <f t="shared" si="480"/>
      </c>
      <c r="AO732" s="129">
        <f t="shared" si="481"/>
        <v/>
      </c>
      <c r="AP732" s="129">
        <f t="shared" si="482"/>
        <v/>
      </c>
      <c r="AQ732" s="129">
        <f t="shared" si="483"/>
        <v/>
      </c>
      <c r="AR732" s="129">
        <f t="shared" si="484"/>
        <v/>
      </c>
      <c r="AS732" s="129">
        <f t="shared" si="485"/>
        <v/>
      </c>
      <c r="AT732" s="129">
        <f t="shared" si="486"/>
        <v/>
      </c>
      <c r="AU732" s="129">
        <f t="shared" si="487"/>
        <v/>
      </c>
      <c r="AV732" s="129">
        <f t="shared" si="488"/>
        <v/>
      </c>
      <c r="AW732" s="129">
        <f>IF(AV732="","",AV732&amp;"."&amp;COUNTIFS($A$3:A732,A732,$AV$3:AV732,AV732))</f>
        <v/>
      </c>
      <c r="AX732" s="129">
        <f t="shared" si="489"/>
        <v/>
      </c>
      <c r="AY732" s="129">
        <f>IF(N732="б/к",0,IF(OR(ISNUMBER(SEARCH("L=",Разбивка_по_щитам!P732)),N732="+",N732="="),1,0))</f>
      </c>
      <c r="AZ732" s="129">
        <f t="shared" si="490"/>
        <v/>
      </c>
      <c r="BA732" s="129">
        <f t="shared" si="491"/>
      </c>
      <c r="BB732" s="129">
        <f t="shared" si="492"/>
      </c>
      <c r="BD732" s="129">
        <f t="shared" si="493"/>
      </c>
      <c r="BE732" s="129">
        <f t="shared" si="494"/>
      </c>
      <c r="BF732" s="129">
        <f t="shared" si="495"/>
      </c>
      <c r="BG732" s="129">
        <f t="shared" si="496"/>
        <v/>
      </c>
      <c r="BH732" s="129">
        <f t="shared" si="497"/>
        <v/>
      </c>
      <c r="BI732" s="129">
        <f t="shared" si="498"/>
        <v/>
      </c>
      <c r="BJ732" s="129">
        <f t="shared" si="499"/>
        <v/>
      </c>
      <c r="BK732" s="129">
        <f>IF(R732="","",IF(OR(BY732="",BY732=0),"BOX",IFERROR(IF(VLOOKUP(BY732,УГО_блоки,3,FALSE)&amp;""&lt;&gt;"",VLOOKUP(BY732,УГО_блоки,3,FALSE),VLOOKUP(BY732,УГО_блоки,2,FALSE)),BY732)))</f>
      </c>
      <c r="BL732" s="129">
        <f t="shared" si="501"/>
      </c>
      <c r="BM732" s="129">
        <f>IF(H732="","",IF(COUNTIF($H$3:H732,H732)=1,MAX($BM$2:BM731)+1,""))</f>
      </c>
      <c r="BN732" s="129">
        <f>IF(I732="","",IF(COUNTIF($I$3:I732,I732)+COUNTIF($J$2:J731,I732)+COUNTIF($K$2:K731,I732)=1,MAX($BN$2:BP731)+1,""))</f>
      </c>
      <c r="BO732" s="129">
        <f>IF(J732="","",IF(COUNTIF($I$3:I732,J732)+COUNTIF($J$3:J732,J732)+COUNTIF($K$2:K731,J732)=1,MAX($BN$2:BP731,BN732)+1,""))</f>
      </c>
      <c r="BP732" s="129">
        <f>IF(K732="","",IF(COUNTIF($I$3:I732,K732)+COUNTIF($J$3:J732,K732)+COUNTIF($K$3:K732,K732)=1,MAX($BN$2:BP731,BN732,BO732)+1,""))</f>
      </c>
      <c r="BQ732" s="129">
        <f>IF(AY732=1,IFERROR(MID(Q732,FIND(" (",Q732)+2,FIND(")",Q732,FIND(" (",Q732))-FIND(" (",Q732)-2),"?"),"")</f>
      </c>
      <c r="BR732" s="129">
        <f>IF(BQ732="","",IF(COUNTIF($BQ$3:BQ732,BQ732)=1,MAX($BR$2:BR731)+1,""))</f>
      </c>
      <c r="BS732" s="129">
        <f>IF(AW732="","",COUNTIF($AW$3:AW732,"?*"))</f>
      </c>
      <c r="BT732" s="129">
        <f>IF(OR(AW732="",AI732=""),"",IF(COUNTIFS($AW$3:AW732,"?*",$AI$3:AI732,AI732)=1,MAX($BT$2:BT731)+1,""))</f>
      </c>
      <c r="BU732" s="129">
        <f>IF(AE732="",0,IF(OR(ISNUMBER(SEARCH("дубль",AE732)),ISNUMBER(SEARCH("ПЕРЕГРУЗ",AE732)),ISNUMBER(SEARCH("ЗАЩИЩ",AE732)),ISNUMBER(SEARCH("КАНАЛ",AE732)),ISNUMBER(SEARCH("без 30",AE732))),2,1))</f>
      </c>
      <c r="BV732" s="129">
        <f>IF(R732="","",COUNTIF($R$3:R732,"?*"))</f>
      </c>
      <c r="BW732" s="129">
        <f>IF(AY732&lt;&gt;1,0,IF(MAX(IFERROR(--VLOOKUP(R732,УГО_спр,5,FALSE),0),IFERROR(--VLOOKUP(AL732,УГО_спр,5,FALSE),0),IFERROR(--VLOOKUP(LEFT(AL732,2),УГО_спр,5,FALSE),0))&gt;0,MAX(IFERROR(--VLOOKUP(R732,УГО_спр,5,FALSE),0),IFERROR(--VLOOKUP(AL732,УГО_спр,5,FALSE),0),IFERROR(--VLOOKUP(LEFT(AL732,2),УГО_спр,5,FALSE),0)),IF(IFERROR(--LEFT(SUBSTITUTE(BQ732,"x","х"),FIND("х",SUBSTITUTE(BQ732,"x","х"))-1),3)&gt;3,Каталог!$S$9,1)))</f>
      </c>
      <c r="BX732" s="129">
        <f>IF(AY732&lt;&gt;1,0,MAX(0,IFERROR(--LEFT(SUBSTITUTE(BQ732,"x","х"),FIND("х",SUBSTITUTE(BQ732,"x","х"))-1),3)-3*BW732))</f>
      </c>
      <c r="BY732" s="129">
        <f>IF(R732="","",IFERROR(VLOOKUP(R732,УГО_спр,2,FALSE),IFERROR(VLOOKUP(AL732,УГО_спр,2,FALSE),IFERROR(VLOOKUP(LEFT(AL732,2),УГО_спр,2,FALSE),""))))</f>
      </c>
    </row>
    <row r="733" spans="1:64" x14ac:dyDescent="0.3">
      <c r="A733" s="135">
        <f>IF(Разбивка_по_щитам!F733=0,"",Разбивка_по_щитам!F733)</f>
        <v/>
      </c>
      <c r="B733" s="138">
        <f>IF(A733="","",Разбивка_по_щитам!C733)</f>
        <v/>
      </c>
      <c r="C733" s="138">
        <f t="shared" si="462"/>
        <v/>
      </c>
      <c r="D733" s="266"/>
      <c r="E733" s="266"/>
      <c r="F733" s="267"/>
      <c r="G733" s="145">
        <f t="shared" si="463"/>
        <v/>
      </c>
      <c r="H733" s="145">
        <f t="shared" si="464"/>
        <v/>
      </c>
      <c r="I733" s="266"/>
      <c r="J733" s="267"/>
      <c r="K733" s="267"/>
      <c r="L733" s="266"/>
      <c r="M733" s="147">
        <f t="shared" si="465"/>
        <v/>
      </c>
      <c r="N733" s="267"/>
      <c r="O733" s="147">
        <f t="shared" si="466"/>
        <v/>
      </c>
      <c r="P733" s="268">
        <f>IF(AY733=1,"XT"&amp;COUNTIFS($A$3:A733,A733,$AY$3:AY733,1),"")</f>
        <v/>
      </c>
      <c r="Q733" s="152">
        <f>IF(R733="","",IFERROR(SUBSTITUTE(Разбивка_по_щитам!P733,CHAR(10)," "),""))</f>
        <v/>
      </c>
      <c r="R733" s="153">
        <f>IF(OR(Разбивка_по_щитам!H733="",Разбивка_по_щитам!H733=0),"",Разбивка_по_щитам!H733)</f>
        <v/>
      </c>
      <c r="S733" s="154">
        <f>IF(R733="","",IFERROR(Разбивка_по_щитам!J733&amp;"",""))</f>
        <v/>
      </c>
      <c r="T733" s="155">
        <f>IF(R733="","",IFERROR(--Разбивка_по_щитам!L733,""))</f>
        <v/>
      </c>
      <c r="U733" s="155">
        <f>IF(R733="","",IFERROR(--Разбивка_по_щитам!K733,""))</f>
        <v/>
      </c>
      <c r="V733" s="138">
        <f>IF(R733="","",IFERROR(IF(Разбивка_по_щитам!M733=0,"",Разбивка_по_щитам!M733),""))</f>
        <v/>
      </c>
      <c r="W733" s="156">
        <f t="shared" si="467"/>
        <v/>
      </c>
      <c r="X733" s="157">
        <f t="shared" si="468"/>
        <v/>
      </c>
      <c r="Y733" s="266"/>
      <c r="Z733" s="158">
        <f t="shared" si="469"/>
        <v/>
      </c>
      <c r="AA733" s="160">
        <f t="shared" si="470"/>
        <v/>
      </c>
      <c r="AB733" s="160">
        <f>IF(R733="","",IFERROR(LOOKUP(INDEX(Справочная!$I$4:$I$19,MATCH(VLOOKUP(R733,Исходные_данные,22,FALSE),Справочная!$J$4:$J$19,0)+1),{6,10,16,20,25,32,40,50,63,80,100,125}),""))</f>
        <v/>
      </c>
      <c r="AC733" s="160">
        <f t="shared" si="471"/>
        <v/>
      </c>
      <c r="AD733" s="161">
        <f t="shared" si="472"/>
        <v/>
      </c>
      <c r="AE733" s="161">
        <f>IF(AND(R733="",G733=""),"",_xlfn.TEXTJOIN("; ",TRUE,IF(AND(R733&lt;&gt;"",V733=""),"нет фазы",""),IF(AND(R733&lt;&gt;"",N(T733)=0),"нет мощности",""),IF(AND(P733&lt;&gt;"",COUNTIFS($A$3:$A$1000,A733,$P$3:$P$1000,P733)&gt;1),"дубль клеммы "&amp;P733,""),IF(AND(W733&lt;&gt;"",W733&lt;&gt;"ok"),W733,""),IF(X733&lt;&gt;"",X733,""),IF(AND(ISNUMBER(SEARCH("(5х",Q733)),N(AK733)=1),"5 жил на 1 фазе",""),IF(AND(AL733="R",E733&lt;&gt;"",N(AS733)=0),"розетка без 30 мА",""),IF(IFERROR(_xlfn.NUMBERVALUE(MID(Q733,FIND("-",Q733,FIND("L=",Q733))+1,FIND("%",Q733)-FIND("-",Q733,FIND("L=",Q733))-1),","),0)&gt;4,"потери &gt; 4 %","")))</f>
      </c>
      <c r="AF733" s="129">
        <f>IF(E733&lt;&gt;"",COUNTIFS($A$3:A733,A733,$E$3:E733,"?*"),IF(OR(A733&lt;&gt;A732,Y733="вручную"),"",AF732))</f>
        <v/>
      </c>
      <c r="AG733" s="129">
        <f t="shared" si="473"/>
        <v/>
      </c>
      <c r="AH733" s="129">
        <f t="shared" si="474"/>
        <v/>
      </c>
      <c r="AI733" s="129">
        <f t="shared" si="475"/>
        <v/>
      </c>
      <c r="AJ733" s="129">
        <f t="shared" si="476"/>
        <v/>
      </c>
      <c r="AK733" s="129">
        <f t="shared" si="477"/>
        <v/>
      </c>
      <c r="AL733" s="129">
        <f t="shared" si="478"/>
        <v/>
      </c>
      <c r="AM733" s="129">
        <f t="shared" si="479"/>
      </c>
      <c r="AN733" s="129">
        <f t="shared" si="480"/>
      </c>
      <c r="AO733" s="129">
        <f t="shared" si="481"/>
        <v/>
      </c>
      <c r="AP733" s="129">
        <f t="shared" si="482"/>
        <v/>
      </c>
      <c r="AQ733" s="129">
        <f t="shared" si="483"/>
        <v/>
      </c>
      <c r="AR733" s="129">
        <f t="shared" si="484"/>
        <v/>
      </c>
      <c r="AS733" s="129">
        <f t="shared" si="485"/>
        <v/>
      </c>
      <c r="AT733" s="129">
        <f t="shared" si="486"/>
        <v/>
      </c>
      <c r="AU733" s="129">
        <f t="shared" si="487"/>
        <v/>
      </c>
      <c r="AV733" s="129">
        <f t="shared" si="488"/>
        <v/>
      </c>
      <c r="AW733" s="129">
        <f>IF(AV733="","",AV733&amp;"."&amp;COUNTIFS($A$3:A733,A733,$AV$3:AV733,AV733))</f>
        <v/>
      </c>
      <c r="AX733" s="129">
        <f t="shared" si="489"/>
        <v/>
      </c>
      <c r="AY733" s="129">
        <f>IF(N733="б/к",0,IF(OR(ISNUMBER(SEARCH("L=",Разбивка_по_щитам!P733)),N733="+",N733="="),1,0))</f>
      </c>
      <c r="AZ733" s="129">
        <f t="shared" si="490"/>
        <v/>
      </c>
      <c r="BA733" s="129">
        <f t="shared" si="491"/>
      </c>
      <c r="BB733" s="129">
        <f t="shared" si="492"/>
      </c>
      <c r="BD733" s="129">
        <f t="shared" si="493"/>
      </c>
      <c r="BE733" s="129">
        <f t="shared" si="494"/>
      </c>
      <c r="BF733" s="129">
        <f t="shared" si="495"/>
      </c>
      <c r="BG733" s="129">
        <f t="shared" si="496"/>
        <v/>
      </c>
      <c r="BH733" s="129">
        <f t="shared" si="497"/>
        <v/>
      </c>
      <c r="BI733" s="129">
        <f t="shared" si="498"/>
        <v/>
      </c>
      <c r="BJ733" s="129">
        <f t="shared" si="499"/>
        <v/>
      </c>
      <c r="BK733" s="129">
        <f>IF(R733="","",IF(OR(BY733="",BY733=0),"BOX",IFERROR(IF(VLOOKUP(BY733,УГО_блоки,3,FALSE)&amp;""&lt;&gt;"",VLOOKUP(BY733,УГО_блоки,3,FALSE),VLOOKUP(BY733,УГО_блоки,2,FALSE)),BY733)))</f>
      </c>
      <c r="BL733" s="129">
        <f t="shared" si="501"/>
      </c>
      <c r="BM733" s="129">
        <f>IF(H733="","",IF(COUNTIF($H$3:H733,H733)=1,MAX($BM$2:BM732)+1,""))</f>
      </c>
      <c r="BN733" s="129">
        <f>IF(I733="","",IF(COUNTIF($I$3:I733,I733)+COUNTIF($J$2:J732,I733)+COUNTIF($K$2:K732,I733)=1,MAX($BN$2:BP732)+1,""))</f>
      </c>
      <c r="BO733" s="129">
        <f>IF(J733="","",IF(COUNTIF($I$3:I733,J733)+COUNTIF($J$3:J733,J733)+COUNTIF($K$2:K732,J733)=1,MAX($BN$2:BP732,BN733)+1,""))</f>
      </c>
      <c r="BP733" s="129">
        <f>IF(K733="","",IF(COUNTIF($I$3:I733,K733)+COUNTIF($J$3:J733,K733)+COUNTIF($K$3:K733,K733)=1,MAX($BN$2:BP732,BN733,BO733)+1,""))</f>
      </c>
      <c r="BQ733" s="129">
        <f>IF(AY733=1,IFERROR(MID(Q733,FIND(" (",Q733)+2,FIND(")",Q733,FIND(" (",Q733))-FIND(" (",Q733)-2),"?"),"")</f>
      </c>
      <c r="BR733" s="129">
        <f>IF(BQ733="","",IF(COUNTIF($BQ$3:BQ733,BQ733)=1,MAX($BR$2:BR732)+1,""))</f>
      </c>
      <c r="BS733" s="129">
        <f>IF(AW733="","",COUNTIF($AW$3:AW733,"?*"))</f>
      </c>
      <c r="BT733" s="129">
        <f>IF(OR(AW733="",AI733=""),"",IF(COUNTIFS($AW$3:AW733,"?*",$AI$3:AI733,AI733)=1,MAX($BT$2:BT732)+1,""))</f>
      </c>
      <c r="BU733" s="129">
        <f>IF(AE733="",0,IF(OR(ISNUMBER(SEARCH("дубль",AE733)),ISNUMBER(SEARCH("ПЕРЕГРУЗ",AE733)),ISNUMBER(SEARCH("ЗАЩИЩ",AE733)),ISNUMBER(SEARCH("КАНАЛ",AE733)),ISNUMBER(SEARCH("без 30",AE733))),2,1))</f>
      </c>
      <c r="BV733" s="129">
        <f>IF(R733="","",COUNTIF($R$3:R733,"?*"))</f>
      </c>
      <c r="BW733" s="129">
        <f>IF(AY733&lt;&gt;1,0,IF(MAX(IFERROR(--VLOOKUP(R733,УГО_спр,5,FALSE),0),IFERROR(--VLOOKUP(AL733,УГО_спр,5,FALSE),0),IFERROR(--VLOOKUP(LEFT(AL733,2),УГО_спр,5,FALSE),0))&gt;0,MAX(IFERROR(--VLOOKUP(R733,УГО_спр,5,FALSE),0),IFERROR(--VLOOKUP(AL733,УГО_спр,5,FALSE),0),IFERROR(--VLOOKUP(LEFT(AL733,2),УГО_спр,5,FALSE),0)),IF(IFERROR(--LEFT(SUBSTITUTE(BQ733,"x","х"),FIND("х",SUBSTITUTE(BQ733,"x","х"))-1),3)&gt;3,Каталог!$S$9,1)))</f>
      </c>
      <c r="BX733" s="129">
        <f>IF(AY733&lt;&gt;1,0,MAX(0,IFERROR(--LEFT(SUBSTITUTE(BQ733,"x","х"),FIND("х",SUBSTITUTE(BQ733,"x","х"))-1),3)-3*BW733))</f>
      </c>
      <c r="BY733" s="129">
        <f>IF(R733="","",IFERROR(VLOOKUP(R733,УГО_спр,2,FALSE),IFERROR(VLOOKUP(AL733,УГО_спр,2,FALSE),IFERROR(VLOOKUP(LEFT(AL733,2),УГО_спр,2,FALSE),""))))</f>
      </c>
    </row>
    <row r="734" spans="1:64" x14ac:dyDescent="0.3">
      <c r="A734" s="135">
        <f>IF(Разбивка_по_щитам!F734=0,"",Разбивка_по_щитам!F734)</f>
        <v/>
      </c>
      <c r="B734" s="138">
        <f>IF(A734="","",Разбивка_по_щитам!C734)</f>
        <v/>
      </c>
      <c r="C734" s="138">
        <f t="shared" si="462"/>
        <v/>
      </c>
      <c r="D734" s="266"/>
      <c r="E734" s="266"/>
      <c r="F734" s="267"/>
      <c r="G734" s="145">
        <f t="shared" si="463"/>
        <v/>
      </c>
      <c r="H734" s="145">
        <f t="shared" si="464"/>
        <v/>
      </c>
      <c r="I734" s="266"/>
      <c r="J734" s="267"/>
      <c r="K734" s="267"/>
      <c r="L734" s="266"/>
      <c r="M734" s="147">
        <f t="shared" si="465"/>
        <v/>
      </c>
      <c r="N734" s="267"/>
      <c r="O734" s="147">
        <f t="shared" si="466"/>
        <v/>
      </c>
      <c r="P734" s="268">
        <f>IF(AY734=1,"XT"&amp;COUNTIFS($A$3:A734,A734,$AY$3:AY734,1),"")</f>
        <v/>
      </c>
      <c r="Q734" s="152">
        <f>IF(R734="","",IFERROR(SUBSTITUTE(Разбивка_по_щитам!P734,CHAR(10)," "),""))</f>
        <v/>
      </c>
      <c r="R734" s="153">
        <f>IF(OR(Разбивка_по_щитам!H734="",Разбивка_по_щитам!H734=0),"",Разбивка_по_щитам!H734)</f>
        <v/>
      </c>
      <c r="S734" s="154">
        <f>IF(R734="","",IFERROR(Разбивка_по_щитам!J734&amp;"",""))</f>
        <v/>
      </c>
      <c r="T734" s="155">
        <f>IF(R734="","",IFERROR(--Разбивка_по_щитам!L734,""))</f>
        <v/>
      </c>
      <c r="U734" s="155">
        <f>IF(R734="","",IFERROR(--Разбивка_по_щитам!K734,""))</f>
        <v/>
      </c>
      <c r="V734" s="138">
        <f>IF(R734="","",IFERROR(IF(Разбивка_по_щитам!M734=0,"",Разбивка_по_щитам!M734),""))</f>
        <v/>
      </c>
      <c r="W734" s="156">
        <f t="shared" si="467"/>
        <v/>
      </c>
      <c r="X734" s="157">
        <f t="shared" si="468"/>
        <v/>
      </c>
      <c r="Y734" s="266"/>
      <c r="Z734" s="158">
        <f t="shared" si="469"/>
        <v/>
      </c>
      <c r="AA734" s="160">
        <f t="shared" si="470"/>
        <v/>
      </c>
      <c r="AB734" s="160">
        <f>IF(R734="","",IFERROR(LOOKUP(INDEX(Справочная!$I$4:$I$19,MATCH(VLOOKUP(R734,Исходные_данные,22,FALSE),Справочная!$J$4:$J$19,0)+1),{6,10,16,20,25,32,40,50,63,80,100,125}),""))</f>
        <v/>
      </c>
      <c r="AC734" s="160">
        <f t="shared" si="471"/>
        <v/>
      </c>
      <c r="AD734" s="161">
        <f t="shared" si="472"/>
        <v/>
      </c>
      <c r="AE734" s="161">
        <f>IF(AND(R734="",G734=""),"",_xlfn.TEXTJOIN("; ",TRUE,IF(AND(R734&lt;&gt;"",V734=""),"нет фазы",""),IF(AND(R734&lt;&gt;"",N(T734)=0),"нет мощности",""),IF(AND(P734&lt;&gt;"",COUNTIFS($A$3:$A$1000,A734,$P$3:$P$1000,P734)&gt;1),"дубль клеммы "&amp;P734,""),IF(AND(W734&lt;&gt;"",W734&lt;&gt;"ok"),W734,""),IF(X734&lt;&gt;"",X734,""),IF(AND(ISNUMBER(SEARCH("(5х",Q734)),N(AK734)=1),"5 жил на 1 фазе",""),IF(AND(AL734="R",E734&lt;&gt;"",N(AS734)=0),"розетка без 30 мА",""),IF(IFERROR(_xlfn.NUMBERVALUE(MID(Q734,FIND("-",Q734,FIND("L=",Q734))+1,FIND("%",Q734)-FIND("-",Q734,FIND("L=",Q734))-1),","),0)&gt;4,"потери &gt; 4 %","")))</f>
      </c>
      <c r="AF734" s="129">
        <f>IF(E734&lt;&gt;"",COUNTIFS($A$3:A734,A734,$E$3:E734,"?*"),IF(OR(A734&lt;&gt;A733,Y734="вручную"),"",AF733))</f>
        <v/>
      </c>
      <c r="AG734" s="129">
        <f t="shared" si="473"/>
        <v/>
      </c>
      <c r="AH734" s="129">
        <f t="shared" si="474"/>
        <v/>
      </c>
      <c r="AI734" s="129">
        <f t="shared" si="475"/>
        <v/>
      </c>
      <c r="AJ734" s="129">
        <f t="shared" si="476"/>
        <v/>
      </c>
      <c r="AK734" s="129">
        <f t="shared" si="477"/>
        <v/>
      </c>
      <c r="AL734" s="129">
        <f t="shared" si="478"/>
        <v/>
      </c>
      <c r="AM734" s="129">
        <f t="shared" si="479"/>
      </c>
      <c r="AN734" s="129">
        <f t="shared" si="480"/>
      </c>
      <c r="AO734" s="129">
        <f t="shared" si="481"/>
        <v/>
      </c>
      <c r="AP734" s="129">
        <f t="shared" si="482"/>
        <v/>
      </c>
      <c r="AQ734" s="129">
        <f t="shared" si="483"/>
        <v/>
      </c>
      <c r="AR734" s="129">
        <f t="shared" si="484"/>
        <v/>
      </c>
      <c r="AS734" s="129">
        <f t="shared" si="485"/>
        <v/>
      </c>
      <c r="AT734" s="129">
        <f t="shared" si="486"/>
        <v/>
      </c>
      <c r="AU734" s="129">
        <f t="shared" si="487"/>
        <v/>
      </c>
      <c r="AV734" s="129">
        <f t="shared" si="488"/>
        <v/>
      </c>
      <c r="AW734" s="129">
        <f>IF(AV734="","",AV734&amp;"."&amp;COUNTIFS($A$3:A734,A734,$AV$3:AV734,AV734))</f>
        <v/>
      </c>
      <c r="AX734" s="129">
        <f t="shared" si="489"/>
        <v/>
      </c>
      <c r="AY734" s="129">
        <f>IF(N734="б/к",0,IF(OR(ISNUMBER(SEARCH("L=",Разбивка_по_щитам!P734)),N734="+",N734="="),1,0))</f>
      </c>
      <c r="AZ734" s="129">
        <f t="shared" si="490"/>
        <v/>
      </c>
      <c r="BA734" s="129">
        <f t="shared" si="491"/>
      </c>
      <c r="BB734" s="129">
        <f t="shared" si="492"/>
      </c>
      <c r="BD734" s="129">
        <f t="shared" si="493"/>
      </c>
      <c r="BE734" s="129">
        <f t="shared" si="494"/>
      </c>
      <c r="BF734" s="129">
        <f t="shared" si="495"/>
      </c>
      <c r="BG734" s="129">
        <f t="shared" si="496"/>
        <v/>
      </c>
      <c r="BH734" s="129">
        <f t="shared" si="497"/>
        <v/>
      </c>
      <c r="BI734" s="129">
        <f t="shared" si="498"/>
        <v/>
      </c>
      <c r="BJ734" s="129">
        <f t="shared" si="499"/>
        <v/>
      </c>
      <c r="BK734" s="129">
        <f>IF(R734="","",IF(OR(BY734="",BY734=0),"BOX",IFERROR(IF(VLOOKUP(BY734,УГО_блоки,3,FALSE)&amp;""&lt;&gt;"",VLOOKUP(BY734,УГО_блоки,3,FALSE),VLOOKUP(BY734,УГО_блоки,2,FALSE)),BY734)))</f>
      </c>
      <c r="BL734" s="129">
        <f t="shared" si="501"/>
      </c>
      <c r="BM734" s="129">
        <f>IF(H734="","",IF(COUNTIF($H$3:H734,H734)=1,MAX($BM$2:BM733)+1,""))</f>
      </c>
      <c r="BN734" s="129">
        <f>IF(I734="","",IF(COUNTIF($I$3:I734,I734)+COUNTIF($J$2:J733,I734)+COUNTIF($K$2:K733,I734)=1,MAX($BN$2:BP733)+1,""))</f>
      </c>
      <c r="BO734" s="129">
        <f>IF(J734="","",IF(COUNTIF($I$3:I734,J734)+COUNTIF($J$3:J734,J734)+COUNTIF($K$2:K733,J734)=1,MAX($BN$2:BP733,BN734)+1,""))</f>
      </c>
      <c r="BP734" s="129">
        <f>IF(K734="","",IF(COUNTIF($I$3:I734,K734)+COUNTIF($J$3:J734,K734)+COUNTIF($K$3:K734,K734)=1,MAX($BN$2:BP733,BN734,BO734)+1,""))</f>
      </c>
      <c r="BQ734" s="129">
        <f>IF(AY734=1,IFERROR(MID(Q734,FIND(" (",Q734)+2,FIND(")",Q734,FIND(" (",Q734))-FIND(" (",Q734)-2),"?"),"")</f>
      </c>
      <c r="BR734" s="129">
        <f>IF(BQ734="","",IF(COUNTIF($BQ$3:BQ734,BQ734)=1,MAX($BR$2:BR733)+1,""))</f>
      </c>
      <c r="BS734" s="129">
        <f>IF(AW734="","",COUNTIF($AW$3:AW734,"?*"))</f>
      </c>
      <c r="BT734" s="129">
        <f>IF(OR(AW734="",AI734=""),"",IF(COUNTIFS($AW$3:AW734,"?*",$AI$3:AI734,AI734)=1,MAX($BT$2:BT733)+1,""))</f>
      </c>
      <c r="BU734" s="129">
        <f>IF(AE734="",0,IF(OR(ISNUMBER(SEARCH("дубль",AE734)),ISNUMBER(SEARCH("ПЕРЕГРУЗ",AE734)),ISNUMBER(SEARCH("ЗАЩИЩ",AE734)),ISNUMBER(SEARCH("КАНАЛ",AE734)),ISNUMBER(SEARCH("без 30",AE734))),2,1))</f>
      </c>
      <c r="BV734" s="129">
        <f>IF(R734="","",COUNTIF($R$3:R734,"?*"))</f>
      </c>
      <c r="BW734" s="129">
        <f>IF(AY734&lt;&gt;1,0,IF(MAX(IFERROR(--VLOOKUP(R734,УГО_спр,5,FALSE),0),IFERROR(--VLOOKUP(AL734,УГО_спр,5,FALSE),0),IFERROR(--VLOOKUP(LEFT(AL734,2),УГО_спр,5,FALSE),0))&gt;0,MAX(IFERROR(--VLOOKUP(R734,УГО_спр,5,FALSE),0),IFERROR(--VLOOKUP(AL734,УГО_спр,5,FALSE),0),IFERROR(--VLOOKUP(LEFT(AL734,2),УГО_спр,5,FALSE),0)),IF(IFERROR(--LEFT(SUBSTITUTE(BQ734,"x","х"),FIND("х",SUBSTITUTE(BQ734,"x","х"))-1),3)&gt;3,Каталог!$S$9,1)))</f>
      </c>
      <c r="BX734" s="129">
        <f>IF(AY734&lt;&gt;1,0,MAX(0,IFERROR(--LEFT(SUBSTITUTE(BQ734,"x","х"),FIND("х",SUBSTITUTE(BQ734,"x","х"))-1),3)-3*BW734))</f>
      </c>
      <c r="BY734" s="129">
        <f>IF(R734="","",IFERROR(VLOOKUP(R734,УГО_спр,2,FALSE),IFERROR(VLOOKUP(AL734,УГО_спр,2,FALSE),IFERROR(VLOOKUP(LEFT(AL734,2),УГО_спр,2,FALSE),""))))</f>
      </c>
    </row>
    <row r="735" spans="1:64" x14ac:dyDescent="0.3">
      <c r="A735" s="135">
        <f>IF(Разбивка_по_щитам!F735=0,"",Разбивка_по_щитам!F735)</f>
        <v/>
      </c>
      <c r="B735" s="138">
        <f>IF(A735="","",Разбивка_по_щитам!C735)</f>
        <v/>
      </c>
      <c r="C735" s="138">
        <f t="shared" si="462"/>
        <v/>
      </c>
      <c r="D735" s="266"/>
      <c r="E735" s="266"/>
      <c r="F735" s="267"/>
      <c r="G735" s="145">
        <f t="shared" si="463"/>
        <v/>
      </c>
      <c r="H735" s="145">
        <f t="shared" si="464"/>
        <v/>
      </c>
      <c r="I735" s="266"/>
      <c r="J735" s="267"/>
      <c r="K735" s="267"/>
      <c r="L735" s="266"/>
      <c r="M735" s="147">
        <f t="shared" si="465"/>
        <v/>
      </c>
      <c r="N735" s="267"/>
      <c r="O735" s="147">
        <f t="shared" si="466"/>
        <v/>
      </c>
      <c r="P735" s="268">
        <f>IF(AY735=1,"XT"&amp;COUNTIFS($A$3:A735,A735,$AY$3:AY735,1),"")</f>
        <v/>
      </c>
      <c r="Q735" s="152">
        <f>IF(R735="","",IFERROR(SUBSTITUTE(Разбивка_по_щитам!P735,CHAR(10)," "),""))</f>
        <v/>
      </c>
      <c r="R735" s="153">
        <f>IF(OR(Разбивка_по_щитам!H735="",Разбивка_по_щитам!H735=0),"",Разбивка_по_щитам!H735)</f>
        <v/>
      </c>
      <c r="S735" s="154">
        <f>IF(R735="","",IFERROR(Разбивка_по_щитам!J735&amp;"",""))</f>
        <v/>
      </c>
      <c r="T735" s="155">
        <f>IF(R735="","",IFERROR(--Разбивка_по_щитам!L735,""))</f>
        <v/>
      </c>
      <c r="U735" s="155">
        <f>IF(R735="","",IFERROR(--Разбивка_по_щитам!K735,""))</f>
        <v/>
      </c>
      <c r="V735" s="138">
        <f>IF(R735="","",IFERROR(IF(Разбивка_по_щитам!M735=0,"",Разбивка_по_щитам!M735),""))</f>
        <v/>
      </c>
      <c r="W735" s="156">
        <f t="shared" si="467"/>
        <v/>
      </c>
      <c r="X735" s="157">
        <f t="shared" si="468"/>
        <v/>
      </c>
      <c r="Y735" s="266"/>
      <c r="Z735" s="158">
        <f t="shared" si="469"/>
        <v/>
      </c>
      <c r="AA735" s="160">
        <f t="shared" si="470"/>
        <v/>
      </c>
      <c r="AB735" s="160">
        <f>IF(R735="","",IFERROR(LOOKUP(INDEX(Справочная!$I$4:$I$19,MATCH(VLOOKUP(R735,Исходные_данные,22,FALSE),Справочная!$J$4:$J$19,0)+1),{6,10,16,20,25,32,40,50,63,80,100,125}),""))</f>
        <v/>
      </c>
      <c r="AC735" s="160">
        <f t="shared" si="471"/>
        <v/>
      </c>
      <c r="AD735" s="161">
        <f t="shared" si="472"/>
        <v/>
      </c>
      <c r="AE735" s="161">
        <f>IF(AND(R735="",G735=""),"",_xlfn.TEXTJOIN("; ",TRUE,IF(AND(R735&lt;&gt;"",V735=""),"нет фазы",""),IF(AND(R735&lt;&gt;"",N(T735)=0),"нет мощности",""),IF(AND(P735&lt;&gt;"",COUNTIFS($A$3:$A$1000,A735,$P$3:$P$1000,P735)&gt;1),"дубль клеммы "&amp;P735,""),IF(AND(W735&lt;&gt;"",W735&lt;&gt;"ok"),W735,""),IF(X735&lt;&gt;"",X735,""),IF(AND(ISNUMBER(SEARCH("(5х",Q735)),N(AK735)=1),"5 жил на 1 фазе",""),IF(AND(AL735="R",E735&lt;&gt;"",N(AS735)=0),"розетка без 30 мА",""),IF(IFERROR(_xlfn.NUMBERVALUE(MID(Q735,FIND("-",Q735,FIND("L=",Q735))+1,FIND("%",Q735)-FIND("-",Q735,FIND("L=",Q735))-1),","),0)&gt;4,"потери &gt; 4 %","")))</f>
      </c>
      <c r="AF735" s="129">
        <f>IF(E735&lt;&gt;"",COUNTIFS($A$3:A735,A735,$E$3:E735,"?*"),IF(OR(A735&lt;&gt;A734,Y735="вручную"),"",AF734))</f>
        <v/>
      </c>
      <c r="AG735" s="129">
        <f t="shared" si="473"/>
        <v/>
      </c>
      <c r="AH735" s="129">
        <f t="shared" si="474"/>
        <v/>
      </c>
      <c r="AI735" s="129">
        <f t="shared" si="475"/>
        <v/>
      </c>
      <c r="AJ735" s="129">
        <f t="shared" si="476"/>
        <v/>
      </c>
      <c r="AK735" s="129">
        <f t="shared" si="477"/>
        <v/>
      </c>
      <c r="AL735" s="129">
        <f t="shared" si="478"/>
        <v/>
      </c>
      <c r="AM735" s="129">
        <f t="shared" si="479"/>
      </c>
      <c r="AN735" s="129">
        <f t="shared" si="480"/>
      </c>
      <c r="AO735" s="129">
        <f t="shared" si="481"/>
        <v/>
      </c>
      <c r="AP735" s="129">
        <f t="shared" si="482"/>
        <v/>
      </c>
      <c r="AQ735" s="129">
        <f t="shared" si="483"/>
        <v/>
      </c>
      <c r="AR735" s="129">
        <f t="shared" si="484"/>
        <v/>
      </c>
      <c r="AS735" s="129">
        <f t="shared" si="485"/>
        <v/>
      </c>
      <c r="AT735" s="129">
        <f t="shared" si="486"/>
        <v/>
      </c>
      <c r="AU735" s="129">
        <f t="shared" si="487"/>
        <v/>
      </c>
      <c r="AV735" s="129">
        <f t="shared" si="488"/>
        <v/>
      </c>
      <c r="AW735" s="129">
        <f>IF(AV735="","",AV735&amp;"."&amp;COUNTIFS($A$3:A735,A735,$AV$3:AV735,AV735))</f>
        <v/>
      </c>
      <c r="AX735" s="129">
        <f t="shared" si="489"/>
        <v/>
      </c>
      <c r="AY735" s="129">
        <f>IF(N735="б/к",0,IF(OR(ISNUMBER(SEARCH("L=",Разбивка_по_щитам!P735)),N735="+",N735="="),1,0))</f>
      </c>
      <c r="AZ735" s="129">
        <f t="shared" si="490"/>
        <v/>
      </c>
      <c r="BA735" s="129">
        <f t="shared" si="491"/>
      </c>
      <c r="BB735" s="129">
        <f t="shared" si="492"/>
      </c>
      <c r="BD735" s="129">
        <f t="shared" si="493"/>
      </c>
      <c r="BE735" s="129">
        <f t="shared" si="494"/>
      </c>
      <c r="BF735" s="129">
        <f t="shared" si="495"/>
      </c>
      <c r="BG735" s="129">
        <f t="shared" si="496"/>
        <v/>
      </c>
      <c r="BH735" s="129">
        <f t="shared" si="497"/>
        <v/>
      </c>
      <c r="BI735" s="129">
        <f t="shared" si="498"/>
        <v/>
      </c>
      <c r="BJ735" s="129">
        <f t="shared" si="499"/>
        <v/>
      </c>
      <c r="BK735" s="129">
        <f>IF(R735="","",IF(OR(BY735="",BY735=0),"BOX",IFERROR(IF(VLOOKUP(BY735,УГО_блоки,3,FALSE)&amp;""&lt;&gt;"",VLOOKUP(BY735,УГО_блоки,3,FALSE),VLOOKUP(BY735,УГО_блоки,2,FALSE)),BY735)))</f>
      </c>
      <c r="BL735" s="129">
        <f t="shared" si="501"/>
      </c>
      <c r="BM735" s="129">
        <f>IF(H735="","",IF(COUNTIF($H$3:H735,H735)=1,MAX($BM$2:BM734)+1,""))</f>
      </c>
      <c r="BN735" s="129">
        <f>IF(I735="","",IF(COUNTIF($I$3:I735,I735)+COUNTIF($J$2:J734,I735)+COUNTIF($K$2:K734,I735)=1,MAX($BN$2:BP734)+1,""))</f>
      </c>
      <c r="BO735" s="129">
        <f>IF(J735="","",IF(COUNTIF($I$3:I735,J735)+COUNTIF($J$3:J735,J735)+COUNTIF($K$2:K734,J735)=1,MAX($BN$2:BP734,BN735)+1,""))</f>
      </c>
      <c r="BP735" s="129">
        <f>IF(K735="","",IF(COUNTIF($I$3:I735,K735)+COUNTIF($J$3:J735,K735)+COUNTIF($K$3:K735,K735)=1,MAX($BN$2:BP734,BN735,BO735)+1,""))</f>
      </c>
      <c r="BQ735" s="129">
        <f>IF(AY735=1,IFERROR(MID(Q735,FIND(" (",Q735)+2,FIND(")",Q735,FIND(" (",Q735))-FIND(" (",Q735)-2),"?"),"")</f>
      </c>
      <c r="BR735" s="129">
        <f>IF(BQ735="","",IF(COUNTIF($BQ$3:BQ735,BQ735)=1,MAX($BR$2:BR734)+1,""))</f>
      </c>
      <c r="BS735" s="129">
        <f>IF(AW735="","",COUNTIF($AW$3:AW735,"?*"))</f>
      </c>
      <c r="BT735" s="129">
        <f>IF(OR(AW735="",AI735=""),"",IF(COUNTIFS($AW$3:AW735,"?*",$AI$3:AI735,AI735)=1,MAX($BT$2:BT734)+1,""))</f>
      </c>
      <c r="BU735" s="129">
        <f>IF(AE735="",0,IF(OR(ISNUMBER(SEARCH("дубль",AE735)),ISNUMBER(SEARCH("ПЕРЕГРУЗ",AE735)),ISNUMBER(SEARCH("ЗАЩИЩ",AE735)),ISNUMBER(SEARCH("КАНАЛ",AE735)),ISNUMBER(SEARCH("без 30",AE735))),2,1))</f>
      </c>
      <c r="BV735" s="129">
        <f>IF(R735="","",COUNTIF($R$3:R735,"?*"))</f>
      </c>
      <c r="BW735" s="129">
        <f>IF(AY735&lt;&gt;1,0,IF(MAX(IFERROR(--VLOOKUP(R735,УГО_спр,5,FALSE),0),IFERROR(--VLOOKUP(AL735,УГО_спр,5,FALSE),0),IFERROR(--VLOOKUP(LEFT(AL735,2),УГО_спр,5,FALSE),0))&gt;0,MAX(IFERROR(--VLOOKUP(R735,УГО_спр,5,FALSE),0),IFERROR(--VLOOKUP(AL735,УГО_спр,5,FALSE),0),IFERROR(--VLOOKUP(LEFT(AL735,2),УГО_спр,5,FALSE),0)),IF(IFERROR(--LEFT(SUBSTITUTE(BQ735,"x","х"),FIND("х",SUBSTITUTE(BQ735,"x","х"))-1),3)&gt;3,Каталог!$S$9,1)))</f>
      </c>
      <c r="BX735" s="129">
        <f>IF(AY735&lt;&gt;1,0,MAX(0,IFERROR(--LEFT(SUBSTITUTE(BQ735,"x","х"),FIND("х",SUBSTITUTE(BQ735,"x","х"))-1),3)-3*BW735))</f>
      </c>
      <c r="BY735" s="129">
        <f>IF(R735="","",IFERROR(VLOOKUP(R735,УГО_спр,2,FALSE),IFERROR(VLOOKUP(AL735,УГО_спр,2,FALSE),IFERROR(VLOOKUP(LEFT(AL735,2),УГО_спр,2,FALSE),""))))</f>
      </c>
    </row>
    <row r="736" spans="1:64" x14ac:dyDescent="0.3">
      <c r="A736" s="135">
        <f>IF(Разбивка_по_щитам!F736=0,"",Разбивка_по_щитам!F736)</f>
        <v/>
      </c>
      <c r="B736" s="138">
        <f>IF(A736="","",Разбивка_по_щитам!C736)</f>
        <v/>
      </c>
      <c r="C736" s="138">
        <f t="shared" si="462"/>
        <v/>
      </c>
      <c r="D736" s="266"/>
      <c r="E736" s="266"/>
      <c r="F736" s="267"/>
      <c r="G736" s="145">
        <f t="shared" si="463"/>
        <v/>
      </c>
      <c r="H736" s="145">
        <f t="shared" si="464"/>
        <v/>
      </c>
      <c r="I736" s="266"/>
      <c r="J736" s="267"/>
      <c r="K736" s="267"/>
      <c r="L736" s="266"/>
      <c r="M736" s="147">
        <f t="shared" si="465"/>
        <v/>
      </c>
      <c r="N736" s="267"/>
      <c r="O736" s="147">
        <f t="shared" si="466"/>
        <v/>
      </c>
      <c r="P736" s="268">
        <f>IF(AY736=1,"XT"&amp;COUNTIFS($A$3:A736,A736,$AY$3:AY736,1),"")</f>
        <v/>
      </c>
      <c r="Q736" s="152">
        <f>IF(R736="","",IFERROR(SUBSTITUTE(Разбивка_по_щитам!P736,CHAR(10)," "),""))</f>
        <v/>
      </c>
      <c r="R736" s="153">
        <f>IF(OR(Разбивка_по_щитам!H736="",Разбивка_по_щитам!H736=0),"",Разбивка_по_щитам!H736)</f>
        <v/>
      </c>
      <c r="S736" s="154">
        <f>IF(R736="","",IFERROR(Разбивка_по_щитам!J736&amp;"",""))</f>
        <v/>
      </c>
      <c r="T736" s="155">
        <f>IF(R736="","",IFERROR(--Разбивка_по_щитам!L736,""))</f>
        <v/>
      </c>
      <c r="U736" s="155">
        <f>IF(R736="","",IFERROR(--Разбивка_по_щитам!K736,""))</f>
        <v/>
      </c>
      <c r="V736" s="138">
        <f>IF(R736="","",IFERROR(IF(Разбивка_по_щитам!M736=0,"",Разбивка_по_щитам!M736),""))</f>
        <v/>
      </c>
      <c r="W736" s="156">
        <f t="shared" si="467"/>
        <v/>
      </c>
      <c r="X736" s="157">
        <f t="shared" si="468"/>
        <v/>
      </c>
      <c r="Y736" s="266"/>
      <c r="Z736" s="158">
        <f t="shared" si="469"/>
        <v/>
      </c>
      <c r="AA736" s="160">
        <f t="shared" si="470"/>
        <v/>
      </c>
      <c r="AB736" s="160">
        <f>IF(R736="","",IFERROR(LOOKUP(INDEX(Справочная!$I$4:$I$19,MATCH(VLOOKUP(R736,Исходные_данные,22,FALSE),Справочная!$J$4:$J$19,0)+1),{6,10,16,20,25,32,40,50,63,80,100,125}),""))</f>
        <v/>
      </c>
      <c r="AC736" s="160">
        <f t="shared" si="471"/>
        <v/>
      </c>
      <c r="AD736" s="161">
        <f t="shared" si="472"/>
        <v/>
      </c>
      <c r="AE736" s="161">
        <f>IF(AND(R736="",G736=""),"",_xlfn.TEXTJOIN("; ",TRUE,IF(AND(R736&lt;&gt;"",V736=""),"нет фазы",""),IF(AND(R736&lt;&gt;"",N(T736)=0),"нет мощности",""),IF(AND(P736&lt;&gt;"",COUNTIFS($A$3:$A$1000,A736,$P$3:$P$1000,P736)&gt;1),"дубль клеммы "&amp;P736,""),IF(AND(W736&lt;&gt;"",W736&lt;&gt;"ok"),W736,""),IF(X736&lt;&gt;"",X736,""),IF(AND(ISNUMBER(SEARCH("(5х",Q736)),N(AK736)=1),"5 жил на 1 фазе",""),IF(AND(AL736="R",E736&lt;&gt;"",N(AS736)=0),"розетка без 30 мА",""),IF(IFERROR(_xlfn.NUMBERVALUE(MID(Q736,FIND("-",Q736,FIND("L=",Q736))+1,FIND("%",Q736)-FIND("-",Q736,FIND("L=",Q736))-1),","),0)&gt;4,"потери &gt; 4 %","")))</f>
      </c>
      <c r="AF736" s="129">
        <f>IF(E736&lt;&gt;"",COUNTIFS($A$3:A736,A736,$E$3:E736,"?*"),IF(OR(A736&lt;&gt;A735,Y736="вручную"),"",AF735))</f>
        <v/>
      </c>
      <c r="AG736" s="129">
        <f t="shared" si="473"/>
        <v/>
      </c>
      <c r="AH736" s="129">
        <f t="shared" si="474"/>
        <v/>
      </c>
      <c r="AI736" s="129">
        <f t="shared" si="475"/>
        <v/>
      </c>
      <c r="AJ736" s="129">
        <f t="shared" si="476"/>
        <v/>
      </c>
      <c r="AK736" s="129">
        <f t="shared" si="477"/>
        <v/>
      </c>
      <c r="AL736" s="129">
        <f t="shared" si="478"/>
        <v/>
      </c>
      <c r="AM736" s="129">
        <f t="shared" si="479"/>
      </c>
      <c r="AN736" s="129">
        <f t="shared" si="480"/>
      </c>
      <c r="AO736" s="129">
        <f t="shared" si="481"/>
        <v/>
      </c>
      <c r="AP736" s="129">
        <f t="shared" si="482"/>
        <v/>
      </c>
      <c r="AQ736" s="129">
        <f t="shared" si="483"/>
        <v/>
      </c>
      <c r="AR736" s="129">
        <f t="shared" si="484"/>
        <v/>
      </c>
      <c r="AS736" s="129">
        <f t="shared" si="485"/>
        <v/>
      </c>
      <c r="AT736" s="129">
        <f t="shared" si="486"/>
        <v/>
      </c>
      <c r="AU736" s="129">
        <f t="shared" si="487"/>
        <v/>
      </c>
      <c r="AV736" s="129">
        <f t="shared" si="488"/>
        <v/>
      </c>
      <c r="AW736" s="129">
        <f>IF(AV736="","",AV736&amp;"."&amp;COUNTIFS($A$3:A736,A736,$AV$3:AV736,AV736))</f>
        <v/>
      </c>
      <c r="AX736" s="129">
        <f t="shared" si="489"/>
        <v/>
      </c>
      <c r="AY736" s="129">
        <f>IF(N736="б/к",0,IF(OR(ISNUMBER(SEARCH("L=",Разбивка_по_щитам!P736)),N736="+",N736="="),1,0))</f>
      </c>
      <c r="AZ736" s="129">
        <f t="shared" si="490"/>
        <v/>
      </c>
      <c r="BA736" s="129">
        <f t="shared" si="491"/>
      </c>
      <c r="BB736" s="129">
        <f t="shared" si="492"/>
      </c>
      <c r="BD736" s="129">
        <f t="shared" si="493"/>
      </c>
      <c r="BE736" s="129">
        <f t="shared" si="494"/>
      </c>
      <c r="BF736" s="129">
        <f t="shared" si="495"/>
      </c>
      <c r="BG736" s="129">
        <f t="shared" si="496"/>
        <v/>
      </c>
      <c r="BH736" s="129">
        <f t="shared" si="497"/>
        <v/>
      </c>
      <c r="BI736" s="129">
        <f t="shared" si="498"/>
        <v/>
      </c>
      <c r="BJ736" s="129">
        <f t="shared" si="499"/>
        <v/>
      </c>
      <c r="BK736" s="129">
        <f>IF(R736="","",IF(OR(BY736="",BY736=0),"BOX",IFERROR(IF(VLOOKUP(BY736,УГО_блоки,3,FALSE)&amp;""&lt;&gt;"",VLOOKUP(BY736,УГО_блоки,3,FALSE),VLOOKUP(BY736,УГО_блоки,2,FALSE)),BY736)))</f>
      </c>
      <c r="BL736" s="129">
        <f t="shared" si="501"/>
      </c>
      <c r="BM736" s="129">
        <f>IF(H736="","",IF(COUNTIF($H$3:H736,H736)=1,MAX($BM$2:BM735)+1,""))</f>
      </c>
      <c r="BN736" s="129">
        <f>IF(I736="","",IF(COUNTIF($I$3:I736,I736)+COUNTIF($J$2:J735,I736)+COUNTIF($K$2:K735,I736)=1,MAX($BN$2:BP735)+1,""))</f>
      </c>
      <c r="BO736" s="129">
        <f>IF(J736="","",IF(COUNTIF($I$3:I736,J736)+COUNTIF($J$3:J736,J736)+COUNTIF($K$2:K735,J736)=1,MAX($BN$2:BP735,BN736)+1,""))</f>
      </c>
      <c r="BP736" s="129">
        <f>IF(K736="","",IF(COUNTIF($I$3:I736,K736)+COUNTIF($J$3:J736,K736)+COUNTIF($K$3:K736,K736)=1,MAX($BN$2:BP735,BN736,BO736)+1,""))</f>
      </c>
      <c r="BQ736" s="129">
        <f>IF(AY736=1,IFERROR(MID(Q736,FIND(" (",Q736)+2,FIND(")",Q736,FIND(" (",Q736))-FIND(" (",Q736)-2),"?"),"")</f>
      </c>
      <c r="BR736" s="129">
        <f>IF(BQ736="","",IF(COUNTIF($BQ$3:BQ736,BQ736)=1,MAX($BR$2:BR735)+1,""))</f>
      </c>
      <c r="BS736" s="129">
        <f>IF(AW736="","",COUNTIF($AW$3:AW736,"?*"))</f>
      </c>
      <c r="BT736" s="129">
        <f>IF(OR(AW736="",AI736=""),"",IF(COUNTIFS($AW$3:AW736,"?*",$AI$3:AI736,AI736)=1,MAX($BT$2:BT735)+1,""))</f>
      </c>
      <c r="BU736" s="129">
        <f>IF(AE736="",0,IF(OR(ISNUMBER(SEARCH("дубль",AE736)),ISNUMBER(SEARCH("ПЕРЕГРУЗ",AE736)),ISNUMBER(SEARCH("ЗАЩИЩ",AE736)),ISNUMBER(SEARCH("КАНАЛ",AE736)),ISNUMBER(SEARCH("без 30",AE736))),2,1))</f>
      </c>
      <c r="BV736" s="129">
        <f>IF(R736="","",COUNTIF($R$3:R736,"?*"))</f>
      </c>
      <c r="BW736" s="129">
        <f>IF(AY736&lt;&gt;1,0,IF(MAX(IFERROR(--VLOOKUP(R736,УГО_спр,5,FALSE),0),IFERROR(--VLOOKUP(AL736,УГО_спр,5,FALSE),0),IFERROR(--VLOOKUP(LEFT(AL736,2),УГО_спр,5,FALSE),0))&gt;0,MAX(IFERROR(--VLOOKUP(R736,УГО_спр,5,FALSE),0),IFERROR(--VLOOKUP(AL736,УГО_спр,5,FALSE),0),IFERROR(--VLOOKUP(LEFT(AL736,2),УГО_спр,5,FALSE),0)),IF(IFERROR(--LEFT(SUBSTITUTE(BQ736,"x","х"),FIND("х",SUBSTITUTE(BQ736,"x","х"))-1),3)&gt;3,Каталог!$S$9,1)))</f>
      </c>
      <c r="BX736" s="129">
        <f>IF(AY736&lt;&gt;1,0,MAX(0,IFERROR(--LEFT(SUBSTITUTE(BQ736,"x","х"),FIND("х",SUBSTITUTE(BQ736,"x","х"))-1),3)-3*BW736))</f>
      </c>
      <c r="BY736" s="129">
        <f>IF(R736="","",IFERROR(VLOOKUP(R736,УГО_спр,2,FALSE),IFERROR(VLOOKUP(AL736,УГО_спр,2,FALSE),IFERROR(VLOOKUP(LEFT(AL736,2),УГО_спр,2,FALSE),""))))</f>
      </c>
    </row>
    <row r="737" spans="1:64" x14ac:dyDescent="0.3">
      <c r="A737" s="135">
        <f>IF(Разбивка_по_щитам!F737=0,"",Разбивка_по_щитам!F737)</f>
        <v/>
      </c>
      <c r="B737" s="138">
        <f>IF(A737="","",Разбивка_по_щитам!C737)</f>
        <v/>
      </c>
      <c r="C737" s="138">
        <f t="shared" si="462"/>
        <v/>
      </c>
      <c r="D737" s="266"/>
      <c r="E737" s="266"/>
      <c r="F737" s="267"/>
      <c r="G737" s="145">
        <f t="shared" si="463"/>
        <v/>
      </c>
      <c r="H737" s="145">
        <f t="shared" si="464"/>
        <v/>
      </c>
      <c r="I737" s="266"/>
      <c r="J737" s="267"/>
      <c r="K737" s="267"/>
      <c r="L737" s="266"/>
      <c r="M737" s="147">
        <f t="shared" si="465"/>
        <v/>
      </c>
      <c r="N737" s="267"/>
      <c r="O737" s="147">
        <f t="shared" si="466"/>
        <v/>
      </c>
      <c r="P737" s="268">
        <f>IF(AY737=1,"XT"&amp;COUNTIFS($A$3:A737,A737,$AY$3:AY737,1),"")</f>
        <v/>
      </c>
      <c r="Q737" s="152">
        <f>IF(R737="","",IFERROR(SUBSTITUTE(Разбивка_по_щитам!P737,CHAR(10)," "),""))</f>
        <v/>
      </c>
      <c r="R737" s="153">
        <f>IF(OR(Разбивка_по_щитам!H737="",Разбивка_по_щитам!H737=0),"",Разбивка_по_щитам!H737)</f>
        <v/>
      </c>
      <c r="S737" s="154">
        <f>IF(R737="","",IFERROR(Разбивка_по_щитам!J737&amp;"",""))</f>
        <v/>
      </c>
      <c r="T737" s="155">
        <f>IF(R737="","",IFERROR(--Разбивка_по_щитам!L737,""))</f>
        <v/>
      </c>
      <c r="U737" s="155">
        <f>IF(R737="","",IFERROR(--Разбивка_по_щитам!K737,""))</f>
        <v/>
      </c>
      <c r="V737" s="138">
        <f>IF(R737="","",IFERROR(IF(Разбивка_по_щитам!M737=0,"",Разбивка_по_щитам!M737),""))</f>
        <v/>
      </c>
      <c r="W737" s="156">
        <f t="shared" si="467"/>
        <v/>
      </c>
      <c r="X737" s="157">
        <f t="shared" si="468"/>
        <v/>
      </c>
      <c r="Y737" s="266"/>
      <c r="Z737" s="158">
        <f t="shared" si="469"/>
        <v/>
      </c>
      <c r="AA737" s="160">
        <f t="shared" si="470"/>
        <v/>
      </c>
      <c r="AB737" s="160">
        <f>IF(R737="","",IFERROR(LOOKUP(INDEX(Справочная!$I$4:$I$19,MATCH(VLOOKUP(R737,Исходные_данные,22,FALSE),Справочная!$J$4:$J$19,0)+1),{6,10,16,20,25,32,40,50,63,80,100,125}),""))</f>
        <v/>
      </c>
      <c r="AC737" s="160">
        <f t="shared" si="471"/>
        <v/>
      </c>
      <c r="AD737" s="161">
        <f t="shared" si="472"/>
        <v/>
      </c>
      <c r="AE737" s="161">
        <f>IF(AND(R737="",G737=""),"",_xlfn.TEXTJOIN("; ",TRUE,IF(AND(R737&lt;&gt;"",V737=""),"нет фазы",""),IF(AND(R737&lt;&gt;"",N(T737)=0),"нет мощности",""),IF(AND(P737&lt;&gt;"",COUNTIFS($A$3:$A$1000,A737,$P$3:$P$1000,P737)&gt;1),"дубль клеммы "&amp;P737,""),IF(AND(W737&lt;&gt;"",W737&lt;&gt;"ok"),W737,""),IF(X737&lt;&gt;"",X737,""),IF(AND(ISNUMBER(SEARCH("(5х",Q737)),N(AK737)=1),"5 жил на 1 фазе",""),IF(AND(AL737="R",E737&lt;&gt;"",N(AS737)=0),"розетка без 30 мА",""),IF(IFERROR(_xlfn.NUMBERVALUE(MID(Q737,FIND("-",Q737,FIND("L=",Q737))+1,FIND("%",Q737)-FIND("-",Q737,FIND("L=",Q737))-1),","),0)&gt;4,"потери &gt; 4 %","")))</f>
      </c>
      <c r="AF737" s="129">
        <f>IF(E737&lt;&gt;"",COUNTIFS($A$3:A737,A737,$E$3:E737,"?*"),IF(OR(A737&lt;&gt;A736,Y737="вручную"),"",AF736))</f>
        <v/>
      </c>
      <c r="AG737" s="129">
        <f t="shared" si="473"/>
        <v/>
      </c>
      <c r="AH737" s="129">
        <f t="shared" si="474"/>
        <v/>
      </c>
      <c r="AI737" s="129">
        <f t="shared" si="475"/>
        <v/>
      </c>
      <c r="AJ737" s="129">
        <f t="shared" si="476"/>
        <v/>
      </c>
      <c r="AK737" s="129">
        <f t="shared" si="477"/>
        <v/>
      </c>
      <c r="AL737" s="129">
        <f t="shared" si="478"/>
        <v/>
      </c>
      <c r="AM737" s="129">
        <f t="shared" si="479"/>
      </c>
      <c r="AN737" s="129">
        <f t="shared" si="480"/>
      </c>
      <c r="AO737" s="129">
        <f t="shared" si="481"/>
        <v/>
      </c>
      <c r="AP737" s="129">
        <f t="shared" si="482"/>
        <v/>
      </c>
      <c r="AQ737" s="129">
        <f t="shared" si="483"/>
        <v/>
      </c>
      <c r="AR737" s="129">
        <f t="shared" si="484"/>
        <v/>
      </c>
      <c r="AS737" s="129">
        <f t="shared" si="485"/>
        <v/>
      </c>
      <c r="AT737" s="129">
        <f t="shared" si="486"/>
        <v/>
      </c>
      <c r="AU737" s="129">
        <f t="shared" si="487"/>
        <v/>
      </c>
      <c r="AV737" s="129">
        <f t="shared" si="488"/>
        <v/>
      </c>
      <c r="AW737" s="129">
        <f>IF(AV737="","",AV737&amp;"."&amp;COUNTIFS($A$3:A737,A737,$AV$3:AV737,AV737))</f>
        <v/>
      </c>
      <c r="AX737" s="129">
        <f t="shared" si="489"/>
        <v/>
      </c>
      <c r="AY737" s="129">
        <f>IF(N737="б/к",0,IF(OR(ISNUMBER(SEARCH("L=",Разбивка_по_щитам!P737)),N737="+",N737="="),1,0))</f>
      </c>
      <c r="AZ737" s="129">
        <f t="shared" si="490"/>
        <v/>
      </c>
      <c r="BA737" s="129">
        <f t="shared" si="491"/>
      </c>
      <c r="BB737" s="129">
        <f t="shared" si="492"/>
      </c>
      <c r="BD737" s="129">
        <f t="shared" si="493"/>
      </c>
      <c r="BE737" s="129">
        <f t="shared" si="494"/>
      </c>
      <c r="BF737" s="129">
        <f t="shared" si="495"/>
      </c>
      <c r="BG737" s="129">
        <f t="shared" si="496"/>
        <v/>
      </c>
      <c r="BH737" s="129">
        <f t="shared" si="497"/>
        <v/>
      </c>
      <c r="BI737" s="129">
        <f t="shared" si="498"/>
        <v/>
      </c>
      <c r="BJ737" s="129">
        <f t="shared" si="499"/>
        <v/>
      </c>
      <c r="BK737" s="129">
        <f>IF(R737="","",IF(OR(BY737="",BY737=0),"BOX",IFERROR(IF(VLOOKUP(BY737,УГО_блоки,3,FALSE)&amp;""&lt;&gt;"",VLOOKUP(BY737,УГО_блоки,3,FALSE),VLOOKUP(BY737,УГО_блоки,2,FALSE)),BY737)))</f>
      </c>
      <c r="BL737" s="129">
        <f t="shared" si="501"/>
      </c>
      <c r="BM737" s="129">
        <f>IF(H737="","",IF(COUNTIF($H$3:H737,H737)=1,MAX($BM$2:BM736)+1,""))</f>
      </c>
      <c r="BN737" s="129">
        <f>IF(I737="","",IF(COUNTIF($I$3:I737,I737)+COUNTIF($J$2:J736,I737)+COUNTIF($K$2:K736,I737)=1,MAX($BN$2:BP736)+1,""))</f>
      </c>
      <c r="BO737" s="129">
        <f>IF(J737="","",IF(COUNTIF($I$3:I737,J737)+COUNTIF($J$3:J737,J737)+COUNTIF($K$2:K736,J737)=1,MAX($BN$2:BP736,BN737)+1,""))</f>
      </c>
      <c r="BP737" s="129">
        <f>IF(K737="","",IF(COUNTIF($I$3:I737,K737)+COUNTIF($J$3:J737,K737)+COUNTIF($K$3:K737,K737)=1,MAX($BN$2:BP736,BN737,BO737)+1,""))</f>
      </c>
      <c r="BQ737" s="129">
        <f>IF(AY737=1,IFERROR(MID(Q737,FIND(" (",Q737)+2,FIND(")",Q737,FIND(" (",Q737))-FIND(" (",Q737)-2),"?"),"")</f>
      </c>
      <c r="BR737" s="129">
        <f>IF(BQ737="","",IF(COUNTIF($BQ$3:BQ737,BQ737)=1,MAX($BR$2:BR736)+1,""))</f>
      </c>
      <c r="BS737" s="129">
        <f>IF(AW737="","",COUNTIF($AW$3:AW737,"?*"))</f>
      </c>
      <c r="BT737" s="129">
        <f>IF(OR(AW737="",AI737=""),"",IF(COUNTIFS($AW$3:AW737,"?*",$AI$3:AI737,AI737)=1,MAX($BT$2:BT736)+1,""))</f>
      </c>
      <c r="BU737" s="129">
        <f>IF(AE737="",0,IF(OR(ISNUMBER(SEARCH("дубль",AE737)),ISNUMBER(SEARCH("ПЕРЕГРУЗ",AE737)),ISNUMBER(SEARCH("ЗАЩИЩ",AE737)),ISNUMBER(SEARCH("КАНАЛ",AE737)),ISNUMBER(SEARCH("без 30",AE737))),2,1))</f>
      </c>
      <c r="BV737" s="129">
        <f>IF(R737="","",COUNTIF($R$3:R737,"?*"))</f>
      </c>
      <c r="BW737" s="129">
        <f>IF(AY737&lt;&gt;1,0,IF(MAX(IFERROR(--VLOOKUP(R737,УГО_спр,5,FALSE),0),IFERROR(--VLOOKUP(AL737,УГО_спр,5,FALSE),0),IFERROR(--VLOOKUP(LEFT(AL737,2),УГО_спр,5,FALSE),0))&gt;0,MAX(IFERROR(--VLOOKUP(R737,УГО_спр,5,FALSE),0),IFERROR(--VLOOKUP(AL737,УГО_спр,5,FALSE),0),IFERROR(--VLOOKUP(LEFT(AL737,2),УГО_спр,5,FALSE),0)),IF(IFERROR(--LEFT(SUBSTITUTE(BQ737,"x","х"),FIND("х",SUBSTITUTE(BQ737,"x","х"))-1),3)&gt;3,Каталог!$S$9,1)))</f>
      </c>
      <c r="BX737" s="129">
        <f>IF(AY737&lt;&gt;1,0,MAX(0,IFERROR(--LEFT(SUBSTITUTE(BQ737,"x","х"),FIND("х",SUBSTITUTE(BQ737,"x","х"))-1),3)-3*BW737))</f>
      </c>
      <c r="BY737" s="129">
        <f>IF(R737="","",IFERROR(VLOOKUP(R737,УГО_спр,2,FALSE),IFERROR(VLOOKUP(AL737,УГО_спр,2,FALSE),IFERROR(VLOOKUP(LEFT(AL737,2),УГО_спр,2,FALSE),""))))</f>
      </c>
    </row>
    <row r="738" spans="1:64" x14ac:dyDescent="0.3">
      <c r="A738" s="135">
        <f>IF(Разбивка_по_щитам!F738=0,"",Разбивка_по_щитам!F738)</f>
        <v/>
      </c>
      <c r="B738" s="138">
        <f>IF(A738="","",Разбивка_по_щитам!C738)</f>
        <v/>
      </c>
      <c r="C738" s="138">
        <f t="shared" si="462"/>
        <v/>
      </c>
      <c r="D738" s="266"/>
      <c r="E738" s="266"/>
      <c r="F738" s="267"/>
      <c r="G738" s="145">
        <f t="shared" si="463"/>
        <v/>
      </c>
      <c r="H738" s="145">
        <f t="shared" si="464"/>
        <v/>
      </c>
      <c r="I738" s="266"/>
      <c r="J738" s="267"/>
      <c r="K738" s="267"/>
      <c r="L738" s="266"/>
      <c r="M738" s="147">
        <f t="shared" si="465"/>
        <v/>
      </c>
      <c r="N738" s="267"/>
      <c r="O738" s="147">
        <f t="shared" si="466"/>
        <v/>
      </c>
      <c r="P738" s="268">
        <f>IF(AY738=1,"XT"&amp;COUNTIFS($A$3:A738,A738,$AY$3:AY738,1),"")</f>
        <v/>
      </c>
      <c r="Q738" s="152">
        <f>IF(R738="","",IFERROR(SUBSTITUTE(Разбивка_по_щитам!P738,CHAR(10)," "),""))</f>
        <v/>
      </c>
      <c r="R738" s="153">
        <f>IF(OR(Разбивка_по_щитам!H738="",Разбивка_по_щитам!H738=0),"",Разбивка_по_щитам!H738)</f>
        <v/>
      </c>
      <c r="S738" s="154">
        <f>IF(R738="","",IFERROR(Разбивка_по_щитам!J738&amp;"",""))</f>
        <v/>
      </c>
      <c r="T738" s="155">
        <f>IF(R738="","",IFERROR(--Разбивка_по_щитам!L738,""))</f>
        <v/>
      </c>
      <c r="U738" s="155">
        <f>IF(R738="","",IFERROR(--Разбивка_по_щитам!K738,""))</f>
        <v/>
      </c>
      <c r="V738" s="138">
        <f>IF(R738="","",IFERROR(IF(Разбивка_по_щитам!M738=0,"",Разбивка_по_щитам!M738),""))</f>
        <v/>
      </c>
      <c r="W738" s="156">
        <f t="shared" si="467"/>
        <v/>
      </c>
      <c r="X738" s="157">
        <f t="shared" si="468"/>
        <v/>
      </c>
      <c r="Y738" s="266"/>
      <c r="Z738" s="158">
        <f t="shared" si="469"/>
        <v/>
      </c>
      <c r="AA738" s="160">
        <f t="shared" si="470"/>
        <v/>
      </c>
      <c r="AB738" s="160">
        <f>IF(R738="","",IFERROR(LOOKUP(INDEX(Справочная!$I$4:$I$19,MATCH(VLOOKUP(R738,Исходные_данные,22,FALSE),Справочная!$J$4:$J$19,0)+1),{6,10,16,20,25,32,40,50,63,80,100,125}),""))</f>
        <v/>
      </c>
      <c r="AC738" s="160">
        <f t="shared" si="471"/>
        <v/>
      </c>
      <c r="AD738" s="161">
        <f t="shared" si="472"/>
        <v/>
      </c>
      <c r="AE738" s="161">
        <f>IF(AND(R738="",G738=""),"",_xlfn.TEXTJOIN("; ",TRUE,IF(AND(R738&lt;&gt;"",V738=""),"нет фазы",""),IF(AND(R738&lt;&gt;"",N(T738)=0),"нет мощности",""),IF(AND(P738&lt;&gt;"",COUNTIFS($A$3:$A$1000,A738,$P$3:$P$1000,P738)&gt;1),"дубль клеммы "&amp;P738,""),IF(AND(W738&lt;&gt;"",W738&lt;&gt;"ok"),W738,""),IF(X738&lt;&gt;"",X738,""),IF(AND(ISNUMBER(SEARCH("(5х",Q738)),N(AK738)=1),"5 жил на 1 фазе",""),IF(AND(AL738="R",E738&lt;&gt;"",N(AS738)=0),"розетка без 30 мА",""),IF(IFERROR(_xlfn.NUMBERVALUE(MID(Q738,FIND("-",Q738,FIND("L=",Q738))+1,FIND("%",Q738)-FIND("-",Q738,FIND("L=",Q738))-1),","),0)&gt;4,"потери &gt; 4 %","")))</f>
      </c>
      <c r="AF738" s="129">
        <f>IF(E738&lt;&gt;"",COUNTIFS($A$3:A738,A738,$E$3:E738,"?*"),IF(OR(A738&lt;&gt;A737,Y738="вручную"),"",AF737))</f>
        <v/>
      </c>
      <c r="AG738" s="129">
        <f t="shared" si="473"/>
        <v/>
      </c>
      <c r="AH738" s="129">
        <f t="shared" si="474"/>
        <v/>
      </c>
      <c r="AI738" s="129">
        <f t="shared" si="475"/>
        <v/>
      </c>
      <c r="AJ738" s="129">
        <f t="shared" si="476"/>
        <v/>
      </c>
      <c r="AK738" s="129">
        <f t="shared" si="477"/>
        <v/>
      </c>
      <c r="AL738" s="129">
        <f t="shared" si="478"/>
        <v/>
      </c>
      <c r="AM738" s="129">
        <f t="shared" si="479"/>
      </c>
      <c r="AN738" s="129">
        <f t="shared" si="480"/>
      </c>
      <c r="AO738" s="129">
        <f t="shared" si="481"/>
        <v/>
      </c>
      <c r="AP738" s="129">
        <f t="shared" si="482"/>
        <v/>
      </c>
      <c r="AQ738" s="129">
        <f t="shared" si="483"/>
        <v/>
      </c>
      <c r="AR738" s="129">
        <f t="shared" si="484"/>
        <v/>
      </c>
      <c r="AS738" s="129">
        <f t="shared" si="485"/>
        <v/>
      </c>
      <c r="AT738" s="129">
        <f t="shared" si="486"/>
        <v/>
      </c>
      <c r="AU738" s="129">
        <f t="shared" si="487"/>
        <v/>
      </c>
      <c r="AV738" s="129">
        <f t="shared" si="488"/>
        <v/>
      </c>
      <c r="AW738" s="129">
        <f>IF(AV738="","",AV738&amp;"."&amp;COUNTIFS($A$3:A738,A738,$AV$3:AV738,AV738))</f>
        <v/>
      </c>
      <c r="AX738" s="129">
        <f t="shared" si="489"/>
        <v/>
      </c>
      <c r="AY738" s="129">
        <f>IF(N738="б/к",0,IF(OR(ISNUMBER(SEARCH("L=",Разбивка_по_щитам!P738)),N738="+",N738="="),1,0))</f>
      </c>
      <c r="AZ738" s="129">
        <f t="shared" si="490"/>
        <v/>
      </c>
      <c r="BA738" s="129">
        <f t="shared" si="491"/>
      </c>
      <c r="BB738" s="129">
        <f t="shared" si="492"/>
      </c>
      <c r="BD738" s="129">
        <f t="shared" si="493"/>
      </c>
      <c r="BE738" s="129">
        <f t="shared" si="494"/>
      </c>
      <c r="BF738" s="129">
        <f t="shared" si="495"/>
      </c>
      <c r="BG738" s="129">
        <f t="shared" si="496"/>
        <v/>
      </c>
      <c r="BH738" s="129">
        <f t="shared" si="497"/>
        <v/>
      </c>
      <c r="BI738" s="129">
        <f t="shared" si="498"/>
        <v/>
      </c>
      <c r="BJ738" s="129">
        <f t="shared" si="499"/>
        <v/>
      </c>
      <c r="BK738" s="129">
        <f>IF(R738="","",IF(OR(BY738="",BY738=0),"BOX",IFERROR(IF(VLOOKUP(BY738,УГО_блоки,3,FALSE)&amp;""&lt;&gt;"",VLOOKUP(BY738,УГО_блоки,3,FALSE),VLOOKUP(BY738,УГО_блоки,2,FALSE)),BY738)))</f>
      </c>
      <c r="BL738" s="129">
        <f t="shared" si="501"/>
      </c>
      <c r="BM738" s="129">
        <f>IF(H738="","",IF(COUNTIF($H$3:H738,H738)=1,MAX($BM$2:BM737)+1,""))</f>
      </c>
      <c r="BN738" s="129">
        <f>IF(I738="","",IF(COUNTIF($I$3:I738,I738)+COUNTIF($J$2:J737,I738)+COUNTIF($K$2:K737,I738)=1,MAX($BN$2:BP737)+1,""))</f>
      </c>
      <c r="BO738" s="129">
        <f>IF(J738="","",IF(COUNTIF($I$3:I738,J738)+COUNTIF($J$3:J738,J738)+COUNTIF($K$2:K737,J738)=1,MAX($BN$2:BP737,BN738)+1,""))</f>
      </c>
      <c r="BP738" s="129">
        <f>IF(K738="","",IF(COUNTIF($I$3:I738,K738)+COUNTIF($J$3:J738,K738)+COUNTIF($K$3:K738,K738)=1,MAX($BN$2:BP737,BN738,BO738)+1,""))</f>
      </c>
      <c r="BQ738" s="129">
        <f>IF(AY738=1,IFERROR(MID(Q738,FIND(" (",Q738)+2,FIND(")",Q738,FIND(" (",Q738))-FIND(" (",Q738)-2),"?"),"")</f>
      </c>
      <c r="BR738" s="129">
        <f>IF(BQ738="","",IF(COUNTIF($BQ$3:BQ738,BQ738)=1,MAX($BR$2:BR737)+1,""))</f>
      </c>
      <c r="BS738" s="129">
        <f>IF(AW738="","",COUNTIF($AW$3:AW738,"?*"))</f>
      </c>
      <c r="BT738" s="129">
        <f>IF(OR(AW738="",AI738=""),"",IF(COUNTIFS($AW$3:AW738,"?*",$AI$3:AI738,AI738)=1,MAX($BT$2:BT737)+1,""))</f>
      </c>
      <c r="BU738" s="129">
        <f>IF(AE738="",0,IF(OR(ISNUMBER(SEARCH("дубль",AE738)),ISNUMBER(SEARCH("ПЕРЕГРУЗ",AE738)),ISNUMBER(SEARCH("ЗАЩИЩ",AE738)),ISNUMBER(SEARCH("КАНАЛ",AE738)),ISNUMBER(SEARCH("без 30",AE738))),2,1))</f>
      </c>
      <c r="BV738" s="129">
        <f>IF(R738="","",COUNTIF($R$3:R738,"?*"))</f>
      </c>
      <c r="BW738" s="129">
        <f>IF(AY738&lt;&gt;1,0,IF(MAX(IFERROR(--VLOOKUP(R738,УГО_спр,5,FALSE),0),IFERROR(--VLOOKUP(AL738,УГО_спр,5,FALSE),0),IFERROR(--VLOOKUP(LEFT(AL738,2),УГО_спр,5,FALSE),0))&gt;0,MAX(IFERROR(--VLOOKUP(R738,УГО_спр,5,FALSE),0),IFERROR(--VLOOKUP(AL738,УГО_спр,5,FALSE),0),IFERROR(--VLOOKUP(LEFT(AL738,2),УГО_спр,5,FALSE),0)),IF(IFERROR(--LEFT(SUBSTITUTE(BQ738,"x","х"),FIND("х",SUBSTITUTE(BQ738,"x","х"))-1),3)&gt;3,Каталог!$S$9,1)))</f>
      </c>
      <c r="BX738" s="129">
        <f>IF(AY738&lt;&gt;1,0,MAX(0,IFERROR(--LEFT(SUBSTITUTE(BQ738,"x","х"),FIND("х",SUBSTITUTE(BQ738,"x","х"))-1),3)-3*BW738))</f>
      </c>
      <c r="BY738" s="129">
        <f>IF(R738="","",IFERROR(VLOOKUP(R738,УГО_спр,2,FALSE),IFERROR(VLOOKUP(AL738,УГО_спр,2,FALSE),IFERROR(VLOOKUP(LEFT(AL738,2),УГО_спр,2,FALSE),""))))</f>
      </c>
    </row>
    <row r="739" spans="1:64" x14ac:dyDescent="0.3">
      <c r="A739" s="135">
        <f>IF(Разбивка_по_щитам!F739=0,"",Разбивка_по_щитам!F739)</f>
        <v/>
      </c>
      <c r="B739" s="138">
        <f>IF(A739="","",Разбивка_по_щитам!C739)</f>
        <v/>
      </c>
      <c r="C739" s="138">
        <f t="shared" si="462"/>
        <v/>
      </c>
      <c r="D739" s="266"/>
      <c r="E739" s="266"/>
      <c r="F739" s="267"/>
      <c r="G739" s="145">
        <f t="shared" si="463"/>
        <v/>
      </c>
      <c r="H739" s="145">
        <f t="shared" si="464"/>
        <v/>
      </c>
      <c r="I739" s="266"/>
      <c r="J739" s="267"/>
      <c r="K739" s="267"/>
      <c r="L739" s="266"/>
      <c r="M739" s="147">
        <f t="shared" si="465"/>
        <v/>
      </c>
      <c r="N739" s="267"/>
      <c r="O739" s="147">
        <f t="shared" si="466"/>
        <v/>
      </c>
      <c r="P739" s="268">
        <f>IF(AY739=1,"XT"&amp;COUNTIFS($A$3:A739,A739,$AY$3:AY739,1),"")</f>
        <v/>
      </c>
      <c r="Q739" s="152">
        <f>IF(R739="","",IFERROR(SUBSTITUTE(Разбивка_по_щитам!P739,CHAR(10)," "),""))</f>
        <v/>
      </c>
      <c r="R739" s="153">
        <f>IF(OR(Разбивка_по_щитам!H739="",Разбивка_по_щитам!H739=0),"",Разбивка_по_щитам!H739)</f>
        <v/>
      </c>
      <c r="S739" s="154">
        <f>IF(R739="","",IFERROR(Разбивка_по_щитам!J739&amp;"",""))</f>
        <v/>
      </c>
      <c r="T739" s="155">
        <f>IF(R739="","",IFERROR(--Разбивка_по_щитам!L739,""))</f>
        <v/>
      </c>
      <c r="U739" s="155">
        <f>IF(R739="","",IFERROR(--Разбивка_по_щитам!K739,""))</f>
        <v/>
      </c>
      <c r="V739" s="138">
        <f>IF(R739="","",IFERROR(IF(Разбивка_по_щитам!M739=0,"",Разбивка_по_щитам!M739),""))</f>
        <v/>
      </c>
      <c r="W739" s="156">
        <f t="shared" si="467"/>
        <v/>
      </c>
      <c r="X739" s="157">
        <f t="shared" si="468"/>
        <v/>
      </c>
      <c r="Y739" s="266"/>
      <c r="Z739" s="158">
        <f t="shared" si="469"/>
        <v/>
      </c>
      <c r="AA739" s="160">
        <f t="shared" si="470"/>
        <v/>
      </c>
      <c r="AB739" s="160">
        <f>IF(R739="","",IFERROR(LOOKUP(INDEX(Справочная!$I$4:$I$19,MATCH(VLOOKUP(R739,Исходные_данные,22,FALSE),Справочная!$J$4:$J$19,0)+1),{6,10,16,20,25,32,40,50,63,80,100,125}),""))</f>
        <v/>
      </c>
      <c r="AC739" s="160">
        <f t="shared" si="471"/>
        <v/>
      </c>
      <c r="AD739" s="161">
        <f t="shared" si="472"/>
        <v/>
      </c>
      <c r="AE739" s="161">
        <f>IF(AND(R739="",G739=""),"",_xlfn.TEXTJOIN("; ",TRUE,IF(AND(R739&lt;&gt;"",V739=""),"нет фазы",""),IF(AND(R739&lt;&gt;"",N(T739)=0),"нет мощности",""),IF(AND(P739&lt;&gt;"",COUNTIFS($A$3:$A$1000,A739,$P$3:$P$1000,P739)&gt;1),"дубль клеммы "&amp;P739,""),IF(AND(W739&lt;&gt;"",W739&lt;&gt;"ok"),W739,""),IF(X739&lt;&gt;"",X739,""),IF(AND(ISNUMBER(SEARCH("(5х",Q739)),N(AK739)=1),"5 жил на 1 фазе",""),IF(AND(AL739="R",E739&lt;&gt;"",N(AS739)=0),"розетка без 30 мА",""),IF(IFERROR(_xlfn.NUMBERVALUE(MID(Q739,FIND("-",Q739,FIND("L=",Q739))+1,FIND("%",Q739)-FIND("-",Q739,FIND("L=",Q739))-1),","),0)&gt;4,"потери &gt; 4 %","")))</f>
      </c>
      <c r="AF739" s="129">
        <f>IF(E739&lt;&gt;"",COUNTIFS($A$3:A739,A739,$E$3:E739,"?*"),IF(OR(A739&lt;&gt;A738,Y739="вручную"),"",AF738))</f>
        <v/>
      </c>
      <c r="AG739" s="129">
        <f t="shared" si="473"/>
        <v/>
      </c>
      <c r="AH739" s="129">
        <f t="shared" si="474"/>
        <v/>
      </c>
      <c r="AI739" s="129">
        <f t="shared" si="475"/>
        <v/>
      </c>
      <c r="AJ739" s="129">
        <f t="shared" si="476"/>
        <v/>
      </c>
      <c r="AK739" s="129">
        <f t="shared" si="477"/>
        <v/>
      </c>
      <c r="AL739" s="129">
        <f t="shared" si="478"/>
        <v/>
      </c>
      <c r="AM739" s="129">
        <f t="shared" si="479"/>
      </c>
      <c r="AN739" s="129">
        <f t="shared" si="480"/>
      </c>
      <c r="AO739" s="129">
        <f t="shared" si="481"/>
        <v/>
      </c>
      <c r="AP739" s="129">
        <f t="shared" si="482"/>
        <v/>
      </c>
      <c r="AQ739" s="129">
        <f t="shared" si="483"/>
        <v/>
      </c>
      <c r="AR739" s="129">
        <f t="shared" si="484"/>
        <v/>
      </c>
      <c r="AS739" s="129">
        <f t="shared" si="485"/>
        <v/>
      </c>
      <c r="AT739" s="129">
        <f t="shared" si="486"/>
        <v/>
      </c>
      <c r="AU739" s="129">
        <f t="shared" si="487"/>
        <v/>
      </c>
      <c r="AV739" s="129">
        <f t="shared" si="488"/>
        <v/>
      </c>
      <c r="AW739" s="129">
        <f>IF(AV739="","",AV739&amp;"."&amp;COUNTIFS($A$3:A739,A739,$AV$3:AV739,AV739))</f>
        <v/>
      </c>
      <c r="AX739" s="129">
        <f t="shared" si="489"/>
        <v/>
      </c>
      <c r="AY739" s="129">
        <f>IF(N739="б/к",0,IF(OR(ISNUMBER(SEARCH("L=",Разбивка_по_щитам!P739)),N739="+",N739="="),1,0))</f>
      </c>
      <c r="AZ739" s="129">
        <f t="shared" si="490"/>
        <v/>
      </c>
      <c r="BA739" s="129">
        <f t="shared" si="491"/>
      </c>
      <c r="BB739" s="129">
        <f t="shared" si="492"/>
      </c>
      <c r="BD739" s="129">
        <f t="shared" si="493"/>
      </c>
      <c r="BE739" s="129">
        <f t="shared" si="494"/>
      </c>
      <c r="BF739" s="129">
        <f t="shared" si="495"/>
      </c>
      <c r="BG739" s="129">
        <f t="shared" si="496"/>
        <v/>
      </c>
      <c r="BH739" s="129">
        <f t="shared" si="497"/>
        <v/>
      </c>
      <c r="BI739" s="129">
        <f t="shared" si="498"/>
        <v/>
      </c>
      <c r="BJ739" s="129">
        <f t="shared" si="499"/>
        <v/>
      </c>
      <c r="BK739" s="129">
        <f>IF(R739="","",IF(OR(BY739="",BY739=0),"BOX",IFERROR(IF(VLOOKUP(BY739,УГО_блоки,3,FALSE)&amp;""&lt;&gt;"",VLOOKUP(BY739,УГО_блоки,3,FALSE),VLOOKUP(BY739,УГО_блоки,2,FALSE)),BY739)))</f>
      </c>
      <c r="BL739" s="129">
        <f t="shared" si="501"/>
      </c>
      <c r="BM739" s="129">
        <f>IF(H739="","",IF(COUNTIF($H$3:H739,H739)=1,MAX($BM$2:BM738)+1,""))</f>
      </c>
      <c r="BN739" s="129">
        <f>IF(I739="","",IF(COUNTIF($I$3:I739,I739)+COUNTIF($J$2:J738,I739)+COUNTIF($K$2:K738,I739)=1,MAX($BN$2:BP738)+1,""))</f>
      </c>
      <c r="BO739" s="129">
        <f>IF(J739="","",IF(COUNTIF($I$3:I739,J739)+COUNTIF($J$3:J739,J739)+COUNTIF($K$2:K738,J739)=1,MAX($BN$2:BP738,BN739)+1,""))</f>
      </c>
      <c r="BP739" s="129">
        <f>IF(K739="","",IF(COUNTIF($I$3:I739,K739)+COUNTIF($J$3:J739,K739)+COUNTIF($K$3:K739,K739)=1,MAX($BN$2:BP738,BN739,BO739)+1,""))</f>
      </c>
      <c r="BQ739" s="129">
        <f>IF(AY739=1,IFERROR(MID(Q739,FIND(" (",Q739)+2,FIND(")",Q739,FIND(" (",Q739))-FIND(" (",Q739)-2),"?"),"")</f>
      </c>
      <c r="BR739" s="129">
        <f>IF(BQ739="","",IF(COUNTIF($BQ$3:BQ739,BQ739)=1,MAX($BR$2:BR738)+1,""))</f>
      </c>
      <c r="BS739" s="129">
        <f>IF(AW739="","",COUNTIF($AW$3:AW739,"?*"))</f>
      </c>
      <c r="BT739" s="129">
        <f>IF(OR(AW739="",AI739=""),"",IF(COUNTIFS($AW$3:AW739,"?*",$AI$3:AI739,AI739)=1,MAX($BT$2:BT738)+1,""))</f>
      </c>
      <c r="BU739" s="129">
        <f>IF(AE739="",0,IF(OR(ISNUMBER(SEARCH("дубль",AE739)),ISNUMBER(SEARCH("ПЕРЕГРУЗ",AE739)),ISNUMBER(SEARCH("ЗАЩИЩ",AE739)),ISNUMBER(SEARCH("КАНАЛ",AE739)),ISNUMBER(SEARCH("без 30",AE739))),2,1))</f>
      </c>
      <c r="BV739" s="129">
        <f>IF(R739="","",COUNTIF($R$3:R739,"?*"))</f>
      </c>
      <c r="BW739" s="129">
        <f>IF(AY739&lt;&gt;1,0,IF(MAX(IFERROR(--VLOOKUP(R739,УГО_спр,5,FALSE),0),IFERROR(--VLOOKUP(AL739,УГО_спр,5,FALSE),0),IFERROR(--VLOOKUP(LEFT(AL739,2),УГО_спр,5,FALSE),0))&gt;0,MAX(IFERROR(--VLOOKUP(R739,УГО_спр,5,FALSE),0),IFERROR(--VLOOKUP(AL739,УГО_спр,5,FALSE),0),IFERROR(--VLOOKUP(LEFT(AL739,2),УГО_спр,5,FALSE),0)),IF(IFERROR(--LEFT(SUBSTITUTE(BQ739,"x","х"),FIND("х",SUBSTITUTE(BQ739,"x","х"))-1),3)&gt;3,Каталог!$S$9,1)))</f>
      </c>
      <c r="BX739" s="129">
        <f>IF(AY739&lt;&gt;1,0,MAX(0,IFERROR(--LEFT(SUBSTITUTE(BQ739,"x","х"),FIND("х",SUBSTITUTE(BQ739,"x","х"))-1),3)-3*BW739))</f>
      </c>
      <c r="BY739" s="129">
        <f>IF(R739="","",IFERROR(VLOOKUP(R739,УГО_спр,2,FALSE),IFERROR(VLOOKUP(AL739,УГО_спр,2,FALSE),IFERROR(VLOOKUP(LEFT(AL739,2),УГО_спр,2,FALSE),""))))</f>
      </c>
    </row>
    <row r="740" spans="1:64" x14ac:dyDescent="0.3">
      <c r="A740" s="135">
        <f>IF(Разбивка_по_щитам!F740=0,"",Разбивка_по_щитам!F740)</f>
        <v/>
      </c>
      <c r="B740" s="138">
        <f>IF(A740="","",Разбивка_по_щитам!C740)</f>
        <v/>
      </c>
      <c r="C740" s="138">
        <f t="shared" si="462"/>
        <v/>
      </c>
      <c r="D740" s="266"/>
      <c r="E740" s="266"/>
      <c r="F740" s="267"/>
      <c r="G740" s="145">
        <f t="shared" si="463"/>
        <v/>
      </c>
      <c r="H740" s="145">
        <f t="shared" si="464"/>
        <v/>
      </c>
      <c r="I740" s="266"/>
      <c r="J740" s="267"/>
      <c r="K740" s="267"/>
      <c r="L740" s="266"/>
      <c r="M740" s="147">
        <f t="shared" si="465"/>
        <v/>
      </c>
      <c r="N740" s="267"/>
      <c r="O740" s="147">
        <f t="shared" si="466"/>
        <v/>
      </c>
      <c r="P740" s="268">
        <f>IF(AY740=1,"XT"&amp;COUNTIFS($A$3:A740,A740,$AY$3:AY740,1),"")</f>
        <v/>
      </c>
      <c r="Q740" s="152">
        <f>IF(R740="","",IFERROR(SUBSTITUTE(Разбивка_по_щитам!P740,CHAR(10)," "),""))</f>
        <v/>
      </c>
      <c r="R740" s="153">
        <f>IF(OR(Разбивка_по_щитам!H740="",Разбивка_по_щитам!H740=0),"",Разбивка_по_щитам!H740)</f>
        <v/>
      </c>
      <c r="S740" s="154">
        <f>IF(R740="","",IFERROR(Разбивка_по_щитам!J740&amp;"",""))</f>
        <v/>
      </c>
      <c r="T740" s="155">
        <f>IF(R740="","",IFERROR(--Разбивка_по_щитам!L740,""))</f>
        <v/>
      </c>
      <c r="U740" s="155">
        <f>IF(R740="","",IFERROR(--Разбивка_по_щитам!K740,""))</f>
        <v/>
      </c>
      <c r="V740" s="138">
        <f>IF(R740="","",IFERROR(IF(Разбивка_по_щитам!M740=0,"",Разбивка_по_щитам!M740),""))</f>
        <v/>
      </c>
      <c r="W740" s="156">
        <f t="shared" si="467"/>
        <v/>
      </c>
      <c r="X740" s="157">
        <f t="shared" si="468"/>
        <v/>
      </c>
      <c r="Y740" s="266"/>
      <c r="Z740" s="158">
        <f t="shared" si="469"/>
        <v/>
      </c>
      <c r="AA740" s="160">
        <f t="shared" si="470"/>
        <v/>
      </c>
      <c r="AB740" s="160">
        <f>IF(R740="","",IFERROR(LOOKUP(INDEX(Справочная!$I$4:$I$19,MATCH(VLOOKUP(R740,Исходные_данные,22,FALSE),Справочная!$J$4:$J$19,0)+1),{6,10,16,20,25,32,40,50,63,80,100,125}),""))</f>
        <v/>
      </c>
      <c r="AC740" s="160">
        <f t="shared" si="471"/>
        <v/>
      </c>
      <c r="AD740" s="161">
        <f t="shared" si="472"/>
        <v/>
      </c>
      <c r="AE740" s="161">
        <f>IF(AND(R740="",G740=""),"",_xlfn.TEXTJOIN("; ",TRUE,IF(AND(R740&lt;&gt;"",V740=""),"нет фазы",""),IF(AND(R740&lt;&gt;"",N(T740)=0),"нет мощности",""),IF(AND(P740&lt;&gt;"",COUNTIFS($A$3:$A$1000,A740,$P$3:$P$1000,P740)&gt;1),"дубль клеммы "&amp;P740,""),IF(AND(W740&lt;&gt;"",W740&lt;&gt;"ok"),W740,""),IF(X740&lt;&gt;"",X740,""),IF(AND(ISNUMBER(SEARCH("(5х",Q740)),N(AK740)=1),"5 жил на 1 фазе",""),IF(AND(AL740="R",E740&lt;&gt;"",N(AS740)=0),"розетка без 30 мА",""),IF(IFERROR(_xlfn.NUMBERVALUE(MID(Q740,FIND("-",Q740,FIND("L=",Q740))+1,FIND("%",Q740)-FIND("-",Q740,FIND("L=",Q740))-1),","),0)&gt;4,"потери &gt; 4 %","")))</f>
      </c>
      <c r="AF740" s="129">
        <f>IF(E740&lt;&gt;"",COUNTIFS($A$3:A740,A740,$E$3:E740,"?*"),IF(OR(A740&lt;&gt;A739,Y740="вручную"),"",AF739))</f>
        <v/>
      </c>
      <c r="AG740" s="129">
        <f t="shared" si="473"/>
        <v/>
      </c>
      <c r="AH740" s="129">
        <f t="shared" si="474"/>
        <v/>
      </c>
      <c r="AI740" s="129">
        <f t="shared" si="475"/>
        <v/>
      </c>
      <c r="AJ740" s="129">
        <f t="shared" si="476"/>
        <v/>
      </c>
      <c r="AK740" s="129">
        <f t="shared" si="477"/>
        <v/>
      </c>
      <c r="AL740" s="129">
        <f t="shared" si="478"/>
        <v/>
      </c>
      <c r="AM740" s="129">
        <f t="shared" si="479"/>
      </c>
      <c r="AN740" s="129">
        <f t="shared" si="480"/>
      </c>
      <c r="AO740" s="129">
        <f t="shared" si="481"/>
        <v/>
      </c>
      <c r="AP740" s="129">
        <f t="shared" si="482"/>
        <v/>
      </c>
      <c r="AQ740" s="129">
        <f t="shared" si="483"/>
        <v/>
      </c>
      <c r="AR740" s="129">
        <f t="shared" si="484"/>
        <v/>
      </c>
      <c r="AS740" s="129">
        <f t="shared" si="485"/>
        <v/>
      </c>
      <c r="AT740" s="129">
        <f t="shared" si="486"/>
        <v/>
      </c>
      <c r="AU740" s="129">
        <f t="shared" si="487"/>
        <v/>
      </c>
      <c r="AV740" s="129">
        <f t="shared" si="488"/>
        <v/>
      </c>
      <c r="AW740" s="129">
        <f>IF(AV740="","",AV740&amp;"."&amp;COUNTIFS($A$3:A740,A740,$AV$3:AV740,AV740))</f>
        <v/>
      </c>
      <c r="AX740" s="129">
        <f t="shared" si="489"/>
        <v/>
      </c>
      <c r="AY740" s="129">
        <f>IF(N740="б/к",0,IF(OR(ISNUMBER(SEARCH("L=",Разбивка_по_щитам!P740)),N740="+",N740="="),1,0))</f>
      </c>
      <c r="AZ740" s="129">
        <f t="shared" si="490"/>
        <v/>
      </c>
      <c r="BA740" s="129">
        <f t="shared" si="491"/>
      </c>
      <c r="BB740" s="129">
        <f t="shared" si="492"/>
      </c>
      <c r="BD740" s="129">
        <f t="shared" si="493"/>
      </c>
      <c r="BE740" s="129">
        <f t="shared" si="494"/>
      </c>
      <c r="BF740" s="129">
        <f t="shared" si="495"/>
      </c>
      <c r="BG740" s="129">
        <f t="shared" si="496"/>
        <v/>
      </c>
      <c r="BH740" s="129">
        <f t="shared" si="497"/>
        <v/>
      </c>
      <c r="BI740" s="129">
        <f t="shared" si="498"/>
        <v/>
      </c>
      <c r="BJ740" s="129">
        <f t="shared" si="499"/>
        <v/>
      </c>
      <c r="BK740" s="129">
        <f>IF(R740="","",IF(OR(BY740="",BY740=0),"BOX",IFERROR(IF(VLOOKUP(BY740,УГО_блоки,3,FALSE)&amp;""&lt;&gt;"",VLOOKUP(BY740,УГО_блоки,3,FALSE),VLOOKUP(BY740,УГО_блоки,2,FALSE)),BY740)))</f>
      </c>
      <c r="BL740" s="129">
        <f t="shared" si="501"/>
      </c>
      <c r="BM740" s="129">
        <f>IF(H740="","",IF(COUNTIF($H$3:H740,H740)=1,MAX($BM$2:BM739)+1,""))</f>
      </c>
      <c r="BN740" s="129">
        <f>IF(I740="","",IF(COUNTIF($I$3:I740,I740)+COUNTIF($J$2:J739,I740)+COUNTIF($K$2:K739,I740)=1,MAX($BN$2:BP739)+1,""))</f>
      </c>
      <c r="BO740" s="129">
        <f>IF(J740="","",IF(COUNTIF($I$3:I740,J740)+COUNTIF($J$3:J740,J740)+COUNTIF($K$2:K739,J740)=1,MAX($BN$2:BP739,BN740)+1,""))</f>
      </c>
      <c r="BP740" s="129">
        <f>IF(K740="","",IF(COUNTIF($I$3:I740,K740)+COUNTIF($J$3:J740,K740)+COUNTIF($K$3:K740,K740)=1,MAX($BN$2:BP739,BN740,BO740)+1,""))</f>
      </c>
      <c r="BQ740" s="129">
        <f>IF(AY740=1,IFERROR(MID(Q740,FIND(" (",Q740)+2,FIND(")",Q740,FIND(" (",Q740))-FIND(" (",Q740)-2),"?"),"")</f>
      </c>
      <c r="BR740" s="129">
        <f>IF(BQ740="","",IF(COUNTIF($BQ$3:BQ740,BQ740)=1,MAX($BR$2:BR739)+1,""))</f>
      </c>
      <c r="BS740" s="129">
        <f>IF(AW740="","",COUNTIF($AW$3:AW740,"?*"))</f>
      </c>
      <c r="BT740" s="129">
        <f>IF(OR(AW740="",AI740=""),"",IF(COUNTIFS($AW$3:AW740,"?*",$AI$3:AI740,AI740)=1,MAX($BT$2:BT739)+1,""))</f>
      </c>
      <c r="BU740" s="129">
        <f>IF(AE740="",0,IF(OR(ISNUMBER(SEARCH("дубль",AE740)),ISNUMBER(SEARCH("ПЕРЕГРУЗ",AE740)),ISNUMBER(SEARCH("ЗАЩИЩ",AE740)),ISNUMBER(SEARCH("КАНАЛ",AE740)),ISNUMBER(SEARCH("без 30",AE740))),2,1))</f>
      </c>
      <c r="BV740" s="129">
        <f>IF(R740="","",COUNTIF($R$3:R740,"?*"))</f>
      </c>
      <c r="BW740" s="129">
        <f>IF(AY740&lt;&gt;1,0,IF(MAX(IFERROR(--VLOOKUP(R740,УГО_спр,5,FALSE),0),IFERROR(--VLOOKUP(AL740,УГО_спр,5,FALSE),0),IFERROR(--VLOOKUP(LEFT(AL740,2),УГО_спр,5,FALSE),0))&gt;0,MAX(IFERROR(--VLOOKUP(R740,УГО_спр,5,FALSE),0),IFERROR(--VLOOKUP(AL740,УГО_спр,5,FALSE),0),IFERROR(--VLOOKUP(LEFT(AL740,2),УГО_спр,5,FALSE),0)),IF(IFERROR(--LEFT(SUBSTITUTE(BQ740,"x","х"),FIND("х",SUBSTITUTE(BQ740,"x","х"))-1),3)&gt;3,Каталог!$S$9,1)))</f>
      </c>
      <c r="BX740" s="129">
        <f>IF(AY740&lt;&gt;1,0,MAX(0,IFERROR(--LEFT(SUBSTITUTE(BQ740,"x","х"),FIND("х",SUBSTITUTE(BQ740,"x","х"))-1),3)-3*BW740))</f>
      </c>
      <c r="BY740" s="129">
        <f>IF(R740="","",IFERROR(VLOOKUP(R740,УГО_спр,2,FALSE),IFERROR(VLOOKUP(AL740,УГО_спр,2,FALSE),IFERROR(VLOOKUP(LEFT(AL740,2),УГО_спр,2,FALSE),""))))</f>
      </c>
    </row>
    <row r="741" spans="1:64" x14ac:dyDescent="0.3">
      <c r="A741" s="135">
        <f>IF(Разбивка_по_щитам!F741=0,"",Разбивка_по_щитам!F741)</f>
        <v/>
      </c>
      <c r="B741" s="138">
        <f>IF(A741="","",Разбивка_по_щитам!C741)</f>
        <v/>
      </c>
      <c r="C741" s="138">
        <f t="shared" si="462"/>
        <v/>
      </c>
      <c r="D741" s="266"/>
      <c r="E741" s="266"/>
      <c r="F741" s="267"/>
      <c r="G741" s="145">
        <f t="shared" si="463"/>
        <v/>
      </c>
      <c r="H741" s="145">
        <f t="shared" si="464"/>
        <v/>
      </c>
      <c r="I741" s="266"/>
      <c r="J741" s="267"/>
      <c r="K741" s="267"/>
      <c r="L741" s="266"/>
      <c r="M741" s="147">
        <f t="shared" si="465"/>
        <v/>
      </c>
      <c r="N741" s="267"/>
      <c r="O741" s="147">
        <f t="shared" si="466"/>
        <v/>
      </c>
      <c r="P741" s="268">
        <f>IF(AY741=1,"XT"&amp;COUNTIFS($A$3:A741,A741,$AY$3:AY741,1),"")</f>
        <v/>
      </c>
      <c r="Q741" s="152">
        <f>IF(R741="","",IFERROR(SUBSTITUTE(Разбивка_по_щитам!P741,CHAR(10)," "),""))</f>
        <v/>
      </c>
      <c r="R741" s="153">
        <f>IF(OR(Разбивка_по_щитам!H741="",Разбивка_по_щитам!H741=0),"",Разбивка_по_щитам!H741)</f>
        <v/>
      </c>
      <c r="S741" s="154">
        <f>IF(R741="","",IFERROR(Разбивка_по_щитам!J741&amp;"",""))</f>
        <v/>
      </c>
      <c r="T741" s="155">
        <f>IF(R741="","",IFERROR(--Разбивка_по_щитам!L741,""))</f>
        <v/>
      </c>
      <c r="U741" s="155">
        <f>IF(R741="","",IFERROR(--Разбивка_по_щитам!K741,""))</f>
        <v/>
      </c>
      <c r="V741" s="138">
        <f>IF(R741="","",IFERROR(IF(Разбивка_по_щитам!M741=0,"",Разбивка_по_щитам!M741),""))</f>
        <v/>
      </c>
      <c r="W741" s="156">
        <f t="shared" si="467"/>
        <v/>
      </c>
      <c r="X741" s="157">
        <f t="shared" si="468"/>
        <v/>
      </c>
      <c r="Y741" s="266"/>
      <c r="Z741" s="158">
        <f t="shared" si="469"/>
        <v/>
      </c>
      <c r="AA741" s="160">
        <f t="shared" si="470"/>
        <v/>
      </c>
      <c r="AB741" s="160">
        <f>IF(R741="","",IFERROR(LOOKUP(INDEX(Справочная!$I$4:$I$19,MATCH(VLOOKUP(R741,Исходные_данные,22,FALSE),Справочная!$J$4:$J$19,0)+1),{6,10,16,20,25,32,40,50,63,80,100,125}),""))</f>
        <v/>
      </c>
      <c r="AC741" s="160">
        <f t="shared" si="471"/>
        <v/>
      </c>
      <c r="AD741" s="161">
        <f t="shared" si="472"/>
        <v/>
      </c>
      <c r="AE741" s="161">
        <f>IF(AND(R741="",G741=""),"",_xlfn.TEXTJOIN("; ",TRUE,IF(AND(R741&lt;&gt;"",V741=""),"нет фазы",""),IF(AND(R741&lt;&gt;"",N(T741)=0),"нет мощности",""),IF(AND(P741&lt;&gt;"",COUNTIFS($A$3:$A$1000,A741,$P$3:$P$1000,P741)&gt;1),"дубль клеммы "&amp;P741,""),IF(AND(W741&lt;&gt;"",W741&lt;&gt;"ok"),W741,""),IF(X741&lt;&gt;"",X741,""),IF(AND(ISNUMBER(SEARCH("(5х",Q741)),N(AK741)=1),"5 жил на 1 фазе",""),IF(AND(AL741="R",E741&lt;&gt;"",N(AS741)=0),"розетка без 30 мА",""),IF(IFERROR(_xlfn.NUMBERVALUE(MID(Q741,FIND("-",Q741,FIND("L=",Q741))+1,FIND("%",Q741)-FIND("-",Q741,FIND("L=",Q741))-1),","),0)&gt;4,"потери &gt; 4 %","")))</f>
      </c>
      <c r="AF741" s="129">
        <f>IF(E741&lt;&gt;"",COUNTIFS($A$3:A741,A741,$E$3:E741,"?*"),IF(OR(A741&lt;&gt;A740,Y741="вручную"),"",AF740))</f>
        <v/>
      </c>
      <c r="AG741" s="129">
        <f t="shared" si="473"/>
        <v/>
      </c>
      <c r="AH741" s="129">
        <f t="shared" si="474"/>
        <v/>
      </c>
      <c r="AI741" s="129">
        <f t="shared" si="475"/>
        <v/>
      </c>
      <c r="AJ741" s="129">
        <f t="shared" si="476"/>
        <v/>
      </c>
      <c r="AK741" s="129">
        <f t="shared" si="477"/>
        <v/>
      </c>
      <c r="AL741" s="129">
        <f t="shared" si="478"/>
        <v/>
      </c>
      <c r="AM741" s="129">
        <f t="shared" si="479"/>
      </c>
      <c r="AN741" s="129">
        <f t="shared" si="480"/>
      </c>
      <c r="AO741" s="129">
        <f t="shared" si="481"/>
        <v/>
      </c>
      <c r="AP741" s="129">
        <f t="shared" si="482"/>
        <v/>
      </c>
      <c r="AQ741" s="129">
        <f t="shared" si="483"/>
        <v/>
      </c>
      <c r="AR741" s="129">
        <f t="shared" si="484"/>
        <v/>
      </c>
      <c r="AS741" s="129">
        <f t="shared" si="485"/>
        <v/>
      </c>
      <c r="AT741" s="129">
        <f t="shared" si="486"/>
        <v/>
      </c>
      <c r="AU741" s="129">
        <f t="shared" si="487"/>
        <v/>
      </c>
      <c r="AV741" s="129">
        <f t="shared" si="488"/>
        <v/>
      </c>
      <c r="AW741" s="129">
        <f>IF(AV741="","",AV741&amp;"."&amp;COUNTIFS($A$3:A741,A741,$AV$3:AV741,AV741))</f>
        <v/>
      </c>
      <c r="AX741" s="129">
        <f t="shared" si="489"/>
        <v/>
      </c>
      <c r="AY741" s="129">
        <f>IF(N741="б/к",0,IF(OR(ISNUMBER(SEARCH("L=",Разбивка_по_щитам!P741)),N741="+",N741="="),1,0))</f>
      </c>
      <c r="AZ741" s="129">
        <f t="shared" si="490"/>
        <v/>
      </c>
      <c r="BA741" s="129">
        <f t="shared" si="491"/>
      </c>
      <c r="BB741" s="129">
        <f t="shared" si="492"/>
      </c>
      <c r="BD741" s="129">
        <f t="shared" si="493"/>
      </c>
      <c r="BE741" s="129">
        <f t="shared" si="494"/>
      </c>
      <c r="BF741" s="129">
        <f t="shared" si="495"/>
      </c>
      <c r="BG741" s="129">
        <f t="shared" si="496"/>
        <v/>
      </c>
      <c r="BH741" s="129">
        <f t="shared" si="497"/>
        <v/>
      </c>
      <c r="BI741" s="129">
        <f t="shared" si="498"/>
        <v/>
      </c>
      <c r="BJ741" s="129">
        <f t="shared" si="499"/>
        <v/>
      </c>
      <c r="BK741" s="129">
        <f>IF(R741="","",IF(OR(BY741="",BY741=0),"BOX",IFERROR(IF(VLOOKUP(BY741,УГО_блоки,3,FALSE)&amp;""&lt;&gt;"",VLOOKUP(BY741,УГО_блоки,3,FALSE),VLOOKUP(BY741,УГО_блоки,2,FALSE)),BY741)))</f>
      </c>
      <c r="BL741" s="129">
        <f t="shared" si="501"/>
      </c>
      <c r="BM741" s="129">
        <f>IF(H741="","",IF(COUNTIF($H$3:H741,H741)=1,MAX($BM$2:BM740)+1,""))</f>
      </c>
      <c r="BN741" s="129">
        <f>IF(I741="","",IF(COUNTIF($I$3:I741,I741)+COUNTIF($J$2:J740,I741)+COUNTIF($K$2:K740,I741)=1,MAX($BN$2:BP740)+1,""))</f>
      </c>
      <c r="BO741" s="129">
        <f>IF(J741="","",IF(COUNTIF($I$3:I741,J741)+COUNTIF($J$3:J741,J741)+COUNTIF($K$2:K740,J741)=1,MAX($BN$2:BP740,BN741)+1,""))</f>
      </c>
      <c r="BP741" s="129">
        <f>IF(K741="","",IF(COUNTIF($I$3:I741,K741)+COUNTIF($J$3:J741,K741)+COUNTIF($K$3:K741,K741)=1,MAX($BN$2:BP740,BN741,BO741)+1,""))</f>
      </c>
      <c r="BQ741" s="129">
        <f>IF(AY741=1,IFERROR(MID(Q741,FIND(" (",Q741)+2,FIND(")",Q741,FIND(" (",Q741))-FIND(" (",Q741)-2),"?"),"")</f>
      </c>
      <c r="BR741" s="129">
        <f>IF(BQ741="","",IF(COUNTIF($BQ$3:BQ741,BQ741)=1,MAX($BR$2:BR740)+1,""))</f>
      </c>
      <c r="BS741" s="129">
        <f>IF(AW741="","",COUNTIF($AW$3:AW741,"?*"))</f>
      </c>
      <c r="BT741" s="129">
        <f>IF(OR(AW741="",AI741=""),"",IF(COUNTIFS($AW$3:AW741,"?*",$AI$3:AI741,AI741)=1,MAX($BT$2:BT740)+1,""))</f>
      </c>
      <c r="BU741" s="129">
        <f>IF(AE741="",0,IF(OR(ISNUMBER(SEARCH("дубль",AE741)),ISNUMBER(SEARCH("ПЕРЕГРУЗ",AE741)),ISNUMBER(SEARCH("ЗАЩИЩ",AE741)),ISNUMBER(SEARCH("КАНАЛ",AE741)),ISNUMBER(SEARCH("без 30",AE741))),2,1))</f>
      </c>
      <c r="BV741" s="129">
        <f>IF(R741="","",COUNTIF($R$3:R741,"?*"))</f>
      </c>
      <c r="BW741" s="129">
        <f>IF(AY741&lt;&gt;1,0,IF(MAX(IFERROR(--VLOOKUP(R741,УГО_спр,5,FALSE),0),IFERROR(--VLOOKUP(AL741,УГО_спр,5,FALSE),0),IFERROR(--VLOOKUP(LEFT(AL741,2),УГО_спр,5,FALSE),0))&gt;0,MAX(IFERROR(--VLOOKUP(R741,УГО_спр,5,FALSE),0),IFERROR(--VLOOKUP(AL741,УГО_спр,5,FALSE),0),IFERROR(--VLOOKUP(LEFT(AL741,2),УГО_спр,5,FALSE),0)),IF(IFERROR(--LEFT(SUBSTITUTE(BQ741,"x","х"),FIND("х",SUBSTITUTE(BQ741,"x","х"))-1),3)&gt;3,Каталог!$S$9,1)))</f>
      </c>
      <c r="BX741" s="129">
        <f>IF(AY741&lt;&gt;1,0,MAX(0,IFERROR(--LEFT(SUBSTITUTE(BQ741,"x","х"),FIND("х",SUBSTITUTE(BQ741,"x","х"))-1),3)-3*BW741))</f>
      </c>
      <c r="BY741" s="129">
        <f>IF(R741="","",IFERROR(VLOOKUP(R741,УГО_спр,2,FALSE),IFERROR(VLOOKUP(AL741,УГО_спр,2,FALSE),IFERROR(VLOOKUP(LEFT(AL741,2),УГО_спр,2,FALSE),""))))</f>
      </c>
    </row>
    <row r="742" spans="1:64" x14ac:dyDescent="0.3">
      <c r="A742" s="135">
        <f>IF(Разбивка_по_щитам!F742=0,"",Разбивка_по_щитам!F742)</f>
        <v/>
      </c>
      <c r="B742" s="138">
        <f>IF(A742="","",Разбивка_по_щитам!C742)</f>
        <v/>
      </c>
      <c r="C742" s="138">
        <f t="shared" si="462"/>
        <v/>
      </c>
      <c r="D742" s="266"/>
      <c r="E742" s="266"/>
      <c r="F742" s="267"/>
      <c r="G742" s="145">
        <f t="shared" si="463"/>
        <v/>
      </c>
      <c r="H742" s="145">
        <f t="shared" si="464"/>
        <v/>
      </c>
      <c r="I742" s="266"/>
      <c r="J742" s="267"/>
      <c r="K742" s="267"/>
      <c r="L742" s="266"/>
      <c r="M742" s="147">
        <f t="shared" si="465"/>
        <v/>
      </c>
      <c r="N742" s="267"/>
      <c r="O742" s="147">
        <f t="shared" si="466"/>
        <v/>
      </c>
      <c r="P742" s="268">
        <f>IF(AY742=1,"XT"&amp;COUNTIFS($A$3:A742,A742,$AY$3:AY742,1),"")</f>
        <v/>
      </c>
      <c r="Q742" s="152">
        <f>IF(R742="","",IFERROR(SUBSTITUTE(Разбивка_по_щитам!P742,CHAR(10)," "),""))</f>
        <v/>
      </c>
      <c r="R742" s="153">
        <f>IF(OR(Разбивка_по_щитам!H742="",Разбивка_по_щитам!H742=0),"",Разбивка_по_щитам!H742)</f>
        <v/>
      </c>
      <c r="S742" s="154">
        <f>IF(R742="","",IFERROR(Разбивка_по_щитам!J742&amp;"",""))</f>
        <v/>
      </c>
      <c r="T742" s="155">
        <f>IF(R742="","",IFERROR(--Разбивка_по_щитам!L742,""))</f>
        <v/>
      </c>
      <c r="U742" s="155">
        <f>IF(R742="","",IFERROR(--Разбивка_по_щитам!K742,""))</f>
        <v/>
      </c>
      <c r="V742" s="138">
        <f>IF(R742="","",IFERROR(IF(Разбивка_по_щитам!M742=0,"",Разбивка_по_щитам!M742),""))</f>
        <v/>
      </c>
      <c r="W742" s="156">
        <f t="shared" si="467"/>
        <v/>
      </c>
      <c r="X742" s="157">
        <f t="shared" si="468"/>
        <v/>
      </c>
      <c r="Y742" s="266"/>
      <c r="Z742" s="158">
        <f t="shared" si="469"/>
        <v/>
      </c>
      <c r="AA742" s="160">
        <f t="shared" si="470"/>
        <v/>
      </c>
      <c r="AB742" s="160">
        <f>IF(R742="","",IFERROR(LOOKUP(INDEX(Справочная!$I$4:$I$19,MATCH(VLOOKUP(R742,Исходные_данные,22,FALSE),Справочная!$J$4:$J$19,0)+1),{6,10,16,20,25,32,40,50,63,80,100,125}),""))</f>
        <v/>
      </c>
      <c r="AC742" s="160">
        <f t="shared" si="471"/>
        <v/>
      </c>
      <c r="AD742" s="161">
        <f t="shared" si="472"/>
        <v/>
      </c>
      <c r="AE742" s="161">
        <f>IF(AND(R742="",G742=""),"",_xlfn.TEXTJOIN("; ",TRUE,IF(AND(R742&lt;&gt;"",V742=""),"нет фазы",""),IF(AND(R742&lt;&gt;"",N(T742)=0),"нет мощности",""),IF(AND(P742&lt;&gt;"",COUNTIFS($A$3:$A$1000,A742,$P$3:$P$1000,P742)&gt;1),"дубль клеммы "&amp;P742,""),IF(AND(W742&lt;&gt;"",W742&lt;&gt;"ok"),W742,""),IF(X742&lt;&gt;"",X742,""),IF(AND(ISNUMBER(SEARCH("(5х",Q742)),N(AK742)=1),"5 жил на 1 фазе",""),IF(AND(AL742="R",E742&lt;&gt;"",N(AS742)=0),"розетка без 30 мА",""),IF(IFERROR(_xlfn.NUMBERVALUE(MID(Q742,FIND("-",Q742,FIND("L=",Q742))+1,FIND("%",Q742)-FIND("-",Q742,FIND("L=",Q742))-1),","),0)&gt;4,"потери &gt; 4 %","")))</f>
      </c>
      <c r="AF742" s="129">
        <f>IF(E742&lt;&gt;"",COUNTIFS($A$3:A742,A742,$E$3:E742,"?*"),IF(OR(A742&lt;&gt;A741,Y742="вручную"),"",AF741))</f>
        <v/>
      </c>
      <c r="AG742" s="129">
        <f t="shared" si="473"/>
        <v/>
      </c>
      <c r="AH742" s="129">
        <f t="shared" si="474"/>
        <v/>
      </c>
      <c r="AI742" s="129">
        <f t="shared" si="475"/>
        <v/>
      </c>
      <c r="AJ742" s="129">
        <f t="shared" si="476"/>
        <v/>
      </c>
      <c r="AK742" s="129">
        <f t="shared" si="477"/>
        <v/>
      </c>
      <c r="AL742" s="129">
        <f t="shared" si="478"/>
        <v/>
      </c>
      <c r="AM742" s="129">
        <f t="shared" si="479"/>
      </c>
      <c r="AN742" s="129">
        <f t="shared" si="480"/>
      </c>
      <c r="AO742" s="129">
        <f t="shared" si="481"/>
        <v/>
      </c>
      <c r="AP742" s="129">
        <f t="shared" si="482"/>
        <v/>
      </c>
      <c r="AQ742" s="129">
        <f t="shared" si="483"/>
        <v/>
      </c>
      <c r="AR742" s="129">
        <f t="shared" si="484"/>
        <v/>
      </c>
      <c r="AS742" s="129">
        <f t="shared" si="485"/>
        <v/>
      </c>
      <c r="AT742" s="129">
        <f t="shared" si="486"/>
        <v/>
      </c>
      <c r="AU742" s="129">
        <f t="shared" si="487"/>
        <v/>
      </c>
      <c r="AV742" s="129">
        <f t="shared" si="488"/>
        <v/>
      </c>
      <c r="AW742" s="129">
        <f>IF(AV742="","",AV742&amp;"."&amp;COUNTIFS($A$3:A742,A742,$AV$3:AV742,AV742))</f>
        <v/>
      </c>
      <c r="AX742" s="129">
        <f t="shared" si="489"/>
        <v/>
      </c>
      <c r="AY742" s="129">
        <f>IF(N742="б/к",0,IF(OR(ISNUMBER(SEARCH("L=",Разбивка_по_щитам!P742)),N742="+",N742="="),1,0))</f>
      </c>
      <c r="AZ742" s="129">
        <f t="shared" si="490"/>
        <v/>
      </c>
      <c r="BA742" s="129">
        <f t="shared" si="491"/>
      </c>
      <c r="BB742" s="129">
        <f t="shared" si="492"/>
      </c>
      <c r="BD742" s="129">
        <f t="shared" si="493"/>
      </c>
      <c r="BE742" s="129">
        <f t="shared" si="494"/>
      </c>
      <c r="BF742" s="129">
        <f t="shared" si="495"/>
      </c>
      <c r="BG742" s="129">
        <f t="shared" si="496"/>
        <v/>
      </c>
      <c r="BH742" s="129">
        <f t="shared" si="497"/>
        <v/>
      </c>
      <c r="BI742" s="129">
        <f t="shared" si="498"/>
        <v/>
      </c>
      <c r="BJ742" s="129">
        <f t="shared" si="499"/>
        <v/>
      </c>
      <c r="BK742" s="129">
        <f>IF(R742="","",IF(OR(BY742="",BY742=0),"BOX",IFERROR(IF(VLOOKUP(BY742,УГО_блоки,3,FALSE)&amp;""&lt;&gt;"",VLOOKUP(BY742,УГО_блоки,3,FALSE),VLOOKUP(BY742,УГО_блоки,2,FALSE)),BY742)))</f>
      </c>
      <c r="BL742" s="129">
        <f t="shared" si="501"/>
      </c>
      <c r="BM742" s="129">
        <f>IF(H742="","",IF(COUNTIF($H$3:H742,H742)=1,MAX($BM$2:BM741)+1,""))</f>
      </c>
      <c r="BN742" s="129">
        <f>IF(I742="","",IF(COUNTIF($I$3:I742,I742)+COUNTIF($J$2:J741,I742)+COUNTIF($K$2:K741,I742)=1,MAX($BN$2:BP741)+1,""))</f>
      </c>
      <c r="BO742" s="129">
        <f>IF(J742="","",IF(COUNTIF($I$3:I742,J742)+COUNTIF($J$3:J742,J742)+COUNTIF($K$2:K741,J742)=1,MAX($BN$2:BP741,BN742)+1,""))</f>
      </c>
      <c r="BP742" s="129">
        <f>IF(K742="","",IF(COUNTIF($I$3:I742,K742)+COUNTIF($J$3:J742,K742)+COUNTIF($K$3:K742,K742)=1,MAX($BN$2:BP741,BN742,BO742)+1,""))</f>
      </c>
      <c r="BQ742" s="129">
        <f>IF(AY742=1,IFERROR(MID(Q742,FIND(" (",Q742)+2,FIND(")",Q742,FIND(" (",Q742))-FIND(" (",Q742)-2),"?"),"")</f>
      </c>
      <c r="BR742" s="129">
        <f>IF(BQ742="","",IF(COUNTIF($BQ$3:BQ742,BQ742)=1,MAX($BR$2:BR741)+1,""))</f>
      </c>
      <c r="BS742" s="129">
        <f>IF(AW742="","",COUNTIF($AW$3:AW742,"?*"))</f>
      </c>
      <c r="BT742" s="129">
        <f>IF(OR(AW742="",AI742=""),"",IF(COUNTIFS($AW$3:AW742,"?*",$AI$3:AI742,AI742)=1,MAX($BT$2:BT741)+1,""))</f>
      </c>
      <c r="BU742" s="129">
        <f>IF(AE742="",0,IF(OR(ISNUMBER(SEARCH("дубль",AE742)),ISNUMBER(SEARCH("ПЕРЕГРУЗ",AE742)),ISNUMBER(SEARCH("ЗАЩИЩ",AE742)),ISNUMBER(SEARCH("КАНАЛ",AE742)),ISNUMBER(SEARCH("без 30",AE742))),2,1))</f>
      </c>
      <c r="BV742" s="129">
        <f>IF(R742="","",COUNTIF($R$3:R742,"?*"))</f>
      </c>
      <c r="BW742" s="129">
        <f>IF(AY742&lt;&gt;1,0,IF(MAX(IFERROR(--VLOOKUP(R742,УГО_спр,5,FALSE),0),IFERROR(--VLOOKUP(AL742,УГО_спр,5,FALSE),0),IFERROR(--VLOOKUP(LEFT(AL742,2),УГО_спр,5,FALSE),0))&gt;0,MAX(IFERROR(--VLOOKUP(R742,УГО_спр,5,FALSE),0),IFERROR(--VLOOKUP(AL742,УГО_спр,5,FALSE),0),IFERROR(--VLOOKUP(LEFT(AL742,2),УГО_спр,5,FALSE),0)),IF(IFERROR(--LEFT(SUBSTITUTE(BQ742,"x","х"),FIND("х",SUBSTITUTE(BQ742,"x","х"))-1),3)&gt;3,Каталог!$S$9,1)))</f>
      </c>
      <c r="BX742" s="129">
        <f>IF(AY742&lt;&gt;1,0,MAX(0,IFERROR(--LEFT(SUBSTITUTE(BQ742,"x","х"),FIND("х",SUBSTITUTE(BQ742,"x","х"))-1),3)-3*BW742))</f>
      </c>
      <c r="BY742" s="129">
        <f>IF(R742="","",IFERROR(VLOOKUP(R742,УГО_спр,2,FALSE),IFERROR(VLOOKUP(AL742,УГО_спр,2,FALSE),IFERROR(VLOOKUP(LEFT(AL742,2),УГО_спр,2,FALSE),""))))</f>
      </c>
    </row>
    <row r="743" spans="1:64" x14ac:dyDescent="0.3">
      <c r="A743" s="135">
        <f>IF(Разбивка_по_щитам!F743=0,"",Разбивка_по_щитам!F743)</f>
        <v/>
      </c>
      <c r="B743" s="138">
        <f>IF(A743="","",Разбивка_по_щитам!C743)</f>
        <v/>
      </c>
      <c r="C743" s="138">
        <f t="shared" si="462"/>
        <v/>
      </c>
      <c r="D743" s="266"/>
      <c r="E743" s="266"/>
      <c r="F743" s="267"/>
      <c r="G743" s="145">
        <f t="shared" si="463"/>
        <v/>
      </c>
      <c r="H743" s="145">
        <f t="shared" si="464"/>
        <v/>
      </c>
      <c r="I743" s="266"/>
      <c r="J743" s="267"/>
      <c r="K743" s="267"/>
      <c r="L743" s="266"/>
      <c r="M743" s="147">
        <f t="shared" si="465"/>
        <v/>
      </c>
      <c r="N743" s="267"/>
      <c r="O743" s="147">
        <f t="shared" si="466"/>
        <v/>
      </c>
      <c r="P743" s="268">
        <f>IF(AY743=1,"XT"&amp;COUNTIFS($A$3:A743,A743,$AY$3:AY743,1),"")</f>
        <v/>
      </c>
      <c r="Q743" s="152">
        <f>IF(R743="","",IFERROR(SUBSTITUTE(Разбивка_по_щитам!P743,CHAR(10)," "),""))</f>
        <v/>
      </c>
      <c r="R743" s="153">
        <f>IF(OR(Разбивка_по_щитам!H743="",Разбивка_по_щитам!H743=0),"",Разбивка_по_щитам!H743)</f>
        <v/>
      </c>
      <c r="S743" s="154">
        <f>IF(R743="","",IFERROR(Разбивка_по_щитам!J743&amp;"",""))</f>
        <v/>
      </c>
      <c r="T743" s="155">
        <f>IF(R743="","",IFERROR(--Разбивка_по_щитам!L743,""))</f>
        <v/>
      </c>
      <c r="U743" s="155">
        <f>IF(R743="","",IFERROR(--Разбивка_по_щитам!K743,""))</f>
        <v/>
      </c>
      <c r="V743" s="138">
        <f>IF(R743="","",IFERROR(IF(Разбивка_по_щитам!M743=0,"",Разбивка_по_щитам!M743),""))</f>
        <v/>
      </c>
      <c r="W743" s="156">
        <f t="shared" si="467"/>
        <v/>
      </c>
      <c r="X743" s="157">
        <f t="shared" si="468"/>
        <v/>
      </c>
      <c r="Y743" s="266"/>
      <c r="Z743" s="158">
        <f t="shared" si="469"/>
        <v/>
      </c>
      <c r="AA743" s="160">
        <f t="shared" si="470"/>
        <v/>
      </c>
      <c r="AB743" s="160">
        <f>IF(R743="","",IFERROR(LOOKUP(INDEX(Справочная!$I$4:$I$19,MATCH(VLOOKUP(R743,Исходные_данные,22,FALSE),Справочная!$J$4:$J$19,0)+1),{6,10,16,20,25,32,40,50,63,80,100,125}),""))</f>
        <v/>
      </c>
      <c r="AC743" s="160">
        <f t="shared" si="471"/>
        <v/>
      </c>
      <c r="AD743" s="161">
        <f t="shared" si="472"/>
        <v/>
      </c>
      <c r="AE743" s="161">
        <f>IF(AND(R743="",G743=""),"",_xlfn.TEXTJOIN("; ",TRUE,IF(AND(R743&lt;&gt;"",V743=""),"нет фазы",""),IF(AND(R743&lt;&gt;"",N(T743)=0),"нет мощности",""),IF(AND(P743&lt;&gt;"",COUNTIFS($A$3:$A$1000,A743,$P$3:$P$1000,P743)&gt;1),"дубль клеммы "&amp;P743,""),IF(AND(W743&lt;&gt;"",W743&lt;&gt;"ok"),W743,""),IF(X743&lt;&gt;"",X743,""),IF(AND(ISNUMBER(SEARCH("(5х",Q743)),N(AK743)=1),"5 жил на 1 фазе",""),IF(AND(AL743="R",E743&lt;&gt;"",N(AS743)=0),"розетка без 30 мА",""),IF(IFERROR(_xlfn.NUMBERVALUE(MID(Q743,FIND("-",Q743,FIND("L=",Q743))+1,FIND("%",Q743)-FIND("-",Q743,FIND("L=",Q743))-1),","),0)&gt;4,"потери &gt; 4 %","")))</f>
      </c>
      <c r="AF743" s="129">
        <f>IF(E743&lt;&gt;"",COUNTIFS($A$3:A743,A743,$E$3:E743,"?*"),IF(OR(A743&lt;&gt;A742,Y743="вручную"),"",AF742))</f>
        <v/>
      </c>
      <c r="AG743" s="129">
        <f t="shared" si="473"/>
        <v/>
      </c>
      <c r="AH743" s="129">
        <f t="shared" si="474"/>
        <v/>
      </c>
      <c r="AI743" s="129">
        <f t="shared" si="475"/>
        <v/>
      </c>
      <c r="AJ743" s="129">
        <f t="shared" si="476"/>
        <v/>
      </c>
      <c r="AK743" s="129">
        <f t="shared" si="477"/>
        <v/>
      </c>
      <c r="AL743" s="129">
        <f t="shared" si="478"/>
        <v/>
      </c>
      <c r="AM743" s="129">
        <f t="shared" si="479"/>
      </c>
      <c r="AN743" s="129">
        <f t="shared" si="480"/>
      </c>
      <c r="AO743" s="129">
        <f t="shared" si="481"/>
        <v/>
      </c>
      <c r="AP743" s="129">
        <f t="shared" si="482"/>
        <v/>
      </c>
      <c r="AQ743" s="129">
        <f t="shared" si="483"/>
        <v/>
      </c>
      <c r="AR743" s="129">
        <f t="shared" si="484"/>
        <v/>
      </c>
      <c r="AS743" s="129">
        <f t="shared" si="485"/>
        <v/>
      </c>
      <c r="AT743" s="129">
        <f t="shared" si="486"/>
        <v/>
      </c>
      <c r="AU743" s="129">
        <f t="shared" si="487"/>
        <v/>
      </c>
      <c r="AV743" s="129">
        <f t="shared" si="488"/>
        <v/>
      </c>
      <c r="AW743" s="129">
        <f>IF(AV743="","",AV743&amp;"."&amp;COUNTIFS($A$3:A743,A743,$AV$3:AV743,AV743))</f>
        <v/>
      </c>
      <c r="AX743" s="129">
        <f t="shared" si="489"/>
        <v/>
      </c>
      <c r="AY743" s="129">
        <f>IF(N743="б/к",0,IF(OR(ISNUMBER(SEARCH("L=",Разбивка_по_щитам!P743)),N743="+",N743="="),1,0))</f>
      </c>
      <c r="AZ743" s="129">
        <f t="shared" si="490"/>
        <v/>
      </c>
      <c r="BA743" s="129">
        <f t="shared" si="491"/>
      </c>
      <c r="BB743" s="129">
        <f t="shared" si="492"/>
      </c>
      <c r="BD743" s="129">
        <f t="shared" si="493"/>
      </c>
      <c r="BE743" s="129">
        <f t="shared" si="494"/>
      </c>
      <c r="BF743" s="129">
        <f t="shared" si="495"/>
      </c>
      <c r="BG743" s="129">
        <f t="shared" si="496"/>
        <v/>
      </c>
      <c r="BH743" s="129">
        <f t="shared" si="497"/>
        <v/>
      </c>
      <c r="BI743" s="129">
        <f t="shared" si="498"/>
        <v/>
      </c>
      <c r="BJ743" s="129">
        <f t="shared" si="499"/>
        <v/>
      </c>
      <c r="BK743" s="129">
        <f>IF(R743="","",IF(OR(BY743="",BY743=0),"BOX",IFERROR(IF(VLOOKUP(BY743,УГО_блоки,3,FALSE)&amp;""&lt;&gt;"",VLOOKUP(BY743,УГО_блоки,3,FALSE),VLOOKUP(BY743,УГО_блоки,2,FALSE)),BY743)))</f>
      </c>
      <c r="BL743" s="129">
        <f t="shared" si="501"/>
      </c>
      <c r="BM743" s="129">
        <f>IF(H743="","",IF(COUNTIF($H$3:H743,H743)=1,MAX($BM$2:BM742)+1,""))</f>
      </c>
      <c r="BN743" s="129">
        <f>IF(I743="","",IF(COUNTIF($I$3:I743,I743)+COUNTIF($J$2:J742,I743)+COUNTIF($K$2:K742,I743)=1,MAX($BN$2:BP742)+1,""))</f>
      </c>
      <c r="BO743" s="129">
        <f>IF(J743="","",IF(COUNTIF($I$3:I743,J743)+COUNTIF($J$3:J743,J743)+COUNTIF($K$2:K742,J743)=1,MAX($BN$2:BP742,BN743)+1,""))</f>
      </c>
      <c r="BP743" s="129">
        <f>IF(K743="","",IF(COUNTIF($I$3:I743,K743)+COUNTIF($J$3:J743,K743)+COUNTIF($K$3:K743,K743)=1,MAX($BN$2:BP742,BN743,BO743)+1,""))</f>
      </c>
      <c r="BQ743" s="129">
        <f>IF(AY743=1,IFERROR(MID(Q743,FIND(" (",Q743)+2,FIND(")",Q743,FIND(" (",Q743))-FIND(" (",Q743)-2),"?"),"")</f>
      </c>
      <c r="BR743" s="129">
        <f>IF(BQ743="","",IF(COUNTIF($BQ$3:BQ743,BQ743)=1,MAX($BR$2:BR742)+1,""))</f>
      </c>
      <c r="BS743" s="129">
        <f>IF(AW743="","",COUNTIF($AW$3:AW743,"?*"))</f>
      </c>
      <c r="BT743" s="129">
        <f>IF(OR(AW743="",AI743=""),"",IF(COUNTIFS($AW$3:AW743,"?*",$AI$3:AI743,AI743)=1,MAX($BT$2:BT742)+1,""))</f>
      </c>
      <c r="BU743" s="129">
        <f>IF(AE743="",0,IF(OR(ISNUMBER(SEARCH("дубль",AE743)),ISNUMBER(SEARCH("ПЕРЕГРУЗ",AE743)),ISNUMBER(SEARCH("ЗАЩИЩ",AE743)),ISNUMBER(SEARCH("КАНАЛ",AE743)),ISNUMBER(SEARCH("без 30",AE743))),2,1))</f>
      </c>
      <c r="BV743" s="129">
        <f>IF(R743="","",COUNTIF($R$3:R743,"?*"))</f>
      </c>
      <c r="BW743" s="129">
        <f>IF(AY743&lt;&gt;1,0,IF(MAX(IFERROR(--VLOOKUP(R743,УГО_спр,5,FALSE),0),IFERROR(--VLOOKUP(AL743,УГО_спр,5,FALSE),0),IFERROR(--VLOOKUP(LEFT(AL743,2),УГО_спр,5,FALSE),0))&gt;0,MAX(IFERROR(--VLOOKUP(R743,УГО_спр,5,FALSE),0),IFERROR(--VLOOKUP(AL743,УГО_спр,5,FALSE),0),IFERROR(--VLOOKUP(LEFT(AL743,2),УГО_спр,5,FALSE),0)),IF(IFERROR(--LEFT(SUBSTITUTE(BQ743,"x","х"),FIND("х",SUBSTITUTE(BQ743,"x","х"))-1),3)&gt;3,Каталог!$S$9,1)))</f>
      </c>
      <c r="BX743" s="129">
        <f>IF(AY743&lt;&gt;1,0,MAX(0,IFERROR(--LEFT(SUBSTITUTE(BQ743,"x","х"),FIND("х",SUBSTITUTE(BQ743,"x","х"))-1),3)-3*BW743))</f>
      </c>
      <c r="BY743" s="129">
        <f>IF(R743="","",IFERROR(VLOOKUP(R743,УГО_спр,2,FALSE),IFERROR(VLOOKUP(AL743,УГО_спр,2,FALSE),IFERROR(VLOOKUP(LEFT(AL743,2),УГО_спр,2,FALSE),""))))</f>
      </c>
    </row>
    <row r="744" spans="1:64" x14ac:dyDescent="0.3">
      <c r="A744" s="135">
        <f>IF(Разбивка_по_щитам!F744=0,"",Разбивка_по_щитам!F744)</f>
        <v/>
      </c>
      <c r="B744" s="138">
        <f>IF(A744="","",Разбивка_по_щитам!C744)</f>
        <v/>
      </c>
      <c r="C744" s="138">
        <f t="shared" si="462"/>
        <v/>
      </c>
      <c r="D744" s="266"/>
      <c r="E744" s="266"/>
      <c r="F744" s="267"/>
      <c r="G744" s="145">
        <f t="shared" si="463"/>
        <v/>
      </c>
      <c r="H744" s="145">
        <f t="shared" si="464"/>
        <v/>
      </c>
      <c r="I744" s="266"/>
      <c r="J744" s="267"/>
      <c r="K744" s="267"/>
      <c r="L744" s="266"/>
      <c r="M744" s="147">
        <f t="shared" si="465"/>
        <v/>
      </c>
      <c r="N744" s="267"/>
      <c r="O744" s="147">
        <f t="shared" si="466"/>
        <v/>
      </c>
      <c r="P744" s="268">
        <f>IF(AY744=1,"XT"&amp;COUNTIFS($A$3:A744,A744,$AY$3:AY744,1),"")</f>
        <v/>
      </c>
      <c r="Q744" s="152">
        <f>IF(R744="","",IFERROR(SUBSTITUTE(Разбивка_по_щитам!P744,CHAR(10)," "),""))</f>
        <v/>
      </c>
      <c r="R744" s="153">
        <f>IF(OR(Разбивка_по_щитам!H744="",Разбивка_по_щитам!H744=0),"",Разбивка_по_щитам!H744)</f>
        <v/>
      </c>
      <c r="S744" s="154">
        <f>IF(R744="","",IFERROR(Разбивка_по_щитам!J744&amp;"",""))</f>
        <v/>
      </c>
      <c r="T744" s="155">
        <f>IF(R744="","",IFERROR(--Разбивка_по_щитам!L744,""))</f>
        <v/>
      </c>
      <c r="U744" s="155">
        <f>IF(R744="","",IFERROR(--Разбивка_по_щитам!K744,""))</f>
        <v/>
      </c>
      <c r="V744" s="138">
        <f>IF(R744="","",IFERROR(IF(Разбивка_по_щитам!M744=0,"",Разбивка_по_щитам!M744),""))</f>
        <v/>
      </c>
      <c r="W744" s="156">
        <f t="shared" si="467"/>
        <v/>
      </c>
      <c r="X744" s="157">
        <f t="shared" si="468"/>
        <v/>
      </c>
      <c r="Y744" s="266"/>
      <c r="Z744" s="158">
        <f t="shared" si="469"/>
        <v/>
      </c>
      <c r="AA744" s="160">
        <f t="shared" si="470"/>
        <v/>
      </c>
      <c r="AB744" s="160">
        <f>IF(R744="","",IFERROR(LOOKUP(INDEX(Справочная!$I$4:$I$19,MATCH(VLOOKUP(R744,Исходные_данные,22,FALSE),Справочная!$J$4:$J$19,0)+1),{6,10,16,20,25,32,40,50,63,80,100,125}),""))</f>
        <v/>
      </c>
      <c r="AC744" s="160">
        <f t="shared" si="471"/>
        <v/>
      </c>
      <c r="AD744" s="161">
        <f t="shared" si="472"/>
        <v/>
      </c>
      <c r="AE744" s="161">
        <f>IF(AND(R744="",G744=""),"",_xlfn.TEXTJOIN("; ",TRUE,IF(AND(R744&lt;&gt;"",V744=""),"нет фазы",""),IF(AND(R744&lt;&gt;"",N(T744)=0),"нет мощности",""),IF(AND(P744&lt;&gt;"",COUNTIFS($A$3:$A$1000,A744,$P$3:$P$1000,P744)&gt;1),"дубль клеммы "&amp;P744,""),IF(AND(W744&lt;&gt;"",W744&lt;&gt;"ok"),W744,""),IF(X744&lt;&gt;"",X744,""),IF(AND(ISNUMBER(SEARCH("(5х",Q744)),N(AK744)=1),"5 жил на 1 фазе",""),IF(AND(AL744="R",E744&lt;&gt;"",N(AS744)=0),"розетка без 30 мА",""),IF(IFERROR(_xlfn.NUMBERVALUE(MID(Q744,FIND("-",Q744,FIND("L=",Q744))+1,FIND("%",Q744)-FIND("-",Q744,FIND("L=",Q744))-1),","),0)&gt;4,"потери &gt; 4 %","")))</f>
      </c>
      <c r="AF744" s="129">
        <f>IF(E744&lt;&gt;"",COUNTIFS($A$3:A744,A744,$E$3:E744,"?*"),IF(OR(A744&lt;&gt;A743,Y744="вручную"),"",AF743))</f>
        <v/>
      </c>
      <c r="AG744" s="129">
        <f t="shared" si="473"/>
        <v/>
      </c>
      <c r="AH744" s="129">
        <f t="shared" si="474"/>
        <v/>
      </c>
      <c r="AI744" s="129">
        <f t="shared" si="475"/>
        <v/>
      </c>
      <c r="AJ744" s="129">
        <f t="shared" si="476"/>
        <v/>
      </c>
      <c r="AK744" s="129">
        <f t="shared" si="477"/>
        <v/>
      </c>
      <c r="AL744" s="129">
        <f t="shared" si="478"/>
        <v/>
      </c>
      <c r="AM744" s="129">
        <f t="shared" si="479"/>
      </c>
      <c r="AN744" s="129">
        <f t="shared" si="480"/>
      </c>
      <c r="AO744" s="129">
        <f t="shared" si="481"/>
        <v/>
      </c>
      <c r="AP744" s="129">
        <f t="shared" si="482"/>
        <v/>
      </c>
      <c r="AQ744" s="129">
        <f t="shared" si="483"/>
        <v/>
      </c>
      <c r="AR744" s="129">
        <f t="shared" si="484"/>
        <v/>
      </c>
      <c r="AS744" s="129">
        <f t="shared" si="485"/>
        <v/>
      </c>
      <c r="AT744" s="129">
        <f t="shared" si="486"/>
        <v/>
      </c>
      <c r="AU744" s="129">
        <f t="shared" si="487"/>
        <v/>
      </c>
      <c r="AV744" s="129">
        <f t="shared" si="488"/>
        <v/>
      </c>
      <c r="AW744" s="129">
        <f>IF(AV744="","",AV744&amp;"."&amp;COUNTIFS($A$3:A744,A744,$AV$3:AV744,AV744))</f>
        <v/>
      </c>
      <c r="AX744" s="129">
        <f t="shared" si="489"/>
        <v/>
      </c>
      <c r="AY744" s="129">
        <f>IF(N744="б/к",0,IF(OR(ISNUMBER(SEARCH("L=",Разбивка_по_щитам!P744)),N744="+",N744="="),1,0))</f>
      </c>
      <c r="AZ744" s="129">
        <f t="shared" si="490"/>
        <v/>
      </c>
      <c r="BA744" s="129">
        <f t="shared" si="491"/>
      </c>
      <c r="BB744" s="129">
        <f t="shared" si="492"/>
      </c>
      <c r="BD744" s="129">
        <f t="shared" si="493"/>
      </c>
      <c r="BE744" s="129">
        <f t="shared" si="494"/>
      </c>
      <c r="BF744" s="129">
        <f t="shared" si="495"/>
      </c>
      <c r="BG744" s="129">
        <f t="shared" si="496"/>
        <v/>
      </c>
      <c r="BH744" s="129">
        <f t="shared" si="497"/>
        <v/>
      </c>
      <c r="BI744" s="129">
        <f t="shared" si="498"/>
        <v/>
      </c>
      <c r="BJ744" s="129">
        <f t="shared" si="499"/>
        <v/>
      </c>
      <c r="BK744" s="129">
        <f>IF(R744="","",IF(OR(BY744="",BY744=0),"BOX",IFERROR(IF(VLOOKUP(BY744,УГО_блоки,3,FALSE)&amp;""&lt;&gt;"",VLOOKUP(BY744,УГО_блоки,3,FALSE),VLOOKUP(BY744,УГО_блоки,2,FALSE)),BY744)))</f>
      </c>
      <c r="BL744" s="129">
        <f t="shared" si="501"/>
      </c>
      <c r="BM744" s="129">
        <f>IF(H744="","",IF(COUNTIF($H$3:H744,H744)=1,MAX($BM$2:BM743)+1,""))</f>
      </c>
      <c r="BN744" s="129">
        <f>IF(I744="","",IF(COUNTIF($I$3:I744,I744)+COUNTIF($J$2:J743,I744)+COUNTIF($K$2:K743,I744)=1,MAX($BN$2:BP743)+1,""))</f>
      </c>
      <c r="BO744" s="129">
        <f>IF(J744="","",IF(COUNTIF($I$3:I744,J744)+COUNTIF($J$3:J744,J744)+COUNTIF($K$2:K743,J744)=1,MAX($BN$2:BP743,BN744)+1,""))</f>
      </c>
      <c r="BP744" s="129">
        <f>IF(K744="","",IF(COUNTIF($I$3:I744,K744)+COUNTIF($J$3:J744,K744)+COUNTIF($K$3:K744,K744)=1,MAX($BN$2:BP743,BN744,BO744)+1,""))</f>
      </c>
      <c r="BQ744" s="129">
        <f>IF(AY744=1,IFERROR(MID(Q744,FIND(" (",Q744)+2,FIND(")",Q744,FIND(" (",Q744))-FIND(" (",Q744)-2),"?"),"")</f>
      </c>
      <c r="BR744" s="129">
        <f>IF(BQ744="","",IF(COUNTIF($BQ$3:BQ744,BQ744)=1,MAX($BR$2:BR743)+1,""))</f>
      </c>
      <c r="BS744" s="129">
        <f>IF(AW744="","",COUNTIF($AW$3:AW744,"?*"))</f>
      </c>
      <c r="BT744" s="129">
        <f>IF(OR(AW744="",AI744=""),"",IF(COUNTIFS($AW$3:AW744,"?*",$AI$3:AI744,AI744)=1,MAX($BT$2:BT743)+1,""))</f>
      </c>
      <c r="BU744" s="129">
        <f>IF(AE744="",0,IF(OR(ISNUMBER(SEARCH("дубль",AE744)),ISNUMBER(SEARCH("ПЕРЕГРУЗ",AE744)),ISNUMBER(SEARCH("ЗАЩИЩ",AE744)),ISNUMBER(SEARCH("КАНАЛ",AE744)),ISNUMBER(SEARCH("без 30",AE744))),2,1))</f>
      </c>
      <c r="BV744" s="129">
        <f>IF(R744="","",COUNTIF($R$3:R744,"?*"))</f>
      </c>
      <c r="BW744" s="129">
        <f>IF(AY744&lt;&gt;1,0,IF(MAX(IFERROR(--VLOOKUP(R744,УГО_спр,5,FALSE),0),IFERROR(--VLOOKUP(AL744,УГО_спр,5,FALSE),0),IFERROR(--VLOOKUP(LEFT(AL744,2),УГО_спр,5,FALSE),0))&gt;0,MAX(IFERROR(--VLOOKUP(R744,УГО_спр,5,FALSE),0),IFERROR(--VLOOKUP(AL744,УГО_спр,5,FALSE),0),IFERROR(--VLOOKUP(LEFT(AL744,2),УГО_спр,5,FALSE),0)),IF(IFERROR(--LEFT(SUBSTITUTE(BQ744,"x","х"),FIND("х",SUBSTITUTE(BQ744,"x","х"))-1),3)&gt;3,Каталог!$S$9,1)))</f>
      </c>
      <c r="BX744" s="129">
        <f>IF(AY744&lt;&gt;1,0,MAX(0,IFERROR(--LEFT(SUBSTITUTE(BQ744,"x","х"),FIND("х",SUBSTITUTE(BQ744,"x","х"))-1),3)-3*BW744))</f>
      </c>
      <c r="BY744" s="129">
        <f>IF(R744="","",IFERROR(VLOOKUP(R744,УГО_спр,2,FALSE),IFERROR(VLOOKUP(AL744,УГО_спр,2,FALSE),IFERROR(VLOOKUP(LEFT(AL744,2),УГО_спр,2,FALSE),""))))</f>
      </c>
    </row>
    <row r="745" spans="1:64" x14ac:dyDescent="0.3">
      <c r="A745" s="135">
        <f>IF(Разбивка_по_щитам!F745=0,"",Разбивка_по_щитам!F745)</f>
        <v/>
      </c>
      <c r="B745" s="138">
        <f>IF(A745="","",Разбивка_по_щитам!C745)</f>
        <v/>
      </c>
      <c r="C745" s="138">
        <f t="shared" si="462"/>
        <v/>
      </c>
      <c r="D745" s="266"/>
      <c r="E745" s="266"/>
      <c r="F745" s="267"/>
      <c r="G745" s="145">
        <f t="shared" si="463"/>
        <v/>
      </c>
      <c r="H745" s="145">
        <f t="shared" si="464"/>
        <v/>
      </c>
      <c r="I745" s="266"/>
      <c r="J745" s="267"/>
      <c r="K745" s="267"/>
      <c r="L745" s="266"/>
      <c r="M745" s="147">
        <f t="shared" si="465"/>
        <v/>
      </c>
      <c r="N745" s="267"/>
      <c r="O745" s="147">
        <f t="shared" si="466"/>
        <v/>
      </c>
      <c r="P745" s="268">
        <f>IF(AY745=1,"XT"&amp;COUNTIFS($A$3:A745,A745,$AY$3:AY745,1),"")</f>
        <v/>
      </c>
      <c r="Q745" s="152">
        <f>IF(R745="","",IFERROR(SUBSTITUTE(Разбивка_по_щитам!P745,CHAR(10)," "),""))</f>
        <v/>
      </c>
      <c r="R745" s="153">
        <f>IF(OR(Разбивка_по_щитам!H745="",Разбивка_по_щитам!H745=0),"",Разбивка_по_щитам!H745)</f>
        <v/>
      </c>
      <c r="S745" s="154">
        <f>IF(R745="","",IFERROR(Разбивка_по_щитам!J745&amp;"",""))</f>
        <v/>
      </c>
      <c r="T745" s="155">
        <f>IF(R745="","",IFERROR(--Разбивка_по_щитам!L745,""))</f>
        <v/>
      </c>
      <c r="U745" s="155">
        <f>IF(R745="","",IFERROR(--Разбивка_по_щитам!K745,""))</f>
        <v/>
      </c>
      <c r="V745" s="138">
        <f>IF(R745="","",IFERROR(IF(Разбивка_по_щитам!M745=0,"",Разбивка_по_щитам!M745),""))</f>
        <v/>
      </c>
      <c r="W745" s="156">
        <f t="shared" si="467"/>
        <v/>
      </c>
      <c r="X745" s="157">
        <f t="shared" si="468"/>
        <v/>
      </c>
      <c r="Y745" s="266"/>
      <c r="Z745" s="158">
        <f t="shared" si="469"/>
        <v/>
      </c>
      <c r="AA745" s="160">
        <f t="shared" si="470"/>
        <v/>
      </c>
      <c r="AB745" s="160">
        <f>IF(R745="","",IFERROR(LOOKUP(INDEX(Справочная!$I$4:$I$19,MATCH(VLOOKUP(R745,Исходные_данные,22,FALSE),Справочная!$J$4:$J$19,0)+1),{6,10,16,20,25,32,40,50,63,80,100,125}),""))</f>
        <v/>
      </c>
      <c r="AC745" s="160">
        <f t="shared" si="471"/>
        <v/>
      </c>
      <c r="AD745" s="161">
        <f t="shared" si="472"/>
        <v/>
      </c>
      <c r="AE745" s="161">
        <f>IF(AND(R745="",G745=""),"",_xlfn.TEXTJOIN("; ",TRUE,IF(AND(R745&lt;&gt;"",V745=""),"нет фазы",""),IF(AND(R745&lt;&gt;"",N(T745)=0),"нет мощности",""),IF(AND(P745&lt;&gt;"",COUNTIFS($A$3:$A$1000,A745,$P$3:$P$1000,P745)&gt;1),"дубль клеммы "&amp;P745,""),IF(AND(W745&lt;&gt;"",W745&lt;&gt;"ok"),W745,""),IF(X745&lt;&gt;"",X745,""),IF(AND(ISNUMBER(SEARCH("(5х",Q745)),N(AK745)=1),"5 жил на 1 фазе",""),IF(AND(AL745="R",E745&lt;&gt;"",N(AS745)=0),"розетка без 30 мА",""),IF(IFERROR(_xlfn.NUMBERVALUE(MID(Q745,FIND("-",Q745,FIND("L=",Q745))+1,FIND("%",Q745)-FIND("-",Q745,FIND("L=",Q745))-1),","),0)&gt;4,"потери &gt; 4 %","")))</f>
      </c>
      <c r="AF745" s="129">
        <f>IF(E745&lt;&gt;"",COUNTIFS($A$3:A745,A745,$E$3:E745,"?*"),IF(OR(A745&lt;&gt;A744,Y745="вручную"),"",AF744))</f>
        <v/>
      </c>
      <c r="AG745" s="129">
        <f t="shared" si="473"/>
        <v/>
      </c>
      <c r="AH745" s="129">
        <f t="shared" si="474"/>
        <v/>
      </c>
      <c r="AI745" s="129">
        <f t="shared" si="475"/>
        <v/>
      </c>
      <c r="AJ745" s="129">
        <f t="shared" si="476"/>
        <v/>
      </c>
      <c r="AK745" s="129">
        <f t="shared" si="477"/>
        <v/>
      </c>
      <c r="AL745" s="129">
        <f t="shared" si="478"/>
        <v/>
      </c>
      <c r="AM745" s="129">
        <f t="shared" si="479"/>
      </c>
      <c r="AN745" s="129">
        <f t="shared" si="480"/>
      </c>
      <c r="AO745" s="129">
        <f t="shared" si="481"/>
        <v/>
      </c>
      <c r="AP745" s="129">
        <f t="shared" si="482"/>
        <v/>
      </c>
      <c r="AQ745" s="129">
        <f t="shared" si="483"/>
        <v/>
      </c>
      <c r="AR745" s="129">
        <f t="shared" si="484"/>
        <v/>
      </c>
      <c r="AS745" s="129">
        <f t="shared" si="485"/>
        <v/>
      </c>
      <c r="AT745" s="129">
        <f t="shared" si="486"/>
        <v/>
      </c>
      <c r="AU745" s="129">
        <f t="shared" si="487"/>
        <v/>
      </c>
      <c r="AV745" s="129">
        <f t="shared" si="488"/>
        <v/>
      </c>
      <c r="AW745" s="129">
        <f>IF(AV745="","",AV745&amp;"."&amp;COUNTIFS($A$3:A745,A745,$AV$3:AV745,AV745))</f>
        <v/>
      </c>
      <c r="AX745" s="129">
        <f t="shared" si="489"/>
        <v/>
      </c>
      <c r="AY745" s="129">
        <f>IF(N745="б/к",0,IF(OR(ISNUMBER(SEARCH("L=",Разбивка_по_щитам!P745)),N745="+",N745="="),1,0))</f>
      </c>
      <c r="AZ745" s="129">
        <f t="shared" si="490"/>
        <v/>
      </c>
      <c r="BA745" s="129">
        <f t="shared" si="491"/>
      </c>
      <c r="BB745" s="129">
        <f t="shared" si="492"/>
      </c>
      <c r="BD745" s="129">
        <f t="shared" si="493"/>
      </c>
      <c r="BE745" s="129">
        <f t="shared" si="494"/>
      </c>
      <c r="BF745" s="129">
        <f t="shared" si="495"/>
      </c>
      <c r="BG745" s="129">
        <f t="shared" si="496"/>
        <v/>
      </c>
      <c r="BH745" s="129">
        <f t="shared" si="497"/>
        <v/>
      </c>
      <c r="BI745" s="129">
        <f t="shared" si="498"/>
        <v/>
      </c>
      <c r="BJ745" s="129">
        <f t="shared" si="499"/>
        <v/>
      </c>
      <c r="BK745" s="129">
        <f>IF(R745="","",IF(OR(BY745="",BY745=0),"BOX",IFERROR(IF(VLOOKUP(BY745,УГО_блоки,3,FALSE)&amp;""&lt;&gt;"",VLOOKUP(BY745,УГО_блоки,3,FALSE),VLOOKUP(BY745,УГО_блоки,2,FALSE)),BY745)))</f>
      </c>
      <c r="BL745" s="129">
        <f t="shared" si="501"/>
      </c>
      <c r="BM745" s="129">
        <f>IF(H745="","",IF(COUNTIF($H$3:H745,H745)=1,MAX($BM$2:BM744)+1,""))</f>
      </c>
      <c r="BN745" s="129">
        <f>IF(I745="","",IF(COUNTIF($I$3:I745,I745)+COUNTIF($J$2:J744,I745)+COUNTIF($K$2:K744,I745)=1,MAX($BN$2:BP744)+1,""))</f>
      </c>
      <c r="BO745" s="129">
        <f>IF(J745="","",IF(COUNTIF($I$3:I745,J745)+COUNTIF($J$3:J745,J745)+COUNTIF($K$2:K744,J745)=1,MAX($BN$2:BP744,BN745)+1,""))</f>
      </c>
      <c r="BP745" s="129">
        <f>IF(K745="","",IF(COUNTIF($I$3:I745,K745)+COUNTIF($J$3:J745,K745)+COUNTIF($K$3:K745,K745)=1,MAX($BN$2:BP744,BN745,BO745)+1,""))</f>
      </c>
      <c r="BQ745" s="129">
        <f>IF(AY745=1,IFERROR(MID(Q745,FIND(" (",Q745)+2,FIND(")",Q745,FIND(" (",Q745))-FIND(" (",Q745)-2),"?"),"")</f>
      </c>
      <c r="BR745" s="129">
        <f>IF(BQ745="","",IF(COUNTIF($BQ$3:BQ745,BQ745)=1,MAX($BR$2:BR744)+1,""))</f>
      </c>
      <c r="BS745" s="129">
        <f>IF(AW745="","",COUNTIF($AW$3:AW745,"?*"))</f>
      </c>
      <c r="BT745" s="129">
        <f>IF(OR(AW745="",AI745=""),"",IF(COUNTIFS($AW$3:AW745,"?*",$AI$3:AI745,AI745)=1,MAX($BT$2:BT744)+1,""))</f>
      </c>
      <c r="BU745" s="129">
        <f>IF(AE745="",0,IF(OR(ISNUMBER(SEARCH("дубль",AE745)),ISNUMBER(SEARCH("ПЕРЕГРУЗ",AE745)),ISNUMBER(SEARCH("ЗАЩИЩ",AE745)),ISNUMBER(SEARCH("КАНАЛ",AE745)),ISNUMBER(SEARCH("без 30",AE745))),2,1))</f>
      </c>
      <c r="BV745" s="129">
        <f>IF(R745="","",COUNTIF($R$3:R745,"?*"))</f>
      </c>
      <c r="BW745" s="129">
        <f>IF(AY745&lt;&gt;1,0,IF(MAX(IFERROR(--VLOOKUP(R745,УГО_спр,5,FALSE),0),IFERROR(--VLOOKUP(AL745,УГО_спр,5,FALSE),0),IFERROR(--VLOOKUP(LEFT(AL745,2),УГО_спр,5,FALSE),0))&gt;0,MAX(IFERROR(--VLOOKUP(R745,УГО_спр,5,FALSE),0),IFERROR(--VLOOKUP(AL745,УГО_спр,5,FALSE),0),IFERROR(--VLOOKUP(LEFT(AL745,2),УГО_спр,5,FALSE),0)),IF(IFERROR(--LEFT(SUBSTITUTE(BQ745,"x","х"),FIND("х",SUBSTITUTE(BQ745,"x","х"))-1),3)&gt;3,Каталог!$S$9,1)))</f>
      </c>
      <c r="BX745" s="129">
        <f>IF(AY745&lt;&gt;1,0,MAX(0,IFERROR(--LEFT(SUBSTITUTE(BQ745,"x","х"),FIND("х",SUBSTITUTE(BQ745,"x","х"))-1),3)-3*BW745))</f>
      </c>
      <c r="BY745" s="129">
        <f>IF(R745="","",IFERROR(VLOOKUP(R745,УГО_спр,2,FALSE),IFERROR(VLOOKUP(AL745,УГО_спр,2,FALSE),IFERROR(VLOOKUP(LEFT(AL745,2),УГО_спр,2,FALSE),""))))</f>
      </c>
    </row>
    <row r="746" spans="1:64" x14ac:dyDescent="0.3">
      <c r="A746" s="135">
        <f>IF(Разбивка_по_щитам!F746=0,"",Разбивка_по_щитам!F746)</f>
        <v/>
      </c>
      <c r="B746" s="138">
        <f>IF(A746="","",Разбивка_по_щитам!C746)</f>
        <v/>
      </c>
      <c r="C746" s="138">
        <f t="shared" si="462"/>
        <v/>
      </c>
      <c r="D746" s="266"/>
      <c r="E746" s="266"/>
      <c r="F746" s="267"/>
      <c r="G746" s="145">
        <f t="shared" si="463"/>
        <v/>
      </c>
      <c r="H746" s="145">
        <f t="shared" si="464"/>
        <v/>
      </c>
      <c r="I746" s="266"/>
      <c r="J746" s="267"/>
      <c r="K746" s="267"/>
      <c r="L746" s="266"/>
      <c r="M746" s="147">
        <f t="shared" si="465"/>
        <v/>
      </c>
      <c r="N746" s="267"/>
      <c r="O746" s="147">
        <f t="shared" si="466"/>
        <v/>
      </c>
      <c r="P746" s="268">
        <f>IF(AY746=1,"XT"&amp;COUNTIFS($A$3:A746,A746,$AY$3:AY746,1),"")</f>
        <v/>
      </c>
      <c r="Q746" s="152">
        <f>IF(R746="","",IFERROR(SUBSTITUTE(Разбивка_по_щитам!P746,CHAR(10)," "),""))</f>
        <v/>
      </c>
      <c r="R746" s="153">
        <f>IF(OR(Разбивка_по_щитам!H746="",Разбивка_по_щитам!H746=0),"",Разбивка_по_щитам!H746)</f>
        <v/>
      </c>
      <c r="S746" s="154">
        <f>IF(R746="","",IFERROR(Разбивка_по_щитам!J746&amp;"",""))</f>
        <v/>
      </c>
      <c r="T746" s="155">
        <f>IF(R746="","",IFERROR(--Разбивка_по_щитам!L746,""))</f>
        <v/>
      </c>
      <c r="U746" s="155">
        <f>IF(R746="","",IFERROR(--Разбивка_по_щитам!K746,""))</f>
        <v/>
      </c>
      <c r="V746" s="138">
        <f>IF(R746="","",IFERROR(IF(Разбивка_по_щитам!M746=0,"",Разбивка_по_щитам!M746),""))</f>
        <v/>
      </c>
      <c r="W746" s="156">
        <f t="shared" si="467"/>
        <v/>
      </c>
      <c r="X746" s="157">
        <f t="shared" si="468"/>
        <v/>
      </c>
      <c r="Y746" s="266"/>
      <c r="Z746" s="158">
        <f t="shared" si="469"/>
        <v/>
      </c>
      <c r="AA746" s="160">
        <f t="shared" si="470"/>
        <v/>
      </c>
      <c r="AB746" s="160">
        <f>IF(R746="","",IFERROR(LOOKUP(INDEX(Справочная!$I$4:$I$19,MATCH(VLOOKUP(R746,Исходные_данные,22,FALSE),Справочная!$J$4:$J$19,0)+1),{6,10,16,20,25,32,40,50,63,80,100,125}),""))</f>
        <v/>
      </c>
      <c r="AC746" s="160">
        <f t="shared" si="471"/>
        <v/>
      </c>
      <c r="AD746" s="161">
        <f t="shared" si="472"/>
        <v/>
      </c>
      <c r="AE746" s="161">
        <f>IF(AND(R746="",G746=""),"",_xlfn.TEXTJOIN("; ",TRUE,IF(AND(R746&lt;&gt;"",V746=""),"нет фазы",""),IF(AND(R746&lt;&gt;"",N(T746)=0),"нет мощности",""),IF(AND(P746&lt;&gt;"",COUNTIFS($A$3:$A$1000,A746,$P$3:$P$1000,P746)&gt;1),"дубль клеммы "&amp;P746,""),IF(AND(W746&lt;&gt;"",W746&lt;&gt;"ok"),W746,""),IF(X746&lt;&gt;"",X746,""),IF(AND(ISNUMBER(SEARCH("(5х",Q746)),N(AK746)=1),"5 жил на 1 фазе",""),IF(AND(AL746="R",E746&lt;&gt;"",N(AS746)=0),"розетка без 30 мА",""),IF(IFERROR(_xlfn.NUMBERVALUE(MID(Q746,FIND("-",Q746,FIND("L=",Q746))+1,FIND("%",Q746)-FIND("-",Q746,FIND("L=",Q746))-1),","),0)&gt;4,"потери &gt; 4 %","")))</f>
      </c>
      <c r="AF746" s="129">
        <f>IF(E746&lt;&gt;"",COUNTIFS($A$3:A746,A746,$E$3:E746,"?*"),IF(OR(A746&lt;&gt;A745,Y746="вручную"),"",AF745))</f>
        <v/>
      </c>
      <c r="AG746" s="129">
        <f t="shared" si="473"/>
        <v/>
      </c>
      <c r="AH746" s="129">
        <f t="shared" si="474"/>
        <v/>
      </c>
      <c r="AI746" s="129">
        <f t="shared" si="475"/>
        <v/>
      </c>
      <c r="AJ746" s="129">
        <f t="shared" si="476"/>
        <v/>
      </c>
      <c r="AK746" s="129">
        <f t="shared" si="477"/>
        <v/>
      </c>
      <c r="AL746" s="129">
        <f t="shared" si="478"/>
        <v/>
      </c>
      <c r="AM746" s="129">
        <f t="shared" si="479"/>
      </c>
      <c r="AN746" s="129">
        <f t="shared" si="480"/>
      </c>
      <c r="AO746" s="129">
        <f t="shared" si="481"/>
        <v/>
      </c>
      <c r="AP746" s="129">
        <f t="shared" si="482"/>
        <v/>
      </c>
      <c r="AQ746" s="129">
        <f t="shared" si="483"/>
        <v/>
      </c>
      <c r="AR746" s="129">
        <f t="shared" si="484"/>
        <v/>
      </c>
      <c r="AS746" s="129">
        <f t="shared" si="485"/>
        <v/>
      </c>
      <c r="AT746" s="129">
        <f t="shared" si="486"/>
        <v/>
      </c>
      <c r="AU746" s="129">
        <f t="shared" si="487"/>
        <v/>
      </c>
      <c r="AV746" s="129">
        <f t="shared" si="488"/>
        <v/>
      </c>
      <c r="AW746" s="129">
        <f>IF(AV746="","",AV746&amp;"."&amp;COUNTIFS($A$3:A746,A746,$AV$3:AV746,AV746))</f>
        <v/>
      </c>
      <c r="AX746" s="129">
        <f t="shared" si="489"/>
        <v/>
      </c>
      <c r="AY746" s="129">
        <f>IF(N746="б/к",0,IF(OR(ISNUMBER(SEARCH("L=",Разбивка_по_щитам!P746)),N746="+",N746="="),1,0))</f>
      </c>
      <c r="AZ746" s="129">
        <f t="shared" si="490"/>
        <v/>
      </c>
      <c r="BA746" s="129">
        <f t="shared" si="491"/>
      </c>
      <c r="BB746" s="129">
        <f t="shared" si="492"/>
      </c>
      <c r="BD746" s="129">
        <f t="shared" si="493"/>
      </c>
      <c r="BE746" s="129">
        <f t="shared" si="494"/>
      </c>
      <c r="BF746" s="129">
        <f t="shared" si="495"/>
      </c>
      <c r="BG746" s="129">
        <f t="shared" si="496"/>
        <v/>
      </c>
      <c r="BH746" s="129">
        <f t="shared" si="497"/>
        <v/>
      </c>
      <c r="BI746" s="129">
        <f t="shared" si="498"/>
        <v/>
      </c>
      <c r="BJ746" s="129">
        <f t="shared" si="499"/>
        <v/>
      </c>
      <c r="BK746" s="129">
        <f>IF(R746="","",IF(OR(BY746="",BY746=0),"BOX",IFERROR(IF(VLOOKUP(BY746,УГО_блоки,3,FALSE)&amp;""&lt;&gt;"",VLOOKUP(BY746,УГО_блоки,3,FALSE),VLOOKUP(BY746,УГО_блоки,2,FALSE)),BY746)))</f>
      </c>
      <c r="BL746" s="129">
        <f t="shared" si="501"/>
      </c>
      <c r="BM746" s="129">
        <f>IF(H746="","",IF(COUNTIF($H$3:H746,H746)=1,MAX($BM$2:BM745)+1,""))</f>
      </c>
      <c r="BN746" s="129">
        <f>IF(I746="","",IF(COUNTIF($I$3:I746,I746)+COUNTIF($J$2:J745,I746)+COUNTIF($K$2:K745,I746)=1,MAX($BN$2:BP745)+1,""))</f>
      </c>
      <c r="BO746" s="129">
        <f>IF(J746="","",IF(COUNTIF($I$3:I746,J746)+COUNTIF($J$3:J746,J746)+COUNTIF($K$2:K745,J746)=1,MAX($BN$2:BP745,BN746)+1,""))</f>
      </c>
      <c r="BP746" s="129">
        <f>IF(K746="","",IF(COUNTIF($I$3:I746,K746)+COUNTIF($J$3:J746,K746)+COUNTIF($K$3:K746,K746)=1,MAX($BN$2:BP745,BN746,BO746)+1,""))</f>
      </c>
      <c r="BQ746" s="129">
        <f>IF(AY746=1,IFERROR(MID(Q746,FIND(" (",Q746)+2,FIND(")",Q746,FIND(" (",Q746))-FIND(" (",Q746)-2),"?"),"")</f>
      </c>
      <c r="BR746" s="129">
        <f>IF(BQ746="","",IF(COUNTIF($BQ$3:BQ746,BQ746)=1,MAX($BR$2:BR745)+1,""))</f>
      </c>
      <c r="BS746" s="129">
        <f>IF(AW746="","",COUNTIF($AW$3:AW746,"?*"))</f>
      </c>
      <c r="BT746" s="129">
        <f>IF(OR(AW746="",AI746=""),"",IF(COUNTIFS($AW$3:AW746,"?*",$AI$3:AI746,AI746)=1,MAX($BT$2:BT745)+1,""))</f>
      </c>
      <c r="BU746" s="129">
        <f>IF(AE746="",0,IF(OR(ISNUMBER(SEARCH("дубль",AE746)),ISNUMBER(SEARCH("ПЕРЕГРУЗ",AE746)),ISNUMBER(SEARCH("ЗАЩИЩ",AE746)),ISNUMBER(SEARCH("КАНАЛ",AE746)),ISNUMBER(SEARCH("без 30",AE746))),2,1))</f>
      </c>
      <c r="BV746" s="129">
        <f>IF(R746="","",COUNTIF($R$3:R746,"?*"))</f>
      </c>
      <c r="BW746" s="129">
        <f>IF(AY746&lt;&gt;1,0,IF(MAX(IFERROR(--VLOOKUP(R746,УГО_спр,5,FALSE),0),IFERROR(--VLOOKUP(AL746,УГО_спр,5,FALSE),0),IFERROR(--VLOOKUP(LEFT(AL746,2),УГО_спр,5,FALSE),0))&gt;0,MAX(IFERROR(--VLOOKUP(R746,УГО_спр,5,FALSE),0),IFERROR(--VLOOKUP(AL746,УГО_спр,5,FALSE),0),IFERROR(--VLOOKUP(LEFT(AL746,2),УГО_спр,5,FALSE),0)),IF(IFERROR(--LEFT(SUBSTITUTE(BQ746,"x","х"),FIND("х",SUBSTITUTE(BQ746,"x","х"))-1),3)&gt;3,Каталог!$S$9,1)))</f>
      </c>
      <c r="BX746" s="129">
        <f>IF(AY746&lt;&gt;1,0,MAX(0,IFERROR(--LEFT(SUBSTITUTE(BQ746,"x","х"),FIND("х",SUBSTITUTE(BQ746,"x","х"))-1),3)-3*BW746))</f>
      </c>
      <c r="BY746" s="129">
        <f>IF(R746="","",IFERROR(VLOOKUP(R746,УГО_спр,2,FALSE),IFERROR(VLOOKUP(AL746,УГО_спр,2,FALSE),IFERROR(VLOOKUP(LEFT(AL746,2),УГО_спр,2,FALSE),""))))</f>
      </c>
    </row>
    <row r="747" spans="1:64" x14ac:dyDescent="0.3">
      <c r="A747" s="135">
        <f>IF(Разбивка_по_щитам!F747=0,"",Разбивка_по_щитам!F747)</f>
        <v/>
      </c>
      <c r="B747" s="138">
        <f>IF(A747="","",Разбивка_по_щитам!C747)</f>
        <v/>
      </c>
      <c r="C747" s="138">
        <f t="shared" si="462"/>
        <v/>
      </c>
      <c r="D747" s="266"/>
      <c r="E747" s="266"/>
      <c r="F747" s="267"/>
      <c r="G747" s="145">
        <f t="shared" si="463"/>
        <v/>
      </c>
      <c r="H747" s="145">
        <f t="shared" si="464"/>
        <v/>
      </c>
      <c r="I747" s="266"/>
      <c r="J747" s="267"/>
      <c r="K747" s="267"/>
      <c r="L747" s="266"/>
      <c r="M747" s="147">
        <f t="shared" si="465"/>
        <v/>
      </c>
      <c r="N747" s="267"/>
      <c r="O747" s="147">
        <f t="shared" si="466"/>
        <v/>
      </c>
      <c r="P747" s="268">
        <f>IF(AY747=1,"XT"&amp;COUNTIFS($A$3:A747,A747,$AY$3:AY747,1),"")</f>
        <v/>
      </c>
      <c r="Q747" s="152">
        <f>IF(R747="","",IFERROR(SUBSTITUTE(Разбивка_по_щитам!P747,CHAR(10)," "),""))</f>
        <v/>
      </c>
      <c r="R747" s="153">
        <f>IF(OR(Разбивка_по_щитам!H747="",Разбивка_по_щитам!H747=0),"",Разбивка_по_щитам!H747)</f>
        <v/>
      </c>
      <c r="S747" s="154">
        <f>IF(R747="","",IFERROR(Разбивка_по_щитам!J747&amp;"",""))</f>
        <v/>
      </c>
      <c r="T747" s="155">
        <f>IF(R747="","",IFERROR(--Разбивка_по_щитам!L747,""))</f>
        <v/>
      </c>
      <c r="U747" s="155">
        <f>IF(R747="","",IFERROR(--Разбивка_по_щитам!K747,""))</f>
        <v/>
      </c>
      <c r="V747" s="138">
        <f>IF(R747="","",IFERROR(IF(Разбивка_по_щитам!M747=0,"",Разбивка_по_щитам!M747),""))</f>
        <v/>
      </c>
      <c r="W747" s="156">
        <f t="shared" si="467"/>
        <v/>
      </c>
      <c r="X747" s="157">
        <f t="shared" si="468"/>
        <v/>
      </c>
      <c r="Y747" s="266"/>
      <c r="Z747" s="158">
        <f t="shared" si="469"/>
        <v/>
      </c>
      <c r="AA747" s="160">
        <f t="shared" si="470"/>
        <v/>
      </c>
      <c r="AB747" s="160">
        <f>IF(R747="","",IFERROR(LOOKUP(INDEX(Справочная!$I$4:$I$19,MATCH(VLOOKUP(R747,Исходные_данные,22,FALSE),Справочная!$J$4:$J$19,0)+1),{6,10,16,20,25,32,40,50,63,80,100,125}),""))</f>
        <v/>
      </c>
      <c r="AC747" s="160">
        <f t="shared" si="471"/>
        <v/>
      </c>
      <c r="AD747" s="161">
        <f t="shared" si="472"/>
        <v/>
      </c>
      <c r="AE747" s="161">
        <f>IF(AND(R747="",G747=""),"",_xlfn.TEXTJOIN("; ",TRUE,IF(AND(R747&lt;&gt;"",V747=""),"нет фазы",""),IF(AND(R747&lt;&gt;"",N(T747)=0),"нет мощности",""),IF(AND(P747&lt;&gt;"",COUNTIFS($A$3:$A$1000,A747,$P$3:$P$1000,P747)&gt;1),"дубль клеммы "&amp;P747,""),IF(AND(W747&lt;&gt;"",W747&lt;&gt;"ok"),W747,""),IF(X747&lt;&gt;"",X747,""),IF(AND(ISNUMBER(SEARCH("(5х",Q747)),N(AK747)=1),"5 жил на 1 фазе",""),IF(AND(AL747="R",E747&lt;&gt;"",N(AS747)=0),"розетка без 30 мА",""),IF(IFERROR(_xlfn.NUMBERVALUE(MID(Q747,FIND("-",Q747,FIND("L=",Q747))+1,FIND("%",Q747)-FIND("-",Q747,FIND("L=",Q747))-1),","),0)&gt;4,"потери &gt; 4 %","")))</f>
      </c>
      <c r="AF747" s="129">
        <f>IF(E747&lt;&gt;"",COUNTIFS($A$3:A747,A747,$E$3:E747,"?*"),IF(OR(A747&lt;&gt;A746,Y747="вручную"),"",AF746))</f>
        <v/>
      </c>
      <c r="AG747" s="129">
        <f t="shared" si="473"/>
        <v/>
      </c>
      <c r="AH747" s="129">
        <f t="shared" si="474"/>
        <v/>
      </c>
      <c r="AI747" s="129">
        <f t="shared" si="475"/>
        <v/>
      </c>
      <c r="AJ747" s="129">
        <f t="shared" si="476"/>
        <v/>
      </c>
      <c r="AK747" s="129">
        <f t="shared" si="477"/>
        <v/>
      </c>
      <c r="AL747" s="129">
        <f t="shared" si="478"/>
        <v/>
      </c>
      <c r="AM747" s="129">
        <f t="shared" si="479"/>
      </c>
      <c r="AN747" s="129">
        <f t="shared" si="480"/>
      </c>
      <c r="AO747" s="129">
        <f t="shared" si="481"/>
        <v/>
      </c>
      <c r="AP747" s="129">
        <f t="shared" si="482"/>
        <v/>
      </c>
      <c r="AQ747" s="129">
        <f t="shared" si="483"/>
        <v/>
      </c>
      <c r="AR747" s="129">
        <f t="shared" si="484"/>
        <v/>
      </c>
      <c r="AS747" s="129">
        <f t="shared" si="485"/>
        <v/>
      </c>
      <c r="AT747" s="129">
        <f t="shared" si="486"/>
        <v/>
      </c>
      <c r="AU747" s="129">
        <f t="shared" si="487"/>
        <v/>
      </c>
      <c r="AV747" s="129">
        <f t="shared" si="488"/>
        <v/>
      </c>
      <c r="AW747" s="129">
        <f>IF(AV747="","",AV747&amp;"."&amp;COUNTIFS($A$3:A747,A747,$AV$3:AV747,AV747))</f>
        <v/>
      </c>
      <c r="AX747" s="129">
        <f t="shared" si="489"/>
        <v/>
      </c>
      <c r="AY747" s="129">
        <f>IF(N747="б/к",0,IF(OR(ISNUMBER(SEARCH("L=",Разбивка_по_щитам!P747)),N747="+",N747="="),1,0))</f>
      </c>
      <c r="AZ747" s="129">
        <f t="shared" si="490"/>
        <v/>
      </c>
      <c r="BA747" s="129">
        <f t="shared" si="491"/>
      </c>
      <c r="BB747" s="129">
        <f t="shared" si="492"/>
      </c>
      <c r="BD747" s="129">
        <f t="shared" si="493"/>
      </c>
      <c r="BE747" s="129">
        <f t="shared" si="494"/>
      </c>
      <c r="BF747" s="129">
        <f t="shared" si="495"/>
      </c>
      <c r="BG747" s="129">
        <f t="shared" si="496"/>
        <v/>
      </c>
      <c r="BH747" s="129">
        <f t="shared" si="497"/>
        <v/>
      </c>
      <c r="BI747" s="129">
        <f t="shared" si="498"/>
        <v/>
      </c>
      <c r="BJ747" s="129">
        <f t="shared" si="499"/>
        <v/>
      </c>
      <c r="BK747" s="129">
        <f>IF(R747="","",IF(OR(BY747="",BY747=0),"BOX",IFERROR(IF(VLOOKUP(BY747,УГО_блоки,3,FALSE)&amp;""&lt;&gt;"",VLOOKUP(BY747,УГО_блоки,3,FALSE),VLOOKUP(BY747,УГО_блоки,2,FALSE)),BY747)))</f>
      </c>
      <c r="BL747" s="129">
        <f t="shared" si="501"/>
      </c>
      <c r="BM747" s="129">
        <f>IF(H747="","",IF(COUNTIF($H$3:H747,H747)=1,MAX($BM$2:BM746)+1,""))</f>
      </c>
      <c r="BN747" s="129">
        <f>IF(I747="","",IF(COUNTIF($I$3:I747,I747)+COUNTIF($J$2:J746,I747)+COUNTIF($K$2:K746,I747)=1,MAX($BN$2:BP746)+1,""))</f>
      </c>
      <c r="BO747" s="129">
        <f>IF(J747="","",IF(COUNTIF($I$3:I747,J747)+COUNTIF($J$3:J747,J747)+COUNTIF($K$2:K746,J747)=1,MAX($BN$2:BP746,BN747)+1,""))</f>
      </c>
      <c r="BP747" s="129">
        <f>IF(K747="","",IF(COUNTIF($I$3:I747,K747)+COUNTIF($J$3:J747,K747)+COUNTIF($K$3:K747,K747)=1,MAX($BN$2:BP746,BN747,BO747)+1,""))</f>
      </c>
      <c r="BQ747" s="129">
        <f>IF(AY747=1,IFERROR(MID(Q747,FIND(" (",Q747)+2,FIND(")",Q747,FIND(" (",Q747))-FIND(" (",Q747)-2),"?"),"")</f>
      </c>
      <c r="BR747" s="129">
        <f>IF(BQ747="","",IF(COUNTIF($BQ$3:BQ747,BQ747)=1,MAX($BR$2:BR746)+1,""))</f>
      </c>
      <c r="BS747" s="129">
        <f>IF(AW747="","",COUNTIF($AW$3:AW747,"?*"))</f>
      </c>
      <c r="BT747" s="129">
        <f>IF(OR(AW747="",AI747=""),"",IF(COUNTIFS($AW$3:AW747,"?*",$AI$3:AI747,AI747)=1,MAX($BT$2:BT746)+1,""))</f>
      </c>
      <c r="BU747" s="129">
        <f>IF(AE747="",0,IF(OR(ISNUMBER(SEARCH("дубль",AE747)),ISNUMBER(SEARCH("ПЕРЕГРУЗ",AE747)),ISNUMBER(SEARCH("ЗАЩИЩ",AE747)),ISNUMBER(SEARCH("КАНАЛ",AE747)),ISNUMBER(SEARCH("без 30",AE747))),2,1))</f>
      </c>
      <c r="BV747" s="129">
        <f>IF(R747="","",COUNTIF($R$3:R747,"?*"))</f>
      </c>
      <c r="BW747" s="129">
        <f>IF(AY747&lt;&gt;1,0,IF(MAX(IFERROR(--VLOOKUP(R747,УГО_спр,5,FALSE),0),IFERROR(--VLOOKUP(AL747,УГО_спр,5,FALSE),0),IFERROR(--VLOOKUP(LEFT(AL747,2),УГО_спр,5,FALSE),0))&gt;0,MAX(IFERROR(--VLOOKUP(R747,УГО_спр,5,FALSE),0),IFERROR(--VLOOKUP(AL747,УГО_спр,5,FALSE),0),IFERROR(--VLOOKUP(LEFT(AL747,2),УГО_спр,5,FALSE),0)),IF(IFERROR(--LEFT(SUBSTITUTE(BQ747,"x","х"),FIND("х",SUBSTITUTE(BQ747,"x","х"))-1),3)&gt;3,Каталог!$S$9,1)))</f>
      </c>
      <c r="BX747" s="129">
        <f>IF(AY747&lt;&gt;1,0,MAX(0,IFERROR(--LEFT(SUBSTITUTE(BQ747,"x","х"),FIND("х",SUBSTITUTE(BQ747,"x","х"))-1),3)-3*BW747))</f>
      </c>
      <c r="BY747" s="129">
        <f>IF(R747="","",IFERROR(VLOOKUP(R747,УГО_спр,2,FALSE),IFERROR(VLOOKUP(AL747,УГО_спр,2,FALSE),IFERROR(VLOOKUP(LEFT(AL747,2),УГО_спр,2,FALSE),""))))</f>
      </c>
    </row>
    <row r="748" spans="1:64" x14ac:dyDescent="0.3">
      <c r="A748" s="135">
        <f>IF(Разбивка_по_щитам!F748=0,"",Разбивка_по_щитам!F748)</f>
        <v/>
      </c>
      <c r="B748" s="138">
        <f>IF(A748="","",Разбивка_по_щитам!C748)</f>
        <v/>
      </c>
      <c r="C748" s="138">
        <f t="shared" si="462"/>
        <v/>
      </c>
      <c r="D748" s="266"/>
      <c r="E748" s="266"/>
      <c r="F748" s="267"/>
      <c r="G748" s="145">
        <f t="shared" si="463"/>
        <v/>
      </c>
      <c r="H748" s="145">
        <f t="shared" si="464"/>
        <v/>
      </c>
      <c r="I748" s="266"/>
      <c r="J748" s="267"/>
      <c r="K748" s="267"/>
      <c r="L748" s="266"/>
      <c r="M748" s="147">
        <f t="shared" si="465"/>
        <v/>
      </c>
      <c r="N748" s="267"/>
      <c r="O748" s="147">
        <f t="shared" si="466"/>
        <v/>
      </c>
      <c r="P748" s="268">
        <f>IF(AY748=1,"XT"&amp;COUNTIFS($A$3:A748,A748,$AY$3:AY748,1),"")</f>
        <v/>
      </c>
      <c r="Q748" s="152">
        <f>IF(R748="","",IFERROR(SUBSTITUTE(Разбивка_по_щитам!P748,CHAR(10)," "),""))</f>
        <v/>
      </c>
      <c r="R748" s="153">
        <f>IF(OR(Разбивка_по_щитам!H748="",Разбивка_по_щитам!H748=0),"",Разбивка_по_щитам!H748)</f>
        <v/>
      </c>
      <c r="S748" s="154">
        <f>IF(R748="","",IFERROR(Разбивка_по_щитам!J748&amp;"",""))</f>
        <v/>
      </c>
      <c r="T748" s="155">
        <f>IF(R748="","",IFERROR(--Разбивка_по_щитам!L748,""))</f>
        <v/>
      </c>
      <c r="U748" s="155">
        <f>IF(R748="","",IFERROR(--Разбивка_по_щитам!K748,""))</f>
        <v/>
      </c>
      <c r="V748" s="138">
        <f>IF(R748="","",IFERROR(IF(Разбивка_по_щитам!M748=0,"",Разбивка_по_щитам!M748),""))</f>
        <v/>
      </c>
      <c r="W748" s="156">
        <f t="shared" si="467"/>
        <v/>
      </c>
      <c r="X748" s="157">
        <f t="shared" si="468"/>
        <v/>
      </c>
      <c r="Y748" s="266"/>
      <c r="Z748" s="158">
        <f t="shared" si="469"/>
        <v/>
      </c>
      <c r="AA748" s="160">
        <f t="shared" si="470"/>
        <v/>
      </c>
      <c r="AB748" s="160">
        <f>IF(R748="","",IFERROR(LOOKUP(INDEX(Справочная!$I$4:$I$19,MATCH(VLOOKUP(R748,Исходные_данные,22,FALSE),Справочная!$J$4:$J$19,0)+1),{6,10,16,20,25,32,40,50,63,80,100,125}),""))</f>
        <v/>
      </c>
      <c r="AC748" s="160">
        <f t="shared" si="471"/>
        <v/>
      </c>
      <c r="AD748" s="161">
        <f t="shared" si="472"/>
        <v/>
      </c>
      <c r="AE748" s="161">
        <f>IF(AND(R748="",G748=""),"",_xlfn.TEXTJOIN("; ",TRUE,IF(AND(R748&lt;&gt;"",V748=""),"нет фазы",""),IF(AND(R748&lt;&gt;"",N(T748)=0),"нет мощности",""),IF(AND(P748&lt;&gt;"",COUNTIFS($A$3:$A$1000,A748,$P$3:$P$1000,P748)&gt;1),"дубль клеммы "&amp;P748,""),IF(AND(W748&lt;&gt;"",W748&lt;&gt;"ok"),W748,""),IF(X748&lt;&gt;"",X748,""),IF(AND(ISNUMBER(SEARCH("(5х",Q748)),N(AK748)=1),"5 жил на 1 фазе",""),IF(AND(AL748="R",E748&lt;&gt;"",N(AS748)=0),"розетка без 30 мА",""),IF(IFERROR(_xlfn.NUMBERVALUE(MID(Q748,FIND("-",Q748,FIND("L=",Q748))+1,FIND("%",Q748)-FIND("-",Q748,FIND("L=",Q748))-1),","),0)&gt;4,"потери &gt; 4 %","")))</f>
      </c>
      <c r="AF748" s="129">
        <f>IF(E748&lt;&gt;"",COUNTIFS($A$3:A748,A748,$E$3:E748,"?*"),IF(OR(A748&lt;&gt;A747,Y748="вручную"),"",AF747))</f>
        <v/>
      </c>
      <c r="AG748" s="129">
        <f t="shared" si="473"/>
        <v/>
      </c>
      <c r="AH748" s="129">
        <f t="shared" si="474"/>
        <v/>
      </c>
      <c r="AI748" s="129">
        <f t="shared" si="475"/>
        <v/>
      </c>
      <c r="AJ748" s="129">
        <f t="shared" si="476"/>
        <v/>
      </c>
      <c r="AK748" s="129">
        <f t="shared" si="477"/>
        <v/>
      </c>
      <c r="AL748" s="129">
        <f t="shared" si="478"/>
        <v/>
      </c>
      <c r="AM748" s="129">
        <f t="shared" si="479"/>
      </c>
      <c r="AN748" s="129">
        <f t="shared" si="480"/>
      </c>
      <c r="AO748" s="129">
        <f t="shared" si="481"/>
        <v/>
      </c>
      <c r="AP748" s="129">
        <f t="shared" si="482"/>
        <v/>
      </c>
      <c r="AQ748" s="129">
        <f t="shared" si="483"/>
        <v/>
      </c>
      <c r="AR748" s="129">
        <f t="shared" si="484"/>
        <v/>
      </c>
      <c r="AS748" s="129">
        <f t="shared" si="485"/>
        <v/>
      </c>
      <c r="AT748" s="129">
        <f t="shared" si="486"/>
        <v/>
      </c>
      <c r="AU748" s="129">
        <f t="shared" si="487"/>
        <v/>
      </c>
      <c r="AV748" s="129">
        <f t="shared" si="488"/>
        <v/>
      </c>
      <c r="AW748" s="129">
        <f>IF(AV748="","",AV748&amp;"."&amp;COUNTIFS($A$3:A748,A748,$AV$3:AV748,AV748))</f>
        <v/>
      </c>
      <c r="AX748" s="129">
        <f t="shared" si="489"/>
        <v/>
      </c>
      <c r="AY748" s="129">
        <f>IF(N748="б/к",0,IF(OR(ISNUMBER(SEARCH("L=",Разбивка_по_щитам!P748)),N748="+",N748="="),1,0))</f>
      </c>
      <c r="AZ748" s="129">
        <f t="shared" si="490"/>
        <v/>
      </c>
      <c r="BA748" s="129">
        <f t="shared" si="491"/>
      </c>
      <c r="BB748" s="129">
        <f t="shared" si="492"/>
      </c>
      <c r="BD748" s="129">
        <f t="shared" si="493"/>
      </c>
      <c r="BE748" s="129">
        <f t="shared" si="494"/>
      </c>
      <c r="BF748" s="129">
        <f t="shared" si="495"/>
      </c>
      <c r="BG748" s="129">
        <f t="shared" si="496"/>
        <v/>
      </c>
      <c r="BH748" s="129">
        <f t="shared" si="497"/>
        <v/>
      </c>
      <c r="BI748" s="129">
        <f t="shared" si="498"/>
        <v/>
      </c>
      <c r="BJ748" s="129">
        <f t="shared" si="499"/>
        <v/>
      </c>
      <c r="BK748" s="129">
        <f>IF(R748="","",IF(OR(BY748="",BY748=0),"BOX",IFERROR(IF(VLOOKUP(BY748,УГО_блоки,3,FALSE)&amp;""&lt;&gt;"",VLOOKUP(BY748,УГО_блоки,3,FALSE),VLOOKUP(BY748,УГО_блоки,2,FALSE)),BY748)))</f>
      </c>
      <c r="BL748" s="129">
        <f t="shared" si="501"/>
      </c>
      <c r="BM748" s="129">
        <f>IF(H748="","",IF(COUNTIF($H$3:H748,H748)=1,MAX($BM$2:BM747)+1,""))</f>
      </c>
      <c r="BN748" s="129">
        <f>IF(I748="","",IF(COUNTIF($I$3:I748,I748)+COUNTIF($J$2:J747,I748)+COUNTIF($K$2:K747,I748)=1,MAX($BN$2:BP747)+1,""))</f>
      </c>
      <c r="BO748" s="129">
        <f>IF(J748="","",IF(COUNTIF($I$3:I748,J748)+COUNTIF($J$3:J748,J748)+COUNTIF($K$2:K747,J748)=1,MAX($BN$2:BP747,BN748)+1,""))</f>
      </c>
      <c r="BP748" s="129">
        <f>IF(K748="","",IF(COUNTIF($I$3:I748,K748)+COUNTIF($J$3:J748,K748)+COUNTIF($K$3:K748,K748)=1,MAX($BN$2:BP747,BN748,BO748)+1,""))</f>
      </c>
      <c r="BQ748" s="129">
        <f>IF(AY748=1,IFERROR(MID(Q748,FIND(" (",Q748)+2,FIND(")",Q748,FIND(" (",Q748))-FIND(" (",Q748)-2),"?"),"")</f>
      </c>
      <c r="BR748" s="129">
        <f>IF(BQ748="","",IF(COUNTIF($BQ$3:BQ748,BQ748)=1,MAX($BR$2:BR747)+1,""))</f>
      </c>
      <c r="BS748" s="129">
        <f>IF(AW748="","",COUNTIF($AW$3:AW748,"?*"))</f>
      </c>
      <c r="BT748" s="129">
        <f>IF(OR(AW748="",AI748=""),"",IF(COUNTIFS($AW$3:AW748,"?*",$AI$3:AI748,AI748)=1,MAX($BT$2:BT747)+1,""))</f>
      </c>
      <c r="BU748" s="129">
        <f>IF(AE748="",0,IF(OR(ISNUMBER(SEARCH("дубль",AE748)),ISNUMBER(SEARCH("ПЕРЕГРУЗ",AE748)),ISNUMBER(SEARCH("ЗАЩИЩ",AE748)),ISNUMBER(SEARCH("КАНАЛ",AE748)),ISNUMBER(SEARCH("без 30",AE748))),2,1))</f>
      </c>
      <c r="BV748" s="129">
        <f>IF(R748="","",COUNTIF($R$3:R748,"?*"))</f>
      </c>
      <c r="BW748" s="129">
        <f>IF(AY748&lt;&gt;1,0,IF(MAX(IFERROR(--VLOOKUP(R748,УГО_спр,5,FALSE),0),IFERROR(--VLOOKUP(AL748,УГО_спр,5,FALSE),0),IFERROR(--VLOOKUP(LEFT(AL748,2),УГО_спр,5,FALSE),0))&gt;0,MAX(IFERROR(--VLOOKUP(R748,УГО_спр,5,FALSE),0),IFERROR(--VLOOKUP(AL748,УГО_спр,5,FALSE),0),IFERROR(--VLOOKUP(LEFT(AL748,2),УГО_спр,5,FALSE),0)),IF(IFERROR(--LEFT(SUBSTITUTE(BQ748,"x","х"),FIND("х",SUBSTITUTE(BQ748,"x","х"))-1),3)&gt;3,Каталог!$S$9,1)))</f>
      </c>
      <c r="BX748" s="129">
        <f>IF(AY748&lt;&gt;1,0,MAX(0,IFERROR(--LEFT(SUBSTITUTE(BQ748,"x","х"),FIND("х",SUBSTITUTE(BQ748,"x","х"))-1),3)-3*BW748))</f>
      </c>
      <c r="BY748" s="129">
        <f>IF(R748="","",IFERROR(VLOOKUP(R748,УГО_спр,2,FALSE),IFERROR(VLOOKUP(AL748,УГО_спр,2,FALSE),IFERROR(VLOOKUP(LEFT(AL748,2),УГО_спр,2,FALSE),""))))</f>
      </c>
    </row>
    <row r="749" spans="1:64" x14ac:dyDescent="0.3">
      <c r="A749" s="135">
        <f>IF(Разбивка_по_щитам!F749=0,"",Разбивка_по_щитам!F749)</f>
        <v/>
      </c>
      <c r="B749" s="138">
        <f>IF(A749="","",Разбивка_по_щитам!C749)</f>
        <v/>
      </c>
      <c r="C749" s="138">
        <f t="shared" si="462"/>
        <v/>
      </c>
      <c r="D749" s="266"/>
      <c r="E749" s="266"/>
      <c r="F749" s="267"/>
      <c r="G749" s="145">
        <f t="shared" si="463"/>
        <v/>
      </c>
      <c r="H749" s="145">
        <f t="shared" si="464"/>
        <v/>
      </c>
      <c r="I749" s="266"/>
      <c r="J749" s="267"/>
      <c r="K749" s="267"/>
      <c r="L749" s="266"/>
      <c r="M749" s="147">
        <f t="shared" si="465"/>
        <v/>
      </c>
      <c r="N749" s="267"/>
      <c r="O749" s="147">
        <f t="shared" si="466"/>
        <v/>
      </c>
      <c r="P749" s="268">
        <f>IF(AY749=1,"XT"&amp;COUNTIFS($A$3:A749,A749,$AY$3:AY749,1),"")</f>
        <v/>
      </c>
      <c r="Q749" s="152">
        <f>IF(R749="","",IFERROR(SUBSTITUTE(Разбивка_по_щитам!P749,CHAR(10)," "),""))</f>
        <v/>
      </c>
      <c r="R749" s="153">
        <f>IF(OR(Разбивка_по_щитам!H749="",Разбивка_по_щитам!H749=0),"",Разбивка_по_щитам!H749)</f>
        <v/>
      </c>
      <c r="S749" s="154">
        <f>IF(R749="","",IFERROR(Разбивка_по_щитам!J749&amp;"",""))</f>
        <v/>
      </c>
      <c r="T749" s="155">
        <f>IF(R749="","",IFERROR(--Разбивка_по_щитам!L749,""))</f>
        <v/>
      </c>
      <c r="U749" s="155">
        <f>IF(R749="","",IFERROR(--Разбивка_по_щитам!K749,""))</f>
        <v/>
      </c>
      <c r="V749" s="138">
        <f>IF(R749="","",IFERROR(IF(Разбивка_по_щитам!M749=0,"",Разбивка_по_щитам!M749),""))</f>
        <v/>
      </c>
      <c r="W749" s="156">
        <f t="shared" si="467"/>
        <v/>
      </c>
      <c r="X749" s="157">
        <f t="shared" si="468"/>
        <v/>
      </c>
      <c r="Y749" s="266"/>
      <c r="Z749" s="158">
        <f t="shared" si="469"/>
        <v/>
      </c>
      <c r="AA749" s="160">
        <f t="shared" si="470"/>
        <v/>
      </c>
      <c r="AB749" s="160">
        <f>IF(R749="","",IFERROR(LOOKUP(INDEX(Справочная!$I$4:$I$19,MATCH(VLOOKUP(R749,Исходные_данные,22,FALSE),Справочная!$J$4:$J$19,0)+1),{6,10,16,20,25,32,40,50,63,80,100,125}),""))</f>
        <v/>
      </c>
      <c r="AC749" s="160">
        <f t="shared" si="471"/>
        <v/>
      </c>
      <c r="AD749" s="161">
        <f t="shared" si="472"/>
        <v/>
      </c>
      <c r="AE749" s="161">
        <f>IF(AND(R749="",G749=""),"",_xlfn.TEXTJOIN("; ",TRUE,IF(AND(R749&lt;&gt;"",V749=""),"нет фазы",""),IF(AND(R749&lt;&gt;"",N(T749)=0),"нет мощности",""),IF(AND(P749&lt;&gt;"",COUNTIFS($A$3:$A$1000,A749,$P$3:$P$1000,P749)&gt;1),"дубль клеммы "&amp;P749,""),IF(AND(W749&lt;&gt;"",W749&lt;&gt;"ok"),W749,""),IF(X749&lt;&gt;"",X749,""),IF(AND(ISNUMBER(SEARCH("(5х",Q749)),N(AK749)=1),"5 жил на 1 фазе",""),IF(AND(AL749="R",E749&lt;&gt;"",N(AS749)=0),"розетка без 30 мА",""),IF(IFERROR(_xlfn.NUMBERVALUE(MID(Q749,FIND("-",Q749,FIND("L=",Q749))+1,FIND("%",Q749)-FIND("-",Q749,FIND("L=",Q749))-1),","),0)&gt;4,"потери &gt; 4 %","")))</f>
      </c>
      <c r="AF749" s="129">
        <f>IF(E749&lt;&gt;"",COUNTIFS($A$3:A749,A749,$E$3:E749,"?*"),IF(OR(A749&lt;&gt;A748,Y749="вручную"),"",AF748))</f>
        <v/>
      </c>
      <c r="AG749" s="129">
        <f t="shared" si="473"/>
        <v/>
      </c>
      <c r="AH749" s="129">
        <f t="shared" si="474"/>
        <v/>
      </c>
      <c r="AI749" s="129">
        <f t="shared" si="475"/>
        <v/>
      </c>
      <c r="AJ749" s="129">
        <f t="shared" si="476"/>
        <v/>
      </c>
      <c r="AK749" s="129">
        <f t="shared" si="477"/>
        <v/>
      </c>
      <c r="AL749" s="129">
        <f t="shared" si="478"/>
        <v/>
      </c>
      <c r="AM749" s="129">
        <f t="shared" si="479"/>
      </c>
      <c r="AN749" s="129">
        <f t="shared" si="480"/>
      </c>
      <c r="AO749" s="129">
        <f t="shared" si="481"/>
        <v/>
      </c>
      <c r="AP749" s="129">
        <f t="shared" si="482"/>
        <v/>
      </c>
      <c r="AQ749" s="129">
        <f t="shared" si="483"/>
        <v/>
      </c>
      <c r="AR749" s="129">
        <f t="shared" si="484"/>
        <v/>
      </c>
      <c r="AS749" s="129">
        <f t="shared" si="485"/>
        <v/>
      </c>
      <c r="AT749" s="129">
        <f t="shared" si="486"/>
        <v/>
      </c>
      <c r="AU749" s="129">
        <f t="shared" si="487"/>
        <v/>
      </c>
      <c r="AV749" s="129">
        <f t="shared" si="488"/>
        <v/>
      </c>
      <c r="AW749" s="129">
        <f>IF(AV749="","",AV749&amp;"."&amp;COUNTIFS($A$3:A749,A749,$AV$3:AV749,AV749))</f>
        <v/>
      </c>
      <c r="AX749" s="129">
        <f t="shared" si="489"/>
        <v/>
      </c>
      <c r="AY749" s="129">
        <f>IF(N749="б/к",0,IF(OR(ISNUMBER(SEARCH("L=",Разбивка_по_щитам!P749)),N749="+",N749="="),1,0))</f>
      </c>
      <c r="AZ749" s="129">
        <f t="shared" si="490"/>
        <v/>
      </c>
      <c r="BA749" s="129">
        <f t="shared" si="491"/>
      </c>
      <c r="BB749" s="129">
        <f t="shared" si="492"/>
      </c>
      <c r="BD749" s="129">
        <f t="shared" si="493"/>
      </c>
      <c r="BE749" s="129">
        <f t="shared" si="494"/>
      </c>
      <c r="BF749" s="129">
        <f t="shared" si="495"/>
      </c>
      <c r="BG749" s="129">
        <f t="shared" si="496"/>
        <v/>
      </c>
      <c r="BH749" s="129">
        <f t="shared" si="497"/>
        <v/>
      </c>
      <c r="BI749" s="129">
        <f t="shared" si="498"/>
        <v/>
      </c>
      <c r="BJ749" s="129">
        <f t="shared" si="499"/>
        <v/>
      </c>
      <c r="BK749" s="129">
        <f>IF(R749="","",IF(OR(BY749="",BY749=0),"BOX",IFERROR(IF(VLOOKUP(BY749,УГО_блоки,3,FALSE)&amp;""&lt;&gt;"",VLOOKUP(BY749,УГО_блоки,3,FALSE),VLOOKUP(BY749,УГО_блоки,2,FALSE)),BY749)))</f>
      </c>
      <c r="BL749" s="129">
        <f t="shared" si="501"/>
      </c>
      <c r="BM749" s="129">
        <f>IF(H749="","",IF(COUNTIF($H$3:H749,H749)=1,MAX($BM$2:BM748)+1,""))</f>
      </c>
      <c r="BN749" s="129">
        <f>IF(I749="","",IF(COUNTIF($I$3:I749,I749)+COUNTIF($J$2:J748,I749)+COUNTIF($K$2:K748,I749)=1,MAX($BN$2:BP748)+1,""))</f>
      </c>
      <c r="BO749" s="129">
        <f>IF(J749="","",IF(COUNTIF($I$3:I749,J749)+COUNTIF($J$3:J749,J749)+COUNTIF($K$2:K748,J749)=1,MAX($BN$2:BP748,BN749)+1,""))</f>
      </c>
      <c r="BP749" s="129">
        <f>IF(K749="","",IF(COUNTIF($I$3:I749,K749)+COUNTIF($J$3:J749,K749)+COUNTIF($K$3:K749,K749)=1,MAX($BN$2:BP748,BN749,BO749)+1,""))</f>
      </c>
      <c r="BQ749" s="129">
        <f>IF(AY749=1,IFERROR(MID(Q749,FIND(" (",Q749)+2,FIND(")",Q749,FIND(" (",Q749))-FIND(" (",Q749)-2),"?"),"")</f>
      </c>
      <c r="BR749" s="129">
        <f>IF(BQ749="","",IF(COUNTIF($BQ$3:BQ749,BQ749)=1,MAX($BR$2:BR748)+1,""))</f>
      </c>
      <c r="BS749" s="129">
        <f>IF(AW749="","",COUNTIF($AW$3:AW749,"?*"))</f>
      </c>
      <c r="BT749" s="129">
        <f>IF(OR(AW749="",AI749=""),"",IF(COUNTIFS($AW$3:AW749,"?*",$AI$3:AI749,AI749)=1,MAX($BT$2:BT748)+1,""))</f>
      </c>
      <c r="BU749" s="129">
        <f>IF(AE749="",0,IF(OR(ISNUMBER(SEARCH("дубль",AE749)),ISNUMBER(SEARCH("ПЕРЕГРУЗ",AE749)),ISNUMBER(SEARCH("ЗАЩИЩ",AE749)),ISNUMBER(SEARCH("КАНАЛ",AE749)),ISNUMBER(SEARCH("без 30",AE749))),2,1))</f>
      </c>
      <c r="BV749" s="129">
        <f>IF(R749="","",COUNTIF($R$3:R749,"?*"))</f>
      </c>
      <c r="BW749" s="129">
        <f>IF(AY749&lt;&gt;1,0,IF(MAX(IFERROR(--VLOOKUP(R749,УГО_спр,5,FALSE),0),IFERROR(--VLOOKUP(AL749,УГО_спр,5,FALSE),0),IFERROR(--VLOOKUP(LEFT(AL749,2),УГО_спр,5,FALSE),0))&gt;0,MAX(IFERROR(--VLOOKUP(R749,УГО_спр,5,FALSE),0),IFERROR(--VLOOKUP(AL749,УГО_спр,5,FALSE),0),IFERROR(--VLOOKUP(LEFT(AL749,2),УГО_спр,5,FALSE),0)),IF(IFERROR(--LEFT(SUBSTITUTE(BQ749,"x","х"),FIND("х",SUBSTITUTE(BQ749,"x","х"))-1),3)&gt;3,Каталог!$S$9,1)))</f>
      </c>
      <c r="BX749" s="129">
        <f>IF(AY749&lt;&gt;1,0,MAX(0,IFERROR(--LEFT(SUBSTITUTE(BQ749,"x","х"),FIND("х",SUBSTITUTE(BQ749,"x","х"))-1),3)-3*BW749))</f>
      </c>
      <c r="BY749" s="129">
        <f>IF(R749="","",IFERROR(VLOOKUP(R749,УГО_спр,2,FALSE),IFERROR(VLOOKUP(AL749,УГО_спр,2,FALSE),IFERROR(VLOOKUP(LEFT(AL749,2),УГО_спр,2,FALSE),""))))</f>
      </c>
    </row>
    <row r="750" spans="1:64" x14ac:dyDescent="0.3">
      <c r="A750" s="135">
        <f>IF(Разбивка_по_щитам!F750=0,"",Разбивка_по_щитам!F750)</f>
        <v/>
      </c>
      <c r="B750" s="138">
        <f>IF(A750="","",Разбивка_по_щитам!C750)</f>
        <v/>
      </c>
      <c r="C750" s="138">
        <f t="shared" si="462"/>
        <v/>
      </c>
      <c r="D750" s="266"/>
      <c r="E750" s="266"/>
      <c r="F750" s="267"/>
      <c r="G750" s="145">
        <f t="shared" si="463"/>
        <v/>
      </c>
      <c r="H750" s="145">
        <f t="shared" si="464"/>
        <v/>
      </c>
      <c r="I750" s="266"/>
      <c r="J750" s="267"/>
      <c r="K750" s="267"/>
      <c r="L750" s="266"/>
      <c r="M750" s="147">
        <f t="shared" si="465"/>
        <v/>
      </c>
      <c r="N750" s="267"/>
      <c r="O750" s="147">
        <f t="shared" si="466"/>
        <v/>
      </c>
      <c r="P750" s="268">
        <f>IF(AY750=1,"XT"&amp;COUNTIFS($A$3:A750,A750,$AY$3:AY750,1),"")</f>
        <v/>
      </c>
      <c r="Q750" s="152">
        <f>IF(R750="","",IFERROR(SUBSTITUTE(Разбивка_по_щитам!P750,CHAR(10)," "),""))</f>
        <v/>
      </c>
      <c r="R750" s="153">
        <f>IF(OR(Разбивка_по_щитам!H750="",Разбивка_по_щитам!H750=0),"",Разбивка_по_щитам!H750)</f>
        <v/>
      </c>
      <c r="S750" s="154">
        <f>IF(R750="","",IFERROR(Разбивка_по_щитам!J750&amp;"",""))</f>
        <v/>
      </c>
      <c r="T750" s="155">
        <f>IF(R750="","",IFERROR(--Разбивка_по_щитам!L750,""))</f>
        <v/>
      </c>
      <c r="U750" s="155">
        <f>IF(R750="","",IFERROR(--Разбивка_по_щитам!K750,""))</f>
        <v/>
      </c>
      <c r="V750" s="138">
        <f>IF(R750="","",IFERROR(IF(Разбивка_по_щитам!M750=0,"",Разбивка_по_щитам!M750),""))</f>
        <v/>
      </c>
      <c r="W750" s="156">
        <f t="shared" si="467"/>
        <v/>
      </c>
      <c r="X750" s="157">
        <f t="shared" si="468"/>
        <v/>
      </c>
      <c r="Y750" s="266"/>
      <c r="Z750" s="158">
        <f t="shared" si="469"/>
        <v/>
      </c>
      <c r="AA750" s="160">
        <f t="shared" si="470"/>
        <v/>
      </c>
      <c r="AB750" s="160">
        <f>IF(R750="","",IFERROR(LOOKUP(INDEX(Справочная!$I$4:$I$19,MATCH(VLOOKUP(R750,Исходные_данные,22,FALSE),Справочная!$J$4:$J$19,0)+1),{6,10,16,20,25,32,40,50,63,80,100,125}),""))</f>
        <v/>
      </c>
      <c r="AC750" s="160">
        <f t="shared" si="471"/>
        <v/>
      </c>
      <c r="AD750" s="161">
        <f t="shared" si="472"/>
        <v/>
      </c>
      <c r="AE750" s="161">
        <f>IF(AND(R750="",G750=""),"",_xlfn.TEXTJOIN("; ",TRUE,IF(AND(R750&lt;&gt;"",V750=""),"нет фазы",""),IF(AND(R750&lt;&gt;"",N(T750)=0),"нет мощности",""),IF(AND(P750&lt;&gt;"",COUNTIFS($A$3:$A$1000,A750,$P$3:$P$1000,P750)&gt;1),"дубль клеммы "&amp;P750,""),IF(AND(W750&lt;&gt;"",W750&lt;&gt;"ok"),W750,""),IF(X750&lt;&gt;"",X750,""),IF(AND(ISNUMBER(SEARCH("(5х",Q750)),N(AK750)=1),"5 жил на 1 фазе",""),IF(AND(AL750="R",E750&lt;&gt;"",N(AS750)=0),"розетка без 30 мА",""),IF(IFERROR(_xlfn.NUMBERVALUE(MID(Q750,FIND("-",Q750,FIND("L=",Q750))+1,FIND("%",Q750)-FIND("-",Q750,FIND("L=",Q750))-1),","),0)&gt;4,"потери &gt; 4 %","")))</f>
      </c>
      <c r="AF750" s="129">
        <f>IF(E750&lt;&gt;"",COUNTIFS($A$3:A750,A750,$E$3:E750,"?*"),IF(OR(A750&lt;&gt;A749,Y750="вручную"),"",AF749))</f>
        <v/>
      </c>
      <c r="AG750" s="129">
        <f t="shared" si="473"/>
        <v/>
      </c>
      <c r="AH750" s="129">
        <f t="shared" si="474"/>
        <v/>
      </c>
      <c r="AI750" s="129">
        <f t="shared" si="475"/>
        <v/>
      </c>
      <c r="AJ750" s="129">
        <f t="shared" si="476"/>
        <v/>
      </c>
      <c r="AK750" s="129">
        <f t="shared" si="477"/>
        <v/>
      </c>
      <c r="AL750" s="129">
        <f t="shared" si="478"/>
        <v/>
      </c>
      <c r="AM750" s="129">
        <f t="shared" si="479"/>
      </c>
      <c r="AN750" s="129">
        <f t="shared" si="480"/>
      </c>
      <c r="AO750" s="129">
        <f t="shared" si="481"/>
        <v/>
      </c>
      <c r="AP750" s="129">
        <f t="shared" si="482"/>
        <v/>
      </c>
      <c r="AQ750" s="129">
        <f t="shared" si="483"/>
        <v/>
      </c>
      <c r="AR750" s="129">
        <f t="shared" si="484"/>
        <v/>
      </c>
      <c r="AS750" s="129">
        <f t="shared" si="485"/>
        <v/>
      </c>
      <c r="AT750" s="129">
        <f t="shared" si="486"/>
        <v/>
      </c>
      <c r="AU750" s="129">
        <f t="shared" si="487"/>
        <v/>
      </c>
      <c r="AV750" s="129">
        <f t="shared" si="488"/>
        <v/>
      </c>
      <c r="AW750" s="129">
        <f>IF(AV750="","",AV750&amp;"."&amp;COUNTIFS($A$3:A750,A750,$AV$3:AV750,AV750))</f>
        <v/>
      </c>
      <c r="AX750" s="129">
        <f t="shared" si="489"/>
        <v/>
      </c>
      <c r="AY750" s="129">
        <f>IF(N750="б/к",0,IF(OR(ISNUMBER(SEARCH("L=",Разбивка_по_щитам!P750)),N750="+",N750="="),1,0))</f>
      </c>
      <c r="AZ750" s="129">
        <f t="shared" si="490"/>
        <v/>
      </c>
      <c r="BA750" s="129">
        <f t="shared" si="491"/>
      </c>
      <c r="BB750" s="129">
        <f t="shared" si="492"/>
      </c>
      <c r="BD750" s="129">
        <f t="shared" si="493"/>
      </c>
      <c r="BE750" s="129">
        <f t="shared" si="494"/>
      </c>
      <c r="BF750" s="129">
        <f t="shared" si="495"/>
      </c>
      <c r="BG750" s="129">
        <f t="shared" si="496"/>
        <v/>
      </c>
      <c r="BH750" s="129">
        <f t="shared" si="497"/>
        <v/>
      </c>
      <c r="BI750" s="129">
        <f t="shared" si="498"/>
        <v/>
      </c>
      <c r="BJ750" s="129">
        <f t="shared" si="499"/>
        <v/>
      </c>
      <c r="BK750" s="129">
        <f>IF(R750="","",IF(OR(BY750="",BY750=0),"BOX",IFERROR(IF(VLOOKUP(BY750,УГО_блоки,3,FALSE)&amp;""&lt;&gt;"",VLOOKUP(BY750,УГО_блоки,3,FALSE),VLOOKUP(BY750,УГО_блоки,2,FALSE)),BY750)))</f>
      </c>
      <c r="BL750" s="129">
        <f t="shared" si="501"/>
      </c>
      <c r="BM750" s="129">
        <f>IF(H750="","",IF(COUNTIF($H$3:H750,H750)=1,MAX($BM$2:BM749)+1,""))</f>
      </c>
      <c r="BN750" s="129">
        <f>IF(I750="","",IF(COUNTIF($I$3:I750,I750)+COUNTIF($J$2:J749,I750)+COUNTIF($K$2:K749,I750)=1,MAX($BN$2:BP749)+1,""))</f>
      </c>
      <c r="BO750" s="129">
        <f>IF(J750="","",IF(COUNTIF($I$3:I750,J750)+COUNTIF($J$3:J750,J750)+COUNTIF($K$2:K749,J750)=1,MAX($BN$2:BP749,BN750)+1,""))</f>
      </c>
      <c r="BP750" s="129">
        <f>IF(K750="","",IF(COUNTIF($I$3:I750,K750)+COUNTIF($J$3:J750,K750)+COUNTIF($K$3:K750,K750)=1,MAX($BN$2:BP749,BN750,BO750)+1,""))</f>
      </c>
      <c r="BQ750" s="129">
        <f>IF(AY750=1,IFERROR(MID(Q750,FIND(" (",Q750)+2,FIND(")",Q750,FIND(" (",Q750))-FIND(" (",Q750)-2),"?"),"")</f>
      </c>
      <c r="BR750" s="129">
        <f>IF(BQ750="","",IF(COUNTIF($BQ$3:BQ750,BQ750)=1,MAX($BR$2:BR749)+1,""))</f>
      </c>
      <c r="BS750" s="129">
        <f>IF(AW750="","",COUNTIF($AW$3:AW750,"?*"))</f>
      </c>
      <c r="BT750" s="129">
        <f>IF(OR(AW750="",AI750=""),"",IF(COUNTIFS($AW$3:AW750,"?*",$AI$3:AI750,AI750)=1,MAX($BT$2:BT749)+1,""))</f>
      </c>
      <c r="BU750" s="129">
        <f>IF(AE750="",0,IF(OR(ISNUMBER(SEARCH("дубль",AE750)),ISNUMBER(SEARCH("ПЕРЕГРУЗ",AE750)),ISNUMBER(SEARCH("ЗАЩИЩ",AE750)),ISNUMBER(SEARCH("КАНАЛ",AE750)),ISNUMBER(SEARCH("без 30",AE750))),2,1))</f>
      </c>
      <c r="BV750" s="129">
        <f>IF(R750="","",COUNTIF($R$3:R750,"?*"))</f>
      </c>
      <c r="BW750" s="129">
        <f>IF(AY750&lt;&gt;1,0,IF(MAX(IFERROR(--VLOOKUP(R750,УГО_спр,5,FALSE),0),IFERROR(--VLOOKUP(AL750,УГО_спр,5,FALSE),0),IFERROR(--VLOOKUP(LEFT(AL750,2),УГО_спр,5,FALSE),0))&gt;0,MAX(IFERROR(--VLOOKUP(R750,УГО_спр,5,FALSE),0),IFERROR(--VLOOKUP(AL750,УГО_спр,5,FALSE),0),IFERROR(--VLOOKUP(LEFT(AL750,2),УГО_спр,5,FALSE),0)),IF(IFERROR(--LEFT(SUBSTITUTE(BQ750,"x","х"),FIND("х",SUBSTITUTE(BQ750,"x","х"))-1),3)&gt;3,Каталог!$S$9,1)))</f>
      </c>
      <c r="BX750" s="129">
        <f>IF(AY750&lt;&gt;1,0,MAX(0,IFERROR(--LEFT(SUBSTITUTE(BQ750,"x","х"),FIND("х",SUBSTITUTE(BQ750,"x","х"))-1),3)-3*BW750))</f>
      </c>
      <c r="BY750" s="129">
        <f>IF(R750="","",IFERROR(VLOOKUP(R750,УГО_спр,2,FALSE),IFERROR(VLOOKUP(AL750,УГО_спр,2,FALSE),IFERROR(VLOOKUP(LEFT(AL750,2),УГО_спр,2,FALSE),""))))</f>
      </c>
    </row>
    <row r="751" spans="1:64" x14ac:dyDescent="0.3">
      <c r="A751" s="135">
        <f>IF(Разбивка_по_щитам!F751=0,"",Разбивка_по_щитам!F751)</f>
        <v/>
      </c>
      <c r="B751" s="138">
        <f>IF(A751="","",Разбивка_по_щитам!C751)</f>
        <v/>
      </c>
      <c r="C751" s="138">
        <f t="shared" si="462"/>
        <v/>
      </c>
      <c r="D751" s="266"/>
      <c r="E751" s="266"/>
      <c r="F751" s="267"/>
      <c r="G751" s="145">
        <f t="shared" si="463"/>
        <v/>
      </c>
      <c r="H751" s="145">
        <f t="shared" si="464"/>
        <v/>
      </c>
      <c r="I751" s="266"/>
      <c r="J751" s="267"/>
      <c r="K751" s="267"/>
      <c r="L751" s="266"/>
      <c r="M751" s="147">
        <f t="shared" si="465"/>
        <v/>
      </c>
      <c r="N751" s="267"/>
      <c r="O751" s="147">
        <f t="shared" si="466"/>
        <v/>
      </c>
      <c r="P751" s="268">
        <f>IF(AY751=1,"XT"&amp;COUNTIFS($A$3:A751,A751,$AY$3:AY751,1),"")</f>
        <v/>
      </c>
      <c r="Q751" s="152">
        <f>IF(R751="","",IFERROR(SUBSTITUTE(Разбивка_по_щитам!P751,CHAR(10)," "),""))</f>
        <v/>
      </c>
      <c r="R751" s="153">
        <f>IF(OR(Разбивка_по_щитам!H751="",Разбивка_по_щитам!H751=0),"",Разбивка_по_щитам!H751)</f>
        <v/>
      </c>
      <c r="S751" s="154">
        <f>IF(R751="","",IFERROR(Разбивка_по_щитам!J751&amp;"",""))</f>
        <v/>
      </c>
      <c r="T751" s="155">
        <f>IF(R751="","",IFERROR(--Разбивка_по_щитам!L751,""))</f>
        <v/>
      </c>
      <c r="U751" s="155">
        <f>IF(R751="","",IFERROR(--Разбивка_по_щитам!K751,""))</f>
        <v/>
      </c>
      <c r="V751" s="138">
        <f>IF(R751="","",IFERROR(IF(Разбивка_по_щитам!M751=0,"",Разбивка_по_щитам!M751),""))</f>
        <v/>
      </c>
      <c r="W751" s="156">
        <f t="shared" si="467"/>
        <v/>
      </c>
      <c r="X751" s="157">
        <f t="shared" si="468"/>
        <v/>
      </c>
      <c r="Y751" s="266"/>
      <c r="Z751" s="158">
        <f t="shared" si="469"/>
        <v/>
      </c>
      <c r="AA751" s="160">
        <f t="shared" si="470"/>
        <v/>
      </c>
      <c r="AB751" s="160">
        <f>IF(R751="","",IFERROR(LOOKUP(INDEX(Справочная!$I$4:$I$19,MATCH(VLOOKUP(R751,Исходные_данные,22,FALSE),Справочная!$J$4:$J$19,0)+1),{6,10,16,20,25,32,40,50,63,80,100,125}),""))</f>
        <v/>
      </c>
      <c r="AC751" s="160">
        <f t="shared" si="471"/>
        <v/>
      </c>
      <c r="AD751" s="161">
        <f t="shared" si="472"/>
        <v/>
      </c>
      <c r="AE751" s="161">
        <f>IF(AND(R751="",G751=""),"",_xlfn.TEXTJOIN("; ",TRUE,IF(AND(R751&lt;&gt;"",V751=""),"нет фазы",""),IF(AND(R751&lt;&gt;"",N(T751)=0),"нет мощности",""),IF(AND(P751&lt;&gt;"",COUNTIFS($A$3:$A$1000,A751,$P$3:$P$1000,P751)&gt;1),"дубль клеммы "&amp;P751,""),IF(AND(W751&lt;&gt;"",W751&lt;&gt;"ok"),W751,""),IF(X751&lt;&gt;"",X751,""),IF(AND(ISNUMBER(SEARCH("(5х",Q751)),N(AK751)=1),"5 жил на 1 фазе",""),IF(AND(AL751="R",E751&lt;&gt;"",N(AS751)=0),"розетка без 30 мА",""),IF(IFERROR(_xlfn.NUMBERVALUE(MID(Q751,FIND("-",Q751,FIND("L=",Q751))+1,FIND("%",Q751)-FIND("-",Q751,FIND("L=",Q751))-1),","),0)&gt;4,"потери &gt; 4 %","")))</f>
      </c>
      <c r="AF751" s="129">
        <f>IF(E751&lt;&gt;"",COUNTIFS($A$3:A751,A751,$E$3:E751,"?*"),IF(OR(A751&lt;&gt;A750,Y751="вручную"),"",AF750))</f>
        <v/>
      </c>
      <c r="AG751" s="129">
        <f t="shared" si="473"/>
        <v/>
      </c>
      <c r="AH751" s="129">
        <f t="shared" si="474"/>
        <v/>
      </c>
      <c r="AI751" s="129">
        <f t="shared" si="475"/>
        <v/>
      </c>
      <c r="AJ751" s="129">
        <f t="shared" si="476"/>
        <v/>
      </c>
      <c r="AK751" s="129">
        <f t="shared" si="477"/>
        <v/>
      </c>
      <c r="AL751" s="129">
        <f t="shared" si="478"/>
        <v/>
      </c>
      <c r="AM751" s="129">
        <f t="shared" si="479"/>
      </c>
      <c r="AN751" s="129">
        <f t="shared" si="480"/>
      </c>
      <c r="AO751" s="129">
        <f t="shared" si="481"/>
        <v/>
      </c>
      <c r="AP751" s="129">
        <f t="shared" si="482"/>
        <v/>
      </c>
      <c r="AQ751" s="129">
        <f t="shared" si="483"/>
        <v/>
      </c>
      <c r="AR751" s="129">
        <f t="shared" si="484"/>
        <v/>
      </c>
      <c r="AS751" s="129">
        <f t="shared" si="485"/>
        <v/>
      </c>
      <c r="AT751" s="129">
        <f t="shared" si="486"/>
        <v/>
      </c>
      <c r="AU751" s="129">
        <f t="shared" si="487"/>
        <v/>
      </c>
      <c r="AV751" s="129">
        <f t="shared" si="488"/>
        <v/>
      </c>
      <c r="AW751" s="129">
        <f>IF(AV751="","",AV751&amp;"."&amp;COUNTIFS($A$3:A751,A751,$AV$3:AV751,AV751))</f>
        <v/>
      </c>
      <c r="AX751" s="129">
        <f t="shared" si="489"/>
        <v/>
      </c>
      <c r="AY751" s="129">
        <f>IF(N751="б/к",0,IF(OR(ISNUMBER(SEARCH("L=",Разбивка_по_щитам!P751)),N751="+",N751="="),1,0))</f>
      </c>
      <c r="AZ751" s="129">
        <f t="shared" si="490"/>
        <v/>
      </c>
      <c r="BA751" s="129">
        <f t="shared" si="491"/>
      </c>
      <c r="BB751" s="129">
        <f t="shared" si="492"/>
      </c>
      <c r="BD751" s="129">
        <f t="shared" si="493"/>
      </c>
      <c r="BE751" s="129">
        <f t="shared" si="494"/>
      </c>
      <c r="BF751" s="129">
        <f t="shared" si="495"/>
      </c>
      <c r="BG751" s="129">
        <f t="shared" si="496"/>
        <v/>
      </c>
      <c r="BH751" s="129">
        <f t="shared" si="497"/>
        <v/>
      </c>
      <c r="BI751" s="129">
        <f t="shared" si="498"/>
        <v/>
      </c>
      <c r="BJ751" s="129">
        <f t="shared" si="499"/>
        <v/>
      </c>
      <c r="BK751" s="129">
        <f>IF(R751="","",IF(OR(BY751="",BY751=0),"BOX",IFERROR(IF(VLOOKUP(BY751,УГО_блоки,3,FALSE)&amp;""&lt;&gt;"",VLOOKUP(BY751,УГО_блоки,3,FALSE),VLOOKUP(BY751,УГО_блоки,2,FALSE)),BY751)))</f>
      </c>
      <c r="BL751" s="129">
        <f t="shared" si="501"/>
      </c>
      <c r="BM751" s="129">
        <f>IF(H751="","",IF(COUNTIF($H$3:H751,H751)=1,MAX($BM$2:BM750)+1,""))</f>
      </c>
      <c r="BN751" s="129">
        <f>IF(I751="","",IF(COUNTIF($I$3:I751,I751)+COUNTIF($J$2:J750,I751)+COUNTIF($K$2:K750,I751)=1,MAX($BN$2:BP750)+1,""))</f>
      </c>
      <c r="BO751" s="129">
        <f>IF(J751="","",IF(COUNTIF($I$3:I751,J751)+COUNTIF($J$3:J751,J751)+COUNTIF($K$2:K750,J751)=1,MAX($BN$2:BP750,BN751)+1,""))</f>
      </c>
      <c r="BP751" s="129">
        <f>IF(K751="","",IF(COUNTIF($I$3:I751,K751)+COUNTIF($J$3:J751,K751)+COUNTIF($K$3:K751,K751)=1,MAX($BN$2:BP750,BN751,BO751)+1,""))</f>
      </c>
      <c r="BQ751" s="129">
        <f>IF(AY751=1,IFERROR(MID(Q751,FIND(" (",Q751)+2,FIND(")",Q751,FIND(" (",Q751))-FIND(" (",Q751)-2),"?"),"")</f>
      </c>
      <c r="BR751" s="129">
        <f>IF(BQ751="","",IF(COUNTIF($BQ$3:BQ751,BQ751)=1,MAX($BR$2:BR750)+1,""))</f>
      </c>
      <c r="BS751" s="129">
        <f>IF(AW751="","",COUNTIF($AW$3:AW751,"?*"))</f>
      </c>
      <c r="BT751" s="129">
        <f>IF(OR(AW751="",AI751=""),"",IF(COUNTIFS($AW$3:AW751,"?*",$AI$3:AI751,AI751)=1,MAX($BT$2:BT750)+1,""))</f>
      </c>
      <c r="BU751" s="129">
        <f>IF(AE751="",0,IF(OR(ISNUMBER(SEARCH("дубль",AE751)),ISNUMBER(SEARCH("ПЕРЕГРУЗ",AE751)),ISNUMBER(SEARCH("ЗАЩИЩ",AE751)),ISNUMBER(SEARCH("КАНАЛ",AE751)),ISNUMBER(SEARCH("без 30",AE751))),2,1))</f>
      </c>
      <c r="BV751" s="129">
        <f>IF(R751="","",COUNTIF($R$3:R751,"?*"))</f>
      </c>
      <c r="BW751" s="129">
        <f>IF(AY751&lt;&gt;1,0,IF(MAX(IFERROR(--VLOOKUP(R751,УГО_спр,5,FALSE),0),IFERROR(--VLOOKUP(AL751,УГО_спр,5,FALSE),0),IFERROR(--VLOOKUP(LEFT(AL751,2),УГО_спр,5,FALSE),0))&gt;0,MAX(IFERROR(--VLOOKUP(R751,УГО_спр,5,FALSE),0),IFERROR(--VLOOKUP(AL751,УГО_спр,5,FALSE),0),IFERROR(--VLOOKUP(LEFT(AL751,2),УГО_спр,5,FALSE),0)),IF(IFERROR(--LEFT(SUBSTITUTE(BQ751,"x","х"),FIND("х",SUBSTITUTE(BQ751,"x","х"))-1),3)&gt;3,Каталог!$S$9,1)))</f>
      </c>
      <c r="BX751" s="129">
        <f>IF(AY751&lt;&gt;1,0,MAX(0,IFERROR(--LEFT(SUBSTITUTE(BQ751,"x","х"),FIND("х",SUBSTITUTE(BQ751,"x","х"))-1),3)-3*BW751))</f>
      </c>
      <c r="BY751" s="129">
        <f>IF(R751="","",IFERROR(VLOOKUP(R751,УГО_спр,2,FALSE),IFERROR(VLOOKUP(AL751,УГО_спр,2,FALSE),IFERROR(VLOOKUP(LEFT(AL751,2),УГО_спр,2,FALSE),""))))</f>
      </c>
    </row>
    <row r="752" spans="1:64" x14ac:dyDescent="0.3">
      <c r="A752" s="135">
        <f>IF(Разбивка_по_щитам!F752=0,"",Разбивка_по_щитам!F752)</f>
        <v/>
      </c>
      <c r="B752" s="138">
        <f>IF(A752="","",Разбивка_по_щитам!C752)</f>
        <v/>
      </c>
      <c r="C752" s="138">
        <f t="shared" si="462"/>
        <v/>
      </c>
      <c r="D752" s="266"/>
      <c r="E752" s="266"/>
      <c r="F752" s="267"/>
      <c r="G752" s="145">
        <f t="shared" si="463"/>
        <v/>
      </c>
      <c r="H752" s="145">
        <f t="shared" si="464"/>
        <v/>
      </c>
      <c r="I752" s="266"/>
      <c r="J752" s="267"/>
      <c r="K752" s="267"/>
      <c r="L752" s="266"/>
      <c r="M752" s="147">
        <f t="shared" si="465"/>
        <v/>
      </c>
      <c r="N752" s="267"/>
      <c r="O752" s="147">
        <f t="shared" si="466"/>
        <v/>
      </c>
      <c r="P752" s="268">
        <f>IF(AY752=1,"XT"&amp;COUNTIFS($A$3:A752,A752,$AY$3:AY752,1),"")</f>
        <v/>
      </c>
      <c r="Q752" s="152">
        <f>IF(R752="","",IFERROR(SUBSTITUTE(Разбивка_по_щитам!P752,CHAR(10)," "),""))</f>
        <v/>
      </c>
      <c r="R752" s="153">
        <f>IF(OR(Разбивка_по_щитам!H752="",Разбивка_по_щитам!H752=0),"",Разбивка_по_щитам!H752)</f>
        <v/>
      </c>
      <c r="S752" s="154">
        <f>IF(R752="","",IFERROR(Разбивка_по_щитам!J752&amp;"",""))</f>
        <v/>
      </c>
      <c r="T752" s="155">
        <f>IF(R752="","",IFERROR(--Разбивка_по_щитам!L752,""))</f>
        <v/>
      </c>
      <c r="U752" s="155">
        <f>IF(R752="","",IFERROR(--Разбивка_по_щитам!K752,""))</f>
        <v/>
      </c>
      <c r="V752" s="138">
        <f>IF(R752="","",IFERROR(IF(Разбивка_по_щитам!M752=0,"",Разбивка_по_щитам!M752),""))</f>
        <v/>
      </c>
      <c r="W752" s="156">
        <f t="shared" si="467"/>
        <v/>
      </c>
      <c r="X752" s="157">
        <f t="shared" si="468"/>
        <v/>
      </c>
      <c r="Y752" s="266"/>
      <c r="Z752" s="158">
        <f t="shared" si="469"/>
        <v/>
      </c>
      <c r="AA752" s="160">
        <f t="shared" si="470"/>
        <v/>
      </c>
      <c r="AB752" s="160">
        <f>IF(R752="","",IFERROR(LOOKUP(INDEX(Справочная!$I$4:$I$19,MATCH(VLOOKUP(R752,Исходные_данные,22,FALSE),Справочная!$J$4:$J$19,0)+1),{6,10,16,20,25,32,40,50,63,80,100,125}),""))</f>
        <v/>
      </c>
      <c r="AC752" s="160">
        <f t="shared" si="471"/>
        <v/>
      </c>
      <c r="AD752" s="161">
        <f t="shared" si="472"/>
        <v/>
      </c>
      <c r="AE752" s="161">
        <f>IF(AND(R752="",G752=""),"",_xlfn.TEXTJOIN("; ",TRUE,IF(AND(R752&lt;&gt;"",V752=""),"нет фазы",""),IF(AND(R752&lt;&gt;"",N(T752)=0),"нет мощности",""),IF(AND(P752&lt;&gt;"",COUNTIFS($A$3:$A$1000,A752,$P$3:$P$1000,P752)&gt;1),"дубль клеммы "&amp;P752,""),IF(AND(W752&lt;&gt;"",W752&lt;&gt;"ok"),W752,""),IF(X752&lt;&gt;"",X752,""),IF(AND(ISNUMBER(SEARCH("(5х",Q752)),N(AK752)=1),"5 жил на 1 фазе",""),IF(AND(AL752="R",E752&lt;&gt;"",N(AS752)=0),"розетка без 30 мА",""),IF(IFERROR(_xlfn.NUMBERVALUE(MID(Q752,FIND("-",Q752,FIND("L=",Q752))+1,FIND("%",Q752)-FIND("-",Q752,FIND("L=",Q752))-1),","),0)&gt;4,"потери &gt; 4 %","")))</f>
      </c>
      <c r="AF752" s="129">
        <f>IF(E752&lt;&gt;"",COUNTIFS($A$3:A752,A752,$E$3:E752,"?*"),IF(OR(A752&lt;&gt;A751,Y752="вручную"),"",AF751))</f>
        <v/>
      </c>
      <c r="AG752" s="129">
        <f t="shared" si="473"/>
        <v/>
      </c>
      <c r="AH752" s="129">
        <f t="shared" si="474"/>
        <v/>
      </c>
      <c r="AI752" s="129">
        <f t="shared" si="475"/>
        <v/>
      </c>
      <c r="AJ752" s="129">
        <f t="shared" si="476"/>
        <v/>
      </c>
      <c r="AK752" s="129">
        <f t="shared" si="477"/>
        <v/>
      </c>
      <c r="AL752" s="129">
        <f t="shared" si="478"/>
        <v/>
      </c>
      <c r="AM752" s="129">
        <f t="shared" si="479"/>
      </c>
      <c r="AN752" s="129">
        <f t="shared" si="480"/>
      </c>
      <c r="AO752" s="129">
        <f t="shared" si="481"/>
        <v/>
      </c>
      <c r="AP752" s="129">
        <f t="shared" si="482"/>
        <v/>
      </c>
      <c r="AQ752" s="129">
        <f t="shared" si="483"/>
        <v/>
      </c>
      <c r="AR752" s="129">
        <f t="shared" si="484"/>
        <v/>
      </c>
      <c r="AS752" s="129">
        <f t="shared" si="485"/>
        <v/>
      </c>
      <c r="AT752" s="129">
        <f t="shared" si="486"/>
        <v/>
      </c>
      <c r="AU752" s="129">
        <f t="shared" si="487"/>
        <v/>
      </c>
      <c r="AV752" s="129">
        <f t="shared" si="488"/>
        <v/>
      </c>
      <c r="AW752" s="129">
        <f>IF(AV752="","",AV752&amp;"."&amp;COUNTIFS($A$3:A752,A752,$AV$3:AV752,AV752))</f>
        <v/>
      </c>
      <c r="AX752" s="129">
        <f t="shared" si="489"/>
        <v/>
      </c>
      <c r="AY752" s="129">
        <f>IF(N752="б/к",0,IF(OR(ISNUMBER(SEARCH("L=",Разбивка_по_щитам!P752)),N752="+",N752="="),1,0))</f>
      </c>
      <c r="AZ752" s="129">
        <f t="shared" si="490"/>
        <v/>
      </c>
      <c r="BA752" s="129">
        <f t="shared" si="491"/>
      </c>
      <c r="BB752" s="129">
        <f t="shared" si="492"/>
      </c>
      <c r="BD752" s="129">
        <f t="shared" si="493"/>
      </c>
      <c r="BE752" s="129">
        <f t="shared" si="494"/>
      </c>
      <c r="BF752" s="129">
        <f t="shared" si="495"/>
      </c>
      <c r="BG752" s="129">
        <f t="shared" si="496"/>
        <v/>
      </c>
      <c r="BH752" s="129">
        <f t="shared" si="497"/>
        <v/>
      </c>
      <c r="BI752" s="129">
        <f t="shared" si="498"/>
        <v/>
      </c>
      <c r="BJ752" s="129">
        <f t="shared" si="499"/>
        <v/>
      </c>
      <c r="BK752" s="129">
        <f>IF(R752="","",IF(OR(BY752="",BY752=0),"BOX",IFERROR(IF(VLOOKUP(BY752,УГО_блоки,3,FALSE)&amp;""&lt;&gt;"",VLOOKUP(BY752,УГО_блоки,3,FALSE),VLOOKUP(BY752,УГО_блоки,2,FALSE)),BY752)))</f>
      </c>
      <c r="BL752" s="129">
        <f t="shared" si="501"/>
      </c>
      <c r="BM752" s="129">
        <f>IF(H752="","",IF(COUNTIF($H$3:H752,H752)=1,MAX($BM$2:BM751)+1,""))</f>
      </c>
      <c r="BN752" s="129">
        <f>IF(I752="","",IF(COUNTIF($I$3:I752,I752)+COUNTIF($J$2:J751,I752)+COUNTIF($K$2:K751,I752)=1,MAX($BN$2:BP751)+1,""))</f>
      </c>
      <c r="BO752" s="129">
        <f>IF(J752="","",IF(COUNTIF($I$3:I752,J752)+COUNTIF($J$3:J752,J752)+COUNTIF($K$2:K751,J752)=1,MAX($BN$2:BP751,BN752)+1,""))</f>
      </c>
      <c r="BP752" s="129">
        <f>IF(K752="","",IF(COUNTIF($I$3:I752,K752)+COUNTIF($J$3:J752,K752)+COUNTIF($K$3:K752,K752)=1,MAX($BN$2:BP751,BN752,BO752)+1,""))</f>
      </c>
      <c r="BQ752" s="129">
        <f>IF(AY752=1,IFERROR(MID(Q752,FIND(" (",Q752)+2,FIND(")",Q752,FIND(" (",Q752))-FIND(" (",Q752)-2),"?"),"")</f>
      </c>
      <c r="BR752" s="129">
        <f>IF(BQ752="","",IF(COUNTIF($BQ$3:BQ752,BQ752)=1,MAX($BR$2:BR751)+1,""))</f>
      </c>
      <c r="BS752" s="129">
        <f>IF(AW752="","",COUNTIF($AW$3:AW752,"?*"))</f>
      </c>
      <c r="BT752" s="129">
        <f>IF(OR(AW752="",AI752=""),"",IF(COUNTIFS($AW$3:AW752,"?*",$AI$3:AI752,AI752)=1,MAX($BT$2:BT751)+1,""))</f>
      </c>
      <c r="BU752" s="129">
        <f>IF(AE752="",0,IF(OR(ISNUMBER(SEARCH("дубль",AE752)),ISNUMBER(SEARCH("ПЕРЕГРУЗ",AE752)),ISNUMBER(SEARCH("ЗАЩИЩ",AE752)),ISNUMBER(SEARCH("КАНАЛ",AE752)),ISNUMBER(SEARCH("без 30",AE752))),2,1))</f>
      </c>
      <c r="BV752" s="129">
        <f>IF(R752="","",COUNTIF($R$3:R752,"?*"))</f>
      </c>
      <c r="BW752" s="129">
        <f>IF(AY752&lt;&gt;1,0,IF(MAX(IFERROR(--VLOOKUP(R752,УГО_спр,5,FALSE),0),IFERROR(--VLOOKUP(AL752,УГО_спр,5,FALSE),0),IFERROR(--VLOOKUP(LEFT(AL752,2),УГО_спр,5,FALSE),0))&gt;0,MAX(IFERROR(--VLOOKUP(R752,УГО_спр,5,FALSE),0),IFERROR(--VLOOKUP(AL752,УГО_спр,5,FALSE),0),IFERROR(--VLOOKUP(LEFT(AL752,2),УГО_спр,5,FALSE),0)),IF(IFERROR(--LEFT(SUBSTITUTE(BQ752,"x","х"),FIND("х",SUBSTITUTE(BQ752,"x","х"))-1),3)&gt;3,Каталог!$S$9,1)))</f>
      </c>
      <c r="BX752" s="129">
        <f>IF(AY752&lt;&gt;1,0,MAX(0,IFERROR(--LEFT(SUBSTITUTE(BQ752,"x","х"),FIND("х",SUBSTITUTE(BQ752,"x","х"))-1),3)-3*BW752))</f>
      </c>
      <c r="BY752" s="129">
        <f>IF(R752="","",IFERROR(VLOOKUP(R752,УГО_спр,2,FALSE),IFERROR(VLOOKUP(AL752,УГО_спр,2,FALSE),IFERROR(VLOOKUP(LEFT(AL752,2),УГО_спр,2,FALSE),""))))</f>
      </c>
    </row>
    <row r="753" spans="1:64" x14ac:dyDescent="0.3">
      <c r="A753" s="135">
        <f>IF(Разбивка_по_щитам!F753=0,"",Разбивка_по_щитам!F753)</f>
        <v/>
      </c>
      <c r="B753" s="138">
        <f>IF(A753="","",Разбивка_по_щитам!C753)</f>
        <v/>
      </c>
      <c r="C753" s="138">
        <f t="shared" si="462"/>
        <v/>
      </c>
      <c r="D753" s="266"/>
      <c r="E753" s="266"/>
      <c r="F753" s="267"/>
      <c r="G753" s="145">
        <f t="shared" si="463"/>
        <v/>
      </c>
      <c r="H753" s="145">
        <f t="shared" si="464"/>
        <v/>
      </c>
      <c r="I753" s="266"/>
      <c r="J753" s="267"/>
      <c r="K753" s="267"/>
      <c r="L753" s="266"/>
      <c r="M753" s="147">
        <f t="shared" si="465"/>
        <v/>
      </c>
      <c r="N753" s="267"/>
      <c r="O753" s="147">
        <f t="shared" si="466"/>
        <v/>
      </c>
      <c r="P753" s="268">
        <f>IF(AY753=1,"XT"&amp;COUNTIFS($A$3:A753,A753,$AY$3:AY753,1),"")</f>
        <v/>
      </c>
      <c r="Q753" s="152">
        <f>IF(R753="","",IFERROR(SUBSTITUTE(Разбивка_по_щитам!P753,CHAR(10)," "),""))</f>
        <v/>
      </c>
      <c r="R753" s="153">
        <f>IF(OR(Разбивка_по_щитам!H753="",Разбивка_по_щитам!H753=0),"",Разбивка_по_щитам!H753)</f>
        <v/>
      </c>
      <c r="S753" s="154">
        <f>IF(R753="","",IFERROR(Разбивка_по_щитам!J753&amp;"",""))</f>
        <v/>
      </c>
      <c r="T753" s="155">
        <f>IF(R753="","",IFERROR(--Разбивка_по_щитам!L753,""))</f>
        <v/>
      </c>
      <c r="U753" s="155">
        <f>IF(R753="","",IFERROR(--Разбивка_по_щитам!K753,""))</f>
        <v/>
      </c>
      <c r="V753" s="138">
        <f>IF(R753="","",IFERROR(IF(Разбивка_по_щитам!M753=0,"",Разбивка_по_щитам!M753),""))</f>
        <v/>
      </c>
      <c r="W753" s="156">
        <f t="shared" si="467"/>
        <v/>
      </c>
      <c r="X753" s="157">
        <f t="shared" si="468"/>
        <v/>
      </c>
      <c r="Y753" s="266"/>
      <c r="Z753" s="158">
        <f t="shared" si="469"/>
        <v/>
      </c>
      <c r="AA753" s="160">
        <f t="shared" si="470"/>
        <v/>
      </c>
      <c r="AB753" s="160">
        <f>IF(R753="","",IFERROR(LOOKUP(INDEX(Справочная!$I$4:$I$19,MATCH(VLOOKUP(R753,Исходные_данные,22,FALSE),Справочная!$J$4:$J$19,0)+1),{6,10,16,20,25,32,40,50,63,80,100,125}),""))</f>
        <v/>
      </c>
      <c r="AC753" s="160">
        <f t="shared" si="471"/>
        <v/>
      </c>
      <c r="AD753" s="161">
        <f t="shared" si="472"/>
        <v/>
      </c>
      <c r="AE753" s="161">
        <f>IF(AND(R753="",G753=""),"",_xlfn.TEXTJOIN("; ",TRUE,IF(AND(R753&lt;&gt;"",V753=""),"нет фазы",""),IF(AND(R753&lt;&gt;"",N(T753)=0),"нет мощности",""),IF(AND(P753&lt;&gt;"",COUNTIFS($A$3:$A$1000,A753,$P$3:$P$1000,P753)&gt;1),"дубль клеммы "&amp;P753,""),IF(AND(W753&lt;&gt;"",W753&lt;&gt;"ok"),W753,""),IF(X753&lt;&gt;"",X753,""),IF(AND(ISNUMBER(SEARCH("(5х",Q753)),N(AK753)=1),"5 жил на 1 фазе",""),IF(AND(AL753="R",E753&lt;&gt;"",N(AS753)=0),"розетка без 30 мА",""),IF(IFERROR(_xlfn.NUMBERVALUE(MID(Q753,FIND("-",Q753,FIND("L=",Q753))+1,FIND("%",Q753)-FIND("-",Q753,FIND("L=",Q753))-1),","),0)&gt;4,"потери &gt; 4 %","")))</f>
      </c>
      <c r="AF753" s="129">
        <f>IF(E753&lt;&gt;"",COUNTIFS($A$3:A753,A753,$E$3:E753,"?*"),IF(OR(A753&lt;&gt;A752,Y753="вручную"),"",AF752))</f>
        <v/>
      </c>
      <c r="AG753" s="129">
        <f t="shared" si="473"/>
        <v/>
      </c>
      <c r="AH753" s="129">
        <f t="shared" si="474"/>
        <v/>
      </c>
      <c r="AI753" s="129">
        <f t="shared" si="475"/>
        <v/>
      </c>
      <c r="AJ753" s="129">
        <f t="shared" si="476"/>
        <v/>
      </c>
      <c r="AK753" s="129">
        <f t="shared" si="477"/>
        <v/>
      </c>
      <c r="AL753" s="129">
        <f t="shared" si="478"/>
        <v/>
      </c>
      <c r="AM753" s="129">
        <f t="shared" si="479"/>
      </c>
      <c r="AN753" s="129">
        <f t="shared" si="480"/>
      </c>
      <c r="AO753" s="129">
        <f t="shared" si="481"/>
        <v/>
      </c>
      <c r="AP753" s="129">
        <f t="shared" si="482"/>
        <v/>
      </c>
      <c r="AQ753" s="129">
        <f t="shared" si="483"/>
        <v/>
      </c>
      <c r="AR753" s="129">
        <f t="shared" si="484"/>
        <v/>
      </c>
      <c r="AS753" s="129">
        <f t="shared" si="485"/>
        <v/>
      </c>
      <c r="AT753" s="129">
        <f t="shared" si="486"/>
        <v/>
      </c>
      <c r="AU753" s="129">
        <f t="shared" si="487"/>
        <v/>
      </c>
      <c r="AV753" s="129">
        <f t="shared" si="488"/>
        <v/>
      </c>
      <c r="AW753" s="129">
        <f>IF(AV753="","",AV753&amp;"."&amp;COUNTIFS($A$3:A753,A753,$AV$3:AV753,AV753))</f>
        <v/>
      </c>
      <c r="AX753" s="129">
        <f t="shared" si="489"/>
        <v/>
      </c>
      <c r="AY753" s="129">
        <f>IF(N753="б/к",0,IF(OR(ISNUMBER(SEARCH("L=",Разбивка_по_щитам!P753)),N753="+",N753="="),1,0))</f>
      </c>
      <c r="AZ753" s="129">
        <f t="shared" si="490"/>
        <v/>
      </c>
      <c r="BA753" s="129">
        <f t="shared" si="491"/>
      </c>
      <c r="BB753" s="129">
        <f t="shared" si="492"/>
      </c>
      <c r="BD753" s="129">
        <f t="shared" si="493"/>
      </c>
      <c r="BE753" s="129">
        <f t="shared" si="494"/>
      </c>
      <c r="BF753" s="129">
        <f t="shared" si="495"/>
      </c>
      <c r="BG753" s="129">
        <f t="shared" si="496"/>
        <v/>
      </c>
      <c r="BH753" s="129">
        <f t="shared" si="497"/>
        <v/>
      </c>
      <c r="BI753" s="129">
        <f t="shared" si="498"/>
        <v/>
      </c>
      <c r="BJ753" s="129">
        <f t="shared" si="499"/>
        <v/>
      </c>
      <c r="BK753" s="129">
        <f>IF(R753="","",IF(OR(BY753="",BY753=0),"BOX",IFERROR(IF(VLOOKUP(BY753,УГО_блоки,3,FALSE)&amp;""&lt;&gt;"",VLOOKUP(BY753,УГО_блоки,3,FALSE),VLOOKUP(BY753,УГО_блоки,2,FALSE)),BY753)))</f>
      </c>
      <c r="BL753" s="129">
        <f t="shared" si="501"/>
      </c>
      <c r="BM753" s="129">
        <f>IF(H753="","",IF(COUNTIF($H$3:H753,H753)=1,MAX($BM$2:BM752)+1,""))</f>
      </c>
      <c r="BN753" s="129">
        <f>IF(I753="","",IF(COUNTIF($I$3:I753,I753)+COUNTIF($J$2:J752,I753)+COUNTIF($K$2:K752,I753)=1,MAX($BN$2:BP752)+1,""))</f>
      </c>
      <c r="BO753" s="129">
        <f>IF(J753="","",IF(COUNTIF($I$3:I753,J753)+COUNTIF($J$3:J753,J753)+COUNTIF($K$2:K752,J753)=1,MAX($BN$2:BP752,BN753)+1,""))</f>
      </c>
      <c r="BP753" s="129">
        <f>IF(K753="","",IF(COUNTIF($I$3:I753,K753)+COUNTIF($J$3:J753,K753)+COUNTIF($K$3:K753,K753)=1,MAX($BN$2:BP752,BN753,BO753)+1,""))</f>
      </c>
      <c r="BQ753" s="129">
        <f>IF(AY753=1,IFERROR(MID(Q753,FIND(" (",Q753)+2,FIND(")",Q753,FIND(" (",Q753))-FIND(" (",Q753)-2),"?"),"")</f>
      </c>
      <c r="BR753" s="129">
        <f>IF(BQ753="","",IF(COUNTIF($BQ$3:BQ753,BQ753)=1,MAX($BR$2:BR752)+1,""))</f>
      </c>
      <c r="BS753" s="129">
        <f>IF(AW753="","",COUNTIF($AW$3:AW753,"?*"))</f>
      </c>
      <c r="BT753" s="129">
        <f>IF(OR(AW753="",AI753=""),"",IF(COUNTIFS($AW$3:AW753,"?*",$AI$3:AI753,AI753)=1,MAX($BT$2:BT752)+1,""))</f>
      </c>
      <c r="BU753" s="129">
        <f>IF(AE753="",0,IF(OR(ISNUMBER(SEARCH("дубль",AE753)),ISNUMBER(SEARCH("ПЕРЕГРУЗ",AE753)),ISNUMBER(SEARCH("ЗАЩИЩ",AE753)),ISNUMBER(SEARCH("КАНАЛ",AE753)),ISNUMBER(SEARCH("без 30",AE753))),2,1))</f>
      </c>
      <c r="BV753" s="129">
        <f>IF(R753="","",COUNTIF($R$3:R753,"?*"))</f>
      </c>
      <c r="BW753" s="129">
        <f>IF(AY753&lt;&gt;1,0,IF(MAX(IFERROR(--VLOOKUP(R753,УГО_спр,5,FALSE),0),IFERROR(--VLOOKUP(AL753,УГО_спр,5,FALSE),0),IFERROR(--VLOOKUP(LEFT(AL753,2),УГО_спр,5,FALSE),0))&gt;0,MAX(IFERROR(--VLOOKUP(R753,УГО_спр,5,FALSE),0),IFERROR(--VLOOKUP(AL753,УГО_спр,5,FALSE),0),IFERROR(--VLOOKUP(LEFT(AL753,2),УГО_спр,5,FALSE),0)),IF(IFERROR(--LEFT(SUBSTITUTE(BQ753,"x","х"),FIND("х",SUBSTITUTE(BQ753,"x","х"))-1),3)&gt;3,Каталог!$S$9,1)))</f>
      </c>
      <c r="BX753" s="129">
        <f>IF(AY753&lt;&gt;1,0,MAX(0,IFERROR(--LEFT(SUBSTITUTE(BQ753,"x","х"),FIND("х",SUBSTITUTE(BQ753,"x","х"))-1),3)-3*BW753))</f>
      </c>
      <c r="BY753" s="129">
        <f>IF(R753="","",IFERROR(VLOOKUP(R753,УГО_спр,2,FALSE),IFERROR(VLOOKUP(AL753,УГО_спр,2,FALSE),IFERROR(VLOOKUP(LEFT(AL753,2),УГО_спр,2,FALSE),""))))</f>
      </c>
    </row>
    <row r="754" spans="1:64" x14ac:dyDescent="0.3">
      <c r="A754" s="135">
        <f>IF(Разбивка_по_щитам!F754=0,"",Разбивка_по_щитам!F754)</f>
        <v/>
      </c>
      <c r="B754" s="138">
        <f>IF(A754="","",Разбивка_по_щитам!C754)</f>
        <v/>
      </c>
      <c r="C754" s="138">
        <f t="shared" si="462"/>
        <v/>
      </c>
      <c r="D754" s="266"/>
      <c r="E754" s="266"/>
      <c r="F754" s="267"/>
      <c r="G754" s="145">
        <f t="shared" si="463"/>
        <v/>
      </c>
      <c r="H754" s="145">
        <f t="shared" si="464"/>
        <v/>
      </c>
      <c r="I754" s="266"/>
      <c r="J754" s="267"/>
      <c r="K754" s="267"/>
      <c r="L754" s="266"/>
      <c r="M754" s="147">
        <f t="shared" si="465"/>
        <v/>
      </c>
      <c r="N754" s="267"/>
      <c r="O754" s="147">
        <f t="shared" si="466"/>
        <v/>
      </c>
      <c r="P754" s="268">
        <f>IF(AY754=1,"XT"&amp;COUNTIFS($A$3:A754,A754,$AY$3:AY754,1),"")</f>
        <v/>
      </c>
      <c r="Q754" s="152">
        <f>IF(R754="","",IFERROR(SUBSTITUTE(Разбивка_по_щитам!P754,CHAR(10)," "),""))</f>
        <v/>
      </c>
      <c r="R754" s="153">
        <f>IF(OR(Разбивка_по_щитам!H754="",Разбивка_по_щитам!H754=0),"",Разбивка_по_щитам!H754)</f>
        <v/>
      </c>
      <c r="S754" s="154">
        <f>IF(R754="","",IFERROR(Разбивка_по_щитам!J754&amp;"",""))</f>
        <v/>
      </c>
      <c r="T754" s="155">
        <f>IF(R754="","",IFERROR(--Разбивка_по_щитам!L754,""))</f>
        <v/>
      </c>
      <c r="U754" s="155">
        <f>IF(R754="","",IFERROR(--Разбивка_по_щитам!K754,""))</f>
        <v/>
      </c>
      <c r="V754" s="138">
        <f>IF(R754="","",IFERROR(IF(Разбивка_по_щитам!M754=0,"",Разбивка_по_щитам!M754),""))</f>
        <v/>
      </c>
      <c r="W754" s="156">
        <f t="shared" si="467"/>
        <v/>
      </c>
      <c r="X754" s="157">
        <f t="shared" si="468"/>
        <v/>
      </c>
      <c r="Y754" s="266"/>
      <c r="Z754" s="158">
        <f t="shared" si="469"/>
        <v/>
      </c>
      <c r="AA754" s="160">
        <f t="shared" si="470"/>
        <v/>
      </c>
      <c r="AB754" s="160">
        <f>IF(R754="","",IFERROR(LOOKUP(INDEX(Справочная!$I$4:$I$19,MATCH(VLOOKUP(R754,Исходные_данные,22,FALSE),Справочная!$J$4:$J$19,0)+1),{6,10,16,20,25,32,40,50,63,80,100,125}),""))</f>
        <v/>
      </c>
      <c r="AC754" s="160">
        <f t="shared" si="471"/>
        <v/>
      </c>
      <c r="AD754" s="161">
        <f t="shared" si="472"/>
        <v/>
      </c>
      <c r="AE754" s="161">
        <f>IF(AND(R754="",G754=""),"",_xlfn.TEXTJOIN("; ",TRUE,IF(AND(R754&lt;&gt;"",V754=""),"нет фазы",""),IF(AND(R754&lt;&gt;"",N(T754)=0),"нет мощности",""),IF(AND(P754&lt;&gt;"",COUNTIFS($A$3:$A$1000,A754,$P$3:$P$1000,P754)&gt;1),"дубль клеммы "&amp;P754,""),IF(AND(W754&lt;&gt;"",W754&lt;&gt;"ok"),W754,""),IF(X754&lt;&gt;"",X754,""),IF(AND(ISNUMBER(SEARCH("(5х",Q754)),N(AK754)=1),"5 жил на 1 фазе",""),IF(AND(AL754="R",E754&lt;&gt;"",N(AS754)=0),"розетка без 30 мА",""),IF(IFERROR(_xlfn.NUMBERVALUE(MID(Q754,FIND("-",Q754,FIND("L=",Q754))+1,FIND("%",Q754)-FIND("-",Q754,FIND("L=",Q754))-1),","),0)&gt;4,"потери &gt; 4 %","")))</f>
      </c>
      <c r="AF754" s="129">
        <f>IF(E754&lt;&gt;"",COUNTIFS($A$3:A754,A754,$E$3:E754,"?*"),IF(OR(A754&lt;&gt;A753,Y754="вручную"),"",AF753))</f>
        <v/>
      </c>
      <c r="AG754" s="129">
        <f t="shared" si="473"/>
        <v/>
      </c>
      <c r="AH754" s="129">
        <f t="shared" si="474"/>
        <v/>
      </c>
      <c r="AI754" s="129">
        <f t="shared" si="475"/>
        <v/>
      </c>
      <c r="AJ754" s="129">
        <f t="shared" si="476"/>
        <v/>
      </c>
      <c r="AK754" s="129">
        <f t="shared" si="477"/>
        <v/>
      </c>
      <c r="AL754" s="129">
        <f t="shared" si="478"/>
        <v/>
      </c>
      <c r="AM754" s="129">
        <f t="shared" si="479"/>
      </c>
      <c r="AN754" s="129">
        <f t="shared" si="480"/>
      </c>
      <c r="AO754" s="129">
        <f t="shared" si="481"/>
        <v/>
      </c>
      <c r="AP754" s="129">
        <f t="shared" si="482"/>
        <v/>
      </c>
      <c r="AQ754" s="129">
        <f t="shared" si="483"/>
        <v/>
      </c>
      <c r="AR754" s="129">
        <f t="shared" si="484"/>
        <v/>
      </c>
      <c r="AS754" s="129">
        <f t="shared" si="485"/>
        <v/>
      </c>
      <c r="AT754" s="129">
        <f t="shared" si="486"/>
        <v/>
      </c>
      <c r="AU754" s="129">
        <f t="shared" si="487"/>
        <v/>
      </c>
      <c r="AV754" s="129">
        <f t="shared" si="488"/>
        <v/>
      </c>
      <c r="AW754" s="129">
        <f>IF(AV754="","",AV754&amp;"."&amp;COUNTIFS($A$3:A754,A754,$AV$3:AV754,AV754))</f>
        <v/>
      </c>
      <c r="AX754" s="129">
        <f t="shared" si="489"/>
        <v/>
      </c>
      <c r="AY754" s="129">
        <f>IF(N754="б/к",0,IF(OR(ISNUMBER(SEARCH("L=",Разбивка_по_щитам!P754)),N754="+",N754="="),1,0))</f>
      </c>
      <c r="AZ754" s="129">
        <f t="shared" si="490"/>
        <v/>
      </c>
      <c r="BA754" s="129">
        <f t="shared" si="491"/>
      </c>
      <c r="BB754" s="129">
        <f t="shared" si="492"/>
      </c>
      <c r="BD754" s="129">
        <f t="shared" si="493"/>
      </c>
      <c r="BE754" s="129">
        <f t="shared" si="494"/>
      </c>
      <c r="BF754" s="129">
        <f t="shared" si="495"/>
      </c>
      <c r="BG754" s="129">
        <f t="shared" si="496"/>
        <v/>
      </c>
      <c r="BH754" s="129">
        <f t="shared" si="497"/>
        <v/>
      </c>
      <c r="BI754" s="129">
        <f t="shared" si="498"/>
        <v/>
      </c>
      <c r="BJ754" s="129">
        <f t="shared" si="499"/>
        <v/>
      </c>
      <c r="BK754" s="129">
        <f>IF(R754="","",IF(OR(BY754="",BY754=0),"BOX",IFERROR(IF(VLOOKUP(BY754,УГО_блоки,3,FALSE)&amp;""&lt;&gt;"",VLOOKUP(BY754,УГО_блоки,3,FALSE),VLOOKUP(BY754,УГО_блоки,2,FALSE)),BY754)))</f>
      </c>
      <c r="BL754" s="129">
        <f t="shared" si="501"/>
      </c>
      <c r="BM754" s="129">
        <f>IF(H754="","",IF(COUNTIF($H$3:H754,H754)=1,MAX($BM$2:BM753)+1,""))</f>
      </c>
      <c r="BN754" s="129">
        <f>IF(I754="","",IF(COUNTIF($I$3:I754,I754)+COUNTIF($J$2:J753,I754)+COUNTIF($K$2:K753,I754)=1,MAX($BN$2:BP753)+1,""))</f>
      </c>
      <c r="BO754" s="129">
        <f>IF(J754="","",IF(COUNTIF($I$3:I754,J754)+COUNTIF($J$3:J754,J754)+COUNTIF($K$2:K753,J754)=1,MAX($BN$2:BP753,BN754)+1,""))</f>
      </c>
      <c r="BP754" s="129">
        <f>IF(K754="","",IF(COUNTIF($I$3:I754,K754)+COUNTIF($J$3:J754,K754)+COUNTIF($K$3:K754,K754)=1,MAX($BN$2:BP753,BN754,BO754)+1,""))</f>
      </c>
      <c r="BQ754" s="129">
        <f>IF(AY754=1,IFERROR(MID(Q754,FIND(" (",Q754)+2,FIND(")",Q754,FIND(" (",Q754))-FIND(" (",Q754)-2),"?"),"")</f>
      </c>
      <c r="BR754" s="129">
        <f>IF(BQ754="","",IF(COUNTIF($BQ$3:BQ754,BQ754)=1,MAX($BR$2:BR753)+1,""))</f>
      </c>
      <c r="BS754" s="129">
        <f>IF(AW754="","",COUNTIF($AW$3:AW754,"?*"))</f>
      </c>
      <c r="BT754" s="129">
        <f>IF(OR(AW754="",AI754=""),"",IF(COUNTIFS($AW$3:AW754,"?*",$AI$3:AI754,AI754)=1,MAX($BT$2:BT753)+1,""))</f>
      </c>
      <c r="BU754" s="129">
        <f>IF(AE754="",0,IF(OR(ISNUMBER(SEARCH("дубль",AE754)),ISNUMBER(SEARCH("ПЕРЕГРУЗ",AE754)),ISNUMBER(SEARCH("ЗАЩИЩ",AE754)),ISNUMBER(SEARCH("КАНАЛ",AE754)),ISNUMBER(SEARCH("без 30",AE754))),2,1))</f>
      </c>
      <c r="BV754" s="129">
        <f>IF(R754="","",COUNTIF($R$3:R754,"?*"))</f>
      </c>
      <c r="BW754" s="129">
        <f>IF(AY754&lt;&gt;1,0,IF(MAX(IFERROR(--VLOOKUP(R754,УГО_спр,5,FALSE),0),IFERROR(--VLOOKUP(AL754,УГО_спр,5,FALSE),0),IFERROR(--VLOOKUP(LEFT(AL754,2),УГО_спр,5,FALSE),0))&gt;0,MAX(IFERROR(--VLOOKUP(R754,УГО_спр,5,FALSE),0),IFERROR(--VLOOKUP(AL754,УГО_спр,5,FALSE),0),IFERROR(--VLOOKUP(LEFT(AL754,2),УГО_спр,5,FALSE),0)),IF(IFERROR(--LEFT(SUBSTITUTE(BQ754,"x","х"),FIND("х",SUBSTITUTE(BQ754,"x","х"))-1),3)&gt;3,Каталог!$S$9,1)))</f>
      </c>
      <c r="BX754" s="129">
        <f>IF(AY754&lt;&gt;1,0,MAX(0,IFERROR(--LEFT(SUBSTITUTE(BQ754,"x","х"),FIND("х",SUBSTITUTE(BQ754,"x","х"))-1),3)-3*BW754))</f>
      </c>
      <c r="BY754" s="129">
        <f>IF(R754="","",IFERROR(VLOOKUP(R754,УГО_спр,2,FALSE),IFERROR(VLOOKUP(AL754,УГО_спр,2,FALSE),IFERROR(VLOOKUP(LEFT(AL754,2),УГО_спр,2,FALSE),""))))</f>
      </c>
    </row>
    <row r="755" spans="1:64" x14ac:dyDescent="0.3">
      <c r="A755" s="135">
        <f>IF(Разбивка_по_щитам!F755=0,"",Разбивка_по_щитам!F755)</f>
        <v/>
      </c>
      <c r="B755" s="138">
        <f>IF(A755="","",Разбивка_по_щитам!C755)</f>
        <v/>
      </c>
      <c r="C755" s="138">
        <f t="shared" si="462"/>
        <v/>
      </c>
      <c r="D755" s="266"/>
      <c r="E755" s="266"/>
      <c r="F755" s="267"/>
      <c r="G755" s="145">
        <f t="shared" si="463"/>
        <v/>
      </c>
      <c r="H755" s="145">
        <f t="shared" si="464"/>
        <v/>
      </c>
      <c r="I755" s="266"/>
      <c r="J755" s="267"/>
      <c r="K755" s="267"/>
      <c r="L755" s="266"/>
      <c r="M755" s="147">
        <f t="shared" si="465"/>
        <v/>
      </c>
      <c r="N755" s="267"/>
      <c r="O755" s="147">
        <f t="shared" si="466"/>
        <v/>
      </c>
      <c r="P755" s="268">
        <f>IF(AY755=1,"XT"&amp;COUNTIFS($A$3:A755,A755,$AY$3:AY755,1),"")</f>
        <v/>
      </c>
      <c r="Q755" s="152">
        <f>IF(R755="","",IFERROR(SUBSTITUTE(Разбивка_по_щитам!P755,CHAR(10)," "),""))</f>
        <v/>
      </c>
      <c r="R755" s="153">
        <f>IF(OR(Разбивка_по_щитам!H755="",Разбивка_по_щитам!H755=0),"",Разбивка_по_щитам!H755)</f>
        <v/>
      </c>
      <c r="S755" s="154">
        <f>IF(R755="","",IFERROR(Разбивка_по_щитам!J755&amp;"",""))</f>
        <v/>
      </c>
      <c r="T755" s="155">
        <f>IF(R755="","",IFERROR(--Разбивка_по_щитам!L755,""))</f>
        <v/>
      </c>
      <c r="U755" s="155">
        <f>IF(R755="","",IFERROR(--Разбивка_по_щитам!K755,""))</f>
        <v/>
      </c>
      <c r="V755" s="138">
        <f>IF(R755="","",IFERROR(IF(Разбивка_по_щитам!M755=0,"",Разбивка_по_щитам!M755),""))</f>
        <v/>
      </c>
      <c r="W755" s="156">
        <f t="shared" si="467"/>
        <v/>
      </c>
      <c r="X755" s="157">
        <f t="shared" si="468"/>
        <v/>
      </c>
      <c r="Y755" s="266"/>
      <c r="Z755" s="158">
        <f t="shared" si="469"/>
        <v/>
      </c>
      <c r="AA755" s="160">
        <f t="shared" si="470"/>
        <v/>
      </c>
      <c r="AB755" s="160">
        <f>IF(R755="","",IFERROR(LOOKUP(INDEX(Справочная!$I$4:$I$19,MATCH(VLOOKUP(R755,Исходные_данные,22,FALSE),Справочная!$J$4:$J$19,0)+1),{6,10,16,20,25,32,40,50,63,80,100,125}),""))</f>
        <v/>
      </c>
      <c r="AC755" s="160">
        <f t="shared" si="471"/>
        <v/>
      </c>
      <c r="AD755" s="161">
        <f t="shared" si="472"/>
        <v/>
      </c>
      <c r="AE755" s="161">
        <f>IF(AND(R755="",G755=""),"",_xlfn.TEXTJOIN("; ",TRUE,IF(AND(R755&lt;&gt;"",V755=""),"нет фазы",""),IF(AND(R755&lt;&gt;"",N(T755)=0),"нет мощности",""),IF(AND(P755&lt;&gt;"",COUNTIFS($A$3:$A$1000,A755,$P$3:$P$1000,P755)&gt;1),"дубль клеммы "&amp;P755,""),IF(AND(W755&lt;&gt;"",W755&lt;&gt;"ok"),W755,""),IF(X755&lt;&gt;"",X755,""),IF(AND(ISNUMBER(SEARCH("(5х",Q755)),N(AK755)=1),"5 жил на 1 фазе",""),IF(AND(AL755="R",E755&lt;&gt;"",N(AS755)=0),"розетка без 30 мА",""),IF(IFERROR(_xlfn.NUMBERVALUE(MID(Q755,FIND("-",Q755,FIND("L=",Q755))+1,FIND("%",Q755)-FIND("-",Q755,FIND("L=",Q755))-1),","),0)&gt;4,"потери &gt; 4 %","")))</f>
      </c>
      <c r="AF755" s="129">
        <f>IF(E755&lt;&gt;"",COUNTIFS($A$3:A755,A755,$E$3:E755,"?*"),IF(OR(A755&lt;&gt;A754,Y755="вручную"),"",AF754))</f>
        <v/>
      </c>
      <c r="AG755" s="129">
        <f t="shared" si="473"/>
        <v/>
      </c>
      <c r="AH755" s="129">
        <f t="shared" si="474"/>
        <v/>
      </c>
      <c r="AI755" s="129">
        <f t="shared" si="475"/>
        <v/>
      </c>
      <c r="AJ755" s="129">
        <f t="shared" si="476"/>
        <v/>
      </c>
      <c r="AK755" s="129">
        <f t="shared" si="477"/>
        <v/>
      </c>
      <c r="AL755" s="129">
        <f t="shared" si="478"/>
        <v/>
      </c>
      <c r="AM755" s="129">
        <f t="shared" si="479"/>
      </c>
      <c r="AN755" s="129">
        <f t="shared" si="480"/>
      </c>
      <c r="AO755" s="129">
        <f t="shared" si="481"/>
        <v/>
      </c>
      <c r="AP755" s="129">
        <f t="shared" si="482"/>
        <v/>
      </c>
      <c r="AQ755" s="129">
        <f t="shared" si="483"/>
        <v/>
      </c>
      <c r="AR755" s="129">
        <f t="shared" si="484"/>
        <v/>
      </c>
      <c r="AS755" s="129">
        <f t="shared" si="485"/>
        <v/>
      </c>
      <c r="AT755" s="129">
        <f t="shared" si="486"/>
        <v/>
      </c>
      <c r="AU755" s="129">
        <f t="shared" si="487"/>
        <v/>
      </c>
      <c r="AV755" s="129">
        <f t="shared" si="488"/>
        <v/>
      </c>
      <c r="AW755" s="129">
        <f>IF(AV755="","",AV755&amp;"."&amp;COUNTIFS($A$3:A755,A755,$AV$3:AV755,AV755))</f>
        <v/>
      </c>
      <c r="AX755" s="129">
        <f t="shared" si="489"/>
        <v/>
      </c>
      <c r="AY755" s="129">
        <f>IF(N755="б/к",0,IF(OR(ISNUMBER(SEARCH("L=",Разбивка_по_щитам!P755)),N755="+",N755="="),1,0))</f>
      </c>
      <c r="AZ755" s="129">
        <f t="shared" si="490"/>
        <v/>
      </c>
      <c r="BA755" s="129">
        <f t="shared" si="491"/>
      </c>
      <c r="BB755" s="129">
        <f t="shared" si="492"/>
      </c>
      <c r="BD755" s="129">
        <f t="shared" si="493"/>
      </c>
      <c r="BE755" s="129">
        <f t="shared" si="494"/>
      </c>
      <c r="BF755" s="129">
        <f t="shared" si="495"/>
      </c>
      <c r="BG755" s="129">
        <f t="shared" si="496"/>
        <v/>
      </c>
      <c r="BH755" s="129">
        <f t="shared" si="497"/>
        <v/>
      </c>
      <c r="BI755" s="129">
        <f t="shared" si="498"/>
        <v/>
      </c>
      <c r="BJ755" s="129">
        <f t="shared" si="499"/>
        <v/>
      </c>
      <c r="BK755" s="129">
        <f>IF(R755="","",IF(OR(BY755="",BY755=0),"BOX",IFERROR(IF(VLOOKUP(BY755,УГО_блоки,3,FALSE)&amp;""&lt;&gt;"",VLOOKUP(BY755,УГО_блоки,3,FALSE),VLOOKUP(BY755,УГО_блоки,2,FALSE)),BY755)))</f>
      </c>
      <c r="BL755" s="129">
        <f t="shared" si="501"/>
      </c>
      <c r="BM755" s="129">
        <f>IF(H755="","",IF(COUNTIF($H$3:H755,H755)=1,MAX($BM$2:BM754)+1,""))</f>
      </c>
      <c r="BN755" s="129">
        <f>IF(I755="","",IF(COUNTIF($I$3:I755,I755)+COUNTIF($J$2:J754,I755)+COUNTIF($K$2:K754,I755)=1,MAX($BN$2:BP754)+1,""))</f>
      </c>
      <c r="BO755" s="129">
        <f>IF(J755="","",IF(COUNTIF($I$3:I755,J755)+COUNTIF($J$3:J755,J755)+COUNTIF($K$2:K754,J755)=1,MAX($BN$2:BP754,BN755)+1,""))</f>
      </c>
      <c r="BP755" s="129">
        <f>IF(K755="","",IF(COUNTIF($I$3:I755,K755)+COUNTIF($J$3:J755,K755)+COUNTIF($K$3:K755,K755)=1,MAX($BN$2:BP754,BN755,BO755)+1,""))</f>
      </c>
      <c r="BQ755" s="129">
        <f>IF(AY755=1,IFERROR(MID(Q755,FIND(" (",Q755)+2,FIND(")",Q755,FIND(" (",Q755))-FIND(" (",Q755)-2),"?"),"")</f>
      </c>
      <c r="BR755" s="129">
        <f>IF(BQ755="","",IF(COUNTIF($BQ$3:BQ755,BQ755)=1,MAX($BR$2:BR754)+1,""))</f>
      </c>
      <c r="BS755" s="129">
        <f>IF(AW755="","",COUNTIF($AW$3:AW755,"?*"))</f>
      </c>
      <c r="BT755" s="129">
        <f>IF(OR(AW755="",AI755=""),"",IF(COUNTIFS($AW$3:AW755,"?*",$AI$3:AI755,AI755)=1,MAX($BT$2:BT754)+1,""))</f>
      </c>
      <c r="BU755" s="129">
        <f>IF(AE755="",0,IF(OR(ISNUMBER(SEARCH("дубль",AE755)),ISNUMBER(SEARCH("ПЕРЕГРУЗ",AE755)),ISNUMBER(SEARCH("ЗАЩИЩ",AE755)),ISNUMBER(SEARCH("КАНАЛ",AE755)),ISNUMBER(SEARCH("без 30",AE755))),2,1))</f>
      </c>
      <c r="BV755" s="129">
        <f>IF(R755="","",COUNTIF($R$3:R755,"?*"))</f>
      </c>
      <c r="BW755" s="129">
        <f>IF(AY755&lt;&gt;1,0,IF(MAX(IFERROR(--VLOOKUP(R755,УГО_спр,5,FALSE),0),IFERROR(--VLOOKUP(AL755,УГО_спр,5,FALSE),0),IFERROR(--VLOOKUP(LEFT(AL755,2),УГО_спр,5,FALSE),0))&gt;0,MAX(IFERROR(--VLOOKUP(R755,УГО_спр,5,FALSE),0),IFERROR(--VLOOKUP(AL755,УГО_спр,5,FALSE),0),IFERROR(--VLOOKUP(LEFT(AL755,2),УГО_спр,5,FALSE),0)),IF(IFERROR(--LEFT(SUBSTITUTE(BQ755,"x","х"),FIND("х",SUBSTITUTE(BQ755,"x","х"))-1),3)&gt;3,Каталог!$S$9,1)))</f>
      </c>
      <c r="BX755" s="129">
        <f>IF(AY755&lt;&gt;1,0,MAX(0,IFERROR(--LEFT(SUBSTITUTE(BQ755,"x","х"),FIND("х",SUBSTITUTE(BQ755,"x","х"))-1),3)-3*BW755))</f>
      </c>
      <c r="BY755" s="129">
        <f>IF(R755="","",IFERROR(VLOOKUP(R755,УГО_спр,2,FALSE),IFERROR(VLOOKUP(AL755,УГО_спр,2,FALSE),IFERROR(VLOOKUP(LEFT(AL755,2),УГО_спр,2,FALSE),""))))</f>
      </c>
    </row>
    <row r="756" spans="1:64" x14ac:dyDescent="0.3">
      <c r="A756" s="135">
        <f>IF(Разбивка_по_щитам!F756=0,"",Разбивка_по_щитам!F756)</f>
        <v/>
      </c>
      <c r="B756" s="138">
        <f>IF(A756="","",Разбивка_по_щитам!C756)</f>
        <v/>
      </c>
      <c r="C756" s="138">
        <f t="shared" si="462"/>
        <v/>
      </c>
      <c r="D756" s="266"/>
      <c r="E756" s="266"/>
      <c r="F756" s="267"/>
      <c r="G756" s="145">
        <f t="shared" si="463"/>
        <v/>
      </c>
      <c r="H756" s="145">
        <f t="shared" si="464"/>
        <v/>
      </c>
      <c r="I756" s="266"/>
      <c r="J756" s="267"/>
      <c r="K756" s="267"/>
      <c r="L756" s="266"/>
      <c r="M756" s="147">
        <f t="shared" si="465"/>
        <v/>
      </c>
      <c r="N756" s="267"/>
      <c r="O756" s="147">
        <f t="shared" si="466"/>
        <v/>
      </c>
      <c r="P756" s="268">
        <f>IF(AY756=1,"XT"&amp;COUNTIFS($A$3:A756,A756,$AY$3:AY756,1),"")</f>
        <v/>
      </c>
      <c r="Q756" s="152">
        <f>IF(R756="","",IFERROR(SUBSTITUTE(Разбивка_по_щитам!P756,CHAR(10)," "),""))</f>
        <v/>
      </c>
      <c r="R756" s="153">
        <f>IF(OR(Разбивка_по_щитам!H756="",Разбивка_по_щитам!H756=0),"",Разбивка_по_щитам!H756)</f>
        <v/>
      </c>
      <c r="S756" s="154">
        <f>IF(R756="","",IFERROR(Разбивка_по_щитам!J756&amp;"",""))</f>
        <v/>
      </c>
      <c r="T756" s="155">
        <f>IF(R756="","",IFERROR(--Разбивка_по_щитам!L756,""))</f>
        <v/>
      </c>
      <c r="U756" s="155">
        <f>IF(R756="","",IFERROR(--Разбивка_по_щитам!K756,""))</f>
        <v/>
      </c>
      <c r="V756" s="138">
        <f>IF(R756="","",IFERROR(IF(Разбивка_по_щитам!M756=0,"",Разбивка_по_щитам!M756),""))</f>
        <v/>
      </c>
      <c r="W756" s="156">
        <f t="shared" si="467"/>
        <v/>
      </c>
      <c r="X756" s="157">
        <f t="shared" si="468"/>
        <v/>
      </c>
      <c r="Y756" s="266"/>
      <c r="Z756" s="158">
        <f t="shared" si="469"/>
        <v/>
      </c>
      <c r="AA756" s="160">
        <f t="shared" si="470"/>
        <v/>
      </c>
      <c r="AB756" s="160">
        <f>IF(R756="","",IFERROR(LOOKUP(INDEX(Справочная!$I$4:$I$19,MATCH(VLOOKUP(R756,Исходные_данные,22,FALSE),Справочная!$J$4:$J$19,0)+1),{6,10,16,20,25,32,40,50,63,80,100,125}),""))</f>
        <v/>
      </c>
      <c r="AC756" s="160">
        <f t="shared" si="471"/>
        <v/>
      </c>
      <c r="AD756" s="161">
        <f t="shared" si="472"/>
        <v/>
      </c>
      <c r="AE756" s="161">
        <f>IF(AND(R756="",G756=""),"",_xlfn.TEXTJOIN("; ",TRUE,IF(AND(R756&lt;&gt;"",V756=""),"нет фазы",""),IF(AND(R756&lt;&gt;"",N(T756)=0),"нет мощности",""),IF(AND(P756&lt;&gt;"",COUNTIFS($A$3:$A$1000,A756,$P$3:$P$1000,P756)&gt;1),"дубль клеммы "&amp;P756,""),IF(AND(W756&lt;&gt;"",W756&lt;&gt;"ok"),W756,""),IF(X756&lt;&gt;"",X756,""),IF(AND(ISNUMBER(SEARCH("(5х",Q756)),N(AK756)=1),"5 жил на 1 фазе",""),IF(AND(AL756="R",E756&lt;&gt;"",N(AS756)=0),"розетка без 30 мА",""),IF(IFERROR(_xlfn.NUMBERVALUE(MID(Q756,FIND("-",Q756,FIND("L=",Q756))+1,FIND("%",Q756)-FIND("-",Q756,FIND("L=",Q756))-1),","),0)&gt;4,"потери &gt; 4 %","")))</f>
      </c>
      <c r="AF756" s="129">
        <f>IF(E756&lt;&gt;"",COUNTIFS($A$3:A756,A756,$E$3:E756,"?*"),IF(OR(A756&lt;&gt;A755,Y756="вручную"),"",AF755))</f>
        <v/>
      </c>
      <c r="AG756" s="129">
        <f t="shared" si="473"/>
        <v/>
      </c>
      <c r="AH756" s="129">
        <f t="shared" si="474"/>
        <v/>
      </c>
      <c r="AI756" s="129">
        <f t="shared" si="475"/>
        <v/>
      </c>
      <c r="AJ756" s="129">
        <f t="shared" si="476"/>
        <v/>
      </c>
      <c r="AK756" s="129">
        <f t="shared" si="477"/>
        <v/>
      </c>
      <c r="AL756" s="129">
        <f t="shared" si="478"/>
        <v/>
      </c>
      <c r="AM756" s="129">
        <f t="shared" si="479"/>
      </c>
      <c r="AN756" s="129">
        <f t="shared" si="480"/>
      </c>
      <c r="AO756" s="129">
        <f t="shared" si="481"/>
        <v/>
      </c>
      <c r="AP756" s="129">
        <f t="shared" si="482"/>
        <v/>
      </c>
      <c r="AQ756" s="129">
        <f t="shared" si="483"/>
        <v/>
      </c>
      <c r="AR756" s="129">
        <f t="shared" si="484"/>
        <v/>
      </c>
      <c r="AS756" s="129">
        <f t="shared" si="485"/>
        <v/>
      </c>
      <c r="AT756" s="129">
        <f t="shared" si="486"/>
        <v/>
      </c>
      <c r="AU756" s="129">
        <f t="shared" si="487"/>
        <v/>
      </c>
      <c r="AV756" s="129">
        <f t="shared" si="488"/>
        <v/>
      </c>
      <c r="AW756" s="129">
        <f>IF(AV756="","",AV756&amp;"."&amp;COUNTIFS($A$3:A756,A756,$AV$3:AV756,AV756))</f>
        <v/>
      </c>
      <c r="AX756" s="129">
        <f t="shared" si="489"/>
        <v/>
      </c>
      <c r="AY756" s="129">
        <f>IF(N756="б/к",0,IF(OR(ISNUMBER(SEARCH("L=",Разбивка_по_щитам!P756)),N756="+",N756="="),1,0))</f>
      </c>
      <c r="AZ756" s="129">
        <f t="shared" si="490"/>
        <v/>
      </c>
      <c r="BA756" s="129">
        <f t="shared" si="491"/>
      </c>
      <c r="BB756" s="129">
        <f t="shared" si="492"/>
      </c>
      <c r="BD756" s="129">
        <f t="shared" si="493"/>
      </c>
      <c r="BE756" s="129">
        <f t="shared" si="494"/>
      </c>
      <c r="BF756" s="129">
        <f t="shared" si="495"/>
      </c>
      <c r="BG756" s="129">
        <f t="shared" si="496"/>
        <v/>
      </c>
      <c r="BH756" s="129">
        <f t="shared" si="497"/>
        <v/>
      </c>
      <c r="BI756" s="129">
        <f t="shared" si="498"/>
        <v/>
      </c>
      <c r="BJ756" s="129">
        <f t="shared" si="499"/>
        <v/>
      </c>
      <c r="BK756" s="129">
        <f>IF(R756="","",IF(OR(BY756="",BY756=0),"BOX",IFERROR(IF(VLOOKUP(BY756,УГО_блоки,3,FALSE)&amp;""&lt;&gt;"",VLOOKUP(BY756,УГО_блоки,3,FALSE),VLOOKUP(BY756,УГО_блоки,2,FALSE)),BY756)))</f>
      </c>
      <c r="BL756" s="129">
        <f t="shared" si="501"/>
      </c>
      <c r="BM756" s="129">
        <f>IF(H756="","",IF(COUNTIF($H$3:H756,H756)=1,MAX($BM$2:BM755)+1,""))</f>
      </c>
      <c r="BN756" s="129">
        <f>IF(I756="","",IF(COUNTIF($I$3:I756,I756)+COUNTIF($J$2:J755,I756)+COUNTIF($K$2:K755,I756)=1,MAX($BN$2:BP755)+1,""))</f>
      </c>
      <c r="BO756" s="129">
        <f>IF(J756="","",IF(COUNTIF($I$3:I756,J756)+COUNTIF($J$3:J756,J756)+COUNTIF($K$2:K755,J756)=1,MAX($BN$2:BP755,BN756)+1,""))</f>
      </c>
      <c r="BP756" s="129">
        <f>IF(K756="","",IF(COUNTIF($I$3:I756,K756)+COUNTIF($J$3:J756,K756)+COUNTIF($K$3:K756,K756)=1,MAX($BN$2:BP755,BN756,BO756)+1,""))</f>
      </c>
      <c r="BQ756" s="129">
        <f>IF(AY756=1,IFERROR(MID(Q756,FIND(" (",Q756)+2,FIND(")",Q756,FIND(" (",Q756))-FIND(" (",Q756)-2),"?"),"")</f>
      </c>
      <c r="BR756" s="129">
        <f>IF(BQ756="","",IF(COUNTIF($BQ$3:BQ756,BQ756)=1,MAX($BR$2:BR755)+1,""))</f>
      </c>
      <c r="BS756" s="129">
        <f>IF(AW756="","",COUNTIF($AW$3:AW756,"?*"))</f>
      </c>
      <c r="BT756" s="129">
        <f>IF(OR(AW756="",AI756=""),"",IF(COUNTIFS($AW$3:AW756,"?*",$AI$3:AI756,AI756)=1,MAX($BT$2:BT755)+1,""))</f>
      </c>
      <c r="BU756" s="129">
        <f>IF(AE756="",0,IF(OR(ISNUMBER(SEARCH("дубль",AE756)),ISNUMBER(SEARCH("ПЕРЕГРУЗ",AE756)),ISNUMBER(SEARCH("ЗАЩИЩ",AE756)),ISNUMBER(SEARCH("КАНАЛ",AE756)),ISNUMBER(SEARCH("без 30",AE756))),2,1))</f>
      </c>
      <c r="BV756" s="129">
        <f>IF(R756="","",COUNTIF($R$3:R756,"?*"))</f>
      </c>
      <c r="BW756" s="129">
        <f>IF(AY756&lt;&gt;1,0,IF(MAX(IFERROR(--VLOOKUP(R756,УГО_спр,5,FALSE),0),IFERROR(--VLOOKUP(AL756,УГО_спр,5,FALSE),0),IFERROR(--VLOOKUP(LEFT(AL756,2),УГО_спр,5,FALSE),0))&gt;0,MAX(IFERROR(--VLOOKUP(R756,УГО_спр,5,FALSE),0),IFERROR(--VLOOKUP(AL756,УГО_спр,5,FALSE),0),IFERROR(--VLOOKUP(LEFT(AL756,2),УГО_спр,5,FALSE),0)),IF(IFERROR(--LEFT(SUBSTITUTE(BQ756,"x","х"),FIND("х",SUBSTITUTE(BQ756,"x","х"))-1),3)&gt;3,Каталог!$S$9,1)))</f>
      </c>
      <c r="BX756" s="129">
        <f>IF(AY756&lt;&gt;1,0,MAX(0,IFERROR(--LEFT(SUBSTITUTE(BQ756,"x","х"),FIND("х",SUBSTITUTE(BQ756,"x","х"))-1),3)-3*BW756))</f>
      </c>
      <c r="BY756" s="129">
        <f>IF(R756="","",IFERROR(VLOOKUP(R756,УГО_спр,2,FALSE),IFERROR(VLOOKUP(AL756,УГО_спр,2,FALSE),IFERROR(VLOOKUP(LEFT(AL756,2),УГО_спр,2,FALSE),""))))</f>
      </c>
    </row>
    <row r="757" spans="1:64" x14ac:dyDescent="0.3">
      <c r="A757" s="135">
        <f>IF(Разбивка_по_щитам!F757=0,"",Разбивка_по_щитам!F757)</f>
        <v/>
      </c>
      <c r="B757" s="138">
        <f>IF(A757="","",Разбивка_по_щитам!C757)</f>
        <v/>
      </c>
      <c r="C757" s="138">
        <f t="shared" si="462"/>
        <v/>
      </c>
      <c r="D757" s="266"/>
      <c r="E757" s="266"/>
      <c r="F757" s="267"/>
      <c r="G757" s="145">
        <f t="shared" si="463"/>
        <v/>
      </c>
      <c r="H757" s="145">
        <f t="shared" si="464"/>
        <v/>
      </c>
      <c r="I757" s="266"/>
      <c r="J757" s="267"/>
      <c r="K757" s="267"/>
      <c r="L757" s="266"/>
      <c r="M757" s="147">
        <f t="shared" si="465"/>
        <v/>
      </c>
      <c r="N757" s="267"/>
      <c r="O757" s="147">
        <f t="shared" si="466"/>
        <v/>
      </c>
      <c r="P757" s="268">
        <f>IF(AY757=1,"XT"&amp;COUNTIFS($A$3:A757,A757,$AY$3:AY757,1),"")</f>
        <v/>
      </c>
      <c r="Q757" s="152">
        <f>IF(R757="","",IFERROR(SUBSTITUTE(Разбивка_по_щитам!P757,CHAR(10)," "),""))</f>
        <v/>
      </c>
      <c r="R757" s="153">
        <f>IF(OR(Разбивка_по_щитам!H757="",Разбивка_по_щитам!H757=0),"",Разбивка_по_щитам!H757)</f>
        <v/>
      </c>
      <c r="S757" s="154">
        <f>IF(R757="","",IFERROR(Разбивка_по_щитам!J757&amp;"",""))</f>
        <v/>
      </c>
      <c r="T757" s="155">
        <f>IF(R757="","",IFERROR(--Разбивка_по_щитам!L757,""))</f>
        <v/>
      </c>
      <c r="U757" s="155">
        <f>IF(R757="","",IFERROR(--Разбивка_по_щитам!K757,""))</f>
        <v/>
      </c>
      <c r="V757" s="138">
        <f>IF(R757="","",IFERROR(IF(Разбивка_по_щитам!M757=0,"",Разбивка_по_щитам!M757),""))</f>
        <v/>
      </c>
      <c r="W757" s="156">
        <f t="shared" si="467"/>
        <v/>
      </c>
      <c r="X757" s="157">
        <f t="shared" si="468"/>
        <v/>
      </c>
      <c r="Y757" s="266"/>
      <c r="Z757" s="158">
        <f t="shared" si="469"/>
        <v/>
      </c>
      <c r="AA757" s="160">
        <f t="shared" si="470"/>
        <v/>
      </c>
      <c r="AB757" s="160">
        <f>IF(R757="","",IFERROR(LOOKUP(INDEX(Справочная!$I$4:$I$19,MATCH(VLOOKUP(R757,Исходные_данные,22,FALSE),Справочная!$J$4:$J$19,0)+1),{6,10,16,20,25,32,40,50,63,80,100,125}),""))</f>
        <v/>
      </c>
      <c r="AC757" s="160">
        <f t="shared" si="471"/>
        <v/>
      </c>
      <c r="AD757" s="161">
        <f t="shared" si="472"/>
        <v/>
      </c>
      <c r="AE757" s="161">
        <f>IF(AND(R757="",G757=""),"",_xlfn.TEXTJOIN("; ",TRUE,IF(AND(R757&lt;&gt;"",V757=""),"нет фазы",""),IF(AND(R757&lt;&gt;"",N(T757)=0),"нет мощности",""),IF(AND(P757&lt;&gt;"",COUNTIFS($A$3:$A$1000,A757,$P$3:$P$1000,P757)&gt;1),"дубль клеммы "&amp;P757,""),IF(AND(W757&lt;&gt;"",W757&lt;&gt;"ok"),W757,""),IF(X757&lt;&gt;"",X757,""),IF(AND(ISNUMBER(SEARCH("(5х",Q757)),N(AK757)=1),"5 жил на 1 фазе",""),IF(AND(AL757="R",E757&lt;&gt;"",N(AS757)=0),"розетка без 30 мА",""),IF(IFERROR(_xlfn.NUMBERVALUE(MID(Q757,FIND("-",Q757,FIND("L=",Q757))+1,FIND("%",Q757)-FIND("-",Q757,FIND("L=",Q757))-1),","),0)&gt;4,"потери &gt; 4 %","")))</f>
      </c>
      <c r="AF757" s="129">
        <f>IF(E757&lt;&gt;"",COUNTIFS($A$3:A757,A757,$E$3:E757,"?*"),IF(OR(A757&lt;&gt;A756,Y757="вручную"),"",AF756))</f>
        <v/>
      </c>
      <c r="AG757" s="129">
        <f t="shared" si="473"/>
        <v/>
      </c>
      <c r="AH757" s="129">
        <f t="shared" si="474"/>
        <v/>
      </c>
      <c r="AI757" s="129">
        <f t="shared" si="475"/>
        <v/>
      </c>
      <c r="AJ757" s="129">
        <f t="shared" si="476"/>
        <v/>
      </c>
      <c r="AK757" s="129">
        <f t="shared" si="477"/>
        <v/>
      </c>
      <c r="AL757" s="129">
        <f t="shared" si="478"/>
        <v/>
      </c>
      <c r="AM757" s="129">
        <f t="shared" si="479"/>
      </c>
      <c r="AN757" s="129">
        <f t="shared" si="480"/>
      </c>
      <c r="AO757" s="129">
        <f t="shared" si="481"/>
        <v/>
      </c>
      <c r="AP757" s="129">
        <f t="shared" si="482"/>
        <v/>
      </c>
      <c r="AQ757" s="129">
        <f t="shared" si="483"/>
        <v/>
      </c>
      <c r="AR757" s="129">
        <f t="shared" si="484"/>
        <v/>
      </c>
      <c r="AS757" s="129">
        <f t="shared" si="485"/>
        <v/>
      </c>
      <c r="AT757" s="129">
        <f t="shared" si="486"/>
        <v/>
      </c>
      <c r="AU757" s="129">
        <f t="shared" si="487"/>
        <v/>
      </c>
      <c r="AV757" s="129">
        <f t="shared" si="488"/>
        <v/>
      </c>
      <c r="AW757" s="129">
        <f>IF(AV757="","",AV757&amp;"."&amp;COUNTIFS($A$3:A757,A757,$AV$3:AV757,AV757))</f>
        <v/>
      </c>
      <c r="AX757" s="129">
        <f t="shared" si="489"/>
        <v/>
      </c>
      <c r="AY757" s="129">
        <f>IF(N757="б/к",0,IF(OR(ISNUMBER(SEARCH("L=",Разбивка_по_щитам!P757)),N757="+",N757="="),1,0))</f>
      </c>
      <c r="AZ757" s="129">
        <f t="shared" si="490"/>
        <v/>
      </c>
      <c r="BA757" s="129">
        <f t="shared" si="491"/>
      </c>
      <c r="BB757" s="129">
        <f t="shared" si="492"/>
      </c>
      <c r="BD757" s="129">
        <f t="shared" si="493"/>
      </c>
      <c r="BE757" s="129">
        <f t="shared" si="494"/>
      </c>
      <c r="BF757" s="129">
        <f t="shared" si="495"/>
      </c>
      <c r="BG757" s="129">
        <f t="shared" si="496"/>
        <v/>
      </c>
      <c r="BH757" s="129">
        <f t="shared" si="497"/>
        <v/>
      </c>
      <c r="BI757" s="129">
        <f t="shared" si="498"/>
        <v/>
      </c>
      <c r="BJ757" s="129">
        <f t="shared" si="499"/>
        <v/>
      </c>
      <c r="BK757" s="129">
        <f>IF(R757="","",IF(OR(BY757="",BY757=0),"BOX",IFERROR(IF(VLOOKUP(BY757,УГО_блоки,3,FALSE)&amp;""&lt;&gt;"",VLOOKUP(BY757,УГО_блоки,3,FALSE),VLOOKUP(BY757,УГО_блоки,2,FALSE)),BY757)))</f>
      </c>
      <c r="BL757" s="129">
        <f t="shared" si="501"/>
      </c>
      <c r="BM757" s="129">
        <f>IF(H757="","",IF(COUNTIF($H$3:H757,H757)=1,MAX($BM$2:BM756)+1,""))</f>
      </c>
      <c r="BN757" s="129">
        <f>IF(I757="","",IF(COUNTIF($I$3:I757,I757)+COUNTIF($J$2:J756,I757)+COUNTIF($K$2:K756,I757)=1,MAX($BN$2:BP756)+1,""))</f>
      </c>
      <c r="BO757" s="129">
        <f>IF(J757="","",IF(COUNTIF($I$3:I757,J757)+COUNTIF($J$3:J757,J757)+COUNTIF($K$2:K756,J757)=1,MAX($BN$2:BP756,BN757)+1,""))</f>
      </c>
      <c r="BP757" s="129">
        <f>IF(K757="","",IF(COUNTIF($I$3:I757,K757)+COUNTIF($J$3:J757,K757)+COUNTIF($K$3:K757,K757)=1,MAX($BN$2:BP756,BN757,BO757)+1,""))</f>
      </c>
      <c r="BQ757" s="129">
        <f>IF(AY757=1,IFERROR(MID(Q757,FIND(" (",Q757)+2,FIND(")",Q757,FIND(" (",Q757))-FIND(" (",Q757)-2),"?"),"")</f>
      </c>
      <c r="BR757" s="129">
        <f>IF(BQ757="","",IF(COUNTIF($BQ$3:BQ757,BQ757)=1,MAX($BR$2:BR756)+1,""))</f>
      </c>
      <c r="BS757" s="129">
        <f>IF(AW757="","",COUNTIF($AW$3:AW757,"?*"))</f>
      </c>
      <c r="BT757" s="129">
        <f>IF(OR(AW757="",AI757=""),"",IF(COUNTIFS($AW$3:AW757,"?*",$AI$3:AI757,AI757)=1,MAX($BT$2:BT756)+1,""))</f>
      </c>
      <c r="BU757" s="129">
        <f>IF(AE757="",0,IF(OR(ISNUMBER(SEARCH("дубль",AE757)),ISNUMBER(SEARCH("ПЕРЕГРУЗ",AE757)),ISNUMBER(SEARCH("ЗАЩИЩ",AE757)),ISNUMBER(SEARCH("КАНАЛ",AE757)),ISNUMBER(SEARCH("без 30",AE757))),2,1))</f>
      </c>
      <c r="BV757" s="129">
        <f>IF(R757="","",COUNTIF($R$3:R757,"?*"))</f>
      </c>
      <c r="BW757" s="129">
        <f>IF(AY757&lt;&gt;1,0,IF(MAX(IFERROR(--VLOOKUP(R757,УГО_спр,5,FALSE),0),IFERROR(--VLOOKUP(AL757,УГО_спр,5,FALSE),0),IFERROR(--VLOOKUP(LEFT(AL757,2),УГО_спр,5,FALSE),0))&gt;0,MAX(IFERROR(--VLOOKUP(R757,УГО_спр,5,FALSE),0),IFERROR(--VLOOKUP(AL757,УГО_спр,5,FALSE),0),IFERROR(--VLOOKUP(LEFT(AL757,2),УГО_спр,5,FALSE),0)),IF(IFERROR(--LEFT(SUBSTITUTE(BQ757,"x","х"),FIND("х",SUBSTITUTE(BQ757,"x","х"))-1),3)&gt;3,Каталог!$S$9,1)))</f>
      </c>
      <c r="BX757" s="129">
        <f>IF(AY757&lt;&gt;1,0,MAX(0,IFERROR(--LEFT(SUBSTITUTE(BQ757,"x","х"),FIND("х",SUBSTITUTE(BQ757,"x","х"))-1),3)-3*BW757))</f>
      </c>
      <c r="BY757" s="129">
        <f>IF(R757="","",IFERROR(VLOOKUP(R757,УГО_спр,2,FALSE),IFERROR(VLOOKUP(AL757,УГО_спр,2,FALSE),IFERROR(VLOOKUP(LEFT(AL757,2),УГО_спр,2,FALSE),""))))</f>
      </c>
    </row>
    <row r="758" spans="1:64" x14ac:dyDescent="0.3">
      <c r="A758" s="135">
        <f>IF(Разбивка_по_щитам!F758=0,"",Разбивка_по_щитам!F758)</f>
        <v/>
      </c>
      <c r="B758" s="138">
        <f>IF(A758="","",Разбивка_по_щитам!C758)</f>
        <v/>
      </c>
      <c r="C758" s="138">
        <f t="shared" si="462"/>
        <v/>
      </c>
      <c r="D758" s="266"/>
      <c r="E758" s="266"/>
      <c r="F758" s="267"/>
      <c r="G758" s="145">
        <f t="shared" si="463"/>
        <v/>
      </c>
      <c r="H758" s="145">
        <f t="shared" si="464"/>
        <v/>
      </c>
      <c r="I758" s="266"/>
      <c r="J758" s="267"/>
      <c r="K758" s="267"/>
      <c r="L758" s="266"/>
      <c r="M758" s="147">
        <f t="shared" si="465"/>
        <v/>
      </c>
      <c r="N758" s="267"/>
      <c r="O758" s="147">
        <f t="shared" si="466"/>
        <v/>
      </c>
      <c r="P758" s="268">
        <f>IF(AY758=1,"XT"&amp;COUNTIFS($A$3:A758,A758,$AY$3:AY758,1),"")</f>
        <v/>
      </c>
      <c r="Q758" s="152">
        <f>IF(R758="","",IFERROR(SUBSTITUTE(Разбивка_по_щитам!P758,CHAR(10)," "),""))</f>
        <v/>
      </c>
      <c r="R758" s="153">
        <f>IF(OR(Разбивка_по_щитам!H758="",Разбивка_по_щитам!H758=0),"",Разбивка_по_щитам!H758)</f>
        <v/>
      </c>
      <c r="S758" s="154">
        <f>IF(R758="","",IFERROR(Разбивка_по_щитам!J758&amp;"",""))</f>
        <v/>
      </c>
      <c r="T758" s="155">
        <f>IF(R758="","",IFERROR(--Разбивка_по_щитам!L758,""))</f>
        <v/>
      </c>
      <c r="U758" s="155">
        <f>IF(R758="","",IFERROR(--Разбивка_по_щитам!K758,""))</f>
        <v/>
      </c>
      <c r="V758" s="138">
        <f>IF(R758="","",IFERROR(IF(Разбивка_по_щитам!M758=0,"",Разбивка_по_щитам!M758),""))</f>
        <v/>
      </c>
      <c r="W758" s="156">
        <f t="shared" si="467"/>
        <v/>
      </c>
      <c r="X758" s="157">
        <f t="shared" si="468"/>
        <v/>
      </c>
      <c r="Y758" s="266"/>
      <c r="Z758" s="158">
        <f t="shared" si="469"/>
        <v/>
      </c>
      <c r="AA758" s="160">
        <f t="shared" si="470"/>
        <v/>
      </c>
      <c r="AB758" s="160">
        <f>IF(R758="","",IFERROR(LOOKUP(INDEX(Справочная!$I$4:$I$19,MATCH(VLOOKUP(R758,Исходные_данные,22,FALSE),Справочная!$J$4:$J$19,0)+1),{6,10,16,20,25,32,40,50,63,80,100,125}),""))</f>
        <v/>
      </c>
      <c r="AC758" s="160">
        <f t="shared" si="471"/>
        <v/>
      </c>
      <c r="AD758" s="161">
        <f t="shared" si="472"/>
        <v/>
      </c>
      <c r="AE758" s="161">
        <f>IF(AND(R758="",G758=""),"",_xlfn.TEXTJOIN("; ",TRUE,IF(AND(R758&lt;&gt;"",V758=""),"нет фазы",""),IF(AND(R758&lt;&gt;"",N(T758)=0),"нет мощности",""),IF(AND(P758&lt;&gt;"",COUNTIFS($A$3:$A$1000,A758,$P$3:$P$1000,P758)&gt;1),"дубль клеммы "&amp;P758,""),IF(AND(W758&lt;&gt;"",W758&lt;&gt;"ok"),W758,""),IF(X758&lt;&gt;"",X758,""),IF(AND(ISNUMBER(SEARCH("(5х",Q758)),N(AK758)=1),"5 жил на 1 фазе",""),IF(AND(AL758="R",E758&lt;&gt;"",N(AS758)=0),"розетка без 30 мА",""),IF(IFERROR(_xlfn.NUMBERVALUE(MID(Q758,FIND("-",Q758,FIND("L=",Q758))+1,FIND("%",Q758)-FIND("-",Q758,FIND("L=",Q758))-1),","),0)&gt;4,"потери &gt; 4 %","")))</f>
      </c>
      <c r="AF758" s="129">
        <f>IF(E758&lt;&gt;"",COUNTIFS($A$3:A758,A758,$E$3:E758,"?*"),IF(OR(A758&lt;&gt;A757,Y758="вручную"),"",AF757))</f>
        <v/>
      </c>
      <c r="AG758" s="129">
        <f t="shared" si="473"/>
        <v/>
      </c>
      <c r="AH758" s="129">
        <f t="shared" si="474"/>
        <v/>
      </c>
      <c r="AI758" s="129">
        <f t="shared" si="475"/>
        <v/>
      </c>
      <c r="AJ758" s="129">
        <f t="shared" si="476"/>
        <v/>
      </c>
      <c r="AK758" s="129">
        <f t="shared" si="477"/>
        <v/>
      </c>
      <c r="AL758" s="129">
        <f t="shared" si="478"/>
        <v/>
      </c>
      <c r="AM758" s="129">
        <f t="shared" si="479"/>
      </c>
      <c r="AN758" s="129">
        <f t="shared" si="480"/>
      </c>
      <c r="AO758" s="129">
        <f t="shared" si="481"/>
        <v/>
      </c>
      <c r="AP758" s="129">
        <f t="shared" si="482"/>
        <v/>
      </c>
      <c r="AQ758" s="129">
        <f t="shared" si="483"/>
        <v/>
      </c>
      <c r="AR758" s="129">
        <f t="shared" si="484"/>
        <v/>
      </c>
      <c r="AS758" s="129">
        <f t="shared" si="485"/>
        <v/>
      </c>
      <c r="AT758" s="129">
        <f t="shared" si="486"/>
        <v/>
      </c>
      <c r="AU758" s="129">
        <f t="shared" si="487"/>
        <v/>
      </c>
      <c r="AV758" s="129">
        <f t="shared" si="488"/>
        <v/>
      </c>
      <c r="AW758" s="129">
        <f>IF(AV758="","",AV758&amp;"."&amp;COUNTIFS($A$3:A758,A758,$AV$3:AV758,AV758))</f>
        <v/>
      </c>
      <c r="AX758" s="129">
        <f t="shared" si="489"/>
        <v/>
      </c>
      <c r="AY758" s="129">
        <f>IF(N758="б/к",0,IF(OR(ISNUMBER(SEARCH("L=",Разбивка_по_щитам!P758)),N758="+",N758="="),1,0))</f>
      </c>
      <c r="AZ758" s="129">
        <f t="shared" si="490"/>
        <v/>
      </c>
      <c r="BA758" s="129">
        <f t="shared" si="491"/>
      </c>
      <c r="BB758" s="129">
        <f t="shared" si="492"/>
      </c>
      <c r="BD758" s="129">
        <f t="shared" si="493"/>
      </c>
      <c r="BE758" s="129">
        <f t="shared" si="494"/>
      </c>
      <c r="BF758" s="129">
        <f t="shared" si="495"/>
      </c>
      <c r="BG758" s="129">
        <f t="shared" si="496"/>
        <v/>
      </c>
      <c r="BH758" s="129">
        <f t="shared" si="497"/>
        <v/>
      </c>
      <c r="BI758" s="129">
        <f t="shared" si="498"/>
        <v/>
      </c>
      <c r="BJ758" s="129">
        <f t="shared" si="499"/>
        <v/>
      </c>
      <c r="BK758" s="129">
        <f>IF(R758="","",IF(OR(BY758="",BY758=0),"BOX",IFERROR(IF(VLOOKUP(BY758,УГО_блоки,3,FALSE)&amp;""&lt;&gt;"",VLOOKUP(BY758,УГО_блоки,3,FALSE),VLOOKUP(BY758,УГО_блоки,2,FALSE)),BY758)))</f>
      </c>
      <c r="BL758" s="129">
        <f t="shared" si="501"/>
      </c>
      <c r="BM758" s="129">
        <f>IF(H758="","",IF(COUNTIF($H$3:H758,H758)=1,MAX($BM$2:BM757)+1,""))</f>
      </c>
      <c r="BN758" s="129">
        <f>IF(I758="","",IF(COUNTIF($I$3:I758,I758)+COUNTIF($J$2:J757,I758)+COUNTIF($K$2:K757,I758)=1,MAX($BN$2:BP757)+1,""))</f>
      </c>
      <c r="BO758" s="129">
        <f>IF(J758="","",IF(COUNTIF($I$3:I758,J758)+COUNTIF($J$3:J758,J758)+COUNTIF($K$2:K757,J758)=1,MAX($BN$2:BP757,BN758)+1,""))</f>
      </c>
      <c r="BP758" s="129">
        <f>IF(K758="","",IF(COUNTIF($I$3:I758,K758)+COUNTIF($J$3:J758,K758)+COUNTIF($K$3:K758,K758)=1,MAX($BN$2:BP757,BN758,BO758)+1,""))</f>
      </c>
      <c r="BQ758" s="129">
        <f>IF(AY758=1,IFERROR(MID(Q758,FIND(" (",Q758)+2,FIND(")",Q758,FIND(" (",Q758))-FIND(" (",Q758)-2),"?"),"")</f>
      </c>
      <c r="BR758" s="129">
        <f>IF(BQ758="","",IF(COUNTIF($BQ$3:BQ758,BQ758)=1,MAX($BR$2:BR757)+1,""))</f>
      </c>
      <c r="BS758" s="129">
        <f>IF(AW758="","",COUNTIF($AW$3:AW758,"?*"))</f>
      </c>
      <c r="BT758" s="129">
        <f>IF(OR(AW758="",AI758=""),"",IF(COUNTIFS($AW$3:AW758,"?*",$AI$3:AI758,AI758)=1,MAX($BT$2:BT757)+1,""))</f>
      </c>
      <c r="BU758" s="129">
        <f>IF(AE758="",0,IF(OR(ISNUMBER(SEARCH("дубль",AE758)),ISNUMBER(SEARCH("ПЕРЕГРУЗ",AE758)),ISNUMBER(SEARCH("ЗАЩИЩ",AE758)),ISNUMBER(SEARCH("КАНАЛ",AE758)),ISNUMBER(SEARCH("без 30",AE758))),2,1))</f>
      </c>
      <c r="BV758" s="129">
        <f>IF(R758="","",COUNTIF($R$3:R758,"?*"))</f>
      </c>
      <c r="BW758" s="129">
        <f>IF(AY758&lt;&gt;1,0,IF(MAX(IFERROR(--VLOOKUP(R758,УГО_спр,5,FALSE),0),IFERROR(--VLOOKUP(AL758,УГО_спр,5,FALSE),0),IFERROR(--VLOOKUP(LEFT(AL758,2),УГО_спр,5,FALSE),0))&gt;0,MAX(IFERROR(--VLOOKUP(R758,УГО_спр,5,FALSE),0),IFERROR(--VLOOKUP(AL758,УГО_спр,5,FALSE),0),IFERROR(--VLOOKUP(LEFT(AL758,2),УГО_спр,5,FALSE),0)),IF(IFERROR(--LEFT(SUBSTITUTE(BQ758,"x","х"),FIND("х",SUBSTITUTE(BQ758,"x","х"))-1),3)&gt;3,Каталог!$S$9,1)))</f>
      </c>
      <c r="BX758" s="129">
        <f>IF(AY758&lt;&gt;1,0,MAX(0,IFERROR(--LEFT(SUBSTITUTE(BQ758,"x","х"),FIND("х",SUBSTITUTE(BQ758,"x","х"))-1),3)-3*BW758))</f>
      </c>
      <c r="BY758" s="129">
        <f>IF(R758="","",IFERROR(VLOOKUP(R758,УГО_спр,2,FALSE),IFERROR(VLOOKUP(AL758,УГО_спр,2,FALSE),IFERROR(VLOOKUP(LEFT(AL758,2),УГО_спр,2,FALSE),""))))</f>
      </c>
    </row>
    <row r="759" spans="1:64" x14ac:dyDescent="0.3">
      <c r="A759" s="135">
        <f>IF(Разбивка_по_щитам!F759=0,"",Разбивка_по_щитам!F759)</f>
        <v/>
      </c>
      <c r="B759" s="138">
        <f>IF(A759="","",Разбивка_по_щитам!C759)</f>
        <v/>
      </c>
      <c r="C759" s="138">
        <f t="shared" si="462"/>
        <v/>
      </c>
      <c r="D759" s="266"/>
      <c r="E759" s="266"/>
      <c r="F759" s="267"/>
      <c r="G759" s="145">
        <f t="shared" si="463"/>
        <v/>
      </c>
      <c r="H759" s="145">
        <f t="shared" si="464"/>
        <v/>
      </c>
      <c r="I759" s="266"/>
      <c r="J759" s="267"/>
      <c r="K759" s="267"/>
      <c r="L759" s="266"/>
      <c r="M759" s="147">
        <f t="shared" si="465"/>
        <v/>
      </c>
      <c r="N759" s="267"/>
      <c r="O759" s="147">
        <f t="shared" si="466"/>
        <v/>
      </c>
      <c r="P759" s="268">
        <f>IF(AY759=1,"XT"&amp;COUNTIFS($A$3:A759,A759,$AY$3:AY759,1),"")</f>
        <v/>
      </c>
      <c r="Q759" s="152">
        <f>IF(R759="","",IFERROR(SUBSTITUTE(Разбивка_по_щитам!P759,CHAR(10)," "),""))</f>
        <v/>
      </c>
      <c r="R759" s="153">
        <f>IF(OR(Разбивка_по_щитам!H759="",Разбивка_по_щитам!H759=0),"",Разбивка_по_щитам!H759)</f>
        <v/>
      </c>
      <c r="S759" s="154">
        <f>IF(R759="","",IFERROR(Разбивка_по_щитам!J759&amp;"",""))</f>
        <v/>
      </c>
      <c r="T759" s="155">
        <f>IF(R759="","",IFERROR(--Разбивка_по_щитам!L759,""))</f>
        <v/>
      </c>
      <c r="U759" s="155">
        <f>IF(R759="","",IFERROR(--Разбивка_по_щитам!K759,""))</f>
        <v/>
      </c>
      <c r="V759" s="138">
        <f>IF(R759="","",IFERROR(IF(Разбивка_по_щитам!M759=0,"",Разбивка_по_щитам!M759),""))</f>
        <v/>
      </c>
      <c r="W759" s="156">
        <f t="shared" si="467"/>
        <v/>
      </c>
      <c r="X759" s="157">
        <f t="shared" si="468"/>
        <v/>
      </c>
      <c r="Y759" s="266"/>
      <c r="Z759" s="158">
        <f t="shared" si="469"/>
        <v/>
      </c>
      <c r="AA759" s="160">
        <f t="shared" si="470"/>
        <v/>
      </c>
      <c r="AB759" s="160">
        <f>IF(R759="","",IFERROR(LOOKUP(INDEX(Справочная!$I$4:$I$19,MATCH(VLOOKUP(R759,Исходные_данные,22,FALSE),Справочная!$J$4:$J$19,0)+1),{6,10,16,20,25,32,40,50,63,80,100,125}),""))</f>
        <v/>
      </c>
      <c r="AC759" s="160">
        <f t="shared" si="471"/>
        <v/>
      </c>
      <c r="AD759" s="161">
        <f t="shared" si="472"/>
        <v/>
      </c>
      <c r="AE759" s="161">
        <f>IF(AND(R759="",G759=""),"",_xlfn.TEXTJOIN("; ",TRUE,IF(AND(R759&lt;&gt;"",V759=""),"нет фазы",""),IF(AND(R759&lt;&gt;"",N(T759)=0),"нет мощности",""),IF(AND(P759&lt;&gt;"",COUNTIFS($A$3:$A$1000,A759,$P$3:$P$1000,P759)&gt;1),"дубль клеммы "&amp;P759,""),IF(AND(W759&lt;&gt;"",W759&lt;&gt;"ok"),W759,""),IF(X759&lt;&gt;"",X759,""),IF(AND(ISNUMBER(SEARCH("(5х",Q759)),N(AK759)=1),"5 жил на 1 фазе",""),IF(AND(AL759="R",E759&lt;&gt;"",N(AS759)=0),"розетка без 30 мА",""),IF(IFERROR(_xlfn.NUMBERVALUE(MID(Q759,FIND("-",Q759,FIND("L=",Q759))+1,FIND("%",Q759)-FIND("-",Q759,FIND("L=",Q759))-1),","),0)&gt;4,"потери &gt; 4 %","")))</f>
      </c>
      <c r="AF759" s="129">
        <f>IF(E759&lt;&gt;"",COUNTIFS($A$3:A759,A759,$E$3:E759,"?*"),IF(OR(A759&lt;&gt;A758,Y759="вручную"),"",AF758))</f>
        <v/>
      </c>
      <c r="AG759" s="129">
        <f t="shared" si="473"/>
        <v/>
      </c>
      <c r="AH759" s="129">
        <f t="shared" si="474"/>
        <v/>
      </c>
      <c r="AI759" s="129">
        <f t="shared" si="475"/>
        <v/>
      </c>
      <c r="AJ759" s="129">
        <f t="shared" si="476"/>
        <v/>
      </c>
      <c r="AK759" s="129">
        <f t="shared" si="477"/>
        <v/>
      </c>
      <c r="AL759" s="129">
        <f t="shared" si="478"/>
        <v/>
      </c>
      <c r="AM759" s="129">
        <f t="shared" si="479"/>
      </c>
      <c r="AN759" s="129">
        <f t="shared" si="480"/>
      </c>
      <c r="AO759" s="129">
        <f t="shared" si="481"/>
        <v/>
      </c>
      <c r="AP759" s="129">
        <f t="shared" si="482"/>
        <v/>
      </c>
      <c r="AQ759" s="129">
        <f t="shared" si="483"/>
        <v/>
      </c>
      <c r="AR759" s="129">
        <f t="shared" si="484"/>
        <v/>
      </c>
      <c r="AS759" s="129">
        <f t="shared" si="485"/>
        <v/>
      </c>
      <c r="AT759" s="129">
        <f t="shared" si="486"/>
        <v/>
      </c>
      <c r="AU759" s="129">
        <f t="shared" si="487"/>
        <v/>
      </c>
      <c r="AV759" s="129">
        <f t="shared" si="488"/>
        <v/>
      </c>
      <c r="AW759" s="129">
        <f>IF(AV759="","",AV759&amp;"."&amp;COUNTIFS($A$3:A759,A759,$AV$3:AV759,AV759))</f>
        <v/>
      </c>
      <c r="AX759" s="129">
        <f t="shared" si="489"/>
        <v/>
      </c>
      <c r="AY759" s="129">
        <f>IF(N759="б/к",0,IF(OR(ISNUMBER(SEARCH("L=",Разбивка_по_щитам!P759)),N759="+",N759="="),1,0))</f>
      </c>
      <c r="AZ759" s="129">
        <f t="shared" si="490"/>
        <v/>
      </c>
      <c r="BA759" s="129">
        <f t="shared" si="491"/>
      </c>
      <c r="BB759" s="129">
        <f t="shared" si="492"/>
      </c>
      <c r="BD759" s="129">
        <f t="shared" si="493"/>
      </c>
      <c r="BE759" s="129">
        <f t="shared" si="494"/>
      </c>
      <c r="BF759" s="129">
        <f t="shared" si="495"/>
      </c>
      <c r="BG759" s="129">
        <f t="shared" si="496"/>
        <v/>
      </c>
      <c r="BH759" s="129">
        <f t="shared" si="497"/>
        <v/>
      </c>
      <c r="BI759" s="129">
        <f t="shared" si="498"/>
        <v/>
      </c>
      <c r="BJ759" s="129">
        <f t="shared" si="499"/>
        <v/>
      </c>
      <c r="BK759" s="129">
        <f>IF(R759="","",IF(OR(BY759="",BY759=0),"BOX",IFERROR(IF(VLOOKUP(BY759,УГО_блоки,3,FALSE)&amp;""&lt;&gt;"",VLOOKUP(BY759,УГО_блоки,3,FALSE),VLOOKUP(BY759,УГО_блоки,2,FALSE)),BY759)))</f>
      </c>
      <c r="BL759" s="129">
        <f t="shared" si="501"/>
      </c>
      <c r="BM759" s="129">
        <f>IF(H759="","",IF(COUNTIF($H$3:H759,H759)=1,MAX($BM$2:BM758)+1,""))</f>
      </c>
      <c r="BN759" s="129">
        <f>IF(I759="","",IF(COUNTIF($I$3:I759,I759)+COUNTIF($J$2:J758,I759)+COUNTIF($K$2:K758,I759)=1,MAX($BN$2:BP758)+1,""))</f>
      </c>
      <c r="BO759" s="129">
        <f>IF(J759="","",IF(COUNTIF($I$3:I759,J759)+COUNTIF($J$3:J759,J759)+COUNTIF($K$2:K758,J759)=1,MAX($BN$2:BP758,BN759)+1,""))</f>
      </c>
      <c r="BP759" s="129">
        <f>IF(K759="","",IF(COUNTIF($I$3:I759,K759)+COUNTIF($J$3:J759,K759)+COUNTIF($K$3:K759,K759)=1,MAX($BN$2:BP758,BN759,BO759)+1,""))</f>
      </c>
      <c r="BQ759" s="129">
        <f>IF(AY759=1,IFERROR(MID(Q759,FIND(" (",Q759)+2,FIND(")",Q759,FIND(" (",Q759))-FIND(" (",Q759)-2),"?"),"")</f>
      </c>
      <c r="BR759" s="129">
        <f>IF(BQ759="","",IF(COUNTIF($BQ$3:BQ759,BQ759)=1,MAX($BR$2:BR758)+1,""))</f>
      </c>
      <c r="BS759" s="129">
        <f>IF(AW759="","",COUNTIF($AW$3:AW759,"?*"))</f>
      </c>
      <c r="BT759" s="129">
        <f>IF(OR(AW759="",AI759=""),"",IF(COUNTIFS($AW$3:AW759,"?*",$AI$3:AI759,AI759)=1,MAX($BT$2:BT758)+1,""))</f>
      </c>
      <c r="BU759" s="129">
        <f>IF(AE759="",0,IF(OR(ISNUMBER(SEARCH("дубль",AE759)),ISNUMBER(SEARCH("ПЕРЕГРУЗ",AE759)),ISNUMBER(SEARCH("ЗАЩИЩ",AE759)),ISNUMBER(SEARCH("КАНАЛ",AE759)),ISNUMBER(SEARCH("без 30",AE759))),2,1))</f>
      </c>
      <c r="BV759" s="129">
        <f>IF(R759="","",COUNTIF($R$3:R759,"?*"))</f>
      </c>
      <c r="BW759" s="129">
        <f>IF(AY759&lt;&gt;1,0,IF(MAX(IFERROR(--VLOOKUP(R759,УГО_спр,5,FALSE),0),IFERROR(--VLOOKUP(AL759,УГО_спр,5,FALSE),0),IFERROR(--VLOOKUP(LEFT(AL759,2),УГО_спр,5,FALSE),0))&gt;0,MAX(IFERROR(--VLOOKUP(R759,УГО_спр,5,FALSE),0),IFERROR(--VLOOKUP(AL759,УГО_спр,5,FALSE),0),IFERROR(--VLOOKUP(LEFT(AL759,2),УГО_спр,5,FALSE),0)),IF(IFERROR(--LEFT(SUBSTITUTE(BQ759,"x","х"),FIND("х",SUBSTITUTE(BQ759,"x","х"))-1),3)&gt;3,Каталог!$S$9,1)))</f>
      </c>
      <c r="BX759" s="129">
        <f>IF(AY759&lt;&gt;1,0,MAX(0,IFERROR(--LEFT(SUBSTITUTE(BQ759,"x","х"),FIND("х",SUBSTITUTE(BQ759,"x","х"))-1),3)-3*BW759))</f>
      </c>
      <c r="BY759" s="129">
        <f>IF(R759="","",IFERROR(VLOOKUP(R759,УГО_спр,2,FALSE),IFERROR(VLOOKUP(AL759,УГО_спр,2,FALSE),IFERROR(VLOOKUP(LEFT(AL759,2),УГО_спр,2,FALSE),""))))</f>
      </c>
    </row>
    <row r="760" spans="1:64" x14ac:dyDescent="0.3">
      <c r="A760" s="135">
        <f>IF(Разбивка_по_щитам!F760=0,"",Разбивка_по_щитам!F760)</f>
        <v/>
      </c>
      <c r="B760" s="138">
        <f>IF(A760="","",Разбивка_по_щитам!C760)</f>
        <v/>
      </c>
      <c r="C760" s="138">
        <f t="shared" si="462"/>
        <v/>
      </c>
      <c r="D760" s="266"/>
      <c r="E760" s="266"/>
      <c r="F760" s="267"/>
      <c r="G760" s="145">
        <f t="shared" si="463"/>
        <v/>
      </c>
      <c r="H760" s="145">
        <f t="shared" si="464"/>
        <v/>
      </c>
      <c r="I760" s="266"/>
      <c r="J760" s="267"/>
      <c r="K760" s="267"/>
      <c r="L760" s="266"/>
      <c r="M760" s="147">
        <f t="shared" si="465"/>
        <v/>
      </c>
      <c r="N760" s="267"/>
      <c r="O760" s="147">
        <f t="shared" si="466"/>
        <v/>
      </c>
      <c r="P760" s="268">
        <f>IF(AY760=1,"XT"&amp;COUNTIFS($A$3:A760,A760,$AY$3:AY760,1),"")</f>
        <v/>
      </c>
      <c r="Q760" s="152">
        <f>IF(R760="","",IFERROR(SUBSTITUTE(Разбивка_по_щитам!P760,CHAR(10)," "),""))</f>
        <v/>
      </c>
      <c r="R760" s="153">
        <f>IF(OR(Разбивка_по_щитам!H760="",Разбивка_по_щитам!H760=0),"",Разбивка_по_щитам!H760)</f>
        <v/>
      </c>
      <c r="S760" s="154">
        <f>IF(R760="","",IFERROR(Разбивка_по_щитам!J760&amp;"",""))</f>
        <v/>
      </c>
      <c r="T760" s="155">
        <f>IF(R760="","",IFERROR(--Разбивка_по_щитам!L760,""))</f>
        <v/>
      </c>
      <c r="U760" s="155">
        <f>IF(R760="","",IFERROR(--Разбивка_по_щитам!K760,""))</f>
        <v/>
      </c>
      <c r="V760" s="138">
        <f>IF(R760="","",IFERROR(IF(Разбивка_по_щитам!M760=0,"",Разбивка_по_щитам!M760),""))</f>
        <v/>
      </c>
      <c r="W760" s="156">
        <f t="shared" si="467"/>
        <v/>
      </c>
      <c r="X760" s="157">
        <f t="shared" si="468"/>
        <v/>
      </c>
      <c r="Y760" s="266"/>
      <c r="Z760" s="158">
        <f t="shared" si="469"/>
        <v/>
      </c>
      <c r="AA760" s="160">
        <f t="shared" si="470"/>
        <v/>
      </c>
      <c r="AB760" s="160">
        <f>IF(R760="","",IFERROR(LOOKUP(INDEX(Справочная!$I$4:$I$19,MATCH(VLOOKUP(R760,Исходные_данные,22,FALSE),Справочная!$J$4:$J$19,0)+1),{6,10,16,20,25,32,40,50,63,80,100,125}),""))</f>
        <v/>
      </c>
      <c r="AC760" s="160">
        <f t="shared" si="471"/>
        <v/>
      </c>
      <c r="AD760" s="161">
        <f t="shared" si="472"/>
        <v/>
      </c>
      <c r="AE760" s="161">
        <f>IF(AND(R760="",G760=""),"",_xlfn.TEXTJOIN("; ",TRUE,IF(AND(R760&lt;&gt;"",V760=""),"нет фазы",""),IF(AND(R760&lt;&gt;"",N(T760)=0),"нет мощности",""),IF(AND(P760&lt;&gt;"",COUNTIFS($A$3:$A$1000,A760,$P$3:$P$1000,P760)&gt;1),"дубль клеммы "&amp;P760,""),IF(AND(W760&lt;&gt;"",W760&lt;&gt;"ok"),W760,""),IF(X760&lt;&gt;"",X760,""),IF(AND(ISNUMBER(SEARCH("(5х",Q760)),N(AK760)=1),"5 жил на 1 фазе",""),IF(AND(AL760="R",E760&lt;&gt;"",N(AS760)=0),"розетка без 30 мА",""),IF(IFERROR(_xlfn.NUMBERVALUE(MID(Q760,FIND("-",Q760,FIND("L=",Q760))+1,FIND("%",Q760)-FIND("-",Q760,FIND("L=",Q760))-1),","),0)&gt;4,"потери &gt; 4 %","")))</f>
      </c>
      <c r="AF760" s="129">
        <f>IF(E760&lt;&gt;"",COUNTIFS($A$3:A760,A760,$E$3:E760,"?*"),IF(OR(A760&lt;&gt;A759,Y760="вручную"),"",AF759))</f>
        <v/>
      </c>
      <c r="AG760" s="129">
        <f t="shared" si="473"/>
        <v/>
      </c>
      <c r="AH760" s="129">
        <f t="shared" si="474"/>
        <v/>
      </c>
      <c r="AI760" s="129">
        <f t="shared" si="475"/>
        <v/>
      </c>
      <c r="AJ760" s="129">
        <f t="shared" si="476"/>
        <v/>
      </c>
      <c r="AK760" s="129">
        <f t="shared" si="477"/>
        <v/>
      </c>
      <c r="AL760" s="129">
        <f t="shared" si="478"/>
        <v/>
      </c>
      <c r="AM760" s="129">
        <f t="shared" si="479"/>
      </c>
      <c r="AN760" s="129">
        <f t="shared" si="480"/>
      </c>
      <c r="AO760" s="129">
        <f t="shared" si="481"/>
        <v/>
      </c>
      <c r="AP760" s="129">
        <f t="shared" si="482"/>
        <v/>
      </c>
      <c r="AQ760" s="129">
        <f t="shared" si="483"/>
        <v/>
      </c>
      <c r="AR760" s="129">
        <f t="shared" si="484"/>
        <v/>
      </c>
      <c r="AS760" s="129">
        <f t="shared" si="485"/>
        <v/>
      </c>
      <c r="AT760" s="129">
        <f t="shared" si="486"/>
        <v/>
      </c>
      <c r="AU760" s="129">
        <f t="shared" si="487"/>
        <v/>
      </c>
      <c r="AV760" s="129">
        <f t="shared" si="488"/>
        <v/>
      </c>
      <c r="AW760" s="129">
        <f>IF(AV760="","",AV760&amp;"."&amp;COUNTIFS($A$3:A760,A760,$AV$3:AV760,AV760))</f>
        <v/>
      </c>
      <c r="AX760" s="129">
        <f t="shared" si="489"/>
        <v/>
      </c>
      <c r="AY760" s="129">
        <f>IF(N760="б/к",0,IF(OR(ISNUMBER(SEARCH("L=",Разбивка_по_щитам!P760)),N760="+",N760="="),1,0))</f>
      </c>
      <c r="AZ760" s="129">
        <f t="shared" si="490"/>
        <v/>
      </c>
      <c r="BA760" s="129">
        <f t="shared" si="491"/>
      </c>
      <c r="BB760" s="129">
        <f t="shared" si="492"/>
      </c>
      <c r="BD760" s="129">
        <f t="shared" si="493"/>
      </c>
      <c r="BE760" s="129">
        <f t="shared" si="494"/>
      </c>
      <c r="BF760" s="129">
        <f t="shared" si="495"/>
      </c>
      <c r="BG760" s="129">
        <f t="shared" si="496"/>
        <v/>
      </c>
      <c r="BH760" s="129">
        <f t="shared" si="497"/>
        <v/>
      </c>
      <c r="BI760" s="129">
        <f t="shared" si="498"/>
        <v/>
      </c>
      <c r="BJ760" s="129">
        <f t="shared" si="499"/>
        <v/>
      </c>
      <c r="BK760" s="129">
        <f>IF(R760="","",IF(OR(BY760="",BY760=0),"BOX",IFERROR(IF(VLOOKUP(BY760,УГО_блоки,3,FALSE)&amp;""&lt;&gt;"",VLOOKUP(BY760,УГО_блоки,3,FALSE),VLOOKUP(BY760,УГО_блоки,2,FALSE)),BY760)))</f>
      </c>
      <c r="BL760" s="129">
        <f t="shared" si="501"/>
      </c>
      <c r="BM760" s="129">
        <f>IF(H760="","",IF(COUNTIF($H$3:H760,H760)=1,MAX($BM$2:BM759)+1,""))</f>
      </c>
      <c r="BN760" s="129">
        <f>IF(I760="","",IF(COUNTIF($I$3:I760,I760)+COUNTIF($J$2:J759,I760)+COUNTIF($K$2:K759,I760)=1,MAX($BN$2:BP759)+1,""))</f>
      </c>
      <c r="BO760" s="129">
        <f>IF(J760="","",IF(COUNTIF($I$3:I760,J760)+COUNTIF($J$3:J760,J760)+COUNTIF($K$2:K759,J760)=1,MAX($BN$2:BP759,BN760)+1,""))</f>
      </c>
      <c r="BP760" s="129">
        <f>IF(K760="","",IF(COUNTIF($I$3:I760,K760)+COUNTIF($J$3:J760,K760)+COUNTIF($K$3:K760,K760)=1,MAX($BN$2:BP759,BN760,BO760)+1,""))</f>
      </c>
      <c r="BQ760" s="129">
        <f>IF(AY760=1,IFERROR(MID(Q760,FIND(" (",Q760)+2,FIND(")",Q760,FIND(" (",Q760))-FIND(" (",Q760)-2),"?"),"")</f>
      </c>
      <c r="BR760" s="129">
        <f>IF(BQ760="","",IF(COUNTIF($BQ$3:BQ760,BQ760)=1,MAX($BR$2:BR759)+1,""))</f>
      </c>
      <c r="BS760" s="129">
        <f>IF(AW760="","",COUNTIF($AW$3:AW760,"?*"))</f>
      </c>
      <c r="BT760" s="129">
        <f>IF(OR(AW760="",AI760=""),"",IF(COUNTIFS($AW$3:AW760,"?*",$AI$3:AI760,AI760)=1,MAX($BT$2:BT759)+1,""))</f>
      </c>
      <c r="BU760" s="129">
        <f>IF(AE760="",0,IF(OR(ISNUMBER(SEARCH("дубль",AE760)),ISNUMBER(SEARCH("ПЕРЕГРУЗ",AE760)),ISNUMBER(SEARCH("ЗАЩИЩ",AE760)),ISNUMBER(SEARCH("КАНАЛ",AE760)),ISNUMBER(SEARCH("без 30",AE760))),2,1))</f>
      </c>
      <c r="BV760" s="129">
        <f>IF(R760="","",COUNTIF($R$3:R760,"?*"))</f>
      </c>
      <c r="BW760" s="129">
        <f>IF(AY760&lt;&gt;1,0,IF(MAX(IFERROR(--VLOOKUP(R760,УГО_спр,5,FALSE),0),IFERROR(--VLOOKUP(AL760,УГО_спр,5,FALSE),0),IFERROR(--VLOOKUP(LEFT(AL760,2),УГО_спр,5,FALSE),0))&gt;0,MAX(IFERROR(--VLOOKUP(R760,УГО_спр,5,FALSE),0),IFERROR(--VLOOKUP(AL760,УГО_спр,5,FALSE),0),IFERROR(--VLOOKUP(LEFT(AL760,2),УГО_спр,5,FALSE),0)),IF(IFERROR(--LEFT(SUBSTITUTE(BQ760,"x","х"),FIND("х",SUBSTITUTE(BQ760,"x","х"))-1),3)&gt;3,Каталог!$S$9,1)))</f>
      </c>
      <c r="BX760" s="129">
        <f>IF(AY760&lt;&gt;1,0,MAX(0,IFERROR(--LEFT(SUBSTITUTE(BQ760,"x","х"),FIND("х",SUBSTITUTE(BQ760,"x","х"))-1),3)-3*BW760))</f>
      </c>
      <c r="BY760" s="129">
        <f>IF(R760="","",IFERROR(VLOOKUP(R760,УГО_спр,2,FALSE),IFERROR(VLOOKUP(AL760,УГО_спр,2,FALSE),IFERROR(VLOOKUP(LEFT(AL760,2),УГО_спр,2,FALSE),""))))</f>
      </c>
    </row>
    <row r="761" spans="1:64" x14ac:dyDescent="0.3">
      <c r="A761" s="135">
        <f>IF(Разбивка_по_щитам!F761=0,"",Разбивка_по_щитам!F761)</f>
        <v/>
      </c>
      <c r="B761" s="138">
        <f>IF(A761="","",Разбивка_по_щитам!C761)</f>
        <v/>
      </c>
      <c r="C761" s="138">
        <f t="shared" si="462"/>
        <v/>
      </c>
      <c r="D761" s="266"/>
      <c r="E761" s="266"/>
      <c r="F761" s="267"/>
      <c r="G761" s="145">
        <f t="shared" si="463"/>
        <v/>
      </c>
      <c r="H761" s="145">
        <f t="shared" si="464"/>
        <v/>
      </c>
      <c r="I761" s="266"/>
      <c r="J761" s="267"/>
      <c r="K761" s="267"/>
      <c r="L761" s="266"/>
      <c r="M761" s="147">
        <f t="shared" si="465"/>
        <v/>
      </c>
      <c r="N761" s="267"/>
      <c r="O761" s="147">
        <f t="shared" si="466"/>
        <v/>
      </c>
      <c r="P761" s="268">
        <f>IF(AY761=1,"XT"&amp;COUNTIFS($A$3:A761,A761,$AY$3:AY761,1),"")</f>
        <v/>
      </c>
      <c r="Q761" s="152">
        <f>IF(R761="","",IFERROR(SUBSTITUTE(Разбивка_по_щитам!P761,CHAR(10)," "),""))</f>
        <v/>
      </c>
      <c r="R761" s="153">
        <f>IF(OR(Разбивка_по_щитам!H761="",Разбивка_по_щитам!H761=0),"",Разбивка_по_щитам!H761)</f>
        <v/>
      </c>
      <c r="S761" s="154">
        <f>IF(R761="","",IFERROR(Разбивка_по_щитам!J761&amp;"",""))</f>
        <v/>
      </c>
      <c r="T761" s="155">
        <f>IF(R761="","",IFERROR(--Разбивка_по_щитам!L761,""))</f>
        <v/>
      </c>
      <c r="U761" s="155">
        <f>IF(R761="","",IFERROR(--Разбивка_по_щитам!K761,""))</f>
        <v/>
      </c>
      <c r="V761" s="138">
        <f>IF(R761="","",IFERROR(IF(Разбивка_по_щитам!M761=0,"",Разбивка_по_щитам!M761),""))</f>
        <v/>
      </c>
      <c r="W761" s="156">
        <f t="shared" si="467"/>
        <v/>
      </c>
      <c r="X761" s="157">
        <f t="shared" si="468"/>
        <v/>
      </c>
      <c r="Y761" s="266"/>
      <c r="Z761" s="158">
        <f t="shared" si="469"/>
        <v/>
      </c>
      <c r="AA761" s="160">
        <f t="shared" si="470"/>
        <v/>
      </c>
      <c r="AB761" s="160">
        <f>IF(R761="","",IFERROR(LOOKUP(INDEX(Справочная!$I$4:$I$19,MATCH(VLOOKUP(R761,Исходные_данные,22,FALSE),Справочная!$J$4:$J$19,0)+1),{6,10,16,20,25,32,40,50,63,80,100,125}),""))</f>
        <v/>
      </c>
      <c r="AC761" s="160">
        <f t="shared" si="471"/>
        <v/>
      </c>
      <c r="AD761" s="161">
        <f t="shared" si="472"/>
        <v/>
      </c>
      <c r="AE761" s="161">
        <f>IF(AND(R761="",G761=""),"",_xlfn.TEXTJOIN("; ",TRUE,IF(AND(R761&lt;&gt;"",V761=""),"нет фазы",""),IF(AND(R761&lt;&gt;"",N(T761)=0),"нет мощности",""),IF(AND(P761&lt;&gt;"",COUNTIFS($A$3:$A$1000,A761,$P$3:$P$1000,P761)&gt;1),"дубль клеммы "&amp;P761,""),IF(AND(W761&lt;&gt;"",W761&lt;&gt;"ok"),W761,""),IF(X761&lt;&gt;"",X761,""),IF(AND(ISNUMBER(SEARCH("(5х",Q761)),N(AK761)=1),"5 жил на 1 фазе",""),IF(AND(AL761="R",E761&lt;&gt;"",N(AS761)=0),"розетка без 30 мА",""),IF(IFERROR(_xlfn.NUMBERVALUE(MID(Q761,FIND("-",Q761,FIND("L=",Q761))+1,FIND("%",Q761)-FIND("-",Q761,FIND("L=",Q761))-1),","),0)&gt;4,"потери &gt; 4 %","")))</f>
      </c>
      <c r="AF761" s="129">
        <f>IF(E761&lt;&gt;"",COUNTIFS($A$3:A761,A761,$E$3:E761,"?*"),IF(OR(A761&lt;&gt;A760,Y761="вручную"),"",AF760))</f>
        <v/>
      </c>
      <c r="AG761" s="129">
        <f t="shared" si="473"/>
        <v/>
      </c>
      <c r="AH761" s="129">
        <f t="shared" si="474"/>
        <v/>
      </c>
      <c r="AI761" s="129">
        <f t="shared" si="475"/>
        <v/>
      </c>
      <c r="AJ761" s="129">
        <f t="shared" si="476"/>
        <v/>
      </c>
      <c r="AK761" s="129">
        <f t="shared" si="477"/>
        <v/>
      </c>
      <c r="AL761" s="129">
        <f t="shared" si="478"/>
        <v/>
      </c>
      <c r="AM761" s="129">
        <f t="shared" si="479"/>
      </c>
      <c r="AN761" s="129">
        <f t="shared" si="480"/>
      </c>
      <c r="AO761" s="129">
        <f t="shared" si="481"/>
        <v/>
      </c>
      <c r="AP761" s="129">
        <f t="shared" si="482"/>
        <v/>
      </c>
      <c r="AQ761" s="129">
        <f t="shared" si="483"/>
        <v/>
      </c>
      <c r="AR761" s="129">
        <f t="shared" si="484"/>
        <v/>
      </c>
      <c r="AS761" s="129">
        <f t="shared" si="485"/>
        <v/>
      </c>
      <c r="AT761" s="129">
        <f t="shared" si="486"/>
        <v/>
      </c>
      <c r="AU761" s="129">
        <f t="shared" si="487"/>
        <v/>
      </c>
      <c r="AV761" s="129">
        <f t="shared" si="488"/>
        <v/>
      </c>
      <c r="AW761" s="129">
        <f>IF(AV761="","",AV761&amp;"."&amp;COUNTIFS($A$3:A761,A761,$AV$3:AV761,AV761))</f>
        <v/>
      </c>
      <c r="AX761" s="129">
        <f t="shared" si="489"/>
        <v/>
      </c>
      <c r="AY761" s="129">
        <f>IF(N761="б/к",0,IF(OR(ISNUMBER(SEARCH("L=",Разбивка_по_щитам!P761)),N761="+",N761="="),1,0))</f>
      </c>
      <c r="AZ761" s="129">
        <f t="shared" si="490"/>
        <v/>
      </c>
      <c r="BA761" s="129">
        <f t="shared" si="491"/>
      </c>
      <c r="BB761" s="129">
        <f t="shared" si="492"/>
      </c>
      <c r="BD761" s="129">
        <f t="shared" si="493"/>
      </c>
      <c r="BE761" s="129">
        <f t="shared" si="494"/>
      </c>
      <c r="BF761" s="129">
        <f t="shared" si="495"/>
      </c>
      <c r="BG761" s="129">
        <f t="shared" si="496"/>
        <v/>
      </c>
      <c r="BH761" s="129">
        <f t="shared" si="497"/>
        <v/>
      </c>
      <c r="BI761" s="129">
        <f t="shared" si="498"/>
        <v/>
      </c>
      <c r="BJ761" s="129">
        <f t="shared" si="499"/>
        <v/>
      </c>
      <c r="BK761" s="129">
        <f>IF(R761="","",IF(OR(BY761="",BY761=0),"BOX",IFERROR(IF(VLOOKUP(BY761,УГО_блоки,3,FALSE)&amp;""&lt;&gt;"",VLOOKUP(BY761,УГО_блоки,3,FALSE),VLOOKUP(BY761,УГО_блоки,2,FALSE)),BY761)))</f>
      </c>
      <c r="BL761" s="129">
        <f t="shared" si="501"/>
      </c>
      <c r="BM761" s="129">
        <f>IF(H761="","",IF(COUNTIF($H$3:H761,H761)=1,MAX($BM$2:BM760)+1,""))</f>
      </c>
      <c r="BN761" s="129">
        <f>IF(I761="","",IF(COUNTIF($I$3:I761,I761)+COUNTIF($J$2:J760,I761)+COUNTIF($K$2:K760,I761)=1,MAX($BN$2:BP760)+1,""))</f>
      </c>
      <c r="BO761" s="129">
        <f>IF(J761="","",IF(COUNTIF($I$3:I761,J761)+COUNTIF($J$3:J761,J761)+COUNTIF($K$2:K760,J761)=1,MAX($BN$2:BP760,BN761)+1,""))</f>
      </c>
      <c r="BP761" s="129">
        <f>IF(K761="","",IF(COUNTIF($I$3:I761,K761)+COUNTIF($J$3:J761,K761)+COUNTIF($K$3:K761,K761)=1,MAX($BN$2:BP760,BN761,BO761)+1,""))</f>
      </c>
      <c r="BQ761" s="129">
        <f>IF(AY761=1,IFERROR(MID(Q761,FIND(" (",Q761)+2,FIND(")",Q761,FIND(" (",Q761))-FIND(" (",Q761)-2),"?"),"")</f>
      </c>
      <c r="BR761" s="129">
        <f>IF(BQ761="","",IF(COUNTIF($BQ$3:BQ761,BQ761)=1,MAX($BR$2:BR760)+1,""))</f>
      </c>
      <c r="BS761" s="129">
        <f>IF(AW761="","",COUNTIF($AW$3:AW761,"?*"))</f>
      </c>
      <c r="BT761" s="129">
        <f>IF(OR(AW761="",AI761=""),"",IF(COUNTIFS($AW$3:AW761,"?*",$AI$3:AI761,AI761)=1,MAX($BT$2:BT760)+1,""))</f>
      </c>
      <c r="BU761" s="129">
        <f>IF(AE761="",0,IF(OR(ISNUMBER(SEARCH("дубль",AE761)),ISNUMBER(SEARCH("ПЕРЕГРУЗ",AE761)),ISNUMBER(SEARCH("ЗАЩИЩ",AE761)),ISNUMBER(SEARCH("КАНАЛ",AE761)),ISNUMBER(SEARCH("без 30",AE761))),2,1))</f>
      </c>
      <c r="BV761" s="129">
        <f>IF(R761="","",COUNTIF($R$3:R761,"?*"))</f>
      </c>
      <c r="BW761" s="129">
        <f>IF(AY761&lt;&gt;1,0,IF(MAX(IFERROR(--VLOOKUP(R761,УГО_спр,5,FALSE),0),IFERROR(--VLOOKUP(AL761,УГО_спр,5,FALSE),0),IFERROR(--VLOOKUP(LEFT(AL761,2),УГО_спр,5,FALSE),0))&gt;0,MAX(IFERROR(--VLOOKUP(R761,УГО_спр,5,FALSE),0),IFERROR(--VLOOKUP(AL761,УГО_спр,5,FALSE),0),IFERROR(--VLOOKUP(LEFT(AL761,2),УГО_спр,5,FALSE),0)),IF(IFERROR(--LEFT(SUBSTITUTE(BQ761,"x","х"),FIND("х",SUBSTITUTE(BQ761,"x","х"))-1),3)&gt;3,Каталог!$S$9,1)))</f>
      </c>
      <c r="BX761" s="129">
        <f>IF(AY761&lt;&gt;1,0,MAX(0,IFERROR(--LEFT(SUBSTITUTE(BQ761,"x","х"),FIND("х",SUBSTITUTE(BQ761,"x","х"))-1),3)-3*BW761))</f>
      </c>
      <c r="BY761" s="129">
        <f>IF(R761="","",IFERROR(VLOOKUP(R761,УГО_спр,2,FALSE),IFERROR(VLOOKUP(AL761,УГО_спр,2,FALSE),IFERROR(VLOOKUP(LEFT(AL761,2),УГО_спр,2,FALSE),""))))</f>
      </c>
    </row>
    <row r="762" spans="1:64" x14ac:dyDescent="0.3">
      <c r="A762" s="135">
        <f>IF(Разбивка_по_щитам!F762=0,"",Разбивка_по_щитам!F762)</f>
        <v/>
      </c>
      <c r="B762" s="138">
        <f>IF(A762="","",Разбивка_по_щитам!C762)</f>
        <v/>
      </c>
      <c r="C762" s="138">
        <f t="shared" si="462"/>
        <v/>
      </c>
      <c r="D762" s="266"/>
      <c r="E762" s="266"/>
      <c r="F762" s="267"/>
      <c r="G762" s="145">
        <f t="shared" si="463"/>
        <v/>
      </c>
      <c r="H762" s="145">
        <f t="shared" si="464"/>
        <v/>
      </c>
      <c r="I762" s="266"/>
      <c r="J762" s="267"/>
      <c r="K762" s="267"/>
      <c r="L762" s="266"/>
      <c r="M762" s="147">
        <f t="shared" si="465"/>
        <v/>
      </c>
      <c r="N762" s="267"/>
      <c r="O762" s="147">
        <f t="shared" si="466"/>
        <v/>
      </c>
      <c r="P762" s="268">
        <f>IF(AY762=1,"XT"&amp;COUNTIFS($A$3:A762,A762,$AY$3:AY762,1),"")</f>
        <v/>
      </c>
      <c r="Q762" s="152">
        <f>IF(R762="","",IFERROR(SUBSTITUTE(Разбивка_по_щитам!P762,CHAR(10)," "),""))</f>
        <v/>
      </c>
      <c r="R762" s="153">
        <f>IF(OR(Разбивка_по_щитам!H762="",Разбивка_по_щитам!H762=0),"",Разбивка_по_щитам!H762)</f>
        <v/>
      </c>
      <c r="S762" s="154">
        <f>IF(R762="","",IFERROR(Разбивка_по_щитам!J762&amp;"",""))</f>
        <v/>
      </c>
      <c r="T762" s="155">
        <f>IF(R762="","",IFERROR(--Разбивка_по_щитам!L762,""))</f>
        <v/>
      </c>
      <c r="U762" s="155">
        <f>IF(R762="","",IFERROR(--Разбивка_по_щитам!K762,""))</f>
        <v/>
      </c>
      <c r="V762" s="138">
        <f>IF(R762="","",IFERROR(IF(Разбивка_по_щитам!M762=0,"",Разбивка_по_щитам!M762),""))</f>
        <v/>
      </c>
      <c r="W762" s="156">
        <f t="shared" si="467"/>
        <v/>
      </c>
      <c r="X762" s="157">
        <f t="shared" si="468"/>
        <v/>
      </c>
      <c r="Y762" s="266"/>
      <c r="Z762" s="158">
        <f t="shared" si="469"/>
        <v/>
      </c>
      <c r="AA762" s="160">
        <f t="shared" si="470"/>
        <v/>
      </c>
      <c r="AB762" s="160">
        <f>IF(R762="","",IFERROR(LOOKUP(INDEX(Справочная!$I$4:$I$19,MATCH(VLOOKUP(R762,Исходные_данные,22,FALSE),Справочная!$J$4:$J$19,0)+1),{6,10,16,20,25,32,40,50,63,80,100,125}),""))</f>
        <v/>
      </c>
      <c r="AC762" s="160">
        <f t="shared" si="471"/>
        <v/>
      </c>
      <c r="AD762" s="161">
        <f t="shared" si="472"/>
        <v/>
      </c>
      <c r="AE762" s="161">
        <f>IF(AND(R762="",G762=""),"",_xlfn.TEXTJOIN("; ",TRUE,IF(AND(R762&lt;&gt;"",V762=""),"нет фазы",""),IF(AND(R762&lt;&gt;"",N(T762)=0),"нет мощности",""),IF(AND(P762&lt;&gt;"",COUNTIFS($A$3:$A$1000,A762,$P$3:$P$1000,P762)&gt;1),"дубль клеммы "&amp;P762,""),IF(AND(W762&lt;&gt;"",W762&lt;&gt;"ok"),W762,""),IF(X762&lt;&gt;"",X762,""),IF(AND(ISNUMBER(SEARCH("(5х",Q762)),N(AK762)=1),"5 жил на 1 фазе",""),IF(AND(AL762="R",E762&lt;&gt;"",N(AS762)=0),"розетка без 30 мА",""),IF(IFERROR(_xlfn.NUMBERVALUE(MID(Q762,FIND("-",Q762,FIND("L=",Q762))+1,FIND("%",Q762)-FIND("-",Q762,FIND("L=",Q762))-1),","),0)&gt;4,"потери &gt; 4 %","")))</f>
      </c>
      <c r="AF762" s="129">
        <f>IF(E762&lt;&gt;"",COUNTIFS($A$3:A762,A762,$E$3:E762,"?*"),IF(OR(A762&lt;&gt;A761,Y762="вручную"),"",AF761))</f>
        <v/>
      </c>
      <c r="AG762" s="129">
        <f t="shared" si="473"/>
        <v/>
      </c>
      <c r="AH762" s="129">
        <f t="shared" si="474"/>
        <v/>
      </c>
      <c r="AI762" s="129">
        <f t="shared" si="475"/>
        <v/>
      </c>
      <c r="AJ762" s="129">
        <f t="shared" si="476"/>
        <v/>
      </c>
      <c r="AK762" s="129">
        <f t="shared" si="477"/>
        <v/>
      </c>
      <c r="AL762" s="129">
        <f t="shared" si="478"/>
        <v/>
      </c>
      <c r="AM762" s="129">
        <f t="shared" si="479"/>
      </c>
      <c r="AN762" s="129">
        <f t="shared" si="480"/>
      </c>
      <c r="AO762" s="129">
        <f t="shared" si="481"/>
        <v/>
      </c>
      <c r="AP762" s="129">
        <f t="shared" si="482"/>
        <v/>
      </c>
      <c r="AQ762" s="129">
        <f t="shared" si="483"/>
        <v/>
      </c>
      <c r="AR762" s="129">
        <f t="shared" si="484"/>
        <v/>
      </c>
      <c r="AS762" s="129">
        <f t="shared" si="485"/>
        <v/>
      </c>
      <c r="AT762" s="129">
        <f t="shared" si="486"/>
        <v/>
      </c>
      <c r="AU762" s="129">
        <f t="shared" si="487"/>
        <v/>
      </c>
      <c r="AV762" s="129">
        <f t="shared" si="488"/>
        <v/>
      </c>
      <c r="AW762" s="129">
        <f>IF(AV762="","",AV762&amp;"."&amp;COUNTIFS($A$3:A762,A762,$AV$3:AV762,AV762))</f>
        <v/>
      </c>
      <c r="AX762" s="129">
        <f t="shared" si="489"/>
        <v/>
      </c>
      <c r="AY762" s="129">
        <f>IF(N762="б/к",0,IF(OR(ISNUMBER(SEARCH("L=",Разбивка_по_щитам!P762)),N762="+",N762="="),1,0))</f>
      </c>
      <c r="AZ762" s="129">
        <f t="shared" si="490"/>
        <v/>
      </c>
      <c r="BA762" s="129">
        <f t="shared" si="491"/>
      </c>
      <c r="BB762" s="129">
        <f t="shared" si="492"/>
      </c>
      <c r="BD762" s="129">
        <f t="shared" si="493"/>
      </c>
      <c r="BE762" s="129">
        <f t="shared" si="494"/>
      </c>
      <c r="BF762" s="129">
        <f t="shared" si="495"/>
      </c>
      <c r="BG762" s="129">
        <f t="shared" si="496"/>
        <v/>
      </c>
      <c r="BH762" s="129">
        <f t="shared" si="497"/>
        <v/>
      </c>
      <c r="BI762" s="129">
        <f t="shared" si="498"/>
        <v/>
      </c>
      <c r="BJ762" s="129">
        <f t="shared" si="499"/>
        <v/>
      </c>
      <c r="BK762" s="129">
        <f>IF(R762="","",IF(OR(BY762="",BY762=0),"BOX",IFERROR(IF(VLOOKUP(BY762,УГО_блоки,3,FALSE)&amp;""&lt;&gt;"",VLOOKUP(BY762,УГО_блоки,3,FALSE),VLOOKUP(BY762,УГО_блоки,2,FALSE)),BY762)))</f>
      </c>
      <c r="BL762" s="129">
        <f t="shared" si="501"/>
      </c>
      <c r="BM762" s="129">
        <f>IF(H762="","",IF(COUNTIF($H$3:H762,H762)=1,MAX($BM$2:BM761)+1,""))</f>
      </c>
      <c r="BN762" s="129">
        <f>IF(I762="","",IF(COUNTIF($I$3:I762,I762)+COUNTIF($J$2:J761,I762)+COUNTIF($K$2:K761,I762)=1,MAX($BN$2:BP761)+1,""))</f>
      </c>
      <c r="BO762" s="129">
        <f>IF(J762="","",IF(COUNTIF($I$3:I762,J762)+COUNTIF($J$3:J762,J762)+COUNTIF($K$2:K761,J762)=1,MAX($BN$2:BP761,BN762)+1,""))</f>
      </c>
      <c r="BP762" s="129">
        <f>IF(K762="","",IF(COUNTIF($I$3:I762,K762)+COUNTIF($J$3:J762,K762)+COUNTIF($K$3:K762,K762)=1,MAX($BN$2:BP761,BN762,BO762)+1,""))</f>
      </c>
      <c r="BQ762" s="129">
        <f>IF(AY762=1,IFERROR(MID(Q762,FIND(" (",Q762)+2,FIND(")",Q762,FIND(" (",Q762))-FIND(" (",Q762)-2),"?"),"")</f>
      </c>
      <c r="BR762" s="129">
        <f>IF(BQ762="","",IF(COUNTIF($BQ$3:BQ762,BQ762)=1,MAX($BR$2:BR761)+1,""))</f>
      </c>
      <c r="BS762" s="129">
        <f>IF(AW762="","",COUNTIF($AW$3:AW762,"?*"))</f>
      </c>
      <c r="BT762" s="129">
        <f>IF(OR(AW762="",AI762=""),"",IF(COUNTIFS($AW$3:AW762,"?*",$AI$3:AI762,AI762)=1,MAX($BT$2:BT761)+1,""))</f>
      </c>
      <c r="BU762" s="129">
        <f>IF(AE762="",0,IF(OR(ISNUMBER(SEARCH("дубль",AE762)),ISNUMBER(SEARCH("ПЕРЕГРУЗ",AE762)),ISNUMBER(SEARCH("ЗАЩИЩ",AE762)),ISNUMBER(SEARCH("КАНАЛ",AE762)),ISNUMBER(SEARCH("без 30",AE762))),2,1))</f>
      </c>
      <c r="BV762" s="129">
        <f>IF(R762="","",COUNTIF($R$3:R762,"?*"))</f>
      </c>
      <c r="BW762" s="129">
        <f>IF(AY762&lt;&gt;1,0,IF(MAX(IFERROR(--VLOOKUP(R762,УГО_спр,5,FALSE),0),IFERROR(--VLOOKUP(AL762,УГО_спр,5,FALSE),0),IFERROR(--VLOOKUP(LEFT(AL762,2),УГО_спр,5,FALSE),0))&gt;0,MAX(IFERROR(--VLOOKUP(R762,УГО_спр,5,FALSE),0),IFERROR(--VLOOKUP(AL762,УГО_спр,5,FALSE),0),IFERROR(--VLOOKUP(LEFT(AL762,2),УГО_спр,5,FALSE),0)),IF(IFERROR(--LEFT(SUBSTITUTE(BQ762,"x","х"),FIND("х",SUBSTITUTE(BQ762,"x","х"))-1),3)&gt;3,Каталог!$S$9,1)))</f>
      </c>
      <c r="BX762" s="129">
        <f>IF(AY762&lt;&gt;1,0,MAX(0,IFERROR(--LEFT(SUBSTITUTE(BQ762,"x","х"),FIND("х",SUBSTITUTE(BQ762,"x","х"))-1),3)-3*BW762))</f>
      </c>
      <c r="BY762" s="129">
        <f>IF(R762="","",IFERROR(VLOOKUP(R762,УГО_спр,2,FALSE),IFERROR(VLOOKUP(AL762,УГО_спр,2,FALSE),IFERROR(VLOOKUP(LEFT(AL762,2),УГО_спр,2,FALSE),""))))</f>
      </c>
    </row>
    <row r="763" spans="1:64" x14ac:dyDescent="0.3">
      <c r="A763" s="135">
        <f>IF(Разбивка_по_щитам!F763=0,"",Разбивка_по_щитам!F763)</f>
        <v/>
      </c>
      <c r="B763" s="138">
        <f>IF(A763="","",Разбивка_по_щитам!C763)</f>
        <v/>
      </c>
      <c r="C763" s="138">
        <f t="shared" si="462"/>
        <v/>
      </c>
      <c r="D763" s="266"/>
      <c r="E763" s="266"/>
      <c r="F763" s="267"/>
      <c r="G763" s="145">
        <f t="shared" si="463"/>
        <v/>
      </c>
      <c r="H763" s="145">
        <f t="shared" si="464"/>
        <v/>
      </c>
      <c r="I763" s="266"/>
      <c r="J763" s="267"/>
      <c r="K763" s="267"/>
      <c r="L763" s="266"/>
      <c r="M763" s="147">
        <f t="shared" si="465"/>
        <v/>
      </c>
      <c r="N763" s="267"/>
      <c r="O763" s="147">
        <f t="shared" si="466"/>
        <v/>
      </c>
      <c r="P763" s="268">
        <f>IF(AY763=1,"XT"&amp;COUNTIFS($A$3:A763,A763,$AY$3:AY763,1),"")</f>
        <v/>
      </c>
      <c r="Q763" s="152">
        <f>IF(R763="","",IFERROR(SUBSTITUTE(Разбивка_по_щитам!P763,CHAR(10)," "),""))</f>
        <v/>
      </c>
      <c r="R763" s="153">
        <f>IF(OR(Разбивка_по_щитам!H763="",Разбивка_по_щитам!H763=0),"",Разбивка_по_щитам!H763)</f>
        <v/>
      </c>
      <c r="S763" s="154">
        <f>IF(R763="","",IFERROR(Разбивка_по_щитам!J763&amp;"",""))</f>
        <v/>
      </c>
      <c r="T763" s="155">
        <f>IF(R763="","",IFERROR(--Разбивка_по_щитам!L763,""))</f>
        <v/>
      </c>
      <c r="U763" s="155">
        <f>IF(R763="","",IFERROR(--Разбивка_по_щитам!K763,""))</f>
        <v/>
      </c>
      <c r="V763" s="138">
        <f>IF(R763="","",IFERROR(IF(Разбивка_по_щитам!M763=0,"",Разбивка_по_щитам!M763),""))</f>
        <v/>
      </c>
      <c r="W763" s="156">
        <f t="shared" si="467"/>
        <v/>
      </c>
      <c r="X763" s="157">
        <f t="shared" si="468"/>
        <v/>
      </c>
      <c r="Y763" s="266"/>
      <c r="Z763" s="158">
        <f t="shared" si="469"/>
        <v/>
      </c>
      <c r="AA763" s="160">
        <f t="shared" si="470"/>
        <v/>
      </c>
      <c r="AB763" s="160">
        <f>IF(R763="","",IFERROR(LOOKUP(INDEX(Справочная!$I$4:$I$19,MATCH(VLOOKUP(R763,Исходные_данные,22,FALSE),Справочная!$J$4:$J$19,0)+1),{6,10,16,20,25,32,40,50,63,80,100,125}),""))</f>
        <v/>
      </c>
      <c r="AC763" s="160">
        <f t="shared" si="471"/>
        <v/>
      </c>
      <c r="AD763" s="161">
        <f t="shared" si="472"/>
        <v/>
      </c>
      <c r="AE763" s="161">
        <f>IF(AND(R763="",G763=""),"",_xlfn.TEXTJOIN("; ",TRUE,IF(AND(R763&lt;&gt;"",V763=""),"нет фазы",""),IF(AND(R763&lt;&gt;"",N(T763)=0),"нет мощности",""),IF(AND(P763&lt;&gt;"",COUNTIFS($A$3:$A$1000,A763,$P$3:$P$1000,P763)&gt;1),"дубль клеммы "&amp;P763,""),IF(AND(W763&lt;&gt;"",W763&lt;&gt;"ok"),W763,""),IF(X763&lt;&gt;"",X763,""),IF(AND(ISNUMBER(SEARCH("(5х",Q763)),N(AK763)=1),"5 жил на 1 фазе",""),IF(AND(AL763="R",E763&lt;&gt;"",N(AS763)=0),"розетка без 30 мА",""),IF(IFERROR(_xlfn.NUMBERVALUE(MID(Q763,FIND("-",Q763,FIND("L=",Q763))+1,FIND("%",Q763)-FIND("-",Q763,FIND("L=",Q763))-1),","),0)&gt;4,"потери &gt; 4 %","")))</f>
      </c>
      <c r="AF763" s="129">
        <f>IF(E763&lt;&gt;"",COUNTIFS($A$3:A763,A763,$E$3:E763,"?*"),IF(OR(A763&lt;&gt;A762,Y763="вручную"),"",AF762))</f>
        <v/>
      </c>
      <c r="AG763" s="129">
        <f t="shared" si="473"/>
        <v/>
      </c>
      <c r="AH763" s="129">
        <f t="shared" si="474"/>
        <v/>
      </c>
      <c r="AI763" s="129">
        <f t="shared" si="475"/>
        <v/>
      </c>
      <c r="AJ763" s="129">
        <f t="shared" si="476"/>
        <v/>
      </c>
      <c r="AK763" s="129">
        <f t="shared" si="477"/>
        <v/>
      </c>
      <c r="AL763" s="129">
        <f t="shared" si="478"/>
        <v/>
      </c>
      <c r="AM763" s="129">
        <f t="shared" si="479"/>
      </c>
      <c r="AN763" s="129">
        <f t="shared" si="480"/>
      </c>
      <c r="AO763" s="129">
        <f t="shared" si="481"/>
        <v/>
      </c>
      <c r="AP763" s="129">
        <f t="shared" si="482"/>
        <v/>
      </c>
      <c r="AQ763" s="129">
        <f t="shared" si="483"/>
        <v/>
      </c>
      <c r="AR763" s="129">
        <f t="shared" si="484"/>
        <v/>
      </c>
      <c r="AS763" s="129">
        <f t="shared" si="485"/>
        <v/>
      </c>
      <c r="AT763" s="129">
        <f t="shared" si="486"/>
        <v/>
      </c>
      <c r="AU763" s="129">
        <f t="shared" si="487"/>
        <v/>
      </c>
      <c r="AV763" s="129">
        <f t="shared" si="488"/>
        <v/>
      </c>
      <c r="AW763" s="129">
        <f>IF(AV763="","",AV763&amp;"."&amp;COUNTIFS($A$3:A763,A763,$AV$3:AV763,AV763))</f>
        <v/>
      </c>
      <c r="AX763" s="129">
        <f t="shared" si="489"/>
        <v/>
      </c>
      <c r="AY763" s="129">
        <f>IF(N763="б/к",0,IF(OR(ISNUMBER(SEARCH("L=",Разбивка_по_щитам!P763)),N763="+",N763="="),1,0))</f>
      </c>
      <c r="AZ763" s="129">
        <f t="shared" si="490"/>
        <v/>
      </c>
      <c r="BA763" s="129">
        <f t="shared" si="491"/>
      </c>
      <c r="BB763" s="129">
        <f t="shared" si="492"/>
      </c>
      <c r="BD763" s="129">
        <f t="shared" si="493"/>
      </c>
      <c r="BE763" s="129">
        <f t="shared" si="494"/>
      </c>
      <c r="BF763" s="129">
        <f t="shared" si="495"/>
      </c>
      <c r="BG763" s="129">
        <f t="shared" si="496"/>
        <v/>
      </c>
      <c r="BH763" s="129">
        <f t="shared" si="497"/>
        <v/>
      </c>
      <c r="BI763" s="129">
        <f t="shared" si="498"/>
        <v/>
      </c>
      <c r="BJ763" s="129">
        <f t="shared" si="499"/>
        <v/>
      </c>
      <c r="BK763" s="129">
        <f>IF(R763="","",IF(OR(BY763="",BY763=0),"BOX",IFERROR(IF(VLOOKUP(BY763,УГО_блоки,3,FALSE)&amp;""&lt;&gt;"",VLOOKUP(BY763,УГО_блоки,3,FALSE),VLOOKUP(BY763,УГО_блоки,2,FALSE)),BY763)))</f>
      </c>
      <c r="BL763" s="129">
        <f t="shared" si="501"/>
      </c>
      <c r="BM763" s="129">
        <f>IF(H763="","",IF(COUNTIF($H$3:H763,H763)=1,MAX($BM$2:BM762)+1,""))</f>
      </c>
      <c r="BN763" s="129">
        <f>IF(I763="","",IF(COUNTIF($I$3:I763,I763)+COUNTIF($J$2:J762,I763)+COUNTIF($K$2:K762,I763)=1,MAX($BN$2:BP762)+1,""))</f>
      </c>
      <c r="BO763" s="129">
        <f>IF(J763="","",IF(COUNTIF($I$3:I763,J763)+COUNTIF($J$3:J763,J763)+COUNTIF($K$2:K762,J763)=1,MAX($BN$2:BP762,BN763)+1,""))</f>
      </c>
      <c r="BP763" s="129">
        <f>IF(K763="","",IF(COUNTIF($I$3:I763,K763)+COUNTIF($J$3:J763,K763)+COUNTIF($K$3:K763,K763)=1,MAX($BN$2:BP762,BN763,BO763)+1,""))</f>
      </c>
      <c r="BQ763" s="129">
        <f>IF(AY763=1,IFERROR(MID(Q763,FIND(" (",Q763)+2,FIND(")",Q763,FIND(" (",Q763))-FIND(" (",Q763)-2),"?"),"")</f>
      </c>
      <c r="BR763" s="129">
        <f>IF(BQ763="","",IF(COUNTIF($BQ$3:BQ763,BQ763)=1,MAX($BR$2:BR762)+1,""))</f>
      </c>
      <c r="BS763" s="129">
        <f>IF(AW763="","",COUNTIF($AW$3:AW763,"?*"))</f>
      </c>
      <c r="BT763" s="129">
        <f>IF(OR(AW763="",AI763=""),"",IF(COUNTIFS($AW$3:AW763,"?*",$AI$3:AI763,AI763)=1,MAX($BT$2:BT762)+1,""))</f>
      </c>
      <c r="BU763" s="129">
        <f>IF(AE763="",0,IF(OR(ISNUMBER(SEARCH("дубль",AE763)),ISNUMBER(SEARCH("ПЕРЕГРУЗ",AE763)),ISNUMBER(SEARCH("ЗАЩИЩ",AE763)),ISNUMBER(SEARCH("КАНАЛ",AE763)),ISNUMBER(SEARCH("без 30",AE763))),2,1))</f>
      </c>
      <c r="BV763" s="129">
        <f>IF(R763="","",COUNTIF($R$3:R763,"?*"))</f>
      </c>
      <c r="BW763" s="129">
        <f>IF(AY763&lt;&gt;1,0,IF(MAX(IFERROR(--VLOOKUP(R763,УГО_спр,5,FALSE),0),IFERROR(--VLOOKUP(AL763,УГО_спр,5,FALSE),0),IFERROR(--VLOOKUP(LEFT(AL763,2),УГО_спр,5,FALSE),0))&gt;0,MAX(IFERROR(--VLOOKUP(R763,УГО_спр,5,FALSE),0),IFERROR(--VLOOKUP(AL763,УГО_спр,5,FALSE),0),IFERROR(--VLOOKUP(LEFT(AL763,2),УГО_спр,5,FALSE),0)),IF(IFERROR(--LEFT(SUBSTITUTE(BQ763,"x","х"),FIND("х",SUBSTITUTE(BQ763,"x","х"))-1),3)&gt;3,Каталог!$S$9,1)))</f>
      </c>
      <c r="BX763" s="129">
        <f>IF(AY763&lt;&gt;1,0,MAX(0,IFERROR(--LEFT(SUBSTITUTE(BQ763,"x","х"),FIND("х",SUBSTITUTE(BQ763,"x","х"))-1),3)-3*BW763))</f>
      </c>
      <c r="BY763" s="129">
        <f>IF(R763="","",IFERROR(VLOOKUP(R763,УГО_спр,2,FALSE),IFERROR(VLOOKUP(AL763,УГО_спр,2,FALSE),IFERROR(VLOOKUP(LEFT(AL763,2),УГО_спр,2,FALSE),""))))</f>
      </c>
    </row>
    <row r="764" spans="1:64" x14ac:dyDescent="0.3">
      <c r="A764" s="135">
        <f>IF(Разбивка_по_щитам!F764=0,"",Разбивка_по_щитам!F764)</f>
        <v/>
      </c>
      <c r="B764" s="138">
        <f>IF(A764="","",Разбивка_по_щитам!C764)</f>
        <v/>
      </c>
      <c r="C764" s="138">
        <f t="shared" si="462"/>
        <v/>
      </c>
      <c r="D764" s="266"/>
      <c r="E764" s="266"/>
      <c r="F764" s="267"/>
      <c r="G764" s="145">
        <f t="shared" si="463"/>
        <v/>
      </c>
      <c r="H764" s="145">
        <f t="shared" si="464"/>
        <v/>
      </c>
      <c r="I764" s="266"/>
      <c r="J764" s="267"/>
      <c r="K764" s="267"/>
      <c r="L764" s="266"/>
      <c r="M764" s="147">
        <f t="shared" si="465"/>
        <v/>
      </c>
      <c r="N764" s="267"/>
      <c r="O764" s="147">
        <f t="shared" si="466"/>
        <v/>
      </c>
      <c r="P764" s="268">
        <f>IF(AY764=1,"XT"&amp;COUNTIFS($A$3:A764,A764,$AY$3:AY764,1),"")</f>
        <v/>
      </c>
      <c r="Q764" s="152">
        <f>IF(R764="","",IFERROR(SUBSTITUTE(Разбивка_по_щитам!P764,CHAR(10)," "),""))</f>
        <v/>
      </c>
      <c r="R764" s="153">
        <f>IF(OR(Разбивка_по_щитам!H764="",Разбивка_по_щитам!H764=0),"",Разбивка_по_щитам!H764)</f>
        <v/>
      </c>
      <c r="S764" s="154">
        <f>IF(R764="","",IFERROR(Разбивка_по_щитам!J764&amp;"",""))</f>
        <v/>
      </c>
      <c r="T764" s="155">
        <f>IF(R764="","",IFERROR(--Разбивка_по_щитам!L764,""))</f>
        <v/>
      </c>
      <c r="U764" s="155">
        <f>IF(R764="","",IFERROR(--Разбивка_по_щитам!K764,""))</f>
        <v/>
      </c>
      <c r="V764" s="138">
        <f>IF(R764="","",IFERROR(IF(Разбивка_по_щитам!M764=0,"",Разбивка_по_щитам!M764),""))</f>
        <v/>
      </c>
      <c r="W764" s="156">
        <f t="shared" si="467"/>
        <v/>
      </c>
      <c r="X764" s="157">
        <f t="shared" si="468"/>
        <v/>
      </c>
      <c r="Y764" s="266"/>
      <c r="Z764" s="158">
        <f t="shared" si="469"/>
        <v/>
      </c>
      <c r="AA764" s="160">
        <f t="shared" si="470"/>
        <v/>
      </c>
      <c r="AB764" s="160">
        <f>IF(R764="","",IFERROR(LOOKUP(INDEX(Справочная!$I$4:$I$19,MATCH(VLOOKUP(R764,Исходные_данные,22,FALSE),Справочная!$J$4:$J$19,0)+1),{6,10,16,20,25,32,40,50,63,80,100,125}),""))</f>
        <v/>
      </c>
      <c r="AC764" s="160">
        <f t="shared" si="471"/>
        <v/>
      </c>
      <c r="AD764" s="161">
        <f t="shared" si="472"/>
        <v/>
      </c>
      <c r="AE764" s="161">
        <f>IF(AND(R764="",G764=""),"",_xlfn.TEXTJOIN("; ",TRUE,IF(AND(R764&lt;&gt;"",V764=""),"нет фазы",""),IF(AND(R764&lt;&gt;"",N(T764)=0),"нет мощности",""),IF(AND(P764&lt;&gt;"",COUNTIFS($A$3:$A$1000,A764,$P$3:$P$1000,P764)&gt;1),"дубль клеммы "&amp;P764,""),IF(AND(W764&lt;&gt;"",W764&lt;&gt;"ok"),W764,""),IF(X764&lt;&gt;"",X764,""),IF(AND(ISNUMBER(SEARCH("(5х",Q764)),N(AK764)=1),"5 жил на 1 фазе",""),IF(AND(AL764="R",E764&lt;&gt;"",N(AS764)=0),"розетка без 30 мА",""),IF(IFERROR(_xlfn.NUMBERVALUE(MID(Q764,FIND("-",Q764,FIND("L=",Q764))+1,FIND("%",Q764)-FIND("-",Q764,FIND("L=",Q764))-1),","),0)&gt;4,"потери &gt; 4 %","")))</f>
      </c>
      <c r="AF764" s="129">
        <f>IF(E764&lt;&gt;"",COUNTIFS($A$3:A764,A764,$E$3:E764,"?*"),IF(OR(A764&lt;&gt;A763,Y764="вручную"),"",AF763))</f>
        <v/>
      </c>
      <c r="AG764" s="129">
        <f t="shared" si="473"/>
        <v/>
      </c>
      <c r="AH764" s="129">
        <f t="shared" si="474"/>
        <v/>
      </c>
      <c r="AI764" s="129">
        <f t="shared" si="475"/>
        <v/>
      </c>
      <c r="AJ764" s="129">
        <f t="shared" si="476"/>
        <v/>
      </c>
      <c r="AK764" s="129">
        <f t="shared" si="477"/>
        <v/>
      </c>
      <c r="AL764" s="129">
        <f t="shared" si="478"/>
        <v/>
      </c>
      <c r="AM764" s="129">
        <f t="shared" si="479"/>
      </c>
      <c r="AN764" s="129">
        <f t="shared" si="480"/>
      </c>
      <c r="AO764" s="129">
        <f t="shared" si="481"/>
        <v/>
      </c>
      <c r="AP764" s="129">
        <f t="shared" si="482"/>
        <v/>
      </c>
      <c r="AQ764" s="129">
        <f t="shared" si="483"/>
        <v/>
      </c>
      <c r="AR764" s="129">
        <f t="shared" si="484"/>
        <v/>
      </c>
      <c r="AS764" s="129">
        <f t="shared" si="485"/>
        <v/>
      </c>
      <c r="AT764" s="129">
        <f t="shared" si="486"/>
        <v/>
      </c>
      <c r="AU764" s="129">
        <f t="shared" si="487"/>
        <v/>
      </c>
      <c r="AV764" s="129">
        <f t="shared" si="488"/>
        <v/>
      </c>
      <c r="AW764" s="129">
        <f>IF(AV764="","",AV764&amp;"."&amp;COUNTIFS($A$3:A764,A764,$AV$3:AV764,AV764))</f>
        <v/>
      </c>
      <c r="AX764" s="129">
        <f t="shared" si="489"/>
        <v/>
      </c>
      <c r="AY764" s="129">
        <f>IF(N764="б/к",0,IF(OR(ISNUMBER(SEARCH("L=",Разбивка_по_щитам!P764)),N764="+",N764="="),1,0))</f>
      </c>
      <c r="AZ764" s="129">
        <f t="shared" si="490"/>
        <v/>
      </c>
      <c r="BA764" s="129">
        <f t="shared" si="491"/>
      </c>
      <c r="BB764" s="129">
        <f t="shared" si="492"/>
      </c>
      <c r="BD764" s="129">
        <f t="shared" si="493"/>
      </c>
      <c r="BE764" s="129">
        <f t="shared" si="494"/>
      </c>
      <c r="BF764" s="129">
        <f t="shared" si="495"/>
      </c>
      <c r="BG764" s="129">
        <f t="shared" si="496"/>
        <v/>
      </c>
      <c r="BH764" s="129">
        <f t="shared" si="497"/>
        <v/>
      </c>
      <c r="BI764" s="129">
        <f t="shared" si="498"/>
        <v/>
      </c>
      <c r="BJ764" s="129">
        <f t="shared" si="499"/>
        <v/>
      </c>
      <c r="BK764" s="129">
        <f>IF(R764="","",IF(OR(BY764="",BY764=0),"BOX",IFERROR(IF(VLOOKUP(BY764,УГО_блоки,3,FALSE)&amp;""&lt;&gt;"",VLOOKUP(BY764,УГО_блоки,3,FALSE),VLOOKUP(BY764,УГО_блоки,2,FALSE)),BY764)))</f>
      </c>
      <c r="BL764" s="129">
        <f t="shared" si="501"/>
      </c>
      <c r="BM764" s="129">
        <f>IF(H764="","",IF(COUNTIF($H$3:H764,H764)=1,MAX($BM$2:BM763)+1,""))</f>
      </c>
      <c r="BN764" s="129">
        <f>IF(I764="","",IF(COUNTIF($I$3:I764,I764)+COUNTIF($J$2:J763,I764)+COUNTIF($K$2:K763,I764)=1,MAX($BN$2:BP763)+1,""))</f>
      </c>
      <c r="BO764" s="129">
        <f>IF(J764="","",IF(COUNTIF($I$3:I764,J764)+COUNTIF($J$3:J764,J764)+COUNTIF($K$2:K763,J764)=1,MAX($BN$2:BP763,BN764)+1,""))</f>
      </c>
      <c r="BP764" s="129">
        <f>IF(K764="","",IF(COUNTIF($I$3:I764,K764)+COUNTIF($J$3:J764,K764)+COUNTIF($K$3:K764,K764)=1,MAX($BN$2:BP763,BN764,BO764)+1,""))</f>
      </c>
      <c r="BQ764" s="129">
        <f>IF(AY764=1,IFERROR(MID(Q764,FIND(" (",Q764)+2,FIND(")",Q764,FIND(" (",Q764))-FIND(" (",Q764)-2),"?"),"")</f>
      </c>
      <c r="BR764" s="129">
        <f>IF(BQ764="","",IF(COUNTIF($BQ$3:BQ764,BQ764)=1,MAX($BR$2:BR763)+1,""))</f>
      </c>
      <c r="BS764" s="129">
        <f>IF(AW764="","",COUNTIF($AW$3:AW764,"?*"))</f>
      </c>
      <c r="BT764" s="129">
        <f>IF(OR(AW764="",AI764=""),"",IF(COUNTIFS($AW$3:AW764,"?*",$AI$3:AI764,AI764)=1,MAX($BT$2:BT763)+1,""))</f>
      </c>
      <c r="BU764" s="129">
        <f>IF(AE764="",0,IF(OR(ISNUMBER(SEARCH("дубль",AE764)),ISNUMBER(SEARCH("ПЕРЕГРУЗ",AE764)),ISNUMBER(SEARCH("ЗАЩИЩ",AE764)),ISNUMBER(SEARCH("КАНАЛ",AE764)),ISNUMBER(SEARCH("без 30",AE764))),2,1))</f>
      </c>
      <c r="BV764" s="129">
        <f>IF(R764="","",COUNTIF($R$3:R764,"?*"))</f>
      </c>
      <c r="BW764" s="129">
        <f>IF(AY764&lt;&gt;1,0,IF(MAX(IFERROR(--VLOOKUP(R764,УГО_спр,5,FALSE),0),IFERROR(--VLOOKUP(AL764,УГО_спр,5,FALSE),0),IFERROR(--VLOOKUP(LEFT(AL764,2),УГО_спр,5,FALSE),0))&gt;0,MAX(IFERROR(--VLOOKUP(R764,УГО_спр,5,FALSE),0),IFERROR(--VLOOKUP(AL764,УГО_спр,5,FALSE),0),IFERROR(--VLOOKUP(LEFT(AL764,2),УГО_спр,5,FALSE),0)),IF(IFERROR(--LEFT(SUBSTITUTE(BQ764,"x","х"),FIND("х",SUBSTITUTE(BQ764,"x","х"))-1),3)&gt;3,Каталог!$S$9,1)))</f>
      </c>
      <c r="BX764" s="129">
        <f>IF(AY764&lt;&gt;1,0,MAX(0,IFERROR(--LEFT(SUBSTITUTE(BQ764,"x","х"),FIND("х",SUBSTITUTE(BQ764,"x","х"))-1),3)-3*BW764))</f>
      </c>
      <c r="BY764" s="129">
        <f>IF(R764="","",IFERROR(VLOOKUP(R764,УГО_спр,2,FALSE),IFERROR(VLOOKUP(AL764,УГО_спр,2,FALSE),IFERROR(VLOOKUP(LEFT(AL764,2),УГО_спр,2,FALSE),""))))</f>
      </c>
    </row>
    <row r="765" spans="1:64" x14ac:dyDescent="0.3">
      <c r="A765" s="135">
        <f>IF(Разбивка_по_щитам!F765=0,"",Разбивка_по_щитам!F765)</f>
        <v/>
      </c>
      <c r="B765" s="138">
        <f>IF(A765="","",Разбивка_по_щитам!C765)</f>
        <v/>
      </c>
      <c r="C765" s="138">
        <f t="shared" si="462"/>
        <v/>
      </c>
      <c r="D765" s="266"/>
      <c r="E765" s="266"/>
      <c r="F765" s="267"/>
      <c r="G765" s="145">
        <f t="shared" si="463"/>
        <v/>
      </c>
      <c r="H765" s="145">
        <f t="shared" si="464"/>
        <v/>
      </c>
      <c r="I765" s="266"/>
      <c r="J765" s="267"/>
      <c r="K765" s="267"/>
      <c r="L765" s="266"/>
      <c r="M765" s="147">
        <f t="shared" si="465"/>
        <v/>
      </c>
      <c r="N765" s="267"/>
      <c r="O765" s="147">
        <f t="shared" si="466"/>
        <v/>
      </c>
      <c r="P765" s="268">
        <f>IF(AY765=1,"XT"&amp;COUNTIFS($A$3:A765,A765,$AY$3:AY765,1),"")</f>
        <v/>
      </c>
      <c r="Q765" s="152">
        <f>IF(R765="","",IFERROR(SUBSTITUTE(Разбивка_по_щитам!P765,CHAR(10)," "),""))</f>
        <v/>
      </c>
      <c r="R765" s="153">
        <f>IF(OR(Разбивка_по_щитам!H765="",Разбивка_по_щитам!H765=0),"",Разбивка_по_щитам!H765)</f>
        <v/>
      </c>
      <c r="S765" s="154">
        <f>IF(R765="","",IFERROR(Разбивка_по_щитам!J765&amp;"",""))</f>
        <v/>
      </c>
      <c r="T765" s="155">
        <f>IF(R765="","",IFERROR(--Разбивка_по_щитам!L765,""))</f>
        <v/>
      </c>
      <c r="U765" s="155">
        <f>IF(R765="","",IFERROR(--Разбивка_по_щитам!K765,""))</f>
        <v/>
      </c>
      <c r="V765" s="138">
        <f>IF(R765="","",IFERROR(IF(Разбивка_по_щитам!M765=0,"",Разбивка_по_щитам!M765),""))</f>
        <v/>
      </c>
      <c r="W765" s="156">
        <f t="shared" si="467"/>
        <v/>
      </c>
      <c r="X765" s="157">
        <f t="shared" si="468"/>
        <v/>
      </c>
      <c r="Y765" s="266"/>
      <c r="Z765" s="158">
        <f t="shared" si="469"/>
        <v/>
      </c>
      <c r="AA765" s="160">
        <f t="shared" si="470"/>
        <v/>
      </c>
      <c r="AB765" s="160">
        <f>IF(R765="","",IFERROR(LOOKUP(INDEX(Справочная!$I$4:$I$19,MATCH(VLOOKUP(R765,Исходные_данные,22,FALSE),Справочная!$J$4:$J$19,0)+1),{6,10,16,20,25,32,40,50,63,80,100,125}),""))</f>
        <v/>
      </c>
      <c r="AC765" s="160">
        <f t="shared" si="471"/>
        <v/>
      </c>
      <c r="AD765" s="161">
        <f t="shared" si="472"/>
        <v/>
      </c>
      <c r="AE765" s="161">
        <f>IF(AND(R765="",G765=""),"",_xlfn.TEXTJOIN("; ",TRUE,IF(AND(R765&lt;&gt;"",V765=""),"нет фазы",""),IF(AND(R765&lt;&gt;"",N(T765)=0),"нет мощности",""),IF(AND(P765&lt;&gt;"",COUNTIFS($A$3:$A$1000,A765,$P$3:$P$1000,P765)&gt;1),"дубль клеммы "&amp;P765,""),IF(AND(W765&lt;&gt;"",W765&lt;&gt;"ok"),W765,""),IF(X765&lt;&gt;"",X765,""),IF(AND(ISNUMBER(SEARCH("(5х",Q765)),N(AK765)=1),"5 жил на 1 фазе",""),IF(AND(AL765="R",E765&lt;&gt;"",N(AS765)=0),"розетка без 30 мА",""),IF(IFERROR(_xlfn.NUMBERVALUE(MID(Q765,FIND("-",Q765,FIND("L=",Q765))+1,FIND("%",Q765)-FIND("-",Q765,FIND("L=",Q765))-1),","),0)&gt;4,"потери &gt; 4 %","")))</f>
      </c>
      <c r="AF765" s="129">
        <f>IF(E765&lt;&gt;"",COUNTIFS($A$3:A765,A765,$E$3:E765,"?*"),IF(OR(A765&lt;&gt;A764,Y765="вручную"),"",AF764))</f>
        <v/>
      </c>
      <c r="AG765" s="129">
        <f t="shared" si="473"/>
        <v/>
      </c>
      <c r="AH765" s="129">
        <f t="shared" si="474"/>
        <v/>
      </c>
      <c r="AI765" s="129">
        <f t="shared" si="475"/>
        <v/>
      </c>
      <c r="AJ765" s="129">
        <f t="shared" si="476"/>
        <v/>
      </c>
      <c r="AK765" s="129">
        <f t="shared" si="477"/>
        <v/>
      </c>
      <c r="AL765" s="129">
        <f t="shared" si="478"/>
        <v/>
      </c>
      <c r="AM765" s="129">
        <f t="shared" si="479"/>
      </c>
      <c r="AN765" s="129">
        <f t="shared" si="480"/>
      </c>
      <c r="AO765" s="129">
        <f t="shared" si="481"/>
        <v/>
      </c>
      <c r="AP765" s="129">
        <f t="shared" si="482"/>
        <v/>
      </c>
      <c r="AQ765" s="129">
        <f t="shared" si="483"/>
        <v/>
      </c>
      <c r="AR765" s="129">
        <f t="shared" si="484"/>
        <v/>
      </c>
      <c r="AS765" s="129">
        <f t="shared" si="485"/>
        <v/>
      </c>
      <c r="AT765" s="129">
        <f t="shared" si="486"/>
        <v/>
      </c>
      <c r="AU765" s="129">
        <f t="shared" si="487"/>
        <v/>
      </c>
      <c r="AV765" s="129">
        <f t="shared" si="488"/>
        <v/>
      </c>
      <c r="AW765" s="129">
        <f>IF(AV765="","",AV765&amp;"."&amp;COUNTIFS($A$3:A765,A765,$AV$3:AV765,AV765))</f>
        <v/>
      </c>
      <c r="AX765" s="129">
        <f t="shared" si="489"/>
        <v/>
      </c>
      <c r="AY765" s="129">
        <f>IF(N765="б/к",0,IF(OR(ISNUMBER(SEARCH("L=",Разбивка_по_щитам!P765)),N765="+",N765="="),1,0))</f>
      </c>
      <c r="AZ765" s="129">
        <f t="shared" si="490"/>
        <v/>
      </c>
      <c r="BA765" s="129">
        <f t="shared" si="491"/>
      </c>
      <c r="BB765" s="129">
        <f t="shared" si="492"/>
      </c>
      <c r="BD765" s="129">
        <f t="shared" si="493"/>
      </c>
      <c r="BE765" s="129">
        <f t="shared" si="494"/>
      </c>
      <c r="BF765" s="129">
        <f t="shared" si="495"/>
      </c>
      <c r="BG765" s="129">
        <f t="shared" si="496"/>
        <v/>
      </c>
      <c r="BH765" s="129">
        <f t="shared" si="497"/>
        <v/>
      </c>
      <c r="BI765" s="129">
        <f t="shared" si="498"/>
        <v/>
      </c>
      <c r="BJ765" s="129">
        <f t="shared" si="499"/>
        <v/>
      </c>
      <c r="BK765" s="129">
        <f>IF(R765="","",IF(OR(BY765="",BY765=0),"BOX",IFERROR(IF(VLOOKUP(BY765,УГО_блоки,3,FALSE)&amp;""&lt;&gt;"",VLOOKUP(BY765,УГО_блоки,3,FALSE),VLOOKUP(BY765,УГО_блоки,2,FALSE)),BY765)))</f>
      </c>
      <c r="BL765" s="129">
        <f t="shared" si="501"/>
      </c>
      <c r="BM765" s="129">
        <f>IF(H765="","",IF(COUNTIF($H$3:H765,H765)=1,MAX($BM$2:BM764)+1,""))</f>
      </c>
      <c r="BN765" s="129">
        <f>IF(I765="","",IF(COUNTIF($I$3:I765,I765)+COUNTIF($J$2:J764,I765)+COUNTIF($K$2:K764,I765)=1,MAX($BN$2:BP764)+1,""))</f>
      </c>
      <c r="BO765" s="129">
        <f>IF(J765="","",IF(COUNTIF($I$3:I765,J765)+COUNTIF($J$3:J765,J765)+COUNTIF($K$2:K764,J765)=1,MAX($BN$2:BP764,BN765)+1,""))</f>
      </c>
      <c r="BP765" s="129">
        <f>IF(K765="","",IF(COUNTIF($I$3:I765,K765)+COUNTIF($J$3:J765,K765)+COUNTIF($K$3:K765,K765)=1,MAX($BN$2:BP764,BN765,BO765)+1,""))</f>
      </c>
      <c r="BQ765" s="129">
        <f>IF(AY765=1,IFERROR(MID(Q765,FIND(" (",Q765)+2,FIND(")",Q765,FIND(" (",Q765))-FIND(" (",Q765)-2),"?"),"")</f>
      </c>
      <c r="BR765" s="129">
        <f>IF(BQ765="","",IF(COUNTIF($BQ$3:BQ765,BQ765)=1,MAX($BR$2:BR764)+1,""))</f>
      </c>
      <c r="BS765" s="129">
        <f>IF(AW765="","",COUNTIF($AW$3:AW765,"?*"))</f>
      </c>
      <c r="BT765" s="129">
        <f>IF(OR(AW765="",AI765=""),"",IF(COUNTIFS($AW$3:AW765,"?*",$AI$3:AI765,AI765)=1,MAX($BT$2:BT764)+1,""))</f>
      </c>
      <c r="BU765" s="129">
        <f>IF(AE765="",0,IF(OR(ISNUMBER(SEARCH("дубль",AE765)),ISNUMBER(SEARCH("ПЕРЕГРУЗ",AE765)),ISNUMBER(SEARCH("ЗАЩИЩ",AE765)),ISNUMBER(SEARCH("КАНАЛ",AE765)),ISNUMBER(SEARCH("без 30",AE765))),2,1))</f>
      </c>
      <c r="BV765" s="129">
        <f>IF(R765="","",COUNTIF($R$3:R765,"?*"))</f>
      </c>
      <c r="BW765" s="129">
        <f>IF(AY765&lt;&gt;1,0,IF(MAX(IFERROR(--VLOOKUP(R765,УГО_спр,5,FALSE),0),IFERROR(--VLOOKUP(AL765,УГО_спр,5,FALSE),0),IFERROR(--VLOOKUP(LEFT(AL765,2),УГО_спр,5,FALSE),0))&gt;0,MAX(IFERROR(--VLOOKUP(R765,УГО_спр,5,FALSE),0),IFERROR(--VLOOKUP(AL765,УГО_спр,5,FALSE),0),IFERROR(--VLOOKUP(LEFT(AL765,2),УГО_спр,5,FALSE),0)),IF(IFERROR(--LEFT(SUBSTITUTE(BQ765,"x","х"),FIND("х",SUBSTITUTE(BQ765,"x","х"))-1),3)&gt;3,Каталог!$S$9,1)))</f>
      </c>
      <c r="BX765" s="129">
        <f>IF(AY765&lt;&gt;1,0,MAX(0,IFERROR(--LEFT(SUBSTITUTE(BQ765,"x","х"),FIND("х",SUBSTITUTE(BQ765,"x","х"))-1),3)-3*BW765))</f>
      </c>
      <c r="BY765" s="129">
        <f>IF(R765="","",IFERROR(VLOOKUP(R765,УГО_спр,2,FALSE),IFERROR(VLOOKUP(AL765,УГО_спр,2,FALSE),IFERROR(VLOOKUP(LEFT(AL765,2),УГО_спр,2,FALSE),""))))</f>
      </c>
    </row>
    <row r="766" spans="1:64" x14ac:dyDescent="0.3">
      <c r="A766" s="135">
        <f>IF(Разбивка_по_щитам!F766=0,"",Разбивка_по_щитам!F766)</f>
        <v/>
      </c>
      <c r="B766" s="138">
        <f>IF(A766="","",Разбивка_по_щитам!C766)</f>
        <v/>
      </c>
      <c r="C766" s="138">
        <f t="shared" si="462"/>
        <v/>
      </c>
      <c r="D766" s="266"/>
      <c r="E766" s="266"/>
      <c r="F766" s="267"/>
      <c r="G766" s="145">
        <f t="shared" si="463"/>
        <v/>
      </c>
      <c r="H766" s="145">
        <f t="shared" si="464"/>
        <v/>
      </c>
      <c r="I766" s="266"/>
      <c r="J766" s="267"/>
      <c r="K766" s="267"/>
      <c r="L766" s="266"/>
      <c r="M766" s="147">
        <f t="shared" si="465"/>
        <v/>
      </c>
      <c r="N766" s="267"/>
      <c r="O766" s="147">
        <f t="shared" si="466"/>
        <v/>
      </c>
      <c r="P766" s="268">
        <f>IF(AY766=1,"XT"&amp;COUNTIFS($A$3:A766,A766,$AY$3:AY766,1),"")</f>
        <v/>
      </c>
      <c r="Q766" s="152">
        <f>IF(R766="","",IFERROR(SUBSTITUTE(Разбивка_по_щитам!P766,CHAR(10)," "),""))</f>
        <v/>
      </c>
      <c r="R766" s="153">
        <f>IF(OR(Разбивка_по_щитам!H766="",Разбивка_по_щитам!H766=0),"",Разбивка_по_щитам!H766)</f>
        <v/>
      </c>
      <c r="S766" s="154">
        <f>IF(R766="","",IFERROR(Разбивка_по_щитам!J766&amp;"",""))</f>
        <v/>
      </c>
      <c r="T766" s="155">
        <f>IF(R766="","",IFERROR(--Разбивка_по_щитам!L766,""))</f>
        <v/>
      </c>
      <c r="U766" s="155">
        <f>IF(R766="","",IFERROR(--Разбивка_по_щитам!K766,""))</f>
        <v/>
      </c>
      <c r="V766" s="138">
        <f>IF(R766="","",IFERROR(IF(Разбивка_по_щитам!M766=0,"",Разбивка_по_щитам!M766),""))</f>
        <v/>
      </c>
      <c r="W766" s="156">
        <f t="shared" si="467"/>
        <v/>
      </c>
      <c r="X766" s="157">
        <f t="shared" si="468"/>
        <v/>
      </c>
      <c r="Y766" s="266"/>
      <c r="Z766" s="158">
        <f t="shared" si="469"/>
        <v/>
      </c>
      <c r="AA766" s="160">
        <f t="shared" si="470"/>
        <v/>
      </c>
      <c r="AB766" s="160">
        <f>IF(R766="","",IFERROR(LOOKUP(INDEX(Справочная!$I$4:$I$19,MATCH(VLOOKUP(R766,Исходные_данные,22,FALSE),Справочная!$J$4:$J$19,0)+1),{6,10,16,20,25,32,40,50,63,80,100,125}),""))</f>
        <v/>
      </c>
      <c r="AC766" s="160">
        <f t="shared" si="471"/>
        <v/>
      </c>
      <c r="AD766" s="161">
        <f t="shared" si="472"/>
        <v/>
      </c>
      <c r="AE766" s="161">
        <f>IF(AND(R766="",G766=""),"",_xlfn.TEXTJOIN("; ",TRUE,IF(AND(R766&lt;&gt;"",V766=""),"нет фазы",""),IF(AND(R766&lt;&gt;"",N(T766)=0),"нет мощности",""),IF(AND(P766&lt;&gt;"",COUNTIFS($A$3:$A$1000,A766,$P$3:$P$1000,P766)&gt;1),"дубль клеммы "&amp;P766,""),IF(AND(W766&lt;&gt;"",W766&lt;&gt;"ok"),W766,""),IF(X766&lt;&gt;"",X766,""),IF(AND(ISNUMBER(SEARCH("(5х",Q766)),N(AK766)=1),"5 жил на 1 фазе",""),IF(AND(AL766="R",E766&lt;&gt;"",N(AS766)=0),"розетка без 30 мА",""),IF(IFERROR(_xlfn.NUMBERVALUE(MID(Q766,FIND("-",Q766,FIND("L=",Q766))+1,FIND("%",Q766)-FIND("-",Q766,FIND("L=",Q766))-1),","),0)&gt;4,"потери &gt; 4 %","")))</f>
      </c>
      <c r="AF766" s="129">
        <f>IF(E766&lt;&gt;"",COUNTIFS($A$3:A766,A766,$E$3:E766,"?*"),IF(OR(A766&lt;&gt;A765,Y766="вручную"),"",AF765))</f>
        <v/>
      </c>
      <c r="AG766" s="129">
        <f t="shared" si="473"/>
        <v/>
      </c>
      <c r="AH766" s="129">
        <f t="shared" si="474"/>
        <v/>
      </c>
      <c r="AI766" s="129">
        <f t="shared" si="475"/>
        <v/>
      </c>
      <c r="AJ766" s="129">
        <f t="shared" si="476"/>
        <v/>
      </c>
      <c r="AK766" s="129">
        <f t="shared" si="477"/>
        <v/>
      </c>
      <c r="AL766" s="129">
        <f t="shared" si="478"/>
        <v/>
      </c>
      <c r="AM766" s="129">
        <f t="shared" si="479"/>
      </c>
      <c r="AN766" s="129">
        <f t="shared" si="480"/>
      </c>
      <c r="AO766" s="129">
        <f t="shared" si="481"/>
        <v/>
      </c>
      <c r="AP766" s="129">
        <f t="shared" si="482"/>
        <v/>
      </c>
      <c r="AQ766" s="129">
        <f t="shared" si="483"/>
        <v/>
      </c>
      <c r="AR766" s="129">
        <f t="shared" si="484"/>
        <v/>
      </c>
      <c r="AS766" s="129">
        <f t="shared" si="485"/>
        <v/>
      </c>
      <c r="AT766" s="129">
        <f t="shared" si="486"/>
        <v/>
      </c>
      <c r="AU766" s="129">
        <f t="shared" si="487"/>
        <v/>
      </c>
      <c r="AV766" s="129">
        <f t="shared" si="488"/>
        <v/>
      </c>
      <c r="AW766" s="129">
        <f>IF(AV766="","",AV766&amp;"."&amp;COUNTIFS($A$3:A766,A766,$AV$3:AV766,AV766))</f>
        <v/>
      </c>
      <c r="AX766" s="129">
        <f t="shared" si="489"/>
        <v/>
      </c>
      <c r="AY766" s="129">
        <f>IF(N766="б/к",0,IF(OR(ISNUMBER(SEARCH("L=",Разбивка_по_щитам!P766)),N766="+",N766="="),1,0))</f>
      </c>
      <c r="AZ766" s="129">
        <f t="shared" si="490"/>
        <v/>
      </c>
      <c r="BA766" s="129">
        <f t="shared" si="491"/>
      </c>
      <c r="BB766" s="129">
        <f t="shared" si="492"/>
      </c>
      <c r="BD766" s="129">
        <f t="shared" si="493"/>
      </c>
      <c r="BE766" s="129">
        <f t="shared" si="494"/>
      </c>
      <c r="BF766" s="129">
        <f t="shared" si="495"/>
      </c>
      <c r="BG766" s="129">
        <f t="shared" si="496"/>
        <v/>
      </c>
      <c r="BH766" s="129">
        <f t="shared" si="497"/>
        <v/>
      </c>
      <c r="BI766" s="129">
        <f t="shared" si="498"/>
        <v/>
      </c>
      <c r="BJ766" s="129">
        <f t="shared" si="499"/>
        <v/>
      </c>
      <c r="BK766" s="129">
        <f>IF(R766="","",IF(OR(BY766="",BY766=0),"BOX",IFERROR(IF(VLOOKUP(BY766,УГО_блоки,3,FALSE)&amp;""&lt;&gt;"",VLOOKUP(BY766,УГО_блоки,3,FALSE),VLOOKUP(BY766,УГО_блоки,2,FALSE)),BY766)))</f>
      </c>
      <c r="BL766" s="129">
        <f t="shared" si="501"/>
      </c>
      <c r="BM766" s="129">
        <f>IF(H766="","",IF(COUNTIF($H$3:H766,H766)=1,MAX($BM$2:BM765)+1,""))</f>
      </c>
      <c r="BN766" s="129">
        <f>IF(I766="","",IF(COUNTIF($I$3:I766,I766)+COUNTIF($J$2:J765,I766)+COUNTIF($K$2:K765,I766)=1,MAX($BN$2:BP765)+1,""))</f>
      </c>
      <c r="BO766" s="129">
        <f>IF(J766="","",IF(COUNTIF($I$3:I766,J766)+COUNTIF($J$3:J766,J766)+COUNTIF($K$2:K765,J766)=1,MAX($BN$2:BP765,BN766)+1,""))</f>
      </c>
      <c r="BP766" s="129">
        <f>IF(K766="","",IF(COUNTIF($I$3:I766,K766)+COUNTIF($J$3:J766,K766)+COUNTIF($K$3:K766,K766)=1,MAX($BN$2:BP765,BN766,BO766)+1,""))</f>
      </c>
      <c r="BQ766" s="129">
        <f>IF(AY766=1,IFERROR(MID(Q766,FIND(" (",Q766)+2,FIND(")",Q766,FIND(" (",Q766))-FIND(" (",Q766)-2),"?"),"")</f>
      </c>
      <c r="BR766" s="129">
        <f>IF(BQ766="","",IF(COUNTIF($BQ$3:BQ766,BQ766)=1,MAX($BR$2:BR765)+1,""))</f>
      </c>
      <c r="BS766" s="129">
        <f>IF(AW766="","",COUNTIF($AW$3:AW766,"?*"))</f>
      </c>
      <c r="BT766" s="129">
        <f>IF(OR(AW766="",AI766=""),"",IF(COUNTIFS($AW$3:AW766,"?*",$AI$3:AI766,AI766)=1,MAX($BT$2:BT765)+1,""))</f>
      </c>
      <c r="BU766" s="129">
        <f>IF(AE766="",0,IF(OR(ISNUMBER(SEARCH("дубль",AE766)),ISNUMBER(SEARCH("ПЕРЕГРУЗ",AE766)),ISNUMBER(SEARCH("ЗАЩИЩ",AE766)),ISNUMBER(SEARCH("КАНАЛ",AE766)),ISNUMBER(SEARCH("без 30",AE766))),2,1))</f>
      </c>
      <c r="BV766" s="129">
        <f>IF(R766="","",COUNTIF($R$3:R766,"?*"))</f>
      </c>
      <c r="BW766" s="129">
        <f>IF(AY766&lt;&gt;1,0,IF(MAX(IFERROR(--VLOOKUP(R766,УГО_спр,5,FALSE),0),IFERROR(--VLOOKUP(AL766,УГО_спр,5,FALSE),0),IFERROR(--VLOOKUP(LEFT(AL766,2),УГО_спр,5,FALSE),0))&gt;0,MAX(IFERROR(--VLOOKUP(R766,УГО_спр,5,FALSE),0),IFERROR(--VLOOKUP(AL766,УГО_спр,5,FALSE),0),IFERROR(--VLOOKUP(LEFT(AL766,2),УГО_спр,5,FALSE),0)),IF(IFERROR(--LEFT(SUBSTITUTE(BQ766,"x","х"),FIND("х",SUBSTITUTE(BQ766,"x","х"))-1),3)&gt;3,Каталог!$S$9,1)))</f>
      </c>
      <c r="BX766" s="129">
        <f>IF(AY766&lt;&gt;1,0,MAX(0,IFERROR(--LEFT(SUBSTITUTE(BQ766,"x","х"),FIND("х",SUBSTITUTE(BQ766,"x","х"))-1),3)-3*BW766))</f>
      </c>
      <c r="BY766" s="129">
        <f>IF(R766="","",IFERROR(VLOOKUP(R766,УГО_спр,2,FALSE),IFERROR(VLOOKUP(AL766,УГО_спр,2,FALSE),IFERROR(VLOOKUP(LEFT(AL766,2),УГО_спр,2,FALSE),""))))</f>
      </c>
    </row>
    <row r="767" spans="1:64" x14ac:dyDescent="0.3">
      <c r="A767" s="135">
        <f>IF(Разбивка_по_щитам!F767=0,"",Разбивка_по_щитам!F767)</f>
        <v/>
      </c>
      <c r="B767" s="138">
        <f>IF(A767="","",Разбивка_по_щитам!C767)</f>
        <v/>
      </c>
      <c r="C767" s="138">
        <f t="shared" si="462"/>
        <v/>
      </c>
      <c r="D767" s="266"/>
      <c r="E767" s="266"/>
      <c r="F767" s="267"/>
      <c r="G767" s="145">
        <f t="shared" si="463"/>
        <v/>
      </c>
      <c r="H767" s="145">
        <f t="shared" si="464"/>
        <v/>
      </c>
      <c r="I767" s="266"/>
      <c r="J767" s="267"/>
      <c r="K767" s="267"/>
      <c r="L767" s="266"/>
      <c r="M767" s="147">
        <f t="shared" si="465"/>
        <v/>
      </c>
      <c r="N767" s="267"/>
      <c r="O767" s="147">
        <f t="shared" si="466"/>
        <v/>
      </c>
      <c r="P767" s="268">
        <f>IF(AY767=1,"XT"&amp;COUNTIFS($A$3:A767,A767,$AY$3:AY767,1),"")</f>
        <v/>
      </c>
      <c r="Q767" s="152">
        <f>IF(R767="","",IFERROR(SUBSTITUTE(Разбивка_по_щитам!P767,CHAR(10)," "),""))</f>
        <v/>
      </c>
      <c r="R767" s="153">
        <f>IF(OR(Разбивка_по_щитам!H767="",Разбивка_по_щитам!H767=0),"",Разбивка_по_щитам!H767)</f>
        <v/>
      </c>
      <c r="S767" s="154">
        <f>IF(R767="","",IFERROR(Разбивка_по_щитам!J767&amp;"",""))</f>
        <v/>
      </c>
      <c r="T767" s="155">
        <f>IF(R767="","",IFERROR(--Разбивка_по_щитам!L767,""))</f>
        <v/>
      </c>
      <c r="U767" s="155">
        <f>IF(R767="","",IFERROR(--Разбивка_по_щитам!K767,""))</f>
        <v/>
      </c>
      <c r="V767" s="138">
        <f>IF(R767="","",IFERROR(IF(Разбивка_по_щитам!M767=0,"",Разбивка_по_щитам!M767),""))</f>
        <v/>
      </c>
      <c r="W767" s="156">
        <f t="shared" si="467"/>
        <v/>
      </c>
      <c r="X767" s="157">
        <f t="shared" si="468"/>
        <v/>
      </c>
      <c r="Y767" s="266"/>
      <c r="Z767" s="158">
        <f t="shared" si="469"/>
        <v/>
      </c>
      <c r="AA767" s="160">
        <f t="shared" si="470"/>
        <v/>
      </c>
      <c r="AB767" s="160">
        <f>IF(R767="","",IFERROR(LOOKUP(INDEX(Справочная!$I$4:$I$19,MATCH(VLOOKUP(R767,Исходные_данные,22,FALSE),Справочная!$J$4:$J$19,0)+1),{6,10,16,20,25,32,40,50,63,80,100,125}),""))</f>
        <v/>
      </c>
      <c r="AC767" s="160">
        <f t="shared" si="471"/>
        <v/>
      </c>
      <c r="AD767" s="161">
        <f t="shared" si="472"/>
        <v/>
      </c>
      <c r="AE767" s="161">
        <f>IF(AND(R767="",G767=""),"",_xlfn.TEXTJOIN("; ",TRUE,IF(AND(R767&lt;&gt;"",V767=""),"нет фазы",""),IF(AND(R767&lt;&gt;"",N(T767)=0),"нет мощности",""),IF(AND(P767&lt;&gt;"",COUNTIFS($A$3:$A$1000,A767,$P$3:$P$1000,P767)&gt;1),"дубль клеммы "&amp;P767,""),IF(AND(W767&lt;&gt;"",W767&lt;&gt;"ok"),W767,""),IF(X767&lt;&gt;"",X767,""),IF(AND(ISNUMBER(SEARCH("(5х",Q767)),N(AK767)=1),"5 жил на 1 фазе",""),IF(AND(AL767="R",E767&lt;&gt;"",N(AS767)=0),"розетка без 30 мА",""),IF(IFERROR(_xlfn.NUMBERVALUE(MID(Q767,FIND("-",Q767,FIND("L=",Q767))+1,FIND("%",Q767)-FIND("-",Q767,FIND("L=",Q767))-1),","),0)&gt;4,"потери &gt; 4 %","")))</f>
      </c>
      <c r="AF767" s="129">
        <f>IF(E767&lt;&gt;"",COUNTIFS($A$3:A767,A767,$E$3:E767,"?*"),IF(OR(A767&lt;&gt;A766,Y767="вручную"),"",AF766))</f>
        <v/>
      </c>
      <c r="AG767" s="129">
        <f t="shared" si="473"/>
        <v/>
      </c>
      <c r="AH767" s="129">
        <f t="shared" si="474"/>
        <v/>
      </c>
      <c r="AI767" s="129">
        <f t="shared" si="475"/>
        <v/>
      </c>
      <c r="AJ767" s="129">
        <f t="shared" si="476"/>
        <v/>
      </c>
      <c r="AK767" s="129">
        <f t="shared" si="477"/>
        <v/>
      </c>
      <c r="AL767" s="129">
        <f t="shared" si="478"/>
        <v/>
      </c>
      <c r="AM767" s="129">
        <f t="shared" si="479"/>
      </c>
      <c r="AN767" s="129">
        <f t="shared" si="480"/>
      </c>
      <c r="AO767" s="129">
        <f t="shared" si="481"/>
        <v/>
      </c>
      <c r="AP767" s="129">
        <f t="shared" si="482"/>
        <v/>
      </c>
      <c r="AQ767" s="129">
        <f t="shared" si="483"/>
        <v/>
      </c>
      <c r="AR767" s="129">
        <f t="shared" si="484"/>
        <v/>
      </c>
      <c r="AS767" s="129">
        <f t="shared" si="485"/>
        <v/>
      </c>
      <c r="AT767" s="129">
        <f t="shared" si="486"/>
        <v/>
      </c>
      <c r="AU767" s="129">
        <f t="shared" si="487"/>
        <v/>
      </c>
      <c r="AV767" s="129">
        <f t="shared" si="488"/>
        <v/>
      </c>
      <c r="AW767" s="129">
        <f>IF(AV767="","",AV767&amp;"."&amp;COUNTIFS($A$3:A767,A767,$AV$3:AV767,AV767))</f>
        <v/>
      </c>
      <c r="AX767" s="129">
        <f t="shared" si="489"/>
        <v/>
      </c>
      <c r="AY767" s="129">
        <f>IF(N767="б/к",0,IF(OR(ISNUMBER(SEARCH("L=",Разбивка_по_щитам!P767)),N767="+",N767="="),1,0))</f>
      </c>
      <c r="AZ767" s="129">
        <f t="shared" si="490"/>
        <v/>
      </c>
      <c r="BA767" s="129">
        <f t="shared" si="491"/>
      </c>
      <c r="BB767" s="129">
        <f t="shared" si="492"/>
      </c>
      <c r="BD767" s="129">
        <f t="shared" si="493"/>
      </c>
      <c r="BE767" s="129">
        <f t="shared" si="494"/>
      </c>
      <c r="BF767" s="129">
        <f t="shared" si="495"/>
      </c>
      <c r="BG767" s="129">
        <f t="shared" si="496"/>
        <v/>
      </c>
      <c r="BH767" s="129">
        <f t="shared" si="497"/>
        <v/>
      </c>
      <c r="BI767" s="129">
        <f t="shared" si="498"/>
        <v/>
      </c>
      <c r="BJ767" s="129">
        <f t="shared" si="499"/>
        <v/>
      </c>
      <c r="BK767" s="129">
        <f>IF(R767="","",IF(OR(BY767="",BY767=0),"BOX",IFERROR(IF(VLOOKUP(BY767,УГО_блоки,3,FALSE)&amp;""&lt;&gt;"",VLOOKUP(BY767,УГО_блоки,3,FALSE),VLOOKUP(BY767,УГО_блоки,2,FALSE)),BY767)))</f>
      </c>
      <c r="BL767" s="129">
        <f t="shared" si="501"/>
      </c>
      <c r="BM767" s="129">
        <f>IF(H767="","",IF(COUNTIF($H$3:H767,H767)=1,MAX($BM$2:BM766)+1,""))</f>
      </c>
      <c r="BN767" s="129">
        <f>IF(I767="","",IF(COUNTIF($I$3:I767,I767)+COUNTIF($J$2:J766,I767)+COUNTIF($K$2:K766,I767)=1,MAX($BN$2:BP766)+1,""))</f>
      </c>
      <c r="BO767" s="129">
        <f>IF(J767="","",IF(COUNTIF($I$3:I767,J767)+COUNTIF($J$3:J767,J767)+COUNTIF($K$2:K766,J767)=1,MAX($BN$2:BP766,BN767)+1,""))</f>
      </c>
      <c r="BP767" s="129">
        <f>IF(K767="","",IF(COUNTIF($I$3:I767,K767)+COUNTIF($J$3:J767,K767)+COUNTIF($K$3:K767,K767)=1,MAX($BN$2:BP766,BN767,BO767)+1,""))</f>
      </c>
      <c r="BQ767" s="129">
        <f>IF(AY767=1,IFERROR(MID(Q767,FIND(" (",Q767)+2,FIND(")",Q767,FIND(" (",Q767))-FIND(" (",Q767)-2),"?"),"")</f>
      </c>
      <c r="BR767" s="129">
        <f>IF(BQ767="","",IF(COUNTIF($BQ$3:BQ767,BQ767)=1,MAX($BR$2:BR766)+1,""))</f>
      </c>
      <c r="BS767" s="129">
        <f>IF(AW767="","",COUNTIF($AW$3:AW767,"?*"))</f>
      </c>
      <c r="BT767" s="129">
        <f>IF(OR(AW767="",AI767=""),"",IF(COUNTIFS($AW$3:AW767,"?*",$AI$3:AI767,AI767)=1,MAX($BT$2:BT766)+1,""))</f>
      </c>
      <c r="BU767" s="129">
        <f>IF(AE767="",0,IF(OR(ISNUMBER(SEARCH("дубль",AE767)),ISNUMBER(SEARCH("ПЕРЕГРУЗ",AE767)),ISNUMBER(SEARCH("ЗАЩИЩ",AE767)),ISNUMBER(SEARCH("КАНАЛ",AE767)),ISNUMBER(SEARCH("без 30",AE767))),2,1))</f>
      </c>
      <c r="BV767" s="129">
        <f>IF(R767="","",COUNTIF($R$3:R767,"?*"))</f>
      </c>
      <c r="BW767" s="129">
        <f>IF(AY767&lt;&gt;1,0,IF(MAX(IFERROR(--VLOOKUP(R767,УГО_спр,5,FALSE),0),IFERROR(--VLOOKUP(AL767,УГО_спр,5,FALSE),0),IFERROR(--VLOOKUP(LEFT(AL767,2),УГО_спр,5,FALSE),0))&gt;0,MAX(IFERROR(--VLOOKUP(R767,УГО_спр,5,FALSE),0),IFERROR(--VLOOKUP(AL767,УГО_спр,5,FALSE),0),IFERROR(--VLOOKUP(LEFT(AL767,2),УГО_спр,5,FALSE),0)),IF(IFERROR(--LEFT(SUBSTITUTE(BQ767,"x","х"),FIND("х",SUBSTITUTE(BQ767,"x","х"))-1),3)&gt;3,Каталог!$S$9,1)))</f>
      </c>
      <c r="BX767" s="129">
        <f>IF(AY767&lt;&gt;1,0,MAX(0,IFERROR(--LEFT(SUBSTITUTE(BQ767,"x","х"),FIND("х",SUBSTITUTE(BQ767,"x","х"))-1),3)-3*BW767))</f>
      </c>
      <c r="BY767" s="129">
        <f>IF(R767="","",IFERROR(VLOOKUP(R767,УГО_спр,2,FALSE),IFERROR(VLOOKUP(AL767,УГО_спр,2,FALSE),IFERROR(VLOOKUP(LEFT(AL767,2),УГО_спр,2,FALSE),""))))</f>
      </c>
    </row>
    <row r="768" spans="1:64" x14ac:dyDescent="0.3">
      <c r="A768" s="135">
        <f>IF(Разбивка_по_щитам!F768=0,"",Разбивка_по_щитам!F768)</f>
        <v/>
      </c>
      <c r="B768" s="138">
        <f>IF(A768="","",Разбивка_по_щитам!C768)</f>
        <v/>
      </c>
      <c r="C768" s="138">
        <f t="shared" si="462"/>
        <v/>
      </c>
      <c r="D768" s="266"/>
      <c r="E768" s="266"/>
      <c r="F768" s="267"/>
      <c r="G768" s="145">
        <f t="shared" si="463"/>
        <v/>
      </c>
      <c r="H768" s="145">
        <f t="shared" si="464"/>
        <v/>
      </c>
      <c r="I768" s="266"/>
      <c r="J768" s="267"/>
      <c r="K768" s="267"/>
      <c r="L768" s="266"/>
      <c r="M768" s="147">
        <f t="shared" si="465"/>
        <v/>
      </c>
      <c r="N768" s="267"/>
      <c r="O768" s="147">
        <f t="shared" si="466"/>
        <v/>
      </c>
      <c r="P768" s="268">
        <f>IF(AY768=1,"XT"&amp;COUNTIFS($A$3:A768,A768,$AY$3:AY768,1),"")</f>
        <v/>
      </c>
      <c r="Q768" s="152">
        <f>IF(R768="","",IFERROR(SUBSTITUTE(Разбивка_по_щитам!P768,CHAR(10)," "),""))</f>
        <v/>
      </c>
      <c r="R768" s="153">
        <f>IF(OR(Разбивка_по_щитам!H768="",Разбивка_по_щитам!H768=0),"",Разбивка_по_щитам!H768)</f>
        <v/>
      </c>
      <c r="S768" s="154">
        <f>IF(R768="","",IFERROR(Разбивка_по_щитам!J768&amp;"",""))</f>
        <v/>
      </c>
      <c r="T768" s="155">
        <f>IF(R768="","",IFERROR(--Разбивка_по_щитам!L768,""))</f>
        <v/>
      </c>
      <c r="U768" s="155">
        <f>IF(R768="","",IFERROR(--Разбивка_по_щитам!K768,""))</f>
        <v/>
      </c>
      <c r="V768" s="138">
        <f>IF(R768="","",IFERROR(IF(Разбивка_по_щитам!M768=0,"",Разбивка_по_щитам!M768),""))</f>
        <v/>
      </c>
      <c r="W768" s="156">
        <f t="shared" si="467"/>
        <v/>
      </c>
      <c r="X768" s="157">
        <f t="shared" si="468"/>
        <v/>
      </c>
      <c r="Y768" s="266"/>
      <c r="Z768" s="158">
        <f t="shared" si="469"/>
        <v/>
      </c>
      <c r="AA768" s="160">
        <f t="shared" si="470"/>
        <v/>
      </c>
      <c r="AB768" s="160">
        <f>IF(R768="","",IFERROR(LOOKUP(INDEX(Справочная!$I$4:$I$19,MATCH(VLOOKUP(R768,Исходные_данные,22,FALSE),Справочная!$J$4:$J$19,0)+1),{6,10,16,20,25,32,40,50,63,80,100,125}),""))</f>
        <v/>
      </c>
      <c r="AC768" s="160">
        <f t="shared" si="471"/>
        <v/>
      </c>
      <c r="AD768" s="161">
        <f t="shared" si="472"/>
        <v/>
      </c>
      <c r="AE768" s="161">
        <f>IF(AND(R768="",G768=""),"",_xlfn.TEXTJOIN("; ",TRUE,IF(AND(R768&lt;&gt;"",V768=""),"нет фазы",""),IF(AND(R768&lt;&gt;"",N(T768)=0),"нет мощности",""),IF(AND(P768&lt;&gt;"",COUNTIFS($A$3:$A$1000,A768,$P$3:$P$1000,P768)&gt;1),"дубль клеммы "&amp;P768,""),IF(AND(W768&lt;&gt;"",W768&lt;&gt;"ok"),W768,""),IF(X768&lt;&gt;"",X768,""),IF(AND(ISNUMBER(SEARCH("(5х",Q768)),N(AK768)=1),"5 жил на 1 фазе",""),IF(AND(AL768="R",E768&lt;&gt;"",N(AS768)=0),"розетка без 30 мА",""),IF(IFERROR(_xlfn.NUMBERVALUE(MID(Q768,FIND("-",Q768,FIND("L=",Q768))+1,FIND("%",Q768)-FIND("-",Q768,FIND("L=",Q768))-1),","),0)&gt;4,"потери &gt; 4 %","")))</f>
      </c>
      <c r="AF768" s="129">
        <f>IF(E768&lt;&gt;"",COUNTIFS($A$3:A768,A768,$E$3:E768,"?*"),IF(OR(A768&lt;&gt;A767,Y768="вручную"),"",AF767))</f>
        <v/>
      </c>
      <c r="AG768" s="129">
        <f t="shared" si="473"/>
        <v/>
      </c>
      <c r="AH768" s="129">
        <f t="shared" si="474"/>
        <v/>
      </c>
      <c r="AI768" s="129">
        <f t="shared" si="475"/>
        <v/>
      </c>
      <c r="AJ768" s="129">
        <f t="shared" si="476"/>
        <v/>
      </c>
      <c r="AK768" s="129">
        <f t="shared" si="477"/>
        <v/>
      </c>
      <c r="AL768" s="129">
        <f t="shared" si="478"/>
        <v/>
      </c>
      <c r="AM768" s="129">
        <f t="shared" si="479"/>
      </c>
      <c r="AN768" s="129">
        <f t="shared" si="480"/>
      </c>
      <c r="AO768" s="129">
        <f t="shared" si="481"/>
        <v/>
      </c>
      <c r="AP768" s="129">
        <f t="shared" si="482"/>
        <v/>
      </c>
      <c r="AQ768" s="129">
        <f t="shared" si="483"/>
        <v/>
      </c>
      <c r="AR768" s="129">
        <f t="shared" si="484"/>
        <v/>
      </c>
      <c r="AS768" s="129">
        <f t="shared" si="485"/>
        <v/>
      </c>
      <c r="AT768" s="129">
        <f t="shared" si="486"/>
        <v/>
      </c>
      <c r="AU768" s="129">
        <f t="shared" si="487"/>
        <v/>
      </c>
      <c r="AV768" s="129">
        <f t="shared" si="488"/>
        <v/>
      </c>
      <c r="AW768" s="129">
        <f>IF(AV768="","",AV768&amp;"."&amp;COUNTIFS($A$3:A768,A768,$AV$3:AV768,AV768))</f>
        <v/>
      </c>
      <c r="AX768" s="129">
        <f t="shared" si="489"/>
        <v/>
      </c>
      <c r="AY768" s="129">
        <f>IF(N768="б/к",0,IF(OR(ISNUMBER(SEARCH("L=",Разбивка_по_щитам!P768)),N768="+",N768="="),1,0))</f>
      </c>
      <c r="AZ768" s="129">
        <f t="shared" si="490"/>
        <v/>
      </c>
      <c r="BA768" s="129">
        <f t="shared" si="491"/>
      </c>
      <c r="BB768" s="129">
        <f t="shared" si="492"/>
      </c>
      <c r="BD768" s="129">
        <f t="shared" si="493"/>
      </c>
      <c r="BE768" s="129">
        <f t="shared" si="494"/>
      </c>
      <c r="BF768" s="129">
        <f t="shared" si="495"/>
      </c>
      <c r="BG768" s="129">
        <f t="shared" si="496"/>
        <v/>
      </c>
      <c r="BH768" s="129">
        <f t="shared" si="497"/>
        <v/>
      </c>
      <c r="BI768" s="129">
        <f t="shared" si="498"/>
        <v/>
      </c>
      <c r="BJ768" s="129">
        <f t="shared" si="499"/>
        <v/>
      </c>
      <c r="BK768" s="129">
        <f>IF(R768="","",IF(OR(BY768="",BY768=0),"BOX",IFERROR(IF(VLOOKUP(BY768,УГО_блоки,3,FALSE)&amp;""&lt;&gt;"",VLOOKUP(BY768,УГО_блоки,3,FALSE),VLOOKUP(BY768,УГО_блоки,2,FALSE)),BY768)))</f>
      </c>
      <c r="BL768" s="129">
        <f t="shared" si="501"/>
      </c>
      <c r="BM768" s="129">
        <f>IF(H768="","",IF(COUNTIF($H$3:H768,H768)=1,MAX($BM$2:BM767)+1,""))</f>
      </c>
      <c r="BN768" s="129">
        <f>IF(I768="","",IF(COUNTIF($I$3:I768,I768)+COUNTIF($J$2:J767,I768)+COUNTIF($K$2:K767,I768)=1,MAX($BN$2:BP767)+1,""))</f>
      </c>
      <c r="BO768" s="129">
        <f>IF(J768="","",IF(COUNTIF($I$3:I768,J768)+COUNTIF($J$3:J768,J768)+COUNTIF($K$2:K767,J768)=1,MAX($BN$2:BP767,BN768)+1,""))</f>
      </c>
      <c r="BP768" s="129">
        <f>IF(K768="","",IF(COUNTIF($I$3:I768,K768)+COUNTIF($J$3:J768,K768)+COUNTIF($K$3:K768,K768)=1,MAX($BN$2:BP767,BN768,BO768)+1,""))</f>
      </c>
      <c r="BQ768" s="129">
        <f>IF(AY768=1,IFERROR(MID(Q768,FIND(" (",Q768)+2,FIND(")",Q768,FIND(" (",Q768))-FIND(" (",Q768)-2),"?"),"")</f>
      </c>
      <c r="BR768" s="129">
        <f>IF(BQ768="","",IF(COUNTIF($BQ$3:BQ768,BQ768)=1,MAX($BR$2:BR767)+1,""))</f>
      </c>
      <c r="BS768" s="129">
        <f>IF(AW768="","",COUNTIF($AW$3:AW768,"?*"))</f>
      </c>
      <c r="BT768" s="129">
        <f>IF(OR(AW768="",AI768=""),"",IF(COUNTIFS($AW$3:AW768,"?*",$AI$3:AI768,AI768)=1,MAX($BT$2:BT767)+1,""))</f>
      </c>
      <c r="BU768" s="129">
        <f>IF(AE768="",0,IF(OR(ISNUMBER(SEARCH("дубль",AE768)),ISNUMBER(SEARCH("ПЕРЕГРУЗ",AE768)),ISNUMBER(SEARCH("ЗАЩИЩ",AE768)),ISNUMBER(SEARCH("КАНАЛ",AE768)),ISNUMBER(SEARCH("без 30",AE768))),2,1))</f>
      </c>
      <c r="BV768" s="129">
        <f>IF(R768="","",COUNTIF($R$3:R768,"?*"))</f>
      </c>
      <c r="BW768" s="129">
        <f>IF(AY768&lt;&gt;1,0,IF(MAX(IFERROR(--VLOOKUP(R768,УГО_спр,5,FALSE),0),IFERROR(--VLOOKUP(AL768,УГО_спр,5,FALSE),0),IFERROR(--VLOOKUP(LEFT(AL768,2),УГО_спр,5,FALSE),0))&gt;0,MAX(IFERROR(--VLOOKUP(R768,УГО_спр,5,FALSE),0),IFERROR(--VLOOKUP(AL768,УГО_спр,5,FALSE),0),IFERROR(--VLOOKUP(LEFT(AL768,2),УГО_спр,5,FALSE),0)),IF(IFERROR(--LEFT(SUBSTITUTE(BQ768,"x","х"),FIND("х",SUBSTITUTE(BQ768,"x","х"))-1),3)&gt;3,Каталог!$S$9,1)))</f>
      </c>
      <c r="BX768" s="129">
        <f>IF(AY768&lt;&gt;1,0,MAX(0,IFERROR(--LEFT(SUBSTITUTE(BQ768,"x","х"),FIND("х",SUBSTITUTE(BQ768,"x","х"))-1),3)-3*BW768))</f>
      </c>
      <c r="BY768" s="129">
        <f>IF(R768="","",IFERROR(VLOOKUP(R768,УГО_спр,2,FALSE),IFERROR(VLOOKUP(AL768,УГО_спр,2,FALSE),IFERROR(VLOOKUP(LEFT(AL768,2),УГО_спр,2,FALSE),""))))</f>
      </c>
    </row>
    <row r="769" spans="1:64" x14ac:dyDescent="0.3">
      <c r="A769" s="135">
        <f>IF(Разбивка_по_щитам!F769=0,"",Разбивка_по_щитам!F769)</f>
        <v/>
      </c>
      <c r="B769" s="138">
        <f>IF(A769="","",Разбивка_по_щитам!C769)</f>
        <v/>
      </c>
      <c r="C769" s="138">
        <f t="shared" si="462"/>
        <v/>
      </c>
      <c r="D769" s="266"/>
      <c r="E769" s="266"/>
      <c r="F769" s="267"/>
      <c r="G769" s="145">
        <f t="shared" si="463"/>
        <v/>
      </c>
      <c r="H769" s="145">
        <f t="shared" si="464"/>
        <v/>
      </c>
      <c r="I769" s="266"/>
      <c r="J769" s="267"/>
      <c r="K769" s="267"/>
      <c r="L769" s="266"/>
      <c r="M769" s="147">
        <f t="shared" si="465"/>
        <v/>
      </c>
      <c r="N769" s="267"/>
      <c r="O769" s="147">
        <f t="shared" si="466"/>
        <v/>
      </c>
      <c r="P769" s="268">
        <f>IF(AY769=1,"XT"&amp;COUNTIFS($A$3:A769,A769,$AY$3:AY769,1),"")</f>
        <v/>
      </c>
      <c r="Q769" s="152">
        <f>IF(R769="","",IFERROR(SUBSTITUTE(Разбивка_по_щитам!P769,CHAR(10)," "),""))</f>
        <v/>
      </c>
      <c r="R769" s="153">
        <f>IF(OR(Разбивка_по_щитам!H769="",Разбивка_по_щитам!H769=0),"",Разбивка_по_щитам!H769)</f>
        <v/>
      </c>
      <c r="S769" s="154">
        <f>IF(R769="","",IFERROR(Разбивка_по_щитам!J769&amp;"",""))</f>
        <v/>
      </c>
      <c r="T769" s="155">
        <f>IF(R769="","",IFERROR(--Разбивка_по_щитам!L769,""))</f>
        <v/>
      </c>
      <c r="U769" s="155">
        <f>IF(R769="","",IFERROR(--Разбивка_по_щитам!K769,""))</f>
        <v/>
      </c>
      <c r="V769" s="138">
        <f>IF(R769="","",IFERROR(IF(Разбивка_по_щитам!M769=0,"",Разбивка_по_щитам!M769),""))</f>
        <v/>
      </c>
      <c r="W769" s="156">
        <f t="shared" si="467"/>
        <v/>
      </c>
      <c r="X769" s="157">
        <f t="shared" si="468"/>
        <v/>
      </c>
      <c r="Y769" s="266"/>
      <c r="Z769" s="158">
        <f t="shared" si="469"/>
        <v/>
      </c>
      <c r="AA769" s="160">
        <f t="shared" si="470"/>
        <v/>
      </c>
      <c r="AB769" s="160">
        <f>IF(R769="","",IFERROR(LOOKUP(INDEX(Справочная!$I$4:$I$19,MATCH(VLOOKUP(R769,Исходные_данные,22,FALSE),Справочная!$J$4:$J$19,0)+1),{6,10,16,20,25,32,40,50,63,80,100,125}),""))</f>
        <v/>
      </c>
      <c r="AC769" s="160">
        <f t="shared" si="471"/>
        <v/>
      </c>
      <c r="AD769" s="161">
        <f t="shared" si="472"/>
        <v/>
      </c>
      <c r="AE769" s="161">
        <f>IF(AND(R769="",G769=""),"",_xlfn.TEXTJOIN("; ",TRUE,IF(AND(R769&lt;&gt;"",V769=""),"нет фазы",""),IF(AND(R769&lt;&gt;"",N(T769)=0),"нет мощности",""),IF(AND(P769&lt;&gt;"",COUNTIFS($A$3:$A$1000,A769,$P$3:$P$1000,P769)&gt;1),"дубль клеммы "&amp;P769,""),IF(AND(W769&lt;&gt;"",W769&lt;&gt;"ok"),W769,""),IF(X769&lt;&gt;"",X769,""),IF(AND(ISNUMBER(SEARCH("(5х",Q769)),N(AK769)=1),"5 жил на 1 фазе",""),IF(AND(AL769="R",E769&lt;&gt;"",N(AS769)=0),"розетка без 30 мА",""),IF(IFERROR(_xlfn.NUMBERVALUE(MID(Q769,FIND("-",Q769,FIND("L=",Q769))+1,FIND("%",Q769)-FIND("-",Q769,FIND("L=",Q769))-1),","),0)&gt;4,"потери &gt; 4 %","")))</f>
      </c>
      <c r="AF769" s="129">
        <f>IF(E769&lt;&gt;"",COUNTIFS($A$3:A769,A769,$E$3:E769,"?*"),IF(OR(A769&lt;&gt;A768,Y769="вручную"),"",AF768))</f>
        <v/>
      </c>
      <c r="AG769" s="129">
        <f t="shared" si="473"/>
        <v/>
      </c>
      <c r="AH769" s="129">
        <f t="shared" si="474"/>
        <v/>
      </c>
      <c r="AI769" s="129">
        <f t="shared" si="475"/>
        <v/>
      </c>
      <c r="AJ769" s="129">
        <f t="shared" si="476"/>
        <v/>
      </c>
      <c r="AK769" s="129">
        <f t="shared" si="477"/>
        <v/>
      </c>
      <c r="AL769" s="129">
        <f t="shared" si="478"/>
        <v/>
      </c>
      <c r="AM769" s="129">
        <f t="shared" si="479"/>
      </c>
      <c r="AN769" s="129">
        <f t="shared" si="480"/>
      </c>
      <c r="AO769" s="129">
        <f t="shared" si="481"/>
        <v/>
      </c>
      <c r="AP769" s="129">
        <f t="shared" si="482"/>
        <v/>
      </c>
      <c r="AQ769" s="129">
        <f t="shared" si="483"/>
        <v/>
      </c>
      <c r="AR769" s="129">
        <f t="shared" si="484"/>
        <v/>
      </c>
      <c r="AS769" s="129">
        <f t="shared" si="485"/>
        <v/>
      </c>
      <c r="AT769" s="129">
        <f t="shared" si="486"/>
        <v/>
      </c>
      <c r="AU769" s="129">
        <f t="shared" si="487"/>
        <v/>
      </c>
      <c r="AV769" s="129">
        <f t="shared" si="488"/>
        <v/>
      </c>
      <c r="AW769" s="129">
        <f>IF(AV769="","",AV769&amp;"."&amp;COUNTIFS($A$3:A769,A769,$AV$3:AV769,AV769))</f>
        <v/>
      </c>
      <c r="AX769" s="129">
        <f t="shared" si="489"/>
        <v/>
      </c>
      <c r="AY769" s="129">
        <f>IF(N769="б/к",0,IF(OR(ISNUMBER(SEARCH("L=",Разбивка_по_щитам!P769)),N769="+",N769="="),1,0))</f>
      </c>
      <c r="AZ769" s="129">
        <f t="shared" si="490"/>
        <v/>
      </c>
      <c r="BA769" s="129">
        <f t="shared" si="491"/>
      </c>
      <c r="BB769" s="129">
        <f t="shared" si="492"/>
      </c>
      <c r="BD769" s="129">
        <f t="shared" si="493"/>
      </c>
      <c r="BE769" s="129">
        <f t="shared" si="494"/>
      </c>
      <c r="BF769" s="129">
        <f t="shared" si="495"/>
      </c>
      <c r="BG769" s="129">
        <f t="shared" si="496"/>
        <v/>
      </c>
      <c r="BH769" s="129">
        <f t="shared" si="497"/>
        <v/>
      </c>
      <c r="BI769" s="129">
        <f t="shared" si="498"/>
        <v/>
      </c>
      <c r="BJ769" s="129">
        <f t="shared" si="499"/>
        <v/>
      </c>
      <c r="BK769" s="129">
        <f>IF(R769="","",IF(OR(BY769="",BY769=0),"BOX",IFERROR(IF(VLOOKUP(BY769,УГО_блоки,3,FALSE)&amp;""&lt;&gt;"",VLOOKUP(BY769,УГО_блоки,3,FALSE),VLOOKUP(BY769,УГО_блоки,2,FALSE)),BY769)))</f>
      </c>
      <c r="BL769" s="129">
        <f t="shared" si="501"/>
      </c>
      <c r="BM769" s="129">
        <f>IF(H769="","",IF(COUNTIF($H$3:H769,H769)=1,MAX($BM$2:BM768)+1,""))</f>
      </c>
      <c r="BN769" s="129">
        <f>IF(I769="","",IF(COUNTIF($I$3:I769,I769)+COUNTIF($J$2:J768,I769)+COUNTIF($K$2:K768,I769)=1,MAX($BN$2:BP768)+1,""))</f>
      </c>
      <c r="BO769" s="129">
        <f>IF(J769="","",IF(COUNTIF($I$3:I769,J769)+COUNTIF($J$3:J769,J769)+COUNTIF($K$2:K768,J769)=1,MAX($BN$2:BP768,BN769)+1,""))</f>
      </c>
      <c r="BP769" s="129">
        <f>IF(K769="","",IF(COUNTIF($I$3:I769,K769)+COUNTIF($J$3:J769,K769)+COUNTIF($K$3:K769,K769)=1,MAX($BN$2:BP768,BN769,BO769)+1,""))</f>
      </c>
      <c r="BQ769" s="129">
        <f>IF(AY769=1,IFERROR(MID(Q769,FIND(" (",Q769)+2,FIND(")",Q769,FIND(" (",Q769))-FIND(" (",Q769)-2),"?"),"")</f>
      </c>
      <c r="BR769" s="129">
        <f>IF(BQ769="","",IF(COUNTIF($BQ$3:BQ769,BQ769)=1,MAX($BR$2:BR768)+1,""))</f>
      </c>
      <c r="BS769" s="129">
        <f>IF(AW769="","",COUNTIF($AW$3:AW769,"?*"))</f>
      </c>
      <c r="BT769" s="129">
        <f>IF(OR(AW769="",AI769=""),"",IF(COUNTIFS($AW$3:AW769,"?*",$AI$3:AI769,AI769)=1,MAX($BT$2:BT768)+1,""))</f>
      </c>
      <c r="BU769" s="129">
        <f>IF(AE769="",0,IF(OR(ISNUMBER(SEARCH("дубль",AE769)),ISNUMBER(SEARCH("ПЕРЕГРУЗ",AE769)),ISNUMBER(SEARCH("ЗАЩИЩ",AE769)),ISNUMBER(SEARCH("КАНАЛ",AE769)),ISNUMBER(SEARCH("без 30",AE769))),2,1))</f>
      </c>
      <c r="BV769" s="129">
        <f>IF(R769="","",COUNTIF($R$3:R769,"?*"))</f>
      </c>
      <c r="BW769" s="129">
        <f>IF(AY769&lt;&gt;1,0,IF(MAX(IFERROR(--VLOOKUP(R769,УГО_спр,5,FALSE),0),IFERROR(--VLOOKUP(AL769,УГО_спр,5,FALSE),0),IFERROR(--VLOOKUP(LEFT(AL769,2),УГО_спр,5,FALSE),0))&gt;0,MAX(IFERROR(--VLOOKUP(R769,УГО_спр,5,FALSE),0),IFERROR(--VLOOKUP(AL769,УГО_спр,5,FALSE),0),IFERROR(--VLOOKUP(LEFT(AL769,2),УГО_спр,5,FALSE),0)),IF(IFERROR(--LEFT(SUBSTITUTE(BQ769,"x","х"),FIND("х",SUBSTITUTE(BQ769,"x","х"))-1),3)&gt;3,Каталог!$S$9,1)))</f>
      </c>
      <c r="BX769" s="129">
        <f>IF(AY769&lt;&gt;1,0,MAX(0,IFERROR(--LEFT(SUBSTITUTE(BQ769,"x","х"),FIND("х",SUBSTITUTE(BQ769,"x","х"))-1),3)-3*BW769))</f>
      </c>
      <c r="BY769" s="129">
        <f>IF(R769="","",IFERROR(VLOOKUP(R769,УГО_спр,2,FALSE),IFERROR(VLOOKUP(AL769,УГО_спр,2,FALSE),IFERROR(VLOOKUP(LEFT(AL769,2),УГО_спр,2,FALSE),""))))</f>
      </c>
    </row>
    <row r="770" spans="1:64" x14ac:dyDescent="0.3">
      <c r="A770" s="135">
        <f>IF(Разбивка_по_щитам!F770=0,"",Разбивка_по_щитам!F770)</f>
        <v/>
      </c>
      <c r="B770" s="138">
        <f>IF(A770="","",Разбивка_по_щитам!C770)</f>
        <v/>
      </c>
      <c r="C770" s="138">
        <f t="shared" si="462"/>
        <v/>
      </c>
      <c r="D770" s="266"/>
      <c r="E770" s="266"/>
      <c r="F770" s="267"/>
      <c r="G770" s="145">
        <f t="shared" si="463"/>
        <v/>
      </c>
      <c r="H770" s="145">
        <f t="shared" si="464"/>
        <v/>
      </c>
      <c r="I770" s="266"/>
      <c r="J770" s="267"/>
      <c r="K770" s="267"/>
      <c r="L770" s="266"/>
      <c r="M770" s="147">
        <f t="shared" si="465"/>
        <v/>
      </c>
      <c r="N770" s="267"/>
      <c r="O770" s="147">
        <f t="shared" si="466"/>
        <v/>
      </c>
      <c r="P770" s="268">
        <f>IF(AY770=1,"XT"&amp;COUNTIFS($A$3:A770,A770,$AY$3:AY770,1),"")</f>
        <v/>
      </c>
      <c r="Q770" s="152">
        <f>IF(R770="","",IFERROR(SUBSTITUTE(Разбивка_по_щитам!P770,CHAR(10)," "),""))</f>
        <v/>
      </c>
      <c r="R770" s="153">
        <f>IF(OR(Разбивка_по_щитам!H770="",Разбивка_по_щитам!H770=0),"",Разбивка_по_щитам!H770)</f>
        <v/>
      </c>
      <c r="S770" s="154">
        <f>IF(R770="","",IFERROR(Разбивка_по_щитам!J770&amp;"",""))</f>
        <v/>
      </c>
      <c r="T770" s="155">
        <f>IF(R770="","",IFERROR(--Разбивка_по_щитам!L770,""))</f>
        <v/>
      </c>
      <c r="U770" s="155">
        <f>IF(R770="","",IFERROR(--Разбивка_по_щитам!K770,""))</f>
        <v/>
      </c>
      <c r="V770" s="138">
        <f>IF(R770="","",IFERROR(IF(Разбивка_по_щитам!M770=0,"",Разбивка_по_щитам!M770),""))</f>
        <v/>
      </c>
      <c r="W770" s="156">
        <f t="shared" si="467"/>
        <v/>
      </c>
      <c r="X770" s="157">
        <f t="shared" si="468"/>
        <v/>
      </c>
      <c r="Y770" s="266"/>
      <c r="Z770" s="158">
        <f t="shared" si="469"/>
        <v/>
      </c>
      <c r="AA770" s="160">
        <f t="shared" si="470"/>
        <v/>
      </c>
      <c r="AB770" s="160">
        <f>IF(R770="","",IFERROR(LOOKUP(INDEX(Справочная!$I$4:$I$19,MATCH(VLOOKUP(R770,Исходные_данные,22,FALSE),Справочная!$J$4:$J$19,0)+1),{6,10,16,20,25,32,40,50,63,80,100,125}),""))</f>
        <v/>
      </c>
      <c r="AC770" s="160">
        <f t="shared" si="471"/>
        <v/>
      </c>
      <c r="AD770" s="161">
        <f t="shared" si="472"/>
        <v/>
      </c>
      <c r="AE770" s="161">
        <f>IF(AND(R770="",G770=""),"",_xlfn.TEXTJOIN("; ",TRUE,IF(AND(R770&lt;&gt;"",V770=""),"нет фазы",""),IF(AND(R770&lt;&gt;"",N(T770)=0),"нет мощности",""),IF(AND(P770&lt;&gt;"",COUNTIFS($A$3:$A$1000,A770,$P$3:$P$1000,P770)&gt;1),"дубль клеммы "&amp;P770,""),IF(AND(W770&lt;&gt;"",W770&lt;&gt;"ok"),W770,""),IF(X770&lt;&gt;"",X770,""),IF(AND(ISNUMBER(SEARCH("(5х",Q770)),N(AK770)=1),"5 жил на 1 фазе",""),IF(AND(AL770="R",E770&lt;&gt;"",N(AS770)=0),"розетка без 30 мА",""),IF(IFERROR(_xlfn.NUMBERVALUE(MID(Q770,FIND("-",Q770,FIND("L=",Q770))+1,FIND("%",Q770)-FIND("-",Q770,FIND("L=",Q770))-1),","),0)&gt;4,"потери &gt; 4 %","")))</f>
      </c>
      <c r="AF770" s="129">
        <f>IF(E770&lt;&gt;"",COUNTIFS($A$3:A770,A770,$E$3:E770,"?*"),IF(OR(A770&lt;&gt;A769,Y770="вручную"),"",AF769))</f>
        <v/>
      </c>
      <c r="AG770" s="129">
        <f t="shared" si="473"/>
        <v/>
      </c>
      <c r="AH770" s="129">
        <f t="shared" si="474"/>
        <v/>
      </c>
      <c r="AI770" s="129">
        <f t="shared" si="475"/>
        <v/>
      </c>
      <c r="AJ770" s="129">
        <f t="shared" si="476"/>
        <v/>
      </c>
      <c r="AK770" s="129">
        <f t="shared" si="477"/>
        <v/>
      </c>
      <c r="AL770" s="129">
        <f t="shared" si="478"/>
        <v/>
      </c>
      <c r="AM770" s="129">
        <f t="shared" si="479"/>
      </c>
      <c r="AN770" s="129">
        <f t="shared" si="480"/>
      </c>
      <c r="AO770" s="129">
        <f t="shared" si="481"/>
        <v/>
      </c>
      <c r="AP770" s="129">
        <f t="shared" si="482"/>
        <v/>
      </c>
      <c r="AQ770" s="129">
        <f t="shared" si="483"/>
        <v/>
      </c>
      <c r="AR770" s="129">
        <f t="shared" si="484"/>
        <v/>
      </c>
      <c r="AS770" s="129">
        <f t="shared" si="485"/>
        <v/>
      </c>
      <c r="AT770" s="129">
        <f t="shared" si="486"/>
        <v/>
      </c>
      <c r="AU770" s="129">
        <f t="shared" si="487"/>
        <v/>
      </c>
      <c r="AV770" s="129">
        <f t="shared" si="488"/>
        <v/>
      </c>
      <c r="AW770" s="129">
        <f>IF(AV770="","",AV770&amp;"."&amp;COUNTIFS($A$3:A770,A770,$AV$3:AV770,AV770))</f>
        <v/>
      </c>
      <c r="AX770" s="129">
        <f t="shared" si="489"/>
        <v/>
      </c>
      <c r="AY770" s="129">
        <f>IF(N770="б/к",0,IF(OR(ISNUMBER(SEARCH("L=",Разбивка_по_щитам!P770)),N770="+",N770="="),1,0))</f>
      </c>
      <c r="AZ770" s="129">
        <f t="shared" si="490"/>
        <v/>
      </c>
      <c r="BA770" s="129">
        <f t="shared" si="491"/>
      </c>
      <c r="BB770" s="129">
        <f t="shared" si="492"/>
      </c>
      <c r="BD770" s="129">
        <f t="shared" si="493"/>
      </c>
      <c r="BE770" s="129">
        <f t="shared" si="494"/>
      </c>
      <c r="BF770" s="129">
        <f t="shared" si="495"/>
      </c>
      <c r="BG770" s="129">
        <f t="shared" si="496"/>
        <v/>
      </c>
      <c r="BH770" s="129">
        <f t="shared" si="497"/>
        <v/>
      </c>
      <c r="BI770" s="129">
        <f t="shared" si="498"/>
        <v/>
      </c>
      <c r="BJ770" s="129">
        <f t="shared" si="499"/>
        <v/>
      </c>
      <c r="BK770" s="129">
        <f>IF(R770="","",IF(OR(BY770="",BY770=0),"BOX",IFERROR(IF(VLOOKUP(BY770,УГО_блоки,3,FALSE)&amp;""&lt;&gt;"",VLOOKUP(BY770,УГО_блоки,3,FALSE),VLOOKUP(BY770,УГО_блоки,2,FALSE)),BY770)))</f>
      </c>
      <c r="BL770" s="129">
        <f t="shared" si="501"/>
      </c>
      <c r="BM770" s="129">
        <f>IF(H770="","",IF(COUNTIF($H$3:H770,H770)=1,MAX($BM$2:BM769)+1,""))</f>
      </c>
      <c r="BN770" s="129">
        <f>IF(I770="","",IF(COUNTIF($I$3:I770,I770)+COUNTIF($J$2:J769,I770)+COUNTIF($K$2:K769,I770)=1,MAX($BN$2:BP769)+1,""))</f>
      </c>
      <c r="BO770" s="129">
        <f>IF(J770="","",IF(COUNTIF($I$3:I770,J770)+COUNTIF($J$3:J770,J770)+COUNTIF($K$2:K769,J770)=1,MAX($BN$2:BP769,BN770)+1,""))</f>
      </c>
      <c r="BP770" s="129">
        <f>IF(K770="","",IF(COUNTIF($I$3:I770,K770)+COUNTIF($J$3:J770,K770)+COUNTIF($K$3:K770,K770)=1,MAX($BN$2:BP769,BN770,BO770)+1,""))</f>
      </c>
      <c r="BQ770" s="129">
        <f>IF(AY770=1,IFERROR(MID(Q770,FIND(" (",Q770)+2,FIND(")",Q770,FIND(" (",Q770))-FIND(" (",Q770)-2),"?"),"")</f>
      </c>
      <c r="BR770" s="129">
        <f>IF(BQ770="","",IF(COUNTIF($BQ$3:BQ770,BQ770)=1,MAX($BR$2:BR769)+1,""))</f>
      </c>
      <c r="BS770" s="129">
        <f>IF(AW770="","",COUNTIF($AW$3:AW770,"?*"))</f>
      </c>
      <c r="BT770" s="129">
        <f>IF(OR(AW770="",AI770=""),"",IF(COUNTIFS($AW$3:AW770,"?*",$AI$3:AI770,AI770)=1,MAX($BT$2:BT769)+1,""))</f>
      </c>
      <c r="BU770" s="129">
        <f>IF(AE770="",0,IF(OR(ISNUMBER(SEARCH("дубль",AE770)),ISNUMBER(SEARCH("ПЕРЕГРУЗ",AE770)),ISNUMBER(SEARCH("ЗАЩИЩ",AE770)),ISNUMBER(SEARCH("КАНАЛ",AE770)),ISNUMBER(SEARCH("без 30",AE770))),2,1))</f>
      </c>
      <c r="BV770" s="129">
        <f>IF(R770="","",COUNTIF($R$3:R770,"?*"))</f>
      </c>
      <c r="BW770" s="129">
        <f>IF(AY770&lt;&gt;1,0,IF(MAX(IFERROR(--VLOOKUP(R770,УГО_спр,5,FALSE),0),IFERROR(--VLOOKUP(AL770,УГО_спр,5,FALSE),0),IFERROR(--VLOOKUP(LEFT(AL770,2),УГО_спр,5,FALSE),0))&gt;0,MAX(IFERROR(--VLOOKUP(R770,УГО_спр,5,FALSE),0),IFERROR(--VLOOKUP(AL770,УГО_спр,5,FALSE),0),IFERROR(--VLOOKUP(LEFT(AL770,2),УГО_спр,5,FALSE),0)),IF(IFERROR(--LEFT(SUBSTITUTE(BQ770,"x","х"),FIND("х",SUBSTITUTE(BQ770,"x","х"))-1),3)&gt;3,Каталог!$S$9,1)))</f>
      </c>
      <c r="BX770" s="129">
        <f>IF(AY770&lt;&gt;1,0,MAX(0,IFERROR(--LEFT(SUBSTITUTE(BQ770,"x","х"),FIND("х",SUBSTITUTE(BQ770,"x","х"))-1),3)-3*BW770))</f>
      </c>
      <c r="BY770" s="129">
        <f>IF(R770="","",IFERROR(VLOOKUP(R770,УГО_спр,2,FALSE),IFERROR(VLOOKUP(AL770,УГО_спр,2,FALSE),IFERROR(VLOOKUP(LEFT(AL770,2),УГО_спр,2,FALSE),""))))</f>
      </c>
    </row>
    <row r="771" spans="1:64" x14ac:dyDescent="0.3">
      <c r="A771" s="135">
        <f>IF(Разбивка_по_щитам!F771=0,"",Разбивка_по_щитам!F771)</f>
        <v/>
      </c>
      <c r="B771" s="138">
        <f>IF(A771="","",Разбивка_по_щитам!C771)</f>
        <v/>
      </c>
      <c r="C771" s="138">
        <f t="shared" ref="C771:C834" si="502">IF(B771="","",INT((B771-1)/Столбцов_на_лист)+1)</f>
        <v/>
      </c>
      <c r="D771" s="266"/>
      <c r="E771" s="266"/>
      <c r="F771" s="267"/>
      <c r="G771" s="145">
        <f t="shared" ref="G771:G834" si="503">IF(OR(R771&lt;&gt;"",O771&lt;&gt;"",AY771=1),AG771,"")</f>
        <v/>
      </c>
      <c r="H771" s="145">
        <f t="shared" ref="H771:H834" si="504">IF(E771="","",IF(AND(E771&lt;&gt;"авто",E771&lt;&gt;"+"),E771,AT771&amp;" С"&amp;AQ771&amp;"А"&amp;IF(AS771=1," 30мА","")))</f>
        <v/>
      </c>
      <c r="I771" s="266"/>
      <c r="J771" s="267"/>
      <c r="K771" s="267"/>
      <c r="L771" s="266"/>
      <c r="M771" s="147">
        <f t="shared" ref="M771:M834" si="505">IF(OR(O771&lt;&gt;"",AND(L771&lt;&gt;"",L771&lt;&gt;"-")),AH771,"")</f>
        <v/>
      </c>
      <c r="N771" s="267"/>
      <c r="O771" s="147">
        <f t="shared" ref="O771:O834" si="506">IF(N771="=",AX770,IF(ISNUMBER(N771),N771,IF(AH771="","",IF(OR(R771&lt;&gt;"",N771="+",N771="р"),IF(OR(AW771&lt;&gt;"",AX770=""),1,AX770+1),""))))</f>
        <v/>
      </c>
      <c r="P771" s="268">
        <f>IF(AY771=1,"XT"&amp;COUNTIFS($A$3:A771,A771,$AY$3:AY771,1),"")</f>
        <v/>
      </c>
      <c r="Q771" s="152">
        <f>IF(R771="","",IFERROR(SUBSTITUTE(Разбивка_по_щитам!P771,CHAR(10)," "),""))</f>
        <v/>
      </c>
      <c r="R771" s="153">
        <f>IF(OR(Разбивка_по_щитам!H771="",Разбивка_по_щитам!H771=0),"",Разбивка_по_щитам!H771)</f>
        <v/>
      </c>
      <c r="S771" s="154">
        <f>IF(R771="","",IFERROR(Разбивка_по_щитам!J771&amp;"",""))</f>
        <v/>
      </c>
      <c r="T771" s="155">
        <f>IF(R771="","",IFERROR(--Разбивка_по_щитам!L771,""))</f>
        <v/>
      </c>
      <c r="U771" s="155">
        <f>IF(R771="","",IFERROR(--Разбивка_по_щитам!K771,""))</f>
        <v/>
      </c>
      <c r="V771" s="138">
        <f>IF(R771="","",IFERROR(IF(Разбивка_по_щитам!M771=0,"",Разбивка_по_щитам!M771),""))</f>
        <v/>
      </c>
      <c r="W771" s="156">
        <f t="shared" ref="W771:W834" si="507">IF(E771="","",IF(NOT(ISNUMBER(AU771)),"",IF(Z771&gt;AU771,"ПЕРЕГРУЗ",IF(AND(BA771=0,AP771&gt;0,AU771&gt;AP771),"КАБЕЛЬ НЕ ЗАЩИЩЁН","ok"))))</f>
        <v/>
      </c>
      <c r="X771" s="157">
        <f t="shared" ref="X771:X834" si="508">IF(OR(O771="",AH771=""),"",IF(O771&gt;IFERROR(VLOOKUP(AI771,Модули_спр,3,FALSE),99),"ЛИШНИЙ КАНАЛ",IF(AND(N771&lt;&gt;"=",COUNTIFS($AH$3:$AH$1000,AH771,$O$3:$O$1000,O771,$N$3:$N$1000,"&lt;&gt;=")&gt;1),"ДУБЛЬ КАНАЛА","")))</f>
        <v/>
      </c>
      <c r="Y771" s="266"/>
      <c r="Z771" s="158">
        <f t="shared" ref="Z771:Z834" si="509">IF(E771="","",SUMIFS($U$3:$U$1000,$AF$3:$AF$1000,AF771,$A$3:$A$1000,A771,$AN$3:$AN$1000,0))</f>
        <v/>
      </c>
      <c r="AA771" s="160">
        <f t="shared" ref="AA771:AA834" si="510">IF(E771="","",IFERROR(VLOOKUP(Z771,Автомат_номиналы,2,TRUE),""))</f>
        <v/>
      </c>
      <c r="AB771" s="160">
        <f>IF(R771="","",IFERROR(LOOKUP(INDEX(Справочная!$I$4:$I$19,MATCH(VLOOKUP(R771,Исходные_данные,22,FALSE),Справочная!$J$4:$J$19,0)+1),{6,10,16,20,25,32,40,50,63,80,100,125}),""))</f>
        <v/>
      </c>
      <c r="AC771" s="160">
        <f t="shared" ref="AC771:AC834" si="511">IF(M771="","",AI771)</f>
        <v/>
      </c>
      <c r="AD771" s="161">
        <f t="shared" ref="AD771:AD834" si="512">IF(AND(R771="",O771="",P771=""),"",_xlfn.TEXTJOIN(" → ",TRUE,AG771,AZ771,IF(AH771&lt;&gt;"",AH771&amp;IF(O771&lt;&gt;""," к."&amp;O771,""),IF(O771&lt;&gt;"","к."&amp;O771,"")),P771,IF(AN771=1,"(в кабель выше)","")))</f>
        <v/>
      </c>
      <c r="AE771" s="161">
        <f>IF(AND(R771="",G771=""),"",_xlfn.TEXTJOIN("; ",TRUE,IF(AND(R771&lt;&gt;"",V771=""),"нет фазы",""),IF(AND(R771&lt;&gt;"",N(T771)=0),"нет мощности",""),IF(AND(P771&lt;&gt;"",COUNTIFS($A$3:$A$1000,A771,$P$3:$P$1000,P771)&gt;1),"дубль клеммы "&amp;P771,""),IF(AND(W771&lt;&gt;"",W771&lt;&gt;"ok"),W771,""),IF(X771&lt;&gt;"",X771,""),IF(AND(ISNUMBER(SEARCH("(5х",Q771)),N(AK771)=1),"5 жил на 1 фазе",""),IF(AND(AL771="R",E771&lt;&gt;"",N(AS771)=0),"розетка без 30 мА",""),IF(IFERROR(_xlfn.NUMBERVALUE(MID(Q771,FIND("-",Q771,FIND("L=",Q771))+1,FIND("%",Q771)-FIND("-",Q771,FIND("L=",Q771))-1),","),0)&gt;4,"потери &gt; 4 %","")))</f>
      </c>
      <c r="AF771" s="129">
        <f>IF(E771&lt;&gt;"",COUNTIFS($A$3:A771,A771,$E$3:E771,"?*"),IF(OR(A771&lt;&gt;A770,Y771="вручную"),"",AF770))</f>
        <v/>
      </c>
      <c r="AG771" s="129">
        <f t="shared" ref="AG771:AG834" si="513">IF(AJ771&lt;&gt;"",AJ771,IF(OR(A771&lt;&gt;A770,Y771="вручную"),"",AG770))</f>
        <v/>
      </c>
      <c r="AH771" s="129">
        <f t="shared" ref="AH771:AH834" si="514">IF(L771="-","",IF(AW771&lt;&gt;"",AW771,IF(A771&lt;&gt;A770,"",AH770)))</f>
        <v/>
      </c>
      <c r="AI771" s="129">
        <f t="shared" ref="AI771:AI834" si="515">IF(AH771="","",IF(AND(L771&lt;&gt;"",L771&lt;&gt;"-"),L771,AI770))</f>
        <v/>
      </c>
      <c r="AJ771" s="129">
        <f t="shared" ref="AJ771:AJ834" si="516">IF(E771="","",IF(AS771=1,"QFD","QF")&amp;AF771)</f>
        <v/>
      </c>
      <c r="AK771" s="129">
        <f t="shared" ref="AK771:AK834" si="517">IF(R771="","",IFERROR(--VLOOKUP(R771,Исходные_данные,8,FALSE),1))</f>
        <v/>
      </c>
      <c r="AL771" s="129">
        <f t="shared" ref="AL771:AL834" si="518">IF(R771="","",IFERROR(LEFT(R771,FIND(".",R771)-1),R771))</f>
        <v/>
      </c>
      <c r="AM771" s="129">
        <f t="shared" ref="AM771:AM834" si="519">IF(AL771="",0,IFERROR(IF(VLOOKUP(R771,УГО_спр,3,FALSE)="да",1,0),IFERROR(IF(VLOOKUP(AL771,УГО_спр,3,FALSE)="да",1,0),IFERROR(IF(VLOOKUP(LEFT(AL771,2),УГО_спр,3,FALSE)="да",1,0),0))))</f>
      </c>
      <c r="AN771" s="129">
        <f t="shared" ref="AN771:AN834" si="520">IF(OR(N771="+",AND(R771&lt;&gt;"",R771=R770)),1,0)</f>
      </c>
      <c r="AO771" s="129">
        <f t="shared" ref="AO771:AO834" si="521">IF(E771="","",MAX(N(AA771),_xlfn.MAXIFS($BB$3:$BB$1000,$AF$3:$AF$1000,AF771,$A$3:$A$1000,A771)))</f>
        <v/>
      </c>
      <c r="AP771" s="129">
        <f t="shared" ref="AP771:AP834" si="522">IF(E771="","",_xlfn.MINIFS($AB$3:$AB$1000,$AF$3:$AF$1000,AF771,$A$3:$A$1000,A771))</f>
        <v/>
      </c>
      <c r="AQ771" s="129">
        <f t="shared" ref="AQ771:AQ834" si="523">IF(E771="","",IF(BA771=1,MAX(AO771,Мин_автомат_БП),AO771))</f>
        <v/>
      </c>
      <c r="AR771" s="129">
        <f t="shared" ref="AR771:AR834" si="524">IF(E771="","",MAX(1,_xlfn.MAXIFS($AK$3:$AK$1000,$AF$3:$AF$1000,AF771,$A$3:$A$1000,A771)))</f>
        <v/>
      </c>
      <c r="AS771" s="129">
        <f t="shared" ref="AS771:AS834" si="525">IF(E771="","",IF(AND(E771&lt;&gt;"авто",E771&lt;&gt;"+"),IF(ISNUMBER(SEARCH("мА",E771)),1,0),IF(F771="да",1,IF(F771="нет",0,IF(_xlfn.MAXIFS($AM$3:$AM$1000,$AF$3:$AF$1000,AF771,$A$3:$A$1000,A771)&gt;0,1,0)))))</f>
        <v/>
      </c>
      <c r="AT771" s="129">
        <f t="shared" ref="AT771:AT834" si="526">IF(E771="","",IF(AR771&gt;=3,IF(AS771=1,"4P","3P"),IF(AS771=1,"2P","1P")))</f>
        <v/>
      </c>
      <c r="AU771" s="129">
        <f t="shared" ref="AU771:AU834" si="527">IF(H771="","",IFERROR(--MID(SUBSTITUTE(SUBSTITUTE(UPPER(H771),"С","C"),"А","A"),FIND("C",SUBSTITUTE(SUBSTITUTE(UPPER(H771),"С","C"),"А","A"))+1,FIND("A",SUBSTITUTE(SUBSTITUTE(UPPER(H771),"С","C"),"А","A")&amp;"A",FIND("C",SUBSTITUTE(SUBSTITUTE(UPPER(H771),"С","C"),"А","A")))-FIND("C",SUBSTITUTE(SUBSTITUTE(UPPER(H771),"С","C"),"А","A"))-1),""))</f>
        <v/>
      </c>
      <c r="AV771" s="129">
        <f t="shared" ref="AV771:AV834" si="528">IF(OR(L771="",L771="-"),"",IFERROR(VLOOKUP(L771,Модули_спр,2,FALSE),"R"))</f>
        <v/>
      </c>
      <c r="AW771" s="129">
        <f>IF(AV771="","",AV771&amp;"."&amp;COUNTIFS($A$3:A771,A771,$AV$3:AV771,AV771))</f>
        <v/>
      </c>
      <c r="AX771" s="129">
        <f t="shared" ref="AX771:AX834" si="529">IF(O771&lt;&gt;"",O771,IF(OR(A771&lt;&gt;A770,L771="-",AW771&lt;&gt;""),"",AX770))</f>
        <v/>
      </c>
      <c r="AY771" s="129">
        <f>IF(N771="б/к",0,IF(OR(ISNUMBER(SEARCH("L=",Разбивка_по_щитам!P771)),N771="+",N771="="),1,0))</f>
      </c>
      <c r="AZ771" s="129">
        <f t="shared" ref="AZ771:AZ834" si="530">IF(AJ771&lt;&gt;"",_xlfn.TEXTJOIN(" → ",TRUE,I771,J771,K771),IF(AG771="","",AZ770))</f>
        <v/>
      </c>
      <c r="BA771" s="129">
        <f t="shared" ref="BA771:BA834" si="531">IF(AZ771="",0,IF(OR(LEFT(AZ771,2)="T ",LEFT(AZ771,2)="Т ",ISNUMBER(SEARCH("→ T ",AZ771)),ISNUMBER(SEARCH("→ Т ",AZ771)),ISNUMBER(SEARCH("БП",AZ771))),1,0))</f>
      </c>
      <c r="BB771" s="129">
        <f t="shared" ref="BB771:BB834" si="532">IF(R771="",0,MAX(IFERROR(--VLOOKUP(R771,Исходные_данные,18,FALSE),0),IFERROR(--VLOOKUP(R771,УГО_спр,4,FALSE),IFERROR(--VLOOKUP(AL771,УГО_спр,4,FALSE),IFERROR(--VLOOKUP(LEFT(AL771,2),УГО_спр,4,FALSE),0)))))</f>
      </c>
      <c r="BD771" s="129">
        <f t="shared" ref="BD771:BD834" si="533">IF(Y771="вручную",0,1)</f>
      </c>
      <c r="BE771" s="129">
        <f t="shared" ref="BE771:BE834" si="534">IF(D771="",0,1)</f>
      </c>
      <c r="BF771" s="129">
        <f t="shared" ref="BF771:BF834" si="535">IF(AJ771="",0,IF(LEFT(AJ771,3)="QFD",1,0))</f>
      </c>
      <c r="BG771" s="129">
        <f t="shared" ref="BG771:BG834" si="536">IF(N771="=","=",IF(N771="+","+",IF(N771="р","R","")))</f>
        <v/>
      </c>
      <c r="BH771" s="129">
        <f t="shared" ref="BH771:BH834" si="537">IF(I771="","",IF(OR(LEFT(I771,1)="T",LEFT(I771,1)="Т"),"T",IF(LEFT(UPPER(I771),2)="БП","PS",IF(OR(LEFT(UPPER(I771),2)="МК",LEFT(UPPER(I771),2)="MK"),"MK",IF(OR(LEFT(UPPER(I771),2)="КМ",LEFT(UPPER(I771),2)="KM"),"KM","X")))))</f>
        <v/>
      </c>
      <c r="BI771" s="129">
        <f t="shared" ref="BI771:BI834" si="538">IF(J771="","",IF(OR(LEFT(J771,1)="T",LEFT(J771,1)="Т"),"T",IF(LEFT(UPPER(J771),2)="БП","PS",IF(OR(LEFT(UPPER(J771),2)="МК",LEFT(UPPER(J771),2)="MK"),"MK",IF(OR(LEFT(UPPER(J771),2)="КМ",LEFT(UPPER(J771),2)="KM"),"KM","X")))))</f>
        <v/>
      </c>
      <c r="BJ771" s="129">
        <f t="shared" ref="BJ771:BJ834" si="539">IF(K771="","",IF(OR(LEFT(K771,1)="T",LEFT(K771,1)="Т"),"T",IF(LEFT(UPPER(K771),2)="БП","PS",IF(OR(LEFT(UPPER(K771),2)="МК",LEFT(UPPER(K771),2)="MK"),"MK",IF(OR(LEFT(UPPER(K771),2)="КМ",LEFT(UPPER(K771),2)="KM"),"KM","X")))))</f>
        <v/>
      </c>
      <c r="BK771" s="129">
        <f>IF(R771="","",IF(OR(BY771="",BY771=0),"BOX",IFERROR(IF(VLOOKUP(BY771,УГО_блоки,3,FALSE)&amp;""&lt;&gt;"",VLOOKUP(BY771,УГО_блоки,3,FALSE),VLOOKUP(BY771,УГО_блоки,2,FALSE)),BY771)))</f>
      </c>
      <c r="BL771" s="129">
        <f t="shared" ref="BL771:BL834" si="541">IF(R771="",0,1)</f>
      </c>
      <c r="BM771" s="129">
        <f>IF(H771="","",IF(COUNTIF($H$3:H771,H771)=1,MAX($BM$2:BM770)+1,""))</f>
      </c>
      <c r="BN771" s="129">
        <f>IF(I771="","",IF(COUNTIF($I$3:I771,I771)+COUNTIF($J$2:J770,I771)+COUNTIF($K$2:K770,I771)=1,MAX($BN$2:BP770)+1,""))</f>
      </c>
      <c r="BO771" s="129">
        <f>IF(J771="","",IF(COUNTIF($I$3:I771,J771)+COUNTIF($J$3:J771,J771)+COUNTIF($K$2:K770,J771)=1,MAX($BN$2:BP770,BN771)+1,""))</f>
      </c>
      <c r="BP771" s="129">
        <f>IF(K771="","",IF(COUNTIF($I$3:I771,K771)+COUNTIF($J$3:J771,K771)+COUNTIF($K$3:K771,K771)=1,MAX($BN$2:BP770,BN771,BO771)+1,""))</f>
      </c>
      <c r="BQ771" s="129">
        <f>IF(AY771=1,IFERROR(MID(Q771,FIND(" (",Q771)+2,FIND(")",Q771,FIND(" (",Q771))-FIND(" (",Q771)-2),"?"),"")</f>
      </c>
      <c r="BR771" s="129">
        <f>IF(BQ771="","",IF(COUNTIF($BQ$3:BQ771,BQ771)=1,MAX($BR$2:BR770)+1,""))</f>
      </c>
      <c r="BS771" s="129">
        <f>IF(AW771="","",COUNTIF($AW$3:AW771,"?*"))</f>
      </c>
      <c r="BT771" s="129">
        <f>IF(OR(AW771="",AI771=""),"",IF(COUNTIFS($AW$3:AW771,"?*",$AI$3:AI771,AI771)=1,MAX($BT$2:BT770)+1,""))</f>
      </c>
      <c r="BU771" s="129">
        <f>IF(AE771="",0,IF(OR(ISNUMBER(SEARCH("дубль",AE771)),ISNUMBER(SEARCH("ПЕРЕГРУЗ",AE771)),ISNUMBER(SEARCH("ЗАЩИЩ",AE771)),ISNUMBER(SEARCH("КАНАЛ",AE771)),ISNUMBER(SEARCH("без 30",AE771))),2,1))</f>
      </c>
      <c r="BV771" s="129">
        <f>IF(R771="","",COUNTIF($R$3:R771,"?*"))</f>
      </c>
      <c r="BW771" s="129">
        <f>IF(AY771&lt;&gt;1,0,IF(MAX(IFERROR(--VLOOKUP(R771,УГО_спр,5,FALSE),0),IFERROR(--VLOOKUP(AL771,УГО_спр,5,FALSE),0),IFERROR(--VLOOKUP(LEFT(AL771,2),УГО_спр,5,FALSE),0))&gt;0,MAX(IFERROR(--VLOOKUP(R771,УГО_спр,5,FALSE),0),IFERROR(--VLOOKUP(AL771,УГО_спр,5,FALSE),0),IFERROR(--VLOOKUP(LEFT(AL771,2),УГО_спр,5,FALSE),0)),IF(IFERROR(--LEFT(SUBSTITUTE(BQ771,"x","х"),FIND("х",SUBSTITUTE(BQ771,"x","х"))-1),3)&gt;3,Каталог!$S$9,1)))</f>
      </c>
      <c r="BX771" s="129">
        <f>IF(AY771&lt;&gt;1,0,MAX(0,IFERROR(--LEFT(SUBSTITUTE(BQ771,"x","х"),FIND("х",SUBSTITUTE(BQ771,"x","х"))-1),3)-3*BW771))</f>
      </c>
      <c r="BY771" s="129">
        <f>IF(R771="","",IFERROR(VLOOKUP(R771,УГО_спр,2,FALSE),IFERROR(VLOOKUP(AL771,УГО_спр,2,FALSE),IFERROR(VLOOKUP(LEFT(AL771,2),УГО_спр,2,FALSE),""))))</f>
      </c>
    </row>
    <row r="772" spans="1:64" x14ac:dyDescent="0.3">
      <c r="A772" s="135">
        <f>IF(Разбивка_по_щитам!F772=0,"",Разбивка_по_щитам!F772)</f>
        <v/>
      </c>
      <c r="B772" s="138">
        <f>IF(A772="","",Разбивка_по_щитам!C772)</f>
        <v/>
      </c>
      <c r="C772" s="138">
        <f t="shared" si="502"/>
        <v/>
      </c>
      <c r="D772" s="266"/>
      <c r="E772" s="266"/>
      <c r="F772" s="267"/>
      <c r="G772" s="145">
        <f t="shared" si="503"/>
        <v/>
      </c>
      <c r="H772" s="145">
        <f t="shared" si="504"/>
        <v/>
      </c>
      <c r="I772" s="266"/>
      <c r="J772" s="267"/>
      <c r="K772" s="267"/>
      <c r="L772" s="266"/>
      <c r="M772" s="147">
        <f t="shared" si="505"/>
        <v/>
      </c>
      <c r="N772" s="267"/>
      <c r="O772" s="147">
        <f t="shared" si="506"/>
        <v/>
      </c>
      <c r="P772" s="268">
        <f>IF(AY772=1,"XT"&amp;COUNTIFS($A$3:A772,A772,$AY$3:AY772,1),"")</f>
        <v/>
      </c>
      <c r="Q772" s="152">
        <f>IF(R772="","",IFERROR(SUBSTITUTE(Разбивка_по_щитам!P772,CHAR(10)," "),""))</f>
        <v/>
      </c>
      <c r="R772" s="153">
        <f>IF(OR(Разбивка_по_щитам!H772="",Разбивка_по_щитам!H772=0),"",Разбивка_по_щитам!H772)</f>
        <v/>
      </c>
      <c r="S772" s="154">
        <f>IF(R772="","",IFERROR(Разбивка_по_щитам!J772&amp;"",""))</f>
        <v/>
      </c>
      <c r="T772" s="155">
        <f>IF(R772="","",IFERROR(--Разбивка_по_щитам!L772,""))</f>
        <v/>
      </c>
      <c r="U772" s="155">
        <f>IF(R772="","",IFERROR(--Разбивка_по_щитам!K772,""))</f>
        <v/>
      </c>
      <c r="V772" s="138">
        <f>IF(R772="","",IFERROR(IF(Разбивка_по_щитам!M772=0,"",Разбивка_по_щитам!M772),""))</f>
        <v/>
      </c>
      <c r="W772" s="156">
        <f t="shared" si="507"/>
        <v/>
      </c>
      <c r="X772" s="157">
        <f t="shared" si="508"/>
        <v/>
      </c>
      <c r="Y772" s="266"/>
      <c r="Z772" s="158">
        <f t="shared" si="509"/>
        <v/>
      </c>
      <c r="AA772" s="160">
        <f t="shared" si="510"/>
        <v/>
      </c>
      <c r="AB772" s="160">
        <f>IF(R772="","",IFERROR(LOOKUP(INDEX(Справочная!$I$4:$I$19,MATCH(VLOOKUP(R772,Исходные_данные,22,FALSE),Справочная!$J$4:$J$19,0)+1),{6,10,16,20,25,32,40,50,63,80,100,125}),""))</f>
        <v/>
      </c>
      <c r="AC772" s="160">
        <f t="shared" si="511"/>
        <v/>
      </c>
      <c r="AD772" s="161">
        <f t="shared" si="512"/>
        <v/>
      </c>
      <c r="AE772" s="161">
        <f>IF(AND(R772="",G772=""),"",_xlfn.TEXTJOIN("; ",TRUE,IF(AND(R772&lt;&gt;"",V772=""),"нет фазы",""),IF(AND(R772&lt;&gt;"",N(T772)=0),"нет мощности",""),IF(AND(P772&lt;&gt;"",COUNTIFS($A$3:$A$1000,A772,$P$3:$P$1000,P772)&gt;1),"дубль клеммы "&amp;P772,""),IF(AND(W772&lt;&gt;"",W772&lt;&gt;"ok"),W772,""),IF(X772&lt;&gt;"",X772,""),IF(AND(ISNUMBER(SEARCH("(5х",Q772)),N(AK772)=1),"5 жил на 1 фазе",""),IF(AND(AL772="R",E772&lt;&gt;"",N(AS772)=0),"розетка без 30 мА",""),IF(IFERROR(_xlfn.NUMBERVALUE(MID(Q772,FIND("-",Q772,FIND("L=",Q772))+1,FIND("%",Q772)-FIND("-",Q772,FIND("L=",Q772))-1),","),0)&gt;4,"потери &gt; 4 %","")))</f>
      </c>
      <c r="AF772" s="129">
        <f>IF(E772&lt;&gt;"",COUNTIFS($A$3:A772,A772,$E$3:E772,"?*"),IF(OR(A772&lt;&gt;A771,Y772="вручную"),"",AF771))</f>
        <v/>
      </c>
      <c r="AG772" s="129">
        <f t="shared" si="513"/>
        <v/>
      </c>
      <c r="AH772" s="129">
        <f t="shared" si="514"/>
        <v/>
      </c>
      <c r="AI772" s="129">
        <f t="shared" si="515"/>
        <v/>
      </c>
      <c r="AJ772" s="129">
        <f t="shared" si="516"/>
        <v/>
      </c>
      <c r="AK772" s="129">
        <f t="shared" si="517"/>
        <v/>
      </c>
      <c r="AL772" s="129">
        <f t="shared" si="518"/>
        <v/>
      </c>
      <c r="AM772" s="129">
        <f t="shared" si="519"/>
      </c>
      <c r="AN772" s="129">
        <f t="shared" si="520"/>
      </c>
      <c r="AO772" s="129">
        <f t="shared" si="521"/>
        <v/>
      </c>
      <c r="AP772" s="129">
        <f t="shared" si="522"/>
        <v/>
      </c>
      <c r="AQ772" s="129">
        <f t="shared" si="523"/>
        <v/>
      </c>
      <c r="AR772" s="129">
        <f t="shared" si="524"/>
        <v/>
      </c>
      <c r="AS772" s="129">
        <f t="shared" si="525"/>
        <v/>
      </c>
      <c r="AT772" s="129">
        <f t="shared" si="526"/>
        <v/>
      </c>
      <c r="AU772" s="129">
        <f t="shared" si="527"/>
        <v/>
      </c>
      <c r="AV772" s="129">
        <f t="shared" si="528"/>
        <v/>
      </c>
      <c r="AW772" s="129">
        <f>IF(AV772="","",AV772&amp;"."&amp;COUNTIFS($A$3:A772,A772,$AV$3:AV772,AV772))</f>
        <v/>
      </c>
      <c r="AX772" s="129">
        <f t="shared" si="529"/>
        <v/>
      </c>
      <c r="AY772" s="129">
        <f>IF(N772="б/к",0,IF(OR(ISNUMBER(SEARCH("L=",Разбивка_по_щитам!P772)),N772="+",N772="="),1,0))</f>
      </c>
      <c r="AZ772" s="129">
        <f t="shared" si="530"/>
        <v/>
      </c>
      <c r="BA772" s="129">
        <f t="shared" si="531"/>
      </c>
      <c r="BB772" s="129">
        <f t="shared" si="532"/>
      </c>
      <c r="BD772" s="129">
        <f t="shared" si="533"/>
      </c>
      <c r="BE772" s="129">
        <f t="shared" si="534"/>
      </c>
      <c r="BF772" s="129">
        <f t="shared" si="535"/>
      </c>
      <c r="BG772" s="129">
        <f t="shared" si="536"/>
        <v/>
      </c>
      <c r="BH772" s="129">
        <f t="shared" si="537"/>
        <v/>
      </c>
      <c r="BI772" s="129">
        <f t="shared" si="538"/>
        <v/>
      </c>
      <c r="BJ772" s="129">
        <f t="shared" si="539"/>
        <v/>
      </c>
      <c r="BK772" s="129">
        <f>IF(R772="","",IF(OR(BY772="",BY772=0),"BOX",IFERROR(IF(VLOOKUP(BY772,УГО_блоки,3,FALSE)&amp;""&lt;&gt;"",VLOOKUP(BY772,УГО_блоки,3,FALSE),VLOOKUP(BY772,УГО_блоки,2,FALSE)),BY772)))</f>
      </c>
      <c r="BL772" s="129">
        <f t="shared" si="541"/>
      </c>
      <c r="BM772" s="129">
        <f>IF(H772="","",IF(COUNTIF($H$3:H772,H772)=1,MAX($BM$2:BM771)+1,""))</f>
      </c>
      <c r="BN772" s="129">
        <f>IF(I772="","",IF(COUNTIF($I$3:I772,I772)+COUNTIF($J$2:J771,I772)+COUNTIF($K$2:K771,I772)=1,MAX($BN$2:BP771)+1,""))</f>
      </c>
      <c r="BO772" s="129">
        <f>IF(J772="","",IF(COUNTIF($I$3:I772,J772)+COUNTIF($J$3:J772,J772)+COUNTIF($K$2:K771,J772)=1,MAX($BN$2:BP771,BN772)+1,""))</f>
      </c>
      <c r="BP772" s="129">
        <f>IF(K772="","",IF(COUNTIF($I$3:I772,K772)+COUNTIF($J$3:J772,K772)+COUNTIF($K$3:K772,K772)=1,MAX($BN$2:BP771,BN772,BO772)+1,""))</f>
      </c>
      <c r="BQ772" s="129">
        <f>IF(AY772=1,IFERROR(MID(Q772,FIND(" (",Q772)+2,FIND(")",Q772,FIND(" (",Q772))-FIND(" (",Q772)-2),"?"),"")</f>
      </c>
      <c r="BR772" s="129">
        <f>IF(BQ772="","",IF(COUNTIF($BQ$3:BQ772,BQ772)=1,MAX($BR$2:BR771)+1,""))</f>
      </c>
      <c r="BS772" s="129">
        <f>IF(AW772="","",COUNTIF($AW$3:AW772,"?*"))</f>
      </c>
      <c r="BT772" s="129">
        <f>IF(OR(AW772="",AI772=""),"",IF(COUNTIFS($AW$3:AW772,"?*",$AI$3:AI772,AI772)=1,MAX($BT$2:BT771)+1,""))</f>
      </c>
      <c r="BU772" s="129">
        <f>IF(AE772="",0,IF(OR(ISNUMBER(SEARCH("дубль",AE772)),ISNUMBER(SEARCH("ПЕРЕГРУЗ",AE772)),ISNUMBER(SEARCH("ЗАЩИЩ",AE772)),ISNUMBER(SEARCH("КАНАЛ",AE772)),ISNUMBER(SEARCH("без 30",AE772))),2,1))</f>
      </c>
      <c r="BV772" s="129">
        <f>IF(R772="","",COUNTIF($R$3:R772,"?*"))</f>
      </c>
      <c r="BW772" s="129">
        <f>IF(AY772&lt;&gt;1,0,IF(MAX(IFERROR(--VLOOKUP(R772,УГО_спр,5,FALSE),0),IFERROR(--VLOOKUP(AL772,УГО_спр,5,FALSE),0),IFERROR(--VLOOKUP(LEFT(AL772,2),УГО_спр,5,FALSE),0))&gt;0,MAX(IFERROR(--VLOOKUP(R772,УГО_спр,5,FALSE),0),IFERROR(--VLOOKUP(AL772,УГО_спр,5,FALSE),0),IFERROR(--VLOOKUP(LEFT(AL772,2),УГО_спр,5,FALSE),0)),IF(IFERROR(--LEFT(SUBSTITUTE(BQ772,"x","х"),FIND("х",SUBSTITUTE(BQ772,"x","х"))-1),3)&gt;3,Каталог!$S$9,1)))</f>
      </c>
      <c r="BX772" s="129">
        <f>IF(AY772&lt;&gt;1,0,MAX(0,IFERROR(--LEFT(SUBSTITUTE(BQ772,"x","х"),FIND("х",SUBSTITUTE(BQ772,"x","х"))-1),3)-3*BW772))</f>
      </c>
      <c r="BY772" s="129">
        <f>IF(R772="","",IFERROR(VLOOKUP(R772,УГО_спр,2,FALSE),IFERROR(VLOOKUP(AL772,УГО_спр,2,FALSE),IFERROR(VLOOKUP(LEFT(AL772,2),УГО_спр,2,FALSE),""))))</f>
      </c>
    </row>
    <row r="773" spans="1:64" x14ac:dyDescent="0.3">
      <c r="A773" s="135">
        <f>IF(Разбивка_по_щитам!F773=0,"",Разбивка_по_щитам!F773)</f>
        <v/>
      </c>
      <c r="B773" s="138">
        <f>IF(A773="","",Разбивка_по_щитам!C773)</f>
        <v/>
      </c>
      <c r="C773" s="138">
        <f t="shared" si="502"/>
        <v/>
      </c>
      <c r="D773" s="266"/>
      <c r="E773" s="266"/>
      <c r="F773" s="267"/>
      <c r="G773" s="145">
        <f t="shared" si="503"/>
        <v/>
      </c>
      <c r="H773" s="145">
        <f t="shared" si="504"/>
        <v/>
      </c>
      <c r="I773" s="266"/>
      <c r="J773" s="267"/>
      <c r="K773" s="267"/>
      <c r="L773" s="266"/>
      <c r="M773" s="147">
        <f t="shared" si="505"/>
        <v/>
      </c>
      <c r="N773" s="267"/>
      <c r="O773" s="147">
        <f t="shared" si="506"/>
        <v/>
      </c>
      <c r="P773" s="268">
        <f>IF(AY773=1,"XT"&amp;COUNTIFS($A$3:A773,A773,$AY$3:AY773,1),"")</f>
        <v/>
      </c>
      <c r="Q773" s="152">
        <f>IF(R773="","",IFERROR(SUBSTITUTE(Разбивка_по_щитам!P773,CHAR(10)," "),""))</f>
        <v/>
      </c>
      <c r="R773" s="153">
        <f>IF(OR(Разбивка_по_щитам!H773="",Разбивка_по_щитам!H773=0),"",Разбивка_по_щитам!H773)</f>
        <v/>
      </c>
      <c r="S773" s="154">
        <f>IF(R773="","",IFERROR(Разбивка_по_щитам!J773&amp;"",""))</f>
        <v/>
      </c>
      <c r="T773" s="155">
        <f>IF(R773="","",IFERROR(--Разбивка_по_щитам!L773,""))</f>
        <v/>
      </c>
      <c r="U773" s="155">
        <f>IF(R773="","",IFERROR(--Разбивка_по_щитам!K773,""))</f>
        <v/>
      </c>
      <c r="V773" s="138">
        <f>IF(R773="","",IFERROR(IF(Разбивка_по_щитам!M773=0,"",Разбивка_по_щитам!M773),""))</f>
        <v/>
      </c>
      <c r="W773" s="156">
        <f t="shared" si="507"/>
        <v/>
      </c>
      <c r="X773" s="157">
        <f t="shared" si="508"/>
        <v/>
      </c>
      <c r="Y773" s="266"/>
      <c r="Z773" s="158">
        <f t="shared" si="509"/>
        <v/>
      </c>
      <c r="AA773" s="160">
        <f t="shared" si="510"/>
        <v/>
      </c>
      <c r="AB773" s="160">
        <f>IF(R773="","",IFERROR(LOOKUP(INDEX(Справочная!$I$4:$I$19,MATCH(VLOOKUP(R773,Исходные_данные,22,FALSE),Справочная!$J$4:$J$19,0)+1),{6,10,16,20,25,32,40,50,63,80,100,125}),""))</f>
        <v/>
      </c>
      <c r="AC773" s="160">
        <f t="shared" si="511"/>
        <v/>
      </c>
      <c r="AD773" s="161">
        <f t="shared" si="512"/>
        <v/>
      </c>
      <c r="AE773" s="161">
        <f>IF(AND(R773="",G773=""),"",_xlfn.TEXTJOIN("; ",TRUE,IF(AND(R773&lt;&gt;"",V773=""),"нет фазы",""),IF(AND(R773&lt;&gt;"",N(T773)=0),"нет мощности",""),IF(AND(P773&lt;&gt;"",COUNTIFS($A$3:$A$1000,A773,$P$3:$P$1000,P773)&gt;1),"дубль клеммы "&amp;P773,""),IF(AND(W773&lt;&gt;"",W773&lt;&gt;"ok"),W773,""),IF(X773&lt;&gt;"",X773,""),IF(AND(ISNUMBER(SEARCH("(5х",Q773)),N(AK773)=1),"5 жил на 1 фазе",""),IF(AND(AL773="R",E773&lt;&gt;"",N(AS773)=0),"розетка без 30 мА",""),IF(IFERROR(_xlfn.NUMBERVALUE(MID(Q773,FIND("-",Q773,FIND("L=",Q773))+1,FIND("%",Q773)-FIND("-",Q773,FIND("L=",Q773))-1),","),0)&gt;4,"потери &gt; 4 %","")))</f>
      </c>
      <c r="AF773" s="129">
        <f>IF(E773&lt;&gt;"",COUNTIFS($A$3:A773,A773,$E$3:E773,"?*"),IF(OR(A773&lt;&gt;A772,Y773="вручную"),"",AF772))</f>
        <v/>
      </c>
      <c r="AG773" s="129">
        <f t="shared" si="513"/>
        <v/>
      </c>
      <c r="AH773" s="129">
        <f t="shared" si="514"/>
        <v/>
      </c>
      <c r="AI773" s="129">
        <f t="shared" si="515"/>
        <v/>
      </c>
      <c r="AJ773" s="129">
        <f t="shared" si="516"/>
        <v/>
      </c>
      <c r="AK773" s="129">
        <f t="shared" si="517"/>
        <v/>
      </c>
      <c r="AL773" s="129">
        <f t="shared" si="518"/>
        <v/>
      </c>
      <c r="AM773" s="129">
        <f t="shared" si="519"/>
      </c>
      <c r="AN773" s="129">
        <f t="shared" si="520"/>
      </c>
      <c r="AO773" s="129">
        <f t="shared" si="521"/>
        <v/>
      </c>
      <c r="AP773" s="129">
        <f t="shared" si="522"/>
        <v/>
      </c>
      <c r="AQ773" s="129">
        <f t="shared" si="523"/>
        <v/>
      </c>
      <c r="AR773" s="129">
        <f t="shared" si="524"/>
        <v/>
      </c>
      <c r="AS773" s="129">
        <f t="shared" si="525"/>
        <v/>
      </c>
      <c r="AT773" s="129">
        <f t="shared" si="526"/>
        <v/>
      </c>
      <c r="AU773" s="129">
        <f t="shared" si="527"/>
        <v/>
      </c>
      <c r="AV773" s="129">
        <f t="shared" si="528"/>
        <v/>
      </c>
      <c r="AW773" s="129">
        <f>IF(AV773="","",AV773&amp;"."&amp;COUNTIFS($A$3:A773,A773,$AV$3:AV773,AV773))</f>
        <v/>
      </c>
      <c r="AX773" s="129">
        <f t="shared" si="529"/>
        <v/>
      </c>
      <c r="AY773" s="129">
        <f>IF(N773="б/к",0,IF(OR(ISNUMBER(SEARCH("L=",Разбивка_по_щитам!P773)),N773="+",N773="="),1,0))</f>
      </c>
      <c r="AZ773" s="129">
        <f t="shared" si="530"/>
        <v/>
      </c>
      <c r="BA773" s="129">
        <f t="shared" si="531"/>
      </c>
      <c r="BB773" s="129">
        <f t="shared" si="532"/>
      </c>
      <c r="BD773" s="129">
        <f t="shared" si="533"/>
      </c>
      <c r="BE773" s="129">
        <f t="shared" si="534"/>
      </c>
      <c r="BF773" s="129">
        <f t="shared" si="535"/>
      </c>
      <c r="BG773" s="129">
        <f t="shared" si="536"/>
        <v/>
      </c>
      <c r="BH773" s="129">
        <f t="shared" si="537"/>
        <v/>
      </c>
      <c r="BI773" s="129">
        <f t="shared" si="538"/>
        <v/>
      </c>
      <c r="BJ773" s="129">
        <f t="shared" si="539"/>
        <v/>
      </c>
      <c r="BK773" s="129">
        <f>IF(R773="","",IF(OR(BY773="",BY773=0),"BOX",IFERROR(IF(VLOOKUP(BY773,УГО_блоки,3,FALSE)&amp;""&lt;&gt;"",VLOOKUP(BY773,УГО_блоки,3,FALSE),VLOOKUP(BY773,УГО_блоки,2,FALSE)),BY773)))</f>
      </c>
      <c r="BL773" s="129">
        <f t="shared" si="541"/>
      </c>
      <c r="BM773" s="129">
        <f>IF(H773="","",IF(COUNTIF($H$3:H773,H773)=1,MAX($BM$2:BM772)+1,""))</f>
      </c>
      <c r="BN773" s="129">
        <f>IF(I773="","",IF(COUNTIF($I$3:I773,I773)+COUNTIF($J$2:J772,I773)+COUNTIF($K$2:K772,I773)=1,MAX($BN$2:BP772)+1,""))</f>
      </c>
      <c r="BO773" s="129">
        <f>IF(J773="","",IF(COUNTIF($I$3:I773,J773)+COUNTIF($J$3:J773,J773)+COUNTIF($K$2:K772,J773)=1,MAX($BN$2:BP772,BN773)+1,""))</f>
      </c>
      <c r="BP773" s="129">
        <f>IF(K773="","",IF(COUNTIF($I$3:I773,K773)+COUNTIF($J$3:J773,K773)+COUNTIF($K$3:K773,K773)=1,MAX($BN$2:BP772,BN773,BO773)+1,""))</f>
      </c>
      <c r="BQ773" s="129">
        <f>IF(AY773=1,IFERROR(MID(Q773,FIND(" (",Q773)+2,FIND(")",Q773,FIND(" (",Q773))-FIND(" (",Q773)-2),"?"),"")</f>
      </c>
      <c r="BR773" s="129">
        <f>IF(BQ773="","",IF(COUNTIF($BQ$3:BQ773,BQ773)=1,MAX($BR$2:BR772)+1,""))</f>
      </c>
      <c r="BS773" s="129">
        <f>IF(AW773="","",COUNTIF($AW$3:AW773,"?*"))</f>
      </c>
      <c r="BT773" s="129">
        <f>IF(OR(AW773="",AI773=""),"",IF(COUNTIFS($AW$3:AW773,"?*",$AI$3:AI773,AI773)=1,MAX($BT$2:BT772)+1,""))</f>
      </c>
      <c r="BU773" s="129">
        <f>IF(AE773="",0,IF(OR(ISNUMBER(SEARCH("дубль",AE773)),ISNUMBER(SEARCH("ПЕРЕГРУЗ",AE773)),ISNUMBER(SEARCH("ЗАЩИЩ",AE773)),ISNUMBER(SEARCH("КАНАЛ",AE773)),ISNUMBER(SEARCH("без 30",AE773))),2,1))</f>
      </c>
      <c r="BV773" s="129">
        <f>IF(R773="","",COUNTIF($R$3:R773,"?*"))</f>
      </c>
      <c r="BW773" s="129">
        <f>IF(AY773&lt;&gt;1,0,IF(MAX(IFERROR(--VLOOKUP(R773,УГО_спр,5,FALSE),0),IFERROR(--VLOOKUP(AL773,УГО_спр,5,FALSE),0),IFERROR(--VLOOKUP(LEFT(AL773,2),УГО_спр,5,FALSE),0))&gt;0,MAX(IFERROR(--VLOOKUP(R773,УГО_спр,5,FALSE),0),IFERROR(--VLOOKUP(AL773,УГО_спр,5,FALSE),0),IFERROR(--VLOOKUP(LEFT(AL773,2),УГО_спр,5,FALSE),0)),IF(IFERROR(--LEFT(SUBSTITUTE(BQ773,"x","х"),FIND("х",SUBSTITUTE(BQ773,"x","х"))-1),3)&gt;3,Каталог!$S$9,1)))</f>
      </c>
      <c r="BX773" s="129">
        <f>IF(AY773&lt;&gt;1,0,MAX(0,IFERROR(--LEFT(SUBSTITUTE(BQ773,"x","х"),FIND("х",SUBSTITUTE(BQ773,"x","х"))-1),3)-3*BW773))</f>
      </c>
      <c r="BY773" s="129">
        <f>IF(R773="","",IFERROR(VLOOKUP(R773,УГО_спр,2,FALSE),IFERROR(VLOOKUP(AL773,УГО_спр,2,FALSE),IFERROR(VLOOKUP(LEFT(AL773,2),УГО_спр,2,FALSE),""))))</f>
      </c>
    </row>
    <row r="774" spans="1:64" x14ac:dyDescent="0.3">
      <c r="A774" s="135">
        <f>IF(Разбивка_по_щитам!F774=0,"",Разбивка_по_щитам!F774)</f>
        <v/>
      </c>
      <c r="B774" s="138">
        <f>IF(A774="","",Разбивка_по_щитам!C774)</f>
        <v/>
      </c>
      <c r="C774" s="138">
        <f t="shared" si="502"/>
        <v/>
      </c>
      <c r="D774" s="266"/>
      <c r="E774" s="266"/>
      <c r="F774" s="267"/>
      <c r="G774" s="145">
        <f t="shared" si="503"/>
        <v/>
      </c>
      <c r="H774" s="145">
        <f t="shared" si="504"/>
        <v/>
      </c>
      <c r="I774" s="266"/>
      <c r="J774" s="267"/>
      <c r="K774" s="267"/>
      <c r="L774" s="266"/>
      <c r="M774" s="147">
        <f t="shared" si="505"/>
        <v/>
      </c>
      <c r="N774" s="267"/>
      <c r="O774" s="147">
        <f t="shared" si="506"/>
        <v/>
      </c>
      <c r="P774" s="268">
        <f>IF(AY774=1,"XT"&amp;COUNTIFS($A$3:A774,A774,$AY$3:AY774,1),"")</f>
        <v/>
      </c>
      <c r="Q774" s="152">
        <f>IF(R774="","",IFERROR(SUBSTITUTE(Разбивка_по_щитам!P774,CHAR(10)," "),""))</f>
        <v/>
      </c>
      <c r="R774" s="153">
        <f>IF(OR(Разбивка_по_щитам!H774="",Разбивка_по_щитам!H774=0),"",Разбивка_по_щитам!H774)</f>
        <v/>
      </c>
      <c r="S774" s="154">
        <f>IF(R774="","",IFERROR(Разбивка_по_щитам!J774&amp;"",""))</f>
        <v/>
      </c>
      <c r="T774" s="155">
        <f>IF(R774="","",IFERROR(--Разбивка_по_щитам!L774,""))</f>
        <v/>
      </c>
      <c r="U774" s="155">
        <f>IF(R774="","",IFERROR(--Разбивка_по_щитам!K774,""))</f>
        <v/>
      </c>
      <c r="V774" s="138">
        <f>IF(R774="","",IFERROR(IF(Разбивка_по_щитам!M774=0,"",Разбивка_по_щитам!M774),""))</f>
        <v/>
      </c>
      <c r="W774" s="156">
        <f t="shared" si="507"/>
        <v/>
      </c>
      <c r="X774" s="157">
        <f t="shared" si="508"/>
        <v/>
      </c>
      <c r="Y774" s="266"/>
      <c r="Z774" s="158">
        <f t="shared" si="509"/>
        <v/>
      </c>
      <c r="AA774" s="160">
        <f t="shared" si="510"/>
        <v/>
      </c>
      <c r="AB774" s="160">
        <f>IF(R774="","",IFERROR(LOOKUP(INDEX(Справочная!$I$4:$I$19,MATCH(VLOOKUP(R774,Исходные_данные,22,FALSE),Справочная!$J$4:$J$19,0)+1),{6,10,16,20,25,32,40,50,63,80,100,125}),""))</f>
        <v/>
      </c>
      <c r="AC774" s="160">
        <f t="shared" si="511"/>
        <v/>
      </c>
      <c r="AD774" s="161">
        <f t="shared" si="512"/>
        <v/>
      </c>
      <c r="AE774" s="161">
        <f>IF(AND(R774="",G774=""),"",_xlfn.TEXTJOIN("; ",TRUE,IF(AND(R774&lt;&gt;"",V774=""),"нет фазы",""),IF(AND(R774&lt;&gt;"",N(T774)=0),"нет мощности",""),IF(AND(P774&lt;&gt;"",COUNTIFS($A$3:$A$1000,A774,$P$3:$P$1000,P774)&gt;1),"дубль клеммы "&amp;P774,""),IF(AND(W774&lt;&gt;"",W774&lt;&gt;"ok"),W774,""),IF(X774&lt;&gt;"",X774,""),IF(AND(ISNUMBER(SEARCH("(5х",Q774)),N(AK774)=1),"5 жил на 1 фазе",""),IF(AND(AL774="R",E774&lt;&gt;"",N(AS774)=0),"розетка без 30 мА",""),IF(IFERROR(_xlfn.NUMBERVALUE(MID(Q774,FIND("-",Q774,FIND("L=",Q774))+1,FIND("%",Q774)-FIND("-",Q774,FIND("L=",Q774))-1),","),0)&gt;4,"потери &gt; 4 %","")))</f>
      </c>
      <c r="AF774" s="129">
        <f>IF(E774&lt;&gt;"",COUNTIFS($A$3:A774,A774,$E$3:E774,"?*"),IF(OR(A774&lt;&gt;A773,Y774="вручную"),"",AF773))</f>
        <v/>
      </c>
      <c r="AG774" s="129">
        <f t="shared" si="513"/>
        <v/>
      </c>
      <c r="AH774" s="129">
        <f t="shared" si="514"/>
        <v/>
      </c>
      <c r="AI774" s="129">
        <f t="shared" si="515"/>
        <v/>
      </c>
      <c r="AJ774" s="129">
        <f t="shared" si="516"/>
        <v/>
      </c>
      <c r="AK774" s="129">
        <f t="shared" si="517"/>
        <v/>
      </c>
      <c r="AL774" s="129">
        <f t="shared" si="518"/>
        <v/>
      </c>
      <c r="AM774" s="129">
        <f t="shared" si="519"/>
      </c>
      <c r="AN774" s="129">
        <f t="shared" si="520"/>
      </c>
      <c r="AO774" s="129">
        <f t="shared" si="521"/>
        <v/>
      </c>
      <c r="AP774" s="129">
        <f t="shared" si="522"/>
        <v/>
      </c>
      <c r="AQ774" s="129">
        <f t="shared" si="523"/>
        <v/>
      </c>
      <c r="AR774" s="129">
        <f t="shared" si="524"/>
        <v/>
      </c>
      <c r="AS774" s="129">
        <f t="shared" si="525"/>
        <v/>
      </c>
      <c r="AT774" s="129">
        <f t="shared" si="526"/>
        <v/>
      </c>
      <c r="AU774" s="129">
        <f t="shared" si="527"/>
        <v/>
      </c>
      <c r="AV774" s="129">
        <f t="shared" si="528"/>
        <v/>
      </c>
      <c r="AW774" s="129">
        <f>IF(AV774="","",AV774&amp;"."&amp;COUNTIFS($A$3:A774,A774,$AV$3:AV774,AV774))</f>
        <v/>
      </c>
      <c r="AX774" s="129">
        <f t="shared" si="529"/>
        <v/>
      </c>
      <c r="AY774" s="129">
        <f>IF(N774="б/к",0,IF(OR(ISNUMBER(SEARCH("L=",Разбивка_по_щитам!P774)),N774="+",N774="="),1,0))</f>
      </c>
      <c r="AZ774" s="129">
        <f t="shared" si="530"/>
        <v/>
      </c>
      <c r="BA774" s="129">
        <f t="shared" si="531"/>
      </c>
      <c r="BB774" s="129">
        <f t="shared" si="532"/>
      </c>
      <c r="BD774" s="129">
        <f t="shared" si="533"/>
      </c>
      <c r="BE774" s="129">
        <f t="shared" si="534"/>
      </c>
      <c r="BF774" s="129">
        <f t="shared" si="535"/>
      </c>
      <c r="BG774" s="129">
        <f t="shared" si="536"/>
        <v/>
      </c>
      <c r="BH774" s="129">
        <f t="shared" si="537"/>
        <v/>
      </c>
      <c r="BI774" s="129">
        <f t="shared" si="538"/>
        <v/>
      </c>
      <c r="BJ774" s="129">
        <f t="shared" si="539"/>
        <v/>
      </c>
      <c r="BK774" s="129">
        <f>IF(R774="","",IF(OR(BY774="",BY774=0),"BOX",IFERROR(IF(VLOOKUP(BY774,УГО_блоки,3,FALSE)&amp;""&lt;&gt;"",VLOOKUP(BY774,УГО_блоки,3,FALSE),VLOOKUP(BY774,УГО_блоки,2,FALSE)),BY774)))</f>
      </c>
      <c r="BL774" s="129">
        <f t="shared" si="541"/>
      </c>
      <c r="BM774" s="129">
        <f>IF(H774="","",IF(COUNTIF($H$3:H774,H774)=1,MAX($BM$2:BM773)+1,""))</f>
      </c>
      <c r="BN774" s="129">
        <f>IF(I774="","",IF(COUNTIF($I$3:I774,I774)+COUNTIF($J$2:J773,I774)+COUNTIF($K$2:K773,I774)=1,MAX($BN$2:BP773)+1,""))</f>
      </c>
      <c r="BO774" s="129">
        <f>IF(J774="","",IF(COUNTIF($I$3:I774,J774)+COUNTIF($J$3:J774,J774)+COUNTIF($K$2:K773,J774)=1,MAX($BN$2:BP773,BN774)+1,""))</f>
      </c>
      <c r="BP774" s="129">
        <f>IF(K774="","",IF(COUNTIF($I$3:I774,K774)+COUNTIF($J$3:J774,K774)+COUNTIF($K$3:K774,K774)=1,MAX($BN$2:BP773,BN774,BO774)+1,""))</f>
      </c>
      <c r="BQ774" s="129">
        <f>IF(AY774=1,IFERROR(MID(Q774,FIND(" (",Q774)+2,FIND(")",Q774,FIND(" (",Q774))-FIND(" (",Q774)-2),"?"),"")</f>
      </c>
      <c r="BR774" s="129">
        <f>IF(BQ774="","",IF(COUNTIF($BQ$3:BQ774,BQ774)=1,MAX($BR$2:BR773)+1,""))</f>
      </c>
      <c r="BS774" s="129">
        <f>IF(AW774="","",COUNTIF($AW$3:AW774,"?*"))</f>
      </c>
      <c r="BT774" s="129">
        <f>IF(OR(AW774="",AI774=""),"",IF(COUNTIFS($AW$3:AW774,"?*",$AI$3:AI774,AI774)=1,MAX($BT$2:BT773)+1,""))</f>
      </c>
      <c r="BU774" s="129">
        <f>IF(AE774="",0,IF(OR(ISNUMBER(SEARCH("дубль",AE774)),ISNUMBER(SEARCH("ПЕРЕГРУЗ",AE774)),ISNUMBER(SEARCH("ЗАЩИЩ",AE774)),ISNUMBER(SEARCH("КАНАЛ",AE774)),ISNUMBER(SEARCH("без 30",AE774))),2,1))</f>
      </c>
      <c r="BV774" s="129">
        <f>IF(R774="","",COUNTIF($R$3:R774,"?*"))</f>
      </c>
      <c r="BW774" s="129">
        <f>IF(AY774&lt;&gt;1,0,IF(MAX(IFERROR(--VLOOKUP(R774,УГО_спр,5,FALSE),0),IFERROR(--VLOOKUP(AL774,УГО_спр,5,FALSE),0),IFERROR(--VLOOKUP(LEFT(AL774,2),УГО_спр,5,FALSE),0))&gt;0,MAX(IFERROR(--VLOOKUP(R774,УГО_спр,5,FALSE),0),IFERROR(--VLOOKUP(AL774,УГО_спр,5,FALSE),0),IFERROR(--VLOOKUP(LEFT(AL774,2),УГО_спр,5,FALSE),0)),IF(IFERROR(--LEFT(SUBSTITUTE(BQ774,"x","х"),FIND("х",SUBSTITUTE(BQ774,"x","х"))-1),3)&gt;3,Каталог!$S$9,1)))</f>
      </c>
      <c r="BX774" s="129">
        <f>IF(AY774&lt;&gt;1,0,MAX(0,IFERROR(--LEFT(SUBSTITUTE(BQ774,"x","х"),FIND("х",SUBSTITUTE(BQ774,"x","х"))-1),3)-3*BW774))</f>
      </c>
      <c r="BY774" s="129">
        <f>IF(R774="","",IFERROR(VLOOKUP(R774,УГО_спр,2,FALSE),IFERROR(VLOOKUP(AL774,УГО_спр,2,FALSE),IFERROR(VLOOKUP(LEFT(AL774,2),УГО_спр,2,FALSE),""))))</f>
      </c>
    </row>
    <row r="775" spans="1:64" x14ac:dyDescent="0.3">
      <c r="A775" s="135">
        <f>IF(Разбивка_по_щитам!F775=0,"",Разбивка_по_щитам!F775)</f>
        <v/>
      </c>
      <c r="B775" s="138">
        <f>IF(A775="","",Разбивка_по_щитам!C775)</f>
        <v/>
      </c>
      <c r="C775" s="138">
        <f t="shared" si="502"/>
        <v/>
      </c>
      <c r="D775" s="266"/>
      <c r="E775" s="266"/>
      <c r="F775" s="267"/>
      <c r="G775" s="145">
        <f t="shared" si="503"/>
        <v/>
      </c>
      <c r="H775" s="145">
        <f t="shared" si="504"/>
        <v/>
      </c>
      <c r="I775" s="266"/>
      <c r="J775" s="267"/>
      <c r="K775" s="267"/>
      <c r="L775" s="266"/>
      <c r="M775" s="147">
        <f t="shared" si="505"/>
        <v/>
      </c>
      <c r="N775" s="267"/>
      <c r="O775" s="147">
        <f t="shared" si="506"/>
        <v/>
      </c>
      <c r="P775" s="268">
        <f>IF(AY775=1,"XT"&amp;COUNTIFS($A$3:A775,A775,$AY$3:AY775,1),"")</f>
        <v/>
      </c>
      <c r="Q775" s="152">
        <f>IF(R775="","",IFERROR(SUBSTITUTE(Разбивка_по_щитам!P775,CHAR(10)," "),""))</f>
        <v/>
      </c>
      <c r="R775" s="153">
        <f>IF(OR(Разбивка_по_щитам!H775="",Разбивка_по_щитам!H775=0),"",Разбивка_по_щитам!H775)</f>
        <v/>
      </c>
      <c r="S775" s="154">
        <f>IF(R775="","",IFERROR(Разбивка_по_щитам!J775&amp;"",""))</f>
        <v/>
      </c>
      <c r="T775" s="155">
        <f>IF(R775="","",IFERROR(--Разбивка_по_щитам!L775,""))</f>
        <v/>
      </c>
      <c r="U775" s="155">
        <f>IF(R775="","",IFERROR(--Разбивка_по_щитам!K775,""))</f>
        <v/>
      </c>
      <c r="V775" s="138">
        <f>IF(R775="","",IFERROR(IF(Разбивка_по_щитам!M775=0,"",Разбивка_по_щитам!M775),""))</f>
        <v/>
      </c>
      <c r="W775" s="156">
        <f t="shared" si="507"/>
        <v/>
      </c>
      <c r="X775" s="157">
        <f t="shared" si="508"/>
        <v/>
      </c>
      <c r="Y775" s="266"/>
      <c r="Z775" s="158">
        <f t="shared" si="509"/>
        <v/>
      </c>
      <c r="AA775" s="160">
        <f t="shared" si="510"/>
        <v/>
      </c>
      <c r="AB775" s="160">
        <f>IF(R775="","",IFERROR(LOOKUP(INDEX(Справочная!$I$4:$I$19,MATCH(VLOOKUP(R775,Исходные_данные,22,FALSE),Справочная!$J$4:$J$19,0)+1),{6,10,16,20,25,32,40,50,63,80,100,125}),""))</f>
        <v/>
      </c>
      <c r="AC775" s="160">
        <f t="shared" si="511"/>
        <v/>
      </c>
      <c r="AD775" s="161">
        <f t="shared" si="512"/>
        <v/>
      </c>
      <c r="AE775" s="161">
        <f>IF(AND(R775="",G775=""),"",_xlfn.TEXTJOIN("; ",TRUE,IF(AND(R775&lt;&gt;"",V775=""),"нет фазы",""),IF(AND(R775&lt;&gt;"",N(T775)=0),"нет мощности",""),IF(AND(P775&lt;&gt;"",COUNTIFS($A$3:$A$1000,A775,$P$3:$P$1000,P775)&gt;1),"дубль клеммы "&amp;P775,""),IF(AND(W775&lt;&gt;"",W775&lt;&gt;"ok"),W775,""),IF(X775&lt;&gt;"",X775,""),IF(AND(ISNUMBER(SEARCH("(5х",Q775)),N(AK775)=1),"5 жил на 1 фазе",""),IF(AND(AL775="R",E775&lt;&gt;"",N(AS775)=0),"розетка без 30 мА",""),IF(IFERROR(_xlfn.NUMBERVALUE(MID(Q775,FIND("-",Q775,FIND("L=",Q775))+1,FIND("%",Q775)-FIND("-",Q775,FIND("L=",Q775))-1),","),0)&gt;4,"потери &gt; 4 %","")))</f>
      </c>
      <c r="AF775" s="129">
        <f>IF(E775&lt;&gt;"",COUNTIFS($A$3:A775,A775,$E$3:E775,"?*"),IF(OR(A775&lt;&gt;A774,Y775="вручную"),"",AF774))</f>
        <v/>
      </c>
      <c r="AG775" s="129">
        <f t="shared" si="513"/>
        <v/>
      </c>
      <c r="AH775" s="129">
        <f t="shared" si="514"/>
        <v/>
      </c>
      <c r="AI775" s="129">
        <f t="shared" si="515"/>
        <v/>
      </c>
      <c r="AJ775" s="129">
        <f t="shared" si="516"/>
        <v/>
      </c>
      <c r="AK775" s="129">
        <f t="shared" si="517"/>
        <v/>
      </c>
      <c r="AL775" s="129">
        <f t="shared" si="518"/>
        <v/>
      </c>
      <c r="AM775" s="129">
        <f t="shared" si="519"/>
      </c>
      <c r="AN775" s="129">
        <f t="shared" si="520"/>
      </c>
      <c r="AO775" s="129">
        <f t="shared" si="521"/>
        <v/>
      </c>
      <c r="AP775" s="129">
        <f t="shared" si="522"/>
        <v/>
      </c>
      <c r="AQ775" s="129">
        <f t="shared" si="523"/>
        <v/>
      </c>
      <c r="AR775" s="129">
        <f t="shared" si="524"/>
        <v/>
      </c>
      <c r="AS775" s="129">
        <f t="shared" si="525"/>
        <v/>
      </c>
      <c r="AT775" s="129">
        <f t="shared" si="526"/>
        <v/>
      </c>
      <c r="AU775" s="129">
        <f t="shared" si="527"/>
        <v/>
      </c>
      <c r="AV775" s="129">
        <f t="shared" si="528"/>
        <v/>
      </c>
      <c r="AW775" s="129">
        <f>IF(AV775="","",AV775&amp;"."&amp;COUNTIFS($A$3:A775,A775,$AV$3:AV775,AV775))</f>
        <v/>
      </c>
      <c r="AX775" s="129">
        <f t="shared" si="529"/>
        <v/>
      </c>
      <c r="AY775" s="129">
        <f>IF(N775="б/к",0,IF(OR(ISNUMBER(SEARCH("L=",Разбивка_по_щитам!P775)),N775="+",N775="="),1,0))</f>
      </c>
      <c r="AZ775" s="129">
        <f t="shared" si="530"/>
        <v/>
      </c>
      <c r="BA775" s="129">
        <f t="shared" si="531"/>
      </c>
      <c r="BB775" s="129">
        <f t="shared" si="532"/>
      </c>
      <c r="BD775" s="129">
        <f t="shared" si="533"/>
      </c>
      <c r="BE775" s="129">
        <f t="shared" si="534"/>
      </c>
      <c r="BF775" s="129">
        <f t="shared" si="535"/>
      </c>
      <c r="BG775" s="129">
        <f t="shared" si="536"/>
        <v/>
      </c>
      <c r="BH775" s="129">
        <f t="shared" si="537"/>
        <v/>
      </c>
      <c r="BI775" s="129">
        <f t="shared" si="538"/>
        <v/>
      </c>
      <c r="BJ775" s="129">
        <f t="shared" si="539"/>
        <v/>
      </c>
      <c r="BK775" s="129">
        <f>IF(R775="","",IF(OR(BY775="",BY775=0),"BOX",IFERROR(IF(VLOOKUP(BY775,УГО_блоки,3,FALSE)&amp;""&lt;&gt;"",VLOOKUP(BY775,УГО_блоки,3,FALSE),VLOOKUP(BY775,УГО_блоки,2,FALSE)),BY775)))</f>
      </c>
      <c r="BL775" s="129">
        <f t="shared" si="541"/>
      </c>
      <c r="BM775" s="129">
        <f>IF(H775="","",IF(COUNTIF($H$3:H775,H775)=1,MAX($BM$2:BM774)+1,""))</f>
      </c>
      <c r="BN775" s="129">
        <f>IF(I775="","",IF(COUNTIF($I$3:I775,I775)+COUNTIF($J$2:J774,I775)+COUNTIF($K$2:K774,I775)=1,MAX($BN$2:BP774)+1,""))</f>
      </c>
      <c r="BO775" s="129">
        <f>IF(J775="","",IF(COUNTIF($I$3:I775,J775)+COUNTIF($J$3:J775,J775)+COUNTIF($K$2:K774,J775)=1,MAX($BN$2:BP774,BN775)+1,""))</f>
      </c>
      <c r="BP775" s="129">
        <f>IF(K775="","",IF(COUNTIF($I$3:I775,K775)+COUNTIF($J$3:J775,K775)+COUNTIF($K$3:K775,K775)=1,MAX($BN$2:BP774,BN775,BO775)+1,""))</f>
      </c>
      <c r="BQ775" s="129">
        <f>IF(AY775=1,IFERROR(MID(Q775,FIND(" (",Q775)+2,FIND(")",Q775,FIND(" (",Q775))-FIND(" (",Q775)-2),"?"),"")</f>
      </c>
      <c r="BR775" s="129">
        <f>IF(BQ775="","",IF(COUNTIF($BQ$3:BQ775,BQ775)=1,MAX($BR$2:BR774)+1,""))</f>
      </c>
      <c r="BS775" s="129">
        <f>IF(AW775="","",COUNTIF($AW$3:AW775,"?*"))</f>
      </c>
      <c r="BT775" s="129">
        <f>IF(OR(AW775="",AI775=""),"",IF(COUNTIFS($AW$3:AW775,"?*",$AI$3:AI775,AI775)=1,MAX($BT$2:BT774)+1,""))</f>
      </c>
      <c r="BU775" s="129">
        <f>IF(AE775="",0,IF(OR(ISNUMBER(SEARCH("дубль",AE775)),ISNUMBER(SEARCH("ПЕРЕГРУЗ",AE775)),ISNUMBER(SEARCH("ЗАЩИЩ",AE775)),ISNUMBER(SEARCH("КАНАЛ",AE775)),ISNUMBER(SEARCH("без 30",AE775))),2,1))</f>
      </c>
      <c r="BV775" s="129">
        <f>IF(R775="","",COUNTIF($R$3:R775,"?*"))</f>
      </c>
      <c r="BW775" s="129">
        <f>IF(AY775&lt;&gt;1,0,IF(MAX(IFERROR(--VLOOKUP(R775,УГО_спр,5,FALSE),0),IFERROR(--VLOOKUP(AL775,УГО_спр,5,FALSE),0),IFERROR(--VLOOKUP(LEFT(AL775,2),УГО_спр,5,FALSE),0))&gt;0,MAX(IFERROR(--VLOOKUP(R775,УГО_спр,5,FALSE),0),IFERROR(--VLOOKUP(AL775,УГО_спр,5,FALSE),0),IFERROR(--VLOOKUP(LEFT(AL775,2),УГО_спр,5,FALSE),0)),IF(IFERROR(--LEFT(SUBSTITUTE(BQ775,"x","х"),FIND("х",SUBSTITUTE(BQ775,"x","х"))-1),3)&gt;3,Каталог!$S$9,1)))</f>
      </c>
      <c r="BX775" s="129">
        <f>IF(AY775&lt;&gt;1,0,MAX(0,IFERROR(--LEFT(SUBSTITUTE(BQ775,"x","х"),FIND("х",SUBSTITUTE(BQ775,"x","х"))-1),3)-3*BW775))</f>
      </c>
      <c r="BY775" s="129">
        <f>IF(R775="","",IFERROR(VLOOKUP(R775,УГО_спр,2,FALSE),IFERROR(VLOOKUP(AL775,УГО_спр,2,FALSE),IFERROR(VLOOKUP(LEFT(AL775,2),УГО_спр,2,FALSE),""))))</f>
      </c>
    </row>
    <row r="776" spans="1:64" x14ac:dyDescent="0.3">
      <c r="A776" s="135">
        <f>IF(Разбивка_по_щитам!F776=0,"",Разбивка_по_щитам!F776)</f>
        <v/>
      </c>
      <c r="B776" s="138">
        <f>IF(A776="","",Разбивка_по_щитам!C776)</f>
        <v/>
      </c>
      <c r="C776" s="138">
        <f t="shared" si="502"/>
        <v/>
      </c>
      <c r="D776" s="266"/>
      <c r="E776" s="266"/>
      <c r="F776" s="267"/>
      <c r="G776" s="145">
        <f t="shared" si="503"/>
        <v/>
      </c>
      <c r="H776" s="145">
        <f t="shared" si="504"/>
        <v/>
      </c>
      <c r="I776" s="266"/>
      <c r="J776" s="267"/>
      <c r="K776" s="267"/>
      <c r="L776" s="266"/>
      <c r="M776" s="147">
        <f t="shared" si="505"/>
        <v/>
      </c>
      <c r="N776" s="267"/>
      <c r="O776" s="147">
        <f t="shared" si="506"/>
        <v/>
      </c>
      <c r="P776" s="268">
        <f>IF(AY776=1,"XT"&amp;COUNTIFS($A$3:A776,A776,$AY$3:AY776,1),"")</f>
        <v/>
      </c>
      <c r="Q776" s="152">
        <f>IF(R776="","",IFERROR(SUBSTITUTE(Разбивка_по_щитам!P776,CHAR(10)," "),""))</f>
        <v/>
      </c>
      <c r="R776" s="153">
        <f>IF(OR(Разбивка_по_щитам!H776="",Разбивка_по_щитам!H776=0),"",Разбивка_по_щитам!H776)</f>
        <v/>
      </c>
      <c r="S776" s="154">
        <f>IF(R776="","",IFERROR(Разбивка_по_щитам!J776&amp;"",""))</f>
        <v/>
      </c>
      <c r="T776" s="155">
        <f>IF(R776="","",IFERROR(--Разбивка_по_щитам!L776,""))</f>
        <v/>
      </c>
      <c r="U776" s="155">
        <f>IF(R776="","",IFERROR(--Разбивка_по_щитам!K776,""))</f>
        <v/>
      </c>
      <c r="V776" s="138">
        <f>IF(R776="","",IFERROR(IF(Разбивка_по_щитам!M776=0,"",Разбивка_по_щитам!M776),""))</f>
        <v/>
      </c>
      <c r="W776" s="156">
        <f t="shared" si="507"/>
        <v/>
      </c>
      <c r="X776" s="157">
        <f t="shared" si="508"/>
        <v/>
      </c>
      <c r="Y776" s="266"/>
      <c r="Z776" s="158">
        <f t="shared" si="509"/>
        <v/>
      </c>
      <c r="AA776" s="160">
        <f t="shared" si="510"/>
        <v/>
      </c>
      <c r="AB776" s="160">
        <f>IF(R776="","",IFERROR(LOOKUP(INDEX(Справочная!$I$4:$I$19,MATCH(VLOOKUP(R776,Исходные_данные,22,FALSE),Справочная!$J$4:$J$19,0)+1),{6,10,16,20,25,32,40,50,63,80,100,125}),""))</f>
        <v/>
      </c>
      <c r="AC776" s="160">
        <f t="shared" si="511"/>
        <v/>
      </c>
      <c r="AD776" s="161">
        <f t="shared" si="512"/>
        <v/>
      </c>
      <c r="AE776" s="161">
        <f>IF(AND(R776="",G776=""),"",_xlfn.TEXTJOIN("; ",TRUE,IF(AND(R776&lt;&gt;"",V776=""),"нет фазы",""),IF(AND(R776&lt;&gt;"",N(T776)=0),"нет мощности",""),IF(AND(P776&lt;&gt;"",COUNTIFS($A$3:$A$1000,A776,$P$3:$P$1000,P776)&gt;1),"дубль клеммы "&amp;P776,""),IF(AND(W776&lt;&gt;"",W776&lt;&gt;"ok"),W776,""),IF(X776&lt;&gt;"",X776,""),IF(AND(ISNUMBER(SEARCH("(5х",Q776)),N(AK776)=1),"5 жил на 1 фазе",""),IF(AND(AL776="R",E776&lt;&gt;"",N(AS776)=0),"розетка без 30 мА",""),IF(IFERROR(_xlfn.NUMBERVALUE(MID(Q776,FIND("-",Q776,FIND("L=",Q776))+1,FIND("%",Q776)-FIND("-",Q776,FIND("L=",Q776))-1),","),0)&gt;4,"потери &gt; 4 %","")))</f>
      </c>
      <c r="AF776" s="129">
        <f>IF(E776&lt;&gt;"",COUNTIFS($A$3:A776,A776,$E$3:E776,"?*"),IF(OR(A776&lt;&gt;A775,Y776="вручную"),"",AF775))</f>
        <v/>
      </c>
      <c r="AG776" s="129">
        <f t="shared" si="513"/>
        <v/>
      </c>
      <c r="AH776" s="129">
        <f t="shared" si="514"/>
        <v/>
      </c>
      <c r="AI776" s="129">
        <f t="shared" si="515"/>
        <v/>
      </c>
      <c r="AJ776" s="129">
        <f t="shared" si="516"/>
        <v/>
      </c>
      <c r="AK776" s="129">
        <f t="shared" si="517"/>
        <v/>
      </c>
      <c r="AL776" s="129">
        <f t="shared" si="518"/>
        <v/>
      </c>
      <c r="AM776" s="129">
        <f t="shared" si="519"/>
      </c>
      <c r="AN776" s="129">
        <f t="shared" si="520"/>
      </c>
      <c r="AO776" s="129">
        <f t="shared" si="521"/>
        <v/>
      </c>
      <c r="AP776" s="129">
        <f t="shared" si="522"/>
        <v/>
      </c>
      <c r="AQ776" s="129">
        <f t="shared" si="523"/>
        <v/>
      </c>
      <c r="AR776" s="129">
        <f t="shared" si="524"/>
        <v/>
      </c>
      <c r="AS776" s="129">
        <f t="shared" si="525"/>
        <v/>
      </c>
      <c r="AT776" s="129">
        <f t="shared" si="526"/>
        <v/>
      </c>
      <c r="AU776" s="129">
        <f t="shared" si="527"/>
        <v/>
      </c>
      <c r="AV776" s="129">
        <f t="shared" si="528"/>
        <v/>
      </c>
      <c r="AW776" s="129">
        <f>IF(AV776="","",AV776&amp;"."&amp;COUNTIFS($A$3:A776,A776,$AV$3:AV776,AV776))</f>
        <v/>
      </c>
      <c r="AX776" s="129">
        <f t="shared" si="529"/>
        <v/>
      </c>
      <c r="AY776" s="129">
        <f>IF(N776="б/к",0,IF(OR(ISNUMBER(SEARCH("L=",Разбивка_по_щитам!P776)),N776="+",N776="="),1,0))</f>
      </c>
      <c r="AZ776" s="129">
        <f t="shared" si="530"/>
        <v/>
      </c>
      <c r="BA776" s="129">
        <f t="shared" si="531"/>
      </c>
      <c r="BB776" s="129">
        <f t="shared" si="532"/>
      </c>
      <c r="BD776" s="129">
        <f t="shared" si="533"/>
      </c>
      <c r="BE776" s="129">
        <f t="shared" si="534"/>
      </c>
      <c r="BF776" s="129">
        <f t="shared" si="535"/>
      </c>
      <c r="BG776" s="129">
        <f t="shared" si="536"/>
        <v/>
      </c>
      <c r="BH776" s="129">
        <f t="shared" si="537"/>
        <v/>
      </c>
      <c r="BI776" s="129">
        <f t="shared" si="538"/>
        <v/>
      </c>
      <c r="BJ776" s="129">
        <f t="shared" si="539"/>
        <v/>
      </c>
      <c r="BK776" s="129">
        <f>IF(R776="","",IF(OR(BY776="",BY776=0),"BOX",IFERROR(IF(VLOOKUP(BY776,УГО_блоки,3,FALSE)&amp;""&lt;&gt;"",VLOOKUP(BY776,УГО_блоки,3,FALSE),VLOOKUP(BY776,УГО_блоки,2,FALSE)),BY776)))</f>
      </c>
      <c r="BL776" s="129">
        <f t="shared" si="541"/>
      </c>
      <c r="BM776" s="129">
        <f>IF(H776="","",IF(COUNTIF($H$3:H776,H776)=1,MAX($BM$2:BM775)+1,""))</f>
      </c>
      <c r="BN776" s="129">
        <f>IF(I776="","",IF(COUNTIF($I$3:I776,I776)+COUNTIF($J$2:J775,I776)+COUNTIF($K$2:K775,I776)=1,MAX($BN$2:BP775)+1,""))</f>
      </c>
      <c r="BO776" s="129">
        <f>IF(J776="","",IF(COUNTIF($I$3:I776,J776)+COUNTIF($J$3:J776,J776)+COUNTIF($K$2:K775,J776)=1,MAX($BN$2:BP775,BN776)+1,""))</f>
      </c>
      <c r="BP776" s="129">
        <f>IF(K776="","",IF(COUNTIF($I$3:I776,K776)+COUNTIF($J$3:J776,K776)+COUNTIF($K$3:K776,K776)=1,MAX($BN$2:BP775,BN776,BO776)+1,""))</f>
      </c>
      <c r="BQ776" s="129">
        <f>IF(AY776=1,IFERROR(MID(Q776,FIND(" (",Q776)+2,FIND(")",Q776,FIND(" (",Q776))-FIND(" (",Q776)-2),"?"),"")</f>
      </c>
      <c r="BR776" s="129">
        <f>IF(BQ776="","",IF(COUNTIF($BQ$3:BQ776,BQ776)=1,MAX($BR$2:BR775)+1,""))</f>
      </c>
      <c r="BS776" s="129">
        <f>IF(AW776="","",COUNTIF($AW$3:AW776,"?*"))</f>
      </c>
      <c r="BT776" s="129">
        <f>IF(OR(AW776="",AI776=""),"",IF(COUNTIFS($AW$3:AW776,"?*",$AI$3:AI776,AI776)=1,MAX($BT$2:BT775)+1,""))</f>
      </c>
      <c r="BU776" s="129">
        <f>IF(AE776="",0,IF(OR(ISNUMBER(SEARCH("дубль",AE776)),ISNUMBER(SEARCH("ПЕРЕГРУЗ",AE776)),ISNUMBER(SEARCH("ЗАЩИЩ",AE776)),ISNUMBER(SEARCH("КАНАЛ",AE776)),ISNUMBER(SEARCH("без 30",AE776))),2,1))</f>
      </c>
      <c r="BV776" s="129">
        <f>IF(R776="","",COUNTIF($R$3:R776,"?*"))</f>
      </c>
      <c r="BW776" s="129">
        <f>IF(AY776&lt;&gt;1,0,IF(MAX(IFERROR(--VLOOKUP(R776,УГО_спр,5,FALSE),0),IFERROR(--VLOOKUP(AL776,УГО_спр,5,FALSE),0),IFERROR(--VLOOKUP(LEFT(AL776,2),УГО_спр,5,FALSE),0))&gt;0,MAX(IFERROR(--VLOOKUP(R776,УГО_спр,5,FALSE),0),IFERROR(--VLOOKUP(AL776,УГО_спр,5,FALSE),0),IFERROR(--VLOOKUP(LEFT(AL776,2),УГО_спр,5,FALSE),0)),IF(IFERROR(--LEFT(SUBSTITUTE(BQ776,"x","х"),FIND("х",SUBSTITUTE(BQ776,"x","х"))-1),3)&gt;3,Каталог!$S$9,1)))</f>
      </c>
      <c r="BX776" s="129">
        <f>IF(AY776&lt;&gt;1,0,MAX(0,IFERROR(--LEFT(SUBSTITUTE(BQ776,"x","х"),FIND("х",SUBSTITUTE(BQ776,"x","х"))-1),3)-3*BW776))</f>
      </c>
      <c r="BY776" s="129">
        <f>IF(R776="","",IFERROR(VLOOKUP(R776,УГО_спр,2,FALSE),IFERROR(VLOOKUP(AL776,УГО_спр,2,FALSE),IFERROR(VLOOKUP(LEFT(AL776,2),УГО_спр,2,FALSE),""))))</f>
      </c>
    </row>
    <row r="777" spans="1:64" x14ac:dyDescent="0.3">
      <c r="A777" s="135">
        <f>IF(Разбивка_по_щитам!F777=0,"",Разбивка_по_щитам!F777)</f>
        <v/>
      </c>
      <c r="B777" s="138">
        <f>IF(A777="","",Разбивка_по_щитам!C777)</f>
        <v/>
      </c>
      <c r="C777" s="138">
        <f t="shared" si="502"/>
        <v/>
      </c>
      <c r="D777" s="266"/>
      <c r="E777" s="266"/>
      <c r="F777" s="267"/>
      <c r="G777" s="145">
        <f t="shared" si="503"/>
        <v/>
      </c>
      <c r="H777" s="145">
        <f t="shared" si="504"/>
        <v/>
      </c>
      <c r="I777" s="266"/>
      <c r="J777" s="267"/>
      <c r="K777" s="267"/>
      <c r="L777" s="266"/>
      <c r="M777" s="147">
        <f t="shared" si="505"/>
        <v/>
      </c>
      <c r="N777" s="267"/>
      <c r="O777" s="147">
        <f t="shared" si="506"/>
        <v/>
      </c>
      <c r="P777" s="268">
        <f>IF(AY777=1,"XT"&amp;COUNTIFS($A$3:A777,A777,$AY$3:AY777,1),"")</f>
        <v/>
      </c>
      <c r="Q777" s="152">
        <f>IF(R777="","",IFERROR(SUBSTITUTE(Разбивка_по_щитам!P777,CHAR(10)," "),""))</f>
        <v/>
      </c>
      <c r="R777" s="153">
        <f>IF(OR(Разбивка_по_щитам!H777="",Разбивка_по_щитам!H777=0),"",Разбивка_по_щитам!H777)</f>
        <v/>
      </c>
      <c r="S777" s="154">
        <f>IF(R777="","",IFERROR(Разбивка_по_щитам!J777&amp;"",""))</f>
        <v/>
      </c>
      <c r="T777" s="155">
        <f>IF(R777="","",IFERROR(--Разбивка_по_щитам!L777,""))</f>
        <v/>
      </c>
      <c r="U777" s="155">
        <f>IF(R777="","",IFERROR(--Разбивка_по_щитам!K777,""))</f>
        <v/>
      </c>
      <c r="V777" s="138">
        <f>IF(R777="","",IFERROR(IF(Разбивка_по_щитам!M777=0,"",Разбивка_по_щитам!M777),""))</f>
        <v/>
      </c>
      <c r="W777" s="156">
        <f t="shared" si="507"/>
        <v/>
      </c>
      <c r="X777" s="157">
        <f t="shared" si="508"/>
        <v/>
      </c>
      <c r="Y777" s="266"/>
      <c r="Z777" s="158">
        <f t="shared" si="509"/>
        <v/>
      </c>
      <c r="AA777" s="160">
        <f t="shared" si="510"/>
        <v/>
      </c>
      <c r="AB777" s="160">
        <f>IF(R777="","",IFERROR(LOOKUP(INDEX(Справочная!$I$4:$I$19,MATCH(VLOOKUP(R777,Исходные_данные,22,FALSE),Справочная!$J$4:$J$19,0)+1),{6,10,16,20,25,32,40,50,63,80,100,125}),""))</f>
        <v/>
      </c>
      <c r="AC777" s="160">
        <f t="shared" si="511"/>
        <v/>
      </c>
      <c r="AD777" s="161">
        <f t="shared" si="512"/>
        <v/>
      </c>
      <c r="AE777" s="161">
        <f>IF(AND(R777="",G777=""),"",_xlfn.TEXTJOIN("; ",TRUE,IF(AND(R777&lt;&gt;"",V777=""),"нет фазы",""),IF(AND(R777&lt;&gt;"",N(T777)=0),"нет мощности",""),IF(AND(P777&lt;&gt;"",COUNTIFS($A$3:$A$1000,A777,$P$3:$P$1000,P777)&gt;1),"дубль клеммы "&amp;P777,""),IF(AND(W777&lt;&gt;"",W777&lt;&gt;"ok"),W777,""),IF(X777&lt;&gt;"",X777,""),IF(AND(ISNUMBER(SEARCH("(5х",Q777)),N(AK777)=1),"5 жил на 1 фазе",""),IF(AND(AL777="R",E777&lt;&gt;"",N(AS777)=0),"розетка без 30 мА",""),IF(IFERROR(_xlfn.NUMBERVALUE(MID(Q777,FIND("-",Q777,FIND("L=",Q777))+1,FIND("%",Q777)-FIND("-",Q777,FIND("L=",Q777))-1),","),0)&gt;4,"потери &gt; 4 %","")))</f>
      </c>
      <c r="AF777" s="129">
        <f>IF(E777&lt;&gt;"",COUNTIFS($A$3:A777,A777,$E$3:E777,"?*"),IF(OR(A777&lt;&gt;A776,Y777="вручную"),"",AF776))</f>
        <v/>
      </c>
      <c r="AG777" s="129">
        <f t="shared" si="513"/>
        <v/>
      </c>
      <c r="AH777" s="129">
        <f t="shared" si="514"/>
        <v/>
      </c>
      <c r="AI777" s="129">
        <f t="shared" si="515"/>
        <v/>
      </c>
      <c r="AJ777" s="129">
        <f t="shared" si="516"/>
        <v/>
      </c>
      <c r="AK777" s="129">
        <f t="shared" si="517"/>
        <v/>
      </c>
      <c r="AL777" s="129">
        <f t="shared" si="518"/>
        <v/>
      </c>
      <c r="AM777" s="129">
        <f t="shared" si="519"/>
      </c>
      <c r="AN777" s="129">
        <f t="shared" si="520"/>
      </c>
      <c r="AO777" s="129">
        <f t="shared" si="521"/>
        <v/>
      </c>
      <c r="AP777" s="129">
        <f t="shared" si="522"/>
        <v/>
      </c>
      <c r="AQ777" s="129">
        <f t="shared" si="523"/>
        <v/>
      </c>
      <c r="AR777" s="129">
        <f t="shared" si="524"/>
        <v/>
      </c>
      <c r="AS777" s="129">
        <f t="shared" si="525"/>
        <v/>
      </c>
      <c r="AT777" s="129">
        <f t="shared" si="526"/>
        <v/>
      </c>
      <c r="AU777" s="129">
        <f t="shared" si="527"/>
        <v/>
      </c>
      <c r="AV777" s="129">
        <f t="shared" si="528"/>
        <v/>
      </c>
      <c r="AW777" s="129">
        <f>IF(AV777="","",AV777&amp;"."&amp;COUNTIFS($A$3:A777,A777,$AV$3:AV777,AV777))</f>
        <v/>
      </c>
      <c r="AX777" s="129">
        <f t="shared" si="529"/>
        <v/>
      </c>
      <c r="AY777" s="129">
        <f>IF(N777="б/к",0,IF(OR(ISNUMBER(SEARCH("L=",Разбивка_по_щитам!P777)),N777="+",N777="="),1,0))</f>
      </c>
      <c r="AZ777" s="129">
        <f t="shared" si="530"/>
        <v/>
      </c>
      <c r="BA777" s="129">
        <f t="shared" si="531"/>
      </c>
      <c r="BB777" s="129">
        <f t="shared" si="532"/>
      </c>
      <c r="BD777" s="129">
        <f t="shared" si="533"/>
      </c>
      <c r="BE777" s="129">
        <f t="shared" si="534"/>
      </c>
      <c r="BF777" s="129">
        <f t="shared" si="535"/>
      </c>
      <c r="BG777" s="129">
        <f t="shared" si="536"/>
        <v/>
      </c>
      <c r="BH777" s="129">
        <f t="shared" si="537"/>
        <v/>
      </c>
      <c r="BI777" s="129">
        <f t="shared" si="538"/>
        <v/>
      </c>
      <c r="BJ777" s="129">
        <f t="shared" si="539"/>
        <v/>
      </c>
      <c r="BK777" s="129">
        <f>IF(R777="","",IF(OR(BY777="",BY777=0),"BOX",IFERROR(IF(VLOOKUP(BY777,УГО_блоки,3,FALSE)&amp;""&lt;&gt;"",VLOOKUP(BY777,УГО_блоки,3,FALSE),VLOOKUP(BY777,УГО_блоки,2,FALSE)),BY777)))</f>
      </c>
      <c r="BL777" s="129">
        <f t="shared" si="541"/>
      </c>
      <c r="BM777" s="129">
        <f>IF(H777="","",IF(COUNTIF($H$3:H777,H777)=1,MAX($BM$2:BM776)+1,""))</f>
      </c>
      <c r="BN777" s="129">
        <f>IF(I777="","",IF(COUNTIF($I$3:I777,I777)+COUNTIF($J$2:J776,I777)+COUNTIF($K$2:K776,I777)=1,MAX($BN$2:BP776)+1,""))</f>
      </c>
      <c r="BO777" s="129">
        <f>IF(J777="","",IF(COUNTIF($I$3:I777,J777)+COUNTIF($J$3:J777,J777)+COUNTIF($K$2:K776,J777)=1,MAX($BN$2:BP776,BN777)+1,""))</f>
      </c>
      <c r="BP777" s="129">
        <f>IF(K777="","",IF(COUNTIF($I$3:I777,K777)+COUNTIF($J$3:J777,K777)+COUNTIF($K$3:K777,K777)=1,MAX($BN$2:BP776,BN777,BO777)+1,""))</f>
      </c>
      <c r="BQ777" s="129">
        <f>IF(AY777=1,IFERROR(MID(Q777,FIND(" (",Q777)+2,FIND(")",Q777,FIND(" (",Q777))-FIND(" (",Q777)-2),"?"),"")</f>
      </c>
      <c r="BR777" s="129">
        <f>IF(BQ777="","",IF(COUNTIF($BQ$3:BQ777,BQ777)=1,MAX($BR$2:BR776)+1,""))</f>
      </c>
      <c r="BS777" s="129">
        <f>IF(AW777="","",COUNTIF($AW$3:AW777,"?*"))</f>
      </c>
      <c r="BT777" s="129">
        <f>IF(OR(AW777="",AI777=""),"",IF(COUNTIFS($AW$3:AW777,"?*",$AI$3:AI777,AI777)=1,MAX($BT$2:BT776)+1,""))</f>
      </c>
      <c r="BU777" s="129">
        <f>IF(AE777="",0,IF(OR(ISNUMBER(SEARCH("дубль",AE777)),ISNUMBER(SEARCH("ПЕРЕГРУЗ",AE777)),ISNUMBER(SEARCH("ЗАЩИЩ",AE777)),ISNUMBER(SEARCH("КАНАЛ",AE777)),ISNUMBER(SEARCH("без 30",AE777))),2,1))</f>
      </c>
      <c r="BV777" s="129">
        <f>IF(R777="","",COUNTIF($R$3:R777,"?*"))</f>
      </c>
      <c r="BW777" s="129">
        <f>IF(AY777&lt;&gt;1,0,IF(MAX(IFERROR(--VLOOKUP(R777,УГО_спр,5,FALSE),0),IFERROR(--VLOOKUP(AL777,УГО_спр,5,FALSE),0),IFERROR(--VLOOKUP(LEFT(AL777,2),УГО_спр,5,FALSE),0))&gt;0,MAX(IFERROR(--VLOOKUP(R777,УГО_спр,5,FALSE),0),IFERROR(--VLOOKUP(AL777,УГО_спр,5,FALSE),0),IFERROR(--VLOOKUP(LEFT(AL777,2),УГО_спр,5,FALSE),0)),IF(IFERROR(--LEFT(SUBSTITUTE(BQ777,"x","х"),FIND("х",SUBSTITUTE(BQ777,"x","х"))-1),3)&gt;3,Каталог!$S$9,1)))</f>
      </c>
      <c r="BX777" s="129">
        <f>IF(AY777&lt;&gt;1,0,MAX(0,IFERROR(--LEFT(SUBSTITUTE(BQ777,"x","х"),FIND("х",SUBSTITUTE(BQ777,"x","х"))-1),3)-3*BW777))</f>
      </c>
      <c r="BY777" s="129">
        <f>IF(R777="","",IFERROR(VLOOKUP(R777,УГО_спр,2,FALSE),IFERROR(VLOOKUP(AL777,УГО_спр,2,FALSE),IFERROR(VLOOKUP(LEFT(AL777,2),УГО_спр,2,FALSE),""))))</f>
      </c>
    </row>
    <row r="778" spans="1:64" x14ac:dyDescent="0.3">
      <c r="A778" s="135">
        <f>IF(Разбивка_по_щитам!F778=0,"",Разбивка_по_щитам!F778)</f>
        <v/>
      </c>
      <c r="B778" s="138">
        <f>IF(A778="","",Разбивка_по_щитам!C778)</f>
        <v/>
      </c>
      <c r="C778" s="138">
        <f t="shared" si="502"/>
        <v/>
      </c>
      <c r="D778" s="266"/>
      <c r="E778" s="266"/>
      <c r="F778" s="267"/>
      <c r="G778" s="145">
        <f t="shared" si="503"/>
        <v/>
      </c>
      <c r="H778" s="145">
        <f t="shared" si="504"/>
        <v/>
      </c>
      <c r="I778" s="266"/>
      <c r="J778" s="267"/>
      <c r="K778" s="267"/>
      <c r="L778" s="266"/>
      <c r="M778" s="147">
        <f t="shared" si="505"/>
        <v/>
      </c>
      <c r="N778" s="267"/>
      <c r="O778" s="147">
        <f t="shared" si="506"/>
        <v/>
      </c>
      <c r="P778" s="268">
        <f>IF(AY778=1,"XT"&amp;COUNTIFS($A$3:A778,A778,$AY$3:AY778,1),"")</f>
        <v/>
      </c>
      <c r="Q778" s="152">
        <f>IF(R778="","",IFERROR(SUBSTITUTE(Разбивка_по_щитам!P778,CHAR(10)," "),""))</f>
        <v/>
      </c>
      <c r="R778" s="153">
        <f>IF(OR(Разбивка_по_щитам!H778="",Разбивка_по_щитам!H778=0),"",Разбивка_по_щитам!H778)</f>
        <v/>
      </c>
      <c r="S778" s="154">
        <f>IF(R778="","",IFERROR(Разбивка_по_щитам!J778&amp;"",""))</f>
        <v/>
      </c>
      <c r="T778" s="155">
        <f>IF(R778="","",IFERROR(--Разбивка_по_щитам!L778,""))</f>
        <v/>
      </c>
      <c r="U778" s="155">
        <f>IF(R778="","",IFERROR(--Разбивка_по_щитам!K778,""))</f>
        <v/>
      </c>
      <c r="V778" s="138">
        <f>IF(R778="","",IFERROR(IF(Разбивка_по_щитам!M778=0,"",Разбивка_по_щитам!M778),""))</f>
        <v/>
      </c>
      <c r="W778" s="156">
        <f t="shared" si="507"/>
        <v/>
      </c>
      <c r="X778" s="157">
        <f t="shared" si="508"/>
        <v/>
      </c>
      <c r="Y778" s="266"/>
      <c r="Z778" s="158">
        <f t="shared" si="509"/>
        <v/>
      </c>
      <c r="AA778" s="160">
        <f t="shared" si="510"/>
        <v/>
      </c>
      <c r="AB778" s="160">
        <f>IF(R778="","",IFERROR(LOOKUP(INDEX(Справочная!$I$4:$I$19,MATCH(VLOOKUP(R778,Исходные_данные,22,FALSE),Справочная!$J$4:$J$19,0)+1),{6,10,16,20,25,32,40,50,63,80,100,125}),""))</f>
        <v/>
      </c>
      <c r="AC778" s="160">
        <f t="shared" si="511"/>
        <v/>
      </c>
      <c r="AD778" s="161">
        <f t="shared" si="512"/>
        <v/>
      </c>
      <c r="AE778" s="161">
        <f>IF(AND(R778="",G778=""),"",_xlfn.TEXTJOIN("; ",TRUE,IF(AND(R778&lt;&gt;"",V778=""),"нет фазы",""),IF(AND(R778&lt;&gt;"",N(T778)=0),"нет мощности",""),IF(AND(P778&lt;&gt;"",COUNTIFS($A$3:$A$1000,A778,$P$3:$P$1000,P778)&gt;1),"дубль клеммы "&amp;P778,""),IF(AND(W778&lt;&gt;"",W778&lt;&gt;"ok"),W778,""),IF(X778&lt;&gt;"",X778,""),IF(AND(ISNUMBER(SEARCH("(5х",Q778)),N(AK778)=1),"5 жил на 1 фазе",""),IF(AND(AL778="R",E778&lt;&gt;"",N(AS778)=0),"розетка без 30 мА",""),IF(IFERROR(_xlfn.NUMBERVALUE(MID(Q778,FIND("-",Q778,FIND("L=",Q778))+1,FIND("%",Q778)-FIND("-",Q778,FIND("L=",Q778))-1),","),0)&gt;4,"потери &gt; 4 %","")))</f>
      </c>
      <c r="AF778" s="129">
        <f>IF(E778&lt;&gt;"",COUNTIFS($A$3:A778,A778,$E$3:E778,"?*"),IF(OR(A778&lt;&gt;A777,Y778="вручную"),"",AF777))</f>
        <v/>
      </c>
      <c r="AG778" s="129">
        <f t="shared" si="513"/>
        <v/>
      </c>
      <c r="AH778" s="129">
        <f t="shared" si="514"/>
        <v/>
      </c>
      <c r="AI778" s="129">
        <f t="shared" si="515"/>
        <v/>
      </c>
      <c r="AJ778" s="129">
        <f t="shared" si="516"/>
        <v/>
      </c>
      <c r="AK778" s="129">
        <f t="shared" si="517"/>
        <v/>
      </c>
      <c r="AL778" s="129">
        <f t="shared" si="518"/>
        <v/>
      </c>
      <c r="AM778" s="129">
        <f t="shared" si="519"/>
      </c>
      <c r="AN778" s="129">
        <f t="shared" si="520"/>
      </c>
      <c r="AO778" s="129">
        <f t="shared" si="521"/>
        <v/>
      </c>
      <c r="AP778" s="129">
        <f t="shared" si="522"/>
        <v/>
      </c>
      <c r="AQ778" s="129">
        <f t="shared" si="523"/>
        <v/>
      </c>
      <c r="AR778" s="129">
        <f t="shared" si="524"/>
        <v/>
      </c>
      <c r="AS778" s="129">
        <f t="shared" si="525"/>
        <v/>
      </c>
      <c r="AT778" s="129">
        <f t="shared" si="526"/>
        <v/>
      </c>
      <c r="AU778" s="129">
        <f t="shared" si="527"/>
        <v/>
      </c>
      <c r="AV778" s="129">
        <f t="shared" si="528"/>
        <v/>
      </c>
      <c r="AW778" s="129">
        <f>IF(AV778="","",AV778&amp;"."&amp;COUNTIFS($A$3:A778,A778,$AV$3:AV778,AV778))</f>
        <v/>
      </c>
      <c r="AX778" s="129">
        <f t="shared" si="529"/>
        <v/>
      </c>
      <c r="AY778" s="129">
        <f>IF(N778="б/к",0,IF(OR(ISNUMBER(SEARCH("L=",Разбивка_по_щитам!P778)),N778="+",N778="="),1,0))</f>
      </c>
      <c r="AZ778" s="129">
        <f t="shared" si="530"/>
        <v/>
      </c>
      <c r="BA778" s="129">
        <f t="shared" si="531"/>
      </c>
      <c r="BB778" s="129">
        <f t="shared" si="532"/>
      </c>
      <c r="BD778" s="129">
        <f t="shared" si="533"/>
      </c>
      <c r="BE778" s="129">
        <f t="shared" si="534"/>
      </c>
      <c r="BF778" s="129">
        <f t="shared" si="535"/>
      </c>
      <c r="BG778" s="129">
        <f t="shared" si="536"/>
        <v/>
      </c>
      <c r="BH778" s="129">
        <f t="shared" si="537"/>
        <v/>
      </c>
      <c r="BI778" s="129">
        <f t="shared" si="538"/>
        <v/>
      </c>
      <c r="BJ778" s="129">
        <f t="shared" si="539"/>
        <v/>
      </c>
      <c r="BK778" s="129">
        <f>IF(R778="","",IF(OR(BY778="",BY778=0),"BOX",IFERROR(IF(VLOOKUP(BY778,УГО_блоки,3,FALSE)&amp;""&lt;&gt;"",VLOOKUP(BY778,УГО_блоки,3,FALSE),VLOOKUP(BY778,УГО_блоки,2,FALSE)),BY778)))</f>
      </c>
      <c r="BL778" s="129">
        <f t="shared" si="541"/>
      </c>
      <c r="BM778" s="129">
        <f>IF(H778="","",IF(COUNTIF($H$3:H778,H778)=1,MAX($BM$2:BM777)+1,""))</f>
      </c>
      <c r="BN778" s="129">
        <f>IF(I778="","",IF(COUNTIF($I$3:I778,I778)+COUNTIF($J$2:J777,I778)+COUNTIF($K$2:K777,I778)=1,MAX($BN$2:BP777)+1,""))</f>
      </c>
      <c r="BO778" s="129">
        <f>IF(J778="","",IF(COUNTIF($I$3:I778,J778)+COUNTIF($J$3:J778,J778)+COUNTIF($K$2:K777,J778)=1,MAX($BN$2:BP777,BN778)+1,""))</f>
      </c>
      <c r="BP778" s="129">
        <f>IF(K778="","",IF(COUNTIF($I$3:I778,K778)+COUNTIF($J$3:J778,K778)+COUNTIF($K$3:K778,K778)=1,MAX($BN$2:BP777,BN778,BO778)+1,""))</f>
      </c>
      <c r="BQ778" s="129">
        <f>IF(AY778=1,IFERROR(MID(Q778,FIND(" (",Q778)+2,FIND(")",Q778,FIND(" (",Q778))-FIND(" (",Q778)-2),"?"),"")</f>
      </c>
      <c r="BR778" s="129">
        <f>IF(BQ778="","",IF(COUNTIF($BQ$3:BQ778,BQ778)=1,MAX($BR$2:BR777)+1,""))</f>
      </c>
      <c r="BS778" s="129">
        <f>IF(AW778="","",COUNTIF($AW$3:AW778,"?*"))</f>
      </c>
      <c r="BT778" s="129">
        <f>IF(OR(AW778="",AI778=""),"",IF(COUNTIFS($AW$3:AW778,"?*",$AI$3:AI778,AI778)=1,MAX($BT$2:BT777)+1,""))</f>
      </c>
      <c r="BU778" s="129">
        <f>IF(AE778="",0,IF(OR(ISNUMBER(SEARCH("дубль",AE778)),ISNUMBER(SEARCH("ПЕРЕГРУЗ",AE778)),ISNUMBER(SEARCH("ЗАЩИЩ",AE778)),ISNUMBER(SEARCH("КАНАЛ",AE778)),ISNUMBER(SEARCH("без 30",AE778))),2,1))</f>
      </c>
      <c r="BV778" s="129">
        <f>IF(R778="","",COUNTIF($R$3:R778,"?*"))</f>
      </c>
      <c r="BW778" s="129">
        <f>IF(AY778&lt;&gt;1,0,IF(MAX(IFERROR(--VLOOKUP(R778,УГО_спр,5,FALSE),0),IFERROR(--VLOOKUP(AL778,УГО_спр,5,FALSE),0),IFERROR(--VLOOKUP(LEFT(AL778,2),УГО_спр,5,FALSE),0))&gt;0,MAX(IFERROR(--VLOOKUP(R778,УГО_спр,5,FALSE),0),IFERROR(--VLOOKUP(AL778,УГО_спр,5,FALSE),0),IFERROR(--VLOOKUP(LEFT(AL778,2),УГО_спр,5,FALSE),0)),IF(IFERROR(--LEFT(SUBSTITUTE(BQ778,"x","х"),FIND("х",SUBSTITUTE(BQ778,"x","х"))-1),3)&gt;3,Каталог!$S$9,1)))</f>
      </c>
      <c r="BX778" s="129">
        <f>IF(AY778&lt;&gt;1,0,MAX(0,IFERROR(--LEFT(SUBSTITUTE(BQ778,"x","х"),FIND("х",SUBSTITUTE(BQ778,"x","х"))-1),3)-3*BW778))</f>
      </c>
      <c r="BY778" s="129">
        <f>IF(R778="","",IFERROR(VLOOKUP(R778,УГО_спр,2,FALSE),IFERROR(VLOOKUP(AL778,УГО_спр,2,FALSE),IFERROR(VLOOKUP(LEFT(AL778,2),УГО_спр,2,FALSE),""))))</f>
      </c>
    </row>
    <row r="779" spans="1:64" x14ac:dyDescent="0.3">
      <c r="A779" s="135">
        <f>IF(Разбивка_по_щитам!F779=0,"",Разбивка_по_щитам!F779)</f>
        <v/>
      </c>
      <c r="B779" s="138">
        <f>IF(A779="","",Разбивка_по_щитам!C779)</f>
        <v/>
      </c>
      <c r="C779" s="138">
        <f t="shared" si="502"/>
        <v/>
      </c>
      <c r="D779" s="266"/>
      <c r="E779" s="266"/>
      <c r="F779" s="267"/>
      <c r="G779" s="145">
        <f t="shared" si="503"/>
        <v/>
      </c>
      <c r="H779" s="145">
        <f t="shared" si="504"/>
        <v/>
      </c>
      <c r="I779" s="266"/>
      <c r="J779" s="267"/>
      <c r="K779" s="267"/>
      <c r="L779" s="266"/>
      <c r="M779" s="147">
        <f t="shared" si="505"/>
        <v/>
      </c>
      <c r="N779" s="267"/>
      <c r="O779" s="147">
        <f t="shared" si="506"/>
        <v/>
      </c>
      <c r="P779" s="268">
        <f>IF(AY779=1,"XT"&amp;COUNTIFS($A$3:A779,A779,$AY$3:AY779,1),"")</f>
        <v/>
      </c>
      <c r="Q779" s="152">
        <f>IF(R779="","",IFERROR(SUBSTITUTE(Разбивка_по_щитам!P779,CHAR(10)," "),""))</f>
        <v/>
      </c>
      <c r="R779" s="153">
        <f>IF(OR(Разбивка_по_щитам!H779="",Разбивка_по_щитам!H779=0),"",Разбивка_по_щитам!H779)</f>
        <v/>
      </c>
      <c r="S779" s="154">
        <f>IF(R779="","",IFERROR(Разбивка_по_щитам!J779&amp;"",""))</f>
        <v/>
      </c>
      <c r="T779" s="155">
        <f>IF(R779="","",IFERROR(--Разбивка_по_щитам!L779,""))</f>
        <v/>
      </c>
      <c r="U779" s="155">
        <f>IF(R779="","",IFERROR(--Разбивка_по_щитам!K779,""))</f>
        <v/>
      </c>
      <c r="V779" s="138">
        <f>IF(R779="","",IFERROR(IF(Разбивка_по_щитам!M779=0,"",Разбивка_по_щитам!M779),""))</f>
        <v/>
      </c>
      <c r="W779" s="156">
        <f t="shared" si="507"/>
        <v/>
      </c>
      <c r="X779" s="157">
        <f t="shared" si="508"/>
        <v/>
      </c>
      <c r="Y779" s="266"/>
      <c r="Z779" s="158">
        <f t="shared" si="509"/>
        <v/>
      </c>
      <c r="AA779" s="160">
        <f t="shared" si="510"/>
        <v/>
      </c>
      <c r="AB779" s="160">
        <f>IF(R779="","",IFERROR(LOOKUP(INDEX(Справочная!$I$4:$I$19,MATCH(VLOOKUP(R779,Исходные_данные,22,FALSE),Справочная!$J$4:$J$19,0)+1),{6,10,16,20,25,32,40,50,63,80,100,125}),""))</f>
        <v/>
      </c>
      <c r="AC779" s="160">
        <f t="shared" si="511"/>
        <v/>
      </c>
      <c r="AD779" s="161">
        <f t="shared" si="512"/>
        <v/>
      </c>
      <c r="AE779" s="161">
        <f>IF(AND(R779="",G779=""),"",_xlfn.TEXTJOIN("; ",TRUE,IF(AND(R779&lt;&gt;"",V779=""),"нет фазы",""),IF(AND(R779&lt;&gt;"",N(T779)=0),"нет мощности",""),IF(AND(P779&lt;&gt;"",COUNTIFS($A$3:$A$1000,A779,$P$3:$P$1000,P779)&gt;1),"дубль клеммы "&amp;P779,""),IF(AND(W779&lt;&gt;"",W779&lt;&gt;"ok"),W779,""),IF(X779&lt;&gt;"",X779,""),IF(AND(ISNUMBER(SEARCH("(5х",Q779)),N(AK779)=1),"5 жил на 1 фазе",""),IF(AND(AL779="R",E779&lt;&gt;"",N(AS779)=0),"розетка без 30 мА",""),IF(IFERROR(_xlfn.NUMBERVALUE(MID(Q779,FIND("-",Q779,FIND("L=",Q779))+1,FIND("%",Q779)-FIND("-",Q779,FIND("L=",Q779))-1),","),0)&gt;4,"потери &gt; 4 %","")))</f>
      </c>
      <c r="AF779" s="129">
        <f>IF(E779&lt;&gt;"",COUNTIFS($A$3:A779,A779,$E$3:E779,"?*"),IF(OR(A779&lt;&gt;A778,Y779="вручную"),"",AF778))</f>
        <v/>
      </c>
      <c r="AG779" s="129">
        <f t="shared" si="513"/>
        <v/>
      </c>
      <c r="AH779" s="129">
        <f t="shared" si="514"/>
        <v/>
      </c>
      <c r="AI779" s="129">
        <f t="shared" si="515"/>
        <v/>
      </c>
      <c r="AJ779" s="129">
        <f t="shared" si="516"/>
        <v/>
      </c>
      <c r="AK779" s="129">
        <f t="shared" si="517"/>
        <v/>
      </c>
      <c r="AL779" s="129">
        <f t="shared" si="518"/>
        <v/>
      </c>
      <c r="AM779" s="129">
        <f t="shared" si="519"/>
      </c>
      <c r="AN779" s="129">
        <f t="shared" si="520"/>
      </c>
      <c r="AO779" s="129">
        <f t="shared" si="521"/>
        <v/>
      </c>
      <c r="AP779" s="129">
        <f t="shared" si="522"/>
        <v/>
      </c>
      <c r="AQ779" s="129">
        <f t="shared" si="523"/>
        <v/>
      </c>
      <c r="AR779" s="129">
        <f t="shared" si="524"/>
        <v/>
      </c>
      <c r="AS779" s="129">
        <f t="shared" si="525"/>
        <v/>
      </c>
      <c r="AT779" s="129">
        <f t="shared" si="526"/>
        <v/>
      </c>
      <c r="AU779" s="129">
        <f t="shared" si="527"/>
        <v/>
      </c>
      <c r="AV779" s="129">
        <f t="shared" si="528"/>
        <v/>
      </c>
      <c r="AW779" s="129">
        <f>IF(AV779="","",AV779&amp;"."&amp;COUNTIFS($A$3:A779,A779,$AV$3:AV779,AV779))</f>
        <v/>
      </c>
      <c r="AX779" s="129">
        <f t="shared" si="529"/>
        <v/>
      </c>
      <c r="AY779" s="129">
        <f>IF(N779="б/к",0,IF(OR(ISNUMBER(SEARCH("L=",Разбивка_по_щитам!P779)),N779="+",N779="="),1,0))</f>
      </c>
      <c r="AZ779" s="129">
        <f t="shared" si="530"/>
        <v/>
      </c>
      <c r="BA779" s="129">
        <f t="shared" si="531"/>
      </c>
      <c r="BB779" s="129">
        <f t="shared" si="532"/>
      </c>
      <c r="BD779" s="129">
        <f t="shared" si="533"/>
      </c>
      <c r="BE779" s="129">
        <f t="shared" si="534"/>
      </c>
      <c r="BF779" s="129">
        <f t="shared" si="535"/>
      </c>
      <c r="BG779" s="129">
        <f t="shared" si="536"/>
        <v/>
      </c>
      <c r="BH779" s="129">
        <f t="shared" si="537"/>
        <v/>
      </c>
      <c r="BI779" s="129">
        <f t="shared" si="538"/>
        <v/>
      </c>
      <c r="BJ779" s="129">
        <f t="shared" si="539"/>
        <v/>
      </c>
      <c r="BK779" s="129">
        <f>IF(R779="","",IF(OR(BY779="",BY779=0),"BOX",IFERROR(IF(VLOOKUP(BY779,УГО_блоки,3,FALSE)&amp;""&lt;&gt;"",VLOOKUP(BY779,УГО_блоки,3,FALSE),VLOOKUP(BY779,УГО_блоки,2,FALSE)),BY779)))</f>
      </c>
      <c r="BL779" s="129">
        <f t="shared" si="541"/>
      </c>
      <c r="BM779" s="129">
        <f>IF(H779="","",IF(COUNTIF($H$3:H779,H779)=1,MAX($BM$2:BM778)+1,""))</f>
      </c>
      <c r="BN779" s="129">
        <f>IF(I779="","",IF(COUNTIF($I$3:I779,I779)+COUNTIF($J$2:J778,I779)+COUNTIF($K$2:K778,I779)=1,MAX($BN$2:BP778)+1,""))</f>
      </c>
      <c r="BO779" s="129">
        <f>IF(J779="","",IF(COUNTIF($I$3:I779,J779)+COUNTIF($J$3:J779,J779)+COUNTIF($K$2:K778,J779)=1,MAX($BN$2:BP778,BN779)+1,""))</f>
      </c>
      <c r="BP779" s="129">
        <f>IF(K779="","",IF(COUNTIF($I$3:I779,K779)+COUNTIF($J$3:J779,K779)+COUNTIF($K$3:K779,K779)=1,MAX($BN$2:BP778,BN779,BO779)+1,""))</f>
      </c>
      <c r="BQ779" s="129">
        <f>IF(AY779=1,IFERROR(MID(Q779,FIND(" (",Q779)+2,FIND(")",Q779,FIND(" (",Q779))-FIND(" (",Q779)-2),"?"),"")</f>
      </c>
      <c r="BR779" s="129">
        <f>IF(BQ779="","",IF(COUNTIF($BQ$3:BQ779,BQ779)=1,MAX($BR$2:BR778)+1,""))</f>
      </c>
      <c r="BS779" s="129">
        <f>IF(AW779="","",COUNTIF($AW$3:AW779,"?*"))</f>
      </c>
      <c r="BT779" s="129">
        <f>IF(OR(AW779="",AI779=""),"",IF(COUNTIFS($AW$3:AW779,"?*",$AI$3:AI779,AI779)=1,MAX($BT$2:BT778)+1,""))</f>
      </c>
      <c r="BU779" s="129">
        <f>IF(AE779="",0,IF(OR(ISNUMBER(SEARCH("дубль",AE779)),ISNUMBER(SEARCH("ПЕРЕГРУЗ",AE779)),ISNUMBER(SEARCH("ЗАЩИЩ",AE779)),ISNUMBER(SEARCH("КАНАЛ",AE779)),ISNUMBER(SEARCH("без 30",AE779))),2,1))</f>
      </c>
      <c r="BV779" s="129">
        <f>IF(R779="","",COUNTIF($R$3:R779,"?*"))</f>
      </c>
      <c r="BW779" s="129">
        <f>IF(AY779&lt;&gt;1,0,IF(MAX(IFERROR(--VLOOKUP(R779,УГО_спр,5,FALSE),0),IFERROR(--VLOOKUP(AL779,УГО_спр,5,FALSE),0),IFERROR(--VLOOKUP(LEFT(AL779,2),УГО_спр,5,FALSE),0))&gt;0,MAX(IFERROR(--VLOOKUP(R779,УГО_спр,5,FALSE),0),IFERROR(--VLOOKUP(AL779,УГО_спр,5,FALSE),0),IFERROR(--VLOOKUP(LEFT(AL779,2),УГО_спр,5,FALSE),0)),IF(IFERROR(--LEFT(SUBSTITUTE(BQ779,"x","х"),FIND("х",SUBSTITUTE(BQ779,"x","х"))-1),3)&gt;3,Каталог!$S$9,1)))</f>
      </c>
      <c r="BX779" s="129">
        <f>IF(AY779&lt;&gt;1,0,MAX(0,IFERROR(--LEFT(SUBSTITUTE(BQ779,"x","х"),FIND("х",SUBSTITUTE(BQ779,"x","х"))-1),3)-3*BW779))</f>
      </c>
      <c r="BY779" s="129">
        <f>IF(R779="","",IFERROR(VLOOKUP(R779,УГО_спр,2,FALSE),IFERROR(VLOOKUP(AL779,УГО_спр,2,FALSE),IFERROR(VLOOKUP(LEFT(AL779,2),УГО_спр,2,FALSE),""))))</f>
      </c>
    </row>
    <row r="780" spans="1:64" x14ac:dyDescent="0.3">
      <c r="A780" s="135">
        <f>IF(Разбивка_по_щитам!F780=0,"",Разбивка_по_щитам!F780)</f>
        <v/>
      </c>
      <c r="B780" s="138">
        <f>IF(A780="","",Разбивка_по_щитам!C780)</f>
        <v/>
      </c>
      <c r="C780" s="138">
        <f t="shared" si="502"/>
        <v/>
      </c>
      <c r="D780" s="266"/>
      <c r="E780" s="266"/>
      <c r="F780" s="267"/>
      <c r="G780" s="145">
        <f t="shared" si="503"/>
        <v/>
      </c>
      <c r="H780" s="145">
        <f t="shared" si="504"/>
        <v/>
      </c>
      <c r="I780" s="266"/>
      <c r="J780" s="267"/>
      <c r="K780" s="267"/>
      <c r="L780" s="266"/>
      <c r="M780" s="147">
        <f t="shared" si="505"/>
        <v/>
      </c>
      <c r="N780" s="267"/>
      <c r="O780" s="147">
        <f t="shared" si="506"/>
        <v/>
      </c>
      <c r="P780" s="268">
        <f>IF(AY780=1,"XT"&amp;COUNTIFS($A$3:A780,A780,$AY$3:AY780,1),"")</f>
        <v/>
      </c>
      <c r="Q780" s="152">
        <f>IF(R780="","",IFERROR(SUBSTITUTE(Разбивка_по_щитам!P780,CHAR(10)," "),""))</f>
        <v/>
      </c>
      <c r="R780" s="153">
        <f>IF(OR(Разбивка_по_щитам!H780="",Разбивка_по_щитам!H780=0),"",Разбивка_по_щитам!H780)</f>
        <v/>
      </c>
      <c r="S780" s="154">
        <f>IF(R780="","",IFERROR(Разбивка_по_щитам!J780&amp;"",""))</f>
        <v/>
      </c>
      <c r="T780" s="155">
        <f>IF(R780="","",IFERROR(--Разбивка_по_щитам!L780,""))</f>
        <v/>
      </c>
      <c r="U780" s="155">
        <f>IF(R780="","",IFERROR(--Разбивка_по_щитам!K780,""))</f>
        <v/>
      </c>
      <c r="V780" s="138">
        <f>IF(R780="","",IFERROR(IF(Разбивка_по_щитам!M780=0,"",Разбивка_по_щитам!M780),""))</f>
        <v/>
      </c>
      <c r="W780" s="156">
        <f t="shared" si="507"/>
        <v/>
      </c>
      <c r="X780" s="157">
        <f t="shared" si="508"/>
        <v/>
      </c>
      <c r="Y780" s="266"/>
      <c r="Z780" s="158">
        <f t="shared" si="509"/>
        <v/>
      </c>
      <c r="AA780" s="160">
        <f t="shared" si="510"/>
        <v/>
      </c>
      <c r="AB780" s="160">
        <f>IF(R780="","",IFERROR(LOOKUP(INDEX(Справочная!$I$4:$I$19,MATCH(VLOOKUP(R780,Исходные_данные,22,FALSE),Справочная!$J$4:$J$19,0)+1),{6,10,16,20,25,32,40,50,63,80,100,125}),""))</f>
        <v/>
      </c>
      <c r="AC780" s="160">
        <f t="shared" si="511"/>
        <v/>
      </c>
      <c r="AD780" s="161">
        <f t="shared" si="512"/>
        <v/>
      </c>
      <c r="AE780" s="161">
        <f>IF(AND(R780="",G780=""),"",_xlfn.TEXTJOIN("; ",TRUE,IF(AND(R780&lt;&gt;"",V780=""),"нет фазы",""),IF(AND(R780&lt;&gt;"",N(T780)=0),"нет мощности",""),IF(AND(P780&lt;&gt;"",COUNTIFS($A$3:$A$1000,A780,$P$3:$P$1000,P780)&gt;1),"дубль клеммы "&amp;P780,""),IF(AND(W780&lt;&gt;"",W780&lt;&gt;"ok"),W780,""),IF(X780&lt;&gt;"",X780,""),IF(AND(ISNUMBER(SEARCH("(5х",Q780)),N(AK780)=1),"5 жил на 1 фазе",""),IF(AND(AL780="R",E780&lt;&gt;"",N(AS780)=0),"розетка без 30 мА",""),IF(IFERROR(_xlfn.NUMBERVALUE(MID(Q780,FIND("-",Q780,FIND("L=",Q780))+1,FIND("%",Q780)-FIND("-",Q780,FIND("L=",Q780))-1),","),0)&gt;4,"потери &gt; 4 %","")))</f>
      </c>
      <c r="AF780" s="129">
        <f>IF(E780&lt;&gt;"",COUNTIFS($A$3:A780,A780,$E$3:E780,"?*"),IF(OR(A780&lt;&gt;A779,Y780="вручную"),"",AF779))</f>
        <v/>
      </c>
      <c r="AG780" s="129">
        <f t="shared" si="513"/>
        <v/>
      </c>
      <c r="AH780" s="129">
        <f t="shared" si="514"/>
        <v/>
      </c>
      <c r="AI780" s="129">
        <f t="shared" si="515"/>
        <v/>
      </c>
      <c r="AJ780" s="129">
        <f t="shared" si="516"/>
        <v/>
      </c>
      <c r="AK780" s="129">
        <f t="shared" si="517"/>
        <v/>
      </c>
      <c r="AL780" s="129">
        <f t="shared" si="518"/>
        <v/>
      </c>
      <c r="AM780" s="129">
        <f t="shared" si="519"/>
      </c>
      <c r="AN780" s="129">
        <f t="shared" si="520"/>
      </c>
      <c r="AO780" s="129">
        <f t="shared" si="521"/>
        <v/>
      </c>
      <c r="AP780" s="129">
        <f t="shared" si="522"/>
        <v/>
      </c>
      <c r="AQ780" s="129">
        <f t="shared" si="523"/>
        <v/>
      </c>
      <c r="AR780" s="129">
        <f t="shared" si="524"/>
        <v/>
      </c>
      <c r="AS780" s="129">
        <f t="shared" si="525"/>
        <v/>
      </c>
      <c r="AT780" s="129">
        <f t="shared" si="526"/>
        <v/>
      </c>
      <c r="AU780" s="129">
        <f t="shared" si="527"/>
        <v/>
      </c>
      <c r="AV780" s="129">
        <f t="shared" si="528"/>
        <v/>
      </c>
      <c r="AW780" s="129">
        <f>IF(AV780="","",AV780&amp;"."&amp;COUNTIFS($A$3:A780,A780,$AV$3:AV780,AV780))</f>
        <v/>
      </c>
      <c r="AX780" s="129">
        <f t="shared" si="529"/>
        <v/>
      </c>
      <c r="AY780" s="129">
        <f>IF(N780="б/к",0,IF(OR(ISNUMBER(SEARCH("L=",Разбивка_по_щитам!P780)),N780="+",N780="="),1,0))</f>
      </c>
      <c r="AZ780" s="129">
        <f t="shared" si="530"/>
        <v/>
      </c>
      <c r="BA780" s="129">
        <f t="shared" si="531"/>
      </c>
      <c r="BB780" s="129">
        <f t="shared" si="532"/>
      </c>
      <c r="BD780" s="129">
        <f t="shared" si="533"/>
      </c>
      <c r="BE780" s="129">
        <f t="shared" si="534"/>
      </c>
      <c r="BF780" s="129">
        <f t="shared" si="535"/>
      </c>
      <c r="BG780" s="129">
        <f t="shared" si="536"/>
        <v/>
      </c>
      <c r="BH780" s="129">
        <f t="shared" si="537"/>
        <v/>
      </c>
      <c r="BI780" s="129">
        <f t="shared" si="538"/>
        <v/>
      </c>
      <c r="BJ780" s="129">
        <f t="shared" si="539"/>
        <v/>
      </c>
      <c r="BK780" s="129">
        <f>IF(R780="","",IF(OR(BY780="",BY780=0),"BOX",IFERROR(IF(VLOOKUP(BY780,УГО_блоки,3,FALSE)&amp;""&lt;&gt;"",VLOOKUP(BY780,УГО_блоки,3,FALSE),VLOOKUP(BY780,УГО_блоки,2,FALSE)),BY780)))</f>
      </c>
      <c r="BL780" s="129">
        <f t="shared" si="541"/>
      </c>
      <c r="BM780" s="129">
        <f>IF(H780="","",IF(COUNTIF($H$3:H780,H780)=1,MAX($BM$2:BM779)+1,""))</f>
      </c>
      <c r="BN780" s="129">
        <f>IF(I780="","",IF(COUNTIF($I$3:I780,I780)+COUNTIF($J$2:J779,I780)+COUNTIF($K$2:K779,I780)=1,MAX($BN$2:BP779)+1,""))</f>
      </c>
      <c r="BO780" s="129">
        <f>IF(J780="","",IF(COUNTIF($I$3:I780,J780)+COUNTIF($J$3:J780,J780)+COUNTIF($K$2:K779,J780)=1,MAX($BN$2:BP779,BN780)+1,""))</f>
      </c>
      <c r="BP780" s="129">
        <f>IF(K780="","",IF(COUNTIF($I$3:I780,K780)+COUNTIF($J$3:J780,K780)+COUNTIF($K$3:K780,K780)=1,MAX($BN$2:BP779,BN780,BO780)+1,""))</f>
      </c>
      <c r="BQ780" s="129">
        <f>IF(AY780=1,IFERROR(MID(Q780,FIND(" (",Q780)+2,FIND(")",Q780,FIND(" (",Q780))-FIND(" (",Q780)-2),"?"),"")</f>
      </c>
      <c r="BR780" s="129">
        <f>IF(BQ780="","",IF(COUNTIF($BQ$3:BQ780,BQ780)=1,MAX($BR$2:BR779)+1,""))</f>
      </c>
      <c r="BS780" s="129">
        <f>IF(AW780="","",COUNTIF($AW$3:AW780,"?*"))</f>
      </c>
      <c r="BT780" s="129">
        <f>IF(OR(AW780="",AI780=""),"",IF(COUNTIFS($AW$3:AW780,"?*",$AI$3:AI780,AI780)=1,MAX($BT$2:BT779)+1,""))</f>
      </c>
      <c r="BU780" s="129">
        <f>IF(AE780="",0,IF(OR(ISNUMBER(SEARCH("дубль",AE780)),ISNUMBER(SEARCH("ПЕРЕГРУЗ",AE780)),ISNUMBER(SEARCH("ЗАЩИЩ",AE780)),ISNUMBER(SEARCH("КАНАЛ",AE780)),ISNUMBER(SEARCH("без 30",AE780))),2,1))</f>
      </c>
      <c r="BV780" s="129">
        <f>IF(R780="","",COUNTIF($R$3:R780,"?*"))</f>
      </c>
      <c r="BW780" s="129">
        <f>IF(AY780&lt;&gt;1,0,IF(MAX(IFERROR(--VLOOKUP(R780,УГО_спр,5,FALSE),0),IFERROR(--VLOOKUP(AL780,УГО_спр,5,FALSE),0),IFERROR(--VLOOKUP(LEFT(AL780,2),УГО_спр,5,FALSE),0))&gt;0,MAX(IFERROR(--VLOOKUP(R780,УГО_спр,5,FALSE),0),IFERROR(--VLOOKUP(AL780,УГО_спр,5,FALSE),0),IFERROR(--VLOOKUP(LEFT(AL780,2),УГО_спр,5,FALSE),0)),IF(IFERROR(--LEFT(SUBSTITUTE(BQ780,"x","х"),FIND("х",SUBSTITUTE(BQ780,"x","х"))-1),3)&gt;3,Каталог!$S$9,1)))</f>
      </c>
      <c r="BX780" s="129">
        <f>IF(AY780&lt;&gt;1,0,MAX(0,IFERROR(--LEFT(SUBSTITUTE(BQ780,"x","х"),FIND("х",SUBSTITUTE(BQ780,"x","х"))-1),3)-3*BW780))</f>
      </c>
      <c r="BY780" s="129">
        <f>IF(R780="","",IFERROR(VLOOKUP(R780,УГО_спр,2,FALSE),IFERROR(VLOOKUP(AL780,УГО_спр,2,FALSE),IFERROR(VLOOKUP(LEFT(AL780,2),УГО_спр,2,FALSE),""))))</f>
      </c>
    </row>
    <row r="781" spans="1:64" x14ac:dyDescent="0.3">
      <c r="A781" s="135">
        <f>IF(Разбивка_по_щитам!F781=0,"",Разбивка_по_щитам!F781)</f>
        <v/>
      </c>
      <c r="B781" s="138">
        <f>IF(A781="","",Разбивка_по_щитам!C781)</f>
        <v/>
      </c>
      <c r="C781" s="138">
        <f t="shared" si="502"/>
        <v/>
      </c>
      <c r="D781" s="266"/>
      <c r="E781" s="266"/>
      <c r="F781" s="267"/>
      <c r="G781" s="145">
        <f t="shared" si="503"/>
        <v/>
      </c>
      <c r="H781" s="145">
        <f t="shared" si="504"/>
        <v/>
      </c>
      <c r="I781" s="266"/>
      <c r="J781" s="267"/>
      <c r="K781" s="267"/>
      <c r="L781" s="266"/>
      <c r="M781" s="147">
        <f t="shared" si="505"/>
        <v/>
      </c>
      <c r="N781" s="267"/>
      <c r="O781" s="147">
        <f t="shared" si="506"/>
        <v/>
      </c>
      <c r="P781" s="268">
        <f>IF(AY781=1,"XT"&amp;COUNTIFS($A$3:A781,A781,$AY$3:AY781,1),"")</f>
        <v/>
      </c>
      <c r="Q781" s="152">
        <f>IF(R781="","",IFERROR(SUBSTITUTE(Разбивка_по_щитам!P781,CHAR(10)," "),""))</f>
        <v/>
      </c>
      <c r="R781" s="153">
        <f>IF(OR(Разбивка_по_щитам!H781="",Разбивка_по_щитам!H781=0),"",Разбивка_по_щитам!H781)</f>
        <v/>
      </c>
      <c r="S781" s="154">
        <f>IF(R781="","",IFERROR(Разбивка_по_щитам!J781&amp;"",""))</f>
        <v/>
      </c>
      <c r="T781" s="155">
        <f>IF(R781="","",IFERROR(--Разбивка_по_щитам!L781,""))</f>
        <v/>
      </c>
      <c r="U781" s="155">
        <f>IF(R781="","",IFERROR(--Разбивка_по_щитам!K781,""))</f>
        <v/>
      </c>
      <c r="V781" s="138">
        <f>IF(R781="","",IFERROR(IF(Разбивка_по_щитам!M781=0,"",Разбивка_по_щитам!M781),""))</f>
        <v/>
      </c>
      <c r="W781" s="156">
        <f t="shared" si="507"/>
        <v/>
      </c>
      <c r="X781" s="157">
        <f t="shared" si="508"/>
        <v/>
      </c>
      <c r="Y781" s="266"/>
      <c r="Z781" s="158">
        <f t="shared" si="509"/>
        <v/>
      </c>
      <c r="AA781" s="160">
        <f t="shared" si="510"/>
        <v/>
      </c>
      <c r="AB781" s="160">
        <f>IF(R781="","",IFERROR(LOOKUP(INDEX(Справочная!$I$4:$I$19,MATCH(VLOOKUP(R781,Исходные_данные,22,FALSE),Справочная!$J$4:$J$19,0)+1),{6,10,16,20,25,32,40,50,63,80,100,125}),""))</f>
        <v/>
      </c>
      <c r="AC781" s="160">
        <f t="shared" si="511"/>
        <v/>
      </c>
      <c r="AD781" s="161">
        <f t="shared" si="512"/>
        <v/>
      </c>
      <c r="AE781" s="161">
        <f>IF(AND(R781="",G781=""),"",_xlfn.TEXTJOIN("; ",TRUE,IF(AND(R781&lt;&gt;"",V781=""),"нет фазы",""),IF(AND(R781&lt;&gt;"",N(T781)=0),"нет мощности",""),IF(AND(P781&lt;&gt;"",COUNTIFS($A$3:$A$1000,A781,$P$3:$P$1000,P781)&gt;1),"дубль клеммы "&amp;P781,""),IF(AND(W781&lt;&gt;"",W781&lt;&gt;"ok"),W781,""),IF(X781&lt;&gt;"",X781,""),IF(AND(ISNUMBER(SEARCH("(5х",Q781)),N(AK781)=1),"5 жил на 1 фазе",""),IF(AND(AL781="R",E781&lt;&gt;"",N(AS781)=0),"розетка без 30 мА",""),IF(IFERROR(_xlfn.NUMBERVALUE(MID(Q781,FIND("-",Q781,FIND("L=",Q781))+1,FIND("%",Q781)-FIND("-",Q781,FIND("L=",Q781))-1),","),0)&gt;4,"потери &gt; 4 %","")))</f>
      </c>
      <c r="AF781" s="129">
        <f>IF(E781&lt;&gt;"",COUNTIFS($A$3:A781,A781,$E$3:E781,"?*"),IF(OR(A781&lt;&gt;A780,Y781="вручную"),"",AF780))</f>
        <v/>
      </c>
      <c r="AG781" s="129">
        <f t="shared" si="513"/>
        <v/>
      </c>
      <c r="AH781" s="129">
        <f t="shared" si="514"/>
        <v/>
      </c>
      <c r="AI781" s="129">
        <f t="shared" si="515"/>
        <v/>
      </c>
      <c r="AJ781" s="129">
        <f t="shared" si="516"/>
        <v/>
      </c>
      <c r="AK781" s="129">
        <f t="shared" si="517"/>
        <v/>
      </c>
      <c r="AL781" s="129">
        <f t="shared" si="518"/>
        <v/>
      </c>
      <c r="AM781" s="129">
        <f t="shared" si="519"/>
      </c>
      <c r="AN781" s="129">
        <f t="shared" si="520"/>
      </c>
      <c r="AO781" s="129">
        <f t="shared" si="521"/>
        <v/>
      </c>
      <c r="AP781" s="129">
        <f t="shared" si="522"/>
        <v/>
      </c>
      <c r="AQ781" s="129">
        <f t="shared" si="523"/>
        <v/>
      </c>
      <c r="AR781" s="129">
        <f t="shared" si="524"/>
        <v/>
      </c>
      <c r="AS781" s="129">
        <f t="shared" si="525"/>
        <v/>
      </c>
      <c r="AT781" s="129">
        <f t="shared" si="526"/>
        <v/>
      </c>
      <c r="AU781" s="129">
        <f t="shared" si="527"/>
        <v/>
      </c>
      <c r="AV781" s="129">
        <f t="shared" si="528"/>
        <v/>
      </c>
      <c r="AW781" s="129">
        <f>IF(AV781="","",AV781&amp;"."&amp;COUNTIFS($A$3:A781,A781,$AV$3:AV781,AV781))</f>
        <v/>
      </c>
      <c r="AX781" s="129">
        <f t="shared" si="529"/>
        <v/>
      </c>
      <c r="AY781" s="129">
        <f>IF(N781="б/к",0,IF(OR(ISNUMBER(SEARCH("L=",Разбивка_по_щитам!P781)),N781="+",N781="="),1,0))</f>
      </c>
      <c r="AZ781" s="129">
        <f t="shared" si="530"/>
        <v/>
      </c>
      <c r="BA781" s="129">
        <f t="shared" si="531"/>
      </c>
      <c r="BB781" s="129">
        <f t="shared" si="532"/>
      </c>
      <c r="BD781" s="129">
        <f t="shared" si="533"/>
      </c>
      <c r="BE781" s="129">
        <f t="shared" si="534"/>
      </c>
      <c r="BF781" s="129">
        <f t="shared" si="535"/>
      </c>
      <c r="BG781" s="129">
        <f t="shared" si="536"/>
        <v/>
      </c>
      <c r="BH781" s="129">
        <f t="shared" si="537"/>
        <v/>
      </c>
      <c r="BI781" s="129">
        <f t="shared" si="538"/>
        <v/>
      </c>
      <c r="BJ781" s="129">
        <f t="shared" si="539"/>
        <v/>
      </c>
      <c r="BK781" s="129">
        <f>IF(R781="","",IF(OR(BY781="",BY781=0),"BOX",IFERROR(IF(VLOOKUP(BY781,УГО_блоки,3,FALSE)&amp;""&lt;&gt;"",VLOOKUP(BY781,УГО_блоки,3,FALSE),VLOOKUP(BY781,УГО_блоки,2,FALSE)),BY781)))</f>
      </c>
      <c r="BL781" s="129">
        <f t="shared" si="541"/>
      </c>
      <c r="BM781" s="129">
        <f>IF(H781="","",IF(COUNTIF($H$3:H781,H781)=1,MAX($BM$2:BM780)+1,""))</f>
      </c>
      <c r="BN781" s="129">
        <f>IF(I781="","",IF(COUNTIF($I$3:I781,I781)+COUNTIF($J$2:J780,I781)+COUNTIF($K$2:K780,I781)=1,MAX($BN$2:BP780)+1,""))</f>
      </c>
      <c r="BO781" s="129">
        <f>IF(J781="","",IF(COUNTIF($I$3:I781,J781)+COUNTIF($J$3:J781,J781)+COUNTIF($K$2:K780,J781)=1,MAX($BN$2:BP780,BN781)+1,""))</f>
      </c>
      <c r="BP781" s="129">
        <f>IF(K781="","",IF(COUNTIF($I$3:I781,K781)+COUNTIF($J$3:J781,K781)+COUNTIF($K$3:K781,K781)=1,MAX($BN$2:BP780,BN781,BO781)+1,""))</f>
      </c>
      <c r="BQ781" s="129">
        <f>IF(AY781=1,IFERROR(MID(Q781,FIND(" (",Q781)+2,FIND(")",Q781,FIND(" (",Q781))-FIND(" (",Q781)-2),"?"),"")</f>
      </c>
      <c r="BR781" s="129">
        <f>IF(BQ781="","",IF(COUNTIF($BQ$3:BQ781,BQ781)=1,MAX($BR$2:BR780)+1,""))</f>
      </c>
      <c r="BS781" s="129">
        <f>IF(AW781="","",COUNTIF($AW$3:AW781,"?*"))</f>
      </c>
      <c r="BT781" s="129">
        <f>IF(OR(AW781="",AI781=""),"",IF(COUNTIFS($AW$3:AW781,"?*",$AI$3:AI781,AI781)=1,MAX($BT$2:BT780)+1,""))</f>
      </c>
      <c r="BU781" s="129">
        <f>IF(AE781="",0,IF(OR(ISNUMBER(SEARCH("дубль",AE781)),ISNUMBER(SEARCH("ПЕРЕГРУЗ",AE781)),ISNUMBER(SEARCH("ЗАЩИЩ",AE781)),ISNUMBER(SEARCH("КАНАЛ",AE781)),ISNUMBER(SEARCH("без 30",AE781))),2,1))</f>
      </c>
      <c r="BV781" s="129">
        <f>IF(R781="","",COUNTIF($R$3:R781,"?*"))</f>
      </c>
      <c r="BW781" s="129">
        <f>IF(AY781&lt;&gt;1,0,IF(MAX(IFERROR(--VLOOKUP(R781,УГО_спр,5,FALSE),0),IFERROR(--VLOOKUP(AL781,УГО_спр,5,FALSE),0),IFERROR(--VLOOKUP(LEFT(AL781,2),УГО_спр,5,FALSE),0))&gt;0,MAX(IFERROR(--VLOOKUP(R781,УГО_спр,5,FALSE),0),IFERROR(--VLOOKUP(AL781,УГО_спр,5,FALSE),0),IFERROR(--VLOOKUP(LEFT(AL781,2),УГО_спр,5,FALSE),0)),IF(IFERROR(--LEFT(SUBSTITUTE(BQ781,"x","х"),FIND("х",SUBSTITUTE(BQ781,"x","х"))-1),3)&gt;3,Каталог!$S$9,1)))</f>
      </c>
      <c r="BX781" s="129">
        <f>IF(AY781&lt;&gt;1,0,MAX(0,IFERROR(--LEFT(SUBSTITUTE(BQ781,"x","х"),FIND("х",SUBSTITUTE(BQ781,"x","х"))-1),3)-3*BW781))</f>
      </c>
      <c r="BY781" s="129">
        <f>IF(R781="","",IFERROR(VLOOKUP(R781,УГО_спр,2,FALSE),IFERROR(VLOOKUP(AL781,УГО_спр,2,FALSE),IFERROR(VLOOKUP(LEFT(AL781,2),УГО_спр,2,FALSE),""))))</f>
      </c>
    </row>
    <row r="782" spans="1:64" x14ac:dyDescent="0.3">
      <c r="A782" s="135">
        <f>IF(Разбивка_по_щитам!F782=0,"",Разбивка_по_щитам!F782)</f>
        <v/>
      </c>
      <c r="B782" s="138">
        <f>IF(A782="","",Разбивка_по_щитам!C782)</f>
        <v/>
      </c>
      <c r="C782" s="138">
        <f t="shared" si="502"/>
        <v/>
      </c>
      <c r="D782" s="266"/>
      <c r="E782" s="266"/>
      <c r="F782" s="267"/>
      <c r="G782" s="145">
        <f t="shared" si="503"/>
        <v/>
      </c>
      <c r="H782" s="145">
        <f t="shared" si="504"/>
        <v/>
      </c>
      <c r="I782" s="266"/>
      <c r="J782" s="267"/>
      <c r="K782" s="267"/>
      <c r="L782" s="266"/>
      <c r="M782" s="147">
        <f t="shared" si="505"/>
        <v/>
      </c>
      <c r="N782" s="267"/>
      <c r="O782" s="147">
        <f t="shared" si="506"/>
        <v/>
      </c>
      <c r="P782" s="268">
        <f>IF(AY782=1,"XT"&amp;COUNTIFS($A$3:A782,A782,$AY$3:AY782,1),"")</f>
        <v/>
      </c>
      <c r="Q782" s="152">
        <f>IF(R782="","",IFERROR(SUBSTITUTE(Разбивка_по_щитам!P782,CHAR(10)," "),""))</f>
        <v/>
      </c>
      <c r="R782" s="153">
        <f>IF(OR(Разбивка_по_щитам!H782="",Разбивка_по_щитам!H782=0),"",Разбивка_по_щитам!H782)</f>
        <v/>
      </c>
      <c r="S782" s="154">
        <f>IF(R782="","",IFERROR(Разбивка_по_щитам!J782&amp;"",""))</f>
        <v/>
      </c>
      <c r="T782" s="155">
        <f>IF(R782="","",IFERROR(--Разбивка_по_щитам!L782,""))</f>
        <v/>
      </c>
      <c r="U782" s="155">
        <f>IF(R782="","",IFERROR(--Разбивка_по_щитам!K782,""))</f>
        <v/>
      </c>
      <c r="V782" s="138">
        <f>IF(R782="","",IFERROR(IF(Разбивка_по_щитам!M782=0,"",Разбивка_по_щитам!M782),""))</f>
        <v/>
      </c>
      <c r="W782" s="156">
        <f t="shared" si="507"/>
        <v/>
      </c>
      <c r="X782" s="157">
        <f t="shared" si="508"/>
        <v/>
      </c>
      <c r="Y782" s="266"/>
      <c r="Z782" s="158">
        <f t="shared" si="509"/>
        <v/>
      </c>
      <c r="AA782" s="160">
        <f t="shared" si="510"/>
        <v/>
      </c>
      <c r="AB782" s="160">
        <f>IF(R782="","",IFERROR(LOOKUP(INDEX(Справочная!$I$4:$I$19,MATCH(VLOOKUP(R782,Исходные_данные,22,FALSE),Справочная!$J$4:$J$19,0)+1),{6,10,16,20,25,32,40,50,63,80,100,125}),""))</f>
        <v/>
      </c>
      <c r="AC782" s="160">
        <f t="shared" si="511"/>
        <v/>
      </c>
      <c r="AD782" s="161">
        <f t="shared" si="512"/>
        <v/>
      </c>
      <c r="AE782" s="161">
        <f>IF(AND(R782="",G782=""),"",_xlfn.TEXTJOIN("; ",TRUE,IF(AND(R782&lt;&gt;"",V782=""),"нет фазы",""),IF(AND(R782&lt;&gt;"",N(T782)=0),"нет мощности",""),IF(AND(P782&lt;&gt;"",COUNTIFS($A$3:$A$1000,A782,$P$3:$P$1000,P782)&gt;1),"дубль клеммы "&amp;P782,""),IF(AND(W782&lt;&gt;"",W782&lt;&gt;"ok"),W782,""),IF(X782&lt;&gt;"",X782,""),IF(AND(ISNUMBER(SEARCH("(5х",Q782)),N(AK782)=1),"5 жил на 1 фазе",""),IF(AND(AL782="R",E782&lt;&gt;"",N(AS782)=0),"розетка без 30 мА",""),IF(IFERROR(_xlfn.NUMBERVALUE(MID(Q782,FIND("-",Q782,FIND("L=",Q782))+1,FIND("%",Q782)-FIND("-",Q782,FIND("L=",Q782))-1),","),0)&gt;4,"потери &gt; 4 %","")))</f>
      </c>
      <c r="AF782" s="129">
        <f>IF(E782&lt;&gt;"",COUNTIFS($A$3:A782,A782,$E$3:E782,"?*"),IF(OR(A782&lt;&gt;A781,Y782="вручную"),"",AF781))</f>
        <v/>
      </c>
      <c r="AG782" s="129">
        <f t="shared" si="513"/>
        <v/>
      </c>
      <c r="AH782" s="129">
        <f t="shared" si="514"/>
        <v/>
      </c>
      <c r="AI782" s="129">
        <f t="shared" si="515"/>
        <v/>
      </c>
      <c r="AJ782" s="129">
        <f t="shared" si="516"/>
        <v/>
      </c>
      <c r="AK782" s="129">
        <f t="shared" si="517"/>
        <v/>
      </c>
      <c r="AL782" s="129">
        <f t="shared" si="518"/>
        <v/>
      </c>
      <c r="AM782" s="129">
        <f t="shared" si="519"/>
      </c>
      <c r="AN782" s="129">
        <f t="shared" si="520"/>
      </c>
      <c r="AO782" s="129">
        <f t="shared" si="521"/>
        <v/>
      </c>
      <c r="AP782" s="129">
        <f t="shared" si="522"/>
        <v/>
      </c>
      <c r="AQ782" s="129">
        <f t="shared" si="523"/>
        <v/>
      </c>
      <c r="AR782" s="129">
        <f t="shared" si="524"/>
        <v/>
      </c>
      <c r="AS782" s="129">
        <f t="shared" si="525"/>
        <v/>
      </c>
      <c r="AT782" s="129">
        <f t="shared" si="526"/>
        <v/>
      </c>
      <c r="AU782" s="129">
        <f t="shared" si="527"/>
        <v/>
      </c>
      <c r="AV782" s="129">
        <f t="shared" si="528"/>
        <v/>
      </c>
      <c r="AW782" s="129">
        <f>IF(AV782="","",AV782&amp;"."&amp;COUNTIFS($A$3:A782,A782,$AV$3:AV782,AV782))</f>
        <v/>
      </c>
      <c r="AX782" s="129">
        <f t="shared" si="529"/>
        <v/>
      </c>
      <c r="AY782" s="129">
        <f>IF(N782="б/к",0,IF(OR(ISNUMBER(SEARCH("L=",Разбивка_по_щитам!P782)),N782="+",N782="="),1,0))</f>
      </c>
      <c r="AZ782" s="129">
        <f t="shared" si="530"/>
        <v/>
      </c>
      <c r="BA782" s="129">
        <f t="shared" si="531"/>
      </c>
      <c r="BB782" s="129">
        <f t="shared" si="532"/>
      </c>
      <c r="BD782" s="129">
        <f t="shared" si="533"/>
      </c>
      <c r="BE782" s="129">
        <f t="shared" si="534"/>
      </c>
      <c r="BF782" s="129">
        <f t="shared" si="535"/>
      </c>
      <c r="BG782" s="129">
        <f t="shared" si="536"/>
        <v/>
      </c>
      <c r="BH782" s="129">
        <f t="shared" si="537"/>
        <v/>
      </c>
      <c r="BI782" s="129">
        <f t="shared" si="538"/>
        <v/>
      </c>
      <c r="BJ782" s="129">
        <f t="shared" si="539"/>
        <v/>
      </c>
      <c r="BK782" s="129">
        <f>IF(R782="","",IF(OR(BY782="",BY782=0),"BOX",IFERROR(IF(VLOOKUP(BY782,УГО_блоки,3,FALSE)&amp;""&lt;&gt;"",VLOOKUP(BY782,УГО_блоки,3,FALSE),VLOOKUP(BY782,УГО_блоки,2,FALSE)),BY782)))</f>
      </c>
      <c r="BL782" s="129">
        <f t="shared" si="541"/>
      </c>
      <c r="BM782" s="129">
        <f>IF(H782="","",IF(COUNTIF($H$3:H782,H782)=1,MAX($BM$2:BM781)+1,""))</f>
      </c>
      <c r="BN782" s="129">
        <f>IF(I782="","",IF(COUNTIF($I$3:I782,I782)+COUNTIF($J$2:J781,I782)+COUNTIF($K$2:K781,I782)=1,MAX($BN$2:BP781)+1,""))</f>
      </c>
      <c r="BO782" s="129">
        <f>IF(J782="","",IF(COUNTIF($I$3:I782,J782)+COUNTIF($J$3:J782,J782)+COUNTIF($K$2:K781,J782)=1,MAX($BN$2:BP781,BN782)+1,""))</f>
      </c>
      <c r="BP782" s="129">
        <f>IF(K782="","",IF(COUNTIF($I$3:I782,K782)+COUNTIF($J$3:J782,K782)+COUNTIF($K$3:K782,K782)=1,MAX($BN$2:BP781,BN782,BO782)+1,""))</f>
      </c>
      <c r="BQ782" s="129">
        <f>IF(AY782=1,IFERROR(MID(Q782,FIND(" (",Q782)+2,FIND(")",Q782,FIND(" (",Q782))-FIND(" (",Q782)-2),"?"),"")</f>
      </c>
      <c r="BR782" s="129">
        <f>IF(BQ782="","",IF(COUNTIF($BQ$3:BQ782,BQ782)=1,MAX($BR$2:BR781)+1,""))</f>
      </c>
      <c r="BS782" s="129">
        <f>IF(AW782="","",COUNTIF($AW$3:AW782,"?*"))</f>
      </c>
      <c r="BT782" s="129">
        <f>IF(OR(AW782="",AI782=""),"",IF(COUNTIFS($AW$3:AW782,"?*",$AI$3:AI782,AI782)=1,MAX($BT$2:BT781)+1,""))</f>
      </c>
      <c r="BU782" s="129">
        <f>IF(AE782="",0,IF(OR(ISNUMBER(SEARCH("дубль",AE782)),ISNUMBER(SEARCH("ПЕРЕГРУЗ",AE782)),ISNUMBER(SEARCH("ЗАЩИЩ",AE782)),ISNUMBER(SEARCH("КАНАЛ",AE782)),ISNUMBER(SEARCH("без 30",AE782))),2,1))</f>
      </c>
      <c r="BV782" s="129">
        <f>IF(R782="","",COUNTIF($R$3:R782,"?*"))</f>
      </c>
      <c r="BW782" s="129">
        <f>IF(AY782&lt;&gt;1,0,IF(MAX(IFERROR(--VLOOKUP(R782,УГО_спр,5,FALSE),0),IFERROR(--VLOOKUP(AL782,УГО_спр,5,FALSE),0),IFERROR(--VLOOKUP(LEFT(AL782,2),УГО_спр,5,FALSE),0))&gt;0,MAX(IFERROR(--VLOOKUP(R782,УГО_спр,5,FALSE),0),IFERROR(--VLOOKUP(AL782,УГО_спр,5,FALSE),0),IFERROR(--VLOOKUP(LEFT(AL782,2),УГО_спр,5,FALSE),0)),IF(IFERROR(--LEFT(SUBSTITUTE(BQ782,"x","х"),FIND("х",SUBSTITUTE(BQ782,"x","х"))-1),3)&gt;3,Каталог!$S$9,1)))</f>
      </c>
      <c r="BX782" s="129">
        <f>IF(AY782&lt;&gt;1,0,MAX(0,IFERROR(--LEFT(SUBSTITUTE(BQ782,"x","х"),FIND("х",SUBSTITUTE(BQ782,"x","х"))-1),3)-3*BW782))</f>
      </c>
      <c r="BY782" s="129">
        <f>IF(R782="","",IFERROR(VLOOKUP(R782,УГО_спр,2,FALSE),IFERROR(VLOOKUP(AL782,УГО_спр,2,FALSE),IFERROR(VLOOKUP(LEFT(AL782,2),УГО_спр,2,FALSE),""))))</f>
      </c>
    </row>
    <row r="783" spans="1:64" x14ac:dyDescent="0.3">
      <c r="A783" s="135">
        <f>IF(Разбивка_по_щитам!F783=0,"",Разбивка_по_щитам!F783)</f>
        <v/>
      </c>
      <c r="B783" s="138">
        <f>IF(A783="","",Разбивка_по_щитам!C783)</f>
        <v/>
      </c>
      <c r="C783" s="138">
        <f t="shared" si="502"/>
        <v/>
      </c>
      <c r="D783" s="266"/>
      <c r="E783" s="266"/>
      <c r="F783" s="267"/>
      <c r="G783" s="145">
        <f t="shared" si="503"/>
        <v/>
      </c>
      <c r="H783" s="145">
        <f t="shared" si="504"/>
        <v/>
      </c>
      <c r="I783" s="266"/>
      <c r="J783" s="267"/>
      <c r="K783" s="267"/>
      <c r="L783" s="266"/>
      <c r="M783" s="147">
        <f t="shared" si="505"/>
        <v/>
      </c>
      <c r="N783" s="267"/>
      <c r="O783" s="147">
        <f t="shared" si="506"/>
        <v/>
      </c>
      <c r="P783" s="268">
        <f>IF(AY783=1,"XT"&amp;COUNTIFS($A$3:A783,A783,$AY$3:AY783,1),"")</f>
        <v/>
      </c>
      <c r="Q783" s="152">
        <f>IF(R783="","",IFERROR(SUBSTITUTE(Разбивка_по_щитам!P783,CHAR(10)," "),""))</f>
        <v/>
      </c>
      <c r="R783" s="153">
        <f>IF(OR(Разбивка_по_щитам!H783="",Разбивка_по_щитам!H783=0),"",Разбивка_по_щитам!H783)</f>
        <v/>
      </c>
      <c r="S783" s="154">
        <f>IF(R783="","",IFERROR(Разбивка_по_щитам!J783&amp;"",""))</f>
        <v/>
      </c>
      <c r="T783" s="155">
        <f>IF(R783="","",IFERROR(--Разбивка_по_щитам!L783,""))</f>
        <v/>
      </c>
      <c r="U783" s="155">
        <f>IF(R783="","",IFERROR(--Разбивка_по_щитам!K783,""))</f>
        <v/>
      </c>
      <c r="V783" s="138">
        <f>IF(R783="","",IFERROR(IF(Разбивка_по_щитам!M783=0,"",Разбивка_по_щитам!M783),""))</f>
        <v/>
      </c>
      <c r="W783" s="156">
        <f t="shared" si="507"/>
        <v/>
      </c>
      <c r="X783" s="157">
        <f t="shared" si="508"/>
        <v/>
      </c>
      <c r="Y783" s="266"/>
      <c r="Z783" s="158">
        <f t="shared" si="509"/>
        <v/>
      </c>
      <c r="AA783" s="160">
        <f t="shared" si="510"/>
        <v/>
      </c>
      <c r="AB783" s="160">
        <f>IF(R783="","",IFERROR(LOOKUP(INDEX(Справочная!$I$4:$I$19,MATCH(VLOOKUP(R783,Исходные_данные,22,FALSE),Справочная!$J$4:$J$19,0)+1),{6,10,16,20,25,32,40,50,63,80,100,125}),""))</f>
        <v/>
      </c>
      <c r="AC783" s="160">
        <f t="shared" si="511"/>
        <v/>
      </c>
      <c r="AD783" s="161">
        <f t="shared" si="512"/>
        <v/>
      </c>
      <c r="AE783" s="161">
        <f>IF(AND(R783="",G783=""),"",_xlfn.TEXTJOIN("; ",TRUE,IF(AND(R783&lt;&gt;"",V783=""),"нет фазы",""),IF(AND(R783&lt;&gt;"",N(T783)=0),"нет мощности",""),IF(AND(P783&lt;&gt;"",COUNTIFS($A$3:$A$1000,A783,$P$3:$P$1000,P783)&gt;1),"дубль клеммы "&amp;P783,""),IF(AND(W783&lt;&gt;"",W783&lt;&gt;"ok"),W783,""),IF(X783&lt;&gt;"",X783,""),IF(AND(ISNUMBER(SEARCH("(5х",Q783)),N(AK783)=1),"5 жил на 1 фазе",""),IF(AND(AL783="R",E783&lt;&gt;"",N(AS783)=0),"розетка без 30 мА",""),IF(IFERROR(_xlfn.NUMBERVALUE(MID(Q783,FIND("-",Q783,FIND("L=",Q783))+1,FIND("%",Q783)-FIND("-",Q783,FIND("L=",Q783))-1),","),0)&gt;4,"потери &gt; 4 %","")))</f>
      </c>
      <c r="AF783" s="129">
        <f>IF(E783&lt;&gt;"",COUNTIFS($A$3:A783,A783,$E$3:E783,"?*"),IF(OR(A783&lt;&gt;A782,Y783="вручную"),"",AF782))</f>
        <v/>
      </c>
      <c r="AG783" s="129">
        <f t="shared" si="513"/>
        <v/>
      </c>
      <c r="AH783" s="129">
        <f t="shared" si="514"/>
        <v/>
      </c>
      <c r="AI783" s="129">
        <f t="shared" si="515"/>
        <v/>
      </c>
      <c r="AJ783" s="129">
        <f t="shared" si="516"/>
        <v/>
      </c>
      <c r="AK783" s="129">
        <f t="shared" si="517"/>
        <v/>
      </c>
      <c r="AL783" s="129">
        <f t="shared" si="518"/>
        <v/>
      </c>
      <c r="AM783" s="129">
        <f t="shared" si="519"/>
      </c>
      <c r="AN783" s="129">
        <f t="shared" si="520"/>
      </c>
      <c r="AO783" s="129">
        <f t="shared" si="521"/>
        <v/>
      </c>
      <c r="AP783" s="129">
        <f t="shared" si="522"/>
        <v/>
      </c>
      <c r="AQ783" s="129">
        <f t="shared" si="523"/>
        <v/>
      </c>
      <c r="AR783" s="129">
        <f t="shared" si="524"/>
        <v/>
      </c>
      <c r="AS783" s="129">
        <f t="shared" si="525"/>
        <v/>
      </c>
      <c r="AT783" s="129">
        <f t="shared" si="526"/>
        <v/>
      </c>
      <c r="AU783" s="129">
        <f t="shared" si="527"/>
        <v/>
      </c>
      <c r="AV783" s="129">
        <f t="shared" si="528"/>
        <v/>
      </c>
      <c r="AW783" s="129">
        <f>IF(AV783="","",AV783&amp;"."&amp;COUNTIFS($A$3:A783,A783,$AV$3:AV783,AV783))</f>
        <v/>
      </c>
      <c r="AX783" s="129">
        <f t="shared" si="529"/>
        <v/>
      </c>
      <c r="AY783" s="129">
        <f>IF(N783="б/к",0,IF(OR(ISNUMBER(SEARCH("L=",Разбивка_по_щитам!P783)),N783="+",N783="="),1,0))</f>
      </c>
      <c r="AZ783" s="129">
        <f t="shared" si="530"/>
        <v/>
      </c>
      <c r="BA783" s="129">
        <f t="shared" si="531"/>
      </c>
      <c r="BB783" s="129">
        <f t="shared" si="532"/>
      </c>
      <c r="BD783" s="129">
        <f t="shared" si="533"/>
      </c>
      <c r="BE783" s="129">
        <f t="shared" si="534"/>
      </c>
      <c r="BF783" s="129">
        <f t="shared" si="535"/>
      </c>
      <c r="BG783" s="129">
        <f t="shared" si="536"/>
        <v/>
      </c>
      <c r="BH783" s="129">
        <f t="shared" si="537"/>
        <v/>
      </c>
      <c r="BI783" s="129">
        <f t="shared" si="538"/>
        <v/>
      </c>
      <c r="BJ783" s="129">
        <f t="shared" si="539"/>
        <v/>
      </c>
      <c r="BK783" s="129">
        <f>IF(R783="","",IF(OR(BY783="",BY783=0),"BOX",IFERROR(IF(VLOOKUP(BY783,УГО_блоки,3,FALSE)&amp;""&lt;&gt;"",VLOOKUP(BY783,УГО_блоки,3,FALSE),VLOOKUP(BY783,УГО_блоки,2,FALSE)),BY783)))</f>
      </c>
      <c r="BL783" s="129">
        <f t="shared" si="541"/>
      </c>
      <c r="BM783" s="129">
        <f>IF(H783="","",IF(COUNTIF($H$3:H783,H783)=1,MAX($BM$2:BM782)+1,""))</f>
      </c>
      <c r="BN783" s="129">
        <f>IF(I783="","",IF(COUNTIF($I$3:I783,I783)+COUNTIF($J$2:J782,I783)+COUNTIF($K$2:K782,I783)=1,MAX($BN$2:BP782)+1,""))</f>
      </c>
      <c r="BO783" s="129">
        <f>IF(J783="","",IF(COUNTIF($I$3:I783,J783)+COUNTIF($J$3:J783,J783)+COUNTIF($K$2:K782,J783)=1,MAX($BN$2:BP782,BN783)+1,""))</f>
      </c>
      <c r="BP783" s="129">
        <f>IF(K783="","",IF(COUNTIF($I$3:I783,K783)+COUNTIF($J$3:J783,K783)+COUNTIF($K$3:K783,K783)=1,MAX($BN$2:BP782,BN783,BO783)+1,""))</f>
      </c>
      <c r="BQ783" s="129">
        <f>IF(AY783=1,IFERROR(MID(Q783,FIND(" (",Q783)+2,FIND(")",Q783,FIND(" (",Q783))-FIND(" (",Q783)-2),"?"),"")</f>
      </c>
      <c r="BR783" s="129">
        <f>IF(BQ783="","",IF(COUNTIF($BQ$3:BQ783,BQ783)=1,MAX($BR$2:BR782)+1,""))</f>
      </c>
      <c r="BS783" s="129">
        <f>IF(AW783="","",COUNTIF($AW$3:AW783,"?*"))</f>
      </c>
      <c r="BT783" s="129">
        <f>IF(OR(AW783="",AI783=""),"",IF(COUNTIFS($AW$3:AW783,"?*",$AI$3:AI783,AI783)=1,MAX($BT$2:BT782)+1,""))</f>
      </c>
      <c r="BU783" s="129">
        <f>IF(AE783="",0,IF(OR(ISNUMBER(SEARCH("дубль",AE783)),ISNUMBER(SEARCH("ПЕРЕГРУЗ",AE783)),ISNUMBER(SEARCH("ЗАЩИЩ",AE783)),ISNUMBER(SEARCH("КАНАЛ",AE783)),ISNUMBER(SEARCH("без 30",AE783))),2,1))</f>
      </c>
      <c r="BV783" s="129">
        <f>IF(R783="","",COUNTIF($R$3:R783,"?*"))</f>
      </c>
      <c r="BW783" s="129">
        <f>IF(AY783&lt;&gt;1,0,IF(MAX(IFERROR(--VLOOKUP(R783,УГО_спр,5,FALSE),0),IFERROR(--VLOOKUP(AL783,УГО_спр,5,FALSE),0),IFERROR(--VLOOKUP(LEFT(AL783,2),УГО_спр,5,FALSE),0))&gt;0,MAX(IFERROR(--VLOOKUP(R783,УГО_спр,5,FALSE),0),IFERROR(--VLOOKUP(AL783,УГО_спр,5,FALSE),0),IFERROR(--VLOOKUP(LEFT(AL783,2),УГО_спр,5,FALSE),0)),IF(IFERROR(--LEFT(SUBSTITUTE(BQ783,"x","х"),FIND("х",SUBSTITUTE(BQ783,"x","х"))-1),3)&gt;3,Каталог!$S$9,1)))</f>
      </c>
      <c r="BX783" s="129">
        <f>IF(AY783&lt;&gt;1,0,MAX(0,IFERROR(--LEFT(SUBSTITUTE(BQ783,"x","х"),FIND("х",SUBSTITUTE(BQ783,"x","х"))-1),3)-3*BW783))</f>
      </c>
      <c r="BY783" s="129">
        <f>IF(R783="","",IFERROR(VLOOKUP(R783,УГО_спр,2,FALSE),IFERROR(VLOOKUP(AL783,УГО_спр,2,FALSE),IFERROR(VLOOKUP(LEFT(AL783,2),УГО_спр,2,FALSE),""))))</f>
      </c>
    </row>
    <row r="784" spans="1:64" x14ac:dyDescent="0.3">
      <c r="A784" s="135">
        <f>IF(Разбивка_по_щитам!F784=0,"",Разбивка_по_щитам!F784)</f>
        <v/>
      </c>
      <c r="B784" s="138">
        <f>IF(A784="","",Разбивка_по_щитам!C784)</f>
        <v/>
      </c>
      <c r="C784" s="138">
        <f t="shared" si="502"/>
        <v/>
      </c>
      <c r="D784" s="266"/>
      <c r="E784" s="266"/>
      <c r="F784" s="267"/>
      <c r="G784" s="145">
        <f t="shared" si="503"/>
        <v/>
      </c>
      <c r="H784" s="145">
        <f t="shared" si="504"/>
        <v/>
      </c>
      <c r="I784" s="266"/>
      <c r="J784" s="267"/>
      <c r="K784" s="267"/>
      <c r="L784" s="266"/>
      <c r="M784" s="147">
        <f t="shared" si="505"/>
        <v/>
      </c>
      <c r="N784" s="267"/>
      <c r="O784" s="147">
        <f t="shared" si="506"/>
        <v/>
      </c>
      <c r="P784" s="268">
        <f>IF(AY784=1,"XT"&amp;COUNTIFS($A$3:A784,A784,$AY$3:AY784,1),"")</f>
        <v/>
      </c>
      <c r="Q784" s="152">
        <f>IF(R784="","",IFERROR(SUBSTITUTE(Разбивка_по_щитам!P784,CHAR(10)," "),""))</f>
        <v/>
      </c>
      <c r="R784" s="153">
        <f>IF(OR(Разбивка_по_щитам!H784="",Разбивка_по_щитам!H784=0),"",Разбивка_по_щитам!H784)</f>
        <v/>
      </c>
      <c r="S784" s="154">
        <f>IF(R784="","",IFERROR(Разбивка_по_щитам!J784&amp;"",""))</f>
        <v/>
      </c>
      <c r="T784" s="155">
        <f>IF(R784="","",IFERROR(--Разбивка_по_щитам!L784,""))</f>
        <v/>
      </c>
      <c r="U784" s="155">
        <f>IF(R784="","",IFERROR(--Разбивка_по_щитам!K784,""))</f>
        <v/>
      </c>
      <c r="V784" s="138">
        <f>IF(R784="","",IFERROR(IF(Разбивка_по_щитам!M784=0,"",Разбивка_по_щитам!M784),""))</f>
        <v/>
      </c>
      <c r="W784" s="156">
        <f t="shared" si="507"/>
        <v/>
      </c>
      <c r="X784" s="157">
        <f t="shared" si="508"/>
        <v/>
      </c>
      <c r="Y784" s="266"/>
      <c r="Z784" s="158">
        <f t="shared" si="509"/>
        <v/>
      </c>
      <c r="AA784" s="160">
        <f t="shared" si="510"/>
        <v/>
      </c>
      <c r="AB784" s="160">
        <f>IF(R784="","",IFERROR(LOOKUP(INDEX(Справочная!$I$4:$I$19,MATCH(VLOOKUP(R784,Исходные_данные,22,FALSE),Справочная!$J$4:$J$19,0)+1),{6,10,16,20,25,32,40,50,63,80,100,125}),""))</f>
        <v/>
      </c>
      <c r="AC784" s="160">
        <f t="shared" si="511"/>
        <v/>
      </c>
      <c r="AD784" s="161">
        <f t="shared" si="512"/>
        <v/>
      </c>
      <c r="AE784" s="161">
        <f>IF(AND(R784="",G784=""),"",_xlfn.TEXTJOIN("; ",TRUE,IF(AND(R784&lt;&gt;"",V784=""),"нет фазы",""),IF(AND(R784&lt;&gt;"",N(T784)=0),"нет мощности",""),IF(AND(P784&lt;&gt;"",COUNTIFS($A$3:$A$1000,A784,$P$3:$P$1000,P784)&gt;1),"дубль клеммы "&amp;P784,""),IF(AND(W784&lt;&gt;"",W784&lt;&gt;"ok"),W784,""),IF(X784&lt;&gt;"",X784,""),IF(AND(ISNUMBER(SEARCH("(5х",Q784)),N(AK784)=1),"5 жил на 1 фазе",""),IF(AND(AL784="R",E784&lt;&gt;"",N(AS784)=0),"розетка без 30 мА",""),IF(IFERROR(_xlfn.NUMBERVALUE(MID(Q784,FIND("-",Q784,FIND("L=",Q784))+1,FIND("%",Q784)-FIND("-",Q784,FIND("L=",Q784))-1),","),0)&gt;4,"потери &gt; 4 %","")))</f>
      </c>
      <c r="AF784" s="129">
        <f>IF(E784&lt;&gt;"",COUNTIFS($A$3:A784,A784,$E$3:E784,"?*"),IF(OR(A784&lt;&gt;A783,Y784="вручную"),"",AF783))</f>
        <v/>
      </c>
      <c r="AG784" s="129">
        <f t="shared" si="513"/>
        <v/>
      </c>
      <c r="AH784" s="129">
        <f t="shared" si="514"/>
        <v/>
      </c>
      <c r="AI784" s="129">
        <f t="shared" si="515"/>
        <v/>
      </c>
      <c r="AJ784" s="129">
        <f t="shared" si="516"/>
        <v/>
      </c>
      <c r="AK784" s="129">
        <f t="shared" si="517"/>
        <v/>
      </c>
      <c r="AL784" s="129">
        <f t="shared" si="518"/>
        <v/>
      </c>
      <c r="AM784" s="129">
        <f t="shared" si="519"/>
      </c>
      <c r="AN784" s="129">
        <f t="shared" si="520"/>
      </c>
      <c r="AO784" s="129">
        <f t="shared" si="521"/>
        <v/>
      </c>
      <c r="AP784" s="129">
        <f t="shared" si="522"/>
        <v/>
      </c>
      <c r="AQ784" s="129">
        <f t="shared" si="523"/>
        <v/>
      </c>
      <c r="AR784" s="129">
        <f t="shared" si="524"/>
        <v/>
      </c>
      <c r="AS784" s="129">
        <f t="shared" si="525"/>
        <v/>
      </c>
      <c r="AT784" s="129">
        <f t="shared" si="526"/>
        <v/>
      </c>
      <c r="AU784" s="129">
        <f t="shared" si="527"/>
        <v/>
      </c>
      <c r="AV784" s="129">
        <f t="shared" si="528"/>
        <v/>
      </c>
      <c r="AW784" s="129">
        <f>IF(AV784="","",AV784&amp;"."&amp;COUNTIFS($A$3:A784,A784,$AV$3:AV784,AV784))</f>
        <v/>
      </c>
      <c r="AX784" s="129">
        <f t="shared" si="529"/>
        <v/>
      </c>
      <c r="AY784" s="129">
        <f>IF(N784="б/к",0,IF(OR(ISNUMBER(SEARCH("L=",Разбивка_по_щитам!P784)),N784="+",N784="="),1,0))</f>
      </c>
      <c r="AZ784" s="129">
        <f t="shared" si="530"/>
        <v/>
      </c>
      <c r="BA784" s="129">
        <f t="shared" si="531"/>
      </c>
      <c r="BB784" s="129">
        <f t="shared" si="532"/>
      </c>
      <c r="BD784" s="129">
        <f t="shared" si="533"/>
      </c>
      <c r="BE784" s="129">
        <f t="shared" si="534"/>
      </c>
      <c r="BF784" s="129">
        <f t="shared" si="535"/>
      </c>
      <c r="BG784" s="129">
        <f t="shared" si="536"/>
        <v/>
      </c>
      <c r="BH784" s="129">
        <f t="shared" si="537"/>
        <v/>
      </c>
      <c r="BI784" s="129">
        <f t="shared" si="538"/>
        <v/>
      </c>
      <c r="BJ784" s="129">
        <f t="shared" si="539"/>
        <v/>
      </c>
      <c r="BK784" s="129">
        <f>IF(R784="","",IF(OR(BY784="",BY784=0),"BOX",IFERROR(IF(VLOOKUP(BY784,УГО_блоки,3,FALSE)&amp;""&lt;&gt;"",VLOOKUP(BY784,УГО_блоки,3,FALSE),VLOOKUP(BY784,УГО_блоки,2,FALSE)),BY784)))</f>
      </c>
      <c r="BL784" s="129">
        <f t="shared" si="541"/>
      </c>
      <c r="BM784" s="129">
        <f>IF(H784="","",IF(COUNTIF($H$3:H784,H784)=1,MAX($BM$2:BM783)+1,""))</f>
      </c>
      <c r="BN784" s="129">
        <f>IF(I784="","",IF(COUNTIF($I$3:I784,I784)+COUNTIF($J$2:J783,I784)+COUNTIF($K$2:K783,I784)=1,MAX($BN$2:BP783)+1,""))</f>
      </c>
      <c r="BO784" s="129">
        <f>IF(J784="","",IF(COUNTIF($I$3:I784,J784)+COUNTIF($J$3:J784,J784)+COUNTIF($K$2:K783,J784)=1,MAX($BN$2:BP783,BN784)+1,""))</f>
      </c>
      <c r="BP784" s="129">
        <f>IF(K784="","",IF(COUNTIF($I$3:I784,K784)+COUNTIF($J$3:J784,K784)+COUNTIF($K$3:K784,K784)=1,MAX($BN$2:BP783,BN784,BO784)+1,""))</f>
      </c>
      <c r="BQ784" s="129">
        <f>IF(AY784=1,IFERROR(MID(Q784,FIND(" (",Q784)+2,FIND(")",Q784,FIND(" (",Q784))-FIND(" (",Q784)-2),"?"),"")</f>
      </c>
      <c r="BR784" s="129">
        <f>IF(BQ784="","",IF(COUNTIF($BQ$3:BQ784,BQ784)=1,MAX($BR$2:BR783)+1,""))</f>
      </c>
      <c r="BS784" s="129">
        <f>IF(AW784="","",COUNTIF($AW$3:AW784,"?*"))</f>
      </c>
      <c r="BT784" s="129">
        <f>IF(OR(AW784="",AI784=""),"",IF(COUNTIFS($AW$3:AW784,"?*",$AI$3:AI784,AI784)=1,MAX($BT$2:BT783)+1,""))</f>
      </c>
      <c r="BU784" s="129">
        <f>IF(AE784="",0,IF(OR(ISNUMBER(SEARCH("дубль",AE784)),ISNUMBER(SEARCH("ПЕРЕГРУЗ",AE784)),ISNUMBER(SEARCH("ЗАЩИЩ",AE784)),ISNUMBER(SEARCH("КАНАЛ",AE784)),ISNUMBER(SEARCH("без 30",AE784))),2,1))</f>
      </c>
      <c r="BV784" s="129">
        <f>IF(R784="","",COUNTIF($R$3:R784,"?*"))</f>
      </c>
      <c r="BW784" s="129">
        <f>IF(AY784&lt;&gt;1,0,IF(MAX(IFERROR(--VLOOKUP(R784,УГО_спр,5,FALSE),0),IFERROR(--VLOOKUP(AL784,УГО_спр,5,FALSE),0),IFERROR(--VLOOKUP(LEFT(AL784,2),УГО_спр,5,FALSE),0))&gt;0,MAX(IFERROR(--VLOOKUP(R784,УГО_спр,5,FALSE),0),IFERROR(--VLOOKUP(AL784,УГО_спр,5,FALSE),0),IFERROR(--VLOOKUP(LEFT(AL784,2),УГО_спр,5,FALSE),0)),IF(IFERROR(--LEFT(SUBSTITUTE(BQ784,"x","х"),FIND("х",SUBSTITUTE(BQ784,"x","х"))-1),3)&gt;3,Каталог!$S$9,1)))</f>
      </c>
      <c r="BX784" s="129">
        <f>IF(AY784&lt;&gt;1,0,MAX(0,IFERROR(--LEFT(SUBSTITUTE(BQ784,"x","х"),FIND("х",SUBSTITUTE(BQ784,"x","х"))-1),3)-3*BW784))</f>
      </c>
      <c r="BY784" s="129">
        <f>IF(R784="","",IFERROR(VLOOKUP(R784,УГО_спр,2,FALSE),IFERROR(VLOOKUP(AL784,УГО_спр,2,FALSE),IFERROR(VLOOKUP(LEFT(AL784,2),УГО_спр,2,FALSE),""))))</f>
      </c>
    </row>
    <row r="785" spans="1:64" x14ac:dyDescent="0.3">
      <c r="A785" s="135">
        <f>IF(Разбивка_по_щитам!F785=0,"",Разбивка_по_щитам!F785)</f>
        <v/>
      </c>
      <c r="B785" s="138">
        <f>IF(A785="","",Разбивка_по_щитам!C785)</f>
        <v/>
      </c>
      <c r="C785" s="138">
        <f t="shared" si="502"/>
        <v/>
      </c>
      <c r="D785" s="266"/>
      <c r="E785" s="266"/>
      <c r="F785" s="267"/>
      <c r="G785" s="145">
        <f t="shared" si="503"/>
        <v/>
      </c>
      <c r="H785" s="145">
        <f t="shared" si="504"/>
        <v/>
      </c>
      <c r="I785" s="266"/>
      <c r="J785" s="267"/>
      <c r="K785" s="267"/>
      <c r="L785" s="266"/>
      <c r="M785" s="147">
        <f t="shared" si="505"/>
        <v/>
      </c>
      <c r="N785" s="267"/>
      <c r="O785" s="147">
        <f t="shared" si="506"/>
        <v/>
      </c>
      <c r="P785" s="268">
        <f>IF(AY785=1,"XT"&amp;COUNTIFS($A$3:A785,A785,$AY$3:AY785,1),"")</f>
        <v/>
      </c>
      <c r="Q785" s="152">
        <f>IF(R785="","",IFERROR(SUBSTITUTE(Разбивка_по_щитам!P785,CHAR(10)," "),""))</f>
        <v/>
      </c>
      <c r="R785" s="153">
        <f>IF(OR(Разбивка_по_щитам!H785="",Разбивка_по_щитам!H785=0),"",Разбивка_по_щитам!H785)</f>
        <v/>
      </c>
      <c r="S785" s="154">
        <f>IF(R785="","",IFERROR(Разбивка_по_щитам!J785&amp;"",""))</f>
        <v/>
      </c>
      <c r="T785" s="155">
        <f>IF(R785="","",IFERROR(--Разбивка_по_щитам!L785,""))</f>
        <v/>
      </c>
      <c r="U785" s="155">
        <f>IF(R785="","",IFERROR(--Разбивка_по_щитам!K785,""))</f>
        <v/>
      </c>
      <c r="V785" s="138">
        <f>IF(R785="","",IFERROR(IF(Разбивка_по_щитам!M785=0,"",Разбивка_по_щитам!M785),""))</f>
        <v/>
      </c>
      <c r="W785" s="156">
        <f t="shared" si="507"/>
        <v/>
      </c>
      <c r="X785" s="157">
        <f t="shared" si="508"/>
        <v/>
      </c>
      <c r="Y785" s="266"/>
      <c r="Z785" s="158">
        <f t="shared" si="509"/>
        <v/>
      </c>
      <c r="AA785" s="160">
        <f t="shared" si="510"/>
        <v/>
      </c>
      <c r="AB785" s="160">
        <f>IF(R785="","",IFERROR(LOOKUP(INDEX(Справочная!$I$4:$I$19,MATCH(VLOOKUP(R785,Исходные_данные,22,FALSE),Справочная!$J$4:$J$19,0)+1),{6,10,16,20,25,32,40,50,63,80,100,125}),""))</f>
        <v/>
      </c>
      <c r="AC785" s="160">
        <f t="shared" si="511"/>
        <v/>
      </c>
      <c r="AD785" s="161">
        <f t="shared" si="512"/>
        <v/>
      </c>
      <c r="AE785" s="161">
        <f>IF(AND(R785="",G785=""),"",_xlfn.TEXTJOIN("; ",TRUE,IF(AND(R785&lt;&gt;"",V785=""),"нет фазы",""),IF(AND(R785&lt;&gt;"",N(T785)=0),"нет мощности",""),IF(AND(P785&lt;&gt;"",COUNTIFS($A$3:$A$1000,A785,$P$3:$P$1000,P785)&gt;1),"дубль клеммы "&amp;P785,""),IF(AND(W785&lt;&gt;"",W785&lt;&gt;"ok"),W785,""),IF(X785&lt;&gt;"",X785,""),IF(AND(ISNUMBER(SEARCH("(5х",Q785)),N(AK785)=1),"5 жил на 1 фазе",""),IF(AND(AL785="R",E785&lt;&gt;"",N(AS785)=0),"розетка без 30 мА",""),IF(IFERROR(_xlfn.NUMBERVALUE(MID(Q785,FIND("-",Q785,FIND("L=",Q785))+1,FIND("%",Q785)-FIND("-",Q785,FIND("L=",Q785))-1),","),0)&gt;4,"потери &gt; 4 %","")))</f>
      </c>
      <c r="AF785" s="129">
        <f>IF(E785&lt;&gt;"",COUNTIFS($A$3:A785,A785,$E$3:E785,"?*"),IF(OR(A785&lt;&gt;A784,Y785="вручную"),"",AF784))</f>
        <v/>
      </c>
      <c r="AG785" s="129">
        <f t="shared" si="513"/>
        <v/>
      </c>
      <c r="AH785" s="129">
        <f t="shared" si="514"/>
        <v/>
      </c>
      <c r="AI785" s="129">
        <f t="shared" si="515"/>
        <v/>
      </c>
      <c r="AJ785" s="129">
        <f t="shared" si="516"/>
        <v/>
      </c>
      <c r="AK785" s="129">
        <f t="shared" si="517"/>
        <v/>
      </c>
      <c r="AL785" s="129">
        <f t="shared" si="518"/>
        <v/>
      </c>
      <c r="AM785" s="129">
        <f t="shared" si="519"/>
      </c>
      <c r="AN785" s="129">
        <f t="shared" si="520"/>
      </c>
      <c r="AO785" s="129">
        <f t="shared" si="521"/>
        <v/>
      </c>
      <c r="AP785" s="129">
        <f t="shared" si="522"/>
        <v/>
      </c>
      <c r="AQ785" s="129">
        <f t="shared" si="523"/>
        <v/>
      </c>
      <c r="AR785" s="129">
        <f t="shared" si="524"/>
        <v/>
      </c>
      <c r="AS785" s="129">
        <f t="shared" si="525"/>
        <v/>
      </c>
      <c r="AT785" s="129">
        <f t="shared" si="526"/>
        <v/>
      </c>
      <c r="AU785" s="129">
        <f t="shared" si="527"/>
        <v/>
      </c>
      <c r="AV785" s="129">
        <f t="shared" si="528"/>
        <v/>
      </c>
      <c r="AW785" s="129">
        <f>IF(AV785="","",AV785&amp;"."&amp;COUNTIFS($A$3:A785,A785,$AV$3:AV785,AV785))</f>
        <v/>
      </c>
      <c r="AX785" s="129">
        <f t="shared" si="529"/>
        <v/>
      </c>
      <c r="AY785" s="129">
        <f>IF(N785="б/к",0,IF(OR(ISNUMBER(SEARCH("L=",Разбивка_по_щитам!P785)),N785="+",N785="="),1,0))</f>
      </c>
      <c r="AZ785" s="129">
        <f t="shared" si="530"/>
        <v/>
      </c>
      <c r="BA785" s="129">
        <f t="shared" si="531"/>
      </c>
      <c r="BB785" s="129">
        <f t="shared" si="532"/>
      </c>
      <c r="BD785" s="129">
        <f t="shared" si="533"/>
      </c>
      <c r="BE785" s="129">
        <f t="shared" si="534"/>
      </c>
      <c r="BF785" s="129">
        <f t="shared" si="535"/>
      </c>
      <c r="BG785" s="129">
        <f t="shared" si="536"/>
        <v/>
      </c>
      <c r="BH785" s="129">
        <f t="shared" si="537"/>
        <v/>
      </c>
      <c r="BI785" s="129">
        <f t="shared" si="538"/>
        <v/>
      </c>
      <c r="BJ785" s="129">
        <f t="shared" si="539"/>
        <v/>
      </c>
      <c r="BK785" s="129">
        <f>IF(R785="","",IF(OR(BY785="",BY785=0),"BOX",IFERROR(IF(VLOOKUP(BY785,УГО_блоки,3,FALSE)&amp;""&lt;&gt;"",VLOOKUP(BY785,УГО_блоки,3,FALSE),VLOOKUP(BY785,УГО_блоки,2,FALSE)),BY785)))</f>
      </c>
      <c r="BL785" s="129">
        <f t="shared" si="541"/>
      </c>
      <c r="BM785" s="129">
        <f>IF(H785="","",IF(COUNTIF($H$3:H785,H785)=1,MAX($BM$2:BM784)+1,""))</f>
      </c>
      <c r="BN785" s="129">
        <f>IF(I785="","",IF(COUNTIF($I$3:I785,I785)+COUNTIF($J$2:J784,I785)+COUNTIF($K$2:K784,I785)=1,MAX($BN$2:BP784)+1,""))</f>
      </c>
      <c r="BO785" s="129">
        <f>IF(J785="","",IF(COUNTIF($I$3:I785,J785)+COUNTIF($J$3:J785,J785)+COUNTIF($K$2:K784,J785)=1,MAX($BN$2:BP784,BN785)+1,""))</f>
      </c>
      <c r="BP785" s="129">
        <f>IF(K785="","",IF(COUNTIF($I$3:I785,K785)+COUNTIF($J$3:J785,K785)+COUNTIF($K$3:K785,K785)=1,MAX($BN$2:BP784,BN785,BO785)+1,""))</f>
      </c>
      <c r="BQ785" s="129">
        <f>IF(AY785=1,IFERROR(MID(Q785,FIND(" (",Q785)+2,FIND(")",Q785,FIND(" (",Q785))-FIND(" (",Q785)-2),"?"),"")</f>
      </c>
      <c r="BR785" s="129">
        <f>IF(BQ785="","",IF(COUNTIF($BQ$3:BQ785,BQ785)=1,MAX($BR$2:BR784)+1,""))</f>
      </c>
      <c r="BS785" s="129">
        <f>IF(AW785="","",COUNTIF($AW$3:AW785,"?*"))</f>
      </c>
      <c r="BT785" s="129">
        <f>IF(OR(AW785="",AI785=""),"",IF(COUNTIFS($AW$3:AW785,"?*",$AI$3:AI785,AI785)=1,MAX($BT$2:BT784)+1,""))</f>
      </c>
      <c r="BU785" s="129">
        <f>IF(AE785="",0,IF(OR(ISNUMBER(SEARCH("дубль",AE785)),ISNUMBER(SEARCH("ПЕРЕГРУЗ",AE785)),ISNUMBER(SEARCH("ЗАЩИЩ",AE785)),ISNUMBER(SEARCH("КАНАЛ",AE785)),ISNUMBER(SEARCH("без 30",AE785))),2,1))</f>
      </c>
      <c r="BV785" s="129">
        <f>IF(R785="","",COUNTIF($R$3:R785,"?*"))</f>
      </c>
      <c r="BW785" s="129">
        <f>IF(AY785&lt;&gt;1,0,IF(MAX(IFERROR(--VLOOKUP(R785,УГО_спр,5,FALSE),0),IFERROR(--VLOOKUP(AL785,УГО_спр,5,FALSE),0),IFERROR(--VLOOKUP(LEFT(AL785,2),УГО_спр,5,FALSE),0))&gt;0,MAX(IFERROR(--VLOOKUP(R785,УГО_спр,5,FALSE),0),IFERROR(--VLOOKUP(AL785,УГО_спр,5,FALSE),0),IFERROR(--VLOOKUP(LEFT(AL785,2),УГО_спр,5,FALSE),0)),IF(IFERROR(--LEFT(SUBSTITUTE(BQ785,"x","х"),FIND("х",SUBSTITUTE(BQ785,"x","х"))-1),3)&gt;3,Каталог!$S$9,1)))</f>
      </c>
      <c r="BX785" s="129">
        <f>IF(AY785&lt;&gt;1,0,MAX(0,IFERROR(--LEFT(SUBSTITUTE(BQ785,"x","х"),FIND("х",SUBSTITUTE(BQ785,"x","х"))-1),3)-3*BW785))</f>
      </c>
      <c r="BY785" s="129">
        <f>IF(R785="","",IFERROR(VLOOKUP(R785,УГО_спр,2,FALSE),IFERROR(VLOOKUP(AL785,УГО_спр,2,FALSE),IFERROR(VLOOKUP(LEFT(AL785,2),УГО_спр,2,FALSE),""))))</f>
      </c>
    </row>
    <row r="786" spans="1:64" x14ac:dyDescent="0.3">
      <c r="A786" s="135">
        <f>IF(Разбивка_по_щитам!F786=0,"",Разбивка_по_щитам!F786)</f>
        <v/>
      </c>
      <c r="B786" s="138">
        <f>IF(A786="","",Разбивка_по_щитам!C786)</f>
        <v/>
      </c>
      <c r="C786" s="138">
        <f t="shared" si="502"/>
        <v/>
      </c>
      <c r="D786" s="266"/>
      <c r="E786" s="266"/>
      <c r="F786" s="267"/>
      <c r="G786" s="145">
        <f t="shared" si="503"/>
        <v/>
      </c>
      <c r="H786" s="145">
        <f t="shared" si="504"/>
        <v/>
      </c>
      <c r="I786" s="266"/>
      <c r="J786" s="267"/>
      <c r="K786" s="267"/>
      <c r="L786" s="266"/>
      <c r="M786" s="147">
        <f t="shared" si="505"/>
        <v/>
      </c>
      <c r="N786" s="267"/>
      <c r="O786" s="147">
        <f t="shared" si="506"/>
        <v/>
      </c>
      <c r="P786" s="268">
        <f>IF(AY786=1,"XT"&amp;COUNTIFS($A$3:A786,A786,$AY$3:AY786,1),"")</f>
        <v/>
      </c>
      <c r="Q786" s="152">
        <f>IF(R786="","",IFERROR(SUBSTITUTE(Разбивка_по_щитам!P786,CHAR(10)," "),""))</f>
        <v/>
      </c>
      <c r="R786" s="153">
        <f>IF(OR(Разбивка_по_щитам!H786="",Разбивка_по_щитам!H786=0),"",Разбивка_по_щитам!H786)</f>
        <v/>
      </c>
      <c r="S786" s="154">
        <f>IF(R786="","",IFERROR(Разбивка_по_щитам!J786&amp;"",""))</f>
        <v/>
      </c>
      <c r="T786" s="155">
        <f>IF(R786="","",IFERROR(--Разбивка_по_щитам!L786,""))</f>
        <v/>
      </c>
      <c r="U786" s="155">
        <f>IF(R786="","",IFERROR(--Разбивка_по_щитам!K786,""))</f>
        <v/>
      </c>
      <c r="V786" s="138">
        <f>IF(R786="","",IFERROR(IF(Разбивка_по_щитам!M786=0,"",Разбивка_по_щитам!M786),""))</f>
        <v/>
      </c>
      <c r="W786" s="156">
        <f t="shared" si="507"/>
        <v/>
      </c>
      <c r="X786" s="157">
        <f t="shared" si="508"/>
        <v/>
      </c>
      <c r="Y786" s="266"/>
      <c r="Z786" s="158">
        <f t="shared" si="509"/>
        <v/>
      </c>
      <c r="AA786" s="160">
        <f t="shared" si="510"/>
        <v/>
      </c>
      <c r="AB786" s="160">
        <f>IF(R786="","",IFERROR(LOOKUP(INDEX(Справочная!$I$4:$I$19,MATCH(VLOOKUP(R786,Исходные_данные,22,FALSE),Справочная!$J$4:$J$19,0)+1),{6,10,16,20,25,32,40,50,63,80,100,125}),""))</f>
        <v/>
      </c>
      <c r="AC786" s="160">
        <f t="shared" si="511"/>
        <v/>
      </c>
      <c r="AD786" s="161">
        <f t="shared" si="512"/>
        <v/>
      </c>
      <c r="AE786" s="161">
        <f>IF(AND(R786="",G786=""),"",_xlfn.TEXTJOIN("; ",TRUE,IF(AND(R786&lt;&gt;"",V786=""),"нет фазы",""),IF(AND(R786&lt;&gt;"",N(T786)=0),"нет мощности",""),IF(AND(P786&lt;&gt;"",COUNTIFS($A$3:$A$1000,A786,$P$3:$P$1000,P786)&gt;1),"дубль клеммы "&amp;P786,""),IF(AND(W786&lt;&gt;"",W786&lt;&gt;"ok"),W786,""),IF(X786&lt;&gt;"",X786,""),IF(AND(ISNUMBER(SEARCH("(5х",Q786)),N(AK786)=1),"5 жил на 1 фазе",""),IF(AND(AL786="R",E786&lt;&gt;"",N(AS786)=0),"розетка без 30 мА",""),IF(IFERROR(_xlfn.NUMBERVALUE(MID(Q786,FIND("-",Q786,FIND("L=",Q786))+1,FIND("%",Q786)-FIND("-",Q786,FIND("L=",Q786))-1),","),0)&gt;4,"потери &gt; 4 %","")))</f>
      </c>
      <c r="AF786" s="129">
        <f>IF(E786&lt;&gt;"",COUNTIFS($A$3:A786,A786,$E$3:E786,"?*"),IF(OR(A786&lt;&gt;A785,Y786="вручную"),"",AF785))</f>
        <v/>
      </c>
      <c r="AG786" s="129">
        <f t="shared" si="513"/>
        <v/>
      </c>
      <c r="AH786" s="129">
        <f t="shared" si="514"/>
        <v/>
      </c>
      <c r="AI786" s="129">
        <f t="shared" si="515"/>
        <v/>
      </c>
      <c r="AJ786" s="129">
        <f t="shared" si="516"/>
        <v/>
      </c>
      <c r="AK786" s="129">
        <f t="shared" si="517"/>
        <v/>
      </c>
      <c r="AL786" s="129">
        <f t="shared" si="518"/>
        <v/>
      </c>
      <c r="AM786" s="129">
        <f t="shared" si="519"/>
      </c>
      <c r="AN786" s="129">
        <f t="shared" si="520"/>
      </c>
      <c r="AO786" s="129">
        <f t="shared" si="521"/>
        <v/>
      </c>
      <c r="AP786" s="129">
        <f t="shared" si="522"/>
        <v/>
      </c>
      <c r="AQ786" s="129">
        <f t="shared" si="523"/>
        <v/>
      </c>
      <c r="AR786" s="129">
        <f t="shared" si="524"/>
        <v/>
      </c>
      <c r="AS786" s="129">
        <f t="shared" si="525"/>
        <v/>
      </c>
      <c r="AT786" s="129">
        <f t="shared" si="526"/>
        <v/>
      </c>
      <c r="AU786" s="129">
        <f t="shared" si="527"/>
        <v/>
      </c>
      <c r="AV786" s="129">
        <f t="shared" si="528"/>
        <v/>
      </c>
      <c r="AW786" s="129">
        <f>IF(AV786="","",AV786&amp;"."&amp;COUNTIFS($A$3:A786,A786,$AV$3:AV786,AV786))</f>
        <v/>
      </c>
      <c r="AX786" s="129">
        <f t="shared" si="529"/>
        <v/>
      </c>
      <c r="AY786" s="129">
        <f>IF(N786="б/к",0,IF(OR(ISNUMBER(SEARCH("L=",Разбивка_по_щитам!P786)),N786="+",N786="="),1,0))</f>
      </c>
      <c r="AZ786" s="129">
        <f t="shared" si="530"/>
        <v/>
      </c>
      <c r="BA786" s="129">
        <f t="shared" si="531"/>
      </c>
      <c r="BB786" s="129">
        <f t="shared" si="532"/>
      </c>
      <c r="BD786" s="129">
        <f t="shared" si="533"/>
      </c>
      <c r="BE786" s="129">
        <f t="shared" si="534"/>
      </c>
      <c r="BF786" s="129">
        <f t="shared" si="535"/>
      </c>
      <c r="BG786" s="129">
        <f t="shared" si="536"/>
        <v/>
      </c>
      <c r="BH786" s="129">
        <f t="shared" si="537"/>
        <v/>
      </c>
      <c r="BI786" s="129">
        <f t="shared" si="538"/>
        <v/>
      </c>
      <c r="BJ786" s="129">
        <f t="shared" si="539"/>
        <v/>
      </c>
      <c r="BK786" s="129">
        <f>IF(R786="","",IF(OR(BY786="",BY786=0),"BOX",IFERROR(IF(VLOOKUP(BY786,УГО_блоки,3,FALSE)&amp;""&lt;&gt;"",VLOOKUP(BY786,УГО_блоки,3,FALSE),VLOOKUP(BY786,УГО_блоки,2,FALSE)),BY786)))</f>
      </c>
      <c r="BL786" s="129">
        <f t="shared" si="541"/>
      </c>
      <c r="BM786" s="129">
        <f>IF(H786="","",IF(COUNTIF($H$3:H786,H786)=1,MAX($BM$2:BM785)+1,""))</f>
      </c>
      <c r="BN786" s="129">
        <f>IF(I786="","",IF(COUNTIF($I$3:I786,I786)+COUNTIF($J$2:J785,I786)+COUNTIF($K$2:K785,I786)=1,MAX($BN$2:BP785)+1,""))</f>
      </c>
      <c r="BO786" s="129">
        <f>IF(J786="","",IF(COUNTIF($I$3:I786,J786)+COUNTIF($J$3:J786,J786)+COUNTIF($K$2:K785,J786)=1,MAX($BN$2:BP785,BN786)+1,""))</f>
      </c>
      <c r="BP786" s="129">
        <f>IF(K786="","",IF(COUNTIF($I$3:I786,K786)+COUNTIF($J$3:J786,K786)+COUNTIF($K$3:K786,K786)=1,MAX($BN$2:BP785,BN786,BO786)+1,""))</f>
      </c>
      <c r="BQ786" s="129">
        <f>IF(AY786=1,IFERROR(MID(Q786,FIND(" (",Q786)+2,FIND(")",Q786,FIND(" (",Q786))-FIND(" (",Q786)-2),"?"),"")</f>
      </c>
      <c r="BR786" s="129">
        <f>IF(BQ786="","",IF(COUNTIF($BQ$3:BQ786,BQ786)=1,MAX($BR$2:BR785)+1,""))</f>
      </c>
      <c r="BS786" s="129">
        <f>IF(AW786="","",COUNTIF($AW$3:AW786,"?*"))</f>
      </c>
      <c r="BT786" s="129">
        <f>IF(OR(AW786="",AI786=""),"",IF(COUNTIFS($AW$3:AW786,"?*",$AI$3:AI786,AI786)=1,MAX($BT$2:BT785)+1,""))</f>
      </c>
      <c r="BU786" s="129">
        <f>IF(AE786="",0,IF(OR(ISNUMBER(SEARCH("дубль",AE786)),ISNUMBER(SEARCH("ПЕРЕГРУЗ",AE786)),ISNUMBER(SEARCH("ЗАЩИЩ",AE786)),ISNUMBER(SEARCH("КАНАЛ",AE786)),ISNUMBER(SEARCH("без 30",AE786))),2,1))</f>
      </c>
      <c r="BV786" s="129">
        <f>IF(R786="","",COUNTIF($R$3:R786,"?*"))</f>
      </c>
      <c r="BW786" s="129">
        <f>IF(AY786&lt;&gt;1,0,IF(MAX(IFERROR(--VLOOKUP(R786,УГО_спр,5,FALSE),0),IFERROR(--VLOOKUP(AL786,УГО_спр,5,FALSE),0),IFERROR(--VLOOKUP(LEFT(AL786,2),УГО_спр,5,FALSE),0))&gt;0,MAX(IFERROR(--VLOOKUP(R786,УГО_спр,5,FALSE),0),IFERROR(--VLOOKUP(AL786,УГО_спр,5,FALSE),0),IFERROR(--VLOOKUP(LEFT(AL786,2),УГО_спр,5,FALSE),0)),IF(IFERROR(--LEFT(SUBSTITUTE(BQ786,"x","х"),FIND("х",SUBSTITUTE(BQ786,"x","х"))-1),3)&gt;3,Каталог!$S$9,1)))</f>
      </c>
      <c r="BX786" s="129">
        <f>IF(AY786&lt;&gt;1,0,MAX(0,IFERROR(--LEFT(SUBSTITUTE(BQ786,"x","х"),FIND("х",SUBSTITUTE(BQ786,"x","х"))-1),3)-3*BW786))</f>
      </c>
      <c r="BY786" s="129">
        <f>IF(R786="","",IFERROR(VLOOKUP(R786,УГО_спр,2,FALSE),IFERROR(VLOOKUP(AL786,УГО_спр,2,FALSE),IFERROR(VLOOKUP(LEFT(AL786,2),УГО_спр,2,FALSE),""))))</f>
      </c>
    </row>
    <row r="787" spans="1:64" x14ac:dyDescent="0.3">
      <c r="A787" s="135">
        <f>IF(Разбивка_по_щитам!F787=0,"",Разбивка_по_щитам!F787)</f>
        <v/>
      </c>
      <c r="B787" s="138">
        <f>IF(A787="","",Разбивка_по_щитам!C787)</f>
        <v/>
      </c>
      <c r="C787" s="138">
        <f t="shared" si="502"/>
        <v/>
      </c>
      <c r="D787" s="266"/>
      <c r="E787" s="266"/>
      <c r="F787" s="267"/>
      <c r="G787" s="145">
        <f t="shared" si="503"/>
        <v/>
      </c>
      <c r="H787" s="145">
        <f t="shared" si="504"/>
        <v/>
      </c>
      <c r="I787" s="266"/>
      <c r="J787" s="267"/>
      <c r="K787" s="267"/>
      <c r="L787" s="266"/>
      <c r="M787" s="147">
        <f t="shared" si="505"/>
        <v/>
      </c>
      <c r="N787" s="267"/>
      <c r="O787" s="147">
        <f t="shared" si="506"/>
        <v/>
      </c>
      <c r="P787" s="268">
        <f>IF(AY787=1,"XT"&amp;COUNTIFS($A$3:A787,A787,$AY$3:AY787,1),"")</f>
        <v/>
      </c>
      <c r="Q787" s="152">
        <f>IF(R787="","",IFERROR(SUBSTITUTE(Разбивка_по_щитам!P787,CHAR(10)," "),""))</f>
        <v/>
      </c>
      <c r="R787" s="153">
        <f>IF(OR(Разбивка_по_щитам!H787="",Разбивка_по_щитам!H787=0),"",Разбивка_по_щитам!H787)</f>
        <v/>
      </c>
      <c r="S787" s="154">
        <f>IF(R787="","",IFERROR(Разбивка_по_щитам!J787&amp;"",""))</f>
        <v/>
      </c>
      <c r="T787" s="155">
        <f>IF(R787="","",IFERROR(--Разбивка_по_щитам!L787,""))</f>
        <v/>
      </c>
      <c r="U787" s="155">
        <f>IF(R787="","",IFERROR(--Разбивка_по_щитам!K787,""))</f>
        <v/>
      </c>
      <c r="V787" s="138">
        <f>IF(R787="","",IFERROR(IF(Разбивка_по_щитам!M787=0,"",Разбивка_по_щитам!M787),""))</f>
        <v/>
      </c>
      <c r="W787" s="156">
        <f t="shared" si="507"/>
        <v/>
      </c>
      <c r="X787" s="157">
        <f t="shared" si="508"/>
        <v/>
      </c>
      <c r="Y787" s="266"/>
      <c r="Z787" s="158">
        <f t="shared" si="509"/>
        <v/>
      </c>
      <c r="AA787" s="160">
        <f t="shared" si="510"/>
        <v/>
      </c>
      <c r="AB787" s="160">
        <f>IF(R787="","",IFERROR(LOOKUP(INDEX(Справочная!$I$4:$I$19,MATCH(VLOOKUP(R787,Исходные_данные,22,FALSE),Справочная!$J$4:$J$19,0)+1),{6,10,16,20,25,32,40,50,63,80,100,125}),""))</f>
        <v/>
      </c>
      <c r="AC787" s="160">
        <f t="shared" si="511"/>
        <v/>
      </c>
      <c r="AD787" s="161">
        <f t="shared" si="512"/>
        <v/>
      </c>
      <c r="AE787" s="161">
        <f>IF(AND(R787="",G787=""),"",_xlfn.TEXTJOIN("; ",TRUE,IF(AND(R787&lt;&gt;"",V787=""),"нет фазы",""),IF(AND(R787&lt;&gt;"",N(T787)=0),"нет мощности",""),IF(AND(P787&lt;&gt;"",COUNTIFS($A$3:$A$1000,A787,$P$3:$P$1000,P787)&gt;1),"дубль клеммы "&amp;P787,""),IF(AND(W787&lt;&gt;"",W787&lt;&gt;"ok"),W787,""),IF(X787&lt;&gt;"",X787,""),IF(AND(ISNUMBER(SEARCH("(5х",Q787)),N(AK787)=1),"5 жил на 1 фазе",""),IF(AND(AL787="R",E787&lt;&gt;"",N(AS787)=0),"розетка без 30 мА",""),IF(IFERROR(_xlfn.NUMBERVALUE(MID(Q787,FIND("-",Q787,FIND("L=",Q787))+1,FIND("%",Q787)-FIND("-",Q787,FIND("L=",Q787))-1),","),0)&gt;4,"потери &gt; 4 %","")))</f>
      </c>
      <c r="AF787" s="129">
        <f>IF(E787&lt;&gt;"",COUNTIFS($A$3:A787,A787,$E$3:E787,"?*"),IF(OR(A787&lt;&gt;A786,Y787="вручную"),"",AF786))</f>
        <v/>
      </c>
      <c r="AG787" s="129">
        <f t="shared" si="513"/>
        <v/>
      </c>
      <c r="AH787" s="129">
        <f t="shared" si="514"/>
        <v/>
      </c>
      <c r="AI787" s="129">
        <f t="shared" si="515"/>
        <v/>
      </c>
      <c r="AJ787" s="129">
        <f t="shared" si="516"/>
        <v/>
      </c>
      <c r="AK787" s="129">
        <f t="shared" si="517"/>
        <v/>
      </c>
      <c r="AL787" s="129">
        <f t="shared" si="518"/>
        <v/>
      </c>
      <c r="AM787" s="129">
        <f t="shared" si="519"/>
      </c>
      <c r="AN787" s="129">
        <f t="shared" si="520"/>
      </c>
      <c r="AO787" s="129">
        <f t="shared" si="521"/>
        <v/>
      </c>
      <c r="AP787" s="129">
        <f t="shared" si="522"/>
        <v/>
      </c>
      <c r="AQ787" s="129">
        <f t="shared" si="523"/>
        <v/>
      </c>
      <c r="AR787" s="129">
        <f t="shared" si="524"/>
        <v/>
      </c>
      <c r="AS787" s="129">
        <f t="shared" si="525"/>
        <v/>
      </c>
      <c r="AT787" s="129">
        <f t="shared" si="526"/>
        <v/>
      </c>
      <c r="AU787" s="129">
        <f t="shared" si="527"/>
        <v/>
      </c>
      <c r="AV787" s="129">
        <f t="shared" si="528"/>
        <v/>
      </c>
      <c r="AW787" s="129">
        <f>IF(AV787="","",AV787&amp;"."&amp;COUNTIFS($A$3:A787,A787,$AV$3:AV787,AV787))</f>
        <v/>
      </c>
      <c r="AX787" s="129">
        <f t="shared" si="529"/>
        <v/>
      </c>
      <c r="AY787" s="129">
        <f>IF(N787="б/к",0,IF(OR(ISNUMBER(SEARCH("L=",Разбивка_по_щитам!P787)),N787="+",N787="="),1,0))</f>
      </c>
      <c r="AZ787" s="129">
        <f t="shared" si="530"/>
        <v/>
      </c>
      <c r="BA787" s="129">
        <f t="shared" si="531"/>
      </c>
      <c r="BB787" s="129">
        <f t="shared" si="532"/>
      </c>
      <c r="BD787" s="129">
        <f t="shared" si="533"/>
      </c>
      <c r="BE787" s="129">
        <f t="shared" si="534"/>
      </c>
      <c r="BF787" s="129">
        <f t="shared" si="535"/>
      </c>
      <c r="BG787" s="129">
        <f t="shared" si="536"/>
        <v/>
      </c>
      <c r="BH787" s="129">
        <f t="shared" si="537"/>
        <v/>
      </c>
      <c r="BI787" s="129">
        <f t="shared" si="538"/>
        <v/>
      </c>
      <c r="BJ787" s="129">
        <f t="shared" si="539"/>
        <v/>
      </c>
      <c r="BK787" s="129">
        <f>IF(R787="","",IF(OR(BY787="",BY787=0),"BOX",IFERROR(IF(VLOOKUP(BY787,УГО_блоки,3,FALSE)&amp;""&lt;&gt;"",VLOOKUP(BY787,УГО_блоки,3,FALSE),VLOOKUP(BY787,УГО_блоки,2,FALSE)),BY787)))</f>
      </c>
      <c r="BL787" s="129">
        <f t="shared" si="541"/>
      </c>
      <c r="BM787" s="129">
        <f>IF(H787="","",IF(COUNTIF($H$3:H787,H787)=1,MAX($BM$2:BM786)+1,""))</f>
      </c>
      <c r="BN787" s="129">
        <f>IF(I787="","",IF(COUNTIF($I$3:I787,I787)+COUNTIF($J$2:J786,I787)+COUNTIF($K$2:K786,I787)=1,MAX($BN$2:BP786)+1,""))</f>
      </c>
      <c r="BO787" s="129">
        <f>IF(J787="","",IF(COUNTIF($I$3:I787,J787)+COUNTIF($J$3:J787,J787)+COUNTIF($K$2:K786,J787)=1,MAX($BN$2:BP786,BN787)+1,""))</f>
      </c>
      <c r="BP787" s="129">
        <f>IF(K787="","",IF(COUNTIF($I$3:I787,K787)+COUNTIF($J$3:J787,K787)+COUNTIF($K$3:K787,K787)=1,MAX($BN$2:BP786,BN787,BO787)+1,""))</f>
      </c>
      <c r="BQ787" s="129">
        <f>IF(AY787=1,IFERROR(MID(Q787,FIND(" (",Q787)+2,FIND(")",Q787,FIND(" (",Q787))-FIND(" (",Q787)-2),"?"),"")</f>
      </c>
      <c r="BR787" s="129">
        <f>IF(BQ787="","",IF(COUNTIF($BQ$3:BQ787,BQ787)=1,MAX($BR$2:BR786)+1,""))</f>
      </c>
      <c r="BS787" s="129">
        <f>IF(AW787="","",COUNTIF($AW$3:AW787,"?*"))</f>
      </c>
      <c r="BT787" s="129">
        <f>IF(OR(AW787="",AI787=""),"",IF(COUNTIFS($AW$3:AW787,"?*",$AI$3:AI787,AI787)=1,MAX($BT$2:BT786)+1,""))</f>
      </c>
      <c r="BU787" s="129">
        <f>IF(AE787="",0,IF(OR(ISNUMBER(SEARCH("дубль",AE787)),ISNUMBER(SEARCH("ПЕРЕГРУЗ",AE787)),ISNUMBER(SEARCH("ЗАЩИЩ",AE787)),ISNUMBER(SEARCH("КАНАЛ",AE787)),ISNUMBER(SEARCH("без 30",AE787))),2,1))</f>
      </c>
      <c r="BV787" s="129">
        <f>IF(R787="","",COUNTIF($R$3:R787,"?*"))</f>
      </c>
      <c r="BW787" s="129">
        <f>IF(AY787&lt;&gt;1,0,IF(MAX(IFERROR(--VLOOKUP(R787,УГО_спр,5,FALSE),0),IFERROR(--VLOOKUP(AL787,УГО_спр,5,FALSE),0),IFERROR(--VLOOKUP(LEFT(AL787,2),УГО_спр,5,FALSE),0))&gt;0,MAX(IFERROR(--VLOOKUP(R787,УГО_спр,5,FALSE),0),IFERROR(--VLOOKUP(AL787,УГО_спр,5,FALSE),0),IFERROR(--VLOOKUP(LEFT(AL787,2),УГО_спр,5,FALSE),0)),IF(IFERROR(--LEFT(SUBSTITUTE(BQ787,"x","х"),FIND("х",SUBSTITUTE(BQ787,"x","х"))-1),3)&gt;3,Каталог!$S$9,1)))</f>
      </c>
      <c r="BX787" s="129">
        <f>IF(AY787&lt;&gt;1,0,MAX(0,IFERROR(--LEFT(SUBSTITUTE(BQ787,"x","х"),FIND("х",SUBSTITUTE(BQ787,"x","х"))-1),3)-3*BW787))</f>
      </c>
      <c r="BY787" s="129">
        <f>IF(R787="","",IFERROR(VLOOKUP(R787,УГО_спр,2,FALSE),IFERROR(VLOOKUP(AL787,УГО_спр,2,FALSE),IFERROR(VLOOKUP(LEFT(AL787,2),УГО_спр,2,FALSE),""))))</f>
      </c>
    </row>
    <row r="788" spans="1:64" x14ac:dyDescent="0.3">
      <c r="A788" s="135">
        <f>IF(Разбивка_по_щитам!F788=0,"",Разбивка_по_щитам!F788)</f>
        <v/>
      </c>
      <c r="B788" s="138">
        <f>IF(A788="","",Разбивка_по_щитам!C788)</f>
        <v/>
      </c>
      <c r="C788" s="138">
        <f t="shared" si="502"/>
        <v/>
      </c>
      <c r="D788" s="266"/>
      <c r="E788" s="266"/>
      <c r="F788" s="267"/>
      <c r="G788" s="145">
        <f t="shared" si="503"/>
        <v/>
      </c>
      <c r="H788" s="145">
        <f t="shared" si="504"/>
        <v/>
      </c>
      <c r="I788" s="266"/>
      <c r="J788" s="267"/>
      <c r="K788" s="267"/>
      <c r="L788" s="266"/>
      <c r="M788" s="147">
        <f t="shared" si="505"/>
        <v/>
      </c>
      <c r="N788" s="267"/>
      <c r="O788" s="147">
        <f t="shared" si="506"/>
        <v/>
      </c>
      <c r="P788" s="268">
        <f>IF(AY788=1,"XT"&amp;COUNTIFS($A$3:A788,A788,$AY$3:AY788,1),"")</f>
        <v/>
      </c>
      <c r="Q788" s="152">
        <f>IF(R788="","",IFERROR(SUBSTITUTE(Разбивка_по_щитам!P788,CHAR(10)," "),""))</f>
        <v/>
      </c>
      <c r="R788" s="153">
        <f>IF(OR(Разбивка_по_щитам!H788="",Разбивка_по_щитам!H788=0),"",Разбивка_по_щитам!H788)</f>
        <v/>
      </c>
      <c r="S788" s="154">
        <f>IF(R788="","",IFERROR(Разбивка_по_щитам!J788&amp;"",""))</f>
        <v/>
      </c>
      <c r="T788" s="155">
        <f>IF(R788="","",IFERROR(--Разбивка_по_щитам!L788,""))</f>
        <v/>
      </c>
      <c r="U788" s="155">
        <f>IF(R788="","",IFERROR(--Разбивка_по_щитам!K788,""))</f>
        <v/>
      </c>
      <c r="V788" s="138">
        <f>IF(R788="","",IFERROR(IF(Разбивка_по_щитам!M788=0,"",Разбивка_по_щитам!M788),""))</f>
        <v/>
      </c>
      <c r="W788" s="156">
        <f t="shared" si="507"/>
        <v/>
      </c>
      <c r="X788" s="157">
        <f t="shared" si="508"/>
        <v/>
      </c>
      <c r="Y788" s="266"/>
      <c r="Z788" s="158">
        <f t="shared" si="509"/>
        <v/>
      </c>
      <c r="AA788" s="160">
        <f t="shared" si="510"/>
        <v/>
      </c>
      <c r="AB788" s="160">
        <f>IF(R788="","",IFERROR(LOOKUP(INDEX(Справочная!$I$4:$I$19,MATCH(VLOOKUP(R788,Исходные_данные,22,FALSE),Справочная!$J$4:$J$19,0)+1),{6,10,16,20,25,32,40,50,63,80,100,125}),""))</f>
        <v/>
      </c>
      <c r="AC788" s="160">
        <f t="shared" si="511"/>
        <v/>
      </c>
      <c r="AD788" s="161">
        <f t="shared" si="512"/>
        <v/>
      </c>
      <c r="AE788" s="161">
        <f>IF(AND(R788="",G788=""),"",_xlfn.TEXTJOIN("; ",TRUE,IF(AND(R788&lt;&gt;"",V788=""),"нет фазы",""),IF(AND(R788&lt;&gt;"",N(T788)=0),"нет мощности",""),IF(AND(P788&lt;&gt;"",COUNTIFS($A$3:$A$1000,A788,$P$3:$P$1000,P788)&gt;1),"дубль клеммы "&amp;P788,""),IF(AND(W788&lt;&gt;"",W788&lt;&gt;"ok"),W788,""),IF(X788&lt;&gt;"",X788,""),IF(AND(ISNUMBER(SEARCH("(5х",Q788)),N(AK788)=1),"5 жил на 1 фазе",""),IF(AND(AL788="R",E788&lt;&gt;"",N(AS788)=0),"розетка без 30 мА",""),IF(IFERROR(_xlfn.NUMBERVALUE(MID(Q788,FIND("-",Q788,FIND("L=",Q788))+1,FIND("%",Q788)-FIND("-",Q788,FIND("L=",Q788))-1),","),0)&gt;4,"потери &gt; 4 %","")))</f>
      </c>
      <c r="AF788" s="129">
        <f>IF(E788&lt;&gt;"",COUNTIFS($A$3:A788,A788,$E$3:E788,"?*"),IF(OR(A788&lt;&gt;A787,Y788="вручную"),"",AF787))</f>
        <v/>
      </c>
      <c r="AG788" s="129">
        <f t="shared" si="513"/>
        <v/>
      </c>
      <c r="AH788" s="129">
        <f t="shared" si="514"/>
        <v/>
      </c>
      <c r="AI788" s="129">
        <f t="shared" si="515"/>
        <v/>
      </c>
      <c r="AJ788" s="129">
        <f t="shared" si="516"/>
        <v/>
      </c>
      <c r="AK788" s="129">
        <f t="shared" si="517"/>
        <v/>
      </c>
      <c r="AL788" s="129">
        <f t="shared" si="518"/>
        <v/>
      </c>
      <c r="AM788" s="129">
        <f t="shared" si="519"/>
      </c>
      <c r="AN788" s="129">
        <f t="shared" si="520"/>
      </c>
      <c r="AO788" s="129">
        <f t="shared" si="521"/>
        <v/>
      </c>
      <c r="AP788" s="129">
        <f t="shared" si="522"/>
        <v/>
      </c>
      <c r="AQ788" s="129">
        <f t="shared" si="523"/>
        <v/>
      </c>
      <c r="AR788" s="129">
        <f t="shared" si="524"/>
        <v/>
      </c>
      <c r="AS788" s="129">
        <f t="shared" si="525"/>
        <v/>
      </c>
      <c r="AT788" s="129">
        <f t="shared" si="526"/>
        <v/>
      </c>
      <c r="AU788" s="129">
        <f t="shared" si="527"/>
        <v/>
      </c>
      <c r="AV788" s="129">
        <f t="shared" si="528"/>
        <v/>
      </c>
      <c r="AW788" s="129">
        <f>IF(AV788="","",AV788&amp;"."&amp;COUNTIFS($A$3:A788,A788,$AV$3:AV788,AV788))</f>
        <v/>
      </c>
      <c r="AX788" s="129">
        <f t="shared" si="529"/>
        <v/>
      </c>
      <c r="AY788" s="129">
        <f>IF(N788="б/к",0,IF(OR(ISNUMBER(SEARCH("L=",Разбивка_по_щитам!P788)),N788="+",N788="="),1,0))</f>
      </c>
      <c r="AZ788" s="129">
        <f t="shared" si="530"/>
        <v/>
      </c>
      <c r="BA788" s="129">
        <f t="shared" si="531"/>
      </c>
      <c r="BB788" s="129">
        <f t="shared" si="532"/>
      </c>
      <c r="BD788" s="129">
        <f t="shared" si="533"/>
      </c>
      <c r="BE788" s="129">
        <f t="shared" si="534"/>
      </c>
      <c r="BF788" s="129">
        <f t="shared" si="535"/>
      </c>
      <c r="BG788" s="129">
        <f t="shared" si="536"/>
        <v/>
      </c>
      <c r="BH788" s="129">
        <f t="shared" si="537"/>
        <v/>
      </c>
      <c r="BI788" s="129">
        <f t="shared" si="538"/>
        <v/>
      </c>
      <c r="BJ788" s="129">
        <f t="shared" si="539"/>
        <v/>
      </c>
      <c r="BK788" s="129">
        <f>IF(R788="","",IF(OR(BY788="",BY788=0),"BOX",IFERROR(IF(VLOOKUP(BY788,УГО_блоки,3,FALSE)&amp;""&lt;&gt;"",VLOOKUP(BY788,УГО_блоки,3,FALSE),VLOOKUP(BY788,УГО_блоки,2,FALSE)),BY788)))</f>
      </c>
      <c r="BL788" s="129">
        <f t="shared" si="541"/>
      </c>
      <c r="BM788" s="129">
        <f>IF(H788="","",IF(COUNTIF($H$3:H788,H788)=1,MAX($BM$2:BM787)+1,""))</f>
      </c>
      <c r="BN788" s="129">
        <f>IF(I788="","",IF(COUNTIF($I$3:I788,I788)+COUNTIF($J$2:J787,I788)+COUNTIF($K$2:K787,I788)=1,MAX($BN$2:BP787)+1,""))</f>
      </c>
      <c r="BO788" s="129">
        <f>IF(J788="","",IF(COUNTIF($I$3:I788,J788)+COUNTIF($J$3:J788,J788)+COUNTIF($K$2:K787,J788)=1,MAX($BN$2:BP787,BN788)+1,""))</f>
      </c>
      <c r="BP788" s="129">
        <f>IF(K788="","",IF(COUNTIF($I$3:I788,K788)+COUNTIF($J$3:J788,K788)+COUNTIF($K$3:K788,K788)=1,MAX($BN$2:BP787,BN788,BO788)+1,""))</f>
      </c>
      <c r="BQ788" s="129">
        <f>IF(AY788=1,IFERROR(MID(Q788,FIND(" (",Q788)+2,FIND(")",Q788,FIND(" (",Q788))-FIND(" (",Q788)-2),"?"),"")</f>
      </c>
      <c r="BR788" s="129">
        <f>IF(BQ788="","",IF(COUNTIF($BQ$3:BQ788,BQ788)=1,MAX($BR$2:BR787)+1,""))</f>
      </c>
      <c r="BS788" s="129">
        <f>IF(AW788="","",COUNTIF($AW$3:AW788,"?*"))</f>
      </c>
      <c r="BT788" s="129">
        <f>IF(OR(AW788="",AI788=""),"",IF(COUNTIFS($AW$3:AW788,"?*",$AI$3:AI788,AI788)=1,MAX($BT$2:BT787)+1,""))</f>
      </c>
      <c r="BU788" s="129">
        <f>IF(AE788="",0,IF(OR(ISNUMBER(SEARCH("дубль",AE788)),ISNUMBER(SEARCH("ПЕРЕГРУЗ",AE788)),ISNUMBER(SEARCH("ЗАЩИЩ",AE788)),ISNUMBER(SEARCH("КАНАЛ",AE788)),ISNUMBER(SEARCH("без 30",AE788))),2,1))</f>
      </c>
      <c r="BV788" s="129">
        <f>IF(R788="","",COUNTIF($R$3:R788,"?*"))</f>
      </c>
      <c r="BW788" s="129">
        <f>IF(AY788&lt;&gt;1,0,IF(MAX(IFERROR(--VLOOKUP(R788,УГО_спр,5,FALSE),0),IFERROR(--VLOOKUP(AL788,УГО_спр,5,FALSE),0),IFERROR(--VLOOKUP(LEFT(AL788,2),УГО_спр,5,FALSE),0))&gt;0,MAX(IFERROR(--VLOOKUP(R788,УГО_спр,5,FALSE),0),IFERROR(--VLOOKUP(AL788,УГО_спр,5,FALSE),0),IFERROR(--VLOOKUP(LEFT(AL788,2),УГО_спр,5,FALSE),0)),IF(IFERROR(--LEFT(SUBSTITUTE(BQ788,"x","х"),FIND("х",SUBSTITUTE(BQ788,"x","х"))-1),3)&gt;3,Каталог!$S$9,1)))</f>
      </c>
      <c r="BX788" s="129">
        <f>IF(AY788&lt;&gt;1,0,MAX(0,IFERROR(--LEFT(SUBSTITUTE(BQ788,"x","х"),FIND("х",SUBSTITUTE(BQ788,"x","х"))-1),3)-3*BW788))</f>
      </c>
      <c r="BY788" s="129">
        <f>IF(R788="","",IFERROR(VLOOKUP(R788,УГО_спр,2,FALSE),IFERROR(VLOOKUP(AL788,УГО_спр,2,FALSE),IFERROR(VLOOKUP(LEFT(AL788,2),УГО_спр,2,FALSE),""))))</f>
      </c>
    </row>
    <row r="789" spans="1:64" x14ac:dyDescent="0.3">
      <c r="A789" s="135">
        <f>IF(Разбивка_по_щитам!F789=0,"",Разбивка_по_щитам!F789)</f>
        <v/>
      </c>
      <c r="B789" s="138">
        <f>IF(A789="","",Разбивка_по_щитам!C789)</f>
        <v/>
      </c>
      <c r="C789" s="138">
        <f t="shared" si="502"/>
        <v/>
      </c>
      <c r="D789" s="266"/>
      <c r="E789" s="266"/>
      <c r="F789" s="267"/>
      <c r="G789" s="145">
        <f t="shared" si="503"/>
        <v/>
      </c>
      <c r="H789" s="145">
        <f t="shared" si="504"/>
        <v/>
      </c>
      <c r="I789" s="266"/>
      <c r="J789" s="267"/>
      <c r="K789" s="267"/>
      <c r="L789" s="266"/>
      <c r="M789" s="147">
        <f t="shared" si="505"/>
        <v/>
      </c>
      <c r="N789" s="267"/>
      <c r="O789" s="147">
        <f t="shared" si="506"/>
        <v/>
      </c>
      <c r="P789" s="268">
        <f>IF(AY789=1,"XT"&amp;COUNTIFS($A$3:A789,A789,$AY$3:AY789,1),"")</f>
        <v/>
      </c>
      <c r="Q789" s="152">
        <f>IF(R789="","",IFERROR(SUBSTITUTE(Разбивка_по_щитам!P789,CHAR(10)," "),""))</f>
        <v/>
      </c>
      <c r="R789" s="153">
        <f>IF(OR(Разбивка_по_щитам!H789="",Разбивка_по_щитам!H789=0),"",Разбивка_по_щитам!H789)</f>
        <v/>
      </c>
      <c r="S789" s="154">
        <f>IF(R789="","",IFERROR(Разбивка_по_щитам!J789&amp;"",""))</f>
        <v/>
      </c>
      <c r="T789" s="155">
        <f>IF(R789="","",IFERROR(--Разбивка_по_щитам!L789,""))</f>
        <v/>
      </c>
      <c r="U789" s="155">
        <f>IF(R789="","",IFERROR(--Разбивка_по_щитам!K789,""))</f>
        <v/>
      </c>
      <c r="V789" s="138">
        <f>IF(R789="","",IFERROR(IF(Разбивка_по_щитам!M789=0,"",Разбивка_по_щитам!M789),""))</f>
        <v/>
      </c>
      <c r="W789" s="156">
        <f t="shared" si="507"/>
        <v/>
      </c>
      <c r="X789" s="157">
        <f t="shared" si="508"/>
        <v/>
      </c>
      <c r="Y789" s="266"/>
      <c r="Z789" s="158">
        <f t="shared" si="509"/>
        <v/>
      </c>
      <c r="AA789" s="160">
        <f t="shared" si="510"/>
        <v/>
      </c>
      <c r="AB789" s="160">
        <f>IF(R789="","",IFERROR(LOOKUP(INDEX(Справочная!$I$4:$I$19,MATCH(VLOOKUP(R789,Исходные_данные,22,FALSE),Справочная!$J$4:$J$19,0)+1),{6,10,16,20,25,32,40,50,63,80,100,125}),""))</f>
        <v/>
      </c>
      <c r="AC789" s="160">
        <f t="shared" si="511"/>
        <v/>
      </c>
      <c r="AD789" s="161">
        <f t="shared" si="512"/>
        <v/>
      </c>
      <c r="AE789" s="161">
        <f>IF(AND(R789="",G789=""),"",_xlfn.TEXTJOIN("; ",TRUE,IF(AND(R789&lt;&gt;"",V789=""),"нет фазы",""),IF(AND(R789&lt;&gt;"",N(T789)=0),"нет мощности",""),IF(AND(P789&lt;&gt;"",COUNTIFS($A$3:$A$1000,A789,$P$3:$P$1000,P789)&gt;1),"дубль клеммы "&amp;P789,""),IF(AND(W789&lt;&gt;"",W789&lt;&gt;"ok"),W789,""),IF(X789&lt;&gt;"",X789,""),IF(AND(ISNUMBER(SEARCH("(5х",Q789)),N(AK789)=1),"5 жил на 1 фазе",""),IF(AND(AL789="R",E789&lt;&gt;"",N(AS789)=0),"розетка без 30 мА",""),IF(IFERROR(_xlfn.NUMBERVALUE(MID(Q789,FIND("-",Q789,FIND("L=",Q789))+1,FIND("%",Q789)-FIND("-",Q789,FIND("L=",Q789))-1),","),0)&gt;4,"потери &gt; 4 %","")))</f>
      </c>
      <c r="AF789" s="129">
        <f>IF(E789&lt;&gt;"",COUNTIFS($A$3:A789,A789,$E$3:E789,"?*"),IF(OR(A789&lt;&gt;A788,Y789="вручную"),"",AF788))</f>
        <v/>
      </c>
      <c r="AG789" s="129">
        <f t="shared" si="513"/>
        <v/>
      </c>
      <c r="AH789" s="129">
        <f t="shared" si="514"/>
        <v/>
      </c>
      <c r="AI789" s="129">
        <f t="shared" si="515"/>
        <v/>
      </c>
      <c r="AJ789" s="129">
        <f t="shared" si="516"/>
        <v/>
      </c>
      <c r="AK789" s="129">
        <f t="shared" si="517"/>
        <v/>
      </c>
      <c r="AL789" s="129">
        <f t="shared" si="518"/>
        <v/>
      </c>
      <c r="AM789" s="129">
        <f t="shared" si="519"/>
      </c>
      <c r="AN789" s="129">
        <f t="shared" si="520"/>
      </c>
      <c r="AO789" s="129">
        <f t="shared" si="521"/>
        <v/>
      </c>
      <c r="AP789" s="129">
        <f t="shared" si="522"/>
        <v/>
      </c>
      <c r="AQ789" s="129">
        <f t="shared" si="523"/>
        <v/>
      </c>
      <c r="AR789" s="129">
        <f t="shared" si="524"/>
        <v/>
      </c>
      <c r="AS789" s="129">
        <f t="shared" si="525"/>
        <v/>
      </c>
      <c r="AT789" s="129">
        <f t="shared" si="526"/>
        <v/>
      </c>
      <c r="AU789" s="129">
        <f t="shared" si="527"/>
        <v/>
      </c>
      <c r="AV789" s="129">
        <f t="shared" si="528"/>
        <v/>
      </c>
      <c r="AW789" s="129">
        <f>IF(AV789="","",AV789&amp;"."&amp;COUNTIFS($A$3:A789,A789,$AV$3:AV789,AV789))</f>
        <v/>
      </c>
      <c r="AX789" s="129">
        <f t="shared" si="529"/>
        <v/>
      </c>
      <c r="AY789" s="129">
        <f>IF(N789="б/к",0,IF(OR(ISNUMBER(SEARCH("L=",Разбивка_по_щитам!P789)),N789="+",N789="="),1,0))</f>
      </c>
      <c r="AZ789" s="129">
        <f t="shared" si="530"/>
        <v/>
      </c>
      <c r="BA789" s="129">
        <f t="shared" si="531"/>
      </c>
      <c r="BB789" s="129">
        <f t="shared" si="532"/>
      </c>
      <c r="BD789" s="129">
        <f t="shared" si="533"/>
      </c>
      <c r="BE789" s="129">
        <f t="shared" si="534"/>
      </c>
      <c r="BF789" s="129">
        <f t="shared" si="535"/>
      </c>
      <c r="BG789" s="129">
        <f t="shared" si="536"/>
        <v/>
      </c>
      <c r="BH789" s="129">
        <f t="shared" si="537"/>
        <v/>
      </c>
      <c r="BI789" s="129">
        <f t="shared" si="538"/>
        <v/>
      </c>
      <c r="BJ789" s="129">
        <f t="shared" si="539"/>
        <v/>
      </c>
      <c r="BK789" s="129">
        <f>IF(R789="","",IF(OR(BY789="",BY789=0),"BOX",IFERROR(IF(VLOOKUP(BY789,УГО_блоки,3,FALSE)&amp;""&lt;&gt;"",VLOOKUP(BY789,УГО_блоки,3,FALSE),VLOOKUP(BY789,УГО_блоки,2,FALSE)),BY789)))</f>
      </c>
      <c r="BL789" s="129">
        <f t="shared" si="541"/>
      </c>
      <c r="BM789" s="129">
        <f>IF(H789="","",IF(COUNTIF($H$3:H789,H789)=1,MAX($BM$2:BM788)+1,""))</f>
      </c>
      <c r="BN789" s="129">
        <f>IF(I789="","",IF(COUNTIF($I$3:I789,I789)+COUNTIF($J$2:J788,I789)+COUNTIF($K$2:K788,I789)=1,MAX($BN$2:BP788)+1,""))</f>
      </c>
      <c r="BO789" s="129">
        <f>IF(J789="","",IF(COUNTIF($I$3:I789,J789)+COUNTIF($J$3:J789,J789)+COUNTIF($K$2:K788,J789)=1,MAX($BN$2:BP788,BN789)+1,""))</f>
      </c>
      <c r="BP789" s="129">
        <f>IF(K789="","",IF(COUNTIF($I$3:I789,K789)+COUNTIF($J$3:J789,K789)+COUNTIF($K$3:K789,K789)=1,MAX($BN$2:BP788,BN789,BO789)+1,""))</f>
      </c>
      <c r="BQ789" s="129">
        <f>IF(AY789=1,IFERROR(MID(Q789,FIND(" (",Q789)+2,FIND(")",Q789,FIND(" (",Q789))-FIND(" (",Q789)-2),"?"),"")</f>
      </c>
      <c r="BR789" s="129">
        <f>IF(BQ789="","",IF(COUNTIF($BQ$3:BQ789,BQ789)=1,MAX($BR$2:BR788)+1,""))</f>
      </c>
      <c r="BS789" s="129">
        <f>IF(AW789="","",COUNTIF($AW$3:AW789,"?*"))</f>
      </c>
      <c r="BT789" s="129">
        <f>IF(OR(AW789="",AI789=""),"",IF(COUNTIFS($AW$3:AW789,"?*",$AI$3:AI789,AI789)=1,MAX($BT$2:BT788)+1,""))</f>
      </c>
      <c r="BU789" s="129">
        <f>IF(AE789="",0,IF(OR(ISNUMBER(SEARCH("дубль",AE789)),ISNUMBER(SEARCH("ПЕРЕГРУЗ",AE789)),ISNUMBER(SEARCH("ЗАЩИЩ",AE789)),ISNUMBER(SEARCH("КАНАЛ",AE789)),ISNUMBER(SEARCH("без 30",AE789))),2,1))</f>
      </c>
      <c r="BV789" s="129">
        <f>IF(R789="","",COUNTIF($R$3:R789,"?*"))</f>
      </c>
      <c r="BW789" s="129">
        <f>IF(AY789&lt;&gt;1,0,IF(MAX(IFERROR(--VLOOKUP(R789,УГО_спр,5,FALSE),0),IFERROR(--VLOOKUP(AL789,УГО_спр,5,FALSE),0),IFERROR(--VLOOKUP(LEFT(AL789,2),УГО_спр,5,FALSE),0))&gt;0,MAX(IFERROR(--VLOOKUP(R789,УГО_спр,5,FALSE),0),IFERROR(--VLOOKUP(AL789,УГО_спр,5,FALSE),0),IFERROR(--VLOOKUP(LEFT(AL789,2),УГО_спр,5,FALSE),0)),IF(IFERROR(--LEFT(SUBSTITUTE(BQ789,"x","х"),FIND("х",SUBSTITUTE(BQ789,"x","х"))-1),3)&gt;3,Каталог!$S$9,1)))</f>
      </c>
      <c r="BX789" s="129">
        <f>IF(AY789&lt;&gt;1,0,MAX(0,IFERROR(--LEFT(SUBSTITUTE(BQ789,"x","х"),FIND("х",SUBSTITUTE(BQ789,"x","х"))-1),3)-3*BW789))</f>
      </c>
      <c r="BY789" s="129">
        <f>IF(R789="","",IFERROR(VLOOKUP(R789,УГО_спр,2,FALSE),IFERROR(VLOOKUP(AL789,УГО_спр,2,FALSE),IFERROR(VLOOKUP(LEFT(AL789,2),УГО_спр,2,FALSE),""))))</f>
      </c>
    </row>
    <row r="790" spans="1:64" x14ac:dyDescent="0.3">
      <c r="A790" s="135">
        <f>IF(Разбивка_по_щитам!F790=0,"",Разбивка_по_щитам!F790)</f>
        <v/>
      </c>
      <c r="B790" s="138">
        <f>IF(A790="","",Разбивка_по_щитам!C790)</f>
        <v/>
      </c>
      <c r="C790" s="138">
        <f t="shared" si="502"/>
        <v/>
      </c>
      <c r="D790" s="266"/>
      <c r="E790" s="266"/>
      <c r="F790" s="267"/>
      <c r="G790" s="145">
        <f t="shared" si="503"/>
        <v/>
      </c>
      <c r="H790" s="145">
        <f t="shared" si="504"/>
        <v/>
      </c>
      <c r="I790" s="266"/>
      <c r="J790" s="267"/>
      <c r="K790" s="267"/>
      <c r="L790" s="266"/>
      <c r="M790" s="147">
        <f t="shared" si="505"/>
        <v/>
      </c>
      <c r="N790" s="267"/>
      <c r="O790" s="147">
        <f t="shared" si="506"/>
        <v/>
      </c>
      <c r="P790" s="268">
        <f>IF(AY790=1,"XT"&amp;COUNTIFS($A$3:A790,A790,$AY$3:AY790,1),"")</f>
        <v/>
      </c>
      <c r="Q790" s="152">
        <f>IF(R790="","",IFERROR(SUBSTITUTE(Разбивка_по_щитам!P790,CHAR(10)," "),""))</f>
        <v/>
      </c>
      <c r="R790" s="153">
        <f>IF(OR(Разбивка_по_щитам!H790="",Разбивка_по_щитам!H790=0),"",Разбивка_по_щитам!H790)</f>
        <v/>
      </c>
      <c r="S790" s="154">
        <f>IF(R790="","",IFERROR(Разбивка_по_щитам!J790&amp;"",""))</f>
        <v/>
      </c>
      <c r="T790" s="155">
        <f>IF(R790="","",IFERROR(--Разбивка_по_щитам!L790,""))</f>
        <v/>
      </c>
      <c r="U790" s="155">
        <f>IF(R790="","",IFERROR(--Разбивка_по_щитам!K790,""))</f>
        <v/>
      </c>
      <c r="V790" s="138">
        <f>IF(R790="","",IFERROR(IF(Разбивка_по_щитам!M790=0,"",Разбивка_по_щитам!M790),""))</f>
        <v/>
      </c>
      <c r="W790" s="156">
        <f t="shared" si="507"/>
        <v/>
      </c>
      <c r="X790" s="157">
        <f t="shared" si="508"/>
        <v/>
      </c>
      <c r="Y790" s="266"/>
      <c r="Z790" s="158">
        <f t="shared" si="509"/>
        <v/>
      </c>
      <c r="AA790" s="160">
        <f t="shared" si="510"/>
        <v/>
      </c>
      <c r="AB790" s="160">
        <f>IF(R790="","",IFERROR(LOOKUP(INDEX(Справочная!$I$4:$I$19,MATCH(VLOOKUP(R790,Исходные_данные,22,FALSE),Справочная!$J$4:$J$19,0)+1),{6,10,16,20,25,32,40,50,63,80,100,125}),""))</f>
        <v/>
      </c>
      <c r="AC790" s="160">
        <f t="shared" si="511"/>
        <v/>
      </c>
      <c r="AD790" s="161">
        <f t="shared" si="512"/>
        <v/>
      </c>
      <c r="AE790" s="161">
        <f>IF(AND(R790="",G790=""),"",_xlfn.TEXTJOIN("; ",TRUE,IF(AND(R790&lt;&gt;"",V790=""),"нет фазы",""),IF(AND(R790&lt;&gt;"",N(T790)=0),"нет мощности",""),IF(AND(P790&lt;&gt;"",COUNTIFS($A$3:$A$1000,A790,$P$3:$P$1000,P790)&gt;1),"дубль клеммы "&amp;P790,""),IF(AND(W790&lt;&gt;"",W790&lt;&gt;"ok"),W790,""),IF(X790&lt;&gt;"",X790,""),IF(AND(ISNUMBER(SEARCH("(5х",Q790)),N(AK790)=1),"5 жил на 1 фазе",""),IF(AND(AL790="R",E790&lt;&gt;"",N(AS790)=0),"розетка без 30 мА",""),IF(IFERROR(_xlfn.NUMBERVALUE(MID(Q790,FIND("-",Q790,FIND("L=",Q790))+1,FIND("%",Q790)-FIND("-",Q790,FIND("L=",Q790))-1),","),0)&gt;4,"потери &gt; 4 %","")))</f>
      </c>
      <c r="AF790" s="129">
        <f>IF(E790&lt;&gt;"",COUNTIFS($A$3:A790,A790,$E$3:E790,"?*"),IF(OR(A790&lt;&gt;A789,Y790="вручную"),"",AF789))</f>
        <v/>
      </c>
      <c r="AG790" s="129">
        <f t="shared" si="513"/>
        <v/>
      </c>
      <c r="AH790" s="129">
        <f t="shared" si="514"/>
        <v/>
      </c>
      <c r="AI790" s="129">
        <f t="shared" si="515"/>
        <v/>
      </c>
      <c r="AJ790" s="129">
        <f t="shared" si="516"/>
        <v/>
      </c>
      <c r="AK790" s="129">
        <f t="shared" si="517"/>
        <v/>
      </c>
      <c r="AL790" s="129">
        <f t="shared" si="518"/>
        <v/>
      </c>
      <c r="AM790" s="129">
        <f t="shared" si="519"/>
      </c>
      <c r="AN790" s="129">
        <f t="shared" si="520"/>
      </c>
      <c r="AO790" s="129">
        <f t="shared" si="521"/>
        <v/>
      </c>
      <c r="AP790" s="129">
        <f t="shared" si="522"/>
        <v/>
      </c>
      <c r="AQ790" s="129">
        <f t="shared" si="523"/>
        <v/>
      </c>
      <c r="AR790" s="129">
        <f t="shared" si="524"/>
        <v/>
      </c>
      <c r="AS790" s="129">
        <f t="shared" si="525"/>
        <v/>
      </c>
      <c r="AT790" s="129">
        <f t="shared" si="526"/>
        <v/>
      </c>
      <c r="AU790" s="129">
        <f t="shared" si="527"/>
        <v/>
      </c>
      <c r="AV790" s="129">
        <f t="shared" si="528"/>
        <v/>
      </c>
      <c r="AW790" s="129">
        <f>IF(AV790="","",AV790&amp;"."&amp;COUNTIFS($A$3:A790,A790,$AV$3:AV790,AV790))</f>
        <v/>
      </c>
      <c r="AX790" s="129">
        <f t="shared" si="529"/>
        <v/>
      </c>
      <c r="AY790" s="129">
        <f>IF(N790="б/к",0,IF(OR(ISNUMBER(SEARCH("L=",Разбивка_по_щитам!P790)),N790="+",N790="="),1,0))</f>
      </c>
      <c r="AZ790" s="129">
        <f t="shared" si="530"/>
        <v/>
      </c>
      <c r="BA790" s="129">
        <f t="shared" si="531"/>
      </c>
      <c r="BB790" s="129">
        <f t="shared" si="532"/>
      </c>
      <c r="BD790" s="129">
        <f t="shared" si="533"/>
      </c>
      <c r="BE790" s="129">
        <f t="shared" si="534"/>
      </c>
      <c r="BF790" s="129">
        <f t="shared" si="535"/>
      </c>
      <c r="BG790" s="129">
        <f t="shared" si="536"/>
        <v/>
      </c>
      <c r="BH790" s="129">
        <f t="shared" si="537"/>
        <v/>
      </c>
      <c r="BI790" s="129">
        <f t="shared" si="538"/>
        <v/>
      </c>
      <c r="BJ790" s="129">
        <f t="shared" si="539"/>
        <v/>
      </c>
      <c r="BK790" s="129">
        <f>IF(R790="","",IF(OR(BY790="",BY790=0),"BOX",IFERROR(IF(VLOOKUP(BY790,УГО_блоки,3,FALSE)&amp;""&lt;&gt;"",VLOOKUP(BY790,УГО_блоки,3,FALSE),VLOOKUP(BY790,УГО_блоки,2,FALSE)),BY790)))</f>
      </c>
      <c r="BL790" s="129">
        <f t="shared" si="541"/>
      </c>
      <c r="BM790" s="129">
        <f>IF(H790="","",IF(COUNTIF($H$3:H790,H790)=1,MAX($BM$2:BM789)+1,""))</f>
      </c>
      <c r="BN790" s="129">
        <f>IF(I790="","",IF(COUNTIF($I$3:I790,I790)+COUNTIF($J$2:J789,I790)+COUNTIF($K$2:K789,I790)=1,MAX($BN$2:BP789)+1,""))</f>
      </c>
      <c r="BO790" s="129">
        <f>IF(J790="","",IF(COUNTIF($I$3:I790,J790)+COUNTIF($J$3:J790,J790)+COUNTIF($K$2:K789,J790)=1,MAX($BN$2:BP789,BN790)+1,""))</f>
      </c>
      <c r="BP790" s="129">
        <f>IF(K790="","",IF(COUNTIF($I$3:I790,K790)+COUNTIF($J$3:J790,K790)+COUNTIF($K$3:K790,K790)=1,MAX($BN$2:BP789,BN790,BO790)+1,""))</f>
      </c>
      <c r="BQ790" s="129">
        <f>IF(AY790=1,IFERROR(MID(Q790,FIND(" (",Q790)+2,FIND(")",Q790,FIND(" (",Q790))-FIND(" (",Q790)-2),"?"),"")</f>
      </c>
      <c r="BR790" s="129">
        <f>IF(BQ790="","",IF(COUNTIF($BQ$3:BQ790,BQ790)=1,MAX($BR$2:BR789)+1,""))</f>
      </c>
      <c r="BS790" s="129">
        <f>IF(AW790="","",COUNTIF($AW$3:AW790,"?*"))</f>
      </c>
      <c r="BT790" s="129">
        <f>IF(OR(AW790="",AI790=""),"",IF(COUNTIFS($AW$3:AW790,"?*",$AI$3:AI790,AI790)=1,MAX($BT$2:BT789)+1,""))</f>
      </c>
      <c r="BU790" s="129">
        <f>IF(AE790="",0,IF(OR(ISNUMBER(SEARCH("дубль",AE790)),ISNUMBER(SEARCH("ПЕРЕГРУЗ",AE790)),ISNUMBER(SEARCH("ЗАЩИЩ",AE790)),ISNUMBER(SEARCH("КАНАЛ",AE790)),ISNUMBER(SEARCH("без 30",AE790))),2,1))</f>
      </c>
      <c r="BV790" s="129">
        <f>IF(R790="","",COUNTIF($R$3:R790,"?*"))</f>
      </c>
      <c r="BW790" s="129">
        <f>IF(AY790&lt;&gt;1,0,IF(MAX(IFERROR(--VLOOKUP(R790,УГО_спр,5,FALSE),0),IFERROR(--VLOOKUP(AL790,УГО_спр,5,FALSE),0),IFERROR(--VLOOKUP(LEFT(AL790,2),УГО_спр,5,FALSE),0))&gt;0,MAX(IFERROR(--VLOOKUP(R790,УГО_спр,5,FALSE),0),IFERROR(--VLOOKUP(AL790,УГО_спр,5,FALSE),0),IFERROR(--VLOOKUP(LEFT(AL790,2),УГО_спр,5,FALSE),0)),IF(IFERROR(--LEFT(SUBSTITUTE(BQ790,"x","х"),FIND("х",SUBSTITUTE(BQ790,"x","х"))-1),3)&gt;3,Каталог!$S$9,1)))</f>
      </c>
      <c r="BX790" s="129">
        <f>IF(AY790&lt;&gt;1,0,MAX(0,IFERROR(--LEFT(SUBSTITUTE(BQ790,"x","х"),FIND("х",SUBSTITUTE(BQ790,"x","х"))-1),3)-3*BW790))</f>
      </c>
      <c r="BY790" s="129">
        <f>IF(R790="","",IFERROR(VLOOKUP(R790,УГО_спр,2,FALSE),IFERROR(VLOOKUP(AL790,УГО_спр,2,FALSE),IFERROR(VLOOKUP(LEFT(AL790,2),УГО_спр,2,FALSE),""))))</f>
      </c>
    </row>
    <row r="791" spans="1:64" x14ac:dyDescent="0.3">
      <c r="A791" s="135">
        <f>IF(Разбивка_по_щитам!F791=0,"",Разбивка_по_щитам!F791)</f>
        <v/>
      </c>
      <c r="B791" s="138">
        <f>IF(A791="","",Разбивка_по_щитам!C791)</f>
        <v/>
      </c>
      <c r="C791" s="138">
        <f t="shared" si="502"/>
        <v/>
      </c>
      <c r="D791" s="266"/>
      <c r="E791" s="266"/>
      <c r="F791" s="267"/>
      <c r="G791" s="145">
        <f t="shared" si="503"/>
        <v/>
      </c>
      <c r="H791" s="145">
        <f t="shared" si="504"/>
        <v/>
      </c>
      <c r="I791" s="266"/>
      <c r="J791" s="267"/>
      <c r="K791" s="267"/>
      <c r="L791" s="266"/>
      <c r="M791" s="147">
        <f t="shared" si="505"/>
        <v/>
      </c>
      <c r="N791" s="267"/>
      <c r="O791" s="147">
        <f t="shared" si="506"/>
        <v/>
      </c>
      <c r="P791" s="268">
        <f>IF(AY791=1,"XT"&amp;COUNTIFS($A$3:A791,A791,$AY$3:AY791,1),"")</f>
        <v/>
      </c>
      <c r="Q791" s="152">
        <f>IF(R791="","",IFERROR(SUBSTITUTE(Разбивка_по_щитам!P791,CHAR(10)," "),""))</f>
        <v/>
      </c>
      <c r="R791" s="153">
        <f>IF(OR(Разбивка_по_щитам!H791="",Разбивка_по_щитам!H791=0),"",Разбивка_по_щитам!H791)</f>
        <v/>
      </c>
      <c r="S791" s="154">
        <f>IF(R791="","",IFERROR(Разбивка_по_щитам!J791&amp;"",""))</f>
        <v/>
      </c>
      <c r="T791" s="155">
        <f>IF(R791="","",IFERROR(--Разбивка_по_щитам!L791,""))</f>
        <v/>
      </c>
      <c r="U791" s="155">
        <f>IF(R791="","",IFERROR(--Разбивка_по_щитам!K791,""))</f>
        <v/>
      </c>
      <c r="V791" s="138">
        <f>IF(R791="","",IFERROR(IF(Разбивка_по_щитам!M791=0,"",Разбивка_по_щитам!M791),""))</f>
        <v/>
      </c>
      <c r="W791" s="156">
        <f t="shared" si="507"/>
        <v/>
      </c>
      <c r="X791" s="157">
        <f t="shared" si="508"/>
        <v/>
      </c>
      <c r="Y791" s="266"/>
      <c r="Z791" s="158">
        <f t="shared" si="509"/>
        <v/>
      </c>
      <c r="AA791" s="160">
        <f t="shared" si="510"/>
        <v/>
      </c>
      <c r="AB791" s="160">
        <f>IF(R791="","",IFERROR(LOOKUP(INDEX(Справочная!$I$4:$I$19,MATCH(VLOOKUP(R791,Исходные_данные,22,FALSE),Справочная!$J$4:$J$19,0)+1),{6,10,16,20,25,32,40,50,63,80,100,125}),""))</f>
        <v/>
      </c>
      <c r="AC791" s="160">
        <f t="shared" si="511"/>
        <v/>
      </c>
      <c r="AD791" s="161">
        <f t="shared" si="512"/>
        <v/>
      </c>
      <c r="AE791" s="161">
        <f>IF(AND(R791="",G791=""),"",_xlfn.TEXTJOIN("; ",TRUE,IF(AND(R791&lt;&gt;"",V791=""),"нет фазы",""),IF(AND(R791&lt;&gt;"",N(T791)=0),"нет мощности",""),IF(AND(P791&lt;&gt;"",COUNTIFS($A$3:$A$1000,A791,$P$3:$P$1000,P791)&gt;1),"дубль клеммы "&amp;P791,""),IF(AND(W791&lt;&gt;"",W791&lt;&gt;"ok"),W791,""),IF(X791&lt;&gt;"",X791,""),IF(AND(ISNUMBER(SEARCH("(5х",Q791)),N(AK791)=1),"5 жил на 1 фазе",""),IF(AND(AL791="R",E791&lt;&gt;"",N(AS791)=0),"розетка без 30 мА",""),IF(IFERROR(_xlfn.NUMBERVALUE(MID(Q791,FIND("-",Q791,FIND("L=",Q791))+1,FIND("%",Q791)-FIND("-",Q791,FIND("L=",Q791))-1),","),0)&gt;4,"потери &gt; 4 %","")))</f>
      </c>
      <c r="AF791" s="129">
        <f>IF(E791&lt;&gt;"",COUNTIFS($A$3:A791,A791,$E$3:E791,"?*"),IF(OR(A791&lt;&gt;A790,Y791="вручную"),"",AF790))</f>
        <v/>
      </c>
      <c r="AG791" s="129">
        <f t="shared" si="513"/>
        <v/>
      </c>
      <c r="AH791" s="129">
        <f t="shared" si="514"/>
        <v/>
      </c>
      <c r="AI791" s="129">
        <f t="shared" si="515"/>
        <v/>
      </c>
      <c r="AJ791" s="129">
        <f t="shared" si="516"/>
        <v/>
      </c>
      <c r="AK791" s="129">
        <f t="shared" si="517"/>
        <v/>
      </c>
      <c r="AL791" s="129">
        <f t="shared" si="518"/>
        <v/>
      </c>
      <c r="AM791" s="129">
        <f t="shared" si="519"/>
      </c>
      <c r="AN791" s="129">
        <f t="shared" si="520"/>
      </c>
      <c r="AO791" s="129">
        <f t="shared" si="521"/>
        <v/>
      </c>
      <c r="AP791" s="129">
        <f t="shared" si="522"/>
        <v/>
      </c>
      <c r="AQ791" s="129">
        <f t="shared" si="523"/>
        <v/>
      </c>
      <c r="AR791" s="129">
        <f t="shared" si="524"/>
        <v/>
      </c>
      <c r="AS791" s="129">
        <f t="shared" si="525"/>
        <v/>
      </c>
      <c r="AT791" s="129">
        <f t="shared" si="526"/>
        <v/>
      </c>
      <c r="AU791" s="129">
        <f t="shared" si="527"/>
        <v/>
      </c>
      <c r="AV791" s="129">
        <f t="shared" si="528"/>
        <v/>
      </c>
      <c r="AW791" s="129">
        <f>IF(AV791="","",AV791&amp;"."&amp;COUNTIFS($A$3:A791,A791,$AV$3:AV791,AV791))</f>
        <v/>
      </c>
      <c r="AX791" s="129">
        <f t="shared" si="529"/>
        <v/>
      </c>
      <c r="AY791" s="129">
        <f>IF(N791="б/к",0,IF(OR(ISNUMBER(SEARCH("L=",Разбивка_по_щитам!P791)),N791="+",N791="="),1,0))</f>
      </c>
      <c r="AZ791" s="129">
        <f t="shared" si="530"/>
        <v/>
      </c>
      <c r="BA791" s="129">
        <f t="shared" si="531"/>
      </c>
      <c r="BB791" s="129">
        <f t="shared" si="532"/>
      </c>
      <c r="BD791" s="129">
        <f t="shared" si="533"/>
      </c>
      <c r="BE791" s="129">
        <f t="shared" si="534"/>
      </c>
      <c r="BF791" s="129">
        <f t="shared" si="535"/>
      </c>
      <c r="BG791" s="129">
        <f t="shared" si="536"/>
        <v/>
      </c>
      <c r="BH791" s="129">
        <f t="shared" si="537"/>
        <v/>
      </c>
      <c r="BI791" s="129">
        <f t="shared" si="538"/>
        <v/>
      </c>
      <c r="BJ791" s="129">
        <f t="shared" si="539"/>
        <v/>
      </c>
      <c r="BK791" s="129">
        <f>IF(R791="","",IF(OR(BY791="",BY791=0),"BOX",IFERROR(IF(VLOOKUP(BY791,УГО_блоки,3,FALSE)&amp;""&lt;&gt;"",VLOOKUP(BY791,УГО_блоки,3,FALSE),VLOOKUP(BY791,УГО_блоки,2,FALSE)),BY791)))</f>
      </c>
      <c r="BL791" s="129">
        <f t="shared" si="541"/>
      </c>
      <c r="BM791" s="129">
        <f>IF(H791="","",IF(COUNTIF($H$3:H791,H791)=1,MAX($BM$2:BM790)+1,""))</f>
      </c>
      <c r="BN791" s="129">
        <f>IF(I791="","",IF(COUNTIF($I$3:I791,I791)+COUNTIF($J$2:J790,I791)+COUNTIF($K$2:K790,I791)=1,MAX($BN$2:BP790)+1,""))</f>
      </c>
      <c r="BO791" s="129">
        <f>IF(J791="","",IF(COUNTIF($I$3:I791,J791)+COUNTIF($J$3:J791,J791)+COUNTIF($K$2:K790,J791)=1,MAX($BN$2:BP790,BN791)+1,""))</f>
      </c>
      <c r="BP791" s="129">
        <f>IF(K791="","",IF(COUNTIF($I$3:I791,K791)+COUNTIF($J$3:J791,K791)+COUNTIF($K$3:K791,K791)=1,MAX($BN$2:BP790,BN791,BO791)+1,""))</f>
      </c>
      <c r="BQ791" s="129">
        <f>IF(AY791=1,IFERROR(MID(Q791,FIND(" (",Q791)+2,FIND(")",Q791,FIND(" (",Q791))-FIND(" (",Q791)-2),"?"),"")</f>
      </c>
      <c r="BR791" s="129">
        <f>IF(BQ791="","",IF(COUNTIF($BQ$3:BQ791,BQ791)=1,MAX($BR$2:BR790)+1,""))</f>
      </c>
      <c r="BS791" s="129">
        <f>IF(AW791="","",COUNTIF($AW$3:AW791,"?*"))</f>
      </c>
      <c r="BT791" s="129">
        <f>IF(OR(AW791="",AI791=""),"",IF(COUNTIFS($AW$3:AW791,"?*",$AI$3:AI791,AI791)=1,MAX($BT$2:BT790)+1,""))</f>
      </c>
      <c r="BU791" s="129">
        <f>IF(AE791="",0,IF(OR(ISNUMBER(SEARCH("дубль",AE791)),ISNUMBER(SEARCH("ПЕРЕГРУЗ",AE791)),ISNUMBER(SEARCH("ЗАЩИЩ",AE791)),ISNUMBER(SEARCH("КАНАЛ",AE791)),ISNUMBER(SEARCH("без 30",AE791))),2,1))</f>
      </c>
      <c r="BV791" s="129">
        <f>IF(R791="","",COUNTIF($R$3:R791,"?*"))</f>
      </c>
      <c r="BW791" s="129">
        <f>IF(AY791&lt;&gt;1,0,IF(MAX(IFERROR(--VLOOKUP(R791,УГО_спр,5,FALSE),0),IFERROR(--VLOOKUP(AL791,УГО_спр,5,FALSE),0),IFERROR(--VLOOKUP(LEFT(AL791,2),УГО_спр,5,FALSE),0))&gt;0,MAX(IFERROR(--VLOOKUP(R791,УГО_спр,5,FALSE),0),IFERROR(--VLOOKUP(AL791,УГО_спр,5,FALSE),0),IFERROR(--VLOOKUP(LEFT(AL791,2),УГО_спр,5,FALSE),0)),IF(IFERROR(--LEFT(SUBSTITUTE(BQ791,"x","х"),FIND("х",SUBSTITUTE(BQ791,"x","х"))-1),3)&gt;3,Каталог!$S$9,1)))</f>
      </c>
      <c r="BX791" s="129">
        <f>IF(AY791&lt;&gt;1,0,MAX(0,IFERROR(--LEFT(SUBSTITUTE(BQ791,"x","х"),FIND("х",SUBSTITUTE(BQ791,"x","х"))-1),3)-3*BW791))</f>
      </c>
      <c r="BY791" s="129">
        <f>IF(R791="","",IFERROR(VLOOKUP(R791,УГО_спр,2,FALSE),IFERROR(VLOOKUP(AL791,УГО_спр,2,FALSE),IFERROR(VLOOKUP(LEFT(AL791,2),УГО_спр,2,FALSE),""))))</f>
      </c>
    </row>
    <row r="792" spans="1:64" x14ac:dyDescent="0.3">
      <c r="A792" s="135">
        <f>IF(Разбивка_по_щитам!F792=0,"",Разбивка_по_щитам!F792)</f>
        <v/>
      </c>
      <c r="B792" s="138">
        <f>IF(A792="","",Разбивка_по_щитам!C792)</f>
        <v/>
      </c>
      <c r="C792" s="138">
        <f t="shared" si="502"/>
        <v/>
      </c>
      <c r="D792" s="266"/>
      <c r="E792" s="266"/>
      <c r="F792" s="267"/>
      <c r="G792" s="145">
        <f t="shared" si="503"/>
        <v/>
      </c>
      <c r="H792" s="145">
        <f t="shared" si="504"/>
        <v/>
      </c>
      <c r="I792" s="266"/>
      <c r="J792" s="267"/>
      <c r="K792" s="267"/>
      <c r="L792" s="266"/>
      <c r="M792" s="147">
        <f t="shared" si="505"/>
        <v/>
      </c>
      <c r="N792" s="267"/>
      <c r="O792" s="147">
        <f t="shared" si="506"/>
        <v/>
      </c>
      <c r="P792" s="268">
        <f>IF(AY792=1,"XT"&amp;COUNTIFS($A$3:A792,A792,$AY$3:AY792,1),"")</f>
        <v/>
      </c>
      <c r="Q792" s="152">
        <f>IF(R792="","",IFERROR(SUBSTITUTE(Разбивка_по_щитам!P792,CHAR(10)," "),""))</f>
        <v/>
      </c>
      <c r="R792" s="153">
        <f>IF(OR(Разбивка_по_щитам!H792="",Разбивка_по_щитам!H792=0),"",Разбивка_по_щитам!H792)</f>
        <v/>
      </c>
      <c r="S792" s="154">
        <f>IF(R792="","",IFERROR(Разбивка_по_щитам!J792&amp;"",""))</f>
        <v/>
      </c>
      <c r="T792" s="155">
        <f>IF(R792="","",IFERROR(--Разбивка_по_щитам!L792,""))</f>
        <v/>
      </c>
      <c r="U792" s="155">
        <f>IF(R792="","",IFERROR(--Разбивка_по_щитам!K792,""))</f>
        <v/>
      </c>
      <c r="V792" s="138">
        <f>IF(R792="","",IFERROR(IF(Разбивка_по_щитам!M792=0,"",Разбивка_по_щитам!M792),""))</f>
        <v/>
      </c>
      <c r="W792" s="156">
        <f t="shared" si="507"/>
        <v/>
      </c>
      <c r="X792" s="157">
        <f t="shared" si="508"/>
        <v/>
      </c>
      <c r="Y792" s="266"/>
      <c r="Z792" s="158">
        <f t="shared" si="509"/>
        <v/>
      </c>
      <c r="AA792" s="160">
        <f t="shared" si="510"/>
        <v/>
      </c>
      <c r="AB792" s="160">
        <f>IF(R792="","",IFERROR(LOOKUP(INDEX(Справочная!$I$4:$I$19,MATCH(VLOOKUP(R792,Исходные_данные,22,FALSE),Справочная!$J$4:$J$19,0)+1),{6,10,16,20,25,32,40,50,63,80,100,125}),""))</f>
        <v/>
      </c>
      <c r="AC792" s="160">
        <f t="shared" si="511"/>
        <v/>
      </c>
      <c r="AD792" s="161">
        <f t="shared" si="512"/>
        <v/>
      </c>
      <c r="AE792" s="161">
        <f>IF(AND(R792="",G792=""),"",_xlfn.TEXTJOIN("; ",TRUE,IF(AND(R792&lt;&gt;"",V792=""),"нет фазы",""),IF(AND(R792&lt;&gt;"",N(T792)=0),"нет мощности",""),IF(AND(P792&lt;&gt;"",COUNTIFS($A$3:$A$1000,A792,$P$3:$P$1000,P792)&gt;1),"дубль клеммы "&amp;P792,""),IF(AND(W792&lt;&gt;"",W792&lt;&gt;"ok"),W792,""),IF(X792&lt;&gt;"",X792,""),IF(AND(ISNUMBER(SEARCH("(5х",Q792)),N(AK792)=1),"5 жил на 1 фазе",""),IF(AND(AL792="R",E792&lt;&gt;"",N(AS792)=0),"розетка без 30 мА",""),IF(IFERROR(_xlfn.NUMBERVALUE(MID(Q792,FIND("-",Q792,FIND("L=",Q792))+1,FIND("%",Q792)-FIND("-",Q792,FIND("L=",Q792))-1),","),0)&gt;4,"потери &gt; 4 %","")))</f>
      </c>
      <c r="AF792" s="129">
        <f>IF(E792&lt;&gt;"",COUNTIFS($A$3:A792,A792,$E$3:E792,"?*"),IF(OR(A792&lt;&gt;A791,Y792="вручную"),"",AF791))</f>
        <v/>
      </c>
      <c r="AG792" s="129">
        <f t="shared" si="513"/>
        <v/>
      </c>
      <c r="AH792" s="129">
        <f t="shared" si="514"/>
        <v/>
      </c>
      <c r="AI792" s="129">
        <f t="shared" si="515"/>
        <v/>
      </c>
      <c r="AJ792" s="129">
        <f t="shared" si="516"/>
        <v/>
      </c>
      <c r="AK792" s="129">
        <f t="shared" si="517"/>
        <v/>
      </c>
      <c r="AL792" s="129">
        <f t="shared" si="518"/>
        <v/>
      </c>
      <c r="AM792" s="129">
        <f t="shared" si="519"/>
      </c>
      <c r="AN792" s="129">
        <f t="shared" si="520"/>
      </c>
      <c r="AO792" s="129">
        <f t="shared" si="521"/>
        <v/>
      </c>
      <c r="AP792" s="129">
        <f t="shared" si="522"/>
        <v/>
      </c>
      <c r="AQ792" s="129">
        <f t="shared" si="523"/>
        <v/>
      </c>
      <c r="AR792" s="129">
        <f t="shared" si="524"/>
        <v/>
      </c>
      <c r="AS792" s="129">
        <f t="shared" si="525"/>
        <v/>
      </c>
      <c r="AT792" s="129">
        <f t="shared" si="526"/>
        <v/>
      </c>
      <c r="AU792" s="129">
        <f t="shared" si="527"/>
        <v/>
      </c>
      <c r="AV792" s="129">
        <f t="shared" si="528"/>
        <v/>
      </c>
      <c r="AW792" s="129">
        <f>IF(AV792="","",AV792&amp;"."&amp;COUNTIFS($A$3:A792,A792,$AV$3:AV792,AV792))</f>
        <v/>
      </c>
      <c r="AX792" s="129">
        <f t="shared" si="529"/>
        <v/>
      </c>
      <c r="AY792" s="129">
        <f>IF(N792="б/к",0,IF(OR(ISNUMBER(SEARCH("L=",Разбивка_по_щитам!P792)),N792="+",N792="="),1,0))</f>
      </c>
      <c r="AZ792" s="129">
        <f t="shared" si="530"/>
        <v/>
      </c>
      <c r="BA792" s="129">
        <f t="shared" si="531"/>
      </c>
      <c r="BB792" s="129">
        <f t="shared" si="532"/>
      </c>
      <c r="BD792" s="129">
        <f t="shared" si="533"/>
      </c>
      <c r="BE792" s="129">
        <f t="shared" si="534"/>
      </c>
      <c r="BF792" s="129">
        <f t="shared" si="535"/>
      </c>
      <c r="BG792" s="129">
        <f t="shared" si="536"/>
        <v/>
      </c>
      <c r="BH792" s="129">
        <f t="shared" si="537"/>
        <v/>
      </c>
      <c r="BI792" s="129">
        <f t="shared" si="538"/>
        <v/>
      </c>
      <c r="BJ792" s="129">
        <f t="shared" si="539"/>
        <v/>
      </c>
      <c r="BK792" s="129">
        <f>IF(R792="","",IF(OR(BY792="",BY792=0),"BOX",IFERROR(IF(VLOOKUP(BY792,УГО_блоки,3,FALSE)&amp;""&lt;&gt;"",VLOOKUP(BY792,УГО_блоки,3,FALSE),VLOOKUP(BY792,УГО_блоки,2,FALSE)),BY792)))</f>
      </c>
      <c r="BL792" s="129">
        <f t="shared" si="541"/>
      </c>
      <c r="BM792" s="129">
        <f>IF(H792="","",IF(COUNTIF($H$3:H792,H792)=1,MAX($BM$2:BM791)+1,""))</f>
      </c>
      <c r="BN792" s="129">
        <f>IF(I792="","",IF(COUNTIF($I$3:I792,I792)+COUNTIF($J$2:J791,I792)+COUNTIF($K$2:K791,I792)=1,MAX($BN$2:BP791)+1,""))</f>
      </c>
      <c r="BO792" s="129">
        <f>IF(J792="","",IF(COUNTIF($I$3:I792,J792)+COUNTIF($J$3:J792,J792)+COUNTIF($K$2:K791,J792)=1,MAX($BN$2:BP791,BN792)+1,""))</f>
      </c>
      <c r="BP792" s="129">
        <f>IF(K792="","",IF(COUNTIF($I$3:I792,K792)+COUNTIF($J$3:J792,K792)+COUNTIF($K$3:K792,K792)=1,MAX($BN$2:BP791,BN792,BO792)+1,""))</f>
      </c>
      <c r="BQ792" s="129">
        <f>IF(AY792=1,IFERROR(MID(Q792,FIND(" (",Q792)+2,FIND(")",Q792,FIND(" (",Q792))-FIND(" (",Q792)-2),"?"),"")</f>
      </c>
      <c r="BR792" s="129">
        <f>IF(BQ792="","",IF(COUNTIF($BQ$3:BQ792,BQ792)=1,MAX($BR$2:BR791)+1,""))</f>
      </c>
      <c r="BS792" s="129">
        <f>IF(AW792="","",COUNTIF($AW$3:AW792,"?*"))</f>
      </c>
      <c r="BT792" s="129">
        <f>IF(OR(AW792="",AI792=""),"",IF(COUNTIFS($AW$3:AW792,"?*",$AI$3:AI792,AI792)=1,MAX($BT$2:BT791)+1,""))</f>
      </c>
      <c r="BU792" s="129">
        <f>IF(AE792="",0,IF(OR(ISNUMBER(SEARCH("дубль",AE792)),ISNUMBER(SEARCH("ПЕРЕГРУЗ",AE792)),ISNUMBER(SEARCH("ЗАЩИЩ",AE792)),ISNUMBER(SEARCH("КАНАЛ",AE792)),ISNUMBER(SEARCH("без 30",AE792))),2,1))</f>
      </c>
      <c r="BV792" s="129">
        <f>IF(R792="","",COUNTIF($R$3:R792,"?*"))</f>
      </c>
      <c r="BW792" s="129">
        <f>IF(AY792&lt;&gt;1,0,IF(MAX(IFERROR(--VLOOKUP(R792,УГО_спр,5,FALSE),0),IFERROR(--VLOOKUP(AL792,УГО_спр,5,FALSE),0),IFERROR(--VLOOKUP(LEFT(AL792,2),УГО_спр,5,FALSE),0))&gt;0,MAX(IFERROR(--VLOOKUP(R792,УГО_спр,5,FALSE),0),IFERROR(--VLOOKUP(AL792,УГО_спр,5,FALSE),0),IFERROR(--VLOOKUP(LEFT(AL792,2),УГО_спр,5,FALSE),0)),IF(IFERROR(--LEFT(SUBSTITUTE(BQ792,"x","х"),FIND("х",SUBSTITUTE(BQ792,"x","х"))-1),3)&gt;3,Каталог!$S$9,1)))</f>
      </c>
      <c r="BX792" s="129">
        <f>IF(AY792&lt;&gt;1,0,MAX(0,IFERROR(--LEFT(SUBSTITUTE(BQ792,"x","х"),FIND("х",SUBSTITUTE(BQ792,"x","х"))-1),3)-3*BW792))</f>
      </c>
      <c r="BY792" s="129">
        <f>IF(R792="","",IFERROR(VLOOKUP(R792,УГО_спр,2,FALSE),IFERROR(VLOOKUP(AL792,УГО_спр,2,FALSE),IFERROR(VLOOKUP(LEFT(AL792,2),УГО_спр,2,FALSE),""))))</f>
      </c>
    </row>
    <row r="793" spans="1:64" x14ac:dyDescent="0.3">
      <c r="A793" s="135">
        <f>IF(Разбивка_по_щитам!F793=0,"",Разбивка_по_щитам!F793)</f>
        <v/>
      </c>
      <c r="B793" s="138">
        <f>IF(A793="","",Разбивка_по_щитам!C793)</f>
        <v/>
      </c>
      <c r="C793" s="138">
        <f t="shared" si="502"/>
        <v/>
      </c>
      <c r="D793" s="266"/>
      <c r="E793" s="266"/>
      <c r="F793" s="267"/>
      <c r="G793" s="145">
        <f t="shared" si="503"/>
        <v/>
      </c>
      <c r="H793" s="145">
        <f t="shared" si="504"/>
        <v/>
      </c>
      <c r="I793" s="266"/>
      <c r="J793" s="267"/>
      <c r="K793" s="267"/>
      <c r="L793" s="266"/>
      <c r="M793" s="147">
        <f t="shared" si="505"/>
        <v/>
      </c>
      <c r="N793" s="267"/>
      <c r="O793" s="147">
        <f t="shared" si="506"/>
        <v/>
      </c>
      <c r="P793" s="268">
        <f>IF(AY793=1,"XT"&amp;COUNTIFS($A$3:A793,A793,$AY$3:AY793,1),"")</f>
        <v/>
      </c>
      <c r="Q793" s="152">
        <f>IF(R793="","",IFERROR(SUBSTITUTE(Разбивка_по_щитам!P793,CHAR(10)," "),""))</f>
        <v/>
      </c>
      <c r="R793" s="153">
        <f>IF(OR(Разбивка_по_щитам!H793="",Разбивка_по_щитам!H793=0),"",Разбивка_по_щитам!H793)</f>
        <v/>
      </c>
      <c r="S793" s="154">
        <f>IF(R793="","",IFERROR(Разбивка_по_щитам!J793&amp;"",""))</f>
        <v/>
      </c>
      <c r="T793" s="155">
        <f>IF(R793="","",IFERROR(--Разбивка_по_щитам!L793,""))</f>
        <v/>
      </c>
      <c r="U793" s="155">
        <f>IF(R793="","",IFERROR(--Разбивка_по_щитам!K793,""))</f>
        <v/>
      </c>
      <c r="V793" s="138">
        <f>IF(R793="","",IFERROR(IF(Разбивка_по_щитам!M793=0,"",Разбивка_по_щитам!M793),""))</f>
        <v/>
      </c>
      <c r="W793" s="156">
        <f t="shared" si="507"/>
        <v/>
      </c>
      <c r="X793" s="157">
        <f t="shared" si="508"/>
        <v/>
      </c>
      <c r="Y793" s="266"/>
      <c r="Z793" s="158">
        <f t="shared" si="509"/>
        <v/>
      </c>
      <c r="AA793" s="160">
        <f t="shared" si="510"/>
        <v/>
      </c>
      <c r="AB793" s="160">
        <f>IF(R793="","",IFERROR(LOOKUP(INDEX(Справочная!$I$4:$I$19,MATCH(VLOOKUP(R793,Исходные_данные,22,FALSE),Справочная!$J$4:$J$19,0)+1),{6,10,16,20,25,32,40,50,63,80,100,125}),""))</f>
        <v/>
      </c>
      <c r="AC793" s="160">
        <f t="shared" si="511"/>
        <v/>
      </c>
      <c r="AD793" s="161">
        <f t="shared" si="512"/>
        <v/>
      </c>
      <c r="AE793" s="161">
        <f>IF(AND(R793="",G793=""),"",_xlfn.TEXTJOIN("; ",TRUE,IF(AND(R793&lt;&gt;"",V793=""),"нет фазы",""),IF(AND(R793&lt;&gt;"",N(T793)=0),"нет мощности",""),IF(AND(P793&lt;&gt;"",COUNTIFS($A$3:$A$1000,A793,$P$3:$P$1000,P793)&gt;1),"дубль клеммы "&amp;P793,""),IF(AND(W793&lt;&gt;"",W793&lt;&gt;"ok"),W793,""),IF(X793&lt;&gt;"",X793,""),IF(AND(ISNUMBER(SEARCH("(5х",Q793)),N(AK793)=1),"5 жил на 1 фазе",""),IF(AND(AL793="R",E793&lt;&gt;"",N(AS793)=0),"розетка без 30 мА",""),IF(IFERROR(_xlfn.NUMBERVALUE(MID(Q793,FIND("-",Q793,FIND("L=",Q793))+1,FIND("%",Q793)-FIND("-",Q793,FIND("L=",Q793))-1),","),0)&gt;4,"потери &gt; 4 %","")))</f>
      </c>
      <c r="AF793" s="129">
        <f>IF(E793&lt;&gt;"",COUNTIFS($A$3:A793,A793,$E$3:E793,"?*"),IF(OR(A793&lt;&gt;A792,Y793="вручную"),"",AF792))</f>
        <v/>
      </c>
      <c r="AG793" s="129">
        <f t="shared" si="513"/>
        <v/>
      </c>
      <c r="AH793" s="129">
        <f t="shared" si="514"/>
        <v/>
      </c>
      <c r="AI793" s="129">
        <f t="shared" si="515"/>
        <v/>
      </c>
      <c r="AJ793" s="129">
        <f t="shared" si="516"/>
        <v/>
      </c>
      <c r="AK793" s="129">
        <f t="shared" si="517"/>
        <v/>
      </c>
      <c r="AL793" s="129">
        <f t="shared" si="518"/>
        <v/>
      </c>
      <c r="AM793" s="129">
        <f t="shared" si="519"/>
      </c>
      <c r="AN793" s="129">
        <f t="shared" si="520"/>
      </c>
      <c r="AO793" s="129">
        <f t="shared" si="521"/>
        <v/>
      </c>
      <c r="AP793" s="129">
        <f t="shared" si="522"/>
        <v/>
      </c>
      <c r="AQ793" s="129">
        <f t="shared" si="523"/>
        <v/>
      </c>
      <c r="AR793" s="129">
        <f t="shared" si="524"/>
        <v/>
      </c>
      <c r="AS793" s="129">
        <f t="shared" si="525"/>
        <v/>
      </c>
      <c r="AT793" s="129">
        <f t="shared" si="526"/>
        <v/>
      </c>
      <c r="AU793" s="129">
        <f t="shared" si="527"/>
        <v/>
      </c>
      <c r="AV793" s="129">
        <f t="shared" si="528"/>
        <v/>
      </c>
      <c r="AW793" s="129">
        <f>IF(AV793="","",AV793&amp;"."&amp;COUNTIFS($A$3:A793,A793,$AV$3:AV793,AV793))</f>
        <v/>
      </c>
      <c r="AX793" s="129">
        <f t="shared" si="529"/>
        <v/>
      </c>
      <c r="AY793" s="129">
        <f>IF(N793="б/к",0,IF(OR(ISNUMBER(SEARCH("L=",Разбивка_по_щитам!P793)),N793="+",N793="="),1,0))</f>
      </c>
      <c r="AZ793" s="129">
        <f t="shared" si="530"/>
        <v/>
      </c>
      <c r="BA793" s="129">
        <f t="shared" si="531"/>
      </c>
      <c r="BB793" s="129">
        <f t="shared" si="532"/>
      </c>
      <c r="BD793" s="129">
        <f t="shared" si="533"/>
      </c>
      <c r="BE793" s="129">
        <f t="shared" si="534"/>
      </c>
      <c r="BF793" s="129">
        <f t="shared" si="535"/>
      </c>
      <c r="BG793" s="129">
        <f t="shared" si="536"/>
        <v/>
      </c>
      <c r="BH793" s="129">
        <f t="shared" si="537"/>
        <v/>
      </c>
      <c r="BI793" s="129">
        <f t="shared" si="538"/>
        <v/>
      </c>
      <c r="BJ793" s="129">
        <f t="shared" si="539"/>
        <v/>
      </c>
      <c r="BK793" s="129">
        <f>IF(R793="","",IF(OR(BY793="",BY793=0),"BOX",IFERROR(IF(VLOOKUP(BY793,УГО_блоки,3,FALSE)&amp;""&lt;&gt;"",VLOOKUP(BY793,УГО_блоки,3,FALSE),VLOOKUP(BY793,УГО_блоки,2,FALSE)),BY793)))</f>
      </c>
      <c r="BL793" s="129">
        <f t="shared" si="541"/>
      </c>
      <c r="BM793" s="129">
        <f>IF(H793="","",IF(COUNTIF($H$3:H793,H793)=1,MAX($BM$2:BM792)+1,""))</f>
      </c>
      <c r="BN793" s="129">
        <f>IF(I793="","",IF(COUNTIF($I$3:I793,I793)+COUNTIF($J$2:J792,I793)+COUNTIF($K$2:K792,I793)=1,MAX($BN$2:BP792)+1,""))</f>
      </c>
      <c r="BO793" s="129">
        <f>IF(J793="","",IF(COUNTIF($I$3:I793,J793)+COUNTIF($J$3:J793,J793)+COUNTIF($K$2:K792,J793)=1,MAX($BN$2:BP792,BN793)+1,""))</f>
      </c>
      <c r="BP793" s="129">
        <f>IF(K793="","",IF(COUNTIF($I$3:I793,K793)+COUNTIF($J$3:J793,K793)+COUNTIF($K$3:K793,K793)=1,MAX($BN$2:BP792,BN793,BO793)+1,""))</f>
      </c>
      <c r="BQ793" s="129">
        <f>IF(AY793=1,IFERROR(MID(Q793,FIND(" (",Q793)+2,FIND(")",Q793,FIND(" (",Q793))-FIND(" (",Q793)-2),"?"),"")</f>
      </c>
      <c r="BR793" s="129">
        <f>IF(BQ793="","",IF(COUNTIF($BQ$3:BQ793,BQ793)=1,MAX($BR$2:BR792)+1,""))</f>
      </c>
      <c r="BS793" s="129">
        <f>IF(AW793="","",COUNTIF($AW$3:AW793,"?*"))</f>
      </c>
      <c r="BT793" s="129">
        <f>IF(OR(AW793="",AI793=""),"",IF(COUNTIFS($AW$3:AW793,"?*",$AI$3:AI793,AI793)=1,MAX($BT$2:BT792)+1,""))</f>
      </c>
      <c r="BU793" s="129">
        <f>IF(AE793="",0,IF(OR(ISNUMBER(SEARCH("дубль",AE793)),ISNUMBER(SEARCH("ПЕРЕГРУЗ",AE793)),ISNUMBER(SEARCH("ЗАЩИЩ",AE793)),ISNUMBER(SEARCH("КАНАЛ",AE793)),ISNUMBER(SEARCH("без 30",AE793))),2,1))</f>
      </c>
      <c r="BV793" s="129">
        <f>IF(R793="","",COUNTIF($R$3:R793,"?*"))</f>
      </c>
      <c r="BW793" s="129">
        <f>IF(AY793&lt;&gt;1,0,IF(MAX(IFERROR(--VLOOKUP(R793,УГО_спр,5,FALSE),0),IFERROR(--VLOOKUP(AL793,УГО_спр,5,FALSE),0),IFERROR(--VLOOKUP(LEFT(AL793,2),УГО_спр,5,FALSE),0))&gt;0,MAX(IFERROR(--VLOOKUP(R793,УГО_спр,5,FALSE),0),IFERROR(--VLOOKUP(AL793,УГО_спр,5,FALSE),0),IFERROR(--VLOOKUP(LEFT(AL793,2),УГО_спр,5,FALSE),0)),IF(IFERROR(--LEFT(SUBSTITUTE(BQ793,"x","х"),FIND("х",SUBSTITUTE(BQ793,"x","х"))-1),3)&gt;3,Каталог!$S$9,1)))</f>
      </c>
      <c r="BX793" s="129">
        <f>IF(AY793&lt;&gt;1,0,MAX(0,IFERROR(--LEFT(SUBSTITUTE(BQ793,"x","х"),FIND("х",SUBSTITUTE(BQ793,"x","х"))-1),3)-3*BW793))</f>
      </c>
      <c r="BY793" s="129">
        <f>IF(R793="","",IFERROR(VLOOKUP(R793,УГО_спр,2,FALSE),IFERROR(VLOOKUP(AL793,УГО_спр,2,FALSE),IFERROR(VLOOKUP(LEFT(AL793,2),УГО_спр,2,FALSE),""))))</f>
      </c>
    </row>
    <row r="794" spans="1:64" x14ac:dyDescent="0.3">
      <c r="A794" s="135">
        <f>IF(Разбивка_по_щитам!F794=0,"",Разбивка_по_щитам!F794)</f>
        <v/>
      </c>
      <c r="B794" s="138">
        <f>IF(A794="","",Разбивка_по_щитам!C794)</f>
        <v/>
      </c>
      <c r="C794" s="138">
        <f t="shared" si="502"/>
        <v/>
      </c>
      <c r="D794" s="266"/>
      <c r="E794" s="266"/>
      <c r="F794" s="267"/>
      <c r="G794" s="145">
        <f t="shared" si="503"/>
        <v/>
      </c>
      <c r="H794" s="145">
        <f t="shared" si="504"/>
        <v/>
      </c>
      <c r="I794" s="266"/>
      <c r="J794" s="267"/>
      <c r="K794" s="267"/>
      <c r="L794" s="266"/>
      <c r="M794" s="147">
        <f t="shared" si="505"/>
        <v/>
      </c>
      <c r="N794" s="267"/>
      <c r="O794" s="147">
        <f t="shared" si="506"/>
        <v/>
      </c>
      <c r="P794" s="268">
        <f>IF(AY794=1,"XT"&amp;COUNTIFS($A$3:A794,A794,$AY$3:AY794,1),"")</f>
        <v/>
      </c>
      <c r="Q794" s="152">
        <f>IF(R794="","",IFERROR(SUBSTITUTE(Разбивка_по_щитам!P794,CHAR(10)," "),""))</f>
        <v/>
      </c>
      <c r="R794" s="153">
        <f>IF(OR(Разбивка_по_щитам!H794="",Разбивка_по_щитам!H794=0),"",Разбивка_по_щитам!H794)</f>
        <v/>
      </c>
      <c r="S794" s="154">
        <f>IF(R794="","",IFERROR(Разбивка_по_щитам!J794&amp;"",""))</f>
        <v/>
      </c>
      <c r="T794" s="155">
        <f>IF(R794="","",IFERROR(--Разбивка_по_щитам!L794,""))</f>
        <v/>
      </c>
      <c r="U794" s="155">
        <f>IF(R794="","",IFERROR(--Разбивка_по_щитам!K794,""))</f>
        <v/>
      </c>
      <c r="V794" s="138">
        <f>IF(R794="","",IFERROR(IF(Разбивка_по_щитам!M794=0,"",Разбивка_по_щитам!M794),""))</f>
        <v/>
      </c>
      <c r="W794" s="156">
        <f t="shared" si="507"/>
        <v/>
      </c>
      <c r="X794" s="157">
        <f t="shared" si="508"/>
        <v/>
      </c>
      <c r="Y794" s="266"/>
      <c r="Z794" s="158">
        <f t="shared" si="509"/>
        <v/>
      </c>
      <c r="AA794" s="160">
        <f t="shared" si="510"/>
        <v/>
      </c>
      <c r="AB794" s="160">
        <f>IF(R794="","",IFERROR(LOOKUP(INDEX(Справочная!$I$4:$I$19,MATCH(VLOOKUP(R794,Исходные_данные,22,FALSE),Справочная!$J$4:$J$19,0)+1),{6,10,16,20,25,32,40,50,63,80,100,125}),""))</f>
        <v/>
      </c>
      <c r="AC794" s="160">
        <f t="shared" si="511"/>
        <v/>
      </c>
      <c r="AD794" s="161">
        <f t="shared" si="512"/>
        <v/>
      </c>
      <c r="AE794" s="161">
        <f>IF(AND(R794="",G794=""),"",_xlfn.TEXTJOIN("; ",TRUE,IF(AND(R794&lt;&gt;"",V794=""),"нет фазы",""),IF(AND(R794&lt;&gt;"",N(T794)=0),"нет мощности",""),IF(AND(P794&lt;&gt;"",COUNTIFS($A$3:$A$1000,A794,$P$3:$P$1000,P794)&gt;1),"дубль клеммы "&amp;P794,""),IF(AND(W794&lt;&gt;"",W794&lt;&gt;"ok"),W794,""),IF(X794&lt;&gt;"",X794,""),IF(AND(ISNUMBER(SEARCH("(5х",Q794)),N(AK794)=1),"5 жил на 1 фазе",""),IF(AND(AL794="R",E794&lt;&gt;"",N(AS794)=0),"розетка без 30 мА",""),IF(IFERROR(_xlfn.NUMBERVALUE(MID(Q794,FIND("-",Q794,FIND("L=",Q794))+1,FIND("%",Q794)-FIND("-",Q794,FIND("L=",Q794))-1),","),0)&gt;4,"потери &gt; 4 %","")))</f>
      </c>
      <c r="AF794" s="129">
        <f>IF(E794&lt;&gt;"",COUNTIFS($A$3:A794,A794,$E$3:E794,"?*"),IF(OR(A794&lt;&gt;A793,Y794="вручную"),"",AF793))</f>
        <v/>
      </c>
      <c r="AG794" s="129">
        <f t="shared" si="513"/>
        <v/>
      </c>
      <c r="AH794" s="129">
        <f t="shared" si="514"/>
        <v/>
      </c>
      <c r="AI794" s="129">
        <f t="shared" si="515"/>
        <v/>
      </c>
      <c r="AJ794" s="129">
        <f t="shared" si="516"/>
        <v/>
      </c>
      <c r="AK794" s="129">
        <f t="shared" si="517"/>
        <v/>
      </c>
      <c r="AL794" s="129">
        <f t="shared" si="518"/>
        <v/>
      </c>
      <c r="AM794" s="129">
        <f t="shared" si="519"/>
      </c>
      <c r="AN794" s="129">
        <f t="shared" si="520"/>
      </c>
      <c r="AO794" s="129">
        <f t="shared" si="521"/>
        <v/>
      </c>
      <c r="AP794" s="129">
        <f t="shared" si="522"/>
        <v/>
      </c>
      <c r="AQ794" s="129">
        <f t="shared" si="523"/>
        <v/>
      </c>
      <c r="AR794" s="129">
        <f t="shared" si="524"/>
        <v/>
      </c>
      <c r="AS794" s="129">
        <f t="shared" si="525"/>
        <v/>
      </c>
      <c r="AT794" s="129">
        <f t="shared" si="526"/>
        <v/>
      </c>
      <c r="AU794" s="129">
        <f t="shared" si="527"/>
        <v/>
      </c>
      <c r="AV794" s="129">
        <f t="shared" si="528"/>
        <v/>
      </c>
      <c r="AW794" s="129">
        <f>IF(AV794="","",AV794&amp;"."&amp;COUNTIFS($A$3:A794,A794,$AV$3:AV794,AV794))</f>
        <v/>
      </c>
      <c r="AX794" s="129">
        <f t="shared" si="529"/>
        <v/>
      </c>
      <c r="AY794" s="129">
        <f>IF(N794="б/к",0,IF(OR(ISNUMBER(SEARCH("L=",Разбивка_по_щитам!P794)),N794="+",N794="="),1,0))</f>
      </c>
      <c r="AZ794" s="129">
        <f t="shared" si="530"/>
        <v/>
      </c>
      <c r="BA794" s="129">
        <f t="shared" si="531"/>
      </c>
      <c r="BB794" s="129">
        <f t="shared" si="532"/>
      </c>
      <c r="BD794" s="129">
        <f t="shared" si="533"/>
      </c>
      <c r="BE794" s="129">
        <f t="shared" si="534"/>
      </c>
      <c r="BF794" s="129">
        <f t="shared" si="535"/>
      </c>
      <c r="BG794" s="129">
        <f t="shared" si="536"/>
        <v/>
      </c>
      <c r="BH794" s="129">
        <f t="shared" si="537"/>
        <v/>
      </c>
      <c r="BI794" s="129">
        <f t="shared" si="538"/>
        <v/>
      </c>
      <c r="BJ794" s="129">
        <f t="shared" si="539"/>
        <v/>
      </c>
      <c r="BK794" s="129">
        <f>IF(R794="","",IF(OR(BY794="",BY794=0),"BOX",IFERROR(IF(VLOOKUP(BY794,УГО_блоки,3,FALSE)&amp;""&lt;&gt;"",VLOOKUP(BY794,УГО_блоки,3,FALSE),VLOOKUP(BY794,УГО_блоки,2,FALSE)),BY794)))</f>
      </c>
      <c r="BL794" s="129">
        <f t="shared" si="541"/>
      </c>
      <c r="BM794" s="129">
        <f>IF(H794="","",IF(COUNTIF($H$3:H794,H794)=1,MAX($BM$2:BM793)+1,""))</f>
      </c>
      <c r="BN794" s="129">
        <f>IF(I794="","",IF(COUNTIF($I$3:I794,I794)+COUNTIF($J$2:J793,I794)+COUNTIF($K$2:K793,I794)=1,MAX($BN$2:BP793)+1,""))</f>
      </c>
      <c r="BO794" s="129">
        <f>IF(J794="","",IF(COUNTIF($I$3:I794,J794)+COUNTIF($J$3:J794,J794)+COUNTIF($K$2:K793,J794)=1,MAX($BN$2:BP793,BN794)+1,""))</f>
      </c>
      <c r="BP794" s="129">
        <f>IF(K794="","",IF(COUNTIF($I$3:I794,K794)+COUNTIF($J$3:J794,K794)+COUNTIF($K$3:K794,K794)=1,MAX($BN$2:BP793,BN794,BO794)+1,""))</f>
      </c>
      <c r="BQ794" s="129">
        <f>IF(AY794=1,IFERROR(MID(Q794,FIND(" (",Q794)+2,FIND(")",Q794,FIND(" (",Q794))-FIND(" (",Q794)-2),"?"),"")</f>
      </c>
      <c r="BR794" s="129">
        <f>IF(BQ794="","",IF(COUNTIF($BQ$3:BQ794,BQ794)=1,MAX($BR$2:BR793)+1,""))</f>
      </c>
      <c r="BS794" s="129">
        <f>IF(AW794="","",COUNTIF($AW$3:AW794,"?*"))</f>
      </c>
      <c r="BT794" s="129">
        <f>IF(OR(AW794="",AI794=""),"",IF(COUNTIFS($AW$3:AW794,"?*",$AI$3:AI794,AI794)=1,MAX($BT$2:BT793)+1,""))</f>
      </c>
      <c r="BU794" s="129">
        <f>IF(AE794="",0,IF(OR(ISNUMBER(SEARCH("дубль",AE794)),ISNUMBER(SEARCH("ПЕРЕГРУЗ",AE794)),ISNUMBER(SEARCH("ЗАЩИЩ",AE794)),ISNUMBER(SEARCH("КАНАЛ",AE794)),ISNUMBER(SEARCH("без 30",AE794))),2,1))</f>
      </c>
      <c r="BV794" s="129">
        <f>IF(R794="","",COUNTIF($R$3:R794,"?*"))</f>
      </c>
      <c r="BW794" s="129">
        <f>IF(AY794&lt;&gt;1,0,IF(MAX(IFERROR(--VLOOKUP(R794,УГО_спр,5,FALSE),0),IFERROR(--VLOOKUP(AL794,УГО_спр,5,FALSE),0),IFERROR(--VLOOKUP(LEFT(AL794,2),УГО_спр,5,FALSE),0))&gt;0,MAX(IFERROR(--VLOOKUP(R794,УГО_спр,5,FALSE),0),IFERROR(--VLOOKUP(AL794,УГО_спр,5,FALSE),0),IFERROR(--VLOOKUP(LEFT(AL794,2),УГО_спр,5,FALSE),0)),IF(IFERROR(--LEFT(SUBSTITUTE(BQ794,"x","х"),FIND("х",SUBSTITUTE(BQ794,"x","х"))-1),3)&gt;3,Каталог!$S$9,1)))</f>
      </c>
      <c r="BX794" s="129">
        <f>IF(AY794&lt;&gt;1,0,MAX(0,IFERROR(--LEFT(SUBSTITUTE(BQ794,"x","х"),FIND("х",SUBSTITUTE(BQ794,"x","х"))-1),3)-3*BW794))</f>
      </c>
      <c r="BY794" s="129">
        <f>IF(R794="","",IFERROR(VLOOKUP(R794,УГО_спр,2,FALSE),IFERROR(VLOOKUP(AL794,УГО_спр,2,FALSE),IFERROR(VLOOKUP(LEFT(AL794,2),УГО_спр,2,FALSE),""))))</f>
      </c>
    </row>
    <row r="795" spans="1:64" x14ac:dyDescent="0.3">
      <c r="A795" s="135">
        <f>IF(Разбивка_по_щитам!F795=0,"",Разбивка_по_щитам!F795)</f>
        <v/>
      </c>
      <c r="B795" s="138">
        <f>IF(A795="","",Разбивка_по_щитам!C795)</f>
        <v/>
      </c>
      <c r="C795" s="138">
        <f t="shared" si="502"/>
        <v/>
      </c>
      <c r="D795" s="266"/>
      <c r="E795" s="266"/>
      <c r="F795" s="267"/>
      <c r="G795" s="145">
        <f t="shared" si="503"/>
        <v/>
      </c>
      <c r="H795" s="145">
        <f t="shared" si="504"/>
        <v/>
      </c>
      <c r="I795" s="266"/>
      <c r="J795" s="267"/>
      <c r="K795" s="267"/>
      <c r="L795" s="266"/>
      <c r="M795" s="147">
        <f t="shared" si="505"/>
        <v/>
      </c>
      <c r="N795" s="267"/>
      <c r="O795" s="147">
        <f t="shared" si="506"/>
        <v/>
      </c>
      <c r="P795" s="268">
        <f>IF(AY795=1,"XT"&amp;COUNTIFS($A$3:A795,A795,$AY$3:AY795,1),"")</f>
        <v/>
      </c>
      <c r="Q795" s="152">
        <f>IF(R795="","",IFERROR(SUBSTITUTE(Разбивка_по_щитам!P795,CHAR(10)," "),""))</f>
        <v/>
      </c>
      <c r="R795" s="153">
        <f>IF(OR(Разбивка_по_щитам!H795="",Разбивка_по_щитам!H795=0),"",Разбивка_по_щитам!H795)</f>
        <v/>
      </c>
      <c r="S795" s="154">
        <f>IF(R795="","",IFERROR(Разбивка_по_щитам!J795&amp;"",""))</f>
        <v/>
      </c>
      <c r="T795" s="155">
        <f>IF(R795="","",IFERROR(--Разбивка_по_щитам!L795,""))</f>
        <v/>
      </c>
      <c r="U795" s="155">
        <f>IF(R795="","",IFERROR(--Разбивка_по_щитам!K795,""))</f>
        <v/>
      </c>
      <c r="V795" s="138">
        <f>IF(R795="","",IFERROR(IF(Разбивка_по_щитам!M795=0,"",Разбивка_по_щитам!M795),""))</f>
        <v/>
      </c>
      <c r="W795" s="156">
        <f t="shared" si="507"/>
        <v/>
      </c>
      <c r="X795" s="157">
        <f t="shared" si="508"/>
        <v/>
      </c>
      <c r="Y795" s="266"/>
      <c r="Z795" s="158">
        <f t="shared" si="509"/>
        <v/>
      </c>
      <c r="AA795" s="160">
        <f t="shared" si="510"/>
        <v/>
      </c>
      <c r="AB795" s="160">
        <f>IF(R795="","",IFERROR(LOOKUP(INDEX(Справочная!$I$4:$I$19,MATCH(VLOOKUP(R795,Исходные_данные,22,FALSE),Справочная!$J$4:$J$19,0)+1),{6,10,16,20,25,32,40,50,63,80,100,125}),""))</f>
        <v/>
      </c>
      <c r="AC795" s="160">
        <f t="shared" si="511"/>
        <v/>
      </c>
      <c r="AD795" s="161">
        <f t="shared" si="512"/>
        <v/>
      </c>
      <c r="AE795" s="161">
        <f>IF(AND(R795="",G795=""),"",_xlfn.TEXTJOIN("; ",TRUE,IF(AND(R795&lt;&gt;"",V795=""),"нет фазы",""),IF(AND(R795&lt;&gt;"",N(T795)=0),"нет мощности",""),IF(AND(P795&lt;&gt;"",COUNTIFS($A$3:$A$1000,A795,$P$3:$P$1000,P795)&gt;1),"дубль клеммы "&amp;P795,""),IF(AND(W795&lt;&gt;"",W795&lt;&gt;"ok"),W795,""),IF(X795&lt;&gt;"",X795,""),IF(AND(ISNUMBER(SEARCH("(5х",Q795)),N(AK795)=1),"5 жил на 1 фазе",""),IF(AND(AL795="R",E795&lt;&gt;"",N(AS795)=0),"розетка без 30 мА",""),IF(IFERROR(_xlfn.NUMBERVALUE(MID(Q795,FIND("-",Q795,FIND("L=",Q795))+1,FIND("%",Q795)-FIND("-",Q795,FIND("L=",Q795))-1),","),0)&gt;4,"потери &gt; 4 %","")))</f>
      </c>
      <c r="AF795" s="129">
        <f>IF(E795&lt;&gt;"",COUNTIFS($A$3:A795,A795,$E$3:E795,"?*"),IF(OR(A795&lt;&gt;A794,Y795="вручную"),"",AF794))</f>
        <v/>
      </c>
      <c r="AG795" s="129">
        <f t="shared" si="513"/>
        <v/>
      </c>
      <c r="AH795" s="129">
        <f t="shared" si="514"/>
        <v/>
      </c>
      <c r="AI795" s="129">
        <f t="shared" si="515"/>
        <v/>
      </c>
      <c r="AJ795" s="129">
        <f t="shared" si="516"/>
        <v/>
      </c>
      <c r="AK795" s="129">
        <f t="shared" si="517"/>
        <v/>
      </c>
      <c r="AL795" s="129">
        <f t="shared" si="518"/>
        <v/>
      </c>
      <c r="AM795" s="129">
        <f t="shared" si="519"/>
      </c>
      <c r="AN795" s="129">
        <f t="shared" si="520"/>
      </c>
      <c r="AO795" s="129">
        <f t="shared" si="521"/>
        <v/>
      </c>
      <c r="AP795" s="129">
        <f t="shared" si="522"/>
        <v/>
      </c>
      <c r="AQ795" s="129">
        <f t="shared" si="523"/>
        <v/>
      </c>
      <c r="AR795" s="129">
        <f t="shared" si="524"/>
        <v/>
      </c>
      <c r="AS795" s="129">
        <f t="shared" si="525"/>
        <v/>
      </c>
      <c r="AT795" s="129">
        <f t="shared" si="526"/>
        <v/>
      </c>
      <c r="AU795" s="129">
        <f t="shared" si="527"/>
        <v/>
      </c>
      <c r="AV795" s="129">
        <f t="shared" si="528"/>
        <v/>
      </c>
      <c r="AW795" s="129">
        <f>IF(AV795="","",AV795&amp;"."&amp;COUNTIFS($A$3:A795,A795,$AV$3:AV795,AV795))</f>
        <v/>
      </c>
      <c r="AX795" s="129">
        <f t="shared" si="529"/>
        <v/>
      </c>
      <c r="AY795" s="129">
        <f>IF(N795="б/к",0,IF(OR(ISNUMBER(SEARCH("L=",Разбивка_по_щитам!P795)),N795="+",N795="="),1,0))</f>
      </c>
      <c r="AZ795" s="129">
        <f t="shared" si="530"/>
        <v/>
      </c>
      <c r="BA795" s="129">
        <f t="shared" si="531"/>
      </c>
      <c r="BB795" s="129">
        <f t="shared" si="532"/>
      </c>
      <c r="BD795" s="129">
        <f t="shared" si="533"/>
      </c>
      <c r="BE795" s="129">
        <f t="shared" si="534"/>
      </c>
      <c r="BF795" s="129">
        <f t="shared" si="535"/>
      </c>
      <c r="BG795" s="129">
        <f t="shared" si="536"/>
        <v/>
      </c>
      <c r="BH795" s="129">
        <f t="shared" si="537"/>
        <v/>
      </c>
      <c r="BI795" s="129">
        <f t="shared" si="538"/>
        <v/>
      </c>
      <c r="BJ795" s="129">
        <f t="shared" si="539"/>
        <v/>
      </c>
      <c r="BK795" s="129">
        <f>IF(R795="","",IF(OR(BY795="",BY795=0),"BOX",IFERROR(IF(VLOOKUP(BY795,УГО_блоки,3,FALSE)&amp;""&lt;&gt;"",VLOOKUP(BY795,УГО_блоки,3,FALSE),VLOOKUP(BY795,УГО_блоки,2,FALSE)),BY795)))</f>
      </c>
      <c r="BL795" s="129">
        <f t="shared" si="541"/>
      </c>
      <c r="BM795" s="129">
        <f>IF(H795="","",IF(COUNTIF($H$3:H795,H795)=1,MAX($BM$2:BM794)+1,""))</f>
      </c>
      <c r="BN795" s="129">
        <f>IF(I795="","",IF(COUNTIF($I$3:I795,I795)+COUNTIF($J$2:J794,I795)+COUNTIF($K$2:K794,I795)=1,MAX($BN$2:BP794)+1,""))</f>
      </c>
      <c r="BO795" s="129">
        <f>IF(J795="","",IF(COUNTIF($I$3:I795,J795)+COUNTIF($J$3:J795,J795)+COUNTIF($K$2:K794,J795)=1,MAX($BN$2:BP794,BN795)+1,""))</f>
      </c>
      <c r="BP795" s="129">
        <f>IF(K795="","",IF(COUNTIF($I$3:I795,K795)+COUNTIF($J$3:J795,K795)+COUNTIF($K$3:K795,K795)=1,MAX($BN$2:BP794,BN795,BO795)+1,""))</f>
      </c>
      <c r="BQ795" s="129">
        <f>IF(AY795=1,IFERROR(MID(Q795,FIND(" (",Q795)+2,FIND(")",Q795,FIND(" (",Q795))-FIND(" (",Q795)-2),"?"),"")</f>
      </c>
      <c r="BR795" s="129">
        <f>IF(BQ795="","",IF(COUNTIF($BQ$3:BQ795,BQ795)=1,MAX($BR$2:BR794)+1,""))</f>
      </c>
      <c r="BS795" s="129">
        <f>IF(AW795="","",COUNTIF($AW$3:AW795,"?*"))</f>
      </c>
      <c r="BT795" s="129">
        <f>IF(OR(AW795="",AI795=""),"",IF(COUNTIFS($AW$3:AW795,"?*",$AI$3:AI795,AI795)=1,MAX($BT$2:BT794)+1,""))</f>
      </c>
      <c r="BU795" s="129">
        <f>IF(AE795="",0,IF(OR(ISNUMBER(SEARCH("дубль",AE795)),ISNUMBER(SEARCH("ПЕРЕГРУЗ",AE795)),ISNUMBER(SEARCH("ЗАЩИЩ",AE795)),ISNUMBER(SEARCH("КАНАЛ",AE795)),ISNUMBER(SEARCH("без 30",AE795))),2,1))</f>
      </c>
      <c r="BV795" s="129">
        <f>IF(R795="","",COUNTIF($R$3:R795,"?*"))</f>
      </c>
      <c r="BW795" s="129">
        <f>IF(AY795&lt;&gt;1,0,IF(MAX(IFERROR(--VLOOKUP(R795,УГО_спр,5,FALSE),0),IFERROR(--VLOOKUP(AL795,УГО_спр,5,FALSE),0),IFERROR(--VLOOKUP(LEFT(AL795,2),УГО_спр,5,FALSE),0))&gt;0,MAX(IFERROR(--VLOOKUP(R795,УГО_спр,5,FALSE),0),IFERROR(--VLOOKUP(AL795,УГО_спр,5,FALSE),0),IFERROR(--VLOOKUP(LEFT(AL795,2),УГО_спр,5,FALSE),0)),IF(IFERROR(--LEFT(SUBSTITUTE(BQ795,"x","х"),FIND("х",SUBSTITUTE(BQ795,"x","х"))-1),3)&gt;3,Каталог!$S$9,1)))</f>
      </c>
      <c r="BX795" s="129">
        <f>IF(AY795&lt;&gt;1,0,MAX(0,IFERROR(--LEFT(SUBSTITUTE(BQ795,"x","х"),FIND("х",SUBSTITUTE(BQ795,"x","х"))-1),3)-3*BW795))</f>
      </c>
      <c r="BY795" s="129">
        <f>IF(R795="","",IFERROR(VLOOKUP(R795,УГО_спр,2,FALSE),IFERROR(VLOOKUP(AL795,УГО_спр,2,FALSE),IFERROR(VLOOKUP(LEFT(AL795,2),УГО_спр,2,FALSE),""))))</f>
      </c>
    </row>
    <row r="796" spans="1:64" x14ac:dyDescent="0.3">
      <c r="A796" s="135">
        <f>IF(Разбивка_по_щитам!F796=0,"",Разбивка_по_щитам!F796)</f>
        <v/>
      </c>
      <c r="B796" s="138">
        <f>IF(A796="","",Разбивка_по_щитам!C796)</f>
        <v/>
      </c>
      <c r="C796" s="138">
        <f t="shared" si="502"/>
        <v/>
      </c>
      <c r="D796" s="266"/>
      <c r="E796" s="266"/>
      <c r="F796" s="267"/>
      <c r="G796" s="145">
        <f t="shared" si="503"/>
        <v/>
      </c>
      <c r="H796" s="145">
        <f t="shared" si="504"/>
        <v/>
      </c>
      <c r="I796" s="266"/>
      <c r="J796" s="267"/>
      <c r="K796" s="267"/>
      <c r="L796" s="266"/>
      <c r="M796" s="147">
        <f t="shared" si="505"/>
        <v/>
      </c>
      <c r="N796" s="267"/>
      <c r="O796" s="147">
        <f t="shared" si="506"/>
        <v/>
      </c>
      <c r="P796" s="268">
        <f>IF(AY796=1,"XT"&amp;COUNTIFS($A$3:A796,A796,$AY$3:AY796,1),"")</f>
        <v/>
      </c>
      <c r="Q796" s="152">
        <f>IF(R796="","",IFERROR(SUBSTITUTE(Разбивка_по_щитам!P796,CHAR(10)," "),""))</f>
        <v/>
      </c>
      <c r="R796" s="153">
        <f>IF(OR(Разбивка_по_щитам!H796="",Разбивка_по_щитам!H796=0),"",Разбивка_по_щитам!H796)</f>
        <v/>
      </c>
      <c r="S796" s="154">
        <f>IF(R796="","",IFERROR(Разбивка_по_щитам!J796&amp;"",""))</f>
        <v/>
      </c>
      <c r="T796" s="155">
        <f>IF(R796="","",IFERROR(--Разбивка_по_щитам!L796,""))</f>
        <v/>
      </c>
      <c r="U796" s="155">
        <f>IF(R796="","",IFERROR(--Разбивка_по_щитам!K796,""))</f>
        <v/>
      </c>
      <c r="V796" s="138">
        <f>IF(R796="","",IFERROR(IF(Разбивка_по_щитам!M796=0,"",Разбивка_по_щитам!M796),""))</f>
        <v/>
      </c>
      <c r="W796" s="156">
        <f t="shared" si="507"/>
        <v/>
      </c>
      <c r="X796" s="157">
        <f t="shared" si="508"/>
        <v/>
      </c>
      <c r="Y796" s="266"/>
      <c r="Z796" s="158">
        <f t="shared" si="509"/>
        <v/>
      </c>
      <c r="AA796" s="160">
        <f t="shared" si="510"/>
        <v/>
      </c>
      <c r="AB796" s="160">
        <f>IF(R796="","",IFERROR(LOOKUP(INDEX(Справочная!$I$4:$I$19,MATCH(VLOOKUP(R796,Исходные_данные,22,FALSE),Справочная!$J$4:$J$19,0)+1),{6,10,16,20,25,32,40,50,63,80,100,125}),""))</f>
        <v/>
      </c>
      <c r="AC796" s="160">
        <f t="shared" si="511"/>
        <v/>
      </c>
      <c r="AD796" s="161">
        <f t="shared" si="512"/>
        <v/>
      </c>
      <c r="AE796" s="161">
        <f>IF(AND(R796="",G796=""),"",_xlfn.TEXTJOIN("; ",TRUE,IF(AND(R796&lt;&gt;"",V796=""),"нет фазы",""),IF(AND(R796&lt;&gt;"",N(T796)=0),"нет мощности",""),IF(AND(P796&lt;&gt;"",COUNTIFS($A$3:$A$1000,A796,$P$3:$P$1000,P796)&gt;1),"дубль клеммы "&amp;P796,""),IF(AND(W796&lt;&gt;"",W796&lt;&gt;"ok"),W796,""),IF(X796&lt;&gt;"",X796,""),IF(AND(ISNUMBER(SEARCH("(5х",Q796)),N(AK796)=1),"5 жил на 1 фазе",""),IF(AND(AL796="R",E796&lt;&gt;"",N(AS796)=0),"розетка без 30 мА",""),IF(IFERROR(_xlfn.NUMBERVALUE(MID(Q796,FIND("-",Q796,FIND("L=",Q796))+1,FIND("%",Q796)-FIND("-",Q796,FIND("L=",Q796))-1),","),0)&gt;4,"потери &gt; 4 %","")))</f>
      </c>
      <c r="AF796" s="129">
        <f>IF(E796&lt;&gt;"",COUNTIFS($A$3:A796,A796,$E$3:E796,"?*"),IF(OR(A796&lt;&gt;A795,Y796="вручную"),"",AF795))</f>
        <v/>
      </c>
      <c r="AG796" s="129">
        <f t="shared" si="513"/>
        <v/>
      </c>
      <c r="AH796" s="129">
        <f t="shared" si="514"/>
        <v/>
      </c>
      <c r="AI796" s="129">
        <f t="shared" si="515"/>
        <v/>
      </c>
      <c r="AJ796" s="129">
        <f t="shared" si="516"/>
        <v/>
      </c>
      <c r="AK796" s="129">
        <f t="shared" si="517"/>
        <v/>
      </c>
      <c r="AL796" s="129">
        <f t="shared" si="518"/>
        <v/>
      </c>
      <c r="AM796" s="129">
        <f t="shared" si="519"/>
      </c>
      <c r="AN796" s="129">
        <f t="shared" si="520"/>
      </c>
      <c r="AO796" s="129">
        <f t="shared" si="521"/>
        <v/>
      </c>
      <c r="AP796" s="129">
        <f t="shared" si="522"/>
        <v/>
      </c>
      <c r="AQ796" s="129">
        <f t="shared" si="523"/>
        <v/>
      </c>
      <c r="AR796" s="129">
        <f t="shared" si="524"/>
        <v/>
      </c>
      <c r="AS796" s="129">
        <f t="shared" si="525"/>
        <v/>
      </c>
      <c r="AT796" s="129">
        <f t="shared" si="526"/>
        <v/>
      </c>
      <c r="AU796" s="129">
        <f t="shared" si="527"/>
        <v/>
      </c>
      <c r="AV796" s="129">
        <f t="shared" si="528"/>
        <v/>
      </c>
      <c r="AW796" s="129">
        <f>IF(AV796="","",AV796&amp;"."&amp;COUNTIFS($A$3:A796,A796,$AV$3:AV796,AV796))</f>
        <v/>
      </c>
      <c r="AX796" s="129">
        <f t="shared" si="529"/>
        <v/>
      </c>
      <c r="AY796" s="129">
        <f>IF(N796="б/к",0,IF(OR(ISNUMBER(SEARCH("L=",Разбивка_по_щитам!P796)),N796="+",N796="="),1,0))</f>
      </c>
      <c r="AZ796" s="129">
        <f t="shared" si="530"/>
        <v/>
      </c>
      <c r="BA796" s="129">
        <f t="shared" si="531"/>
      </c>
      <c r="BB796" s="129">
        <f t="shared" si="532"/>
      </c>
      <c r="BD796" s="129">
        <f t="shared" si="533"/>
      </c>
      <c r="BE796" s="129">
        <f t="shared" si="534"/>
      </c>
      <c r="BF796" s="129">
        <f t="shared" si="535"/>
      </c>
      <c r="BG796" s="129">
        <f t="shared" si="536"/>
        <v/>
      </c>
      <c r="BH796" s="129">
        <f t="shared" si="537"/>
        <v/>
      </c>
      <c r="BI796" s="129">
        <f t="shared" si="538"/>
        <v/>
      </c>
      <c r="BJ796" s="129">
        <f t="shared" si="539"/>
        <v/>
      </c>
      <c r="BK796" s="129">
        <f>IF(R796="","",IF(OR(BY796="",BY796=0),"BOX",IFERROR(IF(VLOOKUP(BY796,УГО_блоки,3,FALSE)&amp;""&lt;&gt;"",VLOOKUP(BY796,УГО_блоки,3,FALSE),VLOOKUP(BY796,УГО_блоки,2,FALSE)),BY796)))</f>
      </c>
      <c r="BL796" s="129">
        <f t="shared" si="541"/>
      </c>
      <c r="BM796" s="129">
        <f>IF(H796="","",IF(COUNTIF($H$3:H796,H796)=1,MAX($BM$2:BM795)+1,""))</f>
      </c>
      <c r="BN796" s="129">
        <f>IF(I796="","",IF(COUNTIF($I$3:I796,I796)+COUNTIF($J$2:J795,I796)+COUNTIF($K$2:K795,I796)=1,MAX($BN$2:BP795)+1,""))</f>
      </c>
      <c r="BO796" s="129">
        <f>IF(J796="","",IF(COUNTIF($I$3:I796,J796)+COUNTIF($J$3:J796,J796)+COUNTIF($K$2:K795,J796)=1,MAX($BN$2:BP795,BN796)+1,""))</f>
      </c>
      <c r="BP796" s="129">
        <f>IF(K796="","",IF(COUNTIF($I$3:I796,K796)+COUNTIF($J$3:J796,K796)+COUNTIF($K$3:K796,K796)=1,MAX($BN$2:BP795,BN796,BO796)+1,""))</f>
      </c>
      <c r="BQ796" s="129">
        <f>IF(AY796=1,IFERROR(MID(Q796,FIND(" (",Q796)+2,FIND(")",Q796,FIND(" (",Q796))-FIND(" (",Q796)-2),"?"),"")</f>
      </c>
      <c r="BR796" s="129">
        <f>IF(BQ796="","",IF(COUNTIF($BQ$3:BQ796,BQ796)=1,MAX($BR$2:BR795)+1,""))</f>
      </c>
      <c r="BS796" s="129">
        <f>IF(AW796="","",COUNTIF($AW$3:AW796,"?*"))</f>
      </c>
      <c r="BT796" s="129">
        <f>IF(OR(AW796="",AI796=""),"",IF(COUNTIFS($AW$3:AW796,"?*",$AI$3:AI796,AI796)=1,MAX($BT$2:BT795)+1,""))</f>
      </c>
      <c r="BU796" s="129">
        <f>IF(AE796="",0,IF(OR(ISNUMBER(SEARCH("дубль",AE796)),ISNUMBER(SEARCH("ПЕРЕГРУЗ",AE796)),ISNUMBER(SEARCH("ЗАЩИЩ",AE796)),ISNUMBER(SEARCH("КАНАЛ",AE796)),ISNUMBER(SEARCH("без 30",AE796))),2,1))</f>
      </c>
      <c r="BV796" s="129">
        <f>IF(R796="","",COUNTIF($R$3:R796,"?*"))</f>
      </c>
      <c r="BW796" s="129">
        <f>IF(AY796&lt;&gt;1,0,IF(MAX(IFERROR(--VLOOKUP(R796,УГО_спр,5,FALSE),0),IFERROR(--VLOOKUP(AL796,УГО_спр,5,FALSE),0),IFERROR(--VLOOKUP(LEFT(AL796,2),УГО_спр,5,FALSE),0))&gt;0,MAX(IFERROR(--VLOOKUP(R796,УГО_спр,5,FALSE),0),IFERROR(--VLOOKUP(AL796,УГО_спр,5,FALSE),0),IFERROR(--VLOOKUP(LEFT(AL796,2),УГО_спр,5,FALSE),0)),IF(IFERROR(--LEFT(SUBSTITUTE(BQ796,"x","х"),FIND("х",SUBSTITUTE(BQ796,"x","х"))-1),3)&gt;3,Каталог!$S$9,1)))</f>
      </c>
      <c r="BX796" s="129">
        <f>IF(AY796&lt;&gt;1,0,MAX(0,IFERROR(--LEFT(SUBSTITUTE(BQ796,"x","х"),FIND("х",SUBSTITUTE(BQ796,"x","х"))-1),3)-3*BW796))</f>
      </c>
      <c r="BY796" s="129">
        <f>IF(R796="","",IFERROR(VLOOKUP(R796,УГО_спр,2,FALSE),IFERROR(VLOOKUP(AL796,УГО_спр,2,FALSE),IFERROR(VLOOKUP(LEFT(AL796,2),УГО_спр,2,FALSE),""))))</f>
      </c>
    </row>
    <row r="797" spans="1:64" x14ac:dyDescent="0.3">
      <c r="A797" s="135">
        <f>IF(Разбивка_по_щитам!F797=0,"",Разбивка_по_щитам!F797)</f>
        <v/>
      </c>
      <c r="B797" s="138">
        <f>IF(A797="","",Разбивка_по_щитам!C797)</f>
        <v/>
      </c>
      <c r="C797" s="138">
        <f t="shared" si="502"/>
        <v/>
      </c>
      <c r="D797" s="266"/>
      <c r="E797" s="266"/>
      <c r="F797" s="267"/>
      <c r="G797" s="145">
        <f t="shared" si="503"/>
        <v/>
      </c>
      <c r="H797" s="145">
        <f t="shared" si="504"/>
        <v/>
      </c>
      <c r="I797" s="266"/>
      <c r="J797" s="267"/>
      <c r="K797" s="267"/>
      <c r="L797" s="266"/>
      <c r="M797" s="147">
        <f t="shared" si="505"/>
        <v/>
      </c>
      <c r="N797" s="267"/>
      <c r="O797" s="147">
        <f t="shared" si="506"/>
        <v/>
      </c>
      <c r="P797" s="268">
        <f>IF(AY797=1,"XT"&amp;COUNTIFS($A$3:A797,A797,$AY$3:AY797,1),"")</f>
        <v/>
      </c>
      <c r="Q797" s="152">
        <f>IF(R797="","",IFERROR(SUBSTITUTE(Разбивка_по_щитам!P797,CHAR(10)," "),""))</f>
        <v/>
      </c>
      <c r="R797" s="153">
        <f>IF(OR(Разбивка_по_щитам!H797="",Разбивка_по_щитам!H797=0),"",Разбивка_по_щитам!H797)</f>
        <v/>
      </c>
      <c r="S797" s="154">
        <f>IF(R797="","",IFERROR(Разбивка_по_щитам!J797&amp;"",""))</f>
        <v/>
      </c>
      <c r="T797" s="155">
        <f>IF(R797="","",IFERROR(--Разбивка_по_щитам!L797,""))</f>
        <v/>
      </c>
      <c r="U797" s="155">
        <f>IF(R797="","",IFERROR(--Разбивка_по_щитам!K797,""))</f>
        <v/>
      </c>
      <c r="V797" s="138">
        <f>IF(R797="","",IFERROR(IF(Разбивка_по_щитам!M797=0,"",Разбивка_по_щитам!M797),""))</f>
        <v/>
      </c>
      <c r="W797" s="156">
        <f t="shared" si="507"/>
        <v/>
      </c>
      <c r="X797" s="157">
        <f t="shared" si="508"/>
        <v/>
      </c>
      <c r="Y797" s="266"/>
      <c r="Z797" s="158">
        <f t="shared" si="509"/>
        <v/>
      </c>
      <c r="AA797" s="160">
        <f t="shared" si="510"/>
        <v/>
      </c>
      <c r="AB797" s="160">
        <f>IF(R797="","",IFERROR(LOOKUP(INDEX(Справочная!$I$4:$I$19,MATCH(VLOOKUP(R797,Исходные_данные,22,FALSE),Справочная!$J$4:$J$19,0)+1),{6,10,16,20,25,32,40,50,63,80,100,125}),""))</f>
        <v/>
      </c>
      <c r="AC797" s="160">
        <f t="shared" si="511"/>
        <v/>
      </c>
      <c r="AD797" s="161">
        <f t="shared" si="512"/>
        <v/>
      </c>
      <c r="AE797" s="161">
        <f>IF(AND(R797="",G797=""),"",_xlfn.TEXTJOIN("; ",TRUE,IF(AND(R797&lt;&gt;"",V797=""),"нет фазы",""),IF(AND(R797&lt;&gt;"",N(T797)=0),"нет мощности",""),IF(AND(P797&lt;&gt;"",COUNTIFS($A$3:$A$1000,A797,$P$3:$P$1000,P797)&gt;1),"дубль клеммы "&amp;P797,""),IF(AND(W797&lt;&gt;"",W797&lt;&gt;"ok"),W797,""),IF(X797&lt;&gt;"",X797,""),IF(AND(ISNUMBER(SEARCH("(5х",Q797)),N(AK797)=1),"5 жил на 1 фазе",""),IF(AND(AL797="R",E797&lt;&gt;"",N(AS797)=0),"розетка без 30 мА",""),IF(IFERROR(_xlfn.NUMBERVALUE(MID(Q797,FIND("-",Q797,FIND("L=",Q797))+1,FIND("%",Q797)-FIND("-",Q797,FIND("L=",Q797))-1),","),0)&gt;4,"потери &gt; 4 %","")))</f>
      </c>
      <c r="AF797" s="129">
        <f>IF(E797&lt;&gt;"",COUNTIFS($A$3:A797,A797,$E$3:E797,"?*"),IF(OR(A797&lt;&gt;A796,Y797="вручную"),"",AF796))</f>
        <v/>
      </c>
      <c r="AG797" s="129">
        <f t="shared" si="513"/>
        <v/>
      </c>
      <c r="AH797" s="129">
        <f t="shared" si="514"/>
        <v/>
      </c>
      <c r="AI797" s="129">
        <f t="shared" si="515"/>
        <v/>
      </c>
      <c r="AJ797" s="129">
        <f t="shared" si="516"/>
        <v/>
      </c>
      <c r="AK797" s="129">
        <f t="shared" si="517"/>
        <v/>
      </c>
      <c r="AL797" s="129">
        <f t="shared" si="518"/>
        <v/>
      </c>
      <c r="AM797" s="129">
        <f t="shared" si="519"/>
      </c>
      <c r="AN797" s="129">
        <f t="shared" si="520"/>
      </c>
      <c r="AO797" s="129">
        <f t="shared" si="521"/>
        <v/>
      </c>
      <c r="AP797" s="129">
        <f t="shared" si="522"/>
        <v/>
      </c>
      <c r="AQ797" s="129">
        <f t="shared" si="523"/>
        <v/>
      </c>
      <c r="AR797" s="129">
        <f t="shared" si="524"/>
        <v/>
      </c>
      <c r="AS797" s="129">
        <f t="shared" si="525"/>
        <v/>
      </c>
      <c r="AT797" s="129">
        <f t="shared" si="526"/>
        <v/>
      </c>
      <c r="AU797" s="129">
        <f t="shared" si="527"/>
        <v/>
      </c>
      <c r="AV797" s="129">
        <f t="shared" si="528"/>
        <v/>
      </c>
      <c r="AW797" s="129">
        <f>IF(AV797="","",AV797&amp;"."&amp;COUNTIFS($A$3:A797,A797,$AV$3:AV797,AV797))</f>
        <v/>
      </c>
      <c r="AX797" s="129">
        <f t="shared" si="529"/>
        <v/>
      </c>
      <c r="AY797" s="129">
        <f>IF(N797="б/к",0,IF(OR(ISNUMBER(SEARCH("L=",Разбивка_по_щитам!P797)),N797="+",N797="="),1,0))</f>
      </c>
      <c r="AZ797" s="129">
        <f t="shared" si="530"/>
        <v/>
      </c>
      <c r="BA797" s="129">
        <f t="shared" si="531"/>
      </c>
      <c r="BB797" s="129">
        <f t="shared" si="532"/>
      </c>
      <c r="BD797" s="129">
        <f t="shared" si="533"/>
      </c>
      <c r="BE797" s="129">
        <f t="shared" si="534"/>
      </c>
      <c r="BF797" s="129">
        <f t="shared" si="535"/>
      </c>
      <c r="BG797" s="129">
        <f t="shared" si="536"/>
        <v/>
      </c>
      <c r="BH797" s="129">
        <f t="shared" si="537"/>
        <v/>
      </c>
      <c r="BI797" s="129">
        <f t="shared" si="538"/>
        <v/>
      </c>
      <c r="BJ797" s="129">
        <f t="shared" si="539"/>
        <v/>
      </c>
      <c r="BK797" s="129">
        <f>IF(R797="","",IF(OR(BY797="",BY797=0),"BOX",IFERROR(IF(VLOOKUP(BY797,УГО_блоки,3,FALSE)&amp;""&lt;&gt;"",VLOOKUP(BY797,УГО_блоки,3,FALSE),VLOOKUP(BY797,УГО_блоки,2,FALSE)),BY797)))</f>
      </c>
      <c r="BL797" s="129">
        <f t="shared" si="541"/>
      </c>
      <c r="BM797" s="129">
        <f>IF(H797="","",IF(COUNTIF($H$3:H797,H797)=1,MAX($BM$2:BM796)+1,""))</f>
      </c>
      <c r="BN797" s="129">
        <f>IF(I797="","",IF(COUNTIF($I$3:I797,I797)+COUNTIF($J$2:J796,I797)+COUNTIF($K$2:K796,I797)=1,MAX($BN$2:BP796)+1,""))</f>
      </c>
      <c r="BO797" s="129">
        <f>IF(J797="","",IF(COUNTIF($I$3:I797,J797)+COUNTIF($J$3:J797,J797)+COUNTIF($K$2:K796,J797)=1,MAX($BN$2:BP796,BN797)+1,""))</f>
      </c>
      <c r="BP797" s="129">
        <f>IF(K797="","",IF(COUNTIF($I$3:I797,K797)+COUNTIF($J$3:J797,K797)+COUNTIF($K$3:K797,K797)=1,MAX($BN$2:BP796,BN797,BO797)+1,""))</f>
      </c>
      <c r="BQ797" s="129">
        <f>IF(AY797=1,IFERROR(MID(Q797,FIND(" (",Q797)+2,FIND(")",Q797,FIND(" (",Q797))-FIND(" (",Q797)-2),"?"),"")</f>
      </c>
      <c r="BR797" s="129">
        <f>IF(BQ797="","",IF(COUNTIF($BQ$3:BQ797,BQ797)=1,MAX($BR$2:BR796)+1,""))</f>
      </c>
      <c r="BS797" s="129">
        <f>IF(AW797="","",COUNTIF($AW$3:AW797,"?*"))</f>
      </c>
      <c r="BT797" s="129">
        <f>IF(OR(AW797="",AI797=""),"",IF(COUNTIFS($AW$3:AW797,"?*",$AI$3:AI797,AI797)=1,MAX($BT$2:BT796)+1,""))</f>
      </c>
      <c r="BU797" s="129">
        <f>IF(AE797="",0,IF(OR(ISNUMBER(SEARCH("дубль",AE797)),ISNUMBER(SEARCH("ПЕРЕГРУЗ",AE797)),ISNUMBER(SEARCH("ЗАЩИЩ",AE797)),ISNUMBER(SEARCH("КАНАЛ",AE797)),ISNUMBER(SEARCH("без 30",AE797))),2,1))</f>
      </c>
      <c r="BV797" s="129">
        <f>IF(R797="","",COUNTIF($R$3:R797,"?*"))</f>
      </c>
      <c r="BW797" s="129">
        <f>IF(AY797&lt;&gt;1,0,IF(MAX(IFERROR(--VLOOKUP(R797,УГО_спр,5,FALSE),0),IFERROR(--VLOOKUP(AL797,УГО_спр,5,FALSE),0),IFERROR(--VLOOKUP(LEFT(AL797,2),УГО_спр,5,FALSE),0))&gt;0,MAX(IFERROR(--VLOOKUP(R797,УГО_спр,5,FALSE),0),IFERROR(--VLOOKUP(AL797,УГО_спр,5,FALSE),0),IFERROR(--VLOOKUP(LEFT(AL797,2),УГО_спр,5,FALSE),0)),IF(IFERROR(--LEFT(SUBSTITUTE(BQ797,"x","х"),FIND("х",SUBSTITUTE(BQ797,"x","х"))-1),3)&gt;3,Каталог!$S$9,1)))</f>
      </c>
      <c r="BX797" s="129">
        <f>IF(AY797&lt;&gt;1,0,MAX(0,IFERROR(--LEFT(SUBSTITUTE(BQ797,"x","х"),FIND("х",SUBSTITUTE(BQ797,"x","х"))-1),3)-3*BW797))</f>
      </c>
      <c r="BY797" s="129">
        <f>IF(R797="","",IFERROR(VLOOKUP(R797,УГО_спр,2,FALSE),IFERROR(VLOOKUP(AL797,УГО_спр,2,FALSE),IFERROR(VLOOKUP(LEFT(AL797,2),УГО_спр,2,FALSE),""))))</f>
      </c>
    </row>
    <row r="798" spans="1:64" x14ac:dyDescent="0.3">
      <c r="A798" s="135">
        <f>IF(Разбивка_по_щитам!F798=0,"",Разбивка_по_щитам!F798)</f>
        <v/>
      </c>
      <c r="B798" s="138">
        <f>IF(A798="","",Разбивка_по_щитам!C798)</f>
        <v/>
      </c>
      <c r="C798" s="138">
        <f t="shared" si="502"/>
        <v/>
      </c>
      <c r="D798" s="266"/>
      <c r="E798" s="266"/>
      <c r="F798" s="267"/>
      <c r="G798" s="145">
        <f t="shared" si="503"/>
        <v/>
      </c>
      <c r="H798" s="145">
        <f t="shared" si="504"/>
        <v/>
      </c>
      <c r="I798" s="266"/>
      <c r="J798" s="267"/>
      <c r="K798" s="267"/>
      <c r="L798" s="266"/>
      <c r="M798" s="147">
        <f t="shared" si="505"/>
        <v/>
      </c>
      <c r="N798" s="267"/>
      <c r="O798" s="147">
        <f t="shared" si="506"/>
        <v/>
      </c>
      <c r="P798" s="268">
        <f>IF(AY798=1,"XT"&amp;COUNTIFS($A$3:A798,A798,$AY$3:AY798,1),"")</f>
        <v/>
      </c>
      <c r="Q798" s="152">
        <f>IF(R798="","",IFERROR(SUBSTITUTE(Разбивка_по_щитам!P798,CHAR(10)," "),""))</f>
        <v/>
      </c>
      <c r="R798" s="153">
        <f>IF(OR(Разбивка_по_щитам!H798="",Разбивка_по_щитам!H798=0),"",Разбивка_по_щитам!H798)</f>
        <v/>
      </c>
      <c r="S798" s="154">
        <f>IF(R798="","",IFERROR(Разбивка_по_щитам!J798&amp;"",""))</f>
        <v/>
      </c>
      <c r="T798" s="155">
        <f>IF(R798="","",IFERROR(--Разбивка_по_щитам!L798,""))</f>
        <v/>
      </c>
      <c r="U798" s="155">
        <f>IF(R798="","",IFERROR(--Разбивка_по_щитам!K798,""))</f>
        <v/>
      </c>
      <c r="V798" s="138">
        <f>IF(R798="","",IFERROR(IF(Разбивка_по_щитам!M798=0,"",Разбивка_по_щитам!M798),""))</f>
        <v/>
      </c>
      <c r="W798" s="156">
        <f t="shared" si="507"/>
        <v/>
      </c>
      <c r="X798" s="157">
        <f t="shared" si="508"/>
        <v/>
      </c>
      <c r="Y798" s="266"/>
      <c r="Z798" s="158">
        <f t="shared" si="509"/>
        <v/>
      </c>
      <c r="AA798" s="160">
        <f t="shared" si="510"/>
        <v/>
      </c>
      <c r="AB798" s="160">
        <f>IF(R798="","",IFERROR(LOOKUP(INDEX(Справочная!$I$4:$I$19,MATCH(VLOOKUP(R798,Исходные_данные,22,FALSE),Справочная!$J$4:$J$19,0)+1),{6,10,16,20,25,32,40,50,63,80,100,125}),""))</f>
        <v/>
      </c>
      <c r="AC798" s="160">
        <f t="shared" si="511"/>
        <v/>
      </c>
      <c r="AD798" s="161">
        <f t="shared" si="512"/>
        <v/>
      </c>
      <c r="AE798" s="161">
        <f>IF(AND(R798="",G798=""),"",_xlfn.TEXTJOIN("; ",TRUE,IF(AND(R798&lt;&gt;"",V798=""),"нет фазы",""),IF(AND(R798&lt;&gt;"",N(T798)=0),"нет мощности",""),IF(AND(P798&lt;&gt;"",COUNTIFS($A$3:$A$1000,A798,$P$3:$P$1000,P798)&gt;1),"дубль клеммы "&amp;P798,""),IF(AND(W798&lt;&gt;"",W798&lt;&gt;"ok"),W798,""),IF(X798&lt;&gt;"",X798,""),IF(AND(ISNUMBER(SEARCH("(5х",Q798)),N(AK798)=1),"5 жил на 1 фазе",""),IF(AND(AL798="R",E798&lt;&gt;"",N(AS798)=0),"розетка без 30 мА",""),IF(IFERROR(_xlfn.NUMBERVALUE(MID(Q798,FIND("-",Q798,FIND("L=",Q798))+1,FIND("%",Q798)-FIND("-",Q798,FIND("L=",Q798))-1),","),0)&gt;4,"потери &gt; 4 %","")))</f>
      </c>
      <c r="AF798" s="129">
        <f>IF(E798&lt;&gt;"",COUNTIFS($A$3:A798,A798,$E$3:E798,"?*"),IF(OR(A798&lt;&gt;A797,Y798="вручную"),"",AF797))</f>
        <v/>
      </c>
      <c r="AG798" s="129">
        <f t="shared" si="513"/>
        <v/>
      </c>
      <c r="AH798" s="129">
        <f t="shared" si="514"/>
        <v/>
      </c>
      <c r="AI798" s="129">
        <f t="shared" si="515"/>
        <v/>
      </c>
      <c r="AJ798" s="129">
        <f t="shared" si="516"/>
        <v/>
      </c>
      <c r="AK798" s="129">
        <f t="shared" si="517"/>
        <v/>
      </c>
      <c r="AL798" s="129">
        <f t="shared" si="518"/>
        <v/>
      </c>
      <c r="AM798" s="129">
        <f t="shared" si="519"/>
      </c>
      <c r="AN798" s="129">
        <f t="shared" si="520"/>
      </c>
      <c r="AO798" s="129">
        <f t="shared" si="521"/>
        <v/>
      </c>
      <c r="AP798" s="129">
        <f t="shared" si="522"/>
        <v/>
      </c>
      <c r="AQ798" s="129">
        <f t="shared" si="523"/>
        <v/>
      </c>
      <c r="AR798" s="129">
        <f t="shared" si="524"/>
        <v/>
      </c>
      <c r="AS798" s="129">
        <f t="shared" si="525"/>
        <v/>
      </c>
      <c r="AT798" s="129">
        <f t="shared" si="526"/>
        <v/>
      </c>
      <c r="AU798" s="129">
        <f t="shared" si="527"/>
        <v/>
      </c>
      <c r="AV798" s="129">
        <f t="shared" si="528"/>
        <v/>
      </c>
      <c r="AW798" s="129">
        <f>IF(AV798="","",AV798&amp;"."&amp;COUNTIFS($A$3:A798,A798,$AV$3:AV798,AV798))</f>
        <v/>
      </c>
      <c r="AX798" s="129">
        <f t="shared" si="529"/>
        <v/>
      </c>
      <c r="AY798" s="129">
        <f>IF(N798="б/к",0,IF(OR(ISNUMBER(SEARCH("L=",Разбивка_по_щитам!P798)),N798="+",N798="="),1,0))</f>
      </c>
      <c r="AZ798" s="129">
        <f t="shared" si="530"/>
        <v/>
      </c>
      <c r="BA798" s="129">
        <f t="shared" si="531"/>
      </c>
      <c r="BB798" s="129">
        <f t="shared" si="532"/>
      </c>
      <c r="BD798" s="129">
        <f t="shared" si="533"/>
      </c>
      <c r="BE798" s="129">
        <f t="shared" si="534"/>
      </c>
      <c r="BF798" s="129">
        <f t="shared" si="535"/>
      </c>
      <c r="BG798" s="129">
        <f t="shared" si="536"/>
        <v/>
      </c>
      <c r="BH798" s="129">
        <f t="shared" si="537"/>
        <v/>
      </c>
      <c r="BI798" s="129">
        <f t="shared" si="538"/>
        <v/>
      </c>
      <c r="BJ798" s="129">
        <f t="shared" si="539"/>
        <v/>
      </c>
      <c r="BK798" s="129">
        <f>IF(R798="","",IF(OR(BY798="",BY798=0),"BOX",IFERROR(IF(VLOOKUP(BY798,УГО_блоки,3,FALSE)&amp;""&lt;&gt;"",VLOOKUP(BY798,УГО_блоки,3,FALSE),VLOOKUP(BY798,УГО_блоки,2,FALSE)),BY798)))</f>
      </c>
      <c r="BL798" s="129">
        <f t="shared" si="541"/>
      </c>
      <c r="BM798" s="129">
        <f>IF(H798="","",IF(COUNTIF($H$3:H798,H798)=1,MAX($BM$2:BM797)+1,""))</f>
      </c>
      <c r="BN798" s="129">
        <f>IF(I798="","",IF(COUNTIF($I$3:I798,I798)+COUNTIF($J$2:J797,I798)+COUNTIF($K$2:K797,I798)=1,MAX($BN$2:BP797)+1,""))</f>
      </c>
      <c r="BO798" s="129">
        <f>IF(J798="","",IF(COUNTIF($I$3:I798,J798)+COUNTIF($J$3:J798,J798)+COUNTIF($K$2:K797,J798)=1,MAX($BN$2:BP797,BN798)+1,""))</f>
      </c>
      <c r="BP798" s="129">
        <f>IF(K798="","",IF(COUNTIF($I$3:I798,K798)+COUNTIF($J$3:J798,K798)+COUNTIF($K$3:K798,K798)=1,MAX($BN$2:BP797,BN798,BO798)+1,""))</f>
      </c>
      <c r="BQ798" s="129">
        <f>IF(AY798=1,IFERROR(MID(Q798,FIND(" (",Q798)+2,FIND(")",Q798,FIND(" (",Q798))-FIND(" (",Q798)-2),"?"),"")</f>
      </c>
      <c r="BR798" s="129">
        <f>IF(BQ798="","",IF(COUNTIF($BQ$3:BQ798,BQ798)=1,MAX($BR$2:BR797)+1,""))</f>
      </c>
      <c r="BS798" s="129">
        <f>IF(AW798="","",COUNTIF($AW$3:AW798,"?*"))</f>
      </c>
      <c r="BT798" s="129">
        <f>IF(OR(AW798="",AI798=""),"",IF(COUNTIFS($AW$3:AW798,"?*",$AI$3:AI798,AI798)=1,MAX($BT$2:BT797)+1,""))</f>
      </c>
      <c r="BU798" s="129">
        <f>IF(AE798="",0,IF(OR(ISNUMBER(SEARCH("дубль",AE798)),ISNUMBER(SEARCH("ПЕРЕГРУЗ",AE798)),ISNUMBER(SEARCH("ЗАЩИЩ",AE798)),ISNUMBER(SEARCH("КАНАЛ",AE798)),ISNUMBER(SEARCH("без 30",AE798))),2,1))</f>
      </c>
      <c r="BV798" s="129">
        <f>IF(R798="","",COUNTIF($R$3:R798,"?*"))</f>
      </c>
      <c r="BW798" s="129">
        <f>IF(AY798&lt;&gt;1,0,IF(MAX(IFERROR(--VLOOKUP(R798,УГО_спр,5,FALSE),0),IFERROR(--VLOOKUP(AL798,УГО_спр,5,FALSE),0),IFERROR(--VLOOKUP(LEFT(AL798,2),УГО_спр,5,FALSE),0))&gt;0,MAX(IFERROR(--VLOOKUP(R798,УГО_спр,5,FALSE),0),IFERROR(--VLOOKUP(AL798,УГО_спр,5,FALSE),0),IFERROR(--VLOOKUP(LEFT(AL798,2),УГО_спр,5,FALSE),0)),IF(IFERROR(--LEFT(SUBSTITUTE(BQ798,"x","х"),FIND("х",SUBSTITUTE(BQ798,"x","х"))-1),3)&gt;3,Каталог!$S$9,1)))</f>
      </c>
      <c r="BX798" s="129">
        <f>IF(AY798&lt;&gt;1,0,MAX(0,IFERROR(--LEFT(SUBSTITUTE(BQ798,"x","х"),FIND("х",SUBSTITUTE(BQ798,"x","х"))-1),3)-3*BW798))</f>
      </c>
      <c r="BY798" s="129">
        <f>IF(R798="","",IFERROR(VLOOKUP(R798,УГО_спр,2,FALSE),IFERROR(VLOOKUP(AL798,УГО_спр,2,FALSE),IFERROR(VLOOKUP(LEFT(AL798,2),УГО_спр,2,FALSE),""))))</f>
      </c>
    </row>
    <row r="799" spans="1:64" x14ac:dyDescent="0.3">
      <c r="A799" s="135">
        <f>IF(Разбивка_по_щитам!F799=0,"",Разбивка_по_щитам!F799)</f>
        <v/>
      </c>
      <c r="B799" s="138">
        <f>IF(A799="","",Разбивка_по_щитам!C799)</f>
        <v/>
      </c>
      <c r="C799" s="138">
        <f t="shared" si="502"/>
        <v/>
      </c>
      <c r="D799" s="266"/>
      <c r="E799" s="266"/>
      <c r="F799" s="267"/>
      <c r="G799" s="145">
        <f t="shared" si="503"/>
        <v/>
      </c>
      <c r="H799" s="145">
        <f t="shared" si="504"/>
        <v/>
      </c>
      <c r="I799" s="266"/>
      <c r="J799" s="267"/>
      <c r="K799" s="267"/>
      <c r="L799" s="266"/>
      <c r="M799" s="147">
        <f t="shared" si="505"/>
        <v/>
      </c>
      <c r="N799" s="267"/>
      <c r="O799" s="147">
        <f t="shared" si="506"/>
        <v/>
      </c>
      <c r="P799" s="268">
        <f>IF(AY799=1,"XT"&amp;COUNTIFS($A$3:A799,A799,$AY$3:AY799,1),"")</f>
        <v/>
      </c>
      <c r="Q799" s="152">
        <f>IF(R799="","",IFERROR(SUBSTITUTE(Разбивка_по_щитам!P799,CHAR(10)," "),""))</f>
        <v/>
      </c>
      <c r="R799" s="153">
        <f>IF(OR(Разбивка_по_щитам!H799="",Разбивка_по_щитам!H799=0),"",Разбивка_по_щитам!H799)</f>
        <v/>
      </c>
      <c r="S799" s="154">
        <f>IF(R799="","",IFERROR(Разбивка_по_щитам!J799&amp;"",""))</f>
        <v/>
      </c>
      <c r="T799" s="155">
        <f>IF(R799="","",IFERROR(--Разбивка_по_щитам!L799,""))</f>
        <v/>
      </c>
      <c r="U799" s="155">
        <f>IF(R799="","",IFERROR(--Разбивка_по_щитам!K799,""))</f>
        <v/>
      </c>
      <c r="V799" s="138">
        <f>IF(R799="","",IFERROR(IF(Разбивка_по_щитам!M799=0,"",Разбивка_по_щитам!M799),""))</f>
        <v/>
      </c>
      <c r="W799" s="156">
        <f t="shared" si="507"/>
        <v/>
      </c>
      <c r="X799" s="157">
        <f t="shared" si="508"/>
        <v/>
      </c>
      <c r="Y799" s="266"/>
      <c r="Z799" s="158">
        <f t="shared" si="509"/>
        <v/>
      </c>
      <c r="AA799" s="160">
        <f t="shared" si="510"/>
        <v/>
      </c>
      <c r="AB799" s="160">
        <f>IF(R799="","",IFERROR(LOOKUP(INDEX(Справочная!$I$4:$I$19,MATCH(VLOOKUP(R799,Исходные_данные,22,FALSE),Справочная!$J$4:$J$19,0)+1),{6,10,16,20,25,32,40,50,63,80,100,125}),""))</f>
        <v/>
      </c>
      <c r="AC799" s="160">
        <f t="shared" si="511"/>
        <v/>
      </c>
      <c r="AD799" s="161">
        <f t="shared" si="512"/>
        <v/>
      </c>
      <c r="AE799" s="161">
        <f>IF(AND(R799="",G799=""),"",_xlfn.TEXTJOIN("; ",TRUE,IF(AND(R799&lt;&gt;"",V799=""),"нет фазы",""),IF(AND(R799&lt;&gt;"",N(T799)=0),"нет мощности",""),IF(AND(P799&lt;&gt;"",COUNTIFS($A$3:$A$1000,A799,$P$3:$P$1000,P799)&gt;1),"дубль клеммы "&amp;P799,""),IF(AND(W799&lt;&gt;"",W799&lt;&gt;"ok"),W799,""),IF(X799&lt;&gt;"",X799,""),IF(AND(ISNUMBER(SEARCH("(5х",Q799)),N(AK799)=1),"5 жил на 1 фазе",""),IF(AND(AL799="R",E799&lt;&gt;"",N(AS799)=0),"розетка без 30 мА",""),IF(IFERROR(_xlfn.NUMBERVALUE(MID(Q799,FIND("-",Q799,FIND("L=",Q799))+1,FIND("%",Q799)-FIND("-",Q799,FIND("L=",Q799))-1),","),0)&gt;4,"потери &gt; 4 %","")))</f>
      </c>
      <c r="AF799" s="129">
        <f>IF(E799&lt;&gt;"",COUNTIFS($A$3:A799,A799,$E$3:E799,"?*"),IF(OR(A799&lt;&gt;A798,Y799="вручную"),"",AF798))</f>
        <v/>
      </c>
      <c r="AG799" s="129">
        <f t="shared" si="513"/>
        <v/>
      </c>
      <c r="AH799" s="129">
        <f t="shared" si="514"/>
        <v/>
      </c>
      <c r="AI799" s="129">
        <f t="shared" si="515"/>
        <v/>
      </c>
      <c r="AJ799" s="129">
        <f t="shared" si="516"/>
        <v/>
      </c>
      <c r="AK799" s="129">
        <f t="shared" si="517"/>
        <v/>
      </c>
      <c r="AL799" s="129">
        <f t="shared" si="518"/>
        <v/>
      </c>
      <c r="AM799" s="129">
        <f t="shared" si="519"/>
      </c>
      <c r="AN799" s="129">
        <f t="shared" si="520"/>
      </c>
      <c r="AO799" s="129">
        <f t="shared" si="521"/>
        <v/>
      </c>
      <c r="AP799" s="129">
        <f t="shared" si="522"/>
        <v/>
      </c>
      <c r="AQ799" s="129">
        <f t="shared" si="523"/>
        <v/>
      </c>
      <c r="AR799" s="129">
        <f t="shared" si="524"/>
        <v/>
      </c>
      <c r="AS799" s="129">
        <f t="shared" si="525"/>
        <v/>
      </c>
      <c r="AT799" s="129">
        <f t="shared" si="526"/>
        <v/>
      </c>
      <c r="AU799" s="129">
        <f t="shared" si="527"/>
        <v/>
      </c>
      <c r="AV799" s="129">
        <f t="shared" si="528"/>
        <v/>
      </c>
      <c r="AW799" s="129">
        <f>IF(AV799="","",AV799&amp;"."&amp;COUNTIFS($A$3:A799,A799,$AV$3:AV799,AV799))</f>
        <v/>
      </c>
      <c r="AX799" s="129">
        <f t="shared" si="529"/>
        <v/>
      </c>
      <c r="AY799" s="129">
        <f>IF(N799="б/к",0,IF(OR(ISNUMBER(SEARCH("L=",Разбивка_по_щитам!P799)),N799="+",N799="="),1,0))</f>
      </c>
      <c r="AZ799" s="129">
        <f t="shared" si="530"/>
        <v/>
      </c>
      <c r="BA799" s="129">
        <f t="shared" si="531"/>
      </c>
      <c r="BB799" s="129">
        <f t="shared" si="532"/>
      </c>
      <c r="BD799" s="129">
        <f t="shared" si="533"/>
      </c>
      <c r="BE799" s="129">
        <f t="shared" si="534"/>
      </c>
      <c r="BF799" s="129">
        <f t="shared" si="535"/>
      </c>
      <c r="BG799" s="129">
        <f t="shared" si="536"/>
        <v/>
      </c>
      <c r="BH799" s="129">
        <f t="shared" si="537"/>
        <v/>
      </c>
      <c r="BI799" s="129">
        <f t="shared" si="538"/>
        <v/>
      </c>
      <c r="BJ799" s="129">
        <f t="shared" si="539"/>
        <v/>
      </c>
      <c r="BK799" s="129">
        <f>IF(R799="","",IF(OR(BY799="",BY799=0),"BOX",IFERROR(IF(VLOOKUP(BY799,УГО_блоки,3,FALSE)&amp;""&lt;&gt;"",VLOOKUP(BY799,УГО_блоки,3,FALSE),VLOOKUP(BY799,УГО_блоки,2,FALSE)),BY799)))</f>
      </c>
      <c r="BL799" s="129">
        <f t="shared" si="541"/>
      </c>
      <c r="BM799" s="129">
        <f>IF(H799="","",IF(COUNTIF($H$3:H799,H799)=1,MAX($BM$2:BM798)+1,""))</f>
      </c>
      <c r="BN799" s="129">
        <f>IF(I799="","",IF(COUNTIF($I$3:I799,I799)+COUNTIF($J$2:J798,I799)+COUNTIF($K$2:K798,I799)=1,MAX($BN$2:BP798)+1,""))</f>
      </c>
      <c r="BO799" s="129">
        <f>IF(J799="","",IF(COUNTIF($I$3:I799,J799)+COUNTIF($J$3:J799,J799)+COUNTIF($K$2:K798,J799)=1,MAX($BN$2:BP798,BN799)+1,""))</f>
      </c>
      <c r="BP799" s="129">
        <f>IF(K799="","",IF(COUNTIF($I$3:I799,K799)+COUNTIF($J$3:J799,K799)+COUNTIF($K$3:K799,K799)=1,MAX($BN$2:BP798,BN799,BO799)+1,""))</f>
      </c>
      <c r="BQ799" s="129">
        <f>IF(AY799=1,IFERROR(MID(Q799,FIND(" (",Q799)+2,FIND(")",Q799,FIND(" (",Q799))-FIND(" (",Q799)-2),"?"),"")</f>
      </c>
      <c r="BR799" s="129">
        <f>IF(BQ799="","",IF(COUNTIF($BQ$3:BQ799,BQ799)=1,MAX($BR$2:BR798)+1,""))</f>
      </c>
      <c r="BS799" s="129">
        <f>IF(AW799="","",COUNTIF($AW$3:AW799,"?*"))</f>
      </c>
      <c r="BT799" s="129">
        <f>IF(OR(AW799="",AI799=""),"",IF(COUNTIFS($AW$3:AW799,"?*",$AI$3:AI799,AI799)=1,MAX($BT$2:BT798)+1,""))</f>
      </c>
      <c r="BU799" s="129">
        <f>IF(AE799="",0,IF(OR(ISNUMBER(SEARCH("дубль",AE799)),ISNUMBER(SEARCH("ПЕРЕГРУЗ",AE799)),ISNUMBER(SEARCH("ЗАЩИЩ",AE799)),ISNUMBER(SEARCH("КАНАЛ",AE799)),ISNUMBER(SEARCH("без 30",AE799))),2,1))</f>
      </c>
      <c r="BV799" s="129">
        <f>IF(R799="","",COUNTIF($R$3:R799,"?*"))</f>
      </c>
      <c r="BW799" s="129">
        <f>IF(AY799&lt;&gt;1,0,IF(MAX(IFERROR(--VLOOKUP(R799,УГО_спр,5,FALSE),0),IFERROR(--VLOOKUP(AL799,УГО_спр,5,FALSE),0),IFERROR(--VLOOKUP(LEFT(AL799,2),УГО_спр,5,FALSE),0))&gt;0,MAX(IFERROR(--VLOOKUP(R799,УГО_спр,5,FALSE),0),IFERROR(--VLOOKUP(AL799,УГО_спр,5,FALSE),0),IFERROR(--VLOOKUP(LEFT(AL799,2),УГО_спр,5,FALSE),0)),IF(IFERROR(--LEFT(SUBSTITUTE(BQ799,"x","х"),FIND("х",SUBSTITUTE(BQ799,"x","х"))-1),3)&gt;3,Каталог!$S$9,1)))</f>
      </c>
      <c r="BX799" s="129">
        <f>IF(AY799&lt;&gt;1,0,MAX(0,IFERROR(--LEFT(SUBSTITUTE(BQ799,"x","х"),FIND("х",SUBSTITUTE(BQ799,"x","х"))-1),3)-3*BW799))</f>
      </c>
      <c r="BY799" s="129">
        <f>IF(R799="","",IFERROR(VLOOKUP(R799,УГО_спр,2,FALSE),IFERROR(VLOOKUP(AL799,УГО_спр,2,FALSE),IFERROR(VLOOKUP(LEFT(AL799,2),УГО_спр,2,FALSE),""))))</f>
      </c>
    </row>
    <row r="800" spans="1:64" x14ac:dyDescent="0.3">
      <c r="A800" s="135">
        <f>IF(Разбивка_по_щитам!F800=0,"",Разбивка_по_щитам!F800)</f>
        <v/>
      </c>
      <c r="B800" s="138">
        <f>IF(A800="","",Разбивка_по_щитам!C800)</f>
        <v/>
      </c>
      <c r="C800" s="138">
        <f t="shared" si="502"/>
        <v/>
      </c>
      <c r="D800" s="266"/>
      <c r="E800" s="266"/>
      <c r="F800" s="267"/>
      <c r="G800" s="145">
        <f t="shared" si="503"/>
        <v/>
      </c>
      <c r="H800" s="145">
        <f t="shared" si="504"/>
        <v/>
      </c>
      <c r="I800" s="266"/>
      <c r="J800" s="267"/>
      <c r="K800" s="267"/>
      <c r="L800" s="266"/>
      <c r="M800" s="147">
        <f t="shared" si="505"/>
        <v/>
      </c>
      <c r="N800" s="267"/>
      <c r="O800" s="147">
        <f t="shared" si="506"/>
        <v/>
      </c>
      <c r="P800" s="268">
        <f>IF(AY800=1,"XT"&amp;COUNTIFS($A$3:A800,A800,$AY$3:AY800,1),"")</f>
        <v/>
      </c>
      <c r="Q800" s="152">
        <f>IF(R800="","",IFERROR(SUBSTITUTE(Разбивка_по_щитам!P800,CHAR(10)," "),""))</f>
        <v/>
      </c>
      <c r="R800" s="153">
        <f>IF(OR(Разбивка_по_щитам!H800="",Разбивка_по_щитам!H800=0),"",Разбивка_по_щитам!H800)</f>
        <v/>
      </c>
      <c r="S800" s="154">
        <f>IF(R800="","",IFERROR(Разбивка_по_щитам!J800&amp;"",""))</f>
        <v/>
      </c>
      <c r="T800" s="155">
        <f>IF(R800="","",IFERROR(--Разбивка_по_щитам!L800,""))</f>
        <v/>
      </c>
      <c r="U800" s="155">
        <f>IF(R800="","",IFERROR(--Разбивка_по_щитам!K800,""))</f>
        <v/>
      </c>
      <c r="V800" s="138">
        <f>IF(R800="","",IFERROR(IF(Разбивка_по_щитам!M800=0,"",Разбивка_по_щитам!M800),""))</f>
        <v/>
      </c>
      <c r="W800" s="156">
        <f t="shared" si="507"/>
        <v/>
      </c>
      <c r="X800" s="157">
        <f t="shared" si="508"/>
        <v/>
      </c>
      <c r="Y800" s="266"/>
      <c r="Z800" s="158">
        <f t="shared" si="509"/>
        <v/>
      </c>
      <c r="AA800" s="160">
        <f t="shared" si="510"/>
        <v/>
      </c>
      <c r="AB800" s="160">
        <f>IF(R800="","",IFERROR(LOOKUP(INDEX(Справочная!$I$4:$I$19,MATCH(VLOOKUP(R800,Исходные_данные,22,FALSE),Справочная!$J$4:$J$19,0)+1),{6,10,16,20,25,32,40,50,63,80,100,125}),""))</f>
        <v/>
      </c>
      <c r="AC800" s="160">
        <f t="shared" si="511"/>
        <v/>
      </c>
      <c r="AD800" s="161">
        <f t="shared" si="512"/>
        <v/>
      </c>
      <c r="AE800" s="161">
        <f>IF(AND(R800="",G800=""),"",_xlfn.TEXTJOIN("; ",TRUE,IF(AND(R800&lt;&gt;"",V800=""),"нет фазы",""),IF(AND(R800&lt;&gt;"",N(T800)=0),"нет мощности",""),IF(AND(P800&lt;&gt;"",COUNTIFS($A$3:$A$1000,A800,$P$3:$P$1000,P800)&gt;1),"дубль клеммы "&amp;P800,""),IF(AND(W800&lt;&gt;"",W800&lt;&gt;"ok"),W800,""),IF(X800&lt;&gt;"",X800,""),IF(AND(ISNUMBER(SEARCH("(5х",Q800)),N(AK800)=1),"5 жил на 1 фазе",""),IF(AND(AL800="R",E800&lt;&gt;"",N(AS800)=0),"розетка без 30 мА",""),IF(IFERROR(_xlfn.NUMBERVALUE(MID(Q800,FIND("-",Q800,FIND("L=",Q800))+1,FIND("%",Q800)-FIND("-",Q800,FIND("L=",Q800))-1),","),0)&gt;4,"потери &gt; 4 %","")))</f>
      </c>
      <c r="AF800" s="129">
        <f>IF(E800&lt;&gt;"",COUNTIFS($A$3:A800,A800,$E$3:E800,"?*"),IF(OR(A800&lt;&gt;A799,Y800="вручную"),"",AF799))</f>
        <v/>
      </c>
      <c r="AG800" s="129">
        <f t="shared" si="513"/>
        <v/>
      </c>
      <c r="AH800" s="129">
        <f t="shared" si="514"/>
        <v/>
      </c>
      <c r="AI800" s="129">
        <f t="shared" si="515"/>
        <v/>
      </c>
      <c r="AJ800" s="129">
        <f t="shared" si="516"/>
        <v/>
      </c>
      <c r="AK800" s="129">
        <f t="shared" si="517"/>
        <v/>
      </c>
      <c r="AL800" s="129">
        <f t="shared" si="518"/>
        <v/>
      </c>
      <c r="AM800" s="129">
        <f t="shared" si="519"/>
      </c>
      <c r="AN800" s="129">
        <f t="shared" si="520"/>
      </c>
      <c r="AO800" s="129">
        <f t="shared" si="521"/>
        <v/>
      </c>
      <c r="AP800" s="129">
        <f t="shared" si="522"/>
        <v/>
      </c>
      <c r="AQ800" s="129">
        <f t="shared" si="523"/>
        <v/>
      </c>
      <c r="AR800" s="129">
        <f t="shared" si="524"/>
        <v/>
      </c>
      <c r="AS800" s="129">
        <f t="shared" si="525"/>
        <v/>
      </c>
      <c r="AT800" s="129">
        <f t="shared" si="526"/>
        <v/>
      </c>
      <c r="AU800" s="129">
        <f t="shared" si="527"/>
        <v/>
      </c>
      <c r="AV800" s="129">
        <f t="shared" si="528"/>
        <v/>
      </c>
      <c r="AW800" s="129">
        <f>IF(AV800="","",AV800&amp;"."&amp;COUNTIFS($A$3:A800,A800,$AV$3:AV800,AV800))</f>
        <v/>
      </c>
      <c r="AX800" s="129">
        <f t="shared" si="529"/>
        <v/>
      </c>
      <c r="AY800" s="129">
        <f>IF(N800="б/к",0,IF(OR(ISNUMBER(SEARCH("L=",Разбивка_по_щитам!P800)),N800="+",N800="="),1,0))</f>
      </c>
      <c r="AZ800" s="129">
        <f t="shared" si="530"/>
        <v/>
      </c>
      <c r="BA800" s="129">
        <f t="shared" si="531"/>
      </c>
      <c r="BB800" s="129">
        <f t="shared" si="532"/>
      </c>
      <c r="BD800" s="129">
        <f t="shared" si="533"/>
      </c>
      <c r="BE800" s="129">
        <f t="shared" si="534"/>
      </c>
      <c r="BF800" s="129">
        <f t="shared" si="535"/>
      </c>
      <c r="BG800" s="129">
        <f t="shared" si="536"/>
        <v/>
      </c>
      <c r="BH800" s="129">
        <f t="shared" si="537"/>
        <v/>
      </c>
      <c r="BI800" s="129">
        <f t="shared" si="538"/>
        <v/>
      </c>
      <c r="BJ800" s="129">
        <f t="shared" si="539"/>
        <v/>
      </c>
      <c r="BK800" s="129">
        <f>IF(R800="","",IF(OR(BY800="",BY800=0),"BOX",IFERROR(IF(VLOOKUP(BY800,УГО_блоки,3,FALSE)&amp;""&lt;&gt;"",VLOOKUP(BY800,УГО_блоки,3,FALSE),VLOOKUP(BY800,УГО_блоки,2,FALSE)),BY800)))</f>
      </c>
      <c r="BL800" s="129">
        <f t="shared" si="541"/>
      </c>
      <c r="BM800" s="129">
        <f>IF(H800="","",IF(COUNTIF($H$3:H800,H800)=1,MAX($BM$2:BM799)+1,""))</f>
      </c>
      <c r="BN800" s="129">
        <f>IF(I800="","",IF(COUNTIF($I$3:I800,I800)+COUNTIF($J$2:J799,I800)+COUNTIF($K$2:K799,I800)=1,MAX($BN$2:BP799)+1,""))</f>
      </c>
      <c r="BO800" s="129">
        <f>IF(J800="","",IF(COUNTIF($I$3:I800,J800)+COUNTIF($J$3:J800,J800)+COUNTIF($K$2:K799,J800)=1,MAX($BN$2:BP799,BN800)+1,""))</f>
      </c>
      <c r="BP800" s="129">
        <f>IF(K800="","",IF(COUNTIF($I$3:I800,K800)+COUNTIF($J$3:J800,K800)+COUNTIF($K$3:K800,K800)=1,MAX($BN$2:BP799,BN800,BO800)+1,""))</f>
      </c>
      <c r="BQ800" s="129">
        <f>IF(AY800=1,IFERROR(MID(Q800,FIND(" (",Q800)+2,FIND(")",Q800,FIND(" (",Q800))-FIND(" (",Q800)-2),"?"),"")</f>
      </c>
      <c r="BR800" s="129">
        <f>IF(BQ800="","",IF(COUNTIF($BQ$3:BQ800,BQ800)=1,MAX($BR$2:BR799)+1,""))</f>
      </c>
      <c r="BS800" s="129">
        <f>IF(AW800="","",COUNTIF($AW$3:AW800,"?*"))</f>
      </c>
      <c r="BT800" s="129">
        <f>IF(OR(AW800="",AI800=""),"",IF(COUNTIFS($AW$3:AW800,"?*",$AI$3:AI800,AI800)=1,MAX($BT$2:BT799)+1,""))</f>
      </c>
      <c r="BU800" s="129">
        <f>IF(AE800="",0,IF(OR(ISNUMBER(SEARCH("дубль",AE800)),ISNUMBER(SEARCH("ПЕРЕГРУЗ",AE800)),ISNUMBER(SEARCH("ЗАЩИЩ",AE800)),ISNUMBER(SEARCH("КАНАЛ",AE800)),ISNUMBER(SEARCH("без 30",AE800))),2,1))</f>
      </c>
      <c r="BV800" s="129">
        <f>IF(R800="","",COUNTIF($R$3:R800,"?*"))</f>
      </c>
      <c r="BW800" s="129">
        <f>IF(AY800&lt;&gt;1,0,IF(MAX(IFERROR(--VLOOKUP(R800,УГО_спр,5,FALSE),0),IFERROR(--VLOOKUP(AL800,УГО_спр,5,FALSE),0),IFERROR(--VLOOKUP(LEFT(AL800,2),УГО_спр,5,FALSE),0))&gt;0,MAX(IFERROR(--VLOOKUP(R800,УГО_спр,5,FALSE),0),IFERROR(--VLOOKUP(AL800,УГО_спр,5,FALSE),0),IFERROR(--VLOOKUP(LEFT(AL800,2),УГО_спр,5,FALSE),0)),IF(IFERROR(--LEFT(SUBSTITUTE(BQ800,"x","х"),FIND("х",SUBSTITUTE(BQ800,"x","х"))-1),3)&gt;3,Каталог!$S$9,1)))</f>
      </c>
      <c r="BX800" s="129">
        <f>IF(AY800&lt;&gt;1,0,MAX(0,IFERROR(--LEFT(SUBSTITUTE(BQ800,"x","х"),FIND("х",SUBSTITUTE(BQ800,"x","х"))-1),3)-3*BW800))</f>
      </c>
      <c r="BY800" s="129">
        <f>IF(R800="","",IFERROR(VLOOKUP(R800,УГО_спр,2,FALSE),IFERROR(VLOOKUP(AL800,УГО_спр,2,FALSE),IFERROR(VLOOKUP(LEFT(AL800,2),УГО_спр,2,FALSE),""))))</f>
      </c>
    </row>
    <row r="801" spans="1:64" x14ac:dyDescent="0.3">
      <c r="A801" s="135">
        <f>IF(Разбивка_по_щитам!F801=0,"",Разбивка_по_щитам!F801)</f>
        <v/>
      </c>
      <c r="B801" s="138">
        <f>IF(A801="","",Разбивка_по_щитам!C801)</f>
        <v/>
      </c>
      <c r="C801" s="138">
        <f t="shared" si="502"/>
        <v/>
      </c>
      <c r="D801" s="266"/>
      <c r="E801" s="266"/>
      <c r="F801" s="267"/>
      <c r="G801" s="145">
        <f t="shared" si="503"/>
        <v/>
      </c>
      <c r="H801" s="145">
        <f t="shared" si="504"/>
        <v/>
      </c>
      <c r="I801" s="266"/>
      <c r="J801" s="267"/>
      <c r="K801" s="267"/>
      <c r="L801" s="266"/>
      <c r="M801" s="147">
        <f t="shared" si="505"/>
        <v/>
      </c>
      <c r="N801" s="267"/>
      <c r="O801" s="147">
        <f t="shared" si="506"/>
        <v/>
      </c>
      <c r="P801" s="268">
        <f>IF(AY801=1,"XT"&amp;COUNTIFS($A$3:A801,A801,$AY$3:AY801,1),"")</f>
        <v/>
      </c>
      <c r="Q801" s="152">
        <f>IF(R801="","",IFERROR(SUBSTITUTE(Разбивка_по_щитам!P801,CHAR(10)," "),""))</f>
        <v/>
      </c>
      <c r="R801" s="153">
        <f>IF(OR(Разбивка_по_щитам!H801="",Разбивка_по_щитам!H801=0),"",Разбивка_по_щитам!H801)</f>
        <v/>
      </c>
      <c r="S801" s="154">
        <f>IF(R801="","",IFERROR(Разбивка_по_щитам!J801&amp;"",""))</f>
        <v/>
      </c>
      <c r="T801" s="155">
        <f>IF(R801="","",IFERROR(--Разбивка_по_щитам!L801,""))</f>
        <v/>
      </c>
      <c r="U801" s="155">
        <f>IF(R801="","",IFERROR(--Разбивка_по_щитам!K801,""))</f>
        <v/>
      </c>
      <c r="V801" s="138">
        <f>IF(R801="","",IFERROR(IF(Разбивка_по_щитам!M801=0,"",Разбивка_по_щитам!M801),""))</f>
        <v/>
      </c>
      <c r="W801" s="156">
        <f t="shared" si="507"/>
        <v/>
      </c>
      <c r="X801" s="157">
        <f t="shared" si="508"/>
        <v/>
      </c>
      <c r="Y801" s="266"/>
      <c r="Z801" s="158">
        <f t="shared" si="509"/>
        <v/>
      </c>
      <c r="AA801" s="160">
        <f t="shared" si="510"/>
        <v/>
      </c>
      <c r="AB801" s="160">
        <f>IF(R801="","",IFERROR(LOOKUP(INDEX(Справочная!$I$4:$I$19,MATCH(VLOOKUP(R801,Исходные_данные,22,FALSE),Справочная!$J$4:$J$19,0)+1),{6,10,16,20,25,32,40,50,63,80,100,125}),""))</f>
        <v/>
      </c>
      <c r="AC801" s="160">
        <f t="shared" si="511"/>
        <v/>
      </c>
      <c r="AD801" s="161">
        <f t="shared" si="512"/>
        <v/>
      </c>
      <c r="AE801" s="161">
        <f>IF(AND(R801="",G801=""),"",_xlfn.TEXTJOIN("; ",TRUE,IF(AND(R801&lt;&gt;"",V801=""),"нет фазы",""),IF(AND(R801&lt;&gt;"",N(T801)=0),"нет мощности",""),IF(AND(P801&lt;&gt;"",COUNTIFS($A$3:$A$1000,A801,$P$3:$P$1000,P801)&gt;1),"дубль клеммы "&amp;P801,""),IF(AND(W801&lt;&gt;"",W801&lt;&gt;"ok"),W801,""),IF(X801&lt;&gt;"",X801,""),IF(AND(ISNUMBER(SEARCH("(5х",Q801)),N(AK801)=1),"5 жил на 1 фазе",""),IF(AND(AL801="R",E801&lt;&gt;"",N(AS801)=0),"розетка без 30 мА",""),IF(IFERROR(_xlfn.NUMBERVALUE(MID(Q801,FIND("-",Q801,FIND("L=",Q801))+1,FIND("%",Q801)-FIND("-",Q801,FIND("L=",Q801))-1),","),0)&gt;4,"потери &gt; 4 %","")))</f>
      </c>
      <c r="AF801" s="129">
        <f>IF(E801&lt;&gt;"",COUNTIFS($A$3:A801,A801,$E$3:E801,"?*"),IF(OR(A801&lt;&gt;A800,Y801="вручную"),"",AF800))</f>
        <v/>
      </c>
      <c r="AG801" s="129">
        <f t="shared" si="513"/>
        <v/>
      </c>
      <c r="AH801" s="129">
        <f t="shared" si="514"/>
        <v/>
      </c>
      <c r="AI801" s="129">
        <f t="shared" si="515"/>
        <v/>
      </c>
      <c r="AJ801" s="129">
        <f t="shared" si="516"/>
        <v/>
      </c>
      <c r="AK801" s="129">
        <f t="shared" si="517"/>
        <v/>
      </c>
      <c r="AL801" s="129">
        <f t="shared" si="518"/>
        <v/>
      </c>
      <c r="AM801" s="129">
        <f t="shared" si="519"/>
      </c>
      <c r="AN801" s="129">
        <f t="shared" si="520"/>
      </c>
      <c r="AO801" s="129">
        <f t="shared" si="521"/>
        <v/>
      </c>
      <c r="AP801" s="129">
        <f t="shared" si="522"/>
        <v/>
      </c>
      <c r="AQ801" s="129">
        <f t="shared" si="523"/>
        <v/>
      </c>
      <c r="AR801" s="129">
        <f t="shared" si="524"/>
        <v/>
      </c>
      <c r="AS801" s="129">
        <f t="shared" si="525"/>
        <v/>
      </c>
      <c r="AT801" s="129">
        <f t="shared" si="526"/>
        <v/>
      </c>
      <c r="AU801" s="129">
        <f t="shared" si="527"/>
        <v/>
      </c>
      <c r="AV801" s="129">
        <f t="shared" si="528"/>
        <v/>
      </c>
      <c r="AW801" s="129">
        <f>IF(AV801="","",AV801&amp;"."&amp;COUNTIFS($A$3:A801,A801,$AV$3:AV801,AV801))</f>
        <v/>
      </c>
      <c r="AX801" s="129">
        <f t="shared" si="529"/>
        <v/>
      </c>
      <c r="AY801" s="129">
        <f>IF(N801="б/к",0,IF(OR(ISNUMBER(SEARCH("L=",Разбивка_по_щитам!P801)),N801="+",N801="="),1,0))</f>
      </c>
      <c r="AZ801" s="129">
        <f t="shared" si="530"/>
        <v/>
      </c>
      <c r="BA801" s="129">
        <f t="shared" si="531"/>
      </c>
      <c r="BB801" s="129">
        <f t="shared" si="532"/>
      </c>
      <c r="BD801" s="129">
        <f t="shared" si="533"/>
      </c>
      <c r="BE801" s="129">
        <f t="shared" si="534"/>
      </c>
      <c r="BF801" s="129">
        <f t="shared" si="535"/>
      </c>
      <c r="BG801" s="129">
        <f t="shared" si="536"/>
        <v/>
      </c>
      <c r="BH801" s="129">
        <f t="shared" si="537"/>
        <v/>
      </c>
      <c r="BI801" s="129">
        <f t="shared" si="538"/>
        <v/>
      </c>
      <c r="BJ801" s="129">
        <f t="shared" si="539"/>
        <v/>
      </c>
      <c r="BK801" s="129">
        <f>IF(R801="","",IF(OR(BY801="",BY801=0),"BOX",IFERROR(IF(VLOOKUP(BY801,УГО_блоки,3,FALSE)&amp;""&lt;&gt;"",VLOOKUP(BY801,УГО_блоки,3,FALSE),VLOOKUP(BY801,УГО_блоки,2,FALSE)),BY801)))</f>
      </c>
      <c r="BL801" s="129">
        <f t="shared" si="541"/>
      </c>
      <c r="BM801" s="129">
        <f>IF(H801="","",IF(COUNTIF($H$3:H801,H801)=1,MAX($BM$2:BM800)+1,""))</f>
      </c>
      <c r="BN801" s="129">
        <f>IF(I801="","",IF(COUNTIF($I$3:I801,I801)+COUNTIF($J$2:J800,I801)+COUNTIF($K$2:K800,I801)=1,MAX($BN$2:BP800)+1,""))</f>
      </c>
      <c r="BO801" s="129">
        <f>IF(J801="","",IF(COUNTIF($I$3:I801,J801)+COUNTIF($J$3:J801,J801)+COUNTIF($K$2:K800,J801)=1,MAX($BN$2:BP800,BN801)+1,""))</f>
      </c>
      <c r="BP801" s="129">
        <f>IF(K801="","",IF(COUNTIF($I$3:I801,K801)+COUNTIF($J$3:J801,K801)+COUNTIF($K$3:K801,K801)=1,MAX($BN$2:BP800,BN801,BO801)+1,""))</f>
      </c>
      <c r="BQ801" s="129">
        <f>IF(AY801=1,IFERROR(MID(Q801,FIND(" (",Q801)+2,FIND(")",Q801,FIND(" (",Q801))-FIND(" (",Q801)-2),"?"),"")</f>
      </c>
      <c r="BR801" s="129">
        <f>IF(BQ801="","",IF(COUNTIF($BQ$3:BQ801,BQ801)=1,MAX($BR$2:BR800)+1,""))</f>
      </c>
      <c r="BS801" s="129">
        <f>IF(AW801="","",COUNTIF($AW$3:AW801,"?*"))</f>
      </c>
      <c r="BT801" s="129">
        <f>IF(OR(AW801="",AI801=""),"",IF(COUNTIFS($AW$3:AW801,"?*",$AI$3:AI801,AI801)=1,MAX($BT$2:BT800)+1,""))</f>
      </c>
      <c r="BU801" s="129">
        <f>IF(AE801="",0,IF(OR(ISNUMBER(SEARCH("дубль",AE801)),ISNUMBER(SEARCH("ПЕРЕГРУЗ",AE801)),ISNUMBER(SEARCH("ЗАЩИЩ",AE801)),ISNUMBER(SEARCH("КАНАЛ",AE801)),ISNUMBER(SEARCH("без 30",AE801))),2,1))</f>
      </c>
      <c r="BV801" s="129">
        <f>IF(R801="","",COUNTIF($R$3:R801,"?*"))</f>
      </c>
      <c r="BW801" s="129">
        <f>IF(AY801&lt;&gt;1,0,IF(MAX(IFERROR(--VLOOKUP(R801,УГО_спр,5,FALSE),0),IFERROR(--VLOOKUP(AL801,УГО_спр,5,FALSE),0),IFERROR(--VLOOKUP(LEFT(AL801,2),УГО_спр,5,FALSE),0))&gt;0,MAX(IFERROR(--VLOOKUP(R801,УГО_спр,5,FALSE),0),IFERROR(--VLOOKUP(AL801,УГО_спр,5,FALSE),0),IFERROR(--VLOOKUP(LEFT(AL801,2),УГО_спр,5,FALSE),0)),IF(IFERROR(--LEFT(SUBSTITUTE(BQ801,"x","х"),FIND("х",SUBSTITUTE(BQ801,"x","х"))-1),3)&gt;3,Каталог!$S$9,1)))</f>
      </c>
      <c r="BX801" s="129">
        <f>IF(AY801&lt;&gt;1,0,MAX(0,IFERROR(--LEFT(SUBSTITUTE(BQ801,"x","х"),FIND("х",SUBSTITUTE(BQ801,"x","х"))-1),3)-3*BW801))</f>
      </c>
      <c r="BY801" s="129">
        <f>IF(R801="","",IFERROR(VLOOKUP(R801,УГО_спр,2,FALSE),IFERROR(VLOOKUP(AL801,УГО_спр,2,FALSE),IFERROR(VLOOKUP(LEFT(AL801,2),УГО_спр,2,FALSE),""))))</f>
      </c>
    </row>
    <row r="802" spans="1:64" x14ac:dyDescent="0.3">
      <c r="A802" s="135">
        <f>IF(Разбивка_по_щитам!F802=0,"",Разбивка_по_щитам!F802)</f>
        <v/>
      </c>
      <c r="B802" s="138">
        <f>IF(A802="","",Разбивка_по_щитам!C802)</f>
        <v/>
      </c>
      <c r="C802" s="138">
        <f t="shared" si="502"/>
        <v/>
      </c>
      <c r="D802" s="266"/>
      <c r="E802" s="266"/>
      <c r="F802" s="267"/>
      <c r="G802" s="145">
        <f t="shared" si="503"/>
        <v/>
      </c>
      <c r="H802" s="145">
        <f t="shared" si="504"/>
        <v/>
      </c>
      <c r="I802" s="266"/>
      <c r="J802" s="267"/>
      <c r="K802" s="267"/>
      <c r="L802" s="266"/>
      <c r="M802" s="147">
        <f t="shared" si="505"/>
        <v/>
      </c>
      <c r="N802" s="267"/>
      <c r="O802" s="147">
        <f t="shared" si="506"/>
        <v/>
      </c>
      <c r="P802" s="268">
        <f>IF(AY802=1,"XT"&amp;COUNTIFS($A$3:A802,A802,$AY$3:AY802,1),"")</f>
        <v/>
      </c>
      <c r="Q802" s="152">
        <f>IF(R802="","",IFERROR(SUBSTITUTE(Разбивка_по_щитам!P802,CHAR(10)," "),""))</f>
        <v/>
      </c>
      <c r="R802" s="153">
        <f>IF(OR(Разбивка_по_щитам!H802="",Разбивка_по_щитам!H802=0),"",Разбивка_по_щитам!H802)</f>
        <v/>
      </c>
      <c r="S802" s="154">
        <f>IF(R802="","",IFERROR(Разбивка_по_щитам!J802&amp;"",""))</f>
        <v/>
      </c>
      <c r="T802" s="155">
        <f>IF(R802="","",IFERROR(--Разбивка_по_щитам!L802,""))</f>
        <v/>
      </c>
      <c r="U802" s="155">
        <f>IF(R802="","",IFERROR(--Разбивка_по_щитам!K802,""))</f>
        <v/>
      </c>
      <c r="V802" s="138">
        <f>IF(R802="","",IFERROR(IF(Разбивка_по_щитам!M802=0,"",Разбивка_по_щитам!M802),""))</f>
        <v/>
      </c>
      <c r="W802" s="156">
        <f t="shared" si="507"/>
        <v/>
      </c>
      <c r="X802" s="157">
        <f t="shared" si="508"/>
        <v/>
      </c>
      <c r="Y802" s="266"/>
      <c r="Z802" s="158">
        <f t="shared" si="509"/>
        <v/>
      </c>
      <c r="AA802" s="160">
        <f t="shared" si="510"/>
        <v/>
      </c>
      <c r="AB802" s="160">
        <f>IF(R802="","",IFERROR(LOOKUP(INDEX(Справочная!$I$4:$I$19,MATCH(VLOOKUP(R802,Исходные_данные,22,FALSE),Справочная!$J$4:$J$19,0)+1),{6,10,16,20,25,32,40,50,63,80,100,125}),""))</f>
        <v/>
      </c>
      <c r="AC802" s="160">
        <f t="shared" si="511"/>
        <v/>
      </c>
      <c r="AD802" s="161">
        <f t="shared" si="512"/>
        <v/>
      </c>
      <c r="AE802" s="161">
        <f>IF(AND(R802="",G802=""),"",_xlfn.TEXTJOIN("; ",TRUE,IF(AND(R802&lt;&gt;"",V802=""),"нет фазы",""),IF(AND(R802&lt;&gt;"",N(T802)=0),"нет мощности",""),IF(AND(P802&lt;&gt;"",COUNTIFS($A$3:$A$1000,A802,$P$3:$P$1000,P802)&gt;1),"дубль клеммы "&amp;P802,""),IF(AND(W802&lt;&gt;"",W802&lt;&gt;"ok"),W802,""),IF(X802&lt;&gt;"",X802,""),IF(AND(ISNUMBER(SEARCH("(5х",Q802)),N(AK802)=1),"5 жил на 1 фазе",""),IF(AND(AL802="R",E802&lt;&gt;"",N(AS802)=0),"розетка без 30 мА",""),IF(IFERROR(_xlfn.NUMBERVALUE(MID(Q802,FIND("-",Q802,FIND("L=",Q802))+1,FIND("%",Q802)-FIND("-",Q802,FIND("L=",Q802))-1),","),0)&gt;4,"потери &gt; 4 %","")))</f>
      </c>
      <c r="AF802" s="129">
        <f>IF(E802&lt;&gt;"",COUNTIFS($A$3:A802,A802,$E$3:E802,"?*"),IF(OR(A802&lt;&gt;A801,Y802="вручную"),"",AF801))</f>
        <v/>
      </c>
      <c r="AG802" s="129">
        <f t="shared" si="513"/>
        <v/>
      </c>
      <c r="AH802" s="129">
        <f t="shared" si="514"/>
        <v/>
      </c>
      <c r="AI802" s="129">
        <f t="shared" si="515"/>
        <v/>
      </c>
      <c r="AJ802" s="129">
        <f t="shared" si="516"/>
        <v/>
      </c>
      <c r="AK802" s="129">
        <f t="shared" si="517"/>
        <v/>
      </c>
      <c r="AL802" s="129">
        <f t="shared" si="518"/>
        <v/>
      </c>
      <c r="AM802" s="129">
        <f t="shared" si="519"/>
      </c>
      <c r="AN802" s="129">
        <f t="shared" si="520"/>
      </c>
      <c r="AO802" s="129">
        <f t="shared" si="521"/>
        <v/>
      </c>
      <c r="AP802" s="129">
        <f t="shared" si="522"/>
        <v/>
      </c>
      <c r="AQ802" s="129">
        <f t="shared" si="523"/>
        <v/>
      </c>
      <c r="AR802" s="129">
        <f t="shared" si="524"/>
        <v/>
      </c>
      <c r="AS802" s="129">
        <f t="shared" si="525"/>
        <v/>
      </c>
      <c r="AT802" s="129">
        <f t="shared" si="526"/>
        <v/>
      </c>
      <c r="AU802" s="129">
        <f t="shared" si="527"/>
        <v/>
      </c>
      <c r="AV802" s="129">
        <f t="shared" si="528"/>
        <v/>
      </c>
      <c r="AW802" s="129">
        <f>IF(AV802="","",AV802&amp;"."&amp;COUNTIFS($A$3:A802,A802,$AV$3:AV802,AV802))</f>
        <v/>
      </c>
      <c r="AX802" s="129">
        <f t="shared" si="529"/>
        <v/>
      </c>
      <c r="AY802" s="129">
        <f>IF(N802="б/к",0,IF(OR(ISNUMBER(SEARCH("L=",Разбивка_по_щитам!P802)),N802="+",N802="="),1,0))</f>
      </c>
      <c r="AZ802" s="129">
        <f t="shared" si="530"/>
        <v/>
      </c>
      <c r="BA802" s="129">
        <f t="shared" si="531"/>
      </c>
      <c r="BB802" s="129">
        <f t="shared" si="532"/>
      </c>
      <c r="BD802" s="129">
        <f t="shared" si="533"/>
      </c>
      <c r="BE802" s="129">
        <f t="shared" si="534"/>
      </c>
      <c r="BF802" s="129">
        <f t="shared" si="535"/>
      </c>
      <c r="BG802" s="129">
        <f t="shared" si="536"/>
        <v/>
      </c>
      <c r="BH802" s="129">
        <f t="shared" si="537"/>
        <v/>
      </c>
      <c r="BI802" s="129">
        <f t="shared" si="538"/>
        <v/>
      </c>
      <c r="BJ802" s="129">
        <f t="shared" si="539"/>
        <v/>
      </c>
      <c r="BK802" s="129">
        <f>IF(R802="","",IF(OR(BY802="",BY802=0),"BOX",IFERROR(IF(VLOOKUP(BY802,УГО_блоки,3,FALSE)&amp;""&lt;&gt;"",VLOOKUP(BY802,УГО_блоки,3,FALSE),VLOOKUP(BY802,УГО_блоки,2,FALSE)),BY802)))</f>
      </c>
      <c r="BL802" s="129">
        <f t="shared" si="541"/>
      </c>
      <c r="BM802" s="129">
        <f>IF(H802="","",IF(COUNTIF($H$3:H802,H802)=1,MAX($BM$2:BM801)+1,""))</f>
      </c>
      <c r="BN802" s="129">
        <f>IF(I802="","",IF(COUNTIF($I$3:I802,I802)+COUNTIF($J$2:J801,I802)+COUNTIF($K$2:K801,I802)=1,MAX($BN$2:BP801)+1,""))</f>
      </c>
      <c r="BO802" s="129">
        <f>IF(J802="","",IF(COUNTIF($I$3:I802,J802)+COUNTIF($J$3:J802,J802)+COUNTIF($K$2:K801,J802)=1,MAX($BN$2:BP801,BN802)+1,""))</f>
      </c>
      <c r="BP802" s="129">
        <f>IF(K802="","",IF(COUNTIF($I$3:I802,K802)+COUNTIF($J$3:J802,K802)+COUNTIF($K$3:K802,K802)=1,MAX($BN$2:BP801,BN802,BO802)+1,""))</f>
      </c>
      <c r="BQ802" s="129">
        <f>IF(AY802=1,IFERROR(MID(Q802,FIND(" (",Q802)+2,FIND(")",Q802,FIND(" (",Q802))-FIND(" (",Q802)-2),"?"),"")</f>
      </c>
      <c r="BR802" s="129">
        <f>IF(BQ802="","",IF(COUNTIF($BQ$3:BQ802,BQ802)=1,MAX($BR$2:BR801)+1,""))</f>
      </c>
      <c r="BS802" s="129">
        <f>IF(AW802="","",COUNTIF($AW$3:AW802,"?*"))</f>
      </c>
      <c r="BT802" s="129">
        <f>IF(OR(AW802="",AI802=""),"",IF(COUNTIFS($AW$3:AW802,"?*",$AI$3:AI802,AI802)=1,MAX($BT$2:BT801)+1,""))</f>
      </c>
      <c r="BU802" s="129">
        <f>IF(AE802="",0,IF(OR(ISNUMBER(SEARCH("дубль",AE802)),ISNUMBER(SEARCH("ПЕРЕГРУЗ",AE802)),ISNUMBER(SEARCH("ЗАЩИЩ",AE802)),ISNUMBER(SEARCH("КАНАЛ",AE802)),ISNUMBER(SEARCH("без 30",AE802))),2,1))</f>
      </c>
      <c r="BV802" s="129">
        <f>IF(R802="","",COUNTIF($R$3:R802,"?*"))</f>
      </c>
      <c r="BW802" s="129">
        <f>IF(AY802&lt;&gt;1,0,IF(MAX(IFERROR(--VLOOKUP(R802,УГО_спр,5,FALSE),0),IFERROR(--VLOOKUP(AL802,УГО_спр,5,FALSE),0),IFERROR(--VLOOKUP(LEFT(AL802,2),УГО_спр,5,FALSE),0))&gt;0,MAX(IFERROR(--VLOOKUP(R802,УГО_спр,5,FALSE),0),IFERROR(--VLOOKUP(AL802,УГО_спр,5,FALSE),0),IFERROR(--VLOOKUP(LEFT(AL802,2),УГО_спр,5,FALSE),0)),IF(IFERROR(--LEFT(SUBSTITUTE(BQ802,"x","х"),FIND("х",SUBSTITUTE(BQ802,"x","х"))-1),3)&gt;3,Каталог!$S$9,1)))</f>
      </c>
      <c r="BX802" s="129">
        <f>IF(AY802&lt;&gt;1,0,MAX(0,IFERROR(--LEFT(SUBSTITUTE(BQ802,"x","х"),FIND("х",SUBSTITUTE(BQ802,"x","х"))-1),3)-3*BW802))</f>
      </c>
      <c r="BY802" s="129">
        <f>IF(R802="","",IFERROR(VLOOKUP(R802,УГО_спр,2,FALSE),IFERROR(VLOOKUP(AL802,УГО_спр,2,FALSE),IFERROR(VLOOKUP(LEFT(AL802,2),УГО_спр,2,FALSE),""))))</f>
      </c>
    </row>
    <row r="803" spans="1:64" x14ac:dyDescent="0.3">
      <c r="A803" s="135">
        <f>IF(Разбивка_по_щитам!F803=0,"",Разбивка_по_щитам!F803)</f>
        <v/>
      </c>
      <c r="B803" s="138">
        <f>IF(A803="","",Разбивка_по_щитам!C803)</f>
        <v/>
      </c>
      <c r="C803" s="138">
        <f t="shared" si="502"/>
        <v/>
      </c>
      <c r="D803" s="266"/>
      <c r="E803" s="266"/>
      <c r="F803" s="267"/>
      <c r="G803" s="145">
        <f t="shared" si="503"/>
        <v/>
      </c>
      <c r="H803" s="145">
        <f t="shared" si="504"/>
        <v/>
      </c>
      <c r="I803" s="266"/>
      <c r="J803" s="267"/>
      <c r="K803" s="267"/>
      <c r="L803" s="266"/>
      <c r="M803" s="147">
        <f t="shared" si="505"/>
        <v/>
      </c>
      <c r="N803" s="267"/>
      <c r="O803" s="147">
        <f t="shared" si="506"/>
        <v/>
      </c>
      <c r="P803" s="268">
        <f>IF(AY803=1,"XT"&amp;COUNTIFS($A$3:A803,A803,$AY$3:AY803,1),"")</f>
        <v/>
      </c>
      <c r="Q803" s="152">
        <f>IF(R803="","",IFERROR(SUBSTITUTE(Разбивка_по_щитам!P803,CHAR(10)," "),""))</f>
        <v/>
      </c>
      <c r="R803" s="153">
        <f>IF(OR(Разбивка_по_щитам!H803="",Разбивка_по_щитам!H803=0),"",Разбивка_по_щитам!H803)</f>
        <v/>
      </c>
      <c r="S803" s="154">
        <f>IF(R803="","",IFERROR(Разбивка_по_щитам!J803&amp;"",""))</f>
        <v/>
      </c>
      <c r="T803" s="155">
        <f>IF(R803="","",IFERROR(--Разбивка_по_щитам!L803,""))</f>
        <v/>
      </c>
      <c r="U803" s="155">
        <f>IF(R803="","",IFERROR(--Разбивка_по_щитам!K803,""))</f>
        <v/>
      </c>
      <c r="V803" s="138">
        <f>IF(R803="","",IFERROR(IF(Разбивка_по_щитам!M803=0,"",Разбивка_по_щитам!M803),""))</f>
        <v/>
      </c>
      <c r="W803" s="156">
        <f t="shared" si="507"/>
        <v/>
      </c>
      <c r="X803" s="157">
        <f t="shared" si="508"/>
        <v/>
      </c>
      <c r="Y803" s="266"/>
      <c r="Z803" s="158">
        <f t="shared" si="509"/>
        <v/>
      </c>
      <c r="AA803" s="160">
        <f t="shared" si="510"/>
        <v/>
      </c>
      <c r="AB803" s="160">
        <f>IF(R803="","",IFERROR(LOOKUP(INDEX(Справочная!$I$4:$I$19,MATCH(VLOOKUP(R803,Исходные_данные,22,FALSE),Справочная!$J$4:$J$19,0)+1),{6,10,16,20,25,32,40,50,63,80,100,125}),""))</f>
        <v/>
      </c>
      <c r="AC803" s="160">
        <f t="shared" si="511"/>
        <v/>
      </c>
      <c r="AD803" s="161">
        <f t="shared" si="512"/>
        <v/>
      </c>
      <c r="AE803" s="161">
        <f>IF(AND(R803="",G803=""),"",_xlfn.TEXTJOIN("; ",TRUE,IF(AND(R803&lt;&gt;"",V803=""),"нет фазы",""),IF(AND(R803&lt;&gt;"",N(T803)=0),"нет мощности",""),IF(AND(P803&lt;&gt;"",COUNTIFS($A$3:$A$1000,A803,$P$3:$P$1000,P803)&gt;1),"дубль клеммы "&amp;P803,""),IF(AND(W803&lt;&gt;"",W803&lt;&gt;"ok"),W803,""),IF(X803&lt;&gt;"",X803,""),IF(AND(ISNUMBER(SEARCH("(5х",Q803)),N(AK803)=1),"5 жил на 1 фазе",""),IF(AND(AL803="R",E803&lt;&gt;"",N(AS803)=0),"розетка без 30 мА",""),IF(IFERROR(_xlfn.NUMBERVALUE(MID(Q803,FIND("-",Q803,FIND("L=",Q803))+1,FIND("%",Q803)-FIND("-",Q803,FIND("L=",Q803))-1),","),0)&gt;4,"потери &gt; 4 %","")))</f>
      </c>
      <c r="AF803" s="129">
        <f>IF(E803&lt;&gt;"",COUNTIFS($A$3:A803,A803,$E$3:E803,"?*"),IF(OR(A803&lt;&gt;A802,Y803="вручную"),"",AF802))</f>
        <v/>
      </c>
      <c r="AG803" s="129">
        <f t="shared" si="513"/>
        <v/>
      </c>
      <c r="AH803" s="129">
        <f t="shared" si="514"/>
        <v/>
      </c>
      <c r="AI803" s="129">
        <f t="shared" si="515"/>
        <v/>
      </c>
      <c r="AJ803" s="129">
        <f t="shared" si="516"/>
        <v/>
      </c>
      <c r="AK803" s="129">
        <f t="shared" si="517"/>
        <v/>
      </c>
      <c r="AL803" s="129">
        <f t="shared" si="518"/>
        <v/>
      </c>
      <c r="AM803" s="129">
        <f t="shared" si="519"/>
      </c>
      <c r="AN803" s="129">
        <f t="shared" si="520"/>
      </c>
      <c r="AO803" s="129">
        <f t="shared" si="521"/>
        <v/>
      </c>
      <c r="AP803" s="129">
        <f t="shared" si="522"/>
        <v/>
      </c>
      <c r="AQ803" s="129">
        <f t="shared" si="523"/>
        <v/>
      </c>
      <c r="AR803" s="129">
        <f t="shared" si="524"/>
        <v/>
      </c>
      <c r="AS803" s="129">
        <f t="shared" si="525"/>
        <v/>
      </c>
      <c r="AT803" s="129">
        <f t="shared" si="526"/>
        <v/>
      </c>
      <c r="AU803" s="129">
        <f t="shared" si="527"/>
        <v/>
      </c>
      <c r="AV803" s="129">
        <f t="shared" si="528"/>
        <v/>
      </c>
      <c r="AW803" s="129">
        <f>IF(AV803="","",AV803&amp;"."&amp;COUNTIFS($A$3:A803,A803,$AV$3:AV803,AV803))</f>
        <v/>
      </c>
      <c r="AX803" s="129">
        <f t="shared" si="529"/>
        <v/>
      </c>
      <c r="AY803" s="129">
        <f>IF(N803="б/к",0,IF(OR(ISNUMBER(SEARCH("L=",Разбивка_по_щитам!P803)),N803="+",N803="="),1,0))</f>
      </c>
      <c r="AZ803" s="129">
        <f t="shared" si="530"/>
        <v/>
      </c>
      <c r="BA803" s="129">
        <f t="shared" si="531"/>
      </c>
      <c r="BB803" s="129">
        <f t="shared" si="532"/>
      </c>
      <c r="BD803" s="129">
        <f t="shared" si="533"/>
      </c>
      <c r="BE803" s="129">
        <f t="shared" si="534"/>
      </c>
      <c r="BF803" s="129">
        <f t="shared" si="535"/>
      </c>
      <c r="BG803" s="129">
        <f t="shared" si="536"/>
        <v/>
      </c>
      <c r="BH803" s="129">
        <f t="shared" si="537"/>
        <v/>
      </c>
      <c r="BI803" s="129">
        <f t="shared" si="538"/>
        <v/>
      </c>
      <c r="BJ803" s="129">
        <f t="shared" si="539"/>
        <v/>
      </c>
      <c r="BK803" s="129">
        <f>IF(R803="","",IF(OR(BY803="",BY803=0),"BOX",IFERROR(IF(VLOOKUP(BY803,УГО_блоки,3,FALSE)&amp;""&lt;&gt;"",VLOOKUP(BY803,УГО_блоки,3,FALSE),VLOOKUP(BY803,УГО_блоки,2,FALSE)),BY803)))</f>
      </c>
      <c r="BL803" s="129">
        <f t="shared" si="541"/>
      </c>
      <c r="BM803" s="129">
        <f>IF(H803="","",IF(COUNTIF($H$3:H803,H803)=1,MAX($BM$2:BM802)+1,""))</f>
      </c>
      <c r="BN803" s="129">
        <f>IF(I803="","",IF(COUNTIF($I$3:I803,I803)+COUNTIF($J$2:J802,I803)+COUNTIF($K$2:K802,I803)=1,MAX($BN$2:BP802)+1,""))</f>
      </c>
      <c r="BO803" s="129">
        <f>IF(J803="","",IF(COUNTIF($I$3:I803,J803)+COUNTIF($J$3:J803,J803)+COUNTIF($K$2:K802,J803)=1,MAX($BN$2:BP802,BN803)+1,""))</f>
      </c>
      <c r="BP803" s="129">
        <f>IF(K803="","",IF(COUNTIF($I$3:I803,K803)+COUNTIF($J$3:J803,K803)+COUNTIF($K$3:K803,K803)=1,MAX($BN$2:BP802,BN803,BO803)+1,""))</f>
      </c>
      <c r="BQ803" s="129">
        <f>IF(AY803=1,IFERROR(MID(Q803,FIND(" (",Q803)+2,FIND(")",Q803,FIND(" (",Q803))-FIND(" (",Q803)-2),"?"),"")</f>
      </c>
      <c r="BR803" s="129">
        <f>IF(BQ803="","",IF(COUNTIF($BQ$3:BQ803,BQ803)=1,MAX($BR$2:BR802)+1,""))</f>
      </c>
      <c r="BS803" s="129">
        <f>IF(AW803="","",COUNTIF($AW$3:AW803,"?*"))</f>
      </c>
      <c r="BT803" s="129">
        <f>IF(OR(AW803="",AI803=""),"",IF(COUNTIFS($AW$3:AW803,"?*",$AI$3:AI803,AI803)=1,MAX($BT$2:BT802)+1,""))</f>
      </c>
      <c r="BU803" s="129">
        <f>IF(AE803="",0,IF(OR(ISNUMBER(SEARCH("дубль",AE803)),ISNUMBER(SEARCH("ПЕРЕГРУЗ",AE803)),ISNUMBER(SEARCH("ЗАЩИЩ",AE803)),ISNUMBER(SEARCH("КАНАЛ",AE803)),ISNUMBER(SEARCH("без 30",AE803))),2,1))</f>
      </c>
      <c r="BV803" s="129">
        <f>IF(R803="","",COUNTIF($R$3:R803,"?*"))</f>
      </c>
      <c r="BW803" s="129">
        <f>IF(AY803&lt;&gt;1,0,IF(MAX(IFERROR(--VLOOKUP(R803,УГО_спр,5,FALSE),0),IFERROR(--VLOOKUP(AL803,УГО_спр,5,FALSE),0),IFERROR(--VLOOKUP(LEFT(AL803,2),УГО_спр,5,FALSE),0))&gt;0,MAX(IFERROR(--VLOOKUP(R803,УГО_спр,5,FALSE),0),IFERROR(--VLOOKUP(AL803,УГО_спр,5,FALSE),0),IFERROR(--VLOOKUP(LEFT(AL803,2),УГО_спр,5,FALSE),0)),IF(IFERROR(--LEFT(SUBSTITUTE(BQ803,"x","х"),FIND("х",SUBSTITUTE(BQ803,"x","х"))-1),3)&gt;3,Каталог!$S$9,1)))</f>
      </c>
      <c r="BX803" s="129">
        <f>IF(AY803&lt;&gt;1,0,MAX(0,IFERROR(--LEFT(SUBSTITUTE(BQ803,"x","х"),FIND("х",SUBSTITUTE(BQ803,"x","х"))-1),3)-3*BW803))</f>
      </c>
      <c r="BY803" s="129">
        <f>IF(R803="","",IFERROR(VLOOKUP(R803,УГО_спр,2,FALSE),IFERROR(VLOOKUP(AL803,УГО_спр,2,FALSE),IFERROR(VLOOKUP(LEFT(AL803,2),УГО_спр,2,FALSE),""))))</f>
      </c>
    </row>
    <row r="804" spans="1:64" x14ac:dyDescent="0.3">
      <c r="A804" s="135">
        <f>IF(Разбивка_по_щитам!F804=0,"",Разбивка_по_щитам!F804)</f>
        <v/>
      </c>
      <c r="B804" s="138">
        <f>IF(A804="","",Разбивка_по_щитам!C804)</f>
        <v/>
      </c>
      <c r="C804" s="138">
        <f t="shared" si="502"/>
        <v/>
      </c>
      <c r="D804" s="266"/>
      <c r="E804" s="266"/>
      <c r="F804" s="267"/>
      <c r="G804" s="145">
        <f t="shared" si="503"/>
        <v/>
      </c>
      <c r="H804" s="145">
        <f t="shared" si="504"/>
        <v/>
      </c>
      <c r="I804" s="266"/>
      <c r="J804" s="267"/>
      <c r="K804" s="267"/>
      <c r="L804" s="266"/>
      <c r="M804" s="147">
        <f t="shared" si="505"/>
        <v/>
      </c>
      <c r="N804" s="267"/>
      <c r="O804" s="147">
        <f t="shared" si="506"/>
        <v/>
      </c>
      <c r="P804" s="268">
        <f>IF(AY804=1,"XT"&amp;COUNTIFS($A$3:A804,A804,$AY$3:AY804,1),"")</f>
        <v/>
      </c>
      <c r="Q804" s="152">
        <f>IF(R804="","",IFERROR(SUBSTITUTE(Разбивка_по_щитам!P804,CHAR(10)," "),""))</f>
        <v/>
      </c>
      <c r="R804" s="153">
        <f>IF(OR(Разбивка_по_щитам!H804="",Разбивка_по_щитам!H804=0),"",Разбивка_по_щитам!H804)</f>
        <v/>
      </c>
      <c r="S804" s="154">
        <f>IF(R804="","",IFERROR(Разбивка_по_щитам!J804&amp;"",""))</f>
        <v/>
      </c>
      <c r="T804" s="155">
        <f>IF(R804="","",IFERROR(--Разбивка_по_щитам!L804,""))</f>
        <v/>
      </c>
      <c r="U804" s="155">
        <f>IF(R804="","",IFERROR(--Разбивка_по_щитам!K804,""))</f>
        <v/>
      </c>
      <c r="V804" s="138">
        <f>IF(R804="","",IFERROR(IF(Разбивка_по_щитам!M804=0,"",Разбивка_по_щитам!M804),""))</f>
        <v/>
      </c>
      <c r="W804" s="156">
        <f t="shared" si="507"/>
        <v/>
      </c>
      <c r="X804" s="157">
        <f t="shared" si="508"/>
        <v/>
      </c>
      <c r="Y804" s="266"/>
      <c r="Z804" s="158">
        <f t="shared" si="509"/>
        <v/>
      </c>
      <c r="AA804" s="160">
        <f t="shared" si="510"/>
        <v/>
      </c>
      <c r="AB804" s="160">
        <f>IF(R804="","",IFERROR(LOOKUP(INDEX(Справочная!$I$4:$I$19,MATCH(VLOOKUP(R804,Исходные_данные,22,FALSE),Справочная!$J$4:$J$19,0)+1),{6,10,16,20,25,32,40,50,63,80,100,125}),""))</f>
        <v/>
      </c>
      <c r="AC804" s="160">
        <f t="shared" si="511"/>
        <v/>
      </c>
      <c r="AD804" s="161">
        <f t="shared" si="512"/>
        <v/>
      </c>
      <c r="AE804" s="161">
        <f>IF(AND(R804="",G804=""),"",_xlfn.TEXTJOIN("; ",TRUE,IF(AND(R804&lt;&gt;"",V804=""),"нет фазы",""),IF(AND(R804&lt;&gt;"",N(T804)=0),"нет мощности",""),IF(AND(P804&lt;&gt;"",COUNTIFS($A$3:$A$1000,A804,$P$3:$P$1000,P804)&gt;1),"дубль клеммы "&amp;P804,""),IF(AND(W804&lt;&gt;"",W804&lt;&gt;"ok"),W804,""),IF(X804&lt;&gt;"",X804,""),IF(AND(ISNUMBER(SEARCH("(5х",Q804)),N(AK804)=1),"5 жил на 1 фазе",""),IF(AND(AL804="R",E804&lt;&gt;"",N(AS804)=0),"розетка без 30 мА",""),IF(IFERROR(_xlfn.NUMBERVALUE(MID(Q804,FIND("-",Q804,FIND("L=",Q804))+1,FIND("%",Q804)-FIND("-",Q804,FIND("L=",Q804))-1),","),0)&gt;4,"потери &gt; 4 %","")))</f>
      </c>
      <c r="AF804" s="129">
        <f>IF(E804&lt;&gt;"",COUNTIFS($A$3:A804,A804,$E$3:E804,"?*"),IF(OR(A804&lt;&gt;A803,Y804="вручную"),"",AF803))</f>
        <v/>
      </c>
      <c r="AG804" s="129">
        <f t="shared" si="513"/>
        <v/>
      </c>
      <c r="AH804" s="129">
        <f t="shared" si="514"/>
        <v/>
      </c>
      <c r="AI804" s="129">
        <f t="shared" si="515"/>
        <v/>
      </c>
      <c r="AJ804" s="129">
        <f t="shared" si="516"/>
        <v/>
      </c>
      <c r="AK804" s="129">
        <f t="shared" si="517"/>
        <v/>
      </c>
      <c r="AL804" s="129">
        <f t="shared" si="518"/>
        <v/>
      </c>
      <c r="AM804" s="129">
        <f t="shared" si="519"/>
      </c>
      <c r="AN804" s="129">
        <f t="shared" si="520"/>
      </c>
      <c r="AO804" s="129">
        <f t="shared" si="521"/>
        <v/>
      </c>
      <c r="AP804" s="129">
        <f t="shared" si="522"/>
        <v/>
      </c>
      <c r="AQ804" s="129">
        <f t="shared" si="523"/>
        <v/>
      </c>
      <c r="AR804" s="129">
        <f t="shared" si="524"/>
        <v/>
      </c>
      <c r="AS804" s="129">
        <f t="shared" si="525"/>
        <v/>
      </c>
      <c r="AT804" s="129">
        <f t="shared" si="526"/>
        <v/>
      </c>
      <c r="AU804" s="129">
        <f t="shared" si="527"/>
        <v/>
      </c>
      <c r="AV804" s="129">
        <f t="shared" si="528"/>
        <v/>
      </c>
      <c r="AW804" s="129">
        <f>IF(AV804="","",AV804&amp;"."&amp;COUNTIFS($A$3:A804,A804,$AV$3:AV804,AV804))</f>
        <v/>
      </c>
      <c r="AX804" s="129">
        <f t="shared" si="529"/>
        <v/>
      </c>
      <c r="AY804" s="129">
        <f>IF(N804="б/к",0,IF(OR(ISNUMBER(SEARCH("L=",Разбивка_по_щитам!P804)),N804="+",N804="="),1,0))</f>
      </c>
      <c r="AZ804" s="129">
        <f t="shared" si="530"/>
        <v/>
      </c>
      <c r="BA804" s="129">
        <f t="shared" si="531"/>
      </c>
      <c r="BB804" s="129">
        <f t="shared" si="532"/>
      </c>
      <c r="BD804" s="129">
        <f t="shared" si="533"/>
      </c>
      <c r="BE804" s="129">
        <f t="shared" si="534"/>
      </c>
      <c r="BF804" s="129">
        <f t="shared" si="535"/>
      </c>
      <c r="BG804" s="129">
        <f t="shared" si="536"/>
        <v/>
      </c>
      <c r="BH804" s="129">
        <f t="shared" si="537"/>
        <v/>
      </c>
      <c r="BI804" s="129">
        <f t="shared" si="538"/>
        <v/>
      </c>
      <c r="BJ804" s="129">
        <f t="shared" si="539"/>
        <v/>
      </c>
      <c r="BK804" s="129">
        <f>IF(R804="","",IF(OR(BY804="",BY804=0),"BOX",IFERROR(IF(VLOOKUP(BY804,УГО_блоки,3,FALSE)&amp;""&lt;&gt;"",VLOOKUP(BY804,УГО_блоки,3,FALSE),VLOOKUP(BY804,УГО_блоки,2,FALSE)),BY804)))</f>
      </c>
      <c r="BL804" s="129">
        <f t="shared" si="541"/>
      </c>
      <c r="BM804" s="129">
        <f>IF(H804="","",IF(COUNTIF($H$3:H804,H804)=1,MAX($BM$2:BM803)+1,""))</f>
      </c>
      <c r="BN804" s="129">
        <f>IF(I804="","",IF(COUNTIF($I$3:I804,I804)+COUNTIF($J$2:J803,I804)+COUNTIF($K$2:K803,I804)=1,MAX($BN$2:BP803)+1,""))</f>
      </c>
      <c r="BO804" s="129">
        <f>IF(J804="","",IF(COUNTIF($I$3:I804,J804)+COUNTIF($J$3:J804,J804)+COUNTIF($K$2:K803,J804)=1,MAX($BN$2:BP803,BN804)+1,""))</f>
      </c>
      <c r="BP804" s="129">
        <f>IF(K804="","",IF(COUNTIF($I$3:I804,K804)+COUNTIF($J$3:J804,K804)+COUNTIF($K$3:K804,K804)=1,MAX($BN$2:BP803,BN804,BO804)+1,""))</f>
      </c>
      <c r="BQ804" s="129">
        <f>IF(AY804=1,IFERROR(MID(Q804,FIND(" (",Q804)+2,FIND(")",Q804,FIND(" (",Q804))-FIND(" (",Q804)-2),"?"),"")</f>
      </c>
      <c r="BR804" s="129">
        <f>IF(BQ804="","",IF(COUNTIF($BQ$3:BQ804,BQ804)=1,MAX($BR$2:BR803)+1,""))</f>
      </c>
      <c r="BS804" s="129">
        <f>IF(AW804="","",COUNTIF($AW$3:AW804,"?*"))</f>
      </c>
      <c r="BT804" s="129">
        <f>IF(OR(AW804="",AI804=""),"",IF(COUNTIFS($AW$3:AW804,"?*",$AI$3:AI804,AI804)=1,MAX($BT$2:BT803)+1,""))</f>
      </c>
      <c r="BU804" s="129">
        <f>IF(AE804="",0,IF(OR(ISNUMBER(SEARCH("дубль",AE804)),ISNUMBER(SEARCH("ПЕРЕГРУЗ",AE804)),ISNUMBER(SEARCH("ЗАЩИЩ",AE804)),ISNUMBER(SEARCH("КАНАЛ",AE804)),ISNUMBER(SEARCH("без 30",AE804))),2,1))</f>
      </c>
      <c r="BV804" s="129">
        <f>IF(R804="","",COUNTIF($R$3:R804,"?*"))</f>
      </c>
      <c r="BW804" s="129">
        <f>IF(AY804&lt;&gt;1,0,IF(MAX(IFERROR(--VLOOKUP(R804,УГО_спр,5,FALSE),0),IFERROR(--VLOOKUP(AL804,УГО_спр,5,FALSE),0),IFERROR(--VLOOKUP(LEFT(AL804,2),УГО_спр,5,FALSE),0))&gt;0,MAX(IFERROR(--VLOOKUP(R804,УГО_спр,5,FALSE),0),IFERROR(--VLOOKUP(AL804,УГО_спр,5,FALSE),0),IFERROR(--VLOOKUP(LEFT(AL804,2),УГО_спр,5,FALSE),0)),IF(IFERROR(--LEFT(SUBSTITUTE(BQ804,"x","х"),FIND("х",SUBSTITUTE(BQ804,"x","х"))-1),3)&gt;3,Каталог!$S$9,1)))</f>
      </c>
      <c r="BX804" s="129">
        <f>IF(AY804&lt;&gt;1,0,MAX(0,IFERROR(--LEFT(SUBSTITUTE(BQ804,"x","х"),FIND("х",SUBSTITUTE(BQ804,"x","х"))-1),3)-3*BW804))</f>
      </c>
      <c r="BY804" s="129">
        <f>IF(R804="","",IFERROR(VLOOKUP(R804,УГО_спр,2,FALSE),IFERROR(VLOOKUP(AL804,УГО_спр,2,FALSE),IFERROR(VLOOKUP(LEFT(AL804,2),УГО_спр,2,FALSE),""))))</f>
      </c>
    </row>
    <row r="805" spans="1:64" x14ac:dyDescent="0.3">
      <c r="A805" s="135">
        <f>IF(Разбивка_по_щитам!F805=0,"",Разбивка_по_щитам!F805)</f>
        <v/>
      </c>
      <c r="B805" s="138">
        <f>IF(A805="","",Разбивка_по_щитам!C805)</f>
        <v/>
      </c>
      <c r="C805" s="138">
        <f t="shared" si="502"/>
        <v/>
      </c>
      <c r="D805" s="266"/>
      <c r="E805" s="266"/>
      <c r="F805" s="267"/>
      <c r="G805" s="145">
        <f t="shared" si="503"/>
        <v/>
      </c>
      <c r="H805" s="145">
        <f t="shared" si="504"/>
        <v/>
      </c>
      <c r="I805" s="266"/>
      <c r="J805" s="267"/>
      <c r="K805" s="267"/>
      <c r="L805" s="266"/>
      <c r="M805" s="147">
        <f t="shared" si="505"/>
        <v/>
      </c>
      <c r="N805" s="267"/>
      <c r="O805" s="147">
        <f t="shared" si="506"/>
        <v/>
      </c>
      <c r="P805" s="268">
        <f>IF(AY805=1,"XT"&amp;COUNTIFS($A$3:A805,A805,$AY$3:AY805,1),"")</f>
        <v/>
      </c>
      <c r="Q805" s="152">
        <f>IF(R805="","",IFERROR(SUBSTITUTE(Разбивка_по_щитам!P805,CHAR(10)," "),""))</f>
        <v/>
      </c>
      <c r="R805" s="153">
        <f>IF(OR(Разбивка_по_щитам!H805="",Разбивка_по_щитам!H805=0),"",Разбивка_по_щитам!H805)</f>
        <v/>
      </c>
      <c r="S805" s="154">
        <f>IF(R805="","",IFERROR(Разбивка_по_щитам!J805&amp;"",""))</f>
        <v/>
      </c>
      <c r="T805" s="155">
        <f>IF(R805="","",IFERROR(--Разбивка_по_щитам!L805,""))</f>
        <v/>
      </c>
      <c r="U805" s="155">
        <f>IF(R805="","",IFERROR(--Разбивка_по_щитам!K805,""))</f>
        <v/>
      </c>
      <c r="V805" s="138">
        <f>IF(R805="","",IFERROR(IF(Разбивка_по_щитам!M805=0,"",Разбивка_по_щитам!M805),""))</f>
        <v/>
      </c>
      <c r="W805" s="156">
        <f t="shared" si="507"/>
        <v/>
      </c>
      <c r="X805" s="157">
        <f t="shared" si="508"/>
        <v/>
      </c>
      <c r="Y805" s="266"/>
      <c r="Z805" s="158">
        <f t="shared" si="509"/>
        <v/>
      </c>
      <c r="AA805" s="160">
        <f t="shared" si="510"/>
        <v/>
      </c>
      <c r="AB805" s="160">
        <f>IF(R805="","",IFERROR(LOOKUP(INDEX(Справочная!$I$4:$I$19,MATCH(VLOOKUP(R805,Исходные_данные,22,FALSE),Справочная!$J$4:$J$19,0)+1),{6,10,16,20,25,32,40,50,63,80,100,125}),""))</f>
        <v/>
      </c>
      <c r="AC805" s="160">
        <f t="shared" si="511"/>
        <v/>
      </c>
      <c r="AD805" s="161">
        <f t="shared" si="512"/>
        <v/>
      </c>
      <c r="AE805" s="161">
        <f>IF(AND(R805="",G805=""),"",_xlfn.TEXTJOIN("; ",TRUE,IF(AND(R805&lt;&gt;"",V805=""),"нет фазы",""),IF(AND(R805&lt;&gt;"",N(T805)=0),"нет мощности",""),IF(AND(P805&lt;&gt;"",COUNTIFS($A$3:$A$1000,A805,$P$3:$P$1000,P805)&gt;1),"дубль клеммы "&amp;P805,""),IF(AND(W805&lt;&gt;"",W805&lt;&gt;"ok"),W805,""),IF(X805&lt;&gt;"",X805,""),IF(AND(ISNUMBER(SEARCH("(5х",Q805)),N(AK805)=1),"5 жил на 1 фазе",""),IF(AND(AL805="R",E805&lt;&gt;"",N(AS805)=0),"розетка без 30 мА",""),IF(IFERROR(_xlfn.NUMBERVALUE(MID(Q805,FIND("-",Q805,FIND("L=",Q805))+1,FIND("%",Q805)-FIND("-",Q805,FIND("L=",Q805))-1),","),0)&gt;4,"потери &gt; 4 %","")))</f>
      </c>
      <c r="AF805" s="129">
        <f>IF(E805&lt;&gt;"",COUNTIFS($A$3:A805,A805,$E$3:E805,"?*"),IF(OR(A805&lt;&gt;A804,Y805="вручную"),"",AF804))</f>
        <v/>
      </c>
      <c r="AG805" s="129">
        <f t="shared" si="513"/>
        <v/>
      </c>
      <c r="AH805" s="129">
        <f t="shared" si="514"/>
        <v/>
      </c>
      <c r="AI805" s="129">
        <f t="shared" si="515"/>
        <v/>
      </c>
      <c r="AJ805" s="129">
        <f t="shared" si="516"/>
        <v/>
      </c>
      <c r="AK805" s="129">
        <f t="shared" si="517"/>
        <v/>
      </c>
      <c r="AL805" s="129">
        <f t="shared" si="518"/>
        <v/>
      </c>
      <c r="AM805" s="129">
        <f t="shared" si="519"/>
      </c>
      <c r="AN805" s="129">
        <f t="shared" si="520"/>
      </c>
      <c r="AO805" s="129">
        <f t="shared" si="521"/>
        <v/>
      </c>
      <c r="AP805" s="129">
        <f t="shared" si="522"/>
        <v/>
      </c>
      <c r="AQ805" s="129">
        <f t="shared" si="523"/>
        <v/>
      </c>
      <c r="AR805" s="129">
        <f t="shared" si="524"/>
        <v/>
      </c>
      <c r="AS805" s="129">
        <f t="shared" si="525"/>
        <v/>
      </c>
      <c r="AT805" s="129">
        <f t="shared" si="526"/>
        <v/>
      </c>
      <c r="AU805" s="129">
        <f t="shared" si="527"/>
        <v/>
      </c>
      <c r="AV805" s="129">
        <f t="shared" si="528"/>
        <v/>
      </c>
      <c r="AW805" s="129">
        <f>IF(AV805="","",AV805&amp;"."&amp;COUNTIFS($A$3:A805,A805,$AV$3:AV805,AV805))</f>
        <v/>
      </c>
      <c r="AX805" s="129">
        <f t="shared" si="529"/>
        <v/>
      </c>
      <c r="AY805" s="129">
        <f>IF(N805="б/к",0,IF(OR(ISNUMBER(SEARCH("L=",Разбивка_по_щитам!P805)),N805="+",N805="="),1,0))</f>
      </c>
      <c r="AZ805" s="129">
        <f t="shared" si="530"/>
        <v/>
      </c>
      <c r="BA805" s="129">
        <f t="shared" si="531"/>
      </c>
      <c r="BB805" s="129">
        <f t="shared" si="532"/>
      </c>
      <c r="BD805" s="129">
        <f t="shared" si="533"/>
      </c>
      <c r="BE805" s="129">
        <f t="shared" si="534"/>
      </c>
      <c r="BF805" s="129">
        <f t="shared" si="535"/>
      </c>
      <c r="BG805" s="129">
        <f t="shared" si="536"/>
        <v/>
      </c>
      <c r="BH805" s="129">
        <f t="shared" si="537"/>
        <v/>
      </c>
      <c r="BI805" s="129">
        <f t="shared" si="538"/>
        <v/>
      </c>
      <c r="BJ805" s="129">
        <f t="shared" si="539"/>
        <v/>
      </c>
      <c r="BK805" s="129">
        <f>IF(R805="","",IF(OR(BY805="",BY805=0),"BOX",IFERROR(IF(VLOOKUP(BY805,УГО_блоки,3,FALSE)&amp;""&lt;&gt;"",VLOOKUP(BY805,УГО_блоки,3,FALSE),VLOOKUP(BY805,УГО_блоки,2,FALSE)),BY805)))</f>
      </c>
      <c r="BL805" s="129">
        <f t="shared" si="541"/>
      </c>
      <c r="BM805" s="129">
        <f>IF(H805="","",IF(COUNTIF($H$3:H805,H805)=1,MAX($BM$2:BM804)+1,""))</f>
      </c>
      <c r="BN805" s="129">
        <f>IF(I805="","",IF(COUNTIF($I$3:I805,I805)+COUNTIF($J$2:J804,I805)+COUNTIF($K$2:K804,I805)=1,MAX($BN$2:BP804)+1,""))</f>
      </c>
      <c r="BO805" s="129">
        <f>IF(J805="","",IF(COUNTIF($I$3:I805,J805)+COUNTIF($J$3:J805,J805)+COUNTIF($K$2:K804,J805)=1,MAX($BN$2:BP804,BN805)+1,""))</f>
      </c>
      <c r="BP805" s="129">
        <f>IF(K805="","",IF(COUNTIF($I$3:I805,K805)+COUNTIF($J$3:J805,K805)+COUNTIF($K$3:K805,K805)=1,MAX($BN$2:BP804,BN805,BO805)+1,""))</f>
      </c>
      <c r="BQ805" s="129">
        <f>IF(AY805=1,IFERROR(MID(Q805,FIND(" (",Q805)+2,FIND(")",Q805,FIND(" (",Q805))-FIND(" (",Q805)-2),"?"),"")</f>
      </c>
      <c r="BR805" s="129">
        <f>IF(BQ805="","",IF(COUNTIF($BQ$3:BQ805,BQ805)=1,MAX($BR$2:BR804)+1,""))</f>
      </c>
      <c r="BS805" s="129">
        <f>IF(AW805="","",COUNTIF($AW$3:AW805,"?*"))</f>
      </c>
      <c r="BT805" s="129">
        <f>IF(OR(AW805="",AI805=""),"",IF(COUNTIFS($AW$3:AW805,"?*",$AI$3:AI805,AI805)=1,MAX($BT$2:BT804)+1,""))</f>
      </c>
      <c r="BU805" s="129">
        <f>IF(AE805="",0,IF(OR(ISNUMBER(SEARCH("дубль",AE805)),ISNUMBER(SEARCH("ПЕРЕГРУЗ",AE805)),ISNUMBER(SEARCH("ЗАЩИЩ",AE805)),ISNUMBER(SEARCH("КАНАЛ",AE805)),ISNUMBER(SEARCH("без 30",AE805))),2,1))</f>
      </c>
      <c r="BV805" s="129">
        <f>IF(R805="","",COUNTIF($R$3:R805,"?*"))</f>
      </c>
      <c r="BW805" s="129">
        <f>IF(AY805&lt;&gt;1,0,IF(MAX(IFERROR(--VLOOKUP(R805,УГО_спр,5,FALSE),0),IFERROR(--VLOOKUP(AL805,УГО_спр,5,FALSE),0),IFERROR(--VLOOKUP(LEFT(AL805,2),УГО_спр,5,FALSE),0))&gt;0,MAX(IFERROR(--VLOOKUP(R805,УГО_спр,5,FALSE),0),IFERROR(--VLOOKUP(AL805,УГО_спр,5,FALSE),0),IFERROR(--VLOOKUP(LEFT(AL805,2),УГО_спр,5,FALSE),0)),IF(IFERROR(--LEFT(SUBSTITUTE(BQ805,"x","х"),FIND("х",SUBSTITUTE(BQ805,"x","х"))-1),3)&gt;3,Каталог!$S$9,1)))</f>
      </c>
      <c r="BX805" s="129">
        <f>IF(AY805&lt;&gt;1,0,MAX(0,IFERROR(--LEFT(SUBSTITUTE(BQ805,"x","х"),FIND("х",SUBSTITUTE(BQ805,"x","х"))-1),3)-3*BW805))</f>
      </c>
      <c r="BY805" s="129">
        <f>IF(R805="","",IFERROR(VLOOKUP(R805,УГО_спр,2,FALSE),IFERROR(VLOOKUP(AL805,УГО_спр,2,FALSE),IFERROR(VLOOKUP(LEFT(AL805,2),УГО_спр,2,FALSE),""))))</f>
      </c>
    </row>
    <row r="806" spans="1:64" x14ac:dyDescent="0.3">
      <c r="A806" s="135">
        <f>IF(Разбивка_по_щитам!F806=0,"",Разбивка_по_щитам!F806)</f>
        <v/>
      </c>
      <c r="B806" s="138">
        <f>IF(A806="","",Разбивка_по_щитам!C806)</f>
        <v/>
      </c>
      <c r="C806" s="138">
        <f t="shared" si="502"/>
        <v/>
      </c>
      <c r="D806" s="266"/>
      <c r="E806" s="266"/>
      <c r="F806" s="267"/>
      <c r="G806" s="145">
        <f t="shared" si="503"/>
        <v/>
      </c>
      <c r="H806" s="145">
        <f t="shared" si="504"/>
        <v/>
      </c>
      <c r="I806" s="266"/>
      <c r="J806" s="267"/>
      <c r="K806" s="267"/>
      <c r="L806" s="266"/>
      <c r="M806" s="147">
        <f t="shared" si="505"/>
        <v/>
      </c>
      <c r="N806" s="267"/>
      <c r="O806" s="147">
        <f t="shared" si="506"/>
        <v/>
      </c>
      <c r="P806" s="268">
        <f>IF(AY806=1,"XT"&amp;COUNTIFS($A$3:A806,A806,$AY$3:AY806,1),"")</f>
        <v/>
      </c>
      <c r="Q806" s="152">
        <f>IF(R806="","",IFERROR(SUBSTITUTE(Разбивка_по_щитам!P806,CHAR(10)," "),""))</f>
        <v/>
      </c>
      <c r="R806" s="153">
        <f>IF(OR(Разбивка_по_щитам!H806="",Разбивка_по_щитам!H806=0),"",Разбивка_по_щитам!H806)</f>
        <v/>
      </c>
      <c r="S806" s="154">
        <f>IF(R806="","",IFERROR(Разбивка_по_щитам!J806&amp;"",""))</f>
        <v/>
      </c>
      <c r="T806" s="155">
        <f>IF(R806="","",IFERROR(--Разбивка_по_щитам!L806,""))</f>
        <v/>
      </c>
      <c r="U806" s="155">
        <f>IF(R806="","",IFERROR(--Разбивка_по_щитам!K806,""))</f>
        <v/>
      </c>
      <c r="V806" s="138">
        <f>IF(R806="","",IFERROR(IF(Разбивка_по_щитам!M806=0,"",Разбивка_по_щитам!M806),""))</f>
        <v/>
      </c>
      <c r="W806" s="156">
        <f t="shared" si="507"/>
        <v/>
      </c>
      <c r="X806" s="157">
        <f t="shared" si="508"/>
        <v/>
      </c>
      <c r="Y806" s="266"/>
      <c r="Z806" s="158">
        <f t="shared" si="509"/>
        <v/>
      </c>
      <c r="AA806" s="160">
        <f t="shared" si="510"/>
        <v/>
      </c>
      <c r="AB806" s="160">
        <f>IF(R806="","",IFERROR(LOOKUP(INDEX(Справочная!$I$4:$I$19,MATCH(VLOOKUP(R806,Исходные_данные,22,FALSE),Справочная!$J$4:$J$19,0)+1),{6,10,16,20,25,32,40,50,63,80,100,125}),""))</f>
        <v/>
      </c>
      <c r="AC806" s="160">
        <f t="shared" si="511"/>
        <v/>
      </c>
      <c r="AD806" s="161">
        <f t="shared" si="512"/>
        <v/>
      </c>
      <c r="AE806" s="161">
        <f>IF(AND(R806="",G806=""),"",_xlfn.TEXTJOIN("; ",TRUE,IF(AND(R806&lt;&gt;"",V806=""),"нет фазы",""),IF(AND(R806&lt;&gt;"",N(T806)=0),"нет мощности",""),IF(AND(P806&lt;&gt;"",COUNTIFS($A$3:$A$1000,A806,$P$3:$P$1000,P806)&gt;1),"дубль клеммы "&amp;P806,""),IF(AND(W806&lt;&gt;"",W806&lt;&gt;"ok"),W806,""),IF(X806&lt;&gt;"",X806,""),IF(AND(ISNUMBER(SEARCH("(5х",Q806)),N(AK806)=1),"5 жил на 1 фазе",""),IF(AND(AL806="R",E806&lt;&gt;"",N(AS806)=0),"розетка без 30 мА",""),IF(IFERROR(_xlfn.NUMBERVALUE(MID(Q806,FIND("-",Q806,FIND("L=",Q806))+1,FIND("%",Q806)-FIND("-",Q806,FIND("L=",Q806))-1),","),0)&gt;4,"потери &gt; 4 %","")))</f>
      </c>
      <c r="AF806" s="129">
        <f>IF(E806&lt;&gt;"",COUNTIFS($A$3:A806,A806,$E$3:E806,"?*"),IF(OR(A806&lt;&gt;A805,Y806="вручную"),"",AF805))</f>
        <v/>
      </c>
      <c r="AG806" s="129">
        <f t="shared" si="513"/>
        <v/>
      </c>
      <c r="AH806" s="129">
        <f t="shared" si="514"/>
        <v/>
      </c>
      <c r="AI806" s="129">
        <f t="shared" si="515"/>
        <v/>
      </c>
      <c r="AJ806" s="129">
        <f t="shared" si="516"/>
        <v/>
      </c>
      <c r="AK806" s="129">
        <f t="shared" si="517"/>
        <v/>
      </c>
      <c r="AL806" s="129">
        <f t="shared" si="518"/>
        <v/>
      </c>
      <c r="AM806" s="129">
        <f t="shared" si="519"/>
      </c>
      <c r="AN806" s="129">
        <f t="shared" si="520"/>
      </c>
      <c r="AO806" s="129">
        <f t="shared" si="521"/>
        <v/>
      </c>
      <c r="AP806" s="129">
        <f t="shared" si="522"/>
        <v/>
      </c>
      <c r="AQ806" s="129">
        <f t="shared" si="523"/>
        <v/>
      </c>
      <c r="AR806" s="129">
        <f t="shared" si="524"/>
        <v/>
      </c>
      <c r="AS806" s="129">
        <f t="shared" si="525"/>
        <v/>
      </c>
      <c r="AT806" s="129">
        <f t="shared" si="526"/>
        <v/>
      </c>
      <c r="AU806" s="129">
        <f t="shared" si="527"/>
        <v/>
      </c>
      <c r="AV806" s="129">
        <f t="shared" si="528"/>
        <v/>
      </c>
      <c r="AW806" s="129">
        <f>IF(AV806="","",AV806&amp;"."&amp;COUNTIFS($A$3:A806,A806,$AV$3:AV806,AV806))</f>
        <v/>
      </c>
      <c r="AX806" s="129">
        <f t="shared" si="529"/>
        <v/>
      </c>
      <c r="AY806" s="129">
        <f>IF(N806="б/к",0,IF(OR(ISNUMBER(SEARCH("L=",Разбивка_по_щитам!P806)),N806="+",N806="="),1,0))</f>
      </c>
      <c r="AZ806" s="129">
        <f t="shared" si="530"/>
        <v/>
      </c>
      <c r="BA806" s="129">
        <f t="shared" si="531"/>
      </c>
      <c r="BB806" s="129">
        <f t="shared" si="532"/>
      </c>
      <c r="BD806" s="129">
        <f t="shared" si="533"/>
      </c>
      <c r="BE806" s="129">
        <f t="shared" si="534"/>
      </c>
      <c r="BF806" s="129">
        <f t="shared" si="535"/>
      </c>
      <c r="BG806" s="129">
        <f t="shared" si="536"/>
        <v/>
      </c>
      <c r="BH806" s="129">
        <f t="shared" si="537"/>
        <v/>
      </c>
      <c r="BI806" s="129">
        <f t="shared" si="538"/>
        <v/>
      </c>
      <c r="BJ806" s="129">
        <f t="shared" si="539"/>
        <v/>
      </c>
      <c r="BK806" s="129">
        <f>IF(R806="","",IF(OR(BY806="",BY806=0),"BOX",IFERROR(IF(VLOOKUP(BY806,УГО_блоки,3,FALSE)&amp;""&lt;&gt;"",VLOOKUP(BY806,УГО_блоки,3,FALSE),VLOOKUP(BY806,УГО_блоки,2,FALSE)),BY806)))</f>
      </c>
      <c r="BL806" s="129">
        <f t="shared" si="541"/>
      </c>
      <c r="BM806" s="129">
        <f>IF(H806="","",IF(COUNTIF($H$3:H806,H806)=1,MAX($BM$2:BM805)+1,""))</f>
      </c>
      <c r="BN806" s="129">
        <f>IF(I806="","",IF(COUNTIF($I$3:I806,I806)+COUNTIF($J$2:J805,I806)+COUNTIF($K$2:K805,I806)=1,MAX($BN$2:BP805)+1,""))</f>
      </c>
      <c r="BO806" s="129">
        <f>IF(J806="","",IF(COUNTIF($I$3:I806,J806)+COUNTIF($J$3:J806,J806)+COUNTIF($K$2:K805,J806)=1,MAX($BN$2:BP805,BN806)+1,""))</f>
      </c>
      <c r="BP806" s="129">
        <f>IF(K806="","",IF(COUNTIF($I$3:I806,K806)+COUNTIF($J$3:J806,K806)+COUNTIF($K$3:K806,K806)=1,MAX($BN$2:BP805,BN806,BO806)+1,""))</f>
      </c>
      <c r="BQ806" s="129">
        <f>IF(AY806=1,IFERROR(MID(Q806,FIND(" (",Q806)+2,FIND(")",Q806,FIND(" (",Q806))-FIND(" (",Q806)-2),"?"),"")</f>
      </c>
      <c r="BR806" s="129">
        <f>IF(BQ806="","",IF(COUNTIF($BQ$3:BQ806,BQ806)=1,MAX($BR$2:BR805)+1,""))</f>
      </c>
      <c r="BS806" s="129">
        <f>IF(AW806="","",COUNTIF($AW$3:AW806,"?*"))</f>
      </c>
      <c r="BT806" s="129">
        <f>IF(OR(AW806="",AI806=""),"",IF(COUNTIFS($AW$3:AW806,"?*",$AI$3:AI806,AI806)=1,MAX($BT$2:BT805)+1,""))</f>
      </c>
      <c r="BU806" s="129">
        <f>IF(AE806="",0,IF(OR(ISNUMBER(SEARCH("дубль",AE806)),ISNUMBER(SEARCH("ПЕРЕГРУЗ",AE806)),ISNUMBER(SEARCH("ЗАЩИЩ",AE806)),ISNUMBER(SEARCH("КАНАЛ",AE806)),ISNUMBER(SEARCH("без 30",AE806))),2,1))</f>
      </c>
      <c r="BV806" s="129">
        <f>IF(R806="","",COUNTIF($R$3:R806,"?*"))</f>
      </c>
      <c r="BW806" s="129">
        <f>IF(AY806&lt;&gt;1,0,IF(MAX(IFERROR(--VLOOKUP(R806,УГО_спр,5,FALSE),0),IFERROR(--VLOOKUP(AL806,УГО_спр,5,FALSE),0),IFERROR(--VLOOKUP(LEFT(AL806,2),УГО_спр,5,FALSE),0))&gt;0,MAX(IFERROR(--VLOOKUP(R806,УГО_спр,5,FALSE),0),IFERROR(--VLOOKUP(AL806,УГО_спр,5,FALSE),0),IFERROR(--VLOOKUP(LEFT(AL806,2),УГО_спр,5,FALSE),0)),IF(IFERROR(--LEFT(SUBSTITUTE(BQ806,"x","х"),FIND("х",SUBSTITUTE(BQ806,"x","х"))-1),3)&gt;3,Каталог!$S$9,1)))</f>
      </c>
      <c r="BX806" s="129">
        <f>IF(AY806&lt;&gt;1,0,MAX(0,IFERROR(--LEFT(SUBSTITUTE(BQ806,"x","х"),FIND("х",SUBSTITUTE(BQ806,"x","х"))-1),3)-3*BW806))</f>
      </c>
      <c r="BY806" s="129">
        <f>IF(R806="","",IFERROR(VLOOKUP(R806,УГО_спр,2,FALSE),IFERROR(VLOOKUP(AL806,УГО_спр,2,FALSE),IFERROR(VLOOKUP(LEFT(AL806,2),УГО_спр,2,FALSE),""))))</f>
      </c>
    </row>
    <row r="807" spans="1:64" x14ac:dyDescent="0.3">
      <c r="A807" s="135">
        <f>IF(Разбивка_по_щитам!F807=0,"",Разбивка_по_щитам!F807)</f>
        <v/>
      </c>
      <c r="B807" s="138">
        <f>IF(A807="","",Разбивка_по_щитам!C807)</f>
        <v/>
      </c>
      <c r="C807" s="138">
        <f t="shared" si="502"/>
        <v/>
      </c>
      <c r="D807" s="266"/>
      <c r="E807" s="266"/>
      <c r="F807" s="267"/>
      <c r="G807" s="145">
        <f t="shared" si="503"/>
        <v/>
      </c>
      <c r="H807" s="145">
        <f t="shared" si="504"/>
        <v/>
      </c>
      <c r="I807" s="266"/>
      <c r="J807" s="267"/>
      <c r="K807" s="267"/>
      <c r="L807" s="266"/>
      <c r="M807" s="147">
        <f t="shared" si="505"/>
        <v/>
      </c>
      <c r="N807" s="267"/>
      <c r="O807" s="147">
        <f t="shared" si="506"/>
        <v/>
      </c>
      <c r="P807" s="268">
        <f>IF(AY807=1,"XT"&amp;COUNTIFS($A$3:A807,A807,$AY$3:AY807,1),"")</f>
        <v/>
      </c>
      <c r="Q807" s="152">
        <f>IF(R807="","",IFERROR(SUBSTITUTE(Разбивка_по_щитам!P807,CHAR(10)," "),""))</f>
        <v/>
      </c>
      <c r="R807" s="153">
        <f>IF(OR(Разбивка_по_щитам!H807="",Разбивка_по_щитам!H807=0),"",Разбивка_по_щитам!H807)</f>
        <v/>
      </c>
      <c r="S807" s="154">
        <f>IF(R807="","",IFERROR(Разбивка_по_щитам!J807&amp;"",""))</f>
        <v/>
      </c>
      <c r="T807" s="155">
        <f>IF(R807="","",IFERROR(--Разбивка_по_щитам!L807,""))</f>
        <v/>
      </c>
      <c r="U807" s="155">
        <f>IF(R807="","",IFERROR(--Разбивка_по_щитам!K807,""))</f>
        <v/>
      </c>
      <c r="V807" s="138">
        <f>IF(R807="","",IFERROR(IF(Разбивка_по_щитам!M807=0,"",Разбивка_по_щитам!M807),""))</f>
        <v/>
      </c>
      <c r="W807" s="156">
        <f t="shared" si="507"/>
        <v/>
      </c>
      <c r="X807" s="157">
        <f t="shared" si="508"/>
        <v/>
      </c>
      <c r="Y807" s="266"/>
      <c r="Z807" s="158">
        <f t="shared" si="509"/>
        <v/>
      </c>
      <c r="AA807" s="160">
        <f t="shared" si="510"/>
        <v/>
      </c>
      <c r="AB807" s="160">
        <f>IF(R807="","",IFERROR(LOOKUP(INDEX(Справочная!$I$4:$I$19,MATCH(VLOOKUP(R807,Исходные_данные,22,FALSE),Справочная!$J$4:$J$19,0)+1),{6,10,16,20,25,32,40,50,63,80,100,125}),""))</f>
        <v/>
      </c>
      <c r="AC807" s="160">
        <f t="shared" si="511"/>
        <v/>
      </c>
      <c r="AD807" s="161">
        <f t="shared" si="512"/>
        <v/>
      </c>
      <c r="AE807" s="161">
        <f>IF(AND(R807="",G807=""),"",_xlfn.TEXTJOIN("; ",TRUE,IF(AND(R807&lt;&gt;"",V807=""),"нет фазы",""),IF(AND(R807&lt;&gt;"",N(T807)=0),"нет мощности",""),IF(AND(P807&lt;&gt;"",COUNTIFS($A$3:$A$1000,A807,$P$3:$P$1000,P807)&gt;1),"дубль клеммы "&amp;P807,""),IF(AND(W807&lt;&gt;"",W807&lt;&gt;"ok"),W807,""),IF(X807&lt;&gt;"",X807,""),IF(AND(ISNUMBER(SEARCH("(5х",Q807)),N(AK807)=1),"5 жил на 1 фазе",""),IF(AND(AL807="R",E807&lt;&gt;"",N(AS807)=0),"розетка без 30 мА",""),IF(IFERROR(_xlfn.NUMBERVALUE(MID(Q807,FIND("-",Q807,FIND("L=",Q807))+1,FIND("%",Q807)-FIND("-",Q807,FIND("L=",Q807))-1),","),0)&gt;4,"потери &gt; 4 %","")))</f>
      </c>
      <c r="AF807" s="129">
        <f>IF(E807&lt;&gt;"",COUNTIFS($A$3:A807,A807,$E$3:E807,"?*"),IF(OR(A807&lt;&gt;A806,Y807="вручную"),"",AF806))</f>
        <v/>
      </c>
      <c r="AG807" s="129">
        <f t="shared" si="513"/>
        <v/>
      </c>
      <c r="AH807" s="129">
        <f t="shared" si="514"/>
        <v/>
      </c>
      <c r="AI807" s="129">
        <f t="shared" si="515"/>
        <v/>
      </c>
      <c r="AJ807" s="129">
        <f t="shared" si="516"/>
        <v/>
      </c>
      <c r="AK807" s="129">
        <f t="shared" si="517"/>
        <v/>
      </c>
      <c r="AL807" s="129">
        <f t="shared" si="518"/>
        <v/>
      </c>
      <c r="AM807" s="129">
        <f t="shared" si="519"/>
      </c>
      <c r="AN807" s="129">
        <f t="shared" si="520"/>
      </c>
      <c r="AO807" s="129">
        <f t="shared" si="521"/>
        <v/>
      </c>
      <c r="AP807" s="129">
        <f t="shared" si="522"/>
        <v/>
      </c>
      <c r="AQ807" s="129">
        <f t="shared" si="523"/>
        <v/>
      </c>
      <c r="AR807" s="129">
        <f t="shared" si="524"/>
        <v/>
      </c>
      <c r="AS807" s="129">
        <f t="shared" si="525"/>
        <v/>
      </c>
      <c r="AT807" s="129">
        <f t="shared" si="526"/>
        <v/>
      </c>
      <c r="AU807" s="129">
        <f t="shared" si="527"/>
        <v/>
      </c>
      <c r="AV807" s="129">
        <f t="shared" si="528"/>
        <v/>
      </c>
      <c r="AW807" s="129">
        <f>IF(AV807="","",AV807&amp;"."&amp;COUNTIFS($A$3:A807,A807,$AV$3:AV807,AV807))</f>
        <v/>
      </c>
      <c r="AX807" s="129">
        <f t="shared" si="529"/>
        <v/>
      </c>
      <c r="AY807" s="129">
        <f>IF(N807="б/к",0,IF(OR(ISNUMBER(SEARCH("L=",Разбивка_по_щитам!P807)),N807="+",N807="="),1,0))</f>
      </c>
      <c r="AZ807" s="129">
        <f t="shared" si="530"/>
        <v/>
      </c>
      <c r="BA807" s="129">
        <f t="shared" si="531"/>
      </c>
      <c r="BB807" s="129">
        <f t="shared" si="532"/>
      </c>
      <c r="BD807" s="129">
        <f t="shared" si="533"/>
      </c>
      <c r="BE807" s="129">
        <f t="shared" si="534"/>
      </c>
      <c r="BF807" s="129">
        <f t="shared" si="535"/>
      </c>
      <c r="BG807" s="129">
        <f t="shared" si="536"/>
        <v/>
      </c>
      <c r="BH807" s="129">
        <f t="shared" si="537"/>
        <v/>
      </c>
      <c r="BI807" s="129">
        <f t="shared" si="538"/>
        <v/>
      </c>
      <c r="BJ807" s="129">
        <f t="shared" si="539"/>
        <v/>
      </c>
      <c r="BK807" s="129">
        <f>IF(R807="","",IF(OR(BY807="",BY807=0),"BOX",IFERROR(IF(VLOOKUP(BY807,УГО_блоки,3,FALSE)&amp;""&lt;&gt;"",VLOOKUP(BY807,УГО_блоки,3,FALSE),VLOOKUP(BY807,УГО_блоки,2,FALSE)),BY807)))</f>
      </c>
      <c r="BL807" s="129">
        <f t="shared" si="541"/>
      </c>
      <c r="BM807" s="129">
        <f>IF(H807="","",IF(COUNTIF($H$3:H807,H807)=1,MAX($BM$2:BM806)+1,""))</f>
      </c>
      <c r="BN807" s="129">
        <f>IF(I807="","",IF(COUNTIF($I$3:I807,I807)+COUNTIF($J$2:J806,I807)+COUNTIF($K$2:K806,I807)=1,MAX($BN$2:BP806)+1,""))</f>
      </c>
      <c r="BO807" s="129">
        <f>IF(J807="","",IF(COUNTIF($I$3:I807,J807)+COUNTIF($J$3:J807,J807)+COUNTIF($K$2:K806,J807)=1,MAX($BN$2:BP806,BN807)+1,""))</f>
      </c>
      <c r="BP807" s="129">
        <f>IF(K807="","",IF(COUNTIF($I$3:I807,K807)+COUNTIF($J$3:J807,K807)+COUNTIF($K$3:K807,K807)=1,MAX($BN$2:BP806,BN807,BO807)+1,""))</f>
      </c>
      <c r="BQ807" s="129">
        <f>IF(AY807=1,IFERROR(MID(Q807,FIND(" (",Q807)+2,FIND(")",Q807,FIND(" (",Q807))-FIND(" (",Q807)-2),"?"),"")</f>
      </c>
      <c r="BR807" s="129">
        <f>IF(BQ807="","",IF(COUNTIF($BQ$3:BQ807,BQ807)=1,MAX($BR$2:BR806)+1,""))</f>
      </c>
      <c r="BS807" s="129">
        <f>IF(AW807="","",COUNTIF($AW$3:AW807,"?*"))</f>
      </c>
      <c r="BT807" s="129">
        <f>IF(OR(AW807="",AI807=""),"",IF(COUNTIFS($AW$3:AW807,"?*",$AI$3:AI807,AI807)=1,MAX($BT$2:BT806)+1,""))</f>
      </c>
      <c r="BU807" s="129">
        <f>IF(AE807="",0,IF(OR(ISNUMBER(SEARCH("дубль",AE807)),ISNUMBER(SEARCH("ПЕРЕГРУЗ",AE807)),ISNUMBER(SEARCH("ЗАЩИЩ",AE807)),ISNUMBER(SEARCH("КАНАЛ",AE807)),ISNUMBER(SEARCH("без 30",AE807))),2,1))</f>
      </c>
      <c r="BV807" s="129">
        <f>IF(R807="","",COUNTIF($R$3:R807,"?*"))</f>
      </c>
      <c r="BW807" s="129">
        <f>IF(AY807&lt;&gt;1,0,IF(MAX(IFERROR(--VLOOKUP(R807,УГО_спр,5,FALSE),0),IFERROR(--VLOOKUP(AL807,УГО_спр,5,FALSE),0),IFERROR(--VLOOKUP(LEFT(AL807,2),УГО_спр,5,FALSE),0))&gt;0,MAX(IFERROR(--VLOOKUP(R807,УГО_спр,5,FALSE),0),IFERROR(--VLOOKUP(AL807,УГО_спр,5,FALSE),0),IFERROR(--VLOOKUP(LEFT(AL807,2),УГО_спр,5,FALSE),0)),IF(IFERROR(--LEFT(SUBSTITUTE(BQ807,"x","х"),FIND("х",SUBSTITUTE(BQ807,"x","х"))-1),3)&gt;3,Каталог!$S$9,1)))</f>
      </c>
      <c r="BX807" s="129">
        <f>IF(AY807&lt;&gt;1,0,MAX(0,IFERROR(--LEFT(SUBSTITUTE(BQ807,"x","х"),FIND("х",SUBSTITUTE(BQ807,"x","х"))-1),3)-3*BW807))</f>
      </c>
      <c r="BY807" s="129">
        <f>IF(R807="","",IFERROR(VLOOKUP(R807,УГО_спр,2,FALSE),IFERROR(VLOOKUP(AL807,УГО_спр,2,FALSE),IFERROR(VLOOKUP(LEFT(AL807,2),УГО_спр,2,FALSE),""))))</f>
      </c>
    </row>
    <row r="808" spans="1:64" x14ac:dyDescent="0.3">
      <c r="A808" s="135">
        <f>IF(Разбивка_по_щитам!F808=0,"",Разбивка_по_щитам!F808)</f>
        <v/>
      </c>
      <c r="B808" s="138">
        <f>IF(A808="","",Разбивка_по_щитам!C808)</f>
        <v/>
      </c>
      <c r="C808" s="138">
        <f t="shared" si="502"/>
        <v/>
      </c>
      <c r="D808" s="266"/>
      <c r="E808" s="266"/>
      <c r="F808" s="267"/>
      <c r="G808" s="145">
        <f t="shared" si="503"/>
        <v/>
      </c>
      <c r="H808" s="145">
        <f t="shared" si="504"/>
        <v/>
      </c>
      <c r="I808" s="266"/>
      <c r="J808" s="267"/>
      <c r="K808" s="267"/>
      <c r="L808" s="266"/>
      <c r="M808" s="147">
        <f t="shared" si="505"/>
        <v/>
      </c>
      <c r="N808" s="267"/>
      <c r="O808" s="147">
        <f t="shared" si="506"/>
        <v/>
      </c>
      <c r="P808" s="268">
        <f>IF(AY808=1,"XT"&amp;COUNTIFS($A$3:A808,A808,$AY$3:AY808,1),"")</f>
        <v/>
      </c>
      <c r="Q808" s="152">
        <f>IF(R808="","",IFERROR(SUBSTITUTE(Разбивка_по_щитам!P808,CHAR(10)," "),""))</f>
        <v/>
      </c>
      <c r="R808" s="153">
        <f>IF(OR(Разбивка_по_щитам!H808="",Разбивка_по_щитам!H808=0),"",Разбивка_по_щитам!H808)</f>
        <v/>
      </c>
      <c r="S808" s="154">
        <f>IF(R808="","",IFERROR(Разбивка_по_щитам!J808&amp;"",""))</f>
        <v/>
      </c>
      <c r="T808" s="155">
        <f>IF(R808="","",IFERROR(--Разбивка_по_щитам!L808,""))</f>
        <v/>
      </c>
      <c r="U808" s="155">
        <f>IF(R808="","",IFERROR(--Разбивка_по_щитам!K808,""))</f>
        <v/>
      </c>
      <c r="V808" s="138">
        <f>IF(R808="","",IFERROR(IF(Разбивка_по_щитам!M808=0,"",Разбивка_по_щитам!M808),""))</f>
        <v/>
      </c>
      <c r="W808" s="156">
        <f t="shared" si="507"/>
        <v/>
      </c>
      <c r="X808" s="157">
        <f t="shared" si="508"/>
        <v/>
      </c>
      <c r="Y808" s="266"/>
      <c r="Z808" s="158">
        <f t="shared" si="509"/>
        <v/>
      </c>
      <c r="AA808" s="160">
        <f t="shared" si="510"/>
        <v/>
      </c>
      <c r="AB808" s="160">
        <f>IF(R808="","",IFERROR(LOOKUP(INDEX(Справочная!$I$4:$I$19,MATCH(VLOOKUP(R808,Исходные_данные,22,FALSE),Справочная!$J$4:$J$19,0)+1),{6,10,16,20,25,32,40,50,63,80,100,125}),""))</f>
        <v/>
      </c>
      <c r="AC808" s="160">
        <f t="shared" si="511"/>
        <v/>
      </c>
      <c r="AD808" s="161">
        <f t="shared" si="512"/>
        <v/>
      </c>
      <c r="AE808" s="161">
        <f>IF(AND(R808="",G808=""),"",_xlfn.TEXTJOIN("; ",TRUE,IF(AND(R808&lt;&gt;"",V808=""),"нет фазы",""),IF(AND(R808&lt;&gt;"",N(T808)=0),"нет мощности",""),IF(AND(P808&lt;&gt;"",COUNTIFS($A$3:$A$1000,A808,$P$3:$P$1000,P808)&gt;1),"дубль клеммы "&amp;P808,""),IF(AND(W808&lt;&gt;"",W808&lt;&gt;"ok"),W808,""),IF(X808&lt;&gt;"",X808,""),IF(AND(ISNUMBER(SEARCH("(5х",Q808)),N(AK808)=1),"5 жил на 1 фазе",""),IF(AND(AL808="R",E808&lt;&gt;"",N(AS808)=0),"розетка без 30 мА",""),IF(IFERROR(_xlfn.NUMBERVALUE(MID(Q808,FIND("-",Q808,FIND("L=",Q808))+1,FIND("%",Q808)-FIND("-",Q808,FIND("L=",Q808))-1),","),0)&gt;4,"потери &gt; 4 %","")))</f>
      </c>
      <c r="AF808" s="129">
        <f>IF(E808&lt;&gt;"",COUNTIFS($A$3:A808,A808,$E$3:E808,"?*"),IF(OR(A808&lt;&gt;A807,Y808="вручную"),"",AF807))</f>
        <v/>
      </c>
      <c r="AG808" s="129">
        <f t="shared" si="513"/>
        <v/>
      </c>
      <c r="AH808" s="129">
        <f t="shared" si="514"/>
        <v/>
      </c>
      <c r="AI808" s="129">
        <f t="shared" si="515"/>
        <v/>
      </c>
      <c r="AJ808" s="129">
        <f t="shared" si="516"/>
        <v/>
      </c>
      <c r="AK808" s="129">
        <f t="shared" si="517"/>
        <v/>
      </c>
      <c r="AL808" s="129">
        <f t="shared" si="518"/>
        <v/>
      </c>
      <c r="AM808" s="129">
        <f t="shared" si="519"/>
      </c>
      <c r="AN808" s="129">
        <f t="shared" si="520"/>
      </c>
      <c r="AO808" s="129">
        <f t="shared" si="521"/>
        <v/>
      </c>
      <c r="AP808" s="129">
        <f t="shared" si="522"/>
        <v/>
      </c>
      <c r="AQ808" s="129">
        <f t="shared" si="523"/>
        <v/>
      </c>
      <c r="AR808" s="129">
        <f t="shared" si="524"/>
        <v/>
      </c>
      <c r="AS808" s="129">
        <f t="shared" si="525"/>
        <v/>
      </c>
      <c r="AT808" s="129">
        <f t="shared" si="526"/>
        <v/>
      </c>
      <c r="AU808" s="129">
        <f t="shared" si="527"/>
        <v/>
      </c>
      <c r="AV808" s="129">
        <f t="shared" si="528"/>
        <v/>
      </c>
      <c r="AW808" s="129">
        <f>IF(AV808="","",AV808&amp;"."&amp;COUNTIFS($A$3:A808,A808,$AV$3:AV808,AV808))</f>
        <v/>
      </c>
      <c r="AX808" s="129">
        <f t="shared" si="529"/>
        <v/>
      </c>
      <c r="AY808" s="129">
        <f>IF(N808="б/к",0,IF(OR(ISNUMBER(SEARCH("L=",Разбивка_по_щитам!P808)),N808="+",N808="="),1,0))</f>
      </c>
      <c r="AZ808" s="129">
        <f t="shared" si="530"/>
        <v/>
      </c>
      <c r="BA808" s="129">
        <f t="shared" si="531"/>
      </c>
      <c r="BB808" s="129">
        <f t="shared" si="532"/>
      </c>
      <c r="BD808" s="129">
        <f t="shared" si="533"/>
      </c>
      <c r="BE808" s="129">
        <f t="shared" si="534"/>
      </c>
      <c r="BF808" s="129">
        <f t="shared" si="535"/>
      </c>
      <c r="BG808" s="129">
        <f t="shared" si="536"/>
        <v/>
      </c>
      <c r="BH808" s="129">
        <f t="shared" si="537"/>
        <v/>
      </c>
      <c r="BI808" s="129">
        <f t="shared" si="538"/>
        <v/>
      </c>
      <c r="BJ808" s="129">
        <f t="shared" si="539"/>
        <v/>
      </c>
      <c r="BK808" s="129">
        <f>IF(R808="","",IF(OR(BY808="",BY808=0),"BOX",IFERROR(IF(VLOOKUP(BY808,УГО_блоки,3,FALSE)&amp;""&lt;&gt;"",VLOOKUP(BY808,УГО_блоки,3,FALSE),VLOOKUP(BY808,УГО_блоки,2,FALSE)),BY808)))</f>
      </c>
      <c r="BL808" s="129">
        <f t="shared" si="541"/>
      </c>
      <c r="BM808" s="129">
        <f>IF(H808="","",IF(COUNTIF($H$3:H808,H808)=1,MAX($BM$2:BM807)+1,""))</f>
      </c>
      <c r="BN808" s="129">
        <f>IF(I808="","",IF(COUNTIF($I$3:I808,I808)+COUNTIF($J$2:J807,I808)+COUNTIF($K$2:K807,I808)=1,MAX($BN$2:BP807)+1,""))</f>
      </c>
      <c r="BO808" s="129">
        <f>IF(J808="","",IF(COUNTIF($I$3:I808,J808)+COUNTIF($J$3:J808,J808)+COUNTIF($K$2:K807,J808)=1,MAX($BN$2:BP807,BN808)+1,""))</f>
      </c>
      <c r="BP808" s="129">
        <f>IF(K808="","",IF(COUNTIF($I$3:I808,K808)+COUNTIF($J$3:J808,K808)+COUNTIF($K$3:K808,K808)=1,MAX($BN$2:BP807,BN808,BO808)+1,""))</f>
      </c>
      <c r="BQ808" s="129">
        <f>IF(AY808=1,IFERROR(MID(Q808,FIND(" (",Q808)+2,FIND(")",Q808,FIND(" (",Q808))-FIND(" (",Q808)-2),"?"),"")</f>
      </c>
      <c r="BR808" s="129">
        <f>IF(BQ808="","",IF(COUNTIF($BQ$3:BQ808,BQ808)=1,MAX($BR$2:BR807)+1,""))</f>
      </c>
      <c r="BS808" s="129">
        <f>IF(AW808="","",COUNTIF($AW$3:AW808,"?*"))</f>
      </c>
      <c r="BT808" s="129">
        <f>IF(OR(AW808="",AI808=""),"",IF(COUNTIFS($AW$3:AW808,"?*",$AI$3:AI808,AI808)=1,MAX($BT$2:BT807)+1,""))</f>
      </c>
      <c r="BU808" s="129">
        <f>IF(AE808="",0,IF(OR(ISNUMBER(SEARCH("дубль",AE808)),ISNUMBER(SEARCH("ПЕРЕГРУЗ",AE808)),ISNUMBER(SEARCH("ЗАЩИЩ",AE808)),ISNUMBER(SEARCH("КАНАЛ",AE808)),ISNUMBER(SEARCH("без 30",AE808))),2,1))</f>
      </c>
      <c r="BV808" s="129">
        <f>IF(R808="","",COUNTIF($R$3:R808,"?*"))</f>
      </c>
      <c r="BW808" s="129">
        <f>IF(AY808&lt;&gt;1,0,IF(MAX(IFERROR(--VLOOKUP(R808,УГО_спр,5,FALSE),0),IFERROR(--VLOOKUP(AL808,УГО_спр,5,FALSE),0),IFERROR(--VLOOKUP(LEFT(AL808,2),УГО_спр,5,FALSE),0))&gt;0,MAX(IFERROR(--VLOOKUP(R808,УГО_спр,5,FALSE),0),IFERROR(--VLOOKUP(AL808,УГО_спр,5,FALSE),0),IFERROR(--VLOOKUP(LEFT(AL808,2),УГО_спр,5,FALSE),0)),IF(IFERROR(--LEFT(SUBSTITUTE(BQ808,"x","х"),FIND("х",SUBSTITUTE(BQ808,"x","х"))-1),3)&gt;3,Каталог!$S$9,1)))</f>
      </c>
      <c r="BX808" s="129">
        <f>IF(AY808&lt;&gt;1,0,MAX(0,IFERROR(--LEFT(SUBSTITUTE(BQ808,"x","х"),FIND("х",SUBSTITUTE(BQ808,"x","х"))-1),3)-3*BW808))</f>
      </c>
      <c r="BY808" s="129">
        <f>IF(R808="","",IFERROR(VLOOKUP(R808,УГО_спр,2,FALSE),IFERROR(VLOOKUP(AL808,УГО_спр,2,FALSE),IFERROR(VLOOKUP(LEFT(AL808,2),УГО_спр,2,FALSE),""))))</f>
      </c>
    </row>
    <row r="809" spans="1:64" x14ac:dyDescent="0.3">
      <c r="A809" s="135">
        <f>IF(Разбивка_по_щитам!F809=0,"",Разбивка_по_щитам!F809)</f>
        <v/>
      </c>
      <c r="B809" s="138">
        <f>IF(A809="","",Разбивка_по_щитам!C809)</f>
        <v/>
      </c>
      <c r="C809" s="138">
        <f t="shared" si="502"/>
        <v/>
      </c>
      <c r="D809" s="266"/>
      <c r="E809" s="266"/>
      <c r="F809" s="267"/>
      <c r="G809" s="145">
        <f t="shared" si="503"/>
        <v/>
      </c>
      <c r="H809" s="145">
        <f t="shared" si="504"/>
        <v/>
      </c>
      <c r="I809" s="266"/>
      <c r="J809" s="267"/>
      <c r="K809" s="267"/>
      <c r="L809" s="266"/>
      <c r="M809" s="147">
        <f t="shared" si="505"/>
        <v/>
      </c>
      <c r="N809" s="267"/>
      <c r="O809" s="147">
        <f t="shared" si="506"/>
        <v/>
      </c>
      <c r="P809" s="268">
        <f>IF(AY809=1,"XT"&amp;COUNTIFS($A$3:A809,A809,$AY$3:AY809,1),"")</f>
        <v/>
      </c>
      <c r="Q809" s="152">
        <f>IF(R809="","",IFERROR(SUBSTITUTE(Разбивка_по_щитам!P809,CHAR(10)," "),""))</f>
        <v/>
      </c>
      <c r="R809" s="153">
        <f>IF(OR(Разбивка_по_щитам!H809="",Разбивка_по_щитам!H809=0),"",Разбивка_по_щитам!H809)</f>
        <v/>
      </c>
      <c r="S809" s="154">
        <f>IF(R809="","",IFERROR(Разбивка_по_щитам!J809&amp;"",""))</f>
        <v/>
      </c>
      <c r="T809" s="155">
        <f>IF(R809="","",IFERROR(--Разбивка_по_щитам!L809,""))</f>
        <v/>
      </c>
      <c r="U809" s="155">
        <f>IF(R809="","",IFERROR(--Разбивка_по_щитам!K809,""))</f>
        <v/>
      </c>
      <c r="V809" s="138">
        <f>IF(R809="","",IFERROR(IF(Разбивка_по_щитам!M809=0,"",Разбивка_по_щитам!M809),""))</f>
        <v/>
      </c>
      <c r="W809" s="156">
        <f t="shared" si="507"/>
        <v/>
      </c>
      <c r="X809" s="157">
        <f t="shared" si="508"/>
        <v/>
      </c>
      <c r="Y809" s="266"/>
      <c r="Z809" s="158">
        <f t="shared" si="509"/>
        <v/>
      </c>
      <c r="AA809" s="160">
        <f t="shared" si="510"/>
        <v/>
      </c>
      <c r="AB809" s="160">
        <f>IF(R809="","",IFERROR(LOOKUP(INDEX(Справочная!$I$4:$I$19,MATCH(VLOOKUP(R809,Исходные_данные,22,FALSE),Справочная!$J$4:$J$19,0)+1),{6,10,16,20,25,32,40,50,63,80,100,125}),""))</f>
        <v/>
      </c>
      <c r="AC809" s="160">
        <f t="shared" si="511"/>
        <v/>
      </c>
      <c r="AD809" s="161">
        <f t="shared" si="512"/>
        <v/>
      </c>
      <c r="AE809" s="161">
        <f>IF(AND(R809="",G809=""),"",_xlfn.TEXTJOIN("; ",TRUE,IF(AND(R809&lt;&gt;"",V809=""),"нет фазы",""),IF(AND(R809&lt;&gt;"",N(T809)=0),"нет мощности",""),IF(AND(P809&lt;&gt;"",COUNTIFS($A$3:$A$1000,A809,$P$3:$P$1000,P809)&gt;1),"дубль клеммы "&amp;P809,""),IF(AND(W809&lt;&gt;"",W809&lt;&gt;"ok"),W809,""),IF(X809&lt;&gt;"",X809,""),IF(AND(ISNUMBER(SEARCH("(5х",Q809)),N(AK809)=1),"5 жил на 1 фазе",""),IF(AND(AL809="R",E809&lt;&gt;"",N(AS809)=0),"розетка без 30 мА",""),IF(IFERROR(_xlfn.NUMBERVALUE(MID(Q809,FIND("-",Q809,FIND("L=",Q809))+1,FIND("%",Q809)-FIND("-",Q809,FIND("L=",Q809))-1),","),0)&gt;4,"потери &gt; 4 %","")))</f>
      </c>
      <c r="AF809" s="129">
        <f>IF(E809&lt;&gt;"",COUNTIFS($A$3:A809,A809,$E$3:E809,"?*"),IF(OR(A809&lt;&gt;A808,Y809="вручную"),"",AF808))</f>
        <v/>
      </c>
      <c r="AG809" s="129">
        <f t="shared" si="513"/>
        <v/>
      </c>
      <c r="AH809" s="129">
        <f t="shared" si="514"/>
        <v/>
      </c>
      <c r="AI809" s="129">
        <f t="shared" si="515"/>
        <v/>
      </c>
      <c r="AJ809" s="129">
        <f t="shared" si="516"/>
        <v/>
      </c>
      <c r="AK809" s="129">
        <f t="shared" si="517"/>
        <v/>
      </c>
      <c r="AL809" s="129">
        <f t="shared" si="518"/>
        <v/>
      </c>
      <c r="AM809" s="129">
        <f t="shared" si="519"/>
      </c>
      <c r="AN809" s="129">
        <f t="shared" si="520"/>
      </c>
      <c r="AO809" s="129">
        <f t="shared" si="521"/>
        <v/>
      </c>
      <c r="AP809" s="129">
        <f t="shared" si="522"/>
        <v/>
      </c>
      <c r="AQ809" s="129">
        <f t="shared" si="523"/>
        <v/>
      </c>
      <c r="AR809" s="129">
        <f t="shared" si="524"/>
        <v/>
      </c>
      <c r="AS809" s="129">
        <f t="shared" si="525"/>
        <v/>
      </c>
      <c r="AT809" s="129">
        <f t="shared" si="526"/>
        <v/>
      </c>
      <c r="AU809" s="129">
        <f t="shared" si="527"/>
        <v/>
      </c>
      <c r="AV809" s="129">
        <f t="shared" si="528"/>
        <v/>
      </c>
      <c r="AW809" s="129">
        <f>IF(AV809="","",AV809&amp;"."&amp;COUNTIFS($A$3:A809,A809,$AV$3:AV809,AV809))</f>
        <v/>
      </c>
      <c r="AX809" s="129">
        <f t="shared" si="529"/>
        <v/>
      </c>
      <c r="AY809" s="129">
        <f>IF(N809="б/к",0,IF(OR(ISNUMBER(SEARCH("L=",Разбивка_по_щитам!P809)),N809="+",N809="="),1,0))</f>
      </c>
      <c r="AZ809" s="129">
        <f t="shared" si="530"/>
        <v/>
      </c>
      <c r="BA809" s="129">
        <f t="shared" si="531"/>
      </c>
      <c r="BB809" s="129">
        <f t="shared" si="532"/>
      </c>
      <c r="BD809" s="129">
        <f t="shared" si="533"/>
      </c>
      <c r="BE809" s="129">
        <f t="shared" si="534"/>
      </c>
      <c r="BF809" s="129">
        <f t="shared" si="535"/>
      </c>
      <c r="BG809" s="129">
        <f t="shared" si="536"/>
        <v/>
      </c>
      <c r="BH809" s="129">
        <f t="shared" si="537"/>
        <v/>
      </c>
      <c r="BI809" s="129">
        <f t="shared" si="538"/>
        <v/>
      </c>
      <c r="BJ809" s="129">
        <f t="shared" si="539"/>
        <v/>
      </c>
      <c r="BK809" s="129">
        <f>IF(R809="","",IF(OR(BY809="",BY809=0),"BOX",IFERROR(IF(VLOOKUP(BY809,УГО_блоки,3,FALSE)&amp;""&lt;&gt;"",VLOOKUP(BY809,УГО_блоки,3,FALSE),VLOOKUP(BY809,УГО_блоки,2,FALSE)),BY809)))</f>
      </c>
      <c r="BL809" s="129">
        <f t="shared" si="541"/>
      </c>
      <c r="BM809" s="129">
        <f>IF(H809="","",IF(COUNTIF($H$3:H809,H809)=1,MAX($BM$2:BM808)+1,""))</f>
      </c>
      <c r="BN809" s="129">
        <f>IF(I809="","",IF(COUNTIF($I$3:I809,I809)+COUNTIF($J$2:J808,I809)+COUNTIF($K$2:K808,I809)=1,MAX($BN$2:BP808)+1,""))</f>
      </c>
      <c r="BO809" s="129">
        <f>IF(J809="","",IF(COUNTIF($I$3:I809,J809)+COUNTIF($J$3:J809,J809)+COUNTIF($K$2:K808,J809)=1,MAX($BN$2:BP808,BN809)+1,""))</f>
      </c>
      <c r="BP809" s="129">
        <f>IF(K809="","",IF(COUNTIF($I$3:I809,K809)+COUNTIF($J$3:J809,K809)+COUNTIF($K$3:K809,K809)=1,MAX($BN$2:BP808,BN809,BO809)+1,""))</f>
      </c>
      <c r="BQ809" s="129">
        <f>IF(AY809=1,IFERROR(MID(Q809,FIND(" (",Q809)+2,FIND(")",Q809,FIND(" (",Q809))-FIND(" (",Q809)-2),"?"),"")</f>
      </c>
      <c r="BR809" s="129">
        <f>IF(BQ809="","",IF(COUNTIF($BQ$3:BQ809,BQ809)=1,MAX($BR$2:BR808)+1,""))</f>
      </c>
      <c r="BS809" s="129">
        <f>IF(AW809="","",COUNTIF($AW$3:AW809,"?*"))</f>
      </c>
      <c r="BT809" s="129">
        <f>IF(OR(AW809="",AI809=""),"",IF(COUNTIFS($AW$3:AW809,"?*",$AI$3:AI809,AI809)=1,MAX($BT$2:BT808)+1,""))</f>
      </c>
      <c r="BU809" s="129">
        <f>IF(AE809="",0,IF(OR(ISNUMBER(SEARCH("дубль",AE809)),ISNUMBER(SEARCH("ПЕРЕГРУЗ",AE809)),ISNUMBER(SEARCH("ЗАЩИЩ",AE809)),ISNUMBER(SEARCH("КАНАЛ",AE809)),ISNUMBER(SEARCH("без 30",AE809))),2,1))</f>
      </c>
      <c r="BV809" s="129">
        <f>IF(R809="","",COUNTIF($R$3:R809,"?*"))</f>
      </c>
      <c r="BW809" s="129">
        <f>IF(AY809&lt;&gt;1,0,IF(MAX(IFERROR(--VLOOKUP(R809,УГО_спр,5,FALSE),0),IFERROR(--VLOOKUP(AL809,УГО_спр,5,FALSE),0),IFERROR(--VLOOKUP(LEFT(AL809,2),УГО_спр,5,FALSE),0))&gt;0,MAX(IFERROR(--VLOOKUP(R809,УГО_спр,5,FALSE),0),IFERROR(--VLOOKUP(AL809,УГО_спр,5,FALSE),0),IFERROR(--VLOOKUP(LEFT(AL809,2),УГО_спр,5,FALSE),0)),IF(IFERROR(--LEFT(SUBSTITUTE(BQ809,"x","х"),FIND("х",SUBSTITUTE(BQ809,"x","х"))-1),3)&gt;3,Каталог!$S$9,1)))</f>
      </c>
      <c r="BX809" s="129">
        <f>IF(AY809&lt;&gt;1,0,MAX(0,IFERROR(--LEFT(SUBSTITUTE(BQ809,"x","х"),FIND("х",SUBSTITUTE(BQ809,"x","х"))-1),3)-3*BW809))</f>
      </c>
      <c r="BY809" s="129">
        <f>IF(R809="","",IFERROR(VLOOKUP(R809,УГО_спр,2,FALSE),IFERROR(VLOOKUP(AL809,УГО_спр,2,FALSE),IFERROR(VLOOKUP(LEFT(AL809,2),УГО_спр,2,FALSE),""))))</f>
      </c>
    </row>
    <row r="810" spans="1:64" x14ac:dyDescent="0.3">
      <c r="A810" s="135">
        <f>IF(Разбивка_по_щитам!F810=0,"",Разбивка_по_щитам!F810)</f>
        <v/>
      </c>
      <c r="B810" s="138">
        <f>IF(A810="","",Разбивка_по_щитам!C810)</f>
        <v/>
      </c>
      <c r="C810" s="138">
        <f t="shared" si="502"/>
        <v/>
      </c>
      <c r="D810" s="266"/>
      <c r="E810" s="266"/>
      <c r="F810" s="267"/>
      <c r="G810" s="145">
        <f t="shared" si="503"/>
        <v/>
      </c>
      <c r="H810" s="145">
        <f t="shared" si="504"/>
        <v/>
      </c>
      <c r="I810" s="266"/>
      <c r="J810" s="267"/>
      <c r="K810" s="267"/>
      <c r="L810" s="266"/>
      <c r="M810" s="147">
        <f t="shared" si="505"/>
        <v/>
      </c>
      <c r="N810" s="267"/>
      <c r="O810" s="147">
        <f t="shared" si="506"/>
        <v/>
      </c>
      <c r="P810" s="268">
        <f>IF(AY810=1,"XT"&amp;COUNTIFS($A$3:A810,A810,$AY$3:AY810,1),"")</f>
        <v/>
      </c>
      <c r="Q810" s="152">
        <f>IF(R810="","",IFERROR(SUBSTITUTE(Разбивка_по_щитам!P810,CHAR(10)," "),""))</f>
        <v/>
      </c>
      <c r="R810" s="153">
        <f>IF(OR(Разбивка_по_щитам!H810="",Разбивка_по_щитам!H810=0),"",Разбивка_по_щитам!H810)</f>
        <v/>
      </c>
      <c r="S810" s="154">
        <f>IF(R810="","",IFERROR(Разбивка_по_щитам!J810&amp;"",""))</f>
        <v/>
      </c>
      <c r="T810" s="155">
        <f>IF(R810="","",IFERROR(--Разбивка_по_щитам!L810,""))</f>
        <v/>
      </c>
      <c r="U810" s="155">
        <f>IF(R810="","",IFERROR(--Разбивка_по_щитам!K810,""))</f>
        <v/>
      </c>
      <c r="V810" s="138">
        <f>IF(R810="","",IFERROR(IF(Разбивка_по_щитам!M810=0,"",Разбивка_по_щитам!M810),""))</f>
        <v/>
      </c>
      <c r="W810" s="156">
        <f t="shared" si="507"/>
        <v/>
      </c>
      <c r="X810" s="157">
        <f t="shared" si="508"/>
        <v/>
      </c>
      <c r="Y810" s="266"/>
      <c r="Z810" s="158">
        <f t="shared" si="509"/>
        <v/>
      </c>
      <c r="AA810" s="160">
        <f t="shared" si="510"/>
        <v/>
      </c>
      <c r="AB810" s="160">
        <f>IF(R810="","",IFERROR(LOOKUP(INDEX(Справочная!$I$4:$I$19,MATCH(VLOOKUP(R810,Исходные_данные,22,FALSE),Справочная!$J$4:$J$19,0)+1),{6,10,16,20,25,32,40,50,63,80,100,125}),""))</f>
        <v/>
      </c>
      <c r="AC810" s="160">
        <f t="shared" si="511"/>
        <v/>
      </c>
      <c r="AD810" s="161">
        <f t="shared" si="512"/>
        <v/>
      </c>
      <c r="AE810" s="161">
        <f>IF(AND(R810="",G810=""),"",_xlfn.TEXTJOIN("; ",TRUE,IF(AND(R810&lt;&gt;"",V810=""),"нет фазы",""),IF(AND(R810&lt;&gt;"",N(T810)=0),"нет мощности",""),IF(AND(P810&lt;&gt;"",COUNTIFS($A$3:$A$1000,A810,$P$3:$P$1000,P810)&gt;1),"дубль клеммы "&amp;P810,""),IF(AND(W810&lt;&gt;"",W810&lt;&gt;"ok"),W810,""),IF(X810&lt;&gt;"",X810,""),IF(AND(ISNUMBER(SEARCH("(5х",Q810)),N(AK810)=1),"5 жил на 1 фазе",""),IF(AND(AL810="R",E810&lt;&gt;"",N(AS810)=0),"розетка без 30 мА",""),IF(IFERROR(_xlfn.NUMBERVALUE(MID(Q810,FIND("-",Q810,FIND("L=",Q810))+1,FIND("%",Q810)-FIND("-",Q810,FIND("L=",Q810))-1),","),0)&gt;4,"потери &gt; 4 %","")))</f>
      </c>
      <c r="AF810" s="129">
        <f>IF(E810&lt;&gt;"",COUNTIFS($A$3:A810,A810,$E$3:E810,"?*"),IF(OR(A810&lt;&gt;A809,Y810="вручную"),"",AF809))</f>
        <v/>
      </c>
      <c r="AG810" s="129">
        <f t="shared" si="513"/>
        <v/>
      </c>
      <c r="AH810" s="129">
        <f t="shared" si="514"/>
        <v/>
      </c>
      <c r="AI810" s="129">
        <f t="shared" si="515"/>
        <v/>
      </c>
      <c r="AJ810" s="129">
        <f t="shared" si="516"/>
        <v/>
      </c>
      <c r="AK810" s="129">
        <f t="shared" si="517"/>
        <v/>
      </c>
      <c r="AL810" s="129">
        <f t="shared" si="518"/>
        <v/>
      </c>
      <c r="AM810" s="129">
        <f t="shared" si="519"/>
      </c>
      <c r="AN810" s="129">
        <f t="shared" si="520"/>
      </c>
      <c r="AO810" s="129">
        <f t="shared" si="521"/>
        <v/>
      </c>
      <c r="AP810" s="129">
        <f t="shared" si="522"/>
        <v/>
      </c>
      <c r="AQ810" s="129">
        <f t="shared" si="523"/>
        <v/>
      </c>
      <c r="AR810" s="129">
        <f t="shared" si="524"/>
        <v/>
      </c>
      <c r="AS810" s="129">
        <f t="shared" si="525"/>
        <v/>
      </c>
      <c r="AT810" s="129">
        <f t="shared" si="526"/>
        <v/>
      </c>
      <c r="AU810" s="129">
        <f t="shared" si="527"/>
        <v/>
      </c>
      <c r="AV810" s="129">
        <f t="shared" si="528"/>
        <v/>
      </c>
      <c r="AW810" s="129">
        <f>IF(AV810="","",AV810&amp;"."&amp;COUNTIFS($A$3:A810,A810,$AV$3:AV810,AV810))</f>
        <v/>
      </c>
      <c r="AX810" s="129">
        <f t="shared" si="529"/>
        <v/>
      </c>
      <c r="AY810" s="129">
        <f>IF(N810="б/к",0,IF(OR(ISNUMBER(SEARCH("L=",Разбивка_по_щитам!P810)),N810="+",N810="="),1,0))</f>
      </c>
      <c r="AZ810" s="129">
        <f t="shared" si="530"/>
        <v/>
      </c>
      <c r="BA810" s="129">
        <f t="shared" si="531"/>
      </c>
      <c r="BB810" s="129">
        <f t="shared" si="532"/>
      </c>
      <c r="BD810" s="129">
        <f t="shared" si="533"/>
      </c>
      <c r="BE810" s="129">
        <f t="shared" si="534"/>
      </c>
      <c r="BF810" s="129">
        <f t="shared" si="535"/>
      </c>
      <c r="BG810" s="129">
        <f t="shared" si="536"/>
        <v/>
      </c>
      <c r="BH810" s="129">
        <f t="shared" si="537"/>
        <v/>
      </c>
      <c r="BI810" s="129">
        <f t="shared" si="538"/>
        <v/>
      </c>
      <c r="BJ810" s="129">
        <f t="shared" si="539"/>
        <v/>
      </c>
      <c r="BK810" s="129">
        <f>IF(R810="","",IF(OR(BY810="",BY810=0),"BOX",IFERROR(IF(VLOOKUP(BY810,УГО_блоки,3,FALSE)&amp;""&lt;&gt;"",VLOOKUP(BY810,УГО_блоки,3,FALSE),VLOOKUP(BY810,УГО_блоки,2,FALSE)),BY810)))</f>
      </c>
      <c r="BL810" s="129">
        <f t="shared" si="541"/>
      </c>
      <c r="BM810" s="129">
        <f>IF(H810="","",IF(COUNTIF($H$3:H810,H810)=1,MAX($BM$2:BM809)+1,""))</f>
      </c>
      <c r="BN810" s="129">
        <f>IF(I810="","",IF(COUNTIF($I$3:I810,I810)+COUNTIF($J$2:J809,I810)+COUNTIF($K$2:K809,I810)=1,MAX($BN$2:BP809)+1,""))</f>
      </c>
      <c r="BO810" s="129">
        <f>IF(J810="","",IF(COUNTIF($I$3:I810,J810)+COUNTIF($J$3:J810,J810)+COUNTIF($K$2:K809,J810)=1,MAX($BN$2:BP809,BN810)+1,""))</f>
      </c>
      <c r="BP810" s="129">
        <f>IF(K810="","",IF(COUNTIF($I$3:I810,K810)+COUNTIF($J$3:J810,K810)+COUNTIF($K$3:K810,K810)=1,MAX($BN$2:BP809,BN810,BO810)+1,""))</f>
      </c>
      <c r="BQ810" s="129">
        <f>IF(AY810=1,IFERROR(MID(Q810,FIND(" (",Q810)+2,FIND(")",Q810,FIND(" (",Q810))-FIND(" (",Q810)-2),"?"),"")</f>
      </c>
      <c r="BR810" s="129">
        <f>IF(BQ810="","",IF(COUNTIF($BQ$3:BQ810,BQ810)=1,MAX($BR$2:BR809)+1,""))</f>
      </c>
      <c r="BS810" s="129">
        <f>IF(AW810="","",COUNTIF($AW$3:AW810,"?*"))</f>
      </c>
      <c r="BT810" s="129">
        <f>IF(OR(AW810="",AI810=""),"",IF(COUNTIFS($AW$3:AW810,"?*",$AI$3:AI810,AI810)=1,MAX($BT$2:BT809)+1,""))</f>
      </c>
      <c r="BU810" s="129">
        <f>IF(AE810="",0,IF(OR(ISNUMBER(SEARCH("дубль",AE810)),ISNUMBER(SEARCH("ПЕРЕГРУЗ",AE810)),ISNUMBER(SEARCH("ЗАЩИЩ",AE810)),ISNUMBER(SEARCH("КАНАЛ",AE810)),ISNUMBER(SEARCH("без 30",AE810))),2,1))</f>
      </c>
      <c r="BV810" s="129">
        <f>IF(R810="","",COUNTIF($R$3:R810,"?*"))</f>
      </c>
      <c r="BW810" s="129">
        <f>IF(AY810&lt;&gt;1,0,IF(MAX(IFERROR(--VLOOKUP(R810,УГО_спр,5,FALSE),0),IFERROR(--VLOOKUP(AL810,УГО_спр,5,FALSE),0),IFERROR(--VLOOKUP(LEFT(AL810,2),УГО_спр,5,FALSE),0))&gt;0,MAX(IFERROR(--VLOOKUP(R810,УГО_спр,5,FALSE),0),IFERROR(--VLOOKUP(AL810,УГО_спр,5,FALSE),0),IFERROR(--VLOOKUP(LEFT(AL810,2),УГО_спр,5,FALSE),0)),IF(IFERROR(--LEFT(SUBSTITUTE(BQ810,"x","х"),FIND("х",SUBSTITUTE(BQ810,"x","х"))-1),3)&gt;3,Каталог!$S$9,1)))</f>
      </c>
      <c r="BX810" s="129">
        <f>IF(AY810&lt;&gt;1,0,MAX(0,IFERROR(--LEFT(SUBSTITUTE(BQ810,"x","х"),FIND("х",SUBSTITUTE(BQ810,"x","х"))-1),3)-3*BW810))</f>
      </c>
      <c r="BY810" s="129">
        <f>IF(R810="","",IFERROR(VLOOKUP(R810,УГО_спр,2,FALSE),IFERROR(VLOOKUP(AL810,УГО_спр,2,FALSE),IFERROR(VLOOKUP(LEFT(AL810,2),УГО_спр,2,FALSE),""))))</f>
      </c>
    </row>
    <row r="811" spans="1:64" x14ac:dyDescent="0.3">
      <c r="A811" s="135">
        <f>IF(Разбивка_по_щитам!F811=0,"",Разбивка_по_щитам!F811)</f>
        <v/>
      </c>
      <c r="B811" s="138">
        <f>IF(A811="","",Разбивка_по_щитам!C811)</f>
        <v/>
      </c>
      <c r="C811" s="138">
        <f t="shared" si="502"/>
        <v/>
      </c>
      <c r="D811" s="266"/>
      <c r="E811" s="266"/>
      <c r="F811" s="267"/>
      <c r="G811" s="145">
        <f t="shared" si="503"/>
        <v/>
      </c>
      <c r="H811" s="145">
        <f t="shared" si="504"/>
        <v/>
      </c>
      <c r="I811" s="266"/>
      <c r="J811" s="267"/>
      <c r="K811" s="267"/>
      <c r="L811" s="266"/>
      <c r="M811" s="147">
        <f t="shared" si="505"/>
        <v/>
      </c>
      <c r="N811" s="267"/>
      <c r="O811" s="147">
        <f t="shared" si="506"/>
        <v/>
      </c>
      <c r="P811" s="268">
        <f>IF(AY811=1,"XT"&amp;COUNTIFS($A$3:A811,A811,$AY$3:AY811,1),"")</f>
        <v/>
      </c>
      <c r="Q811" s="152">
        <f>IF(R811="","",IFERROR(SUBSTITUTE(Разбивка_по_щитам!P811,CHAR(10)," "),""))</f>
        <v/>
      </c>
      <c r="R811" s="153">
        <f>IF(OR(Разбивка_по_щитам!H811="",Разбивка_по_щитам!H811=0),"",Разбивка_по_щитам!H811)</f>
        <v/>
      </c>
      <c r="S811" s="154">
        <f>IF(R811="","",IFERROR(Разбивка_по_щитам!J811&amp;"",""))</f>
        <v/>
      </c>
      <c r="T811" s="155">
        <f>IF(R811="","",IFERROR(--Разбивка_по_щитам!L811,""))</f>
        <v/>
      </c>
      <c r="U811" s="155">
        <f>IF(R811="","",IFERROR(--Разбивка_по_щитам!K811,""))</f>
        <v/>
      </c>
      <c r="V811" s="138">
        <f>IF(R811="","",IFERROR(IF(Разбивка_по_щитам!M811=0,"",Разбивка_по_щитам!M811),""))</f>
        <v/>
      </c>
      <c r="W811" s="156">
        <f t="shared" si="507"/>
        <v/>
      </c>
      <c r="X811" s="157">
        <f t="shared" si="508"/>
        <v/>
      </c>
      <c r="Y811" s="266"/>
      <c r="Z811" s="158">
        <f t="shared" si="509"/>
        <v/>
      </c>
      <c r="AA811" s="160">
        <f t="shared" si="510"/>
        <v/>
      </c>
      <c r="AB811" s="160">
        <f>IF(R811="","",IFERROR(LOOKUP(INDEX(Справочная!$I$4:$I$19,MATCH(VLOOKUP(R811,Исходные_данные,22,FALSE),Справочная!$J$4:$J$19,0)+1),{6,10,16,20,25,32,40,50,63,80,100,125}),""))</f>
        <v/>
      </c>
      <c r="AC811" s="160">
        <f t="shared" si="511"/>
        <v/>
      </c>
      <c r="AD811" s="161">
        <f t="shared" si="512"/>
        <v/>
      </c>
      <c r="AE811" s="161">
        <f>IF(AND(R811="",G811=""),"",_xlfn.TEXTJOIN("; ",TRUE,IF(AND(R811&lt;&gt;"",V811=""),"нет фазы",""),IF(AND(R811&lt;&gt;"",N(T811)=0),"нет мощности",""),IF(AND(P811&lt;&gt;"",COUNTIFS($A$3:$A$1000,A811,$P$3:$P$1000,P811)&gt;1),"дубль клеммы "&amp;P811,""),IF(AND(W811&lt;&gt;"",W811&lt;&gt;"ok"),W811,""),IF(X811&lt;&gt;"",X811,""),IF(AND(ISNUMBER(SEARCH("(5х",Q811)),N(AK811)=1),"5 жил на 1 фазе",""),IF(AND(AL811="R",E811&lt;&gt;"",N(AS811)=0),"розетка без 30 мА",""),IF(IFERROR(_xlfn.NUMBERVALUE(MID(Q811,FIND("-",Q811,FIND("L=",Q811))+1,FIND("%",Q811)-FIND("-",Q811,FIND("L=",Q811))-1),","),0)&gt;4,"потери &gt; 4 %","")))</f>
      </c>
      <c r="AF811" s="129">
        <f>IF(E811&lt;&gt;"",COUNTIFS($A$3:A811,A811,$E$3:E811,"?*"),IF(OR(A811&lt;&gt;A810,Y811="вручную"),"",AF810))</f>
        <v/>
      </c>
      <c r="AG811" s="129">
        <f t="shared" si="513"/>
        <v/>
      </c>
      <c r="AH811" s="129">
        <f t="shared" si="514"/>
        <v/>
      </c>
      <c r="AI811" s="129">
        <f t="shared" si="515"/>
        <v/>
      </c>
      <c r="AJ811" s="129">
        <f t="shared" si="516"/>
        <v/>
      </c>
      <c r="AK811" s="129">
        <f t="shared" si="517"/>
        <v/>
      </c>
      <c r="AL811" s="129">
        <f t="shared" si="518"/>
        <v/>
      </c>
      <c r="AM811" s="129">
        <f t="shared" si="519"/>
      </c>
      <c r="AN811" s="129">
        <f t="shared" si="520"/>
      </c>
      <c r="AO811" s="129">
        <f t="shared" si="521"/>
        <v/>
      </c>
      <c r="AP811" s="129">
        <f t="shared" si="522"/>
        <v/>
      </c>
      <c r="AQ811" s="129">
        <f t="shared" si="523"/>
        <v/>
      </c>
      <c r="AR811" s="129">
        <f t="shared" si="524"/>
        <v/>
      </c>
      <c r="AS811" s="129">
        <f t="shared" si="525"/>
        <v/>
      </c>
      <c r="AT811" s="129">
        <f t="shared" si="526"/>
        <v/>
      </c>
      <c r="AU811" s="129">
        <f t="shared" si="527"/>
        <v/>
      </c>
      <c r="AV811" s="129">
        <f t="shared" si="528"/>
        <v/>
      </c>
      <c r="AW811" s="129">
        <f>IF(AV811="","",AV811&amp;"."&amp;COUNTIFS($A$3:A811,A811,$AV$3:AV811,AV811))</f>
        <v/>
      </c>
      <c r="AX811" s="129">
        <f t="shared" si="529"/>
        <v/>
      </c>
      <c r="AY811" s="129">
        <f>IF(N811="б/к",0,IF(OR(ISNUMBER(SEARCH("L=",Разбивка_по_щитам!P811)),N811="+",N811="="),1,0))</f>
      </c>
      <c r="AZ811" s="129">
        <f t="shared" si="530"/>
        <v/>
      </c>
      <c r="BA811" s="129">
        <f t="shared" si="531"/>
      </c>
      <c r="BB811" s="129">
        <f t="shared" si="532"/>
      </c>
      <c r="BD811" s="129">
        <f t="shared" si="533"/>
      </c>
      <c r="BE811" s="129">
        <f t="shared" si="534"/>
      </c>
      <c r="BF811" s="129">
        <f t="shared" si="535"/>
      </c>
      <c r="BG811" s="129">
        <f t="shared" si="536"/>
        <v/>
      </c>
      <c r="BH811" s="129">
        <f t="shared" si="537"/>
        <v/>
      </c>
      <c r="BI811" s="129">
        <f t="shared" si="538"/>
        <v/>
      </c>
      <c r="BJ811" s="129">
        <f t="shared" si="539"/>
        <v/>
      </c>
      <c r="BK811" s="129">
        <f>IF(R811="","",IF(OR(BY811="",BY811=0),"BOX",IFERROR(IF(VLOOKUP(BY811,УГО_блоки,3,FALSE)&amp;""&lt;&gt;"",VLOOKUP(BY811,УГО_блоки,3,FALSE),VLOOKUP(BY811,УГО_блоки,2,FALSE)),BY811)))</f>
      </c>
      <c r="BL811" s="129">
        <f t="shared" si="541"/>
      </c>
      <c r="BM811" s="129">
        <f>IF(H811="","",IF(COUNTIF($H$3:H811,H811)=1,MAX($BM$2:BM810)+1,""))</f>
      </c>
      <c r="BN811" s="129">
        <f>IF(I811="","",IF(COUNTIF($I$3:I811,I811)+COUNTIF($J$2:J810,I811)+COUNTIF($K$2:K810,I811)=1,MAX($BN$2:BP810)+1,""))</f>
      </c>
      <c r="BO811" s="129">
        <f>IF(J811="","",IF(COUNTIF($I$3:I811,J811)+COUNTIF($J$3:J811,J811)+COUNTIF($K$2:K810,J811)=1,MAX($BN$2:BP810,BN811)+1,""))</f>
      </c>
      <c r="BP811" s="129">
        <f>IF(K811="","",IF(COUNTIF($I$3:I811,K811)+COUNTIF($J$3:J811,K811)+COUNTIF($K$3:K811,K811)=1,MAX($BN$2:BP810,BN811,BO811)+1,""))</f>
      </c>
      <c r="BQ811" s="129">
        <f>IF(AY811=1,IFERROR(MID(Q811,FIND(" (",Q811)+2,FIND(")",Q811,FIND(" (",Q811))-FIND(" (",Q811)-2),"?"),"")</f>
      </c>
      <c r="BR811" s="129">
        <f>IF(BQ811="","",IF(COUNTIF($BQ$3:BQ811,BQ811)=1,MAX($BR$2:BR810)+1,""))</f>
      </c>
      <c r="BS811" s="129">
        <f>IF(AW811="","",COUNTIF($AW$3:AW811,"?*"))</f>
      </c>
      <c r="BT811" s="129">
        <f>IF(OR(AW811="",AI811=""),"",IF(COUNTIFS($AW$3:AW811,"?*",$AI$3:AI811,AI811)=1,MAX($BT$2:BT810)+1,""))</f>
      </c>
      <c r="BU811" s="129">
        <f>IF(AE811="",0,IF(OR(ISNUMBER(SEARCH("дубль",AE811)),ISNUMBER(SEARCH("ПЕРЕГРУЗ",AE811)),ISNUMBER(SEARCH("ЗАЩИЩ",AE811)),ISNUMBER(SEARCH("КАНАЛ",AE811)),ISNUMBER(SEARCH("без 30",AE811))),2,1))</f>
      </c>
      <c r="BV811" s="129">
        <f>IF(R811="","",COUNTIF($R$3:R811,"?*"))</f>
      </c>
      <c r="BW811" s="129">
        <f>IF(AY811&lt;&gt;1,0,IF(MAX(IFERROR(--VLOOKUP(R811,УГО_спр,5,FALSE),0),IFERROR(--VLOOKUP(AL811,УГО_спр,5,FALSE),0),IFERROR(--VLOOKUP(LEFT(AL811,2),УГО_спр,5,FALSE),0))&gt;0,MAX(IFERROR(--VLOOKUP(R811,УГО_спр,5,FALSE),0),IFERROR(--VLOOKUP(AL811,УГО_спр,5,FALSE),0),IFERROR(--VLOOKUP(LEFT(AL811,2),УГО_спр,5,FALSE),0)),IF(IFERROR(--LEFT(SUBSTITUTE(BQ811,"x","х"),FIND("х",SUBSTITUTE(BQ811,"x","х"))-1),3)&gt;3,Каталог!$S$9,1)))</f>
      </c>
      <c r="BX811" s="129">
        <f>IF(AY811&lt;&gt;1,0,MAX(0,IFERROR(--LEFT(SUBSTITUTE(BQ811,"x","х"),FIND("х",SUBSTITUTE(BQ811,"x","х"))-1),3)-3*BW811))</f>
      </c>
      <c r="BY811" s="129">
        <f>IF(R811="","",IFERROR(VLOOKUP(R811,УГО_спр,2,FALSE),IFERROR(VLOOKUP(AL811,УГО_спр,2,FALSE),IFERROR(VLOOKUP(LEFT(AL811,2),УГО_спр,2,FALSE),""))))</f>
      </c>
    </row>
    <row r="812" spans="1:64" x14ac:dyDescent="0.3">
      <c r="A812" s="135">
        <f>IF(Разбивка_по_щитам!F812=0,"",Разбивка_по_щитам!F812)</f>
        <v/>
      </c>
      <c r="B812" s="138">
        <f>IF(A812="","",Разбивка_по_щитам!C812)</f>
        <v/>
      </c>
      <c r="C812" s="138">
        <f t="shared" si="502"/>
        <v/>
      </c>
      <c r="D812" s="266"/>
      <c r="E812" s="266"/>
      <c r="F812" s="267"/>
      <c r="G812" s="145">
        <f t="shared" si="503"/>
        <v/>
      </c>
      <c r="H812" s="145">
        <f t="shared" si="504"/>
        <v/>
      </c>
      <c r="I812" s="266"/>
      <c r="J812" s="267"/>
      <c r="K812" s="267"/>
      <c r="L812" s="266"/>
      <c r="M812" s="147">
        <f t="shared" si="505"/>
        <v/>
      </c>
      <c r="N812" s="267"/>
      <c r="O812" s="147">
        <f t="shared" si="506"/>
        <v/>
      </c>
      <c r="P812" s="268">
        <f>IF(AY812=1,"XT"&amp;COUNTIFS($A$3:A812,A812,$AY$3:AY812,1),"")</f>
        <v/>
      </c>
      <c r="Q812" s="152">
        <f>IF(R812="","",IFERROR(SUBSTITUTE(Разбивка_по_щитам!P812,CHAR(10)," "),""))</f>
        <v/>
      </c>
      <c r="R812" s="153">
        <f>IF(OR(Разбивка_по_щитам!H812="",Разбивка_по_щитам!H812=0),"",Разбивка_по_щитам!H812)</f>
        <v/>
      </c>
      <c r="S812" s="154">
        <f>IF(R812="","",IFERROR(Разбивка_по_щитам!J812&amp;"",""))</f>
        <v/>
      </c>
      <c r="T812" s="155">
        <f>IF(R812="","",IFERROR(--Разбивка_по_щитам!L812,""))</f>
        <v/>
      </c>
      <c r="U812" s="155">
        <f>IF(R812="","",IFERROR(--Разбивка_по_щитам!K812,""))</f>
        <v/>
      </c>
      <c r="V812" s="138">
        <f>IF(R812="","",IFERROR(IF(Разбивка_по_щитам!M812=0,"",Разбивка_по_щитам!M812),""))</f>
        <v/>
      </c>
      <c r="W812" s="156">
        <f t="shared" si="507"/>
        <v/>
      </c>
      <c r="X812" s="157">
        <f t="shared" si="508"/>
        <v/>
      </c>
      <c r="Y812" s="266"/>
      <c r="Z812" s="158">
        <f t="shared" si="509"/>
        <v/>
      </c>
      <c r="AA812" s="160">
        <f t="shared" si="510"/>
        <v/>
      </c>
      <c r="AB812" s="160">
        <f>IF(R812="","",IFERROR(LOOKUP(INDEX(Справочная!$I$4:$I$19,MATCH(VLOOKUP(R812,Исходные_данные,22,FALSE),Справочная!$J$4:$J$19,0)+1),{6,10,16,20,25,32,40,50,63,80,100,125}),""))</f>
        <v/>
      </c>
      <c r="AC812" s="160">
        <f t="shared" si="511"/>
        <v/>
      </c>
      <c r="AD812" s="161">
        <f t="shared" si="512"/>
        <v/>
      </c>
      <c r="AE812" s="161">
        <f>IF(AND(R812="",G812=""),"",_xlfn.TEXTJOIN("; ",TRUE,IF(AND(R812&lt;&gt;"",V812=""),"нет фазы",""),IF(AND(R812&lt;&gt;"",N(T812)=0),"нет мощности",""),IF(AND(P812&lt;&gt;"",COUNTIFS($A$3:$A$1000,A812,$P$3:$P$1000,P812)&gt;1),"дубль клеммы "&amp;P812,""),IF(AND(W812&lt;&gt;"",W812&lt;&gt;"ok"),W812,""),IF(X812&lt;&gt;"",X812,""),IF(AND(ISNUMBER(SEARCH("(5х",Q812)),N(AK812)=1),"5 жил на 1 фазе",""),IF(AND(AL812="R",E812&lt;&gt;"",N(AS812)=0),"розетка без 30 мА",""),IF(IFERROR(_xlfn.NUMBERVALUE(MID(Q812,FIND("-",Q812,FIND("L=",Q812))+1,FIND("%",Q812)-FIND("-",Q812,FIND("L=",Q812))-1),","),0)&gt;4,"потери &gt; 4 %","")))</f>
      </c>
      <c r="AF812" s="129">
        <f>IF(E812&lt;&gt;"",COUNTIFS($A$3:A812,A812,$E$3:E812,"?*"),IF(OR(A812&lt;&gt;A811,Y812="вручную"),"",AF811))</f>
        <v/>
      </c>
      <c r="AG812" s="129">
        <f t="shared" si="513"/>
        <v/>
      </c>
      <c r="AH812" s="129">
        <f t="shared" si="514"/>
        <v/>
      </c>
      <c r="AI812" s="129">
        <f t="shared" si="515"/>
        <v/>
      </c>
      <c r="AJ812" s="129">
        <f t="shared" si="516"/>
        <v/>
      </c>
      <c r="AK812" s="129">
        <f t="shared" si="517"/>
        <v/>
      </c>
      <c r="AL812" s="129">
        <f t="shared" si="518"/>
        <v/>
      </c>
      <c r="AM812" s="129">
        <f t="shared" si="519"/>
      </c>
      <c r="AN812" s="129">
        <f t="shared" si="520"/>
      </c>
      <c r="AO812" s="129">
        <f t="shared" si="521"/>
        <v/>
      </c>
      <c r="AP812" s="129">
        <f t="shared" si="522"/>
        <v/>
      </c>
      <c r="AQ812" s="129">
        <f t="shared" si="523"/>
        <v/>
      </c>
      <c r="AR812" s="129">
        <f t="shared" si="524"/>
        <v/>
      </c>
      <c r="AS812" s="129">
        <f t="shared" si="525"/>
        <v/>
      </c>
      <c r="AT812" s="129">
        <f t="shared" si="526"/>
        <v/>
      </c>
      <c r="AU812" s="129">
        <f t="shared" si="527"/>
        <v/>
      </c>
      <c r="AV812" s="129">
        <f t="shared" si="528"/>
        <v/>
      </c>
      <c r="AW812" s="129">
        <f>IF(AV812="","",AV812&amp;"."&amp;COUNTIFS($A$3:A812,A812,$AV$3:AV812,AV812))</f>
        <v/>
      </c>
      <c r="AX812" s="129">
        <f t="shared" si="529"/>
        <v/>
      </c>
      <c r="AY812" s="129">
        <f>IF(N812="б/к",0,IF(OR(ISNUMBER(SEARCH("L=",Разбивка_по_щитам!P812)),N812="+",N812="="),1,0))</f>
      </c>
      <c r="AZ812" s="129">
        <f t="shared" si="530"/>
        <v/>
      </c>
      <c r="BA812" s="129">
        <f t="shared" si="531"/>
      </c>
      <c r="BB812" s="129">
        <f t="shared" si="532"/>
      </c>
      <c r="BD812" s="129">
        <f t="shared" si="533"/>
      </c>
      <c r="BE812" s="129">
        <f t="shared" si="534"/>
      </c>
      <c r="BF812" s="129">
        <f t="shared" si="535"/>
      </c>
      <c r="BG812" s="129">
        <f t="shared" si="536"/>
        <v/>
      </c>
      <c r="BH812" s="129">
        <f t="shared" si="537"/>
        <v/>
      </c>
      <c r="BI812" s="129">
        <f t="shared" si="538"/>
        <v/>
      </c>
      <c r="BJ812" s="129">
        <f t="shared" si="539"/>
        <v/>
      </c>
      <c r="BK812" s="129">
        <f>IF(R812="","",IF(OR(BY812="",BY812=0),"BOX",IFERROR(IF(VLOOKUP(BY812,УГО_блоки,3,FALSE)&amp;""&lt;&gt;"",VLOOKUP(BY812,УГО_блоки,3,FALSE),VLOOKUP(BY812,УГО_блоки,2,FALSE)),BY812)))</f>
      </c>
      <c r="BL812" s="129">
        <f t="shared" si="541"/>
      </c>
      <c r="BM812" s="129">
        <f>IF(H812="","",IF(COUNTIF($H$3:H812,H812)=1,MAX($BM$2:BM811)+1,""))</f>
      </c>
      <c r="BN812" s="129">
        <f>IF(I812="","",IF(COUNTIF($I$3:I812,I812)+COUNTIF($J$2:J811,I812)+COUNTIF($K$2:K811,I812)=1,MAX($BN$2:BP811)+1,""))</f>
      </c>
      <c r="BO812" s="129">
        <f>IF(J812="","",IF(COUNTIF($I$3:I812,J812)+COUNTIF($J$3:J812,J812)+COUNTIF($K$2:K811,J812)=1,MAX($BN$2:BP811,BN812)+1,""))</f>
      </c>
      <c r="BP812" s="129">
        <f>IF(K812="","",IF(COUNTIF($I$3:I812,K812)+COUNTIF($J$3:J812,K812)+COUNTIF($K$3:K812,K812)=1,MAX($BN$2:BP811,BN812,BO812)+1,""))</f>
      </c>
      <c r="BQ812" s="129">
        <f>IF(AY812=1,IFERROR(MID(Q812,FIND(" (",Q812)+2,FIND(")",Q812,FIND(" (",Q812))-FIND(" (",Q812)-2),"?"),"")</f>
      </c>
      <c r="BR812" s="129">
        <f>IF(BQ812="","",IF(COUNTIF($BQ$3:BQ812,BQ812)=1,MAX($BR$2:BR811)+1,""))</f>
      </c>
      <c r="BS812" s="129">
        <f>IF(AW812="","",COUNTIF($AW$3:AW812,"?*"))</f>
      </c>
      <c r="BT812" s="129">
        <f>IF(OR(AW812="",AI812=""),"",IF(COUNTIFS($AW$3:AW812,"?*",$AI$3:AI812,AI812)=1,MAX($BT$2:BT811)+1,""))</f>
      </c>
      <c r="BU812" s="129">
        <f>IF(AE812="",0,IF(OR(ISNUMBER(SEARCH("дубль",AE812)),ISNUMBER(SEARCH("ПЕРЕГРУЗ",AE812)),ISNUMBER(SEARCH("ЗАЩИЩ",AE812)),ISNUMBER(SEARCH("КАНАЛ",AE812)),ISNUMBER(SEARCH("без 30",AE812))),2,1))</f>
      </c>
      <c r="BV812" s="129">
        <f>IF(R812="","",COUNTIF($R$3:R812,"?*"))</f>
      </c>
      <c r="BW812" s="129">
        <f>IF(AY812&lt;&gt;1,0,IF(MAX(IFERROR(--VLOOKUP(R812,УГО_спр,5,FALSE),0),IFERROR(--VLOOKUP(AL812,УГО_спр,5,FALSE),0),IFERROR(--VLOOKUP(LEFT(AL812,2),УГО_спр,5,FALSE),0))&gt;0,MAX(IFERROR(--VLOOKUP(R812,УГО_спр,5,FALSE),0),IFERROR(--VLOOKUP(AL812,УГО_спр,5,FALSE),0),IFERROR(--VLOOKUP(LEFT(AL812,2),УГО_спр,5,FALSE),0)),IF(IFERROR(--LEFT(SUBSTITUTE(BQ812,"x","х"),FIND("х",SUBSTITUTE(BQ812,"x","х"))-1),3)&gt;3,Каталог!$S$9,1)))</f>
      </c>
      <c r="BX812" s="129">
        <f>IF(AY812&lt;&gt;1,0,MAX(0,IFERROR(--LEFT(SUBSTITUTE(BQ812,"x","х"),FIND("х",SUBSTITUTE(BQ812,"x","х"))-1),3)-3*BW812))</f>
      </c>
      <c r="BY812" s="129">
        <f>IF(R812="","",IFERROR(VLOOKUP(R812,УГО_спр,2,FALSE),IFERROR(VLOOKUP(AL812,УГО_спр,2,FALSE),IFERROR(VLOOKUP(LEFT(AL812,2),УГО_спр,2,FALSE),""))))</f>
      </c>
    </row>
    <row r="813" spans="1:64" x14ac:dyDescent="0.3">
      <c r="A813" s="135">
        <f>IF(Разбивка_по_щитам!F813=0,"",Разбивка_по_щитам!F813)</f>
        <v/>
      </c>
      <c r="B813" s="138">
        <f>IF(A813="","",Разбивка_по_щитам!C813)</f>
        <v/>
      </c>
      <c r="C813" s="138">
        <f t="shared" si="502"/>
        <v/>
      </c>
      <c r="D813" s="266"/>
      <c r="E813" s="266"/>
      <c r="F813" s="267"/>
      <c r="G813" s="145">
        <f t="shared" si="503"/>
        <v/>
      </c>
      <c r="H813" s="145">
        <f t="shared" si="504"/>
        <v/>
      </c>
      <c r="I813" s="266"/>
      <c r="J813" s="267"/>
      <c r="K813" s="267"/>
      <c r="L813" s="266"/>
      <c r="M813" s="147">
        <f t="shared" si="505"/>
        <v/>
      </c>
      <c r="N813" s="267"/>
      <c r="O813" s="147">
        <f t="shared" si="506"/>
        <v/>
      </c>
      <c r="P813" s="268">
        <f>IF(AY813=1,"XT"&amp;COUNTIFS($A$3:A813,A813,$AY$3:AY813,1),"")</f>
        <v/>
      </c>
      <c r="Q813" s="152">
        <f>IF(R813="","",IFERROR(SUBSTITUTE(Разбивка_по_щитам!P813,CHAR(10)," "),""))</f>
        <v/>
      </c>
      <c r="R813" s="153">
        <f>IF(OR(Разбивка_по_щитам!H813="",Разбивка_по_щитам!H813=0),"",Разбивка_по_щитам!H813)</f>
        <v/>
      </c>
      <c r="S813" s="154">
        <f>IF(R813="","",IFERROR(Разбивка_по_щитам!J813&amp;"",""))</f>
        <v/>
      </c>
      <c r="T813" s="155">
        <f>IF(R813="","",IFERROR(--Разбивка_по_щитам!L813,""))</f>
        <v/>
      </c>
      <c r="U813" s="155">
        <f>IF(R813="","",IFERROR(--Разбивка_по_щитам!K813,""))</f>
        <v/>
      </c>
      <c r="V813" s="138">
        <f>IF(R813="","",IFERROR(IF(Разбивка_по_щитам!M813=0,"",Разбивка_по_щитам!M813),""))</f>
        <v/>
      </c>
      <c r="W813" s="156">
        <f t="shared" si="507"/>
        <v/>
      </c>
      <c r="X813" s="157">
        <f t="shared" si="508"/>
        <v/>
      </c>
      <c r="Y813" s="266"/>
      <c r="Z813" s="158">
        <f t="shared" si="509"/>
        <v/>
      </c>
      <c r="AA813" s="160">
        <f t="shared" si="510"/>
        <v/>
      </c>
      <c r="AB813" s="160">
        <f>IF(R813="","",IFERROR(LOOKUP(INDEX(Справочная!$I$4:$I$19,MATCH(VLOOKUP(R813,Исходные_данные,22,FALSE),Справочная!$J$4:$J$19,0)+1),{6,10,16,20,25,32,40,50,63,80,100,125}),""))</f>
        <v/>
      </c>
      <c r="AC813" s="160">
        <f t="shared" si="511"/>
        <v/>
      </c>
      <c r="AD813" s="161">
        <f t="shared" si="512"/>
        <v/>
      </c>
      <c r="AE813" s="161">
        <f>IF(AND(R813="",G813=""),"",_xlfn.TEXTJOIN("; ",TRUE,IF(AND(R813&lt;&gt;"",V813=""),"нет фазы",""),IF(AND(R813&lt;&gt;"",N(T813)=0),"нет мощности",""),IF(AND(P813&lt;&gt;"",COUNTIFS($A$3:$A$1000,A813,$P$3:$P$1000,P813)&gt;1),"дубль клеммы "&amp;P813,""),IF(AND(W813&lt;&gt;"",W813&lt;&gt;"ok"),W813,""),IF(X813&lt;&gt;"",X813,""),IF(AND(ISNUMBER(SEARCH("(5х",Q813)),N(AK813)=1),"5 жил на 1 фазе",""),IF(AND(AL813="R",E813&lt;&gt;"",N(AS813)=0),"розетка без 30 мА",""),IF(IFERROR(_xlfn.NUMBERVALUE(MID(Q813,FIND("-",Q813,FIND("L=",Q813))+1,FIND("%",Q813)-FIND("-",Q813,FIND("L=",Q813))-1),","),0)&gt;4,"потери &gt; 4 %","")))</f>
      </c>
      <c r="AF813" s="129">
        <f>IF(E813&lt;&gt;"",COUNTIFS($A$3:A813,A813,$E$3:E813,"?*"),IF(OR(A813&lt;&gt;A812,Y813="вручную"),"",AF812))</f>
        <v/>
      </c>
      <c r="AG813" s="129">
        <f t="shared" si="513"/>
        <v/>
      </c>
      <c r="AH813" s="129">
        <f t="shared" si="514"/>
        <v/>
      </c>
      <c r="AI813" s="129">
        <f t="shared" si="515"/>
        <v/>
      </c>
      <c r="AJ813" s="129">
        <f t="shared" si="516"/>
        <v/>
      </c>
      <c r="AK813" s="129">
        <f t="shared" si="517"/>
        <v/>
      </c>
      <c r="AL813" s="129">
        <f t="shared" si="518"/>
        <v/>
      </c>
      <c r="AM813" s="129">
        <f t="shared" si="519"/>
      </c>
      <c r="AN813" s="129">
        <f t="shared" si="520"/>
      </c>
      <c r="AO813" s="129">
        <f t="shared" si="521"/>
        <v/>
      </c>
      <c r="AP813" s="129">
        <f t="shared" si="522"/>
        <v/>
      </c>
      <c r="AQ813" s="129">
        <f t="shared" si="523"/>
        <v/>
      </c>
      <c r="AR813" s="129">
        <f t="shared" si="524"/>
        <v/>
      </c>
      <c r="AS813" s="129">
        <f t="shared" si="525"/>
        <v/>
      </c>
      <c r="AT813" s="129">
        <f t="shared" si="526"/>
        <v/>
      </c>
      <c r="AU813" s="129">
        <f t="shared" si="527"/>
        <v/>
      </c>
      <c r="AV813" s="129">
        <f t="shared" si="528"/>
        <v/>
      </c>
      <c r="AW813" s="129">
        <f>IF(AV813="","",AV813&amp;"."&amp;COUNTIFS($A$3:A813,A813,$AV$3:AV813,AV813))</f>
        <v/>
      </c>
      <c r="AX813" s="129">
        <f t="shared" si="529"/>
        <v/>
      </c>
      <c r="AY813" s="129">
        <f>IF(N813="б/к",0,IF(OR(ISNUMBER(SEARCH("L=",Разбивка_по_щитам!P813)),N813="+",N813="="),1,0))</f>
      </c>
      <c r="AZ813" s="129">
        <f t="shared" si="530"/>
        <v/>
      </c>
      <c r="BA813" s="129">
        <f t="shared" si="531"/>
      </c>
      <c r="BB813" s="129">
        <f t="shared" si="532"/>
      </c>
      <c r="BD813" s="129">
        <f t="shared" si="533"/>
      </c>
      <c r="BE813" s="129">
        <f t="shared" si="534"/>
      </c>
      <c r="BF813" s="129">
        <f t="shared" si="535"/>
      </c>
      <c r="BG813" s="129">
        <f t="shared" si="536"/>
        <v/>
      </c>
      <c r="BH813" s="129">
        <f t="shared" si="537"/>
        <v/>
      </c>
      <c r="BI813" s="129">
        <f t="shared" si="538"/>
        <v/>
      </c>
      <c r="BJ813" s="129">
        <f t="shared" si="539"/>
        <v/>
      </c>
      <c r="BK813" s="129">
        <f>IF(R813="","",IF(OR(BY813="",BY813=0),"BOX",IFERROR(IF(VLOOKUP(BY813,УГО_блоки,3,FALSE)&amp;""&lt;&gt;"",VLOOKUP(BY813,УГО_блоки,3,FALSE),VLOOKUP(BY813,УГО_блоки,2,FALSE)),BY813)))</f>
      </c>
      <c r="BL813" s="129">
        <f t="shared" si="541"/>
      </c>
      <c r="BM813" s="129">
        <f>IF(H813="","",IF(COUNTIF($H$3:H813,H813)=1,MAX($BM$2:BM812)+1,""))</f>
      </c>
      <c r="BN813" s="129">
        <f>IF(I813="","",IF(COUNTIF($I$3:I813,I813)+COUNTIF($J$2:J812,I813)+COUNTIF($K$2:K812,I813)=1,MAX($BN$2:BP812)+1,""))</f>
      </c>
      <c r="BO813" s="129">
        <f>IF(J813="","",IF(COUNTIF($I$3:I813,J813)+COUNTIF($J$3:J813,J813)+COUNTIF($K$2:K812,J813)=1,MAX($BN$2:BP812,BN813)+1,""))</f>
      </c>
      <c r="BP813" s="129">
        <f>IF(K813="","",IF(COUNTIF($I$3:I813,K813)+COUNTIF($J$3:J813,K813)+COUNTIF($K$3:K813,K813)=1,MAX($BN$2:BP812,BN813,BO813)+1,""))</f>
      </c>
      <c r="BQ813" s="129">
        <f>IF(AY813=1,IFERROR(MID(Q813,FIND(" (",Q813)+2,FIND(")",Q813,FIND(" (",Q813))-FIND(" (",Q813)-2),"?"),"")</f>
      </c>
      <c r="BR813" s="129">
        <f>IF(BQ813="","",IF(COUNTIF($BQ$3:BQ813,BQ813)=1,MAX($BR$2:BR812)+1,""))</f>
      </c>
      <c r="BS813" s="129">
        <f>IF(AW813="","",COUNTIF($AW$3:AW813,"?*"))</f>
      </c>
      <c r="BT813" s="129">
        <f>IF(OR(AW813="",AI813=""),"",IF(COUNTIFS($AW$3:AW813,"?*",$AI$3:AI813,AI813)=1,MAX($BT$2:BT812)+1,""))</f>
      </c>
      <c r="BU813" s="129">
        <f>IF(AE813="",0,IF(OR(ISNUMBER(SEARCH("дубль",AE813)),ISNUMBER(SEARCH("ПЕРЕГРУЗ",AE813)),ISNUMBER(SEARCH("ЗАЩИЩ",AE813)),ISNUMBER(SEARCH("КАНАЛ",AE813)),ISNUMBER(SEARCH("без 30",AE813))),2,1))</f>
      </c>
      <c r="BV813" s="129">
        <f>IF(R813="","",COUNTIF($R$3:R813,"?*"))</f>
      </c>
      <c r="BW813" s="129">
        <f>IF(AY813&lt;&gt;1,0,IF(MAX(IFERROR(--VLOOKUP(R813,УГО_спр,5,FALSE),0),IFERROR(--VLOOKUP(AL813,УГО_спр,5,FALSE),0),IFERROR(--VLOOKUP(LEFT(AL813,2),УГО_спр,5,FALSE),0))&gt;0,MAX(IFERROR(--VLOOKUP(R813,УГО_спр,5,FALSE),0),IFERROR(--VLOOKUP(AL813,УГО_спр,5,FALSE),0),IFERROR(--VLOOKUP(LEFT(AL813,2),УГО_спр,5,FALSE),0)),IF(IFERROR(--LEFT(SUBSTITUTE(BQ813,"x","х"),FIND("х",SUBSTITUTE(BQ813,"x","х"))-1),3)&gt;3,Каталог!$S$9,1)))</f>
      </c>
      <c r="BX813" s="129">
        <f>IF(AY813&lt;&gt;1,0,MAX(0,IFERROR(--LEFT(SUBSTITUTE(BQ813,"x","х"),FIND("х",SUBSTITUTE(BQ813,"x","х"))-1),3)-3*BW813))</f>
      </c>
      <c r="BY813" s="129">
        <f>IF(R813="","",IFERROR(VLOOKUP(R813,УГО_спр,2,FALSE),IFERROR(VLOOKUP(AL813,УГО_спр,2,FALSE),IFERROR(VLOOKUP(LEFT(AL813,2),УГО_спр,2,FALSE),""))))</f>
      </c>
    </row>
    <row r="814" spans="1:64" x14ac:dyDescent="0.3">
      <c r="A814" s="135">
        <f>IF(Разбивка_по_щитам!F814=0,"",Разбивка_по_щитам!F814)</f>
        <v/>
      </c>
      <c r="B814" s="138">
        <f>IF(A814="","",Разбивка_по_щитам!C814)</f>
        <v/>
      </c>
      <c r="C814" s="138">
        <f t="shared" si="502"/>
        <v/>
      </c>
      <c r="D814" s="266"/>
      <c r="E814" s="266"/>
      <c r="F814" s="267"/>
      <c r="G814" s="145">
        <f t="shared" si="503"/>
        <v/>
      </c>
      <c r="H814" s="145">
        <f t="shared" si="504"/>
        <v/>
      </c>
      <c r="I814" s="266"/>
      <c r="J814" s="267"/>
      <c r="K814" s="267"/>
      <c r="L814" s="266"/>
      <c r="M814" s="147">
        <f t="shared" si="505"/>
        <v/>
      </c>
      <c r="N814" s="267"/>
      <c r="O814" s="147">
        <f t="shared" si="506"/>
        <v/>
      </c>
      <c r="P814" s="268">
        <f>IF(AY814=1,"XT"&amp;COUNTIFS($A$3:A814,A814,$AY$3:AY814,1),"")</f>
        <v/>
      </c>
      <c r="Q814" s="152">
        <f>IF(R814="","",IFERROR(SUBSTITUTE(Разбивка_по_щитам!P814,CHAR(10)," "),""))</f>
        <v/>
      </c>
      <c r="R814" s="153">
        <f>IF(OR(Разбивка_по_щитам!H814="",Разбивка_по_щитам!H814=0),"",Разбивка_по_щитам!H814)</f>
        <v/>
      </c>
      <c r="S814" s="154">
        <f>IF(R814="","",IFERROR(Разбивка_по_щитам!J814&amp;"",""))</f>
        <v/>
      </c>
      <c r="T814" s="155">
        <f>IF(R814="","",IFERROR(--Разбивка_по_щитам!L814,""))</f>
        <v/>
      </c>
      <c r="U814" s="155">
        <f>IF(R814="","",IFERROR(--Разбивка_по_щитам!K814,""))</f>
        <v/>
      </c>
      <c r="V814" s="138">
        <f>IF(R814="","",IFERROR(IF(Разбивка_по_щитам!M814=0,"",Разбивка_по_щитам!M814),""))</f>
        <v/>
      </c>
      <c r="W814" s="156">
        <f t="shared" si="507"/>
        <v/>
      </c>
      <c r="X814" s="157">
        <f t="shared" si="508"/>
        <v/>
      </c>
      <c r="Y814" s="266"/>
      <c r="Z814" s="158">
        <f t="shared" si="509"/>
        <v/>
      </c>
      <c r="AA814" s="160">
        <f t="shared" si="510"/>
        <v/>
      </c>
      <c r="AB814" s="160">
        <f>IF(R814="","",IFERROR(LOOKUP(INDEX(Справочная!$I$4:$I$19,MATCH(VLOOKUP(R814,Исходные_данные,22,FALSE),Справочная!$J$4:$J$19,0)+1),{6,10,16,20,25,32,40,50,63,80,100,125}),""))</f>
        <v/>
      </c>
      <c r="AC814" s="160">
        <f t="shared" si="511"/>
        <v/>
      </c>
      <c r="AD814" s="161">
        <f t="shared" si="512"/>
        <v/>
      </c>
      <c r="AE814" s="161">
        <f>IF(AND(R814="",G814=""),"",_xlfn.TEXTJOIN("; ",TRUE,IF(AND(R814&lt;&gt;"",V814=""),"нет фазы",""),IF(AND(R814&lt;&gt;"",N(T814)=0),"нет мощности",""),IF(AND(P814&lt;&gt;"",COUNTIFS($A$3:$A$1000,A814,$P$3:$P$1000,P814)&gt;1),"дубль клеммы "&amp;P814,""),IF(AND(W814&lt;&gt;"",W814&lt;&gt;"ok"),W814,""),IF(X814&lt;&gt;"",X814,""),IF(AND(ISNUMBER(SEARCH("(5х",Q814)),N(AK814)=1),"5 жил на 1 фазе",""),IF(AND(AL814="R",E814&lt;&gt;"",N(AS814)=0),"розетка без 30 мА",""),IF(IFERROR(_xlfn.NUMBERVALUE(MID(Q814,FIND("-",Q814,FIND("L=",Q814))+1,FIND("%",Q814)-FIND("-",Q814,FIND("L=",Q814))-1),","),0)&gt;4,"потери &gt; 4 %","")))</f>
      </c>
      <c r="AF814" s="129">
        <f>IF(E814&lt;&gt;"",COUNTIFS($A$3:A814,A814,$E$3:E814,"?*"),IF(OR(A814&lt;&gt;A813,Y814="вручную"),"",AF813))</f>
        <v/>
      </c>
      <c r="AG814" s="129">
        <f t="shared" si="513"/>
        <v/>
      </c>
      <c r="AH814" s="129">
        <f t="shared" si="514"/>
        <v/>
      </c>
      <c r="AI814" s="129">
        <f t="shared" si="515"/>
        <v/>
      </c>
      <c r="AJ814" s="129">
        <f t="shared" si="516"/>
        <v/>
      </c>
      <c r="AK814" s="129">
        <f t="shared" si="517"/>
        <v/>
      </c>
      <c r="AL814" s="129">
        <f t="shared" si="518"/>
        <v/>
      </c>
      <c r="AM814" s="129">
        <f t="shared" si="519"/>
      </c>
      <c r="AN814" s="129">
        <f t="shared" si="520"/>
      </c>
      <c r="AO814" s="129">
        <f t="shared" si="521"/>
        <v/>
      </c>
      <c r="AP814" s="129">
        <f t="shared" si="522"/>
        <v/>
      </c>
      <c r="AQ814" s="129">
        <f t="shared" si="523"/>
        <v/>
      </c>
      <c r="AR814" s="129">
        <f t="shared" si="524"/>
        <v/>
      </c>
      <c r="AS814" s="129">
        <f t="shared" si="525"/>
        <v/>
      </c>
      <c r="AT814" s="129">
        <f t="shared" si="526"/>
        <v/>
      </c>
      <c r="AU814" s="129">
        <f t="shared" si="527"/>
        <v/>
      </c>
      <c r="AV814" s="129">
        <f t="shared" si="528"/>
        <v/>
      </c>
      <c r="AW814" s="129">
        <f>IF(AV814="","",AV814&amp;"."&amp;COUNTIFS($A$3:A814,A814,$AV$3:AV814,AV814))</f>
        <v/>
      </c>
      <c r="AX814" s="129">
        <f t="shared" si="529"/>
        <v/>
      </c>
      <c r="AY814" s="129">
        <f>IF(N814="б/к",0,IF(OR(ISNUMBER(SEARCH("L=",Разбивка_по_щитам!P814)),N814="+",N814="="),1,0))</f>
      </c>
      <c r="AZ814" s="129">
        <f t="shared" si="530"/>
        <v/>
      </c>
      <c r="BA814" s="129">
        <f t="shared" si="531"/>
      </c>
      <c r="BB814" s="129">
        <f t="shared" si="532"/>
      </c>
      <c r="BD814" s="129">
        <f t="shared" si="533"/>
      </c>
      <c r="BE814" s="129">
        <f t="shared" si="534"/>
      </c>
      <c r="BF814" s="129">
        <f t="shared" si="535"/>
      </c>
      <c r="BG814" s="129">
        <f t="shared" si="536"/>
        <v/>
      </c>
      <c r="BH814" s="129">
        <f t="shared" si="537"/>
        <v/>
      </c>
      <c r="BI814" s="129">
        <f t="shared" si="538"/>
        <v/>
      </c>
      <c r="BJ814" s="129">
        <f t="shared" si="539"/>
        <v/>
      </c>
      <c r="BK814" s="129">
        <f>IF(R814="","",IF(OR(BY814="",BY814=0),"BOX",IFERROR(IF(VLOOKUP(BY814,УГО_блоки,3,FALSE)&amp;""&lt;&gt;"",VLOOKUP(BY814,УГО_блоки,3,FALSE),VLOOKUP(BY814,УГО_блоки,2,FALSE)),BY814)))</f>
      </c>
      <c r="BL814" s="129">
        <f t="shared" si="541"/>
      </c>
      <c r="BM814" s="129">
        <f>IF(H814="","",IF(COUNTIF($H$3:H814,H814)=1,MAX($BM$2:BM813)+1,""))</f>
      </c>
      <c r="BN814" s="129">
        <f>IF(I814="","",IF(COUNTIF($I$3:I814,I814)+COUNTIF($J$2:J813,I814)+COUNTIF($K$2:K813,I814)=1,MAX($BN$2:BP813)+1,""))</f>
      </c>
      <c r="BO814" s="129">
        <f>IF(J814="","",IF(COUNTIF($I$3:I814,J814)+COUNTIF($J$3:J814,J814)+COUNTIF($K$2:K813,J814)=1,MAX($BN$2:BP813,BN814)+1,""))</f>
      </c>
      <c r="BP814" s="129">
        <f>IF(K814="","",IF(COUNTIF($I$3:I814,K814)+COUNTIF($J$3:J814,K814)+COUNTIF($K$3:K814,K814)=1,MAX($BN$2:BP813,BN814,BO814)+1,""))</f>
      </c>
      <c r="BQ814" s="129">
        <f>IF(AY814=1,IFERROR(MID(Q814,FIND(" (",Q814)+2,FIND(")",Q814,FIND(" (",Q814))-FIND(" (",Q814)-2),"?"),"")</f>
      </c>
      <c r="BR814" s="129">
        <f>IF(BQ814="","",IF(COUNTIF($BQ$3:BQ814,BQ814)=1,MAX($BR$2:BR813)+1,""))</f>
      </c>
      <c r="BS814" s="129">
        <f>IF(AW814="","",COUNTIF($AW$3:AW814,"?*"))</f>
      </c>
      <c r="BT814" s="129">
        <f>IF(OR(AW814="",AI814=""),"",IF(COUNTIFS($AW$3:AW814,"?*",$AI$3:AI814,AI814)=1,MAX($BT$2:BT813)+1,""))</f>
      </c>
      <c r="BU814" s="129">
        <f>IF(AE814="",0,IF(OR(ISNUMBER(SEARCH("дубль",AE814)),ISNUMBER(SEARCH("ПЕРЕГРУЗ",AE814)),ISNUMBER(SEARCH("ЗАЩИЩ",AE814)),ISNUMBER(SEARCH("КАНАЛ",AE814)),ISNUMBER(SEARCH("без 30",AE814))),2,1))</f>
      </c>
      <c r="BV814" s="129">
        <f>IF(R814="","",COUNTIF($R$3:R814,"?*"))</f>
      </c>
      <c r="BW814" s="129">
        <f>IF(AY814&lt;&gt;1,0,IF(MAX(IFERROR(--VLOOKUP(R814,УГО_спр,5,FALSE),0),IFERROR(--VLOOKUP(AL814,УГО_спр,5,FALSE),0),IFERROR(--VLOOKUP(LEFT(AL814,2),УГО_спр,5,FALSE),0))&gt;0,MAX(IFERROR(--VLOOKUP(R814,УГО_спр,5,FALSE),0),IFERROR(--VLOOKUP(AL814,УГО_спр,5,FALSE),0),IFERROR(--VLOOKUP(LEFT(AL814,2),УГО_спр,5,FALSE),0)),IF(IFERROR(--LEFT(SUBSTITUTE(BQ814,"x","х"),FIND("х",SUBSTITUTE(BQ814,"x","х"))-1),3)&gt;3,Каталог!$S$9,1)))</f>
      </c>
      <c r="BX814" s="129">
        <f>IF(AY814&lt;&gt;1,0,MAX(0,IFERROR(--LEFT(SUBSTITUTE(BQ814,"x","х"),FIND("х",SUBSTITUTE(BQ814,"x","х"))-1),3)-3*BW814))</f>
      </c>
      <c r="BY814" s="129">
        <f>IF(R814="","",IFERROR(VLOOKUP(R814,УГО_спр,2,FALSE),IFERROR(VLOOKUP(AL814,УГО_спр,2,FALSE),IFERROR(VLOOKUP(LEFT(AL814,2),УГО_спр,2,FALSE),""))))</f>
      </c>
    </row>
    <row r="815" spans="1:64" x14ac:dyDescent="0.3">
      <c r="A815" s="135">
        <f>IF(Разбивка_по_щитам!F815=0,"",Разбивка_по_щитам!F815)</f>
        <v/>
      </c>
      <c r="B815" s="138">
        <f>IF(A815="","",Разбивка_по_щитам!C815)</f>
        <v/>
      </c>
      <c r="C815" s="138">
        <f t="shared" si="502"/>
        <v/>
      </c>
      <c r="D815" s="266"/>
      <c r="E815" s="266"/>
      <c r="F815" s="267"/>
      <c r="G815" s="145">
        <f t="shared" si="503"/>
        <v/>
      </c>
      <c r="H815" s="145">
        <f t="shared" si="504"/>
        <v/>
      </c>
      <c r="I815" s="266"/>
      <c r="J815" s="267"/>
      <c r="K815" s="267"/>
      <c r="L815" s="266"/>
      <c r="M815" s="147">
        <f t="shared" si="505"/>
        <v/>
      </c>
      <c r="N815" s="267"/>
      <c r="O815" s="147">
        <f t="shared" si="506"/>
        <v/>
      </c>
      <c r="P815" s="268">
        <f>IF(AY815=1,"XT"&amp;COUNTIFS($A$3:A815,A815,$AY$3:AY815,1),"")</f>
        <v/>
      </c>
      <c r="Q815" s="152">
        <f>IF(R815="","",IFERROR(SUBSTITUTE(Разбивка_по_щитам!P815,CHAR(10)," "),""))</f>
        <v/>
      </c>
      <c r="R815" s="153">
        <f>IF(OR(Разбивка_по_щитам!H815="",Разбивка_по_щитам!H815=0),"",Разбивка_по_щитам!H815)</f>
        <v/>
      </c>
      <c r="S815" s="154">
        <f>IF(R815="","",IFERROR(Разбивка_по_щитам!J815&amp;"",""))</f>
        <v/>
      </c>
      <c r="T815" s="155">
        <f>IF(R815="","",IFERROR(--Разбивка_по_щитам!L815,""))</f>
        <v/>
      </c>
      <c r="U815" s="155">
        <f>IF(R815="","",IFERROR(--Разбивка_по_щитам!K815,""))</f>
        <v/>
      </c>
      <c r="V815" s="138">
        <f>IF(R815="","",IFERROR(IF(Разбивка_по_щитам!M815=0,"",Разбивка_по_щитам!M815),""))</f>
        <v/>
      </c>
      <c r="W815" s="156">
        <f t="shared" si="507"/>
        <v/>
      </c>
      <c r="X815" s="157">
        <f t="shared" si="508"/>
        <v/>
      </c>
      <c r="Y815" s="266"/>
      <c r="Z815" s="158">
        <f t="shared" si="509"/>
        <v/>
      </c>
      <c r="AA815" s="160">
        <f t="shared" si="510"/>
        <v/>
      </c>
      <c r="AB815" s="160">
        <f>IF(R815="","",IFERROR(LOOKUP(INDEX(Справочная!$I$4:$I$19,MATCH(VLOOKUP(R815,Исходные_данные,22,FALSE),Справочная!$J$4:$J$19,0)+1),{6,10,16,20,25,32,40,50,63,80,100,125}),""))</f>
        <v/>
      </c>
      <c r="AC815" s="160">
        <f t="shared" si="511"/>
        <v/>
      </c>
      <c r="AD815" s="161">
        <f t="shared" si="512"/>
        <v/>
      </c>
      <c r="AE815" s="161">
        <f>IF(AND(R815="",G815=""),"",_xlfn.TEXTJOIN("; ",TRUE,IF(AND(R815&lt;&gt;"",V815=""),"нет фазы",""),IF(AND(R815&lt;&gt;"",N(T815)=0),"нет мощности",""),IF(AND(P815&lt;&gt;"",COUNTIFS($A$3:$A$1000,A815,$P$3:$P$1000,P815)&gt;1),"дубль клеммы "&amp;P815,""),IF(AND(W815&lt;&gt;"",W815&lt;&gt;"ok"),W815,""),IF(X815&lt;&gt;"",X815,""),IF(AND(ISNUMBER(SEARCH("(5х",Q815)),N(AK815)=1),"5 жил на 1 фазе",""),IF(AND(AL815="R",E815&lt;&gt;"",N(AS815)=0),"розетка без 30 мА",""),IF(IFERROR(_xlfn.NUMBERVALUE(MID(Q815,FIND("-",Q815,FIND("L=",Q815))+1,FIND("%",Q815)-FIND("-",Q815,FIND("L=",Q815))-1),","),0)&gt;4,"потери &gt; 4 %","")))</f>
      </c>
      <c r="AF815" s="129">
        <f>IF(E815&lt;&gt;"",COUNTIFS($A$3:A815,A815,$E$3:E815,"?*"),IF(OR(A815&lt;&gt;A814,Y815="вручную"),"",AF814))</f>
        <v/>
      </c>
      <c r="AG815" s="129">
        <f t="shared" si="513"/>
        <v/>
      </c>
      <c r="AH815" s="129">
        <f t="shared" si="514"/>
        <v/>
      </c>
      <c r="AI815" s="129">
        <f t="shared" si="515"/>
        <v/>
      </c>
      <c r="AJ815" s="129">
        <f t="shared" si="516"/>
        <v/>
      </c>
      <c r="AK815" s="129">
        <f t="shared" si="517"/>
        <v/>
      </c>
      <c r="AL815" s="129">
        <f t="shared" si="518"/>
        <v/>
      </c>
      <c r="AM815" s="129">
        <f t="shared" si="519"/>
      </c>
      <c r="AN815" s="129">
        <f t="shared" si="520"/>
      </c>
      <c r="AO815" s="129">
        <f t="shared" si="521"/>
        <v/>
      </c>
      <c r="AP815" s="129">
        <f t="shared" si="522"/>
        <v/>
      </c>
      <c r="AQ815" s="129">
        <f t="shared" si="523"/>
        <v/>
      </c>
      <c r="AR815" s="129">
        <f t="shared" si="524"/>
        <v/>
      </c>
      <c r="AS815" s="129">
        <f t="shared" si="525"/>
        <v/>
      </c>
      <c r="AT815" s="129">
        <f t="shared" si="526"/>
        <v/>
      </c>
      <c r="AU815" s="129">
        <f t="shared" si="527"/>
        <v/>
      </c>
      <c r="AV815" s="129">
        <f t="shared" si="528"/>
        <v/>
      </c>
      <c r="AW815" s="129">
        <f>IF(AV815="","",AV815&amp;"."&amp;COUNTIFS($A$3:A815,A815,$AV$3:AV815,AV815))</f>
        <v/>
      </c>
      <c r="AX815" s="129">
        <f t="shared" si="529"/>
        <v/>
      </c>
      <c r="AY815" s="129">
        <f>IF(N815="б/к",0,IF(OR(ISNUMBER(SEARCH("L=",Разбивка_по_щитам!P815)),N815="+",N815="="),1,0))</f>
      </c>
      <c r="AZ815" s="129">
        <f t="shared" si="530"/>
        <v/>
      </c>
      <c r="BA815" s="129">
        <f t="shared" si="531"/>
      </c>
      <c r="BB815" s="129">
        <f t="shared" si="532"/>
      </c>
      <c r="BD815" s="129">
        <f t="shared" si="533"/>
      </c>
      <c r="BE815" s="129">
        <f t="shared" si="534"/>
      </c>
      <c r="BF815" s="129">
        <f t="shared" si="535"/>
      </c>
      <c r="BG815" s="129">
        <f t="shared" si="536"/>
        <v/>
      </c>
      <c r="BH815" s="129">
        <f t="shared" si="537"/>
        <v/>
      </c>
      <c r="BI815" s="129">
        <f t="shared" si="538"/>
        <v/>
      </c>
      <c r="BJ815" s="129">
        <f t="shared" si="539"/>
        <v/>
      </c>
      <c r="BK815" s="129">
        <f>IF(R815="","",IF(OR(BY815="",BY815=0),"BOX",IFERROR(IF(VLOOKUP(BY815,УГО_блоки,3,FALSE)&amp;""&lt;&gt;"",VLOOKUP(BY815,УГО_блоки,3,FALSE),VLOOKUP(BY815,УГО_блоки,2,FALSE)),BY815)))</f>
      </c>
      <c r="BL815" s="129">
        <f t="shared" si="541"/>
      </c>
      <c r="BM815" s="129">
        <f>IF(H815="","",IF(COUNTIF($H$3:H815,H815)=1,MAX($BM$2:BM814)+1,""))</f>
      </c>
      <c r="BN815" s="129">
        <f>IF(I815="","",IF(COUNTIF($I$3:I815,I815)+COUNTIF($J$2:J814,I815)+COUNTIF($K$2:K814,I815)=1,MAX($BN$2:BP814)+1,""))</f>
      </c>
      <c r="BO815" s="129">
        <f>IF(J815="","",IF(COUNTIF($I$3:I815,J815)+COUNTIF($J$3:J815,J815)+COUNTIF($K$2:K814,J815)=1,MAX($BN$2:BP814,BN815)+1,""))</f>
      </c>
      <c r="BP815" s="129">
        <f>IF(K815="","",IF(COUNTIF($I$3:I815,K815)+COUNTIF($J$3:J815,K815)+COUNTIF($K$3:K815,K815)=1,MAX($BN$2:BP814,BN815,BO815)+1,""))</f>
      </c>
      <c r="BQ815" s="129">
        <f>IF(AY815=1,IFERROR(MID(Q815,FIND(" (",Q815)+2,FIND(")",Q815,FIND(" (",Q815))-FIND(" (",Q815)-2),"?"),"")</f>
      </c>
      <c r="BR815" s="129">
        <f>IF(BQ815="","",IF(COUNTIF($BQ$3:BQ815,BQ815)=1,MAX($BR$2:BR814)+1,""))</f>
      </c>
      <c r="BS815" s="129">
        <f>IF(AW815="","",COUNTIF($AW$3:AW815,"?*"))</f>
      </c>
      <c r="BT815" s="129">
        <f>IF(OR(AW815="",AI815=""),"",IF(COUNTIFS($AW$3:AW815,"?*",$AI$3:AI815,AI815)=1,MAX($BT$2:BT814)+1,""))</f>
      </c>
      <c r="BU815" s="129">
        <f>IF(AE815="",0,IF(OR(ISNUMBER(SEARCH("дубль",AE815)),ISNUMBER(SEARCH("ПЕРЕГРУЗ",AE815)),ISNUMBER(SEARCH("ЗАЩИЩ",AE815)),ISNUMBER(SEARCH("КАНАЛ",AE815)),ISNUMBER(SEARCH("без 30",AE815))),2,1))</f>
      </c>
      <c r="BV815" s="129">
        <f>IF(R815="","",COUNTIF($R$3:R815,"?*"))</f>
      </c>
      <c r="BW815" s="129">
        <f>IF(AY815&lt;&gt;1,0,IF(MAX(IFERROR(--VLOOKUP(R815,УГО_спр,5,FALSE),0),IFERROR(--VLOOKUP(AL815,УГО_спр,5,FALSE),0),IFERROR(--VLOOKUP(LEFT(AL815,2),УГО_спр,5,FALSE),0))&gt;0,MAX(IFERROR(--VLOOKUP(R815,УГО_спр,5,FALSE),0),IFERROR(--VLOOKUP(AL815,УГО_спр,5,FALSE),0),IFERROR(--VLOOKUP(LEFT(AL815,2),УГО_спр,5,FALSE),0)),IF(IFERROR(--LEFT(SUBSTITUTE(BQ815,"x","х"),FIND("х",SUBSTITUTE(BQ815,"x","х"))-1),3)&gt;3,Каталог!$S$9,1)))</f>
      </c>
      <c r="BX815" s="129">
        <f>IF(AY815&lt;&gt;1,0,MAX(0,IFERROR(--LEFT(SUBSTITUTE(BQ815,"x","х"),FIND("х",SUBSTITUTE(BQ815,"x","х"))-1),3)-3*BW815))</f>
      </c>
      <c r="BY815" s="129">
        <f>IF(R815="","",IFERROR(VLOOKUP(R815,УГО_спр,2,FALSE),IFERROR(VLOOKUP(AL815,УГО_спр,2,FALSE),IFERROR(VLOOKUP(LEFT(AL815,2),УГО_спр,2,FALSE),""))))</f>
      </c>
    </row>
    <row r="816" spans="1:64" x14ac:dyDescent="0.3">
      <c r="A816" s="135">
        <f>IF(Разбивка_по_щитам!F816=0,"",Разбивка_по_щитам!F816)</f>
        <v/>
      </c>
      <c r="B816" s="138">
        <f>IF(A816="","",Разбивка_по_щитам!C816)</f>
        <v/>
      </c>
      <c r="C816" s="138">
        <f t="shared" si="502"/>
        <v/>
      </c>
      <c r="D816" s="266"/>
      <c r="E816" s="266"/>
      <c r="F816" s="267"/>
      <c r="G816" s="145">
        <f t="shared" si="503"/>
        <v/>
      </c>
      <c r="H816" s="145">
        <f t="shared" si="504"/>
        <v/>
      </c>
      <c r="I816" s="266"/>
      <c r="J816" s="267"/>
      <c r="K816" s="267"/>
      <c r="L816" s="266"/>
      <c r="M816" s="147">
        <f t="shared" si="505"/>
        <v/>
      </c>
      <c r="N816" s="267"/>
      <c r="O816" s="147">
        <f t="shared" si="506"/>
        <v/>
      </c>
      <c r="P816" s="268">
        <f>IF(AY816=1,"XT"&amp;COUNTIFS($A$3:A816,A816,$AY$3:AY816,1),"")</f>
        <v/>
      </c>
      <c r="Q816" s="152">
        <f>IF(R816="","",IFERROR(SUBSTITUTE(Разбивка_по_щитам!P816,CHAR(10)," "),""))</f>
        <v/>
      </c>
      <c r="R816" s="153">
        <f>IF(OR(Разбивка_по_щитам!H816="",Разбивка_по_щитам!H816=0),"",Разбивка_по_щитам!H816)</f>
        <v/>
      </c>
      <c r="S816" s="154">
        <f>IF(R816="","",IFERROR(Разбивка_по_щитам!J816&amp;"",""))</f>
        <v/>
      </c>
      <c r="T816" s="155">
        <f>IF(R816="","",IFERROR(--Разбивка_по_щитам!L816,""))</f>
        <v/>
      </c>
      <c r="U816" s="155">
        <f>IF(R816="","",IFERROR(--Разбивка_по_щитам!K816,""))</f>
        <v/>
      </c>
      <c r="V816" s="138">
        <f>IF(R816="","",IFERROR(IF(Разбивка_по_щитам!M816=0,"",Разбивка_по_щитам!M816),""))</f>
        <v/>
      </c>
      <c r="W816" s="156">
        <f t="shared" si="507"/>
        <v/>
      </c>
      <c r="X816" s="157">
        <f t="shared" si="508"/>
        <v/>
      </c>
      <c r="Y816" s="266"/>
      <c r="Z816" s="158">
        <f t="shared" si="509"/>
        <v/>
      </c>
      <c r="AA816" s="160">
        <f t="shared" si="510"/>
        <v/>
      </c>
      <c r="AB816" s="160">
        <f>IF(R816="","",IFERROR(LOOKUP(INDEX(Справочная!$I$4:$I$19,MATCH(VLOOKUP(R816,Исходные_данные,22,FALSE),Справочная!$J$4:$J$19,0)+1),{6,10,16,20,25,32,40,50,63,80,100,125}),""))</f>
        <v/>
      </c>
      <c r="AC816" s="160">
        <f t="shared" si="511"/>
        <v/>
      </c>
      <c r="AD816" s="161">
        <f t="shared" si="512"/>
        <v/>
      </c>
      <c r="AE816" s="161">
        <f>IF(AND(R816="",G816=""),"",_xlfn.TEXTJOIN("; ",TRUE,IF(AND(R816&lt;&gt;"",V816=""),"нет фазы",""),IF(AND(R816&lt;&gt;"",N(T816)=0),"нет мощности",""),IF(AND(P816&lt;&gt;"",COUNTIFS($A$3:$A$1000,A816,$P$3:$P$1000,P816)&gt;1),"дубль клеммы "&amp;P816,""),IF(AND(W816&lt;&gt;"",W816&lt;&gt;"ok"),W816,""),IF(X816&lt;&gt;"",X816,""),IF(AND(ISNUMBER(SEARCH("(5х",Q816)),N(AK816)=1),"5 жил на 1 фазе",""),IF(AND(AL816="R",E816&lt;&gt;"",N(AS816)=0),"розетка без 30 мА",""),IF(IFERROR(_xlfn.NUMBERVALUE(MID(Q816,FIND("-",Q816,FIND("L=",Q816))+1,FIND("%",Q816)-FIND("-",Q816,FIND("L=",Q816))-1),","),0)&gt;4,"потери &gt; 4 %","")))</f>
      </c>
      <c r="AF816" s="129">
        <f>IF(E816&lt;&gt;"",COUNTIFS($A$3:A816,A816,$E$3:E816,"?*"),IF(OR(A816&lt;&gt;A815,Y816="вручную"),"",AF815))</f>
        <v/>
      </c>
      <c r="AG816" s="129">
        <f t="shared" si="513"/>
        <v/>
      </c>
      <c r="AH816" s="129">
        <f t="shared" si="514"/>
        <v/>
      </c>
      <c r="AI816" s="129">
        <f t="shared" si="515"/>
        <v/>
      </c>
      <c r="AJ816" s="129">
        <f t="shared" si="516"/>
        <v/>
      </c>
      <c r="AK816" s="129">
        <f t="shared" si="517"/>
        <v/>
      </c>
      <c r="AL816" s="129">
        <f t="shared" si="518"/>
        <v/>
      </c>
      <c r="AM816" s="129">
        <f t="shared" si="519"/>
      </c>
      <c r="AN816" s="129">
        <f t="shared" si="520"/>
      </c>
      <c r="AO816" s="129">
        <f t="shared" si="521"/>
        <v/>
      </c>
      <c r="AP816" s="129">
        <f t="shared" si="522"/>
        <v/>
      </c>
      <c r="AQ816" s="129">
        <f t="shared" si="523"/>
        <v/>
      </c>
      <c r="AR816" s="129">
        <f t="shared" si="524"/>
        <v/>
      </c>
      <c r="AS816" s="129">
        <f t="shared" si="525"/>
        <v/>
      </c>
      <c r="AT816" s="129">
        <f t="shared" si="526"/>
        <v/>
      </c>
      <c r="AU816" s="129">
        <f t="shared" si="527"/>
        <v/>
      </c>
      <c r="AV816" s="129">
        <f t="shared" si="528"/>
        <v/>
      </c>
      <c r="AW816" s="129">
        <f>IF(AV816="","",AV816&amp;"."&amp;COUNTIFS($A$3:A816,A816,$AV$3:AV816,AV816))</f>
        <v/>
      </c>
      <c r="AX816" s="129">
        <f t="shared" si="529"/>
        <v/>
      </c>
      <c r="AY816" s="129">
        <f>IF(N816="б/к",0,IF(OR(ISNUMBER(SEARCH("L=",Разбивка_по_щитам!P816)),N816="+",N816="="),1,0))</f>
      </c>
      <c r="AZ816" s="129">
        <f t="shared" si="530"/>
        <v/>
      </c>
      <c r="BA816" s="129">
        <f t="shared" si="531"/>
      </c>
      <c r="BB816" s="129">
        <f t="shared" si="532"/>
      </c>
      <c r="BD816" s="129">
        <f t="shared" si="533"/>
      </c>
      <c r="BE816" s="129">
        <f t="shared" si="534"/>
      </c>
      <c r="BF816" s="129">
        <f t="shared" si="535"/>
      </c>
      <c r="BG816" s="129">
        <f t="shared" si="536"/>
        <v/>
      </c>
      <c r="BH816" s="129">
        <f t="shared" si="537"/>
        <v/>
      </c>
      <c r="BI816" s="129">
        <f t="shared" si="538"/>
        <v/>
      </c>
      <c r="BJ816" s="129">
        <f t="shared" si="539"/>
        <v/>
      </c>
      <c r="BK816" s="129">
        <f>IF(R816="","",IF(OR(BY816="",BY816=0),"BOX",IFERROR(IF(VLOOKUP(BY816,УГО_блоки,3,FALSE)&amp;""&lt;&gt;"",VLOOKUP(BY816,УГО_блоки,3,FALSE),VLOOKUP(BY816,УГО_блоки,2,FALSE)),BY816)))</f>
      </c>
      <c r="BL816" s="129">
        <f t="shared" si="541"/>
      </c>
      <c r="BM816" s="129">
        <f>IF(H816="","",IF(COUNTIF($H$3:H816,H816)=1,MAX($BM$2:BM815)+1,""))</f>
      </c>
      <c r="BN816" s="129">
        <f>IF(I816="","",IF(COUNTIF($I$3:I816,I816)+COUNTIF($J$2:J815,I816)+COUNTIF($K$2:K815,I816)=1,MAX($BN$2:BP815)+1,""))</f>
      </c>
      <c r="BO816" s="129">
        <f>IF(J816="","",IF(COUNTIF($I$3:I816,J816)+COUNTIF($J$3:J816,J816)+COUNTIF($K$2:K815,J816)=1,MAX($BN$2:BP815,BN816)+1,""))</f>
      </c>
      <c r="BP816" s="129">
        <f>IF(K816="","",IF(COUNTIF($I$3:I816,K816)+COUNTIF($J$3:J816,K816)+COUNTIF($K$3:K816,K816)=1,MAX($BN$2:BP815,BN816,BO816)+1,""))</f>
      </c>
      <c r="BQ816" s="129">
        <f>IF(AY816=1,IFERROR(MID(Q816,FIND(" (",Q816)+2,FIND(")",Q816,FIND(" (",Q816))-FIND(" (",Q816)-2),"?"),"")</f>
      </c>
      <c r="BR816" s="129">
        <f>IF(BQ816="","",IF(COUNTIF($BQ$3:BQ816,BQ816)=1,MAX($BR$2:BR815)+1,""))</f>
      </c>
      <c r="BS816" s="129">
        <f>IF(AW816="","",COUNTIF($AW$3:AW816,"?*"))</f>
      </c>
      <c r="BT816" s="129">
        <f>IF(OR(AW816="",AI816=""),"",IF(COUNTIFS($AW$3:AW816,"?*",$AI$3:AI816,AI816)=1,MAX($BT$2:BT815)+1,""))</f>
      </c>
      <c r="BU816" s="129">
        <f>IF(AE816="",0,IF(OR(ISNUMBER(SEARCH("дубль",AE816)),ISNUMBER(SEARCH("ПЕРЕГРУЗ",AE816)),ISNUMBER(SEARCH("ЗАЩИЩ",AE816)),ISNUMBER(SEARCH("КАНАЛ",AE816)),ISNUMBER(SEARCH("без 30",AE816))),2,1))</f>
      </c>
      <c r="BV816" s="129">
        <f>IF(R816="","",COUNTIF($R$3:R816,"?*"))</f>
      </c>
      <c r="BW816" s="129">
        <f>IF(AY816&lt;&gt;1,0,IF(MAX(IFERROR(--VLOOKUP(R816,УГО_спр,5,FALSE),0),IFERROR(--VLOOKUP(AL816,УГО_спр,5,FALSE),0),IFERROR(--VLOOKUP(LEFT(AL816,2),УГО_спр,5,FALSE),0))&gt;0,MAX(IFERROR(--VLOOKUP(R816,УГО_спр,5,FALSE),0),IFERROR(--VLOOKUP(AL816,УГО_спр,5,FALSE),0),IFERROR(--VLOOKUP(LEFT(AL816,2),УГО_спр,5,FALSE),0)),IF(IFERROR(--LEFT(SUBSTITUTE(BQ816,"x","х"),FIND("х",SUBSTITUTE(BQ816,"x","х"))-1),3)&gt;3,Каталог!$S$9,1)))</f>
      </c>
      <c r="BX816" s="129">
        <f>IF(AY816&lt;&gt;1,0,MAX(0,IFERROR(--LEFT(SUBSTITUTE(BQ816,"x","х"),FIND("х",SUBSTITUTE(BQ816,"x","х"))-1),3)-3*BW816))</f>
      </c>
      <c r="BY816" s="129">
        <f>IF(R816="","",IFERROR(VLOOKUP(R816,УГО_спр,2,FALSE),IFERROR(VLOOKUP(AL816,УГО_спр,2,FALSE),IFERROR(VLOOKUP(LEFT(AL816,2),УГО_спр,2,FALSE),""))))</f>
      </c>
    </row>
    <row r="817" spans="1:64" x14ac:dyDescent="0.3">
      <c r="A817" s="135">
        <f>IF(Разбивка_по_щитам!F817=0,"",Разбивка_по_щитам!F817)</f>
        <v/>
      </c>
      <c r="B817" s="138">
        <f>IF(A817="","",Разбивка_по_щитам!C817)</f>
        <v/>
      </c>
      <c r="C817" s="138">
        <f t="shared" si="502"/>
        <v/>
      </c>
      <c r="D817" s="266"/>
      <c r="E817" s="266"/>
      <c r="F817" s="267"/>
      <c r="G817" s="145">
        <f t="shared" si="503"/>
        <v/>
      </c>
      <c r="H817" s="145">
        <f t="shared" si="504"/>
        <v/>
      </c>
      <c r="I817" s="266"/>
      <c r="J817" s="267"/>
      <c r="K817" s="267"/>
      <c r="L817" s="266"/>
      <c r="M817" s="147">
        <f t="shared" si="505"/>
        <v/>
      </c>
      <c r="N817" s="267"/>
      <c r="O817" s="147">
        <f t="shared" si="506"/>
        <v/>
      </c>
      <c r="P817" s="268">
        <f>IF(AY817=1,"XT"&amp;COUNTIFS($A$3:A817,A817,$AY$3:AY817,1),"")</f>
        <v/>
      </c>
      <c r="Q817" s="152">
        <f>IF(R817="","",IFERROR(SUBSTITUTE(Разбивка_по_щитам!P817,CHAR(10)," "),""))</f>
        <v/>
      </c>
      <c r="R817" s="153">
        <f>IF(OR(Разбивка_по_щитам!H817="",Разбивка_по_щитам!H817=0),"",Разбивка_по_щитам!H817)</f>
        <v/>
      </c>
      <c r="S817" s="154">
        <f>IF(R817="","",IFERROR(Разбивка_по_щитам!J817&amp;"",""))</f>
        <v/>
      </c>
      <c r="T817" s="155">
        <f>IF(R817="","",IFERROR(--Разбивка_по_щитам!L817,""))</f>
        <v/>
      </c>
      <c r="U817" s="155">
        <f>IF(R817="","",IFERROR(--Разбивка_по_щитам!K817,""))</f>
        <v/>
      </c>
      <c r="V817" s="138">
        <f>IF(R817="","",IFERROR(IF(Разбивка_по_щитам!M817=0,"",Разбивка_по_щитам!M817),""))</f>
        <v/>
      </c>
      <c r="W817" s="156">
        <f t="shared" si="507"/>
        <v/>
      </c>
      <c r="X817" s="157">
        <f t="shared" si="508"/>
        <v/>
      </c>
      <c r="Y817" s="266"/>
      <c r="Z817" s="158">
        <f t="shared" si="509"/>
        <v/>
      </c>
      <c r="AA817" s="160">
        <f t="shared" si="510"/>
        <v/>
      </c>
      <c r="AB817" s="160">
        <f>IF(R817="","",IFERROR(LOOKUP(INDEX(Справочная!$I$4:$I$19,MATCH(VLOOKUP(R817,Исходные_данные,22,FALSE),Справочная!$J$4:$J$19,0)+1),{6,10,16,20,25,32,40,50,63,80,100,125}),""))</f>
        <v/>
      </c>
      <c r="AC817" s="160">
        <f t="shared" si="511"/>
        <v/>
      </c>
      <c r="AD817" s="161">
        <f t="shared" si="512"/>
        <v/>
      </c>
      <c r="AE817" s="161">
        <f>IF(AND(R817="",G817=""),"",_xlfn.TEXTJOIN("; ",TRUE,IF(AND(R817&lt;&gt;"",V817=""),"нет фазы",""),IF(AND(R817&lt;&gt;"",N(T817)=0),"нет мощности",""),IF(AND(P817&lt;&gt;"",COUNTIFS($A$3:$A$1000,A817,$P$3:$P$1000,P817)&gt;1),"дубль клеммы "&amp;P817,""),IF(AND(W817&lt;&gt;"",W817&lt;&gt;"ok"),W817,""),IF(X817&lt;&gt;"",X817,""),IF(AND(ISNUMBER(SEARCH("(5х",Q817)),N(AK817)=1),"5 жил на 1 фазе",""),IF(AND(AL817="R",E817&lt;&gt;"",N(AS817)=0),"розетка без 30 мА",""),IF(IFERROR(_xlfn.NUMBERVALUE(MID(Q817,FIND("-",Q817,FIND("L=",Q817))+1,FIND("%",Q817)-FIND("-",Q817,FIND("L=",Q817))-1),","),0)&gt;4,"потери &gt; 4 %","")))</f>
      </c>
      <c r="AF817" s="129">
        <f>IF(E817&lt;&gt;"",COUNTIFS($A$3:A817,A817,$E$3:E817,"?*"),IF(OR(A817&lt;&gt;A816,Y817="вручную"),"",AF816))</f>
        <v/>
      </c>
      <c r="AG817" s="129">
        <f t="shared" si="513"/>
        <v/>
      </c>
      <c r="AH817" s="129">
        <f t="shared" si="514"/>
        <v/>
      </c>
      <c r="AI817" s="129">
        <f t="shared" si="515"/>
        <v/>
      </c>
      <c r="AJ817" s="129">
        <f t="shared" si="516"/>
        <v/>
      </c>
      <c r="AK817" s="129">
        <f t="shared" si="517"/>
        <v/>
      </c>
      <c r="AL817" s="129">
        <f t="shared" si="518"/>
        <v/>
      </c>
      <c r="AM817" s="129">
        <f t="shared" si="519"/>
      </c>
      <c r="AN817" s="129">
        <f t="shared" si="520"/>
      </c>
      <c r="AO817" s="129">
        <f t="shared" si="521"/>
        <v/>
      </c>
      <c r="AP817" s="129">
        <f t="shared" si="522"/>
        <v/>
      </c>
      <c r="AQ817" s="129">
        <f t="shared" si="523"/>
        <v/>
      </c>
      <c r="AR817" s="129">
        <f t="shared" si="524"/>
        <v/>
      </c>
      <c r="AS817" s="129">
        <f t="shared" si="525"/>
        <v/>
      </c>
      <c r="AT817" s="129">
        <f t="shared" si="526"/>
        <v/>
      </c>
      <c r="AU817" s="129">
        <f t="shared" si="527"/>
        <v/>
      </c>
      <c r="AV817" s="129">
        <f t="shared" si="528"/>
        <v/>
      </c>
      <c r="AW817" s="129">
        <f>IF(AV817="","",AV817&amp;"."&amp;COUNTIFS($A$3:A817,A817,$AV$3:AV817,AV817))</f>
        <v/>
      </c>
      <c r="AX817" s="129">
        <f t="shared" si="529"/>
        <v/>
      </c>
      <c r="AY817" s="129">
        <f>IF(N817="б/к",0,IF(OR(ISNUMBER(SEARCH("L=",Разбивка_по_щитам!P817)),N817="+",N817="="),1,0))</f>
      </c>
      <c r="AZ817" s="129">
        <f t="shared" si="530"/>
        <v/>
      </c>
      <c r="BA817" s="129">
        <f t="shared" si="531"/>
      </c>
      <c r="BB817" s="129">
        <f t="shared" si="532"/>
      </c>
      <c r="BD817" s="129">
        <f t="shared" si="533"/>
      </c>
      <c r="BE817" s="129">
        <f t="shared" si="534"/>
      </c>
      <c r="BF817" s="129">
        <f t="shared" si="535"/>
      </c>
      <c r="BG817" s="129">
        <f t="shared" si="536"/>
        <v/>
      </c>
      <c r="BH817" s="129">
        <f t="shared" si="537"/>
        <v/>
      </c>
      <c r="BI817" s="129">
        <f t="shared" si="538"/>
        <v/>
      </c>
      <c r="BJ817" s="129">
        <f t="shared" si="539"/>
        <v/>
      </c>
      <c r="BK817" s="129">
        <f>IF(R817="","",IF(OR(BY817="",BY817=0),"BOX",IFERROR(IF(VLOOKUP(BY817,УГО_блоки,3,FALSE)&amp;""&lt;&gt;"",VLOOKUP(BY817,УГО_блоки,3,FALSE),VLOOKUP(BY817,УГО_блоки,2,FALSE)),BY817)))</f>
      </c>
      <c r="BL817" s="129">
        <f t="shared" si="541"/>
      </c>
      <c r="BM817" s="129">
        <f>IF(H817="","",IF(COUNTIF($H$3:H817,H817)=1,MAX($BM$2:BM816)+1,""))</f>
      </c>
      <c r="BN817" s="129">
        <f>IF(I817="","",IF(COUNTIF($I$3:I817,I817)+COUNTIF($J$2:J816,I817)+COUNTIF($K$2:K816,I817)=1,MAX($BN$2:BP816)+1,""))</f>
      </c>
      <c r="BO817" s="129">
        <f>IF(J817="","",IF(COUNTIF($I$3:I817,J817)+COUNTIF($J$3:J817,J817)+COUNTIF($K$2:K816,J817)=1,MAX($BN$2:BP816,BN817)+1,""))</f>
      </c>
      <c r="BP817" s="129">
        <f>IF(K817="","",IF(COUNTIF($I$3:I817,K817)+COUNTIF($J$3:J817,K817)+COUNTIF($K$3:K817,K817)=1,MAX($BN$2:BP816,BN817,BO817)+1,""))</f>
      </c>
      <c r="BQ817" s="129">
        <f>IF(AY817=1,IFERROR(MID(Q817,FIND(" (",Q817)+2,FIND(")",Q817,FIND(" (",Q817))-FIND(" (",Q817)-2),"?"),"")</f>
      </c>
      <c r="BR817" s="129">
        <f>IF(BQ817="","",IF(COUNTIF($BQ$3:BQ817,BQ817)=1,MAX($BR$2:BR816)+1,""))</f>
      </c>
      <c r="BS817" s="129">
        <f>IF(AW817="","",COUNTIF($AW$3:AW817,"?*"))</f>
      </c>
      <c r="BT817" s="129">
        <f>IF(OR(AW817="",AI817=""),"",IF(COUNTIFS($AW$3:AW817,"?*",$AI$3:AI817,AI817)=1,MAX($BT$2:BT816)+1,""))</f>
      </c>
      <c r="BU817" s="129">
        <f>IF(AE817="",0,IF(OR(ISNUMBER(SEARCH("дубль",AE817)),ISNUMBER(SEARCH("ПЕРЕГРУЗ",AE817)),ISNUMBER(SEARCH("ЗАЩИЩ",AE817)),ISNUMBER(SEARCH("КАНАЛ",AE817)),ISNUMBER(SEARCH("без 30",AE817))),2,1))</f>
      </c>
      <c r="BV817" s="129">
        <f>IF(R817="","",COUNTIF($R$3:R817,"?*"))</f>
      </c>
      <c r="BW817" s="129">
        <f>IF(AY817&lt;&gt;1,0,IF(MAX(IFERROR(--VLOOKUP(R817,УГО_спр,5,FALSE),0),IFERROR(--VLOOKUP(AL817,УГО_спр,5,FALSE),0),IFERROR(--VLOOKUP(LEFT(AL817,2),УГО_спр,5,FALSE),0))&gt;0,MAX(IFERROR(--VLOOKUP(R817,УГО_спр,5,FALSE),0),IFERROR(--VLOOKUP(AL817,УГО_спр,5,FALSE),0),IFERROR(--VLOOKUP(LEFT(AL817,2),УГО_спр,5,FALSE),0)),IF(IFERROR(--LEFT(SUBSTITUTE(BQ817,"x","х"),FIND("х",SUBSTITUTE(BQ817,"x","х"))-1),3)&gt;3,Каталог!$S$9,1)))</f>
      </c>
      <c r="BX817" s="129">
        <f>IF(AY817&lt;&gt;1,0,MAX(0,IFERROR(--LEFT(SUBSTITUTE(BQ817,"x","х"),FIND("х",SUBSTITUTE(BQ817,"x","х"))-1),3)-3*BW817))</f>
      </c>
      <c r="BY817" s="129">
        <f>IF(R817="","",IFERROR(VLOOKUP(R817,УГО_спр,2,FALSE),IFERROR(VLOOKUP(AL817,УГО_спр,2,FALSE),IFERROR(VLOOKUP(LEFT(AL817,2),УГО_спр,2,FALSE),""))))</f>
      </c>
    </row>
    <row r="818" spans="1:64" x14ac:dyDescent="0.3">
      <c r="A818" s="135">
        <f>IF(Разбивка_по_щитам!F818=0,"",Разбивка_по_щитам!F818)</f>
        <v/>
      </c>
      <c r="B818" s="138">
        <f>IF(A818="","",Разбивка_по_щитам!C818)</f>
        <v/>
      </c>
      <c r="C818" s="138">
        <f t="shared" si="502"/>
        <v/>
      </c>
      <c r="D818" s="266"/>
      <c r="E818" s="266"/>
      <c r="F818" s="267"/>
      <c r="G818" s="145">
        <f t="shared" si="503"/>
        <v/>
      </c>
      <c r="H818" s="145">
        <f t="shared" si="504"/>
        <v/>
      </c>
      <c r="I818" s="266"/>
      <c r="J818" s="267"/>
      <c r="K818" s="267"/>
      <c r="L818" s="266"/>
      <c r="M818" s="147">
        <f t="shared" si="505"/>
        <v/>
      </c>
      <c r="N818" s="267"/>
      <c r="O818" s="147">
        <f t="shared" si="506"/>
        <v/>
      </c>
      <c r="P818" s="268">
        <f>IF(AY818=1,"XT"&amp;COUNTIFS($A$3:A818,A818,$AY$3:AY818,1),"")</f>
        <v/>
      </c>
      <c r="Q818" s="152">
        <f>IF(R818="","",IFERROR(SUBSTITUTE(Разбивка_по_щитам!P818,CHAR(10)," "),""))</f>
        <v/>
      </c>
      <c r="R818" s="153">
        <f>IF(OR(Разбивка_по_щитам!H818="",Разбивка_по_щитам!H818=0),"",Разбивка_по_щитам!H818)</f>
        <v/>
      </c>
      <c r="S818" s="154">
        <f>IF(R818="","",IFERROR(Разбивка_по_щитам!J818&amp;"",""))</f>
        <v/>
      </c>
      <c r="T818" s="155">
        <f>IF(R818="","",IFERROR(--Разбивка_по_щитам!L818,""))</f>
        <v/>
      </c>
      <c r="U818" s="155">
        <f>IF(R818="","",IFERROR(--Разбивка_по_щитам!K818,""))</f>
        <v/>
      </c>
      <c r="V818" s="138">
        <f>IF(R818="","",IFERROR(IF(Разбивка_по_щитам!M818=0,"",Разбивка_по_щитам!M818),""))</f>
        <v/>
      </c>
      <c r="W818" s="156">
        <f t="shared" si="507"/>
        <v/>
      </c>
      <c r="X818" s="157">
        <f t="shared" si="508"/>
        <v/>
      </c>
      <c r="Y818" s="266"/>
      <c r="Z818" s="158">
        <f t="shared" si="509"/>
        <v/>
      </c>
      <c r="AA818" s="160">
        <f t="shared" si="510"/>
        <v/>
      </c>
      <c r="AB818" s="160">
        <f>IF(R818="","",IFERROR(LOOKUP(INDEX(Справочная!$I$4:$I$19,MATCH(VLOOKUP(R818,Исходные_данные,22,FALSE),Справочная!$J$4:$J$19,0)+1),{6,10,16,20,25,32,40,50,63,80,100,125}),""))</f>
        <v/>
      </c>
      <c r="AC818" s="160">
        <f t="shared" si="511"/>
        <v/>
      </c>
      <c r="AD818" s="161">
        <f t="shared" si="512"/>
        <v/>
      </c>
      <c r="AE818" s="161">
        <f>IF(AND(R818="",G818=""),"",_xlfn.TEXTJOIN("; ",TRUE,IF(AND(R818&lt;&gt;"",V818=""),"нет фазы",""),IF(AND(R818&lt;&gt;"",N(T818)=0),"нет мощности",""),IF(AND(P818&lt;&gt;"",COUNTIFS($A$3:$A$1000,A818,$P$3:$P$1000,P818)&gt;1),"дубль клеммы "&amp;P818,""),IF(AND(W818&lt;&gt;"",W818&lt;&gt;"ok"),W818,""),IF(X818&lt;&gt;"",X818,""),IF(AND(ISNUMBER(SEARCH("(5х",Q818)),N(AK818)=1),"5 жил на 1 фазе",""),IF(AND(AL818="R",E818&lt;&gt;"",N(AS818)=0),"розетка без 30 мА",""),IF(IFERROR(_xlfn.NUMBERVALUE(MID(Q818,FIND("-",Q818,FIND("L=",Q818))+1,FIND("%",Q818)-FIND("-",Q818,FIND("L=",Q818))-1),","),0)&gt;4,"потери &gt; 4 %","")))</f>
      </c>
      <c r="AF818" s="129">
        <f>IF(E818&lt;&gt;"",COUNTIFS($A$3:A818,A818,$E$3:E818,"?*"),IF(OR(A818&lt;&gt;A817,Y818="вручную"),"",AF817))</f>
        <v/>
      </c>
      <c r="AG818" s="129">
        <f t="shared" si="513"/>
        <v/>
      </c>
      <c r="AH818" s="129">
        <f t="shared" si="514"/>
        <v/>
      </c>
      <c r="AI818" s="129">
        <f t="shared" si="515"/>
        <v/>
      </c>
      <c r="AJ818" s="129">
        <f t="shared" si="516"/>
        <v/>
      </c>
      <c r="AK818" s="129">
        <f t="shared" si="517"/>
        <v/>
      </c>
      <c r="AL818" s="129">
        <f t="shared" si="518"/>
        <v/>
      </c>
      <c r="AM818" s="129">
        <f t="shared" si="519"/>
      </c>
      <c r="AN818" s="129">
        <f t="shared" si="520"/>
      </c>
      <c r="AO818" s="129">
        <f t="shared" si="521"/>
        <v/>
      </c>
      <c r="AP818" s="129">
        <f t="shared" si="522"/>
        <v/>
      </c>
      <c r="AQ818" s="129">
        <f t="shared" si="523"/>
        <v/>
      </c>
      <c r="AR818" s="129">
        <f t="shared" si="524"/>
        <v/>
      </c>
      <c r="AS818" s="129">
        <f t="shared" si="525"/>
        <v/>
      </c>
      <c r="AT818" s="129">
        <f t="shared" si="526"/>
        <v/>
      </c>
      <c r="AU818" s="129">
        <f t="shared" si="527"/>
        <v/>
      </c>
      <c r="AV818" s="129">
        <f t="shared" si="528"/>
        <v/>
      </c>
      <c r="AW818" s="129">
        <f>IF(AV818="","",AV818&amp;"."&amp;COUNTIFS($A$3:A818,A818,$AV$3:AV818,AV818))</f>
        <v/>
      </c>
      <c r="AX818" s="129">
        <f t="shared" si="529"/>
        <v/>
      </c>
      <c r="AY818" s="129">
        <f>IF(N818="б/к",0,IF(OR(ISNUMBER(SEARCH("L=",Разбивка_по_щитам!P818)),N818="+",N818="="),1,0))</f>
      </c>
      <c r="AZ818" s="129">
        <f t="shared" si="530"/>
        <v/>
      </c>
      <c r="BA818" s="129">
        <f t="shared" si="531"/>
      </c>
      <c r="BB818" s="129">
        <f t="shared" si="532"/>
      </c>
      <c r="BD818" s="129">
        <f t="shared" si="533"/>
      </c>
      <c r="BE818" s="129">
        <f t="shared" si="534"/>
      </c>
      <c r="BF818" s="129">
        <f t="shared" si="535"/>
      </c>
      <c r="BG818" s="129">
        <f t="shared" si="536"/>
        <v/>
      </c>
      <c r="BH818" s="129">
        <f t="shared" si="537"/>
        <v/>
      </c>
      <c r="BI818" s="129">
        <f t="shared" si="538"/>
        <v/>
      </c>
      <c r="BJ818" s="129">
        <f t="shared" si="539"/>
        <v/>
      </c>
      <c r="BK818" s="129">
        <f>IF(R818="","",IF(OR(BY818="",BY818=0),"BOX",IFERROR(IF(VLOOKUP(BY818,УГО_блоки,3,FALSE)&amp;""&lt;&gt;"",VLOOKUP(BY818,УГО_блоки,3,FALSE),VLOOKUP(BY818,УГО_блоки,2,FALSE)),BY818)))</f>
      </c>
      <c r="BL818" s="129">
        <f t="shared" si="541"/>
      </c>
      <c r="BM818" s="129">
        <f>IF(H818="","",IF(COUNTIF($H$3:H818,H818)=1,MAX($BM$2:BM817)+1,""))</f>
      </c>
      <c r="BN818" s="129">
        <f>IF(I818="","",IF(COUNTIF($I$3:I818,I818)+COUNTIF($J$2:J817,I818)+COUNTIF($K$2:K817,I818)=1,MAX($BN$2:BP817)+1,""))</f>
      </c>
      <c r="BO818" s="129">
        <f>IF(J818="","",IF(COUNTIF($I$3:I818,J818)+COUNTIF($J$3:J818,J818)+COUNTIF($K$2:K817,J818)=1,MAX($BN$2:BP817,BN818)+1,""))</f>
      </c>
      <c r="BP818" s="129">
        <f>IF(K818="","",IF(COUNTIF($I$3:I818,K818)+COUNTIF($J$3:J818,K818)+COUNTIF($K$3:K818,K818)=1,MAX($BN$2:BP817,BN818,BO818)+1,""))</f>
      </c>
      <c r="BQ818" s="129">
        <f>IF(AY818=1,IFERROR(MID(Q818,FIND(" (",Q818)+2,FIND(")",Q818,FIND(" (",Q818))-FIND(" (",Q818)-2),"?"),"")</f>
      </c>
      <c r="BR818" s="129">
        <f>IF(BQ818="","",IF(COUNTIF($BQ$3:BQ818,BQ818)=1,MAX($BR$2:BR817)+1,""))</f>
      </c>
      <c r="BS818" s="129">
        <f>IF(AW818="","",COUNTIF($AW$3:AW818,"?*"))</f>
      </c>
      <c r="BT818" s="129">
        <f>IF(OR(AW818="",AI818=""),"",IF(COUNTIFS($AW$3:AW818,"?*",$AI$3:AI818,AI818)=1,MAX($BT$2:BT817)+1,""))</f>
      </c>
      <c r="BU818" s="129">
        <f>IF(AE818="",0,IF(OR(ISNUMBER(SEARCH("дубль",AE818)),ISNUMBER(SEARCH("ПЕРЕГРУЗ",AE818)),ISNUMBER(SEARCH("ЗАЩИЩ",AE818)),ISNUMBER(SEARCH("КАНАЛ",AE818)),ISNUMBER(SEARCH("без 30",AE818))),2,1))</f>
      </c>
      <c r="BV818" s="129">
        <f>IF(R818="","",COUNTIF($R$3:R818,"?*"))</f>
      </c>
      <c r="BW818" s="129">
        <f>IF(AY818&lt;&gt;1,0,IF(MAX(IFERROR(--VLOOKUP(R818,УГО_спр,5,FALSE),0),IFERROR(--VLOOKUP(AL818,УГО_спр,5,FALSE),0),IFERROR(--VLOOKUP(LEFT(AL818,2),УГО_спр,5,FALSE),0))&gt;0,MAX(IFERROR(--VLOOKUP(R818,УГО_спр,5,FALSE),0),IFERROR(--VLOOKUP(AL818,УГО_спр,5,FALSE),0),IFERROR(--VLOOKUP(LEFT(AL818,2),УГО_спр,5,FALSE),0)),IF(IFERROR(--LEFT(SUBSTITUTE(BQ818,"x","х"),FIND("х",SUBSTITUTE(BQ818,"x","х"))-1),3)&gt;3,Каталог!$S$9,1)))</f>
      </c>
      <c r="BX818" s="129">
        <f>IF(AY818&lt;&gt;1,0,MAX(0,IFERROR(--LEFT(SUBSTITUTE(BQ818,"x","х"),FIND("х",SUBSTITUTE(BQ818,"x","х"))-1),3)-3*BW818))</f>
      </c>
      <c r="BY818" s="129">
        <f>IF(R818="","",IFERROR(VLOOKUP(R818,УГО_спр,2,FALSE),IFERROR(VLOOKUP(AL818,УГО_спр,2,FALSE),IFERROR(VLOOKUP(LEFT(AL818,2),УГО_спр,2,FALSE),""))))</f>
      </c>
    </row>
    <row r="819" spans="1:64" x14ac:dyDescent="0.3">
      <c r="A819" s="135">
        <f>IF(Разбивка_по_щитам!F819=0,"",Разбивка_по_щитам!F819)</f>
        <v/>
      </c>
      <c r="B819" s="138">
        <f>IF(A819="","",Разбивка_по_щитам!C819)</f>
        <v/>
      </c>
      <c r="C819" s="138">
        <f t="shared" si="502"/>
        <v/>
      </c>
      <c r="D819" s="266"/>
      <c r="E819" s="266"/>
      <c r="F819" s="267"/>
      <c r="G819" s="145">
        <f t="shared" si="503"/>
        <v/>
      </c>
      <c r="H819" s="145">
        <f t="shared" si="504"/>
        <v/>
      </c>
      <c r="I819" s="266"/>
      <c r="J819" s="267"/>
      <c r="K819" s="267"/>
      <c r="L819" s="266"/>
      <c r="M819" s="147">
        <f t="shared" si="505"/>
        <v/>
      </c>
      <c r="N819" s="267"/>
      <c r="O819" s="147">
        <f t="shared" si="506"/>
        <v/>
      </c>
      <c r="P819" s="268">
        <f>IF(AY819=1,"XT"&amp;COUNTIFS($A$3:A819,A819,$AY$3:AY819,1),"")</f>
        <v/>
      </c>
      <c r="Q819" s="152">
        <f>IF(R819="","",IFERROR(SUBSTITUTE(Разбивка_по_щитам!P819,CHAR(10)," "),""))</f>
        <v/>
      </c>
      <c r="R819" s="153">
        <f>IF(OR(Разбивка_по_щитам!H819="",Разбивка_по_щитам!H819=0),"",Разбивка_по_щитам!H819)</f>
        <v/>
      </c>
      <c r="S819" s="154">
        <f>IF(R819="","",IFERROR(Разбивка_по_щитам!J819&amp;"",""))</f>
        <v/>
      </c>
      <c r="T819" s="155">
        <f>IF(R819="","",IFERROR(--Разбивка_по_щитам!L819,""))</f>
        <v/>
      </c>
      <c r="U819" s="155">
        <f>IF(R819="","",IFERROR(--Разбивка_по_щитам!K819,""))</f>
        <v/>
      </c>
      <c r="V819" s="138">
        <f>IF(R819="","",IFERROR(IF(Разбивка_по_щитам!M819=0,"",Разбивка_по_щитам!M819),""))</f>
        <v/>
      </c>
      <c r="W819" s="156">
        <f t="shared" si="507"/>
        <v/>
      </c>
      <c r="X819" s="157">
        <f t="shared" si="508"/>
        <v/>
      </c>
      <c r="Y819" s="266"/>
      <c r="Z819" s="158">
        <f t="shared" si="509"/>
        <v/>
      </c>
      <c r="AA819" s="160">
        <f t="shared" si="510"/>
        <v/>
      </c>
      <c r="AB819" s="160">
        <f>IF(R819="","",IFERROR(LOOKUP(INDEX(Справочная!$I$4:$I$19,MATCH(VLOOKUP(R819,Исходные_данные,22,FALSE),Справочная!$J$4:$J$19,0)+1),{6,10,16,20,25,32,40,50,63,80,100,125}),""))</f>
        <v/>
      </c>
      <c r="AC819" s="160">
        <f t="shared" si="511"/>
        <v/>
      </c>
      <c r="AD819" s="161">
        <f t="shared" si="512"/>
        <v/>
      </c>
      <c r="AE819" s="161">
        <f>IF(AND(R819="",G819=""),"",_xlfn.TEXTJOIN("; ",TRUE,IF(AND(R819&lt;&gt;"",V819=""),"нет фазы",""),IF(AND(R819&lt;&gt;"",N(T819)=0),"нет мощности",""),IF(AND(P819&lt;&gt;"",COUNTIFS($A$3:$A$1000,A819,$P$3:$P$1000,P819)&gt;1),"дубль клеммы "&amp;P819,""),IF(AND(W819&lt;&gt;"",W819&lt;&gt;"ok"),W819,""),IF(X819&lt;&gt;"",X819,""),IF(AND(ISNUMBER(SEARCH("(5х",Q819)),N(AK819)=1),"5 жил на 1 фазе",""),IF(AND(AL819="R",E819&lt;&gt;"",N(AS819)=0),"розетка без 30 мА",""),IF(IFERROR(_xlfn.NUMBERVALUE(MID(Q819,FIND("-",Q819,FIND("L=",Q819))+1,FIND("%",Q819)-FIND("-",Q819,FIND("L=",Q819))-1),","),0)&gt;4,"потери &gt; 4 %","")))</f>
      </c>
      <c r="AF819" s="129">
        <f>IF(E819&lt;&gt;"",COUNTIFS($A$3:A819,A819,$E$3:E819,"?*"),IF(OR(A819&lt;&gt;A818,Y819="вручную"),"",AF818))</f>
        <v/>
      </c>
      <c r="AG819" s="129">
        <f t="shared" si="513"/>
        <v/>
      </c>
      <c r="AH819" s="129">
        <f t="shared" si="514"/>
        <v/>
      </c>
      <c r="AI819" s="129">
        <f t="shared" si="515"/>
        <v/>
      </c>
      <c r="AJ819" s="129">
        <f t="shared" si="516"/>
        <v/>
      </c>
      <c r="AK819" s="129">
        <f t="shared" si="517"/>
        <v/>
      </c>
      <c r="AL819" s="129">
        <f t="shared" si="518"/>
        <v/>
      </c>
      <c r="AM819" s="129">
        <f t="shared" si="519"/>
      </c>
      <c r="AN819" s="129">
        <f t="shared" si="520"/>
      </c>
      <c r="AO819" s="129">
        <f t="shared" si="521"/>
        <v/>
      </c>
      <c r="AP819" s="129">
        <f t="shared" si="522"/>
        <v/>
      </c>
      <c r="AQ819" s="129">
        <f t="shared" si="523"/>
        <v/>
      </c>
      <c r="AR819" s="129">
        <f t="shared" si="524"/>
        <v/>
      </c>
      <c r="AS819" s="129">
        <f t="shared" si="525"/>
        <v/>
      </c>
      <c r="AT819" s="129">
        <f t="shared" si="526"/>
        <v/>
      </c>
      <c r="AU819" s="129">
        <f t="shared" si="527"/>
        <v/>
      </c>
      <c r="AV819" s="129">
        <f t="shared" si="528"/>
        <v/>
      </c>
      <c r="AW819" s="129">
        <f>IF(AV819="","",AV819&amp;"."&amp;COUNTIFS($A$3:A819,A819,$AV$3:AV819,AV819))</f>
        <v/>
      </c>
      <c r="AX819" s="129">
        <f t="shared" si="529"/>
        <v/>
      </c>
      <c r="AY819" s="129">
        <f>IF(N819="б/к",0,IF(OR(ISNUMBER(SEARCH("L=",Разбивка_по_щитам!P819)),N819="+",N819="="),1,0))</f>
      </c>
      <c r="AZ819" s="129">
        <f t="shared" si="530"/>
        <v/>
      </c>
      <c r="BA819" s="129">
        <f t="shared" si="531"/>
      </c>
      <c r="BB819" s="129">
        <f t="shared" si="532"/>
      </c>
      <c r="BD819" s="129">
        <f t="shared" si="533"/>
      </c>
      <c r="BE819" s="129">
        <f t="shared" si="534"/>
      </c>
      <c r="BF819" s="129">
        <f t="shared" si="535"/>
      </c>
      <c r="BG819" s="129">
        <f t="shared" si="536"/>
        <v/>
      </c>
      <c r="BH819" s="129">
        <f t="shared" si="537"/>
        <v/>
      </c>
      <c r="BI819" s="129">
        <f t="shared" si="538"/>
        <v/>
      </c>
      <c r="BJ819" s="129">
        <f t="shared" si="539"/>
        <v/>
      </c>
      <c r="BK819" s="129">
        <f>IF(R819="","",IF(OR(BY819="",BY819=0),"BOX",IFERROR(IF(VLOOKUP(BY819,УГО_блоки,3,FALSE)&amp;""&lt;&gt;"",VLOOKUP(BY819,УГО_блоки,3,FALSE),VLOOKUP(BY819,УГО_блоки,2,FALSE)),BY819)))</f>
      </c>
      <c r="BL819" s="129">
        <f t="shared" si="541"/>
      </c>
      <c r="BM819" s="129">
        <f>IF(H819="","",IF(COUNTIF($H$3:H819,H819)=1,MAX($BM$2:BM818)+1,""))</f>
      </c>
      <c r="BN819" s="129">
        <f>IF(I819="","",IF(COUNTIF($I$3:I819,I819)+COUNTIF($J$2:J818,I819)+COUNTIF($K$2:K818,I819)=1,MAX($BN$2:BP818)+1,""))</f>
      </c>
      <c r="BO819" s="129">
        <f>IF(J819="","",IF(COUNTIF($I$3:I819,J819)+COUNTIF($J$3:J819,J819)+COUNTIF($K$2:K818,J819)=1,MAX($BN$2:BP818,BN819)+1,""))</f>
      </c>
      <c r="BP819" s="129">
        <f>IF(K819="","",IF(COUNTIF($I$3:I819,K819)+COUNTIF($J$3:J819,K819)+COUNTIF($K$3:K819,K819)=1,MAX($BN$2:BP818,BN819,BO819)+1,""))</f>
      </c>
      <c r="BQ819" s="129">
        <f>IF(AY819=1,IFERROR(MID(Q819,FIND(" (",Q819)+2,FIND(")",Q819,FIND(" (",Q819))-FIND(" (",Q819)-2),"?"),"")</f>
      </c>
      <c r="BR819" s="129">
        <f>IF(BQ819="","",IF(COUNTIF($BQ$3:BQ819,BQ819)=1,MAX($BR$2:BR818)+1,""))</f>
      </c>
      <c r="BS819" s="129">
        <f>IF(AW819="","",COUNTIF($AW$3:AW819,"?*"))</f>
      </c>
      <c r="BT819" s="129">
        <f>IF(OR(AW819="",AI819=""),"",IF(COUNTIFS($AW$3:AW819,"?*",$AI$3:AI819,AI819)=1,MAX($BT$2:BT818)+1,""))</f>
      </c>
      <c r="BU819" s="129">
        <f>IF(AE819="",0,IF(OR(ISNUMBER(SEARCH("дубль",AE819)),ISNUMBER(SEARCH("ПЕРЕГРУЗ",AE819)),ISNUMBER(SEARCH("ЗАЩИЩ",AE819)),ISNUMBER(SEARCH("КАНАЛ",AE819)),ISNUMBER(SEARCH("без 30",AE819))),2,1))</f>
      </c>
      <c r="BV819" s="129">
        <f>IF(R819="","",COUNTIF($R$3:R819,"?*"))</f>
      </c>
      <c r="BW819" s="129">
        <f>IF(AY819&lt;&gt;1,0,IF(MAX(IFERROR(--VLOOKUP(R819,УГО_спр,5,FALSE),0),IFERROR(--VLOOKUP(AL819,УГО_спр,5,FALSE),0),IFERROR(--VLOOKUP(LEFT(AL819,2),УГО_спр,5,FALSE),0))&gt;0,MAX(IFERROR(--VLOOKUP(R819,УГО_спр,5,FALSE),0),IFERROR(--VLOOKUP(AL819,УГО_спр,5,FALSE),0),IFERROR(--VLOOKUP(LEFT(AL819,2),УГО_спр,5,FALSE),0)),IF(IFERROR(--LEFT(SUBSTITUTE(BQ819,"x","х"),FIND("х",SUBSTITUTE(BQ819,"x","х"))-1),3)&gt;3,Каталог!$S$9,1)))</f>
      </c>
      <c r="BX819" s="129">
        <f>IF(AY819&lt;&gt;1,0,MAX(0,IFERROR(--LEFT(SUBSTITUTE(BQ819,"x","х"),FIND("х",SUBSTITUTE(BQ819,"x","х"))-1),3)-3*BW819))</f>
      </c>
      <c r="BY819" s="129">
        <f>IF(R819="","",IFERROR(VLOOKUP(R819,УГО_спр,2,FALSE),IFERROR(VLOOKUP(AL819,УГО_спр,2,FALSE),IFERROR(VLOOKUP(LEFT(AL819,2),УГО_спр,2,FALSE),""))))</f>
      </c>
    </row>
    <row r="820" spans="1:64" x14ac:dyDescent="0.3">
      <c r="A820" s="135">
        <f>IF(Разбивка_по_щитам!F820=0,"",Разбивка_по_щитам!F820)</f>
        <v/>
      </c>
      <c r="B820" s="138">
        <f>IF(A820="","",Разбивка_по_щитам!C820)</f>
        <v/>
      </c>
      <c r="C820" s="138">
        <f t="shared" si="502"/>
        <v/>
      </c>
      <c r="D820" s="266"/>
      <c r="E820" s="266"/>
      <c r="F820" s="267"/>
      <c r="G820" s="145">
        <f t="shared" si="503"/>
        <v/>
      </c>
      <c r="H820" s="145">
        <f t="shared" si="504"/>
        <v/>
      </c>
      <c r="I820" s="266"/>
      <c r="J820" s="267"/>
      <c r="K820" s="267"/>
      <c r="L820" s="266"/>
      <c r="M820" s="147">
        <f t="shared" si="505"/>
        <v/>
      </c>
      <c r="N820" s="267"/>
      <c r="O820" s="147">
        <f t="shared" si="506"/>
        <v/>
      </c>
      <c r="P820" s="268">
        <f>IF(AY820=1,"XT"&amp;COUNTIFS($A$3:A820,A820,$AY$3:AY820,1),"")</f>
        <v/>
      </c>
      <c r="Q820" s="152">
        <f>IF(R820="","",IFERROR(SUBSTITUTE(Разбивка_по_щитам!P820,CHAR(10)," "),""))</f>
        <v/>
      </c>
      <c r="R820" s="153">
        <f>IF(OR(Разбивка_по_щитам!H820="",Разбивка_по_щитам!H820=0),"",Разбивка_по_щитам!H820)</f>
        <v/>
      </c>
      <c r="S820" s="154">
        <f>IF(R820="","",IFERROR(Разбивка_по_щитам!J820&amp;"",""))</f>
        <v/>
      </c>
      <c r="T820" s="155">
        <f>IF(R820="","",IFERROR(--Разбивка_по_щитам!L820,""))</f>
        <v/>
      </c>
      <c r="U820" s="155">
        <f>IF(R820="","",IFERROR(--Разбивка_по_щитам!K820,""))</f>
        <v/>
      </c>
      <c r="V820" s="138">
        <f>IF(R820="","",IFERROR(IF(Разбивка_по_щитам!M820=0,"",Разбивка_по_щитам!M820),""))</f>
        <v/>
      </c>
      <c r="W820" s="156">
        <f t="shared" si="507"/>
        <v/>
      </c>
      <c r="X820" s="157">
        <f t="shared" si="508"/>
        <v/>
      </c>
      <c r="Y820" s="266"/>
      <c r="Z820" s="158">
        <f t="shared" si="509"/>
        <v/>
      </c>
      <c r="AA820" s="160">
        <f t="shared" si="510"/>
        <v/>
      </c>
      <c r="AB820" s="160">
        <f>IF(R820="","",IFERROR(LOOKUP(INDEX(Справочная!$I$4:$I$19,MATCH(VLOOKUP(R820,Исходные_данные,22,FALSE),Справочная!$J$4:$J$19,0)+1),{6,10,16,20,25,32,40,50,63,80,100,125}),""))</f>
        <v/>
      </c>
      <c r="AC820" s="160">
        <f t="shared" si="511"/>
        <v/>
      </c>
      <c r="AD820" s="161">
        <f t="shared" si="512"/>
        <v/>
      </c>
      <c r="AE820" s="161">
        <f>IF(AND(R820="",G820=""),"",_xlfn.TEXTJOIN("; ",TRUE,IF(AND(R820&lt;&gt;"",V820=""),"нет фазы",""),IF(AND(R820&lt;&gt;"",N(T820)=0),"нет мощности",""),IF(AND(P820&lt;&gt;"",COUNTIFS($A$3:$A$1000,A820,$P$3:$P$1000,P820)&gt;1),"дубль клеммы "&amp;P820,""),IF(AND(W820&lt;&gt;"",W820&lt;&gt;"ok"),W820,""),IF(X820&lt;&gt;"",X820,""),IF(AND(ISNUMBER(SEARCH("(5х",Q820)),N(AK820)=1),"5 жил на 1 фазе",""),IF(AND(AL820="R",E820&lt;&gt;"",N(AS820)=0),"розетка без 30 мА",""),IF(IFERROR(_xlfn.NUMBERVALUE(MID(Q820,FIND("-",Q820,FIND("L=",Q820))+1,FIND("%",Q820)-FIND("-",Q820,FIND("L=",Q820))-1),","),0)&gt;4,"потери &gt; 4 %","")))</f>
      </c>
      <c r="AF820" s="129">
        <f>IF(E820&lt;&gt;"",COUNTIFS($A$3:A820,A820,$E$3:E820,"?*"),IF(OR(A820&lt;&gt;A819,Y820="вручную"),"",AF819))</f>
        <v/>
      </c>
      <c r="AG820" s="129">
        <f t="shared" si="513"/>
        <v/>
      </c>
      <c r="AH820" s="129">
        <f t="shared" si="514"/>
        <v/>
      </c>
      <c r="AI820" s="129">
        <f t="shared" si="515"/>
        <v/>
      </c>
      <c r="AJ820" s="129">
        <f t="shared" si="516"/>
        <v/>
      </c>
      <c r="AK820" s="129">
        <f t="shared" si="517"/>
        <v/>
      </c>
      <c r="AL820" s="129">
        <f t="shared" si="518"/>
        <v/>
      </c>
      <c r="AM820" s="129">
        <f t="shared" si="519"/>
      </c>
      <c r="AN820" s="129">
        <f t="shared" si="520"/>
      </c>
      <c r="AO820" s="129">
        <f t="shared" si="521"/>
        <v/>
      </c>
      <c r="AP820" s="129">
        <f t="shared" si="522"/>
        <v/>
      </c>
      <c r="AQ820" s="129">
        <f t="shared" si="523"/>
        <v/>
      </c>
      <c r="AR820" s="129">
        <f t="shared" si="524"/>
        <v/>
      </c>
      <c r="AS820" s="129">
        <f t="shared" si="525"/>
        <v/>
      </c>
      <c r="AT820" s="129">
        <f t="shared" si="526"/>
        <v/>
      </c>
      <c r="AU820" s="129">
        <f t="shared" si="527"/>
        <v/>
      </c>
      <c r="AV820" s="129">
        <f t="shared" si="528"/>
        <v/>
      </c>
      <c r="AW820" s="129">
        <f>IF(AV820="","",AV820&amp;"."&amp;COUNTIFS($A$3:A820,A820,$AV$3:AV820,AV820))</f>
        <v/>
      </c>
      <c r="AX820" s="129">
        <f t="shared" si="529"/>
        <v/>
      </c>
      <c r="AY820" s="129">
        <f>IF(N820="б/к",0,IF(OR(ISNUMBER(SEARCH("L=",Разбивка_по_щитам!P820)),N820="+",N820="="),1,0))</f>
      </c>
      <c r="AZ820" s="129">
        <f t="shared" si="530"/>
        <v/>
      </c>
      <c r="BA820" s="129">
        <f t="shared" si="531"/>
      </c>
      <c r="BB820" s="129">
        <f t="shared" si="532"/>
      </c>
      <c r="BD820" s="129">
        <f t="shared" si="533"/>
      </c>
      <c r="BE820" s="129">
        <f t="shared" si="534"/>
      </c>
      <c r="BF820" s="129">
        <f t="shared" si="535"/>
      </c>
      <c r="BG820" s="129">
        <f t="shared" si="536"/>
        <v/>
      </c>
      <c r="BH820" s="129">
        <f t="shared" si="537"/>
        <v/>
      </c>
      <c r="BI820" s="129">
        <f t="shared" si="538"/>
        <v/>
      </c>
      <c r="BJ820" s="129">
        <f t="shared" si="539"/>
        <v/>
      </c>
      <c r="BK820" s="129">
        <f>IF(R820="","",IF(OR(BY820="",BY820=0),"BOX",IFERROR(IF(VLOOKUP(BY820,УГО_блоки,3,FALSE)&amp;""&lt;&gt;"",VLOOKUP(BY820,УГО_блоки,3,FALSE),VLOOKUP(BY820,УГО_блоки,2,FALSE)),BY820)))</f>
      </c>
      <c r="BL820" s="129">
        <f t="shared" si="541"/>
      </c>
      <c r="BM820" s="129">
        <f>IF(H820="","",IF(COUNTIF($H$3:H820,H820)=1,MAX($BM$2:BM819)+1,""))</f>
      </c>
      <c r="BN820" s="129">
        <f>IF(I820="","",IF(COUNTIF($I$3:I820,I820)+COUNTIF($J$2:J819,I820)+COUNTIF($K$2:K819,I820)=1,MAX($BN$2:BP819)+1,""))</f>
      </c>
      <c r="BO820" s="129">
        <f>IF(J820="","",IF(COUNTIF($I$3:I820,J820)+COUNTIF($J$3:J820,J820)+COUNTIF($K$2:K819,J820)=1,MAX($BN$2:BP819,BN820)+1,""))</f>
      </c>
      <c r="BP820" s="129">
        <f>IF(K820="","",IF(COUNTIF($I$3:I820,K820)+COUNTIF($J$3:J820,K820)+COUNTIF($K$3:K820,K820)=1,MAX($BN$2:BP819,BN820,BO820)+1,""))</f>
      </c>
      <c r="BQ820" s="129">
        <f>IF(AY820=1,IFERROR(MID(Q820,FIND(" (",Q820)+2,FIND(")",Q820,FIND(" (",Q820))-FIND(" (",Q820)-2),"?"),"")</f>
      </c>
      <c r="BR820" s="129">
        <f>IF(BQ820="","",IF(COUNTIF($BQ$3:BQ820,BQ820)=1,MAX($BR$2:BR819)+1,""))</f>
      </c>
      <c r="BS820" s="129">
        <f>IF(AW820="","",COUNTIF($AW$3:AW820,"?*"))</f>
      </c>
      <c r="BT820" s="129">
        <f>IF(OR(AW820="",AI820=""),"",IF(COUNTIFS($AW$3:AW820,"?*",$AI$3:AI820,AI820)=1,MAX($BT$2:BT819)+1,""))</f>
      </c>
      <c r="BU820" s="129">
        <f>IF(AE820="",0,IF(OR(ISNUMBER(SEARCH("дубль",AE820)),ISNUMBER(SEARCH("ПЕРЕГРУЗ",AE820)),ISNUMBER(SEARCH("ЗАЩИЩ",AE820)),ISNUMBER(SEARCH("КАНАЛ",AE820)),ISNUMBER(SEARCH("без 30",AE820))),2,1))</f>
      </c>
      <c r="BV820" s="129">
        <f>IF(R820="","",COUNTIF($R$3:R820,"?*"))</f>
      </c>
      <c r="BW820" s="129">
        <f>IF(AY820&lt;&gt;1,0,IF(MAX(IFERROR(--VLOOKUP(R820,УГО_спр,5,FALSE),0),IFERROR(--VLOOKUP(AL820,УГО_спр,5,FALSE),0),IFERROR(--VLOOKUP(LEFT(AL820,2),УГО_спр,5,FALSE),0))&gt;0,MAX(IFERROR(--VLOOKUP(R820,УГО_спр,5,FALSE),0),IFERROR(--VLOOKUP(AL820,УГО_спр,5,FALSE),0),IFERROR(--VLOOKUP(LEFT(AL820,2),УГО_спр,5,FALSE),0)),IF(IFERROR(--LEFT(SUBSTITUTE(BQ820,"x","х"),FIND("х",SUBSTITUTE(BQ820,"x","х"))-1),3)&gt;3,Каталог!$S$9,1)))</f>
      </c>
      <c r="BX820" s="129">
        <f>IF(AY820&lt;&gt;1,0,MAX(0,IFERROR(--LEFT(SUBSTITUTE(BQ820,"x","х"),FIND("х",SUBSTITUTE(BQ820,"x","х"))-1),3)-3*BW820))</f>
      </c>
      <c r="BY820" s="129">
        <f>IF(R820="","",IFERROR(VLOOKUP(R820,УГО_спр,2,FALSE),IFERROR(VLOOKUP(AL820,УГО_спр,2,FALSE),IFERROR(VLOOKUP(LEFT(AL820,2),УГО_спр,2,FALSE),""))))</f>
      </c>
    </row>
    <row r="821" spans="1:64" x14ac:dyDescent="0.3">
      <c r="A821" s="135">
        <f>IF(Разбивка_по_щитам!F821=0,"",Разбивка_по_щитам!F821)</f>
        <v/>
      </c>
      <c r="B821" s="138">
        <f>IF(A821="","",Разбивка_по_щитам!C821)</f>
        <v/>
      </c>
      <c r="C821" s="138">
        <f t="shared" si="502"/>
        <v/>
      </c>
      <c r="D821" s="266"/>
      <c r="E821" s="266"/>
      <c r="F821" s="267"/>
      <c r="G821" s="145">
        <f t="shared" si="503"/>
        <v/>
      </c>
      <c r="H821" s="145">
        <f t="shared" si="504"/>
        <v/>
      </c>
      <c r="I821" s="266"/>
      <c r="J821" s="267"/>
      <c r="K821" s="267"/>
      <c r="L821" s="266"/>
      <c r="M821" s="147">
        <f t="shared" si="505"/>
        <v/>
      </c>
      <c r="N821" s="267"/>
      <c r="O821" s="147">
        <f t="shared" si="506"/>
        <v/>
      </c>
      <c r="P821" s="268">
        <f>IF(AY821=1,"XT"&amp;COUNTIFS($A$3:A821,A821,$AY$3:AY821,1),"")</f>
        <v/>
      </c>
      <c r="Q821" s="152">
        <f>IF(R821="","",IFERROR(SUBSTITUTE(Разбивка_по_щитам!P821,CHAR(10)," "),""))</f>
        <v/>
      </c>
      <c r="R821" s="153">
        <f>IF(OR(Разбивка_по_щитам!H821="",Разбивка_по_щитам!H821=0),"",Разбивка_по_щитам!H821)</f>
        <v/>
      </c>
      <c r="S821" s="154">
        <f>IF(R821="","",IFERROR(Разбивка_по_щитам!J821&amp;"",""))</f>
        <v/>
      </c>
      <c r="T821" s="155">
        <f>IF(R821="","",IFERROR(--Разбивка_по_щитам!L821,""))</f>
        <v/>
      </c>
      <c r="U821" s="155">
        <f>IF(R821="","",IFERROR(--Разбивка_по_щитам!K821,""))</f>
        <v/>
      </c>
      <c r="V821" s="138">
        <f>IF(R821="","",IFERROR(IF(Разбивка_по_щитам!M821=0,"",Разбивка_по_щитам!M821),""))</f>
        <v/>
      </c>
      <c r="W821" s="156">
        <f t="shared" si="507"/>
        <v/>
      </c>
      <c r="X821" s="157">
        <f t="shared" si="508"/>
        <v/>
      </c>
      <c r="Y821" s="266"/>
      <c r="Z821" s="158">
        <f t="shared" si="509"/>
        <v/>
      </c>
      <c r="AA821" s="160">
        <f t="shared" si="510"/>
        <v/>
      </c>
      <c r="AB821" s="160">
        <f>IF(R821="","",IFERROR(LOOKUP(INDEX(Справочная!$I$4:$I$19,MATCH(VLOOKUP(R821,Исходные_данные,22,FALSE),Справочная!$J$4:$J$19,0)+1),{6,10,16,20,25,32,40,50,63,80,100,125}),""))</f>
        <v/>
      </c>
      <c r="AC821" s="160">
        <f t="shared" si="511"/>
        <v/>
      </c>
      <c r="AD821" s="161">
        <f t="shared" si="512"/>
        <v/>
      </c>
      <c r="AE821" s="161">
        <f>IF(AND(R821="",G821=""),"",_xlfn.TEXTJOIN("; ",TRUE,IF(AND(R821&lt;&gt;"",V821=""),"нет фазы",""),IF(AND(R821&lt;&gt;"",N(T821)=0),"нет мощности",""),IF(AND(P821&lt;&gt;"",COUNTIFS($A$3:$A$1000,A821,$P$3:$P$1000,P821)&gt;1),"дубль клеммы "&amp;P821,""),IF(AND(W821&lt;&gt;"",W821&lt;&gt;"ok"),W821,""),IF(X821&lt;&gt;"",X821,""),IF(AND(ISNUMBER(SEARCH("(5х",Q821)),N(AK821)=1),"5 жил на 1 фазе",""),IF(AND(AL821="R",E821&lt;&gt;"",N(AS821)=0),"розетка без 30 мА",""),IF(IFERROR(_xlfn.NUMBERVALUE(MID(Q821,FIND("-",Q821,FIND("L=",Q821))+1,FIND("%",Q821)-FIND("-",Q821,FIND("L=",Q821))-1),","),0)&gt;4,"потери &gt; 4 %","")))</f>
      </c>
      <c r="AF821" s="129">
        <f>IF(E821&lt;&gt;"",COUNTIFS($A$3:A821,A821,$E$3:E821,"?*"),IF(OR(A821&lt;&gt;A820,Y821="вручную"),"",AF820))</f>
        <v/>
      </c>
      <c r="AG821" s="129">
        <f t="shared" si="513"/>
        <v/>
      </c>
      <c r="AH821" s="129">
        <f t="shared" si="514"/>
        <v/>
      </c>
      <c r="AI821" s="129">
        <f t="shared" si="515"/>
        <v/>
      </c>
      <c r="AJ821" s="129">
        <f t="shared" si="516"/>
        <v/>
      </c>
      <c r="AK821" s="129">
        <f t="shared" si="517"/>
        <v/>
      </c>
      <c r="AL821" s="129">
        <f t="shared" si="518"/>
        <v/>
      </c>
      <c r="AM821" s="129">
        <f t="shared" si="519"/>
      </c>
      <c r="AN821" s="129">
        <f t="shared" si="520"/>
      </c>
      <c r="AO821" s="129">
        <f t="shared" si="521"/>
        <v/>
      </c>
      <c r="AP821" s="129">
        <f t="shared" si="522"/>
        <v/>
      </c>
      <c r="AQ821" s="129">
        <f t="shared" si="523"/>
        <v/>
      </c>
      <c r="AR821" s="129">
        <f t="shared" si="524"/>
        <v/>
      </c>
      <c r="AS821" s="129">
        <f t="shared" si="525"/>
        <v/>
      </c>
      <c r="AT821" s="129">
        <f t="shared" si="526"/>
        <v/>
      </c>
      <c r="AU821" s="129">
        <f t="shared" si="527"/>
        <v/>
      </c>
      <c r="AV821" s="129">
        <f t="shared" si="528"/>
        <v/>
      </c>
      <c r="AW821" s="129">
        <f>IF(AV821="","",AV821&amp;"."&amp;COUNTIFS($A$3:A821,A821,$AV$3:AV821,AV821))</f>
        <v/>
      </c>
      <c r="AX821" s="129">
        <f t="shared" si="529"/>
        <v/>
      </c>
      <c r="AY821" s="129">
        <f>IF(N821="б/к",0,IF(OR(ISNUMBER(SEARCH("L=",Разбивка_по_щитам!P821)),N821="+",N821="="),1,0))</f>
      </c>
      <c r="AZ821" s="129">
        <f t="shared" si="530"/>
        <v/>
      </c>
      <c r="BA821" s="129">
        <f t="shared" si="531"/>
      </c>
      <c r="BB821" s="129">
        <f t="shared" si="532"/>
      </c>
      <c r="BD821" s="129">
        <f t="shared" si="533"/>
      </c>
      <c r="BE821" s="129">
        <f t="shared" si="534"/>
      </c>
      <c r="BF821" s="129">
        <f t="shared" si="535"/>
      </c>
      <c r="BG821" s="129">
        <f t="shared" si="536"/>
        <v/>
      </c>
      <c r="BH821" s="129">
        <f t="shared" si="537"/>
        <v/>
      </c>
      <c r="BI821" s="129">
        <f t="shared" si="538"/>
        <v/>
      </c>
      <c r="BJ821" s="129">
        <f t="shared" si="539"/>
        <v/>
      </c>
      <c r="BK821" s="129">
        <f>IF(R821="","",IF(OR(BY821="",BY821=0),"BOX",IFERROR(IF(VLOOKUP(BY821,УГО_блоки,3,FALSE)&amp;""&lt;&gt;"",VLOOKUP(BY821,УГО_блоки,3,FALSE),VLOOKUP(BY821,УГО_блоки,2,FALSE)),BY821)))</f>
      </c>
      <c r="BL821" s="129">
        <f t="shared" si="541"/>
      </c>
      <c r="BM821" s="129">
        <f>IF(H821="","",IF(COUNTIF($H$3:H821,H821)=1,MAX($BM$2:BM820)+1,""))</f>
      </c>
      <c r="BN821" s="129">
        <f>IF(I821="","",IF(COUNTIF($I$3:I821,I821)+COUNTIF($J$2:J820,I821)+COUNTIF($K$2:K820,I821)=1,MAX($BN$2:BP820)+1,""))</f>
      </c>
      <c r="BO821" s="129">
        <f>IF(J821="","",IF(COUNTIF($I$3:I821,J821)+COUNTIF($J$3:J821,J821)+COUNTIF($K$2:K820,J821)=1,MAX($BN$2:BP820,BN821)+1,""))</f>
      </c>
      <c r="BP821" s="129">
        <f>IF(K821="","",IF(COUNTIF($I$3:I821,K821)+COUNTIF($J$3:J821,K821)+COUNTIF($K$3:K821,K821)=1,MAX($BN$2:BP820,BN821,BO821)+1,""))</f>
      </c>
      <c r="BQ821" s="129">
        <f>IF(AY821=1,IFERROR(MID(Q821,FIND(" (",Q821)+2,FIND(")",Q821,FIND(" (",Q821))-FIND(" (",Q821)-2),"?"),"")</f>
      </c>
      <c r="BR821" s="129">
        <f>IF(BQ821="","",IF(COUNTIF($BQ$3:BQ821,BQ821)=1,MAX($BR$2:BR820)+1,""))</f>
      </c>
      <c r="BS821" s="129">
        <f>IF(AW821="","",COUNTIF($AW$3:AW821,"?*"))</f>
      </c>
      <c r="BT821" s="129">
        <f>IF(OR(AW821="",AI821=""),"",IF(COUNTIFS($AW$3:AW821,"?*",$AI$3:AI821,AI821)=1,MAX($BT$2:BT820)+1,""))</f>
      </c>
      <c r="BU821" s="129">
        <f>IF(AE821="",0,IF(OR(ISNUMBER(SEARCH("дубль",AE821)),ISNUMBER(SEARCH("ПЕРЕГРУЗ",AE821)),ISNUMBER(SEARCH("ЗАЩИЩ",AE821)),ISNUMBER(SEARCH("КАНАЛ",AE821)),ISNUMBER(SEARCH("без 30",AE821))),2,1))</f>
      </c>
      <c r="BV821" s="129">
        <f>IF(R821="","",COUNTIF($R$3:R821,"?*"))</f>
      </c>
      <c r="BW821" s="129">
        <f>IF(AY821&lt;&gt;1,0,IF(MAX(IFERROR(--VLOOKUP(R821,УГО_спр,5,FALSE),0),IFERROR(--VLOOKUP(AL821,УГО_спр,5,FALSE),0),IFERROR(--VLOOKUP(LEFT(AL821,2),УГО_спр,5,FALSE),0))&gt;0,MAX(IFERROR(--VLOOKUP(R821,УГО_спр,5,FALSE),0),IFERROR(--VLOOKUP(AL821,УГО_спр,5,FALSE),0),IFERROR(--VLOOKUP(LEFT(AL821,2),УГО_спр,5,FALSE),0)),IF(IFERROR(--LEFT(SUBSTITUTE(BQ821,"x","х"),FIND("х",SUBSTITUTE(BQ821,"x","х"))-1),3)&gt;3,Каталог!$S$9,1)))</f>
      </c>
      <c r="BX821" s="129">
        <f>IF(AY821&lt;&gt;1,0,MAX(0,IFERROR(--LEFT(SUBSTITUTE(BQ821,"x","х"),FIND("х",SUBSTITUTE(BQ821,"x","х"))-1),3)-3*BW821))</f>
      </c>
      <c r="BY821" s="129">
        <f>IF(R821="","",IFERROR(VLOOKUP(R821,УГО_спр,2,FALSE),IFERROR(VLOOKUP(AL821,УГО_спр,2,FALSE),IFERROR(VLOOKUP(LEFT(AL821,2),УГО_спр,2,FALSE),""))))</f>
      </c>
    </row>
    <row r="822" spans="1:64" x14ac:dyDescent="0.3">
      <c r="A822" s="135">
        <f>IF(Разбивка_по_щитам!F822=0,"",Разбивка_по_щитам!F822)</f>
        <v/>
      </c>
      <c r="B822" s="138">
        <f>IF(A822="","",Разбивка_по_щитам!C822)</f>
        <v/>
      </c>
      <c r="C822" s="138">
        <f t="shared" si="502"/>
        <v/>
      </c>
      <c r="D822" s="266"/>
      <c r="E822" s="266"/>
      <c r="F822" s="267"/>
      <c r="G822" s="145">
        <f t="shared" si="503"/>
        <v/>
      </c>
      <c r="H822" s="145">
        <f t="shared" si="504"/>
        <v/>
      </c>
      <c r="I822" s="266"/>
      <c r="J822" s="267"/>
      <c r="K822" s="267"/>
      <c r="L822" s="266"/>
      <c r="M822" s="147">
        <f t="shared" si="505"/>
        <v/>
      </c>
      <c r="N822" s="267"/>
      <c r="O822" s="147">
        <f t="shared" si="506"/>
        <v/>
      </c>
      <c r="P822" s="268">
        <f>IF(AY822=1,"XT"&amp;COUNTIFS($A$3:A822,A822,$AY$3:AY822,1),"")</f>
        <v/>
      </c>
      <c r="Q822" s="152">
        <f>IF(R822="","",IFERROR(SUBSTITUTE(Разбивка_по_щитам!P822,CHAR(10)," "),""))</f>
        <v/>
      </c>
      <c r="R822" s="153">
        <f>IF(OR(Разбивка_по_щитам!H822="",Разбивка_по_щитам!H822=0),"",Разбивка_по_щитам!H822)</f>
        <v/>
      </c>
      <c r="S822" s="154">
        <f>IF(R822="","",IFERROR(Разбивка_по_щитам!J822&amp;"",""))</f>
        <v/>
      </c>
      <c r="T822" s="155">
        <f>IF(R822="","",IFERROR(--Разбивка_по_щитам!L822,""))</f>
        <v/>
      </c>
      <c r="U822" s="155">
        <f>IF(R822="","",IFERROR(--Разбивка_по_щитам!K822,""))</f>
        <v/>
      </c>
      <c r="V822" s="138">
        <f>IF(R822="","",IFERROR(IF(Разбивка_по_щитам!M822=0,"",Разбивка_по_щитам!M822),""))</f>
        <v/>
      </c>
      <c r="W822" s="156">
        <f t="shared" si="507"/>
        <v/>
      </c>
      <c r="X822" s="157">
        <f t="shared" si="508"/>
        <v/>
      </c>
      <c r="Y822" s="266"/>
      <c r="Z822" s="158">
        <f t="shared" si="509"/>
        <v/>
      </c>
      <c r="AA822" s="160">
        <f t="shared" si="510"/>
        <v/>
      </c>
      <c r="AB822" s="160">
        <f>IF(R822="","",IFERROR(LOOKUP(INDEX(Справочная!$I$4:$I$19,MATCH(VLOOKUP(R822,Исходные_данные,22,FALSE),Справочная!$J$4:$J$19,0)+1),{6,10,16,20,25,32,40,50,63,80,100,125}),""))</f>
        <v/>
      </c>
      <c r="AC822" s="160">
        <f t="shared" si="511"/>
        <v/>
      </c>
      <c r="AD822" s="161">
        <f t="shared" si="512"/>
        <v/>
      </c>
      <c r="AE822" s="161">
        <f>IF(AND(R822="",G822=""),"",_xlfn.TEXTJOIN("; ",TRUE,IF(AND(R822&lt;&gt;"",V822=""),"нет фазы",""),IF(AND(R822&lt;&gt;"",N(T822)=0),"нет мощности",""),IF(AND(P822&lt;&gt;"",COUNTIFS($A$3:$A$1000,A822,$P$3:$P$1000,P822)&gt;1),"дубль клеммы "&amp;P822,""),IF(AND(W822&lt;&gt;"",W822&lt;&gt;"ok"),W822,""),IF(X822&lt;&gt;"",X822,""),IF(AND(ISNUMBER(SEARCH("(5х",Q822)),N(AK822)=1),"5 жил на 1 фазе",""),IF(AND(AL822="R",E822&lt;&gt;"",N(AS822)=0),"розетка без 30 мА",""),IF(IFERROR(_xlfn.NUMBERVALUE(MID(Q822,FIND("-",Q822,FIND("L=",Q822))+1,FIND("%",Q822)-FIND("-",Q822,FIND("L=",Q822))-1),","),0)&gt;4,"потери &gt; 4 %","")))</f>
      </c>
      <c r="AF822" s="129">
        <f>IF(E822&lt;&gt;"",COUNTIFS($A$3:A822,A822,$E$3:E822,"?*"),IF(OR(A822&lt;&gt;A821,Y822="вручную"),"",AF821))</f>
        <v/>
      </c>
      <c r="AG822" s="129">
        <f t="shared" si="513"/>
        <v/>
      </c>
      <c r="AH822" s="129">
        <f t="shared" si="514"/>
        <v/>
      </c>
      <c r="AI822" s="129">
        <f t="shared" si="515"/>
        <v/>
      </c>
      <c r="AJ822" s="129">
        <f t="shared" si="516"/>
        <v/>
      </c>
      <c r="AK822" s="129">
        <f t="shared" si="517"/>
        <v/>
      </c>
      <c r="AL822" s="129">
        <f t="shared" si="518"/>
        <v/>
      </c>
      <c r="AM822" s="129">
        <f t="shared" si="519"/>
      </c>
      <c r="AN822" s="129">
        <f t="shared" si="520"/>
      </c>
      <c r="AO822" s="129">
        <f t="shared" si="521"/>
        <v/>
      </c>
      <c r="AP822" s="129">
        <f t="shared" si="522"/>
        <v/>
      </c>
      <c r="AQ822" s="129">
        <f t="shared" si="523"/>
        <v/>
      </c>
      <c r="AR822" s="129">
        <f t="shared" si="524"/>
        <v/>
      </c>
      <c r="AS822" s="129">
        <f t="shared" si="525"/>
        <v/>
      </c>
      <c r="AT822" s="129">
        <f t="shared" si="526"/>
        <v/>
      </c>
      <c r="AU822" s="129">
        <f t="shared" si="527"/>
        <v/>
      </c>
      <c r="AV822" s="129">
        <f t="shared" si="528"/>
        <v/>
      </c>
      <c r="AW822" s="129">
        <f>IF(AV822="","",AV822&amp;"."&amp;COUNTIFS($A$3:A822,A822,$AV$3:AV822,AV822))</f>
        <v/>
      </c>
      <c r="AX822" s="129">
        <f t="shared" si="529"/>
        <v/>
      </c>
      <c r="AY822" s="129">
        <f>IF(N822="б/к",0,IF(OR(ISNUMBER(SEARCH("L=",Разбивка_по_щитам!P822)),N822="+",N822="="),1,0))</f>
      </c>
      <c r="AZ822" s="129">
        <f t="shared" si="530"/>
        <v/>
      </c>
      <c r="BA822" s="129">
        <f t="shared" si="531"/>
      </c>
      <c r="BB822" s="129">
        <f t="shared" si="532"/>
      </c>
      <c r="BD822" s="129">
        <f t="shared" si="533"/>
      </c>
      <c r="BE822" s="129">
        <f t="shared" si="534"/>
      </c>
      <c r="BF822" s="129">
        <f t="shared" si="535"/>
      </c>
      <c r="BG822" s="129">
        <f t="shared" si="536"/>
        <v/>
      </c>
      <c r="BH822" s="129">
        <f t="shared" si="537"/>
        <v/>
      </c>
      <c r="BI822" s="129">
        <f t="shared" si="538"/>
        <v/>
      </c>
      <c r="BJ822" s="129">
        <f t="shared" si="539"/>
        <v/>
      </c>
      <c r="BK822" s="129">
        <f>IF(R822="","",IF(OR(BY822="",BY822=0),"BOX",IFERROR(IF(VLOOKUP(BY822,УГО_блоки,3,FALSE)&amp;""&lt;&gt;"",VLOOKUP(BY822,УГО_блоки,3,FALSE),VLOOKUP(BY822,УГО_блоки,2,FALSE)),BY822)))</f>
      </c>
      <c r="BL822" s="129">
        <f t="shared" si="541"/>
      </c>
      <c r="BM822" s="129">
        <f>IF(H822="","",IF(COUNTIF($H$3:H822,H822)=1,MAX($BM$2:BM821)+1,""))</f>
      </c>
      <c r="BN822" s="129">
        <f>IF(I822="","",IF(COUNTIF($I$3:I822,I822)+COUNTIF($J$2:J821,I822)+COUNTIF($K$2:K821,I822)=1,MAX($BN$2:BP821)+1,""))</f>
      </c>
      <c r="BO822" s="129">
        <f>IF(J822="","",IF(COUNTIF($I$3:I822,J822)+COUNTIF($J$3:J822,J822)+COUNTIF($K$2:K821,J822)=1,MAX($BN$2:BP821,BN822)+1,""))</f>
      </c>
      <c r="BP822" s="129">
        <f>IF(K822="","",IF(COUNTIF($I$3:I822,K822)+COUNTIF($J$3:J822,K822)+COUNTIF($K$3:K822,K822)=1,MAX($BN$2:BP821,BN822,BO822)+1,""))</f>
      </c>
      <c r="BQ822" s="129">
        <f>IF(AY822=1,IFERROR(MID(Q822,FIND(" (",Q822)+2,FIND(")",Q822,FIND(" (",Q822))-FIND(" (",Q822)-2),"?"),"")</f>
      </c>
      <c r="BR822" s="129">
        <f>IF(BQ822="","",IF(COUNTIF($BQ$3:BQ822,BQ822)=1,MAX($BR$2:BR821)+1,""))</f>
      </c>
      <c r="BS822" s="129">
        <f>IF(AW822="","",COUNTIF($AW$3:AW822,"?*"))</f>
      </c>
      <c r="BT822" s="129">
        <f>IF(OR(AW822="",AI822=""),"",IF(COUNTIFS($AW$3:AW822,"?*",$AI$3:AI822,AI822)=1,MAX($BT$2:BT821)+1,""))</f>
      </c>
      <c r="BU822" s="129">
        <f>IF(AE822="",0,IF(OR(ISNUMBER(SEARCH("дубль",AE822)),ISNUMBER(SEARCH("ПЕРЕГРУЗ",AE822)),ISNUMBER(SEARCH("ЗАЩИЩ",AE822)),ISNUMBER(SEARCH("КАНАЛ",AE822)),ISNUMBER(SEARCH("без 30",AE822))),2,1))</f>
      </c>
      <c r="BV822" s="129">
        <f>IF(R822="","",COUNTIF($R$3:R822,"?*"))</f>
      </c>
      <c r="BW822" s="129">
        <f>IF(AY822&lt;&gt;1,0,IF(MAX(IFERROR(--VLOOKUP(R822,УГО_спр,5,FALSE),0),IFERROR(--VLOOKUP(AL822,УГО_спр,5,FALSE),0),IFERROR(--VLOOKUP(LEFT(AL822,2),УГО_спр,5,FALSE),0))&gt;0,MAX(IFERROR(--VLOOKUP(R822,УГО_спр,5,FALSE),0),IFERROR(--VLOOKUP(AL822,УГО_спр,5,FALSE),0),IFERROR(--VLOOKUP(LEFT(AL822,2),УГО_спр,5,FALSE),0)),IF(IFERROR(--LEFT(SUBSTITUTE(BQ822,"x","х"),FIND("х",SUBSTITUTE(BQ822,"x","х"))-1),3)&gt;3,Каталог!$S$9,1)))</f>
      </c>
      <c r="BX822" s="129">
        <f>IF(AY822&lt;&gt;1,0,MAX(0,IFERROR(--LEFT(SUBSTITUTE(BQ822,"x","х"),FIND("х",SUBSTITUTE(BQ822,"x","х"))-1),3)-3*BW822))</f>
      </c>
      <c r="BY822" s="129">
        <f>IF(R822="","",IFERROR(VLOOKUP(R822,УГО_спр,2,FALSE),IFERROR(VLOOKUP(AL822,УГО_спр,2,FALSE),IFERROR(VLOOKUP(LEFT(AL822,2),УГО_спр,2,FALSE),""))))</f>
      </c>
    </row>
    <row r="823" spans="1:64" x14ac:dyDescent="0.3">
      <c r="A823" s="135">
        <f>IF(Разбивка_по_щитам!F823=0,"",Разбивка_по_щитам!F823)</f>
        <v/>
      </c>
      <c r="B823" s="138">
        <f>IF(A823="","",Разбивка_по_щитам!C823)</f>
        <v/>
      </c>
      <c r="C823" s="138">
        <f t="shared" si="502"/>
        <v/>
      </c>
      <c r="D823" s="266"/>
      <c r="E823" s="266"/>
      <c r="F823" s="267"/>
      <c r="G823" s="145">
        <f t="shared" si="503"/>
        <v/>
      </c>
      <c r="H823" s="145">
        <f t="shared" si="504"/>
        <v/>
      </c>
      <c r="I823" s="266"/>
      <c r="J823" s="267"/>
      <c r="K823" s="267"/>
      <c r="L823" s="266"/>
      <c r="M823" s="147">
        <f t="shared" si="505"/>
        <v/>
      </c>
      <c r="N823" s="267"/>
      <c r="O823" s="147">
        <f t="shared" si="506"/>
        <v/>
      </c>
      <c r="P823" s="268">
        <f>IF(AY823=1,"XT"&amp;COUNTIFS($A$3:A823,A823,$AY$3:AY823,1),"")</f>
        <v/>
      </c>
      <c r="Q823" s="152">
        <f>IF(R823="","",IFERROR(SUBSTITUTE(Разбивка_по_щитам!P823,CHAR(10)," "),""))</f>
        <v/>
      </c>
      <c r="R823" s="153">
        <f>IF(OR(Разбивка_по_щитам!H823="",Разбивка_по_щитам!H823=0),"",Разбивка_по_щитам!H823)</f>
        <v/>
      </c>
      <c r="S823" s="154">
        <f>IF(R823="","",IFERROR(Разбивка_по_щитам!J823&amp;"",""))</f>
        <v/>
      </c>
      <c r="T823" s="155">
        <f>IF(R823="","",IFERROR(--Разбивка_по_щитам!L823,""))</f>
        <v/>
      </c>
      <c r="U823" s="155">
        <f>IF(R823="","",IFERROR(--Разбивка_по_щитам!K823,""))</f>
        <v/>
      </c>
      <c r="V823" s="138">
        <f>IF(R823="","",IFERROR(IF(Разбивка_по_щитам!M823=0,"",Разбивка_по_щитам!M823),""))</f>
        <v/>
      </c>
      <c r="W823" s="156">
        <f t="shared" si="507"/>
        <v/>
      </c>
      <c r="X823" s="157">
        <f t="shared" si="508"/>
        <v/>
      </c>
      <c r="Y823" s="266"/>
      <c r="Z823" s="158">
        <f t="shared" si="509"/>
        <v/>
      </c>
      <c r="AA823" s="160">
        <f t="shared" si="510"/>
        <v/>
      </c>
      <c r="AB823" s="160">
        <f>IF(R823="","",IFERROR(LOOKUP(INDEX(Справочная!$I$4:$I$19,MATCH(VLOOKUP(R823,Исходные_данные,22,FALSE),Справочная!$J$4:$J$19,0)+1),{6,10,16,20,25,32,40,50,63,80,100,125}),""))</f>
        <v/>
      </c>
      <c r="AC823" s="160">
        <f t="shared" si="511"/>
        <v/>
      </c>
      <c r="AD823" s="161">
        <f t="shared" si="512"/>
        <v/>
      </c>
      <c r="AE823" s="161">
        <f>IF(AND(R823="",G823=""),"",_xlfn.TEXTJOIN("; ",TRUE,IF(AND(R823&lt;&gt;"",V823=""),"нет фазы",""),IF(AND(R823&lt;&gt;"",N(T823)=0),"нет мощности",""),IF(AND(P823&lt;&gt;"",COUNTIFS($A$3:$A$1000,A823,$P$3:$P$1000,P823)&gt;1),"дубль клеммы "&amp;P823,""),IF(AND(W823&lt;&gt;"",W823&lt;&gt;"ok"),W823,""),IF(X823&lt;&gt;"",X823,""),IF(AND(ISNUMBER(SEARCH("(5х",Q823)),N(AK823)=1),"5 жил на 1 фазе",""),IF(AND(AL823="R",E823&lt;&gt;"",N(AS823)=0),"розетка без 30 мА",""),IF(IFERROR(_xlfn.NUMBERVALUE(MID(Q823,FIND("-",Q823,FIND("L=",Q823))+1,FIND("%",Q823)-FIND("-",Q823,FIND("L=",Q823))-1),","),0)&gt;4,"потери &gt; 4 %","")))</f>
      </c>
      <c r="AF823" s="129">
        <f>IF(E823&lt;&gt;"",COUNTIFS($A$3:A823,A823,$E$3:E823,"?*"),IF(OR(A823&lt;&gt;A822,Y823="вручную"),"",AF822))</f>
        <v/>
      </c>
      <c r="AG823" s="129">
        <f t="shared" si="513"/>
        <v/>
      </c>
      <c r="AH823" s="129">
        <f t="shared" si="514"/>
        <v/>
      </c>
      <c r="AI823" s="129">
        <f t="shared" si="515"/>
        <v/>
      </c>
      <c r="AJ823" s="129">
        <f t="shared" si="516"/>
        <v/>
      </c>
      <c r="AK823" s="129">
        <f t="shared" si="517"/>
        <v/>
      </c>
      <c r="AL823" s="129">
        <f t="shared" si="518"/>
        <v/>
      </c>
      <c r="AM823" s="129">
        <f t="shared" si="519"/>
      </c>
      <c r="AN823" s="129">
        <f t="shared" si="520"/>
      </c>
      <c r="AO823" s="129">
        <f t="shared" si="521"/>
        <v/>
      </c>
      <c r="AP823" s="129">
        <f t="shared" si="522"/>
        <v/>
      </c>
      <c r="AQ823" s="129">
        <f t="shared" si="523"/>
        <v/>
      </c>
      <c r="AR823" s="129">
        <f t="shared" si="524"/>
        <v/>
      </c>
      <c r="AS823" s="129">
        <f t="shared" si="525"/>
        <v/>
      </c>
      <c r="AT823" s="129">
        <f t="shared" si="526"/>
        <v/>
      </c>
      <c r="AU823" s="129">
        <f t="shared" si="527"/>
        <v/>
      </c>
      <c r="AV823" s="129">
        <f t="shared" si="528"/>
        <v/>
      </c>
      <c r="AW823" s="129">
        <f>IF(AV823="","",AV823&amp;"."&amp;COUNTIFS($A$3:A823,A823,$AV$3:AV823,AV823))</f>
        <v/>
      </c>
      <c r="AX823" s="129">
        <f t="shared" si="529"/>
        <v/>
      </c>
      <c r="AY823" s="129">
        <f>IF(N823="б/к",0,IF(OR(ISNUMBER(SEARCH("L=",Разбивка_по_щитам!P823)),N823="+",N823="="),1,0))</f>
      </c>
      <c r="AZ823" s="129">
        <f t="shared" si="530"/>
        <v/>
      </c>
      <c r="BA823" s="129">
        <f t="shared" si="531"/>
      </c>
      <c r="BB823" s="129">
        <f t="shared" si="532"/>
      </c>
      <c r="BD823" s="129">
        <f t="shared" si="533"/>
      </c>
      <c r="BE823" s="129">
        <f t="shared" si="534"/>
      </c>
      <c r="BF823" s="129">
        <f t="shared" si="535"/>
      </c>
      <c r="BG823" s="129">
        <f t="shared" si="536"/>
        <v/>
      </c>
      <c r="BH823" s="129">
        <f t="shared" si="537"/>
        <v/>
      </c>
      <c r="BI823" s="129">
        <f t="shared" si="538"/>
        <v/>
      </c>
      <c r="BJ823" s="129">
        <f t="shared" si="539"/>
        <v/>
      </c>
      <c r="BK823" s="129">
        <f>IF(R823="","",IF(OR(BY823="",BY823=0),"BOX",IFERROR(IF(VLOOKUP(BY823,УГО_блоки,3,FALSE)&amp;""&lt;&gt;"",VLOOKUP(BY823,УГО_блоки,3,FALSE),VLOOKUP(BY823,УГО_блоки,2,FALSE)),BY823)))</f>
      </c>
      <c r="BL823" s="129">
        <f t="shared" si="541"/>
      </c>
      <c r="BM823" s="129">
        <f>IF(H823="","",IF(COUNTIF($H$3:H823,H823)=1,MAX($BM$2:BM822)+1,""))</f>
      </c>
      <c r="BN823" s="129">
        <f>IF(I823="","",IF(COUNTIF($I$3:I823,I823)+COUNTIF($J$2:J822,I823)+COUNTIF($K$2:K822,I823)=1,MAX($BN$2:BP822)+1,""))</f>
      </c>
      <c r="BO823" s="129">
        <f>IF(J823="","",IF(COUNTIF($I$3:I823,J823)+COUNTIF($J$3:J823,J823)+COUNTIF($K$2:K822,J823)=1,MAX($BN$2:BP822,BN823)+1,""))</f>
      </c>
      <c r="BP823" s="129">
        <f>IF(K823="","",IF(COUNTIF($I$3:I823,K823)+COUNTIF($J$3:J823,K823)+COUNTIF($K$3:K823,K823)=1,MAX($BN$2:BP822,BN823,BO823)+1,""))</f>
      </c>
      <c r="BQ823" s="129">
        <f>IF(AY823=1,IFERROR(MID(Q823,FIND(" (",Q823)+2,FIND(")",Q823,FIND(" (",Q823))-FIND(" (",Q823)-2),"?"),"")</f>
      </c>
      <c r="BR823" s="129">
        <f>IF(BQ823="","",IF(COUNTIF($BQ$3:BQ823,BQ823)=1,MAX($BR$2:BR822)+1,""))</f>
      </c>
      <c r="BS823" s="129">
        <f>IF(AW823="","",COUNTIF($AW$3:AW823,"?*"))</f>
      </c>
      <c r="BT823" s="129">
        <f>IF(OR(AW823="",AI823=""),"",IF(COUNTIFS($AW$3:AW823,"?*",$AI$3:AI823,AI823)=1,MAX($BT$2:BT822)+1,""))</f>
      </c>
      <c r="BU823" s="129">
        <f>IF(AE823="",0,IF(OR(ISNUMBER(SEARCH("дубль",AE823)),ISNUMBER(SEARCH("ПЕРЕГРУЗ",AE823)),ISNUMBER(SEARCH("ЗАЩИЩ",AE823)),ISNUMBER(SEARCH("КАНАЛ",AE823)),ISNUMBER(SEARCH("без 30",AE823))),2,1))</f>
      </c>
      <c r="BV823" s="129">
        <f>IF(R823="","",COUNTIF($R$3:R823,"?*"))</f>
      </c>
      <c r="BW823" s="129">
        <f>IF(AY823&lt;&gt;1,0,IF(MAX(IFERROR(--VLOOKUP(R823,УГО_спр,5,FALSE),0),IFERROR(--VLOOKUP(AL823,УГО_спр,5,FALSE),0),IFERROR(--VLOOKUP(LEFT(AL823,2),УГО_спр,5,FALSE),0))&gt;0,MAX(IFERROR(--VLOOKUP(R823,УГО_спр,5,FALSE),0),IFERROR(--VLOOKUP(AL823,УГО_спр,5,FALSE),0),IFERROR(--VLOOKUP(LEFT(AL823,2),УГО_спр,5,FALSE),0)),IF(IFERROR(--LEFT(SUBSTITUTE(BQ823,"x","х"),FIND("х",SUBSTITUTE(BQ823,"x","х"))-1),3)&gt;3,Каталог!$S$9,1)))</f>
      </c>
      <c r="BX823" s="129">
        <f>IF(AY823&lt;&gt;1,0,MAX(0,IFERROR(--LEFT(SUBSTITUTE(BQ823,"x","х"),FIND("х",SUBSTITUTE(BQ823,"x","х"))-1),3)-3*BW823))</f>
      </c>
      <c r="BY823" s="129">
        <f>IF(R823="","",IFERROR(VLOOKUP(R823,УГО_спр,2,FALSE),IFERROR(VLOOKUP(AL823,УГО_спр,2,FALSE),IFERROR(VLOOKUP(LEFT(AL823,2),УГО_спр,2,FALSE),""))))</f>
      </c>
    </row>
    <row r="824" spans="1:64" x14ac:dyDescent="0.3">
      <c r="A824" s="135">
        <f>IF(Разбивка_по_щитам!F824=0,"",Разбивка_по_щитам!F824)</f>
        <v/>
      </c>
      <c r="B824" s="138">
        <f>IF(A824="","",Разбивка_по_щитам!C824)</f>
        <v/>
      </c>
      <c r="C824" s="138">
        <f t="shared" si="502"/>
        <v/>
      </c>
      <c r="D824" s="266"/>
      <c r="E824" s="266"/>
      <c r="F824" s="267"/>
      <c r="G824" s="145">
        <f t="shared" si="503"/>
        <v/>
      </c>
      <c r="H824" s="145">
        <f t="shared" si="504"/>
        <v/>
      </c>
      <c r="I824" s="266"/>
      <c r="J824" s="267"/>
      <c r="K824" s="267"/>
      <c r="L824" s="266"/>
      <c r="M824" s="147">
        <f t="shared" si="505"/>
        <v/>
      </c>
      <c r="N824" s="267"/>
      <c r="O824" s="147">
        <f t="shared" si="506"/>
        <v/>
      </c>
      <c r="P824" s="268">
        <f>IF(AY824=1,"XT"&amp;COUNTIFS($A$3:A824,A824,$AY$3:AY824,1),"")</f>
        <v/>
      </c>
      <c r="Q824" s="152">
        <f>IF(R824="","",IFERROR(SUBSTITUTE(Разбивка_по_щитам!P824,CHAR(10)," "),""))</f>
        <v/>
      </c>
      <c r="R824" s="153">
        <f>IF(OR(Разбивка_по_щитам!H824="",Разбивка_по_щитам!H824=0),"",Разбивка_по_щитам!H824)</f>
        <v/>
      </c>
      <c r="S824" s="154">
        <f>IF(R824="","",IFERROR(Разбивка_по_щитам!J824&amp;"",""))</f>
        <v/>
      </c>
      <c r="T824" s="155">
        <f>IF(R824="","",IFERROR(--Разбивка_по_щитам!L824,""))</f>
        <v/>
      </c>
      <c r="U824" s="155">
        <f>IF(R824="","",IFERROR(--Разбивка_по_щитам!K824,""))</f>
        <v/>
      </c>
      <c r="V824" s="138">
        <f>IF(R824="","",IFERROR(IF(Разбивка_по_щитам!M824=0,"",Разбивка_по_щитам!M824),""))</f>
        <v/>
      </c>
      <c r="W824" s="156">
        <f t="shared" si="507"/>
        <v/>
      </c>
      <c r="X824" s="157">
        <f t="shared" si="508"/>
        <v/>
      </c>
      <c r="Y824" s="266"/>
      <c r="Z824" s="158">
        <f t="shared" si="509"/>
        <v/>
      </c>
      <c r="AA824" s="160">
        <f t="shared" si="510"/>
        <v/>
      </c>
      <c r="AB824" s="160">
        <f>IF(R824="","",IFERROR(LOOKUP(INDEX(Справочная!$I$4:$I$19,MATCH(VLOOKUP(R824,Исходные_данные,22,FALSE),Справочная!$J$4:$J$19,0)+1),{6,10,16,20,25,32,40,50,63,80,100,125}),""))</f>
        <v/>
      </c>
      <c r="AC824" s="160">
        <f t="shared" si="511"/>
        <v/>
      </c>
      <c r="AD824" s="161">
        <f t="shared" si="512"/>
        <v/>
      </c>
      <c r="AE824" s="161">
        <f>IF(AND(R824="",G824=""),"",_xlfn.TEXTJOIN("; ",TRUE,IF(AND(R824&lt;&gt;"",V824=""),"нет фазы",""),IF(AND(R824&lt;&gt;"",N(T824)=0),"нет мощности",""),IF(AND(P824&lt;&gt;"",COUNTIFS($A$3:$A$1000,A824,$P$3:$P$1000,P824)&gt;1),"дубль клеммы "&amp;P824,""),IF(AND(W824&lt;&gt;"",W824&lt;&gt;"ok"),W824,""),IF(X824&lt;&gt;"",X824,""),IF(AND(ISNUMBER(SEARCH("(5х",Q824)),N(AK824)=1),"5 жил на 1 фазе",""),IF(AND(AL824="R",E824&lt;&gt;"",N(AS824)=0),"розетка без 30 мА",""),IF(IFERROR(_xlfn.NUMBERVALUE(MID(Q824,FIND("-",Q824,FIND("L=",Q824))+1,FIND("%",Q824)-FIND("-",Q824,FIND("L=",Q824))-1),","),0)&gt;4,"потери &gt; 4 %","")))</f>
      </c>
      <c r="AF824" s="129">
        <f>IF(E824&lt;&gt;"",COUNTIFS($A$3:A824,A824,$E$3:E824,"?*"),IF(OR(A824&lt;&gt;A823,Y824="вручную"),"",AF823))</f>
        <v/>
      </c>
      <c r="AG824" s="129">
        <f t="shared" si="513"/>
        <v/>
      </c>
      <c r="AH824" s="129">
        <f t="shared" si="514"/>
        <v/>
      </c>
      <c r="AI824" s="129">
        <f t="shared" si="515"/>
        <v/>
      </c>
      <c r="AJ824" s="129">
        <f t="shared" si="516"/>
        <v/>
      </c>
      <c r="AK824" s="129">
        <f t="shared" si="517"/>
        <v/>
      </c>
      <c r="AL824" s="129">
        <f t="shared" si="518"/>
        <v/>
      </c>
      <c r="AM824" s="129">
        <f t="shared" si="519"/>
      </c>
      <c r="AN824" s="129">
        <f t="shared" si="520"/>
      </c>
      <c r="AO824" s="129">
        <f t="shared" si="521"/>
        <v/>
      </c>
      <c r="AP824" s="129">
        <f t="shared" si="522"/>
        <v/>
      </c>
      <c r="AQ824" s="129">
        <f t="shared" si="523"/>
        <v/>
      </c>
      <c r="AR824" s="129">
        <f t="shared" si="524"/>
        <v/>
      </c>
      <c r="AS824" s="129">
        <f t="shared" si="525"/>
        <v/>
      </c>
      <c r="AT824" s="129">
        <f t="shared" si="526"/>
        <v/>
      </c>
      <c r="AU824" s="129">
        <f t="shared" si="527"/>
        <v/>
      </c>
      <c r="AV824" s="129">
        <f t="shared" si="528"/>
        <v/>
      </c>
      <c r="AW824" s="129">
        <f>IF(AV824="","",AV824&amp;"."&amp;COUNTIFS($A$3:A824,A824,$AV$3:AV824,AV824))</f>
        <v/>
      </c>
      <c r="AX824" s="129">
        <f t="shared" si="529"/>
        <v/>
      </c>
      <c r="AY824" s="129">
        <f>IF(N824="б/к",0,IF(OR(ISNUMBER(SEARCH("L=",Разбивка_по_щитам!P824)),N824="+",N824="="),1,0))</f>
      </c>
      <c r="AZ824" s="129">
        <f t="shared" si="530"/>
        <v/>
      </c>
      <c r="BA824" s="129">
        <f t="shared" si="531"/>
      </c>
      <c r="BB824" s="129">
        <f t="shared" si="532"/>
      </c>
      <c r="BD824" s="129">
        <f t="shared" si="533"/>
      </c>
      <c r="BE824" s="129">
        <f t="shared" si="534"/>
      </c>
      <c r="BF824" s="129">
        <f t="shared" si="535"/>
      </c>
      <c r="BG824" s="129">
        <f t="shared" si="536"/>
        <v/>
      </c>
      <c r="BH824" s="129">
        <f t="shared" si="537"/>
        <v/>
      </c>
      <c r="BI824" s="129">
        <f t="shared" si="538"/>
        <v/>
      </c>
      <c r="BJ824" s="129">
        <f t="shared" si="539"/>
        <v/>
      </c>
      <c r="BK824" s="129">
        <f>IF(R824="","",IF(OR(BY824="",BY824=0),"BOX",IFERROR(IF(VLOOKUP(BY824,УГО_блоки,3,FALSE)&amp;""&lt;&gt;"",VLOOKUP(BY824,УГО_блоки,3,FALSE),VLOOKUP(BY824,УГО_блоки,2,FALSE)),BY824)))</f>
      </c>
      <c r="BL824" s="129">
        <f t="shared" si="541"/>
      </c>
      <c r="BM824" s="129">
        <f>IF(H824="","",IF(COUNTIF($H$3:H824,H824)=1,MAX($BM$2:BM823)+1,""))</f>
      </c>
      <c r="BN824" s="129">
        <f>IF(I824="","",IF(COUNTIF($I$3:I824,I824)+COUNTIF($J$2:J823,I824)+COUNTIF($K$2:K823,I824)=1,MAX($BN$2:BP823)+1,""))</f>
      </c>
      <c r="BO824" s="129">
        <f>IF(J824="","",IF(COUNTIF($I$3:I824,J824)+COUNTIF($J$3:J824,J824)+COUNTIF($K$2:K823,J824)=1,MAX($BN$2:BP823,BN824)+1,""))</f>
      </c>
      <c r="BP824" s="129">
        <f>IF(K824="","",IF(COUNTIF($I$3:I824,K824)+COUNTIF($J$3:J824,K824)+COUNTIF($K$3:K824,K824)=1,MAX($BN$2:BP823,BN824,BO824)+1,""))</f>
      </c>
      <c r="BQ824" s="129">
        <f>IF(AY824=1,IFERROR(MID(Q824,FIND(" (",Q824)+2,FIND(")",Q824,FIND(" (",Q824))-FIND(" (",Q824)-2),"?"),"")</f>
      </c>
      <c r="BR824" s="129">
        <f>IF(BQ824="","",IF(COUNTIF($BQ$3:BQ824,BQ824)=1,MAX($BR$2:BR823)+1,""))</f>
      </c>
      <c r="BS824" s="129">
        <f>IF(AW824="","",COUNTIF($AW$3:AW824,"?*"))</f>
      </c>
      <c r="BT824" s="129">
        <f>IF(OR(AW824="",AI824=""),"",IF(COUNTIFS($AW$3:AW824,"?*",$AI$3:AI824,AI824)=1,MAX($BT$2:BT823)+1,""))</f>
      </c>
      <c r="BU824" s="129">
        <f>IF(AE824="",0,IF(OR(ISNUMBER(SEARCH("дубль",AE824)),ISNUMBER(SEARCH("ПЕРЕГРУЗ",AE824)),ISNUMBER(SEARCH("ЗАЩИЩ",AE824)),ISNUMBER(SEARCH("КАНАЛ",AE824)),ISNUMBER(SEARCH("без 30",AE824))),2,1))</f>
      </c>
      <c r="BV824" s="129">
        <f>IF(R824="","",COUNTIF($R$3:R824,"?*"))</f>
      </c>
      <c r="BW824" s="129">
        <f>IF(AY824&lt;&gt;1,0,IF(MAX(IFERROR(--VLOOKUP(R824,УГО_спр,5,FALSE),0),IFERROR(--VLOOKUP(AL824,УГО_спр,5,FALSE),0),IFERROR(--VLOOKUP(LEFT(AL824,2),УГО_спр,5,FALSE),0))&gt;0,MAX(IFERROR(--VLOOKUP(R824,УГО_спр,5,FALSE),0),IFERROR(--VLOOKUP(AL824,УГО_спр,5,FALSE),0),IFERROR(--VLOOKUP(LEFT(AL824,2),УГО_спр,5,FALSE),0)),IF(IFERROR(--LEFT(SUBSTITUTE(BQ824,"x","х"),FIND("х",SUBSTITUTE(BQ824,"x","х"))-1),3)&gt;3,Каталог!$S$9,1)))</f>
      </c>
      <c r="BX824" s="129">
        <f>IF(AY824&lt;&gt;1,0,MAX(0,IFERROR(--LEFT(SUBSTITUTE(BQ824,"x","х"),FIND("х",SUBSTITUTE(BQ824,"x","х"))-1),3)-3*BW824))</f>
      </c>
      <c r="BY824" s="129">
        <f>IF(R824="","",IFERROR(VLOOKUP(R824,УГО_спр,2,FALSE),IFERROR(VLOOKUP(AL824,УГО_спр,2,FALSE),IFERROR(VLOOKUP(LEFT(AL824,2),УГО_спр,2,FALSE),""))))</f>
      </c>
    </row>
    <row r="825" spans="1:64" x14ac:dyDescent="0.3">
      <c r="A825" s="135">
        <f>IF(Разбивка_по_щитам!F825=0,"",Разбивка_по_щитам!F825)</f>
        <v/>
      </c>
      <c r="B825" s="138">
        <f>IF(A825="","",Разбивка_по_щитам!C825)</f>
        <v/>
      </c>
      <c r="C825" s="138">
        <f t="shared" si="502"/>
        <v/>
      </c>
      <c r="D825" s="266"/>
      <c r="E825" s="266"/>
      <c r="F825" s="267"/>
      <c r="G825" s="145">
        <f t="shared" si="503"/>
        <v/>
      </c>
      <c r="H825" s="145">
        <f t="shared" si="504"/>
        <v/>
      </c>
      <c r="I825" s="266"/>
      <c r="J825" s="267"/>
      <c r="K825" s="267"/>
      <c r="L825" s="266"/>
      <c r="M825" s="147">
        <f t="shared" si="505"/>
        <v/>
      </c>
      <c r="N825" s="267"/>
      <c r="O825" s="147">
        <f t="shared" si="506"/>
        <v/>
      </c>
      <c r="P825" s="268">
        <f>IF(AY825=1,"XT"&amp;COUNTIFS($A$3:A825,A825,$AY$3:AY825,1),"")</f>
        <v/>
      </c>
      <c r="Q825" s="152">
        <f>IF(R825="","",IFERROR(SUBSTITUTE(Разбивка_по_щитам!P825,CHAR(10)," "),""))</f>
        <v/>
      </c>
      <c r="R825" s="153">
        <f>IF(OR(Разбивка_по_щитам!H825="",Разбивка_по_щитам!H825=0),"",Разбивка_по_щитам!H825)</f>
        <v/>
      </c>
      <c r="S825" s="154">
        <f>IF(R825="","",IFERROR(Разбивка_по_щитам!J825&amp;"",""))</f>
        <v/>
      </c>
      <c r="T825" s="155">
        <f>IF(R825="","",IFERROR(--Разбивка_по_щитам!L825,""))</f>
        <v/>
      </c>
      <c r="U825" s="155">
        <f>IF(R825="","",IFERROR(--Разбивка_по_щитам!K825,""))</f>
        <v/>
      </c>
      <c r="V825" s="138">
        <f>IF(R825="","",IFERROR(IF(Разбивка_по_щитам!M825=0,"",Разбивка_по_щитам!M825),""))</f>
        <v/>
      </c>
      <c r="W825" s="156">
        <f t="shared" si="507"/>
        <v/>
      </c>
      <c r="X825" s="157">
        <f t="shared" si="508"/>
        <v/>
      </c>
      <c r="Y825" s="266"/>
      <c r="Z825" s="158">
        <f t="shared" si="509"/>
        <v/>
      </c>
      <c r="AA825" s="160">
        <f t="shared" si="510"/>
        <v/>
      </c>
      <c r="AB825" s="160">
        <f>IF(R825="","",IFERROR(LOOKUP(INDEX(Справочная!$I$4:$I$19,MATCH(VLOOKUP(R825,Исходные_данные,22,FALSE),Справочная!$J$4:$J$19,0)+1),{6,10,16,20,25,32,40,50,63,80,100,125}),""))</f>
        <v/>
      </c>
      <c r="AC825" s="160">
        <f t="shared" si="511"/>
        <v/>
      </c>
      <c r="AD825" s="161">
        <f t="shared" si="512"/>
        <v/>
      </c>
      <c r="AE825" s="161">
        <f>IF(AND(R825="",G825=""),"",_xlfn.TEXTJOIN("; ",TRUE,IF(AND(R825&lt;&gt;"",V825=""),"нет фазы",""),IF(AND(R825&lt;&gt;"",N(T825)=0),"нет мощности",""),IF(AND(P825&lt;&gt;"",COUNTIFS($A$3:$A$1000,A825,$P$3:$P$1000,P825)&gt;1),"дубль клеммы "&amp;P825,""),IF(AND(W825&lt;&gt;"",W825&lt;&gt;"ok"),W825,""),IF(X825&lt;&gt;"",X825,""),IF(AND(ISNUMBER(SEARCH("(5х",Q825)),N(AK825)=1),"5 жил на 1 фазе",""),IF(AND(AL825="R",E825&lt;&gt;"",N(AS825)=0),"розетка без 30 мА",""),IF(IFERROR(_xlfn.NUMBERVALUE(MID(Q825,FIND("-",Q825,FIND("L=",Q825))+1,FIND("%",Q825)-FIND("-",Q825,FIND("L=",Q825))-1),","),0)&gt;4,"потери &gt; 4 %","")))</f>
      </c>
      <c r="AF825" s="129">
        <f>IF(E825&lt;&gt;"",COUNTIFS($A$3:A825,A825,$E$3:E825,"?*"),IF(OR(A825&lt;&gt;A824,Y825="вручную"),"",AF824))</f>
        <v/>
      </c>
      <c r="AG825" s="129">
        <f t="shared" si="513"/>
        <v/>
      </c>
      <c r="AH825" s="129">
        <f t="shared" si="514"/>
        <v/>
      </c>
      <c r="AI825" s="129">
        <f t="shared" si="515"/>
        <v/>
      </c>
      <c r="AJ825" s="129">
        <f t="shared" si="516"/>
        <v/>
      </c>
      <c r="AK825" s="129">
        <f t="shared" si="517"/>
        <v/>
      </c>
      <c r="AL825" s="129">
        <f t="shared" si="518"/>
        <v/>
      </c>
      <c r="AM825" s="129">
        <f t="shared" si="519"/>
      </c>
      <c r="AN825" s="129">
        <f t="shared" si="520"/>
      </c>
      <c r="AO825" s="129">
        <f t="shared" si="521"/>
        <v/>
      </c>
      <c r="AP825" s="129">
        <f t="shared" si="522"/>
        <v/>
      </c>
      <c r="AQ825" s="129">
        <f t="shared" si="523"/>
        <v/>
      </c>
      <c r="AR825" s="129">
        <f t="shared" si="524"/>
        <v/>
      </c>
      <c r="AS825" s="129">
        <f t="shared" si="525"/>
        <v/>
      </c>
      <c r="AT825" s="129">
        <f t="shared" si="526"/>
        <v/>
      </c>
      <c r="AU825" s="129">
        <f t="shared" si="527"/>
        <v/>
      </c>
      <c r="AV825" s="129">
        <f t="shared" si="528"/>
        <v/>
      </c>
      <c r="AW825" s="129">
        <f>IF(AV825="","",AV825&amp;"."&amp;COUNTIFS($A$3:A825,A825,$AV$3:AV825,AV825))</f>
        <v/>
      </c>
      <c r="AX825" s="129">
        <f t="shared" si="529"/>
        <v/>
      </c>
      <c r="AY825" s="129">
        <f>IF(N825="б/к",0,IF(OR(ISNUMBER(SEARCH("L=",Разбивка_по_щитам!P825)),N825="+",N825="="),1,0))</f>
      </c>
      <c r="AZ825" s="129">
        <f t="shared" si="530"/>
        <v/>
      </c>
      <c r="BA825" s="129">
        <f t="shared" si="531"/>
      </c>
      <c r="BB825" s="129">
        <f t="shared" si="532"/>
      </c>
      <c r="BD825" s="129">
        <f t="shared" si="533"/>
      </c>
      <c r="BE825" s="129">
        <f t="shared" si="534"/>
      </c>
      <c r="BF825" s="129">
        <f t="shared" si="535"/>
      </c>
      <c r="BG825" s="129">
        <f t="shared" si="536"/>
        <v/>
      </c>
      <c r="BH825" s="129">
        <f t="shared" si="537"/>
        <v/>
      </c>
      <c r="BI825" s="129">
        <f t="shared" si="538"/>
        <v/>
      </c>
      <c r="BJ825" s="129">
        <f t="shared" si="539"/>
        <v/>
      </c>
      <c r="BK825" s="129">
        <f>IF(R825="","",IF(OR(BY825="",BY825=0),"BOX",IFERROR(IF(VLOOKUP(BY825,УГО_блоки,3,FALSE)&amp;""&lt;&gt;"",VLOOKUP(BY825,УГО_блоки,3,FALSE),VLOOKUP(BY825,УГО_блоки,2,FALSE)),BY825)))</f>
      </c>
      <c r="BL825" s="129">
        <f t="shared" si="541"/>
      </c>
      <c r="BM825" s="129">
        <f>IF(H825="","",IF(COUNTIF($H$3:H825,H825)=1,MAX($BM$2:BM824)+1,""))</f>
      </c>
      <c r="BN825" s="129">
        <f>IF(I825="","",IF(COUNTIF($I$3:I825,I825)+COUNTIF($J$2:J824,I825)+COUNTIF($K$2:K824,I825)=1,MAX($BN$2:BP824)+1,""))</f>
      </c>
      <c r="BO825" s="129">
        <f>IF(J825="","",IF(COUNTIF($I$3:I825,J825)+COUNTIF($J$3:J825,J825)+COUNTIF($K$2:K824,J825)=1,MAX($BN$2:BP824,BN825)+1,""))</f>
      </c>
      <c r="BP825" s="129">
        <f>IF(K825="","",IF(COUNTIF($I$3:I825,K825)+COUNTIF($J$3:J825,K825)+COUNTIF($K$3:K825,K825)=1,MAX($BN$2:BP824,BN825,BO825)+1,""))</f>
      </c>
      <c r="BQ825" s="129">
        <f>IF(AY825=1,IFERROR(MID(Q825,FIND(" (",Q825)+2,FIND(")",Q825,FIND(" (",Q825))-FIND(" (",Q825)-2),"?"),"")</f>
      </c>
      <c r="BR825" s="129">
        <f>IF(BQ825="","",IF(COUNTIF($BQ$3:BQ825,BQ825)=1,MAX($BR$2:BR824)+1,""))</f>
      </c>
      <c r="BS825" s="129">
        <f>IF(AW825="","",COUNTIF($AW$3:AW825,"?*"))</f>
      </c>
      <c r="BT825" s="129">
        <f>IF(OR(AW825="",AI825=""),"",IF(COUNTIFS($AW$3:AW825,"?*",$AI$3:AI825,AI825)=1,MAX($BT$2:BT824)+1,""))</f>
      </c>
      <c r="BU825" s="129">
        <f>IF(AE825="",0,IF(OR(ISNUMBER(SEARCH("дубль",AE825)),ISNUMBER(SEARCH("ПЕРЕГРУЗ",AE825)),ISNUMBER(SEARCH("ЗАЩИЩ",AE825)),ISNUMBER(SEARCH("КАНАЛ",AE825)),ISNUMBER(SEARCH("без 30",AE825))),2,1))</f>
      </c>
      <c r="BV825" s="129">
        <f>IF(R825="","",COUNTIF($R$3:R825,"?*"))</f>
      </c>
      <c r="BW825" s="129">
        <f>IF(AY825&lt;&gt;1,0,IF(MAX(IFERROR(--VLOOKUP(R825,УГО_спр,5,FALSE),0),IFERROR(--VLOOKUP(AL825,УГО_спр,5,FALSE),0),IFERROR(--VLOOKUP(LEFT(AL825,2),УГО_спр,5,FALSE),0))&gt;0,MAX(IFERROR(--VLOOKUP(R825,УГО_спр,5,FALSE),0),IFERROR(--VLOOKUP(AL825,УГО_спр,5,FALSE),0),IFERROR(--VLOOKUP(LEFT(AL825,2),УГО_спр,5,FALSE),0)),IF(IFERROR(--LEFT(SUBSTITUTE(BQ825,"x","х"),FIND("х",SUBSTITUTE(BQ825,"x","х"))-1),3)&gt;3,Каталог!$S$9,1)))</f>
      </c>
      <c r="BX825" s="129">
        <f>IF(AY825&lt;&gt;1,0,MAX(0,IFERROR(--LEFT(SUBSTITUTE(BQ825,"x","х"),FIND("х",SUBSTITUTE(BQ825,"x","х"))-1),3)-3*BW825))</f>
      </c>
      <c r="BY825" s="129">
        <f>IF(R825="","",IFERROR(VLOOKUP(R825,УГО_спр,2,FALSE),IFERROR(VLOOKUP(AL825,УГО_спр,2,FALSE),IFERROR(VLOOKUP(LEFT(AL825,2),УГО_спр,2,FALSE),""))))</f>
      </c>
    </row>
    <row r="826" spans="1:64" x14ac:dyDescent="0.3">
      <c r="A826" s="135">
        <f>IF(Разбивка_по_щитам!F826=0,"",Разбивка_по_щитам!F826)</f>
        <v/>
      </c>
      <c r="B826" s="138">
        <f>IF(A826="","",Разбивка_по_щитам!C826)</f>
        <v/>
      </c>
      <c r="C826" s="138">
        <f t="shared" si="502"/>
        <v/>
      </c>
      <c r="D826" s="266"/>
      <c r="E826" s="266"/>
      <c r="F826" s="267"/>
      <c r="G826" s="145">
        <f t="shared" si="503"/>
        <v/>
      </c>
      <c r="H826" s="145">
        <f t="shared" si="504"/>
        <v/>
      </c>
      <c r="I826" s="266"/>
      <c r="J826" s="267"/>
      <c r="K826" s="267"/>
      <c r="L826" s="266"/>
      <c r="M826" s="147">
        <f t="shared" si="505"/>
        <v/>
      </c>
      <c r="N826" s="267"/>
      <c r="O826" s="147">
        <f t="shared" si="506"/>
        <v/>
      </c>
      <c r="P826" s="268">
        <f>IF(AY826=1,"XT"&amp;COUNTIFS($A$3:A826,A826,$AY$3:AY826,1),"")</f>
        <v/>
      </c>
      <c r="Q826" s="152">
        <f>IF(R826="","",IFERROR(SUBSTITUTE(Разбивка_по_щитам!P826,CHAR(10)," "),""))</f>
        <v/>
      </c>
      <c r="R826" s="153">
        <f>IF(OR(Разбивка_по_щитам!H826="",Разбивка_по_щитам!H826=0),"",Разбивка_по_щитам!H826)</f>
        <v/>
      </c>
      <c r="S826" s="154">
        <f>IF(R826="","",IFERROR(Разбивка_по_щитам!J826&amp;"",""))</f>
        <v/>
      </c>
      <c r="T826" s="155">
        <f>IF(R826="","",IFERROR(--Разбивка_по_щитам!L826,""))</f>
        <v/>
      </c>
      <c r="U826" s="155">
        <f>IF(R826="","",IFERROR(--Разбивка_по_щитам!K826,""))</f>
        <v/>
      </c>
      <c r="V826" s="138">
        <f>IF(R826="","",IFERROR(IF(Разбивка_по_щитам!M826=0,"",Разбивка_по_щитам!M826),""))</f>
        <v/>
      </c>
      <c r="W826" s="156">
        <f t="shared" si="507"/>
        <v/>
      </c>
      <c r="X826" s="157">
        <f t="shared" si="508"/>
        <v/>
      </c>
      <c r="Y826" s="266"/>
      <c r="Z826" s="158">
        <f t="shared" si="509"/>
        <v/>
      </c>
      <c r="AA826" s="160">
        <f t="shared" si="510"/>
        <v/>
      </c>
      <c r="AB826" s="160">
        <f>IF(R826="","",IFERROR(LOOKUP(INDEX(Справочная!$I$4:$I$19,MATCH(VLOOKUP(R826,Исходные_данные,22,FALSE),Справочная!$J$4:$J$19,0)+1),{6,10,16,20,25,32,40,50,63,80,100,125}),""))</f>
        <v/>
      </c>
      <c r="AC826" s="160">
        <f t="shared" si="511"/>
        <v/>
      </c>
      <c r="AD826" s="161">
        <f t="shared" si="512"/>
        <v/>
      </c>
      <c r="AE826" s="161">
        <f>IF(AND(R826="",G826=""),"",_xlfn.TEXTJOIN("; ",TRUE,IF(AND(R826&lt;&gt;"",V826=""),"нет фазы",""),IF(AND(R826&lt;&gt;"",N(T826)=0),"нет мощности",""),IF(AND(P826&lt;&gt;"",COUNTIFS($A$3:$A$1000,A826,$P$3:$P$1000,P826)&gt;1),"дубль клеммы "&amp;P826,""),IF(AND(W826&lt;&gt;"",W826&lt;&gt;"ok"),W826,""),IF(X826&lt;&gt;"",X826,""),IF(AND(ISNUMBER(SEARCH("(5х",Q826)),N(AK826)=1),"5 жил на 1 фазе",""),IF(AND(AL826="R",E826&lt;&gt;"",N(AS826)=0),"розетка без 30 мА",""),IF(IFERROR(_xlfn.NUMBERVALUE(MID(Q826,FIND("-",Q826,FIND("L=",Q826))+1,FIND("%",Q826)-FIND("-",Q826,FIND("L=",Q826))-1),","),0)&gt;4,"потери &gt; 4 %","")))</f>
      </c>
      <c r="AF826" s="129">
        <f>IF(E826&lt;&gt;"",COUNTIFS($A$3:A826,A826,$E$3:E826,"?*"),IF(OR(A826&lt;&gt;A825,Y826="вручную"),"",AF825))</f>
        <v/>
      </c>
      <c r="AG826" s="129">
        <f t="shared" si="513"/>
        <v/>
      </c>
      <c r="AH826" s="129">
        <f t="shared" si="514"/>
        <v/>
      </c>
      <c r="AI826" s="129">
        <f t="shared" si="515"/>
        <v/>
      </c>
      <c r="AJ826" s="129">
        <f t="shared" si="516"/>
        <v/>
      </c>
      <c r="AK826" s="129">
        <f t="shared" si="517"/>
        <v/>
      </c>
      <c r="AL826" s="129">
        <f t="shared" si="518"/>
        <v/>
      </c>
      <c r="AM826" s="129">
        <f t="shared" si="519"/>
      </c>
      <c r="AN826" s="129">
        <f t="shared" si="520"/>
      </c>
      <c r="AO826" s="129">
        <f t="shared" si="521"/>
        <v/>
      </c>
      <c r="AP826" s="129">
        <f t="shared" si="522"/>
        <v/>
      </c>
      <c r="AQ826" s="129">
        <f t="shared" si="523"/>
        <v/>
      </c>
      <c r="AR826" s="129">
        <f t="shared" si="524"/>
        <v/>
      </c>
      <c r="AS826" s="129">
        <f t="shared" si="525"/>
        <v/>
      </c>
      <c r="AT826" s="129">
        <f t="shared" si="526"/>
        <v/>
      </c>
      <c r="AU826" s="129">
        <f t="shared" si="527"/>
        <v/>
      </c>
      <c r="AV826" s="129">
        <f t="shared" si="528"/>
        <v/>
      </c>
      <c r="AW826" s="129">
        <f>IF(AV826="","",AV826&amp;"."&amp;COUNTIFS($A$3:A826,A826,$AV$3:AV826,AV826))</f>
        <v/>
      </c>
      <c r="AX826" s="129">
        <f t="shared" si="529"/>
        <v/>
      </c>
      <c r="AY826" s="129">
        <f>IF(N826="б/к",0,IF(OR(ISNUMBER(SEARCH("L=",Разбивка_по_щитам!P826)),N826="+",N826="="),1,0))</f>
      </c>
      <c r="AZ826" s="129">
        <f t="shared" si="530"/>
        <v/>
      </c>
      <c r="BA826" s="129">
        <f t="shared" si="531"/>
      </c>
      <c r="BB826" s="129">
        <f t="shared" si="532"/>
      </c>
      <c r="BD826" s="129">
        <f t="shared" si="533"/>
      </c>
      <c r="BE826" s="129">
        <f t="shared" si="534"/>
      </c>
      <c r="BF826" s="129">
        <f t="shared" si="535"/>
      </c>
      <c r="BG826" s="129">
        <f t="shared" si="536"/>
        <v/>
      </c>
      <c r="BH826" s="129">
        <f t="shared" si="537"/>
        <v/>
      </c>
      <c r="BI826" s="129">
        <f t="shared" si="538"/>
        <v/>
      </c>
      <c r="BJ826" s="129">
        <f t="shared" si="539"/>
        <v/>
      </c>
      <c r="BK826" s="129">
        <f>IF(R826="","",IF(OR(BY826="",BY826=0),"BOX",IFERROR(IF(VLOOKUP(BY826,УГО_блоки,3,FALSE)&amp;""&lt;&gt;"",VLOOKUP(BY826,УГО_блоки,3,FALSE),VLOOKUP(BY826,УГО_блоки,2,FALSE)),BY826)))</f>
      </c>
      <c r="BL826" s="129">
        <f t="shared" si="541"/>
      </c>
      <c r="BM826" s="129">
        <f>IF(H826="","",IF(COUNTIF($H$3:H826,H826)=1,MAX($BM$2:BM825)+1,""))</f>
      </c>
      <c r="BN826" s="129">
        <f>IF(I826="","",IF(COUNTIF($I$3:I826,I826)+COUNTIF($J$2:J825,I826)+COUNTIF($K$2:K825,I826)=1,MAX($BN$2:BP825)+1,""))</f>
      </c>
      <c r="BO826" s="129">
        <f>IF(J826="","",IF(COUNTIF($I$3:I826,J826)+COUNTIF($J$3:J826,J826)+COUNTIF($K$2:K825,J826)=1,MAX($BN$2:BP825,BN826)+1,""))</f>
      </c>
      <c r="BP826" s="129">
        <f>IF(K826="","",IF(COUNTIF($I$3:I826,K826)+COUNTIF($J$3:J826,K826)+COUNTIF($K$3:K826,K826)=1,MAX($BN$2:BP825,BN826,BO826)+1,""))</f>
      </c>
      <c r="BQ826" s="129">
        <f>IF(AY826=1,IFERROR(MID(Q826,FIND(" (",Q826)+2,FIND(")",Q826,FIND(" (",Q826))-FIND(" (",Q826)-2),"?"),"")</f>
      </c>
      <c r="BR826" s="129">
        <f>IF(BQ826="","",IF(COUNTIF($BQ$3:BQ826,BQ826)=1,MAX($BR$2:BR825)+1,""))</f>
      </c>
      <c r="BS826" s="129">
        <f>IF(AW826="","",COUNTIF($AW$3:AW826,"?*"))</f>
      </c>
      <c r="BT826" s="129">
        <f>IF(OR(AW826="",AI826=""),"",IF(COUNTIFS($AW$3:AW826,"?*",$AI$3:AI826,AI826)=1,MAX($BT$2:BT825)+1,""))</f>
      </c>
      <c r="BU826" s="129">
        <f>IF(AE826="",0,IF(OR(ISNUMBER(SEARCH("дубль",AE826)),ISNUMBER(SEARCH("ПЕРЕГРУЗ",AE826)),ISNUMBER(SEARCH("ЗАЩИЩ",AE826)),ISNUMBER(SEARCH("КАНАЛ",AE826)),ISNUMBER(SEARCH("без 30",AE826))),2,1))</f>
      </c>
      <c r="BV826" s="129">
        <f>IF(R826="","",COUNTIF($R$3:R826,"?*"))</f>
      </c>
      <c r="BW826" s="129">
        <f>IF(AY826&lt;&gt;1,0,IF(MAX(IFERROR(--VLOOKUP(R826,УГО_спр,5,FALSE),0),IFERROR(--VLOOKUP(AL826,УГО_спр,5,FALSE),0),IFERROR(--VLOOKUP(LEFT(AL826,2),УГО_спр,5,FALSE),0))&gt;0,MAX(IFERROR(--VLOOKUP(R826,УГО_спр,5,FALSE),0),IFERROR(--VLOOKUP(AL826,УГО_спр,5,FALSE),0),IFERROR(--VLOOKUP(LEFT(AL826,2),УГО_спр,5,FALSE),0)),IF(IFERROR(--LEFT(SUBSTITUTE(BQ826,"x","х"),FIND("х",SUBSTITUTE(BQ826,"x","х"))-1),3)&gt;3,Каталог!$S$9,1)))</f>
      </c>
      <c r="BX826" s="129">
        <f>IF(AY826&lt;&gt;1,0,MAX(0,IFERROR(--LEFT(SUBSTITUTE(BQ826,"x","х"),FIND("х",SUBSTITUTE(BQ826,"x","х"))-1),3)-3*BW826))</f>
      </c>
      <c r="BY826" s="129">
        <f>IF(R826="","",IFERROR(VLOOKUP(R826,УГО_спр,2,FALSE),IFERROR(VLOOKUP(AL826,УГО_спр,2,FALSE),IFERROR(VLOOKUP(LEFT(AL826,2),УГО_спр,2,FALSE),""))))</f>
      </c>
    </row>
    <row r="827" spans="1:64" x14ac:dyDescent="0.3">
      <c r="A827" s="135">
        <f>IF(Разбивка_по_щитам!F827=0,"",Разбивка_по_щитам!F827)</f>
        <v/>
      </c>
      <c r="B827" s="138">
        <f>IF(A827="","",Разбивка_по_щитам!C827)</f>
        <v/>
      </c>
      <c r="C827" s="138">
        <f t="shared" si="502"/>
        <v/>
      </c>
      <c r="D827" s="266"/>
      <c r="E827" s="266"/>
      <c r="F827" s="267"/>
      <c r="G827" s="145">
        <f t="shared" si="503"/>
        <v/>
      </c>
      <c r="H827" s="145">
        <f t="shared" si="504"/>
        <v/>
      </c>
      <c r="I827" s="266"/>
      <c r="J827" s="267"/>
      <c r="K827" s="267"/>
      <c r="L827" s="266"/>
      <c r="M827" s="147">
        <f t="shared" si="505"/>
        <v/>
      </c>
      <c r="N827" s="267"/>
      <c r="O827" s="147">
        <f t="shared" si="506"/>
        <v/>
      </c>
      <c r="P827" s="268">
        <f>IF(AY827=1,"XT"&amp;COUNTIFS($A$3:A827,A827,$AY$3:AY827,1),"")</f>
        <v/>
      </c>
      <c r="Q827" s="152">
        <f>IF(R827="","",IFERROR(SUBSTITUTE(Разбивка_по_щитам!P827,CHAR(10)," "),""))</f>
        <v/>
      </c>
      <c r="R827" s="153">
        <f>IF(OR(Разбивка_по_щитам!H827="",Разбивка_по_щитам!H827=0),"",Разбивка_по_щитам!H827)</f>
        <v/>
      </c>
      <c r="S827" s="154">
        <f>IF(R827="","",IFERROR(Разбивка_по_щитам!J827&amp;"",""))</f>
        <v/>
      </c>
      <c r="T827" s="155">
        <f>IF(R827="","",IFERROR(--Разбивка_по_щитам!L827,""))</f>
        <v/>
      </c>
      <c r="U827" s="155">
        <f>IF(R827="","",IFERROR(--Разбивка_по_щитам!K827,""))</f>
        <v/>
      </c>
      <c r="V827" s="138">
        <f>IF(R827="","",IFERROR(IF(Разбивка_по_щитам!M827=0,"",Разбивка_по_щитам!M827),""))</f>
        <v/>
      </c>
      <c r="W827" s="156">
        <f t="shared" si="507"/>
        <v/>
      </c>
      <c r="X827" s="157">
        <f t="shared" si="508"/>
        <v/>
      </c>
      <c r="Y827" s="266"/>
      <c r="Z827" s="158">
        <f t="shared" si="509"/>
        <v/>
      </c>
      <c r="AA827" s="160">
        <f t="shared" si="510"/>
        <v/>
      </c>
      <c r="AB827" s="160">
        <f>IF(R827="","",IFERROR(LOOKUP(INDEX(Справочная!$I$4:$I$19,MATCH(VLOOKUP(R827,Исходные_данные,22,FALSE),Справочная!$J$4:$J$19,0)+1),{6,10,16,20,25,32,40,50,63,80,100,125}),""))</f>
        <v/>
      </c>
      <c r="AC827" s="160">
        <f t="shared" si="511"/>
        <v/>
      </c>
      <c r="AD827" s="161">
        <f t="shared" si="512"/>
        <v/>
      </c>
      <c r="AE827" s="161">
        <f>IF(AND(R827="",G827=""),"",_xlfn.TEXTJOIN("; ",TRUE,IF(AND(R827&lt;&gt;"",V827=""),"нет фазы",""),IF(AND(R827&lt;&gt;"",N(T827)=0),"нет мощности",""),IF(AND(P827&lt;&gt;"",COUNTIFS($A$3:$A$1000,A827,$P$3:$P$1000,P827)&gt;1),"дубль клеммы "&amp;P827,""),IF(AND(W827&lt;&gt;"",W827&lt;&gt;"ok"),W827,""),IF(X827&lt;&gt;"",X827,""),IF(AND(ISNUMBER(SEARCH("(5х",Q827)),N(AK827)=1),"5 жил на 1 фазе",""),IF(AND(AL827="R",E827&lt;&gt;"",N(AS827)=0),"розетка без 30 мА",""),IF(IFERROR(_xlfn.NUMBERVALUE(MID(Q827,FIND("-",Q827,FIND("L=",Q827))+1,FIND("%",Q827)-FIND("-",Q827,FIND("L=",Q827))-1),","),0)&gt;4,"потери &gt; 4 %","")))</f>
      </c>
      <c r="AF827" s="129">
        <f>IF(E827&lt;&gt;"",COUNTIFS($A$3:A827,A827,$E$3:E827,"?*"),IF(OR(A827&lt;&gt;A826,Y827="вручную"),"",AF826))</f>
        <v/>
      </c>
      <c r="AG827" s="129">
        <f t="shared" si="513"/>
        <v/>
      </c>
      <c r="AH827" s="129">
        <f t="shared" si="514"/>
        <v/>
      </c>
      <c r="AI827" s="129">
        <f t="shared" si="515"/>
        <v/>
      </c>
      <c r="AJ827" s="129">
        <f t="shared" si="516"/>
        <v/>
      </c>
      <c r="AK827" s="129">
        <f t="shared" si="517"/>
        <v/>
      </c>
      <c r="AL827" s="129">
        <f t="shared" si="518"/>
        <v/>
      </c>
      <c r="AM827" s="129">
        <f t="shared" si="519"/>
      </c>
      <c r="AN827" s="129">
        <f t="shared" si="520"/>
      </c>
      <c r="AO827" s="129">
        <f t="shared" si="521"/>
        <v/>
      </c>
      <c r="AP827" s="129">
        <f t="shared" si="522"/>
        <v/>
      </c>
      <c r="AQ827" s="129">
        <f t="shared" si="523"/>
        <v/>
      </c>
      <c r="AR827" s="129">
        <f t="shared" si="524"/>
        <v/>
      </c>
      <c r="AS827" s="129">
        <f t="shared" si="525"/>
        <v/>
      </c>
      <c r="AT827" s="129">
        <f t="shared" si="526"/>
        <v/>
      </c>
      <c r="AU827" s="129">
        <f t="shared" si="527"/>
        <v/>
      </c>
      <c r="AV827" s="129">
        <f t="shared" si="528"/>
        <v/>
      </c>
      <c r="AW827" s="129">
        <f>IF(AV827="","",AV827&amp;"."&amp;COUNTIFS($A$3:A827,A827,$AV$3:AV827,AV827))</f>
        <v/>
      </c>
      <c r="AX827" s="129">
        <f t="shared" si="529"/>
        <v/>
      </c>
      <c r="AY827" s="129">
        <f>IF(N827="б/к",0,IF(OR(ISNUMBER(SEARCH("L=",Разбивка_по_щитам!P827)),N827="+",N827="="),1,0))</f>
      </c>
      <c r="AZ827" s="129">
        <f t="shared" si="530"/>
        <v/>
      </c>
      <c r="BA827" s="129">
        <f t="shared" si="531"/>
      </c>
      <c r="BB827" s="129">
        <f t="shared" si="532"/>
      </c>
      <c r="BD827" s="129">
        <f t="shared" si="533"/>
      </c>
      <c r="BE827" s="129">
        <f t="shared" si="534"/>
      </c>
      <c r="BF827" s="129">
        <f t="shared" si="535"/>
      </c>
      <c r="BG827" s="129">
        <f t="shared" si="536"/>
        <v/>
      </c>
      <c r="BH827" s="129">
        <f t="shared" si="537"/>
        <v/>
      </c>
      <c r="BI827" s="129">
        <f t="shared" si="538"/>
        <v/>
      </c>
      <c r="BJ827" s="129">
        <f t="shared" si="539"/>
        <v/>
      </c>
      <c r="BK827" s="129">
        <f>IF(R827="","",IF(OR(BY827="",BY827=0),"BOX",IFERROR(IF(VLOOKUP(BY827,УГО_блоки,3,FALSE)&amp;""&lt;&gt;"",VLOOKUP(BY827,УГО_блоки,3,FALSE),VLOOKUP(BY827,УГО_блоки,2,FALSE)),BY827)))</f>
      </c>
      <c r="BL827" s="129">
        <f t="shared" si="541"/>
      </c>
      <c r="BM827" s="129">
        <f>IF(H827="","",IF(COUNTIF($H$3:H827,H827)=1,MAX($BM$2:BM826)+1,""))</f>
      </c>
      <c r="BN827" s="129">
        <f>IF(I827="","",IF(COUNTIF($I$3:I827,I827)+COUNTIF($J$2:J826,I827)+COUNTIF($K$2:K826,I827)=1,MAX($BN$2:BP826)+1,""))</f>
      </c>
      <c r="BO827" s="129">
        <f>IF(J827="","",IF(COUNTIF($I$3:I827,J827)+COUNTIF($J$3:J827,J827)+COUNTIF($K$2:K826,J827)=1,MAX($BN$2:BP826,BN827)+1,""))</f>
      </c>
      <c r="BP827" s="129">
        <f>IF(K827="","",IF(COUNTIF($I$3:I827,K827)+COUNTIF($J$3:J827,K827)+COUNTIF($K$3:K827,K827)=1,MAX($BN$2:BP826,BN827,BO827)+1,""))</f>
      </c>
      <c r="BQ827" s="129">
        <f>IF(AY827=1,IFERROR(MID(Q827,FIND(" (",Q827)+2,FIND(")",Q827,FIND(" (",Q827))-FIND(" (",Q827)-2),"?"),"")</f>
      </c>
      <c r="BR827" s="129">
        <f>IF(BQ827="","",IF(COUNTIF($BQ$3:BQ827,BQ827)=1,MAX($BR$2:BR826)+1,""))</f>
      </c>
      <c r="BS827" s="129">
        <f>IF(AW827="","",COUNTIF($AW$3:AW827,"?*"))</f>
      </c>
      <c r="BT827" s="129">
        <f>IF(OR(AW827="",AI827=""),"",IF(COUNTIFS($AW$3:AW827,"?*",$AI$3:AI827,AI827)=1,MAX($BT$2:BT826)+1,""))</f>
      </c>
      <c r="BU827" s="129">
        <f>IF(AE827="",0,IF(OR(ISNUMBER(SEARCH("дубль",AE827)),ISNUMBER(SEARCH("ПЕРЕГРУЗ",AE827)),ISNUMBER(SEARCH("ЗАЩИЩ",AE827)),ISNUMBER(SEARCH("КАНАЛ",AE827)),ISNUMBER(SEARCH("без 30",AE827))),2,1))</f>
      </c>
      <c r="BV827" s="129">
        <f>IF(R827="","",COUNTIF($R$3:R827,"?*"))</f>
      </c>
      <c r="BW827" s="129">
        <f>IF(AY827&lt;&gt;1,0,IF(MAX(IFERROR(--VLOOKUP(R827,УГО_спр,5,FALSE),0),IFERROR(--VLOOKUP(AL827,УГО_спр,5,FALSE),0),IFERROR(--VLOOKUP(LEFT(AL827,2),УГО_спр,5,FALSE),0))&gt;0,MAX(IFERROR(--VLOOKUP(R827,УГО_спр,5,FALSE),0),IFERROR(--VLOOKUP(AL827,УГО_спр,5,FALSE),0),IFERROR(--VLOOKUP(LEFT(AL827,2),УГО_спр,5,FALSE),0)),IF(IFERROR(--LEFT(SUBSTITUTE(BQ827,"x","х"),FIND("х",SUBSTITUTE(BQ827,"x","х"))-1),3)&gt;3,Каталог!$S$9,1)))</f>
      </c>
      <c r="BX827" s="129">
        <f>IF(AY827&lt;&gt;1,0,MAX(0,IFERROR(--LEFT(SUBSTITUTE(BQ827,"x","х"),FIND("х",SUBSTITUTE(BQ827,"x","х"))-1),3)-3*BW827))</f>
      </c>
      <c r="BY827" s="129">
        <f>IF(R827="","",IFERROR(VLOOKUP(R827,УГО_спр,2,FALSE),IFERROR(VLOOKUP(AL827,УГО_спр,2,FALSE),IFERROR(VLOOKUP(LEFT(AL827,2),УГО_спр,2,FALSE),""))))</f>
      </c>
    </row>
    <row r="828" spans="1:64" x14ac:dyDescent="0.3">
      <c r="A828" s="135">
        <f>IF(Разбивка_по_щитам!F828=0,"",Разбивка_по_щитам!F828)</f>
        <v/>
      </c>
      <c r="B828" s="138">
        <f>IF(A828="","",Разбивка_по_щитам!C828)</f>
        <v/>
      </c>
      <c r="C828" s="138">
        <f t="shared" si="502"/>
        <v/>
      </c>
      <c r="D828" s="266"/>
      <c r="E828" s="266"/>
      <c r="F828" s="267"/>
      <c r="G828" s="145">
        <f t="shared" si="503"/>
        <v/>
      </c>
      <c r="H828" s="145">
        <f t="shared" si="504"/>
        <v/>
      </c>
      <c r="I828" s="266"/>
      <c r="J828" s="267"/>
      <c r="K828" s="267"/>
      <c r="L828" s="266"/>
      <c r="M828" s="147">
        <f t="shared" si="505"/>
        <v/>
      </c>
      <c r="N828" s="267"/>
      <c r="O828" s="147">
        <f t="shared" si="506"/>
        <v/>
      </c>
      <c r="P828" s="268">
        <f>IF(AY828=1,"XT"&amp;COUNTIFS($A$3:A828,A828,$AY$3:AY828,1),"")</f>
        <v/>
      </c>
      <c r="Q828" s="152">
        <f>IF(R828="","",IFERROR(SUBSTITUTE(Разбивка_по_щитам!P828,CHAR(10)," "),""))</f>
        <v/>
      </c>
      <c r="R828" s="153">
        <f>IF(OR(Разбивка_по_щитам!H828="",Разбивка_по_щитам!H828=0),"",Разбивка_по_щитам!H828)</f>
        <v/>
      </c>
      <c r="S828" s="154">
        <f>IF(R828="","",IFERROR(Разбивка_по_щитам!J828&amp;"",""))</f>
        <v/>
      </c>
      <c r="T828" s="155">
        <f>IF(R828="","",IFERROR(--Разбивка_по_щитам!L828,""))</f>
        <v/>
      </c>
      <c r="U828" s="155">
        <f>IF(R828="","",IFERROR(--Разбивка_по_щитам!K828,""))</f>
        <v/>
      </c>
      <c r="V828" s="138">
        <f>IF(R828="","",IFERROR(IF(Разбивка_по_щитам!M828=0,"",Разбивка_по_щитам!M828),""))</f>
        <v/>
      </c>
      <c r="W828" s="156">
        <f t="shared" si="507"/>
        <v/>
      </c>
      <c r="X828" s="157">
        <f t="shared" si="508"/>
        <v/>
      </c>
      <c r="Y828" s="266"/>
      <c r="Z828" s="158">
        <f t="shared" si="509"/>
        <v/>
      </c>
      <c r="AA828" s="160">
        <f t="shared" si="510"/>
        <v/>
      </c>
      <c r="AB828" s="160">
        <f>IF(R828="","",IFERROR(LOOKUP(INDEX(Справочная!$I$4:$I$19,MATCH(VLOOKUP(R828,Исходные_данные,22,FALSE),Справочная!$J$4:$J$19,0)+1),{6,10,16,20,25,32,40,50,63,80,100,125}),""))</f>
        <v/>
      </c>
      <c r="AC828" s="160">
        <f t="shared" si="511"/>
        <v/>
      </c>
      <c r="AD828" s="161">
        <f t="shared" si="512"/>
        <v/>
      </c>
      <c r="AE828" s="161">
        <f>IF(AND(R828="",G828=""),"",_xlfn.TEXTJOIN("; ",TRUE,IF(AND(R828&lt;&gt;"",V828=""),"нет фазы",""),IF(AND(R828&lt;&gt;"",N(T828)=0),"нет мощности",""),IF(AND(P828&lt;&gt;"",COUNTIFS($A$3:$A$1000,A828,$P$3:$P$1000,P828)&gt;1),"дубль клеммы "&amp;P828,""),IF(AND(W828&lt;&gt;"",W828&lt;&gt;"ok"),W828,""),IF(X828&lt;&gt;"",X828,""),IF(AND(ISNUMBER(SEARCH("(5х",Q828)),N(AK828)=1),"5 жил на 1 фазе",""),IF(AND(AL828="R",E828&lt;&gt;"",N(AS828)=0),"розетка без 30 мА",""),IF(IFERROR(_xlfn.NUMBERVALUE(MID(Q828,FIND("-",Q828,FIND("L=",Q828))+1,FIND("%",Q828)-FIND("-",Q828,FIND("L=",Q828))-1),","),0)&gt;4,"потери &gt; 4 %","")))</f>
      </c>
      <c r="AF828" s="129">
        <f>IF(E828&lt;&gt;"",COUNTIFS($A$3:A828,A828,$E$3:E828,"?*"),IF(OR(A828&lt;&gt;A827,Y828="вручную"),"",AF827))</f>
        <v/>
      </c>
      <c r="AG828" s="129">
        <f t="shared" si="513"/>
        <v/>
      </c>
      <c r="AH828" s="129">
        <f t="shared" si="514"/>
        <v/>
      </c>
      <c r="AI828" s="129">
        <f t="shared" si="515"/>
        <v/>
      </c>
      <c r="AJ828" s="129">
        <f t="shared" si="516"/>
        <v/>
      </c>
      <c r="AK828" s="129">
        <f t="shared" si="517"/>
        <v/>
      </c>
      <c r="AL828" s="129">
        <f t="shared" si="518"/>
        <v/>
      </c>
      <c r="AM828" s="129">
        <f t="shared" si="519"/>
      </c>
      <c r="AN828" s="129">
        <f t="shared" si="520"/>
      </c>
      <c r="AO828" s="129">
        <f t="shared" si="521"/>
        <v/>
      </c>
      <c r="AP828" s="129">
        <f t="shared" si="522"/>
        <v/>
      </c>
      <c r="AQ828" s="129">
        <f t="shared" si="523"/>
        <v/>
      </c>
      <c r="AR828" s="129">
        <f t="shared" si="524"/>
        <v/>
      </c>
      <c r="AS828" s="129">
        <f t="shared" si="525"/>
        <v/>
      </c>
      <c r="AT828" s="129">
        <f t="shared" si="526"/>
        <v/>
      </c>
      <c r="AU828" s="129">
        <f t="shared" si="527"/>
        <v/>
      </c>
      <c r="AV828" s="129">
        <f t="shared" si="528"/>
        <v/>
      </c>
      <c r="AW828" s="129">
        <f>IF(AV828="","",AV828&amp;"."&amp;COUNTIFS($A$3:A828,A828,$AV$3:AV828,AV828))</f>
        <v/>
      </c>
      <c r="AX828" s="129">
        <f t="shared" si="529"/>
        <v/>
      </c>
      <c r="AY828" s="129">
        <f>IF(N828="б/к",0,IF(OR(ISNUMBER(SEARCH("L=",Разбивка_по_щитам!P828)),N828="+",N828="="),1,0))</f>
      </c>
      <c r="AZ828" s="129">
        <f t="shared" si="530"/>
        <v/>
      </c>
      <c r="BA828" s="129">
        <f t="shared" si="531"/>
      </c>
      <c r="BB828" s="129">
        <f t="shared" si="532"/>
      </c>
      <c r="BD828" s="129">
        <f t="shared" si="533"/>
      </c>
      <c r="BE828" s="129">
        <f t="shared" si="534"/>
      </c>
      <c r="BF828" s="129">
        <f t="shared" si="535"/>
      </c>
      <c r="BG828" s="129">
        <f t="shared" si="536"/>
        <v/>
      </c>
      <c r="BH828" s="129">
        <f t="shared" si="537"/>
        <v/>
      </c>
      <c r="BI828" s="129">
        <f t="shared" si="538"/>
        <v/>
      </c>
      <c r="BJ828" s="129">
        <f t="shared" si="539"/>
        <v/>
      </c>
      <c r="BK828" s="129">
        <f>IF(R828="","",IF(OR(BY828="",BY828=0),"BOX",IFERROR(IF(VLOOKUP(BY828,УГО_блоки,3,FALSE)&amp;""&lt;&gt;"",VLOOKUP(BY828,УГО_блоки,3,FALSE),VLOOKUP(BY828,УГО_блоки,2,FALSE)),BY828)))</f>
      </c>
      <c r="BL828" s="129">
        <f t="shared" si="541"/>
      </c>
      <c r="BM828" s="129">
        <f>IF(H828="","",IF(COUNTIF($H$3:H828,H828)=1,MAX($BM$2:BM827)+1,""))</f>
      </c>
      <c r="BN828" s="129">
        <f>IF(I828="","",IF(COUNTIF($I$3:I828,I828)+COUNTIF($J$2:J827,I828)+COUNTIF($K$2:K827,I828)=1,MAX($BN$2:BP827)+1,""))</f>
      </c>
      <c r="BO828" s="129">
        <f>IF(J828="","",IF(COUNTIF($I$3:I828,J828)+COUNTIF($J$3:J828,J828)+COUNTIF($K$2:K827,J828)=1,MAX($BN$2:BP827,BN828)+1,""))</f>
      </c>
      <c r="BP828" s="129">
        <f>IF(K828="","",IF(COUNTIF($I$3:I828,K828)+COUNTIF($J$3:J828,K828)+COUNTIF($K$3:K828,K828)=1,MAX($BN$2:BP827,BN828,BO828)+1,""))</f>
      </c>
      <c r="BQ828" s="129">
        <f>IF(AY828=1,IFERROR(MID(Q828,FIND(" (",Q828)+2,FIND(")",Q828,FIND(" (",Q828))-FIND(" (",Q828)-2),"?"),"")</f>
      </c>
      <c r="BR828" s="129">
        <f>IF(BQ828="","",IF(COUNTIF($BQ$3:BQ828,BQ828)=1,MAX($BR$2:BR827)+1,""))</f>
      </c>
      <c r="BS828" s="129">
        <f>IF(AW828="","",COUNTIF($AW$3:AW828,"?*"))</f>
      </c>
      <c r="BT828" s="129">
        <f>IF(OR(AW828="",AI828=""),"",IF(COUNTIFS($AW$3:AW828,"?*",$AI$3:AI828,AI828)=1,MAX($BT$2:BT827)+1,""))</f>
      </c>
      <c r="BU828" s="129">
        <f>IF(AE828="",0,IF(OR(ISNUMBER(SEARCH("дубль",AE828)),ISNUMBER(SEARCH("ПЕРЕГРУЗ",AE828)),ISNUMBER(SEARCH("ЗАЩИЩ",AE828)),ISNUMBER(SEARCH("КАНАЛ",AE828)),ISNUMBER(SEARCH("без 30",AE828))),2,1))</f>
      </c>
      <c r="BV828" s="129">
        <f>IF(R828="","",COUNTIF($R$3:R828,"?*"))</f>
      </c>
      <c r="BW828" s="129">
        <f>IF(AY828&lt;&gt;1,0,IF(MAX(IFERROR(--VLOOKUP(R828,УГО_спр,5,FALSE),0),IFERROR(--VLOOKUP(AL828,УГО_спр,5,FALSE),0),IFERROR(--VLOOKUP(LEFT(AL828,2),УГО_спр,5,FALSE),0))&gt;0,MAX(IFERROR(--VLOOKUP(R828,УГО_спр,5,FALSE),0),IFERROR(--VLOOKUP(AL828,УГО_спр,5,FALSE),0),IFERROR(--VLOOKUP(LEFT(AL828,2),УГО_спр,5,FALSE),0)),IF(IFERROR(--LEFT(SUBSTITUTE(BQ828,"x","х"),FIND("х",SUBSTITUTE(BQ828,"x","х"))-1),3)&gt;3,Каталог!$S$9,1)))</f>
      </c>
      <c r="BX828" s="129">
        <f>IF(AY828&lt;&gt;1,0,MAX(0,IFERROR(--LEFT(SUBSTITUTE(BQ828,"x","х"),FIND("х",SUBSTITUTE(BQ828,"x","х"))-1),3)-3*BW828))</f>
      </c>
      <c r="BY828" s="129">
        <f>IF(R828="","",IFERROR(VLOOKUP(R828,УГО_спр,2,FALSE),IFERROR(VLOOKUP(AL828,УГО_спр,2,FALSE),IFERROR(VLOOKUP(LEFT(AL828,2),УГО_спр,2,FALSE),""))))</f>
      </c>
    </row>
    <row r="829" spans="1:64" x14ac:dyDescent="0.3">
      <c r="A829" s="135">
        <f>IF(Разбивка_по_щитам!F829=0,"",Разбивка_по_щитам!F829)</f>
        <v/>
      </c>
      <c r="B829" s="138">
        <f>IF(A829="","",Разбивка_по_щитам!C829)</f>
        <v/>
      </c>
      <c r="C829" s="138">
        <f t="shared" si="502"/>
        <v/>
      </c>
      <c r="D829" s="266"/>
      <c r="E829" s="266"/>
      <c r="F829" s="267"/>
      <c r="G829" s="145">
        <f t="shared" si="503"/>
        <v/>
      </c>
      <c r="H829" s="145">
        <f t="shared" si="504"/>
        <v/>
      </c>
      <c r="I829" s="266"/>
      <c r="J829" s="267"/>
      <c r="K829" s="267"/>
      <c r="L829" s="266"/>
      <c r="M829" s="147">
        <f t="shared" si="505"/>
        <v/>
      </c>
      <c r="N829" s="267"/>
      <c r="O829" s="147">
        <f t="shared" si="506"/>
        <v/>
      </c>
      <c r="P829" s="268">
        <f>IF(AY829=1,"XT"&amp;COUNTIFS($A$3:A829,A829,$AY$3:AY829,1),"")</f>
        <v/>
      </c>
      <c r="Q829" s="152">
        <f>IF(R829="","",IFERROR(SUBSTITUTE(Разбивка_по_щитам!P829,CHAR(10)," "),""))</f>
        <v/>
      </c>
      <c r="R829" s="153">
        <f>IF(OR(Разбивка_по_щитам!H829="",Разбивка_по_щитам!H829=0),"",Разбивка_по_щитам!H829)</f>
        <v/>
      </c>
      <c r="S829" s="154">
        <f>IF(R829="","",IFERROR(Разбивка_по_щитам!J829&amp;"",""))</f>
        <v/>
      </c>
      <c r="T829" s="155">
        <f>IF(R829="","",IFERROR(--Разбивка_по_щитам!L829,""))</f>
        <v/>
      </c>
      <c r="U829" s="155">
        <f>IF(R829="","",IFERROR(--Разбивка_по_щитам!K829,""))</f>
        <v/>
      </c>
      <c r="V829" s="138">
        <f>IF(R829="","",IFERROR(IF(Разбивка_по_щитам!M829=0,"",Разбивка_по_щитам!M829),""))</f>
        <v/>
      </c>
      <c r="W829" s="156">
        <f t="shared" si="507"/>
        <v/>
      </c>
      <c r="X829" s="157">
        <f t="shared" si="508"/>
        <v/>
      </c>
      <c r="Y829" s="266"/>
      <c r="Z829" s="158">
        <f t="shared" si="509"/>
        <v/>
      </c>
      <c r="AA829" s="160">
        <f t="shared" si="510"/>
        <v/>
      </c>
      <c r="AB829" s="160">
        <f>IF(R829="","",IFERROR(LOOKUP(INDEX(Справочная!$I$4:$I$19,MATCH(VLOOKUP(R829,Исходные_данные,22,FALSE),Справочная!$J$4:$J$19,0)+1),{6,10,16,20,25,32,40,50,63,80,100,125}),""))</f>
        <v/>
      </c>
      <c r="AC829" s="160">
        <f t="shared" si="511"/>
        <v/>
      </c>
      <c r="AD829" s="161">
        <f t="shared" si="512"/>
        <v/>
      </c>
      <c r="AE829" s="161">
        <f>IF(AND(R829="",G829=""),"",_xlfn.TEXTJOIN("; ",TRUE,IF(AND(R829&lt;&gt;"",V829=""),"нет фазы",""),IF(AND(R829&lt;&gt;"",N(T829)=0),"нет мощности",""),IF(AND(P829&lt;&gt;"",COUNTIFS($A$3:$A$1000,A829,$P$3:$P$1000,P829)&gt;1),"дубль клеммы "&amp;P829,""),IF(AND(W829&lt;&gt;"",W829&lt;&gt;"ok"),W829,""),IF(X829&lt;&gt;"",X829,""),IF(AND(ISNUMBER(SEARCH("(5х",Q829)),N(AK829)=1),"5 жил на 1 фазе",""),IF(AND(AL829="R",E829&lt;&gt;"",N(AS829)=0),"розетка без 30 мА",""),IF(IFERROR(_xlfn.NUMBERVALUE(MID(Q829,FIND("-",Q829,FIND("L=",Q829))+1,FIND("%",Q829)-FIND("-",Q829,FIND("L=",Q829))-1),","),0)&gt;4,"потери &gt; 4 %","")))</f>
      </c>
      <c r="AF829" s="129">
        <f>IF(E829&lt;&gt;"",COUNTIFS($A$3:A829,A829,$E$3:E829,"?*"),IF(OR(A829&lt;&gt;A828,Y829="вручную"),"",AF828))</f>
        <v/>
      </c>
      <c r="AG829" s="129">
        <f t="shared" si="513"/>
        <v/>
      </c>
      <c r="AH829" s="129">
        <f t="shared" si="514"/>
        <v/>
      </c>
      <c r="AI829" s="129">
        <f t="shared" si="515"/>
        <v/>
      </c>
      <c r="AJ829" s="129">
        <f t="shared" si="516"/>
        <v/>
      </c>
      <c r="AK829" s="129">
        <f t="shared" si="517"/>
        <v/>
      </c>
      <c r="AL829" s="129">
        <f t="shared" si="518"/>
        <v/>
      </c>
      <c r="AM829" s="129">
        <f t="shared" si="519"/>
      </c>
      <c r="AN829" s="129">
        <f t="shared" si="520"/>
      </c>
      <c r="AO829" s="129">
        <f t="shared" si="521"/>
        <v/>
      </c>
      <c r="AP829" s="129">
        <f t="shared" si="522"/>
        <v/>
      </c>
      <c r="AQ829" s="129">
        <f t="shared" si="523"/>
        <v/>
      </c>
      <c r="AR829" s="129">
        <f t="shared" si="524"/>
        <v/>
      </c>
      <c r="AS829" s="129">
        <f t="shared" si="525"/>
        <v/>
      </c>
      <c r="AT829" s="129">
        <f t="shared" si="526"/>
        <v/>
      </c>
      <c r="AU829" s="129">
        <f t="shared" si="527"/>
        <v/>
      </c>
      <c r="AV829" s="129">
        <f t="shared" si="528"/>
        <v/>
      </c>
      <c r="AW829" s="129">
        <f>IF(AV829="","",AV829&amp;"."&amp;COUNTIFS($A$3:A829,A829,$AV$3:AV829,AV829))</f>
        <v/>
      </c>
      <c r="AX829" s="129">
        <f t="shared" si="529"/>
        <v/>
      </c>
      <c r="AY829" s="129">
        <f>IF(N829="б/к",0,IF(OR(ISNUMBER(SEARCH("L=",Разбивка_по_щитам!P829)),N829="+",N829="="),1,0))</f>
      </c>
      <c r="AZ829" s="129">
        <f t="shared" si="530"/>
        <v/>
      </c>
      <c r="BA829" s="129">
        <f t="shared" si="531"/>
      </c>
      <c r="BB829" s="129">
        <f t="shared" si="532"/>
      </c>
      <c r="BD829" s="129">
        <f t="shared" si="533"/>
      </c>
      <c r="BE829" s="129">
        <f t="shared" si="534"/>
      </c>
      <c r="BF829" s="129">
        <f t="shared" si="535"/>
      </c>
      <c r="BG829" s="129">
        <f t="shared" si="536"/>
        <v/>
      </c>
      <c r="BH829" s="129">
        <f t="shared" si="537"/>
        <v/>
      </c>
      <c r="BI829" s="129">
        <f t="shared" si="538"/>
        <v/>
      </c>
      <c r="BJ829" s="129">
        <f t="shared" si="539"/>
        <v/>
      </c>
      <c r="BK829" s="129">
        <f>IF(R829="","",IF(OR(BY829="",BY829=0),"BOX",IFERROR(IF(VLOOKUP(BY829,УГО_блоки,3,FALSE)&amp;""&lt;&gt;"",VLOOKUP(BY829,УГО_блоки,3,FALSE),VLOOKUP(BY829,УГО_блоки,2,FALSE)),BY829)))</f>
      </c>
      <c r="BL829" s="129">
        <f t="shared" si="541"/>
      </c>
      <c r="BM829" s="129">
        <f>IF(H829="","",IF(COUNTIF($H$3:H829,H829)=1,MAX($BM$2:BM828)+1,""))</f>
      </c>
      <c r="BN829" s="129">
        <f>IF(I829="","",IF(COUNTIF($I$3:I829,I829)+COUNTIF($J$2:J828,I829)+COUNTIF($K$2:K828,I829)=1,MAX($BN$2:BP828)+1,""))</f>
      </c>
      <c r="BO829" s="129">
        <f>IF(J829="","",IF(COUNTIF($I$3:I829,J829)+COUNTIF($J$3:J829,J829)+COUNTIF($K$2:K828,J829)=1,MAX($BN$2:BP828,BN829)+1,""))</f>
      </c>
      <c r="BP829" s="129">
        <f>IF(K829="","",IF(COUNTIF($I$3:I829,K829)+COUNTIF($J$3:J829,K829)+COUNTIF($K$3:K829,K829)=1,MAX($BN$2:BP828,BN829,BO829)+1,""))</f>
      </c>
      <c r="BQ829" s="129">
        <f>IF(AY829=1,IFERROR(MID(Q829,FIND(" (",Q829)+2,FIND(")",Q829,FIND(" (",Q829))-FIND(" (",Q829)-2),"?"),"")</f>
      </c>
      <c r="BR829" s="129">
        <f>IF(BQ829="","",IF(COUNTIF($BQ$3:BQ829,BQ829)=1,MAX($BR$2:BR828)+1,""))</f>
      </c>
      <c r="BS829" s="129">
        <f>IF(AW829="","",COUNTIF($AW$3:AW829,"?*"))</f>
      </c>
      <c r="BT829" s="129">
        <f>IF(OR(AW829="",AI829=""),"",IF(COUNTIFS($AW$3:AW829,"?*",$AI$3:AI829,AI829)=1,MAX($BT$2:BT828)+1,""))</f>
      </c>
      <c r="BU829" s="129">
        <f>IF(AE829="",0,IF(OR(ISNUMBER(SEARCH("дубль",AE829)),ISNUMBER(SEARCH("ПЕРЕГРУЗ",AE829)),ISNUMBER(SEARCH("ЗАЩИЩ",AE829)),ISNUMBER(SEARCH("КАНАЛ",AE829)),ISNUMBER(SEARCH("без 30",AE829))),2,1))</f>
      </c>
      <c r="BV829" s="129">
        <f>IF(R829="","",COUNTIF($R$3:R829,"?*"))</f>
      </c>
      <c r="BW829" s="129">
        <f>IF(AY829&lt;&gt;1,0,IF(MAX(IFERROR(--VLOOKUP(R829,УГО_спр,5,FALSE),0),IFERROR(--VLOOKUP(AL829,УГО_спр,5,FALSE),0),IFERROR(--VLOOKUP(LEFT(AL829,2),УГО_спр,5,FALSE),0))&gt;0,MAX(IFERROR(--VLOOKUP(R829,УГО_спр,5,FALSE),0),IFERROR(--VLOOKUP(AL829,УГО_спр,5,FALSE),0),IFERROR(--VLOOKUP(LEFT(AL829,2),УГО_спр,5,FALSE),0)),IF(IFERROR(--LEFT(SUBSTITUTE(BQ829,"x","х"),FIND("х",SUBSTITUTE(BQ829,"x","х"))-1),3)&gt;3,Каталог!$S$9,1)))</f>
      </c>
      <c r="BX829" s="129">
        <f>IF(AY829&lt;&gt;1,0,MAX(0,IFERROR(--LEFT(SUBSTITUTE(BQ829,"x","х"),FIND("х",SUBSTITUTE(BQ829,"x","х"))-1),3)-3*BW829))</f>
      </c>
      <c r="BY829" s="129">
        <f>IF(R829="","",IFERROR(VLOOKUP(R829,УГО_спр,2,FALSE),IFERROR(VLOOKUP(AL829,УГО_спр,2,FALSE),IFERROR(VLOOKUP(LEFT(AL829,2),УГО_спр,2,FALSE),""))))</f>
      </c>
    </row>
    <row r="830" spans="1:64" x14ac:dyDescent="0.3">
      <c r="A830" s="135">
        <f>IF(Разбивка_по_щитам!F830=0,"",Разбивка_по_щитам!F830)</f>
        <v/>
      </c>
      <c r="B830" s="138">
        <f>IF(A830="","",Разбивка_по_щитам!C830)</f>
        <v/>
      </c>
      <c r="C830" s="138">
        <f t="shared" si="502"/>
        <v/>
      </c>
      <c r="D830" s="266"/>
      <c r="E830" s="266"/>
      <c r="F830" s="267"/>
      <c r="G830" s="145">
        <f t="shared" si="503"/>
        <v/>
      </c>
      <c r="H830" s="145">
        <f t="shared" si="504"/>
        <v/>
      </c>
      <c r="I830" s="266"/>
      <c r="J830" s="267"/>
      <c r="K830" s="267"/>
      <c r="L830" s="266"/>
      <c r="M830" s="147">
        <f t="shared" si="505"/>
        <v/>
      </c>
      <c r="N830" s="267"/>
      <c r="O830" s="147">
        <f t="shared" si="506"/>
        <v/>
      </c>
      <c r="P830" s="268">
        <f>IF(AY830=1,"XT"&amp;COUNTIFS($A$3:A830,A830,$AY$3:AY830,1),"")</f>
        <v/>
      </c>
      <c r="Q830" s="152">
        <f>IF(R830="","",IFERROR(SUBSTITUTE(Разбивка_по_щитам!P830,CHAR(10)," "),""))</f>
        <v/>
      </c>
      <c r="R830" s="153">
        <f>IF(OR(Разбивка_по_щитам!H830="",Разбивка_по_щитам!H830=0),"",Разбивка_по_щитам!H830)</f>
        <v/>
      </c>
      <c r="S830" s="154">
        <f>IF(R830="","",IFERROR(Разбивка_по_щитам!J830&amp;"",""))</f>
        <v/>
      </c>
      <c r="T830" s="155">
        <f>IF(R830="","",IFERROR(--Разбивка_по_щитам!L830,""))</f>
        <v/>
      </c>
      <c r="U830" s="155">
        <f>IF(R830="","",IFERROR(--Разбивка_по_щитам!K830,""))</f>
        <v/>
      </c>
      <c r="V830" s="138">
        <f>IF(R830="","",IFERROR(IF(Разбивка_по_щитам!M830=0,"",Разбивка_по_щитам!M830),""))</f>
        <v/>
      </c>
      <c r="W830" s="156">
        <f t="shared" si="507"/>
        <v/>
      </c>
      <c r="X830" s="157">
        <f t="shared" si="508"/>
        <v/>
      </c>
      <c r="Y830" s="266"/>
      <c r="Z830" s="158">
        <f t="shared" si="509"/>
        <v/>
      </c>
      <c r="AA830" s="160">
        <f t="shared" si="510"/>
        <v/>
      </c>
      <c r="AB830" s="160">
        <f>IF(R830="","",IFERROR(LOOKUP(INDEX(Справочная!$I$4:$I$19,MATCH(VLOOKUP(R830,Исходные_данные,22,FALSE),Справочная!$J$4:$J$19,0)+1),{6,10,16,20,25,32,40,50,63,80,100,125}),""))</f>
        <v/>
      </c>
      <c r="AC830" s="160">
        <f t="shared" si="511"/>
        <v/>
      </c>
      <c r="AD830" s="161">
        <f t="shared" si="512"/>
        <v/>
      </c>
      <c r="AE830" s="161">
        <f>IF(AND(R830="",G830=""),"",_xlfn.TEXTJOIN("; ",TRUE,IF(AND(R830&lt;&gt;"",V830=""),"нет фазы",""),IF(AND(R830&lt;&gt;"",N(T830)=0),"нет мощности",""),IF(AND(P830&lt;&gt;"",COUNTIFS($A$3:$A$1000,A830,$P$3:$P$1000,P830)&gt;1),"дубль клеммы "&amp;P830,""),IF(AND(W830&lt;&gt;"",W830&lt;&gt;"ok"),W830,""),IF(X830&lt;&gt;"",X830,""),IF(AND(ISNUMBER(SEARCH("(5х",Q830)),N(AK830)=1),"5 жил на 1 фазе",""),IF(AND(AL830="R",E830&lt;&gt;"",N(AS830)=0),"розетка без 30 мА",""),IF(IFERROR(_xlfn.NUMBERVALUE(MID(Q830,FIND("-",Q830,FIND("L=",Q830))+1,FIND("%",Q830)-FIND("-",Q830,FIND("L=",Q830))-1),","),0)&gt;4,"потери &gt; 4 %","")))</f>
      </c>
      <c r="AF830" s="129">
        <f>IF(E830&lt;&gt;"",COUNTIFS($A$3:A830,A830,$E$3:E830,"?*"),IF(OR(A830&lt;&gt;A829,Y830="вручную"),"",AF829))</f>
        <v/>
      </c>
      <c r="AG830" s="129">
        <f t="shared" si="513"/>
        <v/>
      </c>
      <c r="AH830" s="129">
        <f t="shared" si="514"/>
        <v/>
      </c>
      <c r="AI830" s="129">
        <f t="shared" si="515"/>
        <v/>
      </c>
      <c r="AJ830" s="129">
        <f t="shared" si="516"/>
        <v/>
      </c>
      <c r="AK830" s="129">
        <f t="shared" si="517"/>
        <v/>
      </c>
      <c r="AL830" s="129">
        <f t="shared" si="518"/>
        <v/>
      </c>
      <c r="AM830" s="129">
        <f t="shared" si="519"/>
      </c>
      <c r="AN830" s="129">
        <f t="shared" si="520"/>
      </c>
      <c r="AO830" s="129">
        <f t="shared" si="521"/>
        <v/>
      </c>
      <c r="AP830" s="129">
        <f t="shared" si="522"/>
        <v/>
      </c>
      <c r="AQ830" s="129">
        <f t="shared" si="523"/>
        <v/>
      </c>
      <c r="AR830" s="129">
        <f t="shared" si="524"/>
        <v/>
      </c>
      <c r="AS830" s="129">
        <f t="shared" si="525"/>
        <v/>
      </c>
      <c r="AT830" s="129">
        <f t="shared" si="526"/>
        <v/>
      </c>
      <c r="AU830" s="129">
        <f t="shared" si="527"/>
        <v/>
      </c>
      <c r="AV830" s="129">
        <f t="shared" si="528"/>
        <v/>
      </c>
      <c r="AW830" s="129">
        <f>IF(AV830="","",AV830&amp;"."&amp;COUNTIFS($A$3:A830,A830,$AV$3:AV830,AV830))</f>
        <v/>
      </c>
      <c r="AX830" s="129">
        <f t="shared" si="529"/>
        <v/>
      </c>
      <c r="AY830" s="129">
        <f>IF(N830="б/к",0,IF(OR(ISNUMBER(SEARCH("L=",Разбивка_по_щитам!P830)),N830="+",N830="="),1,0))</f>
      </c>
      <c r="AZ830" s="129">
        <f t="shared" si="530"/>
        <v/>
      </c>
      <c r="BA830" s="129">
        <f t="shared" si="531"/>
      </c>
      <c r="BB830" s="129">
        <f t="shared" si="532"/>
      </c>
      <c r="BD830" s="129">
        <f t="shared" si="533"/>
      </c>
      <c r="BE830" s="129">
        <f t="shared" si="534"/>
      </c>
      <c r="BF830" s="129">
        <f t="shared" si="535"/>
      </c>
      <c r="BG830" s="129">
        <f t="shared" si="536"/>
        <v/>
      </c>
      <c r="BH830" s="129">
        <f t="shared" si="537"/>
        <v/>
      </c>
      <c r="BI830" s="129">
        <f t="shared" si="538"/>
        <v/>
      </c>
      <c r="BJ830" s="129">
        <f t="shared" si="539"/>
        <v/>
      </c>
      <c r="BK830" s="129">
        <f>IF(R830="","",IF(OR(BY830="",BY830=0),"BOX",IFERROR(IF(VLOOKUP(BY830,УГО_блоки,3,FALSE)&amp;""&lt;&gt;"",VLOOKUP(BY830,УГО_блоки,3,FALSE),VLOOKUP(BY830,УГО_блоки,2,FALSE)),BY830)))</f>
      </c>
      <c r="BL830" s="129">
        <f t="shared" si="541"/>
      </c>
      <c r="BM830" s="129">
        <f>IF(H830="","",IF(COUNTIF($H$3:H830,H830)=1,MAX($BM$2:BM829)+1,""))</f>
      </c>
      <c r="BN830" s="129">
        <f>IF(I830="","",IF(COUNTIF($I$3:I830,I830)+COUNTIF($J$2:J829,I830)+COUNTIF($K$2:K829,I830)=1,MAX($BN$2:BP829)+1,""))</f>
      </c>
      <c r="BO830" s="129">
        <f>IF(J830="","",IF(COUNTIF($I$3:I830,J830)+COUNTIF($J$3:J830,J830)+COUNTIF($K$2:K829,J830)=1,MAX($BN$2:BP829,BN830)+1,""))</f>
      </c>
      <c r="BP830" s="129">
        <f>IF(K830="","",IF(COUNTIF($I$3:I830,K830)+COUNTIF($J$3:J830,K830)+COUNTIF($K$3:K830,K830)=1,MAX($BN$2:BP829,BN830,BO830)+1,""))</f>
      </c>
      <c r="BQ830" s="129">
        <f>IF(AY830=1,IFERROR(MID(Q830,FIND(" (",Q830)+2,FIND(")",Q830,FIND(" (",Q830))-FIND(" (",Q830)-2),"?"),"")</f>
      </c>
      <c r="BR830" s="129">
        <f>IF(BQ830="","",IF(COUNTIF($BQ$3:BQ830,BQ830)=1,MAX($BR$2:BR829)+1,""))</f>
      </c>
      <c r="BS830" s="129">
        <f>IF(AW830="","",COUNTIF($AW$3:AW830,"?*"))</f>
      </c>
      <c r="BT830" s="129">
        <f>IF(OR(AW830="",AI830=""),"",IF(COUNTIFS($AW$3:AW830,"?*",$AI$3:AI830,AI830)=1,MAX($BT$2:BT829)+1,""))</f>
      </c>
      <c r="BU830" s="129">
        <f>IF(AE830="",0,IF(OR(ISNUMBER(SEARCH("дубль",AE830)),ISNUMBER(SEARCH("ПЕРЕГРУЗ",AE830)),ISNUMBER(SEARCH("ЗАЩИЩ",AE830)),ISNUMBER(SEARCH("КАНАЛ",AE830)),ISNUMBER(SEARCH("без 30",AE830))),2,1))</f>
      </c>
      <c r="BV830" s="129">
        <f>IF(R830="","",COUNTIF($R$3:R830,"?*"))</f>
      </c>
      <c r="BW830" s="129">
        <f>IF(AY830&lt;&gt;1,0,IF(MAX(IFERROR(--VLOOKUP(R830,УГО_спр,5,FALSE),0),IFERROR(--VLOOKUP(AL830,УГО_спр,5,FALSE),0),IFERROR(--VLOOKUP(LEFT(AL830,2),УГО_спр,5,FALSE),0))&gt;0,MAX(IFERROR(--VLOOKUP(R830,УГО_спр,5,FALSE),0),IFERROR(--VLOOKUP(AL830,УГО_спр,5,FALSE),0),IFERROR(--VLOOKUP(LEFT(AL830,2),УГО_спр,5,FALSE),0)),IF(IFERROR(--LEFT(SUBSTITUTE(BQ830,"x","х"),FIND("х",SUBSTITUTE(BQ830,"x","х"))-1),3)&gt;3,Каталог!$S$9,1)))</f>
      </c>
      <c r="BX830" s="129">
        <f>IF(AY830&lt;&gt;1,0,MAX(0,IFERROR(--LEFT(SUBSTITUTE(BQ830,"x","х"),FIND("х",SUBSTITUTE(BQ830,"x","х"))-1),3)-3*BW830))</f>
      </c>
      <c r="BY830" s="129">
        <f>IF(R830="","",IFERROR(VLOOKUP(R830,УГО_спр,2,FALSE),IFERROR(VLOOKUP(AL830,УГО_спр,2,FALSE),IFERROR(VLOOKUP(LEFT(AL830,2),УГО_спр,2,FALSE),""))))</f>
      </c>
    </row>
    <row r="831" spans="1:64" x14ac:dyDescent="0.3">
      <c r="A831" s="135">
        <f>IF(Разбивка_по_щитам!F831=0,"",Разбивка_по_щитам!F831)</f>
        <v/>
      </c>
      <c r="B831" s="138">
        <f>IF(A831="","",Разбивка_по_щитам!C831)</f>
        <v/>
      </c>
      <c r="C831" s="138">
        <f t="shared" si="502"/>
        <v/>
      </c>
      <c r="D831" s="266"/>
      <c r="E831" s="266"/>
      <c r="F831" s="267"/>
      <c r="G831" s="145">
        <f t="shared" si="503"/>
        <v/>
      </c>
      <c r="H831" s="145">
        <f t="shared" si="504"/>
        <v/>
      </c>
      <c r="I831" s="266"/>
      <c r="J831" s="267"/>
      <c r="K831" s="267"/>
      <c r="L831" s="266"/>
      <c r="M831" s="147">
        <f t="shared" si="505"/>
        <v/>
      </c>
      <c r="N831" s="267"/>
      <c r="O831" s="147">
        <f t="shared" si="506"/>
        <v/>
      </c>
      <c r="P831" s="268">
        <f>IF(AY831=1,"XT"&amp;COUNTIFS($A$3:A831,A831,$AY$3:AY831,1),"")</f>
        <v/>
      </c>
      <c r="Q831" s="152">
        <f>IF(R831="","",IFERROR(SUBSTITUTE(Разбивка_по_щитам!P831,CHAR(10)," "),""))</f>
        <v/>
      </c>
      <c r="R831" s="153">
        <f>IF(OR(Разбивка_по_щитам!H831="",Разбивка_по_щитам!H831=0),"",Разбивка_по_щитам!H831)</f>
        <v/>
      </c>
      <c r="S831" s="154">
        <f>IF(R831="","",IFERROR(Разбивка_по_щитам!J831&amp;"",""))</f>
        <v/>
      </c>
      <c r="T831" s="155">
        <f>IF(R831="","",IFERROR(--Разбивка_по_щитам!L831,""))</f>
        <v/>
      </c>
      <c r="U831" s="155">
        <f>IF(R831="","",IFERROR(--Разбивка_по_щитам!K831,""))</f>
        <v/>
      </c>
      <c r="V831" s="138">
        <f>IF(R831="","",IFERROR(IF(Разбивка_по_щитам!M831=0,"",Разбивка_по_щитам!M831),""))</f>
        <v/>
      </c>
      <c r="W831" s="156">
        <f t="shared" si="507"/>
        <v/>
      </c>
      <c r="X831" s="157">
        <f t="shared" si="508"/>
        <v/>
      </c>
      <c r="Y831" s="266"/>
      <c r="Z831" s="158">
        <f t="shared" si="509"/>
        <v/>
      </c>
      <c r="AA831" s="160">
        <f t="shared" si="510"/>
        <v/>
      </c>
      <c r="AB831" s="160">
        <f>IF(R831="","",IFERROR(LOOKUP(INDEX(Справочная!$I$4:$I$19,MATCH(VLOOKUP(R831,Исходные_данные,22,FALSE),Справочная!$J$4:$J$19,0)+1),{6,10,16,20,25,32,40,50,63,80,100,125}),""))</f>
        <v/>
      </c>
      <c r="AC831" s="160">
        <f t="shared" si="511"/>
        <v/>
      </c>
      <c r="AD831" s="161">
        <f t="shared" si="512"/>
        <v/>
      </c>
      <c r="AE831" s="161">
        <f>IF(AND(R831="",G831=""),"",_xlfn.TEXTJOIN("; ",TRUE,IF(AND(R831&lt;&gt;"",V831=""),"нет фазы",""),IF(AND(R831&lt;&gt;"",N(T831)=0),"нет мощности",""),IF(AND(P831&lt;&gt;"",COUNTIFS($A$3:$A$1000,A831,$P$3:$P$1000,P831)&gt;1),"дубль клеммы "&amp;P831,""),IF(AND(W831&lt;&gt;"",W831&lt;&gt;"ok"),W831,""),IF(X831&lt;&gt;"",X831,""),IF(AND(ISNUMBER(SEARCH("(5х",Q831)),N(AK831)=1),"5 жил на 1 фазе",""),IF(AND(AL831="R",E831&lt;&gt;"",N(AS831)=0),"розетка без 30 мА",""),IF(IFERROR(_xlfn.NUMBERVALUE(MID(Q831,FIND("-",Q831,FIND("L=",Q831))+1,FIND("%",Q831)-FIND("-",Q831,FIND("L=",Q831))-1),","),0)&gt;4,"потери &gt; 4 %","")))</f>
      </c>
      <c r="AF831" s="129">
        <f>IF(E831&lt;&gt;"",COUNTIFS($A$3:A831,A831,$E$3:E831,"?*"),IF(OR(A831&lt;&gt;A830,Y831="вручную"),"",AF830))</f>
        <v/>
      </c>
      <c r="AG831" s="129">
        <f t="shared" si="513"/>
        <v/>
      </c>
      <c r="AH831" s="129">
        <f t="shared" si="514"/>
        <v/>
      </c>
      <c r="AI831" s="129">
        <f t="shared" si="515"/>
        <v/>
      </c>
      <c r="AJ831" s="129">
        <f t="shared" si="516"/>
        <v/>
      </c>
      <c r="AK831" s="129">
        <f t="shared" si="517"/>
        <v/>
      </c>
      <c r="AL831" s="129">
        <f t="shared" si="518"/>
        <v/>
      </c>
      <c r="AM831" s="129">
        <f t="shared" si="519"/>
      </c>
      <c r="AN831" s="129">
        <f t="shared" si="520"/>
      </c>
      <c r="AO831" s="129">
        <f t="shared" si="521"/>
        <v/>
      </c>
      <c r="AP831" s="129">
        <f t="shared" si="522"/>
        <v/>
      </c>
      <c r="AQ831" s="129">
        <f t="shared" si="523"/>
        <v/>
      </c>
      <c r="AR831" s="129">
        <f t="shared" si="524"/>
        <v/>
      </c>
      <c r="AS831" s="129">
        <f t="shared" si="525"/>
        <v/>
      </c>
      <c r="AT831" s="129">
        <f t="shared" si="526"/>
        <v/>
      </c>
      <c r="AU831" s="129">
        <f t="shared" si="527"/>
        <v/>
      </c>
      <c r="AV831" s="129">
        <f t="shared" si="528"/>
        <v/>
      </c>
      <c r="AW831" s="129">
        <f>IF(AV831="","",AV831&amp;"."&amp;COUNTIFS($A$3:A831,A831,$AV$3:AV831,AV831))</f>
        <v/>
      </c>
      <c r="AX831" s="129">
        <f t="shared" si="529"/>
        <v/>
      </c>
      <c r="AY831" s="129">
        <f>IF(N831="б/к",0,IF(OR(ISNUMBER(SEARCH("L=",Разбивка_по_щитам!P831)),N831="+",N831="="),1,0))</f>
      </c>
      <c r="AZ831" s="129">
        <f t="shared" si="530"/>
        <v/>
      </c>
      <c r="BA831" s="129">
        <f t="shared" si="531"/>
      </c>
      <c r="BB831" s="129">
        <f t="shared" si="532"/>
      </c>
      <c r="BD831" s="129">
        <f t="shared" si="533"/>
      </c>
      <c r="BE831" s="129">
        <f t="shared" si="534"/>
      </c>
      <c r="BF831" s="129">
        <f t="shared" si="535"/>
      </c>
      <c r="BG831" s="129">
        <f t="shared" si="536"/>
        <v/>
      </c>
      <c r="BH831" s="129">
        <f t="shared" si="537"/>
        <v/>
      </c>
      <c r="BI831" s="129">
        <f t="shared" si="538"/>
        <v/>
      </c>
      <c r="BJ831" s="129">
        <f t="shared" si="539"/>
        <v/>
      </c>
      <c r="BK831" s="129">
        <f>IF(R831="","",IF(OR(BY831="",BY831=0),"BOX",IFERROR(IF(VLOOKUP(BY831,УГО_блоки,3,FALSE)&amp;""&lt;&gt;"",VLOOKUP(BY831,УГО_блоки,3,FALSE),VLOOKUP(BY831,УГО_блоки,2,FALSE)),BY831)))</f>
      </c>
      <c r="BL831" s="129">
        <f t="shared" si="541"/>
      </c>
      <c r="BM831" s="129">
        <f>IF(H831="","",IF(COUNTIF($H$3:H831,H831)=1,MAX($BM$2:BM830)+1,""))</f>
      </c>
      <c r="BN831" s="129">
        <f>IF(I831="","",IF(COUNTIF($I$3:I831,I831)+COUNTIF($J$2:J830,I831)+COUNTIF($K$2:K830,I831)=1,MAX($BN$2:BP830)+1,""))</f>
      </c>
      <c r="BO831" s="129">
        <f>IF(J831="","",IF(COUNTIF($I$3:I831,J831)+COUNTIF($J$3:J831,J831)+COUNTIF($K$2:K830,J831)=1,MAX($BN$2:BP830,BN831)+1,""))</f>
      </c>
      <c r="BP831" s="129">
        <f>IF(K831="","",IF(COUNTIF($I$3:I831,K831)+COUNTIF($J$3:J831,K831)+COUNTIF($K$3:K831,K831)=1,MAX($BN$2:BP830,BN831,BO831)+1,""))</f>
      </c>
      <c r="BQ831" s="129">
        <f>IF(AY831=1,IFERROR(MID(Q831,FIND(" (",Q831)+2,FIND(")",Q831,FIND(" (",Q831))-FIND(" (",Q831)-2),"?"),"")</f>
      </c>
      <c r="BR831" s="129">
        <f>IF(BQ831="","",IF(COUNTIF($BQ$3:BQ831,BQ831)=1,MAX($BR$2:BR830)+1,""))</f>
      </c>
      <c r="BS831" s="129">
        <f>IF(AW831="","",COUNTIF($AW$3:AW831,"?*"))</f>
      </c>
      <c r="BT831" s="129">
        <f>IF(OR(AW831="",AI831=""),"",IF(COUNTIFS($AW$3:AW831,"?*",$AI$3:AI831,AI831)=1,MAX($BT$2:BT830)+1,""))</f>
      </c>
      <c r="BU831" s="129">
        <f>IF(AE831="",0,IF(OR(ISNUMBER(SEARCH("дубль",AE831)),ISNUMBER(SEARCH("ПЕРЕГРУЗ",AE831)),ISNUMBER(SEARCH("ЗАЩИЩ",AE831)),ISNUMBER(SEARCH("КАНАЛ",AE831)),ISNUMBER(SEARCH("без 30",AE831))),2,1))</f>
      </c>
      <c r="BV831" s="129">
        <f>IF(R831="","",COUNTIF($R$3:R831,"?*"))</f>
      </c>
      <c r="BW831" s="129">
        <f>IF(AY831&lt;&gt;1,0,IF(MAX(IFERROR(--VLOOKUP(R831,УГО_спр,5,FALSE),0),IFERROR(--VLOOKUP(AL831,УГО_спр,5,FALSE),0),IFERROR(--VLOOKUP(LEFT(AL831,2),УГО_спр,5,FALSE),0))&gt;0,MAX(IFERROR(--VLOOKUP(R831,УГО_спр,5,FALSE),0),IFERROR(--VLOOKUP(AL831,УГО_спр,5,FALSE),0),IFERROR(--VLOOKUP(LEFT(AL831,2),УГО_спр,5,FALSE),0)),IF(IFERROR(--LEFT(SUBSTITUTE(BQ831,"x","х"),FIND("х",SUBSTITUTE(BQ831,"x","х"))-1),3)&gt;3,Каталог!$S$9,1)))</f>
      </c>
      <c r="BX831" s="129">
        <f>IF(AY831&lt;&gt;1,0,MAX(0,IFERROR(--LEFT(SUBSTITUTE(BQ831,"x","х"),FIND("х",SUBSTITUTE(BQ831,"x","х"))-1),3)-3*BW831))</f>
      </c>
      <c r="BY831" s="129">
        <f>IF(R831="","",IFERROR(VLOOKUP(R831,УГО_спр,2,FALSE),IFERROR(VLOOKUP(AL831,УГО_спр,2,FALSE),IFERROR(VLOOKUP(LEFT(AL831,2),УГО_спр,2,FALSE),""))))</f>
      </c>
    </row>
    <row r="832" spans="1:64" x14ac:dyDescent="0.3">
      <c r="A832" s="135">
        <f>IF(Разбивка_по_щитам!F832=0,"",Разбивка_по_щитам!F832)</f>
        <v/>
      </c>
      <c r="B832" s="138">
        <f>IF(A832="","",Разбивка_по_щитам!C832)</f>
        <v/>
      </c>
      <c r="C832" s="138">
        <f t="shared" si="502"/>
        <v/>
      </c>
      <c r="D832" s="266"/>
      <c r="E832" s="266"/>
      <c r="F832" s="267"/>
      <c r="G832" s="145">
        <f t="shared" si="503"/>
        <v/>
      </c>
      <c r="H832" s="145">
        <f t="shared" si="504"/>
        <v/>
      </c>
      <c r="I832" s="266"/>
      <c r="J832" s="267"/>
      <c r="K832" s="267"/>
      <c r="L832" s="266"/>
      <c r="M832" s="147">
        <f t="shared" si="505"/>
        <v/>
      </c>
      <c r="N832" s="267"/>
      <c r="O832" s="147">
        <f t="shared" si="506"/>
        <v/>
      </c>
      <c r="P832" s="268">
        <f>IF(AY832=1,"XT"&amp;COUNTIFS($A$3:A832,A832,$AY$3:AY832,1),"")</f>
        <v/>
      </c>
      <c r="Q832" s="152">
        <f>IF(R832="","",IFERROR(SUBSTITUTE(Разбивка_по_щитам!P832,CHAR(10)," "),""))</f>
        <v/>
      </c>
      <c r="R832" s="153">
        <f>IF(OR(Разбивка_по_щитам!H832="",Разбивка_по_щитам!H832=0),"",Разбивка_по_щитам!H832)</f>
        <v/>
      </c>
      <c r="S832" s="154">
        <f>IF(R832="","",IFERROR(Разбивка_по_щитам!J832&amp;"",""))</f>
        <v/>
      </c>
      <c r="T832" s="155">
        <f>IF(R832="","",IFERROR(--Разбивка_по_щитам!L832,""))</f>
        <v/>
      </c>
      <c r="U832" s="155">
        <f>IF(R832="","",IFERROR(--Разбивка_по_щитам!K832,""))</f>
        <v/>
      </c>
      <c r="V832" s="138">
        <f>IF(R832="","",IFERROR(IF(Разбивка_по_щитам!M832=0,"",Разбивка_по_щитам!M832),""))</f>
        <v/>
      </c>
      <c r="W832" s="156">
        <f t="shared" si="507"/>
        <v/>
      </c>
      <c r="X832" s="157">
        <f t="shared" si="508"/>
        <v/>
      </c>
      <c r="Y832" s="266"/>
      <c r="Z832" s="158">
        <f t="shared" si="509"/>
        <v/>
      </c>
      <c r="AA832" s="160">
        <f t="shared" si="510"/>
        <v/>
      </c>
      <c r="AB832" s="160">
        <f>IF(R832="","",IFERROR(LOOKUP(INDEX(Справочная!$I$4:$I$19,MATCH(VLOOKUP(R832,Исходные_данные,22,FALSE),Справочная!$J$4:$J$19,0)+1),{6,10,16,20,25,32,40,50,63,80,100,125}),""))</f>
        <v/>
      </c>
      <c r="AC832" s="160">
        <f t="shared" si="511"/>
        <v/>
      </c>
      <c r="AD832" s="161">
        <f t="shared" si="512"/>
        <v/>
      </c>
      <c r="AE832" s="161">
        <f>IF(AND(R832="",G832=""),"",_xlfn.TEXTJOIN("; ",TRUE,IF(AND(R832&lt;&gt;"",V832=""),"нет фазы",""),IF(AND(R832&lt;&gt;"",N(T832)=0),"нет мощности",""),IF(AND(P832&lt;&gt;"",COUNTIFS($A$3:$A$1000,A832,$P$3:$P$1000,P832)&gt;1),"дубль клеммы "&amp;P832,""),IF(AND(W832&lt;&gt;"",W832&lt;&gt;"ok"),W832,""),IF(X832&lt;&gt;"",X832,""),IF(AND(ISNUMBER(SEARCH("(5х",Q832)),N(AK832)=1),"5 жил на 1 фазе",""),IF(AND(AL832="R",E832&lt;&gt;"",N(AS832)=0),"розетка без 30 мА",""),IF(IFERROR(_xlfn.NUMBERVALUE(MID(Q832,FIND("-",Q832,FIND("L=",Q832))+1,FIND("%",Q832)-FIND("-",Q832,FIND("L=",Q832))-1),","),0)&gt;4,"потери &gt; 4 %","")))</f>
      </c>
      <c r="AF832" s="129">
        <f>IF(E832&lt;&gt;"",COUNTIFS($A$3:A832,A832,$E$3:E832,"?*"),IF(OR(A832&lt;&gt;A831,Y832="вручную"),"",AF831))</f>
        <v/>
      </c>
      <c r="AG832" s="129">
        <f t="shared" si="513"/>
        <v/>
      </c>
      <c r="AH832" s="129">
        <f t="shared" si="514"/>
        <v/>
      </c>
      <c r="AI832" s="129">
        <f t="shared" si="515"/>
        <v/>
      </c>
      <c r="AJ832" s="129">
        <f t="shared" si="516"/>
        <v/>
      </c>
      <c r="AK832" s="129">
        <f t="shared" si="517"/>
        <v/>
      </c>
      <c r="AL832" s="129">
        <f t="shared" si="518"/>
        <v/>
      </c>
      <c r="AM832" s="129">
        <f t="shared" si="519"/>
      </c>
      <c r="AN832" s="129">
        <f t="shared" si="520"/>
      </c>
      <c r="AO832" s="129">
        <f t="shared" si="521"/>
        <v/>
      </c>
      <c r="AP832" s="129">
        <f t="shared" si="522"/>
        <v/>
      </c>
      <c r="AQ832" s="129">
        <f t="shared" si="523"/>
        <v/>
      </c>
      <c r="AR832" s="129">
        <f t="shared" si="524"/>
        <v/>
      </c>
      <c r="AS832" s="129">
        <f t="shared" si="525"/>
        <v/>
      </c>
      <c r="AT832" s="129">
        <f t="shared" si="526"/>
        <v/>
      </c>
      <c r="AU832" s="129">
        <f t="shared" si="527"/>
        <v/>
      </c>
      <c r="AV832" s="129">
        <f t="shared" si="528"/>
        <v/>
      </c>
      <c r="AW832" s="129">
        <f>IF(AV832="","",AV832&amp;"."&amp;COUNTIFS($A$3:A832,A832,$AV$3:AV832,AV832))</f>
        <v/>
      </c>
      <c r="AX832" s="129">
        <f t="shared" si="529"/>
        <v/>
      </c>
      <c r="AY832" s="129">
        <f>IF(N832="б/к",0,IF(OR(ISNUMBER(SEARCH("L=",Разбивка_по_щитам!P832)),N832="+",N832="="),1,0))</f>
      </c>
      <c r="AZ832" s="129">
        <f t="shared" si="530"/>
        <v/>
      </c>
      <c r="BA832" s="129">
        <f t="shared" si="531"/>
      </c>
      <c r="BB832" s="129">
        <f t="shared" si="532"/>
      </c>
      <c r="BD832" s="129">
        <f t="shared" si="533"/>
      </c>
      <c r="BE832" s="129">
        <f t="shared" si="534"/>
      </c>
      <c r="BF832" s="129">
        <f t="shared" si="535"/>
      </c>
      <c r="BG832" s="129">
        <f t="shared" si="536"/>
        <v/>
      </c>
      <c r="BH832" s="129">
        <f t="shared" si="537"/>
        <v/>
      </c>
      <c r="BI832" s="129">
        <f t="shared" si="538"/>
        <v/>
      </c>
      <c r="BJ832" s="129">
        <f t="shared" si="539"/>
        <v/>
      </c>
      <c r="BK832" s="129">
        <f>IF(R832="","",IF(OR(BY832="",BY832=0),"BOX",IFERROR(IF(VLOOKUP(BY832,УГО_блоки,3,FALSE)&amp;""&lt;&gt;"",VLOOKUP(BY832,УГО_блоки,3,FALSE),VLOOKUP(BY832,УГО_блоки,2,FALSE)),BY832)))</f>
      </c>
      <c r="BL832" s="129">
        <f t="shared" si="541"/>
      </c>
      <c r="BM832" s="129">
        <f>IF(H832="","",IF(COUNTIF($H$3:H832,H832)=1,MAX($BM$2:BM831)+1,""))</f>
      </c>
      <c r="BN832" s="129">
        <f>IF(I832="","",IF(COUNTIF($I$3:I832,I832)+COUNTIF($J$2:J831,I832)+COUNTIF($K$2:K831,I832)=1,MAX($BN$2:BP831)+1,""))</f>
      </c>
      <c r="BO832" s="129">
        <f>IF(J832="","",IF(COUNTIF($I$3:I832,J832)+COUNTIF($J$3:J832,J832)+COUNTIF($K$2:K831,J832)=1,MAX($BN$2:BP831,BN832)+1,""))</f>
      </c>
      <c r="BP832" s="129">
        <f>IF(K832="","",IF(COUNTIF($I$3:I832,K832)+COUNTIF($J$3:J832,K832)+COUNTIF($K$3:K832,K832)=1,MAX($BN$2:BP831,BN832,BO832)+1,""))</f>
      </c>
      <c r="BQ832" s="129">
        <f>IF(AY832=1,IFERROR(MID(Q832,FIND(" (",Q832)+2,FIND(")",Q832,FIND(" (",Q832))-FIND(" (",Q832)-2),"?"),"")</f>
      </c>
      <c r="BR832" s="129">
        <f>IF(BQ832="","",IF(COUNTIF($BQ$3:BQ832,BQ832)=1,MAX($BR$2:BR831)+1,""))</f>
      </c>
      <c r="BS832" s="129">
        <f>IF(AW832="","",COUNTIF($AW$3:AW832,"?*"))</f>
      </c>
      <c r="BT832" s="129">
        <f>IF(OR(AW832="",AI832=""),"",IF(COUNTIFS($AW$3:AW832,"?*",$AI$3:AI832,AI832)=1,MAX($BT$2:BT831)+1,""))</f>
      </c>
      <c r="BU832" s="129">
        <f>IF(AE832="",0,IF(OR(ISNUMBER(SEARCH("дубль",AE832)),ISNUMBER(SEARCH("ПЕРЕГРУЗ",AE832)),ISNUMBER(SEARCH("ЗАЩИЩ",AE832)),ISNUMBER(SEARCH("КАНАЛ",AE832)),ISNUMBER(SEARCH("без 30",AE832))),2,1))</f>
      </c>
      <c r="BV832" s="129">
        <f>IF(R832="","",COUNTIF($R$3:R832,"?*"))</f>
      </c>
      <c r="BW832" s="129">
        <f>IF(AY832&lt;&gt;1,0,IF(MAX(IFERROR(--VLOOKUP(R832,УГО_спр,5,FALSE),0),IFERROR(--VLOOKUP(AL832,УГО_спр,5,FALSE),0),IFERROR(--VLOOKUP(LEFT(AL832,2),УГО_спр,5,FALSE),0))&gt;0,MAX(IFERROR(--VLOOKUP(R832,УГО_спр,5,FALSE),0),IFERROR(--VLOOKUP(AL832,УГО_спр,5,FALSE),0),IFERROR(--VLOOKUP(LEFT(AL832,2),УГО_спр,5,FALSE),0)),IF(IFERROR(--LEFT(SUBSTITUTE(BQ832,"x","х"),FIND("х",SUBSTITUTE(BQ832,"x","х"))-1),3)&gt;3,Каталог!$S$9,1)))</f>
      </c>
      <c r="BX832" s="129">
        <f>IF(AY832&lt;&gt;1,0,MAX(0,IFERROR(--LEFT(SUBSTITUTE(BQ832,"x","х"),FIND("х",SUBSTITUTE(BQ832,"x","х"))-1),3)-3*BW832))</f>
      </c>
      <c r="BY832" s="129">
        <f>IF(R832="","",IFERROR(VLOOKUP(R832,УГО_спр,2,FALSE),IFERROR(VLOOKUP(AL832,УГО_спр,2,FALSE),IFERROR(VLOOKUP(LEFT(AL832,2),УГО_спр,2,FALSE),""))))</f>
      </c>
    </row>
    <row r="833" spans="1:64" x14ac:dyDescent="0.3">
      <c r="A833" s="135">
        <f>IF(Разбивка_по_щитам!F833=0,"",Разбивка_по_щитам!F833)</f>
        <v/>
      </c>
      <c r="B833" s="138">
        <f>IF(A833="","",Разбивка_по_щитам!C833)</f>
        <v/>
      </c>
      <c r="C833" s="138">
        <f t="shared" si="502"/>
        <v/>
      </c>
      <c r="D833" s="266"/>
      <c r="E833" s="266"/>
      <c r="F833" s="267"/>
      <c r="G833" s="145">
        <f t="shared" si="503"/>
        <v/>
      </c>
      <c r="H833" s="145">
        <f t="shared" si="504"/>
        <v/>
      </c>
      <c r="I833" s="266"/>
      <c r="J833" s="267"/>
      <c r="K833" s="267"/>
      <c r="L833" s="266"/>
      <c r="M833" s="147">
        <f t="shared" si="505"/>
        <v/>
      </c>
      <c r="N833" s="267"/>
      <c r="O833" s="147">
        <f t="shared" si="506"/>
        <v/>
      </c>
      <c r="P833" s="268">
        <f>IF(AY833=1,"XT"&amp;COUNTIFS($A$3:A833,A833,$AY$3:AY833,1),"")</f>
        <v/>
      </c>
      <c r="Q833" s="152">
        <f>IF(R833="","",IFERROR(SUBSTITUTE(Разбивка_по_щитам!P833,CHAR(10)," "),""))</f>
        <v/>
      </c>
      <c r="R833" s="153">
        <f>IF(OR(Разбивка_по_щитам!H833="",Разбивка_по_щитам!H833=0),"",Разбивка_по_щитам!H833)</f>
        <v/>
      </c>
      <c r="S833" s="154">
        <f>IF(R833="","",IFERROR(Разбивка_по_щитам!J833&amp;"",""))</f>
        <v/>
      </c>
      <c r="T833" s="155">
        <f>IF(R833="","",IFERROR(--Разбивка_по_щитам!L833,""))</f>
        <v/>
      </c>
      <c r="U833" s="155">
        <f>IF(R833="","",IFERROR(--Разбивка_по_щитам!K833,""))</f>
        <v/>
      </c>
      <c r="V833" s="138">
        <f>IF(R833="","",IFERROR(IF(Разбивка_по_щитам!M833=0,"",Разбивка_по_щитам!M833),""))</f>
        <v/>
      </c>
      <c r="W833" s="156">
        <f t="shared" si="507"/>
        <v/>
      </c>
      <c r="X833" s="157">
        <f t="shared" si="508"/>
        <v/>
      </c>
      <c r="Y833" s="266"/>
      <c r="Z833" s="158">
        <f t="shared" si="509"/>
        <v/>
      </c>
      <c r="AA833" s="160">
        <f t="shared" si="510"/>
        <v/>
      </c>
      <c r="AB833" s="160">
        <f>IF(R833="","",IFERROR(LOOKUP(INDEX(Справочная!$I$4:$I$19,MATCH(VLOOKUP(R833,Исходные_данные,22,FALSE),Справочная!$J$4:$J$19,0)+1),{6,10,16,20,25,32,40,50,63,80,100,125}),""))</f>
        <v/>
      </c>
      <c r="AC833" s="160">
        <f t="shared" si="511"/>
        <v/>
      </c>
      <c r="AD833" s="161">
        <f t="shared" si="512"/>
        <v/>
      </c>
      <c r="AE833" s="161">
        <f>IF(AND(R833="",G833=""),"",_xlfn.TEXTJOIN("; ",TRUE,IF(AND(R833&lt;&gt;"",V833=""),"нет фазы",""),IF(AND(R833&lt;&gt;"",N(T833)=0),"нет мощности",""),IF(AND(P833&lt;&gt;"",COUNTIFS($A$3:$A$1000,A833,$P$3:$P$1000,P833)&gt;1),"дубль клеммы "&amp;P833,""),IF(AND(W833&lt;&gt;"",W833&lt;&gt;"ok"),W833,""),IF(X833&lt;&gt;"",X833,""),IF(AND(ISNUMBER(SEARCH("(5х",Q833)),N(AK833)=1),"5 жил на 1 фазе",""),IF(AND(AL833="R",E833&lt;&gt;"",N(AS833)=0),"розетка без 30 мА",""),IF(IFERROR(_xlfn.NUMBERVALUE(MID(Q833,FIND("-",Q833,FIND("L=",Q833))+1,FIND("%",Q833)-FIND("-",Q833,FIND("L=",Q833))-1),","),0)&gt;4,"потери &gt; 4 %","")))</f>
      </c>
      <c r="AF833" s="129">
        <f>IF(E833&lt;&gt;"",COUNTIFS($A$3:A833,A833,$E$3:E833,"?*"),IF(OR(A833&lt;&gt;A832,Y833="вручную"),"",AF832))</f>
        <v/>
      </c>
      <c r="AG833" s="129">
        <f t="shared" si="513"/>
        <v/>
      </c>
      <c r="AH833" s="129">
        <f t="shared" si="514"/>
        <v/>
      </c>
      <c r="AI833" s="129">
        <f t="shared" si="515"/>
        <v/>
      </c>
      <c r="AJ833" s="129">
        <f t="shared" si="516"/>
        <v/>
      </c>
      <c r="AK833" s="129">
        <f t="shared" si="517"/>
        <v/>
      </c>
      <c r="AL833" s="129">
        <f t="shared" si="518"/>
        <v/>
      </c>
      <c r="AM833" s="129">
        <f t="shared" si="519"/>
      </c>
      <c r="AN833" s="129">
        <f t="shared" si="520"/>
      </c>
      <c r="AO833" s="129">
        <f t="shared" si="521"/>
        <v/>
      </c>
      <c r="AP833" s="129">
        <f t="shared" si="522"/>
        <v/>
      </c>
      <c r="AQ833" s="129">
        <f t="shared" si="523"/>
        <v/>
      </c>
      <c r="AR833" s="129">
        <f t="shared" si="524"/>
        <v/>
      </c>
      <c r="AS833" s="129">
        <f t="shared" si="525"/>
        <v/>
      </c>
      <c r="AT833" s="129">
        <f t="shared" si="526"/>
        <v/>
      </c>
      <c r="AU833" s="129">
        <f t="shared" si="527"/>
        <v/>
      </c>
      <c r="AV833" s="129">
        <f t="shared" si="528"/>
        <v/>
      </c>
      <c r="AW833" s="129">
        <f>IF(AV833="","",AV833&amp;"."&amp;COUNTIFS($A$3:A833,A833,$AV$3:AV833,AV833))</f>
        <v/>
      </c>
      <c r="AX833" s="129">
        <f t="shared" si="529"/>
        <v/>
      </c>
      <c r="AY833" s="129">
        <f>IF(N833="б/к",0,IF(OR(ISNUMBER(SEARCH("L=",Разбивка_по_щитам!P833)),N833="+",N833="="),1,0))</f>
      </c>
      <c r="AZ833" s="129">
        <f t="shared" si="530"/>
        <v/>
      </c>
      <c r="BA833" s="129">
        <f t="shared" si="531"/>
      </c>
      <c r="BB833" s="129">
        <f t="shared" si="532"/>
      </c>
      <c r="BD833" s="129">
        <f t="shared" si="533"/>
      </c>
      <c r="BE833" s="129">
        <f t="shared" si="534"/>
      </c>
      <c r="BF833" s="129">
        <f t="shared" si="535"/>
      </c>
      <c r="BG833" s="129">
        <f t="shared" si="536"/>
        <v/>
      </c>
      <c r="BH833" s="129">
        <f t="shared" si="537"/>
        <v/>
      </c>
      <c r="BI833" s="129">
        <f t="shared" si="538"/>
        <v/>
      </c>
      <c r="BJ833" s="129">
        <f t="shared" si="539"/>
        <v/>
      </c>
      <c r="BK833" s="129">
        <f>IF(R833="","",IF(OR(BY833="",BY833=0),"BOX",IFERROR(IF(VLOOKUP(BY833,УГО_блоки,3,FALSE)&amp;""&lt;&gt;"",VLOOKUP(BY833,УГО_блоки,3,FALSE),VLOOKUP(BY833,УГО_блоки,2,FALSE)),BY833)))</f>
      </c>
      <c r="BL833" s="129">
        <f t="shared" si="541"/>
      </c>
      <c r="BM833" s="129">
        <f>IF(H833="","",IF(COUNTIF($H$3:H833,H833)=1,MAX($BM$2:BM832)+1,""))</f>
      </c>
      <c r="BN833" s="129">
        <f>IF(I833="","",IF(COUNTIF($I$3:I833,I833)+COUNTIF($J$2:J832,I833)+COUNTIF($K$2:K832,I833)=1,MAX($BN$2:BP832)+1,""))</f>
      </c>
      <c r="BO833" s="129">
        <f>IF(J833="","",IF(COUNTIF($I$3:I833,J833)+COUNTIF($J$3:J833,J833)+COUNTIF($K$2:K832,J833)=1,MAX($BN$2:BP832,BN833)+1,""))</f>
      </c>
      <c r="BP833" s="129">
        <f>IF(K833="","",IF(COUNTIF($I$3:I833,K833)+COUNTIF($J$3:J833,K833)+COUNTIF($K$3:K833,K833)=1,MAX($BN$2:BP832,BN833,BO833)+1,""))</f>
      </c>
      <c r="BQ833" s="129">
        <f>IF(AY833=1,IFERROR(MID(Q833,FIND(" (",Q833)+2,FIND(")",Q833,FIND(" (",Q833))-FIND(" (",Q833)-2),"?"),"")</f>
      </c>
      <c r="BR833" s="129">
        <f>IF(BQ833="","",IF(COUNTIF($BQ$3:BQ833,BQ833)=1,MAX($BR$2:BR832)+1,""))</f>
      </c>
      <c r="BS833" s="129">
        <f>IF(AW833="","",COUNTIF($AW$3:AW833,"?*"))</f>
      </c>
      <c r="BT833" s="129">
        <f>IF(OR(AW833="",AI833=""),"",IF(COUNTIFS($AW$3:AW833,"?*",$AI$3:AI833,AI833)=1,MAX($BT$2:BT832)+1,""))</f>
      </c>
      <c r="BU833" s="129">
        <f>IF(AE833="",0,IF(OR(ISNUMBER(SEARCH("дубль",AE833)),ISNUMBER(SEARCH("ПЕРЕГРУЗ",AE833)),ISNUMBER(SEARCH("ЗАЩИЩ",AE833)),ISNUMBER(SEARCH("КАНАЛ",AE833)),ISNUMBER(SEARCH("без 30",AE833))),2,1))</f>
      </c>
      <c r="BV833" s="129">
        <f>IF(R833="","",COUNTIF($R$3:R833,"?*"))</f>
      </c>
      <c r="BW833" s="129">
        <f>IF(AY833&lt;&gt;1,0,IF(MAX(IFERROR(--VLOOKUP(R833,УГО_спр,5,FALSE),0),IFERROR(--VLOOKUP(AL833,УГО_спр,5,FALSE),0),IFERROR(--VLOOKUP(LEFT(AL833,2),УГО_спр,5,FALSE),0))&gt;0,MAX(IFERROR(--VLOOKUP(R833,УГО_спр,5,FALSE),0),IFERROR(--VLOOKUP(AL833,УГО_спр,5,FALSE),0),IFERROR(--VLOOKUP(LEFT(AL833,2),УГО_спр,5,FALSE),0)),IF(IFERROR(--LEFT(SUBSTITUTE(BQ833,"x","х"),FIND("х",SUBSTITUTE(BQ833,"x","х"))-1),3)&gt;3,Каталог!$S$9,1)))</f>
      </c>
      <c r="BX833" s="129">
        <f>IF(AY833&lt;&gt;1,0,MAX(0,IFERROR(--LEFT(SUBSTITUTE(BQ833,"x","х"),FIND("х",SUBSTITUTE(BQ833,"x","х"))-1),3)-3*BW833))</f>
      </c>
      <c r="BY833" s="129">
        <f>IF(R833="","",IFERROR(VLOOKUP(R833,УГО_спр,2,FALSE),IFERROR(VLOOKUP(AL833,УГО_спр,2,FALSE),IFERROR(VLOOKUP(LEFT(AL833,2),УГО_спр,2,FALSE),""))))</f>
      </c>
    </row>
    <row r="834" spans="1:64" x14ac:dyDescent="0.3">
      <c r="A834" s="135">
        <f>IF(Разбивка_по_щитам!F834=0,"",Разбивка_по_щитам!F834)</f>
        <v/>
      </c>
      <c r="B834" s="138">
        <f>IF(A834="","",Разбивка_по_щитам!C834)</f>
        <v/>
      </c>
      <c r="C834" s="138">
        <f t="shared" si="502"/>
        <v/>
      </c>
      <c r="D834" s="266"/>
      <c r="E834" s="266"/>
      <c r="F834" s="267"/>
      <c r="G834" s="145">
        <f t="shared" si="503"/>
        <v/>
      </c>
      <c r="H834" s="145">
        <f t="shared" si="504"/>
        <v/>
      </c>
      <c r="I834" s="266"/>
      <c r="J834" s="267"/>
      <c r="K834" s="267"/>
      <c r="L834" s="266"/>
      <c r="M834" s="147">
        <f t="shared" si="505"/>
        <v/>
      </c>
      <c r="N834" s="267"/>
      <c r="O834" s="147">
        <f t="shared" si="506"/>
        <v/>
      </c>
      <c r="P834" s="268">
        <f>IF(AY834=1,"XT"&amp;COUNTIFS($A$3:A834,A834,$AY$3:AY834,1),"")</f>
        <v/>
      </c>
      <c r="Q834" s="152">
        <f>IF(R834="","",IFERROR(SUBSTITUTE(Разбивка_по_щитам!P834,CHAR(10)," "),""))</f>
        <v/>
      </c>
      <c r="R834" s="153">
        <f>IF(OR(Разбивка_по_щитам!H834="",Разбивка_по_щитам!H834=0),"",Разбивка_по_щитам!H834)</f>
        <v/>
      </c>
      <c r="S834" s="154">
        <f>IF(R834="","",IFERROR(Разбивка_по_щитам!J834&amp;"",""))</f>
        <v/>
      </c>
      <c r="T834" s="155">
        <f>IF(R834="","",IFERROR(--Разбивка_по_щитам!L834,""))</f>
        <v/>
      </c>
      <c r="U834" s="155">
        <f>IF(R834="","",IFERROR(--Разбивка_по_щитам!K834,""))</f>
        <v/>
      </c>
      <c r="V834" s="138">
        <f>IF(R834="","",IFERROR(IF(Разбивка_по_щитам!M834=0,"",Разбивка_по_щитам!M834),""))</f>
        <v/>
      </c>
      <c r="W834" s="156">
        <f t="shared" si="507"/>
        <v/>
      </c>
      <c r="X834" s="157">
        <f t="shared" si="508"/>
        <v/>
      </c>
      <c r="Y834" s="266"/>
      <c r="Z834" s="158">
        <f t="shared" si="509"/>
        <v/>
      </c>
      <c r="AA834" s="160">
        <f t="shared" si="510"/>
        <v/>
      </c>
      <c r="AB834" s="160">
        <f>IF(R834="","",IFERROR(LOOKUP(INDEX(Справочная!$I$4:$I$19,MATCH(VLOOKUP(R834,Исходные_данные,22,FALSE),Справочная!$J$4:$J$19,0)+1),{6,10,16,20,25,32,40,50,63,80,100,125}),""))</f>
        <v/>
      </c>
      <c r="AC834" s="160">
        <f t="shared" si="511"/>
        <v/>
      </c>
      <c r="AD834" s="161">
        <f t="shared" si="512"/>
        <v/>
      </c>
      <c r="AE834" s="161">
        <f>IF(AND(R834="",G834=""),"",_xlfn.TEXTJOIN("; ",TRUE,IF(AND(R834&lt;&gt;"",V834=""),"нет фазы",""),IF(AND(R834&lt;&gt;"",N(T834)=0),"нет мощности",""),IF(AND(P834&lt;&gt;"",COUNTIFS($A$3:$A$1000,A834,$P$3:$P$1000,P834)&gt;1),"дубль клеммы "&amp;P834,""),IF(AND(W834&lt;&gt;"",W834&lt;&gt;"ok"),W834,""),IF(X834&lt;&gt;"",X834,""),IF(AND(ISNUMBER(SEARCH("(5х",Q834)),N(AK834)=1),"5 жил на 1 фазе",""),IF(AND(AL834="R",E834&lt;&gt;"",N(AS834)=0),"розетка без 30 мА",""),IF(IFERROR(_xlfn.NUMBERVALUE(MID(Q834,FIND("-",Q834,FIND("L=",Q834))+1,FIND("%",Q834)-FIND("-",Q834,FIND("L=",Q834))-1),","),0)&gt;4,"потери &gt; 4 %","")))</f>
      </c>
      <c r="AF834" s="129">
        <f>IF(E834&lt;&gt;"",COUNTIFS($A$3:A834,A834,$E$3:E834,"?*"),IF(OR(A834&lt;&gt;A833,Y834="вручную"),"",AF833))</f>
        <v/>
      </c>
      <c r="AG834" s="129">
        <f t="shared" si="513"/>
        <v/>
      </c>
      <c r="AH834" s="129">
        <f t="shared" si="514"/>
        <v/>
      </c>
      <c r="AI834" s="129">
        <f t="shared" si="515"/>
        <v/>
      </c>
      <c r="AJ834" s="129">
        <f t="shared" si="516"/>
        <v/>
      </c>
      <c r="AK834" s="129">
        <f t="shared" si="517"/>
        <v/>
      </c>
      <c r="AL834" s="129">
        <f t="shared" si="518"/>
        <v/>
      </c>
      <c r="AM834" s="129">
        <f t="shared" si="519"/>
      </c>
      <c r="AN834" s="129">
        <f t="shared" si="520"/>
      </c>
      <c r="AO834" s="129">
        <f t="shared" si="521"/>
        <v/>
      </c>
      <c r="AP834" s="129">
        <f t="shared" si="522"/>
        <v/>
      </c>
      <c r="AQ834" s="129">
        <f t="shared" si="523"/>
        <v/>
      </c>
      <c r="AR834" s="129">
        <f t="shared" si="524"/>
        <v/>
      </c>
      <c r="AS834" s="129">
        <f t="shared" si="525"/>
        <v/>
      </c>
      <c r="AT834" s="129">
        <f t="shared" si="526"/>
        <v/>
      </c>
      <c r="AU834" s="129">
        <f t="shared" si="527"/>
        <v/>
      </c>
      <c r="AV834" s="129">
        <f t="shared" si="528"/>
        <v/>
      </c>
      <c r="AW834" s="129">
        <f>IF(AV834="","",AV834&amp;"."&amp;COUNTIFS($A$3:A834,A834,$AV$3:AV834,AV834))</f>
        <v/>
      </c>
      <c r="AX834" s="129">
        <f t="shared" si="529"/>
        <v/>
      </c>
      <c r="AY834" s="129">
        <f>IF(N834="б/к",0,IF(OR(ISNUMBER(SEARCH("L=",Разбивка_по_щитам!P834)),N834="+",N834="="),1,0))</f>
      </c>
      <c r="AZ834" s="129">
        <f t="shared" si="530"/>
        <v/>
      </c>
      <c r="BA834" s="129">
        <f t="shared" si="531"/>
      </c>
      <c r="BB834" s="129">
        <f t="shared" si="532"/>
      </c>
      <c r="BD834" s="129">
        <f t="shared" si="533"/>
      </c>
      <c r="BE834" s="129">
        <f t="shared" si="534"/>
      </c>
      <c r="BF834" s="129">
        <f t="shared" si="535"/>
      </c>
      <c r="BG834" s="129">
        <f t="shared" si="536"/>
        <v/>
      </c>
      <c r="BH834" s="129">
        <f t="shared" si="537"/>
        <v/>
      </c>
      <c r="BI834" s="129">
        <f t="shared" si="538"/>
        <v/>
      </c>
      <c r="BJ834" s="129">
        <f t="shared" si="539"/>
        <v/>
      </c>
      <c r="BK834" s="129">
        <f>IF(R834="","",IF(OR(BY834="",BY834=0),"BOX",IFERROR(IF(VLOOKUP(BY834,УГО_блоки,3,FALSE)&amp;""&lt;&gt;"",VLOOKUP(BY834,УГО_блоки,3,FALSE),VLOOKUP(BY834,УГО_блоки,2,FALSE)),BY834)))</f>
      </c>
      <c r="BL834" s="129">
        <f t="shared" si="541"/>
      </c>
      <c r="BM834" s="129">
        <f>IF(H834="","",IF(COUNTIF($H$3:H834,H834)=1,MAX($BM$2:BM833)+1,""))</f>
      </c>
      <c r="BN834" s="129">
        <f>IF(I834="","",IF(COUNTIF($I$3:I834,I834)+COUNTIF($J$2:J833,I834)+COUNTIF($K$2:K833,I834)=1,MAX($BN$2:BP833)+1,""))</f>
      </c>
      <c r="BO834" s="129">
        <f>IF(J834="","",IF(COUNTIF($I$3:I834,J834)+COUNTIF($J$3:J834,J834)+COUNTIF($K$2:K833,J834)=1,MAX($BN$2:BP833,BN834)+1,""))</f>
      </c>
      <c r="BP834" s="129">
        <f>IF(K834="","",IF(COUNTIF($I$3:I834,K834)+COUNTIF($J$3:J834,K834)+COUNTIF($K$3:K834,K834)=1,MAX($BN$2:BP833,BN834,BO834)+1,""))</f>
      </c>
      <c r="BQ834" s="129">
        <f>IF(AY834=1,IFERROR(MID(Q834,FIND(" (",Q834)+2,FIND(")",Q834,FIND(" (",Q834))-FIND(" (",Q834)-2),"?"),"")</f>
      </c>
      <c r="BR834" s="129">
        <f>IF(BQ834="","",IF(COUNTIF($BQ$3:BQ834,BQ834)=1,MAX($BR$2:BR833)+1,""))</f>
      </c>
      <c r="BS834" s="129">
        <f>IF(AW834="","",COUNTIF($AW$3:AW834,"?*"))</f>
      </c>
      <c r="BT834" s="129">
        <f>IF(OR(AW834="",AI834=""),"",IF(COUNTIFS($AW$3:AW834,"?*",$AI$3:AI834,AI834)=1,MAX($BT$2:BT833)+1,""))</f>
      </c>
      <c r="BU834" s="129">
        <f>IF(AE834="",0,IF(OR(ISNUMBER(SEARCH("дубль",AE834)),ISNUMBER(SEARCH("ПЕРЕГРУЗ",AE834)),ISNUMBER(SEARCH("ЗАЩИЩ",AE834)),ISNUMBER(SEARCH("КАНАЛ",AE834)),ISNUMBER(SEARCH("без 30",AE834))),2,1))</f>
      </c>
      <c r="BV834" s="129">
        <f>IF(R834="","",COUNTIF($R$3:R834,"?*"))</f>
      </c>
      <c r="BW834" s="129">
        <f>IF(AY834&lt;&gt;1,0,IF(MAX(IFERROR(--VLOOKUP(R834,УГО_спр,5,FALSE),0),IFERROR(--VLOOKUP(AL834,УГО_спр,5,FALSE),0),IFERROR(--VLOOKUP(LEFT(AL834,2),УГО_спр,5,FALSE),0))&gt;0,MAX(IFERROR(--VLOOKUP(R834,УГО_спр,5,FALSE),0),IFERROR(--VLOOKUP(AL834,УГО_спр,5,FALSE),0),IFERROR(--VLOOKUP(LEFT(AL834,2),УГО_спр,5,FALSE),0)),IF(IFERROR(--LEFT(SUBSTITUTE(BQ834,"x","х"),FIND("х",SUBSTITUTE(BQ834,"x","х"))-1),3)&gt;3,Каталог!$S$9,1)))</f>
      </c>
      <c r="BX834" s="129">
        <f>IF(AY834&lt;&gt;1,0,MAX(0,IFERROR(--LEFT(SUBSTITUTE(BQ834,"x","х"),FIND("х",SUBSTITUTE(BQ834,"x","х"))-1),3)-3*BW834))</f>
      </c>
      <c r="BY834" s="129">
        <f>IF(R834="","",IFERROR(VLOOKUP(R834,УГО_спр,2,FALSE),IFERROR(VLOOKUP(AL834,УГО_спр,2,FALSE),IFERROR(VLOOKUP(LEFT(AL834,2),УГО_спр,2,FALSE),""))))</f>
      </c>
    </row>
    <row r="835" spans="1:64" x14ac:dyDescent="0.3">
      <c r="A835" s="135">
        <f>IF(Разбивка_по_щитам!F835=0,"",Разбивка_по_щитам!F835)</f>
        <v/>
      </c>
      <c r="B835" s="138">
        <f>IF(A835="","",Разбивка_по_щитам!C835)</f>
        <v/>
      </c>
      <c r="C835" s="138">
        <f t="shared" ref="C835:C898" si="542">IF(B835="","",INT((B835-1)/Столбцов_на_лист)+1)</f>
        <v/>
      </c>
      <c r="D835" s="266"/>
      <c r="E835" s="266"/>
      <c r="F835" s="267"/>
      <c r="G835" s="145">
        <f t="shared" ref="G835:G898" si="543">IF(OR(R835&lt;&gt;"",O835&lt;&gt;"",AY835=1),AG835,"")</f>
        <v/>
      </c>
      <c r="H835" s="145">
        <f t="shared" ref="H835:H898" si="544">IF(E835="","",IF(AND(E835&lt;&gt;"авто",E835&lt;&gt;"+"),E835,AT835&amp;" С"&amp;AQ835&amp;"А"&amp;IF(AS835=1," 30мА","")))</f>
        <v/>
      </c>
      <c r="I835" s="266"/>
      <c r="J835" s="267"/>
      <c r="K835" s="267"/>
      <c r="L835" s="266"/>
      <c r="M835" s="147">
        <f t="shared" ref="M835:M898" si="545">IF(OR(O835&lt;&gt;"",AND(L835&lt;&gt;"",L835&lt;&gt;"-")),AH835,"")</f>
        <v/>
      </c>
      <c r="N835" s="267"/>
      <c r="O835" s="147">
        <f t="shared" ref="O835:O898" si="546">IF(N835="=",AX834,IF(ISNUMBER(N835),N835,IF(AH835="","",IF(OR(R835&lt;&gt;"",N835="+",N835="р"),IF(OR(AW835&lt;&gt;"",AX834=""),1,AX834+1),""))))</f>
        <v/>
      </c>
      <c r="P835" s="268">
        <f>IF(AY835=1,"XT"&amp;COUNTIFS($A$3:A835,A835,$AY$3:AY835,1),"")</f>
        <v/>
      </c>
      <c r="Q835" s="152">
        <f>IF(R835="","",IFERROR(SUBSTITUTE(Разбивка_по_щитам!P835,CHAR(10)," "),""))</f>
        <v/>
      </c>
      <c r="R835" s="153">
        <f>IF(OR(Разбивка_по_щитам!H835="",Разбивка_по_щитам!H835=0),"",Разбивка_по_щитам!H835)</f>
        <v/>
      </c>
      <c r="S835" s="154">
        <f>IF(R835="","",IFERROR(Разбивка_по_щитам!J835&amp;"",""))</f>
        <v/>
      </c>
      <c r="T835" s="155">
        <f>IF(R835="","",IFERROR(--Разбивка_по_щитам!L835,""))</f>
        <v/>
      </c>
      <c r="U835" s="155">
        <f>IF(R835="","",IFERROR(--Разбивка_по_щитам!K835,""))</f>
        <v/>
      </c>
      <c r="V835" s="138">
        <f>IF(R835="","",IFERROR(IF(Разбивка_по_щитам!M835=0,"",Разбивка_по_щитам!M835),""))</f>
        <v/>
      </c>
      <c r="W835" s="156">
        <f t="shared" ref="W835:W898" si="547">IF(E835="","",IF(NOT(ISNUMBER(AU835)),"",IF(Z835&gt;AU835,"ПЕРЕГРУЗ",IF(AND(BA835=0,AP835&gt;0,AU835&gt;AP835),"КАБЕЛЬ НЕ ЗАЩИЩЁН","ok"))))</f>
        <v/>
      </c>
      <c r="X835" s="157">
        <f t="shared" ref="X835:X898" si="548">IF(OR(O835="",AH835=""),"",IF(O835&gt;IFERROR(VLOOKUP(AI835,Модули_спр,3,FALSE),99),"ЛИШНИЙ КАНАЛ",IF(AND(N835&lt;&gt;"=",COUNTIFS($AH$3:$AH$1000,AH835,$O$3:$O$1000,O835,$N$3:$N$1000,"&lt;&gt;=")&gt;1),"ДУБЛЬ КАНАЛА","")))</f>
        <v/>
      </c>
      <c r="Y835" s="266"/>
      <c r="Z835" s="158">
        <f t="shared" ref="Z835:Z898" si="549">IF(E835="","",SUMIFS($U$3:$U$1000,$AF$3:$AF$1000,AF835,$A$3:$A$1000,A835,$AN$3:$AN$1000,0))</f>
        <v/>
      </c>
      <c r="AA835" s="160">
        <f t="shared" ref="AA835:AA898" si="550">IF(E835="","",IFERROR(VLOOKUP(Z835,Автомат_номиналы,2,TRUE),""))</f>
        <v/>
      </c>
      <c r="AB835" s="160">
        <f>IF(R835="","",IFERROR(LOOKUP(INDEX(Справочная!$I$4:$I$19,MATCH(VLOOKUP(R835,Исходные_данные,22,FALSE),Справочная!$J$4:$J$19,0)+1),{6,10,16,20,25,32,40,50,63,80,100,125}),""))</f>
        <v/>
      </c>
      <c r="AC835" s="160">
        <f t="shared" ref="AC835:AC898" si="551">IF(M835="","",AI835)</f>
        <v/>
      </c>
      <c r="AD835" s="161">
        <f t="shared" ref="AD835:AD898" si="552">IF(AND(R835="",O835="",P835=""),"",_xlfn.TEXTJOIN(" → ",TRUE,AG835,AZ835,IF(AH835&lt;&gt;"",AH835&amp;IF(O835&lt;&gt;""," к."&amp;O835,""),IF(O835&lt;&gt;"","к."&amp;O835,"")),P835,IF(AN835=1,"(в кабель выше)","")))</f>
        <v/>
      </c>
      <c r="AE835" s="161">
        <f>IF(AND(R835="",G835=""),"",_xlfn.TEXTJOIN("; ",TRUE,IF(AND(R835&lt;&gt;"",V835=""),"нет фазы",""),IF(AND(R835&lt;&gt;"",N(T835)=0),"нет мощности",""),IF(AND(P835&lt;&gt;"",COUNTIFS($A$3:$A$1000,A835,$P$3:$P$1000,P835)&gt;1),"дубль клеммы "&amp;P835,""),IF(AND(W835&lt;&gt;"",W835&lt;&gt;"ok"),W835,""),IF(X835&lt;&gt;"",X835,""),IF(AND(ISNUMBER(SEARCH("(5х",Q835)),N(AK835)=1),"5 жил на 1 фазе",""),IF(AND(AL835="R",E835&lt;&gt;"",N(AS835)=0),"розетка без 30 мА",""),IF(IFERROR(_xlfn.NUMBERVALUE(MID(Q835,FIND("-",Q835,FIND("L=",Q835))+1,FIND("%",Q835)-FIND("-",Q835,FIND("L=",Q835))-1),","),0)&gt;4,"потери &gt; 4 %","")))</f>
      </c>
      <c r="AF835" s="129">
        <f>IF(E835&lt;&gt;"",COUNTIFS($A$3:A835,A835,$E$3:E835,"?*"),IF(OR(A835&lt;&gt;A834,Y835="вручную"),"",AF834))</f>
        <v/>
      </c>
      <c r="AG835" s="129">
        <f t="shared" ref="AG835:AG898" si="553">IF(AJ835&lt;&gt;"",AJ835,IF(OR(A835&lt;&gt;A834,Y835="вручную"),"",AG834))</f>
        <v/>
      </c>
      <c r="AH835" s="129">
        <f t="shared" ref="AH835:AH898" si="554">IF(L835="-","",IF(AW835&lt;&gt;"",AW835,IF(A835&lt;&gt;A834,"",AH834)))</f>
        <v/>
      </c>
      <c r="AI835" s="129">
        <f t="shared" ref="AI835:AI898" si="555">IF(AH835="","",IF(AND(L835&lt;&gt;"",L835&lt;&gt;"-"),L835,AI834))</f>
        <v/>
      </c>
      <c r="AJ835" s="129">
        <f t="shared" ref="AJ835:AJ898" si="556">IF(E835="","",IF(AS835=1,"QFD","QF")&amp;AF835)</f>
        <v/>
      </c>
      <c r="AK835" s="129">
        <f t="shared" ref="AK835:AK898" si="557">IF(R835="","",IFERROR(--VLOOKUP(R835,Исходные_данные,8,FALSE),1))</f>
        <v/>
      </c>
      <c r="AL835" s="129">
        <f t="shared" ref="AL835:AL898" si="558">IF(R835="","",IFERROR(LEFT(R835,FIND(".",R835)-1),R835))</f>
        <v/>
      </c>
      <c r="AM835" s="129">
        <f t="shared" ref="AM835:AM898" si="559">IF(AL835="",0,IFERROR(IF(VLOOKUP(R835,УГО_спр,3,FALSE)="да",1,0),IFERROR(IF(VLOOKUP(AL835,УГО_спр,3,FALSE)="да",1,0),IFERROR(IF(VLOOKUP(LEFT(AL835,2),УГО_спр,3,FALSE)="да",1,0),0))))</f>
      </c>
      <c r="AN835" s="129">
        <f t="shared" ref="AN835:AN898" si="560">IF(OR(N835="+",AND(R835&lt;&gt;"",R835=R834)),1,0)</f>
      </c>
      <c r="AO835" s="129">
        <f t="shared" ref="AO835:AO898" si="561">IF(E835="","",MAX(N(AA835),_xlfn.MAXIFS($BB$3:$BB$1000,$AF$3:$AF$1000,AF835,$A$3:$A$1000,A835)))</f>
        <v/>
      </c>
      <c r="AP835" s="129">
        <f t="shared" ref="AP835:AP898" si="562">IF(E835="","",_xlfn.MINIFS($AB$3:$AB$1000,$AF$3:$AF$1000,AF835,$A$3:$A$1000,A835))</f>
        <v/>
      </c>
      <c r="AQ835" s="129">
        <f t="shared" ref="AQ835:AQ898" si="563">IF(E835="","",IF(BA835=1,MAX(AO835,Мин_автомат_БП),AO835))</f>
        <v/>
      </c>
      <c r="AR835" s="129">
        <f t="shared" ref="AR835:AR898" si="564">IF(E835="","",MAX(1,_xlfn.MAXIFS($AK$3:$AK$1000,$AF$3:$AF$1000,AF835,$A$3:$A$1000,A835)))</f>
        <v/>
      </c>
      <c r="AS835" s="129">
        <f t="shared" ref="AS835:AS898" si="565">IF(E835="","",IF(AND(E835&lt;&gt;"авто",E835&lt;&gt;"+"),IF(ISNUMBER(SEARCH("мА",E835)),1,0),IF(F835="да",1,IF(F835="нет",0,IF(_xlfn.MAXIFS($AM$3:$AM$1000,$AF$3:$AF$1000,AF835,$A$3:$A$1000,A835)&gt;0,1,0)))))</f>
        <v/>
      </c>
      <c r="AT835" s="129">
        <f t="shared" ref="AT835:AT898" si="566">IF(E835="","",IF(AR835&gt;=3,IF(AS835=1,"4P","3P"),IF(AS835=1,"2P","1P")))</f>
        <v/>
      </c>
      <c r="AU835" s="129">
        <f t="shared" ref="AU835:AU898" si="567">IF(H835="","",IFERROR(--MID(SUBSTITUTE(SUBSTITUTE(UPPER(H835),"С","C"),"А","A"),FIND("C",SUBSTITUTE(SUBSTITUTE(UPPER(H835),"С","C"),"А","A"))+1,FIND("A",SUBSTITUTE(SUBSTITUTE(UPPER(H835),"С","C"),"А","A")&amp;"A",FIND("C",SUBSTITUTE(SUBSTITUTE(UPPER(H835),"С","C"),"А","A")))-FIND("C",SUBSTITUTE(SUBSTITUTE(UPPER(H835),"С","C"),"А","A"))-1),""))</f>
        <v/>
      </c>
      <c r="AV835" s="129">
        <f t="shared" ref="AV835:AV898" si="568">IF(OR(L835="",L835="-"),"",IFERROR(VLOOKUP(L835,Модули_спр,2,FALSE),"R"))</f>
        <v/>
      </c>
      <c r="AW835" s="129">
        <f>IF(AV835="","",AV835&amp;"."&amp;COUNTIFS($A$3:A835,A835,$AV$3:AV835,AV835))</f>
        <v/>
      </c>
      <c r="AX835" s="129">
        <f t="shared" ref="AX835:AX898" si="569">IF(O835&lt;&gt;"",O835,IF(OR(A835&lt;&gt;A834,L835="-",AW835&lt;&gt;""),"",AX834))</f>
        <v/>
      </c>
      <c r="AY835" s="129">
        <f>IF(N835="б/к",0,IF(OR(ISNUMBER(SEARCH("L=",Разбивка_по_щитам!P835)),N835="+",N835="="),1,0))</f>
      </c>
      <c r="AZ835" s="129">
        <f t="shared" ref="AZ835:AZ898" si="570">IF(AJ835&lt;&gt;"",_xlfn.TEXTJOIN(" → ",TRUE,I835,J835,K835),IF(AG835="","",AZ834))</f>
        <v/>
      </c>
      <c r="BA835" s="129">
        <f t="shared" ref="BA835:BA898" si="571">IF(AZ835="",0,IF(OR(LEFT(AZ835,2)="T ",LEFT(AZ835,2)="Т ",ISNUMBER(SEARCH("→ T ",AZ835)),ISNUMBER(SEARCH("→ Т ",AZ835)),ISNUMBER(SEARCH("БП",AZ835))),1,0))</f>
      </c>
      <c r="BB835" s="129">
        <f t="shared" ref="BB835:BB898" si="572">IF(R835="",0,MAX(IFERROR(--VLOOKUP(R835,Исходные_данные,18,FALSE),0),IFERROR(--VLOOKUP(R835,УГО_спр,4,FALSE),IFERROR(--VLOOKUP(AL835,УГО_спр,4,FALSE),IFERROR(--VLOOKUP(LEFT(AL835,2),УГО_спр,4,FALSE),0)))))</f>
      </c>
      <c r="BD835" s="129">
        <f t="shared" ref="BD835:BD898" si="573">IF(Y835="вручную",0,1)</f>
      </c>
      <c r="BE835" s="129">
        <f t="shared" ref="BE835:BE898" si="574">IF(D835="",0,1)</f>
      </c>
      <c r="BF835" s="129">
        <f t="shared" ref="BF835:BF898" si="575">IF(AJ835="",0,IF(LEFT(AJ835,3)="QFD",1,0))</f>
      </c>
      <c r="BG835" s="129">
        <f t="shared" ref="BG835:BG898" si="576">IF(N835="=","=",IF(N835="+","+",IF(N835="р","R","")))</f>
        <v/>
      </c>
      <c r="BH835" s="129">
        <f t="shared" ref="BH835:BH898" si="577">IF(I835="","",IF(OR(LEFT(I835,1)="T",LEFT(I835,1)="Т"),"T",IF(LEFT(UPPER(I835),2)="БП","PS",IF(OR(LEFT(UPPER(I835),2)="МК",LEFT(UPPER(I835),2)="MK"),"MK",IF(OR(LEFT(UPPER(I835),2)="КМ",LEFT(UPPER(I835),2)="KM"),"KM","X")))))</f>
        <v/>
      </c>
      <c r="BI835" s="129">
        <f t="shared" ref="BI835:BI898" si="578">IF(J835="","",IF(OR(LEFT(J835,1)="T",LEFT(J835,1)="Т"),"T",IF(LEFT(UPPER(J835),2)="БП","PS",IF(OR(LEFT(UPPER(J835),2)="МК",LEFT(UPPER(J835),2)="MK"),"MK",IF(OR(LEFT(UPPER(J835),2)="КМ",LEFT(UPPER(J835),2)="KM"),"KM","X")))))</f>
        <v/>
      </c>
      <c r="BJ835" s="129">
        <f t="shared" ref="BJ835:BJ898" si="579">IF(K835="","",IF(OR(LEFT(K835,1)="T",LEFT(K835,1)="Т"),"T",IF(LEFT(UPPER(K835),2)="БП","PS",IF(OR(LEFT(UPPER(K835),2)="МК",LEFT(UPPER(K835),2)="MK"),"MK",IF(OR(LEFT(UPPER(K835),2)="КМ",LEFT(UPPER(K835),2)="KM"),"KM","X")))))</f>
        <v/>
      </c>
      <c r="BK835" s="129">
        <f>IF(R835="","",IF(OR(BY835="",BY835=0),"BOX",IFERROR(IF(VLOOKUP(BY835,УГО_блоки,3,FALSE)&amp;""&lt;&gt;"",VLOOKUP(BY835,УГО_блоки,3,FALSE),VLOOKUP(BY835,УГО_блоки,2,FALSE)),BY835)))</f>
      </c>
      <c r="BL835" s="129">
        <f t="shared" ref="BL835:BL898" si="581">IF(R835="",0,1)</f>
      </c>
      <c r="BM835" s="129">
        <f>IF(H835="","",IF(COUNTIF($H$3:H835,H835)=1,MAX($BM$2:BM834)+1,""))</f>
      </c>
      <c r="BN835" s="129">
        <f>IF(I835="","",IF(COUNTIF($I$3:I835,I835)+COUNTIF($J$2:J834,I835)+COUNTIF($K$2:K834,I835)=1,MAX($BN$2:BP834)+1,""))</f>
      </c>
      <c r="BO835" s="129">
        <f>IF(J835="","",IF(COUNTIF($I$3:I835,J835)+COUNTIF($J$3:J835,J835)+COUNTIF($K$2:K834,J835)=1,MAX($BN$2:BP834,BN835)+1,""))</f>
      </c>
      <c r="BP835" s="129">
        <f>IF(K835="","",IF(COUNTIF($I$3:I835,K835)+COUNTIF($J$3:J835,K835)+COUNTIF($K$3:K835,K835)=1,MAX($BN$2:BP834,BN835,BO835)+1,""))</f>
      </c>
      <c r="BQ835" s="129">
        <f>IF(AY835=1,IFERROR(MID(Q835,FIND(" (",Q835)+2,FIND(")",Q835,FIND(" (",Q835))-FIND(" (",Q835)-2),"?"),"")</f>
      </c>
      <c r="BR835" s="129">
        <f>IF(BQ835="","",IF(COUNTIF($BQ$3:BQ835,BQ835)=1,MAX($BR$2:BR834)+1,""))</f>
      </c>
      <c r="BS835" s="129">
        <f>IF(AW835="","",COUNTIF($AW$3:AW835,"?*"))</f>
      </c>
      <c r="BT835" s="129">
        <f>IF(OR(AW835="",AI835=""),"",IF(COUNTIFS($AW$3:AW835,"?*",$AI$3:AI835,AI835)=1,MAX($BT$2:BT834)+1,""))</f>
      </c>
      <c r="BU835" s="129">
        <f>IF(AE835="",0,IF(OR(ISNUMBER(SEARCH("дубль",AE835)),ISNUMBER(SEARCH("ПЕРЕГРУЗ",AE835)),ISNUMBER(SEARCH("ЗАЩИЩ",AE835)),ISNUMBER(SEARCH("КАНАЛ",AE835)),ISNUMBER(SEARCH("без 30",AE835))),2,1))</f>
      </c>
      <c r="BV835" s="129">
        <f>IF(R835="","",COUNTIF($R$3:R835,"?*"))</f>
      </c>
      <c r="BW835" s="129">
        <f>IF(AY835&lt;&gt;1,0,IF(MAX(IFERROR(--VLOOKUP(R835,УГО_спр,5,FALSE),0),IFERROR(--VLOOKUP(AL835,УГО_спр,5,FALSE),0),IFERROR(--VLOOKUP(LEFT(AL835,2),УГО_спр,5,FALSE),0))&gt;0,MAX(IFERROR(--VLOOKUP(R835,УГО_спр,5,FALSE),0),IFERROR(--VLOOKUP(AL835,УГО_спр,5,FALSE),0),IFERROR(--VLOOKUP(LEFT(AL835,2),УГО_спр,5,FALSE),0)),IF(IFERROR(--LEFT(SUBSTITUTE(BQ835,"x","х"),FIND("х",SUBSTITUTE(BQ835,"x","х"))-1),3)&gt;3,Каталог!$S$9,1)))</f>
      </c>
      <c r="BX835" s="129">
        <f>IF(AY835&lt;&gt;1,0,MAX(0,IFERROR(--LEFT(SUBSTITUTE(BQ835,"x","х"),FIND("х",SUBSTITUTE(BQ835,"x","х"))-1),3)-3*BW835))</f>
      </c>
      <c r="BY835" s="129">
        <f>IF(R835="","",IFERROR(VLOOKUP(R835,УГО_спр,2,FALSE),IFERROR(VLOOKUP(AL835,УГО_спр,2,FALSE),IFERROR(VLOOKUP(LEFT(AL835,2),УГО_спр,2,FALSE),""))))</f>
      </c>
    </row>
    <row r="836" spans="1:64" x14ac:dyDescent="0.3">
      <c r="A836" s="135">
        <f>IF(Разбивка_по_щитам!F836=0,"",Разбивка_по_щитам!F836)</f>
        <v/>
      </c>
      <c r="B836" s="138">
        <f>IF(A836="","",Разбивка_по_щитам!C836)</f>
        <v/>
      </c>
      <c r="C836" s="138">
        <f t="shared" si="542"/>
        <v/>
      </c>
      <c r="D836" s="266"/>
      <c r="E836" s="266"/>
      <c r="F836" s="267"/>
      <c r="G836" s="145">
        <f t="shared" si="543"/>
        <v/>
      </c>
      <c r="H836" s="145">
        <f t="shared" si="544"/>
        <v/>
      </c>
      <c r="I836" s="266"/>
      <c r="J836" s="267"/>
      <c r="K836" s="267"/>
      <c r="L836" s="266"/>
      <c r="M836" s="147">
        <f t="shared" si="545"/>
        <v/>
      </c>
      <c r="N836" s="267"/>
      <c r="O836" s="147">
        <f t="shared" si="546"/>
        <v/>
      </c>
      <c r="P836" s="268">
        <f>IF(AY836=1,"XT"&amp;COUNTIFS($A$3:A836,A836,$AY$3:AY836,1),"")</f>
        <v/>
      </c>
      <c r="Q836" s="152">
        <f>IF(R836="","",IFERROR(SUBSTITUTE(Разбивка_по_щитам!P836,CHAR(10)," "),""))</f>
        <v/>
      </c>
      <c r="R836" s="153">
        <f>IF(OR(Разбивка_по_щитам!H836="",Разбивка_по_щитам!H836=0),"",Разбивка_по_щитам!H836)</f>
        <v/>
      </c>
      <c r="S836" s="154">
        <f>IF(R836="","",IFERROR(Разбивка_по_щитам!J836&amp;"",""))</f>
        <v/>
      </c>
      <c r="T836" s="155">
        <f>IF(R836="","",IFERROR(--Разбивка_по_щитам!L836,""))</f>
        <v/>
      </c>
      <c r="U836" s="155">
        <f>IF(R836="","",IFERROR(--Разбивка_по_щитам!K836,""))</f>
        <v/>
      </c>
      <c r="V836" s="138">
        <f>IF(R836="","",IFERROR(IF(Разбивка_по_щитам!M836=0,"",Разбивка_по_щитам!M836),""))</f>
        <v/>
      </c>
      <c r="W836" s="156">
        <f t="shared" si="547"/>
        <v/>
      </c>
      <c r="X836" s="157">
        <f t="shared" si="548"/>
        <v/>
      </c>
      <c r="Y836" s="266"/>
      <c r="Z836" s="158">
        <f t="shared" si="549"/>
        <v/>
      </c>
      <c r="AA836" s="160">
        <f t="shared" si="550"/>
        <v/>
      </c>
      <c r="AB836" s="160">
        <f>IF(R836="","",IFERROR(LOOKUP(INDEX(Справочная!$I$4:$I$19,MATCH(VLOOKUP(R836,Исходные_данные,22,FALSE),Справочная!$J$4:$J$19,0)+1),{6,10,16,20,25,32,40,50,63,80,100,125}),""))</f>
        <v/>
      </c>
      <c r="AC836" s="160">
        <f t="shared" si="551"/>
        <v/>
      </c>
      <c r="AD836" s="161">
        <f t="shared" si="552"/>
        <v/>
      </c>
      <c r="AE836" s="161">
        <f>IF(AND(R836="",G836=""),"",_xlfn.TEXTJOIN("; ",TRUE,IF(AND(R836&lt;&gt;"",V836=""),"нет фазы",""),IF(AND(R836&lt;&gt;"",N(T836)=0),"нет мощности",""),IF(AND(P836&lt;&gt;"",COUNTIFS($A$3:$A$1000,A836,$P$3:$P$1000,P836)&gt;1),"дубль клеммы "&amp;P836,""),IF(AND(W836&lt;&gt;"",W836&lt;&gt;"ok"),W836,""),IF(X836&lt;&gt;"",X836,""),IF(AND(ISNUMBER(SEARCH("(5х",Q836)),N(AK836)=1),"5 жил на 1 фазе",""),IF(AND(AL836="R",E836&lt;&gt;"",N(AS836)=0),"розетка без 30 мА",""),IF(IFERROR(_xlfn.NUMBERVALUE(MID(Q836,FIND("-",Q836,FIND("L=",Q836))+1,FIND("%",Q836)-FIND("-",Q836,FIND("L=",Q836))-1),","),0)&gt;4,"потери &gt; 4 %","")))</f>
      </c>
      <c r="AF836" s="129">
        <f>IF(E836&lt;&gt;"",COUNTIFS($A$3:A836,A836,$E$3:E836,"?*"),IF(OR(A836&lt;&gt;A835,Y836="вручную"),"",AF835))</f>
        <v/>
      </c>
      <c r="AG836" s="129">
        <f t="shared" si="553"/>
        <v/>
      </c>
      <c r="AH836" s="129">
        <f t="shared" si="554"/>
        <v/>
      </c>
      <c r="AI836" s="129">
        <f t="shared" si="555"/>
        <v/>
      </c>
      <c r="AJ836" s="129">
        <f t="shared" si="556"/>
        <v/>
      </c>
      <c r="AK836" s="129">
        <f t="shared" si="557"/>
        <v/>
      </c>
      <c r="AL836" s="129">
        <f t="shared" si="558"/>
        <v/>
      </c>
      <c r="AM836" s="129">
        <f t="shared" si="559"/>
      </c>
      <c r="AN836" s="129">
        <f t="shared" si="560"/>
      </c>
      <c r="AO836" s="129">
        <f t="shared" si="561"/>
        <v/>
      </c>
      <c r="AP836" s="129">
        <f t="shared" si="562"/>
        <v/>
      </c>
      <c r="AQ836" s="129">
        <f t="shared" si="563"/>
        <v/>
      </c>
      <c r="AR836" s="129">
        <f t="shared" si="564"/>
        <v/>
      </c>
      <c r="AS836" s="129">
        <f t="shared" si="565"/>
        <v/>
      </c>
      <c r="AT836" s="129">
        <f t="shared" si="566"/>
        <v/>
      </c>
      <c r="AU836" s="129">
        <f t="shared" si="567"/>
        <v/>
      </c>
      <c r="AV836" s="129">
        <f t="shared" si="568"/>
        <v/>
      </c>
      <c r="AW836" s="129">
        <f>IF(AV836="","",AV836&amp;"."&amp;COUNTIFS($A$3:A836,A836,$AV$3:AV836,AV836))</f>
        <v/>
      </c>
      <c r="AX836" s="129">
        <f t="shared" si="569"/>
        <v/>
      </c>
      <c r="AY836" s="129">
        <f>IF(N836="б/к",0,IF(OR(ISNUMBER(SEARCH("L=",Разбивка_по_щитам!P836)),N836="+",N836="="),1,0))</f>
      </c>
      <c r="AZ836" s="129">
        <f t="shared" si="570"/>
        <v/>
      </c>
      <c r="BA836" s="129">
        <f t="shared" si="571"/>
      </c>
      <c r="BB836" s="129">
        <f t="shared" si="572"/>
      </c>
      <c r="BD836" s="129">
        <f t="shared" si="573"/>
      </c>
      <c r="BE836" s="129">
        <f t="shared" si="574"/>
      </c>
      <c r="BF836" s="129">
        <f t="shared" si="575"/>
      </c>
      <c r="BG836" s="129">
        <f t="shared" si="576"/>
        <v/>
      </c>
      <c r="BH836" s="129">
        <f t="shared" si="577"/>
        <v/>
      </c>
      <c r="BI836" s="129">
        <f t="shared" si="578"/>
        <v/>
      </c>
      <c r="BJ836" s="129">
        <f t="shared" si="579"/>
        <v/>
      </c>
      <c r="BK836" s="129">
        <f>IF(R836="","",IF(OR(BY836="",BY836=0),"BOX",IFERROR(IF(VLOOKUP(BY836,УГО_блоки,3,FALSE)&amp;""&lt;&gt;"",VLOOKUP(BY836,УГО_блоки,3,FALSE),VLOOKUP(BY836,УГО_блоки,2,FALSE)),BY836)))</f>
      </c>
      <c r="BL836" s="129">
        <f t="shared" si="581"/>
      </c>
      <c r="BM836" s="129">
        <f>IF(H836="","",IF(COUNTIF($H$3:H836,H836)=1,MAX($BM$2:BM835)+1,""))</f>
      </c>
      <c r="BN836" s="129">
        <f>IF(I836="","",IF(COUNTIF($I$3:I836,I836)+COUNTIF($J$2:J835,I836)+COUNTIF($K$2:K835,I836)=1,MAX($BN$2:BP835)+1,""))</f>
      </c>
      <c r="BO836" s="129">
        <f>IF(J836="","",IF(COUNTIF($I$3:I836,J836)+COUNTIF($J$3:J836,J836)+COUNTIF($K$2:K835,J836)=1,MAX($BN$2:BP835,BN836)+1,""))</f>
      </c>
      <c r="BP836" s="129">
        <f>IF(K836="","",IF(COUNTIF($I$3:I836,K836)+COUNTIF($J$3:J836,K836)+COUNTIF($K$3:K836,K836)=1,MAX($BN$2:BP835,BN836,BO836)+1,""))</f>
      </c>
      <c r="BQ836" s="129">
        <f>IF(AY836=1,IFERROR(MID(Q836,FIND(" (",Q836)+2,FIND(")",Q836,FIND(" (",Q836))-FIND(" (",Q836)-2),"?"),"")</f>
      </c>
      <c r="BR836" s="129">
        <f>IF(BQ836="","",IF(COUNTIF($BQ$3:BQ836,BQ836)=1,MAX($BR$2:BR835)+1,""))</f>
      </c>
      <c r="BS836" s="129">
        <f>IF(AW836="","",COUNTIF($AW$3:AW836,"?*"))</f>
      </c>
      <c r="BT836" s="129">
        <f>IF(OR(AW836="",AI836=""),"",IF(COUNTIFS($AW$3:AW836,"?*",$AI$3:AI836,AI836)=1,MAX($BT$2:BT835)+1,""))</f>
      </c>
      <c r="BU836" s="129">
        <f>IF(AE836="",0,IF(OR(ISNUMBER(SEARCH("дубль",AE836)),ISNUMBER(SEARCH("ПЕРЕГРУЗ",AE836)),ISNUMBER(SEARCH("ЗАЩИЩ",AE836)),ISNUMBER(SEARCH("КАНАЛ",AE836)),ISNUMBER(SEARCH("без 30",AE836))),2,1))</f>
      </c>
      <c r="BV836" s="129">
        <f>IF(R836="","",COUNTIF($R$3:R836,"?*"))</f>
      </c>
      <c r="BW836" s="129">
        <f>IF(AY836&lt;&gt;1,0,IF(MAX(IFERROR(--VLOOKUP(R836,УГО_спр,5,FALSE),0),IFERROR(--VLOOKUP(AL836,УГО_спр,5,FALSE),0),IFERROR(--VLOOKUP(LEFT(AL836,2),УГО_спр,5,FALSE),0))&gt;0,MAX(IFERROR(--VLOOKUP(R836,УГО_спр,5,FALSE),0),IFERROR(--VLOOKUP(AL836,УГО_спр,5,FALSE),0),IFERROR(--VLOOKUP(LEFT(AL836,2),УГО_спр,5,FALSE),0)),IF(IFERROR(--LEFT(SUBSTITUTE(BQ836,"x","х"),FIND("х",SUBSTITUTE(BQ836,"x","х"))-1),3)&gt;3,Каталог!$S$9,1)))</f>
      </c>
      <c r="BX836" s="129">
        <f>IF(AY836&lt;&gt;1,0,MAX(0,IFERROR(--LEFT(SUBSTITUTE(BQ836,"x","х"),FIND("х",SUBSTITUTE(BQ836,"x","х"))-1),3)-3*BW836))</f>
      </c>
      <c r="BY836" s="129">
        <f>IF(R836="","",IFERROR(VLOOKUP(R836,УГО_спр,2,FALSE),IFERROR(VLOOKUP(AL836,УГО_спр,2,FALSE),IFERROR(VLOOKUP(LEFT(AL836,2),УГО_спр,2,FALSE),""))))</f>
      </c>
    </row>
    <row r="837" spans="1:64" x14ac:dyDescent="0.3">
      <c r="A837" s="135">
        <f>IF(Разбивка_по_щитам!F837=0,"",Разбивка_по_щитам!F837)</f>
        <v/>
      </c>
      <c r="B837" s="138">
        <f>IF(A837="","",Разбивка_по_щитам!C837)</f>
        <v/>
      </c>
      <c r="C837" s="138">
        <f t="shared" si="542"/>
        <v/>
      </c>
      <c r="D837" s="266"/>
      <c r="E837" s="266"/>
      <c r="F837" s="267"/>
      <c r="G837" s="145">
        <f t="shared" si="543"/>
        <v/>
      </c>
      <c r="H837" s="145">
        <f t="shared" si="544"/>
        <v/>
      </c>
      <c r="I837" s="266"/>
      <c r="J837" s="267"/>
      <c r="K837" s="267"/>
      <c r="L837" s="266"/>
      <c r="M837" s="147">
        <f t="shared" si="545"/>
        <v/>
      </c>
      <c r="N837" s="267"/>
      <c r="O837" s="147">
        <f t="shared" si="546"/>
        <v/>
      </c>
      <c r="P837" s="268">
        <f>IF(AY837=1,"XT"&amp;COUNTIFS($A$3:A837,A837,$AY$3:AY837,1),"")</f>
        <v/>
      </c>
      <c r="Q837" s="152">
        <f>IF(R837="","",IFERROR(SUBSTITUTE(Разбивка_по_щитам!P837,CHAR(10)," "),""))</f>
        <v/>
      </c>
      <c r="R837" s="153">
        <f>IF(OR(Разбивка_по_щитам!H837="",Разбивка_по_щитам!H837=0),"",Разбивка_по_щитам!H837)</f>
        <v/>
      </c>
      <c r="S837" s="154">
        <f>IF(R837="","",IFERROR(Разбивка_по_щитам!J837&amp;"",""))</f>
        <v/>
      </c>
      <c r="T837" s="155">
        <f>IF(R837="","",IFERROR(--Разбивка_по_щитам!L837,""))</f>
        <v/>
      </c>
      <c r="U837" s="155">
        <f>IF(R837="","",IFERROR(--Разбивка_по_щитам!K837,""))</f>
        <v/>
      </c>
      <c r="V837" s="138">
        <f>IF(R837="","",IFERROR(IF(Разбивка_по_щитам!M837=0,"",Разбивка_по_щитам!M837),""))</f>
        <v/>
      </c>
      <c r="W837" s="156">
        <f t="shared" si="547"/>
        <v/>
      </c>
      <c r="X837" s="157">
        <f t="shared" si="548"/>
        <v/>
      </c>
      <c r="Y837" s="266"/>
      <c r="Z837" s="158">
        <f t="shared" si="549"/>
        <v/>
      </c>
      <c r="AA837" s="160">
        <f t="shared" si="550"/>
        <v/>
      </c>
      <c r="AB837" s="160">
        <f>IF(R837="","",IFERROR(LOOKUP(INDEX(Справочная!$I$4:$I$19,MATCH(VLOOKUP(R837,Исходные_данные,22,FALSE),Справочная!$J$4:$J$19,0)+1),{6,10,16,20,25,32,40,50,63,80,100,125}),""))</f>
        <v/>
      </c>
      <c r="AC837" s="160">
        <f t="shared" si="551"/>
        <v/>
      </c>
      <c r="AD837" s="161">
        <f t="shared" si="552"/>
        <v/>
      </c>
      <c r="AE837" s="161">
        <f>IF(AND(R837="",G837=""),"",_xlfn.TEXTJOIN("; ",TRUE,IF(AND(R837&lt;&gt;"",V837=""),"нет фазы",""),IF(AND(R837&lt;&gt;"",N(T837)=0),"нет мощности",""),IF(AND(P837&lt;&gt;"",COUNTIFS($A$3:$A$1000,A837,$P$3:$P$1000,P837)&gt;1),"дубль клеммы "&amp;P837,""),IF(AND(W837&lt;&gt;"",W837&lt;&gt;"ok"),W837,""),IF(X837&lt;&gt;"",X837,""),IF(AND(ISNUMBER(SEARCH("(5х",Q837)),N(AK837)=1),"5 жил на 1 фазе",""),IF(AND(AL837="R",E837&lt;&gt;"",N(AS837)=0),"розетка без 30 мА",""),IF(IFERROR(_xlfn.NUMBERVALUE(MID(Q837,FIND("-",Q837,FIND("L=",Q837))+1,FIND("%",Q837)-FIND("-",Q837,FIND("L=",Q837))-1),","),0)&gt;4,"потери &gt; 4 %","")))</f>
      </c>
      <c r="AF837" s="129">
        <f>IF(E837&lt;&gt;"",COUNTIFS($A$3:A837,A837,$E$3:E837,"?*"),IF(OR(A837&lt;&gt;A836,Y837="вручную"),"",AF836))</f>
        <v/>
      </c>
      <c r="AG837" s="129">
        <f t="shared" si="553"/>
        <v/>
      </c>
      <c r="AH837" s="129">
        <f t="shared" si="554"/>
        <v/>
      </c>
      <c r="AI837" s="129">
        <f t="shared" si="555"/>
        <v/>
      </c>
      <c r="AJ837" s="129">
        <f t="shared" si="556"/>
        <v/>
      </c>
      <c r="AK837" s="129">
        <f t="shared" si="557"/>
        <v/>
      </c>
      <c r="AL837" s="129">
        <f t="shared" si="558"/>
        <v/>
      </c>
      <c r="AM837" s="129">
        <f t="shared" si="559"/>
      </c>
      <c r="AN837" s="129">
        <f t="shared" si="560"/>
      </c>
      <c r="AO837" s="129">
        <f t="shared" si="561"/>
        <v/>
      </c>
      <c r="AP837" s="129">
        <f t="shared" si="562"/>
        <v/>
      </c>
      <c r="AQ837" s="129">
        <f t="shared" si="563"/>
        <v/>
      </c>
      <c r="AR837" s="129">
        <f t="shared" si="564"/>
        <v/>
      </c>
      <c r="AS837" s="129">
        <f t="shared" si="565"/>
        <v/>
      </c>
      <c r="AT837" s="129">
        <f t="shared" si="566"/>
        <v/>
      </c>
      <c r="AU837" s="129">
        <f t="shared" si="567"/>
        <v/>
      </c>
      <c r="AV837" s="129">
        <f t="shared" si="568"/>
        <v/>
      </c>
      <c r="AW837" s="129">
        <f>IF(AV837="","",AV837&amp;"."&amp;COUNTIFS($A$3:A837,A837,$AV$3:AV837,AV837))</f>
        <v/>
      </c>
      <c r="AX837" s="129">
        <f t="shared" si="569"/>
        <v/>
      </c>
      <c r="AY837" s="129">
        <f>IF(N837="б/к",0,IF(OR(ISNUMBER(SEARCH("L=",Разбивка_по_щитам!P837)),N837="+",N837="="),1,0))</f>
      </c>
      <c r="AZ837" s="129">
        <f t="shared" si="570"/>
        <v/>
      </c>
      <c r="BA837" s="129">
        <f t="shared" si="571"/>
      </c>
      <c r="BB837" s="129">
        <f t="shared" si="572"/>
      </c>
      <c r="BD837" s="129">
        <f t="shared" si="573"/>
      </c>
      <c r="BE837" s="129">
        <f t="shared" si="574"/>
      </c>
      <c r="BF837" s="129">
        <f t="shared" si="575"/>
      </c>
      <c r="BG837" s="129">
        <f t="shared" si="576"/>
        <v/>
      </c>
      <c r="BH837" s="129">
        <f t="shared" si="577"/>
        <v/>
      </c>
      <c r="BI837" s="129">
        <f t="shared" si="578"/>
        <v/>
      </c>
      <c r="BJ837" s="129">
        <f t="shared" si="579"/>
        <v/>
      </c>
      <c r="BK837" s="129">
        <f>IF(R837="","",IF(OR(BY837="",BY837=0),"BOX",IFERROR(IF(VLOOKUP(BY837,УГО_блоки,3,FALSE)&amp;""&lt;&gt;"",VLOOKUP(BY837,УГО_блоки,3,FALSE),VLOOKUP(BY837,УГО_блоки,2,FALSE)),BY837)))</f>
      </c>
      <c r="BL837" s="129">
        <f t="shared" si="581"/>
      </c>
      <c r="BM837" s="129">
        <f>IF(H837="","",IF(COUNTIF($H$3:H837,H837)=1,MAX($BM$2:BM836)+1,""))</f>
      </c>
      <c r="BN837" s="129">
        <f>IF(I837="","",IF(COUNTIF($I$3:I837,I837)+COUNTIF($J$2:J836,I837)+COUNTIF($K$2:K836,I837)=1,MAX($BN$2:BP836)+1,""))</f>
      </c>
      <c r="BO837" s="129">
        <f>IF(J837="","",IF(COUNTIF($I$3:I837,J837)+COUNTIF($J$3:J837,J837)+COUNTIF($K$2:K836,J837)=1,MAX($BN$2:BP836,BN837)+1,""))</f>
      </c>
      <c r="BP837" s="129">
        <f>IF(K837="","",IF(COUNTIF($I$3:I837,K837)+COUNTIF($J$3:J837,K837)+COUNTIF($K$3:K837,K837)=1,MAX($BN$2:BP836,BN837,BO837)+1,""))</f>
      </c>
      <c r="BQ837" s="129">
        <f>IF(AY837=1,IFERROR(MID(Q837,FIND(" (",Q837)+2,FIND(")",Q837,FIND(" (",Q837))-FIND(" (",Q837)-2),"?"),"")</f>
      </c>
      <c r="BR837" s="129">
        <f>IF(BQ837="","",IF(COUNTIF($BQ$3:BQ837,BQ837)=1,MAX($BR$2:BR836)+1,""))</f>
      </c>
      <c r="BS837" s="129">
        <f>IF(AW837="","",COUNTIF($AW$3:AW837,"?*"))</f>
      </c>
      <c r="BT837" s="129">
        <f>IF(OR(AW837="",AI837=""),"",IF(COUNTIFS($AW$3:AW837,"?*",$AI$3:AI837,AI837)=1,MAX($BT$2:BT836)+1,""))</f>
      </c>
      <c r="BU837" s="129">
        <f>IF(AE837="",0,IF(OR(ISNUMBER(SEARCH("дубль",AE837)),ISNUMBER(SEARCH("ПЕРЕГРУЗ",AE837)),ISNUMBER(SEARCH("ЗАЩИЩ",AE837)),ISNUMBER(SEARCH("КАНАЛ",AE837)),ISNUMBER(SEARCH("без 30",AE837))),2,1))</f>
      </c>
      <c r="BV837" s="129">
        <f>IF(R837="","",COUNTIF($R$3:R837,"?*"))</f>
      </c>
      <c r="BW837" s="129">
        <f>IF(AY837&lt;&gt;1,0,IF(MAX(IFERROR(--VLOOKUP(R837,УГО_спр,5,FALSE),0),IFERROR(--VLOOKUP(AL837,УГО_спр,5,FALSE),0),IFERROR(--VLOOKUP(LEFT(AL837,2),УГО_спр,5,FALSE),0))&gt;0,MAX(IFERROR(--VLOOKUP(R837,УГО_спр,5,FALSE),0),IFERROR(--VLOOKUP(AL837,УГО_спр,5,FALSE),0),IFERROR(--VLOOKUP(LEFT(AL837,2),УГО_спр,5,FALSE),0)),IF(IFERROR(--LEFT(SUBSTITUTE(BQ837,"x","х"),FIND("х",SUBSTITUTE(BQ837,"x","х"))-1),3)&gt;3,Каталог!$S$9,1)))</f>
      </c>
      <c r="BX837" s="129">
        <f>IF(AY837&lt;&gt;1,0,MAX(0,IFERROR(--LEFT(SUBSTITUTE(BQ837,"x","х"),FIND("х",SUBSTITUTE(BQ837,"x","х"))-1),3)-3*BW837))</f>
      </c>
      <c r="BY837" s="129">
        <f>IF(R837="","",IFERROR(VLOOKUP(R837,УГО_спр,2,FALSE),IFERROR(VLOOKUP(AL837,УГО_спр,2,FALSE),IFERROR(VLOOKUP(LEFT(AL837,2),УГО_спр,2,FALSE),""))))</f>
      </c>
    </row>
    <row r="838" spans="1:64" x14ac:dyDescent="0.3">
      <c r="A838" s="135">
        <f>IF(Разбивка_по_щитам!F838=0,"",Разбивка_по_щитам!F838)</f>
        <v/>
      </c>
      <c r="B838" s="138">
        <f>IF(A838="","",Разбивка_по_щитам!C838)</f>
        <v/>
      </c>
      <c r="C838" s="138">
        <f t="shared" si="542"/>
        <v/>
      </c>
      <c r="D838" s="266"/>
      <c r="E838" s="266"/>
      <c r="F838" s="267"/>
      <c r="G838" s="145">
        <f t="shared" si="543"/>
        <v/>
      </c>
      <c r="H838" s="145">
        <f t="shared" si="544"/>
        <v/>
      </c>
      <c r="I838" s="266"/>
      <c r="J838" s="267"/>
      <c r="K838" s="267"/>
      <c r="L838" s="266"/>
      <c r="M838" s="147">
        <f t="shared" si="545"/>
        <v/>
      </c>
      <c r="N838" s="267"/>
      <c r="O838" s="147">
        <f t="shared" si="546"/>
        <v/>
      </c>
      <c r="P838" s="268">
        <f>IF(AY838=1,"XT"&amp;COUNTIFS($A$3:A838,A838,$AY$3:AY838,1),"")</f>
        <v/>
      </c>
      <c r="Q838" s="152">
        <f>IF(R838="","",IFERROR(SUBSTITUTE(Разбивка_по_щитам!P838,CHAR(10)," "),""))</f>
        <v/>
      </c>
      <c r="R838" s="153">
        <f>IF(OR(Разбивка_по_щитам!H838="",Разбивка_по_щитам!H838=0),"",Разбивка_по_щитам!H838)</f>
        <v/>
      </c>
      <c r="S838" s="154">
        <f>IF(R838="","",IFERROR(Разбивка_по_щитам!J838&amp;"",""))</f>
        <v/>
      </c>
      <c r="T838" s="155">
        <f>IF(R838="","",IFERROR(--Разбивка_по_щитам!L838,""))</f>
        <v/>
      </c>
      <c r="U838" s="155">
        <f>IF(R838="","",IFERROR(--Разбивка_по_щитам!K838,""))</f>
        <v/>
      </c>
      <c r="V838" s="138">
        <f>IF(R838="","",IFERROR(IF(Разбивка_по_щитам!M838=0,"",Разбивка_по_щитам!M838),""))</f>
        <v/>
      </c>
      <c r="W838" s="156">
        <f t="shared" si="547"/>
        <v/>
      </c>
      <c r="X838" s="157">
        <f t="shared" si="548"/>
        <v/>
      </c>
      <c r="Y838" s="266"/>
      <c r="Z838" s="158">
        <f t="shared" si="549"/>
        <v/>
      </c>
      <c r="AA838" s="160">
        <f t="shared" si="550"/>
        <v/>
      </c>
      <c r="AB838" s="160">
        <f>IF(R838="","",IFERROR(LOOKUP(INDEX(Справочная!$I$4:$I$19,MATCH(VLOOKUP(R838,Исходные_данные,22,FALSE),Справочная!$J$4:$J$19,0)+1),{6,10,16,20,25,32,40,50,63,80,100,125}),""))</f>
        <v/>
      </c>
      <c r="AC838" s="160">
        <f t="shared" si="551"/>
        <v/>
      </c>
      <c r="AD838" s="161">
        <f t="shared" si="552"/>
        <v/>
      </c>
      <c r="AE838" s="161">
        <f>IF(AND(R838="",G838=""),"",_xlfn.TEXTJOIN("; ",TRUE,IF(AND(R838&lt;&gt;"",V838=""),"нет фазы",""),IF(AND(R838&lt;&gt;"",N(T838)=0),"нет мощности",""),IF(AND(P838&lt;&gt;"",COUNTIFS($A$3:$A$1000,A838,$P$3:$P$1000,P838)&gt;1),"дубль клеммы "&amp;P838,""),IF(AND(W838&lt;&gt;"",W838&lt;&gt;"ok"),W838,""),IF(X838&lt;&gt;"",X838,""),IF(AND(ISNUMBER(SEARCH("(5х",Q838)),N(AK838)=1),"5 жил на 1 фазе",""),IF(AND(AL838="R",E838&lt;&gt;"",N(AS838)=0),"розетка без 30 мА",""),IF(IFERROR(_xlfn.NUMBERVALUE(MID(Q838,FIND("-",Q838,FIND("L=",Q838))+1,FIND("%",Q838)-FIND("-",Q838,FIND("L=",Q838))-1),","),0)&gt;4,"потери &gt; 4 %","")))</f>
      </c>
      <c r="AF838" s="129">
        <f>IF(E838&lt;&gt;"",COUNTIFS($A$3:A838,A838,$E$3:E838,"?*"),IF(OR(A838&lt;&gt;A837,Y838="вручную"),"",AF837))</f>
        <v/>
      </c>
      <c r="AG838" s="129">
        <f t="shared" si="553"/>
        <v/>
      </c>
      <c r="AH838" s="129">
        <f t="shared" si="554"/>
        <v/>
      </c>
      <c r="AI838" s="129">
        <f t="shared" si="555"/>
        <v/>
      </c>
      <c r="AJ838" s="129">
        <f t="shared" si="556"/>
        <v/>
      </c>
      <c r="AK838" s="129">
        <f t="shared" si="557"/>
        <v/>
      </c>
      <c r="AL838" s="129">
        <f t="shared" si="558"/>
        <v/>
      </c>
      <c r="AM838" s="129">
        <f t="shared" si="559"/>
      </c>
      <c r="AN838" s="129">
        <f t="shared" si="560"/>
      </c>
      <c r="AO838" s="129">
        <f t="shared" si="561"/>
        <v/>
      </c>
      <c r="AP838" s="129">
        <f t="shared" si="562"/>
        <v/>
      </c>
      <c r="AQ838" s="129">
        <f t="shared" si="563"/>
        <v/>
      </c>
      <c r="AR838" s="129">
        <f t="shared" si="564"/>
        <v/>
      </c>
      <c r="AS838" s="129">
        <f t="shared" si="565"/>
        <v/>
      </c>
      <c r="AT838" s="129">
        <f t="shared" si="566"/>
        <v/>
      </c>
      <c r="AU838" s="129">
        <f t="shared" si="567"/>
        <v/>
      </c>
      <c r="AV838" s="129">
        <f t="shared" si="568"/>
        <v/>
      </c>
      <c r="AW838" s="129">
        <f>IF(AV838="","",AV838&amp;"."&amp;COUNTIFS($A$3:A838,A838,$AV$3:AV838,AV838))</f>
        <v/>
      </c>
      <c r="AX838" s="129">
        <f t="shared" si="569"/>
        <v/>
      </c>
      <c r="AY838" s="129">
        <f>IF(N838="б/к",0,IF(OR(ISNUMBER(SEARCH("L=",Разбивка_по_щитам!P838)),N838="+",N838="="),1,0))</f>
      </c>
      <c r="AZ838" s="129">
        <f t="shared" si="570"/>
        <v/>
      </c>
      <c r="BA838" s="129">
        <f t="shared" si="571"/>
      </c>
      <c r="BB838" s="129">
        <f t="shared" si="572"/>
      </c>
      <c r="BD838" s="129">
        <f t="shared" si="573"/>
      </c>
      <c r="BE838" s="129">
        <f t="shared" si="574"/>
      </c>
      <c r="BF838" s="129">
        <f t="shared" si="575"/>
      </c>
      <c r="BG838" s="129">
        <f t="shared" si="576"/>
        <v/>
      </c>
      <c r="BH838" s="129">
        <f t="shared" si="577"/>
        <v/>
      </c>
      <c r="BI838" s="129">
        <f t="shared" si="578"/>
        <v/>
      </c>
      <c r="BJ838" s="129">
        <f t="shared" si="579"/>
        <v/>
      </c>
      <c r="BK838" s="129">
        <f>IF(R838="","",IF(OR(BY838="",BY838=0),"BOX",IFERROR(IF(VLOOKUP(BY838,УГО_блоки,3,FALSE)&amp;""&lt;&gt;"",VLOOKUP(BY838,УГО_блоки,3,FALSE),VLOOKUP(BY838,УГО_блоки,2,FALSE)),BY838)))</f>
      </c>
      <c r="BL838" s="129">
        <f t="shared" si="581"/>
      </c>
      <c r="BM838" s="129">
        <f>IF(H838="","",IF(COUNTIF($H$3:H838,H838)=1,MAX($BM$2:BM837)+1,""))</f>
      </c>
      <c r="BN838" s="129">
        <f>IF(I838="","",IF(COUNTIF($I$3:I838,I838)+COUNTIF($J$2:J837,I838)+COUNTIF($K$2:K837,I838)=1,MAX($BN$2:BP837)+1,""))</f>
      </c>
      <c r="BO838" s="129">
        <f>IF(J838="","",IF(COUNTIF($I$3:I838,J838)+COUNTIF($J$3:J838,J838)+COUNTIF($K$2:K837,J838)=1,MAX($BN$2:BP837,BN838)+1,""))</f>
      </c>
      <c r="BP838" s="129">
        <f>IF(K838="","",IF(COUNTIF($I$3:I838,K838)+COUNTIF($J$3:J838,K838)+COUNTIF($K$3:K838,K838)=1,MAX($BN$2:BP837,BN838,BO838)+1,""))</f>
      </c>
      <c r="BQ838" s="129">
        <f>IF(AY838=1,IFERROR(MID(Q838,FIND(" (",Q838)+2,FIND(")",Q838,FIND(" (",Q838))-FIND(" (",Q838)-2),"?"),"")</f>
      </c>
      <c r="BR838" s="129">
        <f>IF(BQ838="","",IF(COUNTIF($BQ$3:BQ838,BQ838)=1,MAX($BR$2:BR837)+1,""))</f>
      </c>
      <c r="BS838" s="129">
        <f>IF(AW838="","",COUNTIF($AW$3:AW838,"?*"))</f>
      </c>
      <c r="BT838" s="129">
        <f>IF(OR(AW838="",AI838=""),"",IF(COUNTIFS($AW$3:AW838,"?*",$AI$3:AI838,AI838)=1,MAX($BT$2:BT837)+1,""))</f>
      </c>
      <c r="BU838" s="129">
        <f>IF(AE838="",0,IF(OR(ISNUMBER(SEARCH("дубль",AE838)),ISNUMBER(SEARCH("ПЕРЕГРУЗ",AE838)),ISNUMBER(SEARCH("ЗАЩИЩ",AE838)),ISNUMBER(SEARCH("КАНАЛ",AE838)),ISNUMBER(SEARCH("без 30",AE838))),2,1))</f>
      </c>
      <c r="BV838" s="129">
        <f>IF(R838="","",COUNTIF($R$3:R838,"?*"))</f>
      </c>
      <c r="BW838" s="129">
        <f>IF(AY838&lt;&gt;1,0,IF(MAX(IFERROR(--VLOOKUP(R838,УГО_спр,5,FALSE),0),IFERROR(--VLOOKUP(AL838,УГО_спр,5,FALSE),0),IFERROR(--VLOOKUP(LEFT(AL838,2),УГО_спр,5,FALSE),0))&gt;0,MAX(IFERROR(--VLOOKUP(R838,УГО_спр,5,FALSE),0),IFERROR(--VLOOKUP(AL838,УГО_спр,5,FALSE),0),IFERROR(--VLOOKUP(LEFT(AL838,2),УГО_спр,5,FALSE),0)),IF(IFERROR(--LEFT(SUBSTITUTE(BQ838,"x","х"),FIND("х",SUBSTITUTE(BQ838,"x","х"))-1),3)&gt;3,Каталог!$S$9,1)))</f>
      </c>
      <c r="BX838" s="129">
        <f>IF(AY838&lt;&gt;1,0,MAX(0,IFERROR(--LEFT(SUBSTITUTE(BQ838,"x","х"),FIND("х",SUBSTITUTE(BQ838,"x","х"))-1),3)-3*BW838))</f>
      </c>
      <c r="BY838" s="129">
        <f>IF(R838="","",IFERROR(VLOOKUP(R838,УГО_спр,2,FALSE),IFERROR(VLOOKUP(AL838,УГО_спр,2,FALSE),IFERROR(VLOOKUP(LEFT(AL838,2),УГО_спр,2,FALSE),""))))</f>
      </c>
    </row>
    <row r="839" spans="1:64" x14ac:dyDescent="0.3">
      <c r="A839" s="135">
        <f>IF(Разбивка_по_щитам!F839=0,"",Разбивка_по_щитам!F839)</f>
        <v/>
      </c>
      <c r="B839" s="138">
        <f>IF(A839="","",Разбивка_по_щитам!C839)</f>
        <v/>
      </c>
      <c r="C839" s="138">
        <f t="shared" si="542"/>
        <v/>
      </c>
      <c r="D839" s="266"/>
      <c r="E839" s="266"/>
      <c r="F839" s="267"/>
      <c r="G839" s="145">
        <f t="shared" si="543"/>
        <v/>
      </c>
      <c r="H839" s="145">
        <f t="shared" si="544"/>
        <v/>
      </c>
      <c r="I839" s="266"/>
      <c r="J839" s="267"/>
      <c r="K839" s="267"/>
      <c r="L839" s="266"/>
      <c r="M839" s="147">
        <f t="shared" si="545"/>
        <v/>
      </c>
      <c r="N839" s="267"/>
      <c r="O839" s="147">
        <f t="shared" si="546"/>
        <v/>
      </c>
      <c r="P839" s="268">
        <f>IF(AY839=1,"XT"&amp;COUNTIFS($A$3:A839,A839,$AY$3:AY839,1),"")</f>
        <v/>
      </c>
      <c r="Q839" s="152">
        <f>IF(R839="","",IFERROR(SUBSTITUTE(Разбивка_по_щитам!P839,CHAR(10)," "),""))</f>
        <v/>
      </c>
      <c r="R839" s="153">
        <f>IF(OR(Разбивка_по_щитам!H839="",Разбивка_по_щитам!H839=0),"",Разбивка_по_щитам!H839)</f>
        <v/>
      </c>
      <c r="S839" s="154">
        <f>IF(R839="","",IFERROR(Разбивка_по_щитам!J839&amp;"",""))</f>
        <v/>
      </c>
      <c r="T839" s="155">
        <f>IF(R839="","",IFERROR(--Разбивка_по_щитам!L839,""))</f>
        <v/>
      </c>
      <c r="U839" s="155">
        <f>IF(R839="","",IFERROR(--Разбивка_по_щитам!K839,""))</f>
        <v/>
      </c>
      <c r="V839" s="138">
        <f>IF(R839="","",IFERROR(IF(Разбивка_по_щитам!M839=0,"",Разбивка_по_щитам!M839),""))</f>
        <v/>
      </c>
      <c r="W839" s="156">
        <f t="shared" si="547"/>
        <v/>
      </c>
      <c r="X839" s="157">
        <f t="shared" si="548"/>
        <v/>
      </c>
      <c r="Y839" s="266"/>
      <c r="Z839" s="158">
        <f t="shared" si="549"/>
        <v/>
      </c>
      <c r="AA839" s="160">
        <f t="shared" si="550"/>
        <v/>
      </c>
      <c r="AB839" s="160">
        <f>IF(R839="","",IFERROR(LOOKUP(INDEX(Справочная!$I$4:$I$19,MATCH(VLOOKUP(R839,Исходные_данные,22,FALSE),Справочная!$J$4:$J$19,0)+1),{6,10,16,20,25,32,40,50,63,80,100,125}),""))</f>
        <v/>
      </c>
      <c r="AC839" s="160">
        <f t="shared" si="551"/>
        <v/>
      </c>
      <c r="AD839" s="161">
        <f t="shared" si="552"/>
        <v/>
      </c>
      <c r="AE839" s="161">
        <f>IF(AND(R839="",G839=""),"",_xlfn.TEXTJOIN("; ",TRUE,IF(AND(R839&lt;&gt;"",V839=""),"нет фазы",""),IF(AND(R839&lt;&gt;"",N(T839)=0),"нет мощности",""),IF(AND(P839&lt;&gt;"",COUNTIFS($A$3:$A$1000,A839,$P$3:$P$1000,P839)&gt;1),"дубль клеммы "&amp;P839,""),IF(AND(W839&lt;&gt;"",W839&lt;&gt;"ok"),W839,""),IF(X839&lt;&gt;"",X839,""),IF(AND(ISNUMBER(SEARCH("(5х",Q839)),N(AK839)=1),"5 жил на 1 фазе",""),IF(AND(AL839="R",E839&lt;&gt;"",N(AS839)=0),"розетка без 30 мА",""),IF(IFERROR(_xlfn.NUMBERVALUE(MID(Q839,FIND("-",Q839,FIND("L=",Q839))+1,FIND("%",Q839)-FIND("-",Q839,FIND("L=",Q839))-1),","),0)&gt;4,"потери &gt; 4 %","")))</f>
      </c>
      <c r="AF839" s="129">
        <f>IF(E839&lt;&gt;"",COUNTIFS($A$3:A839,A839,$E$3:E839,"?*"),IF(OR(A839&lt;&gt;A838,Y839="вручную"),"",AF838))</f>
        <v/>
      </c>
      <c r="AG839" s="129">
        <f t="shared" si="553"/>
        <v/>
      </c>
      <c r="AH839" s="129">
        <f t="shared" si="554"/>
        <v/>
      </c>
      <c r="AI839" s="129">
        <f t="shared" si="555"/>
        <v/>
      </c>
      <c r="AJ839" s="129">
        <f t="shared" si="556"/>
        <v/>
      </c>
      <c r="AK839" s="129">
        <f t="shared" si="557"/>
        <v/>
      </c>
      <c r="AL839" s="129">
        <f t="shared" si="558"/>
        <v/>
      </c>
      <c r="AM839" s="129">
        <f t="shared" si="559"/>
      </c>
      <c r="AN839" s="129">
        <f t="shared" si="560"/>
      </c>
      <c r="AO839" s="129">
        <f t="shared" si="561"/>
        <v/>
      </c>
      <c r="AP839" s="129">
        <f t="shared" si="562"/>
        <v/>
      </c>
      <c r="AQ839" s="129">
        <f t="shared" si="563"/>
        <v/>
      </c>
      <c r="AR839" s="129">
        <f t="shared" si="564"/>
        <v/>
      </c>
      <c r="AS839" s="129">
        <f t="shared" si="565"/>
        <v/>
      </c>
      <c r="AT839" s="129">
        <f t="shared" si="566"/>
        <v/>
      </c>
      <c r="AU839" s="129">
        <f t="shared" si="567"/>
        <v/>
      </c>
      <c r="AV839" s="129">
        <f t="shared" si="568"/>
        <v/>
      </c>
      <c r="AW839" s="129">
        <f>IF(AV839="","",AV839&amp;"."&amp;COUNTIFS($A$3:A839,A839,$AV$3:AV839,AV839))</f>
        <v/>
      </c>
      <c r="AX839" s="129">
        <f t="shared" si="569"/>
        <v/>
      </c>
      <c r="AY839" s="129">
        <f>IF(N839="б/к",0,IF(OR(ISNUMBER(SEARCH("L=",Разбивка_по_щитам!P839)),N839="+",N839="="),1,0))</f>
      </c>
      <c r="AZ839" s="129">
        <f t="shared" si="570"/>
        <v/>
      </c>
      <c r="BA839" s="129">
        <f t="shared" si="571"/>
      </c>
      <c r="BB839" s="129">
        <f t="shared" si="572"/>
      </c>
      <c r="BD839" s="129">
        <f t="shared" si="573"/>
      </c>
      <c r="BE839" s="129">
        <f t="shared" si="574"/>
      </c>
      <c r="BF839" s="129">
        <f t="shared" si="575"/>
      </c>
      <c r="BG839" s="129">
        <f t="shared" si="576"/>
        <v/>
      </c>
      <c r="BH839" s="129">
        <f t="shared" si="577"/>
        <v/>
      </c>
      <c r="BI839" s="129">
        <f t="shared" si="578"/>
        <v/>
      </c>
      <c r="BJ839" s="129">
        <f t="shared" si="579"/>
        <v/>
      </c>
      <c r="BK839" s="129">
        <f>IF(R839="","",IF(OR(BY839="",BY839=0),"BOX",IFERROR(IF(VLOOKUP(BY839,УГО_блоки,3,FALSE)&amp;""&lt;&gt;"",VLOOKUP(BY839,УГО_блоки,3,FALSE),VLOOKUP(BY839,УГО_блоки,2,FALSE)),BY839)))</f>
      </c>
      <c r="BL839" s="129">
        <f t="shared" si="581"/>
      </c>
      <c r="BM839" s="129">
        <f>IF(H839="","",IF(COUNTIF($H$3:H839,H839)=1,MAX($BM$2:BM838)+1,""))</f>
      </c>
      <c r="BN839" s="129">
        <f>IF(I839="","",IF(COUNTIF($I$3:I839,I839)+COUNTIF($J$2:J838,I839)+COUNTIF($K$2:K838,I839)=1,MAX($BN$2:BP838)+1,""))</f>
      </c>
      <c r="BO839" s="129">
        <f>IF(J839="","",IF(COUNTIF($I$3:I839,J839)+COUNTIF($J$3:J839,J839)+COUNTIF($K$2:K838,J839)=1,MAX($BN$2:BP838,BN839)+1,""))</f>
      </c>
      <c r="BP839" s="129">
        <f>IF(K839="","",IF(COUNTIF($I$3:I839,K839)+COUNTIF($J$3:J839,K839)+COUNTIF($K$3:K839,K839)=1,MAX($BN$2:BP838,BN839,BO839)+1,""))</f>
      </c>
      <c r="BQ839" s="129">
        <f>IF(AY839=1,IFERROR(MID(Q839,FIND(" (",Q839)+2,FIND(")",Q839,FIND(" (",Q839))-FIND(" (",Q839)-2),"?"),"")</f>
      </c>
      <c r="BR839" s="129">
        <f>IF(BQ839="","",IF(COUNTIF($BQ$3:BQ839,BQ839)=1,MAX($BR$2:BR838)+1,""))</f>
      </c>
      <c r="BS839" s="129">
        <f>IF(AW839="","",COUNTIF($AW$3:AW839,"?*"))</f>
      </c>
      <c r="BT839" s="129">
        <f>IF(OR(AW839="",AI839=""),"",IF(COUNTIFS($AW$3:AW839,"?*",$AI$3:AI839,AI839)=1,MAX($BT$2:BT838)+1,""))</f>
      </c>
      <c r="BU839" s="129">
        <f>IF(AE839="",0,IF(OR(ISNUMBER(SEARCH("дубль",AE839)),ISNUMBER(SEARCH("ПЕРЕГРУЗ",AE839)),ISNUMBER(SEARCH("ЗАЩИЩ",AE839)),ISNUMBER(SEARCH("КАНАЛ",AE839)),ISNUMBER(SEARCH("без 30",AE839))),2,1))</f>
      </c>
      <c r="BV839" s="129">
        <f>IF(R839="","",COUNTIF($R$3:R839,"?*"))</f>
      </c>
      <c r="BW839" s="129">
        <f>IF(AY839&lt;&gt;1,0,IF(MAX(IFERROR(--VLOOKUP(R839,УГО_спр,5,FALSE),0),IFERROR(--VLOOKUP(AL839,УГО_спр,5,FALSE),0),IFERROR(--VLOOKUP(LEFT(AL839,2),УГО_спр,5,FALSE),0))&gt;0,MAX(IFERROR(--VLOOKUP(R839,УГО_спр,5,FALSE),0),IFERROR(--VLOOKUP(AL839,УГО_спр,5,FALSE),0),IFERROR(--VLOOKUP(LEFT(AL839,2),УГО_спр,5,FALSE),0)),IF(IFERROR(--LEFT(SUBSTITUTE(BQ839,"x","х"),FIND("х",SUBSTITUTE(BQ839,"x","х"))-1),3)&gt;3,Каталог!$S$9,1)))</f>
      </c>
      <c r="BX839" s="129">
        <f>IF(AY839&lt;&gt;1,0,MAX(0,IFERROR(--LEFT(SUBSTITUTE(BQ839,"x","х"),FIND("х",SUBSTITUTE(BQ839,"x","х"))-1),3)-3*BW839))</f>
      </c>
      <c r="BY839" s="129">
        <f>IF(R839="","",IFERROR(VLOOKUP(R839,УГО_спр,2,FALSE),IFERROR(VLOOKUP(AL839,УГО_спр,2,FALSE),IFERROR(VLOOKUP(LEFT(AL839,2),УГО_спр,2,FALSE),""))))</f>
      </c>
    </row>
    <row r="840" spans="1:64" x14ac:dyDescent="0.3">
      <c r="A840" s="135">
        <f>IF(Разбивка_по_щитам!F840=0,"",Разбивка_по_щитам!F840)</f>
        <v/>
      </c>
      <c r="B840" s="138">
        <f>IF(A840="","",Разбивка_по_щитам!C840)</f>
        <v/>
      </c>
      <c r="C840" s="138">
        <f t="shared" si="542"/>
        <v/>
      </c>
      <c r="D840" s="266"/>
      <c r="E840" s="266"/>
      <c r="F840" s="267"/>
      <c r="G840" s="145">
        <f t="shared" si="543"/>
        <v/>
      </c>
      <c r="H840" s="145">
        <f t="shared" si="544"/>
        <v/>
      </c>
      <c r="I840" s="266"/>
      <c r="J840" s="267"/>
      <c r="K840" s="267"/>
      <c r="L840" s="266"/>
      <c r="M840" s="147">
        <f t="shared" si="545"/>
        <v/>
      </c>
      <c r="N840" s="267"/>
      <c r="O840" s="147">
        <f t="shared" si="546"/>
        <v/>
      </c>
      <c r="P840" s="268">
        <f>IF(AY840=1,"XT"&amp;COUNTIFS($A$3:A840,A840,$AY$3:AY840,1),"")</f>
        <v/>
      </c>
      <c r="Q840" s="152">
        <f>IF(R840="","",IFERROR(SUBSTITUTE(Разбивка_по_щитам!P840,CHAR(10)," "),""))</f>
        <v/>
      </c>
      <c r="R840" s="153">
        <f>IF(OR(Разбивка_по_щитам!H840="",Разбивка_по_щитам!H840=0),"",Разбивка_по_щитам!H840)</f>
        <v/>
      </c>
      <c r="S840" s="154">
        <f>IF(R840="","",IFERROR(Разбивка_по_щитам!J840&amp;"",""))</f>
        <v/>
      </c>
      <c r="T840" s="155">
        <f>IF(R840="","",IFERROR(--Разбивка_по_щитам!L840,""))</f>
        <v/>
      </c>
      <c r="U840" s="155">
        <f>IF(R840="","",IFERROR(--Разбивка_по_щитам!K840,""))</f>
        <v/>
      </c>
      <c r="V840" s="138">
        <f>IF(R840="","",IFERROR(IF(Разбивка_по_щитам!M840=0,"",Разбивка_по_щитам!M840),""))</f>
        <v/>
      </c>
      <c r="W840" s="156">
        <f t="shared" si="547"/>
        <v/>
      </c>
      <c r="X840" s="157">
        <f t="shared" si="548"/>
        <v/>
      </c>
      <c r="Y840" s="266"/>
      <c r="Z840" s="158">
        <f t="shared" si="549"/>
        <v/>
      </c>
      <c r="AA840" s="160">
        <f t="shared" si="550"/>
        <v/>
      </c>
      <c r="AB840" s="160">
        <f>IF(R840="","",IFERROR(LOOKUP(INDEX(Справочная!$I$4:$I$19,MATCH(VLOOKUP(R840,Исходные_данные,22,FALSE),Справочная!$J$4:$J$19,0)+1),{6,10,16,20,25,32,40,50,63,80,100,125}),""))</f>
        <v/>
      </c>
      <c r="AC840" s="160">
        <f t="shared" si="551"/>
        <v/>
      </c>
      <c r="AD840" s="161">
        <f t="shared" si="552"/>
        <v/>
      </c>
      <c r="AE840" s="161">
        <f>IF(AND(R840="",G840=""),"",_xlfn.TEXTJOIN("; ",TRUE,IF(AND(R840&lt;&gt;"",V840=""),"нет фазы",""),IF(AND(R840&lt;&gt;"",N(T840)=0),"нет мощности",""),IF(AND(P840&lt;&gt;"",COUNTIFS($A$3:$A$1000,A840,$P$3:$P$1000,P840)&gt;1),"дубль клеммы "&amp;P840,""),IF(AND(W840&lt;&gt;"",W840&lt;&gt;"ok"),W840,""),IF(X840&lt;&gt;"",X840,""),IF(AND(ISNUMBER(SEARCH("(5х",Q840)),N(AK840)=1),"5 жил на 1 фазе",""),IF(AND(AL840="R",E840&lt;&gt;"",N(AS840)=0),"розетка без 30 мА",""),IF(IFERROR(_xlfn.NUMBERVALUE(MID(Q840,FIND("-",Q840,FIND("L=",Q840))+1,FIND("%",Q840)-FIND("-",Q840,FIND("L=",Q840))-1),","),0)&gt;4,"потери &gt; 4 %","")))</f>
      </c>
      <c r="AF840" s="129">
        <f>IF(E840&lt;&gt;"",COUNTIFS($A$3:A840,A840,$E$3:E840,"?*"),IF(OR(A840&lt;&gt;A839,Y840="вручную"),"",AF839))</f>
        <v/>
      </c>
      <c r="AG840" s="129">
        <f t="shared" si="553"/>
        <v/>
      </c>
      <c r="AH840" s="129">
        <f t="shared" si="554"/>
        <v/>
      </c>
      <c r="AI840" s="129">
        <f t="shared" si="555"/>
        <v/>
      </c>
      <c r="AJ840" s="129">
        <f t="shared" si="556"/>
        <v/>
      </c>
      <c r="AK840" s="129">
        <f t="shared" si="557"/>
        <v/>
      </c>
      <c r="AL840" s="129">
        <f t="shared" si="558"/>
        <v/>
      </c>
      <c r="AM840" s="129">
        <f t="shared" si="559"/>
      </c>
      <c r="AN840" s="129">
        <f t="shared" si="560"/>
      </c>
      <c r="AO840" s="129">
        <f t="shared" si="561"/>
        <v/>
      </c>
      <c r="AP840" s="129">
        <f t="shared" si="562"/>
        <v/>
      </c>
      <c r="AQ840" s="129">
        <f t="shared" si="563"/>
        <v/>
      </c>
      <c r="AR840" s="129">
        <f t="shared" si="564"/>
        <v/>
      </c>
      <c r="AS840" s="129">
        <f t="shared" si="565"/>
        <v/>
      </c>
      <c r="AT840" s="129">
        <f t="shared" si="566"/>
        <v/>
      </c>
      <c r="AU840" s="129">
        <f t="shared" si="567"/>
        <v/>
      </c>
      <c r="AV840" s="129">
        <f t="shared" si="568"/>
        <v/>
      </c>
      <c r="AW840" s="129">
        <f>IF(AV840="","",AV840&amp;"."&amp;COUNTIFS($A$3:A840,A840,$AV$3:AV840,AV840))</f>
        <v/>
      </c>
      <c r="AX840" s="129">
        <f t="shared" si="569"/>
        <v/>
      </c>
      <c r="AY840" s="129">
        <f>IF(N840="б/к",0,IF(OR(ISNUMBER(SEARCH("L=",Разбивка_по_щитам!P840)),N840="+",N840="="),1,0))</f>
      </c>
      <c r="AZ840" s="129">
        <f t="shared" si="570"/>
        <v/>
      </c>
      <c r="BA840" s="129">
        <f t="shared" si="571"/>
      </c>
      <c r="BB840" s="129">
        <f t="shared" si="572"/>
      </c>
      <c r="BD840" s="129">
        <f t="shared" si="573"/>
      </c>
      <c r="BE840" s="129">
        <f t="shared" si="574"/>
      </c>
      <c r="BF840" s="129">
        <f t="shared" si="575"/>
      </c>
      <c r="BG840" s="129">
        <f t="shared" si="576"/>
        <v/>
      </c>
      <c r="BH840" s="129">
        <f t="shared" si="577"/>
        <v/>
      </c>
      <c r="BI840" s="129">
        <f t="shared" si="578"/>
        <v/>
      </c>
      <c r="BJ840" s="129">
        <f t="shared" si="579"/>
        <v/>
      </c>
      <c r="BK840" s="129">
        <f>IF(R840="","",IF(OR(BY840="",BY840=0),"BOX",IFERROR(IF(VLOOKUP(BY840,УГО_блоки,3,FALSE)&amp;""&lt;&gt;"",VLOOKUP(BY840,УГО_блоки,3,FALSE),VLOOKUP(BY840,УГО_блоки,2,FALSE)),BY840)))</f>
      </c>
      <c r="BL840" s="129">
        <f t="shared" si="581"/>
      </c>
      <c r="BM840" s="129">
        <f>IF(H840="","",IF(COUNTIF($H$3:H840,H840)=1,MAX($BM$2:BM839)+1,""))</f>
      </c>
      <c r="BN840" s="129">
        <f>IF(I840="","",IF(COUNTIF($I$3:I840,I840)+COUNTIF($J$2:J839,I840)+COUNTIF($K$2:K839,I840)=1,MAX($BN$2:BP839)+1,""))</f>
      </c>
      <c r="BO840" s="129">
        <f>IF(J840="","",IF(COUNTIF($I$3:I840,J840)+COUNTIF($J$3:J840,J840)+COUNTIF($K$2:K839,J840)=1,MAX($BN$2:BP839,BN840)+1,""))</f>
      </c>
      <c r="BP840" s="129">
        <f>IF(K840="","",IF(COUNTIF($I$3:I840,K840)+COUNTIF($J$3:J840,K840)+COUNTIF($K$3:K840,K840)=1,MAX($BN$2:BP839,BN840,BO840)+1,""))</f>
      </c>
      <c r="BQ840" s="129">
        <f>IF(AY840=1,IFERROR(MID(Q840,FIND(" (",Q840)+2,FIND(")",Q840,FIND(" (",Q840))-FIND(" (",Q840)-2),"?"),"")</f>
      </c>
      <c r="BR840" s="129">
        <f>IF(BQ840="","",IF(COUNTIF($BQ$3:BQ840,BQ840)=1,MAX($BR$2:BR839)+1,""))</f>
      </c>
      <c r="BS840" s="129">
        <f>IF(AW840="","",COUNTIF($AW$3:AW840,"?*"))</f>
      </c>
      <c r="BT840" s="129">
        <f>IF(OR(AW840="",AI840=""),"",IF(COUNTIFS($AW$3:AW840,"?*",$AI$3:AI840,AI840)=1,MAX($BT$2:BT839)+1,""))</f>
      </c>
      <c r="BU840" s="129">
        <f>IF(AE840="",0,IF(OR(ISNUMBER(SEARCH("дубль",AE840)),ISNUMBER(SEARCH("ПЕРЕГРУЗ",AE840)),ISNUMBER(SEARCH("ЗАЩИЩ",AE840)),ISNUMBER(SEARCH("КАНАЛ",AE840)),ISNUMBER(SEARCH("без 30",AE840))),2,1))</f>
      </c>
      <c r="BV840" s="129">
        <f>IF(R840="","",COUNTIF($R$3:R840,"?*"))</f>
      </c>
      <c r="BW840" s="129">
        <f>IF(AY840&lt;&gt;1,0,IF(MAX(IFERROR(--VLOOKUP(R840,УГО_спр,5,FALSE),0),IFERROR(--VLOOKUP(AL840,УГО_спр,5,FALSE),0),IFERROR(--VLOOKUP(LEFT(AL840,2),УГО_спр,5,FALSE),0))&gt;0,MAX(IFERROR(--VLOOKUP(R840,УГО_спр,5,FALSE),0),IFERROR(--VLOOKUP(AL840,УГО_спр,5,FALSE),0),IFERROR(--VLOOKUP(LEFT(AL840,2),УГО_спр,5,FALSE),0)),IF(IFERROR(--LEFT(SUBSTITUTE(BQ840,"x","х"),FIND("х",SUBSTITUTE(BQ840,"x","х"))-1),3)&gt;3,Каталог!$S$9,1)))</f>
      </c>
      <c r="BX840" s="129">
        <f>IF(AY840&lt;&gt;1,0,MAX(0,IFERROR(--LEFT(SUBSTITUTE(BQ840,"x","х"),FIND("х",SUBSTITUTE(BQ840,"x","х"))-1),3)-3*BW840))</f>
      </c>
      <c r="BY840" s="129">
        <f>IF(R840="","",IFERROR(VLOOKUP(R840,УГО_спр,2,FALSE),IFERROR(VLOOKUP(AL840,УГО_спр,2,FALSE),IFERROR(VLOOKUP(LEFT(AL840,2),УГО_спр,2,FALSE),""))))</f>
      </c>
    </row>
    <row r="841" spans="1:64" x14ac:dyDescent="0.3">
      <c r="A841" s="135">
        <f>IF(Разбивка_по_щитам!F841=0,"",Разбивка_по_щитам!F841)</f>
        <v/>
      </c>
      <c r="B841" s="138">
        <f>IF(A841="","",Разбивка_по_щитам!C841)</f>
        <v/>
      </c>
      <c r="C841" s="138">
        <f t="shared" si="542"/>
        <v/>
      </c>
      <c r="D841" s="266"/>
      <c r="E841" s="266"/>
      <c r="F841" s="267"/>
      <c r="G841" s="145">
        <f t="shared" si="543"/>
        <v/>
      </c>
      <c r="H841" s="145">
        <f t="shared" si="544"/>
        <v/>
      </c>
      <c r="I841" s="266"/>
      <c r="J841" s="267"/>
      <c r="K841" s="267"/>
      <c r="L841" s="266"/>
      <c r="M841" s="147">
        <f t="shared" si="545"/>
        <v/>
      </c>
      <c r="N841" s="267"/>
      <c r="O841" s="147">
        <f t="shared" si="546"/>
        <v/>
      </c>
      <c r="P841" s="268">
        <f>IF(AY841=1,"XT"&amp;COUNTIFS($A$3:A841,A841,$AY$3:AY841,1),"")</f>
        <v/>
      </c>
      <c r="Q841" s="152">
        <f>IF(R841="","",IFERROR(SUBSTITUTE(Разбивка_по_щитам!P841,CHAR(10)," "),""))</f>
        <v/>
      </c>
      <c r="R841" s="153">
        <f>IF(OR(Разбивка_по_щитам!H841="",Разбивка_по_щитам!H841=0),"",Разбивка_по_щитам!H841)</f>
        <v/>
      </c>
      <c r="S841" s="154">
        <f>IF(R841="","",IFERROR(Разбивка_по_щитам!J841&amp;"",""))</f>
        <v/>
      </c>
      <c r="T841" s="155">
        <f>IF(R841="","",IFERROR(--Разбивка_по_щитам!L841,""))</f>
        <v/>
      </c>
      <c r="U841" s="155">
        <f>IF(R841="","",IFERROR(--Разбивка_по_щитам!K841,""))</f>
        <v/>
      </c>
      <c r="V841" s="138">
        <f>IF(R841="","",IFERROR(IF(Разбивка_по_щитам!M841=0,"",Разбивка_по_щитам!M841),""))</f>
        <v/>
      </c>
      <c r="W841" s="156">
        <f t="shared" si="547"/>
        <v/>
      </c>
      <c r="X841" s="157">
        <f t="shared" si="548"/>
        <v/>
      </c>
      <c r="Y841" s="266"/>
      <c r="Z841" s="158">
        <f t="shared" si="549"/>
        <v/>
      </c>
      <c r="AA841" s="160">
        <f t="shared" si="550"/>
        <v/>
      </c>
      <c r="AB841" s="160">
        <f>IF(R841="","",IFERROR(LOOKUP(INDEX(Справочная!$I$4:$I$19,MATCH(VLOOKUP(R841,Исходные_данные,22,FALSE),Справочная!$J$4:$J$19,0)+1),{6,10,16,20,25,32,40,50,63,80,100,125}),""))</f>
        <v/>
      </c>
      <c r="AC841" s="160">
        <f t="shared" si="551"/>
        <v/>
      </c>
      <c r="AD841" s="161">
        <f t="shared" si="552"/>
        <v/>
      </c>
      <c r="AE841" s="161">
        <f>IF(AND(R841="",G841=""),"",_xlfn.TEXTJOIN("; ",TRUE,IF(AND(R841&lt;&gt;"",V841=""),"нет фазы",""),IF(AND(R841&lt;&gt;"",N(T841)=0),"нет мощности",""),IF(AND(P841&lt;&gt;"",COUNTIFS($A$3:$A$1000,A841,$P$3:$P$1000,P841)&gt;1),"дубль клеммы "&amp;P841,""),IF(AND(W841&lt;&gt;"",W841&lt;&gt;"ok"),W841,""),IF(X841&lt;&gt;"",X841,""),IF(AND(ISNUMBER(SEARCH("(5х",Q841)),N(AK841)=1),"5 жил на 1 фазе",""),IF(AND(AL841="R",E841&lt;&gt;"",N(AS841)=0),"розетка без 30 мА",""),IF(IFERROR(_xlfn.NUMBERVALUE(MID(Q841,FIND("-",Q841,FIND("L=",Q841))+1,FIND("%",Q841)-FIND("-",Q841,FIND("L=",Q841))-1),","),0)&gt;4,"потери &gt; 4 %","")))</f>
      </c>
      <c r="AF841" s="129">
        <f>IF(E841&lt;&gt;"",COUNTIFS($A$3:A841,A841,$E$3:E841,"?*"),IF(OR(A841&lt;&gt;A840,Y841="вручную"),"",AF840))</f>
        <v/>
      </c>
      <c r="AG841" s="129">
        <f t="shared" si="553"/>
        <v/>
      </c>
      <c r="AH841" s="129">
        <f t="shared" si="554"/>
        <v/>
      </c>
      <c r="AI841" s="129">
        <f t="shared" si="555"/>
        <v/>
      </c>
      <c r="AJ841" s="129">
        <f t="shared" si="556"/>
        <v/>
      </c>
      <c r="AK841" s="129">
        <f t="shared" si="557"/>
        <v/>
      </c>
      <c r="AL841" s="129">
        <f t="shared" si="558"/>
        <v/>
      </c>
      <c r="AM841" s="129">
        <f t="shared" si="559"/>
      </c>
      <c r="AN841" s="129">
        <f t="shared" si="560"/>
      </c>
      <c r="AO841" s="129">
        <f t="shared" si="561"/>
        <v/>
      </c>
      <c r="AP841" s="129">
        <f t="shared" si="562"/>
        <v/>
      </c>
      <c r="AQ841" s="129">
        <f t="shared" si="563"/>
        <v/>
      </c>
      <c r="AR841" s="129">
        <f t="shared" si="564"/>
        <v/>
      </c>
      <c r="AS841" s="129">
        <f t="shared" si="565"/>
        <v/>
      </c>
      <c r="AT841" s="129">
        <f t="shared" si="566"/>
        <v/>
      </c>
      <c r="AU841" s="129">
        <f t="shared" si="567"/>
        <v/>
      </c>
      <c r="AV841" s="129">
        <f t="shared" si="568"/>
        <v/>
      </c>
      <c r="AW841" s="129">
        <f>IF(AV841="","",AV841&amp;"."&amp;COUNTIFS($A$3:A841,A841,$AV$3:AV841,AV841))</f>
        <v/>
      </c>
      <c r="AX841" s="129">
        <f t="shared" si="569"/>
        <v/>
      </c>
      <c r="AY841" s="129">
        <f>IF(N841="б/к",0,IF(OR(ISNUMBER(SEARCH("L=",Разбивка_по_щитам!P841)),N841="+",N841="="),1,0))</f>
      </c>
      <c r="AZ841" s="129">
        <f t="shared" si="570"/>
        <v/>
      </c>
      <c r="BA841" s="129">
        <f t="shared" si="571"/>
      </c>
      <c r="BB841" s="129">
        <f t="shared" si="572"/>
      </c>
      <c r="BD841" s="129">
        <f t="shared" si="573"/>
      </c>
      <c r="BE841" s="129">
        <f t="shared" si="574"/>
      </c>
      <c r="BF841" s="129">
        <f t="shared" si="575"/>
      </c>
      <c r="BG841" s="129">
        <f t="shared" si="576"/>
        <v/>
      </c>
      <c r="BH841" s="129">
        <f t="shared" si="577"/>
        <v/>
      </c>
      <c r="BI841" s="129">
        <f t="shared" si="578"/>
        <v/>
      </c>
      <c r="BJ841" s="129">
        <f t="shared" si="579"/>
        <v/>
      </c>
      <c r="BK841" s="129">
        <f>IF(R841="","",IF(OR(BY841="",BY841=0),"BOX",IFERROR(IF(VLOOKUP(BY841,УГО_блоки,3,FALSE)&amp;""&lt;&gt;"",VLOOKUP(BY841,УГО_блоки,3,FALSE),VLOOKUP(BY841,УГО_блоки,2,FALSE)),BY841)))</f>
      </c>
      <c r="BL841" s="129">
        <f t="shared" si="581"/>
      </c>
      <c r="BM841" s="129">
        <f>IF(H841="","",IF(COUNTIF($H$3:H841,H841)=1,MAX($BM$2:BM840)+1,""))</f>
      </c>
      <c r="BN841" s="129">
        <f>IF(I841="","",IF(COUNTIF($I$3:I841,I841)+COUNTIF($J$2:J840,I841)+COUNTIF($K$2:K840,I841)=1,MAX($BN$2:BP840)+1,""))</f>
      </c>
      <c r="BO841" s="129">
        <f>IF(J841="","",IF(COUNTIF($I$3:I841,J841)+COUNTIF($J$3:J841,J841)+COUNTIF($K$2:K840,J841)=1,MAX($BN$2:BP840,BN841)+1,""))</f>
      </c>
      <c r="BP841" s="129">
        <f>IF(K841="","",IF(COUNTIF($I$3:I841,K841)+COUNTIF($J$3:J841,K841)+COUNTIF($K$3:K841,K841)=1,MAX($BN$2:BP840,BN841,BO841)+1,""))</f>
      </c>
      <c r="BQ841" s="129">
        <f>IF(AY841=1,IFERROR(MID(Q841,FIND(" (",Q841)+2,FIND(")",Q841,FIND(" (",Q841))-FIND(" (",Q841)-2),"?"),"")</f>
      </c>
      <c r="BR841" s="129">
        <f>IF(BQ841="","",IF(COUNTIF($BQ$3:BQ841,BQ841)=1,MAX($BR$2:BR840)+1,""))</f>
      </c>
      <c r="BS841" s="129">
        <f>IF(AW841="","",COUNTIF($AW$3:AW841,"?*"))</f>
      </c>
      <c r="BT841" s="129">
        <f>IF(OR(AW841="",AI841=""),"",IF(COUNTIFS($AW$3:AW841,"?*",$AI$3:AI841,AI841)=1,MAX($BT$2:BT840)+1,""))</f>
      </c>
      <c r="BU841" s="129">
        <f>IF(AE841="",0,IF(OR(ISNUMBER(SEARCH("дубль",AE841)),ISNUMBER(SEARCH("ПЕРЕГРУЗ",AE841)),ISNUMBER(SEARCH("ЗАЩИЩ",AE841)),ISNUMBER(SEARCH("КАНАЛ",AE841)),ISNUMBER(SEARCH("без 30",AE841))),2,1))</f>
      </c>
      <c r="BV841" s="129">
        <f>IF(R841="","",COUNTIF($R$3:R841,"?*"))</f>
      </c>
      <c r="BW841" s="129">
        <f>IF(AY841&lt;&gt;1,0,IF(MAX(IFERROR(--VLOOKUP(R841,УГО_спр,5,FALSE),0),IFERROR(--VLOOKUP(AL841,УГО_спр,5,FALSE),0),IFERROR(--VLOOKUP(LEFT(AL841,2),УГО_спр,5,FALSE),0))&gt;0,MAX(IFERROR(--VLOOKUP(R841,УГО_спр,5,FALSE),0),IFERROR(--VLOOKUP(AL841,УГО_спр,5,FALSE),0),IFERROR(--VLOOKUP(LEFT(AL841,2),УГО_спр,5,FALSE),0)),IF(IFERROR(--LEFT(SUBSTITUTE(BQ841,"x","х"),FIND("х",SUBSTITUTE(BQ841,"x","х"))-1),3)&gt;3,Каталог!$S$9,1)))</f>
      </c>
      <c r="BX841" s="129">
        <f>IF(AY841&lt;&gt;1,0,MAX(0,IFERROR(--LEFT(SUBSTITUTE(BQ841,"x","х"),FIND("х",SUBSTITUTE(BQ841,"x","х"))-1),3)-3*BW841))</f>
      </c>
      <c r="BY841" s="129">
        <f>IF(R841="","",IFERROR(VLOOKUP(R841,УГО_спр,2,FALSE),IFERROR(VLOOKUP(AL841,УГО_спр,2,FALSE),IFERROR(VLOOKUP(LEFT(AL841,2),УГО_спр,2,FALSE),""))))</f>
      </c>
    </row>
    <row r="842" spans="1:64" x14ac:dyDescent="0.3">
      <c r="A842" s="135">
        <f>IF(Разбивка_по_щитам!F842=0,"",Разбивка_по_щитам!F842)</f>
        <v/>
      </c>
      <c r="B842" s="138">
        <f>IF(A842="","",Разбивка_по_щитам!C842)</f>
        <v/>
      </c>
      <c r="C842" s="138">
        <f t="shared" si="542"/>
        <v/>
      </c>
      <c r="D842" s="266"/>
      <c r="E842" s="266"/>
      <c r="F842" s="267"/>
      <c r="G842" s="145">
        <f t="shared" si="543"/>
        <v/>
      </c>
      <c r="H842" s="145">
        <f t="shared" si="544"/>
        <v/>
      </c>
      <c r="I842" s="266"/>
      <c r="J842" s="267"/>
      <c r="K842" s="267"/>
      <c r="L842" s="266"/>
      <c r="M842" s="147">
        <f t="shared" si="545"/>
        <v/>
      </c>
      <c r="N842" s="267"/>
      <c r="O842" s="147">
        <f t="shared" si="546"/>
        <v/>
      </c>
      <c r="P842" s="268">
        <f>IF(AY842=1,"XT"&amp;COUNTIFS($A$3:A842,A842,$AY$3:AY842,1),"")</f>
        <v/>
      </c>
      <c r="Q842" s="152">
        <f>IF(R842="","",IFERROR(SUBSTITUTE(Разбивка_по_щитам!P842,CHAR(10)," "),""))</f>
        <v/>
      </c>
      <c r="R842" s="153">
        <f>IF(OR(Разбивка_по_щитам!H842="",Разбивка_по_щитам!H842=0),"",Разбивка_по_щитам!H842)</f>
        <v/>
      </c>
      <c r="S842" s="154">
        <f>IF(R842="","",IFERROR(Разбивка_по_щитам!J842&amp;"",""))</f>
        <v/>
      </c>
      <c r="T842" s="155">
        <f>IF(R842="","",IFERROR(--Разбивка_по_щитам!L842,""))</f>
        <v/>
      </c>
      <c r="U842" s="155">
        <f>IF(R842="","",IFERROR(--Разбивка_по_щитам!K842,""))</f>
        <v/>
      </c>
      <c r="V842" s="138">
        <f>IF(R842="","",IFERROR(IF(Разбивка_по_щитам!M842=0,"",Разбивка_по_щитам!M842),""))</f>
        <v/>
      </c>
      <c r="W842" s="156">
        <f t="shared" si="547"/>
        <v/>
      </c>
      <c r="X842" s="157">
        <f t="shared" si="548"/>
        <v/>
      </c>
      <c r="Y842" s="266"/>
      <c r="Z842" s="158">
        <f t="shared" si="549"/>
        <v/>
      </c>
      <c r="AA842" s="160">
        <f t="shared" si="550"/>
        <v/>
      </c>
      <c r="AB842" s="160">
        <f>IF(R842="","",IFERROR(LOOKUP(INDEX(Справочная!$I$4:$I$19,MATCH(VLOOKUP(R842,Исходные_данные,22,FALSE),Справочная!$J$4:$J$19,0)+1),{6,10,16,20,25,32,40,50,63,80,100,125}),""))</f>
        <v/>
      </c>
      <c r="AC842" s="160">
        <f t="shared" si="551"/>
        <v/>
      </c>
      <c r="AD842" s="161">
        <f t="shared" si="552"/>
        <v/>
      </c>
      <c r="AE842" s="161">
        <f>IF(AND(R842="",G842=""),"",_xlfn.TEXTJOIN("; ",TRUE,IF(AND(R842&lt;&gt;"",V842=""),"нет фазы",""),IF(AND(R842&lt;&gt;"",N(T842)=0),"нет мощности",""),IF(AND(P842&lt;&gt;"",COUNTIFS($A$3:$A$1000,A842,$P$3:$P$1000,P842)&gt;1),"дубль клеммы "&amp;P842,""),IF(AND(W842&lt;&gt;"",W842&lt;&gt;"ok"),W842,""),IF(X842&lt;&gt;"",X842,""),IF(AND(ISNUMBER(SEARCH("(5х",Q842)),N(AK842)=1),"5 жил на 1 фазе",""),IF(AND(AL842="R",E842&lt;&gt;"",N(AS842)=0),"розетка без 30 мА",""),IF(IFERROR(_xlfn.NUMBERVALUE(MID(Q842,FIND("-",Q842,FIND("L=",Q842))+1,FIND("%",Q842)-FIND("-",Q842,FIND("L=",Q842))-1),","),0)&gt;4,"потери &gt; 4 %","")))</f>
      </c>
      <c r="AF842" s="129">
        <f>IF(E842&lt;&gt;"",COUNTIFS($A$3:A842,A842,$E$3:E842,"?*"),IF(OR(A842&lt;&gt;A841,Y842="вручную"),"",AF841))</f>
        <v/>
      </c>
      <c r="AG842" s="129">
        <f t="shared" si="553"/>
        <v/>
      </c>
      <c r="AH842" s="129">
        <f t="shared" si="554"/>
        <v/>
      </c>
      <c r="AI842" s="129">
        <f t="shared" si="555"/>
        <v/>
      </c>
      <c r="AJ842" s="129">
        <f t="shared" si="556"/>
        <v/>
      </c>
      <c r="AK842" s="129">
        <f t="shared" si="557"/>
        <v/>
      </c>
      <c r="AL842" s="129">
        <f t="shared" si="558"/>
        <v/>
      </c>
      <c r="AM842" s="129">
        <f t="shared" si="559"/>
      </c>
      <c r="AN842" s="129">
        <f t="shared" si="560"/>
      </c>
      <c r="AO842" s="129">
        <f t="shared" si="561"/>
        <v/>
      </c>
      <c r="AP842" s="129">
        <f t="shared" si="562"/>
        <v/>
      </c>
      <c r="AQ842" s="129">
        <f t="shared" si="563"/>
        <v/>
      </c>
      <c r="AR842" s="129">
        <f t="shared" si="564"/>
        <v/>
      </c>
      <c r="AS842" s="129">
        <f t="shared" si="565"/>
        <v/>
      </c>
      <c r="AT842" s="129">
        <f t="shared" si="566"/>
        <v/>
      </c>
      <c r="AU842" s="129">
        <f t="shared" si="567"/>
        <v/>
      </c>
      <c r="AV842" s="129">
        <f t="shared" si="568"/>
        <v/>
      </c>
      <c r="AW842" s="129">
        <f>IF(AV842="","",AV842&amp;"."&amp;COUNTIFS($A$3:A842,A842,$AV$3:AV842,AV842))</f>
        <v/>
      </c>
      <c r="AX842" s="129">
        <f t="shared" si="569"/>
        <v/>
      </c>
      <c r="AY842" s="129">
        <f>IF(N842="б/к",0,IF(OR(ISNUMBER(SEARCH("L=",Разбивка_по_щитам!P842)),N842="+",N842="="),1,0))</f>
      </c>
      <c r="AZ842" s="129">
        <f t="shared" si="570"/>
        <v/>
      </c>
      <c r="BA842" s="129">
        <f t="shared" si="571"/>
      </c>
      <c r="BB842" s="129">
        <f t="shared" si="572"/>
      </c>
      <c r="BD842" s="129">
        <f t="shared" si="573"/>
      </c>
      <c r="BE842" s="129">
        <f t="shared" si="574"/>
      </c>
      <c r="BF842" s="129">
        <f t="shared" si="575"/>
      </c>
      <c r="BG842" s="129">
        <f t="shared" si="576"/>
        <v/>
      </c>
      <c r="BH842" s="129">
        <f t="shared" si="577"/>
        <v/>
      </c>
      <c r="BI842" s="129">
        <f t="shared" si="578"/>
        <v/>
      </c>
      <c r="BJ842" s="129">
        <f t="shared" si="579"/>
        <v/>
      </c>
      <c r="BK842" s="129">
        <f>IF(R842="","",IF(OR(BY842="",BY842=0),"BOX",IFERROR(IF(VLOOKUP(BY842,УГО_блоки,3,FALSE)&amp;""&lt;&gt;"",VLOOKUP(BY842,УГО_блоки,3,FALSE),VLOOKUP(BY842,УГО_блоки,2,FALSE)),BY842)))</f>
      </c>
      <c r="BL842" s="129">
        <f t="shared" si="581"/>
      </c>
      <c r="BM842" s="129">
        <f>IF(H842="","",IF(COUNTIF($H$3:H842,H842)=1,MAX($BM$2:BM841)+1,""))</f>
      </c>
      <c r="BN842" s="129">
        <f>IF(I842="","",IF(COUNTIF($I$3:I842,I842)+COUNTIF($J$2:J841,I842)+COUNTIF($K$2:K841,I842)=1,MAX($BN$2:BP841)+1,""))</f>
      </c>
      <c r="BO842" s="129">
        <f>IF(J842="","",IF(COUNTIF($I$3:I842,J842)+COUNTIF($J$3:J842,J842)+COUNTIF($K$2:K841,J842)=1,MAX($BN$2:BP841,BN842)+1,""))</f>
      </c>
      <c r="BP842" s="129">
        <f>IF(K842="","",IF(COUNTIF($I$3:I842,K842)+COUNTIF($J$3:J842,K842)+COUNTIF($K$3:K842,K842)=1,MAX($BN$2:BP841,BN842,BO842)+1,""))</f>
      </c>
      <c r="BQ842" s="129">
        <f>IF(AY842=1,IFERROR(MID(Q842,FIND(" (",Q842)+2,FIND(")",Q842,FIND(" (",Q842))-FIND(" (",Q842)-2),"?"),"")</f>
      </c>
      <c r="BR842" s="129">
        <f>IF(BQ842="","",IF(COUNTIF($BQ$3:BQ842,BQ842)=1,MAX($BR$2:BR841)+1,""))</f>
      </c>
      <c r="BS842" s="129">
        <f>IF(AW842="","",COUNTIF($AW$3:AW842,"?*"))</f>
      </c>
      <c r="BT842" s="129">
        <f>IF(OR(AW842="",AI842=""),"",IF(COUNTIFS($AW$3:AW842,"?*",$AI$3:AI842,AI842)=1,MAX($BT$2:BT841)+1,""))</f>
      </c>
      <c r="BU842" s="129">
        <f>IF(AE842="",0,IF(OR(ISNUMBER(SEARCH("дубль",AE842)),ISNUMBER(SEARCH("ПЕРЕГРУЗ",AE842)),ISNUMBER(SEARCH("ЗАЩИЩ",AE842)),ISNUMBER(SEARCH("КАНАЛ",AE842)),ISNUMBER(SEARCH("без 30",AE842))),2,1))</f>
      </c>
      <c r="BV842" s="129">
        <f>IF(R842="","",COUNTIF($R$3:R842,"?*"))</f>
      </c>
      <c r="BW842" s="129">
        <f>IF(AY842&lt;&gt;1,0,IF(MAX(IFERROR(--VLOOKUP(R842,УГО_спр,5,FALSE),0),IFERROR(--VLOOKUP(AL842,УГО_спр,5,FALSE),0),IFERROR(--VLOOKUP(LEFT(AL842,2),УГО_спр,5,FALSE),0))&gt;0,MAX(IFERROR(--VLOOKUP(R842,УГО_спр,5,FALSE),0),IFERROR(--VLOOKUP(AL842,УГО_спр,5,FALSE),0),IFERROR(--VLOOKUP(LEFT(AL842,2),УГО_спр,5,FALSE),0)),IF(IFERROR(--LEFT(SUBSTITUTE(BQ842,"x","х"),FIND("х",SUBSTITUTE(BQ842,"x","х"))-1),3)&gt;3,Каталог!$S$9,1)))</f>
      </c>
      <c r="BX842" s="129">
        <f>IF(AY842&lt;&gt;1,0,MAX(0,IFERROR(--LEFT(SUBSTITUTE(BQ842,"x","х"),FIND("х",SUBSTITUTE(BQ842,"x","х"))-1),3)-3*BW842))</f>
      </c>
      <c r="BY842" s="129">
        <f>IF(R842="","",IFERROR(VLOOKUP(R842,УГО_спр,2,FALSE),IFERROR(VLOOKUP(AL842,УГО_спр,2,FALSE),IFERROR(VLOOKUP(LEFT(AL842,2),УГО_спр,2,FALSE),""))))</f>
      </c>
    </row>
    <row r="843" spans="1:64" x14ac:dyDescent="0.3">
      <c r="A843" s="135">
        <f>IF(Разбивка_по_щитам!F843=0,"",Разбивка_по_щитам!F843)</f>
        <v/>
      </c>
      <c r="B843" s="138">
        <f>IF(A843="","",Разбивка_по_щитам!C843)</f>
        <v/>
      </c>
      <c r="C843" s="138">
        <f t="shared" si="542"/>
        <v/>
      </c>
      <c r="D843" s="266"/>
      <c r="E843" s="266"/>
      <c r="F843" s="267"/>
      <c r="G843" s="145">
        <f t="shared" si="543"/>
        <v/>
      </c>
      <c r="H843" s="145">
        <f t="shared" si="544"/>
        <v/>
      </c>
      <c r="I843" s="266"/>
      <c r="J843" s="267"/>
      <c r="K843" s="267"/>
      <c r="L843" s="266"/>
      <c r="M843" s="147">
        <f t="shared" si="545"/>
        <v/>
      </c>
      <c r="N843" s="267"/>
      <c r="O843" s="147">
        <f t="shared" si="546"/>
        <v/>
      </c>
      <c r="P843" s="268">
        <f>IF(AY843=1,"XT"&amp;COUNTIFS($A$3:A843,A843,$AY$3:AY843,1),"")</f>
        <v/>
      </c>
      <c r="Q843" s="152">
        <f>IF(R843="","",IFERROR(SUBSTITUTE(Разбивка_по_щитам!P843,CHAR(10)," "),""))</f>
        <v/>
      </c>
      <c r="R843" s="153">
        <f>IF(OR(Разбивка_по_щитам!H843="",Разбивка_по_щитам!H843=0),"",Разбивка_по_щитам!H843)</f>
        <v/>
      </c>
      <c r="S843" s="154">
        <f>IF(R843="","",IFERROR(Разбивка_по_щитам!J843&amp;"",""))</f>
        <v/>
      </c>
      <c r="T843" s="155">
        <f>IF(R843="","",IFERROR(--Разбивка_по_щитам!L843,""))</f>
        <v/>
      </c>
      <c r="U843" s="155">
        <f>IF(R843="","",IFERROR(--Разбивка_по_щитам!K843,""))</f>
        <v/>
      </c>
      <c r="V843" s="138">
        <f>IF(R843="","",IFERROR(IF(Разбивка_по_щитам!M843=0,"",Разбивка_по_щитам!M843),""))</f>
        <v/>
      </c>
      <c r="W843" s="156">
        <f t="shared" si="547"/>
        <v/>
      </c>
      <c r="X843" s="157">
        <f t="shared" si="548"/>
        <v/>
      </c>
      <c r="Y843" s="266"/>
      <c r="Z843" s="158">
        <f t="shared" si="549"/>
        <v/>
      </c>
      <c r="AA843" s="160">
        <f t="shared" si="550"/>
        <v/>
      </c>
      <c r="AB843" s="160">
        <f>IF(R843="","",IFERROR(LOOKUP(INDEX(Справочная!$I$4:$I$19,MATCH(VLOOKUP(R843,Исходные_данные,22,FALSE),Справочная!$J$4:$J$19,0)+1),{6,10,16,20,25,32,40,50,63,80,100,125}),""))</f>
        <v/>
      </c>
      <c r="AC843" s="160">
        <f t="shared" si="551"/>
        <v/>
      </c>
      <c r="AD843" s="161">
        <f t="shared" si="552"/>
        <v/>
      </c>
      <c r="AE843" s="161">
        <f>IF(AND(R843="",G843=""),"",_xlfn.TEXTJOIN("; ",TRUE,IF(AND(R843&lt;&gt;"",V843=""),"нет фазы",""),IF(AND(R843&lt;&gt;"",N(T843)=0),"нет мощности",""),IF(AND(P843&lt;&gt;"",COUNTIFS($A$3:$A$1000,A843,$P$3:$P$1000,P843)&gt;1),"дубль клеммы "&amp;P843,""),IF(AND(W843&lt;&gt;"",W843&lt;&gt;"ok"),W843,""),IF(X843&lt;&gt;"",X843,""),IF(AND(ISNUMBER(SEARCH("(5х",Q843)),N(AK843)=1),"5 жил на 1 фазе",""),IF(AND(AL843="R",E843&lt;&gt;"",N(AS843)=0),"розетка без 30 мА",""),IF(IFERROR(_xlfn.NUMBERVALUE(MID(Q843,FIND("-",Q843,FIND("L=",Q843))+1,FIND("%",Q843)-FIND("-",Q843,FIND("L=",Q843))-1),","),0)&gt;4,"потери &gt; 4 %","")))</f>
      </c>
      <c r="AF843" s="129">
        <f>IF(E843&lt;&gt;"",COUNTIFS($A$3:A843,A843,$E$3:E843,"?*"),IF(OR(A843&lt;&gt;A842,Y843="вручную"),"",AF842))</f>
        <v/>
      </c>
      <c r="AG843" s="129">
        <f t="shared" si="553"/>
        <v/>
      </c>
      <c r="AH843" s="129">
        <f t="shared" si="554"/>
        <v/>
      </c>
      <c r="AI843" s="129">
        <f t="shared" si="555"/>
        <v/>
      </c>
      <c r="AJ843" s="129">
        <f t="shared" si="556"/>
        <v/>
      </c>
      <c r="AK843" s="129">
        <f t="shared" si="557"/>
        <v/>
      </c>
      <c r="AL843" s="129">
        <f t="shared" si="558"/>
        <v/>
      </c>
      <c r="AM843" s="129">
        <f t="shared" si="559"/>
      </c>
      <c r="AN843" s="129">
        <f t="shared" si="560"/>
      </c>
      <c r="AO843" s="129">
        <f t="shared" si="561"/>
        <v/>
      </c>
      <c r="AP843" s="129">
        <f t="shared" si="562"/>
        <v/>
      </c>
      <c r="AQ843" s="129">
        <f t="shared" si="563"/>
        <v/>
      </c>
      <c r="AR843" s="129">
        <f t="shared" si="564"/>
        <v/>
      </c>
      <c r="AS843" s="129">
        <f t="shared" si="565"/>
        <v/>
      </c>
      <c r="AT843" s="129">
        <f t="shared" si="566"/>
        <v/>
      </c>
      <c r="AU843" s="129">
        <f t="shared" si="567"/>
        <v/>
      </c>
      <c r="AV843" s="129">
        <f t="shared" si="568"/>
        <v/>
      </c>
      <c r="AW843" s="129">
        <f>IF(AV843="","",AV843&amp;"."&amp;COUNTIFS($A$3:A843,A843,$AV$3:AV843,AV843))</f>
        <v/>
      </c>
      <c r="AX843" s="129">
        <f t="shared" si="569"/>
        <v/>
      </c>
      <c r="AY843" s="129">
        <f>IF(N843="б/к",0,IF(OR(ISNUMBER(SEARCH("L=",Разбивка_по_щитам!P843)),N843="+",N843="="),1,0))</f>
      </c>
      <c r="AZ843" s="129">
        <f t="shared" si="570"/>
        <v/>
      </c>
      <c r="BA843" s="129">
        <f t="shared" si="571"/>
      </c>
      <c r="BB843" s="129">
        <f t="shared" si="572"/>
      </c>
      <c r="BD843" s="129">
        <f t="shared" si="573"/>
      </c>
      <c r="BE843" s="129">
        <f t="shared" si="574"/>
      </c>
      <c r="BF843" s="129">
        <f t="shared" si="575"/>
      </c>
      <c r="BG843" s="129">
        <f t="shared" si="576"/>
        <v/>
      </c>
      <c r="BH843" s="129">
        <f t="shared" si="577"/>
        <v/>
      </c>
      <c r="BI843" s="129">
        <f t="shared" si="578"/>
        <v/>
      </c>
      <c r="BJ843" s="129">
        <f t="shared" si="579"/>
        <v/>
      </c>
      <c r="BK843" s="129">
        <f>IF(R843="","",IF(OR(BY843="",BY843=0),"BOX",IFERROR(IF(VLOOKUP(BY843,УГО_блоки,3,FALSE)&amp;""&lt;&gt;"",VLOOKUP(BY843,УГО_блоки,3,FALSE),VLOOKUP(BY843,УГО_блоки,2,FALSE)),BY843)))</f>
      </c>
      <c r="BL843" s="129">
        <f t="shared" si="581"/>
      </c>
      <c r="BM843" s="129">
        <f>IF(H843="","",IF(COUNTIF($H$3:H843,H843)=1,MAX($BM$2:BM842)+1,""))</f>
      </c>
      <c r="BN843" s="129">
        <f>IF(I843="","",IF(COUNTIF($I$3:I843,I843)+COUNTIF($J$2:J842,I843)+COUNTIF($K$2:K842,I843)=1,MAX($BN$2:BP842)+1,""))</f>
      </c>
      <c r="BO843" s="129">
        <f>IF(J843="","",IF(COUNTIF($I$3:I843,J843)+COUNTIF($J$3:J843,J843)+COUNTIF($K$2:K842,J843)=1,MAX($BN$2:BP842,BN843)+1,""))</f>
      </c>
      <c r="BP843" s="129">
        <f>IF(K843="","",IF(COUNTIF($I$3:I843,K843)+COUNTIF($J$3:J843,K843)+COUNTIF($K$3:K843,K843)=1,MAX($BN$2:BP842,BN843,BO843)+1,""))</f>
      </c>
      <c r="BQ843" s="129">
        <f>IF(AY843=1,IFERROR(MID(Q843,FIND(" (",Q843)+2,FIND(")",Q843,FIND(" (",Q843))-FIND(" (",Q843)-2),"?"),"")</f>
      </c>
      <c r="BR843" s="129">
        <f>IF(BQ843="","",IF(COUNTIF($BQ$3:BQ843,BQ843)=1,MAX($BR$2:BR842)+1,""))</f>
      </c>
      <c r="BS843" s="129">
        <f>IF(AW843="","",COUNTIF($AW$3:AW843,"?*"))</f>
      </c>
      <c r="BT843" s="129">
        <f>IF(OR(AW843="",AI843=""),"",IF(COUNTIFS($AW$3:AW843,"?*",$AI$3:AI843,AI843)=1,MAX($BT$2:BT842)+1,""))</f>
      </c>
      <c r="BU843" s="129">
        <f>IF(AE843="",0,IF(OR(ISNUMBER(SEARCH("дубль",AE843)),ISNUMBER(SEARCH("ПЕРЕГРУЗ",AE843)),ISNUMBER(SEARCH("ЗАЩИЩ",AE843)),ISNUMBER(SEARCH("КАНАЛ",AE843)),ISNUMBER(SEARCH("без 30",AE843))),2,1))</f>
      </c>
      <c r="BV843" s="129">
        <f>IF(R843="","",COUNTIF($R$3:R843,"?*"))</f>
      </c>
      <c r="BW843" s="129">
        <f>IF(AY843&lt;&gt;1,0,IF(MAX(IFERROR(--VLOOKUP(R843,УГО_спр,5,FALSE),0),IFERROR(--VLOOKUP(AL843,УГО_спр,5,FALSE),0),IFERROR(--VLOOKUP(LEFT(AL843,2),УГО_спр,5,FALSE),0))&gt;0,MAX(IFERROR(--VLOOKUP(R843,УГО_спр,5,FALSE),0),IFERROR(--VLOOKUP(AL843,УГО_спр,5,FALSE),0),IFERROR(--VLOOKUP(LEFT(AL843,2),УГО_спр,5,FALSE),0)),IF(IFERROR(--LEFT(SUBSTITUTE(BQ843,"x","х"),FIND("х",SUBSTITUTE(BQ843,"x","х"))-1),3)&gt;3,Каталог!$S$9,1)))</f>
      </c>
      <c r="BX843" s="129">
        <f>IF(AY843&lt;&gt;1,0,MAX(0,IFERROR(--LEFT(SUBSTITUTE(BQ843,"x","х"),FIND("х",SUBSTITUTE(BQ843,"x","х"))-1),3)-3*BW843))</f>
      </c>
      <c r="BY843" s="129">
        <f>IF(R843="","",IFERROR(VLOOKUP(R843,УГО_спр,2,FALSE),IFERROR(VLOOKUP(AL843,УГО_спр,2,FALSE),IFERROR(VLOOKUP(LEFT(AL843,2),УГО_спр,2,FALSE),""))))</f>
      </c>
    </row>
    <row r="844" spans="1:64" x14ac:dyDescent="0.3">
      <c r="A844" s="135">
        <f>IF(Разбивка_по_щитам!F844=0,"",Разбивка_по_щитам!F844)</f>
        <v/>
      </c>
      <c r="B844" s="138">
        <f>IF(A844="","",Разбивка_по_щитам!C844)</f>
        <v/>
      </c>
      <c r="C844" s="138">
        <f t="shared" si="542"/>
        <v/>
      </c>
      <c r="D844" s="266"/>
      <c r="E844" s="266"/>
      <c r="F844" s="267"/>
      <c r="G844" s="145">
        <f t="shared" si="543"/>
        <v/>
      </c>
      <c r="H844" s="145">
        <f t="shared" si="544"/>
        <v/>
      </c>
      <c r="I844" s="266"/>
      <c r="J844" s="267"/>
      <c r="K844" s="267"/>
      <c r="L844" s="266"/>
      <c r="M844" s="147">
        <f t="shared" si="545"/>
        <v/>
      </c>
      <c r="N844" s="267"/>
      <c r="O844" s="147">
        <f t="shared" si="546"/>
        <v/>
      </c>
      <c r="P844" s="268">
        <f>IF(AY844=1,"XT"&amp;COUNTIFS($A$3:A844,A844,$AY$3:AY844,1),"")</f>
        <v/>
      </c>
      <c r="Q844" s="152">
        <f>IF(R844="","",IFERROR(SUBSTITUTE(Разбивка_по_щитам!P844,CHAR(10)," "),""))</f>
        <v/>
      </c>
      <c r="R844" s="153">
        <f>IF(OR(Разбивка_по_щитам!H844="",Разбивка_по_щитам!H844=0),"",Разбивка_по_щитам!H844)</f>
        <v/>
      </c>
      <c r="S844" s="154">
        <f>IF(R844="","",IFERROR(Разбивка_по_щитам!J844&amp;"",""))</f>
        <v/>
      </c>
      <c r="T844" s="155">
        <f>IF(R844="","",IFERROR(--Разбивка_по_щитам!L844,""))</f>
        <v/>
      </c>
      <c r="U844" s="155">
        <f>IF(R844="","",IFERROR(--Разбивка_по_щитам!K844,""))</f>
        <v/>
      </c>
      <c r="V844" s="138">
        <f>IF(R844="","",IFERROR(IF(Разбивка_по_щитам!M844=0,"",Разбивка_по_щитам!M844),""))</f>
        <v/>
      </c>
      <c r="W844" s="156">
        <f t="shared" si="547"/>
        <v/>
      </c>
      <c r="X844" s="157">
        <f t="shared" si="548"/>
        <v/>
      </c>
      <c r="Y844" s="266"/>
      <c r="Z844" s="158">
        <f t="shared" si="549"/>
        <v/>
      </c>
      <c r="AA844" s="160">
        <f t="shared" si="550"/>
        <v/>
      </c>
      <c r="AB844" s="160">
        <f>IF(R844="","",IFERROR(LOOKUP(INDEX(Справочная!$I$4:$I$19,MATCH(VLOOKUP(R844,Исходные_данные,22,FALSE),Справочная!$J$4:$J$19,0)+1),{6,10,16,20,25,32,40,50,63,80,100,125}),""))</f>
        <v/>
      </c>
      <c r="AC844" s="160">
        <f t="shared" si="551"/>
        <v/>
      </c>
      <c r="AD844" s="161">
        <f t="shared" si="552"/>
        <v/>
      </c>
      <c r="AE844" s="161">
        <f>IF(AND(R844="",G844=""),"",_xlfn.TEXTJOIN("; ",TRUE,IF(AND(R844&lt;&gt;"",V844=""),"нет фазы",""),IF(AND(R844&lt;&gt;"",N(T844)=0),"нет мощности",""),IF(AND(P844&lt;&gt;"",COUNTIFS($A$3:$A$1000,A844,$P$3:$P$1000,P844)&gt;1),"дубль клеммы "&amp;P844,""),IF(AND(W844&lt;&gt;"",W844&lt;&gt;"ok"),W844,""),IF(X844&lt;&gt;"",X844,""),IF(AND(ISNUMBER(SEARCH("(5х",Q844)),N(AK844)=1),"5 жил на 1 фазе",""),IF(AND(AL844="R",E844&lt;&gt;"",N(AS844)=0),"розетка без 30 мА",""),IF(IFERROR(_xlfn.NUMBERVALUE(MID(Q844,FIND("-",Q844,FIND("L=",Q844))+1,FIND("%",Q844)-FIND("-",Q844,FIND("L=",Q844))-1),","),0)&gt;4,"потери &gt; 4 %","")))</f>
      </c>
      <c r="AF844" s="129">
        <f>IF(E844&lt;&gt;"",COUNTIFS($A$3:A844,A844,$E$3:E844,"?*"),IF(OR(A844&lt;&gt;A843,Y844="вручную"),"",AF843))</f>
        <v/>
      </c>
      <c r="AG844" s="129">
        <f t="shared" si="553"/>
        <v/>
      </c>
      <c r="AH844" s="129">
        <f t="shared" si="554"/>
        <v/>
      </c>
      <c r="AI844" s="129">
        <f t="shared" si="555"/>
        <v/>
      </c>
      <c r="AJ844" s="129">
        <f t="shared" si="556"/>
        <v/>
      </c>
      <c r="AK844" s="129">
        <f t="shared" si="557"/>
        <v/>
      </c>
      <c r="AL844" s="129">
        <f t="shared" si="558"/>
        <v/>
      </c>
      <c r="AM844" s="129">
        <f t="shared" si="559"/>
      </c>
      <c r="AN844" s="129">
        <f t="shared" si="560"/>
      </c>
      <c r="AO844" s="129">
        <f t="shared" si="561"/>
        <v/>
      </c>
      <c r="AP844" s="129">
        <f t="shared" si="562"/>
        <v/>
      </c>
      <c r="AQ844" s="129">
        <f t="shared" si="563"/>
        <v/>
      </c>
      <c r="AR844" s="129">
        <f t="shared" si="564"/>
        <v/>
      </c>
      <c r="AS844" s="129">
        <f t="shared" si="565"/>
        <v/>
      </c>
      <c r="AT844" s="129">
        <f t="shared" si="566"/>
        <v/>
      </c>
      <c r="AU844" s="129">
        <f t="shared" si="567"/>
        <v/>
      </c>
      <c r="AV844" s="129">
        <f t="shared" si="568"/>
        <v/>
      </c>
      <c r="AW844" s="129">
        <f>IF(AV844="","",AV844&amp;"."&amp;COUNTIFS($A$3:A844,A844,$AV$3:AV844,AV844))</f>
        <v/>
      </c>
      <c r="AX844" s="129">
        <f t="shared" si="569"/>
        <v/>
      </c>
      <c r="AY844" s="129">
        <f>IF(N844="б/к",0,IF(OR(ISNUMBER(SEARCH("L=",Разбивка_по_щитам!P844)),N844="+",N844="="),1,0))</f>
      </c>
      <c r="AZ844" s="129">
        <f t="shared" si="570"/>
        <v/>
      </c>
      <c r="BA844" s="129">
        <f t="shared" si="571"/>
      </c>
      <c r="BB844" s="129">
        <f t="shared" si="572"/>
      </c>
      <c r="BD844" s="129">
        <f t="shared" si="573"/>
      </c>
      <c r="BE844" s="129">
        <f t="shared" si="574"/>
      </c>
      <c r="BF844" s="129">
        <f t="shared" si="575"/>
      </c>
      <c r="BG844" s="129">
        <f t="shared" si="576"/>
        <v/>
      </c>
      <c r="BH844" s="129">
        <f t="shared" si="577"/>
        <v/>
      </c>
      <c r="BI844" s="129">
        <f t="shared" si="578"/>
        <v/>
      </c>
      <c r="BJ844" s="129">
        <f t="shared" si="579"/>
        <v/>
      </c>
      <c r="BK844" s="129">
        <f>IF(R844="","",IF(OR(BY844="",BY844=0),"BOX",IFERROR(IF(VLOOKUP(BY844,УГО_блоки,3,FALSE)&amp;""&lt;&gt;"",VLOOKUP(BY844,УГО_блоки,3,FALSE),VLOOKUP(BY844,УГО_блоки,2,FALSE)),BY844)))</f>
      </c>
      <c r="BL844" s="129">
        <f t="shared" si="581"/>
      </c>
      <c r="BM844" s="129">
        <f>IF(H844="","",IF(COUNTIF($H$3:H844,H844)=1,MAX($BM$2:BM843)+1,""))</f>
      </c>
      <c r="BN844" s="129">
        <f>IF(I844="","",IF(COUNTIF($I$3:I844,I844)+COUNTIF($J$2:J843,I844)+COUNTIF($K$2:K843,I844)=1,MAX($BN$2:BP843)+1,""))</f>
      </c>
      <c r="BO844" s="129">
        <f>IF(J844="","",IF(COUNTIF($I$3:I844,J844)+COUNTIF($J$3:J844,J844)+COUNTIF($K$2:K843,J844)=1,MAX($BN$2:BP843,BN844)+1,""))</f>
      </c>
      <c r="BP844" s="129">
        <f>IF(K844="","",IF(COUNTIF($I$3:I844,K844)+COUNTIF($J$3:J844,K844)+COUNTIF($K$3:K844,K844)=1,MAX($BN$2:BP843,BN844,BO844)+1,""))</f>
      </c>
      <c r="BQ844" s="129">
        <f>IF(AY844=1,IFERROR(MID(Q844,FIND(" (",Q844)+2,FIND(")",Q844,FIND(" (",Q844))-FIND(" (",Q844)-2),"?"),"")</f>
      </c>
      <c r="BR844" s="129">
        <f>IF(BQ844="","",IF(COUNTIF($BQ$3:BQ844,BQ844)=1,MAX($BR$2:BR843)+1,""))</f>
      </c>
      <c r="BS844" s="129">
        <f>IF(AW844="","",COUNTIF($AW$3:AW844,"?*"))</f>
      </c>
      <c r="BT844" s="129">
        <f>IF(OR(AW844="",AI844=""),"",IF(COUNTIFS($AW$3:AW844,"?*",$AI$3:AI844,AI844)=1,MAX($BT$2:BT843)+1,""))</f>
      </c>
      <c r="BU844" s="129">
        <f>IF(AE844="",0,IF(OR(ISNUMBER(SEARCH("дубль",AE844)),ISNUMBER(SEARCH("ПЕРЕГРУЗ",AE844)),ISNUMBER(SEARCH("ЗАЩИЩ",AE844)),ISNUMBER(SEARCH("КАНАЛ",AE844)),ISNUMBER(SEARCH("без 30",AE844))),2,1))</f>
      </c>
      <c r="BV844" s="129">
        <f>IF(R844="","",COUNTIF($R$3:R844,"?*"))</f>
      </c>
      <c r="BW844" s="129">
        <f>IF(AY844&lt;&gt;1,0,IF(MAX(IFERROR(--VLOOKUP(R844,УГО_спр,5,FALSE),0),IFERROR(--VLOOKUP(AL844,УГО_спр,5,FALSE),0),IFERROR(--VLOOKUP(LEFT(AL844,2),УГО_спр,5,FALSE),0))&gt;0,MAX(IFERROR(--VLOOKUP(R844,УГО_спр,5,FALSE),0),IFERROR(--VLOOKUP(AL844,УГО_спр,5,FALSE),0),IFERROR(--VLOOKUP(LEFT(AL844,2),УГО_спр,5,FALSE),0)),IF(IFERROR(--LEFT(SUBSTITUTE(BQ844,"x","х"),FIND("х",SUBSTITUTE(BQ844,"x","х"))-1),3)&gt;3,Каталог!$S$9,1)))</f>
      </c>
      <c r="BX844" s="129">
        <f>IF(AY844&lt;&gt;1,0,MAX(0,IFERROR(--LEFT(SUBSTITUTE(BQ844,"x","х"),FIND("х",SUBSTITUTE(BQ844,"x","х"))-1),3)-3*BW844))</f>
      </c>
      <c r="BY844" s="129">
        <f>IF(R844="","",IFERROR(VLOOKUP(R844,УГО_спр,2,FALSE),IFERROR(VLOOKUP(AL844,УГО_спр,2,FALSE),IFERROR(VLOOKUP(LEFT(AL844,2),УГО_спр,2,FALSE),""))))</f>
      </c>
    </row>
    <row r="845" spans="1:64" x14ac:dyDescent="0.3">
      <c r="A845" s="135">
        <f>IF(Разбивка_по_щитам!F845=0,"",Разбивка_по_щитам!F845)</f>
        <v/>
      </c>
      <c r="B845" s="138">
        <f>IF(A845="","",Разбивка_по_щитам!C845)</f>
        <v/>
      </c>
      <c r="C845" s="138">
        <f t="shared" si="542"/>
        <v/>
      </c>
      <c r="D845" s="266"/>
      <c r="E845" s="266"/>
      <c r="F845" s="267"/>
      <c r="G845" s="145">
        <f t="shared" si="543"/>
        <v/>
      </c>
      <c r="H845" s="145">
        <f t="shared" si="544"/>
        <v/>
      </c>
      <c r="I845" s="266"/>
      <c r="J845" s="267"/>
      <c r="K845" s="267"/>
      <c r="L845" s="266"/>
      <c r="M845" s="147">
        <f t="shared" si="545"/>
        <v/>
      </c>
      <c r="N845" s="267"/>
      <c r="O845" s="147">
        <f t="shared" si="546"/>
        <v/>
      </c>
      <c r="P845" s="268">
        <f>IF(AY845=1,"XT"&amp;COUNTIFS($A$3:A845,A845,$AY$3:AY845,1),"")</f>
        <v/>
      </c>
      <c r="Q845" s="152">
        <f>IF(R845="","",IFERROR(SUBSTITUTE(Разбивка_по_щитам!P845,CHAR(10)," "),""))</f>
        <v/>
      </c>
      <c r="R845" s="153">
        <f>IF(OR(Разбивка_по_щитам!H845="",Разбивка_по_щитам!H845=0),"",Разбивка_по_щитам!H845)</f>
        <v/>
      </c>
      <c r="S845" s="154">
        <f>IF(R845="","",IFERROR(Разбивка_по_щитам!J845&amp;"",""))</f>
        <v/>
      </c>
      <c r="T845" s="155">
        <f>IF(R845="","",IFERROR(--Разбивка_по_щитам!L845,""))</f>
        <v/>
      </c>
      <c r="U845" s="155">
        <f>IF(R845="","",IFERROR(--Разбивка_по_щитам!K845,""))</f>
        <v/>
      </c>
      <c r="V845" s="138">
        <f>IF(R845="","",IFERROR(IF(Разбивка_по_щитам!M845=0,"",Разбивка_по_щитам!M845),""))</f>
        <v/>
      </c>
      <c r="W845" s="156">
        <f t="shared" si="547"/>
        <v/>
      </c>
      <c r="X845" s="157">
        <f t="shared" si="548"/>
        <v/>
      </c>
      <c r="Y845" s="266"/>
      <c r="Z845" s="158">
        <f t="shared" si="549"/>
        <v/>
      </c>
      <c r="AA845" s="160">
        <f t="shared" si="550"/>
        <v/>
      </c>
      <c r="AB845" s="160">
        <f>IF(R845="","",IFERROR(LOOKUP(INDEX(Справочная!$I$4:$I$19,MATCH(VLOOKUP(R845,Исходные_данные,22,FALSE),Справочная!$J$4:$J$19,0)+1),{6,10,16,20,25,32,40,50,63,80,100,125}),""))</f>
        <v/>
      </c>
      <c r="AC845" s="160">
        <f t="shared" si="551"/>
        <v/>
      </c>
      <c r="AD845" s="161">
        <f t="shared" si="552"/>
        <v/>
      </c>
      <c r="AE845" s="161">
        <f>IF(AND(R845="",G845=""),"",_xlfn.TEXTJOIN("; ",TRUE,IF(AND(R845&lt;&gt;"",V845=""),"нет фазы",""),IF(AND(R845&lt;&gt;"",N(T845)=0),"нет мощности",""),IF(AND(P845&lt;&gt;"",COUNTIFS($A$3:$A$1000,A845,$P$3:$P$1000,P845)&gt;1),"дубль клеммы "&amp;P845,""),IF(AND(W845&lt;&gt;"",W845&lt;&gt;"ok"),W845,""),IF(X845&lt;&gt;"",X845,""),IF(AND(ISNUMBER(SEARCH("(5х",Q845)),N(AK845)=1),"5 жил на 1 фазе",""),IF(AND(AL845="R",E845&lt;&gt;"",N(AS845)=0),"розетка без 30 мА",""),IF(IFERROR(_xlfn.NUMBERVALUE(MID(Q845,FIND("-",Q845,FIND("L=",Q845))+1,FIND("%",Q845)-FIND("-",Q845,FIND("L=",Q845))-1),","),0)&gt;4,"потери &gt; 4 %","")))</f>
      </c>
      <c r="AF845" s="129">
        <f>IF(E845&lt;&gt;"",COUNTIFS($A$3:A845,A845,$E$3:E845,"?*"),IF(OR(A845&lt;&gt;A844,Y845="вручную"),"",AF844))</f>
        <v/>
      </c>
      <c r="AG845" s="129">
        <f t="shared" si="553"/>
        <v/>
      </c>
      <c r="AH845" s="129">
        <f t="shared" si="554"/>
        <v/>
      </c>
      <c r="AI845" s="129">
        <f t="shared" si="555"/>
        <v/>
      </c>
      <c r="AJ845" s="129">
        <f t="shared" si="556"/>
        <v/>
      </c>
      <c r="AK845" s="129">
        <f t="shared" si="557"/>
        <v/>
      </c>
      <c r="AL845" s="129">
        <f t="shared" si="558"/>
        <v/>
      </c>
      <c r="AM845" s="129">
        <f t="shared" si="559"/>
      </c>
      <c r="AN845" s="129">
        <f t="shared" si="560"/>
      </c>
      <c r="AO845" s="129">
        <f t="shared" si="561"/>
        <v/>
      </c>
      <c r="AP845" s="129">
        <f t="shared" si="562"/>
        <v/>
      </c>
      <c r="AQ845" s="129">
        <f t="shared" si="563"/>
        <v/>
      </c>
      <c r="AR845" s="129">
        <f t="shared" si="564"/>
        <v/>
      </c>
      <c r="AS845" s="129">
        <f t="shared" si="565"/>
        <v/>
      </c>
      <c r="AT845" s="129">
        <f t="shared" si="566"/>
        <v/>
      </c>
      <c r="AU845" s="129">
        <f t="shared" si="567"/>
        <v/>
      </c>
      <c r="AV845" s="129">
        <f t="shared" si="568"/>
        <v/>
      </c>
      <c r="AW845" s="129">
        <f>IF(AV845="","",AV845&amp;"."&amp;COUNTIFS($A$3:A845,A845,$AV$3:AV845,AV845))</f>
        <v/>
      </c>
      <c r="AX845" s="129">
        <f t="shared" si="569"/>
        <v/>
      </c>
      <c r="AY845" s="129">
        <f>IF(N845="б/к",0,IF(OR(ISNUMBER(SEARCH("L=",Разбивка_по_щитам!P845)),N845="+",N845="="),1,0))</f>
      </c>
      <c r="AZ845" s="129">
        <f t="shared" si="570"/>
        <v/>
      </c>
      <c r="BA845" s="129">
        <f t="shared" si="571"/>
      </c>
      <c r="BB845" s="129">
        <f t="shared" si="572"/>
      </c>
      <c r="BD845" s="129">
        <f t="shared" si="573"/>
      </c>
      <c r="BE845" s="129">
        <f t="shared" si="574"/>
      </c>
      <c r="BF845" s="129">
        <f t="shared" si="575"/>
      </c>
      <c r="BG845" s="129">
        <f t="shared" si="576"/>
        <v/>
      </c>
      <c r="BH845" s="129">
        <f t="shared" si="577"/>
        <v/>
      </c>
      <c r="BI845" s="129">
        <f t="shared" si="578"/>
        <v/>
      </c>
      <c r="BJ845" s="129">
        <f t="shared" si="579"/>
        <v/>
      </c>
      <c r="BK845" s="129">
        <f>IF(R845="","",IF(OR(BY845="",BY845=0),"BOX",IFERROR(IF(VLOOKUP(BY845,УГО_блоки,3,FALSE)&amp;""&lt;&gt;"",VLOOKUP(BY845,УГО_блоки,3,FALSE),VLOOKUP(BY845,УГО_блоки,2,FALSE)),BY845)))</f>
      </c>
      <c r="BL845" s="129">
        <f t="shared" si="581"/>
      </c>
      <c r="BM845" s="129">
        <f>IF(H845="","",IF(COUNTIF($H$3:H845,H845)=1,MAX($BM$2:BM844)+1,""))</f>
      </c>
      <c r="BN845" s="129">
        <f>IF(I845="","",IF(COUNTIF($I$3:I845,I845)+COUNTIF($J$2:J844,I845)+COUNTIF($K$2:K844,I845)=1,MAX($BN$2:BP844)+1,""))</f>
      </c>
      <c r="BO845" s="129">
        <f>IF(J845="","",IF(COUNTIF($I$3:I845,J845)+COUNTIF($J$3:J845,J845)+COUNTIF($K$2:K844,J845)=1,MAX($BN$2:BP844,BN845)+1,""))</f>
      </c>
      <c r="BP845" s="129">
        <f>IF(K845="","",IF(COUNTIF($I$3:I845,K845)+COUNTIF($J$3:J845,K845)+COUNTIF($K$3:K845,K845)=1,MAX($BN$2:BP844,BN845,BO845)+1,""))</f>
      </c>
      <c r="BQ845" s="129">
        <f>IF(AY845=1,IFERROR(MID(Q845,FIND(" (",Q845)+2,FIND(")",Q845,FIND(" (",Q845))-FIND(" (",Q845)-2),"?"),"")</f>
      </c>
      <c r="BR845" s="129">
        <f>IF(BQ845="","",IF(COUNTIF($BQ$3:BQ845,BQ845)=1,MAX($BR$2:BR844)+1,""))</f>
      </c>
      <c r="BS845" s="129">
        <f>IF(AW845="","",COUNTIF($AW$3:AW845,"?*"))</f>
      </c>
      <c r="BT845" s="129">
        <f>IF(OR(AW845="",AI845=""),"",IF(COUNTIFS($AW$3:AW845,"?*",$AI$3:AI845,AI845)=1,MAX($BT$2:BT844)+1,""))</f>
      </c>
      <c r="BU845" s="129">
        <f>IF(AE845="",0,IF(OR(ISNUMBER(SEARCH("дубль",AE845)),ISNUMBER(SEARCH("ПЕРЕГРУЗ",AE845)),ISNUMBER(SEARCH("ЗАЩИЩ",AE845)),ISNUMBER(SEARCH("КАНАЛ",AE845)),ISNUMBER(SEARCH("без 30",AE845))),2,1))</f>
      </c>
      <c r="BV845" s="129">
        <f>IF(R845="","",COUNTIF($R$3:R845,"?*"))</f>
      </c>
      <c r="BW845" s="129">
        <f>IF(AY845&lt;&gt;1,0,IF(MAX(IFERROR(--VLOOKUP(R845,УГО_спр,5,FALSE),0),IFERROR(--VLOOKUP(AL845,УГО_спр,5,FALSE),0),IFERROR(--VLOOKUP(LEFT(AL845,2),УГО_спр,5,FALSE),0))&gt;0,MAX(IFERROR(--VLOOKUP(R845,УГО_спр,5,FALSE),0),IFERROR(--VLOOKUP(AL845,УГО_спр,5,FALSE),0),IFERROR(--VLOOKUP(LEFT(AL845,2),УГО_спр,5,FALSE),0)),IF(IFERROR(--LEFT(SUBSTITUTE(BQ845,"x","х"),FIND("х",SUBSTITUTE(BQ845,"x","х"))-1),3)&gt;3,Каталог!$S$9,1)))</f>
      </c>
      <c r="BX845" s="129">
        <f>IF(AY845&lt;&gt;1,0,MAX(0,IFERROR(--LEFT(SUBSTITUTE(BQ845,"x","х"),FIND("х",SUBSTITUTE(BQ845,"x","х"))-1),3)-3*BW845))</f>
      </c>
      <c r="BY845" s="129">
        <f>IF(R845="","",IFERROR(VLOOKUP(R845,УГО_спр,2,FALSE),IFERROR(VLOOKUP(AL845,УГО_спр,2,FALSE),IFERROR(VLOOKUP(LEFT(AL845,2),УГО_спр,2,FALSE),""))))</f>
      </c>
    </row>
    <row r="846" spans="1:64" x14ac:dyDescent="0.3">
      <c r="A846" s="135">
        <f>IF(Разбивка_по_щитам!F846=0,"",Разбивка_по_щитам!F846)</f>
        <v/>
      </c>
      <c r="B846" s="138">
        <f>IF(A846="","",Разбивка_по_щитам!C846)</f>
        <v/>
      </c>
      <c r="C846" s="138">
        <f t="shared" si="542"/>
        <v/>
      </c>
      <c r="D846" s="266"/>
      <c r="E846" s="266"/>
      <c r="F846" s="267"/>
      <c r="G846" s="145">
        <f t="shared" si="543"/>
        <v/>
      </c>
      <c r="H846" s="145">
        <f t="shared" si="544"/>
        <v/>
      </c>
      <c r="I846" s="266"/>
      <c r="J846" s="267"/>
      <c r="K846" s="267"/>
      <c r="L846" s="266"/>
      <c r="M846" s="147">
        <f t="shared" si="545"/>
        <v/>
      </c>
      <c r="N846" s="267"/>
      <c r="O846" s="147">
        <f t="shared" si="546"/>
        <v/>
      </c>
      <c r="P846" s="268">
        <f>IF(AY846=1,"XT"&amp;COUNTIFS($A$3:A846,A846,$AY$3:AY846,1),"")</f>
        <v/>
      </c>
      <c r="Q846" s="152">
        <f>IF(R846="","",IFERROR(SUBSTITUTE(Разбивка_по_щитам!P846,CHAR(10)," "),""))</f>
        <v/>
      </c>
      <c r="R846" s="153">
        <f>IF(OR(Разбивка_по_щитам!H846="",Разбивка_по_щитам!H846=0),"",Разбивка_по_щитам!H846)</f>
        <v/>
      </c>
      <c r="S846" s="154">
        <f>IF(R846="","",IFERROR(Разбивка_по_щитам!J846&amp;"",""))</f>
        <v/>
      </c>
      <c r="T846" s="155">
        <f>IF(R846="","",IFERROR(--Разбивка_по_щитам!L846,""))</f>
        <v/>
      </c>
      <c r="U846" s="155">
        <f>IF(R846="","",IFERROR(--Разбивка_по_щитам!K846,""))</f>
        <v/>
      </c>
      <c r="V846" s="138">
        <f>IF(R846="","",IFERROR(IF(Разбивка_по_щитам!M846=0,"",Разбивка_по_щитам!M846),""))</f>
        <v/>
      </c>
      <c r="W846" s="156">
        <f t="shared" si="547"/>
        <v/>
      </c>
      <c r="X846" s="157">
        <f t="shared" si="548"/>
        <v/>
      </c>
      <c r="Y846" s="266"/>
      <c r="Z846" s="158">
        <f t="shared" si="549"/>
        <v/>
      </c>
      <c r="AA846" s="160">
        <f t="shared" si="550"/>
        <v/>
      </c>
      <c r="AB846" s="160">
        <f>IF(R846="","",IFERROR(LOOKUP(INDEX(Справочная!$I$4:$I$19,MATCH(VLOOKUP(R846,Исходные_данные,22,FALSE),Справочная!$J$4:$J$19,0)+1),{6,10,16,20,25,32,40,50,63,80,100,125}),""))</f>
        <v/>
      </c>
      <c r="AC846" s="160">
        <f t="shared" si="551"/>
        <v/>
      </c>
      <c r="AD846" s="161">
        <f t="shared" si="552"/>
        <v/>
      </c>
      <c r="AE846" s="161">
        <f>IF(AND(R846="",G846=""),"",_xlfn.TEXTJOIN("; ",TRUE,IF(AND(R846&lt;&gt;"",V846=""),"нет фазы",""),IF(AND(R846&lt;&gt;"",N(T846)=0),"нет мощности",""),IF(AND(P846&lt;&gt;"",COUNTIFS($A$3:$A$1000,A846,$P$3:$P$1000,P846)&gt;1),"дубль клеммы "&amp;P846,""),IF(AND(W846&lt;&gt;"",W846&lt;&gt;"ok"),W846,""),IF(X846&lt;&gt;"",X846,""),IF(AND(ISNUMBER(SEARCH("(5х",Q846)),N(AK846)=1),"5 жил на 1 фазе",""),IF(AND(AL846="R",E846&lt;&gt;"",N(AS846)=0),"розетка без 30 мА",""),IF(IFERROR(_xlfn.NUMBERVALUE(MID(Q846,FIND("-",Q846,FIND("L=",Q846))+1,FIND("%",Q846)-FIND("-",Q846,FIND("L=",Q846))-1),","),0)&gt;4,"потери &gt; 4 %","")))</f>
      </c>
      <c r="AF846" s="129">
        <f>IF(E846&lt;&gt;"",COUNTIFS($A$3:A846,A846,$E$3:E846,"?*"),IF(OR(A846&lt;&gt;A845,Y846="вручную"),"",AF845))</f>
        <v/>
      </c>
      <c r="AG846" s="129">
        <f t="shared" si="553"/>
        <v/>
      </c>
      <c r="AH846" s="129">
        <f t="shared" si="554"/>
        <v/>
      </c>
      <c r="AI846" s="129">
        <f t="shared" si="555"/>
        <v/>
      </c>
      <c r="AJ846" s="129">
        <f t="shared" si="556"/>
        <v/>
      </c>
      <c r="AK846" s="129">
        <f t="shared" si="557"/>
        <v/>
      </c>
      <c r="AL846" s="129">
        <f t="shared" si="558"/>
        <v/>
      </c>
      <c r="AM846" s="129">
        <f t="shared" si="559"/>
      </c>
      <c r="AN846" s="129">
        <f t="shared" si="560"/>
      </c>
      <c r="AO846" s="129">
        <f t="shared" si="561"/>
        <v/>
      </c>
      <c r="AP846" s="129">
        <f t="shared" si="562"/>
        <v/>
      </c>
      <c r="AQ846" s="129">
        <f t="shared" si="563"/>
        <v/>
      </c>
      <c r="AR846" s="129">
        <f t="shared" si="564"/>
        <v/>
      </c>
      <c r="AS846" s="129">
        <f t="shared" si="565"/>
        <v/>
      </c>
      <c r="AT846" s="129">
        <f t="shared" si="566"/>
        <v/>
      </c>
      <c r="AU846" s="129">
        <f t="shared" si="567"/>
        <v/>
      </c>
      <c r="AV846" s="129">
        <f t="shared" si="568"/>
        <v/>
      </c>
      <c r="AW846" s="129">
        <f>IF(AV846="","",AV846&amp;"."&amp;COUNTIFS($A$3:A846,A846,$AV$3:AV846,AV846))</f>
        <v/>
      </c>
      <c r="AX846" s="129">
        <f t="shared" si="569"/>
        <v/>
      </c>
      <c r="AY846" s="129">
        <f>IF(N846="б/к",0,IF(OR(ISNUMBER(SEARCH("L=",Разбивка_по_щитам!P846)),N846="+",N846="="),1,0))</f>
      </c>
      <c r="AZ846" s="129">
        <f t="shared" si="570"/>
        <v/>
      </c>
      <c r="BA846" s="129">
        <f t="shared" si="571"/>
      </c>
      <c r="BB846" s="129">
        <f t="shared" si="572"/>
      </c>
      <c r="BD846" s="129">
        <f t="shared" si="573"/>
      </c>
      <c r="BE846" s="129">
        <f t="shared" si="574"/>
      </c>
      <c r="BF846" s="129">
        <f t="shared" si="575"/>
      </c>
      <c r="BG846" s="129">
        <f t="shared" si="576"/>
        <v/>
      </c>
      <c r="BH846" s="129">
        <f t="shared" si="577"/>
        <v/>
      </c>
      <c r="BI846" s="129">
        <f t="shared" si="578"/>
        <v/>
      </c>
      <c r="BJ846" s="129">
        <f t="shared" si="579"/>
        <v/>
      </c>
      <c r="BK846" s="129">
        <f>IF(R846="","",IF(OR(BY846="",BY846=0),"BOX",IFERROR(IF(VLOOKUP(BY846,УГО_блоки,3,FALSE)&amp;""&lt;&gt;"",VLOOKUP(BY846,УГО_блоки,3,FALSE),VLOOKUP(BY846,УГО_блоки,2,FALSE)),BY846)))</f>
      </c>
      <c r="BL846" s="129">
        <f t="shared" si="581"/>
      </c>
      <c r="BM846" s="129">
        <f>IF(H846="","",IF(COUNTIF($H$3:H846,H846)=1,MAX($BM$2:BM845)+1,""))</f>
      </c>
      <c r="BN846" s="129">
        <f>IF(I846="","",IF(COUNTIF($I$3:I846,I846)+COUNTIF($J$2:J845,I846)+COUNTIF($K$2:K845,I846)=1,MAX($BN$2:BP845)+1,""))</f>
      </c>
      <c r="BO846" s="129">
        <f>IF(J846="","",IF(COUNTIF($I$3:I846,J846)+COUNTIF($J$3:J846,J846)+COUNTIF($K$2:K845,J846)=1,MAX($BN$2:BP845,BN846)+1,""))</f>
      </c>
      <c r="BP846" s="129">
        <f>IF(K846="","",IF(COUNTIF($I$3:I846,K846)+COUNTIF($J$3:J846,K846)+COUNTIF($K$3:K846,K846)=1,MAX($BN$2:BP845,BN846,BO846)+1,""))</f>
      </c>
      <c r="BQ846" s="129">
        <f>IF(AY846=1,IFERROR(MID(Q846,FIND(" (",Q846)+2,FIND(")",Q846,FIND(" (",Q846))-FIND(" (",Q846)-2),"?"),"")</f>
      </c>
      <c r="BR846" s="129">
        <f>IF(BQ846="","",IF(COUNTIF($BQ$3:BQ846,BQ846)=1,MAX($BR$2:BR845)+1,""))</f>
      </c>
      <c r="BS846" s="129">
        <f>IF(AW846="","",COUNTIF($AW$3:AW846,"?*"))</f>
      </c>
      <c r="BT846" s="129">
        <f>IF(OR(AW846="",AI846=""),"",IF(COUNTIFS($AW$3:AW846,"?*",$AI$3:AI846,AI846)=1,MAX($BT$2:BT845)+1,""))</f>
      </c>
      <c r="BU846" s="129">
        <f>IF(AE846="",0,IF(OR(ISNUMBER(SEARCH("дубль",AE846)),ISNUMBER(SEARCH("ПЕРЕГРУЗ",AE846)),ISNUMBER(SEARCH("ЗАЩИЩ",AE846)),ISNUMBER(SEARCH("КАНАЛ",AE846)),ISNUMBER(SEARCH("без 30",AE846))),2,1))</f>
      </c>
      <c r="BV846" s="129">
        <f>IF(R846="","",COUNTIF($R$3:R846,"?*"))</f>
      </c>
      <c r="BW846" s="129">
        <f>IF(AY846&lt;&gt;1,0,IF(MAX(IFERROR(--VLOOKUP(R846,УГО_спр,5,FALSE),0),IFERROR(--VLOOKUP(AL846,УГО_спр,5,FALSE),0),IFERROR(--VLOOKUP(LEFT(AL846,2),УГО_спр,5,FALSE),0))&gt;0,MAX(IFERROR(--VLOOKUP(R846,УГО_спр,5,FALSE),0),IFERROR(--VLOOKUP(AL846,УГО_спр,5,FALSE),0),IFERROR(--VLOOKUP(LEFT(AL846,2),УГО_спр,5,FALSE),0)),IF(IFERROR(--LEFT(SUBSTITUTE(BQ846,"x","х"),FIND("х",SUBSTITUTE(BQ846,"x","х"))-1),3)&gt;3,Каталог!$S$9,1)))</f>
      </c>
      <c r="BX846" s="129">
        <f>IF(AY846&lt;&gt;1,0,MAX(0,IFERROR(--LEFT(SUBSTITUTE(BQ846,"x","х"),FIND("х",SUBSTITUTE(BQ846,"x","х"))-1),3)-3*BW846))</f>
      </c>
      <c r="BY846" s="129">
        <f>IF(R846="","",IFERROR(VLOOKUP(R846,УГО_спр,2,FALSE),IFERROR(VLOOKUP(AL846,УГО_спр,2,FALSE),IFERROR(VLOOKUP(LEFT(AL846,2),УГО_спр,2,FALSE),""))))</f>
      </c>
    </row>
    <row r="847" spans="1:64" x14ac:dyDescent="0.3">
      <c r="A847" s="135">
        <f>IF(Разбивка_по_щитам!F847=0,"",Разбивка_по_щитам!F847)</f>
        <v/>
      </c>
      <c r="B847" s="138">
        <f>IF(A847="","",Разбивка_по_щитам!C847)</f>
        <v/>
      </c>
      <c r="C847" s="138">
        <f t="shared" si="542"/>
        <v/>
      </c>
      <c r="D847" s="266"/>
      <c r="E847" s="266"/>
      <c r="F847" s="267"/>
      <c r="G847" s="145">
        <f t="shared" si="543"/>
        <v/>
      </c>
      <c r="H847" s="145">
        <f t="shared" si="544"/>
        <v/>
      </c>
      <c r="I847" s="266"/>
      <c r="J847" s="267"/>
      <c r="K847" s="267"/>
      <c r="L847" s="266"/>
      <c r="M847" s="147">
        <f t="shared" si="545"/>
        <v/>
      </c>
      <c r="N847" s="267"/>
      <c r="O847" s="147">
        <f t="shared" si="546"/>
        <v/>
      </c>
      <c r="P847" s="268">
        <f>IF(AY847=1,"XT"&amp;COUNTIFS($A$3:A847,A847,$AY$3:AY847,1),"")</f>
        <v/>
      </c>
      <c r="Q847" s="152">
        <f>IF(R847="","",IFERROR(SUBSTITUTE(Разбивка_по_щитам!P847,CHAR(10)," "),""))</f>
        <v/>
      </c>
      <c r="R847" s="153">
        <f>IF(OR(Разбивка_по_щитам!H847="",Разбивка_по_щитам!H847=0),"",Разбивка_по_щитам!H847)</f>
        <v/>
      </c>
      <c r="S847" s="154">
        <f>IF(R847="","",IFERROR(Разбивка_по_щитам!J847&amp;"",""))</f>
        <v/>
      </c>
      <c r="T847" s="155">
        <f>IF(R847="","",IFERROR(--Разбивка_по_щитам!L847,""))</f>
        <v/>
      </c>
      <c r="U847" s="155">
        <f>IF(R847="","",IFERROR(--Разбивка_по_щитам!K847,""))</f>
        <v/>
      </c>
      <c r="V847" s="138">
        <f>IF(R847="","",IFERROR(IF(Разбивка_по_щитам!M847=0,"",Разбивка_по_щитам!M847),""))</f>
        <v/>
      </c>
      <c r="W847" s="156">
        <f t="shared" si="547"/>
        <v/>
      </c>
      <c r="X847" s="157">
        <f t="shared" si="548"/>
        <v/>
      </c>
      <c r="Y847" s="266"/>
      <c r="Z847" s="158">
        <f t="shared" si="549"/>
        <v/>
      </c>
      <c r="AA847" s="160">
        <f t="shared" si="550"/>
        <v/>
      </c>
      <c r="AB847" s="160">
        <f>IF(R847="","",IFERROR(LOOKUP(INDEX(Справочная!$I$4:$I$19,MATCH(VLOOKUP(R847,Исходные_данные,22,FALSE),Справочная!$J$4:$J$19,0)+1),{6,10,16,20,25,32,40,50,63,80,100,125}),""))</f>
        <v/>
      </c>
      <c r="AC847" s="160">
        <f t="shared" si="551"/>
        <v/>
      </c>
      <c r="AD847" s="161">
        <f t="shared" si="552"/>
        <v/>
      </c>
      <c r="AE847" s="161">
        <f>IF(AND(R847="",G847=""),"",_xlfn.TEXTJOIN("; ",TRUE,IF(AND(R847&lt;&gt;"",V847=""),"нет фазы",""),IF(AND(R847&lt;&gt;"",N(T847)=0),"нет мощности",""),IF(AND(P847&lt;&gt;"",COUNTIFS($A$3:$A$1000,A847,$P$3:$P$1000,P847)&gt;1),"дубль клеммы "&amp;P847,""),IF(AND(W847&lt;&gt;"",W847&lt;&gt;"ok"),W847,""),IF(X847&lt;&gt;"",X847,""),IF(AND(ISNUMBER(SEARCH("(5х",Q847)),N(AK847)=1),"5 жил на 1 фазе",""),IF(AND(AL847="R",E847&lt;&gt;"",N(AS847)=0),"розетка без 30 мА",""),IF(IFERROR(_xlfn.NUMBERVALUE(MID(Q847,FIND("-",Q847,FIND("L=",Q847))+1,FIND("%",Q847)-FIND("-",Q847,FIND("L=",Q847))-1),","),0)&gt;4,"потери &gt; 4 %","")))</f>
      </c>
      <c r="AF847" s="129">
        <f>IF(E847&lt;&gt;"",COUNTIFS($A$3:A847,A847,$E$3:E847,"?*"),IF(OR(A847&lt;&gt;A846,Y847="вручную"),"",AF846))</f>
        <v/>
      </c>
      <c r="AG847" s="129">
        <f t="shared" si="553"/>
        <v/>
      </c>
      <c r="AH847" s="129">
        <f t="shared" si="554"/>
        <v/>
      </c>
      <c r="AI847" s="129">
        <f t="shared" si="555"/>
        <v/>
      </c>
      <c r="AJ847" s="129">
        <f t="shared" si="556"/>
        <v/>
      </c>
      <c r="AK847" s="129">
        <f t="shared" si="557"/>
        <v/>
      </c>
      <c r="AL847" s="129">
        <f t="shared" si="558"/>
        <v/>
      </c>
      <c r="AM847" s="129">
        <f t="shared" si="559"/>
      </c>
      <c r="AN847" s="129">
        <f t="shared" si="560"/>
      </c>
      <c r="AO847" s="129">
        <f t="shared" si="561"/>
        <v/>
      </c>
      <c r="AP847" s="129">
        <f t="shared" si="562"/>
        <v/>
      </c>
      <c r="AQ847" s="129">
        <f t="shared" si="563"/>
        <v/>
      </c>
      <c r="AR847" s="129">
        <f t="shared" si="564"/>
        <v/>
      </c>
      <c r="AS847" s="129">
        <f t="shared" si="565"/>
        <v/>
      </c>
      <c r="AT847" s="129">
        <f t="shared" si="566"/>
        <v/>
      </c>
      <c r="AU847" s="129">
        <f t="shared" si="567"/>
        <v/>
      </c>
      <c r="AV847" s="129">
        <f t="shared" si="568"/>
        <v/>
      </c>
      <c r="AW847" s="129">
        <f>IF(AV847="","",AV847&amp;"."&amp;COUNTIFS($A$3:A847,A847,$AV$3:AV847,AV847))</f>
        <v/>
      </c>
      <c r="AX847" s="129">
        <f t="shared" si="569"/>
        <v/>
      </c>
      <c r="AY847" s="129">
        <f>IF(N847="б/к",0,IF(OR(ISNUMBER(SEARCH("L=",Разбивка_по_щитам!P847)),N847="+",N847="="),1,0))</f>
      </c>
      <c r="AZ847" s="129">
        <f t="shared" si="570"/>
        <v/>
      </c>
      <c r="BA847" s="129">
        <f t="shared" si="571"/>
      </c>
      <c r="BB847" s="129">
        <f t="shared" si="572"/>
      </c>
      <c r="BD847" s="129">
        <f t="shared" si="573"/>
      </c>
      <c r="BE847" s="129">
        <f t="shared" si="574"/>
      </c>
      <c r="BF847" s="129">
        <f t="shared" si="575"/>
      </c>
      <c r="BG847" s="129">
        <f t="shared" si="576"/>
        <v/>
      </c>
      <c r="BH847" s="129">
        <f t="shared" si="577"/>
        <v/>
      </c>
      <c r="BI847" s="129">
        <f t="shared" si="578"/>
        <v/>
      </c>
      <c r="BJ847" s="129">
        <f t="shared" si="579"/>
        <v/>
      </c>
      <c r="BK847" s="129">
        <f>IF(R847="","",IF(OR(BY847="",BY847=0),"BOX",IFERROR(IF(VLOOKUP(BY847,УГО_блоки,3,FALSE)&amp;""&lt;&gt;"",VLOOKUP(BY847,УГО_блоки,3,FALSE),VLOOKUP(BY847,УГО_блоки,2,FALSE)),BY847)))</f>
      </c>
      <c r="BL847" s="129">
        <f t="shared" si="581"/>
      </c>
      <c r="BM847" s="129">
        <f>IF(H847="","",IF(COUNTIF($H$3:H847,H847)=1,MAX($BM$2:BM846)+1,""))</f>
      </c>
      <c r="BN847" s="129">
        <f>IF(I847="","",IF(COUNTIF($I$3:I847,I847)+COUNTIF($J$2:J846,I847)+COUNTIF($K$2:K846,I847)=1,MAX($BN$2:BP846)+1,""))</f>
      </c>
      <c r="BO847" s="129">
        <f>IF(J847="","",IF(COUNTIF($I$3:I847,J847)+COUNTIF($J$3:J847,J847)+COUNTIF($K$2:K846,J847)=1,MAX($BN$2:BP846,BN847)+1,""))</f>
      </c>
      <c r="BP847" s="129">
        <f>IF(K847="","",IF(COUNTIF($I$3:I847,K847)+COUNTIF($J$3:J847,K847)+COUNTIF($K$3:K847,K847)=1,MAX($BN$2:BP846,BN847,BO847)+1,""))</f>
      </c>
      <c r="BQ847" s="129">
        <f>IF(AY847=1,IFERROR(MID(Q847,FIND(" (",Q847)+2,FIND(")",Q847,FIND(" (",Q847))-FIND(" (",Q847)-2),"?"),"")</f>
      </c>
      <c r="BR847" s="129">
        <f>IF(BQ847="","",IF(COUNTIF($BQ$3:BQ847,BQ847)=1,MAX($BR$2:BR846)+1,""))</f>
      </c>
      <c r="BS847" s="129">
        <f>IF(AW847="","",COUNTIF($AW$3:AW847,"?*"))</f>
      </c>
      <c r="BT847" s="129">
        <f>IF(OR(AW847="",AI847=""),"",IF(COUNTIFS($AW$3:AW847,"?*",$AI$3:AI847,AI847)=1,MAX($BT$2:BT846)+1,""))</f>
      </c>
      <c r="BU847" s="129">
        <f>IF(AE847="",0,IF(OR(ISNUMBER(SEARCH("дубль",AE847)),ISNUMBER(SEARCH("ПЕРЕГРУЗ",AE847)),ISNUMBER(SEARCH("ЗАЩИЩ",AE847)),ISNUMBER(SEARCH("КАНАЛ",AE847)),ISNUMBER(SEARCH("без 30",AE847))),2,1))</f>
      </c>
      <c r="BV847" s="129">
        <f>IF(R847="","",COUNTIF($R$3:R847,"?*"))</f>
      </c>
      <c r="BW847" s="129">
        <f>IF(AY847&lt;&gt;1,0,IF(MAX(IFERROR(--VLOOKUP(R847,УГО_спр,5,FALSE),0),IFERROR(--VLOOKUP(AL847,УГО_спр,5,FALSE),0),IFERROR(--VLOOKUP(LEFT(AL847,2),УГО_спр,5,FALSE),0))&gt;0,MAX(IFERROR(--VLOOKUP(R847,УГО_спр,5,FALSE),0),IFERROR(--VLOOKUP(AL847,УГО_спр,5,FALSE),0),IFERROR(--VLOOKUP(LEFT(AL847,2),УГО_спр,5,FALSE),0)),IF(IFERROR(--LEFT(SUBSTITUTE(BQ847,"x","х"),FIND("х",SUBSTITUTE(BQ847,"x","х"))-1),3)&gt;3,Каталог!$S$9,1)))</f>
      </c>
      <c r="BX847" s="129">
        <f>IF(AY847&lt;&gt;1,0,MAX(0,IFERROR(--LEFT(SUBSTITUTE(BQ847,"x","х"),FIND("х",SUBSTITUTE(BQ847,"x","х"))-1),3)-3*BW847))</f>
      </c>
      <c r="BY847" s="129">
        <f>IF(R847="","",IFERROR(VLOOKUP(R847,УГО_спр,2,FALSE),IFERROR(VLOOKUP(AL847,УГО_спр,2,FALSE),IFERROR(VLOOKUP(LEFT(AL847,2),УГО_спр,2,FALSE),""))))</f>
      </c>
    </row>
    <row r="848" spans="1:64" x14ac:dyDescent="0.3">
      <c r="A848" s="135">
        <f>IF(Разбивка_по_щитам!F848=0,"",Разбивка_по_щитам!F848)</f>
        <v/>
      </c>
      <c r="B848" s="138">
        <f>IF(A848="","",Разбивка_по_щитам!C848)</f>
        <v/>
      </c>
      <c r="C848" s="138">
        <f t="shared" si="542"/>
        <v/>
      </c>
      <c r="D848" s="266"/>
      <c r="E848" s="266"/>
      <c r="F848" s="267"/>
      <c r="G848" s="145">
        <f t="shared" si="543"/>
        <v/>
      </c>
      <c r="H848" s="145">
        <f t="shared" si="544"/>
        <v/>
      </c>
      <c r="I848" s="266"/>
      <c r="J848" s="267"/>
      <c r="K848" s="267"/>
      <c r="L848" s="266"/>
      <c r="M848" s="147">
        <f t="shared" si="545"/>
        <v/>
      </c>
      <c r="N848" s="267"/>
      <c r="O848" s="147">
        <f t="shared" si="546"/>
        <v/>
      </c>
      <c r="P848" s="268">
        <f>IF(AY848=1,"XT"&amp;COUNTIFS($A$3:A848,A848,$AY$3:AY848,1),"")</f>
        <v/>
      </c>
      <c r="Q848" s="152">
        <f>IF(R848="","",IFERROR(SUBSTITUTE(Разбивка_по_щитам!P848,CHAR(10)," "),""))</f>
        <v/>
      </c>
      <c r="R848" s="153">
        <f>IF(OR(Разбивка_по_щитам!H848="",Разбивка_по_щитам!H848=0),"",Разбивка_по_щитам!H848)</f>
        <v/>
      </c>
      <c r="S848" s="154">
        <f>IF(R848="","",IFERROR(Разбивка_по_щитам!J848&amp;"",""))</f>
        <v/>
      </c>
      <c r="T848" s="155">
        <f>IF(R848="","",IFERROR(--Разбивка_по_щитам!L848,""))</f>
        <v/>
      </c>
      <c r="U848" s="155">
        <f>IF(R848="","",IFERROR(--Разбивка_по_щитам!K848,""))</f>
        <v/>
      </c>
      <c r="V848" s="138">
        <f>IF(R848="","",IFERROR(IF(Разбивка_по_щитам!M848=0,"",Разбивка_по_щитам!M848),""))</f>
        <v/>
      </c>
      <c r="W848" s="156">
        <f t="shared" si="547"/>
        <v/>
      </c>
      <c r="X848" s="157">
        <f t="shared" si="548"/>
        <v/>
      </c>
      <c r="Y848" s="266"/>
      <c r="Z848" s="158">
        <f t="shared" si="549"/>
        <v/>
      </c>
      <c r="AA848" s="160">
        <f t="shared" si="550"/>
        <v/>
      </c>
      <c r="AB848" s="160">
        <f>IF(R848="","",IFERROR(LOOKUP(INDEX(Справочная!$I$4:$I$19,MATCH(VLOOKUP(R848,Исходные_данные,22,FALSE),Справочная!$J$4:$J$19,0)+1),{6,10,16,20,25,32,40,50,63,80,100,125}),""))</f>
        <v/>
      </c>
      <c r="AC848" s="160">
        <f t="shared" si="551"/>
        <v/>
      </c>
      <c r="AD848" s="161">
        <f t="shared" si="552"/>
        <v/>
      </c>
      <c r="AE848" s="161">
        <f>IF(AND(R848="",G848=""),"",_xlfn.TEXTJOIN("; ",TRUE,IF(AND(R848&lt;&gt;"",V848=""),"нет фазы",""),IF(AND(R848&lt;&gt;"",N(T848)=0),"нет мощности",""),IF(AND(P848&lt;&gt;"",COUNTIFS($A$3:$A$1000,A848,$P$3:$P$1000,P848)&gt;1),"дубль клеммы "&amp;P848,""),IF(AND(W848&lt;&gt;"",W848&lt;&gt;"ok"),W848,""),IF(X848&lt;&gt;"",X848,""),IF(AND(ISNUMBER(SEARCH("(5х",Q848)),N(AK848)=1),"5 жил на 1 фазе",""),IF(AND(AL848="R",E848&lt;&gt;"",N(AS848)=0),"розетка без 30 мА",""),IF(IFERROR(_xlfn.NUMBERVALUE(MID(Q848,FIND("-",Q848,FIND("L=",Q848))+1,FIND("%",Q848)-FIND("-",Q848,FIND("L=",Q848))-1),","),0)&gt;4,"потери &gt; 4 %","")))</f>
      </c>
      <c r="AF848" s="129">
        <f>IF(E848&lt;&gt;"",COUNTIFS($A$3:A848,A848,$E$3:E848,"?*"),IF(OR(A848&lt;&gt;A847,Y848="вручную"),"",AF847))</f>
        <v/>
      </c>
      <c r="AG848" s="129">
        <f t="shared" si="553"/>
        <v/>
      </c>
      <c r="AH848" s="129">
        <f t="shared" si="554"/>
        <v/>
      </c>
      <c r="AI848" s="129">
        <f t="shared" si="555"/>
        <v/>
      </c>
      <c r="AJ848" s="129">
        <f t="shared" si="556"/>
        <v/>
      </c>
      <c r="AK848" s="129">
        <f t="shared" si="557"/>
        <v/>
      </c>
      <c r="AL848" s="129">
        <f t="shared" si="558"/>
        <v/>
      </c>
      <c r="AM848" s="129">
        <f t="shared" si="559"/>
      </c>
      <c r="AN848" s="129">
        <f t="shared" si="560"/>
      </c>
      <c r="AO848" s="129">
        <f t="shared" si="561"/>
        <v/>
      </c>
      <c r="AP848" s="129">
        <f t="shared" si="562"/>
        <v/>
      </c>
      <c r="AQ848" s="129">
        <f t="shared" si="563"/>
        <v/>
      </c>
      <c r="AR848" s="129">
        <f t="shared" si="564"/>
        <v/>
      </c>
      <c r="AS848" s="129">
        <f t="shared" si="565"/>
        <v/>
      </c>
      <c r="AT848" s="129">
        <f t="shared" si="566"/>
        <v/>
      </c>
      <c r="AU848" s="129">
        <f t="shared" si="567"/>
        <v/>
      </c>
      <c r="AV848" s="129">
        <f t="shared" si="568"/>
        <v/>
      </c>
      <c r="AW848" s="129">
        <f>IF(AV848="","",AV848&amp;"."&amp;COUNTIFS($A$3:A848,A848,$AV$3:AV848,AV848))</f>
        <v/>
      </c>
      <c r="AX848" s="129">
        <f t="shared" si="569"/>
        <v/>
      </c>
      <c r="AY848" s="129">
        <f>IF(N848="б/к",0,IF(OR(ISNUMBER(SEARCH("L=",Разбивка_по_щитам!P848)),N848="+",N848="="),1,0))</f>
      </c>
      <c r="AZ848" s="129">
        <f t="shared" si="570"/>
        <v/>
      </c>
      <c r="BA848" s="129">
        <f t="shared" si="571"/>
      </c>
      <c r="BB848" s="129">
        <f t="shared" si="572"/>
      </c>
      <c r="BD848" s="129">
        <f t="shared" si="573"/>
      </c>
      <c r="BE848" s="129">
        <f t="shared" si="574"/>
      </c>
      <c r="BF848" s="129">
        <f t="shared" si="575"/>
      </c>
      <c r="BG848" s="129">
        <f t="shared" si="576"/>
        <v/>
      </c>
      <c r="BH848" s="129">
        <f t="shared" si="577"/>
        <v/>
      </c>
      <c r="BI848" s="129">
        <f t="shared" si="578"/>
        <v/>
      </c>
      <c r="BJ848" s="129">
        <f t="shared" si="579"/>
        <v/>
      </c>
      <c r="BK848" s="129">
        <f>IF(R848="","",IF(OR(BY848="",BY848=0),"BOX",IFERROR(IF(VLOOKUP(BY848,УГО_блоки,3,FALSE)&amp;""&lt;&gt;"",VLOOKUP(BY848,УГО_блоки,3,FALSE),VLOOKUP(BY848,УГО_блоки,2,FALSE)),BY848)))</f>
      </c>
      <c r="BL848" s="129">
        <f t="shared" si="581"/>
      </c>
      <c r="BM848" s="129">
        <f>IF(H848="","",IF(COUNTIF($H$3:H848,H848)=1,MAX($BM$2:BM847)+1,""))</f>
      </c>
      <c r="BN848" s="129">
        <f>IF(I848="","",IF(COUNTIF($I$3:I848,I848)+COUNTIF($J$2:J847,I848)+COUNTIF($K$2:K847,I848)=1,MAX($BN$2:BP847)+1,""))</f>
      </c>
      <c r="BO848" s="129">
        <f>IF(J848="","",IF(COUNTIF($I$3:I848,J848)+COUNTIF($J$3:J848,J848)+COUNTIF($K$2:K847,J848)=1,MAX($BN$2:BP847,BN848)+1,""))</f>
      </c>
      <c r="BP848" s="129">
        <f>IF(K848="","",IF(COUNTIF($I$3:I848,K848)+COUNTIF($J$3:J848,K848)+COUNTIF($K$3:K848,K848)=1,MAX($BN$2:BP847,BN848,BO848)+1,""))</f>
      </c>
      <c r="BQ848" s="129">
        <f>IF(AY848=1,IFERROR(MID(Q848,FIND(" (",Q848)+2,FIND(")",Q848,FIND(" (",Q848))-FIND(" (",Q848)-2),"?"),"")</f>
      </c>
      <c r="BR848" s="129">
        <f>IF(BQ848="","",IF(COUNTIF($BQ$3:BQ848,BQ848)=1,MAX($BR$2:BR847)+1,""))</f>
      </c>
      <c r="BS848" s="129">
        <f>IF(AW848="","",COUNTIF($AW$3:AW848,"?*"))</f>
      </c>
      <c r="BT848" s="129">
        <f>IF(OR(AW848="",AI848=""),"",IF(COUNTIFS($AW$3:AW848,"?*",$AI$3:AI848,AI848)=1,MAX($BT$2:BT847)+1,""))</f>
      </c>
      <c r="BU848" s="129">
        <f>IF(AE848="",0,IF(OR(ISNUMBER(SEARCH("дубль",AE848)),ISNUMBER(SEARCH("ПЕРЕГРУЗ",AE848)),ISNUMBER(SEARCH("ЗАЩИЩ",AE848)),ISNUMBER(SEARCH("КАНАЛ",AE848)),ISNUMBER(SEARCH("без 30",AE848))),2,1))</f>
      </c>
      <c r="BV848" s="129">
        <f>IF(R848="","",COUNTIF($R$3:R848,"?*"))</f>
      </c>
      <c r="BW848" s="129">
        <f>IF(AY848&lt;&gt;1,0,IF(MAX(IFERROR(--VLOOKUP(R848,УГО_спр,5,FALSE),0),IFERROR(--VLOOKUP(AL848,УГО_спр,5,FALSE),0),IFERROR(--VLOOKUP(LEFT(AL848,2),УГО_спр,5,FALSE),0))&gt;0,MAX(IFERROR(--VLOOKUP(R848,УГО_спр,5,FALSE),0),IFERROR(--VLOOKUP(AL848,УГО_спр,5,FALSE),0),IFERROR(--VLOOKUP(LEFT(AL848,2),УГО_спр,5,FALSE),0)),IF(IFERROR(--LEFT(SUBSTITUTE(BQ848,"x","х"),FIND("х",SUBSTITUTE(BQ848,"x","х"))-1),3)&gt;3,Каталог!$S$9,1)))</f>
      </c>
      <c r="BX848" s="129">
        <f>IF(AY848&lt;&gt;1,0,MAX(0,IFERROR(--LEFT(SUBSTITUTE(BQ848,"x","х"),FIND("х",SUBSTITUTE(BQ848,"x","х"))-1),3)-3*BW848))</f>
      </c>
      <c r="BY848" s="129">
        <f>IF(R848="","",IFERROR(VLOOKUP(R848,УГО_спр,2,FALSE),IFERROR(VLOOKUP(AL848,УГО_спр,2,FALSE),IFERROR(VLOOKUP(LEFT(AL848,2),УГО_спр,2,FALSE),""))))</f>
      </c>
    </row>
    <row r="849" spans="1:64" x14ac:dyDescent="0.3">
      <c r="A849" s="135">
        <f>IF(Разбивка_по_щитам!F849=0,"",Разбивка_по_щитам!F849)</f>
        <v/>
      </c>
      <c r="B849" s="138">
        <f>IF(A849="","",Разбивка_по_щитам!C849)</f>
        <v/>
      </c>
      <c r="C849" s="138">
        <f t="shared" si="542"/>
        <v/>
      </c>
      <c r="D849" s="266"/>
      <c r="E849" s="266"/>
      <c r="F849" s="267"/>
      <c r="G849" s="145">
        <f t="shared" si="543"/>
        <v/>
      </c>
      <c r="H849" s="145">
        <f t="shared" si="544"/>
        <v/>
      </c>
      <c r="I849" s="266"/>
      <c r="J849" s="267"/>
      <c r="K849" s="267"/>
      <c r="L849" s="266"/>
      <c r="M849" s="147">
        <f t="shared" si="545"/>
        <v/>
      </c>
      <c r="N849" s="267"/>
      <c r="O849" s="147">
        <f t="shared" si="546"/>
        <v/>
      </c>
      <c r="P849" s="268">
        <f>IF(AY849=1,"XT"&amp;COUNTIFS($A$3:A849,A849,$AY$3:AY849,1),"")</f>
        <v/>
      </c>
      <c r="Q849" s="152">
        <f>IF(R849="","",IFERROR(SUBSTITUTE(Разбивка_по_щитам!P849,CHAR(10)," "),""))</f>
        <v/>
      </c>
      <c r="R849" s="153">
        <f>IF(OR(Разбивка_по_щитам!H849="",Разбивка_по_щитам!H849=0),"",Разбивка_по_щитам!H849)</f>
        <v/>
      </c>
      <c r="S849" s="154">
        <f>IF(R849="","",IFERROR(Разбивка_по_щитам!J849&amp;"",""))</f>
        <v/>
      </c>
      <c r="T849" s="155">
        <f>IF(R849="","",IFERROR(--Разбивка_по_щитам!L849,""))</f>
        <v/>
      </c>
      <c r="U849" s="155">
        <f>IF(R849="","",IFERROR(--Разбивка_по_щитам!K849,""))</f>
        <v/>
      </c>
      <c r="V849" s="138">
        <f>IF(R849="","",IFERROR(IF(Разбивка_по_щитам!M849=0,"",Разбивка_по_щитам!M849),""))</f>
        <v/>
      </c>
      <c r="W849" s="156">
        <f t="shared" si="547"/>
        <v/>
      </c>
      <c r="X849" s="157">
        <f t="shared" si="548"/>
        <v/>
      </c>
      <c r="Y849" s="266"/>
      <c r="Z849" s="158">
        <f t="shared" si="549"/>
        <v/>
      </c>
      <c r="AA849" s="160">
        <f t="shared" si="550"/>
        <v/>
      </c>
      <c r="AB849" s="160">
        <f>IF(R849="","",IFERROR(LOOKUP(INDEX(Справочная!$I$4:$I$19,MATCH(VLOOKUP(R849,Исходные_данные,22,FALSE),Справочная!$J$4:$J$19,0)+1),{6,10,16,20,25,32,40,50,63,80,100,125}),""))</f>
        <v/>
      </c>
      <c r="AC849" s="160">
        <f t="shared" si="551"/>
        <v/>
      </c>
      <c r="AD849" s="161">
        <f t="shared" si="552"/>
        <v/>
      </c>
      <c r="AE849" s="161">
        <f>IF(AND(R849="",G849=""),"",_xlfn.TEXTJOIN("; ",TRUE,IF(AND(R849&lt;&gt;"",V849=""),"нет фазы",""),IF(AND(R849&lt;&gt;"",N(T849)=0),"нет мощности",""),IF(AND(P849&lt;&gt;"",COUNTIFS($A$3:$A$1000,A849,$P$3:$P$1000,P849)&gt;1),"дубль клеммы "&amp;P849,""),IF(AND(W849&lt;&gt;"",W849&lt;&gt;"ok"),W849,""),IF(X849&lt;&gt;"",X849,""),IF(AND(ISNUMBER(SEARCH("(5х",Q849)),N(AK849)=1),"5 жил на 1 фазе",""),IF(AND(AL849="R",E849&lt;&gt;"",N(AS849)=0),"розетка без 30 мА",""),IF(IFERROR(_xlfn.NUMBERVALUE(MID(Q849,FIND("-",Q849,FIND("L=",Q849))+1,FIND("%",Q849)-FIND("-",Q849,FIND("L=",Q849))-1),","),0)&gt;4,"потери &gt; 4 %","")))</f>
      </c>
      <c r="AF849" s="129">
        <f>IF(E849&lt;&gt;"",COUNTIFS($A$3:A849,A849,$E$3:E849,"?*"),IF(OR(A849&lt;&gt;A848,Y849="вручную"),"",AF848))</f>
        <v/>
      </c>
      <c r="AG849" s="129">
        <f t="shared" si="553"/>
        <v/>
      </c>
      <c r="AH849" s="129">
        <f t="shared" si="554"/>
        <v/>
      </c>
      <c r="AI849" s="129">
        <f t="shared" si="555"/>
        <v/>
      </c>
      <c r="AJ849" s="129">
        <f t="shared" si="556"/>
        <v/>
      </c>
      <c r="AK849" s="129">
        <f t="shared" si="557"/>
        <v/>
      </c>
      <c r="AL849" s="129">
        <f t="shared" si="558"/>
        <v/>
      </c>
      <c r="AM849" s="129">
        <f t="shared" si="559"/>
      </c>
      <c r="AN849" s="129">
        <f t="shared" si="560"/>
      </c>
      <c r="AO849" s="129">
        <f t="shared" si="561"/>
        <v/>
      </c>
      <c r="AP849" s="129">
        <f t="shared" si="562"/>
        <v/>
      </c>
      <c r="AQ849" s="129">
        <f t="shared" si="563"/>
        <v/>
      </c>
      <c r="AR849" s="129">
        <f t="shared" si="564"/>
        <v/>
      </c>
      <c r="AS849" s="129">
        <f t="shared" si="565"/>
        <v/>
      </c>
      <c r="AT849" s="129">
        <f t="shared" si="566"/>
        <v/>
      </c>
      <c r="AU849" s="129">
        <f t="shared" si="567"/>
        <v/>
      </c>
      <c r="AV849" s="129">
        <f t="shared" si="568"/>
        <v/>
      </c>
      <c r="AW849" s="129">
        <f>IF(AV849="","",AV849&amp;"."&amp;COUNTIFS($A$3:A849,A849,$AV$3:AV849,AV849))</f>
        <v/>
      </c>
      <c r="AX849" s="129">
        <f t="shared" si="569"/>
        <v/>
      </c>
      <c r="AY849" s="129">
        <f>IF(N849="б/к",0,IF(OR(ISNUMBER(SEARCH("L=",Разбивка_по_щитам!P849)),N849="+",N849="="),1,0))</f>
      </c>
      <c r="AZ849" s="129">
        <f t="shared" si="570"/>
        <v/>
      </c>
      <c r="BA849" s="129">
        <f t="shared" si="571"/>
      </c>
      <c r="BB849" s="129">
        <f t="shared" si="572"/>
      </c>
      <c r="BD849" s="129">
        <f t="shared" si="573"/>
      </c>
      <c r="BE849" s="129">
        <f t="shared" si="574"/>
      </c>
      <c r="BF849" s="129">
        <f t="shared" si="575"/>
      </c>
      <c r="BG849" s="129">
        <f t="shared" si="576"/>
        <v/>
      </c>
      <c r="BH849" s="129">
        <f t="shared" si="577"/>
        <v/>
      </c>
      <c r="BI849" s="129">
        <f t="shared" si="578"/>
        <v/>
      </c>
      <c r="BJ849" s="129">
        <f t="shared" si="579"/>
        <v/>
      </c>
      <c r="BK849" s="129">
        <f>IF(R849="","",IF(OR(BY849="",BY849=0),"BOX",IFERROR(IF(VLOOKUP(BY849,УГО_блоки,3,FALSE)&amp;""&lt;&gt;"",VLOOKUP(BY849,УГО_блоки,3,FALSE),VLOOKUP(BY849,УГО_блоки,2,FALSE)),BY849)))</f>
      </c>
      <c r="BL849" s="129">
        <f t="shared" si="581"/>
      </c>
      <c r="BM849" s="129">
        <f>IF(H849="","",IF(COUNTIF($H$3:H849,H849)=1,MAX($BM$2:BM848)+1,""))</f>
      </c>
      <c r="BN849" s="129">
        <f>IF(I849="","",IF(COUNTIF($I$3:I849,I849)+COUNTIF($J$2:J848,I849)+COUNTIF($K$2:K848,I849)=1,MAX($BN$2:BP848)+1,""))</f>
      </c>
      <c r="BO849" s="129">
        <f>IF(J849="","",IF(COUNTIF($I$3:I849,J849)+COUNTIF($J$3:J849,J849)+COUNTIF($K$2:K848,J849)=1,MAX($BN$2:BP848,BN849)+1,""))</f>
      </c>
      <c r="BP849" s="129">
        <f>IF(K849="","",IF(COUNTIF($I$3:I849,K849)+COUNTIF($J$3:J849,K849)+COUNTIF($K$3:K849,K849)=1,MAX($BN$2:BP848,BN849,BO849)+1,""))</f>
      </c>
      <c r="BQ849" s="129">
        <f>IF(AY849=1,IFERROR(MID(Q849,FIND(" (",Q849)+2,FIND(")",Q849,FIND(" (",Q849))-FIND(" (",Q849)-2),"?"),"")</f>
      </c>
      <c r="BR849" s="129">
        <f>IF(BQ849="","",IF(COUNTIF($BQ$3:BQ849,BQ849)=1,MAX($BR$2:BR848)+1,""))</f>
      </c>
      <c r="BS849" s="129">
        <f>IF(AW849="","",COUNTIF($AW$3:AW849,"?*"))</f>
      </c>
      <c r="BT849" s="129">
        <f>IF(OR(AW849="",AI849=""),"",IF(COUNTIFS($AW$3:AW849,"?*",$AI$3:AI849,AI849)=1,MAX($BT$2:BT848)+1,""))</f>
      </c>
      <c r="BU849" s="129">
        <f>IF(AE849="",0,IF(OR(ISNUMBER(SEARCH("дубль",AE849)),ISNUMBER(SEARCH("ПЕРЕГРУЗ",AE849)),ISNUMBER(SEARCH("ЗАЩИЩ",AE849)),ISNUMBER(SEARCH("КАНАЛ",AE849)),ISNUMBER(SEARCH("без 30",AE849))),2,1))</f>
      </c>
      <c r="BV849" s="129">
        <f>IF(R849="","",COUNTIF($R$3:R849,"?*"))</f>
      </c>
      <c r="BW849" s="129">
        <f>IF(AY849&lt;&gt;1,0,IF(MAX(IFERROR(--VLOOKUP(R849,УГО_спр,5,FALSE),0),IFERROR(--VLOOKUP(AL849,УГО_спр,5,FALSE),0),IFERROR(--VLOOKUP(LEFT(AL849,2),УГО_спр,5,FALSE),0))&gt;0,MAX(IFERROR(--VLOOKUP(R849,УГО_спр,5,FALSE),0),IFERROR(--VLOOKUP(AL849,УГО_спр,5,FALSE),0),IFERROR(--VLOOKUP(LEFT(AL849,2),УГО_спр,5,FALSE),0)),IF(IFERROR(--LEFT(SUBSTITUTE(BQ849,"x","х"),FIND("х",SUBSTITUTE(BQ849,"x","х"))-1),3)&gt;3,Каталог!$S$9,1)))</f>
      </c>
      <c r="BX849" s="129">
        <f>IF(AY849&lt;&gt;1,0,MAX(0,IFERROR(--LEFT(SUBSTITUTE(BQ849,"x","х"),FIND("х",SUBSTITUTE(BQ849,"x","х"))-1),3)-3*BW849))</f>
      </c>
      <c r="BY849" s="129">
        <f>IF(R849="","",IFERROR(VLOOKUP(R849,УГО_спр,2,FALSE),IFERROR(VLOOKUP(AL849,УГО_спр,2,FALSE),IFERROR(VLOOKUP(LEFT(AL849,2),УГО_спр,2,FALSE),""))))</f>
      </c>
    </row>
    <row r="850" spans="1:64" x14ac:dyDescent="0.3">
      <c r="A850" s="135">
        <f>IF(Разбивка_по_щитам!F850=0,"",Разбивка_по_щитам!F850)</f>
        <v/>
      </c>
      <c r="B850" s="138">
        <f>IF(A850="","",Разбивка_по_щитам!C850)</f>
        <v/>
      </c>
      <c r="C850" s="138">
        <f t="shared" si="542"/>
        <v/>
      </c>
      <c r="D850" s="266"/>
      <c r="E850" s="266"/>
      <c r="F850" s="267"/>
      <c r="G850" s="145">
        <f t="shared" si="543"/>
        <v/>
      </c>
      <c r="H850" s="145">
        <f t="shared" si="544"/>
        <v/>
      </c>
      <c r="I850" s="266"/>
      <c r="J850" s="267"/>
      <c r="K850" s="267"/>
      <c r="L850" s="266"/>
      <c r="M850" s="147">
        <f t="shared" si="545"/>
        <v/>
      </c>
      <c r="N850" s="267"/>
      <c r="O850" s="147">
        <f t="shared" si="546"/>
        <v/>
      </c>
      <c r="P850" s="268">
        <f>IF(AY850=1,"XT"&amp;COUNTIFS($A$3:A850,A850,$AY$3:AY850,1),"")</f>
        <v/>
      </c>
      <c r="Q850" s="152">
        <f>IF(R850="","",IFERROR(SUBSTITUTE(Разбивка_по_щитам!P850,CHAR(10)," "),""))</f>
        <v/>
      </c>
      <c r="R850" s="153">
        <f>IF(OR(Разбивка_по_щитам!H850="",Разбивка_по_щитам!H850=0),"",Разбивка_по_щитам!H850)</f>
        <v/>
      </c>
      <c r="S850" s="154">
        <f>IF(R850="","",IFERROR(Разбивка_по_щитам!J850&amp;"",""))</f>
        <v/>
      </c>
      <c r="T850" s="155">
        <f>IF(R850="","",IFERROR(--Разбивка_по_щитам!L850,""))</f>
        <v/>
      </c>
      <c r="U850" s="155">
        <f>IF(R850="","",IFERROR(--Разбивка_по_щитам!K850,""))</f>
        <v/>
      </c>
      <c r="V850" s="138">
        <f>IF(R850="","",IFERROR(IF(Разбивка_по_щитам!M850=0,"",Разбивка_по_щитам!M850),""))</f>
        <v/>
      </c>
      <c r="W850" s="156">
        <f t="shared" si="547"/>
        <v/>
      </c>
      <c r="X850" s="157">
        <f t="shared" si="548"/>
        <v/>
      </c>
      <c r="Y850" s="266"/>
      <c r="Z850" s="158">
        <f t="shared" si="549"/>
        <v/>
      </c>
      <c r="AA850" s="160">
        <f t="shared" si="550"/>
        <v/>
      </c>
      <c r="AB850" s="160">
        <f>IF(R850="","",IFERROR(LOOKUP(INDEX(Справочная!$I$4:$I$19,MATCH(VLOOKUP(R850,Исходные_данные,22,FALSE),Справочная!$J$4:$J$19,0)+1),{6,10,16,20,25,32,40,50,63,80,100,125}),""))</f>
        <v/>
      </c>
      <c r="AC850" s="160">
        <f t="shared" si="551"/>
        <v/>
      </c>
      <c r="AD850" s="161">
        <f t="shared" si="552"/>
        <v/>
      </c>
      <c r="AE850" s="161">
        <f>IF(AND(R850="",G850=""),"",_xlfn.TEXTJOIN("; ",TRUE,IF(AND(R850&lt;&gt;"",V850=""),"нет фазы",""),IF(AND(R850&lt;&gt;"",N(T850)=0),"нет мощности",""),IF(AND(P850&lt;&gt;"",COUNTIFS($A$3:$A$1000,A850,$P$3:$P$1000,P850)&gt;1),"дубль клеммы "&amp;P850,""),IF(AND(W850&lt;&gt;"",W850&lt;&gt;"ok"),W850,""),IF(X850&lt;&gt;"",X850,""),IF(AND(ISNUMBER(SEARCH("(5х",Q850)),N(AK850)=1),"5 жил на 1 фазе",""),IF(AND(AL850="R",E850&lt;&gt;"",N(AS850)=0),"розетка без 30 мА",""),IF(IFERROR(_xlfn.NUMBERVALUE(MID(Q850,FIND("-",Q850,FIND("L=",Q850))+1,FIND("%",Q850)-FIND("-",Q850,FIND("L=",Q850))-1),","),0)&gt;4,"потери &gt; 4 %","")))</f>
      </c>
      <c r="AF850" s="129">
        <f>IF(E850&lt;&gt;"",COUNTIFS($A$3:A850,A850,$E$3:E850,"?*"),IF(OR(A850&lt;&gt;A849,Y850="вручную"),"",AF849))</f>
        <v/>
      </c>
      <c r="AG850" s="129">
        <f t="shared" si="553"/>
        <v/>
      </c>
      <c r="AH850" s="129">
        <f t="shared" si="554"/>
        <v/>
      </c>
      <c r="AI850" s="129">
        <f t="shared" si="555"/>
        <v/>
      </c>
      <c r="AJ850" s="129">
        <f t="shared" si="556"/>
        <v/>
      </c>
      <c r="AK850" s="129">
        <f t="shared" si="557"/>
        <v/>
      </c>
      <c r="AL850" s="129">
        <f t="shared" si="558"/>
        <v/>
      </c>
      <c r="AM850" s="129">
        <f t="shared" si="559"/>
      </c>
      <c r="AN850" s="129">
        <f t="shared" si="560"/>
      </c>
      <c r="AO850" s="129">
        <f t="shared" si="561"/>
        <v/>
      </c>
      <c r="AP850" s="129">
        <f t="shared" si="562"/>
        <v/>
      </c>
      <c r="AQ850" s="129">
        <f t="shared" si="563"/>
        <v/>
      </c>
      <c r="AR850" s="129">
        <f t="shared" si="564"/>
        <v/>
      </c>
      <c r="AS850" s="129">
        <f t="shared" si="565"/>
        <v/>
      </c>
      <c r="AT850" s="129">
        <f t="shared" si="566"/>
        <v/>
      </c>
      <c r="AU850" s="129">
        <f t="shared" si="567"/>
        <v/>
      </c>
      <c r="AV850" s="129">
        <f t="shared" si="568"/>
        <v/>
      </c>
      <c r="AW850" s="129">
        <f>IF(AV850="","",AV850&amp;"."&amp;COUNTIFS($A$3:A850,A850,$AV$3:AV850,AV850))</f>
        <v/>
      </c>
      <c r="AX850" s="129">
        <f t="shared" si="569"/>
        <v/>
      </c>
      <c r="AY850" s="129">
        <f>IF(N850="б/к",0,IF(OR(ISNUMBER(SEARCH("L=",Разбивка_по_щитам!P850)),N850="+",N850="="),1,0))</f>
      </c>
      <c r="AZ850" s="129">
        <f t="shared" si="570"/>
        <v/>
      </c>
      <c r="BA850" s="129">
        <f t="shared" si="571"/>
      </c>
      <c r="BB850" s="129">
        <f t="shared" si="572"/>
      </c>
      <c r="BD850" s="129">
        <f t="shared" si="573"/>
      </c>
      <c r="BE850" s="129">
        <f t="shared" si="574"/>
      </c>
      <c r="BF850" s="129">
        <f t="shared" si="575"/>
      </c>
      <c r="BG850" s="129">
        <f t="shared" si="576"/>
        <v/>
      </c>
      <c r="BH850" s="129">
        <f t="shared" si="577"/>
        <v/>
      </c>
      <c r="BI850" s="129">
        <f t="shared" si="578"/>
        <v/>
      </c>
      <c r="BJ850" s="129">
        <f t="shared" si="579"/>
        <v/>
      </c>
      <c r="BK850" s="129">
        <f>IF(R850="","",IF(OR(BY850="",BY850=0),"BOX",IFERROR(IF(VLOOKUP(BY850,УГО_блоки,3,FALSE)&amp;""&lt;&gt;"",VLOOKUP(BY850,УГО_блоки,3,FALSE),VLOOKUP(BY850,УГО_блоки,2,FALSE)),BY850)))</f>
      </c>
      <c r="BL850" s="129">
        <f t="shared" si="581"/>
      </c>
      <c r="BM850" s="129">
        <f>IF(H850="","",IF(COUNTIF($H$3:H850,H850)=1,MAX($BM$2:BM849)+1,""))</f>
      </c>
      <c r="BN850" s="129">
        <f>IF(I850="","",IF(COUNTIF($I$3:I850,I850)+COUNTIF($J$2:J849,I850)+COUNTIF($K$2:K849,I850)=1,MAX($BN$2:BP849)+1,""))</f>
      </c>
      <c r="BO850" s="129">
        <f>IF(J850="","",IF(COUNTIF($I$3:I850,J850)+COUNTIF($J$3:J850,J850)+COUNTIF($K$2:K849,J850)=1,MAX($BN$2:BP849,BN850)+1,""))</f>
      </c>
      <c r="BP850" s="129">
        <f>IF(K850="","",IF(COUNTIF($I$3:I850,K850)+COUNTIF($J$3:J850,K850)+COUNTIF($K$3:K850,K850)=1,MAX($BN$2:BP849,BN850,BO850)+1,""))</f>
      </c>
      <c r="BQ850" s="129">
        <f>IF(AY850=1,IFERROR(MID(Q850,FIND(" (",Q850)+2,FIND(")",Q850,FIND(" (",Q850))-FIND(" (",Q850)-2),"?"),"")</f>
      </c>
      <c r="BR850" s="129">
        <f>IF(BQ850="","",IF(COUNTIF($BQ$3:BQ850,BQ850)=1,MAX($BR$2:BR849)+1,""))</f>
      </c>
      <c r="BS850" s="129">
        <f>IF(AW850="","",COUNTIF($AW$3:AW850,"?*"))</f>
      </c>
      <c r="BT850" s="129">
        <f>IF(OR(AW850="",AI850=""),"",IF(COUNTIFS($AW$3:AW850,"?*",$AI$3:AI850,AI850)=1,MAX($BT$2:BT849)+1,""))</f>
      </c>
      <c r="BU850" s="129">
        <f>IF(AE850="",0,IF(OR(ISNUMBER(SEARCH("дубль",AE850)),ISNUMBER(SEARCH("ПЕРЕГРУЗ",AE850)),ISNUMBER(SEARCH("ЗАЩИЩ",AE850)),ISNUMBER(SEARCH("КАНАЛ",AE850)),ISNUMBER(SEARCH("без 30",AE850))),2,1))</f>
      </c>
      <c r="BV850" s="129">
        <f>IF(R850="","",COUNTIF($R$3:R850,"?*"))</f>
      </c>
      <c r="BW850" s="129">
        <f>IF(AY850&lt;&gt;1,0,IF(MAX(IFERROR(--VLOOKUP(R850,УГО_спр,5,FALSE),0),IFERROR(--VLOOKUP(AL850,УГО_спр,5,FALSE),0),IFERROR(--VLOOKUP(LEFT(AL850,2),УГО_спр,5,FALSE),0))&gt;0,MAX(IFERROR(--VLOOKUP(R850,УГО_спр,5,FALSE),0),IFERROR(--VLOOKUP(AL850,УГО_спр,5,FALSE),0),IFERROR(--VLOOKUP(LEFT(AL850,2),УГО_спр,5,FALSE),0)),IF(IFERROR(--LEFT(SUBSTITUTE(BQ850,"x","х"),FIND("х",SUBSTITUTE(BQ850,"x","х"))-1),3)&gt;3,Каталог!$S$9,1)))</f>
      </c>
      <c r="BX850" s="129">
        <f>IF(AY850&lt;&gt;1,0,MAX(0,IFERROR(--LEFT(SUBSTITUTE(BQ850,"x","х"),FIND("х",SUBSTITUTE(BQ850,"x","х"))-1),3)-3*BW850))</f>
      </c>
      <c r="BY850" s="129">
        <f>IF(R850="","",IFERROR(VLOOKUP(R850,УГО_спр,2,FALSE),IFERROR(VLOOKUP(AL850,УГО_спр,2,FALSE),IFERROR(VLOOKUP(LEFT(AL850,2),УГО_спр,2,FALSE),""))))</f>
      </c>
    </row>
    <row r="851" spans="1:64" x14ac:dyDescent="0.3">
      <c r="A851" s="135">
        <f>IF(Разбивка_по_щитам!F851=0,"",Разбивка_по_щитам!F851)</f>
        <v/>
      </c>
      <c r="B851" s="138">
        <f>IF(A851="","",Разбивка_по_щитам!C851)</f>
        <v/>
      </c>
      <c r="C851" s="138">
        <f t="shared" si="542"/>
        <v/>
      </c>
      <c r="D851" s="266"/>
      <c r="E851" s="266"/>
      <c r="F851" s="267"/>
      <c r="G851" s="145">
        <f t="shared" si="543"/>
        <v/>
      </c>
      <c r="H851" s="145">
        <f t="shared" si="544"/>
        <v/>
      </c>
      <c r="I851" s="266"/>
      <c r="J851" s="267"/>
      <c r="K851" s="267"/>
      <c r="L851" s="266"/>
      <c r="M851" s="147">
        <f t="shared" si="545"/>
        <v/>
      </c>
      <c r="N851" s="267"/>
      <c r="O851" s="147">
        <f t="shared" si="546"/>
        <v/>
      </c>
      <c r="P851" s="268">
        <f>IF(AY851=1,"XT"&amp;COUNTIFS($A$3:A851,A851,$AY$3:AY851,1),"")</f>
        <v/>
      </c>
      <c r="Q851" s="152">
        <f>IF(R851="","",IFERROR(SUBSTITUTE(Разбивка_по_щитам!P851,CHAR(10)," "),""))</f>
        <v/>
      </c>
      <c r="R851" s="153">
        <f>IF(OR(Разбивка_по_щитам!H851="",Разбивка_по_щитам!H851=0),"",Разбивка_по_щитам!H851)</f>
        <v/>
      </c>
      <c r="S851" s="154">
        <f>IF(R851="","",IFERROR(Разбивка_по_щитам!J851&amp;"",""))</f>
        <v/>
      </c>
      <c r="T851" s="155">
        <f>IF(R851="","",IFERROR(--Разбивка_по_щитам!L851,""))</f>
        <v/>
      </c>
      <c r="U851" s="155">
        <f>IF(R851="","",IFERROR(--Разбивка_по_щитам!K851,""))</f>
        <v/>
      </c>
      <c r="V851" s="138">
        <f>IF(R851="","",IFERROR(IF(Разбивка_по_щитам!M851=0,"",Разбивка_по_щитам!M851),""))</f>
        <v/>
      </c>
      <c r="W851" s="156">
        <f t="shared" si="547"/>
        <v/>
      </c>
      <c r="X851" s="157">
        <f t="shared" si="548"/>
        <v/>
      </c>
      <c r="Y851" s="266"/>
      <c r="Z851" s="158">
        <f t="shared" si="549"/>
        <v/>
      </c>
      <c r="AA851" s="160">
        <f t="shared" si="550"/>
        <v/>
      </c>
      <c r="AB851" s="160">
        <f>IF(R851="","",IFERROR(LOOKUP(INDEX(Справочная!$I$4:$I$19,MATCH(VLOOKUP(R851,Исходные_данные,22,FALSE),Справочная!$J$4:$J$19,0)+1),{6,10,16,20,25,32,40,50,63,80,100,125}),""))</f>
        <v/>
      </c>
      <c r="AC851" s="160">
        <f t="shared" si="551"/>
        <v/>
      </c>
      <c r="AD851" s="161">
        <f t="shared" si="552"/>
        <v/>
      </c>
      <c r="AE851" s="161">
        <f>IF(AND(R851="",G851=""),"",_xlfn.TEXTJOIN("; ",TRUE,IF(AND(R851&lt;&gt;"",V851=""),"нет фазы",""),IF(AND(R851&lt;&gt;"",N(T851)=0),"нет мощности",""),IF(AND(P851&lt;&gt;"",COUNTIFS($A$3:$A$1000,A851,$P$3:$P$1000,P851)&gt;1),"дубль клеммы "&amp;P851,""),IF(AND(W851&lt;&gt;"",W851&lt;&gt;"ok"),W851,""),IF(X851&lt;&gt;"",X851,""),IF(AND(ISNUMBER(SEARCH("(5х",Q851)),N(AK851)=1),"5 жил на 1 фазе",""),IF(AND(AL851="R",E851&lt;&gt;"",N(AS851)=0),"розетка без 30 мА",""),IF(IFERROR(_xlfn.NUMBERVALUE(MID(Q851,FIND("-",Q851,FIND("L=",Q851))+1,FIND("%",Q851)-FIND("-",Q851,FIND("L=",Q851))-1),","),0)&gt;4,"потери &gt; 4 %","")))</f>
      </c>
      <c r="AF851" s="129">
        <f>IF(E851&lt;&gt;"",COUNTIFS($A$3:A851,A851,$E$3:E851,"?*"),IF(OR(A851&lt;&gt;A850,Y851="вручную"),"",AF850))</f>
        <v/>
      </c>
      <c r="AG851" s="129">
        <f t="shared" si="553"/>
        <v/>
      </c>
      <c r="AH851" s="129">
        <f t="shared" si="554"/>
        <v/>
      </c>
      <c r="AI851" s="129">
        <f t="shared" si="555"/>
        <v/>
      </c>
      <c r="AJ851" s="129">
        <f t="shared" si="556"/>
        <v/>
      </c>
      <c r="AK851" s="129">
        <f t="shared" si="557"/>
        <v/>
      </c>
      <c r="AL851" s="129">
        <f t="shared" si="558"/>
        <v/>
      </c>
      <c r="AM851" s="129">
        <f t="shared" si="559"/>
      </c>
      <c r="AN851" s="129">
        <f t="shared" si="560"/>
      </c>
      <c r="AO851" s="129">
        <f t="shared" si="561"/>
        <v/>
      </c>
      <c r="AP851" s="129">
        <f t="shared" si="562"/>
        <v/>
      </c>
      <c r="AQ851" s="129">
        <f t="shared" si="563"/>
        <v/>
      </c>
      <c r="AR851" s="129">
        <f t="shared" si="564"/>
        <v/>
      </c>
      <c r="AS851" s="129">
        <f t="shared" si="565"/>
        <v/>
      </c>
      <c r="AT851" s="129">
        <f t="shared" si="566"/>
        <v/>
      </c>
      <c r="AU851" s="129">
        <f t="shared" si="567"/>
        <v/>
      </c>
      <c r="AV851" s="129">
        <f t="shared" si="568"/>
        <v/>
      </c>
      <c r="AW851" s="129">
        <f>IF(AV851="","",AV851&amp;"."&amp;COUNTIFS($A$3:A851,A851,$AV$3:AV851,AV851))</f>
        <v/>
      </c>
      <c r="AX851" s="129">
        <f t="shared" si="569"/>
        <v/>
      </c>
      <c r="AY851" s="129">
        <f>IF(N851="б/к",0,IF(OR(ISNUMBER(SEARCH("L=",Разбивка_по_щитам!P851)),N851="+",N851="="),1,0))</f>
      </c>
      <c r="AZ851" s="129">
        <f t="shared" si="570"/>
        <v/>
      </c>
      <c r="BA851" s="129">
        <f t="shared" si="571"/>
      </c>
      <c r="BB851" s="129">
        <f t="shared" si="572"/>
      </c>
      <c r="BD851" s="129">
        <f t="shared" si="573"/>
      </c>
      <c r="BE851" s="129">
        <f t="shared" si="574"/>
      </c>
      <c r="BF851" s="129">
        <f t="shared" si="575"/>
      </c>
      <c r="BG851" s="129">
        <f t="shared" si="576"/>
        <v/>
      </c>
      <c r="BH851" s="129">
        <f t="shared" si="577"/>
        <v/>
      </c>
      <c r="BI851" s="129">
        <f t="shared" si="578"/>
        <v/>
      </c>
      <c r="BJ851" s="129">
        <f t="shared" si="579"/>
        <v/>
      </c>
      <c r="BK851" s="129">
        <f>IF(R851="","",IF(OR(BY851="",BY851=0),"BOX",IFERROR(IF(VLOOKUP(BY851,УГО_блоки,3,FALSE)&amp;""&lt;&gt;"",VLOOKUP(BY851,УГО_блоки,3,FALSE),VLOOKUP(BY851,УГО_блоки,2,FALSE)),BY851)))</f>
      </c>
      <c r="BL851" s="129">
        <f t="shared" si="581"/>
      </c>
      <c r="BM851" s="129">
        <f>IF(H851="","",IF(COUNTIF($H$3:H851,H851)=1,MAX($BM$2:BM850)+1,""))</f>
      </c>
      <c r="BN851" s="129">
        <f>IF(I851="","",IF(COUNTIF($I$3:I851,I851)+COUNTIF($J$2:J850,I851)+COUNTIF($K$2:K850,I851)=1,MAX($BN$2:BP850)+1,""))</f>
      </c>
      <c r="BO851" s="129">
        <f>IF(J851="","",IF(COUNTIF($I$3:I851,J851)+COUNTIF($J$3:J851,J851)+COUNTIF($K$2:K850,J851)=1,MAX($BN$2:BP850,BN851)+1,""))</f>
      </c>
      <c r="BP851" s="129">
        <f>IF(K851="","",IF(COUNTIF($I$3:I851,K851)+COUNTIF($J$3:J851,K851)+COUNTIF($K$3:K851,K851)=1,MAX($BN$2:BP850,BN851,BO851)+1,""))</f>
      </c>
      <c r="BQ851" s="129">
        <f>IF(AY851=1,IFERROR(MID(Q851,FIND(" (",Q851)+2,FIND(")",Q851,FIND(" (",Q851))-FIND(" (",Q851)-2),"?"),"")</f>
      </c>
      <c r="BR851" s="129">
        <f>IF(BQ851="","",IF(COUNTIF($BQ$3:BQ851,BQ851)=1,MAX($BR$2:BR850)+1,""))</f>
      </c>
      <c r="BS851" s="129">
        <f>IF(AW851="","",COUNTIF($AW$3:AW851,"?*"))</f>
      </c>
      <c r="BT851" s="129">
        <f>IF(OR(AW851="",AI851=""),"",IF(COUNTIFS($AW$3:AW851,"?*",$AI$3:AI851,AI851)=1,MAX($BT$2:BT850)+1,""))</f>
      </c>
      <c r="BU851" s="129">
        <f>IF(AE851="",0,IF(OR(ISNUMBER(SEARCH("дубль",AE851)),ISNUMBER(SEARCH("ПЕРЕГРУЗ",AE851)),ISNUMBER(SEARCH("ЗАЩИЩ",AE851)),ISNUMBER(SEARCH("КАНАЛ",AE851)),ISNUMBER(SEARCH("без 30",AE851))),2,1))</f>
      </c>
      <c r="BV851" s="129">
        <f>IF(R851="","",COUNTIF($R$3:R851,"?*"))</f>
      </c>
      <c r="BW851" s="129">
        <f>IF(AY851&lt;&gt;1,0,IF(MAX(IFERROR(--VLOOKUP(R851,УГО_спр,5,FALSE),0),IFERROR(--VLOOKUP(AL851,УГО_спр,5,FALSE),0),IFERROR(--VLOOKUP(LEFT(AL851,2),УГО_спр,5,FALSE),0))&gt;0,MAX(IFERROR(--VLOOKUP(R851,УГО_спр,5,FALSE),0),IFERROR(--VLOOKUP(AL851,УГО_спр,5,FALSE),0),IFERROR(--VLOOKUP(LEFT(AL851,2),УГО_спр,5,FALSE),0)),IF(IFERROR(--LEFT(SUBSTITUTE(BQ851,"x","х"),FIND("х",SUBSTITUTE(BQ851,"x","х"))-1),3)&gt;3,Каталог!$S$9,1)))</f>
      </c>
      <c r="BX851" s="129">
        <f>IF(AY851&lt;&gt;1,0,MAX(0,IFERROR(--LEFT(SUBSTITUTE(BQ851,"x","х"),FIND("х",SUBSTITUTE(BQ851,"x","х"))-1),3)-3*BW851))</f>
      </c>
      <c r="BY851" s="129">
        <f>IF(R851="","",IFERROR(VLOOKUP(R851,УГО_спр,2,FALSE),IFERROR(VLOOKUP(AL851,УГО_спр,2,FALSE),IFERROR(VLOOKUP(LEFT(AL851,2),УГО_спр,2,FALSE),""))))</f>
      </c>
    </row>
    <row r="852" spans="1:64" x14ac:dyDescent="0.3">
      <c r="A852" s="135">
        <f>IF(Разбивка_по_щитам!F852=0,"",Разбивка_по_щитам!F852)</f>
        <v/>
      </c>
      <c r="B852" s="138">
        <f>IF(A852="","",Разбивка_по_щитам!C852)</f>
        <v/>
      </c>
      <c r="C852" s="138">
        <f t="shared" si="542"/>
        <v/>
      </c>
      <c r="D852" s="266"/>
      <c r="E852" s="266"/>
      <c r="F852" s="267"/>
      <c r="G852" s="145">
        <f t="shared" si="543"/>
        <v/>
      </c>
      <c r="H852" s="145">
        <f t="shared" si="544"/>
        <v/>
      </c>
      <c r="I852" s="266"/>
      <c r="J852" s="267"/>
      <c r="K852" s="267"/>
      <c r="L852" s="266"/>
      <c r="M852" s="147">
        <f t="shared" si="545"/>
        <v/>
      </c>
      <c r="N852" s="267"/>
      <c r="O852" s="147">
        <f t="shared" si="546"/>
        <v/>
      </c>
      <c r="P852" s="268">
        <f>IF(AY852=1,"XT"&amp;COUNTIFS($A$3:A852,A852,$AY$3:AY852,1),"")</f>
        <v/>
      </c>
      <c r="Q852" s="152">
        <f>IF(R852="","",IFERROR(SUBSTITUTE(Разбивка_по_щитам!P852,CHAR(10)," "),""))</f>
        <v/>
      </c>
      <c r="R852" s="153">
        <f>IF(OR(Разбивка_по_щитам!H852="",Разбивка_по_щитам!H852=0),"",Разбивка_по_щитам!H852)</f>
        <v/>
      </c>
      <c r="S852" s="154">
        <f>IF(R852="","",IFERROR(Разбивка_по_щитам!J852&amp;"",""))</f>
        <v/>
      </c>
      <c r="T852" s="155">
        <f>IF(R852="","",IFERROR(--Разбивка_по_щитам!L852,""))</f>
        <v/>
      </c>
      <c r="U852" s="155">
        <f>IF(R852="","",IFERROR(--Разбивка_по_щитам!K852,""))</f>
        <v/>
      </c>
      <c r="V852" s="138">
        <f>IF(R852="","",IFERROR(IF(Разбивка_по_щитам!M852=0,"",Разбивка_по_щитам!M852),""))</f>
        <v/>
      </c>
      <c r="W852" s="156">
        <f t="shared" si="547"/>
        <v/>
      </c>
      <c r="X852" s="157">
        <f t="shared" si="548"/>
        <v/>
      </c>
      <c r="Y852" s="266"/>
      <c r="Z852" s="158">
        <f t="shared" si="549"/>
        <v/>
      </c>
      <c r="AA852" s="160">
        <f t="shared" si="550"/>
        <v/>
      </c>
      <c r="AB852" s="160">
        <f>IF(R852="","",IFERROR(LOOKUP(INDEX(Справочная!$I$4:$I$19,MATCH(VLOOKUP(R852,Исходные_данные,22,FALSE),Справочная!$J$4:$J$19,0)+1),{6,10,16,20,25,32,40,50,63,80,100,125}),""))</f>
        <v/>
      </c>
      <c r="AC852" s="160">
        <f t="shared" si="551"/>
        <v/>
      </c>
      <c r="AD852" s="161">
        <f t="shared" si="552"/>
        <v/>
      </c>
      <c r="AE852" s="161">
        <f>IF(AND(R852="",G852=""),"",_xlfn.TEXTJOIN("; ",TRUE,IF(AND(R852&lt;&gt;"",V852=""),"нет фазы",""),IF(AND(R852&lt;&gt;"",N(T852)=0),"нет мощности",""),IF(AND(P852&lt;&gt;"",COUNTIFS($A$3:$A$1000,A852,$P$3:$P$1000,P852)&gt;1),"дубль клеммы "&amp;P852,""),IF(AND(W852&lt;&gt;"",W852&lt;&gt;"ok"),W852,""),IF(X852&lt;&gt;"",X852,""),IF(AND(ISNUMBER(SEARCH("(5х",Q852)),N(AK852)=1),"5 жил на 1 фазе",""),IF(AND(AL852="R",E852&lt;&gt;"",N(AS852)=0),"розетка без 30 мА",""),IF(IFERROR(_xlfn.NUMBERVALUE(MID(Q852,FIND("-",Q852,FIND("L=",Q852))+1,FIND("%",Q852)-FIND("-",Q852,FIND("L=",Q852))-1),","),0)&gt;4,"потери &gt; 4 %","")))</f>
      </c>
      <c r="AF852" s="129">
        <f>IF(E852&lt;&gt;"",COUNTIFS($A$3:A852,A852,$E$3:E852,"?*"),IF(OR(A852&lt;&gt;A851,Y852="вручную"),"",AF851))</f>
        <v/>
      </c>
      <c r="AG852" s="129">
        <f t="shared" si="553"/>
        <v/>
      </c>
      <c r="AH852" s="129">
        <f t="shared" si="554"/>
        <v/>
      </c>
      <c r="AI852" s="129">
        <f t="shared" si="555"/>
        <v/>
      </c>
      <c r="AJ852" s="129">
        <f t="shared" si="556"/>
        <v/>
      </c>
      <c r="AK852" s="129">
        <f t="shared" si="557"/>
        <v/>
      </c>
      <c r="AL852" s="129">
        <f t="shared" si="558"/>
        <v/>
      </c>
      <c r="AM852" s="129">
        <f t="shared" si="559"/>
      </c>
      <c r="AN852" s="129">
        <f t="shared" si="560"/>
      </c>
      <c r="AO852" s="129">
        <f t="shared" si="561"/>
        <v/>
      </c>
      <c r="AP852" s="129">
        <f t="shared" si="562"/>
        <v/>
      </c>
      <c r="AQ852" s="129">
        <f t="shared" si="563"/>
        <v/>
      </c>
      <c r="AR852" s="129">
        <f t="shared" si="564"/>
        <v/>
      </c>
      <c r="AS852" s="129">
        <f t="shared" si="565"/>
        <v/>
      </c>
      <c r="AT852" s="129">
        <f t="shared" si="566"/>
        <v/>
      </c>
      <c r="AU852" s="129">
        <f t="shared" si="567"/>
        <v/>
      </c>
      <c r="AV852" s="129">
        <f t="shared" si="568"/>
        <v/>
      </c>
      <c r="AW852" s="129">
        <f>IF(AV852="","",AV852&amp;"."&amp;COUNTIFS($A$3:A852,A852,$AV$3:AV852,AV852))</f>
        <v/>
      </c>
      <c r="AX852" s="129">
        <f t="shared" si="569"/>
        <v/>
      </c>
      <c r="AY852" s="129">
        <f>IF(N852="б/к",0,IF(OR(ISNUMBER(SEARCH("L=",Разбивка_по_щитам!P852)),N852="+",N852="="),1,0))</f>
      </c>
      <c r="AZ852" s="129">
        <f t="shared" si="570"/>
        <v/>
      </c>
      <c r="BA852" s="129">
        <f t="shared" si="571"/>
      </c>
      <c r="BB852" s="129">
        <f t="shared" si="572"/>
      </c>
      <c r="BD852" s="129">
        <f t="shared" si="573"/>
      </c>
      <c r="BE852" s="129">
        <f t="shared" si="574"/>
      </c>
      <c r="BF852" s="129">
        <f t="shared" si="575"/>
      </c>
      <c r="BG852" s="129">
        <f t="shared" si="576"/>
        <v/>
      </c>
      <c r="BH852" s="129">
        <f t="shared" si="577"/>
        <v/>
      </c>
      <c r="BI852" s="129">
        <f t="shared" si="578"/>
        <v/>
      </c>
      <c r="BJ852" s="129">
        <f t="shared" si="579"/>
        <v/>
      </c>
      <c r="BK852" s="129">
        <f>IF(R852="","",IF(OR(BY852="",BY852=0),"BOX",IFERROR(IF(VLOOKUP(BY852,УГО_блоки,3,FALSE)&amp;""&lt;&gt;"",VLOOKUP(BY852,УГО_блоки,3,FALSE),VLOOKUP(BY852,УГО_блоки,2,FALSE)),BY852)))</f>
      </c>
      <c r="BL852" s="129">
        <f t="shared" si="581"/>
      </c>
      <c r="BM852" s="129">
        <f>IF(H852="","",IF(COUNTIF($H$3:H852,H852)=1,MAX($BM$2:BM851)+1,""))</f>
      </c>
      <c r="BN852" s="129">
        <f>IF(I852="","",IF(COUNTIF($I$3:I852,I852)+COUNTIF($J$2:J851,I852)+COUNTIF($K$2:K851,I852)=1,MAX($BN$2:BP851)+1,""))</f>
      </c>
      <c r="BO852" s="129">
        <f>IF(J852="","",IF(COUNTIF($I$3:I852,J852)+COUNTIF($J$3:J852,J852)+COUNTIF($K$2:K851,J852)=1,MAX($BN$2:BP851,BN852)+1,""))</f>
      </c>
      <c r="BP852" s="129">
        <f>IF(K852="","",IF(COUNTIF($I$3:I852,K852)+COUNTIF($J$3:J852,K852)+COUNTIF($K$3:K852,K852)=1,MAX($BN$2:BP851,BN852,BO852)+1,""))</f>
      </c>
      <c r="BQ852" s="129">
        <f>IF(AY852=1,IFERROR(MID(Q852,FIND(" (",Q852)+2,FIND(")",Q852,FIND(" (",Q852))-FIND(" (",Q852)-2),"?"),"")</f>
      </c>
      <c r="BR852" s="129">
        <f>IF(BQ852="","",IF(COUNTIF($BQ$3:BQ852,BQ852)=1,MAX($BR$2:BR851)+1,""))</f>
      </c>
      <c r="BS852" s="129">
        <f>IF(AW852="","",COUNTIF($AW$3:AW852,"?*"))</f>
      </c>
      <c r="BT852" s="129">
        <f>IF(OR(AW852="",AI852=""),"",IF(COUNTIFS($AW$3:AW852,"?*",$AI$3:AI852,AI852)=1,MAX($BT$2:BT851)+1,""))</f>
      </c>
      <c r="BU852" s="129">
        <f>IF(AE852="",0,IF(OR(ISNUMBER(SEARCH("дубль",AE852)),ISNUMBER(SEARCH("ПЕРЕГРУЗ",AE852)),ISNUMBER(SEARCH("ЗАЩИЩ",AE852)),ISNUMBER(SEARCH("КАНАЛ",AE852)),ISNUMBER(SEARCH("без 30",AE852))),2,1))</f>
      </c>
      <c r="BV852" s="129">
        <f>IF(R852="","",COUNTIF($R$3:R852,"?*"))</f>
      </c>
      <c r="BW852" s="129">
        <f>IF(AY852&lt;&gt;1,0,IF(MAX(IFERROR(--VLOOKUP(R852,УГО_спр,5,FALSE),0),IFERROR(--VLOOKUP(AL852,УГО_спр,5,FALSE),0),IFERROR(--VLOOKUP(LEFT(AL852,2),УГО_спр,5,FALSE),0))&gt;0,MAX(IFERROR(--VLOOKUP(R852,УГО_спр,5,FALSE),0),IFERROR(--VLOOKUP(AL852,УГО_спр,5,FALSE),0),IFERROR(--VLOOKUP(LEFT(AL852,2),УГО_спр,5,FALSE),0)),IF(IFERROR(--LEFT(SUBSTITUTE(BQ852,"x","х"),FIND("х",SUBSTITUTE(BQ852,"x","х"))-1),3)&gt;3,Каталог!$S$9,1)))</f>
      </c>
      <c r="BX852" s="129">
        <f>IF(AY852&lt;&gt;1,0,MAX(0,IFERROR(--LEFT(SUBSTITUTE(BQ852,"x","х"),FIND("х",SUBSTITUTE(BQ852,"x","х"))-1),3)-3*BW852))</f>
      </c>
      <c r="BY852" s="129">
        <f>IF(R852="","",IFERROR(VLOOKUP(R852,УГО_спр,2,FALSE),IFERROR(VLOOKUP(AL852,УГО_спр,2,FALSE),IFERROR(VLOOKUP(LEFT(AL852,2),УГО_спр,2,FALSE),""))))</f>
      </c>
    </row>
    <row r="853" spans="1:64" x14ac:dyDescent="0.3">
      <c r="A853" s="135">
        <f>IF(Разбивка_по_щитам!F853=0,"",Разбивка_по_щитам!F853)</f>
        <v/>
      </c>
      <c r="B853" s="138">
        <f>IF(A853="","",Разбивка_по_щитам!C853)</f>
        <v/>
      </c>
      <c r="C853" s="138">
        <f t="shared" si="542"/>
        <v/>
      </c>
      <c r="D853" s="266"/>
      <c r="E853" s="266"/>
      <c r="F853" s="267"/>
      <c r="G853" s="145">
        <f t="shared" si="543"/>
        <v/>
      </c>
      <c r="H853" s="145">
        <f t="shared" si="544"/>
        <v/>
      </c>
      <c r="I853" s="266"/>
      <c r="J853" s="267"/>
      <c r="K853" s="267"/>
      <c r="L853" s="266"/>
      <c r="M853" s="147">
        <f t="shared" si="545"/>
        <v/>
      </c>
      <c r="N853" s="267"/>
      <c r="O853" s="147">
        <f t="shared" si="546"/>
        <v/>
      </c>
      <c r="P853" s="268">
        <f>IF(AY853=1,"XT"&amp;COUNTIFS($A$3:A853,A853,$AY$3:AY853,1),"")</f>
        <v/>
      </c>
      <c r="Q853" s="152">
        <f>IF(R853="","",IFERROR(SUBSTITUTE(Разбивка_по_щитам!P853,CHAR(10)," "),""))</f>
        <v/>
      </c>
      <c r="R853" s="153">
        <f>IF(OR(Разбивка_по_щитам!H853="",Разбивка_по_щитам!H853=0),"",Разбивка_по_щитам!H853)</f>
        <v/>
      </c>
      <c r="S853" s="154">
        <f>IF(R853="","",IFERROR(Разбивка_по_щитам!J853&amp;"",""))</f>
        <v/>
      </c>
      <c r="T853" s="155">
        <f>IF(R853="","",IFERROR(--Разбивка_по_щитам!L853,""))</f>
        <v/>
      </c>
      <c r="U853" s="155">
        <f>IF(R853="","",IFERROR(--Разбивка_по_щитам!K853,""))</f>
        <v/>
      </c>
      <c r="V853" s="138">
        <f>IF(R853="","",IFERROR(IF(Разбивка_по_щитам!M853=0,"",Разбивка_по_щитам!M853),""))</f>
        <v/>
      </c>
      <c r="W853" s="156">
        <f t="shared" si="547"/>
        <v/>
      </c>
      <c r="X853" s="157">
        <f t="shared" si="548"/>
        <v/>
      </c>
      <c r="Y853" s="266"/>
      <c r="Z853" s="158">
        <f t="shared" si="549"/>
        <v/>
      </c>
      <c r="AA853" s="160">
        <f t="shared" si="550"/>
        <v/>
      </c>
      <c r="AB853" s="160">
        <f>IF(R853="","",IFERROR(LOOKUP(INDEX(Справочная!$I$4:$I$19,MATCH(VLOOKUP(R853,Исходные_данные,22,FALSE),Справочная!$J$4:$J$19,0)+1),{6,10,16,20,25,32,40,50,63,80,100,125}),""))</f>
        <v/>
      </c>
      <c r="AC853" s="160">
        <f t="shared" si="551"/>
        <v/>
      </c>
      <c r="AD853" s="161">
        <f t="shared" si="552"/>
        <v/>
      </c>
      <c r="AE853" s="161">
        <f>IF(AND(R853="",G853=""),"",_xlfn.TEXTJOIN("; ",TRUE,IF(AND(R853&lt;&gt;"",V853=""),"нет фазы",""),IF(AND(R853&lt;&gt;"",N(T853)=0),"нет мощности",""),IF(AND(P853&lt;&gt;"",COUNTIFS($A$3:$A$1000,A853,$P$3:$P$1000,P853)&gt;1),"дубль клеммы "&amp;P853,""),IF(AND(W853&lt;&gt;"",W853&lt;&gt;"ok"),W853,""),IF(X853&lt;&gt;"",X853,""),IF(AND(ISNUMBER(SEARCH("(5х",Q853)),N(AK853)=1),"5 жил на 1 фазе",""),IF(AND(AL853="R",E853&lt;&gt;"",N(AS853)=0),"розетка без 30 мА",""),IF(IFERROR(_xlfn.NUMBERVALUE(MID(Q853,FIND("-",Q853,FIND("L=",Q853))+1,FIND("%",Q853)-FIND("-",Q853,FIND("L=",Q853))-1),","),0)&gt;4,"потери &gt; 4 %","")))</f>
      </c>
      <c r="AF853" s="129">
        <f>IF(E853&lt;&gt;"",COUNTIFS($A$3:A853,A853,$E$3:E853,"?*"),IF(OR(A853&lt;&gt;A852,Y853="вручную"),"",AF852))</f>
        <v/>
      </c>
      <c r="AG853" s="129">
        <f t="shared" si="553"/>
        <v/>
      </c>
      <c r="AH853" s="129">
        <f t="shared" si="554"/>
        <v/>
      </c>
      <c r="AI853" s="129">
        <f t="shared" si="555"/>
        <v/>
      </c>
      <c r="AJ853" s="129">
        <f t="shared" si="556"/>
        <v/>
      </c>
      <c r="AK853" s="129">
        <f t="shared" si="557"/>
        <v/>
      </c>
      <c r="AL853" s="129">
        <f t="shared" si="558"/>
        <v/>
      </c>
      <c r="AM853" s="129">
        <f t="shared" si="559"/>
      </c>
      <c r="AN853" s="129">
        <f t="shared" si="560"/>
      </c>
      <c r="AO853" s="129">
        <f t="shared" si="561"/>
        <v/>
      </c>
      <c r="AP853" s="129">
        <f t="shared" si="562"/>
        <v/>
      </c>
      <c r="AQ853" s="129">
        <f t="shared" si="563"/>
        <v/>
      </c>
      <c r="AR853" s="129">
        <f t="shared" si="564"/>
        <v/>
      </c>
      <c r="AS853" s="129">
        <f t="shared" si="565"/>
        <v/>
      </c>
      <c r="AT853" s="129">
        <f t="shared" si="566"/>
        <v/>
      </c>
      <c r="AU853" s="129">
        <f t="shared" si="567"/>
        <v/>
      </c>
      <c r="AV853" s="129">
        <f t="shared" si="568"/>
        <v/>
      </c>
      <c r="AW853" s="129">
        <f>IF(AV853="","",AV853&amp;"."&amp;COUNTIFS($A$3:A853,A853,$AV$3:AV853,AV853))</f>
        <v/>
      </c>
      <c r="AX853" s="129">
        <f t="shared" si="569"/>
        <v/>
      </c>
      <c r="AY853" s="129">
        <f>IF(N853="б/к",0,IF(OR(ISNUMBER(SEARCH("L=",Разбивка_по_щитам!P853)),N853="+",N853="="),1,0))</f>
      </c>
      <c r="AZ853" s="129">
        <f t="shared" si="570"/>
        <v/>
      </c>
      <c r="BA853" s="129">
        <f t="shared" si="571"/>
      </c>
      <c r="BB853" s="129">
        <f t="shared" si="572"/>
      </c>
      <c r="BD853" s="129">
        <f t="shared" si="573"/>
      </c>
      <c r="BE853" s="129">
        <f t="shared" si="574"/>
      </c>
      <c r="BF853" s="129">
        <f t="shared" si="575"/>
      </c>
      <c r="BG853" s="129">
        <f t="shared" si="576"/>
        <v/>
      </c>
      <c r="BH853" s="129">
        <f t="shared" si="577"/>
        <v/>
      </c>
      <c r="BI853" s="129">
        <f t="shared" si="578"/>
        <v/>
      </c>
      <c r="BJ853" s="129">
        <f t="shared" si="579"/>
        <v/>
      </c>
      <c r="BK853" s="129">
        <f>IF(R853="","",IF(OR(BY853="",BY853=0),"BOX",IFERROR(IF(VLOOKUP(BY853,УГО_блоки,3,FALSE)&amp;""&lt;&gt;"",VLOOKUP(BY853,УГО_блоки,3,FALSE),VLOOKUP(BY853,УГО_блоки,2,FALSE)),BY853)))</f>
      </c>
      <c r="BL853" s="129">
        <f t="shared" si="581"/>
      </c>
      <c r="BM853" s="129">
        <f>IF(H853="","",IF(COUNTIF($H$3:H853,H853)=1,MAX($BM$2:BM852)+1,""))</f>
      </c>
      <c r="BN853" s="129">
        <f>IF(I853="","",IF(COUNTIF($I$3:I853,I853)+COUNTIF($J$2:J852,I853)+COUNTIF($K$2:K852,I853)=1,MAX($BN$2:BP852)+1,""))</f>
      </c>
      <c r="BO853" s="129">
        <f>IF(J853="","",IF(COUNTIF($I$3:I853,J853)+COUNTIF($J$3:J853,J853)+COUNTIF($K$2:K852,J853)=1,MAX($BN$2:BP852,BN853)+1,""))</f>
      </c>
      <c r="BP853" s="129">
        <f>IF(K853="","",IF(COUNTIF($I$3:I853,K853)+COUNTIF($J$3:J853,K853)+COUNTIF($K$3:K853,K853)=1,MAX($BN$2:BP852,BN853,BO853)+1,""))</f>
      </c>
      <c r="BQ853" s="129">
        <f>IF(AY853=1,IFERROR(MID(Q853,FIND(" (",Q853)+2,FIND(")",Q853,FIND(" (",Q853))-FIND(" (",Q853)-2),"?"),"")</f>
      </c>
      <c r="BR853" s="129">
        <f>IF(BQ853="","",IF(COUNTIF($BQ$3:BQ853,BQ853)=1,MAX($BR$2:BR852)+1,""))</f>
      </c>
      <c r="BS853" s="129">
        <f>IF(AW853="","",COUNTIF($AW$3:AW853,"?*"))</f>
      </c>
      <c r="BT853" s="129">
        <f>IF(OR(AW853="",AI853=""),"",IF(COUNTIFS($AW$3:AW853,"?*",$AI$3:AI853,AI853)=1,MAX($BT$2:BT852)+1,""))</f>
      </c>
      <c r="BU853" s="129">
        <f>IF(AE853="",0,IF(OR(ISNUMBER(SEARCH("дубль",AE853)),ISNUMBER(SEARCH("ПЕРЕГРУЗ",AE853)),ISNUMBER(SEARCH("ЗАЩИЩ",AE853)),ISNUMBER(SEARCH("КАНАЛ",AE853)),ISNUMBER(SEARCH("без 30",AE853))),2,1))</f>
      </c>
      <c r="BV853" s="129">
        <f>IF(R853="","",COUNTIF($R$3:R853,"?*"))</f>
      </c>
      <c r="BW853" s="129">
        <f>IF(AY853&lt;&gt;1,0,IF(MAX(IFERROR(--VLOOKUP(R853,УГО_спр,5,FALSE),0),IFERROR(--VLOOKUP(AL853,УГО_спр,5,FALSE),0),IFERROR(--VLOOKUP(LEFT(AL853,2),УГО_спр,5,FALSE),0))&gt;0,MAX(IFERROR(--VLOOKUP(R853,УГО_спр,5,FALSE),0),IFERROR(--VLOOKUP(AL853,УГО_спр,5,FALSE),0),IFERROR(--VLOOKUP(LEFT(AL853,2),УГО_спр,5,FALSE),0)),IF(IFERROR(--LEFT(SUBSTITUTE(BQ853,"x","х"),FIND("х",SUBSTITUTE(BQ853,"x","х"))-1),3)&gt;3,Каталог!$S$9,1)))</f>
      </c>
      <c r="BX853" s="129">
        <f>IF(AY853&lt;&gt;1,0,MAX(0,IFERROR(--LEFT(SUBSTITUTE(BQ853,"x","х"),FIND("х",SUBSTITUTE(BQ853,"x","х"))-1),3)-3*BW853))</f>
      </c>
      <c r="BY853" s="129">
        <f>IF(R853="","",IFERROR(VLOOKUP(R853,УГО_спр,2,FALSE),IFERROR(VLOOKUP(AL853,УГО_спр,2,FALSE),IFERROR(VLOOKUP(LEFT(AL853,2),УГО_спр,2,FALSE),""))))</f>
      </c>
    </row>
    <row r="854" spans="1:64" x14ac:dyDescent="0.3">
      <c r="A854" s="135">
        <f>IF(Разбивка_по_щитам!F854=0,"",Разбивка_по_щитам!F854)</f>
        <v/>
      </c>
      <c r="B854" s="138">
        <f>IF(A854="","",Разбивка_по_щитам!C854)</f>
        <v/>
      </c>
      <c r="C854" s="138">
        <f t="shared" si="542"/>
        <v/>
      </c>
      <c r="D854" s="266"/>
      <c r="E854" s="266"/>
      <c r="F854" s="267"/>
      <c r="G854" s="145">
        <f t="shared" si="543"/>
        <v/>
      </c>
      <c r="H854" s="145">
        <f t="shared" si="544"/>
        <v/>
      </c>
      <c r="I854" s="266"/>
      <c r="J854" s="267"/>
      <c r="K854" s="267"/>
      <c r="L854" s="266"/>
      <c r="M854" s="147">
        <f t="shared" si="545"/>
        <v/>
      </c>
      <c r="N854" s="267"/>
      <c r="O854" s="147">
        <f t="shared" si="546"/>
        <v/>
      </c>
      <c r="P854" s="268">
        <f>IF(AY854=1,"XT"&amp;COUNTIFS($A$3:A854,A854,$AY$3:AY854,1),"")</f>
        <v/>
      </c>
      <c r="Q854" s="152">
        <f>IF(R854="","",IFERROR(SUBSTITUTE(Разбивка_по_щитам!P854,CHAR(10)," "),""))</f>
        <v/>
      </c>
      <c r="R854" s="153">
        <f>IF(OR(Разбивка_по_щитам!H854="",Разбивка_по_щитам!H854=0),"",Разбивка_по_щитам!H854)</f>
        <v/>
      </c>
      <c r="S854" s="154">
        <f>IF(R854="","",IFERROR(Разбивка_по_щитам!J854&amp;"",""))</f>
        <v/>
      </c>
      <c r="T854" s="155">
        <f>IF(R854="","",IFERROR(--Разбивка_по_щитам!L854,""))</f>
        <v/>
      </c>
      <c r="U854" s="155">
        <f>IF(R854="","",IFERROR(--Разбивка_по_щитам!K854,""))</f>
        <v/>
      </c>
      <c r="V854" s="138">
        <f>IF(R854="","",IFERROR(IF(Разбивка_по_щитам!M854=0,"",Разбивка_по_щитам!M854),""))</f>
        <v/>
      </c>
      <c r="W854" s="156">
        <f t="shared" si="547"/>
        <v/>
      </c>
      <c r="X854" s="157">
        <f t="shared" si="548"/>
        <v/>
      </c>
      <c r="Y854" s="266"/>
      <c r="Z854" s="158">
        <f t="shared" si="549"/>
        <v/>
      </c>
      <c r="AA854" s="160">
        <f t="shared" si="550"/>
        <v/>
      </c>
      <c r="AB854" s="160">
        <f>IF(R854="","",IFERROR(LOOKUP(INDEX(Справочная!$I$4:$I$19,MATCH(VLOOKUP(R854,Исходные_данные,22,FALSE),Справочная!$J$4:$J$19,0)+1),{6,10,16,20,25,32,40,50,63,80,100,125}),""))</f>
        <v/>
      </c>
      <c r="AC854" s="160">
        <f t="shared" si="551"/>
        <v/>
      </c>
      <c r="AD854" s="161">
        <f t="shared" si="552"/>
        <v/>
      </c>
      <c r="AE854" s="161">
        <f>IF(AND(R854="",G854=""),"",_xlfn.TEXTJOIN("; ",TRUE,IF(AND(R854&lt;&gt;"",V854=""),"нет фазы",""),IF(AND(R854&lt;&gt;"",N(T854)=0),"нет мощности",""),IF(AND(P854&lt;&gt;"",COUNTIFS($A$3:$A$1000,A854,$P$3:$P$1000,P854)&gt;1),"дубль клеммы "&amp;P854,""),IF(AND(W854&lt;&gt;"",W854&lt;&gt;"ok"),W854,""),IF(X854&lt;&gt;"",X854,""),IF(AND(ISNUMBER(SEARCH("(5х",Q854)),N(AK854)=1),"5 жил на 1 фазе",""),IF(AND(AL854="R",E854&lt;&gt;"",N(AS854)=0),"розетка без 30 мА",""),IF(IFERROR(_xlfn.NUMBERVALUE(MID(Q854,FIND("-",Q854,FIND("L=",Q854))+1,FIND("%",Q854)-FIND("-",Q854,FIND("L=",Q854))-1),","),0)&gt;4,"потери &gt; 4 %","")))</f>
      </c>
      <c r="AF854" s="129">
        <f>IF(E854&lt;&gt;"",COUNTIFS($A$3:A854,A854,$E$3:E854,"?*"),IF(OR(A854&lt;&gt;A853,Y854="вручную"),"",AF853))</f>
        <v/>
      </c>
      <c r="AG854" s="129">
        <f t="shared" si="553"/>
        <v/>
      </c>
      <c r="AH854" s="129">
        <f t="shared" si="554"/>
        <v/>
      </c>
      <c r="AI854" s="129">
        <f t="shared" si="555"/>
        <v/>
      </c>
      <c r="AJ854" s="129">
        <f t="shared" si="556"/>
        <v/>
      </c>
      <c r="AK854" s="129">
        <f t="shared" si="557"/>
        <v/>
      </c>
      <c r="AL854" s="129">
        <f t="shared" si="558"/>
        <v/>
      </c>
      <c r="AM854" s="129">
        <f t="shared" si="559"/>
      </c>
      <c r="AN854" s="129">
        <f t="shared" si="560"/>
      </c>
      <c r="AO854" s="129">
        <f t="shared" si="561"/>
        <v/>
      </c>
      <c r="AP854" s="129">
        <f t="shared" si="562"/>
        <v/>
      </c>
      <c r="AQ854" s="129">
        <f t="shared" si="563"/>
        <v/>
      </c>
      <c r="AR854" s="129">
        <f t="shared" si="564"/>
        <v/>
      </c>
      <c r="AS854" s="129">
        <f t="shared" si="565"/>
        <v/>
      </c>
      <c r="AT854" s="129">
        <f t="shared" si="566"/>
        <v/>
      </c>
      <c r="AU854" s="129">
        <f t="shared" si="567"/>
        <v/>
      </c>
      <c r="AV854" s="129">
        <f t="shared" si="568"/>
        <v/>
      </c>
      <c r="AW854" s="129">
        <f>IF(AV854="","",AV854&amp;"."&amp;COUNTIFS($A$3:A854,A854,$AV$3:AV854,AV854))</f>
        <v/>
      </c>
      <c r="AX854" s="129">
        <f t="shared" si="569"/>
        <v/>
      </c>
      <c r="AY854" s="129">
        <f>IF(N854="б/к",0,IF(OR(ISNUMBER(SEARCH("L=",Разбивка_по_щитам!P854)),N854="+",N854="="),1,0))</f>
      </c>
      <c r="AZ854" s="129">
        <f t="shared" si="570"/>
        <v/>
      </c>
      <c r="BA854" s="129">
        <f t="shared" si="571"/>
      </c>
      <c r="BB854" s="129">
        <f t="shared" si="572"/>
      </c>
      <c r="BD854" s="129">
        <f t="shared" si="573"/>
      </c>
      <c r="BE854" s="129">
        <f t="shared" si="574"/>
      </c>
      <c r="BF854" s="129">
        <f t="shared" si="575"/>
      </c>
      <c r="BG854" s="129">
        <f t="shared" si="576"/>
        <v/>
      </c>
      <c r="BH854" s="129">
        <f t="shared" si="577"/>
        <v/>
      </c>
      <c r="BI854" s="129">
        <f t="shared" si="578"/>
        <v/>
      </c>
      <c r="BJ854" s="129">
        <f t="shared" si="579"/>
        <v/>
      </c>
      <c r="BK854" s="129">
        <f>IF(R854="","",IF(OR(BY854="",BY854=0),"BOX",IFERROR(IF(VLOOKUP(BY854,УГО_блоки,3,FALSE)&amp;""&lt;&gt;"",VLOOKUP(BY854,УГО_блоки,3,FALSE),VLOOKUP(BY854,УГО_блоки,2,FALSE)),BY854)))</f>
      </c>
      <c r="BL854" s="129">
        <f t="shared" si="581"/>
      </c>
      <c r="BM854" s="129">
        <f>IF(H854="","",IF(COUNTIF($H$3:H854,H854)=1,MAX($BM$2:BM853)+1,""))</f>
      </c>
      <c r="BN854" s="129">
        <f>IF(I854="","",IF(COUNTIF($I$3:I854,I854)+COUNTIF($J$2:J853,I854)+COUNTIF($K$2:K853,I854)=1,MAX($BN$2:BP853)+1,""))</f>
      </c>
      <c r="BO854" s="129">
        <f>IF(J854="","",IF(COUNTIF($I$3:I854,J854)+COUNTIF($J$3:J854,J854)+COUNTIF($K$2:K853,J854)=1,MAX($BN$2:BP853,BN854)+1,""))</f>
      </c>
      <c r="BP854" s="129">
        <f>IF(K854="","",IF(COUNTIF($I$3:I854,K854)+COUNTIF($J$3:J854,K854)+COUNTIF($K$3:K854,K854)=1,MAX($BN$2:BP853,BN854,BO854)+1,""))</f>
      </c>
      <c r="BQ854" s="129">
        <f>IF(AY854=1,IFERROR(MID(Q854,FIND(" (",Q854)+2,FIND(")",Q854,FIND(" (",Q854))-FIND(" (",Q854)-2),"?"),"")</f>
      </c>
      <c r="BR854" s="129">
        <f>IF(BQ854="","",IF(COUNTIF($BQ$3:BQ854,BQ854)=1,MAX($BR$2:BR853)+1,""))</f>
      </c>
      <c r="BS854" s="129">
        <f>IF(AW854="","",COUNTIF($AW$3:AW854,"?*"))</f>
      </c>
      <c r="BT854" s="129">
        <f>IF(OR(AW854="",AI854=""),"",IF(COUNTIFS($AW$3:AW854,"?*",$AI$3:AI854,AI854)=1,MAX($BT$2:BT853)+1,""))</f>
      </c>
      <c r="BU854" s="129">
        <f>IF(AE854="",0,IF(OR(ISNUMBER(SEARCH("дубль",AE854)),ISNUMBER(SEARCH("ПЕРЕГРУЗ",AE854)),ISNUMBER(SEARCH("ЗАЩИЩ",AE854)),ISNUMBER(SEARCH("КАНАЛ",AE854)),ISNUMBER(SEARCH("без 30",AE854))),2,1))</f>
      </c>
      <c r="BV854" s="129">
        <f>IF(R854="","",COUNTIF($R$3:R854,"?*"))</f>
      </c>
      <c r="BW854" s="129">
        <f>IF(AY854&lt;&gt;1,0,IF(MAX(IFERROR(--VLOOKUP(R854,УГО_спр,5,FALSE),0),IFERROR(--VLOOKUP(AL854,УГО_спр,5,FALSE),0),IFERROR(--VLOOKUP(LEFT(AL854,2),УГО_спр,5,FALSE),0))&gt;0,MAX(IFERROR(--VLOOKUP(R854,УГО_спр,5,FALSE),0),IFERROR(--VLOOKUP(AL854,УГО_спр,5,FALSE),0),IFERROR(--VLOOKUP(LEFT(AL854,2),УГО_спр,5,FALSE),0)),IF(IFERROR(--LEFT(SUBSTITUTE(BQ854,"x","х"),FIND("х",SUBSTITUTE(BQ854,"x","х"))-1),3)&gt;3,Каталог!$S$9,1)))</f>
      </c>
      <c r="BX854" s="129">
        <f>IF(AY854&lt;&gt;1,0,MAX(0,IFERROR(--LEFT(SUBSTITUTE(BQ854,"x","х"),FIND("х",SUBSTITUTE(BQ854,"x","х"))-1),3)-3*BW854))</f>
      </c>
      <c r="BY854" s="129">
        <f>IF(R854="","",IFERROR(VLOOKUP(R854,УГО_спр,2,FALSE),IFERROR(VLOOKUP(AL854,УГО_спр,2,FALSE),IFERROR(VLOOKUP(LEFT(AL854,2),УГО_спр,2,FALSE),""))))</f>
      </c>
    </row>
    <row r="855" spans="1:64" x14ac:dyDescent="0.3">
      <c r="A855" s="135">
        <f>IF(Разбивка_по_щитам!F855=0,"",Разбивка_по_щитам!F855)</f>
        <v/>
      </c>
      <c r="B855" s="138">
        <f>IF(A855="","",Разбивка_по_щитам!C855)</f>
        <v/>
      </c>
      <c r="C855" s="138">
        <f t="shared" si="542"/>
        <v/>
      </c>
      <c r="D855" s="266"/>
      <c r="E855" s="266"/>
      <c r="F855" s="267"/>
      <c r="G855" s="145">
        <f t="shared" si="543"/>
        <v/>
      </c>
      <c r="H855" s="145">
        <f t="shared" si="544"/>
        <v/>
      </c>
      <c r="I855" s="266"/>
      <c r="J855" s="267"/>
      <c r="K855" s="267"/>
      <c r="L855" s="266"/>
      <c r="M855" s="147">
        <f t="shared" si="545"/>
        <v/>
      </c>
      <c r="N855" s="267"/>
      <c r="O855" s="147">
        <f t="shared" si="546"/>
        <v/>
      </c>
      <c r="P855" s="268">
        <f>IF(AY855=1,"XT"&amp;COUNTIFS($A$3:A855,A855,$AY$3:AY855,1),"")</f>
        <v/>
      </c>
      <c r="Q855" s="152">
        <f>IF(R855="","",IFERROR(SUBSTITUTE(Разбивка_по_щитам!P855,CHAR(10)," "),""))</f>
        <v/>
      </c>
      <c r="R855" s="153">
        <f>IF(OR(Разбивка_по_щитам!H855="",Разбивка_по_щитам!H855=0),"",Разбивка_по_щитам!H855)</f>
        <v/>
      </c>
      <c r="S855" s="154">
        <f>IF(R855="","",IFERROR(Разбивка_по_щитам!J855&amp;"",""))</f>
        <v/>
      </c>
      <c r="T855" s="155">
        <f>IF(R855="","",IFERROR(--Разбивка_по_щитам!L855,""))</f>
        <v/>
      </c>
      <c r="U855" s="155">
        <f>IF(R855="","",IFERROR(--Разбивка_по_щитам!K855,""))</f>
        <v/>
      </c>
      <c r="V855" s="138">
        <f>IF(R855="","",IFERROR(IF(Разбивка_по_щитам!M855=0,"",Разбивка_по_щитам!M855),""))</f>
        <v/>
      </c>
      <c r="W855" s="156">
        <f t="shared" si="547"/>
        <v/>
      </c>
      <c r="X855" s="157">
        <f t="shared" si="548"/>
        <v/>
      </c>
      <c r="Y855" s="266"/>
      <c r="Z855" s="158">
        <f t="shared" si="549"/>
        <v/>
      </c>
      <c r="AA855" s="160">
        <f t="shared" si="550"/>
        <v/>
      </c>
      <c r="AB855" s="160">
        <f>IF(R855="","",IFERROR(LOOKUP(INDEX(Справочная!$I$4:$I$19,MATCH(VLOOKUP(R855,Исходные_данные,22,FALSE),Справочная!$J$4:$J$19,0)+1),{6,10,16,20,25,32,40,50,63,80,100,125}),""))</f>
        <v/>
      </c>
      <c r="AC855" s="160">
        <f t="shared" si="551"/>
        <v/>
      </c>
      <c r="AD855" s="161">
        <f t="shared" si="552"/>
        <v/>
      </c>
      <c r="AE855" s="161">
        <f>IF(AND(R855="",G855=""),"",_xlfn.TEXTJOIN("; ",TRUE,IF(AND(R855&lt;&gt;"",V855=""),"нет фазы",""),IF(AND(R855&lt;&gt;"",N(T855)=0),"нет мощности",""),IF(AND(P855&lt;&gt;"",COUNTIFS($A$3:$A$1000,A855,$P$3:$P$1000,P855)&gt;1),"дубль клеммы "&amp;P855,""),IF(AND(W855&lt;&gt;"",W855&lt;&gt;"ok"),W855,""),IF(X855&lt;&gt;"",X855,""),IF(AND(ISNUMBER(SEARCH("(5х",Q855)),N(AK855)=1),"5 жил на 1 фазе",""),IF(AND(AL855="R",E855&lt;&gt;"",N(AS855)=0),"розетка без 30 мА",""),IF(IFERROR(_xlfn.NUMBERVALUE(MID(Q855,FIND("-",Q855,FIND("L=",Q855))+1,FIND("%",Q855)-FIND("-",Q855,FIND("L=",Q855))-1),","),0)&gt;4,"потери &gt; 4 %","")))</f>
      </c>
      <c r="AF855" s="129">
        <f>IF(E855&lt;&gt;"",COUNTIFS($A$3:A855,A855,$E$3:E855,"?*"),IF(OR(A855&lt;&gt;A854,Y855="вручную"),"",AF854))</f>
        <v/>
      </c>
      <c r="AG855" s="129">
        <f t="shared" si="553"/>
        <v/>
      </c>
      <c r="AH855" s="129">
        <f t="shared" si="554"/>
        <v/>
      </c>
      <c r="AI855" s="129">
        <f t="shared" si="555"/>
        <v/>
      </c>
      <c r="AJ855" s="129">
        <f t="shared" si="556"/>
        <v/>
      </c>
      <c r="AK855" s="129">
        <f t="shared" si="557"/>
        <v/>
      </c>
      <c r="AL855" s="129">
        <f t="shared" si="558"/>
        <v/>
      </c>
      <c r="AM855" s="129">
        <f t="shared" si="559"/>
      </c>
      <c r="AN855" s="129">
        <f t="shared" si="560"/>
      </c>
      <c r="AO855" s="129">
        <f t="shared" si="561"/>
        <v/>
      </c>
      <c r="AP855" s="129">
        <f t="shared" si="562"/>
        <v/>
      </c>
      <c r="AQ855" s="129">
        <f t="shared" si="563"/>
        <v/>
      </c>
      <c r="AR855" s="129">
        <f t="shared" si="564"/>
        <v/>
      </c>
      <c r="AS855" s="129">
        <f t="shared" si="565"/>
        <v/>
      </c>
      <c r="AT855" s="129">
        <f t="shared" si="566"/>
        <v/>
      </c>
      <c r="AU855" s="129">
        <f t="shared" si="567"/>
        <v/>
      </c>
      <c r="AV855" s="129">
        <f t="shared" si="568"/>
        <v/>
      </c>
      <c r="AW855" s="129">
        <f>IF(AV855="","",AV855&amp;"."&amp;COUNTIFS($A$3:A855,A855,$AV$3:AV855,AV855))</f>
        <v/>
      </c>
      <c r="AX855" s="129">
        <f t="shared" si="569"/>
        <v/>
      </c>
      <c r="AY855" s="129">
        <f>IF(N855="б/к",0,IF(OR(ISNUMBER(SEARCH("L=",Разбивка_по_щитам!P855)),N855="+",N855="="),1,0))</f>
      </c>
      <c r="AZ855" s="129">
        <f t="shared" si="570"/>
        <v/>
      </c>
      <c r="BA855" s="129">
        <f t="shared" si="571"/>
      </c>
      <c r="BB855" s="129">
        <f t="shared" si="572"/>
      </c>
      <c r="BD855" s="129">
        <f t="shared" si="573"/>
      </c>
      <c r="BE855" s="129">
        <f t="shared" si="574"/>
      </c>
      <c r="BF855" s="129">
        <f t="shared" si="575"/>
      </c>
      <c r="BG855" s="129">
        <f t="shared" si="576"/>
        <v/>
      </c>
      <c r="BH855" s="129">
        <f t="shared" si="577"/>
        <v/>
      </c>
      <c r="BI855" s="129">
        <f t="shared" si="578"/>
        <v/>
      </c>
      <c r="BJ855" s="129">
        <f t="shared" si="579"/>
        <v/>
      </c>
      <c r="BK855" s="129">
        <f>IF(R855="","",IF(OR(BY855="",BY855=0),"BOX",IFERROR(IF(VLOOKUP(BY855,УГО_блоки,3,FALSE)&amp;""&lt;&gt;"",VLOOKUP(BY855,УГО_блоки,3,FALSE),VLOOKUP(BY855,УГО_блоки,2,FALSE)),BY855)))</f>
      </c>
      <c r="BL855" s="129">
        <f t="shared" si="581"/>
      </c>
      <c r="BM855" s="129">
        <f>IF(H855="","",IF(COUNTIF($H$3:H855,H855)=1,MAX($BM$2:BM854)+1,""))</f>
      </c>
      <c r="BN855" s="129">
        <f>IF(I855="","",IF(COUNTIF($I$3:I855,I855)+COUNTIF($J$2:J854,I855)+COUNTIF($K$2:K854,I855)=1,MAX($BN$2:BP854)+1,""))</f>
      </c>
      <c r="BO855" s="129">
        <f>IF(J855="","",IF(COUNTIF($I$3:I855,J855)+COUNTIF($J$3:J855,J855)+COUNTIF($K$2:K854,J855)=1,MAX($BN$2:BP854,BN855)+1,""))</f>
      </c>
      <c r="BP855" s="129">
        <f>IF(K855="","",IF(COUNTIF($I$3:I855,K855)+COUNTIF($J$3:J855,K855)+COUNTIF($K$3:K855,K855)=1,MAX($BN$2:BP854,BN855,BO855)+1,""))</f>
      </c>
      <c r="BQ855" s="129">
        <f>IF(AY855=1,IFERROR(MID(Q855,FIND(" (",Q855)+2,FIND(")",Q855,FIND(" (",Q855))-FIND(" (",Q855)-2),"?"),"")</f>
      </c>
      <c r="BR855" s="129">
        <f>IF(BQ855="","",IF(COUNTIF($BQ$3:BQ855,BQ855)=1,MAX($BR$2:BR854)+1,""))</f>
      </c>
      <c r="BS855" s="129">
        <f>IF(AW855="","",COUNTIF($AW$3:AW855,"?*"))</f>
      </c>
      <c r="BT855" s="129">
        <f>IF(OR(AW855="",AI855=""),"",IF(COUNTIFS($AW$3:AW855,"?*",$AI$3:AI855,AI855)=1,MAX($BT$2:BT854)+1,""))</f>
      </c>
      <c r="BU855" s="129">
        <f>IF(AE855="",0,IF(OR(ISNUMBER(SEARCH("дубль",AE855)),ISNUMBER(SEARCH("ПЕРЕГРУЗ",AE855)),ISNUMBER(SEARCH("ЗАЩИЩ",AE855)),ISNUMBER(SEARCH("КАНАЛ",AE855)),ISNUMBER(SEARCH("без 30",AE855))),2,1))</f>
      </c>
      <c r="BV855" s="129">
        <f>IF(R855="","",COUNTIF($R$3:R855,"?*"))</f>
      </c>
      <c r="BW855" s="129">
        <f>IF(AY855&lt;&gt;1,0,IF(MAX(IFERROR(--VLOOKUP(R855,УГО_спр,5,FALSE),0),IFERROR(--VLOOKUP(AL855,УГО_спр,5,FALSE),0),IFERROR(--VLOOKUP(LEFT(AL855,2),УГО_спр,5,FALSE),0))&gt;0,MAX(IFERROR(--VLOOKUP(R855,УГО_спр,5,FALSE),0),IFERROR(--VLOOKUP(AL855,УГО_спр,5,FALSE),0),IFERROR(--VLOOKUP(LEFT(AL855,2),УГО_спр,5,FALSE),0)),IF(IFERROR(--LEFT(SUBSTITUTE(BQ855,"x","х"),FIND("х",SUBSTITUTE(BQ855,"x","х"))-1),3)&gt;3,Каталог!$S$9,1)))</f>
      </c>
      <c r="BX855" s="129">
        <f>IF(AY855&lt;&gt;1,0,MAX(0,IFERROR(--LEFT(SUBSTITUTE(BQ855,"x","х"),FIND("х",SUBSTITUTE(BQ855,"x","х"))-1),3)-3*BW855))</f>
      </c>
      <c r="BY855" s="129">
        <f>IF(R855="","",IFERROR(VLOOKUP(R855,УГО_спр,2,FALSE),IFERROR(VLOOKUP(AL855,УГО_спр,2,FALSE),IFERROR(VLOOKUP(LEFT(AL855,2),УГО_спр,2,FALSE),""))))</f>
      </c>
    </row>
    <row r="856" spans="1:64" x14ac:dyDescent="0.3">
      <c r="A856" s="135">
        <f>IF(Разбивка_по_щитам!F856=0,"",Разбивка_по_щитам!F856)</f>
        <v/>
      </c>
      <c r="B856" s="138">
        <f>IF(A856="","",Разбивка_по_щитам!C856)</f>
        <v/>
      </c>
      <c r="C856" s="138">
        <f t="shared" si="542"/>
        <v/>
      </c>
      <c r="D856" s="266"/>
      <c r="E856" s="266"/>
      <c r="F856" s="267"/>
      <c r="G856" s="145">
        <f t="shared" si="543"/>
        <v/>
      </c>
      <c r="H856" s="145">
        <f t="shared" si="544"/>
        <v/>
      </c>
      <c r="I856" s="266"/>
      <c r="J856" s="267"/>
      <c r="K856" s="267"/>
      <c r="L856" s="266"/>
      <c r="M856" s="147">
        <f t="shared" si="545"/>
        <v/>
      </c>
      <c r="N856" s="267"/>
      <c r="O856" s="147">
        <f t="shared" si="546"/>
        <v/>
      </c>
      <c r="P856" s="268">
        <f>IF(AY856=1,"XT"&amp;COUNTIFS($A$3:A856,A856,$AY$3:AY856,1),"")</f>
        <v/>
      </c>
      <c r="Q856" s="152">
        <f>IF(R856="","",IFERROR(SUBSTITUTE(Разбивка_по_щитам!P856,CHAR(10)," "),""))</f>
        <v/>
      </c>
      <c r="R856" s="153">
        <f>IF(OR(Разбивка_по_щитам!H856="",Разбивка_по_щитам!H856=0),"",Разбивка_по_щитам!H856)</f>
        <v/>
      </c>
      <c r="S856" s="154">
        <f>IF(R856="","",IFERROR(Разбивка_по_щитам!J856&amp;"",""))</f>
        <v/>
      </c>
      <c r="T856" s="155">
        <f>IF(R856="","",IFERROR(--Разбивка_по_щитам!L856,""))</f>
        <v/>
      </c>
      <c r="U856" s="155">
        <f>IF(R856="","",IFERROR(--Разбивка_по_щитам!K856,""))</f>
        <v/>
      </c>
      <c r="V856" s="138">
        <f>IF(R856="","",IFERROR(IF(Разбивка_по_щитам!M856=0,"",Разбивка_по_щитам!M856),""))</f>
        <v/>
      </c>
      <c r="W856" s="156">
        <f t="shared" si="547"/>
        <v/>
      </c>
      <c r="X856" s="157">
        <f t="shared" si="548"/>
        <v/>
      </c>
      <c r="Y856" s="266"/>
      <c r="Z856" s="158">
        <f t="shared" si="549"/>
        <v/>
      </c>
      <c r="AA856" s="160">
        <f t="shared" si="550"/>
        <v/>
      </c>
      <c r="AB856" s="160">
        <f>IF(R856="","",IFERROR(LOOKUP(INDEX(Справочная!$I$4:$I$19,MATCH(VLOOKUP(R856,Исходные_данные,22,FALSE),Справочная!$J$4:$J$19,0)+1),{6,10,16,20,25,32,40,50,63,80,100,125}),""))</f>
        <v/>
      </c>
      <c r="AC856" s="160">
        <f t="shared" si="551"/>
        <v/>
      </c>
      <c r="AD856" s="161">
        <f t="shared" si="552"/>
        <v/>
      </c>
      <c r="AE856" s="161">
        <f>IF(AND(R856="",G856=""),"",_xlfn.TEXTJOIN("; ",TRUE,IF(AND(R856&lt;&gt;"",V856=""),"нет фазы",""),IF(AND(R856&lt;&gt;"",N(T856)=0),"нет мощности",""),IF(AND(P856&lt;&gt;"",COUNTIFS($A$3:$A$1000,A856,$P$3:$P$1000,P856)&gt;1),"дубль клеммы "&amp;P856,""),IF(AND(W856&lt;&gt;"",W856&lt;&gt;"ok"),W856,""),IF(X856&lt;&gt;"",X856,""),IF(AND(ISNUMBER(SEARCH("(5х",Q856)),N(AK856)=1),"5 жил на 1 фазе",""),IF(AND(AL856="R",E856&lt;&gt;"",N(AS856)=0),"розетка без 30 мА",""),IF(IFERROR(_xlfn.NUMBERVALUE(MID(Q856,FIND("-",Q856,FIND("L=",Q856))+1,FIND("%",Q856)-FIND("-",Q856,FIND("L=",Q856))-1),","),0)&gt;4,"потери &gt; 4 %","")))</f>
      </c>
      <c r="AF856" s="129">
        <f>IF(E856&lt;&gt;"",COUNTIFS($A$3:A856,A856,$E$3:E856,"?*"),IF(OR(A856&lt;&gt;A855,Y856="вручную"),"",AF855))</f>
        <v/>
      </c>
      <c r="AG856" s="129">
        <f t="shared" si="553"/>
        <v/>
      </c>
      <c r="AH856" s="129">
        <f t="shared" si="554"/>
        <v/>
      </c>
      <c r="AI856" s="129">
        <f t="shared" si="555"/>
        <v/>
      </c>
      <c r="AJ856" s="129">
        <f t="shared" si="556"/>
        <v/>
      </c>
      <c r="AK856" s="129">
        <f t="shared" si="557"/>
        <v/>
      </c>
      <c r="AL856" s="129">
        <f t="shared" si="558"/>
        <v/>
      </c>
      <c r="AM856" s="129">
        <f t="shared" si="559"/>
      </c>
      <c r="AN856" s="129">
        <f t="shared" si="560"/>
      </c>
      <c r="AO856" s="129">
        <f t="shared" si="561"/>
        <v/>
      </c>
      <c r="AP856" s="129">
        <f t="shared" si="562"/>
        <v/>
      </c>
      <c r="AQ856" s="129">
        <f t="shared" si="563"/>
        <v/>
      </c>
      <c r="AR856" s="129">
        <f t="shared" si="564"/>
        <v/>
      </c>
      <c r="AS856" s="129">
        <f t="shared" si="565"/>
        <v/>
      </c>
      <c r="AT856" s="129">
        <f t="shared" si="566"/>
        <v/>
      </c>
      <c r="AU856" s="129">
        <f t="shared" si="567"/>
        <v/>
      </c>
      <c r="AV856" s="129">
        <f t="shared" si="568"/>
        <v/>
      </c>
      <c r="AW856" s="129">
        <f>IF(AV856="","",AV856&amp;"."&amp;COUNTIFS($A$3:A856,A856,$AV$3:AV856,AV856))</f>
        <v/>
      </c>
      <c r="AX856" s="129">
        <f t="shared" si="569"/>
        <v/>
      </c>
      <c r="AY856" s="129">
        <f>IF(N856="б/к",0,IF(OR(ISNUMBER(SEARCH("L=",Разбивка_по_щитам!P856)),N856="+",N856="="),1,0))</f>
      </c>
      <c r="AZ856" s="129">
        <f t="shared" si="570"/>
        <v/>
      </c>
      <c r="BA856" s="129">
        <f t="shared" si="571"/>
      </c>
      <c r="BB856" s="129">
        <f t="shared" si="572"/>
      </c>
      <c r="BD856" s="129">
        <f t="shared" si="573"/>
      </c>
      <c r="BE856" s="129">
        <f t="shared" si="574"/>
      </c>
      <c r="BF856" s="129">
        <f t="shared" si="575"/>
      </c>
      <c r="BG856" s="129">
        <f t="shared" si="576"/>
        <v/>
      </c>
      <c r="BH856" s="129">
        <f t="shared" si="577"/>
        <v/>
      </c>
      <c r="BI856" s="129">
        <f t="shared" si="578"/>
        <v/>
      </c>
      <c r="BJ856" s="129">
        <f t="shared" si="579"/>
        <v/>
      </c>
      <c r="BK856" s="129">
        <f>IF(R856="","",IF(OR(BY856="",BY856=0),"BOX",IFERROR(IF(VLOOKUP(BY856,УГО_блоки,3,FALSE)&amp;""&lt;&gt;"",VLOOKUP(BY856,УГО_блоки,3,FALSE),VLOOKUP(BY856,УГО_блоки,2,FALSE)),BY856)))</f>
      </c>
      <c r="BL856" s="129">
        <f t="shared" si="581"/>
      </c>
      <c r="BM856" s="129">
        <f>IF(H856="","",IF(COUNTIF($H$3:H856,H856)=1,MAX($BM$2:BM855)+1,""))</f>
      </c>
      <c r="BN856" s="129">
        <f>IF(I856="","",IF(COUNTIF($I$3:I856,I856)+COUNTIF($J$2:J855,I856)+COUNTIF($K$2:K855,I856)=1,MAX($BN$2:BP855)+1,""))</f>
      </c>
      <c r="BO856" s="129">
        <f>IF(J856="","",IF(COUNTIF($I$3:I856,J856)+COUNTIF($J$3:J856,J856)+COUNTIF($K$2:K855,J856)=1,MAX($BN$2:BP855,BN856)+1,""))</f>
      </c>
      <c r="BP856" s="129">
        <f>IF(K856="","",IF(COUNTIF($I$3:I856,K856)+COUNTIF($J$3:J856,K856)+COUNTIF($K$3:K856,K856)=1,MAX($BN$2:BP855,BN856,BO856)+1,""))</f>
      </c>
      <c r="BQ856" s="129">
        <f>IF(AY856=1,IFERROR(MID(Q856,FIND(" (",Q856)+2,FIND(")",Q856,FIND(" (",Q856))-FIND(" (",Q856)-2),"?"),"")</f>
      </c>
      <c r="BR856" s="129">
        <f>IF(BQ856="","",IF(COUNTIF($BQ$3:BQ856,BQ856)=1,MAX($BR$2:BR855)+1,""))</f>
      </c>
      <c r="BS856" s="129">
        <f>IF(AW856="","",COUNTIF($AW$3:AW856,"?*"))</f>
      </c>
      <c r="BT856" s="129">
        <f>IF(OR(AW856="",AI856=""),"",IF(COUNTIFS($AW$3:AW856,"?*",$AI$3:AI856,AI856)=1,MAX($BT$2:BT855)+1,""))</f>
      </c>
      <c r="BU856" s="129">
        <f>IF(AE856="",0,IF(OR(ISNUMBER(SEARCH("дубль",AE856)),ISNUMBER(SEARCH("ПЕРЕГРУЗ",AE856)),ISNUMBER(SEARCH("ЗАЩИЩ",AE856)),ISNUMBER(SEARCH("КАНАЛ",AE856)),ISNUMBER(SEARCH("без 30",AE856))),2,1))</f>
      </c>
      <c r="BV856" s="129">
        <f>IF(R856="","",COUNTIF($R$3:R856,"?*"))</f>
      </c>
      <c r="BW856" s="129">
        <f>IF(AY856&lt;&gt;1,0,IF(MAX(IFERROR(--VLOOKUP(R856,УГО_спр,5,FALSE),0),IFERROR(--VLOOKUP(AL856,УГО_спр,5,FALSE),0),IFERROR(--VLOOKUP(LEFT(AL856,2),УГО_спр,5,FALSE),0))&gt;0,MAX(IFERROR(--VLOOKUP(R856,УГО_спр,5,FALSE),0),IFERROR(--VLOOKUP(AL856,УГО_спр,5,FALSE),0),IFERROR(--VLOOKUP(LEFT(AL856,2),УГО_спр,5,FALSE),0)),IF(IFERROR(--LEFT(SUBSTITUTE(BQ856,"x","х"),FIND("х",SUBSTITUTE(BQ856,"x","х"))-1),3)&gt;3,Каталог!$S$9,1)))</f>
      </c>
      <c r="BX856" s="129">
        <f>IF(AY856&lt;&gt;1,0,MAX(0,IFERROR(--LEFT(SUBSTITUTE(BQ856,"x","х"),FIND("х",SUBSTITUTE(BQ856,"x","х"))-1),3)-3*BW856))</f>
      </c>
      <c r="BY856" s="129">
        <f>IF(R856="","",IFERROR(VLOOKUP(R856,УГО_спр,2,FALSE),IFERROR(VLOOKUP(AL856,УГО_спр,2,FALSE),IFERROR(VLOOKUP(LEFT(AL856,2),УГО_спр,2,FALSE),""))))</f>
      </c>
    </row>
    <row r="857" spans="1:64" x14ac:dyDescent="0.3">
      <c r="A857" s="135">
        <f>IF(Разбивка_по_щитам!F857=0,"",Разбивка_по_щитам!F857)</f>
        <v/>
      </c>
      <c r="B857" s="138">
        <f>IF(A857="","",Разбивка_по_щитам!C857)</f>
        <v/>
      </c>
      <c r="C857" s="138">
        <f t="shared" si="542"/>
        <v/>
      </c>
      <c r="D857" s="266"/>
      <c r="E857" s="266"/>
      <c r="F857" s="267"/>
      <c r="G857" s="145">
        <f t="shared" si="543"/>
        <v/>
      </c>
      <c r="H857" s="145">
        <f t="shared" si="544"/>
        <v/>
      </c>
      <c r="I857" s="266"/>
      <c r="J857" s="267"/>
      <c r="K857" s="267"/>
      <c r="L857" s="266"/>
      <c r="M857" s="147">
        <f t="shared" si="545"/>
        <v/>
      </c>
      <c r="N857" s="267"/>
      <c r="O857" s="147">
        <f t="shared" si="546"/>
        <v/>
      </c>
      <c r="P857" s="268">
        <f>IF(AY857=1,"XT"&amp;COUNTIFS($A$3:A857,A857,$AY$3:AY857,1),"")</f>
        <v/>
      </c>
      <c r="Q857" s="152">
        <f>IF(R857="","",IFERROR(SUBSTITUTE(Разбивка_по_щитам!P857,CHAR(10)," "),""))</f>
        <v/>
      </c>
      <c r="R857" s="153">
        <f>IF(OR(Разбивка_по_щитам!H857="",Разбивка_по_щитам!H857=0),"",Разбивка_по_щитам!H857)</f>
        <v/>
      </c>
      <c r="S857" s="154">
        <f>IF(R857="","",IFERROR(Разбивка_по_щитам!J857&amp;"",""))</f>
        <v/>
      </c>
      <c r="T857" s="155">
        <f>IF(R857="","",IFERROR(--Разбивка_по_щитам!L857,""))</f>
        <v/>
      </c>
      <c r="U857" s="155">
        <f>IF(R857="","",IFERROR(--Разбивка_по_щитам!K857,""))</f>
        <v/>
      </c>
      <c r="V857" s="138">
        <f>IF(R857="","",IFERROR(IF(Разбивка_по_щитам!M857=0,"",Разбивка_по_щитам!M857),""))</f>
        <v/>
      </c>
      <c r="W857" s="156">
        <f t="shared" si="547"/>
        <v/>
      </c>
      <c r="X857" s="157">
        <f t="shared" si="548"/>
        <v/>
      </c>
      <c r="Y857" s="266"/>
      <c r="Z857" s="158">
        <f t="shared" si="549"/>
        <v/>
      </c>
      <c r="AA857" s="160">
        <f t="shared" si="550"/>
        <v/>
      </c>
      <c r="AB857" s="160">
        <f>IF(R857="","",IFERROR(LOOKUP(INDEX(Справочная!$I$4:$I$19,MATCH(VLOOKUP(R857,Исходные_данные,22,FALSE),Справочная!$J$4:$J$19,0)+1),{6,10,16,20,25,32,40,50,63,80,100,125}),""))</f>
        <v/>
      </c>
      <c r="AC857" s="160">
        <f t="shared" si="551"/>
        <v/>
      </c>
      <c r="AD857" s="161">
        <f t="shared" si="552"/>
        <v/>
      </c>
      <c r="AE857" s="161">
        <f>IF(AND(R857="",G857=""),"",_xlfn.TEXTJOIN("; ",TRUE,IF(AND(R857&lt;&gt;"",V857=""),"нет фазы",""),IF(AND(R857&lt;&gt;"",N(T857)=0),"нет мощности",""),IF(AND(P857&lt;&gt;"",COUNTIFS($A$3:$A$1000,A857,$P$3:$P$1000,P857)&gt;1),"дубль клеммы "&amp;P857,""),IF(AND(W857&lt;&gt;"",W857&lt;&gt;"ok"),W857,""),IF(X857&lt;&gt;"",X857,""),IF(AND(ISNUMBER(SEARCH("(5х",Q857)),N(AK857)=1),"5 жил на 1 фазе",""),IF(AND(AL857="R",E857&lt;&gt;"",N(AS857)=0),"розетка без 30 мА",""),IF(IFERROR(_xlfn.NUMBERVALUE(MID(Q857,FIND("-",Q857,FIND("L=",Q857))+1,FIND("%",Q857)-FIND("-",Q857,FIND("L=",Q857))-1),","),0)&gt;4,"потери &gt; 4 %","")))</f>
      </c>
      <c r="AF857" s="129">
        <f>IF(E857&lt;&gt;"",COUNTIFS($A$3:A857,A857,$E$3:E857,"?*"),IF(OR(A857&lt;&gt;A856,Y857="вручную"),"",AF856))</f>
        <v/>
      </c>
      <c r="AG857" s="129">
        <f t="shared" si="553"/>
        <v/>
      </c>
      <c r="AH857" s="129">
        <f t="shared" si="554"/>
        <v/>
      </c>
      <c r="AI857" s="129">
        <f t="shared" si="555"/>
        <v/>
      </c>
      <c r="AJ857" s="129">
        <f t="shared" si="556"/>
        <v/>
      </c>
      <c r="AK857" s="129">
        <f t="shared" si="557"/>
        <v/>
      </c>
      <c r="AL857" s="129">
        <f t="shared" si="558"/>
        <v/>
      </c>
      <c r="AM857" s="129">
        <f t="shared" si="559"/>
      </c>
      <c r="AN857" s="129">
        <f t="shared" si="560"/>
      </c>
      <c r="AO857" s="129">
        <f t="shared" si="561"/>
        <v/>
      </c>
      <c r="AP857" s="129">
        <f t="shared" si="562"/>
        <v/>
      </c>
      <c r="AQ857" s="129">
        <f t="shared" si="563"/>
        <v/>
      </c>
      <c r="AR857" s="129">
        <f t="shared" si="564"/>
        <v/>
      </c>
      <c r="AS857" s="129">
        <f t="shared" si="565"/>
        <v/>
      </c>
      <c r="AT857" s="129">
        <f t="shared" si="566"/>
        <v/>
      </c>
      <c r="AU857" s="129">
        <f t="shared" si="567"/>
        <v/>
      </c>
      <c r="AV857" s="129">
        <f t="shared" si="568"/>
        <v/>
      </c>
      <c r="AW857" s="129">
        <f>IF(AV857="","",AV857&amp;"."&amp;COUNTIFS($A$3:A857,A857,$AV$3:AV857,AV857))</f>
        <v/>
      </c>
      <c r="AX857" s="129">
        <f t="shared" si="569"/>
        <v/>
      </c>
      <c r="AY857" s="129">
        <f>IF(N857="б/к",0,IF(OR(ISNUMBER(SEARCH("L=",Разбивка_по_щитам!P857)),N857="+",N857="="),1,0))</f>
      </c>
      <c r="AZ857" s="129">
        <f t="shared" si="570"/>
        <v/>
      </c>
      <c r="BA857" s="129">
        <f t="shared" si="571"/>
      </c>
      <c r="BB857" s="129">
        <f t="shared" si="572"/>
      </c>
      <c r="BD857" s="129">
        <f t="shared" si="573"/>
      </c>
      <c r="BE857" s="129">
        <f t="shared" si="574"/>
      </c>
      <c r="BF857" s="129">
        <f t="shared" si="575"/>
      </c>
      <c r="BG857" s="129">
        <f t="shared" si="576"/>
        <v/>
      </c>
      <c r="BH857" s="129">
        <f t="shared" si="577"/>
        <v/>
      </c>
      <c r="BI857" s="129">
        <f t="shared" si="578"/>
        <v/>
      </c>
      <c r="BJ857" s="129">
        <f t="shared" si="579"/>
        <v/>
      </c>
      <c r="BK857" s="129">
        <f>IF(R857="","",IF(OR(BY857="",BY857=0),"BOX",IFERROR(IF(VLOOKUP(BY857,УГО_блоки,3,FALSE)&amp;""&lt;&gt;"",VLOOKUP(BY857,УГО_блоки,3,FALSE),VLOOKUP(BY857,УГО_блоки,2,FALSE)),BY857)))</f>
      </c>
      <c r="BL857" s="129">
        <f t="shared" si="581"/>
      </c>
      <c r="BM857" s="129">
        <f>IF(H857="","",IF(COUNTIF($H$3:H857,H857)=1,MAX($BM$2:BM856)+1,""))</f>
      </c>
      <c r="BN857" s="129">
        <f>IF(I857="","",IF(COUNTIF($I$3:I857,I857)+COUNTIF($J$2:J856,I857)+COUNTIF($K$2:K856,I857)=1,MAX($BN$2:BP856)+1,""))</f>
      </c>
      <c r="BO857" s="129">
        <f>IF(J857="","",IF(COUNTIF($I$3:I857,J857)+COUNTIF($J$3:J857,J857)+COUNTIF($K$2:K856,J857)=1,MAX($BN$2:BP856,BN857)+1,""))</f>
      </c>
      <c r="BP857" s="129">
        <f>IF(K857="","",IF(COUNTIF($I$3:I857,K857)+COUNTIF($J$3:J857,K857)+COUNTIF($K$3:K857,K857)=1,MAX($BN$2:BP856,BN857,BO857)+1,""))</f>
      </c>
      <c r="BQ857" s="129">
        <f>IF(AY857=1,IFERROR(MID(Q857,FIND(" (",Q857)+2,FIND(")",Q857,FIND(" (",Q857))-FIND(" (",Q857)-2),"?"),"")</f>
      </c>
      <c r="BR857" s="129">
        <f>IF(BQ857="","",IF(COUNTIF($BQ$3:BQ857,BQ857)=1,MAX($BR$2:BR856)+1,""))</f>
      </c>
      <c r="BS857" s="129">
        <f>IF(AW857="","",COUNTIF($AW$3:AW857,"?*"))</f>
      </c>
      <c r="BT857" s="129">
        <f>IF(OR(AW857="",AI857=""),"",IF(COUNTIFS($AW$3:AW857,"?*",$AI$3:AI857,AI857)=1,MAX($BT$2:BT856)+1,""))</f>
      </c>
      <c r="BU857" s="129">
        <f>IF(AE857="",0,IF(OR(ISNUMBER(SEARCH("дубль",AE857)),ISNUMBER(SEARCH("ПЕРЕГРУЗ",AE857)),ISNUMBER(SEARCH("ЗАЩИЩ",AE857)),ISNUMBER(SEARCH("КАНАЛ",AE857)),ISNUMBER(SEARCH("без 30",AE857))),2,1))</f>
      </c>
      <c r="BV857" s="129">
        <f>IF(R857="","",COUNTIF($R$3:R857,"?*"))</f>
      </c>
      <c r="BW857" s="129">
        <f>IF(AY857&lt;&gt;1,0,IF(MAX(IFERROR(--VLOOKUP(R857,УГО_спр,5,FALSE),0),IFERROR(--VLOOKUP(AL857,УГО_спр,5,FALSE),0),IFERROR(--VLOOKUP(LEFT(AL857,2),УГО_спр,5,FALSE),0))&gt;0,MAX(IFERROR(--VLOOKUP(R857,УГО_спр,5,FALSE),0),IFERROR(--VLOOKUP(AL857,УГО_спр,5,FALSE),0),IFERROR(--VLOOKUP(LEFT(AL857,2),УГО_спр,5,FALSE),0)),IF(IFERROR(--LEFT(SUBSTITUTE(BQ857,"x","х"),FIND("х",SUBSTITUTE(BQ857,"x","х"))-1),3)&gt;3,Каталог!$S$9,1)))</f>
      </c>
      <c r="BX857" s="129">
        <f>IF(AY857&lt;&gt;1,0,MAX(0,IFERROR(--LEFT(SUBSTITUTE(BQ857,"x","х"),FIND("х",SUBSTITUTE(BQ857,"x","х"))-1),3)-3*BW857))</f>
      </c>
      <c r="BY857" s="129">
        <f>IF(R857="","",IFERROR(VLOOKUP(R857,УГО_спр,2,FALSE),IFERROR(VLOOKUP(AL857,УГО_спр,2,FALSE),IFERROR(VLOOKUP(LEFT(AL857,2),УГО_спр,2,FALSE),""))))</f>
      </c>
    </row>
    <row r="858" spans="1:64" x14ac:dyDescent="0.3">
      <c r="A858" s="135">
        <f>IF(Разбивка_по_щитам!F858=0,"",Разбивка_по_щитам!F858)</f>
        <v/>
      </c>
      <c r="B858" s="138">
        <f>IF(A858="","",Разбивка_по_щитам!C858)</f>
        <v/>
      </c>
      <c r="C858" s="138">
        <f t="shared" si="542"/>
        <v/>
      </c>
      <c r="D858" s="266"/>
      <c r="E858" s="266"/>
      <c r="F858" s="267"/>
      <c r="G858" s="145">
        <f t="shared" si="543"/>
        <v/>
      </c>
      <c r="H858" s="145">
        <f t="shared" si="544"/>
        <v/>
      </c>
      <c r="I858" s="266"/>
      <c r="J858" s="267"/>
      <c r="K858" s="267"/>
      <c r="L858" s="266"/>
      <c r="M858" s="147">
        <f t="shared" si="545"/>
        <v/>
      </c>
      <c r="N858" s="267"/>
      <c r="O858" s="147">
        <f t="shared" si="546"/>
        <v/>
      </c>
      <c r="P858" s="268">
        <f>IF(AY858=1,"XT"&amp;COUNTIFS($A$3:A858,A858,$AY$3:AY858,1),"")</f>
        <v/>
      </c>
      <c r="Q858" s="152">
        <f>IF(R858="","",IFERROR(SUBSTITUTE(Разбивка_по_щитам!P858,CHAR(10)," "),""))</f>
        <v/>
      </c>
      <c r="R858" s="153">
        <f>IF(OR(Разбивка_по_щитам!H858="",Разбивка_по_щитам!H858=0),"",Разбивка_по_щитам!H858)</f>
        <v/>
      </c>
      <c r="S858" s="154">
        <f>IF(R858="","",IFERROR(Разбивка_по_щитам!J858&amp;"",""))</f>
        <v/>
      </c>
      <c r="T858" s="155">
        <f>IF(R858="","",IFERROR(--Разбивка_по_щитам!L858,""))</f>
        <v/>
      </c>
      <c r="U858" s="155">
        <f>IF(R858="","",IFERROR(--Разбивка_по_щитам!K858,""))</f>
        <v/>
      </c>
      <c r="V858" s="138">
        <f>IF(R858="","",IFERROR(IF(Разбивка_по_щитам!M858=0,"",Разбивка_по_щитам!M858),""))</f>
        <v/>
      </c>
      <c r="W858" s="156">
        <f t="shared" si="547"/>
        <v/>
      </c>
      <c r="X858" s="157">
        <f t="shared" si="548"/>
        <v/>
      </c>
      <c r="Y858" s="266"/>
      <c r="Z858" s="158">
        <f t="shared" si="549"/>
        <v/>
      </c>
      <c r="AA858" s="160">
        <f t="shared" si="550"/>
        <v/>
      </c>
      <c r="AB858" s="160">
        <f>IF(R858="","",IFERROR(LOOKUP(INDEX(Справочная!$I$4:$I$19,MATCH(VLOOKUP(R858,Исходные_данные,22,FALSE),Справочная!$J$4:$J$19,0)+1),{6,10,16,20,25,32,40,50,63,80,100,125}),""))</f>
        <v/>
      </c>
      <c r="AC858" s="160">
        <f t="shared" si="551"/>
        <v/>
      </c>
      <c r="AD858" s="161">
        <f t="shared" si="552"/>
        <v/>
      </c>
      <c r="AE858" s="161">
        <f>IF(AND(R858="",G858=""),"",_xlfn.TEXTJOIN("; ",TRUE,IF(AND(R858&lt;&gt;"",V858=""),"нет фазы",""),IF(AND(R858&lt;&gt;"",N(T858)=0),"нет мощности",""),IF(AND(P858&lt;&gt;"",COUNTIFS($A$3:$A$1000,A858,$P$3:$P$1000,P858)&gt;1),"дубль клеммы "&amp;P858,""),IF(AND(W858&lt;&gt;"",W858&lt;&gt;"ok"),W858,""),IF(X858&lt;&gt;"",X858,""),IF(AND(ISNUMBER(SEARCH("(5х",Q858)),N(AK858)=1),"5 жил на 1 фазе",""),IF(AND(AL858="R",E858&lt;&gt;"",N(AS858)=0),"розетка без 30 мА",""),IF(IFERROR(_xlfn.NUMBERVALUE(MID(Q858,FIND("-",Q858,FIND("L=",Q858))+1,FIND("%",Q858)-FIND("-",Q858,FIND("L=",Q858))-1),","),0)&gt;4,"потери &gt; 4 %","")))</f>
      </c>
      <c r="AF858" s="129">
        <f>IF(E858&lt;&gt;"",COUNTIFS($A$3:A858,A858,$E$3:E858,"?*"),IF(OR(A858&lt;&gt;A857,Y858="вручную"),"",AF857))</f>
        <v/>
      </c>
      <c r="AG858" s="129">
        <f t="shared" si="553"/>
        <v/>
      </c>
      <c r="AH858" s="129">
        <f t="shared" si="554"/>
        <v/>
      </c>
      <c r="AI858" s="129">
        <f t="shared" si="555"/>
        <v/>
      </c>
      <c r="AJ858" s="129">
        <f t="shared" si="556"/>
        <v/>
      </c>
      <c r="AK858" s="129">
        <f t="shared" si="557"/>
        <v/>
      </c>
      <c r="AL858" s="129">
        <f t="shared" si="558"/>
        <v/>
      </c>
      <c r="AM858" s="129">
        <f t="shared" si="559"/>
      </c>
      <c r="AN858" s="129">
        <f t="shared" si="560"/>
      </c>
      <c r="AO858" s="129">
        <f t="shared" si="561"/>
        <v/>
      </c>
      <c r="AP858" s="129">
        <f t="shared" si="562"/>
        <v/>
      </c>
      <c r="AQ858" s="129">
        <f t="shared" si="563"/>
        <v/>
      </c>
      <c r="AR858" s="129">
        <f t="shared" si="564"/>
        <v/>
      </c>
      <c r="AS858" s="129">
        <f t="shared" si="565"/>
        <v/>
      </c>
      <c r="AT858" s="129">
        <f t="shared" si="566"/>
        <v/>
      </c>
      <c r="AU858" s="129">
        <f t="shared" si="567"/>
        <v/>
      </c>
      <c r="AV858" s="129">
        <f t="shared" si="568"/>
        <v/>
      </c>
      <c r="AW858" s="129">
        <f>IF(AV858="","",AV858&amp;"."&amp;COUNTIFS($A$3:A858,A858,$AV$3:AV858,AV858))</f>
        <v/>
      </c>
      <c r="AX858" s="129">
        <f t="shared" si="569"/>
        <v/>
      </c>
      <c r="AY858" s="129">
        <f>IF(N858="б/к",0,IF(OR(ISNUMBER(SEARCH("L=",Разбивка_по_щитам!P858)),N858="+",N858="="),1,0))</f>
      </c>
      <c r="AZ858" s="129">
        <f t="shared" si="570"/>
        <v/>
      </c>
      <c r="BA858" s="129">
        <f t="shared" si="571"/>
      </c>
      <c r="BB858" s="129">
        <f t="shared" si="572"/>
      </c>
      <c r="BD858" s="129">
        <f t="shared" si="573"/>
      </c>
      <c r="BE858" s="129">
        <f t="shared" si="574"/>
      </c>
      <c r="BF858" s="129">
        <f t="shared" si="575"/>
      </c>
      <c r="BG858" s="129">
        <f t="shared" si="576"/>
        <v/>
      </c>
      <c r="BH858" s="129">
        <f t="shared" si="577"/>
        <v/>
      </c>
      <c r="BI858" s="129">
        <f t="shared" si="578"/>
        <v/>
      </c>
      <c r="BJ858" s="129">
        <f t="shared" si="579"/>
        <v/>
      </c>
      <c r="BK858" s="129">
        <f>IF(R858="","",IF(OR(BY858="",BY858=0),"BOX",IFERROR(IF(VLOOKUP(BY858,УГО_блоки,3,FALSE)&amp;""&lt;&gt;"",VLOOKUP(BY858,УГО_блоки,3,FALSE),VLOOKUP(BY858,УГО_блоки,2,FALSE)),BY858)))</f>
      </c>
      <c r="BL858" s="129">
        <f t="shared" si="581"/>
      </c>
      <c r="BM858" s="129">
        <f>IF(H858="","",IF(COUNTIF($H$3:H858,H858)=1,MAX($BM$2:BM857)+1,""))</f>
      </c>
      <c r="BN858" s="129">
        <f>IF(I858="","",IF(COUNTIF($I$3:I858,I858)+COUNTIF($J$2:J857,I858)+COUNTIF($K$2:K857,I858)=1,MAX($BN$2:BP857)+1,""))</f>
      </c>
      <c r="BO858" s="129">
        <f>IF(J858="","",IF(COUNTIF($I$3:I858,J858)+COUNTIF($J$3:J858,J858)+COUNTIF($K$2:K857,J858)=1,MAX($BN$2:BP857,BN858)+1,""))</f>
      </c>
      <c r="BP858" s="129">
        <f>IF(K858="","",IF(COUNTIF($I$3:I858,K858)+COUNTIF($J$3:J858,K858)+COUNTIF($K$3:K858,K858)=1,MAX($BN$2:BP857,BN858,BO858)+1,""))</f>
      </c>
      <c r="BQ858" s="129">
        <f>IF(AY858=1,IFERROR(MID(Q858,FIND(" (",Q858)+2,FIND(")",Q858,FIND(" (",Q858))-FIND(" (",Q858)-2),"?"),"")</f>
      </c>
      <c r="BR858" s="129">
        <f>IF(BQ858="","",IF(COUNTIF($BQ$3:BQ858,BQ858)=1,MAX($BR$2:BR857)+1,""))</f>
      </c>
      <c r="BS858" s="129">
        <f>IF(AW858="","",COUNTIF($AW$3:AW858,"?*"))</f>
      </c>
      <c r="BT858" s="129">
        <f>IF(OR(AW858="",AI858=""),"",IF(COUNTIFS($AW$3:AW858,"?*",$AI$3:AI858,AI858)=1,MAX($BT$2:BT857)+1,""))</f>
      </c>
      <c r="BU858" s="129">
        <f>IF(AE858="",0,IF(OR(ISNUMBER(SEARCH("дубль",AE858)),ISNUMBER(SEARCH("ПЕРЕГРУЗ",AE858)),ISNUMBER(SEARCH("ЗАЩИЩ",AE858)),ISNUMBER(SEARCH("КАНАЛ",AE858)),ISNUMBER(SEARCH("без 30",AE858))),2,1))</f>
      </c>
      <c r="BV858" s="129">
        <f>IF(R858="","",COUNTIF($R$3:R858,"?*"))</f>
      </c>
      <c r="BW858" s="129">
        <f>IF(AY858&lt;&gt;1,0,IF(MAX(IFERROR(--VLOOKUP(R858,УГО_спр,5,FALSE),0),IFERROR(--VLOOKUP(AL858,УГО_спр,5,FALSE),0),IFERROR(--VLOOKUP(LEFT(AL858,2),УГО_спр,5,FALSE),0))&gt;0,MAX(IFERROR(--VLOOKUP(R858,УГО_спр,5,FALSE),0),IFERROR(--VLOOKUP(AL858,УГО_спр,5,FALSE),0),IFERROR(--VLOOKUP(LEFT(AL858,2),УГО_спр,5,FALSE),0)),IF(IFERROR(--LEFT(SUBSTITUTE(BQ858,"x","х"),FIND("х",SUBSTITUTE(BQ858,"x","х"))-1),3)&gt;3,Каталог!$S$9,1)))</f>
      </c>
      <c r="BX858" s="129">
        <f>IF(AY858&lt;&gt;1,0,MAX(0,IFERROR(--LEFT(SUBSTITUTE(BQ858,"x","х"),FIND("х",SUBSTITUTE(BQ858,"x","х"))-1),3)-3*BW858))</f>
      </c>
      <c r="BY858" s="129">
        <f>IF(R858="","",IFERROR(VLOOKUP(R858,УГО_спр,2,FALSE),IFERROR(VLOOKUP(AL858,УГО_спр,2,FALSE),IFERROR(VLOOKUP(LEFT(AL858,2),УГО_спр,2,FALSE),""))))</f>
      </c>
    </row>
    <row r="859" spans="1:64" x14ac:dyDescent="0.3">
      <c r="A859" s="135">
        <f>IF(Разбивка_по_щитам!F859=0,"",Разбивка_по_щитам!F859)</f>
        <v/>
      </c>
      <c r="B859" s="138">
        <f>IF(A859="","",Разбивка_по_щитам!C859)</f>
        <v/>
      </c>
      <c r="C859" s="138">
        <f t="shared" si="542"/>
        <v/>
      </c>
      <c r="D859" s="266"/>
      <c r="E859" s="266"/>
      <c r="F859" s="267"/>
      <c r="G859" s="145">
        <f t="shared" si="543"/>
        <v/>
      </c>
      <c r="H859" s="145">
        <f t="shared" si="544"/>
        <v/>
      </c>
      <c r="I859" s="266"/>
      <c r="J859" s="267"/>
      <c r="K859" s="267"/>
      <c r="L859" s="266"/>
      <c r="M859" s="147">
        <f t="shared" si="545"/>
        <v/>
      </c>
      <c r="N859" s="267"/>
      <c r="O859" s="147">
        <f t="shared" si="546"/>
        <v/>
      </c>
      <c r="P859" s="268">
        <f>IF(AY859=1,"XT"&amp;COUNTIFS($A$3:A859,A859,$AY$3:AY859,1),"")</f>
        <v/>
      </c>
      <c r="Q859" s="152">
        <f>IF(R859="","",IFERROR(SUBSTITUTE(Разбивка_по_щитам!P859,CHAR(10)," "),""))</f>
        <v/>
      </c>
      <c r="R859" s="153">
        <f>IF(OR(Разбивка_по_щитам!H859="",Разбивка_по_щитам!H859=0),"",Разбивка_по_щитам!H859)</f>
        <v/>
      </c>
      <c r="S859" s="154">
        <f>IF(R859="","",IFERROR(Разбивка_по_щитам!J859&amp;"",""))</f>
        <v/>
      </c>
      <c r="T859" s="155">
        <f>IF(R859="","",IFERROR(--Разбивка_по_щитам!L859,""))</f>
        <v/>
      </c>
      <c r="U859" s="155">
        <f>IF(R859="","",IFERROR(--Разбивка_по_щитам!K859,""))</f>
        <v/>
      </c>
      <c r="V859" s="138">
        <f>IF(R859="","",IFERROR(IF(Разбивка_по_щитам!M859=0,"",Разбивка_по_щитам!M859),""))</f>
        <v/>
      </c>
      <c r="W859" s="156">
        <f t="shared" si="547"/>
        <v/>
      </c>
      <c r="X859" s="157">
        <f t="shared" si="548"/>
        <v/>
      </c>
      <c r="Y859" s="266"/>
      <c r="Z859" s="158">
        <f t="shared" si="549"/>
        <v/>
      </c>
      <c r="AA859" s="160">
        <f t="shared" si="550"/>
        <v/>
      </c>
      <c r="AB859" s="160">
        <f>IF(R859="","",IFERROR(LOOKUP(INDEX(Справочная!$I$4:$I$19,MATCH(VLOOKUP(R859,Исходные_данные,22,FALSE),Справочная!$J$4:$J$19,0)+1),{6,10,16,20,25,32,40,50,63,80,100,125}),""))</f>
        <v/>
      </c>
      <c r="AC859" s="160">
        <f t="shared" si="551"/>
        <v/>
      </c>
      <c r="AD859" s="161">
        <f t="shared" si="552"/>
        <v/>
      </c>
      <c r="AE859" s="161">
        <f>IF(AND(R859="",G859=""),"",_xlfn.TEXTJOIN("; ",TRUE,IF(AND(R859&lt;&gt;"",V859=""),"нет фазы",""),IF(AND(R859&lt;&gt;"",N(T859)=0),"нет мощности",""),IF(AND(P859&lt;&gt;"",COUNTIFS($A$3:$A$1000,A859,$P$3:$P$1000,P859)&gt;1),"дубль клеммы "&amp;P859,""),IF(AND(W859&lt;&gt;"",W859&lt;&gt;"ok"),W859,""),IF(X859&lt;&gt;"",X859,""),IF(AND(ISNUMBER(SEARCH("(5х",Q859)),N(AK859)=1),"5 жил на 1 фазе",""),IF(AND(AL859="R",E859&lt;&gt;"",N(AS859)=0),"розетка без 30 мА",""),IF(IFERROR(_xlfn.NUMBERVALUE(MID(Q859,FIND("-",Q859,FIND("L=",Q859))+1,FIND("%",Q859)-FIND("-",Q859,FIND("L=",Q859))-1),","),0)&gt;4,"потери &gt; 4 %","")))</f>
      </c>
      <c r="AF859" s="129">
        <f>IF(E859&lt;&gt;"",COUNTIFS($A$3:A859,A859,$E$3:E859,"?*"),IF(OR(A859&lt;&gt;A858,Y859="вручную"),"",AF858))</f>
        <v/>
      </c>
      <c r="AG859" s="129">
        <f t="shared" si="553"/>
        <v/>
      </c>
      <c r="AH859" s="129">
        <f t="shared" si="554"/>
        <v/>
      </c>
      <c r="AI859" s="129">
        <f t="shared" si="555"/>
        <v/>
      </c>
      <c r="AJ859" s="129">
        <f t="shared" si="556"/>
        <v/>
      </c>
      <c r="AK859" s="129">
        <f t="shared" si="557"/>
        <v/>
      </c>
      <c r="AL859" s="129">
        <f t="shared" si="558"/>
        <v/>
      </c>
      <c r="AM859" s="129">
        <f t="shared" si="559"/>
      </c>
      <c r="AN859" s="129">
        <f t="shared" si="560"/>
      </c>
      <c r="AO859" s="129">
        <f t="shared" si="561"/>
        <v/>
      </c>
      <c r="AP859" s="129">
        <f t="shared" si="562"/>
        <v/>
      </c>
      <c r="AQ859" s="129">
        <f t="shared" si="563"/>
        <v/>
      </c>
      <c r="AR859" s="129">
        <f t="shared" si="564"/>
        <v/>
      </c>
      <c r="AS859" s="129">
        <f t="shared" si="565"/>
        <v/>
      </c>
      <c r="AT859" s="129">
        <f t="shared" si="566"/>
        <v/>
      </c>
      <c r="AU859" s="129">
        <f t="shared" si="567"/>
        <v/>
      </c>
      <c r="AV859" s="129">
        <f t="shared" si="568"/>
        <v/>
      </c>
      <c r="AW859" s="129">
        <f>IF(AV859="","",AV859&amp;"."&amp;COUNTIFS($A$3:A859,A859,$AV$3:AV859,AV859))</f>
        <v/>
      </c>
      <c r="AX859" s="129">
        <f t="shared" si="569"/>
        <v/>
      </c>
      <c r="AY859" s="129">
        <f>IF(N859="б/к",0,IF(OR(ISNUMBER(SEARCH("L=",Разбивка_по_щитам!P859)),N859="+",N859="="),1,0))</f>
      </c>
      <c r="AZ859" s="129">
        <f t="shared" si="570"/>
        <v/>
      </c>
      <c r="BA859" s="129">
        <f t="shared" si="571"/>
      </c>
      <c r="BB859" s="129">
        <f t="shared" si="572"/>
      </c>
      <c r="BD859" s="129">
        <f t="shared" si="573"/>
      </c>
      <c r="BE859" s="129">
        <f t="shared" si="574"/>
      </c>
      <c r="BF859" s="129">
        <f t="shared" si="575"/>
      </c>
      <c r="BG859" s="129">
        <f t="shared" si="576"/>
        <v/>
      </c>
      <c r="BH859" s="129">
        <f t="shared" si="577"/>
        <v/>
      </c>
      <c r="BI859" s="129">
        <f t="shared" si="578"/>
        <v/>
      </c>
      <c r="BJ859" s="129">
        <f t="shared" si="579"/>
        <v/>
      </c>
      <c r="BK859" s="129">
        <f>IF(R859="","",IF(OR(BY859="",BY859=0),"BOX",IFERROR(IF(VLOOKUP(BY859,УГО_блоки,3,FALSE)&amp;""&lt;&gt;"",VLOOKUP(BY859,УГО_блоки,3,FALSE),VLOOKUP(BY859,УГО_блоки,2,FALSE)),BY859)))</f>
      </c>
      <c r="BL859" s="129">
        <f t="shared" si="581"/>
      </c>
      <c r="BM859" s="129">
        <f>IF(H859="","",IF(COUNTIF($H$3:H859,H859)=1,MAX($BM$2:BM858)+1,""))</f>
      </c>
      <c r="BN859" s="129">
        <f>IF(I859="","",IF(COUNTIF($I$3:I859,I859)+COUNTIF($J$2:J858,I859)+COUNTIF($K$2:K858,I859)=1,MAX($BN$2:BP858)+1,""))</f>
      </c>
      <c r="BO859" s="129">
        <f>IF(J859="","",IF(COUNTIF($I$3:I859,J859)+COUNTIF($J$3:J859,J859)+COUNTIF($K$2:K858,J859)=1,MAX($BN$2:BP858,BN859)+1,""))</f>
      </c>
      <c r="BP859" s="129">
        <f>IF(K859="","",IF(COUNTIF($I$3:I859,K859)+COUNTIF($J$3:J859,K859)+COUNTIF($K$3:K859,K859)=1,MAX($BN$2:BP858,BN859,BO859)+1,""))</f>
      </c>
      <c r="BQ859" s="129">
        <f>IF(AY859=1,IFERROR(MID(Q859,FIND(" (",Q859)+2,FIND(")",Q859,FIND(" (",Q859))-FIND(" (",Q859)-2),"?"),"")</f>
      </c>
      <c r="BR859" s="129">
        <f>IF(BQ859="","",IF(COUNTIF($BQ$3:BQ859,BQ859)=1,MAX($BR$2:BR858)+1,""))</f>
      </c>
      <c r="BS859" s="129">
        <f>IF(AW859="","",COUNTIF($AW$3:AW859,"?*"))</f>
      </c>
      <c r="BT859" s="129">
        <f>IF(OR(AW859="",AI859=""),"",IF(COUNTIFS($AW$3:AW859,"?*",$AI$3:AI859,AI859)=1,MAX($BT$2:BT858)+1,""))</f>
      </c>
      <c r="BU859" s="129">
        <f>IF(AE859="",0,IF(OR(ISNUMBER(SEARCH("дубль",AE859)),ISNUMBER(SEARCH("ПЕРЕГРУЗ",AE859)),ISNUMBER(SEARCH("ЗАЩИЩ",AE859)),ISNUMBER(SEARCH("КАНАЛ",AE859)),ISNUMBER(SEARCH("без 30",AE859))),2,1))</f>
      </c>
      <c r="BV859" s="129">
        <f>IF(R859="","",COUNTIF($R$3:R859,"?*"))</f>
      </c>
      <c r="BW859" s="129">
        <f>IF(AY859&lt;&gt;1,0,IF(MAX(IFERROR(--VLOOKUP(R859,УГО_спр,5,FALSE),0),IFERROR(--VLOOKUP(AL859,УГО_спр,5,FALSE),0),IFERROR(--VLOOKUP(LEFT(AL859,2),УГО_спр,5,FALSE),0))&gt;0,MAX(IFERROR(--VLOOKUP(R859,УГО_спр,5,FALSE),0),IFERROR(--VLOOKUP(AL859,УГО_спр,5,FALSE),0),IFERROR(--VLOOKUP(LEFT(AL859,2),УГО_спр,5,FALSE),0)),IF(IFERROR(--LEFT(SUBSTITUTE(BQ859,"x","х"),FIND("х",SUBSTITUTE(BQ859,"x","х"))-1),3)&gt;3,Каталог!$S$9,1)))</f>
      </c>
      <c r="BX859" s="129">
        <f>IF(AY859&lt;&gt;1,0,MAX(0,IFERROR(--LEFT(SUBSTITUTE(BQ859,"x","х"),FIND("х",SUBSTITUTE(BQ859,"x","х"))-1),3)-3*BW859))</f>
      </c>
      <c r="BY859" s="129">
        <f>IF(R859="","",IFERROR(VLOOKUP(R859,УГО_спр,2,FALSE),IFERROR(VLOOKUP(AL859,УГО_спр,2,FALSE),IFERROR(VLOOKUP(LEFT(AL859,2),УГО_спр,2,FALSE),""))))</f>
      </c>
    </row>
    <row r="860" spans="1:64" x14ac:dyDescent="0.3">
      <c r="A860" s="135">
        <f>IF(Разбивка_по_щитам!F860=0,"",Разбивка_по_щитам!F860)</f>
        <v/>
      </c>
      <c r="B860" s="138">
        <f>IF(A860="","",Разбивка_по_щитам!C860)</f>
        <v/>
      </c>
      <c r="C860" s="138">
        <f t="shared" si="542"/>
        <v/>
      </c>
      <c r="D860" s="266"/>
      <c r="E860" s="266"/>
      <c r="F860" s="267"/>
      <c r="G860" s="145">
        <f t="shared" si="543"/>
        <v/>
      </c>
      <c r="H860" s="145">
        <f t="shared" si="544"/>
        <v/>
      </c>
      <c r="I860" s="266"/>
      <c r="J860" s="267"/>
      <c r="K860" s="267"/>
      <c r="L860" s="266"/>
      <c r="M860" s="147">
        <f t="shared" si="545"/>
        <v/>
      </c>
      <c r="N860" s="267"/>
      <c r="O860" s="147">
        <f t="shared" si="546"/>
        <v/>
      </c>
      <c r="P860" s="268">
        <f>IF(AY860=1,"XT"&amp;COUNTIFS($A$3:A860,A860,$AY$3:AY860,1),"")</f>
        <v/>
      </c>
      <c r="Q860" s="152">
        <f>IF(R860="","",IFERROR(SUBSTITUTE(Разбивка_по_щитам!P860,CHAR(10)," "),""))</f>
        <v/>
      </c>
      <c r="R860" s="153">
        <f>IF(OR(Разбивка_по_щитам!H860="",Разбивка_по_щитам!H860=0),"",Разбивка_по_щитам!H860)</f>
        <v/>
      </c>
      <c r="S860" s="154">
        <f>IF(R860="","",IFERROR(Разбивка_по_щитам!J860&amp;"",""))</f>
        <v/>
      </c>
      <c r="T860" s="155">
        <f>IF(R860="","",IFERROR(--Разбивка_по_щитам!L860,""))</f>
        <v/>
      </c>
      <c r="U860" s="155">
        <f>IF(R860="","",IFERROR(--Разбивка_по_щитам!K860,""))</f>
        <v/>
      </c>
      <c r="V860" s="138">
        <f>IF(R860="","",IFERROR(IF(Разбивка_по_щитам!M860=0,"",Разбивка_по_щитам!M860),""))</f>
        <v/>
      </c>
      <c r="W860" s="156">
        <f t="shared" si="547"/>
        <v/>
      </c>
      <c r="X860" s="157">
        <f t="shared" si="548"/>
        <v/>
      </c>
      <c r="Y860" s="266"/>
      <c r="Z860" s="158">
        <f t="shared" si="549"/>
        <v/>
      </c>
      <c r="AA860" s="160">
        <f t="shared" si="550"/>
        <v/>
      </c>
      <c r="AB860" s="160">
        <f>IF(R860="","",IFERROR(LOOKUP(INDEX(Справочная!$I$4:$I$19,MATCH(VLOOKUP(R860,Исходные_данные,22,FALSE),Справочная!$J$4:$J$19,0)+1),{6,10,16,20,25,32,40,50,63,80,100,125}),""))</f>
        <v/>
      </c>
      <c r="AC860" s="160">
        <f t="shared" si="551"/>
        <v/>
      </c>
      <c r="AD860" s="161">
        <f t="shared" si="552"/>
        <v/>
      </c>
      <c r="AE860" s="161">
        <f>IF(AND(R860="",G860=""),"",_xlfn.TEXTJOIN("; ",TRUE,IF(AND(R860&lt;&gt;"",V860=""),"нет фазы",""),IF(AND(R860&lt;&gt;"",N(T860)=0),"нет мощности",""),IF(AND(P860&lt;&gt;"",COUNTIFS($A$3:$A$1000,A860,$P$3:$P$1000,P860)&gt;1),"дубль клеммы "&amp;P860,""),IF(AND(W860&lt;&gt;"",W860&lt;&gt;"ok"),W860,""),IF(X860&lt;&gt;"",X860,""),IF(AND(ISNUMBER(SEARCH("(5х",Q860)),N(AK860)=1),"5 жил на 1 фазе",""),IF(AND(AL860="R",E860&lt;&gt;"",N(AS860)=0),"розетка без 30 мА",""),IF(IFERROR(_xlfn.NUMBERVALUE(MID(Q860,FIND("-",Q860,FIND("L=",Q860))+1,FIND("%",Q860)-FIND("-",Q860,FIND("L=",Q860))-1),","),0)&gt;4,"потери &gt; 4 %","")))</f>
      </c>
      <c r="AF860" s="129">
        <f>IF(E860&lt;&gt;"",COUNTIFS($A$3:A860,A860,$E$3:E860,"?*"),IF(OR(A860&lt;&gt;A859,Y860="вручную"),"",AF859))</f>
        <v/>
      </c>
      <c r="AG860" s="129">
        <f t="shared" si="553"/>
        <v/>
      </c>
      <c r="AH860" s="129">
        <f t="shared" si="554"/>
        <v/>
      </c>
      <c r="AI860" s="129">
        <f t="shared" si="555"/>
        <v/>
      </c>
      <c r="AJ860" s="129">
        <f t="shared" si="556"/>
        <v/>
      </c>
      <c r="AK860" s="129">
        <f t="shared" si="557"/>
        <v/>
      </c>
      <c r="AL860" s="129">
        <f t="shared" si="558"/>
        <v/>
      </c>
      <c r="AM860" s="129">
        <f t="shared" si="559"/>
      </c>
      <c r="AN860" s="129">
        <f t="shared" si="560"/>
      </c>
      <c r="AO860" s="129">
        <f t="shared" si="561"/>
        <v/>
      </c>
      <c r="AP860" s="129">
        <f t="shared" si="562"/>
        <v/>
      </c>
      <c r="AQ860" s="129">
        <f t="shared" si="563"/>
        <v/>
      </c>
      <c r="AR860" s="129">
        <f t="shared" si="564"/>
        <v/>
      </c>
      <c r="AS860" s="129">
        <f t="shared" si="565"/>
        <v/>
      </c>
      <c r="AT860" s="129">
        <f t="shared" si="566"/>
        <v/>
      </c>
      <c r="AU860" s="129">
        <f t="shared" si="567"/>
        <v/>
      </c>
      <c r="AV860" s="129">
        <f t="shared" si="568"/>
        <v/>
      </c>
      <c r="AW860" s="129">
        <f>IF(AV860="","",AV860&amp;"."&amp;COUNTIFS($A$3:A860,A860,$AV$3:AV860,AV860))</f>
        <v/>
      </c>
      <c r="AX860" s="129">
        <f t="shared" si="569"/>
        <v/>
      </c>
      <c r="AY860" s="129">
        <f>IF(N860="б/к",0,IF(OR(ISNUMBER(SEARCH("L=",Разбивка_по_щитам!P860)),N860="+",N860="="),1,0))</f>
      </c>
      <c r="AZ860" s="129">
        <f t="shared" si="570"/>
        <v/>
      </c>
      <c r="BA860" s="129">
        <f t="shared" si="571"/>
      </c>
      <c r="BB860" s="129">
        <f t="shared" si="572"/>
      </c>
      <c r="BD860" s="129">
        <f t="shared" si="573"/>
      </c>
      <c r="BE860" s="129">
        <f t="shared" si="574"/>
      </c>
      <c r="BF860" s="129">
        <f t="shared" si="575"/>
      </c>
      <c r="BG860" s="129">
        <f t="shared" si="576"/>
        <v/>
      </c>
      <c r="BH860" s="129">
        <f t="shared" si="577"/>
        <v/>
      </c>
      <c r="BI860" s="129">
        <f t="shared" si="578"/>
        <v/>
      </c>
      <c r="BJ860" s="129">
        <f t="shared" si="579"/>
        <v/>
      </c>
      <c r="BK860" s="129">
        <f>IF(R860="","",IF(OR(BY860="",BY860=0),"BOX",IFERROR(IF(VLOOKUP(BY860,УГО_блоки,3,FALSE)&amp;""&lt;&gt;"",VLOOKUP(BY860,УГО_блоки,3,FALSE),VLOOKUP(BY860,УГО_блоки,2,FALSE)),BY860)))</f>
      </c>
      <c r="BL860" s="129">
        <f t="shared" si="581"/>
      </c>
      <c r="BM860" s="129">
        <f>IF(H860="","",IF(COUNTIF($H$3:H860,H860)=1,MAX($BM$2:BM859)+1,""))</f>
      </c>
      <c r="BN860" s="129">
        <f>IF(I860="","",IF(COUNTIF($I$3:I860,I860)+COUNTIF($J$2:J859,I860)+COUNTIF($K$2:K859,I860)=1,MAX($BN$2:BP859)+1,""))</f>
      </c>
      <c r="BO860" s="129">
        <f>IF(J860="","",IF(COUNTIF($I$3:I860,J860)+COUNTIF($J$3:J860,J860)+COUNTIF($K$2:K859,J860)=1,MAX($BN$2:BP859,BN860)+1,""))</f>
      </c>
      <c r="BP860" s="129">
        <f>IF(K860="","",IF(COUNTIF($I$3:I860,K860)+COUNTIF($J$3:J860,K860)+COUNTIF($K$3:K860,K860)=1,MAX($BN$2:BP859,BN860,BO860)+1,""))</f>
      </c>
      <c r="BQ860" s="129">
        <f>IF(AY860=1,IFERROR(MID(Q860,FIND(" (",Q860)+2,FIND(")",Q860,FIND(" (",Q860))-FIND(" (",Q860)-2),"?"),"")</f>
      </c>
      <c r="BR860" s="129">
        <f>IF(BQ860="","",IF(COUNTIF($BQ$3:BQ860,BQ860)=1,MAX($BR$2:BR859)+1,""))</f>
      </c>
      <c r="BS860" s="129">
        <f>IF(AW860="","",COUNTIF($AW$3:AW860,"?*"))</f>
      </c>
      <c r="BT860" s="129">
        <f>IF(OR(AW860="",AI860=""),"",IF(COUNTIFS($AW$3:AW860,"?*",$AI$3:AI860,AI860)=1,MAX($BT$2:BT859)+1,""))</f>
      </c>
      <c r="BU860" s="129">
        <f>IF(AE860="",0,IF(OR(ISNUMBER(SEARCH("дубль",AE860)),ISNUMBER(SEARCH("ПЕРЕГРУЗ",AE860)),ISNUMBER(SEARCH("ЗАЩИЩ",AE860)),ISNUMBER(SEARCH("КАНАЛ",AE860)),ISNUMBER(SEARCH("без 30",AE860))),2,1))</f>
      </c>
      <c r="BV860" s="129">
        <f>IF(R860="","",COUNTIF($R$3:R860,"?*"))</f>
      </c>
      <c r="BW860" s="129">
        <f>IF(AY860&lt;&gt;1,0,IF(MAX(IFERROR(--VLOOKUP(R860,УГО_спр,5,FALSE),0),IFERROR(--VLOOKUP(AL860,УГО_спр,5,FALSE),0),IFERROR(--VLOOKUP(LEFT(AL860,2),УГО_спр,5,FALSE),0))&gt;0,MAX(IFERROR(--VLOOKUP(R860,УГО_спр,5,FALSE),0),IFERROR(--VLOOKUP(AL860,УГО_спр,5,FALSE),0),IFERROR(--VLOOKUP(LEFT(AL860,2),УГО_спр,5,FALSE),0)),IF(IFERROR(--LEFT(SUBSTITUTE(BQ860,"x","х"),FIND("х",SUBSTITUTE(BQ860,"x","х"))-1),3)&gt;3,Каталог!$S$9,1)))</f>
      </c>
      <c r="BX860" s="129">
        <f>IF(AY860&lt;&gt;1,0,MAX(0,IFERROR(--LEFT(SUBSTITUTE(BQ860,"x","х"),FIND("х",SUBSTITUTE(BQ860,"x","х"))-1),3)-3*BW860))</f>
      </c>
      <c r="BY860" s="129">
        <f>IF(R860="","",IFERROR(VLOOKUP(R860,УГО_спр,2,FALSE),IFERROR(VLOOKUP(AL860,УГО_спр,2,FALSE),IFERROR(VLOOKUP(LEFT(AL860,2),УГО_спр,2,FALSE),""))))</f>
      </c>
    </row>
    <row r="861" spans="1:64" x14ac:dyDescent="0.3">
      <c r="A861" s="135">
        <f>IF(Разбивка_по_щитам!F861=0,"",Разбивка_по_щитам!F861)</f>
        <v/>
      </c>
      <c r="B861" s="138">
        <f>IF(A861="","",Разбивка_по_щитам!C861)</f>
        <v/>
      </c>
      <c r="C861" s="138">
        <f t="shared" si="542"/>
        <v/>
      </c>
      <c r="D861" s="266"/>
      <c r="E861" s="266"/>
      <c r="F861" s="267"/>
      <c r="G861" s="145">
        <f t="shared" si="543"/>
        <v/>
      </c>
      <c r="H861" s="145">
        <f t="shared" si="544"/>
        <v/>
      </c>
      <c r="I861" s="266"/>
      <c r="J861" s="267"/>
      <c r="K861" s="267"/>
      <c r="L861" s="266"/>
      <c r="M861" s="147">
        <f t="shared" si="545"/>
        <v/>
      </c>
      <c r="N861" s="267"/>
      <c r="O861" s="147">
        <f t="shared" si="546"/>
        <v/>
      </c>
      <c r="P861" s="268">
        <f>IF(AY861=1,"XT"&amp;COUNTIFS($A$3:A861,A861,$AY$3:AY861,1),"")</f>
        <v/>
      </c>
      <c r="Q861" s="152">
        <f>IF(R861="","",IFERROR(SUBSTITUTE(Разбивка_по_щитам!P861,CHAR(10)," "),""))</f>
        <v/>
      </c>
      <c r="R861" s="153">
        <f>IF(OR(Разбивка_по_щитам!H861="",Разбивка_по_щитам!H861=0),"",Разбивка_по_щитам!H861)</f>
        <v/>
      </c>
      <c r="S861" s="154">
        <f>IF(R861="","",IFERROR(Разбивка_по_щитам!J861&amp;"",""))</f>
        <v/>
      </c>
      <c r="T861" s="155">
        <f>IF(R861="","",IFERROR(--Разбивка_по_щитам!L861,""))</f>
        <v/>
      </c>
      <c r="U861" s="155">
        <f>IF(R861="","",IFERROR(--Разбивка_по_щитам!K861,""))</f>
        <v/>
      </c>
      <c r="V861" s="138">
        <f>IF(R861="","",IFERROR(IF(Разбивка_по_щитам!M861=0,"",Разбивка_по_щитам!M861),""))</f>
        <v/>
      </c>
      <c r="W861" s="156">
        <f t="shared" si="547"/>
        <v/>
      </c>
      <c r="X861" s="157">
        <f t="shared" si="548"/>
        <v/>
      </c>
      <c r="Y861" s="266"/>
      <c r="Z861" s="158">
        <f t="shared" si="549"/>
        <v/>
      </c>
      <c r="AA861" s="160">
        <f t="shared" si="550"/>
        <v/>
      </c>
      <c r="AB861" s="160">
        <f>IF(R861="","",IFERROR(LOOKUP(INDEX(Справочная!$I$4:$I$19,MATCH(VLOOKUP(R861,Исходные_данные,22,FALSE),Справочная!$J$4:$J$19,0)+1),{6,10,16,20,25,32,40,50,63,80,100,125}),""))</f>
        <v/>
      </c>
      <c r="AC861" s="160">
        <f t="shared" si="551"/>
        <v/>
      </c>
      <c r="AD861" s="161">
        <f t="shared" si="552"/>
        <v/>
      </c>
      <c r="AE861" s="161">
        <f>IF(AND(R861="",G861=""),"",_xlfn.TEXTJOIN("; ",TRUE,IF(AND(R861&lt;&gt;"",V861=""),"нет фазы",""),IF(AND(R861&lt;&gt;"",N(T861)=0),"нет мощности",""),IF(AND(P861&lt;&gt;"",COUNTIFS($A$3:$A$1000,A861,$P$3:$P$1000,P861)&gt;1),"дубль клеммы "&amp;P861,""),IF(AND(W861&lt;&gt;"",W861&lt;&gt;"ok"),W861,""),IF(X861&lt;&gt;"",X861,""),IF(AND(ISNUMBER(SEARCH("(5х",Q861)),N(AK861)=1),"5 жил на 1 фазе",""),IF(AND(AL861="R",E861&lt;&gt;"",N(AS861)=0),"розетка без 30 мА",""),IF(IFERROR(_xlfn.NUMBERVALUE(MID(Q861,FIND("-",Q861,FIND("L=",Q861))+1,FIND("%",Q861)-FIND("-",Q861,FIND("L=",Q861))-1),","),0)&gt;4,"потери &gt; 4 %","")))</f>
      </c>
      <c r="AF861" s="129">
        <f>IF(E861&lt;&gt;"",COUNTIFS($A$3:A861,A861,$E$3:E861,"?*"),IF(OR(A861&lt;&gt;A860,Y861="вручную"),"",AF860))</f>
        <v/>
      </c>
      <c r="AG861" s="129">
        <f t="shared" si="553"/>
        <v/>
      </c>
      <c r="AH861" s="129">
        <f t="shared" si="554"/>
        <v/>
      </c>
      <c r="AI861" s="129">
        <f t="shared" si="555"/>
        <v/>
      </c>
      <c r="AJ861" s="129">
        <f t="shared" si="556"/>
        <v/>
      </c>
      <c r="AK861" s="129">
        <f t="shared" si="557"/>
        <v/>
      </c>
      <c r="AL861" s="129">
        <f t="shared" si="558"/>
        <v/>
      </c>
      <c r="AM861" s="129">
        <f t="shared" si="559"/>
      </c>
      <c r="AN861" s="129">
        <f t="shared" si="560"/>
      </c>
      <c r="AO861" s="129">
        <f t="shared" si="561"/>
        <v/>
      </c>
      <c r="AP861" s="129">
        <f t="shared" si="562"/>
        <v/>
      </c>
      <c r="AQ861" s="129">
        <f t="shared" si="563"/>
        <v/>
      </c>
      <c r="AR861" s="129">
        <f t="shared" si="564"/>
        <v/>
      </c>
      <c r="AS861" s="129">
        <f t="shared" si="565"/>
        <v/>
      </c>
      <c r="AT861" s="129">
        <f t="shared" si="566"/>
        <v/>
      </c>
      <c r="AU861" s="129">
        <f t="shared" si="567"/>
        <v/>
      </c>
      <c r="AV861" s="129">
        <f t="shared" si="568"/>
        <v/>
      </c>
      <c r="AW861" s="129">
        <f>IF(AV861="","",AV861&amp;"."&amp;COUNTIFS($A$3:A861,A861,$AV$3:AV861,AV861))</f>
        <v/>
      </c>
      <c r="AX861" s="129">
        <f t="shared" si="569"/>
        <v/>
      </c>
      <c r="AY861" s="129">
        <f>IF(N861="б/к",0,IF(OR(ISNUMBER(SEARCH("L=",Разбивка_по_щитам!P861)),N861="+",N861="="),1,0))</f>
      </c>
      <c r="AZ861" s="129">
        <f t="shared" si="570"/>
        <v/>
      </c>
      <c r="BA861" s="129">
        <f t="shared" si="571"/>
      </c>
      <c r="BB861" s="129">
        <f t="shared" si="572"/>
      </c>
      <c r="BD861" s="129">
        <f t="shared" si="573"/>
      </c>
      <c r="BE861" s="129">
        <f t="shared" si="574"/>
      </c>
      <c r="BF861" s="129">
        <f t="shared" si="575"/>
      </c>
      <c r="BG861" s="129">
        <f t="shared" si="576"/>
        <v/>
      </c>
      <c r="BH861" s="129">
        <f t="shared" si="577"/>
        <v/>
      </c>
      <c r="BI861" s="129">
        <f t="shared" si="578"/>
        <v/>
      </c>
      <c r="BJ861" s="129">
        <f t="shared" si="579"/>
        <v/>
      </c>
      <c r="BK861" s="129">
        <f>IF(R861="","",IF(OR(BY861="",BY861=0),"BOX",IFERROR(IF(VLOOKUP(BY861,УГО_блоки,3,FALSE)&amp;""&lt;&gt;"",VLOOKUP(BY861,УГО_блоки,3,FALSE),VLOOKUP(BY861,УГО_блоки,2,FALSE)),BY861)))</f>
      </c>
      <c r="BL861" s="129">
        <f t="shared" si="581"/>
      </c>
      <c r="BM861" s="129">
        <f>IF(H861="","",IF(COUNTIF($H$3:H861,H861)=1,MAX($BM$2:BM860)+1,""))</f>
      </c>
      <c r="BN861" s="129">
        <f>IF(I861="","",IF(COUNTIF($I$3:I861,I861)+COUNTIF($J$2:J860,I861)+COUNTIF($K$2:K860,I861)=1,MAX($BN$2:BP860)+1,""))</f>
      </c>
      <c r="BO861" s="129">
        <f>IF(J861="","",IF(COUNTIF($I$3:I861,J861)+COUNTIF($J$3:J861,J861)+COUNTIF($K$2:K860,J861)=1,MAX($BN$2:BP860,BN861)+1,""))</f>
      </c>
      <c r="BP861" s="129">
        <f>IF(K861="","",IF(COUNTIF($I$3:I861,K861)+COUNTIF($J$3:J861,K861)+COUNTIF($K$3:K861,K861)=1,MAX($BN$2:BP860,BN861,BO861)+1,""))</f>
      </c>
      <c r="BQ861" s="129">
        <f>IF(AY861=1,IFERROR(MID(Q861,FIND(" (",Q861)+2,FIND(")",Q861,FIND(" (",Q861))-FIND(" (",Q861)-2),"?"),"")</f>
      </c>
      <c r="BR861" s="129">
        <f>IF(BQ861="","",IF(COUNTIF($BQ$3:BQ861,BQ861)=1,MAX($BR$2:BR860)+1,""))</f>
      </c>
      <c r="BS861" s="129">
        <f>IF(AW861="","",COUNTIF($AW$3:AW861,"?*"))</f>
      </c>
      <c r="BT861" s="129">
        <f>IF(OR(AW861="",AI861=""),"",IF(COUNTIFS($AW$3:AW861,"?*",$AI$3:AI861,AI861)=1,MAX($BT$2:BT860)+1,""))</f>
      </c>
      <c r="BU861" s="129">
        <f>IF(AE861="",0,IF(OR(ISNUMBER(SEARCH("дубль",AE861)),ISNUMBER(SEARCH("ПЕРЕГРУЗ",AE861)),ISNUMBER(SEARCH("ЗАЩИЩ",AE861)),ISNUMBER(SEARCH("КАНАЛ",AE861)),ISNUMBER(SEARCH("без 30",AE861))),2,1))</f>
      </c>
      <c r="BV861" s="129">
        <f>IF(R861="","",COUNTIF($R$3:R861,"?*"))</f>
      </c>
      <c r="BW861" s="129">
        <f>IF(AY861&lt;&gt;1,0,IF(MAX(IFERROR(--VLOOKUP(R861,УГО_спр,5,FALSE),0),IFERROR(--VLOOKUP(AL861,УГО_спр,5,FALSE),0),IFERROR(--VLOOKUP(LEFT(AL861,2),УГО_спр,5,FALSE),0))&gt;0,MAX(IFERROR(--VLOOKUP(R861,УГО_спр,5,FALSE),0),IFERROR(--VLOOKUP(AL861,УГО_спр,5,FALSE),0),IFERROR(--VLOOKUP(LEFT(AL861,2),УГО_спр,5,FALSE),0)),IF(IFERROR(--LEFT(SUBSTITUTE(BQ861,"x","х"),FIND("х",SUBSTITUTE(BQ861,"x","х"))-1),3)&gt;3,Каталог!$S$9,1)))</f>
      </c>
      <c r="BX861" s="129">
        <f>IF(AY861&lt;&gt;1,0,MAX(0,IFERROR(--LEFT(SUBSTITUTE(BQ861,"x","х"),FIND("х",SUBSTITUTE(BQ861,"x","х"))-1),3)-3*BW861))</f>
      </c>
      <c r="BY861" s="129">
        <f>IF(R861="","",IFERROR(VLOOKUP(R861,УГО_спр,2,FALSE),IFERROR(VLOOKUP(AL861,УГО_спр,2,FALSE),IFERROR(VLOOKUP(LEFT(AL861,2),УГО_спр,2,FALSE),""))))</f>
      </c>
    </row>
    <row r="862" spans="1:64" x14ac:dyDescent="0.3">
      <c r="A862" s="135">
        <f>IF(Разбивка_по_щитам!F862=0,"",Разбивка_по_щитам!F862)</f>
        <v/>
      </c>
      <c r="B862" s="138">
        <f>IF(A862="","",Разбивка_по_щитам!C862)</f>
        <v/>
      </c>
      <c r="C862" s="138">
        <f t="shared" si="542"/>
        <v/>
      </c>
      <c r="D862" s="266"/>
      <c r="E862" s="266"/>
      <c r="F862" s="267"/>
      <c r="G862" s="145">
        <f t="shared" si="543"/>
        <v/>
      </c>
      <c r="H862" s="145">
        <f t="shared" si="544"/>
        <v/>
      </c>
      <c r="I862" s="266"/>
      <c r="J862" s="267"/>
      <c r="K862" s="267"/>
      <c r="L862" s="266"/>
      <c r="M862" s="147">
        <f t="shared" si="545"/>
        <v/>
      </c>
      <c r="N862" s="267"/>
      <c r="O862" s="147">
        <f t="shared" si="546"/>
        <v/>
      </c>
      <c r="P862" s="268">
        <f>IF(AY862=1,"XT"&amp;COUNTIFS($A$3:A862,A862,$AY$3:AY862,1),"")</f>
        <v/>
      </c>
      <c r="Q862" s="152">
        <f>IF(R862="","",IFERROR(SUBSTITUTE(Разбивка_по_щитам!P862,CHAR(10)," "),""))</f>
        <v/>
      </c>
      <c r="R862" s="153">
        <f>IF(OR(Разбивка_по_щитам!H862="",Разбивка_по_щитам!H862=0),"",Разбивка_по_щитам!H862)</f>
        <v/>
      </c>
      <c r="S862" s="154">
        <f>IF(R862="","",IFERROR(Разбивка_по_щитам!J862&amp;"",""))</f>
        <v/>
      </c>
      <c r="T862" s="155">
        <f>IF(R862="","",IFERROR(--Разбивка_по_щитам!L862,""))</f>
        <v/>
      </c>
      <c r="U862" s="155">
        <f>IF(R862="","",IFERROR(--Разбивка_по_щитам!K862,""))</f>
        <v/>
      </c>
      <c r="V862" s="138">
        <f>IF(R862="","",IFERROR(IF(Разбивка_по_щитам!M862=0,"",Разбивка_по_щитам!M862),""))</f>
        <v/>
      </c>
      <c r="W862" s="156">
        <f t="shared" si="547"/>
        <v/>
      </c>
      <c r="X862" s="157">
        <f t="shared" si="548"/>
        <v/>
      </c>
      <c r="Y862" s="266"/>
      <c r="Z862" s="158">
        <f t="shared" si="549"/>
        <v/>
      </c>
      <c r="AA862" s="160">
        <f t="shared" si="550"/>
        <v/>
      </c>
      <c r="AB862" s="160">
        <f>IF(R862="","",IFERROR(LOOKUP(INDEX(Справочная!$I$4:$I$19,MATCH(VLOOKUP(R862,Исходные_данные,22,FALSE),Справочная!$J$4:$J$19,0)+1),{6,10,16,20,25,32,40,50,63,80,100,125}),""))</f>
        <v/>
      </c>
      <c r="AC862" s="160">
        <f t="shared" si="551"/>
        <v/>
      </c>
      <c r="AD862" s="161">
        <f t="shared" si="552"/>
        <v/>
      </c>
      <c r="AE862" s="161">
        <f>IF(AND(R862="",G862=""),"",_xlfn.TEXTJOIN("; ",TRUE,IF(AND(R862&lt;&gt;"",V862=""),"нет фазы",""),IF(AND(R862&lt;&gt;"",N(T862)=0),"нет мощности",""),IF(AND(P862&lt;&gt;"",COUNTIFS($A$3:$A$1000,A862,$P$3:$P$1000,P862)&gt;1),"дубль клеммы "&amp;P862,""),IF(AND(W862&lt;&gt;"",W862&lt;&gt;"ok"),W862,""),IF(X862&lt;&gt;"",X862,""),IF(AND(ISNUMBER(SEARCH("(5х",Q862)),N(AK862)=1),"5 жил на 1 фазе",""),IF(AND(AL862="R",E862&lt;&gt;"",N(AS862)=0),"розетка без 30 мА",""),IF(IFERROR(_xlfn.NUMBERVALUE(MID(Q862,FIND("-",Q862,FIND("L=",Q862))+1,FIND("%",Q862)-FIND("-",Q862,FIND("L=",Q862))-1),","),0)&gt;4,"потери &gt; 4 %","")))</f>
      </c>
      <c r="AF862" s="129">
        <f>IF(E862&lt;&gt;"",COUNTIFS($A$3:A862,A862,$E$3:E862,"?*"),IF(OR(A862&lt;&gt;A861,Y862="вручную"),"",AF861))</f>
        <v/>
      </c>
      <c r="AG862" s="129">
        <f t="shared" si="553"/>
        <v/>
      </c>
      <c r="AH862" s="129">
        <f t="shared" si="554"/>
        <v/>
      </c>
      <c r="AI862" s="129">
        <f t="shared" si="555"/>
        <v/>
      </c>
      <c r="AJ862" s="129">
        <f t="shared" si="556"/>
        <v/>
      </c>
      <c r="AK862" s="129">
        <f t="shared" si="557"/>
        <v/>
      </c>
      <c r="AL862" s="129">
        <f t="shared" si="558"/>
        <v/>
      </c>
      <c r="AM862" s="129">
        <f t="shared" si="559"/>
      </c>
      <c r="AN862" s="129">
        <f t="shared" si="560"/>
      </c>
      <c r="AO862" s="129">
        <f t="shared" si="561"/>
        <v/>
      </c>
      <c r="AP862" s="129">
        <f t="shared" si="562"/>
        <v/>
      </c>
      <c r="AQ862" s="129">
        <f t="shared" si="563"/>
        <v/>
      </c>
      <c r="AR862" s="129">
        <f t="shared" si="564"/>
        <v/>
      </c>
      <c r="AS862" s="129">
        <f t="shared" si="565"/>
        <v/>
      </c>
      <c r="AT862" s="129">
        <f t="shared" si="566"/>
        <v/>
      </c>
      <c r="AU862" s="129">
        <f t="shared" si="567"/>
        <v/>
      </c>
      <c r="AV862" s="129">
        <f t="shared" si="568"/>
        <v/>
      </c>
      <c r="AW862" s="129">
        <f>IF(AV862="","",AV862&amp;"."&amp;COUNTIFS($A$3:A862,A862,$AV$3:AV862,AV862))</f>
        <v/>
      </c>
      <c r="AX862" s="129">
        <f t="shared" si="569"/>
        <v/>
      </c>
      <c r="AY862" s="129">
        <f>IF(N862="б/к",0,IF(OR(ISNUMBER(SEARCH("L=",Разбивка_по_щитам!P862)),N862="+",N862="="),1,0))</f>
      </c>
      <c r="AZ862" s="129">
        <f t="shared" si="570"/>
        <v/>
      </c>
      <c r="BA862" s="129">
        <f t="shared" si="571"/>
      </c>
      <c r="BB862" s="129">
        <f t="shared" si="572"/>
      </c>
      <c r="BD862" s="129">
        <f t="shared" si="573"/>
      </c>
      <c r="BE862" s="129">
        <f t="shared" si="574"/>
      </c>
      <c r="BF862" s="129">
        <f t="shared" si="575"/>
      </c>
      <c r="BG862" s="129">
        <f t="shared" si="576"/>
        <v/>
      </c>
      <c r="BH862" s="129">
        <f t="shared" si="577"/>
        <v/>
      </c>
      <c r="BI862" s="129">
        <f t="shared" si="578"/>
        <v/>
      </c>
      <c r="BJ862" s="129">
        <f t="shared" si="579"/>
        <v/>
      </c>
      <c r="BK862" s="129">
        <f>IF(R862="","",IF(OR(BY862="",BY862=0),"BOX",IFERROR(IF(VLOOKUP(BY862,УГО_блоки,3,FALSE)&amp;""&lt;&gt;"",VLOOKUP(BY862,УГО_блоки,3,FALSE),VLOOKUP(BY862,УГО_блоки,2,FALSE)),BY862)))</f>
      </c>
      <c r="BL862" s="129">
        <f t="shared" si="581"/>
      </c>
      <c r="BM862" s="129">
        <f>IF(H862="","",IF(COUNTIF($H$3:H862,H862)=1,MAX($BM$2:BM861)+1,""))</f>
      </c>
      <c r="BN862" s="129">
        <f>IF(I862="","",IF(COUNTIF($I$3:I862,I862)+COUNTIF($J$2:J861,I862)+COUNTIF($K$2:K861,I862)=1,MAX($BN$2:BP861)+1,""))</f>
      </c>
      <c r="BO862" s="129">
        <f>IF(J862="","",IF(COUNTIF($I$3:I862,J862)+COUNTIF($J$3:J862,J862)+COUNTIF($K$2:K861,J862)=1,MAX($BN$2:BP861,BN862)+1,""))</f>
      </c>
      <c r="BP862" s="129">
        <f>IF(K862="","",IF(COUNTIF($I$3:I862,K862)+COUNTIF($J$3:J862,K862)+COUNTIF($K$3:K862,K862)=1,MAX($BN$2:BP861,BN862,BO862)+1,""))</f>
      </c>
      <c r="BQ862" s="129">
        <f>IF(AY862=1,IFERROR(MID(Q862,FIND(" (",Q862)+2,FIND(")",Q862,FIND(" (",Q862))-FIND(" (",Q862)-2),"?"),"")</f>
      </c>
      <c r="BR862" s="129">
        <f>IF(BQ862="","",IF(COUNTIF($BQ$3:BQ862,BQ862)=1,MAX($BR$2:BR861)+1,""))</f>
      </c>
      <c r="BS862" s="129">
        <f>IF(AW862="","",COUNTIF($AW$3:AW862,"?*"))</f>
      </c>
      <c r="BT862" s="129">
        <f>IF(OR(AW862="",AI862=""),"",IF(COUNTIFS($AW$3:AW862,"?*",$AI$3:AI862,AI862)=1,MAX($BT$2:BT861)+1,""))</f>
      </c>
      <c r="BU862" s="129">
        <f>IF(AE862="",0,IF(OR(ISNUMBER(SEARCH("дубль",AE862)),ISNUMBER(SEARCH("ПЕРЕГРУЗ",AE862)),ISNUMBER(SEARCH("ЗАЩИЩ",AE862)),ISNUMBER(SEARCH("КАНАЛ",AE862)),ISNUMBER(SEARCH("без 30",AE862))),2,1))</f>
      </c>
      <c r="BV862" s="129">
        <f>IF(R862="","",COUNTIF($R$3:R862,"?*"))</f>
      </c>
      <c r="BW862" s="129">
        <f>IF(AY862&lt;&gt;1,0,IF(MAX(IFERROR(--VLOOKUP(R862,УГО_спр,5,FALSE),0),IFERROR(--VLOOKUP(AL862,УГО_спр,5,FALSE),0),IFERROR(--VLOOKUP(LEFT(AL862,2),УГО_спр,5,FALSE),0))&gt;0,MAX(IFERROR(--VLOOKUP(R862,УГО_спр,5,FALSE),0),IFERROR(--VLOOKUP(AL862,УГО_спр,5,FALSE),0),IFERROR(--VLOOKUP(LEFT(AL862,2),УГО_спр,5,FALSE),0)),IF(IFERROR(--LEFT(SUBSTITUTE(BQ862,"x","х"),FIND("х",SUBSTITUTE(BQ862,"x","х"))-1),3)&gt;3,Каталог!$S$9,1)))</f>
      </c>
      <c r="BX862" s="129">
        <f>IF(AY862&lt;&gt;1,0,MAX(0,IFERROR(--LEFT(SUBSTITUTE(BQ862,"x","х"),FIND("х",SUBSTITUTE(BQ862,"x","х"))-1),3)-3*BW862))</f>
      </c>
      <c r="BY862" s="129">
        <f>IF(R862="","",IFERROR(VLOOKUP(R862,УГО_спр,2,FALSE),IFERROR(VLOOKUP(AL862,УГО_спр,2,FALSE),IFERROR(VLOOKUP(LEFT(AL862,2),УГО_спр,2,FALSE),""))))</f>
      </c>
    </row>
    <row r="863" spans="1:64" x14ac:dyDescent="0.3">
      <c r="A863" s="135">
        <f>IF(Разбивка_по_щитам!F863=0,"",Разбивка_по_щитам!F863)</f>
        <v/>
      </c>
      <c r="B863" s="138">
        <f>IF(A863="","",Разбивка_по_щитам!C863)</f>
        <v/>
      </c>
      <c r="C863" s="138">
        <f t="shared" si="542"/>
        <v/>
      </c>
      <c r="D863" s="266"/>
      <c r="E863" s="266"/>
      <c r="F863" s="267"/>
      <c r="G863" s="145">
        <f t="shared" si="543"/>
        <v/>
      </c>
      <c r="H863" s="145">
        <f t="shared" si="544"/>
        <v/>
      </c>
      <c r="I863" s="266"/>
      <c r="J863" s="267"/>
      <c r="K863" s="267"/>
      <c r="L863" s="266"/>
      <c r="M863" s="147">
        <f t="shared" si="545"/>
        <v/>
      </c>
      <c r="N863" s="267"/>
      <c r="O863" s="147">
        <f t="shared" si="546"/>
        <v/>
      </c>
      <c r="P863" s="268">
        <f>IF(AY863=1,"XT"&amp;COUNTIFS($A$3:A863,A863,$AY$3:AY863,1),"")</f>
        <v/>
      </c>
      <c r="Q863" s="152">
        <f>IF(R863="","",IFERROR(SUBSTITUTE(Разбивка_по_щитам!P863,CHAR(10)," "),""))</f>
        <v/>
      </c>
      <c r="R863" s="153">
        <f>IF(OR(Разбивка_по_щитам!H863="",Разбивка_по_щитам!H863=0),"",Разбивка_по_щитам!H863)</f>
        <v/>
      </c>
      <c r="S863" s="154">
        <f>IF(R863="","",IFERROR(Разбивка_по_щитам!J863&amp;"",""))</f>
        <v/>
      </c>
      <c r="T863" s="155">
        <f>IF(R863="","",IFERROR(--Разбивка_по_щитам!L863,""))</f>
        <v/>
      </c>
      <c r="U863" s="155">
        <f>IF(R863="","",IFERROR(--Разбивка_по_щитам!K863,""))</f>
        <v/>
      </c>
      <c r="V863" s="138">
        <f>IF(R863="","",IFERROR(IF(Разбивка_по_щитам!M863=0,"",Разбивка_по_щитам!M863),""))</f>
        <v/>
      </c>
      <c r="W863" s="156">
        <f t="shared" si="547"/>
        <v/>
      </c>
      <c r="X863" s="157">
        <f t="shared" si="548"/>
        <v/>
      </c>
      <c r="Y863" s="266"/>
      <c r="Z863" s="158">
        <f t="shared" si="549"/>
        <v/>
      </c>
      <c r="AA863" s="160">
        <f t="shared" si="550"/>
        <v/>
      </c>
      <c r="AB863" s="160">
        <f>IF(R863="","",IFERROR(LOOKUP(INDEX(Справочная!$I$4:$I$19,MATCH(VLOOKUP(R863,Исходные_данные,22,FALSE),Справочная!$J$4:$J$19,0)+1),{6,10,16,20,25,32,40,50,63,80,100,125}),""))</f>
        <v/>
      </c>
      <c r="AC863" s="160">
        <f t="shared" si="551"/>
        <v/>
      </c>
      <c r="AD863" s="161">
        <f t="shared" si="552"/>
        <v/>
      </c>
      <c r="AE863" s="161">
        <f>IF(AND(R863="",G863=""),"",_xlfn.TEXTJOIN("; ",TRUE,IF(AND(R863&lt;&gt;"",V863=""),"нет фазы",""),IF(AND(R863&lt;&gt;"",N(T863)=0),"нет мощности",""),IF(AND(P863&lt;&gt;"",COUNTIFS($A$3:$A$1000,A863,$P$3:$P$1000,P863)&gt;1),"дубль клеммы "&amp;P863,""),IF(AND(W863&lt;&gt;"",W863&lt;&gt;"ok"),W863,""),IF(X863&lt;&gt;"",X863,""),IF(AND(ISNUMBER(SEARCH("(5х",Q863)),N(AK863)=1),"5 жил на 1 фазе",""),IF(AND(AL863="R",E863&lt;&gt;"",N(AS863)=0),"розетка без 30 мА",""),IF(IFERROR(_xlfn.NUMBERVALUE(MID(Q863,FIND("-",Q863,FIND("L=",Q863))+1,FIND("%",Q863)-FIND("-",Q863,FIND("L=",Q863))-1),","),0)&gt;4,"потери &gt; 4 %","")))</f>
      </c>
      <c r="AF863" s="129">
        <f>IF(E863&lt;&gt;"",COUNTIFS($A$3:A863,A863,$E$3:E863,"?*"),IF(OR(A863&lt;&gt;A862,Y863="вручную"),"",AF862))</f>
        <v/>
      </c>
      <c r="AG863" s="129">
        <f t="shared" si="553"/>
        <v/>
      </c>
      <c r="AH863" s="129">
        <f t="shared" si="554"/>
        <v/>
      </c>
      <c r="AI863" s="129">
        <f t="shared" si="555"/>
        <v/>
      </c>
      <c r="AJ863" s="129">
        <f t="shared" si="556"/>
        <v/>
      </c>
      <c r="AK863" s="129">
        <f t="shared" si="557"/>
        <v/>
      </c>
      <c r="AL863" s="129">
        <f t="shared" si="558"/>
        <v/>
      </c>
      <c r="AM863" s="129">
        <f t="shared" si="559"/>
      </c>
      <c r="AN863" s="129">
        <f t="shared" si="560"/>
      </c>
      <c r="AO863" s="129">
        <f t="shared" si="561"/>
        <v/>
      </c>
      <c r="AP863" s="129">
        <f t="shared" si="562"/>
        <v/>
      </c>
      <c r="AQ863" s="129">
        <f t="shared" si="563"/>
        <v/>
      </c>
      <c r="AR863" s="129">
        <f t="shared" si="564"/>
        <v/>
      </c>
      <c r="AS863" s="129">
        <f t="shared" si="565"/>
        <v/>
      </c>
      <c r="AT863" s="129">
        <f t="shared" si="566"/>
        <v/>
      </c>
      <c r="AU863" s="129">
        <f t="shared" si="567"/>
        <v/>
      </c>
      <c r="AV863" s="129">
        <f t="shared" si="568"/>
        <v/>
      </c>
      <c r="AW863" s="129">
        <f>IF(AV863="","",AV863&amp;"."&amp;COUNTIFS($A$3:A863,A863,$AV$3:AV863,AV863))</f>
        <v/>
      </c>
      <c r="AX863" s="129">
        <f t="shared" si="569"/>
        <v/>
      </c>
      <c r="AY863" s="129">
        <f>IF(N863="б/к",0,IF(OR(ISNUMBER(SEARCH("L=",Разбивка_по_щитам!P863)),N863="+",N863="="),1,0))</f>
      </c>
      <c r="AZ863" s="129">
        <f t="shared" si="570"/>
        <v/>
      </c>
      <c r="BA863" s="129">
        <f t="shared" si="571"/>
      </c>
      <c r="BB863" s="129">
        <f t="shared" si="572"/>
      </c>
      <c r="BD863" s="129">
        <f t="shared" si="573"/>
      </c>
      <c r="BE863" s="129">
        <f t="shared" si="574"/>
      </c>
      <c r="BF863" s="129">
        <f t="shared" si="575"/>
      </c>
      <c r="BG863" s="129">
        <f t="shared" si="576"/>
        <v/>
      </c>
      <c r="BH863" s="129">
        <f t="shared" si="577"/>
        <v/>
      </c>
      <c r="BI863" s="129">
        <f t="shared" si="578"/>
        <v/>
      </c>
      <c r="BJ863" s="129">
        <f t="shared" si="579"/>
        <v/>
      </c>
      <c r="BK863" s="129">
        <f>IF(R863="","",IF(OR(BY863="",BY863=0),"BOX",IFERROR(IF(VLOOKUP(BY863,УГО_блоки,3,FALSE)&amp;""&lt;&gt;"",VLOOKUP(BY863,УГО_блоки,3,FALSE),VLOOKUP(BY863,УГО_блоки,2,FALSE)),BY863)))</f>
      </c>
      <c r="BL863" s="129">
        <f t="shared" si="581"/>
      </c>
      <c r="BM863" s="129">
        <f>IF(H863="","",IF(COUNTIF($H$3:H863,H863)=1,MAX($BM$2:BM862)+1,""))</f>
      </c>
      <c r="BN863" s="129">
        <f>IF(I863="","",IF(COUNTIF($I$3:I863,I863)+COUNTIF($J$2:J862,I863)+COUNTIF($K$2:K862,I863)=1,MAX($BN$2:BP862)+1,""))</f>
      </c>
      <c r="BO863" s="129">
        <f>IF(J863="","",IF(COUNTIF($I$3:I863,J863)+COUNTIF($J$3:J863,J863)+COUNTIF($K$2:K862,J863)=1,MAX($BN$2:BP862,BN863)+1,""))</f>
      </c>
      <c r="BP863" s="129">
        <f>IF(K863="","",IF(COUNTIF($I$3:I863,K863)+COUNTIF($J$3:J863,K863)+COUNTIF($K$3:K863,K863)=1,MAX($BN$2:BP862,BN863,BO863)+1,""))</f>
      </c>
      <c r="BQ863" s="129">
        <f>IF(AY863=1,IFERROR(MID(Q863,FIND(" (",Q863)+2,FIND(")",Q863,FIND(" (",Q863))-FIND(" (",Q863)-2),"?"),"")</f>
      </c>
      <c r="BR863" s="129">
        <f>IF(BQ863="","",IF(COUNTIF($BQ$3:BQ863,BQ863)=1,MAX($BR$2:BR862)+1,""))</f>
      </c>
      <c r="BS863" s="129">
        <f>IF(AW863="","",COUNTIF($AW$3:AW863,"?*"))</f>
      </c>
      <c r="BT863" s="129">
        <f>IF(OR(AW863="",AI863=""),"",IF(COUNTIFS($AW$3:AW863,"?*",$AI$3:AI863,AI863)=1,MAX($BT$2:BT862)+1,""))</f>
      </c>
      <c r="BU863" s="129">
        <f>IF(AE863="",0,IF(OR(ISNUMBER(SEARCH("дубль",AE863)),ISNUMBER(SEARCH("ПЕРЕГРУЗ",AE863)),ISNUMBER(SEARCH("ЗАЩИЩ",AE863)),ISNUMBER(SEARCH("КАНАЛ",AE863)),ISNUMBER(SEARCH("без 30",AE863))),2,1))</f>
      </c>
      <c r="BV863" s="129">
        <f>IF(R863="","",COUNTIF($R$3:R863,"?*"))</f>
      </c>
      <c r="BW863" s="129">
        <f>IF(AY863&lt;&gt;1,0,IF(MAX(IFERROR(--VLOOKUP(R863,УГО_спр,5,FALSE),0),IFERROR(--VLOOKUP(AL863,УГО_спр,5,FALSE),0),IFERROR(--VLOOKUP(LEFT(AL863,2),УГО_спр,5,FALSE),0))&gt;0,MAX(IFERROR(--VLOOKUP(R863,УГО_спр,5,FALSE),0),IFERROR(--VLOOKUP(AL863,УГО_спр,5,FALSE),0),IFERROR(--VLOOKUP(LEFT(AL863,2),УГО_спр,5,FALSE),0)),IF(IFERROR(--LEFT(SUBSTITUTE(BQ863,"x","х"),FIND("х",SUBSTITUTE(BQ863,"x","х"))-1),3)&gt;3,Каталог!$S$9,1)))</f>
      </c>
      <c r="BX863" s="129">
        <f>IF(AY863&lt;&gt;1,0,MAX(0,IFERROR(--LEFT(SUBSTITUTE(BQ863,"x","х"),FIND("х",SUBSTITUTE(BQ863,"x","х"))-1),3)-3*BW863))</f>
      </c>
      <c r="BY863" s="129">
        <f>IF(R863="","",IFERROR(VLOOKUP(R863,УГО_спр,2,FALSE),IFERROR(VLOOKUP(AL863,УГО_спр,2,FALSE),IFERROR(VLOOKUP(LEFT(AL863,2),УГО_спр,2,FALSE),""))))</f>
      </c>
    </row>
    <row r="864" spans="1:64" x14ac:dyDescent="0.3">
      <c r="A864" s="135">
        <f>IF(Разбивка_по_щитам!F864=0,"",Разбивка_по_щитам!F864)</f>
        <v/>
      </c>
      <c r="B864" s="138">
        <f>IF(A864="","",Разбивка_по_щитам!C864)</f>
        <v/>
      </c>
      <c r="C864" s="138">
        <f t="shared" si="542"/>
        <v/>
      </c>
      <c r="D864" s="266"/>
      <c r="E864" s="266"/>
      <c r="F864" s="267"/>
      <c r="G864" s="145">
        <f t="shared" si="543"/>
        <v/>
      </c>
      <c r="H864" s="145">
        <f t="shared" si="544"/>
        <v/>
      </c>
      <c r="I864" s="266"/>
      <c r="J864" s="267"/>
      <c r="K864" s="267"/>
      <c r="L864" s="266"/>
      <c r="M864" s="147">
        <f t="shared" si="545"/>
        <v/>
      </c>
      <c r="N864" s="267"/>
      <c r="O864" s="147">
        <f t="shared" si="546"/>
        <v/>
      </c>
      <c r="P864" s="268">
        <f>IF(AY864=1,"XT"&amp;COUNTIFS($A$3:A864,A864,$AY$3:AY864,1),"")</f>
        <v/>
      </c>
      <c r="Q864" s="152">
        <f>IF(R864="","",IFERROR(SUBSTITUTE(Разбивка_по_щитам!P864,CHAR(10)," "),""))</f>
        <v/>
      </c>
      <c r="R864" s="153">
        <f>IF(OR(Разбивка_по_щитам!H864="",Разбивка_по_щитам!H864=0),"",Разбивка_по_щитам!H864)</f>
        <v/>
      </c>
      <c r="S864" s="154">
        <f>IF(R864="","",IFERROR(Разбивка_по_щитам!J864&amp;"",""))</f>
        <v/>
      </c>
      <c r="T864" s="155">
        <f>IF(R864="","",IFERROR(--Разбивка_по_щитам!L864,""))</f>
        <v/>
      </c>
      <c r="U864" s="155">
        <f>IF(R864="","",IFERROR(--Разбивка_по_щитам!K864,""))</f>
        <v/>
      </c>
      <c r="V864" s="138">
        <f>IF(R864="","",IFERROR(IF(Разбивка_по_щитам!M864=0,"",Разбивка_по_щитам!M864),""))</f>
        <v/>
      </c>
      <c r="W864" s="156">
        <f t="shared" si="547"/>
        <v/>
      </c>
      <c r="X864" s="157">
        <f t="shared" si="548"/>
        <v/>
      </c>
      <c r="Y864" s="266"/>
      <c r="Z864" s="158">
        <f t="shared" si="549"/>
        <v/>
      </c>
      <c r="AA864" s="160">
        <f t="shared" si="550"/>
        <v/>
      </c>
      <c r="AB864" s="160">
        <f>IF(R864="","",IFERROR(LOOKUP(INDEX(Справочная!$I$4:$I$19,MATCH(VLOOKUP(R864,Исходные_данные,22,FALSE),Справочная!$J$4:$J$19,0)+1),{6,10,16,20,25,32,40,50,63,80,100,125}),""))</f>
        <v/>
      </c>
      <c r="AC864" s="160">
        <f t="shared" si="551"/>
        <v/>
      </c>
      <c r="AD864" s="161">
        <f t="shared" si="552"/>
        <v/>
      </c>
      <c r="AE864" s="161">
        <f>IF(AND(R864="",G864=""),"",_xlfn.TEXTJOIN("; ",TRUE,IF(AND(R864&lt;&gt;"",V864=""),"нет фазы",""),IF(AND(R864&lt;&gt;"",N(T864)=0),"нет мощности",""),IF(AND(P864&lt;&gt;"",COUNTIFS($A$3:$A$1000,A864,$P$3:$P$1000,P864)&gt;1),"дубль клеммы "&amp;P864,""),IF(AND(W864&lt;&gt;"",W864&lt;&gt;"ok"),W864,""),IF(X864&lt;&gt;"",X864,""),IF(AND(ISNUMBER(SEARCH("(5х",Q864)),N(AK864)=1),"5 жил на 1 фазе",""),IF(AND(AL864="R",E864&lt;&gt;"",N(AS864)=0),"розетка без 30 мА",""),IF(IFERROR(_xlfn.NUMBERVALUE(MID(Q864,FIND("-",Q864,FIND("L=",Q864))+1,FIND("%",Q864)-FIND("-",Q864,FIND("L=",Q864))-1),","),0)&gt;4,"потери &gt; 4 %","")))</f>
      </c>
      <c r="AF864" s="129">
        <f>IF(E864&lt;&gt;"",COUNTIFS($A$3:A864,A864,$E$3:E864,"?*"),IF(OR(A864&lt;&gt;A863,Y864="вручную"),"",AF863))</f>
        <v/>
      </c>
      <c r="AG864" s="129">
        <f t="shared" si="553"/>
        <v/>
      </c>
      <c r="AH864" s="129">
        <f t="shared" si="554"/>
        <v/>
      </c>
      <c r="AI864" s="129">
        <f t="shared" si="555"/>
        <v/>
      </c>
      <c r="AJ864" s="129">
        <f t="shared" si="556"/>
        <v/>
      </c>
      <c r="AK864" s="129">
        <f t="shared" si="557"/>
        <v/>
      </c>
      <c r="AL864" s="129">
        <f t="shared" si="558"/>
        <v/>
      </c>
      <c r="AM864" s="129">
        <f t="shared" si="559"/>
      </c>
      <c r="AN864" s="129">
        <f t="shared" si="560"/>
      </c>
      <c r="AO864" s="129">
        <f t="shared" si="561"/>
        <v/>
      </c>
      <c r="AP864" s="129">
        <f t="shared" si="562"/>
        <v/>
      </c>
      <c r="AQ864" s="129">
        <f t="shared" si="563"/>
        <v/>
      </c>
      <c r="AR864" s="129">
        <f t="shared" si="564"/>
        <v/>
      </c>
      <c r="AS864" s="129">
        <f t="shared" si="565"/>
        <v/>
      </c>
      <c r="AT864" s="129">
        <f t="shared" si="566"/>
        <v/>
      </c>
      <c r="AU864" s="129">
        <f t="shared" si="567"/>
        <v/>
      </c>
      <c r="AV864" s="129">
        <f t="shared" si="568"/>
        <v/>
      </c>
      <c r="AW864" s="129">
        <f>IF(AV864="","",AV864&amp;"."&amp;COUNTIFS($A$3:A864,A864,$AV$3:AV864,AV864))</f>
        <v/>
      </c>
      <c r="AX864" s="129">
        <f t="shared" si="569"/>
        <v/>
      </c>
      <c r="AY864" s="129">
        <f>IF(N864="б/к",0,IF(OR(ISNUMBER(SEARCH("L=",Разбивка_по_щитам!P864)),N864="+",N864="="),1,0))</f>
      </c>
      <c r="AZ864" s="129">
        <f t="shared" si="570"/>
        <v/>
      </c>
      <c r="BA864" s="129">
        <f t="shared" si="571"/>
      </c>
      <c r="BB864" s="129">
        <f t="shared" si="572"/>
      </c>
      <c r="BD864" s="129">
        <f t="shared" si="573"/>
      </c>
      <c r="BE864" s="129">
        <f t="shared" si="574"/>
      </c>
      <c r="BF864" s="129">
        <f t="shared" si="575"/>
      </c>
      <c r="BG864" s="129">
        <f t="shared" si="576"/>
        <v/>
      </c>
      <c r="BH864" s="129">
        <f t="shared" si="577"/>
        <v/>
      </c>
      <c r="BI864" s="129">
        <f t="shared" si="578"/>
        <v/>
      </c>
      <c r="BJ864" s="129">
        <f t="shared" si="579"/>
        <v/>
      </c>
      <c r="BK864" s="129">
        <f>IF(R864="","",IF(OR(BY864="",BY864=0),"BOX",IFERROR(IF(VLOOKUP(BY864,УГО_блоки,3,FALSE)&amp;""&lt;&gt;"",VLOOKUP(BY864,УГО_блоки,3,FALSE),VLOOKUP(BY864,УГО_блоки,2,FALSE)),BY864)))</f>
      </c>
      <c r="BL864" s="129">
        <f t="shared" si="581"/>
      </c>
      <c r="BM864" s="129">
        <f>IF(H864="","",IF(COUNTIF($H$3:H864,H864)=1,MAX($BM$2:BM863)+1,""))</f>
      </c>
      <c r="BN864" s="129">
        <f>IF(I864="","",IF(COUNTIF($I$3:I864,I864)+COUNTIF($J$2:J863,I864)+COUNTIF($K$2:K863,I864)=1,MAX($BN$2:BP863)+1,""))</f>
      </c>
      <c r="BO864" s="129">
        <f>IF(J864="","",IF(COUNTIF($I$3:I864,J864)+COUNTIF($J$3:J864,J864)+COUNTIF($K$2:K863,J864)=1,MAX($BN$2:BP863,BN864)+1,""))</f>
      </c>
      <c r="BP864" s="129">
        <f>IF(K864="","",IF(COUNTIF($I$3:I864,K864)+COUNTIF($J$3:J864,K864)+COUNTIF($K$3:K864,K864)=1,MAX($BN$2:BP863,BN864,BO864)+1,""))</f>
      </c>
      <c r="BQ864" s="129">
        <f>IF(AY864=1,IFERROR(MID(Q864,FIND(" (",Q864)+2,FIND(")",Q864,FIND(" (",Q864))-FIND(" (",Q864)-2),"?"),"")</f>
      </c>
      <c r="BR864" s="129">
        <f>IF(BQ864="","",IF(COUNTIF($BQ$3:BQ864,BQ864)=1,MAX($BR$2:BR863)+1,""))</f>
      </c>
      <c r="BS864" s="129">
        <f>IF(AW864="","",COUNTIF($AW$3:AW864,"?*"))</f>
      </c>
      <c r="BT864" s="129">
        <f>IF(OR(AW864="",AI864=""),"",IF(COUNTIFS($AW$3:AW864,"?*",$AI$3:AI864,AI864)=1,MAX($BT$2:BT863)+1,""))</f>
      </c>
      <c r="BU864" s="129">
        <f>IF(AE864="",0,IF(OR(ISNUMBER(SEARCH("дубль",AE864)),ISNUMBER(SEARCH("ПЕРЕГРУЗ",AE864)),ISNUMBER(SEARCH("ЗАЩИЩ",AE864)),ISNUMBER(SEARCH("КАНАЛ",AE864)),ISNUMBER(SEARCH("без 30",AE864))),2,1))</f>
      </c>
      <c r="BV864" s="129">
        <f>IF(R864="","",COUNTIF($R$3:R864,"?*"))</f>
      </c>
      <c r="BW864" s="129">
        <f>IF(AY864&lt;&gt;1,0,IF(MAX(IFERROR(--VLOOKUP(R864,УГО_спр,5,FALSE),0),IFERROR(--VLOOKUP(AL864,УГО_спр,5,FALSE),0),IFERROR(--VLOOKUP(LEFT(AL864,2),УГО_спр,5,FALSE),0))&gt;0,MAX(IFERROR(--VLOOKUP(R864,УГО_спр,5,FALSE),0),IFERROR(--VLOOKUP(AL864,УГО_спр,5,FALSE),0),IFERROR(--VLOOKUP(LEFT(AL864,2),УГО_спр,5,FALSE),0)),IF(IFERROR(--LEFT(SUBSTITUTE(BQ864,"x","х"),FIND("х",SUBSTITUTE(BQ864,"x","х"))-1),3)&gt;3,Каталог!$S$9,1)))</f>
      </c>
      <c r="BX864" s="129">
        <f>IF(AY864&lt;&gt;1,0,MAX(0,IFERROR(--LEFT(SUBSTITUTE(BQ864,"x","х"),FIND("х",SUBSTITUTE(BQ864,"x","х"))-1),3)-3*BW864))</f>
      </c>
      <c r="BY864" s="129">
        <f>IF(R864="","",IFERROR(VLOOKUP(R864,УГО_спр,2,FALSE),IFERROR(VLOOKUP(AL864,УГО_спр,2,FALSE),IFERROR(VLOOKUP(LEFT(AL864,2),УГО_спр,2,FALSE),""))))</f>
      </c>
    </row>
    <row r="865" spans="1:64" x14ac:dyDescent="0.3">
      <c r="A865" s="135">
        <f>IF(Разбивка_по_щитам!F865=0,"",Разбивка_по_щитам!F865)</f>
        <v/>
      </c>
      <c r="B865" s="138">
        <f>IF(A865="","",Разбивка_по_щитам!C865)</f>
        <v/>
      </c>
      <c r="C865" s="138">
        <f t="shared" si="542"/>
        <v/>
      </c>
      <c r="D865" s="266"/>
      <c r="E865" s="266"/>
      <c r="F865" s="267"/>
      <c r="G865" s="145">
        <f t="shared" si="543"/>
        <v/>
      </c>
      <c r="H865" s="145">
        <f t="shared" si="544"/>
        <v/>
      </c>
      <c r="I865" s="266"/>
      <c r="J865" s="267"/>
      <c r="K865" s="267"/>
      <c r="L865" s="266"/>
      <c r="M865" s="147">
        <f t="shared" si="545"/>
        <v/>
      </c>
      <c r="N865" s="267"/>
      <c r="O865" s="147">
        <f t="shared" si="546"/>
        <v/>
      </c>
      <c r="P865" s="268">
        <f>IF(AY865=1,"XT"&amp;COUNTIFS($A$3:A865,A865,$AY$3:AY865,1),"")</f>
        <v/>
      </c>
      <c r="Q865" s="152">
        <f>IF(R865="","",IFERROR(SUBSTITUTE(Разбивка_по_щитам!P865,CHAR(10)," "),""))</f>
        <v/>
      </c>
      <c r="R865" s="153">
        <f>IF(OR(Разбивка_по_щитам!H865="",Разбивка_по_щитам!H865=0),"",Разбивка_по_щитам!H865)</f>
        <v/>
      </c>
      <c r="S865" s="154">
        <f>IF(R865="","",IFERROR(Разбивка_по_щитам!J865&amp;"",""))</f>
        <v/>
      </c>
      <c r="T865" s="155">
        <f>IF(R865="","",IFERROR(--Разбивка_по_щитам!L865,""))</f>
        <v/>
      </c>
      <c r="U865" s="155">
        <f>IF(R865="","",IFERROR(--Разбивка_по_щитам!K865,""))</f>
        <v/>
      </c>
      <c r="V865" s="138">
        <f>IF(R865="","",IFERROR(IF(Разбивка_по_щитам!M865=0,"",Разбивка_по_щитам!M865),""))</f>
        <v/>
      </c>
      <c r="W865" s="156">
        <f t="shared" si="547"/>
        <v/>
      </c>
      <c r="X865" s="157">
        <f t="shared" si="548"/>
        <v/>
      </c>
      <c r="Y865" s="266"/>
      <c r="Z865" s="158">
        <f t="shared" si="549"/>
        <v/>
      </c>
      <c r="AA865" s="160">
        <f t="shared" si="550"/>
        <v/>
      </c>
      <c r="AB865" s="160">
        <f>IF(R865="","",IFERROR(LOOKUP(INDEX(Справочная!$I$4:$I$19,MATCH(VLOOKUP(R865,Исходные_данные,22,FALSE),Справочная!$J$4:$J$19,0)+1),{6,10,16,20,25,32,40,50,63,80,100,125}),""))</f>
        <v/>
      </c>
      <c r="AC865" s="160">
        <f t="shared" si="551"/>
        <v/>
      </c>
      <c r="AD865" s="161">
        <f t="shared" si="552"/>
        <v/>
      </c>
      <c r="AE865" s="161">
        <f>IF(AND(R865="",G865=""),"",_xlfn.TEXTJOIN("; ",TRUE,IF(AND(R865&lt;&gt;"",V865=""),"нет фазы",""),IF(AND(R865&lt;&gt;"",N(T865)=0),"нет мощности",""),IF(AND(P865&lt;&gt;"",COUNTIFS($A$3:$A$1000,A865,$P$3:$P$1000,P865)&gt;1),"дубль клеммы "&amp;P865,""),IF(AND(W865&lt;&gt;"",W865&lt;&gt;"ok"),W865,""),IF(X865&lt;&gt;"",X865,""),IF(AND(ISNUMBER(SEARCH("(5х",Q865)),N(AK865)=1),"5 жил на 1 фазе",""),IF(AND(AL865="R",E865&lt;&gt;"",N(AS865)=0),"розетка без 30 мА",""),IF(IFERROR(_xlfn.NUMBERVALUE(MID(Q865,FIND("-",Q865,FIND("L=",Q865))+1,FIND("%",Q865)-FIND("-",Q865,FIND("L=",Q865))-1),","),0)&gt;4,"потери &gt; 4 %","")))</f>
      </c>
      <c r="AF865" s="129">
        <f>IF(E865&lt;&gt;"",COUNTIFS($A$3:A865,A865,$E$3:E865,"?*"),IF(OR(A865&lt;&gt;A864,Y865="вручную"),"",AF864))</f>
        <v/>
      </c>
      <c r="AG865" s="129">
        <f t="shared" si="553"/>
        <v/>
      </c>
      <c r="AH865" s="129">
        <f t="shared" si="554"/>
        <v/>
      </c>
      <c r="AI865" s="129">
        <f t="shared" si="555"/>
        <v/>
      </c>
      <c r="AJ865" s="129">
        <f t="shared" si="556"/>
        <v/>
      </c>
      <c r="AK865" s="129">
        <f t="shared" si="557"/>
        <v/>
      </c>
      <c r="AL865" s="129">
        <f t="shared" si="558"/>
        <v/>
      </c>
      <c r="AM865" s="129">
        <f t="shared" si="559"/>
      </c>
      <c r="AN865" s="129">
        <f t="shared" si="560"/>
      </c>
      <c r="AO865" s="129">
        <f t="shared" si="561"/>
        <v/>
      </c>
      <c r="AP865" s="129">
        <f t="shared" si="562"/>
        <v/>
      </c>
      <c r="AQ865" s="129">
        <f t="shared" si="563"/>
        <v/>
      </c>
      <c r="AR865" s="129">
        <f t="shared" si="564"/>
        <v/>
      </c>
      <c r="AS865" s="129">
        <f t="shared" si="565"/>
        <v/>
      </c>
      <c r="AT865" s="129">
        <f t="shared" si="566"/>
        <v/>
      </c>
      <c r="AU865" s="129">
        <f t="shared" si="567"/>
        <v/>
      </c>
      <c r="AV865" s="129">
        <f t="shared" si="568"/>
        <v/>
      </c>
      <c r="AW865" s="129">
        <f>IF(AV865="","",AV865&amp;"."&amp;COUNTIFS($A$3:A865,A865,$AV$3:AV865,AV865))</f>
        <v/>
      </c>
      <c r="AX865" s="129">
        <f t="shared" si="569"/>
        <v/>
      </c>
      <c r="AY865" s="129">
        <f>IF(N865="б/к",0,IF(OR(ISNUMBER(SEARCH("L=",Разбивка_по_щитам!P865)),N865="+",N865="="),1,0))</f>
      </c>
      <c r="AZ865" s="129">
        <f t="shared" si="570"/>
        <v/>
      </c>
      <c r="BA865" s="129">
        <f t="shared" si="571"/>
      </c>
      <c r="BB865" s="129">
        <f t="shared" si="572"/>
      </c>
      <c r="BD865" s="129">
        <f t="shared" si="573"/>
      </c>
      <c r="BE865" s="129">
        <f t="shared" si="574"/>
      </c>
      <c r="BF865" s="129">
        <f t="shared" si="575"/>
      </c>
      <c r="BG865" s="129">
        <f t="shared" si="576"/>
        <v/>
      </c>
      <c r="BH865" s="129">
        <f t="shared" si="577"/>
        <v/>
      </c>
      <c r="BI865" s="129">
        <f t="shared" si="578"/>
        <v/>
      </c>
      <c r="BJ865" s="129">
        <f t="shared" si="579"/>
        <v/>
      </c>
      <c r="BK865" s="129">
        <f>IF(R865="","",IF(OR(BY865="",BY865=0),"BOX",IFERROR(IF(VLOOKUP(BY865,УГО_блоки,3,FALSE)&amp;""&lt;&gt;"",VLOOKUP(BY865,УГО_блоки,3,FALSE),VLOOKUP(BY865,УГО_блоки,2,FALSE)),BY865)))</f>
      </c>
      <c r="BL865" s="129">
        <f t="shared" si="581"/>
      </c>
      <c r="BM865" s="129">
        <f>IF(H865="","",IF(COUNTIF($H$3:H865,H865)=1,MAX($BM$2:BM864)+1,""))</f>
      </c>
      <c r="BN865" s="129">
        <f>IF(I865="","",IF(COUNTIF($I$3:I865,I865)+COUNTIF($J$2:J864,I865)+COUNTIF($K$2:K864,I865)=1,MAX($BN$2:BP864)+1,""))</f>
      </c>
      <c r="BO865" s="129">
        <f>IF(J865="","",IF(COUNTIF($I$3:I865,J865)+COUNTIF($J$3:J865,J865)+COUNTIF($K$2:K864,J865)=1,MAX($BN$2:BP864,BN865)+1,""))</f>
      </c>
      <c r="BP865" s="129">
        <f>IF(K865="","",IF(COUNTIF($I$3:I865,K865)+COUNTIF($J$3:J865,K865)+COUNTIF($K$3:K865,K865)=1,MAX($BN$2:BP864,BN865,BO865)+1,""))</f>
      </c>
      <c r="BQ865" s="129">
        <f>IF(AY865=1,IFERROR(MID(Q865,FIND(" (",Q865)+2,FIND(")",Q865,FIND(" (",Q865))-FIND(" (",Q865)-2),"?"),"")</f>
      </c>
      <c r="BR865" s="129">
        <f>IF(BQ865="","",IF(COUNTIF($BQ$3:BQ865,BQ865)=1,MAX($BR$2:BR864)+1,""))</f>
      </c>
      <c r="BS865" s="129">
        <f>IF(AW865="","",COUNTIF($AW$3:AW865,"?*"))</f>
      </c>
      <c r="BT865" s="129">
        <f>IF(OR(AW865="",AI865=""),"",IF(COUNTIFS($AW$3:AW865,"?*",$AI$3:AI865,AI865)=1,MAX($BT$2:BT864)+1,""))</f>
      </c>
      <c r="BU865" s="129">
        <f>IF(AE865="",0,IF(OR(ISNUMBER(SEARCH("дубль",AE865)),ISNUMBER(SEARCH("ПЕРЕГРУЗ",AE865)),ISNUMBER(SEARCH("ЗАЩИЩ",AE865)),ISNUMBER(SEARCH("КАНАЛ",AE865)),ISNUMBER(SEARCH("без 30",AE865))),2,1))</f>
      </c>
      <c r="BV865" s="129">
        <f>IF(R865="","",COUNTIF($R$3:R865,"?*"))</f>
      </c>
      <c r="BW865" s="129">
        <f>IF(AY865&lt;&gt;1,0,IF(MAX(IFERROR(--VLOOKUP(R865,УГО_спр,5,FALSE),0),IFERROR(--VLOOKUP(AL865,УГО_спр,5,FALSE),0),IFERROR(--VLOOKUP(LEFT(AL865,2),УГО_спр,5,FALSE),0))&gt;0,MAX(IFERROR(--VLOOKUP(R865,УГО_спр,5,FALSE),0),IFERROR(--VLOOKUP(AL865,УГО_спр,5,FALSE),0),IFERROR(--VLOOKUP(LEFT(AL865,2),УГО_спр,5,FALSE),0)),IF(IFERROR(--LEFT(SUBSTITUTE(BQ865,"x","х"),FIND("х",SUBSTITUTE(BQ865,"x","х"))-1),3)&gt;3,Каталог!$S$9,1)))</f>
      </c>
      <c r="BX865" s="129">
        <f>IF(AY865&lt;&gt;1,0,MAX(0,IFERROR(--LEFT(SUBSTITUTE(BQ865,"x","х"),FIND("х",SUBSTITUTE(BQ865,"x","х"))-1),3)-3*BW865))</f>
      </c>
      <c r="BY865" s="129">
        <f>IF(R865="","",IFERROR(VLOOKUP(R865,УГО_спр,2,FALSE),IFERROR(VLOOKUP(AL865,УГО_спр,2,FALSE),IFERROR(VLOOKUP(LEFT(AL865,2),УГО_спр,2,FALSE),""))))</f>
      </c>
    </row>
    <row r="866" spans="1:64" x14ac:dyDescent="0.3">
      <c r="A866" s="135">
        <f>IF(Разбивка_по_щитам!F866=0,"",Разбивка_по_щитам!F866)</f>
        <v/>
      </c>
      <c r="B866" s="138">
        <f>IF(A866="","",Разбивка_по_щитам!C866)</f>
        <v/>
      </c>
      <c r="C866" s="138">
        <f t="shared" si="542"/>
        <v/>
      </c>
      <c r="D866" s="266"/>
      <c r="E866" s="266"/>
      <c r="F866" s="267"/>
      <c r="G866" s="145">
        <f t="shared" si="543"/>
        <v/>
      </c>
      <c r="H866" s="145">
        <f t="shared" si="544"/>
        <v/>
      </c>
      <c r="I866" s="266"/>
      <c r="J866" s="267"/>
      <c r="K866" s="267"/>
      <c r="L866" s="266"/>
      <c r="M866" s="147">
        <f t="shared" si="545"/>
        <v/>
      </c>
      <c r="N866" s="267"/>
      <c r="O866" s="147">
        <f t="shared" si="546"/>
        <v/>
      </c>
      <c r="P866" s="268">
        <f>IF(AY866=1,"XT"&amp;COUNTIFS($A$3:A866,A866,$AY$3:AY866,1),"")</f>
        <v/>
      </c>
      <c r="Q866" s="152">
        <f>IF(R866="","",IFERROR(SUBSTITUTE(Разбивка_по_щитам!P866,CHAR(10)," "),""))</f>
        <v/>
      </c>
      <c r="R866" s="153">
        <f>IF(OR(Разбивка_по_щитам!H866="",Разбивка_по_щитам!H866=0),"",Разбивка_по_щитам!H866)</f>
        <v/>
      </c>
      <c r="S866" s="154">
        <f>IF(R866="","",IFERROR(Разбивка_по_щитам!J866&amp;"",""))</f>
        <v/>
      </c>
      <c r="T866" s="155">
        <f>IF(R866="","",IFERROR(--Разбивка_по_щитам!L866,""))</f>
        <v/>
      </c>
      <c r="U866" s="155">
        <f>IF(R866="","",IFERROR(--Разбивка_по_щитам!K866,""))</f>
        <v/>
      </c>
      <c r="V866" s="138">
        <f>IF(R866="","",IFERROR(IF(Разбивка_по_щитам!M866=0,"",Разбивка_по_щитам!M866),""))</f>
        <v/>
      </c>
      <c r="W866" s="156">
        <f t="shared" si="547"/>
        <v/>
      </c>
      <c r="X866" s="157">
        <f t="shared" si="548"/>
        <v/>
      </c>
      <c r="Y866" s="266"/>
      <c r="Z866" s="158">
        <f t="shared" si="549"/>
        <v/>
      </c>
      <c r="AA866" s="160">
        <f t="shared" si="550"/>
        <v/>
      </c>
      <c r="AB866" s="160">
        <f>IF(R866="","",IFERROR(LOOKUP(INDEX(Справочная!$I$4:$I$19,MATCH(VLOOKUP(R866,Исходные_данные,22,FALSE),Справочная!$J$4:$J$19,0)+1),{6,10,16,20,25,32,40,50,63,80,100,125}),""))</f>
        <v/>
      </c>
      <c r="AC866" s="160">
        <f t="shared" si="551"/>
        <v/>
      </c>
      <c r="AD866" s="161">
        <f t="shared" si="552"/>
        <v/>
      </c>
      <c r="AE866" s="161">
        <f>IF(AND(R866="",G866=""),"",_xlfn.TEXTJOIN("; ",TRUE,IF(AND(R866&lt;&gt;"",V866=""),"нет фазы",""),IF(AND(R866&lt;&gt;"",N(T866)=0),"нет мощности",""),IF(AND(P866&lt;&gt;"",COUNTIFS($A$3:$A$1000,A866,$P$3:$P$1000,P866)&gt;1),"дубль клеммы "&amp;P866,""),IF(AND(W866&lt;&gt;"",W866&lt;&gt;"ok"),W866,""),IF(X866&lt;&gt;"",X866,""),IF(AND(ISNUMBER(SEARCH("(5х",Q866)),N(AK866)=1),"5 жил на 1 фазе",""),IF(AND(AL866="R",E866&lt;&gt;"",N(AS866)=0),"розетка без 30 мА",""),IF(IFERROR(_xlfn.NUMBERVALUE(MID(Q866,FIND("-",Q866,FIND("L=",Q866))+1,FIND("%",Q866)-FIND("-",Q866,FIND("L=",Q866))-1),","),0)&gt;4,"потери &gt; 4 %","")))</f>
      </c>
      <c r="AF866" s="129">
        <f>IF(E866&lt;&gt;"",COUNTIFS($A$3:A866,A866,$E$3:E866,"?*"),IF(OR(A866&lt;&gt;A865,Y866="вручную"),"",AF865))</f>
        <v/>
      </c>
      <c r="AG866" s="129">
        <f t="shared" si="553"/>
        <v/>
      </c>
      <c r="AH866" s="129">
        <f t="shared" si="554"/>
        <v/>
      </c>
      <c r="AI866" s="129">
        <f t="shared" si="555"/>
        <v/>
      </c>
      <c r="AJ866" s="129">
        <f t="shared" si="556"/>
        <v/>
      </c>
      <c r="AK866" s="129">
        <f t="shared" si="557"/>
        <v/>
      </c>
      <c r="AL866" s="129">
        <f t="shared" si="558"/>
        <v/>
      </c>
      <c r="AM866" s="129">
        <f t="shared" si="559"/>
      </c>
      <c r="AN866" s="129">
        <f t="shared" si="560"/>
      </c>
      <c r="AO866" s="129">
        <f t="shared" si="561"/>
        <v/>
      </c>
      <c r="AP866" s="129">
        <f t="shared" si="562"/>
        <v/>
      </c>
      <c r="AQ866" s="129">
        <f t="shared" si="563"/>
        <v/>
      </c>
      <c r="AR866" s="129">
        <f t="shared" si="564"/>
        <v/>
      </c>
      <c r="AS866" s="129">
        <f t="shared" si="565"/>
        <v/>
      </c>
      <c r="AT866" s="129">
        <f t="shared" si="566"/>
        <v/>
      </c>
      <c r="AU866" s="129">
        <f t="shared" si="567"/>
        <v/>
      </c>
      <c r="AV866" s="129">
        <f t="shared" si="568"/>
        <v/>
      </c>
      <c r="AW866" s="129">
        <f>IF(AV866="","",AV866&amp;"."&amp;COUNTIFS($A$3:A866,A866,$AV$3:AV866,AV866))</f>
        <v/>
      </c>
      <c r="AX866" s="129">
        <f t="shared" si="569"/>
        <v/>
      </c>
      <c r="AY866" s="129">
        <f>IF(N866="б/к",0,IF(OR(ISNUMBER(SEARCH("L=",Разбивка_по_щитам!P866)),N866="+",N866="="),1,0))</f>
      </c>
      <c r="AZ866" s="129">
        <f t="shared" si="570"/>
        <v/>
      </c>
      <c r="BA866" s="129">
        <f t="shared" si="571"/>
      </c>
      <c r="BB866" s="129">
        <f t="shared" si="572"/>
      </c>
      <c r="BD866" s="129">
        <f t="shared" si="573"/>
      </c>
      <c r="BE866" s="129">
        <f t="shared" si="574"/>
      </c>
      <c r="BF866" s="129">
        <f t="shared" si="575"/>
      </c>
      <c r="BG866" s="129">
        <f t="shared" si="576"/>
        <v/>
      </c>
      <c r="BH866" s="129">
        <f t="shared" si="577"/>
        <v/>
      </c>
      <c r="BI866" s="129">
        <f t="shared" si="578"/>
        <v/>
      </c>
      <c r="BJ866" s="129">
        <f t="shared" si="579"/>
        <v/>
      </c>
      <c r="BK866" s="129">
        <f>IF(R866="","",IF(OR(BY866="",BY866=0),"BOX",IFERROR(IF(VLOOKUP(BY866,УГО_блоки,3,FALSE)&amp;""&lt;&gt;"",VLOOKUP(BY866,УГО_блоки,3,FALSE),VLOOKUP(BY866,УГО_блоки,2,FALSE)),BY866)))</f>
      </c>
      <c r="BL866" s="129">
        <f t="shared" si="581"/>
      </c>
      <c r="BM866" s="129">
        <f>IF(H866="","",IF(COUNTIF($H$3:H866,H866)=1,MAX($BM$2:BM865)+1,""))</f>
      </c>
      <c r="BN866" s="129">
        <f>IF(I866="","",IF(COUNTIF($I$3:I866,I866)+COUNTIF($J$2:J865,I866)+COUNTIF($K$2:K865,I866)=1,MAX($BN$2:BP865)+1,""))</f>
      </c>
      <c r="BO866" s="129">
        <f>IF(J866="","",IF(COUNTIF($I$3:I866,J866)+COUNTIF($J$3:J866,J866)+COUNTIF($K$2:K865,J866)=1,MAX($BN$2:BP865,BN866)+1,""))</f>
      </c>
      <c r="BP866" s="129">
        <f>IF(K866="","",IF(COUNTIF($I$3:I866,K866)+COUNTIF($J$3:J866,K866)+COUNTIF($K$3:K866,K866)=1,MAX($BN$2:BP865,BN866,BO866)+1,""))</f>
      </c>
      <c r="BQ866" s="129">
        <f>IF(AY866=1,IFERROR(MID(Q866,FIND(" (",Q866)+2,FIND(")",Q866,FIND(" (",Q866))-FIND(" (",Q866)-2),"?"),"")</f>
      </c>
      <c r="BR866" s="129">
        <f>IF(BQ866="","",IF(COUNTIF($BQ$3:BQ866,BQ866)=1,MAX($BR$2:BR865)+1,""))</f>
      </c>
      <c r="BS866" s="129">
        <f>IF(AW866="","",COUNTIF($AW$3:AW866,"?*"))</f>
      </c>
      <c r="BT866" s="129">
        <f>IF(OR(AW866="",AI866=""),"",IF(COUNTIFS($AW$3:AW866,"?*",$AI$3:AI866,AI866)=1,MAX($BT$2:BT865)+1,""))</f>
      </c>
      <c r="BU866" s="129">
        <f>IF(AE866="",0,IF(OR(ISNUMBER(SEARCH("дубль",AE866)),ISNUMBER(SEARCH("ПЕРЕГРУЗ",AE866)),ISNUMBER(SEARCH("ЗАЩИЩ",AE866)),ISNUMBER(SEARCH("КАНАЛ",AE866)),ISNUMBER(SEARCH("без 30",AE866))),2,1))</f>
      </c>
      <c r="BV866" s="129">
        <f>IF(R866="","",COUNTIF($R$3:R866,"?*"))</f>
      </c>
      <c r="BW866" s="129">
        <f>IF(AY866&lt;&gt;1,0,IF(MAX(IFERROR(--VLOOKUP(R866,УГО_спр,5,FALSE),0),IFERROR(--VLOOKUP(AL866,УГО_спр,5,FALSE),0),IFERROR(--VLOOKUP(LEFT(AL866,2),УГО_спр,5,FALSE),0))&gt;0,MAX(IFERROR(--VLOOKUP(R866,УГО_спр,5,FALSE),0),IFERROR(--VLOOKUP(AL866,УГО_спр,5,FALSE),0),IFERROR(--VLOOKUP(LEFT(AL866,2),УГО_спр,5,FALSE),0)),IF(IFERROR(--LEFT(SUBSTITUTE(BQ866,"x","х"),FIND("х",SUBSTITUTE(BQ866,"x","х"))-1),3)&gt;3,Каталог!$S$9,1)))</f>
      </c>
      <c r="BX866" s="129">
        <f>IF(AY866&lt;&gt;1,0,MAX(0,IFERROR(--LEFT(SUBSTITUTE(BQ866,"x","х"),FIND("х",SUBSTITUTE(BQ866,"x","х"))-1),3)-3*BW866))</f>
      </c>
      <c r="BY866" s="129">
        <f>IF(R866="","",IFERROR(VLOOKUP(R866,УГО_спр,2,FALSE),IFERROR(VLOOKUP(AL866,УГО_спр,2,FALSE),IFERROR(VLOOKUP(LEFT(AL866,2),УГО_спр,2,FALSE),""))))</f>
      </c>
    </row>
    <row r="867" spans="1:64" x14ac:dyDescent="0.3">
      <c r="A867" s="135">
        <f>IF(Разбивка_по_щитам!F867=0,"",Разбивка_по_щитам!F867)</f>
        <v/>
      </c>
      <c r="B867" s="138">
        <f>IF(A867="","",Разбивка_по_щитам!C867)</f>
        <v/>
      </c>
      <c r="C867" s="138">
        <f t="shared" si="542"/>
        <v/>
      </c>
      <c r="D867" s="266"/>
      <c r="E867" s="266"/>
      <c r="F867" s="267"/>
      <c r="G867" s="145">
        <f t="shared" si="543"/>
        <v/>
      </c>
      <c r="H867" s="145">
        <f t="shared" si="544"/>
        <v/>
      </c>
      <c r="I867" s="266"/>
      <c r="J867" s="267"/>
      <c r="K867" s="267"/>
      <c r="L867" s="266"/>
      <c r="M867" s="147">
        <f t="shared" si="545"/>
        <v/>
      </c>
      <c r="N867" s="267"/>
      <c r="O867" s="147">
        <f t="shared" si="546"/>
        <v/>
      </c>
      <c r="P867" s="268">
        <f>IF(AY867=1,"XT"&amp;COUNTIFS($A$3:A867,A867,$AY$3:AY867,1),"")</f>
        <v/>
      </c>
      <c r="Q867" s="152">
        <f>IF(R867="","",IFERROR(SUBSTITUTE(Разбивка_по_щитам!P867,CHAR(10)," "),""))</f>
        <v/>
      </c>
      <c r="R867" s="153">
        <f>IF(OR(Разбивка_по_щитам!H867="",Разбивка_по_щитам!H867=0),"",Разбивка_по_щитам!H867)</f>
        <v/>
      </c>
      <c r="S867" s="154">
        <f>IF(R867="","",IFERROR(Разбивка_по_щитам!J867&amp;"",""))</f>
        <v/>
      </c>
      <c r="T867" s="155">
        <f>IF(R867="","",IFERROR(--Разбивка_по_щитам!L867,""))</f>
        <v/>
      </c>
      <c r="U867" s="155">
        <f>IF(R867="","",IFERROR(--Разбивка_по_щитам!K867,""))</f>
        <v/>
      </c>
      <c r="V867" s="138">
        <f>IF(R867="","",IFERROR(IF(Разбивка_по_щитам!M867=0,"",Разбивка_по_щитам!M867),""))</f>
        <v/>
      </c>
      <c r="W867" s="156">
        <f t="shared" si="547"/>
        <v/>
      </c>
      <c r="X867" s="157">
        <f t="shared" si="548"/>
        <v/>
      </c>
      <c r="Y867" s="266"/>
      <c r="Z867" s="158">
        <f t="shared" si="549"/>
        <v/>
      </c>
      <c r="AA867" s="160">
        <f t="shared" si="550"/>
        <v/>
      </c>
      <c r="AB867" s="160">
        <f>IF(R867="","",IFERROR(LOOKUP(INDEX(Справочная!$I$4:$I$19,MATCH(VLOOKUP(R867,Исходные_данные,22,FALSE),Справочная!$J$4:$J$19,0)+1),{6,10,16,20,25,32,40,50,63,80,100,125}),""))</f>
        <v/>
      </c>
      <c r="AC867" s="160">
        <f t="shared" si="551"/>
        <v/>
      </c>
      <c r="AD867" s="161">
        <f t="shared" si="552"/>
        <v/>
      </c>
      <c r="AE867" s="161">
        <f>IF(AND(R867="",G867=""),"",_xlfn.TEXTJOIN("; ",TRUE,IF(AND(R867&lt;&gt;"",V867=""),"нет фазы",""),IF(AND(R867&lt;&gt;"",N(T867)=0),"нет мощности",""),IF(AND(P867&lt;&gt;"",COUNTIFS($A$3:$A$1000,A867,$P$3:$P$1000,P867)&gt;1),"дубль клеммы "&amp;P867,""),IF(AND(W867&lt;&gt;"",W867&lt;&gt;"ok"),W867,""),IF(X867&lt;&gt;"",X867,""),IF(AND(ISNUMBER(SEARCH("(5х",Q867)),N(AK867)=1),"5 жил на 1 фазе",""),IF(AND(AL867="R",E867&lt;&gt;"",N(AS867)=0),"розетка без 30 мА",""),IF(IFERROR(_xlfn.NUMBERVALUE(MID(Q867,FIND("-",Q867,FIND("L=",Q867))+1,FIND("%",Q867)-FIND("-",Q867,FIND("L=",Q867))-1),","),0)&gt;4,"потери &gt; 4 %","")))</f>
      </c>
      <c r="AF867" s="129">
        <f>IF(E867&lt;&gt;"",COUNTIFS($A$3:A867,A867,$E$3:E867,"?*"),IF(OR(A867&lt;&gt;A866,Y867="вручную"),"",AF866))</f>
        <v/>
      </c>
      <c r="AG867" s="129">
        <f t="shared" si="553"/>
        <v/>
      </c>
      <c r="AH867" s="129">
        <f t="shared" si="554"/>
        <v/>
      </c>
      <c r="AI867" s="129">
        <f t="shared" si="555"/>
        <v/>
      </c>
      <c r="AJ867" s="129">
        <f t="shared" si="556"/>
        <v/>
      </c>
      <c r="AK867" s="129">
        <f t="shared" si="557"/>
        <v/>
      </c>
      <c r="AL867" s="129">
        <f t="shared" si="558"/>
        <v/>
      </c>
      <c r="AM867" s="129">
        <f t="shared" si="559"/>
      </c>
      <c r="AN867" s="129">
        <f t="shared" si="560"/>
      </c>
      <c r="AO867" s="129">
        <f t="shared" si="561"/>
        <v/>
      </c>
      <c r="AP867" s="129">
        <f t="shared" si="562"/>
        <v/>
      </c>
      <c r="AQ867" s="129">
        <f t="shared" si="563"/>
        <v/>
      </c>
      <c r="AR867" s="129">
        <f t="shared" si="564"/>
        <v/>
      </c>
      <c r="AS867" s="129">
        <f t="shared" si="565"/>
        <v/>
      </c>
      <c r="AT867" s="129">
        <f t="shared" si="566"/>
        <v/>
      </c>
      <c r="AU867" s="129">
        <f t="shared" si="567"/>
        <v/>
      </c>
      <c r="AV867" s="129">
        <f t="shared" si="568"/>
        <v/>
      </c>
      <c r="AW867" s="129">
        <f>IF(AV867="","",AV867&amp;"."&amp;COUNTIFS($A$3:A867,A867,$AV$3:AV867,AV867))</f>
        <v/>
      </c>
      <c r="AX867" s="129">
        <f t="shared" si="569"/>
        <v/>
      </c>
      <c r="AY867" s="129">
        <f>IF(N867="б/к",0,IF(OR(ISNUMBER(SEARCH("L=",Разбивка_по_щитам!P867)),N867="+",N867="="),1,0))</f>
      </c>
      <c r="AZ867" s="129">
        <f t="shared" si="570"/>
        <v/>
      </c>
      <c r="BA867" s="129">
        <f t="shared" si="571"/>
      </c>
      <c r="BB867" s="129">
        <f t="shared" si="572"/>
      </c>
      <c r="BD867" s="129">
        <f t="shared" si="573"/>
      </c>
      <c r="BE867" s="129">
        <f t="shared" si="574"/>
      </c>
      <c r="BF867" s="129">
        <f t="shared" si="575"/>
      </c>
      <c r="BG867" s="129">
        <f t="shared" si="576"/>
        <v/>
      </c>
      <c r="BH867" s="129">
        <f t="shared" si="577"/>
        <v/>
      </c>
      <c r="BI867" s="129">
        <f t="shared" si="578"/>
        <v/>
      </c>
      <c r="BJ867" s="129">
        <f t="shared" si="579"/>
        <v/>
      </c>
      <c r="BK867" s="129">
        <f>IF(R867="","",IF(OR(BY867="",BY867=0),"BOX",IFERROR(IF(VLOOKUP(BY867,УГО_блоки,3,FALSE)&amp;""&lt;&gt;"",VLOOKUP(BY867,УГО_блоки,3,FALSE),VLOOKUP(BY867,УГО_блоки,2,FALSE)),BY867)))</f>
      </c>
      <c r="BL867" s="129">
        <f t="shared" si="581"/>
      </c>
      <c r="BM867" s="129">
        <f>IF(H867="","",IF(COUNTIF($H$3:H867,H867)=1,MAX($BM$2:BM866)+1,""))</f>
      </c>
      <c r="BN867" s="129">
        <f>IF(I867="","",IF(COUNTIF($I$3:I867,I867)+COUNTIF($J$2:J866,I867)+COUNTIF($K$2:K866,I867)=1,MAX($BN$2:BP866)+1,""))</f>
      </c>
      <c r="BO867" s="129">
        <f>IF(J867="","",IF(COUNTIF($I$3:I867,J867)+COUNTIF($J$3:J867,J867)+COUNTIF($K$2:K866,J867)=1,MAX($BN$2:BP866,BN867)+1,""))</f>
      </c>
      <c r="BP867" s="129">
        <f>IF(K867="","",IF(COUNTIF($I$3:I867,K867)+COUNTIF($J$3:J867,K867)+COUNTIF($K$3:K867,K867)=1,MAX($BN$2:BP866,BN867,BO867)+1,""))</f>
      </c>
      <c r="BQ867" s="129">
        <f>IF(AY867=1,IFERROR(MID(Q867,FIND(" (",Q867)+2,FIND(")",Q867,FIND(" (",Q867))-FIND(" (",Q867)-2),"?"),"")</f>
      </c>
      <c r="BR867" s="129">
        <f>IF(BQ867="","",IF(COUNTIF($BQ$3:BQ867,BQ867)=1,MAX($BR$2:BR866)+1,""))</f>
      </c>
      <c r="BS867" s="129">
        <f>IF(AW867="","",COUNTIF($AW$3:AW867,"?*"))</f>
      </c>
      <c r="BT867" s="129">
        <f>IF(OR(AW867="",AI867=""),"",IF(COUNTIFS($AW$3:AW867,"?*",$AI$3:AI867,AI867)=1,MAX($BT$2:BT866)+1,""))</f>
      </c>
      <c r="BU867" s="129">
        <f>IF(AE867="",0,IF(OR(ISNUMBER(SEARCH("дубль",AE867)),ISNUMBER(SEARCH("ПЕРЕГРУЗ",AE867)),ISNUMBER(SEARCH("ЗАЩИЩ",AE867)),ISNUMBER(SEARCH("КАНАЛ",AE867)),ISNUMBER(SEARCH("без 30",AE867))),2,1))</f>
      </c>
      <c r="BV867" s="129">
        <f>IF(R867="","",COUNTIF($R$3:R867,"?*"))</f>
      </c>
      <c r="BW867" s="129">
        <f>IF(AY867&lt;&gt;1,0,IF(MAX(IFERROR(--VLOOKUP(R867,УГО_спр,5,FALSE),0),IFERROR(--VLOOKUP(AL867,УГО_спр,5,FALSE),0),IFERROR(--VLOOKUP(LEFT(AL867,2),УГО_спр,5,FALSE),0))&gt;0,MAX(IFERROR(--VLOOKUP(R867,УГО_спр,5,FALSE),0),IFERROR(--VLOOKUP(AL867,УГО_спр,5,FALSE),0),IFERROR(--VLOOKUP(LEFT(AL867,2),УГО_спр,5,FALSE),0)),IF(IFERROR(--LEFT(SUBSTITUTE(BQ867,"x","х"),FIND("х",SUBSTITUTE(BQ867,"x","х"))-1),3)&gt;3,Каталог!$S$9,1)))</f>
      </c>
      <c r="BX867" s="129">
        <f>IF(AY867&lt;&gt;1,0,MAX(0,IFERROR(--LEFT(SUBSTITUTE(BQ867,"x","х"),FIND("х",SUBSTITUTE(BQ867,"x","х"))-1),3)-3*BW867))</f>
      </c>
      <c r="BY867" s="129">
        <f>IF(R867="","",IFERROR(VLOOKUP(R867,УГО_спр,2,FALSE),IFERROR(VLOOKUP(AL867,УГО_спр,2,FALSE),IFERROR(VLOOKUP(LEFT(AL867,2),УГО_спр,2,FALSE),""))))</f>
      </c>
    </row>
    <row r="868" spans="1:64" x14ac:dyDescent="0.3">
      <c r="A868" s="135">
        <f>IF(Разбивка_по_щитам!F868=0,"",Разбивка_по_щитам!F868)</f>
        <v/>
      </c>
      <c r="B868" s="138">
        <f>IF(A868="","",Разбивка_по_щитам!C868)</f>
        <v/>
      </c>
      <c r="C868" s="138">
        <f t="shared" si="542"/>
        <v/>
      </c>
      <c r="D868" s="266"/>
      <c r="E868" s="266"/>
      <c r="F868" s="267"/>
      <c r="G868" s="145">
        <f t="shared" si="543"/>
        <v/>
      </c>
      <c r="H868" s="145">
        <f t="shared" si="544"/>
        <v/>
      </c>
      <c r="I868" s="266"/>
      <c r="J868" s="267"/>
      <c r="K868" s="267"/>
      <c r="L868" s="266"/>
      <c r="M868" s="147">
        <f t="shared" si="545"/>
        <v/>
      </c>
      <c r="N868" s="267"/>
      <c r="O868" s="147">
        <f t="shared" si="546"/>
        <v/>
      </c>
      <c r="P868" s="268">
        <f>IF(AY868=1,"XT"&amp;COUNTIFS($A$3:A868,A868,$AY$3:AY868,1),"")</f>
        <v/>
      </c>
      <c r="Q868" s="152">
        <f>IF(R868="","",IFERROR(SUBSTITUTE(Разбивка_по_щитам!P868,CHAR(10)," "),""))</f>
        <v/>
      </c>
      <c r="R868" s="153">
        <f>IF(OR(Разбивка_по_щитам!H868="",Разбивка_по_щитам!H868=0),"",Разбивка_по_щитам!H868)</f>
        <v/>
      </c>
      <c r="S868" s="154">
        <f>IF(R868="","",IFERROR(Разбивка_по_щитам!J868&amp;"",""))</f>
        <v/>
      </c>
      <c r="T868" s="155">
        <f>IF(R868="","",IFERROR(--Разбивка_по_щитам!L868,""))</f>
        <v/>
      </c>
      <c r="U868" s="155">
        <f>IF(R868="","",IFERROR(--Разбивка_по_щитам!K868,""))</f>
        <v/>
      </c>
      <c r="V868" s="138">
        <f>IF(R868="","",IFERROR(IF(Разбивка_по_щитам!M868=0,"",Разбивка_по_щитам!M868),""))</f>
        <v/>
      </c>
      <c r="W868" s="156">
        <f t="shared" si="547"/>
        <v/>
      </c>
      <c r="X868" s="157">
        <f t="shared" si="548"/>
        <v/>
      </c>
      <c r="Y868" s="266"/>
      <c r="Z868" s="158">
        <f t="shared" si="549"/>
        <v/>
      </c>
      <c r="AA868" s="160">
        <f t="shared" si="550"/>
        <v/>
      </c>
      <c r="AB868" s="160">
        <f>IF(R868="","",IFERROR(LOOKUP(INDEX(Справочная!$I$4:$I$19,MATCH(VLOOKUP(R868,Исходные_данные,22,FALSE),Справочная!$J$4:$J$19,0)+1),{6,10,16,20,25,32,40,50,63,80,100,125}),""))</f>
        <v/>
      </c>
      <c r="AC868" s="160">
        <f t="shared" si="551"/>
        <v/>
      </c>
      <c r="AD868" s="161">
        <f t="shared" si="552"/>
        <v/>
      </c>
      <c r="AE868" s="161">
        <f>IF(AND(R868="",G868=""),"",_xlfn.TEXTJOIN("; ",TRUE,IF(AND(R868&lt;&gt;"",V868=""),"нет фазы",""),IF(AND(R868&lt;&gt;"",N(T868)=0),"нет мощности",""),IF(AND(P868&lt;&gt;"",COUNTIFS($A$3:$A$1000,A868,$P$3:$P$1000,P868)&gt;1),"дубль клеммы "&amp;P868,""),IF(AND(W868&lt;&gt;"",W868&lt;&gt;"ok"),W868,""),IF(X868&lt;&gt;"",X868,""),IF(AND(ISNUMBER(SEARCH("(5х",Q868)),N(AK868)=1),"5 жил на 1 фазе",""),IF(AND(AL868="R",E868&lt;&gt;"",N(AS868)=0),"розетка без 30 мА",""),IF(IFERROR(_xlfn.NUMBERVALUE(MID(Q868,FIND("-",Q868,FIND("L=",Q868))+1,FIND("%",Q868)-FIND("-",Q868,FIND("L=",Q868))-1),","),0)&gt;4,"потери &gt; 4 %","")))</f>
      </c>
      <c r="AF868" s="129">
        <f>IF(E868&lt;&gt;"",COUNTIFS($A$3:A868,A868,$E$3:E868,"?*"),IF(OR(A868&lt;&gt;A867,Y868="вручную"),"",AF867))</f>
        <v/>
      </c>
      <c r="AG868" s="129">
        <f t="shared" si="553"/>
        <v/>
      </c>
      <c r="AH868" s="129">
        <f t="shared" si="554"/>
        <v/>
      </c>
      <c r="AI868" s="129">
        <f t="shared" si="555"/>
        <v/>
      </c>
      <c r="AJ868" s="129">
        <f t="shared" si="556"/>
        <v/>
      </c>
      <c r="AK868" s="129">
        <f t="shared" si="557"/>
        <v/>
      </c>
      <c r="AL868" s="129">
        <f t="shared" si="558"/>
        <v/>
      </c>
      <c r="AM868" s="129">
        <f t="shared" si="559"/>
      </c>
      <c r="AN868" s="129">
        <f t="shared" si="560"/>
      </c>
      <c r="AO868" s="129">
        <f t="shared" si="561"/>
        <v/>
      </c>
      <c r="AP868" s="129">
        <f t="shared" si="562"/>
        <v/>
      </c>
      <c r="AQ868" s="129">
        <f t="shared" si="563"/>
        <v/>
      </c>
      <c r="AR868" s="129">
        <f t="shared" si="564"/>
        <v/>
      </c>
      <c r="AS868" s="129">
        <f t="shared" si="565"/>
        <v/>
      </c>
      <c r="AT868" s="129">
        <f t="shared" si="566"/>
        <v/>
      </c>
      <c r="AU868" s="129">
        <f t="shared" si="567"/>
        <v/>
      </c>
      <c r="AV868" s="129">
        <f t="shared" si="568"/>
        <v/>
      </c>
      <c r="AW868" s="129">
        <f>IF(AV868="","",AV868&amp;"."&amp;COUNTIFS($A$3:A868,A868,$AV$3:AV868,AV868))</f>
        <v/>
      </c>
      <c r="AX868" s="129">
        <f t="shared" si="569"/>
        <v/>
      </c>
      <c r="AY868" s="129">
        <f>IF(N868="б/к",0,IF(OR(ISNUMBER(SEARCH("L=",Разбивка_по_щитам!P868)),N868="+",N868="="),1,0))</f>
      </c>
      <c r="AZ868" s="129">
        <f t="shared" si="570"/>
        <v/>
      </c>
      <c r="BA868" s="129">
        <f t="shared" si="571"/>
      </c>
      <c r="BB868" s="129">
        <f t="shared" si="572"/>
      </c>
      <c r="BD868" s="129">
        <f t="shared" si="573"/>
      </c>
      <c r="BE868" s="129">
        <f t="shared" si="574"/>
      </c>
      <c r="BF868" s="129">
        <f t="shared" si="575"/>
      </c>
      <c r="BG868" s="129">
        <f t="shared" si="576"/>
        <v/>
      </c>
      <c r="BH868" s="129">
        <f t="shared" si="577"/>
        <v/>
      </c>
      <c r="BI868" s="129">
        <f t="shared" si="578"/>
        <v/>
      </c>
      <c r="BJ868" s="129">
        <f t="shared" si="579"/>
        <v/>
      </c>
      <c r="BK868" s="129">
        <f>IF(R868="","",IF(OR(BY868="",BY868=0),"BOX",IFERROR(IF(VLOOKUP(BY868,УГО_блоки,3,FALSE)&amp;""&lt;&gt;"",VLOOKUP(BY868,УГО_блоки,3,FALSE),VLOOKUP(BY868,УГО_блоки,2,FALSE)),BY868)))</f>
      </c>
      <c r="BL868" s="129">
        <f t="shared" si="581"/>
      </c>
      <c r="BM868" s="129">
        <f>IF(H868="","",IF(COUNTIF($H$3:H868,H868)=1,MAX($BM$2:BM867)+1,""))</f>
      </c>
      <c r="BN868" s="129">
        <f>IF(I868="","",IF(COUNTIF($I$3:I868,I868)+COUNTIF($J$2:J867,I868)+COUNTIF($K$2:K867,I868)=1,MAX($BN$2:BP867)+1,""))</f>
      </c>
      <c r="BO868" s="129">
        <f>IF(J868="","",IF(COUNTIF($I$3:I868,J868)+COUNTIF($J$3:J868,J868)+COUNTIF($K$2:K867,J868)=1,MAX($BN$2:BP867,BN868)+1,""))</f>
      </c>
      <c r="BP868" s="129">
        <f>IF(K868="","",IF(COUNTIF($I$3:I868,K868)+COUNTIF($J$3:J868,K868)+COUNTIF($K$3:K868,K868)=1,MAX($BN$2:BP867,BN868,BO868)+1,""))</f>
      </c>
      <c r="BQ868" s="129">
        <f>IF(AY868=1,IFERROR(MID(Q868,FIND(" (",Q868)+2,FIND(")",Q868,FIND(" (",Q868))-FIND(" (",Q868)-2),"?"),"")</f>
      </c>
      <c r="BR868" s="129">
        <f>IF(BQ868="","",IF(COUNTIF($BQ$3:BQ868,BQ868)=1,MAX($BR$2:BR867)+1,""))</f>
      </c>
      <c r="BS868" s="129">
        <f>IF(AW868="","",COUNTIF($AW$3:AW868,"?*"))</f>
      </c>
      <c r="BT868" s="129">
        <f>IF(OR(AW868="",AI868=""),"",IF(COUNTIFS($AW$3:AW868,"?*",$AI$3:AI868,AI868)=1,MAX($BT$2:BT867)+1,""))</f>
      </c>
      <c r="BU868" s="129">
        <f>IF(AE868="",0,IF(OR(ISNUMBER(SEARCH("дубль",AE868)),ISNUMBER(SEARCH("ПЕРЕГРУЗ",AE868)),ISNUMBER(SEARCH("ЗАЩИЩ",AE868)),ISNUMBER(SEARCH("КАНАЛ",AE868)),ISNUMBER(SEARCH("без 30",AE868))),2,1))</f>
      </c>
      <c r="BV868" s="129">
        <f>IF(R868="","",COUNTIF($R$3:R868,"?*"))</f>
      </c>
      <c r="BW868" s="129">
        <f>IF(AY868&lt;&gt;1,0,IF(MAX(IFERROR(--VLOOKUP(R868,УГО_спр,5,FALSE),0),IFERROR(--VLOOKUP(AL868,УГО_спр,5,FALSE),0),IFERROR(--VLOOKUP(LEFT(AL868,2),УГО_спр,5,FALSE),0))&gt;0,MAX(IFERROR(--VLOOKUP(R868,УГО_спр,5,FALSE),0),IFERROR(--VLOOKUP(AL868,УГО_спр,5,FALSE),0),IFERROR(--VLOOKUP(LEFT(AL868,2),УГО_спр,5,FALSE),0)),IF(IFERROR(--LEFT(SUBSTITUTE(BQ868,"x","х"),FIND("х",SUBSTITUTE(BQ868,"x","х"))-1),3)&gt;3,Каталог!$S$9,1)))</f>
      </c>
      <c r="BX868" s="129">
        <f>IF(AY868&lt;&gt;1,0,MAX(0,IFERROR(--LEFT(SUBSTITUTE(BQ868,"x","х"),FIND("х",SUBSTITUTE(BQ868,"x","х"))-1),3)-3*BW868))</f>
      </c>
      <c r="BY868" s="129">
        <f>IF(R868="","",IFERROR(VLOOKUP(R868,УГО_спр,2,FALSE),IFERROR(VLOOKUP(AL868,УГО_спр,2,FALSE),IFERROR(VLOOKUP(LEFT(AL868,2),УГО_спр,2,FALSE),""))))</f>
      </c>
    </row>
    <row r="869" spans="1:64" x14ac:dyDescent="0.3">
      <c r="A869" s="135">
        <f>IF(Разбивка_по_щитам!F869=0,"",Разбивка_по_щитам!F869)</f>
        <v/>
      </c>
      <c r="B869" s="138">
        <f>IF(A869="","",Разбивка_по_щитам!C869)</f>
        <v/>
      </c>
      <c r="C869" s="138">
        <f t="shared" si="542"/>
        <v/>
      </c>
      <c r="D869" s="266"/>
      <c r="E869" s="266"/>
      <c r="F869" s="267"/>
      <c r="G869" s="145">
        <f t="shared" si="543"/>
        <v/>
      </c>
      <c r="H869" s="145">
        <f t="shared" si="544"/>
        <v/>
      </c>
      <c r="I869" s="266"/>
      <c r="J869" s="267"/>
      <c r="K869" s="267"/>
      <c r="L869" s="266"/>
      <c r="M869" s="147">
        <f t="shared" si="545"/>
        <v/>
      </c>
      <c r="N869" s="267"/>
      <c r="O869" s="147">
        <f t="shared" si="546"/>
        <v/>
      </c>
      <c r="P869" s="268">
        <f>IF(AY869=1,"XT"&amp;COUNTIFS($A$3:A869,A869,$AY$3:AY869,1),"")</f>
        <v/>
      </c>
      <c r="Q869" s="152">
        <f>IF(R869="","",IFERROR(SUBSTITUTE(Разбивка_по_щитам!P869,CHAR(10)," "),""))</f>
        <v/>
      </c>
      <c r="R869" s="153">
        <f>IF(OR(Разбивка_по_щитам!H869="",Разбивка_по_щитам!H869=0),"",Разбивка_по_щитам!H869)</f>
        <v/>
      </c>
      <c r="S869" s="154">
        <f>IF(R869="","",IFERROR(Разбивка_по_щитам!J869&amp;"",""))</f>
        <v/>
      </c>
      <c r="T869" s="155">
        <f>IF(R869="","",IFERROR(--Разбивка_по_щитам!L869,""))</f>
        <v/>
      </c>
      <c r="U869" s="155">
        <f>IF(R869="","",IFERROR(--Разбивка_по_щитам!K869,""))</f>
        <v/>
      </c>
      <c r="V869" s="138">
        <f>IF(R869="","",IFERROR(IF(Разбивка_по_щитам!M869=0,"",Разбивка_по_щитам!M869),""))</f>
        <v/>
      </c>
      <c r="W869" s="156">
        <f t="shared" si="547"/>
        <v/>
      </c>
      <c r="X869" s="157">
        <f t="shared" si="548"/>
        <v/>
      </c>
      <c r="Y869" s="266"/>
      <c r="Z869" s="158">
        <f t="shared" si="549"/>
        <v/>
      </c>
      <c r="AA869" s="160">
        <f t="shared" si="550"/>
        <v/>
      </c>
      <c r="AB869" s="160">
        <f>IF(R869="","",IFERROR(LOOKUP(INDEX(Справочная!$I$4:$I$19,MATCH(VLOOKUP(R869,Исходные_данные,22,FALSE),Справочная!$J$4:$J$19,0)+1),{6,10,16,20,25,32,40,50,63,80,100,125}),""))</f>
        <v/>
      </c>
      <c r="AC869" s="160">
        <f t="shared" si="551"/>
        <v/>
      </c>
      <c r="AD869" s="161">
        <f t="shared" si="552"/>
        <v/>
      </c>
      <c r="AE869" s="161">
        <f>IF(AND(R869="",G869=""),"",_xlfn.TEXTJOIN("; ",TRUE,IF(AND(R869&lt;&gt;"",V869=""),"нет фазы",""),IF(AND(R869&lt;&gt;"",N(T869)=0),"нет мощности",""),IF(AND(P869&lt;&gt;"",COUNTIFS($A$3:$A$1000,A869,$P$3:$P$1000,P869)&gt;1),"дубль клеммы "&amp;P869,""),IF(AND(W869&lt;&gt;"",W869&lt;&gt;"ok"),W869,""),IF(X869&lt;&gt;"",X869,""),IF(AND(ISNUMBER(SEARCH("(5х",Q869)),N(AK869)=1),"5 жил на 1 фазе",""),IF(AND(AL869="R",E869&lt;&gt;"",N(AS869)=0),"розетка без 30 мА",""),IF(IFERROR(_xlfn.NUMBERVALUE(MID(Q869,FIND("-",Q869,FIND("L=",Q869))+1,FIND("%",Q869)-FIND("-",Q869,FIND("L=",Q869))-1),","),0)&gt;4,"потери &gt; 4 %","")))</f>
      </c>
      <c r="AF869" s="129">
        <f>IF(E869&lt;&gt;"",COUNTIFS($A$3:A869,A869,$E$3:E869,"?*"),IF(OR(A869&lt;&gt;A868,Y869="вручную"),"",AF868))</f>
        <v/>
      </c>
      <c r="AG869" s="129">
        <f t="shared" si="553"/>
        <v/>
      </c>
      <c r="AH869" s="129">
        <f t="shared" si="554"/>
        <v/>
      </c>
      <c r="AI869" s="129">
        <f t="shared" si="555"/>
        <v/>
      </c>
      <c r="AJ869" s="129">
        <f t="shared" si="556"/>
        <v/>
      </c>
      <c r="AK869" s="129">
        <f t="shared" si="557"/>
        <v/>
      </c>
      <c r="AL869" s="129">
        <f t="shared" si="558"/>
        <v/>
      </c>
      <c r="AM869" s="129">
        <f t="shared" si="559"/>
      </c>
      <c r="AN869" s="129">
        <f t="shared" si="560"/>
      </c>
      <c r="AO869" s="129">
        <f t="shared" si="561"/>
        <v/>
      </c>
      <c r="AP869" s="129">
        <f t="shared" si="562"/>
        <v/>
      </c>
      <c r="AQ869" s="129">
        <f t="shared" si="563"/>
        <v/>
      </c>
      <c r="AR869" s="129">
        <f t="shared" si="564"/>
        <v/>
      </c>
      <c r="AS869" s="129">
        <f t="shared" si="565"/>
        <v/>
      </c>
      <c r="AT869" s="129">
        <f t="shared" si="566"/>
        <v/>
      </c>
      <c r="AU869" s="129">
        <f t="shared" si="567"/>
        <v/>
      </c>
      <c r="AV869" s="129">
        <f t="shared" si="568"/>
        <v/>
      </c>
      <c r="AW869" s="129">
        <f>IF(AV869="","",AV869&amp;"."&amp;COUNTIFS($A$3:A869,A869,$AV$3:AV869,AV869))</f>
        <v/>
      </c>
      <c r="AX869" s="129">
        <f t="shared" si="569"/>
        <v/>
      </c>
      <c r="AY869" s="129">
        <f>IF(N869="б/к",0,IF(OR(ISNUMBER(SEARCH("L=",Разбивка_по_щитам!P869)),N869="+",N869="="),1,0))</f>
      </c>
      <c r="AZ869" s="129">
        <f t="shared" si="570"/>
        <v/>
      </c>
      <c r="BA869" s="129">
        <f t="shared" si="571"/>
      </c>
      <c r="BB869" s="129">
        <f t="shared" si="572"/>
      </c>
      <c r="BD869" s="129">
        <f t="shared" si="573"/>
      </c>
      <c r="BE869" s="129">
        <f t="shared" si="574"/>
      </c>
      <c r="BF869" s="129">
        <f t="shared" si="575"/>
      </c>
      <c r="BG869" s="129">
        <f t="shared" si="576"/>
        <v/>
      </c>
      <c r="BH869" s="129">
        <f t="shared" si="577"/>
        <v/>
      </c>
      <c r="BI869" s="129">
        <f t="shared" si="578"/>
        <v/>
      </c>
      <c r="BJ869" s="129">
        <f t="shared" si="579"/>
        <v/>
      </c>
      <c r="BK869" s="129">
        <f>IF(R869="","",IF(OR(BY869="",BY869=0),"BOX",IFERROR(IF(VLOOKUP(BY869,УГО_блоки,3,FALSE)&amp;""&lt;&gt;"",VLOOKUP(BY869,УГО_блоки,3,FALSE),VLOOKUP(BY869,УГО_блоки,2,FALSE)),BY869)))</f>
      </c>
      <c r="BL869" s="129">
        <f t="shared" si="581"/>
      </c>
      <c r="BM869" s="129">
        <f>IF(H869="","",IF(COUNTIF($H$3:H869,H869)=1,MAX($BM$2:BM868)+1,""))</f>
      </c>
      <c r="BN869" s="129">
        <f>IF(I869="","",IF(COUNTIF($I$3:I869,I869)+COUNTIF($J$2:J868,I869)+COUNTIF($K$2:K868,I869)=1,MAX($BN$2:BP868)+1,""))</f>
      </c>
      <c r="BO869" s="129">
        <f>IF(J869="","",IF(COUNTIF($I$3:I869,J869)+COUNTIF($J$3:J869,J869)+COUNTIF($K$2:K868,J869)=1,MAX($BN$2:BP868,BN869)+1,""))</f>
      </c>
      <c r="BP869" s="129">
        <f>IF(K869="","",IF(COUNTIF($I$3:I869,K869)+COUNTIF($J$3:J869,K869)+COUNTIF($K$3:K869,K869)=1,MAX($BN$2:BP868,BN869,BO869)+1,""))</f>
      </c>
      <c r="BQ869" s="129">
        <f>IF(AY869=1,IFERROR(MID(Q869,FIND(" (",Q869)+2,FIND(")",Q869,FIND(" (",Q869))-FIND(" (",Q869)-2),"?"),"")</f>
      </c>
      <c r="BR869" s="129">
        <f>IF(BQ869="","",IF(COUNTIF($BQ$3:BQ869,BQ869)=1,MAX($BR$2:BR868)+1,""))</f>
      </c>
      <c r="BS869" s="129">
        <f>IF(AW869="","",COUNTIF($AW$3:AW869,"?*"))</f>
      </c>
      <c r="BT869" s="129">
        <f>IF(OR(AW869="",AI869=""),"",IF(COUNTIFS($AW$3:AW869,"?*",$AI$3:AI869,AI869)=1,MAX($BT$2:BT868)+1,""))</f>
      </c>
      <c r="BU869" s="129">
        <f>IF(AE869="",0,IF(OR(ISNUMBER(SEARCH("дубль",AE869)),ISNUMBER(SEARCH("ПЕРЕГРУЗ",AE869)),ISNUMBER(SEARCH("ЗАЩИЩ",AE869)),ISNUMBER(SEARCH("КАНАЛ",AE869)),ISNUMBER(SEARCH("без 30",AE869))),2,1))</f>
      </c>
      <c r="BV869" s="129">
        <f>IF(R869="","",COUNTIF($R$3:R869,"?*"))</f>
      </c>
      <c r="BW869" s="129">
        <f>IF(AY869&lt;&gt;1,0,IF(MAX(IFERROR(--VLOOKUP(R869,УГО_спр,5,FALSE),0),IFERROR(--VLOOKUP(AL869,УГО_спр,5,FALSE),0),IFERROR(--VLOOKUP(LEFT(AL869,2),УГО_спр,5,FALSE),0))&gt;0,MAX(IFERROR(--VLOOKUP(R869,УГО_спр,5,FALSE),0),IFERROR(--VLOOKUP(AL869,УГО_спр,5,FALSE),0),IFERROR(--VLOOKUP(LEFT(AL869,2),УГО_спр,5,FALSE),0)),IF(IFERROR(--LEFT(SUBSTITUTE(BQ869,"x","х"),FIND("х",SUBSTITUTE(BQ869,"x","х"))-1),3)&gt;3,Каталог!$S$9,1)))</f>
      </c>
      <c r="BX869" s="129">
        <f>IF(AY869&lt;&gt;1,0,MAX(0,IFERROR(--LEFT(SUBSTITUTE(BQ869,"x","х"),FIND("х",SUBSTITUTE(BQ869,"x","х"))-1),3)-3*BW869))</f>
      </c>
      <c r="BY869" s="129">
        <f>IF(R869="","",IFERROR(VLOOKUP(R869,УГО_спр,2,FALSE),IFERROR(VLOOKUP(AL869,УГО_спр,2,FALSE),IFERROR(VLOOKUP(LEFT(AL869,2),УГО_спр,2,FALSE),""))))</f>
      </c>
    </row>
    <row r="870" spans="1:64" x14ac:dyDescent="0.3">
      <c r="A870" s="135">
        <f>IF(Разбивка_по_щитам!F870=0,"",Разбивка_по_щитам!F870)</f>
        <v/>
      </c>
      <c r="B870" s="138">
        <f>IF(A870="","",Разбивка_по_щитам!C870)</f>
        <v/>
      </c>
      <c r="C870" s="138">
        <f t="shared" si="542"/>
        <v/>
      </c>
      <c r="D870" s="266"/>
      <c r="E870" s="266"/>
      <c r="F870" s="267"/>
      <c r="G870" s="145">
        <f t="shared" si="543"/>
        <v/>
      </c>
      <c r="H870" s="145">
        <f t="shared" si="544"/>
        <v/>
      </c>
      <c r="I870" s="266"/>
      <c r="J870" s="267"/>
      <c r="K870" s="267"/>
      <c r="L870" s="266"/>
      <c r="M870" s="147">
        <f t="shared" si="545"/>
        <v/>
      </c>
      <c r="N870" s="267"/>
      <c r="O870" s="147">
        <f t="shared" si="546"/>
        <v/>
      </c>
      <c r="P870" s="268">
        <f>IF(AY870=1,"XT"&amp;COUNTIFS($A$3:A870,A870,$AY$3:AY870,1),"")</f>
        <v/>
      </c>
      <c r="Q870" s="152">
        <f>IF(R870="","",IFERROR(SUBSTITUTE(Разбивка_по_щитам!P870,CHAR(10)," "),""))</f>
        <v/>
      </c>
      <c r="R870" s="153">
        <f>IF(OR(Разбивка_по_щитам!H870="",Разбивка_по_щитам!H870=0),"",Разбивка_по_щитам!H870)</f>
        <v/>
      </c>
      <c r="S870" s="154">
        <f>IF(R870="","",IFERROR(Разбивка_по_щитам!J870&amp;"",""))</f>
        <v/>
      </c>
      <c r="T870" s="155">
        <f>IF(R870="","",IFERROR(--Разбивка_по_щитам!L870,""))</f>
        <v/>
      </c>
      <c r="U870" s="155">
        <f>IF(R870="","",IFERROR(--Разбивка_по_щитам!K870,""))</f>
        <v/>
      </c>
      <c r="V870" s="138">
        <f>IF(R870="","",IFERROR(IF(Разбивка_по_щитам!M870=0,"",Разбивка_по_щитам!M870),""))</f>
        <v/>
      </c>
      <c r="W870" s="156">
        <f t="shared" si="547"/>
        <v/>
      </c>
      <c r="X870" s="157">
        <f t="shared" si="548"/>
        <v/>
      </c>
      <c r="Y870" s="266"/>
      <c r="Z870" s="158">
        <f t="shared" si="549"/>
        <v/>
      </c>
      <c r="AA870" s="160">
        <f t="shared" si="550"/>
        <v/>
      </c>
      <c r="AB870" s="160">
        <f>IF(R870="","",IFERROR(LOOKUP(INDEX(Справочная!$I$4:$I$19,MATCH(VLOOKUP(R870,Исходные_данные,22,FALSE),Справочная!$J$4:$J$19,0)+1),{6,10,16,20,25,32,40,50,63,80,100,125}),""))</f>
        <v/>
      </c>
      <c r="AC870" s="160">
        <f t="shared" si="551"/>
        <v/>
      </c>
      <c r="AD870" s="161">
        <f t="shared" si="552"/>
        <v/>
      </c>
      <c r="AE870" s="161">
        <f>IF(AND(R870="",G870=""),"",_xlfn.TEXTJOIN("; ",TRUE,IF(AND(R870&lt;&gt;"",V870=""),"нет фазы",""),IF(AND(R870&lt;&gt;"",N(T870)=0),"нет мощности",""),IF(AND(P870&lt;&gt;"",COUNTIFS($A$3:$A$1000,A870,$P$3:$P$1000,P870)&gt;1),"дубль клеммы "&amp;P870,""),IF(AND(W870&lt;&gt;"",W870&lt;&gt;"ok"),W870,""),IF(X870&lt;&gt;"",X870,""),IF(AND(ISNUMBER(SEARCH("(5х",Q870)),N(AK870)=1),"5 жил на 1 фазе",""),IF(AND(AL870="R",E870&lt;&gt;"",N(AS870)=0),"розетка без 30 мА",""),IF(IFERROR(_xlfn.NUMBERVALUE(MID(Q870,FIND("-",Q870,FIND("L=",Q870))+1,FIND("%",Q870)-FIND("-",Q870,FIND("L=",Q870))-1),","),0)&gt;4,"потери &gt; 4 %","")))</f>
      </c>
      <c r="AF870" s="129">
        <f>IF(E870&lt;&gt;"",COUNTIFS($A$3:A870,A870,$E$3:E870,"?*"),IF(OR(A870&lt;&gt;A869,Y870="вручную"),"",AF869))</f>
        <v/>
      </c>
      <c r="AG870" s="129">
        <f t="shared" si="553"/>
        <v/>
      </c>
      <c r="AH870" s="129">
        <f t="shared" si="554"/>
        <v/>
      </c>
      <c r="AI870" s="129">
        <f t="shared" si="555"/>
        <v/>
      </c>
      <c r="AJ870" s="129">
        <f t="shared" si="556"/>
        <v/>
      </c>
      <c r="AK870" s="129">
        <f t="shared" si="557"/>
        <v/>
      </c>
      <c r="AL870" s="129">
        <f t="shared" si="558"/>
        <v/>
      </c>
      <c r="AM870" s="129">
        <f t="shared" si="559"/>
      </c>
      <c r="AN870" s="129">
        <f t="shared" si="560"/>
      </c>
      <c r="AO870" s="129">
        <f t="shared" si="561"/>
        <v/>
      </c>
      <c r="AP870" s="129">
        <f t="shared" si="562"/>
        <v/>
      </c>
      <c r="AQ870" s="129">
        <f t="shared" si="563"/>
        <v/>
      </c>
      <c r="AR870" s="129">
        <f t="shared" si="564"/>
        <v/>
      </c>
      <c r="AS870" s="129">
        <f t="shared" si="565"/>
        <v/>
      </c>
      <c r="AT870" s="129">
        <f t="shared" si="566"/>
        <v/>
      </c>
      <c r="AU870" s="129">
        <f t="shared" si="567"/>
        <v/>
      </c>
      <c r="AV870" s="129">
        <f t="shared" si="568"/>
        <v/>
      </c>
      <c r="AW870" s="129">
        <f>IF(AV870="","",AV870&amp;"."&amp;COUNTIFS($A$3:A870,A870,$AV$3:AV870,AV870))</f>
        <v/>
      </c>
      <c r="AX870" s="129">
        <f t="shared" si="569"/>
        <v/>
      </c>
      <c r="AY870" s="129">
        <f>IF(N870="б/к",0,IF(OR(ISNUMBER(SEARCH("L=",Разбивка_по_щитам!P870)),N870="+",N870="="),1,0))</f>
      </c>
      <c r="AZ870" s="129">
        <f t="shared" si="570"/>
        <v/>
      </c>
      <c r="BA870" s="129">
        <f t="shared" si="571"/>
      </c>
      <c r="BB870" s="129">
        <f t="shared" si="572"/>
      </c>
      <c r="BD870" s="129">
        <f t="shared" si="573"/>
      </c>
      <c r="BE870" s="129">
        <f t="shared" si="574"/>
      </c>
      <c r="BF870" s="129">
        <f t="shared" si="575"/>
      </c>
      <c r="BG870" s="129">
        <f t="shared" si="576"/>
        <v/>
      </c>
      <c r="BH870" s="129">
        <f t="shared" si="577"/>
        <v/>
      </c>
      <c r="BI870" s="129">
        <f t="shared" si="578"/>
        <v/>
      </c>
      <c r="BJ870" s="129">
        <f t="shared" si="579"/>
        <v/>
      </c>
      <c r="BK870" s="129">
        <f>IF(R870="","",IF(OR(BY870="",BY870=0),"BOX",IFERROR(IF(VLOOKUP(BY870,УГО_блоки,3,FALSE)&amp;""&lt;&gt;"",VLOOKUP(BY870,УГО_блоки,3,FALSE),VLOOKUP(BY870,УГО_блоки,2,FALSE)),BY870)))</f>
      </c>
      <c r="BL870" s="129">
        <f t="shared" si="581"/>
      </c>
      <c r="BM870" s="129">
        <f>IF(H870="","",IF(COUNTIF($H$3:H870,H870)=1,MAX($BM$2:BM869)+1,""))</f>
      </c>
      <c r="BN870" s="129">
        <f>IF(I870="","",IF(COUNTIF($I$3:I870,I870)+COUNTIF($J$2:J869,I870)+COUNTIF($K$2:K869,I870)=1,MAX($BN$2:BP869)+1,""))</f>
      </c>
      <c r="BO870" s="129">
        <f>IF(J870="","",IF(COUNTIF($I$3:I870,J870)+COUNTIF($J$3:J870,J870)+COUNTIF($K$2:K869,J870)=1,MAX($BN$2:BP869,BN870)+1,""))</f>
      </c>
      <c r="BP870" s="129">
        <f>IF(K870="","",IF(COUNTIF($I$3:I870,K870)+COUNTIF($J$3:J870,K870)+COUNTIF($K$3:K870,K870)=1,MAX($BN$2:BP869,BN870,BO870)+1,""))</f>
      </c>
      <c r="BQ870" s="129">
        <f>IF(AY870=1,IFERROR(MID(Q870,FIND(" (",Q870)+2,FIND(")",Q870,FIND(" (",Q870))-FIND(" (",Q870)-2),"?"),"")</f>
      </c>
      <c r="BR870" s="129">
        <f>IF(BQ870="","",IF(COUNTIF($BQ$3:BQ870,BQ870)=1,MAX($BR$2:BR869)+1,""))</f>
      </c>
      <c r="BS870" s="129">
        <f>IF(AW870="","",COUNTIF($AW$3:AW870,"?*"))</f>
      </c>
      <c r="BT870" s="129">
        <f>IF(OR(AW870="",AI870=""),"",IF(COUNTIFS($AW$3:AW870,"?*",$AI$3:AI870,AI870)=1,MAX($BT$2:BT869)+1,""))</f>
      </c>
      <c r="BU870" s="129">
        <f>IF(AE870="",0,IF(OR(ISNUMBER(SEARCH("дубль",AE870)),ISNUMBER(SEARCH("ПЕРЕГРУЗ",AE870)),ISNUMBER(SEARCH("ЗАЩИЩ",AE870)),ISNUMBER(SEARCH("КАНАЛ",AE870)),ISNUMBER(SEARCH("без 30",AE870))),2,1))</f>
      </c>
      <c r="BV870" s="129">
        <f>IF(R870="","",COUNTIF($R$3:R870,"?*"))</f>
      </c>
      <c r="BW870" s="129">
        <f>IF(AY870&lt;&gt;1,0,IF(MAX(IFERROR(--VLOOKUP(R870,УГО_спр,5,FALSE),0),IFERROR(--VLOOKUP(AL870,УГО_спр,5,FALSE),0),IFERROR(--VLOOKUP(LEFT(AL870,2),УГО_спр,5,FALSE),0))&gt;0,MAX(IFERROR(--VLOOKUP(R870,УГО_спр,5,FALSE),0),IFERROR(--VLOOKUP(AL870,УГО_спр,5,FALSE),0),IFERROR(--VLOOKUP(LEFT(AL870,2),УГО_спр,5,FALSE),0)),IF(IFERROR(--LEFT(SUBSTITUTE(BQ870,"x","х"),FIND("х",SUBSTITUTE(BQ870,"x","х"))-1),3)&gt;3,Каталог!$S$9,1)))</f>
      </c>
      <c r="BX870" s="129">
        <f>IF(AY870&lt;&gt;1,0,MAX(0,IFERROR(--LEFT(SUBSTITUTE(BQ870,"x","х"),FIND("х",SUBSTITUTE(BQ870,"x","х"))-1),3)-3*BW870))</f>
      </c>
      <c r="BY870" s="129">
        <f>IF(R870="","",IFERROR(VLOOKUP(R870,УГО_спр,2,FALSE),IFERROR(VLOOKUP(AL870,УГО_спр,2,FALSE),IFERROR(VLOOKUP(LEFT(AL870,2),УГО_спр,2,FALSE),""))))</f>
      </c>
    </row>
    <row r="871" spans="1:64" x14ac:dyDescent="0.3">
      <c r="A871" s="135">
        <f>IF(Разбивка_по_щитам!F871=0,"",Разбивка_по_щитам!F871)</f>
        <v/>
      </c>
      <c r="B871" s="138">
        <f>IF(A871="","",Разбивка_по_щитам!C871)</f>
        <v/>
      </c>
      <c r="C871" s="138">
        <f t="shared" si="542"/>
        <v/>
      </c>
      <c r="D871" s="266"/>
      <c r="E871" s="266"/>
      <c r="F871" s="267"/>
      <c r="G871" s="145">
        <f t="shared" si="543"/>
        <v/>
      </c>
      <c r="H871" s="145">
        <f t="shared" si="544"/>
        <v/>
      </c>
      <c r="I871" s="266"/>
      <c r="J871" s="267"/>
      <c r="K871" s="267"/>
      <c r="L871" s="266"/>
      <c r="M871" s="147">
        <f t="shared" si="545"/>
        <v/>
      </c>
      <c r="N871" s="267"/>
      <c r="O871" s="147">
        <f t="shared" si="546"/>
        <v/>
      </c>
      <c r="P871" s="268">
        <f>IF(AY871=1,"XT"&amp;COUNTIFS($A$3:A871,A871,$AY$3:AY871,1),"")</f>
        <v/>
      </c>
      <c r="Q871" s="152">
        <f>IF(R871="","",IFERROR(SUBSTITUTE(Разбивка_по_щитам!P871,CHAR(10)," "),""))</f>
        <v/>
      </c>
      <c r="R871" s="153">
        <f>IF(OR(Разбивка_по_щитам!H871="",Разбивка_по_щитам!H871=0),"",Разбивка_по_щитам!H871)</f>
        <v/>
      </c>
      <c r="S871" s="154">
        <f>IF(R871="","",IFERROR(Разбивка_по_щитам!J871&amp;"",""))</f>
        <v/>
      </c>
      <c r="T871" s="155">
        <f>IF(R871="","",IFERROR(--Разбивка_по_щитам!L871,""))</f>
        <v/>
      </c>
      <c r="U871" s="155">
        <f>IF(R871="","",IFERROR(--Разбивка_по_щитам!K871,""))</f>
        <v/>
      </c>
      <c r="V871" s="138">
        <f>IF(R871="","",IFERROR(IF(Разбивка_по_щитам!M871=0,"",Разбивка_по_щитам!M871),""))</f>
        <v/>
      </c>
      <c r="W871" s="156">
        <f t="shared" si="547"/>
        <v/>
      </c>
      <c r="X871" s="157">
        <f t="shared" si="548"/>
        <v/>
      </c>
      <c r="Y871" s="266"/>
      <c r="Z871" s="158">
        <f t="shared" si="549"/>
        <v/>
      </c>
      <c r="AA871" s="160">
        <f t="shared" si="550"/>
        <v/>
      </c>
      <c r="AB871" s="160">
        <f>IF(R871="","",IFERROR(LOOKUP(INDEX(Справочная!$I$4:$I$19,MATCH(VLOOKUP(R871,Исходные_данные,22,FALSE),Справочная!$J$4:$J$19,0)+1),{6,10,16,20,25,32,40,50,63,80,100,125}),""))</f>
        <v/>
      </c>
      <c r="AC871" s="160">
        <f t="shared" si="551"/>
        <v/>
      </c>
      <c r="AD871" s="161">
        <f t="shared" si="552"/>
        <v/>
      </c>
      <c r="AE871" s="161">
        <f>IF(AND(R871="",G871=""),"",_xlfn.TEXTJOIN("; ",TRUE,IF(AND(R871&lt;&gt;"",V871=""),"нет фазы",""),IF(AND(R871&lt;&gt;"",N(T871)=0),"нет мощности",""),IF(AND(P871&lt;&gt;"",COUNTIFS($A$3:$A$1000,A871,$P$3:$P$1000,P871)&gt;1),"дубль клеммы "&amp;P871,""),IF(AND(W871&lt;&gt;"",W871&lt;&gt;"ok"),W871,""),IF(X871&lt;&gt;"",X871,""),IF(AND(ISNUMBER(SEARCH("(5х",Q871)),N(AK871)=1),"5 жил на 1 фазе",""),IF(AND(AL871="R",E871&lt;&gt;"",N(AS871)=0),"розетка без 30 мА",""),IF(IFERROR(_xlfn.NUMBERVALUE(MID(Q871,FIND("-",Q871,FIND("L=",Q871))+1,FIND("%",Q871)-FIND("-",Q871,FIND("L=",Q871))-1),","),0)&gt;4,"потери &gt; 4 %","")))</f>
      </c>
      <c r="AF871" s="129">
        <f>IF(E871&lt;&gt;"",COUNTIFS($A$3:A871,A871,$E$3:E871,"?*"),IF(OR(A871&lt;&gt;A870,Y871="вручную"),"",AF870))</f>
        <v/>
      </c>
      <c r="AG871" s="129">
        <f t="shared" si="553"/>
        <v/>
      </c>
      <c r="AH871" s="129">
        <f t="shared" si="554"/>
        <v/>
      </c>
      <c r="AI871" s="129">
        <f t="shared" si="555"/>
        <v/>
      </c>
      <c r="AJ871" s="129">
        <f t="shared" si="556"/>
        <v/>
      </c>
      <c r="AK871" s="129">
        <f t="shared" si="557"/>
        <v/>
      </c>
      <c r="AL871" s="129">
        <f t="shared" si="558"/>
        <v/>
      </c>
      <c r="AM871" s="129">
        <f t="shared" si="559"/>
      </c>
      <c r="AN871" s="129">
        <f t="shared" si="560"/>
      </c>
      <c r="AO871" s="129">
        <f t="shared" si="561"/>
        <v/>
      </c>
      <c r="AP871" s="129">
        <f t="shared" si="562"/>
        <v/>
      </c>
      <c r="AQ871" s="129">
        <f t="shared" si="563"/>
        <v/>
      </c>
      <c r="AR871" s="129">
        <f t="shared" si="564"/>
        <v/>
      </c>
      <c r="AS871" s="129">
        <f t="shared" si="565"/>
        <v/>
      </c>
      <c r="AT871" s="129">
        <f t="shared" si="566"/>
        <v/>
      </c>
      <c r="AU871" s="129">
        <f t="shared" si="567"/>
        <v/>
      </c>
      <c r="AV871" s="129">
        <f t="shared" si="568"/>
        <v/>
      </c>
      <c r="AW871" s="129">
        <f>IF(AV871="","",AV871&amp;"."&amp;COUNTIFS($A$3:A871,A871,$AV$3:AV871,AV871))</f>
        <v/>
      </c>
      <c r="AX871" s="129">
        <f t="shared" si="569"/>
        <v/>
      </c>
      <c r="AY871" s="129">
        <f>IF(N871="б/к",0,IF(OR(ISNUMBER(SEARCH("L=",Разбивка_по_щитам!P871)),N871="+",N871="="),1,0))</f>
      </c>
      <c r="AZ871" s="129">
        <f t="shared" si="570"/>
        <v/>
      </c>
      <c r="BA871" s="129">
        <f t="shared" si="571"/>
      </c>
      <c r="BB871" s="129">
        <f t="shared" si="572"/>
      </c>
      <c r="BD871" s="129">
        <f t="shared" si="573"/>
      </c>
      <c r="BE871" s="129">
        <f t="shared" si="574"/>
      </c>
      <c r="BF871" s="129">
        <f t="shared" si="575"/>
      </c>
      <c r="BG871" s="129">
        <f t="shared" si="576"/>
        <v/>
      </c>
      <c r="BH871" s="129">
        <f t="shared" si="577"/>
        <v/>
      </c>
      <c r="BI871" s="129">
        <f t="shared" si="578"/>
        <v/>
      </c>
      <c r="BJ871" s="129">
        <f t="shared" si="579"/>
        <v/>
      </c>
      <c r="BK871" s="129">
        <f>IF(R871="","",IF(OR(BY871="",BY871=0),"BOX",IFERROR(IF(VLOOKUP(BY871,УГО_блоки,3,FALSE)&amp;""&lt;&gt;"",VLOOKUP(BY871,УГО_блоки,3,FALSE),VLOOKUP(BY871,УГО_блоки,2,FALSE)),BY871)))</f>
      </c>
      <c r="BL871" s="129">
        <f t="shared" si="581"/>
      </c>
      <c r="BM871" s="129">
        <f>IF(H871="","",IF(COUNTIF($H$3:H871,H871)=1,MAX($BM$2:BM870)+1,""))</f>
      </c>
      <c r="BN871" s="129">
        <f>IF(I871="","",IF(COUNTIF($I$3:I871,I871)+COUNTIF($J$2:J870,I871)+COUNTIF($K$2:K870,I871)=1,MAX($BN$2:BP870)+1,""))</f>
      </c>
      <c r="BO871" s="129">
        <f>IF(J871="","",IF(COUNTIF($I$3:I871,J871)+COUNTIF($J$3:J871,J871)+COUNTIF($K$2:K870,J871)=1,MAX($BN$2:BP870,BN871)+1,""))</f>
      </c>
      <c r="BP871" s="129">
        <f>IF(K871="","",IF(COUNTIF($I$3:I871,K871)+COUNTIF($J$3:J871,K871)+COUNTIF($K$3:K871,K871)=1,MAX($BN$2:BP870,BN871,BO871)+1,""))</f>
      </c>
      <c r="BQ871" s="129">
        <f>IF(AY871=1,IFERROR(MID(Q871,FIND(" (",Q871)+2,FIND(")",Q871,FIND(" (",Q871))-FIND(" (",Q871)-2),"?"),"")</f>
      </c>
      <c r="BR871" s="129">
        <f>IF(BQ871="","",IF(COUNTIF($BQ$3:BQ871,BQ871)=1,MAX($BR$2:BR870)+1,""))</f>
      </c>
      <c r="BS871" s="129">
        <f>IF(AW871="","",COUNTIF($AW$3:AW871,"?*"))</f>
      </c>
      <c r="BT871" s="129">
        <f>IF(OR(AW871="",AI871=""),"",IF(COUNTIFS($AW$3:AW871,"?*",$AI$3:AI871,AI871)=1,MAX($BT$2:BT870)+1,""))</f>
      </c>
      <c r="BU871" s="129">
        <f>IF(AE871="",0,IF(OR(ISNUMBER(SEARCH("дубль",AE871)),ISNUMBER(SEARCH("ПЕРЕГРУЗ",AE871)),ISNUMBER(SEARCH("ЗАЩИЩ",AE871)),ISNUMBER(SEARCH("КАНАЛ",AE871)),ISNUMBER(SEARCH("без 30",AE871))),2,1))</f>
      </c>
      <c r="BV871" s="129">
        <f>IF(R871="","",COUNTIF($R$3:R871,"?*"))</f>
      </c>
      <c r="BW871" s="129">
        <f>IF(AY871&lt;&gt;1,0,IF(MAX(IFERROR(--VLOOKUP(R871,УГО_спр,5,FALSE),0),IFERROR(--VLOOKUP(AL871,УГО_спр,5,FALSE),0),IFERROR(--VLOOKUP(LEFT(AL871,2),УГО_спр,5,FALSE),0))&gt;0,MAX(IFERROR(--VLOOKUP(R871,УГО_спр,5,FALSE),0),IFERROR(--VLOOKUP(AL871,УГО_спр,5,FALSE),0),IFERROR(--VLOOKUP(LEFT(AL871,2),УГО_спр,5,FALSE),0)),IF(IFERROR(--LEFT(SUBSTITUTE(BQ871,"x","х"),FIND("х",SUBSTITUTE(BQ871,"x","х"))-1),3)&gt;3,Каталог!$S$9,1)))</f>
      </c>
      <c r="BX871" s="129">
        <f>IF(AY871&lt;&gt;1,0,MAX(0,IFERROR(--LEFT(SUBSTITUTE(BQ871,"x","х"),FIND("х",SUBSTITUTE(BQ871,"x","х"))-1),3)-3*BW871))</f>
      </c>
      <c r="BY871" s="129">
        <f>IF(R871="","",IFERROR(VLOOKUP(R871,УГО_спр,2,FALSE),IFERROR(VLOOKUP(AL871,УГО_спр,2,FALSE),IFERROR(VLOOKUP(LEFT(AL871,2),УГО_спр,2,FALSE),""))))</f>
      </c>
    </row>
    <row r="872" spans="1:64" x14ac:dyDescent="0.3">
      <c r="A872" s="135">
        <f>IF(Разбивка_по_щитам!F872=0,"",Разбивка_по_щитам!F872)</f>
        <v/>
      </c>
      <c r="B872" s="138">
        <f>IF(A872="","",Разбивка_по_щитам!C872)</f>
        <v/>
      </c>
      <c r="C872" s="138">
        <f t="shared" si="542"/>
        <v/>
      </c>
      <c r="D872" s="266"/>
      <c r="E872" s="266"/>
      <c r="F872" s="267"/>
      <c r="G872" s="145">
        <f t="shared" si="543"/>
        <v/>
      </c>
      <c r="H872" s="145">
        <f t="shared" si="544"/>
        <v/>
      </c>
      <c r="I872" s="266"/>
      <c r="J872" s="267"/>
      <c r="K872" s="267"/>
      <c r="L872" s="266"/>
      <c r="M872" s="147">
        <f t="shared" si="545"/>
        <v/>
      </c>
      <c r="N872" s="267"/>
      <c r="O872" s="147">
        <f t="shared" si="546"/>
        <v/>
      </c>
      <c r="P872" s="268">
        <f>IF(AY872=1,"XT"&amp;COUNTIFS($A$3:A872,A872,$AY$3:AY872,1),"")</f>
        <v/>
      </c>
      <c r="Q872" s="152">
        <f>IF(R872="","",IFERROR(SUBSTITUTE(Разбивка_по_щитам!P872,CHAR(10)," "),""))</f>
        <v/>
      </c>
      <c r="R872" s="153">
        <f>IF(OR(Разбивка_по_щитам!H872="",Разбивка_по_щитам!H872=0),"",Разбивка_по_щитам!H872)</f>
        <v/>
      </c>
      <c r="S872" s="154">
        <f>IF(R872="","",IFERROR(Разбивка_по_щитам!J872&amp;"",""))</f>
        <v/>
      </c>
      <c r="T872" s="155">
        <f>IF(R872="","",IFERROR(--Разбивка_по_щитам!L872,""))</f>
        <v/>
      </c>
      <c r="U872" s="155">
        <f>IF(R872="","",IFERROR(--Разбивка_по_щитам!K872,""))</f>
        <v/>
      </c>
      <c r="V872" s="138">
        <f>IF(R872="","",IFERROR(IF(Разбивка_по_щитам!M872=0,"",Разбивка_по_щитам!M872),""))</f>
        <v/>
      </c>
      <c r="W872" s="156">
        <f t="shared" si="547"/>
        <v/>
      </c>
      <c r="X872" s="157">
        <f t="shared" si="548"/>
        <v/>
      </c>
      <c r="Y872" s="266"/>
      <c r="Z872" s="158">
        <f t="shared" si="549"/>
        <v/>
      </c>
      <c r="AA872" s="160">
        <f t="shared" si="550"/>
        <v/>
      </c>
      <c r="AB872" s="160">
        <f>IF(R872="","",IFERROR(LOOKUP(INDEX(Справочная!$I$4:$I$19,MATCH(VLOOKUP(R872,Исходные_данные,22,FALSE),Справочная!$J$4:$J$19,0)+1),{6,10,16,20,25,32,40,50,63,80,100,125}),""))</f>
        <v/>
      </c>
      <c r="AC872" s="160">
        <f t="shared" si="551"/>
        <v/>
      </c>
      <c r="AD872" s="161">
        <f t="shared" si="552"/>
        <v/>
      </c>
      <c r="AE872" s="161">
        <f>IF(AND(R872="",G872=""),"",_xlfn.TEXTJOIN("; ",TRUE,IF(AND(R872&lt;&gt;"",V872=""),"нет фазы",""),IF(AND(R872&lt;&gt;"",N(T872)=0),"нет мощности",""),IF(AND(P872&lt;&gt;"",COUNTIFS($A$3:$A$1000,A872,$P$3:$P$1000,P872)&gt;1),"дубль клеммы "&amp;P872,""),IF(AND(W872&lt;&gt;"",W872&lt;&gt;"ok"),W872,""),IF(X872&lt;&gt;"",X872,""),IF(AND(ISNUMBER(SEARCH("(5х",Q872)),N(AK872)=1),"5 жил на 1 фазе",""),IF(AND(AL872="R",E872&lt;&gt;"",N(AS872)=0),"розетка без 30 мА",""),IF(IFERROR(_xlfn.NUMBERVALUE(MID(Q872,FIND("-",Q872,FIND("L=",Q872))+1,FIND("%",Q872)-FIND("-",Q872,FIND("L=",Q872))-1),","),0)&gt;4,"потери &gt; 4 %","")))</f>
      </c>
      <c r="AF872" s="129">
        <f>IF(E872&lt;&gt;"",COUNTIFS($A$3:A872,A872,$E$3:E872,"?*"),IF(OR(A872&lt;&gt;A871,Y872="вручную"),"",AF871))</f>
        <v/>
      </c>
      <c r="AG872" s="129">
        <f t="shared" si="553"/>
        <v/>
      </c>
      <c r="AH872" s="129">
        <f t="shared" si="554"/>
        <v/>
      </c>
      <c r="AI872" s="129">
        <f t="shared" si="555"/>
        <v/>
      </c>
      <c r="AJ872" s="129">
        <f t="shared" si="556"/>
        <v/>
      </c>
      <c r="AK872" s="129">
        <f t="shared" si="557"/>
        <v/>
      </c>
      <c r="AL872" s="129">
        <f t="shared" si="558"/>
        <v/>
      </c>
      <c r="AM872" s="129">
        <f t="shared" si="559"/>
      </c>
      <c r="AN872" s="129">
        <f t="shared" si="560"/>
      </c>
      <c r="AO872" s="129">
        <f t="shared" si="561"/>
        <v/>
      </c>
      <c r="AP872" s="129">
        <f t="shared" si="562"/>
        <v/>
      </c>
      <c r="AQ872" s="129">
        <f t="shared" si="563"/>
        <v/>
      </c>
      <c r="AR872" s="129">
        <f t="shared" si="564"/>
        <v/>
      </c>
      <c r="AS872" s="129">
        <f t="shared" si="565"/>
        <v/>
      </c>
      <c r="AT872" s="129">
        <f t="shared" si="566"/>
        <v/>
      </c>
      <c r="AU872" s="129">
        <f t="shared" si="567"/>
        <v/>
      </c>
      <c r="AV872" s="129">
        <f t="shared" si="568"/>
        <v/>
      </c>
      <c r="AW872" s="129">
        <f>IF(AV872="","",AV872&amp;"."&amp;COUNTIFS($A$3:A872,A872,$AV$3:AV872,AV872))</f>
        <v/>
      </c>
      <c r="AX872" s="129">
        <f t="shared" si="569"/>
        <v/>
      </c>
      <c r="AY872" s="129">
        <f>IF(N872="б/к",0,IF(OR(ISNUMBER(SEARCH("L=",Разбивка_по_щитам!P872)),N872="+",N872="="),1,0))</f>
      </c>
      <c r="AZ872" s="129">
        <f t="shared" si="570"/>
        <v/>
      </c>
      <c r="BA872" s="129">
        <f t="shared" si="571"/>
      </c>
      <c r="BB872" s="129">
        <f t="shared" si="572"/>
      </c>
      <c r="BD872" s="129">
        <f t="shared" si="573"/>
      </c>
      <c r="BE872" s="129">
        <f t="shared" si="574"/>
      </c>
      <c r="BF872" s="129">
        <f t="shared" si="575"/>
      </c>
      <c r="BG872" s="129">
        <f t="shared" si="576"/>
        <v/>
      </c>
      <c r="BH872" s="129">
        <f t="shared" si="577"/>
        <v/>
      </c>
      <c r="BI872" s="129">
        <f t="shared" si="578"/>
        <v/>
      </c>
      <c r="BJ872" s="129">
        <f t="shared" si="579"/>
        <v/>
      </c>
      <c r="BK872" s="129">
        <f>IF(R872="","",IF(OR(BY872="",BY872=0),"BOX",IFERROR(IF(VLOOKUP(BY872,УГО_блоки,3,FALSE)&amp;""&lt;&gt;"",VLOOKUP(BY872,УГО_блоки,3,FALSE),VLOOKUP(BY872,УГО_блоки,2,FALSE)),BY872)))</f>
      </c>
      <c r="BL872" s="129">
        <f t="shared" si="581"/>
      </c>
      <c r="BM872" s="129">
        <f>IF(H872="","",IF(COUNTIF($H$3:H872,H872)=1,MAX($BM$2:BM871)+1,""))</f>
      </c>
      <c r="BN872" s="129">
        <f>IF(I872="","",IF(COUNTIF($I$3:I872,I872)+COUNTIF($J$2:J871,I872)+COUNTIF($K$2:K871,I872)=1,MAX($BN$2:BP871)+1,""))</f>
      </c>
      <c r="BO872" s="129">
        <f>IF(J872="","",IF(COUNTIF($I$3:I872,J872)+COUNTIF($J$3:J872,J872)+COUNTIF($K$2:K871,J872)=1,MAX($BN$2:BP871,BN872)+1,""))</f>
      </c>
      <c r="BP872" s="129">
        <f>IF(K872="","",IF(COUNTIF($I$3:I872,K872)+COUNTIF($J$3:J872,K872)+COUNTIF($K$3:K872,K872)=1,MAX($BN$2:BP871,BN872,BO872)+1,""))</f>
      </c>
      <c r="BQ872" s="129">
        <f>IF(AY872=1,IFERROR(MID(Q872,FIND(" (",Q872)+2,FIND(")",Q872,FIND(" (",Q872))-FIND(" (",Q872)-2),"?"),"")</f>
      </c>
      <c r="BR872" s="129">
        <f>IF(BQ872="","",IF(COUNTIF($BQ$3:BQ872,BQ872)=1,MAX($BR$2:BR871)+1,""))</f>
      </c>
      <c r="BS872" s="129">
        <f>IF(AW872="","",COUNTIF($AW$3:AW872,"?*"))</f>
      </c>
      <c r="BT872" s="129">
        <f>IF(OR(AW872="",AI872=""),"",IF(COUNTIFS($AW$3:AW872,"?*",$AI$3:AI872,AI872)=1,MAX($BT$2:BT871)+1,""))</f>
      </c>
      <c r="BU872" s="129">
        <f>IF(AE872="",0,IF(OR(ISNUMBER(SEARCH("дубль",AE872)),ISNUMBER(SEARCH("ПЕРЕГРУЗ",AE872)),ISNUMBER(SEARCH("ЗАЩИЩ",AE872)),ISNUMBER(SEARCH("КАНАЛ",AE872)),ISNUMBER(SEARCH("без 30",AE872))),2,1))</f>
      </c>
      <c r="BV872" s="129">
        <f>IF(R872="","",COUNTIF($R$3:R872,"?*"))</f>
      </c>
      <c r="BW872" s="129">
        <f>IF(AY872&lt;&gt;1,0,IF(MAX(IFERROR(--VLOOKUP(R872,УГО_спр,5,FALSE),0),IFERROR(--VLOOKUP(AL872,УГО_спр,5,FALSE),0),IFERROR(--VLOOKUP(LEFT(AL872,2),УГО_спр,5,FALSE),0))&gt;0,MAX(IFERROR(--VLOOKUP(R872,УГО_спр,5,FALSE),0),IFERROR(--VLOOKUP(AL872,УГО_спр,5,FALSE),0),IFERROR(--VLOOKUP(LEFT(AL872,2),УГО_спр,5,FALSE),0)),IF(IFERROR(--LEFT(SUBSTITUTE(BQ872,"x","х"),FIND("х",SUBSTITUTE(BQ872,"x","х"))-1),3)&gt;3,Каталог!$S$9,1)))</f>
      </c>
      <c r="BX872" s="129">
        <f>IF(AY872&lt;&gt;1,0,MAX(0,IFERROR(--LEFT(SUBSTITUTE(BQ872,"x","х"),FIND("х",SUBSTITUTE(BQ872,"x","х"))-1),3)-3*BW872))</f>
      </c>
      <c r="BY872" s="129">
        <f>IF(R872="","",IFERROR(VLOOKUP(R872,УГО_спр,2,FALSE),IFERROR(VLOOKUP(AL872,УГО_спр,2,FALSE),IFERROR(VLOOKUP(LEFT(AL872,2),УГО_спр,2,FALSE),""))))</f>
      </c>
    </row>
    <row r="873" spans="1:64" x14ac:dyDescent="0.3">
      <c r="A873" s="135">
        <f>IF(Разбивка_по_щитам!F873=0,"",Разбивка_по_щитам!F873)</f>
        <v/>
      </c>
      <c r="B873" s="138">
        <f>IF(A873="","",Разбивка_по_щитам!C873)</f>
        <v/>
      </c>
      <c r="C873" s="138">
        <f t="shared" si="542"/>
        <v/>
      </c>
      <c r="D873" s="266"/>
      <c r="E873" s="266"/>
      <c r="F873" s="267"/>
      <c r="G873" s="145">
        <f t="shared" si="543"/>
        <v/>
      </c>
      <c r="H873" s="145">
        <f t="shared" si="544"/>
        <v/>
      </c>
      <c r="I873" s="266"/>
      <c r="J873" s="267"/>
      <c r="K873" s="267"/>
      <c r="L873" s="266"/>
      <c r="M873" s="147">
        <f t="shared" si="545"/>
        <v/>
      </c>
      <c r="N873" s="267"/>
      <c r="O873" s="147">
        <f t="shared" si="546"/>
        <v/>
      </c>
      <c r="P873" s="268">
        <f>IF(AY873=1,"XT"&amp;COUNTIFS($A$3:A873,A873,$AY$3:AY873,1),"")</f>
        <v/>
      </c>
      <c r="Q873" s="152">
        <f>IF(R873="","",IFERROR(SUBSTITUTE(Разбивка_по_щитам!P873,CHAR(10)," "),""))</f>
        <v/>
      </c>
      <c r="R873" s="153">
        <f>IF(OR(Разбивка_по_щитам!H873="",Разбивка_по_щитам!H873=0),"",Разбивка_по_щитам!H873)</f>
        <v/>
      </c>
      <c r="S873" s="154">
        <f>IF(R873="","",IFERROR(Разбивка_по_щитам!J873&amp;"",""))</f>
        <v/>
      </c>
      <c r="T873" s="155">
        <f>IF(R873="","",IFERROR(--Разбивка_по_щитам!L873,""))</f>
        <v/>
      </c>
      <c r="U873" s="155">
        <f>IF(R873="","",IFERROR(--Разбивка_по_щитам!K873,""))</f>
        <v/>
      </c>
      <c r="V873" s="138">
        <f>IF(R873="","",IFERROR(IF(Разбивка_по_щитам!M873=0,"",Разбивка_по_щитам!M873),""))</f>
        <v/>
      </c>
      <c r="W873" s="156">
        <f t="shared" si="547"/>
        <v/>
      </c>
      <c r="X873" s="157">
        <f t="shared" si="548"/>
        <v/>
      </c>
      <c r="Y873" s="266"/>
      <c r="Z873" s="158">
        <f t="shared" si="549"/>
        <v/>
      </c>
      <c r="AA873" s="160">
        <f t="shared" si="550"/>
        <v/>
      </c>
      <c r="AB873" s="160">
        <f>IF(R873="","",IFERROR(LOOKUP(INDEX(Справочная!$I$4:$I$19,MATCH(VLOOKUP(R873,Исходные_данные,22,FALSE),Справочная!$J$4:$J$19,0)+1),{6,10,16,20,25,32,40,50,63,80,100,125}),""))</f>
        <v/>
      </c>
      <c r="AC873" s="160">
        <f t="shared" si="551"/>
        <v/>
      </c>
      <c r="AD873" s="161">
        <f t="shared" si="552"/>
        <v/>
      </c>
      <c r="AE873" s="161">
        <f>IF(AND(R873="",G873=""),"",_xlfn.TEXTJOIN("; ",TRUE,IF(AND(R873&lt;&gt;"",V873=""),"нет фазы",""),IF(AND(R873&lt;&gt;"",N(T873)=0),"нет мощности",""),IF(AND(P873&lt;&gt;"",COUNTIFS($A$3:$A$1000,A873,$P$3:$P$1000,P873)&gt;1),"дубль клеммы "&amp;P873,""),IF(AND(W873&lt;&gt;"",W873&lt;&gt;"ok"),W873,""),IF(X873&lt;&gt;"",X873,""),IF(AND(ISNUMBER(SEARCH("(5х",Q873)),N(AK873)=1),"5 жил на 1 фазе",""),IF(AND(AL873="R",E873&lt;&gt;"",N(AS873)=0),"розетка без 30 мА",""),IF(IFERROR(_xlfn.NUMBERVALUE(MID(Q873,FIND("-",Q873,FIND("L=",Q873))+1,FIND("%",Q873)-FIND("-",Q873,FIND("L=",Q873))-1),","),0)&gt;4,"потери &gt; 4 %","")))</f>
      </c>
      <c r="AF873" s="129">
        <f>IF(E873&lt;&gt;"",COUNTIFS($A$3:A873,A873,$E$3:E873,"?*"),IF(OR(A873&lt;&gt;A872,Y873="вручную"),"",AF872))</f>
        <v/>
      </c>
      <c r="AG873" s="129">
        <f t="shared" si="553"/>
        <v/>
      </c>
      <c r="AH873" s="129">
        <f t="shared" si="554"/>
        <v/>
      </c>
      <c r="AI873" s="129">
        <f t="shared" si="555"/>
        <v/>
      </c>
      <c r="AJ873" s="129">
        <f t="shared" si="556"/>
        <v/>
      </c>
      <c r="AK873" s="129">
        <f t="shared" si="557"/>
        <v/>
      </c>
      <c r="AL873" s="129">
        <f t="shared" si="558"/>
        <v/>
      </c>
      <c r="AM873" s="129">
        <f t="shared" si="559"/>
      </c>
      <c r="AN873" s="129">
        <f t="shared" si="560"/>
      </c>
      <c r="AO873" s="129">
        <f t="shared" si="561"/>
        <v/>
      </c>
      <c r="AP873" s="129">
        <f t="shared" si="562"/>
        <v/>
      </c>
      <c r="AQ873" s="129">
        <f t="shared" si="563"/>
        <v/>
      </c>
      <c r="AR873" s="129">
        <f t="shared" si="564"/>
        <v/>
      </c>
      <c r="AS873" s="129">
        <f t="shared" si="565"/>
        <v/>
      </c>
      <c r="AT873" s="129">
        <f t="shared" si="566"/>
        <v/>
      </c>
      <c r="AU873" s="129">
        <f t="shared" si="567"/>
        <v/>
      </c>
      <c r="AV873" s="129">
        <f t="shared" si="568"/>
        <v/>
      </c>
      <c r="AW873" s="129">
        <f>IF(AV873="","",AV873&amp;"."&amp;COUNTIFS($A$3:A873,A873,$AV$3:AV873,AV873))</f>
        <v/>
      </c>
      <c r="AX873" s="129">
        <f t="shared" si="569"/>
        <v/>
      </c>
      <c r="AY873" s="129">
        <f>IF(N873="б/к",0,IF(OR(ISNUMBER(SEARCH("L=",Разбивка_по_щитам!P873)),N873="+",N873="="),1,0))</f>
      </c>
      <c r="AZ873" s="129">
        <f t="shared" si="570"/>
        <v/>
      </c>
      <c r="BA873" s="129">
        <f t="shared" si="571"/>
      </c>
      <c r="BB873" s="129">
        <f t="shared" si="572"/>
      </c>
      <c r="BD873" s="129">
        <f t="shared" si="573"/>
      </c>
      <c r="BE873" s="129">
        <f t="shared" si="574"/>
      </c>
      <c r="BF873" s="129">
        <f t="shared" si="575"/>
      </c>
      <c r="BG873" s="129">
        <f t="shared" si="576"/>
        <v/>
      </c>
      <c r="BH873" s="129">
        <f t="shared" si="577"/>
        <v/>
      </c>
      <c r="BI873" s="129">
        <f t="shared" si="578"/>
        <v/>
      </c>
      <c r="BJ873" s="129">
        <f t="shared" si="579"/>
        <v/>
      </c>
      <c r="BK873" s="129">
        <f>IF(R873="","",IF(OR(BY873="",BY873=0),"BOX",IFERROR(IF(VLOOKUP(BY873,УГО_блоки,3,FALSE)&amp;""&lt;&gt;"",VLOOKUP(BY873,УГО_блоки,3,FALSE),VLOOKUP(BY873,УГО_блоки,2,FALSE)),BY873)))</f>
      </c>
      <c r="BL873" s="129">
        <f t="shared" si="581"/>
      </c>
      <c r="BM873" s="129">
        <f>IF(H873="","",IF(COUNTIF($H$3:H873,H873)=1,MAX($BM$2:BM872)+1,""))</f>
      </c>
      <c r="BN873" s="129">
        <f>IF(I873="","",IF(COUNTIF($I$3:I873,I873)+COUNTIF($J$2:J872,I873)+COUNTIF($K$2:K872,I873)=1,MAX($BN$2:BP872)+1,""))</f>
      </c>
      <c r="BO873" s="129">
        <f>IF(J873="","",IF(COUNTIF($I$3:I873,J873)+COUNTIF($J$3:J873,J873)+COUNTIF($K$2:K872,J873)=1,MAX($BN$2:BP872,BN873)+1,""))</f>
      </c>
      <c r="BP873" s="129">
        <f>IF(K873="","",IF(COUNTIF($I$3:I873,K873)+COUNTIF($J$3:J873,K873)+COUNTIF($K$3:K873,K873)=1,MAX($BN$2:BP872,BN873,BO873)+1,""))</f>
      </c>
      <c r="BQ873" s="129">
        <f>IF(AY873=1,IFERROR(MID(Q873,FIND(" (",Q873)+2,FIND(")",Q873,FIND(" (",Q873))-FIND(" (",Q873)-2),"?"),"")</f>
      </c>
      <c r="BR873" s="129">
        <f>IF(BQ873="","",IF(COUNTIF($BQ$3:BQ873,BQ873)=1,MAX($BR$2:BR872)+1,""))</f>
      </c>
      <c r="BS873" s="129">
        <f>IF(AW873="","",COUNTIF($AW$3:AW873,"?*"))</f>
      </c>
      <c r="BT873" s="129">
        <f>IF(OR(AW873="",AI873=""),"",IF(COUNTIFS($AW$3:AW873,"?*",$AI$3:AI873,AI873)=1,MAX($BT$2:BT872)+1,""))</f>
      </c>
      <c r="BU873" s="129">
        <f>IF(AE873="",0,IF(OR(ISNUMBER(SEARCH("дубль",AE873)),ISNUMBER(SEARCH("ПЕРЕГРУЗ",AE873)),ISNUMBER(SEARCH("ЗАЩИЩ",AE873)),ISNUMBER(SEARCH("КАНАЛ",AE873)),ISNUMBER(SEARCH("без 30",AE873))),2,1))</f>
      </c>
      <c r="BV873" s="129">
        <f>IF(R873="","",COUNTIF($R$3:R873,"?*"))</f>
      </c>
      <c r="BW873" s="129">
        <f>IF(AY873&lt;&gt;1,0,IF(MAX(IFERROR(--VLOOKUP(R873,УГО_спр,5,FALSE),0),IFERROR(--VLOOKUP(AL873,УГО_спр,5,FALSE),0),IFERROR(--VLOOKUP(LEFT(AL873,2),УГО_спр,5,FALSE),0))&gt;0,MAX(IFERROR(--VLOOKUP(R873,УГО_спр,5,FALSE),0),IFERROR(--VLOOKUP(AL873,УГО_спр,5,FALSE),0),IFERROR(--VLOOKUP(LEFT(AL873,2),УГО_спр,5,FALSE),0)),IF(IFERROR(--LEFT(SUBSTITUTE(BQ873,"x","х"),FIND("х",SUBSTITUTE(BQ873,"x","х"))-1),3)&gt;3,Каталог!$S$9,1)))</f>
      </c>
      <c r="BX873" s="129">
        <f>IF(AY873&lt;&gt;1,0,MAX(0,IFERROR(--LEFT(SUBSTITUTE(BQ873,"x","х"),FIND("х",SUBSTITUTE(BQ873,"x","х"))-1),3)-3*BW873))</f>
      </c>
      <c r="BY873" s="129">
        <f>IF(R873="","",IFERROR(VLOOKUP(R873,УГО_спр,2,FALSE),IFERROR(VLOOKUP(AL873,УГО_спр,2,FALSE),IFERROR(VLOOKUP(LEFT(AL873,2),УГО_спр,2,FALSE),""))))</f>
      </c>
    </row>
    <row r="874" spans="1:64" x14ac:dyDescent="0.3">
      <c r="A874" s="135">
        <f>IF(Разбивка_по_щитам!F874=0,"",Разбивка_по_щитам!F874)</f>
        <v/>
      </c>
      <c r="B874" s="138">
        <f>IF(A874="","",Разбивка_по_щитам!C874)</f>
        <v/>
      </c>
      <c r="C874" s="138">
        <f t="shared" si="542"/>
        <v/>
      </c>
      <c r="D874" s="266"/>
      <c r="E874" s="266"/>
      <c r="F874" s="267"/>
      <c r="G874" s="145">
        <f t="shared" si="543"/>
        <v/>
      </c>
      <c r="H874" s="145">
        <f t="shared" si="544"/>
        <v/>
      </c>
      <c r="I874" s="266"/>
      <c r="J874" s="267"/>
      <c r="K874" s="267"/>
      <c r="L874" s="266"/>
      <c r="M874" s="147">
        <f t="shared" si="545"/>
        <v/>
      </c>
      <c r="N874" s="267"/>
      <c r="O874" s="147">
        <f t="shared" si="546"/>
        <v/>
      </c>
      <c r="P874" s="268">
        <f>IF(AY874=1,"XT"&amp;COUNTIFS($A$3:A874,A874,$AY$3:AY874,1),"")</f>
        <v/>
      </c>
      <c r="Q874" s="152">
        <f>IF(R874="","",IFERROR(SUBSTITUTE(Разбивка_по_щитам!P874,CHAR(10)," "),""))</f>
        <v/>
      </c>
      <c r="R874" s="153">
        <f>IF(OR(Разбивка_по_щитам!H874="",Разбивка_по_щитам!H874=0),"",Разбивка_по_щитам!H874)</f>
        <v/>
      </c>
      <c r="S874" s="154">
        <f>IF(R874="","",IFERROR(Разбивка_по_щитам!J874&amp;"",""))</f>
        <v/>
      </c>
      <c r="T874" s="155">
        <f>IF(R874="","",IFERROR(--Разбивка_по_щитам!L874,""))</f>
        <v/>
      </c>
      <c r="U874" s="155">
        <f>IF(R874="","",IFERROR(--Разбивка_по_щитам!K874,""))</f>
        <v/>
      </c>
      <c r="V874" s="138">
        <f>IF(R874="","",IFERROR(IF(Разбивка_по_щитам!M874=0,"",Разбивка_по_щитам!M874),""))</f>
        <v/>
      </c>
      <c r="W874" s="156">
        <f t="shared" si="547"/>
        <v/>
      </c>
      <c r="X874" s="157">
        <f t="shared" si="548"/>
        <v/>
      </c>
      <c r="Y874" s="266"/>
      <c r="Z874" s="158">
        <f t="shared" si="549"/>
        <v/>
      </c>
      <c r="AA874" s="160">
        <f t="shared" si="550"/>
        <v/>
      </c>
      <c r="AB874" s="160">
        <f>IF(R874="","",IFERROR(LOOKUP(INDEX(Справочная!$I$4:$I$19,MATCH(VLOOKUP(R874,Исходные_данные,22,FALSE),Справочная!$J$4:$J$19,0)+1),{6,10,16,20,25,32,40,50,63,80,100,125}),""))</f>
        <v/>
      </c>
      <c r="AC874" s="160">
        <f t="shared" si="551"/>
        <v/>
      </c>
      <c r="AD874" s="161">
        <f t="shared" si="552"/>
        <v/>
      </c>
      <c r="AE874" s="161">
        <f>IF(AND(R874="",G874=""),"",_xlfn.TEXTJOIN("; ",TRUE,IF(AND(R874&lt;&gt;"",V874=""),"нет фазы",""),IF(AND(R874&lt;&gt;"",N(T874)=0),"нет мощности",""),IF(AND(P874&lt;&gt;"",COUNTIFS($A$3:$A$1000,A874,$P$3:$P$1000,P874)&gt;1),"дубль клеммы "&amp;P874,""),IF(AND(W874&lt;&gt;"",W874&lt;&gt;"ok"),W874,""),IF(X874&lt;&gt;"",X874,""),IF(AND(ISNUMBER(SEARCH("(5х",Q874)),N(AK874)=1),"5 жил на 1 фазе",""),IF(AND(AL874="R",E874&lt;&gt;"",N(AS874)=0),"розетка без 30 мА",""),IF(IFERROR(_xlfn.NUMBERVALUE(MID(Q874,FIND("-",Q874,FIND("L=",Q874))+1,FIND("%",Q874)-FIND("-",Q874,FIND("L=",Q874))-1),","),0)&gt;4,"потери &gt; 4 %","")))</f>
      </c>
      <c r="AF874" s="129">
        <f>IF(E874&lt;&gt;"",COUNTIFS($A$3:A874,A874,$E$3:E874,"?*"),IF(OR(A874&lt;&gt;A873,Y874="вручную"),"",AF873))</f>
        <v/>
      </c>
      <c r="AG874" s="129">
        <f t="shared" si="553"/>
        <v/>
      </c>
      <c r="AH874" s="129">
        <f t="shared" si="554"/>
        <v/>
      </c>
      <c r="AI874" s="129">
        <f t="shared" si="555"/>
        <v/>
      </c>
      <c r="AJ874" s="129">
        <f t="shared" si="556"/>
        <v/>
      </c>
      <c r="AK874" s="129">
        <f t="shared" si="557"/>
        <v/>
      </c>
      <c r="AL874" s="129">
        <f t="shared" si="558"/>
        <v/>
      </c>
      <c r="AM874" s="129">
        <f t="shared" si="559"/>
      </c>
      <c r="AN874" s="129">
        <f t="shared" si="560"/>
      </c>
      <c r="AO874" s="129">
        <f t="shared" si="561"/>
        <v/>
      </c>
      <c r="AP874" s="129">
        <f t="shared" si="562"/>
        <v/>
      </c>
      <c r="AQ874" s="129">
        <f t="shared" si="563"/>
        <v/>
      </c>
      <c r="AR874" s="129">
        <f t="shared" si="564"/>
        <v/>
      </c>
      <c r="AS874" s="129">
        <f t="shared" si="565"/>
        <v/>
      </c>
      <c r="AT874" s="129">
        <f t="shared" si="566"/>
        <v/>
      </c>
      <c r="AU874" s="129">
        <f t="shared" si="567"/>
        <v/>
      </c>
      <c r="AV874" s="129">
        <f t="shared" si="568"/>
        <v/>
      </c>
      <c r="AW874" s="129">
        <f>IF(AV874="","",AV874&amp;"."&amp;COUNTIFS($A$3:A874,A874,$AV$3:AV874,AV874))</f>
        <v/>
      </c>
      <c r="AX874" s="129">
        <f t="shared" si="569"/>
        <v/>
      </c>
      <c r="AY874" s="129">
        <f>IF(N874="б/к",0,IF(OR(ISNUMBER(SEARCH("L=",Разбивка_по_щитам!P874)),N874="+",N874="="),1,0))</f>
      </c>
      <c r="AZ874" s="129">
        <f t="shared" si="570"/>
        <v/>
      </c>
      <c r="BA874" s="129">
        <f t="shared" si="571"/>
      </c>
      <c r="BB874" s="129">
        <f t="shared" si="572"/>
      </c>
      <c r="BD874" s="129">
        <f t="shared" si="573"/>
      </c>
      <c r="BE874" s="129">
        <f t="shared" si="574"/>
      </c>
      <c r="BF874" s="129">
        <f t="shared" si="575"/>
      </c>
      <c r="BG874" s="129">
        <f t="shared" si="576"/>
        <v/>
      </c>
      <c r="BH874" s="129">
        <f t="shared" si="577"/>
        <v/>
      </c>
      <c r="BI874" s="129">
        <f t="shared" si="578"/>
        <v/>
      </c>
      <c r="BJ874" s="129">
        <f t="shared" si="579"/>
        <v/>
      </c>
      <c r="BK874" s="129">
        <f>IF(R874="","",IF(OR(BY874="",BY874=0),"BOX",IFERROR(IF(VLOOKUP(BY874,УГО_блоки,3,FALSE)&amp;""&lt;&gt;"",VLOOKUP(BY874,УГО_блоки,3,FALSE),VLOOKUP(BY874,УГО_блоки,2,FALSE)),BY874)))</f>
      </c>
      <c r="BL874" s="129">
        <f t="shared" si="581"/>
      </c>
      <c r="BM874" s="129">
        <f>IF(H874="","",IF(COUNTIF($H$3:H874,H874)=1,MAX($BM$2:BM873)+1,""))</f>
      </c>
      <c r="BN874" s="129">
        <f>IF(I874="","",IF(COUNTIF($I$3:I874,I874)+COUNTIF($J$2:J873,I874)+COUNTIF($K$2:K873,I874)=1,MAX($BN$2:BP873)+1,""))</f>
      </c>
      <c r="BO874" s="129">
        <f>IF(J874="","",IF(COUNTIF($I$3:I874,J874)+COUNTIF($J$3:J874,J874)+COUNTIF($K$2:K873,J874)=1,MAX($BN$2:BP873,BN874)+1,""))</f>
      </c>
      <c r="BP874" s="129">
        <f>IF(K874="","",IF(COUNTIF($I$3:I874,K874)+COUNTIF($J$3:J874,K874)+COUNTIF($K$3:K874,K874)=1,MAX($BN$2:BP873,BN874,BO874)+1,""))</f>
      </c>
      <c r="BQ874" s="129">
        <f>IF(AY874=1,IFERROR(MID(Q874,FIND(" (",Q874)+2,FIND(")",Q874,FIND(" (",Q874))-FIND(" (",Q874)-2),"?"),"")</f>
      </c>
      <c r="BR874" s="129">
        <f>IF(BQ874="","",IF(COUNTIF($BQ$3:BQ874,BQ874)=1,MAX($BR$2:BR873)+1,""))</f>
      </c>
      <c r="BS874" s="129">
        <f>IF(AW874="","",COUNTIF($AW$3:AW874,"?*"))</f>
      </c>
      <c r="BT874" s="129">
        <f>IF(OR(AW874="",AI874=""),"",IF(COUNTIFS($AW$3:AW874,"?*",$AI$3:AI874,AI874)=1,MAX($BT$2:BT873)+1,""))</f>
      </c>
      <c r="BU874" s="129">
        <f>IF(AE874="",0,IF(OR(ISNUMBER(SEARCH("дубль",AE874)),ISNUMBER(SEARCH("ПЕРЕГРУЗ",AE874)),ISNUMBER(SEARCH("ЗАЩИЩ",AE874)),ISNUMBER(SEARCH("КАНАЛ",AE874)),ISNUMBER(SEARCH("без 30",AE874))),2,1))</f>
      </c>
      <c r="BV874" s="129">
        <f>IF(R874="","",COUNTIF($R$3:R874,"?*"))</f>
      </c>
      <c r="BW874" s="129">
        <f>IF(AY874&lt;&gt;1,0,IF(MAX(IFERROR(--VLOOKUP(R874,УГО_спр,5,FALSE),0),IFERROR(--VLOOKUP(AL874,УГО_спр,5,FALSE),0),IFERROR(--VLOOKUP(LEFT(AL874,2),УГО_спр,5,FALSE),0))&gt;0,MAX(IFERROR(--VLOOKUP(R874,УГО_спр,5,FALSE),0),IFERROR(--VLOOKUP(AL874,УГО_спр,5,FALSE),0),IFERROR(--VLOOKUP(LEFT(AL874,2),УГО_спр,5,FALSE),0)),IF(IFERROR(--LEFT(SUBSTITUTE(BQ874,"x","х"),FIND("х",SUBSTITUTE(BQ874,"x","х"))-1),3)&gt;3,Каталог!$S$9,1)))</f>
      </c>
      <c r="BX874" s="129">
        <f>IF(AY874&lt;&gt;1,0,MAX(0,IFERROR(--LEFT(SUBSTITUTE(BQ874,"x","х"),FIND("х",SUBSTITUTE(BQ874,"x","х"))-1),3)-3*BW874))</f>
      </c>
      <c r="BY874" s="129">
        <f>IF(R874="","",IFERROR(VLOOKUP(R874,УГО_спр,2,FALSE),IFERROR(VLOOKUP(AL874,УГО_спр,2,FALSE),IFERROR(VLOOKUP(LEFT(AL874,2),УГО_спр,2,FALSE),""))))</f>
      </c>
    </row>
    <row r="875" spans="1:64" x14ac:dyDescent="0.3">
      <c r="A875" s="135">
        <f>IF(Разбивка_по_щитам!F875=0,"",Разбивка_по_щитам!F875)</f>
        <v/>
      </c>
      <c r="B875" s="138">
        <f>IF(A875="","",Разбивка_по_щитам!C875)</f>
        <v/>
      </c>
      <c r="C875" s="138">
        <f t="shared" si="542"/>
        <v/>
      </c>
      <c r="D875" s="266"/>
      <c r="E875" s="266"/>
      <c r="F875" s="267"/>
      <c r="G875" s="145">
        <f t="shared" si="543"/>
        <v/>
      </c>
      <c r="H875" s="145">
        <f t="shared" si="544"/>
        <v/>
      </c>
      <c r="I875" s="266"/>
      <c r="J875" s="267"/>
      <c r="K875" s="267"/>
      <c r="L875" s="266"/>
      <c r="M875" s="147">
        <f t="shared" si="545"/>
        <v/>
      </c>
      <c r="N875" s="267"/>
      <c r="O875" s="147">
        <f t="shared" si="546"/>
        <v/>
      </c>
      <c r="P875" s="268">
        <f>IF(AY875=1,"XT"&amp;COUNTIFS($A$3:A875,A875,$AY$3:AY875,1),"")</f>
        <v/>
      </c>
      <c r="Q875" s="152">
        <f>IF(R875="","",IFERROR(SUBSTITUTE(Разбивка_по_щитам!P875,CHAR(10)," "),""))</f>
        <v/>
      </c>
      <c r="R875" s="153">
        <f>IF(OR(Разбивка_по_щитам!H875="",Разбивка_по_щитам!H875=0),"",Разбивка_по_щитам!H875)</f>
        <v/>
      </c>
      <c r="S875" s="154">
        <f>IF(R875="","",IFERROR(Разбивка_по_щитам!J875&amp;"",""))</f>
        <v/>
      </c>
      <c r="T875" s="155">
        <f>IF(R875="","",IFERROR(--Разбивка_по_щитам!L875,""))</f>
        <v/>
      </c>
      <c r="U875" s="155">
        <f>IF(R875="","",IFERROR(--Разбивка_по_щитам!K875,""))</f>
        <v/>
      </c>
      <c r="V875" s="138">
        <f>IF(R875="","",IFERROR(IF(Разбивка_по_щитам!M875=0,"",Разбивка_по_щитам!M875),""))</f>
        <v/>
      </c>
      <c r="W875" s="156">
        <f t="shared" si="547"/>
        <v/>
      </c>
      <c r="X875" s="157">
        <f t="shared" si="548"/>
        <v/>
      </c>
      <c r="Y875" s="266"/>
      <c r="Z875" s="158">
        <f t="shared" si="549"/>
        <v/>
      </c>
      <c r="AA875" s="160">
        <f t="shared" si="550"/>
        <v/>
      </c>
      <c r="AB875" s="160">
        <f>IF(R875="","",IFERROR(LOOKUP(INDEX(Справочная!$I$4:$I$19,MATCH(VLOOKUP(R875,Исходные_данные,22,FALSE),Справочная!$J$4:$J$19,0)+1),{6,10,16,20,25,32,40,50,63,80,100,125}),""))</f>
        <v/>
      </c>
      <c r="AC875" s="160">
        <f t="shared" si="551"/>
        <v/>
      </c>
      <c r="AD875" s="161">
        <f t="shared" si="552"/>
        <v/>
      </c>
      <c r="AE875" s="161">
        <f>IF(AND(R875="",G875=""),"",_xlfn.TEXTJOIN("; ",TRUE,IF(AND(R875&lt;&gt;"",V875=""),"нет фазы",""),IF(AND(R875&lt;&gt;"",N(T875)=0),"нет мощности",""),IF(AND(P875&lt;&gt;"",COUNTIFS($A$3:$A$1000,A875,$P$3:$P$1000,P875)&gt;1),"дубль клеммы "&amp;P875,""),IF(AND(W875&lt;&gt;"",W875&lt;&gt;"ok"),W875,""),IF(X875&lt;&gt;"",X875,""),IF(AND(ISNUMBER(SEARCH("(5х",Q875)),N(AK875)=1),"5 жил на 1 фазе",""),IF(AND(AL875="R",E875&lt;&gt;"",N(AS875)=0),"розетка без 30 мА",""),IF(IFERROR(_xlfn.NUMBERVALUE(MID(Q875,FIND("-",Q875,FIND("L=",Q875))+1,FIND("%",Q875)-FIND("-",Q875,FIND("L=",Q875))-1),","),0)&gt;4,"потери &gt; 4 %","")))</f>
      </c>
      <c r="AF875" s="129">
        <f>IF(E875&lt;&gt;"",COUNTIFS($A$3:A875,A875,$E$3:E875,"?*"),IF(OR(A875&lt;&gt;A874,Y875="вручную"),"",AF874))</f>
        <v/>
      </c>
      <c r="AG875" s="129">
        <f t="shared" si="553"/>
        <v/>
      </c>
      <c r="AH875" s="129">
        <f t="shared" si="554"/>
        <v/>
      </c>
      <c r="AI875" s="129">
        <f t="shared" si="555"/>
        <v/>
      </c>
      <c r="AJ875" s="129">
        <f t="shared" si="556"/>
        <v/>
      </c>
      <c r="AK875" s="129">
        <f t="shared" si="557"/>
        <v/>
      </c>
      <c r="AL875" s="129">
        <f t="shared" si="558"/>
        <v/>
      </c>
      <c r="AM875" s="129">
        <f t="shared" si="559"/>
      </c>
      <c r="AN875" s="129">
        <f t="shared" si="560"/>
      </c>
      <c r="AO875" s="129">
        <f t="shared" si="561"/>
        <v/>
      </c>
      <c r="AP875" s="129">
        <f t="shared" si="562"/>
        <v/>
      </c>
      <c r="AQ875" s="129">
        <f t="shared" si="563"/>
        <v/>
      </c>
      <c r="AR875" s="129">
        <f t="shared" si="564"/>
        <v/>
      </c>
      <c r="AS875" s="129">
        <f t="shared" si="565"/>
        <v/>
      </c>
      <c r="AT875" s="129">
        <f t="shared" si="566"/>
        <v/>
      </c>
      <c r="AU875" s="129">
        <f t="shared" si="567"/>
        <v/>
      </c>
      <c r="AV875" s="129">
        <f t="shared" si="568"/>
        <v/>
      </c>
      <c r="AW875" s="129">
        <f>IF(AV875="","",AV875&amp;"."&amp;COUNTIFS($A$3:A875,A875,$AV$3:AV875,AV875))</f>
        <v/>
      </c>
      <c r="AX875" s="129">
        <f t="shared" si="569"/>
        <v/>
      </c>
      <c r="AY875" s="129">
        <f>IF(N875="б/к",0,IF(OR(ISNUMBER(SEARCH("L=",Разбивка_по_щитам!P875)),N875="+",N875="="),1,0))</f>
      </c>
      <c r="AZ875" s="129">
        <f t="shared" si="570"/>
        <v/>
      </c>
      <c r="BA875" s="129">
        <f t="shared" si="571"/>
      </c>
      <c r="BB875" s="129">
        <f t="shared" si="572"/>
      </c>
      <c r="BD875" s="129">
        <f t="shared" si="573"/>
      </c>
      <c r="BE875" s="129">
        <f t="shared" si="574"/>
      </c>
      <c r="BF875" s="129">
        <f t="shared" si="575"/>
      </c>
      <c r="BG875" s="129">
        <f t="shared" si="576"/>
        <v/>
      </c>
      <c r="BH875" s="129">
        <f t="shared" si="577"/>
        <v/>
      </c>
      <c r="BI875" s="129">
        <f t="shared" si="578"/>
        <v/>
      </c>
      <c r="BJ875" s="129">
        <f t="shared" si="579"/>
        <v/>
      </c>
      <c r="BK875" s="129">
        <f>IF(R875="","",IF(OR(BY875="",BY875=0),"BOX",IFERROR(IF(VLOOKUP(BY875,УГО_блоки,3,FALSE)&amp;""&lt;&gt;"",VLOOKUP(BY875,УГО_блоки,3,FALSE),VLOOKUP(BY875,УГО_блоки,2,FALSE)),BY875)))</f>
      </c>
      <c r="BL875" s="129">
        <f t="shared" si="581"/>
      </c>
      <c r="BM875" s="129">
        <f>IF(H875="","",IF(COUNTIF($H$3:H875,H875)=1,MAX($BM$2:BM874)+1,""))</f>
      </c>
      <c r="BN875" s="129">
        <f>IF(I875="","",IF(COUNTIF($I$3:I875,I875)+COUNTIF($J$2:J874,I875)+COUNTIF($K$2:K874,I875)=1,MAX($BN$2:BP874)+1,""))</f>
      </c>
      <c r="BO875" s="129">
        <f>IF(J875="","",IF(COUNTIF($I$3:I875,J875)+COUNTIF($J$3:J875,J875)+COUNTIF($K$2:K874,J875)=1,MAX($BN$2:BP874,BN875)+1,""))</f>
      </c>
      <c r="BP875" s="129">
        <f>IF(K875="","",IF(COUNTIF($I$3:I875,K875)+COUNTIF($J$3:J875,K875)+COUNTIF($K$3:K875,K875)=1,MAX($BN$2:BP874,BN875,BO875)+1,""))</f>
      </c>
      <c r="BQ875" s="129">
        <f>IF(AY875=1,IFERROR(MID(Q875,FIND(" (",Q875)+2,FIND(")",Q875,FIND(" (",Q875))-FIND(" (",Q875)-2),"?"),"")</f>
      </c>
      <c r="BR875" s="129">
        <f>IF(BQ875="","",IF(COUNTIF($BQ$3:BQ875,BQ875)=1,MAX($BR$2:BR874)+1,""))</f>
      </c>
      <c r="BS875" s="129">
        <f>IF(AW875="","",COUNTIF($AW$3:AW875,"?*"))</f>
      </c>
      <c r="BT875" s="129">
        <f>IF(OR(AW875="",AI875=""),"",IF(COUNTIFS($AW$3:AW875,"?*",$AI$3:AI875,AI875)=1,MAX($BT$2:BT874)+1,""))</f>
      </c>
      <c r="BU875" s="129">
        <f>IF(AE875="",0,IF(OR(ISNUMBER(SEARCH("дубль",AE875)),ISNUMBER(SEARCH("ПЕРЕГРУЗ",AE875)),ISNUMBER(SEARCH("ЗАЩИЩ",AE875)),ISNUMBER(SEARCH("КАНАЛ",AE875)),ISNUMBER(SEARCH("без 30",AE875))),2,1))</f>
      </c>
      <c r="BV875" s="129">
        <f>IF(R875="","",COUNTIF($R$3:R875,"?*"))</f>
      </c>
      <c r="BW875" s="129">
        <f>IF(AY875&lt;&gt;1,0,IF(MAX(IFERROR(--VLOOKUP(R875,УГО_спр,5,FALSE),0),IFERROR(--VLOOKUP(AL875,УГО_спр,5,FALSE),0),IFERROR(--VLOOKUP(LEFT(AL875,2),УГО_спр,5,FALSE),0))&gt;0,MAX(IFERROR(--VLOOKUP(R875,УГО_спр,5,FALSE),0),IFERROR(--VLOOKUP(AL875,УГО_спр,5,FALSE),0),IFERROR(--VLOOKUP(LEFT(AL875,2),УГО_спр,5,FALSE),0)),IF(IFERROR(--LEFT(SUBSTITUTE(BQ875,"x","х"),FIND("х",SUBSTITUTE(BQ875,"x","х"))-1),3)&gt;3,Каталог!$S$9,1)))</f>
      </c>
      <c r="BX875" s="129">
        <f>IF(AY875&lt;&gt;1,0,MAX(0,IFERROR(--LEFT(SUBSTITUTE(BQ875,"x","х"),FIND("х",SUBSTITUTE(BQ875,"x","х"))-1),3)-3*BW875))</f>
      </c>
      <c r="BY875" s="129">
        <f>IF(R875="","",IFERROR(VLOOKUP(R875,УГО_спр,2,FALSE),IFERROR(VLOOKUP(AL875,УГО_спр,2,FALSE),IFERROR(VLOOKUP(LEFT(AL875,2),УГО_спр,2,FALSE),""))))</f>
      </c>
    </row>
    <row r="876" spans="1:64" x14ac:dyDescent="0.3">
      <c r="A876" s="135">
        <f>IF(Разбивка_по_щитам!F876=0,"",Разбивка_по_щитам!F876)</f>
        <v/>
      </c>
      <c r="B876" s="138">
        <f>IF(A876="","",Разбивка_по_щитам!C876)</f>
        <v/>
      </c>
      <c r="C876" s="138">
        <f t="shared" si="542"/>
        <v/>
      </c>
      <c r="D876" s="266"/>
      <c r="E876" s="266"/>
      <c r="F876" s="267"/>
      <c r="G876" s="145">
        <f t="shared" si="543"/>
        <v/>
      </c>
      <c r="H876" s="145">
        <f t="shared" si="544"/>
        <v/>
      </c>
      <c r="I876" s="266"/>
      <c r="J876" s="267"/>
      <c r="K876" s="267"/>
      <c r="L876" s="266"/>
      <c r="M876" s="147">
        <f t="shared" si="545"/>
        <v/>
      </c>
      <c r="N876" s="267"/>
      <c r="O876" s="147">
        <f t="shared" si="546"/>
        <v/>
      </c>
      <c r="P876" s="268">
        <f>IF(AY876=1,"XT"&amp;COUNTIFS($A$3:A876,A876,$AY$3:AY876,1),"")</f>
        <v/>
      </c>
      <c r="Q876" s="152">
        <f>IF(R876="","",IFERROR(SUBSTITUTE(Разбивка_по_щитам!P876,CHAR(10)," "),""))</f>
        <v/>
      </c>
      <c r="R876" s="153">
        <f>IF(OR(Разбивка_по_щитам!H876="",Разбивка_по_щитам!H876=0),"",Разбивка_по_щитам!H876)</f>
        <v/>
      </c>
      <c r="S876" s="154">
        <f>IF(R876="","",IFERROR(Разбивка_по_щитам!J876&amp;"",""))</f>
        <v/>
      </c>
      <c r="T876" s="155">
        <f>IF(R876="","",IFERROR(--Разбивка_по_щитам!L876,""))</f>
        <v/>
      </c>
      <c r="U876" s="155">
        <f>IF(R876="","",IFERROR(--Разбивка_по_щитам!K876,""))</f>
        <v/>
      </c>
      <c r="V876" s="138">
        <f>IF(R876="","",IFERROR(IF(Разбивка_по_щитам!M876=0,"",Разбивка_по_щитам!M876),""))</f>
        <v/>
      </c>
      <c r="W876" s="156">
        <f t="shared" si="547"/>
        <v/>
      </c>
      <c r="X876" s="157">
        <f t="shared" si="548"/>
        <v/>
      </c>
      <c r="Y876" s="266"/>
      <c r="Z876" s="158">
        <f t="shared" si="549"/>
        <v/>
      </c>
      <c r="AA876" s="160">
        <f t="shared" si="550"/>
        <v/>
      </c>
      <c r="AB876" s="160">
        <f>IF(R876="","",IFERROR(LOOKUP(INDEX(Справочная!$I$4:$I$19,MATCH(VLOOKUP(R876,Исходные_данные,22,FALSE),Справочная!$J$4:$J$19,0)+1),{6,10,16,20,25,32,40,50,63,80,100,125}),""))</f>
        <v/>
      </c>
      <c r="AC876" s="160">
        <f t="shared" si="551"/>
        <v/>
      </c>
      <c r="AD876" s="161">
        <f t="shared" si="552"/>
        <v/>
      </c>
      <c r="AE876" s="161">
        <f>IF(AND(R876="",G876=""),"",_xlfn.TEXTJOIN("; ",TRUE,IF(AND(R876&lt;&gt;"",V876=""),"нет фазы",""),IF(AND(R876&lt;&gt;"",N(T876)=0),"нет мощности",""),IF(AND(P876&lt;&gt;"",COUNTIFS($A$3:$A$1000,A876,$P$3:$P$1000,P876)&gt;1),"дубль клеммы "&amp;P876,""),IF(AND(W876&lt;&gt;"",W876&lt;&gt;"ok"),W876,""),IF(X876&lt;&gt;"",X876,""),IF(AND(ISNUMBER(SEARCH("(5х",Q876)),N(AK876)=1),"5 жил на 1 фазе",""),IF(AND(AL876="R",E876&lt;&gt;"",N(AS876)=0),"розетка без 30 мА",""),IF(IFERROR(_xlfn.NUMBERVALUE(MID(Q876,FIND("-",Q876,FIND("L=",Q876))+1,FIND("%",Q876)-FIND("-",Q876,FIND("L=",Q876))-1),","),0)&gt;4,"потери &gt; 4 %","")))</f>
      </c>
      <c r="AF876" s="129">
        <f>IF(E876&lt;&gt;"",COUNTIFS($A$3:A876,A876,$E$3:E876,"?*"),IF(OR(A876&lt;&gt;A875,Y876="вручную"),"",AF875))</f>
        <v/>
      </c>
      <c r="AG876" s="129">
        <f t="shared" si="553"/>
        <v/>
      </c>
      <c r="AH876" s="129">
        <f t="shared" si="554"/>
        <v/>
      </c>
      <c r="AI876" s="129">
        <f t="shared" si="555"/>
        <v/>
      </c>
      <c r="AJ876" s="129">
        <f t="shared" si="556"/>
        <v/>
      </c>
      <c r="AK876" s="129">
        <f t="shared" si="557"/>
        <v/>
      </c>
      <c r="AL876" s="129">
        <f t="shared" si="558"/>
        <v/>
      </c>
      <c r="AM876" s="129">
        <f t="shared" si="559"/>
      </c>
      <c r="AN876" s="129">
        <f t="shared" si="560"/>
      </c>
      <c r="AO876" s="129">
        <f t="shared" si="561"/>
        <v/>
      </c>
      <c r="AP876" s="129">
        <f t="shared" si="562"/>
        <v/>
      </c>
      <c r="AQ876" s="129">
        <f t="shared" si="563"/>
        <v/>
      </c>
      <c r="AR876" s="129">
        <f t="shared" si="564"/>
        <v/>
      </c>
      <c r="AS876" s="129">
        <f t="shared" si="565"/>
        <v/>
      </c>
      <c r="AT876" s="129">
        <f t="shared" si="566"/>
        <v/>
      </c>
      <c r="AU876" s="129">
        <f t="shared" si="567"/>
        <v/>
      </c>
      <c r="AV876" s="129">
        <f t="shared" si="568"/>
        <v/>
      </c>
      <c r="AW876" s="129">
        <f>IF(AV876="","",AV876&amp;"."&amp;COUNTIFS($A$3:A876,A876,$AV$3:AV876,AV876))</f>
        <v/>
      </c>
      <c r="AX876" s="129">
        <f t="shared" si="569"/>
        <v/>
      </c>
      <c r="AY876" s="129">
        <f>IF(N876="б/к",0,IF(OR(ISNUMBER(SEARCH("L=",Разбивка_по_щитам!P876)),N876="+",N876="="),1,0))</f>
      </c>
      <c r="AZ876" s="129">
        <f t="shared" si="570"/>
        <v/>
      </c>
      <c r="BA876" s="129">
        <f t="shared" si="571"/>
      </c>
      <c r="BB876" s="129">
        <f t="shared" si="572"/>
      </c>
      <c r="BD876" s="129">
        <f t="shared" si="573"/>
      </c>
      <c r="BE876" s="129">
        <f t="shared" si="574"/>
      </c>
      <c r="BF876" s="129">
        <f t="shared" si="575"/>
      </c>
      <c r="BG876" s="129">
        <f t="shared" si="576"/>
        <v/>
      </c>
      <c r="BH876" s="129">
        <f t="shared" si="577"/>
        <v/>
      </c>
      <c r="BI876" s="129">
        <f t="shared" si="578"/>
        <v/>
      </c>
      <c r="BJ876" s="129">
        <f t="shared" si="579"/>
        <v/>
      </c>
      <c r="BK876" s="129">
        <f>IF(R876="","",IF(OR(BY876="",BY876=0),"BOX",IFERROR(IF(VLOOKUP(BY876,УГО_блоки,3,FALSE)&amp;""&lt;&gt;"",VLOOKUP(BY876,УГО_блоки,3,FALSE),VLOOKUP(BY876,УГО_блоки,2,FALSE)),BY876)))</f>
      </c>
      <c r="BL876" s="129">
        <f t="shared" si="581"/>
      </c>
      <c r="BM876" s="129">
        <f>IF(H876="","",IF(COUNTIF($H$3:H876,H876)=1,MAX($BM$2:BM875)+1,""))</f>
      </c>
      <c r="BN876" s="129">
        <f>IF(I876="","",IF(COUNTIF($I$3:I876,I876)+COUNTIF($J$2:J875,I876)+COUNTIF($K$2:K875,I876)=1,MAX($BN$2:BP875)+1,""))</f>
      </c>
      <c r="BO876" s="129">
        <f>IF(J876="","",IF(COUNTIF($I$3:I876,J876)+COUNTIF($J$3:J876,J876)+COUNTIF($K$2:K875,J876)=1,MAX($BN$2:BP875,BN876)+1,""))</f>
      </c>
      <c r="BP876" s="129">
        <f>IF(K876="","",IF(COUNTIF($I$3:I876,K876)+COUNTIF($J$3:J876,K876)+COUNTIF($K$3:K876,K876)=1,MAX($BN$2:BP875,BN876,BO876)+1,""))</f>
      </c>
      <c r="BQ876" s="129">
        <f>IF(AY876=1,IFERROR(MID(Q876,FIND(" (",Q876)+2,FIND(")",Q876,FIND(" (",Q876))-FIND(" (",Q876)-2),"?"),"")</f>
      </c>
      <c r="BR876" s="129">
        <f>IF(BQ876="","",IF(COUNTIF($BQ$3:BQ876,BQ876)=1,MAX($BR$2:BR875)+1,""))</f>
      </c>
      <c r="BS876" s="129">
        <f>IF(AW876="","",COUNTIF($AW$3:AW876,"?*"))</f>
      </c>
      <c r="BT876" s="129">
        <f>IF(OR(AW876="",AI876=""),"",IF(COUNTIFS($AW$3:AW876,"?*",$AI$3:AI876,AI876)=1,MAX($BT$2:BT875)+1,""))</f>
      </c>
      <c r="BU876" s="129">
        <f>IF(AE876="",0,IF(OR(ISNUMBER(SEARCH("дубль",AE876)),ISNUMBER(SEARCH("ПЕРЕГРУЗ",AE876)),ISNUMBER(SEARCH("ЗАЩИЩ",AE876)),ISNUMBER(SEARCH("КАНАЛ",AE876)),ISNUMBER(SEARCH("без 30",AE876))),2,1))</f>
      </c>
      <c r="BV876" s="129">
        <f>IF(R876="","",COUNTIF($R$3:R876,"?*"))</f>
      </c>
      <c r="BW876" s="129">
        <f>IF(AY876&lt;&gt;1,0,IF(MAX(IFERROR(--VLOOKUP(R876,УГО_спр,5,FALSE),0),IFERROR(--VLOOKUP(AL876,УГО_спр,5,FALSE),0),IFERROR(--VLOOKUP(LEFT(AL876,2),УГО_спр,5,FALSE),0))&gt;0,MAX(IFERROR(--VLOOKUP(R876,УГО_спр,5,FALSE),0),IFERROR(--VLOOKUP(AL876,УГО_спр,5,FALSE),0),IFERROR(--VLOOKUP(LEFT(AL876,2),УГО_спр,5,FALSE),0)),IF(IFERROR(--LEFT(SUBSTITUTE(BQ876,"x","х"),FIND("х",SUBSTITUTE(BQ876,"x","х"))-1),3)&gt;3,Каталог!$S$9,1)))</f>
      </c>
      <c r="BX876" s="129">
        <f>IF(AY876&lt;&gt;1,0,MAX(0,IFERROR(--LEFT(SUBSTITUTE(BQ876,"x","х"),FIND("х",SUBSTITUTE(BQ876,"x","х"))-1),3)-3*BW876))</f>
      </c>
      <c r="BY876" s="129">
        <f>IF(R876="","",IFERROR(VLOOKUP(R876,УГО_спр,2,FALSE),IFERROR(VLOOKUP(AL876,УГО_спр,2,FALSE),IFERROR(VLOOKUP(LEFT(AL876,2),УГО_спр,2,FALSE),""))))</f>
      </c>
    </row>
    <row r="877" spans="1:64" x14ac:dyDescent="0.3">
      <c r="A877" s="135">
        <f>IF(Разбивка_по_щитам!F877=0,"",Разбивка_по_щитам!F877)</f>
        <v/>
      </c>
      <c r="B877" s="138">
        <f>IF(A877="","",Разбивка_по_щитам!C877)</f>
        <v/>
      </c>
      <c r="C877" s="138">
        <f t="shared" si="542"/>
        <v/>
      </c>
      <c r="D877" s="266"/>
      <c r="E877" s="266"/>
      <c r="F877" s="267"/>
      <c r="G877" s="145">
        <f t="shared" si="543"/>
        <v/>
      </c>
      <c r="H877" s="145">
        <f t="shared" si="544"/>
        <v/>
      </c>
      <c r="I877" s="266"/>
      <c r="J877" s="267"/>
      <c r="K877" s="267"/>
      <c r="L877" s="266"/>
      <c r="M877" s="147">
        <f t="shared" si="545"/>
        <v/>
      </c>
      <c r="N877" s="267"/>
      <c r="O877" s="147">
        <f t="shared" si="546"/>
        <v/>
      </c>
      <c r="P877" s="268">
        <f>IF(AY877=1,"XT"&amp;COUNTIFS($A$3:A877,A877,$AY$3:AY877,1),"")</f>
        <v/>
      </c>
      <c r="Q877" s="152">
        <f>IF(R877="","",IFERROR(SUBSTITUTE(Разбивка_по_щитам!P877,CHAR(10)," "),""))</f>
        <v/>
      </c>
      <c r="R877" s="153">
        <f>IF(OR(Разбивка_по_щитам!H877="",Разбивка_по_щитам!H877=0),"",Разбивка_по_щитам!H877)</f>
        <v/>
      </c>
      <c r="S877" s="154">
        <f>IF(R877="","",IFERROR(Разбивка_по_щитам!J877&amp;"",""))</f>
        <v/>
      </c>
      <c r="T877" s="155">
        <f>IF(R877="","",IFERROR(--Разбивка_по_щитам!L877,""))</f>
        <v/>
      </c>
      <c r="U877" s="155">
        <f>IF(R877="","",IFERROR(--Разбивка_по_щитам!K877,""))</f>
        <v/>
      </c>
      <c r="V877" s="138">
        <f>IF(R877="","",IFERROR(IF(Разбивка_по_щитам!M877=0,"",Разбивка_по_щитам!M877),""))</f>
        <v/>
      </c>
      <c r="W877" s="156">
        <f t="shared" si="547"/>
        <v/>
      </c>
      <c r="X877" s="157">
        <f t="shared" si="548"/>
        <v/>
      </c>
      <c r="Y877" s="266"/>
      <c r="Z877" s="158">
        <f t="shared" si="549"/>
        <v/>
      </c>
      <c r="AA877" s="160">
        <f t="shared" si="550"/>
        <v/>
      </c>
      <c r="AB877" s="160">
        <f>IF(R877="","",IFERROR(LOOKUP(INDEX(Справочная!$I$4:$I$19,MATCH(VLOOKUP(R877,Исходные_данные,22,FALSE),Справочная!$J$4:$J$19,0)+1),{6,10,16,20,25,32,40,50,63,80,100,125}),""))</f>
        <v/>
      </c>
      <c r="AC877" s="160">
        <f t="shared" si="551"/>
        <v/>
      </c>
      <c r="AD877" s="161">
        <f t="shared" si="552"/>
        <v/>
      </c>
      <c r="AE877" s="161">
        <f>IF(AND(R877="",G877=""),"",_xlfn.TEXTJOIN("; ",TRUE,IF(AND(R877&lt;&gt;"",V877=""),"нет фазы",""),IF(AND(R877&lt;&gt;"",N(T877)=0),"нет мощности",""),IF(AND(P877&lt;&gt;"",COUNTIFS($A$3:$A$1000,A877,$P$3:$P$1000,P877)&gt;1),"дубль клеммы "&amp;P877,""),IF(AND(W877&lt;&gt;"",W877&lt;&gt;"ok"),W877,""),IF(X877&lt;&gt;"",X877,""),IF(AND(ISNUMBER(SEARCH("(5х",Q877)),N(AK877)=1),"5 жил на 1 фазе",""),IF(AND(AL877="R",E877&lt;&gt;"",N(AS877)=0),"розетка без 30 мА",""),IF(IFERROR(_xlfn.NUMBERVALUE(MID(Q877,FIND("-",Q877,FIND("L=",Q877))+1,FIND("%",Q877)-FIND("-",Q877,FIND("L=",Q877))-1),","),0)&gt;4,"потери &gt; 4 %","")))</f>
      </c>
      <c r="AF877" s="129">
        <f>IF(E877&lt;&gt;"",COUNTIFS($A$3:A877,A877,$E$3:E877,"?*"),IF(OR(A877&lt;&gt;A876,Y877="вручную"),"",AF876))</f>
        <v/>
      </c>
      <c r="AG877" s="129">
        <f t="shared" si="553"/>
        <v/>
      </c>
      <c r="AH877" s="129">
        <f t="shared" si="554"/>
        <v/>
      </c>
      <c r="AI877" s="129">
        <f t="shared" si="555"/>
        <v/>
      </c>
      <c r="AJ877" s="129">
        <f t="shared" si="556"/>
        <v/>
      </c>
      <c r="AK877" s="129">
        <f t="shared" si="557"/>
        <v/>
      </c>
      <c r="AL877" s="129">
        <f t="shared" si="558"/>
        <v/>
      </c>
      <c r="AM877" s="129">
        <f t="shared" si="559"/>
      </c>
      <c r="AN877" s="129">
        <f t="shared" si="560"/>
      </c>
      <c r="AO877" s="129">
        <f t="shared" si="561"/>
        <v/>
      </c>
      <c r="AP877" s="129">
        <f t="shared" si="562"/>
        <v/>
      </c>
      <c r="AQ877" s="129">
        <f t="shared" si="563"/>
        <v/>
      </c>
      <c r="AR877" s="129">
        <f t="shared" si="564"/>
        <v/>
      </c>
      <c r="AS877" s="129">
        <f t="shared" si="565"/>
        <v/>
      </c>
      <c r="AT877" s="129">
        <f t="shared" si="566"/>
        <v/>
      </c>
      <c r="AU877" s="129">
        <f t="shared" si="567"/>
        <v/>
      </c>
      <c r="AV877" s="129">
        <f t="shared" si="568"/>
        <v/>
      </c>
      <c r="AW877" s="129">
        <f>IF(AV877="","",AV877&amp;"."&amp;COUNTIFS($A$3:A877,A877,$AV$3:AV877,AV877))</f>
        <v/>
      </c>
      <c r="AX877" s="129">
        <f t="shared" si="569"/>
        <v/>
      </c>
      <c r="AY877" s="129">
        <f>IF(N877="б/к",0,IF(OR(ISNUMBER(SEARCH("L=",Разбивка_по_щитам!P877)),N877="+",N877="="),1,0))</f>
      </c>
      <c r="AZ877" s="129">
        <f t="shared" si="570"/>
        <v/>
      </c>
      <c r="BA877" s="129">
        <f t="shared" si="571"/>
      </c>
      <c r="BB877" s="129">
        <f t="shared" si="572"/>
      </c>
      <c r="BD877" s="129">
        <f t="shared" si="573"/>
      </c>
      <c r="BE877" s="129">
        <f t="shared" si="574"/>
      </c>
      <c r="BF877" s="129">
        <f t="shared" si="575"/>
      </c>
      <c r="BG877" s="129">
        <f t="shared" si="576"/>
        <v/>
      </c>
      <c r="BH877" s="129">
        <f t="shared" si="577"/>
        <v/>
      </c>
      <c r="BI877" s="129">
        <f t="shared" si="578"/>
        <v/>
      </c>
      <c r="BJ877" s="129">
        <f t="shared" si="579"/>
        <v/>
      </c>
      <c r="BK877" s="129">
        <f>IF(R877="","",IF(OR(BY877="",BY877=0),"BOX",IFERROR(IF(VLOOKUP(BY877,УГО_блоки,3,FALSE)&amp;""&lt;&gt;"",VLOOKUP(BY877,УГО_блоки,3,FALSE),VLOOKUP(BY877,УГО_блоки,2,FALSE)),BY877)))</f>
      </c>
      <c r="BL877" s="129">
        <f t="shared" si="581"/>
      </c>
      <c r="BM877" s="129">
        <f>IF(H877="","",IF(COUNTIF($H$3:H877,H877)=1,MAX($BM$2:BM876)+1,""))</f>
      </c>
      <c r="BN877" s="129">
        <f>IF(I877="","",IF(COUNTIF($I$3:I877,I877)+COUNTIF($J$2:J876,I877)+COUNTIF($K$2:K876,I877)=1,MAX($BN$2:BP876)+1,""))</f>
      </c>
      <c r="BO877" s="129">
        <f>IF(J877="","",IF(COUNTIF($I$3:I877,J877)+COUNTIF($J$3:J877,J877)+COUNTIF($K$2:K876,J877)=1,MAX($BN$2:BP876,BN877)+1,""))</f>
      </c>
      <c r="BP877" s="129">
        <f>IF(K877="","",IF(COUNTIF($I$3:I877,K877)+COUNTIF($J$3:J877,K877)+COUNTIF($K$3:K877,K877)=1,MAX($BN$2:BP876,BN877,BO877)+1,""))</f>
      </c>
      <c r="BQ877" s="129">
        <f>IF(AY877=1,IFERROR(MID(Q877,FIND(" (",Q877)+2,FIND(")",Q877,FIND(" (",Q877))-FIND(" (",Q877)-2),"?"),"")</f>
      </c>
      <c r="BR877" s="129">
        <f>IF(BQ877="","",IF(COUNTIF($BQ$3:BQ877,BQ877)=1,MAX($BR$2:BR876)+1,""))</f>
      </c>
      <c r="BS877" s="129">
        <f>IF(AW877="","",COUNTIF($AW$3:AW877,"?*"))</f>
      </c>
      <c r="BT877" s="129">
        <f>IF(OR(AW877="",AI877=""),"",IF(COUNTIFS($AW$3:AW877,"?*",$AI$3:AI877,AI877)=1,MAX($BT$2:BT876)+1,""))</f>
      </c>
      <c r="BU877" s="129">
        <f>IF(AE877="",0,IF(OR(ISNUMBER(SEARCH("дубль",AE877)),ISNUMBER(SEARCH("ПЕРЕГРУЗ",AE877)),ISNUMBER(SEARCH("ЗАЩИЩ",AE877)),ISNUMBER(SEARCH("КАНАЛ",AE877)),ISNUMBER(SEARCH("без 30",AE877))),2,1))</f>
      </c>
      <c r="BV877" s="129">
        <f>IF(R877="","",COUNTIF($R$3:R877,"?*"))</f>
      </c>
      <c r="BW877" s="129">
        <f>IF(AY877&lt;&gt;1,0,IF(MAX(IFERROR(--VLOOKUP(R877,УГО_спр,5,FALSE),0),IFERROR(--VLOOKUP(AL877,УГО_спр,5,FALSE),0),IFERROR(--VLOOKUP(LEFT(AL877,2),УГО_спр,5,FALSE),0))&gt;0,MAX(IFERROR(--VLOOKUP(R877,УГО_спр,5,FALSE),0),IFERROR(--VLOOKUP(AL877,УГО_спр,5,FALSE),0),IFERROR(--VLOOKUP(LEFT(AL877,2),УГО_спр,5,FALSE),0)),IF(IFERROR(--LEFT(SUBSTITUTE(BQ877,"x","х"),FIND("х",SUBSTITUTE(BQ877,"x","х"))-1),3)&gt;3,Каталог!$S$9,1)))</f>
      </c>
      <c r="BX877" s="129">
        <f>IF(AY877&lt;&gt;1,0,MAX(0,IFERROR(--LEFT(SUBSTITUTE(BQ877,"x","х"),FIND("х",SUBSTITUTE(BQ877,"x","х"))-1),3)-3*BW877))</f>
      </c>
      <c r="BY877" s="129">
        <f>IF(R877="","",IFERROR(VLOOKUP(R877,УГО_спр,2,FALSE),IFERROR(VLOOKUP(AL877,УГО_спр,2,FALSE),IFERROR(VLOOKUP(LEFT(AL877,2),УГО_спр,2,FALSE),""))))</f>
      </c>
    </row>
    <row r="878" spans="1:64" x14ac:dyDescent="0.3">
      <c r="A878" s="135">
        <f>IF(Разбивка_по_щитам!F878=0,"",Разбивка_по_щитам!F878)</f>
        <v/>
      </c>
      <c r="B878" s="138">
        <f>IF(A878="","",Разбивка_по_щитам!C878)</f>
        <v/>
      </c>
      <c r="C878" s="138">
        <f t="shared" si="542"/>
        <v/>
      </c>
      <c r="D878" s="266"/>
      <c r="E878" s="266"/>
      <c r="F878" s="267"/>
      <c r="G878" s="145">
        <f t="shared" si="543"/>
        <v/>
      </c>
      <c r="H878" s="145">
        <f t="shared" si="544"/>
        <v/>
      </c>
      <c r="I878" s="266"/>
      <c r="J878" s="267"/>
      <c r="K878" s="267"/>
      <c r="L878" s="266"/>
      <c r="M878" s="147">
        <f t="shared" si="545"/>
        <v/>
      </c>
      <c r="N878" s="267"/>
      <c r="O878" s="147">
        <f t="shared" si="546"/>
        <v/>
      </c>
      <c r="P878" s="268">
        <f>IF(AY878=1,"XT"&amp;COUNTIFS($A$3:A878,A878,$AY$3:AY878,1),"")</f>
        <v/>
      </c>
      <c r="Q878" s="152">
        <f>IF(R878="","",IFERROR(SUBSTITUTE(Разбивка_по_щитам!P878,CHAR(10)," "),""))</f>
        <v/>
      </c>
      <c r="R878" s="153">
        <f>IF(OR(Разбивка_по_щитам!H878="",Разбивка_по_щитам!H878=0),"",Разбивка_по_щитам!H878)</f>
        <v/>
      </c>
      <c r="S878" s="154">
        <f>IF(R878="","",IFERROR(Разбивка_по_щитам!J878&amp;"",""))</f>
        <v/>
      </c>
      <c r="T878" s="155">
        <f>IF(R878="","",IFERROR(--Разбивка_по_щитам!L878,""))</f>
        <v/>
      </c>
      <c r="U878" s="155">
        <f>IF(R878="","",IFERROR(--Разбивка_по_щитам!K878,""))</f>
        <v/>
      </c>
      <c r="V878" s="138">
        <f>IF(R878="","",IFERROR(IF(Разбивка_по_щитам!M878=0,"",Разбивка_по_щитам!M878),""))</f>
        <v/>
      </c>
      <c r="W878" s="156">
        <f t="shared" si="547"/>
        <v/>
      </c>
      <c r="X878" s="157">
        <f t="shared" si="548"/>
        <v/>
      </c>
      <c r="Y878" s="266"/>
      <c r="Z878" s="158">
        <f t="shared" si="549"/>
        <v/>
      </c>
      <c r="AA878" s="160">
        <f t="shared" si="550"/>
        <v/>
      </c>
      <c r="AB878" s="160">
        <f>IF(R878="","",IFERROR(LOOKUP(INDEX(Справочная!$I$4:$I$19,MATCH(VLOOKUP(R878,Исходные_данные,22,FALSE),Справочная!$J$4:$J$19,0)+1),{6,10,16,20,25,32,40,50,63,80,100,125}),""))</f>
        <v/>
      </c>
      <c r="AC878" s="160">
        <f t="shared" si="551"/>
        <v/>
      </c>
      <c r="AD878" s="161">
        <f t="shared" si="552"/>
        <v/>
      </c>
      <c r="AE878" s="161">
        <f>IF(AND(R878="",G878=""),"",_xlfn.TEXTJOIN("; ",TRUE,IF(AND(R878&lt;&gt;"",V878=""),"нет фазы",""),IF(AND(R878&lt;&gt;"",N(T878)=0),"нет мощности",""),IF(AND(P878&lt;&gt;"",COUNTIFS($A$3:$A$1000,A878,$P$3:$P$1000,P878)&gt;1),"дубль клеммы "&amp;P878,""),IF(AND(W878&lt;&gt;"",W878&lt;&gt;"ok"),W878,""),IF(X878&lt;&gt;"",X878,""),IF(AND(ISNUMBER(SEARCH("(5х",Q878)),N(AK878)=1),"5 жил на 1 фазе",""),IF(AND(AL878="R",E878&lt;&gt;"",N(AS878)=0),"розетка без 30 мА",""),IF(IFERROR(_xlfn.NUMBERVALUE(MID(Q878,FIND("-",Q878,FIND("L=",Q878))+1,FIND("%",Q878)-FIND("-",Q878,FIND("L=",Q878))-1),","),0)&gt;4,"потери &gt; 4 %","")))</f>
      </c>
      <c r="AF878" s="129">
        <f>IF(E878&lt;&gt;"",COUNTIFS($A$3:A878,A878,$E$3:E878,"?*"),IF(OR(A878&lt;&gt;A877,Y878="вручную"),"",AF877))</f>
        <v/>
      </c>
      <c r="AG878" s="129">
        <f t="shared" si="553"/>
        <v/>
      </c>
      <c r="AH878" s="129">
        <f t="shared" si="554"/>
        <v/>
      </c>
      <c r="AI878" s="129">
        <f t="shared" si="555"/>
        <v/>
      </c>
      <c r="AJ878" s="129">
        <f t="shared" si="556"/>
        <v/>
      </c>
      <c r="AK878" s="129">
        <f t="shared" si="557"/>
        <v/>
      </c>
      <c r="AL878" s="129">
        <f t="shared" si="558"/>
        <v/>
      </c>
      <c r="AM878" s="129">
        <f t="shared" si="559"/>
      </c>
      <c r="AN878" s="129">
        <f t="shared" si="560"/>
      </c>
      <c r="AO878" s="129">
        <f t="shared" si="561"/>
        <v/>
      </c>
      <c r="AP878" s="129">
        <f t="shared" si="562"/>
        <v/>
      </c>
      <c r="AQ878" s="129">
        <f t="shared" si="563"/>
        <v/>
      </c>
      <c r="AR878" s="129">
        <f t="shared" si="564"/>
        <v/>
      </c>
      <c r="AS878" s="129">
        <f t="shared" si="565"/>
        <v/>
      </c>
      <c r="AT878" s="129">
        <f t="shared" si="566"/>
        <v/>
      </c>
      <c r="AU878" s="129">
        <f t="shared" si="567"/>
        <v/>
      </c>
      <c r="AV878" s="129">
        <f t="shared" si="568"/>
        <v/>
      </c>
      <c r="AW878" s="129">
        <f>IF(AV878="","",AV878&amp;"."&amp;COUNTIFS($A$3:A878,A878,$AV$3:AV878,AV878))</f>
        <v/>
      </c>
      <c r="AX878" s="129">
        <f t="shared" si="569"/>
        <v/>
      </c>
      <c r="AY878" s="129">
        <f>IF(N878="б/к",0,IF(OR(ISNUMBER(SEARCH("L=",Разбивка_по_щитам!P878)),N878="+",N878="="),1,0))</f>
      </c>
      <c r="AZ878" s="129">
        <f t="shared" si="570"/>
        <v/>
      </c>
      <c r="BA878" s="129">
        <f t="shared" si="571"/>
      </c>
      <c r="BB878" s="129">
        <f t="shared" si="572"/>
      </c>
      <c r="BD878" s="129">
        <f t="shared" si="573"/>
      </c>
      <c r="BE878" s="129">
        <f t="shared" si="574"/>
      </c>
      <c r="BF878" s="129">
        <f t="shared" si="575"/>
      </c>
      <c r="BG878" s="129">
        <f t="shared" si="576"/>
        <v/>
      </c>
      <c r="BH878" s="129">
        <f t="shared" si="577"/>
        <v/>
      </c>
      <c r="BI878" s="129">
        <f t="shared" si="578"/>
        <v/>
      </c>
      <c r="BJ878" s="129">
        <f t="shared" si="579"/>
        <v/>
      </c>
      <c r="BK878" s="129">
        <f>IF(R878="","",IF(OR(BY878="",BY878=0),"BOX",IFERROR(IF(VLOOKUP(BY878,УГО_блоки,3,FALSE)&amp;""&lt;&gt;"",VLOOKUP(BY878,УГО_блоки,3,FALSE),VLOOKUP(BY878,УГО_блоки,2,FALSE)),BY878)))</f>
      </c>
      <c r="BL878" s="129">
        <f t="shared" si="581"/>
      </c>
      <c r="BM878" s="129">
        <f>IF(H878="","",IF(COUNTIF($H$3:H878,H878)=1,MAX($BM$2:BM877)+1,""))</f>
      </c>
      <c r="BN878" s="129">
        <f>IF(I878="","",IF(COUNTIF($I$3:I878,I878)+COUNTIF($J$2:J877,I878)+COUNTIF($K$2:K877,I878)=1,MAX($BN$2:BP877)+1,""))</f>
      </c>
      <c r="BO878" s="129">
        <f>IF(J878="","",IF(COUNTIF($I$3:I878,J878)+COUNTIF($J$3:J878,J878)+COUNTIF($K$2:K877,J878)=1,MAX($BN$2:BP877,BN878)+1,""))</f>
      </c>
      <c r="BP878" s="129">
        <f>IF(K878="","",IF(COUNTIF($I$3:I878,K878)+COUNTIF($J$3:J878,K878)+COUNTIF($K$3:K878,K878)=1,MAX($BN$2:BP877,BN878,BO878)+1,""))</f>
      </c>
      <c r="BQ878" s="129">
        <f>IF(AY878=1,IFERROR(MID(Q878,FIND(" (",Q878)+2,FIND(")",Q878,FIND(" (",Q878))-FIND(" (",Q878)-2),"?"),"")</f>
      </c>
      <c r="BR878" s="129">
        <f>IF(BQ878="","",IF(COUNTIF($BQ$3:BQ878,BQ878)=1,MAX($BR$2:BR877)+1,""))</f>
      </c>
      <c r="BS878" s="129">
        <f>IF(AW878="","",COUNTIF($AW$3:AW878,"?*"))</f>
      </c>
      <c r="BT878" s="129">
        <f>IF(OR(AW878="",AI878=""),"",IF(COUNTIFS($AW$3:AW878,"?*",$AI$3:AI878,AI878)=1,MAX($BT$2:BT877)+1,""))</f>
      </c>
      <c r="BU878" s="129">
        <f>IF(AE878="",0,IF(OR(ISNUMBER(SEARCH("дубль",AE878)),ISNUMBER(SEARCH("ПЕРЕГРУЗ",AE878)),ISNUMBER(SEARCH("ЗАЩИЩ",AE878)),ISNUMBER(SEARCH("КАНАЛ",AE878)),ISNUMBER(SEARCH("без 30",AE878))),2,1))</f>
      </c>
      <c r="BV878" s="129">
        <f>IF(R878="","",COUNTIF($R$3:R878,"?*"))</f>
      </c>
      <c r="BW878" s="129">
        <f>IF(AY878&lt;&gt;1,0,IF(MAX(IFERROR(--VLOOKUP(R878,УГО_спр,5,FALSE),0),IFERROR(--VLOOKUP(AL878,УГО_спр,5,FALSE),0),IFERROR(--VLOOKUP(LEFT(AL878,2),УГО_спр,5,FALSE),0))&gt;0,MAX(IFERROR(--VLOOKUP(R878,УГО_спр,5,FALSE),0),IFERROR(--VLOOKUP(AL878,УГО_спр,5,FALSE),0),IFERROR(--VLOOKUP(LEFT(AL878,2),УГО_спр,5,FALSE),0)),IF(IFERROR(--LEFT(SUBSTITUTE(BQ878,"x","х"),FIND("х",SUBSTITUTE(BQ878,"x","х"))-1),3)&gt;3,Каталог!$S$9,1)))</f>
      </c>
      <c r="BX878" s="129">
        <f>IF(AY878&lt;&gt;1,0,MAX(0,IFERROR(--LEFT(SUBSTITUTE(BQ878,"x","х"),FIND("х",SUBSTITUTE(BQ878,"x","х"))-1),3)-3*BW878))</f>
      </c>
      <c r="BY878" s="129">
        <f>IF(R878="","",IFERROR(VLOOKUP(R878,УГО_спр,2,FALSE),IFERROR(VLOOKUP(AL878,УГО_спр,2,FALSE),IFERROR(VLOOKUP(LEFT(AL878,2),УГО_спр,2,FALSE),""))))</f>
      </c>
    </row>
    <row r="879" spans="1:64" x14ac:dyDescent="0.3">
      <c r="A879" s="135">
        <f>IF(Разбивка_по_щитам!F879=0,"",Разбивка_по_щитам!F879)</f>
        <v/>
      </c>
      <c r="B879" s="138">
        <f>IF(A879="","",Разбивка_по_щитам!C879)</f>
        <v/>
      </c>
      <c r="C879" s="138">
        <f t="shared" si="542"/>
        <v/>
      </c>
      <c r="D879" s="266"/>
      <c r="E879" s="266"/>
      <c r="F879" s="267"/>
      <c r="G879" s="145">
        <f t="shared" si="543"/>
        <v/>
      </c>
      <c r="H879" s="145">
        <f t="shared" si="544"/>
        <v/>
      </c>
      <c r="I879" s="266"/>
      <c r="J879" s="267"/>
      <c r="K879" s="267"/>
      <c r="L879" s="266"/>
      <c r="M879" s="147">
        <f t="shared" si="545"/>
        <v/>
      </c>
      <c r="N879" s="267"/>
      <c r="O879" s="147">
        <f t="shared" si="546"/>
        <v/>
      </c>
      <c r="P879" s="268">
        <f>IF(AY879=1,"XT"&amp;COUNTIFS($A$3:A879,A879,$AY$3:AY879,1),"")</f>
        <v/>
      </c>
      <c r="Q879" s="152">
        <f>IF(R879="","",IFERROR(SUBSTITUTE(Разбивка_по_щитам!P879,CHAR(10)," "),""))</f>
        <v/>
      </c>
      <c r="R879" s="153">
        <f>IF(OR(Разбивка_по_щитам!H879="",Разбивка_по_щитам!H879=0),"",Разбивка_по_щитам!H879)</f>
        <v/>
      </c>
      <c r="S879" s="154">
        <f>IF(R879="","",IFERROR(Разбивка_по_щитам!J879&amp;"",""))</f>
        <v/>
      </c>
      <c r="T879" s="155">
        <f>IF(R879="","",IFERROR(--Разбивка_по_щитам!L879,""))</f>
        <v/>
      </c>
      <c r="U879" s="155">
        <f>IF(R879="","",IFERROR(--Разбивка_по_щитам!K879,""))</f>
        <v/>
      </c>
      <c r="V879" s="138">
        <f>IF(R879="","",IFERROR(IF(Разбивка_по_щитам!M879=0,"",Разбивка_по_щитам!M879),""))</f>
        <v/>
      </c>
      <c r="W879" s="156">
        <f t="shared" si="547"/>
        <v/>
      </c>
      <c r="X879" s="157">
        <f t="shared" si="548"/>
        <v/>
      </c>
      <c r="Y879" s="266"/>
      <c r="Z879" s="158">
        <f t="shared" si="549"/>
        <v/>
      </c>
      <c r="AA879" s="160">
        <f t="shared" si="550"/>
        <v/>
      </c>
      <c r="AB879" s="160">
        <f>IF(R879="","",IFERROR(LOOKUP(INDEX(Справочная!$I$4:$I$19,MATCH(VLOOKUP(R879,Исходные_данные,22,FALSE),Справочная!$J$4:$J$19,0)+1),{6,10,16,20,25,32,40,50,63,80,100,125}),""))</f>
        <v/>
      </c>
      <c r="AC879" s="160">
        <f t="shared" si="551"/>
        <v/>
      </c>
      <c r="AD879" s="161">
        <f t="shared" si="552"/>
        <v/>
      </c>
      <c r="AE879" s="161">
        <f>IF(AND(R879="",G879=""),"",_xlfn.TEXTJOIN("; ",TRUE,IF(AND(R879&lt;&gt;"",V879=""),"нет фазы",""),IF(AND(R879&lt;&gt;"",N(T879)=0),"нет мощности",""),IF(AND(P879&lt;&gt;"",COUNTIFS($A$3:$A$1000,A879,$P$3:$P$1000,P879)&gt;1),"дубль клеммы "&amp;P879,""),IF(AND(W879&lt;&gt;"",W879&lt;&gt;"ok"),W879,""),IF(X879&lt;&gt;"",X879,""),IF(AND(ISNUMBER(SEARCH("(5х",Q879)),N(AK879)=1),"5 жил на 1 фазе",""),IF(AND(AL879="R",E879&lt;&gt;"",N(AS879)=0),"розетка без 30 мА",""),IF(IFERROR(_xlfn.NUMBERVALUE(MID(Q879,FIND("-",Q879,FIND("L=",Q879))+1,FIND("%",Q879)-FIND("-",Q879,FIND("L=",Q879))-1),","),0)&gt;4,"потери &gt; 4 %","")))</f>
      </c>
      <c r="AF879" s="129">
        <f>IF(E879&lt;&gt;"",COUNTIFS($A$3:A879,A879,$E$3:E879,"?*"),IF(OR(A879&lt;&gt;A878,Y879="вручную"),"",AF878))</f>
        <v/>
      </c>
      <c r="AG879" s="129">
        <f t="shared" si="553"/>
        <v/>
      </c>
      <c r="AH879" s="129">
        <f t="shared" si="554"/>
        <v/>
      </c>
      <c r="AI879" s="129">
        <f t="shared" si="555"/>
        <v/>
      </c>
      <c r="AJ879" s="129">
        <f t="shared" si="556"/>
        <v/>
      </c>
      <c r="AK879" s="129">
        <f t="shared" si="557"/>
        <v/>
      </c>
      <c r="AL879" s="129">
        <f t="shared" si="558"/>
        <v/>
      </c>
      <c r="AM879" s="129">
        <f t="shared" si="559"/>
      </c>
      <c r="AN879" s="129">
        <f t="shared" si="560"/>
      </c>
      <c r="AO879" s="129">
        <f t="shared" si="561"/>
        <v/>
      </c>
      <c r="AP879" s="129">
        <f t="shared" si="562"/>
        <v/>
      </c>
      <c r="AQ879" s="129">
        <f t="shared" si="563"/>
        <v/>
      </c>
      <c r="AR879" s="129">
        <f t="shared" si="564"/>
        <v/>
      </c>
      <c r="AS879" s="129">
        <f t="shared" si="565"/>
        <v/>
      </c>
      <c r="AT879" s="129">
        <f t="shared" si="566"/>
        <v/>
      </c>
      <c r="AU879" s="129">
        <f t="shared" si="567"/>
        <v/>
      </c>
      <c r="AV879" s="129">
        <f t="shared" si="568"/>
        <v/>
      </c>
      <c r="AW879" s="129">
        <f>IF(AV879="","",AV879&amp;"."&amp;COUNTIFS($A$3:A879,A879,$AV$3:AV879,AV879))</f>
        <v/>
      </c>
      <c r="AX879" s="129">
        <f t="shared" si="569"/>
        <v/>
      </c>
      <c r="AY879" s="129">
        <f>IF(N879="б/к",0,IF(OR(ISNUMBER(SEARCH("L=",Разбивка_по_щитам!P879)),N879="+",N879="="),1,0))</f>
      </c>
      <c r="AZ879" s="129">
        <f t="shared" si="570"/>
        <v/>
      </c>
      <c r="BA879" s="129">
        <f t="shared" si="571"/>
      </c>
      <c r="BB879" s="129">
        <f t="shared" si="572"/>
      </c>
      <c r="BD879" s="129">
        <f t="shared" si="573"/>
      </c>
      <c r="BE879" s="129">
        <f t="shared" si="574"/>
      </c>
      <c r="BF879" s="129">
        <f t="shared" si="575"/>
      </c>
      <c r="BG879" s="129">
        <f t="shared" si="576"/>
        <v/>
      </c>
      <c r="BH879" s="129">
        <f t="shared" si="577"/>
        <v/>
      </c>
      <c r="BI879" s="129">
        <f t="shared" si="578"/>
        <v/>
      </c>
      <c r="BJ879" s="129">
        <f t="shared" si="579"/>
        <v/>
      </c>
      <c r="BK879" s="129">
        <f>IF(R879="","",IF(OR(BY879="",BY879=0),"BOX",IFERROR(IF(VLOOKUP(BY879,УГО_блоки,3,FALSE)&amp;""&lt;&gt;"",VLOOKUP(BY879,УГО_блоки,3,FALSE),VLOOKUP(BY879,УГО_блоки,2,FALSE)),BY879)))</f>
      </c>
      <c r="BL879" s="129">
        <f t="shared" si="581"/>
      </c>
      <c r="BM879" s="129">
        <f>IF(H879="","",IF(COUNTIF($H$3:H879,H879)=1,MAX($BM$2:BM878)+1,""))</f>
      </c>
      <c r="BN879" s="129">
        <f>IF(I879="","",IF(COUNTIF($I$3:I879,I879)+COUNTIF($J$2:J878,I879)+COUNTIF($K$2:K878,I879)=1,MAX($BN$2:BP878)+1,""))</f>
      </c>
      <c r="BO879" s="129">
        <f>IF(J879="","",IF(COUNTIF($I$3:I879,J879)+COUNTIF($J$3:J879,J879)+COUNTIF($K$2:K878,J879)=1,MAX($BN$2:BP878,BN879)+1,""))</f>
      </c>
      <c r="BP879" s="129">
        <f>IF(K879="","",IF(COUNTIF($I$3:I879,K879)+COUNTIF($J$3:J879,K879)+COUNTIF($K$3:K879,K879)=1,MAX($BN$2:BP878,BN879,BO879)+1,""))</f>
      </c>
      <c r="BQ879" s="129">
        <f>IF(AY879=1,IFERROR(MID(Q879,FIND(" (",Q879)+2,FIND(")",Q879,FIND(" (",Q879))-FIND(" (",Q879)-2),"?"),"")</f>
      </c>
      <c r="BR879" s="129">
        <f>IF(BQ879="","",IF(COUNTIF($BQ$3:BQ879,BQ879)=1,MAX($BR$2:BR878)+1,""))</f>
      </c>
      <c r="BS879" s="129">
        <f>IF(AW879="","",COUNTIF($AW$3:AW879,"?*"))</f>
      </c>
      <c r="BT879" s="129">
        <f>IF(OR(AW879="",AI879=""),"",IF(COUNTIFS($AW$3:AW879,"?*",$AI$3:AI879,AI879)=1,MAX($BT$2:BT878)+1,""))</f>
      </c>
      <c r="BU879" s="129">
        <f>IF(AE879="",0,IF(OR(ISNUMBER(SEARCH("дубль",AE879)),ISNUMBER(SEARCH("ПЕРЕГРУЗ",AE879)),ISNUMBER(SEARCH("ЗАЩИЩ",AE879)),ISNUMBER(SEARCH("КАНАЛ",AE879)),ISNUMBER(SEARCH("без 30",AE879))),2,1))</f>
      </c>
      <c r="BV879" s="129">
        <f>IF(R879="","",COUNTIF($R$3:R879,"?*"))</f>
      </c>
      <c r="BW879" s="129">
        <f>IF(AY879&lt;&gt;1,0,IF(MAX(IFERROR(--VLOOKUP(R879,УГО_спр,5,FALSE),0),IFERROR(--VLOOKUP(AL879,УГО_спр,5,FALSE),0),IFERROR(--VLOOKUP(LEFT(AL879,2),УГО_спр,5,FALSE),0))&gt;0,MAX(IFERROR(--VLOOKUP(R879,УГО_спр,5,FALSE),0),IFERROR(--VLOOKUP(AL879,УГО_спр,5,FALSE),0),IFERROR(--VLOOKUP(LEFT(AL879,2),УГО_спр,5,FALSE),0)),IF(IFERROR(--LEFT(SUBSTITUTE(BQ879,"x","х"),FIND("х",SUBSTITUTE(BQ879,"x","х"))-1),3)&gt;3,Каталог!$S$9,1)))</f>
      </c>
      <c r="BX879" s="129">
        <f>IF(AY879&lt;&gt;1,0,MAX(0,IFERROR(--LEFT(SUBSTITUTE(BQ879,"x","х"),FIND("х",SUBSTITUTE(BQ879,"x","х"))-1),3)-3*BW879))</f>
      </c>
      <c r="BY879" s="129">
        <f>IF(R879="","",IFERROR(VLOOKUP(R879,УГО_спр,2,FALSE),IFERROR(VLOOKUP(AL879,УГО_спр,2,FALSE),IFERROR(VLOOKUP(LEFT(AL879,2),УГО_спр,2,FALSE),""))))</f>
      </c>
    </row>
    <row r="880" spans="1:64" x14ac:dyDescent="0.3">
      <c r="A880" s="135">
        <f>IF(Разбивка_по_щитам!F880=0,"",Разбивка_по_щитам!F880)</f>
        <v/>
      </c>
      <c r="B880" s="138">
        <f>IF(A880="","",Разбивка_по_щитам!C880)</f>
        <v/>
      </c>
      <c r="C880" s="138">
        <f t="shared" si="542"/>
        <v/>
      </c>
      <c r="D880" s="266"/>
      <c r="E880" s="266"/>
      <c r="F880" s="267"/>
      <c r="G880" s="145">
        <f t="shared" si="543"/>
        <v/>
      </c>
      <c r="H880" s="145">
        <f t="shared" si="544"/>
        <v/>
      </c>
      <c r="I880" s="266"/>
      <c r="J880" s="267"/>
      <c r="K880" s="267"/>
      <c r="L880" s="266"/>
      <c r="M880" s="147">
        <f t="shared" si="545"/>
        <v/>
      </c>
      <c r="N880" s="267"/>
      <c r="O880" s="147">
        <f t="shared" si="546"/>
        <v/>
      </c>
      <c r="P880" s="268">
        <f>IF(AY880=1,"XT"&amp;COUNTIFS($A$3:A880,A880,$AY$3:AY880,1),"")</f>
        <v/>
      </c>
      <c r="Q880" s="152">
        <f>IF(R880="","",IFERROR(SUBSTITUTE(Разбивка_по_щитам!P880,CHAR(10)," "),""))</f>
        <v/>
      </c>
      <c r="R880" s="153">
        <f>IF(OR(Разбивка_по_щитам!H880="",Разбивка_по_щитам!H880=0),"",Разбивка_по_щитам!H880)</f>
        <v/>
      </c>
      <c r="S880" s="154">
        <f>IF(R880="","",IFERROR(Разбивка_по_щитам!J880&amp;"",""))</f>
        <v/>
      </c>
      <c r="T880" s="155">
        <f>IF(R880="","",IFERROR(--Разбивка_по_щитам!L880,""))</f>
        <v/>
      </c>
      <c r="U880" s="155">
        <f>IF(R880="","",IFERROR(--Разбивка_по_щитам!K880,""))</f>
        <v/>
      </c>
      <c r="V880" s="138">
        <f>IF(R880="","",IFERROR(IF(Разбивка_по_щитам!M880=0,"",Разбивка_по_щитам!M880),""))</f>
        <v/>
      </c>
      <c r="W880" s="156">
        <f t="shared" si="547"/>
        <v/>
      </c>
      <c r="X880" s="157">
        <f t="shared" si="548"/>
        <v/>
      </c>
      <c r="Y880" s="266"/>
      <c r="Z880" s="158">
        <f t="shared" si="549"/>
        <v/>
      </c>
      <c r="AA880" s="160">
        <f t="shared" si="550"/>
        <v/>
      </c>
      <c r="AB880" s="160">
        <f>IF(R880="","",IFERROR(LOOKUP(INDEX(Справочная!$I$4:$I$19,MATCH(VLOOKUP(R880,Исходные_данные,22,FALSE),Справочная!$J$4:$J$19,0)+1),{6,10,16,20,25,32,40,50,63,80,100,125}),""))</f>
        <v/>
      </c>
      <c r="AC880" s="160">
        <f t="shared" si="551"/>
        <v/>
      </c>
      <c r="AD880" s="161">
        <f t="shared" si="552"/>
        <v/>
      </c>
      <c r="AE880" s="161">
        <f>IF(AND(R880="",G880=""),"",_xlfn.TEXTJOIN("; ",TRUE,IF(AND(R880&lt;&gt;"",V880=""),"нет фазы",""),IF(AND(R880&lt;&gt;"",N(T880)=0),"нет мощности",""),IF(AND(P880&lt;&gt;"",COUNTIFS($A$3:$A$1000,A880,$P$3:$P$1000,P880)&gt;1),"дубль клеммы "&amp;P880,""),IF(AND(W880&lt;&gt;"",W880&lt;&gt;"ok"),W880,""),IF(X880&lt;&gt;"",X880,""),IF(AND(ISNUMBER(SEARCH("(5х",Q880)),N(AK880)=1),"5 жил на 1 фазе",""),IF(AND(AL880="R",E880&lt;&gt;"",N(AS880)=0),"розетка без 30 мА",""),IF(IFERROR(_xlfn.NUMBERVALUE(MID(Q880,FIND("-",Q880,FIND("L=",Q880))+1,FIND("%",Q880)-FIND("-",Q880,FIND("L=",Q880))-1),","),0)&gt;4,"потери &gt; 4 %","")))</f>
      </c>
      <c r="AF880" s="129">
        <f>IF(E880&lt;&gt;"",COUNTIFS($A$3:A880,A880,$E$3:E880,"?*"),IF(OR(A880&lt;&gt;A879,Y880="вручную"),"",AF879))</f>
        <v/>
      </c>
      <c r="AG880" s="129">
        <f t="shared" si="553"/>
        <v/>
      </c>
      <c r="AH880" s="129">
        <f t="shared" si="554"/>
        <v/>
      </c>
      <c r="AI880" s="129">
        <f t="shared" si="555"/>
        <v/>
      </c>
      <c r="AJ880" s="129">
        <f t="shared" si="556"/>
        <v/>
      </c>
      <c r="AK880" s="129">
        <f t="shared" si="557"/>
        <v/>
      </c>
      <c r="AL880" s="129">
        <f t="shared" si="558"/>
        <v/>
      </c>
      <c r="AM880" s="129">
        <f t="shared" si="559"/>
      </c>
      <c r="AN880" s="129">
        <f t="shared" si="560"/>
      </c>
      <c r="AO880" s="129">
        <f t="shared" si="561"/>
        <v/>
      </c>
      <c r="AP880" s="129">
        <f t="shared" si="562"/>
        <v/>
      </c>
      <c r="AQ880" s="129">
        <f t="shared" si="563"/>
        <v/>
      </c>
      <c r="AR880" s="129">
        <f t="shared" si="564"/>
        <v/>
      </c>
      <c r="AS880" s="129">
        <f t="shared" si="565"/>
        <v/>
      </c>
      <c r="AT880" s="129">
        <f t="shared" si="566"/>
        <v/>
      </c>
      <c r="AU880" s="129">
        <f t="shared" si="567"/>
        <v/>
      </c>
      <c r="AV880" s="129">
        <f t="shared" si="568"/>
        <v/>
      </c>
      <c r="AW880" s="129">
        <f>IF(AV880="","",AV880&amp;"."&amp;COUNTIFS($A$3:A880,A880,$AV$3:AV880,AV880))</f>
        <v/>
      </c>
      <c r="AX880" s="129">
        <f t="shared" si="569"/>
        <v/>
      </c>
      <c r="AY880" s="129">
        <f>IF(N880="б/к",0,IF(OR(ISNUMBER(SEARCH("L=",Разбивка_по_щитам!P880)),N880="+",N880="="),1,0))</f>
      </c>
      <c r="AZ880" s="129">
        <f t="shared" si="570"/>
        <v/>
      </c>
      <c r="BA880" s="129">
        <f t="shared" si="571"/>
      </c>
      <c r="BB880" s="129">
        <f t="shared" si="572"/>
      </c>
      <c r="BD880" s="129">
        <f t="shared" si="573"/>
      </c>
      <c r="BE880" s="129">
        <f t="shared" si="574"/>
      </c>
      <c r="BF880" s="129">
        <f t="shared" si="575"/>
      </c>
      <c r="BG880" s="129">
        <f t="shared" si="576"/>
        <v/>
      </c>
      <c r="BH880" s="129">
        <f t="shared" si="577"/>
        <v/>
      </c>
      <c r="BI880" s="129">
        <f t="shared" si="578"/>
        <v/>
      </c>
      <c r="BJ880" s="129">
        <f t="shared" si="579"/>
        <v/>
      </c>
      <c r="BK880" s="129">
        <f>IF(R880="","",IF(OR(BY880="",BY880=0),"BOX",IFERROR(IF(VLOOKUP(BY880,УГО_блоки,3,FALSE)&amp;""&lt;&gt;"",VLOOKUP(BY880,УГО_блоки,3,FALSE),VLOOKUP(BY880,УГО_блоки,2,FALSE)),BY880)))</f>
      </c>
      <c r="BL880" s="129">
        <f t="shared" si="581"/>
      </c>
      <c r="BM880" s="129">
        <f>IF(H880="","",IF(COUNTIF($H$3:H880,H880)=1,MAX($BM$2:BM879)+1,""))</f>
      </c>
      <c r="BN880" s="129">
        <f>IF(I880="","",IF(COUNTIF($I$3:I880,I880)+COUNTIF($J$2:J879,I880)+COUNTIF($K$2:K879,I880)=1,MAX($BN$2:BP879)+1,""))</f>
      </c>
      <c r="BO880" s="129">
        <f>IF(J880="","",IF(COUNTIF($I$3:I880,J880)+COUNTIF($J$3:J880,J880)+COUNTIF($K$2:K879,J880)=1,MAX($BN$2:BP879,BN880)+1,""))</f>
      </c>
      <c r="BP880" s="129">
        <f>IF(K880="","",IF(COUNTIF($I$3:I880,K880)+COUNTIF($J$3:J880,K880)+COUNTIF($K$3:K880,K880)=1,MAX($BN$2:BP879,BN880,BO880)+1,""))</f>
      </c>
      <c r="BQ880" s="129">
        <f>IF(AY880=1,IFERROR(MID(Q880,FIND(" (",Q880)+2,FIND(")",Q880,FIND(" (",Q880))-FIND(" (",Q880)-2),"?"),"")</f>
      </c>
      <c r="BR880" s="129">
        <f>IF(BQ880="","",IF(COUNTIF($BQ$3:BQ880,BQ880)=1,MAX($BR$2:BR879)+1,""))</f>
      </c>
      <c r="BS880" s="129">
        <f>IF(AW880="","",COUNTIF($AW$3:AW880,"?*"))</f>
      </c>
      <c r="BT880" s="129">
        <f>IF(OR(AW880="",AI880=""),"",IF(COUNTIFS($AW$3:AW880,"?*",$AI$3:AI880,AI880)=1,MAX($BT$2:BT879)+1,""))</f>
      </c>
      <c r="BU880" s="129">
        <f>IF(AE880="",0,IF(OR(ISNUMBER(SEARCH("дубль",AE880)),ISNUMBER(SEARCH("ПЕРЕГРУЗ",AE880)),ISNUMBER(SEARCH("ЗАЩИЩ",AE880)),ISNUMBER(SEARCH("КАНАЛ",AE880)),ISNUMBER(SEARCH("без 30",AE880))),2,1))</f>
      </c>
      <c r="BV880" s="129">
        <f>IF(R880="","",COUNTIF($R$3:R880,"?*"))</f>
      </c>
      <c r="BW880" s="129">
        <f>IF(AY880&lt;&gt;1,0,IF(MAX(IFERROR(--VLOOKUP(R880,УГО_спр,5,FALSE),0),IFERROR(--VLOOKUP(AL880,УГО_спр,5,FALSE),0),IFERROR(--VLOOKUP(LEFT(AL880,2),УГО_спр,5,FALSE),0))&gt;0,MAX(IFERROR(--VLOOKUP(R880,УГО_спр,5,FALSE),0),IFERROR(--VLOOKUP(AL880,УГО_спр,5,FALSE),0),IFERROR(--VLOOKUP(LEFT(AL880,2),УГО_спр,5,FALSE),0)),IF(IFERROR(--LEFT(SUBSTITUTE(BQ880,"x","х"),FIND("х",SUBSTITUTE(BQ880,"x","х"))-1),3)&gt;3,Каталог!$S$9,1)))</f>
      </c>
      <c r="BX880" s="129">
        <f>IF(AY880&lt;&gt;1,0,MAX(0,IFERROR(--LEFT(SUBSTITUTE(BQ880,"x","х"),FIND("х",SUBSTITUTE(BQ880,"x","х"))-1),3)-3*BW880))</f>
      </c>
      <c r="BY880" s="129">
        <f>IF(R880="","",IFERROR(VLOOKUP(R880,УГО_спр,2,FALSE),IFERROR(VLOOKUP(AL880,УГО_спр,2,FALSE),IFERROR(VLOOKUP(LEFT(AL880,2),УГО_спр,2,FALSE),""))))</f>
      </c>
    </row>
    <row r="881" spans="1:64" x14ac:dyDescent="0.3">
      <c r="A881" s="135">
        <f>IF(Разбивка_по_щитам!F881=0,"",Разбивка_по_щитам!F881)</f>
        <v/>
      </c>
      <c r="B881" s="138">
        <f>IF(A881="","",Разбивка_по_щитам!C881)</f>
        <v/>
      </c>
      <c r="C881" s="138">
        <f t="shared" si="542"/>
        <v/>
      </c>
      <c r="D881" s="266"/>
      <c r="E881" s="266"/>
      <c r="F881" s="267"/>
      <c r="G881" s="145">
        <f t="shared" si="543"/>
        <v/>
      </c>
      <c r="H881" s="145">
        <f t="shared" si="544"/>
        <v/>
      </c>
      <c r="I881" s="266"/>
      <c r="J881" s="267"/>
      <c r="K881" s="267"/>
      <c r="L881" s="266"/>
      <c r="M881" s="147">
        <f t="shared" si="545"/>
        <v/>
      </c>
      <c r="N881" s="267"/>
      <c r="O881" s="147">
        <f t="shared" si="546"/>
        <v/>
      </c>
      <c r="P881" s="268">
        <f>IF(AY881=1,"XT"&amp;COUNTIFS($A$3:A881,A881,$AY$3:AY881,1),"")</f>
        <v/>
      </c>
      <c r="Q881" s="152">
        <f>IF(R881="","",IFERROR(SUBSTITUTE(Разбивка_по_щитам!P881,CHAR(10)," "),""))</f>
        <v/>
      </c>
      <c r="R881" s="153">
        <f>IF(OR(Разбивка_по_щитам!H881="",Разбивка_по_щитам!H881=0),"",Разбивка_по_щитам!H881)</f>
        <v/>
      </c>
      <c r="S881" s="154">
        <f>IF(R881="","",IFERROR(Разбивка_по_щитам!J881&amp;"",""))</f>
        <v/>
      </c>
      <c r="T881" s="155">
        <f>IF(R881="","",IFERROR(--Разбивка_по_щитам!L881,""))</f>
        <v/>
      </c>
      <c r="U881" s="155">
        <f>IF(R881="","",IFERROR(--Разбивка_по_щитам!K881,""))</f>
        <v/>
      </c>
      <c r="V881" s="138">
        <f>IF(R881="","",IFERROR(IF(Разбивка_по_щитам!M881=0,"",Разбивка_по_щитам!M881),""))</f>
        <v/>
      </c>
      <c r="W881" s="156">
        <f t="shared" si="547"/>
        <v/>
      </c>
      <c r="X881" s="157">
        <f t="shared" si="548"/>
        <v/>
      </c>
      <c r="Y881" s="266"/>
      <c r="Z881" s="158">
        <f t="shared" si="549"/>
        <v/>
      </c>
      <c r="AA881" s="160">
        <f t="shared" si="550"/>
        <v/>
      </c>
      <c r="AB881" s="160">
        <f>IF(R881="","",IFERROR(LOOKUP(INDEX(Справочная!$I$4:$I$19,MATCH(VLOOKUP(R881,Исходные_данные,22,FALSE),Справочная!$J$4:$J$19,0)+1),{6,10,16,20,25,32,40,50,63,80,100,125}),""))</f>
        <v/>
      </c>
      <c r="AC881" s="160">
        <f t="shared" si="551"/>
        <v/>
      </c>
      <c r="AD881" s="161">
        <f t="shared" si="552"/>
        <v/>
      </c>
      <c r="AE881" s="161">
        <f>IF(AND(R881="",G881=""),"",_xlfn.TEXTJOIN("; ",TRUE,IF(AND(R881&lt;&gt;"",V881=""),"нет фазы",""),IF(AND(R881&lt;&gt;"",N(T881)=0),"нет мощности",""),IF(AND(P881&lt;&gt;"",COUNTIFS($A$3:$A$1000,A881,$P$3:$P$1000,P881)&gt;1),"дубль клеммы "&amp;P881,""),IF(AND(W881&lt;&gt;"",W881&lt;&gt;"ok"),W881,""),IF(X881&lt;&gt;"",X881,""),IF(AND(ISNUMBER(SEARCH("(5х",Q881)),N(AK881)=1),"5 жил на 1 фазе",""),IF(AND(AL881="R",E881&lt;&gt;"",N(AS881)=0),"розетка без 30 мА",""),IF(IFERROR(_xlfn.NUMBERVALUE(MID(Q881,FIND("-",Q881,FIND("L=",Q881))+1,FIND("%",Q881)-FIND("-",Q881,FIND("L=",Q881))-1),","),0)&gt;4,"потери &gt; 4 %","")))</f>
      </c>
      <c r="AF881" s="129">
        <f>IF(E881&lt;&gt;"",COUNTIFS($A$3:A881,A881,$E$3:E881,"?*"),IF(OR(A881&lt;&gt;A880,Y881="вручную"),"",AF880))</f>
        <v/>
      </c>
      <c r="AG881" s="129">
        <f t="shared" si="553"/>
        <v/>
      </c>
      <c r="AH881" s="129">
        <f t="shared" si="554"/>
        <v/>
      </c>
      <c r="AI881" s="129">
        <f t="shared" si="555"/>
        <v/>
      </c>
      <c r="AJ881" s="129">
        <f t="shared" si="556"/>
        <v/>
      </c>
      <c r="AK881" s="129">
        <f t="shared" si="557"/>
        <v/>
      </c>
      <c r="AL881" s="129">
        <f t="shared" si="558"/>
        <v/>
      </c>
      <c r="AM881" s="129">
        <f t="shared" si="559"/>
      </c>
      <c r="AN881" s="129">
        <f t="shared" si="560"/>
      </c>
      <c r="AO881" s="129">
        <f t="shared" si="561"/>
        <v/>
      </c>
      <c r="AP881" s="129">
        <f t="shared" si="562"/>
        <v/>
      </c>
      <c r="AQ881" s="129">
        <f t="shared" si="563"/>
        <v/>
      </c>
      <c r="AR881" s="129">
        <f t="shared" si="564"/>
        <v/>
      </c>
      <c r="AS881" s="129">
        <f t="shared" si="565"/>
        <v/>
      </c>
      <c r="AT881" s="129">
        <f t="shared" si="566"/>
        <v/>
      </c>
      <c r="AU881" s="129">
        <f t="shared" si="567"/>
        <v/>
      </c>
      <c r="AV881" s="129">
        <f t="shared" si="568"/>
        <v/>
      </c>
      <c r="AW881" s="129">
        <f>IF(AV881="","",AV881&amp;"."&amp;COUNTIFS($A$3:A881,A881,$AV$3:AV881,AV881))</f>
        <v/>
      </c>
      <c r="AX881" s="129">
        <f t="shared" si="569"/>
        <v/>
      </c>
      <c r="AY881" s="129">
        <f>IF(N881="б/к",0,IF(OR(ISNUMBER(SEARCH("L=",Разбивка_по_щитам!P881)),N881="+",N881="="),1,0))</f>
      </c>
      <c r="AZ881" s="129">
        <f t="shared" si="570"/>
        <v/>
      </c>
      <c r="BA881" s="129">
        <f t="shared" si="571"/>
      </c>
      <c r="BB881" s="129">
        <f t="shared" si="572"/>
      </c>
      <c r="BD881" s="129">
        <f t="shared" si="573"/>
      </c>
      <c r="BE881" s="129">
        <f t="shared" si="574"/>
      </c>
      <c r="BF881" s="129">
        <f t="shared" si="575"/>
      </c>
      <c r="BG881" s="129">
        <f t="shared" si="576"/>
        <v/>
      </c>
      <c r="BH881" s="129">
        <f t="shared" si="577"/>
        <v/>
      </c>
      <c r="BI881" s="129">
        <f t="shared" si="578"/>
        <v/>
      </c>
      <c r="BJ881" s="129">
        <f t="shared" si="579"/>
        <v/>
      </c>
      <c r="BK881" s="129">
        <f>IF(R881="","",IF(OR(BY881="",BY881=0),"BOX",IFERROR(IF(VLOOKUP(BY881,УГО_блоки,3,FALSE)&amp;""&lt;&gt;"",VLOOKUP(BY881,УГО_блоки,3,FALSE),VLOOKUP(BY881,УГО_блоки,2,FALSE)),BY881)))</f>
      </c>
      <c r="BL881" s="129">
        <f t="shared" si="581"/>
      </c>
      <c r="BM881" s="129">
        <f>IF(H881="","",IF(COUNTIF($H$3:H881,H881)=1,MAX($BM$2:BM880)+1,""))</f>
      </c>
      <c r="BN881" s="129">
        <f>IF(I881="","",IF(COUNTIF($I$3:I881,I881)+COUNTIF($J$2:J880,I881)+COUNTIF($K$2:K880,I881)=1,MAX($BN$2:BP880)+1,""))</f>
      </c>
      <c r="BO881" s="129">
        <f>IF(J881="","",IF(COUNTIF($I$3:I881,J881)+COUNTIF($J$3:J881,J881)+COUNTIF($K$2:K880,J881)=1,MAX($BN$2:BP880,BN881)+1,""))</f>
      </c>
      <c r="BP881" s="129">
        <f>IF(K881="","",IF(COUNTIF($I$3:I881,K881)+COUNTIF($J$3:J881,K881)+COUNTIF($K$3:K881,K881)=1,MAX($BN$2:BP880,BN881,BO881)+1,""))</f>
      </c>
      <c r="BQ881" s="129">
        <f>IF(AY881=1,IFERROR(MID(Q881,FIND(" (",Q881)+2,FIND(")",Q881,FIND(" (",Q881))-FIND(" (",Q881)-2),"?"),"")</f>
      </c>
      <c r="BR881" s="129">
        <f>IF(BQ881="","",IF(COUNTIF($BQ$3:BQ881,BQ881)=1,MAX($BR$2:BR880)+1,""))</f>
      </c>
      <c r="BS881" s="129">
        <f>IF(AW881="","",COUNTIF($AW$3:AW881,"?*"))</f>
      </c>
      <c r="BT881" s="129">
        <f>IF(OR(AW881="",AI881=""),"",IF(COUNTIFS($AW$3:AW881,"?*",$AI$3:AI881,AI881)=1,MAX($BT$2:BT880)+1,""))</f>
      </c>
      <c r="BU881" s="129">
        <f>IF(AE881="",0,IF(OR(ISNUMBER(SEARCH("дубль",AE881)),ISNUMBER(SEARCH("ПЕРЕГРУЗ",AE881)),ISNUMBER(SEARCH("ЗАЩИЩ",AE881)),ISNUMBER(SEARCH("КАНАЛ",AE881)),ISNUMBER(SEARCH("без 30",AE881))),2,1))</f>
      </c>
      <c r="BV881" s="129">
        <f>IF(R881="","",COUNTIF($R$3:R881,"?*"))</f>
      </c>
      <c r="BW881" s="129">
        <f>IF(AY881&lt;&gt;1,0,IF(MAX(IFERROR(--VLOOKUP(R881,УГО_спр,5,FALSE),0),IFERROR(--VLOOKUP(AL881,УГО_спр,5,FALSE),0),IFERROR(--VLOOKUP(LEFT(AL881,2),УГО_спр,5,FALSE),0))&gt;0,MAX(IFERROR(--VLOOKUP(R881,УГО_спр,5,FALSE),0),IFERROR(--VLOOKUP(AL881,УГО_спр,5,FALSE),0),IFERROR(--VLOOKUP(LEFT(AL881,2),УГО_спр,5,FALSE),0)),IF(IFERROR(--LEFT(SUBSTITUTE(BQ881,"x","х"),FIND("х",SUBSTITUTE(BQ881,"x","х"))-1),3)&gt;3,Каталог!$S$9,1)))</f>
      </c>
      <c r="BX881" s="129">
        <f>IF(AY881&lt;&gt;1,0,MAX(0,IFERROR(--LEFT(SUBSTITUTE(BQ881,"x","х"),FIND("х",SUBSTITUTE(BQ881,"x","х"))-1),3)-3*BW881))</f>
      </c>
      <c r="BY881" s="129">
        <f>IF(R881="","",IFERROR(VLOOKUP(R881,УГО_спр,2,FALSE),IFERROR(VLOOKUP(AL881,УГО_спр,2,FALSE),IFERROR(VLOOKUP(LEFT(AL881,2),УГО_спр,2,FALSE),""))))</f>
      </c>
    </row>
    <row r="882" spans="1:64" x14ac:dyDescent="0.3">
      <c r="A882" s="135">
        <f>IF(Разбивка_по_щитам!F882=0,"",Разбивка_по_щитам!F882)</f>
        <v/>
      </c>
      <c r="B882" s="138">
        <f>IF(A882="","",Разбивка_по_щитам!C882)</f>
        <v/>
      </c>
      <c r="C882" s="138">
        <f t="shared" si="542"/>
        <v/>
      </c>
      <c r="D882" s="266"/>
      <c r="E882" s="266"/>
      <c r="F882" s="267"/>
      <c r="G882" s="145">
        <f t="shared" si="543"/>
        <v/>
      </c>
      <c r="H882" s="145">
        <f t="shared" si="544"/>
        <v/>
      </c>
      <c r="I882" s="266"/>
      <c r="J882" s="267"/>
      <c r="K882" s="267"/>
      <c r="L882" s="266"/>
      <c r="M882" s="147">
        <f t="shared" si="545"/>
        <v/>
      </c>
      <c r="N882" s="267"/>
      <c r="O882" s="147">
        <f t="shared" si="546"/>
        <v/>
      </c>
      <c r="P882" s="268">
        <f>IF(AY882=1,"XT"&amp;COUNTIFS($A$3:A882,A882,$AY$3:AY882,1),"")</f>
        <v/>
      </c>
      <c r="Q882" s="152">
        <f>IF(R882="","",IFERROR(SUBSTITUTE(Разбивка_по_щитам!P882,CHAR(10)," "),""))</f>
        <v/>
      </c>
      <c r="R882" s="153">
        <f>IF(OR(Разбивка_по_щитам!H882="",Разбивка_по_щитам!H882=0),"",Разбивка_по_щитам!H882)</f>
        <v/>
      </c>
      <c r="S882" s="154">
        <f>IF(R882="","",IFERROR(Разбивка_по_щитам!J882&amp;"",""))</f>
        <v/>
      </c>
      <c r="T882" s="155">
        <f>IF(R882="","",IFERROR(--Разбивка_по_щитам!L882,""))</f>
        <v/>
      </c>
      <c r="U882" s="155">
        <f>IF(R882="","",IFERROR(--Разбивка_по_щитам!K882,""))</f>
        <v/>
      </c>
      <c r="V882" s="138">
        <f>IF(R882="","",IFERROR(IF(Разбивка_по_щитам!M882=0,"",Разбивка_по_щитам!M882),""))</f>
        <v/>
      </c>
      <c r="W882" s="156">
        <f t="shared" si="547"/>
        <v/>
      </c>
      <c r="X882" s="157">
        <f t="shared" si="548"/>
        <v/>
      </c>
      <c r="Y882" s="266"/>
      <c r="Z882" s="158">
        <f t="shared" si="549"/>
        <v/>
      </c>
      <c r="AA882" s="160">
        <f t="shared" si="550"/>
        <v/>
      </c>
      <c r="AB882" s="160">
        <f>IF(R882="","",IFERROR(LOOKUP(INDEX(Справочная!$I$4:$I$19,MATCH(VLOOKUP(R882,Исходные_данные,22,FALSE),Справочная!$J$4:$J$19,0)+1),{6,10,16,20,25,32,40,50,63,80,100,125}),""))</f>
        <v/>
      </c>
      <c r="AC882" s="160">
        <f t="shared" si="551"/>
        <v/>
      </c>
      <c r="AD882" s="161">
        <f t="shared" si="552"/>
        <v/>
      </c>
      <c r="AE882" s="161">
        <f>IF(AND(R882="",G882=""),"",_xlfn.TEXTJOIN("; ",TRUE,IF(AND(R882&lt;&gt;"",V882=""),"нет фазы",""),IF(AND(R882&lt;&gt;"",N(T882)=0),"нет мощности",""),IF(AND(P882&lt;&gt;"",COUNTIFS($A$3:$A$1000,A882,$P$3:$P$1000,P882)&gt;1),"дубль клеммы "&amp;P882,""),IF(AND(W882&lt;&gt;"",W882&lt;&gt;"ok"),W882,""),IF(X882&lt;&gt;"",X882,""),IF(AND(ISNUMBER(SEARCH("(5х",Q882)),N(AK882)=1),"5 жил на 1 фазе",""),IF(AND(AL882="R",E882&lt;&gt;"",N(AS882)=0),"розетка без 30 мА",""),IF(IFERROR(_xlfn.NUMBERVALUE(MID(Q882,FIND("-",Q882,FIND("L=",Q882))+1,FIND("%",Q882)-FIND("-",Q882,FIND("L=",Q882))-1),","),0)&gt;4,"потери &gt; 4 %","")))</f>
      </c>
      <c r="AF882" s="129">
        <f>IF(E882&lt;&gt;"",COUNTIFS($A$3:A882,A882,$E$3:E882,"?*"),IF(OR(A882&lt;&gt;A881,Y882="вручную"),"",AF881))</f>
        <v/>
      </c>
      <c r="AG882" s="129">
        <f t="shared" si="553"/>
        <v/>
      </c>
      <c r="AH882" s="129">
        <f t="shared" si="554"/>
        <v/>
      </c>
      <c r="AI882" s="129">
        <f t="shared" si="555"/>
        <v/>
      </c>
      <c r="AJ882" s="129">
        <f t="shared" si="556"/>
        <v/>
      </c>
      <c r="AK882" s="129">
        <f t="shared" si="557"/>
        <v/>
      </c>
      <c r="AL882" s="129">
        <f t="shared" si="558"/>
        <v/>
      </c>
      <c r="AM882" s="129">
        <f t="shared" si="559"/>
      </c>
      <c r="AN882" s="129">
        <f t="shared" si="560"/>
      </c>
      <c r="AO882" s="129">
        <f t="shared" si="561"/>
        <v/>
      </c>
      <c r="AP882" s="129">
        <f t="shared" si="562"/>
        <v/>
      </c>
      <c r="AQ882" s="129">
        <f t="shared" si="563"/>
        <v/>
      </c>
      <c r="AR882" s="129">
        <f t="shared" si="564"/>
        <v/>
      </c>
      <c r="AS882" s="129">
        <f t="shared" si="565"/>
        <v/>
      </c>
      <c r="AT882" s="129">
        <f t="shared" si="566"/>
        <v/>
      </c>
      <c r="AU882" s="129">
        <f t="shared" si="567"/>
        <v/>
      </c>
      <c r="AV882" s="129">
        <f t="shared" si="568"/>
        <v/>
      </c>
      <c r="AW882" s="129">
        <f>IF(AV882="","",AV882&amp;"."&amp;COUNTIFS($A$3:A882,A882,$AV$3:AV882,AV882))</f>
        <v/>
      </c>
      <c r="AX882" s="129">
        <f t="shared" si="569"/>
        <v/>
      </c>
      <c r="AY882" s="129">
        <f>IF(N882="б/к",0,IF(OR(ISNUMBER(SEARCH("L=",Разбивка_по_щитам!P882)),N882="+",N882="="),1,0))</f>
      </c>
      <c r="AZ882" s="129">
        <f t="shared" si="570"/>
        <v/>
      </c>
      <c r="BA882" s="129">
        <f t="shared" si="571"/>
      </c>
      <c r="BB882" s="129">
        <f t="shared" si="572"/>
      </c>
      <c r="BD882" s="129">
        <f t="shared" si="573"/>
      </c>
      <c r="BE882" s="129">
        <f t="shared" si="574"/>
      </c>
      <c r="BF882" s="129">
        <f t="shared" si="575"/>
      </c>
      <c r="BG882" s="129">
        <f t="shared" si="576"/>
        <v/>
      </c>
      <c r="BH882" s="129">
        <f t="shared" si="577"/>
        <v/>
      </c>
      <c r="BI882" s="129">
        <f t="shared" si="578"/>
        <v/>
      </c>
      <c r="BJ882" s="129">
        <f t="shared" si="579"/>
        <v/>
      </c>
      <c r="BK882" s="129">
        <f>IF(R882="","",IF(OR(BY882="",BY882=0),"BOX",IFERROR(IF(VLOOKUP(BY882,УГО_блоки,3,FALSE)&amp;""&lt;&gt;"",VLOOKUP(BY882,УГО_блоки,3,FALSE),VLOOKUP(BY882,УГО_блоки,2,FALSE)),BY882)))</f>
      </c>
      <c r="BL882" s="129">
        <f t="shared" si="581"/>
      </c>
      <c r="BM882" s="129">
        <f>IF(H882="","",IF(COUNTIF($H$3:H882,H882)=1,MAX($BM$2:BM881)+1,""))</f>
      </c>
      <c r="BN882" s="129">
        <f>IF(I882="","",IF(COUNTIF($I$3:I882,I882)+COUNTIF($J$2:J881,I882)+COUNTIF($K$2:K881,I882)=1,MAX($BN$2:BP881)+1,""))</f>
      </c>
      <c r="BO882" s="129">
        <f>IF(J882="","",IF(COUNTIF($I$3:I882,J882)+COUNTIF($J$3:J882,J882)+COUNTIF($K$2:K881,J882)=1,MAX($BN$2:BP881,BN882)+1,""))</f>
      </c>
      <c r="BP882" s="129">
        <f>IF(K882="","",IF(COUNTIF($I$3:I882,K882)+COUNTIF($J$3:J882,K882)+COUNTIF($K$3:K882,K882)=1,MAX($BN$2:BP881,BN882,BO882)+1,""))</f>
      </c>
      <c r="BQ882" s="129">
        <f>IF(AY882=1,IFERROR(MID(Q882,FIND(" (",Q882)+2,FIND(")",Q882,FIND(" (",Q882))-FIND(" (",Q882)-2),"?"),"")</f>
      </c>
      <c r="BR882" s="129">
        <f>IF(BQ882="","",IF(COUNTIF($BQ$3:BQ882,BQ882)=1,MAX($BR$2:BR881)+1,""))</f>
      </c>
      <c r="BS882" s="129">
        <f>IF(AW882="","",COUNTIF($AW$3:AW882,"?*"))</f>
      </c>
      <c r="BT882" s="129">
        <f>IF(OR(AW882="",AI882=""),"",IF(COUNTIFS($AW$3:AW882,"?*",$AI$3:AI882,AI882)=1,MAX($BT$2:BT881)+1,""))</f>
      </c>
      <c r="BU882" s="129">
        <f>IF(AE882="",0,IF(OR(ISNUMBER(SEARCH("дубль",AE882)),ISNUMBER(SEARCH("ПЕРЕГРУЗ",AE882)),ISNUMBER(SEARCH("ЗАЩИЩ",AE882)),ISNUMBER(SEARCH("КАНАЛ",AE882)),ISNUMBER(SEARCH("без 30",AE882))),2,1))</f>
      </c>
      <c r="BV882" s="129">
        <f>IF(R882="","",COUNTIF($R$3:R882,"?*"))</f>
      </c>
      <c r="BW882" s="129">
        <f>IF(AY882&lt;&gt;1,0,IF(MAX(IFERROR(--VLOOKUP(R882,УГО_спр,5,FALSE),0),IFERROR(--VLOOKUP(AL882,УГО_спр,5,FALSE),0),IFERROR(--VLOOKUP(LEFT(AL882,2),УГО_спр,5,FALSE),0))&gt;0,MAX(IFERROR(--VLOOKUP(R882,УГО_спр,5,FALSE),0),IFERROR(--VLOOKUP(AL882,УГО_спр,5,FALSE),0),IFERROR(--VLOOKUP(LEFT(AL882,2),УГО_спр,5,FALSE),0)),IF(IFERROR(--LEFT(SUBSTITUTE(BQ882,"x","х"),FIND("х",SUBSTITUTE(BQ882,"x","х"))-1),3)&gt;3,Каталог!$S$9,1)))</f>
      </c>
      <c r="BX882" s="129">
        <f>IF(AY882&lt;&gt;1,0,MAX(0,IFERROR(--LEFT(SUBSTITUTE(BQ882,"x","х"),FIND("х",SUBSTITUTE(BQ882,"x","х"))-1),3)-3*BW882))</f>
      </c>
      <c r="BY882" s="129">
        <f>IF(R882="","",IFERROR(VLOOKUP(R882,УГО_спр,2,FALSE),IFERROR(VLOOKUP(AL882,УГО_спр,2,FALSE),IFERROR(VLOOKUP(LEFT(AL882,2),УГО_спр,2,FALSE),""))))</f>
      </c>
    </row>
    <row r="883" spans="1:64" x14ac:dyDescent="0.3">
      <c r="A883" s="135">
        <f>IF(Разбивка_по_щитам!F883=0,"",Разбивка_по_щитам!F883)</f>
        <v/>
      </c>
      <c r="B883" s="138">
        <f>IF(A883="","",Разбивка_по_щитам!C883)</f>
        <v/>
      </c>
      <c r="C883" s="138">
        <f t="shared" si="542"/>
        <v/>
      </c>
      <c r="D883" s="266"/>
      <c r="E883" s="266"/>
      <c r="F883" s="267"/>
      <c r="G883" s="145">
        <f t="shared" si="543"/>
        <v/>
      </c>
      <c r="H883" s="145">
        <f t="shared" si="544"/>
        <v/>
      </c>
      <c r="I883" s="266"/>
      <c r="J883" s="267"/>
      <c r="K883" s="267"/>
      <c r="L883" s="266"/>
      <c r="M883" s="147">
        <f t="shared" si="545"/>
        <v/>
      </c>
      <c r="N883" s="267"/>
      <c r="O883" s="147">
        <f t="shared" si="546"/>
        <v/>
      </c>
      <c r="P883" s="268">
        <f>IF(AY883=1,"XT"&amp;COUNTIFS($A$3:A883,A883,$AY$3:AY883,1),"")</f>
        <v/>
      </c>
      <c r="Q883" s="152">
        <f>IF(R883="","",IFERROR(SUBSTITUTE(Разбивка_по_щитам!P883,CHAR(10)," "),""))</f>
        <v/>
      </c>
      <c r="R883" s="153">
        <f>IF(OR(Разбивка_по_щитам!H883="",Разбивка_по_щитам!H883=0),"",Разбивка_по_щитам!H883)</f>
        <v/>
      </c>
      <c r="S883" s="154">
        <f>IF(R883="","",IFERROR(Разбивка_по_щитам!J883&amp;"",""))</f>
        <v/>
      </c>
      <c r="T883" s="155">
        <f>IF(R883="","",IFERROR(--Разбивка_по_щитам!L883,""))</f>
        <v/>
      </c>
      <c r="U883" s="155">
        <f>IF(R883="","",IFERROR(--Разбивка_по_щитам!K883,""))</f>
        <v/>
      </c>
      <c r="V883" s="138">
        <f>IF(R883="","",IFERROR(IF(Разбивка_по_щитам!M883=0,"",Разбивка_по_щитам!M883),""))</f>
        <v/>
      </c>
      <c r="W883" s="156">
        <f t="shared" si="547"/>
        <v/>
      </c>
      <c r="X883" s="157">
        <f t="shared" si="548"/>
        <v/>
      </c>
      <c r="Y883" s="266"/>
      <c r="Z883" s="158">
        <f t="shared" si="549"/>
        <v/>
      </c>
      <c r="AA883" s="160">
        <f t="shared" si="550"/>
        <v/>
      </c>
      <c r="AB883" s="160">
        <f>IF(R883="","",IFERROR(LOOKUP(INDEX(Справочная!$I$4:$I$19,MATCH(VLOOKUP(R883,Исходные_данные,22,FALSE),Справочная!$J$4:$J$19,0)+1),{6,10,16,20,25,32,40,50,63,80,100,125}),""))</f>
        <v/>
      </c>
      <c r="AC883" s="160">
        <f t="shared" si="551"/>
        <v/>
      </c>
      <c r="AD883" s="161">
        <f t="shared" si="552"/>
        <v/>
      </c>
      <c r="AE883" s="161">
        <f>IF(AND(R883="",G883=""),"",_xlfn.TEXTJOIN("; ",TRUE,IF(AND(R883&lt;&gt;"",V883=""),"нет фазы",""),IF(AND(R883&lt;&gt;"",N(T883)=0),"нет мощности",""),IF(AND(P883&lt;&gt;"",COUNTIFS($A$3:$A$1000,A883,$P$3:$P$1000,P883)&gt;1),"дубль клеммы "&amp;P883,""),IF(AND(W883&lt;&gt;"",W883&lt;&gt;"ok"),W883,""),IF(X883&lt;&gt;"",X883,""),IF(AND(ISNUMBER(SEARCH("(5х",Q883)),N(AK883)=1),"5 жил на 1 фазе",""),IF(AND(AL883="R",E883&lt;&gt;"",N(AS883)=0),"розетка без 30 мА",""),IF(IFERROR(_xlfn.NUMBERVALUE(MID(Q883,FIND("-",Q883,FIND("L=",Q883))+1,FIND("%",Q883)-FIND("-",Q883,FIND("L=",Q883))-1),","),0)&gt;4,"потери &gt; 4 %","")))</f>
      </c>
      <c r="AF883" s="129">
        <f>IF(E883&lt;&gt;"",COUNTIFS($A$3:A883,A883,$E$3:E883,"?*"),IF(OR(A883&lt;&gt;A882,Y883="вручную"),"",AF882))</f>
        <v/>
      </c>
      <c r="AG883" s="129">
        <f t="shared" si="553"/>
        <v/>
      </c>
      <c r="AH883" s="129">
        <f t="shared" si="554"/>
        <v/>
      </c>
      <c r="AI883" s="129">
        <f t="shared" si="555"/>
        <v/>
      </c>
      <c r="AJ883" s="129">
        <f t="shared" si="556"/>
        <v/>
      </c>
      <c r="AK883" s="129">
        <f t="shared" si="557"/>
        <v/>
      </c>
      <c r="AL883" s="129">
        <f t="shared" si="558"/>
        <v/>
      </c>
      <c r="AM883" s="129">
        <f t="shared" si="559"/>
      </c>
      <c r="AN883" s="129">
        <f t="shared" si="560"/>
      </c>
      <c r="AO883" s="129">
        <f t="shared" si="561"/>
        <v/>
      </c>
      <c r="AP883" s="129">
        <f t="shared" si="562"/>
        <v/>
      </c>
      <c r="AQ883" s="129">
        <f t="shared" si="563"/>
        <v/>
      </c>
      <c r="AR883" s="129">
        <f t="shared" si="564"/>
        <v/>
      </c>
      <c r="AS883" s="129">
        <f t="shared" si="565"/>
        <v/>
      </c>
      <c r="AT883" s="129">
        <f t="shared" si="566"/>
        <v/>
      </c>
      <c r="AU883" s="129">
        <f t="shared" si="567"/>
        <v/>
      </c>
      <c r="AV883" s="129">
        <f t="shared" si="568"/>
        <v/>
      </c>
      <c r="AW883" s="129">
        <f>IF(AV883="","",AV883&amp;"."&amp;COUNTIFS($A$3:A883,A883,$AV$3:AV883,AV883))</f>
        <v/>
      </c>
      <c r="AX883" s="129">
        <f t="shared" si="569"/>
        <v/>
      </c>
      <c r="AY883" s="129">
        <f>IF(N883="б/к",0,IF(OR(ISNUMBER(SEARCH("L=",Разбивка_по_щитам!P883)),N883="+",N883="="),1,0))</f>
      </c>
      <c r="AZ883" s="129">
        <f t="shared" si="570"/>
        <v/>
      </c>
      <c r="BA883" s="129">
        <f t="shared" si="571"/>
      </c>
      <c r="BB883" s="129">
        <f t="shared" si="572"/>
      </c>
      <c r="BD883" s="129">
        <f t="shared" si="573"/>
      </c>
      <c r="BE883" s="129">
        <f t="shared" si="574"/>
      </c>
      <c r="BF883" s="129">
        <f t="shared" si="575"/>
      </c>
      <c r="BG883" s="129">
        <f t="shared" si="576"/>
        <v/>
      </c>
      <c r="BH883" s="129">
        <f t="shared" si="577"/>
        <v/>
      </c>
      <c r="BI883" s="129">
        <f t="shared" si="578"/>
        <v/>
      </c>
      <c r="BJ883" s="129">
        <f t="shared" si="579"/>
        <v/>
      </c>
      <c r="BK883" s="129">
        <f>IF(R883="","",IF(OR(BY883="",BY883=0),"BOX",IFERROR(IF(VLOOKUP(BY883,УГО_блоки,3,FALSE)&amp;""&lt;&gt;"",VLOOKUP(BY883,УГО_блоки,3,FALSE),VLOOKUP(BY883,УГО_блоки,2,FALSE)),BY883)))</f>
      </c>
      <c r="BL883" s="129">
        <f t="shared" si="581"/>
      </c>
      <c r="BM883" s="129">
        <f>IF(H883="","",IF(COUNTIF($H$3:H883,H883)=1,MAX($BM$2:BM882)+1,""))</f>
      </c>
      <c r="BN883" s="129">
        <f>IF(I883="","",IF(COUNTIF($I$3:I883,I883)+COUNTIF($J$2:J882,I883)+COUNTIF($K$2:K882,I883)=1,MAX($BN$2:BP882)+1,""))</f>
      </c>
      <c r="BO883" s="129">
        <f>IF(J883="","",IF(COUNTIF($I$3:I883,J883)+COUNTIF($J$3:J883,J883)+COUNTIF($K$2:K882,J883)=1,MAX($BN$2:BP882,BN883)+1,""))</f>
      </c>
      <c r="BP883" s="129">
        <f>IF(K883="","",IF(COUNTIF($I$3:I883,K883)+COUNTIF($J$3:J883,K883)+COUNTIF($K$3:K883,K883)=1,MAX($BN$2:BP882,BN883,BO883)+1,""))</f>
      </c>
      <c r="BQ883" s="129">
        <f>IF(AY883=1,IFERROR(MID(Q883,FIND(" (",Q883)+2,FIND(")",Q883,FIND(" (",Q883))-FIND(" (",Q883)-2),"?"),"")</f>
      </c>
      <c r="BR883" s="129">
        <f>IF(BQ883="","",IF(COUNTIF($BQ$3:BQ883,BQ883)=1,MAX($BR$2:BR882)+1,""))</f>
      </c>
      <c r="BS883" s="129">
        <f>IF(AW883="","",COUNTIF($AW$3:AW883,"?*"))</f>
      </c>
      <c r="BT883" s="129">
        <f>IF(OR(AW883="",AI883=""),"",IF(COUNTIFS($AW$3:AW883,"?*",$AI$3:AI883,AI883)=1,MAX($BT$2:BT882)+1,""))</f>
      </c>
      <c r="BU883" s="129">
        <f>IF(AE883="",0,IF(OR(ISNUMBER(SEARCH("дубль",AE883)),ISNUMBER(SEARCH("ПЕРЕГРУЗ",AE883)),ISNUMBER(SEARCH("ЗАЩИЩ",AE883)),ISNUMBER(SEARCH("КАНАЛ",AE883)),ISNUMBER(SEARCH("без 30",AE883))),2,1))</f>
      </c>
      <c r="BV883" s="129">
        <f>IF(R883="","",COUNTIF($R$3:R883,"?*"))</f>
      </c>
      <c r="BW883" s="129">
        <f>IF(AY883&lt;&gt;1,0,IF(MAX(IFERROR(--VLOOKUP(R883,УГО_спр,5,FALSE),0),IFERROR(--VLOOKUP(AL883,УГО_спр,5,FALSE),0),IFERROR(--VLOOKUP(LEFT(AL883,2),УГО_спр,5,FALSE),0))&gt;0,MAX(IFERROR(--VLOOKUP(R883,УГО_спр,5,FALSE),0),IFERROR(--VLOOKUP(AL883,УГО_спр,5,FALSE),0),IFERROR(--VLOOKUP(LEFT(AL883,2),УГО_спр,5,FALSE),0)),IF(IFERROR(--LEFT(SUBSTITUTE(BQ883,"x","х"),FIND("х",SUBSTITUTE(BQ883,"x","х"))-1),3)&gt;3,Каталог!$S$9,1)))</f>
      </c>
      <c r="BX883" s="129">
        <f>IF(AY883&lt;&gt;1,0,MAX(0,IFERROR(--LEFT(SUBSTITUTE(BQ883,"x","х"),FIND("х",SUBSTITUTE(BQ883,"x","х"))-1),3)-3*BW883))</f>
      </c>
      <c r="BY883" s="129">
        <f>IF(R883="","",IFERROR(VLOOKUP(R883,УГО_спр,2,FALSE),IFERROR(VLOOKUP(AL883,УГО_спр,2,FALSE),IFERROR(VLOOKUP(LEFT(AL883,2),УГО_спр,2,FALSE),""))))</f>
      </c>
    </row>
    <row r="884" spans="1:64" x14ac:dyDescent="0.3">
      <c r="A884" s="135">
        <f>IF(Разбивка_по_щитам!F884=0,"",Разбивка_по_щитам!F884)</f>
        <v/>
      </c>
      <c r="B884" s="138">
        <f>IF(A884="","",Разбивка_по_щитам!C884)</f>
        <v/>
      </c>
      <c r="C884" s="138">
        <f t="shared" si="542"/>
        <v/>
      </c>
      <c r="D884" s="266"/>
      <c r="E884" s="266"/>
      <c r="F884" s="267"/>
      <c r="G884" s="145">
        <f t="shared" si="543"/>
        <v/>
      </c>
      <c r="H884" s="145">
        <f t="shared" si="544"/>
        <v/>
      </c>
      <c r="I884" s="266"/>
      <c r="J884" s="267"/>
      <c r="K884" s="267"/>
      <c r="L884" s="266"/>
      <c r="M884" s="147">
        <f t="shared" si="545"/>
        <v/>
      </c>
      <c r="N884" s="267"/>
      <c r="O884" s="147">
        <f t="shared" si="546"/>
        <v/>
      </c>
      <c r="P884" s="268">
        <f>IF(AY884=1,"XT"&amp;COUNTIFS($A$3:A884,A884,$AY$3:AY884,1),"")</f>
        <v/>
      </c>
      <c r="Q884" s="152">
        <f>IF(R884="","",IFERROR(SUBSTITUTE(Разбивка_по_щитам!P884,CHAR(10)," "),""))</f>
        <v/>
      </c>
      <c r="R884" s="153">
        <f>IF(OR(Разбивка_по_щитам!H884="",Разбивка_по_щитам!H884=0),"",Разбивка_по_щитам!H884)</f>
        <v/>
      </c>
      <c r="S884" s="154">
        <f>IF(R884="","",IFERROR(Разбивка_по_щитам!J884&amp;"",""))</f>
        <v/>
      </c>
      <c r="T884" s="155">
        <f>IF(R884="","",IFERROR(--Разбивка_по_щитам!L884,""))</f>
        <v/>
      </c>
      <c r="U884" s="155">
        <f>IF(R884="","",IFERROR(--Разбивка_по_щитам!K884,""))</f>
        <v/>
      </c>
      <c r="V884" s="138">
        <f>IF(R884="","",IFERROR(IF(Разбивка_по_щитам!M884=0,"",Разбивка_по_щитам!M884),""))</f>
        <v/>
      </c>
      <c r="W884" s="156">
        <f t="shared" si="547"/>
        <v/>
      </c>
      <c r="X884" s="157">
        <f t="shared" si="548"/>
        <v/>
      </c>
      <c r="Y884" s="266"/>
      <c r="Z884" s="158">
        <f t="shared" si="549"/>
        <v/>
      </c>
      <c r="AA884" s="160">
        <f t="shared" si="550"/>
        <v/>
      </c>
      <c r="AB884" s="160">
        <f>IF(R884="","",IFERROR(LOOKUP(INDEX(Справочная!$I$4:$I$19,MATCH(VLOOKUP(R884,Исходные_данные,22,FALSE),Справочная!$J$4:$J$19,0)+1),{6,10,16,20,25,32,40,50,63,80,100,125}),""))</f>
        <v/>
      </c>
      <c r="AC884" s="160">
        <f t="shared" si="551"/>
        <v/>
      </c>
      <c r="AD884" s="161">
        <f t="shared" si="552"/>
        <v/>
      </c>
      <c r="AE884" s="161">
        <f>IF(AND(R884="",G884=""),"",_xlfn.TEXTJOIN("; ",TRUE,IF(AND(R884&lt;&gt;"",V884=""),"нет фазы",""),IF(AND(R884&lt;&gt;"",N(T884)=0),"нет мощности",""),IF(AND(P884&lt;&gt;"",COUNTIFS($A$3:$A$1000,A884,$P$3:$P$1000,P884)&gt;1),"дубль клеммы "&amp;P884,""),IF(AND(W884&lt;&gt;"",W884&lt;&gt;"ok"),W884,""),IF(X884&lt;&gt;"",X884,""),IF(AND(ISNUMBER(SEARCH("(5х",Q884)),N(AK884)=1),"5 жил на 1 фазе",""),IF(AND(AL884="R",E884&lt;&gt;"",N(AS884)=0),"розетка без 30 мА",""),IF(IFERROR(_xlfn.NUMBERVALUE(MID(Q884,FIND("-",Q884,FIND("L=",Q884))+1,FIND("%",Q884)-FIND("-",Q884,FIND("L=",Q884))-1),","),0)&gt;4,"потери &gt; 4 %","")))</f>
      </c>
      <c r="AF884" s="129">
        <f>IF(E884&lt;&gt;"",COUNTIFS($A$3:A884,A884,$E$3:E884,"?*"),IF(OR(A884&lt;&gt;A883,Y884="вручную"),"",AF883))</f>
        <v/>
      </c>
      <c r="AG884" s="129">
        <f t="shared" si="553"/>
        <v/>
      </c>
      <c r="AH884" s="129">
        <f t="shared" si="554"/>
        <v/>
      </c>
      <c r="AI884" s="129">
        <f t="shared" si="555"/>
        <v/>
      </c>
      <c r="AJ884" s="129">
        <f t="shared" si="556"/>
        <v/>
      </c>
      <c r="AK884" s="129">
        <f t="shared" si="557"/>
        <v/>
      </c>
      <c r="AL884" s="129">
        <f t="shared" si="558"/>
        <v/>
      </c>
      <c r="AM884" s="129">
        <f t="shared" si="559"/>
      </c>
      <c r="AN884" s="129">
        <f t="shared" si="560"/>
      </c>
      <c r="AO884" s="129">
        <f t="shared" si="561"/>
        <v/>
      </c>
      <c r="AP884" s="129">
        <f t="shared" si="562"/>
        <v/>
      </c>
      <c r="AQ884" s="129">
        <f t="shared" si="563"/>
        <v/>
      </c>
      <c r="AR884" s="129">
        <f t="shared" si="564"/>
        <v/>
      </c>
      <c r="AS884" s="129">
        <f t="shared" si="565"/>
        <v/>
      </c>
      <c r="AT884" s="129">
        <f t="shared" si="566"/>
        <v/>
      </c>
      <c r="AU884" s="129">
        <f t="shared" si="567"/>
        <v/>
      </c>
      <c r="AV884" s="129">
        <f t="shared" si="568"/>
        <v/>
      </c>
      <c r="AW884" s="129">
        <f>IF(AV884="","",AV884&amp;"."&amp;COUNTIFS($A$3:A884,A884,$AV$3:AV884,AV884))</f>
        <v/>
      </c>
      <c r="AX884" s="129">
        <f t="shared" si="569"/>
        <v/>
      </c>
      <c r="AY884" s="129">
        <f>IF(N884="б/к",0,IF(OR(ISNUMBER(SEARCH("L=",Разбивка_по_щитам!P884)),N884="+",N884="="),1,0))</f>
      </c>
      <c r="AZ884" s="129">
        <f t="shared" si="570"/>
        <v/>
      </c>
      <c r="BA884" s="129">
        <f t="shared" si="571"/>
      </c>
      <c r="BB884" s="129">
        <f t="shared" si="572"/>
      </c>
      <c r="BD884" s="129">
        <f t="shared" si="573"/>
      </c>
      <c r="BE884" s="129">
        <f t="shared" si="574"/>
      </c>
      <c r="BF884" s="129">
        <f t="shared" si="575"/>
      </c>
      <c r="BG884" s="129">
        <f t="shared" si="576"/>
        <v/>
      </c>
      <c r="BH884" s="129">
        <f t="shared" si="577"/>
        <v/>
      </c>
      <c r="BI884" s="129">
        <f t="shared" si="578"/>
        <v/>
      </c>
      <c r="BJ884" s="129">
        <f t="shared" si="579"/>
        <v/>
      </c>
      <c r="BK884" s="129">
        <f>IF(R884="","",IF(OR(BY884="",BY884=0),"BOX",IFERROR(IF(VLOOKUP(BY884,УГО_блоки,3,FALSE)&amp;""&lt;&gt;"",VLOOKUP(BY884,УГО_блоки,3,FALSE),VLOOKUP(BY884,УГО_блоки,2,FALSE)),BY884)))</f>
      </c>
      <c r="BL884" s="129">
        <f t="shared" si="581"/>
      </c>
      <c r="BM884" s="129">
        <f>IF(H884="","",IF(COUNTIF($H$3:H884,H884)=1,MAX($BM$2:BM883)+1,""))</f>
      </c>
      <c r="BN884" s="129">
        <f>IF(I884="","",IF(COUNTIF($I$3:I884,I884)+COUNTIF($J$2:J883,I884)+COUNTIF($K$2:K883,I884)=1,MAX($BN$2:BP883)+1,""))</f>
      </c>
      <c r="BO884" s="129">
        <f>IF(J884="","",IF(COUNTIF($I$3:I884,J884)+COUNTIF($J$3:J884,J884)+COUNTIF($K$2:K883,J884)=1,MAX($BN$2:BP883,BN884)+1,""))</f>
      </c>
      <c r="BP884" s="129">
        <f>IF(K884="","",IF(COUNTIF($I$3:I884,K884)+COUNTIF($J$3:J884,K884)+COUNTIF($K$3:K884,K884)=1,MAX($BN$2:BP883,BN884,BO884)+1,""))</f>
      </c>
      <c r="BQ884" s="129">
        <f>IF(AY884=1,IFERROR(MID(Q884,FIND(" (",Q884)+2,FIND(")",Q884,FIND(" (",Q884))-FIND(" (",Q884)-2),"?"),"")</f>
      </c>
      <c r="BR884" s="129">
        <f>IF(BQ884="","",IF(COUNTIF($BQ$3:BQ884,BQ884)=1,MAX($BR$2:BR883)+1,""))</f>
      </c>
      <c r="BS884" s="129">
        <f>IF(AW884="","",COUNTIF($AW$3:AW884,"?*"))</f>
      </c>
      <c r="BT884" s="129">
        <f>IF(OR(AW884="",AI884=""),"",IF(COUNTIFS($AW$3:AW884,"?*",$AI$3:AI884,AI884)=1,MAX($BT$2:BT883)+1,""))</f>
      </c>
      <c r="BU884" s="129">
        <f>IF(AE884="",0,IF(OR(ISNUMBER(SEARCH("дубль",AE884)),ISNUMBER(SEARCH("ПЕРЕГРУЗ",AE884)),ISNUMBER(SEARCH("ЗАЩИЩ",AE884)),ISNUMBER(SEARCH("КАНАЛ",AE884)),ISNUMBER(SEARCH("без 30",AE884))),2,1))</f>
      </c>
      <c r="BV884" s="129">
        <f>IF(R884="","",COUNTIF($R$3:R884,"?*"))</f>
      </c>
      <c r="BW884" s="129">
        <f>IF(AY884&lt;&gt;1,0,IF(MAX(IFERROR(--VLOOKUP(R884,УГО_спр,5,FALSE),0),IFERROR(--VLOOKUP(AL884,УГО_спр,5,FALSE),0),IFERROR(--VLOOKUP(LEFT(AL884,2),УГО_спр,5,FALSE),0))&gt;0,MAX(IFERROR(--VLOOKUP(R884,УГО_спр,5,FALSE),0),IFERROR(--VLOOKUP(AL884,УГО_спр,5,FALSE),0),IFERROR(--VLOOKUP(LEFT(AL884,2),УГО_спр,5,FALSE),0)),IF(IFERROR(--LEFT(SUBSTITUTE(BQ884,"x","х"),FIND("х",SUBSTITUTE(BQ884,"x","х"))-1),3)&gt;3,Каталог!$S$9,1)))</f>
      </c>
      <c r="BX884" s="129">
        <f>IF(AY884&lt;&gt;1,0,MAX(0,IFERROR(--LEFT(SUBSTITUTE(BQ884,"x","х"),FIND("х",SUBSTITUTE(BQ884,"x","х"))-1),3)-3*BW884))</f>
      </c>
      <c r="BY884" s="129">
        <f>IF(R884="","",IFERROR(VLOOKUP(R884,УГО_спр,2,FALSE),IFERROR(VLOOKUP(AL884,УГО_спр,2,FALSE),IFERROR(VLOOKUP(LEFT(AL884,2),УГО_спр,2,FALSE),""))))</f>
      </c>
    </row>
    <row r="885" spans="1:64" x14ac:dyDescent="0.3">
      <c r="A885" s="135">
        <f>IF(Разбивка_по_щитам!F885=0,"",Разбивка_по_щитам!F885)</f>
        <v/>
      </c>
      <c r="B885" s="138">
        <f>IF(A885="","",Разбивка_по_щитам!C885)</f>
        <v/>
      </c>
      <c r="C885" s="138">
        <f t="shared" si="542"/>
        <v/>
      </c>
      <c r="D885" s="266"/>
      <c r="E885" s="266"/>
      <c r="F885" s="267"/>
      <c r="G885" s="145">
        <f t="shared" si="543"/>
        <v/>
      </c>
      <c r="H885" s="145">
        <f t="shared" si="544"/>
        <v/>
      </c>
      <c r="I885" s="266"/>
      <c r="J885" s="267"/>
      <c r="K885" s="267"/>
      <c r="L885" s="266"/>
      <c r="M885" s="147">
        <f t="shared" si="545"/>
        <v/>
      </c>
      <c r="N885" s="267"/>
      <c r="O885" s="147">
        <f t="shared" si="546"/>
        <v/>
      </c>
      <c r="P885" s="268">
        <f>IF(AY885=1,"XT"&amp;COUNTIFS($A$3:A885,A885,$AY$3:AY885,1),"")</f>
        <v/>
      </c>
      <c r="Q885" s="152">
        <f>IF(R885="","",IFERROR(SUBSTITUTE(Разбивка_по_щитам!P885,CHAR(10)," "),""))</f>
        <v/>
      </c>
      <c r="R885" s="153">
        <f>IF(OR(Разбивка_по_щитам!H885="",Разбивка_по_щитам!H885=0),"",Разбивка_по_щитам!H885)</f>
        <v/>
      </c>
      <c r="S885" s="154">
        <f>IF(R885="","",IFERROR(Разбивка_по_щитам!J885&amp;"",""))</f>
        <v/>
      </c>
      <c r="T885" s="155">
        <f>IF(R885="","",IFERROR(--Разбивка_по_щитам!L885,""))</f>
        <v/>
      </c>
      <c r="U885" s="155">
        <f>IF(R885="","",IFERROR(--Разбивка_по_щитам!K885,""))</f>
        <v/>
      </c>
      <c r="V885" s="138">
        <f>IF(R885="","",IFERROR(IF(Разбивка_по_щитам!M885=0,"",Разбивка_по_щитам!M885),""))</f>
        <v/>
      </c>
      <c r="W885" s="156">
        <f t="shared" si="547"/>
        <v/>
      </c>
      <c r="X885" s="157">
        <f t="shared" si="548"/>
        <v/>
      </c>
      <c r="Y885" s="266"/>
      <c r="Z885" s="158">
        <f t="shared" si="549"/>
        <v/>
      </c>
      <c r="AA885" s="160">
        <f t="shared" si="550"/>
        <v/>
      </c>
      <c r="AB885" s="160">
        <f>IF(R885="","",IFERROR(LOOKUP(INDEX(Справочная!$I$4:$I$19,MATCH(VLOOKUP(R885,Исходные_данные,22,FALSE),Справочная!$J$4:$J$19,0)+1),{6,10,16,20,25,32,40,50,63,80,100,125}),""))</f>
        <v/>
      </c>
      <c r="AC885" s="160">
        <f t="shared" si="551"/>
        <v/>
      </c>
      <c r="AD885" s="161">
        <f t="shared" si="552"/>
        <v/>
      </c>
      <c r="AE885" s="161">
        <f>IF(AND(R885="",G885=""),"",_xlfn.TEXTJOIN("; ",TRUE,IF(AND(R885&lt;&gt;"",V885=""),"нет фазы",""),IF(AND(R885&lt;&gt;"",N(T885)=0),"нет мощности",""),IF(AND(P885&lt;&gt;"",COUNTIFS($A$3:$A$1000,A885,$P$3:$P$1000,P885)&gt;1),"дубль клеммы "&amp;P885,""),IF(AND(W885&lt;&gt;"",W885&lt;&gt;"ok"),W885,""),IF(X885&lt;&gt;"",X885,""),IF(AND(ISNUMBER(SEARCH("(5х",Q885)),N(AK885)=1),"5 жил на 1 фазе",""),IF(AND(AL885="R",E885&lt;&gt;"",N(AS885)=0),"розетка без 30 мА",""),IF(IFERROR(_xlfn.NUMBERVALUE(MID(Q885,FIND("-",Q885,FIND("L=",Q885))+1,FIND("%",Q885)-FIND("-",Q885,FIND("L=",Q885))-1),","),0)&gt;4,"потери &gt; 4 %","")))</f>
      </c>
      <c r="AF885" s="129">
        <f>IF(E885&lt;&gt;"",COUNTIFS($A$3:A885,A885,$E$3:E885,"?*"),IF(OR(A885&lt;&gt;A884,Y885="вручную"),"",AF884))</f>
        <v/>
      </c>
      <c r="AG885" s="129">
        <f t="shared" si="553"/>
        <v/>
      </c>
      <c r="AH885" s="129">
        <f t="shared" si="554"/>
        <v/>
      </c>
      <c r="AI885" s="129">
        <f t="shared" si="555"/>
        <v/>
      </c>
      <c r="AJ885" s="129">
        <f t="shared" si="556"/>
        <v/>
      </c>
      <c r="AK885" s="129">
        <f t="shared" si="557"/>
        <v/>
      </c>
      <c r="AL885" s="129">
        <f t="shared" si="558"/>
        <v/>
      </c>
      <c r="AM885" s="129">
        <f t="shared" si="559"/>
      </c>
      <c r="AN885" s="129">
        <f t="shared" si="560"/>
      </c>
      <c r="AO885" s="129">
        <f t="shared" si="561"/>
        <v/>
      </c>
      <c r="AP885" s="129">
        <f t="shared" si="562"/>
        <v/>
      </c>
      <c r="AQ885" s="129">
        <f t="shared" si="563"/>
        <v/>
      </c>
      <c r="AR885" s="129">
        <f t="shared" si="564"/>
        <v/>
      </c>
      <c r="AS885" s="129">
        <f t="shared" si="565"/>
        <v/>
      </c>
      <c r="AT885" s="129">
        <f t="shared" si="566"/>
        <v/>
      </c>
      <c r="AU885" s="129">
        <f t="shared" si="567"/>
        <v/>
      </c>
      <c r="AV885" s="129">
        <f t="shared" si="568"/>
        <v/>
      </c>
      <c r="AW885" s="129">
        <f>IF(AV885="","",AV885&amp;"."&amp;COUNTIFS($A$3:A885,A885,$AV$3:AV885,AV885))</f>
        <v/>
      </c>
      <c r="AX885" s="129">
        <f t="shared" si="569"/>
        <v/>
      </c>
      <c r="AY885" s="129">
        <f>IF(N885="б/к",0,IF(OR(ISNUMBER(SEARCH("L=",Разбивка_по_щитам!P885)),N885="+",N885="="),1,0))</f>
      </c>
      <c r="AZ885" s="129">
        <f t="shared" si="570"/>
        <v/>
      </c>
      <c r="BA885" s="129">
        <f t="shared" si="571"/>
      </c>
      <c r="BB885" s="129">
        <f t="shared" si="572"/>
      </c>
      <c r="BD885" s="129">
        <f t="shared" si="573"/>
      </c>
      <c r="BE885" s="129">
        <f t="shared" si="574"/>
      </c>
      <c r="BF885" s="129">
        <f t="shared" si="575"/>
      </c>
      <c r="BG885" s="129">
        <f t="shared" si="576"/>
        <v/>
      </c>
      <c r="BH885" s="129">
        <f t="shared" si="577"/>
        <v/>
      </c>
      <c r="BI885" s="129">
        <f t="shared" si="578"/>
        <v/>
      </c>
      <c r="BJ885" s="129">
        <f t="shared" si="579"/>
        <v/>
      </c>
      <c r="BK885" s="129">
        <f>IF(R885="","",IF(OR(BY885="",BY885=0),"BOX",IFERROR(IF(VLOOKUP(BY885,УГО_блоки,3,FALSE)&amp;""&lt;&gt;"",VLOOKUP(BY885,УГО_блоки,3,FALSE),VLOOKUP(BY885,УГО_блоки,2,FALSE)),BY885)))</f>
      </c>
      <c r="BL885" s="129">
        <f t="shared" si="581"/>
      </c>
      <c r="BM885" s="129">
        <f>IF(H885="","",IF(COUNTIF($H$3:H885,H885)=1,MAX($BM$2:BM884)+1,""))</f>
      </c>
      <c r="BN885" s="129">
        <f>IF(I885="","",IF(COUNTIF($I$3:I885,I885)+COUNTIF($J$2:J884,I885)+COUNTIF($K$2:K884,I885)=1,MAX($BN$2:BP884)+1,""))</f>
      </c>
      <c r="BO885" s="129">
        <f>IF(J885="","",IF(COUNTIF($I$3:I885,J885)+COUNTIF($J$3:J885,J885)+COUNTIF($K$2:K884,J885)=1,MAX($BN$2:BP884,BN885)+1,""))</f>
      </c>
      <c r="BP885" s="129">
        <f>IF(K885="","",IF(COUNTIF($I$3:I885,K885)+COUNTIF($J$3:J885,K885)+COUNTIF($K$3:K885,K885)=1,MAX($BN$2:BP884,BN885,BO885)+1,""))</f>
      </c>
      <c r="BQ885" s="129">
        <f>IF(AY885=1,IFERROR(MID(Q885,FIND(" (",Q885)+2,FIND(")",Q885,FIND(" (",Q885))-FIND(" (",Q885)-2),"?"),"")</f>
      </c>
      <c r="BR885" s="129">
        <f>IF(BQ885="","",IF(COUNTIF($BQ$3:BQ885,BQ885)=1,MAX($BR$2:BR884)+1,""))</f>
      </c>
      <c r="BS885" s="129">
        <f>IF(AW885="","",COUNTIF($AW$3:AW885,"?*"))</f>
      </c>
      <c r="BT885" s="129">
        <f>IF(OR(AW885="",AI885=""),"",IF(COUNTIFS($AW$3:AW885,"?*",$AI$3:AI885,AI885)=1,MAX($BT$2:BT884)+1,""))</f>
      </c>
      <c r="BU885" s="129">
        <f>IF(AE885="",0,IF(OR(ISNUMBER(SEARCH("дубль",AE885)),ISNUMBER(SEARCH("ПЕРЕГРУЗ",AE885)),ISNUMBER(SEARCH("ЗАЩИЩ",AE885)),ISNUMBER(SEARCH("КАНАЛ",AE885)),ISNUMBER(SEARCH("без 30",AE885))),2,1))</f>
      </c>
      <c r="BV885" s="129">
        <f>IF(R885="","",COUNTIF($R$3:R885,"?*"))</f>
      </c>
      <c r="BW885" s="129">
        <f>IF(AY885&lt;&gt;1,0,IF(MAX(IFERROR(--VLOOKUP(R885,УГО_спр,5,FALSE),0),IFERROR(--VLOOKUP(AL885,УГО_спр,5,FALSE),0),IFERROR(--VLOOKUP(LEFT(AL885,2),УГО_спр,5,FALSE),0))&gt;0,MAX(IFERROR(--VLOOKUP(R885,УГО_спр,5,FALSE),0),IFERROR(--VLOOKUP(AL885,УГО_спр,5,FALSE),0),IFERROR(--VLOOKUP(LEFT(AL885,2),УГО_спр,5,FALSE),0)),IF(IFERROR(--LEFT(SUBSTITUTE(BQ885,"x","х"),FIND("х",SUBSTITUTE(BQ885,"x","х"))-1),3)&gt;3,Каталог!$S$9,1)))</f>
      </c>
      <c r="BX885" s="129">
        <f>IF(AY885&lt;&gt;1,0,MAX(0,IFERROR(--LEFT(SUBSTITUTE(BQ885,"x","х"),FIND("х",SUBSTITUTE(BQ885,"x","х"))-1),3)-3*BW885))</f>
      </c>
      <c r="BY885" s="129">
        <f>IF(R885="","",IFERROR(VLOOKUP(R885,УГО_спр,2,FALSE),IFERROR(VLOOKUP(AL885,УГО_спр,2,FALSE),IFERROR(VLOOKUP(LEFT(AL885,2),УГО_спр,2,FALSE),""))))</f>
      </c>
    </row>
    <row r="886" spans="1:64" x14ac:dyDescent="0.3">
      <c r="A886" s="135">
        <f>IF(Разбивка_по_щитам!F886=0,"",Разбивка_по_щитам!F886)</f>
        <v/>
      </c>
      <c r="B886" s="138">
        <f>IF(A886="","",Разбивка_по_щитам!C886)</f>
        <v/>
      </c>
      <c r="C886" s="138">
        <f t="shared" si="542"/>
        <v/>
      </c>
      <c r="D886" s="266"/>
      <c r="E886" s="266"/>
      <c r="F886" s="267"/>
      <c r="G886" s="145">
        <f t="shared" si="543"/>
        <v/>
      </c>
      <c r="H886" s="145">
        <f t="shared" si="544"/>
        <v/>
      </c>
      <c r="I886" s="266"/>
      <c r="J886" s="267"/>
      <c r="K886" s="267"/>
      <c r="L886" s="266"/>
      <c r="M886" s="147">
        <f t="shared" si="545"/>
        <v/>
      </c>
      <c r="N886" s="267"/>
      <c r="O886" s="147">
        <f t="shared" si="546"/>
        <v/>
      </c>
      <c r="P886" s="268">
        <f>IF(AY886=1,"XT"&amp;COUNTIFS($A$3:A886,A886,$AY$3:AY886,1),"")</f>
        <v/>
      </c>
      <c r="Q886" s="152">
        <f>IF(R886="","",IFERROR(SUBSTITUTE(Разбивка_по_щитам!P886,CHAR(10)," "),""))</f>
        <v/>
      </c>
      <c r="R886" s="153">
        <f>IF(OR(Разбивка_по_щитам!H886="",Разбивка_по_щитам!H886=0),"",Разбивка_по_щитам!H886)</f>
        <v/>
      </c>
      <c r="S886" s="154">
        <f>IF(R886="","",IFERROR(Разбивка_по_щитам!J886&amp;"",""))</f>
        <v/>
      </c>
      <c r="T886" s="155">
        <f>IF(R886="","",IFERROR(--Разбивка_по_щитам!L886,""))</f>
        <v/>
      </c>
      <c r="U886" s="155">
        <f>IF(R886="","",IFERROR(--Разбивка_по_щитам!K886,""))</f>
        <v/>
      </c>
      <c r="V886" s="138">
        <f>IF(R886="","",IFERROR(IF(Разбивка_по_щитам!M886=0,"",Разбивка_по_щитам!M886),""))</f>
        <v/>
      </c>
      <c r="W886" s="156">
        <f t="shared" si="547"/>
        <v/>
      </c>
      <c r="X886" s="157">
        <f t="shared" si="548"/>
        <v/>
      </c>
      <c r="Y886" s="266"/>
      <c r="Z886" s="158">
        <f t="shared" si="549"/>
        <v/>
      </c>
      <c r="AA886" s="160">
        <f t="shared" si="550"/>
        <v/>
      </c>
      <c r="AB886" s="160">
        <f>IF(R886="","",IFERROR(LOOKUP(INDEX(Справочная!$I$4:$I$19,MATCH(VLOOKUP(R886,Исходные_данные,22,FALSE),Справочная!$J$4:$J$19,0)+1),{6,10,16,20,25,32,40,50,63,80,100,125}),""))</f>
        <v/>
      </c>
      <c r="AC886" s="160">
        <f t="shared" si="551"/>
        <v/>
      </c>
      <c r="AD886" s="161">
        <f t="shared" si="552"/>
        <v/>
      </c>
      <c r="AE886" s="161">
        <f>IF(AND(R886="",G886=""),"",_xlfn.TEXTJOIN("; ",TRUE,IF(AND(R886&lt;&gt;"",V886=""),"нет фазы",""),IF(AND(R886&lt;&gt;"",N(T886)=0),"нет мощности",""),IF(AND(P886&lt;&gt;"",COUNTIFS($A$3:$A$1000,A886,$P$3:$P$1000,P886)&gt;1),"дубль клеммы "&amp;P886,""),IF(AND(W886&lt;&gt;"",W886&lt;&gt;"ok"),W886,""),IF(X886&lt;&gt;"",X886,""),IF(AND(ISNUMBER(SEARCH("(5х",Q886)),N(AK886)=1),"5 жил на 1 фазе",""),IF(AND(AL886="R",E886&lt;&gt;"",N(AS886)=0),"розетка без 30 мА",""),IF(IFERROR(_xlfn.NUMBERVALUE(MID(Q886,FIND("-",Q886,FIND("L=",Q886))+1,FIND("%",Q886)-FIND("-",Q886,FIND("L=",Q886))-1),","),0)&gt;4,"потери &gt; 4 %","")))</f>
      </c>
      <c r="AF886" s="129">
        <f>IF(E886&lt;&gt;"",COUNTIFS($A$3:A886,A886,$E$3:E886,"?*"),IF(OR(A886&lt;&gt;A885,Y886="вручную"),"",AF885))</f>
        <v/>
      </c>
      <c r="AG886" s="129">
        <f t="shared" si="553"/>
        <v/>
      </c>
      <c r="AH886" s="129">
        <f t="shared" si="554"/>
        <v/>
      </c>
      <c r="AI886" s="129">
        <f t="shared" si="555"/>
        <v/>
      </c>
      <c r="AJ886" s="129">
        <f t="shared" si="556"/>
        <v/>
      </c>
      <c r="AK886" s="129">
        <f t="shared" si="557"/>
        <v/>
      </c>
      <c r="AL886" s="129">
        <f t="shared" si="558"/>
        <v/>
      </c>
      <c r="AM886" s="129">
        <f t="shared" si="559"/>
      </c>
      <c r="AN886" s="129">
        <f t="shared" si="560"/>
      </c>
      <c r="AO886" s="129">
        <f t="shared" si="561"/>
        <v/>
      </c>
      <c r="AP886" s="129">
        <f t="shared" si="562"/>
        <v/>
      </c>
      <c r="AQ886" s="129">
        <f t="shared" si="563"/>
        <v/>
      </c>
      <c r="AR886" s="129">
        <f t="shared" si="564"/>
        <v/>
      </c>
      <c r="AS886" s="129">
        <f t="shared" si="565"/>
        <v/>
      </c>
      <c r="AT886" s="129">
        <f t="shared" si="566"/>
        <v/>
      </c>
      <c r="AU886" s="129">
        <f t="shared" si="567"/>
        <v/>
      </c>
      <c r="AV886" s="129">
        <f t="shared" si="568"/>
        <v/>
      </c>
      <c r="AW886" s="129">
        <f>IF(AV886="","",AV886&amp;"."&amp;COUNTIFS($A$3:A886,A886,$AV$3:AV886,AV886))</f>
        <v/>
      </c>
      <c r="AX886" s="129">
        <f t="shared" si="569"/>
        <v/>
      </c>
      <c r="AY886" s="129">
        <f>IF(N886="б/к",0,IF(OR(ISNUMBER(SEARCH("L=",Разбивка_по_щитам!P886)),N886="+",N886="="),1,0))</f>
      </c>
      <c r="AZ886" s="129">
        <f t="shared" si="570"/>
        <v/>
      </c>
      <c r="BA886" s="129">
        <f t="shared" si="571"/>
      </c>
      <c r="BB886" s="129">
        <f t="shared" si="572"/>
      </c>
      <c r="BD886" s="129">
        <f t="shared" si="573"/>
      </c>
      <c r="BE886" s="129">
        <f t="shared" si="574"/>
      </c>
      <c r="BF886" s="129">
        <f t="shared" si="575"/>
      </c>
      <c r="BG886" s="129">
        <f t="shared" si="576"/>
        <v/>
      </c>
      <c r="BH886" s="129">
        <f t="shared" si="577"/>
        <v/>
      </c>
      <c r="BI886" s="129">
        <f t="shared" si="578"/>
        <v/>
      </c>
      <c r="BJ886" s="129">
        <f t="shared" si="579"/>
        <v/>
      </c>
      <c r="BK886" s="129">
        <f>IF(R886="","",IF(OR(BY886="",BY886=0),"BOX",IFERROR(IF(VLOOKUP(BY886,УГО_блоки,3,FALSE)&amp;""&lt;&gt;"",VLOOKUP(BY886,УГО_блоки,3,FALSE),VLOOKUP(BY886,УГО_блоки,2,FALSE)),BY886)))</f>
      </c>
      <c r="BL886" s="129">
        <f t="shared" si="581"/>
      </c>
      <c r="BM886" s="129">
        <f>IF(H886="","",IF(COUNTIF($H$3:H886,H886)=1,MAX($BM$2:BM885)+1,""))</f>
      </c>
      <c r="BN886" s="129">
        <f>IF(I886="","",IF(COUNTIF($I$3:I886,I886)+COUNTIF($J$2:J885,I886)+COUNTIF($K$2:K885,I886)=1,MAX($BN$2:BP885)+1,""))</f>
      </c>
      <c r="BO886" s="129">
        <f>IF(J886="","",IF(COUNTIF($I$3:I886,J886)+COUNTIF($J$3:J886,J886)+COUNTIF($K$2:K885,J886)=1,MAX($BN$2:BP885,BN886)+1,""))</f>
      </c>
      <c r="BP886" s="129">
        <f>IF(K886="","",IF(COUNTIF($I$3:I886,K886)+COUNTIF($J$3:J886,K886)+COUNTIF($K$3:K886,K886)=1,MAX($BN$2:BP885,BN886,BO886)+1,""))</f>
      </c>
      <c r="BQ886" s="129">
        <f>IF(AY886=1,IFERROR(MID(Q886,FIND(" (",Q886)+2,FIND(")",Q886,FIND(" (",Q886))-FIND(" (",Q886)-2),"?"),"")</f>
      </c>
      <c r="BR886" s="129">
        <f>IF(BQ886="","",IF(COUNTIF($BQ$3:BQ886,BQ886)=1,MAX($BR$2:BR885)+1,""))</f>
      </c>
      <c r="BS886" s="129">
        <f>IF(AW886="","",COUNTIF($AW$3:AW886,"?*"))</f>
      </c>
      <c r="BT886" s="129">
        <f>IF(OR(AW886="",AI886=""),"",IF(COUNTIFS($AW$3:AW886,"?*",$AI$3:AI886,AI886)=1,MAX($BT$2:BT885)+1,""))</f>
      </c>
      <c r="BU886" s="129">
        <f>IF(AE886="",0,IF(OR(ISNUMBER(SEARCH("дубль",AE886)),ISNUMBER(SEARCH("ПЕРЕГРУЗ",AE886)),ISNUMBER(SEARCH("ЗАЩИЩ",AE886)),ISNUMBER(SEARCH("КАНАЛ",AE886)),ISNUMBER(SEARCH("без 30",AE886))),2,1))</f>
      </c>
      <c r="BV886" s="129">
        <f>IF(R886="","",COUNTIF($R$3:R886,"?*"))</f>
      </c>
      <c r="BW886" s="129">
        <f>IF(AY886&lt;&gt;1,0,IF(MAX(IFERROR(--VLOOKUP(R886,УГО_спр,5,FALSE),0),IFERROR(--VLOOKUP(AL886,УГО_спр,5,FALSE),0),IFERROR(--VLOOKUP(LEFT(AL886,2),УГО_спр,5,FALSE),0))&gt;0,MAX(IFERROR(--VLOOKUP(R886,УГО_спр,5,FALSE),0),IFERROR(--VLOOKUP(AL886,УГО_спр,5,FALSE),0),IFERROR(--VLOOKUP(LEFT(AL886,2),УГО_спр,5,FALSE),0)),IF(IFERROR(--LEFT(SUBSTITUTE(BQ886,"x","х"),FIND("х",SUBSTITUTE(BQ886,"x","х"))-1),3)&gt;3,Каталог!$S$9,1)))</f>
      </c>
      <c r="BX886" s="129">
        <f>IF(AY886&lt;&gt;1,0,MAX(0,IFERROR(--LEFT(SUBSTITUTE(BQ886,"x","х"),FIND("х",SUBSTITUTE(BQ886,"x","х"))-1),3)-3*BW886))</f>
      </c>
      <c r="BY886" s="129">
        <f>IF(R886="","",IFERROR(VLOOKUP(R886,УГО_спр,2,FALSE),IFERROR(VLOOKUP(AL886,УГО_спр,2,FALSE),IFERROR(VLOOKUP(LEFT(AL886,2),УГО_спр,2,FALSE),""))))</f>
      </c>
    </row>
    <row r="887" spans="1:64" x14ac:dyDescent="0.3">
      <c r="A887" s="135">
        <f>IF(Разбивка_по_щитам!F887=0,"",Разбивка_по_щитам!F887)</f>
        <v/>
      </c>
      <c r="B887" s="138">
        <f>IF(A887="","",Разбивка_по_щитам!C887)</f>
        <v/>
      </c>
      <c r="C887" s="138">
        <f t="shared" si="542"/>
        <v/>
      </c>
      <c r="D887" s="266"/>
      <c r="E887" s="266"/>
      <c r="F887" s="267"/>
      <c r="G887" s="145">
        <f t="shared" si="543"/>
        <v/>
      </c>
      <c r="H887" s="145">
        <f t="shared" si="544"/>
        <v/>
      </c>
      <c r="I887" s="266"/>
      <c r="J887" s="267"/>
      <c r="K887" s="267"/>
      <c r="L887" s="266"/>
      <c r="M887" s="147">
        <f t="shared" si="545"/>
        <v/>
      </c>
      <c r="N887" s="267"/>
      <c r="O887" s="147">
        <f t="shared" si="546"/>
        <v/>
      </c>
      <c r="P887" s="268">
        <f>IF(AY887=1,"XT"&amp;COUNTIFS($A$3:A887,A887,$AY$3:AY887,1),"")</f>
        <v/>
      </c>
      <c r="Q887" s="152">
        <f>IF(R887="","",IFERROR(SUBSTITUTE(Разбивка_по_щитам!P887,CHAR(10)," "),""))</f>
        <v/>
      </c>
      <c r="R887" s="153">
        <f>IF(OR(Разбивка_по_щитам!H887="",Разбивка_по_щитам!H887=0),"",Разбивка_по_щитам!H887)</f>
        <v/>
      </c>
      <c r="S887" s="154">
        <f>IF(R887="","",IFERROR(Разбивка_по_щитам!J887&amp;"",""))</f>
        <v/>
      </c>
      <c r="T887" s="155">
        <f>IF(R887="","",IFERROR(--Разбивка_по_щитам!L887,""))</f>
        <v/>
      </c>
      <c r="U887" s="155">
        <f>IF(R887="","",IFERROR(--Разбивка_по_щитам!K887,""))</f>
        <v/>
      </c>
      <c r="V887" s="138">
        <f>IF(R887="","",IFERROR(IF(Разбивка_по_щитам!M887=0,"",Разбивка_по_щитам!M887),""))</f>
        <v/>
      </c>
      <c r="W887" s="156">
        <f t="shared" si="547"/>
        <v/>
      </c>
      <c r="X887" s="157">
        <f t="shared" si="548"/>
        <v/>
      </c>
      <c r="Y887" s="266"/>
      <c r="Z887" s="158">
        <f t="shared" si="549"/>
        <v/>
      </c>
      <c r="AA887" s="160">
        <f t="shared" si="550"/>
        <v/>
      </c>
      <c r="AB887" s="160">
        <f>IF(R887="","",IFERROR(LOOKUP(INDEX(Справочная!$I$4:$I$19,MATCH(VLOOKUP(R887,Исходные_данные,22,FALSE),Справочная!$J$4:$J$19,0)+1),{6,10,16,20,25,32,40,50,63,80,100,125}),""))</f>
        <v/>
      </c>
      <c r="AC887" s="160">
        <f t="shared" si="551"/>
        <v/>
      </c>
      <c r="AD887" s="161">
        <f t="shared" si="552"/>
        <v/>
      </c>
      <c r="AE887" s="161">
        <f>IF(AND(R887="",G887=""),"",_xlfn.TEXTJOIN("; ",TRUE,IF(AND(R887&lt;&gt;"",V887=""),"нет фазы",""),IF(AND(R887&lt;&gt;"",N(T887)=0),"нет мощности",""),IF(AND(P887&lt;&gt;"",COUNTIFS($A$3:$A$1000,A887,$P$3:$P$1000,P887)&gt;1),"дубль клеммы "&amp;P887,""),IF(AND(W887&lt;&gt;"",W887&lt;&gt;"ok"),W887,""),IF(X887&lt;&gt;"",X887,""),IF(AND(ISNUMBER(SEARCH("(5х",Q887)),N(AK887)=1),"5 жил на 1 фазе",""),IF(AND(AL887="R",E887&lt;&gt;"",N(AS887)=0),"розетка без 30 мА",""),IF(IFERROR(_xlfn.NUMBERVALUE(MID(Q887,FIND("-",Q887,FIND("L=",Q887))+1,FIND("%",Q887)-FIND("-",Q887,FIND("L=",Q887))-1),","),0)&gt;4,"потери &gt; 4 %","")))</f>
      </c>
      <c r="AF887" s="129">
        <f>IF(E887&lt;&gt;"",COUNTIFS($A$3:A887,A887,$E$3:E887,"?*"),IF(OR(A887&lt;&gt;A886,Y887="вручную"),"",AF886))</f>
        <v/>
      </c>
      <c r="AG887" s="129">
        <f t="shared" si="553"/>
        <v/>
      </c>
      <c r="AH887" s="129">
        <f t="shared" si="554"/>
        <v/>
      </c>
      <c r="AI887" s="129">
        <f t="shared" si="555"/>
        <v/>
      </c>
      <c r="AJ887" s="129">
        <f t="shared" si="556"/>
        <v/>
      </c>
      <c r="AK887" s="129">
        <f t="shared" si="557"/>
        <v/>
      </c>
      <c r="AL887" s="129">
        <f t="shared" si="558"/>
        <v/>
      </c>
      <c r="AM887" s="129">
        <f t="shared" si="559"/>
      </c>
      <c r="AN887" s="129">
        <f t="shared" si="560"/>
      </c>
      <c r="AO887" s="129">
        <f t="shared" si="561"/>
        <v/>
      </c>
      <c r="AP887" s="129">
        <f t="shared" si="562"/>
        <v/>
      </c>
      <c r="AQ887" s="129">
        <f t="shared" si="563"/>
        <v/>
      </c>
      <c r="AR887" s="129">
        <f t="shared" si="564"/>
        <v/>
      </c>
      <c r="AS887" s="129">
        <f t="shared" si="565"/>
        <v/>
      </c>
      <c r="AT887" s="129">
        <f t="shared" si="566"/>
        <v/>
      </c>
      <c r="AU887" s="129">
        <f t="shared" si="567"/>
        <v/>
      </c>
      <c r="AV887" s="129">
        <f t="shared" si="568"/>
        <v/>
      </c>
      <c r="AW887" s="129">
        <f>IF(AV887="","",AV887&amp;"."&amp;COUNTIFS($A$3:A887,A887,$AV$3:AV887,AV887))</f>
        <v/>
      </c>
      <c r="AX887" s="129">
        <f t="shared" si="569"/>
        <v/>
      </c>
      <c r="AY887" s="129">
        <f>IF(N887="б/к",0,IF(OR(ISNUMBER(SEARCH("L=",Разбивка_по_щитам!P887)),N887="+",N887="="),1,0))</f>
      </c>
      <c r="AZ887" s="129">
        <f t="shared" si="570"/>
        <v/>
      </c>
      <c r="BA887" s="129">
        <f t="shared" si="571"/>
      </c>
      <c r="BB887" s="129">
        <f t="shared" si="572"/>
      </c>
      <c r="BD887" s="129">
        <f t="shared" si="573"/>
      </c>
      <c r="BE887" s="129">
        <f t="shared" si="574"/>
      </c>
      <c r="BF887" s="129">
        <f t="shared" si="575"/>
      </c>
      <c r="BG887" s="129">
        <f t="shared" si="576"/>
        <v/>
      </c>
      <c r="BH887" s="129">
        <f t="shared" si="577"/>
        <v/>
      </c>
      <c r="BI887" s="129">
        <f t="shared" si="578"/>
        <v/>
      </c>
      <c r="BJ887" s="129">
        <f t="shared" si="579"/>
        <v/>
      </c>
      <c r="BK887" s="129">
        <f>IF(R887="","",IF(OR(BY887="",BY887=0),"BOX",IFERROR(IF(VLOOKUP(BY887,УГО_блоки,3,FALSE)&amp;""&lt;&gt;"",VLOOKUP(BY887,УГО_блоки,3,FALSE),VLOOKUP(BY887,УГО_блоки,2,FALSE)),BY887)))</f>
      </c>
      <c r="BL887" s="129">
        <f t="shared" si="581"/>
      </c>
      <c r="BM887" s="129">
        <f>IF(H887="","",IF(COUNTIF($H$3:H887,H887)=1,MAX($BM$2:BM886)+1,""))</f>
      </c>
      <c r="BN887" s="129">
        <f>IF(I887="","",IF(COUNTIF($I$3:I887,I887)+COUNTIF($J$2:J886,I887)+COUNTIF($K$2:K886,I887)=1,MAX($BN$2:BP886)+1,""))</f>
      </c>
      <c r="BO887" s="129">
        <f>IF(J887="","",IF(COUNTIF($I$3:I887,J887)+COUNTIF($J$3:J887,J887)+COUNTIF($K$2:K886,J887)=1,MAX($BN$2:BP886,BN887)+1,""))</f>
      </c>
      <c r="BP887" s="129">
        <f>IF(K887="","",IF(COUNTIF($I$3:I887,K887)+COUNTIF($J$3:J887,K887)+COUNTIF($K$3:K887,K887)=1,MAX($BN$2:BP886,BN887,BO887)+1,""))</f>
      </c>
      <c r="BQ887" s="129">
        <f>IF(AY887=1,IFERROR(MID(Q887,FIND(" (",Q887)+2,FIND(")",Q887,FIND(" (",Q887))-FIND(" (",Q887)-2),"?"),"")</f>
      </c>
      <c r="BR887" s="129">
        <f>IF(BQ887="","",IF(COUNTIF($BQ$3:BQ887,BQ887)=1,MAX($BR$2:BR886)+1,""))</f>
      </c>
      <c r="BS887" s="129">
        <f>IF(AW887="","",COUNTIF($AW$3:AW887,"?*"))</f>
      </c>
      <c r="BT887" s="129">
        <f>IF(OR(AW887="",AI887=""),"",IF(COUNTIFS($AW$3:AW887,"?*",$AI$3:AI887,AI887)=1,MAX($BT$2:BT886)+1,""))</f>
      </c>
      <c r="BU887" s="129">
        <f>IF(AE887="",0,IF(OR(ISNUMBER(SEARCH("дубль",AE887)),ISNUMBER(SEARCH("ПЕРЕГРУЗ",AE887)),ISNUMBER(SEARCH("ЗАЩИЩ",AE887)),ISNUMBER(SEARCH("КАНАЛ",AE887)),ISNUMBER(SEARCH("без 30",AE887))),2,1))</f>
      </c>
      <c r="BV887" s="129">
        <f>IF(R887="","",COUNTIF($R$3:R887,"?*"))</f>
      </c>
      <c r="BW887" s="129">
        <f>IF(AY887&lt;&gt;1,0,IF(MAX(IFERROR(--VLOOKUP(R887,УГО_спр,5,FALSE),0),IFERROR(--VLOOKUP(AL887,УГО_спр,5,FALSE),0),IFERROR(--VLOOKUP(LEFT(AL887,2),УГО_спр,5,FALSE),0))&gt;0,MAX(IFERROR(--VLOOKUP(R887,УГО_спр,5,FALSE),0),IFERROR(--VLOOKUP(AL887,УГО_спр,5,FALSE),0),IFERROR(--VLOOKUP(LEFT(AL887,2),УГО_спр,5,FALSE),0)),IF(IFERROR(--LEFT(SUBSTITUTE(BQ887,"x","х"),FIND("х",SUBSTITUTE(BQ887,"x","х"))-1),3)&gt;3,Каталог!$S$9,1)))</f>
      </c>
      <c r="BX887" s="129">
        <f>IF(AY887&lt;&gt;1,0,MAX(0,IFERROR(--LEFT(SUBSTITUTE(BQ887,"x","х"),FIND("х",SUBSTITUTE(BQ887,"x","х"))-1),3)-3*BW887))</f>
      </c>
      <c r="BY887" s="129">
        <f>IF(R887="","",IFERROR(VLOOKUP(R887,УГО_спр,2,FALSE),IFERROR(VLOOKUP(AL887,УГО_спр,2,FALSE),IFERROR(VLOOKUP(LEFT(AL887,2),УГО_спр,2,FALSE),""))))</f>
      </c>
    </row>
    <row r="888" spans="1:64" x14ac:dyDescent="0.3">
      <c r="A888" s="135">
        <f>IF(Разбивка_по_щитам!F888=0,"",Разбивка_по_щитам!F888)</f>
        <v/>
      </c>
      <c r="B888" s="138">
        <f>IF(A888="","",Разбивка_по_щитам!C888)</f>
        <v/>
      </c>
      <c r="C888" s="138">
        <f t="shared" si="542"/>
        <v/>
      </c>
      <c r="D888" s="266"/>
      <c r="E888" s="266"/>
      <c r="F888" s="267"/>
      <c r="G888" s="145">
        <f t="shared" si="543"/>
        <v/>
      </c>
      <c r="H888" s="145">
        <f t="shared" si="544"/>
        <v/>
      </c>
      <c r="I888" s="266"/>
      <c r="J888" s="267"/>
      <c r="K888" s="267"/>
      <c r="L888" s="266"/>
      <c r="M888" s="147">
        <f t="shared" si="545"/>
        <v/>
      </c>
      <c r="N888" s="267"/>
      <c r="O888" s="147">
        <f t="shared" si="546"/>
        <v/>
      </c>
      <c r="P888" s="268">
        <f>IF(AY888=1,"XT"&amp;COUNTIFS($A$3:A888,A888,$AY$3:AY888,1),"")</f>
        <v/>
      </c>
      <c r="Q888" s="152">
        <f>IF(R888="","",IFERROR(SUBSTITUTE(Разбивка_по_щитам!P888,CHAR(10)," "),""))</f>
        <v/>
      </c>
      <c r="R888" s="153">
        <f>IF(OR(Разбивка_по_щитам!H888="",Разбивка_по_щитам!H888=0),"",Разбивка_по_щитам!H888)</f>
        <v/>
      </c>
      <c r="S888" s="154">
        <f>IF(R888="","",IFERROR(Разбивка_по_щитам!J888&amp;"",""))</f>
        <v/>
      </c>
      <c r="T888" s="155">
        <f>IF(R888="","",IFERROR(--Разбивка_по_щитам!L888,""))</f>
        <v/>
      </c>
      <c r="U888" s="155">
        <f>IF(R888="","",IFERROR(--Разбивка_по_щитам!K888,""))</f>
        <v/>
      </c>
      <c r="V888" s="138">
        <f>IF(R888="","",IFERROR(IF(Разбивка_по_щитам!M888=0,"",Разбивка_по_щитам!M888),""))</f>
        <v/>
      </c>
      <c r="W888" s="156">
        <f t="shared" si="547"/>
        <v/>
      </c>
      <c r="X888" s="157">
        <f t="shared" si="548"/>
        <v/>
      </c>
      <c r="Y888" s="266"/>
      <c r="Z888" s="158">
        <f t="shared" si="549"/>
        <v/>
      </c>
      <c r="AA888" s="160">
        <f t="shared" si="550"/>
        <v/>
      </c>
      <c r="AB888" s="160">
        <f>IF(R888="","",IFERROR(LOOKUP(INDEX(Справочная!$I$4:$I$19,MATCH(VLOOKUP(R888,Исходные_данные,22,FALSE),Справочная!$J$4:$J$19,0)+1),{6,10,16,20,25,32,40,50,63,80,100,125}),""))</f>
        <v/>
      </c>
      <c r="AC888" s="160">
        <f t="shared" si="551"/>
        <v/>
      </c>
      <c r="AD888" s="161">
        <f t="shared" si="552"/>
        <v/>
      </c>
      <c r="AE888" s="161">
        <f>IF(AND(R888="",G888=""),"",_xlfn.TEXTJOIN("; ",TRUE,IF(AND(R888&lt;&gt;"",V888=""),"нет фазы",""),IF(AND(R888&lt;&gt;"",N(T888)=0),"нет мощности",""),IF(AND(P888&lt;&gt;"",COUNTIFS($A$3:$A$1000,A888,$P$3:$P$1000,P888)&gt;1),"дубль клеммы "&amp;P888,""),IF(AND(W888&lt;&gt;"",W888&lt;&gt;"ok"),W888,""),IF(X888&lt;&gt;"",X888,""),IF(AND(ISNUMBER(SEARCH("(5х",Q888)),N(AK888)=1),"5 жил на 1 фазе",""),IF(AND(AL888="R",E888&lt;&gt;"",N(AS888)=0),"розетка без 30 мА",""),IF(IFERROR(_xlfn.NUMBERVALUE(MID(Q888,FIND("-",Q888,FIND("L=",Q888))+1,FIND("%",Q888)-FIND("-",Q888,FIND("L=",Q888))-1),","),0)&gt;4,"потери &gt; 4 %","")))</f>
      </c>
      <c r="AF888" s="129">
        <f>IF(E888&lt;&gt;"",COUNTIFS($A$3:A888,A888,$E$3:E888,"?*"),IF(OR(A888&lt;&gt;A887,Y888="вручную"),"",AF887))</f>
        <v/>
      </c>
      <c r="AG888" s="129">
        <f t="shared" si="553"/>
        <v/>
      </c>
      <c r="AH888" s="129">
        <f t="shared" si="554"/>
        <v/>
      </c>
      <c r="AI888" s="129">
        <f t="shared" si="555"/>
        <v/>
      </c>
      <c r="AJ888" s="129">
        <f t="shared" si="556"/>
        <v/>
      </c>
      <c r="AK888" s="129">
        <f t="shared" si="557"/>
        <v/>
      </c>
      <c r="AL888" s="129">
        <f t="shared" si="558"/>
        <v/>
      </c>
      <c r="AM888" s="129">
        <f t="shared" si="559"/>
      </c>
      <c r="AN888" s="129">
        <f t="shared" si="560"/>
      </c>
      <c r="AO888" s="129">
        <f t="shared" si="561"/>
        <v/>
      </c>
      <c r="AP888" s="129">
        <f t="shared" si="562"/>
        <v/>
      </c>
      <c r="AQ888" s="129">
        <f t="shared" si="563"/>
        <v/>
      </c>
      <c r="AR888" s="129">
        <f t="shared" si="564"/>
        <v/>
      </c>
      <c r="AS888" s="129">
        <f t="shared" si="565"/>
        <v/>
      </c>
      <c r="AT888" s="129">
        <f t="shared" si="566"/>
        <v/>
      </c>
      <c r="AU888" s="129">
        <f t="shared" si="567"/>
        <v/>
      </c>
      <c r="AV888" s="129">
        <f t="shared" si="568"/>
        <v/>
      </c>
      <c r="AW888" s="129">
        <f>IF(AV888="","",AV888&amp;"."&amp;COUNTIFS($A$3:A888,A888,$AV$3:AV888,AV888))</f>
        <v/>
      </c>
      <c r="AX888" s="129">
        <f t="shared" si="569"/>
        <v/>
      </c>
      <c r="AY888" s="129">
        <f>IF(N888="б/к",0,IF(OR(ISNUMBER(SEARCH("L=",Разбивка_по_щитам!P888)),N888="+",N888="="),1,0))</f>
      </c>
      <c r="AZ888" s="129">
        <f t="shared" si="570"/>
        <v/>
      </c>
      <c r="BA888" s="129">
        <f t="shared" si="571"/>
      </c>
      <c r="BB888" s="129">
        <f t="shared" si="572"/>
      </c>
      <c r="BD888" s="129">
        <f t="shared" si="573"/>
      </c>
      <c r="BE888" s="129">
        <f t="shared" si="574"/>
      </c>
      <c r="BF888" s="129">
        <f t="shared" si="575"/>
      </c>
      <c r="BG888" s="129">
        <f t="shared" si="576"/>
        <v/>
      </c>
      <c r="BH888" s="129">
        <f t="shared" si="577"/>
        <v/>
      </c>
      <c r="BI888" s="129">
        <f t="shared" si="578"/>
        <v/>
      </c>
      <c r="BJ888" s="129">
        <f t="shared" si="579"/>
        <v/>
      </c>
      <c r="BK888" s="129">
        <f>IF(R888="","",IF(OR(BY888="",BY888=0),"BOX",IFERROR(IF(VLOOKUP(BY888,УГО_блоки,3,FALSE)&amp;""&lt;&gt;"",VLOOKUP(BY888,УГО_блоки,3,FALSE),VLOOKUP(BY888,УГО_блоки,2,FALSE)),BY888)))</f>
      </c>
      <c r="BL888" s="129">
        <f t="shared" si="581"/>
      </c>
      <c r="BM888" s="129">
        <f>IF(H888="","",IF(COUNTIF($H$3:H888,H888)=1,MAX($BM$2:BM887)+1,""))</f>
      </c>
      <c r="BN888" s="129">
        <f>IF(I888="","",IF(COUNTIF($I$3:I888,I888)+COUNTIF($J$2:J887,I888)+COUNTIF($K$2:K887,I888)=1,MAX($BN$2:BP887)+1,""))</f>
      </c>
      <c r="BO888" s="129">
        <f>IF(J888="","",IF(COUNTIF($I$3:I888,J888)+COUNTIF($J$3:J888,J888)+COUNTIF($K$2:K887,J888)=1,MAX($BN$2:BP887,BN888)+1,""))</f>
      </c>
      <c r="BP888" s="129">
        <f>IF(K888="","",IF(COUNTIF($I$3:I888,K888)+COUNTIF($J$3:J888,K888)+COUNTIF($K$3:K888,K888)=1,MAX($BN$2:BP887,BN888,BO888)+1,""))</f>
      </c>
      <c r="BQ888" s="129">
        <f>IF(AY888=1,IFERROR(MID(Q888,FIND(" (",Q888)+2,FIND(")",Q888,FIND(" (",Q888))-FIND(" (",Q888)-2),"?"),"")</f>
      </c>
      <c r="BR888" s="129">
        <f>IF(BQ888="","",IF(COUNTIF($BQ$3:BQ888,BQ888)=1,MAX($BR$2:BR887)+1,""))</f>
      </c>
      <c r="BS888" s="129">
        <f>IF(AW888="","",COUNTIF($AW$3:AW888,"?*"))</f>
      </c>
      <c r="BT888" s="129">
        <f>IF(OR(AW888="",AI888=""),"",IF(COUNTIFS($AW$3:AW888,"?*",$AI$3:AI888,AI888)=1,MAX($BT$2:BT887)+1,""))</f>
      </c>
      <c r="BU888" s="129">
        <f>IF(AE888="",0,IF(OR(ISNUMBER(SEARCH("дубль",AE888)),ISNUMBER(SEARCH("ПЕРЕГРУЗ",AE888)),ISNUMBER(SEARCH("ЗАЩИЩ",AE888)),ISNUMBER(SEARCH("КАНАЛ",AE888)),ISNUMBER(SEARCH("без 30",AE888))),2,1))</f>
      </c>
      <c r="BV888" s="129">
        <f>IF(R888="","",COUNTIF($R$3:R888,"?*"))</f>
      </c>
      <c r="BW888" s="129">
        <f>IF(AY888&lt;&gt;1,0,IF(MAX(IFERROR(--VLOOKUP(R888,УГО_спр,5,FALSE),0),IFERROR(--VLOOKUP(AL888,УГО_спр,5,FALSE),0),IFERROR(--VLOOKUP(LEFT(AL888,2),УГО_спр,5,FALSE),0))&gt;0,MAX(IFERROR(--VLOOKUP(R888,УГО_спр,5,FALSE),0),IFERROR(--VLOOKUP(AL888,УГО_спр,5,FALSE),0),IFERROR(--VLOOKUP(LEFT(AL888,2),УГО_спр,5,FALSE),0)),IF(IFERROR(--LEFT(SUBSTITUTE(BQ888,"x","х"),FIND("х",SUBSTITUTE(BQ888,"x","х"))-1),3)&gt;3,Каталог!$S$9,1)))</f>
      </c>
      <c r="BX888" s="129">
        <f>IF(AY888&lt;&gt;1,0,MAX(0,IFERROR(--LEFT(SUBSTITUTE(BQ888,"x","х"),FIND("х",SUBSTITUTE(BQ888,"x","х"))-1),3)-3*BW888))</f>
      </c>
      <c r="BY888" s="129">
        <f>IF(R888="","",IFERROR(VLOOKUP(R888,УГО_спр,2,FALSE),IFERROR(VLOOKUP(AL888,УГО_спр,2,FALSE),IFERROR(VLOOKUP(LEFT(AL888,2),УГО_спр,2,FALSE),""))))</f>
      </c>
    </row>
    <row r="889" spans="1:64" x14ac:dyDescent="0.3">
      <c r="A889" s="135">
        <f>IF(Разбивка_по_щитам!F889=0,"",Разбивка_по_щитам!F889)</f>
        <v/>
      </c>
      <c r="B889" s="138">
        <f>IF(A889="","",Разбивка_по_щитам!C889)</f>
        <v/>
      </c>
      <c r="C889" s="138">
        <f t="shared" si="542"/>
        <v/>
      </c>
      <c r="D889" s="266"/>
      <c r="E889" s="266"/>
      <c r="F889" s="267"/>
      <c r="G889" s="145">
        <f t="shared" si="543"/>
        <v/>
      </c>
      <c r="H889" s="145">
        <f t="shared" si="544"/>
        <v/>
      </c>
      <c r="I889" s="266"/>
      <c r="J889" s="267"/>
      <c r="K889" s="267"/>
      <c r="L889" s="266"/>
      <c r="M889" s="147">
        <f t="shared" si="545"/>
        <v/>
      </c>
      <c r="N889" s="267"/>
      <c r="O889" s="147">
        <f t="shared" si="546"/>
        <v/>
      </c>
      <c r="P889" s="268">
        <f>IF(AY889=1,"XT"&amp;COUNTIFS($A$3:A889,A889,$AY$3:AY889,1),"")</f>
        <v/>
      </c>
      <c r="Q889" s="152">
        <f>IF(R889="","",IFERROR(SUBSTITUTE(Разбивка_по_щитам!P889,CHAR(10)," "),""))</f>
        <v/>
      </c>
      <c r="R889" s="153">
        <f>IF(OR(Разбивка_по_щитам!H889="",Разбивка_по_щитам!H889=0),"",Разбивка_по_щитам!H889)</f>
        <v/>
      </c>
      <c r="S889" s="154">
        <f>IF(R889="","",IFERROR(Разбивка_по_щитам!J889&amp;"",""))</f>
        <v/>
      </c>
      <c r="T889" s="155">
        <f>IF(R889="","",IFERROR(--Разбивка_по_щитам!L889,""))</f>
        <v/>
      </c>
      <c r="U889" s="155">
        <f>IF(R889="","",IFERROR(--Разбивка_по_щитам!K889,""))</f>
        <v/>
      </c>
      <c r="V889" s="138">
        <f>IF(R889="","",IFERROR(IF(Разбивка_по_щитам!M889=0,"",Разбивка_по_щитам!M889),""))</f>
        <v/>
      </c>
      <c r="W889" s="156">
        <f t="shared" si="547"/>
        <v/>
      </c>
      <c r="X889" s="157">
        <f t="shared" si="548"/>
        <v/>
      </c>
      <c r="Y889" s="266"/>
      <c r="Z889" s="158">
        <f t="shared" si="549"/>
        <v/>
      </c>
      <c r="AA889" s="160">
        <f t="shared" si="550"/>
        <v/>
      </c>
      <c r="AB889" s="160">
        <f>IF(R889="","",IFERROR(LOOKUP(INDEX(Справочная!$I$4:$I$19,MATCH(VLOOKUP(R889,Исходные_данные,22,FALSE),Справочная!$J$4:$J$19,0)+1),{6,10,16,20,25,32,40,50,63,80,100,125}),""))</f>
        <v/>
      </c>
      <c r="AC889" s="160">
        <f t="shared" si="551"/>
        <v/>
      </c>
      <c r="AD889" s="161">
        <f t="shared" si="552"/>
        <v/>
      </c>
      <c r="AE889" s="161">
        <f>IF(AND(R889="",G889=""),"",_xlfn.TEXTJOIN("; ",TRUE,IF(AND(R889&lt;&gt;"",V889=""),"нет фазы",""),IF(AND(R889&lt;&gt;"",N(T889)=0),"нет мощности",""),IF(AND(P889&lt;&gt;"",COUNTIFS($A$3:$A$1000,A889,$P$3:$P$1000,P889)&gt;1),"дубль клеммы "&amp;P889,""),IF(AND(W889&lt;&gt;"",W889&lt;&gt;"ok"),W889,""),IF(X889&lt;&gt;"",X889,""),IF(AND(ISNUMBER(SEARCH("(5х",Q889)),N(AK889)=1),"5 жил на 1 фазе",""),IF(AND(AL889="R",E889&lt;&gt;"",N(AS889)=0),"розетка без 30 мА",""),IF(IFERROR(_xlfn.NUMBERVALUE(MID(Q889,FIND("-",Q889,FIND("L=",Q889))+1,FIND("%",Q889)-FIND("-",Q889,FIND("L=",Q889))-1),","),0)&gt;4,"потери &gt; 4 %","")))</f>
      </c>
      <c r="AF889" s="129">
        <f>IF(E889&lt;&gt;"",COUNTIFS($A$3:A889,A889,$E$3:E889,"?*"),IF(OR(A889&lt;&gt;A888,Y889="вручную"),"",AF888))</f>
        <v/>
      </c>
      <c r="AG889" s="129">
        <f t="shared" si="553"/>
        <v/>
      </c>
      <c r="AH889" s="129">
        <f t="shared" si="554"/>
        <v/>
      </c>
      <c r="AI889" s="129">
        <f t="shared" si="555"/>
        <v/>
      </c>
      <c r="AJ889" s="129">
        <f t="shared" si="556"/>
        <v/>
      </c>
      <c r="AK889" s="129">
        <f t="shared" si="557"/>
        <v/>
      </c>
      <c r="AL889" s="129">
        <f t="shared" si="558"/>
        <v/>
      </c>
      <c r="AM889" s="129">
        <f t="shared" si="559"/>
      </c>
      <c r="AN889" s="129">
        <f t="shared" si="560"/>
      </c>
      <c r="AO889" s="129">
        <f t="shared" si="561"/>
        <v/>
      </c>
      <c r="AP889" s="129">
        <f t="shared" si="562"/>
        <v/>
      </c>
      <c r="AQ889" s="129">
        <f t="shared" si="563"/>
        <v/>
      </c>
      <c r="AR889" s="129">
        <f t="shared" si="564"/>
        <v/>
      </c>
      <c r="AS889" s="129">
        <f t="shared" si="565"/>
        <v/>
      </c>
      <c r="AT889" s="129">
        <f t="shared" si="566"/>
        <v/>
      </c>
      <c r="AU889" s="129">
        <f t="shared" si="567"/>
        <v/>
      </c>
      <c r="AV889" s="129">
        <f t="shared" si="568"/>
        <v/>
      </c>
      <c r="AW889" s="129">
        <f>IF(AV889="","",AV889&amp;"."&amp;COUNTIFS($A$3:A889,A889,$AV$3:AV889,AV889))</f>
        <v/>
      </c>
      <c r="AX889" s="129">
        <f t="shared" si="569"/>
        <v/>
      </c>
      <c r="AY889" s="129">
        <f>IF(N889="б/к",0,IF(OR(ISNUMBER(SEARCH("L=",Разбивка_по_щитам!P889)),N889="+",N889="="),1,0))</f>
      </c>
      <c r="AZ889" s="129">
        <f t="shared" si="570"/>
        <v/>
      </c>
      <c r="BA889" s="129">
        <f t="shared" si="571"/>
      </c>
      <c r="BB889" s="129">
        <f t="shared" si="572"/>
      </c>
      <c r="BD889" s="129">
        <f t="shared" si="573"/>
      </c>
      <c r="BE889" s="129">
        <f t="shared" si="574"/>
      </c>
      <c r="BF889" s="129">
        <f t="shared" si="575"/>
      </c>
      <c r="BG889" s="129">
        <f t="shared" si="576"/>
        <v/>
      </c>
      <c r="BH889" s="129">
        <f t="shared" si="577"/>
        <v/>
      </c>
      <c r="BI889" s="129">
        <f t="shared" si="578"/>
        <v/>
      </c>
      <c r="BJ889" s="129">
        <f t="shared" si="579"/>
        <v/>
      </c>
      <c r="BK889" s="129">
        <f>IF(R889="","",IF(OR(BY889="",BY889=0),"BOX",IFERROR(IF(VLOOKUP(BY889,УГО_блоки,3,FALSE)&amp;""&lt;&gt;"",VLOOKUP(BY889,УГО_блоки,3,FALSE),VLOOKUP(BY889,УГО_блоки,2,FALSE)),BY889)))</f>
      </c>
      <c r="BL889" s="129">
        <f t="shared" si="581"/>
      </c>
      <c r="BM889" s="129">
        <f>IF(H889="","",IF(COUNTIF($H$3:H889,H889)=1,MAX($BM$2:BM888)+1,""))</f>
      </c>
      <c r="BN889" s="129">
        <f>IF(I889="","",IF(COUNTIF($I$3:I889,I889)+COUNTIF($J$2:J888,I889)+COUNTIF($K$2:K888,I889)=1,MAX($BN$2:BP888)+1,""))</f>
      </c>
      <c r="BO889" s="129">
        <f>IF(J889="","",IF(COUNTIF($I$3:I889,J889)+COUNTIF($J$3:J889,J889)+COUNTIF($K$2:K888,J889)=1,MAX($BN$2:BP888,BN889)+1,""))</f>
      </c>
      <c r="BP889" s="129">
        <f>IF(K889="","",IF(COUNTIF($I$3:I889,K889)+COUNTIF($J$3:J889,K889)+COUNTIF($K$3:K889,K889)=1,MAX($BN$2:BP888,BN889,BO889)+1,""))</f>
      </c>
      <c r="BQ889" s="129">
        <f>IF(AY889=1,IFERROR(MID(Q889,FIND(" (",Q889)+2,FIND(")",Q889,FIND(" (",Q889))-FIND(" (",Q889)-2),"?"),"")</f>
      </c>
      <c r="BR889" s="129">
        <f>IF(BQ889="","",IF(COUNTIF($BQ$3:BQ889,BQ889)=1,MAX($BR$2:BR888)+1,""))</f>
      </c>
      <c r="BS889" s="129">
        <f>IF(AW889="","",COUNTIF($AW$3:AW889,"?*"))</f>
      </c>
      <c r="BT889" s="129">
        <f>IF(OR(AW889="",AI889=""),"",IF(COUNTIFS($AW$3:AW889,"?*",$AI$3:AI889,AI889)=1,MAX($BT$2:BT888)+1,""))</f>
      </c>
      <c r="BU889" s="129">
        <f>IF(AE889="",0,IF(OR(ISNUMBER(SEARCH("дубль",AE889)),ISNUMBER(SEARCH("ПЕРЕГРУЗ",AE889)),ISNUMBER(SEARCH("ЗАЩИЩ",AE889)),ISNUMBER(SEARCH("КАНАЛ",AE889)),ISNUMBER(SEARCH("без 30",AE889))),2,1))</f>
      </c>
      <c r="BV889" s="129">
        <f>IF(R889="","",COUNTIF($R$3:R889,"?*"))</f>
      </c>
      <c r="BW889" s="129">
        <f>IF(AY889&lt;&gt;1,0,IF(MAX(IFERROR(--VLOOKUP(R889,УГО_спр,5,FALSE),0),IFERROR(--VLOOKUP(AL889,УГО_спр,5,FALSE),0),IFERROR(--VLOOKUP(LEFT(AL889,2),УГО_спр,5,FALSE),0))&gt;0,MAX(IFERROR(--VLOOKUP(R889,УГО_спр,5,FALSE),0),IFERROR(--VLOOKUP(AL889,УГО_спр,5,FALSE),0),IFERROR(--VLOOKUP(LEFT(AL889,2),УГО_спр,5,FALSE),0)),IF(IFERROR(--LEFT(SUBSTITUTE(BQ889,"x","х"),FIND("х",SUBSTITUTE(BQ889,"x","х"))-1),3)&gt;3,Каталог!$S$9,1)))</f>
      </c>
      <c r="BX889" s="129">
        <f>IF(AY889&lt;&gt;1,0,MAX(0,IFERROR(--LEFT(SUBSTITUTE(BQ889,"x","х"),FIND("х",SUBSTITUTE(BQ889,"x","х"))-1),3)-3*BW889))</f>
      </c>
      <c r="BY889" s="129">
        <f>IF(R889="","",IFERROR(VLOOKUP(R889,УГО_спр,2,FALSE),IFERROR(VLOOKUP(AL889,УГО_спр,2,FALSE),IFERROR(VLOOKUP(LEFT(AL889,2),УГО_спр,2,FALSE),""))))</f>
      </c>
    </row>
    <row r="890" spans="1:64" x14ac:dyDescent="0.3">
      <c r="A890" s="135">
        <f>IF(Разбивка_по_щитам!F890=0,"",Разбивка_по_щитам!F890)</f>
        <v/>
      </c>
      <c r="B890" s="138">
        <f>IF(A890="","",Разбивка_по_щитам!C890)</f>
        <v/>
      </c>
      <c r="C890" s="138">
        <f t="shared" si="542"/>
        <v/>
      </c>
      <c r="D890" s="266"/>
      <c r="E890" s="266"/>
      <c r="F890" s="267"/>
      <c r="G890" s="145">
        <f t="shared" si="543"/>
        <v/>
      </c>
      <c r="H890" s="145">
        <f t="shared" si="544"/>
        <v/>
      </c>
      <c r="I890" s="266"/>
      <c r="J890" s="267"/>
      <c r="K890" s="267"/>
      <c r="L890" s="266"/>
      <c r="M890" s="147">
        <f t="shared" si="545"/>
        <v/>
      </c>
      <c r="N890" s="267"/>
      <c r="O890" s="147">
        <f t="shared" si="546"/>
        <v/>
      </c>
      <c r="P890" s="268">
        <f>IF(AY890=1,"XT"&amp;COUNTIFS($A$3:A890,A890,$AY$3:AY890,1),"")</f>
        <v/>
      </c>
      <c r="Q890" s="152">
        <f>IF(R890="","",IFERROR(SUBSTITUTE(Разбивка_по_щитам!P890,CHAR(10)," "),""))</f>
        <v/>
      </c>
      <c r="R890" s="153">
        <f>IF(OR(Разбивка_по_щитам!H890="",Разбивка_по_щитам!H890=0),"",Разбивка_по_щитам!H890)</f>
        <v/>
      </c>
      <c r="S890" s="154">
        <f>IF(R890="","",IFERROR(Разбивка_по_щитам!J890&amp;"",""))</f>
        <v/>
      </c>
      <c r="T890" s="155">
        <f>IF(R890="","",IFERROR(--Разбивка_по_щитам!L890,""))</f>
        <v/>
      </c>
      <c r="U890" s="155">
        <f>IF(R890="","",IFERROR(--Разбивка_по_щитам!K890,""))</f>
        <v/>
      </c>
      <c r="V890" s="138">
        <f>IF(R890="","",IFERROR(IF(Разбивка_по_щитам!M890=0,"",Разбивка_по_щитам!M890),""))</f>
        <v/>
      </c>
      <c r="W890" s="156">
        <f t="shared" si="547"/>
        <v/>
      </c>
      <c r="X890" s="157">
        <f t="shared" si="548"/>
        <v/>
      </c>
      <c r="Y890" s="266"/>
      <c r="Z890" s="158">
        <f t="shared" si="549"/>
        <v/>
      </c>
      <c r="AA890" s="160">
        <f t="shared" si="550"/>
        <v/>
      </c>
      <c r="AB890" s="160">
        <f>IF(R890="","",IFERROR(LOOKUP(INDEX(Справочная!$I$4:$I$19,MATCH(VLOOKUP(R890,Исходные_данные,22,FALSE),Справочная!$J$4:$J$19,0)+1),{6,10,16,20,25,32,40,50,63,80,100,125}),""))</f>
        <v/>
      </c>
      <c r="AC890" s="160">
        <f t="shared" si="551"/>
        <v/>
      </c>
      <c r="AD890" s="161">
        <f t="shared" si="552"/>
        <v/>
      </c>
      <c r="AE890" s="161">
        <f>IF(AND(R890="",G890=""),"",_xlfn.TEXTJOIN("; ",TRUE,IF(AND(R890&lt;&gt;"",V890=""),"нет фазы",""),IF(AND(R890&lt;&gt;"",N(T890)=0),"нет мощности",""),IF(AND(P890&lt;&gt;"",COUNTIFS($A$3:$A$1000,A890,$P$3:$P$1000,P890)&gt;1),"дубль клеммы "&amp;P890,""),IF(AND(W890&lt;&gt;"",W890&lt;&gt;"ok"),W890,""),IF(X890&lt;&gt;"",X890,""),IF(AND(ISNUMBER(SEARCH("(5х",Q890)),N(AK890)=1),"5 жил на 1 фазе",""),IF(AND(AL890="R",E890&lt;&gt;"",N(AS890)=0),"розетка без 30 мА",""),IF(IFERROR(_xlfn.NUMBERVALUE(MID(Q890,FIND("-",Q890,FIND("L=",Q890))+1,FIND("%",Q890)-FIND("-",Q890,FIND("L=",Q890))-1),","),0)&gt;4,"потери &gt; 4 %","")))</f>
      </c>
      <c r="AF890" s="129">
        <f>IF(E890&lt;&gt;"",COUNTIFS($A$3:A890,A890,$E$3:E890,"?*"),IF(OR(A890&lt;&gt;A889,Y890="вручную"),"",AF889))</f>
        <v/>
      </c>
      <c r="AG890" s="129">
        <f t="shared" si="553"/>
        <v/>
      </c>
      <c r="AH890" s="129">
        <f t="shared" si="554"/>
        <v/>
      </c>
      <c r="AI890" s="129">
        <f t="shared" si="555"/>
        <v/>
      </c>
      <c r="AJ890" s="129">
        <f t="shared" si="556"/>
        <v/>
      </c>
      <c r="AK890" s="129">
        <f t="shared" si="557"/>
        <v/>
      </c>
      <c r="AL890" s="129">
        <f t="shared" si="558"/>
        <v/>
      </c>
      <c r="AM890" s="129">
        <f t="shared" si="559"/>
      </c>
      <c r="AN890" s="129">
        <f t="shared" si="560"/>
      </c>
      <c r="AO890" s="129">
        <f t="shared" si="561"/>
        <v/>
      </c>
      <c r="AP890" s="129">
        <f t="shared" si="562"/>
        <v/>
      </c>
      <c r="AQ890" s="129">
        <f t="shared" si="563"/>
        <v/>
      </c>
      <c r="AR890" s="129">
        <f t="shared" si="564"/>
        <v/>
      </c>
      <c r="AS890" s="129">
        <f t="shared" si="565"/>
        <v/>
      </c>
      <c r="AT890" s="129">
        <f t="shared" si="566"/>
        <v/>
      </c>
      <c r="AU890" s="129">
        <f t="shared" si="567"/>
        <v/>
      </c>
      <c r="AV890" s="129">
        <f t="shared" si="568"/>
        <v/>
      </c>
      <c r="AW890" s="129">
        <f>IF(AV890="","",AV890&amp;"."&amp;COUNTIFS($A$3:A890,A890,$AV$3:AV890,AV890))</f>
        <v/>
      </c>
      <c r="AX890" s="129">
        <f t="shared" si="569"/>
        <v/>
      </c>
      <c r="AY890" s="129">
        <f>IF(N890="б/к",0,IF(OR(ISNUMBER(SEARCH("L=",Разбивка_по_щитам!P890)),N890="+",N890="="),1,0))</f>
      </c>
      <c r="AZ890" s="129">
        <f t="shared" si="570"/>
        <v/>
      </c>
      <c r="BA890" s="129">
        <f t="shared" si="571"/>
      </c>
      <c r="BB890" s="129">
        <f t="shared" si="572"/>
      </c>
      <c r="BD890" s="129">
        <f t="shared" si="573"/>
      </c>
      <c r="BE890" s="129">
        <f t="shared" si="574"/>
      </c>
      <c r="BF890" s="129">
        <f t="shared" si="575"/>
      </c>
      <c r="BG890" s="129">
        <f t="shared" si="576"/>
        <v/>
      </c>
      <c r="BH890" s="129">
        <f t="shared" si="577"/>
        <v/>
      </c>
      <c r="BI890" s="129">
        <f t="shared" si="578"/>
        <v/>
      </c>
      <c r="BJ890" s="129">
        <f t="shared" si="579"/>
        <v/>
      </c>
      <c r="BK890" s="129">
        <f>IF(R890="","",IF(OR(BY890="",BY890=0),"BOX",IFERROR(IF(VLOOKUP(BY890,УГО_блоки,3,FALSE)&amp;""&lt;&gt;"",VLOOKUP(BY890,УГО_блоки,3,FALSE),VLOOKUP(BY890,УГО_блоки,2,FALSE)),BY890)))</f>
      </c>
      <c r="BL890" s="129">
        <f t="shared" si="581"/>
      </c>
      <c r="BM890" s="129">
        <f>IF(H890="","",IF(COUNTIF($H$3:H890,H890)=1,MAX($BM$2:BM889)+1,""))</f>
      </c>
      <c r="BN890" s="129">
        <f>IF(I890="","",IF(COUNTIF($I$3:I890,I890)+COUNTIF($J$2:J889,I890)+COUNTIF($K$2:K889,I890)=1,MAX($BN$2:BP889)+1,""))</f>
      </c>
      <c r="BO890" s="129">
        <f>IF(J890="","",IF(COUNTIF($I$3:I890,J890)+COUNTIF($J$3:J890,J890)+COUNTIF($K$2:K889,J890)=1,MAX($BN$2:BP889,BN890)+1,""))</f>
      </c>
      <c r="BP890" s="129">
        <f>IF(K890="","",IF(COUNTIF($I$3:I890,K890)+COUNTIF($J$3:J890,K890)+COUNTIF($K$3:K890,K890)=1,MAX($BN$2:BP889,BN890,BO890)+1,""))</f>
      </c>
      <c r="BQ890" s="129">
        <f>IF(AY890=1,IFERROR(MID(Q890,FIND(" (",Q890)+2,FIND(")",Q890,FIND(" (",Q890))-FIND(" (",Q890)-2),"?"),"")</f>
      </c>
      <c r="BR890" s="129">
        <f>IF(BQ890="","",IF(COUNTIF($BQ$3:BQ890,BQ890)=1,MAX($BR$2:BR889)+1,""))</f>
      </c>
      <c r="BS890" s="129">
        <f>IF(AW890="","",COUNTIF($AW$3:AW890,"?*"))</f>
      </c>
      <c r="BT890" s="129">
        <f>IF(OR(AW890="",AI890=""),"",IF(COUNTIFS($AW$3:AW890,"?*",$AI$3:AI890,AI890)=1,MAX($BT$2:BT889)+1,""))</f>
      </c>
      <c r="BU890" s="129">
        <f>IF(AE890="",0,IF(OR(ISNUMBER(SEARCH("дубль",AE890)),ISNUMBER(SEARCH("ПЕРЕГРУЗ",AE890)),ISNUMBER(SEARCH("ЗАЩИЩ",AE890)),ISNUMBER(SEARCH("КАНАЛ",AE890)),ISNUMBER(SEARCH("без 30",AE890))),2,1))</f>
      </c>
      <c r="BV890" s="129">
        <f>IF(R890="","",COUNTIF($R$3:R890,"?*"))</f>
      </c>
      <c r="BW890" s="129">
        <f>IF(AY890&lt;&gt;1,0,IF(MAX(IFERROR(--VLOOKUP(R890,УГО_спр,5,FALSE),0),IFERROR(--VLOOKUP(AL890,УГО_спр,5,FALSE),0),IFERROR(--VLOOKUP(LEFT(AL890,2),УГО_спр,5,FALSE),0))&gt;0,MAX(IFERROR(--VLOOKUP(R890,УГО_спр,5,FALSE),0),IFERROR(--VLOOKUP(AL890,УГО_спр,5,FALSE),0),IFERROR(--VLOOKUP(LEFT(AL890,2),УГО_спр,5,FALSE),0)),IF(IFERROR(--LEFT(SUBSTITUTE(BQ890,"x","х"),FIND("х",SUBSTITUTE(BQ890,"x","х"))-1),3)&gt;3,Каталог!$S$9,1)))</f>
      </c>
      <c r="BX890" s="129">
        <f>IF(AY890&lt;&gt;1,0,MAX(0,IFERROR(--LEFT(SUBSTITUTE(BQ890,"x","х"),FIND("х",SUBSTITUTE(BQ890,"x","х"))-1),3)-3*BW890))</f>
      </c>
      <c r="BY890" s="129">
        <f>IF(R890="","",IFERROR(VLOOKUP(R890,УГО_спр,2,FALSE),IFERROR(VLOOKUP(AL890,УГО_спр,2,FALSE),IFERROR(VLOOKUP(LEFT(AL890,2),УГО_спр,2,FALSE),""))))</f>
      </c>
    </row>
    <row r="891" spans="1:64" x14ac:dyDescent="0.3">
      <c r="A891" s="135">
        <f>IF(Разбивка_по_щитам!F891=0,"",Разбивка_по_щитам!F891)</f>
        <v/>
      </c>
      <c r="B891" s="138">
        <f>IF(A891="","",Разбивка_по_щитам!C891)</f>
        <v/>
      </c>
      <c r="C891" s="138">
        <f t="shared" si="542"/>
        <v/>
      </c>
      <c r="D891" s="266"/>
      <c r="E891" s="266"/>
      <c r="F891" s="267"/>
      <c r="G891" s="145">
        <f t="shared" si="543"/>
        <v/>
      </c>
      <c r="H891" s="145">
        <f t="shared" si="544"/>
        <v/>
      </c>
      <c r="I891" s="266"/>
      <c r="J891" s="267"/>
      <c r="K891" s="267"/>
      <c r="L891" s="266"/>
      <c r="M891" s="147">
        <f t="shared" si="545"/>
        <v/>
      </c>
      <c r="N891" s="267"/>
      <c r="O891" s="147">
        <f t="shared" si="546"/>
        <v/>
      </c>
      <c r="P891" s="268">
        <f>IF(AY891=1,"XT"&amp;COUNTIFS($A$3:A891,A891,$AY$3:AY891,1),"")</f>
        <v/>
      </c>
      <c r="Q891" s="152">
        <f>IF(R891="","",IFERROR(SUBSTITUTE(Разбивка_по_щитам!P891,CHAR(10)," "),""))</f>
        <v/>
      </c>
      <c r="R891" s="153">
        <f>IF(OR(Разбивка_по_щитам!H891="",Разбивка_по_щитам!H891=0),"",Разбивка_по_щитам!H891)</f>
        <v/>
      </c>
      <c r="S891" s="154">
        <f>IF(R891="","",IFERROR(Разбивка_по_щитам!J891&amp;"",""))</f>
        <v/>
      </c>
      <c r="T891" s="155">
        <f>IF(R891="","",IFERROR(--Разбивка_по_щитам!L891,""))</f>
        <v/>
      </c>
      <c r="U891" s="155">
        <f>IF(R891="","",IFERROR(--Разбивка_по_щитам!K891,""))</f>
        <v/>
      </c>
      <c r="V891" s="138">
        <f>IF(R891="","",IFERROR(IF(Разбивка_по_щитам!M891=0,"",Разбивка_по_щитам!M891),""))</f>
        <v/>
      </c>
      <c r="W891" s="156">
        <f t="shared" si="547"/>
        <v/>
      </c>
      <c r="X891" s="157">
        <f t="shared" si="548"/>
        <v/>
      </c>
      <c r="Y891" s="266"/>
      <c r="Z891" s="158">
        <f t="shared" si="549"/>
        <v/>
      </c>
      <c r="AA891" s="160">
        <f t="shared" si="550"/>
        <v/>
      </c>
      <c r="AB891" s="160">
        <f>IF(R891="","",IFERROR(LOOKUP(INDEX(Справочная!$I$4:$I$19,MATCH(VLOOKUP(R891,Исходные_данные,22,FALSE),Справочная!$J$4:$J$19,0)+1),{6,10,16,20,25,32,40,50,63,80,100,125}),""))</f>
        <v/>
      </c>
      <c r="AC891" s="160">
        <f t="shared" si="551"/>
        <v/>
      </c>
      <c r="AD891" s="161">
        <f t="shared" si="552"/>
        <v/>
      </c>
      <c r="AE891" s="161">
        <f>IF(AND(R891="",G891=""),"",_xlfn.TEXTJOIN("; ",TRUE,IF(AND(R891&lt;&gt;"",V891=""),"нет фазы",""),IF(AND(R891&lt;&gt;"",N(T891)=0),"нет мощности",""),IF(AND(P891&lt;&gt;"",COUNTIFS($A$3:$A$1000,A891,$P$3:$P$1000,P891)&gt;1),"дубль клеммы "&amp;P891,""),IF(AND(W891&lt;&gt;"",W891&lt;&gt;"ok"),W891,""),IF(X891&lt;&gt;"",X891,""),IF(AND(ISNUMBER(SEARCH("(5х",Q891)),N(AK891)=1),"5 жил на 1 фазе",""),IF(AND(AL891="R",E891&lt;&gt;"",N(AS891)=0),"розетка без 30 мА",""),IF(IFERROR(_xlfn.NUMBERVALUE(MID(Q891,FIND("-",Q891,FIND("L=",Q891))+1,FIND("%",Q891)-FIND("-",Q891,FIND("L=",Q891))-1),","),0)&gt;4,"потери &gt; 4 %","")))</f>
      </c>
      <c r="AF891" s="129">
        <f>IF(E891&lt;&gt;"",COUNTIFS($A$3:A891,A891,$E$3:E891,"?*"),IF(OR(A891&lt;&gt;A890,Y891="вручную"),"",AF890))</f>
        <v/>
      </c>
      <c r="AG891" s="129">
        <f t="shared" si="553"/>
        <v/>
      </c>
      <c r="AH891" s="129">
        <f t="shared" si="554"/>
        <v/>
      </c>
      <c r="AI891" s="129">
        <f t="shared" si="555"/>
        <v/>
      </c>
      <c r="AJ891" s="129">
        <f t="shared" si="556"/>
        <v/>
      </c>
      <c r="AK891" s="129">
        <f t="shared" si="557"/>
        <v/>
      </c>
      <c r="AL891" s="129">
        <f t="shared" si="558"/>
        <v/>
      </c>
      <c r="AM891" s="129">
        <f t="shared" si="559"/>
      </c>
      <c r="AN891" s="129">
        <f t="shared" si="560"/>
      </c>
      <c r="AO891" s="129">
        <f t="shared" si="561"/>
        <v/>
      </c>
      <c r="AP891" s="129">
        <f t="shared" si="562"/>
        <v/>
      </c>
      <c r="AQ891" s="129">
        <f t="shared" si="563"/>
        <v/>
      </c>
      <c r="AR891" s="129">
        <f t="shared" si="564"/>
        <v/>
      </c>
      <c r="AS891" s="129">
        <f t="shared" si="565"/>
        <v/>
      </c>
      <c r="AT891" s="129">
        <f t="shared" si="566"/>
        <v/>
      </c>
      <c r="AU891" s="129">
        <f t="shared" si="567"/>
        <v/>
      </c>
      <c r="AV891" s="129">
        <f t="shared" si="568"/>
        <v/>
      </c>
      <c r="AW891" s="129">
        <f>IF(AV891="","",AV891&amp;"."&amp;COUNTIFS($A$3:A891,A891,$AV$3:AV891,AV891))</f>
        <v/>
      </c>
      <c r="AX891" s="129">
        <f t="shared" si="569"/>
        <v/>
      </c>
      <c r="AY891" s="129">
        <f>IF(N891="б/к",0,IF(OR(ISNUMBER(SEARCH("L=",Разбивка_по_щитам!P891)),N891="+",N891="="),1,0))</f>
      </c>
      <c r="AZ891" s="129">
        <f t="shared" si="570"/>
        <v/>
      </c>
      <c r="BA891" s="129">
        <f t="shared" si="571"/>
      </c>
      <c r="BB891" s="129">
        <f t="shared" si="572"/>
      </c>
      <c r="BD891" s="129">
        <f t="shared" si="573"/>
      </c>
      <c r="BE891" s="129">
        <f t="shared" si="574"/>
      </c>
      <c r="BF891" s="129">
        <f t="shared" si="575"/>
      </c>
      <c r="BG891" s="129">
        <f t="shared" si="576"/>
        <v/>
      </c>
      <c r="BH891" s="129">
        <f t="shared" si="577"/>
        <v/>
      </c>
      <c r="BI891" s="129">
        <f t="shared" si="578"/>
        <v/>
      </c>
      <c r="BJ891" s="129">
        <f t="shared" si="579"/>
        <v/>
      </c>
      <c r="BK891" s="129">
        <f>IF(R891="","",IF(OR(BY891="",BY891=0),"BOX",IFERROR(IF(VLOOKUP(BY891,УГО_блоки,3,FALSE)&amp;""&lt;&gt;"",VLOOKUP(BY891,УГО_блоки,3,FALSE),VLOOKUP(BY891,УГО_блоки,2,FALSE)),BY891)))</f>
      </c>
      <c r="BL891" s="129">
        <f t="shared" si="581"/>
      </c>
      <c r="BM891" s="129">
        <f>IF(H891="","",IF(COUNTIF($H$3:H891,H891)=1,MAX($BM$2:BM890)+1,""))</f>
      </c>
      <c r="BN891" s="129">
        <f>IF(I891="","",IF(COUNTIF($I$3:I891,I891)+COUNTIF($J$2:J890,I891)+COUNTIF($K$2:K890,I891)=1,MAX($BN$2:BP890)+1,""))</f>
      </c>
      <c r="BO891" s="129">
        <f>IF(J891="","",IF(COUNTIF($I$3:I891,J891)+COUNTIF($J$3:J891,J891)+COUNTIF($K$2:K890,J891)=1,MAX($BN$2:BP890,BN891)+1,""))</f>
      </c>
      <c r="BP891" s="129">
        <f>IF(K891="","",IF(COUNTIF($I$3:I891,K891)+COUNTIF($J$3:J891,K891)+COUNTIF($K$3:K891,K891)=1,MAX($BN$2:BP890,BN891,BO891)+1,""))</f>
      </c>
      <c r="BQ891" s="129">
        <f>IF(AY891=1,IFERROR(MID(Q891,FIND(" (",Q891)+2,FIND(")",Q891,FIND(" (",Q891))-FIND(" (",Q891)-2),"?"),"")</f>
      </c>
      <c r="BR891" s="129">
        <f>IF(BQ891="","",IF(COUNTIF($BQ$3:BQ891,BQ891)=1,MAX($BR$2:BR890)+1,""))</f>
      </c>
      <c r="BS891" s="129">
        <f>IF(AW891="","",COUNTIF($AW$3:AW891,"?*"))</f>
      </c>
      <c r="BT891" s="129">
        <f>IF(OR(AW891="",AI891=""),"",IF(COUNTIFS($AW$3:AW891,"?*",$AI$3:AI891,AI891)=1,MAX($BT$2:BT890)+1,""))</f>
      </c>
      <c r="BU891" s="129">
        <f>IF(AE891="",0,IF(OR(ISNUMBER(SEARCH("дубль",AE891)),ISNUMBER(SEARCH("ПЕРЕГРУЗ",AE891)),ISNUMBER(SEARCH("ЗАЩИЩ",AE891)),ISNUMBER(SEARCH("КАНАЛ",AE891)),ISNUMBER(SEARCH("без 30",AE891))),2,1))</f>
      </c>
      <c r="BV891" s="129">
        <f>IF(R891="","",COUNTIF($R$3:R891,"?*"))</f>
      </c>
      <c r="BW891" s="129">
        <f>IF(AY891&lt;&gt;1,0,IF(MAX(IFERROR(--VLOOKUP(R891,УГО_спр,5,FALSE),0),IFERROR(--VLOOKUP(AL891,УГО_спр,5,FALSE),0),IFERROR(--VLOOKUP(LEFT(AL891,2),УГО_спр,5,FALSE),0))&gt;0,MAX(IFERROR(--VLOOKUP(R891,УГО_спр,5,FALSE),0),IFERROR(--VLOOKUP(AL891,УГО_спр,5,FALSE),0),IFERROR(--VLOOKUP(LEFT(AL891,2),УГО_спр,5,FALSE),0)),IF(IFERROR(--LEFT(SUBSTITUTE(BQ891,"x","х"),FIND("х",SUBSTITUTE(BQ891,"x","х"))-1),3)&gt;3,Каталог!$S$9,1)))</f>
      </c>
      <c r="BX891" s="129">
        <f>IF(AY891&lt;&gt;1,0,MAX(0,IFERROR(--LEFT(SUBSTITUTE(BQ891,"x","х"),FIND("х",SUBSTITUTE(BQ891,"x","х"))-1),3)-3*BW891))</f>
      </c>
      <c r="BY891" s="129">
        <f>IF(R891="","",IFERROR(VLOOKUP(R891,УГО_спр,2,FALSE),IFERROR(VLOOKUP(AL891,УГО_спр,2,FALSE),IFERROR(VLOOKUP(LEFT(AL891,2),УГО_спр,2,FALSE),""))))</f>
      </c>
    </row>
    <row r="892" spans="1:64" x14ac:dyDescent="0.3">
      <c r="A892" s="135">
        <f>IF(Разбивка_по_щитам!F892=0,"",Разбивка_по_щитам!F892)</f>
        <v/>
      </c>
      <c r="B892" s="138">
        <f>IF(A892="","",Разбивка_по_щитам!C892)</f>
        <v/>
      </c>
      <c r="C892" s="138">
        <f t="shared" si="542"/>
        <v/>
      </c>
      <c r="D892" s="266"/>
      <c r="E892" s="266"/>
      <c r="F892" s="267"/>
      <c r="G892" s="145">
        <f t="shared" si="543"/>
        <v/>
      </c>
      <c r="H892" s="145">
        <f t="shared" si="544"/>
        <v/>
      </c>
      <c r="I892" s="266"/>
      <c r="J892" s="267"/>
      <c r="K892" s="267"/>
      <c r="L892" s="266"/>
      <c r="M892" s="147">
        <f t="shared" si="545"/>
        <v/>
      </c>
      <c r="N892" s="267"/>
      <c r="O892" s="147">
        <f t="shared" si="546"/>
        <v/>
      </c>
      <c r="P892" s="268">
        <f>IF(AY892=1,"XT"&amp;COUNTIFS($A$3:A892,A892,$AY$3:AY892,1),"")</f>
        <v/>
      </c>
      <c r="Q892" s="152">
        <f>IF(R892="","",IFERROR(SUBSTITUTE(Разбивка_по_щитам!P892,CHAR(10)," "),""))</f>
        <v/>
      </c>
      <c r="R892" s="153">
        <f>IF(OR(Разбивка_по_щитам!H892="",Разбивка_по_щитам!H892=0),"",Разбивка_по_щитам!H892)</f>
        <v/>
      </c>
      <c r="S892" s="154">
        <f>IF(R892="","",IFERROR(Разбивка_по_щитам!J892&amp;"",""))</f>
        <v/>
      </c>
      <c r="T892" s="155">
        <f>IF(R892="","",IFERROR(--Разбивка_по_щитам!L892,""))</f>
        <v/>
      </c>
      <c r="U892" s="155">
        <f>IF(R892="","",IFERROR(--Разбивка_по_щитам!K892,""))</f>
        <v/>
      </c>
      <c r="V892" s="138">
        <f>IF(R892="","",IFERROR(IF(Разбивка_по_щитам!M892=0,"",Разбивка_по_щитам!M892),""))</f>
        <v/>
      </c>
      <c r="W892" s="156">
        <f t="shared" si="547"/>
        <v/>
      </c>
      <c r="X892" s="157">
        <f t="shared" si="548"/>
        <v/>
      </c>
      <c r="Y892" s="266"/>
      <c r="Z892" s="158">
        <f t="shared" si="549"/>
        <v/>
      </c>
      <c r="AA892" s="160">
        <f t="shared" si="550"/>
        <v/>
      </c>
      <c r="AB892" s="160">
        <f>IF(R892="","",IFERROR(LOOKUP(INDEX(Справочная!$I$4:$I$19,MATCH(VLOOKUP(R892,Исходные_данные,22,FALSE),Справочная!$J$4:$J$19,0)+1),{6,10,16,20,25,32,40,50,63,80,100,125}),""))</f>
        <v/>
      </c>
      <c r="AC892" s="160">
        <f t="shared" si="551"/>
        <v/>
      </c>
      <c r="AD892" s="161">
        <f t="shared" si="552"/>
        <v/>
      </c>
      <c r="AE892" s="161">
        <f>IF(AND(R892="",G892=""),"",_xlfn.TEXTJOIN("; ",TRUE,IF(AND(R892&lt;&gt;"",V892=""),"нет фазы",""),IF(AND(R892&lt;&gt;"",N(T892)=0),"нет мощности",""),IF(AND(P892&lt;&gt;"",COUNTIFS($A$3:$A$1000,A892,$P$3:$P$1000,P892)&gt;1),"дубль клеммы "&amp;P892,""),IF(AND(W892&lt;&gt;"",W892&lt;&gt;"ok"),W892,""),IF(X892&lt;&gt;"",X892,""),IF(AND(ISNUMBER(SEARCH("(5х",Q892)),N(AK892)=1),"5 жил на 1 фазе",""),IF(AND(AL892="R",E892&lt;&gt;"",N(AS892)=0),"розетка без 30 мА",""),IF(IFERROR(_xlfn.NUMBERVALUE(MID(Q892,FIND("-",Q892,FIND("L=",Q892))+1,FIND("%",Q892)-FIND("-",Q892,FIND("L=",Q892))-1),","),0)&gt;4,"потери &gt; 4 %","")))</f>
      </c>
      <c r="AF892" s="129">
        <f>IF(E892&lt;&gt;"",COUNTIFS($A$3:A892,A892,$E$3:E892,"?*"),IF(OR(A892&lt;&gt;A891,Y892="вручную"),"",AF891))</f>
        <v/>
      </c>
      <c r="AG892" s="129">
        <f t="shared" si="553"/>
        <v/>
      </c>
      <c r="AH892" s="129">
        <f t="shared" si="554"/>
        <v/>
      </c>
      <c r="AI892" s="129">
        <f t="shared" si="555"/>
        <v/>
      </c>
      <c r="AJ892" s="129">
        <f t="shared" si="556"/>
        <v/>
      </c>
      <c r="AK892" s="129">
        <f t="shared" si="557"/>
        <v/>
      </c>
      <c r="AL892" s="129">
        <f t="shared" si="558"/>
        <v/>
      </c>
      <c r="AM892" s="129">
        <f t="shared" si="559"/>
      </c>
      <c r="AN892" s="129">
        <f t="shared" si="560"/>
      </c>
      <c r="AO892" s="129">
        <f t="shared" si="561"/>
        <v/>
      </c>
      <c r="AP892" s="129">
        <f t="shared" si="562"/>
        <v/>
      </c>
      <c r="AQ892" s="129">
        <f t="shared" si="563"/>
        <v/>
      </c>
      <c r="AR892" s="129">
        <f t="shared" si="564"/>
        <v/>
      </c>
      <c r="AS892" s="129">
        <f t="shared" si="565"/>
        <v/>
      </c>
      <c r="AT892" s="129">
        <f t="shared" si="566"/>
        <v/>
      </c>
      <c r="AU892" s="129">
        <f t="shared" si="567"/>
        <v/>
      </c>
      <c r="AV892" s="129">
        <f t="shared" si="568"/>
        <v/>
      </c>
      <c r="AW892" s="129">
        <f>IF(AV892="","",AV892&amp;"."&amp;COUNTIFS($A$3:A892,A892,$AV$3:AV892,AV892))</f>
        <v/>
      </c>
      <c r="AX892" s="129">
        <f t="shared" si="569"/>
        <v/>
      </c>
      <c r="AY892" s="129">
        <f>IF(N892="б/к",0,IF(OR(ISNUMBER(SEARCH("L=",Разбивка_по_щитам!P892)),N892="+",N892="="),1,0))</f>
      </c>
      <c r="AZ892" s="129">
        <f t="shared" si="570"/>
        <v/>
      </c>
      <c r="BA892" s="129">
        <f t="shared" si="571"/>
      </c>
      <c r="BB892" s="129">
        <f t="shared" si="572"/>
      </c>
      <c r="BD892" s="129">
        <f t="shared" si="573"/>
      </c>
      <c r="BE892" s="129">
        <f t="shared" si="574"/>
      </c>
      <c r="BF892" s="129">
        <f t="shared" si="575"/>
      </c>
      <c r="BG892" s="129">
        <f t="shared" si="576"/>
        <v/>
      </c>
      <c r="BH892" s="129">
        <f t="shared" si="577"/>
        <v/>
      </c>
      <c r="BI892" s="129">
        <f t="shared" si="578"/>
        <v/>
      </c>
      <c r="BJ892" s="129">
        <f t="shared" si="579"/>
        <v/>
      </c>
      <c r="BK892" s="129">
        <f>IF(R892="","",IF(OR(BY892="",BY892=0),"BOX",IFERROR(IF(VLOOKUP(BY892,УГО_блоки,3,FALSE)&amp;""&lt;&gt;"",VLOOKUP(BY892,УГО_блоки,3,FALSE),VLOOKUP(BY892,УГО_блоки,2,FALSE)),BY892)))</f>
      </c>
      <c r="BL892" s="129">
        <f t="shared" si="581"/>
      </c>
      <c r="BM892" s="129">
        <f>IF(H892="","",IF(COUNTIF($H$3:H892,H892)=1,MAX($BM$2:BM891)+1,""))</f>
      </c>
      <c r="BN892" s="129">
        <f>IF(I892="","",IF(COUNTIF($I$3:I892,I892)+COUNTIF($J$2:J891,I892)+COUNTIF($K$2:K891,I892)=1,MAX($BN$2:BP891)+1,""))</f>
      </c>
      <c r="BO892" s="129">
        <f>IF(J892="","",IF(COUNTIF($I$3:I892,J892)+COUNTIF($J$3:J892,J892)+COUNTIF($K$2:K891,J892)=1,MAX($BN$2:BP891,BN892)+1,""))</f>
      </c>
      <c r="BP892" s="129">
        <f>IF(K892="","",IF(COUNTIF($I$3:I892,K892)+COUNTIF($J$3:J892,K892)+COUNTIF($K$3:K892,K892)=1,MAX($BN$2:BP891,BN892,BO892)+1,""))</f>
      </c>
      <c r="BQ892" s="129">
        <f>IF(AY892=1,IFERROR(MID(Q892,FIND(" (",Q892)+2,FIND(")",Q892,FIND(" (",Q892))-FIND(" (",Q892)-2),"?"),"")</f>
      </c>
      <c r="BR892" s="129">
        <f>IF(BQ892="","",IF(COUNTIF($BQ$3:BQ892,BQ892)=1,MAX($BR$2:BR891)+1,""))</f>
      </c>
      <c r="BS892" s="129">
        <f>IF(AW892="","",COUNTIF($AW$3:AW892,"?*"))</f>
      </c>
      <c r="BT892" s="129">
        <f>IF(OR(AW892="",AI892=""),"",IF(COUNTIFS($AW$3:AW892,"?*",$AI$3:AI892,AI892)=1,MAX($BT$2:BT891)+1,""))</f>
      </c>
      <c r="BU892" s="129">
        <f>IF(AE892="",0,IF(OR(ISNUMBER(SEARCH("дубль",AE892)),ISNUMBER(SEARCH("ПЕРЕГРУЗ",AE892)),ISNUMBER(SEARCH("ЗАЩИЩ",AE892)),ISNUMBER(SEARCH("КАНАЛ",AE892)),ISNUMBER(SEARCH("без 30",AE892))),2,1))</f>
      </c>
      <c r="BV892" s="129">
        <f>IF(R892="","",COUNTIF($R$3:R892,"?*"))</f>
      </c>
      <c r="BW892" s="129">
        <f>IF(AY892&lt;&gt;1,0,IF(MAX(IFERROR(--VLOOKUP(R892,УГО_спр,5,FALSE),0),IFERROR(--VLOOKUP(AL892,УГО_спр,5,FALSE),0),IFERROR(--VLOOKUP(LEFT(AL892,2),УГО_спр,5,FALSE),0))&gt;0,MAX(IFERROR(--VLOOKUP(R892,УГО_спр,5,FALSE),0),IFERROR(--VLOOKUP(AL892,УГО_спр,5,FALSE),0),IFERROR(--VLOOKUP(LEFT(AL892,2),УГО_спр,5,FALSE),0)),IF(IFERROR(--LEFT(SUBSTITUTE(BQ892,"x","х"),FIND("х",SUBSTITUTE(BQ892,"x","х"))-1),3)&gt;3,Каталог!$S$9,1)))</f>
      </c>
      <c r="BX892" s="129">
        <f>IF(AY892&lt;&gt;1,0,MAX(0,IFERROR(--LEFT(SUBSTITUTE(BQ892,"x","х"),FIND("х",SUBSTITUTE(BQ892,"x","х"))-1),3)-3*BW892))</f>
      </c>
      <c r="BY892" s="129">
        <f>IF(R892="","",IFERROR(VLOOKUP(R892,УГО_спр,2,FALSE),IFERROR(VLOOKUP(AL892,УГО_спр,2,FALSE),IFERROR(VLOOKUP(LEFT(AL892,2),УГО_спр,2,FALSE),""))))</f>
      </c>
    </row>
    <row r="893" spans="1:64" x14ac:dyDescent="0.3">
      <c r="A893" s="135">
        <f>IF(Разбивка_по_щитам!F893=0,"",Разбивка_по_щитам!F893)</f>
        <v/>
      </c>
      <c r="B893" s="138">
        <f>IF(A893="","",Разбивка_по_щитам!C893)</f>
        <v/>
      </c>
      <c r="C893" s="138">
        <f t="shared" si="542"/>
        <v/>
      </c>
      <c r="D893" s="266"/>
      <c r="E893" s="266"/>
      <c r="F893" s="267"/>
      <c r="G893" s="145">
        <f t="shared" si="543"/>
        <v/>
      </c>
      <c r="H893" s="145">
        <f t="shared" si="544"/>
        <v/>
      </c>
      <c r="I893" s="266"/>
      <c r="J893" s="267"/>
      <c r="K893" s="267"/>
      <c r="L893" s="266"/>
      <c r="M893" s="147">
        <f t="shared" si="545"/>
        <v/>
      </c>
      <c r="N893" s="267"/>
      <c r="O893" s="147">
        <f t="shared" si="546"/>
        <v/>
      </c>
      <c r="P893" s="268">
        <f>IF(AY893=1,"XT"&amp;COUNTIFS($A$3:A893,A893,$AY$3:AY893,1),"")</f>
        <v/>
      </c>
      <c r="Q893" s="152">
        <f>IF(R893="","",IFERROR(SUBSTITUTE(Разбивка_по_щитам!P893,CHAR(10)," "),""))</f>
        <v/>
      </c>
      <c r="R893" s="153">
        <f>IF(OR(Разбивка_по_щитам!H893="",Разбивка_по_щитам!H893=0),"",Разбивка_по_щитам!H893)</f>
        <v/>
      </c>
      <c r="S893" s="154">
        <f>IF(R893="","",IFERROR(Разбивка_по_щитам!J893&amp;"",""))</f>
        <v/>
      </c>
      <c r="T893" s="155">
        <f>IF(R893="","",IFERROR(--Разбивка_по_щитам!L893,""))</f>
        <v/>
      </c>
      <c r="U893" s="155">
        <f>IF(R893="","",IFERROR(--Разбивка_по_щитам!K893,""))</f>
        <v/>
      </c>
      <c r="V893" s="138">
        <f>IF(R893="","",IFERROR(IF(Разбивка_по_щитам!M893=0,"",Разбивка_по_щитам!M893),""))</f>
        <v/>
      </c>
      <c r="W893" s="156">
        <f t="shared" si="547"/>
        <v/>
      </c>
      <c r="X893" s="157">
        <f t="shared" si="548"/>
        <v/>
      </c>
      <c r="Y893" s="266"/>
      <c r="Z893" s="158">
        <f t="shared" si="549"/>
        <v/>
      </c>
      <c r="AA893" s="160">
        <f t="shared" si="550"/>
        <v/>
      </c>
      <c r="AB893" s="160">
        <f>IF(R893="","",IFERROR(LOOKUP(INDEX(Справочная!$I$4:$I$19,MATCH(VLOOKUP(R893,Исходные_данные,22,FALSE),Справочная!$J$4:$J$19,0)+1),{6,10,16,20,25,32,40,50,63,80,100,125}),""))</f>
        <v/>
      </c>
      <c r="AC893" s="160">
        <f t="shared" si="551"/>
        <v/>
      </c>
      <c r="AD893" s="161">
        <f t="shared" si="552"/>
        <v/>
      </c>
      <c r="AE893" s="161">
        <f>IF(AND(R893="",G893=""),"",_xlfn.TEXTJOIN("; ",TRUE,IF(AND(R893&lt;&gt;"",V893=""),"нет фазы",""),IF(AND(R893&lt;&gt;"",N(T893)=0),"нет мощности",""),IF(AND(P893&lt;&gt;"",COUNTIFS($A$3:$A$1000,A893,$P$3:$P$1000,P893)&gt;1),"дубль клеммы "&amp;P893,""),IF(AND(W893&lt;&gt;"",W893&lt;&gt;"ok"),W893,""),IF(X893&lt;&gt;"",X893,""),IF(AND(ISNUMBER(SEARCH("(5х",Q893)),N(AK893)=1),"5 жил на 1 фазе",""),IF(AND(AL893="R",E893&lt;&gt;"",N(AS893)=0),"розетка без 30 мА",""),IF(IFERROR(_xlfn.NUMBERVALUE(MID(Q893,FIND("-",Q893,FIND("L=",Q893))+1,FIND("%",Q893)-FIND("-",Q893,FIND("L=",Q893))-1),","),0)&gt;4,"потери &gt; 4 %","")))</f>
      </c>
      <c r="AF893" s="129">
        <f>IF(E893&lt;&gt;"",COUNTIFS($A$3:A893,A893,$E$3:E893,"?*"),IF(OR(A893&lt;&gt;A892,Y893="вручную"),"",AF892))</f>
        <v/>
      </c>
      <c r="AG893" s="129">
        <f t="shared" si="553"/>
        <v/>
      </c>
      <c r="AH893" s="129">
        <f t="shared" si="554"/>
        <v/>
      </c>
      <c r="AI893" s="129">
        <f t="shared" si="555"/>
        <v/>
      </c>
      <c r="AJ893" s="129">
        <f t="shared" si="556"/>
        <v/>
      </c>
      <c r="AK893" s="129">
        <f t="shared" si="557"/>
        <v/>
      </c>
      <c r="AL893" s="129">
        <f t="shared" si="558"/>
        <v/>
      </c>
      <c r="AM893" s="129">
        <f t="shared" si="559"/>
      </c>
      <c r="AN893" s="129">
        <f t="shared" si="560"/>
      </c>
      <c r="AO893" s="129">
        <f t="shared" si="561"/>
        <v/>
      </c>
      <c r="AP893" s="129">
        <f t="shared" si="562"/>
        <v/>
      </c>
      <c r="AQ893" s="129">
        <f t="shared" si="563"/>
        <v/>
      </c>
      <c r="AR893" s="129">
        <f t="shared" si="564"/>
        <v/>
      </c>
      <c r="AS893" s="129">
        <f t="shared" si="565"/>
        <v/>
      </c>
      <c r="AT893" s="129">
        <f t="shared" si="566"/>
        <v/>
      </c>
      <c r="AU893" s="129">
        <f t="shared" si="567"/>
        <v/>
      </c>
      <c r="AV893" s="129">
        <f t="shared" si="568"/>
        <v/>
      </c>
      <c r="AW893" s="129">
        <f>IF(AV893="","",AV893&amp;"."&amp;COUNTIFS($A$3:A893,A893,$AV$3:AV893,AV893))</f>
        <v/>
      </c>
      <c r="AX893" s="129">
        <f t="shared" si="569"/>
        <v/>
      </c>
      <c r="AY893" s="129">
        <f>IF(N893="б/к",0,IF(OR(ISNUMBER(SEARCH("L=",Разбивка_по_щитам!P893)),N893="+",N893="="),1,0))</f>
      </c>
      <c r="AZ893" s="129">
        <f t="shared" si="570"/>
        <v/>
      </c>
      <c r="BA893" s="129">
        <f t="shared" si="571"/>
      </c>
      <c r="BB893" s="129">
        <f t="shared" si="572"/>
      </c>
      <c r="BD893" s="129">
        <f t="shared" si="573"/>
      </c>
      <c r="BE893" s="129">
        <f t="shared" si="574"/>
      </c>
      <c r="BF893" s="129">
        <f t="shared" si="575"/>
      </c>
      <c r="BG893" s="129">
        <f t="shared" si="576"/>
        <v/>
      </c>
      <c r="BH893" s="129">
        <f t="shared" si="577"/>
        <v/>
      </c>
      <c r="BI893" s="129">
        <f t="shared" si="578"/>
        <v/>
      </c>
      <c r="BJ893" s="129">
        <f t="shared" si="579"/>
        <v/>
      </c>
      <c r="BK893" s="129">
        <f>IF(R893="","",IF(OR(BY893="",BY893=0),"BOX",IFERROR(IF(VLOOKUP(BY893,УГО_блоки,3,FALSE)&amp;""&lt;&gt;"",VLOOKUP(BY893,УГО_блоки,3,FALSE),VLOOKUP(BY893,УГО_блоки,2,FALSE)),BY893)))</f>
      </c>
      <c r="BL893" s="129">
        <f t="shared" si="581"/>
      </c>
      <c r="BM893" s="129">
        <f>IF(H893="","",IF(COUNTIF($H$3:H893,H893)=1,MAX($BM$2:BM892)+1,""))</f>
      </c>
      <c r="BN893" s="129">
        <f>IF(I893="","",IF(COUNTIF($I$3:I893,I893)+COUNTIF($J$2:J892,I893)+COUNTIF($K$2:K892,I893)=1,MAX($BN$2:BP892)+1,""))</f>
      </c>
      <c r="BO893" s="129">
        <f>IF(J893="","",IF(COUNTIF($I$3:I893,J893)+COUNTIF($J$3:J893,J893)+COUNTIF($K$2:K892,J893)=1,MAX($BN$2:BP892,BN893)+1,""))</f>
      </c>
      <c r="BP893" s="129">
        <f>IF(K893="","",IF(COUNTIF($I$3:I893,K893)+COUNTIF($J$3:J893,K893)+COUNTIF($K$3:K893,K893)=1,MAX($BN$2:BP892,BN893,BO893)+1,""))</f>
      </c>
      <c r="BQ893" s="129">
        <f>IF(AY893=1,IFERROR(MID(Q893,FIND(" (",Q893)+2,FIND(")",Q893,FIND(" (",Q893))-FIND(" (",Q893)-2),"?"),"")</f>
      </c>
      <c r="BR893" s="129">
        <f>IF(BQ893="","",IF(COUNTIF($BQ$3:BQ893,BQ893)=1,MAX($BR$2:BR892)+1,""))</f>
      </c>
      <c r="BS893" s="129">
        <f>IF(AW893="","",COUNTIF($AW$3:AW893,"?*"))</f>
      </c>
      <c r="BT893" s="129">
        <f>IF(OR(AW893="",AI893=""),"",IF(COUNTIFS($AW$3:AW893,"?*",$AI$3:AI893,AI893)=1,MAX($BT$2:BT892)+1,""))</f>
      </c>
      <c r="BU893" s="129">
        <f>IF(AE893="",0,IF(OR(ISNUMBER(SEARCH("дубль",AE893)),ISNUMBER(SEARCH("ПЕРЕГРУЗ",AE893)),ISNUMBER(SEARCH("ЗАЩИЩ",AE893)),ISNUMBER(SEARCH("КАНАЛ",AE893)),ISNUMBER(SEARCH("без 30",AE893))),2,1))</f>
      </c>
      <c r="BV893" s="129">
        <f>IF(R893="","",COUNTIF($R$3:R893,"?*"))</f>
      </c>
      <c r="BW893" s="129">
        <f>IF(AY893&lt;&gt;1,0,IF(MAX(IFERROR(--VLOOKUP(R893,УГО_спр,5,FALSE),0),IFERROR(--VLOOKUP(AL893,УГО_спр,5,FALSE),0),IFERROR(--VLOOKUP(LEFT(AL893,2),УГО_спр,5,FALSE),0))&gt;0,MAX(IFERROR(--VLOOKUP(R893,УГО_спр,5,FALSE),0),IFERROR(--VLOOKUP(AL893,УГО_спр,5,FALSE),0),IFERROR(--VLOOKUP(LEFT(AL893,2),УГО_спр,5,FALSE),0)),IF(IFERROR(--LEFT(SUBSTITUTE(BQ893,"x","х"),FIND("х",SUBSTITUTE(BQ893,"x","х"))-1),3)&gt;3,Каталог!$S$9,1)))</f>
      </c>
      <c r="BX893" s="129">
        <f>IF(AY893&lt;&gt;1,0,MAX(0,IFERROR(--LEFT(SUBSTITUTE(BQ893,"x","х"),FIND("х",SUBSTITUTE(BQ893,"x","х"))-1),3)-3*BW893))</f>
      </c>
      <c r="BY893" s="129">
        <f>IF(R893="","",IFERROR(VLOOKUP(R893,УГО_спр,2,FALSE),IFERROR(VLOOKUP(AL893,УГО_спр,2,FALSE),IFERROR(VLOOKUP(LEFT(AL893,2),УГО_спр,2,FALSE),""))))</f>
      </c>
    </row>
    <row r="894" spans="1:64" x14ac:dyDescent="0.3">
      <c r="A894" s="135">
        <f>IF(Разбивка_по_щитам!F894=0,"",Разбивка_по_щитам!F894)</f>
        <v/>
      </c>
      <c r="B894" s="138">
        <f>IF(A894="","",Разбивка_по_щитам!C894)</f>
        <v/>
      </c>
      <c r="C894" s="138">
        <f t="shared" si="542"/>
        <v/>
      </c>
      <c r="D894" s="266"/>
      <c r="E894" s="266"/>
      <c r="F894" s="267"/>
      <c r="G894" s="145">
        <f t="shared" si="543"/>
        <v/>
      </c>
      <c r="H894" s="145">
        <f t="shared" si="544"/>
        <v/>
      </c>
      <c r="I894" s="266"/>
      <c r="J894" s="267"/>
      <c r="K894" s="267"/>
      <c r="L894" s="266"/>
      <c r="M894" s="147">
        <f t="shared" si="545"/>
        <v/>
      </c>
      <c r="N894" s="267"/>
      <c r="O894" s="147">
        <f t="shared" si="546"/>
        <v/>
      </c>
      <c r="P894" s="268">
        <f>IF(AY894=1,"XT"&amp;COUNTIFS($A$3:A894,A894,$AY$3:AY894,1),"")</f>
        <v/>
      </c>
      <c r="Q894" s="152">
        <f>IF(R894="","",IFERROR(SUBSTITUTE(Разбивка_по_щитам!P894,CHAR(10)," "),""))</f>
        <v/>
      </c>
      <c r="R894" s="153">
        <f>IF(OR(Разбивка_по_щитам!H894="",Разбивка_по_щитам!H894=0),"",Разбивка_по_щитам!H894)</f>
        <v/>
      </c>
      <c r="S894" s="154">
        <f>IF(R894="","",IFERROR(Разбивка_по_щитам!J894&amp;"",""))</f>
        <v/>
      </c>
      <c r="T894" s="155">
        <f>IF(R894="","",IFERROR(--Разбивка_по_щитам!L894,""))</f>
        <v/>
      </c>
      <c r="U894" s="155">
        <f>IF(R894="","",IFERROR(--Разбивка_по_щитам!K894,""))</f>
        <v/>
      </c>
      <c r="V894" s="138">
        <f>IF(R894="","",IFERROR(IF(Разбивка_по_щитам!M894=0,"",Разбивка_по_щитам!M894),""))</f>
        <v/>
      </c>
      <c r="W894" s="156">
        <f t="shared" si="547"/>
        <v/>
      </c>
      <c r="X894" s="157">
        <f t="shared" si="548"/>
        <v/>
      </c>
      <c r="Y894" s="266"/>
      <c r="Z894" s="158">
        <f t="shared" si="549"/>
        <v/>
      </c>
      <c r="AA894" s="160">
        <f t="shared" si="550"/>
        <v/>
      </c>
      <c r="AB894" s="160">
        <f>IF(R894="","",IFERROR(LOOKUP(INDEX(Справочная!$I$4:$I$19,MATCH(VLOOKUP(R894,Исходные_данные,22,FALSE),Справочная!$J$4:$J$19,0)+1),{6,10,16,20,25,32,40,50,63,80,100,125}),""))</f>
        <v/>
      </c>
      <c r="AC894" s="160">
        <f t="shared" si="551"/>
        <v/>
      </c>
      <c r="AD894" s="161">
        <f t="shared" si="552"/>
        <v/>
      </c>
      <c r="AE894" s="161">
        <f>IF(AND(R894="",G894=""),"",_xlfn.TEXTJOIN("; ",TRUE,IF(AND(R894&lt;&gt;"",V894=""),"нет фазы",""),IF(AND(R894&lt;&gt;"",N(T894)=0),"нет мощности",""),IF(AND(P894&lt;&gt;"",COUNTIFS($A$3:$A$1000,A894,$P$3:$P$1000,P894)&gt;1),"дубль клеммы "&amp;P894,""),IF(AND(W894&lt;&gt;"",W894&lt;&gt;"ok"),W894,""),IF(X894&lt;&gt;"",X894,""),IF(AND(ISNUMBER(SEARCH("(5х",Q894)),N(AK894)=1),"5 жил на 1 фазе",""),IF(AND(AL894="R",E894&lt;&gt;"",N(AS894)=0),"розетка без 30 мА",""),IF(IFERROR(_xlfn.NUMBERVALUE(MID(Q894,FIND("-",Q894,FIND("L=",Q894))+1,FIND("%",Q894)-FIND("-",Q894,FIND("L=",Q894))-1),","),0)&gt;4,"потери &gt; 4 %","")))</f>
      </c>
      <c r="AF894" s="129">
        <f>IF(E894&lt;&gt;"",COUNTIFS($A$3:A894,A894,$E$3:E894,"?*"),IF(OR(A894&lt;&gt;A893,Y894="вручную"),"",AF893))</f>
        <v/>
      </c>
      <c r="AG894" s="129">
        <f t="shared" si="553"/>
        <v/>
      </c>
      <c r="AH894" s="129">
        <f t="shared" si="554"/>
        <v/>
      </c>
      <c r="AI894" s="129">
        <f t="shared" si="555"/>
        <v/>
      </c>
      <c r="AJ894" s="129">
        <f t="shared" si="556"/>
        <v/>
      </c>
      <c r="AK894" s="129">
        <f t="shared" si="557"/>
        <v/>
      </c>
      <c r="AL894" s="129">
        <f t="shared" si="558"/>
        <v/>
      </c>
      <c r="AM894" s="129">
        <f t="shared" si="559"/>
      </c>
      <c r="AN894" s="129">
        <f t="shared" si="560"/>
      </c>
      <c r="AO894" s="129">
        <f t="shared" si="561"/>
        <v/>
      </c>
      <c r="AP894" s="129">
        <f t="shared" si="562"/>
        <v/>
      </c>
      <c r="AQ894" s="129">
        <f t="shared" si="563"/>
        <v/>
      </c>
      <c r="AR894" s="129">
        <f t="shared" si="564"/>
        <v/>
      </c>
      <c r="AS894" s="129">
        <f t="shared" si="565"/>
        <v/>
      </c>
      <c r="AT894" s="129">
        <f t="shared" si="566"/>
        <v/>
      </c>
      <c r="AU894" s="129">
        <f t="shared" si="567"/>
        <v/>
      </c>
      <c r="AV894" s="129">
        <f t="shared" si="568"/>
        <v/>
      </c>
      <c r="AW894" s="129">
        <f>IF(AV894="","",AV894&amp;"."&amp;COUNTIFS($A$3:A894,A894,$AV$3:AV894,AV894))</f>
        <v/>
      </c>
      <c r="AX894" s="129">
        <f t="shared" si="569"/>
        <v/>
      </c>
      <c r="AY894" s="129">
        <f>IF(N894="б/к",0,IF(OR(ISNUMBER(SEARCH("L=",Разбивка_по_щитам!P894)),N894="+",N894="="),1,0))</f>
      </c>
      <c r="AZ894" s="129">
        <f t="shared" si="570"/>
        <v/>
      </c>
      <c r="BA894" s="129">
        <f t="shared" si="571"/>
      </c>
      <c r="BB894" s="129">
        <f t="shared" si="572"/>
      </c>
      <c r="BD894" s="129">
        <f t="shared" si="573"/>
      </c>
      <c r="BE894" s="129">
        <f t="shared" si="574"/>
      </c>
      <c r="BF894" s="129">
        <f t="shared" si="575"/>
      </c>
      <c r="BG894" s="129">
        <f t="shared" si="576"/>
        <v/>
      </c>
      <c r="BH894" s="129">
        <f t="shared" si="577"/>
        <v/>
      </c>
      <c r="BI894" s="129">
        <f t="shared" si="578"/>
        <v/>
      </c>
      <c r="BJ894" s="129">
        <f t="shared" si="579"/>
        <v/>
      </c>
      <c r="BK894" s="129">
        <f>IF(R894="","",IF(OR(BY894="",BY894=0),"BOX",IFERROR(IF(VLOOKUP(BY894,УГО_блоки,3,FALSE)&amp;""&lt;&gt;"",VLOOKUP(BY894,УГО_блоки,3,FALSE),VLOOKUP(BY894,УГО_блоки,2,FALSE)),BY894)))</f>
      </c>
      <c r="BL894" s="129">
        <f t="shared" si="581"/>
      </c>
      <c r="BM894" s="129">
        <f>IF(H894="","",IF(COUNTIF($H$3:H894,H894)=1,MAX($BM$2:BM893)+1,""))</f>
      </c>
      <c r="BN894" s="129">
        <f>IF(I894="","",IF(COUNTIF($I$3:I894,I894)+COUNTIF($J$2:J893,I894)+COUNTIF($K$2:K893,I894)=1,MAX($BN$2:BP893)+1,""))</f>
      </c>
      <c r="BO894" s="129">
        <f>IF(J894="","",IF(COUNTIF($I$3:I894,J894)+COUNTIF($J$3:J894,J894)+COUNTIF($K$2:K893,J894)=1,MAX($BN$2:BP893,BN894)+1,""))</f>
      </c>
      <c r="BP894" s="129">
        <f>IF(K894="","",IF(COUNTIF($I$3:I894,K894)+COUNTIF($J$3:J894,K894)+COUNTIF($K$3:K894,K894)=1,MAX($BN$2:BP893,BN894,BO894)+1,""))</f>
      </c>
      <c r="BQ894" s="129">
        <f>IF(AY894=1,IFERROR(MID(Q894,FIND(" (",Q894)+2,FIND(")",Q894,FIND(" (",Q894))-FIND(" (",Q894)-2),"?"),"")</f>
      </c>
      <c r="BR894" s="129">
        <f>IF(BQ894="","",IF(COUNTIF($BQ$3:BQ894,BQ894)=1,MAX($BR$2:BR893)+1,""))</f>
      </c>
      <c r="BS894" s="129">
        <f>IF(AW894="","",COUNTIF($AW$3:AW894,"?*"))</f>
      </c>
      <c r="BT894" s="129">
        <f>IF(OR(AW894="",AI894=""),"",IF(COUNTIFS($AW$3:AW894,"?*",$AI$3:AI894,AI894)=1,MAX($BT$2:BT893)+1,""))</f>
      </c>
      <c r="BU894" s="129">
        <f>IF(AE894="",0,IF(OR(ISNUMBER(SEARCH("дубль",AE894)),ISNUMBER(SEARCH("ПЕРЕГРУЗ",AE894)),ISNUMBER(SEARCH("ЗАЩИЩ",AE894)),ISNUMBER(SEARCH("КАНАЛ",AE894)),ISNUMBER(SEARCH("без 30",AE894))),2,1))</f>
      </c>
      <c r="BV894" s="129">
        <f>IF(R894="","",COUNTIF($R$3:R894,"?*"))</f>
      </c>
      <c r="BW894" s="129">
        <f>IF(AY894&lt;&gt;1,0,IF(MAX(IFERROR(--VLOOKUP(R894,УГО_спр,5,FALSE),0),IFERROR(--VLOOKUP(AL894,УГО_спр,5,FALSE),0),IFERROR(--VLOOKUP(LEFT(AL894,2),УГО_спр,5,FALSE),0))&gt;0,MAX(IFERROR(--VLOOKUP(R894,УГО_спр,5,FALSE),0),IFERROR(--VLOOKUP(AL894,УГО_спр,5,FALSE),0),IFERROR(--VLOOKUP(LEFT(AL894,2),УГО_спр,5,FALSE),0)),IF(IFERROR(--LEFT(SUBSTITUTE(BQ894,"x","х"),FIND("х",SUBSTITUTE(BQ894,"x","х"))-1),3)&gt;3,Каталог!$S$9,1)))</f>
      </c>
      <c r="BX894" s="129">
        <f>IF(AY894&lt;&gt;1,0,MAX(0,IFERROR(--LEFT(SUBSTITUTE(BQ894,"x","х"),FIND("х",SUBSTITUTE(BQ894,"x","х"))-1),3)-3*BW894))</f>
      </c>
      <c r="BY894" s="129">
        <f>IF(R894="","",IFERROR(VLOOKUP(R894,УГО_спр,2,FALSE),IFERROR(VLOOKUP(AL894,УГО_спр,2,FALSE),IFERROR(VLOOKUP(LEFT(AL894,2),УГО_спр,2,FALSE),""))))</f>
      </c>
    </row>
    <row r="895" spans="1:64" x14ac:dyDescent="0.3">
      <c r="A895" s="135">
        <f>IF(Разбивка_по_щитам!F895=0,"",Разбивка_по_щитам!F895)</f>
        <v/>
      </c>
      <c r="B895" s="138">
        <f>IF(A895="","",Разбивка_по_щитам!C895)</f>
        <v/>
      </c>
      <c r="C895" s="138">
        <f t="shared" si="542"/>
        <v/>
      </c>
      <c r="D895" s="266"/>
      <c r="E895" s="266"/>
      <c r="F895" s="267"/>
      <c r="G895" s="145">
        <f t="shared" si="543"/>
        <v/>
      </c>
      <c r="H895" s="145">
        <f t="shared" si="544"/>
        <v/>
      </c>
      <c r="I895" s="266"/>
      <c r="J895" s="267"/>
      <c r="K895" s="267"/>
      <c r="L895" s="266"/>
      <c r="M895" s="147">
        <f t="shared" si="545"/>
        <v/>
      </c>
      <c r="N895" s="267"/>
      <c r="O895" s="147">
        <f t="shared" si="546"/>
        <v/>
      </c>
      <c r="P895" s="268">
        <f>IF(AY895=1,"XT"&amp;COUNTIFS($A$3:A895,A895,$AY$3:AY895,1),"")</f>
        <v/>
      </c>
      <c r="Q895" s="152">
        <f>IF(R895="","",IFERROR(SUBSTITUTE(Разбивка_по_щитам!P895,CHAR(10)," "),""))</f>
        <v/>
      </c>
      <c r="R895" s="153">
        <f>IF(OR(Разбивка_по_щитам!H895="",Разбивка_по_щитам!H895=0),"",Разбивка_по_щитам!H895)</f>
        <v/>
      </c>
      <c r="S895" s="154">
        <f>IF(R895="","",IFERROR(Разбивка_по_щитам!J895&amp;"",""))</f>
        <v/>
      </c>
      <c r="T895" s="155">
        <f>IF(R895="","",IFERROR(--Разбивка_по_щитам!L895,""))</f>
        <v/>
      </c>
      <c r="U895" s="155">
        <f>IF(R895="","",IFERROR(--Разбивка_по_щитам!K895,""))</f>
        <v/>
      </c>
      <c r="V895" s="138">
        <f>IF(R895="","",IFERROR(IF(Разбивка_по_щитам!M895=0,"",Разбивка_по_щитам!M895),""))</f>
        <v/>
      </c>
      <c r="W895" s="156">
        <f t="shared" si="547"/>
        <v/>
      </c>
      <c r="X895" s="157">
        <f t="shared" si="548"/>
        <v/>
      </c>
      <c r="Y895" s="266"/>
      <c r="Z895" s="158">
        <f t="shared" si="549"/>
        <v/>
      </c>
      <c r="AA895" s="160">
        <f t="shared" si="550"/>
        <v/>
      </c>
      <c r="AB895" s="160">
        <f>IF(R895="","",IFERROR(LOOKUP(INDEX(Справочная!$I$4:$I$19,MATCH(VLOOKUP(R895,Исходные_данные,22,FALSE),Справочная!$J$4:$J$19,0)+1),{6,10,16,20,25,32,40,50,63,80,100,125}),""))</f>
        <v/>
      </c>
      <c r="AC895" s="160">
        <f t="shared" si="551"/>
        <v/>
      </c>
      <c r="AD895" s="161">
        <f t="shared" si="552"/>
        <v/>
      </c>
      <c r="AE895" s="161">
        <f>IF(AND(R895="",G895=""),"",_xlfn.TEXTJOIN("; ",TRUE,IF(AND(R895&lt;&gt;"",V895=""),"нет фазы",""),IF(AND(R895&lt;&gt;"",N(T895)=0),"нет мощности",""),IF(AND(P895&lt;&gt;"",COUNTIFS($A$3:$A$1000,A895,$P$3:$P$1000,P895)&gt;1),"дубль клеммы "&amp;P895,""),IF(AND(W895&lt;&gt;"",W895&lt;&gt;"ok"),W895,""),IF(X895&lt;&gt;"",X895,""),IF(AND(ISNUMBER(SEARCH("(5х",Q895)),N(AK895)=1),"5 жил на 1 фазе",""),IF(AND(AL895="R",E895&lt;&gt;"",N(AS895)=0),"розетка без 30 мА",""),IF(IFERROR(_xlfn.NUMBERVALUE(MID(Q895,FIND("-",Q895,FIND("L=",Q895))+1,FIND("%",Q895)-FIND("-",Q895,FIND("L=",Q895))-1),","),0)&gt;4,"потери &gt; 4 %","")))</f>
      </c>
      <c r="AF895" s="129">
        <f>IF(E895&lt;&gt;"",COUNTIFS($A$3:A895,A895,$E$3:E895,"?*"),IF(OR(A895&lt;&gt;A894,Y895="вручную"),"",AF894))</f>
        <v/>
      </c>
      <c r="AG895" s="129">
        <f t="shared" si="553"/>
        <v/>
      </c>
      <c r="AH895" s="129">
        <f t="shared" si="554"/>
        <v/>
      </c>
      <c r="AI895" s="129">
        <f t="shared" si="555"/>
        <v/>
      </c>
      <c r="AJ895" s="129">
        <f t="shared" si="556"/>
        <v/>
      </c>
      <c r="AK895" s="129">
        <f t="shared" si="557"/>
        <v/>
      </c>
      <c r="AL895" s="129">
        <f t="shared" si="558"/>
        <v/>
      </c>
      <c r="AM895" s="129">
        <f t="shared" si="559"/>
      </c>
      <c r="AN895" s="129">
        <f t="shared" si="560"/>
      </c>
      <c r="AO895" s="129">
        <f t="shared" si="561"/>
        <v/>
      </c>
      <c r="AP895" s="129">
        <f t="shared" si="562"/>
        <v/>
      </c>
      <c r="AQ895" s="129">
        <f t="shared" si="563"/>
        <v/>
      </c>
      <c r="AR895" s="129">
        <f t="shared" si="564"/>
        <v/>
      </c>
      <c r="AS895" s="129">
        <f t="shared" si="565"/>
        <v/>
      </c>
      <c r="AT895" s="129">
        <f t="shared" si="566"/>
        <v/>
      </c>
      <c r="AU895" s="129">
        <f t="shared" si="567"/>
        <v/>
      </c>
      <c r="AV895" s="129">
        <f t="shared" si="568"/>
        <v/>
      </c>
      <c r="AW895" s="129">
        <f>IF(AV895="","",AV895&amp;"."&amp;COUNTIFS($A$3:A895,A895,$AV$3:AV895,AV895))</f>
        <v/>
      </c>
      <c r="AX895" s="129">
        <f t="shared" si="569"/>
        <v/>
      </c>
      <c r="AY895" s="129">
        <f>IF(N895="б/к",0,IF(OR(ISNUMBER(SEARCH("L=",Разбивка_по_щитам!P895)),N895="+",N895="="),1,0))</f>
      </c>
      <c r="AZ895" s="129">
        <f t="shared" si="570"/>
        <v/>
      </c>
      <c r="BA895" s="129">
        <f t="shared" si="571"/>
      </c>
      <c r="BB895" s="129">
        <f t="shared" si="572"/>
      </c>
      <c r="BD895" s="129">
        <f t="shared" si="573"/>
      </c>
      <c r="BE895" s="129">
        <f t="shared" si="574"/>
      </c>
      <c r="BF895" s="129">
        <f t="shared" si="575"/>
      </c>
      <c r="BG895" s="129">
        <f t="shared" si="576"/>
        <v/>
      </c>
      <c r="BH895" s="129">
        <f t="shared" si="577"/>
        <v/>
      </c>
      <c r="BI895" s="129">
        <f t="shared" si="578"/>
        <v/>
      </c>
      <c r="BJ895" s="129">
        <f t="shared" si="579"/>
        <v/>
      </c>
      <c r="BK895" s="129">
        <f>IF(R895="","",IF(OR(BY895="",BY895=0),"BOX",IFERROR(IF(VLOOKUP(BY895,УГО_блоки,3,FALSE)&amp;""&lt;&gt;"",VLOOKUP(BY895,УГО_блоки,3,FALSE),VLOOKUP(BY895,УГО_блоки,2,FALSE)),BY895)))</f>
      </c>
      <c r="BL895" s="129">
        <f t="shared" si="581"/>
      </c>
      <c r="BM895" s="129">
        <f>IF(H895="","",IF(COUNTIF($H$3:H895,H895)=1,MAX($BM$2:BM894)+1,""))</f>
      </c>
      <c r="BN895" s="129">
        <f>IF(I895="","",IF(COUNTIF($I$3:I895,I895)+COUNTIF($J$2:J894,I895)+COUNTIF($K$2:K894,I895)=1,MAX($BN$2:BP894)+1,""))</f>
      </c>
      <c r="BO895" s="129">
        <f>IF(J895="","",IF(COUNTIF($I$3:I895,J895)+COUNTIF($J$3:J895,J895)+COUNTIF($K$2:K894,J895)=1,MAX($BN$2:BP894,BN895)+1,""))</f>
      </c>
      <c r="BP895" s="129">
        <f>IF(K895="","",IF(COUNTIF($I$3:I895,K895)+COUNTIF($J$3:J895,K895)+COUNTIF($K$3:K895,K895)=1,MAX($BN$2:BP894,BN895,BO895)+1,""))</f>
      </c>
      <c r="BQ895" s="129">
        <f>IF(AY895=1,IFERROR(MID(Q895,FIND(" (",Q895)+2,FIND(")",Q895,FIND(" (",Q895))-FIND(" (",Q895)-2),"?"),"")</f>
      </c>
      <c r="BR895" s="129">
        <f>IF(BQ895="","",IF(COUNTIF($BQ$3:BQ895,BQ895)=1,MAX($BR$2:BR894)+1,""))</f>
      </c>
      <c r="BS895" s="129">
        <f>IF(AW895="","",COUNTIF($AW$3:AW895,"?*"))</f>
      </c>
      <c r="BT895" s="129">
        <f>IF(OR(AW895="",AI895=""),"",IF(COUNTIFS($AW$3:AW895,"?*",$AI$3:AI895,AI895)=1,MAX($BT$2:BT894)+1,""))</f>
      </c>
      <c r="BU895" s="129">
        <f>IF(AE895="",0,IF(OR(ISNUMBER(SEARCH("дубль",AE895)),ISNUMBER(SEARCH("ПЕРЕГРУЗ",AE895)),ISNUMBER(SEARCH("ЗАЩИЩ",AE895)),ISNUMBER(SEARCH("КАНАЛ",AE895)),ISNUMBER(SEARCH("без 30",AE895))),2,1))</f>
      </c>
      <c r="BV895" s="129">
        <f>IF(R895="","",COUNTIF($R$3:R895,"?*"))</f>
      </c>
      <c r="BW895" s="129">
        <f>IF(AY895&lt;&gt;1,0,IF(MAX(IFERROR(--VLOOKUP(R895,УГО_спр,5,FALSE),0),IFERROR(--VLOOKUP(AL895,УГО_спр,5,FALSE),0),IFERROR(--VLOOKUP(LEFT(AL895,2),УГО_спр,5,FALSE),0))&gt;0,MAX(IFERROR(--VLOOKUP(R895,УГО_спр,5,FALSE),0),IFERROR(--VLOOKUP(AL895,УГО_спр,5,FALSE),0),IFERROR(--VLOOKUP(LEFT(AL895,2),УГО_спр,5,FALSE),0)),IF(IFERROR(--LEFT(SUBSTITUTE(BQ895,"x","х"),FIND("х",SUBSTITUTE(BQ895,"x","х"))-1),3)&gt;3,Каталог!$S$9,1)))</f>
      </c>
      <c r="BX895" s="129">
        <f>IF(AY895&lt;&gt;1,0,MAX(0,IFERROR(--LEFT(SUBSTITUTE(BQ895,"x","х"),FIND("х",SUBSTITUTE(BQ895,"x","х"))-1),3)-3*BW895))</f>
      </c>
      <c r="BY895" s="129">
        <f>IF(R895="","",IFERROR(VLOOKUP(R895,УГО_спр,2,FALSE),IFERROR(VLOOKUP(AL895,УГО_спр,2,FALSE),IFERROR(VLOOKUP(LEFT(AL895,2),УГО_спр,2,FALSE),""))))</f>
      </c>
    </row>
    <row r="896" spans="1:64" x14ac:dyDescent="0.3">
      <c r="A896" s="135">
        <f>IF(Разбивка_по_щитам!F896=0,"",Разбивка_по_щитам!F896)</f>
        <v/>
      </c>
      <c r="B896" s="138">
        <f>IF(A896="","",Разбивка_по_щитам!C896)</f>
        <v/>
      </c>
      <c r="C896" s="138">
        <f t="shared" si="542"/>
        <v/>
      </c>
      <c r="D896" s="266"/>
      <c r="E896" s="266"/>
      <c r="F896" s="267"/>
      <c r="G896" s="145">
        <f t="shared" si="543"/>
        <v/>
      </c>
      <c r="H896" s="145">
        <f t="shared" si="544"/>
        <v/>
      </c>
      <c r="I896" s="266"/>
      <c r="J896" s="267"/>
      <c r="K896" s="267"/>
      <c r="L896" s="266"/>
      <c r="M896" s="147">
        <f t="shared" si="545"/>
        <v/>
      </c>
      <c r="N896" s="267"/>
      <c r="O896" s="147">
        <f t="shared" si="546"/>
        <v/>
      </c>
      <c r="P896" s="268">
        <f>IF(AY896=1,"XT"&amp;COUNTIFS($A$3:A896,A896,$AY$3:AY896,1),"")</f>
        <v/>
      </c>
      <c r="Q896" s="152">
        <f>IF(R896="","",IFERROR(SUBSTITUTE(Разбивка_по_щитам!P896,CHAR(10)," "),""))</f>
        <v/>
      </c>
      <c r="R896" s="153">
        <f>IF(OR(Разбивка_по_щитам!H896="",Разбивка_по_щитам!H896=0),"",Разбивка_по_щитам!H896)</f>
        <v/>
      </c>
      <c r="S896" s="154">
        <f>IF(R896="","",IFERROR(Разбивка_по_щитам!J896&amp;"",""))</f>
        <v/>
      </c>
      <c r="T896" s="155">
        <f>IF(R896="","",IFERROR(--Разбивка_по_щитам!L896,""))</f>
        <v/>
      </c>
      <c r="U896" s="155">
        <f>IF(R896="","",IFERROR(--Разбивка_по_щитам!K896,""))</f>
        <v/>
      </c>
      <c r="V896" s="138">
        <f>IF(R896="","",IFERROR(IF(Разбивка_по_щитам!M896=0,"",Разбивка_по_щитам!M896),""))</f>
        <v/>
      </c>
      <c r="W896" s="156">
        <f t="shared" si="547"/>
        <v/>
      </c>
      <c r="X896" s="157">
        <f t="shared" si="548"/>
        <v/>
      </c>
      <c r="Y896" s="266"/>
      <c r="Z896" s="158">
        <f t="shared" si="549"/>
        <v/>
      </c>
      <c r="AA896" s="160">
        <f t="shared" si="550"/>
        <v/>
      </c>
      <c r="AB896" s="160">
        <f>IF(R896="","",IFERROR(LOOKUP(INDEX(Справочная!$I$4:$I$19,MATCH(VLOOKUP(R896,Исходные_данные,22,FALSE),Справочная!$J$4:$J$19,0)+1),{6,10,16,20,25,32,40,50,63,80,100,125}),""))</f>
        <v/>
      </c>
      <c r="AC896" s="160">
        <f t="shared" si="551"/>
        <v/>
      </c>
      <c r="AD896" s="161">
        <f t="shared" si="552"/>
        <v/>
      </c>
      <c r="AE896" s="161">
        <f>IF(AND(R896="",G896=""),"",_xlfn.TEXTJOIN("; ",TRUE,IF(AND(R896&lt;&gt;"",V896=""),"нет фазы",""),IF(AND(R896&lt;&gt;"",N(T896)=0),"нет мощности",""),IF(AND(P896&lt;&gt;"",COUNTIFS($A$3:$A$1000,A896,$P$3:$P$1000,P896)&gt;1),"дубль клеммы "&amp;P896,""),IF(AND(W896&lt;&gt;"",W896&lt;&gt;"ok"),W896,""),IF(X896&lt;&gt;"",X896,""),IF(AND(ISNUMBER(SEARCH("(5х",Q896)),N(AK896)=1),"5 жил на 1 фазе",""),IF(AND(AL896="R",E896&lt;&gt;"",N(AS896)=0),"розетка без 30 мА",""),IF(IFERROR(_xlfn.NUMBERVALUE(MID(Q896,FIND("-",Q896,FIND("L=",Q896))+1,FIND("%",Q896)-FIND("-",Q896,FIND("L=",Q896))-1),","),0)&gt;4,"потери &gt; 4 %","")))</f>
      </c>
      <c r="AF896" s="129">
        <f>IF(E896&lt;&gt;"",COUNTIFS($A$3:A896,A896,$E$3:E896,"?*"),IF(OR(A896&lt;&gt;A895,Y896="вручную"),"",AF895))</f>
        <v/>
      </c>
      <c r="AG896" s="129">
        <f t="shared" si="553"/>
        <v/>
      </c>
      <c r="AH896" s="129">
        <f t="shared" si="554"/>
        <v/>
      </c>
      <c r="AI896" s="129">
        <f t="shared" si="555"/>
        <v/>
      </c>
      <c r="AJ896" s="129">
        <f t="shared" si="556"/>
        <v/>
      </c>
      <c r="AK896" s="129">
        <f t="shared" si="557"/>
        <v/>
      </c>
      <c r="AL896" s="129">
        <f t="shared" si="558"/>
        <v/>
      </c>
      <c r="AM896" s="129">
        <f t="shared" si="559"/>
      </c>
      <c r="AN896" s="129">
        <f t="shared" si="560"/>
      </c>
      <c r="AO896" s="129">
        <f t="shared" si="561"/>
        <v/>
      </c>
      <c r="AP896" s="129">
        <f t="shared" si="562"/>
        <v/>
      </c>
      <c r="AQ896" s="129">
        <f t="shared" si="563"/>
        <v/>
      </c>
      <c r="AR896" s="129">
        <f t="shared" si="564"/>
        <v/>
      </c>
      <c r="AS896" s="129">
        <f t="shared" si="565"/>
        <v/>
      </c>
      <c r="AT896" s="129">
        <f t="shared" si="566"/>
        <v/>
      </c>
      <c r="AU896" s="129">
        <f t="shared" si="567"/>
        <v/>
      </c>
      <c r="AV896" s="129">
        <f t="shared" si="568"/>
        <v/>
      </c>
      <c r="AW896" s="129">
        <f>IF(AV896="","",AV896&amp;"."&amp;COUNTIFS($A$3:A896,A896,$AV$3:AV896,AV896))</f>
        <v/>
      </c>
      <c r="AX896" s="129">
        <f t="shared" si="569"/>
        <v/>
      </c>
      <c r="AY896" s="129">
        <f>IF(N896="б/к",0,IF(OR(ISNUMBER(SEARCH("L=",Разбивка_по_щитам!P896)),N896="+",N896="="),1,0))</f>
      </c>
      <c r="AZ896" s="129">
        <f t="shared" si="570"/>
        <v/>
      </c>
      <c r="BA896" s="129">
        <f t="shared" si="571"/>
      </c>
      <c r="BB896" s="129">
        <f t="shared" si="572"/>
      </c>
      <c r="BD896" s="129">
        <f t="shared" si="573"/>
      </c>
      <c r="BE896" s="129">
        <f t="shared" si="574"/>
      </c>
      <c r="BF896" s="129">
        <f t="shared" si="575"/>
      </c>
      <c r="BG896" s="129">
        <f t="shared" si="576"/>
        <v/>
      </c>
      <c r="BH896" s="129">
        <f t="shared" si="577"/>
        <v/>
      </c>
      <c r="BI896" s="129">
        <f t="shared" si="578"/>
        <v/>
      </c>
      <c r="BJ896" s="129">
        <f t="shared" si="579"/>
        <v/>
      </c>
      <c r="BK896" s="129">
        <f>IF(R896="","",IF(OR(BY896="",BY896=0),"BOX",IFERROR(IF(VLOOKUP(BY896,УГО_блоки,3,FALSE)&amp;""&lt;&gt;"",VLOOKUP(BY896,УГО_блоки,3,FALSE),VLOOKUP(BY896,УГО_блоки,2,FALSE)),BY896)))</f>
      </c>
      <c r="BL896" s="129">
        <f t="shared" si="581"/>
      </c>
      <c r="BM896" s="129">
        <f>IF(H896="","",IF(COUNTIF($H$3:H896,H896)=1,MAX($BM$2:BM895)+1,""))</f>
      </c>
      <c r="BN896" s="129">
        <f>IF(I896="","",IF(COUNTIF($I$3:I896,I896)+COUNTIF($J$2:J895,I896)+COUNTIF($K$2:K895,I896)=1,MAX($BN$2:BP895)+1,""))</f>
      </c>
      <c r="BO896" s="129">
        <f>IF(J896="","",IF(COUNTIF($I$3:I896,J896)+COUNTIF($J$3:J896,J896)+COUNTIF($K$2:K895,J896)=1,MAX($BN$2:BP895,BN896)+1,""))</f>
      </c>
      <c r="BP896" s="129">
        <f>IF(K896="","",IF(COUNTIF($I$3:I896,K896)+COUNTIF($J$3:J896,K896)+COUNTIF($K$3:K896,K896)=1,MAX($BN$2:BP895,BN896,BO896)+1,""))</f>
      </c>
      <c r="BQ896" s="129">
        <f>IF(AY896=1,IFERROR(MID(Q896,FIND(" (",Q896)+2,FIND(")",Q896,FIND(" (",Q896))-FIND(" (",Q896)-2),"?"),"")</f>
      </c>
      <c r="BR896" s="129">
        <f>IF(BQ896="","",IF(COUNTIF($BQ$3:BQ896,BQ896)=1,MAX($BR$2:BR895)+1,""))</f>
      </c>
      <c r="BS896" s="129">
        <f>IF(AW896="","",COUNTIF($AW$3:AW896,"?*"))</f>
      </c>
      <c r="BT896" s="129">
        <f>IF(OR(AW896="",AI896=""),"",IF(COUNTIFS($AW$3:AW896,"?*",$AI$3:AI896,AI896)=1,MAX($BT$2:BT895)+1,""))</f>
      </c>
      <c r="BU896" s="129">
        <f>IF(AE896="",0,IF(OR(ISNUMBER(SEARCH("дубль",AE896)),ISNUMBER(SEARCH("ПЕРЕГРУЗ",AE896)),ISNUMBER(SEARCH("ЗАЩИЩ",AE896)),ISNUMBER(SEARCH("КАНАЛ",AE896)),ISNUMBER(SEARCH("без 30",AE896))),2,1))</f>
      </c>
      <c r="BV896" s="129">
        <f>IF(R896="","",COUNTIF($R$3:R896,"?*"))</f>
      </c>
      <c r="BW896" s="129">
        <f>IF(AY896&lt;&gt;1,0,IF(MAX(IFERROR(--VLOOKUP(R896,УГО_спр,5,FALSE),0),IFERROR(--VLOOKUP(AL896,УГО_спр,5,FALSE),0),IFERROR(--VLOOKUP(LEFT(AL896,2),УГО_спр,5,FALSE),0))&gt;0,MAX(IFERROR(--VLOOKUP(R896,УГО_спр,5,FALSE),0),IFERROR(--VLOOKUP(AL896,УГО_спр,5,FALSE),0),IFERROR(--VLOOKUP(LEFT(AL896,2),УГО_спр,5,FALSE),0)),IF(IFERROR(--LEFT(SUBSTITUTE(BQ896,"x","х"),FIND("х",SUBSTITUTE(BQ896,"x","х"))-1),3)&gt;3,Каталог!$S$9,1)))</f>
      </c>
      <c r="BX896" s="129">
        <f>IF(AY896&lt;&gt;1,0,MAX(0,IFERROR(--LEFT(SUBSTITUTE(BQ896,"x","х"),FIND("х",SUBSTITUTE(BQ896,"x","х"))-1),3)-3*BW896))</f>
      </c>
      <c r="BY896" s="129">
        <f>IF(R896="","",IFERROR(VLOOKUP(R896,УГО_спр,2,FALSE),IFERROR(VLOOKUP(AL896,УГО_спр,2,FALSE),IFERROR(VLOOKUP(LEFT(AL896,2),УГО_спр,2,FALSE),""))))</f>
      </c>
    </row>
    <row r="897" spans="1:64" x14ac:dyDescent="0.3">
      <c r="A897" s="135">
        <f>IF(Разбивка_по_щитам!F897=0,"",Разбивка_по_щитам!F897)</f>
        <v/>
      </c>
      <c r="B897" s="138">
        <f>IF(A897="","",Разбивка_по_щитам!C897)</f>
        <v/>
      </c>
      <c r="C897" s="138">
        <f t="shared" si="542"/>
        <v/>
      </c>
      <c r="D897" s="266"/>
      <c r="E897" s="266"/>
      <c r="F897" s="267"/>
      <c r="G897" s="145">
        <f t="shared" si="543"/>
        <v/>
      </c>
      <c r="H897" s="145">
        <f t="shared" si="544"/>
        <v/>
      </c>
      <c r="I897" s="266"/>
      <c r="J897" s="267"/>
      <c r="K897" s="267"/>
      <c r="L897" s="266"/>
      <c r="M897" s="147">
        <f t="shared" si="545"/>
        <v/>
      </c>
      <c r="N897" s="267"/>
      <c r="O897" s="147">
        <f t="shared" si="546"/>
        <v/>
      </c>
      <c r="P897" s="268">
        <f>IF(AY897=1,"XT"&amp;COUNTIFS($A$3:A897,A897,$AY$3:AY897,1),"")</f>
        <v/>
      </c>
      <c r="Q897" s="152">
        <f>IF(R897="","",IFERROR(SUBSTITUTE(Разбивка_по_щитам!P897,CHAR(10)," "),""))</f>
        <v/>
      </c>
      <c r="R897" s="153">
        <f>IF(OR(Разбивка_по_щитам!H897="",Разбивка_по_щитам!H897=0),"",Разбивка_по_щитам!H897)</f>
        <v/>
      </c>
      <c r="S897" s="154">
        <f>IF(R897="","",IFERROR(Разбивка_по_щитам!J897&amp;"",""))</f>
        <v/>
      </c>
      <c r="T897" s="155">
        <f>IF(R897="","",IFERROR(--Разбивка_по_щитам!L897,""))</f>
        <v/>
      </c>
      <c r="U897" s="155">
        <f>IF(R897="","",IFERROR(--Разбивка_по_щитам!K897,""))</f>
        <v/>
      </c>
      <c r="V897" s="138">
        <f>IF(R897="","",IFERROR(IF(Разбивка_по_щитам!M897=0,"",Разбивка_по_щитам!M897),""))</f>
        <v/>
      </c>
      <c r="W897" s="156">
        <f t="shared" si="547"/>
        <v/>
      </c>
      <c r="X897" s="157">
        <f t="shared" si="548"/>
        <v/>
      </c>
      <c r="Y897" s="266"/>
      <c r="Z897" s="158">
        <f t="shared" si="549"/>
        <v/>
      </c>
      <c r="AA897" s="160">
        <f t="shared" si="550"/>
        <v/>
      </c>
      <c r="AB897" s="160">
        <f>IF(R897="","",IFERROR(LOOKUP(INDEX(Справочная!$I$4:$I$19,MATCH(VLOOKUP(R897,Исходные_данные,22,FALSE),Справочная!$J$4:$J$19,0)+1),{6,10,16,20,25,32,40,50,63,80,100,125}),""))</f>
        <v/>
      </c>
      <c r="AC897" s="160">
        <f t="shared" si="551"/>
        <v/>
      </c>
      <c r="AD897" s="161">
        <f t="shared" si="552"/>
        <v/>
      </c>
      <c r="AE897" s="161">
        <f>IF(AND(R897="",G897=""),"",_xlfn.TEXTJOIN("; ",TRUE,IF(AND(R897&lt;&gt;"",V897=""),"нет фазы",""),IF(AND(R897&lt;&gt;"",N(T897)=0),"нет мощности",""),IF(AND(P897&lt;&gt;"",COUNTIFS($A$3:$A$1000,A897,$P$3:$P$1000,P897)&gt;1),"дубль клеммы "&amp;P897,""),IF(AND(W897&lt;&gt;"",W897&lt;&gt;"ok"),W897,""),IF(X897&lt;&gt;"",X897,""),IF(AND(ISNUMBER(SEARCH("(5х",Q897)),N(AK897)=1),"5 жил на 1 фазе",""),IF(AND(AL897="R",E897&lt;&gt;"",N(AS897)=0),"розетка без 30 мА",""),IF(IFERROR(_xlfn.NUMBERVALUE(MID(Q897,FIND("-",Q897,FIND("L=",Q897))+1,FIND("%",Q897)-FIND("-",Q897,FIND("L=",Q897))-1),","),0)&gt;4,"потери &gt; 4 %","")))</f>
      </c>
      <c r="AF897" s="129">
        <f>IF(E897&lt;&gt;"",COUNTIFS($A$3:A897,A897,$E$3:E897,"?*"),IF(OR(A897&lt;&gt;A896,Y897="вручную"),"",AF896))</f>
        <v/>
      </c>
      <c r="AG897" s="129">
        <f t="shared" si="553"/>
        <v/>
      </c>
      <c r="AH897" s="129">
        <f t="shared" si="554"/>
        <v/>
      </c>
      <c r="AI897" s="129">
        <f t="shared" si="555"/>
        <v/>
      </c>
      <c r="AJ897" s="129">
        <f t="shared" si="556"/>
        <v/>
      </c>
      <c r="AK897" s="129">
        <f t="shared" si="557"/>
        <v/>
      </c>
      <c r="AL897" s="129">
        <f t="shared" si="558"/>
        <v/>
      </c>
      <c r="AM897" s="129">
        <f t="shared" si="559"/>
      </c>
      <c r="AN897" s="129">
        <f t="shared" si="560"/>
      </c>
      <c r="AO897" s="129">
        <f t="shared" si="561"/>
        <v/>
      </c>
      <c r="AP897" s="129">
        <f t="shared" si="562"/>
        <v/>
      </c>
      <c r="AQ897" s="129">
        <f t="shared" si="563"/>
        <v/>
      </c>
      <c r="AR897" s="129">
        <f t="shared" si="564"/>
        <v/>
      </c>
      <c r="AS897" s="129">
        <f t="shared" si="565"/>
        <v/>
      </c>
      <c r="AT897" s="129">
        <f t="shared" si="566"/>
        <v/>
      </c>
      <c r="AU897" s="129">
        <f t="shared" si="567"/>
        <v/>
      </c>
      <c r="AV897" s="129">
        <f t="shared" si="568"/>
        <v/>
      </c>
      <c r="AW897" s="129">
        <f>IF(AV897="","",AV897&amp;"."&amp;COUNTIFS($A$3:A897,A897,$AV$3:AV897,AV897))</f>
        <v/>
      </c>
      <c r="AX897" s="129">
        <f t="shared" si="569"/>
        <v/>
      </c>
      <c r="AY897" s="129">
        <f>IF(N897="б/к",0,IF(OR(ISNUMBER(SEARCH("L=",Разбивка_по_щитам!P897)),N897="+",N897="="),1,0))</f>
      </c>
      <c r="AZ897" s="129">
        <f t="shared" si="570"/>
        <v/>
      </c>
      <c r="BA897" s="129">
        <f t="shared" si="571"/>
      </c>
      <c r="BB897" s="129">
        <f t="shared" si="572"/>
      </c>
      <c r="BD897" s="129">
        <f t="shared" si="573"/>
      </c>
      <c r="BE897" s="129">
        <f t="shared" si="574"/>
      </c>
      <c r="BF897" s="129">
        <f t="shared" si="575"/>
      </c>
      <c r="BG897" s="129">
        <f t="shared" si="576"/>
        <v/>
      </c>
      <c r="BH897" s="129">
        <f t="shared" si="577"/>
        <v/>
      </c>
      <c r="BI897" s="129">
        <f t="shared" si="578"/>
        <v/>
      </c>
      <c r="BJ897" s="129">
        <f t="shared" si="579"/>
        <v/>
      </c>
      <c r="BK897" s="129">
        <f>IF(R897="","",IF(OR(BY897="",BY897=0),"BOX",IFERROR(IF(VLOOKUP(BY897,УГО_блоки,3,FALSE)&amp;""&lt;&gt;"",VLOOKUP(BY897,УГО_блоки,3,FALSE),VLOOKUP(BY897,УГО_блоки,2,FALSE)),BY897)))</f>
      </c>
      <c r="BL897" s="129">
        <f t="shared" si="581"/>
      </c>
      <c r="BM897" s="129">
        <f>IF(H897="","",IF(COUNTIF($H$3:H897,H897)=1,MAX($BM$2:BM896)+1,""))</f>
      </c>
      <c r="BN897" s="129">
        <f>IF(I897="","",IF(COUNTIF($I$3:I897,I897)+COUNTIF($J$2:J896,I897)+COUNTIF($K$2:K896,I897)=1,MAX($BN$2:BP896)+1,""))</f>
      </c>
      <c r="BO897" s="129">
        <f>IF(J897="","",IF(COUNTIF($I$3:I897,J897)+COUNTIF($J$3:J897,J897)+COUNTIF($K$2:K896,J897)=1,MAX($BN$2:BP896,BN897)+1,""))</f>
      </c>
      <c r="BP897" s="129">
        <f>IF(K897="","",IF(COUNTIF($I$3:I897,K897)+COUNTIF($J$3:J897,K897)+COUNTIF($K$3:K897,K897)=1,MAX($BN$2:BP896,BN897,BO897)+1,""))</f>
      </c>
      <c r="BQ897" s="129">
        <f>IF(AY897=1,IFERROR(MID(Q897,FIND(" (",Q897)+2,FIND(")",Q897,FIND(" (",Q897))-FIND(" (",Q897)-2),"?"),"")</f>
      </c>
      <c r="BR897" s="129">
        <f>IF(BQ897="","",IF(COUNTIF($BQ$3:BQ897,BQ897)=1,MAX($BR$2:BR896)+1,""))</f>
      </c>
      <c r="BS897" s="129">
        <f>IF(AW897="","",COUNTIF($AW$3:AW897,"?*"))</f>
      </c>
      <c r="BT897" s="129">
        <f>IF(OR(AW897="",AI897=""),"",IF(COUNTIFS($AW$3:AW897,"?*",$AI$3:AI897,AI897)=1,MAX($BT$2:BT896)+1,""))</f>
      </c>
      <c r="BU897" s="129">
        <f>IF(AE897="",0,IF(OR(ISNUMBER(SEARCH("дубль",AE897)),ISNUMBER(SEARCH("ПЕРЕГРУЗ",AE897)),ISNUMBER(SEARCH("ЗАЩИЩ",AE897)),ISNUMBER(SEARCH("КАНАЛ",AE897)),ISNUMBER(SEARCH("без 30",AE897))),2,1))</f>
      </c>
      <c r="BV897" s="129">
        <f>IF(R897="","",COUNTIF($R$3:R897,"?*"))</f>
      </c>
      <c r="BW897" s="129">
        <f>IF(AY897&lt;&gt;1,0,IF(MAX(IFERROR(--VLOOKUP(R897,УГО_спр,5,FALSE),0),IFERROR(--VLOOKUP(AL897,УГО_спр,5,FALSE),0),IFERROR(--VLOOKUP(LEFT(AL897,2),УГО_спр,5,FALSE),0))&gt;0,MAX(IFERROR(--VLOOKUP(R897,УГО_спр,5,FALSE),0),IFERROR(--VLOOKUP(AL897,УГО_спр,5,FALSE),0),IFERROR(--VLOOKUP(LEFT(AL897,2),УГО_спр,5,FALSE),0)),IF(IFERROR(--LEFT(SUBSTITUTE(BQ897,"x","х"),FIND("х",SUBSTITUTE(BQ897,"x","х"))-1),3)&gt;3,Каталог!$S$9,1)))</f>
      </c>
      <c r="BX897" s="129">
        <f>IF(AY897&lt;&gt;1,0,MAX(0,IFERROR(--LEFT(SUBSTITUTE(BQ897,"x","х"),FIND("х",SUBSTITUTE(BQ897,"x","х"))-1),3)-3*BW897))</f>
      </c>
      <c r="BY897" s="129">
        <f>IF(R897="","",IFERROR(VLOOKUP(R897,УГО_спр,2,FALSE),IFERROR(VLOOKUP(AL897,УГО_спр,2,FALSE),IFERROR(VLOOKUP(LEFT(AL897,2),УГО_спр,2,FALSE),""))))</f>
      </c>
    </row>
    <row r="898" spans="1:64" x14ac:dyDescent="0.3">
      <c r="A898" s="135">
        <f>IF(Разбивка_по_щитам!F898=0,"",Разбивка_по_щитам!F898)</f>
        <v/>
      </c>
      <c r="B898" s="138">
        <f>IF(A898="","",Разбивка_по_щитам!C898)</f>
        <v/>
      </c>
      <c r="C898" s="138">
        <f t="shared" si="542"/>
        <v/>
      </c>
      <c r="D898" s="266"/>
      <c r="E898" s="266"/>
      <c r="F898" s="267"/>
      <c r="G898" s="145">
        <f t="shared" si="543"/>
        <v/>
      </c>
      <c r="H898" s="145">
        <f t="shared" si="544"/>
        <v/>
      </c>
      <c r="I898" s="266"/>
      <c r="J898" s="267"/>
      <c r="K898" s="267"/>
      <c r="L898" s="266"/>
      <c r="M898" s="147">
        <f t="shared" si="545"/>
        <v/>
      </c>
      <c r="N898" s="267"/>
      <c r="O898" s="147">
        <f t="shared" si="546"/>
        <v/>
      </c>
      <c r="P898" s="268">
        <f>IF(AY898=1,"XT"&amp;COUNTIFS($A$3:A898,A898,$AY$3:AY898,1),"")</f>
        <v/>
      </c>
      <c r="Q898" s="152">
        <f>IF(R898="","",IFERROR(SUBSTITUTE(Разбивка_по_щитам!P898,CHAR(10)," "),""))</f>
        <v/>
      </c>
      <c r="R898" s="153">
        <f>IF(OR(Разбивка_по_щитам!H898="",Разбивка_по_щитам!H898=0),"",Разбивка_по_щитам!H898)</f>
        <v/>
      </c>
      <c r="S898" s="154">
        <f>IF(R898="","",IFERROR(Разбивка_по_щитам!J898&amp;"",""))</f>
        <v/>
      </c>
      <c r="T898" s="155">
        <f>IF(R898="","",IFERROR(--Разбивка_по_щитам!L898,""))</f>
        <v/>
      </c>
      <c r="U898" s="155">
        <f>IF(R898="","",IFERROR(--Разбивка_по_щитам!K898,""))</f>
        <v/>
      </c>
      <c r="V898" s="138">
        <f>IF(R898="","",IFERROR(IF(Разбивка_по_щитам!M898=0,"",Разбивка_по_щитам!M898),""))</f>
        <v/>
      </c>
      <c r="W898" s="156">
        <f t="shared" si="547"/>
        <v/>
      </c>
      <c r="X898" s="157">
        <f t="shared" si="548"/>
        <v/>
      </c>
      <c r="Y898" s="266"/>
      <c r="Z898" s="158">
        <f t="shared" si="549"/>
        <v/>
      </c>
      <c r="AA898" s="160">
        <f t="shared" si="550"/>
        <v/>
      </c>
      <c r="AB898" s="160">
        <f>IF(R898="","",IFERROR(LOOKUP(INDEX(Справочная!$I$4:$I$19,MATCH(VLOOKUP(R898,Исходные_данные,22,FALSE),Справочная!$J$4:$J$19,0)+1),{6,10,16,20,25,32,40,50,63,80,100,125}),""))</f>
        <v/>
      </c>
      <c r="AC898" s="160">
        <f t="shared" si="551"/>
        <v/>
      </c>
      <c r="AD898" s="161">
        <f t="shared" si="552"/>
        <v/>
      </c>
      <c r="AE898" s="161">
        <f>IF(AND(R898="",G898=""),"",_xlfn.TEXTJOIN("; ",TRUE,IF(AND(R898&lt;&gt;"",V898=""),"нет фазы",""),IF(AND(R898&lt;&gt;"",N(T898)=0),"нет мощности",""),IF(AND(P898&lt;&gt;"",COUNTIFS($A$3:$A$1000,A898,$P$3:$P$1000,P898)&gt;1),"дубль клеммы "&amp;P898,""),IF(AND(W898&lt;&gt;"",W898&lt;&gt;"ok"),W898,""),IF(X898&lt;&gt;"",X898,""),IF(AND(ISNUMBER(SEARCH("(5х",Q898)),N(AK898)=1),"5 жил на 1 фазе",""),IF(AND(AL898="R",E898&lt;&gt;"",N(AS898)=0),"розетка без 30 мА",""),IF(IFERROR(_xlfn.NUMBERVALUE(MID(Q898,FIND("-",Q898,FIND("L=",Q898))+1,FIND("%",Q898)-FIND("-",Q898,FIND("L=",Q898))-1),","),0)&gt;4,"потери &gt; 4 %","")))</f>
      </c>
      <c r="AF898" s="129">
        <f>IF(E898&lt;&gt;"",COUNTIFS($A$3:A898,A898,$E$3:E898,"?*"),IF(OR(A898&lt;&gt;A897,Y898="вручную"),"",AF897))</f>
        <v/>
      </c>
      <c r="AG898" s="129">
        <f t="shared" si="553"/>
        <v/>
      </c>
      <c r="AH898" s="129">
        <f t="shared" si="554"/>
        <v/>
      </c>
      <c r="AI898" s="129">
        <f t="shared" si="555"/>
        <v/>
      </c>
      <c r="AJ898" s="129">
        <f t="shared" si="556"/>
        <v/>
      </c>
      <c r="AK898" s="129">
        <f t="shared" si="557"/>
        <v/>
      </c>
      <c r="AL898" s="129">
        <f t="shared" si="558"/>
        <v/>
      </c>
      <c r="AM898" s="129">
        <f t="shared" si="559"/>
      </c>
      <c r="AN898" s="129">
        <f t="shared" si="560"/>
      </c>
      <c r="AO898" s="129">
        <f t="shared" si="561"/>
        <v/>
      </c>
      <c r="AP898" s="129">
        <f t="shared" si="562"/>
        <v/>
      </c>
      <c r="AQ898" s="129">
        <f t="shared" si="563"/>
        <v/>
      </c>
      <c r="AR898" s="129">
        <f t="shared" si="564"/>
        <v/>
      </c>
      <c r="AS898" s="129">
        <f t="shared" si="565"/>
        <v/>
      </c>
      <c r="AT898" s="129">
        <f t="shared" si="566"/>
        <v/>
      </c>
      <c r="AU898" s="129">
        <f t="shared" si="567"/>
        <v/>
      </c>
      <c r="AV898" s="129">
        <f t="shared" si="568"/>
        <v/>
      </c>
      <c r="AW898" s="129">
        <f>IF(AV898="","",AV898&amp;"."&amp;COUNTIFS($A$3:A898,A898,$AV$3:AV898,AV898))</f>
        <v/>
      </c>
      <c r="AX898" s="129">
        <f t="shared" si="569"/>
        <v/>
      </c>
      <c r="AY898" s="129">
        <f>IF(N898="б/к",0,IF(OR(ISNUMBER(SEARCH("L=",Разбивка_по_щитам!P898)),N898="+",N898="="),1,0))</f>
      </c>
      <c r="AZ898" s="129">
        <f t="shared" si="570"/>
        <v/>
      </c>
      <c r="BA898" s="129">
        <f t="shared" si="571"/>
      </c>
      <c r="BB898" s="129">
        <f t="shared" si="572"/>
      </c>
      <c r="BD898" s="129">
        <f t="shared" si="573"/>
      </c>
      <c r="BE898" s="129">
        <f t="shared" si="574"/>
      </c>
      <c r="BF898" s="129">
        <f t="shared" si="575"/>
      </c>
      <c r="BG898" s="129">
        <f t="shared" si="576"/>
        <v/>
      </c>
      <c r="BH898" s="129">
        <f t="shared" si="577"/>
        <v/>
      </c>
      <c r="BI898" s="129">
        <f t="shared" si="578"/>
        <v/>
      </c>
      <c r="BJ898" s="129">
        <f t="shared" si="579"/>
        <v/>
      </c>
      <c r="BK898" s="129">
        <f>IF(R898="","",IF(OR(BY898="",BY898=0),"BOX",IFERROR(IF(VLOOKUP(BY898,УГО_блоки,3,FALSE)&amp;""&lt;&gt;"",VLOOKUP(BY898,УГО_блоки,3,FALSE),VLOOKUP(BY898,УГО_блоки,2,FALSE)),BY898)))</f>
      </c>
      <c r="BL898" s="129">
        <f t="shared" si="581"/>
      </c>
      <c r="BM898" s="129">
        <f>IF(H898="","",IF(COUNTIF($H$3:H898,H898)=1,MAX($BM$2:BM897)+1,""))</f>
      </c>
      <c r="BN898" s="129">
        <f>IF(I898="","",IF(COUNTIF($I$3:I898,I898)+COUNTIF($J$2:J897,I898)+COUNTIF($K$2:K897,I898)=1,MAX($BN$2:BP897)+1,""))</f>
      </c>
      <c r="BO898" s="129">
        <f>IF(J898="","",IF(COUNTIF($I$3:I898,J898)+COUNTIF($J$3:J898,J898)+COUNTIF($K$2:K897,J898)=1,MAX($BN$2:BP897,BN898)+1,""))</f>
      </c>
      <c r="BP898" s="129">
        <f>IF(K898="","",IF(COUNTIF($I$3:I898,K898)+COUNTIF($J$3:J898,K898)+COUNTIF($K$3:K898,K898)=1,MAX($BN$2:BP897,BN898,BO898)+1,""))</f>
      </c>
      <c r="BQ898" s="129">
        <f>IF(AY898=1,IFERROR(MID(Q898,FIND(" (",Q898)+2,FIND(")",Q898,FIND(" (",Q898))-FIND(" (",Q898)-2),"?"),"")</f>
      </c>
      <c r="BR898" s="129">
        <f>IF(BQ898="","",IF(COUNTIF($BQ$3:BQ898,BQ898)=1,MAX($BR$2:BR897)+1,""))</f>
      </c>
      <c r="BS898" s="129">
        <f>IF(AW898="","",COUNTIF($AW$3:AW898,"?*"))</f>
      </c>
      <c r="BT898" s="129">
        <f>IF(OR(AW898="",AI898=""),"",IF(COUNTIFS($AW$3:AW898,"?*",$AI$3:AI898,AI898)=1,MAX($BT$2:BT897)+1,""))</f>
      </c>
      <c r="BU898" s="129">
        <f>IF(AE898="",0,IF(OR(ISNUMBER(SEARCH("дубль",AE898)),ISNUMBER(SEARCH("ПЕРЕГРУЗ",AE898)),ISNUMBER(SEARCH("ЗАЩИЩ",AE898)),ISNUMBER(SEARCH("КАНАЛ",AE898)),ISNUMBER(SEARCH("без 30",AE898))),2,1))</f>
      </c>
      <c r="BV898" s="129">
        <f>IF(R898="","",COUNTIF($R$3:R898,"?*"))</f>
      </c>
      <c r="BW898" s="129">
        <f>IF(AY898&lt;&gt;1,0,IF(MAX(IFERROR(--VLOOKUP(R898,УГО_спр,5,FALSE),0),IFERROR(--VLOOKUP(AL898,УГО_спр,5,FALSE),0),IFERROR(--VLOOKUP(LEFT(AL898,2),УГО_спр,5,FALSE),0))&gt;0,MAX(IFERROR(--VLOOKUP(R898,УГО_спр,5,FALSE),0),IFERROR(--VLOOKUP(AL898,УГО_спр,5,FALSE),0),IFERROR(--VLOOKUP(LEFT(AL898,2),УГО_спр,5,FALSE),0)),IF(IFERROR(--LEFT(SUBSTITUTE(BQ898,"x","х"),FIND("х",SUBSTITUTE(BQ898,"x","х"))-1),3)&gt;3,Каталог!$S$9,1)))</f>
      </c>
      <c r="BX898" s="129">
        <f>IF(AY898&lt;&gt;1,0,MAX(0,IFERROR(--LEFT(SUBSTITUTE(BQ898,"x","х"),FIND("х",SUBSTITUTE(BQ898,"x","х"))-1),3)-3*BW898))</f>
      </c>
      <c r="BY898" s="129">
        <f>IF(R898="","",IFERROR(VLOOKUP(R898,УГО_спр,2,FALSE),IFERROR(VLOOKUP(AL898,УГО_спр,2,FALSE),IFERROR(VLOOKUP(LEFT(AL898,2),УГО_спр,2,FALSE),""))))</f>
      </c>
    </row>
    <row r="899" spans="1:64" x14ac:dyDescent="0.3">
      <c r="A899" s="135">
        <f>IF(Разбивка_по_щитам!F899=0,"",Разбивка_по_щитам!F899)</f>
        <v/>
      </c>
      <c r="B899" s="138">
        <f>IF(A899="","",Разбивка_по_щитам!C899)</f>
        <v/>
      </c>
      <c r="C899" s="138">
        <f t="shared" ref="C899:C962" si="582">IF(B899="","",INT((B899-1)/Столбцов_на_лист)+1)</f>
        <v/>
      </c>
      <c r="D899" s="266"/>
      <c r="E899" s="266"/>
      <c r="F899" s="267"/>
      <c r="G899" s="145">
        <f t="shared" ref="G899:G962" si="583">IF(OR(R899&lt;&gt;"",O899&lt;&gt;"",AY899=1),AG899,"")</f>
        <v/>
      </c>
      <c r="H899" s="145">
        <f t="shared" ref="H899:H962" si="584">IF(E899="","",IF(AND(E899&lt;&gt;"авто",E899&lt;&gt;"+"),E899,AT899&amp;" С"&amp;AQ899&amp;"А"&amp;IF(AS899=1," 30мА","")))</f>
        <v/>
      </c>
      <c r="I899" s="266"/>
      <c r="J899" s="267"/>
      <c r="K899" s="267"/>
      <c r="L899" s="266"/>
      <c r="M899" s="147">
        <f t="shared" ref="M899:M962" si="585">IF(OR(O899&lt;&gt;"",AND(L899&lt;&gt;"",L899&lt;&gt;"-")),AH899,"")</f>
        <v/>
      </c>
      <c r="N899" s="267"/>
      <c r="O899" s="147">
        <f t="shared" ref="O899:O962" si="586">IF(N899="=",AX898,IF(ISNUMBER(N899),N899,IF(AH899="","",IF(OR(R899&lt;&gt;"",N899="+",N899="р"),IF(OR(AW899&lt;&gt;"",AX898=""),1,AX898+1),""))))</f>
        <v/>
      </c>
      <c r="P899" s="268">
        <f>IF(AY899=1,"XT"&amp;COUNTIFS($A$3:A899,A899,$AY$3:AY899,1),"")</f>
        <v/>
      </c>
      <c r="Q899" s="152">
        <f>IF(R899="","",IFERROR(SUBSTITUTE(Разбивка_по_щитам!P899,CHAR(10)," "),""))</f>
        <v/>
      </c>
      <c r="R899" s="153">
        <f>IF(OR(Разбивка_по_щитам!H899="",Разбивка_по_щитам!H899=0),"",Разбивка_по_щитам!H899)</f>
        <v/>
      </c>
      <c r="S899" s="154">
        <f>IF(R899="","",IFERROR(Разбивка_по_щитам!J899&amp;"",""))</f>
        <v/>
      </c>
      <c r="T899" s="155">
        <f>IF(R899="","",IFERROR(--Разбивка_по_щитам!L899,""))</f>
        <v/>
      </c>
      <c r="U899" s="155">
        <f>IF(R899="","",IFERROR(--Разбивка_по_щитам!K899,""))</f>
        <v/>
      </c>
      <c r="V899" s="138">
        <f>IF(R899="","",IFERROR(IF(Разбивка_по_щитам!M899=0,"",Разбивка_по_щитам!M899),""))</f>
        <v/>
      </c>
      <c r="W899" s="156">
        <f t="shared" ref="W899:W962" si="587">IF(E899="","",IF(NOT(ISNUMBER(AU899)),"",IF(Z899&gt;AU899,"ПЕРЕГРУЗ",IF(AND(BA899=0,AP899&gt;0,AU899&gt;AP899),"КАБЕЛЬ НЕ ЗАЩИЩЁН","ok"))))</f>
        <v/>
      </c>
      <c r="X899" s="157">
        <f t="shared" ref="X899:X962" si="588">IF(OR(O899="",AH899=""),"",IF(O899&gt;IFERROR(VLOOKUP(AI899,Модули_спр,3,FALSE),99),"ЛИШНИЙ КАНАЛ",IF(AND(N899&lt;&gt;"=",COUNTIFS($AH$3:$AH$1000,AH899,$O$3:$O$1000,O899,$N$3:$N$1000,"&lt;&gt;=")&gt;1),"ДУБЛЬ КАНАЛА","")))</f>
        <v/>
      </c>
      <c r="Y899" s="266"/>
      <c r="Z899" s="158">
        <f t="shared" ref="Z899:Z962" si="589">IF(E899="","",SUMIFS($U$3:$U$1000,$AF$3:$AF$1000,AF899,$A$3:$A$1000,A899,$AN$3:$AN$1000,0))</f>
        <v/>
      </c>
      <c r="AA899" s="160">
        <f t="shared" ref="AA899:AA962" si="590">IF(E899="","",IFERROR(VLOOKUP(Z899,Автомат_номиналы,2,TRUE),""))</f>
        <v/>
      </c>
      <c r="AB899" s="160">
        <f>IF(R899="","",IFERROR(LOOKUP(INDEX(Справочная!$I$4:$I$19,MATCH(VLOOKUP(R899,Исходные_данные,22,FALSE),Справочная!$J$4:$J$19,0)+1),{6,10,16,20,25,32,40,50,63,80,100,125}),""))</f>
        <v/>
      </c>
      <c r="AC899" s="160">
        <f t="shared" ref="AC899:AC962" si="591">IF(M899="","",AI899)</f>
        <v/>
      </c>
      <c r="AD899" s="161">
        <f t="shared" ref="AD899:AD962" si="592">IF(AND(R899="",O899="",P899=""),"",_xlfn.TEXTJOIN(" → ",TRUE,AG899,AZ899,IF(AH899&lt;&gt;"",AH899&amp;IF(O899&lt;&gt;""," к."&amp;O899,""),IF(O899&lt;&gt;"","к."&amp;O899,"")),P899,IF(AN899=1,"(в кабель выше)","")))</f>
        <v/>
      </c>
      <c r="AE899" s="161">
        <f>IF(AND(R899="",G899=""),"",_xlfn.TEXTJOIN("; ",TRUE,IF(AND(R899&lt;&gt;"",V899=""),"нет фазы",""),IF(AND(R899&lt;&gt;"",N(T899)=0),"нет мощности",""),IF(AND(P899&lt;&gt;"",COUNTIFS($A$3:$A$1000,A899,$P$3:$P$1000,P899)&gt;1),"дубль клеммы "&amp;P899,""),IF(AND(W899&lt;&gt;"",W899&lt;&gt;"ok"),W899,""),IF(X899&lt;&gt;"",X899,""),IF(AND(ISNUMBER(SEARCH("(5х",Q899)),N(AK899)=1),"5 жил на 1 фазе",""),IF(AND(AL899="R",E899&lt;&gt;"",N(AS899)=0),"розетка без 30 мА",""),IF(IFERROR(_xlfn.NUMBERVALUE(MID(Q899,FIND("-",Q899,FIND("L=",Q899))+1,FIND("%",Q899)-FIND("-",Q899,FIND("L=",Q899))-1),","),0)&gt;4,"потери &gt; 4 %","")))</f>
      </c>
      <c r="AF899" s="129">
        <f>IF(E899&lt;&gt;"",COUNTIFS($A$3:A899,A899,$E$3:E899,"?*"),IF(OR(A899&lt;&gt;A898,Y899="вручную"),"",AF898))</f>
        <v/>
      </c>
      <c r="AG899" s="129">
        <f t="shared" ref="AG899:AG962" si="593">IF(AJ899&lt;&gt;"",AJ899,IF(OR(A899&lt;&gt;A898,Y899="вручную"),"",AG898))</f>
        <v/>
      </c>
      <c r="AH899" s="129">
        <f t="shared" ref="AH899:AH962" si="594">IF(L899="-","",IF(AW899&lt;&gt;"",AW899,IF(A899&lt;&gt;A898,"",AH898)))</f>
        <v/>
      </c>
      <c r="AI899" s="129">
        <f t="shared" ref="AI899:AI962" si="595">IF(AH899="","",IF(AND(L899&lt;&gt;"",L899&lt;&gt;"-"),L899,AI898))</f>
        <v/>
      </c>
      <c r="AJ899" s="129">
        <f t="shared" ref="AJ899:AJ962" si="596">IF(E899="","",IF(AS899=1,"QFD","QF")&amp;AF899)</f>
        <v/>
      </c>
      <c r="AK899" s="129">
        <f t="shared" ref="AK899:AK962" si="597">IF(R899="","",IFERROR(--VLOOKUP(R899,Исходные_данные,8,FALSE),1))</f>
        <v/>
      </c>
      <c r="AL899" s="129">
        <f t="shared" ref="AL899:AL962" si="598">IF(R899="","",IFERROR(LEFT(R899,FIND(".",R899)-1),R899))</f>
        <v/>
      </c>
      <c r="AM899" s="129">
        <f t="shared" ref="AM899:AM962" si="599">IF(AL899="",0,IFERROR(IF(VLOOKUP(R899,УГО_спр,3,FALSE)="да",1,0),IFERROR(IF(VLOOKUP(AL899,УГО_спр,3,FALSE)="да",1,0),IFERROR(IF(VLOOKUP(LEFT(AL899,2),УГО_спр,3,FALSE)="да",1,0),0))))</f>
      </c>
      <c r="AN899" s="129">
        <f t="shared" ref="AN899:AN962" si="600">IF(OR(N899="+",AND(R899&lt;&gt;"",R899=R898)),1,0)</f>
      </c>
      <c r="AO899" s="129">
        <f t="shared" ref="AO899:AO962" si="601">IF(E899="","",MAX(N(AA899),_xlfn.MAXIFS($BB$3:$BB$1000,$AF$3:$AF$1000,AF899,$A$3:$A$1000,A899)))</f>
        <v/>
      </c>
      <c r="AP899" s="129">
        <f t="shared" ref="AP899:AP962" si="602">IF(E899="","",_xlfn.MINIFS($AB$3:$AB$1000,$AF$3:$AF$1000,AF899,$A$3:$A$1000,A899))</f>
        <v/>
      </c>
      <c r="AQ899" s="129">
        <f t="shared" ref="AQ899:AQ962" si="603">IF(E899="","",IF(BA899=1,MAX(AO899,Мин_автомат_БП),AO899))</f>
        <v/>
      </c>
      <c r="AR899" s="129">
        <f t="shared" ref="AR899:AR962" si="604">IF(E899="","",MAX(1,_xlfn.MAXIFS($AK$3:$AK$1000,$AF$3:$AF$1000,AF899,$A$3:$A$1000,A899)))</f>
        <v/>
      </c>
      <c r="AS899" s="129">
        <f t="shared" ref="AS899:AS962" si="605">IF(E899="","",IF(AND(E899&lt;&gt;"авто",E899&lt;&gt;"+"),IF(ISNUMBER(SEARCH("мА",E899)),1,0),IF(F899="да",1,IF(F899="нет",0,IF(_xlfn.MAXIFS($AM$3:$AM$1000,$AF$3:$AF$1000,AF899,$A$3:$A$1000,A899)&gt;0,1,0)))))</f>
        <v/>
      </c>
      <c r="AT899" s="129">
        <f t="shared" ref="AT899:AT962" si="606">IF(E899="","",IF(AR899&gt;=3,IF(AS899=1,"4P","3P"),IF(AS899=1,"2P","1P")))</f>
        <v/>
      </c>
      <c r="AU899" s="129">
        <f t="shared" ref="AU899:AU962" si="607">IF(H899="","",IFERROR(--MID(SUBSTITUTE(SUBSTITUTE(UPPER(H899),"С","C"),"А","A"),FIND("C",SUBSTITUTE(SUBSTITUTE(UPPER(H899),"С","C"),"А","A"))+1,FIND("A",SUBSTITUTE(SUBSTITUTE(UPPER(H899),"С","C"),"А","A")&amp;"A",FIND("C",SUBSTITUTE(SUBSTITUTE(UPPER(H899),"С","C"),"А","A")))-FIND("C",SUBSTITUTE(SUBSTITUTE(UPPER(H899),"С","C"),"А","A"))-1),""))</f>
        <v/>
      </c>
      <c r="AV899" s="129">
        <f t="shared" ref="AV899:AV962" si="608">IF(OR(L899="",L899="-"),"",IFERROR(VLOOKUP(L899,Модули_спр,2,FALSE),"R"))</f>
        <v/>
      </c>
      <c r="AW899" s="129">
        <f>IF(AV899="","",AV899&amp;"."&amp;COUNTIFS($A$3:A899,A899,$AV$3:AV899,AV899))</f>
        <v/>
      </c>
      <c r="AX899" s="129">
        <f t="shared" ref="AX899:AX962" si="609">IF(O899&lt;&gt;"",O899,IF(OR(A899&lt;&gt;A898,L899="-",AW899&lt;&gt;""),"",AX898))</f>
        <v/>
      </c>
      <c r="AY899" s="129">
        <f>IF(N899="б/к",0,IF(OR(ISNUMBER(SEARCH("L=",Разбивка_по_щитам!P899)),N899="+",N899="="),1,0))</f>
      </c>
      <c r="AZ899" s="129">
        <f t="shared" ref="AZ899:AZ962" si="610">IF(AJ899&lt;&gt;"",_xlfn.TEXTJOIN(" → ",TRUE,I899,J899,K899),IF(AG899="","",AZ898))</f>
        <v/>
      </c>
      <c r="BA899" s="129">
        <f t="shared" ref="BA899:BA962" si="611">IF(AZ899="",0,IF(OR(LEFT(AZ899,2)="T ",LEFT(AZ899,2)="Т ",ISNUMBER(SEARCH("→ T ",AZ899)),ISNUMBER(SEARCH("→ Т ",AZ899)),ISNUMBER(SEARCH("БП",AZ899))),1,0))</f>
      </c>
      <c r="BB899" s="129">
        <f t="shared" ref="BB899:BB962" si="612">IF(R899="",0,MAX(IFERROR(--VLOOKUP(R899,Исходные_данные,18,FALSE),0),IFERROR(--VLOOKUP(R899,УГО_спр,4,FALSE),IFERROR(--VLOOKUP(AL899,УГО_спр,4,FALSE),IFERROR(--VLOOKUP(LEFT(AL899,2),УГО_спр,4,FALSE),0)))))</f>
      </c>
      <c r="BD899" s="129">
        <f t="shared" ref="BD899:BD962" si="613">IF(Y899="вручную",0,1)</f>
      </c>
      <c r="BE899" s="129">
        <f t="shared" ref="BE899:BE962" si="614">IF(D899="",0,1)</f>
      </c>
      <c r="BF899" s="129">
        <f t="shared" ref="BF899:BF962" si="615">IF(AJ899="",0,IF(LEFT(AJ899,3)="QFD",1,0))</f>
      </c>
      <c r="BG899" s="129">
        <f t="shared" ref="BG899:BG962" si="616">IF(N899="=","=",IF(N899="+","+",IF(N899="р","R","")))</f>
        <v/>
      </c>
      <c r="BH899" s="129">
        <f t="shared" ref="BH899:BH962" si="617">IF(I899="","",IF(OR(LEFT(I899,1)="T",LEFT(I899,1)="Т"),"T",IF(LEFT(UPPER(I899),2)="БП","PS",IF(OR(LEFT(UPPER(I899),2)="МК",LEFT(UPPER(I899),2)="MK"),"MK",IF(OR(LEFT(UPPER(I899),2)="КМ",LEFT(UPPER(I899),2)="KM"),"KM","X")))))</f>
        <v/>
      </c>
      <c r="BI899" s="129">
        <f t="shared" ref="BI899:BI962" si="618">IF(J899="","",IF(OR(LEFT(J899,1)="T",LEFT(J899,1)="Т"),"T",IF(LEFT(UPPER(J899),2)="БП","PS",IF(OR(LEFT(UPPER(J899),2)="МК",LEFT(UPPER(J899),2)="MK"),"MK",IF(OR(LEFT(UPPER(J899),2)="КМ",LEFT(UPPER(J899),2)="KM"),"KM","X")))))</f>
        <v/>
      </c>
      <c r="BJ899" s="129">
        <f t="shared" ref="BJ899:BJ962" si="619">IF(K899="","",IF(OR(LEFT(K899,1)="T",LEFT(K899,1)="Т"),"T",IF(LEFT(UPPER(K899),2)="БП","PS",IF(OR(LEFT(UPPER(K899),2)="МК",LEFT(UPPER(K899),2)="MK"),"MK",IF(OR(LEFT(UPPER(K899),2)="КМ",LEFT(UPPER(K899),2)="KM"),"KM","X")))))</f>
        <v/>
      </c>
      <c r="BK899" s="129">
        <f>IF(R899="","",IF(OR(BY899="",BY899=0),"BOX",IFERROR(IF(VLOOKUP(BY899,УГО_блоки,3,FALSE)&amp;""&lt;&gt;"",VLOOKUP(BY899,УГО_блоки,3,FALSE),VLOOKUP(BY899,УГО_блоки,2,FALSE)),BY899)))</f>
      </c>
      <c r="BL899" s="129">
        <f t="shared" ref="BL899:BL962" si="621">IF(R899="",0,1)</f>
      </c>
      <c r="BM899" s="129">
        <f>IF(H899="","",IF(COUNTIF($H$3:H899,H899)=1,MAX($BM$2:BM898)+1,""))</f>
      </c>
      <c r="BN899" s="129">
        <f>IF(I899="","",IF(COUNTIF($I$3:I899,I899)+COUNTIF($J$2:J898,I899)+COUNTIF($K$2:K898,I899)=1,MAX($BN$2:BP898)+1,""))</f>
      </c>
      <c r="BO899" s="129">
        <f>IF(J899="","",IF(COUNTIF($I$3:I899,J899)+COUNTIF($J$3:J899,J899)+COUNTIF($K$2:K898,J899)=1,MAX($BN$2:BP898,BN899)+1,""))</f>
      </c>
      <c r="BP899" s="129">
        <f>IF(K899="","",IF(COUNTIF($I$3:I899,K899)+COUNTIF($J$3:J899,K899)+COUNTIF($K$3:K899,K899)=1,MAX($BN$2:BP898,BN899,BO899)+1,""))</f>
      </c>
      <c r="BQ899" s="129">
        <f>IF(AY899=1,IFERROR(MID(Q899,FIND(" (",Q899)+2,FIND(")",Q899,FIND(" (",Q899))-FIND(" (",Q899)-2),"?"),"")</f>
      </c>
      <c r="BR899" s="129">
        <f>IF(BQ899="","",IF(COUNTIF($BQ$3:BQ899,BQ899)=1,MAX($BR$2:BR898)+1,""))</f>
      </c>
      <c r="BS899" s="129">
        <f>IF(AW899="","",COUNTIF($AW$3:AW899,"?*"))</f>
      </c>
      <c r="BT899" s="129">
        <f>IF(OR(AW899="",AI899=""),"",IF(COUNTIFS($AW$3:AW899,"?*",$AI$3:AI899,AI899)=1,MAX($BT$2:BT898)+1,""))</f>
      </c>
      <c r="BU899" s="129">
        <f>IF(AE899="",0,IF(OR(ISNUMBER(SEARCH("дубль",AE899)),ISNUMBER(SEARCH("ПЕРЕГРУЗ",AE899)),ISNUMBER(SEARCH("ЗАЩИЩ",AE899)),ISNUMBER(SEARCH("КАНАЛ",AE899)),ISNUMBER(SEARCH("без 30",AE899))),2,1))</f>
      </c>
      <c r="BV899" s="129">
        <f>IF(R899="","",COUNTIF($R$3:R899,"?*"))</f>
      </c>
      <c r="BW899" s="129">
        <f>IF(AY899&lt;&gt;1,0,IF(MAX(IFERROR(--VLOOKUP(R899,УГО_спр,5,FALSE),0),IFERROR(--VLOOKUP(AL899,УГО_спр,5,FALSE),0),IFERROR(--VLOOKUP(LEFT(AL899,2),УГО_спр,5,FALSE),0))&gt;0,MAX(IFERROR(--VLOOKUP(R899,УГО_спр,5,FALSE),0),IFERROR(--VLOOKUP(AL899,УГО_спр,5,FALSE),0),IFERROR(--VLOOKUP(LEFT(AL899,2),УГО_спр,5,FALSE),0)),IF(IFERROR(--LEFT(SUBSTITUTE(BQ899,"x","х"),FIND("х",SUBSTITUTE(BQ899,"x","х"))-1),3)&gt;3,Каталог!$S$9,1)))</f>
      </c>
      <c r="BX899" s="129">
        <f>IF(AY899&lt;&gt;1,0,MAX(0,IFERROR(--LEFT(SUBSTITUTE(BQ899,"x","х"),FIND("х",SUBSTITUTE(BQ899,"x","х"))-1),3)-3*BW899))</f>
      </c>
      <c r="BY899" s="129">
        <f>IF(R899="","",IFERROR(VLOOKUP(R899,УГО_спр,2,FALSE),IFERROR(VLOOKUP(AL899,УГО_спр,2,FALSE),IFERROR(VLOOKUP(LEFT(AL899,2),УГО_спр,2,FALSE),""))))</f>
      </c>
    </row>
    <row r="900" spans="1:64" x14ac:dyDescent="0.3">
      <c r="A900" s="135">
        <f>IF(Разбивка_по_щитам!F900=0,"",Разбивка_по_щитам!F900)</f>
        <v/>
      </c>
      <c r="B900" s="138">
        <f>IF(A900="","",Разбивка_по_щитам!C900)</f>
        <v/>
      </c>
      <c r="C900" s="138">
        <f t="shared" si="582"/>
        <v/>
      </c>
      <c r="D900" s="266"/>
      <c r="E900" s="266"/>
      <c r="F900" s="267"/>
      <c r="G900" s="145">
        <f t="shared" si="583"/>
        <v/>
      </c>
      <c r="H900" s="145">
        <f t="shared" si="584"/>
        <v/>
      </c>
      <c r="I900" s="266"/>
      <c r="J900" s="267"/>
      <c r="K900" s="267"/>
      <c r="L900" s="266"/>
      <c r="M900" s="147">
        <f t="shared" si="585"/>
        <v/>
      </c>
      <c r="N900" s="267"/>
      <c r="O900" s="147">
        <f t="shared" si="586"/>
        <v/>
      </c>
      <c r="P900" s="268">
        <f>IF(AY900=1,"XT"&amp;COUNTIFS($A$3:A900,A900,$AY$3:AY900,1),"")</f>
        <v/>
      </c>
      <c r="Q900" s="152">
        <f>IF(R900="","",IFERROR(SUBSTITUTE(Разбивка_по_щитам!P900,CHAR(10)," "),""))</f>
        <v/>
      </c>
      <c r="R900" s="153">
        <f>IF(OR(Разбивка_по_щитам!H900="",Разбивка_по_щитам!H900=0),"",Разбивка_по_щитам!H900)</f>
        <v/>
      </c>
      <c r="S900" s="154">
        <f>IF(R900="","",IFERROR(Разбивка_по_щитам!J900&amp;"",""))</f>
        <v/>
      </c>
      <c r="T900" s="155">
        <f>IF(R900="","",IFERROR(--Разбивка_по_щитам!L900,""))</f>
        <v/>
      </c>
      <c r="U900" s="155">
        <f>IF(R900="","",IFERROR(--Разбивка_по_щитам!K900,""))</f>
        <v/>
      </c>
      <c r="V900" s="138">
        <f>IF(R900="","",IFERROR(IF(Разбивка_по_щитам!M900=0,"",Разбивка_по_щитам!M900),""))</f>
        <v/>
      </c>
      <c r="W900" s="156">
        <f t="shared" si="587"/>
        <v/>
      </c>
      <c r="X900" s="157">
        <f t="shared" si="588"/>
        <v/>
      </c>
      <c r="Y900" s="266"/>
      <c r="Z900" s="158">
        <f t="shared" si="589"/>
        <v/>
      </c>
      <c r="AA900" s="160">
        <f t="shared" si="590"/>
        <v/>
      </c>
      <c r="AB900" s="160">
        <f>IF(R900="","",IFERROR(LOOKUP(INDEX(Справочная!$I$4:$I$19,MATCH(VLOOKUP(R900,Исходные_данные,22,FALSE),Справочная!$J$4:$J$19,0)+1),{6,10,16,20,25,32,40,50,63,80,100,125}),""))</f>
        <v/>
      </c>
      <c r="AC900" s="160">
        <f t="shared" si="591"/>
        <v/>
      </c>
      <c r="AD900" s="161">
        <f t="shared" si="592"/>
        <v/>
      </c>
      <c r="AE900" s="161">
        <f>IF(AND(R900="",G900=""),"",_xlfn.TEXTJOIN("; ",TRUE,IF(AND(R900&lt;&gt;"",V900=""),"нет фазы",""),IF(AND(R900&lt;&gt;"",N(T900)=0),"нет мощности",""),IF(AND(P900&lt;&gt;"",COUNTIFS($A$3:$A$1000,A900,$P$3:$P$1000,P900)&gt;1),"дубль клеммы "&amp;P900,""),IF(AND(W900&lt;&gt;"",W900&lt;&gt;"ok"),W900,""),IF(X900&lt;&gt;"",X900,""),IF(AND(ISNUMBER(SEARCH("(5х",Q900)),N(AK900)=1),"5 жил на 1 фазе",""),IF(AND(AL900="R",E900&lt;&gt;"",N(AS900)=0),"розетка без 30 мА",""),IF(IFERROR(_xlfn.NUMBERVALUE(MID(Q900,FIND("-",Q900,FIND("L=",Q900))+1,FIND("%",Q900)-FIND("-",Q900,FIND("L=",Q900))-1),","),0)&gt;4,"потери &gt; 4 %","")))</f>
      </c>
      <c r="AF900" s="129">
        <f>IF(E900&lt;&gt;"",COUNTIFS($A$3:A900,A900,$E$3:E900,"?*"),IF(OR(A900&lt;&gt;A899,Y900="вручную"),"",AF899))</f>
        <v/>
      </c>
      <c r="AG900" s="129">
        <f t="shared" si="593"/>
        <v/>
      </c>
      <c r="AH900" s="129">
        <f t="shared" si="594"/>
        <v/>
      </c>
      <c r="AI900" s="129">
        <f t="shared" si="595"/>
        <v/>
      </c>
      <c r="AJ900" s="129">
        <f t="shared" si="596"/>
        <v/>
      </c>
      <c r="AK900" s="129">
        <f t="shared" si="597"/>
        <v/>
      </c>
      <c r="AL900" s="129">
        <f t="shared" si="598"/>
        <v/>
      </c>
      <c r="AM900" s="129">
        <f t="shared" si="599"/>
      </c>
      <c r="AN900" s="129">
        <f t="shared" si="600"/>
      </c>
      <c r="AO900" s="129">
        <f t="shared" si="601"/>
        <v/>
      </c>
      <c r="AP900" s="129">
        <f t="shared" si="602"/>
        <v/>
      </c>
      <c r="AQ900" s="129">
        <f t="shared" si="603"/>
        <v/>
      </c>
      <c r="AR900" s="129">
        <f t="shared" si="604"/>
        <v/>
      </c>
      <c r="AS900" s="129">
        <f t="shared" si="605"/>
        <v/>
      </c>
      <c r="AT900" s="129">
        <f t="shared" si="606"/>
        <v/>
      </c>
      <c r="AU900" s="129">
        <f t="shared" si="607"/>
        <v/>
      </c>
      <c r="AV900" s="129">
        <f t="shared" si="608"/>
        <v/>
      </c>
      <c r="AW900" s="129">
        <f>IF(AV900="","",AV900&amp;"."&amp;COUNTIFS($A$3:A900,A900,$AV$3:AV900,AV900))</f>
        <v/>
      </c>
      <c r="AX900" s="129">
        <f t="shared" si="609"/>
        <v/>
      </c>
      <c r="AY900" s="129">
        <f>IF(N900="б/к",0,IF(OR(ISNUMBER(SEARCH("L=",Разбивка_по_щитам!P900)),N900="+",N900="="),1,0))</f>
      </c>
      <c r="AZ900" s="129">
        <f t="shared" si="610"/>
        <v/>
      </c>
      <c r="BA900" s="129">
        <f t="shared" si="611"/>
      </c>
      <c r="BB900" s="129">
        <f t="shared" si="612"/>
      </c>
      <c r="BD900" s="129">
        <f t="shared" si="613"/>
      </c>
      <c r="BE900" s="129">
        <f t="shared" si="614"/>
      </c>
      <c r="BF900" s="129">
        <f t="shared" si="615"/>
      </c>
      <c r="BG900" s="129">
        <f t="shared" si="616"/>
        <v/>
      </c>
      <c r="BH900" s="129">
        <f t="shared" si="617"/>
        <v/>
      </c>
      <c r="BI900" s="129">
        <f t="shared" si="618"/>
        <v/>
      </c>
      <c r="BJ900" s="129">
        <f t="shared" si="619"/>
        <v/>
      </c>
      <c r="BK900" s="129">
        <f>IF(R900="","",IF(OR(BY900="",BY900=0),"BOX",IFERROR(IF(VLOOKUP(BY900,УГО_блоки,3,FALSE)&amp;""&lt;&gt;"",VLOOKUP(BY900,УГО_блоки,3,FALSE),VLOOKUP(BY900,УГО_блоки,2,FALSE)),BY900)))</f>
      </c>
      <c r="BL900" s="129">
        <f t="shared" si="621"/>
      </c>
      <c r="BM900" s="129">
        <f>IF(H900="","",IF(COUNTIF($H$3:H900,H900)=1,MAX($BM$2:BM899)+1,""))</f>
      </c>
      <c r="BN900" s="129">
        <f>IF(I900="","",IF(COUNTIF($I$3:I900,I900)+COUNTIF($J$2:J899,I900)+COUNTIF($K$2:K899,I900)=1,MAX($BN$2:BP899)+1,""))</f>
      </c>
      <c r="BO900" s="129">
        <f>IF(J900="","",IF(COUNTIF($I$3:I900,J900)+COUNTIF($J$3:J900,J900)+COUNTIF($K$2:K899,J900)=1,MAX($BN$2:BP899,BN900)+1,""))</f>
      </c>
      <c r="BP900" s="129">
        <f>IF(K900="","",IF(COUNTIF($I$3:I900,K900)+COUNTIF($J$3:J900,K900)+COUNTIF($K$3:K900,K900)=1,MAX($BN$2:BP899,BN900,BO900)+1,""))</f>
      </c>
      <c r="BQ900" s="129">
        <f>IF(AY900=1,IFERROR(MID(Q900,FIND(" (",Q900)+2,FIND(")",Q900,FIND(" (",Q900))-FIND(" (",Q900)-2),"?"),"")</f>
      </c>
      <c r="BR900" s="129">
        <f>IF(BQ900="","",IF(COUNTIF($BQ$3:BQ900,BQ900)=1,MAX($BR$2:BR899)+1,""))</f>
      </c>
      <c r="BS900" s="129">
        <f>IF(AW900="","",COUNTIF($AW$3:AW900,"?*"))</f>
      </c>
      <c r="BT900" s="129">
        <f>IF(OR(AW900="",AI900=""),"",IF(COUNTIFS($AW$3:AW900,"?*",$AI$3:AI900,AI900)=1,MAX($BT$2:BT899)+1,""))</f>
      </c>
      <c r="BU900" s="129">
        <f>IF(AE900="",0,IF(OR(ISNUMBER(SEARCH("дубль",AE900)),ISNUMBER(SEARCH("ПЕРЕГРУЗ",AE900)),ISNUMBER(SEARCH("ЗАЩИЩ",AE900)),ISNUMBER(SEARCH("КАНАЛ",AE900)),ISNUMBER(SEARCH("без 30",AE900))),2,1))</f>
      </c>
      <c r="BV900" s="129">
        <f>IF(R900="","",COUNTIF($R$3:R900,"?*"))</f>
      </c>
      <c r="BW900" s="129">
        <f>IF(AY900&lt;&gt;1,0,IF(MAX(IFERROR(--VLOOKUP(R900,УГО_спр,5,FALSE),0),IFERROR(--VLOOKUP(AL900,УГО_спр,5,FALSE),0),IFERROR(--VLOOKUP(LEFT(AL900,2),УГО_спр,5,FALSE),0))&gt;0,MAX(IFERROR(--VLOOKUP(R900,УГО_спр,5,FALSE),0),IFERROR(--VLOOKUP(AL900,УГО_спр,5,FALSE),0),IFERROR(--VLOOKUP(LEFT(AL900,2),УГО_спр,5,FALSE),0)),IF(IFERROR(--LEFT(SUBSTITUTE(BQ900,"x","х"),FIND("х",SUBSTITUTE(BQ900,"x","х"))-1),3)&gt;3,Каталог!$S$9,1)))</f>
      </c>
      <c r="BX900" s="129">
        <f>IF(AY900&lt;&gt;1,0,MAX(0,IFERROR(--LEFT(SUBSTITUTE(BQ900,"x","х"),FIND("х",SUBSTITUTE(BQ900,"x","х"))-1),3)-3*BW900))</f>
      </c>
      <c r="BY900" s="129">
        <f>IF(R900="","",IFERROR(VLOOKUP(R900,УГО_спр,2,FALSE),IFERROR(VLOOKUP(AL900,УГО_спр,2,FALSE),IFERROR(VLOOKUP(LEFT(AL900,2),УГО_спр,2,FALSE),""))))</f>
      </c>
    </row>
    <row r="901" spans="1:64" x14ac:dyDescent="0.3">
      <c r="A901" s="135">
        <f>IF(Разбивка_по_щитам!F901=0,"",Разбивка_по_щитам!F901)</f>
        <v/>
      </c>
      <c r="B901" s="138">
        <f>IF(A901="","",Разбивка_по_щитам!C901)</f>
        <v/>
      </c>
      <c r="C901" s="138">
        <f t="shared" si="582"/>
        <v/>
      </c>
      <c r="D901" s="266"/>
      <c r="E901" s="266"/>
      <c r="F901" s="267"/>
      <c r="G901" s="145">
        <f t="shared" si="583"/>
        <v/>
      </c>
      <c r="H901" s="145">
        <f t="shared" si="584"/>
        <v/>
      </c>
      <c r="I901" s="266"/>
      <c r="J901" s="267"/>
      <c r="K901" s="267"/>
      <c r="L901" s="266"/>
      <c r="M901" s="147">
        <f t="shared" si="585"/>
        <v/>
      </c>
      <c r="N901" s="267"/>
      <c r="O901" s="147">
        <f t="shared" si="586"/>
        <v/>
      </c>
      <c r="P901" s="268">
        <f>IF(AY901=1,"XT"&amp;COUNTIFS($A$3:A901,A901,$AY$3:AY901,1),"")</f>
        <v/>
      </c>
      <c r="Q901" s="152">
        <f>IF(R901="","",IFERROR(SUBSTITUTE(Разбивка_по_щитам!P901,CHAR(10)," "),""))</f>
        <v/>
      </c>
      <c r="R901" s="153">
        <f>IF(OR(Разбивка_по_щитам!H901="",Разбивка_по_щитам!H901=0),"",Разбивка_по_щитам!H901)</f>
        <v/>
      </c>
      <c r="S901" s="154">
        <f>IF(R901="","",IFERROR(Разбивка_по_щитам!J901&amp;"",""))</f>
        <v/>
      </c>
      <c r="T901" s="155">
        <f>IF(R901="","",IFERROR(--Разбивка_по_щитам!L901,""))</f>
        <v/>
      </c>
      <c r="U901" s="155">
        <f>IF(R901="","",IFERROR(--Разбивка_по_щитам!K901,""))</f>
        <v/>
      </c>
      <c r="V901" s="138">
        <f>IF(R901="","",IFERROR(IF(Разбивка_по_щитам!M901=0,"",Разбивка_по_щитам!M901),""))</f>
        <v/>
      </c>
      <c r="W901" s="156">
        <f t="shared" si="587"/>
        <v/>
      </c>
      <c r="X901" s="157">
        <f t="shared" si="588"/>
        <v/>
      </c>
      <c r="Y901" s="266"/>
      <c r="Z901" s="158">
        <f t="shared" si="589"/>
        <v/>
      </c>
      <c r="AA901" s="160">
        <f t="shared" si="590"/>
        <v/>
      </c>
      <c r="AB901" s="160">
        <f>IF(R901="","",IFERROR(LOOKUP(INDEX(Справочная!$I$4:$I$19,MATCH(VLOOKUP(R901,Исходные_данные,22,FALSE),Справочная!$J$4:$J$19,0)+1),{6,10,16,20,25,32,40,50,63,80,100,125}),""))</f>
        <v/>
      </c>
      <c r="AC901" s="160">
        <f t="shared" si="591"/>
        <v/>
      </c>
      <c r="AD901" s="161">
        <f t="shared" si="592"/>
        <v/>
      </c>
      <c r="AE901" s="161">
        <f>IF(AND(R901="",G901=""),"",_xlfn.TEXTJOIN("; ",TRUE,IF(AND(R901&lt;&gt;"",V901=""),"нет фазы",""),IF(AND(R901&lt;&gt;"",N(T901)=0),"нет мощности",""),IF(AND(P901&lt;&gt;"",COUNTIFS($A$3:$A$1000,A901,$P$3:$P$1000,P901)&gt;1),"дубль клеммы "&amp;P901,""),IF(AND(W901&lt;&gt;"",W901&lt;&gt;"ok"),W901,""),IF(X901&lt;&gt;"",X901,""),IF(AND(ISNUMBER(SEARCH("(5х",Q901)),N(AK901)=1),"5 жил на 1 фазе",""),IF(AND(AL901="R",E901&lt;&gt;"",N(AS901)=0),"розетка без 30 мА",""),IF(IFERROR(_xlfn.NUMBERVALUE(MID(Q901,FIND("-",Q901,FIND("L=",Q901))+1,FIND("%",Q901)-FIND("-",Q901,FIND("L=",Q901))-1),","),0)&gt;4,"потери &gt; 4 %","")))</f>
      </c>
      <c r="AF901" s="129">
        <f>IF(E901&lt;&gt;"",COUNTIFS($A$3:A901,A901,$E$3:E901,"?*"),IF(OR(A901&lt;&gt;A900,Y901="вручную"),"",AF900))</f>
        <v/>
      </c>
      <c r="AG901" s="129">
        <f t="shared" si="593"/>
        <v/>
      </c>
      <c r="AH901" s="129">
        <f t="shared" si="594"/>
        <v/>
      </c>
      <c r="AI901" s="129">
        <f t="shared" si="595"/>
        <v/>
      </c>
      <c r="AJ901" s="129">
        <f t="shared" si="596"/>
        <v/>
      </c>
      <c r="AK901" s="129">
        <f t="shared" si="597"/>
        <v/>
      </c>
      <c r="AL901" s="129">
        <f t="shared" si="598"/>
        <v/>
      </c>
      <c r="AM901" s="129">
        <f t="shared" si="599"/>
      </c>
      <c r="AN901" s="129">
        <f t="shared" si="600"/>
      </c>
      <c r="AO901" s="129">
        <f t="shared" si="601"/>
        <v/>
      </c>
      <c r="AP901" s="129">
        <f t="shared" si="602"/>
        <v/>
      </c>
      <c r="AQ901" s="129">
        <f t="shared" si="603"/>
        <v/>
      </c>
      <c r="AR901" s="129">
        <f t="shared" si="604"/>
        <v/>
      </c>
      <c r="AS901" s="129">
        <f t="shared" si="605"/>
        <v/>
      </c>
      <c r="AT901" s="129">
        <f t="shared" si="606"/>
        <v/>
      </c>
      <c r="AU901" s="129">
        <f t="shared" si="607"/>
        <v/>
      </c>
      <c r="AV901" s="129">
        <f t="shared" si="608"/>
        <v/>
      </c>
      <c r="AW901" s="129">
        <f>IF(AV901="","",AV901&amp;"."&amp;COUNTIFS($A$3:A901,A901,$AV$3:AV901,AV901))</f>
        <v/>
      </c>
      <c r="AX901" s="129">
        <f t="shared" si="609"/>
        <v/>
      </c>
      <c r="AY901" s="129">
        <f>IF(N901="б/к",0,IF(OR(ISNUMBER(SEARCH("L=",Разбивка_по_щитам!P901)),N901="+",N901="="),1,0))</f>
      </c>
      <c r="AZ901" s="129">
        <f t="shared" si="610"/>
        <v/>
      </c>
      <c r="BA901" s="129">
        <f t="shared" si="611"/>
      </c>
      <c r="BB901" s="129">
        <f t="shared" si="612"/>
      </c>
      <c r="BD901" s="129">
        <f t="shared" si="613"/>
      </c>
      <c r="BE901" s="129">
        <f t="shared" si="614"/>
      </c>
      <c r="BF901" s="129">
        <f t="shared" si="615"/>
      </c>
      <c r="BG901" s="129">
        <f t="shared" si="616"/>
        <v/>
      </c>
      <c r="BH901" s="129">
        <f t="shared" si="617"/>
        <v/>
      </c>
      <c r="BI901" s="129">
        <f t="shared" si="618"/>
        <v/>
      </c>
      <c r="BJ901" s="129">
        <f t="shared" si="619"/>
        <v/>
      </c>
      <c r="BK901" s="129">
        <f>IF(R901="","",IF(OR(BY901="",BY901=0),"BOX",IFERROR(IF(VLOOKUP(BY901,УГО_блоки,3,FALSE)&amp;""&lt;&gt;"",VLOOKUP(BY901,УГО_блоки,3,FALSE),VLOOKUP(BY901,УГО_блоки,2,FALSE)),BY901)))</f>
      </c>
      <c r="BL901" s="129">
        <f t="shared" si="621"/>
      </c>
      <c r="BM901" s="129">
        <f>IF(H901="","",IF(COUNTIF($H$3:H901,H901)=1,MAX($BM$2:BM900)+1,""))</f>
      </c>
      <c r="BN901" s="129">
        <f>IF(I901="","",IF(COUNTIF($I$3:I901,I901)+COUNTIF($J$2:J900,I901)+COUNTIF($K$2:K900,I901)=1,MAX($BN$2:BP900)+1,""))</f>
      </c>
      <c r="BO901" s="129">
        <f>IF(J901="","",IF(COUNTIF($I$3:I901,J901)+COUNTIF($J$3:J901,J901)+COUNTIF($K$2:K900,J901)=1,MAX($BN$2:BP900,BN901)+1,""))</f>
      </c>
      <c r="BP901" s="129">
        <f>IF(K901="","",IF(COUNTIF($I$3:I901,K901)+COUNTIF($J$3:J901,K901)+COUNTIF($K$3:K901,K901)=1,MAX($BN$2:BP900,BN901,BO901)+1,""))</f>
      </c>
      <c r="BQ901" s="129">
        <f>IF(AY901=1,IFERROR(MID(Q901,FIND(" (",Q901)+2,FIND(")",Q901,FIND(" (",Q901))-FIND(" (",Q901)-2),"?"),"")</f>
      </c>
      <c r="BR901" s="129">
        <f>IF(BQ901="","",IF(COUNTIF($BQ$3:BQ901,BQ901)=1,MAX($BR$2:BR900)+1,""))</f>
      </c>
      <c r="BS901" s="129">
        <f>IF(AW901="","",COUNTIF($AW$3:AW901,"?*"))</f>
      </c>
      <c r="BT901" s="129">
        <f>IF(OR(AW901="",AI901=""),"",IF(COUNTIFS($AW$3:AW901,"?*",$AI$3:AI901,AI901)=1,MAX($BT$2:BT900)+1,""))</f>
      </c>
      <c r="BU901" s="129">
        <f>IF(AE901="",0,IF(OR(ISNUMBER(SEARCH("дубль",AE901)),ISNUMBER(SEARCH("ПЕРЕГРУЗ",AE901)),ISNUMBER(SEARCH("ЗАЩИЩ",AE901)),ISNUMBER(SEARCH("КАНАЛ",AE901)),ISNUMBER(SEARCH("без 30",AE901))),2,1))</f>
      </c>
      <c r="BV901" s="129">
        <f>IF(R901="","",COUNTIF($R$3:R901,"?*"))</f>
      </c>
      <c r="BW901" s="129">
        <f>IF(AY901&lt;&gt;1,0,IF(MAX(IFERROR(--VLOOKUP(R901,УГО_спр,5,FALSE),0),IFERROR(--VLOOKUP(AL901,УГО_спр,5,FALSE),0),IFERROR(--VLOOKUP(LEFT(AL901,2),УГО_спр,5,FALSE),0))&gt;0,MAX(IFERROR(--VLOOKUP(R901,УГО_спр,5,FALSE),0),IFERROR(--VLOOKUP(AL901,УГО_спр,5,FALSE),0),IFERROR(--VLOOKUP(LEFT(AL901,2),УГО_спр,5,FALSE),0)),IF(IFERROR(--LEFT(SUBSTITUTE(BQ901,"x","х"),FIND("х",SUBSTITUTE(BQ901,"x","х"))-1),3)&gt;3,Каталог!$S$9,1)))</f>
      </c>
      <c r="BX901" s="129">
        <f>IF(AY901&lt;&gt;1,0,MAX(0,IFERROR(--LEFT(SUBSTITUTE(BQ901,"x","х"),FIND("х",SUBSTITUTE(BQ901,"x","х"))-1),3)-3*BW901))</f>
      </c>
      <c r="BY901" s="129">
        <f>IF(R901="","",IFERROR(VLOOKUP(R901,УГО_спр,2,FALSE),IFERROR(VLOOKUP(AL901,УГО_спр,2,FALSE),IFERROR(VLOOKUP(LEFT(AL901,2),УГО_спр,2,FALSE),""))))</f>
      </c>
    </row>
    <row r="902" spans="1:64" x14ac:dyDescent="0.3">
      <c r="A902" s="135">
        <f>IF(Разбивка_по_щитам!F902=0,"",Разбивка_по_щитам!F902)</f>
        <v/>
      </c>
      <c r="B902" s="138">
        <f>IF(A902="","",Разбивка_по_щитам!C902)</f>
        <v/>
      </c>
      <c r="C902" s="138">
        <f t="shared" si="582"/>
        <v/>
      </c>
      <c r="D902" s="266"/>
      <c r="E902" s="266"/>
      <c r="F902" s="267"/>
      <c r="G902" s="145">
        <f t="shared" si="583"/>
        <v/>
      </c>
      <c r="H902" s="145">
        <f t="shared" si="584"/>
        <v/>
      </c>
      <c r="I902" s="266"/>
      <c r="J902" s="267"/>
      <c r="K902" s="267"/>
      <c r="L902" s="266"/>
      <c r="M902" s="147">
        <f t="shared" si="585"/>
        <v/>
      </c>
      <c r="N902" s="267"/>
      <c r="O902" s="147">
        <f t="shared" si="586"/>
        <v/>
      </c>
      <c r="P902" s="268">
        <f>IF(AY902=1,"XT"&amp;COUNTIFS($A$3:A902,A902,$AY$3:AY902,1),"")</f>
        <v/>
      </c>
      <c r="Q902" s="152">
        <f>IF(R902="","",IFERROR(SUBSTITUTE(Разбивка_по_щитам!P902,CHAR(10)," "),""))</f>
        <v/>
      </c>
      <c r="R902" s="153">
        <f>IF(OR(Разбивка_по_щитам!H902="",Разбивка_по_щитам!H902=0),"",Разбивка_по_щитам!H902)</f>
        <v/>
      </c>
      <c r="S902" s="154">
        <f>IF(R902="","",IFERROR(Разбивка_по_щитам!J902&amp;"",""))</f>
        <v/>
      </c>
      <c r="T902" s="155">
        <f>IF(R902="","",IFERROR(--Разбивка_по_щитам!L902,""))</f>
        <v/>
      </c>
      <c r="U902" s="155">
        <f>IF(R902="","",IFERROR(--Разбивка_по_щитам!K902,""))</f>
        <v/>
      </c>
      <c r="V902" s="138">
        <f>IF(R902="","",IFERROR(IF(Разбивка_по_щитам!M902=0,"",Разбивка_по_щитам!M902),""))</f>
        <v/>
      </c>
      <c r="W902" s="156">
        <f t="shared" si="587"/>
        <v/>
      </c>
      <c r="X902" s="157">
        <f t="shared" si="588"/>
        <v/>
      </c>
      <c r="Y902" s="266"/>
      <c r="Z902" s="158">
        <f t="shared" si="589"/>
        <v/>
      </c>
      <c r="AA902" s="160">
        <f t="shared" si="590"/>
        <v/>
      </c>
      <c r="AB902" s="160">
        <f>IF(R902="","",IFERROR(LOOKUP(INDEX(Справочная!$I$4:$I$19,MATCH(VLOOKUP(R902,Исходные_данные,22,FALSE),Справочная!$J$4:$J$19,0)+1),{6,10,16,20,25,32,40,50,63,80,100,125}),""))</f>
        <v/>
      </c>
      <c r="AC902" s="160">
        <f t="shared" si="591"/>
        <v/>
      </c>
      <c r="AD902" s="161">
        <f t="shared" si="592"/>
        <v/>
      </c>
      <c r="AE902" s="161">
        <f>IF(AND(R902="",G902=""),"",_xlfn.TEXTJOIN("; ",TRUE,IF(AND(R902&lt;&gt;"",V902=""),"нет фазы",""),IF(AND(R902&lt;&gt;"",N(T902)=0),"нет мощности",""),IF(AND(P902&lt;&gt;"",COUNTIFS($A$3:$A$1000,A902,$P$3:$P$1000,P902)&gt;1),"дубль клеммы "&amp;P902,""),IF(AND(W902&lt;&gt;"",W902&lt;&gt;"ok"),W902,""),IF(X902&lt;&gt;"",X902,""),IF(AND(ISNUMBER(SEARCH("(5х",Q902)),N(AK902)=1),"5 жил на 1 фазе",""),IF(AND(AL902="R",E902&lt;&gt;"",N(AS902)=0),"розетка без 30 мА",""),IF(IFERROR(_xlfn.NUMBERVALUE(MID(Q902,FIND("-",Q902,FIND("L=",Q902))+1,FIND("%",Q902)-FIND("-",Q902,FIND("L=",Q902))-1),","),0)&gt;4,"потери &gt; 4 %","")))</f>
      </c>
      <c r="AF902" s="129">
        <f>IF(E902&lt;&gt;"",COUNTIFS($A$3:A902,A902,$E$3:E902,"?*"),IF(OR(A902&lt;&gt;A901,Y902="вручную"),"",AF901))</f>
        <v/>
      </c>
      <c r="AG902" s="129">
        <f t="shared" si="593"/>
        <v/>
      </c>
      <c r="AH902" s="129">
        <f t="shared" si="594"/>
        <v/>
      </c>
      <c r="AI902" s="129">
        <f t="shared" si="595"/>
        <v/>
      </c>
      <c r="AJ902" s="129">
        <f t="shared" si="596"/>
        <v/>
      </c>
      <c r="AK902" s="129">
        <f t="shared" si="597"/>
        <v/>
      </c>
      <c r="AL902" s="129">
        <f t="shared" si="598"/>
        <v/>
      </c>
      <c r="AM902" s="129">
        <f t="shared" si="599"/>
      </c>
      <c r="AN902" s="129">
        <f t="shared" si="600"/>
      </c>
      <c r="AO902" s="129">
        <f t="shared" si="601"/>
        <v/>
      </c>
      <c r="AP902" s="129">
        <f t="shared" si="602"/>
        <v/>
      </c>
      <c r="AQ902" s="129">
        <f t="shared" si="603"/>
        <v/>
      </c>
      <c r="AR902" s="129">
        <f t="shared" si="604"/>
        <v/>
      </c>
      <c r="AS902" s="129">
        <f t="shared" si="605"/>
        <v/>
      </c>
      <c r="AT902" s="129">
        <f t="shared" si="606"/>
        <v/>
      </c>
      <c r="AU902" s="129">
        <f t="shared" si="607"/>
        <v/>
      </c>
      <c r="AV902" s="129">
        <f t="shared" si="608"/>
        <v/>
      </c>
      <c r="AW902" s="129">
        <f>IF(AV902="","",AV902&amp;"."&amp;COUNTIFS($A$3:A902,A902,$AV$3:AV902,AV902))</f>
        <v/>
      </c>
      <c r="AX902" s="129">
        <f t="shared" si="609"/>
        <v/>
      </c>
      <c r="AY902" s="129">
        <f>IF(N902="б/к",0,IF(OR(ISNUMBER(SEARCH("L=",Разбивка_по_щитам!P902)),N902="+",N902="="),1,0))</f>
      </c>
      <c r="AZ902" s="129">
        <f t="shared" si="610"/>
        <v/>
      </c>
      <c r="BA902" s="129">
        <f t="shared" si="611"/>
      </c>
      <c r="BB902" s="129">
        <f t="shared" si="612"/>
      </c>
      <c r="BD902" s="129">
        <f t="shared" si="613"/>
      </c>
      <c r="BE902" s="129">
        <f t="shared" si="614"/>
      </c>
      <c r="BF902" s="129">
        <f t="shared" si="615"/>
      </c>
      <c r="BG902" s="129">
        <f t="shared" si="616"/>
        <v/>
      </c>
      <c r="BH902" s="129">
        <f t="shared" si="617"/>
        <v/>
      </c>
      <c r="BI902" s="129">
        <f t="shared" si="618"/>
        <v/>
      </c>
      <c r="BJ902" s="129">
        <f t="shared" si="619"/>
        <v/>
      </c>
      <c r="BK902" s="129">
        <f>IF(R902="","",IF(OR(BY902="",BY902=0),"BOX",IFERROR(IF(VLOOKUP(BY902,УГО_блоки,3,FALSE)&amp;""&lt;&gt;"",VLOOKUP(BY902,УГО_блоки,3,FALSE),VLOOKUP(BY902,УГО_блоки,2,FALSE)),BY902)))</f>
      </c>
      <c r="BL902" s="129">
        <f t="shared" si="621"/>
      </c>
      <c r="BM902" s="129">
        <f>IF(H902="","",IF(COUNTIF($H$3:H902,H902)=1,MAX($BM$2:BM901)+1,""))</f>
      </c>
      <c r="BN902" s="129">
        <f>IF(I902="","",IF(COUNTIF($I$3:I902,I902)+COUNTIF($J$2:J901,I902)+COUNTIF($K$2:K901,I902)=1,MAX($BN$2:BP901)+1,""))</f>
      </c>
      <c r="BO902" s="129">
        <f>IF(J902="","",IF(COUNTIF($I$3:I902,J902)+COUNTIF($J$3:J902,J902)+COUNTIF($K$2:K901,J902)=1,MAX($BN$2:BP901,BN902)+1,""))</f>
      </c>
      <c r="BP902" s="129">
        <f>IF(K902="","",IF(COUNTIF($I$3:I902,K902)+COUNTIF($J$3:J902,K902)+COUNTIF($K$3:K902,K902)=1,MAX($BN$2:BP901,BN902,BO902)+1,""))</f>
      </c>
      <c r="BQ902" s="129">
        <f>IF(AY902=1,IFERROR(MID(Q902,FIND(" (",Q902)+2,FIND(")",Q902,FIND(" (",Q902))-FIND(" (",Q902)-2),"?"),"")</f>
      </c>
      <c r="BR902" s="129">
        <f>IF(BQ902="","",IF(COUNTIF($BQ$3:BQ902,BQ902)=1,MAX($BR$2:BR901)+1,""))</f>
      </c>
      <c r="BS902" s="129">
        <f>IF(AW902="","",COUNTIF($AW$3:AW902,"?*"))</f>
      </c>
      <c r="BT902" s="129">
        <f>IF(OR(AW902="",AI902=""),"",IF(COUNTIFS($AW$3:AW902,"?*",$AI$3:AI902,AI902)=1,MAX($BT$2:BT901)+1,""))</f>
      </c>
      <c r="BU902" s="129">
        <f>IF(AE902="",0,IF(OR(ISNUMBER(SEARCH("дубль",AE902)),ISNUMBER(SEARCH("ПЕРЕГРУЗ",AE902)),ISNUMBER(SEARCH("ЗАЩИЩ",AE902)),ISNUMBER(SEARCH("КАНАЛ",AE902)),ISNUMBER(SEARCH("без 30",AE902))),2,1))</f>
      </c>
      <c r="BV902" s="129">
        <f>IF(R902="","",COUNTIF($R$3:R902,"?*"))</f>
      </c>
      <c r="BW902" s="129">
        <f>IF(AY902&lt;&gt;1,0,IF(MAX(IFERROR(--VLOOKUP(R902,УГО_спр,5,FALSE),0),IFERROR(--VLOOKUP(AL902,УГО_спр,5,FALSE),0),IFERROR(--VLOOKUP(LEFT(AL902,2),УГО_спр,5,FALSE),0))&gt;0,MAX(IFERROR(--VLOOKUP(R902,УГО_спр,5,FALSE),0),IFERROR(--VLOOKUP(AL902,УГО_спр,5,FALSE),0),IFERROR(--VLOOKUP(LEFT(AL902,2),УГО_спр,5,FALSE),0)),IF(IFERROR(--LEFT(SUBSTITUTE(BQ902,"x","х"),FIND("х",SUBSTITUTE(BQ902,"x","х"))-1),3)&gt;3,Каталог!$S$9,1)))</f>
      </c>
      <c r="BX902" s="129">
        <f>IF(AY902&lt;&gt;1,0,MAX(0,IFERROR(--LEFT(SUBSTITUTE(BQ902,"x","х"),FIND("х",SUBSTITUTE(BQ902,"x","х"))-1),3)-3*BW902))</f>
      </c>
      <c r="BY902" s="129">
        <f>IF(R902="","",IFERROR(VLOOKUP(R902,УГО_спр,2,FALSE),IFERROR(VLOOKUP(AL902,УГО_спр,2,FALSE),IFERROR(VLOOKUP(LEFT(AL902,2),УГО_спр,2,FALSE),""))))</f>
      </c>
    </row>
    <row r="903" spans="1:64" x14ac:dyDescent="0.3">
      <c r="A903" s="135">
        <f>IF(Разбивка_по_щитам!F903=0,"",Разбивка_по_щитам!F903)</f>
        <v/>
      </c>
      <c r="B903" s="138">
        <f>IF(A903="","",Разбивка_по_щитам!C903)</f>
        <v/>
      </c>
      <c r="C903" s="138">
        <f t="shared" si="582"/>
        <v/>
      </c>
      <c r="D903" s="266"/>
      <c r="E903" s="266"/>
      <c r="F903" s="267"/>
      <c r="G903" s="145">
        <f t="shared" si="583"/>
        <v/>
      </c>
      <c r="H903" s="145">
        <f t="shared" si="584"/>
        <v/>
      </c>
      <c r="I903" s="266"/>
      <c r="J903" s="267"/>
      <c r="K903" s="267"/>
      <c r="L903" s="266"/>
      <c r="M903" s="147">
        <f t="shared" si="585"/>
        <v/>
      </c>
      <c r="N903" s="267"/>
      <c r="O903" s="147">
        <f t="shared" si="586"/>
        <v/>
      </c>
      <c r="P903" s="268">
        <f>IF(AY903=1,"XT"&amp;COUNTIFS($A$3:A903,A903,$AY$3:AY903,1),"")</f>
        <v/>
      </c>
      <c r="Q903" s="152">
        <f>IF(R903="","",IFERROR(SUBSTITUTE(Разбивка_по_щитам!P903,CHAR(10)," "),""))</f>
        <v/>
      </c>
      <c r="R903" s="153">
        <f>IF(OR(Разбивка_по_щитам!H903="",Разбивка_по_щитам!H903=0),"",Разбивка_по_щитам!H903)</f>
        <v/>
      </c>
      <c r="S903" s="154">
        <f>IF(R903="","",IFERROR(Разбивка_по_щитам!J903&amp;"",""))</f>
        <v/>
      </c>
      <c r="T903" s="155">
        <f>IF(R903="","",IFERROR(--Разбивка_по_щитам!L903,""))</f>
        <v/>
      </c>
      <c r="U903" s="155">
        <f>IF(R903="","",IFERROR(--Разбивка_по_щитам!K903,""))</f>
        <v/>
      </c>
      <c r="V903" s="138">
        <f>IF(R903="","",IFERROR(IF(Разбивка_по_щитам!M903=0,"",Разбивка_по_щитам!M903),""))</f>
        <v/>
      </c>
      <c r="W903" s="156">
        <f t="shared" si="587"/>
        <v/>
      </c>
      <c r="X903" s="157">
        <f t="shared" si="588"/>
        <v/>
      </c>
      <c r="Y903" s="266"/>
      <c r="Z903" s="158">
        <f t="shared" si="589"/>
        <v/>
      </c>
      <c r="AA903" s="160">
        <f t="shared" si="590"/>
        <v/>
      </c>
      <c r="AB903" s="160">
        <f>IF(R903="","",IFERROR(LOOKUP(INDEX(Справочная!$I$4:$I$19,MATCH(VLOOKUP(R903,Исходные_данные,22,FALSE),Справочная!$J$4:$J$19,0)+1),{6,10,16,20,25,32,40,50,63,80,100,125}),""))</f>
        <v/>
      </c>
      <c r="AC903" s="160">
        <f t="shared" si="591"/>
        <v/>
      </c>
      <c r="AD903" s="161">
        <f t="shared" si="592"/>
        <v/>
      </c>
      <c r="AE903" s="161">
        <f>IF(AND(R903="",G903=""),"",_xlfn.TEXTJOIN("; ",TRUE,IF(AND(R903&lt;&gt;"",V903=""),"нет фазы",""),IF(AND(R903&lt;&gt;"",N(T903)=0),"нет мощности",""),IF(AND(P903&lt;&gt;"",COUNTIFS($A$3:$A$1000,A903,$P$3:$P$1000,P903)&gt;1),"дубль клеммы "&amp;P903,""),IF(AND(W903&lt;&gt;"",W903&lt;&gt;"ok"),W903,""),IF(X903&lt;&gt;"",X903,""),IF(AND(ISNUMBER(SEARCH("(5х",Q903)),N(AK903)=1),"5 жил на 1 фазе",""),IF(AND(AL903="R",E903&lt;&gt;"",N(AS903)=0),"розетка без 30 мА",""),IF(IFERROR(_xlfn.NUMBERVALUE(MID(Q903,FIND("-",Q903,FIND("L=",Q903))+1,FIND("%",Q903)-FIND("-",Q903,FIND("L=",Q903))-1),","),0)&gt;4,"потери &gt; 4 %","")))</f>
      </c>
      <c r="AF903" s="129">
        <f>IF(E903&lt;&gt;"",COUNTIFS($A$3:A903,A903,$E$3:E903,"?*"),IF(OR(A903&lt;&gt;A902,Y903="вручную"),"",AF902))</f>
        <v/>
      </c>
      <c r="AG903" s="129">
        <f t="shared" si="593"/>
        <v/>
      </c>
      <c r="AH903" s="129">
        <f t="shared" si="594"/>
        <v/>
      </c>
      <c r="AI903" s="129">
        <f t="shared" si="595"/>
        <v/>
      </c>
      <c r="AJ903" s="129">
        <f t="shared" si="596"/>
        <v/>
      </c>
      <c r="AK903" s="129">
        <f t="shared" si="597"/>
        <v/>
      </c>
      <c r="AL903" s="129">
        <f t="shared" si="598"/>
        <v/>
      </c>
      <c r="AM903" s="129">
        <f t="shared" si="599"/>
      </c>
      <c r="AN903" s="129">
        <f t="shared" si="600"/>
      </c>
      <c r="AO903" s="129">
        <f t="shared" si="601"/>
        <v/>
      </c>
      <c r="AP903" s="129">
        <f t="shared" si="602"/>
        <v/>
      </c>
      <c r="AQ903" s="129">
        <f t="shared" si="603"/>
        <v/>
      </c>
      <c r="AR903" s="129">
        <f t="shared" si="604"/>
        <v/>
      </c>
      <c r="AS903" s="129">
        <f t="shared" si="605"/>
        <v/>
      </c>
      <c r="AT903" s="129">
        <f t="shared" si="606"/>
        <v/>
      </c>
      <c r="AU903" s="129">
        <f t="shared" si="607"/>
        <v/>
      </c>
      <c r="AV903" s="129">
        <f t="shared" si="608"/>
        <v/>
      </c>
      <c r="AW903" s="129">
        <f>IF(AV903="","",AV903&amp;"."&amp;COUNTIFS($A$3:A903,A903,$AV$3:AV903,AV903))</f>
        <v/>
      </c>
      <c r="AX903" s="129">
        <f t="shared" si="609"/>
        <v/>
      </c>
      <c r="AY903" s="129">
        <f>IF(N903="б/к",0,IF(OR(ISNUMBER(SEARCH("L=",Разбивка_по_щитам!P903)),N903="+",N903="="),1,0))</f>
      </c>
      <c r="AZ903" s="129">
        <f t="shared" si="610"/>
        <v/>
      </c>
      <c r="BA903" s="129">
        <f t="shared" si="611"/>
      </c>
      <c r="BB903" s="129">
        <f t="shared" si="612"/>
      </c>
      <c r="BD903" s="129">
        <f t="shared" si="613"/>
      </c>
      <c r="BE903" s="129">
        <f t="shared" si="614"/>
      </c>
      <c r="BF903" s="129">
        <f t="shared" si="615"/>
      </c>
      <c r="BG903" s="129">
        <f t="shared" si="616"/>
        <v/>
      </c>
      <c r="BH903" s="129">
        <f t="shared" si="617"/>
        <v/>
      </c>
      <c r="BI903" s="129">
        <f t="shared" si="618"/>
        <v/>
      </c>
      <c r="BJ903" s="129">
        <f t="shared" si="619"/>
        <v/>
      </c>
      <c r="BK903" s="129">
        <f>IF(R903="","",IF(OR(BY903="",BY903=0),"BOX",IFERROR(IF(VLOOKUP(BY903,УГО_блоки,3,FALSE)&amp;""&lt;&gt;"",VLOOKUP(BY903,УГО_блоки,3,FALSE),VLOOKUP(BY903,УГО_блоки,2,FALSE)),BY903)))</f>
      </c>
      <c r="BL903" s="129">
        <f t="shared" si="621"/>
      </c>
      <c r="BM903" s="129">
        <f>IF(H903="","",IF(COUNTIF($H$3:H903,H903)=1,MAX($BM$2:BM902)+1,""))</f>
      </c>
      <c r="BN903" s="129">
        <f>IF(I903="","",IF(COUNTIF($I$3:I903,I903)+COUNTIF($J$2:J902,I903)+COUNTIF($K$2:K902,I903)=1,MAX($BN$2:BP902)+1,""))</f>
      </c>
      <c r="BO903" s="129">
        <f>IF(J903="","",IF(COUNTIF($I$3:I903,J903)+COUNTIF($J$3:J903,J903)+COUNTIF($K$2:K902,J903)=1,MAX($BN$2:BP902,BN903)+1,""))</f>
      </c>
      <c r="BP903" s="129">
        <f>IF(K903="","",IF(COUNTIF($I$3:I903,K903)+COUNTIF($J$3:J903,K903)+COUNTIF($K$3:K903,K903)=1,MAX($BN$2:BP902,BN903,BO903)+1,""))</f>
      </c>
      <c r="BQ903" s="129">
        <f>IF(AY903=1,IFERROR(MID(Q903,FIND(" (",Q903)+2,FIND(")",Q903,FIND(" (",Q903))-FIND(" (",Q903)-2),"?"),"")</f>
      </c>
      <c r="BR903" s="129">
        <f>IF(BQ903="","",IF(COUNTIF($BQ$3:BQ903,BQ903)=1,MAX($BR$2:BR902)+1,""))</f>
      </c>
      <c r="BS903" s="129">
        <f>IF(AW903="","",COUNTIF($AW$3:AW903,"?*"))</f>
      </c>
      <c r="BT903" s="129">
        <f>IF(OR(AW903="",AI903=""),"",IF(COUNTIFS($AW$3:AW903,"?*",$AI$3:AI903,AI903)=1,MAX($BT$2:BT902)+1,""))</f>
      </c>
      <c r="BU903" s="129">
        <f>IF(AE903="",0,IF(OR(ISNUMBER(SEARCH("дубль",AE903)),ISNUMBER(SEARCH("ПЕРЕГРУЗ",AE903)),ISNUMBER(SEARCH("ЗАЩИЩ",AE903)),ISNUMBER(SEARCH("КАНАЛ",AE903)),ISNUMBER(SEARCH("без 30",AE903))),2,1))</f>
      </c>
      <c r="BV903" s="129">
        <f>IF(R903="","",COUNTIF($R$3:R903,"?*"))</f>
      </c>
      <c r="BW903" s="129">
        <f>IF(AY903&lt;&gt;1,0,IF(MAX(IFERROR(--VLOOKUP(R903,УГО_спр,5,FALSE),0),IFERROR(--VLOOKUP(AL903,УГО_спр,5,FALSE),0),IFERROR(--VLOOKUP(LEFT(AL903,2),УГО_спр,5,FALSE),0))&gt;0,MAX(IFERROR(--VLOOKUP(R903,УГО_спр,5,FALSE),0),IFERROR(--VLOOKUP(AL903,УГО_спр,5,FALSE),0),IFERROR(--VLOOKUP(LEFT(AL903,2),УГО_спр,5,FALSE),0)),IF(IFERROR(--LEFT(SUBSTITUTE(BQ903,"x","х"),FIND("х",SUBSTITUTE(BQ903,"x","х"))-1),3)&gt;3,Каталог!$S$9,1)))</f>
      </c>
      <c r="BX903" s="129">
        <f>IF(AY903&lt;&gt;1,0,MAX(0,IFERROR(--LEFT(SUBSTITUTE(BQ903,"x","х"),FIND("х",SUBSTITUTE(BQ903,"x","х"))-1),3)-3*BW903))</f>
      </c>
      <c r="BY903" s="129">
        <f>IF(R903="","",IFERROR(VLOOKUP(R903,УГО_спр,2,FALSE),IFERROR(VLOOKUP(AL903,УГО_спр,2,FALSE),IFERROR(VLOOKUP(LEFT(AL903,2),УГО_спр,2,FALSE),""))))</f>
      </c>
    </row>
    <row r="904" spans="1:64" x14ac:dyDescent="0.3">
      <c r="A904" s="135">
        <f>IF(Разбивка_по_щитам!F904=0,"",Разбивка_по_щитам!F904)</f>
        <v/>
      </c>
      <c r="B904" s="138">
        <f>IF(A904="","",Разбивка_по_щитам!C904)</f>
        <v/>
      </c>
      <c r="C904" s="138">
        <f t="shared" si="582"/>
        <v/>
      </c>
      <c r="D904" s="266"/>
      <c r="E904" s="266"/>
      <c r="F904" s="267"/>
      <c r="G904" s="145">
        <f t="shared" si="583"/>
        <v/>
      </c>
      <c r="H904" s="145">
        <f t="shared" si="584"/>
        <v/>
      </c>
      <c r="I904" s="266"/>
      <c r="J904" s="267"/>
      <c r="K904" s="267"/>
      <c r="L904" s="266"/>
      <c r="M904" s="147">
        <f t="shared" si="585"/>
        <v/>
      </c>
      <c r="N904" s="267"/>
      <c r="O904" s="147">
        <f t="shared" si="586"/>
        <v/>
      </c>
      <c r="P904" s="268">
        <f>IF(AY904=1,"XT"&amp;COUNTIFS($A$3:A904,A904,$AY$3:AY904,1),"")</f>
        <v/>
      </c>
      <c r="Q904" s="152">
        <f>IF(R904="","",IFERROR(SUBSTITUTE(Разбивка_по_щитам!P904,CHAR(10)," "),""))</f>
        <v/>
      </c>
      <c r="R904" s="153">
        <f>IF(OR(Разбивка_по_щитам!H904="",Разбивка_по_щитам!H904=0),"",Разбивка_по_щитам!H904)</f>
        <v/>
      </c>
      <c r="S904" s="154">
        <f>IF(R904="","",IFERROR(Разбивка_по_щитам!J904&amp;"",""))</f>
        <v/>
      </c>
      <c r="T904" s="155">
        <f>IF(R904="","",IFERROR(--Разбивка_по_щитам!L904,""))</f>
        <v/>
      </c>
      <c r="U904" s="155">
        <f>IF(R904="","",IFERROR(--Разбивка_по_щитам!K904,""))</f>
        <v/>
      </c>
      <c r="V904" s="138">
        <f>IF(R904="","",IFERROR(IF(Разбивка_по_щитам!M904=0,"",Разбивка_по_щитам!M904),""))</f>
        <v/>
      </c>
      <c r="W904" s="156">
        <f t="shared" si="587"/>
        <v/>
      </c>
      <c r="X904" s="157">
        <f t="shared" si="588"/>
        <v/>
      </c>
      <c r="Y904" s="266"/>
      <c r="Z904" s="158">
        <f t="shared" si="589"/>
        <v/>
      </c>
      <c r="AA904" s="160">
        <f t="shared" si="590"/>
        <v/>
      </c>
      <c r="AB904" s="160">
        <f>IF(R904="","",IFERROR(LOOKUP(INDEX(Справочная!$I$4:$I$19,MATCH(VLOOKUP(R904,Исходные_данные,22,FALSE),Справочная!$J$4:$J$19,0)+1),{6,10,16,20,25,32,40,50,63,80,100,125}),""))</f>
        <v/>
      </c>
      <c r="AC904" s="160">
        <f t="shared" si="591"/>
        <v/>
      </c>
      <c r="AD904" s="161">
        <f t="shared" si="592"/>
        <v/>
      </c>
      <c r="AE904" s="161">
        <f>IF(AND(R904="",G904=""),"",_xlfn.TEXTJOIN("; ",TRUE,IF(AND(R904&lt;&gt;"",V904=""),"нет фазы",""),IF(AND(R904&lt;&gt;"",N(T904)=0),"нет мощности",""),IF(AND(P904&lt;&gt;"",COUNTIFS($A$3:$A$1000,A904,$P$3:$P$1000,P904)&gt;1),"дубль клеммы "&amp;P904,""),IF(AND(W904&lt;&gt;"",W904&lt;&gt;"ok"),W904,""),IF(X904&lt;&gt;"",X904,""),IF(AND(ISNUMBER(SEARCH("(5х",Q904)),N(AK904)=1),"5 жил на 1 фазе",""),IF(AND(AL904="R",E904&lt;&gt;"",N(AS904)=0),"розетка без 30 мА",""),IF(IFERROR(_xlfn.NUMBERVALUE(MID(Q904,FIND("-",Q904,FIND("L=",Q904))+1,FIND("%",Q904)-FIND("-",Q904,FIND("L=",Q904))-1),","),0)&gt;4,"потери &gt; 4 %","")))</f>
      </c>
      <c r="AF904" s="129">
        <f>IF(E904&lt;&gt;"",COUNTIFS($A$3:A904,A904,$E$3:E904,"?*"),IF(OR(A904&lt;&gt;A903,Y904="вручную"),"",AF903))</f>
        <v/>
      </c>
      <c r="AG904" s="129">
        <f t="shared" si="593"/>
        <v/>
      </c>
      <c r="AH904" s="129">
        <f t="shared" si="594"/>
        <v/>
      </c>
      <c r="AI904" s="129">
        <f t="shared" si="595"/>
        <v/>
      </c>
      <c r="AJ904" s="129">
        <f t="shared" si="596"/>
        <v/>
      </c>
      <c r="AK904" s="129">
        <f t="shared" si="597"/>
        <v/>
      </c>
      <c r="AL904" s="129">
        <f t="shared" si="598"/>
        <v/>
      </c>
      <c r="AM904" s="129">
        <f t="shared" si="599"/>
      </c>
      <c r="AN904" s="129">
        <f t="shared" si="600"/>
      </c>
      <c r="AO904" s="129">
        <f t="shared" si="601"/>
        <v/>
      </c>
      <c r="AP904" s="129">
        <f t="shared" si="602"/>
        <v/>
      </c>
      <c r="AQ904" s="129">
        <f t="shared" si="603"/>
        <v/>
      </c>
      <c r="AR904" s="129">
        <f t="shared" si="604"/>
        <v/>
      </c>
      <c r="AS904" s="129">
        <f t="shared" si="605"/>
        <v/>
      </c>
      <c r="AT904" s="129">
        <f t="shared" si="606"/>
        <v/>
      </c>
      <c r="AU904" s="129">
        <f t="shared" si="607"/>
        <v/>
      </c>
      <c r="AV904" s="129">
        <f t="shared" si="608"/>
        <v/>
      </c>
      <c r="AW904" s="129">
        <f>IF(AV904="","",AV904&amp;"."&amp;COUNTIFS($A$3:A904,A904,$AV$3:AV904,AV904))</f>
        <v/>
      </c>
      <c r="AX904" s="129">
        <f t="shared" si="609"/>
        <v/>
      </c>
      <c r="AY904" s="129">
        <f>IF(N904="б/к",0,IF(OR(ISNUMBER(SEARCH("L=",Разбивка_по_щитам!P904)),N904="+",N904="="),1,0))</f>
      </c>
      <c r="AZ904" s="129">
        <f t="shared" si="610"/>
        <v/>
      </c>
      <c r="BA904" s="129">
        <f t="shared" si="611"/>
      </c>
      <c r="BB904" s="129">
        <f t="shared" si="612"/>
      </c>
      <c r="BD904" s="129">
        <f t="shared" si="613"/>
      </c>
      <c r="BE904" s="129">
        <f t="shared" si="614"/>
      </c>
      <c r="BF904" s="129">
        <f t="shared" si="615"/>
      </c>
      <c r="BG904" s="129">
        <f t="shared" si="616"/>
        <v/>
      </c>
      <c r="BH904" s="129">
        <f t="shared" si="617"/>
        <v/>
      </c>
      <c r="BI904" s="129">
        <f t="shared" si="618"/>
        <v/>
      </c>
      <c r="BJ904" s="129">
        <f t="shared" si="619"/>
        <v/>
      </c>
      <c r="BK904" s="129">
        <f>IF(R904="","",IF(OR(BY904="",BY904=0),"BOX",IFERROR(IF(VLOOKUP(BY904,УГО_блоки,3,FALSE)&amp;""&lt;&gt;"",VLOOKUP(BY904,УГО_блоки,3,FALSE),VLOOKUP(BY904,УГО_блоки,2,FALSE)),BY904)))</f>
      </c>
      <c r="BL904" s="129">
        <f t="shared" si="621"/>
      </c>
      <c r="BM904" s="129">
        <f>IF(H904="","",IF(COUNTIF($H$3:H904,H904)=1,MAX($BM$2:BM903)+1,""))</f>
      </c>
      <c r="BN904" s="129">
        <f>IF(I904="","",IF(COUNTIF($I$3:I904,I904)+COUNTIF($J$2:J903,I904)+COUNTIF($K$2:K903,I904)=1,MAX($BN$2:BP903)+1,""))</f>
      </c>
      <c r="BO904" s="129">
        <f>IF(J904="","",IF(COUNTIF($I$3:I904,J904)+COUNTIF($J$3:J904,J904)+COUNTIF($K$2:K903,J904)=1,MAX($BN$2:BP903,BN904)+1,""))</f>
      </c>
      <c r="BP904" s="129">
        <f>IF(K904="","",IF(COUNTIF($I$3:I904,K904)+COUNTIF($J$3:J904,K904)+COUNTIF($K$3:K904,K904)=1,MAX($BN$2:BP903,BN904,BO904)+1,""))</f>
      </c>
      <c r="BQ904" s="129">
        <f>IF(AY904=1,IFERROR(MID(Q904,FIND(" (",Q904)+2,FIND(")",Q904,FIND(" (",Q904))-FIND(" (",Q904)-2),"?"),"")</f>
      </c>
      <c r="BR904" s="129">
        <f>IF(BQ904="","",IF(COUNTIF($BQ$3:BQ904,BQ904)=1,MAX($BR$2:BR903)+1,""))</f>
      </c>
      <c r="BS904" s="129">
        <f>IF(AW904="","",COUNTIF($AW$3:AW904,"?*"))</f>
      </c>
      <c r="BT904" s="129">
        <f>IF(OR(AW904="",AI904=""),"",IF(COUNTIFS($AW$3:AW904,"?*",$AI$3:AI904,AI904)=1,MAX($BT$2:BT903)+1,""))</f>
      </c>
      <c r="BU904" s="129">
        <f>IF(AE904="",0,IF(OR(ISNUMBER(SEARCH("дубль",AE904)),ISNUMBER(SEARCH("ПЕРЕГРУЗ",AE904)),ISNUMBER(SEARCH("ЗАЩИЩ",AE904)),ISNUMBER(SEARCH("КАНАЛ",AE904)),ISNUMBER(SEARCH("без 30",AE904))),2,1))</f>
      </c>
      <c r="BV904" s="129">
        <f>IF(R904="","",COUNTIF($R$3:R904,"?*"))</f>
      </c>
      <c r="BW904" s="129">
        <f>IF(AY904&lt;&gt;1,0,IF(MAX(IFERROR(--VLOOKUP(R904,УГО_спр,5,FALSE),0),IFERROR(--VLOOKUP(AL904,УГО_спр,5,FALSE),0),IFERROR(--VLOOKUP(LEFT(AL904,2),УГО_спр,5,FALSE),0))&gt;0,MAX(IFERROR(--VLOOKUP(R904,УГО_спр,5,FALSE),0),IFERROR(--VLOOKUP(AL904,УГО_спр,5,FALSE),0),IFERROR(--VLOOKUP(LEFT(AL904,2),УГО_спр,5,FALSE),0)),IF(IFERROR(--LEFT(SUBSTITUTE(BQ904,"x","х"),FIND("х",SUBSTITUTE(BQ904,"x","х"))-1),3)&gt;3,Каталог!$S$9,1)))</f>
      </c>
      <c r="BX904" s="129">
        <f>IF(AY904&lt;&gt;1,0,MAX(0,IFERROR(--LEFT(SUBSTITUTE(BQ904,"x","х"),FIND("х",SUBSTITUTE(BQ904,"x","х"))-1),3)-3*BW904))</f>
      </c>
      <c r="BY904" s="129">
        <f>IF(R904="","",IFERROR(VLOOKUP(R904,УГО_спр,2,FALSE),IFERROR(VLOOKUP(AL904,УГО_спр,2,FALSE),IFERROR(VLOOKUP(LEFT(AL904,2),УГО_спр,2,FALSE),""))))</f>
      </c>
    </row>
    <row r="905" spans="1:64" x14ac:dyDescent="0.3">
      <c r="A905" s="135">
        <f>IF(Разбивка_по_щитам!F905=0,"",Разбивка_по_щитам!F905)</f>
        <v/>
      </c>
      <c r="B905" s="138">
        <f>IF(A905="","",Разбивка_по_щитам!C905)</f>
        <v/>
      </c>
      <c r="C905" s="138">
        <f t="shared" si="582"/>
        <v/>
      </c>
      <c r="D905" s="266"/>
      <c r="E905" s="266"/>
      <c r="F905" s="267"/>
      <c r="G905" s="145">
        <f t="shared" si="583"/>
        <v/>
      </c>
      <c r="H905" s="145">
        <f t="shared" si="584"/>
        <v/>
      </c>
      <c r="I905" s="266"/>
      <c r="J905" s="267"/>
      <c r="K905" s="267"/>
      <c r="L905" s="266"/>
      <c r="M905" s="147">
        <f t="shared" si="585"/>
        <v/>
      </c>
      <c r="N905" s="267"/>
      <c r="O905" s="147">
        <f t="shared" si="586"/>
        <v/>
      </c>
      <c r="P905" s="268">
        <f>IF(AY905=1,"XT"&amp;COUNTIFS($A$3:A905,A905,$AY$3:AY905,1),"")</f>
        <v/>
      </c>
      <c r="Q905" s="152">
        <f>IF(R905="","",IFERROR(SUBSTITUTE(Разбивка_по_щитам!P905,CHAR(10)," "),""))</f>
        <v/>
      </c>
      <c r="R905" s="153">
        <f>IF(OR(Разбивка_по_щитам!H905="",Разбивка_по_щитам!H905=0),"",Разбивка_по_щитам!H905)</f>
        <v/>
      </c>
      <c r="S905" s="154">
        <f>IF(R905="","",IFERROR(Разбивка_по_щитам!J905&amp;"",""))</f>
        <v/>
      </c>
      <c r="T905" s="155">
        <f>IF(R905="","",IFERROR(--Разбивка_по_щитам!L905,""))</f>
        <v/>
      </c>
      <c r="U905" s="155">
        <f>IF(R905="","",IFERROR(--Разбивка_по_щитам!K905,""))</f>
        <v/>
      </c>
      <c r="V905" s="138">
        <f>IF(R905="","",IFERROR(IF(Разбивка_по_щитам!M905=0,"",Разбивка_по_щитам!M905),""))</f>
        <v/>
      </c>
      <c r="W905" s="156">
        <f t="shared" si="587"/>
        <v/>
      </c>
      <c r="X905" s="157">
        <f t="shared" si="588"/>
        <v/>
      </c>
      <c r="Y905" s="266"/>
      <c r="Z905" s="158">
        <f t="shared" si="589"/>
        <v/>
      </c>
      <c r="AA905" s="160">
        <f t="shared" si="590"/>
        <v/>
      </c>
      <c r="AB905" s="160">
        <f>IF(R905="","",IFERROR(LOOKUP(INDEX(Справочная!$I$4:$I$19,MATCH(VLOOKUP(R905,Исходные_данные,22,FALSE),Справочная!$J$4:$J$19,0)+1),{6,10,16,20,25,32,40,50,63,80,100,125}),""))</f>
        <v/>
      </c>
      <c r="AC905" s="160">
        <f t="shared" si="591"/>
        <v/>
      </c>
      <c r="AD905" s="161">
        <f t="shared" si="592"/>
        <v/>
      </c>
      <c r="AE905" s="161">
        <f>IF(AND(R905="",G905=""),"",_xlfn.TEXTJOIN("; ",TRUE,IF(AND(R905&lt;&gt;"",V905=""),"нет фазы",""),IF(AND(R905&lt;&gt;"",N(T905)=0),"нет мощности",""),IF(AND(P905&lt;&gt;"",COUNTIFS($A$3:$A$1000,A905,$P$3:$P$1000,P905)&gt;1),"дубль клеммы "&amp;P905,""),IF(AND(W905&lt;&gt;"",W905&lt;&gt;"ok"),W905,""),IF(X905&lt;&gt;"",X905,""),IF(AND(ISNUMBER(SEARCH("(5х",Q905)),N(AK905)=1),"5 жил на 1 фазе",""),IF(AND(AL905="R",E905&lt;&gt;"",N(AS905)=0),"розетка без 30 мА",""),IF(IFERROR(_xlfn.NUMBERVALUE(MID(Q905,FIND("-",Q905,FIND("L=",Q905))+1,FIND("%",Q905)-FIND("-",Q905,FIND("L=",Q905))-1),","),0)&gt;4,"потери &gt; 4 %","")))</f>
      </c>
      <c r="AF905" s="129">
        <f>IF(E905&lt;&gt;"",COUNTIFS($A$3:A905,A905,$E$3:E905,"?*"),IF(OR(A905&lt;&gt;A904,Y905="вручную"),"",AF904))</f>
        <v/>
      </c>
      <c r="AG905" s="129">
        <f t="shared" si="593"/>
        <v/>
      </c>
      <c r="AH905" s="129">
        <f t="shared" si="594"/>
        <v/>
      </c>
      <c r="AI905" s="129">
        <f t="shared" si="595"/>
        <v/>
      </c>
      <c r="AJ905" s="129">
        <f t="shared" si="596"/>
        <v/>
      </c>
      <c r="AK905" s="129">
        <f t="shared" si="597"/>
        <v/>
      </c>
      <c r="AL905" s="129">
        <f t="shared" si="598"/>
        <v/>
      </c>
      <c r="AM905" s="129">
        <f t="shared" si="599"/>
      </c>
      <c r="AN905" s="129">
        <f t="shared" si="600"/>
      </c>
      <c r="AO905" s="129">
        <f t="shared" si="601"/>
        <v/>
      </c>
      <c r="AP905" s="129">
        <f t="shared" si="602"/>
        <v/>
      </c>
      <c r="AQ905" s="129">
        <f t="shared" si="603"/>
        <v/>
      </c>
      <c r="AR905" s="129">
        <f t="shared" si="604"/>
        <v/>
      </c>
      <c r="AS905" s="129">
        <f t="shared" si="605"/>
        <v/>
      </c>
      <c r="AT905" s="129">
        <f t="shared" si="606"/>
        <v/>
      </c>
      <c r="AU905" s="129">
        <f t="shared" si="607"/>
        <v/>
      </c>
      <c r="AV905" s="129">
        <f t="shared" si="608"/>
        <v/>
      </c>
      <c r="AW905" s="129">
        <f>IF(AV905="","",AV905&amp;"."&amp;COUNTIFS($A$3:A905,A905,$AV$3:AV905,AV905))</f>
        <v/>
      </c>
      <c r="AX905" s="129">
        <f t="shared" si="609"/>
        <v/>
      </c>
      <c r="AY905" s="129">
        <f>IF(N905="б/к",0,IF(OR(ISNUMBER(SEARCH("L=",Разбивка_по_щитам!P905)),N905="+",N905="="),1,0))</f>
      </c>
      <c r="AZ905" s="129">
        <f t="shared" si="610"/>
        <v/>
      </c>
      <c r="BA905" s="129">
        <f t="shared" si="611"/>
      </c>
      <c r="BB905" s="129">
        <f t="shared" si="612"/>
      </c>
      <c r="BD905" s="129">
        <f t="shared" si="613"/>
      </c>
      <c r="BE905" s="129">
        <f t="shared" si="614"/>
      </c>
      <c r="BF905" s="129">
        <f t="shared" si="615"/>
      </c>
      <c r="BG905" s="129">
        <f t="shared" si="616"/>
        <v/>
      </c>
      <c r="BH905" s="129">
        <f t="shared" si="617"/>
        <v/>
      </c>
      <c r="BI905" s="129">
        <f t="shared" si="618"/>
        <v/>
      </c>
      <c r="BJ905" s="129">
        <f t="shared" si="619"/>
        <v/>
      </c>
      <c r="BK905" s="129">
        <f>IF(R905="","",IF(OR(BY905="",BY905=0),"BOX",IFERROR(IF(VLOOKUP(BY905,УГО_блоки,3,FALSE)&amp;""&lt;&gt;"",VLOOKUP(BY905,УГО_блоки,3,FALSE),VLOOKUP(BY905,УГО_блоки,2,FALSE)),BY905)))</f>
      </c>
      <c r="BL905" s="129">
        <f t="shared" si="621"/>
      </c>
      <c r="BM905" s="129">
        <f>IF(H905="","",IF(COUNTIF($H$3:H905,H905)=1,MAX($BM$2:BM904)+1,""))</f>
      </c>
      <c r="BN905" s="129">
        <f>IF(I905="","",IF(COUNTIF($I$3:I905,I905)+COUNTIF($J$2:J904,I905)+COUNTIF($K$2:K904,I905)=1,MAX($BN$2:BP904)+1,""))</f>
      </c>
      <c r="BO905" s="129">
        <f>IF(J905="","",IF(COUNTIF($I$3:I905,J905)+COUNTIF($J$3:J905,J905)+COUNTIF($K$2:K904,J905)=1,MAX($BN$2:BP904,BN905)+1,""))</f>
      </c>
      <c r="BP905" s="129">
        <f>IF(K905="","",IF(COUNTIF($I$3:I905,K905)+COUNTIF($J$3:J905,K905)+COUNTIF($K$3:K905,K905)=1,MAX($BN$2:BP904,BN905,BO905)+1,""))</f>
      </c>
      <c r="BQ905" s="129">
        <f>IF(AY905=1,IFERROR(MID(Q905,FIND(" (",Q905)+2,FIND(")",Q905,FIND(" (",Q905))-FIND(" (",Q905)-2),"?"),"")</f>
      </c>
      <c r="BR905" s="129">
        <f>IF(BQ905="","",IF(COUNTIF($BQ$3:BQ905,BQ905)=1,MAX($BR$2:BR904)+1,""))</f>
      </c>
      <c r="BS905" s="129">
        <f>IF(AW905="","",COUNTIF($AW$3:AW905,"?*"))</f>
      </c>
      <c r="BT905" s="129">
        <f>IF(OR(AW905="",AI905=""),"",IF(COUNTIFS($AW$3:AW905,"?*",$AI$3:AI905,AI905)=1,MAX($BT$2:BT904)+1,""))</f>
      </c>
      <c r="BU905" s="129">
        <f>IF(AE905="",0,IF(OR(ISNUMBER(SEARCH("дубль",AE905)),ISNUMBER(SEARCH("ПЕРЕГРУЗ",AE905)),ISNUMBER(SEARCH("ЗАЩИЩ",AE905)),ISNUMBER(SEARCH("КАНАЛ",AE905)),ISNUMBER(SEARCH("без 30",AE905))),2,1))</f>
      </c>
      <c r="BV905" s="129">
        <f>IF(R905="","",COUNTIF($R$3:R905,"?*"))</f>
      </c>
      <c r="BW905" s="129">
        <f>IF(AY905&lt;&gt;1,0,IF(MAX(IFERROR(--VLOOKUP(R905,УГО_спр,5,FALSE),0),IFERROR(--VLOOKUP(AL905,УГО_спр,5,FALSE),0),IFERROR(--VLOOKUP(LEFT(AL905,2),УГО_спр,5,FALSE),0))&gt;0,MAX(IFERROR(--VLOOKUP(R905,УГО_спр,5,FALSE),0),IFERROR(--VLOOKUP(AL905,УГО_спр,5,FALSE),0),IFERROR(--VLOOKUP(LEFT(AL905,2),УГО_спр,5,FALSE),0)),IF(IFERROR(--LEFT(SUBSTITUTE(BQ905,"x","х"),FIND("х",SUBSTITUTE(BQ905,"x","х"))-1),3)&gt;3,Каталог!$S$9,1)))</f>
      </c>
      <c r="BX905" s="129">
        <f>IF(AY905&lt;&gt;1,0,MAX(0,IFERROR(--LEFT(SUBSTITUTE(BQ905,"x","х"),FIND("х",SUBSTITUTE(BQ905,"x","х"))-1),3)-3*BW905))</f>
      </c>
      <c r="BY905" s="129">
        <f>IF(R905="","",IFERROR(VLOOKUP(R905,УГО_спр,2,FALSE),IFERROR(VLOOKUP(AL905,УГО_спр,2,FALSE),IFERROR(VLOOKUP(LEFT(AL905,2),УГО_спр,2,FALSE),""))))</f>
      </c>
    </row>
    <row r="906" spans="1:64" x14ac:dyDescent="0.3">
      <c r="A906" s="135">
        <f>IF(Разбивка_по_щитам!F906=0,"",Разбивка_по_щитам!F906)</f>
        <v/>
      </c>
      <c r="B906" s="138">
        <f>IF(A906="","",Разбивка_по_щитам!C906)</f>
        <v/>
      </c>
      <c r="C906" s="138">
        <f t="shared" si="582"/>
        <v/>
      </c>
      <c r="D906" s="266"/>
      <c r="E906" s="266"/>
      <c r="F906" s="267"/>
      <c r="G906" s="145">
        <f t="shared" si="583"/>
        <v/>
      </c>
      <c r="H906" s="145">
        <f t="shared" si="584"/>
        <v/>
      </c>
      <c r="I906" s="266"/>
      <c r="J906" s="267"/>
      <c r="K906" s="267"/>
      <c r="L906" s="266"/>
      <c r="M906" s="147">
        <f t="shared" si="585"/>
        <v/>
      </c>
      <c r="N906" s="267"/>
      <c r="O906" s="147">
        <f t="shared" si="586"/>
        <v/>
      </c>
      <c r="P906" s="268">
        <f>IF(AY906=1,"XT"&amp;COUNTIFS($A$3:A906,A906,$AY$3:AY906,1),"")</f>
        <v/>
      </c>
      <c r="Q906" s="152">
        <f>IF(R906="","",IFERROR(SUBSTITUTE(Разбивка_по_щитам!P906,CHAR(10)," "),""))</f>
        <v/>
      </c>
      <c r="R906" s="153">
        <f>IF(OR(Разбивка_по_щитам!H906="",Разбивка_по_щитам!H906=0),"",Разбивка_по_щитам!H906)</f>
        <v/>
      </c>
      <c r="S906" s="154">
        <f>IF(R906="","",IFERROR(Разбивка_по_щитам!J906&amp;"",""))</f>
        <v/>
      </c>
      <c r="T906" s="155">
        <f>IF(R906="","",IFERROR(--Разбивка_по_щитам!L906,""))</f>
        <v/>
      </c>
      <c r="U906" s="155">
        <f>IF(R906="","",IFERROR(--Разбивка_по_щитам!K906,""))</f>
        <v/>
      </c>
      <c r="V906" s="138">
        <f>IF(R906="","",IFERROR(IF(Разбивка_по_щитам!M906=0,"",Разбивка_по_щитам!M906),""))</f>
        <v/>
      </c>
      <c r="W906" s="156">
        <f t="shared" si="587"/>
        <v/>
      </c>
      <c r="X906" s="157">
        <f t="shared" si="588"/>
        <v/>
      </c>
      <c r="Y906" s="266"/>
      <c r="Z906" s="158">
        <f t="shared" si="589"/>
        <v/>
      </c>
      <c r="AA906" s="160">
        <f t="shared" si="590"/>
        <v/>
      </c>
      <c r="AB906" s="160">
        <f>IF(R906="","",IFERROR(LOOKUP(INDEX(Справочная!$I$4:$I$19,MATCH(VLOOKUP(R906,Исходные_данные,22,FALSE),Справочная!$J$4:$J$19,0)+1),{6,10,16,20,25,32,40,50,63,80,100,125}),""))</f>
        <v/>
      </c>
      <c r="AC906" s="160">
        <f t="shared" si="591"/>
        <v/>
      </c>
      <c r="AD906" s="161">
        <f t="shared" si="592"/>
        <v/>
      </c>
      <c r="AE906" s="161">
        <f>IF(AND(R906="",G906=""),"",_xlfn.TEXTJOIN("; ",TRUE,IF(AND(R906&lt;&gt;"",V906=""),"нет фазы",""),IF(AND(R906&lt;&gt;"",N(T906)=0),"нет мощности",""),IF(AND(P906&lt;&gt;"",COUNTIFS($A$3:$A$1000,A906,$P$3:$P$1000,P906)&gt;1),"дубль клеммы "&amp;P906,""),IF(AND(W906&lt;&gt;"",W906&lt;&gt;"ok"),W906,""),IF(X906&lt;&gt;"",X906,""),IF(AND(ISNUMBER(SEARCH("(5х",Q906)),N(AK906)=1),"5 жил на 1 фазе",""),IF(AND(AL906="R",E906&lt;&gt;"",N(AS906)=0),"розетка без 30 мА",""),IF(IFERROR(_xlfn.NUMBERVALUE(MID(Q906,FIND("-",Q906,FIND("L=",Q906))+1,FIND("%",Q906)-FIND("-",Q906,FIND("L=",Q906))-1),","),0)&gt;4,"потери &gt; 4 %","")))</f>
      </c>
      <c r="AF906" s="129">
        <f>IF(E906&lt;&gt;"",COUNTIFS($A$3:A906,A906,$E$3:E906,"?*"),IF(OR(A906&lt;&gt;A905,Y906="вручную"),"",AF905))</f>
        <v/>
      </c>
      <c r="AG906" s="129">
        <f t="shared" si="593"/>
        <v/>
      </c>
      <c r="AH906" s="129">
        <f t="shared" si="594"/>
        <v/>
      </c>
      <c r="AI906" s="129">
        <f t="shared" si="595"/>
        <v/>
      </c>
      <c r="AJ906" s="129">
        <f t="shared" si="596"/>
        <v/>
      </c>
      <c r="AK906" s="129">
        <f t="shared" si="597"/>
        <v/>
      </c>
      <c r="AL906" s="129">
        <f t="shared" si="598"/>
        <v/>
      </c>
      <c r="AM906" s="129">
        <f t="shared" si="599"/>
      </c>
      <c r="AN906" s="129">
        <f t="shared" si="600"/>
      </c>
      <c r="AO906" s="129">
        <f t="shared" si="601"/>
        <v/>
      </c>
      <c r="AP906" s="129">
        <f t="shared" si="602"/>
        <v/>
      </c>
      <c r="AQ906" s="129">
        <f t="shared" si="603"/>
        <v/>
      </c>
      <c r="AR906" s="129">
        <f t="shared" si="604"/>
        <v/>
      </c>
      <c r="AS906" s="129">
        <f t="shared" si="605"/>
        <v/>
      </c>
      <c r="AT906" s="129">
        <f t="shared" si="606"/>
        <v/>
      </c>
      <c r="AU906" s="129">
        <f t="shared" si="607"/>
        <v/>
      </c>
      <c r="AV906" s="129">
        <f t="shared" si="608"/>
        <v/>
      </c>
      <c r="AW906" s="129">
        <f>IF(AV906="","",AV906&amp;"."&amp;COUNTIFS($A$3:A906,A906,$AV$3:AV906,AV906))</f>
        <v/>
      </c>
      <c r="AX906" s="129">
        <f t="shared" si="609"/>
        <v/>
      </c>
      <c r="AY906" s="129">
        <f>IF(N906="б/к",0,IF(OR(ISNUMBER(SEARCH("L=",Разбивка_по_щитам!P906)),N906="+",N906="="),1,0))</f>
      </c>
      <c r="AZ906" s="129">
        <f t="shared" si="610"/>
        <v/>
      </c>
      <c r="BA906" s="129">
        <f t="shared" si="611"/>
      </c>
      <c r="BB906" s="129">
        <f t="shared" si="612"/>
      </c>
      <c r="BD906" s="129">
        <f t="shared" si="613"/>
      </c>
      <c r="BE906" s="129">
        <f t="shared" si="614"/>
      </c>
      <c r="BF906" s="129">
        <f t="shared" si="615"/>
      </c>
      <c r="BG906" s="129">
        <f t="shared" si="616"/>
        <v/>
      </c>
      <c r="BH906" s="129">
        <f t="shared" si="617"/>
        <v/>
      </c>
      <c r="BI906" s="129">
        <f t="shared" si="618"/>
        <v/>
      </c>
      <c r="BJ906" s="129">
        <f t="shared" si="619"/>
        <v/>
      </c>
      <c r="BK906" s="129">
        <f>IF(R906="","",IF(OR(BY906="",BY906=0),"BOX",IFERROR(IF(VLOOKUP(BY906,УГО_блоки,3,FALSE)&amp;""&lt;&gt;"",VLOOKUP(BY906,УГО_блоки,3,FALSE),VLOOKUP(BY906,УГО_блоки,2,FALSE)),BY906)))</f>
      </c>
      <c r="BL906" s="129">
        <f t="shared" si="621"/>
      </c>
      <c r="BM906" s="129">
        <f>IF(H906="","",IF(COUNTIF($H$3:H906,H906)=1,MAX($BM$2:BM905)+1,""))</f>
      </c>
      <c r="BN906" s="129">
        <f>IF(I906="","",IF(COUNTIF($I$3:I906,I906)+COUNTIF($J$2:J905,I906)+COUNTIF($K$2:K905,I906)=1,MAX($BN$2:BP905)+1,""))</f>
      </c>
      <c r="BO906" s="129">
        <f>IF(J906="","",IF(COUNTIF($I$3:I906,J906)+COUNTIF($J$3:J906,J906)+COUNTIF($K$2:K905,J906)=1,MAX($BN$2:BP905,BN906)+1,""))</f>
      </c>
      <c r="BP906" s="129">
        <f>IF(K906="","",IF(COUNTIF($I$3:I906,K906)+COUNTIF($J$3:J906,K906)+COUNTIF($K$3:K906,K906)=1,MAX($BN$2:BP905,BN906,BO906)+1,""))</f>
      </c>
      <c r="BQ906" s="129">
        <f>IF(AY906=1,IFERROR(MID(Q906,FIND(" (",Q906)+2,FIND(")",Q906,FIND(" (",Q906))-FIND(" (",Q906)-2),"?"),"")</f>
      </c>
      <c r="BR906" s="129">
        <f>IF(BQ906="","",IF(COUNTIF($BQ$3:BQ906,BQ906)=1,MAX($BR$2:BR905)+1,""))</f>
      </c>
      <c r="BS906" s="129">
        <f>IF(AW906="","",COUNTIF($AW$3:AW906,"?*"))</f>
      </c>
      <c r="BT906" s="129">
        <f>IF(OR(AW906="",AI906=""),"",IF(COUNTIFS($AW$3:AW906,"?*",$AI$3:AI906,AI906)=1,MAX($BT$2:BT905)+1,""))</f>
      </c>
      <c r="BU906" s="129">
        <f>IF(AE906="",0,IF(OR(ISNUMBER(SEARCH("дубль",AE906)),ISNUMBER(SEARCH("ПЕРЕГРУЗ",AE906)),ISNUMBER(SEARCH("ЗАЩИЩ",AE906)),ISNUMBER(SEARCH("КАНАЛ",AE906)),ISNUMBER(SEARCH("без 30",AE906))),2,1))</f>
      </c>
      <c r="BV906" s="129">
        <f>IF(R906="","",COUNTIF($R$3:R906,"?*"))</f>
      </c>
      <c r="BW906" s="129">
        <f>IF(AY906&lt;&gt;1,0,IF(MAX(IFERROR(--VLOOKUP(R906,УГО_спр,5,FALSE),0),IFERROR(--VLOOKUP(AL906,УГО_спр,5,FALSE),0),IFERROR(--VLOOKUP(LEFT(AL906,2),УГО_спр,5,FALSE),0))&gt;0,MAX(IFERROR(--VLOOKUP(R906,УГО_спр,5,FALSE),0),IFERROR(--VLOOKUP(AL906,УГО_спр,5,FALSE),0),IFERROR(--VLOOKUP(LEFT(AL906,2),УГО_спр,5,FALSE),0)),IF(IFERROR(--LEFT(SUBSTITUTE(BQ906,"x","х"),FIND("х",SUBSTITUTE(BQ906,"x","х"))-1),3)&gt;3,Каталог!$S$9,1)))</f>
      </c>
      <c r="BX906" s="129">
        <f>IF(AY906&lt;&gt;1,0,MAX(0,IFERROR(--LEFT(SUBSTITUTE(BQ906,"x","х"),FIND("х",SUBSTITUTE(BQ906,"x","х"))-1),3)-3*BW906))</f>
      </c>
      <c r="BY906" s="129">
        <f>IF(R906="","",IFERROR(VLOOKUP(R906,УГО_спр,2,FALSE),IFERROR(VLOOKUP(AL906,УГО_спр,2,FALSE),IFERROR(VLOOKUP(LEFT(AL906,2),УГО_спр,2,FALSE),""))))</f>
      </c>
    </row>
    <row r="907" spans="1:64" x14ac:dyDescent="0.3">
      <c r="A907" s="135">
        <f>IF(Разбивка_по_щитам!F907=0,"",Разбивка_по_щитам!F907)</f>
        <v/>
      </c>
      <c r="B907" s="138">
        <f>IF(A907="","",Разбивка_по_щитам!C907)</f>
        <v/>
      </c>
      <c r="C907" s="138">
        <f t="shared" si="582"/>
        <v/>
      </c>
      <c r="D907" s="266"/>
      <c r="E907" s="266"/>
      <c r="F907" s="267"/>
      <c r="G907" s="145">
        <f t="shared" si="583"/>
        <v/>
      </c>
      <c r="H907" s="145">
        <f t="shared" si="584"/>
        <v/>
      </c>
      <c r="I907" s="266"/>
      <c r="J907" s="267"/>
      <c r="K907" s="267"/>
      <c r="L907" s="266"/>
      <c r="M907" s="147">
        <f t="shared" si="585"/>
        <v/>
      </c>
      <c r="N907" s="267"/>
      <c r="O907" s="147">
        <f t="shared" si="586"/>
        <v/>
      </c>
      <c r="P907" s="268">
        <f>IF(AY907=1,"XT"&amp;COUNTIFS($A$3:A907,A907,$AY$3:AY907,1),"")</f>
        <v/>
      </c>
      <c r="Q907" s="152">
        <f>IF(R907="","",IFERROR(SUBSTITUTE(Разбивка_по_щитам!P907,CHAR(10)," "),""))</f>
        <v/>
      </c>
      <c r="R907" s="153">
        <f>IF(OR(Разбивка_по_щитам!H907="",Разбивка_по_щитам!H907=0),"",Разбивка_по_щитам!H907)</f>
        <v/>
      </c>
      <c r="S907" s="154">
        <f>IF(R907="","",IFERROR(Разбивка_по_щитам!J907&amp;"",""))</f>
        <v/>
      </c>
      <c r="T907" s="155">
        <f>IF(R907="","",IFERROR(--Разбивка_по_щитам!L907,""))</f>
        <v/>
      </c>
      <c r="U907" s="155">
        <f>IF(R907="","",IFERROR(--Разбивка_по_щитам!K907,""))</f>
        <v/>
      </c>
      <c r="V907" s="138">
        <f>IF(R907="","",IFERROR(IF(Разбивка_по_щитам!M907=0,"",Разбивка_по_щитам!M907),""))</f>
        <v/>
      </c>
      <c r="W907" s="156">
        <f t="shared" si="587"/>
        <v/>
      </c>
      <c r="X907" s="157">
        <f t="shared" si="588"/>
        <v/>
      </c>
      <c r="Y907" s="266"/>
      <c r="Z907" s="158">
        <f t="shared" si="589"/>
        <v/>
      </c>
      <c r="AA907" s="160">
        <f t="shared" si="590"/>
        <v/>
      </c>
      <c r="AB907" s="160">
        <f>IF(R907="","",IFERROR(LOOKUP(INDEX(Справочная!$I$4:$I$19,MATCH(VLOOKUP(R907,Исходные_данные,22,FALSE),Справочная!$J$4:$J$19,0)+1),{6,10,16,20,25,32,40,50,63,80,100,125}),""))</f>
        <v/>
      </c>
      <c r="AC907" s="160">
        <f t="shared" si="591"/>
        <v/>
      </c>
      <c r="AD907" s="161">
        <f t="shared" si="592"/>
        <v/>
      </c>
      <c r="AE907" s="161">
        <f>IF(AND(R907="",G907=""),"",_xlfn.TEXTJOIN("; ",TRUE,IF(AND(R907&lt;&gt;"",V907=""),"нет фазы",""),IF(AND(R907&lt;&gt;"",N(T907)=0),"нет мощности",""),IF(AND(P907&lt;&gt;"",COUNTIFS($A$3:$A$1000,A907,$P$3:$P$1000,P907)&gt;1),"дубль клеммы "&amp;P907,""),IF(AND(W907&lt;&gt;"",W907&lt;&gt;"ok"),W907,""),IF(X907&lt;&gt;"",X907,""),IF(AND(ISNUMBER(SEARCH("(5х",Q907)),N(AK907)=1),"5 жил на 1 фазе",""),IF(AND(AL907="R",E907&lt;&gt;"",N(AS907)=0),"розетка без 30 мА",""),IF(IFERROR(_xlfn.NUMBERVALUE(MID(Q907,FIND("-",Q907,FIND("L=",Q907))+1,FIND("%",Q907)-FIND("-",Q907,FIND("L=",Q907))-1),","),0)&gt;4,"потери &gt; 4 %","")))</f>
      </c>
      <c r="AF907" s="129">
        <f>IF(E907&lt;&gt;"",COUNTIFS($A$3:A907,A907,$E$3:E907,"?*"),IF(OR(A907&lt;&gt;A906,Y907="вручную"),"",AF906))</f>
        <v/>
      </c>
      <c r="AG907" s="129">
        <f t="shared" si="593"/>
        <v/>
      </c>
      <c r="AH907" s="129">
        <f t="shared" si="594"/>
        <v/>
      </c>
      <c r="AI907" s="129">
        <f t="shared" si="595"/>
        <v/>
      </c>
      <c r="AJ907" s="129">
        <f t="shared" si="596"/>
        <v/>
      </c>
      <c r="AK907" s="129">
        <f t="shared" si="597"/>
        <v/>
      </c>
      <c r="AL907" s="129">
        <f t="shared" si="598"/>
        <v/>
      </c>
      <c r="AM907" s="129">
        <f t="shared" si="599"/>
      </c>
      <c r="AN907" s="129">
        <f t="shared" si="600"/>
      </c>
      <c r="AO907" s="129">
        <f t="shared" si="601"/>
        <v/>
      </c>
      <c r="AP907" s="129">
        <f t="shared" si="602"/>
        <v/>
      </c>
      <c r="AQ907" s="129">
        <f t="shared" si="603"/>
        <v/>
      </c>
      <c r="AR907" s="129">
        <f t="shared" si="604"/>
        <v/>
      </c>
      <c r="AS907" s="129">
        <f t="shared" si="605"/>
        <v/>
      </c>
      <c r="AT907" s="129">
        <f t="shared" si="606"/>
        <v/>
      </c>
      <c r="AU907" s="129">
        <f t="shared" si="607"/>
        <v/>
      </c>
      <c r="AV907" s="129">
        <f t="shared" si="608"/>
        <v/>
      </c>
      <c r="AW907" s="129">
        <f>IF(AV907="","",AV907&amp;"."&amp;COUNTIFS($A$3:A907,A907,$AV$3:AV907,AV907))</f>
        <v/>
      </c>
      <c r="AX907" s="129">
        <f t="shared" si="609"/>
        <v/>
      </c>
      <c r="AY907" s="129">
        <f>IF(N907="б/к",0,IF(OR(ISNUMBER(SEARCH("L=",Разбивка_по_щитам!P907)),N907="+",N907="="),1,0))</f>
      </c>
      <c r="AZ907" s="129">
        <f t="shared" si="610"/>
        <v/>
      </c>
      <c r="BA907" s="129">
        <f t="shared" si="611"/>
      </c>
      <c r="BB907" s="129">
        <f t="shared" si="612"/>
      </c>
      <c r="BD907" s="129">
        <f t="shared" si="613"/>
      </c>
      <c r="BE907" s="129">
        <f t="shared" si="614"/>
      </c>
      <c r="BF907" s="129">
        <f t="shared" si="615"/>
      </c>
      <c r="BG907" s="129">
        <f t="shared" si="616"/>
        <v/>
      </c>
      <c r="BH907" s="129">
        <f t="shared" si="617"/>
        <v/>
      </c>
      <c r="BI907" s="129">
        <f t="shared" si="618"/>
        <v/>
      </c>
      <c r="BJ907" s="129">
        <f t="shared" si="619"/>
        <v/>
      </c>
      <c r="BK907" s="129">
        <f>IF(R907="","",IF(OR(BY907="",BY907=0),"BOX",IFERROR(IF(VLOOKUP(BY907,УГО_блоки,3,FALSE)&amp;""&lt;&gt;"",VLOOKUP(BY907,УГО_блоки,3,FALSE),VLOOKUP(BY907,УГО_блоки,2,FALSE)),BY907)))</f>
      </c>
      <c r="BL907" s="129">
        <f t="shared" si="621"/>
      </c>
      <c r="BM907" s="129">
        <f>IF(H907="","",IF(COUNTIF($H$3:H907,H907)=1,MAX($BM$2:BM906)+1,""))</f>
      </c>
      <c r="BN907" s="129">
        <f>IF(I907="","",IF(COUNTIF($I$3:I907,I907)+COUNTIF($J$2:J906,I907)+COUNTIF($K$2:K906,I907)=1,MAX($BN$2:BP906)+1,""))</f>
      </c>
      <c r="BO907" s="129">
        <f>IF(J907="","",IF(COUNTIF($I$3:I907,J907)+COUNTIF($J$3:J907,J907)+COUNTIF($K$2:K906,J907)=1,MAX($BN$2:BP906,BN907)+1,""))</f>
      </c>
      <c r="BP907" s="129">
        <f>IF(K907="","",IF(COUNTIF($I$3:I907,K907)+COUNTIF($J$3:J907,K907)+COUNTIF($K$3:K907,K907)=1,MAX($BN$2:BP906,BN907,BO907)+1,""))</f>
      </c>
      <c r="BQ907" s="129">
        <f>IF(AY907=1,IFERROR(MID(Q907,FIND(" (",Q907)+2,FIND(")",Q907,FIND(" (",Q907))-FIND(" (",Q907)-2),"?"),"")</f>
      </c>
      <c r="BR907" s="129">
        <f>IF(BQ907="","",IF(COUNTIF($BQ$3:BQ907,BQ907)=1,MAX($BR$2:BR906)+1,""))</f>
      </c>
      <c r="BS907" s="129">
        <f>IF(AW907="","",COUNTIF($AW$3:AW907,"?*"))</f>
      </c>
      <c r="BT907" s="129">
        <f>IF(OR(AW907="",AI907=""),"",IF(COUNTIFS($AW$3:AW907,"?*",$AI$3:AI907,AI907)=1,MAX($BT$2:BT906)+1,""))</f>
      </c>
      <c r="BU907" s="129">
        <f>IF(AE907="",0,IF(OR(ISNUMBER(SEARCH("дубль",AE907)),ISNUMBER(SEARCH("ПЕРЕГРУЗ",AE907)),ISNUMBER(SEARCH("ЗАЩИЩ",AE907)),ISNUMBER(SEARCH("КАНАЛ",AE907)),ISNUMBER(SEARCH("без 30",AE907))),2,1))</f>
      </c>
      <c r="BV907" s="129">
        <f>IF(R907="","",COUNTIF($R$3:R907,"?*"))</f>
      </c>
      <c r="BW907" s="129">
        <f>IF(AY907&lt;&gt;1,0,IF(MAX(IFERROR(--VLOOKUP(R907,УГО_спр,5,FALSE),0),IFERROR(--VLOOKUP(AL907,УГО_спр,5,FALSE),0),IFERROR(--VLOOKUP(LEFT(AL907,2),УГО_спр,5,FALSE),0))&gt;0,MAX(IFERROR(--VLOOKUP(R907,УГО_спр,5,FALSE),0),IFERROR(--VLOOKUP(AL907,УГО_спр,5,FALSE),0),IFERROR(--VLOOKUP(LEFT(AL907,2),УГО_спр,5,FALSE),0)),IF(IFERROR(--LEFT(SUBSTITUTE(BQ907,"x","х"),FIND("х",SUBSTITUTE(BQ907,"x","х"))-1),3)&gt;3,Каталог!$S$9,1)))</f>
      </c>
      <c r="BX907" s="129">
        <f>IF(AY907&lt;&gt;1,0,MAX(0,IFERROR(--LEFT(SUBSTITUTE(BQ907,"x","х"),FIND("х",SUBSTITUTE(BQ907,"x","х"))-1),3)-3*BW907))</f>
      </c>
      <c r="BY907" s="129">
        <f>IF(R907="","",IFERROR(VLOOKUP(R907,УГО_спр,2,FALSE),IFERROR(VLOOKUP(AL907,УГО_спр,2,FALSE),IFERROR(VLOOKUP(LEFT(AL907,2),УГО_спр,2,FALSE),""))))</f>
      </c>
    </row>
    <row r="908" spans="1:64" x14ac:dyDescent="0.3">
      <c r="A908" s="135">
        <f>IF(Разбивка_по_щитам!F908=0,"",Разбивка_по_щитам!F908)</f>
        <v/>
      </c>
      <c r="B908" s="138">
        <f>IF(A908="","",Разбивка_по_щитам!C908)</f>
        <v/>
      </c>
      <c r="C908" s="138">
        <f t="shared" si="582"/>
        <v/>
      </c>
      <c r="D908" s="266"/>
      <c r="E908" s="266"/>
      <c r="F908" s="267"/>
      <c r="G908" s="145">
        <f t="shared" si="583"/>
        <v/>
      </c>
      <c r="H908" s="145">
        <f t="shared" si="584"/>
        <v/>
      </c>
      <c r="I908" s="266"/>
      <c r="J908" s="267"/>
      <c r="K908" s="267"/>
      <c r="L908" s="266"/>
      <c r="M908" s="147">
        <f t="shared" si="585"/>
        <v/>
      </c>
      <c r="N908" s="267"/>
      <c r="O908" s="147">
        <f t="shared" si="586"/>
        <v/>
      </c>
      <c r="P908" s="268">
        <f>IF(AY908=1,"XT"&amp;COUNTIFS($A$3:A908,A908,$AY$3:AY908,1),"")</f>
        <v/>
      </c>
      <c r="Q908" s="152">
        <f>IF(R908="","",IFERROR(SUBSTITUTE(Разбивка_по_щитам!P908,CHAR(10)," "),""))</f>
        <v/>
      </c>
      <c r="R908" s="153">
        <f>IF(OR(Разбивка_по_щитам!H908="",Разбивка_по_щитам!H908=0),"",Разбивка_по_щитам!H908)</f>
        <v/>
      </c>
      <c r="S908" s="154">
        <f>IF(R908="","",IFERROR(Разбивка_по_щитам!J908&amp;"",""))</f>
        <v/>
      </c>
      <c r="T908" s="155">
        <f>IF(R908="","",IFERROR(--Разбивка_по_щитам!L908,""))</f>
        <v/>
      </c>
      <c r="U908" s="155">
        <f>IF(R908="","",IFERROR(--Разбивка_по_щитам!K908,""))</f>
        <v/>
      </c>
      <c r="V908" s="138">
        <f>IF(R908="","",IFERROR(IF(Разбивка_по_щитам!M908=0,"",Разбивка_по_щитам!M908),""))</f>
        <v/>
      </c>
      <c r="W908" s="156">
        <f t="shared" si="587"/>
        <v/>
      </c>
      <c r="X908" s="157">
        <f t="shared" si="588"/>
        <v/>
      </c>
      <c r="Y908" s="266"/>
      <c r="Z908" s="158">
        <f t="shared" si="589"/>
        <v/>
      </c>
      <c r="AA908" s="160">
        <f t="shared" si="590"/>
        <v/>
      </c>
      <c r="AB908" s="160">
        <f>IF(R908="","",IFERROR(LOOKUP(INDEX(Справочная!$I$4:$I$19,MATCH(VLOOKUP(R908,Исходные_данные,22,FALSE),Справочная!$J$4:$J$19,0)+1),{6,10,16,20,25,32,40,50,63,80,100,125}),""))</f>
        <v/>
      </c>
      <c r="AC908" s="160">
        <f t="shared" si="591"/>
        <v/>
      </c>
      <c r="AD908" s="161">
        <f t="shared" si="592"/>
        <v/>
      </c>
      <c r="AE908" s="161">
        <f>IF(AND(R908="",G908=""),"",_xlfn.TEXTJOIN("; ",TRUE,IF(AND(R908&lt;&gt;"",V908=""),"нет фазы",""),IF(AND(R908&lt;&gt;"",N(T908)=0),"нет мощности",""),IF(AND(P908&lt;&gt;"",COUNTIFS($A$3:$A$1000,A908,$P$3:$P$1000,P908)&gt;1),"дубль клеммы "&amp;P908,""),IF(AND(W908&lt;&gt;"",W908&lt;&gt;"ok"),W908,""),IF(X908&lt;&gt;"",X908,""),IF(AND(ISNUMBER(SEARCH("(5х",Q908)),N(AK908)=1),"5 жил на 1 фазе",""),IF(AND(AL908="R",E908&lt;&gt;"",N(AS908)=0),"розетка без 30 мА",""),IF(IFERROR(_xlfn.NUMBERVALUE(MID(Q908,FIND("-",Q908,FIND("L=",Q908))+1,FIND("%",Q908)-FIND("-",Q908,FIND("L=",Q908))-1),","),0)&gt;4,"потери &gt; 4 %","")))</f>
      </c>
      <c r="AF908" s="129">
        <f>IF(E908&lt;&gt;"",COUNTIFS($A$3:A908,A908,$E$3:E908,"?*"),IF(OR(A908&lt;&gt;A907,Y908="вручную"),"",AF907))</f>
        <v/>
      </c>
      <c r="AG908" s="129">
        <f t="shared" si="593"/>
        <v/>
      </c>
      <c r="AH908" s="129">
        <f t="shared" si="594"/>
        <v/>
      </c>
      <c r="AI908" s="129">
        <f t="shared" si="595"/>
        <v/>
      </c>
      <c r="AJ908" s="129">
        <f t="shared" si="596"/>
        <v/>
      </c>
      <c r="AK908" s="129">
        <f t="shared" si="597"/>
        <v/>
      </c>
      <c r="AL908" s="129">
        <f t="shared" si="598"/>
        <v/>
      </c>
      <c r="AM908" s="129">
        <f t="shared" si="599"/>
      </c>
      <c r="AN908" s="129">
        <f t="shared" si="600"/>
      </c>
      <c r="AO908" s="129">
        <f t="shared" si="601"/>
        <v/>
      </c>
      <c r="AP908" s="129">
        <f t="shared" si="602"/>
        <v/>
      </c>
      <c r="AQ908" s="129">
        <f t="shared" si="603"/>
        <v/>
      </c>
      <c r="AR908" s="129">
        <f t="shared" si="604"/>
        <v/>
      </c>
      <c r="AS908" s="129">
        <f t="shared" si="605"/>
        <v/>
      </c>
      <c r="AT908" s="129">
        <f t="shared" si="606"/>
        <v/>
      </c>
      <c r="AU908" s="129">
        <f t="shared" si="607"/>
        <v/>
      </c>
      <c r="AV908" s="129">
        <f t="shared" si="608"/>
        <v/>
      </c>
      <c r="AW908" s="129">
        <f>IF(AV908="","",AV908&amp;"."&amp;COUNTIFS($A$3:A908,A908,$AV$3:AV908,AV908))</f>
        <v/>
      </c>
      <c r="AX908" s="129">
        <f t="shared" si="609"/>
        <v/>
      </c>
      <c r="AY908" s="129">
        <f>IF(N908="б/к",0,IF(OR(ISNUMBER(SEARCH("L=",Разбивка_по_щитам!P908)),N908="+",N908="="),1,0))</f>
      </c>
      <c r="AZ908" s="129">
        <f t="shared" si="610"/>
        <v/>
      </c>
      <c r="BA908" s="129">
        <f t="shared" si="611"/>
      </c>
      <c r="BB908" s="129">
        <f t="shared" si="612"/>
      </c>
      <c r="BD908" s="129">
        <f t="shared" si="613"/>
      </c>
      <c r="BE908" s="129">
        <f t="shared" si="614"/>
      </c>
      <c r="BF908" s="129">
        <f t="shared" si="615"/>
      </c>
      <c r="BG908" s="129">
        <f t="shared" si="616"/>
        <v/>
      </c>
      <c r="BH908" s="129">
        <f t="shared" si="617"/>
        <v/>
      </c>
      <c r="BI908" s="129">
        <f t="shared" si="618"/>
        <v/>
      </c>
      <c r="BJ908" s="129">
        <f t="shared" si="619"/>
        <v/>
      </c>
      <c r="BK908" s="129">
        <f>IF(R908="","",IF(OR(BY908="",BY908=0),"BOX",IFERROR(IF(VLOOKUP(BY908,УГО_блоки,3,FALSE)&amp;""&lt;&gt;"",VLOOKUP(BY908,УГО_блоки,3,FALSE),VLOOKUP(BY908,УГО_блоки,2,FALSE)),BY908)))</f>
      </c>
      <c r="BL908" s="129">
        <f t="shared" si="621"/>
      </c>
      <c r="BM908" s="129">
        <f>IF(H908="","",IF(COUNTIF($H$3:H908,H908)=1,MAX($BM$2:BM907)+1,""))</f>
      </c>
      <c r="BN908" s="129">
        <f>IF(I908="","",IF(COUNTIF($I$3:I908,I908)+COUNTIF($J$2:J907,I908)+COUNTIF($K$2:K907,I908)=1,MAX($BN$2:BP907)+1,""))</f>
      </c>
      <c r="BO908" s="129">
        <f>IF(J908="","",IF(COUNTIF($I$3:I908,J908)+COUNTIF($J$3:J908,J908)+COUNTIF($K$2:K907,J908)=1,MAX($BN$2:BP907,BN908)+1,""))</f>
      </c>
      <c r="BP908" s="129">
        <f>IF(K908="","",IF(COUNTIF($I$3:I908,K908)+COUNTIF($J$3:J908,K908)+COUNTIF($K$3:K908,K908)=1,MAX($BN$2:BP907,BN908,BO908)+1,""))</f>
      </c>
      <c r="BQ908" s="129">
        <f>IF(AY908=1,IFERROR(MID(Q908,FIND(" (",Q908)+2,FIND(")",Q908,FIND(" (",Q908))-FIND(" (",Q908)-2),"?"),"")</f>
      </c>
      <c r="BR908" s="129">
        <f>IF(BQ908="","",IF(COUNTIF($BQ$3:BQ908,BQ908)=1,MAX($BR$2:BR907)+1,""))</f>
      </c>
      <c r="BS908" s="129">
        <f>IF(AW908="","",COUNTIF($AW$3:AW908,"?*"))</f>
      </c>
      <c r="BT908" s="129">
        <f>IF(OR(AW908="",AI908=""),"",IF(COUNTIFS($AW$3:AW908,"?*",$AI$3:AI908,AI908)=1,MAX($BT$2:BT907)+1,""))</f>
      </c>
      <c r="BU908" s="129">
        <f>IF(AE908="",0,IF(OR(ISNUMBER(SEARCH("дубль",AE908)),ISNUMBER(SEARCH("ПЕРЕГРУЗ",AE908)),ISNUMBER(SEARCH("ЗАЩИЩ",AE908)),ISNUMBER(SEARCH("КАНАЛ",AE908)),ISNUMBER(SEARCH("без 30",AE908))),2,1))</f>
      </c>
      <c r="BV908" s="129">
        <f>IF(R908="","",COUNTIF($R$3:R908,"?*"))</f>
      </c>
      <c r="BW908" s="129">
        <f>IF(AY908&lt;&gt;1,0,IF(MAX(IFERROR(--VLOOKUP(R908,УГО_спр,5,FALSE),0),IFERROR(--VLOOKUP(AL908,УГО_спр,5,FALSE),0),IFERROR(--VLOOKUP(LEFT(AL908,2),УГО_спр,5,FALSE),0))&gt;0,MAX(IFERROR(--VLOOKUP(R908,УГО_спр,5,FALSE),0),IFERROR(--VLOOKUP(AL908,УГО_спр,5,FALSE),0),IFERROR(--VLOOKUP(LEFT(AL908,2),УГО_спр,5,FALSE),0)),IF(IFERROR(--LEFT(SUBSTITUTE(BQ908,"x","х"),FIND("х",SUBSTITUTE(BQ908,"x","х"))-1),3)&gt;3,Каталог!$S$9,1)))</f>
      </c>
      <c r="BX908" s="129">
        <f>IF(AY908&lt;&gt;1,0,MAX(0,IFERROR(--LEFT(SUBSTITUTE(BQ908,"x","х"),FIND("х",SUBSTITUTE(BQ908,"x","х"))-1),3)-3*BW908))</f>
      </c>
      <c r="BY908" s="129">
        <f>IF(R908="","",IFERROR(VLOOKUP(R908,УГО_спр,2,FALSE),IFERROR(VLOOKUP(AL908,УГО_спр,2,FALSE),IFERROR(VLOOKUP(LEFT(AL908,2),УГО_спр,2,FALSE),""))))</f>
      </c>
    </row>
    <row r="909" spans="1:64" x14ac:dyDescent="0.3">
      <c r="A909" s="135">
        <f>IF(Разбивка_по_щитам!F909=0,"",Разбивка_по_щитам!F909)</f>
        <v/>
      </c>
      <c r="B909" s="138">
        <f>IF(A909="","",Разбивка_по_щитам!C909)</f>
        <v/>
      </c>
      <c r="C909" s="138">
        <f t="shared" si="582"/>
        <v/>
      </c>
      <c r="D909" s="266"/>
      <c r="E909" s="266"/>
      <c r="F909" s="267"/>
      <c r="G909" s="145">
        <f t="shared" si="583"/>
        <v/>
      </c>
      <c r="H909" s="145">
        <f t="shared" si="584"/>
        <v/>
      </c>
      <c r="I909" s="266"/>
      <c r="J909" s="267"/>
      <c r="K909" s="267"/>
      <c r="L909" s="266"/>
      <c r="M909" s="147">
        <f t="shared" si="585"/>
        <v/>
      </c>
      <c r="N909" s="267"/>
      <c r="O909" s="147">
        <f t="shared" si="586"/>
        <v/>
      </c>
      <c r="P909" s="268">
        <f>IF(AY909=1,"XT"&amp;COUNTIFS($A$3:A909,A909,$AY$3:AY909,1),"")</f>
        <v/>
      </c>
      <c r="Q909" s="152">
        <f>IF(R909="","",IFERROR(SUBSTITUTE(Разбивка_по_щитам!P909,CHAR(10)," "),""))</f>
        <v/>
      </c>
      <c r="R909" s="153">
        <f>IF(OR(Разбивка_по_щитам!H909="",Разбивка_по_щитам!H909=0),"",Разбивка_по_щитам!H909)</f>
        <v/>
      </c>
      <c r="S909" s="154">
        <f>IF(R909="","",IFERROR(Разбивка_по_щитам!J909&amp;"",""))</f>
        <v/>
      </c>
      <c r="T909" s="155">
        <f>IF(R909="","",IFERROR(--Разбивка_по_щитам!L909,""))</f>
        <v/>
      </c>
      <c r="U909" s="155">
        <f>IF(R909="","",IFERROR(--Разбивка_по_щитам!K909,""))</f>
        <v/>
      </c>
      <c r="V909" s="138">
        <f>IF(R909="","",IFERROR(IF(Разбивка_по_щитам!M909=0,"",Разбивка_по_щитам!M909),""))</f>
        <v/>
      </c>
      <c r="W909" s="156">
        <f t="shared" si="587"/>
        <v/>
      </c>
      <c r="X909" s="157">
        <f t="shared" si="588"/>
        <v/>
      </c>
      <c r="Y909" s="266"/>
      <c r="Z909" s="158">
        <f t="shared" si="589"/>
        <v/>
      </c>
      <c r="AA909" s="160">
        <f t="shared" si="590"/>
        <v/>
      </c>
      <c r="AB909" s="160">
        <f>IF(R909="","",IFERROR(LOOKUP(INDEX(Справочная!$I$4:$I$19,MATCH(VLOOKUP(R909,Исходные_данные,22,FALSE),Справочная!$J$4:$J$19,0)+1),{6,10,16,20,25,32,40,50,63,80,100,125}),""))</f>
        <v/>
      </c>
      <c r="AC909" s="160">
        <f t="shared" si="591"/>
        <v/>
      </c>
      <c r="AD909" s="161">
        <f t="shared" si="592"/>
        <v/>
      </c>
      <c r="AE909" s="161">
        <f>IF(AND(R909="",G909=""),"",_xlfn.TEXTJOIN("; ",TRUE,IF(AND(R909&lt;&gt;"",V909=""),"нет фазы",""),IF(AND(R909&lt;&gt;"",N(T909)=0),"нет мощности",""),IF(AND(P909&lt;&gt;"",COUNTIFS($A$3:$A$1000,A909,$P$3:$P$1000,P909)&gt;1),"дубль клеммы "&amp;P909,""),IF(AND(W909&lt;&gt;"",W909&lt;&gt;"ok"),W909,""),IF(X909&lt;&gt;"",X909,""),IF(AND(ISNUMBER(SEARCH("(5х",Q909)),N(AK909)=1),"5 жил на 1 фазе",""),IF(AND(AL909="R",E909&lt;&gt;"",N(AS909)=0),"розетка без 30 мА",""),IF(IFERROR(_xlfn.NUMBERVALUE(MID(Q909,FIND("-",Q909,FIND("L=",Q909))+1,FIND("%",Q909)-FIND("-",Q909,FIND("L=",Q909))-1),","),0)&gt;4,"потери &gt; 4 %","")))</f>
      </c>
      <c r="AF909" s="129">
        <f>IF(E909&lt;&gt;"",COUNTIFS($A$3:A909,A909,$E$3:E909,"?*"),IF(OR(A909&lt;&gt;A908,Y909="вручную"),"",AF908))</f>
        <v/>
      </c>
      <c r="AG909" s="129">
        <f t="shared" si="593"/>
        <v/>
      </c>
      <c r="AH909" s="129">
        <f t="shared" si="594"/>
        <v/>
      </c>
      <c r="AI909" s="129">
        <f t="shared" si="595"/>
        <v/>
      </c>
      <c r="AJ909" s="129">
        <f t="shared" si="596"/>
        <v/>
      </c>
      <c r="AK909" s="129">
        <f t="shared" si="597"/>
        <v/>
      </c>
      <c r="AL909" s="129">
        <f t="shared" si="598"/>
        <v/>
      </c>
      <c r="AM909" s="129">
        <f t="shared" si="599"/>
      </c>
      <c r="AN909" s="129">
        <f t="shared" si="600"/>
      </c>
      <c r="AO909" s="129">
        <f t="shared" si="601"/>
        <v/>
      </c>
      <c r="AP909" s="129">
        <f t="shared" si="602"/>
        <v/>
      </c>
      <c r="AQ909" s="129">
        <f t="shared" si="603"/>
        <v/>
      </c>
      <c r="AR909" s="129">
        <f t="shared" si="604"/>
        <v/>
      </c>
      <c r="AS909" s="129">
        <f t="shared" si="605"/>
        <v/>
      </c>
      <c r="AT909" s="129">
        <f t="shared" si="606"/>
        <v/>
      </c>
      <c r="AU909" s="129">
        <f t="shared" si="607"/>
        <v/>
      </c>
      <c r="AV909" s="129">
        <f t="shared" si="608"/>
        <v/>
      </c>
      <c r="AW909" s="129">
        <f>IF(AV909="","",AV909&amp;"."&amp;COUNTIFS($A$3:A909,A909,$AV$3:AV909,AV909))</f>
        <v/>
      </c>
      <c r="AX909" s="129">
        <f t="shared" si="609"/>
        <v/>
      </c>
      <c r="AY909" s="129">
        <f>IF(N909="б/к",0,IF(OR(ISNUMBER(SEARCH("L=",Разбивка_по_щитам!P909)),N909="+",N909="="),1,0))</f>
      </c>
      <c r="AZ909" s="129">
        <f t="shared" si="610"/>
        <v/>
      </c>
      <c r="BA909" s="129">
        <f t="shared" si="611"/>
      </c>
      <c r="BB909" s="129">
        <f t="shared" si="612"/>
      </c>
      <c r="BD909" s="129">
        <f t="shared" si="613"/>
      </c>
      <c r="BE909" s="129">
        <f t="shared" si="614"/>
      </c>
      <c r="BF909" s="129">
        <f t="shared" si="615"/>
      </c>
      <c r="BG909" s="129">
        <f t="shared" si="616"/>
        <v/>
      </c>
      <c r="BH909" s="129">
        <f t="shared" si="617"/>
        <v/>
      </c>
      <c r="BI909" s="129">
        <f t="shared" si="618"/>
        <v/>
      </c>
      <c r="BJ909" s="129">
        <f t="shared" si="619"/>
        <v/>
      </c>
      <c r="BK909" s="129">
        <f>IF(R909="","",IF(OR(BY909="",BY909=0),"BOX",IFERROR(IF(VLOOKUP(BY909,УГО_блоки,3,FALSE)&amp;""&lt;&gt;"",VLOOKUP(BY909,УГО_блоки,3,FALSE),VLOOKUP(BY909,УГО_блоки,2,FALSE)),BY909)))</f>
      </c>
      <c r="BL909" s="129">
        <f t="shared" si="621"/>
      </c>
      <c r="BM909" s="129">
        <f>IF(H909="","",IF(COUNTIF($H$3:H909,H909)=1,MAX($BM$2:BM908)+1,""))</f>
      </c>
      <c r="BN909" s="129">
        <f>IF(I909="","",IF(COUNTIF($I$3:I909,I909)+COUNTIF($J$2:J908,I909)+COUNTIF($K$2:K908,I909)=1,MAX($BN$2:BP908)+1,""))</f>
      </c>
      <c r="BO909" s="129">
        <f>IF(J909="","",IF(COUNTIF($I$3:I909,J909)+COUNTIF($J$3:J909,J909)+COUNTIF($K$2:K908,J909)=1,MAX($BN$2:BP908,BN909)+1,""))</f>
      </c>
      <c r="BP909" s="129">
        <f>IF(K909="","",IF(COUNTIF($I$3:I909,K909)+COUNTIF($J$3:J909,K909)+COUNTIF($K$3:K909,K909)=1,MAX($BN$2:BP908,BN909,BO909)+1,""))</f>
      </c>
      <c r="BQ909" s="129">
        <f>IF(AY909=1,IFERROR(MID(Q909,FIND(" (",Q909)+2,FIND(")",Q909,FIND(" (",Q909))-FIND(" (",Q909)-2),"?"),"")</f>
      </c>
      <c r="BR909" s="129">
        <f>IF(BQ909="","",IF(COUNTIF($BQ$3:BQ909,BQ909)=1,MAX($BR$2:BR908)+1,""))</f>
      </c>
      <c r="BS909" s="129">
        <f>IF(AW909="","",COUNTIF($AW$3:AW909,"?*"))</f>
      </c>
      <c r="BT909" s="129">
        <f>IF(OR(AW909="",AI909=""),"",IF(COUNTIFS($AW$3:AW909,"?*",$AI$3:AI909,AI909)=1,MAX($BT$2:BT908)+1,""))</f>
      </c>
      <c r="BU909" s="129">
        <f>IF(AE909="",0,IF(OR(ISNUMBER(SEARCH("дубль",AE909)),ISNUMBER(SEARCH("ПЕРЕГРУЗ",AE909)),ISNUMBER(SEARCH("ЗАЩИЩ",AE909)),ISNUMBER(SEARCH("КАНАЛ",AE909)),ISNUMBER(SEARCH("без 30",AE909))),2,1))</f>
      </c>
      <c r="BV909" s="129">
        <f>IF(R909="","",COUNTIF($R$3:R909,"?*"))</f>
      </c>
      <c r="BW909" s="129">
        <f>IF(AY909&lt;&gt;1,0,IF(MAX(IFERROR(--VLOOKUP(R909,УГО_спр,5,FALSE),0),IFERROR(--VLOOKUP(AL909,УГО_спр,5,FALSE),0),IFERROR(--VLOOKUP(LEFT(AL909,2),УГО_спр,5,FALSE),0))&gt;0,MAX(IFERROR(--VLOOKUP(R909,УГО_спр,5,FALSE),0),IFERROR(--VLOOKUP(AL909,УГО_спр,5,FALSE),0),IFERROR(--VLOOKUP(LEFT(AL909,2),УГО_спр,5,FALSE),0)),IF(IFERROR(--LEFT(SUBSTITUTE(BQ909,"x","х"),FIND("х",SUBSTITUTE(BQ909,"x","х"))-1),3)&gt;3,Каталог!$S$9,1)))</f>
      </c>
      <c r="BX909" s="129">
        <f>IF(AY909&lt;&gt;1,0,MAX(0,IFERROR(--LEFT(SUBSTITUTE(BQ909,"x","х"),FIND("х",SUBSTITUTE(BQ909,"x","х"))-1),3)-3*BW909))</f>
      </c>
      <c r="BY909" s="129">
        <f>IF(R909="","",IFERROR(VLOOKUP(R909,УГО_спр,2,FALSE),IFERROR(VLOOKUP(AL909,УГО_спр,2,FALSE),IFERROR(VLOOKUP(LEFT(AL909,2),УГО_спр,2,FALSE),""))))</f>
      </c>
    </row>
    <row r="910" spans="1:64" x14ac:dyDescent="0.3">
      <c r="A910" s="135">
        <f>IF(Разбивка_по_щитам!F910=0,"",Разбивка_по_щитам!F910)</f>
        <v/>
      </c>
      <c r="B910" s="138">
        <f>IF(A910="","",Разбивка_по_щитам!C910)</f>
        <v/>
      </c>
      <c r="C910" s="138">
        <f t="shared" si="582"/>
        <v/>
      </c>
      <c r="D910" s="266"/>
      <c r="E910" s="266"/>
      <c r="F910" s="267"/>
      <c r="G910" s="145">
        <f t="shared" si="583"/>
        <v/>
      </c>
      <c r="H910" s="145">
        <f t="shared" si="584"/>
        <v/>
      </c>
      <c r="I910" s="266"/>
      <c r="J910" s="267"/>
      <c r="K910" s="267"/>
      <c r="L910" s="266"/>
      <c r="M910" s="147">
        <f t="shared" si="585"/>
        <v/>
      </c>
      <c r="N910" s="267"/>
      <c r="O910" s="147">
        <f t="shared" si="586"/>
        <v/>
      </c>
      <c r="P910" s="268">
        <f>IF(AY910=1,"XT"&amp;COUNTIFS($A$3:A910,A910,$AY$3:AY910,1),"")</f>
        <v/>
      </c>
      <c r="Q910" s="152">
        <f>IF(R910="","",IFERROR(SUBSTITUTE(Разбивка_по_щитам!P910,CHAR(10)," "),""))</f>
        <v/>
      </c>
      <c r="R910" s="153">
        <f>IF(OR(Разбивка_по_щитам!H910="",Разбивка_по_щитам!H910=0),"",Разбивка_по_щитам!H910)</f>
        <v/>
      </c>
      <c r="S910" s="154">
        <f>IF(R910="","",IFERROR(Разбивка_по_щитам!J910&amp;"",""))</f>
        <v/>
      </c>
      <c r="T910" s="155">
        <f>IF(R910="","",IFERROR(--Разбивка_по_щитам!L910,""))</f>
        <v/>
      </c>
      <c r="U910" s="155">
        <f>IF(R910="","",IFERROR(--Разбивка_по_щитам!K910,""))</f>
        <v/>
      </c>
      <c r="V910" s="138">
        <f>IF(R910="","",IFERROR(IF(Разбивка_по_щитам!M910=0,"",Разбивка_по_щитам!M910),""))</f>
        <v/>
      </c>
      <c r="W910" s="156">
        <f t="shared" si="587"/>
        <v/>
      </c>
      <c r="X910" s="157">
        <f t="shared" si="588"/>
        <v/>
      </c>
      <c r="Y910" s="266"/>
      <c r="Z910" s="158">
        <f t="shared" si="589"/>
        <v/>
      </c>
      <c r="AA910" s="160">
        <f t="shared" si="590"/>
        <v/>
      </c>
      <c r="AB910" s="160">
        <f>IF(R910="","",IFERROR(LOOKUP(INDEX(Справочная!$I$4:$I$19,MATCH(VLOOKUP(R910,Исходные_данные,22,FALSE),Справочная!$J$4:$J$19,0)+1),{6,10,16,20,25,32,40,50,63,80,100,125}),""))</f>
        <v/>
      </c>
      <c r="AC910" s="160">
        <f t="shared" si="591"/>
        <v/>
      </c>
      <c r="AD910" s="161">
        <f t="shared" si="592"/>
        <v/>
      </c>
      <c r="AE910" s="161">
        <f>IF(AND(R910="",G910=""),"",_xlfn.TEXTJOIN("; ",TRUE,IF(AND(R910&lt;&gt;"",V910=""),"нет фазы",""),IF(AND(R910&lt;&gt;"",N(T910)=0),"нет мощности",""),IF(AND(P910&lt;&gt;"",COUNTIFS($A$3:$A$1000,A910,$P$3:$P$1000,P910)&gt;1),"дубль клеммы "&amp;P910,""),IF(AND(W910&lt;&gt;"",W910&lt;&gt;"ok"),W910,""),IF(X910&lt;&gt;"",X910,""),IF(AND(ISNUMBER(SEARCH("(5х",Q910)),N(AK910)=1),"5 жил на 1 фазе",""),IF(AND(AL910="R",E910&lt;&gt;"",N(AS910)=0),"розетка без 30 мА",""),IF(IFERROR(_xlfn.NUMBERVALUE(MID(Q910,FIND("-",Q910,FIND("L=",Q910))+1,FIND("%",Q910)-FIND("-",Q910,FIND("L=",Q910))-1),","),0)&gt;4,"потери &gt; 4 %","")))</f>
      </c>
      <c r="AF910" s="129">
        <f>IF(E910&lt;&gt;"",COUNTIFS($A$3:A910,A910,$E$3:E910,"?*"),IF(OR(A910&lt;&gt;A909,Y910="вручную"),"",AF909))</f>
        <v/>
      </c>
      <c r="AG910" s="129">
        <f t="shared" si="593"/>
        <v/>
      </c>
      <c r="AH910" s="129">
        <f t="shared" si="594"/>
        <v/>
      </c>
      <c r="AI910" s="129">
        <f t="shared" si="595"/>
        <v/>
      </c>
      <c r="AJ910" s="129">
        <f t="shared" si="596"/>
        <v/>
      </c>
      <c r="AK910" s="129">
        <f t="shared" si="597"/>
        <v/>
      </c>
      <c r="AL910" s="129">
        <f t="shared" si="598"/>
        <v/>
      </c>
      <c r="AM910" s="129">
        <f t="shared" si="599"/>
      </c>
      <c r="AN910" s="129">
        <f t="shared" si="600"/>
      </c>
      <c r="AO910" s="129">
        <f t="shared" si="601"/>
        <v/>
      </c>
      <c r="AP910" s="129">
        <f t="shared" si="602"/>
        <v/>
      </c>
      <c r="AQ910" s="129">
        <f t="shared" si="603"/>
        <v/>
      </c>
      <c r="AR910" s="129">
        <f t="shared" si="604"/>
        <v/>
      </c>
      <c r="AS910" s="129">
        <f t="shared" si="605"/>
        <v/>
      </c>
      <c r="AT910" s="129">
        <f t="shared" si="606"/>
        <v/>
      </c>
      <c r="AU910" s="129">
        <f t="shared" si="607"/>
        <v/>
      </c>
      <c r="AV910" s="129">
        <f t="shared" si="608"/>
        <v/>
      </c>
      <c r="AW910" s="129">
        <f>IF(AV910="","",AV910&amp;"."&amp;COUNTIFS($A$3:A910,A910,$AV$3:AV910,AV910))</f>
        <v/>
      </c>
      <c r="AX910" s="129">
        <f t="shared" si="609"/>
        <v/>
      </c>
      <c r="AY910" s="129">
        <f>IF(N910="б/к",0,IF(OR(ISNUMBER(SEARCH("L=",Разбивка_по_щитам!P910)),N910="+",N910="="),1,0))</f>
      </c>
      <c r="AZ910" s="129">
        <f t="shared" si="610"/>
        <v/>
      </c>
      <c r="BA910" s="129">
        <f t="shared" si="611"/>
      </c>
      <c r="BB910" s="129">
        <f t="shared" si="612"/>
      </c>
      <c r="BD910" s="129">
        <f t="shared" si="613"/>
      </c>
      <c r="BE910" s="129">
        <f t="shared" si="614"/>
      </c>
      <c r="BF910" s="129">
        <f t="shared" si="615"/>
      </c>
      <c r="BG910" s="129">
        <f t="shared" si="616"/>
        <v/>
      </c>
      <c r="BH910" s="129">
        <f t="shared" si="617"/>
        <v/>
      </c>
      <c r="BI910" s="129">
        <f t="shared" si="618"/>
        <v/>
      </c>
      <c r="BJ910" s="129">
        <f t="shared" si="619"/>
        <v/>
      </c>
      <c r="BK910" s="129">
        <f>IF(R910="","",IF(OR(BY910="",BY910=0),"BOX",IFERROR(IF(VLOOKUP(BY910,УГО_блоки,3,FALSE)&amp;""&lt;&gt;"",VLOOKUP(BY910,УГО_блоки,3,FALSE),VLOOKUP(BY910,УГО_блоки,2,FALSE)),BY910)))</f>
      </c>
      <c r="BL910" s="129">
        <f t="shared" si="621"/>
      </c>
      <c r="BM910" s="129">
        <f>IF(H910="","",IF(COUNTIF($H$3:H910,H910)=1,MAX($BM$2:BM909)+1,""))</f>
      </c>
      <c r="BN910" s="129">
        <f>IF(I910="","",IF(COUNTIF($I$3:I910,I910)+COUNTIF($J$2:J909,I910)+COUNTIF($K$2:K909,I910)=1,MAX($BN$2:BP909)+1,""))</f>
      </c>
      <c r="BO910" s="129">
        <f>IF(J910="","",IF(COUNTIF($I$3:I910,J910)+COUNTIF($J$3:J910,J910)+COUNTIF($K$2:K909,J910)=1,MAX($BN$2:BP909,BN910)+1,""))</f>
      </c>
      <c r="BP910" s="129">
        <f>IF(K910="","",IF(COUNTIF($I$3:I910,K910)+COUNTIF($J$3:J910,K910)+COUNTIF($K$3:K910,K910)=1,MAX($BN$2:BP909,BN910,BO910)+1,""))</f>
      </c>
      <c r="BQ910" s="129">
        <f>IF(AY910=1,IFERROR(MID(Q910,FIND(" (",Q910)+2,FIND(")",Q910,FIND(" (",Q910))-FIND(" (",Q910)-2),"?"),"")</f>
      </c>
      <c r="BR910" s="129">
        <f>IF(BQ910="","",IF(COUNTIF($BQ$3:BQ910,BQ910)=1,MAX($BR$2:BR909)+1,""))</f>
      </c>
      <c r="BS910" s="129">
        <f>IF(AW910="","",COUNTIF($AW$3:AW910,"?*"))</f>
      </c>
      <c r="BT910" s="129">
        <f>IF(OR(AW910="",AI910=""),"",IF(COUNTIFS($AW$3:AW910,"?*",$AI$3:AI910,AI910)=1,MAX($BT$2:BT909)+1,""))</f>
      </c>
      <c r="BU910" s="129">
        <f>IF(AE910="",0,IF(OR(ISNUMBER(SEARCH("дубль",AE910)),ISNUMBER(SEARCH("ПЕРЕГРУЗ",AE910)),ISNUMBER(SEARCH("ЗАЩИЩ",AE910)),ISNUMBER(SEARCH("КАНАЛ",AE910)),ISNUMBER(SEARCH("без 30",AE910))),2,1))</f>
      </c>
      <c r="BV910" s="129">
        <f>IF(R910="","",COUNTIF($R$3:R910,"?*"))</f>
      </c>
      <c r="BW910" s="129">
        <f>IF(AY910&lt;&gt;1,0,IF(MAX(IFERROR(--VLOOKUP(R910,УГО_спр,5,FALSE),0),IFERROR(--VLOOKUP(AL910,УГО_спр,5,FALSE),0),IFERROR(--VLOOKUP(LEFT(AL910,2),УГО_спр,5,FALSE),0))&gt;0,MAX(IFERROR(--VLOOKUP(R910,УГО_спр,5,FALSE),0),IFERROR(--VLOOKUP(AL910,УГО_спр,5,FALSE),0),IFERROR(--VLOOKUP(LEFT(AL910,2),УГО_спр,5,FALSE),0)),IF(IFERROR(--LEFT(SUBSTITUTE(BQ910,"x","х"),FIND("х",SUBSTITUTE(BQ910,"x","х"))-1),3)&gt;3,Каталог!$S$9,1)))</f>
      </c>
      <c r="BX910" s="129">
        <f>IF(AY910&lt;&gt;1,0,MAX(0,IFERROR(--LEFT(SUBSTITUTE(BQ910,"x","х"),FIND("х",SUBSTITUTE(BQ910,"x","х"))-1),3)-3*BW910))</f>
      </c>
      <c r="BY910" s="129">
        <f>IF(R910="","",IFERROR(VLOOKUP(R910,УГО_спр,2,FALSE),IFERROR(VLOOKUP(AL910,УГО_спр,2,FALSE),IFERROR(VLOOKUP(LEFT(AL910,2),УГО_спр,2,FALSE),""))))</f>
      </c>
    </row>
    <row r="911" spans="1:64" x14ac:dyDescent="0.3">
      <c r="A911" s="135">
        <f>IF(Разбивка_по_щитам!F911=0,"",Разбивка_по_щитам!F911)</f>
        <v/>
      </c>
      <c r="B911" s="138">
        <f>IF(A911="","",Разбивка_по_щитам!C911)</f>
        <v/>
      </c>
      <c r="C911" s="138">
        <f t="shared" si="582"/>
        <v/>
      </c>
      <c r="D911" s="266"/>
      <c r="E911" s="266"/>
      <c r="F911" s="267"/>
      <c r="G911" s="145">
        <f t="shared" si="583"/>
        <v/>
      </c>
      <c r="H911" s="145">
        <f t="shared" si="584"/>
        <v/>
      </c>
      <c r="I911" s="266"/>
      <c r="J911" s="267"/>
      <c r="K911" s="267"/>
      <c r="L911" s="266"/>
      <c r="M911" s="147">
        <f t="shared" si="585"/>
        <v/>
      </c>
      <c r="N911" s="267"/>
      <c r="O911" s="147">
        <f t="shared" si="586"/>
        <v/>
      </c>
      <c r="P911" s="268">
        <f>IF(AY911=1,"XT"&amp;COUNTIFS($A$3:A911,A911,$AY$3:AY911,1),"")</f>
        <v/>
      </c>
      <c r="Q911" s="152">
        <f>IF(R911="","",IFERROR(SUBSTITUTE(Разбивка_по_щитам!P911,CHAR(10)," "),""))</f>
        <v/>
      </c>
      <c r="R911" s="153">
        <f>IF(OR(Разбивка_по_щитам!H911="",Разбивка_по_щитам!H911=0),"",Разбивка_по_щитам!H911)</f>
        <v/>
      </c>
      <c r="S911" s="154">
        <f>IF(R911="","",IFERROR(Разбивка_по_щитам!J911&amp;"",""))</f>
        <v/>
      </c>
      <c r="T911" s="155">
        <f>IF(R911="","",IFERROR(--Разбивка_по_щитам!L911,""))</f>
        <v/>
      </c>
      <c r="U911" s="155">
        <f>IF(R911="","",IFERROR(--Разбивка_по_щитам!K911,""))</f>
        <v/>
      </c>
      <c r="V911" s="138">
        <f>IF(R911="","",IFERROR(IF(Разбивка_по_щитам!M911=0,"",Разбивка_по_щитам!M911),""))</f>
        <v/>
      </c>
      <c r="W911" s="156">
        <f t="shared" si="587"/>
        <v/>
      </c>
      <c r="X911" s="157">
        <f t="shared" si="588"/>
        <v/>
      </c>
      <c r="Y911" s="266"/>
      <c r="Z911" s="158">
        <f t="shared" si="589"/>
        <v/>
      </c>
      <c r="AA911" s="160">
        <f t="shared" si="590"/>
        <v/>
      </c>
      <c r="AB911" s="160">
        <f>IF(R911="","",IFERROR(LOOKUP(INDEX(Справочная!$I$4:$I$19,MATCH(VLOOKUP(R911,Исходные_данные,22,FALSE),Справочная!$J$4:$J$19,0)+1),{6,10,16,20,25,32,40,50,63,80,100,125}),""))</f>
        <v/>
      </c>
      <c r="AC911" s="160">
        <f t="shared" si="591"/>
        <v/>
      </c>
      <c r="AD911" s="161">
        <f t="shared" si="592"/>
        <v/>
      </c>
      <c r="AE911" s="161">
        <f>IF(AND(R911="",G911=""),"",_xlfn.TEXTJOIN("; ",TRUE,IF(AND(R911&lt;&gt;"",V911=""),"нет фазы",""),IF(AND(R911&lt;&gt;"",N(T911)=0),"нет мощности",""),IF(AND(P911&lt;&gt;"",COUNTIFS($A$3:$A$1000,A911,$P$3:$P$1000,P911)&gt;1),"дубль клеммы "&amp;P911,""),IF(AND(W911&lt;&gt;"",W911&lt;&gt;"ok"),W911,""),IF(X911&lt;&gt;"",X911,""),IF(AND(ISNUMBER(SEARCH("(5х",Q911)),N(AK911)=1),"5 жил на 1 фазе",""),IF(AND(AL911="R",E911&lt;&gt;"",N(AS911)=0),"розетка без 30 мА",""),IF(IFERROR(_xlfn.NUMBERVALUE(MID(Q911,FIND("-",Q911,FIND("L=",Q911))+1,FIND("%",Q911)-FIND("-",Q911,FIND("L=",Q911))-1),","),0)&gt;4,"потери &gt; 4 %","")))</f>
      </c>
      <c r="AF911" s="129">
        <f>IF(E911&lt;&gt;"",COUNTIFS($A$3:A911,A911,$E$3:E911,"?*"),IF(OR(A911&lt;&gt;A910,Y911="вручную"),"",AF910))</f>
        <v/>
      </c>
      <c r="AG911" s="129">
        <f t="shared" si="593"/>
        <v/>
      </c>
      <c r="AH911" s="129">
        <f t="shared" si="594"/>
        <v/>
      </c>
      <c r="AI911" s="129">
        <f t="shared" si="595"/>
        <v/>
      </c>
      <c r="AJ911" s="129">
        <f t="shared" si="596"/>
        <v/>
      </c>
      <c r="AK911" s="129">
        <f t="shared" si="597"/>
        <v/>
      </c>
      <c r="AL911" s="129">
        <f t="shared" si="598"/>
        <v/>
      </c>
      <c r="AM911" s="129">
        <f t="shared" si="599"/>
      </c>
      <c r="AN911" s="129">
        <f t="shared" si="600"/>
      </c>
      <c r="AO911" s="129">
        <f t="shared" si="601"/>
        <v/>
      </c>
      <c r="AP911" s="129">
        <f t="shared" si="602"/>
        <v/>
      </c>
      <c r="AQ911" s="129">
        <f t="shared" si="603"/>
        <v/>
      </c>
      <c r="AR911" s="129">
        <f t="shared" si="604"/>
        <v/>
      </c>
      <c r="AS911" s="129">
        <f t="shared" si="605"/>
        <v/>
      </c>
      <c r="AT911" s="129">
        <f t="shared" si="606"/>
        <v/>
      </c>
      <c r="AU911" s="129">
        <f t="shared" si="607"/>
        <v/>
      </c>
      <c r="AV911" s="129">
        <f t="shared" si="608"/>
        <v/>
      </c>
      <c r="AW911" s="129">
        <f>IF(AV911="","",AV911&amp;"."&amp;COUNTIFS($A$3:A911,A911,$AV$3:AV911,AV911))</f>
        <v/>
      </c>
      <c r="AX911" s="129">
        <f t="shared" si="609"/>
        <v/>
      </c>
      <c r="AY911" s="129">
        <f>IF(N911="б/к",0,IF(OR(ISNUMBER(SEARCH("L=",Разбивка_по_щитам!P911)),N911="+",N911="="),1,0))</f>
      </c>
      <c r="AZ911" s="129">
        <f t="shared" si="610"/>
        <v/>
      </c>
      <c r="BA911" s="129">
        <f t="shared" si="611"/>
      </c>
      <c r="BB911" s="129">
        <f t="shared" si="612"/>
      </c>
      <c r="BD911" s="129">
        <f t="shared" si="613"/>
      </c>
      <c r="BE911" s="129">
        <f t="shared" si="614"/>
      </c>
      <c r="BF911" s="129">
        <f t="shared" si="615"/>
      </c>
      <c r="BG911" s="129">
        <f t="shared" si="616"/>
        <v/>
      </c>
      <c r="BH911" s="129">
        <f t="shared" si="617"/>
        <v/>
      </c>
      <c r="BI911" s="129">
        <f t="shared" si="618"/>
        <v/>
      </c>
      <c r="BJ911" s="129">
        <f t="shared" si="619"/>
        <v/>
      </c>
      <c r="BK911" s="129">
        <f>IF(R911="","",IF(OR(BY911="",BY911=0),"BOX",IFERROR(IF(VLOOKUP(BY911,УГО_блоки,3,FALSE)&amp;""&lt;&gt;"",VLOOKUP(BY911,УГО_блоки,3,FALSE),VLOOKUP(BY911,УГО_блоки,2,FALSE)),BY911)))</f>
      </c>
      <c r="BL911" s="129">
        <f t="shared" si="621"/>
      </c>
      <c r="BM911" s="129">
        <f>IF(H911="","",IF(COUNTIF($H$3:H911,H911)=1,MAX($BM$2:BM910)+1,""))</f>
      </c>
      <c r="BN911" s="129">
        <f>IF(I911="","",IF(COUNTIF($I$3:I911,I911)+COUNTIF($J$2:J910,I911)+COUNTIF($K$2:K910,I911)=1,MAX($BN$2:BP910)+1,""))</f>
      </c>
      <c r="BO911" s="129">
        <f>IF(J911="","",IF(COUNTIF($I$3:I911,J911)+COUNTIF($J$3:J911,J911)+COUNTIF($K$2:K910,J911)=1,MAX($BN$2:BP910,BN911)+1,""))</f>
      </c>
      <c r="BP911" s="129">
        <f>IF(K911="","",IF(COUNTIF($I$3:I911,K911)+COUNTIF($J$3:J911,K911)+COUNTIF($K$3:K911,K911)=1,MAX($BN$2:BP910,BN911,BO911)+1,""))</f>
      </c>
      <c r="BQ911" s="129">
        <f>IF(AY911=1,IFERROR(MID(Q911,FIND(" (",Q911)+2,FIND(")",Q911,FIND(" (",Q911))-FIND(" (",Q911)-2),"?"),"")</f>
      </c>
      <c r="BR911" s="129">
        <f>IF(BQ911="","",IF(COUNTIF($BQ$3:BQ911,BQ911)=1,MAX($BR$2:BR910)+1,""))</f>
      </c>
      <c r="BS911" s="129">
        <f>IF(AW911="","",COUNTIF($AW$3:AW911,"?*"))</f>
      </c>
      <c r="BT911" s="129">
        <f>IF(OR(AW911="",AI911=""),"",IF(COUNTIFS($AW$3:AW911,"?*",$AI$3:AI911,AI911)=1,MAX($BT$2:BT910)+1,""))</f>
      </c>
      <c r="BU911" s="129">
        <f>IF(AE911="",0,IF(OR(ISNUMBER(SEARCH("дубль",AE911)),ISNUMBER(SEARCH("ПЕРЕГРУЗ",AE911)),ISNUMBER(SEARCH("ЗАЩИЩ",AE911)),ISNUMBER(SEARCH("КАНАЛ",AE911)),ISNUMBER(SEARCH("без 30",AE911))),2,1))</f>
      </c>
      <c r="BV911" s="129">
        <f>IF(R911="","",COUNTIF($R$3:R911,"?*"))</f>
      </c>
      <c r="BW911" s="129">
        <f>IF(AY911&lt;&gt;1,0,IF(MAX(IFERROR(--VLOOKUP(R911,УГО_спр,5,FALSE),0),IFERROR(--VLOOKUP(AL911,УГО_спр,5,FALSE),0),IFERROR(--VLOOKUP(LEFT(AL911,2),УГО_спр,5,FALSE),0))&gt;0,MAX(IFERROR(--VLOOKUP(R911,УГО_спр,5,FALSE),0),IFERROR(--VLOOKUP(AL911,УГО_спр,5,FALSE),0),IFERROR(--VLOOKUP(LEFT(AL911,2),УГО_спр,5,FALSE),0)),IF(IFERROR(--LEFT(SUBSTITUTE(BQ911,"x","х"),FIND("х",SUBSTITUTE(BQ911,"x","х"))-1),3)&gt;3,Каталог!$S$9,1)))</f>
      </c>
      <c r="BX911" s="129">
        <f>IF(AY911&lt;&gt;1,0,MAX(0,IFERROR(--LEFT(SUBSTITUTE(BQ911,"x","х"),FIND("х",SUBSTITUTE(BQ911,"x","х"))-1),3)-3*BW911))</f>
      </c>
      <c r="BY911" s="129">
        <f>IF(R911="","",IFERROR(VLOOKUP(R911,УГО_спр,2,FALSE),IFERROR(VLOOKUP(AL911,УГО_спр,2,FALSE),IFERROR(VLOOKUP(LEFT(AL911,2),УГО_спр,2,FALSE),""))))</f>
      </c>
    </row>
    <row r="912" spans="1:64" x14ac:dyDescent="0.3">
      <c r="A912" s="135">
        <f>IF(Разбивка_по_щитам!F912=0,"",Разбивка_по_щитам!F912)</f>
        <v/>
      </c>
      <c r="B912" s="138">
        <f>IF(A912="","",Разбивка_по_щитам!C912)</f>
        <v/>
      </c>
      <c r="C912" s="138">
        <f t="shared" si="582"/>
        <v/>
      </c>
      <c r="D912" s="266"/>
      <c r="E912" s="266"/>
      <c r="F912" s="267"/>
      <c r="G912" s="145">
        <f t="shared" si="583"/>
        <v/>
      </c>
      <c r="H912" s="145">
        <f t="shared" si="584"/>
        <v/>
      </c>
      <c r="I912" s="266"/>
      <c r="J912" s="267"/>
      <c r="K912" s="267"/>
      <c r="L912" s="266"/>
      <c r="M912" s="147">
        <f t="shared" si="585"/>
        <v/>
      </c>
      <c r="N912" s="267"/>
      <c r="O912" s="147">
        <f t="shared" si="586"/>
        <v/>
      </c>
      <c r="P912" s="268">
        <f>IF(AY912=1,"XT"&amp;COUNTIFS($A$3:A912,A912,$AY$3:AY912,1),"")</f>
        <v/>
      </c>
      <c r="Q912" s="152">
        <f>IF(R912="","",IFERROR(SUBSTITUTE(Разбивка_по_щитам!P912,CHAR(10)," "),""))</f>
        <v/>
      </c>
      <c r="R912" s="153">
        <f>IF(OR(Разбивка_по_щитам!H912="",Разбивка_по_щитам!H912=0),"",Разбивка_по_щитам!H912)</f>
        <v/>
      </c>
      <c r="S912" s="154">
        <f>IF(R912="","",IFERROR(Разбивка_по_щитам!J912&amp;"",""))</f>
        <v/>
      </c>
      <c r="T912" s="155">
        <f>IF(R912="","",IFERROR(--Разбивка_по_щитам!L912,""))</f>
        <v/>
      </c>
      <c r="U912" s="155">
        <f>IF(R912="","",IFERROR(--Разбивка_по_щитам!K912,""))</f>
        <v/>
      </c>
      <c r="V912" s="138">
        <f>IF(R912="","",IFERROR(IF(Разбивка_по_щитам!M912=0,"",Разбивка_по_щитам!M912),""))</f>
        <v/>
      </c>
      <c r="W912" s="156">
        <f t="shared" si="587"/>
        <v/>
      </c>
      <c r="X912" s="157">
        <f t="shared" si="588"/>
        <v/>
      </c>
      <c r="Y912" s="266"/>
      <c r="Z912" s="158">
        <f t="shared" si="589"/>
        <v/>
      </c>
      <c r="AA912" s="160">
        <f t="shared" si="590"/>
        <v/>
      </c>
      <c r="AB912" s="160">
        <f>IF(R912="","",IFERROR(LOOKUP(INDEX(Справочная!$I$4:$I$19,MATCH(VLOOKUP(R912,Исходные_данные,22,FALSE),Справочная!$J$4:$J$19,0)+1),{6,10,16,20,25,32,40,50,63,80,100,125}),""))</f>
        <v/>
      </c>
      <c r="AC912" s="160">
        <f t="shared" si="591"/>
        <v/>
      </c>
      <c r="AD912" s="161">
        <f t="shared" si="592"/>
        <v/>
      </c>
      <c r="AE912" s="161">
        <f>IF(AND(R912="",G912=""),"",_xlfn.TEXTJOIN("; ",TRUE,IF(AND(R912&lt;&gt;"",V912=""),"нет фазы",""),IF(AND(R912&lt;&gt;"",N(T912)=0),"нет мощности",""),IF(AND(P912&lt;&gt;"",COUNTIFS($A$3:$A$1000,A912,$P$3:$P$1000,P912)&gt;1),"дубль клеммы "&amp;P912,""),IF(AND(W912&lt;&gt;"",W912&lt;&gt;"ok"),W912,""),IF(X912&lt;&gt;"",X912,""),IF(AND(ISNUMBER(SEARCH("(5х",Q912)),N(AK912)=1),"5 жил на 1 фазе",""),IF(AND(AL912="R",E912&lt;&gt;"",N(AS912)=0),"розетка без 30 мА",""),IF(IFERROR(_xlfn.NUMBERVALUE(MID(Q912,FIND("-",Q912,FIND("L=",Q912))+1,FIND("%",Q912)-FIND("-",Q912,FIND("L=",Q912))-1),","),0)&gt;4,"потери &gt; 4 %","")))</f>
      </c>
      <c r="AF912" s="129">
        <f>IF(E912&lt;&gt;"",COUNTIFS($A$3:A912,A912,$E$3:E912,"?*"),IF(OR(A912&lt;&gt;A911,Y912="вручную"),"",AF911))</f>
        <v/>
      </c>
      <c r="AG912" s="129">
        <f t="shared" si="593"/>
        <v/>
      </c>
      <c r="AH912" s="129">
        <f t="shared" si="594"/>
        <v/>
      </c>
      <c r="AI912" s="129">
        <f t="shared" si="595"/>
        <v/>
      </c>
      <c r="AJ912" s="129">
        <f t="shared" si="596"/>
        <v/>
      </c>
      <c r="AK912" s="129">
        <f t="shared" si="597"/>
        <v/>
      </c>
      <c r="AL912" s="129">
        <f t="shared" si="598"/>
        <v/>
      </c>
      <c r="AM912" s="129">
        <f t="shared" si="599"/>
      </c>
      <c r="AN912" s="129">
        <f t="shared" si="600"/>
      </c>
      <c r="AO912" s="129">
        <f t="shared" si="601"/>
        <v/>
      </c>
      <c r="AP912" s="129">
        <f t="shared" si="602"/>
        <v/>
      </c>
      <c r="AQ912" s="129">
        <f t="shared" si="603"/>
        <v/>
      </c>
      <c r="AR912" s="129">
        <f t="shared" si="604"/>
        <v/>
      </c>
      <c r="AS912" s="129">
        <f t="shared" si="605"/>
        <v/>
      </c>
      <c r="AT912" s="129">
        <f t="shared" si="606"/>
        <v/>
      </c>
      <c r="AU912" s="129">
        <f t="shared" si="607"/>
        <v/>
      </c>
      <c r="AV912" s="129">
        <f t="shared" si="608"/>
        <v/>
      </c>
      <c r="AW912" s="129">
        <f>IF(AV912="","",AV912&amp;"."&amp;COUNTIFS($A$3:A912,A912,$AV$3:AV912,AV912))</f>
        <v/>
      </c>
      <c r="AX912" s="129">
        <f t="shared" si="609"/>
        <v/>
      </c>
      <c r="AY912" s="129">
        <f>IF(N912="б/к",0,IF(OR(ISNUMBER(SEARCH("L=",Разбивка_по_щитам!P912)),N912="+",N912="="),1,0))</f>
      </c>
      <c r="AZ912" s="129">
        <f t="shared" si="610"/>
        <v/>
      </c>
      <c r="BA912" s="129">
        <f t="shared" si="611"/>
      </c>
      <c r="BB912" s="129">
        <f t="shared" si="612"/>
      </c>
      <c r="BD912" s="129">
        <f t="shared" si="613"/>
      </c>
      <c r="BE912" s="129">
        <f t="shared" si="614"/>
      </c>
      <c r="BF912" s="129">
        <f t="shared" si="615"/>
      </c>
      <c r="BG912" s="129">
        <f t="shared" si="616"/>
        <v/>
      </c>
      <c r="BH912" s="129">
        <f t="shared" si="617"/>
        <v/>
      </c>
      <c r="BI912" s="129">
        <f t="shared" si="618"/>
        <v/>
      </c>
      <c r="BJ912" s="129">
        <f t="shared" si="619"/>
        <v/>
      </c>
      <c r="BK912" s="129">
        <f>IF(R912="","",IF(OR(BY912="",BY912=0),"BOX",IFERROR(IF(VLOOKUP(BY912,УГО_блоки,3,FALSE)&amp;""&lt;&gt;"",VLOOKUP(BY912,УГО_блоки,3,FALSE),VLOOKUP(BY912,УГО_блоки,2,FALSE)),BY912)))</f>
      </c>
      <c r="BL912" s="129">
        <f t="shared" si="621"/>
      </c>
      <c r="BM912" s="129">
        <f>IF(H912="","",IF(COUNTIF($H$3:H912,H912)=1,MAX($BM$2:BM911)+1,""))</f>
      </c>
      <c r="BN912" s="129">
        <f>IF(I912="","",IF(COUNTIF($I$3:I912,I912)+COUNTIF($J$2:J911,I912)+COUNTIF($K$2:K911,I912)=1,MAX($BN$2:BP911)+1,""))</f>
      </c>
      <c r="BO912" s="129">
        <f>IF(J912="","",IF(COUNTIF($I$3:I912,J912)+COUNTIF($J$3:J912,J912)+COUNTIF($K$2:K911,J912)=1,MAX($BN$2:BP911,BN912)+1,""))</f>
      </c>
      <c r="BP912" s="129">
        <f>IF(K912="","",IF(COUNTIF($I$3:I912,K912)+COUNTIF($J$3:J912,K912)+COUNTIF($K$3:K912,K912)=1,MAX($BN$2:BP911,BN912,BO912)+1,""))</f>
      </c>
      <c r="BQ912" s="129">
        <f>IF(AY912=1,IFERROR(MID(Q912,FIND(" (",Q912)+2,FIND(")",Q912,FIND(" (",Q912))-FIND(" (",Q912)-2),"?"),"")</f>
      </c>
      <c r="BR912" s="129">
        <f>IF(BQ912="","",IF(COUNTIF($BQ$3:BQ912,BQ912)=1,MAX($BR$2:BR911)+1,""))</f>
      </c>
      <c r="BS912" s="129">
        <f>IF(AW912="","",COUNTIF($AW$3:AW912,"?*"))</f>
      </c>
      <c r="BT912" s="129">
        <f>IF(OR(AW912="",AI912=""),"",IF(COUNTIFS($AW$3:AW912,"?*",$AI$3:AI912,AI912)=1,MAX($BT$2:BT911)+1,""))</f>
      </c>
      <c r="BU912" s="129">
        <f>IF(AE912="",0,IF(OR(ISNUMBER(SEARCH("дубль",AE912)),ISNUMBER(SEARCH("ПЕРЕГРУЗ",AE912)),ISNUMBER(SEARCH("ЗАЩИЩ",AE912)),ISNUMBER(SEARCH("КАНАЛ",AE912)),ISNUMBER(SEARCH("без 30",AE912))),2,1))</f>
      </c>
      <c r="BV912" s="129">
        <f>IF(R912="","",COUNTIF($R$3:R912,"?*"))</f>
      </c>
      <c r="BW912" s="129">
        <f>IF(AY912&lt;&gt;1,0,IF(MAX(IFERROR(--VLOOKUP(R912,УГО_спр,5,FALSE),0),IFERROR(--VLOOKUP(AL912,УГО_спр,5,FALSE),0),IFERROR(--VLOOKUP(LEFT(AL912,2),УГО_спр,5,FALSE),0))&gt;0,MAX(IFERROR(--VLOOKUP(R912,УГО_спр,5,FALSE),0),IFERROR(--VLOOKUP(AL912,УГО_спр,5,FALSE),0),IFERROR(--VLOOKUP(LEFT(AL912,2),УГО_спр,5,FALSE),0)),IF(IFERROR(--LEFT(SUBSTITUTE(BQ912,"x","х"),FIND("х",SUBSTITUTE(BQ912,"x","х"))-1),3)&gt;3,Каталог!$S$9,1)))</f>
      </c>
      <c r="BX912" s="129">
        <f>IF(AY912&lt;&gt;1,0,MAX(0,IFERROR(--LEFT(SUBSTITUTE(BQ912,"x","х"),FIND("х",SUBSTITUTE(BQ912,"x","х"))-1),3)-3*BW912))</f>
      </c>
      <c r="BY912" s="129">
        <f>IF(R912="","",IFERROR(VLOOKUP(R912,УГО_спр,2,FALSE),IFERROR(VLOOKUP(AL912,УГО_спр,2,FALSE),IFERROR(VLOOKUP(LEFT(AL912,2),УГО_спр,2,FALSE),""))))</f>
      </c>
    </row>
    <row r="913" spans="1:64" x14ac:dyDescent="0.3">
      <c r="A913" s="135">
        <f>IF(Разбивка_по_щитам!F913=0,"",Разбивка_по_щитам!F913)</f>
        <v/>
      </c>
      <c r="B913" s="138">
        <f>IF(A913="","",Разбивка_по_щитам!C913)</f>
        <v/>
      </c>
      <c r="C913" s="138">
        <f t="shared" si="582"/>
        <v/>
      </c>
      <c r="D913" s="266"/>
      <c r="E913" s="266"/>
      <c r="F913" s="267"/>
      <c r="G913" s="145">
        <f t="shared" si="583"/>
        <v/>
      </c>
      <c r="H913" s="145">
        <f t="shared" si="584"/>
        <v/>
      </c>
      <c r="I913" s="266"/>
      <c r="J913" s="267"/>
      <c r="K913" s="267"/>
      <c r="L913" s="266"/>
      <c r="M913" s="147">
        <f t="shared" si="585"/>
        <v/>
      </c>
      <c r="N913" s="267"/>
      <c r="O913" s="147">
        <f t="shared" si="586"/>
        <v/>
      </c>
      <c r="P913" s="268">
        <f>IF(AY913=1,"XT"&amp;COUNTIFS($A$3:A913,A913,$AY$3:AY913,1),"")</f>
        <v/>
      </c>
      <c r="Q913" s="152">
        <f>IF(R913="","",IFERROR(SUBSTITUTE(Разбивка_по_щитам!P913,CHAR(10)," "),""))</f>
        <v/>
      </c>
      <c r="R913" s="153">
        <f>IF(OR(Разбивка_по_щитам!H913="",Разбивка_по_щитам!H913=0),"",Разбивка_по_щитам!H913)</f>
        <v/>
      </c>
      <c r="S913" s="154">
        <f>IF(R913="","",IFERROR(Разбивка_по_щитам!J913&amp;"",""))</f>
        <v/>
      </c>
      <c r="T913" s="155">
        <f>IF(R913="","",IFERROR(--Разбивка_по_щитам!L913,""))</f>
        <v/>
      </c>
      <c r="U913" s="155">
        <f>IF(R913="","",IFERROR(--Разбивка_по_щитам!K913,""))</f>
        <v/>
      </c>
      <c r="V913" s="138">
        <f>IF(R913="","",IFERROR(IF(Разбивка_по_щитам!M913=0,"",Разбивка_по_щитам!M913),""))</f>
        <v/>
      </c>
      <c r="W913" s="156">
        <f t="shared" si="587"/>
        <v/>
      </c>
      <c r="X913" s="157">
        <f t="shared" si="588"/>
        <v/>
      </c>
      <c r="Y913" s="266"/>
      <c r="Z913" s="158">
        <f t="shared" si="589"/>
        <v/>
      </c>
      <c r="AA913" s="160">
        <f t="shared" si="590"/>
        <v/>
      </c>
      <c r="AB913" s="160">
        <f>IF(R913="","",IFERROR(LOOKUP(INDEX(Справочная!$I$4:$I$19,MATCH(VLOOKUP(R913,Исходные_данные,22,FALSE),Справочная!$J$4:$J$19,0)+1),{6,10,16,20,25,32,40,50,63,80,100,125}),""))</f>
        <v/>
      </c>
      <c r="AC913" s="160">
        <f t="shared" si="591"/>
        <v/>
      </c>
      <c r="AD913" s="161">
        <f t="shared" si="592"/>
        <v/>
      </c>
      <c r="AE913" s="161">
        <f>IF(AND(R913="",G913=""),"",_xlfn.TEXTJOIN("; ",TRUE,IF(AND(R913&lt;&gt;"",V913=""),"нет фазы",""),IF(AND(R913&lt;&gt;"",N(T913)=0),"нет мощности",""),IF(AND(P913&lt;&gt;"",COUNTIFS($A$3:$A$1000,A913,$P$3:$P$1000,P913)&gt;1),"дубль клеммы "&amp;P913,""),IF(AND(W913&lt;&gt;"",W913&lt;&gt;"ok"),W913,""),IF(X913&lt;&gt;"",X913,""),IF(AND(ISNUMBER(SEARCH("(5х",Q913)),N(AK913)=1),"5 жил на 1 фазе",""),IF(AND(AL913="R",E913&lt;&gt;"",N(AS913)=0),"розетка без 30 мА",""),IF(IFERROR(_xlfn.NUMBERVALUE(MID(Q913,FIND("-",Q913,FIND("L=",Q913))+1,FIND("%",Q913)-FIND("-",Q913,FIND("L=",Q913))-1),","),0)&gt;4,"потери &gt; 4 %","")))</f>
      </c>
      <c r="AF913" s="129">
        <f>IF(E913&lt;&gt;"",COUNTIFS($A$3:A913,A913,$E$3:E913,"?*"),IF(OR(A913&lt;&gt;A912,Y913="вручную"),"",AF912))</f>
        <v/>
      </c>
      <c r="AG913" s="129">
        <f t="shared" si="593"/>
        <v/>
      </c>
      <c r="AH913" s="129">
        <f t="shared" si="594"/>
        <v/>
      </c>
      <c r="AI913" s="129">
        <f t="shared" si="595"/>
        <v/>
      </c>
      <c r="AJ913" s="129">
        <f t="shared" si="596"/>
        <v/>
      </c>
      <c r="AK913" s="129">
        <f t="shared" si="597"/>
        <v/>
      </c>
      <c r="AL913" s="129">
        <f t="shared" si="598"/>
        <v/>
      </c>
      <c r="AM913" s="129">
        <f t="shared" si="599"/>
      </c>
      <c r="AN913" s="129">
        <f t="shared" si="600"/>
      </c>
      <c r="AO913" s="129">
        <f t="shared" si="601"/>
        <v/>
      </c>
      <c r="AP913" s="129">
        <f t="shared" si="602"/>
        <v/>
      </c>
      <c r="AQ913" s="129">
        <f t="shared" si="603"/>
        <v/>
      </c>
      <c r="AR913" s="129">
        <f t="shared" si="604"/>
        <v/>
      </c>
      <c r="AS913" s="129">
        <f t="shared" si="605"/>
        <v/>
      </c>
      <c r="AT913" s="129">
        <f t="shared" si="606"/>
        <v/>
      </c>
      <c r="AU913" s="129">
        <f t="shared" si="607"/>
        <v/>
      </c>
      <c r="AV913" s="129">
        <f t="shared" si="608"/>
        <v/>
      </c>
      <c r="AW913" s="129">
        <f>IF(AV913="","",AV913&amp;"."&amp;COUNTIFS($A$3:A913,A913,$AV$3:AV913,AV913))</f>
        <v/>
      </c>
      <c r="AX913" s="129">
        <f t="shared" si="609"/>
        <v/>
      </c>
      <c r="AY913" s="129">
        <f>IF(N913="б/к",0,IF(OR(ISNUMBER(SEARCH("L=",Разбивка_по_щитам!P913)),N913="+",N913="="),1,0))</f>
      </c>
      <c r="AZ913" s="129">
        <f t="shared" si="610"/>
        <v/>
      </c>
      <c r="BA913" s="129">
        <f t="shared" si="611"/>
      </c>
      <c r="BB913" s="129">
        <f t="shared" si="612"/>
      </c>
      <c r="BD913" s="129">
        <f t="shared" si="613"/>
      </c>
      <c r="BE913" s="129">
        <f t="shared" si="614"/>
      </c>
      <c r="BF913" s="129">
        <f t="shared" si="615"/>
      </c>
      <c r="BG913" s="129">
        <f t="shared" si="616"/>
        <v/>
      </c>
      <c r="BH913" s="129">
        <f t="shared" si="617"/>
        <v/>
      </c>
      <c r="BI913" s="129">
        <f t="shared" si="618"/>
        <v/>
      </c>
      <c r="BJ913" s="129">
        <f t="shared" si="619"/>
        <v/>
      </c>
      <c r="BK913" s="129">
        <f>IF(R913="","",IF(OR(BY913="",BY913=0),"BOX",IFERROR(IF(VLOOKUP(BY913,УГО_блоки,3,FALSE)&amp;""&lt;&gt;"",VLOOKUP(BY913,УГО_блоки,3,FALSE),VLOOKUP(BY913,УГО_блоки,2,FALSE)),BY913)))</f>
      </c>
      <c r="BL913" s="129">
        <f t="shared" si="621"/>
      </c>
      <c r="BM913" s="129">
        <f>IF(H913="","",IF(COUNTIF($H$3:H913,H913)=1,MAX($BM$2:BM912)+1,""))</f>
      </c>
      <c r="BN913" s="129">
        <f>IF(I913="","",IF(COUNTIF($I$3:I913,I913)+COUNTIF($J$2:J912,I913)+COUNTIF($K$2:K912,I913)=1,MAX($BN$2:BP912)+1,""))</f>
      </c>
      <c r="BO913" s="129">
        <f>IF(J913="","",IF(COUNTIF($I$3:I913,J913)+COUNTIF($J$3:J913,J913)+COUNTIF($K$2:K912,J913)=1,MAX($BN$2:BP912,BN913)+1,""))</f>
      </c>
      <c r="BP913" s="129">
        <f>IF(K913="","",IF(COUNTIF($I$3:I913,K913)+COUNTIF($J$3:J913,K913)+COUNTIF($K$3:K913,K913)=1,MAX($BN$2:BP912,BN913,BO913)+1,""))</f>
      </c>
      <c r="BQ913" s="129">
        <f>IF(AY913=1,IFERROR(MID(Q913,FIND(" (",Q913)+2,FIND(")",Q913,FIND(" (",Q913))-FIND(" (",Q913)-2),"?"),"")</f>
      </c>
      <c r="BR913" s="129">
        <f>IF(BQ913="","",IF(COUNTIF($BQ$3:BQ913,BQ913)=1,MAX($BR$2:BR912)+1,""))</f>
      </c>
      <c r="BS913" s="129">
        <f>IF(AW913="","",COUNTIF($AW$3:AW913,"?*"))</f>
      </c>
      <c r="BT913" s="129">
        <f>IF(OR(AW913="",AI913=""),"",IF(COUNTIFS($AW$3:AW913,"?*",$AI$3:AI913,AI913)=1,MAX($BT$2:BT912)+1,""))</f>
      </c>
      <c r="BU913" s="129">
        <f>IF(AE913="",0,IF(OR(ISNUMBER(SEARCH("дубль",AE913)),ISNUMBER(SEARCH("ПЕРЕГРУЗ",AE913)),ISNUMBER(SEARCH("ЗАЩИЩ",AE913)),ISNUMBER(SEARCH("КАНАЛ",AE913)),ISNUMBER(SEARCH("без 30",AE913))),2,1))</f>
      </c>
      <c r="BV913" s="129">
        <f>IF(R913="","",COUNTIF($R$3:R913,"?*"))</f>
      </c>
      <c r="BW913" s="129">
        <f>IF(AY913&lt;&gt;1,0,IF(MAX(IFERROR(--VLOOKUP(R913,УГО_спр,5,FALSE),0),IFERROR(--VLOOKUP(AL913,УГО_спр,5,FALSE),0),IFERROR(--VLOOKUP(LEFT(AL913,2),УГО_спр,5,FALSE),0))&gt;0,MAX(IFERROR(--VLOOKUP(R913,УГО_спр,5,FALSE),0),IFERROR(--VLOOKUP(AL913,УГО_спр,5,FALSE),0),IFERROR(--VLOOKUP(LEFT(AL913,2),УГО_спр,5,FALSE),0)),IF(IFERROR(--LEFT(SUBSTITUTE(BQ913,"x","х"),FIND("х",SUBSTITUTE(BQ913,"x","х"))-1),3)&gt;3,Каталог!$S$9,1)))</f>
      </c>
      <c r="BX913" s="129">
        <f>IF(AY913&lt;&gt;1,0,MAX(0,IFERROR(--LEFT(SUBSTITUTE(BQ913,"x","х"),FIND("х",SUBSTITUTE(BQ913,"x","х"))-1),3)-3*BW913))</f>
      </c>
      <c r="BY913" s="129">
        <f>IF(R913="","",IFERROR(VLOOKUP(R913,УГО_спр,2,FALSE),IFERROR(VLOOKUP(AL913,УГО_спр,2,FALSE),IFERROR(VLOOKUP(LEFT(AL913,2),УГО_спр,2,FALSE),""))))</f>
      </c>
    </row>
    <row r="914" spans="1:64" x14ac:dyDescent="0.3">
      <c r="A914" s="135">
        <f>IF(Разбивка_по_щитам!F914=0,"",Разбивка_по_щитам!F914)</f>
        <v/>
      </c>
      <c r="B914" s="138">
        <f>IF(A914="","",Разбивка_по_щитам!C914)</f>
        <v/>
      </c>
      <c r="C914" s="138">
        <f t="shared" si="582"/>
        <v/>
      </c>
      <c r="D914" s="266"/>
      <c r="E914" s="266"/>
      <c r="F914" s="267"/>
      <c r="G914" s="145">
        <f t="shared" si="583"/>
        <v/>
      </c>
      <c r="H914" s="145">
        <f t="shared" si="584"/>
        <v/>
      </c>
      <c r="I914" s="266"/>
      <c r="J914" s="267"/>
      <c r="K914" s="267"/>
      <c r="L914" s="266"/>
      <c r="M914" s="147">
        <f t="shared" si="585"/>
        <v/>
      </c>
      <c r="N914" s="267"/>
      <c r="O914" s="147">
        <f t="shared" si="586"/>
        <v/>
      </c>
      <c r="P914" s="268">
        <f>IF(AY914=1,"XT"&amp;COUNTIFS($A$3:A914,A914,$AY$3:AY914,1),"")</f>
        <v/>
      </c>
      <c r="Q914" s="152">
        <f>IF(R914="","",IFERROR(SUBSTITUTE(Разбивка_по_щитам!P914,CHAR(10)," "),""))</f>
        <v/>
      </c>
      <c r="R914" s="153">
        <f>IF(OR(Разбивка_по_щитам!H914="",Разбивка_по_щитам!H914=0),"",Разбивка_по_щитам!H914)</f>
        <v/>
      </c>
      <c r="S914" s="154">
        <f>IF(R914="","",IFERROR(Разбивка_по_щитам!J914&amp;"",""))</f>
        <v/>
      </c>
      <c r="T914" s="155">
        <f>IF(R914="","",IFERROR(--Разбивка_по_щитам!L914,""))</f>
        <v/>
      </c>
      <c r="U914" s="155">
        <f>IF(R914="","",IFERROR(--Разбивка_по_щитам!K914,""))</f>
        <v/>
      </c>
      <c r="V914" s="138">
        <f>IF(R914="","",IFERROR(IF(Разбивка_по_щитам!M914=0,"",Разбивка_по_щитам!M914),""))</f>
        <v/>
      </c>
      <c r="W914" s="156">
        <f t="shared" si="587"/>
        <v/>
      </c>
      <c r="X914" s="157">
        <f t="shared" si="588"/>
        <v/>
      </c>
      <c r="Y914" s="266"/>
      <c r="Z914" s="158">
        <f t="shared" si="589"/>
        <v/>
      </c>
      <c r="AA914" s="160">
        <f t="shared" si="590"/>
        <v/>
      </c>
      <c r="AB914" s="160">
        <f>IF(R914="","",IFERROR(LOOKUP(INDEX(Справочная!$I$4:$I$19,MATCH(VLOOKUP(R914,Исходные_данные,22,FALSE),Справочная!$J$4:$J$19,0)+1),{6,10,16,20,25,32,40,50,63,80,100,125}),""))</f>
        <v/>
      </c>
      <c r="AC914" s="160">
        <f t="shared" si="591"/>
        <v/>
      </c>
      <c r="AD914" s="161">
        <f t="shared" si="592"/>
        <v/>
      </c>
      <c r="AE914" s="161">
        <f>IF(AND(R914="",G914=""),"",_xlfn.TEXTJOIN("; ",TRUE,IF(AND(R914&lt;&gt;"",V914=""),"нет фазы",""),IF(AND(R914&lt;&gt;"",N(T914)=0),"нет мощности",""),IF(AND(P914&lt;&gt;"",COUNTIFS($A$3:$A$1000,A914,$P$3:$P$1000,P914)&gt;1),"дубль клеммы "&amp;P914,""),IF(AND(W914&lt;&gt;"",W914&lt;&gt;"ok"),W914,""),IF(X914&lt;&gt;"",X914,""),IF(AND(ISNUMBER(SEARCH("(5х",Q914)),N(AK914)=1),"5 жил на 1 фазе",""),IF(AND(AL914="R",E914&lt;&gt;"",N(AS914)=0),"розетка без 30 мА",""),IF(IFERROR(_xlfn.NUMBERVALUE(MID(Q914,FIND("-",Q914,FIND("L=",Q914))+1,FIND("%",Q914)-FIND("-",Q914,FIND("L=",Q914))-1),","),0)&gt;4,"потери &gt; 4 %","")))</f>
      </c>
      <c r="AF914" s="129">
        <f>IF(E914&lt;&gt;"",COUNTIFS($A$3:A914,A914,$E$3:E914,"?*"),IF(OR(A914&lt;&gt;A913,Y914="вручную"),"",AF913))</f>
        <v/>
      </c>
      <c r="AG914" s="129">
        <f t="shared" si="593"/>
        <v/>
      </c>
      <c r="AH914" s="129">
        <f t="shared" si="594"/>
        <v/>
      </c>
      <c r="AI914" s="129">
        <f t="shared" si="595"/>
        <v/>
      </c>
      <c r="AJ914" s="129">
        <f t="shared" si="596"/>
        <v/>
      </c>
      <c r="AK914" s="129">
        <f t="shared" si="597"/>
        <v/>
      </c>
      <c r="AL914" s="129">
        <f t="shared" si="598"/>
        <v/>
      </c>
      <c r="AM914" s="129">
        <f t="shared" si="599"/>
      </c>
      <c r="AN914" s="129">
        <f t="shared" si="600"/>
      </c>
      <c r="AO914" s="129">
        <f t="shared" si="601"/>
        <v/>
      </c>
      <c r="AP914" s="129">
        <f t="shared" si="602"/>
        <v/>
      </c>
      <c r="AQ914" s="129">
        <f t="shared" si="603"/>
        <v/>
      </c>
      <c r="AR914" s="129">
        <f t="shared" si="604"/>
        <v/>
      </c>
      <c r="AS914" s="129">
        <f t="shared" si="605"/>
        <v/>
      </c>
      <c r="AT914" s="129">
        <f t="shared" si="606"/>
        <v/>
      </c>
      <c r="AU914" s="129">
        <f t="shared" si="607"/>
        <v/>
      </c>
      <c r="AV914" s="129">
        <f t="shared" si="608"/>
        <v/>
      </c>
      <c r="AW914" s="129">
        <f>IF(AV914="","",AV914&amp;"."&amp;COUNTIFS($A$3:A914,A914,$AV$3:AV914,AV914))</f>
        <v/>
      </c>
      <c r="AX914" s="129">
        <f t="shared" si="609"/>
        <v/>
      </c>
      <c r="AY914" s="129">
        <f>IF(N914="б/к",0,IF(OR(ISNUMBER(SEARCH("L=",Разбивка_по_щитам!P914)),N914="+",N914="="),1,0))</f>
      </c>
      <c r="AZ914" s="129">
        <f t="shared" si="610"/>
        <v/>
      </c>
      <c r="BA914" s="129">
        <f t="shared" si="611"/>
      </c>
      <c r="BB914" s="129">
        <f t="shared" si="612"/>
      </c>
      <c r="BD914" s="129">
        <f t="shared" si="613"/>
      </c>
      <c r="BE914" s="129">
        <f t="shared" si="614"/>
      </c>
      <c r="BF914" s="129">
        <f t="shared" si="615"/>
      </c>
      <c r="BG914" s="129">
        <f t="shared" si="616"/>
        <v/>
      </c>
      <c r="BH914" s="129">
        <f t="shared" si="617"/>
        <v/>
      </c>
      <c r="BI914" s="129">
        <f t="shared" si="618"/>
        <v/>
      </c>
      <c r="BJ914" s="129">
        <f t="shared" si="619"/>
        <v/>
      </c>
      <c r="BK914" s="129">
        <f>IF(R914="","",IF(OR(BY914="",BY914=0),"BOX",IFERROR(IF(VLOOKUP(BY914,УГО_блоки,3,FALSE)&amp;""&lt;&gt;"",VLOOKUP(BY914,УГО_блоки,3,FALSE),VLOOKUP(BY914,УГО_блоки,2,FALSE)),BY914)))</f>
      </c>
      <c r="BL914" s="129">
        <f t="shared" si="621"/>
      </c>
      <c r="BM914" s="129">
        <f>IF(H914="","",IF(COUNTIF($H$3:H914,H914)=1,MAX($BM$2:BM913)+1,""))</f>
      </c>
      <c r="BN914" s="129">
        <f>IF(I914="","",IF(COUNTIF($I$3:I914,I914)+COUNTIF($J$2:J913,I914)+COUNTIF($K$2:K913,I914)=1,MAX($BN$2:BP913)+1,""))</f>
      </c>
      <c r="BO914" s="129">
        <f>IF(J914="","",IF(COUNTIF($I$3:I914,J914)+COUNTIF($J$3:J914,J914)+COUNTIF($K$2:K913,J914)=1,MAX($BN$2:BP913,BN914)+1,""))</f>
      </c>
      <c r="BP914" s="129">
        <f>IF(K914="","",IF(COUNTIF($I$3:I914,K914)+COUNTIF($J$3:J914,K914)+COUNTIF($K$3:K914,K914)=1,MAX($BN$2:BP913,BN914,BO914)+1,""))</f>
      </c>
      <c r="BQ914" s="129">
        <f>IF(AY914=1,IFERROR(MID(Q914,FIND(" (",Q914)+2,FIND(")",Q914,FIND(" (",Q914))-FIND(" (",Q914)-2),"?"),"")</f>
      </c>
      <c r="BR914" s="129">
        <f>IF(BQ914="","",IF(COUNTIF($BQ$3:BQ914,BQ914)=1,MAX($BR$2:BR913)+1,""))</f>
      </c>
      <c r="BS914" s="129">
        <f>IF(AW914="","",COUNTIF($AW$3:AW914,"?*"))</f>
      </c>
      <c r="BT914" s="129">
        <f>IF(OR(AW914="",AI914=""),"",IF(COUNTIFS($AW$3:AW914,"?*",$AI$3:AI914,AI914)=1,MAX($BT$2:BT913)+1,""))</f>
      </c>
      <c r="BU914" s="129">
        <f>IF(AE914="",0,IF(OR(ISNUMBER(SEARCH("дубль",AE914)),ISNUMBER(SEARCH("ПЕРЕГРУЗ",AE914)),ISNUMBER(SEARCH("ЗАЩИЩ",AE914)),ISNUMBER(SEARCH("КАНАЛ",AE914)),ISNUMBER(SEARCH("без 30",AE914))),2,1))</f>
      </c>
      <c r="BV914" s="129">
        <f>IF(R914="","",COUNTIF($R$3:R914,"?*"))</f>
      </c>
      <c r="BW914" s="129">
        <f>IF(AY914&lt;&gt;1,0,IF(MAX(IFERROR(--VLOOKUP(R914,УГО_спр,5,FALSE),0),IFERROR(--VLOOKUP(AL914,УГО_спр,5,FALSE),0),IFERROR(--VLOOKUP(LEFT(AL914,2),УГО_спр,5,FALSE),0))&gt;0,MAX(IFERROR(--VLOOKUP(R914,УГО_спр,5,FALSE),0),IFERROR(--VLOOKUP(AL914,УГО_спр,5,FALSE),0),IFERROR(--VLOOKUP(LEFT(AL914,2),УГО_спр,5,FALSE),0)),IF(IFERROR(--LEFT(SUBSTITUTE(BQ914,"x","х"),FIND("х",SUBSTITUTE(BQ914,"x","х"))-1),3)&gt;3,Каталог!$S$9,1)))</f>
      </c>
      <c r="BX914" s="129">
        <f>IF(AY914&lt;&gt;1,0,MAX(0,IFERROR(--LEFT(SUBSTITUTE(BQ914,"x","х"),FIND("х",SUBSTITUTE(BQ914,"x","х"))-1),3)-3*BW914))</f>
      </c>
      <c r="BY914" s="129">
        <f>IF(R914="","",IFERROR(VLOOKUP(R914,УГО_спр,2,FALSE),IFERROR(VLOOKUP(AL914,УГО_спр,2,FALSE),IFERROR(VLOOKUP(LEFT(AL914,2),УГО_спр,2,FALSE),""))))</f>
      </c>
    </row>
    <row r="915" spans="1:64" x14ac:dyDescent="0.3">
      <c r="A915" s="135">
        <f>IF(Разбивка_по_щитам!F915=0,"",Разбивка_по_щитам!F915)</f>
        <v/>
      </c>
      <c r="B915" s="138">
        <f>IF(A915="","",Разбивка_по_щитам!C915)</f>
        <v/>
      </c>
      <c r="C915" s="138">
        <f t="shared" si="582"/>
        <v/>
      </c>
      <c r="D915" s="266"/>
      <c r="E915" s="266"/>
      <c r="F915" s="267"/>
      <c r="G915" s="145">
        <f t="shared" si="583"/>
        <v/>
      </c>
      <c r="H915" s="145">
        <f t="shared" si="584"/>
        <v/>
      </c>
      <c r="I915" s="266"/>
      <c r="J915" s="267"/>
      <c r="K915" s="267"/>
      <c r="L915" s="266"/>
      <c r="M915" s="147">
        <f t="shared" si="585"/>
        <v/>
      </c>
      <c r="N915" s="267"/>
      <c r="O915" s="147">
        <f t="shared" si="586"/>
        <v/>
      </c>
      <c r="P915" s="268">
        <f>IF(AY915=1,"XT"&amp;COUNTIFS($A$3:A915,A915,$AY$3:AY915,1),"")</f>
        <v/>
      </c>
      <c r="Q915" s="152">
        <f>IF(R915="","",IFERROR(SUBSTITUTE(Разбивка_по_щитам!P915,CHAR(10)," "),""))</f>
        <v/>
      </c>
      <c r="R915" s="153">
        <f>IF(OR(Разбивка_по_щитам!H915="",Разбивка_по_щитам!H915=0),"",Разбивка_по_щитам!H915)</f>
        <v/>
      </c>
      <c r="S915" s="154">
        <f>IF(R915="","",IFERROR(Разбивка_по_щитам!J915&amp;"",""))</f>
        <v/>
      </c>
      <c r="T915" s="155">
        <f>IF(R915="","",IFERROR(--Разбивка_по_щитам!L915,""))</f>
        <v/>
      </c>
      <c r="U915" s="155">
        <f>IF(R915="","",IFERROR(--Разбивка_по_щитам!K915,""))</f>
        <v/>
      </c>
      <c r="V915" s="138">
        <f>IF(R915="","",IFERROR(IF(Разбивка_по_щитам!M915=0,"",Разбивка_по_щитам!M915),""))</f>
        <v/>
      </c>
      <c r="W915" s="156">
        <f t="shared" si="587"/>
        <v/>
      </c>
      <c r="X915" s="157">
        <f t="shared" si="588"/>
        <v/>
      </c>
      <c r="Y915" s="266"/>
      <c r="Z915" s="158">
        <f t="shared" si="589"/>
        <v/>
      </c>
      <c r="AA915" s="160">
        <f t="shared" si="590"/>
        <v/>
      </c>
      <c r="AB915" s="160">
        <f>IF(R915="","",IFERROR(LOOKUP(INDEX(Справочная!$I$4:$I$19,MATCH(VLOOKUP(R915,Исходные_данные,22,FALSE),Справочная!$J$4:$J$19,0)+1),{6,10,16,20,25,32,40,50,63,80,100,125}),""))</f>
        <v/>
      </c>
      <c r="AC915" s="160">
        <f t="shared" si="591"/>
        <v/>
      </c>
      <c r="AD915" s="161">
        <f t="shared" si="592"/>
        <v/>
      </c>
      <c r="AE915" s="161">
        <f>IF(AND(R915="",G915=""),"",_xlfn.TEXTJOIN("; ",TRUE,IF(AND(R915&lt;&gt;"",V915=""),"нет фазы",""),IF(AND(R915&lt;&gt;"",N(T915)=0),"нет мощности",""),IF(AND(P915&lt;&gt;"",COUNTIFS($A$3:$A$1000,A915,$P$3:$P$1000,P915)&gt;1),"дубль клеммы "&amp;P915,""),IF(AND(W915&lt;&gt;"",W915&lt;&gt;"ok"),W915,""),IF(X915&lt;&gt;"",X915,""),IF(AND(ISNUMBER(SEARCH("(5х",Q915)),N(AK915)=1),"5 жил на 1 фазе",""),IF(AND(AL915="R",E915&lt;&gt;"",N(AS915)=0),"розетка без 30 мА",""),IF(IFERROR(_xlfn.NUMBERVALUE(MID(Q915,FIND("-",Q915,FIND("L=",Q915))+1,FIND("%",Q915)-FIND("-",Q915,FIND("L=",Q915))-1),","),0)&gt;4,"потери &gt; 4 %","")))</f>
      </c>
      <c r="AF915" s="129">
        <f>IF(E915&lt;&gt;"",COUNTIFS($A$3:A915,A915,$E$3:E915,"?*"),IF(OR(A915&lt;&gt;A914,Y915="вручную"),"",AF914))</f>
        <v/>
      </c>
      <c r="AG915" s="129">
        <f t="shared" si="593"/>
        <v/>
      </c>
      <c r="AH915" s="129">
        <f t="shared" si="594"/>
        <v/>
      </c>
      <c r="AI915" s="129">
        <f t="shared" si="595"/>
        <v/>
      </c>
      <c r="AJ915" s="129">
        <f t="shared" si="596"/>
        <v/>
      </c>
      <c r="AK915" s="129">
        <f t="shared" si="597"/>
        <v/>
      </c>
      <c r="AL915" s="129">
        <f t="shared" si="598"/>
        <v/>
      </c>
      <c r="AM915" s="129">
        <f t="shared" si="599"/>
      </c>
      <c r="AN915" s="129">
        <f t="shared" si="600"/>
      </c>
      <c r="AO915" s="129">
        <f t="shared" si="601"/>
        <v/>
      </c>
      <c r="AP915" s="129">
        <f t="shared" si="602"/>
        <v/>
      </c>
      <c r="AQ915" s="129">
        <f t="shared" si="603"/>
        <v/>
      </c>
      <c r="AR915" s="129">
        <f t="shared" si="604"/>
        <v/>
      </c>
      <c r="AS915" s="129">
        <f t="shared" si="605"/>
        <v/>
      </c>
      <c r="AT915" s="129">
        <f t="shared" si="606"/>
        <v/>
      </c>
      <c r="AU915" s="129">
        <f t="shared" si="607"/>
        <v/>
      </c>
      <c r="AV915" s="129">
        <f t="shared" si="608"/>
        <v/>
      </c>
      <c r="AW915" s="129">
        <f>IF(AV915="","",AV915&amp;"."&amp;COUNTIFS($A$3:A915,A915,$AV$3:AV915,AV915))</f>
        <v/>
      </c>
      <c r="AX915" s="129">
        <f t="shared" si="609"/>
        <v/>
      </c>
      <c r="AY915" s="129">
        <f>IF(N915="б/к",0,IF(OR(ISNUMBER(SEARCH("L=",Разбивка_по_щитам!P915)),N915="+",N915="="),1,0))</f>
      </c>
      <c r="AZ915" s="129">
        <f t="shared" si="610"/>
        <v/>
      </c>
      <c r="BA915" s="129">
        <f t="shared" si="611"/>
      </c>
      <c r="BB915" s="129">
        <f t="shared" si="612"/>
      </c>
      <c r="BD915" s="129">
        <f t="shared" si="613"/>
      </c>
      <c r="BE915" s="129">
        <f t="shared" si="614"/>
      </c>
      <c r="BF915" s="129">
        <f t="shared" si="615"/>
      </c>
      <c r="BG915" s="129">
        <f t="shared" si="616"/>
        <v/>
      </c>
      <c r="BH915" s="129">
        <f t="shared" si="617"/>
        <v/>
      </c>
      <c r="BI915" s="129">
        <f t="shared" si="618"/>
        <v/>
      </c>
      <c r="BJ915" s="129">
        <f t="shared" si="619"/>
        <v/>
      </c>
      <c r="BK915" s="129">
        <f>IF(R915="","",IF(OR(BY915="",BY915=0),"BOX",IFERROR(IF(VLOOKUP(BY915,УГО_блоки,3,FALSE)&amp;""&lt;&gt;"",VLOOKUP(BY915,УГО_блоки,3,FALSE),VLOOKUP(BY915,УГО_блоки,2,FALSE)),BY915)))</f>
      </c>
      <c r="BL915" s="129">
        <f t="shared" si="621"/>
      </c>
      <c r="BM915" s="129">
        <f>IF(H915="","",IF(COUNTIF($H$3:H915,H915)=1,MAX($BM$2:BM914)+1,""))</f>
      </c>
      <c r="BN915" s="129">
        <f>IF(I915="","",IF(COUNTIF($I$3:I915,I915)+COUNTIF($J$2:J914,I915)+COUNTIF($K$2:K914,I915)=1,MAX($BN$2:BP914)+1,""))</f>
      </c>
      <c r="BO915" s="129">
        <f>IF(J915="","",IF(COUNTIF($I$3:I915,J915)+COUNTIF($J$3:J915,J915)+COUNTIF($K$2:K914,J915)=1,MAX($BN$2:BP914,BN915)+1,""))</f>
      </c>
      <c r="BP915" s="129">
        <f>IF(K915="","",IF(COUNTIF($I$3:I915,K915)+COUNTIF($J$3:J915,K915)+COUNTIF($K$3:K915,K915)=1,MAX($BN$2:BP914,BN915,BO915)+1,""))</f>
      </c>
      <c r="BQ915" s="129">
        <f>IF(AY915=1,IFERROR(MID(Q915,FIND(" (",Q915)+2,FIND(")",Q915,FIND(" (",Q915))-FIND(" (",Q915)-2),"?"),"")</f>
      </c>
      <c r="BR915" s="129">
        <f>IF(BQ915="","",IF(COUNTIF($BQ$3:BQ915,BQ915)=1,MAX($BR$2:BR914)+1,""))</f>
      </c>
      <c r="BS915" s="129">
        <f>IF(AW915="","",COUNTIF($AW$3:AW915,"?*"))</f>
      </c>
      <c r="BT915" s="129">
        <f>IF(OR(AW915="",AI915=""),"",IF(COUNTIFS($AW$3:AW915,"?*",$AI$3:AI915,AI915)=1,MAX($BT$2:BT914)+1,""))</f>
      </c>
      <c r="BU915" s="129">
        <f>IF(AE915="",0,IF(OR(ISNUMBER(SEARCH("дубль",AE915)),ISNUMBER(SEARCH("ПЕРЕГРУЗ",AE915)),ISNUMBER(SEARCH("ЗАЩИЩ",AE915)),ISNUMBER(SEARCH("КАНАЛ",AE915)),ISNUMBER(SEARCH("без 30",AE915))),2,1))</f>
      </c>
      <c r="BV915" s="129">
        <f>IF(R915="","",COUNTIF($R$3:R915,"?*"))</f>
      </c>
      <c r="BW915" s="129">
        <f>IF(AY915&lt;&gt;1,0,IF(MAX(IFERROR(--VLOOKUP(R915,УГО_спр,5,FALSE),0),IFERROR(--VLOOKUP(AL915,УГО_спр,5,FALSE),0),IFERROR(--VLOOKUP(LEFT(AL915,2),УГО_спр,5,FALSE),0))&gt;0,MAX(IFERROR(--VLOOKUP(R915,УГО_спр,5,FALSE),0),IFERROR(--VLOOKUP(AL915,УГО_спр,5,FALSE),0),IFERROR(--VLOOKUP(LEFT(AL915,2),УГО_спр,5,FALSE),0)),IF(IFERROR(--LEFT(SUBSTITUTE(BQ915,"x","х"),FIND("х",SUBSTITUTE(BQ915,"x","х"))-1),3)&gt;3,Каталог!$S$9,1)))</f>
      </c>
      <c r="BX915" s="129">
        <f>IF(AY915&lt;&gt;1,0,MAX(0,IFERROR(--LEFT(SUBSTITUTE(BQ915,"x","х"),FIND("х",SUBSTITUTE(BQ915,"x","х"))-1),3)-3*BW915))</f>
      </c>
      <c r="BY915" s="129">
        <f>IF(R915="","",IFERROR(VLOOKUP(R915,УГО_спр,2,FALSE),IFERROR(VLOOKUP(AL915,УГО_спр,2,FALSE),IFERROR(VLOOKUP(LEFT(AL915,2),УГО_спр,2,FALSE),""))))</f>
      </c>
    </row>
    <row r="916" spans="1:64" x14ac:dyDescent="0.3">
      <c r="A916" s="135">
        <f>IF(Разбивка_по_щитам!F916=0,"",Разбивка_по_щитам!F916)</f>
        <v/>
      </c>
      <c r="B916" s="138">
        <f>IF(A916="","",Разбивка_по_щитам!C916)</f>
        <v/>
      </c>
      <c r="C916" s="138">
        <f t="shared" si="582"/>
        <v/>
      </c>
      <c r="D916" s="266"/>
      <c r="E916" s="266"/>
      <c r="F916" s="267"/>
      <c r="G916" s="145">
        <f t="shared" si="583"/>
        <v/>
      </c>
      <c r="H916" s="145">
        <f t="shared" si="584"/>
        <v/>
      </c>
      <c r="I916" s="266"/>
      <c r="J916" s="267"/>
      <c r="K916" s="267"/>
      <c r="L916" s="266"/>
      <c r="M916" s="147">
        <f t="shared" si="585"/>
        <v/>
      </c>
      <c r="N916" s="267"/>
      <c r="O916" s="147">
        <f t="shared" si="586"/>
        <v/>
      </c>
      <c r="P916" s="268">
        <f>IF(AY916=1,"XT"&amp;COUNTIFS($A$3:A916,A916,$AY$3:AY916,1),"")</f>
        <v/>
      </c>
      <c r="Q916" s="152">
        <f>IF(R916="","",IFERROR(SUBSTITUTE(Разбивка_по_щитам!P916,CHAR(10)," "),""))</f>
        <v/>
      </c>
      <c r="R916" s="153">
        <f>IF(OR(Разбивка_по_щитам!H916="",Разбивка_по_щитам!H916=0),"",Разбивка_по_щитам!H916)</f>
        <v/>
      </c>
      <c r="S916" s="154">
        <f>IF(R916="","",IFERROR(Разбивка_по_щитам!J916&amp;"",""))</f>
        <v/>
      </c>
      <c r="T916" s="155">
        <f>IF(R916="","",IFERROR(--Разбивка_по_щитам!L916,""))</f>
        <v/>
      </c>
      <c r="U916" s="155">
        <f>IF(R916="","",IFERROR(--Разбивка_по_щитам!K916,""))</f>
        <v/>
      </c>
      <c r="V916" s="138">
        <f>IF(R916="","",IFERROR(IF(Разбивка_по_щитам!M916=0,"",Разбивка_по_щитам!M916),""))</f>
        <v/>
      </c>
      <c r="W916" s="156">
        <f t="shared" si="587"/>
        <v/>
      </c>
      <c r="X916" s="157">
        <f t="shared" si="588"/>
        <v/>
      </c>
      <c r="Y916" s="266"/>
      <c r="Z916" s="158">
        <f t="shared" si="589"/>
        <v/>
      </c>
      <c r="AA916" s="160">
        <f t="shared" si="590"/>
        <v/>
      </c>
      <c r="AB916" s="160">
        <f>IF(R916="","",IFERROR(LOOKUP(INDEX(Справочная!$I$4:$I$19,MATCH(VLOOKUP(R916,Исходные_данные,22,FALSE),Справочная!$J$4:$J$19,0)+1),{6,10,16,20,25,32,40,50,63,80,100,125}),""))</f>
        <v/>
      </c>
      <c r="AC916" s="160">
        <f t="shared" si="591"/>
        <v/>
      </c>
      <c r="AD916" s="161">
        <f t="shared" si="592"/>
        <v/>
      </c>
      <c r="AE916" s="161">
        <f>IF(AND(R916="",G916=""),"",_xlfn.TEXTJOIN("; ",TRUE,IF(AND(R916&lt;&gt;"",V916=""),"нет фазы",""),IF(AND(R916&lt;&gt;"",N(T916)=0),"нет мощности",""),IF(AND(P916&lt;&gt;"",COUNTIFS($A$3:$A$1000,A916,$P$3:$P$1000,P916)&gt;1),"дубль клеммы "&amp;P916,""),IF(AND(W916&lt;&gt;"",W916&lt;&gt;"ok"),W916,""),IF(X916&lt;&gt;"",X916,""),IF(AND(ISNUMBER(SEARCH("(5х",Q916)),N(AK916)=1),"5 жил на 1 фазе",""),IF(AND(AL916="R",E916&lt;&gt;"",N(AS916)=0),"розетка без 30 мА",""),IF(IFERROR(_xlfn.NUMBERVALUE(MID(Q916,FIND("-",Q916,FIND("L=",Q916))+1,FIND("%",Q916)-FIND("-",Q916,FIND("L=",Q916))-1),","),0)&gt;4,"потери &gt; 4 %","")))</f>
      </c>
      <c r="AF916" s="129">
        <f>IF(E916&lt;&gt;"",COUNTIFS($A$3:A916,A916,$E$3:E916,"?*"),IF(OR(A916&lt;&gt;A915,Y916="вручную"),"",AF915))</f>
        <v/>
      </c>
      <c r="AG916" s="129">
        <f t="shared" si="593"/>
        <v/>
      </c>
      <c r="AH916" s="129">
        <f t="shared" si="594"/>
        <v/>
      </c>
      <c r="AI916" s="129">
        <f t="shared" si="595"/>
        <v/>
      </c>
      <c r="AJ916" s="129">
        <f t="shared" si="596"/>
        <v/>
      </c>
      <c r="AK916" s="129">
        <f t="shared" si="597"/>
        <v/>
      </c>
      <c r="AL916" s="129">
        <f t="shared" si="598"/>
        <v/>
      </c>
      <c r="AM916" s="129">
        <f t="shared" si="599"/>
      </c>
      <c r="AN916" s="129">
        <f t="shared" si="600"/>
      </c>
      <c r="AO916" s="129">
        <f t="shared" si="601"/>
        <v/>
      </c>
      <c r="AP916" s="129">
        <f t="shared" si="602"/>
        <v/>
      </c>
      <c r="AQ916" s="129">
        <f t="shared" si="603"/>
        <v/>
      </c>
      <c r="AR916" s="129">
        <f t="shared" si="604"/>
        <v/>
      </c>
      <c r="AS916" s="129">
        <f t="shared" si="605"/>
        <v/>
      </c>
      <c r="AT916" s="129">
        <f t="shared" si="606"/>
        <v/>
      </c>
      <c r="AU916" s="129">
        <f t="shared" si="607"/>
        <v/>
      </c>
      <c r="AV916" s="129">
        <f t="shared" si="608"/>
        <v/>
      </c>
      <c r="AW916" s="129">
        <f>IF(AV916="","",AV916&amp;"."&amp;COUNTIFS($A$3:A916,A916,$AV$3:AV916,AV916))</f>
        <v/>
      </c>
      <c r="AX916" s="129">
        <f t="shared" si="609"/>
        <v/>
      </c>
      <c r="AY916" s="129">
        <f>IF(N916="б/к",0,IF(OR(ISNUMBER(SEARCH("L=",Разбивка_по_щитам!P916)),N916="+",N916="="),1,0))</f>
      </c>
      <c r="AZ916" s="129">
        <f t="shared" si="610"/>
        <v/>
      </c>
      <c r="BA916" s="129">
        <f t="shared" si="611"/>
      </c>
      <c r="BB916" s="129">
        <f t="shared" si="612"/>
      </c>
      <c r="BD916" s="129">
        <f t="shared" si="613"/>
      </c>
      <c r="BE916" s="129">
        <f t="shared" si="614"/>
      </c>
      <c r="BF916" s="129">
        <f t="shared" si="615"/>
      </c>
      <c r="BG916" s="129">
        <f t="shared" si="616"/>
        <v/>
      </c>
      <c r="BH916" s="129">
        <f t="shared" si="617"/>
        <v/>
      </c>
      <c r="BI916" s="129">
        <f t="shared" si="618"/>
        <v/>
      </c>
      <c r="BJ916" s="129">
        <f t="shared" si="619"/>
        <v/>
      </c>
      <c r="BK916" s="129">
        <f>IF(R916="","",IF(OR(BY916="",BY916=0),"BOX",IFERROR(IF(VLOOKUP(BY916,УГО_блоки,3,FALSE)&amp;""&lt;&gt;"",VLOOKUP(BY916,УГО_блоки,3,FALSE),VLOOKUP(BY916,УГО_блоки,2,FALSE)),BY916)))</f>
      </c>
      <c r="BL916" s="129">
        <f t="shared" si="621"/>
      </c>
      <c r="BM916" s="129">
        <f>IF(H916="","",IF(COUNTIF($H$3:H916,H916)=1,MAX($BM$2:BM915)+1,""))</f>
      </c>
      <c r="BN916" s="129">
        <f>IF(I916="","",IF(COUNTIF($I$3:I916,I916)+COUNTIF($J$2:J915,I916)+COUNTIF($K$2:K915,I916)=1,MAX($BN$2:BP915)+1,""))</f>
      </c>
      <c r="BO916" s="129">
        <f>IF(J916="","",IF(COUNTIF($I$3:I916,J916)+COUNTIF($J$3:J916,J916)+COUNTIF($K$2:K915,J916)=1,MAX($BN$2:BP915,BN916)+1,""))</f>
      </c>
      <c r="BP916" s="129">
        <f>IF(K916="","",IF(COUNTIF($I$3:I916,K916)+COUNTIF($J$3:J916,K916)+COUNTIF($K$3:K916,K916)=1,MAX($BN$2:BP915,BN916,BO916)+1,""))</f>
      </c>
      <c r="BQ916" s="129">
        <f>IF(AY916=1,IFERROR(MID(Q916,FIND(" (",Q916)+2,FIND(")",Q916,FIND(" (",Q916))-FIND(" (",Q916)-2),"?"),"")</f>
      </c>
      <c r="BR916" s="129">
        <f>IF(BQ916="","",IF(COUNTIF($BQ$3:BQ916,BQ916)=1,MAX($BR$2:BR915)+1,""))</f>
      </c>
      <c r="BS916" s="129">
        <f>IF(AW916="","",COUNTIF($AW$3:AW916,"?*"))</f>
      </c>
      <c r="BT916" s="129">
        <f>IF(OR(AW916="",AI916=""),"",IF(COUNTIFS($AW$3:AW916,"?*",$AI$3:AI916,AI916)=1,MAX($BT$2:BT915)+1,""))</f>
      </c>
      <c r="BU916" s="129">
        <f>IF(AE916="",0,IF(OR(ISNUMBER(SEARCH("дубль",AE916)),ISNUMBER(SEARCH("ПЕРЕГРУЗ",AE916)),ISNUMBER(SEARCH("ЗАЩИЩ",AE916)),ISNUMBER(SEARCH("КАНАЛ",AE916)),ISNUMBER(SEARCH("без 30",AE916))),2,1))</f>
      </c>
      <c r="BV916" s="129">
        <f>IF(R916="","",COUNTIF($R$3:R916,"?*"))</f>
      </c>
      <c r="BW916" s="129">
        <f>IF(AY916&lt;&gt;1,0,IF(MAX(IFERROR(--VLOOKUP(R916,УГО_спр,5,FALSE),0),IFERROR(--VLOOKUP(AL916,УГО_спр,5,FALSE),0),IFERROR(--VLOOKUP(LEFT(AL916,2),УГО_спр,5,FALSE),0))&gt;0,MAX(IFERROR(--VLOOKUP(R916,УГО_спр,5,FALSE),0),IFERROR(--VLOOKUP(AL916,УГО_спр,5,FALSE),0),IFERROR(--VLOOKUP(LEFT(AL916,2),УГО_спр,5,FALSE),0)),IF(IFERROR(--LEFT(SUBSTITUTE(BQ916,"x","х"),FIND("х",SUBSTITUTE(BQ916,"x","х"))-1),3)&gt;3,Каталог!$S$9,1)))</f>
      </c>
      <c r="BX916" s="129">
        <f>IF(AY916&lt;&gt;1,0,MAX(0,IFERROR(--LEFT(SUBSTITUTE(BQ916,"x","х"),FIND("х",SUBSTITUTE(BQ916,"x","х"))-1),3)-3*BW916))</f>
      </c>
      <c r="BY916" s="129">
        <f>IF(R916="","",IFERROR(VLOOKUP(R916,УГО_спр,2,FALSE),IFERROR(VLOOKUP(AL916,УГО_спр,2,FALSE),IFERROR(VLOOKUP(LEFT(AL916,2),УГО_спр,2,FALSE),""))))</f>
      </c>
    </row>
    <row r="917" spans="1:64" x14ac:dyDescent="0.3">
      <c r="A917" s="135">
        <f>IF(Разбивка_по_щитам!F917=0,"",Разбивка_по_щитам!F917)</f>
        <v/>
      </c>
      <c r="B917" s="138">
        <f>IF(A917="","",Разбивка_по_щитам!C917)</f>
        <v/>
      </c>
      <c r="C917" s="138">
        <f t="shared" si="582"/>
        <v/>
      </c>
      <c r="D917" s="266"/>
      <c r="E917" s="266"/>
      <c r="F917" s="267"/>
      <c r="G917" s="145">
        <f t="shared" si="583"/>
        <v/>
      </c>
      <c r="H917" s="145">
        <f t="shared" si="584"/>
        <v/>
      </c>
      <c r="I917" s="266"/>
      <c r="J917" s="267"/>
      <c r="K917" s="267"/>
      <c r="L917" s="266"/>
      <c r="M917" s="147">
        <f t="shared" si="585"/>
        <v/>
      </c>
      <c r="N917" s="267"/>
      <c r="O917" s="147">
        <f t="shared" si="586"/>
        <v/>
      </c>
      <c r="P917" s="268">
        <f>IF(AY917=1,"XT"&amp;COUNTIFS($A$3:A917,A917,$AY$3:AY917,1),"")</f>
        <v/>
      </c>
      <c r="Q917" s="152">
        <f>IF(R917="","",IFERROR(SUBSTITUTE(Разбивка_по_щитам!P917,CHAR(10)," "),""))</f>
        <v/>
      </c>
      <c r="R917" s="153">
        <f>IF(OR(Разбивка_по_щитам!H917="",Разбивка_по_щитам!H917=0),"",Разбивка_по_щитам!H917)</f>
        <v/>
      </c>
      <c r="S917" s="154">
        <f>IF(R917="","",IFERROR(Разбивка_по_щитам!J917&amp;"",""))</f>
        <v/>
      </c>
      <c r="T917" s="155">
        <f>IF(R917="","",IFERROR(--Разбивка_по_щитам!L917,""))</f>
        <v/>
      </c>
      <c r="U917" s="155">
        <f>IF(R917="","",IFERROR(--Разбивка_по_щитам!K917,""))</f>
        <v/>
      </c>
      <c r="V917" s="138">
        <f>IF(R917="","",IFERROR(IF(Разбивка_по_щитам!M917=0,"",Разбивка_по_щитам!M917),""))</f>
        <v/>
      </c>
      <c r="W917" s="156">
        <f t="shared" si="587"/>
        <v/>
      </c>
      <c r="X917" s="157">
        <f t="shared" si="588"/>
        <v/>
      </c>
      <c r="Y917" s="266"/>
      <c r="Z917" s="158">
        <f t="shared" si="589"/>
        <v/>
      </c>
      <c r="AA917" s="160">
        <f t="shared" si="590"/>
        <v/>
      </c>
      <c r="AB917" s="160">
        <f>IF(R917="","",IFERROR(LOOKUP(INDEX(Справочная!$I$4:$I$19,MATCH(VLOOKUP(R917,Исходные_данные,22,FALSE),Справочная!$J$4:$J$19,0)+1),{6,10,16,20,25,32,40,50,63,80,100,125}),""))</f>
        <v/>
      </c>
      <c r="AC917" s="160">
        <f t="shared" si="591"/>
        <v/>
      </c>
      <c r="AD917" s="161">
        <f t="shared" si="592"/>
        <v/>
      </c>
      <c r="AE917" s="161">
        <f>IF(AND(R917="",G917=""),"",_xlfn.TEXTJOIN("; ",TRUE,IF(AND(R917&lt;&gt;"",V917=""),"нет фазы",""),IF(AND(R917&lt;&gt;"",N(T917)=0),"нет мощности",""),IF(AND(P917&lt;&gt;"",COUNTIFS($A$3:$A$1000,A917,$P$3:$P$1000,P917)&gt;1),"дубль клеммы "&amp;P917,""),IF(AND(W917&lt;&gt;"",W917&lt;&gt;"ok"),W917,""),IF(X917&lt;&gt;"",X917,""),IF(AND(ISNUMBER(SEARCH("(5х",Q917)),N(AK917)=1),"5 жил на 1 фазе",""),IF(AND(AL917="R",E917&lt;&gt;"",N(AS917)=0),"розетка без 30 мА",""),IF(IFERROR(_xlfn.NUMBERVALUE(MID(Q917,FIND("-",Q917,FIND("L=",Q917))+1,FIND("%",Q917)-FIND("-",Q917,FIND("L=",Q917))-1),","),0)&gt;4,"потери &gt; 4 %","")))</f>
      </c>
      <c r="AF917" s="129">
        <f>IF(E917&lt;&gt;"",COUNTIFS($A$3:A917,A917,$E$3:E917,"?*"),IF(OR(A917&lt;&gt;A916,Y917="вручную"),"",AF916))</f>
        <v/>
      </c>
      <c r="AG917" s="129">
        <f t="shared" si="593"/>
        <v/>
      </c>
      <c r="AH917" s="129">
        <f t="shared" si="594"/>
        <v/>
      </c>
      <c r="AI917" s="129">
        <f t="shared" si="595"/>
        <v/>
      </c>
      <c r="AJ917" s="129">
        <f t="shared" si="596"/>
        <v/>
      </c>
      <c r="AK917" s="129">
        <f t="shared" si="597"/>
        <v/>
      </c>
      <c r="AL917" s="129">
        <f t="shared" si="598"/>
        <v/>
      </c>
      <c r="AM917" s="129">
        <f t="shared" si="599"/>
      </c>
      <c r="AN917" s="129">
        <f t="shared" si="600"/>
      </c>
      <c r="AO917" s="129">
        <f t="shared" si="601"/>
        <v/>
      </c>
      <c r="AP917" s="129">
        <f t="shared" si="602"/>
        <v/>
      </c>
      <c r="AQ917" s="129">
        <f t="shared" si="603"/>
        <v/>
      </c>
      <c r="AR917" s="129">
        <f t="shared" si="604"/>
        <v/>
      </c>
      <c r="AS917" s="129">
        <f t="shared" si="605"/>
        <v/>
      </c>
      <c r="AT917" s="129">
        <f t="shared" si="606"/>
        <v/>
      </c>
      <c r="AU917" s="129">
        <f t="shared" si="607"/>
        <v/>
      </c>
      <c r="AV917" s="129">
        <f t="shared" si="608"/>
        <v/>
      </c>
      <c r="AW917" s="129">
        <f>IF(AV917="","",AV917&amp;"."&amp;COUNTIFS($A$3:A917,A917,$AV$3:AV917,AV917))</f>
        <v/>
      </c>
      <c r="AX917" s="129">
        <f t="shared" si="609"/>
        <v/>
      </c>
      <c r="AY917" s="129">
        <f>IF(N917="б/к",0,IF(OR(ISNUMBER(SEARCH("L=",Разбивка_по_щитам!P917)),N917="+",N917="="),1,0))</f>
      </c>
      <c r="AZ917" s="129">
        <f t="shared" si="610"/>
        <v/>
      </c>
      <c r="BA917" s="129">
        <f t="shared" si="611"/>
      </c>
      <c r="BB917" s="129">
        <f t="shared" si="612"/>
      </c>
      <c r="BD917" s="129">
        <f t="shared" si="613"/>
      </c>
      <c r="BE917" s="129">
        <f t="shared" si="614"/>
      </c>
      <c r="BF917" s="129">
        <f t="shared" si="615"/>
      </c>
      <c r="BG917" s="129">
        <f t="shared" si="616"/>
        <v/>
      </c>
      <c r="BH917" s="129">
        <f t="shared" si="617"/>
        <v/>
      </c>
      <c r="BI917" s="129">
        <f t="shared" si="618"/>
        <v/>
      </c>
      <c r="BJ917" s="129">
        <f t="shared" si="619"/>
        <v/>
      </c>
      <c r="BK917" s="129">
        <f>IF(R917="","",IF(OR(BY917="",BY917=0),"BOX",IFERROR(IF(VLOOKUP(BY917,УГО_блоки,3,FALSE)&amp;""&lt;&gt;"",VLOOKUP(BY917,УГО_блоки,3,FALSE),VLOOKUP(BY917,УГО_блоки,2,FALSE)),BY917)))</f>
      </c>
      <c r="BL917" s="129">
        <f t="shared" si="621"/>
      </c>
      <c r="BM917" s="129">
        <f>IF(H917="","",IF(COUNTIF($H$3:H917,H917)=1,MAX($BM$2:BM916)+1,""))</f>
      </c>
      <c r="BN917" s="129">
        <f>IF(I917="","",IF(COUNTIF($I$3:I917,I917)+COUNTIF($J$2:J916,I917)+COUNTIF($K$2:K916,I917)=1,MAX($BN$2:BP916)+1,""))</f>
      </c>
      <c r="BO917" s="129">
        <f>IF(J917="","",IF(COUNTIF($I$3:I917,J917)+COUNTIF($J$3:J917,J917)+COUNTIF($K$2:K916,J917)=1,MAX($BN$2:BP916,BN917)+1,""))</f>
      </c>
      <c r="BP917" s="129">
        <f>IF(K917="","",IF(COUNTIF($I$3:I917,K917)+COUNTIF($J$3:J917,K917)+COUNTIF($K$3:K917,K917)=1,MAX($BN$2:BP916,BN917,BO917)+1,""))</f>
      </c>
      <c r="BQ917" s="129">
        <f>IF(AY917=1,IFERROR(MID(Q917,FIND(" (",Q917)+2,FIND(")",Q917,FIND(" (",Q917))-FIND(" (",Q917)-2),"?"),"")</f>
      </c>
      <c r="BR917" s="129">
        <f>IF(BQ917="","",IF(COUNTIF($BQ$3:BQ917,BQ917)=1,MAX($BR$2:BR916)+1,""))</f>
      </c>
      <c r="BS917" s="129">
        <f>IF(AW917="","",COUNTIF($AW$3:AW917,"?*"))</f>
      </c>
      <c r="BT917" s="129">
        <f>IF(OR(AW917="",AI917=""),"",IF(COUNTIFS($AW$3:AW917,"?*",$AI$3:AI917,AI917)=1,MAX($BT$2:BT916)+1,""))</f>
      </c>
      <c r="BU917" s="129">
        <f>IF(AE917="",0,IF(OR(ISNUMBER(SEARCH("дубль",AE917)),ISNUMBER(SEARCH("ПЕРЕГРУЗ",AE917)),ISNUMBER(SEARCH("ЗАЩИЩ",AE917)),ISNUMBER(SEARCH("КАНАЛ",AE917)),ISNUMBER(SEARCH("без 30",AE917))),2,1))</f>
      </c>
      <c r="BV917" s="129">
        <f>IF(R917="","",COUNTIF($R$3:R917,"?*"))</f>
      </c>
      <c r="BW917" s="129">
        <f>IF(AY917&lt;&gt;1,0,IF(MAX(IFERROR(--VLOOKUP(R917,УГО_спр,5,FALSE),0),IFERROR(--VLOOKUP(AL917,УГО_спр,5,FALSE),0),IFERROR(--VLOOKUP(LEFT(AL917,2),УГО_спр,5,FALSE),0))&gt;0,MAX(IFERROR(--VLOOKUP(R917,УГО_спр,5,FALSE),0),IFERROR(--VLOOKUP(AL917,УГО_спр,5,FALSE),0),IFERROR(--VLOOKUP(LEFT(AL917,2),УГО_спр,5,FALSE),0)),IF(IFERROR(--LEFT(SUBSTITUTE(BQ917,"x","х"),FIND("х",SUBSTITUTE(BQ917,"x","х"))-1),3)&gt;3,Каталог!$S$9,1)))</f>
      </c>
      <c r="BX917" s="129">
        <f>IF(AY917&lt;&gt;1,0,MAX(0,IFERROR(--LEFT(SUBSTITUTE(BQ917,"x","х"),FIND("х",SUBSTITUTE(BQ917,"x","х"))-1),3)-3*BW917))</f>
      </c>
      <c r="BY917" s="129">
        <f>IF(R917="","",IFERROR(VLOOKUP(R917,УГО_спр,2,FALSE),IFERROR(VLOOKUP(AL917,УГО_спр,2,FALSE),IFERROR(VLOOKUP(LEFT(AL917,2),УГО_спр,2,FALSE),""))))</f>
      </c>
    </row>
    <row r="918" spans="1:64" x14ac:dyDescent="0.3">
      <c r="A918" s="135">
        <f>IF(Разбивка_по_щитам!F918=0,"",Разбивка_по_щитам!F918)</f>
        <v/>
      </c>
      <c r="B918" s="138">
        <f>IF(A918="","",Разбивка_по_щитам!C918)</f>
        <v/>
      </c>
      <c r="C918" s="138">
        <f t="shared" si="582"/>
        <v/>
      </c>
      <c r="D918" s="266"/>
      <c r="E918" s="266"/>
      <c r="F918" s="267"/>
      <c r="G918" s="145">
        <f t="shared" si="583"/>
        <v/>
      </c>
      <c r="H918" s="145">
        <f t="shared" si="584"/>
        <v/>
      </c>
      <c r="I918" s="266"/>
      <c r="J918" s="267"/>
      <c r="K918" s="267"/>
      <c r="L918" s="266"/>
      <c r="M918" s="147">
        <f t="shared" si="585"/>
        <v/>
      </c>
      <c r="N918" s="267"/>
      <c r="O918" s="147">
        <f t="shared" si="586"/>
        <v/>
      </c>
      <c r="P918" s="268">
        <f>IF(AY918=1,"XT"&amp;COUNTIFS($A$3:A918,A918,$AY$3:AY918,1),"")</f>
        <v/>
      </c>
      <c r="Q918" s="152">
        <f>IF(R918="","",IFERROR(SUBSTITUTE(Разбивка_по_щитам!P918,CHAR(10)," "),""))</f>
        <v/>
      </c>
      <c r="R918" s="153">
        <f>IF(OR(Разбивка_по_щитам!H918="",Разбивка_по_щитам!H918=0),"",Разбивка_по_щитам!H918)</f>
        <v/>
      </c>
      <c r="S918" s="154">
        <f>IF(R918="","",IFERROR(Разбивка_по_щитам!J918&amp;"",""))</f>
        <v/>
      </c>
      <c r="T918" s="155">
        <f>IF(R918="","",IFERROR(--Разбивка_по_щитам!L918,""))</f>
        <v/>
      </c>
      <c r="U918" s="155">
        <f>IF(R918="","",IFERROR(--Разбивка_по_щитам!K918,""))</f>
        <v/>
      </c>
      <c r="V918" s="138">
        <f>IF(R918="","",IFERROR(IF(Разбивка_по_щитам!M918=0,"",Разбивка_по_щитам!M918),""))</f>
        <v/>
      </c>
      <c r="W918" s="156">
        <f t="shared" si="587"/>
        <v/>
      </c>
      <c r="X918" s="157">
        <f t="shared" si="588"/>
        <v/>
      </c>
      <c r="Y918" s="266"/>
      <c r="Z918" s="158">
        <f t="shared" si="589"/>
        <v/>
      </c>
      <c r="AA918" s="160">
        <f t="shared" si="590"/>
        <v/>
      </c>
      <c r="AB918" s="160">
        <f>IF(R918="","",IFERROR(LOOKUP(INDEX(Справочная!$I$4:$I$19,MATCH(VLOOKUP(R918,Исходные_данные,22,FALSE),Справочная!$J$4:$J$19,0)+1),{6,10,16,20,25,32,40,50,63,80,100,125}),""))</f>
        <v/>
      </c>
      <c r="AC918" s="160">
        <f t="shared" si="591"/>
        <v/>
      </c>
      <c r="AD918" s="161">
        <f t="shared" si="592"/>
        <v/>
      </c>
      <c r="AE918" s="161">
        <f>IF(AND(R918="",G918=""),"",_xlfn.TEXTJOIN("; ",TRUE,IF(AND(R918&lt;&gt;"",V918=""),"нет фазы",""),IF(AND(R918&lt;&gt;"",N(T918)=0),"нет мощности",""),IF(AND(P918&lt;&gt;"",COUNTIFS($A$3:$A$1000,A918,$P$3:$P$1000,P918)&gt;1),"дубль клеммы "&amp;P918,""),IF(AND(W918&lt;&gt;"",W918&lt;&gt;"ok"),W918,""),IF(X918&lt;&gt;"",X918,""),IF(AND(ISNUMBER(SEARCH("(5х",Q918)),N(AK918)=1),"5 жил на 1 фазе",""),IF(AND(AL918="R",E918&lt;&gt;"",N(AS918)=0),"розетка без 30 мА",""),IF(IFERROR(_xlfn.NUMBERVALUE(MID(Q918,FIND("-",Q918,FIND("L=",Q918))+1,FIND("%",Q918)-FIND("-",Q918,FIND("L=",Q918))-1),","),0)&gt;4,"потери &gt; 4 %","")))</f>
      </c>
      <c r="AF918" s="129">
        <f>IF(E918&lt;&gt;"",COUNTIFS($A$3:A918,A918,$E$3:E918,"?*"),IF(OR(A918&lt;&gt;A917,Y918="вручную"),"",AF917))</f>
        <v/>
      </c>
      <c r="AG918" s="129">
        <f t="shared" si="593"/>
        <v/>
      </c>
      <c r="AH918" s="129">
        <f t="shared" si="594"/>
        <v/>
      </c>
      <c r="AI918" s="129">
        <f t="shared" si="595"/>
        <v/>
      </c>
      <c r="AJ918" s="129">
        <f t="shared" si="596"/>
        <v/>
      </c>
      <c r="AK918" s="129">
        <f t="shared" si="597"/>
        <v/>
      </c>
      <c r="AL918" s="129">
        <f t="shared" si="598"/>
        <v/>
      </c>
      <c r="AM918" s="129">
        <f t="shared" si="599"/>
      </c>
      <c r="AN918" s="129">
        <f t="shared" si="600"/>
      </c>
      <c r="AO918" s="129">
        <f t="shared" si="601"/>
        <v/>
      </c>
      <c r="AP918" s="129">
        <f t="shared" si="602"/>
        <v/>
      </c>
      <c r="AQ918" s="129">
        <f t="shared" si="603"/>
        <v/>
      </c>
      <c r="AR918" s="129">
        <f t="shared" si="604"/>
        <v/>
      </c>
      <c r="AS918" s="129">
        <f t="shared" si="605"/>
        <v/>
      </c>
      <c r="AT918" s="129">
        <f t="shared" si="606"/>
        <v/>
      </c>
      <c r="AU918" s="129">
        <f t="shared" si="607"/>
        <v/>
      </c>
      <c r="AV918" s="129">
        <f t="shared" si="608"/>
        <v/>
      </c>
      <c r="AW918" s="129">
        <f>IF(AV918="","",AV918&amp;"."&amp;COUNTIFS($A$3:A918,A918,$AV$3:AV918,AV918))</f>
        <v/>
      </c>
      <c r="AX918" s="129">
        <f t="shared" si="609"/>
        <v/>
      </c>
      <c r="AY918" s="129">
        <f>IF(N918="б/к",0,IF(OR(ISNUMBER(SEARCH("L=",Разбивка_по_щитам!P918)),N918="+",N918="="),1,0))</f>
      </c>
      <c r="AZ918" s="129">
        <f t="shared" si="610"/>
        <v/>
      </c>
      <c r="BA918" s="129">
        <f t="shared" si="611"/>
      </c>
      <c r="BB918" s="129">
        <f t="shared" si="612"/>
      </c>
      <c r="BD918" s="129">
        <f t="shared" si="613"/>
      </c>
      <c r="BE918" s="129">
        <f t="shared" si="614"/>
      </c>
      <c r="BF918" s="129">
        <f t="shared" si="615"/>
      </c>
      <c r="BG918" s="129">
        <f t="shared" si="616"/>
        <v/>
      </c>
      <c r="BH918" s="129">
        <f t="shared" si="617"/>
        <v/>
      </c>
      <c r="BI918" s="129">
        <f t="shared" si="618"/>
        <v/>
      </c>
      <c r="BJ918" s="129">
        <f t="shared" si="619"/>
        <v/>
      </c>
      <c r="BK918" s="129">
        <f>IF(R918="","",IF(OR(BY918="",BY918=0),"BOX",IFERROR(IF(VLOOKUP(BY918,УГО_блоки,3,FALSE)&amp;""&lt;&gt;"",VLOOKUP(BY918,УГО_блоки,3,FALSE),VLOOKUP(BY918,УГО_блоки,2,FALSE)),BY918)))</f>
      </c>
      <c r="BL918" s="129">
        <f t="shared" si="621"/>
      </c>
      <c r="BM918" s="129">
        <f>IF(H918="","",IF(COUNTIF($H$3:H918,H918)=1,MAX($BM$2:BM917)+1,""))</f>
      </c>
      <c r="BN918" s="129">
        <f>IF(I918="","",IF(COUNTIF($I$3:I918,I918)+COUNTIF($J$2:J917,I918)+COUNTIF($K$2:K917,I918)=1,MAX($BN$2:BP917)+1,""))</f>
      </c>
      <c r="BO918" s="129">
        <f>IF(J918="","",IF(COUNTIF($I$3:I918,J918)+COUNTIF($J$3:J918,J918)+COUNTIF($K$2:K917,J918)=1,MAX($BN$2:BP917,BN918)+1,""))</f>
      </c>
      <c r="BP918" s="129">
        <f>IF(K918="","",IF(COUNTIF($I$3:I918,K918)+COUNTIF($J$3:J918,K918)+COUNTIF($K$3:K918,K918)=1,MAX($BN$2:BP917,BN918,BO918)+1,""))</f>
      </c>
      <c r="BQ918" s="129">
        <f>IF(AY918=1,IFERROR(MID(Q918,FIND(" (",Q918)+2,FIND(")",Q918,FIND(" (",Q918))-FIND(" (",Q918)-2),"?"),"")</f>
      </c>
      <c r="BR918" s="129">
        <f>IF(BQ918="","",IF(COUNTIF($BQ$3:BQ918,BQ918)=1,MAX($BR$2:BR917)+1,""))</f>
      </c>
      <c r="BS918" s="129">
        <f>IF(AW918="","",COUNTIF($AW$3:AW918,"?*"))</f>
      </c>
      <c r="BT918" s="129">
        <f>IF(OR(AW918="",AI918=""),"",IF(COUNTIFS($AW$3:AW918,"?*",$AI$3:AI918,AI918)=1,MAX($BT$2:BT917)+1,""))</f>
      </c>
      <c r="BU918" s="129">
        <f>IF(AE918="",0,IF(OR(ISNUMBER(SEARCH("дубль",AE918)),ISNUMBER(SEARCH("ПЕРЕГРУЗ",AE918)),ISNUMBER(SEARCH("ЗАЩИЩ",AE918)),ISNUMBER(SEARCH("КАНАЛ",AE918)),ISNUMBER(SEARCH("без 30",AE918))),2,1))</f>
      </c>
      <c r="BV918" s="129">
        <f>IF(R918="","",COUNTIF($R$3:R918,"?*"))</f>
      </c>
      <c r="BW918" s="129">
        <f>IF(AY918&lt;&gt;1,0,IF(MAX(IFERROR(--VLOOKUP(R918,УГО_спр,5,FALSE),0),IFERROR(--VLOOKUP(AL918,УГО_спр,5,FALSE),0),IFERROR(--VLOOKUP(LEFT(AL918,2),УГО_спр,5,FALSE),0))&gt;0,MAX(IFERROR(--VLOOKUP(R918,УГО_спр,5,FALSE),0),IFERROR(--VLOOKUP(AL918,УГО_спр,5,FALSE),0),IFERROR(--VLOOKUP(LEFT(AL918,2),УГО_спр,5,FALSE),0)),IF(IFERROR(--LEFT(SUBSTITUTE(BQ918,"x","х"),FIND("х",SUBSTITUTE(BQ918,"x","х"))-1),3)&gt;3,Каталог!$S$9,1)))</f>
      </c>
      <c r="BX918" s="129">
        <f>IF(AY918&lt;&gt;1,0,MAX(0,IFERROR(--LEFT(SUBSTITUTE(BQ918,"x","х"),FIND("х",SUBSTITUTE(BQ918,"x","х"))-1),3)-3*BW918))</f>
      </c>
      <c r="BY918" s="129">
        <f>IF(R918="","",IFERROR(VLOOKUP(R918,УГО_спр,2,FALSE),IFERROR(VLOOKUP(AL918,УГО_спр,2,FALSE),IFERROR(VLOOKUP(LEFT(AL918,2),УГО_спр,2,FALSE),""))))</f>
      </c>
    </row>
    <row r="919" spans="1:64" x14ac:dyDescent="0.3">
      <c r="A919" s="135">
        <f>IF(Разбивка_по_щитам!F919=0,"",Разбивка_по_щитам!F919)</f>
        <v/>
      </c>
      <c r="B919" s="138">
        <f>IF(A919="","",Разбивка_по_щитам!C919)</f>
        <v/>
      </c>
      <c r="C919" s="138">
        <f t="shared" si="582"/>
        <v/>
      </c>
      <c r="D919" s="266"/>
      <c r="E919" s="266"/>
      <c r="F919" s="267"/>
      <c r="G919" s="145">
        <f t="shared" si="583"/>
        <v/>
      </c>
      <c r="H919" s="145">
        <f t="shared" si="584"/>
        <v/>
      </c>
      <c r="I919" s="266"/>
      <c r="J919" s="267"/>
      <c r="K919" s="267"/>
      <c r="L919" s="266"/>
      <c r="M919" s="147">
        <f t="shared" si="585"/>
        <v/>
      </c>
      <c r="N919" s="267"/>
      <c r="O919" s="147">
        <f t="shared" si="586"/>
        <v/>
      </c>
      <c r="P919" s="268">
        <f>IF(AY919=1,"XT"&amp;COUNTIFS($A$3:A919,A919,$AY$3:AY919,1),"")</f>
        <v/>
      </c>
      <c r="Q919" s="152">
        <f>IF(R919="","",IFERROR(SUBSTITUTE(Разбивка_по_щитам!P919,CHAR(10)," "),""))</f>
        <v/>
      </c>
      <c r="R919" s="153">
        <f>IF(OR(Разбивка_по_щитам!H919="",Разбивка_по_щитам!H919=0),"",Разбивка_по_щитам!H919)</f>
        <v/>
      </c>
      <c r="S919" s="154">
        <f>IF(R919="","",IFERROR(Разбивка_по_щитам!J919&amp;"",""))</f>
        <v/>
      </c>
      <c r="T919" s="155">
        <f>IF(R919="","",IFERROR(--Разбивка_по_щитам!L919,""))</f>
        <v/>
      </c>
      <c r="U919" s="155">
        <f>IF(R919="","",IFERROR(--Разбивка_по_щитам!K919,""))</f>
        <v/>
      </c>
      <c r="V919" s="138">
        <f>IF(R919="","",IFERROR(IF(Разбивка_по_щитам!M919=0,"",Разбивка_по_щитам!M919),""))</f>
        <v/>
      </c>
      <c r="W919" s="156">
        <f t="shared" si="587"/>
        <v/>
      </c>
      <c r="X919" s="157">
        <f t="shared" si="588"/>
        <v/>
      </c>
      <c r="Y919" s="266"/>
      <c r="Z919" s="158">
        <f t="shared" si="589"/>
        <v/>
      </c>
      <c r="AA919" s="160">
        <f t="shared" si="590"/>
        <v/>
      </c>
      <c r="AB919" s="160">
        <f>IF(R919="","",IFERROR(LOOKUP(INDEX(Справочная!$I$4:$I$19,MATCH(VLOOKUP(R919,Исходные_данные,22,FALSE),Справочная!$J$4:$J$19,0)+1),{6,10,16,20,25,32,40,50,63,80,100,125}),""))</f>
        <v/>
      </c>
      <c r="AC919" s="160">
        <f t="shared" si="591"/>
        <v/>
      </c>
      <c r="AD919" s="161">
        <f t="shared" si="592"/>
        <v/>
      </c>
      <c r="AE919" s="161">
        <f>IF(AND(R919="",G919=""),"",_xlfn.TEXTJOIN("; ",TRUE,IF(AND(R919&lt;&gt;"",V919=""),"нет фазы",""),IF(AND(R919&lt;&gt;"",N(T919)=0),"нет мощности",""),IF(AND(P919&lt;&gt;"",COUNTIFS($A$3:$A$1000,A919,$P$3:$P$1000,P919)&gt;1),"дубль клеммы "&amp;P919,""),IF(AND(W919&lt;&gt;"",W919&lt;&gt;"ok"),W919,""),IF(X919&lt;&gt;"",X919,""),IF(AND(ISNUMBER(SEARCH("(5х",Q919)),N(AK919)=1),"5 жил на 1 фазе",""),IF(AND(AL919="R",E919&lt;&gt;"",N(AS919)=0),"розетка без 30 мА",""),IF(IFERROR(_xlfn.NUMBERVALUE(MID(Q919,FIND("-",Q919,FIND("L=",Q919))+1,FIND("%",Q919)-FIND("-",Q919,FIND("L=",Q919))-1),","),0)&gt;4,"потери &gt; 4 %","")))</f>
      </c>
      <c r="AF919" s="129">
        <f>IF(E919&lt;&gt;"",COUNTIFS($A$3:A919,A919,$E$3:E919,"?*"),IF(OR(A919&lt;&gt;A918,Y919="вручную"),"",AF918))</f>
        <v/>
      </c>
      <c r="AG919" s="129">
        <f t="shared" si="593"/>
        <v/>
      </c>
      <c r="AH919" s="129">
        <f t="shared" si="594"/>
        <v/>
      </c>
      <c r="AI919" s="129">
        <f t="shared" si="595"/>
        <v/>
      </c>
      <c r="AJ919" s="129">
        <f t="shared" si="596"/>
        <v/>
      </c>
      <c r="AK919" s="129">
        <f t="shared" si="597"/>
        <v/>
      </c>
      <c r="AL919" s="129">
        <f t="shared" si="598"/>
        <v/>
      </c>
      <c r="AM919" s="129">
        <f t="shared" si="599"/>
      </c>
      <c r="AN919" s="129">
        <f t="shared" si="600"/>
      </c>
      <c r="AO919" s="129">
        <f t="shared" si="601"/>
        <v/>
      </c>
      <c r="AP919" s="129">
        <f t="shared" si="602"/>
        <v/>
      </c>
      <c r="AQ919" s="129">
        <f t="shared" si="603"/>
        <v/>
      </c>
      <c r="AR919" s="129">
        <f t="shared" si="604"/>
        <v/>
      </c>
      <c r="AS919" s="129">
        <f t="shared" si="605"/>
        <v/>
      </c>
      <c r="AT919" s="129">
        <f t="shared" si="606"/>
        <v/>
      </c>
      <c r="AU919" s="129">
        <f t="shared" si="607"/>
        <v/>
      </c>
      <c r="AV919" s="129">
        <f t="shared" si="608"/>
        <v/>
      </c>
      <c r="AW919" s="129">
        <f>IF(AV919="","",AV919&amp;"."&amp;COUNTIFS($A$3:A919,A919,$AV$3:AV919,AV919))</f>
        <v/>
      </c>
      <c r="AX919" s="129">
        <f t="shared" si="609"/>
        <v/>
      </c>
      <c r="AY919" s="129">
        <f>IF(N919="б/к",0,IF(OR(ISNUMBER(SEARCH("L=",Разбивка_по_щитам!P919)),N919="+",N919="="),1,0))</f>
      </c>
      <c r="AZ919" s="129">
        <f t="shared" si="610"/>
        <v/>
      </c>
      <c r="BA919" s="129">
        <f t="shared" si="611"/>
      </c>
      <c r="BB919" s="129">
        <f t="shared" si="612"/>
      </c>
      <c r="BD919" s="129">
        <f t="shared" si="613"/>
      </c>
      <c r="BE919" s="129">
        <f t="shared" si="614"/>
      </c>
      <c r="BF919" s="129">
        <f t="shared" si="615"/>
      </c>
      <c r="BG919" s="129">
        <f t="shared" si="616"/>
        <v/>
      </c>
      <c r="BH919" s="129">
        <f t="shared" si="617"/>
        <v/>
      </c>
      <c r="BI919" s="129">
        <f t="shared" si="618"/>
        <v/>
      </c>
      <c r="BJ919" s="129">
        <f t="shared" si="619"/>
        <v/>
      </c>
      <c r="BK919" s="129">
        <f>IF(R919="","",IF(OR(BY919="",BY919=0),"BOX",IFERROR(IF(VLOOKUP(BY919,УГО_блоки,3,FALSE)&amp;""&lt;&gt;"",VLOOKUP(BY919,УГО_блоки,3,FALSE),VLOOKUP(BY919,УГО_блоки,2,FALSE)),BY919)))</f>
      </c>
      <c r="BL919" s="129">
        <f t="shared" si="621"/>
      </c>
      <c r="BM919" s="129">
        <f>IF(H919="","",IF(COUNTIF($H$3:H919,H919)=1,MAX($BM$2:BM918)+1,""))</f>
      </c>
      <c r="BN919" s="129">
        <f>IF(I919="","",IF(COUNTIF($I$3:I919,I919)+COUNTIF($J$2:J918,I919)+COUNTIF($K$2:K918,I919)=1,MAX($BN$2:BP918)+1,""))</f>
      </c>
      <c r="BO919" s="129">
        <f>IF(J919="","",IF(COUNTIF($I$3:I919,J919)+COUNTIF($J$3:J919,J919)+COUNTIF($K$2:K918,J919)=1,MAX($BN$2:BP918,BN919)+1,""))</f>
      </c>
      <c r="BP919" s="129">
        <f>IF(K919="","",IF(COUNTIF($I$3:I919,K919)+COUNTIF($J$3:J919,K919)+COUNTIF($K$3:K919,K919)=1,MAX($BN$2:BP918,BN919,BO919)+1,""))</f>
      </c>
      <c r="BQ919" s="129">
        <f>IF(AY919=1,IFERROR(MID(Q919,FIND(" (",Q919)+2,FIND(")",Q919,FIND(" (",Q919))-FIND(" (",Q919)-2),"?"),"")</f>
      </c>
      <c r="BR919" s="129">
        <f>IF(BQ919="","",IF(COUNTIF($BQ$3:BQ919,BQ919)=1,MAX($BR$2:BR918)+1,""))</f>
      </c>
      <c r="BS919" s="129">
        <f>IF(AW919="","",COUNTIF($AW$3:AW919,"?*"))</f>
      </c>
      <c r="BT919" s="129">
        <f>IF(OR(AW919="",AI919=""),"",IF(COUNTIFS($AW$3:AW919,"?*",$AI$3:AI919,AI919)=1,MAX($BT$2:BT918)+1,""))</f>
      </c>
      <c r="BU919" s="129">
        <f>IF(AE919="",0,IF(OR(ISNUMBER(SEARCH("дубль",AE919)),ISNUMBER(SEARCH("ПЕРЕГРУЗ",AE919)),ISNUMBER(SEARCH("ЗАЩИЩ",AE919)),ISNUMBER(SEARCH("КАНАЛ",AE919)),ISNUMBER(SEARCH("без 30",AE919))),2,1))</f>
      </c>
      <c r="BV919" s="129">
        <f>IF(R919="","",COUNTIF($R$3:R919,"?*"))</f>
      </c>
      <c r="BW919" s="129">
        <f>IF(AY919&lt;&gt;1,0,IF(MAX(IFERROR(--VLOOKUP(R919,УГО_спр,5,FALSE),0),IFERROR(--VLOOKUP(AL919,УГО_спр,5,FALSE),0),IFERROR(--VLOOKUP(LEFT(AL919,2),УГО_спр,5,FALSE),0))&gt;0,MAX(IFERROR(--VLOOKUP(R919,УГО_спр,5,FALSE),0),IFERROR(--VLOOKUP(AL919,УГО_спр,5,FALSE),0),IFERROR(--VLOOKUP(LEFT(AL919,2),УГО_спр,5,FALSE),0)),IF(IFERROR(--LEFT(SUBSTITUTE(BQ919,"x","х"),FIND("х",SUBSTITUTE(BQ919,"x","х"))-1),3)&gt;3,Каталог!$S$9,1)))</f>
      </c>
      <c r="BX919" s="129">
        <f>IF(AY919&lt;&gt;1,0,MAX(0,IFERROR(--LEFT(SUBSTITUTE(BQ919,"x","х"),FIND("х",SUBSTITUTE(BQ919,"x","х"))-1),3)-3*BW919))</f>
      </c>
      <c r="BY919" s="129">
        <f>IF(R919="","",IFERROR(VLOOKUP(R919,УГО_спр,2,FALSE),IFERROR(VLOOKUP(AL919,УГО_спр,2,FALSE),IFERROR(VLOOKUP(LEFT(AL919,2),УГО_спр,2,FALSE),""))))</f>
      </c>
    </row>
    <row r="920" spans="1:64" x14ac:dyDescent="0.3">
      <c r="A920" s="135">
        <f>IF(Разбивка_по_щитам!F920=0,"",Разбивка_по_щитам!F920)</f>
        <v/>
      </c>
      <c r="B920" s="138">
        <f>IF(A920="","",Разбивка_по_щитам!C920)</f>
        <v/>
      </c>
      <c r="C920" s="138">
        <f t="shared" si="582"/>
        <v/>
      </c>
      <c r="D920" s="266"/>
      <c r="E920" s="266"/>
      <c r="F920" s="267"/>
      <c r="G920" s="145">
        <f t="shared" si="583"/>
        <v/>
      </c>
      <c r="H920" s="145">
        <f t="shared" si="584"/>
        <v/>
      </c>
      <c r="I920" s="266"/>
      <c r="J920" s="267"/>
      <c r="K920" s="267"/>
      <c r="L920" s="266"/>
      <c r="M920" s="147">
        <f t="shared" si="585"/>
        <v/>
      </c>
      <c r="N920" s="267"/>
      <c r="O920" s="147">
        <f t="shared" si="586"/>
        <v/>
      </c>
      <c r="P920" s="268">
        <f>IF(AY920=1,"XT"&amp;COUNTIFS($A$3:A920,A920,$AY$3:AY920,1),"")</f>
        <v/>
      </c>
      <c r="Q920" s="152">
        <f>IF(R920="","",IFERROR(SUBSTITUTE(Разбивка_по_щитам!P920,CHAR(10)," "),""))</f>
        <v/>
      </c>
      <c r="R920" s="153">
        <f>IF(OR(Разбивка_по_щитам!H920="",Разбивка_по_щитам!H920=0),"",Разбивка_по_щитам!H920)</f>
        <v/>
      </c>
      <c r="S920" s="154">
        <f>IF(R920="","",IFERROR(Разбивка_по_щитам!J920&amp;"",""))</f>
        <v/>
      </c>
      <c r="T920" s="155">
        <f>IF(R920="","",IFERROR(--Разбивка_по_щитам!L920,""))</f>
        <v/>
      </c>
      <c r="U920" s="155">
        <f>IF(R920="","",IFERROR(--Разбивка_по_щитам!K920,""))</f>
        <v/>
      </c>
      <c r="V920" s="138">
        <f>IF(R920="","",IFERROR(IF(Разбивка_по_щитам!M920=0,"",Разбивка_по_щитам!M920),""))</f>
        <v/>
      </c>
      <c r="W920" s="156">
        <f t="shared" si="587"/>
        <v/>
      </c>
      <c r="X920" s="157">
        <f t="shared" si="588"/>
        <v/>
      </c>
      <c r="Y920" s="266"/>
      <c r="Z920" s="158">
        <f t="shared" si="589"/>
        <v/>
      </c>
      <c r="AA920" s="160">
        <f t="shared" si="590"/>
        <v/>
      </c>
      <c r="AB920" s="160">
        <f>IF(R920="","",IFERROR(LOOKUP(INDEX(Справочная!$I$4:$I$19,MATCH(VLOOKUP(R920,Исходные_данные,22,FALSE),Справочная!$J$4:$J$19,0)+1),{6,10,16,20,25,32,40,50,63,80,100,125}),""))</f>
        <v/>
      </c>
      <c r="AC920" s="160">
        <f t="shared" si="591"/>
        <v/>
      </c>
      <c r="AD920" s="161">
        <f t="shared" si="592"/>
        <v/>
      </c>
      <c r="AE920" s="161">
        <f>IF(AND(R920="",G920=""),"",_xlfn.TEXTJOIN("; ",TRUE,IF(AND(R920&lt;&gt;"",V920=""),"нет фазы",""),IF(AND(R920&lt;&gt;"",N(T920)=0),"нет мощности",""),IF(AND(P920&lt;&gt;"",COUNTIFS($A$3:$A$1000,A920,$P$3:$P$1000,P920)&gt;1),"дубль клеммы "&amp;P920,""),IF(AND(W920&lt;&gt;"",W920&lt;&gt;"ok"),W920,""),IF(X920&lt;&gt;"",X920,""),IF(AND(ISNUMBER(SEARCH("(5х",Q920)),N(AK920)=1),"5 жил на 1 фазе",""),IF(AND(AL920="R",E920&lt;&gt;"",N(AS920)=0),"розетка без 30 мА",""),IF(IFERROR(_xlfn.NUMBERVALUE(MID(Q920,FIND("-",Q920,FIND("L=",Q920))+1,FIND("%",Q920)-FIND("-",Q920,FIND("L=",Q920))-1),","),0)&gt;4,"потери &gt; 4 %","")))</f>
      </c>
      <c r="AF920" s="129">
        <f>IF(E920&lt;&gt;"",COUNTIFS($A$3:A920,A920,$E$3:E920,"?*"),IF(OR(A920&lt;&gt;A919,Y920="вручную"),"",AF919))</f>
        <v/>
      </c>
      <c r="AG920" s="129">
        <f t="shared" si="593"/>
        <v/>
      </c>
      <c r="AH920" s="129">
        <f t="shared" si="594"/>
        <v/>
      </c>
      <c r="AI920" s="129">
        <f t="shared" si="595"/>
        <v/>
      </c>
      <c r="AJ920" s="129">
        <f t="shared" si="596"/>
        <v/>
      </c>
      <c r="AK920" s="129">
        <f t="shared" si="597"/>
        <v/>
      </c>
      <c r="AL920" s="129">
        <f t="shared" si="598"/>
        <v/>
      </c>
      <c r="AM920" s="129">
        <f t="shared" si="599"/>
      </c>
      <c r="AN920" s="129">
        <f t="shared" si="600"/>
      </c>
      <c r="AO920" s="129">
        <f t="shared" si="601"/>
        <v/>
      </c>
      <c r="AP920" s="129">
        <f t="shared" si="602"/>
        <v/>
      </c>
      <c r="AQ920" s="129">
        <f t="shared" si="603"/>
        <v/>
      </c>
      <c r="AR920" s="129">
        <f t="shared" si="604"/>
        <v/>
      </c>
      <c r="AS920" s="129">
        <f t="shared" si="605"/>
        <v/>
      </c>
      <c r="AT920" s="129">
        <f t="shared" si="606"/>
        <v/>
      </c>
      <c r="AU920" s="129">
        <f t="shared" si="607"/>
        <v/>
      </c>
      <c r="AV920" s="129">
        <f t="shared" si="608"/>
        <v/>
      </c>
      <c r="AW920" s="129">
        <f>IF(AV920="","",AV920&amp;"."&amp;COUNTIFS($A$3:A920,A920,$AV$3:AV920,AV920))</f>
        <v/>
      </c>
      <c r="AX920" s="129">
        <f t="shared" si="609"/>
        <v/>
      </c>
      <c r="AY920" s="129">
        <f>IF(N920="б/к",0,IF(OR(ISNUMBER(SEARCH("L=",Разбивка_по_щитам!P920)),N920="+",N920="="),1,0))</f>
      </c>
      <c r="AZ920" s="129">
        <f t="shared" si="610"/>
        <v/>
      </c>
      <c r="BA920" s="129">
        <f t="shared" si="611"/>
      </c>
      <c r="BB920" s="129">
        <f t="shared" si="612"/>
      </c>
      <c r="BD920" s="129">
        <f t="shared" si="613"/>
      </c>
      <c r="BE920" s="129">
        <f t="shared" si="614"/>
      </c>
      <c r="BF920" s="129">
        <f t="shared" si="615"/>
      </c>
      <c r="BG920" s="129">
        <f t="shared" si="616"/>
        <v/>
      </c>
      <c r="BH920" s="129">
        <f t="shared" si="617"/>
        <v/>
      </c>
      <c r="BI920" s="129">
        <f t="shared" si="618"/>
        <v/>
      </c>
      <c r="BJ920" s="129">
        <f t="shared" si="619"/>
        <v/>
      </c>
      <c r="BK920" s="129">
        <f>IF(R920="","",IF(OR(BY920="",BY920=0),"BOX",IFERROR(IF(VLOOKUP(BY920,УГО_блоки,3,FALSE)&amp;""&lt;&gt;"",VLOOKUP(BY920,УГО_блоки,3,FALSE),VLOOKUP(BY920,УГО_блоки,2,FALSE)),BY920)))</f>
      </c>
      <c r="BL920" s="129">
        <f t="shared" si="621"/>
      </c>
      <c r="BM920" s="129">
        <f>IF(H920="","",IF(COUNTIF($H$3:H920,H920)=1,MAX($BM$2:BM919)+1,""))</f>
      </c>
      <c r="BN920" s="129">
        <f>IF(I920="","",IF(COUNTIF($I$3:I920,I920)+COUNTIF($J$2:J919,I920)+COUNTIF($K$2:K919,I920)=1,MAX($BN$2:BP919)+1,""))</f>
      </c>
      <c r="BO920" s="129">
        <f>IF(J920="","",IF(COUNTIF($I$3:I920,J920)+COUNTIF($J$3:J920,J920)+COUNTIF($K$2:K919,J920)=1,MAX($BN$2:BP919,BN920)+1,""))</f>
      </c>
      <c r="BP920" s="129">
        <f>IF(K920="","",IF(COUNTIF($I$3:I920,K920)+COUNTIF($J$3:J920,K920)+COUNTIF($K$3:K920,K920)=1,MAX($BN$2:BP919,BN920,BO920)+1,""))</f>
      </c>
      <c r="BQ920" s="129">
        <f>IF(AY920=1,IFERROR(MID(Q920,FIND(" (",Q920)+2,FIND(")",Q920,FIND(" (",Q920))-FIND(" (",Q920)-2),"?"),"")</f>
      </c>
      <c r="BR920" s="129">
        <f>IF(BQ920="","",IF(COUNTIF($BQ$3:BQ920,BQ920)=1,MAX($BR$2:BR919)+1,""))</f>
      </c>
      <c r="BS920" s="129">
        <f>IF(AW920="","",COUNTIF($AW$3:AW920,"?*"))</f>
      </c>
      <c r="BT920" s="129">
        <f>IF(OR(AW920="",AI920=""),"",IF(COUNTIFS($AW$3:AW920,"?*",$AI$3:AI920,AI920)=1,MAX($BT$2:BT919)+1,""))</f>
      </c>
      <c r="BU920" s="129">
        <f>IF(AE920="",0,IF(OR(ISNUMBER(SEARCH("дубль",AE920)),ISNUMBER(SEARCH("ПЕРЕГРУЗ",AE920)),ISNUMBER(SEARCH("ЗАЩИЩ",AE920)),ISNUMBER(SEARCH("КАНАЛ",AE920)),ISNUMBER(SEARCH("без 30",AE920))),2,1))</f>
      </c>
      <c r="BV920" s="129">
        <f>IF(R920="","",COUNTIF($R$3:R920,"?*"))</f>
      </c>
      <c r="BW920" s="129">
        <f>IF(AY920&lt;&gt;1,0,IF(MAX(IFERROR(--VLOOKUP(R920,УГО_спр,5,FALSE),0),IFERROR(--VLOOKUP(AL920,УГО_спр,5,FALSE),0),IFERROR(--VLOOKUP(LEFT(AL920,2),УГО_спр,5,FALSE),0))&gt;0,MAX(IFERROR(--VLOOKUP(R920,УГО_спр,5,FALSE),0),IFERROR(--VLOOKUP(AL920,УГО_спр,5,FALSE),0),IFERROR(--VLOOKUP(LEFT(AL920,2),УГО_спр,5,FALSE),0)),IF(IFERROR(--LEFT(SUBSTITUTE(BQ920,"x","х"),FIND("х",SUBSTITUTE(BQ920,"x","х"))-1),3)&gt;3,Каталог!$S$9,1)))</f>
      </c>
      <c r="BX920" s="129">
        <f>IF(AY920&lt;&gt;1,0,MAX(0,IFERROR(--LEFT(SUBSTITUTE(BQ920,"x","х"),FIND("х",SUBSTITUTE(BQ920,"x","х"))-1),3)-3*BW920))</f>
      </c>
      <c r="BY920" s="129">
        <f>IF(R920="","",IFERROR(VLOOKUP(R920,УГО_спр,2,FALSE),IFERROR(VLOOKUP(AL920,УГО_спр,2,FALSE),IFERROR(VLOOKUP(LEFT(AL920,2),УГО_спр,2,FALSE),""))))</f>
      </c>
    </row>
    <row r="921" spans="1:64" x14ac:dyDescent="0.3">
      <c r="A921" s="135">
        <f>IF(Разбивка_по_щитам!F921=0,"",Разбивка_по_щитам!F921)</f>
        <v/>
      </c>
      <c r="B921" s="138">
        <f>IF(A921="","",Разбивка_по_щитам!C921)</f>
        <v/>
      </c>
      <c r="C921" s="138">
        <f t="shared" si="582"/>
        <v/>
      </c>
      <c r="D921" s="266"/>
      <c r="E921" s="266"/>
      <c r="F921" s="267"/>
      <c r="G921" s="145">
        <f t="shared" si="583"/>
        <v/>
      </c>
      <c r="H921" s="145">
        <f t="shared" si="584"/>
        <v/>
      </c>
      <c r="I921" s="266"/>
      <c r="J921" s="267"/>
      <c r="K921" s="267"/>
      <c r="L921" s="266"/>
      <c r="M921" s="147">
        <f t="shared" si="585"/>
        <v/>
      </c>
      <c r="N921" s="267"/>
      <c r="O921" s="147">
        <f t="shared" si="586"/>
        <v/>
      </c>
      <c r="P921" s="268">
        <f>IF(AY921=1,"XT"&amp;COUNTIFS($A$3:A921,A921,$AY$3:AY921,1),"")</f>
        <v/>
      </c>
      <c r="Q921" s="152">
        <f>IF(R921="","",IFERROR(SUBSTITUTE(Разбивка_по_щитам!P921,CHAR(10)," "),""))</f>
        <v/>
      </c>
      <c r="R921" s="153">
        <f>IF(OR(Разбивка_по_щитам!H921="",Разбивка_по_щитам!H921=0),"",Разбивка_по_щитам!H921)</f>
        <v/>
      </c>
      <c r="S921" s="154">
        <f>IF(R921="","",IFERROR(Разбивка_по_щитам!J921&amp;"",""))</f>
        <v/>
      </c>
      <c r="T921" s="155">
        <f>IF(R921="","",IFERROR(--Разбивка_по_щитам!L921,""))</f>
        <v/>
      </c>
      <c r="U921" s="155">
        <f>IF(R921="","",IFERROR(--Разбивка_по_щитам!K921,""))</f>
        <v/>
      </c>
      <c r="V921" s="138">
        <f>IF(R921="","",IFERROR(IF(Разбивка_по_щитам!M921=0,"",Разбивка_по_щитам!M921),""))</f>
        <v/>
      </c>
      <c r="W921" s="156">
        <f t="shared" si="587"/>
        <v/>
      </c>
      <c r="X921" s="157">
        <f t="shared" si="588"/>
        <v/>
      </c>
      <c r="Y921" s="266"/>
      <c r="Z921" s="158">
        <f t="shared" si="589"/>
        <v/>
      </c>
      <c r="AA921" s="160">
        <f t="shared" si="590"/>
        <v/>
      </c>
      <c r="AB921" s="160">
        <f>IF(R921="","",IFERROR(LOOKUP(INDEX(Справочная!$I$4:$I$19,MATCH(VLOOKUP(R921,Исходные_данные,22,FALSE),Справочная!$J$4:$J$19,0)+1),{6,10,16,20,25,32,40,50,63,80,100,125}),""))</f>
        <v/>
      </c>
      <c r="AC921" s="160">
        <f t="shared" si="591"/>
        <v/>
      </c>
      <c r="AD921" s="161">
        <f t="shared" si="592"/>
        <v/>
      </c>
      <c r="AE921" s="161">
        <f>IF(AND(R921="",G921=""),"",_xlfn.TEXTJOIN("; ",TRUE,IF(AND(R921&lt;&gt;"",V921=""),"нет фазы",""),IF(AND(R921&lt;&gt;"",N(T921)=0),"нет мощности",""),IF(AND(P921&lt;&gt;"",COUNTIFS($A$3:$A$1000,A921,$P$3:$P$1000,P921)&gt;1),"дубль клеммы "&amp;P921,""),IF(AND(W921&lt;&gt;"",W921&lt;&gt;"ok"),W921,""),IF(X921&lt;&gt;"",X921,""),IF(AND(ISNUMBER(SEARCH("(5х",Q921)),N(AK921)=1),"5 жил на 1 фазе",""),IF(AND(AL921="R",E921&lt;&gt;"",N(AS921)=0),"розетка без 30 мА",""),IF(IFERROR(_xlfn.NUMBERVALUE(MID(Q921,FIND("-",Q921,FIND("L=",Q921))+1,FIND("%",Q921)-FIND("-",Q921,FIND("L=",Q921))-1),","),0)&gt;4,"потери &gt; 4 %","")))</f>
      </c>
      <c r="AF921" s="129">
        <f>IF(E921&lt;&gt;"",COUNTIFS($A$3:A921,A921,$E$3:E921,"?*"),IF(OR(A921&lt;&gt;A920,Y921="вручную"),"",AF920))</f>
        <v/>
      </c>
      <c r="AG921" s="129">
        <f t="shared" si="593"/>
        <v/>
      </c>
      <c r="AH921" s="129">
        <f t="shared" si="594"/>
        <v/>
      </c>
      <c r="AI921" s="129">
        <f t="shared" si="595"/>
        <v/>
      </c>
      <c r="AJ921" s="129">
        <f t="shared" si="596"/>
        <v/>
      </c>
      <c r="AK921" s="129">
        <f t="shared" si="597"/>
        <v/>
      </c>
      <c r="AL921" s="129">
        <f t="shared" si="598"/>
        <v/>
      </c>
      <c r="AM921" s="129">
        <f t="shared" si="599"/>
      </c>
      <c r="AN921" s="129">
        <f t="shared" si="600"/>
      </c>
      <c r="AO921" s="129">
        <f t="shared" si="601"/>
        <v/>
      </c>
      <c r="AP921" s="129">
        <f t="shared" si="602"/>
        <v/>
      </c>
      <c r="AQ921" s="129">
        <f t="shared" si="603"/>
        <v/>
      </c>
      <c r="AR921" s="129">
        <f t="shared" si="604"/>
        <v/>
      </c>
      <c r="AS921" s="129">
        <f t="shared" si="605"/>
        <v/>
      </c>
      <c r="AT921" s="129">
        <f t="shared" si="606"/>
        <v/>
      </c>
      <c r="AU921" s="129">
        <f t="shared" si="607"/>
        <v/>
      </c>
      <c r="AV921" s="129">
        <f t="shared" si="608"/>
        <v/>
      </c>
      <c r="AW921" s="129">
        <f>IF(AV921="","",AV921&amp;"."&amp;COUNTIFS($A$3:A921,A921,$AV$3:AV921,AV921))</f>
        <v/>
      </c>
      <c r="AX921" s="129">
        <f t="shared" si="609"/>
        <v/>
      </c>
      <c r="AY921" s="129">
        <f>IF(N921="б/к",0,IF(OR(ISNUMBER(SEARCH("L=",Разбивка_по_щитам!P921)),N921="+",N921="="),1,0))</f>
      </c>
      <c r="AZ921" s="129">
        <f t="shared" si="610"/>
        <v/>
      </c>
      <c r="BA921" s="129">
        <f t="shared" si="611"/>
      </c>
      <c r="BB921" s="129">
        <f t="shared" si="612"/>
      </c>
      <c r="BD921" s="129">
        <f t="shared" si="613"/>
      </c>
      <c r="BE921" s="129">
        <f t="shared" si="614"/>
      </c>
      <c r="BF921" s="129">
        <f t="shared" si="615"/>
      </c>
      <c r="BG921" s="129">
        <f t="shared" si="616"/>
        <v/>
      </c>
      <c r="BH921" s="129">
        <f t="shared" si="617"/>
        <v/>
      </c>
      <c r="BI921" s="129">
        <f t="shared" si="618"/>
        <v/>
      </c>
      <c r="BJ921" s="129">
        <f t="shared" si="619"/>
        <v/>
      </c>
      <c r="BK921" s="129">
        <f>IF(R921="","",IF(OR(BY921="",BY921=0),"BOX",IFERROR(IF(VLOOKUP(BY921,УГО_блоки,3,FALSE)&amp;""&lt;&gt;"",VLOOKUP(BY921,УГО_блоки,3,FALSE),VLOOKUP(BY921,УГО_блоки,2,FALSE)),BY921)))</f>
      </c>
      <c r="BL921" s="129">
        <f t="shared" si="621"/>
      </c>
      <c r="BM921" s="129">
        <f>IF(H921="","",IF(COUNTIF($H$3:H921,H921)=1,MAX($BM$2:BM920)+1,""))</f>
      </c>
      <c r="BN921" s="129">
        <f>IF(I921="","",IF(COUNTIF($I$3:I921,I921)+COUNTIF($J$2:J920,I921)+COUNTIF($K$2:K920,I921)=1,MAX($BN$2:BP920)+1,""))</f>
      </c>
      <c r="BO921" s="129">
        <f>IF(J921="","",IF(COUNTIF($I$3:I921,J921)+COUNTIF($J$3:J921,J921)+COUNTIF($K$2:K920,J921)=1,MAX($BN$2:BP920,BN921)+1,""))</f>
      </c>
      <c r="BP921" s="129">
        <f>IF(K921="","",IF(COUNTIF($I$3:I921,K921)+COUNTIF($J$3:J921,K921)+COUNTIF($K$3:K921,K921)=1,MAX($BN$2:BP920,BN921,BO921)+1,""))</f>
      </c>
      <c r="BQ921" s="129">
        <f>IF(AY921=1,IFERROR(MID(Q921,FIND(" (",Q921)+2,FIND(")",Q921,FIND(" (",Q921))-FIND(" (",Q921)-2),"?"),"")</f>
      </c>
      <c r="BR921" s="129">
        <f>IF(BQ921="","",IF(COUNTIF($BQ$3:BQ921,BQ921)=1,MAX($BR$2:BR920)+1,""))</f>
      </c>
      <c r="BS921" s="129">
        <f>IF(AW921="","",COUNTIF($AW$3:AW921,"?*"))</f>
      </c>
      <c r="BT921" s="129">
        <f>IF(OR(AW921="",AI921=""),"",IF(COUNTIFS($AW$3:AW921,"?*",$AI$3:AI921,AI921)=1,MAX($BT$2:BT920)+1,""))</f>
      </c>
      <c r="BU921" s="129">
        <f>IF(AE921="",0,IF(OR(ISNUMBER(SEARCH("дубль",AE921)),ISNUMBER(SEARCH("ПЕРЕГРУЗ",AE921)),ISNUMBER(SEARCH("ЗАЩИЩ",AE921)),ISNUMBER(SEARCH("КАНАЛ",AE921)),ISNUMBER(SEARCH("без 30",AE921))),2,1))</f>
      </c>
      <c r="BV921" s="129">
        <f>IF(R921="","",COUNTIF($R$3:R921,"?*"))</f>
      </c>
      <c r="BW921" s="129">
        <f>IF(AY921&lt;&gt;1,0,IF(MAX(IFERROR(--VLOOKUP(R921,УГО_спр,5,FALSE),0),IFERROR(--VLOOKUP(AL921,УГО_спр,5,FALSE),0),IFERROR(--VLOOKUP(LEFT(AL921,2),УГО_спр,5,FALSE),0))&gt;0,MAX(IFERROR(--VLOOKUP(R921,УГО_спр,5,FALSE),0),IFERROR(--VLOOKUP(AL921,УГО_спр,5,FALSE),0),IFERROR(--VLOOKUP(LEFT(AL921,2),УГО_спр,5,FALSE),0)),IF(IFERROR(--LEFT(SUBSTITUTE(BQ921,"x","х"),FIND("х",SUBSTITUTE(BQ921,"x","х"))-1),3)&gt;3,Каталог!$S$9,1)))</f>
      </c>
      <c r="BX921" s="129">
        <f>IF(AY921&lt;&gt;1,0,MAX(0,IFERROR(--LEFT(SUBSTITUTE(BQ921,"x","х"),FIND("х",SUBSTITUTE(BQ921,"x","х"))-1),3)-3*BW921))</f>
      </c>
      <c r="BY921" s="129">
        <f>IF(R921="","",IFERROR(VLOOKUP(R921,УГО_спр,2,FALSE),IFERROR(VLOOKUP(AL921,УГО_спр,2,FALSE),IFERROR(VLOOKUP(LEFT(AL921,2),УГО_спр,2,FALSE),""))))</f>
      </c>
    </row>
    <row r="922" spans="1:64" x14ac:dyDescent="0.3">
      <c r="A922" s="135">
        <f>IF(Разбивка_по_щитам!F922=0,"",Разбивка_по_щитам!F922)</f>
        <v/>
      </c>
      <c r="B922" s="138">
        <f>IF(A922="","",Разбивка_по_щитам!C922)</f>
        <v/>
      </c>
      <c r="C922" s="138">
        <f t="shared" si="582"/>
        <v/>
      </c>
      <c r="D922" s="266"/>
      <c r="E922" s="266"/>
      <c r="F922" s="267"/>
      <c r="G922" s="145">
        <f t="shared" si="583"/>
        <v/>
      </c>
      <c r="H922" s="145">
        <f t="shared" si="584"/>
        <v/>
      </c>
      <c r="I922" s="266"/>
      <c r="J922" s="267"/>
      <c r="K922" s="267"/>
      <c r="L922" s="266"/>
      <c r="M922" s="147">
        <f t="shared" si="585"/>
        <v/>
      </c>
      <c r="N922" s="267"/>
      <c r="O922" s="147">
        <f t="shared" si="586"/>
        <v/>
      </c>
      <c r="P922" s="268">
        <f>IF(AY922=1,"XT"&amp;COUNTIFS($A$3:A922,A922,$AY$3:AY922,1),"")</f>
        <v/>
      </c>
      <c r="Q922" s="152">
        <f>IF(R922="","",IFERROR(SUBSTITUTE(Разбивка_по_щитам!P922,CHAR(10)," "),""))</f>
        <v/>
      </c>
      <c r="R922" s="153">
        <f>IF(OR(Разбивка_по_щитам!H922="",Разбивка_по_щитам!H922=0),"",Разбивка_по_щитам!H922)</f>
        <v/>
      </c>
      <c r="S922" s="154">
        <f>IF(R922="","",IFERROR(Разбивка_по_щитам!J922&amp;"",""))</f>
        <v/>
      </c>
      <c r="T922" s="155">
        <f>IF(R922="","",IFERROR(--Разбивка_по_щитам!L922,""))</f>
        <v/>
      </c>
      <c r="U922" s="155">
        <f>IF(R922="","",IFERROR(--Разбивка_по_щитам!K922,""))</f>
        <v/>
      </c>
      <c r="V922" s="138">
        <f>IF(R922="","",IFERROR(IF(Разбивка_по_щитам!M922=0,"",Разбивка_по_щитам!M922),""))</f>
        <v/>
      </c>
      <c r="W922" s="156">
        <f t="shared" si="587"/>
        <v/>
      </c>
      <c r="X922" s="157">
        <f t="shared" si="588"/>
        <v/>
      </c>
      <c r="Y922" s="266"/>
      <c r="Z922" s="158">
        <f t="shared" si="589"/>
        <v/>
      </c>
      <c r="AA922" s="160">
        <f t="shared" si="590"/>
        <v/>
      </c>
      <c r="AB922" s="160">
        <f>IF(R922="","",IFERROR(LOOKUP(INDEX(Справочная!$I$4:$I$19,MATCH(VLOOKUP(R922,Исходные_данные,22,FALSE),Справочная!$J$4:$J$19,0)+1),{6,10,16,20,25,32,40,50,63,80,100,125}),""))</f>
        <v/>
      </c>
      <c r="AC922" s="160">
        <f t="shared" si="591"/>
        <v/>
      </c>
      <c r="AD922" s="161">
        <f t="shared" si="592"/>
        <v/>
      </c>
      <c r="AE922" s="161">
        <f>IF(AND(R922="",G922=""),"",_xlfn.TEXTJOIN("; ",TRUE,IF(AND(R922&lt;&gt;"",V922=""),"нет фазы",""),IF(AND(R922&lt;&gt;"",N(T922)=0),"нет мощности",""),IF(AND(P922&lt;&gt;"",COUNTIFS($A$3:$A$1000,A922,$P$3:$P$1000,P922)&gt;1),"дубль клеммы "&amp;P922,""),IF(AND(W922&lt;&gt;"",W922&lt;&gt;"ok"),W922,""),IF(X922&lt;&gt;"",X922,""),IF(AND(ISNUMBER(SEARCH("(5х",Q922)),N(AK922)=1),"5 жил на 1 фазе",""),IF(AND(AL922="R",E922&lt;&gt;"",N(AS922)=0),"розетка без 30 мА",""),IF(IFERROR(_xlfn.NUMBERVALUE(MID(Q922,FIND("-",Q922,FIND("L=",Q922))+1,FIND("%",Q922)-FIND("-",Q922,FIND("L=",Q922))-1),","),0)&gt;4,"потери &gt; 4 %","")))</f>
      </c>
      <c r="AF922" s="129">
        <f>IF(E922&lt;&gt;"",COUNTIFS($A$3:A922,A922,$E$3:E922,"?*"),IF(OR(A922&lt;&gt;A921,Y922="вручную"),"",AF921))</f>
        <v/>
      </c>
      <c r="AG922" s="129">
        <f t="shared" si="593"/>
        <v/>
      </c>
      <c r="AH922" s="129">
        <f t="shared" si="594"/>
        <v/>
      </c>
      <c r="AI922" s="129">
        <f t="shared" si="595"/>
        <v/>
      </c>
      <c r="AJ922" s="129">
        <f t="shared" si="596"/>
        <v/>
      </c>
      <c r="AK922" s="129">
        <f t="shared" si="597"/>
        <v/>
      </c>
      <c r="AL922" s="129">
        <f t="shared" si="598"/>
        <v/>
      </c>
      <c r="AM922" s="129">
        <f t="shared" si="599"/>
      </c>
      <c r="AN922" s="129">
        <f t="shared" si="600"/>
      </c>
      <c r="AO922" s="129">
        <f t="shared" si="601"/>
        <v/>
      </c>
      <c r="AP922" s="129">
        <f t="shared" si="602"/>
        <v/>
      </c>
      <c r="AQ922" s="129">
        <f t="shared" si="603"/>
        <v/>
      </c>
      <c r="AR922" s="129">
        <f t="shared" si="604"/>
        <v/>
      </c>
      <c r="AS922" s="129">
        <f t="shared" si="605"/>
        <v/>
      </c>
      <c r="AT922" s="129">
        <f t="shared" si="606"/>
        <v/>
      </c>
      <c r="AU922" s="129">
        <f t="shared" si="607"/>
        <v/>
      </c>
      <c r="AV922" s="129">
        <f t="shared" si="608"/>
        <v/>
      </c>
      <c r="AW922" s="129">
        <f>IF(AV922="","",AV922&amp;"."&amp;COUNTIFS($A$3:A922,A922,$AV$3:AV922,AV922))</f>
        <v/>
      </c>
      <c r="AX922" s="129">
        <f t="shared" si="609"/>
        <v/>
      </c>
      <c r="AY922" s="129">
        <f>IF(N922="б/к",0,IF(OR(ISNUMBER(SEARCH("L=",Разбивка_по_щитам!P922)),N922="+",N922="="),1,0))</f>
      </c>
      <c r="AZ922" s="129">
        <f t="shared" si="610"/>
        <v/>
      </c>
      <c r="BA922" s="129">
        <f t="shared" si="611"/>
      </c>
      <c r="BB922" s="129">
        <f t="shared" si="612"/>
      </c>
      <c r="BD922" s="129">
        <f t="shared" si="613"/>
      </c>
      <c r="BE922" s="129">
        <f t="shared" si="614"/>
      </c>
      <c r="BF922" s="129">
        <f t="shared" si="615"/>
      </c>
      <c r="BG922" s="129">
        <f t="shared" si="616"/>
        <v/>
      </c>
      <c r="BH922" s="129">
        <f t="shared" si="617"/>
        <v/>
      </c>
      <c r="BI922" s="129">
        <f t="shared" si="618"/>
        <v/>
      </c>
      <c r="BJ922" s="129">
        <f t="shared" si="619"/>
        <v/>
      </c>
      <c r="BK922" s="129">
        <f>IF(R922="","",IF(OR(BY922="",BY922=0),"BOX",IFERROR(IF(VLOOKUP(BY922,УГО_блоки,3,FALSE)&amp;""&lt;&gt;"",VLOOKUP(BY922,УГО_блоки,3,FALSE),VLOOKUP(BY922,УГО_блоки,2,FALSE)),BY922)))</f>
      </c>
      <c r="BL922" s="129">
        <f t="shared" si="621"/>
      </c>
      <c r="BM922" s="129">
        <f>IF(H922="","",IF(COUNTIF($H$3:H922,H922)=1,MAX($BM$2:BM921)+1,""))</f>
      </c>
      <c r="BN922" s="129">
        <f>IF(I922="","",IF(COUNTIF($I$3:I922,I922)+COUNTIF($J$2:J921,I922)+COUNTIF($K$2:K921,I922)=1,MAX($BN$2:BP921)+1,""))</f>
      </c>
      <c r="BO922" s="129">
        <f>IF(J922="","",IF(COUNTIF($I$3:I922,J922)+COUNTIF($J$3:J922,J922)+COUNTIF($K$2:K921,J922)=1,MAX($BN$2:BP921,BN922)+1,""))</f>
      </c>
      <c r="BP922" s="129">
        <f>IF(K922="","",IF(COUNTIF($I$3:I922,K922)+COUNTIF($J$3:J922,K922)+COUNTIF($K$3:K922,K922)=1,MAX($BN$2:BP921,BN922,BO922)+1,""))</f>
      </c>
      <c r="BQ922" s="129">
        <f>IF(AY922=1,IFERROR(MID(Q922,FIND(" (",Q922)+2,FIND(")",Q922,FIND(" (",Q922))-FIND(" (",Q922)-2),"?"),"")</f>
      </c>
      <c r="BR922" s="129">
        <f>IF(BQ922="","",IF(COUNTIF($BQ$3:BQ922,BQ922)=1,MAX($BR$2:BR921)+1,""))</f>
      </c>
      <c r="BS922" s="129">
        <f>IF(AW922="","",COUNTIF($AW$3:AW922,"?*"))</f>
      </c>
      <c r="BT922" s="129">
        <f>IF(OR(AW922="",AI922=""),"",IF(COUNTIFS($AW$3:AW922,"?*",$AI$3:AI922,AI922)=1,MAX($BT$2:BT921)+1,""))</f>
      </c>
      <c r="BU922" s="129">
        <f>IF(AE922="",0,IF(OR(ISNUMBER(SEARCH("дубль",AE922)),ISNUMBER(SEARCH("ПЕРЕГРУЗ",AE922)),ISNUMBER(SEARCH("ЗАЩИЩ",AE922)),ISNUMBER(SEARCH("КАНАЛ",AE922)),ISNUMBER(SEARCH("без 30",AE922))),2,1))</f>
      </c>
      <c r="BV922" s="129">
        <f>IF(R922="","",COUNTIF($R$3:R922,"?*"))</f>
      </c>
      <c r="BW922" s="129">
        <f>IF(AY922&lt;&gt;1,0,IF(MAX(IFERROR(--VLOOKUP(R922,УГО_спр,5,FALSE),0),IFERROR(--VLOOKUP(AL922,УГО_спр,5,FALSE),0),IFERROR(--VLOOKUP(LEFT(AL922,2),УГО_спр,5,FALSE),0))&gt;0,MAX(IFERROR(--VLOOKUP(R922,УГО_спр,5,FALSE),0),IFERROR(--VLOOKUP(AL922,УГО_спр,5,FALSE),0),IFERROR(--VLOOKUP(LEFT(AL922,2),УГО_спр,5,FALSE),0)),IF(IFERROR(--LEFT(SUBSTITUTE(BQ922,"x","х"),FIND("х",SUBSTITUTE(BQ922,"x","х"))-1),3)&gt;3,Каталог!$S$9,1)))</f>
      </c>
      <c r="BX922" s="129">
        <f>IF(AY922&lt;&gt;1,0,MAX(0,IFERROR(--LEFT(SUBSTITUTE(BQ922,"x","х"),FIND("х",SUBSTITUTE(BQ922,"x","х"))-1),3)-3*BW922))</f>
      </c>
      <c r="BY922" s="129">
        <f>IF(R922="","",IFERROR(VLOOKUP(R922,УГО_спр,2,FALSE),IFERROR(VLOOKUP(AL922,УГО_спр,2,FALSE),IFERROR(VLOOKUP(LEFT(AL922,2),УГО_спр,2,FALSE),""))))</f>
      </c>
    </row>
    <row r="923" spans="1:64" x14ac:dyDescent="0.3">
      <c r="A923" s="135">
        <f>IF(Разбивка_по_щитам!F923=0,"",Разбивка_по_щитам!F923)</f>
        <v/>
      </c>
      <c r="B923" s="138">
        <f>IF(A923="","",Разбивка_по_щитам!C923)</f>
        <v/>
      </c>
      <c r="C923" s="138">
        <f t="shared" si="582"/>
        <v/>
      </c>
      <c r="D923" s="266"/>
      <c r="E923" s="266"/>
      <c r="F923" s="267"/>
      <c r="G923" s="145">
        <f t="shared" si="583"/>
        <v/>
      </c>
      <c r="H923" s="145">
        <f t="shared" si="584"/>
        <v/>
      </c>
      <c r="I923" s="266"/>
      <c r="J923" s="267"/>
      <c r="K923" s="267"/>
      <c r="L923" s="266"/>
      <c r="M923" s="147">
        <f t="shared" si="585"/>
        <v/>
      </c>
      <c r="N923" s="267"/>
      <c r="O923" s="147">
        <f t="shared" si="586"/>
        <v/>
      </c>
      <c r="P923" s="268">
        <f>IF(AY923=1,"XT"&amp;COUNTIFS($A$3:A923,A923,$AY$3:AY923,1),"")</f>
        <v/>
      </c>
      <c r="Q923" s="152">
        <f>IF(R923="","",IFERROR(SUBSTITUTE(Разбивка_по_щитам!P923,CHAR(10)," "),""))</f>
        <v/>
      </c>
      <c r="R923" s="153">
        <f>IF(OR(Разбивка_по_щитам!H923="",Разбивка_по_щитам!H923=0),"",Разбивка_по_щитам!H923)</f>
        <v/>
      </c>
      <c r="S923" s="154">
        <f>IF(R923="","",IFERROR(Разбивка_по_щитам!J923&amp;"",""))</f>
        <v/>
      </c>
      <c r="T923" s="155">
        <f>IF(R923="","",IFERROR(--Разбивка_по_щитам!L923,""))</f>
        <v/>
      </c>
      <c r="U923" s="155">
        <f>IF(R923="","",IFERROR(--Разбивка_по_щитам!K923,""))</f>
        <v/>
      </c>
      <c r="V923" s="138">
        <f>IF(R923="","",IFERROR(IF(Разбивка_по_щитам!M923=0,"",Разбивка_по_щитам!M923),""))</f>
        <v/>
      </c>
      <c r="W923" s="156">
        <f t="shared" si="587"/>
        <v/>
      </c>
      <c r="X923" s="157">
        <f t="shared" si="588"/>
        <v/>
      </c>
      <c r="Y923" s="266"/>
      <c r="Z923" s="158">
        <f t="shared" si="589"/>
        <v/>
      </c>
      <c r="AA923" s="160">
        <f t="shared" si="590"/>
        <v/>
      </c>
      <c r="AB923" s="160">
        <f>IF(R923="","",IFERROR(LOOKUP(INDEX(Справочная!$I$4:$I$19,MATCH(VLOOKUP(R923,Исходные_данные,22,FALSE),Справочная!$J$4:$J$19,0)+1),{6,10,16,20,25,32,40,50,63,80,100,125}),""))</f>
        <v/>
      </c>
      <c r="AC923" s="160">
        <f t="shared" si="591"/>
        <v/>
      </c>
      <c r="AD923" s="161">
        <f t="shared" si="592"/>
        <v/>
      </c>
      <c r="AE923" s="161">
        <f>IF(AND(R923="",G923=""),"",_xlfn.TEXTJOIN("; ",TRUE,IF(AND(R923&lt;&gt;"",V923=""),"нет фазы",""),IF(AND(R923&lt;&gt;"",N(T923)=0),"нет мощности",""),IF(AND(P923&lt;&gt;"",COUNTIFS($A$3:$A$1000,A923,$P$3:$P$1000,P923)&gt;1),"дубль клеммы "&amp;P923,""),IF(AND(W923&lt;&gt;"",W923&lt;&gt;"ok"),W923,""),IF(X923&lt;&gt;"",X923,""),IF(AND(ISNUMBER(SEARCH("(5х",Q923)),N(AK923)=1),"5 жил на 1 фазе",""),IF(AND(AL923="R",E923&lt;&gt;"",N(AS923)=0),"розетка без 30 мА",""),IF(IFERROR(_xlfn.NUMBERVALUE(MID(Q923,FIND("-",Q923,FIND("L=",Q923))+1,FIND("%",Q923)-FIND("-",Q923,FIND("L=",Q923))-1),","),0)&gt;4,"потери &gt; 4 %","")))</f>
      </c>
      <c r="AF923" s="129">
        <f>IF(E923&lt;&gt;"",COUNTIFS($A$3:A923,A923,$E$3:E923,"?*"),IF(OR(A923&lt;&gt;A922,Y923="вручную"),"",AF922))</f>
        <v/>
      </c>
      <c r="AG923" s="129">
        <f t="shared" si="593"/>
        <v/>
      </c>
      <c r="AH923" s="129">
        <f t="shared" si="594"/>
        <v/>
      </c>
      <c r="AI923" s="129">
        <f t="shared" si="595"/>
        <v/>
      </c>
      <c r="AJ923" s="129">
        <f t="shared" si="596"/>
        <v/>
      </c>
      <c r="AK923" s="129">
        <f t="shared" si="597"/>
        <v/>
      </c>
      <c r="AL923" s="129">
        <f t="shared" si="598"/>
        <v/>
      </c>
      <c r="AM923" s="129">
        <f t="shared" si="599"/>
      </c>
      <c r="AN923" s="129">
        <f t="shared" si="600"/>
      </c>
      <c r="AO923" s="129">
        <f t="shared" si="601"/>
        <v/>
      </c>
      <c r="AP923" s="129">
        <f t="shared" si="602"/>
        <v/>
      </c>
      <c r="AQ923" s="129">
        <f t="shared" si="603"/>
        <v/>
      </c>
      <c r="AR923" s="129">
        <f t="shared" si="604"/>
        <v/>
      </c>
      <c r="AS923" s="129">
        <f t="shared" si="605"/>
        <v/>
      </c>
      <c r="AT923" s="129">
        <f t="shared" si="606"/>
        <v/>
      </c>
      <c r="AU923" s="129">
        <f t="shared" si="607"/>
        <v/>
      </c>
      <c r="AV923" s="129">
        <f t="shared" si="608"/>
        <v/>
      </c>
      <c r="AW923" s="129">
        <f>IF(AV923="","",AV923&amp;"."&amp;COUNTIFS($A$3:A923,A923,$AV$3:AV923,AV923))</f>
        <v/>
      </c>
      <c r="AX923" s="129">
        <f t="shared" si="609"/>
        <v/>
      </c>
      <c r="AY923" s="129">
        <f>IF(N923="б/к",0,IF(OR(ISNUMBER(SEARCH("L=",Разбивка_по_щитам!P923)),N923="+",N923="="),1,0))</f>
      </c>
      <c r="AZ923" s="129">
        <f t="shared" si="610"/>
        <v/>
      </c>
      <c r="BA923" s="129">
        <f t="shared" si="611"/>
      </c>
      <c r="BB923" s="129">
        <f t="shared" si="612"/>
      </c>
      <c r="BD923" s="129">
        <f t="shared" si="613"/>
      </c>
      <c r="BE923" s="129">
        <f t="shared" si="614"/>
      </c>
      <c r="BF923" s="129">
        <f t="shared" si="615"/>
      </c>
      <c r="BG923" s="129">
        <f t="shared" si="616"/>
        <v/>
      </c>
      <c r="BH923" s="129">
        <f t="shared" si="617"/>
        <v/>
      </c>
      <c r="BI923" s="129">
        <f t="shared" si="618"/>
        <v/>
      </c>
      <c r="BJ923" s="129">
        <f t="shared" si="619"/>
        <v/>
      </c>
      <c r="BK923" s="129">
        <f>IF(R923="","",IF(OR(BY923="",BY923=0),"BOX",IFERROR(IF(VLOOKUP(BY923,УГО_блоки,3,FALSE)&amp;""&lt;&gt;"",VLOOKUP(BY923,УГО_блоки,3,FALSE),VLOOKUP(BY923,УГО_блоки,2,FALSE)),BY923)))</f>
      </c>
      <c r="BL923" s="129">
        <f t="shared" si="621"/>
      </c>
      <c r="BM923" s="129">
        <f>IF(H923="","",IF(COUNTIF($H$3:H923,H923)=1,MAX($BM$2:BM922)+1,""))</f>
      </c>
      <c r="BN923" s="129">
        <f>IF(I923="","",IF(COUNTIF($I$3:I923,I923)+COUNTIF($J$2:J922,I923)+COUNTIF($K$2:K922,I923)=1,MAX($BN$2:BP922)+1,""))</f>
      </c>
      <c r="BO923" s="129">
        <f>IF(J923="","",IF(COUNTIF($I$3:I923,J923)+COUNTIF($J$3:J923,J923)+COUNTIF($K$2:K922,J923)=1,MAX($BN$2:BP922,BN923)+1,""))</f>
      </c>
      <c r="BP923" s="129">
        <f>IF(K923="","",IF(COUNTIF($I$3:I923,K923)+COUNTIF($J$3:J923,K923)+COUNTIF($K$3:K923,K923)=1,MAX($BN$2:BP922,BN923,BO923)+1,""))</f>
      </c>
      <c r="BQ923" s="129">
        <f>IF(AY923=1,IFERROR(MID(Q923,FIND(" (",Q923)+2,FIND(")",Q923,FIND(" (",Q923))-FIND(" (",Q923)-2),"?"),"")</f>
      </c>
      <c r="BR923" s="129">
        <f>IF(BQ923="","",IF(COUNTIF($BQ$3:BQ923,BQ923)=1,MAX($BR$2:BR922)+1,""))</f>
      </c>
      <c r="BS923" s="129">
        <f>IF(AW923="","",COUNTIF($AW$3:AW923,"?*"))</f>
      </c>
      <c r="BT923" s="129">
        <f>IF(OR(AW923="",AI923=""),"",IF(COUNTIFS($AW$3:AW923,"?*",$AI$3:AI923,AI923)=1,MAX($BT$2:BT922)+1,""))</f>
      </c>
      <c r="BU923" s="129">
        <f>IF(AE923="",0,IF(OR(ISNUMBER(SEARCH("дубль",AE923)),ISNUMBER(SEARCH("ПЕРЕГРУЗ",AE923)),ISNUMBER(SEARCH("ЗАЩИЩ",AE923)),ISNUMBER(SEARCH("КАНАЛ",AE923)),ISNUMBER(SEARCH("без 30",AE923))),2,1))</f>
      </c>
      <c r="BV923" s="129">
        <f>IF(R923="","",COUNTIF($R$3:R923,"?*"))</f>
      </c>
      <c r="BW923" s="129">
        <f>IF(AY923&lt;&gt;1,0,IF(MAX(IFERROR(--VLOOKUP(R923,УГО_спр,5,FALSE),0),IFERROR(--VLOOKUP(AL923,УГО_спр,5,FALSE),0),IFERROR(--VLOOKUP(LEFT(AL923,2),УГО_спр,5,FALSE),0))&gt;0,MAX(IFERROR(--VLOOKUP(R923,УГО_спр,5,FALSE),0),IFERROR(--VLOOKUP(AL923,УГО_спр,5,FALSE),0),IFERROR(--VLOOKUP(LEFT(AL923,2),УГО_спр,5,FALSE),0)),IF(IFERROR(--LEFT(SUBSTITUTE(BQ923,"x","х"),FIND("х",SUBSTITUTE(BQ923,"x","х"))-1),3)&gt;3,Каталог!$S$9,1)))</f>
      </c>
      <c r="BX923" s="129">
        <f>IF(AY923&lt;&gt;1,0,MAX(0,IFERROR(--LEFT(SUBSTITUTE(BQ923,"x","х"),FIND("х",SUBSTITUTE(BQ923,"x","х"))-1),3)-3*BW923))</f>
      </c>
      <c r="BY923" s="129">
        <f>IF(R923="","",IFERROR(VLOOKUP(R923,УГО_спр,2,FALSE),IFERROR(VLOOKUP(AL923,УГО_спр,2,FALSE),IFERROR(VLOOKUP(LEFT(AL923,2),УГО_спр,2,FALSE),""))))</f>
      </c>
    </row>
    <row r="924" spans="1:64" x14ac:dyDescent="0.3">
      <c r="A924" s="135">
        <f>IF(Разбивка_по_щитам!F924=0,"",Разбивка_по_щитам!F924)</f>
        <v/>
      </c>
      <c r="B924" s="138">
        <f>IF(A924="","",Разбивка_по_щитам!C924)</f>
        <v/>
      </c>
      <c r="C924" s="138">
        <f t="shared" si="582"/>
        <v/>
      </c>
      <c r="D924" s="266"/>
      <c r="E924" s="266"/>
      <c r="F924" s="267"/>
      <c r="G924" s="145">
        <f t="shared" si="583"/>
        <v/>
      </c>
      <c r="H924" s="145">
        <f t="shared" si="584"/>
        <v/>
      </c>
      <c r="I924" s="266"/>
      <c r="J924" s="267"/>
      <c r="K924" s="267"/>
      <c r="L924" s="266"/>
      <c r="M924" s="147">
        <f t="shared" si="585"/>
        <v/>
      </c>
      <c r="N924" s="267"/>
      <c r="O924" s="147">
        <f t="shared" si="586"/>
        <v/>
      </c>
      <c r="P924" s="268">
        <f>IF(AY924=1,"XT"&amp;COUNTIFS($A$3:A924,A924,$AY$3:AY924,1),"")</f>
        <v/>
      </c>
      <c r="Q924" s="152">
        <f>IF(R924="","",IFERROR(SUBSTITUTE(Разбивка_по_щитам!P924,CHAR(10)," "),""))</f>
        <v/>
      </c>
      <c r="R924" s="153">
        <f>IF(OR(Разбивка_по_щитам!H924="",Разбивка_по_щитам!H924=0),"",Разбивка_по_щитам!H924)</f>
        <v/>
      </c>
      <c r="S924" s="154">
        <f>IF(R924="","",IFERROR(Разбивка_по_щитам!J924&amp;"",""))</f>
        <v/>
      </c>
      <c r="T924" s="155">
        <f>IF(R924="","",IFERROR(--Разбивка_по_щитам!L924,""))</f>
        <v/>
      </c>
      <c r="U924" s="155">
        <f>IF(R924="","",IFERROR(--Разбивка_по_щитам!K924,""))</f>
        <v/>
      </c>
      <c r="V924" s="138">
        <f>IF(R924="","",IFERROR(IF(Разбивка_по_щитам!M924=0,"",Разбивка_по_щитам!M924),""))</f>
        <v/>
      </c>
      <c r="W924" s="156">
        <f t="shared" si="587"/>
        <v/>
      </c>
      <c r="X924" s="157">
        <f t="shared" si="588"/>
        <v/>
      </c>
      <c r="Y924" s="266"/>
      <c r="Z924" s="158">
        <f t="shared" si="589"/>
        <v/>
      </c>
      <c r="AA924" s="160">
        <f t="shared" si="590"/>
        <v/>
      </c>
      <c r="AB924" s="160">
        <f>IF(R924="","",IFERROR(LOOKUP(INDEX(Справочная!$I$4:$I$19,MATCH(VLOOKUP(R924,Исходные_данные,22,FALSE),Справочная!$J$4:$J$19,0)+1),{6,10,16,20,25,32,40,50,63,80,100,125}),""))</f>
        <v/>
      </c>
      <c r="AC924" s="160">
        <f t="shared" si="591"/>
        <v/>
      </c>
      <c r="AD924" s="161">
        <f t="shared" si="592"/>
        <v/>
      </c>
      <c r="AE924" s="161">
        <f>IF(AND(R924="",G924=""),"",_xlfn.TEXTJOIN("; ",TRUE,IF(AND(R924&lt;&gt;"",V924=""),"нет фазы",""),IF(AND(R924&lt;&gt;"",N(T924)=0),"нет мощности",""),IF(AND(P924&lt;&gt;"",COUNTIFS($A$3:$A$1000,A924,$P$3:$P$1000,P924)&gt;1),"дубль клеммы "&amp;P924,""),IF(AND(W924&lt;&gt;"",W924&lt;&gt;"ok"),W924,""),IF(X924&lt;&gt;"",X924,""),IF(AND(ISNUMBER(SEARCH("(5х",Q924)),N(AK924)=1),"5 жил на 1 фазе",""),IF(AND(AL924="R",E924&lt;&gt;"",N(AS924)=0),"розетка без 30 мА",""),IF(IFERROR(_xlfn.NUMBERVALUE(MID(Q924,FIND("-",Q924,FIND("L=",Q924))+1,FIND("%",Q924)-FIND("-",Q924,FIND("L=",Q924))-1),","),0)&gt;4,"потери &gt; 4 %","")))</f>
      </c>
      <c r="AF924" s="129">
        <f>IF(E924&lt;&gt;"",COUNTIFS($A$3:A924,A924,$E$3:E924,"?*"),IF(OR(A924&lt;&gt;A923,Y924="вручную"),"",AF923))</f>
        <v/>
      </c>
      <c r="AG924" s="129">
        <f t="shared" si="593"/>
        <v/>
      </c>
      <c r="AH924" s="129">
        <f t="shared" si="594"/>
        <v/>
      </c>
      <c r="AI924" s="129">
        <f t="shared" si="595"/>
        <v/>
      </c>
      <c r="AJ924" s="129">
        <f t="shared" si="596"/>
        <v/>
      </c>
      <c r="AK924" s="129">
        <f t="shared" si="597"/>
        <v/>
      </c>
      <c r="AL924" s="129">
        <f t="shared" si="598"/>
        <v/>
      </c>
      <c r="AM924" s="129">
        <f t="shared" si="599"/>
      </c>
      <c r="AN924" s="129">
        <f t="shared" si="600"/>
      </c>
      <c r="AO924" s="129">
        <f t="shared" si="601"/>
        <v/>
      </c>
      <c r="AP924" s="129">
        <f t="shared" si="602"/>
        <v/>
      </c>
      <c r="AQ924" s="129">
        <f t="shared" si="603"/>
        <v/>
      </c>
      <c r="AR924" s="129">
        <f t="shared" si="604"/>
        <v/>
      </c>
      <c r="AS924" s="129">
        <f t="shared" si="605"/>
        <v/>
      </c>
      <c r="AT924" s="129">
        <f t="shared" si="606"/>
        <v/>
      </c>
      <c r="AU924" s="129">
        <f t="shared" si="607"/>
        <v/>
      </c>
      <c r="AV924" s="129">
        <f t="shared" si="608"/>
        <v/>
      </c>
      <c r="AW924" s="129">
        <f>IF(AV924="","",AV924&amp;"."&amp;COUNTIFS($A$3:A924,A924,$AV$3:AV924,AV924))</f>
        <v/>
      </c>
      <c r="AX924" s="129">
        <f t="shared" si="609"/>
        <v/>
      </c>
      <c r="AY924" s="129">
        <f>IF(N924="б/к",0,IF(OR(ISNUMBER(SEARCH("L=",Разбивка_по_щитам!P924)),N924="+",N924="="),1,0))</f>
      </c>
      <c r="AZ924" s="129">
        <f t="shared" si="610"/>
        <v/>
      </c>
      <c r="BA924" s="129">
        <f t="shared" si="611"/>
      </c>
      <c r="BB924" s="129">
        <f t="shared" si="612"/>
      </c>
      <c r="BD924" s="129">
        <f t="shared" si="613"/>
      </c>
      <c r="BE924" s="129">
        <f t="shared" si="614"/>
      </c>
      <c r="BF924" s="129">
        <f t="shared" si="615"/>
      </c>
      <c r="BG924" s="129">
        <f t="shared" si="616"/>
        <v/>
      </c>
      <c r="BH924" s="129">
        <f t="shared" si="617"/>
        <v/>
      </c>
      <c r="BI924" s="129">
        <f t="shared" si="618"/>
        <v/>
      </c>
      <c r="BJ924" s="129">
        <f t="shared" si="619"/>
        <v/>
      </c>
      <c r="BK924" s="129">
        <f>IF(R924="","",IF(OR(BY924="",BY924=0),"BOX",IFERROR(IF(VLOOKUP(BY924,УГО_блоки,3,FALSE)&amp;""&lt;&gt;"",VLOOKUP(BY924,УГО_блоки,3,FALSE),VLOOKUP(BY924,УГО_блоки,2,FALSE)),BY924)))</f>
      </c>
      <c r="BL924" s="129">
        <f t="shared" si="621"/>
      </c>
      <c r="BM924" s="129">
        <f>IF(H924="","",IF(COUNTIF($H$3:H924,H924)=1,MAX($BM$2:BM923)+1,""))</f>
      </c>
      <c r="BN924" s="129">
        <f>IF(I924="","",IF(COUNTIF($I$3:I924,I924)+COUNTIF($J$2:J923,I924)+COUNTIF($K$2:K923,I924)=1,MAX($BN$2:BP923)+1,""))</f>
      </c>
      <c r="BO924" s="129">
        <f>IF(J924="","",IF(COUNTIF($I$3:I924,J924)+COUNTIF($J$3:J924,J924)+COUNTIF($K$2:K923,J924)=1,MAX($BN$2:BP923,BN924)+1,""))</f>
      </c>
      <c r="BP924" s="129">
        <f>IF(K924="","",IF(COUNTIF($I$3:I924,K924)+COUNTIF($J$3:J924,K924)+COUNTIF($K$3:K924,K924)=1,MAX($BN$2:BP923,BN924,BO924)+1,""))</f>
      </c>
      <c r="BQ924" s="129">
        <f>IF(AY924=1,IFERROR(MID(Q924,FIND(" (",Q924)+2,FIND(")",Q924,FIND(" (",Q924))-FIND(" (",Q924)-2),"?"),"")</f>
      </c>
      <c r="BR924" s="129">
        <f>IF(BQ924="","",IF(COUNTIF($BQ$3:BQ924,BQ924)=1,MAX($BR$2:BR923)+1,""))</f>
      </c>
      <c r="BS924" s="129">
        <f>IF(AW924="","",COUNTIF($AW$3:AW924,"?*"))</f>
      </c>
      <c r="BT924" s="129">
        <f>IF(OR(AW924="",AI924=""),"",IF(COUNTIFS($AW$3:AW924,"?*",$AI$3:AI924,AI924)=1,MAX($BT$2:BT923)+1,""))</f>
      </c>
      <c r="BU924" s="129">
        <f>IF(AE924="",0,IF(OR(ISNUMBER(SEARCH("дубль",AE924)),ISNUMBER(SEARCH("ПЕРЕГРУЗ",AE924)),ISNUMBER(SEARCH("ЗАЩИЩ",AE924)),ISNUMBER(SEARCH("КАНАЛ",AE924)),ISNUMBER(SEARCH("без 30",AE924))),2,1))</f>
      </c>
      <c r="BV924" s="129">
        <f>IF(R924="","",COUNTIF($R$3:R924,"?*"))</f>
      </c>
      <c r="BW924" s="129">
        <f>IF(AY924&lt;&gt;1,0,IF(MAX(IFERROR(--VLOOKUP(R924,УГО_спр,5,FALSE),0),IFERROR(--VLOOKUP(AL924,УГО_спр,5,FALSE),0),IFERROR(--VLOOKUP(LEFT(AL924,2),УГО_спр,5,FALSE),0))&gt;0,MAX(IFERROR(--VLOOKUP(R924,УГО_спр,5,FALSE),0),IFERROR(--VLOOKUP(AL924,УГО_спр,5,FALSE),0),IFERROR(--VLOOKUP(LEFT(AL924,2),УГО_спр,5,FALSE),0)),IF(IFERROR(--LEFT(SUBSTITUTE(BQ924,"x","х"),FIND("х",SUBSTITUTE(BQ924,"x","х"))-1),3)&gt;3,Каталог!$S$9,1)))</f>
      </c>
      <c r="BX924" s="129">
        <f>IF(AY924&lt;&gt;1,0,MAX(0,IFERROR(--LEFT(SUBSTITUTE(BQ924,"x","х"),FIND("х",SUBSTITUTE(BQ924,"x","х"))-1),3)-3*BW924))</f>
      </c>
      <c r="BY924" s="129">
        <f>IF(R924="","",IFERROR(VLOOKUP(R924,УГО_спр,2,FALSE),IFERROR(VLOOKUP(AL924,УГО_спр,2,FALSE),IFERROR(VLOOKUP(LEFT(AL924,2),УГО_спр,2,FALSE),""))))</f>
      </c>
    </row>
    <row r="925" spans="1:64" x14ac:dyDescent="0.3">
      <c r="A925" s="135">
        <f>IF(Разбивка_по_щитам!F925=0,"",Разбивка_по_щитам!F925)</f>
        <v/>
      </c>
      <c r="B925" s="138">
        <f>IF(A925="","",Разбивка_по_щитам!C925)</f>
        <v/>
      </c>
      <c r="C925" s="138">
        <f t="shared" si="582"/>
        <v/>
      </c>
      <c r="D925" s="266"/>
      <c r="E925" s="266"/>
      <c r="F925" s="267"/>
      <c r="G925" s="145">
        <f t="shared" si="583"/>
        <v/>
      </c>
      <c r="H925" s="145">
        <f t="shared" si="584"/>
        <v/>
      </c>
      <c r="I925" s="266"/>
      <c r="J925" s="267"/>
      <c r="K925" s="267"/>
      <c r="L925" s="266"/>
      <c r="M925" s="147">
        <f t="shared" si="585"/>
        <v/>
      </c>
      <c r="N925" s="267"/>
      <c r="O925" s="147">
        <f t="shared" si="586"/>
        <v/>
      </c>
      <c r="P925" s="268">
        <f>IF(AY925=1,"XT"&amp;COUNTIFS($A$3:A925,A925,$AY$3:AY925,1),"")</f>
        <v/>
      </c>
      <c r="Q925" s="152">
        <f>IF(R925="","",IFERROR(SUBSTITUTE(Разбивка_по_щитам!P925,CHAR(10)," "),""))</f>
        <v/>
      </c>
      <c r="R925" s="153">
        <f>IF(OR(Разбивка_по_щитам!H925="",Разбивка_по_щитам!H925=0),"",Разбивка_по_щитам!H925)</f>
        <v/>
      </c>
      <c r="S925" s="154">
        <f>IF(R925="","",IFERROR(Разбивка_по_щитам!J925&amp;"",""))</f>
        <v/>
      </c>
      <c r="T925" s="155">
        <f>IF(R925="","",IFERROR(--Разбивка_по_щитам!L925,""))</f>
        <v/>
      </c>
      <c r="U925" s="155">
        <f>IF(R925="","",IFERROR(--Разбивка_по_щитам!K925,""))</f>
        <v/>
      </c>
      <c r="V925" s="138">
        <f>IF(R925="","",IFERROR(IF(Разбивка_по_щитам!M925=0,"",Разбивка_по_щитам!M925),""))</f>
        <v/>
      </c>
      <c r="W925" s="156">
        <f t="shared" si="587"/>
        <v/>
      </c>
      <c r="X925" s="157">
        <f t="shared" si="588"/>
        <v/>
      </c>
      <c r="Y925" s="266"/>
      <c r="Z925" s="158">
        <f t="shared" si="589"/>
        <v/>
      </c>
      <c r="AA925" s="160">
        <f t="shared" si="590"/>
        <v/>
      </c>
      <c r="AB925" s="160">
        <f>IF(R925="","",IFERROR(LOOKUP(INDEX(Справочная!$I$4:$I$19,MATCH(VLOOKUP(R925,Исходные_данные,22,FALSE),Справочная!$J$4:$J$19,0)+1),{6,10,16,20,25,32,40,50,63,80,100,125}),""))</f>
        <v/>
      </c>
      <c r="AC925" s="160">
        <f t="shared" si="591"/>
        <v/>
      </c>
      <c r="AD925" s="161">
        <f t="shared" si="592"/>
        <v/>
      </c>
      <c r="AE925" s="161">
        <f>IF(AND(R925="",G925=""),"",_xlfn.TEXTJOIN("; ",TRUE,IF(AND(R925&lt;&gt;"",V925=""),"нет фазы",""),IF(AND(R925&lt;&gt;"",N(T925)=0),"нет мощности",""),IF(AND(P925&lt;&gt;"",COUNTIFS($A$3:$A$1000,A925,$P$3:$P$1000,P925)&gt;1),"дубль клеммы "&amp;P925,""),IF(AND(W925&lt;&gt;"",W925&lt;&gt;"ok"),W925,""),IF(X925&lt;&gt;"",X925,""),IF(AND(ISNUMBER(SEARCH("(5х",Q925)),N(AK925)=1),"5 жил на 1 фазе",""),IF(AND(AL925="R",E925&lt;&gt;"",N(AS925)=0),"розетка без 30 мА",""),IF(IFERROR(_xlfn.NUMBERVALUE(MID(Q925,FIND("-",Q925,FIND("L=",Q925))+1,FIND("%",Q925)-FIND("-",Q925,FIND("L=",Q925))-1),","),0)&gt;4,"потери &gt; 4 %","")))</f>
      </c>
      <c r="AF925" s="129">
        <f>IF(E925&lt;&gt;"",COUNTIFS($A$3:A925,A925,$E$3:E925,"?*"),IF(OR(A925&lt;&gt;A924,Y925="вручную"),"",AF924))</f>
        <v/>
      </c>
      <c r="AG925" s="129">
        <f t="shared" si="593"/>
        <v/>
      </c>
      <c r="AH925" s="129">
        <f t="shared" si="594"/>
        <v/>
      </c>
      <c r="AI925" s="129">
        <f t="shared" si="595"/>
        <v/>
      </c>
      <c r="AJ925" s="129">
        <f t="shared" si="596"/>
        <v/>
      </c>
      <c r="AK925" s="129">
        <f t="shared" si="597"/>
        <v/>
      </c>
      <c r="AL925" s="129">
        <f t="shared" si="598"/>
        <v/>
      </c>
      <c r="AM925" s="129">
        <f t="shared" si="599"/>
      </c>
      <c r="AN925" s="129">
        <f t="shared" si="600"/>
      </c>
      <c r="AO925" s="129">
        <f t="shared" si="601"/>
        <v/>
      </c>
      <c r="AP925" s="129">
        <f t="shared" si="602"/>
        <v/>
      </c>
      <c r="AQ925" s="129">
        <f t="shared" si="603"/>
        <v/>
      </c>
      <c r="AR925" s="129">
        <f t="shared" si="604"/>
        <v/>
      </c>
      <c r="AS925" s="129">
        <f t="shared" si="605"/>
        <v/>
      </c>
      <c r="AT925" s="129">
        <f t="shared" si="606"/>
        <v/>
      </c>
      <c r="AU925" s="129">
        <f t="shared" si="607"/>
        <v/>
      </c>
      <c r="AV925" s="129">
        <f t="shared" si="608"/>
        <v/>
      </c>
      <c r="AW925" s="129">
        <f>IF(AV925="","",AV925&amp;"."&amp;COUNTIFS($A$3:A925,A925,$AV$3:AV925,AV925))</f>
        <v/>
      </c>
      <c r="AX925" s="129">
        <f t="shared" si="609"/>
        <v/>
      </c>
      <c r="AY925" s="129">
        <f>IF(N925="б/к",0,IF(OR(ISNUMBER(SEARCH("L=",Разбивка_по_щитам!P925)),N925="+",N925="="),1,0))</f>
      </c>
      <c r="AZ925" s="129">
        <f t="shared" si="610"/>
        <v/>
      </c>
      <c r="BA925" s="129">
        <f t="shared" si="611"/>
      </c>
      <c r="BB925" s="129">
        <f t="shared" si="612"/>
      </c>
      <c r="BD925" s="129">
        <f t="shared" si="613"/>
      </c>
      <c r="BE925" s="129">
        <f t="shared" si="614"/>
      </c>
      <c r="BF925" s="129">
        <f t="shared" si="615"/>
      </c>
      <c r="BG925" s="129">
        <f t="shared" si="616"/>
        <v/>
      </c>
      <c r="BH925" s="129">
        <f t="shared" si="617"/>
        <v/>
      </c>
      <c r="BI925" s="129">
        <f t="shared" si="618"/>
        <v/>
      </c>
      <c r="BJ925" s="129">
        <f t="shared" si="619"/>
        <v/>
      </c>
      <c r="BK925" s="129">
        <f>IF(R925="","",IF(OR(BY925="",BY925=0),"BOX",IFERROR(IF(VLOOKUP(BY925,УГО_блоки,3,FALSE)&amp;""&lt;&gt;"",VLOOKUP(BY925,УГО_блоки,3,FALSE),VLOOKUP(BY925,УГО_блоки,2,FALSE)),BY925)))</f>
      </c>
      <c r="BL925" s="129">
        <f t="shared" si="621"/>
      </c>
      <c r="BM925" s="129">
        <f>IF(H925="","",IF(COUNTIF($H$3:H925,H925)=1,MAX($BM$2:BM924)+1,""))</f>
      </c>
      <c r="BN925" s="129">
        <f>IF(I925="","",IF(COUNTIF($I$3:I925,I925)+COUNTIF($J$2:J924,I925)+COUNTIF($K$2:K924,I925)=1,MAX($BN$2:BP924)+1,""))</f>
      </c>
      <c r="BO925" s="129">
        <f>IF(J925="","",IF(COUNTIF($I$3:I925,J925)+COUNTIF($J$3:J925,J925)+COUNTIF($K$2:K924,J925)=1,MAX($BN$2:BP924,BN925)+1,""))</f>
      </c>
      <c r="BP925" s="129">
        <f>IF(K925="","",IF(COUNTIF($I$3:I925,K925)+COUNTIF($J$3:J925,K925)+COUNTIF($K$3:K925,K925)=1,MAX($BN$2:BP924,BN925,BO925)+1,""))</f>
      </c>
      <c r="BQ925" s="129">
        <f>IF(AY925=1,IFERROR(MID(Q925,FIND(" (",Q925)+2,FIND(")",Q925,FIND(" (",Q925))-FIND(" (",Q925)-2),"?"),"")</f>
      </c>
      <c r="BR925" s="129">
        <f>IF(BQ925="","",IF(COUNTIF($BQ$3:BQ925,BQ925)=1,MAX($BR$2:BR924)+1,""))</f>
      </c>
      <c r="BS925" s="129">
        <f>IF(AW925="","",COUNTIF($AW$3:AW925,"?*"))</f>
      </c>
      <c r="BT925" s="129">
        <f>IF(OR(AW925="",AI925=""),"",IF(COUNTIFS($AW$3:AW925,"?*",$AI$3:AI925,AI925)=1,MAX($BT$2:BT924)+1,""))</f>
      </c>
      <c r="BU925" s="129">
        <f>IF(AE925="",0,IF(OR(ISNUMBER(SEARCH("дубль",AE925)),ISNUMBER(SEARCH("ПЕРЕГРУЗ",AE925)),ISNUMBER(SEARCH("ЗАЩИЩ",AE925)),ISNUMBER(SEARCH("КАНАЛ",AE925)),ISNUMBER(SEARCH("без 30",AE925))),2,1))</f>
      </c>
      <c r="BV925" s="129">
        <f>IF(R925="","",COUNTIF($R$3:R925,"?*"))</f>
      </c>
      <c r="BW925" s="129">
        <f>IF(AY925&lt;&gt;1,0,IF(MAX(IFERROR(--VLOOKUP(R925,УГО_спр,5,FALSE),0),IFERROR(--VLOOKUP(AL925,УГО_спр,5,FALSE),0),IFERROR(--VLOOKUP(LEFT(AL925,2),УГО_спр,5,FALSE),0))&gt;0,MAX(IFERROR(--VLOOKUP(R925,УГО_спр,5,FALSE),0),IFERROR(--VLOOKUP(AL925,УГО_спр,5,FALSE),0),IFERROR(--VLOOKUP(LEFT(AL925,2),УГО_спр,5,FALSE),0)),IF(IFERROR(--LEFT(SUBSTITUTE(BQ925,"x","х"),FIND("х",SUBSTITUTE(BQ925,"x","х"))-1),3)&gt;3,Каталог!$S$9,1)))</f>
      </c>
      <c r="BX925" s="129">
        <f>IF(AY925&lt;&gt;1,0,MAX(0,IFERROR(--LEFT(SUBSTITUTE(BQ925,"x","х"),FIND("х",SUBSTITUTE(BQ925,"x","х"))-1),3)-3*BW925))</f>
      </c>
      <c r="BY925" s="129">
        <f>IF(R925="","",IFERROR(VLOOKUP(R925,УГО_спр,2,FALSE),IFERROR(VLOOKUP(AL925,УГО_спр,2,FALSE),IFERROR(VLOOKUP(LEFT(AL925,2),УГО_спр,2,FALSE),""))))</f>
      </c>
    </row>
    <row r="926" spans="1:64" x14ac:dyDescent="0.3">
      <c r="A926" s="135">
        <f>IF(Разбивка_по_щитам!F926=0,"",Разбивка_по_щитам!F926)</f>
        <v/>
      </c>
      <c r="B926" s="138">
        <f>IF(A926="","",Разбивка_по_щитам!C926)</f>
        <v/>
      </c>
      <c r="C926" s="138">
        <f t="shared" si="582"/>
        <v/>
      </c>
      <c r="D926" s="266"/>
      <c r="E926" s="266"/>
      <c r="F926" s="267"/>
      <c r="G926" s="145">
        <f t="shared" si="583"/>
        <v/>
      </c>
      <c r="H926" s="145">
        <f t="shared" si="584"/>
        <v/>
      </c>
      <c r="I926" s="266"/>
      <c r="J926" s="267"/>
      <c r="K926" s="267"/>
      <c r="L926" s="266"/>
      <c r="M926" s="147">
        <f t="shared" si="585"/>
        <v/>
      </c>
      <c r="N926" s="267"/>
      <c r="O926" s="147">
        <f t="shared" si="586"/>
        <v/>
      </c>
      <c r="P926" s="268">
        <f>IF(AY926=1,"XT"&amp;COUNTIFS($A$3:A926,A926,$AY$3:AY926,1),"")</f>
        <v/>
      </c>
      <c r="Q926" s="152">
        <f>IF(R926="","",IFERROR(SUBSTITUTE(Разбивка_по_щитам!P926,CHAR(10)," "),""))</f>
        <v/>
      </c>
      <c r="R926" s="153">
        <f>IF(OR(Разбивка_по_щитам!H926="",Разбивка_по_щитам!H926=0),"",Разбивка_по_щитам!H926)</f>
        <v/>
      </c>
      <c r="S926" s="154">
        <f>IF(R926="","",IFERROR(Разбивка_по_щитам!J926&amp;"",""))</f>
        <v/>
      </c>
      <c r="T926" s="155">
        <f>IF(R926="","",IFERROR(--Разбивка_по_щитам!L926,""))</f>
        <v/>
      </c>
      <c r="U926" s="155">
        <f>IF(R926="","",IFERROR(--Разбивка_по_щитам!K926,""))</f>
        <v/>
      </c>
      <c r="V926" s="138">
        <f>IF(R926="","",IFERROR(IF(Разбивка_по_щитам!M926=0,"",Разбивка_по_щитам!M926),""))</f>
        <v/>
      </c>
      <c r="W926" s="156">
        <f t="shared" si="587"/>
        <v/>
      </c>
      <c r="X926" s="157">
        <f t="shared" si="588"/>
        <v/>
      </c>
      <c r="Y926" s="266"/>
      <c r="Z926" s="158">
        <f t="shared" si="589"/>
        <v/>
      </c>
      <c r="AA926" s="160">
        <f t="shared" si="590"/>
        <v/>
      </c>
      <c r="AB926" s="160">
        <f>IF(R926="","",IFERROR(LOOKUP(INDEX(Справочная!$I$4:$I$19,MATCH(VLOOKUP(R926,Исходные_данные,22,FALSE),Справочная!$J$4:$J$19,0)+1),{6,10,16,20,25,32,40,50,63,80,100,125}),""))</f>
        <v/>
      </c>
      <c r="AC926" s="160">
        <f t="shared" si="591"/>
        <v/>
      </c>
      <c r="AD926" s="161">
        <f t="shared" si="592"/>
        <v/>
      </c>
      <c r="AE926" s="161">
        <f>IF(AND(R926="",G926=""),"",_xlfn.TEXTJOIN("; ",TRUE,IF(AND(R926&lt;&gt;"",V926=""),"нет фазы",""),IF(AND(R926&lt;&gt;"",N(T926)=0),"нет мощности",""),IF(AND(P926&lt;&gt;"",COUNTIFS($A$3:$A$1000,A926,$P$3:$P$1000,P926)&gt;1),"дубль клеммы "&amp;P926,""),IF(AND(W926&lt;&gt;"",W926&lt;&gt;"ok"),W926,""),IF(X926&lt;&gt;"",X926,""),IF(AND(ISNUMBER(SEARCH("(5х",Q926)),N(AK926)=1),"5 жил на 1 фазе",""),IF(AND(AL926="R",E926&lt;&gt;"",N(AS926)=0),"розетка без 30 мА",""),IF(IFERROR(_xlfn.NUMBERVALUE(MID(Q926,FIND("-",Q926,FIND("L=",Q926))+1,FIND("%",Q926)-FIND("-",Q926,FIND("L=",Q926))-1),","),0)&gt;4,"потери &gt; 4 %","")))</f>
      </c>
      <c r="AF926" s="129">
        <f>IF(E926&lt;&gt;"",COUNTIFS($A$3:A926,A926,$E$3:E926,"?*"),IF(OR(A926&lt;&gt;A925,Y926="вручную"),"",AF925))</f>
        <v/>
      </c>
      <c r="AG926" s="129">
        <f t="shared" si="593"/>
        <v/>
      </c>
      <c r="AH926" s="129">
        <f t="shared" si="594"/>
        <v/>
      </c>
      <c r="AI926" s="129">
        <f t="shared" si="595"/>
        <v/>
      </c>
      <c r="AJ926" s="129">
        <f t="shared" si="596"/>
        <v/>
      </c>
      <c r="AK926" s="129">
        <f t="shared" si="597"/>
        <v/>
      </c>
      <c r="AL926" s="129">
        <f t="shared" si="598"/>
        <v/>
      </c>
      <c r="AM926" s="129">
        <f t="shared" si="599"/>
      </c>
      <c r="AN926" s="129">
        <f t="shared" si="600"/>
      </c>
      <c r="AO926" s="129">
        <f t="shared" si="601"/>
        <v/>
      </c>
      <c r="AP926" s="129">
        <f t="shared" si="602"/>
        <v/>
      </c>
      <c r="AQ926" s="129">
        <f t="shared" si="603"/>
        <v/>
      </c>
      <c r="AR926" s="129">
        <f t="shared" si="604"/>
        <v/>
      </c>
      <c r="AS926" s="129">
        <f t="shared" si="605"/>
        <v/>
      </c>
      <c r="AT926" s="129">
        <f t="shared" si="606"/>
        <v/>
      </c>
      <c r="AU926" s="129">
        <f t="shared" si="607"/>
        <v/>
      </c>
      <c r="AV926" s="129">
        <f t="shared" si="608"/>
        <v/>
      </c>
      <c r="AW926" s="129">
        <f>IF(AV926="","",AV926&amp;"."&amp;COUNTIFS($A$3:A926,A926,$AV$3:AV926,AV926))</f>
        <v/>
      </c>
      <c r="AX926" s="129">
        <f t="shared" si="609"/>
        <v/>
      </c>
      <c r="AY926" s="129">
        <f>IF(N926="б/к",0,IF(OR(ISNUMBER(SEARCH("L=",Разбивка_по_щитам!P926)),N926="+",N926="="),1,0))</f>
      </c>
      <c r="AZ926" s="129">
        <f t="shared" si="610"/>
        <v/>
      </c>
      <c r="BA926" s="129">
        <f t="shared" si="611"/>
      </c>
      <c r="BB926" s="129">
        <f t="shared" si="612"/>
      </c>
      <c r="BD926" s="129">
        <f t="shared" si="613"/>
      </c>
      <c r="BE926" s="129">
        <f t="shared" si="614"/>
      </c>
      <c r="BF926" s="129">
        <f t="shared" si="615"/>
      </c>
      <c r="BG926" s="129">
        <f t="shared" si="616"/>
        <v/>
      </c>
      <c r="BH926" s="129">
        <f t="shared" si="617"/>
        <v/>
      </c>
      <c r="BI926" s="129">
        <f t="shared" si="618"/>
        <v/>
      </c>
      <c r="BJ926" s="129">
        <f t="shared" si="619"/>
        <v/>
      </c>
      <c r="BK926" s="129">
        <f>IF(R926="","",IF(OR(BY926="",BY926=0),"BOX",IFERROR(IF(VLOOKUP(BY926,УГО_блоки,3,FALSE)&amp;""&lt;&gt;"",VLOOKUP(BY926,УГО_блоки,3,FALSE),VLOOKUP(BY926,УГО_блоки,2,FALSE)),BY926)))</f>
      </c>
      <c r="BL926" s="129">
        <f t="shared" si="621"/>
      </c>
      <c r="BM926" s="129">
        <f>IF(H926="","",IF(COUNTIF($H$3:H926,H926)=1,MAX($BM$2:BM925)+1,""))</f>
      </c>
      <c r="BN926" s="129">
        <f>IF(I926="","",IF(COUNTIF($I$3:I926,I926)+COUNTIF($J$2:J925,I926)+COUNTIF($K$2:K925,I926)=1,MAX($BN$2:BP925)+1,""))</f>
      </c>
      <c r="BO926" s="129">
        <f>IF(J926="","",IF(COUNTIF($I$3:I926,J926)+COUNTIF($J$3:J926,J926)+COUNTIF($K$2:K925,J926)=1,MAX($BN$2:BP925,BN926)+1,""))</f>
      </c>
      <c r="BP926" s="129">
        <f>IF(K926="","",IF(COUNTIF($I$3:I926,K926)+COUNTIF($J$3:J926,K926)+COUNTIF($K$3:K926,K926)=1,MAX($BN$2:BP925,BN926,BO926)+1,""))</f>
      </c>
      <c r="BQ926" s="129">
        <f>IF(AY926=1,IFERROR(MID(Q926,FIND(" (",Q926)+2,FIND(")",Q926,FIND(" (",Q926))-FIND(" (",Q926)-2),"?"),"")</f>
      </c>
      <c r="BR926" s="129">
        <f>IF(BQ926="","",IF(COUNTIF($BQ$3:BQ926,BQ926)=1,MAX($BR$2:BR925)+1,""))</f>
      </c>
      <c r="BS926" s="129">
        <f>IF(AW926="","",COUNTIF($AW$3:AW926,"?*"))</f>
      </c>
      <c r="BT926" s="129">
        <f>IF(OR(AW926="",AI926=""),"",IF(COUNTIFS($AW$3:AW926,"?*",$AI$3:AI926,AI926)=1,MAX($BT$2:BT925)+1,""))</f>
      </c>
      <c r="BU926" s="129">
        <f>IF(AE926="",0,IF(OR(ISNUMBER(SEARCH("дубль",AE926)),ISNUMBER(SEARCH("ПЕРЕГРУЗ",AE926)),ISNUMBER(SEARCH("ЗАЩИЩ",AE926)),ISNUMBER(SEARCH("КАНАЛ",AE926)),ISNUMBER(SEARCH("без 30",AE926))),2,1))</f>
      </c>
      <c r="BV926" s="129">
        <f>IF(R926="","",COUNTIF($R$3:R926,"?*"))</f>
      </c>
      <c r="BW926" s="129">
        <f>IF(AY926&lt;&gt;1,0,IF(MAX(IFERROR(--VLOOKUP(R926,УГО_спр,5,FALSE),0),IFERROR(--VLOOKUP(AL926,УГО_спр,5,FALSE),0),IFERROR(--VLOOKUP(LEFT(AL926,2),УГО_спр,5,FALSE),0))&gt;0,MAX(IFERROR(--VLOOKUP(R926,УГО_спр,5,FALSE),0),IFERROR(--VLOOKUP(AL926,УГО_спр,5,FALSE),0),IFERROR(--VLOOKUP(LEFT(AL926,2),УГО_спр,5,FALSE),0)),IF(IFERROR(--LEFT(SUBSTITUTE(BQ926,"x","х"),FIND("х",SUBSTITUTE(BQ926,"x","х"))-1),3)&gt;3,Каталог!$S$9,1)))</f>
      </c>
      <c r="BX926" s="129">
        <f>IF(AY926&lt;&gt;1,0,MAX(0,IFERROR(--LEFT(SUBSTITUTE(BQ926,"x","х"),FIND("х",SUBSTITUTE(BQ926,"x","х"))-1),3)-3*BW926))</f>
      </c>
      <c r="BY926" s="129">
        <f>IF(R926="","",IFERROR(VLOOKUP(R926,УГО_спр,2,FALSE),IFERROR(VLOOKUP(AL926,УГО_спр,2,FALSE),IFERROR(VLOOKUP(LEFT(AL926,2),УГО_спр,2,FALSE),""))))</f>
      </c>
    </row>
    <row r="927" spans="1:64" x14ac:dyDescent="0.3">
      <c r="A927" s="135">
        <f>IF(Разбивка_по_щитам!F927=0,"",Разбивка_по_щитам!F927)</f>
        <v/>
      </c>
      <c r="B927" s="138">
        <f>IF(A927="","",Разбивка_по_щитам!C927)</f>
        <v/>
      </c>
      <c r="C927" s="138">
        <f t="shared" si="582"/>
        <v/>
      </c>
      <c r="D927" s="266"/>
      <c r="E927" s="266"/>
      <c r="F927" s="267"/>
      <c r="G927" s="145">
        <f t="shared" si="583"/>
        <v/>
      </c>
      <c r="H927" s="145">
        <f t="shared" si="584"/>
        <v/>
      </c>
      <c r="I927" s="266"/>
      <c r="J927" s="267"/>
      <c r="K927" s="267"/>
      <c r="L927" s="266"/>
      <c r="M927" s="147">
        <f t="shared" si="585"/>
        <v/>
      </c>
      <c r="N927" s="267"/>
      <c r="O927" s="147">
        <f t="shared" si="586"/>
        <v/>
      </c>
      <c r="P927" s="268">
        <f>IF(AY927=1,"XT"&amp;COUNTIFS($A$3:A927,A927,$AY$3:AY927,1),"")</f>
        <v/>
      </c>
      <c r="Q927" s="152">
        <f>IF(R927="","",IFERROR(SUBSTITUTE(Разбивка_по_щитам!P927,CHAR(10)," "),""))</f>
        <v/>
      </c>
      <c r="R927" s="153">
        <f>IF(OR(Разбивка_по_щитам!H927="",Разбивка_по_щитам!H927=0),"",Разбивка_по_щитам!H927)</f>
        <v/>
      </c>
      <c r="S927" s="154">
        <f>IF(R927="","",IFERROR(Разбивка_по_щитам!J927&amp;"",""))</f>
        <v/>
      </c>
      <c r="T927" s="155">
        <f>IF(R927="","",IFERROR(--Разбивка_по_щитам!L927,""))</f>
        <v/>
      </c>
      <c r="U927" s="155">
        <f>IF(R927="","",IFERROR(--Разбивка_по_щитам!K927,""))</f>
        <v/>
      </c>
      <c r="V927" s="138">
        <f>IF(R927="","",IFERROR(IF(Разбивка_по_щитам!M927=0,"",Разбивка_по_щитам!M927),""))</f>
        <v/>
      </c>
      <c r="W927" s="156">
        <f t="shared" si="587"/>
        <v/>
      </c>
      <c r="X927" s="157">
        <f t="shared" si="588"/>
        <v/>
      </c>
      <c r="Y927" s="266"/>
      <c r="Z927" s="158">
        <f t="shared" si="589"/>
        <v/>
      </c>
      <c r="AA927" s="160">
        <f t="shared" si="590"/>
        <v/>
      </c>
      <c r="AB927" s="160">
        <f>IF(R927="","",IFERROR(LOOKUP(INDEX(Справочная!$I$4:$I$19,MATCH(VLOOKUP(R927,Исходные_данные,22,FALSE),Справочная!$J$4:$J$19,0)+1),{6,10,16,20,25,32,40,50,63,80,100,125}),""))</f>
        <v/>
      </c>
      <c r="AC927" s="160">
        <f t="shared" si="591"/>
        <v/>
      </c>
      <c r="AD927" s="161">
        <f t="shared" si="592"/>
        <v/>
      </c>
      <c r="AE927" s="161">
        <f>IF(AND(R927="",G927=""),"",_xlfn.TEXTJOIN("; ",TRUE,IF(AND(R927&lt;&gt;"",V927=""),"нет фазы",""),IF(AND(R927&lt;&gt;"",N(T927)=0),"нет мощности",""),IF(AND(P927&lt;&gt;"",COUNTIFS($A$3:$A$1000,A927,$P$3:$P$1000,P927)&gt;1),"дубль клеммы "&amp;P927,""),IF(AND(W927&lt;&gt;"",W927&lt;&gt;"ok"),W927,""),IF(X927&lt;&gt;"",X927,""),IF(AND(ISNUMBER(SEARCH("(5х",Q927)),N(AK927)=1),"5 жил на 1 фазе",""),IF(AND(AL927="R",E927&lt;&gt;"",N(AS927)=0),"розетка без 30 мА",""),IF(IFERROR(_xlfn.NUMBERVALUE(MID(Q927,FIND("-",Q927,FIND("L=",Q927))+1,FIND("%",Q927)-FIND("-",Q927,FIND("L=",Q927))-1),","),0)&gt;4,"потери &gt; 4 %","")))</f>
      </c>
      <c r="AF927" s="129">
        <f>IF(E927&lt;&gt;"",COUNTIFS($A$3:A927,A927,$E$3:E927,"?*"),IF(OR(A927&lt;&gt;A926,Y927="вручную"),"",AF926))</f>
        <v/>
      </c>
      <c r="AG927" s="129">
        <f t="shared" si="593"/>
        <v/>
      </c>
      <c r="AH927" s="129">
        <f t="shared" si="594"/>
        <v/>
      </c>
      <c r="AI927" s="129">
        <f t="shared" si="595"/>
        <v/>
      </c>
      <c r="AJ927" s="129">
        <f t="shared" si="596"/>
        <v/>
      </c>
      <c r="AK927" s="129">
        <f t="shared" si="597"/>
        <v/>
      </c>
      <c r="AL927" s="129">
        <f t="shared" si="598"/>
        <v/>
      </c>
      <c r="AM927" s="129">
        <f t="shared" si="599"/>
      </c>
      <c r="AN927" s="129">
        <f t="shared" si="600"/>
      </c>
      <c r="AO927" s="129">
        <f t="shared" si="601"/>
        <v/>
      </c>
      <c r="AP927" s="129">
        <f t="shared" si="602"/>
        <v/>
      </c>
      <c r="AQ927" s="129">
        <f t="shared" si="603"/>
        <v/>
      </c>
      <c r="AR927" s="129">
        <f t="shared" si="604"/>
        <v/>
      </c>
      <c r="AS927" s="129">
        <f t="shared" si="605"/>
        <v/>
      </c>
      <c r="AT927" s="129">
        <f t="shared" si="606"/>
        <v/>
      </c>
      <c r="AU927" s="129">
        <f t="shared" si="607"/>
        <v/>
      </c>
      <c r="AV927" s="129">
        <f t="shared" si="608"/>
        <v/>
      </c>
      <c r="AW927" s="129">
        <f>IF(AV927="","",AV927&amp;"."&amp;COUNTIFS($A$3:A927,A927,$AV$3:AV927,AV927))</f>
        <v/>
      </c>
      <c r="AX927" s="129">
        <f t="shared" si="609"/>
        <v/>
      </c>
      <c r="AY927" s="129">
        <f>IF(N927="б/к",0,IF(OR(ISNUMBER(SEARCH("L=",Разбивка_по_щитам!P927)),N927="+",N927="="),1,0))</f>
      </c>
      <c r="AZ927" s="129">
        <f t="shared" si="610"/>
        <v/>
      </c>
      <c r="BA927" s="129">
        <f t="shared" si="611"/>
      </c>
      <c r="BB927" s="129">
        <f t="shared" si="612"/>
      </c>
      <c r="BD927" s="129">
        <f t="shared" si="613"/>
      </c>
      <c r="BE927" s="129">
        <f t="shared" si="614"/>
      </c>
      <c r="BF927" s="129">
        <f t="shared" si="615"/>
      </c>
      <c r="BG927" s="129">
        <f t="shared" si="616"/>
        <v/>
      </c>
      <c r="BH927" s="129">
        <f t="shared" si="617"/>
        <v/>
      </c>
      <c r="BI927" s="129">
        <f t="shared" si="618"/>
        <v/>
      </c>
      <c r="BJ927" s="129">
        <f t="shared" si="619"/>
        <v/>
      </c>
      <c r="BK927" s="129">
        <f>IF(R927="","",IF(OR(BY927="",BY927=0),"BOX",IFERROR(IF(VLOOKUP(BY927,УГО_блоки,3,FALSE)&amp;""&lt;&gt;"",VLOOKUP(BY927,УГО_блоки,3,FALSE),VLOOKUP(BY927,УГО_блоки,2,FALSE)),BY927)))</f>
      </c>
      <c r="BL927" s="129">
        <f t="shared" si="621"/>
      </c>
      <c r="BM927" s="129">
        <f>IF(H927="","",IF(COUNTIF($H$3:H927,H927)=1,MAX($BM$2:BM926)+1,""))</f>
      </c>
      <c r="BN927" s="129">
        <f>IF(I927="","",IF(COUNTIF($I$3:I927,I927)+COUNTIF($J$2:J926,I927)+COUNTIF($K$2:K926,I927)=1,MAX($BN$2:BP926)+1,""))</f>
      </c>
      <c r="BO927" s="129">
        <f>IF(J927="","",IF(COUNTIF($I$3:I927,J927)+COUNTIF($J$3:J927,J927)+COUNTIF($K$2:K926,J927)=1,MAX($BN$2:BP926,BN927)+1,""))</f>
      </c>
      <c r="BP927" s="129">
        <f>IF(K927="","",IF(COUNTIF($I$3:I927,K927)+COUNTIF($J$3:J927,K927)+COUNTIF($K$3:K927,K927)=1,MAX($BN$2:BP926,BN927,BO927)+1,""))</f>
      </c>
      <c r="BQ927" s="129">
        <f>IF(AY927=1,IFERROR(MID(Q927,FIND(" (",Q927)+2,FIND(")",Q927,FIND(" (",Q927))-FIND(" (",Q927)-2),"?"),"")</f>
      </c>
      <c r="BR927" s="129">
        <f>IF(BQ927="","",IF(COUNTIF($BQ$3:BQ927,BQ927)=1,MAX($BR$2:BR926)+1,""))</f>
      </c>
      <c r="BS927" s="129">
        <f>IF(AW927="","",COUNTIF($AW$3:AW927,"?*"))</f>
      </c>
      <c r="BT927" s="129">
        <f>IF(OR(AW927="",AI927=""),"",IF(COUNTIFS($AW$3:AW927,"?*",$AI$3:AI927,AI927)=1,MAX($BT$2:BT926)+1,""))</f>
      </c>
      <c r="BU927" s="129">
        <f>IF(AE927="",0,IF(OR(ISNUMBER(SEARCH("дубль",AE927)),ISNUMBER(SEARCH("ПЕРЕГРУЗ",AE927)),ISNUMBER(SEARCH("ЗАЩИЩ",AE927)),ISNUMBER(SEARCH("КАНАЛ",AE927)),ISNUMBER(SEARCH("без 30",AE927))),2,1))</f>
      </c>
      <c r="BV927" s="129">
        <f>IF(R927="","",COUNTIF($R$3:R927,"?*"))</f>
      </c>
      <c r="BW927" s="129">
        <f>IF(AY927&lt;&gt;1,0,IF(MAX(IFERROR(--VLOOKUP(R927,УГО_спр,5,FALSE),0),IFERROR(--VLOOKUP(AL927,УГО_спр,5,FALSE),0),IFERROR(--VLOOKUP(LEFT(AL927,2),УГО_спр,5,FALSE),0))&gt;0,MAX(IFERROR(--VLOOKUP(R927,УГО_спр,5,FALSE),0),IFERROR(--VLOOKUP(AL927,УГО_спр,5,FALSE),0),IFERROR(--VLOOKUP(LEFT(AL927,2),УГО_спр,5,FALSE),0)),IF(IFERROR(--LEFT(SUBSTITUTE(BQ927,"x","х"),FIND("х",SUBSTITUTE(BQ927,"x","х"))-1),3)&gt;3,Каталог!$S$9,1)))</f>
      </c>
      <c r="BX927" s="129">
        <f>IF(AY927&lt;&gt;1,0,MAX(0,IFERROR(--LEFT(SUBSTITUTE(BQ927,"x","х"),FIND("х",SUBSTITUTE(BQ927,"x","х"))-1),3)-3*BW927))</f>
      </c>
      <c r="BY927" s="129">
        <f>IF(R927="","",IFERROR(VLOOKUP(R927,УГО_спр,2,FALSE),IFERROR(VLOOKUP(AL927,УГО_спр,2,FALSE),IFERROR(VLOOKUP(LEFT(AL927,2),УГО_спр,2,FALSE),""))))</f>
      </c>
    </row>
    <row r="928" spans="1:64" x14ac:dyDescent="0.3">
      <c r="A928" s="135">
        <f>IF(Разбивка_по_щитам!F928=0,"",Разбивка_по_щитам!F928)</f>
        <v/>
      </c>
      <c r="B928" s="138">
        <f>IF(A928="","",Разбивка_по_щитам!C928)</f>
        <v/>
      </c>
      <c r="C928" s="138">
        <f t="shared" si="582"/>
        <v/>
      </c>
      <c r="D928" s="266"/>
      <c r="E928" s="266"/>
      <c r="F928" s="267"/>
      <c r="G928" s="145">
        <f t="shared" si="583"/>
        <v/>
      </c>
      <c r="H928" s="145">
        <f t="shared" si="584"/>
        <v/>
      </c>
      <c r="I928" s="266"/>
      <c r="J928" s="267"/>
      <c r="K928" s="267"/>
      <c r="L928" s="266"/>
      <c r="M928" s="147">
        <f t="shared" si="585"/>
        <v/>
      </c>
      <c r="N928" s="267"/>
      <c r="O928" s="147">
        <f t="shared" si="586"/>
        <v/>
      </c>
      <c r="P928" s="268">
        <f>IF(AY928=1,"XT"&amp;COUNTIFS($A$3:A928,A928,$AY$3:AY928,1),"")</f>
        <v/>
      </c>
      <c r="Q928" s="152">
        <f>IF(R928="","",IFERROR(SUBSTITUTE(Разбивка_по_щитам!P928,CHAR(10)," "),""))</f>
        <v/>
      </c>
      <c r="R928" s="153">
        <f>IF(OR(Разбивка_по_щитам!H928="",Разбивка_по_щитам!H928=0),"",Разбивка_по_щитам!H928)</f>
        <v/>
      </c>
      <c r="S928" s="154">
        <f>IF(R928="","",IFERROR(Разбивка_по_щитам!J928&amp;"",""))</f>
        <v/>
      </c>
      <c r="T928" s="155">
        <f>IF(R928="","",IFERROR(--Разбивка_по_щитам!L928,""))</f>
        <v/>
      </c>
      <c r="U928" s="155">
        <f>IF(R928="","",IFERROR(--Разбивка_по_щитам!K928,""))</f>
        <v/>
      </c>
      <c r="V928" s="138">
        <f>IF(R928="","",IFERROR(IF(Разбивка_по_щитам!M928=0,"",Разбивка_по_щитам!M928),""))</f>
        <v/>
      </c>
      <c r="W928" s="156">
        <f t="shared" si="587"/>
        <v/>
      </c>
      <c r="X928" s="157">
        <f t="shared" si="588"/>
        <v/>
      </c>
      <c r="Y928" s="266"/>
      <c r="Z928" s="158">
        <f t="shared" si="589"/>
        <v/>
      </c>
      <c r="AA928" s="160">
        <f t="shared" si="590"/>
        <v/>
      </c>
      <c r="AB928" s="160">
        <f>IF(R928="","",IFERROR(LOOKUP(INDEX(Справочная!$I$4:$I$19,MATCH(VLOOKUP(R928,Исходные_данные,22,FALSE),Справочная!$J$4:$J$19,0)+1),{6,10,16,20,25,32,40,50,63,80,100,125}),""))</f>
        <v/>
      </c>
      <c r="AC928" s="160">
        <f t="shared" si="591"/>
        <v/>
      </c>
      <c r="AD928" s="161">
        <f t="shared" si="592"/>
        <v/>
      </c>
      <c r="AE928" s="161">
        <f>IF(AND(R928="",G928=""),"",_xlfn.TEXTJOIN("; ",TRUE,IF(AND(R928&lt;&gt;"",V928=""),"нет фазы",""),IF(AND(R928&lt;&gt;"",N(T928)=0),"нет мощности",""),IF(AND(P928&lt;&gt;"",COUNTIFS($A$3:$A$1000,A928,$P$3:$P$1000,P928)&gt;1),"дубль клеммы "&amp;P928,""),IF(AND(W928&lt;&gt;"",W928&lt;&gt;"ok"),W928,""),IF(X928&lt;&gt;"",X928,""),IF(AND(ISNUMBER(SEARCH("(5х",Q928)),N(AK928)=1),"5 жил на 1 фазе",""),IF(AND(AL928="R",E928&lt;&gt;"",N(AS928)=0),"розетка без 30 мА",""),IF(IFERROR(_xlfn.NUMBERVALUE(MID(Q928,FIND("-",Q928,FIND("L=",Q928))+1,FIND("%",Q928)-FIND("-",Q928,FIND("L=",Q928))-1),","),0)&gt;4,"потери &gt; 4 %","")))</f>
      </c>
      <c r="AF928" s="129">
        <f>IF(E928&lt;&gt;"",COUNTIFS($A$3:A928,A928,$E$3:E928,"?*"),IF(OR(A928&lt;&gt;A927,Y928="вручную"),"",AF927))</f>
        <v/>
      </c>
      <c r="AG928" s="129">
        <f t="shared" si="593"/>
        <v/>
      </c>
      <c r="AH928" s="129">
        <f t="shared" si="594"/>
        <v/>
      </c>
      <c r="AI928" s="129">
        <f t="shared" si="595"/>
        <v/>
      </c>
      <c r="AJ928" s="129">
        <f t="shared" si="596"/>
        <v/>
      </c>
      <c r="AK928" s="129">
        <f t="shared" si="597"/>
        <v/>
      </c>
      <c r="AL928" s="129">
        <f t="shared" si="598"/>
        <v/>
      </c>
      <c r="AM928" s="129">
        <f t="shared" si="599"/>
      </c>
      <c r="AN928" s="129">
        <f t="shared" si="600"/>
      </c>
      <c r="AO928" s="129">
        <f t="shared" si="601"/>
        <v/>
      </c>
      <c r="AP928" s="129">
        <f t="shared" si="602"/>
        <v/>
      </c>
      <c r="AQ928" s="129">
        <f t="shared" si="603"/>
        <v/>
      </c>
      <c r="AR928" s="129">
        <f t="shared" si="604"/>
        <v/>
      </c>
      <c r="AS928" s="129">
        <f t="shared" si="605"/>
        <v/>
      </c>
      <c r="AT928" s="129">
        <f t="shared" si="606"/>
        <v/>
      </c>
      <c r="AU928" s="129">
        <f t="shared" si="607"/>
        <v/>
      </c>
      <c r="AV928" s="129">
        <f t="shared" si="608"/>
        <v/>
      </c>
      <c r="AW928" s="129">
        <f>IF(AV928="","",AV928&amp;"."&amp;COUNTIFS($A$3:A928,A928,$AV$3:AV928,AV928))</f>
        <v/>
      </c>
      <c r="AX928" s="129">
        <f t="shared" si="609"/>
        <v/>
      </c>
      <c r="AY928" s="129">
        <f>IF(N928="б/к",0,IF(OR(ISNUMBER(SEARCH("L=",Разбивка_по_щитам!P928)),N928="+",N928="="),1,0))</f>
      </c>
      <c r="AZ928" s="129">
        <f t="shared" si="610"/>
        <v/>
      </c>
      <c r="BA928" s="129">
        <f t="shared" si="611"/>
      </c>
      <c r="BB928" s="129">
        <f t="shared" si="612"/>
      </c>
      <c r="BD928" s="129">
        <f t="shared" si="613"/>
      </c>
      <c r="BE928" s="129">
        <f t="shared" si="614"/>
      </c>
      <c r="BF928" s="129">
        <f t="shared" si="615"/>
      </c>
      <c r="BG928" s="129">
        <f t="shared" si="616"/>
        <v/>
      </c>
      <c r="BH928" s="129">
        <f t="shared" si="617"/>
        <v/>
      </c>
      <c r="BI928" s="129">
        <f t="shared" si="618"/>
        <v/>
      </c>
      <c r="BJ928" s="129">
        <f t="shared" si="619"/>
        <v/>
      </c>
      <c r="BK928" s="129">
        <f>IF(R928="","",IF(OR(BY928="",BY928=0),"BOX",IFERROR(IF(VLOOKUP(BY928,УГО_блоки,3,FALSE)&amp;""&lt;&gt;"",VLOOKUP(BY928,УГО_блоки,3,FALSE),VLOOKUP(BY928,УГО_блоки,2,FALSE)),BY928)))</f>
      </c>
      <c r="BL928" s="129">
        <f t="shared" si="621"/>
      </c>
      <c r="BM928" s="129">
        <f>IF(H928="","",IF(COUNTIF($H$3:H928,H928)=1,MAX($BM$2:BM927)+1,""))</f>
      </c>
      <c r="BN928" s="129">
        <f>IF(I928="","",IF(COUNTIF($I$3:I928,I928)+COUNTIF($J$2:J927,I928)+COUNTIF($K$2:K927,I928)=1,MAX($BN$2:BP927)+1,""))</f>
      </c>
      <c r="BO928" s="129">
        <f>IF(J928="","",IF(COUNTIF($I$3:I928,J928)+COUNTIF($J$3:J928,J928)+COUNTIF($K$2:K927,J928)=1,MAX($BN$2:BP927,BN928)+1,""))</f>
      </c>
      <c r="BP928" s="129">
        <f>IF(K928="","",IF(COUNTIF($I$3:I928,K928)+COUNTIF($J$3:J928,K928)+COUNTIF($K$3:K928,K928)=1,MAX($BN$2:BP927,BN928,BO928)+1,""))</f>
      </c>
      <c r="BQ928" s="129">
        <f>IF(AY928=1,IFERROR(MID(Q928,FIND(" (",Q928)+2,FIND(")",Q928,FIND(" (",Q928))-FIND(" (",Q928)-2),"?"),"")</f>
      </c>
      <c r="BR928" s="129">
        <f>IF(BQ928="","",IF(COUNTIF($BQ$3:BQ928,BQ928)=1,MAX($BR$2:BR927)+1,""))</f>
      </c>
      <c r="BS928" s="129">
        <f>IF(AW928="","",COUNTIF($AW$3:AW928,"?*"))</f>
      </c>
      <c r="BT928" s="129">
        <f>IF(OR(AW928="",AI928=""),"",IF(COUNTIFS($AW$3:AW928,"?*",$AI$3:AI928,AI928)=1,MAX($BT$2:BT927)+1,""))</f>
      </c>
      <c r="BU928" s="129">
        <f>IF(AE928="",0,IF(OR(ISNUMBER(SEARCH("дубль",AE928)),ISNUMBER(SEARCH("ПЕРЕГРУЗ",AE928)),ISNUMBER(SEARCH("ЗАЩИЩ",AE928)),ISNUMBER(SEARCH("КАНАЛ",AE928)),ISNUMBER(SEARCH("без 30",AE928))),2,1))</f>
      </c>
      <c r="BV928" s="129">
        <f>IF(R928="","",COUNTIF($R$3:R928,"?*"))</f>
      </c>
      <c r="BW928" s="129">
        <f>IF(AY928&lt;&gt;1,0,IF(MAX(IFERROR(--VLOOKUP(R928,УГО_спр,5,FALSE),0),IFERROR(--VLOOKUP(AL928,УГО_спр,5,FALSE),0),IFERROR(--VLOOKUP(LEFT(AL928,2),УГО_спр,5,FALSE),0))&gt;0,MAX(IFERROR(--VLOOKUP(R928,УГО_спр,5,FALSE),0),IFERROR(--VLOOKUP(AL928,УГО_спр,5,FALSE),0),IFERROR(--VLOOKUP(LEFT(AL928,2),УГО_спр,5,FALSE),0)),IF(IFERROR(--LEFT(SUBSTITUTE(BQ928,"x","х"),FIND("х",SUBSTITUTE(BQ928,"x","х"))-1),3)&gt;3,Каталог!$S$9,1)))</f>
      </c>
      <c r="BX928" s="129">
        <f>IF(AY928&lt;&gt;1,0,MAX(0,IFERROR(--LEFT(SUBSTITUTE(BQ928,"x","х"),FIND("х",SUBSTITUTE(BQ928,"x","х"))-1),3)-3*BW928))</f>
      </c>
      <c r="BY928" s="129">
        <f>IF(R928="","",IFERROR(VLOOKUP(R928,УГО_спр,2,FALSE),IFERROR(VLOOKUP(AL928,УГО_спр,2,FALSE),IFERROR(VLOOKUP(LEFT(AL928,2),УГО_спр,2,FALSE),""))))</f>
      </c>
    </row>
    <row r="929" spans="1:64" x14ac:dyDescent="0.3">
      <c r="A929" s="135">
        <f>IF(Разбивка_по_щитам!F929=0,"",Разбивка_по_щитам!F929)</f>
        <v/>
      </c>
      <c r="B929" s="138">
        <f>IF(A929="","",Разбивка_по_щитам!C929)</f>
        <v/>
      </c>
      <c r="C929" s="138">
        <f t="shared" si="582"/>
        <v/>
      </c>
      <c r="D929" s="266"/>
      <c r="E929" s="266"/>
      <c r="F929" s="267"/>
      <c r="G929" s="145">
        <f t="shared" si="583"/>
        <v/>
      </c>
      <c r="H929" s="145">
        <f t="shared" si="584"/>
        <v/>
      </c>
      <c r="I929" s="266"/>
      <c r="J929" s="267"/>
      <c r="K929" s="267"/>
      <c r="L929" s="266"/>
      <c r="M929" s="147">
        <f t="shared" si="585"/>
        <v/>
      </c>
      <c r="N929" s="267"/>
      <c r="O929" s="147">
        <f t="shared" si="586"/>
        <v/>
      </c>
      <c r="P929" s="268">
        <f>IF(AY929=1,"XT"&amp;COUNTIFS($A$3:A929,A929,$AY$3:AY929,1),"")</f>
        <v/>
      </c>
      <c r="Q929" s="152">
        <f>IF(R929="","",IFERROR(SUBSTITUTE(Разбивка_по_щитам!P929,CHAR(10)," "),""))</f>
        <v/>
      </c>
      <c r="R929" s="153">
        <f>IF(OR(Разбивка_по_щитам!H929="",Разбивка_по_щитам!H929=0),"",Разбивка_по_щитам!H929)</f>
        <v/>
      </c>
      <c r="S929" s="154">
        <f>IF(R929="","",IFERROR(Разбивка_по_щитам!J929&amp;"",""))</f>
        <v/>
      </c>
      <c r="T929" s="155">
        <f>IF(R929="","",IFERROR(--Разбивка_по_щитам!L929,""))</f>
        <v/>
      </c>
      <c r="U929" s="155">
        <f>IF(R929="","",IFERROR(--Разбивка_по_щитам!K929,""))</f>
        <v/>
      </c>
      <c r="V929" s="138">
        <f>IF(R929="","",IFERROR(IF(Разбивка_по_щитам!M929=0,"",Разбивка_по_щитам!M929),""))</f>
        <v/>
      </c>
      <c r="W929" s="156">
        <f t="shared" si="587"/>
        <v/>
      </c>
      <c r="X929" s="157">
        <f t="shared" si="588"/>
        <v/>
      </c>
      <c r="Y929" s="266"/>
      <c r="Z929" s="158">
        <f t="shared" si="589"/>
        <v/>
      </c>
      <c r="AA929" s="160">
        <f t="shared" si="590"/>
        <v/>
      </c>
      <c r="AB929" s="160">
        <f>IF(R929="","",IFERROR(LOOKUP(INDEX(Справочная!$I$4:$I$19,MATCH(VLOOKUP(R929,Исходные_данные,22,FALSE),Справочная!$J$4:$J$19,0)+1),{6,10,16,20,25,32,40,50,63,80,100,125}),""))</f>
        <v/>
      </c>
      <c r="AC929" s="160">
        <f t="shared" si="591"/>
        <v/>
      </c>
      <c r="AD929" s="161">
        <f t="shared" si="592"/>
        <v/>
      </c>
      <c r="AE929" s="161">
        <f>IF(AND(R929="",G929=""),"",_xlfn.TEXTJOIN("; ",TRUE,IF(AND(R929&lt;&gt;"",V929=""),"нет фазы",""),IF(AND(R929&lt;&gt;"",N(T929)=0),"нет мощности",""),IF(AND(P929&lt;&gt;"",COUNTIFS($A$3:$A$1000,A929,$P$3:$P$1000,P929)&gt;1),"дубль клеммы "&amp;P929,""),IF(AND(W929&lt;&gt;"",W929&lt;&gt;"ok"),W929,""),IF(X929&lt;&gt;"",X929,""),IF(AND(ISNUMBER(SEARCH("(5х",Q929)),N(AK929)=1),"5 жил на 1 фазе",""),IF(AND(AL929="R",E929&lt;&gt;"",N(AS929)=0),"розетка без 30 мА",""),IF(IFERROR(_xlfn.NUMBERVALUE(MID(Q929,FIND("-",Q929,FIND("L=",Q929))+1,FIND("%",Q929)-FIND("-",Q929,FIND("L=",Q929))-1),","),0)&gt;4,"потери &gt; 4 %","")))</f>
      </c>
      <c r="AF929" s="129">
        <f>IF(E929&lt;&gt;"",COUNTIFS($A$3:A929,A929,$E$3:E929,"?*"),IF(OR(A929&lt;&gt;A928,Y929="вручную"),"",AF928))</f>
        <v/>
      </c>
      <c r="AG929" s="129">
        <f t="shared" si="593"/>
        <v/>
      </c>
      <c r="AH929" s="129">
        <f t="shared" si="594"/>
        <v/>
      </c>
      <c r="AI929" s="129">
        <f t="shared" si="595"/>
        <v/>
      </c>
      <c r="AJ929" s="129">
        <f t="shared" si="596"/>
        <v/>
      </c>
      <c r="AK929" s="129">
        <f t="shared" si="597"/>
        <v/>
      </c>
      <c r="AL929" s="129">
        <f t="shared" si="598"/>
        <v/>
      </c>
      <c r="AM929" s="129">
        <f t="shared" si="599"/>
      </c>
      <c r="AN929" s="129">
        <f t="shared" si="600"/>
      </c>
      <c r="AO929" s="129">
        <f t="shared" si="601"/>
        <v/>
      </c>
      <c r="AP929" s="129">
        <f t="shared" si="602"/>
        <v/>
      </c>
      <c r="AQ929" s="129">
        <f t="shared" si="603"/>
        <v/>
      </c>
      <c r="AR929" s="129">
        <f t="shared" si="604"/>
        <v/>
      </c>
      <c r="AS929" s="129">
        <f t="shared" si="605"/>
        <v/>
      </c>
      <c r="AT929" s="129">
        <f t="shared" si="606"/>
        <v/>
      </c>
      <c r="AU929" s="129">
        <f t="shared" si="607"/>
        <v/>
      </c>
      <c r="AV929" s="129">
        <f t="shared" si="608"/>
        <v/>
      </c>
      <c r="AW929" s="129">
        <f>IF(AV929="","",AV929&amp;"."&amp;COUNTIFS($A$3:A929,A929,$AV$3:AV929,AV929))</f>
        <v/>
      </c>
      <c r="AX929" s="129">
        <f t="shared" si="609"/>
        <v/>
      </c>
      <c r="AY929" s="129">
        <f>IF(N929="б/к",0,IF(OR(ISNUMBER(SEARCH("L=",Разбивка_по_щитам!P929)),N929="+",N929="="),1,0))</f>
      </c>
      <c r="AZ929" s="129">
        <f t="shared" si="610"/>
        <v/>
      </c>
      <c r="BA929" s="129">
        <f t="shared" si="611"/>
      </c>
      <c r="BB929" s="129">
        <f t="shared" si="612"/>
      </c>
      <c r="BD929" s="129">
        <f t="shared" si="613"/>
      </c>
      <c r="BE929" s="129">
        <f t="shared" si="614"/>
      </c>
      <c r="BF929" s="129">
        <f t="shared" si="615"/>
      </c>
      <c r="BG929" s="129">
        <f t="shared" si="616"/>
        <v/>
      </c>
      <c r="BH929" s="129">
        <f t="shared" si="617"/>
        <v/>
      </c>
      <c r="BI929" s="129">
        <f t="shared" si="618"/>
        <v/>
      </c>
      <c r="BJ929" s="129">
        <f t="shared" si="619"/>
        <v/>
      </c>
      <c r="BK929" s="129">
        <f>IF(R929="","",IF(OR(BY929="",BY929=0),"BOX",IFERROR(IF(VLOOKUP(BY929,УГО_блоки,3,FALSE)&amp;""&lt;&gt;"",VLOOKUP(BY929,УГО_блоки,3,FALSE),VLOOKUP(BY929,УГО_блоки,2,FALSE)),BY929)))</f>
      </c>
      <c r="BL929" s="129">
        <f t="shared" si="621"/>
      </c>
      <c r="BM929" s="129">
        <f>IF(H929="","",IF(COUNTIF($H$3:H929,H929)=1,MAX($BM$2:BM928)+1,""))</f>
      </c>
      <c r="BN929" s="129">
        <f>IF(I929="","",IF(COUNTIF($I$3:I929,I929)+COUNTIF($J$2:J928,I929)+COUNTIF($K$2:K928,I929)=1,MAX($BN$2:BP928)+1,""))</f>
      </c>
      <c r="BO929" s="129">
        <f>IF(J929="","",IF(COUNTIF($I$3:I929,J929)+COUNTIF($J$3:J929,J929)+COUNTIF($K$2:K928,J929)=1,MAX($BN$2:BP928,BN929)+1,""))</f>
      </c>
      <c r="BP929" s="129">
        <f>IF(K929="","",IF(COUNTIF($I$3:I929,K929)+COUNTIF($J$3:J929,K929)+COUNTIF($K$3:K929,K929)=1,MAX($BN$2:BP928,BN929,BO929)+1,""))</f>
      </c>
      <c r="BQ929" s="129">
        <f>IF(AY929=1,IFERROR(MID(Q929,FIND(" (",Q929)+2,FIND(")",Q929,FIND(" (",Q929))-FIND(" (",Q929)-2),"?"),"")</f>
      </c>
      <c r="BR929" s="129">
        <f>IF(BQ929="","",IF(COUNTIF($BQ$3:BQ929,BQ929)=1,MAX($BR$2:BR928)+1,""))</f>
      </c>
      <c r="BS929" s="129">
        <f>IF(AW929="","",COUNTIF($AW$3:AW929,"?*"))</f>
      </c>
      <c r="BT929" s="129">
        <f>IF(OR(AW929="",AI929=""),"",IF(COUNTIFS($AW$3:AW929,"?*",$AI$3:AI929,AI929)=1,MAX($BT$2:BT928)+1,""))</f>
      </c>
      <c r="BU929" s="129">
        <f>IF(AE929="",0,IF(OR(ISNUMBER(SEARCH("дубль",AE929)),ISNUMBER(SEARCH("ПЕРЕГРУЗ",AE929)),ISNUMBER(SEARCH("ЗАЩИЩ",AE929)),ISNUMBER(SEARCH("КАНАЛ",AE929)),ISNUMBER(SEARCH("без 30",AE929))),2,1))</f>
      </c>
      <c r="BV929" s="129">
        <f>IF(R929="","",COUNTIF($R$3:R929,"?*"))</f>
      </c>
      <c r="BW929" s="129">
        <f>IF(AY929&lt;&gt;1,0,IF(MAX(IFERROR(--VLOOKUP(R929,УГО_спр,5,FALSE),0),IFERROR(--VLOOKUP(AL929,УГО_спр,5,FALSE),0),IFERROR(--VLOOKUP(LEFT(AL929,2),УГО_спр,5,FALSE),0))&gt;0,MAX(IFERROR(--VLOOKUP(R929,УГО_спр,5,FALSE),0),IFERROR(--VLOOKUP(AL929,УГО_спр,5,FALSE),0),IFERROR(--VLOOKUP(LEFT(AL929,2),УГО_спр,5,FALSE),0)),IF(IFERROR(--LEFT(SUBSTITUTE(BQ929,"x","х"),FIND("х",SUBSTITUTE(BQ929,"x","х"))-1),3)&gt;3,Каталог!$S$9,1)))</f>
      </c>
      <c r="BX929" s="129">
        <f>IF(AY929&lt;&gt;1,0,MAX(0,IFERROR(--LEFT(SUBSTITUTE(BQ929,"x","х"),FIND("х",SUBSTITUTE(BQ929,"x","х"))-1),3)-3*BW929))</f>
      </c>
      <c r="BY929" s="129">
        <f>IF(R929="","",IFERROR(VLOOKUP(R929,УГО_спр,2,FALSE),IFERROR(VLOOKUP(AL929,УГО_спр,2,FALSE),IFERROR(VLOOKUP(LEFT(AL929,2),УГО_спр,2,FALSE),""))))</f>
      </c>
    </row>
    <row r="930" spans="1:64" x14ac:dyDescent="0.3">
      <c r="A930" s="135">
        <f>IF(Разбивка_по_щитам!F930=0,"",Разбивка_по_щитам!F930)</f>
        <v/>
      </c>
      <c r="B930" s="138">
        <f>IF(A930="","",Разбивка_по_щитам!C930)</f>
        <v/>
      </c>
      <c r="C930" s="138">
        <f t="shared" si="582"/>
        <v/>
      </c>
      <c r="D930" s="266"/>
      <c r="E930" s="266"/>
      <c r="F930" s="267"/>
      <c r="G930" s="145">
        <f t="shared" si="583"/>
        <v/>
      </c>
      <c r="H930" s="145">
        <f t="shared" si="584"/>
        <v/>
      </c>
      <c r="I930" s="266"/>
      <c r="J930" s="267"/>
      <c r="K930" s="267"/>
      <c r="L930" s="266"/>
      <c r="M930" s="147">
        <f t="shared" si="585"/>
        <v/>
      </c>
      <c r="N930" s="267"/>
      <c r="O930" s="147">
        <f t="shared" si="586"/>
        <v/>
      </c>
      <c r="P930" s="268">
        <f>IF(AY930=1,"XT"&amp;COUNTIFS($A$3:A930,A930,$AY$3:AY930,1),"")</f>
        <v/>
      </c>
      <c r="Q930" s="152">
        <f>IF(R930="","",IFERROR(SUBSTITUTE(Разбивка_по_щитам!P930,CHAR(10)," "),""))</f>
        <v/>
      </c>
      <c r="R930" s="153">
        <f>IF(OR(Разбивка_по_щитам!H930="",Разбивка_по_щитам!H930=0),"",Разбивка_по_щитам!H930)</f>
        <v/>
      </c>
      <c r="S930" s="154">
        <f>IF(R930="","",IFERROR(Разбивка_по_щитам!J930&amp;"",""))</f>
        <v/>
      </c>
      <c r="T930" s="155">
        <f>IF(R930="","",IFERROR(--Разбивка_по_щитам!L930,""))</f>
        <v/>
      </c>
      <c r="U930" s="155">
        <f>IF(R930="","",IFERROR(--Разбивка_по_щитам!K930,""))</f>
        <v/>
      </c>
      <c r="V930" s="138">
        <f>IF(R930="","",IFERROR(IF(Разбивка_по_щитам!M930=0,"",Разбивка_по_щитам!M930),""))</f>
        <v/>
      </c>
      <c r="W930" s="156">
        <f t="shared" si="587"/>
        <v/>
      </c>
      <c r="X930" s="157">
        <f t="shared" si="588"/>
        <v/>
      </c>
      <c r="Y930" s="266"/>
      <c r="Z930" s="158">
        <f t="shared" si="589"/>
        <v/>
      </c>
      <c r="AA930" s="160">
        <f t="shared" si="590"/>
        <v/>
      </c>
      <c r="AB930" s="160">
        <f>IF(R930="","",IFERROR(LOOKUP(INDEX(Справочная!$I$4:$I$19,MATCH(VLOOKUP(R930,Исходные_данные,22,FALSE),Справочная!$J$4:$J$19,0)+1),{6,10,16,20,25,32,40,50,63,80,100,125}),""))</f>
        <v/>
      </c>
      <c r="AC930" s="160">
        <f t="shared" si="591"/>
        <v/>
      </c>
      <c r="AD930" s="161">
        <f t="shared" si="592"/>
        <v/>
      </c>
      <c r="AE930" s="161">
        <f>IF(AND(R930="",G930=""),"",_xlfn.TEXTJOIN("; ",TRUE,IF(AND(R930&lt;&gt;"",V930=""),"нет фазы",""),IF(AND(R930&lt;&gt;"",N(T930)=0),"нет мощности",""),IF(AND(P930&lt;&gt;"",COUNTIFS($A$3:$A$1000,A930,$P$3:$P$1000,P930)&gt;1),"дубль клеммы "&amp;P930,""),IF(AND(W930&lt;&gt;"",W930&lt;&gt;"ok"),W930,""),IF(X930&lt;&gt;"",X930,""),IF(AND(ISNUMBER(SEARCH("(5х",Q930)),N(AK930)=1),"5 жил на 1 фазе",""),IF(AND(AL930="R",E930&lt;&gt;"",N(AS930)=0),"розетка без 30 мА",""),IF(IFERROR(_xlfn.NUMBERVALUE(MID(Q930,FIND("-",Q930,FIND("L=",Q930))+1,FIND("%",Q930)-FIND("-",Q930,FIND("L=",Q930))-1),","),0)&gt;4,"потери &gt; 4 %","")))</f>
      </c>
      <c r="AF930" s="129">
        <f>IF(E930&lt;&gt;"",COUNTIFS($A$3:A930,A930,$E$3:E930,"?*"),IF(OR(A930&lt;&gt;A929,Y930="вручную"),"",AF929))</f>
        <v/>
      </c>
      <c r="AG930" s="129">
        <f t="shared" si="593"/>
        <v/>
      </c>
      <c r="AH930" s="129">
        <f t="shared" si="594"/>
        <v/>
      </c>
      <c r="AI930" s="129">
        <f t="shared" si="595"/>
        <v/>
      </c>
      <c r="AJ930" s="129">
        <f t="shared" si="596"/>
        <v/>
      </c>
      <c r="AK930" s="129">
        <f t="shared" si="597"/>
        <v/>
      </c>
      <c r="AL930" s="129">
        <f t="shared" si="598"/>
        <v/>
      </c>
      <c r="AM930" s="129">
        <f t="shared" si="599"/>
      </c>
      <c r="AN930" s="129">
        <f t="shared" si="600"/>
      </c>
      <c r="AO930" s="129">
        <f t="shared" si="601"/>
        <v/>
      </c>
      <c r="AP930" s="129">
        <f t="shared" si="602"/>
        <v/>
      </c>
      <c r="AQ930" s="129">
        <f t="shared" si="603"/>
        <v/>
      </c>
      <c r="AR930" s="129">
        <f t="shared" si="604"/>
        <v/>
      </c>
      <c r="AS930" s="129">
        <f t="shared" si="605"/>
        <v/>
      </c>
      <c r="AT930" s="129">
        <f t="shared" si="606"/>
        <v/>
      </c>
      <c r="AU930" s="129">
        <f t="shared" si="607"/>
        <v/>
      </c>
      <c r="AV930" s="129">
        <f t="shared" si="608"/>
        <v/>
      </c>
      <c r="AW930" s="129">
        <f>IF(AV930="","",AV930&amp;"."&amp;COUNTIFS($A$3:A930,A930,$AV$3:AV930,AV930))</f>
        <v/>
      </c>
      <c r="AX930" s="129">
        <f t="shared" si="609"/>
        <v/>
      </c>
      <c r="AY930" s="129">
        <f>IF(N930="б/к",0,IF(OR(ISNUMBER(SEARCH("L=",Разбивка_по_щитам!P930)),N930="+",N930="="),1,0))</f>
      </c>
      <c r="AZ930" s="129">
        <f t="shared" si="610"/>
        <v/>
      </c>
      <c r="BA930" s="129">
        <f t="shared" si="611"/>
      </c>
      <c r="BB930" s="129">
        <f t="shared" si="612"/>
      </c>
      <c r="BD930" s="129">
        <f t="shared" si="613"/>
      </c>
      <c r="BE930" s="129">
        <f t="shared" si="614"/>
      </c>
      <c r="BF930" s="129">
        <f t="shared" si="615"/>
      </c>
      <c r="BG930" s="129">
        <f t="shared" si="616"/>
        <v/>
      </c>
      <c r="BH930" s="129">
        <f t="shared" si="617"/>
        <v/>
      </c>
      <c r="BI930" s="129">
        <f t="shared" si="618"/>
        <v/>
      </c>
      <c r="BJ930" s="129">
        <f t="shared" si="619"/>
        <v/>
      </c>
      <c r="BK930" s="129">
        <f>IF(R930="","",IF(OR(BY930="",BY930=0),"BOX",IFERROR(IF(VLOOKUP(BY930,УГО_блоки,3,FALSE)&amp;""&lt;&gt;"",VLOOKUP(BY930,УГО_блоки,3,FALSE),VLOOKUP(BY930,УГО_блоки,2,FALSE)),BY930)))</f>
      </c>
      <c r="BL930" s="129">
        <f t="shared" si="621"/>
      </c>
      <c r="BM930" s="129">
        <f>IF(H930="","",IF(COUNTIF($H$3:H930,H930)=1,MAX($BM$2:BM929)+1,""))</f>
      </c>
      <c r="BN930" s="129">
        <f>IF(I930="","",IF(COUNTIF($I$3:I930,I930)+COUNTIF($J$2:J929,I930)+COUNTIF($K$2:K929,I930)=1,MAX($BN$2:BP929)+1,""))</f>
      </c>
      <c r="BO930" s="129">
        <f>IF(J930="","",IF(COUNTIF($I$3:I930,J930)+COUNTIF($J$3:J930,J930)+COUNTIF($K$2:K929,J930)=1,MAX($BN$2:BP929,BN930)+1,""))</f>
      </c>
      <c r="BP930" s="129">
        <f>IF(K930="","",IF(COUNTIF($I$3:I930,K930)+COUNTIF($J$3:J930,K930)+COUNTIF($K$3:K930,K930)=1,MAX($BN$2:BP929,BN930,BO930)+1,""))</f>
      </c>
      <c r="BQ930" s="129">
        <f>IF(AY930=1,IFERROR(MID(Q930,FIND(" (",Q930)+2,FIND(")",Q930,FIND(" (",Q930))-FIND(" (",Q930)-2),"?"),"")</f>
      </c>
      <c r="BR930" s="129">
        <f>IF(BQ930="","",IF(COUNTIF($BQ$3:BQ930,BQ930)=1,MAX($BR$2:BR929)+1,""))</f>
      </c>
      <c r="BS930" s="129">
        <f>IF(AW930="","",COUNTIF($AW$3:AW930,"?*"))</f>
      </c>
      <c r="BT930" s="129">
        <f>IF(OR(AW930="",AI930=""),"",IF(COUNTIFS($AW$3:AW930,"?*",$AI$3:AI930,AI930)=1,MAX($BT$2:BT929)+1,""))</f>
      </c>
      <c r="BU930" s="129">
        <f>IF(AE930="",0,IF(OR(ISNUMBER(SEARCH("дубль",AE930)),ISNUMBER(SEARCH("ПЕРЕГРУЗ",AE930)),ISNUMBER(SEARCH("ЗАЩИЩ",AE930)),ISNUMBER(SEARCH("КАНАЛ",AE930)),ISNUMBER(SEARCH("без 30",AE930))),2,1))</f>
      </c>
      <c r="BV930" s="129">
        <f>IF(R930="","",COUNTIF($R$3:R930,"?*"))</f>
      </c>
      <c r="BW930" s="129">
        <f>IF(AY930&lt;&gt;1,0,IF(MAX(IFERROR(--VLOOKUP(R930,УГО_спр,5,FALSE),0),IFERROR(--VLOOKUP(AL930,УГО_спр,5,FALSE),0),IFERROR(--VLOOKUP(LEFT(AL930,2),УГО_спр,5,FALSE),0))&gt;0,MAX(IFERROR(--VLOOKUP(R930,УГО_спр,5,FALSE),0),IFERROR(--VLOOKUP(AL930,УГО_спр,5,FALSE),0),IFERROR(--VLOOKUP(LEFT(AL930,2),УГО_спр,5,FALSE),0)),IF(IFERROR(--LEFT(SUBSTITUTE(BQ930,"x","х"),FIND("х",SUBSTITUTE(BQ930,"x","х"))-1),3)&gt;3,Каталог!$S$9,1)))</f>
      </c>
      <c r="BX930" s="129">
        <f>IF(AY930&lt;&gt;1,0,MAX(0,IFERROR(--LEFT(SUBSTITUTE(BQ930,"x","х"),FIND("х",SUBSTITUTE(BQ930,"x","х"))-1),3)-3*BW930))</f>
      </c>
      <c r="BY930" s="129">
        <f>IF(R930="","",IFERROR(VLOOKUP(R930,УГО_спр,2,FALSE),IFERROR(VLOOKUP(AL930,УГО_спр,2,FALSE),IFERROR(VLOOKUP(LEFT(AL930,2),УГО_спр,2,FALSE),""))))</f>
      </c>
    </row>
    <row r="931" spans="1:64" x14ac:dyDescent="0.3">
      <c r="A931" s="135">
        <f>IF(Разбивка_по_щитам!F931=0,"",Разбивка_по_щитам!F931)</f>
        <v/>
      </c>
      <c r="B931" s="138">
        <f>IF(A931="","",Разбивка_по_щитам!C931)</f>
        <v/>
      </c>
      <c r="C931" s="138">
        <f t="shared" si="582"/>
        <v/>
      </c>
      <c r="D931" s="266"/>
      <c r="E931" s="266"/>
      <c r="F931" s="267"/>
      <c r="G931" s="145">
        <f t="shared" si="583"/>
        <v/>
      </c>
      <c r="H931" s="145">
        <f t="shared" si="584"/>
        <v/>
      </c>
      <c r="I931" s="266"/>
      <c r="J931" s="267"/>
      <c r="K931" s="267"/>
      <c r="L931" s="266"/>
      <c r="M931" s="147">
        <f t="shared" si="585"/>
        <v/>
      </c>
      <c r="N931" s="267"/>
      <c r="O931" s="147">
        <f t="shared" si="586"/>
        <v/>
      </c>
      <c r="P931" s="268">
        <f>IF(AY931=1,"XT"&amp;COUNTIFS($A$3:A931,A931,$AY$3:AY931,1),"")</f>
        <v/>
      </c>
      <c r="Q931" s="152">
        <f>IF(R931="","",IFERROR(SUBSTITUTE(Разбивка_по_щитам!P931,CHAR(10)," "),""))</f>
        <v/>
      </c>
      <c r="R931" s="153">
        <f>IF(OR(Разбивка_по_щитам!H931="",Разбивка_по_щитам!H931=0),"",Разбивка_по_щитам!H931)</f>
        <v/>
      </c>
      <c r="S931" s="154">
        <f>IF(R931="","",IFERROR(Разбивка_по_щитам!J931&amp;"",""))</f>
        <v/>
      </c>
      <c r="T931" s="155">
        <f>IF(R931="","",IFERROR(--Разбивка_по_щитам!L931,""))</f>
        <v/>
      </c>
      <c r="U931" s="155">
        <f>IF(R931="","",IFERROR(--Разбивка_по_щитам!K931,""))</f>
        <v/>
      </c>
      <c r="V931" s="138">
        <f>IF(R931="","",IFERROR(IF(Разбивка_по_щитам!M931=0,"",Разбивка_по_щитам!M931),""))</f>
        <v/>
      </c>
      <c r="W931" s="156">
        <f t="shared" si="587"/>
        <v/>
      </c>
      <c r="X931" s="157">
        <f t="shared" si="588"/>
        <v/>
      </c>
      <c r="Y931" s="266"/>
      <c r="Z931" s="158">
        <f t="shared" si="589"/>
        <v/>
      </c>
      <c r="AA931" s="160">
        <f t="shared" si="590"/>
        <v/>
      </c>
      <c r="AB931" s="160">
        <f>IF(R931="","",IFERROR(LOOKUP(INDEX(Справочная!$I$4:$I$19,MATCH(VLOOKUP(R931,Исходные_данные,22,FALSE),Справочная!$J$4:$J$19,0)+1),{6,10,16,20,25,32,40,50,63,80,100,125}),""))</f>
        <v/>
      </c>
      <c r="AC931" s="160">
        <f t="shared" si="591"/>
        <v/>
      </c>
      <c r="AD931" s="161">
        <f t="shared" si="592"/>
        <v/>
      </c>
      <c r="AE931" s="161">
        <f>IF(AND(R931="",G931=""),"",_xlfn.TEXTJOIN("; ",TRUE,IF(AND(R931&lt;&gt;"",V931=""),"нет фазы",""),IF(AND(R931&lt;&gt;"",N(T931)=0),"нет мощности",""),IF(AND(P931&lt;&gt;"",COUNTIFS($A$3:$A$1000,A931,$P$3:$P$1000,P931)&gt;1),"дубль клеммы "&amp;P931,""),IF(AND(W931&lt;&gt;"",W931&lt;&gt;"ok"),W931,""),IF(X931&lt;&gt;"",X931,""),IF(AND(ISNUMBER(SEARCH("(5х",Q931)),N(AK931)=1),"5 жил на 1 фазе",""),IF(AND(AL931="R",E931&lt;&gt;"",N(AS931)=0),"розетка без 30 мА",""),IF(IFERROR(_xlfn.NUMBERVALUE(MID(Q931,FIND("-",Q931,FIND("L=",Q931))+1,FIND("%",Q931)-FIND("-",Q931,FIND("L=",Q931))-1),","),0)&gt;4,"потери &gt; 4 %","")))</f>
      </c>
      <c r="AF931" s="129">
        <f>IF(E931&lt;&gt;"",COUNTIFS($A$3:A931,A931,$E$3:E931,"?*"),IF(OR(A931&lt;&gt;A930,Y931="вручную"),"",AF930))</f>
        <v/>
      </c>
      <c r="AG931" s="129">
        <f t="shared" si="593"/>
        <v/>
      </c>
      <c r="AH931" s="129">
        <f t="shared" si="594"/>
        <v/>
      </c>
      <c r="AI931" s="129">
        <f t="shared" si="595"/>
        <v/>
      </c>
      <c r="AJ931" s="129">
        <f t="shared" si="596"/>
        <v/>
      </c>
      <c r="AK931" s="129">
        <f t="shared" si="597"/>
        <v/>
      </c>
      <c r="AL931" s="129">
        <f t="shared" si="598"/>
        <v/>
      </c>
      <c r="AM931" s="129">
        <f t="shared" si="599"/>
      </c>
      <c r="AN931" s="129">
        <f t="shared" si="600"/>
      </c>
      <c r="AO931" s="129">
        <f t="shared" si="601"/>
        <v/>
      </c>
      <c r="AP931" s="129">
        <f t="shared" si="602"/>
        <v/>
      </c>
      <c r="AQ931" s="129">
        <f t="shared" si="603"/>
        <v/>
      </c>
      <c r="AR931" s="129">
        <f t="shared" si="604"/>
        <v/>
      </c>
      <c r="AS931" s="129">
        <f t="shared" si="605"/>
        <v/>
      </c>
      <c r="AT931" s="129">
        <f t="shared" si="606"/>
        <v/>
      </c>
      <c r="AU931" s="129">
        <f t="shared" si="607"/>
        <v/>
      </c>
      <c r="AV931" s="129">
        <f t="shared" si="608"/>
        <v/>
      </c>
      <c r="AW931" s="129">
        <f>IF(AV931="","",AV931&amp;"."&amp;COUNTIFS($A$3:A931,A931,$AV$3:AV931,AV931))</f>
        <v/>
      </c>
      <c r="AX931" s="129">
        <f t="shared" si="609"/>
        <v/>
      </c>
      <c r="AY931" s="129">
        <f>IF(N931="б/к",0,IF(OR(ISNUMBER(SEARCH("L=",Разбивка_по_щитам!P931)),N931="+",N931="="),1,0))</f>
      </c>
      <c r="AZ931" s="129">
        <f t="shared" si="610"/>
        <v/>
      </c>
      <c r="BA931" s="129">
        <f t="shared" si="611"/>
      </c>
      <c r="BB931" s="129">
        <f t="shared" si="612"/>
      </c>
      <c r="BD931" s="129">
        <f t="shared" si="613"/>
      </c>
      <c r="BE931" s="129">
        <f t="shared" si="614"/>
      </c>
      <c r="BF931" s="129">
        <f t="shared" si="615"/>
      </c>
      <c r="BG931" s="129">
        <f t="shared" si="616"/>
        <v/>
      </c>
      <c r="BH931" s="129">
        <f t="shared" si="617"/>
        <v/>
      </c>
      <c r="BI931" s="129">
        <f t="shared" si="618"/>
        <v/>
      </c>
      <c r="BJ931" s="129">
        <f t="shared" si="619"/>
        <v/>
      </c>
      <c r="BK931" s="129">
        <f>IF(R931="","",IF(OR(BY931="",BY931=0),"BOX",IFERROR(IF(VLOOKUP(BY931,УГО_блоки,3,FALSE)&amp;""&lt;&gt;"",VLOOKUP(BY931,УГО_блоки,3,FALSE),VLOOKUP(BY931,УГО_блоки,2,FALSE)),BY931)))</f>
      </c>
      <c r="BL931" s="129">
        <f t="shared" si="621"/>
      </c>
      <c r="BM931" s="129">
        <f>IF(H931="","",IF(COUNTIF($H$3:H931,H931)=1,MAX($BM$2:BM930)+1,""))</f>
      </c>
      <c r="BN931" s="129">
        <f>IF(I931="","",IF(COUNTIF($I$3:I931,I931)+COUNTIF($J$2:J930,I931)+COUNTIF($K$2:K930,I931)=1,MAX($BN$2:BP930)+1,""))</f>
      </c>
      <c r="BO931" s="129">
        <f>IF(J931="","",IF(COUNTIF($I$3:I931,J931)+COUNTIF($J$3:J931,J931)+COUNTIF($K$2:K930,J931)=1,MAX($BN$2:BP930,BN931)+1,""))</f>
      </c>
      <c r="BP931" s="129">
        <f>IF(K931="","",IF(COUNTIF($I$3:I931,K931)+COUNTIF($J$3:J931,K931)+COUNTIF($K$3:K931,K931)=1,MAX($BN$2:BP930,BN931,BO931)+1,""))</f>
      </c>
      <c r="BQ931" s="129">
        <f>IF(AY931=1,IFERROR(MID(Q931,FIND(" (",Q931)+2,FIND(")",Q931,FIND(" (",Q931))-FIND(" (",Q931)-2),"?"),"")</f>
      </c>
      <c r="BR931" s="129">
        <f>IF(BQ931="","",IF(COUNTIF($BQ$3:BQ931,BQ931)=1,MAX($BR$2:BR930)+1,""))</f>
      </c>
      <c r="BS931" s="129">
        <f>IF(AW931="","",COUNTIF($AW$3:AW931,"?*"))</f>
      </c>
      <c r="BT931" s="129">
        <f>IF(OR(AW931="",AI931=""),"",IF(COUNTIFS($AW$3:AW931,"?*",$AI$3:AI931,AI931)=1,MAX($BT$2:BT930)+1,""))</f>
      </c>
      <c r="BU931" s="129">
        <f>IF(AE931="",0,IF(OR(ISNUMBER(SEARCH("дубль",AE931)),ISNUMBER(SEARCH("ПЕРЕГРУЗ",AE931)),ISNUMBER(SEARCH("ЗАЩИЩ",AE931)),ISNUMBER(SEARCH("КАНАЛ",AE931)),ISNUMBER(SEARCH("без 30",AE931))),2,1))</f>
      </c>
      <c r="BV931" s="129">
        <f>IF(R931="","",COUNTIF($R$3:R931,"?*"))</f>
      </c>
      <c r="BW931" s="129">
        <f>IF(AY931&lt;&gt;1,0,IF(MAX(IFERROR(--VLOOKUP(R931,УГО_спр,5,FALSE),0),IFERROR(--VLOOKUP(AL931,УГО_спр,5,FALSE),0),IFERROR(--VLOOKUP(LEFT(AL931,2),УГО_спр,5,FALSE),0))&gt;0,MAX(IFERROR(--VLOOKUP(R931,УГО_спр,5,FALSE),0),IFERROR(--VLOOKUP(AL931,УГО_спр,5,FALSE),0),IFERROR(--VLOOKUP(LEFT(AL931,2),УГО_спр,5,FALSE),0)),IF(IFERROR(--LEFT(SUBSTITUTE(BQ931,"x","х"),FIND("х",SUBSTITUTE(BQ931,"x","х"))-1),3)&gt;3,Каталог!$S$9,1)))</f>
      </c>
      <c r="BX931" s="129">
        <f>IF(AY931&lt;&gt;1,0,MAX(0,IFERROR(--LEFT(SUBSTITUTE(BQ931,"x","х"),FIND("х",SUBSTITUTE(BQ931,"x","х"))-1),3)-3*BW931))</f>
      </c>
      <c r="BY931" s="129">
        <f>IF(R931="","",IFERROR(VLOOKUP(R931,УГО_спр,2,FALSE),IFERROR(VLOOKUP(AL931,УГО_спр,2,FALSE),IFERROR(VLOOKUP(LEFT(AL931,2),УГО_спр,2,FALSE),""))))</f>
      </c>
    </row>
    <row r="932" spans="1:64" x14ac:dyDescent="0.3">
      <c r="A932" s="135">
        <f>IF(Разбивка_по_щитам!F932=0,"",Разбивка_по_щитам!F932)</f>
        <v/>
      </c>
      <c r="B932" s="138">
        <f>IF(A932="","",Разбивка_по_щитам!C932)</f>
        <v/>
      </c>
      <c r="C932" s="138">
        <f t="shared" si="582"/>
        <v/>
      </c>
      <c r="D932" s="266"/>
      <c r="E932" s="266"/>
      <c r="F932" s="267"/>
      <c r="G932" s="145">
        <f t="shared" si="583"/>
        <v/>
      </c>
      <c r="H932" s="145">
        <f t="shared" si="584"/>
        <v/>
      </c>
      <c r="I932" s="266"/>
      <c r="J932" s="267"/>
      <c r="K932" s="267"/>
      <c r="L932" s="266"/>
      <c r="M932" s="147">
        <f t="shared" si="585"/>
        <v/>
      </c>
      <c r="N932" s="267"/>
      <c r="O932" s="147">
        <f t="shared" si="586"/>
        <v/>
      </c>
      <c r="P932" s="268">
        <f>IF(AY932=1,"XT"&amp;COUNTIFS($A$3:A932,A932,$AY$3:AY932,1),"")</f>
        <v/>
      </c>
      <c r="Q932" s="152">
        <f>IF(R932="","",IFERROR(SUBSTITUTE(Разбивка_по_щитам!P932,CHAR(10)," "),""))</f>
        <v/>
      </c>
      <c r="R932" s="153">
        <f>IF(OR(Разбивка_по_щитам!H932="",Разбивка_по_щитам!H932=0),"",Разбивка_по_щитам!H932)</f>
        <v/>
      </c>
      <c r="S932" s="154">
        <f>IF(R932="","",IFERROR(Разбивка_по_щитам!J932&amp;"",""))</f>
        <v/>
      </c>
      <c r="T932" s="155">
        <f>IF(R932="","",IFERROR(--Разбивка_по_щитам!L932,""))</f>
        <v/>
      </c>
      <c r="U932" s="155">
        <f>IF(R932="","",IFERROR(--Разбивка_по_щитам!K932,""))</f>
        <v/>
      </c>
      <c r="V932" s="138">
        <f>IF(R932="","",IFERROR(IF(Разбивка_по_щитам!M932=0,"",Разбивка_по_щитам!M932),""))</f>
        <v/>
      </c>
      <c r="W932" s="156">
        <f t="shared" si="587"/>
        <v/>
      </c>
      <c r="X932" s="157">
        <f t="shared" si="588"/>
        <v/>
      </c>
      <c r="Y932" s="266"/>
      <c r="Z932" s="158">
        <f t="shared" si="589"/>
        <v/>
      </c>
      <c r="AA932" s="160">
        <f t="shared" si="590"/>
        <v/>
      </c>
      <c r="AB932" s="160">
        <f>IF(R932="","",IFERROR(LOOKUP(INDEX(Справочная!$I$4:$I$19,MATCH(VLOOKUP(R932,Исходные_данные,22,FALSE),Справочная!$J$4:$J$19,0)+1),{6,10,16,20,25,32,40,50,63,80,100,125}),""))</f>
        <v/>
      </c>
      <c r="AC932" s="160">
        <f t="shared" si="591"/>
        <v/>
      </c>
      <c r="AD932" s="161">
        <f t="shared" si="592"/>
        <v/>
      </c>
      <c r="AE932" s="161">
        <f>IF(AND(R932="",G932=""),"",_xlfn.TEXTJOIN("; ",TRUE,IF(AND(R932&lt;&gt;"",V932=""),"нет фазы",""),IF(AND(R932&lt;&gt;"",N(T932)=0),"нет мощности",""),IF(AND(P932&lt;&gt;"",COUNTIFS($A$3:$A$1000,A932,$P$3:$P$1000,P932)&gt;1),"дубль клеммы "&amp;P932,""),IF(AND(W932&lt;&gt;"",W932&lt;&gt;"ok"),W932,""),IF(X932&lt;&gt;"",X932,""),IF(AND(ISNUMBER(SEARCH("(5х",Q932)),N(AK932)=1),"5 жил на 1 фазе",""),IF(AND(AL932="R",E932&lt;&gt;"",N(AS932)=0),"розетка без 30 мА",""),IF(IFERROR(_xlfn.NUMBERVALUE(MID(Q932,FIND("-",Q932,FIND("L=",Q932))+1,FIND("%",Q932)-FIND("-",Q932,FIND("L=",Q932))-1),","),0)&gt;4,"потери &gt; 4 %","")))</f>
      </c>
      <c r="AF932" s="129">
        <f>IF(E932&lt;&gt;"",COUNTIFS($A$3:A932,A932,$E$3:E932,"?*"),IF(OR(A932&lt;&gt;A931,Y932="вручную"),"",AF931))</f>
        <v/>
      </c>
      <c r="AG932" s="129">
        <f t="shared" si="593"/>
        <v/>
      </c>
      <c r="AH932" s="129">
        <f t="shared" si="594"/>
        <v/>
      </c>
      <c r="AI932" s="129">
        <f t="shared" si="595"/>
        <v/>
      </c>
      <c r="AJ932" s="129">
        <f t="shared" si="596"/>
        <v/>
      </c>
      <c r="AK932" s="129">
        <f t="shared" si="597"/>
        <v/>
      </c>
      <c r="AL932" s="129">
        <f t="shared" si="598"/>
        <v/>
      </c>
      <c r="AM932" s="129">
        <f t="shared" si="599"/>
      </c>
      <c r="AN932" s="129">
        <f t="shared" si="600"/>
      </c>
      <c r="AO932" s="129">
        <f t="shared" si="601"/>
        <v/>
      </c>
      <c r="AP932" s="129">
        <f t="shared" si="602"/>
        <v/>
      </c>
      <c r="AQ932" s="129">
        <f t="shared" si="603"/>
        <v/>
      </c>
      <c r="AR932" s="129">
        <f t="shared" si="604"/>
        <v/>
      </c>
      <c r="AS932" s="129">
        <f t="shared" si="605"/>
        <v/>
      </c>
      <c r="AT932" s="129">
        <f t="shared" si="606"/>
        <v/>
      </c>
      <c r="AU932" s="129">
        <f t="shared" si="607"/>
        <v/>
      </c>
      <c r="AV932" s="129">
        <f t="shared" si="608"/>
        <v/>
      </c>
      <c r="AW932" s="129">
        <f>IF(AV932="","",AV932&amp;"."&amp;COUNTIFS($A$3:A932,A932,$AV$3:AV932,AV932))</f>
        <v/>
      </c>
      <c r="AX932" s="129">
        <f t="shared" si="609"/>
        <v/>
      </c>
      <c r="AY932" s="129">
        <f>IF(N932="б/к",0,IF(OR(ISNUMBER(SEARCH("L=",Разбивка_по_щитам!P932)),N932="+",N932="="),1,0))</f>
      </c>
      <c r="AZ932" s="129">
        <f t="shared" si="610"/>
        <v/>
      </c>
      <c r="BA932" s="129">
        <f t="shared" si="611"/>
      </c>
      <c r="BB932" s="129">
        <f t="shared" si="612"/>
      </c>
      <c r="BD932" s="129">
        <f t="shared" si="613"/>
      </c>
      <c r="BE932" s="129">
        <f t="shared" si="614"/>
      </c>
      <c r="BF932" s="129">
        <f t="shared" si="615"/>
      </c>
      <c r="BG932" s="129">
        <f t="shared" si="616"/>
        <v/>
      </c>
      <c r="BH932" s="129">
        <f t="shared" si="617"/>
        <v/>
      </c>
      <c r="BI932" s="129">
        <f t="shared" si="618"/>
        <v/>
      </c>
      <c r="BJ932" s="129">
        <f t="shared" si="619"/>
        <v/>
      </c>
      <c r="BK932" s="129">
        <f>IF(R932="","",IF(OR(BY932="",BY932=0),"BOX",IFERROR(IF(VLOOKUP(BY932,УГО_блоки,3,FALSE)&amp;""&lt;&gt;"",VLOOKUP(BY932,УГО_блоки,3,FALSE),VLOOKUP(BY932,УГО_блоки,2,FALSE)),BY932)))</f>
      </c>
      <c r="BL932" s="129">
        <f t="shared" si="621"/>
      </c>
      <c r="BM932" s="129">
        <f>IF(H932="","",IF(COUNTIF($H$3:H932,H932)=1,MAX($BM$2:BM931)+1,""))</f>
      </c>
      <c r="BN932" s="129">
        <f>IF(I932="","",IF(COUNTIF($I$3:I932,I932)+COUNTIF($J$2:J931,I932)+COUNTIF($K$2:K931,I932)=1,MAX($BN$2:BP931)+1,""))</f>
      </c>
      <c r="BO932" s="129">
        <f>IF(J932="","",IF(COUNTIF($I$3:I932,J932)+COUNTIF($J$3:J932,J932)+COUNTIF($K$2:K931,J932)=1,MAX($BN$2:BP931,BN932)+1,""))</f>
      </c>
      <c r="BP932" s="129">
        <f>IF(K932="","",IF(COUNTIF($I$3:I932,K932)+COUNTIF($J$3:J932,K932)+COUNTIF($K$3:K932,K932)=1,MAX($BN$2:BP931,BN932,BO932)+1,""))</f>
      </c>
      <c r="BQ932" s="129">
        <f>IF(AY932=1,IFERROR(MID(Q932,FIND(" (",Q932)+2,FIND(")",Q932,FIND(" (",Q932))-FIND(" (",Q932)-2),"?"),"")</f>
      </c>
      <c r="BR932" s="129">
        <f>IF(BQ932="","",IF(COUNTIF($BQ$3:BQ932,BQ932)=1,MAX($BR$2:BR931)+1,""))</f>
      </c>
      <c r="BS932" s="129">
        <f>IF(AW932="","",COUNTIF($AW$3:AW932,"?*"))</f>
      </c>
      <c r="BT932" s="129">
        <f>IF(OR(AW932="",AI932=""),"",IF(COUNTIFS($AW$3:AW932,"?*",$AI$3:AI932,AI932)=1,MAX($BT$2:BT931)+1,""))</f>
      </c>
      <c r="BU932" s="129">
        <f>IF(AE932="",0,IF(OR(ISNUMBER(SEARCH("дубль",AE932)),ISNUMBER(SEARCH("ПЕРЕГРУЗ",AE932)),ISNUMBER(SEARCH("ЗАЩИЩ",AE932)),ISNUMBER(SEARCH("КАНАЛ",AE932)),ISNUMBER(SEARCH("без 30",AE932))),2,1))</f>
      </c>
      <c r="BV932" s="129">
        <f>IF(R932="","",COUNTIF($R$3:R932,"?*"))</f>
      </c>
      <c r="BW932" s="129">
        <f>IF(AY932&lt;&gt;1,0,IF(MAX(IFERROR(--VLOOKUP(R932,УГО_спр,5,FALSE),0),IFERROR(--VLOOKUP(AL932,УГО_спр,5,FALSE),0),IFERROR(--VLOOKUP(LEFT(AL932,2),УГО_спр,5,FALSE),0))&gt;0,MAX(IFERROR(--VLOOKUP(R932,УГО_спр,5,FALSE),0),IFERROR(--VLOOKUP(AL932,УГО_спр,5,FALSE),0),IFERROR(--VLOOKUP(LEFT(AL932,2),УГО_спр,5,FALSE),0)),IF(IFERROR(--LEFT(SUBSTITUTE(BQ932,"x","х"),FIND("х",SUBSTITUTE(BQ932,"x","х"))-1),3)&gt;3,Каталог!$S$9,1)))</f>
      </c>
      <c r="BX932" s="129">
        <f>IF(AY932&lt;&gt;1,0,MAX(0,IFERROR(--LEFT(SUBSTITUTE(BQ932,"x","х"),FIND("х",SUBSTITUTE(BQ932,"x","х"))-1),3)-3*BW932))</f>
      </c>
      <c r="BY932" s="129">
        <f>IF(R932="","",IFERROR(VLOOKUP(R932,УГО_спр,2,FALSE),IFERROR(VLOOKUP(AL932,УГО_спр,2,FALSE),IFERROR(VLOOKUP(LEFT(AL932,2),УГО_спр,2,FALSE),""))))</f>
      </c>
    </row>
    <row r="933" spans="1:64" x14ac:dyDescent="0.3">
      <c r="A933" s="135">
        <f>IF(Разбивка_по_щитам!F933=0,"",Разбивка_по_щитам!F933)</f>
        <v/>
      </c>
      <c r="B933" s="138">
        <f>IF(A933="","",Разбивка_по_щитам!C933)</f>
        <v/>
      </c>
      <c r="C933" s="138">
        <f t="shared" si="582"/>
        <v/>
      </c>
      <c r="D933" s="266"/>
      <c r="E933" s="266"/>
      <c r="F933" s="267"/>
      <c r="G933" s="145">
        <f t="shared" si="583"/>
        <v/>
      </c>
      <c r="H933" s="145">
        <f t="shared" si="584"/>
        <v/>
      </c>
      <c r="I933" s="266"/>
      <c r="J933" s="267"/>
      <c r="K933" s="267"/>
      <c r="L933" s="266"/>
      <c r="M933" s="147">
        <f t="shared" si="585"/>
        <v/>
      </c>
      <c r="N933" s="267"/>
      <c r="O933" s="147">
        <f t="shared" si="586"/>
        <v/>
      </c>
      <c r="P933" s="268">
        <f>IF(AY933=1,"XT"&amp;COUNTIFS($A$3:A933,A933,$AY$3:AY933,1),"")</f>
        <v/>
      </c>
      <c r="Q933" s="152">
        <f>IF(R933="","",IFERROR(SUBSTITUTE(Разбивка_по_щитам!P933,CHAR(10)," "),""))</f>
        <v/>
      </c>
      <c r="R933" s="153">
        <f>IF(OR(Разбивка_по_щитам!H933="",Разбивка_по_щитам!H933=0),"",Разбивка_по_щитам!H933)</f>
        <v/>
      </c>
      <c r="S933" s="154">
        <f>IF(R933="","",IFERROR(Разбивка_по_щитам!J933&amp;"",""))</f>
        <v/>
      </c>
      <c r="T933" s="155">
        <f>IF(R933="","",IFERROR(--Разбивка_по_щитам!L933,""))</f>
        <v/>
      </c>
      <c r="U933" s="155">
        <f>IF(R933="","",IFERROR(--Разбивка_по_щитам!K933,""))</f>
        <v/>
      </c>
      <c r="V933" s="138">
        <f>IF(R933="","",IFERROR(IF(Разбивка_по_щитам!M933=0,"",Разбивка_по_щитам!M933),""))</f>
        <v/>
      </c>
      <c r="W933" s="156">
        <f t="shared" si="587"/>
        <v/>
      </c>
      <c r="X933" s="157">
        <f t="shared" si="588"/>
        <v/>
      </c>
      <c r="Y933" s="266"/>
      <c r="Z933" s="158">
        <f t="shared" si="589"/>
        <v/>
      </c>
      <c r="AA933" s="160">
        <f t="shared" si="590"/>
        <v/>
      </c>
      <c r="AB933" s="160">
        <f>IF(R933="","",IFERROR(LOOKUP(INDEX(Справочная!$I$4:$I$19,MATCH(VLOOKUP(R933,Исходные_данные,22,FALSE),Справочная!$J$4:$J$19,0)+1),{6,10,16,20,25,32,40,50,63,80,100,125}),""))</f>
        <v/>
      </c>
      <c r="AC933" s="160">
        <f t="shared" si="591"/>
        <v/>
      </c>
      <c r="AD933" s="161">
        <f t="shared" si="592"/>
        <v/>
      </c>
      <c r="AE933" s="161">
        <f>IF(AND(R933="",G933=""),"",_xlfn.TEXTJOIN("; ",TRUE,IF(AND(R933&lt;&gt;"",V933=""),"нет фазы",""),IF(AND(R933&lt;&gt;"",N(T933)=0),"нет мощности",""),IF(AND(P933&lt;&gt;"",COUNTIFS($A$3:$A$1000,A933,$P$3:$P$1000,P933)&gt;1),"дубль клеммы "&amp;P933,""),IF(AND(W933&lt;&gt;"",W933&lt;&gt;"ok"),W933,""),IF(X933&lt;&gt;"",X933,""),IF(AND(ISNUMBER(SEARCH("(5х",Q933)),N(AK933)=1),"5 жил на 1 фазе",""),IF(AND(AL933="R",E933&lt;&gt;"",N(AS933)=0),"розетка без 30 мА",""),IF(IFERROR(_xlfn.NUMBERVALUE(MID(Q933,FIND("-",Q933,FIND("L=",Q933))+1,FIND("%",Q933)-FIND("-",Q933,FIND("L=",Q933))-1),","),0)&gt;4,"потери &gt; 4 %","")))</f>
      </c>
      <c r="AF933" s="129">
        <f>IF(E933&lt;&gt;"",COUNTIFS($A$3:A933,A933,$E$3:E933,"?*"),IF(OR(A933&lt;&gt;A932,Y933="вручную"),"",AF932))</f>
        <v/>
      </c>
      <c r="AG933" s="129">
        <f t="shared" si="593"/>
        <v/>
      </c>
      <c r="AH933" s="129">
        <f t="shared" si="594"/>
        <v/>
      </c>
      <c r="AI933" s="129">
        <f t="shared" si="595"/>
        <v/>
      </c>
      <c r="AJ933" s="129">
        <f t="shared" si="596"/>
        <v/>
      </c>
      <c r="AK933" s="129">
        <f t="shared" si="597"/>
        <v/>
      </c>
      <c r="AL933" s="129">
        <f t="shared" si="598"/>
        <v/>
      </c>
      <c r="AM933" s="129">
        <f t="shared" si="599"/>
      </c>
      <c r="AN933" s="129">
        <f t="shared" si="600"/>
      </c>
      <c r="AO933" s="129">
        <f t="shared" si="601"/>
        <v/>
      </c>
      <c r="AP933" s="129">
        <f t="shared" si="602"/>
        <v/>
      </c>
      <c r="AQ933" s="129">
        <f t="shared" si="603"/>
        <v/>
      </c>
      <c r="AR933" s="129">
        <f t="shared" si="604"/>
        <v/>
      </c>
      <c r="AS933" s="129">
        <f t="shared" si="605"/>
        <v/>
      </c>
      <c r="AT933" s="129">
        <f t="shared" si="606"/>
        <v/>
      </c>
      <c r="AU933" s="129">
        <f t="shared" si="607"/>
        <v/>
      </c>
      <c r="AV933" s="129">
        <f t="shared" si="608"/>
        <v/>
      </c>
      <c r="AW933" s="129">
        <f>IF(AV933="","",AV933&amp;"."&amp;COUNTIFS($A$3:A933,A933,$AV$3:AV933,AV933))</f>
        <v/>
      </c>
      <c r="AX933" s="129">
        <f t="shared" si="609"/>
        <v/>
      </c>
      <c r="AY933" s="129">
        <f>IF(N933="б/к",0,IF(OR(ISNUMBER(SEARCH("L=",Разбивка_по_щитам!P933)),N933="+",N933="="),1,0))</f>
      </c>
      <c r="AZ933" s="129">
        <f t="shared" si="610"/>
        <v/>
      </c>
      <c r="BA933" s="129">
        <f t="shared" si="611"/>
      </c>
      <c r="BB933" s="129">
        <f t="shared" si="612"/>
      </c>
      <c r="BD933" s="129">
        <f t="shared" si="613"/>
      </c>
      <c r="BE933" s="129">
        <f t="shared" si="614"/>
      </c>
      <c r="BF933" s="129">
        <f t="shared" si="615"/>
      </c>
      <c r="BG933" s="129">
        <f t="shared" si="616"/>
        <v/>
      </c>
      <c r="BH933" s="129">
        <f t="shared" si="617"/>
        <v/>
      </c>
      <c r="BI933" s="129">
        <f t="shared" si="618"/>
        <v/>
      </c>
      <c r="BJ933" s="129">
        <f t="shared" si="619"/>
        <v/>
      </c>
      <c r="BK933" s="129">
        <f>IF(R933="","",IF(OR(BY933="",BY933=0),"BOX",IFERROR(IF(VLOOKUP(BY933,УГО_блоки,3,FALSE)&amp;""&lt;&gt;"",VLOOKUP(BY933,УГО_блоки,3,FALSE),VLOOKUP(BY933,УГО_блоки,2,FALSE)),BY933)))</f>
      </c>
      <c r="BL933" s="129">
        <f t="shared" si="621"/>
      </c>
      <c r="BM933" s="129">
        <f>IF(H933="","",IF(COUNTIF($H$3:H933,H933)=1,MAX($BM$2:BM932)+1,""))</f>
      </c>
      <c r="BN933" s="129">
        <f>IF(I933="","",IF(COUNTIF($I$3:I933,I933)+COUNTIF($J$2:J932,I933)+COUNTIF($K$2:K932,I933)=1,MAX($BN$2:BP932)+1,""))</f>
      </c>
      <c r="BO933" s="129">
        <f>IF(J933="","",IF(COUNTIF($I$3:I933,J933)+COUNTIF($J$3:J933,J933)+COUNTIF($K$2:K932,J933)=1,MAX($BN$2:BP932,BN933)+1,""))</f>
      </c>
      <c r="BP933" s="129">
        <f>IF(K933="","",IF(COUNTIF($I$3:I933,K933)+COUNTIF($J$3:J933,K933)+COUNTIF($K$3:K933,K933)=1,MAX($BN$2:BP932,BN933,BO933)+1,""))</f>
      </c>
      <c r="BQ933" s="129">
        <f>IF(AY933=1,IFERROR(MID(Q933,FIND(" (",Q933)+2,FIND(")",Q933,FIND(" (",Q933))-FIND(" (",Q933)-2),"?"),"")</f>
      </c>
      <c r="BR933" s="129">
        <f>IF(BQ933="","",IF(COUNTIF($BQ$3:BQ933,BQ933)=1,MAX($BR$2:BR932)+1,""))</f>
      </c>
      <c r="BS933" s="129">
        <f>IF(AW933="","",COUNTIF($AW$3:AW933,"?*"))</f>
      </c>
      <c r="BT933" s="129">
        <f>IF(OR(AW933="",AI933=""),"",IF(COUNTIFS($AW$3:AW933,"?*",$AI$3:AI933,AI933)=1,MAX($BT$2:BT932)+1,""))</f>
      </c>
      <c r="BU933" s="129">
        <f>IF(AE933="",0,IF(OR(ISNUMBER(SEARCH("дубль",AE933)),ISNUMBER(SEARCH("ПЕРЕГРУЗ",AE933)),ISNUMBER(SEARCH("ЗАЩИЩ",AE933)),ISNUMBER(SEARCH("КАНАЛ",AE933)),ISNUMBER(SEARCH("без 30",AE933))),2,1))</f>
      </c>
      <c r="BV933" s="129">
        <f>IF(R933="","",COUNTIF($R$3:R933,"?*"))</f>
      </c>
      <c r="BW933" s="129">
        <f>IF(AY933&lt;&gt;1,0,IF(MAX(IFERROR(--VLOOKUP(R933,УГО_спр,5,FALSE),0),IFERROR(--VLOOKUP(AL933,УГО_спр,5,FALSE),0),IFERROR(--VLOOKUP(LEFT(AL933,2),УГО_спр,5,FALSE),0))&gt;0,MAX(IFERROR(--VLOOKUP(R933,УГО_спр,5,FALSE),0),IFERROR(--VLOOKUP(AL933,УГО_спр,5,FALSE),0),IFERROR(--VLOOKUP(LEFT(AL933,2),УГО_спр,5,FALSE),0)),IF(IFERROR(--LEFT(SUBSTITUTE(BQ933,"x","х"),FIND("х",SUBSTITUTE(BQ933,"x","х"))-1),3)&gt;3,Каталог!$S$9,1)))</f>
      </c>
      <c r="BX933" s="129">
        <f>IF(AY933&lt;&gt;1,0,MAX(0,IFERROR(--LEFT(SUBSTITUTE(BQ933,"x","х"),FIND("х",SUBSTITUTE(BQ933,"x","х"))-1),3)-3*BW933))</f>
      </c>
      <c r="BY933" s="129">
        <f>IF(R933="","",IFERROR(VLOOKUP(R933,УГО_спр,2,FALSE),IFERROR(VLOOKUP(AL933,УГО_спр,2,FALSE),IFERROR(VLOOKUP(LEFT(AL933,2),УГО_спр,2,FALSE),""))))</f>
      </c>
    </row>
    <row r="934" spans="1:64" x14ac:dyDescent="0.3">
      <c r="A934" s="135">
        <f>IF(Разбивка_по_щитам!F934=0,"",Разбивка_по_щитам!F934)</f>
        <v/>
      </c>
      <c r="B934" s="138">
        <f>IF(A934="","",Разбивка_по_щитам!C934)</f>
        <v/>
      </c>
      <c r="C934" s="138">
        <f t="shared" si="582"/>
        <v/>
      </c>
      <c r="D934" s="266"/>
      <c r="E934" s="266"/>
      <c r="F934" s="267"/>
      <c r="G934" s="145">
        <f t="shared" si="583"/>
        <v/>
      </c>
      <c r="H934" s="145">
        <f t="shared" si="584"/>
        <v/>
      </c>
      <c r="I934" s="266"/>
      <c r="J934" s="267"/>
      <c r="K934" s="267"/>
      <c r="L934" s="266"/>
      <c r="M934" s="147">
        <f t="shared" si="585"/>
        <v/>
      </c>
      <c r="N934" s="267"/>
      <c r="O934" s="147">
        <f t="shared" si="586"/>
        <v/>
      </c>
      <c r="P934" s="268">
        <f>IF(AY934=1,"XT"&amp;COUNTIFS($A$3:A934,A934,$AY$3:AY934,1),"")</f>
        <v/>
      </c>
      <c r="Q934" s="152">
        <f>IF(R934="","",IFERROR(SUBSTITUTE(Разбивка_по_щитам!P934,CHAR(10)," "),""))</f>
        <v/>
      </c>
      <c r="R934" s="153">
        <f>IF(OR(Разбивка_по_щитам!H934="",Разбивка_по_щитам!H934=0),"",Разбивка_по_щитам!H934)</f>
        <v/>
      </c>
      <c r="S934" s="154">
        <f>IF(R934="","",IFERROR(Разбивка_по_щитам!J934&amp;"",""))</f>
        <v/>
      </c>
      <c r="T934" s="155">
        <f>IF(R934="","",IFERROR(--Разбивка_по_щитам!L934,""))</f>
        <v/>
      </c>
      <c r="U934" s="155">
        <f>IF(R934="","",IFERROR(--Разбивка_по_щитам!K934,""))</f>
        <v/>
      </c>
      <c r="V934" s="138">
        <f>IF(R934="","",IFERROR(IF(Разбивка_по_щитам!M934=0,"",Разбивка_по_щитам!M934),""))</f>
        <v/>
      </c>
      <c r="W934" s="156">
        <f t="shared" si="587"/>
        <v/>
      </c>
      <c r="X934" s="157">
        <f t="shared" si="588"/>
        <v/>
      </c>
      <c r="Y934" s="266"/>
      <c r="Z934" s="158">
        <f t="shared" si="589"/>
        <v/>
      </c>
      <c r="AA934" s="160">
        <f t="shared" si="590"/>
        <v/>
      </c>
      <c r="AB934" s="160">
        <f>IF(R934="","",IFERROR(LOOKUP(INDEX(Справочная!$I$4:$I$19,MATCH(VLOOKUP(R934,Исходные_данные,22,FALSE),Справочная!$J$4:$J$19,0)+1),{6,10,16,20,25,32,40,50,63,80,100,125}),""))</f>
        <v/>
      </c>
      <c r="AC934" s="160">
        <f t="shared" si="591"/>
        <v/>
      </c>
      <c r="AD934" s="161">
        <f t="shared" si="592"/>
        <v/>
      </c>
      <c r="AE934" s="161">
        <f>IF(AND(R934="",G934=""),"",_xlfn.TEXTJOIN("; ",TRUE,IF(AND(R934&lt;&gt;"",V934=""),"нет фазы",""),IF(AND(R934&lt;&gt;"",N(T934)=0),"нет мощности",""),IF(AND(P934&lt;&gt;"",COUNTIFS($A$3:$A$1000,A934,$P$3:$P$1000,P934)&gt;1),"дубль клеммы "&amp;P934,""),IF(AND(W934&lt;&gt;"",W934&lt;&gt;"ok"),W934,""),IF(X934&lt;&gt;"",X934,""),IF(AND(ISNUMBER(SEARCH("(5х",Q934)),N(AK934)=1),"5 жил на 1 фазе",""),IF(AND(AL934="R",E934&lt;&gt;"",N(AS934)=0),"розетка без 30 мА",""),IF(IFERROR(_xlfn.NUMBERVALUE(MID(Q934,FIND("-",Q934,FIND("L=",Q934))+1,FIND("%",Q934)-FIND("-",Q934,FIND("L=",Q934))-1),","),0)&gt;4,"потери &gt; 4 %","")))</f>
      </c>
      <c r="AF934" s="129">
        <f>IF(E934&lt;&gt;"",COUNTIFS($A$3:A934,A934,$E$3:E934,"?*"),IF(OR(A934&lt;&gt;A933,Y934="вручную"),"",AF933))</f>
        <v/>
      </c>
      <c r="AG934" s="129">
        <f t="shared" si="593"/>
        <v/>
      </c>
      <c r="AH934" s="129">
        <f t="shared" si="594"/>
        <v/>
      </c>
      <c r="AI934" s="129">
        <f t="shared" si="595"/>
        <v/>
      </c>
      <c r="AJ934" s="129">
        <f t="shared" si="596"/>
        <v/>
      </c>
      <c r="AK934" s="129">
        <f t="shared" si="597"/>
        <v/>
      </c>
      <c r="AL934" s="129">
        <f t="shared" si="598"/>
        <v/>
      </c>
      <c r="AM934" s="129">
        <f t="shared" si="599"/>
      </c>
      <c r="AN934" s="129">
        <f t="shared" si="600"/>
      </c>
      <c r="AO934" s="129">
        <f t="shared" si="601"/>
        <v/>
      </c>
      <c r="AP934" s="129">
        <f t="shared" si="602"/>
        <v/>
      </c>
      <c r="AQ934" s="129">
        <f t="shared" si="603"/>
        <v/>
      </c>
      <c r="AR934" s="129">
        <f t="shared" si="604"/>
        <v/>
      </c>
      <c r="AS934" s="129">
        <f t="shared" si="605"/>
        <v/>
      </c>
      <c r="AT934" s="129">
        <f t="shared" si="606"/>
        <v/>
      </c>
      <c r="AU934" s="129">
        <f t="shared" si="607"/>
        <v/>
      </c>
      <c r="AV934" s="129">
        <f t="shared" si="608"/>
        <v/>
      </c>
      <c r="AW934" s="129">
        <f>IF(AV934="","",AV934&amp;"."&amp;COUNTIFS($A$3:A934,A934,$AV$3:AV934,AV934))</f>
        <v/>
      </c>
      <c r="AX934" s="129">
        <f t="shared" si="609"/>
        <v/>
      </c>
      <c r="AY934" s="129">
        <f>IF(N934="б/к",0,IF(OR(ISNUMBER(SEARCH("L=",Разбивка_по_щитам!P934)),N934="+",N934="="),1,0))</f>
      </c>
      <c r="AZ934" s="129">
        <f t="shared" si="610"/>
        <v/>
      </c>
      <c r="BA934" s="129">
        <f t="shared" si="611"/>
      </c>
      <c r="BB934" s="129">
        <f t="shared" si="612"/>
      </c>
      <c r="BD934" s="129">
        <f t="shared" si="613"/>
      </c>
      <c r="BE934" s="129">
        <f t="shared" si="614"/>
      </c>
      <c r="BF934" s="129">
        <f t="shared" si="615"/>
      </c>
      <c r="BG934" s="129">
        <f t="shared" si="616"/>
        <v/>
      </c>
      <c r="BH934" s="129">
        <f t="shared" si="617"/>
        <v/>
      </c>
      <c r="BI934" s="129">
        <f t="shared" si="618"/>
        <v/>
      </c>
      <c r="BJ934" s="129">
        <f t="shared" si="619"/>
        <v/>
      </c>
      <c r="BK934" s="129">
        <f>IF(R934="","",IF(OR(BY934="",BY934=0),"BOX",IFERROR(IF(VLOOKUP(BY934,УГО_блоки,3,FALSE)&amp;""&lt;&gt;"",VLOOKUP(BY934,УГО_блоки,3,FALSE),VLOOKUP(BY934,УГО_блоки,2,FALSE)),BY934)))</f>
      </c>
      <c r="BL934" s="129">
        <f t="shared" si="621"/>
      </c>
      <c r="BM934" s="129">
        <f>IF(H934="","",IF(COUNTIF($H$3:H934,H934)=1,MAX($BM$2:BM933)+1,""))</f>
      </c>
      <c r="BN934" s="129">
        <f>IF(I934="","",IF(COUNTIF($I$3:I934,I934)+COUNTIF($J$2:J933,I934)+COUNTIF($K$2:K933,I934)=1,MAX($BN$2:BP933)+1,""))</f>
      </c>
      <c r="BO934" s="129">
        <f>IF(J934="","",IF(COUNTIF($I$3:I934,J934)+COUNTIF($J$3:J934,J934)+COUNTIF($K$2:K933,J934)=1,MAX($BN$2:BP933,BN934)+1,""))</f>
      </c>
      <c r="BP934" s="129">
        <f>IF(K934="","",IF(COUNTIF($I$3:I934,K934)+COUNTIF($J$3:J934,K934)+COUNTIF($K$3:K934,K934)=1,MAX($BN$2:BP933,BN934,BO934)+1,""))</f>
      </c>
      <c r="BQ934" s="129">
        <f>IF(AY934=1,IFERROR(MID(Q934,FIND(" (",Q934)+2,FIND(")",Q934,FIND(" (",Q934))-FIND(" (",Q934)-2),"?"),"")</f>
      </c>
      <c r="BR934" s="129">
        <f>IF(BQ934="","",IF(COUNTIF($BQ$3:BQ934,BQ934)=1,MAX($BR$2:BR933)+1,""))</f>
      </c>
      <c r="BS934" s="129">
        <f>IF(AW934="","",COUNTIF($AW$3:AW934,"?*"))</f>
      </c>
      <c r="BT934" s="129">
        <f>IF(OR(AW934="",AI934=""),"",IF(COUNTIFS($AW$3:AW934,"?*",$AI$3:AI934,AI934)=1,MAX($BT$2:BT933)+1,""))</f>
      </c>
      <c r="BU934" s="129">
        <f>IF(AE934="",0,IF(OR(ISNUMBER(SEARCH("дубль",AE934)),ISNUMBER(SEARCH("ПЕРЕГРУЗ",AE934)),ISNUMBER(SEARCH("ЗАЩИЩ",AE934)),ISNUMBER(SEARCH("КАНАЛ",AE934)),ISNUMBER(SEARCH("без 30",AE934))),2,1))</f>
      </c>
      <c r="BV934" s="129">
        <f>IF(R934="","",COUNTIF($R$3:R934,"?*"))</f>
      </c>
      <c r="BW934" s="129">
        <f>IF(AY934&lt;&gt;1,0,IF(MAX(IFERROR(--VLOOKUP(R934,УГО_спр,5,FALSE),0),IFERROR(--VLOOKUP(AL934,УГО_спр,5,FALSE),0),IFERROR(--VLOOKUP(LEFT(AL934,2),УГО_спр,5,FALSE),0))&gt;0,MAX(IFERROR(--VLOOKUP(R934,УГО_спр,5,FALSE),0),IFERROR(--VLOOKUP(AL934,УГО_спр,5,FALSE),0),IFERROR(--VLOOKUP(LEFT(AL934,2),УГО_спр,5,FALSE),0)),IF(IFERROR(--LEFT(SUBSTITUTE(BQ934,"x","х"),FIND("х",SUBSTITUTE(BQ934,"x","х"))-1),3)&gt;3,Каталог!$S$9,1)))</f>
      </c>
      <c r="BX934" s="129">
        <f>IF(AY934&lt;&gt;1,0,MAX(0,IFERROR(--LEFT(SUBSTITUTE(BQ934,"x","х"),FIND("х",SUBSTITUTE(BQ934,"x","х"))-1),3)-3*BW934))</f>
      </c>
      <c r="BY934" s="129">
        <f>IF(R934="","",IFERROR(VLOOKUP(R934,УГО_спр,2,FALSE),IFERROR(VLOOKUP(AL934,УГО_спр,2,FALSE),IFERROR(VLOOKUP(LEFT(AL934,2),УГО_спр,2,FALSE),""))))</f>
      </c>
    </row>
    <row r="935" spans="1:64" x14ac:dyDescent="0.3">
      <c r="A935" s="135">
        <f>IF(Разбивка_по_щитам!F935=0,"",Разбивка_по_щитам!F935)</f>
        <v/>
      </c>
      <c r="B935" s="138">
        <f>IF(A935="","",Разбивка_по_щитам!C935)</f>
        <v/>
      </c>
      <c r="C935" s="138">
        <f t="shared" si="582"/>
        <v/>
      </c>
      <c r="D935" s="266"/>
      <c r="E935" s="266"/>
      <c r="F935" s="267"/>
      <c r="G935" s="145">
        <f t="shared" si="583"/>
        <v/>
      </c>
      <c r="H935" s="145">
        <f t="shared" si="584"/>
        <v/>
      </c>
      <c r="I935" s="266"/>
      <c r="J935" s="267"/>
      <c r="K935" s="267"/>
      <c r="L935" s="266"/>
      <c r="M935" s="147">
        <f t="shared" si="585"/>
        <v/>
      </c>
      <c r="N935" s="267"/>
      <c r="O935" s="147">
        <f t="shared" si="586"/>
        <v/>
      </c>
      <c r="P935" s="268">
        <f>IF(AY935=1,"XT"&amp;COUNTIFS($A$3:A935,A935,$AY$3:AY935,1),"")</f>
        <v/>
      </c>
      <c r="Q935" s="152">
        <f>IF(R935="","",IFERROR(SUBSTITUTE(Разбивка_по_щитам!P935,CHAR(10)," "),""))</f>
        <v/>
      </c>
      <c r="R935" s="153">
        <f>IF(OR(Разбивка_по_щитам!H935="",Разбивка_по_щитам!H935=0),"",Разбивка_по_щитам!H935)</f>
        <v/>
      </c>
      <c r="S935" s="154">
        <f>IF(R935="","",IFERROR(Разбивка_по_щитам!J935&amp;"",""))</f>
        <v/>
      </c>
      <c r="T935" s="155">
        <f>IF(R935="","",IFERROR(--Разбивка_по_щитам!L935,""))</f>
        <v/>
      </c>
      <c r="U935" s="155">
        <f>IF(R935="","",IFERROR(--Разбивка_по_щитам!K935,""))</f>
        <v/>
      </c>
      <c r="V935" s="138">
        <f>IF(R935="","",IFERROR(IF(Разбивка_по_щитам!M935=0,"",Разбивка_по_щитам!M935),""))</f>
        <v/>
      </c>
      <c r="W935" s="156">
        <f t="shared" si="587"/>
        <v/>
      </c>
      <c r="X935" s="157">
        <f t="shared" si="588"/>
        <v/>
      </c>
      <c r="Y935" s="266"/>
      <c r="Z935" s="158">
        <f t="shared" si="589"/>
        <v/>
      </c>
      <c r="AA935" s="160">
        <f t="shared" si="590"/>
        <v/>
      </c>
      <c r="AB935" s="160">
        <f>IF(R935="","",IFERROR(LOOKUP(INDEX(Справочная!$I$4:$I$19,MATCH(VLOOKUP(R935,Исходные_данные,22,FALSE),Справочная!$J$4:$J$19,0)+1),{6,10,16,20,25,32,40,50,63,80,100,125}),""))</f>
        <v/>
      </c>
      <c r="AC935" s="160">
        <f t="shared" si="591"/>
        <v/>
      </c>
      <c r="AD935" s="161">
        <f t="shared" si="592"/>
        <v/>
      </c>
      <c r="AE935" s="161">
        <f>IF(AND(R935="",G935=""),"",_xlfn.TEXTJOIN("; ",TRUE,IF(AND(R935&lt;&gt;"",V935=""),"нет фазы",""),IF(AND(R935&lt;&gt;"",N(T935)=0),"нет мощности",""),IF(AND(P935&lt;&gt;"",COUNTIFS($A$3:$A$1000,A935,$P$3:$P$1000,P935)&gt;1),"дубль клеммы "&amp;P935,""),IF(AND(W935&lt;&gt;"",W935&lt;&gt;"ok"),W935,""),IF(X935&lt;&gt;"",X935,""),IF(AND(ISNUMBER(SEARCH("(5х",Q935)),N(AK935)=1),"5 жил на 1 фазе",""),IF(AND(AL935="R",E935&lt;&gt;"",N(AS935)=0),"розетка без 30 мА",""),IF(IFERROR(_xlfn.NUMBERVALUE(MID(Q935,FIND("-",Q935,FIND("L=",Q935))+1,FIND("%",Q935)-FIND("-",Q935,FIND("L=",Q935))-1),","),0)&gt;4,"потери &gt; 4 %","")))</f>
      </c>
      <c r="AF935" s="129">
        <f>IF(E935&lt;&gt;"",COUNTIFS($A$3:A935,A935,$E$3:E935,"?*"),IF(OR(A935&lt;&gt;A934,Y935="вручную"),"",AF934))</f>
        <v/>
      </c>
      <c r="AG935" s="129">
        <f t="shared" si="593"/>
        <v/>
      </c>
      <c r="AH935" s="129">
        <f t="shared" si="594"/>
        <v/>
      </c>
      <c r="AI935" s="129">
        <f t="shared" si="595"/>
        <v/>
      </c>
      <c r="AJ935" s="129">
        <f t="shared" si="596"/>
        <v/>
      </c>
      <c r="AK935" s="129">
        <f t="shared" si="597"/>
        <v/>
      </c>
      <c r="AL935" s="129">
        <f t="shared" si="598"/>
        <v/>
      </c>
      <c r="AM935" s="129">
        <f t="shared" si="599"/>
      </c>
      <c r="AN935" s="129">
        <f t="shared" si="600"/>
      </c>
      <c r="AO935" s="129">
        <f t="shared" si="601"/>
        <v/>
      </c>
      <c r="AP935" s="129">
        <f t="shared" si="602"/>
        <v/>
      </c>
      <c r="AQ935" s="129">
        <f t="shared" si="603"/>
        <v/>
      </c>
      <c r="AR935" s="129">
        <f t="shared" si="604"/>
        <v/>
      </c>
      <c r="AS935" s="129">
        <f t="shared" si="605"/>
        <v/>
      </c>
      <c r="AT935" s="129">
        <f t="shared" si="606"/>
        <v/>
      </c>
      <c r="AU935" s="129">
        <f t="shared" si="607"/>
        <v/>
      </c>
      <c r="AV935" s="129">
        <f t="shared" si="608"/>
        <v/>
      </c>
      <c r="AW935" s="129">
        <f>IF(AV935="","",AV935&amp;"."&amp;COUNTIFS($A$3:A935,A935,$AV$3:AV935,AV935))</f>
        <v/>
      </c>
      <c r="AX935" s="129">
        <f t="shared" si="609"/>
        <v/>
      </c>
      <c r="AY935" s="129">
        <f>IF(N935="б/к",0,IF(OR(ISNUMBER(SEARCH("L=",Разбивка_по_щитам!P935)),N935="+",N935="="),1,0))</f>
      </c>
      <c r="AZ935" s="129">
        <f t="shared" si="610"/>
        <v/>
      </c>
      <c r="BA935" s="129">
        <f t="shared" si="611"/>
      </c>
      <c r="BB935" s="129">
        <f t="shared" si="612"/>
      </c>
      <c r="BD935" s="129">
        <f t="shared" si="613"/>
      </c>
      <c r="BE935" s="129">
        <f t="shared" si="614"/>
      </c>
      <c r="BF935" s="129">
        <f t="shared" si="615"/>
      </c>
      <c r="BG935" s="129">
        <f t="shared" si="616"/>
        <v/>
      </c>
      <c r="BH935" s="129">
        <f t="shared" si="617"/>
        <v/>
      </c>
      <c r="BI935" s="129">
        <f t="shared" si="618"/>
        <v/>
      </c>
      <c r="BJ935" s="129">
        <f t="shared" si="619"/>
        <v/>
      </c>
      <c r="BK935" s="129">
        <f>IF(R935="","",IF(OR(BY935="",BY935=0),"BOX",IFERROR(IF(VLOOKUP(BY935,УГО_блоки,3,FALSE)&amp;""&lt;&gt;"",VLOOKUP(BY935,УГО_блоки,3,FALSE),VLOOKUP(BY935,УГО_блоки,2,FALSE)),BY935)))</f>
      </c>
      <c r="BL935" s="129">
        <f t="shared" si="621"/>
      </c>
      <c r="BM935" s="129">
        <f>IF(H935="","",IF(COUNTIF($H$3:H935,H935)=1,MAX($BM$2:BM934)+1,""))</f>
      </c>
      <c r="BN935" s="129">
        <f>IF(I935="","",IF(COUNTIF($I$3:I935,I935)+COUNTIF($J$2:J934,I935)+COUNTIF($K$2:K934,I935)=1,MAX($BN$2:BP934)+1,""))</f>
      </c>
      <c r="BO935" s="129">
        <f>IF(J935="","",IF(COUNTIF($I$3:I935,J935)+COUNTIF($J$3:J935,J935)+COUNTIF($K$2:K934,J935)=1,MAX($BN$2:BP934,BN935)+1,""))</f>
      </c>
      <c r="BP935" s="129">
        <f>IF(K935="","",IF(COUNTIF($I$3:I935,K935)+COUNTIF($J$3:J935,K935)+COUNTIF($K$3:K935,K935)=1,MAX($BN$2:BP934,BN935,BO935)+1,""))</f>
      </c>
      <c r="BQ935" s="129">
        <f>IF(AY935=1,IFERROR(MID(Q935,FIND(" (",Q935)+2,FIND(")",Q935,FIND(" (",Q935))-FIND(" (",Q935)-2),"?"),"")</f>
      </c>
      <c r="BR935" s="129">
        <f>IF(BQ935="","",IF(COUNTIF($BQ$3:BQ935,BQ935)=1,MAX($BR$2:BR934)+1,""))</f>
      </c>
      <c r="BS935" s="129">
        <f>IF(AW935="","",COUNTIF($AW$3:AW935,"?*"))</f>
      </c>
      <c r="BT935" s="129">
        <f>IF(OR(AW935="",AI935=""),"",IF(COUNTIFS($AW$3:AW935,"?*",$AI$3:AI935,AI935)=1,MAX($BT$2:BT934)+1,""))</f>
      </c>
      <c r="BU935" s="129">
        <f>IF(AE935="",0,IF(OR(ISNUMBER(SEARCH("дубль",AE935)),ISNUMBER(SEARCH("ПЕРЕГРУЗ",AE935)),ISNUMBER(SEARCH("ЗАЩИЩ",AE935)),ISNUMBER(SEARCH("КАНАЛ",AE935)),ISNUMBER(SEARCH("без 30",AE935))),2,1))</f>
      </c>
      <c r="BV935" s="129">
        <f>IF(R935="","",COUNTIF($R$3:R935,"?*"))</f>
      </c>
      <c r="BW935" s="129">
        <f>IF(AY935&lt;&gt;1,0,IF(MAX(IFERROR(--VLOOKUP(R935,УГО_спр,5,FALSE),0),IFERROR(--VLOOKUP(AL935,УГО_спр,5,FALSE),0),IFERROR(--VLOOKUP(LEFT(AL935,2),УГО_спр,5,FALSE),0))&gt;0,MAX(IFERROR(--VLOOKUP(R935,УГО_спр,5,FALSE),0),IFERROR(--VLOOKUP(AL935,УГО_спр,5,FALSE),0),IFERROR(--VLOOKUP(LEFT(AL935,2),УГО_спр,5,FALSE),0)),IF(IFERROR(--LEFT(SUBSTITUTE(BQ935,"x","х"),FIND("х",SUBSTITUTE(BQ935,"x","х"))-1),3)&gt;3,Каталог!$S$9,1)))</f>
      </c>
      <c r="BX935" s="129">
        <f>IF(AY935&lt;&gt;1,0,MAX(0,IFERROR(--LEFT(SUBSTITUTE(BQ935,"x","х"),FIND("х",SUBSTITUTE(BQ935,"x","х"))-1),3)-3*BW935))</f>
      </c>
      <c r="BY935" s="129">
        <f>IF(R935="","",IFERROR(VLOOKUP(R935,УГО_спр,2,FALSE),IFERROR(VLOOKUP(AL935,УГО_спр,2,FALSE),IFERROR(VLOOKUP(LEFT(AL935,2),УГО_спр,2,FALSE),""))))</f>
      </c>
    </row>
    <row r="936" spans="1:64" x14ac:dyDescent="0.3">
      <c r="A936" s="135">
        <f>IF(Разбивка_по_щитам!F936=0,"",Разбивка_по_щитам!F936)</f>
        <v/>
      </c>
      <c r="B936" s="138">
        <f>IF(A936="","",Разбивка_по_щитам!C936)</f>
        <v/>
      </c>
      <c r="C936" s="138">
        <f t="shared" si="582"/>
        <v/>
      </c>
      <c r="D936" s="266"/>
      <c r="E936" s="266"/>
      <c r="F936" s="267"/>
      <c r="G936" s="145">
        <f t="shared" si="583"/>
        <v/>
      </c>
      <c r="H936" s="145">
        <f t="shared" si="584"/>
        <v/>
      </c>
      <c r="I936" s="266"/>
      <c r="J936" s="267"/>
      <c r="K936" s="267"/>
      <c r="L936" s="266"/>
      <c r="M936" s="147">
        <f t="shared" si="585"/>
        <v/>
      </c>
      <c r="N936" s="267"/>
      <c r="O936" s="147">
        <f t="shared" si="586"/>
        <v/>
      </c>
      <c r="P936" s="268">
        <f>IF(AY936=1,"XT"&amp;COUNTIFS($A$3:A936,A936,$AY$3:AY936,1),"")</f>
        <v/>
      </c>
      <c r="Q936" s="152">
        <f>IF(R936="","",IFERROR(SUBSTITUTE(Разбивка_по_щитам!P936,CHAR(10)," "),""))</f>
        <v/>
      </c>
      <c r="R936" s="153">
        <f>IF(OR(Разбивка_по_щитам!H936="",Разбивка_по_щитам!H936=0),"",Разбивка_по_щитам!H936)</f>
        <v/>
      </c>
      <c r="S936" s="154">
        <f>IF(R936="","",IFERROR(Разбивка_по_щитам!J936&amp;"",""))</f>
        <v/>
      </c>
      <c r="T936" s="155">
        <f>IF(R936="","",IFERROR(--Разбивка_по_щитам!L936,""))</f>
        <v/>
      </c>
      <c r="U936" s="155">
        <f>IF(R936="","",IFERROR(--Разбивка_по_щитам!K936,""))</f>
        <v/>
      </c>
      <c r="V936" s="138">
        <f>IF(R936="","",IFERROR(IF(Разбивка_по_щитам!M936=0,"",Разбивка_по_щитам!M936),""))</f>
        <v/>
      </c>
      <c r="W936" s="156">
        <f t="shared" si="587"/>
        <v/>
      </c>
      <c r="X936" s="157">
        <f t="shared" si="588"/>
        <v/>
      </c>
      <c r="Y936" s="266"/>
      <c r="Z936" s="158">
        <f t="shared" si="589"/>
        <v/>
      </c>
      <c r="AA936" s="160">
        <f t="shared" si="590"/>
        <v/>
      </c>
      <c r="AB936" s="160">
        <f>IF(R936="","",IFERROR(LOOKUP(INDEX(Справочная!$I$4:$I$19,MATCH(VLOOKUP(R936,Исходные_данные,22,FALSE),Справочная!$J$4:$J$19,0)+1),{6,10,16,20,25,32,40,50,63,80,100,125}),""))</f>
        <v/>
      </c>
      <c r="AC936" s="160">
        <f t="shared" si="591"/>
        <v/>
      </c>
      <c r="AD936" s="161">
        <f t="shared" si="592"/>
        <v/>
      </c>
      <c r="AE936" s="161">
        <f>IF(AND(R936="",G936=""),"",_xlfn.TEXTJOIN("; ",TRUE,IF(AND(R936&lt;&gt;"",V936=""),"нет фазы",""),IF(AND(R936&lt;&gt;"",N(T936)=0),"нет мощности",""),IF(AND(P936&lt;&gt;"",COUNTIFS($A$3:$A$1000,A936,$P$3:$P$1000,P936)&gt;1),"дубль клеммы "&amp;P936,""),IF(AND(W936&lt;&gt;"",W936&lt;&gt;"ok"),W936,""),IF(X936&lt;&gt;"",X936,""),IF(AND(ISNUMBER(SEARCH("(5х",Q936)),N(AK936)=1),"5 жил на 1 фазе",""),IF(AND(AL936="R",E936&lt;&gt;"",N(AS936)=0),"розетка без 30 мА",""),IF(IFERROR(_xlfn.NUMBERVALUE(MID(Q936,FIND("-",Q936,FIND("L=",Q936))+1,FIND("%",Q936)-FIND("-",Q936,FIND("L=",Q936))-1),","),0)&gt;4,"потери &gt; 4 %","")))</f>
      </c>
      <c r="AF936" s="129">
        <f>IF(E936&lt;&gt;"",COUNTIFS($A$3:A936,A936,$E$3:E936,"?*"),IF(OR(A936&lt;&gt;A935,Y936="вручную"),"",AF935))</f>
        <v/>
      </c>
      <c r="AG936" s="129">
        <f t="shared" si="593"/>
        <v/>
      </c>
      <c r="AH936" s="129">
        <f t="shared" si="594"/>
        <v/>
      </c>
      <c r="AI936" s="129">
        <f t="shared" si="595"/>
        <v/>
      </c>
      <c r="AJ936" s="129">
        <f t="shared" si="596"/>
        <v/>
      </c>
      <c r="AK936" s="129">
        <f t="shared" si="597"/>
        <v/>
      </c>
      <c r="AL936" s="129">
        <f t="shared" si="598"/>
        <v/>
      </c>
      <c r="AM936" s="129">
        <f t="shared" si="599"/>
      </c>
      <c r="AN936" s="129">
        <f t="shared" si="600"/>
      </c>
      <c r="AO936" s="129">
        <f t="shared" si="601"/>
        <v/>
      </c>
      <c r="AP936" s="129">
        <f t="shared" si="602"/>
        <v/>
      </c>
      <c r="AQ936" s="129">
        <f t="shared" si="603"/>
        <v/>
      </c>
      <c r="AR936" s="129">
        <f t="shared" si="604"/>
        <v/>
      </c>
      <c r="AS936" s="129">
        <f t="shared" si="605"/>
        <v/>
      </c>
      <c r="AT936" s="129">
        <f t="shared" si="606"/>
        <v/>
      </c>
      <c r="AU936" s="129">
        <f t="shared" si="607"/>
        <v/>
      </c>
      <c r="AV936" s="129">
        <f t="shared" si="608"/>
        <v/>
      </c>
      <c r="AW936" s="129">
        <f>IF(AV936="","",AV936&amp;"."&amp;COUNTIFS($A$3:A936,A936,$AV$3:AV936,AV936))</f>
        <v/>
      </c>
      <c r="AX936" s="129">
        <f t="shared" si="609"/>
        <v/>
      </c>
      <c r="AY936" s="129">
        <f>IF(N936="б/к",0,IF(OR(ISNUMBER(SEARCH("L=",Разбивка_по_щитам!P936)),N936="+",N936="="),1,0))</f>
      </c>
      <c r="AZ936" s="129">
        <f t="shared" si="610"/>
        <v/>
      </c>
      <c r="BA936" s="129">
        <f t="shared" si="611"/>
      </c>
      <c r="BB936" s="129">
        <f t="shared" si="612"/>
      </c>
      <c r="BD936" s="129">
        <f t="shared" si="613"/>
      </c>
      <c r="BE936" s="129">
        <f t="shared" si="614"/>
      </c>
      <c r="BF936" s="129">
        <f t="shared" si="615"/>
      </c>
      <c r="BG936" s="129">
        <f t="shared" si="616"/>
        <v/>
      </c>
      <c r="BH936" s="129">
        <f t="shared" si="617"/>
        <v/>
      </c>
      <c r="BI936" s="129">
        <f t="shared" si="618"/>
        <v/>
      </c>
      <c r="BJ936" s="129">
        <f t="shared" si="619"/>
        <v/>
      </c>
      <c r="BK936" s="129">
        <f>IF(R936="","",IF(OR(BY936="",BY936=0),"BOX",IFERROR(IF(VLOOKUP(BY936,УГО_блоки,3,FALSE)&amp;""&lt;&gt;"",VLOOKUP(BY936,УГО_блоки,3,FALSE),VLOOKUP(BY936,УГО_блоки,2,FALSE)),BY936)))</f>
      </c>
      <c r="BL936" s="129">
        <f t="shared" si="621"/>
      </c>
      <c r="BM936" s="129">
        <f>IF(H936="","",IF(COUNTIF($H$3:H936,H936)=1,MAX($BM$2:BM935)+1,""))</f>
      </c>
      <c r="BN936" s="129">
        <f>IF(I936="","",IF(COUNTIF($I$3:I936,I936)+COUNTIF($J$2:J935,I936)+COUNTIF($K$2:K935,I936)=1,MAX($BN$2:BP935)+1,""))</f>
      </c>
      <c r="BO936" s="129">
        <f>IF(J936="","",IF(COUNTIF($I$3:I936,J936)+COUNTIF($J$3:J936,J936)+COUNTIF($K$2:K935,J936)=1,MAX($BN$2:BP935,BN936)+1,""))</f>
      </c>
      <c r="BP936" s="129">
        <f>IF(K936="","",IF(COUNTIF($I$3:I936,K936)+COUNTIF($J$3:J936,K936)+COUNTIF($K$3:K936,K936)=1,MAX($BN$2:BP935,BN936,BO936)+1,""))</f>
      </c>
      <c r="BQ936" s="129">
        <f>IF(AY936=1,IFERROR(MID(Q936,FIND(" (",Q936)+2,FIND(")",Q936,FIND(" (",Q936))-FIND(" (",Q936)-2),"?"),"")</f>
      </c>
      <c r="BR936" s="129">
        <f>IF(BQ936="","",IF(COUNTIF($BQ$3:BQ936,BQ936)=1,MAX($BR$2:BR935)+1,""))</f>
      </c>
      <c r="BS936" s="129">
        <f>IF(AW936="","",COUNTIF($AW$3:AW936,"?*"))</f>
      </c>
      <c r="BT936" s="129">
        <f>IF(OR(AW936="",AI936=""),"",IF(COUNTIFS($AW$3:AW936,"?*",$AI$3:AI936,AI936)=1,MAX($BT$2:BT935)+1,""))</f>
      </c>
      <c r="BU936" s="129">
        <f>IF(AE936="",0,IF(OR(ISNUMBER(SEARCH("дубль",AE936)),ISNUMBER(SEARCH("ПЕРЕГРУЗ",AE936)),ISNUMBER(SEARCH("ЗАЩИЩ",AE936)),ISNUMBER(SEARCH("КАНАЛ",AE936)),ISNUMBER(SEARCH("без 30",AE936))),2,1))</f>
      </c>
      <c r="BV936" s="129">
        <f>IF(R936="","",COUNTIF($R$3:R936,"?*"))</f>
      </c>
      <c r="BW936" s="129">
        <f>IF(AY936&lt;&gt;1,0,IF(MAX(IFERROR(--VLOOKUP(R936,УГО_спр,5,FALSE),0),IFERROR(--VLOOKUP(AL936,УГО_спр,5,FALSE),0),IFERROR(--VLOOKUP(LEFT(AL936,2),УГО_спр,5,FALSE),0))&gt;0,MAX(IFERROR(--VLOOKUP(R936,УГО_спр,5,FALSE),0),IFERROR(--VLOOKUP(AL936,УГО_спр,5,FALSE),0),IFERROR(--VLOOKUP(LEFT(AL936,2),УГО_спр,5,FALSE),0)),IF(IFERROR(--LEFT(SUBSTITUTE(BQ936,"x","х"),FIND("х",SUBSTITUTE(BQ936,"x","х"))-1),3)&gt;3,Каталог!$S$9,1)))</f>
      </c>
      <c r="BX936" s="129">
        <f>IF(AY936&lt;&gt;1,0,MAX(0,IFERROR(--LEFT(SUBSTITUTE(BQ936,"x","х"),FIND("х",SUBSTITUTE(BQ936,"x","х"))-1),3)-3*BW936))</f>
      </c>
      <c r="BY936" s="129">
        <f>IF(R936="","",IFERROR(VLOOKUP(R936,УГО_спр,2,FALSE),IFERROR(VLOOKUP(AL936,УГО_спр,2,FALSE),IFERROR(VLOOKUP(LEFT(AL936,2),УГО_спр,2,FALSE),""))))</f>
      </c>
    </row>
    <row r="937" spans="1:64" x14ac:dyDescent="0.3">
      <c r="A937" s="135">
        <f>IF(Разбивка_по_щитам!F937=0,"",Разбивка_по_щитам!F937)</f>
        <v/>
      </c>
      <c r="B937" s="138">
        <f>IF(A937="","",Разбивка_по_щитам!C937)</f>
        <v/>
      </c>
      <c r="C937" s="138">
        <f t="shared" si="582"/>
        <v/>
      </c>
      <c r="D937" s="266"/>
      <c r="E937" s="266"/>
      <c r="F937" s="267"/>
      <c r="G937" s="145">
        <f t="shared" si="583"/>
        <v/>
      </c>
      <c r="H937" s="145">
        <f t="shared" si="584"/>
        <v/>
      </c>
      <c r="I937" s="266"/>
      <c r="J937" s="267"/>
      <c r="K937" s="267"/>
      <c r="L937" s="266"/>
      <c r="M937" s="147">
        <f t="shared" si="585"/>
        <v/>
      </c>
      <c r="N937" s="267"/>
      <c r="O937" s="147">
        <f t="shared" si="586"/>
        <v/>
      </c>
      <c r="P937" s="268">
        <f>IF(AY937=1,"XT"&amp;COUNTIFS($A$3:A937,A937,$AY$3:AY937,1),"")</f>
        <v/>
      </c>
      <c r="Q937" s="152">
        <f>IF(R937="","",IFERROR(SUBSTITUTE(Разбивка_по_щитам!P937,CHAR(10)," "),""))</f>
        <v/>
      </c>
      <c r="R937" s="153">
        <f>IF(OR(Разбивка_по_щитам!H937="",Разбивка_по_щитам!H937=0),"",Разбивка_по_щитам!H937)</f>
        <v/>
      </c>
      <c r="S937" s="154">
        <f>IF(R937="","",IFERROR(Разбивка_по_щитам!J937&amp;"",""))</f>
        <v/>
      </c>
      <c r="T937" s="155">
        <f>IF(R937="","",IFERROR(--Разбивка_по_щитам!L937,""))</f>
        <v/>
      </c>
      <c r="U937" s="155">
        <f>IF(R937="","",IFERROR(--Разбивка_по_щитам!K937,""))</f>
        <v/>
      </c>
      <c r="V937" s="138">
        <f>IF(R937="","",IFERROR(IF(Разбивка_по_щитам!M937=0,"",Разбивка_по_щитам!M937),""))</f>
        <v/>
      </c>
      <c r="W937" s="156">
        <f t="shared" si="587"/>
        <v/>
      </c>
      <c r="X937" s="157">
        <f t="shared" si="588"/>
        <v/>
      </c>
      <c r="Y937" s="266"/>
      <c r="Z937" s="158">
        <f t="shared" si="589"/>
        <v/>
      </c>
      <c r="AA937" s="160">
        <f t="shared" si="590"/>
        <v/>
      </c>
      <c r="AB937" s="160">
        <f>IF(R937="","",IFERROR(LOOKUP(INDEX(Справочная!$I$4:$I$19,MATCH(VLOOKUP(R937,Исходные_данные,22,FALSE),Справочная!$J$4:$J$19,0)+1),{6,10,16,20,25,32,40,50,63,80,100,125}),""))</f>
        <v/>
      </c>
      <c r="AC937" s="160">
        <f t="shared" si="591"/>
        <v/>
      </c>
      <c r="AD937" s="161">
        <f t="shared" si="592"/>
        <v/>
      </c>
      <c r="AE937" s="161">
        <f>IF(AND(R937="",G937=""),"",_xlfn.TEXTJOIN("; ",TRUE,IF(AND(R937&lt;&gt;"",V937=""),"нет фазы",""),IF(AND(R937&lt;&gt;"",N(T937)=0),"нет мощности",""),IF(AND(P937&lt;&gt;"",COUNTIFS($A$3:$A$1000,A937,$P$3:$P$1000,P937)&gt;1),"дубль клеммы "&amp;P937,""),IF(AND(W937&lt;&gt;"",W937&lt;&gt;"ok"),W937,""),IF(X937&lt;&gt;"",X937,""),IF(AND(ISNUMBER(SEARCH("(5х",Q937)),N(AK937)=1),"5 жил на 1 фазе",""),IF(AND(AL937="R",E937&lt;&gt;"",N(AS937)=0),"розетка без 30 мА",""),IF(IFERROR(_xlfn.NUMBERVALUE(MID(Q937,FIND("-",Q937,FIND("L=",Q937))+1,FIND("%",Q937)-FIND("-",Q937,FIND("L=",Q937))-1),","),0)&gt;4,"потери &gt; 4 %","")))</f>
      </c>
      <c r="AF937" s="129">
        <f>IF(E937&lt;&gt;"",COUNTIFS($A$3:A937,A937,$E$3:E937,"?*"),IF(OR(A937&lt;&gt;A936,Y937="вручную"),"",AF936))</f>
        <v/>
      </c>
      <c r="AG937" s="129">
        <f t="shared" si="593"/>
        <v/>
      </c>
      <c r="AH937" s="129">
        <f t="shared" si="594"/>
        <v/>
      </c>
      <c r="AI937" s="129">
        <f t="shared" si="595"/>
        <v/>
      </c>
      <c r="AJ937" s="129">
        <f t="shared" si="596"/>
        <v/>
      </c>
      <c r="AK937" s="129">
        <f t="shared" si="597"/>
        <v/>
      </c>
      <c r="AL937" s="129">
        <f t="shared" si="598"/>
        <v/>
      </c>
      <c r="AM937" s="129">
        <f t="shared" si="599"/>
      </c>
      <c r="AN937" s="129">
        <f t="shared" si="600"/>
      </c>
      <c r="AO937" s="129">
        <f t="shared" si="601"/>
        <v/>
      </c>
      <c r="AP937" s="129">
        <f t="shared" si="602"/>
        <v/>
      </c>
      <c r="AQ937" s="129">
        <f t="shared" si="603"/>
        <v/>
      </c>
      <c r="AR937" s="129">
        <f t="shared" si="604"/>
        <v/>
      </c>
      <c r="AS937" s="129">
        <f t="shared" si="605"/>
        <v/>
      </c>
      <c r="AT937" s="129">
        <f t="shared" si="606"/>
        <v/>
      </c>
      <c r="AU937" s="129">
        <f t="shared" si="607"/>
        <v/>
      </c>
      <c r="AV937" s="129">
        <f t="shared" si="608"/>
        <v/>
      </c>
      <c r="AW937" s="129">
        <f>IF(AV937="","",AV937&amp;"."&amp;COUNTIFS($A$3:A937,A937,$AV$3:AV937,AV937))</f>
        <v/>
      </c>
      <c r="AX937" s="129">
        <f t="shared" si="609"/>
        <v/>
      </c>
      <c r="AY937" s="129">
        <f>IF(N937="б/к",0,IF(OR(ISNUMBER(SEARCH("L=",Разбивка_по_щитам!P937)),N937="+",N937="="),1,0))</f>
      </c>
      <c r="AZ937" s="129">
        <f t="shared" si="610"/>
        <v/>
      </c>
      <c r="BA937" s="129">
        <f t="shared" si="611"/>
      </c>
      <c r="BB937" s="129">
        <f t="shared" si="612"/>
      </c>
      <c r="BD937" s="129">
        <f t="shared" si="613"/>
      </c>
      <c r="BE937" s="129">
        <f t="shared" si="614"/>
      </c>
      <c r="BF937" s="129">
        <f t="shared" si="615"/>
      </c>
      <c r="BG937" s="129">
        <f t="shared" si="616"/>
        <v/>
      </c>
      <c r="BH937" s="129">
        <f t="shared" si="617"/>
        <v/>
      </c>
      <c r="BI937" s="129">
        <f t="shared" si="618"/>
        <v/>
      </c>
      <c r="BJ937" s="129">
        <f t="shared" si="619"/>
        <v/>
      </c>
      <c r="BK937" s="129">
        <f>IF(R937="","",IF(OR(BY937="",BY937=0),"BOX",IFERROR(IF(VLOOKUP(BY937,УГО_блоки,3,FALSE)&amp;""&lt;&gt;"",VLOOKUP(BY937,УГО_блоки,3,FALSE),VLOOKUP(BY937,УГО_блоки,2,FALSE)),BY937)))</f>
      </c>
      <c r="BL937" s="129">
        <f t="shared" si="621"/>
      </c>
      <c r="BM937" s="129">
        <f>IF(H937="","",IF(COUNTIF($H$3:H937,H937)=1,MAX($BM$2:BM936)+1,""))</f>
      </c>
      <c r="BN937" s="129">
        <f>IF(I937="","",IF(COUNTIF($I$3:I937,I937)+COUNTIF($J$2:J936,I937)+COUNTIF($K$2:K936,I937)=1,MAX($BN$2:BP936)+1,""))</f>
      </c>
      <c r="BO937" s="129">
        <f>IF(J937="","",IF(COUNTIF($I$3:I937,J937)+COUNTIF($J$3:J937,J937)+COUNTIF($K$2:K936,J937)=1,MAX($BN$2:BP936,BN937)+1,""))</f>
      </c>
      <c r="BP937" s="129">
        <f>IF(K937="","",IF(COUNTIF($I$3:I937,K937)+COUNTIF($J$3:J937,K937)+COUNTIF($K$3:K937,K937)=1,MAX($BN$2:BP936,BN937,BO937)+1,""))</f>
      </c>
      <c r="BQ937" s="129">
        <f>IF(AY937=1,IFERROR(MID(Q937,FIND(" (",Q937)+2,FIND(")",Q937,FIND(" (",Q937))-FIND(" (",Q937)-2),"?"),"")</f>
      </c>
      <c r="BR937" s="129">
        <f>IF(BQ937="","",IF(COUNTIF($BQ$3:BQ937,BQ937)=1,MAX($BR$2:BR936)+1,""))</f>
      </c>
      <c r="BS937" s="129">
        <f>IF(AW937="","",COUNTIF($AW$3:AW937,"?*"))</f>
      </c>
      <c r="BT937" s="129">
        <f>IF(OR(AW937="",AI937=""),"",IF(COUNTIFS($AW$3:AW937,"?*",$AI$3:AI937,AI937)=1,MAX($BT$2:BT936)+1,""))</f>
      </c>
      <c r="BU937" s="129">
        <f>IF(AE937="",0,IF(OR(ISNUMBER(SEARCH("дубль",AE937)),ISNUMBER(SEARCH("ПЕРЕГРУЗ",AE937)),ISNUMBER(SEARCH("ЗАЩИЩ",AE937)),ISNUMBER(SEARCH("КАНАЛ",AE937)),ISNUMBER(SEARCH("без 30",AE937))),2,1))</f>
      </c>
      <c r="BV937" s="129">
        <f>IF(R937="","",COUNTIF($R$3:R937,"?*"))</f>
      </c>
      <c r="BW937" s="129">
        <f>IF(AY937&lt;&gt;1,0,IF(MAX(IFERROR(--VLOOKUP(R937,УГО_спр,5,FALSE),0),IFERROR(--VLOOKUP(AL937,УГО_спр,5,FALSE),0),IFERROR(--VLOOKUP(LEFT(AL937,2),УГО_спр,5,FALSE),0))&gt;0,MAX(IFERROR(--VLOOKUP(R937,УГО_спр,5,FALSE),0),IFERROR(--VLOOKUP(AL937,УГО_спр,5,FALSE),0),IFERROR(--VLOOKUP(LEFT(AL937,2),УГО_спр,5,FALSE),0)),IF(IFERROR(--LEFT(SUBSTITUTE(BQ937,"x","х"),FIND("х",SUBSTITUTE(BQ937,"x","х"))-1),3)&gt;3,Каталог!$S$9,1)))</f>
      </c>
      <c r="BX937" s="129">
        <f>IF(AY937&lt;&gt;1,0,MAX(0,IFERROR(--LEFT(SUBSTITUTE(BQ937,"x","х"),FIND("х",SUBSTITUTE(BQ937,"x","х"))-1),3)-3*BW937))</f>
      </c>
      <c r="BY937" s="129">
        <f>IF(R937="","",IFERROR(VLOOKUP(R937,УГО_спр,2,FALSE),IFERROR(VLOOKUP(AL937,УГО_спр,2,FALSE),IFERROR(VLOOKUP(LEFT(AL937,2),УГО_спр,2,FALSE),""))))</f>
      </c>
    </row>
    <row r="938" spans="1:64" x14ac:dyDescent="0.3">
      <c r="A938" s="135">
        <f>IF(Разбивка_по_щитам!F938=0,"",Разбивка_по_щитам!F938)</f>
        <v/>
      </c>
      <c r="B938" s="138">
        <f>IF(A938="","",Разбивка_по_щитам!C938)</f>
        <v/>
      </c>
      <c r="C938" s="138">
        <f t="shared" si="582"/>
        <v/>
      </c>
      <c r="D938" s="266"/>
      <c r="E938" s="266"/>
      <c r="F938" s="267"/>
      <c r="G938" s="145">
        <f t="shared" si="583"/>
        <v/>
      </c>
      <c r="H938" s="145">
        <f t="shared" si="584"/>
        <v/>
      </c>
      <c r="I938" s="266"/>
      <c r="J938" s="267"/>
      <c r="K938" s="267"/>
      <c r="L938" s="266"/>
      <c r="M938" s="147">
        <f t="shared" si="585"/>
        <v/>
      </c>
      <c r="N938" s="267"/>
      <c r="O938" s="147">
        <f t="shared" si="586"/>
        <v/>
      </c>
      <c r="P938" s="268">
        <f>IF(AY938=1,"XT"&amp;COUNTIFS($A$3:A938,A938,$AY$3:AY938,1),"")</f>
        <v/>
      </c>
      <c r="Q938" s="152">
        <f>IF(R938="","",IFERROR(SUBSTITUTE(Разбивка_по_щитам!P938,CHAR(10)," "),""))</f>
        <v/>
      </c>
      <c r="R938" s="153">
        <f>IF(OR(Разбивка_по_щитам!H938="",Разбивка_по_щитам!H938=0),"",Разбивка_по_щитам!H938)</f>
        <v/>
      </c>
      <c r="S938" s="154">
        <f>IF(R938="","",IFERROR(Разбивка_по_щитам!J938&amp;"",""))</f>
        <v/>
      </c>
      <c r="T938" s="155">
        <f>IF(R938="","",IFERROR(--Разбивка_по_щитам!L938,""))</f>
        <v/>
      </c>
      <c r="U938" s="155">
        <f>IF(R938="","",IFERROR(--Разбивка_по_щитам!K938,""))</f>
        <v/>
      </c>
      <c r="V938" s="138">
        <f>IF(R938="","",IFERROR(IF(Разбивка_по_щитам!M938=0,"",Разбивка_по_щитам!M938),""))</f>
        <v/>
      </c>
      <c r="W938" s="156">
        <f t="shared" si="587"/>
        <v/>
      </c>
      <c r="X938" s="157">
        <f t="shared" si="588"/>
        <v/>
      </c>
      <c r="Y938" s="266"/>
      <c r="Z938" s="158">
        <f t="shared" si="589"/>
        <v/>
      </c>
      <c r="AA938" s="160">
        <f t="shared" si="590"/>
        <v/>
      </c>
      <c r="AB938" s="160">
        <f>IF(R938="","",IFERROR(LOOKUP(INDEX(Справочная!$I$4:$I$19,MATCH(VLOOKUP(R938,Исходные_данные,22,FALSE),Справочная!$J$4:$J$19,0)+1),{6,10,16,20,25,32,40,50,63,80,100,125}),""))</f>
        <v/>
      </c>
      <c r="AC938" s="160">
        <f t="shared" si="591"/>
        <v/>
      </c>
      <c r="AD938" s="161">
        <f t="shared" si="592"/>
        <v/>
      </c>
      <c r="AE938" s="161">
        <f>IF(AND(R938="",G938=""),"",_xlfn.TEXTJOIN("; ",TRUE,IF(AND(R938&lt;&gt;"",V938=""),"нет фазы",""),IF(AND(R938&lt;&gt;"",N(T938)=0),"нет мощности",""),IF(AND(P938&lt;&gt;"",COUNTIFS($A$3:$A$1000,A938,$P$3:$P$1000,P938)&gt;1),"дубль клеммы "&amp;P938,""),IF(AND(W938&lt;&gt;"",W938&lt;&gt;"ok"),W938,""),IF(X938&lt;&gt;"",X938,""),IF(AND(ISNUMBER(SEARCH("(5х",Q938)),N(AK938)=1),"5 жил на 1 фазе",""),IF(AND(AL938="R",E938&lt;&gt;"",N(AS938)=0),"розетка без 30 мА",""),IF(IFERROR(_xlfn.NUMBERVALUE(MID(Q938,FIND("-",Q938,FIND("L=",Q938))+1,FIND("%",Q938)-FIND("-",Q938,FIND("L=",Q938))-1),","),0)&gt;4,"потери &gt; 4 %","")))</f>
      </c>
      <c r="AF938" s="129">
        <f>IF(E938&lt;&gt;"",COUNTIFS($A$3:A938,A938,$E$3:E938,"?*"),IF(OR(A938&lt;&gt;A937,Y938="вручную"),"",AF937))</f>
        <v/>
      </c>
      <c r="AG938" s="129">
        <f t="shared" si="593"/>
        <v/>
      </c>
      <c r="AH938" s="129">
        <f t="shared" si="594"/>
        <v/>
      </c>
      <c r="AI938" s="129">
        <f t="shared" si="595"/>
        <v/>
      </c>
      <c r="AJ938" s="129">
        <f t="shared" si="596"/>
        <v/>
      </c>
      <c r="AK938" s="129">
        <f t="shared" si="597"/>
        <v/>
      </c>
      <c r="AL938" s="129">
        <f t="shared" si="598"/>
        <v/>
      </c>
      <c r="AM938" s="129">
        <f t="shared" si="599"/>
      </c>
      <c r="AN938" s="129">
        <f t="shared" si="600"/>
      </c>
      <c r="AO938" s="129">
        <f t="shared" si="601"/>
        <v/>
      </c>
      <c r="AP938" s="129">
        <f t="shared" si="602"/>
        <v/>
      </c>
      <c r="AQ938" s="129">
        <f t="shared" si="603"/>
        <v/>
      </c>
      <c r="AR938" s="129">
        <f t="shared" si="604"/>
        <v/>
      </c>
      <c r="AS938" s="129">
        <f t="shared" si="605"/>
        <v/>
      </c>
      <c r="AT938" s="129">
        <f t="shared" si="606"/>
        <v/>
      </c>
      <c r="AU938" s="129">
        <f t="shared" si="607"/>
        <v/>
      </c>
      <c r="AV938" s="129">
        <f t="shared" si="608"/>
        <v/>
      </c>
      <c r="AW938" s="129">
        <f>IF(AV938="","",AV938&amp;"."&amp;COUNTIFS($A$3:A938,A938,$AV$3:AV938,AV938))</f>
        <v/>
      </c>
      <c r="AX938" s="129">
        <f t="shared" si="609"/>
        <v/>
      </c>
      <c r="AY938" s="129">
        <f>IF(N938="б/к",0,IF(OR(ISNUMBER(SEARCH("L=",Разбивка_по_щитам!P938)),N938="+",N938="="),1,0))</f>
      </c>
      <c r="AZ938" s="129">
        <f t="shared" si="610"/>
        <v/>
      </c>
      <c r="BA938" s="129">
        <f t="shared" si="611"/>
      </c>
      <c r="BB938" s="129">
        <f t="shared" si="612"/>
      </c>
      <c r="BD938" s="129">
        <f t="shared" si="613"/>
      </c>
      <c r="BE938" s="129">
        <f t="shared" si="614"/>
      </c>
      <c r="BF938" s="129">
        <f t="shared" si="615"/>
      </c>
      <c r="BG938" s="129">
        <f t="shared" si="616"/>
        <v/>
      </c>
      <c r="BH938" s="129">
        <f t="shared" si="617"/>
        <v/>
      </c>
      <c r="BI938" s="129">
        <f t="shared" si="618"/>
        <v/>
      </c>
      <c r="BJ938" s="129">
        <f t="shared" si="619"/>
        <v/>
      </c>
      <c r="BK938" s="129">
        <f>IF(R938="","",IF(OR(BY938="",BY938=0),"BOX",IFERROR(IF(VLOOKUP(BY938,УГО_блоки,3,FALSE)&amp;""&lt;&gt;"",VLOOKUP(BY938,УГО_блоки,3,FALSE),VLOOKUP(BY938,УГО_блоки,2,FALSE)),BY938)))</f>
      </c>
      <c r="BL938" s="129">
        <f t="shared" si="621"/>
      </c>
      <c r="BM938" s="129">
        <f>IF(H938="","",IF(COUNTIF($H$3:H938,H938)=1,MAX($BM$2:BM937)+1,""))</f>
      </c>
      <c r="BN938" s="129">
        <f>IF(I938="","",IF(COUNTIF($I$3:I938,I938)+COUNTIF($J$2:J937,I938)+COUNTIF($K$2:K937,I938)=1,MAX($BN$2:BP937)+1,""))</f>
      </c>
      <c r="BO938" s="129">
        <f>IF(J938="","",IF(COUNTIF($I$3:I938,J938)+COUNTIF($J$3:J938,J938)+COUNTIF($K$2:K937,J938)=1,MAX($BN$2:BP937,BN938)+1,""))</f>
      </c>
      <c r="BP938" s="129">
        <f>IF(K938="","",IF(COUNTIF($I$3:I938,K938)+COUNTIF($J$3:J938,K938)+COUNTIF($K$3:K938,K938)=1,MAX($BN$2:BP937,BN938,BO938)+1,""))</f>
      </c>
      <c r="BQ938" s="129">
        <f>IF(AY938=1,IFERROR(MID(Q938,FIND(" (",Q938)+2,FIND(")",Q938,FIND(" (",Q938))-FIND(" (",Q938)-2),"?"),"")</f>
      </c>
      <c r="BR938" s="129">
        <f>IF(BQ938="","",IF(COUNTIF($BQ$3:BQ938,BQ938)=1,MAX($BR$2:BR937)+1,""))</f>
      </c>
      <c r="BS938" s="129">
        <f>IF(AW938="","",COUNTIF($AW$3:AW938,"?*"))</f>
      </c>
      <c r="BT938" s="129">
        <f>IF(OR(AW938="",AI938=""),"",IF(COUNTIFS($AW$3:AW938,"?*",$AI$3:AI938,AI938)=1,MAX($BT$2:BT937)+1,""))</f>
      </c>
      <c r="BU938" s="129">
        <f>IF(AE938="",0,IF(OR(ISNUMBER(SEARCH("дубль",AE938)),ISNUMBER(SEARCH("ПЕРЕГРУЗ",AE938)),ISNUMBER(SEARCH("ЗАЩИЩ",AE938)),ISNUMBER(SEARCH("КАНАЛ",AE938)),ISNUMBER(SEARCH("без 30",AE938))),2,1))</f>
      </c>
      <c r="BV938" s="129">
        <f>IF(R938="","",COUNTIF($R$3:R938,"?*"))</f>
      </c>
      <c r="BW938" s="129">
        <f>IF(AY938&lt;&gt;1,0,IF(MAX(IFERROR(--VLOOKUP(R938,УГО_спр,5,FALSE),0),IFERROR(--VLOOKUP(AL938,УГО_спр,5,FALSE),0),IFERROR(--VLOOKUP(LEFT(AL938,2),УГО_спр,5,FALSE),0))&gt;0,MAX(IFERROR(--VLOOKUP(R938,УГО_спр,5,FALSE),0),IFERROR(--VLOOKUP(AL938,УГО_спр,5,FALSE),0),IFERROR(--VLOOKUP(LEFT(AL938,2),УГО_спр,5,FALSE),0)),IF(IFERROR(--LEFT(SUBSTITUTE(BQ938,"x","х"),FIND("х",SUBSTITUTE(BQ938,"x","х"))-1),3)&gt;3,Каталог!$S$9,1)))</f>
      </c>
      <c r="BX938" s="129">
        <f>IF(AY938&lt;&gt;1,0,MAX(0,IFERROR(--LEFT(SUBSTITUTE(BQ938,"x","х"),FIND("х",SUBSTITUTE(BQ938,"x","х"))-1),3)-3*BW938))</f>
      </c>
      <c r="BY938" s="129">
        <f>IF(R938="","",IFERROR(VLOOKUP(R938,УГО_спр,2,FALSE),IFERROR(VLOOKUP(AL938,УГО_спр,2,FALSE),IFERROR(VLOOKUP(LEFT(AL938,2),УГО_спр,2,FALSE),""))))</f>
      </c>
    </row>
    <row r="939" spans="1:64" x14ac:dyDescent="0.3">
      <c r="A939" s="135">
        <f>IF(Разбивка_по_щитам!F939=0,"",Разбивка_по_щитам!F939)</f>
        <v/>
      </c>
      <c r="B939" s="138">
        <f>IF(A939="","",Разбивка_по_щитам!C939)</f>
        <v/>
      </c>
      <c r="C939" s="138">
        <f t="shared" si="582"/>
        <v/>
      </c>
      <c r="D939" s="266"/>
      <c r="E939" s="266"/>
      <c r="F939" s="267"/>
      <c r="G939" s="145">
        <f t="shared" si="583"/>
        <v/>
      </c>
      <c r="H939" s="145">
        <f t="shared" si="584"/>
        <v/>
      </c>
      <c r="I939" s="266"/>
      <c r="J939" s="267"/>
      <c r="K939" s="267"/>
      <c r="L939" s="266"/>
      <c r="M939" s="147">
        <f t="shared" si="585"/>
        <v/>
      </c>
      <c r="N939" s="267"/>
      <c r="O939" s="147">
        <f t="shared" si="586"/>
        <v/>
      </c>
      <c r="P939" s="268">
        <f>IF(AY939=1,"XT"&amp;COUNTIFS($A$3:A939,A939,$AY$3:AY939,1),"")</f>
        <v/>
      </c>
      <c r="Q939" s="152">
        <f>IF(R939="","",IFERROR(SUBSTITUTE(Разбивка_по_щитам!P939,CHAR(10)," "),""))</f>
        <v/>
      </c>
      <c r="R939" s="153">
        <f>IF(OR(Разбивка_по_щитам!H939="",Разбивка_по_щитам!H939=0),"",Разбивка_по_щитам!H939)</f>
        <v/>
      </c>
      <c r="S939" s="154">
        <f>IF(R939="","",IFERROR(Разбивка_по_щитам!J939&amp;"",""))</f>
        <v/>
      </c>
      <c r="T939" s="155">
        <f>IF(R939="","",IFERROR(--Разбивка_по_щитам!L939,""))</f>
        <v/>
      </c>
      <c r="U939" s="155">
        <f>IF(R939="","",IFERROR(--Разбивка_по_щитам!K939,""))</f>
        <v/>
      </c>
      <c r="V939" s="138">
        <f>IF(R939="","",IFERROR(IF(Разбивка_по_щитам!M939=0,"",Разбивка_по_щитам!M939),""))</f>
        <v/>
      </c>
      <c r="W939" s="156">
        <f t="shared" si="587"/>
        <v/>
      </c>
      <c r="X939" s="157">
        <f t="shared" si="588"/>
        <v/>
      </c>
      <c r="Y939" s="266"/>
      <c r="Z939" s="158">
        <f t="shared" si="589"/>
        <v/>
      </c>
      <c r="AA939" s="160">
        <f t="shared" si="590"/>
        <v/>
      </c>
      <c r="AB939" s="160">
        <f>IF(R939="","",IFERROR(LOOKUP(INDEX(Справочная!$I$4:$I$19,MATCH(VLOOKUP(R939,Исходные_данные,22,FALSE),Справочная!$J$4:$J$19,0)+1),{6,10,16,20,25,32,40,50,63,80,100,125}),""))</f>
        <v/>
      </c>
      <c r="AC939" s="160">
        <f t="shared" si="591"/>
        <v/>
      </c>
      <c r="AD939" s="161">
        <f t="shared" si="592"/>
        <v/>
      </c>
      <c r="AE939" s="161">
        <f>IF(AND(R939="",G939=""),"",_xlfn.TEXTJOIN("; ",TRUE,IF(AND(R939&lt;&gt;"",V939=""),"нет фазы",""),IF(AND(R939&lt;&gt;"",N(T939)=0),"нет мощности",""),IF(AND(P939&lt;&gt;"",COUNTIFS($A$3:$A$1000,A939,$P$3:$P$1000,P939)&gt;1),"дубль клеммы "&amp;P939,""),IF(AND(W939&lt;&gt;"",W939&lt;&gt;"ok"),W939,""),IF(X939&lt;&gt;"",X939,""),IF(AND(ISNUMBER(SEARCH("(5х",Q939)),N(AK939)=1),"5 жил на 1 фазе",""),IF(AND(AL939="R",E939&lt;&gt;"",N(AS939)=0),"розетка без 30 мА",""),IF(IFERROR(_xlfn.NUMBERVALUE(MID(Q939,FIND("-",Q939,FIND("L=",Q939))+1,FIND("%",Q939)-FIND("-",Q939,FIND("L=",Q939))-1),","),0)&gt;4,"потери &gt; 4 %","")))</f>
      </c>
      <c r="AF939" s="129">
        <f>IF(E939&lt;&gt;"",COUNTIFS($A$3:A939,A939,$E$3:E939,"?*"),IF(OR(A939&lt;&gt;A938,Y939="вручную"),"",AF938))</f>
        <v/>
      </c>
      <c r="AG939" s="129">
        <f t="shared" si="593"/>
        <v/>
      </c>
      <c r="AH939" s="129">
        <f t="shared" si="594"/>
        <v/>
      </c>
      <c r="AI939" s="129">
        <f t="shared" si="595"/>
        <v/>
      </c>
      <c r="AJ939" s="129">
        <f t="shared" si="596"/>
        <v/>
      </c>
      <c r="AK939" s="129">
        <f t="shared" si="597"/>
        <v/>
      </c>
      <c r="AL939" s="129">
        <f t="shared" si="598"/>
        <v/>
      </c>
      <c r="AM939" s="129">
        <f t="shared" si="599"/>
      </c>
      <c r="AN939" s="129">
        <f t="shared" si="600"/>
      </c>
      <c r="AO939" s="129">
        <f t="shared" si="601"/>
        <v/>
      </c>
      <c r="AP939" s="129">
        <f t="shared" si="602"/>
        <v/>
      </c>
      <c r="AQ939" s="129">
        <f t="shared" si="603"/>
        <v/>
      </c>
      <c r="AR939" s="129">
        <f t="shared" si="604"/>
        <v/>
      </c>
      <c r="AS939" s="129">
        <f t="shared" si="605"/>
        <v/>
      </c>
      <c r="AT939" s="129">
        <f t="shared" si="606"/>
        <v/>
      </c>
      <c r="AU939" s="129">
        <f t="shared" si="607"/>
        <v/>
      </c>
      <c r="AV939" s="129">
        <f t="shared" si="608"/>
        <v/>
      </c>
      <c r="AW939" s="129">
        <f>IF(AV939="","",AV939&amp;"."&amp;COUNTIFS($A$3:A939,A939,$AV$3:AV939,AV939))</f>
        <v/>
      </c>
      <c r="AX939" s="129">
        <f t="shared" si="609"/>
        <v/>
      </c>
      <c r="AY939" s="129">
        <f>IF(N939="б/к",0,IF(OR(ISNUMBER(SEARCH("L=",Разбивка_по_щитам!P939)),N939="+",N939="="),1,0))</f>
      </c>
      <c r="AZ939" s="129">
        <f t="shared" si="610"/>
        <v/>
      </c>
      <c r="BA939" s="129">
        <f t="shared" si="611"/>
      </c>
      <c r="BB939" s="129">
        <f t="shared" si="612"/>
      </c>
      <c r="BD939" s="129">
        <f t="shared" si="613"/>
      </c>
      <c r="BE939" s="129">
        <f t="shared" si="614"/>
      </c>
      <c r="BF939" s="129">
        <f t="shared" si="615"/>
      </c>
      <c r="BG939" s="129">
        <f t="shared" si="616"/>
        <v/>
      </c>
      <c r="BH939" s="129">
        <f t="shared" si="617"/>
        <v/>
      </c>
      <c r="BI939" s="129">
        <f t="shared" si="618"/>
        <v/>
      </c>
      <c r="BJ939" s="129">
        <f t="shared" si="619"/>
        <v/>
      </c>
      <c r="BK939" s="129">
        <f>IF(R939="","",IF(OR(BY939="",BY939=0),"BOX",IFERROR(IF(VLOOKUP(BY939,УГО_блоки,3,FALSE)&amp;""&lt;&gt;"",VLOOKUP(BY939,УГО_блоки,3,FALSE),VLOOKUP(BY939,УГО_блоки,2,FALSE)),BY939)))</f>
      </c>
      <c r="BL939" s="129">
        <f t="shared" si="621"/>
      </c>
      <c r="BM939" s="129">
        <f>IF(H939="","",IF(COUNTIF($H$3:H939,H939)=1,MAX($BM$2:BM938)+1,""))</f>
      </c>
      <c r="BN939" s="129">
        <f>IF(I939="","",IF(COUNTIF($I$3:I939,I939)+COUNTIF($J$2:J938,I939)+COUNTIF($K$2:K938,I939)=1,MAX($BN$2:BP938)+1,""))</f>
      </c>
      <c r="BO939" s="129">
        <f>IF(J939="","",IF(COUNTIF($I$3:I939,J939)+COUNTIF($J$3:J939,J939)+COUNTIF($K$2:K938,J939)=1,MAX($BN$2:BP938,BN939)+1,""))</f>
      </c>
      <c r="BP939" s="129">
        <f>IF(K939="","",IF(COUNTIF($I$3:I939,K939)+COUNTIF($J$3:J939,K939)+COUNTIF($K$3:K939,K939)=1,MAX($BN$2:BP938,BN939,BO939)+1,""))</f>
      </c>
      <c r="BQ939" s="129">
        <f>IF(AY939=1,IFERROR(MID(Q939,FIND(" (",Q939)+2,FIND(")",Q939,FIND(" (",Q939))-FIND(" (",Q939)-2),"?"),"")</f>
      </c>
      <c r="BR939" s="129">
        <f>IF(BQ939="","",IF(COUNTIF($BQ$3:BQ939,BQ939)=1,MAX($BR$2:BR938)+1,""))</f>
      </c>
      <c r="BS939" s="129">
        <f>IF(AW939="","",COUNTIF($AW$3:AW939,"?*"))</f>
      </c>
      <c r="BT939" s="129">
        <f>IF(OR(AW939="",AI939=""),"",IF(COUNTIFS($AW$3:AW939,"?*",$AI$3:AI939,AI939)=1,MAX($BT$2:BT938)+1,""))</f>
      </c>
      <c r="BU939" s="129">
        <f>IF(AE939="",0,IF(OR(ISNUMBER(SEARCH("дубль",AE939)),ISNUMBER(SEARCH("ПЕРЕГРУЗ",AE939)),ISNUMBER(SEARCH("ЗАЩИЩ",AE939)),ISNUMBER(SEARCH("КАНАЛ",AE939)),ISNUMBER(SEARCH("без 30",AE939))),2,1))</f>
      </c>
      <c r="BV939" s="129">
        <f>IF(R939="","",COUNTIF($R$3:R939,"?*"))</f>
      </c>
      <c r="BW939" s="129">
        <f>IF(AY939&lt;&gt;1,0,IF(MAX(IFERROR(--VLOOKUP(R939,УГО_спр,5,FALSE),0),IFERROR(--VLOOKUP(AL939,УГО_спр,5,FALSE),0),IFERROR(--VLOOKUP(LEFT(AL939,2),УГО_спр,5,FALSE),0))&gt;0,MAX(IFERROR(--VLOOKUP(R939,УГО_спр,5,FALSE),0),IFERROR(--VLOOKUP(AL939,УГО_спр,5,FALSE),0),IFERROR(--VLOOKUP(LEFT(AL939,2),УГО_спр,5,FALSE),0)),IF(IFERROR(--LEFT(SUBSTITUTE(BQ939,"x","х"),FIND("х",SUBSTITUTE(BQ939,"x","х"))-1),3)&gt;3,Каталог!$S$9,1)))</f>
      </c>
      <c r="BX939" s="129">
        <f>IF(AY939&lt;&gt;1,0,MAX(0,IFERROR(--LEFT(SUBSTITUTE(BQ939,"x","х"),FIND("х",SUBSTITUTE(BQ939,"x","х"))-1),3)-3*BW939))</f>
      </c>
      <c r="BY939" s="129">
        <f>IF(R939="","",IFERROR(VLOOKUP(R939,УГО_спр,2,FALSE),IFERROR(VLOOKUP(AL939,УГО_спр,2,FALSE),IFERROR(VLOOKUP(LEFT(AL939,2),УГО_спр,2,FALSE),""))))</f>
      </c>
    </row>
    <row r="940" spans="1:64" x14ac:dyDescent="0.3">
      <c r="A940" s="135">
        <f>IF(Разбивка_по_щитам!F940=0,"",Разбивка_по_щитам!F940)</f>
        <v/>
      </c>
      <c r="B940" s="138">
        <f>IF(A940="","",Разбивка_по_щитам!C940)</f>
        <v/>
      </c>
      <c r="C940" s="138">
        <f t="shared" si="582"/>
        <v/>
      </c>
      <c r="D940" s="266"/>
      <c r="E940" s="266"/>
      <c r="F940" s="267"/>
      <c r="G940" s="145">
        <f t="shared" si="583"/>
        <v/>
      </c>
      <c r="H940" s="145">
        <f t="shared" si="584"/>
        <v/>
      </c>
      <c r="I940" s="266"/>
      <c r="J940" s="267"/>
      <c r="K940" s="267"/>
      <c r="L940" s="266"/>
      <c r="M940" s="147">
        <f t="shared" si="585"/>
        <v/>
      </c>
      <c r="N940" s="267"/>
      <c r="O940" s="147">
        <f t="shared" si="586"/>
        <v/>
      </c>
      <c r="P940" s="268">
        <f>IF(AY940=1,"XT"&amp;COUNTIFS($A$3:A940,A940,$AY$3:AY940,1),"")</f>
        <v/>
      </c>
      <c r="Q940" s="152">
        <f>IF(R940="","",IFERROR(SUBSTITUTE(Разбивка_по_щитам!P940,CHAR(10)," "),""))</f>
        <v/>
      </c>
      <c r="R940" s="153">
        <f>IF(OR(Разбивка_по_щитам!H940="",Разбивка_по_щитам!H940=0),"",Разбивка_по_щитам!H940)</f>
        <v/>
      </c>
      <c r="S940" s="154">
        <f>IF(R940="","",IFERROR(Разбивка_по_щитам!J940&amp;"",""))</f>
        <v/>
      </c>
      <c r="T940" s="155">
        <f>IF(R940="","",IFERROR(--Разбивка_по_щитам!L940,""))</f>
        <v/>
      </c>
      <c r="U940" s="155">
        <f>IF(R940="","",IFERROR(--Разбивка_по_щитам!K940,""))</f>
        <v/>
      </c>
      <c r="V940" s="138">
        <f>IF(R940="","",IFERROR(IF(Разбивка_по_щитам!M940=0,"",Разбивка_по_щитам!M940),""))</f>
        <v/>
      </c>
      <c r="W940" s="156">
        <f t="shared" si="587"/>
        <v/>
      </c>
      <c r="X940" s="157">
        <f t="shared" si="588"/>
        <v/>
      </c>
      <c r="Y940" s="266"/>
      <c r="Z940" s="158">
        <f t="shared" si="589"/>
        <v/>
      </c>
      <c r="AA940" s="160">
        <f t="shared" si="590"/>
        <v/>
      </c>
      <c r="AB940" s="160">
        <f>IF(R940="","",IFERROR(LOOKUP(INDEX(Справочная!$I$4:$I$19,MATCH(VLOOKUP(R940,Исходные_данные,22,FALSE),Справочная!$J$4:$J$19,0)+1),{6,10,16,20,25,32,40,50,63,80,100,125}),""))</f>
        <v/>
      </c>
      <c r="AC940" s="160">
        <f t="shared" si="591"/>
        <v/>
      </c>
      <c r="AD940" s="161">
        <f t="shared" si="592"/>
        <v/>
      </c>
      <c r="AE940" s="161">
        <f>IF(AND(R940="",G940=""),"",_xlfn.TEXTJOIN("; ",TRUE,IF(AND(R940&lt;&gt;"",V940=""),"нет фазы",""),IF(AND(R940&lt;&gt;"",N(T940)=0),"нет мощности",""),IF(AND(P940&lt;&gt;"",COUNTIFS($A$3:$A$1000,A940,$P$3:$P$1000,P940)&gt;1),"дубль клеммы "&amp;P940,""),IF(AND(W940&lt;&gt;"",W940&lt;&gt;"ok"),W940,""),IF(X940&lt;&gt;"",X940,""),IF(AND(ISNUMBER(SEARCH("(5х",Q940)),N(AK940)=1),"5 жил на 1 фазе",""),IF(AND(AL940="R",E940&lt;&gt;"",N(AS940)=0),"розетка без 30 мА",""),IF(IFERROR(_xlfn.NUMBERVALUE(MID(Q940,FIND("-",Q940,FIND("L=",Q940))+1,FIND("%",Q940)-FIND("-",Q940,FIND("L=",Q940))-1),","),0)&gt;4,"потери &gt; 4 %","")))</f>
      </c>
      <c r="AF940" s="129">
        <f>IF(E940&lt;&gt;"",COUNTIFS($A$3:A940,A940,$E$3:E940,"?*"),IF(OR(A940&lt;&gt;A939,Y940="вручную"),"",AF939))</f>
        <v/>
      </c>
      <c r="AG940" s="129">
        <f t="shared" si="593"/>
        <v/>
      </c>
      <c r="AH940" s="129">
        <f t="shared" si="594"/>
        <v/>
      </c>
      <c r="AI940" s="129">
        <f t="shared" si="595"/>
        <v/>
      </c>
      <c r="AJ940" s="129">
        <f t="shared" si="596"/>
        <v/>
      </c>
      <c r="AK940" s="129">
        <f t="shared" si="597"/>
        <v/>
      </c>
      <c r="AL940" s="129">
        <f t="shared" si="598"/>
        <v/>
      </c>
      <c r="AM940" s="129">
        <f t="shared" si="599"/>
      </c>
      <c r="AN940" s="129">
        <f t="shared" si="600"/>
      </c>
      <c r="AO940" s="129">
        <f t="shared" si="601"/>
        <v/>
      </c>
      <c r="AP940" s="129">
        <f t="shared" si="602"/>
        <v/>
      </c>
      <c r="AQ940" s="129">
        <f t="shared" si="603"/>
        <v/>
      </c>
      <c r="AR940" s="129">
        <f t="shared" si="604"/>
        <v/>
      </c>
      <c r="AS940" s="129">
        <f t="shared" si="605"/>
        <v/>
      </c>
      <c r="AT940" s="129">
        <f t="shared" si="606"/>
        <v/>
      </c>
      <c r="AU940" s="129">
        <f t="shared" si="607"/>
        <v/>
      </c>
      <c r="AV940" s="129">
        <f t="shared" si="608"/>
        <v/>
      </c>
      <c r="AW940" s="129">
        <f>IF(AV940="","",AV940&amp;"."&amp;COUNTIFS($A$3:A940,A940,$AV$3:AV940,AV940))</f>
        <v/>
      </c>
      <c r="AX940" s="129">
        <f t="shared" si="609"/>
        <v/>
      </c>
      <c r="AY940" s="129">
        <f>IF(N940="б/к",0,IF(OR(ISNUMBER(SEARCH("L=",Разбивка_по_щитам!P940)),N940="+",N940="="),1,0))</f>
      </c>
      <c r="AZ940" s="129">
        <f t="shared" si="610"/>
        <v/>
      </c>
      <c r="BA940" s="129">
        <f t="shared" si="611"/>
      </c>
      <c r="BB940" s="129">
        <f t="shared" si="612"/>
      </c>
      <c r="BD940" s="129">
        <f t="shared" si="613"/>
      </c>
      <c r="BE940" s="129">
        <f t="shared" si="614"/>
      </c>
      <c r="BF940" s="129">
        <f t="shared" si="615"/>
      </c>
      <c r="BG940" s="129">
        <f t="shared" si="616"/>
        <v/>
      </c>
      <c r="BH940" s="129">
        <f t="shared" si="617"/>
        <v/>
      </c>
      <c r="BI940" s="129">
        <f t="shared" si="618"/>
        <v/>
      </c>
      <c r="BJ940" s="129">
        <f t="shared" si="619"/>
        <v/>
      </c>
      <c r="BK940" s="129">
        <f>IF(R940="","",IF(OR(BY940="",BY940=0),"BOX",IFERROR(IF(VLOOKUP(BY940,УГО_блоки,3,FALSE)&amp;""&lt;&gt;"",VLOOKUP(BY940,УГО_блоки,3,FALSE),VLOOKUP(BY940,УГО_блоки,2,FALSE)),BY940)))</f>
      </c>
      <c r="BL940" s="129">
        <f t="shared" si="621"/>
      </c>
      <c r="BM940" s="129">
        <f>IF(H940="","",IF(COUNTIF($H$3:H940,H940)=1,MAX($BM$2:BM939)+1,""))</f>
      </c>
      <c r="BN940" s="129">
        <f>IF(I940="","",IF(COUNTIF($I$3:I940,I940)+COUNTIF($J$2:J939,I940)+COUNTIF($K$2:K939,I940)=1,MAX($BN$2:BP939)+1,""))</f>
      </c>
      <c r="BO940" s="129">
        <f>IF(J940="","",IF(COUNTIF($I$3:I940,J940)+COUNTIF($J$3:J940,J940)+COUNTIF($K$2:K939,J940)=1,MAX($BN$2:BP939,BN940)+1,""))</f>
      </c>
      <c r="BP940" s="129">
        <f>IF(K940="","",IF(COUNTIF($I$3:I940,K940)+COUNTIF($J$3:J940,K940)+COUNTIF($K$3:K940,K940)=1,MAX($BN$2:BP939,BN940,BO940)+1,""))</f>
      </c>
      <c r="BQ940" s="129">
        <f>IF(AY940=1,IFERROR(MID(Q940,FIND(" (",Q940)+2,FIND(")",Q940,FIND(" (",Q940))-FIND(" (",Q940)-2),"?"),"")</f>
      </c>
      <c r="BR940" s="129">
        <f>IF(BQ940="","",IF(COUNTIF($BQ$3:BQ940,BQ940)=1,MAX($BR$2:BR939)+1,""))</f>
      </c>
      <c r="BS940" s="129">
        <f>IF(AW940="","",COUNTIF($AW$3:AW940,"?*"))</f>
      </c>
      <c r="BT940" s="129">
        <f>IF(OR(AW940="",AI940=""),"",IF(COUNTIFS($AW$3:AW940,"?*",$AI$3:AI940,AI940)=1,MAX($BT$2:BT939)+1,""))</f>
      </c>
      <c r="BU940" s="129">
        <f>IF(AE940="",0,IF(OR(ISNUMBER(SEARCH("дубль",AE940)),ISNUMBER(SEARCH("ПЕРЕГРУЗ",AE940)),ISNUMBER(SEARCH("ЗАЩИЩ",AE940)),ISNUMBER(SEARCH("КАНАЛ",AE940)),ISNUMBER(SEARCH("без 30",AE940))),2,1))</f>
      </c>
      <c r="BV940" s="129">
        <f>IF(R940="","",COUNTIF($R$3:R940,"?*"))</f>
      </c>
      <c r="BW940" s="129">
        <f>IF(AY940&lt;&gt;1,0,IF(MAX(IFERROR(--VLOOKUP(R940,УГО_спр,5,FALSE),0),IFERROR(--VLOOKUP(AL940,УГО_спр,5,FALSE),0),IFERROR(--VLOOKUP(LEFT(AL940,2),УГО_спр,5,FALSE),0))&gt;0,MAX(IFERROR(--VLOOKUP(R940,УГО_спр,5,FALSE),0),IFERROR(--VLOOKUP(AL940,УГО_спр,5,FALSE),0),IFERROR(--VLOOKUP(LEFT(AL940,2),УГО_спр,5,FALSE),0)),IF(IFERROR(--LEFT(SUBSTITUTE(BQ940,"x","х"),FIND("х",SUBSTITUTE(BQ940,"x","х"))-1),3)&gt;3,Каталог!$S$9,1)))</f>
      </c>
      <c r="BX940" s="129">
        <f>IF(AY940&lt;&gt;1,0,MAX(0,IFERROR(--LEFT(SUBSTITUTE(BQ940,"x","х"),FIND("х",SUBSTITUTE(BQ940,"x","х"))-1),3)-3*BW940))</f>
      </c>
      <c r="BY940" s="129">
        <f>IF(R940="","",IFERROR(VLOOKUP(R940,УГО_спр,2,FALSE),IFERROR(VLOOKUP(AL940,УГО_спр,2,FALSE),IFERROR(VLOOKUP(LEFT(AL940,2),УГО_спр,2,FALSE),""))))</f>
      </c>
    </row>
    <row r="941" spans="1:64" x14ac:dyDescent="0.3">
      <c r="A941" s="135">
        <f>IF(Разбивка_по_щитам!F941=0,"",Разбивка_по_щитам!F941)</f>
        <v/>
      </c>
      <c r="B941" s="138">
        <f>IF(A941="","",Разбивка_по_щитам!C941)</f>
        <v/>
      </c>
      <c r="C941" s="138">
        <f t="shared" si="582"/>
        <v/>
      </c>
      <c r="D941" s="266"/>
      <c r="E941" s="266"/>
      <c r="F941" s="267"/>
      <c r="G941" s="145">
        <f t="shared" si="583"/>
        <v/>
      </c>
      <c r="H941" s="145">
        <f t="shared" si="584"/>
        <v/>
      </c>
      <c r="I941" s="266"/>
      <c r="J941" s="267"/>
      <c r="K941" s="267"/>
      <c r="L941" s="266"/>
      <c r="M941" s="147">
        <f t="shared" si="585"/>
        <v/>
      </c>
      <c r="N941" s="267"/>
      <c r="O941" s="147">
        <f t="shared" si="586"/>
        <v/>
      </c>
      <c r="P941" s="268">
        <f>IF(AY941=1,"XT"&amp;COUNTIFS($A$3:A941,A941,$AY$3:AY941,1),"")</f>
        <v/>
      </c>
      <c r="Q941" s="152">
        <f>IF(R941="","",IFERROR(SUBSTITUTE(Разбивка_по_щитам!P941,CHAR(10)," "),""))</f>
        <v/>
      </c>
      <c r="R941" s="153">
        <f>IF(OR(Разбивка_по_щитам!H941="",Разбивка_по_щитам!H941=0),"",Разбивка_по_щитам!H941)</f>
        <v/>
      </c>
      <c r="S941" s="154">
        <f>IF(R941="","",IFERROR(Разбивка_по_щитам!J941&amp;"",""))</f>
        <v/>
      </c>
      <c r="T941" s="155">
        <f>IF(R941="","",IFERROR(--Разбивка_по_щитам!L941,""))</f>
        <v/>
      </c>
      <c r="U941" s="155">
        <f>IF(R941="","",IFERROR(--Разбивка_по_щитам!K941,""))</f>
        <v/>
      </c>
      <c r="V941" s="138">
        <f>IF(R941="","",IFERROR(IF(Разбивка_по_щитам!M941=0,"",Разбивка_по_щитам!M941),""))</f>
        <v/>
      </c>
      <c r="W941" s="156">
        <f t="shared" si="587"/>
        <v/>
      </c>
      <c r="X941" s="157">
        <f t="shared" si="588"/>
        <v/>
      </c>
      <c r="Y941" s="266"/>
      <c r="Z941" s="158">
        <f t="shared" si="589"/>
        <v/>
      </c>
      <c r="AA941" s="160">
        <f t="shared" si="590"/>
        <v/>
      </c>
      <c r="AB941" s="160">
        <f>IF(R941="","",IFERROR(LOOKUP(INDEX(Справочная!$I$4:$I$19,MATCH(VLOOKUP(R941,Исходные_данные,22,FALSE),Справочная!$J$4:$J$19,0)+1),{6,10,16,20,25,32,40,50,63,80,100,125}),""))</f>
        <v/>
      </c>
      <c r="AC941" s="160">
        <f t="shared" si="591"/>
        <v/>
      </c>
      <c r="AD941" s="161">
        <f t="shared" si="592"/>
        <v/>
      </c>
      <c r="AE941" s="161">
        <f>IF(AND(R941="",G941=""),"",_xlfn.TEXTJOIN("; ",TRUE,IF(AND(R941&lt;&gt;"",V941=""),"нет фазы",""),IF(AND(R941&lt;&gt;"",N(T941)=0),"нет мощности",""),IF(AND(P941&lt;&gt;"",COUNTIFS($A$3:$A$1000,A941,$P$3:$P$1000,P941)&gt;1),"дубль клеммы "&amp;P941,""),IF(AND(W941&lt;&gt;"",W941&lt;&gt;"ok"),W941,""),IF(X941&lt;&gt;"",X941,""),IF(AND(ISNUMBER(SEARCH("(5х",Q941)),N(AK941)=1),"5 жил на 1 фазе",""),IF(AND(AL941="R",E941&lt;&gt;"",N(AS941)=0),"розетка без 30 мА",""),IF(IFERROR(_xlfn.NUMBERVALUE(MID(Q941,FIND("-",Q941,FIND("L=",Q941))+1,FIND("%",Q941)-FIND("-",Q941,FIND("L=",Q941))-1),","),0)&gt;4,"потери &gt; 4 %","")))</f>
      </c>
      <c r="AF941" s="129">
        <f>IF(E941&lt;&gt;"",COUNTIFS($A$3:A941,A941,$E$3:E941,"?*"),IF(OR(A941&lt;&gt;A940,Y941="вручную"),"",AF940))</f>
        <v/>
      </c>
      <c r="AG941" s="129">
        <f t="shared" si="593"/>
        <v/>
      </c>
      <c r="AH941" s="129">
        <f t="shared" si="594"/>
        <v/>
      </c>
      <c r="AI941" s="129">
        <f t="shared" si="595"/>
        <v/>
      </c>
      <c r="AJ941" s="129">
        <f t="shared" si="596"/>
        <v/>
      </c>
      <c r="AK941" s="129">
        <f t="shared" si="597"/>
        <v/>
      </c>
      <c r="AL941" s="129">
        <f t="shared" si="598"/>
        <v/>
      </c>
      <c r="AM941" s="129">
        <f t="shared" si="599"/>
      </c>
      <c r="AN941" s="129">
        <f t="shared" si="600"/>
      </c>
      <c r="AO941" s="129">
        <f t="shared" si="601"/>
        <v/>
      </c>
      <c r="AP941" s="129">
        <f t="shared" si="602"/>
        <v/>
      </c>
      <c r="AQ941" s="129">
        <f t="shared" si="603"/>
        <v/>
      </c>
      <c r="AR941" s="129">
        <f t="shared" si="604"/>
        <v/>
      </c>
      <c r="AS941" s="129">
        <f t="shared" si="605"/>
        <v/>
      </c>
      <c r="AT941" s="129">
        <f t="shared" si="606"/>
        <v/>
      </c>
      <c r="AU941" s="129">
        <f t="shared" si="607"/>
        <v/>
      </c>
      <c r="AV941" s="129">
        <f t="shared" si="608"/>
        <v/>
      </c>
      <c r="AW941" s="129">
        <f>IF(AV941="","",AV941&amp;"."&amp;COUNTIFS($A$3:A941,A941,$AV$3:AV941,AV941))</f>
        <v/>
      </c>
      <c r="AX941" s="129">
        <f t="shared" si="609"/>
        <v/>
      </c>
      <c r="AY941" s="129">
        <f>IF(N941="б/к",0,IF(OR(ISNUMBER(SEARCH("L=",Разбивка_по_щитам!P941)),N941="+",N941="="),1,0))</f>
      </c>
      <c r="AZ941" s="129">
        <f t="shared" si="610"/>
        <v/>
      </c>
      <c r="BA941" s="129">
        <f t="shared" si="611"/>
      </c>
      <c r="BB941" s="129">
        <f t="shared" si="612"/>
      </c>
      <c r="BD941" s="129">
        <f t="shared" si="613"/>
      </c>
      <c r="BE941" s="129">
        <f t="shared" si="614"/>
      </c>
      <c r="BF941" s="129">
        <f t="shared" si="615"/>
      </c>
      <c r="BG941" s="129">
        <f t="shared" si="616"/>
        <v/>
      </c>
      <c r="BH941" s="129">
        <f t="shared" si="617"/>
        <v/>
      </c>
      <c r="BI941" s="129">
        <f t="shared" si="618"/>
        <v/>
      </c>
      <c r="BJ941" s="129">
        <f t="shared" si="619"/>
        <v/>
      </c>
      <c r="BK941" s="129">
        <f>IF(R941="","",IF(OR(BY941="",BY941=0),"BOX",IFERROR(IF(VLOOKUP(BY941,УГО_блоки,3,FALSE)&amp;""&lt;&gt;"",VLOOKUP(BY941,УГО_блоки,3,FALSE),VLOOKUP(BY941,УГО_блоки,2,FALSE)),BY941)))</f>
      </c>
      <c r="BL941" s="129">
        <f t="shared" si="621"/>
      </c>
      <c r="BM941" s="129">
        <f>IF(H941="","",IF(COUNTIF($H$3:H941,H941)=1,MAX($BM$2:BM940)+1,""))</f>
      </c>
      <c r="BN941" s="129">
        <f>IF(I941="","",IF(COUNTIF($I$3:I941,I941)+COUNTIF($J$2:J940,I941)+COUNTIF($K$2:K940,I941)=1,MAX($BN$2:BP940)+1,""))</f>
      </c>
      <c r="BO941" s="129">
        <f>IF(J941="","",IF(COUNTIF($I$3:I941,J941)+COUNTIF($J$3:J941,J941)+COUNTIF($K$2:K940,J941)=1,MAX($BN$2:BP940,BN941)+1,""))</f>
      </c>
      <c r="BP941" s="129">
        <f>IF(K941="","",IF(COUNTIF($I$3:I941,K941)+COUNTIF($J$3:J941,K941)+COUNTIF($K$3:K941,K941)=1,MAX($BN$2:BP940,BN941,BO941)+1,""))</f>
      </c>
      <c r="BQ941" s="129">
        <f>IF(AY941=1,IFERROR(MID(Q941,FIND(" (",Q941)+2,FIND(")",Q941,FIND(" (",Q941))-FIND(" (",Q941)-2),"?"),"")</f>
      </c>
      <c r="BR941" s="129">
        <f>IF(BQ941="","",IF(COUNTIF($BQ$3:BQ941,BQ941)=1,MAX($BR$2:BR940)+1,""))</f>
      </c>
      <c r="BS941" s="129">
        <f>IF(AW941="","",COUNTIF($AW$3:AW941,"?*"))</f>
      </c>
      <c r="BT941" s="129">
        <f>IF(OR(AW941="",AI941=""),"",IF(COUNTIFS($AW$3:AW941,"?*",$AI$3:AI941,AI941)=1,MAX($BT$2:BT940)+1,""))</f>
      </c>
      <c r="BU941" s="129">
        <f>IF(AE941="",0,IF(OR(ISNUMBER(SEARCH("дубль",AE941)),ISNUMBER(SEARCH("ПЕРЕГРУЗ",AE941)),ISNUMBER(SEARCH("ЗАЩИЩ",AE941)),ISNUMBER(SEARCH("КАНАЛ",AE941)),ISNUMBER(SEARCH("без 30",AE941))),2,1))</f>
      </c>
      <c r="BV941" s="129">
        <f>IF(R941="","",COUNTIF($R$3:R941,"?*"))</f>
      </c>
      <c r="BW941" s="129">
        <f>IF(AY941&lt;&gt;1,0,IF(MAX(IFERROR(--VLOOKUP(R941,УГО_спр,5,FALSE),0),IFERROR(--VLOOKUP(AL941,УГО_спр,5,FALSE),0),IFERROR(--VLOOKUP(LEFT(AL941,2),УГО_спр,5,FALSE),0))&gt;0,MAX(IFERROR(--VLOOKUP(R941,УГО_спр,5,FALSE),0),IFERROR(--VLOOKUP(AL941,УГО_спр,5,FALSE),0),IFERROR(--VLOOKUP(LEFT(AL941,2),УГО_спр,5,FALSE),0)),IF(IFERROR(--LEFT(SUBSTITUTE(BQ941,"x","х"),FIND("х",SUBSTITUTE(BQ941,"x","х"))-1),3)&gt;3,Каталог!$S$9,1)))</f>
      </c>
      <c r="BX941" s="129">
        <f>IF(AY941&lt;&gt;1,0,MAX(0,IFERROR(--LEFT(SUBSTITUTE(BQ941,"x","х"),FIND("х",SUBSTITUTE(BQ941,"x","х"))-1),3)-3*BW941))</f>
      </c>
      <c r="BY941" s="129">
        <f>IF(R941="","",IFERROR(VLOOKUP(R941,УГО_спр,2,FALSE),IFERROR(VLOOKUP(AL941,УГО_спр,2,FALSE),IFERROR(VLOOKUP(LEFT(AL941,2),УГО_спр,2,FALSE),""))))</f>
      </c>
    </row>
    <row r="942" spans="1:64" x14ac:dyDescent="0.3">
      <c r="A942" s="135">
        <f>IF(Разбивка_по_щитам!F942=0,"",Разбивка_по_щитам!F942)</f>
        <v/>
      </c>
      <c r="B942" s="138">
        <f>IF(A942="","",Разбивка_по_щитам!C942)</f>
        <v/>
      </c>
      <c r="C942" s="138">
        <f t="shared" si="582"/>
        <v/>
      </c>
      <c r="D942" s="266"/>
      <c r="E942" s="266"/>
      <c r="F942" s="267"/>
      <c r="G942" s="145">
        <f t="shared" si="583"/>
        <v/>
      </c>
      <c r="H942" s="145">
        <f t="shared" si="584"/>
        <v/>
      </c>
      <c r="I942" s="266"/>
      <c r="J942" s="267"/>
      <c r="K942" s="267"/>
      <c r="L942" s="266"/>
      <c r="M942" s="147">
        <f t="shared" si="585"/>
        <v/>
      </c>
      <c r="N942" s="267"/>
      <c r="O942" s="147">
        <f t="shared" si="586"/>
        <v/>
      </c>
      <c r="P942" s="268">
        <f>IF(AY942=1,"XT"&amp;COUNTIFS($A$3:A942,A942,$AY$3:AY942,1),"")</f>
        <v/>
      </c>
      <c r="Q942" s="152">
        <f>IF(R942="","",IFERROR(SUBSTITUTE(Разбивка_по_щитам!P942,CHAR(10)," "),""))</f>
        <v/>
      </c>
      <c r="R942" s="153">
        <f>IF(OR(Разбивка_по_щитам!H942="",Разбивка_по_щитам!H942=0),"",Разбивка_по_щитам!H942)</f>
        <v/>
      </c>
      <c r="S942" s="154">
        <f>IF(R942="","",IFERROR(Разбивка_по_щитам!J942&amp;"",""))</f>
        <v/>
      </c>
      <c r="T942" s="155">
        <f>IF(R942="","",IFERROR(--Разбивка_по_щитам!L942,""))</f>
        <v/>
      </c>
      <c r="U942" s="155">
        <f>IF(R942="","",IFERROR(--Разбивка_по_щитам!K942,""))</f>
        <v/>
      </c>
      <c r="V942" s="138">
        <f>IF(R942="","",IFERROR(IF(Разбивка_по_щитам!M942=0,"",Разбивка_по_щитам!M942),""))</f>
        <v/>
      </c>
      <c r="W942" s="156">
        <f t="shared" si="587"/>
        <v/>
      </c>
      <c r="X942" s="157">
        <f t="shared" si="588"/>
        <v/>
      </c>
      <c r="Y942" s="266"/>
      <c r="Z942" s="158">
        <f t="shared" si="589"/>
        <v/>
      </c>
      <c r="AA942" s="160">
        <f t="shared" si="590"/>
        <v/>
      </c>
      <c r="AB942" s="160">
        <f>IF(R942="","",IFERROR(LOOKUP(INDEX(Справочная!$I$4:$I$19,MATCH(VLOOKUP(R942,Исходные_данные,22,FALSE),Справочная!$J$4:$J$19,0)+1),{6,10,16,20,25,32,40,50,63,80,100,125}),""))</f>
        <v/>
      </c>
      <c r="AC942" s="160">
        <f t="shared" si="591"/>
        <v/>
      </c>
      <c r="AD942" s="161">
        <f t="shared" si="592"/>
        <v/>
      </c>
      <c r="AE942" s="161">
        <f>IF(AND(R942="",G942=""),"",_xlfn.TEXTJOIN("; ",TRUE,IF(AND(R942&lt;&gt;"",V942=""),"нет фазы",""),IF(AND(R942&lt;&gt;"",N(T942)=0),"нет мощности",""),IF(AND(P942&lt;&gt;"",COUNTIFS($A$3:$A$1000,A942,$P$3:$P$1000,P942)&gt;1),"дубль клеммы "&amp;P942,""),IF(AND(W942&lt;&gt;"",W942&lt;&gt;"ok"),W942,""),IF(X942&lt;&gt;"",X942,""),IF(AND(ISNUMBER(SEARCH("(5х",Q942)),N(AK942)=1),"5 жил на 1 фазе",""),IF(AND(AL942="R",E942&lt;&gt;"",N(AS942)=0),"розетка без 30 мА",""),IF(IFERROR(_xlfn.NUMBERVALUE(MID(Q942,FIND("-",Q942,FIND("L=",Q942))+1,FIND("%",Q942)-FIND("-",Q942,FIND("L=",Q942))-1),","),0)&gt;4,"потери &gt; 4 %","")))</f>
      </c>
      <c r="AF942" s="129">
        <f>IF(E942&lt;&gt;"",COUNTIFS($A$3:A942,A942,$E$3:E942,"?*"),IF(OR(A942&lt;&gt;A941,Y942="вручную"),"",AF941))</f>
        <v/>
      </c>
      <c r="AG942" s="129">
        <f t="shared" si="593"/>
        <v/>
      </c>
      <c r="AH942" s="129">
        <f t="shared" si="594"/>
        <v/>
      </c>
      <c r="AI942" s="129">
        <f t="shared" si="595"/>
        <v/>
      </c>
      <c r="AJ942" s="129">
        <f t="shared" si="596"/>
        <v/>
      </c>
      <c r="AK942" s="129">
        <f t="shared" si="597"/>
        <v/>
      </c>
      <c r="AL942" s="129">
        <f t="shared" si="598"/>
        <v/>
      </c>
      <c r="AM942" s="129">
        <f t="shared" si="599"/>
      </c>
      <c r="AN942" s="129">
        <f t="shared" si="600"/>
      </c>
      <c r="AO942" s="129">
        <f t="shared" si="601"/>
        <v/>
      </c>
      <c r="AP942" s="129">
        <f t="shared" si="602"/>
        <v/>
      </c>
      <c r="AQ942" s="129">
        <f t="shared" si="603"/>
        <v/>
      </c>
      <c r="AR942" s="129">
        <f t="shared" si="604"/>
        <v/>
      </c>
      <c r="AS942" s="129">
        <f t="shared" si="605"/>
        <v/>
      </c>
      <c r="AT942" s="129">
        <f t="shared" si="606"/>
        <v/>
      </c>
      <c r="AU942" s="129">
        <f t="shared" si="607"/>
        <v/>
      </c>
      <c r="AV942" s="129">
        <f t="shared" si="608"/>
        <v/>
      </c>
      <c r="AW942" s="129">
        <f>IF(AV942="","",AV942&amp;"."&amp;COUNTIFS($A$3:A942,A942,$AV$3:AV942,AV942))</f>
        <v/>
      </c>
      <c r="AX942" s="129">
        <f t="shared" si="609"/>
        <v/>
      </c>
      <c r="AY942" s="129">
        <f>IF(N942="б/к",0,IF(OR(ISNUMBER(SEARCH("L=",Разбивка_по_щитам!P942)),N942="+",N942="="),1,0))</f>
      </c>
      <c r="AZ942" s="129">
        <f t="shared" si="610"/>
        <v/>
      </c>
      <c r="BA942" s="129">
        <f t="shared" si="611"/>
      </c>
      <c r="BB942" s="129">
        <f t="shared" si="612"/>
      </c>
      <c r="BD942" s="129">
        <f t="shared" si="613"/>
      </c>
      <c r="BE942" s="129">
        <f t="shared" si="614"/>
      </c>
      <c r="BF942" s="129">
        <f t="shared" si="615"/>
      </c>
      <c r="BG942" s="129">
        <f t="shared" si="616"/>
        <v/>
      </c>
      <c r="BH942" s="129">
        <f t="shared" si="617"/>
        <v/>
      </c>
      <c r="BI942" s="129">
        <f t="shared" si="618"/>
        <v/>
      </c>
      <c r="BJ942" s="129">
        <f t="shared" si="619"/>
        <v/>
      </c>
      <c r="BK942" s="129">
        <f>IF(R942="","",IF(OR(BY942="",BY942=0),"BOX",IFERROR(IF(VLOOKUP(BY942,УГО_блоки,3,FALSE)&amp;""&lt;&gt;"",VLOOKUP(BY942,УГО_блоки,3,FALSE),VLOOKUP(BY942,УГО_блоки,2,FALSE)),BY942)))</f>
      </c>
      <c r="BL942" s="129">
        <f t="shared" si="621"/>
      </c>
      <c r="BM942" s="129">
        <f>IF(H942="","",IF(COUNTIF($H$3:H942,H942)=1,MAX($BM$2:BM941)+1,""))</f>
      </c>
      <c r="BN942" s="129">
        <f>IF(I942="","",IF(COUNTIF($I$3:I942,I942)+COUNTIF($J$2:J941,I942)+COUNTIF($K$2:K941,I942)=1,MAX($BN$2:BP941)+1,""))</f>
      </c>
      <c r="BO942" s="129">
        <f>IF(J942="","",IF(COUNTIF($I$3:I942,J942)+COUNTIF($J$3:J942,J942)+COUNTIF($K$2:K941,J942)=1,MAX($BN$2:BP941,BN942)+1,""))</f>
      </c>
      <c r="BP942" s="129">
        <f>IF(K942="","",IF(COUNTIF($I$3:I942,K942)+COUNTIF($J$3:J942,K942)+COUNTIF($K$3:K942,K942)=1,MAX($BN$2:BP941,BN942,BO942)+1,""))</f>
      </c>
      <c r="BQ942" s="129">
        <f>IF(AY942=1,IFERROR(MID(Q942,FIND(" (",Q942)+2,FIND(")",Q942,FIND(" (",Q942))-FIND(" (",Q942)-2),"?"),"")</f>
      </c>
      <c r="BR942" s="129">
        <f>IF(BQ942="","",IF(COUNTIF($BQ$3:BQ942,BQ942)=1,MAX($BR$2:BR941)+1,""))</f>
      </c>
      <c r="BS942" s="129">
        <f>IF(AW942="","",COUNTIF($AW$3:AW942,"?*"))</f>
      </c>
      <c r="BT942" s="129">
        <f>IF(OR(AW942="",AI942=""),"",IF(COUNTIFS($AW$3:AW942,"?*",$AI$3:AI942,AI942)=1,MAX($BT$2:BT941)+1,""))</f>
      </c>
      <c r="BU942" s="129">
        <f>IF(AE942="",0,IF(OR(ISNUMBER(SEARCH("дубль",AE942)),ISNUMBER(SEARCH("ПЕРЕГРУЗ",AE942)),ISNUMBER(SEARCH("ЗАЩИЩ",AE942)),ISNUMBER(SEARCH("КАНАЛ",AE942)),ISNUMBER(SEARCH("без 30",AE942))),2,1))</f>
      </c>
      <c r="BV942" s="129">
        <f>IF(R942="","",COUNTIF($R$3:R942,"?*"))</f>
      </c>
      <c r="BW942" s="129">
        <f>IF(AY942&lt;&gt;1,0,IF(MAX(IFERROR(--VLOOKUP(R942,УГО_спр,5,FALSE),0),IFERROR(--VLOOKUP(AL942,УГО_спр,5,FALSE),0),IFERROR(--VLOOKUP(LEFT(AL942,2),УГО_спр,5,FALSE),0))&gt;0,MAX(IFERROR(--VLOOKUP(R942,УГО_спр,5,FALSE),0),IFERROR(--VLOOKUP(AL942,УГО_спр,5,FALSE),0),IFERROR(--VLOOKUP(LEFT(AL942,2),УГО_спр,5,FALSE),0)),IF(IFERROR(--LEFT(SUBSTITUTE(BQ942,"x","х"),FIND("х",SUBSTITUTE(BQ942,"x","х"))-1),3)&gt;3,Каталог!$S$9,1)))</f>
      </c>
      <c r="BX942" s="129">
        <f>IF(AY942&lt;&gt;1,0,MAX(0,IFERROR(--LEFT(SUBSTITUTE(BQ942,"x","х"),FIND("х",SUBSTITUTE(BQ942,"x","х"))-1),3)-3*BW942))</f>
      </c>
      <c r="BY942" s="129">
        <f>IF(R942="","",IFERROR(VLOOKUP(R942,УГО_спр,2,FALSE),IFERROR(VLOOKUP(AL942,УГО_спр,2,FALSE),IFERROR(VLOOKUP(LEFT(AL942,2),УГО_спр,2,FALSE),""))))</f>
      </c>
    </row>
    <row r="943" spans="1:64" x14ac:dyDescent="0.3">
      <c r="A943" s="135">
        <f>IF(Разбивка_по_щитам!F943=0,"",Разбивка_по_щитам!F943)</f>
        <v/>
      </c>
      <c r="B943" s="138">
        <f>IF(A943="","",Разбивка_по_щитам!C943)</f>
        <v/>
      </c>
      <c r="C943" s="138">
        <f t="shared" si="582"/>
        <v/>
      </c>
      <c r="D943" s="266"/>
      <c r="E943" s="266"/>
      <c r="F943" s="267"/>
      <c r="G943" s="145">
        <f t="shared" si="583"/>
        <v/>
      </c>
      <c r="H943" s="145">
        <f t="shared" si="584"/>
        <v/>
      </c>
      <c r="I943" s="266"/>
      <c r="J943" s="267"/>
      <c r="K943" s="267"/>
      <c r="L943" s="266"/>
      <c r="M943" s="147">
        <f t="shared" si="585"/>
        <v/>
      </c>
      <c r="N943" s="267"/>
      <c r="O943" s="147">
        <f t="shared" si="586"/>
        <v/>
      </c>
      <c r="P943" s="268">
        <f>IF(AY943=1,"XT"&amp;COUNTIFS($A$3:A943,A943,$AY$3:AY943,1),"")</f>
        <v/>
      </c>
      <c r="Q943" s="152">
        <f>IF(R943="","",IFERROR(SUBSTITUTE(Разбивка_по_щитам!P943,CHAR(10)," "),""))</f>
        <v/>
      </c>
      <c r="R943" s="153">
        <f>IF(OR(Разбивка_по_щитам!H943="",Разбивка_по_щитам!H943=0),"",Разбивка_по_щитам!H943)</f>
        <v/>
      </c>
      <c r="S943" s="154">
        <f>IF(R943="","",IFERROR(Разбивка_по_щитам!J943&amp;"",""))</f>
        <v/>
      </c>
      <c r="T943" s="155">
        <f>IF(R943="","",IFERROR(--Разбивка_по_щитам!L943,""))</f>
        <v/>
      </c>
      <c r="U943" s="155">
        <f>IF(R943="","",IFERROR(--Разбивка_по_щитам!K943,""))</f>
        <v/>
      </c>
      <c r="V943" s="138">
        <f>IF(R943="","",IFERROR(IF(Разбивка_по_щитам!M943=0,"",Разбивка_по_щитам!M943),""))</f>
        <v/>
      </c>
      <c r="W943" s="156">
        <f t="shared" si="587"/>
        <v/>
      </c>
      <c r="X943" s="157">
        <f t="shared" si="588"/>
        <v/>
      </c>
      <c r="Y943" s="266"/>
      <c r="Z943" s="158">
        <f t="shared" si="589"/>
        <v/>
      </c>
      <c r="AA943" s="160">
        <f t="shared" si="590"/>
        <v/>
      </c>
      <c r="AB943" s="160">
        <f>IF(R943="","",IFERROR(LOOKUP(INDEX(Справочная!$I$4:$I$19,MATCH(VLOOKUP(R943,Исходные_данные,22,FALSE),Справочная!$J$4:$J$19,0)+1),{6,10,16,20,25,32,40,50,63,80,100,125}),""))</f>
        <v/>
      </c>
      <c r="AC943" s="160">
        <f t="shared" si="591"/>
        <v/>
      </c>
      <c r="AD943" s="161">
        <f t="shared" si="592"/>
        <v/>
      </c>
      <c r="AE943" s="161">
        <f>IF(AND(R943="",G943=""),"",_xlfn.TEXTJOIN("; ",TRUE,IF(AND(R943&lt;&gt;"",V943=""),"нет фазы",""),IF(AND(R943&lt;&gt;"",N(T943)=0),"нет мощности",""),IF(AND(P943&lt;&gt;"",COUNTIFS($A$3:$A$1000,A943,$P$3:$P$1000,P943)&gt;1),"дубль клеммы "&amp;P943,""),IF(AND(W943&lt;&gt;"",W943&lt;&gt;"ok"),W943,""),IF(X943&lt;&gt;"",X943,""),IF(AND(ISNUMBER(SEARCH("(5х",Q943)),N(AK943)=1),"5 жил на 1 фазе",""),IF(AND(AL943="R",E943&lt;&gt;"",N(AS943)=0),"розетка без 30 мА",""),IF(IFERROR(_xlfn.NUMBERVALUE(MID(Q943,FIND("-",Q943,FIND("L=",Q943))+1,FIND("%",Q943)-FIND("-",Q943,FIND("L=",Q943))-1),","),0)&gt;4,"потери &gt; 4 %","")))</f>
      </c>
      <c r="AF943" s="129">
        <f>IF(E943&lt;&gt;"",COUNTIFS($A$3:A943,A943,$E$3:E943,"?*"),IF(OR(A943&lt;&gt;A942,Y943="вручную"),"",AF942))</f>
        <v/>
      </c>
      <c r="AG943" s="129">
        <f t="shared" si="593"/>
        <v/>
      </c>
      <c r="AH943" s="129">
        <f t="shared" si="594"/>
        <v/>
      </c>
      <c r="AI943" s="129">
        <f t="shared" si="595"/>
        <v/>
      </c>
      <c r="AJ943" s="129">
        <f t="shared" si="596"/>
        <v/>
      </c>
      <c r="AK943" s="129">
        <f t="shared" si="597"/>
        <v/>
      </c>
      <c r="AL943" s="129">
        <f t="shared" si="598"/>
        <v/>
      </c>
      <c r="AM943" s="129">
        <f t="shared" si="599"/>
      </c>
      <c r="AN943" s="129">
        <f t="shared" si="600"/>
      </c>
      <c r="AO943" s="129">
        <f t="shared" si="601"/>
        <v/>
      </c>
      <c r="AP943" s="129">
        <f t="shared" si="602"/>
        <v/>
      </c>
      <c r="AQ943" s="129">
        <f t="shared" si="603"/>
        <v/>
      </c>
      <c r="AR943" s="129">
        <f t="shared" si="604"/>
        <v/>
      </c>
      <c r="AS943" s="129">
        <f t="shared" si="605"/>
        <v/>
      </c>
      <c r="AT943" s="129">
        <f t="shared" si="606"/>
        <v/>
      </c>
      <c r="AU943" s="129">
        <f t="shared" si="607"/>
        <v/>
      </c>
      <c r="AV943" s="129">
        <f t="shared" si="608"/>
        <v/>
      </c>
      <c r="AW943" s="129">
        <f>IF(AV943="","",AV943&amp;"."&amp;COUNTIFS($A$3:A943,A943,$AV$3:AV943,AV943))</f>
        <v/>
      </c>
      <c r="AX943" s="129">
        <f t="shared" si="609"/>
        <v/>
      </c>
      <c r="AY943" s="129">
        <f>IF(N943="б/к",0,IF(OR(ISNUMBER(SEARCH("L=",Разбивка_по_щитам!P943)),N943="+",N943="="),1,0))</f>
      </c>
      <c r="AZ943" s="129">
        <f t="shared" si="610"/>
        <v/>
      </c>
      <c r="BA943" s="129">
        <f t="shared" si="611"/>
      </c>
      <c r="BB943" s="129">
        <f t="shared" si="612"/>
      </c>
      <c r="BD943" s="129">
        <f t="shared" si="613"/>
      </c>
      <c r="BE943" s="129">
        <f t="shared" si="614"/>
      </c>
      <c r="BF943" s="129">
        <f t="shared" si="615"/>
      </c>
      <c r="BG943" s="129">
        <f t="shared" si="616"/>
        <v/>
      </c>
      <c r="BH943" s="129">
        <f t="shared" si="617"/>
        <v/>
      </c>
      <c r="BI943" s="129">
        <f t="shared" si="618"/>
        <v/>
      </c>
      <c r="BJ943" s="129">
        <f t="shared" si="619"/>
        <v/>
      </c>
      <c r="BK943" s="129">
        <f>IF(R943="","",IF(OR(BY943="",BY943=0),"BOX",IFERROR(IF(VLOOKUP(BY943,УГО_блоки,3,FALSE)&amp;""&lt;&gt;"",VLOOKUP(BY943,УГО_блоки,3,FALSE),VLOOKUP(BY943,УГО_блоки,2,FALSE)),BY943)))</f>
      </c>
      <c r="BL943" s="129">
        <f t="shared" si="621"/>
      </c>
      <c r="BM943" s="129">
        <f>IF(H943="","",IF(COUNTIF($H$3:H943,H943)=1,MAX($BM$2:BM942)+1,""))</f>
      </c>
      <c r="BN943" s="129">
        <f>IF(I943="","",IF(COUNTIF($I$3:I943,I943)+COUNTIF($J$2:J942,I943)+COUNTIF($K$2:K942,I943)=1,MAX($BN$2:BP942)+1,""))</f>
      </c>
      <c r="BO943" s="129">
        <f>IF(J943="","",IF(COUNTIF($I$3:I943,J943)+COUNTIF($J$3:J943,J943)+COUNTIF($K$2:K942,J943)=1,MAX($BN$2:BP942,BN943)+1,""))</f>
      </c>
      <c r="BP943" s="129">
        <f>IF(K943="","",IF(COUNTIF($I$3:I943,K943)+COUNTIF($J$3:J943,K943)+COUNTIF($K$3:K943,K943)=1,MAX($BN$2:BP942,BN943,BO943)+1,""))</f>
      </c>
      <c r="BQ943" s="129">
        <f>IF(AY943=1,IFERROR(MID(Q943,FIND(" (",Q943)+2,FIND(")",Q943,FIND(" (",Q943))-FIND(" (",Q943)-2),"?"),"")</f>
      </c>
      <c r="BR943" s="129">
        <f>IF(BQ943="","",IF(COUNTIF($BQ$3:BQ943,BQ943)=1,MAX($BR$2:BR942)+1,""))</f>
      </c>
      <c r="BS943" s="129">
        <f>IF(AW943="","",COUNTIF($AW$3:AW943,"?*"))</f>
      </c>
      <c r="BT943" s="129">
        <f>IF(OR(AW943="",AI943=""),"",IF(COUNTIFS($AW$3:AW943,"?*",$AI$3:AI943,AI943)=1,MAX($BT$2:BT942)+1,""))</f>
      </c>
      <c r="BU943" s="129">
        <f>IF(AE943="",0,IF(OR(ISNUMBER(SEARCH("дубль",AE943)),ISNUMBER(SEARCH("ПЕРЕГРУЗ",AE943)),ISNUMBER(SEARCH("ЗАЩИЩ",AE943)),ISNUMBER(SEARCH("КАНАЛ",AE943)),ISNUMBER(SEARCH("без 30",AE943))),2,1))</f>
      </c>
      <c r="BV943" s="129">
        <f>IF(R943="","",COUNTIF($R$3:R943,"?*"))</f>
      </c>
      <c r="BW943" s="129">
        <f>IF(AY943&lt;&gt;1,0,IF(MAX(IFERROR(--VLOOKUP(R943,УГО_спр,5,FALSE),0),IFERROR(--VLOOKUP(AL943,УГО_спр,5,FALSE),0),IFERROR(--VLOOKUP(LEFT(AL943,2),УГО_спр,5,FALSE),0))&gt;0,MAX(IFERROR(--VLOOKUP(R943,УГО_спр,5,FALSE),0),IFERROR(--VLOOKUP(AL943,УГО_спр,5,FALSE),0),IFERROR(--VLOOKUP(LEFT(AL943,2),УГО_спр,5,FALSE),0)),IF(IFERROR(--LEFT(SUBSTITUTE(BQ943,"x","х"),FIND("х",SUBSTITUTE(BQ943,"x","х"))-1),3)&gt;3,Каталог!$S$9,1)))</f>
      </c>
      <c r="BX943" s="129">
        <f>IF(AY943&lt;&gt;1,0,MAX(0,IFERROR(--LEFT(SUBSTITUTE(BQ943,"x","х"),FIND("х",SUBSTITUTE(BQ943,"x","х"))-1),3)-3*BW943))</f>
      </c>
      <c r="BY943" s="129">
        <f>IF(R943="","",IFERROR(VLOOKUP(R943,УГО_спр,2,FALSE),IFERROR(VLOOKUP(AL943,УГО_спр,2,FALSE),IFERROR(VLOOKUP(LEFT(AL943,2),УГО_спр,2,FALSE),""))))</f>
      </c>
    </row>
    <row r="944" spans="1:64" x14ac:dyDescent="0.3">
      <c r="A944" s="135">
        <f>IF(Разбивка_по_щитам!F944=0,"",Разбивка_по_щитам!F944)</f>
        <v/>
      </c>
      <c r="B944" s="138">
        <f>IF(A944="","",Разбивка_по_щитам!C944)</f>
        <v/>
      </c>
      <c r="C944" s="138">
        <f t="shared" si="582"/>
        <v/>
      </c>
      <c r="D944" s="266"/>
      <c r="E944" s="266"/>
      <c r="F944" s="267"/>
      <c r="G944" s="145">
        <f t="shared" si="583"/>
        <v/>
      </c>
      <c r="H944" s="145">
        <f t="shared" si="584"/>
        <v/>
      </c>
      <c r="I944" s="266"/>
      <c r="J944" s="267"/>
      <c r="K944" s="267"/>
      <c r="L944" s="266"/>
      <c r="M944" s="147">
        <f t="shared" si="585"/>
        <v/>
      </c>
      <c r="N944" s="267"/>
      <c r="O944" s="147">
        <f t="shared" si="586"/>
        <v/>
      </c>
      <c r="P944" s="268">
        <f>IF(AY944=1,"XT"&amp;COUNTIFS($A$3:A944,A944,$AY$3:AY944,1),"")</f>
        <v/>
      </c>
      <c r="Q944" s="152">
        <f>IF(R944="","",IFERROR(SUBSTITUTE(Разбивка_по_щитам!P944,CHAR(10)," "),""))</f>
        <v/>
      </c>
      <c r="R944" s="153">
        <f>IF(OR(Разбивка_по_щитам!H944="",Разбивка_по_щитам!H944=0),"",Разбивка_по_щитам!H944)</f>
        <v/>
      </c>
      <c r="S944" s="154">
        <f>IF(R944="","",IFERROR(Разбивка_по_щитам!J944&amp;"",""))</f>
        <v/>
      </c>
      <c r="T944" s="155">
        <f>IF(R944="","",IFERROR(--Разбивка_по_щитам!L944,""))</f>
        <v/>
      </c>
      <c r="U944" s="155">
        <f>IF(R944="","",IFERROR(--Разбивка_по_щитам!K944,""))</f>
        <v/>
      </c>
      <c r="V944" s="138">
        <f>IF(R944="","",IFERROR(IF(Разбивка_по_щитам!M944=0,"",Разбивка_по_щитам!M944),""))</f>
        <v/>
      </c>
      <c r="W944" s="156">
        <f t="shared" si="587"/>
        <v/>
      </c>
      <c r="X944" s="157">
        <f t="shared" si="588"/>
        <v/>
      </c>
      <c r="Y944" s="266"/>
      <c r="Z944" s="158">
        <f t="shared" si="589"/>
        <v/>
      </c>
      <c r="AA944" s="160">
        <f t="shared" si="590"/>
        <v/>
      </c>
      <c r="AB944" s="160">
        <f>IF(R944="","",IFERROR(LOOKUP(INDEX(Справочная!$I$4:$I$19,MATCH(VLOOKUP(R944,Исходные_данные,22,FALSE),Справочная!$J$4:$J$19,0)+1),{6,10,16,20,25,32,40,50,63,80,100,125}),""))</f>
        <v/>
      </c>
      <c r="AC944" s="160">
        <f t="shared" si="591"/>
        <v/>
      </c>
      <c r="AD944" s="161">
        <f t="shared" si="592"/>
        <v/>
      </c>
      <c r="AE944" s="161">
        <f>IF(AND(R944="",G944=""),"",_xlfn.TEXTJOIN("; ",TRUE,IF(AND(R944&lt;&gt;"",V944=""),"нет фазы",""),IF(AND(R944&lt;&gt;"",N(T944)=0),"нет мощности",""),IF(AND(P944&lt;&gt;"",COUNTIFS($A$3:$A$1000,A944,$P$3:$P$1000,P944)&gt;1),"дубль клеммы "&amp;P944,""),IF(AND(W944&lt;&gt;"",W944&lt;&gt;"ok"),W944,""),IF(X944&lt;&gt;"",X944,""),IF(AND(ISNUMBER(SEARCH("(5х",Q944)),N(AK944)=1),"5 жил на 1 фазе",""),IF(AND(AL944="R",E944&lt;&gt;"",N(AS944)=0),"розетка без 30 мА",""),IF(IFERROR(_xlfn.NUMBERVALUE(MID(Q944,FIND("-",Q944,FIND("L=",Q944))+1,FIND("%",Q944)-FIND("-",Q944,FIND("L=",Q944))-1),","),0)&gt;4,"потери &gt; 4 %","")))</f>
      </c>
      <c r="AF944" s="129">
        <f>IF(E944&lt;&gt;"",COUNTIFS($A$3:A944,A944,$E$3:E944,"?*"),IF(OR(A944&lt;&gt;A943,Y944="вручную"),"",AF943))</f>
        <v/>
      </c>
      <c r="AG944" s="129">
        <f t="shared" si="593"/>
        <v/>
      </c>
      <c r="AH944" s="129">
        <f t="shared" si="594"/>
        <v/>
      </c>
      <c r="AI944" s="129">
        <f t="shared" si="595"/>
        <v/>
      </c>
      <c r="AJ944" s="129">
        <f t="shared" si="596"/>
        <v/>
      </c>
      <c r="AK944" s="129">
        <f t="shared" si="597"/>
        <v/>
      </c>
      <c r="AL944" s="129">
        <f t="shared" si="598"/>
        <v/>
      </c>
      <c r="AM944" s="129">
        <f t="shared" si="599"/>
      </c>
      <c r="AN944" s="129">
        <f t="shared" si="600"/>
      </c>
      <c r="AO944" s="129">
        <f t="shared" si="601"/>
        <v/>
      </c>
      <c r="AP944" s="129">
        <f t="shared" si="602"/>
        <v/>
      </c>
      <c r="AQ944" s="129">
        <f t="shared" si="603"/>
        <v/>
      </c>
      <c r="AR944" s="129">
        <f t="shared" si="604"/>
        <v/>
      </c>
      <c r="AS944" s="129">
        <f t="shared" si="605"/>
        <v/>
      </c>
      <c r="AT944" s="129">
        <f t="shared" si="606"/>
        <v/>
      </c>
      <c r="AU944" s="129">
        <f t="shared" si="607"/>
        <v/>
      </c>
      <c r="AV944" s="129">
        <f t="shared" si="608"/>
        <v/>
      </c>
      <c r="AW944" s="129">
        <f>IF(AV944="","",AV944&amp;"."&amp;COUNTIFS($A$3:A944,A944,$AV$3:AV944,AV944))</f>
        <v/>
      </c>
      <c r="AX944" s="129">
        <f t="shared" si="609"/>
        <v/>
      </c>
      <c r="AY944" s="129">
        <f>IF(N944="б/к",0,IF(OR(ISNUMBER(SEARCH("L=",Разбивка_по_щитам!P944)),N944="+",N944="="),1,0))</f>
      </c>
      <c r="AZ944" s="129">
        <f t="shared" si="610"/>
        <v/>
      </c>
      <c r="BA944" s="129">
        <f t="shared" si="611"/>
      </c>
      <c r="BB944" s="129">
        <f t="shared" si="612"/>
      </c>
      <c r="BD944" s="129">
        <f t="shared" si="613"/>
      </c>
      <c r="BE944" s="129">
        <f t="shared" si="614"/>
      </c>
      <c r="BF944" s="129">
        <f t="shared" si="615"/>
      </c>
      <c r="BG944" s="129">
        <f t="shared" si="616"/>
        <v/>
      </c>
      <c r="BH944" s="129">
        <f t="shared" si="617"/>
        <v/>
      </c>
      <c r="BI944" s="129">
        <f t="shared" si="618"/>
        <v/>
      </c>
      <c r="BJ944" s="129">
        <f t="shared" si="619"/>
        <v/>
      </c>
      <c r="BK944" s="129">
        <f>IF(R944="","",IF(OR(BY944="",BY944=0),"BOX",IFERROR(IF(VLOOKUP(BY944,УГО_блоки,3,FALSE)&amp;""&lt;&gt;"",VLOOKUP(BY944,УГО_блоки,3,FALSE),VLOOKUP(BY944,УГО_блоки,2,FALSE)),BY944)))</f>
      </c>
      <c r="BL944" s="129">
        <f t="shared" si="621"/>
      </c>
      <c r="BM944" s="129">
        <f>IF(H944="","",IF(COUNTIF($H$3:H944,H944)=1,MAX($BM$2:BM943)+1,""))</f>
      </c>
      <c r="BN944" s="129">
        <f>IF(I944="","",IF(COUNTIF($I$3:I944,I944)+COUNTIF($J$2:J943,I944)+COUNTIF($K$2:K943,I944)=1,MAX($BN$2:BP943)+1,""))</f>
      </c>
      <c r="BO944" s="129">
        <f>IF(J944="","",IF(COUNTIF($I$3:I944,J944)+COUNTIF($J$3:J944,J944)+COUNTIF($K$2:K943,J944)=1,MAX($BN$2:BP943,BN944)+1,""))</f>
      </c>
      <c r="BP944" s="129">
        <f>IF(K944="","",IF(COUNTIF($I$3:I944,K944)+COUNTIF($J$3:J944,K944)+COUNTIF($K$3:K944,K944)=1,MAX($BN$2:BP943,BN944,BO944)+1,""))</f>
      </c>
      <c r="BQ944" s="129">
        <f>IF(AY944=1,IFERROR(MID(Q944,FIND(" (",Q944)+2,FIND(")",Q944,FIND(" (",Q944))-FIND(" (",Q944)-2),"?"),"")</f>
      </c>
      <c r="BR944" s="129">
        <f>IF(BQ944="","",IF(COUNTIF($BQ$3:BQ944,BQ944)=1,MAX($BR$2:BR943)+1,""))</f>
      </c>
      <c r="BS944" s="129">
        <f>IF(AW944="","",COUNTIF($AW$3:AW944,"?*"))</f>
      </c>
      <c r="BT944" s="129">
        <f>IF(OR(AW944="",AI944=""),"",IF(COUNTIFS($AW$3:AW944,"?*",$AI$3:AI944,AI944)=1,MAX($BT$2:BT943)+1,""))</f>
      </c>
      <c r="BU944" s="129">
        <f>IF(AE944="",0,IF(OR(ISNUMBER(SEARCH("дубль",AE944)),ISNUMBER(SEARCH("ПЕРЕГРУЗ",AE944)),ISNUMBER(SEARCH("ЗАЩИЩ",AE944)),ISNUMBER(SEARCH("КАНАЛ",AE944)),ISNUMBER(SEARCH("без 30",AE944))),2,1))</f>
      </c>
      <c r="BV944" s="129">
        <f>IF(R944="","",COUNTIF($R$3:R944,"?*"))</f>
      </c>
      <c r="BW944" s="129">
        <f>IF(AY944&lt;&gt;1,0,IF(MAX(IFERROR(--VLOOKUP(R944,УГО_спр,5,FALSE),0),IFERROR(--VLOOKUP(AL944,УГО_спр,5,FALSE),0),IFERROR(--VLOOKUP(LEFT(AL944,2),УГО_спр,5,FALSE),0))&gt;0,MAX(IFERROR(--VLOOKUP(R944,УГО_спр,5,FALSE),0),IFERROR(--VLOOKUP(AL944,УГО_спр,5,FALSE),0),IFERROR(--VLOOKUP(LEFT(AL944,2),УГО_спр,5,FALSE),0)),IF(IFERROR(--LEFT(SUBSTITUTE(BQ944,"x","х"),FIND("х",SUBSTITUTE(BQ944,"x","х"))-1),3)&gt;3,Каталог!$S$9,1)))</f>
      </c>
      <c r="BX944" s="129">
        <f>IF(AY944&lt;&gt;1,0,MAX(0,IFERROR(--LEFT(SUBSTITUTE(BQ944,"x","х"),FIND("х",SUBSTITUTE(BQ944,"x","х"))-1),3)-3*BW944))</f>
      </c>
      <c r="BY944" s="129">
        <f>IF(R944="","",IFERROR(VLOOKUP(R944,УГО_спр,2,FALSE),IFERROR(VLOOKUP(AL944,УГО_спр,2,FALSE),IFERROR(VLOOKUP(LEFT(AL944,2),УГО_спр,2,FALSE),""))))</f>
      </c>
    </row>
    <row r="945" spans="1:64" x14ac:dyDescent="0.3">
      <c r="A945" s="135">
        <f>IF(Разбивка_по_щитам!F945=0,"",Разбивка_по_щитам!F945)</f>
        <v/>
      </c>
      <c r="B945" s="138">
        <f>IF(A945="","",Разбивка_по_щитам!C945)</f>
        <v/>
      </c>
      <c r="C945" s="138">
        <f t="shared" si="582"/>
        <v/>
      </c>
      <c r="D945" s="266"/>
      <c r="E945" s="266"/>
      <c r="F945" s="267"/>
      <c r="G945" s="145">
        <f t="shared" si="583"/>
        <v/>
      </c>
      <c r="H945" s="145">
        <f t="shared" si="584"/>
        <v/>
      </c>
      <c r="I945" s="266"/>
      <c r="J945" s="267"/>
      <c r="K945" s="267"/>
      <c r="L945" s="266"/>
      <c r="M945" s="147">
        <f t="shared" si="585"/>
        <v/>
      </c>
      <c r="N945" s="267"/>
      <c r="O945" s="147">
        <f t="shared" si="586"/>
        <v/>
      </c>
      <c r="P945" s="268">
        <f>IF(AY945=1,"XT"&amp;COUNTIFS($A$3:A945,A945,$AY$3:AY945,1),"")</f>
        <v/>
      </c>
      <c r="Q945" s="152">
        <f>IF(R945="","",IFERROR(SUBSTITUTE(Разбивка_по_щитам!P945,CHAR(10)," "),""))</f>
        <v/>
      </c>
      <c r="R945" s="153">
        <f>IF(OR(Разбивка_по_щитам!H945="",Разбивка_по_щитам!H945=0),"",Разбивка_по_щитам!H945)</f>
        <v/>
      </c>
      <c r="S945" s="154">
        <f>IF(R945="","",IFERROR(Разбивка_по_щитам!J945&amp;"",""))</f>
        <v/>
      </c>
      <c r="T945" s="155">
        <f>IF(R945="","",IFERROR(--Разбивка_по_щитам!L945,""))</f>
        <v/>
      </c>
      <c r="U945" s="155">
        <f>IF(R945="","",IFERROR(--Разбивка_по_щитам!K945,""))</f>
        <v/>
      </c>
      <c r="V945" s="138">
        <f>IF(R945="","",IFERROR(IF(Разбивка_по_щитам!M945=0,"",Разбивка_по_щитам!M945),""))</f>
        <v/>
      </c>
      <c r="W945" s="156">
        <f t="shared" si="587"/>
        <v/>
      </c>
      <c r="X945" s="157">
        <f t="shared" si="588"/>
        <v/>
      </c>
      <c r="Y945" s="266"/>
      <c r="Z945" s="158">
        <f t="shared" si="589"/>
        <v/>
      </c>
      <c r="AA945" s="160">
        <f t="shared" si="590"/>
        <v/>
      </c>
      <c r="AB945" s="160">
        <f>IF(R945="","",IFERROR(LOOKUP(INDEX(Справочная!$I$4:$I$19,MATCH(VLOOKUP(R945,Исходные_данные,22,FALSE),Справочная!$J$4:$J$19,0)+1),{6,10,16,20,25,32,40,50,63,80,100,125}),""))</f>
        <v/>
      </c>
      <c r="AC945" s="160">
        <f t="shared" si="591"/>
        <v/>
      </c>
      <c r="AD945" s="161">
        <f t="shared" si="592"/>
        <v/>
      </c>
      <c r="AE945" s="161">
        <f>IF(AND(R945="",G945=""),"",_xlfn.TEXTJOIN("; ",TRUE,IF(AND(R945&lt;&gt;"",V945=""),"нет фазы",""),IF(AND(R945&lt;&gt;"",N(T945)=0),"нет мощности",""),IF(AND(P945&lt;&gt;"",COUNTIFS($A$3:$A$1000,A945,$P$3:$P$1000,P945)&gt;1),"дубль клеммы "&amp;P945,""),IF(AND(W945&lt;&gt;"",W945&lt;&gt;"ok"),W945,""),IF(X945&lt;&gt;"",X945,""),IF(AND(ISNUMBER(SEARCH("(5х",Q945)),N(AK945)=1),"5 жил на 1 фазе",""),IF(AND(AL945="R",E945&lt;&gt;"",N(AS945)=0),"розетка без 30 мА",""),IF(IFERROR(_xlfn.NUMBERVALUE(MID(Q945,FIND("-",Q945,FIND("L=",Q945))+1,FIND("%",Q945)-FIND("-",Q945,FIND("L=",Q945))-1),","),0)&gt;4,"потери &gt; 4 %","")))</f>
      </c>
      <c r="AF945" s="129">
        <f>IF(E945&lt;&gt;"",COUNTIFS($A$3:A945,A945,$E$3:E945,"?*"),IF(OR(A945&lt;&gt;A944,Y945="вручную"),"",AF944))</f>
        <v/>
      </c>
      <c r="AG945" s="129">
        <f t="shared" si="593"/>
        <v/>
      </c>
      <c r="AH945" s="129">
        <f t="shared" si="594"/>
        <v/>
      </c>
      <c r="AI945" s="129">
        <f t="shared" si="595"/>
        <v/>
      </c>
      <c r="AJ945" s="129">
        <f t="shared" si="596"/>
        <v/>
      </c>
      <c r="AK945" s="129">
        <f t="shared" si="597"/>
        <v/>
      </c>
      <c r="AL945" s="129">
        <f t="shared" si="598"/>
        <v/>
      </c>
      <c r="AM945" s="129">
        <f t="shared" si="599"/>
      </c>
      <c r="AN945" s="129">
        <f t="shared" si="600"/>
      </c>
      <c r="AO945" s="129">
        <f t="shared" si="601"/>
        <v/>
      </c>
      <c r="AP945" s="129">
        <f t="shared" si="602"/>
        <v/>
      </c>
      <c r="AQ945" s="129">
        <f t="shared" si="603"/>
        <v/>
      </c>
      <c r="AR945" s="129">
        <f t="shared" si="604"/>
        <v/>
      </c>
      <c r="AS945" s="129">
        <f t="shared" si="605"/>
        <v/>
      </c>
      <c r="AT945" s="129">
        <f t="shared" si="606"/>
        <v/>
      </c>
      <c r="AU945" s="129">
        <f t="shared" si="607"/>
        <v/>
      </c>
      <c r="AV945" s="129">
        <f t="shared" si="608"/>
        <v/>
      </c>
      <c r="AW945" s="129">
        <f>IF(AV945="","",AV945&amp;"."&amp;COUNTIFS($A$3:A945,A945,$AV$3:AV945,AV945))</f>
        <v/>
      </c>
      <c r="AX945" s="129">
        <f t="shared" si="609"/>
        <v/>
      </c>
      <c r="AY945" s="129">
        <f>IF(N945="б/к",0,IF(OR(ISNUMBER(SEARCH("L=",Разбивка_по_щитам!P945)),N945="+",N945="="),1,0))</f>
      </c>
      <c r="AZ945" s="129">
        <f t="shared" si="610"/>
        <v/>
      </c>
      <c r="BA945" s="129">
        <f t="shared" si="611"/>
      </c>
      <c r="BB945" s="129">
        <f t="shared" si="612"/>
      </c>
      <c r="BD945" s="129">
        <f t="shared" si="613"/>
      </c>
      <c r="BE945" s="129">
        <f t="shared" si="614"/>
      </c>
      <c r="BF945" s="129">
        <f t="shared" si="615"/>
      </c>
      <c r="BG945" s="129">
        <f t="shared" si="616"/>
        <v/>
      </c>
      <c r="BH945" s="129">
        <f t="shared" si="617"/>
        <v/>
      </c>
      <c r="BI945" s="129">
        <f t="shared" si="618"/>
        <v/>
      </c>
      <c r="BJ945" s="129">
        <f t="shared" si="619"/>
        <v/>
      </c>
      <c r="BK945" s="129">
        <f>IF(R945="","",IF(OR(BY945="",BY945=0),"BOX",IFERROR(IF(VLOOKUP(BY945,УГО_блоки,3,FALSE)&amp;""&lt;&gt;"",VLOOKUP(BY945,УГО_блоки,3,FALSE),VLOOKUP(BY945,УГО_блоки,2,FALSE)),BY945)))</f>
      </c>
      <c r="BL945" s="129">
        <f t="shared" si="621"/>
      </c>
      <c r="BM945" s="129">
        <f>IF(H945="","",IF(COUNTIF($H$3:H945,H945)=1,MAX($BM$2:BM944)+1,""))</f>
      </c>
      <c r="BN945" s="129">
        <f>IF(I945="","",IF(COUNTIF($I$3:I945,I945)+COUNTIF($J$2:J944,I945)+COUNTIF($K$2:K944,I945)=1,MAX($BN$2:BP944)+1,""))</f>
      </c>
      <c r="BO945" s="129">
        <f>IF(J945="","",IF(COUNTIF($I$3:I945,J945)+COUNTIF($J$3:J945,J945)+COUNTIF($K$2:K944,J945)=1,MAX($BN$2:BP944,BN945)+1,""))</f>
      </c>
      <c r="BP945" s="129">
        <f>IF(K945="","",IF(COUNTIF($I$3:I945,K945)+COUNTIF($J$3:J945,K945)+COUNTIF($K$3:K945,K945)=1,MAX($BN$2:BP944,BN945,BO945)+1,""))</f>
      </c>
      <c r="BQ945" s="129">
        <f>IF(AY945=1,IFERROR(MID(Q945,FIND(" (",Q945)+2,FIND(")",Q945,FIND(" (",Q945))-FIND(" (",Q945)-2),"?"),"")</f>
      </c>
      <c r="BR945" s="129">
        <f>IF(BQ945="","",IF(COUNTIF($BQ$3:BQ945,BQ945)=1,MAX($BR$2:BR944)+1,""))</f>
      </c>
      <c r="BS945" s="129">
        <f>IF(AW945="","",COUNTIF($AW$3:AW945,"?*"))</f>
      </c>
      <c r="BT945" s="129">
        <f>IF(OR(AW945="",AI945=""),"",IF(COUNTIFS($AW$3:AW945,"?*",$AI$3:AI945,AI945)=1,MAX($BT$2:BT944)+1,""))</f>
      </c>
      <c r="BU945" s="129">
        <f>IF(AE945="",0,IF(OR(ISNUMBER(SEARCH("дубль",AE945)),ISNUMBER(SEARCH("ПЕРЕГРУЗ",AE945)),ISNUMBER(SEARCH("ЗАЩИЩ",AE945)),ISNUMBER(SEARCH("КАНАЛ",AE945)),ISNUMBER(SEARCH("без 30",AE945))),2,1))</f>
      </c>
      <c r="BV945" s="129">
        <f>IF(R945="","",COUNTIF($R$3:R945,"?*"))</f>
      </c>
      <c r="BW945" s="129">
        <f>IF(AY945&lt;&gt;1,0,IF(MAX(IFERROR(--VLOOKUP(R945,УГО_спр,5,FALSE),0),IFERROR(--VLOOKUP(AL945,УГО_спр,5,FALSE),0),IFERROR(--VLOOKUP(LEFT(AL945,2),УГО_спр,5,FALSE),0))&gt;0,MAX(IFERROR(--VLOOKUP(R945,УГО_спр,5,FALSE),0),IFERROR(--VLOOKUP(AL945,УГО_спр,5,FALSE),0),IFERROR(--VLOOKUP(LEFT(AL945,2),УГО_спр,5,FALSE),0)),IF(IFERROR(--LEFT(SUBSTITUTE(BQ945,"x","х"),FIND("х",SUBSTITUTE(BQ945,"x","х"))-1),3)&gt;3,Каталог!$S$9,1)))</f>
      </c>
      <c r="BX945" s="129">
        <f>IF(AY945&lt;&gt;1,0,MAX(0,IFERROR(--LEFT(SUBSTITUTE(BQ945,"x","х"),FIND("х",SUBSTITUTE(BQ945,"x","х"))-1),3)-3*BW945))</f>
      </c>
      <c r="BY945" s="129">
        <f>IF(R945="","",IFERROR(VLOOKUP(R945,УГО_спр,2,FALSE),IFERROR(VLOOKUP(AL945,УГО_спр,2,FALSE),IFERROR(VLOOKUP(LEFT(AL945,2),УГО_спр,2,FALSE),""))))</f>
      </c>
    </row>
    <row r="946" spans="1:64" x14ac:dyDescent="0.3">
      <c r="A946" s="135">
        <f>IF(Разбивка_по_щитам!F946=0,"",Разбивка_по_щитам!F946)</f>
        <v/>
      </c>
      <c r="B946" s="138">
        <f>IF(A946="","",Разбивка_по_щитам!C946)</f>
        <v/>
      </c>
      <c r="C946" s="138">
        <f t="shared" si="582"/>
        <v/>
      </c>
      <c r="D946" s="266"/>
      <c r="E946" s="266"/>
      <c r="F946" s="267"/>
      <c r="G946" s="145">
        <f t="shared" si="583"/>
        <v/>
      </c>
      <c r="H946" s="145">
        <f t="shared" si="584"/>
        <v/>
      </c>
      <c r="I946" s="266"/>
      <c r="J946" s="267"/>
      <c r="K946" s="267"/>
      <c r="L946" s="266"/>
      <c r="M946" s="147">
        <f t="shared" si="585"/>
        <v/>
      </c>
      <c r="N946" s="267"/>
      <c r="O946" s="147">
        <f t="shared" si="586"/>
        <v/>
      </c>
      <c r="P946" s="268">
        <f>IF(AY946=1,"XT"&amp;COUNTIFS($A$3:A946,A946,$AY$3:AY946,1),"")</f>
        <v/>
      </c>
      <c r="Q946" s="152">
        <f>IF(R946="","",IFERROR(SUBSTITUTE(Разбивка_по_щитам!P946,CHAR(10)," "),""))</f>
        <v/>
      </c>
      <c r="R946" s="153">
        <f>IF(OR(Разбивка_по_щитам!H946="",Разбивка_по_щитам!H946=0),"",Разбивка_по_щитам!H946)</f>
        <v/>
      </c>
      <c r="S946" s="154">
        <f>IF(R946="","",IFERROR(Разбивка_по_щитам!J946&amp;"",""))</f>
        <v/>
      </c>
      <c r="T946" s="155">
        <f>IF(R946="","",IFERROR(--Разбивка_по_щитам!L946,""))</f>
        <v/>
      </c>
      <c r="U946" s="155">
        <f>IF(R946="","",IFERROR(--Разбивка_по_щитам!K946,""))</f>
        <v/>
      </c>
      <c r="V946" s="138">
        <f>IF(R946="","",IFERROR(IF(Разбивка_по_щитам!M946=0,"",Разбивка_по_щитам!M946),""))</f>
        <v/>
      </c>
      <c r="W946" s="156">
        <f t="shared" si="587"/>
        <v/>
      </c>
      <c r="X946" s="157">
        <f t="shared" si="588"/>
        <v/>
      </c>
      <c r="Y946" s="266"/>
      <c r="Z946" s="158">
        <f t="shared" si="589"/>
        <v/>
      </c>
      <c r="AA946" s="160">
        <f t="shared" si="590"/>
        <v/>
      </c>
      <c r="AB946" s="160">
        <f>IF(R946="","",IFERROR(LOOKUP(INDEX(Справочная!$I$4:$I$19,MATCH(VLOOKUP(R946,Исходные_данные,22,FALSE),Справочная!$J$4:$J$19,0)+1),{6,10,16,20,25,32,40,50,63,80,100,125}),""))</f>
        <v/>
      </c>
      <c r="AC946" s="160">
        <f t="shared" si="591"/>
        <v/>
      </c>
      <c r="AD946" s="161">
        <f t="shared" si="592"/>
        <v/>
      </c>
      <c r="AE946" s="161">
        <f>IF(AND(R946="",G946=""),"",_xlfn.TEXTJOIN("; ",TRUE,IF(AND(R946&lt;&gt;"",V946=""),"нет фазы",""),IF(AND(R946&lt;&gt;"",N(T946)=0),"нет мощности",""),IF(AND(P946&lt;&gt;"",COUNTIFS($A$3:$A$1000,A946,$P$3:$P$1000,P946)&gt;1),"дубль клеммы "&amp;P946,""),IF(AND(W946&lt;&gt;"",W946&lt;&gt;"ok"),W946,""),IF(X946&lt;&gt;"",X946,""),IF(AND(ISNUMBER(SEARCH("(5х",Q946)),N(AK946)=1),"5 жил на 1 фазе",""),IF(AND(AL946="R",E946&lt;&gt;"",N(AS946)=0),"розетка без 30 мА",""),IF(IFERROR(_xlfn.NUMBERVALUE(MID(Q946,FIND("-",Q946,FIND("L=",Q946))+1,FIND("%",Q946)-FIND("-",Q946,FIND("L=",Q946))-1),","),0)&gt;4,"потери &gt; 4 %","")))</f>
      </c>
      <c r="AF946" s="129">
        <f>IF(E946&lt;&gt;"",COUNTIFS($A$3:A946,A946,$E$3:E946,"?*"),IF(OR(A946&lt;&gt;A945,Y946="вручную"),"",AF945))</f>
        <v/>
      </c>
      <c r="AG946" s="129">
        <f t="shared" si="593"/>
        <v/>
      </c>
      <c r="AH946" s="129">
        <f t="shared" si="594"/>
        <v/>
      </c>
      <c r="AI946" s="129">
        <f t="shared" si="595"/>
        <v/>
      </c>
      <c r="AJ946" s="129">
        <f t="shared" si="596"/>
        <v/>
      </c>
      <c r="AK946" s="129">
        <f t="shared" si="597"/>
        <v/>
      </c>
      <c r="AL946" s="129">
        <f t="shared" si="598"/>
        <v/>
      </c>
      <c r="AM946" s="129">
        <f t="shared" si="599"/>
      </c>
      <c r="AN946" s="129">
        <f t="shared" si="600"/>
      </c>
      <c r="AO946" s="129">
        <f t="shared" si="601"/>
        <v/>
      </c>
      <c r="AP946" s="129">
        <f t="shared" si="602"/>
        <v/>
      </c>
      <c r="AQ946" s="129">
        <f t="shared" si="603"/>
        <v/>
      </c>
      <c r="AR946" s="129">
        <f t="shared" si="604"/>
        <v/>
      </c>
      <c r="AS946" s="129">
        <f t="shared" si="605"/>
        <v/>
      </c>
      <c r="AT946" s="129">
        <f t="shared" si="606"/>
        <v/>
      </c>
      <c r="AU946" s="129">
        <f t="shared" si="607"/>
        <v/>
      </c>
      <c r="AV946" s="129">
        <f t="shared" si="608"/>
        <v/>
      </c>
      <c r="AW946" s="129">
        <f>IF(AV946="","",AV946&amp;"."&amp;COUNTIFS($A$3:A946,A946,$AV$3:AV946,AV946))</f>
        <v/>
      </c>
      <c r="AX946" s="129">
        <f t="shared" si="609"/>
        <v/>
      </c>
      <c r="AY946" s="129">
        <f>IF(N946="б/к",0,IF(OR(ISNUMBER(SEARCH("L=",Разбивка_по_щитам!P946)),N946="+",N946="="),1,0))</f>
      </c>
      <c r="AZ946" s="129">
        <f t="shared" si="610"/>
        <v/>
      </c>
      <c r="BA946" s="129">
        <f t="shared" si="611"/>
      </c>
      <c r="BB946" s="129">
        <f t="shared" si="612"/>
      </c>
      <c r="BD946" s="129">
        <f t="shared" si="613"/>
      </c>
      <c r="BE946" s="129">
        <f t="shared" si="614"/>
      </c>
      <c r="BF946" s="129">
        <f t="shared" si="615"/>
      </c>
      <c r="BG946" s="129">
        <f t="shared" si="616"/>
        <v/>
      </c>
      <c r="BH946" s="129">
        <f t="shared" si="617"/>
        <v/>
      </c>
      <c r="BI946" s="129">
        <f t="shared" si="618"/>
        <v/>
      </c>
      <c r="BJ946" s="129">
        <f t="shared" si="619"/>
        <v/>
      </c>
      <c r="BK946" s="129">
        <f>IF(R946="","",IF(OR(BY946="",BY946=0),"BOX",IFERROR(IF(VLOOKUP(BY946,УГО_блоки,3,FALSE)&amp;""&lt;&gt;"",VLOOKUP(BY946,УГО_блоки,3,FALSE),VLOOKUP(BY946,УГО_блоки,2,FALSE)),BY946)))</f>
      </c>
      <c r="BL946" s="129">
        <f t="shared" si="621"/>
      </c>
      <c r="BM946" s="129">
        <f>IF(H946="","",IF(COUNTIF($H$3:H946,H946)=1,MAX($BM$2:BM945)+1,""))</f>
      </c>
      <c r="BN946" s="129">
        <f>IF(I946="","",IF(COUNTIF($I$3:I946,I946)+COUNTIF($J$2:J945,I946)+COUNTIF($K$2:K945,I946)=1,MAX($BN$2:BP945)+1,""))</f>
      </c>
      <c r="BO946" s="129">
        <f>IF(J946="","",IF(COUNTIF($I$3:I946,J946)+COUNTIF($J$3:J946,J946)+COUNTIF($K$2:K945,J946)=1,MAX($BN$2:BP945,BN946)+1,""))</f>
      </c>
      <c r="BP946" s="129">
        <f>IF(K946="","",IF(COUNTIF($I$3:I946,K946)+COUNTIF($J$3:J946,K946)+COUNTIF($K$3:K946,K946)=1,MAX($BN$2:BP945,BN946,BO946)+1,""))</f>
      </c>
      <c r="BQ946" s="129">
        <f>IF(AY946=1,IFERROR(MID(Q946,FIND(" (",Q946)+2,FIND(")",Q946,FIND(" (",Q946))-FIND(" (",Q946)-2),"?"),"")</f>
      </c>
      <c r="BR946" s="129">
        <f>IF(BQ946="","",IF(COUNTIF($BQ$3:BQ946,BQ946)=1,MAX($BR$2:BR945)+1,""))</f>
      </c>
      <c r="BS946" s="129">
        <f>IF(AW946="","",COUNTIF($AW$3:AW946,"?*"))</f>
      </c>
      <c r="BT946" s="129">
        <f>IF(OR(AW946="",AI946=""),"",IF(COUNTIFS($AW$3:AW946,"?*",$AI$3:AI946,AI946)=1,MAX($BT$2:BT945)+1,""))</f>
      </c>
      <c r="BU946" s="129">
        <f>IF(AE946="",0,IF(OR(ISNUMBER(SEARCH("дубль",AE946)),ISNUMBER(SEARCH("ПЕРЕГРУЗ",AE946)),ISNUMBER(SEARCH("ЗАЩИЩ",AE946)),ISNUMBER(SEARCH("КАНАЛ",AE946)),ISNUMBER(SEARCH("без 30",AE946))),2,1))</f>
      </c>
      <c r="BV946" s="129">
        <f>IF(R946="","",COUNTIF($R$3:R946,"?*"))</f>
      </c>
      <c r="BW946" s="129">
        <f>IF(AY946&lt;&gt;1,0,IF(MAX(IFERROR(--VLOOKUP(R946,УГО_спр,5,FALSE),0),IFERROR(--VLOOKUP(AL946,УГО_спр,5,FALSE),0),IFERROR(--VLOOKUP(LEFT(AL946,2),УГО_спр,5,FALSE),0))&gt;0,MAX(IFERROR(--VLOOKUP(R946,УГО_спр,5,FALSE),0),IFERROR(--VLOOKUP(AL946,УГО_спр,5,FALSE),0),IFERROR(--VLOOKUP(LEFT(AL946,2),УГО_спр,5,FALSE),0)),IF(IFERROR(--LEFT(SUBSTITUTE(BQ946,"x","х"),FIND("х",SUBSTITUTE(BQ946,"x","х"))-1),3)&gt;3,Каталог!$S$9,1)))</f>
      </c>
      <c r="BX946" s="129">
        <f>IF(AY946&lt;&gt;1,0,MAX(0,IFERROR(--LEFT(SUBSTITUTE(BQ946,"x","х"),FIND("х",SUBSTITUTE(BQ946,"x","х"))-1),3)-3*BW946))</f>
      </c>
      <c r="BY946" s="129">
        <f>IF(R946="","",IFERROR(VLOOKUP(R946,УГО_спр,2,FALSE),IFERROR(VLOOKUP(AL946,УГО_спр,2,FALSE),IFERROR(VLOOKUP(LEFT(AL946,2),УГО_спр,2,FALSE),""))))</f>
      </c>
    </row>
    <row r="947" spans="1:64" x14ac:dyDescent="0.3">
      <c r="A947" s="135">
        <f>IF(Разбивка_по_щитам!F947=0,"",Разбивка_по_щитам!F947)</f>
        <v/>
      </c>
      <c r="B947" s="138">
        <f>IF(A947="","",Разбивка_по_щитам!C947)</f>
        <v/>
      </c>
      <c r="C947" s="138">
        <f t="shared" si="582"/>
        <v/>
      </c>
      <c r="D947" s="266"/>
      <c r="E947" s="266"/>
      <c r="F947" s="267"/>
      <c r="G947" s="145">
        <f t="shared" si="583"/>
        <v/>
      </c>
      <c r="H947" s="145">
        <f t="shared" si="584"/>
        <v/>
      </c>
      <c r="I947" s="266"/>
      <c r="J947" s="267"/>
      <c r="K947" s="267"/>
      <c r="L947" s="266"/>
      <c r="M947" s="147">
        <f t="shared" si="585"/>
        <v/>
      </c>
      <c r="N947" s="267"/>
      <c r="O947" s="147">
        <f t="shared" si="586"/>
        <v/>
      </c>
      <c r="P947" s="268">
        <f>IF(AY947=1,"XT"&amp;COUNTIFS($A$3:A947,A947,$AY$3:AY947,1),"")</f>
        <v/>
      </c>
      <c r="Q947" s="152">
        <f>IF(R947="","",IFERROR(SUBSTITUTE(Разбивка_по_щитам!P947,CHAR(10)," "),""))</f>
        <v/>
      </c>
      <c r="R947" s="153">
        <f>IF(OR(Разбивка_по_щитам!H947="",Разбивка_по_щитам!H947=0),"",Разбивка_по_щитам!H947)</f>
        <v/>
      </c>
      <c r="S947" s="154">
        <f>IF(R947="","",IFERROR(Разбивка_по_щитам!J947&amp;"",""))</f>
        <v/>
      </c>
      <c r="T947" s="155">
        <f>IF(R947="","",IFERROR(--Разбивка_по_щитам!L947,""))</f>
        <v/>
      </c>
      <c r="U947" s="155">
        <f>IF(R947="","",IFERROR(--Разбивка_по_щитам!K947,""))</f>
        <v/>
      </c>
      <c r="V947" s="138">
        <f>IF(R947="","",IFERROR(IF(Разбивка_по_щитам!M947=0,"",Разбивка_по_щитам!M947),""))</f>
        <v/>
      </c>
      <c r="W947" s="156">
        <f t="shared" si="587"/>
        <v/>
      </c>
      <c r="X947" s="157">
        <f t="shared" si="588"/>
        <v/>
      </c>
      <c r="Y947" s="266"/>
      <c r="Z947" s="158">
        <f t="shared" si="589"/>
        <v/>
      </c>
      <c r="AA947" s="160">
        <f t="shared" si="590"/>
        <v/>
      </c>
      <c r="AB947" s="160">
        <f>IF(R947="","",IFERROR(LOOKUP(INDEX(Справочная!$I$4:$I$19,MATCH(VLOOKUP(R947,Исходные_данные,22,FALSE),Справочная!$J$4:$J$19,0)+1),{6,10,16,20,25,32,40,50,63,80,100,125}),""))</f>
        <v/>
      </c>
      <c r="AC947" s="160">
        <f t="shared" si="591"/>
        <v/>
      </c>
      <c r="AD947" s="161">
        <f t="shared" si="592"/>
        <v/>
      </c>
      <c r="AE947" s="161">
        <f>IF(AND(R947="",G947=""),"",_xlfn.TEXTJOIN("; ",TRUE,IF(AND(R947&lt;&gt;"",V947=""),"нет фазы",""),IF(AND(R947&lt;&gt;"",N(T947)=0),"нет мощности",""),IF(AND(P947&lt;&gt;"",COUNTIFS($A$3:$A$1000,A947,$P$3:$P$1000,P947)&gt;1),"дубль клеммы "&amp;P947,""),IF(AND(W947&lt;&gt;"",W947&lt;&gt;"ok"),W947,""),IF(X947&lt;&gt;"",X947,""),IF(AND(ISNUMBER(SEARCH("(5х",Q947)),N(AK947)=1),"5 жил на 1 фазе",""),IF(AND(AL947="R",E947&lt;&gt;"",N(AS947)=0),"розетка без 30 мА",""),IF(IFERROR(_xlfn.NUMBERVALUE(MID(Q947,FIND("-",Q947,FIND("L=",Q947))+1,FIND("%",Q947)-FIND("-",Q947,FIND("L=",Q947))-1),","),0)&gt;4,"потери &gt; 4 %","")))</f>
      </c>
      <c r="AF947" s="129">
        <f>IF(E947&lt;&gt;"",COUNTIFS($A$3:A947,A947,$E$3:E947,"?*"),IF(OR(A947&lt;&gt;A946,Y947="вручную"),"",AF946))</f>
        <v/>
      </c>
      <c r="AG947" s="129">
        <f t="shared" si="593"/>
        <v/>
      </c>
      <c r="AH947" s="129">
        <f t="shared" si="594"/>
        <v/>
      </c>
      <c r="AI947" s="129">
        <f t="shared" si="595"/>
        <v/>
      </c>
      <c r="AJ947" s="129">
        <f t="shared" si="596"/>
        <v/>
      </c>
      <c r="AK947" s="129">
        <f t="shared" si="597"/>
        <v/>
      </c>
      <c r="AL947" s="129">
        <f t="shared" si="598"/>
        <v/>
      </c>
      <c r="AM947" s="129">
        <f t="shared" si="599"/>
      </c>
      <c r="AN947" s="129">
        <f t="shared" si="600"/>
      </c>
      <c r="AO947" s="129">
        <f t="shared" si="601"/>
        <v/>
      </c>
      <c r="AP947" s="129">
        <f t="shared" si="602"/>
        <v/>
      </c>
      <c r="AQ947" s="129">
        <f t="shared" si="603"/>
        <v/>
      </c>
      <c r="AR947" s="129">
        <f t="shared" si="604"/>
        <v/>
      </c>
      <c r="AS947" s="129">
        <f t="shared" si="605"/>
        <v/>
      </c>
      <c r="AT947" s="129">
        <f t="shared" si="606"/>
        <v/>
      </c>
      <c r="AU947" s="129">
        <f t="shared" si="607"/>
        <v/>
      </c>
      <c r="AV947" s="129">
        <f t="shared" si="608"/>
        <v/>
      </c>
      <c r="AW947" s="129">
        <f>IF(AV947="","",AV947&amp;"."&amp;COUNTIFS($A$3:A947,A947,$AV$3:AV947,AV947))</f>
        <v/>
      </c>
      <c r="AX947" s="129">
        <f t="shared" si="609"/>
        <v/>
      </c>
      <c r="AY947" s="129">
        <f>IF(N947="б/к",0,IF(OR(ISNUMBER(SEARCH("L=",Разбивка_по_щитам!P947)),N947="+",N947="="),1,0))</f>
      </c>
      <c r="AZ947" s="129">
        <f t="shared" si="610"/>
        <v/>
      </c>
      <c r="BA947" s="129">
        <f t="shared" si="611"/>
      </c>
      <c r="BB947" s="129">
        <f t="shared" si="612"/>
      </c>
      <c r="BD947" s="129">
        <f t="shared" si="613"/>
      </c>
      <c r="BE947" s="129">
        <f t="shared" si="614"/>
      </c>
      <c r="BF947" s="129">
        <f t="shared" si="615"/>
      </c>
      <c r="BG947" s="129">
        <f t="shared" si="616"/>
        <v/>
      </c>
      <c r="BH947" s="129">
        <f t="shared" si="617"/>
        <v/>
      </c>
      <c r="BI947" s="129">
        <f t="shared" si="618"/>
        <v/>
      </c>
      <c r="BJ947" s="129">
        <f t="shared" si="619"/>
        <v/>
      </c>
      <c r="BK947" s="129">
        <f>IF(R947="","",IF(OR(BY947="",BY947=0),"BOX",IFERROR(IF(VLOOKUP(BY947,УГО_блоки,3,FALSE)&amp;""&lt;&gt;"",VLOOKUP(BY947,УГО_блоки,3,FALSE),VLOOKUP(BY947,УГО_блоки,2,FALSE)),BY947)))</f>
      </c>
      <c r="BL947" s="129">
        <f t="shared" si="621"/>
      </c>
      <c r="BM947" s="129">
        <f>IF(H947="","",IF(COUNTIF($H$3:H947,H947)=1,MAX($BM$2:BM946)+1,""))</f>
      </c>
      <c r="BN947" s="129">
        <f>IF(I947="","",IF(COUNTIF($I$3:I947,I947)+COUNTIF($J$2:J946,I947)+COUNTIF($K$2:K946,I947)=1,MAX($BN$2:BP946)+1,""))</f>
      </c>
      <c r="BO947" s="129">
        <f>IF(J947="","",IF(COUNTIF($I$3:I947,J947)+COUNTIF($J$3:J947,J947)+COUNTIF($K$2:K946,J947)=1,MAX($BN$2:BP946,BN947)+1,""))</f>
      </c>
      <c r="BP947" s="129">
        <f>IF(K947="","",IF(COUNTIF($I$3:I947,K947)+COUNTIF($J$3:J947,K947)+COUNTIF($K$3:K947,K947)=1,MAX($BN$2:BP946,BN947,BO947)+1,""))</f>
      </c>
      <c r="BQ947" s="129">
        <f>IF(AY947=1,IFERROR(MID(Q947,FIND(" (",Q947)+2,FIND(")",Q947,FIND(" (",Q947))-FIND(" (",Q947)-2),"?"),"")</f>
      </c>
      <c r="BR947" s="129">
        <f>IF(BQ947="","",IF(COUNTIF($BQ$3:BQ947,BQ947)=1,MAX($BR$2:BR946)+1,""))</f>
      </c>
      <c r="BS947" s="129">
        <f>IF(AW947="","",COUNTIF($AW$3:AW947,"?*"))</f>
      </c>
      <c r="BT947" s="129">
        <f>IF(OR(AW947="",AI947=""),"",IF(COUNTIFS($AW$3:AW947,"?*",$AI$3:AI947,AI947)=1,MAX($BT$2:BT946)+1,""))</f>
      </c>
      <c r="BU947" s="129">
        <f>IF(AE947="",0,IF(OR(ISNUMBER(SEARCH("дубль",AE947)),ISNUMBER(SEARCH("ПЕРЕГРУЗ",AE947)),ISNUMBER(SEARCH("ЗАЩИЩ",AE947)),ISNUMBER(SEARCH("КАНАЛ",AE947)),ISNUMBER(SEARCH("без 30",AE947))),2,1))</f>
      </c>
      <c r="BV947" s="129">
        <f>IF(R947="","",COUNTIF($R$3:R947,"?*"))</f>
      </c>
      <c r="BW947" s="129">
        <f>IF(AY947&lt;&gt;1,0,IF(MAX(IFERROR(--VLOOKUP(R947,УГО_спр,5,FALSE),0),IFERROR(--VLOOKUP(AL947,УГО_спр,5,FALSE),0),IFERROR(--VLOOKUP(LEFT(AL947,2),УГО_спр,5,FALSE),0))&gt;0,MAX(IFERROR(--VLOOKUP(R947,УГО_спр,5,FALSE),0),IFERROR(--VLOOKUP(AL947,УГО_спр,5,FALSE),0),IFERROR(--VLOOKUP(LEFT(AL947,2),УГО_спр,5,FALSE),0)),IF(IFERROR(--LEFT(SUBSTITUTE(BQ947,"x","х"),FIND("х",SUBSTITUTE(BQ947,"x","х"))-1),3)&gt;3,Каталог!$S$9,1)))</f>
      </c>
      <c r="BX947" s="129">
        <f>IF(AY947&lt;&gt;1,0,MAX(0,IFERROR(--LEFT(SUBSTITUTE(BQ947,"x","х"),FIND("х",SUBSTITUTE(BQ947,"x","х"))-1),3)-3*BW947))</f>
      </c>
      <c r="BY947" s="129">
        <f>IF(R947="","",IFERROR(VLOOKUP(R947,УГО_спр,2,FALSE),IFERROR(VLOOKUP(AL947,УГО_спр,2,FALSE),IFERROR(VLOOKUP(LEFT(AL947,2),УГО_спр,2,FALSE),""))))</f>
      </c>
    </row>
    <row r="948" spans="1:64" x14ac:dyDescent="0.3">
      <c r="A948" s="135">
        <f>IF(Разбивка_по_щитам!F948=0,"",Разбивка_по_щитам!F948)</f>
        <v/>
      </c>
      <c r="B948" s="138">
        <f>IF(A948="","",Разбивка_по_щитам!C948)</f>
        <v/>
      </c>
      <c r="C948" s="138">
        <f t="shared" si="582"/>
        <v/>
      </c>
      <c r="D948" s="266"/>
      <c r="E948" s="266"/>
      <c r="F948" s="267"/>
      <c r="G948" s="145">
        <f t="shared" si="583"/>
        <v/>
      </c>
      <c r="H948" s="145">
        <f t="shared" si="584"/>
        <v/>
      </c>
      <c r="I948" s="266"/>
      <c r="J948" s="267"/>
      <c r="K948" s="267"/>
      <c r="L948" s="266"/>
      <c r="M948" s="147">
        <f t="shared" si="585"/>
        <v/>
      </c>
      <c r="N948" s="267"/>
      <c r="O948" s="147">
        <f t="shared" si="586"/>
        <v/>
      </c>
      <c r="P948" s="268">
        <f>IF(AY948=1,"XT"&amp;COUNTIFS($A$3:A948,A948,$AY$3:AY948,1),"")</f>
        <v/>
      </c>
      <c r="Q948" s="152">
        <f>IF(R948="","",IFERROR(SUBSTITUTE(Разбивка_по_щитам!P948,CHAR(10)," "),""))</f>
        <v/>
      </c>
      <c r="R948" s="153">
        <f>IF(OR(Разбивка_по_щитам!H948="",Разбивка_по_щитам!H948=0),"",Разбивка_по_щитам!H948)</f>
        <v/>
      </c>
      <c r="S948" s="154">
        <f>IF(R948="","",IFERROR(Разбивка_по_щитам!J948&amp;"",""))</f>
        <v/>
      </c>
      <c r="T948" s="155">
        <f>IF(R948="","",IFERROR(--Разбивка_по_щитам!L948,""))</f>
        <v/>
      </c>
      <c r="U948" s="155">
        <f>IF(R948="","",IFERROR(--Разбивка_по_щитам!K948,""))</f>
        <v/>
      </c>
      <c r="V948" s="138">
        <f>IF(R948="","",IFERROR(IF(Разбивка_по_щитам!M948=0,"",Разбивка_по_щитам!M948),""))</f>
        <v/>
      </c>
      <c r="W948" s="156">
        <f t="shared" si="587"/>
        <v/>
      </c>
      <c r="X948" s="157">
        <f t="shared" si="588"/>
        <v/>
      </c>
      <c r="Y948" s="266"/>
      <c r="Z948" s="158">
        <f t="shared" si="589"/>
        <v/>
      </c>
      <c r="AA948" s="160">
        <f t="shared" si="590"/>
        <v/>
      </c>
      <c r="AB948" s="160">
        <f>IF(R948="","",IFERROR(LOOKUP(INDEX(Справочная!$I$4:$I$19,MATCH(VLOOKUP(R948,Исходные_данные,22,FALSE),Справочная!$J$4:$J$19,0)+1),{6,10,16,20,25,32,40,50,63,80,100,125}),""))</f>
        <v/>
      </c>
      <c r="AC948" s="160">
        <f t="shared" si="591"/>
        <v/>
      </c>
      <c r="AD948" s="161">
        <f t="shared" si="592"/>
        <v/>
      </c>
      <c r="AE948" s="161">
        <f>IF(AND(R948="",G948=""),"",_xlfn.TEXTJOIN("; ",TRUE,IF(AND(R948&lt;&gt;"",V948=""),"нет фазы",""),IF(AND(R948&lt;&gt;"",N(T948)=0),"нет мощности",""),IF(AND(P948&lt;&gt;"",COUNTIFS($A$3:$A$1000,A948,$P$3:$P$1000,P948)&gt;1),"дубль клеммы "&amp;P948,""),IF(AND(W948&lt;&gt;"",W948&lt;&gt;"ok"),W948,""),IF(X948&lt;&gt;"",X948,""),IF(AND(ISNUMBER(SEARCH("(5х",Q948)),N(AK948)=1),"5 жил на 1 фазе",""),IF(AND(AL948="R",E948&lt;&gt;"",N(AS948)=0),"розетка без 30 мА",""),IF(IFERROR(_xlfn.NUMBERVALUE(MID(Q948,FIND("-",Q948,FIND("L=",Q948))+1,FIND("%",Q948)-FIND("-",Q948,FIND("L=",Q948))-1),","),0)&gt;4,"потери &gt; 4 %","")))</f>
      </c>
      <c r="AF948" s="129">
        <f>IF(E948&lt;&gt;"",COUNTIFS($A$3:A948,A948,$E$3:E948,"?*"),IF(OR(A948&lt;&gt;A947,Y948="вручную"),"",AF947))</f>
        <v/>
      </c>
      <c r="AG948" s="129">
        <f t="shared" si="593"/>
        <v/>
      </c>
      <c r="AH948" s="129">
        <f t="shared" si="594"/>
        <v/>
      </c>
      <c r="AI948" s="129">
        <f t="shared" si="595"/>
        <v/>
      </c>
      <c r="AJ948" s="129">
        <f t="shared" si="596"/>
        <v/>
      </c>
      <c r="AK948" s="129">
        <f t="shared" si="597"/>
        <v/>
      </c>
      <c r="AL948" s="129">
        <f t="shared" si="598"/>
        <v/>
      </c>
      <c r="AM948" s="129">
        <f t="shared" si="599"/>
      </c>
      <c r="AN948" s="129">
        <f t="shared" si="600"/>
      </c>
      <c r="AO948" s="129">
        <f t="shared" si="601"/>
        <v/>
      </c>
      <c r="AP948" s="129">
        <f t="shared" si="602"/>
        <v/>
      </c>
      <c r="AQ948" s="129">
        <f t="shared" si="603"/>
        <v/>
      </c>
      <c r="AR948" s="129">
        <f t="shared" si="604"/>
        <v/>
      </c>
      <c r="AS948" s="129">
        <f t="shared" si="605"/>
        <v/>
      </c>
      <c r="AT948" s="129">
        <f t="shared" si="606"/>
        <v/>
      </c>
      <c r="AU948" s="129">
        <f t="shared" si="607"/>
        <v/>
      </c>
      <c r="AV948" s="129">
        <f t="shared" si="608"/>
        <v/>
      </c>
      <c r="AW948" s="129">
        <f>IF(AV948="","",AV948&amp;"."&amp;COUNTIFS($A$3:A948,A948,$AV$3:AV948,AV948))</f>
        <v/>
      </c>
      <c r="AX948" s="129">
        <f t="shared" si="609"/>
        <v/>
      </c>
      <c r="AY948" s="129">
        <f>IF(N948="б/к",0,IF(OR(ISNUMBER(SEARCH("L=",Разбивка_по_щитам!P948)),N948="+",N948="="),1,0))</f>
      </c>
      <c r="AZ948" s="129">
        <f t="shared" si="610"/>
        <v/>
      </c>
      <c r="BA948" s="129">
        <f t="shared" si="611"/>
      </c>
      <c r="BB948" s="129">
        <f t="shared" si="612"/>
      </c>
      <c r="BD948" s="129">
        <f t="shared" si="613"/>
      </c>
      <c r="BE948" s="129">
        <f t="shared" si="614"/>
      </c>
      <c r="BF948" s="129">
        <f t="shared" si="615"/>
      </c>
      <c r="BG948" s="129">
        <f t="shared" si="616"/>
        <v/>
      </c>
      <c r="BH948" s="129">
        <f t="shared" si="617"/>
        <v/>
      </c>
      <c r="BI948" s="129">
        <f t="shared" si="618"/>
        <v/>
      </c>
      <c r="BJ948" s="129">
        <f t="shared" si="619"/>
        <v/>
      </c>
      <c r="BK948" s="129">
        <f>IF(R948="","",IF(OR(BY948="",BY948=0),"BOX",IFERROR(IF(VLOOKUP(BY948,УГО_блоки,3,FALSE)&amp;""&lt;&gt;"",VLOOKUP(BY948,УГО_блоки,3,FALSE),VLOOKUP(BY948,УГО_блоки,2,FALSE)),BY948)))</f>
      </c>
      <c r="BL948" s="129">
        <f t="shared" si="621"/>
      </c>
      <c r="BM948" s="129">
        <f>IF(H948="","",IF(COUNTIF($H$3:H948,H948)=1,MAX($BM$2:BM947)+1,""))</f>
      </c>
      <c r="BN948" s="129">
        <f>IF(I948="","",IF(COUNTIF($I$3:I948,I948)+COUNTIF($J$2:J947,I948)+COUNTIF($K$2:K947,I948)=1,MAX($BN$2:BP947)+1,""))</f>
      </c>
      <c r="BO948" s="129">
        <f>IF(J948="","",IF(COUNTIF($I$3:I948,J948)+COUNTIF($J$3:J948,J948)+COUNTIF($K$2:K947,J948)=1,MAX($BN$2:BP947,BN948)+1,""))</f>
      </c>
      <c r="BP948" s="129">
        <f>IF(K948="","",IF(COUNTIF($I$3:I948,K948)+COUNTIF($J$3:J948,K948)+COUNTIF($K$3:K948,K948)=1,MAX($BN$2:BP947,BN948,BO948)+1,""))</f>
      </c>
      <c r="BQ948" s="129">
        <f>IF(AY948=1,IFERROR(MID(Q948,FIND(" (",Q948)+2,FIND(")",Q948,FIND(" (",Q948))-FIND(" (",Q948)-2),"?"),"")</f>
      </c>
      <c r="BR948" s="129">
        <f>IF(BQ948="","",IF(COUNTIF($BQ$3:BQ948,BQ948)=1,MAX($BR$2:BR947)+1,""))</f>
      </c>
      <c r="BS948" s="129">
        <f>IF(AW948="","",COUNTIF($AW$3:AW948,"?*"))</f>
      </c>
      <c r="BT948" s="129">
        <f>IF(OR(AW948="",AI948=""),"",IF(COUNTIFS($AW$3:AW948,"?*",$AI$3:AI948,AI948)=1,MAX($BT$2:BT947)+1,""))</f>
      </c>
      <c r="BU948" s="129">
        <f>IF(AE948="",0,IF(OR(ISNUMBER(SEARCH("дубль",AE948)),ISNUMBER(SEARCH("ПЕРЕГРУЗ",AE948)),ISNUMBER(SEARCH("ЗАЩИЩ",AE948)),ISNUMBER(SEARCH("КАНАЛ",AE948)),ISNUMBER(SEARCH("без 30",AE948))),2,1))</f>
      </c>
      <c r="BV948" s="129">
        <f>IF(R948="","",COUNTIF($R$3:R948,"?*"))</f>
      </c>
      <c r="BW948" s="129">
        <f>IF(AY948&lt;&gt;1,0,IF(MAX(IFERROR(--VLOOKUP(R948,УГО_спр,5,FALSE),0),IFERROR(--VLOOKUP(AL948,УГО_спр,5,FALSE),0),IFERROR(--VLOOKUP(LEFT(AL948,2),УГО_спр,5,FALSE),0))&gt;0,MAX(IFERROR(--VLOOKUP(R948,УГО_спр,5,FALSE),0),IFERROR(--VLOOKUP(AL948,УГО_спр,5,FALSE),0),IFERROR(--VLOOKUP(LEFT(AL948,2),УГО_спр,5,FALSE),0)),IF(IFERROR(--LEFT(SUBSTITUTE(BQ948,"x","х"),FIND("х",SUBSTITUTE(BQ948,"x","х"))-1),3)&gt;3,Каталог!$S$9,1)))</f>
      </c>
      <c r="BX948" s="129">
        <f>IF(AY948&lt;&gt;1,0,MAX(0,IFERROR(--LEFT(SUBSTITUTE(BQ948,"x","х"),FIND("х",SUBSTITUTE(BQ948,"x","х"))-1),3)-3*BW948))</f>
      </c>
      <c r="BY948" s="129">
        <f>IF(R948="","",IFERROR(VLOOKUP(R948,УГО_спр,2,FALSE),IFERROR(VLOOKUP(AL948,УГО_спр,2,FALSE),IFERROR(VLOOKUP(LEFT(AL948,2),УГО_спр,2,FALSE),""))))</f>
      </c>
    </row>
    <row r="949" spans="1:64" x14ac:dyDescent="0.3">
      <c r="A949" s="135">
        <f>IF(Разбивка_по_щитам!F949=0,"",Разбивка_по_щитам!F949)</f>
        <v/>
      </c>
      <c r="B949" s="138">
        <f>IF(A949="","",Разбивка_по_щитам!C949)</f>
        <v/>
      </c>
      <c r="C949" s="138">
        <f t="shared" si="582"/>
        <v/>
      </c>
      <c r="D949" s="266"/>
      <c r="E949" s="266"/>
      <c r="F949" s="267"/>
      <c r="G949" s="145">
        <f t="shared" si="583"/>
        <v/>
      </c>
      <c r="H949" s="145">
        <f t="shared" si="584"/>
        <v/>
      </c>
      <c r="I949" s="266"/>
      <c r="J949" s="267"/>
      <c r="K949" s="267"/>
      <c r="L949" s="266"/>
      <c r="M949" s="147">
        <f t="shared" si="585"/>
        <v/>
      </c>
      <c r="N949" s="267"/>
      <c r="O949" s="147">
        <f t="shared" si="586"/>
        <v/>
      </c>
      <c r="P949" s="268">
        <f>IF(AY949=1,"XT"&amp;COUNTIFS($A$3:A949,A949,$AY$3:AY949,1),"")</f>
        <v/>
      </c>
      <c r="Q949" s="152">
        <f>IF(R949="","",IFERROR(SUBSTITUTE(Разбивка_по_щитам!P949,CHAR(10)," "),""))</f>
        <v/>
      </c>
      <c r="R949" s="153">
        <f>IF(OR(Разбивка_по_щитам!H949="",Разбивка_по_щитам!H949=0),"",Разбивка_по_щитам!H949)</f>
        <v/>
      </c>
      <c r="S949" s="154">
        <f>IF(R949="","",IFERROR(Разбивка_по_щитам!J949&amp;"",""))</f>
        <v/>
      </c>
      <c r="T949" s="155">
        <f>IF(R949="","",IFERROR(--Разбивка_по_щитам!L949,""))</f>
        <v/>
      </c>
      <c r="U949" s="155">
        <f>IF(R949="","",IFERROR(--Разбивка_по_щитам!K949,""))</f>
        <v/>
      </c>
      <c r="V949" s="138">
        <f>IF(R949="","",IFERROR(IF(Разбивка_по_щитам!M949=0,"",Разбивка_по_щитам!M949),""))</f>
        <v/>
      </c>
      <c r="W949" s="156">
        <f t="shared" si="587"/>
        <v/>
      </c>
      <c r="X949" s="157">
        <f t="shared" si="588"/>
        <v/>
      </c>
      <c r="Y949" s="266"/>
      <c r="Z949" s="158">
        <f t="shared" si="589"/>
        <v/>
      </c>
      <c r="AA949" s="160">
        <f t="shared" si="590"/>
        <v/>
      </c>
      <c r="AB949" s="160">
        <f>IF(R949="","",IFERROR(LOOKUP(INDEX(Справочная!$I$4:$I$19,MATCH(VLOOKUP(R949,Исходные_данные,22,FALSE),Справочная!$J$4:$J$19,0)+1),{6,10,16,20,25,32,40,50,63,80,100,125}),""))</f>
        <v/>
      </c>
      <c r="AC949" s="160">
        <f t="shared" si="591"/>
        <v/>
      </c>
      <c r="AD949" s="161">
        <f t="shared" si="592"/>
        <v/>
      </c>
      <c r="AE949" s="161">
        <f>IF(AND(R949="",G949=""),"",_xlfn.TEXTJOIN("; ",TRUE,IF(AND(R949&lt;&gt;"",V949=""),"нет фазы",""),IF(AND(R949&lt;&gt;"",N(T949)=0),"нет мощности",""),IF(AND(P949&lt;&gt;"",COUNTIFS($A$3:$A$1000,A949,$P$3:$P$1000,P949)&gt;1),"дубль клеммы "&amp;P949,""),IF(AND(W949&lt;&gt;"",W949&lt;&gt;"ok"),W949,""),IF(X949&lt;&gt;"",X949,""),IF(AND(ISNUMBER(SEARCH("(5х",Q949)),N(AK949)=1),"5 жил на 1 фазе",""),IF(AND(AL949="R",E949&lt;&gt;"",N(AS949)=0),"розетка без 30 мА",""),IF(IFERROR(_xlfn.NUMBERVALUE(MID(Q949,FIND("-",Q949,FIND("L=",Q949))+1,FIND("%",Q949)-FIND("-",Q949,FIND("L=",Q949))-1),","),0)&gt;4,"потери &gt; 4 %","")))</f>
      </c>
      <c r="AF949" s="129">
        <f>IF(E949&lt;&gt;"",COUNTIFS($A$3:A949,A949,$E$3:E949,"?*"),IF(OR(A949&lt;&gt;A948,Y949="вручную"),"",AF948))</f>
        <v/>
      </c>
      <c r="AG949" s="129">
        <f t="shared" si="593"/>
        <v/>
      </c>
      <c r="AH949" s="129">
        <f t="shared" si="594"/>
        <v/>
      </c>
      <c r="AI949" s="129">
        <f t="shared" si="595"/>
        <v/>
      </c>
      <c r="AJ949" s="129">
        <f t="shared" si="596"/>
        <v/>
      </c>
      <c r="AK949" s="129">
        <f t="shared" si="597"/>
        <v/>
      </c>
      <c r="AL949" s="129">
        <f t="shared" si="598"/>
        <v/>
      </c>
      <c r="AM949" s="129">
        <f t="shared" si="599"/>
      </c>
      <c r="AN949" s="129">
        <f t="shared" si="600"/>
      </c>
      <c r="AO949" s="129">
        <f t="shared" si="601"/>
        <v/>
      </c>
      <c r="AP949" s="129">
        <f t="shared" si="602"/>
        <v/>
      </c>
      <c r="AQ949" s="129">
        <f t="shared" si="603"/>
        <v/>
      </c>
      <c r="AR949" s="129">
        <f t="shared" si="604"/>
        <v/>
      </c>
      <c r="AS949" s="129">
        <f t="shared" si="605"/>
        <v/>
      </c>
      <c r="AT949" s="129">
        <f t="shared" si="606"/>
        <v/>
      </c>
      <c r="AU949" s="129">
        <f t="shared" si="607"/>
        <v/>
      </c>
      <c r="AV949" s="129">
        <f t="shared" si="608"/>
        <v/>
      </c>
      <c r="AW949" s="129">
        <f>IF(AV949="","",AV949&amp;"."&amp;COUNTIFS($A$3:A949,A949,$AV$3:AV949,AV949))</f>
        <v/>
      </c>
      <c r="AX949" s="129">
        <f t="shared" si="609"/>
        <v/>
      </c>
      <c r="AY949" s="129">
        <f>IF(N949="б/к",0,IF(OR(ISNUMBER(SEARCH("L=",Разбивка_по_щитам!P949)),N949="+",N949="="),1,0))</f>
      </c>
      <c r="AZ949" s="129">
        <f t="shared" si="610"/>
        <v/>
      </c>
      <c r="BA949" s="129">
        <f t="shared" si="611"/>
      </c>
      <c r="BB949" s="129">
        <f t="shared" si="612"/>
      </c>
      <c r="BD949" s="129">
        <f t="shared" si="613"/>
      </c>
      <c r="BE949" s="129">
        <f t="shared" si="614"/>
      </c>
      <c r="BF949" s="129">
        <f t="shared" si="615"/>
      </c>
      <c r="BG949" s="129">
        <f t="shared" si="616"/>
        <v/>
      </c>
      <c r="BH949" s="129">
        <f t="shared" si="617"/>
        <v/>
      </c>
      <c r="BI949" s="129">
        <f t="shared" si="618"/>
        <v/>
      </c>
      <c r="BJ949" s="129">
        <f t="shared" si="619"/>
        <v/>
      </c>
      <c r="BK949" s="129">
        <f>IF(R949="","",IF(OR(BY949="",BY949=0),"BOX",IFERROR(IF(VLOOKUP(BY949,УГО_блоки,3,FALSE)&amp;""&lt;&gt;"",VLOOKUP(BY949,УГО_блоки,3,FALSE),VLOOKUP(BY949,УГО_блоки,2,FALSE)),BY949)))</f>
      </c>
      <c r="BL949" s="129">
        <f t="shared" si="621"/>
      </c>
      <c r="BM949" s="129">
        <f>IF(H949="","",IF(COUNTIF($H$3:H949,H949)=1,MAX($BM$2:BM948)+1,""))</f>
      </c>
      <c r="BN949" s="129">
        <f>IF(I949="","",IF(COUNTIF($I$3:I949,I949)+COUNTIF($J$2:J948,I949)+COUNTIF($K$2:K948,I949)=1,MAX($BN$2:BP948)+1,""))</f>
      </c>
      <c r="BO949" s="129">
        <f>IF(J949="","",IF(COUNTIF($I$3:I949,J949)+COUNTIF($J$3:J949,J949)+COUNTIF($K$2:K948,J949)=1,MAX($BN$2:BP948,BN949)+1,""))</f>
      </c>
      <c r="BP949" s="129">
        <f>IF(K949="","",IF(COUNTIF($I$3:I949,K949)+COUNTIF($J$3:J949,K949)+COUNTIF($K$3:K949,K949)=1,MAX($BN$2:BP948,BN949,BO949)+1,""))</f>
      </c>
      <c r="BQ949" s="129">
        <f>IF(AY949=1,IFERROR(MID(Q949,FIND(" (",Q949)+2,FIND(")",Q949,FIND(" (",Q949))-FIND(" (",Q949)-2),"?"),"")</f>
      </c>
      <c r="BR949" s="129">
        <f>IF(BQ949="","",IF(COUNTIF($BQ$3:BQ949,BQ949)=1,MAX($BR$2:BR948)+1,""))</f>
      </c>
      <c r="BS949" s="129">
        <f>IF(AW949="","",COUNTIF($AW$3:AW949,"?*"))</f>
      </c>
      <c r="BT949" s="129">
        <f>IF(OR(AW949="",AI949=""),"",IF(COUNTIFS($AW$3:AW949,"?*",$AI$3:AI949,AI949)=1,MAX($BT$2:BT948)+1,""))</f>
      </c>
      <c r="BU949" s="129">
        <f>IF(AE949="",0,IF(OR(ISNUMBER(SEARCH("дубль",AE949)),ISNUMBER(SEARCH("ПЕРЕГРУЗ",AE949)),ISNUMBER(SEARCH("ЗАЩИЩ",AE949)),ISNUMBER(SEARCH("КАНАЛ",AE949)),ISNUMBER(SEARCH("без 30",AE949))),2,1))</f>
      </c>
      <c r="BV949" s="129">
        <f>IF(R949="","",COUNTIF($R$3:R949,"?*"))</f>
      </c>
      <c r="BW949" s="129">
        <f>IF(AY949&lt;&gt;1,0,IF(MAX(IFERROR(--VLOOKUP(R949,УГО_спр,5,FALSE),0),IFERROR(--VLOOKUP(AL949,УГО_спр,5,FALSE),0),IFERROR(--VLOOKUP(LEFT(AL949,2),УГО_спр,5,FALSE),0))&gt;0,MAX(IFERROR(--VLOOKUP(R949,УГО_спр,5,FALSE),0),IFERROR(--VLOOKUP(AL949,УГО_спр,5,FALSE),0),IFERROR(--VLOOKUP(LEFT(AL949,2),УГО_спр,5,FALSE),0)),IF(IFERROR(--LEFT(SUBSTITUTE(BQ949,"x","х"),FIND("х",SUBSTITUTE(BQ949,"x","х"))-1),3)&gt;3,Каталог!$S$9,1)))</f>
      </c>
      <c r="BX949" s="129">
        <f>IF(AY949&lt;&gt;1,0,MAX(0,IFERROR(--LEFT(SUBSTITUTE(BQ949,"x","х"),FIND("х",SUBSTITUTE(BQ949,"x","х"))-1),3)-3*BW949))</f>
      </c>
      <c r="BY949" s="129">
        <f>IF(R949="","",IFERROR(VLOOKUP(R949,УГО_спр,2,FALSE),IFERROR(VLOOKUP(AL949,УГО_спр,2,FALSE),IFERROR(VLOOKUP(LEFT(AL949,2),УГО_спр,2,FALSE),""))))</f>
      </c>
    </row>
    <row r="950" spans="1:64" x14ac:dyDescent="0.3">
      <c r="A950" s="135">
        <f>IF(Разбивка_по_щитам!F950=0,"",Разбивка_по_щитам!F950)</f>
        <v/>
      </c>
      <c r="B950" s="138">
        <f>IF(A950="","",Разбивка_по_щитам!C950)</f>
        <v/>
      </c>
      <c r="C950" s="138">
        <f t="shared" si="582"/>
        <v/>
      </c>
      <c r="D950" s="266"/>
      <c r="E950" s="266"/>
      <c r="F950" s="267"/>
      <c r="G950" s="145">
        <f t="shared" si="583"/>
        <v/>
      </c>
      <c r="H950" s="145">
        <f t="shared" si="584"/>
        <v/>
      </c>
      <c r="I950" s="266"/>
      <c r="J950" s="267"/>
      <c r="K950" s="267"/>
      <c r="L950" s="266"/>
      <c r="M950" s="147">
        <f t="shared" si="585"/>
        <v/>
      </c>
      <c r="N950" s="267"/>
      <c r="O950" s="147">
        <f t="shared" si="586"/>
        <v/>
      </c>
      <c r="P950" s="268">
        <f>IF(AY950=1,"XT"&amp;COUNTIFS($A$3:A950,A950,$AY$3:AY950,1),"")</f>
        <v/>
      </c>
      <c r="Q950" s="152">
        <f>IF(R950="","",IFERROR(SUBSTITUTE(Разбивка_по_щитам!P950,CHAR(10)," "),""))</f>
        <v/>
      </c>
      <c r="R950" s="153">
        <f>IF(OR(Разбивка_по_щитам!H950="",Разбивка_по_щитам!H950=0),"",Разбивка_по_щитам!H950)</f>
        <v/>
      </c>
      <c r="S950" s="154">
        <f>IF(R950="","",IFERROR(Разбивка_по_щитам!J950&amp;"",""))</f>
        <v/>
      </c>
      <c r="T950" s="155">
        <f>IF(R950="","",IFERROR(--Разбивка_по_щитам!L950,""))</f>
        <v/>
      </c>
      <c r="U950" s="155">
        <f>IF(R950="","",IFERROR(--Разбивка_по_щитам!K950,""))</f>
        <v/>
      </c>
      <c r="V950" s="138">
        <f>IF(R950="","",IFERROR(IF(Разбивка_по_щитам!M950=0,"",Разбивка_по_щитам!M950),""))</f>
        <v/>
      </c>
      <c r="W950" s="156">
        <f t="shared" si="587"/>
        <v/>
      </c>
      <c r="X950" s="157">
        <f t="shared" si="588"/>
        <v/>
      </c>
      <c r="Y950" s="266"/>
      <c r="Z950" s="158">
        <f t="shared" si="589"/>
        <v/>
      </c>
      <c r="AA950" s="160">
        <f t="shared" si="590"/>
        <v/>
      </c>
      <c r="AB950" s="160">
        <f>IF(R950="","",IFERROR(LOOKUP(INDEX(Справочная!$I$4:$I$19,MATCH(VLOOKUP(R950,Исходные_данные,22,FALSE),Справочная!$J$4:$J$19,0)+1),{6,10,16,20,25,32,40,50,63,80,100,125}),""))</f>
        <v/>
      </c>
      <c r="AC950" s="160">
        <f t="shared" si="591"/>
        <v/>
      </c>
      <c r="AD950" s="161">
        <f t="shared" si="592"/>
        <v/>
      </c>
      <c r="AE950" s="161">
        <f>IF(AND(R950="",G950=""),"",_xlfn.TEXTJOIN("; ",TRUE,IF(AND(R950&lt;&gt;"",V950=""),"нет фазы",""),IF(AND(R950&lt;&gt;"",N(T950)=0),"нет мощности",""),IF(AND(P950&lt;&gt;"",COUNTIFS($A$3:$A$1000,A950,$P$3:$P$1000,P950)&gt;1),"дубль клеммы "&amp;P950,""),IF(AND(W950&lt;&gt;"",W950&lt;&gt;"ok"),W950,""),IF(X950&lt;&gt;"",X950,""),IF(AND(ISNUMBER(SEARCH("(5х",Q950)),N(AK950)=1),"5 жил на 1 фазе",""),IF(AND(AL950="R",E950&lt;&gt;"",N(AS950)=0),"розетка без 30 мА",""),IF(IFERROR(_xlfn.NUMBERVALUE(MID(Q950,FIND("-",Q950,FIND("L=",Q950))+1,FIND("%",Q950)-FIND("-",Q950,FIND("L=",Q950))-1),","),0)&gt;4,"потери &gt; 4 %","")))</f>
      </c>
      <c r="AF950" s="129">
        <f>IF(E950&lt;&gt;"",COUNTIFS($A$3:A950,A950,$E$3:E950,"?*"),IF(OR(A950&lt;&gt;A949,Y950="вручную"),"",AF949))</f>
        <v/>
      </c>
      <c r="AG950" s="129">
        <f t="shared" si="593"/>
        <v/>
      </c>
      <c r="AH950" s="129">
        <f t="shared" si="594"/>
        <v/>
      </c>
      <c r="AI950" s="129">
        <f t="shared" si="595"/>
        <v/>
      </c>
      <c r="AJ950" s="129">
        <f t="shared" si="596"/>
        <v/>
      </c>
      <c r="AK950" s="129">
        <f t="shared" si="597"/>
        <v/>
      </c>
      <c r="AL950" s="129">
        <f t="shared" si="598"/>
        <v/>
      </c>
      <c r="AM950" s="129">
        <f t="shared" si="599"/>
      </c>
      <c r="AN950" s="129">
        <f t="shared" si="600"/>
      </c>
      <c r="AO950" s="129">
        <f t="shared" si="601"/>
        <v/>
      </c>
      <c r="AP950" s="129">
        <f t="shared" si="602"/>
        <v/>
      </c>
      <c r="AQ950" s="129">
        <f t="shared" si="603"/>
        <v/>
      </c>
      <c r="AR950" s="129">
        <f t="shared" si="604"/>
        <v/>
      </c>
      <c r="AS950" s="129">
        <f t="shared" si="605"/>
        <v/>
      </c>
      <c r="AT950" s="129">
        <f t="shared" si="606"/>
        <v/>
      </c>
      <c r="AU950" s="129">
        <f t="shared" si="607"/>
        <v/>
      </c>
      <c r="AV950" s="129">
        <f t="shared" si="608"/>
        <v/>
      </c>
      <c r="AW950" s="129">
        <f>IF(AV950="","",AV950&amp;"."&amp;COUNTIFS($A$3:A950,A950,$AV$3:AV950,AV950))</f>
        <v/>
      </c>
      <c r="AX950" s="129">
        <f t="shared" si="609"/>
        <v/>
      </c>
      <c r="AY950" s="129">
        <f>IF(N950="б/к",0,IF(OR(ISNUMBER(SEARCH("L=",Разбивка_по_щитам!P950)),N950="+",N950="="),1,0))</f>
      </c>
      <c r="AZ950" s="129">
        <f t="shared" si="610"/>
        <v/>
      </c>
      <c r="BA950" s="129">
        <f t="shared" si="611"/>
      </c>
      <c r="BB950" s="129">
        <f t="shared" si="612"/>
      </c>
      <c r="BD950" s="129">
        <f t="shared" si="613"/>
      </c>
      <c r="BE950" s="129">
        <f t="shared" si="614"/>
      </c>
      <c r="BF950" s="129">
        <f t="shared" si="615"/>
      </c>
      <c r="BG950" s="129">
        <f t="shared" si="616"/>
        <v/>
      </c>
      <c r="BH950" s="129">
        <f t="shared" si="617"/>
        <v/>
      </c>
      <c r="BI950" s="129">
        <f t="shared" si="618"/>
        <v/>
      </c>
      <c r="BJ950" s="129">
        <f t="shared" si="619"/>
        <v/>
      </c>
      <c r="BK950" s="129">
        <f>IF(R950="","",IF(OR(BY950="",BY950=0),"BOX",IFERROR(IF(VLOOKUP(BY950,УГО_блоки,3,FALSE)&amp;""&lt;&gt;"",VLOOKUP(BY950,УГО_блоки,3,FALSE),VLOOKUP(BY950,УГО_блоки,2,FALSE)),BY950)))</f>
      </c>
      <c r="BL950" s="129">
        <f t="shared" si="621"/>
      </c>
      <c r="BM950" s="129">
        <f>IF(H950="","",IF(COUNTIF($H$3:H950,H950)=1,MAX($BM$2:BM949)+1,""))</f>
      </c>
      <c r="BN950" s="129">
        <f>IF(I950="","",IF(COUNTIF($I$3:I950,I950)+COUNTIF($J$2:J949,I950)+COUNTIF($K$2:K949,I950)=1,MAX($BN$2:BP949)+1,""))</f>
      </c>
      <c r="BO950" s="129">
        <f>IF(J950="","",IF(COUNTIF($I$3:I950,J950)+COUNTIF($J$3:J950,J950)+COUNTIF($K$2:K949,J950)=1,MAX($BN$2:BP949,BN950)+1,""))</f>
      </c>
      <c r="BP950" s="129">
        <f>IF(K950="","",IF(COUNTIF($I$3:I950,K950)+COUNTIF($J$3:J950,K950)+COUNTIF($K$3:K950,K950)=1,MAX($BN$2:BP949,BN950,BO950)+1,""))</f>
      </c>
      <c r="BQ950" s="129">
        <f>IF(AY950=1,IFERROR(MID(Q950,FIND(" (",Q950)+2,FIND(")",Q950,FIND(" (",Q950))-FIND(" (",Q950)-2),"?"),"")</f>
      </c>
      <c r="BR950" s="129">
        <f>IF(BQ950="","",IF(COUNTIF($BQ$3:BQ950,BQ950)=1,MAX($BR$2:BR949)+1,""))</f>
      </c>
      <c r="BS950" s="129">
        <f>IF(AW950="","",COUNTIF($AW$3:AW950,"?*"))</f>
      </c>
      <c r="BT950" s="129">
        <f>IF(OR(AW950="",AI950=""),"",IF(COUNTIFS($AW$3:AW950,"?*",$AI$3:AI950,AI950)=1,MAX($BT$2:BT949)+1,""))</f>
      </c>
      <c r="BU950" s="129">
        <f>IF(AE950="",0,IF(OR(ISNUMBER(SEARCH("дубль",AE950)),ISNUMBER(SEARCH("ПЕРЕГРУЗ",AE950)),ISNUMBER(SEARCH("ЗАЩИЩ",AE950)),ISNUMBER(SEARCH("КАНАЛ",AE950)),ISNUMBER(SEARCH("без 30",AE950))),2,1))</f>
      </c>
      <c r="BV950" s="129">
        <f>IF(R950="","",COUNTIF($R$3:R950,"?*"))</f>
      </c>
      <c r="BW950" s="129">
        <f>IF(AY950&lt;&gt;1,0,IF(MAX(IFERROR(--VLOOKUP(R950,УГО_спр,5,FALSE),0),IFERROR(--VLOOKUP(AL950,УГО_спр,5,FALSE),0),IFERROR(--VLOOKUP(LEFT(AL950,2),УГО_спр,5,FALSE),0))&gt;0,MAX(IFERROR(--VLOOKUP(R950,УГО_спр,5,FALSE),0),IFERROR(--VLOOKUP(AL950,УГО_спр,5,FALSE),0),IFERROR(--VLOOKUP(LEFT(AL950,2),УГО_спр,5,FALSE),0)),IF(IFERROR(--LEFT(SUBSTITUTE(BQ950,"x","х"),FIND("х",SUBSTITUTE(BQ950,"x","х"))-1),3)&gt;3,Каталог!$S$9,1)))</f>
      </c>
      <c r="BX950" s="129">
        <f>IF(AY950&lt;&gt;1,0,MAX(0,IFERROR(--LEFT(SUBSTITUTE(BQ950,"x","х"),FIND("х",SUBSTITUTE(BQ950,"x","х"))-1),3)-3*BW950))</f>
      </c>
      <c r="BY950" s="129">
        <f>IF(R950="","",IFERROR(VLOOKUP(R950,УГО_спр,2,FALSE),IFERROR(VLOOKUP(AL950,УГО_спр,2,FALSE),IFERROR(VLOOKUP(LEFT(AL950,2),УГО_спр,2,FALSE),""))))</f>
      </c>
    </row>
    <row r="951" spans="1:64" x14ac:dyDescent="0.3">
      <c r="A951" s="135">
        <f>IF(Разбивка_по_щитам!F951=0,"",Разбивка_по_щитам!F951)</f>
        <v/>
      </c>
      <c r="B951" s="138">
        <f>IF(A951="","",Разбивка_по_щитам!C951)</f>
        <v/>
      </c>
      <c r="C951" s="138">
        <f t="shared" si="582"/>
        <v/>
      </c>
      <c r="D951" s="266"/>
      <c r="E951" s="266"/>
      <c r="F951" s="267"/>
      <c r="G951" s="145">
        <f t="shared" si="583"/>
        <v/>
      </c>
      <c r="H951" s="145">
        <f t="shared" si="584"/>
        <v/>
      </c>
      <c r="I951" s="266"/>
      <c r="J951" s="267"/>
      <c r="K951" s="267"/>
      <c r="L951" s="266"/>
      <c r="M951" s="147">
        <f t="shared" si="585"/>
        <v/>
      </c>
      <c r="N951" s="267"/>
      <c r="O951" s="147">
        <f t="shared" si="586"/>
        <v/>
      </c>
      <c r="P951" s="268">
        <f>IF(AY951=1,"XT"&amp;COUNTIFS($A$3:A951,A951,$AY$3:AY951,1),"")</f>
        <v/>
      </c>
      <c r="Q951" s="152">
        <f>IF(R951="","",IFERROR(SUBSTITUTE(Разбивка_по_щитам!P951,CHAR(10)," "),""))</f>
        <v/>
      </c>
      <c r="R951" s="153">
        <f>IF(OR(Разбивка_по_щитам!H951="",Разбивка_по_щитам!H951=0),"",Разбивка_по_щитам!H951)</f>
        <v/>
      </c>
      <c r="S951" s="154">
        <f>IF(R951="","",IFERROR(Разбивка_по_щитам!J951&amp;"",""))</f>
        <v/>
      </c>
      <c r="T951" s="155">
        <f>IF(R951="","",IFERROR(--Разбивка_по_щитам!L951,""))</f>
        <v/>
      </c>
      <c r="U951" s="155">
        <f>IF(R951="","",IFERROR(--Разбивка_по_щитам!K951,""))</f>
        <v/>
      </c>
      <c r="V951" s="138">
        <f>IF(R951="","",IFERROR(IF(Разбивка_по_щитам!M951=0,"",Разбивка_по_щитам!M951),""))</f>
        <v/>
      </c>
      <c r="W951" s="156">
        <f t="shared" si="587"/>
        <v/>
      </c>
      <c r="X951" s="157">
        <f t="shared" si="588"/>
        <v/>
      </c>
      <c r="Y951" s="266"/>
      <c r="Z951" s="158">
        <f t="shared" si="589"/>
        <v/>
      </c>
      <c r="AA951" s="160">
        <f t="shared" si="590"/>
        <v/>
      </c>
      <c r="AB951" s="160">
        <f>IF(R951="","",IFERROR(LOOKUP(INDEX(Справочная!$I$4:$I$19,MATCH(VLOOKUP(R951,Исходные_данные,22,FALSE),Справочная!$J$4:$J$19,0)+1),{6,10,16,20,25,32,40,50,63,80,100,125}),""))</f>
        <v/>
      </c>
      <c r="AC951" s="160">
        <f t="shared" si="591"/>
        <v/>
      </c>
      <c r="AD951" s="161">
        <f t="shared" si="592"/>
        <v/>
      </c>
      <c r="AE951" s="161">
        <f>IF(AND(R951="",G951=""),"",_xlfn.TEXTJOIN("; ",TRUE,IF(AND(R951&lt;&gt;"",V951=""),"нет фазы",""),IF(AND(R951&lt;&gt;"",N(T951)=0),"нет мощности",""),IF(AND(P951&lt;&gt;"",COUNTIFS($A$3:$A$1000,A951,$P$3:$P$1000,P951)&gt;1),"дубль клеммы "&amp;P951,""),IF(AND(W951&lt;&gt;"",W951&lt;&gt;"ok"),W951,""),IF(X951&lt;&gt;"",X951,""),IF(AND(ISNUMBER(SEARCH("(5х",Q951)),N(AK951)=1),"5 жил на 1 фазе",""),IF(AND(AL951="R",E951&lt;&gt;"",N(AS951)=0),"розетка без 30 мА",""),IF(IFERROR(_xlfn.NUMBERVALUE(MID(Q951,FIND("-",Q951,FIND("L=",Q951))+1,FIND("%",Q951)-FIND("-",Q951,FIND("L=",Q951))-1),","),0)&gt;4,"потери &gt; 4 %","")))</f>
      </c>
      <c r="AF951" s="129">
        <f>IF(E951&lt;&gt;"",COUNTIFS($A$3:A951,A951,$E$3:E951,"?*"),IF(OR(A951&lt;&gt;A950,Y951="вручную"),"",AF950))</f>
        <v/>
      </c>
      <c r="AG951" s="129">
        <f t="shared" si="593"/>
        <v/>
      </c>
      <c r="AH951" s="129">
        <f t="shared" si="594"/>
        <v/>
      </c>
      <c r="AI951" s="129">
        <f t="shared" si="595"/>
        <v/>
      </c>
      <c r="AJ951" s="129">
        <f t="shared" si="596"/>
        <v/>
      </c>
      <c r="AK951" s="129">
        <f t="shared" si="597"/>
        <v/>
      </c>
      <c r="AL951" s="129">
        <f t="shared" si="598"/>
        <v/>
      </c>
      <c r="AM951" s="129">
        <f t="shared" si="599"/>
      </c>
      <c r="AN951" s="129">
        <f t="shared" si="600"/>
      </c>
      <c r="AO951" s="129">
        <f t="shared" si="601"/>
        <v/>
      </c>
      <c r="AP951" s="129">
        <f t="shared" si="602"/>
        <v/>
      </c>
      <c r="AQ951" s="129">
        <f t="shared" si="603"/>
        <v/>
      </c>
      <c r="AR951" s="129">
        <f t="shared" si="604"/>
        <v/>
      </c>
      <c r="AS951" s="129">
        <f t="shared" si="605"/>
        <v/>
      </c>
      <c r="AT951" s="129">
        <f t="shared" si="606"/>
        <v/>
      </c>
      <c r="AU951" s="129">
        <f t="shared" si="607"/>
        <v/>
      </c>
      <c r="AV951" s="129">
        <f t="shared" si="608"/>
        <v/>
      </c>
      <c r="AW951" s="129">
        <f>IF(AV951="","",AV951&amp;"."&amp;COUNTIFS($A$3:A951,A951,$AV$3:AV951,AV951))</f>
        <v/>
      </c>
      <c r="AX951" s="129">
        <f t="shared" si="609"/>
        <v/>
      </c>
      <c r="AY951" s="129">
        <f>IF(N951="б/к",0,IF(OR(ISNUMBER(SEARCH("L=",Разбивка_по_щитам!P951)),N951="+",N951="="),1,0))</f>
      </c>
      <c r="AZ951" s="129">
        <f t="shared" si="610"/>
        <v/>
      </c>
      <c r="BA951" s="129">
        <f t="shared" si="611"/>
      </c>
      <c r="BB951" s="129">
        <f t="shared" si="612"/>
      </c>
      <c r="BD951" s="129">
        <f t="shared" si="613"/>
      </c>
      <c r="BE951" s="129">
        <f t="shared" si="614"/>
      </c>
      <c r="BF951" s="129">
        <f t="shared" si="615"/>
      </c>
      <c r="BG951" s="129">
        <f t="shared" si="616"/>
        <v/>
      </c>
      <c r="BH951" s="129">
        <f t="shared" si="617"/>
        <v/>
      </c>
      <c r="BI951" s="129">
        <f t="shared" si="618"/>
        <v/>
      </c>
      <c r="BJ951" s="129">
        <f t="shared" si="619"/>
        <v/>
      </c>
      <c r="BK951" s="129">
        <f>IF(R951="","",IF(OR(BY951="",BY951=0),"BOX",IFERROR(IF(VLOOKUP(BY951,УГО_блоки,3,FALSE)&amp;""&lt;&gt;"",VLOOKUP(BY951,УГО_блоки,3,FALSE),VLOOKUP(BY951,УГО_блоки,2,FALSE)),BY951)))</f>
      </c>
      <c r="BL951" s="129">
        <f t="shared" si="621"/>
      </c>
      <c r="BM951" s="129">
        <f>IF(H951="","",IF(COUNTIF($H$3:H951,H951)=1,MAX($BM$2:BM950)+1,""))</f>
      </c>
      <c r="BN951" s="129">
        <f>IF(I951="","",IF(COUNTIF($I$3:I951,I951)+COUNTIF($J$2:J950,I951)+COUNTIF($K$2:K950,I951)=1,MAX($BN$2:BP950)+1,""))</f>
      </c>
      <c r="BO951" s="129">
        <f>IF(J951="","",IF(COUNTIF($I$3:I951,J951)+COUNTIF($J$3:J951,J951)+COUNTIF($K$2:K950,J951)=1,MAX($BN$2:BP950,BN951)+1,""))</f>
      </c>
      <c r="BP951" s="129">
        <f>IF(K951="","",IF(COUNTIF($I$3:I951,K951)+COUNTIF($J$3:J951,K951)+COUNTIF($K$3:K951,K951)=1,MAX($BN$2:BP950,BN951,BO951)+1,""))</f>
      </c>
      <c r="BQ951" s="129">
        <f>IF(AY951=1,IFERROR(MID(Q951,FIND(" (",Q951)+2,FIND(")",Q951,FIND(" (",Q951))-FIND(" (",Q951)-2),"?"),"")</f>
      </c>
      <c r="BR951" s="129">
        <f>IF(BQ951="","",IF(COUNTIF($BQ$3:BQ951,BQ951)=1,MAX($BR$2:BR950)+1,""))</f>
      </c>
      <c r="BS951" s="129">
        <f>IF(AW951="","",COUNTIF($AW$3:AW951,"?*"))</f>
      </c>
      <c r="BT951" s="129">
        <f>IF(OR(AW951="",AI951=""),"",IF(COUNTIFS($AW$3:AW951,"?*",$AI$3:AI951,AI951)=1,MAX($BT$2:BT950)+1,""))</f>
      </c>
      <c r="BU951" s="129">
        <f>IF(AE951="",0,IF(OR(ISNUMBER(SEARCH("дубль",AE951)),ISNUMBER(SEARCH("ПЕРЕГРУЗ",AE951)),ISNUMBER(SEARCH("ЗАЩИЩ",AE951)),ISNUMBER(SEARCH("КАНАЛ",AE951)),ISNUMBER(SEARCH("без 30",AE951))),2,1))</f>
      </c>
      <c r="BV951" s="129">
        <f>IF(R951="","",COUNTIF($R$3:R951,"?*"))</f>
      </c>
      <c r="BW951" s="129">
        <f>IF(AY951&lt;&gt;1,0,IF(MAX(IFERROR(--VLOOKUP(R951,УГО_спр,5,FALSE),0),IFERROR(--VLOOKUP(AL951,УГО_спр,5,FALSE),0),IFERROR(--VLOOKUP(LEFT(AL951,2),УГО_спр,5,FALSE),0))&gt;0,MAX(IFERROR(--VLOOKUP(R951,УГО_спр,5,FALSE),0),IFERROR(--VLOOKUP(AL951,УГО_спр,5,FALSE),0),IFERROR(--VLOOKUP(LEFT(AL951,2),УГО_спр,5,FALSE),0)),IF(IFERROR(--LEFT(SUBSTITUTE(BQ951,"x","х"),FIND("х",SUBSTITUTE(BQ951,"x","х"))-1),3)&gt;3,Каталог!$S$9,1)))</f>
      </c>
      <c r="BX951" s="129">
        <f>IF(AY951&lt;&gt;1,0,MAX(0,IFERROR(--LEFT(SUBSTITUTE(BQ951,"x","х"),FIND("х",SUBSTITUTE(BQ951,"x","х"))-1),3)-3*BW951))</f>
      </c>
      <c r="BY951" s="129">
        <f>IF(R951="","",IFERROR(VLOOKUP(R951,УГО_спр,2,FALSE),IFERROR(VLOOKUP(AL951,УГО_спр,2,FALSE),IFERROR(VLOOKUP(LEFT(AL951,2),УГО_спр,2,FALSE),""))))</f>
      </c>
    </row>
    <row r="952" spans="1:64" x14ac:dyDescent="0.3">
      <c r="A952" s="135">
        <f>IF(Разбивка_по_щитам!F952=0,"",Разбивка_по_щитам!F952)</f>
        <v/>
      </c>
      <c r="B952" s="138">
        <f>IF(A952="","",Разбивка_по_щитам!C952)</f>
        <v/>
      </c>
      <c r="C952" s="138">
        <f t="shared" si="582"/>
        <v/>
      </c>
      <c r="D952" s="266"/>
      <c r="E952" s="266"/>
      <c r="F952" s="267"/>
      <c r="G952" s="145">
        <f t="shared" si="583"/>
        <v/>
      </c>
      <c r="H952" s="145">
        <f t="shared" si="584"/>
        <v/>
      </c>
      <c r="I952" s="266"/>
      <c r="J952" s="267"/>
      <c r="K952" s="267"/>
      <c r="L952" s="266"/>
      <c r="M952" s="147">
        <f t="shared" si="585"/>
        <v/>
      </c>
      <c r="N952" s="267"/>
      <c r="O952" s="147">
        <f t="shared" si="586"/>
        <v/>
      </c>
      <c r="P952" s="268">
        <f>IF(AY952=1,"XT"&amp;COUNTIFS($A$3:A952,A952,$AY$3:AY952,1),"")</f>
        <v/>
      </c>
      <c r="Q952" s="152">
        <f>IF(R952="","",IFERROR(SUBSTITUTE(Разбивка_по_щитам!P952,CHAR(10)," "),""))</f>
        <v/>
      </c>
      <c r="R952" s="153">
        <f>IF(OR(Разбивка_по_щитам!H952="",Разбивка_по_щитам!H952=0),"",Разбивка_по_щитам!H952)</f>
        <v/>
      </c>
      <c r="S952" s="154">
        <f>IF(R952="","",IFERROR(Разбивка_по_щитам!J952&amp;"",""))</f>
        <v/>
      </c>
      <c r="T952" s="155">
        <f>IF(R952="","",IFERROR(--Разбивка_по_щитам!L952,""))</f>
        <v/>
      </c>
      <c r="U952" s="155">
        <f>IF(R952="","",IFERROR(--Разбивка_по_щитам!K952,""))</f>
        <v/>
      </c>
      <c r="V952" s="138">
        <f>IF(R952="","",IFERROR(IF(Разбивка_по_щитам!M952=0,"",Разбивка_по_щитам!M952),""))</f>
        <v/>
      </c>
      <c r="W952" s="156">
        <f t="shared" si="587"/>
        <v/>
      </c>
      <c r="X952" s="157">
        <f t="shared" si="588"/>
        <v/>
      </c>
      <c r="Y952" s="266"/>
      <c r="Z952" s="158">
        <f t="shared" si="589"/>
        <v/>
      </c>
      <c r="AA952" s="160">
        <f t="shared" si="590"/>
        <v/>
      </c>
      <c r="AB952" s="160">
        <f>IF(R952="","",IFERROR(LOOKUP(INDEX(Справочная!$I$4:$I$19,MATCH(VLOOKUP(R952,Исходные_данные,22,FALSE),Справочная!$J$4:$J$19,0)+1),{6,10,16,20,25,32,40,50,63,80,100,125}),""))</f>
        <v/>
      </c>
      <c r="AC952" s="160">
        <f t="shared" si="591"/>
        <v/>
      </c>
      <c r="AD952" s="161">
        <f t="shared" si="592"/>
        <v/>
      </c>
      <c r="AE952" s="161">
        <f>IF(AND(R952="",G952=""),"",_xlfn.TEXTJOIN("; ",TRUE,IF(AND(R952&lt;&gt;"",V952=""),"нет фазы",""),IF(AND(R952&lt;&gt;"",N(T952)=0),"нет мощности",""),IF(AND(P952&lt;&gt;"",COUNTIFS($A$3:$A$1000,A952,$P$3:$P$1000,P952)&gt;1),"дубль клеммы "&amp;P952,""),IF(AND(W952&lt;&gt;"",W952&lt;&gt;"ok"),W952,""),IF(X952&lt;&gt;"",X952,""),IF(AND(ISNUMBER(SEARCH("(5х",Q952)),N(AK952)=1),"5 жил на 1 фазе",""),IF(AND(AL952="R",E952&lt;&gt;"",N(AS952)=0),"розетка без 30 мА",""),IF(IFERROR(_xlfn.NUMBERVALUE(MID(Q952,FIND("-",Q952,FIND("L=",Q952))+1,FIND("%",Q952)-FIND("-",Q952,FIND("L=",Q952))-1),","),0)&gt;4,"потери &gt; 4 %","")))</f>
      </c>
      <c r="AF952" s="129">
        <f>IF(E952&lt;&gt;"",COUNTIFS($A$3:A952,A952,$E$3:E952,"?*"),IF(OR(A952&lt;&gt;A951,Y952="вручную"),"",AF951))</f>
        <v/>
      </c>
      <c r="AG952" s="129">
        <f t="shared" si="593"/>
        <v/>
      </c>
      <c r="AH952" s="129">
        <f t="shared" si="594"/>
        <v/>
      </c>
      <c r="AI952" s="129">
        <f t="shared" si="595"/>
        <v/>
      </c>
      <c r="AJ952" s="129">
        <f t="shared" si="596"/>
        <v/>
      </c>
      <c r="AK952" s="129">
        <f t="shared" si="597"/>
        <v/>
      </c>
      <c r="AL952" s="129">
        <f t="shared" si="598"/>
        <v/>
      </c>
      <c r="AM952" s="129">
        <f t="shared" si="599"/>
      </c>
      <c r="AN952" s="129">
        <f t="shared" si="600"/>
      </c>
      <c r="AO952" s="129">
        <f t="shared" si="601"/>
        <v/>
      </c>
      <c r="AP952" s="129">
        <f t="shared" si="602"/>
        <v/>
      </c>
      <c r="AQ952" s="129">
        <f t="shared" si="603"/>
        <v/>
      </c>
      <c r="AR952" s="129">
        <f t="shared" si="604"/>
        <v/>
      </c>
      <c r="AS952" s="129">
        <f t="shared" si="605"/>
        <v/>
      </c>
      <c r="AT952" s="129">
        <f t="shared" si="606"/>
        <v/>
      </c>
      <c r="AU952" s="129">
        <f t="shared" si="607"/>
        <v/>
      </c>
      <c r="AV952" s="129">
        <f t="shared" si="608"/>
        <v/>
      </c>
      <c r="AW952" s="129">
        <f>IF(AV952="","",AV952&amp;"."&amp;COUNTIFS($A$3:A952,A952,$AV$3:AV952,AV952))</f>
        <v/>
      </c>
      <c r="AX952" s="129">
        <f t="shared" si="609"/>
        <v/>
      </c>
      <c r="AY952" s="129">
        <f>IF(N952="б/к",0,IF(OR(ISNUMBER(SEARCH("L=",Разбивка_по_щитам!P952)),N952="+",N952="="),1,0))</f>
      </c>
      <c r="AZ952" s="129">
        <f t="shared" si="610"/>
        <v/>
      </c>
      <c r="BA952" s="129">
        <f t="shared" si="611"/>
      </c>
      <c r="BB952" s="129">
        <f t="shared" si="612"/>
      </c>
      <c r="BD952" s="129">
        <f t="shared" si="613"/>
      </c>
      <c r="BE952" s="129">
        <f t="shared" si="614"/>
      </c>
      <c r="BF952" s="129">
        <f t="shared" si="615"/>
      </c>
      <c r="BG952" s="129">
        <f t="shared" si="616"/>
        <v/>
      </c>
      <c r="BH952" s="129">
        <f t="shared" si="617"/>
        <v/>
      </c>
      <c r="BI952" s="129">
        <f t="shared" si="618"/>
        <v/>
      </c>
      <c r="BJ952" s="129">
        <f t="shared" si="619"/>
        <v/>
      </c>
      <c r="BK952" s="129">
        <f>IF(R952="","",IF(OR(BY952="",BY952=0),"BOX",IFERROR(IF(VLOOKUP(BY952,УГО_блоки,3,FALSE)&amp;""&lt;&gt;"",VLOOKUP(BY952,УГО_блоки,3,FALSE),VLOOKUP(BY952,УГО_блоки,2,FALSE)),BY952)))</f>
      </c>
      <c r="BL952" s="129">
        <f t="shared" si="621"/>
      </c>
      <c r="BM952" s="129">
        <f>IF(H952="","",IF(COUNTIF($H$3:H952,H952)=1,MAX($BM$2:BM951)+1,""))</f>
      </c>
      <c r="BN952" s="129">
        <f>IF(I952="","",IF(COUNTIF($I$3:I952,I952)+COUNTIF($J$2:J951,I952)+COUNTIF($K$2:K951,I952)=1,MAX($BN$2:BP951)+1,""))</f>
      </c>
      <c r="BO952" s="129">
        <f>IF(J952="","",IF(COUNTIF($I$3:I952,J952)+COUNTIF($J$3:J952,J952)+COUNTIF($K$2:K951,J952)=1,MAX($BN$2:BP951,BN952)+1,""))</f>
      </c>
      <c r="BP952" s="129">
        <f>IF(K952="","",IF(COUNTIF($I$3:I952,K952)+COUNTIF($J$3:J952,K952)+COUNTIF($K$3:K952,K952)=1,MAX($BN$2:BP951,BN952,BO952)+1,""))</f>
      </c>
      <c r="BQ952" s="129">
        <f>IF(AY952=1,IFERROR(MID(Q952,FIND(" (",Q952)+2,FIND(")",Q952,FIND(" (",Q952))-FIND(" (",Q952)-2),"?"),"")</f>
      </c>
      <c r="BR952" s="129">
        <f>IF(BQ952="","",IF(COUNTIF($BQ$3:BQ952,BQ952)=1,MAX($BR$2:BR951)+1,""))</f>
      </c>
      <c r="BS952" s="129">
        <f>IF(AW952="","",COUNTIF($AW$3:AW952,"?*"))</f>
      </c>
      <c r="BT952" s="129">
        <f>IF(OR(AW952="",AI952=""),"",IF(COUNTIFS($AW$3:AW952,"?*",$AI$3:AI952,AI952)=1,MAX($BT$2:BT951)+1,""))</f>
      </c>
      <c r="BU952" s="129">
        <f>IF(AE952="",0,IF(OR(ISNUMBER(SEARCH("дубль",AE952)),ISNUMBER(SEARCH("ПЕРЕГРУЗ",AE952)),ISNUMBER(SEARCH("ЗАЩИЩ",AE952)),ISNUMBER(SEARCH("КАНАЛ",AE952)),ISNUMBER(SEARCH("без 30",AE952))),2,1))</f>
      </c>
      <c r="BV952" s="129">
        <f>IF(R952="","",COUNTIF($R$3:R952,"?*"))</f>
      </c>
      <c r="BW952" s="129">
        <f>IF(AY952&lt;&gt;1,0,IF(MAX(IFERROR(--VLOOKUP(R952,УГО_спр,5,FALSE),0),IFERROR(--VLOOKUP(AL952,УГО_спр,5,FALSE),0),IFERROR(--VLOOKUP(LEFT(AL952,2),УГО_спр,5,FALSE),0))&gt;0,MAX(IFERROR(--VLOOKUP(R952,УГО_спр,5,FALSE),0),IFERROR(--VLOOKUP(AL952,УГО_спр,5,FALSE),0),IFERROR(--VLOOKUP(LEFT(AL952,2),УГО_спр,5,FALSE),0)),IF(IFERROR(--LEFT(SUBSTITUTE(BQ952,"x","х"),FIND("х",SUBSTITUTE(BQ952,"x","х"))-1),3)&gt;3,Каталог!$S$9,1)))</f>
      </c>
      <c r="BX952" s="129">
        <f>IF(AY952&lt;&gt;1,0,MAX(0,IFERROR(--LEFT(SUBSTITUTE(BQ952,"x","х"),FIND("х",SUBSTITUTE(BQ952,"x","х"))-1),3)-3*BW952))</f>
      </c>
      <c r="BY952" s="129">
        <f>IF(R952="","",IFERROR(VLOOKUP(R952,УГО_спр,2,FALSE),IFERROR(VLOOKUP(AL952,УГО_спр,2,FALSE),IFERROR(VLOOKUP(LEFT(AL952,2),УГО_спр,2,FALSE),""))))</f>
      </c>
    </row>
    <row r="953" spans="1:64" x14ac:dyDescent="0.3">
      <c r="A953" s="135">
        <f>IF(Разбивка_по_щитам!F953=0,"",Разбивка_по_щитам!F953)</f>
        <v/>
      </c>
      <c r="B953" s="138">
        <f>IF(A953="","",Разбивка_по_щитам!C953)</f>
        <v/>
      </c>
      <c r="C953" s="138">
        <f t="shared" si="582"/>
        <v/>
      </c>
      <c r="D953" s="266"/>
      <c r="E953" s="266"/>
      <c r="F953" s="267"/>
      <c r="G953" s="145">
        <f t="shared" si="583"/>
        <v/>
      </c>
      <c r="H953" s="145">
        <f t="shared" si="584"/>
        <v/>
      </c>
      <c r="I953" s="266"/>
      <c r="J953" s="267"/>
      <c r="K953" s="267"/>
      <c r="L953" s="266"/>
      <c r="M953" s="147">
        <f t="shared" si="585"/>
        <v/>
      </c>
      <c r="N953" s="267"/>
      <c r="O953" s="147">
        <f t="shared" si="586"/>
        <v/>
      </c>
      <c r="P953" s="268">
        <f>IF(AY953=1,"XT"&amp;COUNTIFS($A$3:A953,A953,$AY$3:AY953,1),"")</f>
        <v/>
      </c>
      <c r="Q953" s="152">
        <f>IF(R953="","",IFERROR(SUBSTITUTE(Разбивка_по_щитам!P953,CHAR(10)," "),""))</f>
        <v/>
      </c>
      <c r="R953" s="153">
        <f>IF(OR(Разбивка_по_щитам!H953="",Разбивка_по_щитам!H953=0),"",Разбивка_по_щитам!H953)</f>
        <v/>
      </c>
      <c r="S953" s="154">
        <f>IF(R953="","",IFERROR(Разбивка_по_щитам!J953&amp;"",""))</f>
        <v/>
      </c>
      <c r="T953" s="155">
        <f>IF(R953="","",IFERROR(--Разбивка_по_щитам!L953,""))</f>
        <v/>
      </c>
      <c r="U953" s="155">
        <f>IF(R953="","",IFERROR(--Разбивка_по_щитам!K953,""))</f>
        <v/>
      </c>
      <c r="V953" s="138">
        <f>IF(R953="","",IFERROR(IF(Разбивка_по_щитам!M953=0,"",Разбивка_по_щитам!M953),""))</f>
        <v/>
      </c>
      <c r="W953" s="156">
        <f t="shared" si="587"/>
        <v/>
      </c>
      <c r="X953" s="157">
        <f t="shared" si="588"/>
        <v/>
      </c>
      <c r="Y953" s="266"/>
      <c r="Z953" s="158">
        <f t="shared" si="589"/>
        <v/>
      </c>
      <c r="AA953" s="160">
        <f t="shared" si="590"/>
        <v/>
      </c>
      <c r="AB953" s="160">
        <f>IF(R953="","",IFERROR(LOOKUP(INDEX(Справочная!$I$4:$I$19,MATCH(VLOOKUP(R953,Исходные_данные,22,FALSE),Справочная!$J$4:$J$19,0)+1),{6,10,16,20,25,32,40,50,63,80,100,125}),""))</f>
        <v/>
      </c>
      <c r="AC953" s="160">
        <f t="shared" si="591"/>
        <v/>
      </c>
      <c r="AD953" s="161">
        <f t="shared" si="592"/>
        <v/>
      </c>
      <c r="AE953" s="161">
        <f>IF(AND(R953="",G953=""),"",_xlfn.TEXTJOIN("; ",TRUE,IF(AND(R953&lt;&gt;"",V953=""),"нет фазы",""),IF(AND(R953&lt;&gt;"",N(T953)=0),"нет мощности",""),IF(AND(P953&lt;&gt;"",COUNTIFS($A$3:$A$1000,A953,$P$3:$P$1000,P953)&gt;1),"дубль клеммы "&amp;P953,""),IF(AND(W953&lt;&gt;"",W953&lt;&gt;"ok"),W953,""),IF(X953&lt;&gt;"",X953,""),IF(AND(ISNUMBER(SEARCH("(5х",Q953)),N(AK953)=1),"5 жил на 1 фазе",""),IF(AND(AL953="R",E953&lt;&gt;"",N(AS953)=0),"розетка без 30 мА",""),IF(IFERROR(_xlfn.NUMBERVALUE(MID(Q953,FIND("-",Q953,FIND("L=",Q953))+1,FIND("%",Q953)-FIND("-",Q953,FIND("L=",Q953))-1),","),0)&gt;4,"потери &gt; 4 %","")))</f>
      </c>
      <c r="AF953" s="129">
        <f>IF(E953&lt;&gt;"",COUNTIFS($A$3:A953,A953,$E$3:E953,"?*"),IF(OR(A953&lt;&gt;A952,Y953="вручную"),"",AF952))</f>
        <v/>
      </c>
      <c r="AG953" s="129">
        <f t="shared" si="593"/>
        <v/>
      </c>
      <c r="AH953" s="129">
        <f t="shared" si="594"/>
        <v/>
      </c>
      <c r="AI953" s="129">
        <f t="shared" si="595"/>
        <v/>
      </c>
      <c r="AJ953" s="129">
        <f t="shared" si="596"/>
        <v/>
      </c>
      <c r="AK953" s="129">
        <f t="shared" si="597"/>
        <v/>
      </c>
      <c r="AL953" s="129">
        <f t="shared" si="598"/>
        <v/>
      </c>
      <c r="AM953" s="129">
        <f t="shared" si="599"/>
      </c>
      <c r="AN953" s="129">
        <f t="shared" si="600"/>
      </c>
      <c r="AO953" s="129">
        <f t="shared" si="601"/>
        <v/>
      </c>
      <c r="AP953" s="129">
        <f t="shared" si="602"/>
        <v/>
      </c>
      <c r="AQ953" s="129">
        <f t="shared" si="603"/>
        <v/>
      </c>
      <c r="AR953" s="129">
        <f t="shared" si="604"/>
        <v/>
      </c>
      <c r="AS953" s="129">
        <f t="shared" si="605"/>
        <v/>
      </c>
      <c r="AT953" s="129">
        <f t="shared" si="606"/>
        <v/>
      </c>
      <c r="AU953" s="129">
        <f t="shared" si="607"/>
        <v/>
      </c>
      <c r="AV953" s="129">
        <f t="shared" si="608"/>
        <v/>
      </c>
      <c r="AW953" s="129">
        <f>IF(AV953="","",AV953&amp;"."&amp;COUNTIFS($A$3:A953,A953,$AV$3:AV953,AV953))</f>
        <v/>
      </c>
      <c r="AX953" s="129">
        <f t="shared" si="609"/>
        <v/>
      </c>
      <c r="AY953" s="129">
        <f>IF(N953="б/к",0,IF(OR(ISNUMBER(SEARCH("L=",Разбивка_по_щитам!P953)),N953="+",N953="="),1,0))</f>
      </c>
      <c r="AZ953" s="129">
        <f t="shared" si="610"/>
        <v/>
      </c>
      <c r="BA953" s="129">
        <f t="shared" si="611"/>
      </c>
      <c r="BB953" s="129">
        <f t="shared" si="612"/>
      </c>
      <c r="BD953" s="129">
        <f t="shared" si="613"/>
      </c>
      <c r="BE953" s="129">
        <f t="shared" si="614"/>
      </c>
      <c r="BF953" s="129">
        <f t="shared" si="615"/>
      </c>
      <c r="BG953" s="129">
        <f t="shared" si="616"/>
        <v/>
      </c>
      <c r="BH953" s="129">
        <f t="shared" si="617"/>
        <v/>
      </c>
      <c r="BI953" s="129">
        <f t="shared" si="618"/>
        <v/>
      </c>
      <c r="BJ953" s="129">
        <f t="shared" si="619"/>
        <v/>
      </c>
      <c r="BK953" s="129">
        <f>IF(R953="","",IF(OR(BY953="",BY953=0),"BOX",IFERROR(IF(VLOOKUP(BY953,УГО_блоки,3,FALSE)&amp;""&lt;&gt;"",VLOOKUP(BY953,УГО_блоки,3,FALSE),VLOOKUP(BY953,УГО_блоки,2,FALSE)),BY953)))</f>
      </c>
      <c r="BL953" s="129">
        <f t="shared" si="621"/>
      </c>
      <c r="BM953" s="129">
        <f>IF(H953="","",IF(COUNTIF($H$3:H953,H953)=1,MAX($BM$2:BM952)+1,""))</f>
      </c>
      <c r="BN953" s="129">
        <f>IF(I953="","",IF(COUNTIF($I$3:I953,I953)+COUNTIF($J$2:J952,I953)+COUNTIF($K$2:K952,I953)=1,MAX($BN$2:BP952)+1,""))</f>
      </c>
      <c r="BO953" s="129">
        <f>IF(J953="","",IF(COUNTIF($I$3:I953,J953)+COUNTIF($J$3:J953,J953)+COUNTIF($K$2:K952,J953)=1,MAX($BN$2:BP952,BN953)+1,""))</f>
      </c>
      <c r="BP953" s="129">
        <f>IF(K953="","",IF(COUNTIF($I$3:I953,K953)+COUNTIF($J$3:J953,K953)+COUNTIF($K$3:K953,K953)=1,MAX($BN$2:BP952,BN953,BO953)+1,""))</f>
      </c>
      <c r="BQ953" s="129">
        <f>IF(AY953=1,IFERROR(MID(Q953,FIND(" (",Q953)+2,FIND(")",Q953,FIND(" (",Q953))-FIND(" (",Q953)-2),"?"),"")</f>
      </c>
      <c r="BR953" s="129">
        <f>IF(BQ953="","",IF(COUNTIF($BQ$3:BQ953,BQ953)=1,MAX($BR$2:BR952)+1,""))</f>
      </c>
      <c r="BS953" s="129">
        <f>IF(AW953="","",COUNTIF($AW$3:AW953,"?*"))</f>
      </c>
      <c r="BT953" s="129">
        <f>IF(OR(AW953="",AI953=""),"",IF(COUNTIFS($AW$3:AW953,"?*",$AI$3:AI953,AI953)=1,MAX($BT$2:BT952)+1,""))</f>
      </c>
      <c r="BU953" s="129">
        <f>IF(AE953="",0,IF(OR(ISNUMBER(SEARCH("дубль",AE953)),ISNUMBER(SEARCH("ПЕРЕГРУЗ",AE953)),ISNUMBER(SEARCH("ЗАЩИЩ",AE953)),ISNUMBER(SEARCH("КАНАЛ",AE953)),ISNUMBER(SEARCH("без 30",AE953))),2,1))</f>
      </c>
      <c r="BV953" s="129">
        <f>IF(R953="","",COUNTIF($R$3:R953,"?*"))</f>
      </c>
      <c r="BW953" s="129">
        <f>IF(AY953&lt;&gt;1,0,IF(MAX(IFERROR(--VLOOKUP(R953,УГО_спр,5,FALSE),0),IFERROR(--VLOOKUP(AL953,УГО_спр,5,FALSE),0),IFERROR(--VLOOKUP(LEFT(AL953,2),УГО_спр,5,FALSE),0))&gt;0,MAX(IFERROR(--VLOOKUP(R953,УГО_спр,5,FALSE),0),IFERROR(--VLOOKUP(AL953,УГО_спр,5,FALSE),0),IFERROR(--VLOOKUP(LEFT(AL953,2),УГО_спр,5,FALSE),0)),IF(IFERROR(--LEFT(SUBSTITUTE(BQ953,"x","х"),FIND("х",SUBSTITUTE(BQ953,"x","х"))-1),3)&gt;3,Каталог!$S$9,1)))</f>
      </c>
      <c r="BX953" s="129">
        <f>IF(AY953&lt;&gt;1,0,MAX(0,IFERROR(--LEFT(SUBSTITUTE(BQ953,"x","х"),FIND("х",SUBSTITUTE(BQ953,"x","х"))-1),3)-3*BW953))</f>
      </c>
      <c r="BY953" s="129">
        <f>IF(R953="","",IFERROR(VLOOKUP(R953,УГО_спр,2,FALSE),IFERROR(VLOOKUP(AL953,УГО_спр,2,FALSE),IFERROR(VLOOKUP(LEFT(AL953,2),УГО_спр,2,FALSE),""))))</f>
      </c>
    </row>
    <row r="954" spans="1:64" x14ac:dyDescent="0.3">
      <c r="A954" s="135">
        <f>IF(Разбивка_по_щитам!F954=0,"",Разбивка_по_щитам!F954)</f>
        <v/>
      </c>
      <c r="B954" s="138">
        <f>IF(A954="","",Разбивка_по_щитам!C954)</f>
        <v/>
      </c>
      <c r="C954" s="138">
        <f t="shared" si="582"/>
        <v/>
      </c>
      <c r="D954" s="266"/>
      <c r="E954" s="266"/>
      <c r="F954" s="267"/>
      <c r="G954" s="145">
        <f t="shared" si="583"/>
        <v/>
      </c>
      <c r="H954" s="145">
        <f t="shared" si="584"/>
        <v/>
      </c>
      <c r="I954" s="266"/>
      <c r="J954" s="267"/>
      <c r="K954" s="267"/>
      <c r="L954" s="266"/>
      <c r="M954" s="147">
        <f t="shared" si="585"/>
        <v/>
      </c>
      <c r="N954" s="267"/>
      <c r="O954" s="147">
        <f t="shared" si="586"/>
        <v/>
      </c>
      <c r="P954" s="268">
        <f>IF(AY954=1,"XT"&amp;COUNTIFS($A$3:A954,A954,$AY$3:AY954,1),"")</f>
        <v/>
      </c>
      <c r="Q954" s="152">
        <f>IF(R954="","",IFERROR(SUBSTITUTE(Разбивка_по_щитам!P954,CHAR(10)," "),""))</f>
        <v/>
      </c>
      <c r="R954" s="153">
        <f>IF(OR(Разбивка_по_щитам!H954="",Разбивка_по_щитам!H954=0),"",Разбивка_по_щитам!H954)</f>
        <v/>
      </c>
      <c r="S954" s="154">
        <f>IF(R954="","",IFERROR(Разбивка_по_щитам!J954&amp;"",""))</f>
        <v/>
      </c>
      <c r="T954" s="155">
        <f>IF(R954="","",IFERROR(--Разбивка_по_щитам!L954,""))</f>
        <v/>
      </c>
      <c r="U954" s="155">
        <f>IF(R954="","",IFERROR(--Разбивка_по_щитам!K954,""))</f>
        <v/>
      </c>
      <c r="V954" s="138">
        <f>IF(R954="","",IFERROR(IF(Разбивка_по_щитам!M954=0,"",Разбивка_по_щитам!M954),""))</f>
        <v/>
      </c>
      <c r="W954" s="156">
        <f t="shared" si="587"/>
        <v/>
      </c>
      <c r="X954" s="157">
        <f t="shared" si="588"/>
        <v/>
      </c>
      <c r="Y954" s="266"/>
      <c r="Z954" s="158">
        <f t="shared" si="589"/>
        <v/>
      </c>
      <c r="AA954" s="160">
        <f t="shared" si="590"/>
        <v/>
      </c>
      <c r="AB954" s="160">
        <f>IF(R954="","",IFERROR(LOOKUP(INDEX(Справочная!$I$4:$I$19,MATCH(VLOOKUP(R954,Исходные_данные,22,FALSE),Справочная!$J$4:$J$19,0)+1),{6,10,16,20,25,32,40,50,63,80,100,125}),""))</f>
        <v/>
      </c>
      <c r="AC954" s="160">
        <f t="shared" si="591"/>
        <v/>
      </c>
      <c r="AD954" s="161">
        <f t="shared" si="592"/>
        <v/>
      </c>
      <c r="AE954" s="161">
        <f>IF(AND(R954="",G954=""),"",_xlfn.TEXTJOIN("; ",TRUE,IF(AND(R954&lt;&gt;"",V954=""),"нет фазы",""),IF(AND(R954&lt;&gt;"",N(T954)=0),"нет мощности",""),IF(AND(P954&lt;&gt;"",COUNTIFS($A$3:$A$1000,A954,$P$3:$P$1000,P954)&gt;1),"дубль клеммы "&amp;P954,""),IF(AND(W954&lt;&gt;"",W954&lt;&gt;"ok"),W954,""),IF(X954&lt;&gt;"",X954,""),IF(AND(ISNUMBER(SEARCH("(5х",Q954)),N(AK954)=1),"5 жил на 1 фазе",""),IF(AND(AL954="R",E954&lt;&gt;"",N(AS954)=0),"розетка без 30 мА",""),IF(IFERROR(_xlfn.NUMBERVALUE(MID(Q954,FIND("-",Q954,FIND("L=",Q954))+1,FIND("%",Q954)-FIND("-",Q954,FIND("L=",Q954))-1),","),0)&gt;4,"потери &gt; 4 %","")))</f>
      </c>
      <c r="AF954" s="129">
        <f>IF(E954&lt;&gt;"",COUNTIFS($A$3:A954,A954,$E$3:E954,"?*"),IF(OR(A954&lt;&gt;A953,Y954="вручную"),"",AF953))</f>
        <v/>
      </c>
      <c r="AG954" s="129">
        <f t="shared" si="593"/>
        <v/>
      </c>
      <c r="AH954" s="129">
        <f t="shared" si="594"/>
        <v/>
      </c>
      <c r="AI954" s="129">
        <f t="shared" si="595"/>
        <v/>
      </c>
      <c r="AJ954" s="129">
        <f t="shared" si="596"/>
        <v/>
      </c>
      <c r="AK954" s="129">
        <f t="shared" si="597"/>
        <v/>
      </c>
      <c r="AL954" s="129">
        <f t="shared" si="598"/>
        <v/>
      </c>
      <c r="AM954" s="129">
        <f t="shared" si="599"/>
      </c>
      <c r="AN954" s="129">
        <f t="shared" si="600"/>
      </c>
      <c r="AO954" s="129">
        <f t="shared" si="601"/>
        <v/>
      </c>
      <c r="AP954" s="129">
        <f t="shared" si="602"/>
        <v/>
      </c>
      <c r="AQ954" s="129">
        <f t="shared" si="603"/>
        <v/>
      </c>
      <c r="AR954" s="129">
        <f t="shared" si="604"/>
        <v/>
      </c>
      <c r="AS954" s="129">
        <f t="shared" si="605"/>
        <v/>
      </c>
      <c r="AT954" s="129">
        <f t="shared" si="606"/>
        <v/>
      </c>
      <c r="AU954" s="129">
        <f t="shared" si="607"/>
        <v/>
      </c>
      <c r="AV954" s="129">
        <f t="shared" si="608"/>
        <v/>
      </c>
      <c r="AW954" s="129">
        <f>IF(AV954="","",AV954&amp;"."&amp;COUNTIFS($A$3:A954,A954,$AV$3:AV954,AV954))</f>
        <v/>
      </c>
      <c r="AX954" s="129">
        <f t="shared" si="609"/>
        <v/>
      </c>
      <c r="AY954" s="129">
        <f>IF(N954="б/к",0,IF(OR(ISNUMBER(SEARCH("L=",Разбивка_по_щитам!P954)),N954="+",N954="="),1,0))</f>
      </c>
      <c r="AZ954" s="129">
        <f t="shared" si="610"/>
        <v/>
      </c>
      <c r="BA954" s="129">
        <f t="shared" si="611"/>
      </c>
      <c r="BB954" s="129">
        <f t="shared" si="612"/>
      </c>
      <c r="BD954" s="129">
        <f t="shared" si="613"/>
      </c>
      <c r="BE954" s="129">
        <f t="shared" si="614"/>
      </c>
      <c r="BF954" s="129">
        <f t="shared" si="615"/>
      </c>
      <c r="BG954" s="129">
        <f t="shared" si="616"/>
        <v/>
      </c>
      <c r="BH954" s="129">
        <f t="shared" si="617"/>
        <v/>
      </c>
      <c r="BI954" s="129">
        <f t="shared" si="618"/>
        <v/>
      </c>
      <c r="BJ954" s="129">
        <f t="shared" si="619"/>
        <v/>
      </c>
      <c r="BK954" s="129">
        <f>IF(R954="","",IF(OR(BY954="",BY954=0),"BOX",IFERROR(IF(VLOOKUP(BY954,УГО_блоки,3,FALSE)&amp;""&lt;&gt;"",VLOOKUP(BY954,УГО_блоки,3,FALSE),VLOOKUP(BY954,УГО_блоки,2,FALSE)),BY954)))</f>
      </c>
      <c r="BL954" s="129">
        <f t="shared" si="621"/>
      </c>
      <c r="BM954" s="129">
        <f>IF(H954="","",IF(COUNTIF($H$3:H954,H954)=1,MAX($BM$2:BM953)+1,""))</f>
      </c>
      <c r="BN954" s="129">
        <f>IF(I954="","",IF(COUNTIF($I$3:I954,I954)+COUNTIF($J$2:J953,I954)+COUNTIF($K$2:K953,I954)=1,MAX($BN$2:BP953)+1,""))</f>
      </c>
      <c r="BO954" s="129">
        <f>IF(J954="","",IF(COUNTIF($I$3:I954,J954)+COUNTIF($J$3:J954,J954)+COUNTIF($K$2:K953,J954)=1,MAX($BN$2:BP953,BN954)+1,""))</f>
      </c>
      <c r="BP954" s="129">
        <f>IF(K954="","",IF(COUNTIF($I$3:I954,K954)+COUNTIF($J$3:J954,K954)+COUNTIF($K$3:K954,K954)=1,MAX($BN$2:BP953,BN954,BO954)+1,""))</f>
      </c>
      <c r="BQ954" s="129">
        <f>IF(AY954=1,IFERROR(MID(Q954,FIND(" (",Q954)+2,FIND(")",Q954,FIND(" (",Q954))-FIND(" (",Q954)-2),"?"),"")</f>
      </c>
      <c r="BR954" s="129">
        <f>IF(BQ954="","",IF(COUNTIF($BQ$3:BQ954,BQ954)=1,MAX($BR$2:BR953)+1,""))</f>
      </c>
      <c r="BS954" s="129">
        <f>IF(AW954="","",COUNTIF($AW$3:AW954,"?*"))</f>
      </c>
      <c r="BT954" s="129">
        <f>IF(OR(AW954="",AI954=""),"",IF(COUNTIFS($AW$3:AW954,"?*",$AI$3:AI954,AI954)=1,MAX($BT$2:BT953)+1,""))</f>
      </c>
      <c r="BU954" s="129">
        <f>IF(AE954="",0,IF(OR(ISNUMBER(SEARCH("дубль",AE954)),ISNUMBER(SEARCH("ПЕРЕГРУЗ",AE954)),ISNUMBER(SEARCH("ЗАЩИЩ",AE954)),ISNUMBER(SEARCH("КАНАЛ",AE954)),ISNUMBER(SEARCH("без 30",AE954))),2,1))</f>
      </c>
      <c r="BV954" s="129">
        <f>IF(R954="","",COUNTIF($R$3:R954,"?*"))</f>
      </c>
      <c r="BW954" s="129">
        <f>IF(AY954&lt;&gt;1,0,IF(MAX(IFERROR(--VLOOKUP(R954,УГО_спр,5,FALSE),0),IFERROR(--VLOOKUP(AL954,УГО_спр,5,FALSE),0),IFERROR(--VLOOKUP(LEFT(AL954,2),УГО_спр,5,FALSE),0))&gt;0,MAX(IFERROR(--VLOOKUP(R954,УГО_спр,5,FALSE),0),IFERROR(--VLOOKUP(AL954,УГО_спр,5,FALSE),0),IFERROR(--VLOOKUP(LEFT(AL954,2),УГО_спр,5,FALSE),0)),IF(IFERROR(--LEFT(SUBSTITUTE(BQ954,"x","х"),FIND("х",SUBSTITUTE(BQ954,"x","х"))-1),3)&gt;3,Каталог!$S$9,1)))</f>
      </c>
      <c r="BX954" s="129">
        <f>IF(AY954&lt;&gt;1,0,MAX(0,IFERROR(--LEFT(SUBSTITUTE(BQ954,"x","х"),FIND("х",SUBSTITUTE(BQ954,"x","х"))-1),3)-3*BW954))</f>
      </c>
      <c r="BY954" s="129">
        <f>IF(R954="","",IFERROR(VLOOKUP(R954,УГО_спр,2,FALSE),IFERROR(VLOOKUP(AL954,УГО_спр,2,FALSE),IFERROR(VLOOKUP(LEFT(AL954,2),УГО_спр,2,FALSE),""))))</f>
      </c>
    </row>
    <row r="955" spans="1:64" x14ac:dyDescent="0.3">
      <c r="A955" s="135">
        <f>IF(Разбивка_по_щитам!F955=0,"",Разбивка_по_щитам!F955)</f>
        <v/>
      </c>
      <c r="B955" s="138">
        <f>IF(A955="","",Разбивка_по_щитам!C955)</f>
        <v/>
      </c>
      <c r="C955" s="138">
        <f t="shared" si="582"/>
        <v/>
      </c>
      <c r="D955" s="266"/>
      <c r="E955" s="266"/>
      <c r="F955" s="267"/>
      <c r="G955" s="145">
        <f t="shared" si="583"/>
        <v/>
      </c>
      <c r="H955" s="145">
        <f t="shared" si="584"/>
        <v/>
      </c>
      <c r="I955" s="266"/>
      <c r="J955" s="267"/>
      <c r="K955" s="267"/>
      <c r="L955" s="266"/>
      <c r="M955" s="147">
        <f t="shared" si="585"/>
        <v/>
      </c>
      <c r="N955" s="267"/>
      <c r="O955" s="147">
        <f t="shared" si="586"/>
        <v/>
      </c>
      <c r="P955" s="268">
        <f>IF(AY955=1,"XT"&amp;COUNTIFS($A$3:A955,A955,$AY$3:AY955,1),"")</f>
        <v/>
      </c>
      <c r="Q955" s="152">
        <f>IF(R955="","",IFERROR(SUBSTITUTE(Разбивка_по_щитам!P955,CHAR(10)," "),""))</f>
        <v/>
      </c>
      <c r="R955" s="153">
        <f>IF(OR(Разбивка_по_щитам!H955="",Разбивка_по_щитам!H955=0),"",Разбивка_по_щитам!H955)</f>
        <v/>
      </c>
      <c r="S955" s="154">
        <f>IF(R955="","",IFERROR(Разбивка_по_щитам!J955&amp;"",""))</f>
        <v/>
      </c>
      <c r="T955" s="155">
        <f>IF(R955="","",IFERROR(--Разбивка_по_щитам!L955,""))</f>
        <v/>
      </c>
      <c r="U955" s="155">
        <f>IF(R955="","",IFERROR(--Разбивка_по_щитам!K955,""))</f>
        <v/>
      </c>
      <c r="V955" s="138">
        <f>IF(R955="","",IFERROR(IF(Разбивка_по_щитам!M955=0,"",Разбивка_по_щитам!M955),""))</f>
        <v/>
      </c>
      <c r="W955" s="156">
        <f t="shared" si="587"/>
        <v/>
      </c>
      <c r="X955" s="157">
        <f t="shared" si="588"/>
        <v/>
      </c>
      <c r="Y955" s="266"/>
      <c r="Z955" s="158">
        <f t="shared" si="589"/>
        <v/>
      </c>
      <c r="AA955" s="160">
        <f t="shared" si="590"/>
        <v/>
      </c>
      <c r="AB955" s="160">
        <f>IF(R955="","",IFERROR(LOOKUP(INDEX(Справочная!$I$4:$I$19,MATCH(VLOOKUP(R955,Исходные_данные,22,FALSE),Справочная!$J$4:$J$19,0)+1),{6,10,16,20,25,32,40,50,63,80,100,125}),""))</f>
        <v/>
      </c>
      <c r="AC955" s="160">
        <f t="shared" si="591"/>
        <v/>
      </c>
      <c r="AD955" s="161">
        <f t="shared" si="592"/>
        <v/>
      </c>
      <c r="AE955" s="161">
        <f>IF(AND(R955="",G955=""),"",_xlfn.TEXTJOIN("; ",TRUE,IF(AND(R955&lt;&gt;"",V955=""),"нет фазы",""),IF(AND(R955&lt;&gt;"",N(T955)=0),"нет мощности",""),IF(AND(P955&lt;&gt;"",COUNTIFS($A$3:$A$1000,A955,$P$3:$P$1000,P955)&gt;1),"дубль клеммы "&amp;P955,""),IF(AND(W955&lt;&gt;"",W955&lt;&gt;"ok"),W955,""),IF(X955&lt;&gt;"",X955,""),IF(AND(ISNUMBER(SEARCH("(5х",Q955)),N(AK955)=1),"5 жил на 1 фазе",""),IF(AND(AL955="R",E955&lt;&gt;"",N(AS955)=0),"розетка без 30 мА",""),IF(IFERROR(_xlfn.NUMBERVALUE(MID(Q955,FIND("-",Q955,FIND("L=",Q955))+1,FIND("%",Q955)-FIND("-",Q955,FIND("L=",Q955))-1),","),0)&gt;4,"потери &gt; 4 %","")))</f>
      </c>
      <c r="AF955" s="129">
        <f>IF(E955&lt;&gt;"",COUNTIFS($A$3:A955,A955,$E$3:E955,"?*"),IF(OR(A955&lt;&gt;A954,Y955="вручную"),"",AF954))</f>
        <v/>
      </c>
      <c r="AG955" s="129">
        <f t="shared" si="593"/>
        <v/>
      </c>
      <c r="AH955" s="129">
        <f t="shared" si="594"/>
        <v/>
      </c>
      <c r="AI955" s="129">
        <f t="shared" si="595"/>
        <v/>
      </c>
      <c r="AJ955" s="129">
        <f t="shared" si="596"/>
        <v/>
      </c>
      <c r="AK955" s="129">
        <f t="shared" si="597"/>
        <v/>
      </c>
      <c r="AL955" s="129">
        <f t="shared" si="598"/>
        <v/>
      </c>
      <c r="AM955" s="129">
        <f t="shared" si="599"/>
      </c>
      <c r="AN955" s="129">
        <f t="shared" si="600"/>
      </c>
      <c r="AO955" s="129">
        <f t="shared" si="601"/>
        <v/>
      </c>
      <c r="AP955" s="129">
        <f t="shared" si="602"/>
        <v/>
      </c>
      <c r="AQ955" s="129">
        <f t="shared" si="603"/>
        <v/>
      </c>
      <c r="AR955" s="129">
        <f t="shared" si="604"/>
        <v/>
      </c>
      <c r="AS955" s="129">
        <f t="shared" si="605"/>
        <v/>
      </c>
      <c r="AT955" s="129">
        <f t="shared" si="606"/>
        <v/>
      </c>
      <c r="AU955" s="129">
        <f t="shared" si="607"/>
        <v/>
      </c>
      <c r="AV955" s="129">
        <f t="shared" si="608"/>
        <v/>
      </c>
      <c r="AW955" s="129">
        <f>IF(AV955="","",AV955&amp;"."&amp;COUNTIFS($A$3:A955,A955,$AV$3:AV955,AV955))</f>
        <v/>
      </c>
      <c r="AX955" s="129">
        <f t="shared" si="609"/>
        <v/>
      </c>
      <c r="AY955" s="129">
        <f>IF(N955="б/к",0,IF(OR(ISNUMBER(SEARCH("L=",Разбивка_по_щитам!P955)),N955="+",N955="="),1,0))</f>
      </c>
      <c r="AZ955" s="129">
        <f t="shared" si="610"/>
        <v/>
      </c>
      <c r="BA955" s="129">
        <f t="shared" si="611"/>
      </c>
      <c r="BB955" s="129">
        <f t="shared" si="612"/>
      </c>
      <c r="BD955" s="129">
        <f t="shared" si="613"/>
      </c>
      <c r="BE955" s="129">
        <f t="shared" si="614"/>
      </c>
      <c r="BF955" s="129">
        <f t="shared" si="615"/>
      </c>
      <c r="BG955" s="129">
        <f t="shared" si="616"/>
        <v/>
      </c>
      <c r="BH955" s="129">
        <f t="shared" si="617"/>
        <v/>
      </c>
      <c r="BI955" s="129">
        <f t="shared" si="618"/>
        <v/>
      </c>
      <c r="BJ955" s="129">
        <f t="shared" si="619"/>
        <v/>
      </c>
      <c r="BK955" s="129">
        <f>IF(R955="","",IF(OR(BY955="",BY955=0),"BOX",IFERROR(IF(VLOOKUP(BY955,УГО_блоки,3,FALSE)&amp;""&lt;&gt;"",VLOOKUP(BY955,УГО_блоки,3,FALSE),VLOOKUP(BY955,УГО_блоки,2,FALSE)),BY955)))</f>
      </c>
      <c r="BL955" s="129">
        <f t="shared" si="621"/>
      </c>
      <c r="BM955" s="129">
        <f>IF(H955="","",IF(COUNTIF($H$3:H955,H955)=1,MAX($BM$2:BM954)+1,""))</f>
      </c>
      <c r="BN955" s="129">
        <f>IF(I955="","",IF(COUNTIF($I$3:I955,I955)+COUNTIF($J$2:J954,I955)+COUNTIF($K$2:K954,I955)=1,MAX($BN$2:BP954)+1,""))</f>
      </c>
      <c r="BO955" s="129">
        <f>IF(J955="","",IF(COUNTIF($I$3:I955,J955)+COUNTIF($J$3:J955,J955)+COUNTIF($K$2:K954,J955)=1,MAX($BN$2:BP954,BN955)+1,""))</f>
      </c>
      <c r="BP955" s="129">
        <f>IF(K955="","",IF(COUNTIF($I$3:I955,K955)+COUNTIF($J$3:J955,K955)+COUNTIF($K$3:K955,K955)=1,MAX($BN$2:BP954,BN955,BO955)+1,""))</f>
      </c>
      <c r="BQ955" s="129">
        <f>IF(AY955=1,IFERROR(MID(Q955,FIND(" (",Q955)+2,FIND(")",Q955,FIND(" (",Q955))-FIND(" (",Q955)-2),"?"),"")</f>
      </c>
      <c r="BR955" s="129">
        <f>IF(BQ955="","",IF(COUNTIF($BQ$3:BQ955,BQ955)=1,MAX($BR$2:BR954)+1,""))</f>
      </c>
      <c r="BS955" s="129">
        <f>IF(AW955="","",COUNTIF($AW$3:AW955,"?*"))</f>
      </c>
      <c r="BT955" s="129">
        <f>IF(OR(AW955="",AI955=""),"",IF(COUNTIFS($AW$3:AW955,"?*",$AI$3:AI955,AI955)=1,MAX($BT$2:BT954)+1,""))</f>
      </c>
      <c r="BU955" s="129">
        <f>IF(AE955="",0,IF(OR(ISNUMBER(SEARCH("дубль",AE955)),ISNUMBER(SEARCH("ПЕРЕГРУЗ",AE955)),ISNUMBER(SEARCH("ЗАЩИЩ",AE955)),ISNUMBER(SEARCH("КАНАЛ",AE955)),ISNUMBER(SEARCH("без 30",AE955))),2,1))</f>
      </c>
      <c r="BV955" s="129">
        <f>IF(R955="","",COUNTIF($R$3:R955,"?*"))</f>
      </c>
      <c r="BW955" s="129">
        <f>IF(AY955&lt;&gt;1,0,IF(MAX(IFERROR(--VLOOKUP(R955,УГО_спр,5,FALSE),0),IFERROR(--VLOOKUP(AL955,УГО_спр,5,FALSE),0),IFERROR(--VLOOKUP(LEFT(AL955,2),УГО_спр,5,FALSE),0))&gt;0,MAX(IFERROR(--VLOOKUP(R955,УГО_спр,5,FALSE),0),IFERROR(--VLOOKUP(AL955,УГО_спр,5,FALSE),0),IFERROR(--VLOOKUP(LEFT(AL955,2),УГО_спр,5,FALSE),0)),IF(IFERROR(--LEFT(SUBSTITUTE(BQ955,"x","х"),FIND("х",SUBSTITUTE(BQ955,"x","х"))-1),3)&gt;3,Каталог!$S$9,1)))</f>
      </c>
      <c r="BX955" s="129">
        <f>IF(AY955&lt;&gt;1,0,MAX(0,IFERROR(--LEFT(SUBSTITUTE(BQ955,"x","х"),FIND("х",SUBSTITUTE(BQ955,"x","х"))-1),3)-3*BW955))</f>
      </c>
      <c r="BY955" s="129">
        <f>IF(R955="","",IFERROR(VLOOKUP(R955,УГО_спр,2,FALSE),IFERROR(VLOOKUP(AL955,УГО_спр,2,FALSE),IFERROR(VLOOKUP(LEFT(AL955,2),УГО_спр,2,FALSE),""))))</f>
      </c>
    </row>
    <row r="956" spans="1:64" x14ac:dyDescent="0.3">
      <c r="A956" s="135">
        <f>IF(Разбивка_по_щитам!F956=0,"",Разбивка_по_щитам!F956)</f>
        <v/>
      </c>
      <c r="B956" s="138">
        <f>IF(A956="","",Разбивка_по_щитам!C956)</f>
        <v/>
      </c>
      <c r="C956" s="138">
        <f t="shared" si="582"/>
        <v/>
      </c>
      <c r="D956" s="266"/>
      <c r="E956" s="266"/>
      <c r="F956" s="267"/>
      <c r="G956" s="145">
        <f t="shared" si="583"/>
        <v/>
      </c>
      <c r="H956" s="145">
        <f t="shared" si="584"/>
        <v/>
      </c>
      <c r="I956" s="266"/>
      <c r="J956" s="267"/>
      <c r="K956" s="267"/>
      <c r="L956" s="266"/>
      <c r="M956" s="147">
        <f t="shared" si="585"/>
        <v/>
      </c>
      <c r="N956" s="267"/>
      <c r="O956" s="147">
        <f t="shared" si="586"/>
        <v/>
      </c>
      <c r="P956" s="268">
        <f>IF(AY956=1,"XT"&amp;COUNTIFS($A$3:A956,A956,$AY$3:AY956,1),"")</f>
        <v/>
      </c>
      <c r="Q956" s="152">
        <f>IF(R956="","",IFERROR(SUBSTITUTE(Разбивка_по_щитам!P956,CHAR(10)," "),""))</f>
        <v/>
      </c>
      <c r="R956" s="153">
        <f>IF(OR(Разбивка_по_щитам!H956="",Разбивка_по_щитам!H956=0),"",Разбивка_по_щитам!H956)</f>
        <v/>
      </c>
      <c r="S956" s="154">
        <f>IF(R956="","",IFERROR(Разбивка_по_щитам!J956&amp;"",""))</f>
        <v/>
      </c>
      <c r="T956" s="155">
        <f>IF(R956="","",IFERROR(--Разбивка_по_щитам!L956,""))</f>
        <v/>
      </c>
      <c r="U956" s="155">
        <f>IF(R956="","",IFERROR(--Разбивка_по_щитам!K956,""))</f>
        <v/>
      </c>
      <c r="V956" s="138">
        <f>IF(R956="","",IFERROR(IF(Разбивка_по_щитам!M956=0,"",Разбивка_по_щитам!M956),""))</f>
        <v/>
      </c>
      <c r="W956" s="156">
        <f t="shared" si="587"/>
        <v/>
      </c>
      <c r="X956" s="157">
        <f t="shared" si="588"/>
        <v/>
      </c>
      <c r="Y956" s="266"/>
      <c r="Z956" s="158">
        <f t="shared" si="589"/>
        <v/>
      </c>
      <c r="AA956" s="160">
        <f t="shared" si="590"/>
        <v/>
      </c>
      <c r="AB956" s="160">
        <f>IF(R956="","",IFERROR(LOOKUP(INDEX(Справочная!$I$4:$I$19,MATCH(VLOOKUP(R956,Исходные_данные,22,FALSE),Справочная!$J$4:$J$19,0)+1),{6,10,16,20,25,32,40,50,63,80,100,125}),""))</f>
        <v/>
      </c>
      <c r="AC956" s="160">
        <f t="shared" si="591"/>
        <v/>
      </c>
      <c r="AD956" s="161">
        <f t="shared" si="592"/>
        <v/>
      </c>
      <c r="AE956" s="161">
        <f>IF(AND(R956="",G956=""),"",_xlfn.TEXTJOIN("; ",TRUE,IF(AND(R956&lt;&gt;"",V956=""),"нет фазы",""),IF(AND(R956&lt;&gt;"",N(T956)=0),"нет мощности",""),IF(AND(P956&lt;&gt;"",COUNTIFS($A$3:$A$1000,A956,$P$3:$P$1000,P956)&gt;1),"дубль клеммы "&amp;P956,""),IF(AND(W956&lt;&gt;"",W956&lt;&gt;"ok"),W956,""),IF(X956&lt;&gt;"",X956,""),IF(AND(ISNUMBER(SEARCH("(5х",Q956)),N(AK956)=1),"5 жил на 1 фазе",""),IF(AND(AL956="R",E956&lt;&gt;"",N(AS956)=0),"розетка без 30 мА",""),IF(IFERROR(_xlfn.NUMBERVALUE(MID(Q956,FIND("-",Q956,FIND("L=",Q956))+1,FIND("%",Q956)-FIND("-",Q956,FIND("L=",Q956))-1),","),0)&gt;4,"потери &gt; 4 %","")))</f>
      </c>
      <c r="AF956" s="129">
        <f>IF(E956&lt;&gt;"",COUNTIFS($A$3:A956,A956,$E$3:E956,"?*"),IF(OR(A956&lt;&gt;A955,Y956="вручную"),"",AF955))</f>
        <v/>
      </c>
      <c r="AG956" s="129">
        <f t="shared" si="593"/>
        <v/>
      </c>
      <c r="AH956" s="129">
        <f t="shared" si="594"/>
        <v/>
      </c>
      <c r="AI956" s="129">
        <f t="shared" si="595"/>
        <v/>
      </c>
      <c r="AJ956" s="129">
        <f t="shared" si="596"/>
        <v/>
      </c>
      <c r="AK956" s="129">
        <f t="shared" si="597"/>
        <v/>
      </c>
      <c r="AL956" s="129">
        <f t="shared" si="598"/>
        <v/>
      </c>
      <c r="AM956" s="129">
        <f t="shared" si="599"/>
      </c>
      <c r="AN956" s="129">
        <f t="shared" si="600"/>
      </c>
      <c r="AO956" s="129">
        <f t="shared" si="601"/>
        <v/>
      </c>
      <c r="AP956" s="129">
        <f t="shared" si="602"/>
        <v/>
      </c>
      <c r="AQ956" s="129">
        <f t="shared" si="603"/>
        <v/>
      </c>
      <c r="AR956" s="129">
        <f t="shared" si="604"/>
        <v/>
      </c>
      <c r="AS956" s="129">
        <f t="shared" si="605"/>
        <v/>
      </c>
      <c r="AT956" s="129">
        <f t="shared" si="606"/>
        <v/>
      </c>
      <c r="AU956" s="129">
        <f t="shared" si="607"/>
        <v/>
      </c>
      <c r="AV956" s="129">
        <f t="shared" si="608"/>
        <v/>
      </c>
      <c r="AW956" s="129">
        <f>IF(AV956="","",AV956&amp;"."&amp;COUNTIFS($A$3:A956,A956,$AV$3:AV956,AV956))</f>
        <v/>
      </c>
      <c r="AX956" s="129">
        <f t="shared" si="609"/>
        <v/>
      </c>
      <c r="AY956" s="129">
        <f>IF(N956="б/к",0,IF(OR(ISNUMBER(SEARCH("L=",Разбивка_по_щитам!P956)),N956="+",N956="="),1,0))</f>
      </c>
      <c r="AZ956" s="129">
        <f t="shared" si="610"/>
        <v/>
      </c>
      <c r="BA956" s="129">
        <f t="shared" si="611"/>
      </c>
      <c r="BB956" s="129">
        <f t="shared" si="612"/>
      </c>
      <c r="BD956" s="129">
        <f t="shared" si="613"/>
      </c>
      <c r="BE956" s="129">
        <f t="shared" si="614"/>
      </c>
      <c r="BF956" s="129">
        <f t="shared" si="615"/>
      </c>
      <c r="BG956" s="129">
        <f t="shared" si="616"/>
        <v/>
      </c>
      <c r="BH956" s="129">
        <f t="shared" si="617"/>
        <v/>
      </c>
      <c r="BI956" s="129">
        <f t="shared" si="618"/>
        <v/>
      </c>
      <c r="BJ956" s="129">
        <f t="shared" si="619"/>
        <v/>
      </c>
      <c r="BK956" s="129">
        <f>IF(R956="","",IF(OR(BY956="",BY956=0),"BOX",IFERROR(IF(VLOOKUP(BY956,УГО_блоки,3,FALSE)&amp;""&lt;&gt;"",VLOOKUP(BY956,УГО_блоки,3,FALSE),VLOOKUP(BY956,УГО_блоки,2,FALSE)),BY956)))</f>
      </c>
      <c r="BL956" s="129">
        <f t="shared" si="621"/>
      </c>
      <c r="BM956" s="129">
        <f>IF(H956="","",IF(COUNTIF($H$3:H956,H956)=1,MAX($BM$2:BM955)+1,""))</f>
      </c>
      <c r="BN956" s="129">
        <f>IF(I956="","",IF(COUNTIF($I$3:I956,I956)+COUNTIF($J$2:J955,I956)+COUNTIF($K$2:K955,I956)=1,MAX($BN$2:BP955)+1,""))</f>
      </c>
      <c r="BO956" s="129">
        <f>IF(J956="","",IF(COUNTIF($I$3:I956,J956)+COUNTIF($J$3:J956,J956)+COUNTIF($K$2:K955,J956)=1,MAX($BN$2:BP955,BN956)+1,""))</f>
      </c>
      <c r="BP956" s="129">
        <f>IF(K956="","",IF(COUNTIF($I$3:I956,K956)+COUNTIF($J$3:J956,K956)+COUNTIF($K$3:K956,K956)=1,MAX($BN$2:BP955,BN956,BO956)+1,""))</f>
      </c>
      <c r="BQ956" s="129">
        <f>IF(AY956=1,IFERROR(MID(Q956,FIND(" (",Q956)+2,FIND(")",Q956,FIND(" (",Q956))-FIND(" (",Q956)-2),"?"),"")</f>
      </c>
      <c r="BR956" s="129">
        <f>IF(BQ956="","",IF(COUNTIF($BQ$3:BQ956,BQ956)=1,MAX($BR$2:BR955)+1,""))</f>
      </c>
      <c r="BS956" s="129">
        <f>IF(AW956="","",COUNTIF($AW$3:AW956,"?*"))</f>
      </c>
      <c r="BT956" s="129">
        <f>IF(OR(AW956="",AI956=""),"",IF(COUNTIFS($AW$3:AW956,"?*",$AI$3:AI956,AI956)=1,MAX($BT$2:BT955)+1,""))</f>
      </c>
      <c r="BU956" s="129">
        <f>IF(AE956="",0,IF(OR(ISNUMBER(SEARCH("дубль",AE956)),ISNUMBER(SEARCH("ПЕРЕГРУЗ",AE956)),ISNUMBER(SEARCH("ЗАЩИЩ",AE956)),ISNUMBER(SEARCH("КАНАЛ",AE956)),ISNUMBER(SEARCH("без 30",AE956))),2,1))</f>
      </c>
      <c r="BV956" s="129">
        <f>IF(R956="","",COUNTIF($R$3:R956,"?*"))</f>
      </c>
      <c r="BW956" s="129">
        <f>IF(AY956&lt;&gt;1,0,IF(MAX(IFERROR(--VLOOKUP(R956,УГО_спр,5,FALSE),0),IFERROR(--VLOOKUP(AL956,УГО_спр,5,FALSE),0),IFERROR(--VLOOKUP(LEFT(AL956,2),УГО_спр,5,FALSE),0))&gt;0,MAX(IFERROR(--VLOOKUP(R956,УГО_спр,5,FALSE),0),IFERROR(--VLOOKUP(AL956,УГО_спр,5,FALSE),0),IFERROR(--VLOOKUP(LEFT(AL956,2),УГО_спр,5,FALSE),0)),IF(IFERROR(--LEFT(SUBSTITUTE(BQ956,"x","х"),FIND("х",SUBSTITUTE(BQ956,"x","х"))-1),3)&gt;3,Каталог!$S$9,1)))</f>
      </c>
      <c r="BX956" s="129">
        <f>IF(AY956&lt;&gt;1,0,MAX(0,IFERROR(--LEFT(SUBSTITUTE(BQ956,"x","х"),FIND("х",SUBSTITUTE(BQ956,"x","х"))-1),3)-3*BW956))</f>
      </c>
      <c r="BY956" s="129">
        <f>IF(R956="","",IFERROR(VLOOKUP(R956,УГО_спр,2,FALSE),IFERROR(VLOOKUP(AL956,УГО_спр,2,FALSE),IFERROR(VLOOKUP(LEFT(AL956,2),УГО_спр,2,FALSE),""))))</f>
      </c>
    </row>
    <row r="957" spans="1:64" x14ac:dyDescent="0.3">
      <c r="A957" s="135">
        <f>IF(Разбивка_по_щитам!F957=0,"",Разбивка_по_щитам!F957)</f>
        <v/>
      </c>
      <c r="B957" s="138">
        <f>IF(A957="","",Разбивка_по_щитам!C957)</f>
        <v/>
      </c>
      <c r="C957" s="138">
        <f t="shared" si="582"/>
        <v/>
      </c>
      <c r="D957" s="266"/>
      <c r="E957" s="266"/>
      <c r="F957" s="267"/>
      <c r="G957" s="145">
        <f t="shared" si="583"/>
        <v/>
      </c>
      <c r="H957" s="145">
        <f t="shared" si="584"/>
        <v/>
      </c>
      <c r="I957" s="266"/>
      <c r="J957" s="267"/>
      <c r="K957" s="267"/>
      <c r="L957" s="266"/>
      <c r="M957" s="147">
        <f t="shared" si="585"/>
        <v/>
      </c>
      <c r="N957" s="267"/>
      <c r="O957" s="147">
        <f t="shared" si="586"/>
        <v/>
      </c>
      <c r="P957" s="268">
        <f>IF(AY957=1,"XT"&amp;COUNTIFS($A$3:A957,A957,$AY$3:AY957,1),"")</f>
        <v/>
      </c>
      <c r="Q957" s="152">
        <f>IF(R957="","",IFERROR(SUBSTITUTE(Разбивка_по_щитам!P957,CHAR(10)," "),""))</f>
        <v/>
      </c>
      <c r="R957" s="153">
        <f>IF(OR(Разбивка_по_щитам!H957="",Разбивка_по_щитам!H957=0),"",Разбивка_по_щитам!H957)</f>
        <v/>
      </c>
      <c r="S957" s="154">
        <f>IF(R957="","",IFERROR(Разбивка_по_щитам!J957&amp;"",""))</f>
        <v/>
      </c>
      <c r="T957" s="155">
        <f>IF(R957="","",IFERROR(--Разбивка_по_щитам!L957,""))</f>
        <v/>
      </c>
      <c r="U957" s="155">
        <f>IF(R957="","",IFERROR(--Разбивка_по_щитам!K957,""))</f>
        <v/>
      </c>
      <c r="V957" s="138">
        <f>IF(R957="","",IFERROR(IF(Разбивка_по_щитам!M957=0,"",Разбивка_по_щитам!M957),""))</f>
        <v/>
      </c>
      <c r="W957" s="156">
        <f t="shared" si="587"/>
        <v/>
      </c>
      <c r="X957" s="157">
        <f t="shared" si="588"/>
        <v/>
      </c>
      <c r="Y957" s="266"/>
      <c r="Z957" s="158">
        <f t="shared" si="589"/>
        <v/>
      </c>
      <c r="AA957" s="160">
        <f t="shared" si="590"/>
        <v/>
      </c>
      <c r="AB957" s="160">
        <f>IF(R957="","",IFERROR(LOOKUP(INDEX(Справочная!$I$4:$I$19,MATCH(VLOOKUP(R957,Исходные_данные,22,FALSE),Справочная!$J$4:$J$19,0)+1),{6,10,16,20,25,32,40,50,63,80,100,125}),""))</f>
        <v/>
      </c>
      <c r="AC957" s="160">
        <f t="shared" si="591"/>
        <v/>
      </c>
      <c r="AD957" s="161">
        <f t="shared" si="592"/>
        <v/>
      </c>
      <c r="AE957" s="161">
        <f>IF(AND(R957="",G957=""),"",_xlfn.TEXTJOIN("; ",TRUE,IF(AND(R957&lt;&gt;"",V957=""),"нет фазы",""),IF(AND(R957&lt;&gt;"",N(T957)=0),"нет мощности",""),IF(AND(P957&lt;&gt;"",COUNTIFS($A$3:$A$1000,A957,$P$3:$P$1000,P957)&gt;1),"дубль клеммы "&amp;P957,""),IF(AND(W957&lt;&gt;"",W957&lt;&gt;"ok"),W957,""),IF(X957&lt;&gt;"",X957,""),IF(AND(ISNUMBER(SEARCH("(5х",Q957)),N(AK957)=1),"5 жил на 1 фазе",""),IF(AND(AL957="R",E957&lt;&gt;"",N(AS957)=0),"розетка без 30 мА",""),IF(IFERROR(_xlfn.NUMBERVALUE(MID(Q957,FIND("-",Q957,FIND("L=",Q957))+1,FIND("%",Q957)-FIND("-",Q957,FIND("L=",Q957))-1),","),0)&gt;4,"потери &gt; 4 %","")))</f>
      </c>
      <c r="AF957" s="129">
        <f>IF(E957&lt;&gt;"",COUNTIFS($A$3:A957,A957,$E$3:E957,"?*"),IF(OR(A957&lt;&gt;A956,Y957="вручную"),"",AF956))</f>
        <v/>
      </c>
      <c r="AG957" s="129">
        <f t="shared" si="593"/>
        <v/>
      </c>
      <c r="AH957" s="129">
        <f t="shared" si="594"/>
        <v/>
      </c>
      <c r="AI957" s="129">
        <f t="shared" si="595"/>
        <v/>
      </c>
      <c r="AJ957" s="129">
        <f t="shared" si="596"/>
        <v/>
      </c>
      <c r="AK957" s="129">
        <f t="shared" si="597"/>
        <v/>
      </c>
      <c r="AL957" s="129">
        <f t="shared" si="598"/>
        <v/>
      </c>
      <c r="AM957" s="129">
        <f t="shared" si="599"/>
      </c>
      <c r="AN957" s="129">
        <f t="shared" si="600"/>
      </c>
      <c r="AO957" s="129">
        <f t="shared" si="601"/>
        <v/>
      </c>
      <c r="AP957" s="129">
        <f t="shared" si="602"/>
        <v/>
      </c>
      <c r="AQ957" s="129">
        <f t="shared" si="603"/>
        <v/>
      </c>
      <c r="AR957" s="129">
        <f t="shared" si="604"/>
        <v/>
      </c>
      <c r="AS957" s="129">
        <f t="shared" si="605"/>
        <v/>
      </c>
      <c r="AT957" s="129">
        <f t="shared" si="606"/>
        <v/>
      </c>
      <c r="AU957" s="129">
        <f t="shared" si="607"/>
        <v/>
      </c>
      <c r="AV957" s="129">
        <f t="shared" si="608"/>
        <v/>
      </c>
      <c r="AW957" s="129">
        <f>IF(AV957="","",AV957&amp;"."&amp;COUNTIFS($A$3:A957,A957,$AV$3:AV957,AV957))</f>
        <v/>
      </c>
      <c r="AX957" s="129">
        <f t="shared" si="609"/>
        <v/>
      </c>
      <c r="AY957" s="129">
        <f>IF(N957="б/к",0,IF(OR(ISNUMBER(SEARCH("L=",Разбивка_по_щитам!P957)),N957="+",N957="="),1,0))</f>
      </c>
      <c r="AZ957" s="129">
        <f t="shared" si="610"/>
        <v/>
      </c>
      <c r="BA957" s="129">
        <f t="shared" si="611"/>
      </c>
      <c r="BB957" s="129">
        <f t="shared" si="612"/>
      </c>
      <c r="BD957" s="129">
        <f t="shared" si="613"/>
      </c>
      <c r="BE957" s="129">
        <f t="shared" si="614"/>
      </c>
      <c r="BF957" s="129">
        <f t="shared" si="615"/>
      </c>
      <c r="BG957" s="129">
        <f t="shared" si="616"/>
        <v/>
      </c>
      <c r="BH957" s="129">
        <f t="shared" si="617"/>
        <v/>
      </c>
      <c r="BI957" s="129">
        <f t="shared" si="618"/>
        <v/>
      </c>
      <c r="BJ957" s="129">
        <f t="shared" si="619"/>
        <v/>
      </c>
      <c r="BK957" s="129">
        <f>IF(R957="","",IF(OR(BY957="",BY957=0),"BOX",IFERROR(IF(VLOOKUP(BY957,УГО_блоки,3,FALSE)&amp;""&lt;&gt;"",VLOOKUP(BY957,УГО_блоки,3,FALSE),VLOOKUP(BY957,УГО_блоки,2,FALSE)),BY957)))</f>
      </c>
      <c r="BL957" s="129">
        <f t="shared" si="621"/>
      </c>
      <c r="BM957" s="129">
        <f>IF(H957="","",IF(COUNTIF($H$3:H957,H957)=1,MAX($BM$2:BM956)+1,""))</f>
      </c>
      <c r="BN957" s="129">
        <f>IF(I957="","",IF(COUNTIF($I$3:I957,I957)+COUNTIF($J$2:J956,I957)+COUNTIF($K$2:K956,I957)=1,MAX($BN$2:BP956)+1,""))</f>
      </c>
      <c r="BO957" s="129">
        <f>IF(J957="","",IF(COUNTIF($I$3:I957,J957)+COUNTIF($J$3:J957,J957)+COUNTIF($K$2:K956,J957)=1,MAX($BN$2:BP956,BN957)+1,""))</f>
      </c>
      <c r="BP957" s="129">
        <f>IF(K957="","",IF(COUNTIF($I$3:I957,K957)+COUNTIF($J$3:J957,K957)+COUNTIF($K$3:K957,K957)=1,MAX($BN$2:BP956,BN957,BO957)+1,""))</f>
      </c>
      <c r="BQ957" s="129">
        <f>IF(AY957=1,IFERROR(MID(Q957,FIND(" (",Q957)+2,FIND(")",Q957,FIND(" (",Q957))-FIND(" (",Q957)-2),"?"),"")</f>
      </c>
      <c r="BR957" s="129">
        <f>IF(BQ957="","",IF(COUNTIF($BQ$3:BQ957,BQ957)=1,MAX($BR$2:BR956)+1,""))</f>
      </c>
      <c r="BS957" s="129">
        <f>IF(AW957="","",COUNTIF($AW$3:AW957,"?*"))</f>
      </c>
      <c r="BT957" s="129">
        <f>IF(OR(AW957="",AI957=""),"",IF(COUNTIFS($AW$3:AW957,"?*",$AI$3:AI957,AI957)=1,MAX($BT$2:BT956)+1,""))</f>
      </c>
      <c r="BU957" s="129">
        <f>IF(AE957="",0,IF(OR(ISNUMBER(SEARCH("дубль",AE957)),ISNUMBER(SEARCH("ПЕРЕГРУЗ",AE957)),ISNUMBER(SEARCH("ЗАЩИЩ",AE957)),ISNUMBER(SEARCH("КАНАЛ",AE957)),ISNUMBER(SEARCH("без 30",AE957))),2,1))</f>
      </c>
      <c r="BV957" s="129">
        <f>IF(R957="","",COUNTIF($R$3:R957,"?*"))</f>
      </c>
      <c r="BW957" s="129">
        <f>IF(AY957&lt;&gt;1,0,IF(MAX(IFERROR(--VLOOKUP(R957,УГО_спр,5,FALSE),0),IFERROR(--VLOOKUP(AL957,УГО_спр,5,FALSE),0),IFERROR(--VLOOKUP(LEFT(AL957,2),УГО_спр,5,FALSE),0))&gt;0,MAX(IFERROR(--VLOOKUP(R957,УГО_спр,5,FALSE),0),IFERROR(--VLOOKUP(AL957,УГО_спр,5,FALSE),0),IFERROR(--VLOOKUP(LEFT(AL957,2),УГО_спр,5,FALSE),0)),IF(IFERROR(--LEFT(SUBSTITUTE(BQ957,"x","х"),FIND("х",SUBSTITUTE(BQ957,"x","х"))-1),3)&gt;3,Каталог!$S$9,1)))</f>
      </c>
      <c r="BX957" s="129">
        <f>IF(AY957&lt;&gt;1,0,MAX(0,IFERROR(--LEFT(SUBSTITUTE(BQ957,"x","х"),FIND("х",SUBSTITUTE(BQ957,"x","х"))-1),3)-3*BW957))</f>
      </c>
      <c r="BY957" s="129">
        <f>IF(R957="","",IFERROR(VLOOKUP(R957,УГО_спр,2,FALSE),IFERROR(VLOOKUP(AL957,УГО_спр,2,FALSE),IFERROR(VLOOKUP(LEFT(AL957,2),УГО_спр,2,FALSE),""))))</f>
      </c>
    </row>
    <row r="958" spans="1:64" x14ac:dyDescent="0.3">
      <c r="A958" s="135">
        <f>IF(Разбивка_по_щитам!F958=0,"",Разбивка_по_щитам!F958)</f>
        <v/>
      </c>
      <c r="B958" s="138">
        <f>IF(A958="","",Разбивка_по_щитам!C958)</f>
        <v/>
      </c>
      <c r="C958" s="138">
        <f t="shared" si="582"/>
        <v/>
      </c>
      <c r="D958" s="266"/>
      <c r="E958" s="266"/>
      <c r="F958" s="267"/>
      <c r="G958" s="145">
        <f t="shared" si="583"/>
        <v/>
      </c>
      <c r="H958" s="145">
        <f t="shared" si="584"/>
        <v/>
      </c>
      <c r="I958" s="266"/>
      <c r="J958" s="267"/>
      <c r="K958" s="267"/>
      <c r="L958" s="266"/>
      <c r="M958" s="147">
        <f t="shared" si="585"/>
        <v/>
      </c>
      <c r="N958" s="267"/>
      <c r="O958" s="147">
        <f t="shared" si="586"/>
        <v/>
      </c>
      <c r="P958" s="268">
        <f>IF(AY958=1,"XT"&amp;COUNTIFS($A$3:A958,A958,$AY$3:AY958,1),"")</f>
        <v/>
      </c>
      <c r="Q958" s="152">
        <f>IF(R958="","",IFERROR(SUBSTITUTE(Разбивка_по_щитам!P958,CHAR(10)," "),""))</f>
        <v/>
      </c>
      <c r="R958" s="153">
        <f>IF(OR(Разбивка_по_щитам!H958="",Разбивка_по_щитам!H958=0),"",Разбивка_по_щитам!H958)</f>
        <v/>
      </c>
      <c r="S958" s="154">
        <f>IF(R958="","",IFERROR(Разбивка_по_щитам!J958&amp;"",""))</f>
        <v/>
      </c>
      <c r="T958" s="155">
        <f>IF(R958="","",IFERROR(--Разбивка_по_щитам!L958,""))</f>
        <v/>
      </c>
      <c r="U958" s="155">
        <f>IF(R958="","",IFERROR(--Разбивка_по_щитам!K958,""))</f>
        <v/>
      </c>
      <c r="V958" s="138">
        <f>IF(R958="","",IFERROR(IF(Разбивка_по_щитам!M958=0,"",Разбивка_по_щитам!M958),""))</f>
        <v/>
      </c>
      <c r="W958" s="156">
        <f t="shared" si="587"/>
        <v/>
      </c>
      <c r="X958" s="157">
        <f t="shared" si="588"/>
        <v/>
      </c>
      <c r="Y958" s="266"/>
      <c r="Z958" s="158">
        <f t="shared" si="589"/>
        <v/>
      </c>
      <c r="AA958" s="160">
        <f t="shared" si="590"/>
        <v/>
      </c>
      <c r="AB958" s="160">
        <f>IF(R958="","",IFERROR(LOOKUP(INDEX(Справочная!$I$4:$I$19,MATCH(VLOOKUP(R958,Исходные_данные,22,FALSE),Справочная!$J$4:$J$19,0)+1),{6,10,16,20,25,32,40,50,63,80,100,125}),""))</f>
        <v/>
      </c>
      <c r="AC958" s="160">
        <f t="shared" si="591"/>
        <v/>
      </c>
      <c r="AD958" s="161">
        <f t="shared" si="592"/>
        <v/>
      </c>
      <c r="AE958" s="161">
        <f>IF(AND(R958="",G958=""),"",_xlfn.TEXTJOIN("; ",TRUE,IF(AND(R958&lt;&gt;"",V958=""),"нет фазы",""),IF(AND(R958&lt;&gt;"",N(T958)=0),"нет мощности",""),IF(AND(P958&lt;&gt;"",COUNTIFS($A$3:$A$1000,A958,$P$3:$P$1000,P958)&gt;1),"дубль клеммы "&amp;P958,""),IF(AND(W958&lt;&gt;"",W958&lt;&gt;"ok"),W958,""),IF(X958&lt;&gt;"",X958,""),IF(AND(ISNUMBER(SEARCH("(5х",Q958)),N(AK958)=1),"5 жил на 1 фазе",""),IF(AND(AL958="R",E958&lt;&gt;"",N(AS958)=0),"розетка без 30 мА",""),IF(IFERROR(_xlfn.NUMBERVALUE(MID(Q958,FIND("-",Q958,FIND("L=",Q958))+1,FIND("%",Q958)-FIND("-",Q958,FIND("L=",Q958))-1),","),0)&gt;4,"потери &gt; 4 %","")))</f>
      </c>
      <c r="AF958" s="129">
        <f>IF(E958&lt;&gt;"",COUNTIFS($A$3:A958,A958,$E$3:E958,"?*"),IF(OR(A958&lt;&gt;A957,Y958="вручную"),"",AF957))</f>
        <v/>
      </c>
      <c r="AG958" s="129">
        <f t="shared" si="593"/>
        <v/>
      </c>
      <c r="AH958" s="129">
        <f t="shared" si="594"/>
        <v/>
      </c>
      <c r="AI958" s="129">
        <f t="shared" si="595"/>
        <v/>
      </c>
      <c r="AJ958" s="129">
        <f t="shared" si="596"/>
        <v/>
      </c>
      <c r="AK958" s="129">
        <f t="shared" si="597"/>
        <v/>
      </c>
      <c r="AL958" s="129">
        <f t="shared" si="598"/>
        <v/>
      </c>
      <c r="AM958" s="129">
        <f t="shared" si="599"/>
      </c>
      <c r="AN958" s="129">
        <f t="shared" si="600"/>
      </c>
      <c r="AO958" s="129">
        <f t="shared" si="601"/>
        <v/>
      </c>
      <c r="AP958" s="129">
        <f t="shared" si="602"/>
        <v/>
      </c>
      <c r="AQ958" s="129">
        <f t="shared" si="603"/>
        <v/>
      </c>
      <c r="AR958" s="129">
        <f t="shared" si="604"/>
        <v/>
      </c>
      <c r="AS958" s="129">
        <f t="shared" si="605"/>
        <v/>
      </c>
      <c r="AT958" s="129">
        <f t="shared" si="606"/>
        <v/>
      </c>
      <c r="AU958" s="129">
        <f t="shared" si="607"/>
        <v/>
      </c>
      <c r="AV958" s="129">
        <f t="shared" si="608"/>
        <v/>
      </c>
      <c r="AW958" s="129">
        <f>IF(AV958="","",AV958&amp;"."&amp;COUNTIFS($A$3:A958,A958,$AV$3:AV958,AV958))</f>
        <v/>
      </c>
      <c r="AX958" s="129">
        <f t="shared" si="609"/>
        <v/>
      </c>
      <c r="AY958" s="129">
        <f>IF(N958="б/к",0,IF(OR(ISNUMBER(SEARCH("L=",Разбивка_по_щитам!P958)),N958="+",N958="="),1,0))</f>
      </c>
      <c r="AZ958" s="129">
        <f t="shared" si="610"/>
        <v/>
      </c>
      <c r="BA958" s="129">
        <f t="shared" si="611"/>
      </c>
      <c r="BB958" s="129">
        <f t="shared" si="612"/>
      </c>
      <c r="BD958" s="129">
        <f t="shared" si="613"/>
      </c>
      <c r="BE958" s="129">
        <f t="shared" si="614"/>
      </c>
      <c r="BF958" s="129">
        <f t="shared" si="615"/>
      </c>
      <c r="BG958" s="129">
        <f t="shared" si="616"/>
        <v/>
      </c>
      <c r="BH958" s="129">
        <f t="shared" si="617"/>
        <v/>
      </c>
      <c r="BI958" s="129">
        <f t="shared" si="618"/>
        <v/>
      </c>
      <c r="BJ958" s="129">
        <f t="shared" si="619"/>
        <v/>
      </c>
      <c r="BK958" s="129">
        <f>IF(R958="","",IF(OR(BY958="",BY958=0),"BOX",IFERROR(IF(VLOOKUP(BY958,УГО_блоки,3,FALSE)&amp;""&lt;&gt;"",VLOOKUP(BY958,УГО_блоки,3,FALSE),VLOOKUP(BY958,УГО_блоки,2,FALSE)),BY958)))</f>
      </c>
      <c r="BL958" s="129">
        <f t="shared" si="621"/>
      </c>
      <c r="BM958" s="129">
        <f>IF(H958="","",IF(COUNTIF($H$3:H958,H958)=1,MAX($BM$2:BM957)+1,""))</f>
      </c>
      <c r="BN958" s="129">
        <f>IF(I958="","",IF(COUNTIF($I$3:I958,I958)+COUNTIF($J$2:J957,I958)+COUNTIF($K$2:K957,I958)=1,MAX($BN$2:BP957)+1,""))</f>
      </c>
      <c r="BO958" s="129">
        <f>IF(J958="","",IF(COUNTIF($I$3:I958,J958)+COUNTIF($J$3:J958,J958)+COUNTIF($K$2:K957,J958)=1,MAX($BN$2:BP957,BN958)+1,""))</f>
      </c>
      <c r="BP958" s="129">
        <f>IF(K958="","",IF(COUNTIF($I$3:I958,K958)+COUNTIF($J$3:J958,K958)+COUNTIF($K$3:K958,K958)=1,MAX($BN$2:BP957,BN958,BO958)+1,""))</f>
      </c>
      <c r="BQ958" s="129">
        <f>IF(AY958=1,IFERROR(MID(Q958,FIND(" (",Q958)+2,FIND(")",Q958,FIND(" (",Q958))-FIND(" (",Q958)-2),"?"),"")</f>
      </c>
      <c r="BR958" s="129">
        <f>IF(BQ958="","",IF(COUNTIF($BQ$3:BQ958,BQ958)=1,MAX($BR$2:BR957)+1,""))</f>
      </c>
      <c r="BS958" s="129">
        <f>IF(AW958="","",COUNTIF($AW$3:AW958,"?*"))</f>
      </c>
      <c r="BT958" s="129">
        <f>IF(OR(AW958="",AI958=""),"",IF(COUNTIFS($AW$3:AW958,"?*",$AI$3:AI958,AI958)=1,MAX($BT$2:BT957)+1,""))</f>
      </c>
      <c r="BU958" s="129">
        <f>IF(AE958="",0,IF(OR(ISNUMBER(SEARCH("дубль",AE958)),ISNUMBER(SEARCH("ПЕРЕГРУЗ",AE958)),ISNUMBER(SEARCH("ЗАЩИЩ",AE958)),ISNUMBER(SEARCH("КАНАЛ",AE958)),ISNUMBER(SEARCH("без 30",AE958))),2,1))</f>
      </c>
      <c r="BV958" s="129">
        <f>IF(R958="","",COUNTIF($R$3:R958,"?*"))</f>
      </c>
      <c r="BW958" s="129">
        <f>IF(AY958&lt;&gt;1,0,IF(MAX(IFERROR(--VLOOKUP(R958,УГО_спр,5,FALSE),0),IFERROR(--VLOOKUP(AL958,УГО_спр,5,FALSE),0),IFERROR(--VLOOKUP(LEFT(AL958,2),УГО_спр,5,FALSE),0))&gt;0,MAX(IFERROR(--VLOOKUP(R958,УГО_спр,5,FALSE),0),IFERROR(--VLOOKUP(AL958,УГО_спр,5,FALSE),0),IFERROR(--VLOOKUP(LEFT(AL958,2),УГО_спр,5,FALSE),0)),IF(IFERROR(--LEFT(SUBSTITUTE(BQ958,"x","х"),FIND("х",SUBSTITUTE(BQ958,"x","х"))-1),3)&gt;3,Каталог!$S$9,1)))</f>
      </c>
      <c r="BX958" s="129">
        <f>IF(AY958&lt;&gt;1,0,MAX(0,IFERROR(--LEFT(SUBSTITUTE(BQ958,"x","х"),FIND("х",SUBSTITUTE(BQ958,"x","х"))-1),3)-3*BW958))</f>
      </c>
      <c r="BY958" s="129">
        <f>IF(R958="","",IFERROR(VLOOKUP(R958,УГО_спр,2,FALSE),IFERROR(VLOOKUP(AL958,УГО_спр,2,FALSE),IFERROR(VLOOKUP(LEFT(AL958,2),УГО_спр,2,FALSE),""))))</f>
      </c>
    </row>
    <row r="959" spans="1:64" x14ac:dyDescent="0.3">
      <c r="A959" s="135">
        <f>IF(Разбивка_по_щитам!F959=0,"",Разбивка_по_щитам!F959)</f>
        <v/>
      </c>
      <c r="B959" s="138">
        <f>IF(A959="","",Разбивка_по_щитам!C959)</f>
        <v/>
      </c>
      <c r="C959" s="138">
        <f t="shared" si="582"/>
        <v/>
      </c>
      <c r="D959" s="266"/>
      <c r="E959" s="266"/>
      <c r="F959" s="267"/>
      <c r="G959" s="145">
        <f t="shared" si="583"/>
        <v/>
      </c>
      <c r="H959" s="145">
        <f t="shared" si="584"/>
        <v/>
      </c>
      <c r="I959" s="266"/>
      <c r="J959" s="267"/>
      <c r="K959" s="267"/>
      <c r="L959" s="266"/>
      <c r="M959" s="147">
        <f t="shared" si="585"/>
        <v/>
      </c>
      <c r="N959" s="267"/>
      <c r="O959" s="147">
        <f t="shared" si="586"/>
        <v/>
      </c>
      <c r="P959" s="268">
        <f>IF(AY959=1,"XT"&amp;COUNTIFS($A$3:A959,A959,$AY$3:AY959,1),"")</f>
        <v/>
      </c>
      <c r="Q959" s="152">
        <f>IF(R959="","",IFERROR(SUBSTITUTE(Разбивка_по_щитам!P959,CHAR(10)," "),""))</f>
        <v/>
      </c>
      <c r="R959" s="153">
        <f>IF(OR(Разбивка_по_щитам!H959="",Разбивка_по_щитам!H959=0),"",Разбивка_по_щитам!H959)</f>
        <v/>
      </c>
      <c r="S959" s="154">
        <f>IF(R959="","",IFERROR(Разбивка_по_щитам!J959&amp;"",""))</f>
        <v/>
      </c>
      <c r="T959" s="155">
        <f>IF(R959="","",IFERROR(--Разбивка_по_щитам!L959,""))</f>
        <v/>
      </c>
      <c r="U959" s="155">
        <f>IF(R959="","",IFERROR(--Разбивка_по_щитам!K959,""))</f>
        <v/>
      </c>
      <c r="V959" s="138">
        <f>IF(R959="","",IFERROR(IF(Разбивка_по_щитам!M959=0,"",Разбивка_по_щитам!M959),""))</f>
        <v/>
      </c>
      <c r="W959" s="156">
        <f t="shared" si="587"/>
        <v/>
      </c>
      <c r="X959" s="157">
        <f t="shared" si="588"/>
        <v/>
      </c>
      <c r="Y959" s="266"/>
      <c r="Z959" s="158">
        <f t="shared" si="589"/>
        <v/>
      </c>
      <c r="AA959" s="160">
        <f t="shared" si="590"/>
        <v/>
      </c>
      <c r="AB959" s="160">
        <f>IF(R959="","",IFERROR(LOOKUP(INDEX(Справочная!$I$4:$I$19,MATCH(VLOOKUP(R959,Исходные_данные,22,FALSE),Справочная!$J$4:$J$19,0)+1),{6,10,16,20,25,32,40,50,63,80,100,125}),""))</f>
        <v/>
      </c>
      <c r="AC959" s="160">
        <f t="shared" si="591"/>
        <v/>
      </c>
      <c r="AD959" s="161">
        <f t="shared" si="592"/>
        <v/>
      </c>
      <c r="AE959" s="161">
        <f>IF(AND(R959="",G959=""),"",_xlfn.TEXTJOIN("; ",TRUE,IF(AND(R959&lt;&gt;"",V959=""),"нет фазы",""),IF(AND(R959&lt;&gt;"",N(T959)=0),"нет мощности",""),IF(AND(P959&lt;&gt;"",COUNTIFS($A$3:$A$1000,A959,$P$3:$P$1000,P959)&gt;1),"дубль клеммы "&amp;P959,""),IF(AND(W959&lt;&gt;"",W959&lt;&gt;"ok"),W959,""),IF(X959&lt;&gt;"",X959,""),IF(AND(ISNUMBER(SEARCH("(5х",Q959)),N(AK959)=1),"5 жил на 1 фазе",""),IF(AND(AL959="R",E959&lt;&gt;"",N(AS959)=0),"розетка без 30 мА",""),IF(IFERROR(_xlfn.NUMBERVALUE(MID(Q959,FIND("-",Q959,FIND("L=",Q959))+1,FIND("%",Q959)-FIND("-",Q959,FIND("L=",Q959))-1),","),0)&gt;4,"потери &gt; 4 %","")))</f>
      </c>
      <c r="AF959" s="129">
        <f>IF(E959&lt;&gt;"",COUNTIFS($A$3:A959,A959,$E$3:E959,"?*"),IF(OR(A959&lt;&gt;A958,Y959="вручную"),"",AF958))</f>
        <v/>
      </c>
      <c r="AG959" s="129">
        <f t="shared" si="593"/>
        <v/>
      </c>
      <c r="AH959" s="129">
        <f t="shared" si="594"/>
        <v/>
      </c>
      <c r="AI959" s="129">
        <f t="shared" si="595"/>
        <v/>
      </c>
      <c r="AJ959" s="129">
        <f t="shared" si="596"/>
        <v/>
      </c>
      <c r="AK959" s="129">
        <f t="shared" si="597"/>
        <v/>
      </c>
      <c r="AL959" s="129">
        <f t="shared" si="598"/>
        <v/>
      </c>
      <c r="AM959" s="129">
        <f t="shared" si="599"/>
      </c>
      <c r="AN959" s="129">
        <f t="shared" si="600"/>
      </c>
      <c r="AO959" s="129">
        <f t="shared" si="601"/>
        <v/>
      </c>
      <c r="AP959" s="129">
        <f t="shared" si="602"/>
        <v/>
      </c>
      <c r="AQ959" s="129">
        <f t="shared" si="603"/>
        <v/>
      </c>
      <c r="AR959" s="129">
        <f t="shared" si="604"/>
        <v/>
      </c>
      <c r="AS959" s="129">
        <f t="shared" si="605"/>
        <v/>
      </c>
      <c r="AT959" s="129">
        <f t="shared" si="606"/>
        <v/>
      </c>
      <c r="AU959" s="129">
        <f t="shared" si="607"/>
        <v/>
      </c>
      <c r="AV959" s="129">
        <f t="shared" si="608"/>
        <v/>
      </c>
      <c r="AW959" s="129">
        <f>IF(AV959="","",AV959&amp;"."&amp;COUNTIFS($A$3:A959,A959,$AV$3:AV959,AV959))</f>
        <v/>
      </c>
      <c r="AX959" s="129">
        <f t="shared" si="609"/>
        <v/>
      </c>
      <c r="AY959" s="129">
        <f>IF(N959="б/к",0,IF(OR(ISNUMBER(SEARCH("L=",Разбивка_по_щитам!P959)),N959="+",N959="="),1,0))</f>
      </c>
      <c r="AZ959" s="129">
        <f t="shared" si="610"/>
        <v/>
      </c>
      <c r="BA959" s="129">
        <f t="shared" si="611"/>
      </c>
      <c r="BB959" s="129">
        <f t="shared" si="612"/>
      </c>
      <c r="BD959" s="129">
        <f t="shared" si="613"/>
      </c>
      <c r="BE959" s="129">
        <f t="shared" si="614"/>
      </c>
      <c r="BF959" s="129">
        <f t="shared" si="615"/>
      </c>
      <c r="BG959" s="129">
        <f t="shared" si="616"/>
        <v/>
      </c>
      <c r="BH959" s="129">
        <f t="shared" si="617"/>
        <v/>
      </c>
      <c r="BI959" s="129">
        <f t="shared" si="618"/>
        <v/>
      </c>
      <c r="BJ959" s="129">
        <f t="shared" si="619"/>
        <v/>
      </c>
      <c r="BK959" s="129">
        <f>IF(R959="","",IF(OR(BY959="",BY959=0),"BOX",IFERROR(IF(VLOOKUP(BY959,УГО_блоки,3,FALSE)&amp;""&lt;&gt;"",VLOOKUP(BY959,УГО_блоки,3,FALSE),VLOOKUP(BY959,УГО_блоки,2,FALSE)),BY959)))</f>
      </c>
      <c r="BL959" s="129">
        <f t="shared" si="621"/>
      </c>
      <c r="BM959" s="129">
        <f>IF(H959="","",IF(COUNTIF($H$3:H959,H959)=1,MAX($BM$2:BM958)+1,""))</f>
      </c>
      <c r="BN959" s="129">
        <f>IF(I959="","",IF(COUNTIF($I$3:I959,I959)+COUNTIF($J$2:J958,I959)+COUNTIF($K$2:K958,I959)=1,MAX($BN$2:BP958)+1,""))</f>
      </c>
      <c r="BO959" s="129">
        <f>IF(J959="","",IF(COUNTIF($I$3:I959,J959)+COUNTIF($J$3:J959,J959)+COUNTIF($K$2:K958,J959)=1,MAX($BN$2:BP958,BN959)+1,""))</f>
      </c>
      <c r="BP959" s="129">
        <f>IF(K959="","",IF(COUNTIF($I$3:I959,K959)+COUNTIF($J$3:J959,K959)+COUNTIF($K$3:K959,K959)=1,MAX($BN$2:BP958,BN959,BO959)+1,""))</f>
      </c>
      <c r="BQ959" s="129">
        <f>IF(AY959=1,IFERROR(MID(Q959,FIND(" (",Q959)+2,FIND(")",Q959,FIND(" (",Q959))-FIND(" (",Q959)-2),"?"),"")</f>
      </c>
      <c r="BR959" s="129">
        <f>IF(BQ959="","",IF(COUNTIF($BQ$3:BQ959,BQ959)=1,MAX($BR$2:BR958)+1,""))</f>
      </c>
      <c r="BS959" s="129">
        <f>IF(AW959="","",COUNTIF($AW$3:AW959,"?*"))</f>
      </c>
      <c r="BT959" s="129">
        <f>IF(OR(AW959="",AI959=""),"",IF(COUNTIFS($AW$3:AW959,"?*",$AI$3:AI959,AI959)=1,MAX($BT$2:BT958)+1,""))</f>
      </c>
      <c r="BU959" s="129">
        <f>IF(AE959="",0,IF(OR(ISNUMBER(SEARCH("дубль",AE959)),ISNUMBER(SEARCH("ПЕРЕГРУЗ",AE959)),ISNUMBER(SEARCH("ЗАЩИЩ",AE959)),ISNUMBER(SEARCH("КАНАЛ",AE959)),ISNUMBER(SEARCH("без 30",AE959))),2,1))</f>
      </c>
      <c r="BV959" s="129">
        <f>IF(R959="","",COUNTIF($R$3:R959,"?*"))</f>
      </c>
      <c r="BW959" s="129">
        <f>IF(AY959&lt;&gt;1,0,IF(MAX(IFERROR(--VLOOKUP(R959,УГО_спр,5,FALSE),0),IFERROR(--VLOOKUP(AL959,УГО_спр,5,FALSE),0),IFERROR(--VLOOKUP(LEFT(AL959,2),УГО_спр,5,FALSE),0))&gt;0,MAX(IFERROR(--VLOOKUP(R959,УГО_спр,5,FALSE),0),IFERROR(--VLOOKUP(AL959,УГО_спр,5,FALSE),0),IFERROR(--VLOOKUP(LEFT(AL959,2),УГО_спр,5,FALSE),0)),IF(IFERROR(--LEFT(SUBSTITUTE(BQ959,"x","х"),FIND("х",SUBSTITUTE(BQ959,"x","х"))-1),3)&gt;3,Каталог!$S$9,1)))</f>
      </c>
      <c r="BX959" s="129">
        <f>IF(AY959&lt;&gt;1,0,MAX(0,IFERROR(--LEFT(SUBSTITUTE(BQ959,"x","х"),FIND("х",SUBSTITUTE(BQ959,"x","х"))-1),3)-3*BW959))</f>
      </c>
      <c r="BY959" s="129">
        <f>IF(R959="","",IFERROR(VLOOKUP(R959,УГО_спр,2,FALSE),IFERROR(VLOOKUP(AL959,УГО_спр,2,FALSE),IFERROR(VLOOKUP(LEFT(AL959,2),УГО_спр,2,FALSE),""))))</f>
      </c>
    </row>
    <row r="960" spans="1:64" x14ac:dyDescent="0.3">
      <c r="A960" s="135">
        <f>IF(Разбивка_по_щитам!F960=0,"",Разбивка_по_щитам!F960)</f>
        <v/>
      </c>
      <c r="B960" s="138">
        <f>IF(A960="","",Разбивка_по_щитам!C960)</f>
        <v/>
      </c>
      <c r="C960" s="138">
        <f t="shared" si="582"/>
        <v/>
      </c>
      <c r="D960" s="266"/>
      <c r="E960" s="266"/>
      <c r="F960" s="267"/>
      <c r="G960" s="145">
        <f t="shared" si="583"/>
        <v/>
      </c>
      <c r="H960" s="145">
        <f t="shared" si="584"/>
        <v/>
      </c>
      <c r="I960" s="266"/>
      <c r="J960" s="267"/>
      <c r="K960" s="267"/>
      <c r="L960" s="266"/>
      <c r="M960" s="147">
        <f t="shared" si="585"/>
        <v/>
      </c>
      <c r="N960" s="267"/>
      <c r="O960" s="147">
        <f t="shared" si="586"/>
        <v/>
      </c>
      <c r="P960" s="268">
        <f>IF(AY960=1,"XT"&amp;COUNTIFS($A$3:A960,A960,$AY$3:AY960,1),"")</f>
        <v/>
      </c>
      <c r="Q960" s="152">
        <f>IF(R960="","",IFERROR(SUBSTITUTE(Разбивка_по_щитам!P960,CHAR(10)," "),""))</f>
        <v/>
      </c>
      <c r="R960" s="153">
        <f>IF(OR(Разбивка_по_щитам!H960="",Разбивка_по_щитам!H960=0),"",Разбивка_по_щитам!H960)</f>
        <v/>
      </c>
      <c r="S960" s="154">
        <f>IF(R960="","",IFERROR(Разбивка_по_щитам!J960&amp;"",""))</f>
        <v/>
      </c>
      <c r="T960" s="155">
        <f>IF(R960="","",IFERROR(--Разбивка_по_щитам!L960,""))</f>
        <v/>
      </c>
      <c r="U960" s="155">
        <f>IF(R960="","",IFERROR(--Разбивка_по_щитам!K960,""))</f>
        <v/>
      </c>
      <c r="V960" s="138">
        <f>IF(R960="","",IFERROR(IF(Разбивка_по_щитам!M960=0,"",Разбивка_по_щитам!M960),""))</f>
        <v/>
      </c>
      <c r="W960" s="156">
        <f t="shared" si="587"/>
        <v/>
      </c>
      <c r="X960" s="157">
        <f t="shared" si="588"/>
        <v/>
      </c>
      <c r="Y960" s="266"/>
      <c r="Z960" s="158">
        <f t="shared" si="589"/>
        <v/>
      </c>
      <c r="AA960" s="160">
        <f t="shared" si="590"/>
        <v/>
      </c>
      <c r="AB960" s="160">
        <f>IF(R960="","",IFERROR(LOOKUP(INDEX(Справочная!$I$4:$I$19,MATCH(VLOOKUP(R960,Исходные_данные,22,FALSE),Справочная!$J$4:$J$19,0)+1),{6,10,16,20,25,32,40,50,63,80,100,125}),""))</f>
        <v/>
      </c>
      <c r="AC960" s="160">
        <f t="shared" si="591"/>
        <v/>
      </c>
      <c r="AD960" s="161">
        <f t="shared" si="592"/>
        <v/>
      </c>
      <c r="AE960" s="161">
        <f>IF(AND(R960="",G960=""),"",_xlfn.TEXTJOIN("; ",TRUE,IF(AND(R960&lt;&gt;"",V960=""),"нет фазы",""),IF(AND(R960&lt;&gt;"",N(T960)=0),"нет мощности",""),IF(AND(P960&lt;&gt;"",COUNTIFS($A$3:$A$1000,A960,$P$3:$P$1000,P960)&gt;1),"дубль клеммы "&amp;P960,""),IF(AND(W960&lt;&gt;"",W960&lt;&gt;"ok"),W960,""),IF(X960&lt;&gt;"",X960,""),IF(AND(ISNUMBER(SEARCH("(5х",Q960)),N(AK960)=1),"5 жил на 1 фазе",""),IF(AND(AL960="R",E960&lt;&gt;"",N(AS960)=0),"розетка без 30 мА",""),IF(IFERROR(_xlfn.NUMBERVALUE(MID(Q960,FIND("-",Q960,FIND("L=",Q960))+1,FIND("%",Q960)-FIND("-",Q960,FIND("L=",Q960))-1),","),0)&gt;4,"потери &gt; 4 %","")))</f>
      </c>
      <c r="AF960" s="129">
        <f>IF(E960&lt;&gt;"",COUNTIFS($A$3:A960,A960,$E$3:E960,"?*"),IF(OR(A960&lt;&gt;A959,Y960="вручную"),"",AF959))</f>
        <v/>
      </c>
      <c r="AG960" s="129">
        <f t="shared" si="593"/>
        <v/>
      </c>
      <c r="AH960" s="129">
        <f t="shared" si="594"/>
        <v/>
      </c>
      <c r="AI960" s="129">
        <f t="shared" si="595"/>
        <v/>
      </c>
      <c r="AJ960" s="129">
        <f t="shared" si="596"/>
        <v/>
      </c>
      <c r="AK960" s="129">
        <f t="shared" si="597"/>
        <v/>
      </c>
      <c r="AL960" s="129">
        <f t="shared" si="598"/>
        <v/>
      </c>
      <c r="AM960" s="129">
        <f t="shared" si="599"/>
      </c>
      <c r="AN960" s="129">
        <f t="shared" si="600"/>
      </c>
      <c r="AO960" s="129">
        <f t="shared" si="601"/>
        <v/>
      </c>
      <c r="AP960" s="129">
        <f t="shared" si="602"/>
        <v/>
      </c>
      <c r="AQ960" s="129">
        <f t="shared" si="603"/>
        <v/>
      </c>
      <c r="AR960" s="129">
        <f t="shared" si="604"/>
        <v/>
      </c>
      <c r="AS960" s="129">
        <f t="shared" si="605"/>
        <v/>
      </c>
      <c r="AT960" s="129">
        <f t="shared" si="606"/>
        <v/>
      </c>
      <c r="AU960" s="129">
        <f t="shared" si="607"/>
        <v/>
      </c>
      <c r="AV960" s="129">
        <f t="shared" si="608"/>
        <v/>
      </c>
      <c r="AW960" s="129">
        <f>IF(AV960="","",AV960&amp;"."&amp;COUNTIFS($A$3:A960,A960,$AV$3:AV960,AV960))</f>
        <v/>
      </c>
      <c r="AX960" s="129">
        <f t="shared" si="609"/>
        <v/>
      </c>
      <c r="AY960" s="129">
        <f>IF(N960="б/к",0,IF(OR(ISNUMBER(SEARCH("L=",Разбивка_по_щитам!P960)),N960="+",N960="="),1,0))</f>
      </c>
      <c r="AZ960" s="129">
        <f t="shared" si="610"/>
        <v/>
      </c>
      <c r="BA960" s="129">
        <f t="shared" si="611"/>
      </c>
      <c r="BB960" s="129">
        <f t="shared" si="612"/>
      </c>
      <c r="BD960" s="129">
        <f t="shared" si="613"/>
      </c>
      <c r="BE960" s="129">
        <f t="shared" si="614"/>
      </c>
      <c r="BF960" s="129">
        <f t="shared" si="615"/>
      </c>
      <c r="BG960" s="129">
        <f t="shared" si="616"/>
        <v/>
      </c>
      <c r="BH960" s="129">
        <f t="shared" si="617"/>
        <v/>
      </c>
      <c r="BI960" s="129">
        <f t="shared" si="618"/>
        <v/>
      </c>
      <c r="BJ960" s="129">
        <f t="shared" si="619"/>
        <v/>
      </c>
      <c r="BK960" s="129">
        <f>IF(R960="","",IF(OR(BY960="",BY960=0),"BOX",IFERROR(IF(VLOOKUP(BY960,УГО_блоки,3,FALSE)&amp;""&lt;&gt;"",VLOOKUP(BY960,УГО_блоки,3,FALSE),VLOOKUP(BY960,УГО_блоки,2,FALSE)),BY960)))</f>
      </c>
      <c r="BL960" s="129">
        <f t="shared" si="621"/>
      </c>
      <c r="BM960" s="129">
        <f>IF(H960="","",IF(COUNTIF($H$3:H960,H960)=1,MAX($BM$2:BM959)+1,""))</f>
      </c>
      <c r="BN960" s="129">
        <f>IF(I960="","",IF(COUNTIF($I$3:I960,I960)+COUNTIF($J$2:J959,I960)+COUNTIF($K$2:K959,I960)=1,MAX($BN$2:BP959)+1,""))</f>
      </c>
      <c r="BO960" s="129">
        <f>IF(J960="","",IF(COUNTIF($I$3:I960,J960)+COUNTIF($J$3:J960,J960)+COUNTIF($K$2:K959,J960)=1,MAX($BN$2:BP959,BN960)+1,""))</f>
      </c>
      <c r="BP960" s="129">
        <f>IF(K960="","",IF(COUNTIF($I$3:I960,K960)+COUNTIF($J$3:J960,K960)+COUNTIF($K$3:K960,K960)=1,MAX($BN$2:BP959,BN960,BO960)+1,""))</f>
      </c>
      <c r="BQ960" s="129">
        <f>IF(AY960=1,IFERROR(MID(Q960,FIND(" (",Q960)+2,FIND(")",Q960,FIND(" (",Q960))-FIND(" (",Q960)-2),"?"),"")</f>
      </c>
      <c r="BR960" s="129">
        <f>IF(BQ960="","",IF(COUNTIF($BQ$3:BQ960,BQ960)=1,MAX($BR$2:BR959)+1,""))</f>
      </c>
      <c r="BS960" s="129">
        <f>IF(AW960="","",COUNTIF($AW$3:AW960,"?*"))</f>
      </c>
      <c r="BT960" s="129">
        <f>IF(OR(AW960="",AI960=""),"",IF(COUNTIFS($AW$3:AW960,"?*",$AI$3:AI960,AI960)=1,MAX($BT$2:BT959)+1,""))</f>
      </c>
      <c r="BU960" s="129">
        <f>IF(AE960="",0,IF(OR(ISNUMBER(SEARCH("дубль",AE960)),ISNUMBER(SEARCH("ПЕРЕГРУЗ",AE960)),ISNUMBER(SEARCH("ЗАЩИЩ",AE960)),ISNUMBER(SEARCH("КАНАЛ",AE960)),ISNUMBER(SEARCH("без 30",AE960))),2,1))</f>
      </c>
      <c r="BV960" s="129">
        <f>IF(R960="","",COUNTIF($R$3:R960,"?*"))</f>
      </c>
      <c r="BW960" s="129">
        <f>IF(AY960&lt;&gt;1,0,IF(MAX(IFERROR(--VLOOKUP(R960,УГО_спр,5,FALSE),0),IFERROR(--VLOOKUP(AL960,УГО_спр,5,FALSE),0),IFERROR(--VLOOKUP(LEFT(AL960,2),УГО_спр,5,FALSE),0))&gt;0,MAX(IFERROR(--VLOOKUP(R960,УГО_спр,5,FALSE),0),IFERROR(--VLOOKUP(AL960,УГО_спр,5,FALSE),0),IFERROR(--VLOOKUP(LEFT(AL960,2),УГО_спр,5,FALSE),0)),IF(IFERROR(--LEFT(SUBSTITUTE(BQ960,"x","х"),FIND("х",SUBSTITUTE(BQ960,"x","х"))-1),3)&gt;3,Каталог!$S$9,1)))</f>
      </c>
      <c r="BX960" s="129">
        <f>IF(AY960&lt;&gt;1,0,MAX(0,IFERROR(--LEFT(SUBSTITUTE(BQ960,"x","х"),FIND("х",SUBSTITUTE(BQ960,"x","х"))-1),3)-3*BW960))</f>
      </c>
      <c r="BY960" s="129">
        <f>IF(R960="","",IFERROR(VLOOKUP(R960,УГО_спр,2,FALSE),IFERROR(VLOOKUP(AL960,УГО_спр,2,FALSE),IFERROR(VLOOKUP(LEFT(AL960,2),УГО_спр,2,FALSE),""))))</f>
      </c>
    </row>
    <row r="961" spans="1:64" x14ac:dyDescent="0.3">
      <c r="A961" s="135">
        <f>IF(Разбивка_по_щитам!F961=0,"",Разбивка_по_щитам!F961)</f>
        <v/>
      </c>
      <c r="B961" s="138">
        <f>IF(A961="","",Разбивка_по_щитам!C961)</f>
        <v/>
      </c>
      <c r="C961" s="138">
        <f t="shared" si="582"/>
        <v/>
      </c>
      <c r="D961" s="266"/>
      <c r="E961" s="266"/>
      <c r="F961" s="267"/>
      <c r="G961" s="145">
        <f t="shared" si="583"/>
        <v/>
      </c>
      <c r="H961" s="145">
        <f t="shared" si="584"/>
        <v/>
      </c>
      <c r="I961" s="266"/>
      <c r="J961" s="267"/>
      <c r="K961" s="267"/>
      <c r="L961" s="266"/>
      <c r="M961" s="147">
        <f t="shared" si="585"/>
        <v/>
      </c>
      <c r="N961" s="267"/>
      <c r="O961" s="147">
        <f t="shared" si="586"/>
        <v/>
      </c>
      <c r="P961" s="268">
        <f>IF(AY961=1,"XT"&amp;COUNTIFS($A$3:A961,A961,$AY$3:AY961,1),"")</f>
        <v/>
      </c>
      <c r="Q961" s="152">
        <f>IF(R961="","",IFERROR(SUBSTITUTE(Разбивка_по_щитам!P961,CHAR(10)," "),""))</f>
        <v/>
      </c>
      <c r="R961" s="153">
        <f>IF(OR(Разбивка_по_щитам!H961="",Разбивка_по_щитам!H961=0),"",Разбивка_по_щитам!H961)</f>
        <v/>
      </c>
      <c r="S961" s="154">
        <f>IF(R961="","",IFERROR(Разбивка_по_щитам!J961&amp;"",""))</f>
        <v/>
      </c>
      <c r="T961" s="155">
        <f>IF(R961="","",IFERROR(--Разбивка_по_щитам!L961,""))</f>
        <v/>
      </c>
      <c r="U961" s="155">
        <f>IF(R961="","",IFERROR(--Разбивка_по_щитам!K961,""))</f>
        <v/>
      </c>
      <c r="V961" s="138">
        <f>IF(R961="","",IFERROR(IF(Разбивка_по_щитам!M961=0,"",Разбивка_по_щитам!M961),""))</f>
        <v/>
      </c>
      <c r="W961" s="156">
        <f t="shared" si="587"/>
        <v/>
      </c>
      <c r="X961" s="157">
        <f t="shared" si="588"/>
        <v/>
      </c>
      <c r="Y961" s="266"/>
      <c r="Z961" s="158">
        <f t="shared" si="589"/>
        <v/>
      </c>
      <c r="AA961" s="160">
        <f t="shared" si="590"/>
        <v/>
      </c>
      <c r="AB961" s="160">
        <f>IF(R961="","",IFERROR(LOOKUP(INDEX(Справочная!$I$4:$I$19,MATCH(VLOOKUP(R961,Исходные_данные,22,FALSE),Справочная!$J$4:$J$19,0)+1),{6,10,16,20,25,32,40,50,63,80,100,125}),""))</f>
        <v/>
      </c>
      <c r="AC961" s="160">
        <f t="shared" si="591"/>
        <v/>
      </c>
      <c r="AD961" s="161">
        <f t="shared" si="592"/>
        <v/>
      </c>
      <c r="AE961" s="161">
        <f>IF(AND(R961="",G961=""),"",_xlfn.TEXTJOIN("; ",TRUE,IF(AND(R961&lt;&gt;"",V961=""),"нет фазы",""),IF(AND(R961&lt;&gt;"",N(T961)=0),"нет мощности",""),IF(AND(P961&lt;&gt;"",COUNTIFS($A$3:$A$1000,A961,$P$3:$P$1000,P961)&gt;1),"дубль клеммы "&amp;P961,""),IF(AND(W961&lt;&gt;"",W961&lt;&gt;"ok"),W961,""),IF(X961&lt;&gt;"",X961,""),IF(AND(ISNUMBER(SEARCH("(5х",Q961)),N(AK961)=1),"5 жил на 1 фазе",""),IF(AND(AL961="R",E961&lt;&gt;"",N(AS961)=0),"розетка без 30 мА",""),IF(IFERROR(_xlfn.NUMBERVALUE(MID(Q961,FIND("-",Q961,FIND("L=",Q961))+1,FIND("%",Q961)-FIND("-",Q961,FIND("L=",Q961))-1),","),0)&gt;4,"потери &gt; 4 %","")))</f>
      </c>
      <c r="AF961" s="129">
        <f>IF(E961&lt;&gt;"",COUNTIFS($A$3:A961,A961,$E$3:E961,"?*"),IF(OR(A961&lt;&gt;A960,Y961="вручную"),"",AF960))</f>
        <v/>
      </c>
      <c r="AG961" s="129">
        <f t="shared" si="593"/>
        <v/>
      </c>
      <c r="AH961" s="129">
        <f t="shared" si="594"/>
        <v/>
      </c>
      <c r="AI961" s="129">
        <f t="shared" si="595"/>
        <v/>
      </c>
      <c r="AJ961" s="129">
        <f t="shared" si="596"/>
        <v/>
      </c>
      <c r="AK961" s="129">
        <f t="shared" si="597"/>
        <v/>
      </c>
      <c r="AL961" s="129">
        <f t="shared" si="598"/>
        <v/>
      </c>
      <c r="AM961" s="129">
        <f t="shared" si="599"/>
      </c>
      <c r="AN961" s="129">
        <f t="shared" si="600"/>
      </c>
      <c r="AO961" s="129">
        <f t="shared" si="601"/>
        <v/>
      </c>
      <c r="AP961" s="129">
        <f t="shared" si="602"/>
        <v/>
      </c>
      <c r="AQ961" s="129">
        <f t="shared" si="603"/>
        <v/>
      </c>
      <c r="AR961" s="129">
        <f t="shared" si="604"/>
        <v/>
      </c>
      <c r="AS961" s="129">
        <f t="shared" si="605"/>
        <v/>
      </c>
      <c r="AT961" s="129">
        <f t="shared" si="606"/>
        <v/>
      </c>
      <c r="AU961" s="129">
        <f t="shared" si="607"/>
        <v/>
      </c>
      <c r="AV961" s="129">
        <f t="shared" si="608"/>
        <v/>
      </c>
      <c r="AW961" s="129">
        <f>IF(AV961="","",AV961&amp;"."&amp;COUNTIFS($A$3:A961,A961,$AV$3:AV961,AV961))</f>
        <v/>
      </c>
      <c r="AX961" s="129">
        <f t="shared" si="609"/>
        <v/>
      </c>
      <c r="AY961" s="129">
        <f>IF(N961="б/к",0,IF(OR(ISNUMBER(SEARCH("L=",Разбивка_по_щитам!P961)),N961="+",N961="="),1,0))</f>
      </c>
      <c r="AZ961" s="129">
        <f t="shared" si="610"/>
        <v/>
      </c>
      <c r="BA961" s="129">
        <f t="shared" si="611"/>
      </c>
      <c r="BB961" s="129">
        <f t="shared" si="612"/>
      </c>
      <c r="BD961" s="129">
        <f t="shared" si="613"/>
      </c>
      <c r="BE961" s="129">
        <f t="shared" si="614"/>
      </c>
      <c r="BF961" s="129">
        <f t="shared" si="615"/>
      </c>
      <c r="BG961" s="129">
        <f t="shared" si="616"/>
        <v/>
      </c>
      <c r="BH961" s="129">
        <f t="shared" si="617"/>
        <v/>
      </c>
      <c r="BI961" s="129">
        <f t="shared" si="618"/>
        <v/>
      </c>
      <c r="BJ961" s="129">
        <f t="shared" si="619"/>
        <v/>
      </c>
      <c r="BK961" s="129">
        <f>IF(R961="","",IF(OR(BY961="",BY961=0),"BOX",IFERROR(IF(VLOOKUP(BY961,УГО_блоки,3,FALSE)&amp;""&lt;&gt;"",VLOOKUP(BY961,УГО_блоки,3,FALSE),VLOOKUP(BY961,УГО_блоки,2,FALSE)),BY961)))</f>
      </c>
      <c r="BL961" s="129">
        <f t="shared" si="621"/>
      </c>
      <c r="BM961" s="129">
        <f>IF(H961="","",IF(COUNTIF($H$3:H961,H961)=1,MAX($BM$2:BM960)+1,""))</f>
      </c>
      <c r="BN961" s="129">
        <f>IF(I961="","",IF(COUNTIF($I$3:I961,I961)+COUNTIF($J$2:J960,I961)+COUNTIF($K$2:K960,I961)=1,MAX($BN$2:BP960)+1,""))</f>
      </c>
      <c r="BO961" s="129">
        <f>IF(J961="","",IF(COUNTIF($I$3:I961,J961)+COUNTIF($J$3:J961,J961)+COUNTIF($K$2:K960,J961)=1,MAX($BN$2:BP960,BN961)+1,""))</f>
      </c>
      <c r="BP961" s="129">
        <f>IF(K961="","",IF(COUNTIF($I$3:I961,K961)+COUNTIF($J$3:J961,K961)+COUNTIF($K$3:K961,K961)=1,MAX($BN$2:BP960,BN961,BO961)+1,""))</f>
      </c>
      <c r="BQ961" s="129">
        <f>IF(AY961=1,IFERROR(MID(Q961,FIND(" (",Q961)+2,FIND(")",Q961,FIND(" (",Q961))-FIND(" (",Q961)-2),"?"),"")</f>
      </c>
      <c r="BR961" s="129">
        <f>IF(BQ961="","",IF(COUNTIF($BQ$3:BQ961,BQ961)=1,MAX($BR$2:BR960)+1,""))</f>
      </c>
      <c r="BS961" s="129">
        <f>IF(AW961="","",COUNTIF($AW$3:AW961,"?*"))</f>
      </c>
      <c r="BT961" s="129">
        <f>IF(OR(AW961="",AI961=""),"",IF(COUNTIFS($AW$3:AW961,"?*",$AI$3:AI961,AI961)=1,MAX($BT$2:BT960)+1,""))</f>
      </c>
      <c r="BU961" s="129">
        <f>IF(AE961="",0,IF(OR(ISNUMBER(SEARCH("дубль",AE961)),ISNUMBER(SEARCH("ПЕРЕГРУЗ",AE961)),ISNUMBER(SEARCH("ЗАЩИЩ",AE961)),ISNUMBER(SEARCH("КАНАЛ",AE961)),ISNUMBER(SEARCH("без 30",AE961))),2,1))</f>
      </c>
      <c r="BV961" s="129">
        <f>IF(R961="","",COUNTIF($R$3:R961,"?*"))</f>
      </c>
      <c r="BW961" s="129">
        <f>IF(AY961&lt;&gt;1,0,IF(MAX(IFERROR(--VLOOKUP(R961,УГО_спр,5,FALSE),0),IFERROR(--VLOOKUP(AL961,УГО_спр,5,FALSE),0),IFERROR(--VLOOKUP(LEFT(AL961,2),УГО_спр,5,FALSE),0))&gt;0,MAX(IFERROR(--VLOOKUP(R961,УГО_спр,5,FALSE),0),IFERROR(--VLOOKUP(AL961,УГО_спр,5,FALSE),0),IFERROR(--VLOOKUP(LEFT(AL961,2),УГО_спр,5,FALSE),0)),IF(IFERROR(--LEFT(SUBSTITUTE(BQ961,"x","х"),FIND("х",SUBSTITUTE(BQ961,"x","х"))-1),3)&gt;3,Каталог!$S$9,1)))</f>
      </c>
      <c r="BX961" s="129">
        <f>IF(AY961&lt;&gt;1,0,MAX(0,IFERROR(--LEFT(SUBSTITUTE(BQ961,"x","х"),FIND("х",SUBSTITUTE(BQ961,"x","х"))-1),3)-3*BW961))</f>
      </c>
      <c r="BY961" s="129">
        <f>IF(R961="","",IFERROR(VLOOKUP(R961,УГО_спр,2,FALSE),IFERROR(VLOOKUP(AL961,УГО_спр,2,FALSE),IFERROR(VLOOKUP(LEFT(AL961,2),УГО_спр,2,FALSE),""))))</f>
      </c>
    </row>
    <row r="962" spans="1:64" x14ac:dyDescent="0.3">
      <c r="A962" s="135">
        <f>IF(Разбивка_по_щитам!F962=0,"",Разбивка_по_щитам!F962)</f>
        <v/>
      </c>
      <c r="B962" s="138">
        <f>IF(A962="","",Разбивка_по_щитам!C962)</f>
        <v/>
      </c>
      <c r="C962" s="138">
        <f t="shared" si="582"/>
        <v/>
      </c>
      <c r="D962" s="266"/>
      <c r="E962" s="266"/>
      <c r="F962" s="267"/>
      <c r="G962" s="145">
        <f t="shared" si="583"/>
        <v/>
      </c>
      <c r="H962" s="145">
        <f t="shared" si="584"/>
        <v/>
      </c>
      <c r="I962" s="266"/>
      <c r="J962" s="267"/>
      <c r="K962" s="267"/>
      <c r="L962" s="266"/>
      <c r="M962" s="147">
        <f t="shared" si="585"/>
        <v/>
      </c>
      <c r="N962" s="267"/>
      <c r="O962" s="147">
        <f t="shared" si="586"/>
        <v/>
      </c>
      <c r="P962" s="268">
        <f>IF(AY962=1,"XT"&amp;COUNTIFS($A$3:A962,A962,$AY$3:AY962,1),"")</f>
        <v/>
      </c>
      <c r="Q962" s="152">
        <f>IF(R962="","",IFERROR(SUBSTITUTE(Разбивка_по_щитам!P962,CHAR(10)," "),""))</f>
        <v/>
      </c>
      <c r="R962" s="153">
        <f>IF(OR(Разбивка_по_щитам!H962="",Разбивка_по_щитам!H962=0),"",Разбивка_по_щитам!H962)</f>
        <v/>
      </c>
      <c r="S962" s="154">
        <f>IF(R962="","",IFERROR(Разбивка_по_щитам!J962&amp;"",""))</f>
        <v/>
      </c>
      <c r="T962" s="155">
        <f>IF(R962="","",IFERROR(--Разбивка_по_щитам!L962,""))</f>
        <v/>
      </c>
      <c r="U962" s="155">
        <f>IF(R962="","",IFERROR(--Разбивка_по_щитам!K962,""))</f>
        <v/>
      </c>
      <c r="V962" s="138">
        <f>IF(R962="","",IFERROR(IF(Разбивка_по_щитам!M962=0,"",Разбивка_по_щитам!M962),""))</f>
        <v/>
      </c>
      <c r="W962" s="156">
        <f t="shared" si="587"/>
        <v/>
      </c>
      <c r="X962" s="157">
        <f t="shared" si="588"/>
        <v/>
      </c>
      <c r="Y962" s="266"/>
      <c r="Z962" s="158">
        <f t="shared" si="589"/>
        <v/>
      </c>
      <c r="AA962" s="160">
        <f t="shared" si="590"/>
        <v/>
      </c>
      <c r="AB962" s="160">
        <f>IF(R962="","",IFERROR(LOOKUP(INDEX(Справочная!$I$4:$I$19,MATCH(VLOOKUP(R962,Исходные_данные,22,FALSE),Справочная!$J$4:$J$19,0)+1),{6,10,16,20,25,32,40,50,63,80,100,125}),""))</f>
        <v/>
      </c>
      <c r="AC962" s="160">
        <f t="shared" si="591"/>
        <v/>
      </c>
      <c r="AD962" s="161">
        <f t="shared" si="592"/>
        <v/>
      </c>
      <c r="AE962" s="161">
        <f>IF(AND(R962="",G962=""),"",_xlfn.TEXTJOIN("; ",TRUE,IF(AND(R962&lt;&gt;"",V962=""),"нет фазы",""),IF(AND(R962&lt;&gt;"",N(T962)=0),"нет мощности",""),IF(AND(P962&lt;&gt;"",COUNTIFS($A$3:$A$1000,A962,$P$3:$P$1000,P962)&gt;1),"дубль клеммы "&amp;P962,""),IF(AND(W962&lt;&gt;"",W962&lt;&gt;"ok"),W962,""),IF(X962&lt;&gt;"",X962,""),IF(AND(ISNUMBER(SEARCH("(5х",Q962)),N(AK962)=1),"5 жил на 1 фазе",""),IF(AND(AL962="R",E962&lt;&gt;"",N(AS962)=0),"розетка без 30 мА",""),IF(IFERROR(_xlfn.NUMBERVALUE(MID(Q962,FIND("-",Q962,FIND("L=",Q962))+1,FIND("%",Q962)-FIND("-",Q962,FIND("L=",Q962))-1),","),0)&gt;4,"потери &gt; 4 %","")))</f>
      </c>
      <c r="AF962" s="129">
        <f>IF(E962&lt;&gt;"",COUNTIFS($A$3:A962,A962,$E$3:E962,"?*"),IF(OR(A962&lt;&gt;A961,Y962="вручную"),"",AF961))</f>
        <v/>
      </c>
      <c r="AG962" s="129">
        <f t="shared" si="593"/>
        <v/>
      </c>
      <c r="AH962" s="129">
        <f t="shared" si="594"/>
        <v/>
      </c>
      <c r="AI962" s="129">
        <f t="shared" si="595"/>
        <v/>
      </c>
      <c r="AJ962" s="129">
        <f t="shared" si="596"/>
        <v/>
      </c>
      <c r="AK962" s="129">
        <f t="shared" si="597"/>
        <v/>
      </c>
      <c r="AL962" s="129">
        <f t="shared" si="598"/>
        <v/>
      </c>
      <c r="AM962" s="129">
        <f t="shared" si="599"/>
      </c>
      <c r="AN962" s="129">
        <f t="shared" si="600"/>
      </c>
      <c r="AO962" s="129">
        <f t="shared" si="601"/>
        <v/>
      </c>
      <c r="AP962" s="129">
        <f t="shared" si="602"/>
        <v/>
      </c>
      <c r="AQ962" s="129">
        <f t="shared" si="603"/>
        <v/>
      </c>
      <c r="AR962" s="129">
        <f t="shared" si="604"/>
        <v/>
      </c>
      <c r="AS962" s="129">
        <f t="shared" si="605"/>
        <v/>
      </c>
      <c r="AT962" s="129">
        <f t="shared" si="606"/>
        <v/>
      </c>
      <c r="AU962" s="129">
        <f t="shared" si="607"/>
        <v/>
      </c>
      <c r="AV962" s="129">
        <f t="shared" si="608"/>
        <v/>
      </c>
      <c r="AW962" s="129">
        <f>IF(AV962="","",AV962&amp;"."&amp;COUNTIFS($A$3:A962,A962,$AV$3:AV962,AV962))</f>
        <v/>
      </c>
      <c r="AX962" s="129">
        <f t="shared" si="609"/>
        <v/>
      </c>
      <c r="AY962" s="129">
        <f>IF(N962="б/к",0,IF(OR(ISNUMBER(SEARCH("L=",Разбивка_по_щитам!P962)),N962="+",N962="="),1,0))</f>
      </c>
      <c r="AZ962" s="129">
        <f t="shared" si="610"/>
        <v/>
      </c>
      <c r="BA962" s="129">
        <f t="shared" si="611"/>
      </c>
      <c r="BB962" s="129">
        <f t="shared" si="612"/>
      </c>
      <c r="BD962" s="129">
        <f t="shared" si="613"/>
      </c>
      <c r="BE962" s="129">
        <f t="shared" si="614"/>
      </c>
      <c r="BF962" s="129">
        <f t="shared" si="615"/>
      </c>
      <c r="BG962" s="129">
        <f t="shared" si="616"/>
        <v/>
      </c>
      <c r="BH962" s="129">
        <f t="shared" si="617"/>
        <v/>
      </c>
      <c r="BI962" s="129">
        <f t="shared" si="618"/>
        <v/>
      </c>
      <c r="BJ962" s="129">
        <f t="shared" si="619"/>
        <v/>
      </c>
      <c r="BK962" s="129">
        <f>IF(R962="","",IF(OR(BY962="",BY962=0),"BOX",IFERROR(IF(VLOOKUP(BY962,УГО_блоки,3,FALSE)&amp;""&lt;&gt;"",VLOOKUP(BY962,УГО_блоки,3,FALSE),VLOOKUP(BY962,УГО_блоки,2,FALSE)),BY962)))</f>
      </c>
      <c r="BL962" s="129">
        <f t="shared" si="621"/>
      </c>
      <c r="BM962" s="129">
        <f>IF(H962="","",IF(COUNTIF($H$3:H962,H962)=1,MAX($BM$2:BM961)+1,""))</f>
      </c>
      <c r="BN962" s="129">
        <f>IF(I962="","",IF(COUNTIF($I$3:I962,I962)+COUNTIF($J$2:J961,I962)+COUNTIF($K$2:K961,I962)=1,MAX($BN$2:BP961)+1,""))</f>
      </c>
      <c r="BO962" s="129">
        <f>IF(J962="","",IF(COUNTIF($I$3:I962,J962)+COUNTIF($J$3:J962,J962)+COUNTIF($K$2:K961,J962)=1,MAX($BN$2:BP961,BN962)+1,""))</f>
      </c>
      <c r="BP962" s="129">
        <f>IF(K962="","",IF(COUNTIF($I$3:I962,K962)+COUNTIF($J$3:J962,K962)+COUNTIF($K$3:K962,K962)=1,MAX($BN$2:BP961,BN962,BO962)+1,""))</f>
      </c>
      <c r="BQ962" s="129">
        <f>IF(AY962=1,IFERROR(MID(Q962,FIND(" (",Q962)+2,FIND(")",Q962,FIND(" (",Q962))-FIND(" (",Q962)-2),"?"),"")</f>
      </c>
      <c r="BR962" s="129">
        <f>IF(BQ962="","",IF(COUNTIF($BQ$3:BQ962,BQ962)=1,MAX($BR$2:BR961)+1,""))</f>
      </c>
      <c r="BS962" s="129">
        <f>IF(AW962="","",COUNTIF($AW$3:AW962,"?*"))</f>
      </c>
      <c r="BT962" s="129">
        <f>IF(OR(AW962="",AI962=""),"",IF(COUNTIFS($AW$3:AW962,"?*",$AI$3:AI962,AI962)=1,MAX($BT$2:BT961)+1,""))</f>
      </c>
      <c r="BU962" s="129">
        <f>IF(AE962="",0,IF(OR(ISNUMBER(SEARCH("дубль",AE962)),ISNUMBER(SEARCH("ПЕРЕГРУЗ",AE962)),ISNUMBER(SEARCH("ЗАЩИЩ",AE962)),ISNUMBER(SEARCH("КАНАЛ",AE962)),ISNUMBER(SEARCH("без 30",AE962))),2,1))</f>
      </c>
      <c r="BV962" s="129">
        <f>IF(R962="","",COUNTIF($R$3:R962,"?*"))</f>
      </c>
      <c r="BW962" s="129">
        <f>IF(AY962&lt;&gt;1,0,IF(MAX(IFERROR(--VLOOKUP(R962,УГО_спр,5,FALSE),0),IFERROR(--VLOOKUP(AL962,УГО_спр,5,FALSE),0),IFERROR(--VLOOKUP(LEFT(AL962,2),УГО_спр,5,FALSE),0))&gt;0,MAX(IFERROR(--VLOOKUP(R962,УГО_спр,5,FALSE),0),IFERROR(--VLOOKUP(AL962,УГО_спр,5,FALSE),0),IFERROR(--VLOOKUP(LEFT(AL962,2),УГО_спр,5,FALSE),0)),IF(IFERROR(--LEFT(SUBSTITUTE(BQ962,"x","х"),FIND("х",SUBSTITUTE(BQ962,"x","х"))-1),3)&gt;3,Каталог!$S$9,1)))</f>
      </c>
      <c r="BX962" s="129">
        <f>IF(AY962&lt;&gt;1,0,MAX(0,IFERROR(--LEFT(SUBSTITUTE(BQ962,"x","х"),FIND("х",SUBSTITUTE(BQ962,"x","х"))-1),3)-3*BW962))</f>
      </c>
      <c r="BY962" s="129">
        <f>IF(R962="","",IFERROR(VLOOKUP(R962,УГО_спр,2,FALSE),IFERROR(VLOOKUP(AL962,УГО_спр,2,FALSE),IFERROR(VLOOKUP(LEFT(AL962,2),УГО_спр,2,FALSE),""))))</f>
      </c>
    </row>
    <row r="963" spans="1:64" x14ac:dyDescent="0.3">
      <c r="A963" s="135">
        <f>IF(Разбивка_по_щитам!F963=0,"",Разбивка_по_щитам!F963)</f>
        <v/>
      </c>
      <c r="B963" s="138">
        <f>IF(A963="","",Разбивка_по_щитам!C963)</f>
        <v/>
      </c>
      <c r="C963" s="138">
        <f t="shared" ref="C963:C1000" si="622">IF(B963="","",INT((B963-1)/Столбцов_на_лист)+1)</f>
        <v/>
      </c>
      <c r="D963" s="266"/>
      <c r="E963" s="266"/>
      <c r="F963" s="267"/>
      <c r="G963" s="145">
        <f t="shared" ref="G963:G1000" si="623">IF(OR(R963&lt;&gt;"",O963&lt;&gt;"",AY963=1),AG963,"")</f>
        <v/>
      </c>
      <c r="H963" s="145">
        <f t="shared" ref="H963:H1000" si="624">IF(E963="","",IF(AND(E963&lt;&gt;"авто",E963&lt;&gt;"+"),E963,AT963&amp;" С"&amp;AQ963&amp;"А"&amp;IF(AS963=1," 30мА","")))</f>
        <v/>
      </c>
      <c r="I963" s="266"/>
      <c r="J963" s="267"/>
      <c r="K963" s="267"/>
      <c r="L963" s="266"/>
      <c r="M963" s="147">
        <f t="shared" ref="M963:M1000" si="625">IF(OR(O963&lt;&gt;"",AND(L963&lt;&gt;"",L963&lt;&gt;"-")),AH963,"")</f>
        <v/>
      </c>
      <c r="N963" s="267"/>
      <c r="O963" s="147">
        <f t="shared" ref="O963:O1000" si="626">IF(N963="=",AX962,IF(ISNUMBER(N963),N963,IF(AH963="","",IF(OR(R963&lt;&gt;"",N963="+",N963="р"),IF(OR(AW963&lt;&gt;"",AX962=""),1,AX962+1),""))))</f>
        <v/>
      </c>
      <c r="P963" s="268">
        <f>IF(AY963=1,"XT"&amp;COUNTIFS($A$3:A963,A963,$AY$3:AY963,1),"")</f>
        <v/>
      </c>
      <c r="Q963" s="152">
        <f>IF(R963="","",IFERROR(SUBSTITUTE(Разбивка_по_щитам!P963,CHAR(10)," "),""))</f>
        <v/>
      </c>
      <c r="R963" s="153">
        <f>IF(OR(Разбивка_по_щитам!H963="",Разбивка_по_щитам!H963=0),"",Разбивка_по_щитам!H963)</f>
        <v/>
      </c>
      <c r="S963" s="154">
        <f>IF(R963="","",IFERROR(Разбивка_по_щитам!J963&amp;"",""))</f>
        <v/>
      </c>
      <c r="T963" s="155">
        <f>IF(R963="","",IFERROR(--Разбивка_по_щитам!L963,""))</f>
        <v/>
      </c>
      <c r="U963" s="155">
        <f>IF(R963="","",IFERROR(--Разбивка_по_щитам!K963,""))</f>
        <v/>
      </c>
      <c r="V963" s="138">
        <f>IF(R963="","",IFERROR(IF(Разбивка_по_щитам!M963=0,"",Разбивка_по_щитам!M963),""))</f>
        <v/>
      </c>
      <c r="W963" s="156">
        <f t="shared" ref="W963:W1000" si="627">IF(E963="","",IF(NOT(ISNUMBER(AU963)),"",IF(Z963&gt;AU963,"ПЕРЕГРУЗ",IF(AND(BA963=0,AP963&gt;0,AU963&gt;AP963),"КАБЕЛЬ НЕ ЗАЩИЩЁН","ok"))))</f>
        <v/>
      </c>
      <c r="X963" s="157">
        <f t="shared" ref="X963:X1000" si="628">IF(OR(O963="",AH963=""),"",IF(O963&gt;IFERROR(VLOOKUP(AI963,Модули_спр,3,FALSE),99),"ЛИШНИЙ КАНАЛ",IF(AND(N963&lt;&gt;"=",COUNTIFS($AH$3:$AH$1000,AH963,$O$3:$O$1000,O963,$N$3:$N$1000,"&lt;&gt;=")&gt;1),"ДУБЛЬ КАНАЛА","")))</f>
        <v/>
      </c>
      <c r="Y963" s="266"/>
      <c r="Z963" s="158">
        <f t="shared" ref="Z963:Z1000" si="629">IF(E963="","",SUMIFS($U$3:$U$1000,$AF$3:$AF$1000,AF963,$A$3:$A$1000,A963,$AN$3:$AN$1000,0))</f>
        <v/>
      </c>
      <c r="AA963" s="160">
        <f t="shared" ref="AA963:AA1000" si="630">IF(E963="","",IFERROR(VLOOKUP(Z963,Автомат_номиналы,2,TRUE),""))</f>
        <v/>
      </c>
      <c r="AB963" s="160">
        <f>IF(R963="","",IFERROR(LOOKUP(INDEX(Справочная!$I$4:$I$19,MATCH(VLOOKUP(R963,Исходные_данные,22,FALSE),Справочная!$J$4:$J$19,0)+1),{6,10,16,20,25,32,40,50,63,80,100,125}),""))</f>
        <v/>
      </c>
      <c r="AC963" s="160">
        <f t="shared" ref="AC963:AC1000" si="631">IF(M963="","",AI963)</f>
        <v/>
      </c>
      <c r="AD963" s="161">
        <f t="shared" ref="AD963:AD1000" si="632">IF(AND(R963="",O963="",P963=""),"",_xlfn.TEXTJOIN(" → ",TRUE,AG963,AZ963,IF(AH963&lt;&gt;"",AH963&amp;IF(O963&lt;&gt;""," к."&amp;O963,""),IF(O963&lt;&gt;"","к."&amp;O963,"")),P963,IF(AN963=1,"(в кабель выше)","")))</f>
        <v/>
      </c>
      <c r="AE963" s="161">
        <f>IF(AND(R963="",G963=""),"",_xlfn.TEXTJOIN("; ",TRUE,IF(AND(R963&lt;&gt;"",V963=""),"нет фазы",""),IF(AND(R963&lt;&gt;"",N(T963)=0),"нет мощности",""),IF(AND(P963&lt;&gt;"",COUNTIFS($A$3:$A$1000,A963,$P$3:$P$1000,P963)&gt;1),"дубль клеммы "&amp;P963,""),IF(AND(W963&lt;&gt;"",W963&lt;&gt;"ok"),W963,""),IF(X963&lt;&gt;"",X963,""),IF(AND(ISNUMBER(SEARCH("(5х",Q963)),N(AK963)=1),"5 жил на 1 фазе",""),IF(AND(AL963="R",E963&lt;&gt;"",N(AS963)=0),"розетка без 30 мА",""),IF(IFERROR(_xlfn.NUMBERVALUE(MID(Q963,FIND("-",Q963,FIND("L=",Q963))+1,FIND("%",Q963)-FIND("-",Q963,FIND("L=",Q963))-1),","),0)&gt;4,"потери &gt; 4 %","")))</f>
      </c>
      <c r="AF963" s="129">
        <f>IF(E963&lt;&gt;"",COUNTIFS($A$3:A963,A963,$E$3:E963,"?*"),IF(OR(A963&lt;&gt;A962,Y963="вручную"),"",AF962))</f>
        <v/>
      </c>
      <c r="AG963" s="129">
        <f t="shared" ref="AG963:AG1000" si="633">IF(AJ963&lt;&gt;"",AJ963,IF(OR(A963&lt;&gt;A962,Y963="вручную"),"",AG962))</f>
        <v/>
      </c>
      <c r="AH963" s="129">
        <f t="shared" ref="AH963:AH1000" si="634">IF(L963="-","",IF(AW963&lt;&gt;"",AW963,IF(A963&lt;&gt;A962,"",AH962)))</f>
        <v/>
      </c>
      <c r="AI963" s="129">
        <f t="shared" ref="AI963:AI1000" si="635">IF(AH963="","",IF(AND(L963&lt;&gt;"",L963&lt;&gt;"-"),L963,AI962))</f>
        <v/>
      </c>
      <c r="AJ963" s="129">
        <f t="shared" ref="AJ963:AJ1000" si="636">IF(E963="","",IF(AS963=1,"QFD","QF")&amp;AF963)</f>
        <v/>
      </c>
      <c r="AK963" s="129">
        <f t="shared" ref="AK963:AK1000" si="637">IF(R963="","",IFERROR(--VLOOKUP(R963,Исходные_данные,8,FALSE),1))</f>
        <v/>
      </c>
      <c r="AL963" s="129">
        <f t="shared" ref="AL963:AL1000" si="638">IF(R963="","",IFERROR(LEFT(R963,FIND(".",R963)-1),R963))</f>
        <v/>
      </c>
      <c r="AM963" s="129">
        <f t="shared" ref="AM963:AM1000" si="639">IF(AL963="",0,IFERROR(IF(VLOOKUP(R963,УГО_спр,3,FALSE)="да",1,0),IFERROR(IF(VLOOKUP(AL963,УГО_спр,3,FALSE)="да",1,0),IFERROR(IF(VLOOKUP(LEFT(AL963,2),УГО_спр,3,FALSE)="да",1,0),0))))</f>
      </c>
      <c r="AN963" s="129">
        <f t="shared" ref="AN963:AN1000" si="640">IF(OR(N963="+",AND(R963&lt;&gt;"",R963=R962)),1,0)</f>
      </c>
      <c r="AO963" s="129">
        <f t="shared" ref="AO963:AO1000" si="641">IF(E963="","",MAX(N(AA963),_xlfn.MAXIFS($BB$3:$BB$1000,$AF$3:$AF$1000,AF963,$A$3:$A$1000,A963)))</f>
        <v/>
      </c>
      <c r="AP963" s="129">
        <f t="shared" ref="AP963:AP1000" si="642">IF(E963="","",_xlfn.MINIFS($AB$3:$AB$1000,$AF$3:$AF$1000,AF963,$A$3:$A$1000,A963))</f>
        <v/>
      </c>
      <c r="AQ963" s="129">
        <f t="shared" ref="AQ963:AQ1000" si="643">IF(E963="","",IF(BA963=1,MAX(AO963,Мин_автомат_БП),AO963))</f>
        <v/>
      </c>
      <c r="AR963" s="129">
        <f t="shared" ref="AR963:AR1000" si="644">IF(E963="","",MAX(1,_xlfn.MAXIFS($AK$3:$AK$1000,$AF$3:$AF$1000,AF963,$A$3:$A$1000,A963)))</f>
        <v/>
      </c>
      <c r="AS963" s="129">
        <f t="shared" ref="AS963:AS1000" si="645">IF(E963="","",IF(AND(E963&lt;&gt;"авто",E963&lt;&gt;"+"),IF(ISNUMBER(SEARCH("мА",E963)),1,0),IF(F963="да",1,IF(F963="нет",0,IF(_xlfn.MAXIFS($AM$3:$AM$1000,$AF$3:$AF$1000,AF963,$A$3:$A$1000,A963)&gt;0,1,0)))))</f>
        <v/>
      </c>
      <c r="AT963" s="129">
        <f t="shared" ref="AT963:AT1000" si="646">IF(E963="","",IF(AR963&gt;=3,IF(AS963=1,"4P","3P"),IF(AS963=1,"2P","1P")))</f>
        <v/>
      </c>
      <c r="AU963" s="129">
        <f t="shared" ref="AU963:AU1000" si="647">IF(H963="","",IFERROR(--MID(SUBSTITUTE(SUBSTITUTE(UPPER(H963),"С","C"),"А","A"),FIND("C",SUBSTITUTE(SUBSTITUTE(UPPER(H963),"С","C"),"А","A"))+1,FIND("A",SUBSTITUTE(SUBSTITUTE(UPPER(H963),"С","C"),"А","A")&amp;"A",FIND("C",SUBSTITUTE(SUBSTITUTE(UPPER(H963),"С","C"),"А","A")))-FIND("C",SUBSTITUTE(SUBSTITUTE(UPPER(H963),"С","C"),"А","A"))-1),""))</f>
        <v/>
      </c>
      <c r="AV963" s="129">
        <f t="shared" ref="AV963:AV1000" si="648">IF(OR(L963="",L963="-"),"",IFERROR(VLOOKUP(L963,Модули_спр,2,FALSE),"R"))</f>
        <v/>
      </c>
      <c r="AW963" s="129">
        <f>IF(AV963="","",AV963&amp;"."&amp;COUNTIFS($A$3:A963,A963,$AV$3:AV963,AV963))</f>
        <v/>
      </c>
      <c r="AX963" s="129">
        <f t="shared" ref="AX963:AX1000" si="649">IF(O963&lt;&gt;"",O963,IF(OR(A963&lt;&gt;A962,L963="-",AW963&lt;&gt;""),"",AX962))</f>
        <v/>
      </c>
      <c r="AY963" s="129">
        <f>IF(N963="б/к",0,IF(OR(ISNUMBER(SEARCH("L=",Разбивка_по_щитам!P963)),N963="+",N963="="),1,0))</f>
      </c>
      <c r="AZ963" s="129">
        <f t="shared" ref="AZ963:AZ1000" si="650">IF(AJ963&lt;&gt;"",_xlfn.TEXTJOIN(" → ",TRUE,I963,J963,K963),IF(AG963="","",AZ962))</f>
        <v/>
      </c>
      <c r="BA963" s="129">
        <f t="shared" ref="BA963:BA1000" si="651">IF(AZ963="",0,IF(OR(LEFT(AZ963,2)="T ",LEFT(AZ963,2)="Т ",ISNUMBER(SEARCH("→ T ",AZ963)),ISNUMBER(SEARCH("→ Т ",AZ963)),ISNUMBER(SEARCH("БП",AZ963))),1,0))</f>
      </c>
      <c r="BB963" s="129">
        <f t="shared" ref="BB963:BB1000" si="652">IF(R963="",0,MAX(IFERROR(--VLOOKUP(R963,Исходные_данные,18,FALSE),0),IFERROR(--VLOOKUP(R963,УГО_спр,4,FALSE),IFERROR(--VLOOKUP(AL963,УГО_спр,4,FALSE),IFERROR(--VLOOKUP(LEFT(AL963,2),УГО_спр,4,FALSE),0)))))</f>
      </c>
      <c r="BD963" s="129">
        <f t="shared" ref="BD963:BD1000" si="653">IF(Y963="вручную",0,1)</f>
      </c>
      <c r="BE963" s="129">
        <f t="shared" ref="BE963:BE1000" si="654">IF(D963="",0,1)</f>
      </c>
      <c r="BF963" s="129">
        <f t="shared" ref="BF963:BF1000" si="655">IF(AJ963="",0,IF(LEFT(AJ963,3)="QFD",1,0))</f>
      </c>
      <c r="BG963" s="129">
        <f t="shared" ref="BG963:BG1000" si="656">IF(N963="=","=",IF(N963="+","+",IF(N963="р","R","")))</f>
        <v/>
      </c>
      <c r="BH963" s="129">
        <f t="shared" ref="BH963:BH1000" si="657">IF(I963="","",IF(OR(LEFT(I963,1)="T",LEFT(I963,1)="Т"),"T",IF(LEFT(UPPER(I963),2)="БП","PS",IF(OR(LEFT(UPPER(I963),2)="МК",LEFT(UPPER(I963),2)="MK"),"MK",IF(OR(LEFT(UPPER(I963),2)="КМ",LEFT(UPPER(I963),2)="KM"),"KM","X")))))</f>
        <v/>
      </c>
      <c r="BI963" s="129">
        <f t="shared" ref="BI963:BI1000" si="658">IF(J963="","",IF(OR(LEFT(J963,1)="T",LEFT(J963,1)="Т"),"T",IF(LEFT(UPPER(J963),2)="БП","PS",IF(OR(LEFT(UPPER(J963),2)="МК",LEFT(UPPER(J963),2)="MK"),"MK",IF(OR(LEFT(UPPER(J963),2)="КМ",LEFT(UPPER(J963),2)="KM"),"KM","X")))))</f>
        <v/>
      </c>
      <c r="BJ963" s="129">
        <f t="shared" ref="BJ963:BJ1000" si="659">IF(K963="","",IF(OR(LEFT(K963,1)="T",LEFT(K963,1)="Т"),"T",IF(LEFT(UPPER(K963),2)="БП","PS",IF(OR(LEFT(UPPER(K963),2)="МК",LEFT(UPPER(K963),2)="MK"),"MK",IF(OR(LEFT(UPPER(K963),2)="КМ",LEFT(UPPER(K963),2)="KM"),"KM","X")))))</f>
        <v/>
      </c>
      <c r="BK963" s="129">
        <f>IF(R963="","",IF(OR(BY963="",BY963=0),"BOX",IFERROR(IF(VLOOKUP(BY963,УГО_блоки,3,FALSE)&amp;""&lt;&gt;"",VLOOKUP(BY963,УГО_блоки,3,FALSE),VLOOKUP(BY963,УГО_блоки,2,FALSE)),BY963)))</f>
      </c>
      <c r="BL963" s="129">
        <f t="shared" ref="BL963:BL1000" si="661">IF(R963="",0,1)</f>
      </c>
      <c r="BM963" s="129">
        <f>IF(H963="","",IF(COUNTIF($H$3:H963,H963)=1,MAX($BM$2:BM962)+1,""))</f>
      </c>
      <c r="BN963" s="129">
        <f>IF(I963="","",IF(COUNTIF($I$3:I963,I963)+COUNTIF($J$2:J962,I963)+COUNTIF($K$2:K962,I963)=1,MAX($BN$2:BP962)+1,""))</f>
      </c>
      <c r="BO963" s="129">
        <f>IF(J963="","",IF(COUNTIF($I$3:I963,J963)+COUNTIF($J$3:J963,J963)+COUNTIF($K$2:K962,J963)=1,MAX($BN$2:BP962,BN963)+1,""))</f>
      </c>
      <c r="BP963" s="129">
        <f>IF(K963="","",IF(COUNTIF($I$3:I963,K963)+COUNTIF($J$3:J963,K963)+COUNTIF($K$3:K963,K963)=1,MAX($BN$2:BP962,BN963,BO963)+1,""))</f>
      </c>
      <c r="BQ963" s="129">
        <f>IF(AY963=1,IFERROR(MID(Q963,FIND(" (",Q963)+2,FIND(")",Q963,FIND(" (",Q963))-FIND(" (",Q963)-2),"?"),"")</f>
      </c>
      <c r="BR963" s="129">
        <f>IF(BQ963="","",IF(COUNTIF($BQ$3:BQ963,BQ963)=1,MAX($BR$2:BR962)+1,""))</f>
      </c>
      <c r="BS963" s="129">
        <f>IF(AW963="","",COUNTIF($AW$3:AW963,"?*"))</f>
      </c>
      <c r="BT963" s="129">
        <f>IF(OR(AW963="",AI963=""),"",IF(COUNTIFS($AW$3:AW963,"?*",$AI$3:AI963,AI963)=1,MAX($BT$2:BT962)+1,""))</f>
      </c>
      <c r="BU963" s="129">
        <f>IF(AE963="",0,IF(OR(ISNUMBER(SEARCH("дубль",AE963)),ISNUMBER(SEARCH("ПЕРЕГРУЗ",AE963)),ISNUMBER(SEARCH("ЗАЩИЩ",AE963)),ISNUMBER(SEARCH("КАНАЛ",AE963)),ISNUMBER(SEARCH("без 30",AE963))),2,1))</f>
      </c>
      <c r="BV963" s="129">
        <f>IF(R963="","",COUNTIF($R$3:R963,"?*"))</f>
      </c>
      <c r="BW963" s="129">
        <f>IF(AY963&lt;&gt;1,0,IF(MAX(IFERROR(--VLOOKUP(R963,УГО_спр,5,FALSE),0),IFERROR(--VLOOKUP(AL963,УГО_спр,5,FALSE),0),IFERROR(--VLOOKUP(LEFT(AL963,2),УГО_спр,5,FALSE),0))&gt;0,MAX(IFERROR(--VLOOKUP(R963,УГО_спр,5,FALSE),0),IFERROR(--VLOOKUP(AL963,УГО_спр,5,FALSE),0),IFERROR(--VLOOKUP(LEFT(AL963,2),УГО_спр,5,FALSE),0)),IF(IFERROR(--LEFT(SUBSTITUTE(BQ963,"x","х"),FIND("х",SUBSTITUTE(BQ963,"x","х"))-1),3)&gt;3,Каталог!$S$9,1)))</f>
      </c>
      <c r="BX963" s="129">
        <f>IF(AY963&lt;&gt;1,0,MAX(0,IFERROR(--LEFT(SUBSTITUTE(BQ963,"x","х"),FIND("х",SUBSTITUTE(BQ963,"x","х"))-1),3)-3*BW963))</f>
      </c>
      <c r="BY963" s="129">
        <f>IF(R963="","",IFERROR(VLOOKUP(R963,УГО_спр,2,FALSE),IFERROR(VLOOKUP(AL963,УГО_спр,2,FALSE),IFERROR(VLOOKUP(LEFT(AL963,2),УГО_спр,2,FALSE),""))))</f>
      </c>
    </row>
    <row r="964" spans="1:64" x14ac:dyDescent="0.3">
      <c r="A964" s="135">
        <f>IF(Разбивка_по_щитам!F964=0,"",Разбивка_по_щитам!F964)</f>
        <v/>
      </c>
      <c r="B964" s="138">
        <f>IF(A964="","",Разбивка_по_щитам!C964)</f>
        <v/>
      </c>
      <c r="C964" s="138">
        <f t="shared" si="622"/>
        <v/>
      </c>
      <c r="D964" s="266"/>
      <c r="E964" s="266"/>
      <c r="F964" s="267"/>
      <c r="G964" s="145">
        <f t="shared" si="623"/>
        <v/>
      </c>
      <c r="H964" s="145">
        <f t="shared" si="624"/>
        <v/>
      </c>
      <c r="I964" s="266"/>
      <c r="J964" s="267"/>
      <c r="K964" s="267"/>
      <c r="L964" s="266"/>
      <c r="M964" s="147">
        <f t="shared" si="625"/>
        <v/>
      </c>
      <c r="N964" s="267"/>
      <c r="O964" s="147">
        <f t="shared" si="626"/>
        <v/>
      </c>
      <c r="P964" s="268">
        <f>IF(AY964=1,"XT"&amp;COUNTIFS($A$3:A964,A964,$AY$3:AY964,1),"")</f>
        <v/>
      </c>
      <c r="Q964" s="152">
        <f>IF(R964="","",IFERROR(SUBSTITUTE(Разбивка_по_щитам!P964,CHAR(10)," "),""))</f>
        <v/>
      </c>
      <c r="R964" s="153">
        <f>IF(OR(Разбивка_по_щитам!H964="",Разбивка_по_щитам!H964=0),"",Разбивка_по_щитам!H964)</f>
        <v/>
      </c>
      <c r="S964" s="154">
        <f>IF(R964="","",IFERROR(Разбивка_по_щитам!J964&amp;"",""))</f>
        <v/>
      </c>
      <c r="T964" s="155">
        <f>IF(R964="","",IFERROR(--Разбивка_по_щитам!L964,""))</f>
        <v/>
      </c>
      <c r="U964" s="155">
        <f>IF(R964="","",IFERROR(--Разбивка_по_щитам!K964,""))</f>
        <v/>
      </c>
      <c r="V964" s="138">
        <f>IF(R964="","",IFERROR(IF(Разбивка_по_щитам!M964=0,"",Разбивка_по_щитам!M964),""))</f>
        <v/>
      </c>
      <c r="W964" s="156">
        <f t="shared" si="627"/>
        <v/>
      </c>
      <c r="X964" s="157">
        <f t="shared" si="628"/>
        <v/>
      </c>
      <c r="Y964" s="266"/>
      <c r="Z964" s="158">
        <f t="shared" si="629"/>
        <v/>
      </c>
      <c r="AA964" s="160">
        <f t="shared" si="630"/>
        <v/>
      </c>
      <c r="AB964" s="160">
        <f>IF(R964="","",IFERROR(LOOKUP(INDEX(Справочная!$I$4:$I$19,MATCH(VLOOKUP(R964,Исходные_данные,22,FALSE),Справочная!$J$4:$J$19,0)+1),{6,10,16,20,25,32,40,50,63,80,100,125}),""))</f>
        <v/>
      </c>
      <c r="AC964" s="160">
        <f t="shared" si="631"/>
        <v/>
      </c>
      <c r="AD964" s="161">
        <f t="shared" si="632"/>
        <v/>
      </c>
      <c r="AE964" s="161">
        <f>IF(AND(R964="",G964=""),"",_xlfn.TEXTJOIN("; ",TRUE,IF(AND(R964&lt;&gt;"",V964=""),"нет фазы",""),IF(AND(R964&lt;&gt;"",N(T964)=0),"нет мощности",""),IF(AND(P964&lt;&gt;"",COUNTIFS($A$3:$A$1000,A964,$P$3:$P$1000,P964)&gt;1),"дубль клеммы "&amp;P964,""),IF(AND(W964&lt;&gt;"",W964&lt;&gt;"ok"),W964,""),IF(X964&lt;&gt;"",X964,""),IF(AND(ISNUMBER(SEARCH("(5х",Q964)),N(AK964)=1),"5 жил на 1 фазе",""),IF(AND(AL964="R",E964&lt;&gt;"",N(AS964)=0),"розетка без 30 мА",""),IF(IFERROR(_xlfn.NUMBERVALUE(MID(Q964,FIND("-",Q964,FIND("L=",Q964))+1,FIND("%",Q964)-FIND("-",Q964,FIND("L=",Q964))-1),","),0)&gt;4,"потери &gt; 4 %","")))</f>
      </c>
      <c r="AF964" s="129">
        <f>IF(E964&lt;&gt;"",COUNTIFS($A$3:A964,A964,$E$3:E964,"?*"),IF(OR(A964&lt;&gt;A963,Y964="вручную"),"",AF963))</f>
        <v/>
      </c>
      <c r="AG964" s="129">
        <f t="shared" si="633"/>
        <v/>
      </c>
      <c r="AH964" s="129">
        <f t="shared" si="634"/>
        <v/>
      </c>
      <c r="AI964" s="129">
        <f t="shared" si="635"/>
        <v/>
      </c>
      <c r="AJ964" s="129">
        <f t="shared" si="636"/>
        <v/>
      </c>
      <c r="AK964" s="129">
        <f t="shared" si="637"/>
        <v/>
      </c>
      <c r="AL964" s="129">
        <f t="shared" si="638"/>
        <v/>
      </c>
      <c r="AM964" s="129">
        <f t="shared" si="639"/>
      </c>
      <c r="AN964" s="129">
        <f t="shared" si="640"/>
      </c>
      <c r="AO964" s="129">
        <f t="shared" si="641"/>
        <v/>
      </c>
      <c r="AP964" s="129">
        <f t="shared" si="642"/>
        <v/>
      </c>
      <c r="AQ964" s="129">
        <f t="shared" si="643"/>
        <v/>
      </c>
      <c r="AR964" s="129">
        <f t="shared" si="644"/>
        <v/>
      </c>
      <c r="AS964" s="129">
        <f t="shared" si="645"/>
        <v/>
      </c>
      <c r="AT964" s="129">
        <f t="shared" si="646"/>
        <v/>
      </c>
      <c r="AU964" s="129">
        <f t="shared" si="647"/>
        <v/>
      </c>
      <c r="AV964" s="129">
        <f t="shared" si="648"/>
        <v/>
      </c>
      <c r="AW964" s="129">
        <f>IF(AV964="","",AV964&amp;"."&amp;COUNTIFS($A$3:A964,A964,$AV$3:AV964,AV964))</f>
        <v/>
      </c>
      <c r="AX964" s="129">
        <f t="shared" si="649"/>
        <v/>
      </c>
      <c r="AY964" s="129">
        <f>IF(N964="б/к",0,IF(OR(ISNUMBER(SEARCH("L=",Разбивка_по_щитам!P964)),N964="+",N964="="),1,0))</f>
      </c>
      <c r="AZ964" s="129">
        <f t="shared" si="650"/>
        <v/>
      </c>
      <c r="BA964" s="129">
        <f t="shared" si="651"/>
      </c>
      <c r="BB964" s="129">
        <f t="shared" si="652"/>
      </c>
      <c r="BD964" s="129">
        <f t="shared" si="653"/>
      </c>
      <c r="BE964" s="129">
        <f t="shared" si="654"/>
      </c>
      <c r="BF964" s="129">
        <f t="shared" si="655"/>
      </c>
      <c r="BG964" s="129">
        <f t="shared" si="656"/>
        <v/>
      </c>
      <c r="BH964" s="129">
        <f t="shared" si="657"/>
        <v/>
      </c>
      <c r="BI964" s="129">
        <f t="shared" si="658"/>
        <v/>
      </c>
      <c r="BJ964" s="129">
        <f t="shared" si="659"/>
        <v/>
      </c>
      <c r="BK964" s="129">
        <f>IF(R964="","",IF(OR(BY964="",BY964=0),"BOX",IFERROR(IF(VLOOKUP(BY964,УГО_блоки,3,FALSE)&amp;""&lt;&gt;"",VLOOKUP(BY964,УГО_блоки,3,FALSE),VLOOKUP(BY964,УГО_блоки,2,FALSE)),BY964)))</f>
      </c>
      <c r="BL964" s="129">
        <f t="shared" si="661"/>
      </c>
      <c r="BM964" s="129">
        <f>IF(H964="","",IF(COUNTIF($H$3:H964,H964)=1,MAX($BM$2:BM963)+1,""))</f>
      </c>
      <c r="BN964" s="129">
        <f>IF(I964="","",IF(COUNTIF($I$3:I964,I964)+COUNTIF($J$2:J963,I964)+COUNTIF($K$2:K963,I964)=1,MAX($BN$2:BP963)+1,""))</f>
      </c>
      <c r="BO964" s="129">
        <f>IF(J964="","",IF(COUNTIF($I$3:I964,J964)+COUNTIF($J$3:J964,J964)+COUNTIF($K$2:K963,J964)=1,MAX($BN$2:BP963,BN964)+1,""))</f>
      </c>
      <c r="BP964" s="129">
        <f>IF(K964="","",IF(COUNTIF($I$3:I964,K964)+COUNTIF($J$3:J964,K964)+COUNTIF($K$3:K964,K964)=1,MAX($BN$2:BP963,BN964,BO964)+1,""))</f>
      </c>
      <c r="BQ964" s="129">
        <f>IF(AY964=1,IFERROR(MID(Q964,FIND(" (",Q964)+2,FIND(")",Q964,FIND(" (",Q964))-FIND(" (",Q964)-2),"?"),"")</f>
      </c>
      <c r="BR964" s="129">
        <f>IF(BQ964="","",IF(COUNTIF($BQ$3:BQ964,BQ964)=1,MAX($BR$2:BR963)+1,""))</f>
      </c>
      <c r="BS964" s="129">
        <f>IF(AW964="","",COUNTIF($AW$3:AW964,"?*"))</f>
      </c>
      <c r="BT964" s="129">
        <f>IF(OR(AW964="",AI964=""),"",IF(COUNTIFS($AW$3:AW964,"?*",$AI$3:AI964,AI964)=1,MAX($BT$2:BT963)+1,""))</f>
      </c>
      <c r="BU964" s="129">
        <f>IF(AE964="",0,IF(OR(ISNUMBER(SEARCH("дубль",AE964)),ISNUMBER(SEARCH("ПЕРЕГРУЗ",AE964)),ISNUMBER(SEARCH("ЗАЩИЩ",AE964)),ISNUMBER(SEARCH("КАНАЛ",AE964)),ISNUMBER(SEARCH("без 30",AE964))),2,1))</f>
      </c>
      <c r="BV964" s="129">
        <f>IF(R964="","",COUNTIF($R$3:R964,"?*"))</f>
      </c>
      <c r="BW964" s="129">
        <f>IF(AY964&lt;&gt;1,0,IF(MAX(IFERROR(--VLOOKUP(R964,УГО_спр,5,FALSE),0),IFERROR(--VLOOKUP(AL964,УГО_спр,5,FALSE),0),IFERROR(--VLOOKUP(LEFT(AL964,2),УГО_спр,5,FALSE),0))&gt;0,MAX(IFERROR(--VLOOKUP(R964,УГО_спр,5,FALSE),0),IFERROR(--VLOOKUP(AL964,УГО_спр,5,FALSE),0),IFERROR(--VLOOKUP(LEFT(AL964,2),УГО_спр,5,FALSE),0)),IF(IFERROR(--LEFT(SUBSTITUTE(BQ964,"x","х"),FIND("х",SUBSTITUTE(BQ964,"x","х"))-1),3)&gt;3,Каталог!$S$9,1)))</f>
      </c>
      <c r="BX964" s="129">
        <f>IF(AY964&lt;&gt;1,0,MAX(0,IFERROR(--LEFT(SUBSTITUTE(BQ964,"x","х"),FIND("х",SUBSTITUTE(BQ964,"x","х"))-1),3)-3*BW964))</f>
      </c>
      <c r="BY964" s="129">
        <f>IF(R964="","",IFERROR(VLOOKUP(R964,УГО_спр,2,FALSE),IFERROR(VLOOKUP(AL964,УГО_спр,2,FALSE),IFERROR(VLOOKUP(LEFT(AL964,2),УГО_спр,2,FALSE),""))))</f>
      </c>
    </row>
    <row r="965" spans="1:64" x14ac:dyDescent="0.3">
      <c r="A965" s="135">
        <f>IF(Разбивка_по_щитам!F965=0,"",Разбивка_по_щитам!F965)</f>
        <v/>
      </c>
      <c r="B965" s="138">
        <f>IF(A965="","",Разбивка_по_щитам!C965)</f>
        <v/>
      </c>
      <c r="C965" s="138">
        <f t="shared" si="622"/>
        <v/>
      </c>
      <c r="D965" s="266"/>
      <c r="E965" s="266"/>
      <c r="F965" s="267"/>
      <c r="G965" s="145">
        <f t="shared" si="623"/>
        <v/>
      </c>
      <c r="H965" s="145">
        <f t="shared" si="624"/>
        <v/>
      </c>
      <c r="I965" s="266"/>
      <c r="J965" s="267"/>
      <c r="K965" s="267"/>
      <c r="L965" s="266"/>
      <c r="M965" s="147">
        <f t="shared" si="625"/>
        <v/>
      </c>
      <c r="N965" s="267"/>
      <c r="O965" s="147">
        <f t="shared" si="626"/>
        <v/>
      </c>
      <c r="P965" s="268">
        <f>IF(AY965=1,"XT"&amp;COUNTIFS($A$3:A965,A965,$AY$3:AY965,1),"")</f>
        <v/>
      </c>
      <c r="Q965" s="152">
        <f>IF(R965="","",IFERROR(SUBSTITUTE(Разбивка_по_щитам!P965,CHAR(10)," "),""))</f>
        <v/>
      </c>
      <c r="R965" s="153">
        <f>IF(OR(Разбивка_по_щитам!H965="",Разбивка_по_щитам!H965=0),"",Разбивка_по_щитам!H965)</f>
        <v/>
      </c>
      <c r="S965" s="154">
        <f>IF(R965="","",IFERROR(Разбивка_по_щитам!J965&amp;"",""))</f>
        <v/>
      </c>
      <c r="T965" s="155">
        <f>IF(R965="","",IFERROR(--Разбивка_по_щитам!L965,""))</f>
        <v/>
      </c>
      <c r="U965" s="155">
        <f>IF(R965="","",IFERROR(--Разбивка_по_щитам!K965,""))</f>
        <v/>
      </c>
      <c r="V965" s="138">
        <f>IF(R965="","",IFERROR(IF(Разбивка_по_щитам!M965=0,"",Разбивка_по_щитам!M965),""))</f>
        <v/>
      </c>
      <c r="W965" s="156">
        <f t="shared" si="627"/>
        <v/>
      </c>
      <c r="X965" s="157">
        <f t="shared" si="628"/>
        <v/>
      </c>
      <c r="Y965" s="266"/>
      <c r="Z965" s="158">
        <f t="shared" si="629"/>
        <v/>
      </c>
      <c r="AA965" s="160">
        <f t="shared" si="630"/>
        <v/>
      </c>
      <c r="AB965" s="160">
        <f>IF(R965="","",IFERROR(LOOKUP(INDEX(Справочная!$I$4:$I$19,MATCH(VLOOKUP(R965,Исходные_данные,22,FALSE),Справочная!$J$4:$J$19,0)+1),{6,10,16,20,25,32,40,50,63,80,100,125}),""))</f>
        <v/>
      </c>
      <c r="AC965" s="160">
        <f t="shared" si="631"/>
        <v/>
      </c>
      <c r="AD965" s="161">
        <f t="shared" si="632"/>
        <v/>
      </c>
      <c r="AE965" s="161">
        <f>IF(AND(R965="",G965=""),"",_xlfn.TEXTJOIN("; ",TRUE,IF(AND(R965&lt;&gt;"",V965=""),"нет фазы",""),IF(AND(R965&lt;&gt;"",N(T965)=0),"нет мощности",""),IF(AND(P965&lt;&gt;"",COUNTIFS($A$3:$A$1000,A965,$P$3:$P$1000,P965)&gt;1),"дубль клеммы "&amp;P965,""),IF(AND(W965&lt;&gt;"",W965&lt;&gt;"ok"),W965,""),IF(X965&lt;&gt;"",X965,""),IF(AND(ISNUMBER(SEARCH("(5х",Q965)),N(AK965)=1),"5 жил на 1 фазе",""),IF(AND(AL965="R",E965&lt;&gt;"",N(AS965)=0),"розетка без 30 мА",""),IF(IFERROR(_xlfn.NUMBERVALUE(MID(Q965,FIND("-",Q965,FIND("L=",Q965))+1,FIND("%",Q965)-FIND("-",Q965,FIND("L=",Q965))-1),","),0)&gt;4,"потери &gt; 4 %","")))</f>
      </c>
      <c r="AF965" s="129">
        <f>IF(E965&lt;&gt;"",COUNTIFS($A$3:A965,A965,$E$3:E965,"?*"),IF(OR(A965&lt;&gt;A964,Y965="вручную"),"",AF964))</f>
        <v/>
      </c>
      <c r="AG965" s="129">
        <f t="shared" si="633"/>
        <v/>
      </c>
      <c r="AH965" s="129">
        <f t="shared" si="634"/>
        <v/>
      </c>
      <c r="AI965" s="129">
        <f t="shared" si="635"/>
        <v/>
      </c>
      <c r="AJ965" s="129">
        <f t="shared" si="636"/>
        <v/>
      </c>
      <c r="AK965" s="129">
        <f t="shared" si="637"/>
        <v/>
      </c>
      <c r="AL965" s="129">
        <f t="shared" si="638"/>
        <v/>
      </c>
      <c r="AM965" s="129">
        <f t="shared" si="639"/>
      </c>
      <c r="AN965" s="129">
        <f t="shared" si="640"/>
      </c>
      <c r="AO965" s="129">
        <f t="shared" si="641"/>
        <v/>
      </c>
      <c r="AP965" s="129">
        <f t="shared" si="642"/>
        <v/>
      </c>
      <c r="AQ965" s="129">
        <f t="shared" si="643"/>
        <v/>
      </c>
      <c r="AR965" s="129">
        <f t="shared" si="644"/>
        <v/>
      </c>
      <c r="AS965" s="129">
        <f t="shared" si="645"/>
        <v/>
      </c>
      <c r="AT965" s="129">
        <f t="shared" si="646"/>
        <v/>
      </c>
      <c r="AU965" s="129">
        <f t="shared" si="647"/>
        <v/>
      </c>
      <c r="AV965" s="129">
        <f t="shared" si="648"/>
        <v/>
      </c>
      <c r="AW965" s="129">
        <f>IF(AV965="","",AV965&amp;"."&amp;COUNTIFS($A$3:A965,A965,$AV$3:AV965,AV965))</f>
        <v/>
      </c>
      <c r="AX965" s="129">
        <f t="shared" si="649"/>
        <v/>
      </c>
      <c r="AY965" s="129">
        <f>IF(N965="б/к",0,IF(OR(ISNUMBER(SEARCH("L=",Разбивка_по_щитам!P965)),N965="+",N965="="),1,0))</f>
      </c>
      <c r="AZ965" s="129">
        <f t="shared" si="650"/>
        <v/>
      </c>
      <c r="BA965" s="129">
        <f t="shared" si="651"/>
      </c>
      <c r="BB965" s="129">
        <f t="shared" si="652"/>
      </c>
      <c r="BD965" s="129">
        <f t="shared" si="653"/>
      </c>
      <c r="BE965" s="129">
        <f t="shared" si="654"/>
      </c>
      <c r="BF965" s="129">
        <f t="shared" si="655"/>
      </c>
      <c r="BG965" s="129">
        <f t="shared" si="656"/>
        <v/>
      </c>
      <c r="BH965" s="129">
        <f t="shared" si="657"/>
        <v/>
      </c>
      <c r="BI965" s="129">
        <f t="shared" si="658"/>
        <v/>
      </c>
      <c r="BJ965" s="129">
        <f t="shared" si="659"/>
        <v/>
      </c>
      <c r="BK965" s="129">
        <f>IF(R965="","",IF(OR(BY965="",BY965=0),"BOX",IFERROR(IF(VLOOKUP(BY965,УГО_блоки,3,FALSE)&amp;""&lt;&gt;"",VLOOKUP(BY965,УГО_блоки,3,FALSE),VLOOKUP(BY965,УГО_блоки,2,FALSE)),BY965)))</f>
      </c>
      <c r="BL965" s="129">
        <f t="shared" si="661"/>
      </c>
      <c r="BM965" s="129">
        <f>IF(H965="","",IF(COUNTIF($H$3:H965,H965)=1,MAX($BM$2:BM964)+1,""))</f>
      </c>
      <c r="BN965" s="129">
        <f>IF(I965="","",IF(COUNTIF($I$3:I965,I965)+COUNTIF($J$2:J964,I965)+COUNTIF($K$2:K964,I965)=1,MAX($BN$2:BP964)+1,""))</f>
      </c>
      <c r="BO965" s="129">
        <f>IF(J965="","",IF(COUNTIF($I$3:I965,J965)+COUNTIF($J$3:J965,J965)+COUNTIF($K$2:K964,J965)=1,MAX($BN$2:BP964,BN965)+1,""))</f>
      </c>
      <c r="BP965" s="129">
        <f>IF(K965="","",IF(COUNTIF($I$3:I965,K965)+COUNTIF($J$3:J965,K965)+COUNTIF($K$3:K965,K965)=1,MAX($BN$2:BP964,BN965,BO965)+1,""))</f>
      </c>
      <c r="BQ965" s="129">
        <f>IF(AY965=1,IFERROR(MID(Q965,FIND(" (",Q965)+2,FIND(")",Q965,FIND(" (",Q965))-FIND(" (",Q965)-2),"?"),"")</f>
      </c>
      <c r="BR965" s="129">
        <f>IF(BQ965="","",IF(COUNTIF($BQ$3:BQ965,BQ965)=1,MAX($BR$2:BR964)+1,""))</f>
      </c>
      <c r="BS965" s="129">
        <f>IF(AW965="","",COUNTIF($AW$3:AW965,"?*"))</f>
      </c>
      <c r="BT965" s="129">
        <f>IF(OR(AW965="",AI965=""),"",IF(COUNTIFS($AW$3:AW965,"?*",$AI$3:AI965,AI965)=1,MAX($BT$2:BT964)+1,""))</f>
      </c>
      <c r="BU965" s="129">
        <f>IF(AE965="",0,IF(OR(ISNUMBER(SEARCH("дубль",AE965)),ISNUMBER(SEARCH("ПЕРЕГРУЗ",AE965)),ISNUMBER(SEARCH("ЗАЩИЩ",AE965)),ISNUMBER(SEARCH("КАНАЛ",AE965)),ISNUMBER(SEARCH("без 30",AE965))),2,1))</f>
      </c>
      <c r="BV965" s="129">
        <f>IF(R965="","",COUNTIF($R$3:R965,"?*"))</f>
      </c>
      <c r="BW965" s="129">
        <f>IF(AY965&lt;&gt;1,0,IF(MAX(IFERROR(--VLOOKUP(R965,УГО_спр,5,FALSE),0),IFERROR(--VLOOKUP(AL965,УГО_спр,5,FALSE),0),IFERROR(--VLOOKUP(LEFT(AL965,2),УГО_спр,5,FALSE),0))&gt;0,MAX(IFERROR(--VLOOKUP(R965,УГО_спр,5,FALSE),0),IFERROR(--VLOOKUP(AL965,УГО_спр,5,FALSE),0),IFERROR(--VLOOKUP(LEFT(AL965,2),УГО_спр,5,FALSE),0)),IF(IFERROR(--LEFT(SUBSTITUTE(BQ965,"x","х"),FIND("х",SUBSTITUTE(BQ965,"x","х"))-1),3)&gt;3,Каталог!$S$9,1)))</f>
      </c>
      <c r="BX965" s="129">
        <f>IF(AY965&lt;&gt;1,0,MAX(0,IFERROR(--LEFT(SUBSTITUTE(BQ965,"x","х"),FIND("х",SUBSTITUTE(BQ965,"x","х"))-1),3)-3*BW965))</f>
      </c>
      <c r="BY965" s="129">
        <f>IF(R965="","",IFERROR(VLOOKUP(R965,УГО_спр,2,FALSE),IFERROR(VLOOKUP(AL965,УГО_спр,2,FALSE),IFERROR(VLOOKUP(LEFT(AL965,2),УГО_спр,2,FALSE),""))))</f>
      </c>
    </row>
    <row r="966" spans="1:64" x14ac:dyDescent="0.3">
      <c r="A966" s="135">
        <f>IF(Разбивка_по_щитам!F966=0,"",Разбивка_по_щитам!F966)</f>
        <v/>
      </c>
      <c r="B966" s="138">
        <f>IF(A966="","",Разбивка_по_щитам!C966)</f>
        <v/>
      </c>
      <c r="C966" s="138">
        <f t="shared" si="622"/>
        <v/>
      </c>
      <c r="D966" s="266"/>
      <c r="E966" s="266"/>
      <c r="F966" s="267"/>
      <c r="G966" s="145">
        <f t="shared" si="623"/>
        <v/>
      </c>
      <c r="H966" s="145">
        <f t="shared" si="624"/>
        <v/>
      </c>
      <c r="I966" s="266"/>
      <c r="J966" s="267"/>
      <c r="K966" s="267"/>
      <c r="L966" s="266"/>
      <c r="M966" s="147">
        <f t="shared" si="625"/>
        <v/>
      </c>
      <c r="N966" s="267"/>
      <c r="O966" s="147">
        <f t="shared" si="626"/>
        <v/>
      </c>
      <c r="P966" s="268">
        <f>IF(AY966=1,"XT"&amp;COUNTIFS($A$3:A966,A966,$AY$3:AY966,1),"")</f>
        <v/>
      </c>
      <c r="Q966" s="152">
        <f>IF(R966="","",IFERROR(SUBSTITUTE(Разбивка_по_щитам!P966,CHAR(10)," "),""))</f>
        <v/>
      </c>
      <c r="R966" s="153">
        <f>IF(OR(Разбивка_по_щитам!H966="",Разбивка_по_щитам!H966=0),"",Разбивка_по_щитам!H966)</f>
        <v/>
      </c>
      <c r="S966" s="154">
        <f>IF(R966="","",IFERROR(Разбивка_по_щитам!J966&amp;"",""))</f>
        <v/>
      </c>
      <c r="T966" s="155">
        <f>IF(R966="","",IFERROR(--Разбивка_по_щитам!L966,""))</f>
        <v/>
      </c>
      <c r="U966" s="155">
        <f>IF(R966="","",IFERROR(--Разбивка_по_щитам!K966,""))</f>
        <v/>
      </c>
      <c r="V966" s="138">
        <f>IF(R966="","",IFERROR(IF(Разбивка_по_щитам!M966=0,"",Разбивка_по_щитам!M966),""))</f>
        <v/>
      </c>
      <c r="W966" s="156">
        <f t="shared" si="627"/>
        <v/>
      </c>
      <c r="X966" s="157">
        <f t="shared" si="628"/>
        <v/>
      </c>
      <c r="Y966" s="266"/>
      <c r="Z966" s="158">
        <f t="shared" si="629"/>
        <v/>
      </c>
      <c r="AA966" s="160">
        <f t="shared" si="630"/>
        <v/>
      </c>
      <c r="AB966" s="160">
        <f>IF(R966="","",IFERROR(LOOKUP(INDEX(Справочная!$I$4:$I$19,MATCH(VLOOKUP(R966,Исходные_данные,22,FALSE),Справочная!$J$4:$J$19,0)+1),{6,10,16,20,25,32,40,50,63,80,100,125}),""))</f>
        <v/>
      </c>
      <c r="AC966" s="160">
        <f t="shared" si="631"/>
        <v/>
      </c>
      <c r="AD966" s="161">
        <f t="shared" si="632"/>
        <v/>
      </c>
      <c r="AE966" s="161">
        <f>IF(AND(R966="",G966=""),"",_xlfn.TEXTJOIN("; ",TRUE,IF(AND(R966&lt;&gt;"",V966=""),"нет фазы",""),IF(AND(R966&lt;&gt;"",N(T966)=0),"нет мощности",""),IF(AND(P966&lt;&gt;"",COUNTIFS($A$3:$A$1000,A966,$P$3:$P$1000,P966)&gt;1),"дубль клеммы "&amp;P966,""),IF(AND(W966&lt;&gt;"",W966&lt;&gt;"ok"),W966,""),IF(X966&lt;&gt;"",X966,""),IF(AND(ISNUMBER(SEARCH("(5х",Q966)),N(AK966)=1),"5 жил на 1 фазе",""),IF(AND(AL966="R",E966&lt;&gt;"",N(AS966)=0),"розетка без 30 мА",""),IF(IFERROR(_xlfn.NUMBERVALUE(MID(Q966,FIND("-",Q966,FIND("L=",Q966))+1,FIND("%",Q966)-FIND("-",Q966,FIND("L=",Q966))-1),","),0)&gt;4,"потери &gt; 4 %","")))</f>
      </c>
      <c r="AF966" s="129">
        <f>IF(E966&lt;&gt;"",COUNTIFS($A$3:A966,A966,$E$3:E966,"?*"),IF(OR(A966&lt;&gt;A965,Y966="вручную"),"",AF965))</f>
        <v/>
      </c>
      <c r="AG966" s="129">
        <f t="shared" si="633"/>
        <v/>
      </c>
      <c r="AH966" s="129">
        <f t="shared" si="634"/>
        <v/>
      </c>
      <c r="AI966" s="129">
        <f t="shared" si="635"/>
        <v/>
      </c>
      <c r="AJ966" s="129">
        <f t="shared" si="636"/>
        <v/>
      </c>
      <c r="AK966" s="129">
        <f t="shared" si="637"/>
        <v/>
      </c>
      <c r="AL966" s="129">
        <f t="shared" si="638"/>
        <v/>
      </c>
      <c r="AM966" s="129">
        <f t="shared" si="639"/>
      </c>
      <c r="AN966" s="129">
        <f t="shared" si="640"/>
      </c>
      <c r="AO966" s="129">
        <f t="shared" si="641"/>
        <v/>
      </c>
      <c r="AP966" s="129">
        <f t="shared" si="642"/>
        <v/>
      </c>
      <c r="AQ966" s="129">
        <f t="shared" si="643"/>
        <v/>
      </c>
      <c r="AR966" s="129">
        <f t="shared" si="644"/>
        <v/>
      </c>
      <c r="AS966" s="129">
        <f t="shared" si="645"/>
        <v/>
      </c>
      <c r="AT966" s="129">
        <f t="shared" si="646"/>
        <v/>
      </c>
      <c r="AU966" s="129">
        <f t="shared" si="647"/>
        <v/>
      </c>
      <c r="AV966" s="129">
        <f t="shared" si="648"/>
        <v/>
      </c>
      <c r="AW966" s="129">
        <f>IF(AV966="","",AV966&amp;"."&amp;COUNTIFS($A$3:A966,A966,$AV$3:AV966,AV966))</f>
        <v/>
      </c>
      <c r="AX966" s="129">
        <f t="shared" si="649"/>
        <v/>
      </c>
      <c r="AY966" s="129">
        <f>IF(N966="б/к",0,IF(OR(ISNUMBER(SEARCH("L=",Разбивка_по_щитам!P966)),N966="+",N966="="),1,0))</f>
      </c>
      <c r="AZ966" s="129">
        <f t="shared" si="650"/>
        <v/>
      </c>
      <c r="BA966" s="129">
        <f t="shared" si="651"/>
      </c>
      <c r="BB966" s="129">
        <f t="shared" si="652"/>
      </c>
      <c r="BD966" s="129">
        <f t="shared" si="653"/>
      </c>
      <c r="BE966" s="129">
        <f t="shared" si="654"/>
      </c>
      <c r="BF966" s="129">
        <f t="shared" si="655"/>
      </c>
      <c r="BG966" s="129">
        <f t="shared" si="656"/>
        <v/>
      </c>
      <c r="BH966" s="129">
        <f t="shared" si="657"/>
        <v/>
      </c>
      <c r="BI966" s="129">
        <f t="shared" si="658"/>
        <v/>
      </c>
      <c r="BJ966" s="129">
        <f t="shared" si="659"/>
        <v/>
      </c>
      <c r="BK966" s="129">
        <f>IF(R966="","",IF(OR(BY966="",BY966=0),"BOX",IFERROR(IF(VLOOKUP(BY966,УГО_блоки,3,FALSE)&amp;""&lt;&gt;"",VLOOKUP(BY966,УГО_блоки,3,FALSE),VLOOKUP(BY966,УГО_блоки,2,FALSE)),BY966)))</f>
      </c>
      <c r="BL966" s="129">
        <f t="shared" si="661"/>
      </c>
      <c r="BM966" s="129">
        <f>IF(H966="","",IF(COUNTIF($H$3:H966,H966)=1,MAX($BM$2:BM965)+1,""))</f>
      </c>
      <c r="BN966" s="129">
        <f>IF(I966="","",IF(COUNTIF($I$3:I966,I966)+COUNTIF($J$2:J965,I966)+COUNTIF($K$2:K965,I966)=1,MAX($BN$2:BP965)+1,""))</f>
      </c>
      <c r="BO966" s="129">
        <f>IF(J966="","",IF(COUNTIF($I$3:I966,J966)+COUNTIF($J$3:J966,J966)+COUNTIF($K$2:K965,J966)=1,MAX($BN$2:BP965,BN966)+1,""))</f>
      </c>
      <c r="BP966" s="129">
        <f>IF(K966="","",IF(COUNTIF($I$3:I966,K966)+COUNTIF($J$3:J966,K966)+COUNTIF($K$3:K966,K966)=1,MAX($BN$2:BP965,BN966,BO966)+1,""))</f>
      </c>
      <c r="BQ966" s="129">
        <f>IF(AY966=1,IFERROR(MID(Q966,FIND(" (",Q966)+2,FIND(")",Q966,FIND(" (",Q966))-FIND(" (",Q966)-2),"?"),"")</f>
      </c>
      <c r="BR966" s="129">
        <f>IF(BQ966="","",IF(COUNTIF($BQ$3:BQ966,BQ966)=1,MAX($BR$2:BR965)+1,""))</f>
      </c>
      <c r="BS966" s="129">
        <f>IF(AW966="","",COUNTIF($AW$3:AW966,"?*"))</f>
      </c>
      <c r="BT966" s="129">
        <f>IF(OR(AW966="",AI966=""),"",IF(COUNTIFS($AW$3:AW966,"?*",$AI$3:AI966,AI966)=1,MAX($BT$2:BT965)+1,""))</f>
      </c>
      <c r="BU966" s="129">
        <f>IF(AE966="",0,IF(OR(ISNUMBER(SEARCH("дубль",AE966)),ISNUMBER(SEARCH("ПЕРЕГРУЗ",AE966)),ISNUMBER(SEARCH("ЗАЩИЩ",AE966)),ISNUMBER(SEARCH("КАНАЛ",AE966)),ISNUMBER(SEARCH("без 30",AE966))),2,1))</f>
      </c>
      <c r="BV966" s="129">
        <f>IF(R966="","",COUNTIF($R$3:R966,"?*"))</f>
      </c>
      <c r="BW966" s="129">
        <f>IF(AY966&lt;&gt;1,0,IF(MAX(IFERROR(--VLOOKUP(R966,УГО_спр,5,FALSE),0),IFERROR(--VLOOKUP(AL966,УГО_спр,5,FALSE),0),IFERROR(--VLOOKUP(LEFT(AL966,2),УГО_спр,5,FALSE),0))&gt;0,MAX(IFERROR(--VLOOKUP(R966,УГО_спр,5,FALSE),0),IFERROR(--VLOOKUP(AL966,УГО_спр,5,FALSE),0),IFERROR(--VLOOKUP(LEFT(AL966,2),УГО_спр,5,FALSE),0)),IF(IFERROR(--LEFT(SUBSTITUTE(BQ966,"x","х"),FIND("х",SUBSTITUTE(BQ966,"x","х"))-1),3)&gt;3,Каталог!$S$9,1)))</f>
      </c>
      <c r="BX966" s="129">
        <f>IF(AY966&lt;&gt;1,0,MAX(0,IFERROR(--LEFT(SUBSTITUTE(BQ966,"x","х"),FIND("х",SUBSTITUTE(BQ966,"x","х"))-1),3)-3*BW966))</f>
      </c>
      <c r="BY966" s="129">
        <f>IF(R966="","",IFERROR(VLOOKUP(R966,УГО_спр,2,FALSE),IFERROR(VLOOKUP(AL966,УГО_спр,2,FALSE),IFERROR(VLOOKUP(LEFT(AL966,2),УГО_спр,2,FALSE),""))))</f>
      </c>
    </row>
    <row r="967" spans="1:64" x14ac:dyDescent="0.3">
      <c r="A967" s="135">
        <f>IF(Разбивка_по_щитам!F967=0,"",Разбивка_по_щитам!F967)</f>
        <v/>
      </c>
      <c r="B967" s="138">
        <f>IF(A967="","",Разбивка_по_щитам!C967)</f>
        <v/>
      </c>
      <c r="C967" s="138">
        <f t="shared" si="622"/>
        <v/>
      </c>
      <c r="D967" s="266"/>
      <c r="E967" s="266"/>
      <c r="F967" s="267"/>
      <c r="G967" s="145">
        <f t="shared" si="623"/>
        <v/>
      </c>
      <c r="H967" s="145">
        <f t="shared" si="624"/>
        <v/>
      </c>
      <c r="I967" s="266"/>
      <c r="J967" s="267"/>
      <c r="K967" s="267"/>
      <c r="L967" s="266"/>
      <c r="M967" s="147">
        <f t="shared" si="625"/>
        <v/>
      </c>
      <c r="N967" s="267"/>
      <c r="O967" s="147">
        <f t="shared" si="626"/>
        <v/>
      </c>
      <c r="P967" s="268">
        <f>IF(AY967=1,"XT"&amp;COUNTIFS($A$3:A967,A967,$AY$3:AY967,1),"")</f>
        <v/>
      </c>
      <c r="Q967" s="152">
        <f>IF(R967="","",IFERROR(SUBSTITUTE(Разбивка_по_щитам!P967,CHAR(10)," "),""))</f>
        <v/>
      </c>
      <c r="R967" s="153">
        <f>IF(OR(Разбивка_по_щитам!H967="",Разбивка_по_щитам!H967=0),"",Разбивка_по_щитам!H967)</f>
        <v/>
      </c>
      <c r="S967" s="154">
        <f>IF(R967="","",IFERROR(Разбивка_по_щитам!J967&amp;"",""))</f>
        <v/>
      </c>
      <c r="T967" s="155">
        <f>IF(R967="","",IFERROR(--Разбивка_по_щитам!L967,""))</f>
        <v/>
      </c>
      <c r="U967" s="155">
        <f>IF(R967="","",IFERROR(--Разбивка_по_щитам!K967,""))</f>
        <v/>
      </c>
      <c r="V967" s="138">
        <f>IF(R967="","",IFERROR(IF(Разбивка_по_щитам!M967=0,"",Разбивка_по_щитам!M967),""))</f>
        <v/>
      </c>
      <c r="W967" s="156">
        <f t="shared" si="627"/>
        <v/>
      </c>
      <c r="X967" s="157">
        <f t="shared" si="628"/>
        <v/>
      </c>
      <c r="Y967" s="266"/>
      <c r="Z967" s="158">
        <f t="shared" si="629"/>
        <v/>
      </c>
      <c r="AA967" s="160">
        <f t="shared" si="630"/>
        <v/>
      </c>
      <c r="AB967" s="160">
        <f>IF(R967="","",IFERROR(LOOKUP(INDEX(Справочная!$I$4:$I$19,MATCH(VLOOKUP(R967,Исходные_данные,22,FALSE),Справочная!$J$4:$J$19,0)+1),{6,10,16,20,25,32,40,50,63,80,100,125}),""))</f>
        <v/>
      </c>
      <c r="AC967" s="160">
        <f t="shared" si="631"/>
        <v/>
      </c>
      <c r="AD967" s="161">
        <f t="shared" si="632"/>
        <v/>
      </c>
      <c r="AE967" s="161">
        <f>IF(AND(R967="",G967=""),"",_xlfn.TEXTJOIN("; ",TRUE,IF(AND(R967&lt;&gt;"",V967=""),"нет фазы",""),IF(AND(R967&lt;&gt;"",N(T967)=0),"нет мощности",""),IF(AND(P967&lt;&gt;"",COUNTIFS($A$3:$A$1000,A967,$P$3:$P$1000,P967)&gt;1),"дубль клеммы "&amp;P967,""),IF(AND(W967&lt;&gt;"",W967&lt;&gt;"ok"),W967,""),IF(X967&lt;&gt;"",X967,""),IF(AND(ISNUMBER(SEARCH("(5х",Q967)),N(AK967)=1),"5 жил на 1 фазе",""),IF(AND(AL967="R",E967&lt;&gt;"",N(AS967)=0),"розетка без 30 мА",""),IF(IFERROR(_xlfn.NUMBERVALUE(MID(Q967,FIND("-",Q967,FIND("L=",Q967))+1,FIND("%",Q967)-FIND("-",Q967,FIND("L=",Q967))-1),","),0)&gt;4,"потери &gt; 4 %","")))</f>
      </c>
      <c r="AF967" s="129">
        <f>IF(E967&lt;&gt;"",COUNTIFS($A$3:A967,A967,$E$3:E967,"?*"),IF(OR(A967&lt;&gt;A966,Y967="вручную"),"",AF966))</f>
        <v/>
      </c>
      <c r="AG967" s="129">
        <f t="shared" si="633"/>
        <v/>
      </c>
      <c r="AH967" s="129">
        <f t="shared" si="634"/>
        <v/>
      </c>
      <c r="AI967" s="129">
        <f t="shared" si="635"/>
        <v/>
      </c>
      <c r="AJ967" s="129">
        <f t="shared" si="636"/>
        <v/>
      </c>
      <c r="AK967" s="129">
        <f t="shared" si="637"/>
        <v/>
      </c>
      <c r="AL967" s="129">
        <f t="shared" si="638"/>
        <v/>
      </c>
      <c r="AM967" s="129">
        <f t="shared" si="639"/>
      </c>
      <c r="AN967" s="129">
        <f t="shared" si="640"/>
      </c>
      <c r="AO967" s="129">
        <f t="shared" si="641"/>
        <v/>
      </c>
      <c r="AP967" s="129">
        <f t="shared" si="642"/>
        <v/>
      </c>
      <c r="AQ967" s="129">
        <f t="shared" si="643"/>
        <v/>
      </c>
      <c r="AR967" s="129">
        <f t="shared" si="644"/>
        <v/>
      </c>
      <c r="AS967" s="129">
        <f t="shared" si="645"/>
        <v/>
      </c>
      <c r="AT967" s="129">
        <f t="shared" si="646"/>
        <v/>
      </c>
      <c r="AU967" s="129">
        <f t="shared" si="647"/>
        <v/>
      </c>
      <c r="AV967" s="129">
        <f t="shared" si="648"/>
        <v/>
      </c>
      <c r="AW967" s="129">
        <f>IF(AV967="","",AV967&amp;"."&amp;COUNTIFS($A$3:A967,A967,$AV$3:AV967,AV967))</f>
        <v/>
      </c>
      <c r="AX967" s="129">
        <f t="shared" si="649"/>
        <v/>
      </c>
      <c r="AY967" s="129">
        <f>IF(N967="б/к",0,IF(OR(ISNUMBER(SEARCH("L=",Разбивка_по_щитам!P967)),N967="+",N967="="),1,0))</f>
      </c>
      <c r="AZ967" s="129">
        <f t="shared" si="650"/>
        <v/>
      </c>
      <c r="BA967" s="129">
        <f t="shared" si="651"/>
      </c>
      <c r="BB967" s="129">
        <f t="shared" si="652"/>
      </c>
      <c r="BD967" s="129">
        <f t="shared" si="653"/>
      </c>
      <c r="BE967" s="129">
        <f t="shared" si="654"/>
      </c>
      <c r="BF967" s="129">
        <f t="shared" si="655"/>
      </c>
      <c r="BG967" s="129">
        <f t="shared" si="656"/>
        <v/>
      </c>
      <c r="BH967" s="129">
        <f t="shared" si="657"/>
        <v/>
      </c>
      <c r="BI967" s="129">
        <f t="shared" si="658"/>
        <v/>
      </c>
      <c r="BJ967" s="129">
        <f t="shared" si="659"/>
        <v/>
      </c>
      <c r="BK967" s="129">
        <f>IF(R967="","",IF(OR(BY967="",BY967=0),"BOX",IFERROR(IF(VLOOKUP(BY967,УГО_блоки,3,FALSE)&amp;""&lt;&gt;"",VLOOKUP(BY967,УГО_блоки,3,FALSE),VLOOKUP(BY967,УГО_блоки,2,FALSE)),BY967)))</f>
      </c>
      <c r="BL967" s="129">
        <f t="shared" si="661"/>
      </c>
      <c r="BM967" s="129">
        <f>IF(H967="","",IF(COUNTIF($H$3:H967,H967)=1,MAX($BM$2:BM966)+1,""))</f>
      </c>
      <c r="BN967" s="129">
        <f>IF(I967="","",IF(COUNTIF($I$3:I967,I967)+COUNTIF($J$2:J966,I967)+COUNTIF($K$2:K966,I967)=1,MAX($BN$2:BP966)+1,""))</f>
      </c>
      <c r="BO967" s="129">
        <f>IF(J967="","",IF(COUNTIF($I$3:I967,J967)+COUNTIF($J$3:J967,J967)+COUNTIF($K$2:K966,J967)=1,MAX($BN$2:BP966,BN967)+1,""))</f>
      </c>
      <c r="BP967" s="129">
        <f>IF(K967="","",IF(COUNTIF($I$3:I967,K967)+COUNTIF($J$3:J967,K967)+COUNTIF($K$3:K967,K967)=1,MAX($BN$2:BP966,BN967,BO967)+1,""))</f>
      </c>
      <c r="BQ967" s="129">
        <f>IF(AY967=1,IFERROR(MID(Q967,FIND(" (",Q967)+2,FIND(")",Q967,FIND(" (",Q967))-FIND(" (",Q967)-2),"?"),"")</f>
      </c>
      <c r="BR967" s="129">
        <f>IF(BQ967="","",IF(COUNTIF($BQ$3:BQ967,BQ967)=1,MAX($BR$2:BR966)+1,""))</f>
      </c>
      <c r="BS967" s="129">
        <f>IF(AW967="","",COUNTIF($AW$3:AW967,"?*"))</f>
      </c>
      <c r="BT967" s="129">
        <f>IF(OR(AW967="",AI967=""),"",IF(COUNTIFS($AW$3:AW967,"?*",$AI$3:AI967,AI967)=1,MAX($BT$2:BT966)+1,""))</f>
      </c>
      <c r="BU967" s="129">
        <f>IF(AE967="",0,IF(OR(ISNUMBER(SEARCH("дубль",AE967)),ISNUMBER(SEARCH("ПЕРЕГРУЗ",AE967)),ISNUMBER(SEARCH("ЗАЩИЩ",AE967)),ISNUMBER(SEARCH("КАНАЛ",AE967)),ISNUMBER(SEARCH("без 30",AE967))),2,1))</f>
      </c>
      <c r="BV967" s="129">
        <f>IF(R967="","",COUNTIF($R$3:R967,"?*"))</f>
      </c>
      <c r="BW967" s="129">
        <f>IF(AY967&lt;&gt;1,0,IF(MAX(IFERROR(--VLOOKUP(R967,УГО_спр,5,FALSE),0),IFERROR(--VLOOKUP(AL967,УГО_спр,5,FALSE),0),IFERROR(--VLOOKUP(LEFT(AL967,2),УГО_спр,5,FALSE),0))&gt;0,MAX(IFERROR(--VLOOKUP(R967,УГО_спр,5,FALSE),0),IFERROR(--VLOOKUP(AL967,УГО_спр,5,FALSE),0),IFERROR(--VLOOKUP(LEFT(AL967,2),УГО_спр,5,FALSE),0)),IF(IFERROR(--LEFT(SUBSTITUTE(BQ967,"x","х"),FIND("х",SUBSTITUTE(BQ967,"x","х"))-1),3)&gt;3,Каталог!$S$9,1)))</f>
      </c>
      <c r="BX967" s="129">
        <f>IF(AY967&lt;&gt;1,0,MAX(0,IFERROR(--LEFT(SUBSTITUTE(BQ967,"x","х"),FIND("х",SUBSTITUTE(BQ967,"x","х"))-1),3)-3*BW967))</f>
      </c>
      <c r="BY967" s="129">
        <f>IF(R967="","",IFERROR(VLOOKUP(R967,УГО_спр,2,FALSE),IFERROR(VLOOKUP(AL967,УГО_спр,2,FALSE),IFERROR(VLOOKUP(LEFT(AL967,2),УГО_спр,2,FALSE),""))))</f>
      </c>
    </row>
    <row r="968" spans="1:64" x14ac:dyDescent="0.3">
      <c r="A968" s="135">
        <f>IF(Разбивка_по_щитам!F968=0,"",Разбивка_по_щитам!F968)</f>
        <v/>
      </c>
      <c r="B968" s="138">
        <f>IF(A968="","",Разбивка_по_щитам!C968)</f>
        <v/>
      </c>
      <c r="C968" s="138">
        <f t="shared" si="622"/>
        <v/>
      </c>
      <c r="D968" s="266"/>
      <c r="E968" s="266"/>
      <c r="F968" s="267"/>
      <c r="G968" s="145">
        <f t="shared" si="623"/>
        <v/>
      </c>
      <c r="H968" s="145">
        <f t="shared" si="624"/>
        <v/>
      </c>
      <c r="I968" s="266"/>
      <c r="J968" s="267"/>
      <c r="K968" s="267"/>
      <c r="L968" s="266"/>
      <c r="M968" s="147">
        <f t="shared" si="625"/>
        <v/>
      </c>
      <c r="N968" s="267"/>
      <c r="O968" s="147">
        <f t="shared" si="626"/>
        <v/>
      </c>
      <c r="P968" s="268">
        <f>IF(AY968=1,"XT"&amp;COUNTIFS($A$3:A968,A968,$AY$3:AY968,1),"")</f>
        <v/>
      </c>
      <c r="Q968" s="152">
        <f>IF(R968="","",IFERROR(SUBSTITUTE(Разбивка_по_щитам!P968,CHAR(10)," "),""))</f>
        <v/>
      </c>
      <c r="R968" s="153">
        <f>IF(OR(Разбивка_по_щитам!H968="",Разбивка_по_щитам!H968=0),"",Разбивка_по_щитам!H968)</f>
        <v/>
      </c>
      <c r="S968" s="154">
        <f>IF(R968="","",IFERROR(Разбивка_по_щитам!J968&amp;"",""))</f>
        <v/>
      </c>
      <c r="T968" s="155">
        <f>IF(R968="","",IFERROR(--Разбивка_по_щитам!L968,""))</f>
        <v/>
      </c>
      <c r="U968" s="155">
        <f>IF(R968="","",IFERROR(--Разбивка_по_щитам!K968,""))</f>
        <v/>
      </c>
      <c r="V968" s="138">
        <f>IF(R968="","",IFERROR(IF(Разбивка_по_щитам!M968=0,"",Разбивка_по_щитам!M968),""))</f>
        <v/>
      </c>
      <c r="W968" s="156">
        <f t="shared" si="627"/>
        <v/>
      </c>
      <c r="X968" s="157">
        <f t="shared" si="628"/>
        <v/>
      </c>
      <c r="Y968" s="266"/>
      <c r="Z968" s="158">
        <f t="shared" si="629"/>
        <v/>
      </c>
      <c r="AA968" s="160">
        <f t="shared" si="630"/>
        <v/>
      </c>
      <c r="AB968" s="160">
        <f>IF(R968="","",IFERROR(LOOKUP(INDEX(Справочная!$I$4:$I$19,MATCH(VLOOKUP(R968,Исходные_данные,22,FALSE),Справочная!$J$4:$J$19,0)+1),{6,10,16,20,25,32,40,50,63,80,100,125}),""))</f>
        <v/>
      </c>
      <c r="AC968" s="160">
        <f t="shared" si="631"/>
        <v/>
      </c>
      <c r="AD968" s="161">
        <f t="shared" si="632"/>
        <v/>
      </c>
      <c r="AE968" s="161">
        <f>IF(AND(R968="",G968=""),"",_xlfn.TEXTJOIN("; ",TRUE,IF(AND(R968&lt;&gt;"",V968=""),"нет фазы",""),IF(AND(R968&lt;&gt;"",N(T968)=0),"нет мощности",""),IF(AND(P968&lt;&gt;"",COUNTIFS($A$3:$A$1000,A968,$P$3:$P$1000,P968)&gt;1),"дубль клеммы "&amp;P968,""),IF(AND(W968&lt;&gt;"",W968&lt;&gt;"ok"),W968,""),IF(X968&lt;&gt;"",X968,""),IF(AND(ISNUMBER(SEARCH("(5х",Q968)),N(AK968)=1),"5 жил на 1 фазе",""),IF(AND(AL968="R",E968&lt;&gt;"",N(AS968)=0),"розетка без 30 мА",""),IF(IFERROR(_xlfn.NUMBERVALUE(MID(Q968,FIND("-",Q968,FIND("L=",Q968))+1,FIND("%",Q968)-FIND("-",Q968,FIND("L=",Q968))-1),","),0)&gt;4,"потери &gt; 4 %","")))</f>
      </c>
      <c r="AF968" s="129">
        <f>IF(E968&lt;&gt;"",COUNTIFS($A$3:A968,A968,$E$3:E968,"?*"),IF(OR(A968&lt;&gt;A967,Y968="вручную"),"",AF967))</f>
        <v/>
      </c>
      <c r="AG968" s="129">
        <f t="shared" si="633"/>
        <v/>
      </c>
      <c r="AH968" s="129">
        <f t="shared" si="634"/>
        <v/>
      </c>
      <c r="AI968" s="129">
        <f t="shared" si="635"/>
        <v/>
      </c>
      <c r="AJ968" s="129">
        <f t="shared" si="636"/>
        <v/>
      </c>
      <c r="AK968" s="129">
        <f t="shared" si="637"/>
        <v/>
      </c>
      <c r="AL968" s="129">
        <f t="shared" si="638"/>
        <v/>
      </c>
      <c r="AM968" s="129">
        <f t="shared" si="639"/>
      </c>
      <c r="AN968" s="129">
        <f t="shared" si="640"/>
      </c>
      <c r="AO968" s="129">
        <f t="shared" si="641"/>
        <v/>
      </c>
      <c r="AP968" s="129">
        <f t="shared" si="642"/>
        <v/>
      </c>
      <c r="AQ968" s="129">
        <f t="shared" si="643"/>
        <v/>
      </c>
      <c r="AR968" s="129">
        <f t="shared" si="644"/>
        <v/>
      </c>
      <c r="AS968" s="129">
        <f t="shared" si="645"/>
        <v/>
      </c>
      <c r="AT968" s="129">
        <f t="shared" si="646"/>
        <v/>
      </c>
      <c r="AU968" s="129">
        <f t="shared" si="647"/>
        <v/>
      </c>
      <c r="AV968" s="129">
        <f t="shared" si="648"/>
        <v/>
      </c>
      <c r="AW968" s="129">
        <f>IF(AV968="","",AV968&amp;"."&amp;COUNTIFS($A$3:A968,A968,$AV$3:AV968,AV968))</f>
        <v/>
      </c>
      <c r="AX968" s="129">
        <f t="shared" si="649"/>
        <v/>
      </c>
      <c r="AY968" s="129">
        <f>IF(N968="б/к",0,IF(OR(ISNUMBER(SEARCH("L=",Разбивка_по_щитам!P968)),N968="+",N968="="),1,0))</f>
      </c>
      <c r="AZ968" s="129">
        <f t="shared" si="650"/>
        <v/>
      </c>
      <c r="BA968" s="129">
        <f t="shared" si="651"/>
      </c>
      <c r="BB968" s="129">
        <f t="shared" si="652"/>
      </c>
      <c r="BD968" s="129">
        <f t="shared" si="653"/>
      </c>
      <c r="BE968" s="129">
        <f t="shared" si="654"/>
      </c>
      <c r="BF968" s="129">
        <f t="shared" si="655"/>
      </c>
      <c r="BG968" s="129">
        <f t="shared" si="656"/>
        <v/>
      </c>
      <c r="BH968" s="129">
        <f t="shared" si="657"/>
        <v/>
      </c>
      <c r="BI968" s="129">
        <f t="shared" si="658"/>
        <v/>
      </c>
      <c r="BJ968" s="129">
        <f t="shared" si="659"/>
        <v/>
      </c>
      <c r="BK968" s="129">
        <f>IF(R968="","",IF(OR(BY968="",BY968=0),"BOX",IFERROR(IF(VLOOKUP(BY968,УГО_блоки,3,FALSE)&amp;""&lt;&gt;"",VLOOKUP(BY968,УГО_блоки,3,FALSE),VLOOKUP(BY968,УГО_блоки,2,FALSE)),BY968)))</f>
      </c>
      <c r="BL968" s="129">
        <f t="shared" si="661"/>
      </c>
      <c r="BM968" s="129">
        <f>IF(H968="","",IF(COUNTIF($H$3:H968,H968)=1,MAX($BM$2:BM967)+1,""))</f>
      </c>
      <c r="BN968" s="129">
        <f>IF(I968="","",IF(COUNTIF($I$3:I968,I968)+COUNTIF($J$2:J967,I968)+COUNTIF($K$2:K967,I968)=1,MAX($BN$2:BP967)+1,""))</f>
      </c>
      <c r="BO968" s="129">
        <f>IF(J968="","",IF(COUNTIF($I$3:I968,J968)+COUNTIF($J$3:J968,J968)+COUNTIF($K$2:K967,J968)=1,MAX($BN$2:BP967,BN968)+1,""))</f>
      </c>
      <c r="BP968" s="129">
        <f>IF(K968="","",IF(COUNTIF($I$3:I968,K968)+COUNTIF($J$3:J968,K968)+COUNTIF($K$3:K968,K968)=1,MAX($BN$2:BP967,BN968,BO968)+1,""))</f>
      </c>
      <c r="BQ968" s="129">
        <f>IF(AY968=1,IFERROR(MID(Q968,FIND(" (",Q968)+2,FIND(")",Q968,FIND(" (",Q968))-FIND(" (",Q968)-2),"?"),"")</f>
      </c>
      <c r="BR968" s="129">
        <f>IF(BQ968="","",IF(COUNTIF($BQ$3:BQ968,BQ968)=1,MAX($BR$2:BR967)+1,""))</f>
      </c>
      <c r="BS968" s="129">
        <f>IF(AW968="","",COUNTIF($AW$3:AW968,"?*"))</f>
      </c>
      <c r="BT968" s="129">
        <f>IF(OR(AW968="",AI968=""),"",IF(COUNTIFS($AW$3:AW968,"?*",$AI$3:AI968,AI968)=1,MAX($BT$2:BT967)+1,""))</f>
      </c>
      <c r="BU968" s="129">
        <f>IF(AE968="",0,IF(OR(ISNUMBER(SEARCH("дубль",AE968)),ISNUMBER(SEARCH("ПЕРЕГРУЗ",AE968)),ISNUMBER(SEARCH("ЗАЩИЩ",AE968)),ISNUMBER(SEARCH("КАНАЛ",AE968)),ISNUMBER(SEARCH("без 30",AE968))),2,1))</f>
      </c>
      <c r="BV968" s="129">
        <f>IF(R968="","",COUNTIF($R$3:R968,"?*"))</f>
      </c>
      <c r="BW968" s="129">
        <f>IF(AY968&lt;&gt;1,0,IF(MAX(IFERROR(--VLOOKUP(R968,УГО_спр,5,FALSE),0),IFERROR(--VLOOKUP(AL968,УГО_спр,5,FALSE),0),IFERROR(--VLOOKUP(LEFT(AL968,2),УГО_спр,5,FALSE),0))&gt;0,MAX(IFERROR(--VLOOKUP(R968,УГО_спр,5,FALSE),0),IFERROR(--VLOOKUP(AL968,УГО_спр,5,FALSE),0),IFERROR(--VLOOKUP(LEFT(AL968,2),УГО_спр,5,FALSE),0)),IF(IFERROR(--LEFT(SUBSTITUTE(BQ968,"x","х"),FIND("х",SUBSTITUTE(BQ968,"x","х"))-1),3)&gt;3,Каталог!$S$9,1)))</f>
      </c>
      <c r="BX968" s="129">
        <f>IF(AY968&lt;&gt;1,0,MAX(0,IFERROR(--LEFT(SUBSTITUTE(BQ968,"x","х"),FIND("х",SUBSTITUTE(BQ968,"x","х"))-1),3)-3*BW968))</f>
      </c>
      <c r="BY968" s="129">
        <f>IF(R968="","",IFERROR(VLOOKUP(R968,УГО_спр,2,FALSE),IFERROR(VLOOKUP(AL968,УГО_спр,2,FALSE),IFERROR(VLOOKUP(LEFT(AL968,2),УГО_спр,2,FALSE),""))))</f>
      </c>
    </row>
    <row r="969" spans="1:64" x14ac:dyDescent="0.3">
      <c r="A969" s="135">
        <f>IF(Разбивка_по_щитам!F969=0,"",Разбивка_по_щитам!F969)</f>
        <v/>
      </c>
      <c r="B969" s="138">
        <f>IF(A969="","",Разбивка_по_щитам!C969)</f>
        <v/>
      </c>
      <c r="C969" s="138">
        <f t="shared" si="622"/>
        <v/>
      </c>
      <c r="D969" s="266"/>
      <c r="E969" s="266"/>
      <c r="F969" s="267"/>
      <c r="G969" s="145">
        <f t="shared" si="623"/>
        <v/>
      </c>
      <c r="H969" s="145">
        <f t="shared" si="624"/>
        <v/>
      </c>
      <c r="I969" s="266"/>
      <c r="J969" s="267"/>
      <c r="K969" s="267"/>
      <c r="L969" s="266"/>
      <c r="M969" s="147">
        <f t="shared" si="625"/>
        <v/>
      </c>
      <c r="N969" s="267"/>
      <c r="O969" s="147">
        <f t="shared" si="626"/>
        <v/>
      </c>
      <c r="P969" s="268">
        <f>IF(AY969=1,"XT"&amp;COUNTIFS($A$3:A969,A969,$AY$3:AY969,1),"")</f>
        <v/>
      </c>
      <c r="Q969" s="152">
        <f>IF(R969="","",IFERROR(SUBSTITUTE(Разбивка_по_щитам!P969,CHAR(10)," "),""))</f>
        <v/>
      </c>
      <c r="R969" s="153">
        <f>IF(OR(Разбивка_по_щитам!H969="",Разбивка_по_щитам!H969=0),"",Разбивка_по_щитам!H969)</f>
        <v/>
      </c>
      <c r="S969" s="154">
        <f>IF(R969="","",IFERROR(Разбивка_по_щитам!J969&amp;"",""))</f>
        <v/>
      </c>
      <c r="T969" s="155">
        <f>IF(R969="","",IFERROR(--Разбивка_по_щитам!L969,""))</f>
        <v/>
      </c>
      <c r="U969" s="155">
        <f>IF(R969="","",IFERROR(--Разбивка_по_щитам!K969,""))</f>
        <v/>
      </c>
      <c r="V969" s="138">
        <f>IF(R969="","",IFERROR(IF(Разбивка_по_щитам!M969=0,"",Разбивка_по_щитам!M969),""))</f>
        <v/>
      </c>
      <c r="W969" s="156">
        <f t="shared" si="627"/>
        <v/>
      </c>
      <c r="X969" s="157">
        <f t="shared" si="628"/>
        <v/>
      </c>
      <c r="Y969" s="266"/>
      <c r="Z969" s="158">
        <f t="shared" si="629"/>
        <v/>
      </c>
      <c r="AA969" s="160">
        <f t="shared" si="630"/>
        <v/>
      </c>
      <c r="AB969" s="160">
        <f>IF(R969="","",IFERROR(LOOKUP(INDEX(Справочная!$I$4:$I$19,MATCH(VLOOKUP(R969,Исходные_данные,22,FALSE),Справочная!$J$4:$J$19,0)+1),{6,10,16,20,25,32,40,50,63,80,100,125}),""))</f>
        <v/>
      </c>
      <c r="AC969" s="160">
        <f t="shared" si="631"/>
        <v/>
      </c>
      <c r="AD969" s="161">
        <f t="shared" si="632"/>
        <v/>
      </c>
      <c r="AE969" s="161">
        <f>IF(AND(R969="",G969=""),"",_xlfn.TEXTJOIN("; ",TRUE,IF(AND(R969&lt;&gt;"",V969=""),"нет фазы",""),IF(AND(R969&lt;&gt;"",N(T969)=0),"нет мощности",""),IF(AND(P969&lt;&gt;"",COUNTIFS($A$3:$A$1000,A969,$P$3:$P$1000,P969)&gt;1),"дубль клеммы "&amp;P969,""),IF(AND(W969&lt;&gt;"",W969&lt;&gt;"ok"),W969,""),IF(X969&lt;&gt;"",X969,""),IF(AND(ISNUMBER(SEARCH("(5х",Q969)),N(AK969)=1),"5 жил на 1 фазе",""),IF(AND(AL969="R",E969&lt;&gt;"",N(AS969)=0),"розетка без 30 мА",""),IF(IFERROR(_xlfn.NUMBERVALUE(MID(Q969,FIND("-",Q969,FIND("L=",Q969))+1,FIND("%",Q969)-FIND("-",Q969,FIND("L=",Q969))-1),","),0)&gt;4,"потери &gt; 4 %","")))</f>
      </c>
      <c r="AF969" s="129">
        <f>IF(E969&lt;&gt;"",COUNTIFS($A$3:A969,A969,$E$3:E969,"?*"),IF(OR(A969&lt;&gt;A968,Y969="вручную"),"",AF968))</f>
        <v/>
      </c>
      <c r="AG969" s="129">
        <f t="shared" si="633"/>
        <v/>
      </c>
      <c r="AH969" s="129">
        <f t="shared" si="634"/>
        <v/>
      </c>
      <c r="AI969" s="129">
        <f t="shared" si="635"/>
        <v/>
      </c>
      <c r="AJ969" s="129">
        <f t="shared" si="636"/>
        <v/>
      </c>
      <c r="AK969" s="129">
        <f t="shared" si="637"/>
        <v/>
      </c>
      <c r="AL969" s="129">
        <f t="shared" si="638"/>
        <v/>
      </c>
      <c r="AM969" s="129">
        <f t="shared" si="639"/>
      </c>
      <c r="AN969" s="129">
        <f t="shared" si="640"/>
      </c>
      <c r="AO969" s="129">
        <f t="shared" si="641"/>
        <v/>
      </c>
      <c r="AP969" s="129">
        <f t="shared" si="642"/>
        <v/>
      </c>
      <c r="AQ969" s="129">
        <f t="shared" si="643"/>
        <v/>
      </c>
      <c r="AR969" s="129">
        <f t="shared" si="644"/>
        <v/>
      </c>
      <c r="AS969" s="129">
        <f t="shared" si="645"/>
        <v/>
      </c>
      <c r="AT969" s="129">
        <f t="shared" si="646"/>
        <v/>
      </c>
      <c r="AU969" s="129">
        <f t="shared" si="647"/>
        <v/>
      </c>
      <c r="AV969" s="129">
        <f t="shared" si="648"/>
        <v/>
      </c>
      <c r="AW969" s="129">
        <f>IF(AV969="","",AV969&amp;"."&amp;COUNTIFS($A$3:A969,A969,$AV$3:AV969,AV969))</f>
        <v/>
      </c>
      <c r="AX969" s="129">
        <f t="shared" si="649"/>
        <v/>
      </c>
      <c r="AY969" s="129">
        <f>IF(N969="б/к",0,IF(OR(ISNUMBER(SEARCH("L=",Разбивка_по_щитам!P969)),N969="+",N969="="),1,0))</f>
      </c>
      <c r="AZ969" s="129">
        <f t="shared" si="650"/>
        <v/>
      </c>
      <c r="BA969" s="129">
        <f t="shared" si="651"/>
      </c>
      <c r="BB969" s="129">
        <f t="shared" si="652"/>
      </c>
      <c r="BD969" s="129">
        <f t="shared" si="653"/>
      </c>
      <c r="BE969" s="129">
        <f t="shared" si="654"/>
      </c>
      <c r="BF969" s="129">
        <f t="shared" si="655"/>
      </c>
      <c r="BG969" s="129">
        <f t="shared" si="656"/>
        <v/>
      </c>
      <c r="BH969" s="129">
        <f t="shared" si="657"/>
        <v/>
      </c>
      <c r="BI969" s="129">
        <f t="shared" si="658"/>
        <v/>
      </c>
      <c r="BJ969" s="129">
        <f t="shared" si="659"/>
        <v/>
      </c>
      <c r="BK969" s="129">
        <f>IF(R969="","",IF(OR(BY969="",BY969=0),"BOX",IFERROR(IF(VLOOKUP(BY969,УГО_блоки,3,FALSE)&amp;""&lt;&gt;"",VLOOKUP(BY969,УГО_блоки,3,FALSE),VLOOKUP(BY969,УГО_блоки,2,FALSE)),BY969)))</f>
      </c>
      <c r="BL969" s="129">
        <f t="shared" si="661"/>
      </c>
      <c r="BM969" s="129">
        <f>IF(H969="","",IF(COUNTIF($H$3:H969,H969)=1,MAX($BM$2:BM968)+1,""))</f>
      </c>
      <c r="BN969" s="129">
        <f>IF(I969="","",IF(COUNTIF($I$3:I969,I969)+COUNTIF($J$2:J968,I969)+COUNTIF($K$2:K968,I969)=1,MAX($BN$2:BP968)+1,""))</f>
      </c>
      <c r="BO969" s="129">
        <f>IF(J969="","",IF(COUNTIF($I$3:I969,J969)+COUNTIF($J$3:J969,J969)+COUNTIF($K$2:K968,J969)=1,MAX($BN$2:BP968,BN969)+1,""))</f>
      </c>
      <c r="BP969" s="129">
        <f>IF(K969="","",IF(COUNTIF($I$3:I969,K969)+COUNTIF($J$3:J969,K969)+COUNTIF($K$3:K969,K969)=1,MAX($BN$2:BP968,BN969,BO969)+1,""))</f>
      </c>
      <c r="BQ969" s="129">
        <f>IF(AY969=1,IFERROR(MID(Q969,FIND(" (",Q969)+2,FIND(")",Q969,FIND(" (",Q969))-FIND(" (",Q969)-2),"?"),"")</f>
      </c>
      <c r="BR969" s="129">
        <f>IF(BQ969="","",IF(COUNTIF($BQ$3:BQ969,BQ969)=1,MAX($BR$2:BR968)+1,""))</f>
      </c>
      <c r="BS969" s="129">
        <f>IF(AW969="","",COUNTIF($AW$3:AW969,"?*"))</f>
      </c>
      <c r="BT969" s="129">
        <f>IF(OR(AW969="",AI969=""),"",IF(COUNTIFS($AW$3:AW969,"?*",$AI$3:AI969,AI969)=1,MAX($BT$2:BT968)+1,""))</f>
      </c>
      <c r="BU969" s="129">
        <f>IF(AE969="",0,IF(OR(ISNUMBER(SEARCH("дубль",AE969)),ISNUMBER(SEARCH("ПЕРЕГРУЗ",AE969)),ISNUMBER(SEARCH("ЗАЩИЩ",AE969)),ISNUMBER(SEARCH("КАНАЛ",AE969)),ISNUMBER(SEARCH("без 30",AE969))),2,1))</f>
      </c>
      <c r="BV969" s="129">
        <f>IF(R969="","",COUNTIF($R$3:R969,"?*"))</f>
      </c>
      <c r="BW969" s="129">
        <f>IF(AY969&lt;&gt;1,0,IF(MAX(IFERROR(--VLOOKUP(R969,УГО_спр,5,FALSE),0),IFERROR(--VLOOKUP(AL969,УГО_спр,5,FALSE),0),IFERROR(--VLOOKUP(LEFT(AL969,2),УГО_спр,5,FALSE),0))&gt;0,MAX(IFERROR(--VLOOKUP(R969,УГО_спр,5,FALSE),0),IFERROR(--VLOOKUP(AL969,УГО_спр,5,FALSE),0),IFERROR(--VLOOKUP(LEFT(AL969,2),УГО_спр,5,FALSE),0)),IF(IFERROR(--LEFT(SUBSTITUTE(BQ969,"x","х"),FIND("х",SUBSTITUTE(BQ969,"x","х"))-1),3)&gt;3,Каталог!$S$9,1)))</f>
      </c>
      <c r="BX969" s="129">
        <f>IF(AY969&lt;&gt;1,0,MAX(0,IFERROR(--LEFT(SUBSTITUTE(BQ969,"x","х"),FIND("х",SUBSTITUTE(BQ969,"x","х"))-1),3)-3*BW969))</f>
      </c>
      <c r="BY969" s="129">
        <f>IF(R969="","",IFERROR(VLOOKUP(R969,УГО_спр,2,FALSE),IFERROR(VLOOKUP(AL969,УГО_спр,2,FALSE),IFERROR(VLOOKUP(LEFT(AL969,2),УГО_спр,2,FALSE),""))))</f>
      </c>
    </row>
    <row r="970" spans="1:64" x14ac:dyDescent="0.3">
      <c r="A970" s="135">
        <f>IF(Разбивка_по_щитам!F970=0,"",Разбивка_по_щитам!F970)</f>
        <v/>
      </c>
      <c r="B970" s="138">
        <f>IF(A970="","",Разбивка_по_щитам!C970)</f>
        <v/>
      </c>
      <c r="C970" s="138">
        <f t="shared" si="622"/>
        <v/>
      </c>
      <c r="D970" s="266"/>
      <c r="E970" s="266"/>
      <c r="F970" s="267"/>
      <c r="G970" s="145">
        <f t="shared" si="623"/>
        <v/>
      </c>
      <c r="H970" s="145">
        <f t="shared" si="624"/>
        <v/>
      </c>
      <c r="I970" s="266"/>
      <c r="J970" s="267"/>
      <c r="K970" s="267"/>
      <c r="L970" s="266"/>
      <c r="M970" s="147">
        <f t="shared" si="625"/>
        <v/>
      </c>
      <c r="N970" s="267"/>
      <c r="O970" s="147">
        <f t="shared" si="626"/>
        <v/>
      </c>
      <c r="P970" s="268">
        <f>IF(AY970=1,"XT"&amp;COUNTIFS($A$3:A970,A970,$AY$3:AY970,1),"")</f>
        <v/>
      </c>
      <c r="Q970" s="152">
        <f>IF(R970="","",IFERROR(SUBSTITUTE(Разбивка_по_щитам!P970,CHAR(10)," "),""))</f>
        <v/>
      </c>
      <c r="R970" s="153">
        <f>IF(OR(Разбивка_по_щитам!H970="",Разбивка_по_щитам!H970=0),"",Разбивка_по_щитам!H970)</f>
        <v/>
      </c>
      <c r="S970" s="154">
        <f>IF(R970="","",IFERROR(Разбивка_по_щитам!J970&amp;"",""))</f>
        <v/>
      </c>
      <c r="T970" s="155">
        <f>IF(R970="","",IFERROR(--Разбивка_по_щитам!L970,""))</f>
        <v/>
      </c>
      <c r="U970" s="155">
        <f>IF(R970="","",IFERROR(--Разбивка_по_щитам!K970,""))</f>
        <v/>
      </c>
      <c r="V970" s="138">
        <f>IF(R970="","",IFERROR(IF(Разбивка_по_щитам!M970=0,"",Разбивка_по_щитам!M970),""))</f>
        <v/>
      </c>
      <c r="W970" s="156">
        <f t="shared" si="627"/>
        <v/>
      </c>
      <c r="X970" s="157">
        <f t="shared" si="628"/>
        <v/>
      </c>
      <c r="Y970" s="266"/>
      <c r="Z970" s="158">
        <f t="shared" si="629"/>
        <v/>
      </c>
      <c r="AA970" s="160">
        <f t="shared" si="630"/>
        <v/>
      </c>
      <c r="AB970" s="160">
        <f>IF(R970="","",IFERROR(LOOKUP(INDEX(Справочная!$I$4:$I$19,MATCH(VLOOKUP(R970,Исходные_данные,22,FALSE),Справочная!$J$4:$J$19,0)+1),{6,10,16,20,25,32,40,50,63,80,100,125}),""))</f>
        <v/>
      </c>
      <c r="AC970" s="160">
        <f t="shared" si="631"/>
        <v/>
      </c>
      <c r="AD970" s="161">
        <f t="shared" si="632"/>
        <v/>
      </c>
      <c r="AE970" s="161">
        <f>IF(AND(R970="",G970=""),"",_xlfn.TEXTJOIN("; ",TRUE,IF(AND(R970&lt;&gt;"",V970=""),"нет фазы",""),IF(AND(R970&lt;&gt;"",N(T970)=0),"нет мощности",""),IF(AND(P970&lt;&gt;"",COUNTIFS($A$3:$A$1000,A970,$P$3:$P$1000,P970)&gt;1),"дубль клеммы "&amp;P970,""),IF(AND(W970&lt;&gt;"",W970&lt;&gt;"ok"),W970,""),IF(X970&lt;&gt;"",X970,""),IF(AND(ISNUMBER(SEARCH("(5х",Q970)),N(AK970)=1),"5 жил на 1 фазе",""),IF(AND(AL970="R",E970&lt;&gt;"",N(AS970)=0),"розетка без 30 мА",""),IF(IFERROR(_xlfn.NUMBERVALUE(MID(Q970,FIND("-",Q970,FIND("L=",Q970))+1,FIND("%",Q970)-FIND("-",Q970,FIND("L=",Q970))-1),","),0)&gt;4,"потери &gt; 4 %","")))</f>
      </c>
      <c r="AF970" s="129">
        <f>IF(E970&lt;&gt;"",COUNTIFS($A$3:A970,A970,$E$3:E970,"?*"),IF(OR(A970&lt;&gt;A969,Y970="вручную"),"",AF969))</f>
        <v/>
      </c>
      <c r="AG970" s="129">
        <f t="shared" si="633"/>
        <v/>
      </c>
      <c r="AH970" s="129">
        <f t="shared" si="634"/>
        <v/>
      </c>
      <c r="AI970" s="129">
        <f t="shared" si="635"/>
        <v/>
      </c>
      <c r="AJ970" s="129">
        <f t="shared" si="636"/>
        <v/>
      </c>
      <c r="AK970" s="129">
        <f t="shared" si="637"/>
        <v/>
      </c>
      <c r="AL970" s="129">
        <f t="shared" si="638"/>
        <v/>
      </c>
      <c r="AM970" s="129">
        <f t="shared" si="639"/>
      </c>
      <c r="AN970" s="129">
        <f t="shared" si="640"/>
      </c>
      <c r="AO970" s="129">
        <f t="shared" si="641"/>
        <v/>
      </c>
      <c r="AP970" s="129">
        <f t="shared" si="642"/>
        <v/>
      </c>
      <c r="AQ970" s="129">
        <f t="shared" si="643"/>
        <v/>
      </c>
      <c r="AR970" s="129">
        <f t="shared" si="644"/>
        <v/>
      </c>
      <c r="AS970" s="129">
        <f t="shared" si="645"/>
        <v/>
      </c>
      <c r="AT970" s="129">
        <f t="shared" si="646"/>
        <v/>
      </c>
      <c r="AU970" s="129">
        <f t="shared" si="647"/>
        <v/>
      </c>
      <c r="AV970" s="129">
        <f t="shared" si="648"/>
        <v/>
      </c>
      <c r="AW970" s="129">
        <f>IF(AV970="","",AV970&amp;"."&amp;COUNTIFS($A$3:A970,A970,$AV$3:AV970,AV970))</f>
        <v/>
      </c>
      <c r="AX970" s="129">
        <f t="shared" si="649"/>
        <v/>
      </c>
      <c r="AY970" s="129">
        <f>IF(N970="б/к",0,IF(OR(ISNUMBER(SEARCH("L=",Разбивка_по_щитам!P970)),N970="+",N970="="),1,0))</f>
      </c>
      <c r="AZ970" s="129">
        <f t="shared" si="650"/>
        <v/>
      </c>
      <c r="BA970" s="129">
        <f t="shared" si="651"/>
      </c>
      <c r="BB970" s="129">
        <f t="shared" si="652"/>
      </c>
      <c r="BD970" s="129">
        <f t="shared" si="653"/>
      </c>
      <c r="BE970" s="129">
        <f t="shared" si="654"/>
      </c>
      <c r="BF970" s="129">
        <f t="shared" si="655"/>
      </c>
      <c r="BG970" s="129">
        <f t="shared" si="656"/>
        <v/>
      </c>
      <c r="BH970" s="129">
        <f t="shared" si="657"/>
        <v/>
      </c>
      <c r="BI970" s="129">
        <f t="shared" si="658"/>
        <v/>
      </c>
      <c r="BJ970" s="129">
        <f t="shared" si="659"/>
        <v/>
      </c>
      <c r="BK970" s="129">
        <f>IF(R970="","",IF(OR(BY970="",BY970=0),"BOX",IFERROR(IF(VLOOKUP(BY970,УГО_блоки,3,FALSE)&amp;""&lt;&gt;"",VLOOKUP(BY970,УГО_блоки,3,FALSE),VLOOKUP(BY970,УГО_блоки,2,FALSE)),BY970)))</f>
      </c>
      <c r="BL970" s="129">
        <f t="shared" si="661"/>
      </c>
      <c r="BM970" s="129">
        <f>IF(H970="","",IF(COUNTIF($H$3:H970,H970)=1,MAX($BM$2:BM969)+1,""))</f>
      </c>
      <c r="BN970" s="129">
        <f>IF(I970="","",IF(COUNTIF($I$3:I970,I970)+COUNTIF($J$2:J969,I970)+COUNTIF($K$2:K969,I970)=1,MAX($BN$2:BP969)+1,""))</f>
      </c>
      <c r="BO970" s="129">
        <f>IF(J970="","",IF(COUNTIF($I$3:I970,J970)+COUNTIF($J$3:J970,J970)+COUNTIF($K$2:K969,J970)=1,MAX($BN$2:BP969,BN970)+1,""))</f>
      </c>
      <c r="BP970" s="129">
        <f>IF(K970="","",IF(COUNTIF($I$3:I970,K970)+COUNTIF($J$3:J970,K970)+COUNTIF($K$3:K970,K970)=1,MAX($BN$2:BP969,BN970,BO970)+1,""))</f>
      </c>
      <c r="BQ970" s="129">
        <f>IF(AY970=1,IFERROR(MID(Q970,FIND(" (",Q970)+2,FIND(")",Q970,FIND(" (",Q970))-FIND(" (",Q970)-2),"?"),"")</f>
      </c>
      <c r="BR970" s="129">
        <f>IF(BQ970="","",IF(COUNTIF($BQ$3:BQ970,BQ970)=1,MAX($BR$2:BR969)+1,""))</f>
      </c>
      <c r="BS970" s="129">
        <f>IF(AW970="","",COUNTIF($AW$3:AW970,"?*"))</f>
      </c>
      <c r="BT970" s="129">
        <f>IF(OR(AW970="",AI970=""),"",IF(COUNTIFS($AW$3:AW970,"?*",$AI$3:AI970,AI970)=1,MAX($BT$2:BT969)+1,""))</f>
      </c>
      <c r="BU970" s="129">
        <f>IF(AE970="",0,IF(OR(ISNUMBER(SEARCH("дубль",AE970)),ISNUMBER(SEARCH("ПЕРЕГРУЗ",AE970)),ISNUMBER(SEARCH("ЗАЩИЩ",AE970)),ISNUMBER(SEARCH("КАНАЛ",AE970)),ISNUMBER(SEARCH("без 30",AE970))),2,1))</f>
      </c>
      <c r="BV970" s="129">
        <f>IF(R970="","",COUNTIF($R$3:R970,"?*"))</f>
      </c>
      <c r="BW970" s="129">
        <f>IF(AY970&lt;&gt;1,0,IF(MAX(IFERROR(--VLOOKUP(R970,УГО_спр,5,FALSE),0),IFERROR(--VLOOKUP(AL970,УГО_спр,5,FALSE),0),IFERROR(--VLOOKUP(LEFT(AL970,2),УГО_спр,5,FALSE),0))&gt;0,MAX(IFERROR(--VLOOKUP(R970,УГО_спр,5,FALSE),0),IFERROR(--VLOOKUP(AL970,УГО_спр,5,FALSE),0),IFERROR(--VLOOKUP(LEFT(AL970,2),УГО_спр,5,FALSE),0)),IF(IFERROR(--LEFT(SUBSTITUTE(BQ970,"x","х"),FIND("х",SUBSTITUTE(BQ970,"x","х"))-1),3)&gt;3,Каталог!$S$9,1)))</f>
      </c>
      <c r="BX970" s="129">
        <f>IF(AY970&lt;&gt;1,0,MAX(0,IFERROR(--LEFT(SUBSTITUTE(BQ970,"x","х"),FIND("х",SUBSTITUTE(BQ970,"x","х"))-1),3)-3*BW970))</f>
      </c>
      <c r="BY970" s="129">
        <f>IF(R970="","",IFERROR(VLOOKUP(R970,УГО_спр,2,FALSE),IFERROR(VLOOKUP(AL970,УГО_спр,2,FALSE),IFERROR(VLOOKUP(LEFT(AL970,2),УГО_спр,2,FALSE),""))))</f>
      </c>
    </row>
    <row r="971" spans="1:64" x14ac:dyDescent="0.3">
      <c r="A971" s="135">
        <f>IF(Разбивка_по_щитам!F971=0,"",Разбивка_по_щитам!F971)</f>
        <v/>
      </c>
      <c r="B971" s="138">
        <f>IF(A971="","",Разбивка_по_щитам!C971)</f>
        <v/>
      </c>
      <c r="C971" s="138">
        <f t="shared" si="622"/>
        <v/>
      </c>
      <c r="D971" s="266"/>
      <c r="E971" s="266"/>
      <c r="F971" s="267"/>
      <c r="G971" s="145">
        <f t="shared" si="623"/>
        <v/>
      </c>
      <c r="H971" s="145">
        <f t="shared" si="624"/>
        <v/>
      </c>
      <c r="I971" s="266"/>
      <c r="J971" s="267"/>
      <c r="K971" s="267"/>
      <c r="L971" s="266"/>
      <c r="M971" s="147">
        <f t="shared" si="625"/>
        <v/>
      </c>
      <c r="N971" s="267"/>
      <c r="O971" s="147">
        <f t="shared" si="626"/>
        <v/>
      </c>
      <c r="P971" s="268">
        <f>IF(AY971=1,"XT"&amp;COUNTIFS($A$3:A971,A971,$AY$3:AY971,1),"")</f>
        <v/>
      </c>
      <c r="Q971" s="152">
        <f>IF(R971="","",IFERROR(SUBSTITUTE(Разбивка_по_щитам!P971,CHAR(10)," "),""))</f>
        <v/>
      </c>
      <c r="R971" s="153">
        <f>IF(OR(Разбивка_по_щитам!H971="",Разбивка_по_щитам!H971=0),"",Разбивка_по_щитам!H971)</f>
        <v/>
      </c>
      <c r="S971" s="154">
        <f>IF(R971="","",IFERROR(Разбивка_по_щитам!J971&amp;"",""))</f>
        <v/>
      </c>
      <c r="T971" s="155">
        <f>IF(R971="","",IFERROR(--Разбивка_по_щитам!L971,""))</f>
        <v/>
      </c>
      <c r="U971" s="155">
        <f>IF(R971="","",IFERROR(--Разбивка_по_щитам!K971,""))</f>
        <v/>
      </c>
      <c r="V971" s="138">
        <f>IF(R971="","",IFERROR(IF(Разбивка_по_щитам!M971=0,"",Разбивка_по_щитам!M971),""))</f>
        <v/>
      </c>
      <c r="W971" s="156">
        <f t="shared" si="627"/>
        <v/>
      </c>
      <c r="X971" s="157">
        <f t="shared" si="628"/>
        <v/>
      </c>
      <c r="Y971" s="266"/>
      <c r="Z971" s="158">
        <f t="shared" si="629"/>
        <v/>
      </c>
      <c r="AA971" s="160">
        <f t="shared" si="630"/>
        <v/>
      </c>
      <c r="AB971" s="160">
        <f>IF(R971="","",IFERROR(LOOKUP(INDEX(Справочная!$I$4:$I$19,MATCH(VLOOKUP(R971,Исходные_данные,22,FALSE),Справочная!$J$4:$J$19,0)+1),{6,10,16,20,25,32,40,50,63,80,100,125}),""))</f>
        <v/>
      </c>
      <c r="AC971" s="160">
        <f t="shared" si="631"/>
        <v/>
      </c>
      <c r="AD971" s="161">
        <f t="shared" si="632"/>
        <v/>
      </c>
      <c r="AE971" s="161">
        <f>IF(AND(R971="",G971=""),"",_xlfn.TEXTJOIN("; ",TRUE,IF(AND(R971&lt;&gt;"",V971=""),"нет фазы",""),IF(AND(R971&lt;&gt;"",N(T971)=0),"нет мощности",""),IF(AND(P971&lt;&gt;"",COUNTIFS($A$3:$A$1000,A971,$P$3:$P$1000,P971)&gt;1),"дубль клеммы "&amp;P971,""),IF(AND(W971&lt;&gt;"",W971&lt;&gt;"ok"),W971,""),IF(X971&lt;&gt;"",X971,""),IF(AND(ISNUMBER(SEARCH("(5х",Q971)),N(AK971)=1),"5 жил на 1 фазе",""),IF(AND(AL971="R",E971&lt;&gt;"",N(AS971)=0),"розетка без 30 мА",""),IF(IFERROR(_xlfn.NUMBERVALUE(MID(Q971,FIND("-",Q971,FIND("L=",Q971))+1,FIND("%",Q971)-FIND("-",Q971,FIND("L=",Q971))-1),","),0)&gt;4,"потери &gt; 4 %","")))</f>
      </c>
      <c r="AF971" s="129">
        <f>IF(E971&lt;&gt;"",COUNTIFS($A$3:A971,A971,$E$3:E971,"?*"),IF(OR(A971&lt;&gt;A970,Y971="вручную"),"",AF970))</f>
        <v/>
      </c>
      <c r="AG971" s="129">
        <f t="shared" si="633"/>
        <v/>
      </c>
      <c r="AH971" s="129">
        <f t="shared" si="634"/>
        <v/>
      </c>
      <c r="AI971" s="129">
        <f t="shared" si="635"/>
        <v/>
      </c>
      <c r="AJ971" s="129">
        <f t="shared" si="636"/>
        <v/>
      </c>
      <c r="AK971" s="129">
        <f t="shared" si="637"/>
        <v/>
      </c>
      <c r="AL971" s="129">
        <f t="shared" si="638"/>
        <v/>
      </c>
      <c r="AM971" s="129">
        <f t="shared" si="639"/>
      </c>
      <c r="AN971" s="129">
        <f t="shared" si="640"/>
      </c>
      <c r="AO971" s="129">
        <f t="shared" si="641"/>
        <v/>
      </c>
      <c r="AP971" s="129">
        <f t="shared" si="642"/>
        <v/>
      </c>
      <c r="AQ971" s="129">
        <f t="shared" si="643"/>
        <v/>
      </c>
      <c r="AR971" s="129">
        <f t="shared" si="644"/>
        <v/>
      </c>
      <c r="AS971" s="129">
        <f t="shared" si="645"/>
        <v/>
      </c>
      <c r="AT971" s="129">
        <f t="shared" si="646"/>
        <v/>
      </c>
      <c r="AU971" s="129">
        <f t="shared" si="647"/>
        <v/>
      </c>
      <c r="AV971" s="129">
        <f t="shared" si="648"/>
        <v/>
      </c>
      <c r="AW971" s="129">
        <f>IF(AV971="","",AV971&amp;"."&amp;COUNTIFS($A$3:A971,A971,$AV$3:AV971,AV971))</f>
        <v/>
      </c>
      <c r="AX971" s="129">
        <f t="shared" si="649"/>
        <v/>
      </c>
      <c r="AY971" s="129">
        <f>IF(N971="б/к",0,IF(OR(ISNUMBER(SEARCH("L=",Разбивка_по_щитам!P971)),N971="+",N971="="),1,0))</f>
      </c>
      <c r="AZ971" s="129">
        <f t="shared" si="650"/>
        <v/>
      </c>
      <c r="BA971" s="129">
        <f t="shared" si="651"/>
      </c>
      <c r="BB971" s="129">
        <f t="shared" si="652"/>
      </c>
      <c r="BD971" s="129">
        <f t="shared" si="653"/>
      </c>
      <c r="BE971" s="129">
        <f t="shared" si="654"/>
      </c>
      <c r="BF971" s="129">
        <f t="shared" si="655"/>
      </c>
      <c r="BG971" s="129">
        <f t="shared" si="656"/>
        <v/>
      </c>
      <c r="BH971" s="129">
        <f t="shared" si="657"/>
        <v/>
      </c>
      <c r="BI971" s="129">
        <f t="shared" si="658"/>
        <v/>
      </c>
      <c r="BJ971" s="129">
        <f t="shared" si="659"/>
        <v/>
      </c>
      <c r="BK971" s="129">
        <f>IF(R971="","",IF(OR(BY971="",BY971=0),"BOX",IFERROR(IF(VLOOKUP(BY971,УГО_блоки,3,FALSE)&amp;""&lt;&gt;"",VLOOKUP(BY971,УГО_блоки,3,FALSE),VLOOKUP(BY971,УГО_блоки,2,FALSE)),BY971)))</f>
      </c>
      <c r="BL971" s="129">
        <f t="shared" si="661"/>
      </c>
      <c r="BM971" s="129">
        <f>IF(H971="","",IF(COUNTIF($H$3:H971,H971)=1,MAX($BM$2:BM970)+1,""))</f>
      </c>
      <c r="BN971" s="129">
        <f>IF(I971="","",IF(COUNTIF($I$3:I971,I971)+COUNTIF($J$2:J970,I971)+COUNTIF($K$2:K970,I971)=1,MAX($BN$2:BP970)+1,""))</f>
      </c>
      <c r="BO971" s="129">
        <f>IF(J971="","",IF(COUNTIF($I$3:I971,J971)+COUNTIF($J$3:J971,J971)+COUNTIF($K$2:K970,J971)=1,MAX($BN$2:BP970,BN971)+1,""))</f>
      </c>
      <c r="BP971" s="129">
        <f>IF(K971="","",IF(COUNTIF($I$3:I971,K971)+COUNTIF($J$3:J971,K971)+COUNTIF($K$3:K971,K971)=1,MAX($BN$2:BP970,BN971,BO971)+1,""))</f>
      </c>
      <c r="BQ971" s="129">
        <f>IF(AY971=1,IFERROR(MID(Q971,FIND(" (",Q971)+2,FIND(")",Q971,FIND(" (",Q971))-FIND(" (",Q971)-2),"?"),"")</f>
      </c>
      <c r="BR971" s="129">
        <f>IF(BQ971="","",IF(COUNTIF($BQ$3:BQ971,BQ971)=1,MAX($BR$2:BR970)+1,""))</f>
      </c>
      <c r="BS971" s="129">
        <f>IF(AW971="","",COUNTIF($AW$3:AW971,"?*"))</f>
      </c>
      <c r="BT971" s="129">
        <f>IF(OR(AW971="",AI971=""),"",IF(COUNTIFS($AW$3:AW971,"?*",$AI$3:AI971,AI971)=1,MAX($BT$2:BT970)+1,""))</f>
      </c>
      <c r="BU971" s="129">
        <f>IF(AE971="",0,IF(OR(ISNUMBER(SEARCH("дубль",AE971)),ISNUMBER(SEARCH("ПЕРЕГРУЗ",AE971)),ISNUMBER(SEARCH("ЗАЩИЩ",AE971)),ISNUMBER(SEARCH("КАНАЛ",AE971)),ISNUMBER(SEARCH("без 30",AE971))),2,1))</f>
      </c>
      <c r="BV971" s="129">
        <f>IF(R971="","",COUNTIF($R$3:R971,"?*"))</f>
      </c>
      <c r="BW971" s="129">
        <f>IF(AY971&lt;&gt;1,0,IF(MAX(IFERROR(--VLOOKUP(R971,УГО_спр,5,FALSE),0),IFERROR(--VLOOKUP(AL971,УГО_спр,5,FALSE),0),IFERROR(--VLOOKUP(LEFT(AL971,2),УГО_спр,5,FALSE),0))&gt;0,MAX(IFERROR(--VLOOKUP(R971,УГО_спр,5,FALSE),0),IFERROR(--VLOOKUP(AL971,УГО_спр,5,FALSE),0),IFERROR(--VLOOKUP(LEFT(AL971,2),УГО_спр,5,FALSE),0)),IF(IFERROR(--LEFT(SUBSTITUTE(BQ971,"x","х"),FIND("х",SUBSTITUTE(BQ971,"x","х"))-1),3)&gt;3,Каталог!$S$9,1)))</f>
      </c>
      <c r="BX971" s="129">
        <f>IF(AY971&lt;&gt;1,0,MAX(0,IFERROR(--LEFT(SUBSTITUTE(BQ971,"x","х"),FIND("х",SUBSTITUTE(BQ971,"x","х"))-1),3)-3*BW971))</f>
      </c>
      <c r="BY971" s="129">
        <f>IF(R971="","",IFERROR(VLOOKUP(R971,УГО_спр,2,FALSE),IFERROR(VLOOKUP(AL971,УГО_спр,2,FALSE),IFERROR(VLOOKUP(LEFT(AL971,2),УГО_спр,2,FALSE),""))))</f>
      </c>
    </row>
    <row r="972" spans="1:64" x14ac:dyDescent="0.3">
      <c r="A972" s="135">
        <f>IF(Разбивка_по_щитам!F972=0,"",Разбивка_по_щитам!F972)</f>
        <v/>
      </c>
      <c r="B972" s="138">
        <f>IF(A972="","",Разбивка_по_щитам!C972)</f>
        <v/>
      </c>
      <c r="C972" s="138">
        <f t="shared" si="622"/>
        <v/>
      </c>
      <c r="D972" s="266"/>
      <c r="E972" s="266"/>
      <c r="F972" s="267"/>
      <c r="G972" s="145">
        <f t="shared" si="623"/>
        <v/>
      </c>
      <c r="H972" s="145">
        <f t="shared" si="624"/>
        <v/>
      </c>
      <c r="I972" s="266"/>
      <c r="J972" s="267"/>
      <c r="K972" s="267"/>
      <c r="L972" s="266"/>
      <c r="M972" s="147">
        <f t="shared" si="625"/>
        <v/>
      </c>
      <c r="N972" s="267"/>
      <c r="O972" s="147">
        <f t="shared" si="626"/>
        <v/>
      </c>
      <c r="P972" s="268">
        <f>IF(AY972=1,"XT"&amp;COUNTIFS($A$3:A972,A972,$AY$3:AY972,1),"")</f>
        <v/>
      </c>
      <c r="Q972" s="152">
        <f>IF(R972="","",IFERROR(SUBSTITUTE(Разбивка_по_щитам!P972,CHAR(10)," "),""))</f>
        <v/>
      </c>
      <c r="R972" s="153">
        <f>IF(OR(Разбивка_по_щитам!H972="",Разбивка_по_щитам!H972=0),"",Разбивка_по_щитам!H972)</f>
        <v/>
      </c>
      <c r="S972" s="154">
        <f>IF(R972="","",IFERROR(Разбивка_по_щитам!J972&amp;"",""))</f>
        <v/>
      </c>
      <c r="T972" s="155">
        <f>IF(R972="","",IFERROR(--Разбивка_по_щитам!L972,""))</f>
        <v/>
      </c>
      <c r="U972" s="155">
        <f>IF(R972="","",IFERROR(--Разбивка_по_щитам!K972,""))</f>
        <v/>
      </c>
      <c r="V972" s="138">
        <f>IF(R972="","",IFERROR(IF(Разбивка_по_щитам!M972=0,"",Разбивка_по_щитам!M972),""))</f>
        <v/>
      </c>
      <c r="W972" s="156">
        <f t="shared" si="627"/>
        <v/>
      </c>
      <c r="X972" s="157">
        <f t="shared" si="628"/>
        <v/>
      </c>
      <c r="Y972" s="266"/>
      <c r="Z972" s="158">
        <f t="shared" si="629"/>
        <v/>
      </c>
      <c r="AA972" s="160">
        <f t="shared" si="630"/>
        <v/>
      </c>
      <c r="AB972" s="160">
        <f>IF(R972="","",IFERROR(LOOKUP(INDEX(Справочная!$I$4:$I$19,MATCH(VLOOKUP(R972,Исходные_данные,22,FALSE),Справочная!$J$4:$J$19,0)+1),{6,10,16,20,25,32,40,50,63,80,100,125}),""))</f>
        <v/>
      </c>
      <c r="AC972" s="160">
        <f t="shared" si="631"/>
        <v/>
      </c>
      <c r="AD972" s="161">
        <f t="shared" si="632"/>
        <v/>
      </c>
      <c r="AE972" s="161">
        <f>IF(AND(R972="",G972=""),"",_xlfn.TEXTJOIN("; ",TRUE,IF(AND(R972&lt;&gt;"",V972=""),"нет фазы",""),IF(AND(R972&lt;&gt;"",N(T972)=0),"нет мощности",""),IF(AND(P972&lt;&gt;"",COUNTIFS($A$3:$A$1000,A972,$P$3:$P$1000,P972)&gt;1),"дубль клеммы "&amp;P972,""),IF(AND(W972&lt;&gt;"",W972&lt;&gt;"ok"),W972,""),IF(X972&lt;&gt;"",X972,""),IF(AND(ISNUMBER(SEARCH("(5х",Q972)),N(AK972)=1),"5 жил на 1 фазе",""),IF(AND(AL972="R",E972&lt;&gt;"",N(AS972)=0),"розетка без 30 мА",""),IF(IFERROR(_xlfn.NUMBERVALUE(MID(Q972,FIND("-",Q972,FIND("L=",Q972))+1,FIND("%",Q972)-FIND("-",Q972,FIND("L=",Q972))-1),","),0)&gt;4,"потери &gt; 4 %","")))</f>
      </c>
      <c r="AF972" s="129">
        <f>IF(E972&lt;&gt;"",COUNTIFS($A$3:A972,A972,$E$3:E972,"?*"),IF(OR(A972&lt;&gt;A971,Y972="вручную"),"",AF971))</f>
        <v/>
      </c>
      <c r="AG972" s="129">
        <f t="shared" si="633"/>
        <v/>
      </c>
      <c r="AH972" s="129">
        <f t="shared" si="634"/>
        <v/>
      </c>
      <c r="AI972" s="129">
        <f t="shared" si="635"/>
        <v/>
      </c>
      <c r="AJ972" s="129">
        <f t="shared" si="636"/>
        <v/>
      </c>
      <c r="AK972" s="129">
        <f t="shared" si="637"/>
        <v/>
      </c>
      <c r="AL972" s="129">
        <f t="shared" si="638"/>
        <v/>
      </c>
      <c r="AM972" s="129">
        <f t="shared" si="639"/>
      </c>
      <c r="AN972" s="129">
        <f t="shared" si="640"/>
      </c>
      <c r="AO972" s="129">
        <f t="shared" si="641"/>
        <v/>
      </c>
      <c r="AP972" s="129">
        <f t="shared" si="642"/>
        <v/>
      </c>
      <c r="AQ972" s="129">
        <f t="shared" si="643"/>
        <v/>
      </c>
      <c r="AR972" s="129">
        <f t="shared" si="644"/>
        <v/>
      </c>
      <c r="AS972" s="129">
        <f t="shared" si="645"/>
        <v/>
      </c>
      <c r="AT972" s="129">
        <f t="shared" si="646"/>
        <v/>
      </c>
      <c r="AU972" s="129">
        <f t="shared" si="647"/>
        <v/>
      </c>
      <c r="AV972" s="129">
        <f t="shared" si="648"/>
        <v/>
      </c>
      <c r="AW972" s="129">
        <f>IF(AV972="","",AV972&amp;"."&amp;COUNTIFS($A$3:A972,A972,$AV$3:AV972,AV972))</f>
        <v/>
      </c>
      <c r="AX972" s="129">
        <f t="shared" si="649"/>
        <v/>
      </c>
      <c r="AY972" s="129">
        <f>IF(N972="б/к",0,IF(OR(ISNUMBER(SEARCH("L=",Разбивка_по_щитам!P972)),N972="+",N972="="),1,0))</f>
      </c>
      <c r="AZ972" s="129">
        <f t="shared" si="650"/>
        <v/>
      </c>
      <c r="BA972" s="129">
        <f t="shared" si="651"/>
      </c>
      <c r="BB972" s="129">
        <f t="shared" si="652"/>
      </c>
      <c r="BD972" s="129">
        <f t="shared" si="653"/>
      </c>
      <c r="BE972" s="129">
        <f t="shared" si="654"/>
      </c>
      <c r="BF972" s="129">
        <f t="shared" si="655"/>
      </c>
      <c r="BG972" s="129">
        <f t="shared" si="656"/>
        <v/>
      </c>
      <c r="BH972" s="129">
        <f t="shared" si="657"/>
        <v/>
      </c>
      <c r="BI972" s="129">
        <f t="shared" si="658"/>
        <v/>
      </c>
      <c r="BJ972" s="129">
        <f t="shared" si="659"/>
        <v/>
      </c>
      <c r="BK972" s="129">
        <f>IF(R972="","",IF(OR(BY972="",BY972=0),"BOX",IFERROR(IF(VLOOKUP(BY972,УГО_блоки,3,FALSE)&amp;""&lt;&gt;"",VLOOKUP(BY972,УГО_блоки,3,FALSE),VLOOKUP(BY972,УГО_блоки,2,FALSE)),BY972)))</f>
      </c>
      <c r="BL972" s="129">
        <f t="shared" si="661"/>
      </c>
      <c r="BM972" s="129">
        <f>IF(H972="","",IF(COUNTIF($H$3:H972,H972)=1,MAX($BM$2:BM971)+1,""))</f>
      </c>
      <c r="BN972" s="129">
        <f>IF(I972="","",IF(COUNTIF($I$3:I972,I972)+COUNTIF($J$2:J971,I972)+COUNTIF($K$2:K971,I972)=1,MAX($BN$2:BP971)+1,""))</f>
      </c>
      <c r="BO972" s="129">
        <f>IF(J972="","",IF(COUNTIF($I$3:I972,J972)+COUNTIF($J$3:J972,J972)+COUNTIF($K$2:K971,J972)=1,MAX($BN$2:BP971,BN972)+1,""))</f>
      </c>
      <c r="BP972" s="129">
        <f>IF(K972="","",IF(COUNTIF($I$3:I972,K972)+COUNTIF($J$3:J972,K972)+COUNTIF($K$3:K972,K972)=1,MAX($BN$2:BP971,BN972,BO972)+1,""))</f>
      </c>
      <c r="BQ972" s="129">
        <f>IF(AY972=1,IFERROR(MID(Q972,FIND(" (",Q972)+2,FIND(")",Q972,FIND(" (",Q972))-FIND(" (",Q972)-2),"?"),"")</f>
      </c>
      <c r="BR972" s="129">
        <f>IF(BQ972="","",IF(COUNTIF($BQ$3:BQ972,BQ972)=1,MAX($BR$2:BR971)+1,""))</f>
      </c>
      <c r="BS972" s="129">
        <f>IF(AW972="","",COUNTIF($AW$3:AW972,"?*"))</f>
      </c>
      <c r="BT972" s="129">
        <f>IF(OR(AW972="",AI972=""),"",IF(COUNTIFS($AW$3:AW972,"?*",$AI$3:AI972,AI972)=1,MAX($BT$2:BT971)+1,""))</f>
      </c>
      <c r="BU972" s="129">
        <f>IF(AE972="",0,IF(OR(ISNUMBER(SEARCH("дубль",AE972)),ISNUMBER(SEARCH("ПЕРЕГРУЗ",AE972)),ISNUMBER(SEARCH("ЗАЩИЩ",AE972)),ISNUMBER(SEARCH("КАНАЛ",AE972)),ISNUMBER(SEARCH("без 30",AE972))),2,1))</f>
      </c>
      <c r="BV972" s="129">
        <f>IF(R972="","",COUNTIF($R$3:R972,"?*"))</f>
      </c>
      <c r="BW972" s="129">
        <f>IF(AY972&lt;&gt;1,0,IF(MAX(IFERROR(--VLOOKUP(R972,УГО_спр,5,FALSE),0),IFERROR(--VLOOKUP(AL972,УГО_спр,5,FALSE),0),IFERROR(--VLOOKUP(LEFT(AL972,2),УГО_спр,5,FALSE),0))&gt;0,MAX(IFERROR(--VLOOKUP(R972,УГО_спр,5,FALSE),0),IFERROR(--VLOOKUP(AL972,УГО_спр,5,FALSE),0),IFERROR(--VLOOKUP(LEFT(AL972,2),УГО_спр,5,FALSE),0)),IF(IFERROR(--LEFT(SUBSTITUTE(BQ972,"x","х"),FIND("х",SUBSTITUTE(BQ972,"x","х"))-1),3)&gt;3,Каталог!$S$9,1)))</f>
      </c>
      <c r="BX972" s="129">
        <f>IF(AY972&lt;&gt;1,0,MAX(0,IFERROR(--LEFT(SUBSTITUTE(BQ972,"x","х"),FIND("х",SUBSTITUTE(BQ972,"x","х"))-1),3)-3*BW972))</f>
      </c>
      <c r="BY972" s="129">
        <f>IF(R972="","",IFERROR(VLOOKUP(R972,УГО_спр,2,FALSE),IFERROR(VLOOKUP(AL972,УГО_спр,2,FALSE),IFERROR(VLOOKUP(LEFT(AL972,2),УГО_спр,2,FALSE),""))))</f>
      </c>
    </row>
    <row r="973" spans="1:64" x14ac:dyDescent="0.3">
      <c r="A973" s="135">
        <f>IF(Разбивка_по_щитам!F973=0,"",Разбивка_по_щитам!F973)</f>
        <v/>
      </c>
      <c r="B973" s="138">
        <f>IF(A973="","",Разбивка_по_щитам!C973)</f>
        <v/>
      </c>
      <c r="C973" s="138">
        <f t="shared" si="622"/>
        <v/>
      </c>
      <c r="D973" s="266"/>
      <c r="E973" s="266"/>
      <c r="F973" s="267"/>
      <c r="G973" s="145">
        <f t="shared" si="623"/>
        <v/>
      </c>
      <c r="H973" s="145">
        <f t="shared" si="624"/>
        <v/>
      </c>
      <c r="I973" s="266"/>
      <c r="J973" s="267"/>
      <c r="K973" s="267"/>
      <c r="L973" s="266"/>
      <c r="M973" s="147">
        <f t="shared" si="625"/>
        <v/>
      </c>
      <c r="N973" s="267"/>
      <c r="O973" s="147">
        <f t="shared" si="626"/>
        <v/>
      </c>
      <c r="P973" s="268">
        <f>IF(AY973=1,"XT"&amp;COUNTIFS($A$3:A973,A973,$AY$3:AY973,1),"")</f>
        <v/>
      </c>
      <c r="Q973" s="152">
        <f>IF(R973="","",IFERROR(SUBSTITUTE(Разбивка_по_щитам!P973,CHAR(10)," "),""))</f>
        <v/>
      </c>
      <c r="R973" s="153">
        <f>IF(OR(Разбивка_по_щитам!H973="",Разбивка_по_щитам!H973=0),"",Разбивка_по_щитам!H973)</f>
        <v/>
      </c>
      <c r="S973" s="154">
        <f>IF(R973="","",IFERROR(Разбивка_по_щитам!J973&amp;"",""))</f>
        <v/>
      </c>
      <c r="T973" s="155">
        <f>IF(R973="","",IFERROR(--Разбивка_по_щитам!L973,""))</f>
        <v/>
      </c>
      <c r="U973" s="155">
        <f>IF(R973="","",IFERROR(--Разбивка_по_щитам!K973,""))</f>
        <v/>
      </c>
      <c r="V973" s="138">
        <f>IF(R973="","",IFERROR(IF(Разбивка_по_щитам!M973=0,"",Разбивка_по_щитам!M973),""))</f>
        <v/>
      </c>
      <c r="W973" s="156">
        <f t="shared" si="627"/>
        <v/>
      </c>
      <c r="X973" s="157">
        <f t="shared" si="628"/>
        <v/>
      </c>
      <c r="Y973" s="266"/>
      <c r="Z973" s="158">
        <f t="shared" si="629"/>
        <v/>
      </c>
      <c r="AA973" s="160">
        <f t="shared" si="630"/>
        <v/>
      </c>
      <c r="AB973" s="160">
        <f>IF(R973="","",IFERROR(LOOKUP(INDEX(Справочная!$I$4:$I$19,MATCH(VLOOKUP(R973,Исходные_данные,22,FALSE),Справочная!$J$4:$J$19,0)+1),{6,10,16,20,25,32,40,50,63,80,100,125}),""))</f>
        <v/>
      </c>
      <c r="AC973" s="160">
        <f t="shared" si="631"/>
        <v/>
      </c>
      <c r="AD973" s="161">
        <f t="shared" si="632"/>
        <v/>
      </c>
      <c r="AE973" s="161">
        <f>IF(AND(R973="",G973=""),"",_xlfn.TEXTJOIN("; ",TRUE,IF(AND(R973&lt;&gt;"",V973=""),"нет фазы",""),IF(AND(R973&lt;&gt;"",N(T973)=0),"нет мощности",""),IF(AND(P973&lt;&gt;"",COUNTIFS($A$3:$A$1000,A973,$P$3:$P$1000,P973)&gt;1),"дубль клеммы "&amp;P973,""),IF(AND(W973&lt;&gt;"",W973&lt;&gt;"ok"),W973,""),IF(X973&lt;&gt;"",X973,""),IF(AND(ISNUMBER(SEARCH("(5х",Q973)),N(AK973)=1),"5 жил на 1 фазе",""),IF(AND(AL973="R",E973&lt;&gt;"",N(AS973)=0),"розетка без 30 мА",""),IF(IFERROR(_xlfn.NUMBERVALUE(MID(Q973,FIND("-",Q973,FIND("L=",Q973))+1,FIND("%",Q973)-FIND("-",Q973,FIND("L=",Q973))-1),","),0)&gt;4,"потери &gt; 4 %","")))</f>
      </c>
      <c r="AF973" s="129">
        <f>IF(E973&lt;&gt;"",COUNTIFS($A$3:A973,A973,$E$3:E973,"?*"),IF(OR(A973&lt;&gt;A972,Y973="вручную"),"",AF972))</f>
        <v/>
      </c>
      <c r="AG973" s="129">
        <f t="shared" si="633"/>
        <v/>
      </c>
      <c r="AH973" s="129">
        <f t="shared" si="634"/>
        <v/>
      </c>
      <c r="AI973" s="129">
        <f t="shared" si="635"/>
        <v/>
      </c>
      <c r="AJ973" s="129">
        <f t="shared" si="636"/>
        <v/>
      </c>
      <c r="AK973" s="129">
        <f t="shared" si="637"/>
        <v/>
      </c>
      <c r="AL973" s="129">
        <f t="shared" si="638"/>
        <v/>
      </c>
      <c r="AM973" s="129">
        <f t="shared" si="639"/>
      </c>
      <c r="AN973" s="129">
        <f t="shared" si="640"/>
      </c>
      <c r="AO973" s="129">
        <f t="shared" si="641"/>
        <v/>
      </c>
      <c r="AP973" s="129">
        <f t="shared" si="642"/>
        <v/>
      </c>
      <c r="AQ973" s="129">
        <f t="shared" si="643"/>
        <v/>
      </c>
      <c r="AR973" s="129">
        <f t="shared" si="644"/>
        <v/>
      </c>
      <c r="AS973" s="129">
        <f t="shared" si="645"/>
        <v/>
      </c>
      <c r="AT973" s="129">
        <f t="shared" si="646"/>
        <v/>
      </c>
      <c r="AU973" s="129">
        <f t="shared" si="647"/>
        <v/>
      </c>
      <c r="AV973" s="129">
        <f t="shared" si="648"/>
        <v/>
      </c>
      <c r="AW973" s="129">
        <f>IF(AV973="","",AV973&amp;"."&amp;COUNTIFS($A$3:A973,A973,$AV$3:AV973,AV973))</f>
        <v/>
      </c>
      <c r="AX973" s="129">
        <f t="shared" si="649"/>
        <v/>
      </c>
      <c r="AY973" s="129">
        <f>IF(N973="б/к",0,IF(OR(ISNUMBER(SEARCH("L=",Разбивка_по_щитам!P973)),N973="+",N973="="),1,0))</f>
      </c>
      <c r="AZ973" s="129">
        <f t="shared" si="650"/>
        <v/>
      </c>
      <c r="BA973" s="129">
        <f t="shared" si="651"/>
      </c>
      <c r="BB973" s="129">
        <f t="shared" si="652"/>
      </c>
      <c r="BD973" s="129">
        <f t="shared" si="653"/>
      </c>
      <c r="BE973" s="129">
        <f t="shared" si="654"/>
      </c>
      <c r="BF973" s="129">
        <f t="shared" si="655"/>
      </c>
      <c r="BG973" s="129">
        <f t="shared" si="656"/>
        <v/>
      </c>
      <c r="BH973" s="129">
        <f t="shared" si="657"/>
        <v/>
      </c>
      <c r="BI973" s="129">
        <f t="shared" si="658"/>
        <v/>
      </c>
      <c r="BJ973" s="129">
        <f t="shared" si="659"/>
        <v/>
      </c>
      <c r="BK973" s="129">
        <f>IF(R973="","",IF(OR(BY973="",BY973=0),"BOX",IFERROR(IF(VLOOKUP(BY973,УГО_блоки,3,FALSE)&amp;""&lt;&gt;"",VLOOKUP(BY973,УГО_блоки,3,FALSE),VLOOKUP(BY973,УГО_блоки,2,FALSE)),BY973)))</f>
      </c>
      <c r="BL973" s="129">
        <f t="shared" si="661"/>
      </c>
      <c r="BM973" s="129">
        <f>IF(H973="","",IF(COUNTIF($H$3:H973,H973)=1,MAX($BM$2:BM972)+1,""))</f>
      </c>
      <c r="BN973" s="129">
        <f>IF(I973="","",IF(COUNTIF($I$3:I973,I973)+COUNTIF($J$2:J972,I973)+COUNTIF($K$2:K972,I973)=1,MAX($BN$2:BP972)+1,""))</f>
      </c>
      <c r="BO973" s="129">
        <f>IF(J973="","",IF(COUNTIF($I$3:I973,J973)+COUNTIF($J$3:J973,J973)+COUNTIF($K$2:K972,J973)=1,MAX($BN$2:BP972,BN973)+1,""))</f>
      </c>
      <c r="BP973" s="129">
        <f>IF(K973="","",IF(COUNTIF($I$3:I973,K973)+COUNTIF($J$3:J973,K973)+COUNTIF($K$3:K973,K973)=1,MAX($BN$2:BP972,BN973,BO973)+1,""))</f>
      </c>
      <c r="BQ973" s="129">
        <f>IF(AY973=1,IFERROR(MID(Q973,FIND(" (",Q973)+2,FIND(")",Q973,FIND(" (",Q973))-FIND(" (",Q973)-2),"?"),"")</f>
      </c>
      <c r="BR973" s="129">
        <f>IF(BQ973="","",IF(COUNTIF($BQ$3:BQ973,BQ973)=1,MAX($BR$2:BR972)+1,""))</f>
      </c>
      <c r="BS973" s="129">
        <f>IF(AW973="","",COUNTIF($AW$3:AW973,"?*"))</f>
      </c>
      <c r="BT973" s="129">
        <f>IF(OR(AW973="",AI973=""),"",IF(COUNTIFS($AW$3:AW973,"?*",$AI$3:AI973,AI973)=1,MAX($BT$2:BT972)+1,""))</f>
      </c>
      <c r="BU973" s="129">
        <f>IF(AE973="",0,IF(OR(ISNUMBER(SEARCH("дубль",AE973)),ISNUMBER(SEARCH("ПЕРЕГРУЗ",AE973)),ISNUMBER(SEARCH("ЗАЩИЩ",AE973)),ISNUMBER(SEARCH("КАНАЛ",AE973)),ISNUMBER(SEARCH("без 30",AE973))),2,1))</f>
      </c>
      <c r="BV973" s="129">
        <f>IF(R973="","",COUNTIF($R$3:R973,"?*"))</f>
      </c>
      <c r="BW973" s="129">
        <f>IF(AY973&lt;&gt;1,0,IF(MAX(IFERROR(--VLOOKUP(R973,УГО_спр,5,FALSE),0),IFERROR(--VLOOKUP(AL973,УГО_спр,5,FALSE),0),IFERROR(--VLOOKUP(LEFT(AL973,2),УГО_спр,5,FALSE),0))&gt;0,MAX(IFERROR(--VLOOKUP(R973,УГО_спр,5,FALSE),0),IFERROR(--VLOOKUP(AL973,УГО_спр,5,FALSE),0),IFERROR(--VLOOKUP(LEFT(AL973,2),УГО_спр,5,FALSE),0)),IF(IFERROR(--LEFT(SUBSTITUTE(BQ973,"x","х"),FIND("х",SUBSTITUTE(BQ973,"x","х"))-1),3)&gt;3,Каталог!$S$9,1)))</f>
      </c>
      <c r="BX973" s="129">
        <f>IF(AY973&lt;&gt;1,0,MAX(0,IFERROR(--LEFT(SUBSTITUTE(BQ973,"x","х"),FIND("х",SUBSTITUTE(BQ973,"x","х"))-1),3)-3*BW973))</f>
      </c>
      <c r="BY973" s="129">
        <f>IF(R973="","",IFERROR(VLOOKUP(R973,УГО_спр,2,FALSE),IFERROR(VLOOKUP(AL973,УГО_спр,2,FALSE),IFERROR(VLOOKUP(LEFT(AL973,2),УГО_спр,2,FALSE),""))))</f>
      </c>
    </row>
    <row r="974" spans="1:64" x14ac:dyDescent="0.3">
      <c r="A974" s="135">
        <f>IF(Разбивка_по_щитам!F974=0,"",Разбивка_по_щитам!F974)</f>
        <v/>
      </c>
      <c r="B974" s="138">
        <f>IF(A974="","",Разбивка_по_щитам!C974)</f>
        <v/>
      </c>
      <c r="C974" s="138">
        <f t="shared" si="622"/>
        <v/>
      </c>
      <c r="D974" s="266"/>
      <c r="E974" s="266"/>
      <c r="F974" s="267"/>
      <c r="G974" s="145">
        <f t="shared" si="623"/>
        <v/>
      </c>
      <c r="H974" s="145">
        <f t="shared" si="624"/>
        <v/>
      </c>
      <c r="I974" s="266"/>
      <c r="J974" s="267"/>
      <c r="K974" s="267"/>
      <c r="L974" s="266"/>
      <c r="M974" s="147">
        <f t="shared" si="625"/>
        <v/>
      </c>
      <c r="N974" s="267"/>
      <c r="O974" s="147">
        <f t="shared" si="626"/>
        <v/>
      </c>
      <c r="P974" s="268">
        <f>IF(AY974=1,"XT"&amp;COUNTIFS($A$3:A974,A974,$AY$3:AY974,1),"")</f>
        <v/>
      </c>
      <c r="Q974" s="152">
        <f>IF(R974="","",IFERROR(SUBSTITUTE(Разбивка_по_щитам!P974,CHAR(10)," "),""))</f>
        <v/>
      </c>
      <c r="R974" s="153">
        <f>IF(OR(Разбивка_по_щитам!H974="",Разбивка_по_щитам!H974=0),"",Разбивка_по_щитам!H974)</f>
        <v/>
      </c>
      <c r="S974" s="154">
        <f>IF(R974="","",IFERROR(Разбивка_по_щитам!J974&amp;"",""))</f>
        <v/>
      </c>
      <c r="T974" s="155">
        <f>IF(R974="","",IFERROR(--Разбивка_по_щитам!L974,""))</f>
        <v/>
      </c>
      <c r="U974" s="155">
        <f>IF(R974="","",IFERROR(--Разбивка_по_щитам!K974,""))</f>
        <v/>
      </c>
      <c r="V974" s="138">
        <f>IF(R974="","",IFERROR(IF(Разбивка_по_щитам!M974=0,"",Разбивка_по_щитам!M974),""))</f>
        <v/>
      </c>
      <c r="W974" s="156">
        <f t="shared" si="627"/>
        <v/>
      </c>
      <c r="X974" s="157">
        <f t="shared" si="628"/>
        <v/>
      </c>
      <c r="Y974" s="266"/>
      <c r="Z974" s="158">
        <f t="shared" si="629"/>
        <v/>
      </c>
      <c r="AA974" s="160">
        <f t="shared" si="630"/>
        <v/>
      </c>
      <c r="AB974" s="160">
        <f>IF(R974="","",IFERROR(LOOKUP(INDEX(Справочная!$I$4:$I$19,MATCH(VLOOKUP(R974,Исходные_данные,22,FALSE),Справочная!$J$4:$J$19,0)+1),{6,10,16,20,25,32,40,50,63,80,100,125}),""))</f>
        <v/>
      </c>
      <c r="AC974" s="160">
        <f t="shared" si="631"/>
        <v/>
      </c>
      <c r="AD974" s="161">
        <f t="shared" si="632"/>
        <v/>
      </c>
      <c r="AE974" s="161">
        <f>IF(AND(R974="",G974=""),"",_xlfn.TEXTJOIN("; ",TRUE,IF(AND(R974&lt;&gt;"",V974=""),"нет фазы",""),IF(AND(R974&lt;&gt;"",N(T974)=0),"нет мощности",""),IF(AND(P974&lt;&gt;"",COUNTIFS($A$3:$A$1000,A974,$P$3:$P$1000,P974)&gt;1),"дубль клеммы "&amp;P974,""),IF(AND(W974&lt;&gt;"",W974&lt;&gt;"ok"),W974,""),IF(X974&lt;&gt;"",X974,""),IF(AND(ISNUMBER(SEARCH("(5х",Q974)),N(AK974)=1),"5 жил на 1 фазе",""),IF(AND(AL974="R",E974&lt;&gt;"",N(AS974)=0),"розетка без 30 мА",""),IF(IFERROR(_xlfn.NUMBERVALUE(MID(Q974,FIND("-",Q974,FIND("L=",Q974))+1,FIND("%",Q974)-FIND("-",Q974,FIND("L=",Q974))-1),","),0)&gt;4,"потери &gt; 4 %","")))</f>
      </c>
      <c r="AF974" s="129">
        <f>IF(E974&lt;&gt;"",COUNTIFS($A$3:A974,A974,$E$3:E974,"?*"),IF(OR(A974&lt;&gt;A973,Y974="вручную"),"",AF973))</f>
        <v/>
      </c>
      <c r="AG974" s="129">
        <f t="shared" si="633"/>
        <v/>
      </c>
      <c r="AH974" s="129">
        <f t="shared" si="634"/>
        <v/>
      </c>
      <c r="AI974" s="129">
        <f t="shared" si="635"/>
        <v/>
      </c>
      <c r="AJ974" s="129">
        <f t="shared" si="636"/>
        <v/>
      </c>
      <c r="AK974" s="129">
        <f t="shared" si="637"/>
        <v/>
      </c>
      <c r="AL974" s="129">
        <f t="shared" si="638"/>
        <v/>
      </c>
      <c r="AM974" s="129">
        <f t="shared" si="639"/>
      </c>
      <c r="AN974" s="129">
        <f t="shared" si="640"/>
      </c>
      <c r="AO974" s="129">
        <f t="shared" si="641"/>
        <v/>
      </c>
      <c r="AP974" s="129">
        <f t="shared" si="642"/>
        <v/>
      </c>
      <c r="AQ974" s="129">
        <f t="shared" si="643"/>
        <v/>
      </c>
      <c r="AR974" s="129">
        <f t="shared" si="644"/>
        <v/>
      </c>
      <c r="AS974" s="129">
        <f t="shared" si="645"/>
        <v/>
      </c>
      <c r="AT974" s="129">
        <f t="shared" si="646"/>
        <v/>
      </c>
      <c r="AU974" s="129">
        <f t="shared" si="647"/>
        <v/>
      </c>
      <c r="AV974" s="129">
        <f t="shared" si="648"/>
        <v/>
      </c>
      <c r="AW974" s="129">
        <f>IF(AV974="","",AV974&amp;"."&amp;COUNTIFS($A$3:A974,A974,$AV$3:AV974,AV974))</f>
        <v/>
      </c>
      <c r="AX974" s="129">
        <f t="shared" si="649"/>
        <v/>
      </c>
      <c r="AY974" s="129">
        <f>IF(N974="б/к",0,IF(OR(ISNUMBER(SEARCH("L=",Разбивка_по_щитам!P974)),N974="+",N974="="),1,0))</f>
      </c>
      <c r="AZ974" s="129">
        <f t="shared" si="650"/>
        <v/>
      </c>
      <c r="BA974" s="129">
        <f t="shared" si="651"/>
      </c>
      <c r="BB974" s="129">
        <f t="shared" si="652"/>
      </c>
      <c r="BD974" s="129">
        <f t="shared" si="653"/>
      </c>
      <c r="BE974" s="129">
        <f t="shared" si="654"/>
      </c>
      <c r="BF974" s="129">
        <f t="shared" si="655"/>
      </c>
      <c r="BG974" s="129">
        <f t="shared" si="656"/>
        <v/>
      </c>
      <c r="BH974" s="129">
        <f t="shared" si="657"/>
        <v/>
      </c>
      <c r="BI974" s="129">
        <f t="shared" si="658"/>
        <v/>
      </c>
      <c r="BJ974" s="129">
        <f t="shared" si="659"/>
        <v/>
      </c>
      <c r="BK974" s="129">
        <f>IF(R974="","",IF(OR(BY974="",BY974=0),"BOX",IFERROR(IF(VLOOKUP(BY974,УГО_блоки,3,FALSE)&amp;""&lt;&gt;"",VLOOKUP(BY974,УГО_блоки,3,FALSE),VLOOKUP(BY974,УГО_блоки,2,FALSE)),BY974)))</f>
      </c>
      <c r="BL974" s="129">
        <f t="shared" si="661"/>
      </c>
      <c r="BM974" s="129">
        <f>IF(H974="","",IF(COUNTIF($H$3:H974,H974)=1,MAX($BM$2:BM973)+1,""))</f>
      </c>
      <c r="BN974" s="129">
        <f>IF(I974="","",IF(COUNTIF($I$3:I974,I974)+COUNTIF($J$2:J973,I974)+COUNTIF($K$2:K973,I974)=1,MAX($BN$2:BP973)+1,""))</f>
      </c>
      <c r="BO974" s="129">
        <f>IF(J974="","",IF(COUNTIF($I$3:I974,J974)+COUNTIF($J$3:J974,J974)+COUNTIF($K$2:K973,J974)=1,MAX($BN$2:BP973,BN974)+1,""))</f>
      </c>
      <c r="BP974" s="129">
        <f>IF(K974="","",IF(COUNTIF($I$3:I974,K974)+COUNTIF($J$3:J974,K974)+COUNTIF($K$3:K974,K974)=1,MAX($BN$2:BP973,BN974,BO974)+1,""))</f>
      </c>
      <c r="BQ974" s="129">
        <f>IF(AY974=1,IFERROR(MID(Q974,FIND(" (",Q974)+2,FIND(")",Q974,FIND(" (",Q974))-FIND(" (",Q974)-2),"?"),"")</f>
      </c>
      <c r="BR974" s="129">
        <f>IF(BQ974="","",IF(COUNTIF($BQ$3:BQ974,BQ974)=1,MAX($BR$2:BR973)+1,""))</f>
      </c>
      <c r="BS974" s="129">
        <f>IF(AW974="","",COUNTIF($AW$3:AW974,"?*"))</f>
      </c>
      <c r="BT974" s="129">
        <f>IF(OR(AW974="",AI974=""),"",IF(COUNTIFS($AW$3:AW974,"?*",$AI$3:AI974,AI974)=1,MAX($BT$2:BT973)+1,""))</f>
      </c>
      <c r="BU974" s="129">
        <f>IF(AE974="",0,IF(OR(ISNUMBER(SEARCH("дубль",AE974)),ISNUMBER(SEARCH("ПЕРЕГРУЗ",AE974)),ISNUMBER(SEARCH("ЗАЩИЩ",AE974)),ISNUMBER(SEARCH("КАНАЛ",AE974)),ISNUMBER(SEARCH("без 30",AE974))),2,1))</f>
      </c>
      <c r="BV974" s="129">
        <f>IF(R974="","",COUNTIF($R$3:R974,"?*"))</f>
      </c>
      <c r="BW974" s="129">
        <f>IF(AY974&lt;&gt;1,0,IF(MAX(IFERROR(--VLOOKUP(R974,УГО_спр,5,FALSE),0),IFERROR(--VLOOKUP(AL974,УГО_спр,5,FALSE),0),IFERROR(--VLOOKUP(LEFT(AL974,2),УГО_спр,5,FALSE),0))&gt;0,MAX(IFERROR(--VLOOKUP(R974,УГО_спр,5,FALSE),0),IFERROR(--VLOOKUP(AL974,УГО_спр,5,FALSE),0),IFERROR(--VLOOKUP(LEFT(AL974,2),УГО_спр,5,FALSE),0)),IF(IFERROR(--LEFT(SUBSTITUTE(BQ974,"x","х"),FIND("х",SUBSTITUTE(BQ974,"x","х"))-1),3)&gt;3,Каталог!$S$9,1)))</f>
      </c>
      <c r="BX974" s="129">
        <f>IF(AY974&lt;&gt;1,0,MAX(0,IFERROR(--LEFT(SUBSTITUTE(BQ974,"x","х"),FIND("х",SUBSTITUTE(BQ974,"x","х"))-1),3)-3*BW974))</f>
      </c>
      <c r="BY974" s="129">
        <f>IF(R974="","",IFERROR(VLOOKUP(R974,УГО_спр,2,FALSE),IFERROR(VLOOKUP(AL974,УГО_спр,2,FALSE),IFERROR(VLOOKUP(LEFT(AL974,2),УГО_спр,2,FALSE),""))))</f>
      </c>
    </row>
    <row r="975" spans="1:64" x14ac:dyDescent="0.3">
      <c r="A975" s="135">
        <f>IF(Разбивка_по_щитам!F975=0,"",Разбивка_по_щитам!F975)</f>
        <v/>
      </c>
      <c r="B975" s="138">
        <f>IF(A975="","",Разбивка_по_щитам!C975)</f>
        <v/>
      </c>
      <c r="C975" s="138">
        <f t="shared" si="622"/>
        <v/>
      </c>
      <c r="D975" s="266"/>
      <c r="E975" s="266"/>
      <c r="F975" s="267"/>
      <c r="G975" s="145">
        <f t="shared" si="623"/>
        <v/>
      </c>
      <c r="H975" s="145">
        <f t="shared" si="624"/>
        <v/>
      </c>
      <c r="I975" s="266"/>
      <c r="J975" s="267"/>
      <c r="K975" s="267"/>
      <c r="L975" s="266"/>
      <c r="M975" s="147">
        <f t="shared" si="625"/>
        <v/>
      </c>
      <c r="N975" s="267"/>
      <c r="O975" s="147">
        <f t="shared" si="626"/>
        <v/>
      </c>
      <c r="P975" s="268">
        <f>IF(AY975=1,"XT"&amp;COUNTIFS($A$3:A975,A975,$AY$3:AY975,1),"")</f>
        <v/>
      </c>
      <c r="Q975" s="152">
        <f>IF(R975="","",IFERROR(SUBSTITUTE(Разбивка_по_щитам!P975,CHAR(10)," "),""))</f>
        <v/>
      </c>
      <c r="R975" s="153">
        <f>IF(OR(Разбивка_по_щитам!H975="",Разбивка_по_щитам!H975=0),"",Разбивка_по_щитам!H975)</f>
        <v/>
      </c>
      <c r="S975" s="154">
        <f>IF(R975="","",IFERROR(Разбивка_по_щитам!J975&amp;"",""))</f>
        <v/>
      </c>
      <c r="T975" s="155">
        <f>IF(R975="","",IFERROR(--Разбивка_по_щитам!L975,""))</f>
        <v/>
      </c>
      <c r="U975" s="155">
        <f>IF(R975="","",IFERROR(--Разбивка_по_щитам!K975,""))</f>
        <v/>
      </c>
      <c r="V975" s="138">
        <f>IF(R975="","",IFERROR(IF(Разбивка_по_щитам!M975=0,"",Разбивка_по_щитам!M975),""))</f>
        <v/>
      </c>
      <c r="W975" s="156">
        <f t="shared" si="627"/>
        <v/>
      </c>
      <c r="X975" s="157">
        <f t="shared" si="628"/>
        <v/>
      </c>
      <c r="Y975" s="266"/>
      <c r="Z975" s="158">
        <f t="shared" si="629"/>
        <v/>
      </c>
      <c r="AA975" s="160">
        <f t="shared" si="630"/>
        <v/>
      </c>
      <c r="AB975" s="160">
        <f>IF(R975="","",IFERROR(LOOKUP(INDEX(Справочная!$I$4:$I$19,MATCH(VLOOKUP(R975,Исходные_данные,22,FALSE),Справочная!$J$4:$J$19,0)+1),{6,10,16,20,25,32,40,50,63,80,100,125}),""))</f>
        <v/>
      </c>
      <c r="AC975" s="160">
        <f t="shared" si="631"/>
        <v/>
      </c>
      <c r="AD975" s="161">
        <f t="shared" si="632"/>
        <v/>
      </c>
      <c r="AE975" s="161">
        <f>IF(AND(R975="",G975=""),"",_xlfn.TEXTJOIN("; ",TRUE,IF(AND(R975&lt;&gt;"",V975=""),"нет фазы",""),IF(AND(R975&lt;&gt;"",N(T975)=0),"нет мощности",""),IF(AND(P975&lt;&gt;"",COUNTIFS($A$3:$A$1000,A975,$P$3:$P$1000,P975)&gt;1),"дубль клеммы "&amp;P975,""),IF(AND(W975&lt;&gt;"",W975&lt;&gt;"ok"),W975,""),IF(X975&lt;&gt;"",X975,""),IF(AND(ISNUMBER(SEARCH("(5х",Q975)),N(AK975)=1),"5 жил на 1 фазе",""),IF(AND(AL975="R",E975&lt;&gt;"",N(AS975)=0),"розетка без 30 мА",""),IF(IFERROR(_xlfn.NUMBERVALUE(MID(Q975,FIND("-",Q975,FIND("L=",Q975))+1,FIND("%",Q975)-FIND("-",Q975,FIND("L=",Q975))-1),","),0)&gt;4,"потери &gt; 4 %","")))</f>
      </c>
      <c r="AF975" s="129">
        <f>IF(E975&lt;&gt;"",COUNTIFS($A$3:A975,A975,$E$3:E975,"?*"),IF(OR(A975&lt;&gt;A974,Y975="вручную"),"",AF974))</f>
        <v/>
      </c>
      <c r="AG975" s="129">
        <f t="shared" si="633"/>
        <v/>
      </c>
      <c r="AH975" s="129">
        <f t="shared" si="634"/>
        <v/>
      </c>
      <c r="AI975" s="129">
        <f t="shared" si="635"/>
        <v/>
      </c>
      <c r="AJ975" s="129">
        <f t="shared" si="636"/>
        <v/>
      </c>
      <c r="AK975" s="129">
        <f t="shared" si="637"/>
        <v/>
      </c>
      <c r="AL975" s="129">
        <f t="shared" si="638"/>
        <v/>
      </c>
      <c r="AM975" s="129">
        <f t="shared" si="639"/>
      </c>
      <c r="AN975" s="129">
        <f t="shared" si="640"/>
      </c>
      <c r="AO975" s="129">
        <f t="shared" si="641"/>
        <v/>
      </c>
      <c r="AP975" s="129">
        <f t="shared" si="642"/>
        <v/>
      </c>
      <c r="AQ975" s="129">
        <f t="shared" si="643"/>
        <v/>
      </c>
      <c r="AR975" s="129">
        <f t="shared" si="644"/>
        <v/>
      </c>
      <c r="AS975" s="129">
        <f t="shared" si="645"/>
        <v/>
      </c>
      <c r="AT975" s="129">
        <f t="shared" si="646"/>
        <v/>
      </c>
      <c r="AU975" s="129">
        <f t="shared" si="647"/>
        <v/>
      </c>
      <c r="AV975" s="129">
        <f t="shared" si="648"/>
        <v/>
      </c>
      <c r="AW975" s="129">
        <f>IF(AV975="","",AV975&amp;"."&amp;COUNTIFS($A$3:A975,A975,$AV$3:AV975,AV975))</f>
        <v/>
      </c>
      <c r="AX975" s="129">
        <f t="shared" si="649"/>
        <v/>
      </c>
      <c r="AY975" s="129">
        <f>IF(N975="б/к",0,IF(OR(ISNUMBER(SEARCH("L=",Разбивка_по_щитам!P975)),N975="+",N975="="),1,0))</f>
      </c>
      <c r="AZ975" s="129">
        <f t="shared" si="650"/>
        <v/>
      </c>
      <c r="BA975" s="129">
        <f t="shared" si="651"/>
      </c>
      <c r="BB975" s="129">
        <f t="shared" si="652"/>
      </c>
      <c r="BD975" s="129">
        <f t="shared" si="653"/>
      </c>
      <c r="BE975" s="129">
        <f t="shared" si="654"/>
      </c>
      <c r="BF975" s="129">
        <f t="shared" si="655"/>
      </c>
      <c r="BG975" s="129">
        <f t="shared" si="656"/>
        <v/>
      </c>
      <c r="BH975" s="129">
        <f t="shared" si="657"/>
        <v/>
      </c>
      <c r="BI975" s="129">
        <f t="shared" si="658"/>
        <v/>
      </c>
      <c r="BJ975" s="129">
        <f t="shared" si="659"/>
        <v/>
      </c>
      <c r="BK975" s="129">
        <f>IF(R975="","",IF(OR(BY975="",BY975=0),"BOX",IFERROR(IF(VLOOKUP(BY975,УГО_блоки,3,FALSE)&amp;""&lt;&gt;"",VLOOKUP(BY975,УГО_блоки,3,FALSE),VLOOKUP(BY975,УГО_блоки,2,FALSE)),BY975)))</f>
      </c>
      <c r="BL975" s="129">
        <f t="shared" si="661"/>
      </c>
      <c r="BM975" s="129">
        <f>IF(H975="","",IF(COUNTIF($H$3:H975,H975)=1,MAX($BM$2:BM974)+1,""))</f>
      </c>
      <c r="BN975" s="129">
        <f>IF(I975="","",IF(COUNTIF($I$3:I975,I975)+COUNTIF($J$2:J974,I975)+COUNTIF($K$2:K974,I975)=1,MAX($BN$2:BP974)+1,""))</f>
      </c>
      <c r="BO975" s="129">
        <f>IF(J975="","",IF(COUNTIF($I$3:I975,J975)+COUNTIF($J$3:J975,J975)+COUNTIF($K$2:K974,J975)=1,MAX($BN$2:BP974,BN975)+1,""))</f>
      </c>
      <c r="BP975" s="129">
        <f>IF(K975="","",IF(COUNTIF($I$3:I975,K975)+COUNTIF($J$3:J975,K975)+COUNTIF($K$3:K975,K975)=1,MAX($BN$2:BP974,BN975,BO975)+1,""))</f>
      </c>
      <c r="BQ975" s="129">
        <f>IF(AY975=1,IFERROR(MID(Q975,FIND(" (",Q975)+2,FIND(")",Q975,FIND(" (",Q975))-FIND(" (",Q975)-2),"?"),"")</f>
      </c>
      <c r="BR975" s="129">
        <f>IF(BQ975="","",IF(COUNTIF($BQ$3:BQ975,BQ975)=1,MAX($BR$2:BR974)+1,""))</f>
      </c>
      <c r="BS975" s="129">
        <f>IF(AW975="","",COUNTIF($AW$3:AW975,"?*"))</f>
      </c>
      <c r="BT975" s="129">
        <f>IF(OR(AW975="",AI975=""),"",IF(COUNTIFS($AW$3:AW975,"?*",$AI$3:AI975,AI975)=1,MAX($BT$2:BT974)+1,""))</f>
      </c>
      <c r="BU975" s="129">
        <f>IF(AE975="",0,IF(OR(ISNUMBER(SEARCH("дубль",AE975)),ISNUMBER(SEARCH("ПЕРЕГРУЗ",AE975)),ISNUMBER(SEARCH("ЗАЩИЩ",AE975)),ISNUMBER(SEARCH("КАНАЛ",AE975)),ISNUMBER(SEARCH("без 30",AE975))),2,1))</f>
      </c>
      <c r="BV975" s="129">
        <f>IF(R975="","",COUNTIF($R$3:R975,"?*"))</f>
      </c>
      <c r="BW975" s="129">
        <f>IF(AY975&lt;&gt;1,0,IF(MAX(IFERROR(--VLOOKUP(R975,УГО_спр,5,FALSE),0),IFERROR(--VLOOKUP(AL975,УГО_спр,5,FALSE),0),IFERROR(--VLOOKUP(LEFT(AL975,2),УГО_спр,5,FALSE),0))&gt;0,MAX(IFERROR(--VLOOKUP(R975,УГО_спр,5,FALSE),0),IFERROR(--VLOOKUP(AL975,УГО_спр,5,FALSE),0),IFERROR(--VLOOKUP(LEFT(AL975,2),УГО_спр,5,FALSE),0)),IF(IFERROR(--LEFT(SUBSTITUTE(BQ975,"x","х"),FIND("х",SUBSTITUTE(BQ975,"x","х"))-1),3)&gt;3,Каталог!$S$9,1)))</f>
      </c>
      <c r="BX975" s="129">
        <f>IF(AY975&lt;&gt;1,0,MAX(0,IFERROR(--LEFT(SUBSTITUTE(BQ975,"x","х"),FIND("х",SUBSTITUTE(BQ975,"x","х"))-1),3)-3*BW975))</f>
      </c>
      <c r="BY975" s="129">
        <f>IF(R975="","",IFERROR(VLOOKUP(R975,УГО_спр,2,FALSE),IFERROR(VLOOKUP(AL975,УГО_спр,2,FALSE),IFERROR(VLOOKUP(LEFT(AL975,2),УГО_спр,2,FALSE),""))))</f>
      </c>
    </row>
    <row r="976" spans="1:64" x14ac:dyDescent="0.3">
      <c r="A976" s="135">
        <f>IF(Разбивка_по_щитам!F976=0,"",Разбивка_по_щитам!F976)</f>
        <v/>
      </c>
      <c r="B976" s="138">
        <f>IF(A976="","",Разбивка_по_щитам!C976)</f>
        <v/>
      </c>
      <c r="C976" s="138">
        <f t="shared" si="622"/>
        <v/>
      </c>
      <c r="D976" s="266"/>
      <c r="E976" s="266"/>
      <c r="F976" s="267"/>
      <c r="G976" s="145">
        <f t="shared" si="623"/>
        <v/>
      </c>
      <c r="H976" s="145">
        <f t="shared" si="624"/>
        <v/>
      </c>
      <c r="I976" s="266"/>
      <c r="J976" s="267"/>
      <c r="K976" s="267"/>
      <c r="L976" s="266"/>
      <c r="M976" s="147">
        <f t="shared" si="625"/>
        <v/>
      </c>
      <c r="N976" s="267"/>
      <c r="O976" s="147">
        <f t="shared" si="626"/>
        <v/>
      </c>
      <c r="P976" s="268">
        <f>IF(AY976=1,"XT"&amp;COUNTIFS($A$3:A976,A976,$AY$3:AY976,1),"")</f>
        <v/>
      </c>
      <c r="Q976" s="152">
        <f>IF(R976="","",IFERROR(SUBSTITUTE(Разбивка_по_щитам!P976,CHAR(10)," "),""))</f>
        <v/>
      </c>
      <c r="R976" s="153">
        <f>IF(OR(Разбивка_по_щитам!H976="",Разбивка_по_щитам!H976=0),"",Разбивка_по_щитам!H976)</f>
        <v/>
      </c>
      <c r="S976" s="154">
        <f>IF(R976="","",IFERROR(Разбивка_по_щитам!J976&amp;"",""))</f>
        <v/>
      </c>
      <c r="T976" s="155">
        <f>IF(R976="","",IFERROR(--Разбивка_по_щитам!L976,""))</f>
        <v/>
      </c>
      <c r="U976" s="155">
        <f>IF(R976="","",IFERROR(--Разбивка_по_щитам!K976,""))</f>
        <v/>
      </c>
      <c r="V976" s="138">
        <f>IF(R976="","",IFERROR(IF(Разбивка_по_щитам!M976=0,"",Разбивка_по_щитам!M976),""))</f>
        <v/>
      </c>
      <c r="W976" s="156">
        <f t="shared" si="627"/>
        <v/>
      </c>
      <c r="X976" s="157">
        <f t="shared" si="628"/>
        <v/>
      </c>
      <c r="Y976" s="266"/>
      <c r="Z976" s="158">
        <f t="shared" si="629"/>
        <v/>
      </c>
      <c r="AA976" s="160">
        <f t="shared" si="630"/>
        <v/>
      </c>
      <c r="AB976" s="160">
        <f>IF(R976="","",IFERROR(LOOKUP(INDEX(Справочная!$I$4:$I$19,MATCH(VLOOKUP(R976,Исходные_данные,22,FALSE),Справочная!$J$4:$J$19,0)+1),{6,10,16,20,25,32,40,50,63,80,100,125}),""))</f>
        <v/>
      </c>
      <c r="AC976" s="160">
        <f t="shared" si="631"/>
        <v/>
      </c>
      <c r="AD976" s="161">
        <f t="shared" si="632"/>
        <v/>
      </c>
      <c r="AE976" s="161">
        <f>IF(AND(R976="",G976=""),"",_xlfn.TEXTJOIN("; ",TRUE,IF(AND(R976&lt;&gt;"",V976=""),"нет фазы",""),IF(AND(R976&lt;&gt;"",N(T976)=0),"нет мощности",""),IF(AND(P976&lt;&gt;"",COUNTIFS($A$3:$A$1000,A976,$P$3:$P$1000,P976)&gt;1),"дубль клеммы "&amp;P976,""),IF(AND(W976&lt;&gt;"",W976&lt;&gt;"ok"),W976,""),IF(X976&lt;&gt;"",X976,""),IF(AND(ISNUMBER(SEARCH("(5х",Q976)),N(AK976)=1),"5 жил на 1 фазе",""),IF(AND(AL976="R",E976&lt;&gt;"",N(AS976)=0),"розетка без 30 мА",""),IF(IFERROR(_xlfn.NUMBERVALUE(MID(Q976,FIND("-",Q976,FIND("L=",Q976))+1,FIND("%",Q976)-FIND("-",Q976,FIND("L=",Q976))-1),","),0)&gt;4,"потери &gt; 4 %","")))</f>
      </c>
      <c r="AF976" s="129">
        <f>IF(E976&lt;&gt;"",COUNTIFS($A$3:A976,A976,$E$3:E976,"?*"),IF(OR(A976&lt;&gt;A975,Y976="вручную"),"",AF975))</f>
        <v/>
      </c>
      <c r="AG976" s="129">
        <f t="shared" si="633"/>
        <v/>
      </c>
      <c r="AH976" s="129">
        <f t="shared" si="634"/>
        <v/>
      </c>
      <c r="AI976" s="129">
        <f t="shared" si="635"/>
        <v/>
      </c>
      <c r="AJ976" s="129">
        <f t="shared" si="636"/>
        <v/>
      </c>
      <c r="AK976" s="129">
        <f t="shared" si="637"/>
        <v/>
      </c>
      <c r="AL976" s="129">
        <f t="shared" si="638"/>
        <v/>
      </c>
      <c r="AM976" s="129">
        <f t="shared" si="639"/>
      </c>
      <c r="AN976" s="129">
        <f t="shared" si="640"/>
      </c>
      <c r="AO976" s="129">
        <f t="shared" si="641"/>
        <v/>
      </c>
      <c r="AP976" s="129">
        <f t="shared" si="642"/>
        <v/>
      </c>
      <c r="AQ976" s="129">
        <f t="shared" si="643"/>
        <v/>
      </c>
      <c r="AR976" s="129">
        <f t="shared" si="644"/>
        <v/>
      </c>
      <c r="AS976" s="129">
        <f t="shared" si="645"/>
        <v/>
      </c>
      <c r="AT976" s="129">
        <f t="shared" si="646"/>
        <v/>
      </c>
      <c r="AU976" s="129">
        <f t="shared" si="647"/>
        <v/>
      </c>
      <c r="AV976" s="129">
        <f t="shared" si="648"/>
        <v/>
      </c>
      <c r="AW976" s="129">
        <f>IF(AV976="","",AV976&amp;"."&amp;COUNTIFS($A$3:A976,A976,$AV$3:AV976,AV976))</f>
        <v/>
      </c>
      <c r="AX976" s="129">
        <f t="shared" si="649"/>
        <v/>
      </c>
      <c r="AY976" s="129">
        <f>IF(N976="б/к",0,IF(OR(ISNUMBER(SEARCH("L=",Разбивка_по_щитам!P976)),N976="+",N976="="),1,0))</f>
      </c>
      <c r="AZ976" s="129">
        <f t="shared" si="650"/>
        <v/>
      </c>
      <c r="BA976" s="129">
        <f t="shared" si="651"/>
      </c>
      <c r="BB976" s="129">
        <f t="shared" si="652"/>
      </c>
      <c r="BD976" s="129">
        <f t="shared" si="653"/>
      </c>
      <c r="BE976" s="129">
        <f t="shared" si="654"/>
      </c>
      <c r="BF976" s="129">
        <f t="shared" si="655"/>
      </c>
      <c r="BG976" s="129">
        <f t="shared" si="656"/>
        <v/>
      </c>
      <c r="BH976" s="129">
        <f t="shared" si="657"/>
        <v/>
      </c>
      <c r="BI976" s="129">
        <f t="shared" si="658"/>
        <v/>
      </c>
      <c r="BJ976" s="129">
        <f t="shared" si="659"/>
        <v/>
      </c>
      <c r="BK976" s="129">
        <f>IF(R976="","",IF(OR(BY976="",BY976=0),"BOX",IFERROR(IF(VLOOKUP(BY976,УГО_блоки,3,FALSE)&amp;""&lt;&gt;"",VLOOKUP(BY976,УГО_блоки,3,FALSE),VLOOKUP(BY976,УГО_блоки,2,FALSE)),BY976)))</f>
      </c>
      <c r="BL976" s="129">
        <f t="shared" si="661"/>
      </c>
      <c r="BM976" s="129">
        <f>IF(H976="","",IF(COUNTIF($H$3:H976,H976)=1,MAX($BM$2:BM975)+1,""))</f>
      </c>
      <c r="BN976" s="129">
        <f>IF(I976="","",IF(COUNTIF($I$3:I976,I976)+COUNTIF($J$2:J975,I976)+COUNTIF($K$2:K975,I976)=1,MAX($BN$2:BP975)+1,""))</f>
      </c>
      <c r="BO976" s="129">
        <f>IF(J976="","",IF(COUNTIF($I$3:I976,J976)+COUNTIF($J$3:J976,J976)+COUNTIF($K$2:K975,J976)=1,MAX($BN$2:BP975,BN976)+1,""))</f>
      </c>
      <c r="BP976" s="129">
        <f>IF(K976="","",IF(COUNTIF($I$3:I976,K976)+COUNTIF($J$3:J976,K976)+COUNTIF($K$3:K976,K976)=1,MAX($BN$2:BP975,BN976,BO976)+1,""))</f>
      </c>
      <c r="BQ976" s="129">
        <f>IF(AY976=1,IFERROR(MID(Q976,FIND(" (",Q976)+2,FIND(")",Q976,FIND(" (",Q976))-FIND(" (",Q976)-2),"?"),"")</f>
      </c>
      <c r="BR976" s="129">
        <f>IF(BQ976="","",IF(COUNTIF($BQ$3:BQ976,BQ976)=1,MAX($BR$2:BR975)+1,""))</f>
      </c>
      <c r="BS976" s="129">
        <f>IF(AW976="","",COUNTIF($AW$3:AW976,"?*"))</f>
      </c>
      <c r="BT976" s="129">
        <f>IF(OR(AW976="",AI976=""),"",IF(COUNTIFS($AW$3:AW976,"?*",$AI$3:AI976,AI976)=1,MAX($BT$2:BT975)+1,""))</f>
      </c>
      <c r="BU976" s="129">
        <f>IF(AE976="",0,IF(OR(ISNUMBER(SEARCH("дубль",AE976)),ISNUMBER(SEARCH("ПЕРЕГРУЗ",AE976)),ISNUMBER(SEARCH("ЗАЩИЩ",AE976)),ISNUMBER(SEARCH("КАНАЛ",AE976)),ISNUMBER(SEARCH("без 30",AE976))),2,1))</f>
      </c>
      <c r="BV976" s="129">
        <f>IF(R976="","",COUNTIF($R$3:R976,"?*"))</f>
      </c>
      <c r="BW976" s="129">
        <f>IF(AY976&lt;&gt;1,0,IF(MAX(IFERROR(--VLOOKUP(R976,УГО_спр,5,FALSE),0),IFERROR(--VLOOKUP(AL976,УГО_спр,5,FALSE),0),IFERROR(--VLOOKUP(LEFT(AL976,2),УГО_спр,5,FALSE),0))&gt;0,MAX(IFERROR(--VLOOKUP(R976,УГО_спр,5,FALSE),0),IFERROR(--VLOOKUP(AL976,УГО_спр,5,FALSE),0),IFERROR(--VLOOKUP(LEFT(AL976,2),УГО_спр,5,FALSE),0)),IF(IFERROR(--LEFT(SUBSTITUTE(BQ976,"x","х"),FIND("х",SUBSTITUTE(BQ976,"x","х"))-1),3)&gt;3,Каталог!$S$9,1)))</f>
      </c>
      <c r="BX976" s="129">
        <f>IF(AY976&lt;&gt;1,0,MAX(0,IFERROR(--LEFT(SUBSTITUTE(BQ976,"x","х"),FIND("х",SUBSTITUTE(BQ976,"x","х"))-1),3)-3*BW976))</f>
      </c>
      <c r="BY976" s="129">
        <f>IF(R976="","",IFERROR(VLOOKUP(R976,УГО_спр,2,FALSE),IFERROR(VLOOKUP(AL976,УГО_спр,2,FALSE),IFERROR(VLOOKUP(LEFT(AL976,2),УГО_спр,2,FALSE),""))))</f>
      </c>
    </row>
    <row r="977" spans="1:64" x14ac:dyDescent="0.3">
      <c r="A977" s="135">
        <f>IF(Разбивка_по_щитам!F977=0,"",Разбивка_по_щитам!F977)</f>
        <v/>
      </c>
      <c r="B977" s="138">
        <f>IF(A977="","",Разбивка_по_щитам!C977)</f>
        <v/>
      </c>
      <c r="C977" s="138">
        <f t="shared" si="622"/>
        <v/>
      </c>
      <c r="D977" s="266"/>
      <c r="E977" s="266"/>
      <c r="F977" s="267"/>
      <c r="G977" s="145">
        <f t="shared" si="623"/>
        <v/>
      </c>
      <c r="H977" s="145">
        <f t="shared" si="624"/>
        <v/>
      </c>
      <c r="I977" s="266"/>
      <c r="J977" s="267"/>
      <c r="K977" s="267"/>
      <c r="L977" s="266"/>
      <c r="M977" s="147">
        <f t="shared" si="625"/>
        <v/>
      </c>
      <c r="N977" s="267"/>
      <c r="O977" s="147">
        <f t="shared" si="626"/>
        <v/>
      </c>
      <c r="P977" s="268">
        <f>IF(AY977=1,"XT"&amp;COUNTIFS($A$3:A977,A977,$AY$3:AY977,1),"")</f>
        <v/>
      </c>
      <c r="Q977" s="152">
        <f>IF(R977="","",IFERROR(SUBSTITUTE(Разбивка_по_щитам!P977,CHAR(10)," "),""))</f>
        <v/>
      </c>
      <c r="R977" s="153">
        <f>IF(OR(Разбивка_по_щитам!H977="",Разбивка_по_щитам!H977=0),"",Разбивка_по_щитам!H977)</f>
        <v/>
      </c>
      <c r="S977" s="154">
        <f>IF(R977="","",IFERROR(Разбивка_по_щитам!J977&amp;"",""))</f>
        <v/>
      </c>
      <c r="T977" s="155">
        <f>IF(R977="","",IFERROR(--Разбивка_по_щитам!L977,""))</f>
        <v/>
      </c>
      <c r="U977" s="155">
        <f>IF(R977="","",IFERROR(--Разбивка_по_щитам!K977,""))</f>
        <v/>
      </c>
      <c r="V977" s="138">
        <f>IF(R977="","",IFERROR(IF(Разбивка_по_щитам!M977=0,"",Разбивка_по_щитам!M977),""))</f>
        <v/>
      </c>
      <c r="W977" s="156">
        <f t="shared" si="627"/>
        <v/>
      </c>
      <c r="X977" s="157">
        <f t="shared" si="628"/>
        <v/>
      </c>
      <c r="Y977" s="266"/>
      <c r="Z977" s="158">
        <f t="shared" si="629"/>
        <v/>
      </c>
      <c r="AA977" s="160">
        <f t="shared" si="630"/>
        <v/>
      </c>
      <c r="AB977" s="160">
        <f>IF(R977="","",IFERROR(LOOKUP(INDEX(Справочная!$I$4:$I$19,MATCH(VLOOKUP(R977,Исходные_данные,22,FALSE),Справочная!$J$4:$J$19,0)+1),{6,10,16,20,25,32,40,50,63,80,100,125}),""))</f>
        <v/>
      </c>
      <c r="AC977" s="160">
        <f t="shared" si="631"/>
        <v/>
      </c>
      <c r="AD977" s="161">
        <f t="shared" si="632"/>
        <v/>
      </c>
      <c r="AE977" s="161">
        <f>IF(AND(R977="",G977=""),"",_xlfn.TEXTJOIN("; ",TRUE,IF(AND(R977&lt;&gt;"",V977=""),"нет фазы",""),IF(AND(R977&lt;&gt;"",N(T977)=0),"нет мощности",""),IF(AND(P977&lt;&gt;"",COUNTIFS($A$3:$A$1000,A977,$P$3:$P$1000,P977)&gt;1),"дубль клеммы "&amp;P977,""),IF(AND(W977&lt;&gt;"",W977&lt;&gt;"ok"),W977,""),IF(X977&lt;&gt;"",X977,""),IF(AND(ISNUMBER(SEARCH("(5х",Q977)),N(AK977)=1),"5 жил на 1 фазе",""),IF(AND(AL977="R",E977&lt;&gt;"",N(AS977)=0),"розетка без 30 мА",""),IF(IFERROR(_xlfn.NUMBERVALUE(MID(Q977,FIND("-",Q977,FIND("L=",Q977))+1,FIND("%",Q977)-FIND("-",Q977,FIND("L=",Q977))-1),","),0)&gt;4,"потери &gt; 4 %","")))</f>
      </c>
      <c r="AF977" s="129">
        <f>IF(E977&lt;&gt;"",COUNTIFS($A$3:A977,A977,$E$3:E977,"?*"),IF(OR(A977&lt;&gt;A976,Y977="вручную"),"",AF976))</f>
        <v/>
      </c>
      <c r="AG977" s="129">
        <f t="shared" si="633"/>
        <v/>
      </c>
      <c r="AH977" s="129">
        <f t="shared" si="634"/>
        <v/>
      </c>
      <c r="AI977" s="129">
        <f t="shared" si="635"/>
        <v/>
      </c>
      <c r="AJ977" s="129">
        <f t="shared" si="636"/>
        <v/>
      </c>
      <c r="AK977" s="129">
        <f t="shared" si="637"/>
        <v/>
      </c>
      <c r="AL977" s="129">
        <f t="shared" si="638"/>
        <v/>
      </c>
      <c r="AM977" s="129">
        <f t="shared" si="639"/>
      </c>
      <c r="AN977" s="129">
        <f t="shared" si="640"/>
      </c>
      <c r="AO977" s="129">
        <f t="shared" si="641"/>
        <v/>
      </c>
      <c r="AP977" s="129">
        <f t="shared" si="642"/>
        <v/>
      </c>
      <c r="AQ977" s="129">
        <f t="shared" si="643"/>
        <v/>
      </c>
      <c r="AR977" s="129">
        <f t="shared" si="644"/>
        <v/>
      </c>
      <c r="AS977" s="129">
        <f t="shared" si="645"/>
        <v/>
      </c>
      <c r="AT977" s="129">
        <f t="shared" si="646"/>
        <v/>
      </c>
      <c r="AU977" s="129">
        <f t="shared" si="647"/>
        <v/>
      </c>
      <c r="AV977" s="129">
        <f t="shared" si="648"/>
        <v/>
      </c>
      <c r="AW977" s="129">
        <f>IF(AV977="","",AV977&amp;"."&amp;COUNTIFS($A$3:A977,A977,$AV$3:AV977,AV977))</f>
        <v/>
      </c>
      <c r="AX977" s="129">
        <f t="shared" si="649"/>
        <v/>
      </c>
      <c r="AY977" s="129">
        <f>IF(N977="б/к",0,IF(OR(ISNUMBER(SEARCH("L=",Разбивка_по_щитам!P977)),N977="+",N977="="),1,0))</f>
      </c>
      <c r="AZ977" s="129">
        <f t="shared" si="650"/>
        <v/>
      </c>
      <c r="BA977" s="129">
        <f t="shared" si="651"/>
      </c>
      <c r="BB977" s="129">
        <f t="shared" si="652"/>
      </c>
      <c r="BD977" s="129">
        <f t="shared" si="653"/>
      </c>
      <c r="BE977" s="129">
        <f t="shared" si="654"/>
      </c>
      <c r="BF977" s="129">
        <f t="shared" si="655"/>
      </c>
      <c r="BG977" s="129">
        <f t="shared" si="656"/>
        <v/>
      </c>
      <c r="BH977" s="129">
        <f t="shared" si="657"/>
        <v/>
      </c>
      <c r="BI977" s="129">
        <f t="shared" si="658"/>
        <v/>
      </c>
      <c r="BJ977" s="129">
        <f t="shared" si="659"/>
        <v/>
      </c>
      <c r="BK977" s="129">
        <f>IF(R977="","",IF(OR(BY977="",BY977=0),"BOX",IFERROR(IF(VLOOKUP(BY977,УГО_блоки,3,FALSE)&amp;""&lt;&gt;"",VLOOKUP(BY977,УГО_блоки,3,FALSE),VLOOKUP(BY977,УГО_блоки,2,FALSE)),BY977)))</f>
      </c>
      <c r="BL977" s="129">
        <f t="shared" si="661"/>
      </c>
      <c r="BM977" s="129">
        <f>IF(H977="","",IF(COUNTIF($H$3:H977,H977)=1,MAX($BM$2:BM976)+1,""))</f>
      </c>
      <c r="BN977" s="129">
        <f>IF(I977="","",IF(COUNTIF($I$3:I977,I977)+COUNTIF($J$2:J976,I977)+COUNTIF($K$2:K976,I977)=1,MAX($BN$2:BP976)+1,""))</f>
      </c>
      <c r="BO977" s="129">
        <f>IF(J977="","",IF(COUNTIF($I$3:I977,J977)+COUNTIF($J$3:J977,J977)+COUNTIF($K$2:K976,J977)=1,MAX($BN$2:BP976,BN977)+1,""))</f>
      </c>
      <c r="BP977" s="129">
        <f>IF(K977="","",IF(COUNTIF($I$3:I977,K977)+COUNTIF($J$3:J977,K977)+COUNTIF($K$3:K977,K977)=1,MAX($BN$2:BP976,BN977,BO977)+1,""))</f>
      </c>
      <c r="BQ977" s="129">
        <f>IF(AY977=1,IFERROR(MID(Q977,FIND(" (",Q977)+2,FIND(")",Q977,FIND(" (",Q977))-FIND(" (",Q977)-2),"?"),"")</f>
      </c>
      <c r="BR977" s="129">
        <f>IF(BQ977="","",IF(COUNTIF($BQ$3:BQ977,BQ977)=1,MAX($BR$2:BR976)+1,""))</f>
      </c>
      <c r="BS977" s="129">
        <f>IF(AW977="","",COUNTIF($AW$3:AW977,"?*"))</f>
      </c>
      <c r="BT977" s="129">
        <f>IF(OR(AW977="",AI977=""),"",IF(COUNTIFS($AW$3:AW977,"?*",$AI$3:AI977,AI977)=1,MAX($BT$2:BT976)+1,""))</f>
      </c>
      <c r="BU977" s="129">
        <f>IF(AE977="",0,IF(OR(ISNUMBER(SEARCH("дубль",AE977)),ISNUMBER(SEARCH("ПЕРЕГРУЗ",AE977)),ISNUMBER(SEARCH("ЗАЩИЩ",AE977)),ISNUMBER(SEARCH("КАНАЛ",AE977)),ISNUMBER(SEARCH("без 30",AE977))),2,1))</f>
      </c>
      <c r="BV977" s="129">
        <f>IF(R977="","",COUNTIF($R$3:R977,"?*"))</f>
      </c>
      <c r="BW977" s="129">
        <f>IF(AY977&lt;&gt;1,0,IF(MAX(IFERROR(--VLOOKUP(R977,УГО_спр,5,FALSE),0),IFERROR(--VLOOKUP(AL977,УГО_спр,5,FALSE),0),IFERROR(--VLOOKUP(LEFT(AL977,2),УГО_спр,5,FALSE),0))&gt;0,MAX(IFERROR(--VLOOKUP(R977,УГО_спр,5,FALSE),0),IFERROR(--VLOOKUP(AL977,УГО_спр,5,FALSE),0),IFERROR(--VLOOKUP(LEFT(AL977,2),УГО_спр,5,FALSE),0)),IF(IFERROR(--LEFT(SUBSTITUTE(BQ977,"x","х"),FIND("х",SUBSTITUTE(BQ977,"x","х"))-1),3)&gt;3,Каталог!$S$9,1)))</f>
      </c>
      <c r="BX977" s="129">
        <f>IF(AY977&lt;&gt;1,0,MAX(0,IFERROR(--LEFT(SUBSTITUTE(BQ977,"x","х"),FIND("х",SUBSTITUTE(BQ977,"x","х"))-1),3)-3*BW977))</f>
      </c>
      <c r="BY977" s="129">
        <f>IF(R977="","",IFERROR(VLOOKUP(R977,УГО_спр,2,FALSE),IFERROR(VLOOKUP(AL977,УГО_спр,2,FALSE),IFERROR(VLOOKUP(LEFT(AL977,2),УГО_спр,2,FALSE),""))))</f>
      </c>
    </row>
    <row r="978" spans="1:64" x14ac:dyDescent="0.3">
      <c r="A978" s="135">
        <f>IF(Разбивка_по_щитам!F978=0,"",Разбивка_по_щитам!F978)</f>
        <v/>
      </c>
      <c r="B978" s="138">
        <f>IF(A978="","",Разбивка_по_щитам!C978)</f>
        <v/>
      </c>
      <c r="C978" s="138">
        <f t="shared" si="622"/>
        <v/>
      </c>
      <c r="D978" s="266"/>
      <c r="E978" s="266"/>
      <c r="F978" s="267"/>
      <c r="G978" s="145">
        <f t="shared" si="623"/>
        <v/>
      </c>
      <c r="H978" s="145">
        <f t="shared" si="624"/>
        <v/>
      </c>
      <c r="I978" s="266"/>
      <c r="J978" s="267"/>
      <c r="K978" s="267"/>
      <c r="L978" s="266"/>
      <c r="M978" s="147">
        <f t="shared" si="625"/>
        <v/>
      </c>
      <c r="N978" s="267"/>
      <c r="O978" s="147">
        <f t="shared" si="626"/>
        <v/>
      </c>
      <c r="P978" s="268">
        <f>IF(AY978=1,"XT"&amp;COUNTIFS($A$3:A978,A978,$AY$3:AY978,1),"")</f>
        <v/>
      </c>
      <c r="Q978" s="152">
        <f>IF(R978="","",IFERROR(SUBSTITUTE(Разбивка_по_щитам!P978,CHAR(10)," "),""))</f>
        <v/>
      </c>
      <c r="R978" s="153">
        <f>IF(OR(Разбивка_по_щитам!H978="",Разбивка_по_щитам!H978=0),"",Разбивка_по_щитам!H978)</f>
        <v/>
      </c>
      <c r="S978" s="154">
        <f>IF(R978="","",IFERROR(Разбивка_по_щитам!J978&amp;"",""))</f>
        <v/>
      </c>
      <c r="T978" s="155">
        <f>IF(R978="","",IFERROR(--Разбивка_по_щитам!L978,""))</f>
        <v/>
      </c>
      <c r="U978" s="155">
        <f>IF(R978="","",IFERROR(--Разбивка_по_щитам!K978,""))</f>
        <v/>
      </c>
      <c r="V978" s="138">
        <f>IF(R978="","",IFERROR(IF(Разбивка_по_щитам!M978=0,"",Разбивка_по_щитам!M978),""))</f>
        <v/>
      </c>
      <c r="W978" s="156">
        <f t="shared" si="627"/>
        <v/>
      </c>
      <c r="X978" s="157">
        <f t="shared" si="628"/>
        <v/>
      </c>
      <c r="Y978" s="266"/>
      <c r="Z978" s="158">
        <f t="shared" si="629"/>
        <v/>
      </c>
      <c r="AA978" s="160">
        <f t="shared" si="630"/>
        <v/>
      </c>
      <c r="AB978" s="160">
        <f>IF(R978="","",IFERROR(LOOKUP(INDEX(Справочная!$I$4:$I$19,MATCH(VLOOKUP(R978,Исходные_данные,22,FALSE),Справочная!$J$4:$J$19,0)+1),{6,10,16,20,25,32,40,50,63,80,100,125}),""))</f>
        <v/>
      </c>
      <c r="AC978" s="160">
        <f t="shared" si="631"/>
        <v/>
      </c>
      <c r="AD978" s="161">
        <f t="shared" si="632"/>
        <v/>
      </c>
      <c r="AE978" s="161">
        <f>IF(AND(R978="",G978=""),"",_xlfn.TEXTJOIN("; ",TRUE,IF(AND(R978&lt;&gt;"",V978=""),"нет фазы",""),IF(AND(R978&lt;&gt;"",N(T978)=0),"нет мощности",""),IF(AND(P978&lt;&gt;"",COUNTIFS($A$3:$A$1000,A978,$P$3:$P$1000,P978)&gt;1),"дубль клеммы "&amp;P978,""),IF(AND(W978&lt;&gt;"",W978&lt;&gt;"ok"),W978,""),IF(X978&lt;&gt;"",X978,""),IF(AND(ISNUMBER(SEARCH("(5х",Q978)),N(AK978)=1),"5 жил на 1 фазе",""),IF(AND(AL978="R",E978&lt;&gt;"",N(AS978)=0),"розетка без 30 мА",""),IF(IFERROR(_xlfn.NUMBERVALUE(MID(Q978,FIND("-",Q978,FIND("L=",Q978))+1,FIND("%",Q978)-FIND("-",Q978,FIND("L=",Q978))-1),","),0)&gt;4,"потери &gt; 4 %","")))</f>
      </c>
      <c r="AF978" s="129">
        <f>IF(E978&lt;&gt;"",COUNTIFS($A$3:A978,A978,$E$3:E978,"?*"),IF(OR(A978&lt;&gt;A977,Y978="вручную"),"",AF977))</f>
        <v/>
      </c>
      <c r="AG978" s="129">
        <f t="shared" si="633"/>
        <v/>
      </c>
      <c r="AH978" s="129">
        <f t="shared" si="634"/>
        <v/>
      </c>
      <c r="AI978" s="129">
        <f t="shared" si="635"/>
        <v/>
      </c>
      <c r="AJ978" s="129">
        <f t="shared" si="636"/>
        <v/>
      </c>
      <c r="AK978" s="129">
        <f t="shared" si="637"/>
        <v/>
      </c>
      <c r="AL978" s="129">
        <f t="shared" si="638"/>
        <v/>
      </c>
      <c r="AM978" s="129">
        <f t="shared" si="639"/>
      </c>
      <c r="AN978" s="129">
        <f t="shared" si="640"/>
      </c>
      <c r="AO978" s="129">
        <f t="shared" si="641"/>
        <v/>
      </c>
      <c r="AP978" s="129">
        <f t="shared" si="642"/>
        <v/>
      </c>
      <c r="AQ978" s="129">
        <f t="shared" si="643"/>
        <v/>
      </c>
      <c r="AR978" s="129">
        <f t="shared" si="644"/>
        <v/>
      </c>
      <c r="AS978" s="129">
        <f t="shared" si="645"/>
        <v/>
      </c>
      <c r="AT978" s="129">
        <f t="shared" si="646"/>
        <v/>
      </c>
      <c r="AU978" s="129">
        <f t="shared" si="647"/>
        <v/>
      </c>
      <c r="AV978" s="129">
        <f t="shared" si="648"/>
        <v/>
      </c>
      <c r="AW978" s="129">
        <f>IF(AV978="","",AV978&amp;"."&amp;COUNTIFS($A$3:A978,A978,$AV$3:AV978,AV978))</f>
        <v/>
      </c>
      <c r="AX978" s="129">
        <f t="shared" si="649"/>
        <v/>
      </c>
      <c r="AY978" s="129">
        <f>IF(N978="б/к",0,IF(OR(ISNUMBER(SEARCH("L=",Разбивка_по_щитам!P978)),N978="+",N978="="),1,0))</f>
      </c>
      <c r="AZ978" s="129">
        <f t="shared" si="650"/>
        <v/>
      </c>
      <c r="BA978" s="129">
        <f t="shared" si="651"/>
      </c>
      <c r="BB978" s="129">
        <f t="shared" si="652"/>
      </c>
      <c r="BD978" s="129">
        <f t="shared" si="653"/>
      </c>
      <c r="BE978" s="129">
        <f t="shared" si="654"/>
      </c>
      <c r="BF978" s="129">
        <f t="shared" si="655"/>
      </c>
      <c r="BG978" s="129">
        <f t="shared" si="656"/>
        <v/>
      </c>
      <c r="BH978" s="129">
        <f t="shared" si="657"/>
        <v/>
      </c>
      <c r="BI978" s="129">
        <f t="shared" si="658"/>
        <v/>
      </c>
      <c r="BJ978" s="129">
        <f t="shared" si="659"/>
        <v/>
      </c>
      <c r="BK978" s="129">
        <f>IF(R978="","",IF(OR(BY978="",BY978=0),"BOX",IFERROR(IF(VLOOKUP(BY978,УГО_блоки,3,FALSE)&amp;""&lt;&gt;"",VLOOKUP(BY978,УГО_блоки,3,FALSE),VLOOKUP(BY978,УГО_блоки,2,FALSE)),BY978)))</f>
      </c>
      <c r="BL978" s="129">
        <f t="shared" si="661"/>
      </c>
      <c r="BM978" s="129">
        <f>IF(H978="","",IF(COUNTIF($H$3:H978,H978)=1,MAX($BM$2:BM977)+1,""))</f>
      </c>
      <c r="BN978" s="129">
        <f>IF(I978="","",IF(COUNTIF($I$3:I978,I978)+COUNTIF($J$2:J977,I978)+COUNTIF($K$2:K977,I978)=1,MAX($BN$2:BP977)+1,""))</f>
      </c>
      <c r="BO978" s="129">
        <f>IF(J978="","",IF(COUNTIF($I$3:I978,J978)+COUNTIF($J$3:J978,J978)+COUNTIF($K$2:K977,J978)=1,MAX($BN$2:BP977,BN978)+1,""))</f>
      </c>
      <c r="BP978" s="129">
        <f>IF(K978="","",IF(COUNTIF($I$3:I978,K978)+COUNTIF($J$3:J978,K978)+COUNTIF($K$3:K978,K978)=1,MAX($BN$2:BP977,BN978,BO978)+1,""))</f>
      </c>
      <c r="BQ978" s="129">
        <f>IF(AY978=1,IFERROR(MID(Q978,FIND(" (",Q978)+2,FIND(")",Q978,FIND(" (",Q978))-FIND(" (",Q978)-2),"?"),"")</f>
      </c>
      <c r="BR978" s="129">
        <f>IF(BQ978="","",IF(COUNTIF($BQ$3:BQ978,BQ978)=1,MAX($BR$2:BR977)+1,""))</f>
      </c>
      <c r="BS978" s="129">
        <f>IF(AW978="","",COUNTIF($AW$3:AW978,"?*"))</f>
      </c>
      <c r="BT978" s="129">
        <f>IF(OR(AW978="",AI978=""),"",IF(COUNTIFS($AW$3:AW978,"?*",$AI$3:AI978,AI978)=1,MAX($BT$2:BT977)+1,""))</f>
      </c>
      <c r="BU978" s="129">
        <f>IF(AE978="",0,IF(OR(ISNUMBER(SEARCH("дубль",AE978)),ISNUMBER(SEARCH("ПЕРЕГРУЗ",AE978)),ISNUMBER(SEARCH("ЗАЩИЩ",AE978)),ISNUMBER(SEARCH("КАНАЛ",AE978)),ISNUMBER(SEARCH("без 30",AE978))),2,1))</f>
      </c>
      <c r="BV978" s="129">
        <f>IF(R978="","",COUNTIF($R$3:R978,"?*"))</f>
      </c>
      <c r="BW978" s="129">
        <f>IF(AY978&lt;&gt;1,0,IF(MAX(IFERROR(--VLOOKUP(R978,УГО_спр,5,FALSE),0),IFERROR(--VLOOKUP(AL978,УГО_спр,5,FALSE),0),IFERROR(--VLOOKUP(LEFT(AL978,2),УГО_спр,5,FALSE),0))&gt;0,MAX(IFERROR(--VLOOKUP(R978,УГО_спр,5,FALSE),0),IFERROR(--VLOOKUP(AL978,УГО_спр,5,FALSE),0),IFERROR(--VLOOKUP(LEFT(AL978,2),УГО_спр,5,FALSE),0)),IF(IFERROR(--LEFT(SUBSTITUTE(BQ978,"x","х"),FIND("х",SUBSTITUTE(BQ978,"x","х"))-1),3)&gt;3,Каталог!$S$9,1)))</f>
      </c>
      <c r="BX978" s="129">
        <f>IF(AY978&lt;&gt;1,0,MAX(0,IFERROR(--LEFT(SUBSTITUTE(BQ978,"x","х"),FIND("х",SUBSTITUTE(BQ978,"x","х"))-1),3)-3*BW978))</f>
      </c>
      <c r="BY978" s="129">
        <f>IF(R978="","",IFERROR(VLOOKUP(R978,УГО_спр,2,FALSE),IFERROR(VLOOKUP(AL978,УГО_спр,2,FALSE),IFERROR(VLOOKUP(LEFT(AL978,2),УГО_спр,2,FALSE),""))))</f>
      </c>
    </row>
    <row r="979" spans="1:64" x14ac:dyDescent="0.3">
      <c r="A979" s="135">
        <f>IF(Разбивка_по_щитам!F979=0,"",Разбивка_по_щитам!F979)</f>
        <v/>
      </c>
      <c r="B979" s="138">
        <f>IF(A979="","",Разбивка_по_щитам!C979)</f>
        <v/>
      </c>
      <c r="C979" s="138">
        <f t="shared" si="622"/>
        <v/>
      </c>
      <c r="D979" s="266"/>
      <c r="E979" s="266"/>
      <c r="F979" s="267"/>
      <c r="G979" s="145">
        <f t="shared" si="623"/>
        <v/>
      </c>
      <c r="H979" s="145">
        <f t="shared" si="624"/>
        <v/>
      </c>
      <c r="I979" s="266"/>
      <c r="J979" s="267"/>
      <c r="K979" s="267"/>
      <c r="L979" s="266"/>
      <c r="M979" s="147">
        <f t="shared" si="625"/>
        <v/>
      </c>
      <c r="N979" s="267"/>
      <c r="O979" s="147">
        <f t="shared" si="626"/>
        <v/>
      </c>
      <c r="P979" s="268">
        <f>IF(AY979=1,"XT"&amp;COUNTIFS($A$3:A979,A979,$AY$3:AY979,1),"")</f>
        <v/>
      </c>
      <c r="Q979" s="152">
        <f>IF(R979="","",IFERROR(SUBSTITUTE(Разбивка_по_щитам!P979,CHAR(10)," "),""))</f>
        <v/>
      </c>
      <c r="R979" s="153">
        <f>IF(OR(Разбивка_по_щитам!H979="",Разбивка_по_щитам!H979=0),"",Разбивка_по_щитам!H979)</f>
        <v/>
      </c>
      <c r="S979" s="154">
        <f>IF(R979="","",IFERROR(Разбивка_по_щитам!J979&amp;"",""))</f>
        <v/>
      </c>
      <c r="T979" s="155">
        <f>IF(R979="","",IFERROR(--Разбивка_по_щитам!L979,""))</f>
        <v/>
      </c>
      <c r="U979" s="155">
        <f>IF(R979="","",IFERROR(--Разбивка_по_щитам!K979,""))</f>
        <v/>
      </c>
      <c r="V979" s="138">
        <f>IF(R979="","",IFERROR(IF(Разбивка_по_щитам!M979=0,"",Разбивка_по_щитам!M979),""))</f>
        <v/>
      </c>
      <c r="W979" s="156">
        <f t="shared" si="627"/>
        <v/>
      </c>
      <c r="X979" s="157">
        <f t="shared" si="628"/>
        <v/>
      </c>
      <c r="Y979" s="266"/>
      <c r="Z979" s="158">
        <f t="shared" si="629"/>
        <v/>
      </c>
      <c r="AA979" s="160">
        <f t="shared" si="630"/>
        <v/>
      </c>
      <c r="AB979" s="160">
        <f>IF(R979="","",IFERROR(LOOKUP(INDEX(Справочная!$I$4:$I$19,MATCH(VLOOKUP(R979,Исходные_данные,22,FALSE),Справочная!$J$4:$J$19,0)+1),{6,10,16,20,25,32,40,50,63,80,100,125}),""))</f>
        <v/>
      </c>
      <c r="AC979" s="160">
        <f t="shared" si="631"/>
        <v/>
      </c>
      <c r="AD979" s="161">
        <f t="shared" si="632"/>
        <v/>
      </c>
      <c r="AE979" s="161">
        <f>IF(AND(R979="",G979=""),"",_xlfn.TEXTJOIN("; ",TRUE,IF(AND(R979&lt;&gt;"",V979=""),"нет фазы",""),IF(AND(R979&lt;&gt;"",N(T979)=0),"нет мощности",""),IF(AND(P979&lt;&gt;"",COUNTIFS($A$3:$A$1000,A979,$P$3:$P$1000,P979)&gt;1),"дубль клеммы "&amp;P979,""),IF(AND(W979&lt;&gt;"",W979&lt;&gt;"ok"),W979,""),IF(X979&lt;&gt;"",X979,""),IF(AND(ISNUMBER(SEARCH("(5х",Q979)),N(AK979)=1),"5 жил на 1 фазе",""),IF(AND(AL979="R",E979&lt;&gt;"",N(AS979)=0),"розетка без 30 мА",""),IF(IFERROR(_xlfn.NUMBERVALUE(MID(Q979,FIND("-",Q979,FIND("L=",Q979))+1,FIND("%",Q979)-FIND("-",Q979,FIND("L=",Q979))-1),","),0)&gt;4,"потери &gt; 4 %","")))</f>
      </c>
      <c r="AF979" s="129">
        <f>IF(E979&lt;&gt;"",COUNTIFS($A$3:A979,A979,$E$3:E979,"?*"),IF(OR(A979&lt;&gt;A978,Y979="вручную"),"",AF978))</f>
        <v/>
      </c>
      <c r="AG979" s="129">
        <f t="shared" si="633"/>
        <v/>
      </c>
      <c r="AH979" s="129">
        <f t="shared" si="634"/>
        <v/>
      </c>
      <c r="AI979" s="129">
        <f t="shared" si="635"/>
        <v/>
      </c>
      <c r="AJ979" s="129">
        <f t="shared" si="636"/>
        <v/>
      </c>
      <c r="AK979" s="129">
        <f t="shared" si="637"/>
        <v/>
      </c>
      <c r="AL979" s="129">
        <f t="shared" si="638"/>
        <v/>
      </c>
      <c r="AM979" s="129">
        <f t="shared" si="639"/>
      </c>
      <c r="AN979" s="129">
        <f t="shared" si="640"/>
      </c>
      <c r="AO979" s="129">
        <f t="shared" si="641"/>
        <v/>
      </c>
      <c r="AP979" s="129">
        <f t="shared" si="642"/>
        <v/>
      </c>
      <c r="AQ979" s="129">
        <f t="shared" si="643"/>
        <v/>
      </c>
      <c r="AR979" s="129">
        <f t="shared" si="644"/>
        <v/>
      </c>
      <c r="AS979" s="129">
        <f t="shared" si="645"/>
        <v/>
      </c>
      <c r="AT979" s="129">
        <f t="shared" si="646"/>
        <v/>
      </c>
      <c r="AU979" s="129">
        <f t="shared" si="647"/>
        <v/>
      </c>
      <c r="AV979" s="129">
        <f t="shared" si="648"/>
        <v/>
      </c>
      <c r="AW979" s="129">
        <f>IF(AV979="","",AV979&amp;"."&amp;COUNTIFS($A$3:A979,A979,$AV$3:AV979,AV979))</f>
        <v/>
      </c>
      <c r="AX979" s="129">
        <f t="shared" si="649"/>
        <v/>
      </c>
      <c r="AY979" s="129">
        <f>IF(N979="б/к",0,IF(OR(ISNUMBER(SEARCH("L=",Разбивка_по_щитам!P979)),N979="+",N979="="),1,0))</f>
      </c>
      <c r="AZ979" s="129">
        <f t="shared" si="650"/>
        <v/>
      </c>
      <c r="BA979" s="129">
        <f t="shared" si="651"/>
      </c>
      <c r="BB979" s="129">
        <f t="shared" si="652"/>
      </c>
      <c r="BD979" s="129">
        <f t="shared" si="653"/>
      </c>
      <c r="BE979" s="129">
        <f t="shared" si="654"/>
      </c>
      <c r="BF979" s="129">
        <f t="shared" si="655"/>
      </c>
      <c r="BG979" s="129">
        <f t="shared" si="656"/>
        <v/>
      </c>
      <c r="BH979" s="129">
        <f t="shared" si="657"/>
        <v/>
      </c>
      <c r="BI979" s="129">
        <f t="shared" si="658"/>
        <v/>
      </c>
      <c r="BJ979" s="129">
        <f t="shared" si="659"/>
        <v/>
      </c>
      <c r="BK979" s="129">
        <f>IF(R979="","",IF(OR(BY979="",BY979=0),"BOX",IFERROR(IF(VLOOKUP(BY979,УГО_блоки,3,FALSE)&amp;""&lt;&gt;"",VLOOKUP(BY979,УГО_блоки,3,FALSE),VLOOKUP(BY979,УГО_блоки,2,FALSE)),BY979)))</f>
      </c>
      <c r="BL979" s="129">
        <f t="shared" si="661"/>
      </c>
      <c r="BM979" s="129">
        <f>IF(H979="","",IF(COUNTIF($H$3:H979,H979)=1,MAX($BM$2:BM978)+1,""))</f>
      </c>
      <c r="BN979" s="129">
        <f>IF(I979="","",IF(COUNTIF($I$3:I979,I979)+COUNTIF($J$2:J978,I979)+COUNTIF($K$2:K978,I979)=1,MAX($BN$2:BP978)+1,""))</f>
      </c>
      <c r="BO979" s="129">
        <f>IF(J979="","",IF(COUNTIF($I$3:I979,J979)+COUNTIF($J$3:J979,J979)+COUNTIF($K$2:K978,J979)=1,MAX($BN$2:BP978,BN979)+1,""))</f>
      </c>
      <c r="BP979" s="129">
        <f>IF(K979="","",IF(COUNTIF($I$3:I979,K979)+COUNTIF($J$3:J979,K979)+COUNTIF($K$3:K979,K979)=1,MAX($BN$2:BP978,BN979,BO979)+1,""))</f>
      </c>
      <c r="BQ979" s="129">
        <f>IF(AY979=1,IFERROR(MID(Q979,FIND(" (",Q979)+2,FIND(")",Q979,FIND(" (",Q979))-FIND(" (",Q979)-2),"?"),"")</f>
      </c>
      <c r="BR979" s="129">
        <f>IF(BQ979="","",IF(COUNTIF($BQ$3:BQ979,BQ979)=1,MAX($BR$2:BR978)+1,""))</f>
      </c>
      <c r="BS979" s="129">
        <f>IF(AW979="","",COUNTIF($AW$3:AW979,"?*"))</f>
      </c>
      <c r="BT979" s="129">
        <f>IF(OR(AW979="",AI979=""),"",IF(COUNTIFS($AW$3:AW979,"?*",$AI$3:AI979,AI979)=1,MAX($BT$2:BT978)+1,""))</f>
      </c>
      <c r="BU979" s="129">
        <f>IF(AE979="",0,IF(OR(ISNUMBER(SEARCH("дубль",AE979)),ISNUMBER(SEARCH("ПЕРЕГРУЗ",AE979)),ISNUMBER(SEARCH("ЗАЩИЩ",AE979)),ISNUMBER(SEARCH("КАНАЛ",AE979)),ISNUMBER(SEARCH("без 30",AE979))),2,1))</f>
      </c>
      <c r="BV979" s="129">
        <f>IF(R979="","",COUNTIF($R$3:R979,"?*"))</f>
      </c>
      <c r="BW979" s="129">
        <f>IF(AY979&lt;&gt;1,0,IF(MAX(IFERROR(--VLOOKUP(R979,УГО_спр,5,FALSE),0),IFERROR(--VLOOKUP(AL979,УГО_спр,5,FALSE),0),IFERROR(--VLOOKUP(LEFT(AL979,2),УГО_спр,5,FALSE),0))&gt;0,MAX(IFERROR(--VLOOKUP(R979,УГО_спр,5,FALSE),0),IFERROR(--VLOOKUP(AL979,УГО_спр,5,FALSE),0),IFERROR(--VLOOKUP(LEFT(AL979,2),УГО_спр,5,FALSE),0)),IF(IFERROR(--LEFT(SUBSTITUTE(BQ979,"x","х"),FIND("х",SUBSTITUTE(BQ979,"x","х"))-1),3)&gt;3,Каталог!$S$9,1)))</f>
      </c>
      <c r="BX979" s="129">
        <f>IF(AY979&lt;&gt;1,0,MAX(0,IFERROR(--LEFT(SUBSTITUTE(BQ979,"x","х"),FIND("х",SUBSTITUTE(BQ979,"x","х"))-1),3)-3*BW979))</f>
      </c>
      <c r="BY979" s="129">
        <f>IF(R979="","",IFERROR(VLOOKUP(R979,УГО_спр,2,FALSE),IFERROR(VLOOKUP(AL979,УГО_спр,2,FALSE),IFERROR(VLOOKUP(LEFT(AL979,2),УГО_спр,2,FALSE),""))))</f>
      </c>
    </row>
    <row r="980" spans="1:64" x14ac:dyDescent="0.3">
      <c r="A980" s="135">
        <f>IF(Разбивка_по_щитам!F980=0,"",Разбивка_по_щитам!F980)</f>
        <v/>
      </c>
      <c r="B980" s="138">
        <f>IF(A980="","",Разбивка_по_щитам!C980)</f>
        <v/>
      </c>
      <c r="C980" s="138">
        <f t="shared" si="622"/>
        <v/>
      </c>
      <c r="D980" s="266"/>
      <c r="E980" s="266"/>
      <c r="F980" s="267"/>
      <c r="G980" s="145">
        <f t="shared" si="623"/>
        <v/>
      </c>
      <c r="H980" s="145">
        <f t="shared" si="624"/>
        <v/>
      </c>
      <c r="I980" s="266"/>
      <c r="J980" s="267"/>
      <c r="K980" s="267"/>
      <c r="L980" s="266"/>
      <c r="M980" s="147">
        <f t="shared" si="625"/>
        <v/>
      </c>
      <c r="N980" s="267"/>
      <c r="O980" s="147">
        <f t="shared" si="626"/>
        <v/>
      </c>
      <c r="P980" s="268">
        <f>IF(AY980=1,"XT"&amp;COUNTIFS($A$3:A980,A980,$AY$3:AY980,1),"")</f>
        <v/>
      </c>
      <c r="Q980" s="152">
        <f>IF(R980="","",IFERROR(SUBSTITUTE(Разбивка_по_щитам!P980,CHAR(10)," "),""))</f>
        <v/>
      </c>
      <c r="R980" s="153">
        <f>IF(OR(Разбивка_по_щитам!H980="",Разбивка_по_щитам!H980=0),"",Разбивка_по_щитам!H980)</f>
        <v/>
      </c>
      <c r="S980" s="154">
        <f>IF(R980="","",IFERROR(Разбивка_по_щитам!J980&amp;"",""))</f>
        <v/>
      </c>
      <c r="T980" s="155">
        <f>IF(R980="","",IFERROR(--Разбивка_по_щитам!L980,""))</f>
        <v/>
      </c>
      <c r="U980" s="155">
        <f>IF(R980="","",IFERROR(--Разбивка_по_щитам!K980,""))</f>
        <v/>
      </c>
      <c r="V980" s="138">
        <f>IF(R980="","",IFERROR(IF(Разбивка_по_щитам!M980=0,"",Разбивка_по_щитам!M980),""))</f>
        <v/>
      </c>
      <c r="W980" s="156">
        <f t="shared" si="627"/>
        <v/>
      </c>
      <c r="X980" s="157">
        <f t="shared" si="628"/>
        <v/>
      </c>
      <c r="Y980" s="266"/>
      <c r="Z980" s="158">
        <f t="shared" si="629"/>
        <v/>
      </c>
      <c r="AA980" s="160">
        <f t="shared" si="630"/>
        <v/>
      </c>
      <c r="AB980" s="160">
        <f>IF(R980="","",IFERROR(LOOKUP(INDEX(Справочная!$I$4:$I$19,MATCH(VLOOKUP(R980,Исходные_данные,22,FALSE),Справочная!$J$4:$J$19,0)+1),{6,10,16,20,25,32,40,50,63,80,100,125}),""))</f>
        <v/>
      </c>
      <c r="AC980" s="160">
        <f t="shared" si="631"/>
        <v/>
      </c>
      <c r="AD980" s="161">
        <f t="shared" si="632"/>
        <v/>
      </c>
      <c r="AE980" s="161">
        <f>IF(AND(R980="",G980=""),"",_xlfn.TEXTJOIN("; ",TRUE,IF(AND(R980&lt;&gt;"",V980=""),"нет фазы",""),IF(AND(R980&lt;&gt;"",N(T980)=0),"нет мощности",""),IF(AND(P980&lt;&gt;"",COUNTIFS($A$3:$A$1000,A980,$P$3:$P$1000,P980)&gt;1),"дубль клеммы "&amp;P980,""),IF(AND(W980&lt;&gt;"",W980&lt;&gt;"ok"),W980,""),IF(X980&lt;&gt;"",X980,""),IF(AND(ISNUMBER(SEARCH("(5х",Q980)),N(AK980)=1),"5 жил на 1 фазе",""),IF(AND(AL980="R",E980&lt;&gt;"",N(AS980)=0),"розетка без 30 мА",""),IF(IFERROR(_xlfn.NUMBERVALUE(MID(Q980,FIND("-",Q980,FIND("L=",Q980))+1,FIND("%",Q980)-FIND("-",Q980,FIND("L=",Q980))-1),","),0)&gt;4,"потери &gt; 4 %","")))</f>
      </c>
      <c r="AF980" s="129">
        <f>IF(E980&lt;&gt;"",COUNTIFS($A$3:A980,A980,$E$3:E980,"?*"),IF(OR(A980&lt;&gt;A979,Y980="вручную"),"",AF979))</f>
        <v/>
      </c>
      <c r="AG980" s="129">
        <f t="shared" si="633"/>
        <v/>
      </c>
      <c r="AH980" s="129">
        <f t="shared" si="634"/>
        <v/>
      </c>
      <c r="AI980" s="129">
        <f t="shared" si="635"/>
        <v/>
      </c>
      <c r="AJ980" s="129">
        <f t="shared" si="636"/>
        <v/>
      </c>
      <c r="AK980" s="129">
        <f t="shared" si="637"/>
        <v/>
      </c>
      <c r="AL980" s="129">
        <f t="shared" si="638"/>
        <v/>
      </c>
      <c r="AM980" s="129">
        <f t="shared" si="639"/>
      </c>
      <c r="AN980" s="129">
        <f t="shared" si="640"/>
      </c>
      <c r="AO980" s="129">
        <f t="shared" si="641"/>
        <v/>
      </c>
      <c r="AP980" s="129">
        <f t="shared" si="642"/>
        <v/>
      </c>
      <c r="AQ980" s="129">
        <f t="shared" si="643"/>
        <v/>
      </c>
      <c r="AR980" s="129">
        <f t="shared" si="644"/>
        <v/>
      </c>
      <c r="AS980" s="129">
        <f t="shared" si="645"/>
        <v/>
      </c>
      <c r="AT980" s="129">
        <f t="shared" si="646"/>
        <v/>
      </c>
      <c r="AU980" s="129">
        <f t="shared" si="647"/>
        <v/>
      </c>
      <c r="AV980" s="129">
        <f t="shared" si="648"/>
        <v/>
      </c>
      <c r="AW980" s="129">
        <f>IF(AV980="","",AV980&amp;"."&amp;COUNTIFS($A$3:A980,A980,$AV$3:AV980,AV980))</f>
        <v/>
      </c>
      <c r="AX980" s="129">
        <f t="shared" si="649"/>
        <v/>
      </c>
      <c r="AY980" s="129">
        <f>IF(N980="б/к",0,IF(OR(ISNUMBER(SEARCH("L=",Разбивка_по_щитам!P980)),N980="+",N980="="),1,0))</f>
      </c>
      <c r="AZ980" s="129">
        <f t="shared" si="650"/>
        <v/>
      </c>
      <c r="BA980" s="129">
        <f t="shared" si="651"/>
      </c>
      <c r="BB980" s="129">
        <f t="shared" si="652"/>
      </c>
      <c r="BD980" s="129">
        <f t="shared" si="653"/>
      </c>
      <c r="BE980" s="129">
        <f t="shared" si="654"/>
      </c>
      <c r="BF980" s="129">
        <f t="shared" si="655"/>
      </c>
      <c r="BG980" s="129">
        <f t="shared" si="656"/>
        <v/>
      </c>
      <c r="BH980" s="129">
        <f t="shared" si="657"/>
        <v/>
      </c>
      <c r="BI980" s="129">
        <f t="shared" si="658"/>
        <v/>
      </c>
      <c r="BJ980" s="129">
        <f t="shared" si="659"/>
        <v/>
      </c>
      <c r="BK980" s="129">
        <f>IF(R980="","",IF(OR(BY980="",BY980=0),"BOX",IFERROR(IF(VLOOKUP(BY980,УГО_блоки,3,FALSE)&amp;""&lt;&gt;"",VLOOKUP(BY980,УГО_блоки,3,FALSE),VLOOKUP(BY980,УГО_блоки,2,FALSE)),BY980)))</f>
      </c>
      <c r="BL980" s="129">
        <f t="shared" si="661"/>
      </c>
      <c r="BM980" s="129">
        <f>IF(H980="","",IF(COUNTIF($H$3:H980,H980)=1,MAX($BM$2:BM979)+1,""))</f>
      </c>
      <c r="BN980" s="129">
        <f>IF(I980="","",IF(COUNTIF($I$3:I980,I980)+COUNTIF($J$2:J979,I980)+COUNTIF($K$2:K979,I980)=1,MAX($BN$2:BP979)+1,""))</f>
      </c>
      <c r="BO980" s="129">
        <f>IF(J980="","",IF(COUNTIF($I$3:I980,J980)+COUNTIF($J$3:J980,J980)+COUNTIF($K$2:K979,J980)=1,MAX($BN$2:BP979,BN980)+1,""))</f>
      </c>
      <c r="BP980" s="129">
        <f>IF(K980="","",IF(COUNTIF($I$3:I980,K980)+COUNTIF($J$3:J980,K980)+COUNTIF($K$3:K980,K980)=1,MAX($BN$2:BP979,BN980,BO980)+1,""))</f>
      </c>
      <c r="BQ980" s="129">
        <f>IF(AY980=1,IFERROR(MID(Q980,FIND(" (",Q980)+2,FIND(")",Q980,FIND(" (",Q980))-FIND(" (",Q980)-2),"?"),"")</f>
      </c>
      <c r="BR980" s="129">
        <f>IF(BQ980="","",IF(COUNTIF($BQ$3:BQ980,BQ980)=1,MAX($BR$2:BR979)+1,""))</f>
      </c>
      <c r="BS980" s="129">
        <f>IF(AW980="","",COUNTIF($AW$3:AW980,"?*"))</f>
      </c>
      <c r="BT980" s="129">
        <f>IF(OR(AW980="",AI980=""),"",IF(COUNTIFS($AW$3:AW980,"?*",$AI$3:AI980,AI980)=1,MAX($BT$2:BT979)+1,""))</f>
      </c>
      <c r="BU980" s="129">
        <f>IF(AE980="",0,IF(OR(ISNUMBER(SEARCH("дубль",AE980)),ISNUMBER(SEARCH("ПЕРЕГРУЗ",AE980)),ISNUMBER(SEARCH("ЗАЩИЩ",AE980)),ISNUMBER(SEARCH("КАНАЛ",AE980)),ISNUMBER(SEARCH("без 30",AE980))),2,1))</f>
      </c>
      <c r="BV980" s="129">
        <f>IF(R980="","",COUNTIF($R$3:R980,"?*"))</f>
      </c>
      <c r="BW980" s="129">
        <f>IF(AY980&lt;&gt;1,0,IF(MAX(IFERROR(--VLOOKUP(R980,УГО_спр,5,FALSE),0),IFERROR(--VLOOKUP(AL980,УГО_спр,5,FALSE),0),IFERROR(--VLOOKUP(LEFT(AL980,2),УГО_спр,5,FALSE),0))&gt;0,MAX(IFERROR(--VLOOKUP(R980,УГО_спр,5,FALSE),0),IFERROR(--VLOOKUP(AL980,УГО_спр,5,FALSE),0),IFERROR(--VLOOKUP(LEFT(AL980,2),УГО_спр,5,FALSE),0)),IF(IFERROR(--LEFT(SUBSTITUTE(BQ980,"x","х"),FIND("х",SUBSTITUTE(BQ980,"x","х"))-1),3)&gt;3,Каталог!$S$9,1)))</f>
      </c>
      <c r="BX980" s="129">
        <f>IF(AY980&lt;&gt;1,0,MAX(0,IFERROR(--LEFT(SUBSTITUTE(BQ980,"x","х"),FIND("х",SUBSTITUTE(BQ980,"x","х"))-1),3)-3*BW980))</f>
      </c>
      <c r="BY980" s="129">
        <f>IF(R980="","",IFERROR(VLOOKUP(R980,УГО_спр,2,FALSE),IFERROR(VLOOKUP(AL980,УГО_спр,2,FALSE),IFERROR(VLOOKUP(LEFT(AL980,2),УГО_спр,2,FALSE),""))))</f>
      </c>
    </row>
    <row r="981" spans="1:64" x14ac:dyDescent="0.3">
      <c r="A981" s="135">
        <f>IF(Разбивка_по_щитам!F981=0,"",Разбивка_по_щитам!F981)</f>
        <v/>
      </c>
      <c r="B981" s="138">
        <f>IF(A981="","",Разбивка_по_щитам!C981)</f>
        <v/>
      </c>
      <c r="C981" s="138">
        <f t="shared" si="622"/>
        <v/>
      </c>
      <c r="D981" s="266"/>
      <c r="E981" s="266"/>
      <c r="F981" s="267"/>
      <c r="G981" s="145">
        <f t="shared" si="623"/>
        <v/>
      </c>
      <c r="H981" s="145">
        <f t="shared" si="624"/>
        <v/>
      </c>
      <c r="I981" s="266"/>
      <c r="J981" s="267"/>
      <c r="K981" s="267"/>
      <c r="L981" s="266"/>
      <c r="M981" s="147">
        <f t="shared" si="625"/>
        <v/>
      </c>
      <c r="N981" s="267"/>
      <c r="O981" s="147">
        <f t="shared" si="626"/>
        <v/>
      </c>
      <c r="P981" s="268">
        <f>IF(AY981=1,"XT"&amp;COUNTIFS($A$3:A981,A981,$AY$3:AY981,1),"")</f>
        <v/>
      </c>
      <c r="Q981" s="152">
        <f>IF(R981="","",IFERROR(SUBSTITUTE(Разбивка_по_щитам!P981,CHAR(10)," "),""))</f>
        <v/>
      </c>
      <c r="R981" s="153">
        <f>IF(OR(Разбивка_по_щитам!H981="",Разбивка_по_щитам!H981=0),"",Разбивка_по_щитам!H981)</f>
        <v/>
      </c>
      <c r="S981" s="154">
        <f>IF(R981="","",IFERROR(Разбивка_по_щитам!J981&amp;"",""))</f>
        <v/>
      </c>
      <c r="T981" s="155">
        <f>IF(R981="","",IFERROR(--Разбивка_по_щитам!L981,""))</f>
        <v/>
      </c>
      <c r="U981" s="155">
        <f>IF(R981="","",IFERROR(--Разбивка_по_щитам!K981,""))</f>
        <v/>
      </c>
      <c r="V981" s="138">
        <f>IF(R981="","",IFERROR(IF(Разбивка_по_щитам!M981=0,"",Разбивка_по_щитам!M981),""))</f>
        <v/>
      </c>
      <c r="W981" s="156">
        <f t="shared" si="627"/>
        <v/>
      </c>
      <c r="X981" s="157">
        <f t="shared" si="628"/>
        <v/>
      </c>
      <c r="Y981" s="266"/>
      <c r="Z981" s="158">
        <f t="shared" si="629"/>
        <v/>
      </c>
      <c r="AA981" s="160">
        <f t="shared" si="630"/>
        <v/>
      </c>
      <c r="AB981" s="160">
        <f>IF(R981="","",IFERROR(LOOKUP(INDEX(Справочная!$I$4:$I$19,MATCH(VLOOKUP(R981,Исходные_данные,22,FALSE),Справочная!$J$4:$J$19,0)+1),{6,10,16,20,25,32,40,50,63,80,100,125}),""))</f>
        <v/>
      </c>
      <c r="AC981" s="160">
        <f t="shared" si="631"/>
        <v/>
      </c>
      <c r="AD981" s="161">
        <f t="shared" si="632"/>
        <v/>
      </c>
      <c r="AE981" s="161">
        <f>IF(AND(R981="",G981=""),"",_xlfn.TEXTJOIN("; ",TRUE,IF(AND(R981&lt;&gt;"",V981=""),"нет фазы",""),IF(AND(R981&lt;&gt;"",N(T981)=0),"нет мощности",""),IF(AND(P981&lt;&gt;"",COUNTIFS($A$3:$A$1000,A981,$P$3:$P$1000,P981)&gt;1),"дубль клеммы "&amp;P981,""),IF(AND(W981&lt;&gt;"",W981&lt;&gt;"ok"),W981,""),IF(X981&lt;&gt;"",X981,""),IF(AND(ISNUMBER(SEARCH("(5х",Q981)),N(AK981)=1),"5 жил на 1 фазе",""),IF(AND(AL981="R",E981&lt;&gt;"",N(AS981)=0),"розетка без 30 мА",""),IF(IFERROR(_xlfn.NUMBERVALUE(MID(Q981,FIND("-",Q981,FIND("L=",Q981))+1,FIND("%",Q981)-FIND("-",Q981,FIND("L=",Q981))-1),","),0)&gt;4,"потери &gt; 4 %","")))</f>
      </c>
      <c r="AF981" s="129">
        <f>IF(E981&lt;&gt;"",COUNTIFS($A$3:A981,A981,$E$3:E981,"?*"),IF(OR(A981&lt;&gt;A980,Y981="вручную"),"",AF980))</f>
        <v/>
      </c>
      <c r="AG981" s="129">
        <f t="shared" si="633"/>
        <v/>
      </c>
      <c r="AH981" s="129">
        <f t="shared" si="634"/>
        <v/>
      </c>
      <c r="AI981" s="129">
        <f t="shared" si="635"/>
        <v/>
      </c>
      <c r="AJ981" s="129">
        <f t="shared" si="636"/>
        <v/>
      </c>
      <c r="AK981" s="129">
        <f t="shared" si="637"/>
        <v/>
      </c>
      <c r="AL981" s="129">
        <f t="shared" si="638"/>
        <v/>
      </c>
      <c r="AM981" s="129">
        <f t="shared" si="639"/>
      </c>
      <c r="AN981" s="129">
        <f t="shared" si="640"/>
      </c>
      <c r="AO981" s="129">
        <f t="shared" si="641"/>
        <v/>
      </c>
      <c r="AP981" s="129">
        <f t="shared" si="642"/>
        <v/>
      </c>
      <c r="AQ981" s="129">
        <f t="shared" si="643"/>
        <v/>
      </c>
      <c r="AR981" s="129">
        <f t="shared" si="644"/>
        <v/>
      </c>
      <c r="AS981" s="129">
        <f t="shared" si="645"/>
        <v/>
      </c>
      <c r="AT981" s="129">
        <f t="shared" si="646"/>
        <v/>
      </c>
      <c r="AU981" s="129">
        <f t="shared" si="647"/>
        <v/>
      </c>
      <c r="AV981" s="129">
        <f t="shared" si="648"/>
        <v/>
      </c>
      <c r="AW981" s="129">
        <f>IF(AV981="","",AV981&amp;"."&amp;COUNTIFS($A$3:A981,A981,$AV$3:AV981,AV981))</f>
        <v/>
      </c>
      <c r="AX981" s="129">
        <f t="shared" si="649"/>
        <v/>
      </c>
      <c r="AY981" s="129">
        <f>IF(N981="б/к",0,IF(OR(ISNUMBER(SEARCH("L=",Разбивка_по_щитам!P981)),N981="+",N981="="),1,0))</f>
      </c>
      <c r="AZ981" s="129">
        <f t="shared" si="650"/>
        <v/>
      </c>
      <c r="BA981" s="129">
        <f t="shared" si="651"/>
      </c>
      <c r="BB981" s="129">
        <f t="shared" si="652"/>
      </c>
      <c r="BD981" s="129">
        <f t="shared" si="653"/>
      </c>
      <c r="BE981" s="129">
        <f t="shared" si="654"/>
      </c>
      <c r="BF981" s="129">
        <f t="shared" si="655"/>
      </c>
      <c r="BG981" s="129">
        <f t="shared" si="656"/>
        <v/>
      </c>
      <c r="BH981" s="129">
        <f t="shared" si="657"/>
        <v/>
      </c>
      <c r="BI981" s="129">
        <f t="shared" si="658"/>
        <v/>
      </c>
      <c r="BJ981" s="129">
        <f t="shared" si="659"/>
        <v/>
      </c>
      <c r="BK981" s="129">
        <f>IF(R981="","",IF(OR(BY981="",BY981=0),"BOX",IFERROR(IF(VLOOKUP(BY981,УГО_блоки,3,FALSE)&amp;""&lt;&gt;"",VLOOKUP(BY981,УГО_блоки,3,FALSE),VLOOKUP(BY981,УГО_блоки,2,FALSE)),BY981)))</f>
      </c>
      <c r="BL981" s="129">
        <f t="shared" si="661"/>
      </c>
      <c r="BM981" s="129">
        <f>IF(H981="","",IF(COUNTIF($H$3:H981,H981)=1,MAX($BM$2:BM980)+1,""))</f>
      </c>
      <c r="BN981" s="129">
        <f>IF(I981="","",IF(COUNTIF($I$3:I981,I981)+COUNTIF($J$2:J980,I981)+COUNTIF($K$2:K980,I981)=1,MAX($BN$2:BP980)+1,""))</f>
      </c>
      <c r="BO981" s="129">
        <f>IF(J981="","",IF(COUNTIF($I$3:I981,J981)+COUNTIF($J$3:J981,J981)+COUNTIF($K$2:K980,J981)=1,MAX($BN$2:BP980,BN981)+1,""))</f>
      </c>
      <c r="BP981" s="129">
        <f>IF(K981="","",IF(COUNTIF($I$3:I981,K981)+COUNTIF($J$3:J981,K981)+COUNTIF($K$3:K981,K981)=1,MAX($BN$2:BP980,BN981,BO981)+1,""))</f>
      </c>
      <c r="BQ981" s="129">
        <f>IF(AY981=1,IFERROR(MID(Q981,FIND(" (",Q981)+2,FIND(")",Q981,FIND(" (",Q981))-FIND(" (",Q981)-2),"?"),"")</f>
      </c>
      <c r="BR981" s="129">
        <f>IF(BQ981="","",IF(COUNTIF($BQ$3:BQ981,BQ981)=1,MAX($BR$2:BR980)+1,""))</f>
      </c>
      <c r="BS981" s="129">
        <f>IF(AW981="","",COUNTIF($AW$3:AW981,"?*"))</f>
      </c>
      <c r="BT981" s="129">
        <f>IF(OR(AW981="",AI981=""),"",IF(COUNTIFS($AW$3:AW981,"?*",$AI$3:AI981,AI981)=1,MAX($BT$2:BT980)+1,""))</f>
      </c>
      <c r="BU981" s="129">
        <f>IF(AE981="",0,IF(OR(ISNUMBER(SEARCH("дубль",AE981)),ISNUMBER(SEARCH("ПЕРЕГРУЗ",AE981)),ISNUMBER(SEARCH("ЗАЩИЩ",AE981)),ISNUMBER(SEARCH("КАНАЛ",AE981)),ISNUMBER(SEARCH("без 30",AE981))),2,1))</f>
      </c>
      <c r="BV981" s="129">
        <f>IF(R981="","",COUNTIF($R$3:R981,"?*"))</f>
      </c>
      <c r="BW981" s="129">
        <f>IF(AY981&lt;&gt;1,0,IF(MAX(IFERROR(--VLOOKUP(R981,УГО_спр,5,FALSE),0),IFERROR(--VLOOKUP(AL981,УГО_спр,5,FALSE),0),IFERROR(--VLOOKUP(LEFT(AL981,2),УГО_спр,5,FALSE),0))&gt;0,MAX(IFERROR(--VLOOKUP(R981,УГО_спр,5,FALSE),0),IFERROR(--VLOOKUP(AL981,УГО_спр,5,FALSE),0),IFERROR(--VLOOKUP(LEFT(AL981,2),УГО_спр,5,FALSE),0)),IF(IFERROR(--LEFT(SUBSTITUTE(BQ981,"x","х"),FIND("х",SUBSTITUTE(BQ981,"x","х"))-1),3)&gt;3,Каталог!$S$9,1)))</f>
      </c>
      <c r="BX981" s="129">
        <f>IF(AY981&lt;&gt;1,0,MAX(0,IFERROR(--LEFT(SUBSTITUTE(BQ981,"x","х"),FIND("х",SUBSTITUTE(BQ981,"x","х"))-1),3)-3*BW981))</f>
      </c>
      <c r="BY981" s="129">
        <f>IF(R981="","",IFERROR(VLOOKUP(R981,УГО_спр,2,FALSE),IFERROR(VLOOKUP(AL981,УГО_спр,2,FALSE),IFERROR(VLOOKUP(LEFT(AL981,2),УГО_спр,2,FALSE),""))))</f>
      </c>
    </row>
    <row r="982" spans="1:64" x14ac:dyDescent="0.3">
      <c r="A982" s="135">
        <f>IF(Разбивка_по_щитам!F982=0,"",Разбивка_по_щитам!F982)</f>
        <v/>
      </c>
      <c r="B982" s="138">
        <f>IF(A982="","",Разбивка_по_щитам!C982)</f>
        <v/>
      </c>
      <c r="C982" s="138">
        <f t="shared" si="622"/>
        <v/>
      </c>
      <c r="D982" s="266"/>
      <c r="E982" s="266"/>
      <c r="F982" s="267"/>
      <c r="G982" s="145">
        <f t="shared" si="623"/>
        <v/>
      </c>
      <c r="H982" s="145">
        <f t="shared" si="624"/>
        <v/>
      </c>
      <c r="I982" s="266"/>
      <c r="J982" s="267"/>
      <c r="K982" s="267"/>
      <c r="L982" s="266"/>
      <c r="M982" s="147">
        <f t="shared" si="625"/>
        <v/>
      </c>
      <c r="N982" s="267"/>
      <c r="O982" s="147">
        <f t="shared" si="626"/>
        <v/>
      </c>
      <c r="P982" s="268">
        <f>IF(AY982=1,"XT"&amp;COUNTIFS($A$3:A982,A982,$AY$3:AY982,1),"")</f>
        <v/>
      </c>
      <c r="Q982" s="152">
        <f>IF(R982="","",IFERROR(SUBSTITUTE(Разбивка_по_щитам!P982,CHAR(10)," "),""))</f>
        <v/>
      </c>
      <c r="R982" s="153">
        <f>IF(OR(Разбивка_по_щитам!H982="",Разбивка_по_щитам!H982=0),"",Разбивка_по_щитам!H982)</f>
        <v/>
      </c>
      <c r="S982" s="154">
        <f>IF(R982="","",IFERROR(Разбивка_по_щитам!J982&amp;"",""))</f>
        <v/>
      </c>
      <c r="T982" s="155">
        <f>IF(R982="","",IFERROR(--Разбивка_по_щитам!L982,""))</f>
        <v/>
      </c>
      <c r="U982" s="155">
        <f>IF(R982="","",IFERROR(--Разбивка_по_щитам!K982,""))</f>
        <v/>
      </c>
      <c r="V982" s="138">
        <f>IF(R982="","",IFERROR(IF(Разбивка_по_щитам!M982=0,"",Разбивка_по_щитам!M982),""))</f>
        <v/>
      </c>
      <c r="W982" s="156">
        <f t="shared" si="627"/>
        <v/>
      </c>
      <c r="X982" s="157">
        <f t="shared" si="628"/>
        <v/>
      </c>
      <c r="Y982" s="266"/>
      <c r="Z982" s="158">
        <f t="shared" si="629"/>
        <v/>
      </c>
      <c r="AA982" s="160">
        <f t="shared" si="630"/>
        <v/>
      </c>
      <c r="AB982" s="160">
        <f>IF(R982="","",IFERROR(LOOKUP(INDEX(Справочная!$I$4:$I$19,MATCH(VLOOKUP(R982,Исходные_данные,22,FALSE),Справочная!$J$4:$J$19,0)+1),{6,10,16,20,25,32,40,50,63,80,100,125}),""))</f>
        <v/>
      </c>
      <c r="AC982" s="160">
        <f t="shared" si="631"/>
        <v/>
      </c>
      <c r="AD982" s="161">
        <f t="shared" si="632"/>
        <v/>
      </c>
      <c r="AE982" s="161">
        <f>IF(AND(R982="",G982=""),"",_xlfn.TEXTJOIN("; ",TRUE,IF(AND(R982&lt;&gt;"",V982=""),"нет фазы",""),IF(AND(R982&lt;&gt;"",N(T982)=0),"нет мощности",""),IF(AND(P982&lt;&gt;"",COUNTIFS($A$3:$A$1000,A982,$P$3:$P$1000,P982)&gt;1),"дубль клеммы "&amp;P982,""),IF(AND(W982&lt;&gt;"",W982&lt;&gt;"ok"),W982,""),IF(X982&lt;&gt;"",X982,""),IF(AND(ISNUMBER(SEARCH("(5х",Q982)),N(AK982)=1),"5 жил на 1 фазе",""),IF(AND(AL982="R",E982&lt;&gt;"",N(AS982)=0),"розетка без 30 мА",""),IF(IFERROR(_xlfn.NUMBERVALUE(MID(Q982,FIND("-",Q982,FIND("L=",Q982))+1,FIND("%",Q982)-FIND("-",Q982,FIND("L=",Q982))-1),","),0)&gt;4,"потери &gt; 4 %","")))</f>
      </c>
      <c r="AF982" s="129">
        <f>IF(E982&lt;&gt;"",COUNTIFS($A$3:A982,A982,$E$3:E982,"?*"),IF(OR(A982&lt;&gt;A981,Y982="вручную"),"",AF981))</f>
        <v/>
      </c>
      <c r="AG982" s="129">
        <f t="shared" si="633"/>
        <v/>
      </c>
      <c r="AH982" s="129">
        <f t="shared" si="634"/>
        <v/>
      </c>
      <c r="AI982" s="129">
        <f t="shared" si="635"/>
        <v/>
      </c>
      <c r="AJ982" s="129">
        <f t="shared" si="636"/>
        <v/>
      </c>
      <c r="AK982" s="129">
        <f t="shared" si="637"/>
        <v/>
      </c>
      <c r="AL982" s="129">
        <f t="shared" si="638"/>
        <v/>
      </c>
      <c r="AM982" s="129">
        <f t="shared" si="639"/>
      </c>
      <c r="AN982" s="129">
        <f t="shared" si="640"/>
      </c>
      <c r="AO982" s="129">
        <f t="shared" si="641"/>
        <v/>
      </c>
      <c r="AP982" s="129">
        <f t="shared" si="642"/>
        <v/>
      </c>
      <c r="AQ982" s="129">
        <f t="shared" si="643"/>
        <v/>
      </c>
      <c r="AR982" s="129">
        <f t="shared" si="644"/>
        <v/>
      </c>
      <c r="AS982" s="129">
        <f t="shared" si="645"/>
        <v/>
      </c>
      <c r="AT982" s="129">
        <f t="shared" si="646"/>
        <v/>
      </c>
      <c r="AU982" s="129">
        <f t="shared" si="647"/>
        <v/>
      </c>
      <c r="AV982" s="129">
        <f t="shared" si="648"/>
        <v/>
      </c>
      <c r="AW982" s="129">
        <f>IF(AV982="","",AV982&amp;"."&amp;COUNTIFS($A$3:A982,A982,$AV$3:AV982,AV982))</f>
        <v/>
      </c>
      <c r="AX982" s="129">
        <f t="shared" si="649"/>
        <v/>
      </c>
      <c r="AY982" s="129">
        <f>IF(N982="б/к",0,IF(OR(ISNUMBER(SEARCH("L=",Разбивка_по_щитам!P982)),N982="+",N982="="),1,0))</f>
      </c>
      <c r="AZ982" s="129">
        <f t="shared" si="650"/>
        <v/>
      </c>
      <c r="BA982" s="129">
        <f t="shared" si="651"/>
      </c>
      <c r="BB982" s="129">
        <f t="shared" si="652"/>
      </c>
      <c r="BD982" s="129">
        <f t="shared" si="653"/>
      </c>
      <c r="BE982" s="129">
        <f t="shared" si="654"/>
      </c>
      <c r="BF982" s="129">
        <f t="shared" si="655"/>
      </c>
      <c r="BG982" s="129">
        <f t="shared" si="656"/>
        <v/>
      </c>
      <c r="BH982" s="129">
        <f t="shared" si="657"/>
        <v/>
      </c>
      <c r="BI982" s="129">
        <f t="shared" si="658"/>
        <v/>
      </c>
      <c r="BJ982" s="129">
        <f t="shared" si="659"/>
        <v/>
      </c>
      <c r="BK982" s="129">
        <f>IF(R982="","",IF(OR(BY982="",BY982=0),"BOX",IFERROR(IF(VLOOKUP(BY982,УГО_блоки,3,FALSE)&amp;""&lt;&gt;"",VLOOKUP(BY982,УГО_блоки,3,FALSE),VLOOKUP(BY982,УГО_блоки,2,FALSE)),BY982)))</f>
      </c>
      <c r="BL982" s="129">
        <f t="shared" si="661"/>
      </c>
      <c r="BM982" s="129">
        <f>IF(H982="","",IF(COUNTIF($H$3:H982,H982)=1,MAX($BM$2:BM981)+1,""))</f>
      </c>
      <c r="BN982" s="129">
        <f>IF(I982="","",IF(COUNTIF($I$3:I982,I982)+COUNTIF($J$2:J981,I982)+COUNTIF($K$2:K981,I982)=1,MAX($BN$2:BP981)+1,""))</f>
      </c>
      <c r="BO982" s="129">
        <f>IF(J982="","",IF(COUNTIF($I$3:I982,J982)+COUNTIF($J$3:J982,J982)+COUNTIF($K$2:K981,J982)=1,MAX($BN$2:BP981,BN982)+1,""))</f>
      </c>
      <c r="BP982" s="129">
        <f>IF(K982="","",IF(COUNTIF($I$3:I982,K982)+COUNTIF($J$3:J982,K982)+COUNTIF($K$3:K982,K982)=1,MAX($BN$2:BP981,BN982,BO982)+1,""))</f>
      </c>
      <c r="BQ982" s="129">
        <f>IF(AY982=1,IFERROR(MID(Q982,FIND(" (",Q982)+2,FIND(")",Q982,FIND(" (",Q982))-FIND(" (",Q982)-2),"?"),"")</f>
      </c>
      <c r="BR982" s="129">
        <f>IF(BQ982="","",IF(COUNTIF($BQ$3:BQ982,BQ982)=1,MAX($BR$2:BR981)+1,""))</f>
      </c>
      <c r="BS982" s="129">
        <f>IF(AW982="","",COUNTIF($AW$3:AW982,"?*"))</f>
      </c>
      <c r="BT982" s="129">
        <f>IF(OR(AW982="",AI982=""),"",IF(COUNTIFS($AW$3:AW982,"?*",$AI$3:AI982,AI982)=1,MAX($BT$2:BT981)+1,""))</f>
      </c>
      <c r="BU982" s="129">
        <f>IF(AE982="",0,IF(OR(ISNUMBER(SEARCH("дубль",AE982)),ISNUMBER(SEARCH("ПЕРЕГРУЗ",AE982)),ISNUMBER(SEARCH("ЗАЩИЩ",AE982)),ISNUMBER(SEARCH("КАНАЛ",AE982)),ISNUMBER(SEARCH("без 30",AE982))),2,1))</f>
      </c>
      <c r="BV982" s="129">
        <f>IF(R982="","",COUNTIF($R$3:R982,"?*"))</f>
      </c>
      <c r="BW982" s="129">
        <f>IF(AY982&lt;&gt;1,0,IF(MAX(IFERROR(--VLOOKUP(R982,УГО_спр,5,FALSE),0),IFERROR(--VLOOKUP(AL982,УГО_спр,5,FALSE),0),IFERROR(--VLOOKUP(LEFT(AL982,2),УГО_спр,5,FALSE),0))&gt;0,MAX(IFERROR(--VLOOKUP(R982,УГО_спр,5,FALSE),0),IFERROR(--VLOOKUP(AL982,УГО_спр,5,FALSE),0),IFERROR(--VLOOKUP(LEFT(AL982,2),УГО_спр,5,FALSE),0)),IF(IFERROR(--LEFT(SUBSTITUTE(BQ982,"x","х"),FIND("х",SUBSTITUTE(BQ982,"x","х"))-1),3)&gt;3,Каталог!$S$9,1)))</f>
      </c>
      <c r="BX982" s="129">
        <f>IF(AY982&lt;&gt;1,0,MAX(0,IFERROR(--LEFT(SUBSTITUTE(BQ982,"x","х"),FIND("х",SUBSTITUTE(BQ982,"x","х"))-1),3)-3*BW982))</f>
      </c>
      <c r="BY982" s="129">
        <f>IF(R982="","",IFERROR(VLOOKUP(R982,УГО_спр,2,FALSE),IFERROR(VLOOKUP(AL982,УГО_спр,2,FALSE),IFERROR(VLOOKUP(LEFT(AL982,2),УГО_спр,2,FALSE),""))))</f>
      </c>
    </row>
    <row r="983" spans="1:64" x14ac:dyDescent="0.3">
      <c r="A983" s="135">
        <f>IF(Разбивка_по_щитам!F983=0,"",Разбивка_по_щитам!F983)</f>
        <v/>
      </c>
      <c r="B983" s="138">
        <f>IF(A983="","",Разбивка_по_щитам!C983)</f>
        <v/>
      </c>
      <c r="C983" s="138">
        <f t="shared" si="622"/>
        <v/>
      </c>
      <c r="D983" s="266"/>
      <c r="E983" s="266"/>
      <c r="F983" s="267"/>
      <c r="G983" s="145">
        <f t="shared" si="623"/>
        <v/>
      </c>
      <c r="H983" s="145">
        <f t="shared" si="624"/>
        <v/>
      </c>
      <c r="I983" s="266"/>
      <c r="J983" s="267"/>
      <c r="K983" s="267"/>
      <c r="L983" s="266"/>
      <c r="M983" s="147">
        <f t="shared" si="625"/>
        <v/>
      </c>
      <c r="N983" s="267"/>
      <c r="O983" s="147">
        <f t="shared" si="626"/>
        <v/>
      </c>
      <c r="P983" s="268">
        <f>IF(AY983=1,"XT"&amp;COUNTIFS($A$3:A983,A983,$AY$3:AY983,1),"")</f>
        <v/>
      </c>
      <c r="Q983" s="152">
        <f>IF(R983="","",IFERROR(SUBSTITUTE(Разбивка_по_щитам!P983,CHAR(10)," "),""))</f>
        <v/>
      </c>
      <c r="R983" s="153">
        <f>IF(OR(Разбивка_по_щитам!H983="",Разбивка_по_щитам!H983=0),"",Разбивка_по_щитам!H983)</f>
        <v/>
      </c>
      <c r="S983" s="154">
        <f>IF(R983="","",IFERROR(Разбивка_по_щитам!J983&amp;"",""))</f>
        <v/>
      </c>
      <c r="T983" s="155">
        <f>IF(R983="","",IFERROR(--Разбивка_по_щитам!L983,""))</f>
        <v/>
      </c>
      <c r="U983" s="155">
        <f>IF(R983="","",IFERROR(--Разбивка_по_щитам!K983,""))</f>
        <v/>
      </c>
      <c r="V983" s="138">
        <f>IF(R983="","",IFERROR(IF(Разбивка_по_щитам!M983=0,"",Разбивка_по_щитам!M983),""))</f>
        <v/>
      </c>
      <c r="W983" s="156">
        <f t="shared" si="627"/>
        <v/>
      </c>
      <c r="X983" s="157">
        <f t="shared" si="628"/>
        <v/>
      </c>
      <c r="Y983" s="266"/>
      <c r="Z983" s="158">
        <f t="shared" si="629"/>
        <v/>
      </c>
      <c r="AA983" s="160">
        <f t="shared" si="630"/>
        <v/>
      </c>
      <c r="AB983" s="160">
        <f>IF(R983="","",IFERROR(LOOKUP(INDEX(Справочная!$I$4:$I$19,MATCH(VLOOKUP(R983,Исходные_данные,22,FALSE),Справочная!$J$4:$J$19,0)+1),{6,10,16,20,25,32,40,50,63,80,100,125}),""))</f>
        <v/>
      </c>
      <c r="AC983" s="160">
        <f t="shared" si="631"/>
        <v/>
      </c>
      <c r="AD983" s="161">
        <f t="shared" si="632"/>
        <v/>
      </c>
      <c r="AE983" s="161">
        <f>IF(AND(R983="",G983=""),"",_xlfn.TEXTJOIN("; ",TRUE,IF(AND(R983&lt;&gt;"",V983=""),"нет фазы",""),IF(AND(R983&lt;&gt;"",N(T983)=0),"нет мощности",""),IF(AND(P983&lt;&gt;"",COUNTIFS($A$3:$A$1000,A983,$P$3:$P$1000,P983)&gt;1),"дубль клеммы "&amp;P983,""),IF(AND(W983&lt;&gt;"",W983&lt;&gt;"ok"),W983,""),IF(X983&lt;&gt;"",X983,""),IF(AND(ISNUMBER(SEARCH("(5х",Q983)),N(AK983)=1),"5 жил на 1 фазе",""),IF(AND(AL983="R",E983&lt;&gt;"",N(AS983)=0),"розетка без 30 мА",""),IF(IFERROR(_xlfn.NUMBERVALUE(MID(Q983,FIND("-",Q983,FIND("L=",Q983))+1,FIND("%",Q983)-FIND("-",Q983,FIND("L=",Q983))-1),","),0)&gt;4,"потери &gt; 4 %","")))</f>
      </c>
      <c r="AF983" s="129">
        <f>IF(E983&lt;&gt;"",COUNTIFS($A$3:A983,A983,$E$3:E983,"?*"),IF(OR(A983&lt;&gt;A982,Y983="вручную"),"",AF982))</f>
        <v/>
      </c>
      <c r="AG983" s="129">
        <f t="shared" si="633"/>
        <v/>
      </c>
      <c r="AH983" s="129">
        <f t="shared" si="634"/>
        <v/>
      </c>
      <c r="AI983" s="129">
        <f t="shared" si="635"/>
        <v/>
      </c>
      <c r="AJ983" s="129">
        <f t="shared" si="636"/>
        <v/>
      </c>
      <c r="AK983" s="129">
        <f t="shared" si="637"/>
        <v/>
      </c>
      <c r="AL983" s="129">
        <f t="shared" si="638"/>
        <v/>
      </c>
      <c r="AM983" s="129">
        <f t="shared" si="639"/>
      </c>
      <c r="AN983" s="129">
        <f t="shared" si="640"/>
      </c>
      <c r="AO983" s="129">
        <f t="shared" si="641"/>
        <v/>
      </c>
      <c r="AP983" s="129">
        <f t="shared" si="642"/>
        <v/>
      </c>
      <c r="AQ983" s="129">
        <f t="shared" si="643"/>
        <v/>
      </c>
      <c r="AR983" s="129">
        <f t="shared" si="644"/>
        <v/>
      </c>
      <c r="AS983" s="129">
        <f t="shared" si="645"/>
        <v/>
      </c>
      <c r="AT983" s="129">
        <f t="shared" si="646"/>
        <v/>
      </c>
      <c r="AU983" s="129">
        <f t="shared" si="647"/>
        <v/>
      </c>
      <c r="AV983" s="129">
        <f t="shared" si="648"/>
        <v/>
      </c>
      <c r="AW983" s="129">
        <f>IF(AV983="","",AV983&amp;"."&amp;COUNTIFS($A$3:A983,A983,$AV$3:AV983,AV983))</f>
        <v/>
      </c>
      <c r="AX983" s="129">
        <f t="shared" si="649"/>
        <v/>
      </c>
      <c r="AY983" s="129">
        <f>IF(N983="б/к",0,IF(OR(ISNUMBER(SEARCH("L=",Разбивка_по_щитам!P983)),N983="+",N983="="),1,0))</f>
      </c>
      <c r="AZ983" s="129">
        <f t="shared" si="650"/>
        <v/>
      </c>
      <c r="BA983" s="129">
        <f t="shared" si="651"/>
      </c>
      <c r="BB983" s="129">
        <f t="shared" si="652"/>
      </c>
      <c r="BD983" s="129">
        <f t="shared" si="653"/>
      </c>
      <c r="BE983" s="129">
        <f t="shared" si="654"/>
      </c>
      <c r="BF983" s="129">
        <f t="shared" si="655"/>
      </c>
      <c r="BG983" s="129">
        <f t="shared" si="656"/>
        <v/>
      </c>
      <c r="BH983" s="129">
        <f t="shared" si="657"/>
        <v/>
      </c>
      <c r="BI983" s="129">
        <f t="shared" si="658"/>
        <v/>
      </c>
      <c r="BJ983" s="129">
        <f t="shared" si="659"/>
        <v/>
      </c>
      <c r="BK983" s="129">
        <f>IF(R983="","",IF(OR(BY983="",BY983=0),"BOX",IFERROR(IF(VLOOKUP(BY983,УГО_блоки,3,FALSE)&amp;""&lt;&gt;"",VLOOKUP(BY983,УГО_блоки,3,FALSE),VLOOKUP(BY983,УГО_блоки,2,FALSE)),BY983)))</f>
      </c>
      <c r="BL983" s="129">
        <f t="shared" si="661"/>
      </c>
      <c r="BM983" s="129">
        <f>IF(H983="","",IF(COUNTIF($H$3:H983,H983)=1,MAX($BM$2:BM982)+1,""))</f>
      </c>
      <c r="BN983" s="129">
        <f>IF(I983="","",IF(COUNTIF($I$3:I983,I983)+COUNTIF($J$2:J982,I983)+COUNTIF($K$2:K982,I983)=1,MAX($BN$2:BP982)+1,""))</f>
      </c>
      <c r="BO983" s="129">
        <f>IF(J983="","",IF(COUNTIF($I$3:I983,J983)+COUNTIF($J$3:J983,J983)+COUNTIF($K$2:K982,J983)=1,MAX($BN$2:BP982,BN983)+1,""))</f>
      </c>
      <c r="BP983" s="129">
        <f>IF(K983="","",IF(COUNTIF($I$3:I983,K983)+COUNTIF($J$3:J983,K983)+COUNTIF($K$3:K983,K983)=1,MAX($BN$2:BP982,BN983,BO983)+1,""))</f>
      </c>
      <c r="BQ983" s="129">
        <f>IF(AY983=1,IFERROR(MID(Q983,FIND(" (",Q983)+2,FIND(")",Q983,FIND(" (",Q983))-FIND(" (",Q983)-2),"?"),"")</f>
      </c>
      <c r="BR983" s="129">
        <f>IF(BQ983="","",IF(COUNTIF($BQ$3:BQ983,BQ983)=1,MAX($BR$2:BR982)+1,""))</f>
      </c>
      <c r="BS983" s="129">
        <f>IF(AW983="","",COUNTIF($AW$3:AW983,"?*"))</f>
      </c>
      <c r="BT983" s="129">
        <f>IF(OR(AW983="",AI983=""),"",IF(COUNTIFS($AW$3:AW983,"?*",$AI$3:AI983,AI983)=1,MAX($BT$2:BT982)+1,""))</f>
      </c>
      <c r="BU983" s="129">
        <f>IF(AE983="",0,IF(OR(ISNUMBER(SEARCH("дубль",AE983)),ISNUMBER(SEARCH("ПЕРЕГРУЗ",AE983)),ISNUMBER(SEARCH("ЗАЩИЩ",AE983)),ISNUMBER(SEARCH("КАНАЛ",AE983)),ISNUMBER(SEARCH("без 30",AE983))),2,1))</f>
      </c>
      <c r="BV983" s="129">
        <f>IF(R983="","",COUNTIF($R$3:R983,"?*"))</f>
      </c>
      <c r="BW983" s="129">
        <f>IF(AY983&lt;&gt;1,0,IF(MAX(IFERROR(--VLOOKUP(R983,УГО_спр,5,FALSE),0),IFERROR(--VLOOKUP(AL983,УГО_спр,5,FALSE),0),IFERROR(--VLOOKUP(LEFT(AL983,2),УГО_спр,5,FALSE),0))&gt;0,MAX(IFERROR(--VLOOKUP(R983,УГО_спр,5,FALSE),0),IFERROR(--VLOOKUP(AL983,УГО_спр,5,FALSE),0),IFERROR(--VLOOKUP(LEFT(AL983,2),УГО_спр,5,FALSE),0)),IF(IFERROR(--LEFT(SUBSTITUTE(BQ983,"x","х"),FIND("х",SUBSTITUTE(BQ983,"x","х"))-1),3)&gt;3,Каталог!$S$9,1)))</f>
      </c>
      <c r="BX983" s="129">
        <f>IF(AY983&lt;&gt;1,0,MAX(0,IFERROR(--LEFT(SUBSTITUTE(BQ983,"x","х"),FIND("х",SUBSTITUTE(BQ983,"x","х"))-1),3)-3*BW983))</f>
      </c>
      <c r="BY983" s="129">
        <f>IF(R983="","",IFERROR(VLOOKUP(R983,УГО_спр,2,FALSE),IFERROR(VLOOKUP(AL983,УГО_спр,2,FALSE),IFERROR(VLOOKUP(LEFT(AL983,2),УГО_спр,2,FALSE),""))))</f>
      </c>
    </row>
    <row r="984" spans="1:64" x14ac:dyDescent="0.3">
      <c r="A984" s="135">
        <f>IF(Разбивка_по_щитам!F984=0,"",Разбивка_по_щитам!F984)</f>
        <v/>
      </c>
      <c r="B984" s="138">
        <f>IF(A984="","",Разбивка_по_щитам!C984)</f>
        <v/>
      </c>
      <c r="C984" s="138">
        <f t="shared" si="622"/>
        <v/>
      </c>
      <c r="D984" s="266"/>
      <c r="E984" s="266"/>
      <c r="F984" s="267"/>
      <c r="G984" s="145">
        <f t="shared" si="623"/>
        <v/>
      </c>
      <c r="H984" s="145">
        <f t="shared" si="624"/>
        <v/>
      </c>
      <c r="I984" s="266"/>
      <c r="J984" s="267"/>
      <c r="K984" s="267"/>
      <c r="L984" s="266"/>
      <c r="M984" s="147">
        <f t="shared" si="625"/>
        <v/>
      </c>
      <c r="N984" s="267"/>
      <c r="O984" s="147">
        <f t="shared" si="626"/>
        <v/>
      </c>
      <c r="P984" s="268">
        <f>IF(AY984=1,"XT"&amp;COUNTIFS($A$3:A984,A984,$AY$3:AY984,1),"")</f>
        <v/>
      </c>
      <c r="Q984" s="152">
        <f>IF(R984="","",IFERROR(SUBSTITUTE(Разбивка_по_щитам!P984,CHAR(10)," "),""))</f>
        <v/>
      </c>
      <c r="R984" s="153">
        <f>IF(OR(Разбивка_по_щитам!H984="",Разбивка_по_щитам!H984=0),"",Разбивка_по_щитам!H984)</f>
        <v/>
      </c>
      <c r="S984" s="154">
        <f>IF(R984="","",IFERROR(Разбивка_по_щитам!J984&amp;"",""))</f>
        <v/>
      </c>
      <c r="T984" s="155">
        <f>IF(R984="","",IFERROR(--Разбивка_по_щитам!L984,""))</f>
        <v/>
      </c>
      <c r="U984" s="155">
        <f>IF(R984="","",IFERROR(--Разбивка_по_щитам!K984,""))</f>
        <v/>
      </c>
      <c r="V984" s="138">
        <f>IF(R984="","",IFERROR(IF(Разбивка_по_щитам!M984=0,"",Разбивка_по_щитам!M984),""))</f>
        <v/>
      </c>
      <c r="W984" s="156">
        <f t="shared" si="627"/>
        <v/>
      </c>
      <c r="X984" s="157">
        <f t="shared" si="628"/>
        <v/>
      </c>
      <c r="Y984" s="266"/>
      <c r="Z984" s="158">
        <f t="shared" si="629"/>
        <v/>
      </c>
      <c r="AA984" s="160">
        <f t="shared" si="630"/>
        <v/>
      </c>
      <c r="AB984" s="160">
        <f>IF(R984="","",IFERROR(LOOKUP(INDEX(Справочная!$I$4:$I$19,MATCH(VLOOKUP(R984,Исходные_данные,22,FALSE),Справочная!$J$4:$J$19,0)+1),{6,10,16,20,25,32,40,50,63,80,100,125}),""))</f>
        <v/>
      </c>
      <c r="AC984" s="160">
        <f t="shared" si="631"/>
        <v/>
      </c>
      <c r="AD984" s="161">
        <f t="shared" si="632"/>
        <v/>
      </c>
      <c r="AE984" s="161">
        <f>IF(AND(R984="",G984=""),"",_xlfn.TEXTJOIN("; ",TRUE,IF(AND(R984&lt;&gt;"",V984=""),"нет фазы",""),IF(AND(R984&lt;&gt;"",N(T984)=0),"нет мощности",""),IF(AND(P984&lt;&gt;"",COUNTIFS($A$3:$A$1000,A984,$P$3:$P$1000,P984)&gt;1),"дубль клеммы "&amp;P984,""),IF(AND(W984&lt;&gt;"",W984&lt;&gt;"ok"),W984,""),IF(X984&lt;&gt;"",X984,""),IF(AND(ISNUMBER(SEARCH("(5х",Q984)),N(AK984)=1),"5 жил на 1 фазе",""),IF(AND(AL984="R",E984&lt;&gt;"",N(AS984)=0),"розетка без 30 мА",""),IF(IFERROR(_xlfn.NUMBERVALUE(MID(Q984,FIND("-",Q984,FIND("L=",Q984))+1,FIND("%",Q984)-FIND("-",Q984,FIND("L=",Q984))-1),","),0)&gt;4,"потери &gt; 4 %","")))</f>
      </c>
      <c r="AF984" s="129">
        <f>IF(E984&lt;&gt;"",COUNTIFS($A$3:A984,A984,$E$3:E984,"?*"),IF(OR(A984&lt;&gt;A983,Y984="вручную"),"",AF983))</f>
        <v/>
      </c>
      <c r="AG984" s="129">
        <f t="shared" si="633"/>
        <v/>
      </c>
      <c r="AH984" s="129">
        <f t="shared" si="634"/>
        <v/>
      </c>
      <c r="AI984" s="129">
        <f t="shared" si="635"/>
        <v/>
      </c>
      <c r="AJ984" s="129">
        <f t="shared" si="636"/>
        <v/>
      </c>
      <c r="AK984" s="129">
        <f t="shared" si="637"/>
        <v/>
      </c>
      <c r="AL984" s="129">
        <f t="shared" si="638"/>
        <v/>
      </c>
      <c r="AM984" s="129">
        <f t="shared" si="639"/>
      </c>
      <c r="AN984" s="129">
        <f t="shared" si="640"/>
      </c>
      <c r="AO984" s="129">
        <f t="shared" si="641"/>
        <v/>
      </c>
      <c r="AP984" s="129">
        <f t="shared" si="642"/>
        <v/>
      </c>
      <c r="AQ984" s="129">
        <f t="shared" si="643"/>
        <v/>
      </c>
      <c r="AR984" s="129">
        <f t="shared" si="644"/>
        <v/>
      </c>
      <c r="AS984" s="129">
        <f t="shared" si="645"/>
        <v/>
      </c>
      <c r="AT984" s="129">
        <f t="shared" si="646"/>
        <v/>
      </c>
      <c r="AU984" s="129">
        <f t="shared" si="647"/>
        <v/>
      </c>
      <c r="AV984" s="129">
        <f t="shared" si="648"/>
        <v/>
      </c>
      <c r="AW984" s="129">
        <f>IF(AV984="","",AV984&amp;"."&amp;COUNTIFS($A$3:A984,A984,$AV$3:AV984,AV984))</f>
        <v/>
      </c>
      <c r="AX984" s="129">
        <f t="shared" si="649"/>
        <v/>
      </c>
      <c r="AY984" s="129">
        <f>IF(N984="б/к",0,IF(OR(ISNUMBER(SEARCH("L=",Разбивка_по_щитам!P984)),N984="+",N984="="),1,0))</f>
      </c>
      <c r="AZ984" s="129">
        <f t="shared" si="650"/>
        <v/>
      </c>
      <c r="BA984" s="129">
        <f t="shared" si="651"/>
      </c>
      <c r="BB984" s="129">
        <f t="shared" si="652"/>
      </c>
      <c r="BD984" s="129">
        <f t="shared" si="653"/>
      </c>
      <c r="BE984" s="129">
        <f t="shared" si="654"/>
      </c>
      <c r="BF984" s="129">
        <f t="shared" si="655"/>
      </c>
      <c r="BG984" s="129">
        <f t="shared" si="656"/>
        <v/>
      </c>
      <c r="BH984" s="129">
        <f t="shared" si="657"/>
        <v/>
      </c>
      <c r="BI984" s="129">
        <f t="shared" si="658"/>
        <v/>
      </c>
      <c r="BJ984" s="129">
        <f t="shared" si="659"/>
        <v/>
      </c>
      <c r="BK984" s="129">
        <f>IF(R984="","",IF(OR(BY984="",BY984=0),"BOX",IFERROR(IF(VLOOKUP(BY984,УГО_блоки,3,FALSE)&amp;""&lt;&gt;"",VLOOKUP(BY984,УГО_блоки,3,FALSE),VLOOKUP(BY984,УГО_блоки,2,FALSE)),BY984)))</f>
      </c>
      <c r="BL984" s="129">
        <f t="shared" si="661"/>
      </c>
      <c r="BM984" s="129">
        <f>IF(H984="","",IF(COUNTIF($H$3:H984,H984)=1,MAX($BM$2:BM983)+1,""))</f>
      </c>
      <c r="BN984" s="129">
        <f>IF(I984="","",IF(COUNTIF($I$3:I984,I984)+COUNTIF($J$2:J983,I984)+COUNTIF($K$2:K983,I984)=1,MAX($BN$2:BP983)+1,""))</f>
      </c>
      <c r="BO984" s="129">
        <f>IF(J984="","",IF(COUNTIF($I$3:I984,J984)+COUNTIF($J$3:J984,J984)+COUNTIF($K$2:K983,J984)=1,MAX($BN$2:BP983,BN984)+1,""))</f>
      </c>
      <c r="BP984" s="129">
        <f>IF(K984="","",IF(COUNTIF($I$3:I984,K984)+COUNTIF($J$3:J984,K984)+COUNTIF($K$3:K984,K984)=1,MAX($BN$2:BP983,BN984,BO984)+1,""))</f>
      </c>
      <c r="BQ984" s="129">
        <f>IF(AY984=1,IFERROR(MID(Q984,FIND(" (",Q984)+2,FIND(")",Q984,FIND(" (",Q984))-FIND(" (",Q984)-2),"?"),"")</f>
      </c>
      <c r="BR984" s="129">
        <f>IF(BQ984="","",IF(COUNTIF($BQ$3:BQ984,BQ984)=1,MAX($BR$2:BR983)+1,""))</f>
      </c>
      <c r="BS984" s="129">
        <f>IF(AW984="","",COUNTIF($AW$3:AW984,"?*"))</f>
      </c>
      <c r="BT984" s="129">
        <f>IF(OR(AW984="",AI984=""),"",IF(COUNTIFS($AW$3:AW984,"?*",$AI$3:AI984,AI984)=1,MAX($BT$2:BT983)+1,""))</f>
      </c>
      <c r="BU984" s="129">
        <f>IF(AE984="",0,IF(OR(ISNUMBER(SEARCH("дубль",AE984)),ISNUMBER(SEARCH("ПЕРЕГРУЗ",AE984)),ISNUMBER(SEARCH("ЗАЩИЩ",AE984)),ISNUMBER(SEARCH("КАНАЛ",AE984)),ISNUMBER(SEARCH("без 30",AE984))),2,1))</f>
      </c>
      <c r="BV984" s="129">
        <f>IF(R984="","",COUNTIF($R$3:R984,"?*"))</f>
      </c>
      <c r="BW984" s="129">
        <f>IF(AY984&lt;&gt;1,0,IF(MAX(IFERROR(--VLOOKUP(R984,УГО_спр,5,FALSE),0),IFERROR(--VLOOKUP(AL984,УГО_спр,5,FALSE),0),IFERROR(--VLOOKUP(LEFT(AL984,2),УГО_спр,5,FALSE),0))&gt;0,MAX(IFERROR(--VLOOKUP(R984,УГО_спр,5,FALSE),0),IFERROR(--VLOOKUP(AL984,УГО_спр,5,FALSE),0),IFERROR(--VLOOKUP(LEFT(AL984,2),УГО_спр,5,FALSE),0)),IF(IFERROR(--LEFT(SUBSTITUTE(BQ984,"x","х"),FIND("х",SUBSTITUTE(BQ984,"x","х"))-1),3)&gt;3,Каталог!$S$9,1)))</f>
      </c>
      <c r="BX984" s="129">
        <f>IF(AY984&lt;&gt;1,0,MAX(0,IFERROR(--LEFT(SUBSTITUTE(BQ984,"x","х"),FIND("х",SUBSTITUTE(BQ984,"x","х"))-1),3)-3*BW984))</f>
      </c>
      <c r="BY984" s="129">
        <f>IF(R984="","",IFERROR(VLOOKUP(R984,УГО_спр,2,FALSE),IFERROR(VLOOKUP(AL984,УГО_спр,2,FALSE),IFERROR(VLOOKUP(LEFT(AL984,2),УГО_спр,2,FALSE),""))))</f>
      </c>
    </row>
    <row r="985" spans="1:64" x14ac:dyDescent="0.3">
      <c r="A985" s="135">
        <f>IF(Разбивка_по_щитам!F985=0,"",Разбивка_по_щитам!F985)</f>
        <v/>
      </c>
      <c r="B985" s="138">
        <f>IF(A985="","",Разбивка_по_щитам!C985)</f>
        <v/>
      </c>
      <c r="C985" s="138">
        <f t="shared" si="622"/>
        <v/>
      </c>
      <c r="D985" s="266"/>
      <c r="E985" s="266"/>
      <c r="F985" s="267"/>
      <c r="G985" s="145">
        <f t="shared" si="623"/>
        <v/>
      </c>
      <c r="H985" s="145">
        <f t="shared" si="624"/>
        <v/>
      </c>
      <c r="I985" s="266"/>
      <c r="J985" s="267"/>
      <c r="K985" s="267"/>
      <c r="L985" s="266"/>
      <c r="M985" s="147">
        <f t="shared" si="625"/>
        <v/>
      </c>
      <c r="N985" s="267"/>
      <c r="O985" s="147">
        <f t="shared" si="626"/>
        <v/>
      </c>
      <c r="P985" s="268">
        <f>IF(AY985=1,"XT"&amp;COUNTIFS($A$3:A985,A985,$AY$3:AY985,1),"")</f>
        <v/>
      </c>
      <c r="Q985" s="152">
        <f>IF(R985="","",IFERROR(SUBSTITUTE(Разбивка_по_щитам!P985,CHAR(10)," "),""))</f>
        <v/>
      </c>
      <c r="R985" s="153">
        <f>IF(OR(Разбивка_по_щитам!H985="",Разбивка_по_щитам!H985=0),"",Разбивка_по_щитам!H985)</f>
        <v/>
      </c>
      <c r="S985" s="154">
        <f>IF(R985="","",IFERROR(Разбивка_по_щитам!J985&amp;"",""))</f>
        <v/>
      </c>
      <c r="T985" s="155">
        <f>IF(R985="","",IFERROR(--Разбивка_по_щитам!L985,""))</f>
        <v/>
      </c>
      <c r="U985" s="155">
        <f>IF(R985="","",IFERROR(--Разбивка_по_щитам!K985,""))</f>
        <v/>
      </c>
      <c r="V985" s="138">
        <f>IF(R985="","",IFERROR(IF(Разбивка_по_щитам!M985=0,"",Разбивка_по_щитам!M985),""))</f>
        <v/>
      </c>
      <c r="W985" s="156">
        <f t="shared" si="627"/>
        <v/>
      </c>
      <c r="X985" s="157">
        <f t="shared" si="628"/>
        <v/>
      </c>
      <c r="Y985" s="266"/>
      <c r="Z985" s="158">
        <f t="shared" si="629"/>
        <v/>
      </c>
      <c r="AA985" s="160">
        <f t="shared" si="630"/>
        <v/>
      </c>
      <c r="AB985" s="160">
        <f>IF(R985="","",IFERROR(LOOKUP(INDEX(Справочная!$I$4:$I$19,MATCH(VLOOKUP(R985,Исходные_данные,22,FALSE),Справочная!$J$4:$J$19,0)+1),{6,10,16,20,25,32,40,50,63,80,100,125}),""))</f>
        <v/>
      </c>
      <c r="AC985" s="160">
        <f t="shared" si="631"/>
        <v/>
      </c>
      <c r="AD985" s="161">
        <f t="shared" si="632"/>
        <v/>
      </c>
      <c r="AE985" s="161">
        <f>IF(AND(R985="",G985=""),"",_xlfn.TEXTJOIN("; ",TRUE,IF(AND(R985&lt;&gt;"",V985=""),"нет фазы",""),IF(AND(R985&lt;&gt;"",N(T985)=0),"нет мощности",""),IF(AND(P985&lt;&gt;"",COUNTIFS($A$3:$A$1000,A985,$P$3:$P$1000,P985)&gt;1),"дубль клеммы "&amp;P985,""),IF(AND(W985&lt;&gt;"",W985&lt;&gt;"ok"),W985,""),IF(X985&lt;&gt;"",X985,""),IF(AND(ISNUMBER(SEARCH("(5х",Q985)),N(AK985)=1),"5 жил на 1 фазе",""),IF(AND(AL985="R",E985&lt;&gt;"",N(AS985)=0),"розетка без 30 мА",""),IF(IFERROR(_xlfn.NUMBERVALUE(MID(Q985,FIND("-",Q985,FIND("L=",Q985))+1,FIND("%",Q985)-FIND("-",Q985,FIND("L=",Q985))-1),","),0)&gt;4,"потери &gt; 4 %","")))</f>
      </c>
      <c r="AF985" s="129">
        <f>IF(E985&lt;&gt;"",COUNTIFS($A$3:A985,A985,$E$3:E985,"?*"),IF(OR(A985&lt;&gt;A984,Y985="вручную"),"",AF984))</f>
        <v/>
      </c>
      <c r="AG985" s="129">
        <f t="shared" si="633"/>
        <v/>
      </c>
      <c r="AH985" s="129">
        <f t="shared" si="634"/>
        <v/>
      </c>
      <c r="AI985" s="129">
        <f t="shared" si="635"/>
        <v/>
      </c>
      <c r="AJ985" s="129">
        <f t="shared" si="636"/>
        <v/>
      </c>
      <c r="AK985" s="129">
        <f t="shared" si="637"/>
        <v/>
      </c>
      <c r="AL985" s="129">
        <f t="shared" si="638"/>
        <v/>
      </c>
      <c r="AM985" s="129">
        <f t="shared" si="639"/>
      </c>
      <c r="AN985" s="129">
        <f t="shared" si="640"/>
      </c>
      <c r="AO985" s="129">
        <f t="shared" si="641"/>
        <v/>
      </c>
      <c r="AP985" s="129">
        <f t="shared" si="642"/>
        <v/>
      </c>
      <c r="AQ985" s="129">
        <f t="shared" si="643"/>
        <v/>
      </c>
      <c r="AR985" s="129">
        <f t="shared" si="644"/>
        <v/>
      </c>
      <c r="AS985" s="129">
        <f t="shared" si="645"/>
        <v/>
      </c>
      <c r="AT985" s="129">
        <f t="shared" si="646"/>
        <v/>
      </c>
      <c r="AU985" s="129">
        <f t="shared" si="647"/>
        <v/>
      </c>
      <c r="AV985" s="129">
        <f t="shared" si="648"/>
        <v/>
      </c>
      <c r="AW985" s="129">
        <f>IF(AV985="","",AV985&amp;"."&amp;COUNTIFS($A$3:A985,A985,$AV$3:AV985,AV985))</f>
        <v/>
      </c>
      <c r="AX985" s="129">
        <f t="shared" si="649"/>
        <v/>
      </c>
      <c r="AY985" s="129">
        <f>IF(N985="б/к",0,IF(OR(ISNUMBER(SEARCH("L=",Разбивка_по_щитам!P985)),N985="+",N985="="),1,0))</f>
      </c>
      <c r="AZ985" s="129">
        <f t="shared" si="650"/>
        <v/>
      </c>
      <c r="BA985" s="129">
        <f t="shared" si="651"/>
      </c>
      <c r="BB985" s="129">
        <f t="shared" si="652"/>
      </c>
      <c r="BD985" s="129">
        <f t="shared" si="653"/>
      </c>
      <c r="BE985" s="129">
        <f t="shared" si="654"/>
      </c>
      <c r="BF985" s="129">
        <f t="shared" si="655"/>
      </c>
      <c r="BG985" s="129">
        <f t="shared" si="656"/>
        <v/>
      </c>
      <c r="BH985" s="129">
        <f t="shared" si="657"/>
        <v/>
      </c>
      <c r="BI985" s="129">
        <f t="shared" si="658"/>
        <v/>
      </c>
      <c r="BJ985" s="129">
        <f t="shared" si="659"/>
        <v/>
      </c>
      <c r="BK985" s="129">
        <f>IF(R985="","",IF(OR(BY985="",BY985=0),"BOX",IFERROR(IF(VLOOKUP(BY985,УГО_блоки,3,FALSE)&amp;""&lt;&gt;"",VLOOKUP(BY985,УГО_блоки,3,FALSE),VLOOKUP(BY985,УГО_блоки,2,FALSE)),BY985)))</f>
      </c>
      <c r="BL985" s="129">
        <f t="shared" si="661"/>
      </c>
      <c r="BM985" s="129">
        <f>IF(H985="","",IF(COUNTIF($H$3:H985,H985)=1,MAX($BM$2:BM984)+1,""))</f>
      </c>
      <c r="BN985" s="129">
        <f>IF(I985="","",IF(COUNTIF($I$3:I985,I985)+COUNTIF($J$2:J984,I985)+COUNTIF($K$2:K984,I985)=1,MAX($BN$2:BP984)+1,""))</f>
      </c>
      <c r="BO985" s="129">
        <f>IF(J985="","",IF(COUNTIF($I$3:I985,J985)+COUNTIF($J$3:J985,J985)+COUNTIF($K$2:K984,J985)=1,MAX($BN$2:BP984,BN985)+1,""))</f>
      </c>
      <c r="BP985" s="129">
        <f>IF(K985="","",IF(COUNTIF($I$3:I985,K985)+COUNTIF($J$3:J985,K985)+COUNTIF($K$3:K985,K985)=1,MAX($BN$2:BP984,BN985,BO985)+1,""))</f>
      </c>
      <c r="BQ985" s="129">
        <f>IF(AY985=1,IFERROR(MID(Q985,FIND(" (",Q985)+2,FIND(")",Q985,FIND(" (",Q985))-FIND(" (",Q985)-2),"?"),"")</f>
      </c>
      <c r="BR985" s="129">
        <f>IF(BQ985="","",IF(COUNTIF($BQ$3:BQ985,BQ985)=1,MAX($BR$2:BR984)+1,""))</f>
      </c>
      <c r="BS985" s="129">
        <f>IF(AW985="","",COUNTIF($AW$3:AW985,"?*"))</f>
      </c>
      <c r="BT985" s="129">
        <f>IF(OR(AW985="",AI985=""),"",IF(COUNTIFS($AW$3:AW985,"?*",$AI$3:AI985,AI985)=1,MAX($BT$2:BT984)+1,""))</f>
      </c>
      <c r="BU985" s="129">
        <f>IF(AE985="",0,IF(OR(ISNUMBER(SEARCH("дубль",AE985)),ISNUMBER(SEARCH("ПЕРЕГРУЗ",AE985)),ISNUMBER(SEARCH("ЗАЩИЩ",AE985)),ISNUMBER(SEARCH("КАНАЛ",AE985)),ISNUMBER(SEARCH("без 30",AE985))),2,1))</f>
      </c>
      <c r="BV985" s="129">
        <f>IF(R985="","",COUNTIF($R$3:R985,"?*"))</f>
      </c>
      <c r="BW985" s="129">
        <f>IF(AY985&lt;&gt;1,0,IF(MAX(IFERROR(--VLOOKUP(R985,УГО_спр,5,FALSE),0),IFERROR(--VLOOKUP(AL985,УГО_спр,5,FALSE),0),IFERROR(--VLOOKUP(LEFT(AL985,2),УГО_спр,5,FALSE),0))&gt;0,MAX(IFERROR(--VLOOKUP(R985,УГО_спр,5,FALSE),0),IFERROR(--VLOOKUP(AL985,УГО_спр,5,FALSE),0),IFERROR(--VLOOKUP(LEFT(AL985,2),УГО_спр,5,FALSE),0)),IF(IFERROR(--LEFT(SUBSTITUTE(BQ985,"x","х"),FIND("х",SUBSTITUTE(BQ985,"x","х"))-1),3)&gt;3,Каталог!$S$9,1)))</f>
      </c>
      <c r="BX985" s="129">
        <f>IF(AY985&lt;&gt;1,0,MAX(0,IFERROR(--LEFT(SUBSTITUTE(BQ985,"x","х"),FIND("х",SUBSTITUTE(BQ985,"x","х"))-1),3)-3*BW985))</f>
      </c>
      <c r="BY985" s="129">
        <f>IF(R985="","",IFERROR(VLOOKUP(R985,УГО_спр,2,FALSE),IFERROR(VLOOKUP(AL985,УГО_спр,2,FALSE),IFERROR(VLOOKUP(LEFT(AL985,2),УГО_спр,2,FALSE),""))))</f>
      </c>
    </row>
    <row r="986" spans="1:64" x14ac:dyDescent="0.3">
      <c r="A986" s="135">
        <f>IF(Разбивка_по_щитам!F986=0,"",Разбивка_по_щитам!F986)</f>
        <v/>
      </c>
      <c r="B986" s="138">
        <f>IF(A986="","",Разбивка_по_щитам!C986)</f>
        <v/>
      </c>
      <c r="C986" s="138">
        <f t="shared" si="622"/>
        <v/>
      </c>
      <c r="D986" s="266"/>
      <c r="E986" s="266"/>
      <c r="F986" s="267"/>
      <c r="G986" s="145">
        <f t="shared" si="623"/>
        <v/>
      </c>
      <c r="H986" s="145">
        <f t="shared" si="624"/>
        <v/>
      </c>
      <c r="I986" s="266"/>
      <c r="J986" s="267"/>
      <c r="K986" s="267"/>
      <c r="L986" s="266"/>
      <c r="M986" s="147">
        <f t="shared" si="625"/>
        <v/>
      </c>
      <c r="N986" s="267"/>
      <c r="O986" s="147">
        <f t="shared" si="626"/>
        <v/>
      </c>
      <c r="P986" s="268">
        <f>IF(AY986=1,"XT"&amp;COUNTIFS($A$3:A986,A986,$AY$3:AY986,1),"")</f>
        <v/>
      </c>
      <c r="Q986" s="152">
        <f>IF(R986="","",IFERROR(SUBSTITUTE(Разбивка_по_щитам!P986,CHAR(10)," "),""))</f>
        <v/>
      </c>
      <c r="R986" s="153">
        <f>IF(OR(Разбивка_по_щитам!H986="",Разбивка_по_щитам!H986=0),"",Разбивка_по_щитам!H986)</f>
        <v/>
      </c>
      <c r="S986" s="154">
        <f>IF(R986="","",IFERROR(Разбивка_по_щитам!J986&amp;"",""))</f>
        <v/>
      </c>
      <c r="T986" s="155">
        <f>IF(R986="","",IFERROR(--Разбивка_по_щитам!L986,""))</f>
        <v/>
      </c>
      <c r="U986" s="155">
        <f>IF(R986="","",IFERROR(--Разбивка_по_щитам!K986,""))</f>
        <v/>
      </c>
      <c r="V986" s="138">
        <f>IF(R986="","",IFERROR(IF(Разбивка_по_щитам!M986=0,"",Разбивка_по_щитам!M986),""))</f>
        <v/>
      </c>
      <c r="W986" s="156">
        <f t="shared" si="627"/>
        <v/>
      </c>
      <c r="X986" s="157">
        <f t="shared" si="628"/>
        <v/>
      </c>
      <c r="Y986" s="266"/>
      <c r="Z986" s="158">
        <f t="shared" si="629"/>
        <v/>
      </c>
      <c r="AA986" s="160">
        <f t="shared" si="630"/>
        <v/>
      </c>
      <c r="AB986" s="160">
        <f>IF(R986="","",IFERROR(LOOKUP(INDEX(Справочная!$I$4:$I$19,MATCH(VLOOKUP(R986,Исходные_данные,22,FALSE),Справочная!$J$4:$J$19,0)+1),{6,10,16,20,25,32,40,50,63,80,100,125}),""))</f>
        <v/>
      </c>
      <c r="AC986" s="160">
        <f t="shared" si="631"/>
        <v/>
      </c>
      <c r="AD986" s="161">
        <f t="shared" si="632"/>
        <v/>
      </c>
      <c r="AE986" s="161">
        <f>IF(AND(R986="",G986=""),"",_xlfn.TEXTJOIN("; ",TRUE,IF(AND(R986&lt;&gt;"",V986=""),"нет фазы",""),IF(AND(R986&lt;&gt;"",N(T986)=0),"нет мощности",""),IF(AND(P986&lt;&gt;"",COUNTIFS($A$3:$A$1000,A986,$P$3:$P$1000,P986)&gt;1),"дубль клеммы "&amp;P986,""),IF(AND(W986&lt;&gt;"",W986&lt;&gt;"ok"),W986,""),IF(X986&lt;&gt;"",X986,""),IF(AND(ISNUMBER(SEARCH("(5х",Q986)),N(AK986)=1),"5 жил на 1 фазе",""),IF(AND(AL986="R",E986&lt;&gt;"",N(AS986)=0),"розетка без 30 мА",""),IF(IFERROR(_xlfn.NUMBERVALUE(MID(Q986,FIND("-",Q986,FIND("L=",Q986))+1,FIND("%",Q986)-FIND("-",Q986,FIND("L=",Q986))-1),","),0)&gt;4,"потери &gt; 4 %","")))</f>
      </c>
      <c r="AF986" s="129">
        <f>IF(E986&lt;&gt;"",COUNTIFS($A$3:A986,A986,$E$3:E986,"?*"),IF(OR(A986&lt;&gt;A985,Y986="вручную"),"",AF985))</f>
        <v/>
      </c>
      <c r="AG986" s="129">
        <f t="shared" si="633"/>
        <v/>
      </c>
      <c r="AH986" s="129">
        <f t="shared" si="634"/>
        <v/>
      </c>
      <c r="AI986" s="129">
        <f t="shared" si="635"/>
        <v/>
      </c>
      <c r="AJ986" s="129">
        <f t="shared" si="636"/>
        <v/>
      </c>
      <c r="AK986" s="129">
        <f t="shared" si="637"/>
        <v/>
      </c>
      <c r="AL986" s="129">
        <f t="shared" si="638"/>
        <v/>
      </c>
      <c r="AM986" s="129">
        <f t="shared" si="639"/>
      </c>
      <c r="AN986" s="129">
        <f t="shared" si="640"/>
      </c>
      <c r="AO986" s="129">
        <f t="shared" si="641"/>
        <v/>
      </c>
      <c r="AP986" s="129">
        <f t="shared" si="642"/>
        <v/>
      </c>
      <c r="AQ986" s="129">
        <f t="shared" si="643"/>
        <v/>
      </c>
      <c r="AR986" s="129">
        <f t="shared" si="644"/>
        <v/>
      </c>
      <c r="AS986" s="129">
        <f t="shared" si="645"/>
        <v/>
      </c>
      <c r="AT986" s="129">
        <f t="shared" si="646"/>
        <v/>
      </c>
      <c r="AU986" s="129">
        <f t="shared" si="647"/>
        <v/>
      </c>
      <c r="AV986" s="129">
        <f t="shared" si="648"/>
        <v/>
      </c>
      <c r="AW986" s="129">
        <f>IF(AV986="","",AV986&amp;"."&amp;COUNTIFS($A$3:A986,A986,$AV$3:AV986,AV986))</f>
        <v/>
      </c>
      <c r="AX986" s="129">
        <f t="shared" si="649"/>
        <v/>
      </c>
      <c r="AY986" s="129">
        <f>IF(N986="б/к",0,IF(OR(ISNUMBER(SEARCH("L=",Разбивка_по_щитам!P986)),N986="+",N986="="),1,0))</f>
      </c>
      <c r="AZ986" s="129">
        <f t="shared" si="650"/>
        <v/>
      </c>
      <c r="BA986" s="129">
        <f t="shared" si="651"/>
      </c>
      <c r="BB986" s="129">
        <f t="shared" si="652"/>
      </c>
      <c r="BD986" s="129">
        <f t="shared" si="653"/>
      </c>
      <c r="BE986" s="129">
        <f t="shared" si="654"/>
      </c>
      <c r="BF986" s="129">
        <f t="shared" si="655"/>
      </c>
      <c r="BG986" s="129">
        <f t="shared" si="656"/>
        <v/>
      </c>
      <c r="BH986" s="129">
        <f t="shared" si="657"/>
        <v/>
      </c>
      <c r="BI986" s="129">
        <f t="shared" si="658"/>
        <v/>
      </c>
      <c r="BJ986" s="129">
        <f t="shared" si="659"/>
        <v/>
      </c>
      <c r="BK986" s="129">
        <f>IF(R986="","",IF(OR(BY986="",BY986=0),"BOX",IFERROR(IF(VLOOKUP(BY986,УГО_блоки,3,FALSE)&amp;""&lt;&gt;"",VLOOKUP(BY986,УГО_блоки,3,FALSE),VLOOKUP(BY986,УГО_блоки,2,FALSE)),BY986)))</f>
      </c>
      <c r="BL986" s="129">
        <f t="shared" si="661"/>
      </c>
      <c r="BM986" s="129">
        <f>IF(H986="","",IF(COUNTIF($H$3:H986,H986)=1,MAX($BM$2:BM985)+1,""))</f>
      </c>
      <c r="BN986" s="129">
        <f>IF(I986="","",IF(COUNTIF($I$3:I986,I986)+COUNTIF($J$2:J985,I986)+COUNTIF($K$2:K985,I986)=1,MAX($BN$2:BP985)+1,""))</f>
      </c>
      <c r="BO986" s="129">
        <f>IF(J986="","",IF(COUNTIF($I$3:I986,J986)+COUNTIF($J$3:J986,J986)+COUNTIF($K$2:K985,J986)=1,MAX($BN$2:BP985,BN986)+1,""))</f>
      </c>
      <c r="BP986" s="129">
        <f>IF(K986="","",IF(COUNTIF($I$3:I986,K986)+COUNTIF($J$3:J986,K986)+COUNTIF($K$3:K986,K986)=1,MAX($BN$2:BP985,BN986,BO986)+1,""))</f>
      </c>
      <c r="BQ986" s="129">
        <f>IF(AY986=1,IFERROR(MID(Q986,FIND(" (",Q986)+2,FIND(")",Q986,FIND(" (",Q986))-FIND(" (",Q986)-2),"?"),"")</f>
      </c>
      <c r="BR986" s="129">
        <f>IF(BQ986="","",IF(COUNTIF($BQ$3:BQ986,BQ986)=1,MAX($BR$2:BR985)+1,""))</f>
      </c>
      <c r="BS986" s="129">
        <f>IF(AW986="","",COUNTIF($AW$3:AW986,"?*"))</f>
      </c>
      <c r="BT986" s="129">
        <f>IF(OR(AW986="",AI986=""),"",IF(COUNTIFS($AW$3:AW986,"?*",$AI$3:AI986,AI986)=1,MAX($BT$2:BT985)+1,""))</f>
      </c>
      <c r="BU986" s="129">
        <f>IF(AE986="",0,IF(OR(ISNUMBER(SEARCH("дубль",AE986)),ISNUMBER(SEARCH("ПЕРЕГРУЗ",AE986)),ISNUMBER(SEARCH("ЗАЩИЩ",AE986)),ISNUMBER(SEARCH("КАНАЛ",AE986)),ISNUMBER(SEARCH("без 30",AE986))),2,1))</f>
      </c>
      <c r="BV986" s="129">
        <f>IF(R986="","",COUNTIF($R$3:R986,"?*"))</f>
      </c>
      <c r="BW986" s="129">
        <f>IF(AY986&lt;&gt;1,0,IF(MAX(IFERROR(--VLOOKUP(R986,УГО_спр,5,FALSE),0),IFERROR(--VLOOKUP(AL986,УГО_спр,5,FALSE),0),IFERROR(--VLOOKUP(LEFT(AL986,2),УГО_спр,5,FALSE),0))&gt;0,MAX(IFERROR(--VLOOKUP(R986,УГО_спр,5,FALSE),0),IFERROR(--VLOOKUP(AL986,УГО_спр,5,FALSE),0),IFERROR(--VLOOKUP(LEFT(AL986,2),УГО_спр,5,FALSE),0)),IF(IFERROR(--LEFT(SUBSTITUTE(BQ986,"x","х"),FIND("х",SUBSTITUTE(BQ986,"x","х"))-1),3)&gt;3,Каталог!$S$9,1)))</f>
      </c>
      <c r="BX986" s="129">
        <f>IF(AY986&lt;&gt;1,0,MAX(0,IFERROR(--LEFT(SUBSTITUTE(BQ986,"x","х"),FIND("х",SUBSTITUTE(BQ986,"x","х"))-1),3)-3*BW986))</f>
      </c>
      <c r="BY986" s="129">
        <f>IF(R986="","",IFERROR(VLOOKUP(R986,УГО_спр,2,FALSE),IFERROR(VLOOKUP(AL986,УГО_спр,2,FALSE),IFERROR(VLOOKUP(LEFT(AL986,2),УГО_спр,2,FALSE),""))))</f>
      </c>
    </row>
    <row r="987" spans="1:64" x14ac:dyDescent="0.3">
      <c r="A987" s="135">
        <f>IF(Разбивка_по_щитам!F987=0,"",Разбивка_по_щитам!F987)</f>
        <v/>
      </c>
      <c r="B987" s="138">
        <f>IF(A987="","",Разбивка_по_щитам!C987)</f>
        <v/>
      </c>
      <c r="C987" s="138">
        <f t="shared" si="622"/>
        <v/>
      </c>
      <c r="D987" s="266"/>
      <c r="E987" s="266"/>
      <c r="F987" s="267"/>
      <c r="G987" s="145">
        <f t="shared" si="623"/>
        <v/>
      </c>
      <c r="H987" s="145">
        <f t="shared" si="624"/>
        <v/>
      </c>
      <c r="I987" s="266"/>
      <c r="J987" s="267"/>
      <c r="K987" s="267"/>
      <c r="L987" s="266"/>
      <c r="M987" s="147">
        <f t="shared" si="625"/>
        <v/>
      </c>
      <c r="N987" s="267"/>
      <c r="O987" s="147">
        <f t="shared" si="626"/>
        <v/>
      </c>
      <c r="P987" s="268">
        <f>IF(AY987=1,"XT"&amp;COUNTIFS($A$3:A987,A987,$AY$3:AY987,1),"")</f>
        <v/>
      </c>
      <c r="Q987" s="152">
        <f>IF(R987="","",IFERROR(SUBSTITUTE(Разбивка_по_щитам!P987,CHAR(10)," "),""))</f>
        <v/>
      </c>
      <c r="R987" s="153">
        <f>IF(OR(Разбивка_по_щитам!H987="",Разбивка_по_щитам!H987=0),"",Разбивка_по_щитам!H987)</f>
        <v/>
      </c>
      <c r="S987" s="154">
        <f>IF(R987="","",IFERROR(Разбивка_по_щитам!J987&amp;"",""))</f>
        <v/>
      </c>
      <c r="T987" s="155">
        <f>IF(R987="","",IFERROR(--Разбивка_по_щитам!L987,""))</f>
        <v/>
      </c>
      <c r="U987" s="155">
        <f>IF(R987="","",IFERROR(--Разбивка_по_щитам!K987,""))</f>
        <v/>
      </c>
      <c r="V987" s="138">
        <f>IF(R987="","",IFERROR(IF(Разбивка_по_щитам!M987=0,"",Разбивка_по_щитам!M987),""))</f>
        <v/>
      </c>
      <c r="W987" s="156">
        <f t="shared" si="627"/>
        <v/>
      </c>
      <c r="X987" s="157">
        <f t="shared" si="628"/>
        <v/>
      </c>
      <c r="Y987" s="266"/>
      <c r="Z987" s="158">
        <f t="shared" si="629"/>
        <v/>
      </c>
      <c r="AA987" s="160">
        <f t="shared" si="630"/>
        <v/>
      </c>
      <c r="AB987" s="160">
        <f>IF(R987="","",IFERROR(LOOKUP(INDEX(Справочная!$I$4:$I$19,MATCH(VLOOKUP(R987,Исходные_данные,22,FALSE),Справочная!$J$4:$J$19,0)+1),{6,10,16,20,25,32,40,50,63,80,100,125}),""))</f>
        <v/>
      </c>
      <c r="AC987" s="160">
        <f t="shared" si="631"/>
        <v/>
      </c>
      <c r="AD987" s="161">
        <f t="shared" si="632"/>
        <v/>
      </c>
      <c r="AE987" s="161">
        <f>IF(AND(R987="",G987=""),"",_xlfn.TEXTJOIN("; ",TRUE,IF(AND(R987&lt;&gt;"",V987=""),"нет фазы",""),IF(AND(R987&lt;&gt;"",N(T987)=0),"нет мощности",""),IF(AND(P987&lt;&gt;"",COUNTIFS($A$3:$A$1000,A987,$P$3:$P$1000,P987)&gt;1),"дубль клеммы "&amp;P987,""),IF(AND(W987&lt;&gt;"",W987&lt;&gt;"ok"),W987,""),IF(X987&lt;&gt;"",X987,""),IF(AND(ISNUMBER(SEARCH("(5х",Q987)),N(AK987)=1),"5 жил на 1 фазе",""),IF(AND(AL987="R",E987&lt;&gt;"",N(AS987)=0),"розетка без 30 мА",""),IF(IFERROR(_xlfn.NUMBERVALUE(MID(Q987,FIND("-",Q987,FIND("L=",Q987))+1,FIND("%",Q987)-FIND("-",Q987,FIND("L=",Q987))-1),","),0)&gt;4,"потери &gt; 4 %","")))</f>
      </c>
      <c r="AF987" s="129">
        <f>IF(E987&lt;&gt;"",COUNTIFS($A$3:A987,A987,$E$3:E987,"?*"),IF(OR(A987&lt;&gt;A986,Y987="вручную"),"",AF986))</f>
        <v/>
      </c>
      <c r="AG987" s="129">
        <f t="shared" si="633"/>
        <v/>
      </c>
      <c r="AH987" s="129">
        <f t="shared" si="634"/>
        <v/>
      </c>
      <c r="AI987" s="129">
        <f t="shared" si="635"/>
        <v/>
      </c>
      <c r="AJ987" s="129">
        <f t="shared" si="636"/>
        <v/>
      </c>
      <c r="AK987" s="129">
        <f t="shared" si="637"/>
        <v/>
      </c>
      <c r="AL987" s="129">
        <f t="shared" si="638"/>
        <v/>
      </c>
      <c r="AM987" s="129">
        <f t="shared" si="639"/>
      </c>
      <c r="AN987" s="129">
        <f t="shared" si="640"/>
      </c>
      <c r="AO987" s="129">
        <f t="shared" si="641"/>
        <v/>
      </c>
      <c r="AP987" s="129">
        <f t="shared" si="642"/>
        <v/>
      </c>
      <c r="AQ987" s="129">
        <f t="shared" si="643"/>
        <v/>
      </c>
      <c r="AR987" s="129">
        <f t="shared" si="644"/>
        <v/>
      </c>
      <c r="AS987" s="129">
        <f t="shared" si="645"/>
        <v/>
      </c>
      <c r="AT987" s="129">
        <f t="shared" si="646"/>
        <v/>
      </c>
      <c r="AU987" s="129">
        <f t="shared" si="647"/>
        <v/>
      </c>
      <c r="AV987" s="129">
        <f t="shared" si="648"/>
        <v/>
      </c>
      <c r="AW987" s="129">
        <f>IF(AV987="","",AV987&amp;"."&amp;COUNTIFS($A$3:A987,A987,$AV$3:AV987,AV987))</f>
        <v/>
      </c>
      <c r="AX987" s="129">
        <f t="shared" si="649"/>
        <v/>
      </c>
      <c r="AY987" s="129">
        <f>IF(N987="б/к",0,IF(OR(ISNUMBER(SEARCH("L=",Разбивка_по_щитам!P987)),N987="+",N987="="),1,0))</f>
      </c>
      <c r="AZ987" s="129">
        <f t="shared" si="650"/>
        <v/>
      </c>
      <c r="BA987" s="129">
        <f t="shared" si="651"/>
      </c>
      <c r="BB987" s="129">
        <f t="shared" si="652"/>
      </c>
      <c r="BD987" s="129">
        <f t="shared" si="653"/>
      </c>
      <c r="BE987" s="129">
        <f t="shared" si="654"/>
      </c>
      <c r="BF987" s="129">
        <f t="shared" si="655"/>
      </c>
      <c r="BG987" s="129">
        <f t="shared" si="656"/>
        <v/>
      </c>
      <c r="BH987" s="129">
        <f t="shared" si="657"/>
        <v/>
      </c>
      <c r="BI987" s="129">
        <f t="shared" si="658"/>
        <v/>
      </c>
      <c r="BJ987" s="129">
        <f t="shared" si="659"/>
        <v/>
      </c>
      <c r="BK987" s="129">
        <f>IF(R987="","",IF(OR(BY987="",BY987=0),"BOX",IFERROR(IF(VLOOKUP(BY987,УГО_блоки,3,FALSE)&amp;""&lt;&gt;"",VLOOKUP(BY987,УГО_блоки,3,FALSE),VLOOKUP(BY987,УГО_блоки,2,FALSE)),BY987)))</f>
      </c>
      <c r="BL987" s="129">
        <f t="shared" si="661"/>
      </c>
      <c r="BM987" s="129">
        <f>IF(H987="","",IF(COUNTIF($H$3:H987,H987)=1,MAX($BM$2:BM986)+1,""))</f>
      </c>
      <c r="BN987" s="129">
        <f>IF(I987="","",IF(COUNTIF($I$3:I987,I987)+COUNTIF($J$2:J986,I987)+COUNTIF($K$2:K986,I987)=1,MAX($BN$2:BP986)+1,""))</f>
      </c>
      <c r="BO987" s="129">
        <f>IF(J987="","",IF(COUNTIF($I$3:I987,J987)+COUNTIF($J$3:J987,J987)+COUNTIF($K$2:K986,J987)=1,MAX($BN$2:BP986,BN987)+1,""))</f>
      </c>
      <c r="BP987" s="129">
        <f>IF(K987="","",IF(COUNTIF($I$3:I987,K987)+COUNTIF($J$3:J987,K987)+COUNTIF($K$3:K987,K987)=1,MAX($BN$2:BP986,BN987,BO987)+1,""))</f>
      </c>
      <c r="BQ987" s="129">
        <f>IF(AY987=1,IFERROR(MID(Q987,FIND(" (",Q987)+2,FIND(")",Q987,FIND(" (",Q987))-FIND(" (",Q987)-2),"?"),"")</f>
      </c>
      <c r="BR987" s="129">
        <f>IF(BQ987="","",IF(COUNTIF($BQ$3:BQ987,BQ987)=1,MAX($BR$2:BR986)+1,""))</f>
      </c>
      <c r="BS987" s="129">
        <f>IF(AW987="","",COUNTIF($AW$3:AW987,"?*"))</f>
      </c>
      <c r="BT987" s="129">
        <f>IF(OR(AW987="",AI987=""),"",IF(COUNTIFS($AW$3:AW987,"?*",$AI$3:AI987,AI987)=1,MAX($BT$2:BT986)+1,""))</f>
      </c>
      <c r="BU987" s="129">
        <f>IF(AE987="",0,IF(OR(ISNUMBER(SEARCH("дубль",AE987)),ISNUMBER(SEARCH("ПЕРЕГРУЗ",AE987)),ISNUMBER(SEARCH("ЗАЩИЩ",AE987)),ISNUMBER(SEARCH("КАНАЛ",AE987)),ISNUMBER(SEARCH("без 30",AE987))),2,1))</f>
      </c>
      <c r="BV987" s="129">
        <f>IF(R987="","",COUNTIF($R$3:R987,"?*"))</f>
      </c>
      <c r="BW987" s="129">
        <f>IF(AY987&lt;&gt;1,0,IF(MAX(IFERROR(--VLOOKUP(R987,УГО_спр,5,FALSE),0),IFERROR(--VLOOKUP(AL987,УГО_спр,5,FALSE),0),IFERROR(--VLOOKUP(LEFT(AL987,2),УГО_спр,5,FALSE),0))&gt;0,MAX(IFERROR(--VLOOKUP(R987,УГО_спр,5,FALSE),0),IFERROR(--VLOOKUP(AL987,УГО_спр,5,FALSE),0),IFERROR(--VLOOKUP(LEFT(AL987,2),УГО_спр,5,FALSE),0)),IF(IFERROR(--LEFT(SUBSTITUTE(BQ987,"x","х"),FIND("х",SUBSTITUTE(BQ987,"x","х"))-1),3)&gt;3,Каталог!$S$9,1)))</f>
      </c>
      <c r="BX987" s="129">
        <f>IF(AY987&lt;&gt;1,0,MAX(0,IFERROR(--LEFT(SUBSTITUTE(BQ987,"x","х"),FIND("х",SUBSTITUTE(BQ987,"x","х"))-1),3)-3*BW987))</f>
      </c>
      <c r="BY987" s="129">
        <f>IF(R987="","",IFERROR(VLOOKUP(R987,УГО_спр,2,FALSE),IFERROR(VLOOKUP(AL987,УГО_спр,2,FALSE),IFERROR(VLOOKUP(LEFT(AL987,2),УГО_спр,2,FALSE),""))))</f>
      </c>
    </row>
    <row r="988" spans="1:64" x14ac:dyDescent="0.3">
      <c r="A988" s="135">
        <f>IF(Разбивка_по_щитам!F988=0,"",Разбивка_по_щитам!F988)</f>
        <v/>
      </c>
      <c r="B988" s="138">
        <f>IF(A988="","",Разбивка_по_щитам!C988)</f>
        <v/>
      </c>
      <c r="C988" s="138">
        <f t="shared" si="622"/>
        <v/>
      </c>
      <c r="D988" s="266"/>
      <c r="E988" s="266"/>
      <c r="F988" s="267"/>
      <c r="G988" s="145">
        <f t="shared" si="623"/>
        <v/>
      </c>
      <c r="H988" s="145">
        <f t="shared" si="624"/>
        <v/>
      </c>
      <c r="I988" s="266"/>
      <c r="J988" s="267"/>
      <c r="K988" s="267"/>
      <c r="L988" s="266"/>
      <c r="M988" s="147">
        <f t="shared" si="625"/>
        <v/>
      </c>
      <c r="N988" s="267"/>
      <c r="O988" s="147">
        <f t="shared" si="626"/>
        <v/>
      </c>
      <c r="P988" s="268">
        <f>IF(AY988=1,"XT"&amp;COUNTIFS($A$3:A988,A988,$AY$3:AY988,1),"")</f>
        <v/>
      </c>
      <c r="Q988" s="152">
        <f>IF(R988="","",IFERROR(SUBSTITUTE(Разбивка_по_щитам!P988,CHAR(10)," "),""))</f>
        <v/>
      </c>
      <c r="R988" s="153">
        <f>IF(OR(Разбивка_по_щитам!H988="",Разбивка_по_щитам!H988=0),"",Разбивка_по_щитам!H988)</f>
        <v/>
      </c>
      <c r="S988" s="154">
        <f>IF(R988="","",IFERROR(Разбивка_по_щитам!J988&amp;"",""))</f>
        <v/>
      </c>
      <c r="T988" s="155">
        <f>IF(R988="","",IFERROR(--Разбивка_по_щитам!L988,""))</f>
        <v/>
      </c>
      <c r="U988" s="155">
        <f>IF(R988="","",IFERROR(--Разбивка_по_щитам!K988,""))</f>
        <v/>
      </c>
      <c r="V988" s="138">
        <f>IF(R988="","",IFERROR(IF(Разбивка_по_щитам!M988=0,"",Разбивка_по_щитам!M988),""))</f>
        <v/>
      </c>
      <c r="W988" s="156">
        <f t="shared" si="627"/>
        <v/>
      </c>
      <c r="X988" s="157">
        <f t="shared" si="628"/>
        <v/>
      </c>
      <c r="Y988" s="266"/>
      <c r="Z988" s="158">
        <f t="shared" si="629"/>
        <v/>
      </c>
      <c r="AA988" s="160">
        <f t="shared" si="630"/>
        <v/>
      </c>
      <c r="AB988" s="160">
        <f>IF(R988="","",IFERROR(LOOKUP(INDEX(Справочная!$I$4:$I$19,MATCH(VLOOKUP(R988,Исходные_данные,22,FALSE),Справочная!$J$4:$J$19,0)+1),{6,10,16,20,25,32,40,50,63,80,100,125}),""))</f>
        <v/>
      </c>
      <c r="AC988" s="160">
        <f t="shared" si="631"/>
        <v/>
      </c>
      <c r="AD988" s="161">
        <f t="shared" si="632"/>
        <v/>
      </c>
      <c r="AE988" s="161">
        <f>IF(AND(R988="",G988=""),"",_xlfn.TEXTJOIN("; ",TRUE,IF(AND(R988&lt;&gt;"",V988=""),"нет фазы",""),IF(AND(R988&lt;&gt;"",N(T988)=0),"нет мощности",""),IF(AND(P988&lt;&gt;"",COUNTIFS($A$3:$A$1000,A988,$P$3:$P$1000,P988)&gt;1),"дубль клеммы "&amp;P988,""),IF(AND(W988&lt;&gt;"",W988&lt;&gt;"ok"),W988,""),IF(X988&lt;&gt;"",X988,""),IF(AND(ISNUMBER(SEARCH("(5х",Q988)),N(AK988)=1),"5 жил на 1 фазе",""),IF(AND(AL988="R",E988&lt;&gt;"",N(AS988)=0),"розетка без 30 мА",""),IF(IFERROR(_xlfn.NUMBERVALUE(MID(Q988,FIND("-",Q988,FIND("L=",Q988))+1,FIND("%",Q988)-FIND("-",Q988,FIND("L=",Q988))-1),","),0)&gt;4,"потери &gt; 4 %","")))</f>
      </c>
      <c r="AF988" s="129">
        <f>IF(E988&lt;&gt;"",COUNTIFS($A$3:A988,A988,$E$3:E988,"?*"),IF(OR(A988&lt;&gt;A987,Y988="вручную"),"",AF987))</f>
        <v/>
      </c>
      <c r="AG988" s="129">
        <f t="shared" si="633"/>
        <v/>
      </c>
      <c r="AH988" s="129">
        <f t="shared" si="634"/>
        <v/>
      </c>
      <c r="AI988" s="129">
        <f t="shared" si="635"/>
        <v/>
      </c>
      <c r="AJ988" s="129">
        <f t="shared" si="636"/>
        <v/>
      </c>
      <c r="AK988" s="129">
        <f t="shared" si="637"/>
        <v/>
      </c>
      <c r="AL988" s="129">
        <f t="shared" si="638"/>
        <v/>
      </c>
      <c r="AM988" s="129">
        <f t="shared" si="639"/>
      </c>
      <c r="AN988" s="129">
        <f t="shared" si="640"/>
      </c>
      <c r="AO988" s="129">
        <f t="shared" si="641"/>
        <v/>
      </c>
      <c r="AP988" s="129">
        <f t="shared" si="642"/>
        <v/>
      </c>
      <c r="AQ988" s="129">
        <f t="shared" si="643"/>
        <v/>
      </c>
      <c r="AR988" s="129">
        <f t="shared" si="644"/>
        <v/>
      </c>
      <c r="AS988" s="129">
        <f t="shared" si="645"/>
        <v/>
      </c>
      <c r="AT988" s="129">
        <f t="shared" si="646"/>
        <v/>
      </c>
      <c r="AU988" s="129">
        <f t="shared" si="647"/>
        <v/>
      </c>
      <c r="AV988" s="129">
        <f t="shared" si="648"/>
        <v/>
      </c>
      <c r="AW988" s="129">
        <f>IF(AV988="","",AV988&amp;"."&amp;COUNTIFS($A$3:A988,A988,$AV$3:AV988,AV988))</f>
        <v/>
      </c>
      <c r="AX988" s="129">
        <f t="shared" si="649"/>
        <v/>
      </c>
      <c r="AY988" s="129">
        <f>IF(N988="б/к",0,IF(OR(ISNUMBER(SEARCH("L=",Разбивка_по_щитам!P988)),N988="+",N988="="),1,0))</f>
      </c>
      <c r="AZ988" s="129">
        <f t="shared" si="650"/>
        <v/>
      </c>
      <c r="BA988" s="129">
        <f t="shared" si="651"/>
      </c>
      <c r="BB988" s="129">
        <f t="shared" si="652"/>
      </c>
      <c r="BD988" s="129">
        <f t="shared" si="653"/>
      </c>
      <c r="BE988" s="129">
        <f t="shared" si="654"/>
      </c>
      <c r="BF988" s="129">
        <f t="shared" si="655"/>
      </c>
      <c r="BG988" s="129">
        <f t="shared" si="656"/>
        <v/>
      </c>
      <c r="BH988" s="129">
        <f t="shared" si="657"/>
        <v/>
      </c>
      <c r="BI988" s="129">
        <f t="shared" si="658"/>
        <v/>
      </c>
      <c r="BJ988" s="129">
        <f t="shared" si="659"/>
        <v/>
      </c>
      <c r="BK988" s="129">
        <f>IF(R988="","",IF(OR(BY988="",BY988=0),"BOX",IFERROR(IF(VLOOKUP(BY988,УГО_блоки,3,FALSE)&amp;""&lt;&gt;"",VLOOKUP(BY988,УГО_блоки,3,FALSE),VLOOKUP(BY988,УГО_блоки,2,FALSE)),BY988)))</f>
      </c>
      <c r="BL988" s="129">
        <f t="shared" si="661"/>
      </c>
      <c r="BM988" s="129">
        <f>IF(H988="","",IF(COUNTIF($H$3:H988,H988)=1,MAX($BM$2:BM987)+1,""))</f>
      </c>
      <c r="BN988" s="129">
        <f>IF(I988="","",IF(COUNTIF($I$3:I988,I988)+COUNTIF($J$2:J987,I988)+COUNTIF($K$2:K987,I988)=1,MAX($BN$2:BP987)+1,""))</f>
      </c>
      <c r="BO988" s="129">
        <f>IF(J988="","",IF(COUNTIF($I$3:I988,J988)+COUNTIF($J$3:J988,J988)+COUNTIF($K$2:K987,J988)=1,MAX($BN$2:BP987,BN988)+1,""))</f>
      </c>
      <c r="BP988" s="129">
        <f>IF(K988="","",IF(COUNTIF($I$3:I988,K988)+COUNTIF($J$3:J988,K988)+COUNTIF($K$3:K988,K988)=1,MAX($BN$2:BP987,BN988,BO988)+1,""))</f>
      </c>
      <c r="BQ988" s="129">
        <f>IF(AY988=1,IFERROR(MID(Q988,FIND(" (",Q988)+2,FIND(")",Q988,FIND(" (",Q988))-FIND(" (",Q988)-2),"?"),"")</f>
      </c>
      <c r="BR988" s="129">
        <f>IF(BQ988="","",IF(COUNTIF($BQ$3:BQ988,BQ988)=1,MAX($BR$2:BR987)+1,""))</f>
      </c>
      <c r="BS988" s="129">
        <f>IF(AW988="","",COUNTIF($AW$3:AW988,"?*"))</f>
      </c>
      <c r="BT988" s="129">
        <f>IF(OR(AW988="",AI988=""),"",IF(COUNTIFS($AW$3:AW988,"?*",$AI$3:AI988,AI988)=1,MAX($BT$2:BT987)+1,""))</f>
      </c>
      <c r="BU988" s="129">
        <f>IF(AE988="",0,IF(OR(ISNUMBER(SEARCH("дубль",AE988)),ISNUMBER(SEARCH("ПЕРЕГРУЗ",AE988)),ISNUMBER(SEARCH("ЗАЩИЩ",AE988)),ISNUMBER(SEARCH("КАНАЛ",AE988)),ISNUMBER(SEARCH("без 30",AE988))),2,1))</f>
      </c>
      <c r="BV988" s="129">
        <f>IF(R988="","",COUNTIF($R$3:R988,"?*"))</f>
      </c>
      <c r="BW988" s="129">
        <f>IF(AY988&lt;&gt;1,0,IF(MAX(IFERROR(--VLOOKUP(R988,УГО_спр,5,FALSE),0),IFERROR(--VLOOKUP(AL988,УГО_спр,5,FALSE),0),IFERROR(--VLOOKUP(LEFT(AL988,2),УГО_спр,5,FALSE),0))&gt;0,MAX(IFERROR(--VLOOKUP(R988,УГО_спр,5,FALSE),0),IFERROR(--VLOOKUP(AL988,УГО_спр,5,FALSE),0),IFERROR(--VLOOKUP(LEFT(AL988,2),УГО_спр,5,FALSE),0)),IF(IFERROR(--LEFT(SUBSTITUTE(BQ988,"x","х"),FIND("х",SUBSTITUTE(BQ988,"x","х"))-1),3)&gt;3,Каталог!$S$9,1)))</f>
      </c>
      <c r="BX988" s="129">
        <f>IF(AY988&lt;&gt;1,0,MAX(0,IFERROR(--LEFT(SUBSTITUTE(BQ988,"x","х"),FIND("х",SUBSTITUTE(BQ988,"x","х"))-1),3)-3*BW988))</f>
      </c>
      <c r="BY988" s="129">
        <f>IF(R988="","",IFERROR(VLOOKUP(R988,УГО_спр,2,FALSE),IFERROR(VLOOKUP(AL988,УГО_спр,2,FALSE),IFERROR(VLOOKUP(LEFT(AL988,2),УГО_спр,2,FALSE),""))))</f>
      </c>
    </row>
    <row r="989" spans="1:64" x14ac:dyDescent="0.3">
      <c r="A989" s="135">
        <f>IF(Разбивка_по_щитам!F989=0,"",Разбивка_по_щитам!F989)</f>
        <v/>
      </c>
      <c r="B989" s="138">
        <f>IF(A989="","",Разбивка_по_щитам!C989)</f>
        <v/>
      </c>
      <c r="C989" s="138">
        <f t="shared" si="622"/>
        <v/>
      </c>
      <c r="D989" s="266"/>
      <c r="E989" s="266"/>
      <c r="F989" s="267"/>
      <c r="G989" s="145">
        <f t="shared" si="623"/>
        <v/>
      </c>
      <c r="H989" s="145">
        <f t="shared" si="624"/>
        <v/>
      </c>
      <c r="I989" s="266"/>
      <c r="J989" s="267"/>
      <c r="K989" s="267"/>
      <c r="L989" s="266"/>
      <c r="M989" s="147">
        <f t="shared" si="625"/>
        <v/>
      </c>
      <c r="N989" s="267"/>
      <c r="O989" s="147">
        <f t="shared" si="626"/>
        <v/>
      </c>
      <c r="P989" s="268">
        <f>IF(AY989=1,"XT"&amp;COUNTIFS($A$3:A989,A989,$AY$3:AY989,1),"")</f>
        <v/>
      </c>
      <c r="Q989" s="152">
        <f>IF(R989="","",IFERROR(SUBSTITUTE(Разбивка_по_щитам!P989,CHAR(10)," "),""))</f>
        <v/>
      </c>
      <c r="R989" s="153">
        <f>IF(OR(Разбивка_по_щитам!H989="",Разбивка_по_щитам!H989=0),"",Разбивка_по_щитам!H989)</f>
        <v/>
      </c>
      <c r="S989" s="154">
        <f>IF(R989="","",IFERROR(Разбивка_по_щитам!J989&amp;"",""))</f>
        <v/>
      </c>
      <c r="T989" s="155">
        <f>IF(R989="","",IFERROR(--Разбивка_по_щитам!L989,""))</f>
        <v/>
      </c>
      <c r="U989" s="155">
        <f>IF(R989="","",IFERROR(--Разбивка_по_щитам!K989,""))</f>
        <v/>
      </c>
      <c r="V989" s="138">
        <f>IF(R989="","",IFERROR(IF(Разбивка_по_щитам!M989=0,"",Разбивка_по_щитам!M989),""))</f>
        <v/>
      </c>
      <c r="W989" s="156">
        <f t="shared" si="627"/>
        <v/>
      </c>
      <c r="X989" s="157">
        <f t="shared" si="628"/>
        <v/>
      </c>
      <c r="Y989" s="266"/>
      <c r="Z989" s="158">
        <f t="shared" si="629"/>
        <v/>
      </c>
      <c r="AA989" s="160">
        <f t="shared" si="630"/>
        <v/>
      </c>
      <c r="AB989" s="160">
        <f>IF(R989="","",IFERROR(LOOKUP(INDEX(Справочная!$I$4:$I$19,MATCH(VLOOKUP(R989,Исходные_данные,22,FALSE),Справочная!$J$4:$J$19,0)+1),{6,10,16,20,25,32,40,50,63,80,100,125}),""))</f>
        <v/>
      </c>
      <c r="AC989" s="160">
        <f t="shared" si="631"/>
        <v/>
      </c>
      <c r="AD989" s="161">
        <f t="shared" si="632"/>
        <v/>
      </c>
      <c r="AE989" s="161">
        <f>IF(AND(R989="",G989=""),"",_xlfn.TEXTJOIN("; ",TRUE,IF(AND(R989&lt;&gt;"",V989=""),"нет фазы",""),IF(AND(R989&lt;&gt;"",N(T989)=0),"нет мощности",""),IF(AND(P989&lt;&gt;"",COUNTIFS($A$3:$A$1000,A989,$P$3:$P$1000,P989)&gt;1),"дубль клеммы "&amp;P989,""),IF(AND(W989&lt;&gt;"",W989&lt;&gt;"ok"),W989,""),IF(X989&lt;&gt;"",X989,""),IF(AND(ISNUMBER(SEARCH("(5х",Q989)),N(AK989)=1),"5 жил на 1 фазе",""),IF(AND(AL989="R",E989&lt;&gt;"",N(AS989)=0),"розетка без 30 мА",""),IF(IFERROR(_xlfn.NUMBERVALUE(MID(Q989,FIND("-",Q989,FIND("L=",Q989))+1,FIND("%",Q989)-FIND("-",Q989,FIND("L=",Q989))-1),","),0)&gt;4,"потери &gt; 4 %","")))</f>
      </c>
      <c r="AF989" s="129">
        <f>IF(E989&lt;&gt;"",COUNTIFS($A$3:A989,A989,$E$3:E989,"?*"),IF(OR(A989&lt;&gt;A988,Y989="вручную"),"",AF988))</f>
        <v/>
      </c>
      <c r="AG989" s="129">
        <f t="shared" si="633"/>
        <v/>
      </c>
      <c r="AH989" s="129">
        <f t="shared" si="634"/>
        <v/>
      </c>
      <c r="AI989" s="129">
        <f t="shared" si="635"/>
        <v/>
      </c>
      <c r="AJ989" s="129">
        <f t="shared" si="636"/>
        <v/>
      </c>
      <c r="AK989" s="129">
        <f t="shared" si="637"/>
        <v/>
      </c>
      <c r="AL989" s="129">
        <f t="shared" si="638"/>
        <v/>
      </c>
      <c r="AM989" s="129">
        <f t="shared" si="639"/>
      </c>
      <c r="AN989" s="129">
        <f t="shared" si="640"/>
      </c>
      <c r="AO989" s="129">
        <f t="shared" si="641"/>
        <v/>
      </c>
      <c r="AP989" s="129">
        <f t="shared" si="642"/>
        <v/>
      </c>
      <c r="AQ989" s="129">
        <f t="shared" si="643"/>
        <v/>
      </c>
      <c r="AR989" s="129">
        <f t="shared" si="644"/>
        <v/>
      </c>
      <c r="AS989" s="129">
        <f t="shared" si="645"/>
        <v/>
      </c>
      <c r="AT989" s="129">
        <f t="shared" si="646"/>
        <v/>
      </c>
      <c r="AU989" s="129">
        <f t="shared" si="647"/>
        <v/>
      </c>
      <c r="AV989" s="129">
        <f t="shared" si="648"/>
        <v/>
      </c>
      <c r="AW989" s="129">
        <f>IF(AV989="","",AV989&amp;"."&amp;COUNTIFS($A$3:A989,A989,$AV$3:AV989,AV989))</f>
        <v/>
      </c>
      <c r="AX989" s="129">
        <f t="shared" si="649"/>
        <v/>
      </c>
      <c r="AY989" s="129">
        <f>IF(N989="б/к",0,IF(OR(ISNUMBER(SEARCH("L=",Разбивка_по_щитам!P989)),N989="+",N989="="),1,0))</f>
      </c>
      <c r="AZ989" s="129">
        <f t="shared" si="650"/>
        <v/>
      </c>
      <c r="BA989" s="129">
        <f t="shared" si="651"/>
      </c>
      <c r="BB989" s="129">
        <f t="shared" si="652"/>
      </c>
      <c r="BD989" s="129">
        <f t="shared" si="653"/>
      </c>
      <c r="BE989" s="129">
        <f t="shared" si="654"/>
      </c>
      <c r="BF989" s="129">
        <f t="shared" si="655"/>
      </c>
      <c r="BG989" s="129">
        <f t="shared" si="656"/>
        <v/>
      </c>
      <c r="BH989" s="129">
        <f t="shared" si="657"/>
        <v/>
      </c>
      <c r="BI989" s="129">
        <f t="shared" si="658"/>
        <v/>
      </c>
      <c r="BJ989" s="129">
        <f t="shared" si="659"/>
        <v/>
      </c>
      <c r="BK989" s="129">
        <f>IF(R989="","",IF(OR(BY989="",BY989=0),"BOX",IFERROR(IF(VLOOKUP(BY989,УГО_блоки,3,FALSE)&amp;""&lt;&gt;"",VLOOKUP(BY989,УГО_блоки,3,FALSE),VLOOKUP(BY989,УГО_блоки,2,FALSE)),BY989)))</f>
      </c>
      <c r="BL989" s="129">
        <f t="shared" si="661"/>
      </c>
      <c r="BM989" s="129">
        <f>IF(H989="","",IF(COUNTIF($H$3:H989,H989)=1,MAX($BM$2:BM988)+1,""))</f>
      </c>
      <c r="BN989" s="129">
        <f>IF(I989="","",IF(COUNTIF($I$3:I989,I989)+COUNTIF($J$2:J988,I989)+COUNTIF($K$2:K988,I989)=1,MAX($BN$2:BP988)+1,""))</f>
      </c>
      <c r="BO989" s="129">
        <f>IF(J989="","",IF(COUNTIF($I$3:I989,J989)+COUNTIF($J$3:J989,J989)+COUNTIF($K$2:K988,J989)=1,MAX($BN$2:BP988,BN989)+1,""))</f>
      </c>
      <c r="BP989" s="129">
        <f>IF(K989="","",IF(COUNTIF($I$3:I989,K989)+COUNTIF($J$3:J989,K989)+COUNTIF($K$3:K989,K989)=1,MAX($BN$2:BP988,BN989,BO989)+1,""))</f>
      </c>
      <c r="BQ989" s="129">
        <f>IF(AY989=1,IFERROR(MID(Q989,FIND(" (",Q989)+2,FIND(")",Q989,FIND(" (",Q989))-FIND(" (",Q989)-2),"?"),"")</f>
      </c>
      <c r="BR989" s="129">
        <f>IF(BQ989="","",IF(COUNTIF($BQ$3:BQ989,BQ989)=1,MAX($BR$2:BR988)+1,""))</f>
      </c>
      <c r="BS989" s="129">
        <f>IF(AW989="","",COUNTIF($AW$3:AW989,"?*"))</f>
      </c>
      <c r="BT989" s="129">
        <f>IF(OR(AW989="",AI989=""),"",IF(COUNTIFS($AW$3:AW989,"?*",$AI$3:AI989,AI989)=1,MAX($BT$2:BT988)+1,""))</f>
      </c>
      <c r="BU989" s="129">
        <f>IF(AE989="",0,IF(OR(ISNUMBER(SEARCH("дубль",AE989)),ISNUMBER(SEARCH("ПЕРЕГРУЗ",AE989)),ISNUMBER(SEARCH("ЗАЩИЩ",AE989)),ISNUMBER(SEARCH("КАНАЛ",AE989)),ISNUMBER(SEARCH("без 30",AE989))),2,1))</f>
      </c>
      <c r="BV989" s="129">
        <f>IF(R989="","",COUNTIF($R$3:R989,"?*"))</f>
      </c>
      <c r="BW989" s="129">
        <f>IF(AY989&lt;&gt;1,0,IF(MAX(IFERROR(--VLOOKUP(R989,УГО_спр,5,FALSE),0),IFERROR(--VLOOKUP(AL989,УГО_спр,5,FALSE),0),IFERROR(--VLOOKUP(LEFT(AL989,2),УГО_спр,5,FALSE),0))&gt;0,MAX(IFERROR(--VLOOKUP(R989,УГО_спр,5,FALSE),0),IFERROR(--VLOOKUP(AL989,УГО_спр,5,FALSE),0),IFERROR(--VLOOKUP(LEFT(AL989,2),УГО_спр,5,FALSE),0)),IF(IFERROR(--LEFT(SUBSTITUTE(BQ989,"x","х"),FIND("х",SUBSTITUTE(BQ989,"x","х"))-1),3)&gt;3,Каталог!$S$9,1)))</f>
      </c>
      <c r="BX989" s="129">
        <f>IF(AY989&lt;&gt;1,0,MAX(0,IFERROR(--LEFT(SUBSTITUTE(BQ989,"x","х"),FIND("х",SUBSTITUTE(BQ989,"x","х"))-1),3)-3*BW989))</f>
      </c>
      <c r="BY989" s="129">
        <f>IF(R989="","",IFERROR(VLOOKUP(R989,УГО_спр,2,FALSE),IFERROR(VLOOKUP(AL989,УГО_спр,2,FALSE),IFERROR(VLOOKUP(LEFT(AL989,2),УГО_спр,2,FALSE),""))))</f>
      </c>
    </row>
    <row r="990" spans="1:64" x14ac:dyDescent="0.3">
      <c r="A990" s="135">
        <f>IF(Разбивка_по_щитам!F990=0,"",Разбивка_по_щитам!F990)</f>
        <v/>
      </c>
      <c r="B990" s="138">
        <f>IF(A990="","",Разбивка_по_щитам!C990)</f>
        <v/>
      </c>
      <c r="C990" s="138">
        <f t="shared" si="622"/>
        <v/>
      </c>
      <c r="D990" s="266"/>
      <c r="E990" s="266"/>
      <c r="F990" s="267"/>
      <c r="G990" s="145">
        <f t="shared" si="623"/>
        <v/>
      </c>
      <c r="H990" s="145">
        <f t="shared" si="624"/>
        <v/>
      </c>
      <c r="I990" s="266"/>
      <c r="J990" s="267"/>
      <c r="K990" s="267"/>
      <c r="L990" s="266"/>
      <c r="M990" s="147">
        <f t="shared" si="625"/>
        <v/>
      </c>
      <c r="N990" s="267"/>
      <c r="O990" s="147">
        <f t="shared" si="626"/>
        <v/>
      </c>
      <c r="P990" s="268">
        <f>IF(AY990=1,"XT"&amp;COUNTIFS($A$3:A990,A990,$AY$3:AY990,1),"")</f>
        <v/>
      </c>
      <c r="Q990" s="152">
        <f>IF(R990="","",IFERROR(SUBSTITUTE(Разбивка_по_щитам!P990,CHAR(10)," "),""))</f>
        <v/>
      </c>
      <c r="R990" s="153">
        <f>IF(OR(Разбивка_по_щитам!H990="",Разбивка_по_щитам!H990=0),"",Разбивка_по_щитам!H990)</f>
        <v/>
      </c>
      <c r="S990" s="154">
        <f>IF(R990="","",IFERROR(Разбивка_по_щитам!J990&amp;"",""))</f>
        <v/>
      </c>
      <c r="T990" s="155">
        <f>IF(R990="","",IFERROR(--Разбивка_по_щитам!L990,""))</f>
        <v/>
      </c>
      <c r="U990" s="155">
        <f>IF(R990="","",IFERROR(--Разбивка_по_щитам!K990,""))</f>
        <v/>
      </c>
      <c r="V990" s="138">
        <f>IF(R990="","",IFERROR(IF(Разбивка_по_щитам!M990=0,"",Разбивка_по_щитам!M990),""))</f>
        <v/>
      </c>
      <c r="W990" s="156">
        <f t="shared" si="627"/>
        <v/>
      </c>
      <c r="X990" s="157">
        <f t="shared" si="628"/>
        <v/>
      </c>
      <c r="Y990" s="266"/>
      <c r="Z990" s="158">
        <f t="shared" si="629"/>
        <v/>
      </c>
      <c r="AA990" s="160">
        <f t="shared" si="630"/>
        <v/>
      </c>
      <c r="AB990" s="160">
        <f>IF(R990="","",IFERROR(LOOKUP(INDEX(Справочная!$I$4:$I$19,MATCH(VLOOKUP(R990,Исходные_данные,22,FALSE),Справочная!$J$4:$J$19,0)+1),{6,10,16,20,25,32,40,50,63,80,100,125}),""))</f>
        <v/>
      </c>
      <c r="AC990" s="160">
        <f t="shared" si="631"/>
        <v/>
      </c>
      <c r="AD990" s="161">
        <f t="shared" si="632"/>
        <v/>
      </c>
      <c r="AE990" s="161">
        <f>IF(AND(R990="",G990=""),"",_xlfn.TEXTJOIN("; ",TRUE,IF(AND(R990&lt;&gt;"",V990=""),"нет фазы",""),IF(AND(R990&lt;&gt;"",N(T990)=0),"нет мощности",""),IF(AND(P990&lt;&gt;"",COUNTIFS($A$3:$A$1000,A990,$P$3:$P$1000,P990)&gt;1),"дубль клеммы "&amp;P990,""),IF(AND(W990&lt;&gt;"",W990&lt;&gt;"ok"),W990,""),IF(X990&lt;&gt;"",X990,""),IF(AND(ISNUMBER(SEARCH("(5х",Q990)),N(AK990)=1),"5 жил на 1 фазе",""),IF(AND(AL990="R",E990&lt;&gt;"",N(AS990)=0),"розетка без 30 мА",""),IF(IFERROR(_xlfn.NUMBERVALUE(MID(Q990,FIND("-",Q990,FIND("L=",Q990))+1,FIND("%",Q990)-FIND("-",Q990,FIND("L=",Q990))-1),","),0)&gt;4,"потери &gt; 4 %","")))</f>
      </c>
      <c r="AF990" s="129">
        <f>IF(E990&lt;&gt;"",COUNTIFS($A$3:A990,A990,$E$3:E990,"?*"),IF(OR(A990&lt;&gt;A989,Y990="вручную"),"",AF989))</f>
        <v/>
      </c>
      <c r="AG990" s="129">
        <f t="shared" si="633"/>
        <v/>
      </c>
      <c r="AH990" s="129">
        <f t="shared" si="634"/>
        <v/>
      </c>
      <c r="AI990" s="129">
        <f t="shared" si="635"/>
        <v/>
      </c>
      <c r="AJ990" s="129">
        <f t="shared" si="636"/>
        <v/>
      </c>
      <c r="AK990" s="129">
        <f t="shared" si="637"/>
        <v/>
      </c>
      <c r="AL990" s="129">
        <f t="shared" si="638"/>
        <v/>
      </c>
      <c r="AM990" s="129">
        <f t="shared" si="639"/>
      </c>
      <c r="AN990" s="129">
        <f t="shared" si="640"/>
      </c>
      <c r="AO990" s="129">
        <f t="shared" si="641"/>
        <v/>
      </c>
      <c r="AP990" s="129">
        <f t="shared" si="642"/>
        <v/>
      </c>
      <c r="AQ990" s="129">
        <f t="shared" si="643"/>
        <v/>
      </c>
      <c r="AR990" s="129">
        <f t="shared" si="644"/>
        <v/>
      </c>
      <c r="AS990" s="129">
        <f t="shared" si="645"/>
        <v/>
      </c>
      <c r="AT990" s="129">
        <f t="shared" si="646"/>
        <v/>
      </c>
      <c r="AU990" s="129">
        <f t="shared" si="647"/>
        <v/>
      </c>
      <c r="AV990" s="129">
        <f t="shared" si="648"/>
        <v/>
      </c>
      <c r="AW990" s="129">
        <f>IF(AV990="","",AV990&amp;"."&amp;COUNTIFS($A$3:A990,A990,$AV$3:AV990,AV990))</f>
        <v/>
      </c>
      <c r="AX990" s="129">
        <f t="shared" si="649"/>
        <v/>
      </c>
      <c r="AY990" s="129">
        <f>IF(N990="б/к",0,IF(OR(ISNUMBER(SEARCH("L=",Разбивка_по_щитам!P990)),N990="+",N990="="),1,0))</f>
      </c>
      <c r="AZ990" s="129">
        <f t="shared" si="650"/>
        <v/>
      </c>
      <c r="BA990" s="129">
        <f t="shared" si="651"/>
      </c>
      <c r="BB990" s="129">
        <f t="shared" si="652"/>
      </c>
      <c r="BD990" s="129">
        <f t="shared" si="653"/>
      </c>
      <c r="BE990" s="129">
        <f t="shared" si="654"/>
      </c>
      <c r="BF990" s="129">
        <f t="shared" si="655"/>
      </c>
      <c r="BG990" s="129">
        <f t="shared" si="656"/>
        <v/>
      </c>
      <c r="BH990" s="129">
        <f t="shared" si="657"/>
        <v/>
      </c>
      <c r="BI990" s="129">
        <f t="shared" si="658"/>
        <v/>
      </c>
      <c r="BJ990" s="129">
        <f t="shared" si="659"/>
        <v/>
      </c>
      <c r="BK990" s="129">
        <f>IF(R990="","",IF(OR(BY990="",BY990=0),"BOX",IFERROR(IF(VLOOKUP(BY990,УГО_блоки,3,FALSE)&amp;""&lt;&gt;"",VLOOKUP(BY990,УГО_блоки,3,FALSE),VLOOKUP(BY990,УГО_блоки,2,FALSE)),BY990)))</f>
      </c>
      <c r="BL990" s="129">
        <f t="shared" si="661"/>
      </c>
      <c r="BM990" s="129">
        <f>IF(H990="","",IF(COUNTIF($H$3:H990,H990)=1,MAX($BM$2:BM989)+1,""))</f>
      </c>
      <c r="BN990" s="129">
        <f>IF(I990="","",IF(COUNTIF($I$3:I990,I990)+COUNTIF($J$2:J989,I990)+COUNTIF($K$2:K989,I990)=1,MAX($BN$2:BP989)+1,""))</f>
      </c>
      <c r="BO990" s="129">
        <f>IF(J990="","",IF(COUNTIF($I$3:I990,J990)+COUNTIF($J$3:J990,J990)+COUNTIF($K$2:K989,J990)=1,MAX($BN$2:BP989,BN990)+1,""))</f>
      </c>
      <c r="BP990" s="129">
        <f>IF(K990="","",IF(COUNTIF($I$3:I990,K990)+COUNTIF($J$3:J990,K990)+COUNTIF($K$3:K990,K990)=1,MAX($BN$2:BP989,BN990,BO990)+1,""))</f>
      </c>
      <c r="BQ990" s="129">
        <f>IF(AY990=1,IFERROR(MID(Q990,FIND(" (",Q990)+2,FIND(")",Q990,FIND(" (",Q990))-FIND(" (",Q990)-2),"?"),"")</f>
      </c>
      <c r="BR990" s="129">
        <f>IF(BQ990="","",IF(COUNTIF($BQ$3:BQ990,BQ990)=1,MAX($BR$2:BR989)+1,""))</f>
      </c>
      <c r="BS990" s="129">
        <f>IF(AW990="","",COUNTIF($AW$3:AW990,"?*"))</f>
      </c>
      <c r="BT990" s="129">
        <f>IF(OR(AW990="",AI990=""),"",IF(COUNTIFS($AW$3:AW990,"?*",$AI$3:AI990,AI990)=1,MAX($BT$2:BT989)+1,""))</f>
      </c>
      <c r="BU990" s="129">
        <f>IF(AE990="",0,IF(OR(ISNUMBER(SEARCH("дубль",AE990)),ISNUMBER(SEARCH("ПЕРЕГРУЗ",AE990)),ISNUMBER(SEARCH("ЗАЩИЩ",AE990)),ISNUMBER(SEARCH("КАНАЛ",AE990)),ISNUMBER(SEARCH("без 30",AE990))),2,1))</f>
      </c>
      <c r="BV990" s="129">
        <f>IF(R990="","",COUNTIF($R$3:R990,"?*"))</f>
      </c>
      <c r="BW990" s="129">
        <f>IF(AY990&lt;&gt;1,0,IF(MAX(IFERROR(--VLOOKUP(R990,УГО_спр,5,FALSE),0),IFERROR(--VLOOKUP(AL990,УГО_спр,5,FALSE),0),IFERROR(--VLOOKUP(LEFT(AL990,2),УГО_спр,5,FALSE),0))&gt;0,MAX(IFERROR(--VLOOKUP(R990,УГО_спр,5,FALSE),0),IFERROR(--VLOOKUP(AL990,УГО_спр,5,FALSE),0),IFERROR(--VLOOKUP(LEFT(AL990,2),УГО_спр,5,FALSE),0)),IF(IFERROR(--LEFT(SUBSTITUTE(BQ990,"x","х"),FIND("х",SUBSTITUTE(BQ990,"x","х"))-1),3)&gt;3,Каталог!$S$9,1)))</f>
      </c>
      <c r="BX990" s="129">
        <f>IF(AY990&lt;&gt;1,0,MAX(0,IFERROR(--LEFT(SUBSTITUTE(BQ990,"x","х"),FIND("х",SUBSTITUTE(BQ990,"x","х"))-1),3)-3*BW990))</f>
      </c>
      <c r="BY990" s="129">
        <f>IF(R990="","",IFERROR(VLOOKUP(R990,УГО_спр,2,FALSE),IFERROR(VLOOKUP(AL990,УГО_спр,2,FALSE),IFERROR(VLOOKUP(LEFT(AL990,2),УГО_спр,2,FALSE),""))))</f>
      </c>
    </row>
    <row r="991" spans="1:64" x14ac:dyDescent="0.3">
      <c r="A991" s="135">
        <f>IF(Разбивка_по_щитам!F991=0,"",Разбивка_по_щитам!F991)</f>
        <v/>
      </c>
      <c r="B991" s="138">
        <f>IF(A991="","",Разбивка_по_щитам!C991)</f>
        <v/>
      </c>
      <c r="C991" s="138">
        <f t="shared" si="622"/>
        <v/>
      </c>
      <c r="D991" s="266"/>
      <c r="E991" s="266"/>
      <c r="F991" s="267"/>
      <c r="G991" s="145">
        <f t="shared" si="623"/>
        <v/>
      </c>
      <c r="H991" s="145">
        <f t="shared" si="624"/>
        <v/>
      </c>
      <c r="I991" s="266"/>
      <c r="J991" s="267"/>
      <c r="K991" s="267"/>
      <c r="L991" s="266"/>
      <c r="M991" s="147">
        <f t="shared" si="625"/>
        <v/>
      </c>
      <c r="N991" s="267"/>
      <c r="O991" s="147">
        <f t="shared" si="626"/>
        <v/>
      </c>
      <c r="P991" s="268">
        <f>IF(AY991=1,"XT"&amp;COUNTIFS($A$3:A991,A991,$AY$3:AY991,1),"")</f>
        <v/>
      </c>
      <c r="Q991" s="152">
        <f>IF(R991="","",IFERROR(SUBSTITUTE(Разбивка_по_щитам!P991,CHAR(10)," "),""))</f>
        <v/>
      </c>
      <c r="R991" s="153">
        <f>IF(OR(Разбивка_по_щитам!H991="",Разбивка_по_щитам!H991=0),"",Разбивка_по_щитам!H991)</f>
        <v/>
      </c>
      <c r="S991" s="154">
        <f>IF(R991="","",IFERROR(Разбивка_по_щитам!J991&amp;"",""))</f>
        <v/>
      </c>
      <c r="T991" s="155">
        <f>IF(R991="","",IFERROR(--Разбивка_по_щитам!L991,""))</f>
        <v/>
      </c>
      <c r="U991" s="155">
        <f>IF(R991="","",IFERROR(--Разбивка_по_щитам!K991,""))</f>
        <v/>
      </c>
      <c r="V991" s="138">
        <f>IF(R991="","",IFERROR(IF(Разбивка_по_щитам!M991=0,"",Разбивка_по_щитам!M991),""))</f>
        <v/>
      </c>
      <c r="W991" s="156">
        <f t="shared" si="627"/>
        <v/>
      </c>
      <c r="X991" s="157">
        <f t="shared" si="628"/>
        <v/>
      </c>
      <c r="Y991" s="266"/>
      <c r="Z991" s="158">
        <f t="shared" si="629"/>
        <v/>
      </c>
      <c r="AA991" s="160">
        <f t="shared" si="630"/>
        <v/>
      </c>
      <c r="AB991" s="160">
        <f>IF(R991="","",IFERROR(LOOKUP(INDEX(Справочная!$I$4:$I$19,MATCH(VLOOKUP(R991,Исходные_данные,22,FALSE),Справочная!$J$4:$J$19,0)+1),{6,10,16,20,25,32,40,50,63,80,100,125}),""))</f>
        <v/>
      </c>
      <c r="AC991" s="160">
        <f t="shared" si="631"/>
        <v/>
      </c>
      <c r="AD991" s="161">
        <f t="shared" si="632"/>
        <v/>
      </c>
      <c r="AE991" s="161">
        <f>IF(AND(R991="",G991=""),"",_xlfn.TEXTJOIN("; ",TRUE,IF(AND(R991&lt;&gt;"",V991=""),"нет фазы",""),IF(AND(R991&lt;&gt;"",N(T991)=0),"нет мощности",""),IF(AND(P991&lt;&gt;"",COUNTIFS($A$3:$A$1000,A991,$P$3:$P$1000,P991)&gt;1),"дубль клеммы "&amp;P991,""),IF(AND(W991&lt;&gt;"",W991&lt;&gt;"ok"),W991,""),IF(X991&lt;&gt;"",X991,""),IF(AND(ISNUMBER(SEARCH("(5х",Q991)),N(AK991)=1),"5 жил на 1 фазе",""),IF(AND(AL991="R",E991&lt;&gt;"",N(AS991)=0),"розетка без 30 мА",""),IF(IFERROR(_xlfn.NUMBERVALUE(MID(Q991,FIND("-",Q991,FIND("L=",Q991))+1,FIND("%",Q991)-FIND("-",Q991,FIND("L=",Q991))-1),","),0)&gt;4,"потери &gt; 4 %","")))</f>
      </c>
      <c r="AF991" s="129">
        <f>IF(E991&lt;&gt;"",COUNTIFS($A$3:A991,A991,$E$3:E991,"?*"),IF(OR(A991&lt;&gt;A990,Y991="вручную"),"",AF990))</f>
        <v/>
      </c>
      <c r="AG991" s="129">
        <f t="shared" si="633"/>
        <v/>
      </c>
      <c r="AH991" s="129">
        <f t="shared" si="634"/>
        <v/>
      </c>
      <c r="AI991" s="129">
        <f t="shared" si="635"/>
        <v/>
      </c>
      <c r="AJ991" s="129">
        <f t="shared" si="636"/>
        <v/>
      </c>
      <c r="AK991" s="129">
        <f t="shared" si="637"/>
        <v/>
      </c>
      <c r="AL991" s="129">
        <f t="shared" si="638"/>
        <v/>
      </c>
      <c r="AM991" s="129">
        <f t="shared" si="639"/>
      </c>
      <c r="AN991" s="129">
        <f t="shared" si="640"/>
      </c>
      <c r="AO991" s="129">
        <f t="shared" si="641"/>
        <v/>
      </c>
      <c r="AP991" s="129">
        <f t="shared" si="642"/>
        <v/>
      </c>
      <c r="AQ991" s="129">
        <f t="shared" si="643"/>
        <v/>
      </c>
      <c r="AR991" s="129">
        <f t="shared" si="644"/>
        <v/>
      </c>
      <c r="AS991" s="129">
        <f t="shared" si="645"/>
        <v/>
      </c>
      <c r="AT991" s="129">
        <f t="shared" si="646"/>
        <v/>
      </c>
      <c r="AU991" s="129">
        <f t="shared" si="647"/>
        <v/>
      </c>
      <c r="AV991" s="129">
        <f t="shared" si="648"/>
        <v/>
      </c>
      <c r="AW991" s="129">
        <f>IF(AV991="","",AV991&amp;"."&amp;COUNTIFS($A$3:A991,A991,$AV$3:AV991,AV991))</f>
        <v/>
      </c>
      <c r="AX991" s="129">
        <f t="shared" si="649"/>
        <v/>
      </c>
      <c r="AY991" s="129">
        <f>IF(N991="б/к",0,IF(OR(ISNUMBER(SEARCH("L=",Разбивка_по_щитам!P991)),N991="+",N991="="),1,0))</f>
      </c>
      <c r="AZ991" s="129">
        <f t="shared" si="650"/>
        <v/>
      </c>
      <c r="BA991" s="129">
        <f t="shared" si="651"/>
      </c>
      <c r="BB991" s="129">
        <f t="shared" si="652"/>
      </c>
      <c r="BD991" s="129">
        <f t="shared" si="653"/>
      </c>
      <c r="BE991" s="129">
        <f t="shared" si="654"/>
      </c>
      <c r="BF991" s="129">
        <f t="shared" si="655"/>
      </c>
      <c r="BG991" s="129">
        <f t="shared" si="656"/>
        <v/>
      </c>
      <c r="BH991" s="129">
        <f t="shared" si="657"/>
        <v/>
      </c>
      <c r="BI991" s="129">
        <f t="shared" si="658"/>
        <v/>
      </c>
      <c r="BJ991" s="129">
        <f t="shared" si="659"/>
        <v/>
      </c>
      <c r="BK991" s="129">
        <f>IF(R991="","",IF(OR(BY991="",BY991=0),"BOX",IFERROR(IF(VLOOKUP(BY991,УГО_блоки,3,FALSE)&amp;""&lt;&gt;"",VLOOKUP(BY991,УГО_блоки,3,FALSE),VLOOKUP(BY991,УГО_блоки,2,FALSE)),BY991)))</f>
      </c>
      <c r="BL991" s="129">
        <f t="shared" si="661"/>
      </c>
      <c r="BM991" s="129">
        <f>IF(H991="","",IF(COUNTIF($H$3:H991,H991)=1,MAX($BM$2:BM990)+1,""))</f>
      </c>
      <c r="BN991" s="129">
        <f>IF(I991="","",IF(COUNTIF($I$3:I991,I991)+COUNTIF($J$2:J990,I991)+COUNTIF($K$2:K990,I991)=1,MAX($BN$2:BP990)+1,""))</f>
      </c>
      <c r="BO991" s="129">
        <f>IF(J991="","",IF(COUNTIF($I$3:I991,J991)+COUNTIF($J$3:J991,J991)+COUNTIF($K$2:K990,J991)=1,MAX($BN$2:BP990,BN991)+1,""))</f>
      </c>
      <c r="BP991" s="129">
        <f>IF(K991="","",IF(COUNTIF($I$3:I991,K991)+COUNTIF($J$3:J991,K991)+COUNTIF($K$3:K991,K991)=1,MAX($BN$2:BP990,BN991,BO991)+1,""))</f>
      </c>
      <c r="BQ991" s="129">
        <f>IF(AY991=1,IFERROR(MID(Q991,FIND(" (",Q991)+2,FIND(")",Q991,FIND(" (",Q991))-FIND(" (",Q991)-2),"?"),"")</f>
      </c>
      <c r="BR991" s="129">
        <f>IF(BQ991="","",IF(COUNTIF($BQ$3:BQ991,BQ991)=1,MAX($BR$2:BR990)+1,""))</f>
      </c>
      <c r="BS991" s="129">
        <f>IF(AW991="","",COUNTIF($AW$3:AW991,"?*"))</f>
      </c>
      <c r="BT991" s="129">
        <f>IF(OR(AW991="",AI991=""),"",IF(COUNTIFS($AW$3:AW991,"?*",$AI$3:AI991,AI991)=1,MAX($BT$2:BT990)+1,""))</f>
      </c>
      <c r="BU991" s="129">
        <f>IF(AE991="",0,IF(OR(ISNUMBER(SEARCH("дубль",AE991)),ISNUMBER(SEARCH("ПЕРЕГРУЗ",AE991)),ISNUMBER(SEARCH("ЗАЩИЩ",AE991)),ISNUMBER(SEARCH("КАНАЛ",AE991)),ISNUMBER(SEARCH("без 30",AE991))),2,1))</f>
      </c>
      <c r="BV991" s="129">
        <f>IF(R991="","",COUNTIF($R$3:R991,"?*"))</f>
      </c>
      <c r="BW991" s="129">
        <f>IF(AY991&lt;&gt;1,0,IF(MAX(IFERROR(--VLOOKUP(R991,УГО_спр,5,FALSE),0),IFERROR(--VLOOKUP(AL991,УГО_спр,5,FALSE),0),IFERROR(--VLOOKUP(LEFT(AL991,2),УГО_спр,5,FALSE),0))&gt;0,MAX(IFERROR(--VLOOKUP(R991,УГО_спр,5,FALSE),0),IFERROR(--VLOOKUP(AL991,УГО_спр,5,FALSE),0),IFERROR(--VLOOKUP(LEFT(AL991,2),УГО_спр,5,FALSE),0)),IF(IFERROR(--LEFT(SUBSTITUTE(BQ991,"x","х"),FIND("х",SUBSTITUTE(BQ991,"x","х"))-1),3)&gt;3,Каталог!$S$9,1)))</f>
      </c>
      <c r="BX991" s="129">
        <f>IF(AY991&lt;&gt;1,0,MAX(0,IFERROR(--LEFT(SUBSTITUTE(BQ991,"x","х"),FIND("х",SUBSTITUTE(BQ991,"x","х"))-1),3)-3*BW991))</f>
      </c>
      <c r="BY991" s="129">
        <f>IF(R991="","",IFERROR(VLOOKUP(R991,УГО_спр,2,FALSE),IFERROR(VLOOKUP(AL991,УГО_спр,2,FALSE),IFERROR(VLOOKUP(LEFT(AL991,2),УГО_спр,2,FALSE),""))))</f>
      </c>
    </row>
    <row r="992" spans="1:64" x14ac:dyDescent="0.3">
      <c r="A992" s="135">
        <f>IF(Разбивка_по_щитам!F992=0,"",Разбивка_по_щитам!F992)</f>
        <v/>
      </c>
      <c r="B992" s="138">
        <f>IF(A992="","",Разбивка_по_щитам!C992)</f>
        <v/>
      </c>
      <c r="C992" s="138">
        <f t="shared" si="622"/>
        <v/>
      </c>
      <c r="D992" s="266"/>
      <c r="E992" s="266"/>
      <c r="F992" s="267"/>
      <c r="G992" s="145">
        <f t="shared" si="623"/>
        <v/>
      </c>
      <c r="H992" s="145">
        <f t="shared" si="624"/>
        <v/>
      </c>
      <c r="I992" s="266"/>
      <c r="J992" s="267"/>
      <c r="K992" s="267"/>
      <c r="L992" s="266"/>
      <c r="M992" s="147">
        <f t="shared" si="625"/>
        <v/>
      </c>
      <c r="N992" s="267"/>
      <c r="O992" s="147">
        <f t="shared" si="626"/>
        <v/>
      </c>
      <c r="P992" s="268">
        <f>IF(AY992=1,"XT"&amp;COUNTIFS($A$3:A992,A992,$AY$3:AY992,1),"")</f>
        <v/>
      </c>
      <c r="Q992" s="152">
        <f>IF(R992="","",IFERROR(SUBSTITUTE(Разбивка_по_щитам!P992,CHAR(10)," "),""))</f>
        <v/>
      </c>
      <c r="R992" s="153">
        <f>IF(OR(Разбивка_по_щитам!H992="",Разбивка_по_щитам!H992=0),"",Разбивка_по_щитам!H992)</f>
        <v/>
      </c>
      <c r="S992" s="154">
        <f>IF(R992="","",IFERROR(Разбивка_по_щитам!J992&amp;"",""))</f>
        <v/>
      </c>
      <c r="T992" s="155">
        <f>IF(R992="","",IFERROR(--Разбивка_по_щитам!L992,""))</f>
        <v/>
      </c>
      <c r="U992" s="155">
        <f>IF(R992="","",IFERROR(--Разбивка_по_щитам!K992,""))</f>
        <v/>
      </c>
      <c r="V992" s="138">
        <f>IF(R992="","",IFERROR(IF(Разбивка_по_щитам!M992=0,"",Разбивка_по_щитам!M992),""))</f>
        <v/>
      </c>
      <c r="W992" s="156">
        <f t="shared" si="627"/>
        <v/>
      </c>
      <c r="X992" s="157">
        <f t="shared" si="628"/>
        <v/>
      </c>
      <c r="Y992" s="266"/>
      <c r="Z992" s="158">
        <f t="shared" si="629"/>
        <v/>
      </c>
      <c r="AA992" s="160">
        <f t="shared" si="630"/>
        <v/>
      </c>
      <c r="AB992" s="160">
        <f>IF(R992="","",IFERROR(LOOKUP(INDEX(Справочная!$I$4:$I$19,MATCH(VLOOKUP(R992,Исходные_данные,22,FALSE),Справочная!$J$4:$J$19,0)+1),{6,10,16,20,25,32,40,50,63,80,100,125}),""))</f>
        <v/>
      </c>
      <c r="AC992" s="160">
        <f t="shared" si="631"/>
        <v/>
      </c>
      <c r="AD992" s="161">
        <f t="shared" si="632"/>
        <v/>
      </c>
      <c r="AE992" s="161">
        <f>IF(AND(R992="",G992=""),"",_xlfn.TEXTJOIN("; ",TRUE,IF(AND(R992&lt;&gt;"",V992=""),"нет фазы",""),IF(AND(R992&lt;&gt;"",N(T992)=0),"нет мощности",""),IF(AND(P992&lt;&gt;"",COUNTIFS($A$3:$A$1000,A992,$P$3:$P$1000,P992)&gt;1),"дубль клеммы "&amp;P992,""),IF(AND(W992&lt;&gt;"",W992&lt;&gt;"ok"),W992,""),IF(X992&lt;&gt;"",X992,""),IF(AND(ISNUMBER(SEARCH("(5х",Q992)),N(AK992)=1),"5 жил на 1 фазе",""),IF(AND(AL992="R",E992&lt;&gt;"",N(AS992)=0),"розетка без 30 мА",""),IF(IFERROR(_xlfn.NUMBERVALUE(MID(Q992,FIND("-",Q992,FIND("L=",Q992))+1,FIND("%",Q992)-FIND("-",Q992,FIND("L=",Q992))-1),","),0)&gt;4,"потери &gt; 4 %","")))</f>
      </c>
      <c r="AF992" s="129">
        <f>IF(E992&lt;&gt;"",COUNTIFS($A$3:A992,A992,$E$3:E992,"?*"),IF(OR(A992&lt;&gt;A991,Y992="вручную"),"",AF991))</f>
        <v/>
      </c>
      <c r="AG992" s="129">
        <f t="shared" si="633"/>
        <v/>
      </c>
      <c r="AH992" s="129">
        <f t="shared" si="634"/>
        <v/>
      </c>
      <c r="AI992" s="129">
        <f t="shared" si="635"/>
        <v/>
      </c>
      <c r="AJ992" s="129">
        <f t="shared" si="636"/>
        <v/>
      </c>
      <c r="AK992" s="129">
        <f t="shared" si="637"/>
        <v/>
      </c>
      <c r="AL992" s="129">
        <f t="shared" si="638"/>
        <v/>
      </c>
      <c r="AM992" s="129">
        <f t="shared" si="639"/>
      </c>
      <c r="AN992" s="129">
        <f t="shared" si="640"/>
      </c>
      <c r="AO992" s="129">
        <f t="shared" si="641"/>
        <v/>
      </c>
      <c r="AP992" s="129">
        <f t="shared" si="642"/>
        <v/>
      </c>
      <c r="AQ992" s="129">
        <f t="shared" si="643"/>
        <v/>
      </c>
      <c r="AR992" s="129">
        <f t="shared" si="644"/>
        <v/>
      </c>
      <c r="AS992" s="129">
        <f t="shared" si="645"/>
        <v/>
      </c>
      <c r="AT992" s="129">
        <f t="shared" si="646"/>
        <v/>
      </c>
      <c r="AU992" s="129">
        <f t="shared" si="647"/>
        <v/>
      </c>
      <c r="AV992" s="129">
        <f t="shared" si="648"/>
        <v/>
      </c>
      <c r="AW992" s="129">
        <f>IF(AV992="","",AV992&amp;"."&amp;COUNTIFS($A$3:A992,A992,$AV$3:AV992,AV992))</f>
        <v/>
      </c>
      <c r="AX992" s="129">
        <f t="shared" si="649"/>
        <v/>
      </c>
      <c r="AY992" s="129">
        <f>IF(N992="б/к",0,IF(OR(ISNUMBER(SEARCH("L=",Разбивка_по_щитам!P992)),N992="+",N992="="),1,0))</f>
      </c>
      <c r="AZ992" s="129">
        <f t="shared" si="650"/>
        <v/>
      </c>
      <c r="BA992" s="129">
        <f t="shared" si="651"/>
      </c>
      <c r="BB992" s="129">
        <f t="shared" si="652"/>
      </c>
      <c r="BD992" s="129">
        <f t="shared" si="653"/>
      </c>
      <c r="BE992" s="129">
        <f t="shared" si="654"/>
      </c>
      <c r="BF992" s="129">
        <f t="shared" si="655"/>
      </c>
      <c r="BG992" s="129">
        <f t="shared" si="656"/>
        <v/>
      </c>
      <c r="BH992" s="129">
        <f t="shared" si="657"/>
        <v/>
      </c>
      <c r="BI992" s="129">
        <f t="shared" si="658"/>
        <v/>
      </c>
      <c r="BJ992" s="129">
        <f t="shared" si="659"/>
        <v/>
      </c>
      <c r="BK992" s="129">
        <f>IF(R992="","",IF(OR(BY992="",BY992=0),"BOX",IFERROR(IF(VLOOKUP(BY992,УГО_блоки,3,FALSE)&amp;""&lt;&gt;"",VLOOKUP(BY992,УГО_блоки,3,FALSE),VLOOKUP(BY992,УГО_блоки,2,FALSE)),BY992)))</f>
      </c>
      <c r="BL992" s="129">
        <f t="shared" si="661"/>
      </c>
      <c r="BM992" s="129">
        <f>IF(H992="","",IF(COUNTIF($H$3:H992,H992)=1,MAX($BM$2:BM991)+1,""))</f>
      </c>
      <c r="BN992" s="129">
        <f>IF(I992="","",IF(COUNTIF($I$3:I992,I992)+COUNTIF($J$2:J991,I992)+COUNTIF($K$2:K991,I992)=1,MAX($BN$2:BP991)+1,""))</f>
      </c>
      <c r="BO992" s="129">
        <f>IF(J992="","",IF(COUNTIF($I$3:I992,J992)+COUNTIF($J$3:J992,J992)+COUNTIF($K$2:K991,J992)=1,MAX($BN$2:BP991,BN992)+1,""))</f>
      </c>
      <c r="BP992" s="129">
        <f>IF(K992="","",IF(COUNTIF($I$3:I992,K992)+COUNTIF($J$3:J992,K992)+COUNTIF($K$3:K992,K992)=1,MAX($BN$2:BP991,BN992,BO992)+1,""))</f>
      </c>
      <c r="BQ992" s="129">
        <f>IF(AY992=1,IFERROR(MID(Q992,FIND(" (",Q992)+2,FIND(")",Q992,FIND(" (",Q992))-FIND(" (",Q992)-2),"?"),"")</f>
      </c>
      <c r="BR992" s="129">
        <f>IF(BQ992="","",IF(COUNTIF($BQ$3:BQ992,BQ992)=1,MAX($BR$2:BR991)+1,""))</f>
      </c>
      <c r="BS992" s="129">
        <f>IF(AW992="","",COUNTIF($AW$3:AW992,"?*"))</f>
      </c>
      <c r="BT992" s="129">
        <f>IF(OR(AW992="",AI992=""),"",IF(COUNTIFS($AW$3:AW992,"?*",$AI$3:AI992,AI992)=1,MAX($BT$2:BT991)+1,""))</f>
      </c>
      <c r="BU992" s="129">
        <f>IF(AE992="",0,IF(OR(ISNUMBER(SEARCH("дубль",AE992)),ISNUMBER(SEARCH("ПЕРЕГРУЗ",AE992)),ISNUMBER(SEARCH("ЗАЩИЩ",AE992)),ISNUMBER(SEARCH("КАНАЛ",AE992)),ISNUMBER(SEARCH("без 30",AE992))),2,1))</f>
      </c>
      <c r="BV992" s="129">
        <f>IF(R992="","",COUNTIF($R$3:R992,"?*"))</f>
      </c>
      <c r="BW992" s="129">
        <f>IF(AY992&lt;&gt;1,0,IF(MAX(IFERROR(--VLOOKUP(R992,УГО_спр,5,FALSE),0),IFERROR(--VLOOKUP(AL992,УГО_спр,5,FALSE),0),IFERROR(--VLOOKUP(LEFT(AL992,2),УГО_спр,5,FALSE),0))&gt;0,MAX(IFERROR(--VLOOKUP(R992,УГО_спр,5,FALSE),0),IFERROR(--VLOOKUP(AL992,УГО_спр,5,FALSE),0),IFERROR(--VLOOKUP(LEFT(AL992,2),УГО_спр,5,FALSE),0)),IF(IFERROR(--LEFT(SUBSTITUTE(BQ992,"x","х"),FIND("х",SUBSTITUTE(BQ992,"x","х"))-1),3)&gt;3,Каталог!$S$9,1)))</f>
      </c>
      <c r="BX992" s="129">
        <f>IF(AY992&lt;&gt;1,0,MAX(0,IFERROR(--LEFT(SUBSTITUTE(BQ992,"x","х"),FIND("х",SUBSTITUTE(BQ992,"x","х"))-1),3)-3*BW992))</f>
      </c>
      <c r="BY992" s="129">
        <f>IF(R992="","",IFERROR(VLOOKUP(R992,УГО_спр,2,FALSE),IFERROR(VLOOKUP(AL992,УГО_спр,2,FALSE),IFERROR(VLOOKUP(LEFT(AL992,2),УГО_спр,2,FALSE),""))))</f>
      </c>
    </row>
    <row r="993" spans="1:64" x14ac:dyDescent="0.3">
      <c r="A993" s="135">
        <f>IF(Разбивка_по_щитам!F993=0,"",Разбивка_по_щитам!F993)</f>
        <v/>
      </c>
      <c r="B993" s="138">
        <f>IF(A993="","",Разбивка_по_щитам!C993)</f>
        <v/>
      </c>
      <c r="C993" s="138">
        <f t="shared" si="622"/>
        <v/>
      </c>
      <c r="D993" s="266"/>
      <c r="E993" s="266"/>
      <c r="F993" s="267"/>
      <c r="G993" s="145">
        <f t="shared" si="623"/>
        <v/>
      </c>
      <c r="H993" s="145">
        <f t="shared" si="624"/>
        <v/>
      </c>
      <c r="I993" s="266"/>
      <c r="J993" s="267"/>
      <c r="K993" s="267"/>
      <c r="L993" s="266"/>
      <c r="M993" s="147">
        <f t="shared" si="625"/>
        <v/>
      </c>
      <c r="N993" s="267"/>
      <c r="O993" s="147">
        <f t="shared" si="626"/>
        <v/>
      </c>
      <c r="P993" s="268">
        <f>IF(AY993=1,"XT"&amp;COUNTIFS($A$3:A993,A993,$AY$3:AY993,1),"")</f>
        <v/>
      </c>
      <c r="Q993" s="152">
        <f>IF(R993="","",IFERROR(SUBSTITUTE(Разбивка_по_щитам!P993,CHAR(10)," "),""))</f>
        <v/>
      </c>
      <c r="R993" s="153">
        <f>IF(OR(Разбивка_по_щитам!H993="",Разбивка_по_щитам!H993=0),"",Разбивка_по_щитам!H993)</f>
        <v/>
      </c>
      <c r="S993" s="154">
        <f>IF(R993="","",IFERROR(Разбивка_по_щитам!J993&amp;"",""))</f>
        <v/>
      </c>
      <c r="T993" s="155">
        <f>IF(R993="","",IFERROR(--Разбивка_по_щитам!L993,""))</f>
        <v/>
      </c>
      <c r="U993" s="155">
        <f>IF(R993="","",IFERROR(--Разбивка_по_щитам!K993,""))</f>
        <v/>
      </c>
      <c r="V993" s="138">
        <f>IF(R993="","",IFERROR(IF(Разбивка_по_щитам!M993=0,"",Разбивка_по_щитам!M993),""))</f>
        <v/>
      </c>
      <c r="W993" s="156">
        <f t="shared" si="627"/>
        <v/>
      </c>
      <c r="X993" s="157">
        <f t="shared" si="628"/>
        <v/>
      </c>
      <c r="Y993" s="266"/>
      <c r="Z993" s="158">
        <f t="shared" si="629"/>
        <v/>
      </c>
      <c r="AA993" s="160">
        <f t="shared" si="630"/>
        <v/>
      </c>
      <c r="AB993" s="160">
        <f>IF(R993="","",IFERROR(LOOKUP(INDEX(Справочная!$I$4:$I$19,MATCH(VLOOKUP(R993,Исходные_данные,22,FALSE),Справочная!$J$4:$J$19,0)+1),{6,10,16,20,25,32,40,50,63,80,100,125}),""))</f>
        <v/>
      </c>
      <c r="AC993" s="160">
        <f t="shared" si="631"/>
        <v/>
      </c>
      <c r="AD993" s="161">
        <f t="shared" si="632"/>
        <v/>
      </c>
      <c r="AE993" s="161">
        <f>IF(AND(R993="",G993=""),"",_xlfn.TEXTJOIN("; ",TRUE,IF(AND(R993&lt;&gt;"",V993=""),"нет фазы",""),IF(AND(R993&lt;&gt;"",N(T993)=0),"нет мощности",""),IF(AND(P993&lt;&gt;"",COUNTIFS($A$3:$A$1000,A993,$P$3:$P$1000,P993)&gt;1),"дубль клеммы "&amp;P993,""),IF(AND(W993&lt;&gt;"",W993&lt;&gt;"ok"),W993,""),IF(X993&lt;&gt;"",X993,""),IF(AND(ISNUMBER(SEARCH("(5х",Q993)),N(AK993)=1),"5 жил на 1 фазе",""),IF(AND(AL993="R",E993&lt;&gt;"",N(AS993)=0),"розетка без 30 мА",""),IF(IFERROR(_xlfn.NUMBERVALUE(MID(Q993,FIND("-",Q993,FIND("L=",Q993))+1,FIND("%",Q993)-FIND("-",Q993,FIND("L=",Q993))-1),","),0)&gt;4,"потери &gt; 4 %","")))</f>
      </c>
      <c r="AF993" s="129">
        <f>IF(E993&lt;&gt;"",COUNTIFS($A$3:A993,A993,$E$3:E993,"?*"),IF(OR(A993&lt;&gt;A992,Y993="вручную"),"",AF992))</f>
        <v/>
      </c>
      <c r="AG993" s="129">
        <f t="shared" si="633"/>
        <v/>
      </c>
      <c r="AH993" s="129">
        <f t="shared" si="634"/>
        <v/>
      </c>
      <c r="AI993" s="129">
        <f t="shared" si="635"/>
        <v/>
      </c>
      <c r="AJ993" s="129">
        <f t="shared" si="636"/>
        <v/>
      </c>
      <c r="AK993" s="129">
        <f t="shared" si="637"/>
        <v/>
      </c>
      <c r="AL993" s="129">
        <f t="shared" si="638"/>
        <v/>
      </c>
      <c r="AM993" s="129">
        <f t="shared" si="639"/>
      </c>
      <c r="AN993" s="129">
        <f t="shared" si="640"/>
      </c>
      <c r="AO993" s="129">
        <f t="shared" si="641"/>
        <v/>
      </c>
      <c r="AP993" s="129">
        <f t="shared" si="642"/>
        <v/>
      </c>
      <c r="AQ993" s="129">
        <f t="shared" si="643"/>
        <v/>
      </c>
      <c r="AR993" s="129">
        <f t="shared" si="644"/>
        <v/>
      </c>
      <c r="AS993" s="129">
        <f t="shared" si="645"/>
        <v/>
      </c>
      <c r="AT993" s="129">
        <f t="shared" si="646"/>
        <v/>
      </c>
      <c r="AU993" s="129">
        <f t="shared" si="647"/>
        <v/>
      </c>
      <c r="AV993" s="129">
        <f t="shared" si="648"/>
        <v/>
      </c>
      <c r="AW993" s="129">
        <f>IF(AV993="","",AV993&amp;"."&amp;COUNTIFS($A$3:A993,A993,$AV$3:AV993,AV993))</f>
        <v/>
      </c>
      <c r="AX993" s="129">
        <f t="shared" si="649"/>
        <v/>
      </c>
      <c r="AY993" s="129">
        <f>IF(N993="б/к",0,IF(OR(ISNUMBER(SEARCH("L=",Разбивка_по_щитам!P993)),N993="+",N993="="),1,0))</f>
      </c>
      <c r="AZ993" s="129">
        <f t="shared" si="650"/>
        <v/>
      </c>
      <c r="BA993" s="129">
        <f t="shared" si="651"/>
      </c>
      <c r="BB993" s="129">
        <f t="shared" si="652"/>
      </c>
      <c r="BD993" s="129">
        <f t="shared" si="653"/>
      </c>
      <c r="BE993" s="129">
        <f t="shared" si="654"/>
      </c>
      <c r="BF993" s="129">
        <f t="shared" si="655"/>
      </c>
      <c r="BG993" s="129">
        <f t="shared" si="656"/>
        <v/>
      </c>
      <c r="BH993" s="129">
        <f t="shared" si="657"/>
        <v/>
      </c>
      <c r="BI993" s="129">
        <f t="shared" si="658"/>
        <v/>
      </c>
      <c r="BJ993" s="129">
        <f t="shared" si="659"/>
        <v/>
      </c>
      <c r="BK993" s="129">
        <f>IF(R993="","",IF(OR(BY993="",BY993=0),"BOX",IFERROR(IF(VLOOKUP(BY993,УГО_блоки,3,FALSE)&amp;""&lt;&gt;"",VLOOKUP(BY993,УГО_блоки,3,FALSE),VLOOKUP(BY993,УГО_блоки,2,FALSE)),BY993)))</f>
      </c>
      <c r="BL993" s="129">
        <f t="shared" si="661"/>
      </c>
      <c r="BM993" s="129">
        <f>IF(H993="","",IF(COUNTIF($H$3:H993,H993)=1,MAX($BM$2:BM992)+1,""))</f>
      </c>
      <c r="BN993" s="129">
        <f>IF(I993="","",IF(COUNTIF($I$3:I993,I993)+COUNTIF($J$2:J992,I993)+COUNTIF($K$2:K992,I993)=1,MAX($BN$2:BP992)+1,""))</f>
      </c>
      <c r="BO993" s="129">
        <f>IF(J993="","",IF(COUNTIF($I$3:I993,J993)+COUNTIF($J$3:J993,J993)+COUNTIF($K$2:K992,J993)=1,MAX($BN$2:BP992,BN993)+1,""))</f>
      </c>
      <c r="BP993" s="129">
        <f>IF(K993="","",IF(COUNTIF($I$3:I993,K993)+COUNTIF($J$3:J993,K993)+COUNTIF($K$3:K993,K993)=1,MAX($BN$2:BP992,BN993,BO993)+1,""))</f>
      </c>
      <c r="BQ993" s="129">
        <f>IF(AY993=1,IFERROR(MID(Q993,FIND(" (",Q993)+2,FIND(")",Q993,FIND(" (",Q993))-FIND(" (",Q993)-2),"?"),"")</f>
      </c>
      <c r="BR993" s="129">
        <f>IF(BQ993="","",IF(COUNTIF($BQ$3:BQ993,BQ993)=1,MAX($BR$2:BR992)+1,""))</f>
      </c>
      <c r="BS993" s="129">
        <f>IF(AW993="","",COUNTIF($AW$3:AW993,"?*"))</f>
      </c>
      <c r="BT993" s="129">
        <f>IF(OR(AW993="",AI993=""),"",IF(COUNTIFS($AW$3:AW993,"?*",$AI$3:AI993,AI993)=1,MAX($BT$2:BT992)+1,""))</f>
      </c>
      <c r="BU993" s="129">
        <f>IF(AE993="",0,IF(OR(ISNUMBER(SEARCH("дубль",AE993)),ISNUMBER(SEARCH("ПЕРЕГРУЗ",AE993)),ISNUMBER(SEARCH("ЗАЩИЩ",AE993)),ISNUMBER(SEARCH("КАНАЛ",AE993)),ISNUMBER(SEARCH("без 30",AE993))),2,1))</f>
      </c>
      <c r="BV993" s="129">
        <f>IF(R993="","",COUNTIF($R$3:R993,"?*"))</f>
      </c>
      <c r="BW993" s="129">
        <f>IF(AY993&lt;&gt;1,0,IF(MAX(IFERROR(--VLOOKUP(R993,УГО_спр,5,FALSE),0),IFERROR(--VLOOKUP(AL993,УГО_спр,5,FALSE),0),IFERROR(--VLOOKUP(LEFT(AL993,2),УГО_спр,5,FALSE),0))&gt;0,MAX(IFERROR(--VLOOKUP(R993,УГО_спр,5,FALSE),0),IFERROR(--VLOOKUP(AL993,УГО_спр,5,FALSE),0),IFERROR(--VLOOKUP(LEFT(AL993,2),УГО_спр,5,FALSE),0)),IF(IFERROR(--LEFT(SUBSTITUTE(BQ993,"x","х"),FIND("х",SUBSTITUTE(BQ993,"x","х"))-1),3)&gt;3,Каталог!$S$9,1)))</f>
      </c>
      <c r="BX993" s="129">
        <f>IF(AY993&lt;&gt;1,0,MAX(0,IFERROR(--LEFT(SUBSTITUTE(BQ993,"x","х"),FIND("х",SUBSTITUTE(BQ993,"x","х"))-1),3)-3*BW993))</f>
      </c>
      <c r="BY993" s="129">
        <f>IF(R993="","",IFERROR(VLOOKUP(R993,УГО_спр,2,FALSE),IFERROR(VLOOKUP(AL993,УГО_спр,2,FALSE),IFERROR(VLOOKUP(LEFT(AL993,2),УГО_спр,2,FALSE),""))))</f>
      </c>
    </row>
    <row r="994" spans="1:64" x14ac:dyDescent="0.3">
      <c r="A994" s="135">
        <f>IF(Разбивка_по_щитам!F994=0,"",Разбивка_по_щитам!F994)</f>
        <v/>
      </c>
      <c r="B994" s="138">
        <f>IF(A994="","",Разбивка_по_щитам!C994)</f>
        <v/>
      </c>
      <c r="C994" s="138">
        <f t="shared" si="622"/>
        <v/>
      </c>
      <c r="D994" s="266"/>
      <c r="E994" s="266"/>
      <c r="F994" s="267"/>
      <c r="G994" s="145">
        <f t="shared" si="623"/>
        <v/>
      </c>
      <c r="H994" s="145">
        <f t="shared" si="624"/>
        <v/>
      </c>
      <c r="I994" s="266"/>
      <c r="J994" s="267"/>
      <c r="K994" s="267"/>
      <c r="L994" s="266"/>
      <c r="M994" s="147">
        <f t="shared" si="625"/>
        <v/>
      </c>
      <c r="N994" s="267"/>
      <c r="O994" s="147">
        <f t="shared" si="626"/>
        <v/>
      </c>
      <c r="P994" s="268">
        <f>IF(AY994=1,"XT"&amp;COUNTIFS($A$3:A994,A994,$AY$3:AY994,1),"")</f>
        <v/>
      </c>
      <c r="Q994" s="152">
        <f>IF(R994="","",IFERROR(SUBSTITUTE(Разбивка_по_щитам!P994,CHAR(10)," "),""))</f>
        <v/>
      </c>
      <c r="R994" s="153">
        <f>IF(OR(Разбивка_по_щитам!H994="",Разбивка_по_щитам!H994=0),"",Разбивка_по_щитам!H994)</f>
        <v/>
      </c>
      <c r="S994" s="154">
        <f>IF(R994="","",IFERROR(Разбивка_по_щитам!J994&amp;"",""))</f>
        <v/>
      </c>
      <c r="T994" s="155">
        <f>IF(R994="","",IFERROR(--Разбивка_по_щитам!L994,""))</f>
        <v/>
      </c>
      <c r="U994" s="155">
        <f>IF(R994="","",IFERROR(--Разбивка_по_щитам!K994,""))</f>
        <v/>
      </c>
      <c r="V994" s="138">
        <f>IF(R994="","",IFERROR(IF(Разбивка_по_щитам!M994=0,"",Разбивка_по_щитам!M994),""))</f>
        <v/>
      </c>
      <c r="W994" s="156">
        <f t="shared" si="627"/>
        <v/>
      </c>
      <c r="X994" s="157">
        <f t="shared" si="628"/>
        <v/>
      </c>
      <c r="Y994" s="266"/>
      <c r="Z994" s="158">
        <f t="shared" si="629"/>
        <v/>
      </c>
      <c r="AA994" s="160">
        <f t="shared" si="630"/>
        <v/>
      </c>
      <c r="AB994" s="160">
        <f>IF(R994="","",IFERROR(LOOKUP(INDEX(Справочная!$I$4:$I$19,MATCH(VLOOKUP(R994,Исходные_данные,22,FALSE),Справочная!$J$4:$J$19,0)+1),{6,10,16,20,25,32,40,50,63,80,100,125}),""))</f>
        <v/>
      </c>
      <c r="AC994" s="160">
        <f t="shared" si="631"/>
        <v/>
      </c>
      <c r="AD994" s="161">
        <f t="shared" si="632"/>
        <v/>
      </c>
      <c r="AE994" s="161">
        <f>IF(AND(R994="",G994=""),"",_xlfn.TEXTJOIN("; ",TRUE,IF(AND(R994&lt;&gt;"",V994=""),"нет фазы",""),IF(AND(R994&lt;&gt;"",N(T994)=0),"нет мощности",""),IF(AND(P994&lt;&gt;"",COUNTIFS($A$3:$A$1000,A994,$P$3:$P$1000,P994)&gt;1),"дубль клеммы "&amp;P994,""),IF(AND(W994&lt;&gt;"",W994&lt;&gt;"ok"),W994,""),IF(X994&lt;&gt;"",X994,""),IF(AND(ISNUMBER(SEARCH("(5х",Q994)),N(AK994)=1),"5 жил на 1 фазе",""),IF(AND(AL994="R",E994&lt;&gt;"",N(AS994)=0),"розетка без 30 мА",""),IF(IFERROR(_xlfn.NUMBERVALUE(MID(Q994,FIND("-",Q994,FIND("L=",Q994))+1,FIND("%",Q994)-FIND("-",Q994,FIND("L=",Q994))-1),","),0)&gt;4,"потери &gt; 4 %","")))</f>
      </c>
      <c r="AF994" s="129">
        <f>IF(E994&lt;&gt;"",COUNTIFS($A$3:A994,A994,$E$3:E994,"?*"),IF(OR(A994&lt;&gt;A993,Y994="вручную"),"",AF993))</f>
        <v/>
      </c>
      <c r="AG994" s="129">
        <f t="shared" si="633"/>
        <v/>
      </c>
      <c r="AH994" s="129">
        <f t="shared" si="634"/>
        <v/>
      </c>
      <c r="AI994" s="129">
        <f t="shared" si="635"/>
        <v/>
      </c>
      <c r="AJ994" s="129">
        <f t="shared" si="636"/>
        <v/>
      </c>
      <c r="AK994" s="129">
        <f t="shared" si="637"/>
        <v/>
      </c>
      <c r="AL994" s="129">
        <f t="shared" si="638"/>
        <v/>
      </c>
      <c r="AM994" s="129">
        <f t="shared" si="639"/>
      </c>
      <c r="AN994" s="129">
        <f t="shared" si="640"/>
      </c>
      <c r="AO994" s="129">
        <f t="shared" si="641"/>
        <v/>
      </c>
      <c r="AP994" s="129">
        <f t="shared" si="642"/>
        <v/>
      </c>
      <c r="AQ994" s="129">
        <f t="shared" si="643"/>
        <v/>
      </c>
      <c r="AR994" s="129">
        <f t="shared" si="644"/>
        <v/>
      </c>
      <c r="AS994" s="129">
        <f t="shared" si="645"/>
        <v/>
      </c>
      <c r="AT994" s="129">
        <f t="shared" si="646"/>
        <v/>
      </c>
      <c r="AU994" s="129">
        <f t="shared" si="647"/>
        <v/>
      </c>
      <c r="AV994" s="129">
        <f t="shared" si="648"/>
        <v/>
      </c>
      <c r="AW994" s="129">
        <f>IF(AV994="","",AV994&amp;"."&amp;COUNTIFS($A$3:A994,A994,$AV$3:AV994,AV994))</f>
        <v/>
      </c>
      <c r="AX994" s="129">
        <f t="shared" si="649"/>
        <v/>
      </c>
      <c r="AY994" s="129">
        <f>IF(N994="б/к",0,IF(OR(ISNUMBER(SEARCH("L=",Разбивка_по_щитам!P994)),N994="+",N994="="),1,0))</f>
      </c>
      <c r="AZ994" s="129">
        <f t="shared" si="650"/>
        <v/>
      </c>
      <c r="BA994" s="129">
        <f t="shared" si="651"/>
      </c>
      <c r="BB994" s="129">
        <f t="shared" si="652"/>
      </c>
      <c r="BD994" s="129">
        <f t="shared" si="653"/>
      </c>
      <c r="BE994" s="129">
        <f t="shared" si="654"/>
      </c>
      <c r="BF994" s="129">
        <f t="shared" si="655"/>
      </c>
      <c r="BG994" s="129">
        <f t="shared" si="656"/>
        <v/>
      </c>
      <c r="BH994" s="129">
        <f t="shared" si="657"/>
        <v/>
      </c>
      <c r="BI994" s="129">
        <f t="shared" si="658"/>
        <v/>
      </c>
      <c r="BJ994" s="129">
        <f t="shared" si="659"/>
        <v/>
      </c>
      <c r="BK994" s="129">
        <f>IF(R994="","",IF(OR(BY994="",BY994=0),"BOX",IFERROR(IF(VLOOKUP(BY994,УГО_блоки,3,FALSE)&amp;""&lt;&gt;"",VLOOKUP(BY994,УГО_блоки,3,FALSE),VLOOKUP(BY994,УГО_блоки,2,FALSE)),BY994)))</f>
      </c>
      <c r="BL994" s="129">
        <f t="shared" si="661"/>
      </c>
      <c r="BM994" s="129">
        <f>IF(H994="","",IF(COUNTIF($H$3:H994,H994)=1,MAX($BM$2:BM993)+1,""))</f>
      </c>
      <c r="BN994" s="129">
        <f>IF(I994="","",IF(COUNTIF($I$3:I994,I994)+COUNTIF($J$2:J993,I994)+COUNTIF($K$2:K993,I994)=1,MAX($BN$2:BP993)+1,""))</f>
      </c>
      <c r="BO994" s="129">
        <f>IF(J994="","",IF(COUNTIF($I$3:I994,J994)+COUNTIF($J$3:J994,J994)+COUNTIF($K$2:K993,J994)=1,MAX($BN$2:BP993,BN994)+1,""))</f>
      </c>
      <c r="BP994" s="129">
        <f>IF(K994="","",IF(COUNTIF($I$3:I994,K994)+COUNTIF($J$3:J994,K994)+COUNTIF($K$3:K994,K994)=1,MAX($BN$2:BP993,BN994,BO994)+1,""))</f>
      </c>
      <c r="BQ994" s="129">
        <f>IF(AY994=1,IFERROR(MID(Q994,FIND(" (",Q994)+2,FIND(")",Q994,FIND(" (",Q994))-FIND(" (",Q994)-2),"?"),"")</f>
      </c>
      <c r="BR994" s="129">
        <f>IF(BQ994="","",IF(COUNTIF($BQ$3:BQ994,BQ994)=1,MAX($BR$2:BR993)+1,""))</f>
      </c>
      <c r="BS994" s="129">
        <f>IF(AW994="","",COUNTIF($AW$3:AW994,"?*"))</f>
      </c>
      <c r="BT994" s="129">
        <f>IF(OR(AW994="",AI994=""),"",IF(COUNTIFS($AW$3:AW994,"?*",$AI$3:AI994,AI994)=1,MAX($BT$2:BT993)+1,""))</f>
      </c>
      <c r="BU994" s="129">
        <f>IF(AE994="",0,IF(OR(ISNUMBER(SEARCH("дубль",AE994)),ISNUMBER(SEARCH("ПЕРЕГРУЗ",AE994)),ISNUMBER(SEARCH("ЗАЩИЩ",AE994)),ISNUMBER(SEARCH("КАНАЛ",AE994)),ISNUMBER(SEARCH("без 30",AE994))),2,1))</f>
      </c>
      <c r="BV994" s="129">
        <f>IF(R994="","",COUNTIF($R$3:R994,"?*"))</f>
      </c>
      <c r="BW994" s="129">
        <f>IF(AY994&lt;&gt;1,0,IF(MAX(IFERROR(--VLOOKUP(R994,УГО_спр,5,FALSE),0),IFERROR(--VLOOKUP(AL994,УГО_спр,5,FALSE),0),IFERROR(--VLOOKUP(LEFT(AL994,2),УГО_спр,5,FALSE),0))&gt;0,MAX(IFERROR(--VLOOKUP(R994,УГО_спр,5,FALSE),0),IFERROR(--VLOOKUP(AL994,УГО_спр,5,FALSE),0),IFERROR(--VLOOKUP(LEFT(AL994,2),УГО_спр,5,FALSE),0)),IF(IFERROR(--LEFT(SUBSTITUTE(BQ994,"x","х"),FIND("х",SUBSTITUTE(BQ994,"x","х"))-1),3)&gt;3,Каталог!$S$9,1)))</f>
      </c>
      <c r="BX994" s="129">
        <f>IF(AY994&lt;&gt;1,0,MAX(0,IFERROR(--LEFT(SUBSTITUTE(BQ994,"x","х"),FIND("х",SUBSTITUTE(BQ994,"x","х"))-1),3)-3*BW994))</f>
      </c>
      <c r="BY994" s="129">
        <f>IF(R994="","",IFERROR(VLOOKUP(R994,УГО_спр,2,FALSE),IFERROR(VLOOKUP(AL994,УГО_спр,2,FALSE),IFERROR(VLOOKUP(LEFT(AL994,2),УГО_спр,2,FALSE),""))))</f>
      </c>
    </row>
    <row r="995" spans="1:64" x14ac:dyDescent="0.3">
      <c r="A995" s="135">
        <f>IF(Разбивка_по_щитам!F995=0,"",Разбивка_по_щитам!F995)</f>
        <v/>
      </c>
      <c r="B995" s="138">
        <f>IF(A995="","",Разбивка_по_щитам!C995)</f>
        <v/>
      </c>
      <c r="C995" s="138">
        <f t="shared" si="622"/>
        <v/>
      </c>
      <c r="D995" s="266"/>
      <c r="E995" s="266"/>
      <c r="F995" s="267"/>
      <c r="G995" s="145">
        <f t="shared" si="623"/>
        <v/>
      </c>
      <c r="H995" s="145">
        <f t="shared" si="624"/>
        <v/>
      </c>
      <c r="I995" s="266"/>
      <c r="J995" s="267"/>
      <c r="K995" s="267"/>
      <c r="L995" s="266"/>
      <c r="M995" s="147">
        <f t="shared" si="625"/>
        <v/>
      </c>
      <c r="N995" s="267"/>
      <c r="O995" s="147">
        <f t="shared" si="626"/>
        <v/>
      </c>
      <c r="P995" s="268">
        <f>IF(AY995=1,"XT"&amp;COUNTIFS($A$3:A995,A995,$AY$3:AY995,1),"")</f>
        <v/>
      </c>
      <c r="Q995" s="152">
        <f>IF(R995="","",IFERROR(SUBSTITUTE(Разбивка_по_щитам!P995,CHAR(10)," "),""))</f>
        <v/>
      </c>
      <c r="R995" s="153">
        <f>IF(OR(Разбивка_по_щитам!H995="",Разбивка_по_щитам!H995=0),"",Разбивка_по_щитам!H995)</f>
        <v/>
      </c>
      <c r="S995" s="154">
        <f>IF(R995="","",IFERROR(Разбивка_по_щитам!J995&amp;"",""))</f>
        <v/>
      </c>
      <c r="T995" s="155">
        <f>IF(R995="","",IFERROR(--Разбивка_по_щитам!L995,""))</f>
        <v/>
      </c>
      <c r="U995" s="155">
        <f>IF(R995="","",IFERROR(--Разбивка_по_щитам!K995,""))</f>
        <v/>
      </c>
      <c r="V995" s="138">
        <f>IF(R995="","",IFERROR(IF(Разбивка_по_щитам!M995=0,"",Разбивка_по_щитам!M995),""))</f>
        <v/>
      </c>
      <c r="W995" s="156">
        <f t="shared" si="627"/>
        <v/>
      </c>
      <c r="X995" s="157">
        <f t="shared" si="628"/>
        <v/>
      </c>
      <c r="Y995" s="266"/>
      <c r="Z995" s="158">
        <f t="shared" si="629"/>
        <v/>
      </c>
      <c r="AA995" s="160">
        <f t="shared" si="630"/>
        <v/>
      </c>
      <c r="AB995" s="160">
        <f>IF(R995="","",IFERROR(LOOKUP(INDEX(Справочная!$I$4:$I$19,MATCH(VLOOKUP(R995,Исходные_данные,22,FALSE),Справочная!$J$4:$J$19,0)+1),{6,10,16,20,25,32,40,50,63,80,100,125}),""))</f>
        <v/>
      </c>
      <c r="AC995" s="160">
        <f t="shared" si="631"/>
        <v/>
      </c>
      <c r="AD995" s="161">
        <f t="shared" si="632"/>
        <v/>
      </c>
      <c r="AE995" s="161">
        <f>IF(AND(R995="",G995=""),"",_xlfn.TEXTJOIN("; ",TRUE,IF(AND(R995&lt;&gt;"",V995=""),"нет фазы",""),IF(AND(R995&lt;&gt;"",N(T995)=0),"нет мощности",""),IF(AND(P995&lt;&gt;"",COUNTIFS($A$3:$A$1000,A995,$P$3:$P$1000,P995)&gt;1),"дубль клеммы "&amp;P995,""),IF(AND(W995&lt;&gt;"",W995&lt;&gt;"ok"),W995,""),IF(X995&lt;&gt;"",X995,""),IF(AND(ISNUMBER(SEARCH("(5х",Q995)),N(AK995)=1),"5 жил на 1 фазе",""),IF(AND(AL995="R",E995&lt;&gt;"",N(AS995)=0),"розетка без 30 мА",""),IF(IFERROR(_xlfn.NUMBERVALUE(MID(Q995,FIND("-",Q995,FIND("L=",Q995))+1,FIND("%",Q995)-FIND("-",Q995,FIND("L=",Q995))-1),","),0)&gt;4,"потери &gt; 4 %","")))</f>
      </c>
      <c r="AF995" s="129">
        <f>IF(E995&lt;&gt;"",COUNTIFS($A$3:A995,A995,$E$3:E995,"?*"),IF(OR(A995&lt;&gt;A994,Y995="вручную"),"",AF994))</f>
        <v/>
      </c>
      <c r="AG995" s="129">
        <f t="shared" si="633"/>
        <v/>
      </c>
      <c r="AH995" s="129">
        <f t="shared" si="634"/>
        <v/>
      </c>
      <c r="AI995" s="129">
        <f t="shared" si="635"/>
        <v/>
      </c>
      <c r="AJ995" s="129">
        <f t="shared" si="636"/>
        <v/>
      </c>
      <c r="AK995" s="129">
        <f t="shared" si="637"/>
        <v/>
      </c>
      <c r="AL995" s="129">
        <f t="shared" si="638"/>
        <v/>
      </c>
      <c r="AM995" s="129">
        <f t="shared" si="639"/>
      </c>
      <c r="AN995" s="129">
        <f t="shared" si="640"/>
      </c>
      <c r="AO995" s="129">
        <f t="shared" si="641"/>
        <v/>
      </c>
      <c r="AP995" s="129">
        <f t="shared" si="642"/>
        <v/>
      </c>
      <c r="AQ995" s="129">
        <f t="shared" si="643"/>
        <v/>
      </c>
      <c r="AR995" s="129">
        <f t="shared" si="644"/>
        <v/>
      </c>
      <c r="AS995" s="129">
        <f t="shared" si="645"/>
        <v/>
      </c>
      <c r="AT995" s="129">
        <f t="shared" si="646"/>
        <v/>
      </c>
      <c r="AU995" s="129">
        <f t="shared" si="647"/>
        <v/>
      </c>
      <c r="AV995" s="129">
        <f t="shared" si="648"/>
        <v/>
      </c>
      <c r="AW995" s="129">
        <f>IF(AV995="","",AV995&amp;"."&amp;COUNTIFS($A$3:A995,A995,$AV$3:AV995,AV995))</f>
        <v/>
      </c>
      <c r="AX995" s="129">
        <f t="shared" si="649"/>
        <v/>
      </c>
      <c r="AY995" s="129">
        <f>IF(N995="б/к",0,IF(OR(ISNUMBER(SEARCH("L=",Разбивка_по_щитам!P995)),N995="+",N995="="),1,0))</f>
      </c>
      <c r="AZ995" s="129">
        <f t="shared" si="650"/>
        <v/>
      </c>
      <c r="BA995" s="129">
        <f t="shared" si="651"/>
      </c>
      <c r="BB995" s="129">
        <f t="shared" si="652"/>
      </c>
      <c r="BD995" s="129">
        <f t="shared" si="653"/>
      </c>
      <c r="BE995" s="129">
        <f t="shared" si="654"/>
      </c>
      <c r="BF995" s="129">
        <f t="shared" si="655"/>
      </c>
      <c r="BG995" s="129">
        <f t="shared" si="656"/>
        <v/>
      </c>
      <c r="BH995" s="129">
        <f t="shared" si="657"/>
        <v/>
      </c>
      <c r="BI995" s="129">
        <f t="shared" si="658"/>
        <v/>
      </c>
      <c r="BJ995" s="129">
        <f t="shared" si="659"/>
        <v/>
      </c>
      <c r="BK995" s="129">
        <f>IF(R995="","",IF(OR(BY995="",BY995=0),"BOX",IFERROR(IF(VLOOKUP(BY995,УГО_блоки,3,FALSE)&amp;""&lt;&gt;"",VLOOKUP(BY995,УГО_блоки,3,FALSE),VLOOKUP(BY995,УГО_блоки,2,FALSE)),BY995)))</f>
      </c>
      <c r="BL995" s="129">
        <f t="shared" si="661"/>
      </c>
      <c r="BM995" s="129">
        <f>IF(H995="","",IF(COUNTIF($H$3:H995,H995)=1,MAX($BM$2:BM994)+1,""))</f>
      </c>
      <c r="BN995" s="129">
        <f>IF(I995="","",IF(COUNTIF($I$3:I995,I995)+COUNTIF($J$2:J994,I995)+COUNTIF($K$2:K994,I995)=1,MAX($BN$2:BP994)+1,""))</f>
      </c>
      <c r="BO995" s="129">
        <f>IF(J995="","",IF(COUNTIF($I$3:I995,J995)+COUNTIF($J$3:J995,J995)+COUNTIF($K$2:K994,J995)=1,MAX($BN$2:BP994,BN995)+1,""))</f>
      </c>
      <c r="BP995" s="129">
        <f>IF(K995="","",IF(COUNTIF($I$3:I995,K995)+COUNTIF($J$3:J995,K995)+COUNTIF($K$3:K995,K995)=1,MAX($BN$2:BP994,BN995,BO995)+1,""))</f>
      </c>
      <c r="BQ995" s="129">
        <f>IF(AY995=1,IFERROR(MID(Q995,FIND(" (",Q995)+2,FIND(")",Q995,FIND(" (",Q995))-FIND(" (",Q995)-2),"?"),"")</f>
      </c>
      <c r="BR995" s="129">
        <f>IF(BQ995="","",IF(COUNTIF($BQ$3:BQ995,BQ995)=1,MAX($BR$2:BR994)+1,""))</f>
      </c>
      <c r="BS995" s="129">
        <f>IF(AW995="","",COUNTIF($AW$3:AW995,"?*"))</f>
      </c>
      <c r="BT995" s="129">
        <f>IF(OR(AW995="",AI995=""),"",IF(COUNTIFS($AW$3:AW995,"?*",$AI$3:AI995,AI995)=1,MAX($BT$2:BT994)+1,""))</f>
      </c>
      <c r="BU995" s="129">
        <f>IF(AE995="",0,IF(OR(ISNUMBER(SEARCH("дубль",AE995)),ISNUMBER(SEARCH("ПЕРЕГРУЗ",AE995)),ISNUMBER(SEARCH("ЗАЩИЩ",AE995)),ISNUMBER(SEARCH("КАНАЛ",AE995)),ISNUMBER(SEARCH("без 30",AE995))),2,1))</f>
      </c>
      <c r="BV995" s="129">
        <f>IF(R995="","",COUNTIF($R$3:R995,"?*"))</f>
      </c>
      <c r="BW995" s="129">
        <f>IF(AY995&lt;&gt;1,0,IF(MAX(IFERROR(--VLOOKUP(R995,УГО_спр,5,FALSE),0),IFERROR(--VLOOKUP(AL995,УГО_спр,5,FALSE),0),IFERROR(--VLOOKUP(LEFT(AL995,2),УГО_спр,5,FALSE),0))&gt;0,MAX(IFERROR(--VLOOKUP(R995,УГО_спр,5,FALSE),0),IFERROR(--VLOOKUP(AL995,УГО_спр,5,FALSE),0),IFERROR(--VLOOKUP(LEFT(AL995,2),УГО_спр,5,FALSE),0)),IF(IFERROR(--LEFT(SUBSTITUTE(BQ995,"x","х"),FIND("х",SUBSTITUTE(BQ995,"x","х"))-1),3)&gt;3,Каталог!$S$9,1)))</f>
      </c>
      <c r="BX995" s="129">
        <f>IF(AY995&lt;&gt;1,0,MAX(0,IFERROR(--LEFT(SUBSTITUTE(BQ995,"x","х"),FIND("х",SUBSTITUTE(BQ995,"x","х"))-1),3)-3*BW995))</f>
      </c>
      <c r="BY995" s="129">
        <f>IF(R995="","",IFERROR(VLOOKUP(R995,УГО_спр,2,FALSE),IFERROR(VLOOKUP(AL995,УГО_спр,2,FALSE),IFERROR(VLOOKUP(LEFT(AL995,2),УГО_спр,2,FALSE),""))))</f>
      </c>
    </row>
    <row r="996" spans="1:64" x14ac:dyDescent="0.3">
      <c r="A996" s="135">
        <f>IF(Разбивка_по_щитам!F996=0,"",Разбивка_по_щитам!F996)</f>
        <v/>
      </c>
      <c r="B996" s="138">
        <f>IF(A996="","",Разбивка_по_щитам!C996)</f>
        <v/>
      </c>
      <c r="C996" s="138">
        <f t="shared" si="622"/>
        <v/>
      </c>
      <c r="D996" s="266"/>
      <c r="E996" s="266"/>
      <c r="F996" s="267"/>
      <c r="G996" s="145">
        <f t="shared" si="623"/>
        <v/>
      </c>
      <c r="H996" s="145">
        <f t="shared" si="624"/>
        <v/>
      </c>
      <c r="I996" s="266"/>
      <c r="J996" s="267"/>
      <c r="K996" s="267"/>
      <c r="L996" s="266"/>
      <c r="M996" s="147">
        <f t="shared" si="625"/>
        <v/>
      </c>
      <c r="N996" s="267"/>
      <c r="O996" s="147">
        <f t="shared" si="626"/>
        <v/>
      </c>
      <c r="P996" s="268">
        <f>IF(AY996=1,"XT"&amp;COUNTIFS($A$3:A996,A996,$AY$3:AY996,1),"")</f>
        <v/>
      </c>
      <c r="Q996" s="152">
        <f>IF(R996="","",IFERROR(SUBSTITUTE(Разбивка_по_щитам!P996,CHAR(10)," "),""))</f>
        <v/>
      </c>
      <c r="R996" s="153">
        <f>IF(OR(Разбивка_по_щитам!H996="",Разбивка_по_щитам!H996=0),"",Разбивка_по_щитам!H996)</f>
        <v/>
      </c>
      <c r="S996" s="154">
        <f>IF(R996="","",IFERROR(Разбивка_по_щитам!J996&amp;"",""))</f>
        <v/>
      </c>
      <c r="T996" s="155">
        <f>IF(R996="","",IFERROR(--Разбивка_по_щитам!L996,""))</f>
        <v/>
      </c>
      <c r="U996" s="155">
        <f>IF(R996="","",IFERROR(--Разбивка_по_щитам!K996,""))</f>
        <v/>
      </c>
      <c r="V996" s="138">
        <f>IF(R996="","",IFERROR(IF(Разбивка_по_щитам!M996=0,"",Разбивка_по_щитам!M996),""))</f>
        <v/>
      </c>
      <c r="W996" s="156">
        <f t="shared" si="627"/>
        <v/>
      </c>
      <c r="X996" s="157">
        <f t="shared" si="628"/>
        <v/>
      </c>
      <c r="Y996" s="266"/>
      <c r="Z996" s="158">
        <f t="shared" si="629"/>
        <v/>
      </c>
      <c r="AA996" s="160">
        <f t="shared" si="630"/>
        <v/>
      </c>
      <c r="AB996" s="160">
        <f>IF(R996="","",IFERROR(LOOKUP(INDEX(Справочная!$I$4:$I$19,MATCH(VLOOKUP(R996,Исходные_данные,22,FALSE),Справочная!$J$4:$J$19,0)+1),{6,10,16,20,25,32,40,50,63,80,100,125}),""))</f>
        <v/>
      </c>
      <c r="AC996" s="160">
        <f t="shared" si="631"/>
        <v/>
      </c>
      <c r="AD996" s="161">
        <f t="shared" si="632"/>
        <v/>
      </c>
      <c r="AE996" s="161">
        <f>IF(AND(R996="",G996=""),"",_xlfn.TEXTJOIN("; ",TRUE,IF(AND(R996&lt;&gt;"",V996=""),"нет фазы",""),IF(AND(R996&lt;&gt;"",N(T996)=0),"нет мощности",""),IF(AND(P996&lt;&gt;"",COUNTIFS($A$3:$A$1000,A996,$P$3:$P$1000,P996)&gt;1),"дубль клеммы "&amp;P996,""),IF(AND(W996&lt;&gt;"",W996&lt;&gt;"ok"),W996,""),IF(X996&lt;&gt;"",X996,""),IF(AND(ISNUMBER(SEARCH("(5х",Q996)),N(AK996)=1),"5 жил на 1 фазе",""),IF(AND(AL996="R",E996&lt;&gt;"",N(AS996)=0),"розетка без 30 мА",""),IF(IFERROR(_xlfn.NUMBERVALUE(MID(Q996,FIND("-",Q996,FIND("L=",Q996))+1,FIND("%",Q996)-FIND("-",Q996,FIND("L=",Q996))-1),","),0)&gt;4,"потери &gt; 4 %","")))</f>
      </c>
      <c r="AF996" s="129">
        <f>IF(E996&lt;&gt;"",COUNTIFS($A$3:A996,A996,$E$3:E996,"?*"),IF(OR(A996&lt;&gt;A995,Y996="вручную"),"",AF995))</f>
        <v/>
      </c>
      <c r="AG996" s="129">
        <f t="shared" si="633"/>
        <v/>
      </c>
      <c r="AH996" s="129">
        <f t="shared" si="634"/>
        <v/>
      </c>
      <c r="AI996" s="129">
        <f t="shared" si="635"/>
        <v/>
      </c>
      <c r="AJ996" s="129">
        <f t="shared" si="636"/>
        <v/>
      </c>
      <c r="AK996" s="129">
        <f t="shared" si="637"/>
        <v/>
      </c>
      <c r="AL996" s="129">
        <f t="shared" si="638"/>
        <v/>
      </c>
      <c r="AM996" s="129">
        <f t="shared" si="639"/>
      </c>
      <c r="AN996" s="129">
        <f t="shared" si="640"/>
      </c>
      <c r="AO996" s="129">
        <f t="shared" si="641"/>
        <v/>
      </c>
      <c r="AP996" s="129">
        <f t="shared" si="642"/>
        <v/>
      </c>
      <c r="AQ996" s="129">
        <f t="shared" si="643"/>
        <v/>
      </c>
      <c r="AR996" s="129">
        <f t="shared" si="644"/>
        <v/>
      </c>
      <c r="AS996" s="129">
        <f t="shared" si="645"/>
        <v/>
      </c>
      <c r="AT996" s="129">
        <f t="shared" si="646"/>
        <v/>
      </c>
      <c r="AU996" s="129">
        <f t="shared" si="647"/>
        <v/>
      </c>
      <c r="AV996" s="129">
        <f t="shared" si="648"/>
        <v/>
      </c>
      <c r="AW996" s="129">
        <f>IF(AV996="","",AV996&amp;"."&amp;COUNTIFS($A$3:A996,A996,$AV$3:AV996,AV996))</f>
        <v/>
      </c>
      <c r="AX996" s="129">
        <f t="shared" si="649"/>
        <v/>
      </c>
      <c r="AY996" s="129">
        <f>IF(N996="б/к",0,IF(OR(ISNUMBER(SEARCH("L=",Разбивка_по_щитам!P996)),N996="+",N996="="),1,0))</f>
      </c>
      <c r="AZ996" s="129">
        <f t="shared" si="650"/>
        <v/>
      </c>
      <c r="BA996" s="129">
        <f t="shared" si="651"/>
      </c>
      <c r="BB996" s="129">
        <f t="shared" si="652"/>
      </c>
      <c r="BD996" s="129">
        <f t="shared" si="653"/>
      </c>
      <c r="BE996" s="129">
        <f t="shared" si="654"/>
      </c>
      <c r="BF996" s="129">
        <f t="shared" si="655"/>
      </c>
      <c r="BG996" s="129">
        <f t="shared" si="656"/>
        <v/>
      </c>
      <c r="BH996" s="129">
        <f t="shared" si="657"/>
        <v/>
      </c>
      <c r="BI996" s="129">
        <f t="shared" si="658"/>
        <v/>
      </c>
      <c r="BJ996" s="129">
        <f t="shared" si="659"/>
        <v/>
      </c>
      <c r="BK996" s="129">
        <f>IF(R996="","",IF(OR(BY996="",BY996=0),"BOX",IFERROR(IF(VLOOKUP(BY996,УГО_блоки,3,FALSE)&amp;""&lt;&gt;"",VLOOKUP(BY996,УГО_блоки,3,FALSE),VLOOKUP(BY996,УГО_блоки,2,FALSE)),BY996)))</f>
      </c>
      <c r="BL996" s="129">
        <f t="shared" si="661"/>
      </c>
      <c r="BM996" s="129">
        <f>IF(H996="","",IF(COUNTIF($H$3:H996,H996)=1,MAX($BM$2:BM995)+1,""))</f>
      </c>
      <c r="BN996" s="129">
        <f>IF(I996="","",IF(COUNTIF($I$3:I996,I996)+COUNTIF($J$2:J995,I996)+COUNTIF($K$2:K995,I996)=1,MAX($BN$2:BP995)+1,""))</f>
      </c>
      <c r="BO996" s="129">
        <f>IF(J996="","",IF(COUNTIF($I$3:I996,J996)+COUNTIF($J$3:J996,J996)+COUNTIF($K$2:K995,J996)=1,MAX($BN$2:BP995,BN996)+1,""))</f>
      </c>
      <c r="BP996" s="129">
        <f>IF(K996="","",IF(COUNTIF($I$3:I996,K996)+COUNTIF($J$3:J996,K996)+COUNTIF($K$3:K996,K996)=1,MAX($BN$2:BP995,BN996,BO996)+1,""))</f>
      </c>
      <c r="BQ996" s="129">
        <f>IF(AY996=1,IFERROR(MID(Q996,FIND(" (",Q996)+2,FIND(")",Q996,FIND(" (",Q996))-FIND(" (",Q996)-2),"?"),"")</f>
      </c>
      <c r="BR996" s="129">
        <f>IF(BQ996="","",IF(COUNTIF($BQ$3:BQ996,BQ996)=1,MAX($BR$2:BR995)+1,""))</f>
      </c>
      <c r="BS996" s="129">
        <f>IF(AW996="","",COUNTIF($AW$3:AW996,"?*"))</f>
      </c>
      <c r="BT996" s="129">
        <f>IF(OR(AW996="",AI996=""),"",IF(COUNTIFS($AW$3:AW996,"?*",$AI$3:AI996,AI996)=1,MAX($BT$2:BT995)+1,""))</f>
      </c>
      <c r="BU996" s="129">
        <f>IF(AE996="",0,IF(OR(ISNUMBER(SEARCH("дубль",AE996)),ISNUMBER(SEARCH("ПЕРЕГРУЗ",AE996)),ISNUMBER(SEARCH("ЗАЩИЩ",AE996)),ISNUMBER(SEARCH("КАНАЛ",AE996)),ISNUMBER(SEARCH("без 30",AE996))),2,1))</f>
      </c>
      <c r="BV996" s="129">
        <f>IF(R996="","",COUNTIF($R$3:R996,"?*"))</f>
      </c>
      <c r="BW996" s="129">
        <f>IF(AY996&lt;&gt;1,0,IF(MAX(IFERROR(--VLOOKUP(R996,УГО_спр,5,FALSE),0),IFERROR(--VLOOKUP(AL996,УГО_спр,5,FALSE),0),IFERROR(--VLOOKUP(LEFT(AL996,2),УГО_спр,5,FALSE),0))&gt;0,MAX(IFERROR(--VLOOKUP(R996,УГО_спр,5,FALSE),0),IFERROR(--VLOOKUP(AL996,УГО_спр,5,FALSE),0),IFERROR(--VLOOKUP(LEFT(AL996,2),УГО_спр,5,FALSE),0)),IF(IFERROR(--LEFT(SUBSTITUTE(BQ996,"x","х"),FIND("х",SUBSTITUTE(BQ996,"x","х"))-1),3)&gt;3,Каталог!$S$9,1)))</f>
      </c>
      <c r="BX996" s="129">
        <f>IF(AY996&lt;&gt;1,0,MAX(0,IFERROR(--LEFT(SUBSTITUTE(BQ996,"x","х"),FIND("х",SUBSTITUTE(BQ996,"x","х"))-1),3)-3*BW996))</f>
      </c>
      <c r="BY996" s="129">
        <f>IF(R996="","",IFERROR(VLOOKUP(R996,УГО_спр,2,FALSE),IFERROR(VLOOKUP(AL996,УГО_спр,2,FALSE),IFERROR(VLOOKUP(LEFT(AL996,2),УГО_спр,2,FALSE),""))))</f>
      </c>
    </row>
    <row r="997" spans="1:64" x14ac:dyDescent="0.3">
      <c r="A997" s="135">
        <f>IF(Разбивка_по_щитам!F997=0,"",Разбивка_по_щитам!F997)</f>
        <v/>
      </c>
      <c r="B997" s="138">
        <f>IF(A997="","",Разбивка_по_щитам!C997)</f>
        <v/>
      </c>
      <c r="C997" s="138">
        <f t="shared" si="622"/>
        <v/>
      </c>
      <c r="D997" s="266"/>
      <c r="E997" s="266"/>
      <c r="F997" s="267"/>
      <c r="G997" s="145">
        <f t="shared" si="623"/>
        <v/>
      </c>
      <c r="H997" s="145">
        <f t="shared" si="624"/>
        <v/>
      </c>
      <c r="I997" s="266"/>
      <c r="J997" s="267"/>
      <c r="K997" s="267"/>
      <c r="L997" s="266"/>
      <c r="M997" s="147">
        <f t="shared" si="625"/>
        <v/>
      </c>
      <c r="N997" s="267"/>
      <c r="O997" s="147">
        <f t="shared" si="626"/>
        <v/>
      </c>
      <c r="P997" s="268">
        <f>IF(AY997=1,"XT"&amp;COUNTIFS($A$3:A997,A997,$AY$3:AY997,1),"")</f>
        <v/>
      </c>
      <c r="Q997" s="152">
        <f>IF(R997="","",IFERROR(SUBSTITUTE(Разбивка_по_щитам!P997,CHAR(10)," "),""))</f>
        <v/>
      </c>
      <c r="R997" s="153">
        <f>IF(OR(Разбивка_по_щитам!H997="",Разбивка_по_щитам!H997=0),"",Разбивка_по_щитам!H997)</f>
        <v/>
      </c>
      <c r="S997" s="154">
        <f>IF(R997="","",IFERROR(Разбивка_по_щитам!J997&amp;"",""))</f>
        <v/>
      </c>
      <c r="T997" s="155">
        <f>IF(R997="","",IFERROR(--Разбивка_по_щитам!L997,""))</f>
        <v/>
      </c>
      <c r="U997" s="155">
        <f>IF(R997="","",IFERROR(--Разбивка_по_щитам!K997,""))</f>
        <v/>
      </c>
      <c r="V997" s="138">
        <f>IF(R997="","",IFERROR(IF(Разбивка_по_щитам!M997=0,"",Разбивка_по_щитам!M997),""))</f>
        <v/>
      </c>
      <c r="W997" s="156">
        <f t="shared" si="627"/>
        <v/>
      </c>
      <c r="X997" s="157">
        <f t="shared" si="628"/>
        <v/>
      </c>
      <c r="Y997" s="266"/>
      <c r="Z997" s="158">
        <f t="shared" si="629"/>
        <v/>
      </c>
      <c r="AA997" s="160">
        <f t="shared" si="630"/>
        <v/>
      </c>
      <c r="AB997" s="160">
        <f>IF(R997="","",IFERROR(LOOKUP(INDEX(Справочная!$I$4:$I$19,MATCH(VLOOKUP(R997,Исходные_данные,22,FALSE),Справочная!$J$4:$J$19,0)+1),{6,10,16,20,25,32,40,50,63,80,100,125}),""))</f>
        <v/>
      </c>
      <c r="AC997" s="160">
        <f t="shared" si="631"/>
        <v/>
      </c>
      <c r="AD997" s="161">
        <f t="shared" si="632"/>
        <v/>
      </c>
      <c r="AE997" s="161">
        <f>IF(AND(R997="",G997=""),"",_xlfn.TEXTJOIN("; ",TRUE,IF(AND(R997&lt;&gt;"",V997=""),"нет фазы",""),IF(AND(R997&lt;&gt;"",N(T997)=0),"нет мощности",""),IF(AND(P997&lt;&gt;"",COUNTIFS($A$3:$A$1000,A997,$P$3:$P$1000,P997)&gt;1),"дубль клеммы "&amp;P997,""),IF(AND(W997&lt;&gt;"",W997&lt;&gt;"ok"),W997,""),IF(X997&lt;&gt;"",X997,""),IF(AND(ISNUMBER(SEARCH("(5х",Q997)),N(AK997)=1),"5 жил на 1 фазе",""),IF(AND(AL997="R",E997&lt;&gt;"",N(AS997)=0),"розетка без 30 мА",""),IF(IFERROR(_xlfn.NUMBERVALUE(MID(Q997,FIND("-",Q997,FIND("L=",Q997))+1,FIND("%",Q997)-FIND("-",Q997,FIND("L=",Q997))-1),","),0)&gt;4,"потери &gt; 4 %","")))</f>
      </c>
      <c r="AF997" s="129">
        <f>IF(E997&lt;&gt;"",COUNTIFS($A$3:A997,A997,$E$3:E997,"?*"),IF(OR(A997&lt;&gt;A996,Y997="вручную"),"",AF996))</f>
        <v/>
      </c>
      <c r="AG997" s="129">
        <f t="shared" si="633"/>
        <v/>
      </c>
      <c r="AH997" s="129">
        <f t="shared" si="634"/>
        <v/>
      </c>
      <c r="AI997" s="129">
        <f t="shared" si="635"/>
        <v/>
      </c>
      <c r="AJ997" s="129">
        <f t="shared" si="636"/>
        <v/>
      </c>
      <c r="AK997" s="129">
        <f t="shared" si="637"/>
        <v/>
      </c>
      <c r="AL997" s="129">
        <f t="shared" si="638"/>
        <v/>
      </c>
      <c r="AM997" s="129">
        <f t="shared" si="639"/>
      </c>
      <c r="AN997" s="129">
        <f t="shared" si="640"/>
      </c>
      <c r="AO997" s="129">
        <f t="shared" si="641"/>
        <v/>
      </c>
      <c r="AP997" s="129">
        <f t="shared" si="642"/>
        <v/>
      </c>
      <c r="AQ997" s="129">
        <f t="shared" si="643"/>
        <v/>
      </c>
      <c r="AR997" s="129">
        <f t="shared" si="644"/>
        <v/>
      </c>
      <c r="AS997" s="129">
        <f t="shared" si="645"/>
        <v/>
      </c>
      <c r="AT997" s="129">
        <f t="shared" si="646"/>
        <v/>
      </c>
      <c r="AU997" s="129">
        <f t="shared" si="647"/>
        <v/>
      </c>
      <c r="AV997" s="129">
        <f t="shared" si="648"/>
        <v/>
      </c>
      <c r="AW997" s="129">
        <f>IF(AV997="","",AV997&amp;"."&amp;COUNTIFS($A$3:A997,A997,$AV$3:AV997,AV997))</f>
        <v/>
      </c>
      <c r="AX997" s="129">
        <f t="shared" si="649"/>
        <v/>
      </c>
      <c r="AY997" s="129">
        <f>IF(N997="б/к",0,IF(OR(ISNUMBER(SEARCH("L=",Разбивка_по_щитам!P997)),N997="+",N997="="),1,0))</f>
      </c>
      <c r="AZ997" s="129">
        <f t="shared" si="650"/>
        <v/>
      </c>
      <c r="BA997" s="129">
        <f t="shared" si="651"/>
      </c>
      <c r="BB997" s="129">
        <f t="shared" si="652"/>
      </c>
      <c r="BD997" s="129">
        <f t="shared" si="653"/>
      </c>
      <c r="BE997" s="129">
        <f t="shared" si="654"/>
      </c>
      <c r="BF997" s="129">
        <f t="shared" si="655"/>
      </c>
      <c r="BG997" s="129">
        <f t="shared" si="656"/>
        <v/>
      </c>
      <c r="BH997" s="129">
        <f t="shared" si="657"/>
        <v/>
      </c>
      <c r="BI997" s="129">
        <f t="shared" si="658"/>
        <v/>
      </c>
      <c r="BJ997" s="129">
        <f t="shared" si="659"/>
        <v/>
      </c>
      <c r="BK997" s="129">
        <f>IF(R997="","",IF(OR(BY997="",BY997=0),"BOX",IFERROR(IF(VLOOKUP(BY997,УГО_блоки,3,FALSE)&amp;""&lt;&gt;"",VLOOKUP(BY997,УГО_блоки,3,FALSE),VLOOKUP(BY997,УГО_блоки,2,FALSE)),BY997)))</f>
      </c>
      <c r="BL997" s="129">
        <f t="shared" si="661"/>
      </c>
      <c r="BM997" s="129">
        <f>IF(H997="","",IF(COUNTIF($H$3:H997,H997)=1,MAX($BM$2:BM996)+1,""))</f>
      </c>
      <c r="BN997" s="129">
        <f>IF(I997="","",IF(COUNTIF($I$3:I997,I997)+COUNTIF($J$2:J996,I997)+COUNTIF($K$2:K996,I997)=1,MAX($BN$2:BP996)+1,""))</f>
      </c>
      <c r="BO997" s="129">
        <f>IF(J997="","",IF(COUNTIF($I$3:I997,J997)+COUNTIF($J$3:J997,J997)+COUNTIF($K$2:K996,J997)=1,MAX($BN$2:BP996,BN997)+1,""))</f>
      </c>
      <c r="BP997" s="129">
        <f>IF(K997="","",IF(COUNTIF($I$3:I997,K997)+COUNTIF($J$3:J997,K997)+COUNTIF($K$3:K997,K997)=1,MAX($BN$2:BP996,BN997,BO997)+1,""))</f>
      </c>
      <c r="BQ997" s="129">
        <f>IF(AY997=1,IFERROR(MID(Q997,FIND(" (",Q997)+2,FIND(")",Q997,FIND(" (",Q997))-FIND(" (",Q997)-2),"?"),"")</f>
      </c>
      <c r="BR997" s="129">
        <f>IF(BQ997="","",IF(COUNTIF($BQ$3:BQ997,BQ997)=1,MAX($BR$2:BR996)+1,""))</f>
      </c>
      <c r="BS997" s="129">
        <f>IF(AW997="","",COUNTIF($AW$3:AW997,"?*"))</f>
      </c>
      <c r="BT997" s="129">
        <f>IF(OR(AW997="",AI997=""),"",IF(COUNTIFS($AW$3:AW997,"?*",$AI$3:AI997,AI997)=1,MAX($BT$2:BT996)+1,""))</f>
      </c>
      <c r="BU997" s="129">
        <f>IF(AE997="",0,IF(OR(ISNUMBER(SEARCH("дубль",AE997)),ISNUMBER(SEARCH("ПЕРЕГРУЗ",AE997)),ISNUMBER(SEARCH("ЗАЩИЩ",AE997)),ISNUMBER(SEARCH("КАНАЛ",AE997)),ISNUMBER(SEARCH("без 30",AE997))),2,1))</f>
      </c>
      <c r="BV997" s="129">
        <f>IF(R997="","",COUNTIF($R$3:R997,"?*"))</f>
      </c>
      <c r="BW997" s="129">
        <f>IF(AY997&lt;&gt;1,0,IF(MAX(IFERROR(--VLOOKUP(R997,УГО_спр,5,FALSE),0),IFERROR(--VLOOKUP(AL997,УГО_спр,5,FALSE),0),IFERROR(--VLOOKUP(LEFT(AL997,2),УГО_спр,5,FALSE),0))&gt;0,MAX(IFERROR(--VLOOKUP(R997,УГО_спр,5,FALSE),0),IFERROR(--VLOOKUP(AL997,УГО_спр,5,FALSE),0),IFERROR(--VLOOKUP(LEFT(AL997,2),УГО_спр,5,FALSE),0)),IF(IFERROR(--LEFT(SUBSTITUTE(BQ997,"x","х"),FIND("х",SUBSTITUTE(BQ997,"x","х"))-1),3)&gt;3,Каталог!$S$9,1)))</f>
      </c>
      <c r="BX997" s="129">
        <f>IF(AY997&lt;&gt;1,0,MAX(0,IFERROR(--LEFT(SUBSTITUTE(BQ997,"x","х"),FIND("х",SUBSTITUTE(BQ997,"x","х"))-1),3)-3*BW997))</f>
      </c>
      <c r="BY997" s="129">
        <f>IF(R997="","",IFERROR(VLOOKUP(R997,УГО_спр,2,FALSE),IFERROR(VLOOKUP(AL997,УГО_спр,2,FALSE),IFERROR(VLOOKUP(LEFT(AL997,2),УГО_спр,2,FALSE),""))))</f>
      </c>
    </row>
    <row r="998" spans="1:64" x14ac:dyDescent="0.3">
      <c r="A998" s="135">
        <f>IF(Разбивка_по_щитам!F998=0,"",Разбивка_по_щитам!F998)</f>
        <v/>
      </c>
      <c r="B998" s="138">
        <f>IF(A998="","",Разбивка_по_щитам!C998)</f>
        <v/>
      </c>
      <c r="C998" s="138">
        <f t="shared" si="622"/>
        <v/>
      </c>
      <c r="D998" s="266"/>
      <c r="E998" s="266"/>
      <c r="F998" s="267"/>
      <c r="G998" s="145">
        <f t="shared" si="623"/>
        <v/>
      </c>
      <c r="H998" s="145">
        <f t="shared" si="624"/>
        <v/>
      </c>
      <c r="I998" s="266"/>
      <c r="J998" s="267"/>
      <c r="K998" s="267"/>
      <c r="L998" s="266"/>
      <c r="M998" s="147">
        <f t="shared" si="625"/>
        <v/>
      </c>
      <c r="N998" s="267"/>
      <c r="O998" s="147">
        <f t="shared" si="626"/>
        <v/>
      </c>
      <c r="P998" s="268">
        <f>IF(AY998=1,"XT"&amp;COUNTIFS($A$3:A998,A998,$AY$3:AY998,1),"")</f>
        <v/>
      </c>
      <c r="Q998" s="152">
        <f>IF(R998="","",IFERROR(SUBSTITUTE(Разбивка_по_щитам!P998,CHAR(10)," "),""))</f>
        <v/>
      </c>
      <c r="R998" s="153">
        <f>IF(OR(Разбивка_по_щитам!H998="",Разбивка_по_щитам!H998=0),"",Разбивка_по_щитам!H998)</f>
        <v/>
      </c>
      <c r="S998" s="154">
        <f>IF(R998="","",IFERROR(Разбивка_по_щитам!J998&amp;"",""))</f>
        <v/>
      </c>
      <c r="T998" s="155">
        <f>IF(R998="","",IFERROR(--Разбивка_по_щитам!L998,""))</f>
        <v/>
      </c>
      <c r="U998" s="155">
        <f>IF(R998="","",IFERROR(--Разбивка_по_щитам!K998,""))</f>
        <v/>
      </c>
      <c r="V998" s="138">
        <f>IF(R998="","",IFERROR(IF(Разбивка_по_щитам!M998=0,"",Разбивка_по_щитам!M998),""))</f>
        <v/>
      </c>
      <c r="W998" s="156">
        <f t="shared" si="627"/>
        <v/>
      </c>
      <c r="X998" s="157">
        <f t="shared" si="628"/>
        <v/>
      </c>
      <c r="Y998" s="266"/>
      <c r="Z998" s="158">
        <f t="shared" si="629"/>
        <v/>
      </c>
      <c r="AA998" s="160">
        <f t="shared" si="630"/>
        <v/>
      </c>
      <c r="AB998" s="160">
        <f>IF(R998="","",IFERROR(LOOKUP(INDEX(Справочная!$I$4:$I$19,MATCH(VLOOKUP(R998,Исходные_данные,22,FALSE),Справочная!$J$4:$J$19,0)+1),{6,10,16,20,25,32,40,50,63,80,100,125}),""))</f>
        <v/>
      </c>
      <c r="AC998" s="160">
        <f t="shared" si="631"/>
        <v/>
      </c>
      <c r="AD998" s="161">
        <f t="shared" si="632"/>
        <v/>
      </c>
      <c r="AE998" s="161">
        <f>IF(AND(R998="",G998=""),"",_xlfn.TEXTJOIN("; ",TRUE,IF(AND(R998&lt;&gt;"",V998=""),"нет фазы",""),IF(AND(R998&lt;&gt;"",N(T998)=0),"нет мощности",""),IF(AND(P998&lt;&gt;"",COUNTIFS($A$3:$A$1000,A998,$P$3:$P$1000,P998)&gt;1),"дубль клеммы "&amp;P998,""),IF(AND(W998&lt;&gt;"",W998&lt;&gt;"ok"),W998,""),IF(X998&lt;&gt;"",X998,""),IF(AND(ISNUMBER(SEARCH("(5х",Q998)),N(AK998)=1),"5 жил на 1 фазе",""),IF(AND(AL998="R",E998&lt;&gt;"",N(AS998)=0),"розетка без 30 мА",""),IF(IFERROR(_xlfn.NUMBERVALUE(MID(Q998,FIND("-",Q998,FIND("L=",Q998))+1,FIND("%",Q998)-FIND("-",Q998,FIND("L=",Q998))-1),","),0)&gt;4,"потери &gt; 4 %","")))</f>
      </c>
      <c r="AF998" s="129">
        <f>IF(E998&lt;&gt;"",COUNTIFS($A$3:A998,A998,$E$3:E998,"?*"),IF(OR(A998&lt;&gt;A997,Y998="вручную"),"",AF997))</f>
        <v/>
      </c>
      <c r="AG998" s="129">
        <f t="shared" si="633"/>
        <v/>
      </c>
      <c r="AH998" s="129">
        <f t="shared" si="634"/>
        <v/>
      </c>
      <c r="AI998" s="129">
        <f t="shared" si="635"/>
        <v/>
      </c>
      <c r="AJ998" s="129">
        <f t="shared" si="636"/>
        <v/>
      </c>
      <c r="AK998" s="129">
        <f t="shared" si="637"/>
        <v/>
      </c>
      <c r="AL998" s="129">
        <f t="shared" si="638"/>
        <v/>
      </c>
      <c r="AM998" s="129">
        <f t="shared" si="639"/>
      </c>
      <c r="AN998" s="129">
        <f t="shared" si="640"/>
      </c>
      <c r="AO998" s="129">
        <f t="shared" si="641"/>
        <v/>
      </c>
      <c r="AP998" s="129">
        <f t="shared" si="642"/>
        <v/>
      </c>
      <c r="AQ998" s="129">
        <f t="shared" si="643"/>
        <v/>
      </c>
      <c r="AR998" s="129">
        <f t="shared" si="644"/>
        <v/>
      </c>
      <c r="AS998" s="129">
        <f t="shared" si="645"/>
        <v/>
      </c>
      <c r="AT998" s="129">
        <f t="shared" si="646"/>
        <v/>
      </c>
      <c r="AU998" s="129">
        <f t="shared" si="647"/>
        <v/>
      </c>
      <c r="AV998" s="129">
        <f t="shared" si="648"/>
        <v/>
      </c>
      <c r="AW998" s="129">
        <f>IF(AV998="","",AV998&amp;"."&amp;COUNTIFS($A$3:A998,A998,$AV$3:AV998,AV998))</f>
        <v/>
      </c>
      <c r="AX998" s="129">
        <f t="shared" si="649"/>
        <v/>
      </c>
      <c r="AY998" s="129">
        <f>IF(N998="б/к",0,IF(OR(ISNUMBER(SEARCH("L=",Разбивка_по_щитам!P998)),N998="+",N998="="),1,0))</f>
      </c>
      <c r="AZ998" s="129">
        <f t="shared" si="650"/>
        <v/>
      </c>
      <c r="BA998" s="129">
        <f t="shared" si="651"/>
      </c>
      <c r="BB998" s="129">
        <f t="shared" si="652"/>
      </c>
      <c r="BD998" s="129">
        <f t="shared" si="653"/>
      </c>
      <c r="BE998" s="129">
        <f t="shared" si="654"/>
      </c>
      <c r="BF998" s="129">
        <f t="shared" si="655"/>
      </c>
      <c r="BG998" s="129">
        <f t="shared" si="656"/>
        <v/>
      </c>
      <c r="BH998" s="129">
        <f t="shared" si="657"/>
        <v/>
      </c>
      <c r="BI998" s="129">
        <f t="shared" si="658"/>
        <v/>
      </c>
      <c r="BJ998" s="129">
        <f t="shared" si="659"/>
        <v/>
      </c>
      <c r="BK998" s="129">
        <f>IF(R998="","",IF(OR(BY998="",BY998=0),"BOX",IFERROR(IF(VLOOKUP(BY998,УГО_блоки,3,FALSE)&amp;""&lt;&gt;"",VLOOKUP(BY998,УГО_блоки,3,FALSE),VLOOKUP(BY998,УГО_блоки,2,FALSE)),BY998)))</f>
      </c>
      <c r="BL998" s="129">
        <f t="shared" si="661"/>
      </c>
      <c r="BM998" s="129">
        <f>IF(H998="","",IF(COUNTIF($H$3:H998,H998)=1,MAX($BM$2:BM997)+1,""))</f>
      </c>
      <c r="BN998" s="129">
        <f>IF(I998="","",IF(COUNTIF($I$3:I998,I998)+COUNTIF($J$2:J997,I998)+COUNTIF($K$2:K997,I998)=1,MAX($BN$2:BP997)+1,""))</f>
      </c>
      <c r="BO998" s="129">
        <f>IF(J998="","",IF(COUNTIF($I$3:I998,J998)+COUNTIF($J$3:J998,J998)+COUNTIF($K$2:K997,J998)=1,MAX($BN$2:BP997,BN998)+1,""))</f>
      </c>
      <c r="BP998" s="129">
        <f>IF(K998="","",IF(COUNTIF($I$3:I998,K998)+COUNTIF($J$3:J998,K998)+COUNTIF($K$3:K998,K998)=1,MAX($BN$2:BP997,BN998,BO998)+1,""))</f>
      </c>
      <c r="BQ998" s="129">
        <f>IF(AY998=1,IFERROR(MID(Q998,FIND(" (",Q998)+2,FIND(")",Q998,FIND(" (",Q998))-FIND(" (",Q998)-2),"?"),"")</f>
      </c>
      <c r="BR998" s="129">
        <f>IF(BQ998="","",IF(COUNTIF($BQ$3:BQ998,BQ998)=1,MAX($BR$2:BR997)+1,""))</f>
      </c>
      <c r="BS998" s="129">
        <f>IF(AW998="","",COUNTIF($AW$3:AW998,"?*"))</f>
      </c>
      <c r="BT998" s="129">
        <f>IF(OR(AW998="",AI998=""),"",IF(COUNTIFS($AW$3:AW998,"?*",$AI$3:AI998,AI998)=1,MAX($BT$2:BT997)+1,""))</f>
      </c>
      <c r="BU998" s="129">
        <f>IF(AE998="",0,IF(OR(ISNUMBER(SEARCH("дубль",AE998)),ISNUMBER(SEARCH("ПЕРЕГРУЗ",AE998)),ISNUMBER(SEARCH("ЗАЩИЩ",AE998)),ISNUMBER(SEARCH("КАНАЛ",AE998)),ISNUMBER(SEARCH("без 30",AE998))),2,1))</f>
      </c>
      <c r="BV998" s="129">
        <f>IF(R998="","",COUNTIF($R$3:R998,"?*"))</f>
      </c>
      <c r="BW998" s="129">
        <f>IF(AY998&lt;&gt;1,0,IF(MAX(IFERROR(--VLOOKUP(R998,УГО_спр,5,FALSE),0),IFERROR(--VLOOKUP(AL998,УГО_спр,5,FALSE),0),IFERROR(--VLOOKUP(LEFT(AL998,2),УГО_спр,5,FALSE),0))&gt;0,MAX(IFERROR(--VLOOKUP(R998,УГО_спр,5,FALSE),0),IFERROR(--VLOOKUP(AL998,УГО_спр,5,FALSE),0),IFERROR(--VLOOKUP(LEFT(AL998,2),УГО_спр,5,FALSE),0)),IF(IFERROR(--LEFT(SUBSTITUTE(BQ998,"x","х"),FIND("х",SUBSTITUTE(BQ998,"x","х"))-1),3)&gt;3,Каталог!$S$9,1)))</f>
      </c>
      <c r="BX998" s="129">
        <f>IF(AY998&lt;&gt;1,0,MAX(0,IFERROR(--LEFT(SUBSTITUTE(BQ998,"x","х"),FIND("х",SUBSTITUTE(BQ998,"x","х"))-1),3)-3*BW998))</f>
      </c>
      <c r="BY998" s="129">
        <f>IF(R998="","",IFERROR(VLOOKUP(R998,УГО_спр,2,FALSE),IFERROR(VLOOKUP(AL998,УГО_спр,2,FALSE),IFERROR(VLOOKUP(LEFT(AL998,2),УГО_спр,2,FALSE),""))))</f>
      </c>
    </row>
    <row r="999" spans="1:64" x14ac:dyDescent="0.3">
      <c r="A999" s="135">
        <f>IF(Разбивка_по_щитам!F999=0,"",Разбивка_по_щитам!F999)</f>
        <v/>
      </c>
      <c r="B999" s="138">
        <f>IF(A999="","",Разбивка_по_щитам!C999)</f>
        <v/>
      </c>
      <c r="C999" s="138">
        <f t="shared" si="622"/>
        <v/>
      </c>
      <c r="D999" s="266"/>
      <c r="E999" s="266"/>
      <c r="F999" s="267"/>
      <c r="G999" s="145">
        <f t="shared" si="623"/>
        <v/>
      </c>
      <c r="H999" s="145">
        <f t="shared" si="624"/>
        <v/>
      </c>
      <c r="I999" s="266"/>
      <c r="J999" s="267"/>
      <c r="K999" s="267"/>
      <c r="L999" s="266"/>
      <c r="M999" s="147">
        <f t="shared" si="625"/>
        <v/>
      </c>
      <c r="N999" s="267"/>
      <c r="O999" s="147">
        <f t="shared" si="626"/>
        <v/>
      </c>
      <c r="P999" s="268">
        <f>IF(AY999=1,"XT"&amp;COUNTIFS($A$3:A999,A999,$AY$3:AY999,1),"")</f>
        <v/>
      </c>
      <c r="Q999" s="152">
        <f>IF(R999="","",IFERROR(SUBSTITUTE(Разбивка_по_щитам!P999,CHAR(10)," "),""))</f>
        <v/>
      </c>
      <c r="R999" s="153">
        <f>IF(OR(Разбивка_по_щитам!H999="",Разбивка_по_щитам!H999=0),"",Разбивка_по_щитам!H999)</f>
        <v/>
      </c>
      <c r="S999" s="154">
        <f>IF(R999="","",IFERROR(Разбивка_по_щитам!J999&amp;"",""))</f>
        <v/>
      </c>
      <c r="T999" s="155">
        <f>IF(R999="","",IFERROR(--Разбивка_по_щитам!L999,""))</f>
        <v/>
      </c>
      <c r="U999" s="155">
        <f>IF(R999="","",IFERROR(--Разбивка_по_щитам!K999,""))</f>
        <v/>
      </c>
      <c r="V999" s="138">
        <f>IF(R999="","",IFERROR(IF(Разбивка_по_щитам!M999=0,"",Разбивка_по_щитам!M999),""))</f>
        <v/>
      </c>
      <c r="W999" s="156">
        <f t="shared" si="627"/>
        <v/>
      </c>
      <c r="X999" s="157">
        <f t="shared" si="628"/>
        <v/>
      </c>
      <c r="Y999" s="266"/>
      <c r="Z999" s="158">
        <f t="shared" si="629"/>
        <v/>
      </c>
      <c r="AA999" s="160">
        <f t="shared" si="630"/>
        <v/>
      </c>
      <c r="AB999" s="160">
        <f>IF(R999="","",IFERROR(LOOKUP(INDEX(Справочная!$I$4:$I$19,MATCH(VLOOKUP(R999,Исходные_данные,22,FALSE),Справочная!$J$4:$J$19,0)+1),{6,10,16,20,25,32,40,50,63,80,100,125}),""))</f>
        <v/>
      </c>
      <c r="AC999" s="160">
        <f t="shared" si="631"/>
        <v/>
      </c>
      <c r="AD999" s="161">
        <f t="shared" si="632"/>
        <v/>
      </c>
      <c r="AE999" s="161">
        <f>IF(AND(R999="",G999=""),"",_xlfn.TEXTJOIN("; ",TRUE,IF(AND(R999&lt;&gt;"",V999=""),"нет фазы",""),IF(AND(R999&lt;&gt;"",N(T999)=0),"нет мощности",""),IF(AND(P999&lt;&gt;"",COUNTIFS($A$3:$A$1000,A999,$P$3:$P$1000,P999)&gt;1),"дубль клеммы "&amp;P999,""),IF(AND(W999&lt;&gt;"",W999&lt;&gt;"ok"),W999,""),IF(X999&lt;&gt;"",X999,""),IF(AND(ISNUMBER(SEARCH("(5х",Q999)),N(AK999)=1),"5 жил на 1 фазе",""),IF(AND(AL999="R",E999&lt;&gt;"",N(AS999)=0),"розетка без 30 мА",""),IF(IFERROR(_xlfn.NUMBERVALUE(MID(Q999,FIND("-",Q999,FIND("L=",Q999))+1,FIND("%",Q999)-FIND("-",Q999,FIND("L=",Q999))-1),","),0)&gt;4,"потери &gt; 4 %","")))</f>
      </c>
      <c r="AF999" s="129">
        <f>IF(E999&lt;&gt;"",COUNTIFS($A$3:A999,A999,$E$3:E999,"?*"),IF(OR(A999&lt;&gt;A998,Y999="вручную"),"",AF998))</f>
        <v/>
      </c>
      <c r="AG999" s="129">
        <f t="shared" si="633"/>
        <v/>
      </c>
      <c r="AH999" s="129">
        <f t="shared" si="634"/>
        <v/>
      </c>
      <c r="AI999" s="129">
        <f t="shared" si="635"/>
        <v/>
      </c>
      <c r="AJ999" s="129">
        <f t="shared" si="636"/>
        <v/>
      </c>
      <c r="AK999" s="129">
        <f t="shared" si="637"/>
        <v/>
      </c>
      <c r="AL999" s="129">
        <f t="shared" si="638"/>
        <v/>
      </c>
      <c r="AM999" s="129">
        <f t="shared" si="639"/>
      </c>
      <c r="AN999" s="129">
        <f t="shared" si="640"/>
      </c>
      <c r="AO999" s="129">
        <f t="shared" si="641"/>
        <v/>
      </c>
      <c r="AP999" s="129">
        <f t="shared" si="642"/>
        <v/>
      </c>
      <c r="AQ999" s="129">
        <f t="shared" si="643"/>
        <v/>
      </c>
      <c r="AR999" s="129">
        <f t="shared" si="644"/>
        <v/>
      </c>
      <c r="AS999" s="129">
        <f t="shared" si="645"/>
        <v/>
      </c>
      <c r="AT999" s="129">
        <f t="shared" si="646"/>
        <v/>
      </c>
      <c r="AU999" s="129">
        <f t="shared" si="647"/>
        <v/>
      </c>
      <c r="AV999" s="129">
        <f t="shared" si="648"/>
        <v/>
      </c>
      <c r="AW999" s="129">
        <f>IF(AV999="","",AV999&amp;"."&amp;COUNTIFS($A$3:A999,A999,$AV$3:AV999,AV999))</f>
        <v/>
      </c>
      <c r="AX999" s="129">
        <f t="shared" si="649"/>
        <v/>
      </c>
      <c r="AY999" s="129">
        <f>IF(N999="б/к",0,IF(OR(ISNUMBER(SEARCH("L=",Разбивка_по_щитам!P999)),N999="+",N999="="),1,0))</f>
      </c>
      <c r="AZ999" s="129">
        <f t="shared" si="650"/>
        <v/>
      </c>
      <c r="BA999" s="129">
        <f t="shared" si="651"/>
      </c>
      <c r="BB999" s="129">
        <f t="shared" si="652"/>
      </c>
      <c r="BD999" s="129">
        <f t="shared" si="653"/>
      </c>
      <c r="BE999" s="129">
        <f t="shared" si="654"/>
      </c>
      <c r="BF999" s="129">
        <f t="shared" si="655"/>
      </c>
      <c r="BG999" s="129">
        <f t="shared" si="656"/>
        <v/>
      </c>
      <c r="BH999" s="129">
        <f t="shared" si="657"/>
        <v/>
      </c>
      <c r="BI999" s="129">
        <f t="shared" si="658"/>
        <v/>
      </c>
      <c r="BJ999" s="129">
        <f t="shared" si="659"/>
        <v/>
      </c>
      <c r="BK999" s="129">
        <f>IF(R999="","",IF(OR(BY999="",BY999=0),"BOX",IFERROR(IF(VLOOKUP(BY999,УГО_блоки,3,FALSE)&amp;""&lt;&gt;"",VLOOKUP(BY999,УГО_блоки,3,FALSE),VLOOKUP(BY999,УГО_блоки,2,FALSE)),BY999)))</f>
      </c>
      <c r="BL999" s="129">
        <f t="shared" si="661"/>
      </c>
      <c r="BM999" s="129">
        <f>IF(H999="","",IF(COUNTIF($H$3:H999,H999)=1,MAX($BM$2:BM998)+1,""))</f>
      </c>
      <c r="BN999" s="129">
        <f>IF(I999="","",IF(COUNTIF($I$3:I999,I999)+COUNTIF($J$2:J998,I999)+COUNTIF($K$2:K998,I999)=1,MAX($BN$2:BP998)+1,""))</f>
      </c>
      <c r="BO999" s="129">
        <f>IF(J999="","",IF(COUNTIF($I$3:I999,J999)+COUNTIF($J$3:J999,J999)+COUNTIF($K$2:K998,J999)=1,MAX($BN$2:BP998,BN999)+1,""))</f>
      </c>
      <c r="BP999" s="129">
        <f>IF(K999="","",IF(COUNTIF($I$3:I999,K999)+COUNTIF($J$3:J999,K999)+COUNTIF($K$3:K999,K999)=1,MAX($BN$2:BP998,BN999,BO999)+1,""))</f>
      </c>
      <c r="BQ999" s="129">
        <f>IF(AY999=1,IFERROR(MID(Q999,FIND(" (",Q999)+2,FIND(")",Q999,FIND(" (",Q999))-FIND(" (",Q999)-2),"?"),"")</f>
      </c>
      <c r="BR999" s="129">
        <f>IF(BQ999="","",IF(COUNTIF($BQ$3:BQ999,BQ999)=1,MAX($BR$2:BR998)+1,""))</f>
      </c>
      <c r="BS999" s="129">
        <f>IF(AW999="","",COUNTIF($AW$3:AW999,"?*"))</f>
      </c>
      <c r="BT999" s="129">
        <f>IF(OR(AW999="",AI999=""),"",IF(COUNTIFS($AW$3:AW999,"?*",$AI$3:AI999,AI999)=1,MAX($BT$2:BT998)+1,""))</f>
      </c>
      <c r="BU999" s="129">
        <f>IF(AE999="",0,IF(OR(ISNUMBER(SEARCH("дубль",AE999)),ISNUMBER(SEARCH("ПЕРЕГРУЗ",AE999)),ISNUMBER(SEARCH("ЗАЩИЩ",AE999)),ISNUMBER(SEARCH("КАНАЛ",AE999)),ISNUMBER(SEARCH("без 30",AE999))),2,1))</f>
      </c>
      <c r="BV999" s="129">
        <f>IF(R999="","",COUNTIF($R$3:R999,"?*"))</f>
      </c>
      <c r="BW999" s="129">
        <f>IF(AY999&lt;&gt;1,0,IF(MAX(IFERROR(--VLOOKUP(R999,УГО_спр,5,FALSE),0),IFERROR(--VLOOKUP(AL999,УГО_спр,5,FALSE),0),IFERROR(--VLOOKUP(LEFT(AL999,2),УГО_спр,5,FALSE),0))&gt;0,MAX(IFERROR(--VLOOKUP(R999,УГО_спр,5,FALSE),0),IFERROR(--VLOOKUP(AL999,УГО_спр,5,FALSE),0),IFERROR(--VLOOKUP(LEFT(AL999,2),УГО_спр,5,FALSE),0)),IF(IFERROR(--LEFT(SUBSTITUTE(BQ999,"x","х"),FIND("х",SUBSTITUTE(BQ999,"x","х"))-1),3)&gt;3,Каталог!$S$9,1)))</f>
      </c>
      <c r="BX999" s="129">
        <f>IF(AY999&lt;&gt;1,0,MAX(0,IFERROR(--LEFT(SUBSTITUTE(BQ999,"x","х"),FIND("х",SUBSTITUTE(BQ999,"x","х"))-1),3)-3*BW999))</f>
      </c>
      <c r="BY999" s="129">
        <f>IF(R999="","",IFERROR(VLOOKUP(R999,УГО_спр,2,FALSE),IFERROR(VLOOKUP(AL999,УГО_спр,2,FALSE),IFERROR(VLOOKUP(LEFT(AL999,2),УГО_спр,2,FALSE),""))))</f>
      </c>
    </row>
    <row r="1000" spans="1:64" x14ac:dyDescent="0.3">
      <c r="A1000" s="135">
        <f>IF(Разбивка_по_щитам!F1000=0,"",Разбивка_по_щитам!F1000)</f>
      </c>
      <c r="B1000" s="138">
        <f>IF(A1000="","",Разбивка_по_щитам!C1000)</f>
      </c>
      <c r="C1000" s="138">
        <f t="shared" si="622"/>
      </c>
      <c r="D1000" s="266"/>
      <c r="E1000" s="266"/>
      <c r="F1000" s="267"/>
      <c r="G1000" s="145">
        <f t="shared" si="623"/>
        <v/>
      </c>
      <c r="H1000" s="145">
        <f t="shared" si="624"/>
        <v/>
      </c>
      <c r="I1000" s="266"/>
      <c r="J1000" s="267"/>
      <c r="K1000" s="267"/>
      <c r="L1000" s="266"/>
      <c r="M1000" s="147">
        <f t="shared" si="625"/>
        <v/>
      </c>
      <c r="N1000" s="267"/>
      <c r="O1000" s="147">
        <f t="shared" si="626"/>
        <v/>
      </c>
      <c r="P1000" s="268">
        <f>IF(AY1000=1,"XT"&amp;COUNTIFS($A$3:A1000,A1000,$AY$3:AY1000,1),"")</f>
        <v/>
      </c>
      <c r="Q1000" s="152">
        <f>IF(R1000="","",IFERROR(SUBSTITUTE(Разбивка_по_щитам!P1000,CHAR(10)," "),""))</f>
        <v/>
      </c>
      <c r="R1000" s="153">
        <f>IF(OR(Разбивка_по_щитам!H1000="",Разбивка_по_щитам!H1000=0),"",Разбивка_по_щитам!H1000)</f>
        <v/>
      </c>
      <c r="S1000" s="154">
        <f>IF(R1000="","",IFERROR(Разбивка_по_щитам!J1000&amp;"",""))</f>
        <v/>
      </c>
      <c r="T1000" s="155">
        <f>IF(R1000="","",IFERROR(--Разбивка_по_щитам!L1000,""))</f>
        <v/>
      </c>
      <c r="U1000" s="155">
        <f>IF(R1000="","",IFERROR(--Разбивка_по_щитам!K1000,""))</f>
        <v/>
      </c>
      <c r="V1000" s="138">
        <f>IF(R1000="","",IFERROR(IF(Разбивка_по_щитам!M1000=0,"",Разбивка_по_щитам!M1000),""))</f>
        <v/>
      </c>
      <c r="W1000" s="156">
        <f t="shared" si="627"/>
        <v/>
      </c>
      <c r="X1000" s="157">
        <f t="shared" si="628"/>
        <v/>
      </c>
      <c r="Y1000" s="266"/>
      <c r="Z1000" s="158">
        <f t="shared" si="629"/>
        <v/>
      </c>
      <c r="AA1000" s="160">
        <f t="shared" si="630"/>
        <v/>
      </c>
      <c r="AB1000" s="160">
        <f>IF(R1000="","",IFERROR(LOOKUP(INDEX(Справочная!$I$4:$I$19,MATCH(VLOOKUP(R1000,Исходные_данные,22,FALSE),Справочная!$J$4:$J$19,0)+1),{6,10,16,20,25,32,40,50,63,80,100,125}),""))</f>
        <v/>
      </c>
      <c r="AC1000" s="160">
        <f t="shared" si="631"/>
        <v/>
      </c>
      <c r="AD1000" s="161">
        <f t="shared" si="632"/>
        <v/>
      </c>
      <c r="AE1000" s="161">
        <f>IF(AND(R1000="",G1000=""),"",_xlfn.TEXTJOIN("; ",TRUE,IF(AND(R1000&lt;&gt;"",V1000=""),"нет фазы",""),IF(AND(R1000&lt;&gt;"",N(T1000)=0),"нет мощности",""),IF(AND(P1000&lt;&gt;"",COUNTIFS($A$3:$A$1000,A1000,$P$3:$P$1000,P1000)&gt;1),"дубль клеммы "&amp;P1000,""),IF(AND(W1000&lt;&gt;"",W1000&lt;&gt;"ok"),W1000,""),IF(X1000&lt;&gt;"",X1000,""),IF(AND(ISNUMBER(SEARCH("(5х",Q1000)),N(AK1000)=1),"5 жил на 1 фазе",""),IF(AND(AL1000="R",E1000&lt;&gt;"",N(AS1000)=0),"розетка без 30 мА",""),IF(IFERROR(_xlfn.NUMBERVALUE(MID(Q1000,FIND("-",Q1000,FIND("L=",Q1000))+1,FIND("%",Q1000)-FIND("-",Q1000,FIND("L=",Q1000))-1),","),0)&gt;4,"потери &gt; 4 %","")))</f>
      </c>
      <c r="AF1000" s="129">
        <f>IF(E1000&lt;&gt;"",COUNTIFS($A$3:A1000,A1000,$E$3:E1000,"?*"),IF(OR(A1000&lt;&gt;A999,Y1000="вручную"),"",AF999))</f>
        <v/>
      </c>
      <c r="AG1000" s="129">
        <f t="shared" si="633"/>
        <v/>
      </c>
      <c r="AH1000" s="129">
        <f t="shared" si="634"/>
        <v/>
      </c>
      <c r="AI1000" s="129">
        <f t="shared" si="635"/>
        <v/>
      </c>
      <c r="AJ1000" s="129">
        <f t="shared" si="636"/>
        <v/>
      </c>
      <c r="AK1000" s="129">
        <f t="shared" si="637"/>
        <v/>
      </c>
      <c r="AL1000" s="129">
        <f t="shared" si="638"/>
        <v/>
      </c>
      <c r="AM1000" s="129">
        <f t="shared" si="639"/>
      </c>
      <c r="AN1000" s="129">
        <f t="shared" si="640"/>
      </c>
      <c r="AO1000" s="129">
        <f t="shared" si="641"/>
        <v/>
      </c>
      <c r="AP1000" s="129">
        <f t="shared" si="642"/>
        <v/>
      </c>
      <c r="AQ1000" s="129">
        <f t="shared" si="643"/>
        <v/>
      </c>
      <c r="AR1000" s="129">
        <f t="shared" si="644"/>
        <v/>
      </c>
      <c r="AS1000" s="129">
        <f t="shared" si="645"/>
        <v/>
      </c>
      <c r="AT1000" s="129">
        <f t="shared" si="646"/>
        <v/>
      </c>
      <c r="AU1000" s="129">
        <f t="shared" si="647"/>
        <v/>
      </c>
      <c r="AV1000" s="129">
        <f t="shared" si="648"/>
        <v/>
      </c>
      <c r="AW1000" s="129">
        <f>IF(AV1000="","",AV1000&amp;"."&amp;COUNTIFS($A$3:A1000,A1000,$AV$3:AV1000,AV1000))</f>
        <v/>
      </c>
      <c r="AX1000" s="129">
        <f t="shared" si="649"/>
        <v/>
      </c>
      <c r="AY1000" s="129">
        <f>IF(N1000="б/к",0,IF(OR(ISNUMBER(SEARCH("L=",Разбивка_по_щитам!P1000)),N1000="+",N1000="="),1,0))</f>
      </c>
      <c r="AZ1000" s="129">
        <f t="shared" si="650"/>
        <v/>
      </c>
      <c r="BA1000" s="129">
        <f t="shared" si="651"/>
      </c>
      <c r="BB1000" s="129">
        <f t="shared" si="652"/>
      </c>
      <c r="BD1000" s="129">
        <f t="shared" si="653"/>
      </c>
      <c r="BE1000" s="129">
        <f t="shared" si="654"/>
      </c>
      <c r="BF1000" s="129">
        <f t="shared" si="655"/>
      </c>
      <c r="BG1000" s="129">
        <f t="shared" si="656"/>
        <v/>
      </c>
      <c r="BH1000" s="129">
        <f t="shared" si="657"/>
        <v/>
      </c>
      <c r="BI1000" s="129">
        <f t="shared" si="658"/>
        <v/>
      </c>
      <c r="BJ1000" s="129">
        <f t="shared" si="659"/>
        <v/>
      </c>
      <c r="BK1000" s="129">
        <f>IF(R1000="","",IF(OR(BY1000="",BY1000=0),"BOX",IFERROR(IF(VLOOKUP(BY1000,УГО_блоки,3,FALSE)&amp;""&lt;&gt;"",VLOOKUP(BY1000,УГО_блоки,3,FALSE),VLOOKUP(BY1000,УГО_блоки,2,FALSE)),BY1000)))</f>
      </c>
      <c r="BL1000" s="129">
        <f t="shared" si="661"/>
      </c>
      <c r="BM1000" s="129">
        <f>IF(H1000="","",IF(COUNTIF($H$3:H1000,H1000)=1,MAX($BM$2:BM999)+1,""))</f>
      </c>
      <c r="BN1000" s="129">
        <f>IF(I1000="","",IF(COUNTIF($I$3:I1000,I1000)+COUNTIF($J$2:J999,I1000)+COUNTIF($K$2:K999,I1000)=1,MAX($BN$2:BP999)+1,""))</f>
      </c>
      <c r="BO1000" s="129">
        <f>IF(J1000="","",IF(COUNTIF($I$3:I1000,J1000)+COUNTIF($J$3:J1000,J1000)+COUNTIF($K$2:K999,J1000)=1,MAX($BN$2:BP999,BN1000)+1,""))</f>
      </c>
      <c r="BP1000" s="129">
        <f>IF(K1000="","",IF(COUNTIF($I$3:I1000,K1000)+COUNTIF($J$3:J1000,K1000)+COUNTIF($K$3:K1000,K1000)=1,MAX($BN$2:BP999,BN1000,BO1000)+1,""))</f>
      </c>
      <c r="BQ1000" s="129">
        <f>IF(AY1000=1,IFERROR(MID(Q1000,FIND(" (",Q1000)+2,FIND(")",Q1000,FIND(" (",Q1000))-FIND(" (",Q1000)-2),"?"),"")</f>
      </c>
      <c r="BR1000" s="129">
        <f>IF(BQ1000="","",IF(COUNTIF($BQ$3:BQ1000,BQ1000)=1,MAX($BR$2:BR999)+1,""))</f>
      </c>
      <c r="BS1000" s="129">
        <f>IF(AW1000="","",COUNTIF($AW$3:AW1000,"?*"))</f>
      </c>
      <c r="BT1000" s="129">
        <f>IF(OR(AW1000="",AI1000=""),"",IF(COUNTIFS($AW$3:AW1000,"?*",$AI$3:AI1000,AI1000)=1,MAX($BT$2:BT999)+1,""))</f>
      </c>
      <c r="BU1000" s="129">
        <f>IF(AE1000="",0,IF(OR(ISNUMBER(SEARCH("дубль",AE1000)),ISNUMBER(SEARCH("ПЕРЕГРУЗ",AE1000)),ISNUMBER(SEARCH("ЗАЩИЩ",AE1000)),ISNUMBER(SEARCH("КАНАЛ",AE1000)),ISNUMBER(SEARCH("без 30",AE1000))),2,1))</f>
      </c>
      <c r="BV1000" s="129">
        <f>IF(R1000="","",COUNTIF($R$3:R1000,"?*"))</f>
      </c>
      <c r="BW1000" s="129">
        <f>IF(AY1000&lt;&gt;1,0,IF(MAX(IFERROR(--VLOOKUP(R1000,УГО_спр,5,FALSE),0),IFERROR(--VLOOKUP(AL1000,УГО_спр,5,FALSE),0),IFERROR(--VLOOKUP(LEFT(AL1000,2),УГО_спр,5,FALSE),0))&gt;0,MAX(IFERROR(--VLOOKUP(R1000,УГО_спр,5,FALSE),0),IFERROR(--VLOOKUP(AL1000,УГО_спр,5,FALSE),0),IFERROR(--VLOOKUP(LEFT(AL1000,2),УГО_спр,5,FALSE),0)),IF(IFERROR(--LEFT(SUBSTITUTE(BQ1000,"x","х"),FIND("х",SUBSTITUTE(BQ1000,"x","х"))-1),3)&gt;3,Каталог!$S$9,1)))</f>
      </c>
      <c r="BX1000" s="129">
        <f>IF(AY1000&lt;&gt;1,0,MAX(0,IFERROR(--LEFT(SUBSTITUTE(BQ1000,"x","х"),FIND("х",SUBSTITUTE(BQ1000,"x","х"))-1),3)-3*BW1000))</f>
      </c>
      <c r="BY1000" s="129">
        <f>IF(R1000="","",IFERROR(VLOOKUP(R1000,УГО_спр,2,FALSE),IFERROR(VLOOKUP(AL1000,УГО_спр,2,FALSE),IFERROR(VLOOKUP(LEFT(AL1000,2),УГО_спр,2,FALSE),""))))</f>
      </c>
    </row>
  </sheetData>
  <sheetProtection password="CF4F" sheet="1" objects="1" scenarios="1" formatCells="0" formatColumns="0" formatRows="0" autoFilter="0" sort="0"/>
  <autoFilter ref="A2:AD1000" xr:uid="{00000000-0009-0000-0000-000004000000}"/>
  <mergeCells count="7">
    <mergeCell ref="W1:X1"/>
    <mergeCell ref="Y1:AD1"/>
    <mergeCell ref="A1:C1"/>
    <mergeCell ref="E1:H1"/>
    <mergeCell ref="I1:K1"/>
    <mergeCell ref="L1:O1"/>
    <mergeCell ref="R1:V1"/>
  </mergeCells>
  <phoneticPr fontId="3" type="noConversion"/>
  <conditionalFormatting sqref="B3:B1000 AE3:AE1000">
    <cfRule type="expression" dxfId="9791" priority="1">
      <formula>$BU3=2</formula>
    </cfRule>
    <cfRule type="expression" dxfId="9792" priority="2">
      <formula>$BU3=1</formula>
    </cfRule>
    <cfRule type="expression" dxfId="9793" priority="3">
      <formula>AND($R3&lt;&gt;"",$BU3=0)</formula>
    </cfRule>
  </conditionalFormatting>
  <conditionalFormatting sqref="A3:AD1000">
    <cfRule type="expression" dxfId="9790" priority="11">
      <formula>$Y3="вручную"</formula>
    </cfRule>
    <cfRule type="expression" dxfId="9789" priority="12">
      <formula>$E3&lt;&gt;""</formula>
    </cfRule>
    <cfRule type="expression" dxfId="9788" priority="19">
      <formula>AND(ISNUMBER($AF3),ISODD($AF3),LEN($G3)&gt;0)</formula>
    </cfRule>
  </conditionalFormatting>
  <conditionalFormatting sqref="W3:W1000">
    <cfRule type="expression" dxfId="9787" priority="13">
      <formula>AND(W3&lt;&gt;"",W3&lt;&gt;"ok")</formula>
    </cfRule>
    <cfRule type="cellIs" dxfId="9786" priority="14" operator="equal">
      <formula>"ok"</formula>
    </cfRule>
  </conditionalFormatting>
  <conditionalFormatting sqref="X3:X1000">
    <cfRule type="expression" dxfId="9785" priority="15">
      <formula>LEN(X3)&gt;0</formula>
    </cfRule>
  </conditionalFormatting>
  <dataValidations count="6">
    <dataValidation type="list" allowBlank="1" showErrorMessage="0" sqref="E3:E1000">
      <formula1>Список_автоматов</formula1>
    </dataValidation>
    <dataValidation type="list" allowBlank="1" showErrorMessage="0" sqref="F3:F1000">
      <formula1>"да,нет"</formula1>
    </dataValidation>
    <dataValidation type="list" allowBlank="1" showErrorMessage="0" sqref="I3:K1000">
      <formula1>Список_аппаратов</formula1>
    </dataValidation>
    <dataValidation type="list" allowBlank="1" showErrorMessage="0" sqref="L3:L1000">
      <formula1>Список_модулей</formula1>
    </dataValidation>
    <dataValidation type="list" allowBlank="1" showErrorMessage="0" sqref="N3:N1000">
      <formula1>"+,=,р,б/к"</formula1>
    </dataValidation>
    <dataValidation type="list" allowBlank="1" showErrorMessage="0" sqref="Y3:Y1000">
      <formula1>"вручную"</formula1>
    </dataValidation>
  </dataValidations>
  <pageMargins left="0.4" right="0.4" top="0.5" bottom="0.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1DE57-1F01-4D15-B0CA-5EEF3CC55519}">
  <sheetPr>
    <tabColor rgb="FFED7D31"/>
  </sheetPr>
  <dimension ref="C1:AC1000"/>
  <sheetViews>
    <sheetView topLeftCell="B1" workbookViewId="0">
      <selection activeCell="I12" sqref="I12"/>
    </sheetView>
  </sheetViews>
  <sheetFormatPr defaultRowHeight="14.4" x14ac:dyDescent="0.3"/>
  <cols>
    <col min="1" max="1" width="0" hidden="1" customWidth="1"/>
    <col min="2" max="2" width="2.33203125" customWidth="1"/>
    <col min="4" max="4" width="14" customWidth="1"/>
    <col min="5" max="5" width="9.88671875" style="60" customWidth="1"/>
    <col min="6" max="6" width="13.44140625" customWidth="1"/>
    <col min="7" max="7" width="14.109375" customWidth="1"/>
    <col min="8" max="8" width="10.44140625" style="60" bestFit="1" customWidth="1"/>
    <col min="9" max="9" width="55.44140625" bestFit="1" customWidth="1"/>
    <col min="10" max="10" width="7.6640625" customWidth="1"/>
    <col min="11" max="12" width="7.88671875" customWidth="1"/>
    <col min="13" max="13" width="3.88671875" customWidth="1"/>
    <col min="14" max="14" width="3.109375" customWidth="1"/>
    <col min="15" max="15" width="7.5546875" customWidth="1"/>
    <col min="16" max="16" width="7" customWidth="1"/>
    <col min="17" max="17" width="7.5546875" customWidth="1"/>
    <col min="19" max="19" width="5.5546875" customWidth="1"/>
    <col min="20" max="20" width="3" customWidth="1"/>
    <col min="22" max="22" width="7.6640625" customWidth="1"/>
    <col min="23" max="23" width="6.6640625" customWidth="1"/>
    <col min="24" max="24" width="7.109375" customWidth="1"/>
    <col min="25" max="25" width="7.33203125" customWidth="1"/>
    <col min="26" max="26" width="6.88671875" customWidth="1"/>
    <col min="27" max="27" width="4.88671875" customWidth="1"/>
    <col min="28" max="28" width="25.5546875" customWidth="1"/>
    <col min="29" max="29" width="6.6640625" customWidth="1"/>
  </cols>
  <sheetData>
    <row r="1" spans="3:29" ht="15" thickBot="1" x14ac:dyDescent="0.35"/>
    <row r="2" spans="3:29" ht="43.8" thickBot="1" x14ac:dyDescent="0.35">
      <c r="C2" s="1" t="s">
        <v>12</v>
      </c>
      <c r="D2" s="1" t="s">
        <v>0</v>
      </c>
      <c r="E2" s="89" t="s">
        <v>50</v>
      </c>
      <c r="F2" s="17" t="s">
        <v>51</v>
      </c>
      <c r="G2" s="17" t="s">
        <v>53</v>
      </c>
      <c r="H2" s="69" t="s">
        <v>40</v>
      </c>
      <c r="I2" s="9" t="s">
        <v>14</v>
      </c>
      <c r="J2" s="9" t="s">
        <v>298</v>
      </c>
      <c r="K2" s="9" t="s">
        <v>307</v>
      </c>
      <c r="L2" s="9" t="s">
        <v>308</v>
      </c>
    </row>
    <row r="3" spans="3:29" x14ac:dyDescent="0.3">
      <c r="C3" s="5">
        <f t="shared" ref="C3:C66" si="0">VLOOKUP(ROW(1:1),Разбивка_нумерация_5,2,FALSE)</f>
      </c>
      <c r="D3" s="5">
        <f t="shared" ref="D3:D66" si="1">VLOOKUP(ROW(1:1),Разбивка_нумерация_5,4,FALSE)</f>
      </c>
      <c r="E3" s="70"/>
      <c r="F3" s="5"/>
      <c r="G3" s="5"/>
      <c r="H3" s="70"/>
      <c r="I3" s="5">
        <f>IFERROR(VLOOKUP(D3,Исходные_данные,36,FALSE),"")</f>
      </c>
      <c r="J3" s="5">
        <f t="shared" ref="J3:J4" si="2">VLOOKUP(D3,Исходные_данные,46,FALSE)</f>
      </c>
      <c r="K3" s="5">
        <f t="shared" ref="K3:K4" si="3">VLOOKUP(D3,Исходные_данные,16,FALSE)</f>
      </c>
      <c r="L3" s="5">
        <f>H3*K3</f>
      </c>
      <c r="M3">
        <f t="shared" ref="M3:M28" si="4">IF(ISBLANK(E3),M2,E3)</f>
      </c>
      <c r="N3" s="18">
        <f t="shared" ref="N3:N66" si="5">C3&amp;G3</f>
      </c>
    </row>
    <row r="4" spans="3:29" x14ac:dyDescent="0.3">
      <c r="C4" s="5">
        <f t="shared" si="0"/>
      </c>
      <c r="D4" s="5">
        <f t="shared" si="1"/>
      </c>
      <c r="E4" s="70"/>
      <c r="F4" s="5"/>
      <c r="G4" s="5"/>
      <c r="H4" s="70"/>
      <c r="I4" s="5">
        <f t="shared" ref="I4:I66" si="6">IFERROR(VLOOKUP(D4,Исходные_данные,36,FALSE),"")</f>
      </c>
      <c r="J4" s="5">
        <f t="shared" si="2"/>
      </c>
      <c r="K4" s="5">
        <f t="shared" si="3"/>
      </c>
      <c r="L4" s="5">
        <f t="shared" ref="L4" si="7">H4*K4</f>
      </c>
      <c r="M4">
        <f t="shared" si="4"/>
      </c>
      <c r="N4" s="18">
        <f t="shared" si="5"/>
      </c>
      <c r="O4" s="225" t="s">
        <v>41</v>
      </c>
      <c r="P4" s="225"/>
      <c r="Q4" s="225"/>
      <c r="R4" s="220">
        <f>Диапазоны!B4</f>
      </c>
      <c r="S4" s="221"/>
      <c r="AB4" s="5" t="s">
        <v>311</v>
      </c>
    </row>
    <row r="5" spans="3:29" x14ac:dyDescent="0.3">
      <c r="C5" s="5">
        <f t="shared" si="0"/>
      </c>
      <c r="D5" s="5">
        <f t="shared" si="1"/>
      </c>
      <c r="E5" s="70"/>
      <c r="F5" s="5"/>
      <c r="G5" s="5"/>
      <c r="H5" s="70"/>
      <c r="I5" s="5">
        <f t="shared" si="6"/>
      </c>
      <c r="J5" s="5">
        <f t="shared" ref="J5:J67" si="8">VLOOKUP(D5,Исходные_данные,46,FALSE)</f>
      </c>
      <c r="K5" s="5">
        <f t="shared" ref="K5:K67" si="9">VLOOKUP(D5,Исходные_данные,16,FALSE)</f>
      </c>
      <c r="L5" s="5">
        <f t="shared" ref="L5:L68" si="10">H5*K5</f>
      </c>
      <c r="M5">
        <f t="shared" si="4"/>
      </c>
      <c r="N5" s="18">
        <f t="shared" si="5"/>
      </c>
      <c r="O5" s="226">
        <f>O7+P7+Q7</f>
      </c>
      <c r="P5" s="227"/>
      <c r="Q5" s="228"/>
      <c r="R5" s="10" t="s">
        <v>42</v>
      </c>
      <c r="S5" s="10" t="s">
        <v>43</v>
      </c>
      <c r="U5" s="5" t="s">
        <v>55</v>
      </c>
      <c r="V5" s="5">
        <f>O5</f>
      </c>
      <c r="W5" s="5" t="s">
        <v>43</v>
      </c>
      <c r="X5" s="5" t="s">
        <v>59</v>
      </c>
      <c r="Y5" s="5">
        <f>O7*V9</f>
      </c>
      <c r="Z5" s="5" t="s">
        <v>43</v>
      </c>
      <c r="AB5" s="5">
        <f>IF(((TAN(ACOS(V8))-0.35)*V6)&lt;50,"Не требуется 
СП256 П.7.3.2",(TAN(ACOS(V8))-0.35)*V6)</f>
      </c>
      <c r="AC5" s="5" t="s">
        <v>309</v>
      </c>
    </row>
    <row r="6" spans="3:29" x14ac:dyDescent="0.3">
      <c r="C6" s="5">
        <f t="shared" si="0"/>
      </c>
      <c r="D6" s="5">
        <f t="shared" si="1"/>
      </c>
      <c r="E6" s="70"/>
      <c r="F6" s="5"/>
      <c r="G6" s="5"/>
      <c r="H6" s="70"/>
      <c r="I6" s="5">
        <f t="shared" si="6"/>
      </c>
      <c r="J6" s="5">
        <f t="shared" si="8"/>
      </c>
      <c r="K6" s="5">
        <f t="shared" si="9"/>
      </c>
      <c r="L6" s="5">
        <f t="shared" si="10"/>
      </c>
      <c r="M6">
        <f t="shared" si="4"/>
      </c>
      <c r="N6" s="18">
        <f t="shared" si="5"/>
      </c>
      <c r="O6" s="11" t="s">
        <v>44</v>
      </c>
      <c r="P6" s="12" t="s">
        <v>45</v>
      </c>
      <c r="Q6" s="13" t="s">
        <v>46</v>
      </c>
      <c r="U6" s="5" t="s">
        <v>54</v>
      </c>
      <c r="V6" s="5">
        <f>V5*V9</f>
      </c>
      <c r="W6" s="5" t="s">
        <v>43</v>
      </c>
      <c r="X6" s="5" t="s">
        <v>60</v>
      </c>
      <c r="Y6" s="5">
        <f>P7*V9</f>
      </c>
      <c r="Z6" s="5" t="s">
        <v>43</v>
      </c>
    </row>
    <row r="7" spans="3:29" x14ac:dyDescent="0.3">
      <c r="C7" s="5">
        <f t="shared" si="0"/>
      </c>
      <c r="D7" s="5">
        <f t="shared" si="1"/>
      </c>
      <c r="E7" s="70"/>
      <c r="F7" s="128">
        <f t="shared" ref="F7:F66" si="11">VLOOKUP(ROW(5:5),Разбивка_нумерация_5,16,FALSE)</f>
      </c>
      <c r="G7" s="128">
        <f t="shared" ref="G7" si="12">IF(E7="упр","",IF(E7=0,F7,IF(E7="1,2,3","L1,L2,L3","L"&amp;E7)))</f>
      </c>
      <c r="H7" s="70">
        <f t="shared" ref="H7" si="13">VLOOKUP(D7,Исходные_данные,5,FALSE)</f>
      </c>
      <c r="I7" s="5">
        <f t="shared" si="6"/>
      </c>
      <c r="J7" s="5">
        <f t="shared" si="8"/>
      </c>
      <c r="K7" s="5">
        <f t="shared" si="9"/>
      </c>
      <c r="L7" s="5">
        <f t="shared" si="10"/>
      </c>
      <c r="M7">
        <f t="shared" si="4"/>
      </c>
      <c r="N7" s="18">
        <f t="shared" si="5"/>
      </c>
      <c r="O7" s="14">
        <f>SUMIF($N$3:$N$500,R4&amp;"L1,L2,L3",$H$3:$H$500)/3+SUMIF($N$3:$N$500,R4&amp;"L1",$H$3:$H$500)</f>
      </c>
      <c r="P7" s="14">
        <f>SUMIF($N$3:$N$500,R4&amp;"L1,L2,L3",$H$3:$H$500)/3+SUMIF($N$3:$N$500,R4&amp;"L2",$H$3:$H$500)</f>
      </c>
      <c r="Q7" s="14">
        <f>SUMIF($N$3:$N$500,R4&amp;"L1,L2,L3",$H$3:$H$500)/3+SUMIF($N$3:$N$500,R4&amp;"L3",$H$3:$H$500)</f>
      </c>
      <c r="R7" s="10" t="s">
        <v>47</v>
      </c>
      <c r="S7" s="10" t="s">
        <v>43</v>
      </c>
      <c r="U7" s="5" t="s">
        <v>56</v>
      </c>
      <c r="V7" s="5">
        <f>V6/1.73/0.38/V8</f>
      </c>
      <c r="W7" s="5" t="s">
        <v>62</v>
      </c>
      <c r="X7" s="5" t="s">
        <v>61</v>
      </c>
      <c r="Y7" s="5">
        <f>Q7*V9</f>
      </c>
      <c r="Z7" s="5" t="s">
        <v>43</v>
      </c>
    </row>
    <row r="8" spans="3:29" x14ac:dyDescent="0.3">
      <c r="C8" s="5">
        <f t="shared" si="0"/>
      </c>
      <c r="D8" s="5">
        <f t="shared" si="1"/>
      </c>
      <c r="E8" s="70"/>
      <c r="F8" s="127">
        <f t="shared" si="11"/>
      </c>
      <c r="G8" s="127">
        <f t="shared" ref="G8" si="14">IF(E8="упр","",IF(E8=0,F8,IF(E8="1,2,3","L1,L2,L3","L"&amp;E8)))</f>
      </c>
      <c r="H8" s="70">
        <f t="shared" ref="H8" si="15">VLOOKUP(D8,Исходные_данные,5,FALSE)</f>
      </c>
      <c r="I8" s="5">
        <f t="shared" si="6"/>
      </c>
      <c r="J8" s="5">
        <f t="shared" si="8"/>
      </c>
      <c r="K8" s="5">
        <f t="shared" si="9"/>
      </c>
      <c r="L8" s="5">
        <f t="shared" si="10"/>
      </c>
      <c r="M8">
        <f t="shared" si="4"/>
      </c>
      <c r="N8" s="18">
        <f t="shared" si="5"/>
      </c>
      <c r="O8" s="15">
        <f>(O7/(O5/100))/100</f>
      </c>
      <c r="P8" s="15">
        <f>(P7/(O5/100))/100</f>
      </c>
      <c r="Q8" s="15">
        <f>(Q7/(O5/100))/100</f>
      </c>
      <c r="R8" s="10" t="s">
        <v>47</v>
      </c>
      <c r="S8" s="10" t="s">
        <v>48</v>
      </c>
      <c r="U8" s="5" t="s">
        <v>57</v>
      </c>
      <c r="V8" s="222">
        <v>0.95</v>
      </c>
      <c r="W8" s="223"/>
      <c r="X8" s="223"/>
      <c r="Y8" s="223"/>
      <c r="Z8" s="224"/>
    </row>
    <row r="9" spans="3:29" x14ac:dyDescent="0.3">
      <c r="C9" s="5">
        <f t="shared" si="0"/>
      </c>
      <c r="D9" s="5">
        <f t="shared" si="1"/>
      </c>
      <c r="E9" s="70"/>
      <c r="F9" s="5">
        <f t="shared" si="11"/>
      </c>
      <c r="G9" s="5">
        <f t="shared" ref="G9:G28" si="16">IF(E9="упр","",IF(E9=0,F9,IF(E9="1,2,3","L1,L2,L3","L"&amp;E9)))</f>
      </c>
      <c r="H9" s="70">
        <f t="shared" ref="H9:H67" si="17">VLOOKUP(D9,Исходные_данные,5,FALSE)</f>
      </c>
      <c r="I9" s="5">
        <f t="shared" si="6"/>
      </c>
      <c r="J9" s="5">
        <f t="shared" si="8"/>
      </c>
      <c r="K9" s="5">
        <f t="shared" si="9"/>
      </c>
      <c r="L9" s="5">
        <f t="shared" si="10"/>
      </c>
      <c r="M9">
        <f t="shared" si="4"/>
      </c>
      <c r="N9" s="18">
        <f t="shared" si="5"/>
      </c>
      <c r="O9" s="229">
        <f>MAX(O8:Q8)-MIN(O8:Q8)</f>
      </c>
      <c r="P9" s="225"/>
      <c r="Q9" s="225"/>
      <c r="R9" s="16" t="s">
        <v>49</v>
      </c>
      <c r="S9" s="10" t="s">
        <v>48</v>
      </c>
      <c r="U9" s="5" t="s">
        <v>58</v>
      </c>
      <c r="V9" s="222">
        <v>0.5</v>
      </c>
      <c r="W9" s="223"/>
      <c r="X9" s="223"/>
      <c r="Y9" s="223"/>
      <c r="Z9" s="224"/>
    </row>
    <row r="10" spans="3:29" x14ac:dyDescent="0.3">
      <c r="C10" s="5">
        <f t="shared" si="0"/>
      </c>
      <c r="D10" s="5">
        <f t="shared" si="1"/>
      </c>
      <c r="E10" s="103"/>
      <c r="F10" s="5">
        <f t="shared" si="11"/>
      </c>
      <c r="G10" s="5">
        <f t="shared" si="16"/>
      </c>
      <c r="H10" s="70">
        <f t="shared" si="17"/>
      </c>
      <c r="I10" s="5">
        <f t="shared" si="6"/>
      </c>
      <c r="J10" s="5">
        <f t="shared" si="8"/>
      </c>
      <c r="K10" s="5">
        <f t="shared" si="9"/>
      </c>
      <c r="L10" s="5">
        <f t="shared" si="10"/>
      </c>
      <c r="M10">
        <f t="shared" si="4"/>
      </c>
      <c r="N10" s="18">
        <f t="shared" si="5"/>
      </c>
      <c r="O10" s="4">
        <f>SUMIF($N$3:$N$500,R4&amp;"L1,L2,L3",$J$3:$J$500)/3+SUMIF($N$3:$N$500,R4&amp;"L1",$J$3:$J$500)</f>
      </c>
      <c r="P10" s="4">
        <f>SUMIF($N$3:$N$500,R4&amp;"L1,L2,L3",$J$3:$J$500)/3+SUMIF($N$3:$N$500,R4&amp;"L2",$J$3:$J$500)</f>
      </c>
      <c r="Q10" s="4">
        <f>SUMIF($N$3:$N$500,R4&amp;"L1,L2,L3",$J$3:$J$500)/3+SUMIF($N$3:$N$500,R4&amp;"L3",$J$3:$J$500)</f>
      </c>
      <c r="R10" s="16" t="s">
        <v>302</v>
      </c>
      <c r="S10" s="10" t="s">
        <v>62</v>
      </c>
    </row>
    <row r="11" spans="3:29" x14ac:dyDescent="0.3">
      <c r="C11" s="5">
        <f t="shared" si="0"/>
      </c>
      <c r="D11" s="5">
        <f t="shared" si="1"/>
      </c>
      <c r="E11" s="103"/>
      <c r="F11" s="5">
        <f t="shared" si="11"/>
      </c>
      <c r="G11" s="5">
        <f t="shared" si="16"/>
      </c>
      <c r="H11" s="70">
        <f t="shared" si="17"/>
      </c>
      <c r="I11" s="5">
        <f t="shared" si="6"/>
      </c>
      <c r="J11" s="5">
        <f t="shared" si="8"/>
      </c>
      <c r="K11" s="5">
        <f t="shared" si="9"/>
      </c>
      <c r="L11" s="5">
        <f t="shared" si="10"/>
      </c>
      <c r="M11">
        <f t="shared" si="4"/>
      </c>
      <c r="N11" s="18">
        <f t="shared" si="5"/>
      </c>
      <c r="O11" s="230">
        <f>O10+P10+Q10</f>
      </c>
      <c r="P11" s="230"/>
      <c r="Q11" s="230"/>
      <c r="R11" s="16" t="s">
        <v>303</v>
      </c>
      <c r="S11" s="10" t="s">
        <v>62</v>
      </c>
    </row>
    <row r="12" spans="3:29" x14ac:dyDescent="0.3">
      <c r="C12" s="5">
        <f t="shared" si="0"/>
      </c>
      <c r="D12" s="5">
        <f t="shared" si="1"/>
      </c>
      <c r="E12" s="70"/>
      <c r="F12" s="5">
        <f t="shared" si="11"/>
      </c>
      <c r="G12" s="5">
        <f t="shared" si="16"/>
      </c>
      <c r="H12" s="70">
        <f t="shared" si="17"/>
      </c>
      <c r="I12" s="5">
        <f t="shared" si="6"/>
      </c>
      <c r="J12" s="5">
        <f t="shared" si="8"/>
      </c>
      <c r="K12" s="5">
        <f t="shared" si="9"/>
      </c>
      <c r="L12" s="5">
        <f t="shared" si="10"/>
      </c>
      <c r="M12">
        <f t="shared" si="4"/>
      </c>
      <c r="N12" s="18">
        <f t="shared" si="5"/>
      </c>
    </row>
    <row r="13" spans="3:29" x14ac:dyDescent="0.3">
      <c r="C13" s="5">
        <f t="shared" si="0"/>
      </c>
      <c r="D13" s="5">
        <f t="shared" si="1"/>
      </c>
      <c r="E13" s="70"/>
      <c r="F13" s="5">
        <f t="shared" si="11"/>
      </c>
      <c r="G13" s="5">
        <f t="shared" si="16"/>
      </c>
      <c r="H13" s="70">
        <f t="shared" si="17"/>
      </c>
      <c r="I13" s="5">
        <f t="shared" si="6"/>
      </c>
      <c r="J13" s="5">
        <f t="shared" si="8"/>
      </c>
      <c r="K13" s="5">
        <f t="shared" si="9"/>
      </c>
      <c r="L13" s="5">
        <f t="shared" si="10"/>
      </c>
      <c r="M13">
        <f t="shared" si="4"/>
      </c>
      <c r="N13" s="18">
        <f t="shared" si="5"/>
      </c>
      <c r="O13" s="225" t="s">
        <v>41</v>
      </c>
      <c r="P13" s="225"/>
      <c r="Q13" s="225"/>
      <c r="R13" s="220">
        <f>Диапазоны!B5</f>
      </c>
      <c r="S13" s="221"/>
      <c r="AB13" s="5" t="s">
        <v>311</v>
      </c>
    </row>
    <row r="14" spans="3:29" x14ac:dyDescent="0.3">
      <c r="C14" s="5">
        <f t="shared" si="0"/>
      </c>
      <c r="D14" s="5">
        <f t="shared" si="1"/>
      </c>
      <c r="E14" s="70"/>
      <c r="F14" s="5">
        <f t="shared" si="11"/>
      </c>
      <c r="G14" s="5">
        <f t="shared" si="16"/>
      </c>
      <c r="H14" s="70">
        <f t="shared" si="17"/>
      </c>
      <c r="I14" s="5">
        <f t="shared" si="6"/>
      </c>
      <c r="J14" s="5">
        <f t="shared" si="8"/>
      </c>
      <c r="K14" s="5">
        <f t="shared" si="9"/>
      </c>
      <c r="L14" s="5">
        <f t="shared" si="10"/>
      </c>
      <c r="M14">
        <f t="shared" si="4"/>
      </c>
      <c r="N14" s="18">
        <f t="shared" si="5"/>
      </c>
      <c r="O14" s="226">
        <f>O16+P16+Q16</f>
      </c>
      <c r="P14" s="227"/>
      <c r="Q14" s="228"/>
      <c r="R14" s="10" t="s">
        <v>42</v>
      </c>
      <c r="S14" s="10" t="s">
        <v>43</v>
      </c>
      <c r="U14" s="5" t="s">
        <v>55</v>
      </c>
      <c r="V14" s="5">
        <f>O14</f>
      </c>
      <c r="W14" s="5" t="s">
        <v>43</v>
      </c>
      <c r="X14" s="5" t="s">
        <v>59</v>
      </c>
      <c r="Y14" s="5">
        <f>O16*V18</f>
      </c>
      <c r="Z14" s="5" t="s">
        <v>43</v>
      </c>
      <c r="AB14" s="5">
        <f>IF(((TAN(ACOS(V17))-0.35)*V15)&lt;50,"Не требуется 
СП256 П.7.3.2",(TAN(ACOS(V17))-0.35)*V15)</f>
      </c>
      <c r="AC14" s="5" t="s">
        <v>309</v>
      </c>
    </row>
    <row r="15" spans="3:29" x14ac:dyDescent="0.3">
      <c r="C15" s="5">
        <f t="shared" si="0"/>
      </c>
      <c r="D15" s="5">
        <f t="shared" si="1"/>
      </c>
      <c r="E15" s="70"/>
      <c r="F15" s="5">
        <f t="shared" si="11"/>
      </c>
      <c r="G15" s="5">
        <f t="shared" si="16"/>
      </c>
      <c r="H15" s="70">
        <f t="shared" si="17"/>
      </c>
      <c r="I15" s="5">
        <f t="shared" si="6"/>
      </c>
      <c r="J15" s="5">
        <f t="shared" si="8"/>
      </c>
      <c r="K15" s="5">
        <f t="shared" si="9"/>
      </c>
      <c r="L15" s="5">
        <f t="shared" si="10"/>
      </c>
      <c r="M15">
        <f t="shared" si="4"/>
      </c>
      <c r="N15" s="18">
        <f t="shared" si="5"/>
      </c>
      <c r="O15" s="11" t="s">
        <v>44</v>
      </c>
      <c r="P15" s="12" t="s">
        <v>45</v>
      </c>
      <c r="Q15" s="13" t="s">
        <v>46</v>
      </c>
      <c r="U15" s="5" t="s">
        <v>54</v>
      </c>
      <c r="V15" s="5">
        <f>V14*V18</f>
      </c>
      <c r="W15" s="5" t="s">
        <v>43</v>
      </c>
      <c r="X15" s="5" t="s">
        <v>60</v>
      </c>
      <c r="Y15" s="5">
        <f>P16*V18</f>
      </c>
      <c r="Z15" s="5" t="s">
        <v>43</v>
      </c>
    </row>
    <row r="16" spans="3:29" x14ac:dyDescent="0.3">
      <c r="C16" s="5">
        <f t="shared" si="0"/>
      </c>
      <c r="D16" s="5">
        <f t="shared" si="1"/>
      </c>
      <c r="E16" s="70"/>
      <c r="F16" s="5">
        <f t="shared" si="11"/>
      </c>
      <c r="G16" s="5">
        <f t="shared" si="16"/>
      </c>
      <c r="H16" s="70">
        <f t="shared" si="17"/>
      </c>
      <c r="I16" s="5">
        <f t="shared" si="6"/>
      </c>
      <c r="J16" s="5">
        <f t="shared" si="8"/>
      </c>
      <c r="K16" s="5">
        <f t="shared" si="9"/>
      </c>
      <c r="L16" s="5">
        <f t="shared" si="10"/>
      </c>
      <c r="M16">
        <f t="shared" si="4"/>
      </c>
      <c r="N16" s="18">
        <f t="shared" si="5"/>
      </c>
      <c r="O16" s="14">
        <f>SUMIF($N$3:$N$500,R13&amp;"L1,L2,L3",$H$3:$H$500)/3+SUMIF($N$3:$N$500,R13&amp;"L1",$H$3:$H$500)</f>
      </c>
      <c r="P16" s="14">
        <f>SUMIF($N$3:$N$500,R13&amp;"L1,L2,L3",$H$3:$H$500)/3+SUMIF($N$3:$N$500,R13&amp;"L2",$H$3:$H$500)</f>
      </c>
      <c r="Q16" s="14">
        <f>SUMIF($N$3:$N$500,R13&amp;"L1,L2,L3",$H$3:$H$500)/3+SUMIF($N$3:$N$500,R13&amp;"L3",$H$3:$H$500)</f>
      </c>
      <c r="R16" s="10" t="s">
        <v>47</v>
      </c>
      <c r="S16" s="10" t="s">
        <v>43</v>
      </c>
      <c r="U16" s="5" t="s">
        <v>56</v>
      </c>
      <c r="V16" s="5">
        <f>V15/0.38/1.732/V17*V18</f>
      </c>
      <c r="W16" s="5" t="s">
        <v>62</v>
      </c>
      <c r="X16" s="5" t="s">
        <v>61</v>
      </c>
      <c r="Y16" s="5">
        <f>Q16*V18</f>
      </c>
      <c r="Z16" s="5" t="s">
        <v>43</v>
      </c>
    </row>
    <row r="17" spans="3:29" x14ac:dyDescent="0.3">
      <c r="C17" s="5">
        <f t="shared" si="0"/>
      </c>
      <c r="D17" s="5">
        <f t="shared" si="1"/>
      </c>
      <c r="E17" s="70"/>
      <c r="F17" s="5">
        <f t="shared" si="11"/>
      </c>
      <c r="G17" s="5">
        <f t="shared" si="16"/>
      </c>
      <c r="H17" s="70">
        <f t="shared" si="17"/>
      </c>
      <c r="I17" s="5">
        <f t="shared" si="6"/>
      </c>
      <c r="J17" s="5">
        <f t="shared" si="8"/>
      </c>
      <c r="K17" s="5">
        <f t="shared" si="9"/>
      </c>
      <c r="L17" s="5">
        <f t="shared" si="10"/>
      </c>
      <c r="M17">
        <f t="shared" si="4"/>
      </c>
      <c r="N17" s="18">
        <f t="shared" si="5"/>
      </c>
      <c r="O17" s="15">
        <f>(O16/(O14/100))/100</f>
      </c>
      <c r="P17" s="15">
        <f>(P16/(O14/100))/100</f>
      </c>
      <c r="Q17" s="15">
        <f>(Q16/(O14/100))/100</f>
      </c>
      <c r="R17" s="10" t="s">
        <v>47</v>
      </c>
      <c r="S17" s="10" t="s">
        <v>48</v>
      </c>
      <c r="U17" s="5" t="s">
        <v>57</v>
      </c>
      <c r="V17" s="222">
        <f>SUMIF($C$3:$C$500,R13,$L$3:$L$500)/V14</f>
      </c>
      <c r="W17" s="223"/>
      <c r="X17" s="223"/>
      <c r="Y17" s="223"/>
      <c r="Z17" s="224"/>
    </row>
    <row r="18" spans="3:29" x14ac:dyDescent="0.3">
      <c r="C18" s="5">
        <f t="shared" si="0"/>
      </c>
      <c r="D18" s="5">
        <f t="shared" si="1"/>
      </c>
      <c r="E18" s="70"/>
      <c r="F18" s="5">
        <f t="shared" si="11"/>
      </c>
      <c r="G18" s="5">
        <f t="shared" si="16"/>
      </c>
      <c r="H18" s="70">
        <f t="shared" si="17"/>
      </c>
      <c r="I18" s="5">
        <f t="shared" si="6"/>
      </c>
      <c r="J18" s="5">
        <f t="shared" si="8"/>
      </c>
      <c r="K18" s="5">
        <f t="shared" si="9"/>
      </c>
      <c r="L18" s="5">
        <f t="shared" si="10"/>
      </c>
      <c r="M18">
        <f t="shared" si="4"/>
      </c>
      <c r="N18" s="18">
        <f t="shared" si="5"/>
      </c>
      <c r="O18" s="229">
        <f>MAX(O17:Q17)-MIN(O17:Q17)</f>
      </c>
      <c r="P18" s="225"/>
      <c r="Q18" s="225"/>
      <c r="R18" s="16" t="s">
        <v>49</v>
      </c>
      <c r="S18" s="10" t="s">
        <v>48</v>
      </c>
      <c r="U18" s="5" t="s">
        <v>58</v>
      </c>
      <c r="V18" s="222">
        <v>0.5</v>
      </c>
      <c r="W18" s="223"/>
      <c r="X18" s="223"/>
      <c r="Y18" s="223"/>
      <c r="Z18" s="224"/>
    </row>
    <row r="19" spans="3:29" x14ac:dyDescent="0.3">
      <c r="C19" s="5">
        <f t="shared" si="0"/>
      </c>
      <c r="D19" s="5">
        <f t="shared" si="1"/>
      </c>
      <c r="E19" s="70"/>
      <c r="F19" s="5">
        <f t="shared" si="11"/>
      </c>
      <c r="G19" s="5">
        <f t="shared" si="16"/>
      </c>
      <c r="H19" s="70">
        <f t="shared" si="17"/>
      </c>
      <c r="I19" s="5">
        <f t="shared" si="6"/>
      </c>
      <c r="J19" s="5">
        <f t="shared" si="8"/>
      </c>
      <c r="K19" s="5">
        <f t="shared" si="9"/>
      </c>
      <c r="L19" s="5">
        <f t="shared" si="10"/>
      </c>
      <c r="M19">
        <f t="shared" si="4"/>
      </c>
      <c r="N19" s="18">
        <f t="shared" si="5"/>
      </c>
      <c r="O19" s="4">
        <f>SUMIF($N$3:$N$500,R13&amp;"L1,L2,L3",$J$3:$J$500)/3+SUMIF($N$3:$N$500,R13&amp;"L1",$J$3:$J$500)</f>
      </c>
      <c r="P19" s="4">
        <f>SUMIF($N$3:$N$500,R13&amp;"L1,L2,L3",$J$3:$J$500)/3+SUMIF($N$3:$N$500,R13&amp;"L2",$J$3:$J$500)</f>
      </c>
      <c r="Q19" s="4">
        <f>SUMIF($N$3:$N$500,R13&amp;"L1,L2,L3",$J$3:$J$500)/3+SUMIF($N$3:$N$500,R13&amp;"L3",$J$3:$J$500)</f>
      </c>
      <c r="R19" s="16" t="s">
        <v>298</v>
      </c>
      <c r="S19" s="10" t="s">
        <v>62</v>
      </c>
    </row>
    <row r="20" spans="3:29" x14ac:dyDescent="0.3">
      <c r="C20" s="5">
        <f t="shared" si="0"/>
      </c>
      <c r="D20" s="5">
        <f t="shared" si="1"/>
      </c>
      <c r="E20" s="70"/>
      <c r="F20" s="5">
        <f t="shared" si="11"/>
      </c>
      <c r="G20" s="5">
        <f t="shared" si="16"/>
      </c>
      <c r="H20" s="70">
        <f t="shared" si="17"/>
      </c>
      <c r="I20" s="5">
        <f t="shared" si="6"/>
      </c>
      <c r="J20" s="5">
        <f t="shared" si="8"/>
      </c>
      <c r="K20" s="5">
        <f t="shared" si="9"/>
      </c>
      <c r="L20" s="5">
        <f t="shared" si="10"/>
      </c>
      <c r="M20">
        <f t="shared" si="4"/>
      </c>
      <c r="N20" s="18">
        <f t="shared" si="5"/>
      </c>
      <c r="O20" s="230">
        <f>O19+P19+Q19</f>
      </c>
      <c r="P20" s="230"/>
      <c r="Q20" s="230"/>
      <c r="R20" s="16" t="s">
        <v>303</v>
      </c>
      <c r="S20" s="10" t="s">
        <v>62</v>
      </c>
    </row>
    <row r="21" spans="3:29" x14ac:dyDescent="0.3">
      <c r="C21" s="5">
        <f t="shared" si="0"/>
      </c>
      <c r="D21" s="5">
        <f t="shared" si="1"/>
      </c>
      <c r="E21" s="70"/>
      <c r="F21" s="5">
        <f t="shared" si="11"/>
      </c>
      <c r="G21" s="5">
        <f t="shared" si="16"/>
      </c>
      <c r="H21" s="70">
        <f t="shared" si="17"/>
      </c>
      <c r="I21" s="5">
        <f t="shared" si="6"/>
      </c>
      <c r="J21" s="5">
        <f t="shared" si="8"/>
      </c>
      <c r="K21" s="5">
        <f t="shared" si="9"/>
      </c>
      <c r="L21" s="5">
        <f t="shared" si="10"/>
      </c>
      <c r="M21">
        <f t="shared" si="4"/>
      </c>
      <c r="N21" s="18">
        <f t="shared" si="5"/>
      </c>
    </row>
    <row r="22" spans="3:29" x14ac:dyDescent="0.3">
      <c r="C22" s="5">
        <f t="shared" si="0"/>
      </c>
      <c r="D22" s="5">
        <f t="shared" si="1"/>
      </c>
      <c r="E22" s="103"/>
      <c r="F22" s="5">
        <f t="shared" si="11"/>
      </c>
      <c r="G22" s="5">
        <f t="shared" si="16"/>
      </c>
      <c r="H22" s="70">
        <f t="shared" si="17"/>
      </c>
      <c r="I22" s="5">
        <f t="shared" si="6"/>
      </c>
      <c r="J22" s="5">
        <f t="shared" si="8"/>
      </c>
      <c r="K22" s="5">
        <f t="shared" si="9"/>
      </c>
      <c r="L22" s="5">
        <f t="shared" si="10"/>
      </c>
      <c r="M22">
        <f t="shared" si="4"/>
      </c>
      <c r="N22" s="18">
        <f t="shared" si="5"/>
      </c>
      <c r="O22" s="225" t="s">
        <v>41</v>
      </c>
      <c r="P22" s="225"/>
      <c r="Q22" s="225"/>
      <c r="R22" s="220">
        <f>Диапазоны!B6</f>
      </c>
      <c r="S22" s="221"/>
      <c r="AB22" s="5" t="s">
        <v>311</v>
      </c>
    </row>
    <row r="23" spans="3:29" x14ac:dyDescent="0.3">
      <c r="C23" s="5">
        <f t="shared" si="0"/>
      </c>
      <c r="D23" s="5">
        <f t="shared" si="1"/>
      </c>
      <c r="E23" s="103"/>
      <c r="F23" s="5">
        <f t="shared" si="11"/>
      </c>
      <c r="G23" s="5">
        <f t="shared" si="16"/>
      </c>
      <c r="H23" s="70">
        <f t="shared" si="17"/>
      </c>
      <c r="I23" s="5">
        <f t="shared" si="6"/>
      </c>
      <c r="J23" s="5">
        <f t="shared" si="8"/>
      </c>
      <c r="K23" s="5">
        <f t="shared" si="9"/>
      </c>
      <c r="L23" s="5">
        <f t="shared" si="10"/>
      </c>
      <c r="M23">
        <f t="shared" si="4"/>
      </c>
      <c r="N23" s="18">
        <f t="shared" si="5"/>
      </c>
      <c r="O23" s="226">
        <f>O25+P25+Q25</f>
      </c>
      <c r="P23" s="227"/>
      <c r="Q23" s="228"/>
      <c r="R23" s="10" t="s">
        <v>42</v>
      </c>
      <c r="S23" s="10" t="s">
        <v>43</v>
      </c>
      <c r="U23" s="5" t="s">
        <v>55</v>
      </c>
      <c r="V23" s="5">
        <f>O23</f>
      </c>
      <c r="W23" s="5" t="s">
        <v>43</v>
      </c>
      <c r="X23" s="5" t="s">
        <v>59</v>
      </c>
      <c r="Y23" s="5">
        <f>O25*V27</f>
      </c>
      <c r="Z23" s="5" t="s">
        <v>43</v>
      </c>
      <c r="AB23" s="5">
        <f>IF(((TAN(ACOS(V26))-0.35)*V24)&lt;50,"Не требуется 
СП256 П.7.3.2",(TAN(ACOS(V26))-0.35)*V24)</f>
      </c>
      <c r="AC23" s="5" t="s">
        <v>309</v>
      </c>
    </row>
    <row r="24" spans="3:29" x14ac:dyDescent="0.3">
      <c r="C24" s="5">
        <f t="shared" si="0"/>
      </c>
      <c r="D24" s="5">
        <f t="shared" si="1"/>
      </c>
      <c r="E24" s="103"/>
      <c r="F24" s="5">
        <f t="shared" si="11"/>
      </c>
      <c r="G24" s="5">
        <f t="shared" si="16"/>
      </c>
      <c r="H24" s="70">
        <f t="shared" si="17"/>
      </c>
      <c r="I24" s="5">
        <f t="shared" si="6"/>
      </c>
      <c r="J24" s="5">
        <f t="shared" si="8"/>
      </c>
      <c r="K24" s="5">
        <f t="shared" si="9"/>
      </c>
      <c r="L24" s="5">
        <f t="shared" si="10"/>
      </c>
      <c r="M24">
        <f t="shared" si="4"/>
      </c>
      <c r="N24" s="18">
        <f t="shared" si="5"/>
      </c>
      <c r="O24" s="11" t="s">
        <v>44</v>
      </c>
      <c r="P24" s="12" t="s">
        <v>45</v>
      </c>
      <c r="Q24" s="13" t="s">
        <v>46</v>
      </c>
      <c r="U24" s="5" t="s">
        <v>54</v>
      </c>
      <c r="V24" s="5">
        <f>V23*V27</f>
      </c>
      <c r="W24" s="5" t="s">
        <v>43</v>
      </c>
      <c r="X24" s="5" t="s">
        <v>60</v>
      </c>
      <c r="Y24" s="5">
        <f>P25*V27</f>
      </c>
      <c r="Z24" s="5" t="s">
        <v>43</v>
      </c>
    </row>
    <row r="25" spans="3:29" x14ac:dyDescent="0.3">
      <c r="C25" s="5">
        <f t="shared" si="0"/>
      </c>
      <c r="D25" s="5">
        <f t="shared" si="1"/>
      </c>
      <c r="E25" s="103"/>
      <c r="F25" s="5">
        <f t="shared" si="11"/>
      </c>
      <c r="G25" s="5">
        <f t="shared" si="16"/>
      </c>
      <c r="H25" s="70">
        <f t="shared" si="17"/>
      </c>
      <c r="I25" s="5">
        <f t="shared" si="6"/>
      </c>
      <c r="J25" s="5">
        <f t="shared" si="8"/>
      </c>
      <c r="K25" s="5">
        <f t="shared" si="9"/>
      </c>
      <c r="L25" s="5">
        <f t="shared" si="10"/>
      </c>
      <c r="M25">
        <f t="shared" si="4"/>
      </c>
      <c r="N25" s="18">
        <f t="shared" si="5"/>
      </c>
      <c r="O25" s="14">
        <f>SUMIF($N$3:$N$500,R22&amp;"L1,L2,L3",$H$3:$H$500)/3+SUMIF($N$3:$N$500,R22&amp;"L1",$H$3:$H$500)</f>
      </c>
      <c r="P25" s="14">
        <f>SUMIF($N$3:$N$500,R22&amp;"L1,L2,L3",$H$3:$H$500)/3+SUMIF($N$3:$N$500,R22&amp;"L2",$H$3:$H$500)</f>
      </c>
      <c r="Q25" s="14">
        <f>SUMIF($N$3:$N$500,R22&amp;"L1,L2,L3",$H$3:$H$500)/3+SUMIF($N$3:$N$500,R22&amp;"L3",$H$3:$H$500)</f>
      </c>
      <c r="R25" s="10" t="s">
        <v>47</v>
      </c>
      <c r="S25" s="10" t="s">
        <v>43</v>
      </c>
      <c r="U25" s="5" t="s">
        <v>56</v>
      </c>
      <c r="V25" s="5">
        <f>V24/0.38/1.732/V26*V27</f>
      </c>
      <c r="W25" s="5" t="s">
        <v>62</v>
      </c>
      <c r="X25" s="5" t="s">
        <v>61</v>
      </c>
      <c r="Y25" s="5">
        <f>Q25*V27</f>
      </c>
      <c r="Z25" s="5" t="s">
        <v>43</v>
      </c>
    </row>
    <row r="26" spans="3:29" x14ac:dyDescent="0.3">
      <c r="C26" s="5">
        <f t="shared" si="0"/>
      </c>
      <c r="D26" s="5">
        <f t="shared" si="1"/>
      </c>
      <c r="E26" s="105"/>
      <c r="F26" s="5">
        <f t="shared" si="11"/>
      </c>
      <c r="G26" s="5">
        <f t="shared" si="16"/>
      </c>
      <c r="H26" s="70">
        <f t="shared" si="17"/>
      </c>
      <c r="I26" s="5">
        <f t="shared" si="6"/>
      </c>
      <c r="J26" s="5">
        <f t="shared" si="8"/>
      </c>
      <c r="K26" s="5">
        <f t="shared" si="9"/>
      </c>
      <c r="L26" s="5">
        <f t="shared" si="10"/>
      </c>
      <c r="M26">
        <f t="shared" si="4"/>
      </c>
      <c r="N26" s="18">
        <f t="shared" si="5"/>
      </c>
      <c r="O26" s="15">
        <f>(O25/(O23/100))/100</f>
      </c>
      <c r="P26" s="15">
        <f>(P25/(O23/100))/100</f>
      </c>
      <c r="Q26" s="15">
        <f>(Q25/(O23/100))/100</f>
      </c>
      <c r="R26" s="10" t="s">
        <v>47</v>
      </c>
      <c r="S26" s="10" t="s">
        <v>48</v>
      </c>
      <c r="U26" s="5" t="s">
        <v>57</v>
      </c>
      <c r="V26" s="222">
        <f>SUMIF($C$3:$C$500,R22,$L$3:$L$500)/V23</f>
      </c>
      <c r="W26" s="223"/>
      <c r="X26" s="223"/>
      <c r="Y26" s="223"/>
      <c r="Z26" s="224"/>
    </row>
    <row r="27" spans="3:29" x14ac:dyDescent="0.3">
      <c r="C27" s="5">
        <f t="shared" si="0"/>
      </c>
      <c r="D27" s="5">
        <f t="shared" si="1"/>
      </c>
      <c r="E27" s="104"/>
      <c r="F27" s="5">
        <f t="shared" si="11"/>
      </c>
      <c r="G27" s="5">
        <f t="shared" si="16"/>
      </c>
      <c r="H27" s="70">
        <f t="shared" si="17"/>
      </c>
      <c r="I27" s="5">
        <f t="shared" si="6"/>
      </c>
      <c r="J27" s="5">
        <f t="shared" si="8"/>
      </c>
      <c r="K27" s="5">
        <f t="shared" si="9"/>
      </c>
      <c r="L27" s="5">
        <f t="shared" si="10"/>
      </c>
      <c r="M27">
        <f t="shared" si="4"/>
      </c>
      <c r="N27" s="18">
        <f t="shared" si="5"/>
      </c>
      <c r="O27" s="229">
        <f>MAX(O26:Q26)-MIN(O26:Q26)</f>
      </c>
      <c r="P27" s="225"/>
      <c r="Q27" s="225"/>
      <c r="R27" s="16" t="s">
        <v>49</v>
      </c>
      <c r="S27" s="10" t="s">
        <v>48</v>
      </c>
      <c r="U27" s="5" t="s">
        <v>58</v>
      </c>
      <c r="V27" s="222">
        <v>0.5</v>
      </c>
      <c r="W27" s="223"/>
      <c r="X27" s="223"/>
      <c r="Y27" s="223"/>
      <c r="Z27" s="224"/>
    </row>
    <row r="28" spans="3:29" x14ac:dyDescent="0.3">
      <c r="C28" s="5">
        <f t="shared" si="0"/>
      </c>
      <c r="D28" s="5">
        <f t="shared" si="1"/>
      </c>
      <c r="E28" s="104"/>
      <c r="F28" s="5">
        <f t="shared" si="11"/>
      </c>
      <c r="G28" s="5">
        <f t="shared" si="16"/>
      </c>
      <c r="H28" s="70">
        <f t="shared" si="17"/>
      </c>
      <c r="I28" s="5">
        <f t="shared" si="6"/>
      </c>
      <c r="J28" s="5">
        <f t="shared" si="8"/>
      </c>
      <c r="K28" s="5">
        <f t="shared" si="9"/>
      </c>
      <c r="L28" s="5">
        <f t="shared" si="10"/>
      </c>
      <c r="M28">
        <f t="shared" si="4"/>
      </c>
      <c r="N28" s="18">
        <f t="shared" si="5"/>
      </c>
      <c r="O28" s="4">
        <f>SUMIF($N$3:$N$500,R22&amp;"L1,L2,L3",$J$3:$J$500)/3+SUMIF($N$3:$N$500,R22&amp;"L1",$J$3:$J$500)</f>
      </c>
      <c r="P28" s="4">
        <f>SUMIF($N$3:$N$500,R22&amp;"L1,L2,L3",$J$3:$J$500)/3+SUMIF($N$3:$N$500,R22&amp;"L2",$J$3:$J$500)</f>
      </c>
      <c r="Q28" s="4">
        <f>SUMIF($N$3:$N$500,R22&amp;"L1,L2,L3",$J$3:$J$500)/3+SUMIF($N$3:$N$500,R22&amp;"L3",$J$3:$J$500)</f>
      </c>
      <c r="R28" s="16" t="s">
        <v>298</v>
      </c>
      <c r="S28" s="10" t="s">
        <v>62</v>
      </c>
    </row>
    <row r="29" spans="3:29" x14ac:dyDescent="0.3">
      <c r="C29" s="5">
        <f t="shared" si="0"/>
      </c>
      <c r="D29" s="5">
        <f t="shared" si="1"/>
      </c>
      <c r="F29" s="5">
        <f t="shared" si="11"/>
      </c>
      <c r="G29" s="5">
        <f t="shared" ref="G29:G60" si="18">IF(E30="упр","",IF(E30=0,F29,IF(E30="1,2,3","L1,L2,L3","L"&amp;E30)))</f>
      </c>
      <c r="H29" s="70">
        <f t="shared" si="17"/>
      </c>
      <c r="I29" s="5">
        <f t="shared" si="6"/>
      </c>
      <c r="J29" s="5">
        <f t="shared" si="8"/>
      </c>
      <c r="K29" s="5">
        <f t="shared" si="9"/>
      </c>
      <c r="L29" s="5">
        <f t="shared" si="10"/>
      </c>
      <c r="M29">
        <f t="shared" ref="M29:M60" si="19">IF(ISBLANK(E30),M28,E30)</f>
      </c>
      <c r="N29" s="18">
        <f t="shared" si="5"/>
      </c>
      <c r="O29" s="230">
        <f>O28+P28+Q28</f>
      </c>
      <c r="P29" s="230"/>
      <c r="Q29" s="230"/>
      <c r="R29" s="16" t="s">
        <v>303</v>
      </c>
      <c r="S29" s="10" t="s">
        <v>62</v>
      </c>
    </row>
    <row r="30" spans="3:29" x14ac:dyDescent="0.3">
      <c r="C30" s="5">
        <f t="shared" si="0"/>
      </c>
      <c r="D30" s="5">
        <f t="shared" si="1"/>
      </c>
      <c r="E30" s="70"/>
      <c r="F30" s="5">
        <f t="shared" si="11"/>
      </c>
      <c r="G30" s="5">
        <f t="shared" si="18"/>
      </c>
      <c r="H30" s="70">
        <f t="shared" si="17"/>
      </c>
      <c r="I30" s="5">
        <f t="shared" si="6"/>
      </c>
      <c r="J30" s="5">
        <f t="shared" si="8"/>
      </c>
      <c r="K30" s="5">
        <f t="shared" si="9"/>
      </c>
      <c r="L30" s="5">
        <f t="shared" si="10"/>
      </c>
      <c r="M30">
        <f t="shared" si="19"/>
      </c>
      <c r="N30" s="18">
        <f t="shared" si="5"/>
      </c>
    </row>
    <row r="31" spans="3:29" x14ac:dyDescent="0.3">
      <c r="C31" s="5">
        <f t="shared" si="0"/>
      </c>
      <c r="D31" s="5">
        <f t="shared" si="1"/>
      </c>
      <c r="E31" s="70"/>
      <c r="F31" s="5">
        <f t="shared" si="11"/>
      </c>
      <c r="G31" s="5">
        <f t="shared" si="18"/>
      </c>
      <c r="H31" s="70">
        <f t="shared" si="17"/>
      </c>
      <c r="I31" s="5">
        <f t="shared" si="6"/>
      </c>
      <c r="J31" s="5">
        <f t="shared" si="8"/>
      </c>
      <c r="K31" s="5">
        <f t="shared" si="9"/>
      </c>
      <c r="L31" s="5">
        <f t="shared" si="10"/>
      </c>
      <c r="M31">
        <f t="shared" si="19"/>
      </c>
      <c r="N31" s="18">
        <f t="shared" si="5"/>
      </c>
    </row>
    <row r="32" spans="3:29" x14ac:dyDescent="0.3">
      <c r="C32" s="5">
        <f t="shared" si="0"/>
      </c>
      <c r="D32" s="5">
        <f t="shared" si="1"/>
      </c>
      <c r="E32" s="70"/>
      <c r="F32" s="5">
        <f t="shared" si="11"/>
      </c>
      <c r="G32" s="5">
        <f t="shared" si="18"/>
      </c>
      <c r="H32" s="70">
        <f t="shared" si="17"/>
      </c>
      <c r="I32" s="5">
        <f t="shared" si="6"/>
      </c>
      <c r="J32" s="5">
        <f t="shared" si="8"/>
      </c>
      <c r="K32" s="5">
        <f t="shared" si="9"/>
      </c>
      <c r="L32" s="5">
        <f t="shared" si="10"/>
      </c>
      <c r="M32">
        <f t="shared" si="19"/>
      </c>
      <c r="N32" s="18">
        <f t="shared" si="5"/>
      </c>
    </row>
    <row r="33" spans="3:14" x14ac:dyDescent="0.3">
      <c r="C33" s="5">
        <f t="shared" si="0"/>
      </c>
      <c r="D33" s="5">
        <f t="shared" si="1"/>
      </c>
      <c r="E33" s="70"/>
      <c r="F33" s="5">
        <f t="shared" si="11"/>
      </c>
      <c r="G33" s="5">
        <f t="shared" si="18"/>
      </c>
      <c r="H33" s="70">
        <f t="shared" si="17"/>
      </c>
      <c r="I33" s="5">
        <f t="shared" si="6"/>
      </c>
      <c r="J33" s="5">
        <f t="shared" si="8"/>
      </c>
      <c r="K33" s="5">
        <f t="shared" si="9"/>
      </c>
      <c r="L33" s="5">
        <f t="shared" si="10"/>
      </c>
      <c r="M33">
        <f t="shared" si="19"/>
      </c>
      <c r="N33" s="18">
        <f t="shared" si="5"/>
      </c>
    </row>
    <row r="34" spans="3:14" x14ac:dyDescent="0.3">
      <c r="C34" s="5">
        <f t="shared" si="0"/>
      </c>
      <c r="D34" s="5">
        <f t="shared" si="1"/>
      </c>
      <c r="E34" s="70"/>
      <c r="F34" s="5">
        <f t="shared" si="11"/>
      </c>
      <c r="G34" s="5">
        <f t="shared" si="18"/>
      </c>
      <c r="H34" s="70">
        <f t="shared" si="17"/>
      </c>
      <c r="I34" s="5">
        <f t="shared" si="6"/>
      </c>
      <c r="J34" s="5">
        <f t="shared" si="8"/>
      </c>
      <c r="K34" s="5">
        <f t="shared" si="9"/>
      </c>
      <c r="L34" s="5">
        <f t="shared" si="10"/>
      </c>
      <c r="M34">
        <f t="shared" si="19"/>
      </c>
      <c r="N34" s="18">
        <f t="shared" si="5"/>
      </c>
    </row>
    <row r="35" spans="3:14" x14ac:dyDescent="0.3">
      <c r="C35" s="5">
        <f t="shared" si="0"/>
      </c>
      <c r="D35" s="5">
        <f t="shared" si="1"/>
      </c>
      <c r="E35" s="103"/>
      <c r="F35" s="5">
        <f t="shared" si="11"/>
      </c>
      <c r="G35" s="5">
        <f t="shared" si="18"/>
      </c>
      <c r="H35" s="70">
        <f t="shared" si="17"/>
      </c>
      <c r="I35" s="5">
        <f t="shared" si="6"/>
      </c>
      <c r="J35" s="5">
        <f t="shared" si="8"/>
      </c>
      <c r="K35" s="5">
        <f t="shared" si="9"/>
      </c>
      <c r="L35" s="5">
        <f t="shared" si="10"/>
      </c>
      <c r="M35">
        <f t="shared" si="19"/>
      </c>
      <c r="N35" s="18">
        <f t="shared" si="5"/>
      </c>
    </row>
    <row r="36" spans="3:14" x14ac:dyDescent="0.3">
      <c r="C36" s="5">
        <f t="shared" si="0"/>
      </c>
      <c r="D36" s="5">
        <f t="shared" si="1"/>
      </c>
      <c r="E36" s="103"/>
      <c r="F36" s="5">
        <f t="shared" si="11"/>
      </c>
      <c r="G36" s="5">
        <f t="shared" si="18"/>
      </c>
      <c r="H36" s="70">
        <f t="shared" si="17"/>
      </c>
      <c r="I36" s="5">
        <f t="shared" si="6"/>
      </c>
      <c r="J36" s="5">
        <f t="shared" si="8"/>
      </c>
      <c r="K36" s="5">
        <f t="shared" si="9"/>
      </c>
      <c r="L36" s="5">
        <f t="shared" si="10"/>
      </c>
      <c r="M36">
        <f t="shared" si="19"/>
      </c>
      <c r="N36" s="18">
        <f t="shared" si="5"/>
      </c>
    </row>
    <row r="37" spans="3:14" x14ac:dyDescent="0.3">
      <c r="C37" s="5">
        <f t="shared" si="0"/>
      </c>
      <c r="D37" s="5">
        <f t="shared" si="1"/>
      </c>
      <c r="E37" s="103"/>
      <c r="F37" s="5">
        <f t="shared" si="11"/>
      </c>
      <c r="G37" s="5">
        <f t="shared" si="18"/>
      </c>
      <c r="H37" s="70">
        <f t="shared" si="17"/>
      </c>
      <c r="I37" s="5">
        <f t="shared" si="6"/>
      </c>
      <c r="J37" s="5">
        <f t="shared" si="8"/>
      </c>
      <c r="K37" s="5">
        <f t="shared" si="9"/>
      </c>
      <c r="L37" s="5">
        <f t="shared" si="10"/>
      </c>
      <c r="M37">
        <f t="shared" si="19"/>
      </c>
      <c r="N37" s="18">
        <f t="shared" si="5"/>
      </c>
    </row>
    <row r="38" spans="3:14" x14ac:dyDescent="0.3">
      <c r="C38" s="5">
        <f t="shared" si="0"/>
      </c>
      <c r="D38" s="5">
        <f t="shared" si="1"/>
      </c>
      <c r="E38" s="106"/>
      <c r="F38" s="5">
        <f t="shared" si="11"/>
      </c>
      <c r="G38" s="5">
        <f t="shared" si="18"/>
      </c>
      <c r="H38" s="70">
        <f t="shared" si="17"/>
      </c>
      <c r="I38" s="5">
        <f t="shared" si="6"/>
      </c>
      <c r="J38" s="5">
        <f t="shared" si="8"/>
      </c>
      <c r="K38" s="5">
        <f t="shared" si="9"/>
      </c>
      <c r="L38" s="5">
        <f t="shared" si="10"/>
      </c>
      <c r="M38">
        <f t="shared" si="19"/>
      </c>
      <c r="N38" s="18">
        <f t="shared" si="5"/>
      </c>
    </row>
    <row r="39" spans="3:14" x14ac:dyDescent="0.3">
      <c r="C39" s="5">
        <f t="shared" si="0"/>
      </c>
      <c r="D39" s="5">
        <f t="shared" si="1"/>
      </c>
      <c r="E39" s="106"/>
      <c r="F39" s="5">
        <f t="shared" si="11"/>
      </c>
      <c r="G39" s="5">
        <f t="shared" si="18"/>
      </c>
      <c r="H39" s="70">
        <f t="shared" si="17"/>
      </c>
      <c r="I39" s="5">
        <f t="shared" si="6"/>
      </c>
      <c r="J39" s="5">
        <f t="shared" si="8"/>
      </c>
      <c r="K39" s="5">
        <f t="shared" si="9"/>
      </c>
      <c r="L39" s="5">
        <f t="shared" si="10"/>
      </c>
      <c r="M39">
        <f t="shared" si="19"/>
      </c>
      <c r="N39" s="18">
        <f t="shared" si="5"/>
      </c>
    </row>
    <row r="40" spans="3:14" x14ac:dyDescent="0.3">
      <c r="C40" s="5">
        <f t="shared" si="0"/>
      </c>
      <c r="D40" s="5">
        <f t="shared" si="1"/>
      </c>
      <c r="E40" s="106"/>
      <c r="F40" s="5">
        <f t="shared" si="11"/>
      </c>
      <c r="G40" s="5">
        <f t="shared" si="18"/>
      </c>
      <c r="H40" s="70">
        <f t="shared" si="17"/>
      </c>
      <c r="I40" s="5">
        <f t="shared" si="6"/>
      </c>
      <c r="J40" s="5">
        <f t="shared" si="8"/>
      </c>
      <c r="K40" s="5">
        <f t="shared" si="9"/>
      </c>
      <c r="L40" s="5">
        <f t="shared" si="10"/>
      </c>
      <c r="M40">
        <f t="shared" si="19"/>
      </c>
      <c r="N40" s="18">
        <f t="shared" si="5"/>
      </c>
    </row>
    <row r="41" spans="3:14" x14ac:dyDescent="0.3">
      <c r="C41" s="5">
        <f t="shared" si="0"/>
      </c>
      <c r="D41" s="5">
        <f t="shared" si="1"/>
      </c>
      <c r="E41" s="106"/>
      <c r="F41" s="5">
        <f t="shared" si="11"/>
      </c>
      <c r="G41" s="5">
        <f t="shared" si="18"/>
      </c>
      <c r="H41" s="70">
        <f t="shared" si="17"/>
      </c>
      <c r="I41" s="5">
        <f t="shared" si="6"/>
      </c>
      <c r="J41" s="5">
        <f t="shared" si="8"/>
      </c>
      <c r="K41" s="5">
        <f t="shared" si="9"/>
      </c>
      <c r="L41" s="5">
        <f t="shared" si="10"/>
      </c>
      <c r="M41">
        <f t="shared" si="19"/>
      </c>
      <c r="N41" s="18">
        <f t="shared" si="5"/>
      </c>
    </row>
    <row r="42" spans="3:14" x14ac:dyDescent="0.3">
      <c r="C42" s="5">
        <f t="shared" si="0"/>
      </c>
      <c r="D42" s="5">
        <f t="shared" si="1"/>
      </c>
      <c r="E42" s="106"/>
      <c r="F42" s="5">
        <f t="shared" si="11"/>
      </c>
      <c r="G42" s="5">
        <f t="shared" si="18"/>
      </c>
      <c r="H42" s="70">
        <f t="shared" si="17"/>
      </c>
      <c r="I42" s="5">
        <f t="shared" si="6"/>
      </c>
      <c r="J42" s="5">
        <f t="shared" si="8"/>
      </c>
      <c r="K42" s="5">
        <f t="shared" si="9"/>
      </c>
      <c r="L42" s="5">
        <f t="shared" si="10"/>
      </c>
      <c r="M42">
        <f t="shared" si="19"/>
      </c>
      <c r="N42" s="18">
        <f t="shared" si="5"/>
      </c>
    </row>
    <row r="43" spans="3:14" x14ac:dyDescent="0.3">
      <c r="C43" s="5">
        <f t="shared" si="0"/>
      </c>
      <c r="D43" s="5">
        <f t="shared" si="1"/>
      </c>
      <c r="E43" s="106"/>
      <c r="F43" s="5">
        <f t="shared" si="11"/>
      </c>
      <c r="G43" s="5">
        <f t="shared" si="18"/>
      </c>
      <c r="H43" s="70">
        <f t="shared" si="17"/>
      </c>
      <c r="I43" s="5">
        <f t="shared" si="6"/>
      </c>
      <c r="J43" s="5">
        <f t="shared" si="8"/>
      </c>
      <c r="K43" s="5">
        <f t="shared" si="9"/>
      </c>
      <c r="L43" s="5">
        <f t="shared" si="10"/>
      </c>
      <c r="M43">
        <f t="shared" si="19"/>
      </c>
      <c r="N43" s="18">
        <f t="shared" si="5"/>
      </c>
    </row>
    <row r="44" spans="3:14" x14ac:dyDescent="0.3">
      <c r="C44" s="5">
        <f t="shared" si="0"/>
      </c>
      <c r="D44" s="5">
        <f t="shared" si="1"/>
      </c>
      <c r="E44" s="106"/>
      <c r="F44" s="5">
        <f t="shared" si="11"/>
      </c>
      <c r="G44" s="5">
        <f t="shared" si="18"/>
      </c>
      <c r="H44" s="70">
        <f t="shared" si="17"/>
      </c>
      <c r="I44" s="5">
        <f t="shared" si="6"/>
      </c>
      <c r="J44" s="5">
        <f t="shared" si="8"/>
      </c>
      <c r="K44" s="5">
        <f t="shared" si="9"/>
      </c>
      <c r="L44" s="5">
        <f t="shared" si="10"/>
      </c>
      <c r="M44">
        <f t="shared" si="19"/>
      </c>
      <c r="N44" s="18">
        <f t="shared" si="5"/>
      </c>
    </row>
    <row r="45" spans="3:14" x14ac:dyDescent="0.3">
      <c r="C45" s="5">
        <f t="shared" si="0"/>
      </c>
      <c r="D45" s="5">
        <f t="shared" si="1"/>
      </c>
      <c r="E45" s="106"/>
      <c r="F45" s="5">
        <f t="shared" si="11"/>
      </c>
      <c r="G45" s="5">
        <f t="shared" si="18"/>
      </c>
      <c r="H45" s="70">
        <f t="shared" si="17"/>
      </c>
      <c r="I45" s="5">
        <f t="shared" si="6"/>
      </c>
      <c r="J45" s="5">
        <f t="shared" si="8"/>
      </c>
      <c r="K45" s="5">
        <f t="shared" si="9"/>
      </c>
      <c r="L45" s="5">
        <f t="shared" si="10"/>
      </c>
      <c r="M45">
        <f t="shared" si="19"/>
      </c>
      <c r="N45" s="18">
        <f t="shared" si="5"/>
      </c>
    </row>
    <row r="46" spans="3:14" x14ac:dyDescent="0.3">
      <c r="C46" s="5">
        <f t="shared" si="0"/>
      </c>
      <c r="D46" s="5">
        <f t="shared" si="1"/>
      </c>
      <c r="E46" s="107"/>
      <c r="F46" s="5">
        <f t="shared" si="11"/>
      </c>
      <c r="G46" s="5">
        <f t="shared" si="18"/>
      </c>
      <c r="H46" s="70">
        <f t="shared" si="17"/>
      </c>
      <c r="I46" s="5">
        <f t="shared" si="6"/>
      </c>
      <c r="J46" s="5">
        <f t="shared" si="8"/>
      </c>
      <c r="K46" s="5">
        <f t="shared" si="9"/>
      </c>
      <c r="L46" s="5">
        <f t="shared" si="10"/>
      </c>
      <c r="M46">
        <f t="shared" si="19"/>
      </c>
      <c r="N46" s="18">
        <f t="shared" si="5"/>
      </c>
    </row>
    <row r="47" spans="3:14" x14ac:dyDescent="0.3">
      <c r="C47" s="5">
        <f t="shared" si="0"/>
      </c>
      <c r="D47" s="5">
        <f t="shared" si="1"/>
      </c>
      <c r="E47" s="107"/>
      <c r="F47" s="5">
        <f t="shared" si="11"/>
      </c>
      <c r="G47" s="5">
        <f t="shared" si="18"/>
      </c>
      <c r="H47" s="70">
        <f t="shared" si="17"/>
      </c>
      <c r="I47" s="5">
        <f t="shared" si="6"/>
      </c>
      <c r="J47" s="5">
        <f t="shared" si="8"/>
      </c>
      <c r="K47" s="5">
        <f t="shared" si="9"/>
      </c>
      <c r="L47" s="5">
        <f t="shared" si="10"/>
      </c>
      <c r="M47">
        <f t="shared" si="19"/>
      </c>
      <c r="N47" s="18">
        <f t="shared" si="5"/>
      </c>
    </row>
    <row r="48" spans="3:14" x14ac:dyDescent="0.3">
      <c r="C48" s="5">
        <f t="shared" si="0"/>
      </c>
      <c r="D48" s="5">
        <f t="shared" si="1"/>
      </c>
      <c r="E48" s="107"/>
      <c r="F48" s="5">
        <f t="shared" si="11"/>
      </c>
      <c r="G48" s="5">
        <f t="shared" si="18"/>
      </c>
      <c r="H48" s="70">
        <f t="shared" si="17"/>
      </c>
      <c r="I48" s="5">
        <f t="shared" si="6"/>
      </c>
      <c r="J48" s="5">
        <f t="shared" si="8"/>
      </c>
      <c r="K48" s="5">
        <f t="shared" si="9"/>
      </c>
      <c r="L48" s="5">
        <f t="shared" si="10"/>
      </c>
      <c r="M48">
        <f t="shared" si="19"/>
      </c>
      <c r="N48" s="18">
        <f t="shared" si="5"/>
      </c>
    </row>
    <row r="49" spans="3:23" x14ac:dyDescent="0.3">
      <c r="C49" s="5">
        <f t="shared" si="0"/>
      </c>
      <c r="D49" s="5">
        <f t="shared" si="1"/>
      </c>
      <c r="E49" s="106"/>
      <c r="F49" s="5">
        <f t="shared" si="11"/>
      </c>
      <c r="G49" s="5">
        <f t="shared" si="18"/>
      </c>
      <c r="H49" s="70">
        <f t="shared" si="17"/>
      </c>
      <c r="I49" s="5">
        <f t="shared" si="6"/>
      </c>
      <c r="J49" s="5">
        <f t="shared" si="8"/>
      </c>
      <c r="K49" s="5">
        <f t="shared" si="9"/>
      </c>
      <c r="L49" s="5">
        <f t="shared" si="10"/>
      </c>
      <c r="M49">
        <f t="shared" si="19"/>
      </c>
      <c r="N49" s="18">
        <f t="shared" si="5"/>
      </c>
    </row>
    <row r="50" spans="3:23" x14ac:dyDescent="0.3">
      <c r="C50" s="5">
        <f t="shared" si="0"/>
      </c>
      <c r="D50" s="5">
        <f t="shared" si="1"/>
      </c>
      <c r="E50" s="106"/>
      <c r="F50" s="5">
        <f t="shared" si="11"/>
      </c>
      <c r="G50" s="5">
        <f t="shared" si="18"/>
      </c>
      <c r="H50" s="70">
        <f t="shared" si="17"/>
      </c>
      <c r="I50" s="5">
        <f t="shared" si="6"/>
      </c>
      <c r="J50" s="5">
        <f t="shared" si="8"/>
      </c>
      <c r="K50" s="5">
        <f t="shared" si="9"/>
      </c>
      <c r="L50" s="5">
        <f t="shared" si="10"/>
      </c>
      <c r="M50">
        <f t="shared" si="19"/>
      </c>
      <c r="N50" s="18">
        <f t="shared" si="5"/>
      </c>
    </row>
    <row r="51" spans="3:23" x14ac:dyDescent="0.3">
      <c r="C51" s="5">
        <f t="shared" si="0"/>
      </c>
      <c r="D51" s="5">
        <f t="shared" si="1"/>
      </c>
      <c r="E51" s="106"/>
      <c r="F51" s="5">
        <f t="shared" si="11"/>
      </c>
      <c r="G51" s="5">
        <f t="shared" si="18"/>
      </c>
      <c r="H51" s="70">
        <f t="shared" si="17"/>
      </c>
      <c r="I51" s="5">
        <f t="shared" si="6"/>
      </c>
      <c r="J51" s="5">
        <f t="shared" si="8"/>
      </c>
      <c r="K51" s="5">
        <f t="shared" si="9"/>
      </c>
      <c r="L51" s="5">
        <f t="shared" si="10"/>
      </c>
      <c r="M51">
        <f t="shared" si="19"/>
      </c>
      <c r="N51" s="18">
        <f t="shared" si="5"/>
      </c>
    </row>
    <row r="52" spans="3:23" x14ac:dyDescent="0.3">
      <c r="C52" s="5">
        <f t="shared" si="0"/>
      </c>
      <c r="D52" s="5">
        <f t="shared" si="1"/>
      </c>
      <c r="E52" s="107"/>
      <c r="F52" s="5">
        <f t="shared" si="11"/>
      </c>
      <c r="G52" s="5">
        <f t="shared" si="18"/>
      </c>
      <c r="H52" s="70">
        <f t="shared" si="17"/>
      </c>
      <c r="I52" s="5">
        <f t="shared" si="6"/>
      </c>
      <c r="J52" s="5">
        <f t="shared" si="8"/>
      </c>
      <c r="K52" s="5">
        <f t="shared" si="9"/>
      </c>
      <c r="L52" s="5">
        <f t="shared" si="10"/>
      </c>
      <c r="M52">
        <f t="shared" si="19"/>
      </c>
      <c r="N52" s="18">
        <f t="shared" si="5"/>
      </c>
    </row>
    <row r="53" spans="3:23" x14ac:dyDescent="0.3">
      <c r="C53" s="5">
        <f t="shared" si="0"/>
      </c>
      <c r="D53" s="5">
        <f t="shared" si="1"/>
      </c>
      <c r="E53" s="107"/>
      <c r="F53" s="5">
        <f t="shared" si="11"/>
      </c>
      <c r="G53" s="5">
        <f t="shared" si="18"/>
      </c>
      <c r="H53" s="70">
        <f t="shared" si="17"/>
      </c>
      <c r="I53" s="5">
        <f t="shared" si="6"/>
      </c>
      <c r="J53" s="5">
        <f t="shared" si="8"/>
      </c>
      <c r="K53" s="5">
        <f t="shared" si="9"/>
      </c>
      <c r="L53" s="5">
        <f t="shared" si="10"/>
      </c>
      <c r="M53">
        <f t="shared" si="19"/>
      </c>
      <c r="N53" s="18">
        <f t="shared" si="5"/>
      </c>
    </row>
    <row r="54" spans="3:23" x14ac:dyDescent="0.3">
      <c r="C54" s="5">
        <f t="shared" si="0"/>
      </c>
      <c r="D54" s="5">
        <f t="shared" si="1"/>
      </c>
      <c r="E54" s="107"/>
      <c r="F54" s="5">
        <f t="shared" si="11"/>
      </c>
      <c r="G54" s="5">
        <f t="shared" si="18"/>
      </c>
      <c r="H54" s="70">
        <f t="shared" si="17"/>
      </c>
      <c r="I54" s="5">
        <f t="shared" si="6"/>
      </c>
      <c r="J54" s="5">
        <f t="shared" si="8"/>
      </c>
      <c r="K54" s="5">
        <f t="shared" si="9"/>
      </c>
      <c r="L54" s="5">
        <f t="shared" si="10"/>
      </c>
      <c r="M54">
        <f t="shared" si="19"/>
      </c>
      <c r="N54" s="18">
        <f t="shared" si="5"/>
      </c>
    </row>
    <row r="55" spans="3:23" x14ac:dyDescent="0.3">
      <c r="C55" s="5">
        <f t="shared" si="0"/>
      </c>
      <c r="D55" s="5">
        <f t="shared" si="1"/>
      </c>
      <c r="E55" s="107"/>
      <c r="F55" s="5">
        <f t="shared" si="11"/>
      </c>
      <c r="G55" s="5">
        <f t="shared" si="18"/>
      </c>
      <c r="H55" s="70">
        <f t="shared" si="17"/>
      </c>
      <c r="I55" s="5">
        <f t="shared" si="6"/>
        <v/>
      </c>
      <c r="J55" s="5">
        <f t="shared" si="8"/>
      </c>
      <c r="K55" s="5">
        <f t="shared" si="9"/>
      </c>
      <c r="L55" s="5">
        <f t="shared" si="10"/>
      </c>
      <c r="M55">
        <f t="shared" si="19"/>
      </c>
      <c r="N55" s="18">
        <f t="shared" si="5"/>
      </c>
    </row>
    <row r="56" spans="3:23" x14ac:dyDescent="0.3">
      <c r="C56" s="5">
        <f t="shared" si="0"/>
      </c>
      <c r="D56" s="5">
        <f t="shared" si="1"/>
      </c>
      <c r="E56" s="106"/>
      <c r="F56" s="5">
        <f t="shared" si="11"/>
      </c>
      <c r="G56" s="5">
        <f t="shared" si="18"/>
      </c>
      <c r="H56" s="70">
        <f t="shared" si="17"/>
      </c>
      <c r="I56" s="5">
        <f t="shared" si="6"/>
        <v/>
      </c>
      <c r="J56" s="5">
        <f t="shared" si="8"/>
      </c>
      <c r="K56" s="5">
        <f t="shared" si="9"/>
      </c>
      <c r="L56" s="5">
        <f t="shared" si="10"/>
      </c>
      <c r="M56">
        <f t="shared" si="19"/>
      </c>
      <c r="N56" s="18">
        <f t="shared" si="5"/>
      </c>
    </row>
    <row r="57" spans="3:23" x14ac:dyDescent="0.3">
      <c r="C57" s="5">
        <f t="shared" si="0"/>
      </c>
      <c r="D57" s="5">
        <f t="shared" si="1"/>
      </c>
      <c r="E57" s="106"/>
      <c r="F57" s="5">
        <f t="shared" si="11"/>
      </c>
      <c r="G57" s="5">
        <f t="shared" si="18"/>
      </c>
      <c r="H57" s="70">
        <f t="shared" si="17"/>
      </c>
      <c r="I57" s="5">
        <f t="shared" si="6"/>
        <v/>
      </c>
      <c r="J57" s="5">
        <f t="shared" si="8"/>
      </c>
      <c r="K57" s="5">
        <f t="shared" si="9"/>
      </c>
      <c r="L57" s="5">
        <f t="shared" si="10"/>
      </c>
      <c r="M57">
        <f t="shared" si="19"/>
      </c>
      <c r="N57" s="18">
        <f t="shared" si="5"/>
      </c>
    </row>
    <row r="58" spans="3:23" x14ac:dyDescent="0.3">
      <c r="C58" s="5">
        <f t="shared" si="0"/>
      </c>
      <c r="D58" s="5">
        <f t="shared" si="1"/>
      </c>
      <c r="E58" s="106"/>
      <c r="F58" s="5">
        <f t="shared" si="11"/>
      </c>
      <c r="G58" s="5">
        <f t="shared" si="18"/>
      </c>
      <c r="H58" s="70">
        <f t="shared" si="17"/>
      </c>
      <c r="I58" s="5">
        <f t="shared" si="6"/>
        <v/>
      </c>
      <c r="J58" s="5">
        <f t="shared" si="8"/>
      </c>
      <c r="K58" s="5">
        <f t="shared" si="9"/>
      </c>
      <c r="L58" s="5">
        <f t="shared" si="10"/>
      </c>
      <c r="M58">
        <f t="shared" si="19"/>
      </c>
      <c r="N58" s="18">
        <f t="shared" si="5"/>
      </c>
    </row>
    <row r="59" spans="3:23" x14ac:dyDescent="0.3">
      <c r="C59" s="5">
        <f t="shared" si="0"/>
      </c>
      <c r="D59" s="5">
        <f t="shared" si="1"/>
      </c>
      <c r="E59" s="106"/>
      <c r="F59" s="5">
        <f t="shared" si="11"/>
      </c>
      <c r="G59" s="5">
        <f t="shared" si="18"/>
      </c>
      <c r="H59" s="70">
        <f t="shared" si="17"/>
      </c>
      <c r="I59" s="5">
        <f t="shared" si="6"/>
        <v/>
      </c>
      <c r="J59" s="5">
        <f t="shared" si="8"/>
      </c>
      <c r="K59" s="5">
        <f t="shared" si="9"/>
      </c>
      <c r="L59" s="5">
        <f t="shared" si="10"/>
      </c>
      <c r="M59">
        <f t="shared" si="19"/>
      </c>
      <c r="N59" s="18">
        <f t="shared" si="5"/>
      </c>
    </row>
    <row r="60" spans="3:23" x14ac:dyDescent="0.3">
      <c r="C60" s="5">
        <f t="shared" si="0"/>
      </c>
      <c r="D60" s="5">
        <f t="shared" si="1"/>
      </c>
      <c r="E60" s="106"/>
      <c r="F60" s="5">
        <f t="shared" si="11"/>
      </c>
      <c r="G60" s="5">
        <f t="shared" si="18"/>
      </c>
      <c r="H60" s="70">
        <f t="shared" si="17"/>
      </c>
      <c r="I60" s="5">
        <f t="shared" si="6"/>
        <v/>
      </c>
      <c r="J60" s="5">
        <f t="shared" si="8"/>
      </c>
      <c r="K60" s="5">
        <f t="shared" si="9"/>
      </c>
      <c r="L60" s="5">
        <f t="shared" si="10"/>
      </c>
      <c r="M60">
        <f t="shared" si="19"/>
      </c>
      <c r="N60" s="18">
        <f t="shared" si="5"/>
      </c>
    </row>
    <row r="61" spans="3:23" x14ac:dyDescent="0.3">
      <c r="C61" s="5">
        <f t="shared" si="0"/>
      </c>
      <c r="D61" s="5">
        <f t="shared" si="1"/>
      </c>
      <c r="E61" s="106"/>
      <c r="F61" s="5">
        <f t="shared" si="11"/>
      </c>
      <c r="G61" s="5">
        <f t="shared" ref="G61:G92" si="20">IF(E62="упр","",IF(E62=0,F61,IF(E62="1,2,3","L1,L2,L3","L"&amp;E62)))</f>
      </c>
      <c r="H61" s="70">
        <f t="shared" si="17"/>
      </c>
      <c r="I61" s="5">
        <f t="shared" si="6"/>
        <v/>
      </c>
      <c r="J61" s="5">
        <f t="shared" si="8"/>
      </c>
      <c r="K61" s="5">
        <f t="shared" si="9"/>
      </c>
      <c r="L61" s="5">
        <f t="shared" si="10"/>
      </c>
      <c r="M61">
        <f t="shared" ref="M61:M92" si="21">IF(ISBLANK(E62),M60,E62)</f>
      </c>
      <c r="N61" s="18">
        <f t="shared" si="5"/>
      </c>
      <c r="V61" s="117" t="s">
        <v>45</v>
      </c>
      <c r="W61" s="70">
        <v>0.03</v>
      </c>
    </row>
    <row r="62" spans="3:23" x14ac:dyDescent="0.3">
      <c r="C62" s="5">
        <f t="shared" si="0"/>
      </c>
      <c r="D62" s="5">
        <f t="shared" si="1"/>
      </c>
      <c r="E62" s="106"/>
      <c r="F62" s="5">
        <f t="shared" si="11"/>
      </c>
      <c r="G62" s="5">
        <f t="shared" si="20"/>
      </c>
      <c r="H62" s="70">
        <f t="shared" si="17"/>
      </c>
      <c r="I62" s="5">
        <f t="shared" si="6"/>
        <v/>
      </c>
      <c r="J62" s="5">
        <f t="shared" si="8"/>
      </c>
      <c r="K62" s="5">
        <f t="shared" si="9"/>
      </c>
      <c r="L62" s="5">
        <f t="shared" si="10"/>
      </c>
      <c r="M62">
        <f t="shared" si="21"/>
      </c>
      <c r="N62" s="18">
        <f t="shared" si="5"/>
      </c>
      <c r="V62" s="117" t="s">
        <v>46</v>
      </c>
      <c r="W62" s="70">
        <v>0.03</v>
      </c>
    </row>
    <row r="63" spans="3:23" x14ac:dyDescent="0.3">
      <c r="C63" s="5">
        <f t="shared" si="0"/>
      </c>
      <c r="D63" s="5">
        <f t="shared" si="1"/>
      </c>
      <c r="E63" s="107"/>
      <c r="F63" s="5">
        <f t="shared" si="11"/>
      </c>
      <c r="G63" s="5">
        <f t="shared" si="20"/>
      </c>
      <c r="H63" s="70">
        <f t="shared" si="17"/>
      </c>
      <c r="I63" s="5">
        <f t="shared" si="6"/>
        <v/>
      </c>
      <c r="J63" s="5">
        <f t="shared" si="8"/>
      </c>
      <c r="K63" s="5">
        <f t="shared" si="9"/>
      </c>
      <c r="L63" s="5">
        <f t="shared" si="10"/>
      </c>
      <c r="M63">
        <f t="shared" si="21"/>
      </c>
      <c r="N63" s="18">
        <f t="shared" si="5"/>
      </c>
      <c r="V63" s="117" t="s">
        <v>44</v>
      </c>
      <c r="W63" s="70">
        <v>0.03</v>
      </c>
    </row>
    <row r="64" spans="3:23" x14ac:dyDescent="0.3">
      <c r="C64" s="5">
        <f t="shared" si="0"/>
      </c>
      <c r="D64" s="5">
        <f t="shared" si="1"/>
      </c>
      <c r="E64" s="107"/>
      <c r="F64" s="5">
        <f t="shared" si="11"/>
      </c>
      <c r="G64" s="5">
        <f t="shared" si="20"/>
      </c>
      <c r="H64" s="70">
        <f t="shared" si="17"/>
      </c>
      <c r="I64" s="5">
        <f t="shared" si="6"/>
        <v/>
      </c>
      <c r="J64" s="5">
        <f t="shared" si="8"/>
      </c>
      <c r="K64" s="5">
        <f t="shared" si="9"/>
      </c>
      <c r="L64" s="5">
        <f t="shared" si="10"/>
      </c>
      <c r="M64">
        <f t="shared" si="21"/>
      </c>
      <c r="N64" s="18">
        <f t="shared" si="5"/>
      </c>
      <c r="V64" s="117" t="s">
        <v>45</v>
      </c>
      <c r="W64" s="70">
        <v>1.2999999999999999E-2</v>
      </c>
    </row>
    <row r="65" spans="3:23" x14ac:dyDescent="0.3">
      <c r="C65" s="5">
        <f t="shared" si="0"/>
      </c>
      <c r="D65" s="5">
        <f t="shared" si="1"/>
      </c>
      <c r="E65" s="107"/>
      <c r="F65" s="5">
        <f t="shared" si="11"/>
      </c>
      <c r="G65" s="5">
        <f t="shared" si="20"/>
      </c>
      <c r="H65" s="70">
        <f t="shared" si="17"/>
      </c>
      <c r="I65" s="5">
        <f t="shared" si="6"/>
        <v/>
      </c>
      <c r="J65" s="5">
        <f t="shared" si="8"/>
      </c>
      <c r="K65" s="5">
        <f t="shared" si="9"/>
      </c>
      <c r="L65" s="5">
        <f t="shared" si="10"/>
      </c>
      <c r="M65">
        <f t="shared" si="21"/>
      </c>
      <c r="N65" s="18">
        <f t="shared" si="5"/>
      </c>
      <c r="V65" s="117" t="s">
        <v>46</v>
      </c>
      <c r="W65" s="70">
        <v>1.2999999999999999E-2</v>
      </c>
    </row>
    <row r="66" spans="3:23" x14ac:dyDescent="0.3">
      <c r="C66" s="5">
        <f t="shared" si="0"/>
      </c>
      <c r="D66" s="5">
        <f t="shared" si="1"/>
      </c>
      <c r="E66" s="107"/>
      <c r="F66" s="5">
        <f t="shared" si="11"/>
      </c>
      <c r="G66" s="5">
        <f t="shared" si="20"/>
      </c>
      <c r="H66" s="70">
        <f t="shared" si="17"/>
      </c>
      <c r="I66" s="5">
        <f t="shared" si="6"/>
        <v/>
      </c>
      <c r="J66" s="5">
        <f t="shared" si="8"/>
      </c>
      <c r="K66" s="5">
        <f t="shared" si="9"/>
      </c>
      <c r="L66" s="5">
        <f t="shared" si="10"/>
      </c>
      <c r="M66">
        <f t="shared" si="21"/>
      </c>
      <c r="N66" s="18">
        <f t="shared" si="5"/>
      </c>
      <c r="V66" s="117" t="s">
        <v>44</v>
      </c>
      <c r="W66" s="70">
        <v>0</v>
      </c>
    </row>
    <row r="67" spans="3:23" x14ac:dyDescent="0.3">
      <c r="C67" s="5">
        <f t="shared" ref="C67:C130" si="22">VLOOKUP(ROW(65:65),Разбивка_нумерация_5,2,FALSE)</f>
      </c>
      <c r="D67" s="5">
        <f t="shared" ref="D67:D130" si="23">VLOOKUP(ROW(65:65),Разбивка_нумерация_5,4,FALSE)</f>
      </c>
      <c r="E67" s="107"/>
      <c r="F67" s="5">
        <f t="shared" ref="F67:F130" si="24">VLOOKUP(ROW(65:65),Разбивка_нумерация_5,16,FALSE)</f>
      </c>
      <c r="G67" s="5">
        <f t="shared" si="20"/>
      </c>
      <c r="H67" s="70">
        <f t="shared" si="17"/>
      </c>
      <c r="I67" s="5">
        <f t="shared" ref="I67:I130" si="25">IFERROR(VLOOKUP(D67,Исходные_данные,36,FALSE),"")</f>
        <v/>
      </c>
      <c r="J67" s="5">
        <f t="shared" si="8"/>
      </c>
      <c r="K67" s="5">
        <f t="shared" si="9"/>
      </c>
      <c r="L67" s="5">
        <f t="shared" si="10"/>
      </c>
      <c r="M67">
        <f t="shared" si="21"/>
      </c>
      <c r="N67" s="18">
        <f t="shared" ref="N67:N130" si="26">C67&amp;G67</f>
      </c>
      <c r="V67" s="117" t="s">
        <v>45</v>
      </c>
      <c r="W67" s="70">
        <v>0.03</v>
      </c>
    </row>
    <row r="68" spans="3:23" x14ac:dyDescent="0.3">
      <c r="C68" s="5">
        <f t="shared" si="22"/>
      </c>
      <c r="D68" s="5">
        <f t="shared" si="23"/>
      </c>
      <c r="E68" s="107"/>
      <c r="F68" s="5">
        <f t="shared" si="24"/>
      </c>
      <c r="G68" s="5">
        <f t="shared" si="20"/>
      </c>
      <c r="H68" s="70">
        <f t="shared" ref="H68:H131" si="27">VLOOKUP(D68,Исходные_данные,5,FALSE)</f>
      </c>
      <c r="I68" s="5">
        <f t="shared" si="25"/>
        <v/>
      </c>
      <c r="J68" s="5">
        <f t="shared" ref="J68:J131" si="28">VLOOKUP(D68,Исходные_данные,46,FALSE)</f>
      </c>
      <c r="K68" s="5">
        <f t="shared" ref="K68:K131" si="29">VLOOKUP(D68,Исходные_данные,16,FALSE)</f>
      </c>
      <c r="L68" s="5">
        <f t="shared" si="10"/>
      </c>
      <c r="M68">
        <f t="shared" si="21"/>
      </c>
      <c r="N68" s="18">
        <f t="shared" si="26"/>
      </c>
      <c r="V68" s="117" t="s">
        <v>46</v>
      </c>
      <c r="W68" s="70">
        <v>0.03</v>
      </c>
    </row>
    <row r="69" spans="3:23" x14ac:dyDescent="0.3">
      <c r="C69" s="5">
        <f t="shared" si="22"/>
      </c>
      <c r="D69" s="5">
        <f t="shared" si="23"/>
      </c>
      <c r="E69" s="107"/>
      <c r="F69" s="5">
        <f t="shared" si="24"/>
      </c>
      <c r="G69" s="5">
        <f t="shared" si="20"/>
      </c>
      <c r="H69" s="70">
        <f t="shared" si="27"/>
      </c>
      <c r="I69" s="5">
        <f t="shared" si="25"/>
        <v/>
      </c>
      <c r="J69" s="5">
        <f t="shared" si="28"/>
      </c>
      <c r="K69" s="5">
        <f t="shared" si="29"/>
      </c>
      <c r="L69" s="5">
        <f t="shared" ref="L69:L132" si="30">H69*K69</f>
      </c>
      <c r="M69">
        <f t="shared" si="21"/>
      </c>
      <c r="N69" s="18">
        <f t="shared" si="26"/>
      </c>
      <c r="V69" s="117" t="s">
        <v>45</v>
      </c>
      <c r="W69" s="70">
        <v>1.2999999999999999E-2</v>
      </c>
    </row>
    <row r="70" spans="3:23" x14ac:dyDescent="0.3">
      <c r="C70" s="5">
        <f t="shared" si="22"/>
      </c>
      <c r="D70" s="5">
        <f t="shared" si="23"/>
      </c>
      <c r="E70" s="107"/>
      <c r="F70" s="5">
        <f t="shared" si="24"/>
      </c>
      <c r="G70" s="5">
        <f t="shared" si="20"/>
      </c>
      <c r="H70" s="70">
        <f t="shared" si="27"/>
      </c>
      <c r="I70" s="5">
        <f t="shared" si="25"/>
        <v/>
      </c>
      <c r="J70" s="5">
        <f t="shared" si="28"/>
      </c>
      <c r="K70" s="5">
        <f t="shared" si="29"/>
      </c>
      <c r="L70" s="5">
        <f t="shared" si="30"/>
      </c>
      <c r="M70">
        <f t="shared" si="21"/>
      </c>
      <c r="N70" s="18">
        <f t="shared" si="26"/>
      </c>
      <c r="V70" s="117" t="s">
        <v>46</v>
      </c>
      <c r="W70" s="70">
        <v>0.03</v>
      </c>
    </row>
    <row r="71" spans="3:23" x14ac:dyDescent="0.3">
      <c r="C71" s="5">
        <f t="shared" si="22"/>
      </c>
      <c r="D71" s="5">
        <f t="shared" si="23"/>
      </c>
      <c r="E71" s="107"/>
      <c r="F71" s="5">
        <f t="shared" si="24"/>
      </c>
      <c r="G71" s="5">
        <f t="shared" si="20"/>
      </c>
      <c r="H71" s="70">
        <f t="shared" si="27"/>
      </c>
      <c r="I71" s="5">
        <f t="shared" si="25"/>
        <v/>
      </c>
      <c r="J71" s="5">
        <f t="shared" si="28"/>
      </c>
      <c r="K71" s="5">
        <f t="shared" si="29"/>
      </c>
      <c r="L71" s="5">
        <f t="shared" si="30"/>
      </c>
      <c r="M71">
        <f t="shared" si="21"/>
      </c>
      <c r="N71" s="18">
        <f t="shared" si="26"/>
      </c>
      <c r="V71" s="117" t="s">
        <v>44</v>
      </c>
      <c r="W71" s="70">
        <v>0.03</v>
      </c>
    </row>
    <row r="72" spans="3:23" x14ac:dyDescent="0.3">
      <c r="C72" s="5">
        <f t="shared" si="22"/>
      </c>
      <c r="D72" s="5">
        <f t="shared" si="23"/>
      </c>
      <c r="E72" s="106"/>
      <c r="F72" s="5">
        <f t="shared" si="24"/>
      </c>
      <c r="G72" s="5">
        <f t="shared" si="20"/>
      </c>
      <c r="H72" s="70">
        <f t="shared" si="27"/>
      </c>
      <c r="I72" s="5">
        <f t="shared" si="25"/>
        <v/>
      </c>
      <c r="J72" s="5">
        <f t="shared" si="28"/>
      </c>
      <c r="K72" s="5">
        <f t="shared" si="29"/>
      </c>
      <c r="L72" s="5">
        <f t="shared" si="30"/>
      </c>
      <c r="M72">
        <f t="shared" si="21"/>
      </c>
      <c r="N72" s="18">
        <f t="shared" si="26"/>
      </c>
      <c r="V72" s="117" t="s">
        <v>44</v>
      </c>
      <c r="W72" s="70">
        <v>0.09</v>
      </c>
    </row>
    <row r="73" spans="3:23" x14ac:dyDescent="0.3">
      <c r="C73" s="5">
        <f t="shared" si="22"/>
      </c>
      <c r="D73" s="5">
        <f t="shared" si="23"/>
      </c>
      <c r="E73" s="106"/>
      <c r="F73" s="5">
        <f t="shared" si="24"/>
      </c>
      <c r="G73" s="5">
        <f t="shared" si="20"/>
      </c>
      <c r="H73" s="70">
        <f t="shared" si="27"/>
      </c>
      <c r="I73" s="5">
        <f t="shared" si="25"/>
        <v/>
      </c>
      <c r="J73" s="5">
        <f t="shared" si="28"/>
      </c>
      <c r="K73" s="5">
        <f t="shared" si="29"/>
      </c>
      <c r="L73" s="5">
        <f t="shared" si="30"/>
      </c>
      <c r="M73">
        <f t="shared" si="21"/>
      </c>
      <c r="N73" s="18">
        <f t="shared" si="26"/>
      </c>
      <c r="V73" s="117" t="s">
        <v>45</v>
      </c>
      <c r="W73" s="70">
        <v>3.2000000000000001E-2</v>
      </c>
    </row>
    <row r="74" spans="3:23" x14ac:dyDescent="0.3">
      <c r="C74" s="5">
        <f t="shared" si="22"/>
      </c>
      <c r="D74" s="5">
        <f t="shared" si="23"/>
      </c>
      <c r="E74" s="106"/>
      <c r="F74" s="5">
        <f t="shared" si="24"/>
      </c>
      <c r="G74" s="5">
        <f t="shared" si="20"/>
      </c>
      <c r="H74" s="70">
        <f t="shared" si="27"/>
      </c>
      <c r="I74" s="5">
        <f t="shared" si="25"/>
        <v/>
      </c>
      <c r="J74" s="5">
        <f t="shared" si="28"/>
      </c>
      <c r="K74" s="5">
        <f t="shared" si="29"/>
      </c>
      <c r="L74" s="5">
        <f t="shared" si="30"/>
      </c>
      <c r="M74">
        <f t="shared" si="21"/>
      </c>
      <c r="N74" s="18">
        <f t="shared" si="26"/>
      </c>
      <c r="V74" s="117" t="s">
        <v>46</v>
      </c>
      <c r="W74" s="70">
        <v>2.1999999999999999E-2</v>
      </c>
    </row>
    <row r="75" spans="3:23" x14ac:dyDescent="0.3">
      <c r="C75" s="5">
        <f t="shared" si="22"/>
      </c>
      <c r="D75" s="5">
        <f t="shared" si="23"/>
      </c>
      <c r="E75" s="106"/>
      <c r="F75" s="5">
        <f t="shared" si="24"/>
      </c>
      <c r="G75" s="5">
        <f t="shared" si="20"/>
      </c>
      <c r="H75" s="70">
        <f t="shared" si="27"/>
      </c>
      <c r="I75" s="5">
        <f t="shared" si="25"/>
        <v/>
      </c>
      <c r="J75" s="5">
        <f t="shared" si="28"/>
      </c>
      <c r="K75" s="5">
        <f t="shared" si="29"/>
      </c>
      <c r="L75" s="5">
        <f t="shared" si="30"/>
      </c>
      <c r="M75">
        <f t="shared" si="21"/>
      </c>
      <c r="N75" s="18">
        <f t="shared" si="26"/>
      </c>
      <c r="V75" s="117" t="s">
        <v>46</v>
      </c>
      <c r="W75" s="70">
        <v>0.09</v>
      </c>
    </row>
    <row r="76" spans="3:23" x14ac:dyDescent="0.3">
      <c r="C76" s="5">
        <f t="shared" si="22"/>
      </c>
      <c r="D76" s="5">
        <f t="shared" si="23"/>
      </c>
      <c r="E76" s="106"/>
      <c r="F76" s="5">
        <f t="shared" si="24"/>
      </c>
      <c r="G76" s="5">
        <f t="shared" si="20"/>
      </c>
      <c r="H76" s="70">
        <f t="shared" si="27"/>
      </c>
      <c r="I76" s="5">
        <f t="shared" si="25"/>
        <v/>
      </c>
      <c r="J76" s="5">
        <f t="shared" si="28"/>
      </c>
      <c r="K76" s="5">
        <f t="shared" si="29"/>
      </c>
      <c r="L76" s="5">
        <f t="shared" si="30"/>
      </c>
      <c r="M76">
        <f t="shared" si="21"/>
      </c>
      <c r="N76" s="18">
        <f t="shared" si="26"/>
      </c>
      <c r="V76" s="117" t="s">
        <v>44</v>
      </c>
      <c r="W76" s="70">
        <v>0.06</v>
      </c>
    </row>
    <row r="77" spans="3:23" x14ac:dyDescent="0.3">
      <c r="C77" s="5">
        <f t="shared" si="22"/>
      </c>
      <c r="D77" s="5">
        <f t="shared" si="23"/>
      </c>
      <c r="E77" s="106"/>
      <c r="F77" s="5">
        <f t="shared" si="24"/>
      </c>
      <c r="G77" s="5">
        <f t="shared" si="20"/>
      </c>
      <c r="H77" s="70">
        <f t="shared" si="27"/>
      </c>
      <c r="I77" s="5">
        <f t="shared" si="25"/>
        <v/>
      </c>
      <c r="J77" s="5">
        <f t="shared" si="28"/>
      </c>
      <c r="K77" s="5">
        <f t="shared" si="29"/>
      </c>
      <c r="L77" s="5">
        <f t="shared" si="30"/>
      </c>
      <c r="M77">
        <f t="shared" si="21"/>
      </c>
      <c r="N77" s="18">
        <f t="shared" si="26"/>
      </c>
      <c r="V77" s="117" t="s">
        <v>45</v>
      </c>
      <c r="W77" s="70">
        <v>3.2000000000000001E-2</v>
      </c>
    </row>
    <row r="78" spans="3:23" x14ac:dyDescent="0.3">
      <c r="C78" s="5">
        <f t="shared" si="22"/>
      </c>
      <c r="D78" s="5">
        <f t="shared" si="23"/>
      </c>
      <c r="E78" s="107"/>
      <c r="F78" s="5">
        <f t="shared" si="24"/>
      </c>
      <c r="G78" s="5">
        <f t="shared" si="20"/>
      </c>
      <c r="H78" s="70">
        <f t="shared" si="27"/>
      </c>
      <c r="I78" s="5">
        <f t="shared" si="25"/>
        <v/>
      </c>
      <c r="J78" s="5">
        <f t="shared" si="28"/>
      </c>
      <c r="K78" s="5">
        <f t="shared" si="29"/>
      </c>
      <c r="L78" s="5">
        <f t="shared" si="30"/>
      </c>
      <c r="M78">
        <f t="shared" si="21"/>
      </c>
      <c r="N78" s="18">
        <f t="shared" si="26"/>
      </c>
      <c r="V78" s="117" t="s">
        <v>46</v>
      </c>
      <c r="W78" s="70">
        <v>3.2000000000000001E-2</v>
      </c>
    </row>
    <row r="79" spans="3:23" x14ac:dyDescent="0.3">
      <c r="C79" s="5">
        <f t="shared" si="22"/>
      </c>
      <c r="D79" s="5">
        <f t="shared" si="23"/>
      </c>
      <c r="E79" s="107"/>
      <c r="F79" s="5">
        <f t="shared" si="24"/>
      </c>
      <c r="G79" s="5">
        <f t="shared" si="20"/>
      </c>
      <c r="H79" s="70">
        <f t="shared" si="27"/>
      </c>
      <c r="I79" s="5">
        <f t="shared" si="25"/>
        <v/>
      </c>
      <c r="J79" s="5">
        <f t="shared" si="28"/>
      </c>
      <c r="K79" s="5">
        <f t="shared" si="29"/>
      </c>
      <c r="L79" s="5">
        <f t="shared" si="30"/>
      </c>
      <c r="M79">
        <f t="shared" si="21"/>
      </c>
      <c r="N79" s="18">
        <f t="shared" si="26"/>
      </c>
      <c r="V79" s="117" t="s">
        <v>44</v>
      </c>
      <c r="W79" s="70">
        <v>5.0999999999999997E-2</v>
      </c>
    </row>
    <row r="80" spans="3:23" x14ac:dyDescent="0.3">
      <c r="C80" s="5">
        <f t="shared" si="22"/>
      </c>
      <c r="D80" s="5">
        <f t="shared" si="23"/>
      </c>
      <c r="E80" s="106"/>
      <c r="F80" s="5">
        <f t="shared" si="24"/>
      </c>
      <c r="G80" s="5">
        <f t="shared" si="20"/>
      </c>
      <c r="H80" s="70">
        <f t="shared" si="27"/>
      </c>
      <c r="I80" s="5">
        <f t="shared" si="25"/>
        <v/>
      </c>
      <c r="J80" s="5">
        <f t="shared" si="28"/>
      </c>
      <c r="K80" s="5">
        <f t="shared" si="29"/>
      </c>
      <c r="L80" s="5">
        <f t="shared" si="30"/>
      </c>
      <c r="M80">
        <f t="shared" si="21"/>
      </c>
      <c r="N80" s="18">
        <f t="shared" si="26"/>
      </c>
      <c r="V80" s="117" t="s">
        <v>578</v>
      </c>
      <c r="W80" s="70">
        <v>4.5</v>
      </c>
    </row>
    <row r="81" spans="3:14" x14ac:dyDescent="0.3">
      <c r="C81" s="5">
        <f t="shared" si="22"/>
      </c>
      <c r="D81" s="5">
        <f t="shared" si="23"/>
      </c>
      <c r="E81" s="106"/>
      <c r="F81" s="5">
        <f t="shared" si="24"/>
      </c>
      <c r="G81" s="5">
        <f t="shared" si="20"/>
      </c>
      <c r="H81" s="70">
        <f t="shared" si="27"/>
      </c>
      <c r="I81" s="5">
        <f t="shared" si="25"/>
        <v/>
      </c>
      <c r="J81" s="5">
        <f t="shared" si="28"/>
      </c>
      <c r="K81" s="5">
        <f t="shared" si="29"/>
      </c>
      <c r="L81" s="5">
        <f t="shared" si="30"/>
      </c>
      <c r="M81">
        <f t="shared" si="21"/>
      </c>
      <c r="N81" s="18">
        <f t="shared" si="26"/>
      </c>
    </row>
    <row r="82" spans="3:14" x14ac:dyDescent="0.3">
      <c r="C82" s="5">
        <f t="shared" si="22"/>
      </c>
      <c r="D82" s="5">
        <f t="shared" si="23"/>
      </c>
      <c r="E82" s="106"/>
      <c r="F82" s="5">
        <f t="shared" si="24"/>
      </c>
      <c r="G82" s="5">
        <f t="shared" si="20"/>
      </c>
      <c r="H82" s="70">
        <f t="shared" si="27"/>
      </c>
      <c r="I82" s="5">
        <f t="shared" si="25"/>
        <v/>
      </c>
      <c r="J82" s="5">
        <f t="shared" si="28"/>
      </c>
      <c r="K82" s="5">
        <f t="shared" si="29"/>
      </c>
      <c r="L82" s="5">
        <f t="shared" si="30"/>
      </c>
      <c r="M82">
        <f t="shared" si="21"/>
      </c>
      <c r="N82" s="18">
        <f t="shared" si="26"/>
      </c>
    </row>
    <row r="83" spans="3:14" x14ac:dyDescent="0.3">
      <c r="C83" s="5">
        <f t="shared" si="22"/>
      </c>
      <c r="D83" s="5">
        <f t="shared" si="23"/>
      </c>
      <c r="E83" s="106"/>
      <c r="F83" s="5">
        <f t="shared" si="24"/>
      </c>
      <c r="G83" s="5">
        <f t="shared" si="20"/>
      </c>
      <c r="H83" s="70">
        <f t="shared" si="27"/>
      </c>
      <c r="I83" s="5">
        <f t="shared" si="25"/>
        <v/>
      </c>
      <c r="J83" s="5">
        <f t="shared" si="28"/>
      </c>
      <c r="K83" s="5">
        <f t="shared" si="29"/>
      </c>
      <c r="L83" s="5">
        <f t="shared" si="30"/>
      </c>
      <c r="M83">
        <f t="shared" si="21"/>
      </c>
      <c r="N83" s="18">
        <f t="shared" si="26"/>
      </c>
    </row>
    <row r="84" spans="3:14" x14ac:dyDescent="0.3">
      <c r="C84" s="5">
        <f t="shared" si="22"/>
      </c>
      <c r="D84" s="5">
        <f t="shared" si="23"/>
      </c>
      <c r="E84" s="107"/>
      <c r="F84" s="5">
        <f t="shared" si="24"/>
      </c>
      <c r="G84" s="5">
        <f t="shared" si="20"/>
      </c>
      <c r="H84" s="70">
        <f t="shared" si="27"/>
      </c>
      <c r="I84" s="5">
        <f t="shared" si="25"/>
        <v/>
      </c>
      <c r="J84" s="5">
        <f t="shared" si="28"/>
      </c>
      <c r="K84" s="5">
        <f t="shared" si="29"/>
      </c>
      <c r="L84" s="5">
        <f t="shared" si="30"/>
      </c>
      <c r="M84">
        <f t="shared" si="21"/>
      </c>
      <c r="N84" s="18">
        <f t="shared" si="26"/>
      </c>
    </row>
    <row r="85" spans="3:14" x14ac:dyDescent="0.3">
      <c r="C85" s="5">
        <f t="shared" si="22"/>
      </c>
      <c r="D85" s="5">
        <f t="shared" si="23"/>
      </c>
      <c r="E85" s="107"/>
      <c r="F85" s="5">
        <f t="shared" si="24"/>
      </c>
      <c r="G85" s="5">
        <f t="shared" si="20"/>
      </c>
      <c r="H85" s="70">
        <f t="shared" si="27"/>
      </c>
      <c r="I85" s="5">
        <f t="shared" si="25"/>
        <v/>
      </c>
      <c r="J85" s="5">
        <f t="shared" si="28"/>
      </c>
      <c r="K85" s="5">
        <f t="shared" si="29"/>
      </c>
      <c r="L85" s="5">
        <f t="shared" si="30"/>
      </c>
      <c r="M85">
        <f t="shared" si="21"/>
      </c>
      <c r="N85" s="18">
        <f t="shared" si="26"/>
      </c>
    </row>
    <row r="86" spans="3:14" x14ac:dyDescent="0.3">
      <c r="C86" s="5">
        <f t="shared" si="22"/>
      </c>
      <c r="D86" s="5">
        <f t="shared" si="23"/>
      </c>
      <c r="E86" s="107"/>
      <c r="F86" s="5">
        <f t="shared" si="24"/>
      </c>
      <c r="G86" s="5">
        <f t="shared" si="20"/>
      </c>
      <c r="H86" s="70">
        <f t="shared" si="27"/>
      </c>
      <c r="I86" s="5">
        <f t="shared" si="25"/>
        <v/>
      </c>
      <c r="J86" s="5">
        <f t="shared" si="28"/>
      </c>
      <c r="K86" s="5">
        <f t="shared" si="29"/>
      </c>
      <c r="L86" s="5">
        <f t="shared" si="30"/>
      </c>
      <c r="M86">
        <f t="shared" si="21"/>
      </c>
      <c r="N86" s="18">
        <f t="shared" si="26"/>
      </c>
    </row>
    <row r="87" spans="3:14" x14ac:dyDescent="0.3">
      <c r="C87" s="5">
        <f t="shared" si="22"/>
      </c>
      <c r="D87" s="5">
        <f t="shared" si="23"/>
      </c>
      <c r="E87" s="107"/>
      <c r="F87" s="5">
        <f t="shared" si="24"/>
      </c>
      <c r="G87" s="5">
        <f t="shared" si="20"/>
      </c>
      <c r="H87" s="70">
        <f t="shared" si="27"/>
      </c>
      <c r="I87" s="5">
        <f t="shared" si="25"/>
        <v/>
      </c>
      <c r="J87" s="5">
        <f t="shared" si="28"/>
      </c>
      <c r="K87" s="5">
        <f t="shared" si="29"/>
      </c>
      <c r="L87" s="5">
        <f t="shared" si="30"/>
      </c>
      <c r="M87">
        <f t="shared" si="21"/>
      </c>
      <c r="N87" s="18">
        <f t="shared" si="26"/>
      </c>
    </row>
    <row r="88" spans="3:14" x14ac:dyDescent="0.3">
      <c r="C88" s="5">
        <f t="shared" si="22"/>
      </c>
      <c r="D88" s="5">
        <f t="shared" si="23"/>
      </c>
      <c r="E88" s="106"/>
      <c r="F88" s="5">
        <f t="shared" si="24"/>
      </c>
      <c r="G88" s="5">
        <f t="shared" si="20"/>
      </c>
      <c r="H88" s="70">
        <f t="shared" si="27"/>
      </c>
      <c r="I88" s="5">
        <f t="shared" si="25"/>
        <v/>
      </c>
      <c r="J88" s="5">
        <f t="shared" si="28"/>
      </c>
      <c r="K88" s="5">
        <f t="shared" si="29"/>
      </c>
      <c r="L88" s="5">
        <f t="shared" si="30"/>
      </c>
      <c r="M88">
        <f t="shared" si="21"/>
      </c>
      <c r="N88" s="18">
        <f t="shared" si="26"/>
      </c>
    </row>
    <row r="89" spans="3:14" x14ac:dyDescent="0.3">
      <c r="C89" s="5">
        <f t="shared" si="22"/>
      </c>
      <c r="D89" s="5">
        <f t="shared" si="23"/>
      </c>
      <c r="E89" s="106"/>
      <c r="F89" s="5">
        <f t="shared" si="24"/>
      </c>
      <c r="G89" s="5">
        <f t="shared" si="20"/>
      </c>
      <c r="H89" s="70">
        <f t="shared" si="27"/>
      </c>
      <c r="I89" s="5">
        <f t="shared" si="25"/>
        <v/>
      </c>
      <c r="J89" s="5">
        <f t="shared" si="28"/>
      </c>
      <c r="K89" s="5">
        <f t="shared" si="29"/>
      </c>
      <c r="L89" s="5">
        <f t="shared" si="30"/>
      </c>
      <c r="M89">
        <f t="shared" si="21"/>
      </c>
      <c r="N89" s="18">
        <f t="shared" si="26"/>
      </c>
    </row>
    <row r="90" spans="3:14" x14ac:dyDescent="0.3">
      <c r="C90" s="5">
        <f t="shared" si="22"/>
      </c>
      <c r="D90" s="5">
        <f t="shared" si="23"/>
      </c>
      <c r="E90" s="106"/>
      <c r="F90" s="5">
        <f t="shared" si="24"/>
      </c>
      <c r="G90" s="5">
        <f t="shared" si="20"/>
      </c>
      <c r="H90" s="70">
        <f t="shared" si="27"/>
      </c>
      <c r="I90" s="5">
        <f t="shared" si="25"/>
        <v/>
      </c>
      <c r="J90" s="5">
        <f t="shared" si="28"/>
      </c>
      <c r="K90" s="5">
        <f t="shared" si="29"/>
      </c>
      <c r="L90" s="5">
        <f t="shared" si="30"/>
      </c>
      <c r="M90">
        <f t="shared" si="21"/>
      </c>
      <c r="N90" s="18">
        <f t="shared" si="26"/>
      </c>
    </row>
    <row r="91" spans="3:14" x14ac:dyDescent="0.3">
      <c r="C91" s="5">
        <f t="shared" si="22"/>
      </c>
      <c r="D91" s="5">
        <f t="shared" si="23"/>
      </c>
      <c r="E91" s="106"/>
      <c r="F91" s="5">
        <f t="shared" si="24"/>
      </c>
      <c r="G91" s="5">
        <f t="shared" si="20"/>
      </c>
      <c r="H91" s="70">
        <f t="shared" si="27"/>
      </c>
      <c r="I91" s="5">
        <f t="shared" si="25"/>
        <v/>
      </c>
      <c r="J91" s="5">
        <f t="shared" si="28"/>
      </c>
      <c r="K91" s="5">
        <f t="shared" si="29"/>
      </c>
      <c r="L91" s="5">
        <f t="shared" si="30"/>
      </c>
      <c r="M91">
        <f t="shared" si="21"/>
      </c>
      <c r="N91" s="18">
        <f t="shared" si="26"/>
      </c>
    </row>
    <row r="92" spans="3:14" x14ac:dyDescent="0.3">
      <c r="C92" s="5">
        <f t="shared" si="22"/>
      </c>
      <c r="D92" s="5">
        <f t="shared" si="23"/>
      </c>
      <c r="E92" s="107"/>
      <c r="F92" s="5">
        <f t="shared" si="24"/>
      </c>
      <c r="G92" s="5">
        <f t="shared" si="20"/>
      </c>
      <c r="H92" s="70">
        <f t="shared" si="27"/>
      </c>
      <c r="I92" s="5">
        <f t="shared" si="25"/>
        <v/>
      </c>
      <c r="J92" s="5">
        <f t="shared" si="28"/>
      </c>
      <c r="K92" s="5">
        <f t="shared" si="29"/>
      </c>
      <c r="L92" s="5">
        <f t="shared" si="30"/>
      </c>
      <c r="M92">
        <f t="shared" si="21"/>
      </c>
      <c r="N92" s="18">
        <f t="shared" si="26"/>
      </c>
    </row>
    <row r="93" spans="3:14" x14ac:dyDescent="0.3">
      <c r="C93" s="5">
        <f t="shared" si="22"/>
      </c>
      <c r="D93" s="5">
        <f t="shared" si="23"/>
      </c>
      <c r="E93" s="107"/>
      <c r="F93" s="5">
        <f t="shared" si="24"/>
      </c>
      <c r="G93" s="5">
        <f t="shared" ref="G93:G124" si="31">IF(E94="упр","",IF(E94=0,F93,IF(E94="1,2,3","L1,L2,L3","L"&amp;E94)))</f>
      </c>
      <c r="H93" s="70">
        <f t="shared" si="27"/>
      </c>
      <c r="I93" s="5">
        <f t="shared" si="25"/>
        <v/>
      </c>
      <c r="J93" s="5">
        <f t="shared" si="28"/>
      </c>
      <c r="K93" s="5">
        <f t="shared" si="29"/>
      </c>
      <c r="L93" s="5">
        <f t="shared" si="30"/>
      </c>
      <c r="M93">
        <f t="shared" ref="M93:M127" si="32">IF(ISBLANK(E94),M92,E94)</f>
      </c>
      <c r="N93" s="18">
        <f t="shared" si="26"/>
      </c>
    </row>
    <row r="94" spans="3:14" x14ac:dyDescent="0.3">
      <c r="C94" s="5">
        <f t="shared" si="22"/>
      </c>
      <c r="D94" s="5">
        <f t="shared" si="23"/>
      </c>
      <c r="E94" s="107"/>
      <c r="F94" s="5">
        <f t="shared" si="24"/>
      </c>
      <c r="G94" s="5">
        <f t="shared" si="31"/>
      </c>
      <c r="H94" s="70">
        <f t="shared" si="27"/>
      </c>
      <c r="I94" s="5">
        <f t="shared" si="25"/>
        <v/>
      </c>
      <c r="J94" s="5">
        <f t="shared" si="28"/>
      </c>
      <c r="K94" s="5">
        <f t="shared" si="29"/>
      </c>
      <c r="L94" s="5">
        <f t="shared" si="30"/>
      </c>
      <c r="M94">
        <f t="shared" si="32"/>
      </c>
      <c r="N94" s="18">
        <f t="shared" si="26"/>
      </c>
    </row>
    <row r="95" spans="3:14" x14ac:dyDescent="0.3">
      <c r="C95" s="5">
        <f t="shared" si="22"/>
      </c>
      <c r="D95" s="5">
        <f t="shared" si="23"/>
      </c>
      <c r="E95" s="107"/>
      <c r="F95" s="5">
        <f t="shared" si="24"/>
      </c>
      <c r="G95" s="5">
        <f t="shared" si="31"/>
      </c>
      <c r="H95" s="70">
        <f t="shared" si="27"/>
      </c>
      <c r="I95" s="5">
        <f t="shared" si="25"/>
        <v/>
      </c>
      <c r="J95" s="5">
        <f t="shared" si="28"/>
      </c>
      <c r="K95" s="5">
        <f t="shared" si="29"/>
      </c>
      <c r="L95" s="5">
        <f t="shared" si="30"/>
      </c>
      <c r="M95">
        <f t="shared" si="32"/>
      </c>
      <c r="N95" s="18">
        <f t="shared" si="26"/>
      </c>
    </row>
    <row r="96" spans="3:14" x14ac:dyDescent="0.3">
      <c r="C96" s="5">
        <f t="shared" si="22"/>
      </c>
      <c r="D96" s="5">
        <f t="shared" si="23"/>
      </c>
      <c r="E96" s="107"/>
      <c r="F96" s="5">
        <f t="shared" si="24"/>
      </c>
      <c r="G96" s="5">
        <f t="shared" si="31"/>
      </c>
      <c r="H96" s="70">
        <f t="shared" si="27"/>
      </c>
      <c r="I96" s="5">
        <f t="shared" si="25"/>
        <v/>
      </c>
      <c r="J96" s="5">
        <f t="shared" si="28"/>
      </c>
      <c r="K96" s="5">
        <f t="shared" si="29"/>
      </c>
      <c r="L96" s="5">
        <f t="shared" si="30"/>
      </c>
      <c r="M96">
        <f t="shared" si="32"/>
      </c>
      <c r="N96" s="18">
        <f t="shared" si="26"/>
      </c>
    </row>
    <row r="97" spans="3:14" x14ac:dyDescent="0.3">
      <c r="C97" s="5">
        <f t="shared" si="22"/>
      </c>
      <c r="D97" s="5">
        <f t="shared" si="23"/>
      </c>
      <c r="E97" s="107"/>
      <c r="F97" s="5">
        <f t="shared" si="24"/>
      </c>
      <c r="G97" s="5">
        <f t="shared" si="31"/>
      </c>
      <c r="H97" s="70">
        <f t="shared" si="27"/>
      </c>
      <c r="I97" s="5">
        <f t="shared" si="25"/>
        <v/>
      </c>
      <c r="J97" s="5">
        <f t="shared" si="28"/>
      </c>
      <c r="K97" s="5">
        <f t="shared" si="29"/>
      </c>
      <c r="L97" s="5">
        <f t="shared" si="30"/>
      </c>
      <c r="M97">
        <f t="shared" si="32"/>
      </c>
      <c r="N97" s="18">
        <f t="shared" si="26"/>
      </c>
    </row>
    <row r="98" spans="3:14" x14ac:dyDescent="0.3">
      <c r="C98" s="5">
        <f t="shared" si="22"/>
      </c>
      <c r="D98" s="5">
        <f t="shared" si="23"/>
      </c>
      <c r="E98" s="107"/>
      <c r="F98" s="5">
        <f t="shared" si="24"/>
      </c>
      <c r="G98" s="5">
        <f t="shared" si="31"/>
      </c>
      <c r="H98" s="70">
        <f t="shared" si="27"/>
      </c>
      <c r="I98" s="5">
        <f t="shared" si="25"/>
        <v/>
      </c>
      <c r="J98" s="5">
        <f t="shared" si="28"/>
      </c>
      <c r="K98" s="5">
        <f t="shared" si="29"/>
      </c>
      <c r="L98" s="5">
        <f t="shared" si="30"/>
      </c>
      <c r="M98">
        <f t="shared" si="32"/>
      </c>
      <c r="N98" s="18">
        <f t="shared" si="26"/>
      </c>
    </row>
    <row r="99" spans="3:14" x14ac:dyDescent="0.3">
      <c r="C99" s="5">
        <f t="shared" si="22"/>
      </c>
      <c r="D99" s="5">
        <f t="shared" si="23"/>
      </c>
      <c r="E99" s="107"/>
      <c r="F99" s="5">
        <f t="shared" si="24"/>
      </c>
      <c r="G99" s="5">
        <f t="shared" si="31"/>
      </c>
      <c r="H99" s="70">
        <f t="shared" si="27"/>
      </c>
      <c r="I99" s="5">
        <f t="shared" si="25"/>
        <v/>
      </c>
      <c r="J99" s="5">
        <f t="shared" si="28"/>
      </c>
      <c r="K99" s="5">
        <f t="shared" si="29"/>
      </c>
      <c r="L99" s="5">
        <f t="shared" si="30"/>
      </c>
      <c r="M99">
        <f t="shared" si="32"/>
      </c>
      <c r="N99" s="18">
        <f t="shared" si="26"/>
      </c>
    </row>
    <row r="100" spans="3:14" x14ac:dyDescent="0.3">
      <c r="C100" s="5">
        <f t="shared" si="22"/>
      </c>
      <c r="D100" s="5">
        <f t="shared" si="23"/>
      </c>
      <c r="E100" s="107"/>
      <c r="F100" s="5">
        <f t="shared" si="24"/>
      </c>
      <c r="G100" s="5">
        <f t="shared" si="31"/>
      </c>
      <c r="H100" s="70">
        <f t="shared" si="27"/>
      </c>
      <c r="I100" s="5">
        <f t="shared" si="25"/>
        <v/>
      </c>
      <c r="J100" s="5">
        <f t="shared" si="28"/>
      </c>
      <c r="K100" s="5">
        <f t="shared" si="29"/>
      </c>
      <c r="L100" s="5">
        <f t="shared" si="30"/>
      </c>
      <c r="M100">
        <f t="shared" si="32"/>
      </c>
      <c r="N100" s="18">
        <f t="shared" si="26"/>
      </c>
    </row>
    <row r="101" spans="3:14" x14ac:dyDescent="0.3">
      <c r="C101" s="5">
        <f t="shared" si="22"/>
      </c>
      <c r="D101" s="5">
        <f t="shared" si="23"/>
      </c>
      <c r="E101" s="107"/>
      <c r="F101" s="5">
        <f t="shared" si="24"/>
      </c>
      <c r="G101" s="5">
        <f t="shared" si="31"/>
      </c>
      <c r="H101" s="70">
        <f t="shared" si="27"/>
      </c>
      <c r="I101" s="5">
        <f t="shared" si="25"/>
        <v/>
      </c>
      <c r="J101" s="5">
        <f t="shared" si="28"/>
      </c>
      <c r="K101" s="5">
        <f t="shared" si="29"/>
      </c>
      <c r="L101" s="5">
        <f t="shared" si="30"/>
      </c>
      <c r="M101">
        <f t="shared" si="32"/>
      </c>
      <c r="N101" s="18">
        <f t="shared" si="26"/>
      </c>
    </row>
    <row r="102" spans="3:14" x14ac:dyDescent="0.3">
      <c r="C102" s="5">
        <f t="shared" si="22"/>
      </c>
      <c r="D102" s="5">
        <f t="shared" si="23"/>
      </c>
      <c r="E102" s="107"/>
      <c r="F102" s="5">
        <f t="shared" si="24"/>
      </c>
      <c r="G102" s="5">
        <f t="shared" si="31"/>
      </c>
      <c r="H102" s="70">
        <f t="shared" si="27"/>
      </c>
      <c r="I102" s="5">
        <f t="shared" si="25"/>
        <v/>
      </c>
      <c r="J102" s="5">
        <f t="shared" si="28"/>
      </c>
      <c r="K102" s="5">
        <f t="shared" si="29"/>
      </c>
      <c r="L102" s="5">
        <f t="shared" si="30"/>
      </c>
      <c r="M102">
        <f t="shared" si="32"/>
      </c>
      <c r="N102" s="18">
        <f t="shared" si="26"/>
      </c>
    </row>
    <row r="103" spans="3:14" x14ac:dyDescent="0.3">
      <c r="C103" s="5">
        <f t="shared" si="22"/>
      </c>
      <c r="D103" s="5">
        <f t="shared" si="23"/>
      </c>
      <c r="E103" s="107"/>
      <c r="F103" s="5">
        <f t="shared" si="24"/>
      </c>
      <c r="G103" s="5">
        <f t="shared" si="31"/>
      </c>
      <c r="H103" s="70">
        <f t="shared" si="27"/>
      </c>
      <c r="I103" s="5">
        <f t="shared" si="25"/>
        <v/>
      </c>
      <c r="J103" s="5">
        <f t="shared" si="28"/>
      </c>
      <c r="K103" s="5">
        <f t="shared" si="29"/>
      </c>
      <c r="L103" s="5">
        <f t="shared" si="30"/>
      </c>
      <c r="M103">
        <f t="shared" si="32"/>
      </c>
      <c r="N103" s="18">
        <f t="shared" si="26"/>
      </c>
    </row>
    <row r="104" spans="3:14" x14ac:dyDescent="0.3">
      <c r="C104" s="5">
        <f t="shared" si="22"/>
      </c>
      <c r="D104" s="5">
        <f t="shared" si="23"/>
      </c>
      <c r="E104" s="107"/>
      <c r="F104" s="5">
        <f t="shared" si="24"/>
      </c>
      <c r="G104" s="5">
        <f t="shared" si="31"/>
      </c>
      <c r="H104" s="70">
        <f t="shared" si="27"/>
      </c>
      <c r="I104" s="5">
        <f t="shared" si="25"/>
        <v/>
      </c>
      <c r="J104" s="5">
        <f t="shared" si="28"/>
      </c>
      <c r="K104" s="5">
        <f t="shared" si="29"/>
      </c>
      <c r="L104" s="5">
        <f t="shared" si="30"/>
      </c>
      <c r="M104">
        <f t="shared" si="32"/>
      </c>
      <c r="N104" s="18">
        <f t="shared" si="26"/>
      </c>
    </row>
    <row r="105" spans="3:14" x14ac:dyDescent="0.3">
      <c r="C105" s="5">
        <f t="shared" si="22"/>
      </c>
      <c r="D105" s="5">
        <f t="shared" si="23"/>
      </c>
      <c r="E105" s="107"/>
      <c r="F105" s="5">
        <f t="shared" si="24"/>
      </c>
      <c r="G105" s="5">
        <f t="shared" si="31"/>
      </c>
      <c r="H105" s="70">
        <f t="shared" si="27"/>
      </c>
      <c r="I105" s="5">
        <f t="shared" si="25"/>
        <v/>
      </c>
      <c r="J105" s="5">
        <f t="shared" si="28"/>
      </c>
      <c r="K105" s="5">
        <f t="shared" si="29"/>
      </c>
      <c r="L105" s="5">
        <f t="shared" si="30"/>
      </c>
      <c r="M105">
        <f t="shared" si="32"/>
      </c>
      <c r="N105" s="18">
        <f t="shared" si="26"/>
      </c>
    </row>
    <row r="106" spans="3:14" x14ac:dyDescent="0.3">
      <c r="C106" s="5">
        <f t="shared" si="22"/>
      </c>
      <c r="D106" s="5">
        <f t="shared" si="23"/>
      </c>
      <c r="E106" s="107"/>
      <c r="F106" s="5">
        <f t="shared" si="24"/>
      </c>
      <c r="G106" s="5">
        <f t="shared" si="31"/>
      </c>
      <c r="H106" s="70">
        <f t="shared" si="27"/>
      </c>
      <c r="I106" s="5">
        <f t="shared" si="25"/>
        <v/>
      </c>
      <c r="J106" s="5">
        <f t="shared" si="28"/>
      </c>
      <c r="K106" s="5">
        <f t="shared" si="29"/>
      </c>
      <c r="L106" s="5">
        <f t="shared" si="30"/>
      </c>
      <c r="M106">
        <f t="shared" si="32"/>
      </c>
      <c r="N106" s="18">
        <f t="shared" si="26"/>
      </c>
    </row>
    <row r="107" spans="3:14" x14ac:dyDescent="0.3">
      <c r="C107" s="5">
        <f t="shared" si="22"/>
      </c>
      <c r="D107" s="5">
        <f t="shared" si="23"/>
      </c>
      <c r="E107" s="107"/>
      <c r="F107" s="5">
        <f t="shared" si="24"/>
      </c>
      <c r="G107" s="5">
        <f t="shared" si="31"/>
      </c>
      <c r="H107" s="70">
        <f t="shared" si="27"/>
      </c>
      <c r="I107" s="5">
        <f t="shared" si="25"/>
        <v/>
      </c>
      <c r="J107" s="5">
        <f t="shared" si="28"/>
      </c>
      <c r="K107" s="5">
        <f t="shared" si="29"/>
      </c>
      <c r="L107" s="5">
        <f t="shared" si="30"/>
      </c>
      <c r="M107">
        <f t="shared" si="32"/>
      </c>
      <c r="N107" s="18">
        <f t="shared" si="26"/>
      </c>
    </row>
    <row r="108" spans="3:14" x14ac:dyDescent="0.3">
      <c r="C108" s="5">
        <f t="shared" si="22"/>
      </c>
      <c r="D108" s="5">
        <f t="shared" si="23"/>
      </c>
      <c r="E108" s="106"/>
      <c r="F108" s="5">
        <f t="shared" si="24"/>
      </c>
      <c r="G108" s="5">
        <f t="shared" si="31"/>
      </c>
      <c r="H108" s="70">
        <f t="shared" si="27"/>
      </c>
      <c r="I108" s="5">
        <f t="shared" si="25"/>
        <v/>
      </c>
      <c r="J108" s="5">
        <f t="shared" si="28"/>
      </c>
      <c r="K108" s="5">
        <f t="shared" si="29"/>
      </c>
      <c r="L108" s="5">
        <f t="shared" si="30"/>
      </c>
      <c r="M108">
        <f t="shared" si="32"/>
      </c>
      <c r="N108" s="18">
        <f t="shared" si="26"/>
      </c>
    </row>
    <row r="109" spans="3:14" x14ac:dyDescent="0.3">
      <c r="C109" s="5">
        <f t="shared" si="22"/>
      </c>
      <c r="D109" s="5">
        <f t="shared" si="23"/>
      </c>
      <c r="E109" s="106"/>
      <c r="F109" s="5">
        <f t="shared" si="24"/>
      </c>
      <c r="G109" s="5">
        <f t="shared" si="31"/>
      </c>
      <c r="H109" s="70">
        <f t="shared" si="27"/>
      </c>
      <c r="I109" s="5">
        <f t="shared" si="25"/>
        <v/>
      </c>
      <c r="J109" s="5">
        <f t="shared" si="28"/>
      </c>
      <c r="K109" s="5">
        <f t="shared" si="29"/>
      </c>
      <c r="L109" s="5">
        <f t="shared" si="30"/>
      </c>
      <c r="M109">
        <f t="shared" si="32"/>
      </c>
      <c r="N109" s="18">
        <f t="shared" si="26"/>
      </c>
    </row>
    <row r="110" spans="3:14" x14ac:dyDescent="0.3">
      <c r="C110" s="5">
        <f t="shared" si="22"/>
      </c>
      <c r="D110" s="5">
        <f t="shared" si="23"/>
      </c>
      <c r="E110" s="107"/>
      <c r="F110" s="5">
        <f t="shared" si="24"/>
      </c>
      <c r="G110" s="5">
        <f t="shared" si="31"/>
      </c>
      <c r="H110" s="70">
        <f t="shared" si="27"/>
      </c>
      <c r="I110" s="5">
        <f t="shared" si="25"/>
        <v/>
      </c>
      <c r="J110" s="5">
        <f t="shared" si="28"/>
      </c>
      <c r="K110" s="5">
        <f t="shared" si="29"/>
      </c>
      <c r="L110" s="5">
        <f t="shared" si="30"/>
      </c>
      <c r="M110">
        <f t="shared" si="32"/>
      </c>
      <c r="N110" s="18">
        <f t="shared" si="26"/>
      </c>
    </row>
    <row r="111" spans="3:14" x14ac:dyDescent="0.3">
      <c r="C111" s="5">
        <f t="shared" si="22"/>
      </c>
      <c r="D111" s="5">
        <f t="shared" si="23"/>
      </c>
      <c r="E111" s="107"/>
      <c r="F111" s="5">
        <f t="shared" si="24"/>
      </c>
      <c r="G111" s="5">
        <f t="shared" si="31"/>
      </c>
      <c r="H111" s="70">
        <f t="shared" si="27"/>
      </c>
      <c r="I111" s="5">
        <f t="shared" si="25"/>
        <v/>
      </c>
      <c r="J111" s="5">
        <f t="shared" si="28"/>
      </c>
      <c r="K111" s="5">
        <f t="shared" si="29"/>
      </c>
      <c r="L111" s="5">
        <f t="shared" si="30"/>
      </c>
      <c r="M111">
        <f t="shared" si="32"/>
      </c>
      <c r="N111" s="18">
        <f t="shared" si="26"/>
      </c>
    </row>
    <row r="112" spans="3:14" x14ac:dyDescent="0.3">
      <c r="C112" s="5">
        <f t="shared" si="22"/>
      </c>
      <c r="D112" s="5">
        <f t="shared" si="23"/>
      </c>
      <c r="E112" s="107"/>
      <c r="F112" s="5">
        <f t="shared" si="24"/>
      </c>
      <c r="G112" s="5">
        <f t="shared" si="31"/>
      </c>
      <c r="H112" s="70">
        <f t="shared" si="27"/>
      </c>
      <c r="I112" s="5">
        <f t="shared" si="25"/>
        <v/>
      </c>
      <c r="J112" s="5">
        <f t="shared" si="28"/>
      </c>
      <c r="K112" s="5">
        <f t="shared" si="29"/>
      </c>
      <c r="L112" s="5">
        <f t="shared" si="30"/>
      </c>
      <c r="M112">
        <f t="shared" si="32"/>
      </c>
      <c r="N112" s="18">
        <f t="shared" si="26"/>
      </c>
    </row>
    <row r="113" spans="3:14" x14ac:dyDescent="0.3">
      <c r="C113" s="5">
        <f t="shared" si="22"/>
      </c>
      <c r="D113" s="5">
        <f t="shared" si="23"/>
      </c>
      <c r="E113" s="107"/>
      <c r="F113" s="5">
        <f t="shared" si="24"/>
      </c>
      <c r="G113" s="5">
        <f t="shared" si="31"/>
      </c>
      <c r="H113" s="70">
        <f t="shared" si="27"/>
      </c>
      <c r="I113" s="5">
        <f t="shared" si="25"/>
        <v/>
      </c>
      <c r="J113" s="5">
        <f t="shared" si="28"/>
      </c>
      <c r="K113" s="5">
        <f t="shared" si="29"/>
      </c>
      <c r="L113" s="5">
        <f t="shared" si="30"/>
      </c>
      <c r="M113">
        <f t="shared" si="32"/>
      </c>
      <c r="N113" s="18">
        <f t="shared" si="26"/>
      </c>
    </row>
    <row r="114" spans="3:14" x14ac:dyDescent="0.3">
      <c r="C114" s="5">
        <f t="shared" si="22"/>
      </c>
      <c r="D114" s="5">
        <f t="shared" si="23"/>
      </c>
      <c r="E114" s="106"/>
      <c r="F114" s="5">
        <f t="shared" si="24"/>
      </c>
      <c r="G114" s="5">
        <f t="shared" si="31"/>
      </c>
      <c r="H114" s="70">
        <f t="shared" si="27"/>
      </c>
      <c r="I114" s="5">
        <f t="shared" si="25"/>
        <v/>
      </c>
      <c r="J114" s="5">
        <f t="shared" si="28"/>
      </c>
      <c r="K114" s="5">
        <f t="shared" si="29"/>
      </c>
      <c r="L114" s="5">
        <f t="shared" si="30"/>
      </c>
      <c r="M114">
        <f t="shared" si="32"/>
      </c>
      <c r="N114" s="18">
        <f t="shared" si="26"/>
      </c>
    </row>
    <row r="115" spans="3:14" x14ac:dyDescent="0.3">
      <c r="C115" s="5">
        <f t="shared" si="22"/>
      </c>
      <c r="D115" s="5">
        <f t="shared" si="23"/>
      </c>
      <c r="E115" s="106"/>
      <c r="F115" s="5">
        <f t="shared" si="24"/>
      </c>
      <c r="G115" s="5">
        <f t="shared" si="31"/>
      </c>
      <c r="H115" s="70">
        <f t="shared" si="27"/>
      </c>
      <c r="I115" s="5">
        <f t="shared" si="25"/>
        <v/>
      </c>
      <c r="J115" s="5">
        <f t="shared" si="28"/>
      </c>
      <c r="K115" s="5">
        <f t="shared" si="29"/>
      </c>
      <c r="L115" s="5">
        <f t="shared" si="30"/>
      </c>
      <c r="M115">
        <f t="shared" si="32"/>
      </c>
      <c r="N115" s="18">
        <f t="shared" si="26"/>
      </c>
    </row>
    <row r="116" spans="3:14" x14ac:dyDescent="0.3">
      <c r="C116" s="5">
        <f t="shared" si="22"/>
      </c>
      <c r="D116" s="5">
        <f t="shared" si="23"/>
      </c>
      <c r="E116" s="106"/>
      <c r="F116" s="5">
        <f t="shared" si="24"/>
      </c>
      <c r="G116" s="5">
        <f t="shared" si="31"/>
      </c>
      <c r="H116" s="70">
        <f t="shared" si="27"/>
      </c>
      <c r="I116" s="5">
        <f t="shared" si="25"/>
        <v/>
      </c>
      <c r="J116" s="5">
        <f t="shared" si="28"/>
      </c>
      <c r="K116" s="5">
        <f t="shared" si="29"/>
      </c>
      <c r="L116" s="5">
        <f t="shared" si="30"/>
      </c>
      <c r="M116">
        <f t="shared" si="32"/>
      </c>
      <c r="N116" s="18">
        <f t="shared" si="26"/>
      </c>
    </row>
    <row r="117" spans="3:14" x14ac:dyDescent="0.3">
      <c r="C117" s="5">
        <f t="shared" si="22"/>
      </c>
      <c r="D117" s="5">
        <f t="shared" si="23"/>
      </c>
      <c r="E117" s="106"/>
      <c r="F117" s="5">
        <f t="shared" si="24"/>
      </c>
      <c r="G117" s="5">
        <f t="shared" si="31"/>
      </c>
      <c r="H117" s="70">
        <f t="shared" si="27"/>
      </c>
      <c r="I117" s="5">
        <f t="shared" si="25"/>
        <v/>
      </c>
      <c r="J117" s="5">
        <f t="shared" si="28"/>
      </c>
      <c r="K117" s="5">
        <f t="shared" si="29"/>
      </c>
      <c r="L117" s="5">
        <f t="shared" si="30"/>
      </c>
      <c r="M117">
        <f t="shared" si="32"/>
      </c>
      <c r="N117" s="18">
        <f t="shared" si="26"/>
      </c>
    </row>
    <row r="118" spans="3:14" x14ac:dyDescent="0.3">
      <c r="C118" s="5">
        <f t="shared" si="22"/>
      </c>
      <c r="D118" s="5">
        <f t="shared" si="23"/>
      </c>
      <c r="E118" s="107"/>
      <c r="F118" s="5">
        <f t="shared" si="24"/>
      </c>
      <c r="G118" s="5">
        <f t="shared" si="31"/>
      </c>
      <c r="H118" s="70">
        <f t="shared" si="27"/>
      </c>
      <c r="I118" s="5">
        <f t="shared" si="25"/>
        <v/>
      </c>
      <c r="J118" s="5">
        <f t="shared" si="28"/>
      </c>
      <c r="K118" s="5">
        <f t="shared" si="29"/>
      </c>
      <c r="L118" s="5">
        <f t="shared" si="30"/>
      </c>
      <c r="M118">
        <f t="shared" si="32"/>
      </c>
      <c r="N118" s="18">
        <f t="shared" si="26"/>
      </c>
    </row>
    <row r="119" spans="3:14" x14ac:dyDescent="0.3">
      <c r="C119" s="5">
        <f t="shared" si="22"/>
      </c>
      <c r="D119" s="5">
        <f t="shared" si="23"/>
      </c>
      <c r="E119" s="107"/>
      <c r="F119" s="5">
        <f t="shared" si="24"/>
      </c>
      <c r="G119" s="5">
        <f t="shared" si="31"/>
      </c>
      <c r="H119" s="70">
        <f t="shared" si="27"/>
      </c>
      <c r="I119" s="5">
        <f t="shared" si="25"/>
        <v/>
      </c>
      <c r="J119" s="5">
        <f t="shared" si="28"/>
      </c>
      <c r="K119" s="5">
        <f t="shared" si="29"/>
      </c>
      <c r="L119" s="5">
        <f t="shared" si="30"/>
      </c>
      <c r="M119">
        <f t="shared" si="32"/>
      </c>
      <c r="N119" s="18">
        <f t="shared" si="26"/>
      </c>
    </row>
    <row r="120" spans="3:14" x14ac:dyDescent="0.3">
      <c r="C120" s="5">
        <f t="shared" si="22"/>
      </c>
      <c r="D120" s="5">
        <f t="shared" si="23"/>
      </c>
      <c r="E120" s="107"/>
      <c r="F120" s="5">
        <f t="shared" si="24"/>
      </c>
      <c r="G120" s="5">
        <f t="shared" si="31"/>
      </c>
      <c r="H120" s="70">
        <f t="shared" si="27"/>
      </c>
      <c r="I120" s="5">
        <f t="shared" si="25"/>
        <v/>
      </c>
      <c r="J120" s="5">
        <f t="shared" si="28"/>
      </c>
      <c r="K120" s="5">
        <f t="shared" si="29"/>
      </c>
      <c r="L120" s="5">
        <f t="shared" si="30"/>
      </c>
      <c r="M120">
        <f t="shared" si="32"/>
      </c>
      <c r="N120" s="18">
        <f t="shared" si="26"/>
      </c>
    </row>
    <row r="121" spans="3:14" x14ac:dyDescent="0.3">
      <c r="C121" s="5">
        <f t="shared" si="22"/>
      </c>
      <c r="D121" s="5">
        <f t="shared" si="23"/>
      </c>
      <c r="E121" s="107"/>
      <c r="F121" s="5">
        <f t="shared" si="24"/>
      </c>
      <c r="G121" s="5">
        <f t="shared" si="31"/>
      </c>
      <c r="H121" s="70">
        <f t="shared" si="27"/>
      </c>
      <c r="I121" s="5">
        <f t="shared" si="25"/>
        <v/>
      </c>
      <c r="J121" s="5">
        <f t="shared" si="28"/>
      </c>
      <c r="K121" s="5">
        <f t="shared" si="29"/>
      </c>
      <c r="L121" s="5">
        <f t="shared" si="30"/>
      </c>
      <c r="M121">
        <f t="shared" si="32"/>
      </c>
      <c r="N121" s="18">
        <f t="shared" si="26"/>
      </c>
    </row>
    <row r="122" spans="3:14" x14ac:dyDescent="0.3">
      <c r="C122" s="5">
        <f t="shared" si="22"/>
      </c>
      <c r="D122" s="5">
        <f t="shared" si="23"/>
      </c>
      <c r="E122" s="106"/>
      <c r="F122" s="5">
        <f t="shared" si="24"/>
      </c>
      <c r="G122" s="5">
        <f t="shared" si="31"/>
      </c>
      <c r="H122" s="70">
        <f t="shared" si="27"/>
      </c>
      <c r="I122" s="5">
        <f t="shared" si="25"/>
        <v/>
      </c>
      <c r="J122" s="5">
        <f t="shared" si="28"/>
      </c>
      <c r="K122" s="5">
        <f t="shared" si="29"/>
      </c>
      <c r="L122" s="5">
        <f t="shared" si="30"/>
      </c>
      <c r="M122">
        <f t="shared" si="32"/>
      </c>
      <c r="N122" s="18">
        <f t="shared" si="26"/>
      </c>
    </row>
    <row r="123" spans="3:14" x14ac:dyDescent="0.3">
      <c r="C123" s="5">
        <f t="shared" si="22"/>
      </c>
      <c r="D123" s="5">
        <f t="shared" si="23"/>
      </c>
      <c r="E123" s="106"/>
      <c r="F123" s="5">
        <f t="shared" si="24"/>
      </c>
      <c r="G123" s="5">
        <f t="shared" si="31"/>
      </c>
      <c r="H123" s="70">
        <f t="shared" si="27"/>
      </c>
      <c r="I123" s="5">
        <f t="shared" si="25"/>
        <v/>
      </c>
      <c r="J123" s="5">
        <f t="shared" si="28"/>
      </c>
      <c r="K123" s="5">
        <f t="shared" si="29"/>
      </c>
      <c r="L123" s="5">
        <f t="shared" si="30"/>
      </c>
      <c r="M123">
        <f t="shared" si="32"/>
      </c>
      <c r="N123" s="18">
        <f t="shared" si="26"/>
      </c>
    </row>
    <row r="124" spans="3:14" x14ac:dyDescent="0.3">
      <c r="C124" s="5">
        <f t="shared" si="22"/>
      </c>
      <c r="D124" s="5">
        <f t="shared" si="23"/>
      </c>
      <c r="E124" s="106"/>
      <c r="F124" s="5">
        <f t="shared" si="24"/>
      </c>
      <c r="G124" s="5">
        <f t="shared" si="31"/>
      </c>
      <c r="H124" s="70">
        <f t="shared" si="27"/>
      </c>
      <c r="I124" s="5">
        <f t="shared" si="25"/>
        <v/>
      </c>
      <c r="J124" s="5">
        <f t="shared" si="28"/>
      </c>
      <c r="K124" s="5">
        <f t="shared" si="29"/>
      </c>
      <c r="L124" s="5">
        <f t="shared" si="30"/>
      </c>
      <c r="M124">
        <f t="shared" si="32"/>
      </c>
      <c r="N124" s="18">
        <f t="shared" si="26"/>
      </c>
    </row>
    <row r="125" spans="3:14" x14ac:dyDescent="0.3">
      <c r="C125" s="5">
        <f t="shared" si="22"/>
      </c>
      <c r="D125" s="5">
        <f t="shared" si="23"/>
      </c>
      <c r="E125" s="106"/>
      <c r="F125" s="5">
        <f t="shared" si="24"/>
      </c>
      <c r="G125" s="5">
        <f t="shared" ref="G125:G127" si="33">IF(E126="упр","",IF(E126=0,F125,IF(E126="1,2,3","L1,L2,L3","L"&amp;E126)))</f>
      </c>
      <c r="H125" s="70">
        <f t="shared" si="27"/>
      </c>
      <c r="I125" s="5">
        <f t="shared" si="25"/>
        <v/>
      </c>
      <c r="J125" s="5">
        <f t="shared" si="28"/>
      </c>
      <c r="K125" s="5">
        <f t="shared" si="29"/>
      </c>
      <c r="L125" s="5">
        <f t="shared" si="30"/>
      </c>
      <c r="M125">
        <f t="shared" si="32"/>
      </c>
      <c r="N125" s="18">
        <f t="shared" si="26"/>
      </c>
    </row>
    <row r="126" spans="3:14" x14ac:dyDescent="0.3">
      <c r="C126" s="5">
        <f t="shared" si="22"/>
      </c>
      <c r="D126" s="5">
        <f t="shared" si="23"/>
      </c>
      <c r="E126" s="103"/>
      <c r="F126" s="5">
        <f t="shared" si="24"/>
      </c>
      <c r="G126" s="5">
        <f t="shared" si="33"/>
      </c>
      <c r="H126" s="70">
        <f t="shared" si="27"/>
      </c>
      <c r="I126" s="5">
        <f t="shared" si="25"/>
        <v/>
      </c>
      <c r="J126" s="5">
        <f t="shared" si="28"/>
      </c>
      <c r="K126" s="5">
        <f t="shared" si="29"/>
      </c>
      <c r="L126" s="5">
        <f t="shared" si="30"/>
      </c>
      <c r="M126">
        <f t="shared" si="32"/>
      </c>
      <c r="N126" s="18">
        <f t="shared" si="26"/>
      </c>
    </row>
    <row r="127" spans="3:14" x14ac:dyDescent="0.3">
      <c r="C127" s="5">
        <f t="shared" si="22"/>
      </c>
      <c r="D127" s="5">
        <f t="shared" si="23"/>
      </c>
      <c r="E127" s="103"/>
      <c r="F127" s="5">
        <f t="shared" si="24"/>
      </c>
      <c r="G127" s="5">
        <f t="shared" si="33"/>
      </c>
      <c r="H127" s="70">
        <f t="shared" si="27"/>
      </c>
      <c r="I127" s="5">
        <f t="shared" si="25"/>
        <v/>
      </c>
      <c r="J127" s="5">
        <f t="shared" si="28"/>
      </c>
      <c r="K127" s="5">
        <f t="shared" si="29"/>
      </c>
      <c r="L127" s="5">
        <f t="shared" si="30"/>
      </c>
      <c r="M127">
        <f t="shared" si="32"/>
      </c>
      <c r="N127" s="18">
        <f t="shared" si="26"/>
      </c>
    </row>
    <row r="128" spans="3:14" x14ac:dyDescent="0.3">
      <c r="C128" s="5">
        <f t="shared" si="22"/>
      </c>
      <c r="D128" s="5">
        <f t="shared" si="23"/>
      </c>
      <c r="E128" s="103"/>
      <c r="F128" s="5">
        <f t="shared" si="24"/>
      </c>
      <c r="G128" s="5">
        <f>IF(#REF!="упр","",IF(#REF!=0,F128,IF(#REF!="1,2,3","L1,L2,L3","L"&amp;#REF!)))</f>
      </c>
      <c r="H128" s="70">
        <f t="shared" si="27"/>
      </c>
      <c r="I128" s="5">
        <f t="shared" si="25"/>
        <v/>
      </c>
      <c r="J128" s="5">
        <f t="shared" si="28"/>
      </c>
      <c r="K128" s="5">
        <f t="shared" si="29"/>
      </c>
      <c r="L128" s="5">
        <f t="shared" si="30"/>
      </c>
      <c r="M128">
        <f>IF(ISBLANK(#REF!),M127,#REF!)</f>
      </c>
      <c r="N128" s="18">
        <f t="shared" si="26"/>
      </c>
    </row>
    <row r="129" spans="3:14" x14ac:dyDescent="0.3">
      <c r="C129" s="5">
        <f t="shared" si="22"/>
      </c>
      <c r="D129" s="5">
        <f t="shared" si="23"/>
      </c>
      <c r="E129" s="94"/>
      <c r="F129" s="5">
        <f t="shared" si="24"/>
      </c>
      <c r="G129" s="5">
        <f t="shared" ref="G129:G132" si="34">IF(E129="упр","",IF(E129=0,F129,IF(E129="1,2,3","L1,L2,L3","L"&amp;E129)))</f>
      </c>
      <c r="H129" s="70">
        <f t="shared" si="27"/>
      </c>
      <c r="I129" s="5">
        <f t="shared" si="25"/>
        <v/>
      </c>
      <c r="J129" s="5">
        <f t="shared" si="28"/>
      </c>
      <c r="K129" s="5">
        <f t="shared" si="29"/>
      </c>
      <c r="L129" s="5">
        <f t="shared" si="30"/>
      </c>
      <c r="M129">
        <f t="shared" ref="M129:M130" si="35">IF(ISBLANK(E129),M128,E129)</f>
      </c>
      <c r="N129" s="18">
        <f t="shared" si="26"/>
      </c>
    </row>
    <row r="130" spans="3:14" x14ac:dyDescent="0.3">
      <c r="C130" s="5">
        <f t="shared" si="22"/>
      </c>
      <c r="D130" s="5">
        <f t="shared" si="23"/>
      </c>
      <c r="E130" s="94"/>
      <c r="F130" s="5">
        <f t="shared" si="24"/>
      </c>
      <c r="G130" s="5">
        <f t="shared" si="34"/>
      </c>
      <c r="H130" s="70">
        <f t="shared" si="27"/>
      </c>
      <c r="I130" s="5">
        <f t="shared" si="25"/>
        <v/>
      </c>
      <c r="J130" s="5">
        <f t="shared" si="28"/>
      </c>
      <c r="K130" s="5">
        <f t="shared" si="29"/>
      </c>
      <c r="L130" s="5">
        <f t="shared" si="30"/>
      </c>
      <c r="M130">
        <f t="shared" si="35"/>
      </c>
      <c r="N130" s="18">
        <f t="shared" si="26"/>
      </c>
    </row>
    <row r="131" spans="3:14" x14ac:dyDescent="0.3">
      <c r="C131" s="5">
        <f t="shared" ref="C131:C194" si="36">VLOOKUP(ROW(129:129),Разбивка_нумерация_5,2,FALSE)</f>
      </c>
      <c r="D131" s="5">
        <f t="shared" ref="D131:D194" si="37">VLOOKUP(ROW(129:129),Разбивка_нумерация_5,4,FALSE)</f>
      </c>
      <c r="E131" s="94"/>
      <c r="F131" s="5">
        <f t="shared" ref="F131:F194" si="38">VLOOKUP(ROW(129:129),Разбивка_нумерация_5,16,FALSE)</f>
      </c>
      <c r="G131" s="5">
        <f t="shared" si="34"/>
      </c>
      <c r="H131" s="70">
        <f t="shared" si="27"/>
      </c>
      <c r="I131" s="5">
        <f t="shared" ref="I131:I194" si="39">IFERROR(VLOOKUP(D131,Исходные_данные,36,FALSE),"")</f>
        <v/>
      </c>
      <c r="J131" s="5">
        <f t="shared" si="28"/>
      </c>
      <c r="K131" s="5">
        <f t="shared" si="29"/>
      </c>
      <c r="L131" s="5">
        <f t="shared" si="30"/>
      </c>
      <c r="M131">
        <f t="shared" ref="M131:M194" si="40">IF(ISBLANK(E131),M130,E131)</f>
      </c>
      <c r="N131" s="18">
        <f t="shared" ref="N131:N194" si="41">C131&amp;G131</f>
      </c>
    </row>
    <row r="132" spans="3:14" x14ac:dyDescent="0.3">
      <c r="C132" s="5">
        <f t="shared" si="36"/>
      </c>
      <c r="D132" s="5">
        <f t="shared" si="37"/>
      </c>
      <c r="E132" s="94"/>
      <c r="F132" s="5">
        <f t="shared" si="38"/>
      </c>
      <c r="G132" s="5">
        <f t="shared" si="34"/>
      </c>
      <c r="H132" s="70">
        <f t="shared" ref="H132:H195" si="42">VLOOKUP(D132,Исходные_данные,5,FALSE)</f>
      </c>
      <c r="I132" s="5">
        <f t="shared" si="39"/>
        <v/>
      </c>
      <c r="J132" s="5">
        <f t="shared" ref="J132:J195" si="43">VLOOKUP(D132,Исходные_данные,46,FALSE)</f>
      </c>
      <c r="K132" s="5">
        <f t="shared" ref="K132:K195" si="44">VLOOKUP(D132,Исходные_данные,16,FALSE)</f>
      </c>
      <c r="L132" s="5">
        <f t="shared" si="30"/>
      </c>
      <c r="M132">
        <f t="shared" si="40"/>
      </c>
      <c r="N132" s="18">
        <f t="shared" si="41"/>
      </c>
    </row>
    <row r="133" spans="3:14" x14ac:dyDescent="0.3">
      <c r="C133" s="5">
        <f t="shared" si="36"/>
      </c>
      <c r="D133" s="5">
        <f t="shared" si="37"/>
      </c>
      <c r="E133" s="94"/>
      <c r="F133" s="5">
        <f t="shared" si="38"/>
      </c>
      <c r="G133" s="5">
        <f t="shared" ref="G133:G196" si="45">IF(E133="упр","",IF(E133=0,F133,IF(E133="1,2,3","L1,L2,L3","L"&amp;E133)))</f>
      </c>
      <c r="H133" s="70">
        <f t="shared" si="42"/>
      </c>
      <c r="I133" s="5">
        <f t="shared" si="39"/>
        <v/>
      </c>
      <c r="J133" s="5">
        <f t="shared" si="43"/>
      </c>
      <c r="K133" s="5">
        <f t="shared" si="44"/>
      </c>
      <c r="L133" s="5">
        <f t="shared" ref="L133:L196" si="46">H133*K133</f>
      </c>
      <c r="M133">
        <f t="shared" si="40"/>
      </c>
      <c r="N133" s="18">
        <f t="shared" si="41"/>
      </c>
    </row>
    <row r="134" spans="3:14" x14ac:dyDescent="0.3">
      <c r="C134" s="5">
        <f t="shared" si="36"/>
      </c>
      <c r="D134" s="5">
        <f t="shared" si="37"/>
      </c>
      <c r="E134" s="94"/>
      <c r="F134" s="5">
        <f t="shared" si="38"/>
      </c>
      <c r="G134" s="5">
        <f t="shared" si="45"/>
      </c>
      <c r="H134" s="70">
        <f t="shared" si="42"/>
      </c>
      <c r="I134" s="5">
        <f t="shared" si="39"/>
        <v/>
      </c>
      <c r="J134" s="5">
        <f t="shared" si="43"/>
      </c>
      <c r="K134" s="5">
        <f t="shared" si="44"/>
      </c>
      <c r="L134" s="5">
        <f t="shared" si="46"/>
      </c>
      <c r="M134">
        <f t="shared" si="40"/>
      </c>
      <c r="N134" s="18">
        <f t="shared" si="41"/>
      </c>
    </row>
    <row r="135" spans="3:14" x14ac:dyDescent="0.3">
      <c r="C135" s="5">
        <f t="shared" si="36"/>
      </c>
      <c r="D135" s="5">
        <f t="shared" si="37"/>
      </c>
      <c r="E135" s="94"/>
      <c r="F135" s="5">
        <f t="shared" si="38"/>
      </c>
      <c r="G135" s="5">
        <f t="shared" si="45"/>
      </c>
      <c r="H135" s="70">
        <f t="shared" si="42"/>
      </c>
      <c r="I135" s="5">
        <f t="shared" si="39"/>
        <v/>
      </c>
      <c r="J135" s="5">
        <f t="shared" si="43"/>
      </c>
      <c r="K135" s="5">
        <f t="shared" si="44"/>
      </c>
      <c r="L135" s="5">
        <f t="shared" si="46"/>
      </c>
      <c r="M135">
        <f t="shared" si="40"/>
      </c>
      <c r="N135" s="18">
        <f t="shared" si="41"/>
      </c>
    </row>
    <row r="136" spans="3:14" x14ac:dyDescent="0.3">
      <c r="C136" s="5">
        <f t="shared" si="36"/>
      </c>
      <c r="D136" s="5">
        <f t="shared" si="37"/>
      </c>
      <c r="E136" s="94"/>
      <c r="F136" s="5">
        <f t="shared" si="38"/>
      </c>
      <c r="G136" s="5">
        <f t="shared" si="45"/>
      </c>
      <c r="H136" s="70">
        <f t="shared" si="42"/>
      </c>
      <c r="I136" s="5">
        <f t="shared" si="39"/>
        <v/>
      </c>
      <c r="J136" s="5">
        <f t="shared" si="43"/>
      </c>
      <c r="K136" s="5">
        <f t="shared" si="44"/>
      </c>
      <c r="L136" s="5">
        <f t="shared" si="46"/>
      </c>
      <c r="M136">
        <f t="shared" si="40"/>
      </c>
      <c r="N136" s="18">
        <f t="shared" si="41"/>
      </c>
    </row>
    <row r="137" spans="3:14" x14ac:dyDescent="0.3">
      <c r="C137" s="5">
        <f t="shared" si="36"/>
      </c>
      <c r="D137" s="5">
        <f t="shared" si="37"/>
      </c>
      <c r="E137" s="94"/>
      <c r="F137" s="5">
        <f t="shared" si="38"/>
      </c>
      <c r="G137" s="5">
        <f t="shared" si="45"/>
      </c>
      <c r="H137" s="70">
        <f t="shared" si="42"/>
      </c>
      <c r="I137" s="5">
        <f t="shared" si="39"/>
        <v/>
      </c>
      <c r="J137" s="5">
        <f t="shared" si="43"/>
      </c>
      <c r="K137" s="5">
        <f t="shared" si="44"/>
      </c>
      <c r="L137" s="5">
        <f t="shared" si="46"/>
      </c>
      <c r="M137">
        <f t="shared" si="40"/>
      </c>
      <c r="N137" s="18">
        <f t="shared" si="41"/>
      </c>
    </row>
    <row r="138" spans="3:14" x14ac:dyDescent="0.3">
      <c r="C138" s="5">
        <f t="shared" si="36"/>
      </c>
      <c r="D138" s="5">
        <f t="shared" si="37"/>
      </c>
      <c r="E138" s="94"/>
      <c r="F138" s="5">
        <f t="shared" si="38"/>
      </c>
      <c r="G138" s="5">
        <f t="shared" si="45"/>
      </c>
      <c r="H138" s="70">
        <f t="shared" si="42"/>
      </c>
      <c r="I138" s="5">
        <f t="shared" si="39"/>
        <v/>
      </c>
      <c r="J138" s="5">
        <f t="shared" si="43"/>
      </c>
      <c r="K138" s="5">
        <f t="shared" si="44"/>
      </c>
      <c r="L138" s="5">
        <f t="shared" si="46"/>
      </c>
      <c r="M138">
        <f t="shared" si="40"/>
      </c>
      <c r="N138" s="18">
        <f t="shared" si="41"/>
      </c>
    </row>
    <row r="139" spans="3:14" x14ac:dyDescent="0.3">
      <c r="C139" s="5">
        <f t="shared" si="36"/>
      </c>
      <c r="D139" s="5">
        <f t="shared" si="37"/>
      </c>
      <c r="E139" s="94"/>
      <c r="F139" s="5">
        <f t="shared" si="38"/>
      </c>
      <c r="G139" s="5">
        <f t="shared" si="45"/>
      </c>
      <c r="H139" s="70">
        <f t="shared" si="42"/>
      </c>
      <c r="I139" s="5">
        <f t="shared" si="39"/>
        <v/>
      </c>
      <c r="J139" s="5">
        <f t="shared" si="43"/>
      </c>
      <c r="K139" s="5">
        <f t="shared" si="44"/>
      </c>
      <c r="L139" s="5">
        <f t="shared" si="46"/>
      </c>
      <c r="M139">
        <f t="shared" si="40"/>
      </c>
      <c r="N139" s="18">
        <f t="shared" si="41"/>
      </c>
    </row>
    <row r="140" spans="3:14" x14ac:dyDescent="0.3">
      <c r="C140" s="5">
        <f t="shared" si="36"/>
      </c>
      <c r="D140" s="5">
        <f t="shared" si="37"/>
      </c>
      <c r="E140" s="94"/>
      <c r="F140" s="5">
        <f t="shared" si="38"/>
      </c>
      <c r="G140" s="5">
        <f t="shared" si="45"/>
      </c>
      <c r="H140" s="70">
        <f t="shared" si="42"/>
      </c>
      <c r="I140" s="5">
        <f t="shared" si="39"/>
        <v/>
      </c>
      <c r="J140" s="5">
        <f t="shared" si="43"/>
      </c>
      <c r="K140" s="5">
        <f t="shared" si="44"/>
      </c>
      <c r="L140" s="5">
        <f t="shared" si="46"/>
      </c>
      <c r="M140">
        <f t="shared" si="40"/>
      </c>
      <c r="N140" s="18">
        <f t="shared" si="41"/>
      </c>
    </row>
    <row r="141" spans="3:14" x14ac:dyDescent="0.3">
      <c r="C141" s="5">
        <f t="shared" si="36"/>
      </c>
      <c r="D141" s="5">
        <f t="shared" si="37"/>
      </c>
      <c r="E141" s="94"/>
      <c r="F141" s="5">
        <f t="shared" si="38"/>
      </c>
      <c r="G141" s="5">
        <f t="shared" si="45"/>
      </c>
      <c r="H141" s="70">
        <f t="shared" si="42"/>
      </c>
      <c r="I141" s="5">
        <f t="shared" si="39"/>
        <v/>
      </c>
      <c r="J141" s="5">
        <f t="shared" si="43"/>
      </c>
      <c r="K141" s="5">
        <f t="shared" si="44"/>
      </c>
      <c r="L141" s="5">
        <f t="shared" si="46"/>
      </c>
      <c r="M141">
        <f t="shared" si="40"/>
      </c>
      <c r="N141" s="18">
        <f t="shared" si="41"/>
      </c>
    </row>
    <row r="142" spans="3:14" x14ac:dyDescent="0.3">
      <c r="C142" s="5">
        <f t="shared" si="36"/>
      </c>
      <c r="D142" s="5">
        <f t="shared" si="37"/>
      </c>
      <c r="E142" s="94"/>
      <c r="F142" s="5">
        <f t="shared" si="38"/>
      </c>
      <c r="G142" s="5">
        <f t="shared" si="45"/>
      </c>
      <c r="H142" s="70">
        <f t="shared" si="42"/>
      </c>
      <c r="I142" s="5">
        <f t="shared" si="39"/>
        <v/>
      </c>
      <c r="J142" s="5">
        <f t="shared" si="43"/>
      </c>
      <c r="K142" s="5">
        <f t="shared" si="44"/>
      </c>
      <c r="L142" s="5">
        <f t="shared" si="46"/>
      </c>
      <c r="M142">
        <f t="shared" si="40"/>
      </c>
      <c r="N142" s="18">
        <f t="shared" si="41"/>
      </c>
    </row>
    <row r="143" spans="3:14" x14ac:dyDescent="0.3">
      <c r="C143" s="5">
        <f t="shared" si="36"/>
      </c>
      <c r="D143" s="5">
        <f t="shared" si="37"/>
      </c>
      <c r="E143" s="94"/>
      <c r="F143" s="5">
        <f t="shared" si="38"/>
      </c>
      <c r="G143" s="5">
        <f t="shared" si="45"/>
      </c>
      <c r="H143" s="70">
        <f t="shared" si="42"/>
      </c>
      <c r="I143" s="5">
        <f t="shared" si="39"/>
        <v/>
      </c>
      <c r="J143" s="5">
        <f t="shared" si="43"/>
      </c>
      <c r="K143" s="5">
        <f t="shared" si="44"/>
      </c>
      <c r="L143" s="5">
        <f t="shared" si="46"/>
      </c>
      <c r="M143">
        <f t="shared" si="40"/>
      </c>
      <c r="N143" s="18">
        <f t="shared" si="41"/>
      </c>
    </row>
    <row r="144" spans="3:14" x14ac:dyDescent="0.3">
      <c r="C144" s="5">
        <f t="shared" si="36"/>
      </c>
      <c r="D144" s="5">
        <f t="shared" si="37"/>
      </c>
      <c r="E144" s="94"/>
      <c r="F144" s="5">
        <f t="shared" si="38"/>
      </c>
      <c r="G144" s="5">
        <f t="shared" si="45"/>
      </c>
      <c r="H144" s="70">
        <f t="shared" si="42"/>
      </c>
      <c r="I144" s="5">
        <f t="shared" si="39"/>
        <v/>
      </c>
      <c r="J144" s="5">
        <f t="shared" si="43"/>
      </c>
      <c r="K144" s="5">
        <f t="shared" si="44"/>
      </c>
      <c r="L144" s="5">
        <f t="shared" si="46"/>
      </c>
      <c r="M144">
        <f t="shared" si="40"/>
      </c>
      <c r="N144" s="18">
        <f t="shared" si="41"/>
      </c>
    </row>
    <row r="145" spans="3:14" x14ac:dyDescent="0.3">
      <c r="C145" s="5">
        <f t="shared" si="36"/>
      </c>
      <c r="D145" s="5">
        <f t="shared" si="37"/>
      </c>
      <c r="E145" s="94"/>
      <c r="F145" s="5">
        <f t="shared" si="38"/>
      </c>
      <c r="G145" s="5">
        <f t="shared" si="45"/>
      </c>
      <c r="H145" s="70">
        <f t="shared" si="42"/>
      </c>
      <c r="I145" s="5">
        <f t="shared" si="39"/>
        <v/>
      </c>
      <c r="J145" s="5">
        <f t="shared" si="43"/>
      </c>
      <c r="K145" s="5">
        <f t="shared" si="44"/>
      </c>
      <c r="L145" s="5">
        <f t="shared" si="46"/>
      </c>
      <c r="M145">
        <f t="shared" si="40"/>
      </c>
      <c r="N145" s="18">
        <f t="shared" si="41"/>
      </c>
    </row>
    <row r="146" spans="3:14" x14ac:dyDescent="0.3">
      <c r="C146" s="5">
        <f t="shared" si="36"/>
      </c>
      <c r="D146" s="5">
        <f t="shared" si="37"/>
      </c>
      <c r="E146" s="94"/>
      <c r="F146" s="5">
        <f t="shared" si="38"/>
      </c>
      <c r="G146" s="5">
        <f t="shared" si="45"/>
      </c>
      <c r="H146" s="70">
        <f t="shared" si="42"/>
      </c>
      <c r="I146" s="5">
        <f t="shared" si="39"/>
        <v/>
      </c>
      <c r="J146" s="5">
        <f t="shared" si="43"/>
      </c>
      <c r="K146" s="5">
        <f t="shared" si="44"/>
      </c>
      <c r="L146" s="5">
        <f t="shared" si="46"/>
      </c>
      <c r="M146">
        <f t="shared" si="40"/>
      </c>
      <c r="N146" s="18">
        <f t="shared" si="41"/>
      </c>
    </row>
    <row r="147" spans="3:14" x14ac:dyDescent="0.3">
      <c r="C147" s="5">
        <f t="shared" si="36"/>
      </c>
      <c r="D147" s="5">
        <f t="shared" si="37"/>
      </c>
      <c r="E147" s="94"/>
      <c r="F147" s="5">
        <f t="shared" si="38"/>
      </c>
      <c r="G147" s="5">
        <f t="shared" si="45"/>
      </c>
      <c r="H147" s="70">
        <f t="shared" si="42"/>
      </c>
      <c r="I147" s="5">
        <f t="shared" si="39"/>
        <v/>
      </c>
      <c r="J147" s="5">
        <f t="shared" si="43"/>
      </c>
      <c r="K147" s="5">
        <f t="shared" si="44"/>
      </c>
      <c r="L147" s="5">
        <f t="shared" si="46"/>
      </c>
      <c r="M147">
        <f t="shared" si="40"/>
      </c>
      <c r="N147" s="18">
        <f t="shared" si="41"/>
      </c>
    </row>
    <row r="148" spans="3:14" x14ac:dyDescent="0.3">
      <c r="C148" s="5">
        <f t="shared" si="36"/>
      </c>
      <c r="D148" s="5">
        <f t="shared" si="37"/>
      </c>
      <c r="E148" s="94"/>
      <c r="F148" s="5">
        <f t="shared" si="38"/>
      </c>
      <c r="G148" s="5">
        <f t="shared" si="45"/>
      </c>
      <c r="H148" s="70">
        <f t="shared" si="42"/>
      </c>
      <c r="I148" s="5">
        <f t="shared" si="39"/>
        <v/>
      </c>
      <c r="J148" s="5">
        <f t="shared" si="43"/>
      </c>
      <c r="K148" s="5">
        <f t="shared" si="44"/>
      </c>
      <c r="L148" s="5">
        <f t="shared" si="46"/>
      </c>
      <c r="M148">
        <f t="shared" si="40"/>
      </c>
      <c r="N148" s="18">
        <f t="shared" si="41"/>
      </c>
    </row>
    <row r="149" spans="3:14" x14ac:dyDescent="0.3">
      <c r="C149" s="5">
        <f t="shared" si="36"/>
      </c>
      <c r="D149" s="5">
        <f t="shared" si="37"/>
      </c>
      <c r="E149" s="94"/>
      <c r="F149" s="5">
        <f t="shared" si="38"/>
      </c>
      <c r="G149" s="5">
        <f t="shared" si="45"/>
      </c>
      <c r="H149" s="70">
        <f t="shared" si="42"/>
      </c>
      <c r="I149" s="5">
        <f t="shared" si="39"/>
        <v/>
      </c>
      <c r="J149" s="5">
        <f t="shared" si="43"/>
      </c>
      <c r="K149" s="5">
        <f t="shared" si="44"/>
      </c>
      <c r="L149" s="5">
        <f t="shared" si="46"/>
      </c>
      <c r="M149">
        <f t="shared" si="40"/>
      </c>
      <c r="N149" s="18">
        <f t="shared" si="41"/>
      </c>
    </row>
    <row r="150" spans="3:14" x14ac:dyDescent="0.3">
      <c r="C150" s="5">
        <f t="shared" si="36"/>
      </c>
      <c r="D150" s="5">
        <f t="shared" si="37"/>
      </c>
      <c r="E150" s="94"/>
      <c r="F150" s="5">
        <f t="shared" si="38"/>
      </c>
      <c r="G150" s="5">
        <f t="shared" si="45"/>
      </c>
      <c r="H150" s="70">
        <f t="shared" si="42"/>
      </c>
      <c r="I150" s="5">
        <f t="shared" si="39"/>
        <v/>
      </c>
      <c r="J150" s="5">
        <f t="shared" si="43"/>
      </c>
      <c r="K150" s="5">
        <f t="shared" si="44"/>
      </c>
      <c r="L150" s="5">
        <f t="shared" si="46"/>
      </c>
      <c r="M150">
        <f t="shared" si="40"/>
      </c>
      <c r="N150" s="18">
        <f t="shared" si="41"/>
      </c>
    </row>
    <row r="151" spans="3:14" x14ac:dyDescent="0.3">
      <c r="C151" s="5">
        <f t="shared" si="36"/>
      </c>
      <c r="D151" s="5">
        <f t="shared" si="37"/>
      </c>
      <c r="E151" s="94"/>
      <c r="F151" s="5">
        <f t="shared" si="38"/>
      </c>
      <c r="G151" s="5">
        <f t="shared" si="45"/>
      </c>
      <c r="H151" s="70">
        <f t="shared" si="42"/>
      </c>
      <c r="I151" s="5">
        <f t="shared" si="39"/>
        <v/>
      </c>
      <c r="J151" s="5">
        <f t="shared" si="43"/>
      </c>
      <c r="K151" s="5">
        <f t="shared" si="44"/>
      </c>
      <c r="L151" s="5">
        <f t="shared" si="46"/>
      </c>
      <c r="M151">
        <f t="shared" si="40"/>
      </c>
      <c r="N151" s="18">
        <f t="shared" si="41"/>
      </c>
    </row>
    <row r="152" spans="3:14" x14ac:dyDescent="0.3">
      <c r="C152" s="5">
        <f t="shared" si="36"/>
      </c>
      <c r="D152" s="5">
        <f t="shared" si="37"/>
      </c>
      <c r="E152" s="94"/>
      <c r="F152" s="5">
        <f t="shared" si="38"/>
      </c>
      <c r="G152" s="5">
        <f t="shared" si="45"/>
      </c>
      <c r="H152" s="70">
        <f t="shared" si="42"/>
      </c>
      <c r="I152" s="5">
        <f t="shared" si="39"/>
        <v/>
      </c>
      <c r="J152" s="5">
        <f t="shared" si="43"/>
      </c>
      <c r="K152" s="5">
        <f t="shared" si="44"/>
      </c>
      <c r="L152" s="5">
        <f t="shared" si="46"/>
      </c>
      <c r="M152">
        <f t="shared" si="40"/>
      </c>
      <c r="N152" s="18">
        <f t="shared" si="41"/>
      </c>
    </row>
    <row r="153" spans="3:14" x14ac:dyDescent="0.3">
      <c r="C153" s="5">
        <f t="shared" si="36"/>
      </c>
      <c r="D153" s="5">
        <f t="shared" si="37"/>
      </c>
      <c r="E153" s="94"/>
      <c r="F153" s="5">
        <f t="shared" si="38"/>
      </c>
      <c r="G153" s="5">
        <f t="shared" si="45"/>
      </c>
      <c r="H153" s="70">
        <f t="shared" si="42"/>
      </c>
      <c r="I153" s="5">
        <f t="shared" si="39"/>
        <v/>
      </c>
      <c r="J153" s="5">
        <f t="shared" si="43"/>
      </c>
      <c r="K153" s="5">
        <f t="shared" si="44"/>
      </c>
      <c r="L153" s="5">
        <f t="shared" si="46"/>
      </c>
      <c r="M153">
        <f t="shared" si="40"/>
      </c>
      <c r="N153" s="18">
        <f t="shared" si="41"/>
      </c>
    </row>
    <row r="154" spans="3:14" x14ac:dyDescent="0.3">
      <c r="C154" s="5">
        <f t="shared" si="36"/>
      </c>
      <c r="D154" s="5">
        <f t="shared" si="37"/>
      </c>
      <c r="E154" s="94"/>
      <c r="F154" s="5">
        <f t="shared" si="38"/>
      </c>
      <c r="G154" s="5">
        <f t="shared" si="45"/>
      </c>
      <c r="H154" s="70">
        <f t="shared" si="42"/>
      </c>
      <c r="I154" s="5">
        <f t="shared" si="39"/>
        <v/>
      </c>
      <c r="J154" s="5">
        <f t="shared" si="43"/>
      </c>
      <c r="K154" s="5">
        <f t="shared" si="44"/>
      </c>
      <c r="L154" s="5">
        <f t="shared" si="46"/>
      </c>
      <c r="M154">
        <f t="shared" si="40"/>
      </c>
      <c r="N154" s="18">
        <f t="shared" si="41"/>
      </c>
    </row>
    <row r="155" spans="3:14" x14ac:dyDescent="0.3">
      <c r="C155" s="5">
        <f t="shared" si="36"/>
      </c>
      <c r="D155" s="5">
        <f t="shared" si="37"/>
      </c>
      <c r="E155" s="94"/>
      <c r="F155" s="5">
        <f t="shared" si="38"/>
      </c>
      <c r="G155" s="5">
        <f t="shared" si="45"/>
      </c>
      <c r="H155" s="70">
        <f t="shared" si="42"/>
      </c>
      <c r="I155" s="5">
        <f t="shared" si="39"/>
        <v/>
      </c>
      <c r="J155" s="5">
        <f t="shared" si="43"/>
      </c>
      <c r="K155" s="5">
        <f t="shared" si="44"/>
      </c>
      <c r="L155" s="5">
        <f t="shared" si="46"/>
      </c>
      <c r="M155">
        <f t="shared" si="40"/>
      </c>
      <c r="N155" s="18">
        <f t="shared" si="41"/>
      </c>
    </row>
    <row r="156" spans="3:14" x14ac:dyDescent="0.3">
      <c r="C156" s="5">
        <f t="shared" si="36"/>
      </c>
      <c r="D156" s="5">
        <f t="shared" si="37"/>
      </c>
      <c r="E156" s="94"/>
      <c r="F156" s="5">
        <f t="shared" si="38"/>
      </c>
      <c r="G156" s="5">
        <f t="shared" si="45"/>
      </c>
      <c r="H156" s="70">
        <f t="shared" si="42"/>
      </c>
      <c r="I156" s="5">
        <f t="shared" si="39"/>
        <v/>
      </c>
      <c r="J156" s="5">
        <f t="shared" si="43"/>
      </c>
      <c r="K156" s="5">
        <f t="shared" si="44"/>
      </c>
      <c r="L156" s="5">
        <f t="shared" si="46"/>
      </c>
      <c r="M156">
        <f t="shared" si="40"/>
      </c>
      <c r="N156" s="18">
        <f t="shared" si="41"/>
      </c>
    </row>
    <row r="157" spans="3:14" x14ac:dyDescent="0.3">
      <c r="C157" s="5">
        <f t="shared" si="36"/>
      </c>
      <c r="D157" s="5">
        <f t="shared" si="37"/>
      </c>
      <c r="E157" s="94"/>
      <c r="F157" s="5">
        <f t="shared" si="38"/>
      </c>
      <c r="G157" s="5">
        <f t="shared" si="45"/>
      </c>
      <c r="H157" s="70">
        <f t="shared" si="42"/>
      </c>
      <c r="I157" s="5">
        <f t="shared" si="39"/>
        <v/>
      </c>
      <c r="J157" s="5">
        <f t="shared" si="43"/>
      </c>
      <c r="K157" s="5">
        <f t="shared" si="44"/>
      </c>
      <c r="L157" s="5">
        <f t="shared" si="46"/>
      </c>
      <c r="M157">
        <f t="shared" si="40"/>
      </c>
      <c r="N157" s="18">
        <f t="shared" si="41"/>
      </c>
    </row>
    <row r="158" spans="3:14" x14ac:dyDescent="0.3">
      <c r="C158" s="5">
        <f t="shared" si="36"/>
      </c>
      <c r="D158" s="5">
        <f t="shared" si="37"/>
      </c>
      <c r="E158" s="94"/>
      <c r="F158" s="5">
        <f t="shared" si="38"/>
      </c>
      <c r="G158" s="5">
        <f t="shared" si="45"/>
      </c>
      <c r="H158" s="70">
        <f t="shared" si="42"/>
      </c>
      <c r="I158" s="5">
        <f t="shared" si="39"/>
        <v/>
      </c>
      <c r="J158" s="5">
        <f t="shared" si="43"/>
      </c>
      <c r="K158" s="5">
        <f t="shared" si="44"/>
      </c>
      <c r="L158" s="5">
        <f t="shared" si="46"/>
      </c>
      <c r="M158">
        <f t="shared" si="40"/>
      </c>
      <c r="N158" s="18">
        <f t="shared" si="41"/>
      </c>
    </row>
    <row r="159" spans="3:14" x14ac:dyDescent="0.3">
      <c r="C159" s="5">
        <f t="shared" si="36"/>
      </c>
      <c r="D159" s="5">
        <f t="shared" si="37"/>
      </c>
      <c r="E159" s="94"/>
      <c r="F159" s="5">
        <f t="shared" si="38"/>
      </c>
      <c r="G159" s="5">
        <f t="shared" si="45"/>
      </c>
      <c r="H159" s="70">
        <f t="shared" si="42"/>
      </c>
      <c r="I159" s="5">
        <f t="shared" si="39"/>
        <v/>
      </c>
      <c r="J159" s="5">
        <f t="shared" si="43"/>
      </c>
      <c r="K159" s="5">
        <f t="shared" si="44"/>
      </c>
      <c r="L159" s="5">
        <f t="shared" si="46"/>
      </c>
      <c r="M159">
        <f t="shared" si="40"/>
      </c>
      <c r="N159" s="18">
        <f t="shared" si="41"/>
      </c>
    </row>
    <row r="160" spans="3:14" x14ac:dyDescent="0.3">
      <c r="C160" s="5">
        <f t="shared" si="36"/>
      </c>
      <c r="D160" s="5">
        <f t="shared" si="37"/>
      </c>
      <c r="E160" s="94"/>
      <c r="F160" s="5">
        <f t="shared" si="38"/>
      </c>
      <c r="G160" s="5">
        <f t="shared" si="45"/>
      </c>
      <c r="H160" s="70">
        <f t="shared" si="42"/>
      </c>
      <c r="I160" s="5">
        <f t="shared" si="39"/>
        <v/>
      </c>
      <c r="J160" s="5">
        <f t="shared" si="43"/>
      </c>
      <c r="K160" s="5">
        <f t="shared" si="44"/>
      </c>
      <c r="L160" s="5">
        <f t="shared" si="46"/>
      </c>
      <c r="M160">
        <f t="shared" si="40"/>
      </c>
      <c r="N160" s="18">
        <f t="shared" si="41"/>
      </c>
    </row>
    <row r="161" spans="3:14" x14ac:dyDescent="0.3">
      <c r="C161" s="5">
        <f t="shared" si="36"/>
      </c>
      <c r="D161" s="5">
        <f t="shared" si="37"/>
      </c>
      <c r="E161" s="94"/>
      <c r="F161" s="5">
        <f t="shared" si="38"/>
      </c>
      <c r="G161" s="5">
        <f t="shared" si="45"/>
      </c>
      <c r="H161" s="70">
        <f t="shared" si="42"/>
      </c>
      <c r="I161" s="5">
        <f t="shared" si="39"/>
        <v/>
      </c>
      <c r="J161" s="5">
        <f t="shared" si="43"/>
      </c>
      <c r="K161" s="5">
        <f t="shared" si="44"/>
      </c>
      <c r="L161" s="5">
        <f t="shared" si="46"/>
      </c>
      <c r="M161">
        <f t="shared" si="40"/>
      </c>
      <c r="N161" s="18">
        <f t="shared" si="41"/>
      </c>
    </row>
    <row r="162" spans="3:14" x14ac:dyDescent="0.3">
      <c r="C162" s="5">
        <f t="shared" si="36"/>
      </c>
      <c r="D162" s="5">
        <f t="shared" si="37"/>
      </c>
      <c r="E162" s="94"/>
      <c r="F162" s="5">
        <f t="shared" si="38"/>
      </c>
      <c r="G162" s="5">
        <f t="shared" si="45"/>
      </c>
      <c r="H162" s="70">
        <f t="shared" si="42"/>
      </c>
      <c r="I162" s="5">
        <f t="shared" si="39"/>
        <v/>
      </c>
      <c r="J162" s="5">
        <f t="shared" si="43"/>
      </c>
      <c r="K162" s="5">
        <f t="shared" si="44"/>
      </c>
      <c r="L162" s="5">
        <f t="shared" si="46"/>
      </c>
      <c r="M162">
        <f t="shared" si="40"/>
      </c>
      <c r="N162" s="18">
        <f t="shared" si="41"/>
      </c>
    </row>
    <row r="163" spans="3:14" x14ac:dyDescent="0.3">
      <c r="C163" s="5">
        <f t="shared" si="36"/>
      </c>
      <c r="D163" s="5">
        <f t="shared" si="37"/>
      </c>
      <c r="E163" s="94"/>
      <c r="F163" s="5">
        <f t="shared" si="38"/>
      </c>
      <c r="G163" s="5">
        <f t="shared" si="45"/>
      </c>
      <c r="H163" s="70">
        <f t="shared" si="42"/>
      </c>
      <c r="I163" s="5">
        <f t="shared" si="39"/>
        <v/>
      </c>
      <c r="J163" s="5">
        <f t="shared" si="43"/>
      </c>
      <c r="K163" s="5">
        <f t="shared" si="44"/>
      </c>
      <c r="L163" s="5">
        <f t="shared" si="46"/>
      </c>
      <c r="M163">
        <f t="shared" si="40"/>
      </c>
      <c r="N163" s="18">
        <f t="shared" si="41"/>
      </c>
    </row>
    <row r="164" spans="3:14" x14ac:dyDescent="0.3">
      <c r="C164" s="5">
        <f t="shared" si="36"/>
      </c>
      <c r="D164" s="5">
        <f t="shared" si="37"/>
      </c>
      <c r="E164" s="94"/>
      <c r="F164" s="5">
        <f t="shared" si="38"/>
      </c>
      <c r="G164" s="5">
        <f t="shared" si="45"/>
      </c>
      <c r="H164" s="70">
        <f t="shared" si="42"/>
      </c>
      <c r="I164" s="5">
        <f t="shared" si="39"/>
        <v/>
      </c>
      <c r="J164" s="5">
        <f t="shared" si="43"/>
      </c>
      <c r="K164" s="5">
        <f t="shared" si="44"/>
      </c>
      <c r="L164" s="5">
        <f t="shared" si="46"/>
      </c>
      <c r="M164">
        <f t="shared" si="40"/>
      </c>
      <c r="N164" s="18">
        <f t="shared" si="41"/>
      </c>
    </row>
    <row r="165" spans="3:14" x14ac:dyDescent="0.3">
      <c r="C165" s="5">
        <f t="shared" si="36"/>
      </c>
      <c r="D165" s="5">
        <f t="shared" si="37"/>
      </c>
      <c r="E165" s="94"/>
      <c r="F165" s="5">
        <f t="shared" si="38"/>
      </c>
      <c r="G165" s="5">
        <f t="shared" si="45"/>
      </c>
      <c r="H165" s="70">
        <f t="shared" si="42"/>
      </c>
      <c r="I165" s="5">
        <f t="shared" si="39"/>
        <v/>
      </c>
      <c r="J165" s="5">
        <f t="shared" si="43"/>
      </c>
      <c r="K165" s="5">
        <f t="shared" si="44"/>
      </c>
      <c r="L165" s="5">
        <f t="shared" si="46"/>
      </c>
      <c r="M165">
        <f t="shared" si="40"/>
      </c>
      <c r="N165" s="18">
        <f t="shared" si="41"/>
      </c>
    </row>
    <row r="166" spans="3:14" x14ac:dyDescent="0.3">
      <c r="C166" s="5">
        <f t="shared" si="36"/>
      </c>
      <c r="D166" s="5">
        <f t="shared" si="37"/>
      </c>
      <c r="E166" s="94"/>
      <c r="F166" s="5">
        <f t="shared" si="38"/>
      </c>
      <c r="G166" s="5">
        <f t="shared" si="45"/>
      </c>
      <c r="H166" s="70">
        <f t="shared" si="42"/>
      </c>
      <c r="I166" s="5">
        <f t="shared" si="39"/>
        <v/>
      </c>
      <c r="J166" s="5">
        <f t="shared" si="43"/>
      </c>
      <c r="K166" s="5">
        <f t="shared" si="44"/>
      </c>
      <c r="L166" s="5">
        <f t="shared" si="46"/>
      </c>
      <c r="M166">
        <f t="shared" si="40"/>
      </c>
      <c r="N166" s="18">
        <f t="shared" si="41"/>
      </c>
    </row>
    <row r="167" spans="3:14" x14ac:dyDescent="0.3">
      <c r="C167" s="5">
        <f t="shared" si="36"/>
      </c>
      <c r="D167" s="5">
        <f t="shared" si="37"/>
      </c>
      <c r="E167" s="94"/>
      <c r="F167" s="5">
        <f t="shared" si="38"/>
      </c>
      <c r="G167" s="5">
        <f t="shared" si="45"/>
      </c>
      <c r="H167" s="70">
        <f t="shared" si="42"/>
      </c>
      <c r="I167" s="5">
        <f t="shared" si="39"/>
        <v/>
      </c>
      <c r="J167" s="5">
        <f t="shared" si="43"/>
      </c>
      <c r="K167" s="5">
        <f t="shared" si="44"/>
      </c>
      <c r="L167" s="5">
        <f t="shared" si="46"/>
      </c>
      <c r="M167">
        <f t="shared" si="40"/>
      </c>
      <c r="N167" s="18">
        <f t="shared" si="41"/>
      </c>
    </row>
    <row r="168" spans="3:14" x14ac:dyDescent="0.3">
      <c r="C168" s="5">
        <f t="shared" si="36"/>
      </c>
      <c r="D168" s="5">
        <f t="shared" si="37"/>
      </c>
      <c r="E168" s="94"/>
      <c r="F168" s="5">
        <f t="shared" si="38"/>
      </c>
      <c r="G168" s="5">
        <f t="shared" si="45"/>
      </c>
      <c r="H168" s="70">
        <f t="shared" si="42"/>
      </c>
      <c r="I168" s="5">
        <f t="shared" si="39"/>
        <v/>
      </c>
      <c r="J168" s="5">
        <f t="shared" si="43"/>
      </c>
      <c r="K168" s="5">
        <f t="shared" si="44"/>
      </c>
      <c r="L168" s="5">
        <f t="shared" si="46"/>
      </c>
      <c r="M168">
        <f t="shared" si="40"/>
      </c>
      <c r="N168" s="18">
        <f t="shared" si="41"/>
      </c>
    </row>
    <row r="169" spans="3:14" x14ac:dyDescent="0.3">
      <c r="C169" s="5">
        <f t="shared" si="36"/>
      </c>
      <c r="D169" s="5">
        <f t="shared" si="37"/>
      </c>
      <c r="E169" s="94"/>
      <c r="F169" s="5">
        <f t="shared" si="38"/>
      </c>
      <c r="G169" s="5">
        <f t="shared" si="45"/>
      </c>
      <c r="H169" s="70">
        <f t="shared" si="42"/>
      </c>
      <c r="I169" s="5">
        <f t="shared" si="39"/>
        <v/>
      </c>
      <c r="J169" s="5">
        <f t="shared" si="43"/>
      </c>
      <c r="K169" s="5">
        <f t="shared" si="44"/>
      </c>
      <c r="L169" s="5">
        <f t="shared" si="46"/>
      </c>
      <c r="M169">
        <f t="shared" si="40"/>
      </c>
      <c r="N169" s="18">
        <f t="shared" si="41"/>
      </c>
    </row>
    <row r="170" spans="3:14" x14ac:dyDescent="0.3">
      <c r="C170" s="5">
        <f t="shared" si="36"/>
      </c>
      <c r="D170" s="5">
        <f t="shared" si="37"/>
      </c>
      <c r="E170" s="94"/>
      <c r="F170" s="5">
        <f t="shared" si="38"/>
      </c>
      <c r="G170" s="5">
        <f t="shared" si="45"/>
      </c>
      <c r="H170" s="70">
        <f t="shared" si="42"/>
      </c>
      <c r="I170" s="5">
        <f t="shared" si="39"/>
        <v/>
      </c>
      <c r="J170" s="5">
        <f t="shared" si="43"/>
      </c>
      <c r="K170" s="5">
        <f t="shared" si="44"/>
      </c>
      <c r="L170" s="5">
        <f t="shared" si="46"/>
      </c>
      <c r="M170">
        <f t="shared" si="40"/>
      </c>
      <c r="N170" s="18">
        <f t="shared" si="41"/>
      </c>
    </row>
    <row r="171" spans="3:14" x14ac:dyDescent="0.3">
      <c r="C171" s="5">
        <f t="shared" si="36"/>
      </c>
      <c r="D171" s="5">
        <f t="shared" si="37"/>
      </c>
      <c r="E171" s="94"/>
      <c r="F171" s="5">
        <f t="shared" si="38"/>
      </c>
      <c r="G171" s="5">
        <f t="shared" si="45"/>
      </c>
      <c r="H171" s="70">
        <f t="shared" si="42"/>
      </c>
      <c r="I171" s="5">
        <f t="shared" si="39"/>
        <v/>
      </c>
      <c r="J171" s="5">
        <f t="shared" si="43"/>
      </c>
      <c r="K171" s="5">
        <f t="shared" si="44"/>
      </c>
      <c r="L171" s="5">
        <f t="shared" si="46"/>
      </c>
      <c r="M171">
        <f t="shared" si="40"/>
      </c>
      <c r="N171" s="18">
        <f t="shared" si="41"/>
      </c>
    </row>
    <row r="172" spans="3:14" x14ac:dyDescent="0.3">
      <c r="C172" s="5">
        <f t="shared" si="36"/>
      </c>
      <c r="D172" s="5">
        <f t="shared" si="37"/>
      </c>
      <c r="E172" s="94"/>
      <c r="F172" s="5">
        <f t="shared" si="38"/>
      </c>
      <c r="G172" s="5">
        <f t="shared" si="45"/>
      </c>
      <c r="H172" s="70">
        <f t="shared" si="42"/>
      </c>
      <c r="I172" s="5">
        <f t="shared" si="39"/>
        <v/>
      </c>
      <c r="J172" s="5">
        <f t="shared" si="43"/>
      </c>
      <c r="K172" s="5">
        <f t="shared" si="44"/>
      </c>
      <c r="L172" s="5">
        <f t="shared" si="46"/>
      </c>
      <c r="M172">
        <f t="shared" si="40"/>
      </c>
      <c r="N172" s="18">
        <f t="shared" si="41"/>
      </c>
    </row>
    <row r="173" spans="3:14" x14ac:dyDescent="0.3">
      <c r="C173" s="5">
        <f t="shared" si="36"/>
      </c>
      <c r="D173" s="5">
        <f t="shared" si="37"/>
      </c>
      <c r="E173" s="94"/>
      <c r="F173" s="5">
        <f t="shared" si="38"/>
      </c>
      <c r="G173" s="5">
        <f t="shared" si="45"/>
      </c>
      <c r="H173" s="70">
        <f t="shared" si="42"/>
      </c>
      <c r="I173" s="5">
        <f t="shared" si="39"/>
        <v/>
      </c>
      <c r="J173" s="5">
        <f t="shared" si="43"/>
      </c>
      <c r="K173" s="5">
        <f t="shared" si="44"/>
      </c>
      <c r="L173" s="5">
        <f t="shared" si="46"/>
      </c>
      <c r="M173">
        <f t="shared" si="40"/>
      </c>
      <c r="N173" s="18">
        <f t="shared" si="41"/>
      </c>
    </row>
    <row r="174" spans="3:14" x14ac:dyDescent="0.3">
      <c r="C174" s="5">
        <f t="shared" si="36"/>
      </c>
      <c r="D174" s="5">
        <f t="shared" si="37"/>
      </c>
      <c r="E174" s="94"/>
      <c r="F174" s="5">
        <f t="shared" si="38"/>
      </c>
      <c r="G174" s="5">
        <f t="shared" si="45"/>
      </c>
      <c r="H174" s="70">
        <f t="shared" si="42"/>
      </c>
      <c r="I174" s="5">
        <f t="shared" si="39"/>
        <v/>
      </c>
      <c r="J174" s="5">
        <f t="shared" si="43"/>
      </c>
      <c r="K174" s="5">
        <f t="shared" si="44"/>
      </c>
      <c r="L174" s="5">
        <f t="shared" si="46"/>
      </c>
      <c r="M174">
        <f t="shared" si="40"/>
      </c>
      <c r="N174" s="18">
        <f t="shared" si="41"/>
      </c>
    </row>
    <row r="175" spans="3:14" x14ac:dyDescent="0.3">
      <c r="C175" s="5">
        <f t="shared" si="36"/>
      </c>
      <c r="D175" s="5">
        <f t="shared" si="37"/>
      </c>
      <c r="E175" s="94"/>
      <c r="F175" s="5">
        <f t="shared" si="38"/>
      </c>
      <c r="G175" s="5">
        <f t="shared" si="45"/>
      </c>
      <c r="H175" s="70">
        <f t="shared" si="42"/>
      </c>
      <c r="I175" s="5">
        <f t="shared" si="39"/>
        <v/>
      </c>
      <c r="J175" s="5">
        <f t="shared" si="43"/>
      </c>
      <c r="K175" s="5">
        <f t="shared" si="44"/>
      </c>
      <c r="L175" s="5">
        <f t="shared" si="46"/>
      </c>
      <c r="M175">
        <f t="shared" si="40"/>
      </c>
      <c r="N175" s="18">
        <f t="shared" si="41"/>
      </c>
    </row>
    <row r="176" spans="3:14" x14ac:dyDescent="0.3">
      <c r="C176" s="5">
        <f t="shared" si="36"/>
      </c>
      <c r="D176" s="5">
        <f t="shared" si="37"/>
      </c>
      <c r="E176" s="94"/>
      <c r="F176" s="5">
        <f t="shared" si="38"/>
      </c>
      <c r="G176" s="5">
        <f t="shared" si="45"/>
      </c>
      <c r="H176" s="70">
        <f t="shared" si="42"/>
      </c>
      <c r="I176" s="5">
        <f t="shared" si="39"/>
        <v/>
      </c>
      <c r="J176" s="5">
        <f t="shared" si="43"/>
      </c>
      <c r="K176" s="5">
        <f t="shared" si="44"/>
      </c>
      <c r="L176" s="5">
        <f t="shared" si="46"/>
      </c>
      <c r="M176">
        <f t="shared" si="40"/>
      </c>
      <c r="N176" s="18">
        <f t="shared" si="41"/>
      </c>
    </row>
    <row r="177" spans="3:14" x14ac:dyDescent="0.3">
      <c r="C177" s="5">
        <f t="shared" si="36"/>
      </c>
      <c r="D177" s="5">
        <f t="shared" si="37"/>
      </c>
      <c r="E177" s="94"/>
      <c r="F177" s="5">
        <f t="shared" si="38"/>
      </c>
      <c r="G177" s="5">
        <f t="shared" si="45"/>
      </c>
      <c r="H177" s="70">
        <f t="shared" si="42"/>
      </c>
      <c r="I177" s="5">
        <f t="shared" si="39"/>
        <v/>
      </c>
      <c r="J177" s="5">
        <f t="shared" si="43"/>
      </c>
      <c r="K177" s="5">
        <f t="shared" si="44"/>
      </c>
      <c r="L177" s="5">
        <f t="shared" si="46"/>
      </c>
      <c r="M177">
        <f t="shared" si="40"/>
      </c>
      <c r="N177" s="18">
        <f t="shared" si="41"/>
      </c>
    </row>
    <row r="178" spans="3:14" x14ac:dyDescent="0.3">
      <c r="C178" s="5">
        <f t="shared" si="36"/>
      </c>
      <c r="D178" s="5">
        <f t="shared" si="37"/>
      </c>
      <c r="E178" s="94"/>
      <c r="F178" s="5">
        <f t="shared" si="38"/>
      </c>
      <c r="G178" s="5">
        <f t="shared" si="45"/>
      </c>
      <c r="H178" s="70">
        <f t="shared" si="42"/>
      </c>
      <c r="I178" s="5">
        <f t="shared" si="39"/>
        <v/>
      </c>
      <c r="J178" s="5">
        <f t="shared" si="43"/>
      </c>
      <c r="K178" s="5">
        <f t="shared" si="44"/>
      </c>
      <c r="L178" s="5">
        <f t="shared" si="46"/>
      </c>
      <c r="M178">
        <f t="shared" si="40"/>
      </c>
      <c r="N178" s="18">
        <f t="shared" si="41"/>
      </c>
    </row>
    <row r="179" spans="3:14" x14ac:dyDescent="0.3">
      <c r="C179" s="5">
        <f t="shared" si="36"/>
      </c>
      <c r="D179" s="5">
        <f t="shared" si="37"/>
      </c>
      <c r="E179" s="94"/>
      <c r="F179" s="5">
        <f t="shared" si="38"/>
      </c>
      <c r="G179" s="5">
        <f t="shared" si="45"/>
      </c>
      <c r="H179" s="70">
        <f t="shared" si="42"/>
      </c>
      <c r="I179" s="5">
        <f t="shared" si="39"/>
        <v/>
      </c>
      <c r="J179" s="5">
        <f t="shared" si="43"/>
      </c>
      <c r="K179" s="5">
        <f t="shared" si="44"/>
      </c>
      <c r="L179" s="5">
        <f t="shared" si="46"/>
      </c>
      <c r="M179">
        <f t="shared" si="40"/>
      </c>
      <c r="N179" s="18">
        <f t="shared" si="41"/>
      </c>
    </row>
    <row r="180" spans="3:14" x14ac:dyDescent="0.3">
      <c r="C180" s="5">
        <f t="shared" si="36"/>
      </c>
      <c r="D180" s="5">
        <f t="shared" si="37"/>
      </c>
      <c r="E180" s="94"/>
      <c r="F180" s="5">
        <f t="shared" si="38"/>
      </c>
      <c r="G180" s="5">
        <f t="shared" si="45"/>
      </c>
      <c r="H180" s="70">
        <f t="shared" si="42"/>
      </c>
      <c r="I180" s="5">
        <f t="shared" si="39"/>
        <v/>
      </c>
      <c r="J180" s="5">
        <f t="shared" si="43"/>
      </c>
      <c r="K180" s="5">
        <f t="shared" si="44"/>
      </c>
      <c r="L180" s="5">
        <f t="shared" si="46"/>
      </c>
      <c r="M180">
        <f t="shared" si="40"/>
      </c>
      <c r="N180" s="18">
        <f t="shared" si="41"/>
      </c>
    </row>
    <row r="181" spans="3:14" x14ac:dyDescent="0.3">
      <c r="C181" s="5">
        <f t="shared" si="36"/>
      </c>
      <c r="D181" s="5">
        <f t="shared" si="37"/>
      </c>
      <c r="E181" s="94"/>
      <c r="F181" s="5">
        <f t="shared" si="38"/>
      </c>
      <c r="G181" s="5">
        <f t="shared" si="45"/>
      </c>
      <c r="H181" s="70">
        <f t="shared" si="42"/>
      </c>
      <c r="I181" s="5">
        <f t="shared" si="39"/>
        <v/>
      </c>
      <c r="J181" s="5">
        <f t="shared" si="43"/>
      </c>
      <c r="K181" s="5">
        <f t="shared" si="44"/>
      </c>
      <c r="L181" s="5">
        <f t="shared" si="46"/>
      </c>
      <c r="M181">
        <f t="shared" si="40"/>
      </c>
      <c r="N181" s="18">
        <f t="shared" si="41"/>
      </c>
    </row>
    <row r="182" spans="3:14" x14ac:dyDescent="0.3">
      <c r="C182" s="5">
        <f t="shared" si="36"/>
      </c>
      <c r="D182" s="5">
        <f t="shared" si="37"/>
      </c>
      <c r="E182" s="94"/>
      <c r="F182" s="5">
        <f t="shared" si="38"/>
      </c>
      <c r="G182" s="5">
        <f t="shared" si="45"/>
      </c>
      <c r="H182" s="70">
        <f t="shared" si="42"/>
      </c>
      <c r="I182" s="5">
        <f t="shared" si="39"/>
        <v/>
      </c>
      <c r="J182" s="5">
        <f t="shared" si="43"/>
      </c>
      <c r="K182" s="5">
        <f t="shared" si="44"/>
      </c>
      <c r="L182" s="5">
        <f t="shared" si="46"/>
      </c>
      <c r="M182">
        <f t="shared" si="40"/>
      </c>
      <c r="N182" s="18">
        <f t="shared" si="41"/>
      </c>
    </row>
    <row r="183" spans="3:14" x14ac:dyDescent="0.3">
      <c r="C183" s="5">
        <f t="shared" si="36"/>
      </c>
      <c r="D183" s="5">
        <f t="shared" si="37"/>
      </c>
      <c r="E183" s="94"/>
      <c r="F183" s="5">
        <f t="shared" si="38"/>
      </c>
      <c r="G183" s="5">
        <f t="shared" si="45"/>
      </c>
      <c r="H183" s="70">
        <f t="shared" si="42"/>
      </c>
      <c r="I183" s="5">
        <f t="shared" si="39"/>
        <v/>
      </c>
      <c r="J183" s="5">
        <f t="shared" si="43"/>
      </c>
      <c r="K183" s="5">
        <f t="shared" si="44"/>
      </c>
      <c r="L183" s="5">
        <f t="shared" si="46"/>
      </c>
      <c r="M183">
        <f t="shared" si="40"/>
      </c>
      <c r="N183" s="18">
        <f t="shared" si="41"/>
      </c>
    </row>
    <row r="184" spans="3:14" x14ac:dyDescent="0.3">
      <c r="C184" s="5">
        <f t="shared" si="36"/>
      </c>
      <c r="D184" s="5">
        <f t="shared" si="37"/>
      </c>
      <c r="E184" s="94"/>
      <c r="F184" s="5">
        <f t="shared" si="38"/>
      </c>
      <c r="G184" s="5">
        <f t="shared" si="45"/>
      </c>
      <c r="H184" s="70">
        <f t="shared" si="42"/>
      </c>
      <c r="I184" s="5">
        <f t="shared" si="39"/>
        <v/>
      </c>
      <c r="J184" s="5">
        <f t="shared" si="43"/>
      </c>
      <c r="K184" s="5">
        <f t="shared" si="44"/>
      </c>
      <c r="L184" s="5">
        <f t="shared" si="46"/>
      </c>
      <c r="M184">
        <f t="shared" si="40"/>
      </c>
      <c r="N184" s="18">
        <f t="shared" si="41"/>
      </c>
    </row>
    <row r="185" spans="3:14" x14ac:dyDescent="0.3">
      <c r="C185" s="5">
        <f t="shared" si="36"/>
      </c>
      <c r="D185" s="5">
        <f t="shared" si="37"/>
      </c>
      <c r="E185" s="94"/>
      <c r="F185" s="5">
        <f t="shared" si="38"/>
      </c>
      <c r="G185" s="5">
        <f t="shared" si="45"/>
      </c>
      <c r="H185" s="70">
        <f t="shared" si="42"/>
      </c>
      <c r="I185" s="5">
        <f t="shared" si="39"/>
        <v/>
      </c>
      <c r="J185" s="5">
        <f t="shared" si="43"/>
      </c>
      <c r="K185" s="5">
        <f t="shared" si="44"/>
      </c>
      <c r="L185" s="5">
        <f t="shared" si="46"/>
      </c>
      <c r="M185">
        <f t="shared" si="40"/>
      </c>
      <c r="N185" s="18">
        <f t="shared" si="41"/>
      </c>
    </row>
    <row r="186" spans="3:14" x14ac:dyDescent="0.3">
      <c r="C186" s="5">
        <f t="shared" si="36"/>
      </c>
      <c r="D186" s="5">
        <f t="shared" si="37"/>
      </c>
      <c r="E186" s="94"/>
      <c r="F186" s="5">
        <f t="shared" si="38"/>
      </c>
      <c r="G186" s="5">
        <f t="shared" si="45"/>
      </c>
      <c r="H186" s="70">
        <f t="shared" si="42"/>
      </c>
      <c r="I186" s="5">
        <f t="shared" si="39"/>
        <v/>
      </c>
      <c r="J186" s="5">
        <f t="shared" si="43"/>
      </c>
      <c r="K186" s="5">
        <f t="shared" si="44"/>
      </c>
      <c r="L186" s="5">
        <f t="shared" si="46"/>
      </c>
      <c r="M186">
        <f t="shared" si="40"/>
      </c>
      <c r="N186" s="18">
        <f t="shared" si="41"/>
      </c>
    </row>
    <row r="187" spans="3:14" x14ac:dyDescent="0.3">
      <c r="C187" s="5">
        <f t="shared" si="36"/>
      </c>
      <c r="D187" s="5">
        <f t="shared" si="37"/>
      </c>
      <c r="E187" s="94"/>
      <c r="F187" s="5">
        <f t="shared" si="38"/>
      </c>
      <c r="G187" s="5">
        <f t="shared" si="45"/>
      </c>
      <c r="H187" s="70">
        <f t="shared" si="42"/>
      </c>
      <c r="I187" s="5">
        <f t="shared" si="39"/>
        <v/>
      </c>
      <c r="J187" s="5">
        <f t="shared" si="43"/>
      </c>
      <c r="K187" s="5">
        <f t="shared" si="44"/>
      </c>
      <c r="L187" s="5">
        <f t="shared" si="46"/>
      </c>
      <c r="M187">
        <f t="shared" si="40"/>
      </c>
      <c r="N187" s="18">
        <f t="shared" si="41"/>
      </c>
    </row>
    <row r="188" spans="3:14" x14ac:dyDescent="0.3">
      <c r="C188" s="5">
        <f t="shared" si="36"/>
      </c>
      <c r="D188" s="5">
        <f t="shared" si="37"/>
      </c>
      <c r="E188" s="94"/>
      <c r="F188" s="5">
        <f t="shared" si="38"/>
      </c>
      <c r="G188" s="5">
        <f t="shared" si="45"/>
      </c>
      <c r="H188" s="70">
        <f t="shared" si="42"/>
      </c>
      <c r="I188" s="5">
        <f t="shared" si="39"/>
        <v/>
      </c>
      <c r="J188" s="5">
        <f t="shared" si="43"/>
      </c>
      <c r="K188" s="5">
        <f t="shared" si="44"/>
      </c>
      <c r="L188" s="5">
        <f t="shared" si="46"/>
      </c>
      <c r="M188">
        <f t="shared" si="40"/>
      </c>
      <c r="N188" s="18">
        <f t="shared" si="41"/>
      </c>
    </row>
    <row r="189" spans="3:14" x14ac:dyDescent="0.3">
      <c r="C189" s="5">
        <f t="shared" si="36"/>
      </c>
      <c r="D189" s="5">
        <f t="shared" si="37"/>
      </c>
      <c r="E189" s="94"/>
      <c r="F189" s="5">
        <f t="shared" si="38"/>
      </c>
      <c r="G189" s="5">
        <f t="shared" si="45"/>
      </c>
      <c r="H189" s="70">
        <f t="shared" si="42"/>
      </c>
      <c r="I189" s="5">
        <f t="shared" si="39"/>
        <v/>
      </c>
      <c r="J189" s="5">
        <f t="shared" si="43"/>
      </c>
      <c r="K189" s="5">
        <f t="shared" si="44"/>
      </c>
      <c r="L189" s="5">
        <f t="shared" si="46"/>
      </c>
      <c r="M189">
        <f t="shared" si="40"/>
      </c>
      <c r="N189" s="18">
        <f t="shared" si="41"/>
      </c>
    </row>
    <row r="190" spans="3:14" x14ac:dyDescent="0.3">
      <c r="C190" s="5">
        <f t="shared" si="36"/>
      </c>
      <c r="D190" s="5">
        <f t="shared" si="37"/>
      </c>
      <c r="E190" s="94"/>
      <c r="F190" s="5">
        <f t="shared" si="38"/>
      </c>
      <c r="G190" s="5">
        <f t="shared" si="45"/>
      </c>
      <c r="H190" s="70">
        <f t="shared" si="42"/>
      </c>
      <c r="I190" s="5">
        <f t="shared" si="39"/>
        <v/>
      </c>
      <c r="J190" s="5">
        <f t="shared" si="43"/>
      </c>
      <c r="K190" s="5">
        <f t="shared" si="44"/>
      </c>
      <c r="L190" s="5">
        <f t="shared" si="46"/>
      </c>
      <c r="M190">
        <f t="shared" si="40"/>
      </c>
      <c r="N190" s="18">
        <f t="shared" si="41"/>
      </c>
    </row>
    <row r="191" spans="3:14" x14ac:dyDescent="0.3">
      <c r="C191" s="5">
        <f t="shared" si="36"/>
      </c>
      <c r="D191" s="5">
        <f t="shared" si="37"/>
      </c>
      <c r="E191" s="94"/>
      <c r="F191" s="5">
        <f t="shared" si="38"/>
      </c>
      <c r="G191" s="5">
        <f t="shared" si="45"/>
      </c>
      <c r="H191" s="70">
        <f t="shared" si="42"/>
      </c>
      <c r="I191" s="5">
        <f t="shared" si="39"/>
        <v/>
      </c>
      <c r="J191" s="5">
        <f t="shared" si="43"/>
      </c>
      <c r="K191" s="5">
        <f t="shared" si="44"/>
      </c>
      <c r="L191" s="5">
        <f t="shared" si="46"/>
      </c>
      <c r="M191">
        <f t="shared" si="40"/>
      </c>
      <c r="N191" s="18">
        <f t="shared" si="41"/>
      </c>
    </row>
    <row r="192" spans="3:14" x14ac:dyDescent="0.3">
      <c r="C192" s="5">
        <f t="shared" si="36"/>
      </c>
      <c r="D192" s="5">
        <f t="shared" si="37"/>
      </c>
      <c r="E192" s="94"/>
      <c r="F192" s="5">
        <f t="shared" si="38"/>
      </c>
      <c r="G192" s="5">
        <f t="shared" si="45"/>
      </c>
      <c r="H192" s="70">
        <f t="shared" si="42"/>
      </c>
      <c r="I192" s="5">
        <f t="shared" si="39"/>
        <v/>
      </c>
      <c r="J192" s="5">
        <f t="shared" si="43"/>
      </c>
      <c r="K192" s="5">
        <f t="shared" si="44"/>
      </c>
      <c r="L192" s="5">
        <f t="shared" si="46"/>
      </c>
      <c r="M192">
        <f t="shared" si="40"/>
      </c>
      <c r="N192" s="18">
        <f t="shared" si="41"/>
      </c>
    </row>
    <row r="193" spans="3:14" x14ac:dyDescent="0.3">
      <c r="C193" s="5">
        <f t="shared" si="36"/>
      </c>
      <c r="D193" s="5">
        <f t="shared" si="37"/>
      </c>
      <c r="E193" s="94"/>
      <c r="F193" s="5">
        <f t="shared" si="38"/>
      </c>
      <c r="G193" s="5">
        <f t="shared" si="45"/>
      </c>
      <c r="H193" s="70">
        <f t="shared" si="42"/>
      </c>
      <c r="I193" s="5">
        <f t="shared" si="39"/>
        <v/>
      </c>
      <c r="J193" s="5">
        <f t="shared" si="43"/>
      </c>
      <c r="K193" s="5">
        <f t="shared" si="44"/>
      </c>
      <c r="L193" s="5">
        <f t="shared" si="46"/>
      </c>
      <c r="M193">
        <f t="shared" si="40"/>
      </c>
      <c r="N193" s="18">
        <f t="shared" si="41"/>
      </c>
    </row>
    <row r="194" spans="3:14" x14ac:dyDescent="0.3">
      <c r="C194" s="5">
        <f t="shared" si="36"/>
      </c>
      <c r="D194" s="5">
        <f t="shared" si="37"/>
      </c>
      <c r="E194" s="94"/>
      <c r="F194" s="5">
        <f t="shared" si="38"/>
      </c>
      <c r="G194" s="5">
        <f t="shared" si="45"/>
      </c>
      <c r="H194" s="70">
        <f t="shared" si="42"/>
      </c>
      <c r="I194" s="5">
        <f t="shared" si="39"/>
        <v/>
      </c>
      <c r="J194" s="5">
        <f t="shared" si="43"/>
      </c>
      <c r="K194" s="5">
        <f t="shared" si="44"/>
      </c>
      <c r="L194" s="5">
        <f t="shared" si="46"/>
      </c>
      <c r="M194">
        <f t="shared" si="40"/>
      </c>
      <c r="N194" s="18">
        <f t="shared" si="41"/>
      </c>
    </row>
    <row r="195" spans="3:14" x14ac:dyDescent="0.3">
      <c r="C195" s="5">
        <f t="shared" ref="C195:C258" si="47">VLOOKUP(ROW(193:193),Разбивка_нумерация_5,2,FALSE)</f>
      </c>
      <c r="D195" s="5">
        <f t="shared" ref="D195:D258" si="48">VLOOKUP(ROW(193:193),Разбивка_нумерация_5,4,FALSE)</f>
      </c>
      <c r="E195" s="94"/>
      <c r="F195" s="5">
        <f t="shared" ref="F195:F258" si="49">VLOOKUP(ROW(193:193),Разбивка_нумерация_5,16,FALSE)</f>
      </c>
      <c r="G195" s="5">
        <f t="shared" si="45"/>
      </c>
      <c r="H195" s="70">
        <f t="shared" si="42"/>
      </c>
      <c r="I195" s="5">
        <f t="shared" ref="I195:I258" si="50">IFERROR(VLOOKUP(D195,Исходные_данные,36,FALSE),"")</f>
        <v/>
      </c>
      <c r="J195" s="5">
        <f t="shared" si="43"/>
      </c>
      <c r="K195" s="5">
        <f t="shared" si="44"/>
      </c>
      <c r="L195" s="5">
        <f t="shared" si="46"/>
      </c>
      <c r="M195">
        <f t="shared" ref="M195:M258" si="51">IF(ISBLANK(E195),M194,E195)</f>
      </c>
      <c r="N195" s="18">
        <f t="shared" ref="N195:N258" si="52">C195&amp;G195</f>
      </c>
    </row>
    <row r="196" spans="3:14" x14ac:dyDescent="0.3">
      <c r="C196" s="5">
        <f t="shared" si="47"/>
      </c>
      <c r="D196" s="5">
        <f t="shared" si="48"/>
      </c>
      <c r="E196" s="94"/>
      <c r="F196" s="5">
        <f t="shared" si="49"/>
      </c>
      <c r="G196" s="5">
        <f t="shared" si="45"/>
      </c>
      <c r="H196" s="70">
        <f t="shared" ref="H196:H259" si="53">VLOOKUP(D196,Исходные_данные,5,FALSE)</f>
      </c>
      <c r="I196" s="5">
        <f t="shared" si="50"/>
        <v/>
      </c>
      <c r="J196" s="5">
        <f t="shared" ref="J196:J259" si="54">VLOOKUP(D196,Исходные_данные,46,FALSE)</f>
      </c>
      <c r="K196" s="5">
        <f t="shared" ref="K196:K259" si="55">VLOOKUP(D196,Исходные_данные,16,FALSE)</f>
      </c>
      <c r="L196" s="5">
        <f t="shared" si="46"/>
      </c>
      <c r="M196">
        <f t="shared" si="51"/>
      </c>
      <c r="N196" s="18">
        <f t="shared" si="52"/>
      </c>
    </row>
    <row r="197" spans="3:14" x14ac:dyDescent="0.3">
      <c r="C197" s="5">
        <f t="shared" si="47"/>
      </c>
      <c r="D197" s="5">
        <f t="shared" si="48"/>
      </c>
      <c r="E197" s="94"/>
      <c r="F197" s="5">
        <f t="shared" si="49"/>
      </c>
      <c r="G197" s="5">
        <f t="shared" ref="G197:G260" si="56">IF(E197="упр","",IF(E197=0,F197,IF(E197="1,2,3","L1,L2,L3","L"&amp;E197)))</f>
      </c>
      <c r="H197" s="70">
        <f t="shared" si="53"/>
      </c>
      <c r="I197" s="5">
        <f t="shared" si="50"/>
        <v/>
      </c>
      <c r="J197" s="5">
        <f t="shared" si="54"/>
      </c>
      <c r="K197" s="5">
        <f t="shared" si="55"/>
      </c>
      <c r="L197" s="5">
        <f t="shared" ref="L197:L260" si="57">H197*K197</f>
      </c>
      <c r="M197">
        <f t="shared" si="51"/>
      </c>
      <c r="N197" s="18">
        <f t="shared" si="52"/>
      </c>
    </row>
    <row r="198" spans="3:14" x14ac:dyDescent="0.3">
      <c r="C198" s="5">
        <f t="shared" si="47"/>
      </c>
      <c r="D198" s="5">
        <f t="shared" si="48"/>
      </c>
      <c r="E198" s="94"/>
      <c r="F198" s="5">
        <f t="shared" si="49"/>
      </c>
      <c r="G198" s="5">
        <f t="shared" si="56"/>
      </c>
      <c r="H198" s="70">
        <f t="shared" si="53"/>
      </c>
      <c r="I198" s="5">
        <f t="shared" si="50"/>
        <v/>
      </c>
      <c r="J198" s="5">
        <f t="shared" si="54"/>
      </c>
      <c r="K198" s="5">
        <f t="shared" si="55"/>
      </c>
      <c r="L198" s="5">
        <f t="shared" si="57"/>
      </c>
      <c r="M198">
        <f t="shared" si="51"/>
      </c>
      <c r="N198" s="18">
        <f t="shared" si="52"/>
      </c>
    </row>
    <row r="199" spans="3:14" x14ac:dyDescent="0.3">
      <c r="C199" s="5">
        <f t="shared" si="47"/>
      </c>
      <c r="D199" s="5">
        <f t="shared" si="48"/>
      </c>
      <c r="E199" s="94"/>
      <c r="F199" s="5">
        <f t="shared" si="49"/>
      </c>
      <c r="G199" s="5">
        <f t="shared" si="56"/>
      </c>
      <c r="H199" s="70">
        <f t="shared" si="53"/>
      </c>
      <c r="I199" s="5">
        <f t="shared" si="50"/>
        <v/>
      </c>
      <c r="J199" s="5">
        <f t="shared" si="54"/>
      </c>
      <c r="K199" s="5">
        <f t="shared" si="55"/>
      </c>
      <c r="L199" s="5">
        <f t="shared" si="57"/>
      </c>
      <c r="M199">
        <f t="shared" si="51"/>
      </c>
      <c r="N199" s="18">
        <f t="shared" si="52"/>
      </c>
    </row>
    <row r="200" spans="3:14" x14ac:dyDescent="0.3">
      <c r="C200" s="5">
        <f t="shared" si="47"/>
      </c>
      <c r="D200" s="5">
        <f t="shared" si="48"/>
      </c>
      <c r="E200" s="94"/>
      <c r="F200" s="5">
        <f t="shared" si="49"/>
      </c>
      <c r="G200" s="5">
        <f t="shared" si="56"/>
      </c>
      <c r="H200" s="70">
        <f t="shared" si="53"/>
      </c>
      <c r="I200" s="5">
        <f t="shared" si="50"/>
        <v/>
      </c>
      <c r="J200" s="5">
        <f t="shared" si="54"/>
      </c>
      <c r="K200" s="5">
        <f t="shared" si="55"/>
      </c>
      <c r="L200" s="5">
        <f t="shared" si="57"/>
      </c>
      <c r="M200">
        <f t="shared" si="51"/>
      </c>
      <c r="N200" s="18">
        <f t="shared" si="52"/>
      </c>
    </row>
    <row r="201" spans="3:14" x14ac:dyDescent="0.3">
      <c r="C201" s="5">
        <f t="shared" si="47"/>
      </c>
      <c r="D201" s="5">
        <f t="shared" si="48"/>
      </c>
      <c r="E201" s="94"/>
      <c r="F201" s="5">
        <f t="shared" si="49"/>
      </c>
      <c r="G201" s="5">
        <f t="shared" si="56"/>
      </c>
      <c r="H201" s="70">
        <f t="shared" si="53"/>
      </c>
      <c r="I201" s="5">
        <f t="shared" si="50"/>
        <v/>
      </c>
      <c r="J201" s="5">
        <f t="shared" si="54"/>
      </c>
      <c r="K201" s="5">
        <f t="shared" si="55"/>
      </c>
      <c r="L201" s="5">
        <f t="shared" si="57"/>
      </c>
      <c r="M201">
        <f t="shared" si="51"/>
      </c>
      <c r="N201" s="18">
        <f t="shared" si="52"/>
      </c>
    </row>
    <row r="202" spans="3:14" x14ac:dyDescent="0.3">
      <c r="C202" s="5">
        <f t="shared" si="47"/>
      </c>
      <c r="D202" s="5">
        <f t="shared" si="48"/>
      </c>
      <c r="E202" s="94"/>
      <c r="F202" s="5">
        <f t="shared" si="49"/>
      </c>
      <c r="G202" s="5">
        <f t="shared" si="56"/>
      </c>
      <c r="H202" s="70">
        <f t="shared" si="53"/>
      </c>
      <c r="I202" s="5">
        <f t="shared" si="50"/>
        <v/>
      </c>
      <c r="J202" s="5">
        <f t="shared" si="54"/>
      </c>
      <c r="K202" s="5">
        <f t="shared" si="55"/>
      </c>
      <c r="L202" s="5">
        <f t="shared" si="57"/>
      </c>
      <c r="M202">
        <f t="shared" si="51"/>
      </c>
      <c r="N202" s="18">
        <f t="shared" si="52"/>
      </c>
    </row>
    <row r="203" spans="3:14" x14ac:dyDescent="0.3">
      <c r="C203" s="5">
        <f t="shared" si="47"/>
      </c>
      <c r="D203" s="5">
        <f t="shared" si="48"/>
      </c>
      <c r="E203" s="94"/>
      <c r="F203" s="5">
        <f t="shared" si="49"/>
      </c>
      <c r="G203" s="5">
        <f t="shared" si="56"/>
      </c>
      <c r="H203" s="70">
        <f t="shared" si="53"/>
      </c>
      <c r="I203" s="5">
        <f t="shared" si="50"/>
        <v/>
      </c>
      <c r="J203" s="5">
        <f t="shared" si="54"/>
      </c>
      <c r="K203" s="5">
        <f t="shared" si="55"/>
      </c>
      <c r="L203" s="5">
        <f t="shared" si="57"/>
      </c>
      <c r="M203">
        <f t="shared" si="51"/>
      </c>
      <c r="N203" s="18">
        <f t="shared" si="52"/>
      </c>
    </row>
    <row r="204" spans="3:14" x14ac:dyDescent="0.3">
      <c r="C204" s="5">
        <f t="shared" si="47"/>
      </c>
      <c r="D204" s="5">
        <f t="shared" si="48"/>
      </c>
      <c r="E204" s="94"/>
      <c r="F204" s="5">
        <f t="shared" si="49"/>
      </c>
      <c r="G204" s="5">
        <f t="shared" si="56"/>
      </c>
      <c r="H204" s="70">
        <f t="shared" si="53"/>
      </c>
      <c r="I204" s="5">
        <f t="shared" si="50"/>
        <v/>
      </c>
      <c r="J204" s="5">
        <f t="shared" si="54"/>
      </c>
      <c r="K204" s="5">
        <f t="shared" si="55"/>
      </c>
      <c r="L204" s="5">
        <f t="shared" si="57"/>
      </c>
      <c r="M204">
        <f t="shared" si="51"/>
      </c>
      <c r="N204" s="18">
        <f t="shared" si="52"/>
      </c>
    </row>
    <row r="205" spans="3:14" x14ac:dyDescent="0.3">
      <c r="C205" s="5">
        <f t="shared" si="47"/>
      </c>
      <c r="D205" s="5">
        <f t="shared" si="48"/>
      </c>
      <c r="E205" s="94"/>
      <c r="F205" s="5">
        <f t="shared" si="49"/>
      </c>
      <c r="G205" s="5">
        <f t="shared" si="56"/>
      </c>
      <c r="H205" s="70">
        <f t="shared" si="53"/>
      </c>
      <c r="I205" s="5">
        <f t="shared" si="50"/>
        <v/>
      </c>
      <c r="J205" s="5">
        <f t="shared" si="54"/>
      </c>
      <c r="K205" s="5">
        <f t="shared" si="55"/>
      </c>
      <c r="L205" s="5">
        <f t="shared" si="57"/>
      </c>
      <c r="M205">
        <f t="shared" si="51"/>
      </c>
      <c r="N205" s="18">
        <f t="shared" si="52"/>
      </c>
    </row>
    <row r="206" spans="3:14" x14ac:dyDescent="0.3">
      <c r="C206" s="5">
        <f t="shared" si="47"/>
      </c>
      <c r="D206" s="5">
        <f t="shared" si="48"/>
      </c>
      <c r="E206" s="94"/>
      <c r="F206" s="5">
        <f t="shared" si="49"/>
      </c>
      <c r="G206" s="5">
        <f t="shared" si="56"/>
      </c>
      <c r="H206" s="70">
        <f t="shared" si="53"/>
      </c>
      <c r="I206" s="5">
        <f t="shared" si="50"/>
        <v/>
      </c>
      <c r="J206" s="5">
        <f t="shared" si="54"/>
      </c>
      <c r="K206" s="5">
        <f t="shared" si="55"/>
      </c>
      <c r="L206" s="5">
        <f t="shared" si="57"/>
      </c>
      <c r="M206">
        <f t="shared" si="51"/>
      </c>
      <c r="N206" s="18">
        <f t="shared" si="52"/>
      </c>
    </row>
    <row r="207" spans="3:14" x14ac:dyDescent="0.3">
      <c r="C207" s="5">
        <f t="shared" si="47"/>
      </c>
      <c r="D207" s="5">
        <f t="shared" si="48"/>
      </c>
      <c r="E207" s="94"/>
      <c r="F207" s="5">
        <f t="shared" si="49"/>
      </c>
      <c r="G207" s="5">
        <f t="shared" si="56"/>
      </c>
      <c r="H207" s="70">
        <f t="shared" si="53"/>
      </c>
      <c r="I207" s="5">
        <f t="shared" si="50"/>
        <v/>
      </c>
      <c r="J207" s="5">
        <f t="shared" si="54"/>
      </c>
      <c r="K207" s="5">
        <f t="shared" si="55"/>
      </c>
      <c r="L207" s="5">
        <f t="shared" si="57"/>
      </c>
      <c r="M207">
        <f t="shared" si="51"/>
      </c>
      <c r="N207" s="18">
        <f t="shared" si="52"/>
      </c>
    </row>
    <row r="208" spans="3:14" x14ac:dyDescent="0.3">
      <c r="C208" s="5">
        <f t="shared" si="47"/>
      </c>
      <c r="D208" s="5">
        <f t="shared" si="48"/>
      </c>
      <c r="E208" s="94"/>
      <c r="F208" s="5">
        <f t="shared" si="49"/>
      </c>
      <c r="G208" s="5">
        <f t="shared" si="56"/>
      </c>
      <c r="H208" s="70">
        <f t="shared" si="53"/>
      </c>
      <c r="I208" s="5">
        <f t="shared" si="50"/>
        <v/>
      </c>
      <c r="J208" s="5">
        <f t="shared" si="54"/>
      </c>
      <c r="K208" s="5">
        <f t="shared" si="55"/>
      </c>
      <c r="L208" s="5">
        <f t="shared" si="57"/>
      </c>
      <c r="M208">
        <f t="shared" si="51"/>
      </c>
      <c r="N208" s="18">
        <f t="shared" si="52"/>
      </c>
    </row>
    <row r="209" spans="3:14" x14ac:dyDescent="0.3">
      <c r="C209" s="5">
        <f t="shared" si="47"/>
      </c>
      <c r="D209" s="5">
        <f t="shared" si="48"/>
      </c>
      <c r="E209" s="94"/>
      <c r="F209" s="5">
        <f t="shared" si="49"/>
      </c>
      <c r="G209" s="5">
        <f t="shared" si="56"/>
      </c>
      <c r="H209" s="70">
        <f t="shared" si="53"/>
      </c>
      <c r="I209" s="5">
        <f t="shared" si="50"/>
        <v/>
      </c>
      <c r="J209" s="5">
        <f t="shared" si="54"/>
      </c>
      <c r="K209" s="5">
        <f t="shared" si="55"/>
      </c>
      <c r="L209" s="5">
        <f t="shared" si="57"/>
      </c>
      <c r="M209">
        <f t="shared" si="51"/>
      </c>
      <c r="N209" s="18">
        <f t="shared" si="52"/>
      </c>
    </row>
    <row r="210" spans="3:14" x14ac:dyDescent="0.3">
      <c r="C210" s="5">
        <f t="shared" si="47"/>
      </c>
      <c r="D210" s="5">
        <f t="shared" si="48"/>
      </c>
      <c r="E210" s="94"/>
      <c r="F210" s="5">
        <f t="shared" si="49"/>
      </c>
      <c r="G210" s="5">
        <f t="shared" si="56"/>
      </c>
      <c r="H210" s="70">
        <f t="shared" si="53"/>
      </c>
      <c r="I210" s="5">
        <f t="shared" si="50"/>
        <v/>
      </c>
      <c r="J210" s="5">
        <f t="shared" si="54"/>
      </c>
      <c r="K210" s="5">
        <f t="shared" si="55"/>
      </c>
      <c r="L210" s="5">
        <f t="shared" si="57"/>
      </c>
      <c r="M210">
        <f t="shared" si="51"/>
      </c>
      <c r="N210" s="18">
        <f t="shared" si="52"/>
      </c>
    </row>
    <row r="211" spans="3:14" x14ac:dyDescent="0.3">
      <c r="C211" s="5">
        <f t="shared" si="47"/>
      </c>
      <c r="D211" s="5">
        <f t="shared" si="48"/>
      </c>
      <c r="E211" s="94"/>
      <c r="F211" s="5">
        <f t="shared" si="49"/>
      </c>
      <c r="G211" s="5">
        <f t="shared" si="56"/>
      </c>
      <c r="H211" s="70">
        <f t="shared" si="53"/>
      </c>
      <c r="I211" s="5">
        <f t="shared" si="50"/>
        <v/>
      </c>
      <c r="J211" s="5">
        <f t="shared" si="54"/>
      </c>
      <c r="K211" s="5">
        <f t="shared" si="55"/>
      </c>
      <c r="L211" s="5">
        <f t="shared" si="57"/>
      </c>
      <c r="M211">
        <f t="shared" si="51"/>
      </c>
      <c r="N211" s="18">
        <f t="shared" si="52"/>
      </c>
    </row>
    <row r="212" spans="3:14" x14ac:dyDescent="0.3">
      <c r="C212" s="5">
        <f t="shared" si="47"/>
      </c>
      <c r="D212" s="5">
        <f t="shared" si="48"/>
      </c>
      <c r="E212" s="94"/>
      <c r="F212" s="5">
        <f t="shared" si="49"/>
      </c>
      <c r="G212" s="5">
        <f t="shared" si="56"/>
      </c>
      <c r="H212" s="70">
        <f t="shared" si="53"/>
      </c>
      <c r="I212" s="5">
        <f t="shared" si="50"/>
        <v/>
      </c>
      <c r="J212" s="5">
        <f t="shared" si="54"/>
      </c>
      <c r="K212" s="5">
        <f t="shared" si="55"/>
      </c>
      <c r="L212" s="5">
        <f t="shared" si="57"/>
      </c>
      <c r="M212">
        <f t="shared" si="51"/>
      </c>
      <c r="N212" s="18">
        <f t="shared" si="52"/>
      </c>
    </row>
    <row r="213" spans="3:14" x14ac:dyDescent="0.3">
      <c r="C213" s="5">
        <f t="shared" si="47"/>
      </c>
      <c r="D213" s="5">
        <f t="shared" si="48"/>
      </c>
      <c r="E213" s="94"/>
      <c r="F213" s="5">
        <f t="shared" si="49"/>
      </c>
      <c r="G213" s="5">
        <f t="shared" si="56"/>
      </c>
      <c r="H213" s="70">
        <f t="shared" si="53"/>
      </c>
      <c r="I213" s="5">
        <f t="shared" si="50"/>
        <v/>
      </c>
      <c r="J213" s="5">
        <f t="shared" si="54"/>
      </c>
      <c r="K213" s="5">
        <f t="shared" si="55"/>
      </c>
      <c r="L213" s="5">
        <f t="shared" si="57"/>
      </c>
      <c r="M213">
        <f t="shared" si="51"/>
      </c>
      <c r="N213" s="18">
        <f t="shared" si="52"/>
      </c>
    </row>
    <row r="214" spans="3:14" x14ac:dyDescent="0.3">
      <c r="C214" s="5">
        <f t="shared" si="47"/>
      </c>
      <c r="D214" s="5">
        <f t="shared" si="48"/>
      </c>
      <c r="E214" s="94"/>
      <c r="F214" s="5">
        <f t="shared" si="49"/>
      </c>
      <c r="G214" s="5">
        <f t="shared" si="56"/>
      </c>
      <c r="H214" s="70">
        <f t="shared" si="53"/>
      </c>
      <c r="I214" s="5">
        <f t="shared" si="50"/>
        <v/>
      </c>
      <c r="J214" s="5">
        <f t="shared" si="54"/>
      </c>
      <c r="K214" s="5">
        <f t="shared" si="55"/>
      </c>
      <c r="L214" s="5">
        <f t="shared" si="57"/>
      </c>
      <c r="M214">
        <f t="shared" si="51"/>
      </c>
      <c r="N214" s="18">
        <f t="shared" si="52"/>
      </c>
    </row>
    <row r="215" spans="3:14" x14ac:dyDescent="0.3">
      <c r="C215" s="5">
        <f t="shared" si="47"/>
      </c>
      <c r="D215" s="5">
        <f t="shared" si="48"/>
      </c>
      <c r="E215" s="94"/>
      <c r="F215" s="5">
        <f t="shared" si="49"/>
      </c>
      <c r="G215" s="5">
        <f t="shared" si="56"/>
      </c>
      <c r="H215" s="70">
        <f t="shared" si="53"/>
      </c>
      <c r="I215" s="5">
        <f t="shared" si="50"/>
        <v/>
      </c>
      <c r="J215" s="5">
        <f t="shared" si="54"/>
      </c>
      <c r="K215" s="5">
        <f t="shared" si="55"/>
      </c>
      <c r="L215" s="5">
        <f t="shared" si="57"/>
      </c>
      <c r="M215">
        <f t="shared" si="51"/>
      </c>
      <c r="N215" s="18">
        <f t="shared" si="52"/>
      </c>
    </row>
    <row r="216" spans="3:14" x14ac:dyDescent="0.3">
      <c r="C216" s="5">
        <f t="shared" si="47"/>
      </c>
      <c r="D216" s="5">
        <f t="shared" si="48"/>
      </c>
      <c r="E216" s="94"/>
      <c r="F216" s="5">
        <f t="shared" si="49"/>
      </c>
      <c r="G216" s="5">
        <f t="shared" si="56"/>
      </c>
      <c r="H216" s="70">
        <f t="shared" si="53"/>
      </c>
      <c r="I216" s="5">
        <f t="shared" si="50"/>
        <v/>
      </c>
      <c r="J216" s="5">
        <f t="shared" si="54"/>
      </c>
      <c r="K216" s="5">
        <f t="shared" si="55"/>
      </c>
      <c r="L216" s="5">
        <f t="shared" si="57"/>
      </c>
      <c r="M216">
        <f t="shared" si="51"/>
      </c>
      <c r="N216" s="18">
        <f t="shared" si="52"/>
      </c>
    </row>
    <row r="217" spans="3:14" x14ac:dyDescent="0.3">
      <c r="C217" s="5">
        <f t="shared" si="47"/>
      </c>
      <c r="D217" s="5">
        <f t="shared" si="48"/>
      </c>
      <c r="E217" s="94"/>
      <c r="F217" s="5">
        <f t="shared" si="49"/>
      </c>
      <c r="G217" s="5">
        <f t="shared" si="56"/>
      </c>
      <c r="H217" s="70">
        <f t="shared" si="53"/>
      </c>
      <c r="I217" s="5">
        <f t="shared" si="50"/>
        <v/>
      </c>
      <c r="J217" s="5">
        <f t="shared" si="54"/>
      </c>
      <c r="K217" s="5">
        <f t="shared" si="55"/>
      </c>
      <c r="L217" s="5">
        <f t="shared" si="57"/>
      </c>
      <c r="M217">
        <f t="shared" si="51"/>
      </c>
      <c r="N217" s="18">
        <f t="shared" si="52"/>
      </c>
    </row>
    <row r="218" spans="3:14" x14ac:dyDescent="0.3">
      <c r="C218" s="5">
        <f t="shared" si="47"/>
      </c>
      <c r="D218" s="5">
        <f t="shared" si="48"/>
      </c>
      <c r="E218" s="94"/>
      <c r="F218" s="5">
        <f t="shared" si="49"/>
      </c>
      <c r="G218" s="5">
        <f t="shared" si="56"/>
      </c>
      <c r="H218" s="70">
        <f t="shared" si="53"/>
      </c>
      <c r="I218" s="5">
        <f t="shared" si="50"/>
        <v/>
      </c>
      <c r="J218" s="5">
        <f t="shared" si="54"/>
      </c>
      <c r="K218" s="5">
        <f t="shared" si="55"/>
      </c>
      <c r="L218" s="5">
        <f t="shared" si="57"/>
      </c>
      <c r="M218">
        <f t="shared" si="51"/>
      </c>
      <c r="N218" s="18">
        <f t="shared" si="52"/>
      </c>
    </row>
    <row r="219" spans="3:14" x14ac:dyDescent="0.3">
      <c r="C219" s="5">
        <f t="shared" si="47"/>
      </c>
      <c r="D219" s="5">
        <f t="shared" si="48"/>
      </c>
      <c r="E219" s="94"/>
      <c r="F219" s="5">
        <f t="shared" si="49"/>
      </c>
      <c r="G219" s="5">
        <f t="shared" si="56"/>
      </c>
      <c r="H219" s="70">
        <f t="shared" si="53"/>
      </c>
      <c r="I219" s="5">
        <f t="shared" si="50"/>
        <v/>
      </c>
      <c r="J219" s="5">
        <f t="shared" si="54"/>
      </c>
      <c r="K219" s="5">
        <f t="shared" si="55"/>
      </c>
      <c r="L219" s="5">
        <f t="shared" si="57"/>
      </c>
      <c r="M219">
        <f t="shared" si="51"/>
      </c>
      <c r="N219" s="18">
        <f t="shared" si="52"/>
      </c>
    </row>
    <row r="220" spans="3:14" x14ac:dyDescent="0.3">
      <c r="C220" s="5">
        <f t="shared" si="47"/>
      </c>
      <c r="D220" s="5">
        <f t="shared" si="48"/>
      </c>
      <c r="E220" s="94"/>
      <c r="F220" s="5">
        <f t="shared" si="49"/>
      </c>
      <c r="G220" s="5">
        <f t="shared" si="56"/>
      </c>
      <c r="H220" s="70">
        <f t="shared" si="53"/>
      </c>
      <c r="I220" s="5">
        <f t="shared" si="50"/>
        <v/>
      </c>
      <c r="J220" s="5">
        <f t="shared" si="54"/>
      </c>
      <c r="K220" s="5">
        <f t="shared" si="55"/>
      </c>
      <c r="L220" s="5">
        <f t="shared" si="57"/>
      </c>
      <c r="M220">
        <f t="shared" si="51"/>
      </c>
      <c r="N220" s="18">
        <f t="shared" si="52"/>
      </c>
    </row>
    <row r="221" spans="3:14" x14ac:dyDescent="0.3">
      <c r="C221" s="5">
        <f t="shared" si="47"/>
      </c>
      <c r="D221" s="5">
        <f t="shared" si="48"/>
      </c>
      <c r="E221" s="94"/>
      <c r="F221" s="5">
        <f t="shared" si="49"/>
      </c>
      <c r="G221" s="5">
        <f t="shared" si="56"/>
      </c>
      <c r="H221" s="70">
        <f t="shared" si="53"/>
      </c>
      <c r="I221" s="5">
        <f t="shared" si="50"/>
        <v/>
      </c>
      <c r="J221" s="5">
        <f t="shared" si="54"/>
      </c>
      <c r="K221" s="5">
        <f t="shared" si="55"/>
      </c>
      <c r="L221" s="5">
        <f t="shared" si="57"/>
      </c>
      <c r="M221">
        <f t="shared" si="51"/>
      </c>
      <c r="N221" s="18">
        <f t="shared" si="52"/>
      </c>
    </row>
    <row r="222" spans="3:14" x14ac:dyDescent="0.3">
      <c r="C222" s="5">
        <f t="shared" si="47"/>
      </c>
      <c r="D222" s="5">
        <f t="shared" si="48"/>
      </c>
      <c r="E222" s="94"/>
      <c r="F222" s="5">
        <f t="shared" si="49"/>
      </c>
      <c r="G222" s="5">
        <f t="shared" si="56"/>
      </c>
      <c r="H222" s="70">
        <f t="shared" si="53"/>
      </c>
      <c r="I222" s="5">
        <f t="shared" si="50"/>
        <v/>
      </c>
      <c r="J222" s="5">
        <f t="shared" si="54"/>
      </c>
      <c r="K222" s="5">
        <f t="shared" si="55"/>
      </c>
      <c r="L222" s="5">
        <f t="shared" si="57"/>
      </c>
      <c r="M222">
        <f t="shared" si="51"/>
      </c>
      <c r="N222" s="18">
        <f t="shared" si="52"/>
      </c>
    </row>
    <row r="223" spans="3:14" x14ac:dyDescent="0.3">
      <c r="C223" s="5">
        <f t="shared" si="47"/>
      </c>
      <c r="D223" s="5">
        <f t="shared" si="48"/>
      </c>
      <c r="E223" s="94"/>
      <c r="F223" s="5">
        <f t="shared" si="49"/>
      </c>
      <c r="G223" s="5">
        <f t="shared" si="56"/>
      </c>
      <c r="H223" s="70">
        <f t="shared" si="53"/>
      </c>
      <c r="I223" s="5">
        <f t="shared" si="50"/>
        <v/>
      </c>
      <c r="J223" s="5">
        <f t="shared" si="54"/>
      </c>
      <c r="K223" s="5">
        <f t="shared" si="55"/>
      </c>
      <c r="L223" s="5">
        <f t="shared" si="57"/>
      </c>
      <c r="M223">
        <f t="shared" si="51"/>
      </c>
      <c r="N223" s="18">
        <f t="shared" si="52"/>
      </c>
    </row>
    <row r="224" spans="3:14" x14ac:dyDescent="0.3">
      <c r="C224" s="5">
        <f t="shared" si="47"/>
      </c>
      <c r="D224" s="5">
        <f t="shared" si="48"/>
      </c>
      <c r="E224" s="94"/>
      <c r="F224" s="5">
        <f t="shared" si="49"/>
      </c>
      <c r="G224" s="5">
        <f t="shared" si="56"/>
      </c>
      <c r="H224" s="70">
        <f t="shared" si="53"/>
      </c>
      <c r="I224" s="5">
        <f t="shared" si="50"/>
        <v/>
      </c>
      <c r="J224" s="5">
        <f t="shared" si="54"/>
      </c>
      <c r="K224" s="5">
        <f t="shared" si="55"/>
      </c>
      <c r="L224" s="5">
        <f t="shared" si="57"/>
      </c>
      <c r="M224">
        <f t="shared" si="51"/>
      </c>
      <c r="N224" s="18">
        <f t="shared" si="52"/>
      </c>
    </row>
    <row r="225" spans="3:14" x14ac:dyDescent="0.3">
      <c r="C225" s="5">
        <f t="shared" si="47"/>
      </c>
      <c r="D225" s="5">
        <f t="shared" si="48"/>
      </c>
      <c r="E225" s="94"/>
      <c r="F225" s="5">
        <f t="shared" si="49"/>
      </c>
      <c r="G225" s="5">
        <f t="shared" si="56"/>
      </c>
      <c r="H225" s="70">
        <f t="shared" si="53"/>
      </c>
      <c r="I225" s="5">
        <f t="shared" si="50"/>
        <v/>
      </c>
      <c r="J225" s="5">
        <f t="shared" si="54"/>
      </c>
      <c r="K225" s="5">
        <f t="shared" si="55"/>
      </c>
      <c r="L225" s="5">
        <f t="shared" si="57"/>
      </c>
      <c r="M225">
        <f t="shared" si="51"/>
      </c>
      <c r="N225" s="18">
        <f t="shared" si="52"/>
      </c>
    </row>
    <row r="226" spans="3:14" x14ac:dyDescent="0.3">
      <c r="C226" s="5">
        <f t="shared" si="47"/>
      </c>
      <c r="D226" s="5">
        <f t="shared" si="48"/>
      </c>
      <c r="E226" s="94"/>
      <c r="F226" s="5">
        <f t="shared" si="49"/>
      </c>
      <c r="G226" s="5">
        <f t="shared" si="56"/>
      </c>
      <c r="H226" s="70">
        <f t="shared" si="53"/>
      </c>
      <c r="I226" s="5">
        <f t="shared" si="50"/>
        <v/>
      </c>
      <c r="J226" s="5">
        <f t="shared" si="54"/>
      </c>
      <c r="K226" s="5">
        <f t="shared" si="55"/>
      </c>
      <c r="L226" s="5">
        <f t="shared" si="57"/>
      </c>
      <c r="M226">
        <f t="shared" si="51"/>
      </c>
      <c r="N226" s="18">
        <f t="shared" si="52"/>
      </c>
    </row>
    <row r="227" spans="3:14" x14ac:dyDescent="0.3">
      <c r="C227" s="5">
        <f t="shared" si="47"/>
      </c>
      <c r="D227" s="5">
        <f t="shared" si="48"/>
      </c>
      <c r="E227" s="94"/>
      <c r="F227" s="5">
        <f t="shared" si="49"/>
      </c>
      <c r="G227" s="5">
        <f t="shared" si="56"/>
      </c>
      <c r="H227" s="70">
        <f t="shared" si="53"/>
      </c>
      <c r="I227" s="5">
        <f t="shared" si="50"/>
        <v/>
      </c>
      <c r="J227" s="5">
        <f t="shared" si="54"/>
      </c>
      <c r="K227" s="5">
        <f t="shared" si="55"/>
      </c>
      <c r="L227" s="5">
        <f t="shared" si="57"/>
      </c>
      <c r="M227">
        <f t="shared" si="51"/>
      </c>
      <c r="N227" s="18">
        <f t="shared" si="52"/>
      </c>
    </row>
    <row r="228" spans="3:14" x14ac:dyDescent="0.3">
      <c r="C228" s="5">
        <f t="shared" si="47"/>
      </c>
      <c r="D228" s="5">
        <f t="shared" si="48"/>
      </c>
      <c r="E228" s="94"/>
      <c r="F228" s="5">
        <f t="shared" si="49"/>
      </c>
      <c r="G228" s="5">
        <f t="shared" si="56"/>
      </c>
      <c r="H228" s="70">
        <f t="shared" si="53"/>
      </c>
      <c r="I228" s="5">
        <f t="shared" si="50"/>
        <v/>
      </c>
      <c r="J228" s="5">
        <f t="shared" si="54"/>
      </c>
      <c r="K228" s="5">
        <f t="shared" si="55"/>
      </c>
      <c r="L228" s="5">
        <f t="shared" si="57"/>
      </c>
      <c r="M228">
        <f t="shared" si="51"/>
      </c>
      <c r="N228" s="18">
        <f t="shared" si="52"/>
      </c>
    </row>
    <row r="229" spans="3:14" x14ac:dyDescent="0.3">
      <c r="C229" s="5">
        <f t="shared" si="47"/>
      </c>
      <c r="D229" s="5">
        <f t="shared" si="48"/>
      </c>
      <c r="E229" s="94"/>
      <c r="F229" s="5">
        <f t="shared" si="49"/>
      </c>
      <c r="G229" s="5">
        <f t="shared" si="56"/>
      </c>
      <c r="H229" s="70">
        <f t="shared" si="53"/>
      </c>
      <c r="I229" s="5">
        <f t="shared" si="50"/>
        <v/>
      </c>
      <c r="J229" s="5">
        <f t="shared" si="54"/>
      </c>
      <c r="K229" s="5">
        <f t="shared" si="55"/>
      </c>
      <c r="L229" s="5">
        <f t="shared" si="57"/>
      </c>
      <c r="M229">
        <f t="shared" si="51"/>
      </c>
      <c r="N229" s="18">
        <f t="shared" si="52"/>
      </c>
    </row>
    <row r="230" spans="3:14" x14ac:dyDescent="0.3">
      <c r="C230" s="5">
        <f t="shared" si="47"/>
      </c>
      <c r="D230" s="5">
        <f t="shared" si="48"/>
      </c>
      <c r="E230" s="94"/>
      <c r="F230" s="5">
        <f t="shared" si="49"/>
      </c>
      <c r="G230" s="5">
        <f t="shared" si="56"/>
      </c>
      <c r="H230" s="70">
        <f t="shared" si="53"/>
      </c>
      <c r="I230" s="5">
        <f t="shared" si="50"/>
        <v/>
      </c>
      <c r="J230" s="5">
        <f t="shared" si="54"/>
      </c>
      <c r="K230" s="5">
        <f t="shared" si="55"/>
      </c>
      <c r="L230" s="5">
        <f t="shared" si="57"/>
      </c>
      <c r="M230">
        <f t="shared" si="51"/>
      </c>
      <c r="N230" s="18">
        <f t="shared" si="52"/>
      </c>
    </row>
    <row r="231" spans="3:14" x14ac:dyDescent="0.3">
      <c r="C231" s="5">
        <f t="shared" si="47"/>
      </c>
      <c r="D231" s="5">
        <f t="shared" si="48"/>
      </c>
      <c r="E231" s="94"/>
      <c r="F231" s="5">
        <f t="shared" si="49"/>
      </c>
      <c r="G231" s="5">
        <f t="shared" si="56"/>
      </c>
      <c r="H231" s="70">
        <f t="shared" si="53"/>
      </c>
      <c r="I231" s="5">
        <f t="shared" si="50"/>
        <v/>
      </c>
      <c r="J231" s="5">
        <f t="shared" si="54"/>
      </c>
      <c r="K231" s="5">
        <f t="shared" si="55"/>
      </c>
      <c r="L231" s="5">
        <f t="shared" si="57"/>
      </c>
      <c r="M231">
        <f t="shared" si="51"/>
      </c>
      <c r="N231" s="18">
        <f t="shared" si="52"/>
      </c>
    </row>
    <row r="232" spans="3:14" x14ac:dyDescent="0.3">
      <c r="C232" s="5">
        <f t="shared" si="47"/>
      </c>
      <c r="D232" s="5">
        <f t="shared" si="48"/>
      </c>
      <c r="E232" s="94"/>
      <c r="F232" s="5">
        <f t="shared" si="49"/>
      </c>
      <c r="G232" s="5">
        <f t="shared" si="56"/>
      </c>
      <c r="H232" s="70">
        <f t="shared" si="53"/>
      </c>
      <c r="I232" s="5">
        <f t="shared" si="50"/>
        <v/>
      </c>
      <c r="J232" s="5">
        <f t="shared" si="54"/>
      </c>
      <c r="K232" s="5">
        <f t="shared" si="55"/>
      </c>
      <c r="L232" s="5">
        <f t="shared" si="57"/>
      </c>
      <c r="M232">
        <f t="shared" si="51"/>
      </c>
      <c r="N232" s="18">
        <f t="shared" si="52"/>
      </c>
    </row>
    <row r="233" spans="3:14" x14ac:dyDescent="0.3">
      <c r="C233" s="5">
        <f t="shared" si="47"/>
      </c>
      <c r="D233" s="5">
        <f t="shared" si="48"/>
      </c>
      <c r="E233" s="94"/>
      <c r="F233" s="5">
        <f t="shared" si="49"/>
      </c>
      <c r="G233" s="5">
        <f t="shared" si="56"/>
      </c>
      <c r="H233" s="70">
        <f t="shared" si="53"/>
      </c>
      <c r="I233" s="5">
        <f t="shared" si="50"/>
        <v/>
      </c>
      <c r="J233" s="5">
        <f t="shared" si="54"/>
      </c>
      <c r="K233" s="5">
        <f t="shared" si="55"/>
      </c>
      <c r="L233" s="5">
        <f t="shared" si="57"/>
      </c>
      <c r="M233">
        <f t="shared" si="51"/>
      </c>
      <c r="N233" s="18">
        <f t="shared" si="52"/>
      </c>
    </row>
    <row r="234" spans="3:14" x14ac:dyDescent="0.3">
      <c r="C234" s="5">
        <f t="shared" si="47"/>
      </c>
      <c r="D234" s="5">
        <f t="shared" si="48"/>
      </c>
      <c r="E234" s="94"/>
      <c r="F234" s="5">
        <f t="shared" si="49"/>
      </c>
      <c r="G234" s="5">
        <f t="shared" si="56"/>
      </c>
      <c r="H234" s="70">
        <f t="shared" si="53"/>
      </c>
      <c r="I234" s="5">
        <f t="shared" si="50"/>
        <v/>
      </c>
      <c r="J234" s="5">
        <f t="shared" si="54"/>
      </c>
      <c r="K234" s="5">
        <f t="shared" si="55"/>
      </c>
      <c r="L234" s="5">
        <f t="shared" si="57"/>
      </c>
      <c r="M234">
        <f t="shared" si="51"/>
      </c>
      <c r="N234" s="18">
        <f t="shared" si="52"/>
      </c>
    </row>
    <row r="235" spans="3:14" x14ac:dyDescent="0.3">
      <c r="C235" s="5">
        <f t="shared" si="47"/>
      </c>
      <c r="D235" s="5">
        <f t="shared" si="48"/>
      </c>
      <c r="E235" s="94"/>
      <c r="F235" s="5">
        <f t="shared" si="49"/>
      </c>
      <c r="G235" s="5">
        <f t="shared" si="56"/>
      </c>
      <c r="H235" s="70">
        <f t="shared" si="53"/>
      </c>
      <c r="I235" s="5">
        <f t="shared" si="50"/>
        <v/>
      </c>
      <c r="J235" s="5">
        <f t="shared" si="54"/>
      </c>
      <c r="K235" s="5">
        <f t="shared" si="55"/>
      </c>
      <c r="L235" s="5">
        <f t="shared" si="57"/>
      </c>
      <c r="M235">
        <f t="shared" si="51"/>
      </c>
      <c r="N235" s="18">
        <f t="shared" si="52"/>
      </c>
    </row>
    <row r="236" spans="3:14" x14ac:dyDescent="0.3">
      <c r="C236" s="5">
        <f t="shared" si="47"/>
      </c>
      <c r="D236" s="5">
        <f t="shared" si="48"/>
      </c>
      <c r="E236" s="94"/>
      <c r="F236" s="5">
        <f t="shared" si="49"/>
      </c>
      <c r="G236" s="5">
        <f t="shared" si="56"/>
      </c>
      <c r="H236" s="70">
        <f t="shared" si="53"/>
      </c>
      <c r="I236" s="5">
        <f t="shared" si="50"/>
        <v/>
      </c>
      <c r="J236" s="5">
        <f t="shared" si="54"/>
      </c>
      <c r="K236" s="5">
        <f t="shared" si="55"/>
      </c>
      <c r="L236" s="5">
        <f t="shared" si="57"/>
      </c>
      <c r="M236">
        <f t="shared" si="51"/>
      </c>
      <c r="N236" s="18">
        <f t="shared" si="52"/>
      </c>
    </row>
    <row r="237" spans="3:14" x14ac:dyDescent="0.3">
      <c r="C237" s="5">
        <f t="shared" si="47"/>
      </c>
      <c r="D237" s="5">
        <f t="shared" si="48"/>
      </c>
      <c r="E237" s="94"/>
      <c r="F237" s="5">
        <f t="shared" si="49"/>
      </c>
      <c r="G237" s="5">
        <f t="shared" si="56"/>
      </c>
      <c r="H237" s="70">
        <f t="shared" si="53"/>
      </c>
      <c r="I237" s="5">
        <f t="shared" si="50"/>
        <v/>
      </c>
      <c r="J237" s="5">
        <f t="shared" si="54"/>
      </c>
      <c r="K237" s="5">
        <f t="shared" si="55"/>
      </c>
      <c r="L237" s="5">
        <f t="shared" si="57"/>
      </c>
      <c r="M237">
        <f t="shared" si="51"/>
      </c>
      <c r="N237" s="18">
        <f t="shared" si="52"/>
      </c>
    </row>
    <row r="238" spans="3:14" x14ac:dyDescent="0.3">
      <c r="C238" s="5">
        <f t="shared" si="47"/>
      </c>
      <c r="D238" s="5">
        <f t="shared" si="48"/>
      </c>
      <c r="E238" s="94"/>
      <c r="F238" s="5">
        <f t="shared" si="49"/>
      </c>
      <c r="G238" s="5">
        <f t="shared" si="56"/>
      </c>
      <c r="H238" s="70">
        <f t="shared" si="53"/>
      </c>
      <c r="I238" s="5">
        <f t="shared" si="50"/>
        <v/>
      </c>
      <c r="J238" s="5">
        <f t="shared" si="54"/>
      </c>
      <c r="K238" s="5">
        <f t="shared" si="55"/>
      </c>
      <c r="L238" s="5">
        <f t="shared" si="57"/>
      </c>
      <c r="M238">
        <f t="shared" si="51"/>
      </c>
      <c r="N238" s="18">
        <f t="shared" si="52"/>
      </c>
    </row>
    <row r="239" spans="3:14" x14ac:dyDescent="0.3">
      <c r="C239" s="5">
        <f t="shared" si="47"/>
      </c>
      <c r="D239" s="5">
        <f t="shared" si="48"/>
      </c>
      <c r="E239" s="94"/>
      <c r="F239" s="5">
        <f t="shared" si="49"/>
      </c>
      <c r="G239" s="5">
        <f t="shared" si="56"/>
      </c>
      <c r="H239" s="70">
        <f t="shared" si="53"/>
      </c>
      <c r="I239" s="5">
        <f t="shared" si="50"/>
        <v/>
      </c>
      <c r="J239" s="5">
        <f t="shared" si="54"/>
      </c>
      <c r="K239" s="5">
        <f t="shared" si="55"/>
      </c>
      <c r="L239" s="5">
        <f t="shared" si="57"/>
      </c>
      <c r="M239">
        <f t="shared" si="51"/>
      </c>
      <c r="N239" s="18">
        <f t="shared" si="52"/>
      </c>
    </row>
    <row r="240" spans="3:14" x14ac:dyDescent="0.3">
      <c r="C240" s="5">
        <f t="shared" si="47"/>
      </c>
      <c r="D240" s="5">
        <f t="shared" si="48"/>
      </c>
      <c r="E240" s="94"/>
      <c r="F240" s="5">
        <f t="shared" si="49"/>
      </c>
      <c r="G240" s="5">
        <f t="shared" si="56"/>
      </c>
      <c r="H240" s="70">
        <f t="shared" si="53"/>
      </c>
      <c r="I240" s="5">
        <f t="shared" si="50"/>
        <v/>
      </c>
      <c r="J240" s="5">
        <f t="shared" si="54"/>
      </c>
      <c r="K240" s="5">
        <f t="shared" si="55"/>
      </c>
      <c r="L240" s="5">
        <f t="shared" si="57"/>
      </c>
      <c r="M240">
        <f t="shared" si="51"/>
      </c>
      <c r="N240" s="18">
        <f t="shared" si="52"/>
      </c>
    </row>
    <row r="241" spans="3:14" x14ac:dyDescent="0.3">
      <c r="C241" s="5">
        <f t="shared" si="47"/>
      </c>
      <c r="D241" s="5">
        <f t="shared" si="48"/>
      </c>
      <c r="E241" s="94"/>
      <c r="F241" s="5">
        <f t="shared" si="49"/>
      </c>
      <c r="G241" s="5">
        <f t="shared" si="56"/>
      </c>
      <c r="H241" s="70">
        <f t="shared" si="53"/>
      </c>
      <c r="I241" s="5">
        <f t="shared" si="50"/>
        <v/>
      </c>
      <c r="J241" s="5">
        <f t="shared" si="54"/>
      </c>
      <c r="K241" s="5">
        <f t="shared" si="55"/>
      </c>
      <c r="L241" s="5">
        <f t="shared" si="57"/>
      </c>
      <c r="M241">
        <f t="shared" si="51"/>
      </c>
      <c r="N241" s="18">
        <f t="shared" si="52"/>
      </c>
    </row>
    <row r="242" spans="3:14" x14ac:dyDescent="0.3">
      <c r="C242" s="5">
        <f t="shared" si="47"/>
      </c>
      <c r="D242" s="5">
        <f t="shared" si="48"/>
      </c>
      <c r="E242" s="94"/>
      <c r="F242" s="5">
        <f t="shared" si="49"/>
      </c>
      <c r="G242" s="5">
        <f t="shared" si="56"/>
      </c>
      <c r="H242" s="70">
        <f t="shared" si="53"/>
      </c>
      <c r="I242" s="5">
        <f t="shared" si="50"/>
        <v/>
      </c>
      <c r="J242" s="5">
        <f t="shared" si="54"/>
      </c>
      <c r="K242" s="5">
        <f t="shared" si="55"/>
      </c>
      <c r="L242" s="5">
        <f t="shared" si="57"/>
      </c>
      <c r="M242">
        <f t="shared" si="51"/>
      </c>
      <c r="N242" s="18">
        <f t="shared" si="52"/>
      </c>
    </row>
    <row r="243" spans="3:14" x14ac:dyDescent="0.3">
      <c r="C243" s="5">
        <f t="shared" si="47"/>
      </c>
      <c r="D243" s="5">
        <f t="shared" si="48"/>
      </c>
      <c r="E243" s="94"/>
      <c r="F243" s="5">
        <f t="shared" si="49"/>
      </c>
      <c r="G243" s="5">
        <f t="shared" si="56"/>
      </c>
      <c r="H243" s="70">
        <f t="shared" si="53"/>
      </c>
      <c r="I243" s="5">
        <f t="shared" si="50"/>
        <v/>
      </c>
      <c r="J243" s="5">
        <f t="shared" si="54"/>
      </c>
      <c r="K243" s="5">
        <f t="shared" si="55"/>
      </c>
      <c r="L243" s="5">
        <f t="shared" si="57"/>
      </c>
      <c r="M243">
        <f t="shared" si="51"/>
      </c>
      <c r="N243" s="18">
        <f t="shared" si="52"/>
      </c>
    </row>
    <row r="244" spans="3:14" x14ac:dyDescent="0.3">
      <c r="C244" s="5">
        <f t="shared" si="47"/>
      </c>
      <c r="D244" s="5">
        <f t="shared" si="48"/>
      </c>
      <c r="E244" s="94"/>
      <c r="F244" s="5">
        <f t="shared" si="49"/>
      </c>
      <c r="G244" s="5">
        <f t="shared" si="56"/>
      </c>
      <c r="H244" s="70">
        <f t="shared" si="53"/>
      </c>
      <c r="I244" s="5">
        <f t="shared" si="50"/>
        <v/>
      </c>
      <c r="J244" s="5">
        <f t="shared" si="54"/>
      </c>
      <c r="K244" s="5">
        <f t="shared" si="55"/>
      </c>
      <c r="L244" s="5">
        <f t="shared" si="57"/>
      </c>
      <c r="M244">
        <f t="shared" si="51"/>
      </c>
      <c r="N244" s="18">
        <f t="shared" si="52"/>
      </c>
    </row>
    <row r="245" spans="3:14" x14ac:dyDescent="0.3">
      <c r="C245" s="5">
        <f t="shared" si="47"/>
      </c>
      <c r="D245" s="5">
        <f t="shared" si="48"/>
      </c>
      <c r="E245" s="94"/>
      <c r="F245" s="5">
        <f t="shared" si="49"/>
      </c>
      <c r="G245" s="5">
        <f t="shared" si="56"/>
      </c>
      <c r="H245" s="70">
        <f t="shared" si="53"/>
      </c>
      <c r="I245" s="5">
        <f t="shared" si="50"/>
        <v/>
      </c>
      <c r="J245" s="5">
        <f t="shared" si="54"/>
      </c>
      <c r="K245" s="5">
        <f t="shared" si="55"/>
      </c>
      <c r="L245" s="5">
        <f t="shared" si="57"/>
      </c>
      <c r="M245">
        <f t="shared" si="51"/>
      </c>
      <c r="N245" s="18">
        <f t="shared" si="52"/>
      </c>
    </row>
    <row r="246" spans="3:14" x14ac:dyDescent="0.3">
      <c r="C246" s="5">
        <f t="shared" si="47"/>
      </c>
      <c r="D246" s="5">
        <f t="shared" si="48"/>
      </c>
      <c r="E246" s="94"/>
      <c r="F246" s="5">
        <f t="shared" si="49"/>
      </c>
      <c r="G246" s="5">
        <f t="shared" si="56"/>
      </c>
      <c r="H246" s="70">
        <f t="shared" si="53"/>
      </c>
      <c r="I246" s="5">
        <f t="shared" si="50"/>
        <v/>
      </c>
      <c r="J246" s="5">
        <f t="shared" si="54"/>
      </c>
      <c r="K246" s="5">
        <f t="shared" si="55"/>
      </c>
      <c r="L246" s="5">
        <f t="shared" si="57"/>
      </c>
      <c r="M246">
        <f t="shared" si="51"/>
      </c>
      <c r="N246" s="18">
        <f t="shared" si="52"/>
      </c>
    </row>
    <row r="247" spans="3:14" x14ac:dyDescent="0.3">
      <c r="C247" s="5">
        <f t="shared" si="47"/>
      </c>
      <c r="D247" s="5">
        <f t="shared" si="48"/>
      </c>
      <c r="E247" s="94"/>
      <c r="F247" s="5">
        <f t="shared" si="49"/>
      </c>
      <c r="G247" s="5">
        <f t="shared" si="56"/>
      </c>
      <c r="H247" s="70">
        <f t="shared" si="53"/>
      </c>
      <c r="I247" s="5">
        <f t="shared" si="50"/>
        <v/>
      </c>
      <c r="J247" s="5">
        <f t="shared" si="54"/>
      </c>
      <c r="K247" s="5">
        <f t="shared" si="55"/>
      </c>
      <c r="L247" s="5">
        <f t="shared" si="57"/>
      </c>
      <c r="M247">
        <f t="shared" si="51"/>
      </c>
      <c r="N247" s="18">
        <f t="shared" si="52"/>
      </c>
    </row>
    <row r="248" spans="3:14" x14ac:dyDescent="0.3">
      <c r="C248" s="5">
        <f t="shared" si="47"/>
      </c>
      <c r="D248" s="5">
        <f t="shared" si="48"/>
      </c>
      <c r="E248" s="94"/>
      <c r="F248" s="5">
        <f t="shared" si="49"/>
      </c>
      <c r="G248" s="5">
        <f t="shared" si="56"/>
      </c>
      <c r="H248" s="70">
        <f t="shared" si="53"/>
      </c>
      <c r="I248" s="5">
        <f t="shared" si="50"/>
        <v/>
      </c>
      <c r="J248" s="5">
        <f t="shared" si="54"/>
      </c>
      <c r="K248" s="5">
        <f t="shared" si="55"/>
      </c>
      <c r="L248" s="5">
        <f t="shared" si="57"/>
      </c>
      <c r="M248">
        <f t="shared" si="51"/>
      </c>
      <c r="N248" s="18">
        <f t="shared" si="52"/>
      </c>
    </row>
    <row r="249" spans="3:14" x14ac:dyDescent="0.3">
      <c r="C249" s="5">
        <f t="shared" si="47"/>
      </c>
      <c r="D249" s="5">
        <f t="shared" si="48"/>
      </c>
      <c r="E249" s="94"/>
      <c r="F249" s="5">
        <f t="shared" si="49"/>
      </c>
      <c r="G249" s="5">
        <f t="shared" si="56"/>
      </c>
      <c r="H249" s="70">
        <f t="shared" si="53"/>
      </c>
      <c r="I249" s="5">
        <f t="shared" si="50"/>
        <v/>
      </c>
      <c r="J249" s="5">
        <f t="shared" si="54"/>
      </c>
      <c r="K249" s="5">
        <f t="shared" si="55"/>
      </c>
      <c r="L249" s="5">
        <f t="shared" si="57"/>
      </c>
      <c r="M249">
        <f t="shared" si="51"/>
      </c>
      <c r="N249" s="18">
        <f t="shared" si="52"/>
      </c>
    </row>
    <row r="250" spans="3:14" x14ac:dyDescent="0.3">
      <c r="C250" s="5">
        <f t="shared" si="47"/>
      </c>
      <c r="D250" s="5">
        <f t="shared" si="48"/>
      </c>
      <c r="E250" s="94"/>
      <c r="F250" s="5">
        <f t="shared" si="49"/>
      </c>
      <c r="G250" s="5">
        <f t="shared" si="56"/>
      </c>
      <c r="H250" s="70">
        <f t="shared" si="53"/>
      </c>
      <c r="I250" s="5">
        <f t="shared" si="50"/>
        <v/>
      </c>
      <c r="J250" s="5">
        <f t="shared" si="54"/>
      </c>
      <c r="K250" s="5">
        <f t="shared" si="55"/>
      </c>
      <c r="L250" s="5">
        <f t="shared" si="57"/>
      </c>
      <c r="M250">
        <f t="shared" si="51"/>
      </c>
      <c r="N250" s="18">
        <f t="shared" si="52"/>
      </c>
    </row>
    <row r="251" spans="3:14" x14ac:dyDescent="0.3">
      <c r="C251" s="5">
        <f t="shared" si="47"/>
      </c>
      <c r="D251" s="5">
        <f t="shared" si="48"/>
      </c>
      <c r="E251" s="94"/>
      <c r="F251" s="5">
        <f t="shared" si="49"/>
      </c>
      <c r="G251" s="5">
        <f t="shared" si="56"/>
      </c>
      <c r="H251" s="70">
        <f t="shared" si="53"/>
      </c>
      <c r="I251" s="5">
        <f t="shared" si="50"/>
        <v/>
      </c>
      <c r="J251" s="5">
        <f t="shared" si="54"/>
      </c>
      <c r="K251" s="5">
        <f t="shared" si="55"/>
      </c>
      <c r="L251" s="5">
        <f t="shared" si="57"/>
      </c>
      <c r="M251">
        <f t="shared" si="51"/>
      </c>
      <c r="N251" s="18">
        <f t="shared" si="52"/>
      </c>
    </row>
    <row r="252" spans="3:14" x14ac:dyDescent="0.3">
      <c r="C252" s="5">
        <f t="shared" si="47"/>
      </c>
      <c r="D252" s="5">
        <f t="shared" si="48"/>
      </c>
      <c r="E252" s="94"/>
      <c r="F252" s="5">
        <f t="shared" si="49"/>
      </c>
      <c r="G252" s="5">
        <f t="shared" si="56"/>
      </c>
      <c r="H252" s="70">
        <f t="shared" si="53"/>
      </c>
      <c r="I252" s="5">
        <f t="shared" si="50"/>
        <v/>
      </c>
      <c r="J252" s="5">
        <f t="shared" si="54"/>
      </c>
      <c r="K252" s="5">
        <f t="shared" si="55"/>
      </c>
      <c r="L252" s="5">
        <f t="shared" si="57"/>
      </c>
      <c r="M252">
        <f t="shared" si="51"/>
      </c>
      <c r="N252" s="18">
        <f t="shared" si="52"/>
      </c>
    </row>
    <row r="253" spans="3:14" x14ac:dyDescent="0.3">
      <c r="C253" s="5">
        <f t="shared" si="47"/>
      </c>
      <c r="D253" s="5">
        <f t="shared" si="48"/>
      </c>
      <c r="E253" s="94"/>
      <c r="F253" s="5">
        <f t="shared" si="49"/>
      </c>
      <c r="G253" s="5">
        <f t="shared" si="56"/>
      </c>
      <c r="H253" s="70">
        <f t="shared" si="53"/>
      </c>
      <c r="I253" s="5">
        <f t="shared" si="50"/>
        <v/>
      </c>
      <c r="J253" s="5">
        <f t="shared" si="54"/>
      </c>
      <c r="K253" s="5">
        <f t="shared" si="55"/>
      </c>
      <c r="L253" s="5">
        <f t="shared" si="57"/>
      </c>
      <c r="M253">
        <f t="shared" si="51"/>
      </c>
      <c r="N253" s="18">
        <f t="shared" si="52"/>
      </c>
    </row>
    <row r="254" spans="3:14" x14ac:dyDescent="0.3">
      <c r="C254" s="5">
        <f t="shared" si="47"/>
      </c>
      <c r="D254" s="5">
        <f t="shared" si="48"/>
      </c>
      <c r="E254" s="94"/>
      <c r="F254" s="5">
        <f t="shared" si="49"/>
      </c>
      <c r="G254" s="5">
        <f t="shared" si="56"/>
      </c>
      <c r="H254" s="70">
        <f t="shared" si="53"/>
      </c>
      <c r="I254" s="5">
        <f t="shared" si="50"/>
        <v/>
      </c>
      <c r="J254" s="5">
        <f t="shared" si="54"/>
      </c>
      <c r="K254" s="5">
        <f t="shared" si="55"/>
      </c>
      <c r="L254" s="5">
        <f t="shared" si="57"/>
      </c>
      <c r="M254">
        <f t="shared" si="51"/>
      </c>
      <c r="N254" s="18">
        <f t="shared" si="52"/>
      </c>
    </row>
    <row r="255" spans="3:14" x14ac:dyDescent="0.3">
      <c r="C255" s="5">
        <f t="shared" si="47"/>
      </c>
      <c r="D255" s="5">
        <f t="shared" si="48"/>
      </c>
      <c r="E255" s="94"/>
      <c r="F255" s="5">
        <f t="shared" si="49"/>
      </c>
      <c r="G255" s="5">
        <f t="shared" si="56"/>
      </c>
      <c r="H255" s="70">
        <f t="shared" si="53"/>
      </c>
      <c r="I255" s="5">
        <f t="shared" si="50"/>
        <v/>
      </c>
      <c r="J255" s="5">
        <f t="shared" si="54"/>
      </c>
      <c r="K255" s="5">
        <f t="shared" si="55"/>
      </c>
      <c r="L255" s="5">
        <f t="shared" si="57"/>
      </c>
      <c r="M255">
        <f t="shared" si="51"/>
      </c>
      <c r="N255" s="18">
        <f t="shared" si="52"/>
      </c>
    </row>
    <row r="256" spans="3:14" x14ac:dyDescent="0.3">
      <c r="C256" s="5">
        <f t="shared" si="47"/>
      </c>
      <c r="D256" s="5">
        <f t="shared" si="48"/>
      </c>
      <c r="E256" s="94"/>
      <c r="F256" s="5">
        <f t="shared" si="49"/>
      </c>
      <c r="G256" s="5">
        <f t="shared" si="56"/>
      </c>
      <c r="H256" s="70">
        <f t="shared" si="53"/>
      </c>
      <c r="I256" s="5">
        <f t="shared" si="50"/>
        <v/>
      </c>
      <c r="J256" s="5">
        <f t="shared" si="54"/>
      </c>
      <c r="K256" s="5">
        <f t="shared" si="55"/>
      </c>
      <c r="L256" s="5">
        <f t="shared" si="57"/>
      </c>
      <c r="M256">
        <f t="shared" si="51"/>
      </c>
      <c r="N256" s="18">
        <f t="shared" si="52"/>
      </c>
    </row>
    <row r="257" spans="3:14" x14ac:dyDescent="0.3">
      <c r="C257" s="5">
        <f t="shared" si="47"/>
      </c>
      <c r="D257" s="5">
        <f t="shared" si="48"/>
      </c>
      <c r="E257" s="94"/>
      <c r="F257" s="5">
        <f t="shared" si="49"/>
      </c>
      <c r="G257" s="5">
        <f t="shared" si="56"/>
      </c>
      <c r="H257" s="70">
        <f t="shared" si="53"/>
      </c>
      <c r="I257" s="5">
        <f t="shared" si="50"/>
        <v/>
      </c>
      <c r="J257" s="5">
        <f t="shared" si="54"/>
      </c>
      <c r="K257" s="5">
        <f t="shared" si="55"/>
      </c>
      <c r="L257" s="5">
        <f t="shared" si="57"/>
      </c>
      <c r="M257">
        <f t="shared" si="51"/>
      </c>
      <c r="N257" s="18">
        <f t="shared" si="52"/>
      </c>
    </row>
    <row r="258" spans="3:14" x14ac:dyDescent="0.3">
      <c r="C258" s="5">
        <f t="shared" si="47"/>
      </c>
      <c r="D258" s="5">
        <f t="shared" si="48"/>
      </c>
      <c r="E258" s="94"/>
      <c r="F258" s="5">
        <f t="shared" si="49"/>
      </c>
      <c r="G258" s="5">
        <f t="shared" si="56"/>
      </c>
      <c r="H258" s="70">
        <f t="shared" si="53"/>
      </c>
      <c r="I258" s="5">
        <f t="shared" si="50"/>
        <v/>
      </c>
      <c r="J258" s="5">
        <f t="shared" si="54"/>
      </c>
      <c r="K258" s="5">
        <f t="shared" si="55"/>
      </c>
      <c r="L258" s="5">
        <f t="shared" si="57"/>
      </c>
      <c r="M258">
        <f t="shared" si="51"/>
      </c>
      <c r="N258" s="18">
        <f t="shared" si="52"/>
      </c>
    </row>
    <row r="259" spans="3:14" x14ac:dyDescent="0.3">
      <c r="C259" s="5">
        <f t="shared" ref="C259:C322" si="58">VLOOKUP(ROW(257:257),Разбивка_нумерация_5,2,FALSE)</f>
      </c>
      <c r="D259" s="5">
        <f t="shared" ref="D259:D322" si="59">VLOOKUP(ROW(257:257),Разбивка_нумерация_5,4,FALSE)</f>
      </c>
      <c r="E259" s="94"/>
      <c r="F259" s="5">
        <f t="shared" ref="F259:F322" si="60">VLOOKUP(ROW(257:257),Разбивка_нумерация_5,16,FALSE)</f>
      </c>
      <c r="G259" s="5">
        <f t="shared" si="56"/>
      </c>
      <c r="H259" s="70">
        <f t="shared" si="53"/>
      </c>
      <c r="I259" s="5">
        <f t="shared" ref="I259:I322" si="61">IFERROR(VLOOKUP(D259,Исходные_данные,36,FALSE),"")</f>
        <v/>
      </c>
      <c r="J259" s="5">
        <f t="shared" si="54"/>
      </c>
      <c r="K259" s="5">
        <f t="shared" si="55"/>
      </c>
      <c r="L259" s="5">
        <f t="shared" si="57"/>
      </c>
      <c r="M259">
        <f t="shared" ref="M259:M322" si="62">IF(ISBLANK(E259),M258,E259)</f>
      </c>
      <c r="N259" s="18">
        <f t="shared" ref="N259:N322" si="63">C259&amp;G259</f>
      </c>
    </row>
    <row r="260" spans="3:14" x14ac:dyDescent="0.3">
      <c r="C260" s="5">
        <f t="shared" si="58"/>
      </c>
      <c r="D260" s="5">
        <f t="shared" si="59"/>
      </c>
      <c r="E260" s="94"/>
      <c r="F260" s="5">
        <f t="shared" si="60"/>
      </c>
      <c r="G260" s="5">
        <f t="shared" si="56"/>
      </c>
      <c r="H260" s="70">
        <f t="shared" ref="H260:H323" si="64">VLOOKUP(D260,Исходные_данные,5,FALSE)</f>
      </c>
      <c r="I260" s="5">
        <f t="shared" si="61"/>
        <v/>
      </c>
      <c r="J260" s="5">
        <f t="shared" ref="J260:J323" si="65">VLOOKUP(D260,Исходные_данные,46,FALSE)</f>
      </c>
      <c r="K260" s="5">
        <f t="shared" ref="K260:K323" si="66">VLOOKUP(D260,Исходные_данные,16,FALSE)</f>
      </c>
      <c r="L260" s="5">
        <f t="shared" si="57"/>
      </c>
      <c r="M260">
        <f t="shared" si="62"/>
      </c>
      <c r="N260" s="18">
        <f t="shared" si="63"/>
      </c>
    </row>
    <row r="261" spans="3:14" x14ac:dyDescent="0.3">
      <c r="C261" s="5">
        <f t="shared" si="58"/>
      </c>
      <c r="D261" s="5">
        <f t="shared" si="59"/>
      </c>
      <c r="E261" s="94"/>
      <c r="F261" s="5">
        <f t="shared" si="60"/>
      </c>
      <c r="G261" s="5">
        <f t="shared" ref="G261:G324" si="67">IF(E261="упр","",IF(E261=0,F261,IF(E261="1,2,3","L1,L2,L3","L"&amp;E261)))</f>
      </c>
      <c r="H261" s="70">
        <f t="shared" si="64"/>
      </c>
      <c r="I261" s="5">
        <f t="shared" si="61"/>
        <v/>
      </c>
      <c r="J261" s="5">
        <f t="shared" si="65"/>
      </c>
      <c r="K261" s="5">
        <f t="shared" si="66"/>
      </c>
      <c r="L261" s="5">
        <f t="shared" ref="L261:L324" si="68">H261*K261</f>
      </c>
      <c r="M261">
        <f t="shared" si="62"/>
      </c>
      <c r="N261" s="18">
        <f t="shared" si="63"/>
      </c>
    </row>
    <row r="262" spans="3:14" x14ac:dyDescent="0.3">
      <c r="C262" s="5">
        <f t="shared" si="58"/>
      </c>
      <c r="D262" s="5">
        <f t="shared" si="59"/>
      </c>
      <c r="E262" s="94"/>
      <c r="F262" s="5">
        <f t="shared" si="60"/>
      </c>
      <c r="G262" s="5">
        <f t="shared" si="67"/>
      </c>
      <c r="H262" s="70">
        <f t="shared" si="64"/>
      </c>
      <c r="I262" s="5">
        <f t="shared" si="61"/>
        <v/>
      </c>
      <c r="J262" s="5">
        <f t="shared" si="65"/>
      </c>
      <c r="K262" s="5">
        <f t="shared" si="66"/>
      </c>
      <c r="L262" s="5">
        <f t="shared" si="68"/>
      </c>
      <c r="M262">
        <f t="shared" si="62"/>
      </c>
      <c r="N262" s="18">
        <f t="shared" si="63"/>
      </c>
    </row>
    <row r="263" spans="3:14" x14ac:dyDescent="0.3">
      <c r="C263" s="5">
        <f t="shared" si="58"/>
      </c>
      <c r="D263" s="5">
        <f t="shared" si="59"/>
      </c>
      <c r="E263" s="94"/>
      <c r="F263" s="5">
        <f t="shared" si="60"/>
      </c>
      <c r="G263" s="5">
        <f t="shared" si="67"/>
      </c>
      <c r="H263" s="70">
        <f t="shared" si="64"/>
      </c>
      <c r="I263" s="5">
        <f t="shared" si="61"/>
        <v/>
      </c>
      <c r="J263" s="5">
        <f t="shared" si="65"/>
      </c>
      <c r="K263" s="5">
        <f t="shared" si="66"/>
      </c>
      <c r="L263" s="5">
        <f t="shared" si="68"/>
      </c>
      <c r="M263">
        <f t="shared" si="62"/>
      </c>
      <c r="N263" s="18">
        <f t="shared" si="63"/>
      </c>
    </row>
    <row r="264" spans="3:14" x14ac:dyDescent="0.3">
      <c r="C264" s="5">
        <f t="shared" si="58"/>
      </c>
      <c r="D264" s="5">
        <f t="shared" si="59"/>
      </c>
      <c r="E264" s="94"/>
      <c r="F264" s="5">
        <f t="shared" si="60"/>
      </c>
      <c r="G264" s="5">
        <f t="shared" si="67"/>
      </c>
      <c r="H264" s="70">
        <f t="shared" si="64"/>
      </c>
      <c r="I264" s="5">
        <f t="shared" si="61"/>
        <v/>
      </c>
      <c r="J264" s="5">
        <f t="shared" si="65"/>
      </c>
      <c r="K264" s="5">
        <f t="shared" si="66"/>
      </c>
      <c r="L264" s="5">
        <f t="shared" si="68"/>
      </c>
      <c r="M264">
        <f t="shared" si="62"/>
      </c>
      <c r="N264" s="18">
        <f t="shared" si="63"/>
      </c>
    </row>
    <row r="265" spans="3:14" x14ac:dyDescent="0.3">
      <c r="C265" s="5">
        <f t="shared" si="58"/>
      </c>
      <c r="D265" s="5">
        <f t="shared" si="59"/>
      </c>
      <c r="E265" s="94"/>
      <c r="F265" s="5">
        <f t="shared" si="60"/>
      </c>
      <c r="G265" s="5">
        <f t="shared" si="67"/>
      </c>
      <c r="H265" s="70">
        <f t="shared" si="64"/>
      </c>
      <c r="I265" s="5">
        <f t="shared" si="61"/>
        <v/>
      </c>
      <c r="J265" s="5">
        <f t="shared" si="65"/>
      </c>
      <c r="K265" s="5">
        <f t="shared" si="66"/>
      </c>
      <c r="L265" s="5">
        <f t="shared" si="68"/>
      </c>
      <c r="M265">
        <f t="shared" si="62"/>
      </c>
      <c r="N265" s="18">
        <f t="shared" si="63"/>
      </c>
    </row>
    <row r="266" spans="3:14" x14ac:dyDescent="0.3">
      <c r="C266" s="5">
        <f t="shared" si="58"/>
      </c>
      <c r="D266" s="5">
        <f t="shared" si="59"/>
      </c>
      <c r="E266" s="94"/>
      <c r="F266" s="5">
        <f t="shared" si="60"/>
      </c>
      <c r="G266" s="5">
        <f t="shared" si="67"/>
      </c>
      <c r="H266" s="70">
        <f t="shared" si="64"/>
      </c>
      <c r="I266" s="5">
        <f t="shared" si="61"/>
        <v/>
      </c>
      <c r="J266" s="5">
        <f t="shared" si="65"/>
      </c>
      <c r="K266" s="5">
        <f t="shared" si="66"/>
      </c>
      <c r="L266" s="5">
        <f t="shared" si="68"/>
      </c>
      <c r="M266">
        <f t="shared" si="62"/>
      </c>
      <c r="N266" s="18">
        <f t="shared" si="63"/>
      </c>
    </row>
    <row r="267" spans="3:14" x14ac:dyDescent="0.3">
      <c r="C267" s="5">
        <f t="shared" si="58"/>
      </c>
      <c r="D267" s="5">
        <f t="shared" si="59"/>
      </c>
      <c r="E267" s="94"/>
      <c r="F267" s="5">
        <f t="shared" si="60"/>
      </c>
      <c r="G267" s="5">
        <f t="shared" si="67"/>
      </c>
      <c r="H267" s="70">
        <f t="shared" si="64"/>
      </c>
      <c r="I267" s="5">
        <f t="shared" si="61"/>
        <v/>
      </c>
      <c r="J267" s="5">
        <f t="shared" si="65"/>
      </c>
      <c r="K267" s="5">
        <f t="shared" si="66"/>
      </c>
      <c r="L267" s="5">
        <f t="shared" si="68"/>
      </c>
      <c r="M267">
        <f t="shared" si="62"/>
      </c>
      <c r="N267" s="18">
        <f t="shared" si="63"/>
      </c>
    </row>
    <row r="268" spans="3:14" x14ac:dyDescent="0.3">
      <c r="C268" s="5">
        <f t="shared" si="58"/>
      </c>
      <c r="D268" s="5">
        <f t="shared" si="59"/>
      </c>
      <c r="E268" s="94"/>
      <c r="F268" s="5">
        <f t="shared" si="60"/>
      </c>
      <c r="G268" s="5">
        <f t="shared" si="67"/>
      </c>
      <c r="H268" s="70">
        <f t="shared" si="64"/>
      </c>
      <c r="I268" s="5">
        <f t="shared" si="61"/>
        <v/>
      </c>
      <c r="J268" s="5">
        <f t="shared" si="65"/>
      </c>
      <c r="K268" s="5">
        <f t="shared" si="66"/>
      </c>
      <c r="L268" s="5">
        <f t="shared" si="68"/>
      </c>
      <c r="M268">
        <f t="shared" si="62"/>
      </c>
      <c r="N268" s="18">
        <f t="shared" si="63"/>
      </c>
    </row>
    <row r="269" spans="3:14" x14ac:dyDescent="0.3">
      <c r="C269" s="5">
        <f t="shared" si="58"/>
      </c>
      <c r="D269" s="5">
        <f t="shared" si="59"/>
      </c>
      <c r="E269" s="94"/>
      <c r="F269" s="5">
        <f t="shared" si="60"/>
      </c>
      <c r="G269" s="5">
        <f t="shared" si="67"/>
      </c>
      <c r="H269" s="70">
        <f t="shared" si="64"/>
      </c>
      <c r="I269" s="5">
        <f t="shared" si="61"/>
        <v/>
      </c>
      <c r="J269" s="5">
        <f t="shared" si="65"/>
      </c>
      <c r="K269" s="5">
        <f t="shared" si="66"/>
      </c>
      <c r="L269" s="5">
        <f t="shared" si="68"/>
      </c>
      <c r="M269">
        <f t="shared" si="62"/>
      </c>
      <c r="N269" s="18">
        <f t="shared" si="63"/>
      </c>
    </row>
    <row r="270" spans="3:14" x14ac:dyDescent="0.3">
      <c r="C270" s="5">
        <f t="shared" si="58"/>
      </c>
      <c r="D270" s="5">
        <f t="shared" si="59"/>
      </c>
      <c r="E270" s="94"/>
      <c r="F270" s="5">
        <f t="shared" si="60"/>
      </c>
      <c r="G270" s="5">
        <f t="shared" si="67"/>
      </c>
      <c r="H270" s="70">
        <f t="shared" si="64"/>
      </c>
      <c r="I270" s="5">
        <f t="shared" si="61"/>
        <v/>
      </c>
      <c r="J270" s="5">
        <f t="shared" si="65"/>
      </c>
      <c r="K270" s="5">
        <f t="shared" si="66"/>
      </c>
      <c r="L270" s="5">
        <f t="shared" si="68"/>
      </c>
      <c r="M270">
        <f t="shared" si="62"/>
      </c>
      <c r="N270" s="18">
        <f t="shared" si="63"/>
      </c>
    </row>
    <row r="271" spans="3:14" x14ac:dyDescent="0.3">
      <c r="C271" s="5">
        <f t="shared" si="58"/>
      </c>
      <c r="D271" s="5">
        <f t="shared" si="59"/>
      </c>
      <c r="E271" s="94"/>
      <c r="F271" s="5">
        <f t="shared" si="60"/>
      </c>
      <c r="G271" s="5">
        <f t="shared" si="67"/>
      </c>
      <c r="H271" s="70">
        <f t="shared" si="64"/>
      </c>
      <c r="I271" s="5">
        <f t="shared" si="61"/>
        <v/>
      </c>
      <c r="J271" s="5">
        <f t="shared" si="65"/>
      </c>
      <c r="K271" s="5">
        <f t="shared" si="66"/>
      </c>
      <c r="L271" s="5">
        <f t="shared" si="68"/>
      </c>
      <c r="M271">
        <f t="shared" si="62"/>
      </c>
      <c r="N271" s="18">
        <f t="shared" si="63"/>
      </c>
    </row>
    <row r="272" spans="3:14" x14ac:dyDescent="0.3">
      <c r="C272" s="5">
        <f t="shared" si="58"/>
      </c>
      <c r="D272" s="5">
        <f t="shared" si="59"/>
      </c>
      <c r="E272" s="94"/>
      <c r="F272" s="5">
        <f t="shared" si="60"/>
      </c>
      <c r="G272" s="5">
        <f t="shared" si="67"/>
      </c>
      <c r="H272" s="70">
        <f t="shared" si="64"/>
      </c>
      <c r="I272" s="5">
        <f t="shared" si="61"/>
        <v/>
      </c>
      <c r="J272" s="5">
        <f t="shared" si="65"/>
      </c>
      <c r="K272" s="5">
        <f t="shared" si="66"/>
      </c>
      <c r="L272" s="5">
        <f t="shared" si="68"/>
      </c>
      <c r="M272">
        <f t="shared" si="62"/>
      </c>
      <c r="N272" s="18">
        <f t="shared" si="63"/>
      </c>
    </row>
    <row r="273" spans="3:14" x14ac:dyDescent="0.3">
      <c r="C273" s="5">
        <f t="shared" si="58"/>
      </c>
      <c r="D273" s="5">
        <f t="shared" si="59"/>
      </c>
      <c r="E273" s="94"/>
      <c r="F273" s="5">
        <f t="shared" si="60"/>
      </c>
      <c r="G273" s="5">
        <f t="shared" si="67"/>
      </c>
      <c r="H273" s="70">
        <f t="shared" si="64"/>
      </c>
      <c r="I273" s="5">
        <f t="shared" si="61"/>
        <v/>
      </c>
      <c r="J273" s="5">
        <f t="shared" si="65"/>
      </c>
      <c r="K273" s="5">
        <f t="shared" si="66"/>
      </c>
      <c r="L273" s="5">
        <f t="shared" si="68"/>
      </c>
      <c r="M273">
        <f t="shared" si="62"/>
      </c>
      <c r="N273" s="18">
        <f t="shared" si="63"/>
      </c>
    </row>
    <row r="274" spans="3:14" x14ac:dyDescent="0.3">
      <c r="C274" s="5">
        <f t="shared" si="58"/>
      </c>
      <c r="D274" s="5">
        <f t="shared" si="59"/>
      </c>
      <c r="E274" s="94"/>
      <c r="F274" s="5">
        <f t="shared" si="60"/>
      </c>
      <c r="G274" s="5">
        <f t="shared" si="67"/>
      </c>
      <c r="H274" s="70">
        <f t="shared" si="64"/>
      </c>
      <c r="I274" s="5">
        <f t="shared" si="61"/>
        <v/>
      </c>
      <c r="J274" s="5">
        <f t="shared" si="65"/>
      </c>
      <c r="K274" s="5">
        <f t="shared" si="66"/>
      </c>
      <c r="L274" s="5">
        <f t="shared" si="68"/>
      </c>
      <c r="M274">
        <f t="shared" si="62"/>
      </c>
      <c r="N274" s="18">
        <f t="shared" si="63"/>
      </c>
    </row>
    <row r="275" spans="3:14" x14ac:dyDescent="0.3">
      <c r="C275" s="5">
        <f t="shared" si="58"/>
      </c>
      <c r="D275" s="5">
        <f t="shared" si="59"/>
      </c>
      <c r="E275" s="94"/>
      <c r="F275" s="5">
        <f t="shared" si="60"/>
      </c>
      <c r="G275" s="5">
        <f t="shared" si="67"/>
      </c>
      <c r="H275" s="70">
        <f t="shared" si="64"/>
      </c>
      <c r="I275" s="5">
        <f t="shared" si="61"/>
        <v/>
      </c>
      <c r="J275" s="5">
        <f t="shared" si="65"/>
      </c>
      <c r="K275" s="5">
        <f t="shared" si="66"/>
      </c>
      <c r="L275" s="5">
        <f t="shared" si="68"/>
      </c>
      <c r="M275">
        <f t="shared" si="62"/>
      </c>
      <c r="N275" s="18">
        <f t="shared" si="63"/>
      </c>
    </row>
    <row r="276" spans="3:14" x14ac:dyDescent="0.3">
      <c r="C276" s="5">
        <f t="shared" si="58"/>
      </c>
      <c r="D276" s="5">
        <f t="shared" si="59"/>
      </c>
      <c r="E276" s="94"/>
      <c r="F276" s="5">
        <f t="shared" si="60"/>
      </c>
      <c r="G276" s="5">
        <f t="shared" si="67"/>
      </c>
      <c r="H276" s="70">
        <f t="shared" si="64"/>
      </c>
      <c r="I276" s="5">
        <f t="shared" si="61"/>
        <v/>
      </c>
      <c r="J276" s="5">
        <f t="shared" si="65"/>
      </c>
      <c r="K276" s="5">
        <f t="shared" si="66"/>
      </c>
      <c r="L276" s="5">
        <f t="shared" si="68"/>
      </c>
      <c r="M276">
        <f t="shared" si="62"/>
      </c>
      <c r="N276" s="18">
        <f t="shared" si="63"/>
      </c>
    </row>
    <row r="277" spans="3:14" x14ac:dyDescent="0.3">
      <c r="C277" s="5">
        <f t="shared" si="58"/>
      </c>
      <c r="D277" s="5">
        <f t="shared" si="59"/>
      </c>
      <c r="E277" s="94"/>
      <c r="F277" s="5">
        <f t="shared" si="60"/>
      </c>
      <c r="G277" s="5">
        <f t="shared" si="67"/>
      </c>
      <c r="H277" s="70">
        <f t="shared" si="64"/>
      </c>
      <c r="I277" s="5">
        <f t="shared" si="61"/>
        <v/>
      </c>
      <c r="J277" s="5">
        <f t="shared" si="65"/>
      </c>
      <c r="K277" s="5">
        <f t="shared" si="66"/>
      </c>
      <c r="L277" s="5">
        <f t="shared" si="68"/>
      </c>
      <c r="M277">
        <f t="shared" si="62"/>
      </c>
      <c r="N277" s="18">
        <f t="shared" si="63"/>
      </c>
    </row>
    <row r="278" spans="3:14" x14ac:dyDescent="0.3">
      <c r="C278" s="5">
        <f t="shared" si="58"/>
      </c>
      <c r="D278" s="5">
        <f t="shared" si="59"/>
      </c>
      <c r="E278" s="94"/>
      <c r="F278" s="5">
        <f t="shared" si="60"/>
      </c>
      <c r="G278" s="5">
        <f t="shared" si="67"/>
      </c>
      <c r="H278" s="70">
        <f t="shared" si="64"/>
      </c>
      <c r="I278" s="5">
        <f t="shared" si="61"/>
        <v/>
      </c>
      <c r="J278" s="5">
        <f t="shared" si="65"/>
      </c>
      <c r="K278" s="5">
        <f t="shared" si="66"/>
      </c>
      <c r="L278" s="5">
        <f t="shared" si="68"/>
      </c>
      <c r="M278">
        <f t="shared" si="62"/>
      </c>
      <c r="N278" s="18">
        <f t="shared" si="63"/>
      </c>
    </row>
    <row r="279" spans="3:14" x14ac:dyDescent="0.3">
      <c r="C279" s="5">
        <f t="shared" si="58"/>
      </c>
      <c r="D279" s="5">
        <f t="shared" si="59"/>
      </c>
      <c r="E279" s="94"/>
      <c r="F279" s="5">
        <f t="shared" si="60"/>
      </c>
      <c r="G279" s="5">
        <f t="shared" si="67"/>
      </c>
      <c r="H279" s="70">
        <f t="shared" si="64"/>
      </c>
      <c r="I279" s="5">
        <f t="shared" si="61"/>
        <v/>
      </c>
      <c r="J279" s="5">
        <f t="shared" si="65"/>
      </c>
      <c r="K279" s="5">
        <f t="shared" si="66"/>
      </c>
      <c r="L279" s="5">
        <f t="shared" si="68"/>
      </c>
      <c r="M279">
        <f t="shared" si="62"/>
      </c>
      <c r="N279" s="18">
        <f t="shared" si="63"/>
      </c>
    </row>
    <row r="280" spans="3:14" x14ac:dyDescent="0.3">
      <c r="C280" s="5">
        <f t="shared" si="58"/>
      </c>
      <c r="D280" s="5">
        <f t="shared" si="59"/>
      </c>
      <c r="E280" s="94"/>
      <c r="F280" s="5">
        <f t="shared" si="60"/>
      </c>
      <c r="G280" s="5">
        <f t="shared" si="67"/>
      </c>
      <c r="H280" s="70">
        <f t="shared" si="64"/>
      </c>
      <c r="I280" s="5">
        <f t="shared" si="61"/>
        <v/>
      </c>
      <c r="J280" s="5">
        <f t="shared" si="65"/>
      </c>
      <c r="K280" s="5">
        <f t="shared" si="66"/>
      </c>
      <c r="L280" s="5">
        <f t="shared" si="68"/>
      </c>
      <c r="M280">
        <f t="shared" si="62"/>
      </c>
      <c r="N280" s="18">
        <f t="shared" si="63"/>
      </c>
    </row>
    <row r="281" spans="3:14" x14ac:dyDescent="0.3">
      <c r="C281" s="5">
        <f t="shared" si="58"/>
      </c>
      <c r="D281" s="5">
        <f t="shared" si="59"/>
      </c>
      <c r="E281" s="94"/>
      <c r="F281" s="5">
        <f t="shared" si="60"/>
      </c>
      <c r="G281" s="5">
        <f t="shared" si="67"/>
      </c>
      <c r="H281" s="70">
        <f t="shared" si="64"/>
      </c>
      <c r="I281" s="5">
        <f t="shared" si="61"/>
        <v/>
      </c>
      <c r="J281" s="5">
        <f t="shared" si="65"/>
      </c>
      <c r="K281" s="5">
        <f t="shared" si="66"/>
      </c>
      <c r="L281" s="5">
        <f t="shared" si="68"/>
      </c>
      <c r="M281">
        <f t="shared" si="62"/>
      </c>
      <c r="N281" s="18">
        <f t="shared" si="63"/>
      </c>
    </row>
    <row r="282" spans="3:14" x14ac:dyDescent="0.3">
      <c r="C282" s="5">
        <f t="shared" si="58"/>
      </c>
      <c r="D282" s="5">
        <f t="shared" si="59"/>
      </c>
      <c r="E282" s="94"/>
      <c r="F282" s="5">
        <f t="shared" si="60"/>
      </c>
      <c r="G282" s="5">
        <f t="shared" si="67"/>
      </c>
      <c r="H282" s="70">
        <f t="shared" si="64"/>
      </c>
      <c r="I282" s="5">
        <f t="shared" si="61"/>
        <v/>
      </c>
      <c r="J282" s="5">
        <f t="shared" si="65"/>
      </c>
      <c r="K282" s="5">
        <f t="shared" si="66"/>
      </c>
      <c r="L282" s="5">
        <f t="shared" si="68"/>
      </c>
      <c r="M282">
        <f t="shared" si="62"/>
      </c>
      <c r="N282" s="18">
        <f t="shared" si="63"/>
      </c>
    </row>
    <row r="283" spans="3:14" x14ac:dyDescent="0.3">
      <c r="C283" s="5">
        <f t="shared" si="58"/>
      </c>
      <c r="D283" s="5">
        <f t="shared" si="59"/>
      </c>
      <c r="E283" s="94"/>
      <c r="F283" s="5">
        <f t="shared" si="60"/>
      </c>
      <c r="G283" s="5">
        <f t="shared" si="67"/>
      </c>
      <c r="H283" s="70">
        <f t="shared" si="64"/>
      </c>
      <c r="I283" s="5">
        <f t="shared" si="61"/>
        <v/>
      </c>
      <c r="J283" s="5">
        <f t="shared" si="65"/>
      </c>
      <c r="K283" s="5">
        <f t="shared" si="66"/>
      </c>
      <c r="L283" s="5">
        <f t="shared" si="68"/>
      </c>
      <c r="M283">
        <f t="shared" si="62"/>
      </c>
      <c r="N283" s="18">
        <f t="shared" si="63"/>
      </c>
    </row>
    <row r="284" spans="3:14" x14ac:dyDescent="0.3">
      <c r="C284" s="5">
        <f t="shared" si="58"/>
      </c>
      <c r="D284" s="5">
        <f t="shared" si="59"/>
      </c>
      <c r="E284" s="94"/>
      <c r="F284" s="5">
        <f t="shared" si="60"/>
      </c>
      <c r="G284" s="5">
        <f t="shared" si="67"/>
      </c>
      <c r="H284" s="70">
        <f t="shared" si="64"/>
      </c>
      <c r="I284" s="5">
        <f t="shared" si="61"/>
        <v/>
      </c>
      <c r="J284" s="5">
        <f t="shared" si="65"/>
      </c>
      <c r="K284" s="5">
        <f t="shared" si="66"/>
      </c>
      <c r="L284" s="5">
        <f t="shared" si="68"/>
      </c>
      <c r="M284">
        <f t="shared" si="62"/>
      </c>
      <c r="N284" s="18">
        <f t="shared" si="63"/>
      </c>
    </row>
    <row r="285" spans="3:14" x14ac:dyDescent="0.3">
      <c r="C285" s="5">
        <f t="shared" si="58"/>
      </c>
      <c r="D285" s="5">
        <f t="shared" si="59"/>
      </c>
      <c r="E285" s="94"/>
      <c r="F285" s="5">
        <f t="shared" si="60"/>
      </c>
      <c r="G285" s="5">
        <f t="shared" si="67"/>
      </c>
      <c r="H285" s="70">
        <f t="shared" si="64"/>
      </c>
      <c r="I285" s="5">
        <f t="shared" si="61"/>
        <v/>
      </c>
      <c r="J285" s="5">
        <f t="shared" si="65"/>
      </c>
      <c r="K285" s="5">
        <f t="shared" si="66"/>
      </c>
      <c r="L285" s="5">
        <f t="shared" si="68"/>
      </c>
      <c r="M285">
        <f t="shared" si="62"/>
      </c>
      <c r="N285" s="18">
        <f t="shared" si="63"/>
      </c>
    </row>
    <row r="286" spans="3:14" x14ac:dyDescent="0.3">
      <c r="C286" s="5">
        <f t="shared" si="58"/>
      </c>
      <c r="D286" s="5">
        <f t="shared" si="59"/>
      </c>
      <c r="E286" s="94"/>
      <c r="F286" s="5">
        <f t="shared" si="60"/>
      </c>
      <c r="G286" s="5">
        <f t="shared" si="67"/>
      </c>
      <c r="H286" s="70">
        <f t="shared" si="64"/>
      </c>
      <c r="I286" s="5">
        <f t="shared" si="61"/>
        <v/>
      </c>
      <c r="J286" s="5">
        <f t="shared" si="65"/>
      </c>
      <c r="K286" s="5">
        <f t="shared" si="66"/>
      </c>
      <c r="L286" s="5">
        <f t="shared" si="68"/>
      </c>
      <c r="M286">
        <f t="shared" si="62"/>
      </c>
      <c r="N286" s="18">
        <f t="shared" si="63"/>
      </c>
    </row>
    <row r="287" spans="3:14" x14ac:dyDescent="0.3">
      <c r="C287" s="5">
        <f t="shared" si="58"/>
      </c>
      <c r="D287" s="5">
        <f t="shared" si="59"/>
      </c>
      <c r="E287" s="94"/>
      <c r="F287" s="5">
        <f t="shared" si="60"/>
      </c>
      <c r="G287" s="5">
        <f t="shared" si="67"/>
      </c>
      <c r="H287" s="70">
        <f t="shared" si="64"/>
      </c>
      <c r="I287" s="5">
        <f t="shared" si="61"/>
        <v/>
      </c>
      <c r="J287" s="5">
        <f t="shared" si="65"/>
      </c>
      <c r="K287" s="5">
        <f t="shared" si="66"/>
      </c>
      <c r="L287" s="5">
        <f t="shared" si="68"/>
      </c>
      <c r="M287">
        <f t="shared" si="62"/>
      </c>
      <c r="N287" s="18">
        <f t="shared" si="63"/>
      </c>
    </row>
    <row r="288" spans="3:14" x14ac:dyDescent="0.3">
      <c r="C288" s="5">
        <f t="shared" si="58"/>
      </c>
      <c r="D288" s="5">
        <f t="shared" si="59"/>
      </c>
      <c r="E288" s="94"/>
      <c r="F288" s="5">
        <f t="shared" si="60"/>
      </c>
      <c r="G288" s="5">
        <f t="shared" si="67"/>
      </c>
      <c r="H288" s="70">
        <f t="shared" si="64"/>
      </c>
      <c r="I288" s="5">
        <f t="shared" si="61"/>
        <v/>
      </c>
      <c r="J288" s="5">
        <f t="shared" si="65"/>
      </c>
      <c r="K288" s="5">
        <f t="shared" si="66"/>
      </c>
      <c r="L288" s="5">
        <f t="shared" si="68"/>
      </c>
      <c r="M288">
        <f t="shared" si="62"/>
      </c>
      <c r="N288" s="18">
        <f t="shared" si="63"/>
      </c>
    </row>
    <row r="289" spans="3:14" x14ac:dyDescent="0.3">
      <c r="C289" s="5">
        <f t="shared" si="58"/>
      </c>
      <c r="D289" s="5">
        <f t="shared" si="59"/>
      </c>
      <c r="E289" s="94"/>
      <c r="F289" s="5">
        <f t="shared" si="60"/>
      </c>
      <c r="G289" s="5">
        <f t="shared" si="67"/>
      </c>
      <c r="H289" s="70">
        <f t="shared" si="64"/>
      </c>
      <c r="I289" s="5">
        <f t="shared" si="61"/>
        <v/>
      </c>
      <c r="J289" s="5">
        <f t="shared" si="65"/>
      </c>
      <c r="K289" s="5">
        <f t="shared" si="66"/>
      </c>
      <c r="L289" s="5">
        <f t="shared" si="68"/>
      </c>
      <c r="M289">
        <f t="shared" si="62"/>
      </c>
      <c r="N289" s="18">
        <f t="shared" si="63"/>
      </c>
    </row>
    <row r="290" spans="3:14" x14ac:dyDescent="0.3">
      <c r="C290" s="5">
        <f t="shared" si="58"/>
      </c>
      <c r="D290" s="5">
        <f t="shared" si="59"/>
      </c>
      <c r="E290" s="94"/>
      <c r="F290" s="5">
        <f t="shared" si="60"/>
      </c>
      <c r="G290" s="5">
        <f t="shared" si="67"/>
      </c>
      <c r="H290" s="70">
        <f t="shared" si="64"/>
      </c>
      <c r="I290" s="5">
        <f t="shared" si="61"/>
        <v/>
      </c>
      <c r="J290" s="5">
        <f t="shared" si="65"/>
      </c>
      <c r="K290" s="5">
        <f t="shared" si="66"/>
      </c>
      <c r="L290" s="5">
        <f t="shared" si="68"/>
      </c>
      <c r="M290">
        <f t="shared" si="62"/>
      </c>
      <c r="N290" s="18">
        <f t="shared" si="63"/>
      </c>
    </row>
    <row r="291" spans="3:14" x14ac:dyDescent="0.3">
      <c r="C291" s="5">
        <f t="shared" si="58"/>
      </c>
      <c r="D291" s="5">
        <f t="shared" si="59"/>
      </c>
      <c r="E291" s="94"/>
      <c r="F291" s="5">
        <f t="shared" si="60"/>
      </c>
      <c r="G291" s="5">
        <f t="shared" si="67"/>
      </c>
      <c r="H291" s="70">
        <f t="shared" si="64"/>
      </c>
      <c r="I291" s="5">
        <f t="shared" si="61"/>
        <v/>
      </c>
      <c r="J291" s="5">
        <f t="shared" si="65"/>
      </c>
      <c r="K291" s="5">
        <f t="shared" si="66"/>
      </c>
      <c r="L291" s="5">
        <f t="shared" si="68"/>
      </c>
      <c r="M291">
        <f t="shared" si="62"/>
      </c>
      <c r="N291" s="18">
        <f t="shared" si="63"/>
      </c>
    </row>
    <row r="292" spans="3:14" x14ac:dyDescent="0.3">
      <c r="C292" s="5">
        <f t="shared" si="58"/>
      </c>
      <c r="D292" s="5">
        <f t="shared" si="59"/>
      </c>
      <c r="E292" s="94"/>
      <c r="F292" s="5">
        <f t="shared" si="60"/>
      </c>
      <c r="G292" s="5">
        <f t="shared" si="67"/>
      </c>
      <c r="H292" s="70">
        <f t="shared" si="64"/>
      </c>
      <c r="I292" s="5">
        <f t="shared" si="61"/>
        <v/>
      </c>
      <c r="J292" s="5">
        <f t="shared" si="65"/>
      </c>
      <c r="K292" s="5">
        <f t="shared" si="66"/>
      </c>
      <c r="L292" s="5">
        <f t="shared" si="68"/>
      </c>
      <c r="M292">
        <f t="shared" si="62"/>
      </c>
      <c r="N292" s="18">
        <f t="shared" si="63"/>
      </c>
    </row>
    <row r="293" spans="3:14" x14ac:dyDescent="0.3">
      <c r="C293" s="5">
        <f t="shared" si="58"/>
      </c>
      <c r="D293" s="5">
        <f t="shared" si="59"/>
      </c>
      <c r="E293" s="94"/>
      <c r="F293" s="5">
        <f t="shared" si="60"/>
      </c>
      <c r="G293" s="5">
        <f t="shared" si="67"/>
      </c>
      <c r="H293" s="70">
        <f t="shared" si="64"/>
      </c>
      <c r="I293" s="5">
        <f t="shared" si="61"/>
        <v/>
      </c>
      <c r="J293" s="5">
        <f t="shared" si="65"/>
      </c>
      <c r="K293" s="5">
        <f t="shared" si="66"/>
      </c>
      <c r="L293" s="5">
        <f t="shared" si="68"/>
      </c>
      <c r="M293">
        <f t="shared" si="62"/>
      </c>
      <c r="N293" s="18">
        <f t="shared" si="63"/>
      </c>
    </row>
    <row r="294" spans="3:14" x14ac:dyDescent="0.3">
      <c r="C294" s="5">
        <f t="shared" si="58"/>
      </c>
      <c r="D294" s="5">
        <f t="shared" si="59"/>
      </c>
      <c r="E294" s="94"/>
      <c r="F294" s="5">
        <f t="shared" si="60"/>
      </c>
      <c r="G294" s="5">
        <f t="shared" si="67"/>
      </c>
      <c r="H294" s="70">
        <f t="shared" si="64"/>
      </c>
      <c r="I294" s="5">
        <f t="shared" si="61"/>
        <v/>
      </c>
      <c r="J294" s="5">
        <f t="shared" si="65"/>
      </c>
      <c r="K294" s="5">
        <f t="shared" si="66"/>
      </c>
      <c r="L294" s="5">
        <f t="shared" si="68"/>
      </c>
      <c r="M294">
        <f t="shared" si="62"/>
      </c>
      <c r="N294" s="18">
        <f t="shared" si="63"/>
      </c>
    </row>
    <row r="295" spans="3:14" x14ac:dyDescent="0.3">
      <c r="C295" s="5">
        <f t="shared" si="58"/>
      </c>
      <c r="D295" s="5">
        <f t="shared" si="59"/>
      </c>
      <c r="E295" s="94"/>
      <c r="F295" s="5">
        <f t="shared" si="60"/>
      </c>
      <c r="G295" s="5">
        <f t="shared" si="67"/>
      </c>
      <c r="H295" s="70">
        <f t="shared" si="64"/>
      </c>
      <c r="I295" s="5">
        <f t="shared" si="61"/>
        <v/>
      </c>
      <c r="J295" s="5">
        <f t="shared" si="65"/>
      </c>
      <c r="K295" s="5">
        <f t="shared" si="66"/>
      </c>
      <c r="L295" s="5">
        <f t="shared" si="68"/>
      </c>
      <c r="M295">
        <f t="shared" si="62"/>
      </c>
      <c r="N295" s="18">
        <f t="shared" si="63"/>
      </c>
    </row>
    <row r="296" spans="3:14" x14ac:dyDescent="0.3">
      <c r="C296" s="5">
        <f t="shared" si="58"/>
      </c>
      <c r="D296" s="5">
        <f t="shared" si="59"/>
      </c>
      <c r="E296" s="94"/>
      <c r="F296" s="5">
        <f t="shared" si="60"/>
      </c>
      <c r="G296" s="5">
        <f t="shared" si="67"/>
      </c>
      <c r="H296" s="70">
        <f t="shared" si="64"/>
      </c>
      <c r="I296" s="5">
        <f t="shared" si="61"/>
        <v/>
      </c>
      <c r="J296" s="5">
        <f t="shared" si="65"/>
      </c>
      <c r="K296" s="5">
        <f t="shared" si="66"/>
      </c>
      <c r="L296" s="5">
        <f t="shared" si="68"/>
      </c>
      <c r="M296">
        <f t="shared" si="62"/>
      </c>
      <c r="N296" s="18">
        <f t="shared" si="63"/>
      </c>
    </row>
    <row r="297" spans="3:14" x14ac:dyDescent="0.3">
      <c r="C297" s="5">
        <f t="shared" si="58"/>
      </c>
      <c r="D297" s="5">
        <f t="shared" si="59"/>
      </c>
      <c r="E297" s="94"/>
      <c r="F297" s="5">
        <f t="shared" si="60"/>
      </c>
      <c r="G297" s="5">
        <f t="shared" si="67"/>
      </c>
      <c r="H297" s="70">
        <f t="shared" si="64"/>
      </c>
      <c r="I297" s="5">
        <f t="shared" si="61"/>
        <v/>
      </c>
      <c r="J297" s="5">
        <f t="shared" si="65"/>
      </c>
      <c r="K297" s="5">
        <f t="shared" si="66"/>
      </c>
      <c r="L297" s="5">
        <f t="shared" si="68"/>
      </c>
      <c r="M297">
        <f t="shared" si="62"/>
      </c>
      <c r="N297" s="18">
        <f t="shared" si="63"/>
      </c>
    </row>
    <row r="298" spans="3:14" x14ac:dyDescent="0.3">
      <c r="C298" s="5">
        <f t="shared" si="58"/>
      </c>
      <c r="D298" s="5">
        <f t="shared" si="59"/>
      </c>
      <c r="E298" s="94"/>
      <c r="F298" s="5">
        <f t="shared" si="60"/>
      </c>
      <c r="G298" s="5">
        <f t="shared" si="67"/>
      </c>
      <c r="H298" s="70">
        <f t="shared" si="64"/>
      </c>
      <c r="I298" s="5">
        <f t="shared" si="61"/>
        <v/>
      </c>
      <c r="J298" s="5">
        <f t="shared" si="65"/>
      </c>
      <c r="K298" s="5">
        <f t="shared" si="66"/>
      </c>
      <c r="L298" s="5">
        <f t="shared" si="68"/>
      </c>
      <c r="M298">
        <f t="shared" si="62"/>
      </c>
      <c r="N298" s="18">
        <f t="shared" si="63"/>
      </c>
    </row>
    <row r="299" spans="3:14" x14ac:dyDescent="0.3">
      <c r="C299" s="5">
        <f t="shared" si="58"/>
      </c>
      <c r="D299" s="5">
        <f t="shared" si="59"/>
      </c>
      <c r="E299" s="94"/>
      <c r="F299" s="5">
        <f t="shared" si="60"/>
      </c>
      <c r="G299" s="5">
        <f t="shared" si="67"/>
      </c>
      <c r="H299" s="70">
        <f t="shared" si="64"/>
      </c>
      <c r="I299" s="5">
        <f t="shared" si="61"/>
        <v/>
      </c>
      <c r="J299" s="5">
        <f t="shared" si="65"/>
      </c>
      <c r="K299" s="5">
        <f t="shared" si="66"/>
      </c>
      <c r="L299" s="5">
        <f t="shared" si="68"/>
      </c>
      <c r="M299">
        <f t="shared" si="62"/>
      </c>
      <c r="N299" s="18">
        <f t="shared" si="63"/>
      </c>
    </row>
    <row r="300" spans="3:14" x14ac:dyDescent="0.3">
      <c r="C300" s="5">
        <f t="shared" si="58"/>
      </c>
      <c r="D300" s="5">
        <f t="shared" si="59"/>
      </c>
      <c r="E300" s="94"/>
      <c r="F300" s="5">
        <f t="shared" si="60"/>
      </c>
      <c r="G300" s="5">
        <f t="shared" si="67"/>
      </c>
      <c r="H300" s="70">
        <f t="shared" si="64"/>
      </c>
      <c r="I300" s="5">
        <f t="shared" si="61"/>
        <v/>
      </c>
      <c r="J300" s="5">
        <f t="shared" si="65"/>
      </c>
      <c r="K300" s="5">
        <f t="shared" si="66"/>
      </c>
      <c r="L300" s="5">
        <f t="shared" si="68"/>
      </c>
      <c r="M300">
        <f t="shared" si="62"/>
      </c>
      <c r="N300" s="18">
        <f t="shared" si="63"/>
      </c>
    </row>
    <row r="301" spans="3:14" x14ac:dyDescent="0.3">
      <c r="C301" s="5">
        <f t="shared" si="58"/>
      </c>
      <c r="D301" s="5">
        <f t="shared" si="59"/>
      </c>
      <c r="E301" s="94"/>
      <c r="F301" s="5">
        <f t="shared" si="60"/>
      </c>
      <c r="G301" s="5">
        <f t="shared" si="67"/>
      </c>
      <c r="H301" s="70">
        <f t="shared" si="64"/>
      </c>
      <c r="I301" s="5">
        <f t="shared" si="61"/>
        <v/>
      </c>
      <c r="J301" s="5">
        <f t="shared" si="65"/>
      </c>
      <c r="K301" s="5">
        <f t="shared" si="66"/>
      </c>
      <c r="L301" s="5">
        <f t="shared" si="68"/>
      </c>
      <c r="M301">
        <f t="shared" si="62"/>
      </c>
      <c r="N301" s="18">
        <f t="shared" si="63"/>
      </c>
    </row>
    <row r="302" spans="3:14" x14ac:dyDescent="0.3">
      <c r="C302" s="5">
        <f t="shared" si="58"/>
      </c>
      <c r="D302" s="5">
        <f t="shared" si="59"/>
      </c>
      <c r="E302" s="94"/>
      <c r="F302" s="5">
        <f t="shared" si="60"/>
      </c>
      <c r="G302" s="5">
        <f t="shared" si="67"/>
      </c>
      <c r="H302" s="70">
        <f t="shared" si="64"/>
      </c>
      <c r="I302" s="5">
        <f t="shared" si="61"/>
        <v/>
      </c>
      <c r="J302" s="5">
        <f t="shared" si="65"/>
      </c>
      <c r="K302" s="5">
        <f t="shared" si="66"/>
      </c>
      <c r="L302" s="5">
        <f t="shared" si="68"/>
      </c>
      <c r="M302">
        <f t="shared" si="62"/>
      </c>
      <c r="N302" s="18">
        <f t="shared" si="63"/>
      </c>
    </row>
    <row r="303" spans="3:14" x14ac:dyDescent="0.3">
      <c r="C303" s="5">
        <f t="shared" si="58"/>
      </c>
      <c r="D303" s="5">
        <f t="shared" si="59"/>
      </c>
      <c r="E303" s="94"/>
      <c r="F303" s="5">
        <f t="shared" si="60"/>
      </c>
      <c r="G303" s="5">
        <f t="shared" si="67"/>
      </c>
      <c r="H303" s="70">
        <f t="shared" si="64"/>
      </c>
      <c r="I303" s="5">
        <f t="shared" si="61"/>
        <v/>
      </c>
      <c r="J303" s="5">
        <f t="shared" si="65"/>
      </c>
      <c r="K303" s="5">
        <f t="shared" si="66"/>
      </c>
      <c r="L303" s="5">
        <f t="shared" si="68"/>
      </c>
      <c r="M303">
        <f t="shared" si="62"/>
      </c>
      <c r="N303" s="18">
        <f t="shared" si="63"/>
      </c>
    </row>
    <row r="304" spans="3:14" x14ac:dyDescent="0.3">
      <c r="C304" s="5">
        <f t="shared" si="58"/>
      </c>
      <c r="D304" s="5">
        <f t="shared" si="59"/>
      </c>
      <c r="E304" s="94"/>
      <c r="F304" s="5">
        <f t="shared" si="60"/>
      </c>
      <c r="G304" s="5">
        <f t="shared" si="67"/>
      </c>
      <c r="H304" s="70">
        <f t="shared" si="64"/>
      </c>
      <c r="I304" s="5">
        <f t="shared" si="61"/>
        <v/>
      </c>
      <c r="J304" s="5">
        <f t="shared" si="65"/>
      </c>
      <c r="K304" s="5">
        <f t="shared" si="66"/>
      </c>
      <c r="L304" s="5">
        <f t="shared" si="68"/>
      </c>
      <c r="M304">
        <f t="shared" si="62"/>
      </c>
      <c r="N304" s="18">
        <f t="shared" si="63"/>
      </c>
    </row>
    <row r="305" spans="3:14" x14ac:dyDescent="0.3">
      <c r="C305" s="5">
        <f t="shared" si="58"/>
      </c>
      <c r="D305" s="5">
        <f t="shared" si="59"/>
      </c>
      <c r="E305" s="94"/>
      <c r="F305" s="5">
        <f t="shared" si="60"/>
      </c>
      <c r="G305" s="5">
        <f t="shared" si="67"/>
      </c>
      <c r="H305" s="70">
        <f t="shared" si="64"/>
      </c>
      <c r="I305" s="5">
        <f t="shared" si="61"/>
        <v/>
      </c>
      <c r="J305" s="5">
        <f t="shared" si="65"/>
      </c>
      <c r="K305" s="5">
        <f t="shared" si="66"/>
      </c>
      <c r="L305" s="5">
        <f t="shared" si="68"/>
      </c>
      <c r="M305">
        <f t="shared" si="62"/>
      </c>
      <c r="N305" s="18">
        <f t="shared" si="63"/>
      </c>
    </row>
    <row r="306" spans="3:14" x14ac:dyDescent="0.3">
      <c r="C306" s="5">
        <f t="shared" si="58"/>
      </c>
      <c r="D306" s="5">
        <f t="shared" si="59"/>
      </c>
      <c r="E306" s="94"/>
      <c r="F306" s="5">
        <f t="shared" si="60"/>
      </c>
      <c r="G306" s="5">
        <f t="shared" si="67"/>
      </c>
      <c r="H306" s="70">
        <f t="shared" si="64"/>
      </c>
      <c r="I306" s="5">
        <f t="shared" si="61"/>
        <v/>
      </c>
      <c r="J306" s="5">
        <f t="shared" si="65"/>
      </c>
      <c r="K306" s="5">
        <f t="shared" si="66"/>
      </c>
      <c r="L306" s="5">
        <f t="shared" si="68"/>
      </c>
      <c r="M306">
        <f t="shared" si="62"/>
      </c>
      <c r="N306" s="18">
        <f t="shared" si="63"/>
      </c>
    </row>
    <row r="307" spans="3:14" x14ac:dyDescent="0.3">
      <c r="C307" s="5">
        <f t="shared" si="58"/>
      </c>
      <c r="D307" s="5">
        <f t="shared" si="59"/>
      </c>
      <c r="E307" s="94"/>
      <c r="F307" s="5">
        <f t="shared" si="60"/>
      </c>
      <c r="G307" s="5">
        <f t="shared" si="67"/>
      </c>
      <c r="H307" s="70">
        <f t="shared" si="64"/>
      </c>
      <c r="I307" s="5">
        <f t="shared" si="61"/>
        <v/>
      </c>
      <c r="J307" s="5">
        <f t="shared" si="65"/>
      </c>
      <c r="K307" s="5">
        <f t="shared" si="66"/>
      </c>
      <c r="L307" s="5">
        <f t="shared" si="68"/>
      </c>
      <c r="M307">
        <f t="shared" si="62"/>
      </c>
      <c r="N307" s="18">
        <f t="shared" si="63"/>
      </c>
    </row>
    <row r="308" spans="3:14" x14ac:dyDescent="0.3">
      <c r="C308" s="5">
        <f t="shared" si="58"/>
      </c>
      <c r="D308" s="5">
        <f t="shared" si="59"/>
      </c>
      <c r="E308" s="94"/>
      <c r="F308" s="5">
        <f t="shared" si="60"/>
      </c>
      <c r="G308" s="5">
        <f t="shared" si="67"/>
      </c>
      <c r="H308" s="70">
        <f t="shared" si="64"/>
      </c>
      <c r="I308" s="5">
        <f t="shared" si="61"/>
        <v/>
      </c>
      <c r="J308" s="5">
        <f t="shared" si="65"/>
      </c>
      <c r="K308" s="5">
        <f t="shared" si="66"/>
      </c>
      <c r="L308" s="5">
        <f t="shared" si="68"/>
      </c>
      <c r="M308">
        <f t="shared" si="62"/>
      </c>
      <c r="N308" s="18">
        <f t="shared" si="63"/>
      </c>
    </row>
    <row r="309" spans="3:14" x14ac:dyDescent="0.3">
      <c r="C309" s="5">
        <f t="shared" si="58"/>
      </c>
      <c r="D309" s="5">
        <f t="shared" si="59"/>
      </c>
      <c r="E309" s="94"/>
      <c r="F309" s="5">
        <f t="shared" si="60"/>
      </c>
      <c r="G309" s="5">
        <f t="shared" si="67"/>
      </c>
      <c r="H309" s="70">
        <f t="shared" si="64"/>
      </c>
      <c r="I309" s="5">
        <f t="shared" si="61"/>
        <v/>
      </c>
      <c r="J309" s="5">
        <f t="shared" si="65"/>
      </c>
      <c r="K309" s="5">
        <f t="shared" si="66"/>
      </c>
      <c r="L309" s="5">
        <f t="shared" si="68"/>
      </c>
      <c r="M309">
        <f t="shared" si="62"/>
      </c>
      <c r="N309" s="18">
        <f t="shared" si="63"/>
      </c>
    </row>
    <row r="310" spans="3:14" x14ac:dyDescent="0.3">
      <c r="C310" s="5">
        <f t="shared" si="58"/>
      </c>
      <c r="D310" s="5">
        <f t="shared" si="59"/>
      </c>
      <c r="E310" s="94"/>
      <c r="F310" s="5">
        <f t="shared" si="60"/>
      </c>
      <c r="G310" s="5">
        <f t="shared" si="67"/>
      </c>
      <c r="H310" s="70">
        <f t="shared" si="64"/>
      </c>
      <c r="I310" s="5">
        <f t="shared" si="61"/>
        <v/>
      </c>
      <c r="J310" s="5">
        <f t="shared" si="65"/>
      </c>
      <c r="K310" s="5">
        <f t="shared" si="66"/>
      </c>
      <c r="L310" s="5">
        <f t="shared" si="68"/>
      </c>
      <c r="M310">
        <f t="shared" si="62"/>
      </c>
      <c r="N310" s="18">
        <f t="shared" si="63"/>
      </c>
    </row>
    <row r="311" spans="3:14" x14ac:dyDescent="0.3">
      <c r="C311" s="5">
        <f t="shared" si="58"/>
      </c>
      <c r="D311" s="5">
        <f t="shared" si="59"/>
      </c>
      <c r="E311" s="94"/>
      <c r="F311" s="5">
        <f t="shared" si="60"/>
      </c>
      <c r="G311" s="5">
        <f t="shared" si="67"/>
      </c>
      <c r="H311" s="70">
        <f t="shared" si="64"/>
      </c>
      <c r="I311" s="5">
        <f t="shared" si="61"/>
        <v/>
      </c>
      <c r="J311" s="5">
        <f t="shared" si="65"/>
      </c>
      <c r="K311" s="5">
        <f t="shared" si="66"/>
      </c>
      <c r="L311" s="5">
        <f t="shared" si="68"/>
      </c>
      <c r="M311">
        <f t="shared" si="62"/>
      </c>
      <c r="N311" s="18">
        <f t="shared" si="63"/>
      </c>
    </row>
    <row r="312" spans="3:14" x14ac:dyDescent="0.3">
      <c r="C312" s="5">
        <f t="shared" si="58"/>
      </c>
      <c r="D312" s="5">
        <f t="shared" si="59"/>
      </c>
      <c r="E312" s="94"/>
      <c r="F312" s="5">
        <f t="shared" si="60"/>
      </c>
      <c r="G312" s="5">
        <f t="shared" si="67"/>
      </c>
      <c r="H312" s="70">
        <f t="shared" si="64"/>
      </c>
      <c r="I312" s="5">
        <f t="shared" si="61"/>
        <v/>
      </c>
      <c r="J312" s="5">
        <f t="shared" si="65"/>
      </c>
      <c r="K312" s="5">
        <f t="shared" si="66"/>
      </c>
      <c r="L312" s="5">
        <f t="shared" si="68"/>
      </c>
      <c r="M312">
        <f t="shared" si="62"/>
      </c>
      <c r="N312" s="18">
        <f t="shared" si="63"/>
      </c>
    </row>
    <row r="313" spans="3:14" x14ac:dyDescent="0.3">
      <c r="C313" s="5">
        <f t="shared" si="58"/>
      </c>
      <c r="D313" s="5">
        <f t="shared" si="59"/>
      </c>
      <c r="E313" s="94"/>
      <c r="F313" s="5">
        <f t="shared" si="60"/>
      </c>
      <c r="G313" s="5">
        <f t="shared" si="67"/>
      </c>
      <c r="H313" s="70">
        <f t="shared" si="64"/>
      </c>
      <c r="I313" s="5">
        <f t="shared" si="61"/>
        <v/>
      </c>
      <c r="J313" s="5">
        <f t="shared" si="65"/>
      </c>
      <c r="K313" s="5">
        <f t="shared" si="66"/>
      </c>
      <c r="L313" s="5">
        <f t="shared" si="68"/>
      </c>
      <c r="M313">
        <f t="shared" si="62"/>
      </c>
      <c r="N313" s="18">
        <f t="shared" si="63"/>
      </c>
    </row>
    <row r="314" spans="3:14" x14ac:dyDescent="0.3">
      <c r="C314" s="5">
        <f t="shared" si="58"/>
      </c>
      <c r="D314" s="5">
        <f t="shared" si="59"/>
      </c>
      <c r="E314" s="94"/>
      <c r="F314" s="5">
        <f t="shared" si="60"/>
      </c>
      <c r="G314" s="5">
        <f t="shared" si="67"/>
      </c>
      <c r="H314" s="70">
        <f t="shared" si="64"/>
      </c>
      <c r="I314" s="5">
        <f t="shared" si="61"/>
        <v/>
      </c>
      <c r="J314" s="5">
        <f t="shared" si="65"/>
      </c>
      <c r="K314" s="5">
        <f t="shared" si="66"/>
      </c>
      <c r="L314" s="5">
        <f t="shared" si="68"/>
      </c>
      <c r="M314">
        <f t="shared" si="62"/>
      </c>
      <c r="N314" s="18">
        <f t="shared" si="63"/>
      </c>
    </row>
    <row r="315" spans="3:14" x14ac:dyDescent="0.3">
      <c r="C315" s="5">
        <f t="shared" si="58"/>
      </c>
      <c r="D315" s="5">
        <f t="shared" si="59"/>
      </c>
      <c r="E315" s="94"/>
      <c r="F315" s="5">
        <f t="shared" si="60"/>
      </c>
      <c r="G315" s="5">
        <f t="shared" si="67"/>
      </c>
      <c r="H315" s="70">
        <f t="shared" si="64"/>
      </c>
      <c r="I315" s="5">
        <f t="shared" si="61"/>
        <v/>
      </c>
      <c r="J315" s="5">
        <f t="shared" si="65"/>
      </c>
      <c r="K315" s="5">
        <f t="shared" si="66"/>
      </c>
      <c r="L315" s="5">
        <f t="shared" si="68"/>
      </c>
      <c r="M315">
        <f t="shared" si="62"/>
      </c>
      <c r="N315" s="18">
        <f t="shared" si="63"/>
      </c>
    </row>
    <row r="316" spans="3:14" x14ac:dyDescent="0.3">
      <c r="C316" s="5">
        <f t="shared" si="58"/>
      </c>
      <c r="D316" s="5">
        <f t="shared" si="59"/>
      </c>
      <c r="E316" s="94"/>
      <c r="F316" s="5">
        <f t="shared" si="60"/>
      </c>
      <c r="G316" s="5">
        <f t="shared" si="67"/>
      </c>
      <c r="H316" s="70">
        <f t="shared" si="64"/>
      </c>
      <c r="I316" s="5">
        <f t="shared" si="61"/>
        <v/>
      </c>
      <c r="J316" s="5">
        <f t="shared" si="65"/>
      </c>
      <c r="K316" s="5">
        <f t="shared" si="66"/>
      </c>
      <c r="L316" s="5">
        <f t="shared" si="68"/>
      </c>
      <c r="M316">
        <f t="shared" si="62"/>
      </c>
      <c r="N316" s="18">
        <f t="shared" si="63"/>
      </c>
    </row>
    <row r="317" spans="3:14" x14ac:dyDescent="0.3">
      <c r="C317" s="5">
        <f t="shared" si="58"/>
      </c>
      <c r="D317" s="5">
        <f t="shared" si="59"/>
      </c>
      <c r="E317" s="94"/>
      <c r="F317" s="5">
        <f t="shared" si="60"/>
      </c>
      <c r="G317" s="5">
        <f t="shared" si="67"/>
      </c>
      <c r="H317" s="70">
        <f t="shared" si="64"/>
      </c>
      <c r="I317" s="5">
        <f t="shared" si="61"/>
        <v/>
      </c>
      <c r="J317" s="5">
        <f t="shared" si="65"/>
      </c>
      <c r="K317" s="5">
        <f t="shared" si="66"/>
      </c>
      <c r="L317" s="5">
        <f t="shared" si="68"/>
      </c>
      <c r="M317">
        <f t="shared" si="62"/>
      </c>
      <c r="N317" s="18">
        <f t="shared" si="63"/>
      </c>
    </row>
    <row r="318" spans="3:14" x14ac:dyDescent="0.3">
      <c r="C318" s="5">
        <f t="shared" si="58"/>
      </c>
      <c r="D318" s="5">
        <f t="shared" si="59"/>
      </c>
      <c r="E318" s="94"/>
      <c r="F318" s="5">
        <f t="shared" si="60"/>
      </c>
      <c r="G318" s="5">
        <f t="shared" si="67"/>
      </c>
      <c r="H318" s="70">
        <f t="shared" si="64"/>
      </c>
      <c r="I318" s="5">
        <f t="shared" si="61"/>
        <v/>
      </c>
      <c r="J318" s="5">
        <f t="shared" si="65"/>
      </c>
      <c r="K318" s="5">
        <f t="shared" si="66"/>
      </c>
      <c r="L318" s="5">
        <f t="shared" si="68"/>
      </c>
      <c r="M318">
        <f t="shared" si="62"/>
      </c>
      <c r="N318" s="18">
        <f t="shared" si="63"/>
      </c>
    </row>
    <row r="319" spans="3:14" x14ac:dyDescent="0.3">
      <c r="C319" s="5">
        <f t="shared" si="58"/>
      </c>
      <c r="D319" s="5">
        <f t="shared" si="59"/>
      </c>
      <c r="E319" s="94"/>
      <c r="F319" s="5">
        <f t="shared" si="60"/>
      </c>
      <c r="G319" s="5">
        <f t="shared" si="67"/>
      </c>
      <c r="H319" s="70">
        <f t="shared" si="64"/>
      </c>
      <c r="I319" s="5">
        <f t="shared" si="61"/>
        <v/>
      </c>
      <c r="J319" s="5">
        <f t="shared" si="65"/>
      </c>
      <c r="K319" s="5">
        <f t="shared" si="66"/>
      </c>
      <c r="L319" s="5">
        <f t="shared" si="68"/>
      </c>
      <c r="M319">
        <f t="shared" si="62"/>
      </c>
      <c r="N319" s="18">
        <f t="shared" si="63"/>
      </c>
    </row>
    <row r="320" spans="3:14" x14ac:dyDescent="0.3">
      <c r="C320" s="5">
        <f t="shared" si="58"/>
      </c>
      <c r="D320" s="5">
        <f t="shared" si="59"/>
      </c>
      <c r="E320" s="94"/>
      <c r="F320" s="5">
        <f t="shared" si="60"/>
      </c>
      <c r="G320" s="5">
        <f t="shared" si="67"/>
      </c>
      <c r="H320" s="70">
        <f t="shared" si="64"/>
      </c>
      <c r="I320" s="5">
        <f t="shared" si="61"/>
        <v/>
      </c>
      <c r="J320" s="5">
        <f t="shared" si="65"/>
      </c>
      <c r="K320" s="5">
        <f t="shared" si="66"/>
      </c>
      <c r="L320" s="5">
        <f t="shared" si="68"/>
      </c>
      <c r="M320">
        <f t="shared" si="62"/>
      </c>
      <c r="N320" s="18">
        <f t="shared" si="63"/>
      </c>
    </row>
    <row r="321" spans="3:14" x14ac:dyDescent="0.3">
      <c r="C321" s="5">
        <f t="shared" si="58"/>
      </c>
      <c r="D321" s="5">
        <f t="shared" si="59"/>
      </c>
      <c r="E321" s="94"/>
      <c r="F321" s="5">
        <f t="shared" si="60"/>
      </c>
      <c r="G321" s="5">
        <f t="shared" si="67"/>
      </c>
      <c r="H321" s="70">
        <f t="shared" si="64"/>
      </c>
      <c r="I321" s="5">
        <f t="shared" si="61"/>
        <v/>
      </c>
      <c r="J321" s="5">
        <f t="shared" si="65"/>
      </c>
      <c r="K321" s="5">
        <f t="shared" si="66"/>
      </c>
      <c r="L321" s="5">
        <f t="shared" si="68"/>
      </c>
      <c r="M321">
        <f t="shared" si="62"/>
      </c>
      <c r="N321" s="18">
        <f t="shared" si="63"/>
      </c>
    </row>
    <row r="322" spans="3:14" x14ac:dyDescent="0.3">
      <c r="C322" s="5">
        <f t="shared" si="58"/>
      </c>
      <c r="D322" s="5">
        <f t="shared" si="59"/>
      </c>
      <c r="E322" s="94"/>
      <c r="F322" s="5">
        <f t="shared" si="60"/>
      </c>
      <c r="G322" s="5">
        <f t="shared" si="67"/>
      </c>
      <c r="H322" s="70">
        <f t="shared" si="64"/>
      </c>
      <c r="I322" s="5">
        <f t="shared" si="61"/>
        <v/>
      </c>
      <c r="J322" s="5">
        <f t="shared" si="65"/>
      </c>
      <c r="K322" s="5">
        <f t="shared" si="66"/>
      </c>
      <c r="L322" s="5">
        <f t="shared" si="68"/>
      </c>
      <c r="M322">
        <f t="shared" si="62"/>
      </c>
      <c r="N322" s="18">
        <f t="shared" si="63"/>
      </c>
    </row>
    <row r="323" spans="3:14" x14ac:dyDescent="0.3">
      <c r="C323" s="5">
        <f t="shared" ref="C323:C386" si="69">VLOOKUP(ROW(321:321),Разбивка_нумерация_5,2,FALSE)</f>
      </c>
      <c r="D323" s="5">
        <f t="shared" ref="D323:D386" si="70">VLOOKUP(ROW(321:321),Разбивка_нумерация_5,4,FALSE)</f>
      </c>
      <c r="E323" s="94"/>
      <c r="F323" s="5">
        <f t="shared" ref="F323:F386" si="71">VLOOKUP(ROW(321:321),Разбивка_нумерация_5,16,FALSE)</f>
      </c>
      <c r="G323" s="5">
        <f t="shared" si="67"/>
      </c>
      <c r="H323" s="70">
        <f t="shared" si="64"/>
      </c>
      <c r="I323" s="5">
        <f t="shared" ref="I323:I386" si="72">IFERROR(VLOOKUP(D323,Исходные_данные,36,FALSE),"")</f>
        <v/>
      </c>
      <c r="J323" s="5">
        <f t="shared" si="65"/>
      </c>
      <c r="K323" s="5">
        <f t="shared" si="66"/>
      </c>
      <c r="L323" s="5">
        <f t="shared" si="68"/>
      </c>
      <c r="M323">
        <f t="shared" ref="M323:M386" si="73">IF(ISBLANK(E323),M322,E323)</f>
      </c>
      <c r="N323" s="18">
        <f t="shared" ref="N323:N386" si="74">C323&amp;G323</f>
      </c>
    </row>
    <row r="324" spans="3:14" x14ac:dyDescent="0.3">
      <c r="C324" s="5">
        <f t="shared" si="69"/>
      </c>
      <c r="D324" s="5">
        <f t="shared" si="70"/>
      </c>
      <c r="E324" s="94"/>
      <c r="F324" s="5">
        <f t="shared" si="71"/>
      </c>
      <c r="G324" s="5">
        <f t="shared" si="67"/>
      </c>
      <c r="H324" s="70">
        <f t="shared" ref="H324:H387" si="75">VLOOKUP(D324,Исходные_данные,5,FALSE)</f>
      </c>
      <c r="I324" s="5">
        <f t="shared" si="72"/>
        <v/>
      </c>
      <c r="J324" s="5">
        <f t="shared" ref="J324:J387" si="76">VLOOKUP(D324,Исходные_данные,46,FALSE)</f>
      </c>
      <c r="K324" s="5">
        <f t="shared" ref="K324:K387" si="77">VLOOKUP(D324,Исходные_данные,16,FALSE)</f>
      </c>
      <c r="L324" s="5">
        <f t="shared" si="68"/>
      </c>
      <c r="M324">
        <f t="shared" si="73"/>
      </c>
      <c r="N324" s="18">
        <f t="shared" si="74"/>
      </c>
    </row>
    <row r="325" spans="3:14" x14ac:dyDescent="0.3">
      <c r="C325" s="5">
        <f t="shared" si="69"/>
      </c>
      <c r="D325" s="5">
        <f t="shared" si="70"/>
      </c>
      <c r="E325" s="94"/>
      <c r="F325" s="5">
        <f t="shared" si="71"/>
      </c>
      <c r="G325" s="5">
        <f t="shared" ref="G325:G388" si="78">IF(E325="упр","",IF(E325=0,F325,IF(E325="1,2,3","L1,L2,L3","L"&amp;E325)))</f>
      </c>
      <c r="H325" s="70">
        <f t="shared" si="75"/>
      </c>
      <c r="I325" s="5">
        <f t="shared" si="72"/>
        <v/>
      </c>
      <c r="J325" s="5">
        <f t="shared" si="76"/>
      </c>
      <c r="K325" s="5">
        <f t="shared" si="77"/>
      </c>
      <c r="L325" s="5">
        <f t="shared" ref="L325:L388" si="79">H325*K325</f>
      </c>
      <c r="M325">
        <f t="shared" si="73"/>
      </c>
      <c r="N325" s="18">
        <f t="shared" si="74"/>
      </c>
    </row>
    <row r="326" spans="3:14" x14ac:dyDescent="0.3">
      <c r="C326" s="5">
        <f t="shared" si="69"/>
      </c>
      <c r="D326" s="5">
        <f t="shared" si="70"/>
      </c>
      <c r="E326" s="94"/>
      <c r="F326" s="5">
        <f t="shared" si="71"/>
      </c>
      <c r="G326" s="5">
        <f t="shared" si="78"/>
      </c>
      <c r="H326" s="70">
        <f t="shared" si="75"/>
      </c>
      <c r="I326" s="5">
        <f t="shared" si="72"/>
        <v/>
      </c>
      <c r="J326" s="5">
        <f t="shared" si="76"/>
      </c>
      <c r="K326" s="5">
        <f t="shared" si="77"/>
      </c>
      <c r="L326" s="5">
        <f t="shared" si="79"/>
      </c>
      <c r="M326">
        <f t="shared" si="73"/>
      </c>
      <c r="N326" s="18">
        <f t="shared" si="74"/>
      </c>
    </row>
    <row r="327" spans="3:14" x14ac:dyDescent="0.3">
      <c r="C327" s="5">
        <f t="shared" si="69"/>
      </c>
      <c r="D327" s="5">
        <f t="shared" si="70"/>
      </c>
      <c r="E327" s="94"/>
      <c r="F327" s="5">
        <f t="shared" si="71"/>
      </c>
      <c r="G327" s="5">
        <f t="shared" si="78"/>
      </c>
      <c r="H327" s="70">
        <f t="shared" si="75"/>
      </c>
      <c r="I327" s="5">
        <f t="shared" si="72"/>
        <v/>
      </c>
      <c r="J327" s="5">
        <f t="shared" si="76"/>
      </c>
      <c r="K327" s="5">
        <f t="shared" si="77"/>
      </c>
      <c r="L327" s="5">
        <f t="shared" si="79"/>
      </c>
      <c r="M327">
        <f t="shared" si="73"/>
      </c>
      <c r="N327" s="18">
        <f t="shared" si="74"/>
      </c>
    </row>
    <row r="328" spans="3:14" x14ac:dyDescent="0.3">
      <c r="C328" s="5">
        <f t="shared" si="69"/>
      </c>
      <c r="D328" s="5">
        <f t="shared" si="70"/>
      </c>
      <c r="E328" s="94"/>
      <c r="F328" s="5">
        <f t="shared" si="71"/>
      </c>
      <c r="G328" s="5">
        <f t="shared" si="78"/>
      </c>
      <c r="H328" s="70">
        <f t="shared" si="75"/>
      </c>
      <c r="I328" s="5">
        <f t="shared" si="72"/>
        <v/>
      </c>
      <c r="J328" s="5">
        <f t="shared" si="76"/>
      </c>
      <c r="K328" s="5">
        <f t="shared" si="77"/>
      </c>
      <c r="L328" s="5">
        <f t="shared" si="79"/>
      </c>
      <c r="M328">
        <f t="shared" si="73"/>
      </c>
      <c r="N328" s="18">
        <f t="shared" si="74"/>
      </c>
    </row>
    <row r="329" spans="3:14" x14ac:dyDescent="0.3">
      <c r="C329" s="5">
        <f t="shared" si="69"/>
      </c>
      <c r="D329" s="5">
        <f t="shared" si="70"/>
      </c>
      <c r="E329" s="94"/>
      <c r="F329" s="5">
        <f t="shared" si="71"/>
      </c>
      <c r="G329" s="5">
        <f t="shared" si="78"/>
      </c>
      <c r="H329" s="70">
        <f t="shared" si="75"/>
      </c>
      <c r="I329" s="5">
        <f t="shared" si="72"/>
        <v/>
      </c>
      <c r="J329" s="5">
        <f t="shared" si="76"/>
      </c>
      <c r="K329" s="5">
        <f t="shared" si="77"/>
      </c>
      <c r="L329" s="5">
        <f t="shared" si="79"/>
      </c>
      <c r="M329">
        <f t="shared" si="73"/>
      </c>
      <c r="N329" s="18">
        <f t="shared" si="74"/>
      </c>
    </row>
    <row r="330" spans="3:14" x14ac:dyDescent="0.3">
      <c r="C330" s="5">
        <f t="shared" si="69"/>
      </c>
      <c r="D330" s="5">
        <f t="shared" si="70"/>
      </c>
      <c r="E330" s="94"/>
      <c r="F330" s="5">
        <f t="shared" si="71"/>
      </c>
      <c r="G330" s="5">
        <f t="shared" si="78"/>
      </c>
      <c r="H330" s="70">
        <f t="shared" si="75"/>
      </c>
      <c r="I330" s="5">
        <f t="shared" si="72"/>
        <v/>
      </c>
      <c r="J330" s="5">
        <f t="shared" si="76"/>
      </c>
      <c r="K330" s="5">
        <f t="shared" si="77"/>
      </c>
      <c r="L330" s="5">
        <f t="shared" si="79"/>
      </c>
      <c r="M330">
        <f t="shared" si="73"/>
      </c>
      <c r="N330" s="18">
        <f t="shared" si="74"/>
      </c>
    </row>
    <row r="331" spans="3:14" x14ac:dyDescent="0.3">
      <c r="C331" s="5">
        <f t="shared" si="69"/>
      </c>
      <c r="D331" s="5">
        <f t="shared" si="70"/>
      </c>
      <c r="E331" s="94"/>
      <c r="F331" s="5">
        <f t="shared" si="71"/>
      </c>
      <c r="G331" s="5">
        <f t="shared" si="78"/>
      </c>
      <c r="H331" s="70">
        <f t="shared" si="75"/>
      </c>
      <c r="I331" s="5">
        <f t="shared" si="72"/>
        <v/>
      </c>
      <c r="J331" s="5">
        <f t="shared" si="76"/>
      </c>
      <c r="K331" s="5">
        <f t="shared" si="77"/>
      </c>
      <c r="L331" s="5">
        <f t="shared" si="79"/>
      </c>
      <c r="M331">
        <f t="shared" si="73"/>
      </c>
      <c r="N331" s="18">
        <f t="shared" si="74"/>
      </c>
    </row>
    <row r="332" spans="3:14" x14ac:dyDescent="0.3">
      <c r="C332" s="5">
        <f t="shared" si="69"/>
      </c>
      <c r="D332" s="5">
        <f t="shared" si="70"/>
      </c>
      <c r="E332" s="94"/>
      <c r="F332" s="5">
        <f t="shared" si="71"/>
      </c>
      <c r="G332" s="5">
        <f t="shared" si="78"/>
      </c>
      <c r="H332" s="70">
        <f t="shared" si="75"/>
      </c>
      <c r="I332" s="5">
        <f t="shared" si="72"/>
        <v/>
      </c>
      <c r="J332" s="5">
        <f t="shared" si="76"/>
      </c>
      <c r="K332" s="5">
        <f t="shared" si="77"/>
      </c>
      <c r="L332" s="5">
        <f t="shared" si="79"/>
      </c>
      <c r="M332">
        <f t="shared" si="73"/>
      </c>
      <c r="N332" s="18">
        <f t="shared" si="74"/>
      </c>
    </row>
    <row r="333" spans="3:14" x14ac:dyDescent="0.3">
      <c r="C333" s="5">
        <f t="shared" si="69"/>
      </c>
      <c r="D333" s="5">
        <f t="shared" si="70"/>
      </c>
      <c r="E333" s="94"/>
      <c r="F333" s="5">
        <f t="shared" si="71"/>
      </c>
      <c r="G333" s="5">
        <f t="shared" si="78"/>
      </c>
      <c r="H333" s="70">
        <f t="shared" si="75"/>
      </c>
      <c r="I333" s="5">
        <f t="shared" si="72"/>
        <v/>
      </c>
      <c r="J333" s="5">
        <f t="shared" si="76"/>
      </c>
      <c r="K333" s="5">
        <f t="shared" si="77"/>
      </c>
      <c r="L333" s="5">
        <f t="shared" si="79"/>
      </c>
      <c r="M333">
        <f t="shared" si="73"/>
      </c>
      <c r="N333" s="18">
        <f t="shared" si="74"/>
      </c>
    </row>
    <row r="334" spans="3:14" x14ac:dyDescent="0.3">
      <c r="C334" s="5">
        <f t="shared" si="69"/>
      </c>
      <c r="D334" s="5">
        <f t="shared" si="70"/>
      </c>
      <c r="E334" s="94"/>
      <c r="F334" s="5">
        <f t="shared" si="71"/>
      </c>
      <c r="G334" s="5">
        <f t="shared" si="78"/>
      </c>
      <c r="H334" s="70">
        <f t="shared" si="75"/>
      </c>
      <c r="I334" s="5">
        <f t="shared" si="72"/>
        <v/>
      </c>
      <c r="J334" s="5">
        <f t="shared" si="76"/>
      </c>
      <c r="K334" s="5">
        <f t="shared" si="77"/>
      </c>
      <c r="L334" s="5">
        <f t="shared" si="79"/>
      </c>
      <c r="M334">
        <f t="shared" si="73"/>
      </c>
      <c r="N334" s="18">
        <f t="shared" si="74"/>
      </c>
    </row>
    <row r="335" spans="3:14" x14ac:dyDescent="0.3">
      <c r="C335" s="5">
        <f t="shared" si="69"/>
      </c>
      <c r="D335" s="5">
        <f t="shared" si="70"/>
      </c>
      <c r="E335" s="94"/>
      <c r="F335" s="5">
        <f t="shared" si="71"/>
      </c>
      <c r="G335" s="5">
        <f t="shared" si="78"/>
      </c>
      <c r="H335" s="70">
        <f t="shared" si="75"/>
      </c>
      <c r="I335" s="5">
        <f t="shared" si="72"/>
        <v/>
      </c>
      <c r="J335" s="5">
        <f t="shared" si="76"/>
      </c>
      <c r="K335" s="5">
        <f t="shared" si="77"/>
      </c>
      <c r="L335" s="5">
        <f t="shared" si="79"/>
      </c>
      <c r="M335">
        <f t="shared" si="73"/>
      </c>
      <c r="N335" s="18">
        <f t="shared" si="74"/>
      </c>
    </row>
    <row r="336" spans="3:14" x14ac:dyDescent="0.3">
      <c r="C336" s="5">
        <f t="shared" si="69"/>
      </c>
      <c r="D336" s="5">
        <f t="shared" si="70"/>
      </c>
      <c r="E336" s="94"/>
      <c r="F336" s="5">
        <f t="shared" si="71"/>
      </c>
      <c r="G336" s="5">
        <f t="shared" si="78"/>
      </c>
      <c r="H336" s="70">
        <f t="shared" si="75"/>
      </c>
      <c r="I336" s="5">
        <f t="shared" si="72"/>
        <v/>
      </c>
      <c r="J336" s="5">
        <f t="shared" si="76"/>
      </c>
      <c r="K336" s="5">
        <f t="shared" si="77"/>
      </c>
      <c r="L336" s="5">
        <f t="shared" si="79"/>
      </c>
      <c r="M336">
        <f t="shared" si="73"/>
      </c>
      <c r="N336" s="18">
        <f t="shared" si="74"/>
      </c>
    </row>
    <row r="337" spans="3:14" x14ac:dyDescent="0.3">
      <c r="C337" s="5">
        <f t="shared" si="69"/>
      </c>
      <c r="D337" s="5">
        <f t="shared" si="70"/>
      </c>
      <c r="E337" s="94"/>
      <c r="F337" s="5">
        <f t="shared" si="71"/>
      </c>
      <c r="G337" s="5">
        <f t="shared" si="78"/>
      </c>
      <c r="H337" s="70">
        <f t="shared" si="75"/>
      </c>
      <c r="I337" s="5">
        <f t="shared" si="72"/>
        <v/>
      </c>
      <c r="J337" s="5">
        <f t="shared" si="76"/>
      </c>
      <c r="K337" s="5">
        <f t="shared" si="77"/>
      </c>
      <c r="L337" s="5">
        <f t="shared" si="79"/>
      </c>
      <c r="M337">
        <f t="shared" si="73"/>
      </c>
      <c r="N337" s="18">
        <f t="shared" si="74"/>
      </c>
    </row>
    <row r="338" spans="3:14" x14ac:dyDescent="0.3">
      <c r="C338" s="5">
        <f t="shared" si="69"/>
      </c>
      <c r="D338" s="5">
        <f t="shared" si="70"/>
      </c>
      <c r="E338" s="94"/>
      <c r="F338" s="5">
        <f t="shared" si="71"/>
      </c>
      <c r="G338" s="5">
        <f t="shared" si="78"/>
      </c>
      <c r="H338" s="70">
        <f t="shared" si="75"/>
      </c>
      <c r="I338" s="5">
        <f t="shared" si="72"/>
        <v/>
      </c>
      <c r="J338" s="5">
        <f t="shared" si="76"/>
      </c>
      <c r="K338" s="5">
        <f t="shared" si="77"/>
      </c>
      <c r="L338" s="5">
        <f t="shared" si="79"/>
      </c>
      <c r="M338">
        <f t="shared" si="73"/>
      </c>
      <c r="N338" s="18">
        <f t="shared" si="74"/>
      </c>
    </row>
    <row r="339" spans="3:14" x14ac:dyDescent="0.3">
      <c r="C339" s="5">
        <f t="shared" si="69"/>
      </c>
      <c r="D339" s="5">
        <f t="shared" si="70"/>
      </c>
      <c r="E339" s="94"/>
      <c r="F339" s="5">
        <f t="shared" si="71"/>
      </c>
      <c r="G339" s="5">
        <f t="shared" si="78"/>
      </c>
      <c r="H339" s="70">
        <f t="shared" si="75"/>
      </c>
      <c r="I339" s="5">
        <f t="shared" si="72"/>
        <v/>
      </c>
      <c r="J339" s="5">
        <f t="shared" si="76"/>
      </c>
      <c r="K339" s="5">
        <f t="shared" si="77"/>
      </c>
      <c r="L339" s="5">
        <f t="shared" si="79"/>
      </c>
      <c r="M339">
        <f t="shared" si="73"/>
      </c>
      <c r="N339" s="18">
        <f t="shared" si="74"/>
      </c>
    </row>
    <row r="340" spans="3:14" x14ac:dyDescent="0.3">
      <c r="C340" s="5">
        <f t="shared" si="69"/>
      </c>
      <c r="D340" s="5">
        <f t="shared" si="70"/>
      </c>
      <c r="E340" s="94"/>
      <c r="F340" s="5">
        <f t="shared" si="71"/>
      </c>
      <c r="G340" s="5">
        <f t="shared" si="78"/>
      </c>
      <c r="H340" s="70">
        <f t="shared" si="75"/>
      </c>
      <c r="I340" s="5">
        <f t="shared" si="72"/>
        <v/>
      </c>
      <c r="J340" s="5">
        <f t="shared" si="76"/>
      </c>
      <c r="K340" s="5">
        <f t="shared" si="77"/>
      </c>
      <c r="L340" s="5">
        <f t="shared" si="79"/>
      </c>
      <c r="M340">
        <f t="shared" si="73"/>
      </c>
      <c r="N340" s="18">
        <f t="shared" si="74"/>
      </c>
    </row>
    <row r="341" spans="3:14" x14ac:dyDescent="0.3">
      <c r="C341" s="5">
        <f t="shared" si="69"/>
      </c>
      <c r="D341" s="5">
        <f t="shared" si="70"/>
      </c>
      <c r="E341" s="94"/>
      <c r="F341" s="5">
        <f t="shared" si="71"/>
      </c>
      <c r="G341" s="5">
        <f t="shared" si="78"/>
      </c>
      <c r="H341" s="70">
        <f t="shared" si="75"/>
      </c>
      <c r="I341" s="5">
        <f t="shared" si="72"/>
        <v/>
      </c>
      <c r="J341" s="5">
        <f t="shared" si="76"/>
      </c>
      <c r="K341" s="5">
        <f t="shared" si="77"/>
      </c>
      <c r="L341" s="5">
        <f t="shared" si="79"/>
      </c>
      <c r="M341">
        <f t="shared" si="73"/>
      </c>
      <c r="N341" s="18">
        <f t="shared" si="74"/>
      </c>
    </row>
    <row r="342" spans="3:14" x14ac:dyDescent="0.3">
      <c r="C342" s="5">
        <f t="shared" si="69"/>
      </c>
      <c r="D342" s="5">
        <f t="shared" si="70"/>
      </c>
      <c r="E342" s="94"/>
      <c r="F342" s="5">
        <f t="shared" si="71"/>
      </c>
      <c r="G342" s="5">
        <f t="shared" si="78"/>
      </c>
      <c r="H342" s="70">
        <f t="shared" si="75"/>
      </c>
      <c r="I342" s="5">
        <f t="shared" si="72"/>
        <v/>
      </c>
      <c r="J342" s="5">
        <f t="shared" si="76"/>
      </c>
      <c r="K342" s="5">
        <f t="shared" si="77"/>
      </c>
      <c r="L342" s="5">
        <f t="shared" si="79"/>
      </c>
      <c r="M342">
        <f t="shared" si="73"/>
      </c>
      <c r="N342" s="18">
        <f t="shared" si="74"/>
      </c>
    </row>
    <row r="343" spans="3:14" x14ac:dyDescent="0.3">
      <c r="C343" s="5">
        <f t="shared" si="69"/>
      </c>
      <c r="D343" s="5">
        <f t="shared" si="70"/>
      </c>
      <c r="E343" s="94"/>
      <c r="F343" s="5">
        <f t="shared" si="71"/>
      </c>
      <c r="G343" s="5">
        <f t="shared" si="78"/>
      </c>
      <c r="H343" s="70">
        <f t="shared" si="75"/>
      </c>
      <c r="I343" s="5">
        <f t="shared" si="72"/>
        <v/>
      </c>
      <c r="J343" s="5">
        <f t="shared" si="76"/>
      </c>
      <c r="K343" s="5">
        <f t="shared" si="77"/>
      </c>
      <c r="L343" s="5">
        <f t="shared" si="79"/>
      </c>
      <c r="M343">
        <f t="shared" si="73"/>
      </c>
      <c r="N343" s="18">
        <f t="shared" si="74"/>
      </c>
    </row>
    <row r="344" spans="3:14" x14ac:dyDescent="0.3">
      <c r="C344" s="5">
        <f t="shared" si="69"/>
      </c>
      <c r="D344" s="5">
        <f t="shared" si="70"/>
      </c>
      <c r="E344" s="94"/>
      <c r="F344" s="5">
        <f t="shared" si="71"/>
      </c>
      <c r="G344" s="5">
        <f t="shared" si="78"/>
      </c>
      <c r="H344" s="70">
        <f t="shared" si="75"/>
      </c>
      <c r="I344" s="5">
        <f t="shared" si="72"/>
        <v/>
      </c>
      <c r="J344" s="5">
        <f t="shared" si="76"/>
      </c>
      <c r="K344" s="5">
        <f t="shared" si="77"/>
      </c>
      <c r="L344" s="5">
        <f t="shared" si="79"/>
      </c>
      <c r="M344">
        <f t="shared" si="73"/>
      </c>
      <c r="N344" s="18">
        <f t="shared" si="74"/>
      </c>
    </row>
    <row r="345" spans="3:14" x14ac:dyDescent="0.3">
      <c r="C345" s="5">
        <f t="shared" si="69"/>
      </c>
      <c r="D345" s="5">
        <f t="shared" si="70"/>
      </c>
      <c r="E345" s="94"/>
      <c r="F345" s="5">
        <f t="shared" si="71"/>
      </c>
      <c r="G345" s="5">
        <f t="shared" si="78"/>
      </c>
      <c r="H345" s="70">
        <f t="shared" si="75"/>
      </c>
      <c r="I345" s="5">
        <f t="shared" si="72"/>
        <v/>
      </c>
      <c r="J345" s="5">
        <f t="shared" si="76"/>
      </c>
      <c r="K345" s="5">
        <f t="shared" si="77"/>
      </c>
      <c r="L345" s="5">
        <f t="shared" si="79"/>
      </c>
      <c r="M345">
        <f t="shared" si="73"/>
      </c>
      <c r="N345" s="18">
        <f t="shared" si="74"/>
      </c>
    </row>
    <row r="346" spans="3:14" x14ac:dyDescent="0.3">
      <c r="C346" s="5">
        <f t="shared" si="69"/>
      </c>
      <c r="D346" s="5">
        <f t="shared" si="70"/>
      </c>
      <c r="E346" s="94"/>
      <c r="F346" s="5">
        <f t="shared" si="71"/>
      </c>
      <c r="G346" s="5">
        <f t="shared" si="78"/>
      </c>
      <c r="H346" s="70">
        <f t="shared" si="75"/>
      </c>
      <c r="I346" s="5">
        <f t="shared" si="72"/>
        <v/>
      </c>
      <c r="J346" s="5">
        <f t="shared" si="76"/>
      </c>
      <c r="K346" s="5">
        <f t="shared" si="77"/>
      </c>
      <c r="L346" s="5">
        <f t="shared" si="79"/>
      </c>
      <c r="M346">
        <f t="shared" si="73"/>
      </c>
      <c r="N346" s="18">
        <f t="shared" si="74"/>
      </c>
    </row>
    <row r="347" spans="3:14" x14ac:dyDescent="0.3">
      <c r="C347" s="5">
        <f t="shared" si="69"/>
      </c>
      <c r="D347" s="5">
        <f t="shared" si="70"/>
      </c>
      <c r="E347" s="94"/>
      <c r="F347" s="5">
        <f t="shared" si="71"/>
      </c>
      <c r="G347" s="5">
        <f t="shared" si="78"/>
      </c>
      <c r="H347" s="70">
        <f t="shared" si="75"/>
      </c>
      <c r="I347" s="5">
        <f t="shared" si="72"/>
        <v/>
      </c>
      <c r="J347" s="5">
        <f t="shared" si="76"/>
      </c>
      <c r="K347" s="5">
        <f t="shared" si="77"/>
      </c>
      <c r="L347" s="5">
        <f t="shared" si="79"/>
      </c>
      <c r="M347">
        <f t="shared" si="73"/>
      </c>
      <c r="N347" s="18">
        <f t="shared" si="74"/>
      </c>
    </row>
    <row r="348" spans="3:14" x14ac:dyDescent="0.3">
      <c r="C348" s="5">
        <f t="shared" si="69"/>
      </c>
      <c r="D348" s="5">
        <f t="shared" si="70"/>
      </c>
      <c r="E348" s="94"/>
      <c r="F348" s="5">
        <f t="shared" si="71"/>
      </c>
      <c r="G348" s="5">
        <f t="shared" si="78"/>
      </c>
      <c r="H348" s="70">
        <f t="shared" si="75"/>
      </c>
      <c r="I348" s="5">
        <f t="shared" si="72"/>
        <v/>
      </c>
      <c r="J348" s="5">
        <f t="shared" si="76"/>
      </c>
      <c r="K348" s="5">
        <f t="shared" si="77"/>
      </c>
      <c r="L348" s="5">
        <f t="shared" si="79"/>
      </c>
      <c r="M348">
        <f t="shared" si="73"/>
      </c>
      <c r="N348" s="18">
        <f t="shared" si="74"/>
      </c>
    </row>
    <row r="349" spans="3:14" x14ac:dyDescent="0.3">
      <c r="C349" s="5">
        <f t="shared" si="69"/>
      </c>
      <c r="D349" s="5">
        <f t="shared" si="70"/>
      </c>
      <c r="E349" s="94"/>
      <c r="F349" s="5">
        <f t="shared" si="71"/>
      </c>
      <c r="G349" s="5">
        <f t="shared" si="78"/>
      </c>
      <c r="H349" s="70">
        <f t="shared" si="75"/>
      </c>
      <c r="I349" s="5">
        <f t="shared" si="72"/>
        <v/>
      </c>
      <c r="J349" s="5">
        <f t="shared" si="76"/>
      </c>
      <c r="K349" s="5">
        <f t="shared" si="77"/>
      </c>
      <c r="L349" s="5">
        <f t="shared" si="79"/>
      </c>
      <c r="M349">
        <f t="shared" si="73"/>
      </c>
      <c r="N349" s="18">
        <f t="shared" si="74"/>
      </c>
    </row>
    <row r="350" spans="3:14" x14ac:dyDescent="0.3">
      <c r="C350" s="5">
        <f t="shared" si="69"/>
      </c>
      <c r="D350" s="5">
        <f t="shared" si="70"/>
      </c>
      <c r="E350" s="94"/>
      <c r="F350" s="5">
        <f t="shared" si="71"/>
      </c>
      <c r="G350" s="5">
        <f t="shared" si="78"/>
      </c>
      <c r="H350" s="70">
        <f t="shared" si="75"/>
      </c>
      <c r="I350" s="5">
        <f t="shared" si="72"/>
        <v/>
      </c>
      <c r="J350" s="5">
        <f t="shared" si="76"/>
      </c>
      <c r="K350" s="5">
        <f t="shared" si="77"/>
      </c>
      <c r="L350" s="5">
        <f t="shared" si="79"/>
      </c>
      <c r="M350">
        <f t="shared" si="73"/>
      </c>
      <c r="N350" s="18">
        <f t="shared" si="74"/>
      </c>
    </row>
    <row r="351" spans="3:14" x14ac:dyDescent="0.3">
      <c r="C351" s="5">
        <f t="shared" si="69"/>
      </c>
      <c r="D351" s="5">
        <f t="shared" si="70"/>
      </c>
      <c r="E351" s="94"/>
      <c r="F351" s="5">
        <f t="shared" si="71"/>
      </c>
      <c r="G351" s="5">
        <f t="shared" si="78"/>
      </c>
      <c r="H351" s="70">
        <f t="shared" si="75"/>
      </c>
      <c r="I351" s="5">
        <f t="shared" si="72"/>
        <v/>
      </c>
      <c r="J351" s="5">
        <f t="shared" si="76"/>
      </c>
      <c r="K351" s="5">
        <f t="shared" si="77"/>
      </c>
      <c r="L351" s="5">
        <f t="shared" si="79"/>
      </c>
      <c r="M351">
        <f t="shared" si="73"/>
      </c>
      <c r="N351" s="18">
        <f t="shared" si="74"/>
      </c>
    </row>
    <row r="352" spans="3:14" x14ac:dyDescent="0.3">
      <c r="C352" s="5">
        <f t="shared" si="69"/>
      </c>
      <c r="D352" s="5">
        <f t="shared" si="70"/>
      </c>
      <c r="E352" s="94"/>
      <c r="F352" s="5">
        <f t="shared" si="71"/>
      </c>
      <c r="G352" s="5">
        <f t="shared" si="78"/>
      </c>
      <c r="H352" s="70">
        <f t="shared" si="75"/>
      </c>
      <c r="I352" s="5">
        <f t="shared" si="72"/>
        <v/>
      </c>
      <c r="J352" s="5">
        <f t="shared" si="76"/>
      </c>
      <c r="K352" s="5">
        <f t="shared" si="77"/>
      </c>
      <c r="L352" s="5">
        <f t="shared" si="79"/>
      </c>
      <c r="M352">
        <f t="shared" si="73"/>
      </c>
      <c r="N352" s="18">
        <f t="shared" si="74"/>
      </c>
    </row>
    <row r="353" spans="3:14" x14ac:dyDescent="0.3">
      <c r="C353" s="5">
        <f t="shared" si="69"/>
      </c>
      <c r="D353" s="5">
        <f t="shared" si="70"/>
      </c>
      <c r="E353" s="94"/>
      <c r="F353" s="5">
        <f t="shared" si="71"/>
      </c>
      <c r="G353" s="5">
        <f t="shared" si="78"/>
      </c>
      <c r="H353" s="70">
        <f t="shared" si="75"/>
      </c>
      <c r="I353" s="5">
        <f t="shared" si="72"/>
        <v/>
      </c>
      <c r="J353" s="5">
        <f t="shared" si="76"/>
      </c>
      <c r="K353" s="5">
        <f t="shared" si="77"/>
      </c>
      <c r="L353" s="5">
        <f t="shared" si="79"/>
      </c>
      <c r="M353">
        <f t="shared" si="73"/>
      </c>
      <c r="N353" s="18">
        <f t="shared" si="74"/>
      </c>
    </row>
    <row r="354" spans="3:14" x14ac:dyDescent="0.3">
      <c r="C354" s="5">
        <f t="shared" si="69"/>
      </c>
      <c r="D354" s="5">
        <f t="shared" si="70"/>
      </c>
      <c r="E354" s="94"/>
      <c r="F354" s="5">
        <f t="shared" si="71"/>
      </c>
      <c r="G354" s="5">
        <f t="shared" si="78"/>
      </c>
      <c r="H354" s="70">
        <f t="shared" si="75"/>
      </c>
      <c r="I354" s="5">
        <f t="shared" si="72"/>
        <v/>
      </c>
      <c r="J354" s="5">
        <f t="shared" si="76"/>
      </c>
      <c r="K354" s="5">
        <f t="shared" si="77"/>
      </c>
      <c r="L354" s="5">
        <f t="shared" si="79"/>
      </c>
      <c r="M354">
        <f t="shared" si="73"/>
      </c>
      <c r="N354" s="18">
        <f t="shared" si="74"/>
      </c>
    </row>
    <row r="355" spans="3:14" x14ac:dyDescent="0.3">
      <c r="C355" s="5">
        <f t="shared" si="69"/>
      </c>
      <c r="D355" s="5">
        <f t="shared" si="70"/>
      </c>
      <c r="E355" s="94"/>
      <c r="F355" s="5">
        <f t="shared" si="71"/>
      </c>
      <c r="G355" s="5">
        <f t="shared" si="78"/>
      </c>
      <c r="H355" s="70">
        <f t="shared" si="75"/>
      </c>
      <c r="I355" s="5">
        <f t="shared" si="72"/>
        <v/>
      </c>
      <c r="J355" s="5">
        <f t="shared" si="76"/>
      </c>
      <c r="K355" s="5">
        <f t="shared" si="77"/>
      </c>
      <c r="L355" s="5">
        <f t="shared" si="79"/>
      </c>
      <c r="M355">
        <f t="shared" si="73"/>
      </c>
      <c r="N355" s="18">
        <f t="shared" si="74"/>
      </c>
    </row>
    <row r="356" spans="3:14" x14ac:dyDescent="0.3">
      <c r="C356" s="5">
        <f t="shared" si="69"/>
      </c>
      <c r="D356" s="5">
        <f t="shared" si="70"/>
      </c>
      <c r="E356" s="94"/>
      <c r="F356" s="5">
        <f t="shared" si="71"/>
      </c>
      <c r="G356" s="5">
        <f t="shared" si="78"/>
      </c>
      <c r="H356" s="70">
        <f t="shared" si="75"/>
      </c>
      <c r="I356" s="5">
        <f t="shared" si="72"/>
        <v/>
      </c>
      <c r="J356" s="5">
        <f t="shared" si="76"/>
      </c>
      <c r="K356" s="5">
        <f t="shared" si="77"/>
      </c>
      <c r="L356" s="5">
        <f t="shared" si="79"/>
      </c>
      <c r="M356">
        <f t="shared" si="73"/>
      </c>
      <c r="N356" s="18">
        <f t="shared" si="74"/>
      </c>
    </row>
    <row r="357" spans="3:14" x14ac:dyDescent="0.3">
      <c r="C357" s="5">
        <f t="shared" si="69"/>
      </c>
      <c r="D357" s="5">
        <f t="shared" si="70"/>
      </c>
      <c r="E357" s="94"/>
      <c r="F357" s="5">
        <f t="shared" si="71"/>
      </c>
      <c r="G357" s="5">
        <f t="shared" si="78"/>
      </c>
      <c r="H357" s="70">
        <f t="shared" si="75"/>
      </c>
      <c r="I357" s="5">
        <f t="shared" si="72"/>
        <v/>
      </c>
      <c r="J357" s="5">
        <f t="shared" si="76"/>
      </c>
      <c r="K357" s="5">
        <f t="shared" si="77"/>
      </c>
      <c r="L357" s="5">
        <f t="shared" si="79"/>
      </c>
      <c r="M357">
        <f t="shared" si="73"/>
      </c>
      <c r="N357" s="18">
        <f t="shared" si="74"/>
      </c>
    </row>
    <row r="358" spans="3:14" x14ac:dyDescent="0.3">
      <c r="C358" s="5">
        <f t="shared" si="69"/>
      </c>
      <c r="D358" s="5">
        <f t="shared" si="70"/>
      </c>
      <c r="E358" s="94"/>
      <c r="F358" s="5">
        <f t="shared" si="71"/>
      </c>
      <c r="G358" s="5">
        <f t="shared" si="78"/>
      </c>
      <c r="H358" s="70">
        <f t="shared" si="75"/>
      </c>
      <c r="I358" s="5">
        <f t="shared" si="72"/>
        <v/>
      </c>
      <c r="J358" s="5">
        <f t="shared" si="76"/>
      </c>
      <c r="K358" s="5">
        <f t="shared" si="77"/>
      </c>
      <c r="L358" s="5">
        <f t="shared" si="79"/>
      </c>
      <c r="M358">
        <f t="shared" si="73"/>
      </c>
      <c r="N358" s="18">
        <f t="shared" si="74"/>
      </c>
    </row>
    <row r="359" spans="3:14" x14ac:dyDescent="0.3">
      <c r="C359" s="5">
        <f t="shared" si="69"/>
      </c>
      <c r="D359" s="5">
        <f t="shared" si="70"/>
      </c>
      <c r="E359" s="94"/>
      <c r="F359" s="5">
        <f t="shared" si="71"/>
      </c>
      <c r="G359" s="5">
        <f t="shared" si="78"/>
      </c>
      <c r="H359" s="70">
        <f t="shared" si="75"/>
      </c>
      <c r="I359" s="5">
        <f t="shared" si="72"/>
        <v/>
      </c>
      <c r="J359" s="5">
        <f t="shared" si="76"/>
      </c>
      <c r="K359" s="5">
        <f t="shared" si="77"/>
      </c>
      <c r="L359" s="5">
        <f t="shared" si="79"/>
      </c>
      <c r="M359">
        <f t="shared" si="73"/>
      </c>
      <c r="N359" s="18">
        <f t="shared" si="74"/>
      </c>
    </row>
    <row r="360" spans="3:14" x14ac:dyDescent="0.3">
      <c r="C360" s="5">
        <f t="shared" si="69"/>
      </c>
      <c r="D360" s="5">
        <f t="shared" si="70"/>
      </c>
      <c r="E360" s="94"/>
      <c r="F360" s="5">
        <f t="shared" si="71"/>
      </c>
      <c r="G360" s="5">
        <f t="shared" si="78"/>
      </c>
      <c r="H360" s="70">
        <f t="shared" si="75"/>
      </c>
      <c r="I360" s="5">
        <f t="shared" si="72"/>
        <v/>
      </c>
      <c r="J360" s="5">
        <f t="shared" si="76"/>
      </c>
      <c r="K360" s="5">
        <f t="shared" si="77"/>
      </c>
      <c r="L360" s="5">
        <f t="shared" si="79"/>
      </c>
      <c r="M360">
        <f t="shared" si="73"/>
      </c>
      <c r="N360" s="18">
        <f t="shared" si="74"/>
      </c>
    </row>
    <row r="361" spans="3:14" x14ac:dyDescent="0.3">
      <c r="C361" s="5">
        <f t="shared" si="69"/>
      </c>
      <c r="D361" s="5">
        <f t="shared" si="70"/>
      </c>
      <c r="E361" s="94"/>
      <c r="F361" s="5">
        <f t="shared" si="71"/>
      </c>
      <c r="G361" s="5">
        <f t="shared" si="78"/>
      </c>
      <c r="H361" s="70">
        <f t="shared" si="75"/>
      </c>
      <c r="I361" s="5">
        <f t="shared" si="72"/>
        <v/>
      </c>
      <c r="J361" s="5">
        <f t="shared" si="76"/>
      </c>
      <c r="K361" s="5">
        <f t="shared" si="77"/>
      </c>
      <c r="L361" s="5">
        <f t="shared" si="79"/>
      </c>
      <c r="M361">
        <f t="shared" si="73"/>
      </c>
      <c r="N361" s="18">
        <f t="shared" si="74"/>
      </c>
    </row>
    <row r="362" spans="3:14" x14ac:dyDescent="0.3">
      <c r="C362" s="5">
        <f t="shared" si="69"/>
      </c>
      <c r="D362" s="5">
        <f t="shared" si="70"/>
      </c>
      <c r="E362" s="94"/>
      <c r="F362" s="5">
        <f t="shared" si="71"/>
      </c>
      <c r="G362" s="5">
        <f t="shared" si="78"/>
      </c>
      <c r="H362" s="70">
        <f t="shared" si="75"/>
      </c>
      <c r="I362" s="5">
        <f t="shared" si="72"/>
        <v/>
      </c>
      <c r="J362" s="5">
        <f t="shared" si="76"/>
      </c>
      <c r="K362" s="5">
        <f t="shared" si="77"/>
      </c>
      <c r="L362" s="5">
        <f t="shared" si="79"/>
      </c>
      <c r="M362">
        <f t="shared" si="73"/>
      </c>
      <c r="N362" s="18">
        <f t="shared" si="74"/>
      </c>
    </row>
    <row r="363" spans="3:14" x14ac:dyDescent="0.3">
      <c r="C363" s="5">
        <f t="shared" si="69"/>
      </c>
      <c r="D363" s="5">
        <f t="shared" si="70"/>
      </c>
      <c r="E363" s="94"/>
      <c r="F363" s="5">
        <f t="shared" si="71"/>
      </c>
      <c r="G363" s="5">
        <f t="shared" si="78"/>
      </c>
      <c r="H363" s="70">
        <f t="shared" si="75"/>
      </c>
      <c r="I363" s="5">
        <f t="shared" si="72"/>
        <v/>
      </c>
      <c r="J363" s="5">
        <f t="shared" si="76"/>
      </c>
      <c r="K363" s="5">
        <f t="shared" si="77"/>
      </c>
      <c r="L363" s="5">
        <f t="shared" si="79"/>
      </c>
      <c r="M363">
        <f t="shared" si="73"/>
      </c>
      <c r="N363" s="18">
        <f t="shared" si="74"/>
      </c>
    </row>
    <row r="364" spans="3:14" x14ac:dyDescent="0.3">
      <c r="C364" s="5">
        <f t="shared" si="69"/>
      </c>
      <c r="D364" s="5">
        <f t="shared" si="70"/>
      </c>
      <c r="E364" s="94"/>
      <c r="F364" s="5">
        <f t="shared" si="71"/>
      </c>
      <c r="G364" s="5">
        <f t="shared" si="78"/>
      </c>
      <c r="H364" s="70">
        <f t="shared" si="75"/>
      </c>
      <c r="I364" s="5">
        <f t="shared" si="72"/>
        <v/>
      </c>
      <c r="J364" s="5">
        <f t="shared" si="76"/>
      </c>
      <c r="K364" s="5">
        <f t="shared" si="77"/>
      </c>
      <c r="L364" s="5">
        <f t="shared" si="79"/>
      </c>
      <c r="M364">
        <f t="shared" si="73"/>
      </c>
      <c r="N364" s="18">
        <f t="shared" si="74"/>
      </c>
    </row>
    <row r="365" spans="3:14" x14ac:dyDescent="0.3">
      <c r="C365" s="5">
        <f t="shared" si="69"/>
      </c>
      <c r="D365" s="5">
        <f t="shared" si="70"/>
      </c>
      <c r="E365" s="94"/>
      <c r="F365" s="5">
        <f t="shared" si="71"/>
      </c>
      <c r="G365" s="5">
        <f t="shared" si="78"/>
      </c>
      <c r="H365" s="70">
        <f t="shared" si="75"/>
      </c>
      <c r="I365" s="5">
        <f t="shared" si="72"/>
        <v/>
      </c>
      <c r="J365" s="5">
        <f t="shared" si="76"/>
      </c>
      <c r="K365" s="5">
        <f t="shared" si="77"/>
      </c>
      <c r="L365" s="5">
        <f t="shared" si="79"/>
      </c>
      <c r="M365">
        <f t="shared" si="73"/>
      </c>
      <c r="N365" s="18">
        <f t="shared" si="74"/>
      </c>
    </row>
    <row r="366" spans="3:14" x14ac:dyDescent="0.3">
      <c r="C366" s="5">
        <f t="shared" si="69"/>
      </c>
      <c r="D366" s="5">
        <f t="shared" si="70"/>
      </c>
      <c r="E366" s="94"/>
      <c r="F366" s="5">
        <f t="shared" si="71"/>
      </c>
      <c r="G366" s="5">
        <f t="shared" si="78"/>
      </c>
      <c r="H366" s="70">
        <f t="shared" si="75"/>
      </c>
      <c r="I366" s="5">
        <f t="shared" si="72"/>
        <v/>
      </c>
      <c r="J366" s="5">
        <f t="shared" si="76"/>
      </c>
      <c r="K366" s="5">
        <f t="shared" si="77"/>
      </c>
      <c r="L366" s="5">
        <f t="shared" si="79"/>
      </c>
      <c r="M366">
        <f t="shared" si="73"/>
      </c>
      <c r="N366" s="18">
        <f t="shared" si="74"/>
      </c>
    </row>
    <row r="367" spans="3:14" x14ac:dyDescent="0.3">
      <c r="C367" s="5">
        <f t="shared" si="69"/>
      </c>
      <c r="D367" s="5">
        <f t="shared" si="70"/>
      </c>
      <c r="E367" s="94"/>
      <c r="F367" s="5">
        <f t="shared" si="71"/>
      </c>
      <c r="G367" s="5">
        <f t="shared" si="78"/>
      </c>
      <c r="H367" s="70">
        <f t="shared" si="75"/>
      </c>
      <c r="I367" s="5">
        <f t="shared" si="72"/>
        <v/>
      </c>
      <c r="J367" s="5">
        <f t="shared" si="76"/>
      </c>
      <c r="K367" s="5">
        <f t="shared" si="77"/>
      </c>
      <c r="L367" s="5">
        <f t="shared" si="79"/>
      </c>
      <c r="M367">
        <f t="shared" si="73"/>
      </c>
      <c r="N367" s="18">
        <f t="shared" si="74"/>
      </c>
    </row>
    <row r="368" spans="3:14" x14ac:dyDescent="0.3">
      <c r="C368" s="5">
        <f t="shared" si="69"/>
      </c>
      <c r="D368" s="5">
        <f t="shared" si="70"/>
      </c>
      <c r="E368" s="94"/>
      <c r="F368" s="5">
        <f t="shared" si="71"/>
      </c>
      <c r="G368" s="5">
        <f t="shared" si="78"/>
      </c>
      <c r="H368" s="70">
        <f t="shared" si="75"/>
      </c>
      <c r="I368" s="5">
        <f t="shared" si="72"/>
        <v/>
      </c>
      <c r="J368" s="5">
        <f t="shared" si="76"/>
      </c>
      <c r="K368" s="5">
        <f t="shared" si="77"/>
      </c>
      <c r="L368" s="5">
        <f t="shared" si="79"/>
      </c>
      <c r="M368">
        <f t="shared" si="73"/>
      </c>
      <c r="N368" s="18">
        <f t="shared" si="74"/>
      </c>
    </row>
    <row r="369" spans="3:14" x14ac:dyDescent="0.3">
      <c r="C369" s="5">
        <f t="shared" si="69"/>
      </c>
      <c r="D369" s="5">
        <f t="shared" si="70"/>
      </c>
      <c r="E369" s="94"/>
      <c r="F369" s="5">
        <f t="shared" si="71"/>
      </c>
      <c r="G369" s="5">
        <f t="shared" si="78"/>
      </c>
      <c r="H369" s="70">
        <f t="shared" si="75"/>
      </c>
      <c r="I369" s="5">
        <f t="shared" si="72"/>
        <v/>
      </c>
      <c r="J369" s="5">
        <f t="shared" si="76"/>
      </c>
      <c r="K369" s="5">
        <f t="shared" si="77"/>
      </c>
      <c r="L369" s="5">
        <f t="shared" si="79"/>
      </c>
      <c r="M369">
        <f t="shared" si="73"/>
      </c>
      <c r="N369" s="18">
        <f t="shared" si="74"/>
      </c>
    </row>
    <row r="370" spans="3:14" x14ac:dyDescent="0.3">
      <c r="C370" s="5">
        <f t="shared" si="69"/>
      </c>
      <c r="D370" s="5">
        <f t="shared" si="70"/>
      </c>
      <c r="E370" s="94"/>
      <c r="F370" s="5">
        <f t="shared" si="71"/>
      </c>
      <c r="G370" s="5">
        <f t="shared" si="78"/>
      </c>
      <c r="H370" s="70">
        <f t="shared" si="75"/>
      </c>
      <c r="I370" s="5">
        <f t="shared" si="72"/>
        <v/>
      </c>
      <c r="J370" s="5">
        <f t="shared" si="76"/>
      </c>
      <c r="K370" s="5">
        <f t="shared" si="77"/>
      </c>
      <c r="L370" s="5">
        <f t="shared" si="79"/>
      </c>
      <c r="M370">
        <f t="shared" si="73"/>
      </c>
      <c r="N370" s="18">
        <f t="shared" si="74"/>
      </c>
    </row>
    <row r="371" spans="3:14" x14ac:dyDescent="0.3">
      <c r="C371" s="5">
        <f t="shared" si="69"/>
      </c>
      <c r="D371" s="5">
        <f t="shared" si="70"/>
      </c>
      <c r="E371" s="94"/>
      <c r="F371" s="5">
        <f t="shared" si="71"/>
      </c>
      <c r="G371" s="5">
        <f t="shared" si="78"/>
      </c>
      <c r="H371" s="70">
        <f t="shared" si="75"/>
      </c>
      <c r="I371" s="5">
        <f t="shared" si="72"/>
        <v/>
      </c>
      <c r="J371" s="5">
        <f t="shared" si="76"/>
      </c>
      <c r="K371" s="5">
        <f t="shared" si="77"/>
      </c>
      <c r="L371" s="5">
        <f t="shared" si="79"/>
      </c>
      <c r="M371">
        <f t="shared" si="73"/>
      </c>
      <c r="N371" s="18">
        <f t="shared" si="74"/>
      </c>
    </row>
    <row r="372" spans="3:14" x14ac:dyDescent="0.3">
      <c r="C372" s="5">
        <f t="shared" si="69"/>
      </c>
      <c r="D372" s="5">
        <f t="shared" si="70"/>
      </c>
      <c r="E372" s="94"/>
      <c r="F372" s="5">
        <f t="shared" si="71"/>
      </c>
      <c r="G372" s="5">
        <f t="shared" si="78"/>
      </c>
      <c r="H372" s="70">
        <f t="shared" si="75"/>
      </c>
      <c r="I372" s="5">
        <f t="shared" si="72"/>
        <v/>
      </c>
      <c r="J372" s="5">
        <f t="shared" si="76"/>
      </c>
      <c r="K372" s="5">
        <f t="shared" si="77"/>
      </c>
      <c r="L372" s="5">
        <f t="shared" si="79"/>
      </c>
      <c r="M372">
        <f t="shared" si="73"/>
      </c>
      <c r="N372" s="18">
        <f t="shared" si="74"/>
      </c>
    </row>
    <row r="373" spans="3:14" x14ac:dyDescent="0.3">
      <c r="C373" s="5">
        <f t="shared" si="69"/>
      </c>
      <c r="D373" s="5">
        <f t="shared" si="70"/>
      </c>
      <c r="E373" s="94"/>
      <c r="F373" s="5">
        <f t="shared" si="71"/>
      </c>
      <c r="G373" s="5">
        <f t="shared" si="78"/>
      </c>
      <c r="H373" s="70">
        <f t="shared" si="75"/>
      </c>
      <c r="I373" s="5">
        <f t="shared" si="72"/>
        <v/>
      </c>
      <c r="J373" s="5">
        <f t="shared" si="76"/>
      </c>
      <c r="K373" s="5">
        <f t="shared" si="77"/>
      </c>
      <c r="L373" s="5">
        <f t="shared" si="79"/>
      </c>
      <c r="M373">
        <f t="shared" si="73"/>
      </c>
      <c r="N373" s="18">
        <f t="shared" si="74"/>
      </c>
    </row>
    <row r="374" spans="3:14" x14ac:dyDescent="0.3">
      <c r="C374" s="5">
        <f t="shared" si="69"/>
      </c>
      <c r="D374" s="5">
        <f t="shared" si="70"/>
      </c>
      <c r="E374" s="94"/>
      <c r="F374" s="5">
        <f t="shared" si="71"/>
      </c>
      <c r="G374" s="5">
        <f t="shared" si="78"/>
      </c>
      <c r="H374" s="70">
        <f t="shared" si="75"/>
      </c>
      <c r="I374" s="5">
        <f t="shared" si="72"/>
        <v/>
      </c>
      <c r="J374" s="5">
        <f t="shared" si="76"/>
      </c>
      <c r="K374" s="5">
        <f t="shared" si="77"/>
      </c>
      <c r="L374" s="5">
        <f t="shared" si="79"/>
      </c>
      <c r="M374">
        <f t="shared" si="73"/>
      </c>
      <c r="N374" s="18">
        <f t="shared" si="74"/>
      </c>
    </row>
    <row r="375" spans="3:14" x14ac:dyDescent="0.3">
      <c r="C375" s="5">
        <f t="shared" si="69"/>
      </c>
      <c r="D375" s="5">
        <f t="shared" si="70"/>
      </c>
      <c r="E375" s="94"/>
      <c r="F375" s="5">
        <f t="shared" si="71"/>
      </c>
      <c r="G375" s="5">
        <f t="shared" si="78"/>
      </c>
      <c r="H375" s="70">
        <f t="shared" si="75"/>
      </c>
      <c r="I375" s="5">
        <f t="shared" si="72"/>
        <v/>
      </c>
      <c r="J375" s="5">
        <f t="shared" si="76"/>
      </c>
      <c r="K375" s="5">
        <f t="shared" si="77"/>
      </c>
      <c r="L375" s="5">
        <f t="shared" si="79"/>
      </c>
      <c r="M375">
        <f t="shared" si="73"/>
      </c>
      <c r="N375" s="18">
        <f t="shared" si="74"/>
      </c>
    </row>
    <row r="376" spans="3:14" x14ac:dyDescent="0.3">
      <c r="C376" s="5">
        <f t="shared" si="69"/>
      </c>
      <c r="D376" s="5">
        <f t="shared" si="70"/>
      </c>
      <c r="E376" s="94"/>
      <c r="F376" s="5">
        <f t="shared" si="71"/>
      </c>
      <c r="G376" s="5">
        <f t="shared" si="78"/>
      </c>
      <c r="H376" s="70">
        <f t="shared" si="75"/>
      </c>
      <c r="I376" s="5">
        <f t="shared" si="72"/>
        <v/>
      </c>
      <c r="J376" s="5">
        <f t="shared" si="76"/>
      </c>
      <c r="K376" s="5">
        <f t="shared" si="77"/>
      </c>
      <c r="L376" s="5">
        <f t="shared" si="79"/>
      </c>
      <c r="M376">
        <f t="shared" si="73"/>
      </c>
      <c r="N376" s="18">
        <f t="shared" si="74"/>
      </c>
    </row>
    <row r="377" spans="3:14" x14ac:dyDescent="0.3">
      <c r="C377" s="5">
        <f t="shared" si="69"/>
      </c>
      <c r="D377" s="5">
        <f t="shared" si="70"/>
      </c>
      <c r="E377" s="94"/>
      <c r="F377" s="5">
        <f t="shared" si="71"/>
      </c>
      <c r="G377" s="5">
        <f t="shared" si="78"/>
      </c>
      <c r="H377" s="70">
        <f t="shared" si="75"/>
      </c>
      <c r="I377" s="5">
        <f t="shared" si="72"/>
        <v/>
      </c>
      <c r="J377" s="5">
        <f t="shared" si="76"/>
      </c>
      <c r="K377" s="5">
        <f t="shared" si="77"/>
      </c>
      <c r="L377" s="5">
        <f t="shared" si="79"/>
      </c>
      <c r="M377">
        <f t="shared" si="73"/>
      </c>
      <c r="N377" s="18">
        <f t="shared" si="74"/>
      </c>
    </row>
    <row r="378" spans="3:14" x14ac:dyDescent="0.3">
      <c r="C378" s="5">
        <f t="shared" si="69"/>
      </c>
      <c r="D378" s="5">
        <f t="shared" si="70"/>
      </c>
      <c r="E378" s="94"/>
      <c r="F378" s="5">
        <f t="shared" si="71"/>
      </c>
      <c r="G378" s="5">
        <f t="shared" si="78"/>
      </c>
      <c r="H378" s="70">
        <f t="shared" si="75"/>
      </c>
      <c r="I378" s="5">
        <f t="shared" si="72"/>
        <v/>
      </c>
      <c r="J378" s="5">
        <f t="shared" si="76"/>
      </c>
      <c r="K378" s="5">
        <f t="shared" si="77"/>
      </c>
      <c r="L378" s="5">
        <f t="shared" si="79"/>
      </c>
      <c r="M378">
        <f t="shared" si="73"/>
      </c>
      <c r="N378" s="18">
        <f t="shared" si="74"/>
      </c>
    </row>
    <row r="379" spans="3:14" x14ac:dyDescent="0.3">
      <c r="C379" s="5">
        <f t="shared" si="69"/>
      </c>
      <c r="D379" s="5">
        <f t="shared" si="70"/>
      </c>
      <c r="E379" s="94"/>
      <c r="F379" s="5">
        <f t="shared" si="71"/>
      </c>
      <c r="G379" s="5">
        <f t="shared" si="78"/>
      </c>
      <c r="H379" s="70">
        <f t="shared" si="75"/>
      </c>
      <c r="I379" s="5">
        <f t="shared" si="72"/>
        <v/>
      </c>
      <c r="J379" s="5">
        <f t="shared" si="76"/>
      </c>
      <c r="K379" s="5">
        <f t="shared" si="77"/>
      </c>
      <c r="L379" s="5">
        <f t="shared" si="79"/>
      </c>
      <c r="M379">
        <f t="shared" si="73"/>
      </c>
      <c r="N379" s="18">
        <f t="shared" si="74"/>
      </c>
    </row>
    <row r="380" spans="3:14" x14ac:dyDescent="0.3">
      <c r="C380" s="5">
        <f t="shared" si="69"/>
      </c>
      <c r="D380" s="5">
        <f t="shared" si="70"/>
      </c>
      <c r="E380" s="94"/>
      <c r="F380" s="5">
        <f t="shared" si="71"/>
      </c>
      <c r="G380" s="5">
        <f t="shared" si="78"/>
      </c>
      <c r="H380" s="70">
        <f t="shared" si="75"/>
      </c>
      <c r="I380" s="5">
        <f t="shared" si="72"/>
        <v/>
      </c>
      <c r="J380" s="5">
        <f t="shared" si="76"/>
      </c>
      <c r="K380" s="5">
        <f t="shared" si="77"/>
      </c>
      <c r="L380" s="5">
        <f t="shared" si="79"/>
      </c>
      <c r="M380">
        <f t="shared" si="73"/>
      </c>
      <c r="N380" s="18">
        <f t="shared" si="74"/>
      </c>
    </row>
    <row r="381" spans="3:14" x14ac:dyDescent="0.3">
      <c r="C381" s="5">
        <f t="shared" si="69"/>
      </c>
      <c r="D381" s="5">
        <f t="shared" si="70"/>
      </c>
      <c r="E381" s="94"/>
      <c r="F381" s="5">
        <f t="shared" si="71"/>
      </c>
      <c r="G381" s="5">
        <f t="shared" si="78"/>
      </c>
      <c r="H381" s="70">
        <f t="shared" si="75"/>
      </c>
      <c r="I381" s="5">
        <f t="shared" si="72"/>
        <v/>
      </c>
      <c r="J381" s="5">
        <f t="shared" si="76"/>
      </c>
      <c r="K381" s="5">
        <f t="shared" si="77"/>
      </c>
      <c r="L381" s="5">
        <f t="shared" si="79"/>
      </c>
      <c r="M381">
        <f t="shared" si="73"/>
      </c>
      <c r="N381" s="18">
        <f t="shared" si="74"/>
      </c>
    </row>
    <row r="382" spans="3:14" x14ac:dyDescent="0.3">
      <c r="C382" s="5">
        <f t="shared" si="69"/>
      </c>
      <c r="D382" s="5">
        <f t="shared" si="70"/>
      </c>
      <c r="E382" s="94"/>
      <c r="F382" s="5">
        <f t="shared" si="71"/>
      </c>
      <c r="G382" s="5">
        <f t="shared" si="78"/>
      </c>
      <c r="H382" s="70">
        <f t="shared" si="75"/>
      </c>
      <c r="I382" s="5">
        <f t="shared" si="72"/>
        <v/>
      </c>
      <c r="J382" s="5">
        <f t="shared" si="76"/>
      </c>
      <c r="K382" s="5">
        <f t="shared" si="77"/>
      </c>
      <c r="L382" s="5">
        <f t="shared" si="79"/>
      </c>
      <c r="M382">
        <f t="shared" si="73"/>
      </c>
      <c r="N382" s="18">
        <f t="shared" si="74"/>
      </c>
    </row>
    <row r="383" spans="3:14" x14ac:dyDescent="0.3">
      <c r="C383" s="5">
        <f t="shared" si="69"/>
      </c>
      <c r="D383" s="5">
        <f t="shared" si="70"/>
      </c>
      <c r="E383" s="94"/>
      <c r="F383" s="5">
        <f t="shared" si="71"/>
      </c>
      <c r="G383" s="5">
        <f t="shared" si="78"/>
      </c>
      <c r="H383" s="70">
        <f t="shared" si="75"/>
      </c>
      <c r="I383" s="5">
        <f t="shared" si="72"/>
        <v/>
      </c>
      <c r="J383" s="5">
        <f t="shared" si="76"/>
      </c>
      <c r="K383" s="5">
        <f t="shared" si="77"/>
      </c>
      <c r="L383" s="5">
        <f t="shared" si="79"/>
      </c>
      <c r="M383">
        <f t="shared" si="73"/>
      </c>
      <c r="N383" s="18">
        <f t="shared" si="74"/>
      </c>
    </row>
    <row r="384" spans="3:14" x14ac:dyDescent="0.3">
      <c r="C384" s="5">
        <f t="shared" si="69"/>
      </c>
      <c r="D384" s="5">
        <f t="shared" si="70"/>
      </c>
      <c r="E384" s="94"/>
      <c r="F384" s="5">
        <f t="shared" si="71"/>
      </c>
      <c r="G384" s="5">
        <f t="shared" si="78"/>
      </c>
      <c r="H384" s="70">
        <f t="shared" si="75"/>
      </c>
      <c r="I384" s="5">
        <f t="shared" si="72"/>
        <v/>
      </c>
      <c r="J384" s="5">
        <f t="shared" si="76"/>
      </c>
      <c r="K384" s="5">
        <f t="shared" si="77"/>
      </c>
      <c r="L384" s="5">
        <f t="shared" si="79"/>
      </c>
      <c r="M384">
        <f t="shared" si="73"/>
      </c>
      <c r="N384" s="18">
        <f t="shared" si="74"/>
      </c>
    </row>
    <row r="385" spans="3:14" x14ac:dyDescent="0.3">
      <c r="C385" s="5">
        <f t="shared" si="69"/>
      </c>
      <c r="D385" s="5">
        <f t="shared" si="70"/>
      </c>
      <c r="E385" s="94"/>
      <c r="F385" s="5">
        <f t="shared" si="71"/>
      </c>
      <c r="G385" s="5">
        <f t="shared" si="78"/>
      </c>
      <c r="H385" s="70">
        <f t="shared" si="75"/>
      </c>
      <c r="I385" s="5">
        <f t="shared" si="72"/>
        <v/>
      </c>
      <c r="J385" s="5">
        <f t="shared" si="76"/>
      </c>
      <c r="K385" s="5">
        <f t="shared" si="77"/>
      </c>
      <c r="L385" s="5">
        <f t="shared" si="79"/>
      </c>
      <c r="M385">
        <f t="shared" si="73"/>
      </c>
      <c r="N385" s="18">
        <f t="shared" si="74"/>
      </c>
    </row>
    <row r="386" spans="3:14" x14ac:dyDescent="0.3">
      <c r="C386" s="5">
        <f t="shared" si="69"/>
      </c>
      <c r="D386" s="5">
        <f t="shared" si="70"/>
      </c>
      <c r="E386" s="94"/>
      <c r="F386" s="5">
        <f t="shared" si="71"/>
      </c>
      <c r="G386" s="5">
        <f t="shared" si="78"/>
      </c>
      <c r="H386" s="70">
        <f t="shared" si="75"/>
      </c>
      <c r="I386" s="5">
        <f t="shared" si="72"/>
        <v/>
      </c>
      <c r="J386" s="5">
        <f t="shared" si="76"/>
      </c>
      <c r="K386" s="5">
        <f t="shared" si="77"/>
      </c>
      <c r="L386" s="5">
        <f t="shared" si="79"/>
      </c>
      <c r="M386">
        <f t="shared" si="73"/>
      </c>
      <c r="N386" s="18">
        <f t="shared" si="74"/>
      </c>
    </row>
    <row r="387" spans="3:14" x14ac:dyDescent="0.3">
      <c r="C387" s="5">
        <f t="shared" ref="C387:C450" si="80">VLOOKUP(ROW(385:385),Разбивка_нумерация_5,2,FALSE)</f>
      </c>
      <c r="D387" s="5">
        <f t="shared" ref="D387:D450" si="81">VLOOKUP(ROW(385:385),Разбивка_нумерация_5,4,FALSE)</f>
      </c>
      <c r="E387" s="94"/>
      <c r="F387" s="5">
        <f t="shared" ref="F387:F450" si="82">VLOOKUP(ROW(385:385),Разбивка_нумерация_5,16,FALSE)</f>
      </c>
      <c r="G387" s="5">
        <f t="shared" si="78"/>
      </c>
      <c r="H387" s="70">
        <f t="shared" si="75"/>
      </c>
      <c r="I387" s="5">
        <f t="shared" ref="I387:I450" si="83">IFERROR(VLOOKUP(D387,Исходные_данные,36,FALSE),"")</f>
        <v/>
      </c>
      <c r="J387" s="5">
        <f t="shared" si="76"/>
      </c>
      <c r="K387" s="5">
        <f t="shared" si="77"/>
      </c>
      <c r="L387" s="5">
        <f t="shared" si="79"/>
      </c>
      <c r="M387">
        <f t="shared" ref="M387:M450" si="84">IF(ISBLANK(E387),M386,E387)</f>
      </c>
      <c r="N387" s="18">
        <f t="shared" ref="N387:N451" si="85">C387&amp;G387</f>
      </c>
    </row>
    <row r="388" spans="3:14" x14ac:dyDescent="0.3">
      <c r="C388" s="5">
        <f t="shared" si="80"/>
      </c>
      <c r="D388" s="5">
        <f t="shared" si="81"/>
      </c>
      <c r="E388" s="94"/>
      <c r="F388" s="5">
        <f t="shared" si="82"/>
      </c>
      <c r="G388" s="5">
        <f t="shared" si="78"/>
      </c>
      <c r="H388" s="70">
        <f t="shared" ref="H388:H451" si="86">VLOOKUP(D388,Исходные_данные,5,FALSE)</f>
      </c>
      <c r="I388" s="5">
        <f t="shared" si="83"/>
        <v/>
      </c>
      <c r="J388" s="5">
        <f t="shared" ref="J388:J451" si="87">VLOOKUP(D388,Исходные_данные,46,FALSE)</f>
      </c>
      <c r="K388" s="5">
        <f t="shared" ref="K388:K451" si="88">VLOOKUP(D388,Исходные_данные,16,FALSE)</f>
      </c>
      <c r="L388" s="5">
        <f t="shared" si="79"/>
      </c>
      <c r="M388">
        <f t="shared" si="84"/>
      </c>
      <c r="N388" s="18">
        <f t="shared" si="85"/>
      </c>
    </row>
    <row r="389" spans="3:14" x14ac:dyDescent="0.3">
      <c r="C389" s="5">
        <f t="shared" si="80"/>
      </c>
      <c r="D389" s="5">
        <f t="shared" si="81"/>
      </c>
      <c r="E389" s="94"/>
      <c r="F389" s="5">
        <f t="shared" si="82"/>
      </c>
      <c r="G389" s="5">
        <f t="shared" ref="G389:G452" si="89">IF(E389="упр","",IF(E389=0,F389,IF(E389="1,2,3","L1,L2,L3","L"&amp;E389)))</f>
      </c>
      <c r="H389" s="70">
        <f t="shared" si="86"/>
      </c>
      <c r="I389" s="5">
        <f t="shared" si="83"/>
        <v/>
      </c>
      <c r="J389" s="5">
        <f t="shared" si="87"/>
      </c>
      <c r="K389" s="5">
        <f t="shared" si="88"/>
      </c>
      <c r="L389" s="5">
        <f t="shared" ref="L389:L452" si="90">H389*K389</f>
      </c>
      <c r="M389">
        <f t="shared" si="84"/>
      </c>
      <c r="N389" s="18">
        <f t="shared" si="85"/>
      </c>
    </row>
    <row r="390" spans="3:14" x14ac:dyDescent="0.3">
      <c r="C390" s="5">
        <f t="shared" si="80"/>
      </c>
      <c r="D390" s="5">
        <f t="shared" si="81"/>
      </c>
      <c r="E390" s="94"/>
      <c r="F390" s="5">
        <f t="shared" si="82"/>
      </c>
      <c r="G390" s="5">
        <f t="shared" si="89"/>
      </c>
      <c r="H390" s="70">
        <f t="shared" si="86"/>
      </c>
      <c r="I390" s="5">
        <f t="shared" si="83"/>
        <v/>
      </c>
      <c r="J390" s="5">
        <f t="shared" si="87"/>
      </c>
      <c r="K390" s="5">
        <f t="shared" si="88"/>
      </c>
      <c r="L390" s="5">
        <f t="shared" si="90"/>
      </c>
      <c r="M390">
        <f t="shared" si="84"/>
      </c>
      <c r="N390" s="18">
        <f t="shared" si="85"/>
      </c>
    </row>
    <row r="391" spans="3:14" x14ac:dyDescent="0.3">
      <c r="C391" s="5">
        <f t="shared" si="80"/>
      </c>
      <c r="D391" s="5">
        <f t="shared" si="81"/>
      </c>
      <c r="E391" s="94"/>
      <c r="F391" s="5">
        <f t="shared" si="82"/>
      </c>
      <c r="G391" s="5">
        <f t="shared" si="89"/>
      </c>
      <c r="H391" s="70">
        <f t="shared" si="86"/>
      </c>
      <c r="I391" s="5">
        <f t="shared" si="83"/>
        <v/>
      </c>
      <c r="J391" s="5">
        <f t="shared" si="87"/>
      </c>
      <c r="K391" s="5">
        <f t="shared" si="88"/>
      </c>
      <c r="L391" s="5">
        <f t="shared" si="90"/>
      </c>
      <c r="M391">
        <f t="shared" si="84"/>
      </c>
      <c r="N391" s="18">
        <f t="shared" si="85"/>
      </c>
    </row>
    <row r="392" spans="3:14" x14ac:dyDescent="0.3">
      <c r="C392" s="5">
        <f t="shared" si="80"/>
      </c>
      <c r="D392" s="5">
        <f t="shared" si="81"/>
      </c>
      <c r="E392" s="94"/>
      <c r="F392" s="5">
        <f t="shared" si="82"/>
      </c>
      <c r="G392" s="5">
        <f t="shared" si="89"/>
      </c>
      <c r="H392" s="70">
        <f t="shared" si="86"/>
      </c>
      <c r="I392" s="5">
        <f t="shared" si="83"/>
        <v/>
      </c>
      <c r="J392" s="5">
        <f t="shared" si="87"/>
      </c>
      <c r="K392" s="5">
        <f t="shared" si="88"/>
      </c>
      <c r="L392" s="5">
        <f t="shared" si="90"/>
      </c>
      <c r="M392">
        <f t="shared" si="84"/>
      </c>
      <c r="N392" s="18">
        <f t="shared" si="85"/>
      </c>
    </row>
    <row r="393" spans="3:14" x14ac:dyDescent="0.3">
      <c r="C393" s="5">
        <f t="shared" si="80"/>
      </c>
      <c r="D393" s="5">
        <f t="shared" si="81"/>
      </c>
      <c r="E393" s="94"/>
      <c r="F393" s="5">
        <f t="shared" si="82"/>
      </c>
      <c r="G393" s="5">
        <f t="shared" si="89"/>
      </c>
      <c r="H393" s="70">
        <f t="shared" si="86"/>
      </c>
      <c r="I393" s="5">
        <f t="shared" si="83"/>
        <v/>
      </c>
      <c r="J393" s="5">
        <f t="shared" si="87"/>
      </c>
      <c r="K393" s="5">
        <f t="shared" si="88"/>
      </c>
      <c r="L393" s="5">
        <f t="shared" si="90"/>
      </c>
      <c r="M393">
        <f t="shared" si="84"/>
      </c>
      <c r="N393" s="18">
        <f t="shared" si="85"/>
      </c>
    </row>
    <row r="394" spans="3:14" x14ac:dyDescent="0.3">
      <c r="C394" s="5">
        <f t="shared" si="80"/>
      </c>
      <c r="D394" s="5">
        <f t="shared" si="81"/>
      </c>
      <c r="E394" s="94"/>
      <c r="F394" s="5">
        <f t="shared" si="82"/>
      </c>
      <c r="G394" s="5">
        <f t="shared" si="89"/>
      </c>
      <c r="H394" s="70">
        <f t="shared" si="86"/>
      </c>
      <c r="I394" s="5">
        <f t="shared" si="83"/>
        <v/>
      </c>
      <c r="J394" s="5">
        <f t="shared" si="87"/>
      </c>
      <c r="K394" s="5">
        <f t="shared" si="88"/>
      </c>
      <c r="L394" s="5">
        <f t="shared" si="90"/>
      </c>
      <c r="M394">
        <f t="shared" si="84"/>
      </c>
      <c r="N394" s="18">
        <f t="shared" si="85"/>
      </c>
    </row>
    <row r="395" spans="3:14" x14ac:dyDescent="0.3">
      <c r="C395" s="5">
        <f t="shared" si="80"/>
      </c>
      <c r="D395" s="5">
        <f t="shared" si="81"/>
      </c>
      <c r="E395" s="94"/>
      <c r="F395" s="5">
        <f t="shared" si="82"/>
      </c>
      <c r="G395" s="5">
        <f t="shared" si="89"/>
      </c>
      <c r="H395" s="70">
        <f t="shared" si="86"/>
      </c>
      <c r="I395" s="5">
        <f t="shared" si="83"/>
        <v/>
      </c>
      <c r="J395" s="5">
        <f t="shared" si="87"/>
      </c>
      <c r="K395" s="5">
        <f t="shared" si="88"/>
      </c>
      <c r="L395" s="5">
        <f t="shared" si="90"/>
      </c>
      <c r="M395">
        <f t="shared" si="84"/>
      </c>
      <c r="N395" s="18">
        <f t="shared" si="85"/>
      </c>
    </row>
    <row r="396" spans="3:14" x14ac:dyDescent="0.3">
      <c r="C396" s="5">
        <f t="shared" si="80"/>
      </c>
      <c r="D396" s="5">
        <f t="shared" si="81"/>
      </c>
      <c r="E396" s="94"/>
      <c r="F396" s="5">
        <f t="shared" si="82"/>
      </c>
      <c r="G396" s="5">
        <f t="shared" si="89"/>
      </c>
      <c r="H396" s="70">
        <f t="shared" si="86"/>
      </c>
      <c r="I396" s="5">
        <f t="shared" si="83"/>
        <v/>
      </c>
      <c r="J396" s="5">
        <f t="shared" si="87"/>
      </c>
      <c r="K396" s="5">
        <f t="shared" si="88"/>
      </c>
      <c r="L396" s="5">
        <f t="shared" si="90"/>
      </c>
      <c r="M396">
        <f t="shared" si="84"/>
      </c>
      <c r="N396" s="18">
        <f t="shared" si="85"/>
      </c>
    </row>
    <row r="397" spans="3:14" x14ac:dyDescent="0.3">
      <c r="C397" s="5">
        <f t="shared" si="80"/>
      </c>
      <c r="D397" s="5">
        <f t="shared" si="81"/>
      </c>
      <c r="E397" s="94"/>
      <c r="F397" s="5">
        <f t="shared" si="82"/>
      </c>
      <c r="G397" s="5">
        <f t="shared" si="89"/>
      </c>
      <c r="H397" s="70">
        <f t="shared" si="86"/>
      </c>
      <c r="I397" s="5">
        <f t="shared" si="83"/>
        <v/>
      </c>
      <c r="J397" s="5">
        <f t="shared" si="87"/>
      </c>
      <c r="K397" s="5">
        <f t="shared" si="88"/>
      </c>
      <c r="L397" s="5">
        <f t="shared" si="90"/>
      </c>
      <c r="M397">
        <f t="shared" si="84"/>
      </c>
      <c r="N397" s="18">
        <f t="shared" si="85"/>
      </c>
    </row>
    <row r="398" spans="3:14" x14ac:dyDescent="0.3">
      <c r="C398" s="5">
        <f t="shared" si="80"/>
      </c>
      <c r="D398" s="5">
        <f t="shared" si="81"/>
      </c>
      <c r="E398" s="94"/>
      <c r="F398" s="5">
        <f t="shared" si="82"/>
      </c>
      <c r="G398" s="5">
        <f t="shared" si="89"/>
      </c>
      <c r="H398" s="70">
        <f t="shared" si="86"/>
      </c>
      <c r="I398" s="5">
        <f t="shared" si="83"/>
        <v/>
      </c>
      <c r="J398" s="5">
        <f t="shared" si="87"/>
      </c>
      <c r="K398" s="5">
        <f t="shared" si="88"/>
      </c>
      <c r="L398" s="5">
        <f t="shared" si="90"/>
      </c>
      <c r="M398">
        <f t="shared" si="84"/>
      </c>
      <c r="N398" s="18">
        <f t="shared" si="85"/>
      </c>
    </row>
    <row r="399" spans="3:14" x14ac:dyDescent="0.3">
      <c r="C399" s="5">
        <f t="shared" si="80"/>
      </c>
      <c r="D399" s="5">
        <f t="shared" si="81"/>
      </c>
      <c r="E399" s="94"/>
      <c r="F399" s="5">
        <f t="shared" si="82"/>
      </c>
      <c r="G399" s="5">
        <f t="shared" si="89"/>
      </c>
      <c r="H399" s="70">
        <f t="shared" si="86"/>
      </c>
      <c r="I399" s="5">
        <f t="shared" si="83"/>
        <v/>
      </c>
      <c r="J399" s="5">
        <f t="shared" si="87"/>
      </c>
      <c r="K399" s="5">
        <f t="shared" si="88"/>
      </c>
      <c r="L399" s="5">
        <f t="shared" si="90"/>
      </c>
      <c r="M399">
        <f t="shared" si="84"/>
      </c>
      <c r="N399" s="18">
        <f t="shared" si="85"/>
      </c>
    </row>
    <row r="400" spans="3:14" x14ac:dyDescent="0.3">
      <c r="C400" s="5">
        <f t="shared" si="80"/>
      </c>
      <c r="D400" s="5">
        <f t="shared" si="81"/>
      </c>
      <c r="E400" s="94"/>
      <c r="F400" s="5">
        <f t="shared" si="82"/>
      </c>
      <c r="G400" s="5">
        <f t="shared" si="89"/>
      </c>
      <c r="H400" s="70">
        <f t="shared" si="86"/>
      </c>
      <c r="I400" s="5">
        <f t="shared" si="83"/>
        <v/>
      </c>
      <c r="J400" s="5">
        <f t="shared" si="87"/>
      </c>
      <c r="K400" s="5">
        <f t="shared" si="88"/>
      </c>
      <c r="L400" s="5">
        <f t="shared" si="90"/>
      </c>
      <c r="M400">
        <f t="shared" si="84"/>
      </c>
      <c r="N400" s="18">
        <f t="shared" si="85"/>
      </c>
    </row>
    <row r="401" spans="3:14" x14ac:dyDescent="0.3">
      <c r="C401" s="5">
        <f t="shared" si="80"/>
      </c>
      <c r="D401" s="5">
        <f t="shared" si="81"/>
      </c>
      <c r="E401" s="94"/>
      <c r="F401" s="5">
        <f t="shared" si="82"/>
      </c>
      <c r="G401" s="5">
        <f t="shared" si="89"/>
      </c>
      <c r="H401" s="70">
        <f t="shared" si="86"/>
      </c>
      <c r="I401" s="5">
        <f t="shared" si="83"/>
        <v/>
      </c>
      <c r="J401" s="5">
        <f t="shared" si="87"/>
      </c>
      <c r="K401" s="5">
        <f t="shared" si="88"/>
      </c>
      <c r="L401" s="5">
        <f t="shared" si="90"/>
      </c>
      <c r="M401">
        <f t="shared" si="84"/>
      </c>
      <c r="N401" s="18">
        <f t="shared" si="85"/>
      </c>
    </row>
    <row r="402" spans="3:14" x14ac:dyDescent="0.3">
      <c r="C402" s="5">
        <f t="shared" si="80"/>
      </c>
      <c r="D402" s="5">
        <f t="shared" si="81"/>
      </c>
      <c r="E402" s="94"/>
      <c r="F402" s="5">
        <f t="shared" si="82"/>
      </c>
      <c r="G402" s="5">
        <f t="shared" si="89"/>
      </c>
      <c r="H402" s="70">
        <f t="shared" si="86"/>
      </c>
      <c r="I402" s="5">
        <f t="shared" si="83"/>
        <v/>
      </c>
      <c r="J402" s="5">
        <f t="shared" si="87"/>
      </c>
      <c r="K402" s="5">
        <f t="shared" si="88"/>
      </c>
      <c r="L402" s="5">
        <f t="shared" si="90"/>
      </c>
      <c r="M402">
        <f t="shared" si="84"/>
      </c>
      <c r="N402" s="18">
        <f t="shared" si="85"/>
      </c>
    </row>
    <row r="403" spans="3:14" x14ac:dyDescent="0.3">
      <c r="C403" s="5">
        <f t="shared" si="80"/>
      </c>
      <c r="D403" s="5">
        <f t="shared" si="81"/>
      </c>
      <c r="E403" s="94"/>
      <c r="F403" s="5">
        <f t="shared" si="82"/>
      </c>
      <c r="G403" s="5">
        <f t="shared" si="89"/>
      </c>
      <c r="H403" s="70">
        <f t="shared" si="86"/>
      </c>
      <c r="I403" s="5">
        <f t="shared" si="83"/>
        <v/>
      </c>
      <c r="J403" s="5">
        <f t="shared" si="87"/>
      </c>
      <c r="K403" s="5">
        <f t="shared" si="88"/>
      </c>
      <c r="L403" s="5">
        <f t="shared" si="90"/>
      </c>
      <c r="M403">
        <f t="shared" si="84"/>
      </c>
      <c r="N403" s="18">
        <f t="shared" si="85"/>
      </c>
    </row>
    <row r="404" spans="3:14" x14ac:dyDescent="0.3">
      <c r="C404" s="5">
        <f t="shared" si="80"/>
      </c>
      <c r="D404" s="5">
        <f t="shared" si="81"/>
      </c>
      <c r="E404" s="94"/>
      <c r="F404" s="5">
        <f t="shared" si="82"/>
      </c>
      <c r="G404" s="5">
        <f t="shared" si="89"/>
      </c>
      <c r="H404" s="70">
        <f t="shared" si="86"/>
      </c>
      <c r="I404" s="5">
        <f t="shared" si="83"/>
        <v/>
      </c>
      <c r="J404" s="5">
        <f t="shared" si="87"/>
      </c>
      <c r="K404" s="5">
        <f t="shared" si="88"/>
      </c>
      <c r="L404" s="5">
        <f t="shared" si="90"/>
      </c>
      <c r="M404">
        <f t="shared" si="84"/>
      </c>
      <c r="N404" s="18">
        <f t="shared" si="85"/>
      </c>
    </row>
    <row r="405" spans="3:14" x14ac:dyDescent="0.3">
      <c r="C405" s="5">
        <f t="shared" si="80"/>
      </c>
      <c r="D405" s="5">
        <f t="shared" si="81"/>
      </c>
      <c r="E405" s="94"/>
      <c r="F405" s="5">
        <f t="shared" si="82"/>
      </c>
      <c r="G405" s="5">
        <f t="shared" si="89"/>
      </c>
      <c r="H405" s="70">
        <f t="shared" si="86"/>
      </c>
      <c r="I405" s="5">
        <f t="shared" si="83"/>
        <v/>
      </c>
      <c r="J405" s="5">
        <f t="shared" si="87"/>
      </c>
      <c r="K405" s="5">
        <f t="shared" si="88"/>
      </c>
      <c r="L405" s="5">
        <f t="shared" si="90"/>
      </c>
      <c r="M405">
        <f t="shared" si="84"/>
      </c>
      <c r="N405" s="18">
        <f t="shared" si="85"/>
      </c>
    </row>
    <row r="406" spans="3:14" x14ac:dyDescent="0.3">
      <c r="C406" s="5">
        <f t="shared" si="80"/>
      </c>
      <c r="D406" s="5">
        <f t="shared" si="81"/>
      </c>
      <c r="E406" s="94"/>
      <c r="F406" s="5">
        <f t="shared" si="82"/>
      </c>
      <c r="G406" s="5">
        <f t="shared" si="89"/>
      </c>
      <c r="H406" s="70">
        <f t="shared" si="86"/>
      </c>
      <c r="I406" s="5">
        <f t="shared" si="83"/>
        <v/>
      </c>
      <c r="J406" s="5">
        <f t="shared" si="87"/>
      </c>
      <c r="K406" s="5">
        <f t="shared" si="88"/>
      </c>
      <c r="L406" s="5">
        <f t="shared" si="90"/>
      </c>
      <c r="M406">
        <f t="shared" si="84"/>
      </c>
      <c r="N406" s="18">
        <f t="shared" si="85"/>
      </c>
    </row>
    <row r="407" spans="3:14" x14ac:dyDescent="0.3">
      <c r="C407" s="5">
        <f t="shared" si="80"/>
      </c>
      <c r="D407" s="5">
        <f t="shared" si="81"/>
      </c>
      <c r="E407" s="94"/>
      <c r="F407" s="5">
        <f t="shared" si="82"/>
      </c>
      <c r="G407" s="5">
        <f t="shared" si="89"/>
      </c>
      <c r="H407" s="70">
        <f t="shared" si="86"/>
      </c>
      <c r="I407" s="5">
        <f t="shared" si="83"/>
        <v/>
      </c>
      <c r="J407" s="5">
        <f t="shared" si="87"/>
      </c>
      <c r="K407" s="5">
        <f t="shared" si="88"/>
      </c>
      <c r="L407" s="5">
        <f t="shared" si="90"/>
      </c>
      <c r="M407">
        <f t="shared" si="84"/>
      </c>
      <c r="N407" s="18">
        <f t="shared" si="85"/>
      </c>
    </row>
    <row r="408" spans="3:14" x14ac:dyDescent="0.3">
      <c r="C408" s="5">
        <f t="shared" si="80"/>
      </c>
      <c r="D408" s="5">
        <f t="shared" si="81"/>
      </c>
      <c r="E408" s="94"/>
      <c r="F408" s="5">
        <f t="shared" si="82"/>
      </c>
      <c r="G408" s="5">
        <f t="shared" si="89"/>
      </c>
      <c r="H408" s="70">
        <f t="shared" si="86"/>
      </c>
      <c r="I408" s="5">
        <f t="shared" si="83"/>
        <v/>
      </c>
      <c r="J408" s="5">
        <f t="shared" si="87"/>
      </c>
      <c r="K408" s="5">
        <f t="shared" si="88"/>
      </c>
      <c r="L408" s="5">
        <f t="shared" si="90"/>
      </c>
      <c r="M408">
        <f t="shared" si="84"/>
      </c>
      <c r="N408" s="18">
        <f t="shared" si="85"/>
      </c>
    </row>
    <row r="409" spans="3:14" x14ac:dyDescent="0.3">
      <c r="C409" s="5">
        <f t="shared" si="80"/>
      </c>
      <c r="D409" s="5">
        <f t="shared" si="81"/>
      </c>
      <c r="E409" s="94"/>
      <c r="F409" s="5">
        <f t="shared" si="82"/>
      </c>
      <c r="G409" s="5">
        <f t="shared" si="89"/>
      </c>
      <c r="H409" s="70">
        <f t="shared" si="86"/>
      </c>
      <c r="I409" s="5">
        <f t="shared" si="83"/>
        <v/>
      </c>
      <c r="J409" s="5">
        <f t="shared" si="87"/>
      </c>
      <c r="K409" s="5">
        <f t="shared" si="88"/>
      </c>
      <c r="L409" s="5">
        <f t="shared" si="90"/>
      </c>
      <c r="M409">
        <f t="shared" si="84"/>
      </c>
      <c r="N409" s="18">
        <f t="shared" si="85"/>
      </c>
    </row>
    <row r="410" spans="3:14" x14ac:dyDescent="0.3">
      <c r="C410" s="5">
        <f t="shared" si="80"/>
      </c>
      <c r="D410" s="5">
        <f t="shared" si="81"/>
      </c>
      <c r="E410" s="94"/>
      <c r="F410" s="5">
        <f t="shared" si="82"/>
      </c>
      <c r="G410" s="5">
        <f t="shared" si="89"/>
      </c>
      <c r="H410" s="70">
        <f t="shared" si="86"/>
      </c>
      <c r="I410" s="5">
        <f t="shared" si="83"/>
        <v/>
      </c>
      <c r="J410" s="5">
        <f t="shared" si="87"/>
      </c>
      <c r="K410" s="5">
        <f t="shared" si="88"/>
      </c>
      <c r="L410" s="5">
        <f t="shared" si="90"/>
      </c>
      <c r="M410">
        <f t="shared" si="84"/>
      </c>
      <c r="N410" s="18">
        <f t="shared" si="85"/>
      </c>
    </row>
    <row r="411" spans="3:14" x14ac:dyDescent="0.3">
      <c r="C411" s="5">
        <f t="shared" si="80"/>
      </c>
      <c r="D411" s="5">
        <f t="shared" si="81"/>
      </c>
      <c r="E411" s="94"/>
      <c r="F411" s="5">
        <f t="shared" si="82"/>
      </c>
      <c r="G411" s="5">
        <f t="shared" si="89"/>
      </c>
      <c r="H411" s="70">
        <f t="shared" si="86"/>
      </c>
      <c r="I411" s="5">
        <f t="shared" si="83"/>
        <v/>
      </c>
      <c r="J411" s="5">
        <f t="shared" si="87"/>
      </c>
      <c r="K411" s="5">
        <f t="shared" si="88"/>
      </c>
      <c r="L411" s="5">
        <f t="shared" si="90"/>
      </c>
      <c r="M411">
        <f t="shared" si="84"/>
      </c>
      <c r="N411" s="18">
        <f t="shared" si="85"/>
      </c>
    </row>
    <row r="412" spans="3:14" x14ac:dyDescent="0.3">
      <c r="C412" s="5">
        <f t="shared" si="80"/>
      </c>
      <c r="D412" s="5">
        <f t="shared" si="81"/>
      </c>
      <c r="E412" s="94"/>
      <c r="F412" s="5">
        <f t="shared" si="82"/>
      </c>
      <c r="G412" s="5">
        <f t="shared" si="89"/>
      </c>
      <c r="H412" s="70">
        <f t="shared" si="86"/>
      </c>
      <c r="I412" s="5">
        <f t="shared" si="83"/>
        <v/>
      </c>
      <c r="J412" s="5">
        <f t="shared" si="87"/>
      </c>
      <c r="K412" s="5">
        <f t="shared" si="88"/>
      </c>
      <c r="L412" s="5">
        <f t="shared" si="90"/>
      </c>
      <c r="M412">
        <f t="shared" si="84"/>
      </c>
      <c r="N412" s="18">
        <f t="shared" si="85"/>
      </c>
    </row>
    <row r="413" spans="3:14" x14ac:dyDescent="0.3">
      <c r="C413" s="5">
        <f t="shared" si="80"/>
      </c>
      <c r="D413" s="5">
        <f t="shared" si="81"/>
      </c>
      <c r="E413" s="94"/>
      <c r="F413" s="5">
        <f t="shared" si="82"/>
      </c>
      <c r="G413" s="5">
        <f t="shared" si="89"/>
      </c>
      <c r="H413" s="70">
        <f t="shared" si="86"/>
      </c>
      <c r="I413" s="5">
        <f t="shared" si="83"/>
        <v/>
      </c>
      <c r="J413" s="5">
        <f t="shared" si="87"/>
      </c>
      <c r="K413" s="5">
        <f t="shared" si="88"/>
      </c>
      <c r="L413" s="5">
        <f t="shared" si="90"/>
      </c>
      <c r="M413">
        <f t="shared" si="84"/>
      </c>
      <c r="N413" s="18">
        <f t="shared" si="85"/>
      </c>
    </row>
    <row r="414" spans="3:14" x14ac:dyDescent="0.3">
      <c r="C414" s="5">
        <f t="shared" si="80"/>
      </c>
      <c r="D414" s="5">
        <f t="shared" si="81"/>
      </c>
      <c r="E414" s="94"/>
      <c r="F414" s="5">
        <f t="shared" si="82"/>
      </c>
      <c r="G414" s="5">
        <f t="shared" si="89"/>
      </c>
      <c r="H414" s="70">
        <f t="shared" si="86"/>
      </c>
      <c r="I414" s="5">
        <f t="shared" si="83"/>
        <v/>
      </c>
      <c r="J414" s="5">
        <f t="shared" si="87"/>
      </c>
      <c r="K414" s="5">
        <f t="shared" si="88"/>
      </c>
      <c r="L414" s="5">
        <f t="shared" si="90"/>
      </c>
      <c r="M414">
        <f t="shared" si="84"/>
      </c>
      <c r="N414" s="18">
        <f t="shared" si="85"/>
      </c>
    </row>
    <row r="415" spans="3:14" x14ac:dyDescent="0.3">
      <c r="C415" s="5">
        <f t="shared" si="80"/>
      </c>
      <c r="D415" s="5">
        <f t="shared" si="81"/>
      </c>
      <c r="E415" s="94"/>
      <c r="F415" s="5">
        <f t="shared" si="82"/>
      </c>
      <c r="G415" s="5">
        <f t="shared" si="89"/>
      </c>
      <c r="H415" s="70">
        <f t="shared" si="86"/>
      </c>
      <c r="I415" s="5">
        <f t="shared" si="83"/>
        <v/>
      </c>
      <c r="J415" s="5">
        <f t="shared" si="87"/>
      </c>
      <c r="K415" s="5">
        <f t="shared" si="88"/>
      </c>
      <c r="L415" s="5">
        <f t="shared" si="90"/>
      </c>
      <c r="M415">
        <f t="shared" si="84"/>
      </c>
      <c r="N415" s="18">
        <f t="shared" si="85"/>
      </c>
    </row>
    <row r="416" spans="3:14" x14ac:dyDescent="0.3">
      <c r="C416" s="5">
        <f t="shared" si="80"/>
      </c>
      <c r="D416" s="5">
        <f t="shared" si="81"/>
      </c>
      <c r="E416" s="94"/>
      <c r="F416" s="5">
        <f t="shared" si="82"/>
      </c>
      <c r="G416" s="5">
        <f t="shared" si="89"/>
      </c>
      <c r="H416" s="70">
        <f t="shared" si="86"/>
      </c>
      <c r="I416" s="5">
        <f t="shared" si="83"/>
        <v/>
      </c>
      <c r="J416" s="5">
        <f t="shared" si="87"/>
      </c>
      <c r="K416" s="5">
        <f t="shared" si="88"/>
      </c>
      <c r="L416" s="5">
        <f t="shared" si="90"/>
      </c>
      <c r="M416">
        <f t="shared" si="84"/>
      </c>
      <c r="N416" s="18">
        <f t="shared" si="85"/>
      </c>
    </row>
    <row r="417" spans="3:14" x14ac:dyDescent="0.3">
      <c r="C417" s="5">
        <f t="shared" si="80"/>
      </c>
      <c r="D417" s="5">
        <f t="shared" si="81"/>
      </c>
      <c r="E417" s="94"/>
      <c r="F417" s="5">
        <f t="shared" si="82"/>
      </c>
      <c r="G417" s="5">
        <f t="shared" si="89"/>
      </c>
      <c r="H417" s="70">
        <f t="shared" si="86"/>
      </c>
      <c r="I417" s="5">
        <f t="shared" si="83"/>
        <v/>
      </c>
      <c r="J417" s="5">
        <f t="shared" si="87"/>
      </c>
      <c r="K417" s="5">
        <f t="shared" si="88"/>
      </c>
      <c r="L417" s="5">
        <f t="shared" si="90"/>
      </c>
      <c r="M417">
        <f t="shared" si="84"/>
      </c>
      <c r="N417" s="18">
        <f t="shared" si="85"/>
      </c>
    </row>
    <row r="418" spans="3:14" x14ac:dyDescent="0.3">
      <c r="C418" s="5">
        <f t="shared" si="80"/>
      </c>
      <c r="D418" s="5">
        <f t="shared" si="81"/>
      </c>
      <c r="E418" s="94"/>
      <c r="F418" s="5">
        <f t="shared" si="82"/>
      </c>
      <c r="G418" s="5">
        <f t="shared" si="89"/>
      </c>
      <c r="H418" s="70">
        <f t="shared" si="86"/>
      </c>
      <c r="I418" s="5">
        <f t="shared" si="83"/>
        <v/>
      </c>
      <c r="J418" s="5">
        <f t="shared" si="87"/>
      </c>
      <c r="K418" s="5">
        <f t="shared" si="88"/>
      </c>
      <c r="L418" s="5">
        <f t="shared" si="90"/>
      </c>
      <c r="M418">
        <f t="shared" si="84"/>
      </c>
      <c r="N418" s="18">
        <f t="shared" si="85"/>
      </c>
    </row>
    <row r="419" spans="3:14" x14ac:dyDescent="0.3">
      <c r="C419" s="5">
        <f t="shared" si="80"/>
      </c>
      <c r="D419" s="5">
        <f t="shared" si="81"/>
      </c>
      <c r="E419" s="94"/>
      <c r="F419" s="5">
        <f t="shared" si="82"/>
      </c>
      <c r="G419" s="5">
        <f t="shared" si="89"/>
      </c>
      <c r="H419" s="70">
        <f t="shared" si="86"/>
      </c>
      <c r="I419" s="5">
        <f t="shared" si="83"/>
        <v/>
      </c>
      <c r="J419" s="5">
        <f t="shared" si="87"/>
      </c>
      <c r="K419" s="5">
        <f t="shared" si="88"/>
      </c>
      <c r="L419" s="5">
        <f t="shared" si="90"/>
      </c>
      <c r="M419">
        <f t="shared" si="84"/>
      </c>
      <c r="N419" s="18">
        <f t="shared" si="85"/>
      </c>
    </row>
    <row r="420" spans="3:14" x14ac:dyDescent="0.3">
      <c r="C420" s="5">
        <f t="shared" si="80"/>
      </c>
      <c r="D420" s="5">
        <f t="shared" si="81"/>
      </c>
      <c r="E420" s="94"/>
      <c r="F420" s="5">
        <f t="shared" si="82"/>
      </c>
      <c r="G420" s="5">
        <f t="shared" si="89"/>
      </c>
      <c r="H420" s="70">
        <f t="shared" si="86"/>
      </c>
      <c r="I420" s="5">
        <f t="shared" si="83"/>
        <v/>
      </c>
      <c r="J420" s="5">
        <f t="shared" si="87"/>
      </c>
      <c r="K420" s="5">
        <f t="shared" si="88"/>
      </c>
      <c r="L420" s="5">
        <f t="shared" si="90"/>
      </c>
      <c r="M420">
        <f t="shared" si="84"/>
      </c>
      <c r="N420" s="18">
        <f t="shared" si="85"/>
      </c>
    </row>
    <row r="421" spans="3:14" x14ac:dyDescent="0.3">
      <c r="C421" s="5">
        <f t="shared" si="80"/>
      </c>
      <c r="D421" s="5">
        <f t="shared" si="81"/>
      </c>
      <c r="E421" s="94"/>
      <c r="F421" s="5">
        <f t="shared" si="82"/>
      </c>
      <c r="G421" s="5">
        <f t="shared" si="89"/>
      </c>
      <c r="H421" s="70">
        <f t="shared" si="86"/>
      </c>
      <c r="I421" s="5">
        <f t="shared" si="83"/>
        <v/>
      </c>
      <c r="J421" s="5">
        <f t="shared" si="87"/>
      </c>
      <c r="K421" s="5">
        <f t="shared" si="88"/>
      </c>
      <c r="L421" s="5">
        <f t="shared" si="90"/>
      </c>
      <c r="M421">
        <f t="shared" si="84"/>
      </c>
      <c r="N421" s="18">
        <f t="shared" si="85"/>
      </c>
    </row>
    <row r="422" spans="3:14" x14ac:dyDescent="0.3">
      <c r="C422" s="5">
        <f t="shared" si="80"/>
      </c>
      <c r="D422" s="5">
        <f t="shared" si="81"/>
      </c>
      <c r="E422" s="94"/>
      <c r="F422" s="5">
        <f t="shared" si="82"/>
      </c>
      <c r="G422" s="5">
        <f t="shared" si="89"/>
      </c>
      <c r="H422" s="70">
        <f t="shared" si="86"/>
      </c>
      <c r="I422" s="5">
        <f t="shared" si="83"/>
        <v/>
      </c>
      <c r="J422" s="5">
        <f t="shared" si="87"/>
      </c>
      <c r="K422" s="5">
        <f t="shared" si="88"/>
      </c>
      <c r="L422" s="5">
        <f t="shared" si="90"/>
      </c>
      <c r="M422">
        <f t="shared" si="84"/>
      </c>
      <c r="N422" s="18">
        <f t="shared" si="85"/>
      </c>
    </row>
    <row r="423" spans="3:14" x14ac:dyDescent="0.3">
      <c r="C423" s="5">
        <f t="shared" si="80"/>
      </c>
      <c r="D423" s="5">
        <f t="shared" si="81"/>
      </c>
      <c r="E423" s="94"/>
      <c r="F423" s="5">
        <f t="shared" si="82"/>
      </c>
      <c r="G423" s="5">
        <f t="shared" si="89"/>
      </c>
      <c r="H423" s="70">
        <f t="shared" si="86"/>
      </c>
      <c r="I423" s="5">
        <f t="shared" si="83"/>
        <v/>
      </c>
      <c r="J423" s="5">
        <f t="shared" si="87"/>
      </c>
      <c r="K423" s="5">
        <f t="shared" si="88"/>
      </c>
      <c r="L423" s="5">
        <f t="shared" si="90"/>
      </c>
      <c r="M423">
        <f t="shared" si="84"/>
      </c>
      <c r="N423" s="18">
        <f t="shared" si="85"/>
      </c>
    </row>
    <row r="424" spans="3:14" x14ac:dyDescent="0.3">
      <c r="C424" s="5">
        <f t="shared" si="80"/>
      </c>
      <c r="D424" s="5">
        <f t="shared" si="81"/>
      </c>
      <c r="E424" s="94"/>
      <c r="F424" s="5">
        <f t="shared" si="82"/>
      </c>
      <c r="G424" s="5">
        <f t="shared" si="89"/>
      </c>
      <c r="H424" s="70">
        <f t="shared" si="86"/>
      </c>
      <c r="I424" s="5">
        <f t="shared" si="83"/>
        <v/>
      </c>
      <c r="J424" s="5">
        <f t="shared" si="87"/>
      </c>
      <c r="K424" s="5">
        <f t="shared" si="88"/>
      </c>
      <c r="L424" s="5">
        <f t="shared" si="90"/>
      </c>
      <c r="M424">
        <f t="shared" si="84"/>
      </c>
      <c r="N424" s="18">
        <f t="shared" si="85"/>
      </c>
    </row>
    <row r="425" spans="3:14" x14ac:dyDescent="0.3">
      <c r="C425" s="5">
        <f t="shared" si="80"/>
      </c>
      <c r="D425" s="5">
        <f t="shared" si="81"/>
      </c>
      <c r="E425" s="94"/>
      <c r="F425" s="5">
        <f t="shared" si="82"/>
      </c>
      <c r="G425" s="5">
        <f t="shared" si="89"/>
      </c>
      <c r="H425" s="70">
        <f t="shared" si="86"/>
      </c>
      <c r="I425" s="5">
        <f t="shared" si="83"/>
        <v/>
      </c>
      <c r="J425" s="5">
        <f t="shared" si="87"/>
      </c>
      <c r="K425" s="5">
        <f t="shared" si="88"/>
      </c>
      <c r="L425" s="5">
        <f t="shared" si="90"/>
      </c>
      <c r="M425">
        <f t="shared" si="84"/>
      </c>
      <c r="N425" s="18">
        <f t="shared" si="85"/>
      </c>
    </row>
    <row r="426" spans="3:14" x14ac:dyDescent="0.3">
      <c r="C426" s="5">
        <f t="shared" si="80"/>
      </c>
      <c r="D426" s="5">
        <f t="shared" si="81"/>
      </c>
      <c r="E426" s="94"/>
      <c r="F426" s="5">
        <f t="shared" si="82"/>
      </c>
      <c r="G426" s="5">
        <f t="shared" si="89"/>
      </c>
      <c r="H426" s="70">
        <f t="shared" si="86"/>
      </c>
      <c r="I426" s="5">
        <f t="shared" si="83"/>
        <v/>
      </c>
      <c r="J426" s="5">
        <f t="shared" si="87"/>
      </c>
      <c r="K426" s="5">
        <f t="shared" si="88"/>
      </c>
      <c r="L426" s="5">
        <f t="shared" si="90"/>
      </c>
      <c r="M426">
        <f t="shared" si="84"/>
      </c>
      <c r="N426" s="18">
        <f t="shared" si="85"/>
      </c>
    </row>
    <row r="427" spans="3:14" x14ac:dyDescent="0.3">
      <c r="C427" s="5">
        <f t="shared" si="80"/>
      </c>
      <c r="D427" s="5">
        <f t="shared" si="81"/>
      </c>
      <c r="E427" s="94"/>
      <c r="F427" s="5">
        <f t="shared" si="82"/>
      </c>
      <c r="G427" s="5">
        <f t="shared" si="89"/>
      </c>
      <c r="H427" s="70">
        <f t="shared" si="86"/>
      </c>
      <c r="I427" s="5">
        <f t="shared" si="83"/>
        <v/>
      </c>
      <c r="J427" s="5">
        <f t="shared" si="87"/>
      </c>
      <c r="K427" s="5">
        <f t="shared" si="88"/>
      </c>
      <c r="L427" s="5">
        <f t="shared" si="90"/>
      </c>
      <c r="M427">
        <f t="shared" si="84"/>
      </c>
      <c r="N427" s="18">
        <f t="shared" si="85"/>
      </c>
    </row>
    <row r="428" spans="3:14" x14ac:dyDescent="0.3">
      <c r="C428" s="5">
        <f t="shared" si="80"/>
      </c>
      <c r="D428" s="5">
        <f t="shared" si="81"/>
      </c>
      <c r="E428" s="94"/>
      <c r="F428" s="5">
        <f t="shared" si="82"/>
      </c>
      <c r="G428" s="5">
        <f t="shared" si="89"/>
      </c>
      <c r="H428" s="70">
        <f t="shared" si="86"/>
      </c>
      <c r="I428" s="5">
        <f t="shared" si="83"/>
        <v/>
      </c>
      <c r="J428" s="5">
        <f t="shared" si="87"/>
      </c>
      <c r="K428" s="5">
        <f t="shared" si="88"/>
      </c>
      <c r="L428" s="5">
        <f t="shared" si="90"/>
      </c>
      <c r="M428">
        <f t="shared" si="84"/>
      </c>
      <c r="N428" s="18">
        <f t="shared" si="85"/>
      </c>
    </row>
    <row r="429" spans="3:14" x14ac:dyDescent="0.3">
      <c r="C429" s="5">
        <f t="shared" si="80"/>
      </c>
      <c r="D429" s="5">
        <f t="shared" si="81"/>
      </c>
      <c r="E429" s="94"/>
      <c r="F429" s="5">
        <f t="shared" si="82"/>
      </c>
      <c r="G429" s="5">
        <f t="shared" si="89"/>
      </c>
      <c r="H429" s="70">
        <f t="shared" si="86"/>
      </c>
      <c r="I429" s="5">
        <f t="shared" si="83"/>
        <v/>
      </c>
      <c r="J429" s="5">
        <f t="shared" si="87"/>
      </c>
      <c r="K429" s="5">
        <f t="shared" si="88"/>
      </c>
      <c r="L429" s="5">
        <f t="shared" si="90"/>
      </c>
      <c r="M429">
        <f t="shared" si="84"/>
      </c>
      <c r="N429" s="18">
        <f t="shared" si="85"/>
      </c>
    </row>
    <row r="430" spans="3:14" x14ac:dyDescent="0.3">
      <c r="C430" s="5">
        <f t="shared" si="80"/>
      </c>
      <c r="D430" s="5">
        <f t="shared" si="81"/>
      </c>
      <c r="E430" s="94"/>
      <c r="F430" s="5">
        <f t="shared" si="82"/>
      </c>
      <c r="G430" s="5">
        <f t="shared" si="89"/>
      </c>
      <c r="H430" s="70">
        <f t="shared" si="86"/>
      </c>
      <c r="I430" s="5">
        <f t="shared" si="83"/>
        <v/>
      </c>
      <c r="J430" s="5">
        <f t="shared" si="87"/>
      </c>
      <c r="K430" s="5">
        <f t="shared" si="88"/>
      </c>
      <c r="L430" s="5">
        <f t="shared" si="90"/>
      </c>
      <c r="M430">
        <f t="shared" si="84"/>
      </c>
      <c r="N430" s="18">
        <f t="shared" si="85"/>
      </c>
    </row>
    <row r="431" spans="3:14" x14ac:dyDescent="0.3">
      <c r="C431" s="5">
        <f t="shared" si="80"/>
      </c>
      <c r="D431" s="5">
        <f t="shared" si="81"/>
      </c>
      <c r="E431" s="70"/>
      <c r="F431" s="5">
        <f t="shared" si="82"/>
      </c>
      <c r="G431" s="5">
        <f t="shared" si="89"/>
      </c>
      <c r="H431" s="70">
        <f t="shared" si="86"/>
      </c>
      <c r="I431" s="5">
        <f t="shared" si="83"/>
        <v/>
      </c>
      <c r="J431" s="5">
        <f t="shared" si="87"/>
      </c>
      <c r="K431" s="5">
        <f t="shared" si="88"/>
      </c>
      <c r="L431" s="5">
        <f t="shared" si="90"/>
      </c>
      <c r="M431">
        <f t="shared" si="84"/>
      </c>
      <c r="N431" s="18">
        <f t="shared" si="85"/>
      </c>
    </row>
    <row r="432" spans="3:14" x14ac:dyDescent="0.3">
      <c r="C432" s="5">
        <f t="shared" si="80"/>
      </c>
      <c r="D432" s="5">
        <f t="shared" si="81"/>
      </c>
      <c r="E432" s="70"/>
      <c r="F432" s="5">
        <f t="shared" si="82"/>
      </c>
      <c r="G432" s="5">
        <f t="shared" si="89"/>
      </c>
      <c r="H432" s="70">
        <f t="shared" si="86"/>
      </c>
      <c r="I432" s="5">
        <f t="shared" si="83"/>
        <v/>
      </c>
      <c r="J432" s="5">
        <f t="shared" si="87"/>
      </c>
      <c r="K432" s="5">
        <f t="shared" si="88"/>
      </c>
      <c r="L432" s="5">
        <f t="shared" si="90"/>
      </c>
      <c r="M432">
        <f t="shared" si="84"/>
      </c>
      <c r="N432" s="18">
        <f t="shared" si="85"/>
      </c>
    </row>
    <row r="433" spans="3:14" x14ac:dyDescent="0.3">
      <c r="C433" s="5">
        <f t="shared" si="80"/>
      </c>
      <c r="D433" s="5">
        <f t="shared" si="81"/>
      </c>
      <c r="E433" s="70"/>
      <c r="F433" s="5">
        <f t="shared" si="82"/>
      </c>
      <c r="G433" s="5">
        <f t="shared" si="89"/>
      </c>
      <c r="H433" s="70">
        <f t="shared" si="86"/>
      </c>
      <c r="I433" s="5">
        <f t="shared" si="83"/>
        <v/>
      </c>
      <c r="J433" s="5">
        <f t="shared" si="87"/>
      </c>
      <c r="K433" s="5">
        <f t="shared" si="88"/>
      </c>
      <c r="L433" s="5">
        <f t="shared" si="90"/>
      </c>
      <c r="M433">
        <f t="shared" si="84"/>
      </c>
      <c r="N433" s="18">
        <f t="shared" si="85"/>
      </c>
    </row>
    <row r="434" spans="3:14" x14ac:dyDescent="0.3">
      <c r="C434" s="5">
        <f t="shared" si="80"/>
      </c>
      <c r="D434" s="5">
        <f t="shared" si="81"/>
      </c>
      <c r="E434" s="70"/>
      <c r="F434" s="5">
        <f t="shared" si="82"/>
      </c>
      <c r="G434" s="5">
        <f t="shared" si="89"/>
      </c>
      <c r="H434" s="70">
        <f t="shared" si="86"/>
      </c>
      <c r="I434" s="5">
        <f t="shared" si="83"/>
        <v/>
      </c>
      <c r="J434" s="5">
        <f t="shared" si="87"/>
      </c>
      <c r="K434" s="5">
        <f t="shared" si="88"/>
      </c>
      <c r="L434" s="5">
        <f t="shared" si="90"/>
      </c>
      <c r="M434">
        <f t="shared" si="84"/>
      </c>
      <c r="N434" s="18">
        <f t="shared" si="85"/>
      </c>
    </row>
    <row r="435" spans="3:14" x14ac:dyDescent="0.3">
      <c r="C435" s="5">
        <f t="shared" si="80"/>
      </c>
      <c r="D435" s="5">
        <f t="shared" si="81"/>
      </c>
      <c r="E435" s="70"/>
      <c r="F435" s="5">
        <f t="shared" si="82"/>
      </c>
      <c r="G435" s="5">
        <f t="shared" si="89"/>
      </c>
      <c r="H435" s="70">
        <f t="shared" si="86"/>
      </c>
      <c r="I435" s="5">
        <f t="shared" si="83"/>
        <v/>
      </c>
      <c r="J435" s="5">
        <f t="shared" si="87"/>
      </c>
      <c r="K435" s="5">
        <f t="shared" si="88"/>
      </c>
      <c r="L435" s="5">
        <f t="shared" si="90"/>
      </c>
      <c r="M435">
        <f t="shared" si="84"/>
      </c>
      <c r="N435" s="18">
        <f t="shared" si="85"/>
      </c>
    </row>
    <row r="436" spans="3:14" x14ac:dyDescent="0.3">
      <c r="C436" s="5">
        <f t="shared" si="80"/>
      </c>
      <c r="D436" s="5">
        <f t="shared" si="81"/>
      </c>
      <c r="E436" s="70"/>
      <c r="F436" s="5">
        <f t="shared" si="82"/>
      </c>
      <c r="G436" s="5">
        <f t="shared" si="89"/>
      </c>
      <c r="H436" s="70">
        <f t="shared" si="86"/>
      </c>
      <c r="I436" s="5">
        <f t="shared" si="83"/>
        <v/>
      </c>
      <c r="J436" s="5">
        <f t="shared" si="87"/>
      </c>
      <c r="K436" s="5">
        <f t="shared" si="88"/>
      </c>
      <c r="L436" s="5">
        <f t="shared" si="90"/>
      </c>
      <c r="M436">
        <f t="shared" si="84"/>
      </c>
      <c r="N436" s="18">
        <f t="shared" si="85"/>
      </c>
    </row>
    <row r="437" spans="3:14" x14ac:dyDescent="0.3">
      <c r="C437" s="5">
        <f t="shared" si="80"/>
      </c>
      <c r="D437" s="5">
        <f t="shared" si="81"/>
      </c>
      <c r="E437" s="70"/>
      <c r="F437" s="5">
        <f t="shared" si="82"/>
      </c>
      <c r="G437" s="5">
        <f t="shared" si="89"/>
      </c>
      <c r="H437" s="70">
        <f t="shared" si="86"/>
      </c>
      <c r="I437" s="5">
        <f t="shared" si="83"/>
        <v/>
      </c>
      <c r="J437" s="5">
        <f t="shared" si="87"/>
      </c>
      <c r="K437" s="5">
        <f t="shared" si="88"/>
      </c>
      <c r="L437" s="5">
        <f t="shared" si="90"/>
      </c>
      <c r="M437">
        <f t="shared" si="84"/>
      </c>
      <c r="N437" s="18">
        <f t="shared" si="85"/>
      </c>
    </row>
    <row r="438" spans="3:14" x14ac:dyDescent="0.3">
      <c r="C438" s="5">
        <f t="shared" si="80"/>
      </c>
      <c r="D438" s="5">
        <f t="shared" si="81"/>
      </c>
      <c r="E438" s="70"/>
      <c r="F438" s="5">
        <f t="shared" si="82"/>
      </c>
      <c r="G438" s="5">
        <f t="shared" si="89"/>
      </c>
      <c r="H438" s="70">
        <f t="shared" si="86"/>
      </c>
      <c r="I438" s="5">
        <f t="shared" si="83"/>
        <v/>
      </c>
      <c r="J438" s="5">
        <f t="shared" si="87"/>
      </c>
      <c r="K438" s="5">
        <f t="shared" si="88"/>
      </c>
      <c r="L438" s="5">
        <f t="shared" si="90"/>
      </c>
      <c r="M438">
        <f t="shared" si="84"/>
      </c>
      <c r="N438" s="18">
        <f t="shared" si="85"/>
      </c>
    </row>
    <row r="439" spans="3:14" x14ac:dyDescent="0.3">
      <c r="C439" s="5">
        <f t="shared" si="80"/>
      </c>
      <c r="D439" s="5">
        <f t="shared" si="81"/>
      </c>
      <c r="E439" s="70"/>
      <c r="F439" s="5">
        <f t="shared" si="82"/>
      </c>
      <c r="G439" s="5">
        <f t="shared" si="89"/>
      </c>
      <c r="H439" s="70">
        <f t="shared" si="86"/>
      </c>
      <c r="I439" s="5">
        <f t="shared" si="83"/>
        <v/>
      </c>
      <c r="J439" s="5">
        <f t="shared" si="87"/>
      </c>
      <c r="K439" s="5">
        <f t="shared" si="88"/>
      </c>
      <c r="L439" s="5">
        <f t="shared" si="90"/>
      </c>
      <c r="M439">
        <f t="shared" si="84"/>
      </c>
      <c r="N439" s="18">
        <f t="shared" si="85"/>
      </c>
    </row>
    <row r="440" spans="3:14" x14ac:dyDescent="0.3">
      <c r="C440" s="5">
        <f t="shared" si="80"/>
      </c>
      <c r="D440" s="5">
        <f t="shared" si="81"/>
      </c>
      <c r="E440" s="70"/>
      <c r="F440" s="5">
        <f t="shared" si="82"/>
      </c>
      <c r="G440" s="5">
        <f t="shared" si="89"/>
      </c>
      <c r="H440" s="70">
        <f t="shared" si="86"/>
      </c>
      <c r="I440" s="5">
        <f t="shared" si="83"/>
        <v/>
      </c>
      <c r="J440" s="5">
        <f t="shared" si="87"/>
      </c>
      <c r="K440" s="5">
        <f t="shared" si="88"/>
      </c>
      <c r="L440" s="5">
        <f t="shared" si="90"/>
      </c>
      <c r="M440">
        <f t="shared" si="84"/>
      </c>
      <c r="N440" s="18">
        <f t="shared" si="85"/>
      </c>
    </row>
    <row r="441" spans="3:14" x14ac:dyDescent="0.3">
      <c r="C441" s="5">
        <f t="shared" si="80"/>
      </c>
      <c r="D441" s="5">
        <f t="shared" si="81"/>
      </c>
      <c r="E441" s="70"/>
      <c r="F441" s="5">
        <f t="shared" si="82"/>
      </c>
      <c r="G441" s="5">
        <f t="shared" si="89"/>
      </c>
      <c r="H441" s="70">
        <f t="shared" si="86"/>
      </c>
      <c r="I441" s="5">
        <f t="shared" si="83"/>
        <v/>
      </c>
      <c r="J441" s="5">
        <f t="shared" si="87"/>
      </c>
      <c r="K441" s="5">
        <f t="shared" si="88"/>
      </c>
      <c r="L441" s="5">
        <f t="shared" si="90"/>
      </c>
      <c r="M441">
        <f t="shared" si="84"/>
      </c>
      <c r="N441" s="18">
        <f t="shared" si="85"/>
      </c>
    </row>
    <row r="442" spans="3:14" x14ac:dyDescent="0.3">
      <c r="C442" s="5">
        <f t="shared" si="80"/>
      </c>
      <c r="D442" s="5">
        <f t="shared" si="81"/>
      </c>
      <c r="E442" s="70"/>
      <c r="F442" s="5">
        <f t="shared" si="82"/>
      </c>
      <c r="G442" s="5">
        <f t="shared" si="89"/>
      </c>
      <c r="H442" s="70">
        <f t="shared" si="86"/>
      </c>
      <c r="I442" s="5">
        <f t="shared" si="83"/>
        <v/>
      </c>
      <c r="J442" s="5">
        <f t="shared" si="87"/>
      </c>
      <c r="K442" s="5">
        <f t="shared" si="88"/>
      </c>
      <c r="L442" s="5">
        <f t="shared" si="90"/>
      </c>
      <c r="M442">
        <f t="shared" si="84"/>
      </c>
      <c r="N442" s="18">
        <f t="shared" si="85"/>
      </c>
    </row>
    <row r="443" spans="3:14" x14ac:dyDescent="0.3">
      <c r="C443" s="5">
        <f t="shared" si="80"/>
      </c>
      <c r="D443" s="5">
        <f t="shared" si="81"/>
      </c>
      <c r="E443" s="70"/>
      <c r="F443" s="5">
        <f t="shared" si="82"/>
      </c>
      <c r="G443" s="5">
        <f t="shared" si="89"/>
      </c>
      <c r="H443" s="70">
        <f t="shared" si="86"/>
      </c>
      <c r="I443" s="5">
        <f t="shared" si="83"/>
        <v/>
      </c>
      <c r="J443" s="5">
        <f t="shared" si="87"/>
      </c>
      <c r="K443" s="5">
        <f t="shared" si="88"/>
      </c>
      <c r="L443" s="5">
        <f t="shared" si="90"/>
      </c>
      <c r="M443">
        <f t="shared" si="84"/>
      </c>
      <c r="N443" s="18">
        <f t="shared" si="85"/>
      </c>
    </row>
    <row r="444" spans="3:14" x14ac:dyDescent="0.3">
      <c r="C444" s="5">
        <f t="shared" si="80"/>
      </c>
      <c r="D444" s="5">
        <f t="shared" si="81"/>
      </c>
      <c r="E444" s="70"/>
      <c r="F444" s="5">
        <f t="shared" si="82"/>
      </c>
      <c r="G444" s="5">
        <f t="shared" si="89"/>
      </c>
      <c r="H444" s="70">
        <f t="shared" si="86"/>
      </c>
      <c r="I444" s="5">
        <f t="shared" si="83"/>
        <v/>
      </c>
      <c r="J444" s="5">
        <f t="shared" si="87"/>
      </c>
      <c r="K444" s="5">
        <f t="shared" si="88"/>
      </c>
      <c r="L444" s="5">
        <f t="shared" si="90"/>
      </c>
      <c r="M444">
        <f t="shared" si="84"/>
      </c>
      <c r="N444" s="18">
        <f t="shared" si="85"/>
      </c>
    </row>
    <row r="445" spans="3:14" x14ac:dyDescent="0.3">
      <c r="C445" s="5">
        <f t="shared" si="80"/>
      </c>
      <c r="D445" s="5">
        <f t="shared" si="81"/>
      </c>
      <c r="E445" s="70"/>
      <c r="F445" s="5">
        <f t="shared" si="82"/>
      </c>
      <c r="G445" s="5">
        <f t="shared" si="89"/>
      </c>
      <c r="H445" s="70">
        <f t="shared" si="86"/>
      </c>
      <c r="I445" s="5">
        <f t="shared" si="83"/>
        <v/>
      </c>
      <c r="J445" s="5">
        <f t="shared" si="87"/>
      </c>
      <c r="K445" s="5">
        <f t="shared" si="88"/>
      </c>
      <c r="L445" s="5">
        <f t="shared" si="90"/>
      </c>
      <c r="M445">
        <f t="shared" si="84"/>
      </c>
      <c r="N445" s="18">
        <f t="shared" si="85"/>
      </c>
    </row>
    <row r="446" spans="3:14" x14ac:dyDescent="0.3">
      <c r="C446" s="5">
        <f t="shared" si="80"/>
      </c>
      <c r="D446" s="5">
        <f t="shared" si="81"/>
      </c>
      <c r="E446" s="70"/>
      <c r="F446" s="5">
        <f t="shared" si="82"/>
      </c>
      <c r="G446" s="5">
        <f t="shared" si="89"/>
      </c>
      <c r="H446" s="70">
        <f t="shared" si="86"/>
      </c>
      <c r="I446" s="5">
        <f t="shared" si="83"/>
        <v/>
      </c>
      <c r="J446" s="5">
        <f t="shared" si="87"/>
      </c>
      <c r="K446" s="5">
        <f t="shared" si="88"/>
      </c>
      <c r="L446" s="5">
        <f t="shared" si="90"/>
      </c>
      <c r="M446">
        <f t="shared" si="84"/>
      </c>
      <c r="N446" s="18">
        <f t="shared" si="85"/>
      </c>
    </row>
    <row r="447" spans="3:14" x14ac:dyDescent="0.3">
      <c r="C447" s="5">
        <f t="shared" si="80"/>
      </c>
      <c r="D447" s="5">
        <f t="shared" si="81"/>
      </c>
      <c r="E447" s="70"/>
      <c r="F447" s="5">
        <f t="shared" si="82"/>
      </c>
      <c r="G447" s="5">
        <f t="shared" si="89"/>
      </c>
      <c r="H447" s="70">
        <f t="shared" si="86"/>
      </c>
      <c r="I447" s="5">
        <f t="shared" si="83"/>
        <v/>
      </c>
      <c r="J447" s="5">
        <f t="shared" si="87"/>
      </c>
      <c r="K447" s="5">
        <f t="shared" si="88"/>
      </c>
      <c r="L447" s="5">
        <f t="shared" si="90"/>
      </c>
      <c r="M447">
        <f t="shared" si="84"/>
      </c>
      <c r="N447" s="18">
        <f t="shared" si="85"/>
      </c>
    </row>
    <row r="448" spans="3:14" x14ac:dyDescent="0.3">
      <c r="C448" s="5">
        <f t="shared" si="80"/>
      </c>
      <c r="D448" s="5">
        <f t="shared" si="81"/>
      </c>
      <c r="E448" s="70"/>
      <c r="F448" s="5">
        <f t="shared" si="82"/>
      </c>
      <c r="G448" s="5">
        <f t="shared" si="89"/>
      </c>
      <c r="H448" s="70">
        <f t="shared" si="86"/>
      </c>
      <c r="I448" s="5">
        <f t="shared" si="83"/>
        <v/>
      </c>
      <c r="J448" s="5">
        <f t="shared" si="87"/>
      </c>
      <c r="K448" s="5">
        <f t="shared" si="88"/>
      </c>
      <c r="L448" s="5">
        <f t="shared" si="90"/>
      </c>
      <c r="M448">
        <f t="shared" si="84"/>
      </c>
      <c r="N448" s="18">
        <f t="shared" si="85"/>
      </c>
    </row>
    <row r="449" spans="3:14" x14ac:dyDescent="0.3">
      <c r="C449" s="5">
        <f t="shared" si="80"/>
      </c>
      <c r="D449" s="5">
        <f t="shared" si="81"/>
      </c>
      <c r="E449" s="70"/>
      <c r="F449" s="5">
        <f t="shared" si="82"/>
      </c>
      <c r="G449" s="5">
        <f t="shared" si="89"/>
      </c>
      <c r="H449" s="70">
        <f t="shared" si="86"/>
      </c>
      <c r="I449" s="5">
        <f t="shared" si="83"/>
        <v/>
      </c>
      <c r="J449" s="5">
        <f t="shared" si="87"/>
      </c>
      <c r="K449" s="5">
        <f t="shared" si="88"/>
      </c>
      <c r="L449" s="5">
        <f t="shared" si="90"/>
      </c>
      <c r="M449">
        <f t="shared" si="84"/>
      </c>
      <c r="N449" s="18">
        <f t="shared" si="85"/>
      </c>
    </row>
    <row r="450" spans="3:14" x14ac:dyDescent="0.3">
      <c r="C450" s="5">
        <f t="shared" si="80"/>
      </c>
      <c r="D450" s="5">
        <f t="shared" si="81"/>
      </c>
      <c r="E450" s="70"/>
      <c r="F450" s="5">
        <f t="shared" si="82"/>
      </c>
      <c r="G450" s="5">
        <f t="shared" si="89"/>
      </c>
      <c r="H450" s="70">
        <f t="shared" si="86"/>
      </c>
      <c r="I450" s="5">
        <f t="shared" si="83"/>
        <v/>
      </c>
      <c r="J450" s="5">
        <f t="shared" si="87"/>
      </c>
      <c r="K450" s="5">
        <f t="shared" si="88"/>
      </c>
      <c r="L450" s="5">
        <f t="shared" si="90"/>
      </c>
      <c r="M450">
        <f t="shared" si="84"/>
      </c>
      <c r="N450" s="18">
        <f t="shared" si="85"/>
      </c>
    </row>
    <row r="451" spans="3:14" x14ac:dyDescent="0.3">
      <c r="C451" s="5">
        <f t="shared" ref="C451:C514" si="91">VLOOKUP(ROW(449:449),Разбивка_нумерация_5,2,FALSE)</f>
      </c>
      <c r="D451" s="5">
        <f t="shared" ref="D451:D514" si="92">VLOOKUP(ROW(449:449),Разбивка_нумерация_5,4,FALSE)</f>
      </c>
      <c r="E451" s="70"/>
      <c r="F451" s="5">
        <f t="shared" ref="F451:F514" si="93">VLOOKUP(ROW(449:449),Разбивка_нумерация_5,16,FALSE)</f>
      </c>
      <c r="G451" s="5">
        <f t="shared" si="89"/>
      </c>
      <c r="H451" s="70">
        <f t="shared" si="86"/>
      </c>
      <c r="I451" s="5">
        <f t="shared" ref="I451:I500" si="94">IFERROR(VLOOKUP(D451,Исходные_данные,36,FALSE),"")</f>
        <v/>
      </c>
      <c r="J451" s="5">
        <f t="shared" si="87"/>
      </c>
      <c r="K451" s="5">
        <f t="shared" si="88"/>
      </c>
      <c r="L451" s="5">
        <f t="shared" si="90"/>
      </c>
      <c r="M451">
        <f t="shared" ref="M451:M500" si="95">IF(ISBLANK(E451),M450,E451)</f>
      </c>
      <c r="N451" s="18">
        <f t="shared" si="85"/>
      </c>
    </row>
    <row r="452" spans="3:14" x14ac:dyDescent="0.3">
      <c r="C452" s="5">
        <f t="shared" si="91"/>
      </c>
      <c r="D452" s="5">
        <f t="shared" si="92"/>
      </c>
      <c r="E452" s="70"/>
      <c r="F452" s="5">
        <f t="shared" si="93"/>
      </c>
      <c r="G452" s="5">
        <f t="shared" si="89"/>
      </c>
      <c r="H452" s="70">
        <f t="shared" ref="H452:H500" si="96">VLOOKUP(D452,Исходные_данные,5,FALSE)</f>
      </c>
      <c r="I452" s="5">
        <f t="shared" si="94"/>
        <v/>
      </c>
      <c r="J452" s="5">
        <f t="shared" ref="J452:J500" si="97">VLOOKUP(D452,Исходные_данные,46,FALSE)</f>
      </c>
      <c r="K452" s="5">
        <f t="shared" ref="K452:K500" si="98">VLOOKUP(D452,Исходные_данные,16,FALSE)</f>
      </c>
      <c r="L452" s="5">
        <f t="shared" si="90"/>
      </c>
      <c r="M452">
        <f t="shared" si="95"/>
      </c>
      <c r="N452" s="18">
        <f t="shared" ref="N452:N500" si="99">C452&amp;G452</f>
      </c>
    </row>
    <row r="453" spans="3:14" x14ac:dyDescent="0.3">
      <c r="C453" s="5">
        <f t="shared" si="91"/>
      </c>
      <c r="D453" s="5">
        <f t="shared" si="92"/>
      </c>
      <c r="E453" s="70"/>
      <c r="F453" s="5">
        <f t="shared" si="93"/>
      </c>
      <c r="G453" s="5">
        <f t="shared" ref="G453:G500" si="100">IF(E453="упр","",IF(E453=0,F453,IF(E453="1,2,3","L1,L2,L3","L"&amp;E453)))</f>
      </c>
      <c r="H453" s="70">
        <f t="shared" si="96"/>
      </c>
      <c r="I453" s="5">
        <f t="shared" si="94"/>
        <v/>
      </c>
      <c r="J453" s="5">
        <f t="shared" si="97"/>
      </c>
      <c r="K453" s="5">
        <f t="shared" si="98"/>
      </c>
      <c r="L453" s="5">
        <f t="shared" ref="L453:L500" si="101">H453*K453</f>
      </c>
      <c r="M453">
        <f t="shared" si="95"/>
      </c>
      <c r="N453" s="18">
        <f t="shared" si="99"/>
      </c>
    </row>
    <row r="454" spans="3:14" x14ac:dyDescent="0.3">
      <c r="C454" s="5">
        <f t="shared" si="91"/>
      </c>
      <c r="D454" s="5">
        <f t="shared" si="92"/>
      </c>
      <c r="E454" s="70"/>
      <c r="F454" s="5">
        <f t="shared" si="93"/>
      </c>
      <c r="G454" s="5">
        <f t="shared" si="100"/>
      </c>
      <c r="H454" s="70">
        <f t="shared" si="96"/>
      </c>
      <c r="I454" s="5">
        <f t="shared" si="94"/>
        <v/>
      </c>
      <c r="J454" s="5">
        <f t="shared" si="97"/>
      </c>
      <c r="K454" s="5">
        <f t="shared" si="98"/>
      </c>
      <c r="L454" s="5">
        <f t="shared" si="101"/>
      </c>
      <c r="M454">
        <f t="shared" si="95"/>
      </c>
      <c r="N454" s="18">
        <f t="shared" si="99"/>
      </c>
    </row>
    <row r="455" spans="3:14" x14ac:dyDescent="0.3">
      <c r="C455" s="5">
        <f t="shared" si="91"/>
      </c>
      <c r="D455" s="5">
        <f t="shared" si="92"/>
      </c>
      <c r="E455" s="70"/>
      <c r="F455" s="5">
        <f t="shared" si="93"/>
      </c>
      <c r="G455" s="5">
        <f t="shared" si="100"/>
      </c>
      <c r="H455" s="70">
        <f t="shared" si="96"/>
      </c>
      <c r="I455" s="5">
        <f t="shared" si="94"/>
        <v/>
      </c>
      <c r="J455" s="5">
        <f t="shared" si="97"/>
      </c>
      <c r="K455" s="5">
        <f t="shared" si="98"/>
      </c>
      <c r="L455" s="5">
        <f t="shared" si="101"/>
      </c>
      <c r="M455">
        <f t="shared" si="95"/>
      </c>
      <c r="N455" s="18">
        <f t="shared" si="99"/>
      </c>
    </row>
    <row r="456" spans="3:14" x14ac:dyDescent="0.3">
      <c r="C456" s="5">
        <f t="shared" si="91"/>
      </c>
      <c r="D456" s="5">
        <f t="shared" si="92"/>
      </c>
      <c r="E456" s="70"/>
      <c r="F456" s="5">
        <f t="shared" si="93"/>
      </c>
      <c r="G456" s="5">
        <f t="shared" si="100"/>
      </c>
      <c r="H456" s="70">
        <f t="shared" si="96"/>
      </c>
      <c r="I456" s="5">
        <f t="shared" si="94"/>
        <v/>
      </c>
      <c r="J456" s="5">
        <f t="shared" si="97"/>
      </c>
      <c r="K456" s="5">
        <f t="shared" si="98"/>
      </c>
      <c r="L456" s="5">
        <f t="shared" si="101"/>
      </c>
      <c r="M456">
        <f t="shared" si="95"/>
      </c>
      <c r="N456" s="18">
        <f t="shared" si="99"/>
      </c>
    </row>
    <row r="457" spans="3:14" x14ac:dyDescent="0.3">
      <c r="C457" s="5">
        <f t="shared" si="91"/>
      </c>
      <c r="D457" s="5">
        <f t="shared" si="92"/>
      </c>
      <c r="E457" s="70"/>
      <c r="F457" s="5">
        <f t="shared" si="93"/>
      </c>
      <c r="G457" s="5">
        <f t="shared" si="100"/>
      </c>
      <c r="H457" s="70">
        <f t="shared" si="96"/>
      </c>
      <c r="I457" s="5">
        <f t="shared" si="94"/>
        <v/>
      </c>
      <c r="J457" s="5">
        <f t="shared" si="97"/>
      </c>
      <c r="K457" s="5">
        <f t="shared" si="98"/>
      </c>
      <c r="L457" s="5">
        <f t="shared" si="101"/>
      </c>
      <c r="M457">
        <f t="shared" si="95"/>
      </c>
      <c r="N457" s="18">
        <f t="shared" si="99"/>
      </c>
    </row>
    <row r="458" spans="3:14" x14ac:dyDescent="0.3">
      <c r="C458" s="5">
        <f t="shared" si="91"/>
      </c>
      <c r="D458" s="5">
        <f t="shared" si="92"/>
      </c>
      <c r="E458" s="70"/>
      <c r="F458" s="5">
        <f t="shared" si="93"/>
      </c>
      <c r="G458" s="5">
        <f t="shared" si="100"/>
      </c>
      <c r="H458" s="70">
        <f t="shared" si="96"/>
      </c>
      <c r="I458" s="5">
        <f t="shared" si="94"/>
        <v/>
      </c>
      <c r="J458" s="5">
        <f t="shared" si="97"/>
      </c>
      <c r="K458" s="5">
        <f t="shared" si="98"/>
      </c>
      <c r="L458" s="5">
        <f t="shared" si="101"/>
      </c>
      <c r="M458">
        <f t="shared" si="95"/>
      </c>
      <c r="N458" s="18">
        <f t="shared" si="99"/>
      </c>
    </row>
    <row r="459" spans="3:14" x14ac:dyDescent="0.3">
      <c r="C459" s="5">
        <f t="shared" si="91"/>
      </c>
      <c r="D459" s="5">
        <f t="shared" si="92"/>
      </c>
      <c r="E459" s="70"/>
      <c r="F459" s="5">
        <f t="shared" si="93"/>
      </c>
      <c r="G459" s="5">
        <f t="shared" si="100"/>
      </c>
      <c r="H459" s="70">
        <f t="shared" si="96"/>
      </c>
      <c r="I459" s="5">
        <f t="shared" si="94"/>
        <v/>
      </c>
      <c r="J459" s="5">
        <f t="shared" si="97"/>
      </c>
      <c r="K459" s="5">
        <f t="shared" si="98"/>
      </c>
      <c r="L459" s="5">
        <f t="shared" si="101"/>
      </c>
      <c r="M459">
        <f t="shared" si="95"/>
      </c>
      <c r="N459" s="18">
        <f t="shared" si="99"/>
      </c>
    </row>
    <row r="460" spans="3:14" x14ac:dyDescent="0.3">
      <c r="C460" s="5">
        <f t="shared" si="91"/>
      </c>
      <c r="D460" s="5">
        <f t="shared" si="92"/>
      </c>
      <c r="E460" s="70"/>
      <c r="F460" s="5">
        <f t="shared" si="93"/>
      </c>
      <c r="G460" s="5">
        <f t="shared" si="100"/>
      </c>
      <c r="H460" s="70">
        <f t="shared" si="96"/>
      </c>
      <c r="I460" s="5">
        <f t="shared" si="94"/>
        <v/>
      </c>
      <c r="J460" s="5">
        <f t="shared" si="97"/>
      </c>
      <c r="K460" s="5">
        <f t="shared" si="98"/>
      </c>
      <c r="L460" s="5">
        <f t="shared" si="101"/>
      </c>
      <c r="M460">
        <f t="shared" si="95"/>
      </c>
      <c r="N460" s="18">
        <f t="shared" si="99"/>
      </c>
    </row>
    <row r="461" spans="3:14" x14ac:dyDescent="0.3">
      <c r="C461" s="5">
        <f t="shared" si="91"/>
      </c>
      <c r="D461" s="5">
        <f t="shared" si="92"/>
      </c>
      <c r="E461" s="70"/>
      <c r="F461" s="5">
        <f t="shared" si="93"/>
      </c>
      <c r="G461" s="5">
        <f t="shared" si="100"/>
      </c>
      <c r="H461" s="70">
        <f t="shared" si="96"/>
      </c>
      <c r="I461" s="5">
        <f t="shared" si="94"/>
        <v/>
      </c>
      <c r="J461" s="5">
        <f t="shared" si="97"/>
      </c>
      <c r="K461" s="5">
        <f t="shared" si="98"/>
      </c>
      <c r="L461" s="5">
        <f t="shared" si="101"/>
      </c>
      <c r="M461">
        <f t="shared" si="95"/>
      </c>
      <c r="N461" s="18">
        <f t="shared" si="99"/>
      </c>
    </row>
    <row r="462" spans="3:14" x14ac:dyDescent="0.3">
      <c r="C462" s="5">
        <f t="shared" si="91"/>
      </c>
      <c r="D462" s="5">
        <f t="shared" si="92"/>
      </c>
      <c r="E462" s="70"/>
      <c r="F462" s="5">
        <f t="shared" si="93"/>
      </c>
      <c r="G462" s="5">
        <f t="shared" si="100"/>
      </c>
      <c r="H462" s="70">
        <f t="shared" si="96"/>
      </c>
      <c r="I462" s="5">
        <f t="shared" si="94"/>
        <v/>
      </c>
      <c r="J462" s="5">
        <f t="shared" si="97"/>
      </c>
      <c r="K462" s="5">
        <f t="shared" si="98"/>
      </c>
      <c r="L462" s="5">
        <f t="shared" si="101"/>
      </c>
      <c r="M462">
        <f t="shared" si="95"/>
      </c>
      <c r="N462" s="18">
        <f t="shared" si="99"/>
      </c>
    </row>
    <row r="463" spans="3:14" x14ac:dyDescent="0.3">
      <c r="C463" s="5">
        <f t="shared" si="91"/>
      </c>
      <c r="D463" s="5">
        <f t="shared" si="92"/>
      </c>
      <c r="E463" s="70"/>
      <c r="F463" s="5">
        <f t="shared" si="93"/>
      </c>
      <c r="G463" s="5">
        <f t="shared" si="100"/>
      </c>
      <c r="H463" s="70">
        <f t="shared" si="96"/>
      </c>
      <c r="I463" s="5">
        <f t="shared" si="94"/>
        <v/>
      </c>
      <c r="J463" s="5">
        <f t="shared" si="97"/>
      </c>
      <c r="K463" s="5">
        <f t="shared" si="98"/>
      </c>
      <c r="L463" s="5">
        <f t="shared" si="101"/>
      </c>
      <c r="M463">
        <f t="shared" si="95"/>
      </c>
      <c r="N463" s="18">
        <f t="shared" si="99"/>
      </c>
    </row>
    <row r="464" spans="3:14" x14ac:dyDescent="0.3">
      <c r="C464" s="5">
        <f t="shared" si="91"/>
      </c>
      <c r="D464" s="5">
        <f t="shared" si="92"/>
      </c>
      <c r="E464" s="70"/>
      <c r="F464" s="5">
        <f t="shared" si="93"/>
      </c>
      <c r="G464" s="5">
        <f t="shared" si="100"/>
      </c>
      <c r="H464" s="70">
        <f t="shared" si="96"/>
      </c>
      <c r="I464" s="5">
        <f t="shared" si="94"/>
        <v/>
      </c>
      <c r="J464" s="5">
        <f t="shared" si="97"/>
      </c>
      <c r="K464" s="5">
        <f t="shared" si="98"/>
      </c>
      <c r="L464" s="5">
        <f t="shared" si="101"/>
      </c>
      <c r="M464">
        <f t="shared" si="95"/>
      </c>
      <c r="N464" s="18">
        <f t="shared" si="99"/>
      </c>
    </row>
    <row r="465" spans="3:14" x14ac:dyDescent="0.3">
      <c r="C465" s="5">
        <f t="shared" si="91"/>
      </c>
      <c r="D465" s="5">
        <f t="shared" si="92"/>
      </c>
      <c r="E465" s="70"/>
      <c r="F465" s="5">
        <f t="shared" si="93"/>
      </c>
      <c r="G465" s="5">
        <f t="shared" si="100"/>
      </c>
      <c r="H465" s="70">
        <f t="shared" si="96"/>
      </c>
      <c r="I465" s="5">
        <f t="shared" si="94"/>
        <v/>
      </c>
      <c r="J465" s="5">
        <f t="shared" si="97"/>
      </c>
      <c r="K465" s="5">
        <f t="shared" si="98"/>
      </c>
      <c r="L465" s="5">
        <f t="shared" si="101"/>
      </c>
      <c r="M465">
        <f t="shared" si="95"/>
      </c>
      <c r="N465" s="18">
        <f t="shared" si="99"/>
      </c>
    </row>
    <row r="466" spans="3:14" x14ac:dyDescent="0.3">
      <c r="C466" s="5">
        <f t="shared" si="91"/>
      </c>
      <c r="D466" s="5">
        <f t="shared" si="92"/>
      </c>
      <c r="E466" s="70"/>
      <c r="F466" s="5">
        <f t="shared" si="93"/>
      </c>
      <c r="G466" s="5">
        <f t="shared" si="100"/>
      </c>
      <c r="H466" s="70">
        <f t="shared" si="96"/>
      </c>
      <c r="I466" s="5">
        <f t="shared" si="94"/>
        <v/>
      </c>
      <c r="J466" s="5">
        <f t="shared" si="97"/>
      </c>
      <c r="K466" s="5">
        <f t="shared" si="98"/>
      </c>
      <c r="L466" s="5">
        <f t="shared" si="101"/>
      </c>
      <c r="M466">
        <f t="shared" si="95"/>
      </c>
      <c r="N466" s="18">
        <f t="shared" si="99"/>
      </c>
    </row>
    <row r="467" spans="3:14" x14ac:dyDescent="0.3">
      <c r="C467" s="5">
        <f t="shared" si="91"/>
      </c>
      <c r="D467" s="5">
        <f t="shared" si="92"/>
      </c>
      <c r="E467" s="70"/>
      <c r="F467" s="5">
        <f t="shared" si="93"/>
      </c>
      <c r="G467" s="5">
        <f t="shared" si="100"/>
      </c>
      <c r="H467" s="70">
        <f t="shared" si="96"/>
      </c>
      <c r="I467" s="5">
        <f t="shared" si="94"/>
        <v/>
      </c>
      <c r="J467" s="5">
        <f t="shared" si="97"/>
      </c>
      <c r="K467" s="5">
        <f t="shared" si="98"/>
      </c>
      <c r="L467" s="5">
        <f t="shared" si="101"/>
      </c>
      <c r="M467">
        <f t="shared" si="95"/>
      </c>
      <c r="N467" s="18">
        <f t="shared" si="99"/>
      </c>
    </row>
    <row r="468" spans="3:14" x14ac:dyDescent="0.3">
      <c r="C468" s="5">
        <f t="shared" si="91"/>
      </c>
      <c r="D468" s="5">
        <f t="shared" si="92"/>
      </c>
      <c r="E468" s="70"/>
      <c r="F468" s="5">
        <f t="shared" si="93"/>
      </c>
      <c r="G468" s="5">
        <f t="shared" si="100"/>
      </c>
      <c r="H468" s="70">
        <f t="shared" si="96"/>
      </c>
      <c r="I468" s="5">
        <f t="shared" si="94"/>
        <v/>
      </c>
      <c r="J468" s="5">
        <f t="shared" si="97"/>
      </c>
      <c r="K468" s="5">
        <f t="shared" si="98"/>
      </c>
      <c r="L468" s="5">
        <f t="shared" si="101"/>
      </c>
      <c r="M468">
        <f t="shared" si="95"/>
      </c>
      <c r="N468" s="18">
        <f t="shared" si="99"/>
      </c>
    </row>
    <row r="469" spans="3:14" x14ac:dyDescent="0.3">
      <c r="C469" s="5">
        <f t="shared" si="91"/>
      </c>
      <c r="D469" s="5">
        <f t="shared" si="92"/>
      </c>
      <c r="E469" s="70"/>
      <c r="F469" s="5">
        <f t="shared" si="93"/>
      </c>
      <c r="G469" s="5">
        <f t="shared" si="100"/>
      </c>
      <c r="H469" s="70">
        <f t="shared" si="96"/>
      </c>
      <c r="I469" s="5">
        <f t="shared" si="94"/>
        <v/>
      </c>
      <c r="J469" s="5">
        <f t="shared" si="97"/>
      </c>
      <c r="K469" s="5">
        <f t="shared" si="98"/>
      </c>
      <c r="L469" s="5">
        <f t="shared" si="101"/>
      </c>
      <c r="M469">
        <f t="shared" si="95"/>
      </c>
      <c r="N469" s="18">
        <f t="shared" si="99"/>
      </c>
    </row>
    <row r="470" spans="3:14" x14ac:dyDescent="0.3">
      <c r="C470" s="5">
        <f t="shared" si="91"/>
      </c>
      <c r="D470" s="5">
        <f t="shared" si="92"/>
      </c>
      <c r="E470" s="70"/>
      <c r="F470" s="5">
        <f t="shared" si="93"/>
      </c>
      <c r="G470" s="5">
        <f t="shared" si="100"/>
      </c>
      <c r="H470" s="70">
        <f t="shared" si="96"/>
      </c>
      <c r="I470" s="5">
        <f t="shared" si="94"/>
        <v/>
      </c>
      <c r="J470" s="5">
        <f t="shared" si="97"/>
      </c>
      <c r="K470" s="5">
        <f t="shared" si="98"/>
      </c>
      <c r="L470" s="5">
        <f t="shared" si="101"/>
      </c>
      <c r="M470">
        <f t="shared" si="95"/>
      </c>
      <c r="N470" s="18">
        <f t="shared" si="99"/>
      </c>
    </row>
    <row r="471" spans="3:14" x14ac:dyDescent="0.3">
      <c r="C471" s="5">
        <f t="shared" si="91"/>
      </c>
      <c r="D471" s="5">
        <f t="shared" si="92"/>
      </c>
      <c r="E471" s="70"/>
      <c r="F471" s="5">
        <f t="shared" si="93"/>
      </c>
      <c r="G471" s="5">
        <f t="shared" si="100"/>
      </c>
      <c r="H471" s="70">
        <f t="shared" si="96"/>
      </c>
      <c r="I471" s="5">
        <f t="shared" si="94"/>
        <v/>
      </c>
      <c r="J471" s="5">
        <f t="shared" si="97"/>
      </c>
      <c r="K471" s="5">
        <f t="shared" si="98"/>
      </c>
      <c r="L471" s="5">
        <f t="shared" si="101"/>
      </c>
      <c r="M471">
        <f t="shared" si="95"/>
      </c>
      <c r="N471" s="18">
        <f t="shared" si="99"/>
      </c>
    </row>
    <row r="472" spans="3:14" x14ac:dyDescent="0.3">
      <c r="C472" s="5">
        <f t="shared" si="91"/>
      </c>
      <c r="D472" s="5">
        <f t="shared" si="92"/>
      </c>
      <c r="E472" s="70"/>
      <c r="F472" s="5">
        <f t="shared" si="93"/>
      </c>
      <c r="G472" s="5">
        <f t="shared" si="100"/>
      </c>
      <c r="H472" s="70">
        <f t="shared" si="96"/>
      </c>
      <c r="I472" s="5">
        <f t="shared" si="94"/>
        <v/>
      </c>
      <c r="J472" s="5">
        <f t="shared" si="97"/>
      </c>
      <c r="K472" s="5">
        <f t="shared" si="98"/>
      </c>
      <c r="L472" s="5">
        <f t="shared" si="101"/>
      </c>
      <c r="M472">
        <f t="shared" si="95"/>
      </c>
      <c r="N472" s="18">
        <f t="shared" si="99"/>
      </c>
    </row>
    <row r="473" spans="3:14" x14ac:dyDescent="0.3">
      <c r="C473" s="5">
        <f t="shared" si="91"/>
      </c>
      <c r="D473" s="5">
        <f t="shared" si="92"/>
      </c>
      <c r="E473" s="70"/>
      <c r="F473" s="5">
        <f t="shared" si="93"/>
      </c>
      <c r="G473" s="5">
        <f t="shared" si="100"/>
      </c>
      <c r="H473" s="70">
        <f t="shared" si="96"/>
      </c>
      <c r="I473" s="5">
        <f t="shared" si="94"/>
        <v/>
      </c>
      <c r="J473" s="5">
        <f t="shared" si="97"/>
      </c>
      <c r="K473" s="5">
        <f t="shared" si="98"/>
      </c>
      <c r="L473" s="5">
        <f t="shared" si="101"/>
      </c>
      <c r="M473">
        <f t="shared" si="95"/>
      </c>
      <c r="N473" s="18">
        <f t="shared" si="99"/>
      </c>
    </row>
    <row r="474" spans="3:14" x14ac:dyDescent="0.3">
      <c r="C474" s="5">
        <f t="shared" si="91"/>
      </c>
      <c r="D474" s="5">
        <f t="shared" si="92"/>
      </c>
      <c r="E474" s="70"/>
      <c r="F474" s="5">
        <f t="shared" si="93"/>
      </c>
      <c r="G474" s="5">
        <f t="shared" si="100"/>
      </c>
      <c r="H474" s="70">
        <f t="shared" si="96"/>
      </c>
      <c r="I474" s="5">
        <f t="shared" si="94"/>
        <v/>
      </c>
      <c r="J474" s="5">
        <f t="shared" si="97"/>
      </c>
      <c r="K474" s="5">
        <f t="shared" si="98"/>
      </c>
      <c r="L474" s="5">
        <f t="shared" si="101"/>
      </c>
      <c r="M474">
        <f t="shared" si="95"/>
      </c>
      <c r="N474" s="18">
        <f t="shared" si="99"/>
      </c>
    </row>
    <row r="475" spans="3:14" x14ac:dyDescent="0.3">
      <c r="C475" s="5">
        <f t="shared" si="91"/>
      </c>
      <c r="D475" s="5">
        <f t="shared" si="92"/>
      </c>
      <c r="E475" s="70"/>
      <c r="F475" s="5">
        <f t="shared" si="93"/>
      </c>
      <c r="G475" s="5">
        <f t="shared" si="100"/>
      </c>
      <c r="H475" s="70">
        <f t="shared" si="96"/>
      </c>
      <c r="I475" s="5">
        <f t="shared" si="94"/>
        <v/>
      </c>
      <c r="J475" s="5">
        <f t="shared" si="97"/>
      </c>
      <c r="K475" s="5">
        <f t="shared" si="98"/>
      </c>
      <c r="L475" s="5">
        <f t="shared" si="101"/>
      </c>
      <c r="M475">
        <f t="shared" si="95"/>
      </c>
      <c r="N475" s="18">
        <f t="shared" si="99"/>
      </c>
    </row>
    <row r="476" spans="3:14" x14ac:dyDescent="0.3">
      <c r="C476" s="5">
        <f t="shared" si="91"/>
      </c>
      <c r="D476" s="5">
        <f t="shared" si="92"/>
      </c>
      <c r="E476" s="70"/>
      <c r="F476" s="5">
        <f t="shared" si="93"/>
      </c>
      <c r="G476" s="5">
        <f t="shared" si="100"/>
      </c>
      <c r="H476" s="70">
        <f t="shared" si="96"/>
      </c>
      <c r="I476" s="5">
        <f t="shared" si="94"/>
        <v/>
      </c>
      <c r="J476" s="5">
        <f t="shared" si="97"/>
      </c>
      <c r="K476" s="5">
        <f t="shared" si="98"/>
      </c>
      <c r="L476" s="5">
        <f t="shared" si="101"/>
      </c>
      <c r="M476">
        <f t="shared" si="95"/>
      </c>
      <c r="N476" s="18">
        <f t="shared" si="99"/>
      </c>
    </row>
    <row r="477" spans="3:14" x14ac:dyDescent="0.3">
      <c r="C477" s="5">
        <f t="shared" si="91"/>
      </c>
      <c r="D477" s="5">
        <f t="shared" si="92"/>
      </c>
      <c r="E477" s="70"/>
      <c r="F477" s="5">
        <f t="shared" si="93"/>
      </c>
      <c r="G477" s="5">
        <f t="shared" si="100"/>
      </c>
      <c r="H477" s="70">
        <f t="shared" si="96"/>
      </c>
      <c r="I477" s="5">
        <f t="shared" si="94"/>
        <v/>
      </c>
      <c r="J477" s="5">
        <f t="shared" si="97"/>
      </c>
      <c r="K477" s="5">
        <f t="shared" si="98"/>
      </c>
      <c r="L477" s="5">
        <f t="shared" si="101"/>
      </c>
      <c r="M477">
        <f t="shared" si="95"/>
      </c>
      <c r="N477" s="18">
        <f t="shared" si="99"/>
      </c>
    </row>
    <row r="478" spans="3:14" x14ac:dyDescent="0.3">
      <c r="C478" s="5">
        <f t="shared" si="91"/>
      </c>
      <c r="D478" s="5">
        <f t="shared" si="92"/>
      </c>
      <c r="E478" s="70"/>
      <c r="F478" s="5">
        <f t="shared" si="93"/>
      </c>
      <c r="G478" s="5">
        <f t="shared" si="100"/>
      </c>
      <c r="H478" s="70">
        <f t="shared" si="96"/>
      </c>
      <c r="I478" s="5">
        <f t="shared" si="94"/>
        <v/>
      </c>
      <c r="J478" s="5">
        <f t="shared" si="97"/>
      </c>
      <c r="K478" s="5">
        <f t="shared" si="98"/>
      </c>
      <c r="L478" s="5">
        <f t="shared" si="101"/>
      </c>
      <c r="M478">
        <f t="shared" si="95"/>
      </c>
      <c r="N478" s="18">
        <f t="shared" si="99"/>
      </c>
    </row>
    <row r="479" spans="3:14" x14ac:dyDescent="0.3">
      <c r="C479" s="5">
        <f t="shared" si="91"/>
      </c>
      <c r="D479" s="5">
        <f t="shared" si="92"/>
      </c>
      <c r="E479" s="70"/>
      <c r="F479" s="5">
        <f t="shared" si="93"/>
      </c>
      <c r="G479" s="5">
        <f t="shared" si="100"/>
      </c>
      <c r="H479" s="70">
        <f t="shared" si="96"/>
      </c>
      <c r="I479" s="5">
        <f t="shared" si="94"/>
        <v/>
      </c>
      <c r="J479" s="5">
        <f t="shared" si="97"/>
      </c>
      <c r="K479" s="5">
        <f t="shared" si="98"/>
      </c>
      <c r="L479" s="5">
        <f t="shared" si="101"/>
      </c>
      <c r="M479">
        <f t="shared" si="95"/>
      </c>
      <c r="N479" s="18">
        <f t="shared" si="99"/>
      </c>
    </row>
    <row r="480" spans="3:14" x14ac:dyDescent="0.3">
      <c r="C480" s="5">
        <f t="shared" si="91"/>
      </c>
      <c r="D480" s="5">
        <f t="shared" si="92"/>
      </c>
      <c r="E480" s="70"/>
      <c r="F480" s="5">
        <f t="shared" si="93"/>
      </c>
      <c r="G480" s="5">
        <f t="shared" si="100"/>
      </c>
      <c r="H480" s="70">
        <f t="shared" si="96"/>
      </c>
      <c r="I480" s="5">
        <f t="shared" si="94"/>
        <v/>
      </c>
      <c r="J480" s="5">
        <f t="shared" si="97"/>
      </c>
      <c r="K480" s="5">
        <f t="shared" si="98"/>
      </c>
      <c r="L480" s="5">
        <f t="shared" si="101"/>
      </c>
      <c r="M480">
        <f t="shared" si="95"/>
      </c>
      <c r="N480" s="18">
        <f t="shared" si="99"/>
      </c>
    </row>
    <row r="481" spans="3:14" x14ac:dyDescent="0.3">
      <c r="C481" s="5">
        <f t="shared" si="91"/>
      </c>
      <c r="D481" s="5">
        <f t="shared" si="92"/>
      </c>
      <c r="E481" s="70"/>
      <c r="F481" s="5">
        <f t="shared" si="93"/>
      </c>
      <c r="G481" s="5">
        <f t="shared" si="100"/>
      </c>
      <c r="H481" s="70">
        <f t="shared" si="96"/>
      </c>
      <c r="I481" s="5">
        <f t="shared" si="94"/>
        <v/>
      </c>
      <c r="J481" s="5">
        <f t="shared" si="97"/>
      </c>
      <c r="K481" s="5">
        <f t="shared" si="98"/>
      </c>
      <c r="L481" s="5">
        <f t="shared" si="101"/>
      </c>
      <c r="M481">
        <f t="shared" si="95"/>
      </c>
      <c r="N481" s="18">
        <f t="shared" si="99"/>
      </c>
    </row>
    <row r="482" spans="3:14" x14ac:dyDescent="0.3">
      <c r="C482" s="5">
        <f t="shared" si="91"/>
      </c>
      <c r="D482" s="5">
        <f t="shared" si="92"/>
      </c>
      <c r="E482" s="70"/>
      <c r="F482" s="5">
        <f t="shared" si="93"/>
      </c>
      <c r="G482" s="5">
        <f t="shared" si="100"/>
      </c>
      <c r="H482" s="70">
        <f t="shared" si="96"/>
      </c>
      <c r="I482" s="5">
        <f t="shared" si="94"/>
        <v/>
      </c>
      <c r="J482" s="5">
        <f t="shared" si="97"/>
      </c>
      <c r="K482" s="5">
        <f t="shared" si="98"/>
      </c>
      <c r="L482" s="5">
        <f t="shared" si="101"/>
      </c>
      <c r="M482">
        <f t="shared" si="95"/>
      </c>
      <c r="N482" s="18">
        <f t="shared" si="99"/>
      </c>
    </row>
    <row r="483" spans="3:14" x14ac:dyDescent="0.3">
      <c r="C483" s="5">
        <f t="shared" si="91"/>
      </c>
      <c r="D483" s="5">
        <f t="shared" si="92"/>
      </c>
      <c r="E483" s="70"/>
      <c r="F483" s="5">
        <f t="shared" si="93"/>
      </c>
      <c r="G483" s="5">
        <f t="shared" si="100"/>
      </c>
      <c r="H483" s="70">
        <f t="shared" si="96"/>
      </c>
      <c r="I483" s="5">
        <f t="shared" si="94"/>
        <v/>
      </c>
      <c r="J483" s="5">
        <f t="shared" si="97"/>
      </c>
      <c r="K483" s="5">
        <f t="shared" si="98"/>
      </c>
      <c r="L483" s="5">
        <f t="shared" si="101"/>
      </c>
      <c r="M483">
        <f t="shared" si="95"/>
      </c>
      <c r="N483" s="18">
        <f t="shared" si="99"/>
      </c>
    </row>
    <row r="484" spans="3:14" x14ac:dyDescent="0.3">
      <c r="C484" s="5">
        <f t="shared" si="91"/>
      </c>
      <c r="D484" s="5">
        <f t="shared" si="92"/>
      </c>
      <c r="E484" s="70"/>
      <c r="F484" s="5">
        <f t="shared" si="93"/>
      </c>
      <c r="G484" s="5">
        <f t="shared" si="100"/>
      </c>
      <c r="H484" s="70">
        <f t="shared" si="96"/>
      </c>
      <c r="I484" s="5">
        <f t="shared" si="94"/>
        <v/>
      </c>
      <c r="J484" s="5">
        <f t="shared" si="97"/>
      </c>
      <c r="K484" s="5">
        <f t="shared" si="98"/>
      </c>
      <c r="L484" s="5">
        <f t="shared" si="101"/>
      </c>
      <c r="M484">
        <f t="shared" si="95"/>
      </c>
      <c r="N484" s="18">
        <f t="shared" si="99"/>
      </c>
    </row>
    <row r="485" spans="3:14" x14ac:dyDescent="0.3">
      <c r="C485" s="5">
        <f t="shared" si="91"/>
      </c>
      <c r="D485" s="5">
        <f t="shared" si="92"/>
      </c>
      <c r="E485" s="70"/>
      <c r="F485" s="5">
        <f t="shared" si="93"/>
      </c>
      <c r="G485" s="5">
        <f t="shared" si="100"/>
      </c>
      <c r="H485" s="70">
        <f t="shared" si="96"/>
      </c>
      <c r="I485" s="5">
        <f t="shared" si="94"/>
        <v/>
      </c>
      <c r="J485" s="5">
        <f t="shared" si="97"/>
      </c>
      <c r="K485" s="5">
        <f t="shared" si="98"/>
      </c>
      <c r="L485" s="5">
        <f t="shared" si="101"/>
      </c>
      <c r="M485">
        <f t="shared" si="95"/>
      </c>
      <c r="N485" s="18">
        <f t="shared" si="99"/>
      </c>
    </row>
    <row r="486" spans="3:14" x14ac:dyDescent="0.3">
      <c r="C486" s="5">
        <f t="shared" si="91"/>
      </c>
      <c r="D486" s="5">
        <f t="shared" si="92"/>
      </c>
      <c r="E486" s="70"/>
      <c r="F486" s="5">
        <f t="shared" si="93"/>
      </c>
      <c r="G486" s="5">
        <f t="shared" si="100"/>
      </c>
      <c r="H486" s="70">
        <f t="shared" si="96"/>
      </c>
      <c r="I486" s="5">
        <f t="shared" si="94"/>
        <v/>
      </c>
      <c r="J486" s="5">
        <f t="shared" si="97"/>
      </c>
      <c r="K486" s="5">
        <f t="shared" si="98"/>
      </c>
      <c r="L486" s="5">
        <f t="shared" si="101"/>
      </c>
      <c r="M486">
        <f t="shared" si="95"/>
      </c>
      <c r="N486" s="18">
        <f t="shared" si="99"/>
      </c>
    </row>
    <row r="487" spans="3:14" x14ac:dyDescent="0.3">
      <c r="C487" s="5">
        <f t="shared" si="91"/>
      </c>
      <c r="D487" s="5">
        <f t="shared" si="92"/>
      </c>
      <c r="E487" s="70"/>
      <c r="F487" s="5">
        <f t="shared" si="93"/>
      </c>
      <c r="G487" s="5">
        <f t="shared" si="100"/>
      </c>
      <c r="H487" s="70">
        <f t="shared" si="96"/>
      </c>
      <c r="I487" s="5">
        <f t="shared" si="94"/>
        <v/>
      </c>
      <c r="J487" s="5">
        <f t="shared" si="97"/>
      </c>
      <c r="K487" s="5">
        <f t="shared" si="98"/>
      </c>
      <c r="L487" s="5">
        <f t="shared" si="101"/>
      </c>
      <c r="M487">
        <f t="shared" si="95"/>
      </c>
      <c r="N487" s="18">
        <f t="shared" si="99"/>
      </c>
    </row>
    <row r="488" spans="3:14" x14ac:dyDescent="0.3">
      <c r="C488" s="5">
        <f t="shared" si="91"/>
      </c>
      <c r="D488" s="5">
        <f t="shared" si="92"/>
      </c>
      <c r="E488" s="70"/>
      <c r="F488" s="5">
        <f t="shared" si="93"/>
      </c>
      <c r="G488" s="5">
        <f t="shared" si="100"/>
      </c>
      <c r="H488" s="70">
        <f t="shared" si="96"/>
      </c>
      <c r="I488" s="5">
        <f t="shared" si="94"/>
        <v/>
      </c>
      <c r="J488" s="5">
        <f t="shared" si="97"/>
      </c>
      <c r="K488" s="5">
        <f t="shared" si="98"/>
      </c>
      <c r="L488" s="5">
        <f t="shared" si="101"/>
      </c>
      <c r="M488">
        <f t="shared" si="95"/>
      </c>
      <c r="N488" s="18">
        <f t="shared" si="99"/>
      </c>
    </row>
    <row r="489" spans="3:14" x14ac:dyDescent="0.3">
      <c r="C489" s="5">
        <f t="shared" si="91"/>
      </c>
      <c r="D489" s="5">
        <f t="shared" si="92"/>
      </c>
      <c r="E489" s="70"/>
      <c r="F489" s="5">
        <f t="shared" si="93"/>
      </c>
      <c r="G489" s="5">
        <f t="shared" si="100"/>
      </c>
      <c r="H489" s="70">
        <f t="shared" si="96"/>
      </c>
      <c r="I489" s="5">
        <f t="shared" si="94"/>
        <v/>
      </c>
      <c r="J489" s="5">
        <f t="shared" si="97"/>
      </c>
      <c r="K489" s="5">
        <f t="shared" si="98"/>
      </c>
      <c r="L489" s="5">
        <f t="shared" si="101"/>
      </c>
      <c r="M489">
        <f t="shared" si="95"/>
      </c>
      <c r="N489" s="18">
        <f t="shared" si="99"/>
      </c>
    </row>
    <row r="490" spans="3:14" x14ac:dyDescent="0.3">
      <c r="C490" s="5">
        <f t="shared" si="91"/>
      </c>
      <c r="D490" s="5">
        <f t="shared" si="92"/>
      </c>
      <c r="E490" s="70"/>
      <c r="F490" s="5">
        <f t="shared" si="93"/>
      </c>
      <c r="G490" s="5">
        <f t="shared" si="100"/>
      </c>
      <c r="H490" s="70">
        <f t="shared" si="96"/>
      </c>
      <c r="I490" s="5">
        <f t="shared" si="94"/>
        <v/>
      </c>
      <c r="J490" s="5">
        <f t="shared" si="97"/>
      </c>
      <c r="K490" s="5">
        <f t="shared" si="98"/>
      </c>
      <c r="L490" s="5">
        <f t="shared" si="101"/>
      </c>
      <c r="M490">
        <f t="shared" si="95"/>
      </c>
      <c r="N490" s="18">
        <f t="shared" si="99"/>
      </c>
    </row>
    <row r="491" spans="3:14" x14ac:dyDescent="0.3">
      <c r="C491" s="5">
        <f t="shared" si="91"/>
      </c>
      <c r="D491" s="5">
        <f t="shared" si="92"/>
      </c>
      <c r="E491" s="70"/>
      <c r="F491" s="5">
        <f t="shared" si="93"/>
      </c>
      <c r="G491" s="5">
        <f t="shared" si="100"/>
      </c>
      <c r="H491" s="70">
        <f t="shared" si="96"/>
      </c>
      <c r="I491" s="5">
        <f t="shared" si="94"/>
        <v/>
      </c>
      <c r="J491" s="5">
        <f t="shared" si="97"/>
      </c>
      <c r="K491" s="5">
        <f t="shared" si="98"/>
      </c>
      <c r="L491" s="5">
        <f t="shared" si="101"/>
      </c>
      <c r="M491">
        <f t="shared" si="95"/>
      </c>
      <c r="N491" s="18">
        <f t="shared" si="99"/>
      </c>
    </row>
    <row r="492" spans="3:14" x14ac:dyDescent="0.3">
      <c r="C492" s="5">
        <f t="shared" si="91"/>
      </c>
      <c r="D492" s="5">
        <f t="shared" si="92"/>
      </c>
      <c r="E492" s="70"/>
      <c r="F492" s="5">
        <f t="shared" si="93"/>
      </c>
      <c r="G492" s="5">
        <f t="shared" si="100"/>
      </c>
      <c r="H492" s="70">
        <f t="shared" si="96"/>
      </c>
      <c r="I492" s="5">
        <f t="shared" si="94"/>
        <v/>
      </c>
      <c r="J492" s="5">
        <f t="shared" si="97"/>
      </c>
      <c r="K492" s="5">
        <f t="shared" si="98"/>
      </c>
      <c r="L492" s="5">
        <f t="shared" si="101"/>
      </c>
      <c r="M492">
        <f t="shared" si="95"/>
      </c>
      <c r="N492" s="18">
        <f t="shared" si="99"/>
      </c>
    </row>
    <row r="493" spans="3:14" x14ac:dyDescent="0.3">
      <c r="C493" s="5">
        <f t="shared" si="91"/>
      </c>
      <c r="D493" s="5">
        <f t="shared" si="92"/>
      </c>
      <c r="E493" s="70"/>
      <c r="F493" s="5">
        <f t="shared" si="93"/>
      </c>
      <c r="G493" s="5">
        <f t="shared" si="100"/>
      </c>
      <c r="H493" s="70">
        <f t="shared" si="96"/>
      </c>
      <c r="I493" s="5">
        <f t="shared" si="94"/>
        <v/>
      </c>
      <c r="J493" s="5">
        <f t="shared" si="97"/>
      </c>
      <c r="K493" s="5">
        <f t="shared" si="98"/>
      </c>
      <c r="L493" s="5">
        <f t="shared" si="101"/>
      </c>
      <c r="M493">
        <f t="shared" si="95"/>
      </c>
      <c r="N493" s="18">
        <f t="shared" si="99"/>
      </c>
    </row>
    <row r="494" spans="3:14" x14ac:dyDescent="0.3">
      <c r="C494" s="5">
        <f t="shared" si="91"/>
      </c>
      <c r="D494" s="5">
        <f t="shared" si="92"/>
      </c>
      <c r="E494" s="70"/>
      <c r="F494" s="5">
        <f t="shared" si="93"/>
      </c>
      <c r="G494" s="5">
        <f t="shared" si="100"/>
      </c>
      <c r="H494" s="70">
        <f t="shared" si="96"/>
      </c>
      <c r="I494" s="5">
        <f t="shared" si="94"/>
        <v/>
      </c>
      <c r="J494" s="5">
        <f t="shared" si="97"/>
      </c>
      <c r="K494" s="5">
        <f t="shared" si="98"/>
      </c>
      <c r="L494" s="5">
        <f t="shared" si="101"/>
      </c>
      <c r="M494">
        <f t="shared" si="95"/>
      </c>
      <c r="N494" s="18">
        <f t="shared" si="99"/>
      </c>
    </row>
    <row r="495" spans="3:14" x14ac:dyDescent="0.3">
      <c r="C495" s="5">
        <f t="shared" si="91"/>
      </c>
      <c r="D495" s="5">
        <f t="shared" si="92"/>
      </c>
      <c r="E495" s="70"/>
      <c r="F495" s="5">
        <f t="shared" si="93"/>
      </c>
      <c r="G495" s="5">
        <f t="shared" si="100"/>
      </c>
      <c r="H495" s="70">
        <f t="shared" si="96"/>
      </c>
      <c r="I495" s="5">
        <f t="shared" si="94"/>
        <v/>
      </c>
      <c r="J495" s="5">
        <f t="shared" si="97"/>
      </c>
      <c r="K495" s="5">
        <f t="shared" si="98"/>
      </c>
      <c r="L495" s="5">
        <f t="shared" si="101"/>
      </c>
      <c r="M495">
        <f t="shared" si="95"/>
      </c>
      <c r="N495" s="18">
        <f t="shared" si="99"/>
      </c>
    </row>
    <row r="496" spans="3:14" x14ac:dyDescent="0.3">
      <c r="C496" s="5">
        <f t="shared" si="91"/>
      </c>
      <c r="D496" s="5">
        <f t="shared" si="92"/>
      </c>
      <c r="E496" s="70"/>
      <c r="F496" s="5">
        <f t="shared" si="93"/>
      </c>
      <c r="G496" s="5">
        <f t="shared" si="100"/>
      </c>
      <c r="H496" s="70">
        <f t="shared" si="96"/>
      </c>
      <c r="I496" s="5">
        <f t="shared" si="94"/>
        <v/>
      </c>
      <c r="J496" s="5">
        <f t="shared" si="97"/>
      </c>
      <c r="K496" s="5">
        <f t="shared" si="98"/>
      </c>
      <c r="L496" s="5">
        <f t="shared" si="101"/>
      </c>
      <c r="M496">
        <f t="shared" si="95"/>
      </c>
      <c r="N496" s="18">
        <f t="shared" si="99"/>
      </c>
    </row>
    <row r="497" spans="3:14" x14ac:dyDescent="0.3">
      <c r="C497" s="5">
        <f t="shared" si="91"/>
      </c>
      <c r="D497" s="5">
        <f t="shared" si="92"/>
      </c>
      <c r="E497" s="70"/>
      <c r="F497" s="5">
        <f t="shared" si="93"/>
      </c>
      <c r="G497" s="5">
        <f t="shared" si="100"/>
      </c>
      <c r="H497" s="70">
        <f t="shared" si="96"/>
      </c>
      <c r="I497" s="5">
        <f t="shared" si="94"/>
        <v/>
      </c>
      <c r="J497" s="5">
        <f t="shared" si="97"/>
      </c>
      <c r="K497" s="5">
        <f t="shared" si="98"/>
      </c>
      <c r="L497" s="5">
        <f t="shared" si="101"/>
      </c>
      <c r="M497">
        <f t="shared" si="95"/>
      </c>
      <c r="N497" s="18">
        <f t="shared" si="99"/>
      </c>
    </row>
    <row r="498" spans="3:14" x14ac:dyDescent="0.3">
      <c r="C498" s="5">
        <f t="shared" si="91"/>
      </c>
      <c r="D498" s="5">
        <f t="shared" si="92"/>
      </c>
      <c r="E498" s="70"/>
      <c r="F498" s="5">
        <f t="shared" si="93"/>
      </c>
      <c r="G498" s="5">
        <f t="shared" si="100"/>
      </c>
      <c r="H498" s="70">
        <f t="shared" si="96"/>
      </c>
      <c r="I498" s="5">
        <f t="shared" si="94"/>
        <v/>
      </c>
      <c r="J498" s="5">
        <f t="shared" si="97"/>
      </c>
      <c r="K498" s="5">
        <f t="shared" si="98"/>
      </c>
      <c r="L498" s="5">
        <f t="shared" si="101"/>
      </c>
      <c r="M498">
        <f t="shared" si="95"/>
      </c>
      <c r="N498" s="18">
        <f t="shared" si="99"/>
      </c>
    </row>
    <row r="499" spans="3:14" x14ac:dyDescent="0.3">
      <c r="C499" s="5">
        <f t="shared" si="91"/>
      </c>
      <c r="D499" s="5">
        <f t="shared" si="92"/>
      </c>
      <c r="E499" s="70"/>
      <c r="F499" s="5">
        <f t="shared" si="93"/>
      </c>
      <c r="G499" s="5">
        <f t="shared" si="100"/>
      </c>
      <c r="H499" s="70">
        <f t="shared" si="96"/>
      </c>
      <c r="I499" s="5">
        <f t="shared" si="94"/>
        <v/>
      </c>
      <c r="J499" s="5">
        <f t="shared" si="97"/>
      </c>
      <c r="K499" s="5">
        <f t="shared" si="98"/>
      </c>
      <c r="L499" s="5">
        <f t="shared" si="101"/>
      </c>
      <c r="M499">
        <f t="shared" si="95"/>
      </c>
      <c r="N499" s="18">
        <f t="shared" si="99"/>
      </c>
    </row>
    <row r="500" spans="3:14" x14ac:dyDescent="0.3">
      <c r="C500" s="5">
        <f t="shared" si="91"/>
      </c>
      <c r="D500" s="5">
        <f t="shared" si="92"/>
      </c>
      <c r="E500" s="70"/>
      <c r="F500" s="5">
        <f t="shared" si="93"/>
      </c>
      <c r="G500" s="5">
        <f t="shared" si="100"/>
      </c>
      <c r="H500" s="70">
        <f t="shared" si="96"/>
      </c>
      <c r="I500" s="5">
        <f t="shared" si="94"/>
        <v/>
      </c>
      <c r="J500" s="5">
        <f t="shared" si="97"/>
      </c>
      <c r="K500" s="5">
        <f t="shared" si="98"/>
      </c>
      <c r="L500" s="5">
        <f t="shared" si="101"/>
      </c>
      <c r="M500">
        <f t="shared" si="95"/>
      </c>
      <c r="N500" s="18">
        <f t="shared" si="99"/>
      </c>
    </row>
    <row r="501" spans="3:14" x14ac:dyDescent="0.3">
      <c r="C501" s="5">
        <f t="shared" si="91"/>
      </c>
      <c r="D501" s="5">
        <f t="shared" si="92"/>
      </c>
      <c r="E501" s="70"/>
      <c r="F501" s="5">
        <f t="shared" si="93"/>
      </c>
      <c r="G501" s="5">
        <f t="shared" ref="G501:G564" si="102">IF(E501="упр","",IF(E501=0,F501,IF(E501="1,2,3","L1,L2,L3","L"&amp;E501)))</f>
      </c>
      <c r="H501" s="70">
        <f t="shared" ref="H501:H564" si="103">VLOOKUP(D501,Исходные_данные,5,FALSE)</f>
      </c>
      <c r="I501" s="5">
        <f t="shared" ref="I501:I564" si="104">IFERROR(VLOOKUP(D501,Исходные_данные,36,FALSE),"")</f>
        <v/>
      </c>
      <c r="J501" s="5">
        <f t="shared" ref="J501:J564" si="105">VLOOKUP(D501,Исходные_данные,46,FALSE)</f>
      </c>
      <c r="K501" s="5">
        <f t="shared" ref="K501:K564" si="106">VLOOKUP(D501,Исходные_данные,16,FALSE)</f>
      </c>
      <c r="L501" s="5">
        <f t="shared" ref="L501:L564" si="107">H501*K501</f>
      </c>
      <c r="M501">
        <f t="shared" ref="M501:M564" si="108">IF(ISBLANK(E501),M500,E501)</f>
      </c>
      <c r="N501" s="18">
        <f t="shared" ref="N501:N564" si="109">C501&amp;G501</f>
      </c>
    </row>
    <row r="502" spans="3:14" x14ac:dyDescent="0.3">
      <c r="C502" s="5">
        <f t="shared" si="91"/>
      </c>
      <c r="D502" s="5">
        <f t="shared" si="92"/>
      </c>
      <c r="E502" s="70"/>
      <c r="F502" s="5">
        <f t="shared" si="93"/>
      </c>
      <c r="G502" s="5">
        <f t="shared" si="102"/>
      </c>
      <c r="H502" s="70">
        <f t="shared" si="103"/>
      </c>
      <c r="I502" s="5">
        <f t="shared" si="104"/>
        <v/>
      </c>
      <c r="J502" s="5">
        <f t="shared" si="105"/>
      </c>
      <c r="K502" s="5">
        <f t="shared" si="106"/>
      </c>
      <c r="L502" s="5">
        <f t="shared" si="107"/>
      </c>
      <c r="M502">
        <f t="shared" si="108"/>
      </c>
      <c r="N502" s="18">
        <f t="shared" si="109"/>
      </c>
    </row>
    <row r="503" spans="3:14" x14ac:dyDescent="0.3">
      <c r="C503" s="5">
        <f t="shared" si="91"/>
      </c>
      <c r="D503" s="5">
        <f t="shared" si="92"/>
      </c>
      <c r="E503" s="70"/>
      <c r="F503" s="5">
        <f t="shared" si="93"/>
      </c>
      <c r="G503" s="5">
        <f t="shared" si="102"/>
      </c>
      <c r="H503" s="70">
        <f t="shared" si="103"/>
      </c>
      <c r="I503" s="5">
        <f t="shared" si="104"/>
        <v/>
      </c>
      <c r="J503" s="5">
        <f t="shared" si="105"/>
      </c>
      <c r="K503" s="5">
        <f t="shared" si="106"/>
      </c>
      <c r="L503" s="5">
        <f t="shared" si="107"/>
      </c>
      <c r="M503">
        <f t="shared" si="108"/>
      </c>
      <c r="N503" s="18">
        <f t="shared" si="109"/>
      </c>
    </row>
    <row r="504" spans="3:14" x14ac:dyDescent="0.3">
      <c r="C504" s="5">
        <f t="shared" si="91"/>
      </c>
      <c r="D504" s="5">
        <f t="shared" si="92"/>
      </c>
      <c r="E504" s="70"/>
      <c r="F504" s="5">
        <f t="shared" si="93"/>
      </c>
      <c r="G504" s="5">
        <f t="shared" si="102"/>
      </c>
      <c r="H504" s="70">
        <f t="shared" si="103"/>
      </c>
      <c r="I504" s="5">
        <f t="shared" si="104"/>
        <v/>
      </c>
      <c r="J504" s="5">
        <f t="shared" si="105"/>
      </c>
      <c r="K504" s="5">
        <f t="shared" si="106"/>
      </c>
      <c r="L504" s="5">
        <f t="shared" si="107"/>
      </c>
      <c r="M504">
        <f t="shared" si="108"/>
      </c>
      <c r="N504" s="18">
        <f t="shared" si="109"/>
      </c>
    </row>
    <row r="505" spans="3:14" x14ac:dyDescent="0.3">
      <c r="C505" s="5">
        <f t="shared" si="91"/>
      </c>
      <c r="D505" s="5">
        <f t="shared" si="92"/>
      </c>
      <c r="E505" s="70"/>
      <c r="F505" s="5">
        <f t="shared" si="93"/>
      </c>
      <c r="G505" s="5">
        <f t="shared" si="102"/>
      </c>
      <c r="H505" s="70">
        <f t="shared" si="103"/>
      </c>
      <c r="I505" s="5">
        <f t="shared" si="104"/>
        <v/>
      </c>
      <c r="J505" s="5">
        <f t="shared" si="105"/>
      </c>
      <c r="K505" s="5">
        <f t="shared" si="106"/>
      </c>
      <c r="L505" s="5">
        <f t="shared" si="107"/>
      </c>
      <c r="M505">
        <f t="shared" si="108"/>
      </c>
      <c r="N505" s="18">
        <f t="shared" si="109"/>
      </c>
    </row>
    <row r="506" spans="3:14" x14ac:dyDescent="0.3">
      <c r="C506" s="5">
        <f t="shared" si="91"/>
      </c>
      <c r="D506" s="5">
        <f t="shared" si="92"/>
      </c>
      <c r="E506" s="70"/>
      <c r="F506" s="5">
        <f t="shared" si="93"/>
      </c>
      <c r="G506" s="5">
        <f t="shared" si="102"/>
      </c>
      <c r="H506" s="70">
        <f t="shared" si="103"/>
      </c>
      <c r="I506" s="5">
        <f t="shared" si="104"/>
        <v/>
      </c>
      <c r="J506" s="5">
        <f t="shared" si="105"/>
      </c>
      <c r="K506" s="5">
        <f t="shared" si="106"/>
      </c>
      <c r="L506" s="5">
        <f t="shared" si="107"/>
      </c>
      <c r="M506">
        <f t="shared" si="108"/>
      </c>
      <c r="N506" s="18">
        <f t="shared" si="109"/>
      </c>
    </row>
    <row r="507" spans="3:14" x14ac:dyDescent="0.3">
      <c r="C507" s="5">
        <f t="shared" si="91"/>
      </c>
      <c r="D507" s="5">
        <f t="shared" si="92"/>
      </c>
      <c r="E507" s="70"/>
      <c r="F507" s="5">
        <f t="shared" si="93"/>
      </c>
      <c r="G507" s="5">
        <f t="shared" si="102"/>
      </c>
      <c r="H507" s="70">
        <f t="shared" si="103"/>
      </c>
      <c r="I507" s="5">
        <f t="shared" si="104"/>
        <v/>
      </c>
      <c r="J507" s="5">
        <f t="shared" si="105"/>
      </c>
      <c r="K507" s="5">
        <f t="shared" si="106"/>
      </c>
      <c r="L507" s="5">
        <f t="shared" si="107"/>
      </c>
      <c r="M507">
        <f t="shared" si="108"/>
      </c>
      <c r="N507" s="18">
        <f t="shared" si="109"/>
      </c>
    </row>
    <row r="508" spans="3:14" x14ac:dyDescent="0.3">
      <c r="C508" s="5">
        <f t="shared" si="91"/>
      </c>
      <c r="D508" s="5">
        <f t="shared" si="92"/>
      </c>
      <c r="E508" s="70"/>
      <c r="F508" s="5">
        <f t="shared" si="93"/>
      </c>
      <c r="G508" s="5">
        <f t="shared" si="102"/>
      </c>
      <c r="H508" s="70">
        <f t="shared" si="103"/>
      </c>
      <c r="I508" s="5">
        <f t="shared" si="104"/>
        <v/>
      </c>
      <c r="J508" s="5">
        <f t="shared" si="105"/>
      </c>
      <c r="K508" s="5">
        <f t="shared" si="106"/>
      </c>
      <c r="L508" s="5">
        <f t="shared" si="107"/>
      </c>
      <c r="M508">
        <f t="shared" si="108"/>
      </c>
      <c r="N508" s="18">
        <f t="shared" si="109"/>
      </c>
    </row>
    <row r="509" spans="3:14" x14ac:dyDescent="0.3">
      <c r="C509" s="5">
        <f t="shared" si="91"/>
      </c>
      <c r="D509" s="5">
        <f t="shared" si="92"/>
      </c>
      <c r="E509" s="70"/>
      <c r="F509" s="5">
        <f t="shared" si="93"/>
      </c>
      <c r="G509" s="5">
        <f t="shared" si="102"/>
      </c>
      <c r="H509" s="70">
        <f t="shared" si="103"/>
      </c>
      <c r="I509" s="5">
        <f t="shared" si="104"/>
        <v/>
      </c>
      <c r="J509" s="5">
        <f t="shared" si="105"/>
      </c>
      <c r="K509" s="5">
        <f t="shared" si="106"/>
      </c>
      <c r="L509" s="5">
        <f t="shared" si="107"/>
      </c>
      <c r="M509">
        <f t="shared" si="108"/>
      </c>
      <c r="N509" s="18">
        <f t="shared" si="109"/>
      </c>
    </row>
    <row r="510" spans="3:14" x14ac:dyDescent="0.3">
      <c r="C510" s="5">
        <f t="shared" si="91"/>
      </c>
      <c r="D510" s="5">
        <f t="shared" si="92"/>
      </c>
      <c r="E510" s="70"/>
      <c r="F510" s="5">
        <f t="shared" si="93"/>
      </c>
      <c r="G510" s="5">
        <f t="shared" si="102"/>
      </c>
      <c r="H510" s="70">
        <f t="shared" si="103"/>
      </c>
      <c r="I510" s="5">
        <f t="shared" si="104"/>
        <v/>
      </c>
      <c r="J510" s="5">
        <f t="shared" si="105"/>
      </c>
      <c r="K510" s="5">
        <f t="shared" si="106"/>
      </c>
      <c r="L510" s="5">
        <f t="shared" si="107"/>
      </c>
      <c r="M510">
        <f t="shared" si="108"/>
      </c>
      <c r="N510" s="18">
        <f t="shared" si="109"/>
      </c>
    </row>
    <row r="511" spans="3:14" x14ac:dyDescent="0.3">
      <c r="C511" s="5">
        <f t="shared" si="91"/>
      </c>
      <c r="D511" s="5">
        <f t="shared" si="92"/>
      </c>
      <c r="E511" s="70"/>
      <c r="F511" s="5">
        <f t="shared" si="93"/>
      </c>
      <c r="G511" s="5">
        <f t="shared" si="102"/>
      </c>
      <c r="H511" s="70">
        <f t="shared" si="103"/>
      </c>
      <c r="I511" s="5">
        <f t="shared" si="104"/>
        <v/>
      </c>
      <c r="J511" s="5">
        <f t="shared" si="105"/>
      </c>
      <c r="K511" s="5">
        <f t="shared" si="106"/>
      </c>
      <c r="L511" s="5">
        <f t="shared" si="107"/>
      </c>
      <c r="M511">
        <f t="shared" si="108"/>
      </c>
      <c r="N511" s="18">
        <f t="shared" si="109"/>
      </c>
    </row>
    <row r="512" spans="3:14" x14ac:dyDescent="0.3">
      <c r="C512" s="5">
        <f t="shared" si="91"/>
      </c>
      <c r="D512" s="5">
        <f t="shared" si="92"/>
      </c>
      <c r="E512" s="70"/>
      <c r="F512" s="5">
        <f t="shared" si="93"/>
      </c>
      <c r="G512" s="5">
        <f t="shared" si="102"/>
      </c>
      <c r="H512" s="70">
        <f t="shared" si="103"/>
      </c>
      <c r="I512" s="5">
        <f t="shared" si="104"/>
        <v/>
      </c>
      <c r="J512" s="5">
        <f t="shared" si="105"/>
      </c>
      <c r="K512" s="5">
        <f t="shared" si="106"/>
      </c>
      <c r="L512" s="5">
        <f t="shared" si="107"/>
      </c>
      <c r="M512">
        <f t="shared" si="108"/>
      </c>
      <c r="N512" s="18">
        <f t="shared" si="109"/>
      </c>
    </row>
    <row r="513" spans="3:14" x14ac:dyDescent="0.3">
      <c r="C513" s="5">
        <f t="shared" si="91"/>
      </c>
      <c r="D513" s="5">
        <f t="shared" si="92"/>
      </c>
      <c r="E513" s="70"/>
      <c r="F513" s="5">
        <f t="shared" si="93"/>
      </c>
      <c r="G513" s="5">
        <f t="shared" si="102"/>
      </c>
      <c r="H513" s="70">
        <f t="shared" si="103"/>
      </c>
      <c r="I513" s="5">
        <f t="shared" si="104"/>
        <v/>
      </c>
      <c r="J513" s="5">
        <f t="shared" si="105"/>
      </c>
      <c r="K513" s="5">
        <f t="shared" si="106"/>
      </c>
      <c r="L513" s="5">
        <f t="shared" si="107"/>
      </c>
      <c r="M513">
        <f t="shared" si="108"/>
      </c>
      <c r="N513" s="18">
        <f t="shared" si="109"/>
      </c>
    </row>
    <row r="514" spans="3:14" x14ac:dyDescent="0.3">
      <c r="C514" s="5">
        <f t="shared" si="91"/>
      </c>
      <c r="D514" s="5">
        <f t="shared" si="92"/>
      </c>
      <c r="E514" s="70"/>
      <c r="F514" s="5">
        <f t="shared" si="93"/>
      </c>
      <c r="G514" s="5">
        <f t="shared" si="102"/>
      </c>
      <c r="H514" s="70">
        <f t="shared" si="103"/>
      </c>
      <c r="I514" s="5">
        <f t="shared" si="104"/>
        <v/>
      </c>
      <c r="J514" s="5">
        <f t="shared" si="105"/>
      </c>
      <c r="K514" s="5">
        <f t="shared" si="106"/>
      </c>
      <c r="L514" s="5">
        <f t="shared" si="107"/>
      </c>
      <c r="M514">
        <f t="shared" si="108"/>
      </c>
      <c r="N514" s="18">
        <f t="shared" si="109"/>
      </c>
    </row>
    <row r="515" spans="3:14" x14ac:dyDescent="0.3">
      <c r="C515" s="5">
        <f t="shared" ref="C515:C578" si="110">VLOOKUP(ROW(513:513),Разбивка_нумерация_5,2,FALSE)</f>
      </c>
      <c r="D515" s="5">
        <f t="shared" ref="D515:D578" si="111">VLOOKUP(ROW(513:513),Разбивка_нумерация_5,4,FALSE)</f>
      </c>
      <c r="E515" s="70"/>
      <c r="F515" s="5">
        <f t="shared" ref="F515:F578" si="112">VLOOKUP(ROW(513:513),Разбивка_нумерация_5,16,FALSE)</f>
      </c>
      <c r="G515" s="5">
        <f t="shared" si="102"/>
      </c>
      <c r="H515" s="70">
        <f t="shared" si="103"/>
      </c>
      <c r="I515" s="5">
        <f t="shared" si="104"/>
        <v/>
      </c>
      <c r="J515" s="5">
        <f t="shared" si="105"/>
      </c>
      <c r="K515" s="5">
        <f t="shared" si="106"/>
      </c>
      <c r="L515" s="5">
        <f t="shared" si="107"/>
      </c>
      <c r="M515">
        <f t="shared" si="108"/>
      </c>
      <c r="N515" s="18">
        <f t="shared" si="109"/>
      </c>
    </row>
    <row r="516" spans="3:14" x14ac:dyDescent="0.3">
      <c r="C516" s="5">
        <f t="shared" si="110"/>
      </c>
      <c r="D516" s="5">
        <f t="shared" si="111"/>
      </c>
      <c r="E516" s="70"/>
      <c r="F516" s="5">
        <f t="shared" si="112"/>
      </c>
      <c r="G516" s="5">
        <f t="shared" si="102"/>
      </c>
      <c r="H516" s="70">
        <f t="shared" si="103"/>
      </c>
      <c r="I516" s="5">
        <f t="shared" si="104"/>
        <v/>
      </c>
      <c r="J516" s="5">
        <f t="shared" si="105"/>
      </c>
      <c r="K516" s="5">
        <f t="shared" si="106"/>
      </c>
      <c r="L516" s="5">
        <f t="shared" si="107"/>
      </c>
      <c r="M516">
        <f t="shared" si="108"/>
      </c>
      <c r="N516" s="18">
        <f t="shared" si="109"/>
      </c>
    </row>
    <row r="517" spans="3:14" x14ac:dyDescent="0.3">
      <c r="C517" s="5">
        <f t="shared" si="110"/>
      </c>
      <c r="D517" s="5">
        <f t="shared" si="111"/>
      </c>
      <c r="E517" s="70"/>
      <c r="F517" s="5">
        <f t="shared" si="112"/>
      </c>
      <c r="G517" s="5">
        <f t="shared" si="102"/>
      </c>
      <c r="H517" s="70">
        <f t="shared" si="103"/>
      </c>
      <c r="I517" s="5">
        <f t="shared" si="104"/>
        <v/>
      </c>
      <c r="J517" s="5">
        <f t="shared" si="105"/>
      </c>
      <c r="K517" s="5">
        <f t="shared" si="106"/>
      </c>
      <c r="L517" s="5">
        <f t="shared" si="107"/>
      </c>
      <c r="M517">
        <f t="shared" si="108"/>
      </c>
      <c r="N517" s="18">
        <f t="shared" si="109"/>
      </c>
    </row>
    <row r="518" spans="3:14" x14ac:dyDescent="0.3">
      <c r="C518" s="5">
        <f t="shared" si="110"/>
      </c>
      <c r="D518" s="5">
        <f t="shared" si="111"/>
      </c>
      <c r="E518" s="70"/>
      <c r="F518" s="5">
        <f t="shared" si="112"/>
      </c>
      <c r="G518" s="5">
        <f t="shared" si="102"/>
      </c>
      <c r="H518" s="70">
        <f t="shared" si="103"/>
      </c>
      <c r="I518" s="5">
        <f t="shared" si="104"/>
        <v/>
      </c>
      <c r="J518" s="5">
        <f t="shared" si="105"/>
      </c>
      <c r="K518" s="5">
        <f t="shared" si="106"/>
      </c>
      <c r="L518" s="5">
        <f t="shared" si="107"/>
      </c>
      <c r="M518">
        <f t="shared" si="108"/>
      </c>
      <c r="N518" s="18">
        <f t="shared" si="109"/>
      </c>
    </row>
    <row r="519" spans="3:14" x14ac:dyDescent="0.3">
      <c r="C519" s="5">
        <f t="shared" si="110"/>
      </c>
      <c r="D519" s="5">
        <f t="shared" si="111"/>
      </c>
      <c r="E519" s="70"/>
      <c r="F519" s="5">
        <f t="shared" si="112"/>
      </c>
      <c r="G519" s="5">
        <f t="shared" si="102"/>
      </c>
      <c r="H519" s="70">
        <f t="shared" si="103"/>
      </c>
      <c r="I519" s="5">
        <f t="shared" si="104"/>
        <v/>
      </c>
      <c r="J519" s="5">
        <f t="shared" si="105"/>
      </c>
      <c r="K519" s="5">
        <f t="shared" si="106"/>
      </c>
      <c r="L519" s="5">
        <f t="shared" si="107"/>
      </c>
      <c r="M519">
        <f t="shared" si="108"/>
      </c>
      <c r="N519" s="18">
        <f t="shared" si="109"/>
      </c>
    </row>
    <row r="520" spans="3:14" x14ac:dyDescent="0.3">
      <c r="C520" s="5">
        <f t="shared" si="110"/>
      </c>
      <c r="D520" s="5">
        <f t="shared" si="111"/>
      </c>
      <c r="E520" s="70"/>
      <c r="F520" s="5">
        <f t="shared" si="112"/>
      </c>
      <c r="G520" s="5">
        <f t="shared" si="102"/>
      </c>
      <c r="H520" s="70">
        <f t="shared" si="103"/>
      </c>
      <c r="I520" s="5">
        <f t="shared" si="104"/>
        <v/>
      </c>
      <c r="J520" s="5">
        <f t="shared" si="105"/>
      </c>
      <c r="K520" s="5">
        <f t="shared" si="106"/>
      </c>
      <c r="L520" s="5">
        <f t="shared" si="107"/>
      </c>
      <c r="M520">
        <f t="shared" si="108"/>
      </c>
      <c r="N520" s="18">
        <f t="shared" si="109"/>
      </c>
    </row>
    <row r="521" spans="3:14" x14ac:dyDescent="0.3">
      <c r="C521" s="5">
        <f t="shared" si="110"/>
      </c>
      <c r="D521" s="5">
        <f t="shared" si="111"/>
      </c>
      <c r="E521" s="70"/>
      <c r="F521" s="5">
        <f t="shared" si="112"/>
      </c>
      <c r="G521" s="5">
        <f t="shared" si="102"/>
      </c>
      <c r="H521" s="70">
        <f t="shared" si="103"/>
      </c>
      <c r="I521" s="5">
        <f t="shared" si="104"/>
        <v/>
      </c>
      <c r="J521" s="5">
        <f t="shared" si="105"/>
      </c>
      <c r="K521" s="5">
        <f t="shared" si="106"/>
      </c>
      <c r="L521" s="5">
        <f t="shared" si="107"/>
      </c>
      <c r="M521">
        <f t="shared" si="108"/>
      </c>
      <c r="N521" s="18">
        <f t="shared" si="109"/>
      </c>
    </row>
    <row r="522" spans="3:14" x14ac:dyDescent="0.3">
      <c r="C522" s="5">
        <f t="shared" si="110"/>
      </c>
      <c r="D522" s="5">
        <f t="shared" si="111"/>
      </c>
      <c r="E522" s="70"/>
      <c r="F522" s="5">
        <f t="shared" si="112"/>
      </c>
      <c r="G522" s="5">
        <f t="shared" si="102"/>
      </c>
      <c r="H522" s="70">
        <f t="shared" si="103"/>
      </c>
      <c r="I522" s="5">
        <f t="shared" si="104"/>
        <v/>
      </c>
      <c r="J522" s="5">
        <f t="shared" si="105"/>
      </c>
      <c r="K522" s="5">
        <f t="shared" si="106"/>
      </c>
      <c r="L522" s="5">
        <f t="shared" si="107"/>
      </c>
      <c r="M522">
        <f t="shared" si="108"/>
      </c>
      <c r="N522" s="18">
        <f t="shared" si="109"/>
      </c>
    </row>
    <row r="523" spans="3:14" x14ac:dyDescent="0.3">
      <c r="C523" s="5">
        <f t="shared" si="110"/>
      </c>
      <c r="D523" s="5">
        <f t="shared" si="111"/>
      </c>
      <c r="E523" s="70"/>
      <c r="F523" s="5">
        <f t="shared" si="112"/>
      </c>
      <c r="G523" s="5">
        <f t="shared" si="102"/>
      </c>
      <c r="H523" s="70">
        <f t="shared" si="103"/>
      </c>
      <c r="I523" s="5">
        <f t="shared" si="104"/>
        <v/>
      </c>
      <c r="J523" s="5">
        <f t="shared" si="105"/>
      </c>
      <c r="K523" s="5">
        <f t="shared" si="106"/>
      </c>
      <c r="L523" s="5">
        <f t="shared" si="107"/>
      </c>
      <c r="M523">
        <f t="shared" si="108"/>
      </c>
      <c r="N523" s="18">
        <f t="shared" si="109"/>
      </c>
    </row>
    <row r="524" spans="3:14" x14ac:dyDescent="0.3">
      <c r="C524" s="5">
        <f t="shared" si="110"/>
      </c>
      <c r="D524" s="5">
        <f t="shared" si="111"/>
      </c>
      <c r="E524" s="70"/>
      <c r="F524" s="5">
        <f t="shared" si="112"/>
      </c>
      <c r="G524" s="5">
        <f t="shared" si="102"/>
      </c>
      <c r="H524" s="70">
        <f t="shared" si="103"/>
      </c>
      <c r="I524" s="5">
        <f t="shared" si="104"/>
        <v/>
      </c>
      <c r="J524" s="5">
        <f t="shared" si="105"/>
      </c>
      <c r="K524" s="5">
        <f t="shared" si="106"/>
      </c>
      <c r="L524" s="5">
        <f t="shared" si="107"/>
      </c>
      <c r="M524">
        <f t="shared" si="108"/>
      </c>
      <c r="N524" s="18">
        <f t="shared" si="109"/>
      </c>
    </row>
    <row r="525" spans="3:14" x14ac:dyDescent="0.3">
      <c r="C525" s="5">
        <f t="shared" si="110"/>
      </c>
      <c r="D525" s="5">
        <f t="shared" si="111"/>
      </c>
      <c r="E525" s="70"/>
      <c r="F525" s="5">
        <f t="shared" si="112"/>
      </c>
      <c r="G525" s="5">
        <f t="shared" si="102"/>
      </c>
      <c r="H525" s="70">
        <f t="shared" si="103"/>
      </c>
      <c r="I525" s="5">
        <f t="shared" si="104"/>
        <v/>
      </c>
      <c r="J525" s="5">
        <f t="shared" si="105"/>
      </c>
      <c r="K525" s="5">
        <f t="shared" si="106"/>
      </c>
      <c r="L525" s="5">
        <f t="shared" si="107"/>
      </c>
      <c r="M525">
        <f t="shared" si="108"/>
      </c>
      <c r="N525" s="18">
        <f t="shared" si="109"/>
      </c>
    </row>
    <row r="526" spans="3:14" x14ac:dyDescent="0.3">
      <c r="C526" s="5">
        <f t="shared" si="110"/>
      </c>
      <c r="D526" s="5">
        <f t="shared" si="111"/>
      </c>
      <c r="E526" s="70"/>
      <c r="F526" s="5">
        <f t="shared" si="112"/>
      </c>
      <c r="G526" s="5">
        <f t="shared" si="102"/>
      </c>
      <c r="H526" s="70">
        <f t="shared" si="103"/>
      </c>
      <c r="I526" s="5">
        <f t="shared" si="104"/>
        <v/>
      </c>
      <c r="J526" s="5">
        <f t="shared" si="105"/>
      </c>
      <c r="K526" s="5">
        <f t="shared" si="106"/>
      </c>
      <c r="L526" s="5">
        <f t="shared" si="107"/>
      </c>
      <c r="M526">
        <f t="shared" si="108"/>
      </c>
      <c r="N526" s="18">
        <f t="shared" si="109"/>
      </c>
    </row>
    <row r="527" spans="3:14" x14ac:dyDescent="0.3">
      <c r="C527" s="5">
        <f t="shared" si="110"/>
      </c>
      <c r="D527" s="5">
        <f t="shared" si="111"/>
      </c>
      <c r="E527" s="70"/>
      <c r="F527" s="5">
        <f t="shared" si="112"/>
      </c>
      <c r="G527" s="5">
        <f t="shared" si="102"/>
      </c>
      <c r="H527" s="70">
        <f t="shared" si="103"/>
      </c>
      <c r="I527" s="5">
        <f t="shared" si="104"/>
        <v/>
      </c>
      <c r="J527" s="5">
        <f t="shared" si="105"/>
      </c>
      <c r="K527" s="5">
        <f t="shared" si="106"/>
      </c>
      <c r="L527" s="5">
        <f t="shared" si="107"/>
      </c>
      <c r="M527">
        <f t="shared" si="108"/>
      </c>
      <c r="N527" s="18">
        <f t="shared" si="109"/>
      </c>
    </row>
    <row r="528" spans="3:14" x14ac:dyDescent="0.3">
      <c r="C528" s="5">
        <f t="shared" si="110"/>
      </c>
      <c r="D528" s="5">
        <f t="shared" si="111"/>
      </c>
      <c r="E528" s="70"/>
      <c r="F528" s="5">
        <f t="shared" si="112"/>
      </c>
      <c r="G528" s="5">
        <f t="shared" si="102"/>
      </c>
      <c r="H528" s="70">
        <f t="shared" si="103"/>
      </c>
      <c r="I528" s="5">
        <f t="shared" si="104"/>
        <v/>
      </c>
      <c r="J528" s="5">
        <f t="shared" si="105"/>
      </c>
      <c r="K528" s="5">
        <f t="shared" si="106"/>
      </c>
      <c r="L528" s="5">
        <f t="shared" si="107"/>
      </c>
      <c r="M528">
        <f t="shared" si="108"/>
      </c>
      <c r="N528" s="18">
        <f t="shared" si="109"/>
      </c>
    </row>
    <row r="529" spans="3:14" x14ac:dyDescent="0.3">
      <c r="C529" s="5">
        <f t="shared" si="110"/>
      </c>
      <c r="D529" s="5">
        <f t="shared" si="111"/>
      </c>
      <c r="E529" s="70"/>
      <c r="F529" s="5">
        <f t="shared" si="112"/>
      </c>
      <c r="G529" s="5">
        <f t="shared" si="102"/>
      </c>
      <c r="H529" s="70">
        <f t="shared" si="103"/>
      </c>
      <c r="I529" s="5">
        <f t="shared" si="104"/>
        <v/>
      </c>
      <c r="J529" s="5">
        <f t="shared" si="105"/>
      </c>
      <c r="K529" s="5">
        <f t="shared" si="106"/>
      </c>
      <c r="L529" s="5">
        <f t="shared" si="107"/>
      </c>
      <c r="M529">
        <f t="shared" si="108"/>
      </c>
      <c r="N529" s="18">
        <f t="shared" si="109"/>
      </c>
    </row>
    <row r="530" spans="3:14" x14ac:dyDescent="0.3">
      <c r="C530" s="5">
        <f t="shared" si="110"/>
      </c>
      <c r="D530" s="5">
        <f t="shared" si="111"/>
      </c>
      <c r="E530" s="70"/>
      <c r="F530" s="5">
        <f t="shared" si="112"/>
      </c>
      <c r="G530" s="5">
        <f t="shared" si="102"/>
      </c>
      <c r="H530" s="70">
        <f t="shared" si="103"/>
      </c>
      <c r="I530" s="5">
        <f t="shared" si="104"/>
        <v/>
      </c>
      <c r="J530" s="5">
        <f t="shared" si="105"/>
      </c>
      <c r="K530" s="5">
        <f t="shared" si="106"/>
      </c>
      <c r="L530" s="5">
        <f t="shared" si="107"/>
      </c>
      <c r="M530">
        <f t="shared" si="108"/>
      </c>
      <c r="N530" s="18">
        <f t="shared" si="109"/>
      </c>
    </row>
    <row r="531" spans="3:14" x14ac:dyDescent="0.3">
      <c r="C531" s="5">
        <f t="shared" si="110"/>
      </c>
      <c r="D531" s="5">
        <f t="shared" si="111"/>
      </c>
      <c r="E531" s="70"/>
      <c r="F531" s="5">
        <f t="shared" si="112"/>
      </c>
      <c r="G531" s="5">
        <f t="shared" si="102"/>
      </c>
      <c r="H531" s="70">
        <f t="shared" si="103"/>
      </c>
      <c r="I531" s="5">
        <f t="shared" si="104"/>
        <v/>
      </c>
      <c r="J531" s="5">
        <f t="shared" si="105"/>
      </c>
      <c r="K531" s="5">
        <f t="shared" si="106"/>
      </c>
      <c r="L531" s="5">
        <f t="shared" si="107"/>
      </c>
      <c r="M531">
        <f t="shared" si="108"/>
      </c>
      <c r="N531" s="18">
        <f t="shared" si="109"/>
      </c>
    </row>
    <row r="532" spans="3:14" x14ac:dyDescent="0.3">
      <c r="C532" s="5">
        <f t="shared" si="110"/>
      </c>
      <c r="D532" s="5">
        <f t="shared" si="111"/>
      </c>
      <c r="E532" s="70"/>
      <c r="F532" s="5">
        <f t="shared" si="112"/>
      </c>
      <c r="G532" s="5">
        <f t="shared" si="102"/>
      </c>
      <c r="H532" s="70">
        <f t="shared" si="103"/>
      </c>
      <c r="I532" s="5">
        <f t="shared" si="104"/>
        <v/>
      </c>
      <c r="J532" s="5">
        <f t="shared" si="105"/>
      </c>
      <c r="K532" s="5">
        <f t="shared" si="106"/>
      </c>
      <c r="L532" s="5">
        <f t="shared" si="107"/>
      </c>
      <c r="M532">
        <f t="shared" si="108"/>
      </c>
      <c r="N532" s="18">
        <f t="shared" si="109"/>
      </c>
    </row>
    <row r="533" spans="3:14" x14ac:dyDescent="0.3">
      <c r="C533" s="5">
        <f t="shared" si="110"/>
      </c>
      <c r="D533" s="5">
        <f t="shared" si="111"/>
      </c>
      <c r="E533" s="70"/>
      <c r="F533" s="5">
        <f t="shared" si="112"/>
      </c>
      <c r="G533" s="5">
        <f t="shared" si="102"/>
      </c>
      <c r="H533" s="70">
        <f t="shared" si="103"/>
      </c>
      <c r="I533" s="5">
        <f t="shared" si="104"/>
        <v/>
      </c>
      <c r="J533" s="5">
        <f t="shared" si="105"/>
      </c>
      <c r="K533" s="5">
        <f t="shared" si="106"/>
      </c>
      <c r="L533" s="5">
        <f t="shared" si="107"/>
      </c>
      <c r="M533">
        <f t="shared" si="108"/>
      </c>
      <c r="N533" s="18">
        <f t="shared" si="109"/>
      </c>
    </row>
    <row r="534" spans="3:14" x14ac:dyDescent="0.3">
      <c r="C534" s="5">
        <f t="shared" si="110"/>
      </c>
      <c r="D534" s="5">
        <f t="shared" si="111"/>
      </c>
      <c r="E534" s="70"/>
      <c r="F534" s="5">
        <f t="shared" si="112"/>
      </c>
      <c r="G534" s="5">
        <f t="shared" si="102"/>
      </c>
      <c r="H534" s="70">
        <f t="shared" si="103"/>
      </c>
      <c r="I534" s="5">
        <f t="shared" si="104"/>
        <v/>
      </c>
      <c r="J534" s="5">
        <f t="shared" si="105"/>
      </c>
      <c r="K534" s="5">
        <f t="shared" si="106"/>
      </c>
      <c r="L534" s="5">
        <f t="shared" si="107"/>
      </c>
      <c r="M534">
        <f t="shared" si="108"/>
      </c>
      <c r="N534" s="18">
        <f t="shared" si="109"/>
      </c>
    </row>
    <row r="535" spans="3:14" x14ac:dyDescent="0.3">
      <c r="C535" s="5">
        <f t="shared" si="110"/>
      </c>
      <c r="D535" s="5">
        <f t="shared" si="111"/>
      </c>
      <c r="E535" s="70"/>
      <c r="F535" s="5">
        <f t="shared" si="112"/>
      </c>
      <c r="G535" s="5">
        <f t="shared" si="102"/>
      </c>
      <c r="H535" s="70">
        <f t="shared" si="103"/>
      </c>
      <c r="I535" s="5">
        <f t="shared" si="104"/>
        <v/>
      </c>
      <c r="J535" s="5">
        <f t="shared" si="105"/>
      </c>
      <c r="K535" s="5">
        <f t="shared" si="106"/>
      </c>
      <c r="L535" s="5">
        <f t="shared" si="107"/>
      </c>
      <c r="M535">
        <f t="shared" si="108"/>
      </c>
      <c r="N535" s="18">
        <f t="shared" si="109"/>
      </c>
    </row>
    <row r="536" spans="3:14" x14ac:dyDescent="0.3">
      <c r="C536" s="5">
        <f t="shared" si="110"/>
      </c>
      <c r="D536" s="5">
        <f t="shared" si="111"/>
      </c>
      <c r="E536" s="70"/>
      <c r="F536" s="5">
        <f t="shared" si="112"/>
      </c>
      <c r="G536" s="5">
        <f t="shared" si="102"/>
      </c>
      <c r="H536" s="70">
        <f t="shared" si="103"/>
      </c>
      <c r="I536" s="5">
        <f t="shared" si="104"/>
        <v/>
      </c>
      <c r="J536" s="5">
        <f t="shared" si="105"/>
      </c>
      <c r="K536" s="5">
        <f t="shared" si="106"/>
      </c>
      <c r="L536" s="5">
        <f t="shared" si="107"/>
      </c>
      <c r="M536">
        <f t="shared" si="108"/>
      </c>
      <c r="N536" s="18">
        <f t="shared" si="109"/>
      </c>
    </row>
    <row r="537" spans="3:14" x14ac:dyDescent="0.3">
      <c r="C537" s="5">
        <f t="shared" si="110"/>
      </c>
      <c r="D537" s="5">
        <f t="shared" si="111"/>
      </c>
      <c r="E537" s="70"/>
      <c r="F537" s="5">
        <f t="shared" si="112"/>
      </c>
      <c r="G537" s="5">
        <f t="shared" si="102"/>
      </c>
      <c r="H537" s="70">
        <f t="shared" si="103"/>
      </c>
      <c r="I537" s="5">
        <f t="shared" si="104"/>
        <v/>
      </c>
      <c r="J537" s="5">
        <f t="shared" si="105"/>
      </c>
      <c r="K537" s="5">
        <f t="shared" si="106"/>
      </c>
      <c r="L537" s="5">
        <f t="shared" si="107"/>
      </c>
      <c r="M537">
        <f t="shared" si="108"/>
      </c>
      <c r="N537" s="18">
        <f t="shared" si="109"/>
      </c>
    </row>
    <row r="538" spans="3:14" x14ac:dyDescent="0.3">
      <c r="C538" s="5">
        <f t="shared" si="110"/>
      </c>
      <c r="D538" s="5">
        <f t="shared" si="111"/>
      </c>
      <c r="E538" s="70"/>
      <c r="F538" s="5">
        <f t="shared" si="112"/>
      </c>
      <c r="G538" s="5">
        <f t="shared" si="102"/>
      </c>
      <c r="H538" s="70">
        <f t="shared" si="103"/>
      </c>
      <c r="I538" s="5">
        <f t="shared" si="104"/>
        <v/>
      </c>
      <c r="J538" s="5">
        <f t="shared" si="105"/>
      </c>
      <c r="K538" s="5">
        <f t="shared" si="106"/>
      </c>
      <c r="L538" s="5">
        <f t="shared" si="107"/>
      </c>
      <c r="M538">
        <f t="shared" si="108"/>
      </c>
      <c r="N538" s="18">
        <f t="shared" si="109"/>
      </c>
    </row>
    <row r="539" spans="3:14" x14ac:dyDescent="0.3">
      <c r="C539" s="5">
        <f t="shared" si="110"/>
      </c>
      <c r="D539" s="5">
        <f t="shared" si="111"/>
      </c>
      <c r="E539" s="70"/>
      <c r="F539" s="5">
        <f t="shared" si="112"/>
      </c>
      <c r="G539" s="5">
        <f t="shared" si="102"/>
      </c>
      <c r="H539" s="70">
        <f t="shared" si="103"/>
      </c>
      <c r="I539" s="5">
        <f t="shared" si="104"/>
        <v/>
      </c>
      <c r="J539" s="5">
        <f t="shared" si="105"/>
      </c>
      <c r="K539" s="5">
        <f t="shared" si="106"/>
      </c>
      <c r="L539" s="5">
        <f t="shared" si="107"/>
      </c>
      <c r="M539">
        <f t="shared" si="108"/>
      </c>
      <c r="N539" s="18">
        <f t="shared" si="109"/>
      </c>
    </row>
    <row r="540" spans="3:14" x14ac:dyDescent="0.3">
      <c r="C540" s="5">
        <f t="shared" si="110"/>
      </c>
      <c r="D540" s="5">
        <f t="shared" si="111"/>
      </c>
      <c r="E540" s="70"/>
      <c r="F540" s="5">
        <f t="shared" si="112"/>
      </c>
      <c r="G540" s="5">
        <f t="shared" si="102"/>
      </c>
      <c r="H540" s="70">
        <f t="shared" si="103"/>
      </c>
      <c r="I540" s="5">
        <f t="shared" si="104"/>
        <v/>
      </c>
      <c r="J540" s="5">
        <f t="shared" si="105"/>
      </c>
      <c r="K540" s="5">
        <f t="shared" si="106"/>
      </c>
      <c r="L540" s="5">
        <f t="shared" si="107"/>
      </c>
      <c r="M540">
        <f t="shared" si="108"/>
      </c>
      <c r="N540" s="18">
        <f t="shared" si="109"/>
      </c>
    </row>
    <row r="541" spans="3:14" x14ac:dyDescent="0.3">
      <c r="C541" s="5">
        <f t="shared" si="110"/>
      </c>
      <c r="D541" s="5">
        <f t="shared" si="111"/>
      </c>
      <c r="E541" s="70"/>
      <c r="F541" s="5">
        <f t="shared" si="112"/>
      </c>
      <c r="G541" s="5">
        <f t="shared" si="102"/>
      </c>
      <c r="H541" s="70">
        <f t="shared" si="103"/>
      </c>
      <c r="I541" s="5">
        <f t="shared" si="104"/>
        <v/>
      </c>
      <c r="J541" s="5">
        <f t="shared" si="105"/>
      </c>
      <c r="K541" s="5">
        <f t="shared" si="106"/>
      </c>
      <c r="L541" s="5">
        <f t="shared" si="107"/>
      </c>
      <c r="M541">
        <f t="shared" si="108"/>
      </c>
      <c r="N541" s="18">
        <f t="shared" si="109"/>
      </c>
    </row>
    <row r="542" spans="3:14" x14ac:dyDescent="0.3">
      <c r="C542" s="5">
        <f t="shared" si="110"/>
      </c>
      <c r="D542" s="5">
        <f t="shared" si="111"/>
      </c>
      <c r="E542" s="70"/>
      <c r="F542" s="5">
        <f t="shared" si="112"/>
      </c>
      <c r="G542" s="5">
        <f t="shared" si="102"/>
      </c>
      <c r="H542" s="70">
        <f t="shared" si="103"/>
      </c>
      <c r="I542" s="5">
        <f t="shared" si="104"/>
        <v/>
      </c>
      <c r="J542" s="5">
        <f t="shared" si="105"/>
      </c>
      <c r="K542" s="5">
        <f t="shared" si="106"/>
      </c>
      <c r="L542" s="5">
        <f t="shared" si="107"/>
      </c>
      <c r="M542">
        <f t="shared" si="108"/>
      </c>
      <c r="N542" s="18">
        <f t="shared" si="109"/>
      </c>
    </row>
    <row r="543" spans="3:14" x14ac:dyDescent="0.3">
      <c r="C543" s="5">
        <f t="shared" si="110"/>
      </c>
      <c r="D543" s="5">
        <f t="shared" si="111"/>
      </c>
      <c r="E543" s="70"/>
      <c r="F543" s="5">
        <f t="shared" si="112"/>
      </c>
      <c r="G543" s="5">
        <f t="shared" si="102"/>
      </c>
      <c r="H543" s="70">
        <f t="shared" si="103"/>
      </c>
      <c r="I543" s="5">
        <f t="shared" si="104"/>
        <v/>
      </c>
      <c r="J543" s="5">
        <f t="shared" si="105"/>
      </c>
      <c r="K543" s="5">
        <f t="shared" si="106"/>
      </c>
      <c r="L543" s="5">
        <f t="shared" si="107"/>
      </c>
      <c r="M543">
        <f t="shared" si="108"/>
      </c>
      <c r="N543" s="18">
        <f t="shared" si="109"/>
      </c>
    </row>
    <row r="544" spans="3:14" x14ac:dyDescent="0.3">
      <c r="C544" s="5">
        <f t="shared" si="110"/>
      </c>
      <c r="D544" s="5">
        <f t="shared" si="111"/>
      </c>
      <c r="E544" s="70"/>
      <c r="F544" s="5">
        <f t="shared" si="112"/>
      </c>
      <c r="G544" s="5">
        <f t="shared" si="102"/>
      </c>
      <c r="H544" s="70">
        <f t="shared" si="103"/>
      </c>
      <c r="I544" s="5">
        <f t="shared" si="104"/>
        <v/>
      </c>
      <c r="J544" s="5">
        <f t="shared" si="105"/>
      </c>
      <c r="K544" s="5">
        <f t="shared" si="106"/>
      </c>
      <c r="L544" s="5">
        <f t="shared" si="107"/>
      </c>
      <c r="M544">
        <f t="shared" si="108"/>
      </c>
      <c r="N544" s="18">
        <f t="shared" si="109"/>
      </c>
    </row>
    <row r="545" spans="3:14" x14ac:dyDescent="0.3">
      <c r="C545" s="5">
        <f t="shared" si="110"/>
      </c>
      <c r="D545" s="5">
        <f t="shared" si="111"/>
      </c>
      <c r="E545" s="70"/>
      <c r="F545" s="5">
        <f t="shared" si="112"/>
      </c>
      <c r="G545" s="5">
        <f t="shared" si="102"/>
      </c>
      <c r="H545" s="70">
        <f t="shared" si="103"/>
      </c>
      <c r="I545" s="5">
        <f t="shared" si="104"/>
        <v/>
      </c>
      <c r="J545" s="5">
        <f t="shared" si="105"/>
      </c>
      <c r="K545" s="5">
        <f t="shared" si="106"/>
      </c>
      <c r="L545" s="5">
        <f t="shared" si="107"/>
      </c>
      <c r="M545">
        <f t="shared" si="108"/>
      </c>
      <c r="N545" s="18">
        <f t="shared" si="109"/>
      </c>
    </row>
    <row r="546" spans="3:14" x14ac:dyDescent="0.3">
      <c r="C546" s="5">
        <f t="shared" si="110"/>
      </c>
      <c r="D546" s="5">
        <f t="shared" si="111"/>
      </c>
      <c r="E546" s="70"/>
      <c r="F546" s="5">
        <f t="shared" si="112"/>
      </c>
      <c r="G546" s="5">
        <f t="shared" si="102"/>
      </c>
      <c r="H546" s="70">
        <f t="shared" si="103"/>
      </c>
      <c r="I546" s="5">
        <f t="shared" si="104"/>
        <v/>
      </c>
      <c r="J546" s="5">
        <f t="shared" si="105"/>
      </c>
      <c r="K546" s="5">
        <f t="shared" si="106"/>
      </c>
      <c r="L546" s="5">
        <f t="shared" si="107"/>
      </c>
      <c r="M546">
        <f t="shared" si="108"/>
      </c>
      <c r="N546" s="18">
        <f t="shared" si="109"/>
      </c>
    </row>
    <row r="547" spans="3:14" x14ac:dyDescent="0.3">
      <c r="C547" s="5">
        <f t="shared" si="110"/>
      </c>
      <c r="D547" s="5">
        <f t="shared" si="111"/>
      </c>
      <c r="E547" s="70"/>
      <c r="F547" s="5">
        <f t="shared" si="112"/>
      </c>
      <c r="G547" s="5">
        <f t="shared" si="102"/>
      </c>
      <c r="H547" s="70">
        <f t="shared" si="103"/>
      </c>
      <c r="I547" s="5">
        <f t="shared" si="104"/>
        <v/>
      </c>
      <c r="J547" s="5">
        <f t="shared" si="105"/>
      </c>
      <c r="K547" s="5">
        <f t="shared" si="106"/>
      </c>
      <c r="L547" s="5">
        <f t="shared" si="107"/>
      </c>
      <c r="M547">
        <f t="shared" si="108"/>
      </c>
      <c r="N547" s="18">
        <f t="shared" si="109"/>
      </c>
    </row>
    <row r="548" spans="3:14" x14ac:dyDescent="0.3">
      <c r="C548" s="5">
        <f t="shared" si="110"/>
      </c>
      <c r="D548" s="5">
        <f t="shared" si="111"/>
      </c>
      <c r="E548" s="70"/>
      <c r="F548" s="5">
        <f t="shared" si="112"/>
      </c>
      <c r="G548" s="5">
        <f t="shared" si="102"/>
      </c>
      <c r="H548" s="70">
        <f t="shared" si="103"/>
      </c>
      <c r="I548" s="5">
        <f t="shared" si="104"/>
        <v/>
      </c>
      <c r="J548" s="5">
        <f t="shared" si="105"/>
      </c>
      <c r="K548" s="5">
        <f t="shared" si="106"/>
      </c>
      <c r="L548" s="5">
        <f t="shared" si="107"/>
      </c>
      <c r="M548">
        <f t="shared" si="108"/>
      </c>
      <c r="N548" s="18">
        <f t="shared" si="109"/>
      </c>
    </row>
    <row r="549" spans="3:14" x14ac:dyDescent="0.3">
      <c r="C549" s="5">
        <f t="shared" si="110"/>
      </c>
      <c r="D549" s="5">
        <f t="shared" si="111"/>
      </c>
      <c r="E549" s="70"/>
      <c r="F549" s="5">
        <f t="shared" si="112"/>
      </c>
      <c r="G549" s="5">
        <f t="shared" si="102"/>
      </c>
      <c r="H549" s="70">
        <f t="shared" si="103"/>
      </c>
      <c r="I549" s="5">
        <f t="shared" si="104"/>
        <v/>
      </c>
      <c r="J549" s="5">
        <f t="shared" si="105"/>
      </c>
      <c r="K549" s="5">
        <f t="shared" si="106"/>
      </c>
      <c r="L549" s="5">
        <f t="shared" si="107"/>
      </c>
      <c r="M549">
        <f t="shared" si="108"/>
      </c>
      <c r="N549" s="18">
        <f t="shared" si="109"/>
      </c>
    </row>
    <row r="550" spans="3:14" x14ac:dyDescent="0.3">
      <c r="C550" s="5">
        <f t="shared" si="110"/>
      </c>
      <c r="D550" s="5">
        <f t="shared" si="111"/>
      </c>
      <c r="E550" s="70"/>
      <c r="F550" s="5">
        <f t="shared" si="112"/>
      </c>
      <c r="G550" s="5">
        <f t="shared" si="102"/>
      </c>
      <c r="H550" s="70">
        <f t="shared" si="103"/>
      </c>
      <c r="I550" s="5">
        <f t="shared" si="104"/>
        <v/>
      </c>
      <c r="J550" s="5">
        <f t="shared" si="105"/>
      </c>
      <c r="K550" s="5">
        <f t="shared" si="106"/>
      </c>
      <c r="L550" s="5">
        <f t="shared" si="107"/>
      </c>
      <c r="M550">
        <f t="shared" si="108"/>
      </c>
      <c r="N550" s="18">
        <f t="shared" si="109"/>
      </c>
    </row>
    <row r="551" spans="3:14" x14ac:dyDescent="0.3">
      <c r="C551" s="5">
        <f t="shared" si="110"/>
      </c>
      <c r="D551" s="5">
        <f t="shared" si="111"/>
      </c>
      <c r="E551" s="70"/>
      <c r="F551" s="5">
        <f t="shared" si="112"/>
      </c>
      <c r="G551" s="5">
        <f t="shared" si="102"/>
      </c>
      <c r="H551" s="70">
        <f t="shared" si="103"/>
      </c>
      <c r="I551" s="5">
        <f t="shared" si="104"/>
        <v/>
      </c>
      <c r="J551" s="5">
        <f t="shared" si="105"/>
      </c>
      <c r="K551" s="5">
        <f t="shared" si="106"/>
      </c>
      <c r="L551" s="5">
        <f t="shared" si="107"/>
      </c>
      <c r="M551">
        <f t="shared" si="108"/>
      </c>
      <c r="N551" s="18">
        <f t="shared" si="109"/>
      </c>
    </row>
    <row r="552" spans="3:14" x14ac:dyDescent="0.3">
      <c r="C552" s="5">
        <f t="shared" si="110"/>
      </c>
      <c r="D552" s="5">
        <f t="shared" si="111"/>
      </c>
      <c r="E552" s="70"/>
      <c r="F552" s="5">
        <f t="shared" si="112"/>
      </c>
      <c r="G552" s="5">
        <f t="shared" si="102"/>
      </c>
      <c r="H552" s="70">
        <f t="shared" si="103"/>
      </c>
      <c r="I552" s="5">
        <f t="shared" si="104"/>
        <v/>
      </c>
      <c r="J552" s="5">
        <f t="shared" si="105"/>
      </c>
      <c r="K552" s="5">
        <f t="shared" si="106"/>
      </c>
      <c r="L552" s="5">
        <f t="shared" si="107"/>
      </c>
      <c r="M552">
        <f t="shared" si="108"/>
      </c>
      <c r="N552" s="18">
        <f t="shared" si="109"/>
      </c>
    </row>
    <row r="553" spans="3:14" x14ac:dyDescent="0.3">
      <c r="C553" s="5">
        <f t="shared" si="110"/>
      </c>
      <c r="D553" s="5">
        <f t="shared" si="111"/>
      </c>
      <c r="E553" s="70"/>
      <c r="F553" s="5">
        <f t="shared" si="112"/>
      </c>
      <c r="G553" s="5">
        <f t="shared" si="102"/>
      </c>
      <c r="H553" s="70">
        <f t="shared" si="103"/>
      </c>
      <c r="I553" s="5">
        <f t="shared" si="104"/>
        <v/>
      </c>
      <c r="J553" s="5">
        <f t="shared" si="105"/>
      </c>
      <c r="K553" s="5">
        <f t="shared" si="106"/>
      </c>
      <c r="L553" s="5">
        <f t="shared" si="107"/>
      </c>
      <c r="M553">
        <f t="shared" si="108"/>
      </c>
      <c r="N553" s="18">
        <f t="shared" si="109"/>
      </c>
    </row>
    <row r="554" spans="3:14" x14ac:dyDescent="0.3">
      <c r="C554" s="5">
        <f t="shared" si="110"/>
      </c>
      <c r="D554" s="5">
        <f t="shared" si="111"/>
      </c>
      <c r="E554" s="70"/>
      <c r="F554" s="5">
        <f t="shared" si="112"/>
      </c>
      <c r="G554" s="5">
        <f t="shared" si="102"/>
      </c>
      <c r="H554" s="70">
        <f t="shared" si="103"/>
      </c>
      <c r="I554" s="5">
        <f t="shared" si="104"/>
        <v/>
      </c>
      <c r="J554" s="5">
        <f t="shared" si="105"/>
      </c>
      <c r="K554" s="5">
        <f t="shared" si="106"/>
      </c>
      <c r="L554" s="5">
        <f t="shared" si="107"/>
      </c>
      <c r="M554">
        <f t="shared" si="108"/>
      </c>
      <c r="N554" s="18">
        <f t="shared" si="109"/>
      </c>
    </row>
    <row r="555" spans="3:14" x14ac:dyDescent="0.3">
      <c r="C555" s="5">
        <f t="shared" si="110"/>
      </c>
      <c r="D555" s="5">
        <f t="shared" si="111"/>
      </c>
      <c r="E555" s="70"/>
      <c r="F555" s="5">
        <f t="shared" si="112"/>
      </c>
      <c r="G555" s="5">
        <f t="shared" si="102"/>
      </c>
      <c r="H555" s="70">
        <f t="shared" si="103"/>
      </c>
      <c r="I555" s="5">
        <f t="shared" si="104"/>
        <v/>
      </c>
      <c r="J555" s="5">
        <f t="shared" si="105"/>
      </c>
      <c r="K555" s="5">
        <f t="shared" si="106"/>
      </c>
      <c r="L555" s="5">
        <f t="shared" si="107"/>
      </c>
      <c r="M555">
        <f t="shared" si="108"/>
      </c>
      <c r="N555" s="18">
        <f t="shared" si="109"/>
      </c>
    </row>
    <row r="556" spans="3:14" x14ac:dyDescent="0.3">
      <c r="C556" s="5">
        <f t="shared" si="110"/>
      </c>
      <c r="D556" s="5">
        <f t="shared" si="111"/>
      </c>
      <c r="E556" s="70"/>
      <c r="F556" s="5">
        <f t="shared" si="112"/>
      </c>
      <c r="G556" s="5">
        <f t="shared" si="102"/>
      </c>
      <c r="H556" s="70">
        <f t="shared" si="103"/>
      </c>
      <c r="I556" s="5">
        <f t="shared" si="104"/>
        <v/>
      </c>
      <c r="J556" s="5">
        <f t="shared" si="105"/>
      </c>
      <c r="K556" s="5">
        <f t="shared" si="106"/>
      </c>
      <c r="L556" s="5">
        <f t="shared" si="107"/>
      </c>
      <c r="M556">
        <f t="shared" si="108"/>
      </c>
      <c r="N556" s="18">
        <f t="shared" si="109"/>
      </c>
    </row>
    <row r="557" spans="3:14" x14ac:dyDescent="0.3">
      <c r="C557" s="5">
        <f t="shared" si="110"/>
      </c>
      <c r="D557" s="5">
        <f t="shared" si="111"/>
      </c>
      <c r="E557" s="70"/>
      <c r="F557" s="5">
        <f t="shared" si="112"/>
      </c>
      <c r="G557" s="5">
        <f t="shared" si="102"/>
      </c>
      <c r="H557" s="70">
        <f t="shared" si="103"/>
      </c>
      <c r="I557" s="5">
        <f t="shared" si="104"/>
        <v/>
      </c>
      <c r="J557" s="5">
        <f t="shared" si="105"/>
      </c>
      <c r="K557" s="5">
        <f t="shared" si="106"/>
      </c>
      <c r="L557" s="5">
        <f t="shared" si="107"/>
      </c>
      <c r="M557">
        <f t="shared" si="108"/>
      </c>
      <c r="N557" s="18">
        <f t="shared" si="109"/>
      </c>
    </row>
    <row r="558" spans="3:14" x14ac:dyDescent="0.3">
      <c r="C558" s="5">
        <f t="shared" si="110"/>
      </c>
      <c r="D558" s="5">
        <f t="shared" si="111"/>
      </c>
      <c r="E558" s="70"/>
      <c r="F558" s="5">
        <f t="shared" si="112"/>
      </c>
      <c r="G558" s="5">
        <f t="shared" si="102"/>
      </c>
      <c r="H558" s="70">
        <f t="shared" si="103"/>
      </c>
      <c r="I558" s="5">
        <f t="shared" si="104"/>
        <v/>
      </c>
      <c r="J558" s="5">
        <f t="shared" si="105"/>
      </c>
      <c r="K558" s="5">
        <f t="shared" si="106"/>
      </c>
      <c r="L558" s="5">
        <f t="shared" si="107"/>
      </c>
      <c r="M558">
        <f t="shared" si="108"/>
      </c>
      <c r="N558" s="18">
        <f t="shared" si="109"/>
      </c>
    </row>
    <row r="559" spans="3:14" x14ac:dyDescent="0.3">
      <c r="C559" s="5">
        <f t="shared" si="110"/>
      </c>
      <c r="D559" s="5">
        <f t="shared" si="111"/>
      </c>
      <c r="E559" s="70"/>
      <c r="F559" s="5">
        <f t="shared" si="112"/>
      </c>
      <c r="G559" s="5">
        <f t="shared" si="102"/>
      </c>
      <c r="H559" s="70">
        <f t="shared" si="103"/>
      </c>
      <c r="I559" s="5">
        <f t="shared" si="104"/>
        <v/>
      </c>
      <c r="J559" s="5">
        <f t="shared" si="105"/>
      </c>
      <c r="K559" s="5">
        <f t="shared" si="106"/>
      </c>
      <c r="L559" s="5">
        <f t="shared" si="107"/>
      </c>
      <c r="M559">
        <f t="shared" si="108"/>
      </c>
      <c r="N559" s="18">
        <f t="shared" si="109"/>
      </c>
    </row>
    <row r="560" spans="3:14" x14ac:dyDescent="0.3">
      <c r="C560" s="5">
        <f t="shared" si="110"/>
      </c>
      <c r="D560" s="5">
        <f t="shared" si="111"/>
      </c>
      <c r="E560" s="70"/>
      <c r="F560" s="5">
        <f t="shared" si="112"/>
      </c>
      <c r="G560" s="5">
        <f t="shared" si="102"/>
      </c>
      <c r="H560" s="70">
        <f t="shared" si="103"/>
      </c>
      <c r="I560" s="5">
        <f t="shared" si="104"/>
        <v/>
      </c>
      <c r="J560" s="5">
        <f t="shared" si="105"/>
      </c>
      <c r="K560" s="5">
        <f t="shared" si="106"/>
      </c>
      <c r="L560" s="5">
        <f t="shared" si="107"/>
      </c>
      <c r="M560">
        <f t="shared" si="108"/>
      </c>
      <c r="N560" s="18">
        <f t="shared" si="109"/>
      </c>
    </row>
    <row r="561" spans="3:14" x14ac:dyDescent="0.3">
      <c r="C561" s="5">
        <f t="shared" si="110"/>
      </c>
      <c r="D561" s="5">
        <f t="shared" si="111"/>
      </c>
      <c r="E561" s="70"/>
      <c r="F561" s="5">
        <f t="shared" si="112"/>
      </c>
      <c r="G561" s="5">
        <f t="shared" si="102"/>
      </c>
      <c r="H561" s="70">
        <f t="shared" si="103"/>
      </c>
      <c r="I561" s="5">
        <f t="shared" si="104"/>
        <v/>
      </c>
      <c r="J561" s="5">
        <f t="shared" si="105"/>
      </c>
      <c r="K561" s="5">
        <f t="shared" si="106"/>
      </c>
      <c r="L561" s="5">
        <f t="shared" si="107"/>
      </c>
      <c r="M561">
        <f t="shared" si="108"/>
      </c>
      <c r="N561" s="18">
        <f t="shared" si="109"/>
      </c>
    </row>
    <row r="562" spans="3:14" x14ac:dyDescent="0.3">
      <c r="C562" s="5">
        <f t="shared" si="110"/>
      </c>
      <c r="D562" s="5">
        <f t="shared" si="111"/>
      </c>
      <c r="E562" s="70"/>
      <c r="F562" s="5">
        <f t="shared" si="112"/>
      </c>
      <c r="G562" s="5">
        <f t="shared" si="102"/>
      </c>
      <c r="H562" s="70">
        <f t="shared" si="103"/>
      </c>
      <c r="I562" s="5">
        <f t="shared" si="104"/>
        <v/>
      </c>
      <c r="J562" s="5">
        <f t="shared" si="105"/>
      </c>
      <c r="K562" s="5">
        <f t="shared" si="106"/>
      </c>
      <c r="L562" s="5">
        <f t="shared" si="107"/>
      </c>
      <c r="M562">
        <f t="shared" si="108"/>
      </c>
      <c r="N562" s="18">
        <f t="shared" si="109"/>
      </c>
    </row>
    <row r="563" spans="3:14" x14ac:dyDescent="0.3">
      <c r="C563" s="5">
        <f t="shared" si="110"/>
      </c>
      <c r="D563" s="5">
        <f t="shared" si="111"/>
      </c>
      <c r="E563" s="70"/>
      <c r="F563" s="5">
        <f t="shared" si="112"/>
      </c>
      <c r="G563" s="5">
        <f t="shared" si="102"/>
      </c>
      <c r="H563" s="70">
        <f t="shared" si="103"/>
      </c>
      <c r="I563" s="5">
        <f t="shared" si="104"/>
        <v/>
      </c>
      <c r="J563" s="5">
        <f t="shared" si="105"/>
      </c>
      <c r="K563" s="5">
        <f t="shared" si="106"/>
      </c>
      <c r="L563" s="5">
        <f t="shared" si="107"/>
      </c>
      <c r="M563">
        <f t="shared" si="108"/>
      </c>
      <c r="N563" s="18">
        <f t="shared" si="109"/>
      </c>
    </row>
    <row r="564" spans="3:14" x14ac:dyDescent="0.3">
      <c r="C564" s="5">
        <f t="shared" si="110"/>
      </c>
      <c r="D564" s="5">
        <f t="shared" si="111"/>
      </c>
      <c r="E564" s="70"/>
      <c r="F564" s="5">
        <f t="shared" si="112"/>
      </c>
      <c r="G564" s="5">
        <f t="shared" si="102"/>
      </c>
      <c r="H564" s="70">
        <f t="shared" si="103"/>
      </c>
      <c r="I564" s="5">
        <f t="shared" si="104"/>
        <v/>
      </c>
      <c r="J564" s="5">
        <f t="shared" si="105"/>
      </c>
      <c r="K564" s="5">
        <f t="shared" si="106"/>
      </c>
      <c r="L564" s="5">
        <f t="shared" si="107"/>
      </c>
      <c r="M564">
        <f t="shared" si="108"/>
      </c>
      <c r="N564" s="18">
        <f t="shared" si="109"/>
      </c>
    </row>
    <row r="565" spans="3:14" x14ac:dyDescent="0.3">
      <c r="C565" s="5">
        <f t="shared" si="110"/>
      </c>
      <c r="D565" s="5">
        <f t="shared" si="111"/>
      </c>
      <c r="E565" s="70"/>
      <c r="F565" s="5">
        <f t="shared" si="112"/>
      </c>
      <c r="G565" s="5">
        <f t="shared" ref="G565:G628" si="113">IF(E565="упр","",IF(E565=0,F565,IF(E565="1,2,3","L1,L2,L3","L"&amp;E565)))</f>
      </c>
      <c r="H565" s="70">
        <f t="shared" ref="H565:H628" si="114">VLOOKUP(D565,Исходные_данные,5,FALSE)</f>
      </c>
      <c r="I565" s="5">
        <f t="shared" ref="I565:I628" si="115">IFERROR(VLOOKUP(D565,Исходные_данные,36,FALSE),"")</f>
        <v/>
      </c>
      <c r="J565" s="5">
        <f t="shared" ref="J565:J628" si="116">VLOOKUP(D565,Исходные_данные,46,FALSE)</f>
      </c>
      <c r="K565" s="5">
        <f t="shared" ref="K565:K628" si="117">VLOOKUP(D565,Исходные_данные,16,FALSE)</f>
      </c>
      <c r="L565" s="5">
        <f t="shared" ref="L565:L628" si="118">H565*K565</f>
      </c>
      <c r="M565">
        <f t="shared" ref="M565:M628" si="119">IF(ISBLANK(E565),M564,E565)</f>
      </c>
      <c r="N565" s="18">
        <f t="shared" ref="N565:N628" si="120">C565&amp;G565</f>
      </c>
    </row>
    <row r="566" spans="3:14" x14ac:dyDescent="0.3">
      <c r="C566" s="5">
        <f t="shared" si="110"/>
      </c>
      <c r="D566" s="5">
        <f t="shared" si="111"/>
      </c>
      <c r="E566" s="70"/>
      <c r="F566" s="5">
        <f t="shared" si="112"/>
      </c>
      <c r="G566" s="5">
        <f t="shared" si="113"/>
      </c>
      <c r="H566" s="70">
        <f t="shared" si="114"/>
      </c>
      <c r="I566" s="5">
        <f t="shared" si="115"/>
        <v/>
      </c>
      <c r="J566" s="5">
        <f t="shared" si="116"/>
      </c>
      <c r="K566" s="5">
        <f t="shared" si="117"/>
      </c>
      <c r="L566" s="5">
        <f t="shared" si="118"/>
      </c>
      <c r="M566">
        <f t="shared" si="119"/>
      </c>
      <c r="N566" s="18">
        <f t="shared" si="120"/>
      </c>
    </row>
    <row r="567" spans="3:14" x14ac:dyDescent="0.3">
      <c r="C567" s="5">
        <f t="shared" si="110"/>
      </c>
      <c r="D567" s="5">
        <f t="shared" si="111"/>
      </c>
      <c r="E567" s="70"/>
      <c r="F567" s="5">
        <f t="shared" si="112"/>
      </c>
      <c r="G567" s="5">
        <f t="shared" si="113"/>
      </c>
      <c r="H567" s="70">
        <f t="shared" si="114"/>
      </c>
      <c r="I567" s="5">
        <f t="shared" si="115"/>
        <v/>
      </c>
      <c r="J567" s="5">
        <f t="shared" si="116"/>
      </c>
      <c r="K567" s="5">
        <f t="shared" si="117"/>
      </c>
      <c r="L567" s="5">
        <f t="shared" si="118"/>
      </c>
      <c r="M567">
        <f t="shared" si="119"/>
      </c>
      <c r="N567" s="18">
        <f t="shared" si="120"/>
      </c>
    </row>
    <row r="568" spans="3:14" x14ac:dyDescent="0.3">
      <c r="C568" s="5">
        <f t="shared" si="110"/>
      </c>
      <c r="D568" s="5">
        <f t="shared" si="111"/>
      </c>
      <c r="E568" s="70"/>
      <c r="F568" s="5">
        <f t="shared" si="112"/>
      </c>
      <c r="G568" s="5">
        <f t="shared" si="113"/>
      </c>
      <c r="H568" s="70">
        <f t="shared" si="114"/>
      </c>
      <c r="I568" s="5">
        <f t="shared" si="115"/>
        <v/>
      </c>
      <c r="J568" s="5">
        <f t="shared" si="116"/>
      </c>
      <c r="K568" s="5">
        <f t="shared" si="117"/>
      </c>
      <c r="L568" s="5">
        <f t="shared" si="118"/>
      </c>
      <c r="M568">
        <f t="shared" si="119"/>
      </c>
      <c r="N568" s="18">
        <f t="shared" si="120"/>
      </c>
    </row>
    <row r="569" spans="3:14" x14ac:dyDescent="0.3">
      <c r="C569" s="5">
        <f t="shared" si="110"/>
      </c>
      <c r="D569" s="5">
        <f t="shared" si="111"/>
      </c>
      <c r="E569" s="70"/>
      <c r="F569" s="5">
        <f t="shared" si="112"/>
      </c>
      <c r="G569" s="5">
        <f t="shared" si="113"/>
      </c>
      <c r="H569" s="70">
        <f t="shared" si="114"/>
      </c>
      <c r="I569" s="5">
        <f t="shared" si="115"/>
        <v/>
      </c>
      <c r="J569" s="5">
        <f t="shared" si="116"/>
      </c>
      <c r="K569" s="5">
        <f t="shared" si="117"/>
      </c>
      <c r="L569" s="5">
        <f t="shared" si="118"/>
      </c>
      <c r="M569">
        <f t="shared" si="119"/>
      </c>
      <c r="N569" s="18">
        <f t="shared" si="120"/>
      </c>
    </row>
    <row r="570" spans="3:14" x14ac:dyDescent="0.3">
      <c r="C570" s="5">
        <f t="shared" si="110"/>
      </c>
      <c r="D570" s="5">
        <f t="shared" si="111"/>
      </c>
      <c r="E570" s="70"/>
      <c r="F570" s="5">
        <f t="shared" si="112"/>
      </c>
      <c r="G570" s="5">
        <f t="shared" si="113"/>
      </c>
      <c r="H570" s="70">
        <f t="shared" si="114"/>
      </c>
      <c r="I570" s="5">
        <f t="shared" si="115"/>
        <v/>
      </c>
      <c r="J570" s="5">
        <f t="shared" si="116"/>
      </c>
      <c r="K570" s="5">
        <f t="shared" si="117"/>
      </c>
      <c r="L570" s="5">
        <f t="shared" si="118"/>
      </c>
      <c r="M570">
        <f t="shared" si="119"/>
      </c>
      <c r="N570" s="18">
        <f t="shared" si="120"/>
      </c>
    </row>
    <row r="571" spans="3:14" x14ac:dyDescent="0.3">
      <c r="C571" s="5">
        <f t="shared" si="110"/>
      </c>
      <c r="D571" s="5">
        <f t="shared" si="111"/>
      </c>
      <c r="E571" s="70"/>
      <c r="F571" s="5">
        <f t="shared" si="112"/>
      </c>
      <c r="G571" s="5">
        <f t="shared" si="113"/>
      </c>
      <c r="H571" s="70">
        <f t="shared" si="114"/>
      </c>
      <c r="I571" s="5">
        <f t="shared" si="115"/>
        <v/>
      </c>
      <c r="J571" s="5">
        <f t="shared" si="116"/>
      </c>
      <c r="K571" s="5">
        <f t="shared" si="117"/>
      </c>
      <c r="L571" s="5">
        <f t="shared" si="118"/>
      </c>
      <c r="M571">
        <f t="shared" si="119"/>
      </c>
      <c r="N571" s="18">
        <f t="shared" si="120"/>
      </c>
    </row>
    <row r="572" spans="3:14" x14ac:dyDescent="0.3">
      <c r="C572" s="5">
        <f t="shared" si="110"/>
      </c>
      <c r="D572" s="5">
        <f t="shared" si="111"/>
      </c>
      <c r="E572" s="70"/>
      <c r="F572" s="5">
        <f t="shared" si="112"/>
      </c>
      <c r="G572" s="5">
        <f t="shared" si="113"/>
      </c>
      <c r="H572" s="70">
        <f t="shared" si="114"/>
      </c>
      <c r="I572" s="5">
        <f t="shared" si="115"/>
        <v/>
      </c>
      <c r="J572" s="5">
        <f t="shared" si="116"/>
      </c>
      <c r="K572" s="5">
        <f t="shared" si="117"/>
      </c>
      <c r="L572" s="5">
        <f t="shared" si="118"/>
      </c>
      <c r="M572">
        <f t="shared" si="119"/>
      </c>
      <c r="N572" s="18">
        <f t="shared" si="120"/>
      </c>
    </row>
    <row r="573" spans="3:14" x14ac:dyDescent="0.3">
      <c r="C573" s="5">
        <f t="shared" si="110"/>
      </c>
      <c r="D573" s="5">
        <f t="shared" si="111"/>
      </c>
      <c r="E573" s="70"/>
      <c r="F573" s="5">
        <f t="shared" si="112"/>
      </c>
      <c r="G573" s="5">
        <f t="shared" si="113"/>
      </c>
      <c r="H573" s="70">
        <f t="shared" si="114"/>
      </c>
      <c r="I573" s="5">
        <f t="shared" si="115"/>
        <v/>
      </c>
      <c r="J573" s="5">
        <f t="shared" si="116"/>
      </c>
      <c r="K573" s="5">
        <f t="shared" si="117"/>
      </c>
      <c r="L573" s="5">
        <f t="shared" si="118"/>
      </c>
      <c r="M573">
        <f t="shared" si="119"/>
      </c>
      <c r="N573" s="18">
        <f t="shared" si="120"/>
      </c>
    </row>
    <row r="574" spans="3:14" x14ac:dyDescent="0.3">
      <c r="C574" s="5">
        <f t="shared" si="110"/>
      </c>
      <c r="D574" s="5">
        <f t="shared" si="111"/>
      </c>
      <c r="E574" s="70"/>
      <c r="F574" s="5">
        <f t="shared" si="112"/>
      </c>
      <c r="G574" s="5">
        <f t="shared" si="113"/>
      </c>
      <c r="H574" s="70">
        <f t="shared" si="114"/>
      </c>
      <c r="I574" s="5">
        <f t="shared" si="115"/>
        <v/>
      </c>
      <c r="J574" s="5">
        <f t="shared" si="116"/>
      </c>
      <c r="K574" s="5">
        <f t="shared" si="117"/>
      </c>
      <c r="L574" s="5">
        <f t="shared" si="118"/>
      </c>
      <c r="M574">
        <f t="shared" si="119"/>
      </c>
      <c r="N574" s="18">
        <f t="shared" si="120"/>
      </c>
    </row>
    <row r="575" spans="3:14" x14ac:dyDescent="0.3">
      <c r="C575" s="5">
        <f t="shared" si="110"/>
      </c>
      <c r="D575" s="5">
        <f t="shared" si="111"/>
      </c>
      <c r="E575" s="70"/>
      <c r="F575" s="5">
        <f t="shared" si="112"/>
      </c>
      <c r="G575" s="5">
        <f t="shared" si="113"/>
      </c>
      <c r="H575" s="70">
        <f t="shared" si="114"/>
      </c>
      <c r="I575" s="5">
        <f t="shared" si="115"/>
        <v/>
      </c>
      <c r="J575" s="5">
        <f t="shared" si="116"/>
      </c>
      <c r="K575" s="5">
        <f t="shared" si="117"/>
      </c>
      <c r="L575" s="5">
        <f t="shared" si="118"/>
      </c>
      <c r="M575">
        <f t="shared" si="119"/>
      </c>
      <c r="N575" s="18">
        <f t="shared" si="120"/>
      </c>
    </row>
    <row r="576" spans="3:14" x14ac:dyDescent="0.3">
      <c r="C576" s="5">
        <f t="shared" si="110"/>
      </c>
      <c r="D576" s="5">
        <f t="shared" si="111"/>
      </c>
      <c r="E576" s="70"/>
      <c r="F576" s="5">
        <f t="shared" si="112"/>
      </c>
      <c r="G576" s="5">
        <f t="shared" si="113"/>
      </c>
      <c r="H576" s="70">
        <f t="shared" si="114"/>
      </c>
      <c r="I576" s="5">
        <f t="shared" si="115"/>
        <v/>
      </c>
      <c r="J576" s="5">
        <f t="shared" si="116"/>
      </c>
      <c r="K576" s="5">
        <f t="shared" si="117"/>
      </c>
      <c r="L576" s="5">
        <f t="shared" si="118"/>
      </c>
      <c r="M576">
        <f t="shared" si="119"/>
      </c>
      <c r="N576" s="18">
        <f t="shared" si="120"/>
      </c>
    </row>
    <row r="577" spans="3:14" x14ac:dyDescent="0.3">
      <c r="C577" s="5">
        <f t="shared" si="110"/>
      </c>
      <c r="D577" s="5">
        <f t="shared" si="111"/>
      </c>
      <c r="E577" s="70"/>
      <c r="F577" s="5">
        <f t="shared" si="112"/>
      </c>
      <c r="G577" s="5">
        <f t="shared" si="113"/>
      </c>
      <c r="H577" s="70">
        <f t="shared" si="114"/>
      </c>
      <c r="I577" s="5">
        <f t="shared" si="115"/>
        <v/>
      </c>
      <c r="J577" s="5">
        <f t="shared" si="116"/>
      </c>
      <c r="K577" s="5">
        <f t="shared" si="117"/>
      </c>
      <c r="L577" s="5">
        <f t="shared" si="118"/>
      </c>
      <c r="M577">
        <f t="shared" si="119"/>
      </c>
      <c r="N577" s="18">
        <f t="shared" si="120"/>
      </c>
    </row>
    <row r="578" spans="3:14" x14ac:dyDescent="0.3">
      <c r="C578" s="5">
        <f t="shared" si="110"/>
      </c>
      <c r="D578" s="5">
        <f t="shared" si="111"/>
      </c>
      <c r="E578" s="70"/>
      <c r="F578" s="5">
        <f t="shared" si="112"/>
      </c>
      <c r="G578" s="5">
        <f t="shared" si="113"/>
      </c>
      <c r="H578" s="70">
        <f t="shared" si="114"/>
      </c>
      <c r="I578" s="5">
        <f t="shared" si="115"/>
        <v/>
      </c>
      <c r="J578" s="5">
        <f t="shared" si="116"/>
      </c>
      <c r="K578" s="5">
        <f t="shared" si="117"/>
      </c>
      <c r="L578" s="5">
        <f t="shared" si="118"/>
      </c>
      <c r="M578">
        <f t="shared" si="119"/>
      </c>
      <c r="N578" s="18">
        <f t="shared" si="120"/>
      </c>
    </row>
    <row r="579" spans="3:14" x14ac:dyDescent="0.3">
      <c r="C579" s="5">
        <f t="shared" ref="C579:C642" si="121">VLOOKUP(ROW(577:577),Разбивка_нумерация_5,2,FALSE)</f>
      </c>
      <c r="D579" s="5">
        <f t="shared" ref="D579:D642" si="122">VLOOKUP(ROW(577:577),Разбивка_нумерация_5,4,FALSE)</f>
      </c>
      <c r="E579" s="70"/>
      <c r="F579" s="5">
        <f t="shared" ref="F579:F642" si="123">VLOOKUP(ROW(577:577),Разбивка_нумерация_5,16,FALSE)</f>
      </c>
      <c r="G579" s="5">
        <f t="shared" si="113"/>
      </c>
      <c r="H579" s="70">
        <f t="shared" si="114"/>
      </c>
      <c r="I579" s="5">
        <f t="shared" si="115"/>
        <v/>
      </c>
      <c r="J579" s="5">
        <f t="shared" si="116"/>
      </c>
      <c r="K579" s="5">
        <f t="shared" si="117"/>
      </c>
      <c r="L579" s="5">
        <f t="shared" si="118"/>
      </c>
      <c r="M579">
        <f t="shared" si="119"/>
      </c>
      <c r="N579" s="18">
        <f t="shared" si="120"/>
      </c>
    </row>
    <row r="580" spans="3:14" x14ac:dyDescent="0.3">
      <c r="C580" s="5">
        <f t="shared" si="121"/>
      </c>
      <c r="D580" s="5">
        <f t="shared" si="122"/>
      </c>
      <c r="E580" s="70"/>
      <c r="F580" s="5">
        <f t="shared" si="123"/>
      </c>
      <c r="G580" s="5">
        <f t="shared" si="113"/>
      </c>
      <c r="H580" s="70">
        <f t="shared" si="114"/>
      </c>
      <c r="I580" s="5">
        <f t="shared" si="115"/>
        <v/>
      </c>
      <c r="J580" s="5">
        <f t="shared" si="116"/>
      </c>
      <c r="K580" s="5">
        <f t="shared" si="117"/>
      </c>
      <c r="L580" s="5">
        <f t="shared" si="118"/>
      </c>
      <c r="M580">
        <f t="shared" si="119"/>
      </c>
      <c r="N580" s="18">
        <f t="shared" si="120"/>
      </c>
    </row>
    <row r="581" spans="3:14" x14ac:dyDescent="0.3">
      <c r="C581" s="5">
        <f t="shared" si="121"/>
      </c>
      <c r="D581" s="5">
        <f t="shared" si="122"/>
      </c>
      <c r="E581" s="70"/>
      <c r="F581" s="5">
        <f t="shared" si="123"/>
      </c>
      <c r="G581" s="5">
        <f t="shared" si="113"/>
      </c>
      <c r="H581" s="70">
        <f t="shared" si="114"/>
      </c>
      <c r="I581" s="5">
        <f t="shared" si="115"/>
        <v/>
      </c>
      <c r="J581" s="5">
        <f t="shared" si="116"/>
      </c>
      <c r="K581" s="5">
        <f t="shared" si="117"/>
      </c>
      <c r="L581" s="5">
        <f t="shared" si="118"/>
      </c>
      <c r="M581">
        <f t="shared" si="119"/>
      </c>
      <c r="N581" s="18">
        <f t="shared" si="120"/>
      </c>
    </row>
    <row r="582" spans="3:14" x14ac:dyDescent="0.3">
      <c r="C582" s="5">
        <f t="shared" si="121"/>
      </c>
      <c r="D582" s="5">
        <f t="shared" si="122"/>
      </c>
      <c r="E582" s="70"/>
      <c r="F582" s="5">
        <f t="shared" si="123"/>
      </c>
      <c r="G582" s="5">
        <f t="shared" si="113"/>
      </c>
      <c r="H582" s="70">
        <f t="shared" si="114"/>
      </c>
      <c r="I582" s="5">
        <f t="shared" si="115"/>
        <v/>
      </c>
      <c r="J582" s="5">
        <f t="shared" si="116"/>
      </c>
      <c r="K582" s="5">
        <f t="shared" si="117"/>
      </c>
      <c r="L582" s="5">
        <f t="shared" si="118"/>
      </c>
      <c r="M582">
        <f t="shared" si="119"/>
      </c>
      <c r="N582" s="18">
        <f t="shared" si="120"/>
      </c>
    </row>
    <row r="583" spans="3:14" x14ac:dyDescent="0.3">
      <c r="C583" s="5">
        <f t="shared" si="121"/>
      </c>
      <c r="D583" s="5">
        <f t="shared" si="122"/>
      </c>
      <c r="E583" s="70"/>
      <c r="F583" s="5">
        <f t="shared" si="123"/>
      </c>
      <c r="G583" s="5">
        <f t="shared" si="113"/>
      </c>
      <c r="H583" s="70">
        <f t="shared" si="114"/>
      </c>
      <c r="I583" s="5">
        <f t="shared" si="115"/>
        <v/>
      </c>
      <c r="J583" s="5">
        <f t="shared" si="116"/>
      </c>
      <c r="K583" s="5">
        <f t="shared" si="117"/>
      </c>
      <c r="L583" s="5">
        <f t="shared" si="118"/>
      </c>
      <c r="M583">
        <f t="shared" si="119"/>
      </c>
      <c r="N583" s="18">
        <f t="shared" si="120"/>
      </c>
    </row>
    <row r="584" spans="3:14" x14ac:dyDescent="0.3">
      <c r="C584" s="5">
        <f t="shared" si="121"/>
      </c>
      <c r="D584" s="5">
        <f t="shared" si="122"/>
      </c>
      <c r="E584" s="70"/>
      <c r="F584" s="5">
        <f t="shared" si="123"/>
      </c>
      <c r="G584" s="5">
        <f t="shared" si="113"/>
      </c>
      <c r="H584" s="70">
        <f t="shared" si="114"/>
      </c>
      <c r="I584" s="5">
        <f t="shared" si="115"/>
        <v/>
      </c>
      <c r="J584" s="5">
        <f t="shared" si="116"/>
      </c>
      <c r="K584" s="5">
        <f t="shared" si="117"/>
      </c>
      <c r="L584" s="5">
        <f t="shared" si="118"/>
      </c>
      <c r="M584">
        <f t="shared" si="119"/>
      </c>
      <c r="N584" s="18">
        <f t="shared" si="120"/>
      </c>
    </row>
    <row r="585" spans="3:14" x14ac:dyDescent="0.3">
      <c r="C585" s="5">
        <f t="shared" si="121"/>
      </c>
      <c r="D585" s="5">
        <f t="shared" si="122"/>
      </c>
      <c r="E585" s="70"/>
      <c r="F585" s="5">
        <f t="shared" si="123"/>
      </c>
      <c r="G585" s="5">
        <f t="shared" si="113"/>
      </c>
      <c r="H585" s="70">
        <f t="shared" si="114"/>
      </c>
      <c r="I585" s="5">
        <f t="shared" si="115"/>
        <v/>
      </c>
      <c r="J585" s="5">
        <f t="shared" si="116"/>
      </c>
      <c r="K585" s="5">
        <f t="shared" si="117"/>
      </c>
      <c r="L585" s="5">
        <f t="shared" si="118"/>
      </c>
      <c r="M585">
        <f t="shared" si="119"/>
      </c>
      <c r="N585" s="18">
        <f t="shared" si="120"/>
      </c>
    </row>
    <row r="586" spans="3:14" x14ac:dyDescent="0.3">
      <c r="C586" s="5">
        <f t="shared" si="121"/>
      </c>
      <c r="D586" s="5">
        <f t="shared" si="122"/>
      </c>
      <c r="E586" s="70"/>
      <c r="F586" s="5">
        <f t="shared" si="123"/>
      </c>
      <c r="G586" s="5">
        <f t="shared" si="113"/>
      </c>
      <c r="H586" s="70">
        <f t="shared" si="114"/>
      </c>
      <c r="I586" s="5">
        <f t="shared" si="115"/>
        <v/>
      </c>
      <c r="J586" s="5">
        <f t="shared" si="116"/>
      </c>
      <c r="K586" s="5">
        <f t="shared" si="117"/>
      </c>
      <c r="L586" s="5">
        <f t="shared" si="118"/>
      </c>
      <c r="M586">
        <f t="shared" si="119"/>
      </c>
      <c r="N586" s="18">
        <f t="shared" si="120"/>
      </c>
    </row>
    <row r="587" spans="3:14" x14ac:dyDescent="0.3">
      <c r="C587" s="5">
        <f t="shared" si="121"/>
      </c>
      <c r="D587" s="5">
        <f t="shared" si="122"/>
      </c>
      <c r="E587" s="70"/>
      <c r="F587" s="5">
        <f t="shared" si="123"/>
      </c>
      <c r="G587" s="5">
        <f t="shared" si="113"/>
      </c>
      <c r="H587" s="70">
        <f t="shared" si="114"/>
      </c>
      <c r="I587" s="5">
        <f t="shared" si="115"/>
        <v/>
      </c>
      <c r="J587" s="5">
        <f t="shared" si="116"/>
      </c>
      <c r="K587" s="5">
        <f t="shared" si="117"/>
      </c>
      <c r="L587" s="5">
        <f t="shared" si="118"/>
      </c>
      <c r="M587">
        <f t="shared" si="119"/>
      </c>
      <c r="N587" s="18">
        <f t="shared" si="120"/>
      </c>
    </row>
    <row r="588" spans="3:14" x14ac:dyDescent="0.3">
      <c r="C588" s="5">
        <f t="shared" si="121"/>
      </c>
      <c r="D588" s="5">
        <f t="shared" si="122"/>
      </c>
      <c r="E588" s="70"/>
      <c r="F588" s="5">
        <f t="shared" si="123"/>
      </c>
      <c r="G588" s="5">
        <f t="shared" si="113"/>
      </c>
      <c r="H588" s="70">
        <f t="shared" si="114"/>
      </c>
      <c r="I588" s="5">
        <f t="shared" si="115"/>
        <v/>
      </c>
      <c r="J588" s="5">
        <f t="shared" si="116"/>
      </c>
      <c r="K588" s="5">
        <f t="shared" si="117"/>
      </c>
      <c r="L588" s="5">
        <f t="shared" si="118"/>
      </c>
      <c r="M588">
        <f t="shared" si="119"/>
      </c>
      <c r="N588" s="18">
        <f t="shared" si="120"/>
      </c>
    </row>
    <row r="589" spans="3:14" x14ac:dyDescent="0.3">
      <c r="C589" s="5">
        <f t="shared" si="121"/>
      </c>
      <c r="D589" s="5">
        <f t="shared" si="122"/>
      </c>
      <c r="E589" s="70"/>
      <c r="F589" s="5">
        <f t="shared" si="123"/>
      </c>
      <c r="G589" s="5">
        <f t="shared" si="113"/>
      </c>
      <c r="H589" s="70">
        <f t="shared" si="114"/>
      </c>
      <c r="I589" s="5">
        <f t="shared" si="115"/>
        <v/>
      </c>
      <c r="J589" s="5">
        <f t="shared" si="116"/>
      </c>
      <c r="K589" s="5">
        <f t="shared" si="117"/>
      </c>
      <c r="L589" s="5">
        <f t="shared" si="118"/>
      </c>
      <c r="M589">
        <f t="shared" si="119"/>
      </c>
      <c r="N589" s="18">
        <f t="shared" si="120"/>
      </c>
    </row>
    <row r="590" spans="3:14" x14ac:dyDescent="0.3">
      <c r="C590" s="5">
        <f t="shared" si="121"/>
      </c>
      <c r="D590" s="5">
        <f t="shared" si="122"/>
      </c>
      <c r="E590" s="70"/>
      <c r="F590" s="5">
        <f t="shared" si="123"/>
      </c>
      <c r="G590" s="5">
        <f t="shared" si="113"/>
      </c>
      <c r="H590" s="70">
        <f t="shared" si="114"/>
      </c>
      <c r="I590" s="5">
        <f t="shared" si="115"/>
        <v/>
      </c>
      <c r="J590" s="5">
        <f t="shared" si="116"/>
      </c>
      <c r="K590" s="5">
        <f t="shared" si="117"/>
      </c>
      <c r="L590" s="5">
        <f t="shared" si="118"/>
      </c>
      <c r="M590">
        <f t="shared" si="119"/>
      </c>
      <c r="N590" s="18">
        <f t="shared" si="120"/>
      </c>
    </row>
    <row r="591" spans="3:14" x14ac:dyDescent="0.3">
      <c r="C591" s="5">
        <f t="shared" si="121"/>
      </c>
      <c r="D591" s="5">
        <f t="shared" si="122"/>
      </c>
      <c r="E591" s="70"/>
      <c r="F591" s="5">
        <f t="shared" si="123"/>
      </c>
      <c r="G591" s="5">
        <f t="shared" si="113"/>
      </c>
      <c r="H591" s="70">
        <f t="shared" si="114"/>
      </c>
      <c r="I591" s="5">
        <f t="shared" si="115"/>
        <v/>
      </c>
      <c r="J591" s="5">
        <f t="shared" si="116"/>
      </c>
      <c r="K591" s="5">
        <f t="shared" si="117"/>
      </c>
      <c r="L591" s="5">
        <f t="shared" si="118"/>
      </c>
      <c r="M591">
        <f t="shared" si="119"/>
      </c>
      <c r="N591" s="18">
        <f t="shared" si="120"/>
      </c>
    </row>
    <row r="592" spans="3:14" x14ac:dyDescent="0.3">
      <c r="C592" s="5">
        <f t="shared" si="121"/>
      </c>
      <c r="D592" s="5">
        <f t="shared" si="122"/>
      </c>
      <c r="E592" s="70"/>
      <c r="F592" s="5">
        <f t="shared" si="123"/>
      </c>
      <c r="G592" s="5">
        <f t="shared" si="113"/>
      </c>
      <c r="H592" s="70">
        <f t="shared" si="114"/>
      </c>
      <c r="I592" s="5">
        <f t="shared" si="115"/>
        <v/>
      </c>
      <c r="J592" s="5">
        <f t="shared" si="116"/>
      </c>
      <c r="K592" s="5">
        <f t="shared" si="117"/>
      </c>
      <c r="L592" s="5">
        <f t="shared" si="118"/>
      </c>
      <c r="M592">
        <f t="shared" si="119"/>
      </c>
      <c r="N592" s="18">
        <f t="shared" si="120"/>
      </c>
    </row>
    <row r="593" spans="3:14" x14ac:dyDescent="0.3">
      <c r="C593" s="5">
        <f t="shared" si="121"/>
      </c>
      <c r="D593" s="5">
        <f t="shared" si="122"/>
      </c>
      <c r="E593" s="70"/>
      <c r="F593" s="5">
        <f t="shared" si="123"/>
      </c>
      <c r="G593" s="5">
        <f t="shared" si="113"/>
      </c>
      <c r="H593" s="70">
        <f t="shared" si="114"/>
      </c>
      <c r="I593" s="5">
        <f t="shared" si="115"/>
        <v/>
      </c>
      <c r="J593" s="5">
        <f t="shared" si="116"/>
      </c>
      <c r="K593" s="5">
        <f t="shared" si="117"/>
      </c>
      <c r="L593" s="5">
        <f t="shared" si="118"/>
      </c>
      <c r="M593">
        <f t="shared" si="119"/>
      </c>
      <c r="N593" s="18">
        <f t="shared" si="120"/>
      </c>
    </row>
    <row r="594" spans="3:14" x14ac:dyDescent="0.3">
      <c r="C594" s="5">
        <f t="shared" si="121"/>
      </c>
      <c r="D594" s="5">
        <f t="shared" si="122"/>
      </c>
      <c r="E594" s="70"/>
      <c r="F594" s="5">
        <f t="shared" si="123"/>
      </c>
      <c r="G594" s="5">
        <f t="shared" si="113"/>
      </c>
      <c r="H594" s="70">
        <f t="shared" si="114"/>
      </c>
      <c r="I594" s="5">
        <f t="shared" si="115"/>
        <v/>
      </c>
      <c r="J594" s="5">
        <f t="shared" si="116"/>
      </c>
      <c r="K594" s="5">
        <f t="shared" si="117"/>
      </c>
      <c r="L594" s="5">
        <f t="shared" si="118"/>
      </c>
      <c r="M594">
        <f t="shared" si="119"/>
      </c>
      <c r="N594" s="18">
        <f t="shared" si="120"/>
      </c>
    </row>
    <row r="595" spans="3:14" x14ac:dyDescent="0.3">
      <c r="C595" s="5">
        <f t="shared" si="121"/>
      </c>
      <c r="D595" s="5">
        <f t="shared" si="122"/>
      </c>
      <c r="E595" s="70"/>
      <c r="F595" s="5">
        <f t="shared" si="123"/>
      </c>
      <c r="G595" s="5">
        <f t="shared" si="113"/>
      </c>
      <c r="H595" s="70">
        <f t="shared" si="114"/>
      </c>
      <c r="I595" s="5">
        <f t="shared" si="115"/>
        <v/>
      </c>
      <c r="J595" s="5">
        <f t="shared" si="116"/>
      </c>
      <c r="K595" s="5">
        <f t="shared" si="117"/>
      </c>
      <c r="L595" s="5">
        <f t="shared" si="118"/>
      </c>
      <c r="M595">
        <f t="shared" si="119"/>
      </c>
      <c r="N595" s="18">
        <f t="shared" si="120"/>
      </c>
    </row>
    <row r="596" spans="3:14" x14ac:dyDescent="0.3">
      <c r="C596" s="5">
        <f t="shared" si="121"/>
      </c>
      <c r="D596" s="5">
        <f t="shared" si="122"/>
      </c>
      <c r="E596" s="70"/>
      <c r="F596" s="5">
        <f t="shared" si="123"/>
      </c>
      <c r="G596" s="5">
        <f t="shared" si="113"/>
      </c>
      <c r="H596" s="70">
        <f t="shared" si="114"/>
      </c>
      <c r="I596" s="5">
        <f t="shared" si="115"/>
        <v/>
      </c>
      <c r="J596" s="5">
        <f t="shared" si="116"/>
      </c>
      <c r="K596" s="5">
        <f t="shared" si="117"/>
      </c>
      <c r="L596" s="5">
        <f t="shared" si="118"/>
      </c>
      <c r="M596">
        <f t="shared" si="119"/>
      </c>
      <c r="N596" s="18">
        <f t="shared" si="120"/>
      </c>
    </row>
    <row r="597" spans="3:14" x14ac:dyDescent="0.3">
      <c r="C597" s="5">
        <f t="shared" si="121"/>
      </c>
      <c r="D597" s="5">
        <f t="shared" si="122"/>
      </c>
      <c r="E597" s="70"/>
      <c r="F597" s="5">
        <f t="shared" si="123"/>
      </c>
      <c r="G597" s="5">
        <f t="shared" si="113"/>
      </c>
      <c r="H597" s="70">
        <f t="shared" si="114"/>
      </c>
      <c r="I597" s="5">
        <f t="shared" si="115"/>
        <v/>
      </c>
      <c r="J597" s="5">
        <f t="shared" si="116"/>
      </c>
      <c r="K597" s="5">
        <f t="shared" si="117"/>
      </c>
      <c r="L597" s="5">
        <f t="shared" si="118"/>
      </c>
      <c r="M597">
        <f t="shared" si="119"/>
      </c>
      <c r="N597" s="18">
        <f t="shared" si="120"/>
      </c>
    </row>
    <row r="598" spans="3:14" x14ac:dyDescent="0.3">
      <c r="C598" s="5">
        <f t="shared" si="121"/>
      </c>
      <c r="D598" s="5">
        <f t="shared" si="122"/>
      </c>
      <c r="E598" s="70"/>
      <c r="F598" s="5">
        <f t="shared" si="123"/>
      </c>
      <c r="G598" s="5">
        <f t="shared" si="113"/>
      </c>
      <c r="H598" s="70">
        <f t="shared" si="114"/>
      </c>
      <c r="I598" s="5">
        <f t="shared" si="115"/>
        <v/>
      </c>
      <c r="J598" s="5">
        <f t="shared" si="116"/>
      </c>
      <c r="K598" s="5">
        <f t="shared" si="117"/>
      </c>
      <c r="L598" s="5">
        <f t="shared" si="118"/>
      </c>
      <c r="M598">
        <f t="shared" si="119"/>
      </c>
      <c r="N598" s="18">
        <f t="shared" si="120"/>
      </c>
    </row>
    <row r="599" spans="3:14" x14ac:dyDescent="0.3">
      <c r="C599" s="5">
        <f t="shared" si="121"/>
      </c>
      <c r="D599" s="5">
        <f t="shared" si="122"/>
      </c>
      <c r="E599" s="70"/>
      <c r="F599" s="5">
        <f t="shared" si="123"/>
      </c>
      <c r="G599" s="5">
        <f t="shared" si="113"/>
      </c>
      <c r="H599" s="70">
        <f t="shared" si="114"/>
      </c>
      <c r="I599" s="5">
        <f t="shared" si="115"/>
        <v/>
      </c>
      <c r="J599" s="5">
        <f t="shared" si="116"/>
      </c>
      <c r="K599" s="5">
        <f t="shared" si="117"/>
      </c>
      <c r="L599" s="5">
        <f t="shared" si="118"/>
      </c>
      <c r="M599">
        <f t="shared" si="119"/>
      </c>
      <c r="N599" s="18">
        <f t="shared" si="120"/>
      </c>
    </row>
    <row r="600" spans="3:14" x14ac:dyDescent="0.3">
      <c r="C600" s="5">
        <f t="shared" si="121"/>
      </c>
      <c r="D600" s="5">
        <f t="shared" si="122"/>
      </c>
      <c r="E600" s="70"/>
      <c r="F600" s="5">
        <f t="shared" si="123"/>
      </c>
      <c r="G600" s="5">
        <f t="shared" si="113"/>
      </c>
      <c r="H600" s="70">
        <f t="shared" si="114"/>
      </c>
      <c r="I600" s="5">
        <f t="shared" si="115"/>
        <v/>
      </c>
      <c r="J600" s="5">
        <f t="shared" si="116"/>
      </c>
      <c r="K600" s="5">
        <f t="shared" si="117"/>
      </c>
      <c r="L600" s="5">
        <f t="shared" si="118"/>
      </c>
      <c r="M600">
        <f t="shared" si="119"/>
      </c>
      <c r="N600" s="18">
        <f t="shared" si="120"/>
      </c>
    </row>
    <row r="601" spans="3:14" x14ac:dyDescent="0.3">
      <c r="C601" s="5">
        <f t="shared" si="121"/>
      </c>
      <c r="D601" s="5">
        <f t="shared" si="122"/>
      </c>
      <c r="E601" s="70"/>
      <c r="F601" s="5">
        <f t="shared" si="123"/>
      </c>
      <c r="G601" s="5">
        <f t="shared" si="113"/>
      </c>
      <c r="H601" s="70">
        <f t="shared" si="114"/>
      </c>
      <c r="I601" s="5">
        <f t="shared" si="115"/>
        <v/>
      </c>
      <c r="J601" s="5">
        <f t="shared" si="116"/>
      </c>
      <c r="K601" s="5">
        <f t="shared" si="117"/>
      </c>
      <c r="L601" s="5">
        <f t="shared" si="118"/>
      </c>
      <c r="M601">
        <f t="shared" si="119"/>
      </c>
      <c r="N601" s="18">
        <f t="shared" si="120"/>
      </c>
    </row>
    <row r="602" spans="3:14" x14ac:dyDescent="0.3">
      <c r="C602" s="5">
        <f t="shared" si="121"/>
      </c>
      <c r="D602" s="5">
        <f t="shared" si="122"/>
      </c>
      <c r="E602" s="70"/>
      <c r="F602" s="5">
        <f t="shared" si="123"/>
      </c>
      <c r="G602" s="5">
        <f t="shared" si="113"/>
      </c>
      <c r="H602" s="70">
        <f t="shared" si="114"/>
      </c>
      <c r="I602" s="5">
        <f t="shared" si="115"/>
        <v/>
      </c>
      <c r="J602" s="5">
        <f t="shared" si="116"/>
      </c>
      <c r="K602" s="5">
        <f t="shared" si="117"/>
      </c>
      <c r="L602" s="5">
        <f t="shared" si="118"/>
      </c>
      <c r="M602">
        <f t="shared" si="119"/>
      </c>
      <c r="N602" s="18">
        <f t="shared" si="120"/>
      </c>
    </row>
    <row r="603" spans="3:14" x14ac:dyDescent="0.3">
      <c r="C603" s="5">
        <f t="shared" si="121"/>
      </c>
      <c r="D603" s="5">
        <f t="shared" si="122"/>
      </c>
      <c r="E603" s="70"/>
      <c r="F603" s="5">
        <f t="shared" si="123"/>
      </c>
      <c r="G603" s="5">
        <f t="shared" si="113"/>
      </c>
      <c r="H603" s="70">
        <f t="shared" si="114"/>
      </c>
      <c r="I603" s="5">
        <f t="shared" si="115"/>
        <v/>
      </c>
      <c r="J603" s="5">
        <f t="shared" si="116"/>
      </c>
      <c r="K603" s="5">
        <f t="shared" si="117"/>
      </c>
      <c r="L603" s="5">
        <f t="shared" si="118"/>
      </c>
      <c r="M603">
        <f t="shared" si="119"/>
      </c>
      <c r="N603" s="18">
        <f t="shared" si="120"/>
      </c>
    </row>
    <row r="604" spans="3:14" x14ac:dyDescent="0.3">
      <c r="C604" s="5">
        <f t="shared" si="121"/>
      </c>
      <c r="D604" s="5">
        <f t="shared" si="122"/>
      </c>
      <c r="E604" s="70"/>
      <c r="F604" s="5">
        <f t="shared" si="123"/>
      </c>
      <c r="G604" s="5">
        <f t="shared" si="113"/>
      </c>
      <c r="H604" s="70">
        <f t="shared" si="114"/>
      </c>
      <c r="I604" s="5">
        <f t="shared" si="115"/>
        <v/>
      </c>
      <c r="J604" s="5">
        <f t="shared" si="116"/>
      </c>
      <c r="K604" s="5">
        <f t="shared" si="117"/>
      </c>
      <c r="L604" s="5">
        <f t="shared" si="118"/>
      </c>
      <c r="M604">
        <f t="shared" si="119"/>
      </c>
      <c r="N604" s="18">
        <f t="shared" si="120"/>
      </c>
    </row>
    <row r="605" spans="3:14" x14ac:dyDescent="0.3">
      <c r="C605" s="5">
        <f t="shared" si="121"/>
      </c>
      <c r="D605" s="5">
        <f t="shared" si="122"/>
      </c>
      <c r="E605" s="70"/>
      <c r="F605" s="5">
        <f t="shared" si="123"/>
      </c>
      <c r="G605" s="5">
        <f t="shared" si="113"/>
      </c>
      <c r="H605" s="70">
        <f t="shared" si="114"/>
      </c>
      <c r="I605" s="5">
        <f t="shared" si="115"/>
        <v/>
      </c>
      <c r="J605" s="5">
        <f t="shared" si="116"/>
      </c>
      <c r="K605" s="5">
        <f t="shared" si="117"/>
      </c>
      <c r="L605" s="5">
        <f t="shared" si="118"/>
      </c>
      <c r="M605">
        <f t="shared" si="119"/>
      </c>
      <c r="N605" s="18">
        <f t="shared" si="120"/>
      </c>
    </row>
    <row r="606" spans="3:14" x14ac:dyDescent="0.3">
      <c r="C606" s="5">
        <f t="shared" si="121"/>
      </c>
      <c r="D606" s="5">
        <f t="shared" si="122"/>
      </c>
      <c r="E606" s="70"/>
      <c r="F606" s="5">
        <f t="shared" si="123"/>
      </c>
      <c r="G606" s="5">
        <f t="shared" si="113"/>
      </c>
      <c r="H606" s="70">
        <f t="shared" si="114"/>
      </c>
      <c r="I606" s="5">
        <f t="shared" si="115"/>
        <v/>
      </c>
      <c r="J606" s="5">
        <f t="shared" si="116"/>
      </c>
      <c r="K606" s="5">
        <f t="shared" si="117"/>
      </c>
      <c r="L606" s="5">
        <f t="shared" si="118"/>
      </c>
      <c r="M606">
        <f t="shared" si="119"/>
      </c>
      <c r="N606" s="18">
        <f t="shared" si="120"/>
      </c>
    </row>
    <row r="607" spans="3:14" x14ac:dyDescent="0.3">
      <c r="C607" s="5">
        <f t="shared" si="121"/>
      </c>
      <c r="D607" s="5">
        <f t="shared" si="122"/>
      </c>
      <c r="E607" s="70"/>
      <c r="F607" s="5">
        <f t="shared" si="123"/>
      </c>
      <c r="G607" s="5">
        <f t="shared" si="113"/>
      </c>
      <c r="H607" s="70">
        <f t="shared" si="114"/>
      </c>
      <c r="I607" s="5">
        <f t="shared" si="115"/>
        <v/>
      </c>
      <c r="J607" s="5">
        <f t="shared" si="116"/>
      </c>
      <c r="K607" s="5">
        <f t="shared" si="117"/>
      </c>
      <c r="L607" s="5">
        <f t="shared" si="118"/>
      </c>
      <c r="M607">
        <f t="shared" si="119"/>
      </c>
      <c r="N607" s="18">
        <f t="shared" si="120"/>
      </c>
    </row>
    <row r="608" spans="3:14" x14ac:dyDescent="0.3">
      <c r="C608" s="5">
        <f t="shared" si="121"/>
      </c>
      <c r="D608" s="5">
        <f t="shared" si="122"/>
      </c>
      <c r="E608" s="70"/>
      <c r="F608" s="5">
        <f t="shared" si="123"/>
      </c>
      <c r="G608" s="5">
        <f t="shared" si="113"/>
      </c>
      <c r="H608" s="70">
        <f t="shared" si="114"/>
      </c>
      <c r="I608" s="5">
        <f t="shared" si="115"/>
        <v/>
      </c>
      <c r="J608" s="5">
        <f t="shared" si="116"/>
      </c>
      <c r="K608" s="5">
        <f t="shared" si="117"/>
      </c>
      <c r="L608" s="5">
        <f t="shared" si="118"/>
      </c>
      <c r="M608">
        <f t="shared" si="119"/>
      </c>
      <c r="N608" s="18">
        <f t="shared" si="120"/>
      </c>
    </row>
    <row r="609" spans="3:14" x14ac:dyDescent="0.3">
      <c r="C609" s="5">
        <f t="shared" si="121"/>
      </c>
      <c r="D609" s="5">
        <f t="shared" si="122"/>
      </c>
      <c r="E609" s="70"/>
      <c r="F609" s="5">
        <f t="shared" si="123"/>
      </c>
      <c r="G609" s="5">
        <f t="shared" si="113"/>
      </c>
      <c r="H609" s="70">
        <f t="shared" si="114"/>
      </c>
      <c r="I609" s="5">
        <f t="shared" si="115"/>
        <v/>
      </c>
      <c r="J609" s="5">
        <f t="shared" si="116"/>
      </c>
      <c r="K609" s="5">
        <f t="shared" si="117"/>
      </c>
      <c r="L609" s="5">
        <f t="shared" si="118"/>
      </c>
      <c r="M609">
        <f t="shared" si="119"/>
      </c>
      <c r="N609" s="18">
        <f t="shared" si="120"/>
      </c>
    </row>
    <row r="610" spans="3:14" x14ac:dyDescent="0.3">
      <c r="C610" s="5">
        <f t="shared" si="121"/>
      </c>
      <c r="D610" s="5">
        <f t="shared" si="122"/>
      </c>
      <c r="E610" s="70"/>
      <c r="F610" s="5">
        <f t="shared" si="123"/>
      </c>
      <c r="G610" s="5">
        <f t="shared" si="113"/>
      </c>
      <c r="H610" s="70">
        <f t="shared" si="114"/>
      </c>
      <c r="I610" s="5">
        <f t="shared" si="115"/>
        <v/>
      </c>
      <c r="J610" s="5">
        <f t="shared" si="116"/>
      </c>
      <c r="K610" s="5">
        <f t="shared" si="117"/>
      </c>
      <c r="L610" s="5">
        <f t="shared" si="118"/>
      </c>
      <c r="M610">
        <f t="shared" si="119"/>
      </c>
      <c r="N610" s="18">
        <f t="shared" si="120"/>
      </c>
    </row>
    <row r="611" spans="3:14" x14ac:dyDescent="0.3">
      <c r="C611" s="5">
        <f t="shared" si="121"/>
      </c>
      <c r="D611" s="5">
        <f t="shared" si="122"/>
      </c>
      <c r="E611" s="70"/>
      <c r="F611" s="5">
        <f t="shared" si="123"/>
      </c>
      <c r="G611" s="5">
        <f t="shared" si="113"/>
      </c>
      <c r="H611" s="70">
        <f t="shared" si="114"/>
      </c>
      <c r="I611" s="5">
        <f t="shared" si="115"/>
        <v/>
      </c>
      <c r="J611" s="5">
        <f t="shared" si="116"/>
      </c>
      <c r="K611" s="5">
        <f t="shared" si="117"/>
      </c>
      <c r="L611" s="5">
        <f t="shared" si="118"/>
      </c>
      <c r="M611">
        <f t="shared" si="119"/>
      </c>
      <c r="N611" s="18">
        <f t="shared" si="120"/>
      </c>
    </row>
    <row r="612" spans="3:14" x14ac:dyDescent="0.3">
      <c r="C612" s="5">
        <f t="shared" si="121"/>
      </c>
      <c r="D612" s="5">
        <f t="shared" si="122"/>
      </c>
      <c r="E612" s="70"/>
      <c r="F612" s="5">
        <f t="shared" si="123"/>
      </c>
      <c r="G612" s="5">
        <f t="shared" si="113"/>
      </c>
      <c r="H612" s="70">
        <f t="shared" si="114"/>
      </c>
      <c r="I612" s="5">
        <f t="shared" si="115"/>
        <v/>
      </c>
      <c r="J612" s="5">
        <f t="shared" si="116"/>
      </c>
      <c r="K612" s="5">
        <f t="shared" si="117"/>
      </c>
      <c r="L612" s="5">
        <f t="shared" si="118"/>
      </c>
      <c r="M612">
        <f t="shared" si="119"/>
      </c>
      <c r="N612" s="18">
        <f t="shared" si="120"/>
      </c>
    </row>
    <row r="613" spans="3:14" x14ac:dyDescent="0.3">
      <c r="C613" s="5">
        <f t="shared" si="121"/>
      </c>
      <c r="D613" s="5">
        <f t="shared" si="122"/>
      </c>
      <c r="E613" s="70"/>
      <c r="F613" s="5">
        <f t="shared" si="123"/>
      </c>
      <c r="G613" s="5">
        <f t="shared" si="113"/>
      </c>
      <c r="H613" s="70">
        <f t="shared" si="114"/>
      </c>
      <c r="I613" s="5">
        <f t="shared" si="115"/>
        <v/>
      </c>
      <c r="J613" s="5">
        <f t="shared" si="116"/>
      </c>
      <c r="K613" s="5">
        <f t="shared" si="117"/>
      </c>
      <c r="L613" s="5">
        <f t="shared" si="118"/>
      </c>
      <c r="M613">
        <f t="shared" si="119"/>
      </c>
      <c r="N613" s="18">
        <f t="shared" si="120"/>
      </c>
    </row>
    <row r="614" spans="3:14" x14ac:dyDescent="0.3">
      <c r="C614" s="5">
        <f t="shared" si="121"/>
      </c>
      <c r="D614" s="5">
        <f t="shared" si="122"/>
      </c>
      <c r="E614" s="70"/>
      <c r="F614" s="5">
        <f t="shared" si="123"/>
      </c>
      <c r="G614" s="5">
        <f t="shared" si="113"/>
      </c>
      <c r="H614" s="70">
        <f t="shared" si="114"/>
      </c>
      <c r="I614" s="5">
        <f t="shared" si="115"/>
        <v/>
      </c>
      <c r="J614" s="5">
        <f t="shared" si="116"/>
      </c>
      <c r="K614" s="5">
        <f t="shared" si="117"/>
      </c>
      <c r="L614" s="5">
        <f t="shared" si="118"/>
      </c>
      <c r="M614">
        <f t="shared" si="119"/>
      </c>
      <c r="N614" s="18">
        <f t="shared" si="120"/>
      </c>
    </row>
    <row r="615" spans="3:14" x14ac:dyDescent="0.3">
      <c r="C615" s="5">
        <f t="shared" si="121"/>
      </c>
      <c r="D615" s="5">
        <f t="shared" si="122"/>
      </c>
      <c r="E615" s="70"/>
      <c r="F615" s="5">
        <f t="shared" si="123"/>
      </c>
      <c r="G615" s="5">
        <f t="shared" si="113"/>
      </c>
      <c r="H615" s="70">
        <f t="shared" si="114"/>
      </c>
      <c r="I615" s="5">
        <f t="shared" si="115"/>
        <v/>
      </c>
      <c r="J615" s="5">
        <f t="shared" si="116"/>
      </c>
      <c r="K615" s="5">
        <f t="shared" si="117"/>
      </c>
      <c r="L615" s="5">
        <f t="shared" si="118"/>
      </c>
      <c r="M615">
        <f t="shared" si="119"/>
      </c>
      <c r="N615" s="18">
        <f t="shared" si="120"/>
      </c>
    </row>
    <row r="616" spans="3:14" x14ac:dyDescent="0.3">
      <c r="C616" s="5">
        <f t="shared" si="121"/>
      </c>
      <c r="D616" s="5">
        <f t="shared" si="122"/>
      </c>
      <c r="E616" s="70"/>
      <c r="F616" s="5">
        <f t="shared" si="123"/>
      </c>
      <c r="G616" s="5">
        <f t="shared" si="113"/>
      </c>
      <c r="H616" s="70">
        <f t="shared" si="114"/>
      </c>
      <c r="I616" s="5">
        <f t="shared" si="115"/>
        <v/>
      </c>
      <c r="J616" s="5">
        <f t="shared" si="116"/>
      </c>
      <c r="K616" s="5">
        <f t="shared" si="117"/>
      </c>
      <c r="L616" s="5">
        <f t="shared" si="118"/>
      </c>
      <c r="M616">
        <f t="shared" si="119"/>
      </c>
      <c r="N616" s="18">
        <f t="shared" si="120"/>
      </c>
    </row>
    <row r="617" spans="3:14" x14ac:dyDescent="0.3">
      <c r="C617" s="5">
        <f t="shared" si="121"/>
      </c>
      <c r="D617" s="5">
        <f t="shared" si="122"/>
      </c>
      <c r="E617" s="70"/>
      <c r="F617" s="5">
        <f t="shared" si="123"/>
      </c>
      <c r="G617" s="5">
        <f t="shared" si="113"/>
      </c>
      <c r="H617" s="70">
        <f t="shared" si="114"/>
      </c>
      <c r="I617" s="5">
        <f t="shared" si="115"/>
        <v/>
      </c>
      <c r="J617" s="5">
        <f t="shared" si="116"/>
      </c>
      <c r="K617" s="5">
        <f t="shared" si="117"/>
      </c>
      <c r="L617" s="5">
        <f t="shared" si="118"/>
      </c>
      <c r="M617">
        <f t="shared" si="119"/>
      </c>
      <c r="N617" s="18">
        <f t="shared" si="120"/>
      </c>
    </row>
    <row r="618" spans="3:14" x14ac:dyDescent="0.3">
      <c r="C618" s="5">
        <f t="shared" si="121"/>
      </c>
      <c r="D618" s="5">
        <f t="shared" si="122"/>
      </c>
      <c r="E618" s="70"/>
      <c r="F618" s="5">
        <f t="shared" si="123"/>
      </c>
      <c r="G618" s="5">
        <f t="shared" si="113"/>
      </c>
      <c r="H618" s="70">
        <f t="shared" si="114"/>
      </c>
      <c r="I618" s="5">
        <f t="shared" si="115"/>
        <v/>
      </c>
      <c r="J618" s="5">
        <f t="shared" si="116"/>
      </c>
      <c r="K618" s="5">
        <f t="shared" si="117"/>
      </c>
      <c r="L618" s="5">
        <f t="shared" si="118"/>
      </c>
      <c r="M618">
        <f t="shared" si="119"/>
      </c>
      <c r="N618" s="18">
        <f t="shared" si="120"/>
      </c>
    </row>
    <row r="619" spans="3:14" x14ac:dyDescent="0.3">
      <c r="C619" s="5">
        <f t="shared" si="121"/>
      </c>
      <c r="D619" s="5">
        <f t="shared" si="122"/>
      </c>
      <c r="E619" s="70"/>
      <c r="F619" s="5">
        <f t="shared" si="123"/>
      </c>
      <c r="G619" s="5">
        <f t="shared" si="113"/>
      </c>
      <c r="H619" s="70">
        <f t="shared" si="114"/>
      </c>
      <c r="I619" s="5">
        <f t="shared" si="115"/>
        <v/>
      </c>
      <c r="J619" s="5">
        <f t="shared" si="116"/>
      </c>
      <c r="K619" s="5">
        <f t="shared" si="117"/>
      </c>
      <c r="L619" s="5">
        <f t="shared" si="118"/>
      </c>
      <c r="M619">
        <f t="shared" si="119"/>
      </c>
      <c r="N619" s="18">
        <f t="shared" si="120"/>
      </c>
    </row>
    <row r="620" spans="3:14" x14ac:dyDescent="0.3">
      <c r="C620" s="5">
        <f t="shared" si="121"/>
      </c>
      <c r="D620" s="5">
        <f t="shared" si="122"/>
      </c>
      <c r="E620" s="70"/>
      <c r="F620" s="5">
        <f t="shared" si="123"/>
      </c>
      <c r="G620" s="5">
        <f t="shared" si="113"/>
      </c>
      <c r="H620" s="70">
        <f t="shared" si="114"/>
      </c>
      <c r="I620" s="5">
        <f t="shared" si="115"/>
        <v/>
      </c>
      <c r="J620" s="5">
        <f t="shared" si="116"/>
      </c>
      <c r="K620" s="5">
        <f t="shared" si="117"/>
      </c>
      <c r="L620" s="5">
        <f t="shared" si="118"/>
      </c>
      <c r="M620">
        <f t="shared" si="119"/>
      </c>
      <c r="N620" s="18">
        <f t="shared" si="120"/>
      </c>
    </row>
    <row r="621" spans="3:14" x14ac:dyDescent="0.3">
      <c r="C621" s="5">
        <f t="shared" si="121"/>
      </c>
      <c r="D621" s="5">
        <f t="shared" si="122"/>
      </c>
      <c r="E621" s="70"/>
      <c r="F621" s="5">
        <f t="shared" si="123"/>
      </c>
      <c r="G621" s="5">
        <f t="shared" si="113"/>
      </c>
      <c r="H621" s="70">
        <f t="shared" si="114"/>
      </c>
      <c r="I621" s="5">
        <f t="shared" si="115"/>
        <v/>
      </c>
      <c r="J621" s="5">
        <f t="shared" si="116"/>
      </c>
      <c r="K621" s="5">
        <f t="shared" si="117"/>
      </c>
      <c r="L621" s="5">
        <f t="shared" si="118"/>
      </c>
      <c r="M621">
        <f t="shared" si="119"/>
      </c>
      <c r="N621" s="18">
        <f t="shared" si="120"/>
      </c>
    </row>
    <row r="622" spans="3:14" x14ac:dyDescent="0.3">
      <c r="C622" s="5">
        <f t="shared" si="121"/>
      </c>
      <c r="D622" s="5">
        <f t="shared" si="122"/>
      </c>
      <c r="E622" s="70"/>
      <c r="F622" s="5">
        <f t="shared" si="123"/>
      </c>
      <c r="G622" s="5">
        <f t="shared" si="113"/>
      </c>
      <c r="H622" s="70">
        <f t="shared" si="114"/>
      </c>
      <c r="I622" s="5">
        <f t="shared" si="115"/>
        <v/>
      </c>
      <c r="J622" s="5">
        <f t="shared" si="116"/>
      </c>
      <c r="K622" s="5">
        <f t="shared" si="117"/>
      </c>
      <c r="L622" s="5">
        <f t="shared" si="118"/>
      </c>
      <c r="M622">
        <f t="shared" si="119"/>
      </c>
      <c r="N622" s="18">
        <f t="shared" si="120"/>
      </c>
    </row>
    <row r="623" spans="3:14" x14ac:dyDescent="0.3">
      <c r="C623" s="5">
        <f t="shared" si="121"/>
      </c>
      <c r="D623" s="5">
        <f t="shared" si="122"/>
      </c>
      <c r="E623" s="70"/>
      <c r="F623" s="5">
        <f t="shared" si="123"/>
      </c>
      <c r="G623" s="5">
        <f t="shared" si="113"/>
      </c>
      <c r="H623" s="70">
        <f t="shared" si="114"/>
      </c>
      <c r="I623" s="5">
        <f t="shared" si="115"/>
        <v/>
      </c>
      <c r="J623" s="5">
        <f t="shared" si="116"/>
      </c>
      <c r="K623" s="5">
        <f t="shared" si="117"/>
      </c>
      <c r="L623" s="5">
        <f t="shared" si="118"/>
      </c>
      <c r="M623">
        <f t="shared" si="119"/>
      </c>
      <c r="N623" s="18">
        <f t="shared" si="120"/>
      </c>
    </row>
    <row r="624" spans="3:14" x14ac:dyDescent="0.3">
      <c r="C624" s="5">
        <f t="shared" si="121"/>
      </c>
      <c r="D624" s="5">
        <f t="shared" si="122"/>
      </c>
      <c r="E624" s="70"/>
      <c r="F624" s="5">
        <f t="shared" si="123"/>
      </c>
      <c r="G624" s="5">
        <f t="shared" si="113"/>
      </c>
      <c r="H624" s="70">
        <f t="shared" si="114"/>
      </c>
      <c r="I624" s="5">
        <f t="shared" si="115"/>
        <v/>
      </c>
      <c r="J624" s="5">
        <f t="shared" si="116"/>
      </c>
      <c r="K624" s="5">
        <f t="shared" si="117"/>
      </c>
      <c r="L624" s="5">
        <f t="shared" si="118"/>
      </c>
      <c r="M624">
        <f t="shared" si="119"/>
      </c>
      <c r="N624" s="18">
        <f t="shared" si="120"/>
      </c>
    </row>
    <row r="625" spans="3:14" x14ac:dyDescent="0.3">
      <c r="C625" s="5">
        <f t="shared" si="121"/>
      </c>
      <c r="D625" s="5">
        <f t="shared" si="122"/>
      </c>
      <c r="E625" s="70"/>
      <c r="F625" s="5">
        <f t="shared" si="123"/>
      </c>
      <c r="G625" s="5">
        <f t="shared" si="113"/>
      </c>
      <c r="H625" s="70">
        <f t="shared" si="114"/>
      </c>
      <c r="I625" s="5">
        <f t="shared" si="115"/>
        <v/>
      </c>
      <c r="J625" s="5">
        <f t="shared" si="116"/>
      </c>
      <c r="K625" s="5">
        <f t="shared" si="117"/>
      </c>
      <c r="L625" s="5">
        <f t="shared" si="118"/>
      </c>
      <c r="M625">
        <f t="shared" si="119"/>
      </c>
      <c r="N625" s="18">
        <f t="shared" si="120"/>
      </c>
    </row>
    <row r="626" spans="3:14" x14ac:dyDescent="0.3">
      <c r="C626" s="5">
        <f t="shared" si="121"/>
      </c>
      <c r="D626" s="5">
        <f t="shared" si="122"/>
      </c>
      <c r="E626" s="70"/>
      <c r="F626" s="5">
        <f t="shared" si="123"/>
      </c>
      <c r="G626" s="5">
        <f t="shared" si="113"/>
      </c>
      <c r="H626" s="70">
        <f t="shared" si="114"/>
      </c>
      <c r="I626" s="5">
        <f t="shared" si="115"/>
        <v/>
      </c>
      <c r="J626" s="5">
        <f t="shared" si="116"/>
      </c>
      <c r="K626" s="5">
        <f t="shared" si="117"/>
      </c>
      <c r="L626" s="5">
        <f t="shared" si="118"/>
      </c>
      <c r="M626">
        <f t="shared" si="119"/>
      </c>
      <c r="N626" s="18">
        <f t="shared" si="120"/>
      </c>
    </row>
    <row r="627" spans="3:14" x14ac:dyDescent="0.3">
      <c r="C627" s="5">
        <f t="shared" si="121"/>
      </c>
      <c r="D627" s="5">
        <f t="shared" si="122"/>
      </c>
      <c r="E627" s="70"/>
      <c r="F627" s="5">
        <f t="shared" si="123"/>
      </c>
      <c r="G627" s="5">
        <f t="shared" si="113"/>
      </c>
      <c r="H627" s="70">
        <f t="shared" si="114"/>
      </c>
      <c r="I627" s="5">
        <f t="shared" si="115"/>
        <v/>
      </c>
      <c r="J627" s="5">
        <f t="shared" si="116"/>
      </c>
      <c r="K627" s="5">
        <f t="shared" si="117"/>
      </c>
      <c r="L627" s="5">
        <f t="shared" si="118"/>
      </c>
      <c r="M627">
        <f t="shared" si="119"/>
      </c>
      <c r="N627" s="18">
        <f t="shared" si="120"/>
      </c>
    </row>
    <row r="628" spans="3:14" x14ac:dyDescent="0.3">
      <c r="C628" s="5">
        <f t="shared" si="121"/>
      </c>
      <c r="D628" s="5">
        <f t="shared" si="122"/>
      </c>
      <c r="E628" s="70"/>
      <c r="F628" s="5">
        <f t="shared" si="123"/>
      </c>
      <c r="G628" s="5">
        <f t="shared" si="113"/>
      </c>
      <c r="H628" s="70">
        <f t="shared" si="114"/>
      </c>
      <c r="I628" s="5">
        <f t="shared" si="115"/>
        <v/>
      </c>
      <c r="J628" s="5">
        <f t="shared" si="116"/>
      </c>
      <c r="K628" s="5">
        <f t="shared" si="117"/>
      </c>
      <c r="L628" s="5">
        <f t="shared" si="118"/>
      </c>
      <c r="M628">
        <f t="shared" si="119"/>
      </c>
      <c r="N628" s="18">
        <f t="shared" si="120"/>
      </c>
    </row>
    <row r="629" spans="3:14" x14ac:dyDescent="0.3">
      <c r="C629" s="5">
        <f t="shared" si="121"/>
      </c>
      <c r="D629" s="5">
        <f t="shared" si="122"/>
      </c>
      <c r="E629" s="70"/>
      <c r="F629" s="5">
        <f t="shared" si="123"/>
      </c>
      <c r="G629" s="5">
        <f t="shared" ref="G629:G692" si="124">IF(E629="упр","",IF(E629=0,F629,IF(E629="1,2,3","L1,L2,L3","L"&amp;E629)))</f>
      </c>
      <c r="H629" s="70">
        <f t="shared" ref="H629:H692" si="125">VLOOKUP(D629,Исходные_данные,5,FALSE)</f>
      </c>
      <c r="I629" s="5">
        <f t="shared" ref="I629:I692" si="126">IFERROR(VLOOKUP(D629,Исходные_данные,36,FALSE),"")</f>
        <v/>
      </c>
      <c r="J629" s="5">
        <f t="shared" ref="J629:J692" si="127">VLOOKUP(D629,Исходные_данные,46,FALSE)</f>
      </c>
      <c r="K629" s="5">
        <f t="shared" ref="K629:K692" si="128">VLOOKUP(D629,Исходные_данные,16,FALSE)</f>
      </c>
      <c r="L629" s="5">
        <f t="shared" ref="L629:L692" si="129">H629*K629</f>
      </c>
      <c r="M629">
        <f t="shared" ref="M629:M692" si="130">IF(ISBLANK(E629),M628,E629)</f>
      </c>
      <c r="N629" s="18">
        <f t="shared" ref="N629:N692" si="131">C629&amp;G629</f>
      </c>
    </row>
    <row r="630" spans="3:14" x14ac:dyDescent="0.3">
      <c r="C630" s="5">
        <f t="shared" si="121"/>
      </c>
      <c r="D630" s="5">
        <f t="shared" si="122"/>
      </c>
      <c r="E630" s="70"/>
      <c r="F630" s="5">
        <f t="shared" si="123"/>
      </c>
      <c r="G630" s="5">
        <f t="shared" si="124"/>
      </c>
      <c r="H630" s="70">
        <f t="shared" si="125"/>
      </c>
      <c r="I630" s="5">
        <f t="shared" si="126"/>
        <v/>
      </c>
      <c r="J630" s="5">
        <f t="shared" si="127"/>
      </c>
      <c r="K630" s="5">
        <f t="shared" si="128"/>
      </c>
      <c r="L630" s="5">
        <f t="shared" si="129"/>
      </c>
      <c r="M630">
        <f t="shared" si="130"/>
      </c>
      <c r="N630" s="18">
        <f t="shared" si="131"/>
      </c>
    </row>
    <row r="631" spans="3:14" x14ac:dyDescent="0.3">
      <c r="C631" s="5">
        <f t="shared" si="121"/>
      </c>
      <c r="D631" s="5">
        <f t="shared" si="122"/>
      </c>
      <c r="E631" s="70"/>
      <c r="F631" s="5">
        <f t="shared" si="123"/>
      </c>
      <c r="G631" s="5">
        <f t="shared" si="124"/>
      </c>
      <c r="H631" s="70">
        <f t="shared" si="125"/>
      </c>
      <c r="I631" s="5">
        <f t="shared" si="126"/>
        <v/>
      </c>
      <c r="J631" s="5">
        <f t="shared" si="127"/>
      </c>
      <c r="K631" s="5">
        <f t="shared" si="128"/>
      </c>
      <c r="L631" s="5">
        <f t="shared" si="129"/>
      </c>
      <c r="M631">
        <f t="shared" si="130"/>
      </c>
      <c r="N631" s="18">
        <f t="shared" si="131"/>
      </c>
    </row>
    <row r="632" spans="3:14" x14ac:dyDescent="0.3">
      <c r="C632" s="5">
        <f t="shared" si="121"/>
      </c>
      <c r="D632" s="5">
        <f t="shared" si="122"/>
      </c>
      <c r="E632" s="70"/>
      <c r="F632" s="5">
        <f t="shared" si="123"/>
      </c>
      <c r="G632" s="5">
        <f t="shared" si="124"/>
      </c>
      <c r="H632" s="70">
        <f t="shared" si="125"/>
      </c>
      <c r="I632" s="5">
        <f t="shared" si="126"/>
        <v/>
      </c>
      <c r="J632" s="5">
        <f t="shared" si="127"/>
      </c>
      <c r="K632" s="5">
        <f t="shared" si="128"/>
      </c>
      <c r="L632" s="5">
        <f t="shared" si="129"/>
      </c>
      <c r="M632">
        <f t="shared" si="130"/>
      </c>
      <c r="N632" s="18">
        <f t="shared" si="131"/>
      </c>
    </row>
    <row r="633" spans="3:14" x14ac:dyDescent="0.3">
      <c r="C633" s="5">
        <f t="shared" si="121"/>
      </c>
      <c r="D633" s="5">
        <f t="shared" si="122"/>
      </c>
      <c r="E633" s="70"/>
      <c r="F633" s="5">
        <f t="shared" si="123"/>
      </c>
      <c r="G633" s="5">
        <f t="shared" si="124"/>
      </c>
      <c r="H633" s="70">
        <f t="shared" si="125"/>
      </c>
      <c r="I633" s="5">
        <f t="shared" si="126"/>
        <v/>
      </c>
      <c r="J633" s="5">
        <f t="shared" si="127"/>
      </c>
      <c r="K633" s="5">
        <f t="shared" si="128"/>
      </c>
      <c r="L633" s="5">
        <f t="shared" si="129"/>
      </c>
      <c r="M633">
        <f t="shared" si="130"/>
      </c>
      <c r="N633" s="18">
        <f t="shared" si="131"/>
      </c>
    </row>
    <row r="634" spans="3:14" x14ac:dyDescent="0.3">
      <c r="C634" s="5">
        <f t="shared" si="121"/>
      </c>
      <c r="D634" s="5">
        <f t="shared" si="122"/>
      </c>
      <c r="E634" s="70"/>
      <c r="F634" s="5">
        <f t="shared" si="123"/>
      </c>
      <c r="G634" s="5">
        <f t="shared" si="124"/>
      </c>
      <c r="H634" s="70">
        <f t="shared" si="125"/>
      </c>
      <c r="I634" s="5">
        <f t="shared" si="126"/>
        <v/>
      </c>
      <c r="J634" s="5">
        <f t="shared" si="127"/>
      </c>
      <c r="K634" s="5">
        <f t="shared" si="128"/>
      </c>
      <c r="L634" s="5">
        <f t="shared" si="129"/>
      </c>
      <c r="M634">
        <f t="shared" si="130"/>
      </c>
      <c r="N634" s="18">
        <f t="shared" si="131"/>
      </c>
    </row>
    <row r="635" spans="3:14" x14ac:dyDescent="0.3">
      <c r="C635" s="5">
        <f t="shared" si="121"/>
      </c>
      <c r="D635" s="5">
        <f t="shared" si="122"/>
      </c>
      <c r="E635" s="70"/>
      <c r="F635" s="5">
        <f t="shared" si="123"/>
      </c>
      <c r="G635" s="5">
        <f t="shared" si="124"/>
      </c>
      <c r="H635" s="70">
        <f t="shared" si="125"/>
      </c>
      <c r="I635" s="5">
        <f t="shared" si="126"/>
        <v/>
      </c>
      <c r="J635" s="5">
        <f t="shared" si="127"/>
      </c>
      <c r="K635" s="5">
        <f t="shared" si="128"/>
      </c>
      <c r="L635" s="5">
        <f t="shared" si="129"/>
      </c>
      <c r="M635">
        <f t="shared" si="130"/>
      </c>
      <c r="N635" s="18">
        <f t="shared" si="131"/>
      </c>
    </row>
    <row r="636" spans="3:14" x14ac:dyDescent="0.3">
      <c r="C636" s="5">
        <f t="shared" si="121"/>
      </c>
      <c r="D636" s="5">
        <f t="shared" si="122"/>
      </c>
      <c r="E636" s="70"/>
      <c r="F636" s="5">
        <f t="shared" si="123"/>
      </c>
      <c r="G636" s="5">
        <f t="shared" si="124"/>
      </c>
      <c r="H636" s="70">
        <f t="shared" si="125"/>
      </c>
      <c r="I636" s="5">
        <f t="shared" si="126"/>
        <v/>
      </c>
      <c r="J636" s="5">
        <f t="shared" si="127"/>
      </c>
      <c r="K636" s="5">
        <f t="shared" si="128"/>
      </c>
      <c r="L636" s="5">
        <f t="shared" si="129"/>
      </c>
      <c r="M636">
        <f t="shared" si="130"/>
      </c>
      <c r="N636" s="18">
        <f t="shared" si="131"/>
      </c>
    </row>
    <row r="637" spans="3:14" x14ac:dyDescent="0.3">
      <c r="C637" s="5">
        <f t="shared" si="121"/>
      </c>
      <c r="D637" s="5">
        <f t="shared" si="122"/>
      </c>
      <c r="E637" s="70"/>
      <c r="F637" s="5">
        <f t="shared" si="123"/>
      </c>
      <c r="G637" s="5">
        <f t="shared" si="124"/>
      </c>
      <c r="H637" s="70">
        <f t="shared" si="125"/>
      </c>
      <c r="I637" s="5">
        <f t="shared" si="126"/>
        <v/>
      </c>
      <c r="J637" s="5">
        <f t="shared" si="127"/>
      </c>
      <c r="K637" s="5">
        <f t="shared" si="128"/>
      </c>
      <c r="L637" s="5">
        <f t="shared" si="129"/>
      </c>
      <c r="M637">
        <f t="shared" si="130"/>
      </c>
      <c r="N637" s="18">
        <f t="shared" si="131"/>
      </c>
    </row>
    <row r="638" spans="3:14" x14ac:dyDescent="0.3">
      <c r="C638" s="5">
        <f t="shared" si="121"/>
      </c>
      <c r="D638" s="5">
        <f t="shared" si="122"/>
      </c>
      <c r="E638" s="70"/>
      <c r="F638" s="5">
        <f t="shared" si="123"/>
      </c>
      <c r="G638" s="5">
        <f t="shared" si="124"/>
      </c>
      <c r="H638" s="70">
        <f t="shared" si="125"/>
      </c>
      <c r="I638" s="5">
        <f t="shared" si="126"/>
        <v/>
      </c>
      <c r="J638" s="5">
        <f t="shared" si="127"/>
      </c>
      <c r="K638" s="5">
        <f t="shared" si="128"/>
      </c>
      <c r="L638" s="5">
        <f t="shared" si="129"/>
      </c>
      <c r="M638">
        <f t="shared" si="130"/>
      </c>
      <c r="N638" s="18">
        <f t="shared" si="131"/>
      </c>
    </row>
    <row r="639" spans="3:14" x14ac:dyDescent="0.3">
      <c r="C639" s="5">
        <f t="shared" si="121"/>
      </c>
      <c r="D639" s="5">
        <f t="shared" si="122"/>
      </c>
      <c r="E639" s="70"/>
      <c r="F639" s="5">
        <f t="shared" si="123"/>
      </c>
      <c r="G639" s="5">
        <f t="shared" si="124"/>
      </c>
      <c r="H639" s="70">
        <f t="shared" si="125"/>
      </c>
      <c r="I639" s="5">
        <f t="shared" si="126"/>
        <v/>
      </c>
      <c r="J639" s="5">
        <f t="shared" si="127"/>
      </c>
      <c r="K639" s="5">
        <f t="shared" si="128"/>
      </c>
      <c r="L639" s="5">
        <f t="shared" si="129"/>
      </c>
      <c r="M639">
        <f t="shared" si="130"/>
      </c>
      <c r="N639" s="18">
        <f t="shared" si="131"/>
      </c>
    </row>
    <row r="640" spans="3:14" x14ac:dyDescent="0.3">
      <c r="C640" s="5">
        <f t="shared" si="121"/>
      </c>
      <c r="D640" s="5">
        <f t="shared" si="122"/>
      </c>
      <c r="E640" s="70"/>
      <c r="F640" s="5">
        <f t="shared" si="123"/>
      </c>
      <c r="G640" s="5">
        <f t="shared" si="124"/>
      </c>
      <c r="H640" s="70">
        <f t="shared" si="125"/>
      </c>
      <c r="I640" s="5">
        <f t="shared" si="126"/>
        <v/>
      </c>
      <c r="J640" s="5">
        <f t="shared" si="127"/>
      </c>
      <c r="K640" s="5">
        <f t="shared" si="128"/>
      </c>
      <c r="L640" s="5">
        <f t="shared" si="129"/>
      </c>
      <c r="M640">
        <f t="shared" si="130"/>
      </c>
      <c r="N640" s="18">
        <f t="shared" si="131"/>
      </c>
    </row>
    <row r="641" spans="3:14" x14ac:dyDescent="0.3">
      <c r="C641" s="5">
        <f t="shared" si="121"/>
      </c>
      <c r="D641" s="5">
        <f t="shared" si="122"/>
      </c>
      <c r="E641" s="70"/>
      <c r="F641" s="5">
        <f t="shared" si="123"/>
      </c>
      <c r="G641" s="5">
        <f t="shared" si="124"/>
      </c>
      <c r="H641" s="70">
        <f t="shared" si="125"/>
      </c>
      <c r="I641" s="5">
        <f t="shared" si="126"/>
        <v/>
      </c>
      <c r="J641" s="5">
        <f t="shared" si="127"/>
      </c>
      <c r="K641" s="5">
        <f t="shared" si="128"/>
      </c>
      <c r="L641" s="5">
        <f t="shared" si="129"/>
      </c>
      <c r="M641">
        <f t="shared" si="130"/>
      </c>
      <c r="N641" s="18">
        <f t="shared" si="131"/>
      </c>
    </row>
    <row r="642" spans="3:14" x14ac:dyDescent="0.3">
      <c r="C642" s="5">
        <f t="shared" si="121"/>
      </c>
      <c r="D642" s="5">
        <f t="shared" si="122"/>
      </c>
      <c r="E642" s="70"/>
      <c r="F642" s="5">
        <f t="shared" si="123"/>
      </c>
      <c r="G642" s="5">
        <f t="shared" si="124"/>
      </c>
      <c r="H642" s="70">
        <f t="shared" si="125"/>
      </c>
      <c r="I642" s="5">
        <f t="shared" si="126"/>
        <v/>
      </c>
      <c r="J642" s="5">
        <f t="shared" si="127"/>
      </c>
      <c r="K642" s="5">
        <f t="shared" si="128"/>
      </c>
      <c r="L642" s="5">
        <f t="shared" si="129"/>
      </c>
      <c r="M642">
        <f t="shared" si="130"/>
      </c>
      <c r="N642" s="18">
        <f t="shared" si="131"/>
      </c>
    </row>
    <row r="643" spans="3:14" x14ac:dyDescent="0.3">
      <c r="C643" s="5">
        <f t="shared" ref="C643:C706" si="132">VLOOKUP(ROW(641:641),Разбивка_нумерация_5,2,FALSE)</f>
      </c>
      <c r="D643" s="5">
        <f t="shared" ref="D643:D706" si="133">VLOOKUP(ROW(641:641),Разбивка_нумерация_5,4,FALSE)</f>
      </c>
      <c r="E643" s="70"/>
      <c r="F643" s="5">
        <f t="shared" ref="F643:F706" si="134">VLOOKUP(ROW(641:641),Разбивка_нумерация_5,16,FALSE)</f>
      </c>
      <c r="G643" s="5">
        <f t="shared" si="124"/>
      </c>
      <c r="H643" s="70">
        <f t="shared" si="125"/>
      </c>
      <c r="I643" s="5">
        <f t="shared" si="126"/>
        <v/>
      </c>
      <c r="J643" s="5">
        <f t="shared" si="127"/>
      </c>
      <c r="K643" s="5">
        <f t="shared" si="128"/>
      </c>
      <c r="L643" s="5">
        <f t="shared" si="129"/>
      </c>
      <c r="M643">
        <f t="shared" si="130"/>
      </c>
      <c r="N643" s="18">
        <f t="shared" si="131"/>
      </c>
    </row>
    <row r="644" spans="3:14" x14ac:dyDescent="0.3">
      <c r="C644" s="5">
        <f t="shared" si="132"/>
      </c>
      <c r="D644" s="5">
        <f t="shared" si="133"/>
      </c>
      <c r="E644" s="70"/>
      <c r="F644" s="5">
        <f t="shared" si="134"/>
      </c>
      <c r="G644" s="5">
        <f t="shared" si="124"/>
      </c>
      <c r="H644" s="70">
        <f t="shared" si="125"/>
      </c>
      <c r="I644" s="5">
        <f t="shared" si="126"/>
        <v/>
      </c>
      <c r="J644" s="5">
        <f t="shared" si="127"/>
      </c>
      <c r="K644" s="5">
        <f t="shared" si="128"/>
      </c>
      <c r="L644" s="5">
        <f t="shared" si="129"/>
      </c>
      <c r="M644">
        <f t="shared" si="130"/>
      </c>
      <c r="N644" s="18">
        <f t="shared" si="131"/>
      </c>
    </row>
    <row r="645" spans="3:14" x14ac:dyDescent="0.3">
      <c r="C645" s="5">
        <f t="shared" si="132"/>
      </c>
      <c r="D645" s="5">
        <f t="shared" si="133"/>
      </c>
      <c r="E645" s="70"/>
      <c r="F645" s="5">
        <f t="shared" si="134"/>
      </c>
      <c r="G645" s="5">
        <f t="shared" si="124"/>
      </c>
      <c r="H645" s="70">
        <f t="shared" si="125"/>
      </c>
      <c r="I645" s="5">
        <f t="shared" si="126"/>
        <v/>
      </c>
      <c r="J645" s="5">
        <f t="shared" si="127"/>
      </c>
      <c r="K645" s="5">
        <f t="shared" si="128"/>
      </c>
      <c r="L645" s="5">
        <f t="shared" si="129"/>
      </c>
      <c r="M645">
        <f t="shared" si="130"/>
      </c>
      <c r="N645" s="18">
        <f t="shared" si="131"/>
      </c>
    </row>
    <row r="646" spans="3:14" x14ac:dyDescent="0.3">
      <c r="C646" s="5">
        <f t="shared" si="132"/>
      </c>
      <c r="D646" s="5">
        <f t="shared" si="133"/>
      </c>
      <c r="E646" s="70"/>
      <c r="F646" s="5">
        <f t="shared" si="134"/>
      </c>
      <c r="G646" s="5">
        <f t="shared" si="124"/>
      </c>
      <c r="H646" s="70">
        <f t="shared" si="125"/>
      </c>
      <c r="I646" s="5">
        <f t="shared" si="126"/>
        <v/>
      </c>
      <c r="J646" s="5">
        <f t="shared" si="127"/>
      </c>
      <c r="K646" s="5">
        <f t="shared" si="128"/>
      </c>
      <c r="L646" s="5">
        <f t="shared" si="129"/>
      </c>
      <c r="M646">
        <f t="shared" si="130"/>
      </c>
      <c r="N646" s="18">
        <f t="shared" si="131"/>
      </c>
    </row>
    <row r="647" spans="3:14" x14ac:dyDescent="0.3">
      <c r="C647" s="5">
        <f t="shared" si="132"/>
      </c>
      <c r="D647" s="5">
        <f t="shared" si="133"/>
      </c>
      <c r="E647" s="70"/>
      <c r="F647" s="5">
        <f t="shared" si="134"/>
      </c>
      <c r="G647" s="5">
        <f t="shared" si="124"/>
      </c>
      <c r="H647" s="70">
        <f t="shared" si="125"/>
      </c>
      <c r="I647" s="5">
        <f t="shared" si="126"/>
        <v/>
      </c>
      <c r="J647" s="5">
        <f t="shared" si="127"/>
      </c>
      <c r="K647" s="5">
        <f t="shared" si="128"/>
      </c>
      <c r="L647" s="5">
        <f t="shared" si="129"/>
      </c>
      <c r="M647">
        <f t="shared" si="130"/>
      </c>
      <c r="N647" s="18">
        <f t="shared" si="131"/>
      </c>
    </row>
    <row r="648" spans="3:14" x14ac:dyDescent="0.3">
      <c r="C648" s="5">
        <f t="shared" si="132"/>
      </c>
      <c r="D648" s="5">
        <f t="shared" si="133"/>
      </c>
      <c r="E648" s="70"/>
      <c r="F648" s="5">
        <f t="shared" si="134"/>
      </c>
      <c r="G648" s="5">
        <f t="shared" si="124"/>
      </c>
      <c r="H648" s="70">
        <f t="shared" si="125"/>
      </c>
      <c r="I648" s="5">
        <f t="shared" si="126"/>
        <v/>
      </c>
      <c r="J648" s="5">
        <f t="shared" si="127"/>
      </c>
      <c r="K648" s="5">
        <f t="shared" si="128"/>
      </c>
      <c r="L648" s="5">
        <f t="shared" si="129"/>
      </c>
      <c r="M648">
        <f t="shared" si="130"/>
      </c>
      <c r="N648" s="18">
        <f t="shared" si="131"/>
      </c>
    </row>
    <row r="649" spans="3:14" x14ac:dyDescent="0.3">
      <c r="C649" s="5">
        <f t="shared" si="132"/>
      </c>
      <c r="D649" s="5">
        <f t="shared" si="133"/>
      </c>
      <c r="E649" s="70"/>
      <c r="F649" s="5">
        <f t="shared" si="134"/>
      </c>
      <c r="G649" s="5">
        <f t="shared" si="124"/>
      </c>
      <c r="H649" s="70">
        <f t="shared" si="125"/>
      </c>
      <c r="I649" s="5">
        <f t="shared" si="126"/>
        <v/>
      </c>
      <c r="J649" s="5">
        <f t="shared" si="127"/>
      </c>
      <c r="K649" s="5">
        <f t="shared" si="128"/>
      </c>
      <c r="L649" s="5">
        <f t="shared" si="129"/>
      </c>
      <c r="M649">
        <f t="shared" si="130"/>
      </c>
      <c r="N649" s="18">
        <f t="shared" si="131"/>
      </c>
    </row>
    <row r="650" spans="3:14" x14ac:dyDescent="0.3">
      <c r="C650" s="5">
        <f t="shared" si="132"/>
      </c>
      <c r="D650" s="5">
        <f t="shared" si="133"/>
      </c>
      <c r="E650" s="70"/>
      <c r="F650" s="5">
        <f t="shared" si="134"/>
      </c>
      <c r="G650" s="5">
        <f t="shared" si="124"/>
      </c>
      <c r="H650" s="70">
        <f t="shared" si="125"/>
      </c>
      <c r="I650" s="5">
        <f t="shared" si="126"/>
        <v/>
      </c>
      <c r="J650" s="5">
        <f t="shared" si="127"/>
      </c>
      <c r="K650" s="5">
        <f t="shared" si="128"/>
      </c>
      <c r="L650" s="5">
        <f t="shared" si="129"/>
      </c>
      <c r="M650">
        <f t="shared" si="130"/>
      </c>
      <c r="N650" s="18">
        <f t="shared" si="131"/>
      </c>
    </row>
    <row r="651" spans="3:14" x14ac:dyDescent="0.3">
      <c r="C651" s="5">
        <f t="shared" si="132"/>
      </c>
      <c r="D651" s="5">
        <f t="shared" si="133"/>
      </c>
      <c r="E651" s="70"/>
      <c r="F651" s="5">
        <f t="shared" si="134"/>
      </c>
      <c r="G651" s="5">
        <f t="shared" si="124"/>
      </c>
      <c r="H651" s="70">
        <f t="shared" si="125"/>
      </c>
      <c r="I651" s="5">
        <f t="shared" si="126"/>
        <v/>
      </c>
      <c r="J651" s="5">
        <f t="shared" si="127"/>
      </c>
      <c r="K651" s="5">
        <f t="shared" si="128"/>
      </c>
      <c r="L651" s="5">
        <f t="shared" si="129"/>
      </c>
      <c r="M651">
        <f t="shared" si="130"/>
      </c>
      <c r="N651" s="18">
        <f t="shared" si="131"/>
      </c>
    </row>
    <row r="652" spans="3:14" x14ac:dyDescent="0.3">
      <c r="C652" s="5">
        <f t="shared" si="132"/>
      </c>
      <c r="D652" s="5">
        <f t="shared" si="133"/>
      </c>
      <c r="E652" s="70"/>
      <c r="F652" s="5">
        <f t="shared" si="134"/>
      </c>
      <c r="G652" s="5">
        <f t="shared" si="124"/>
      </c>
      <c r="H652" s="70">
        <f t="shared" si="125"/>
      </c>
      <c r="I652" s="5">
        <f t="shared" si="126"/>
        <v/>
      </c>
      <c r="J652" s="5">
        <f t="shared" si="127"/>
      </c>
      <c r="K652" s="5">
        <f t="shared" si="128"/>
      </c>
      <c r="L652" s="5">
        <f t="shared" si="129"/>
      </c>
      <c r="M652">
        <f t="shared" si="130"/>
      </c>
      <c r="N652" s="18">
        <f t="shared" si="131"/>
      </c>
    </row>
    <row r="653" spans="3:14" x14ac:dyDescent="0.3">
      <c r="C653" s="5">
        <f t="shared" si="132"/>
      </c>
      <c r="D653" s="5">
        <f t="shared" si="133"/>
      </c>
      <c r="E653" s="70"/>
      <c r="F653" s="5">
        <f t="shared" si="134"/>
      </c>
      <c r="G653" s="5">
        <f t="shared" si="124"/>
      </c>
      <c r="H653" s="70">
        <f t="shared" si="125"/>
      </c>
      <c r="I653" s="5">
        <f t="shared" si="126"/>
        <v/>
      </c>
      <c r="J653" s="5">
        <f t="shared" si="127"/>
      </c>
      <c r="K653" s="5">
        <f t="shared" si="128"/>
      </c>
      <c r="L653" s="5">
        <f t="shared" si="129"/>
      </c>
      <c r="M653">
        <f t="shared" si="130"/>
      </c>
      <c r="N653" s="18">
        <f t="shared" si="131"/>
      </c>
    </row>
    <row r="654" spans="3:14" x14ac:dyDescent="0.3">
      <c r="C654" s="5">
        <f t="shared" si="132"/>
      </c>
      <c r="D654" s="5">
        <f t="shared" si="133"/>
      </c>
      <c r="E654" s="70"/>
      <c r="F654" s="5">
        <f t="shared" si="134"/>
      </c>
      <c r="G654" s="5">
        <f t="shared" si="124"/>
      </c>
      <c r="H654" s="70">
        <f t="shared" si="125"/>
      </c>
      <c r="I654" s="5">
        <f t="shared" si="126"/>
        <v/>
      </c>
      <c r="J654" s="5">
        <f t="shared" si="127"/>
      </c>
      <c r="K654" s="5">
        <f t="shared" si="128"/>
      </c>
      <c r="L654" s="5">
        <f t="shared" si="129"/>
      </c>
      <c r="M654">
        <f t="shared" si="130"/>
      </c>
      <c r="N654" s="18">
        <f t="shared" si="131"/>
      </c>
    </row>
    <row r="655" spans="3:14" x14ac:dyDescent="0.3">
      <c r="C655" s="5">
        <f t="shared" si="132"/>
      </c>
      <c r="D655" s="5">
        <f t="shared" si="133"/>
      </c>
      <c r="E655" s="70"/>
      <c r="F655" s="5">
        <f t="shared" si="134"/>
      </c>
      <c r="G655" s="5">
        <f t="shared" si="124"/>
      </c>
      <c r="H655" s="70">
        <f t="shared" si="125"/>
      </c>
      <c r="I655" s="5">
        <f t="shared" si="126"/>
        <v/>
      </c>
      <c r="J655" s="5">
        <f t="shared" si="127"/>
      </c>
      <c r="K655" s="5">
        <f t="shared" si="128"/>
      </c>
      <c r="L655" s="5">
        <f t="shared" si="129"/>
      </c>
      <c r="M655">
        <f t="shared" si="130"/>
      </c>
      <c r="N655" s="18">
        <f t="shared" si="131"/>
      </c>
    </row>
    <row r="656" spans="3:14" x14ac:dyDescent="0.3">
      <c r="C656" s="5">
        <f t="shared" si="132"/>
      </c>
      <c r="D656" s="5">
        <f t="shared" si="133"/>
      </c>
      <c r="E656" s="70"/>
      <c r="F656" s="5">
        <f t="shared" si="134"/>
      </c>
      <c r="G656" s="5">
        <f t="shared" si="124"/>
      </c>
      <c r="H656" s="70">
        <f t="shared" si="125"/>
      </c>
      <c r="I656" s="5">
        <f t="shared" si="126"/>
        <v/>
      </c>
      <c r="J656" s="5">
        <f t="shared" si="127"/>
      </c>
      <c r="K656" s="5">
        <f t="shared" si="128"/>
      </c>
      <c r="L656" s="5">
        <f t="shared" si="129"/>
      </c>
      <c r="M656">
        <f t="shared" si="130"/>
      </c>
      <c r="N656" s="18">
        <f t="shared" si="131"/>
      </c>
    </row>
    <row r="657" spans="3:14" x14ac:dyDescent="0.3">
      <c r="C657" s="5">
        <f t="shared" si="132"/>
      </c>
      <c r="D657" s="5">
        <f t="shared" si="133"/>
      </c>
      <c r="E657" s="70"/>
      <c r="F657" s="5">
        <f t="shared" si="134"/>
      </c>
      <c r="G657" s="5">
        <f t="shared" si="124"/>
      </c>
      <c r="H657" s="70">
        <f t="shared" si="125"/>
      </c>
      <c r="I657" s="5">
        <f t="shared" si="126"/>
        <v/>
      </c>
      <c r="J657" s="5">
        <f t="shared" si="127"/>
      </c>
      <c r="K657" s="5">
        <f t="shared" si="128"/>
      </c>
      <c r="L657" s="5">
        <f t="shared" si="129"/>
      </c>
      <c r="M657">
        <f t="shared" si="130"/>
      </c>
      <c r="N657" s="18">
        <f t="shared" si="131"/>
      </c>
    </row>
    <row r="658" spans="3:14" x14ac:dyDescent="0.3">
      <c r="C658" s="5">
        <f t="shared" si="132"/>
      </c>
      <c r="D658" s="5">
        <f t="shared" si="133"/>
      </c>
      <c r="E658" s="70"/>
      <c r="F658" s="5">
        <f t="shared" si="134"/>
      </c>
      <c r="G658" s="5">
        <f t="shared" si="124"/>
      </c>
      <c r="H658" s="70">
        <f t="shared" si="125"/>
      </c>
      <c r="I658" s="5">
        <f t="shared" si="126"/>
        <v/>
      </c>
      <c r="J658" s="5">
        <f t="shared" si="127"/>
      </c>
      <c r="K658" s="5">
        <f t="shared" si="128"/>
      </c>
      <c r="L658" s="5">
        <f t="shared" si="129"/>
      </c>
      <c r="M658">
        <f t="shared" si="130"/>
      </c>
      <c r="N658" s="18">
        <f t="shared" si="131"/>
      </c>
    </row>
    <row r="659" spans="3:14" x14ac:dyDescent="0.3">
      <c r="C659" s="5">
        <f t="shared" si="132"/>
      </c>
      <c r="D659" s="5">
        <f t="shared" si="133"/>
      </c>
      <c r="E659" s="70"/>
      <c r="F659" s="5">
        <f t="shared" si="134"/>
      </c>
      <c r="G659" s="5">
        <f t="shared" si="124"/>
      </c>
      <c r="H659" s="70">
        <f t="shared" si="125"/>
      </c>
      <c r="I659" s="5">
        <f t="shared" si="126"/>
        <v/>
      </c>
      <c r="J659" s="5">
        <f t="shared" si="127"/>
      </c>
      <c r="K659" s="5">
        <f t="shared" si="128"/>
      </c>
      <c r="L659" s="5">
        <f t="shared" si="129"/>
      </c>
      <c r="M659">
        <f t="shared" si="130"/>
      </c>
      <c r="N659" s="18">
        <f t="shared" si="131"/>
      </c>
    </row>
    <row r="660" spans="3:14" x14ac:dyDescent="0.3">
      <c r="C660" s="5">
        <f t="shared" si="132"/>
      </c>
      <c r="D660" s="5">
        <f t="shared" si="133"/>
      </c>
      <c r="E660" s="70"/>
      <c r="F660" s="5">
        <f t="shared" si="134"/>
      </c>
      <c r="G660" s="5">
        <f t="shared" si="124"/>
      </c>
      <c r="H660" s="70">
        <f t="shared" si="125"/>
      </c>
      <c r="I660" s="5">
        <f t="shared" si="126"/>
        <v/>
      </c>
      <c r="J660" s="5">
        <f t="shared" si="127"/>
      </c>
      <c r="K660" s="5">
        <f t="shared" si="128"/>
      </c>
      <c r="L660" s="5">
        <f t="shared" si="129"/>
      </c>
      <c r="M660">
        <f t="shared" si="130"/>
      </c>
      <c r="N660" s="18">
        <f t="shared" si="131"/>
      </c>
    </row>
    <row r="661" spans="3:14" x14ac:dyDescent="0.3">
      <c r="C661" s="5">
        <f t="shared" si="132"/>
      </c>
      <c r="D661" s="5">
        <f t="shared" si="133"/>
      </c>
      <c r="E661" s="70"/>
      <c r="F661" s="5">
        <f t="shared" si="134"/>
      </c>
      <c r="G661" s="5">
        <f t="shared" si="124"/>
      </c>
      <c r="H661" s="70">
        <f t="shared" si="125"/>
      </c>
      <c r="I661" s="5">
        <f t="shared" si="126"/>
        <v/>
      </c>
      <c r="J661" s="5">
        <f t="shared" si="127"/>
      </c>
      <c r="K661" s="5">
        <f t="shared" si="128"/>
      </c>
      <c r="L661" s="5">
        <f t="shared" si="129"/>
      </c>
      <c r="M661">
        <f t="shared" si="130"/>
      </c>
      <c r="N661" s="18">
        <f t="shared" si="131"/>
      </c>
    </row>
    <row r="662" spans="3:14" x14ac:dyDescent="0.3">
      <c r="C662" s="5">
        <f t="shared" si="132"/>
      </c>
      <c r="D662" s="5">
        <f t="shared" si="133"/>
      </c>
      <c r="E662" s="70"/>
      <c r="F662" s="5">
        <f t="shared" si="134"/>
      </c>
      <c r="G662" s="5">
        <f t="shared" si="124"/>
      </c>
      <c r="H662" s="70">
        <f t="shared" si="125"/>
      </c>
      <c r="I662" s="5">
        <f t="shared" si="126"/>
        <v/>
      </c>
      <c r="J662" s="5">
        <f t="shared" si="127"/>
      </c>
      <c r="K662" s="5">
        <f t="shared" si="128"/>
      </c>
      <c r="L662" s="5">
        <f t="shared" si="129"/>
      </c>
      <c r="M662">
        <f t="shared" si="130"/>
      </c>
      <c r="N662" s="18">
        <f t="shared" si="131"/>
      </c>
    </row>
    <row r="663" spans="3:14" x14ac:dyDescent="0.3">
      <c r="C663" s="5">
        <f t="shared" si="132"/>
      </c>
      <c r="D663" s="5">
        <f t="shared" si="133"/>
      </c>
      <c r="E663" s="70"/>
      <c r="F663" s="5">
        <f t="shared" si="134"/>
      </c>
      <c r="G663" s="5">
        <f t="shared" si="124"/>
      </c>
      <c r="H663" s="70">
        <f t="shared" si="125"/>
      </c>
      <c r="I663" s="5">
        <f t="shared" si="126"/>
        <v/>
      </c>
      <c r="J663" s="5">
        <f t="shared" si="127"/>
      </c>
      <c r="K663" s="5">
        <f t="shared" si="128"/>
      </c>
      <c r="L663" s="5">
        <f t="shared" si="129"/>
      </c>
      <c r="M663">
        <f t="shared" si="130"/>
      </c>
      <c r="N663" s="18">
        <f t="shared" si="131"/>
      </c>
    </row>
    <row r="664" spans="3:14" x14ac:dyDescent="0.3">
      <c r="C664" s="5">
        <f t="shared" si="132"/>
      </c>
      <c r="D664" s="5">
        <f t="shared" si="133"/>
      </c>
      <c r="E664" s="70"/>
      <c r="F664" s="5">
        <f t="shared" si="134"/>
      </c>
      <c r="G664" s="5">
        <f t="shared" si="124"/>
      </c>
      <c r="H664" s="70">
        <f t="shared" si="125"/>
      </c>
      <c r="I664" s="5">
        <f t="shared" si="126"/>
        <v/>
      </c>
      <c r="J664" s="5">
        <f t="shared" si="127"/>
      </c>
      <c r="K664" s="5">
        <f t="shared" si="128"/>
      </c>
      <c r="L664" s="5">
        <f t="shared" si="129"/>
      </c>
      <c r="M664">
        <f t="shared" si="130"/>
      </c>
      <c r="N664" s="18">
        <f t="shared" si="131"/>
      </c>
    </row>
    <row r="665" spans="3:14" x14ac:dyDescent="0.3">
      <c r="C665" s="5">
        <f t="shared" si="132"/>
      </c>
      <c r="D665" s="5">
        <f t="shared" si="133"/>
      </c>
      <c r="E665" s="70"/>
      <c r="F665" s="5">
        <f t="shared" si="134"/>
      </c>
      <c r="G665" s="5">
        <f t="shared" si="124"/>
      </c>
      <c r="H665" s="70">
        <f t="shared" si="125"/>
      </c>
      <c r="I665" s="5">
        <f t="shared" si="126"/>
        <v/>
      </c>
      <c r="J665" s="5">
        <f t="shared" si="127"/>
      </c>
      <c r="K665" s="5">
        <f t="shared" si="128"/>
      </c>
      <c r="L665" s="5">
        <f t="shared" si="129"/>
      </c>
      <c r="M665">
        <f t="shared" si="130"/>
      </c>
      <c r="N665" s="18">
        <f t="shared" si="131"/>
      </c>
    </row>
    <row r="666" spans="3:14" x14ac:dyDescent="0.3">
      <c r="C666" s="5">
        <f t="shared" si="132"/>
      </c>
      <c r="D666" s="5">
        <f t="shared" si="133"/>
      </c>
      <c r="E666" s="70"/>
      <c r="F666" s="5">
        <f t="shared" si="134"/>
      </c>
      <c r="G666" s="5">
        <f t="shared" si="124"/>
      </c>
      <c r="H666" s="70">
        <f t="shared" si="125"/>
      </c>
      <c r="I666" s="5">
        <f t="shared" si="126"/>
        <v/>
      </c>
      <c r="J666" s="5">
        <f t="shared" si="127"/>
      </c>
      <c r="K666" s="5">
        <f t="shared" si="128"/>
      </c>
      <c r="L666" s="5">
        <f t="shared" si="129"/>
      </c>
      <c r="M666">
        <f t="shared" si="130"/>
      </c>
      <c r="N666" s="18">
        <f t="shared" si="131"/>
      </c>
    </row>
    <row r="667" spans="3:14" x14ac:dyDescent="0.3">
      <c r="C667" s="5">
        <f t="shared" si="132"/>
      </c>
      <c r="D667" s="5">
        <f t="shared" si="133"/>
      </c>
      <c r="E667" s="70"/>
      <c r="F667" s="5">
        <f t="shared" si="134"/>
      </c>
      <c r="G667" s="5">
        <f t="shared" si="124"/>
      </c>
      <c r="H667" s="70">
        <f t="shared" si="125"/>
      </c>
      <c r="I667" s="5">
        <f t="shared" si="126"/>
        <v/>
      </c>
      <c r="J667" s="5">
        <f t="shared" si="127"/>
      </c>
      <c r="K667" s="5">
        <f t="shared" si="128"/>
      </c>
      <c r="L667" s="5">
        <f t="shared" si="129"/>
      </c>
      <c r="M667">
        <f t="shared" si="130"/>
      </c>
      <c r="N667" s="18">
        <f t="shared" si="131"/>
      </c>
    </row>
    <row r="668" spans="3:14" x14ac:dyDescent="0.3">
      <c r="C668" s="5">
        <f t="shared" si="132"/>
      </c>
      <c r="D668" s="5">
        <f t="shared" si="133"/>
      </c>
      <c r="E668" s="70"/>
      <c r="F668" s="5">
        <f t="shared" si="134"/>
      </c>
      <c r="G668" s="5">
        <f t="shared" si="124"/>
      </c>
      <c r="H668" s="70">
        <f t="shared" si="125"/>
      </c>
      <c r="I668" s="5">
        <f t="shared" si="126"/>
        <v/>
      </c>
      <c r="J668" s="5">
        <f t="shared" si="127"/>
      </c>
      <c r="K668" s="5">
        <f t="shared" si="128"/>
      </c>
      <c r="L668" s="5">
        <f t="shared" si="129"/>
      </c>
      <c r="M668">
        <f t="shared" si="130"/>
      </c>
      <c r="N668" s="18">
        <f t="shared" si="131"/>
      </c>
    </row>
    <row r="669" spans="3:14" x14ac:dyDescent="0.3">
      <c r="C669" s="5">
        <f t="shared" si="132"/>
      </c>
      <c r="D669" s="5">
        <f t="shared" si="133"/>
      </c>
      <c r="E669" s="70"/>
      <c r="F669" s="5">
        <f t="shared" si="134"/>
      </c>
      <c r="G669" s="5">
        <f t="shared" si="124"/>
      </c>
      <c r="H669" s="70">
        <f t="shared" si="125"/>
      </c>
      <c r="I669" s="5">
        <f t="shared" si="126"/>
        <v/>
      </c>
      <c r="J669" s="5">
        <f t="shared" si="127"/>
      </c>
      <c r="K669" s="5">
        <f t="shared" si="128"/>
      </c>
      <c r="L669" s="5">
        <f t="shared" si="129"/>
      </c>
      <c r="M669">
        <f t="shared" si="130"/>
      </c>
      <c r="N669" s="18">
        <f t="shared" si="131"/>
      </c>
    </row>
    <row r="670" spans="3:14" x14ac:dyDescent="0.3">
      <c r="C670" s="5">
        <f t="shared" si="132"/>
      </c>
      <c r="D670" s="5">
        <f t="shared" si="133"/>
      </c>
      <c r="E670" s="70"/>
      <c r="F670" s="5">
        <f t="shared" si="134"/>
      </c>
      <c r="G670" s="5">
        <f t="shared" si="124"/>
      </c>
      <c r="H670" s="70">
        <f t="shared" si="125"/>
      </c>
      <c r="I670" s="5">
        <f t="shared" si="126"/>
        <v/>
      </c>
      <c r="J670" s="5">
        <f t="shared" si="127"/>
      </c>
      <c r="K670" s="5">
        <f t="shared" si="128"/>
      </c>
      <c r="L670" s="5">
        <f t="shared" si="129"/>
      </c>
      <c r="M670">
        <f t="shared" si="130"/>
      </c>
      <c r="N670" s="18">
        <f t="shared" si="131"/>
      </c>
    </row>
    <row r="671" spans="3:14" x14ac:dyDescent="0.3">
      <c r="C671" s="5">
        <f t="shared" si="132"/>
      </c>
      <c r="D671" s="5">
        <f t="shared" si="133"/>
      </c>
      <c r="E671" s="70"/>
      <c r="F671" s="5">
        <f t="shared" si="134"/>
      </c>
      <c r="G671" s="5">
        <f t="shared" si="124"/>
      </c>
      <c r="H671" s="70">
        <f t="shared" si="125"/>
      </c>
      <c r="I671" s="5">
        <f t="shared" si="126"/>
        <v/>
      </c>
      <c r="J671" s="5">
        <f t="shared" si="127"/>
      </c>
      <c r="K671" s="5">
        <f t="shared" si="128"/>
      </c>
      <c r="L671" s="5">
        <f t="shared" si="129"/>
      </c>
      <c r="M671">
        <f t="shared" si="130"/>
      </c>
      <c r="N671" s="18">
        <f t="shared" si="131"/>
      </c>
    </row>
    <row r="672" spans="3:14" x14ac:dyDescent="0.3">
      <c r="C672" s="5">
        <f t="shared" si="132"/>
      </c>
      <c r="D672" s="5">
        <f t="shared" si="133"/>
      </c>
      <c r="E672" s="70"/>
      <c r="F672" s="5">
        <f t="shared" si="134"/>
      </c>
      <c r="G672" s="5">
        <f t="shared" si="124"/>
      </c>
      <c r="H672" s="70">
        <f t="shared" si="125"/>
      </c>
      <c r="I672" s="5">
        <f t="shared" si="126"/>
        <v/>
      </c>
      <c r="J672" s="5">
        <f t="shared" si="127"/>
      </c>
      <c r="K672" s="5">
        <f t="shared" si="128"/>
      </c>
      <c r="L672" s="5">
        <f t="shared" si="129"/>
      </c>
      <c r="M672">
        <f t="shared" si="130"/>
      </c>
      <c r="N672" s="18">
        <f t="shared" si="131"/>
      </c>
    </row>
    <row r="673" spans="3:14" x14ac:dyDescent="0.3">
      <c r="C673" s="5">
        <f t="shared" si="132"/>
      </c>
      <c r="D673" s="5">
        <f t="shared" si="133"/>
      </c>
      <c r="E673" s="70"/>
      <c r="F673" s="5">
        <f t="shared" si="134"/>
      </c>
      <c r="G673" s="5">
        <f t="shared" si="124"/>
      </c>
      <c r="H673" s="70">
        <f t="shared" si="125"/>
      </c>
      <c r="I673" s="5">
        <f t="shared" si="126"/>
        <v/>
      </c>
      <c r="J673" s="5">
        <f t="shared" si="127"/>
      </c>
      <c r="K673" s="5">
        <f t="shared" si="128"/>
      </c>
      <c r="L673" s="5">
        <f t="shared" si="129"/>
      </c>
      <c r="M673">
        <f t="shared" si="130"/>
      </c>
      <c r="N673" s="18">
        <f t="shared" si="131"/>
      </c>
    </row>
    <row r="674" spans="3:14" x14ac:dyDescent="0.3">
      <c r="C674" s="5">
        <f t="shared" si="132"/>
      </c>
      <c r="D674" s="5">
        <f t="shared" si="133"/>
      </c>
      <c r="E674" s="70"/>
      <c r="F674" s="5">
        <f t="shared" si="134"/>
      </c>
      <c r="G674" s="5">
        <f t="shared" si="124"/>
      </c>
      <c r="H674" s="70">
        <f t="shared" si="125"/>
      </c>
      <c r="I674" s="5">
        <f t="shared" si="126"/>
        <v/>
      </c>
      <c r="J674" s="5">
        <f t="shared" si="127"/>
      </c>
      <c r="K674" s="5">
        <f t="shared" si="128"/>
      </c>
      <c r="L674" s="5">
        <f t="shared" si="129"/>
      </c>
      <c r="M674">
        <f t="shared" si="130"/>
      </c>
      <c r="N674" s="18">
        <f t="shared" si="131"/>
      </c>
    </row>
    <row r="675" spans="3:14" x14ac:dyDescent="0.3">
      <c r="C675" s="5">
        <f t="shared" si="132"/>
      </c>
      <c r="D675" s="5">
        <f t="shared" si="133"/>
      </c>
      <c r="E675" s="70"/>
      <c r="F675" s="5">
        <f t="shared" si="134"/>
      </c>
      <c r="G675" s="5">
        <f t="shared" si="124"/>
      </c>
      <c r="H675" s="70">
        <f t="shared" si="125"/>
      </c>
      <c r="I675" s="5">
        <f t="shared" si="126"/>
        <v/>
      </c>
      <c r="J675" s="5">
        <f t="shared" si="127"/>
      </c>
      <c r="K675" s="5">
        <f t="shared" si="128"/>
      </c>
      <c r="L675" s="5">
        <f t="shared" si="129"/>
      </c>
      <c r="M675">
        <f t="shared" si="130"/>
      </c>
      <c r="N675" s="18">
        <f t="shared" si="131"/>
      </c>
    </row>
    <row r="676" spans="3:14" x14ac:dyDescent="0.3">
      <c r="C676" s="5">
        <f t="shared" si="132"/>
      </c>
      <c r="D676" s="5">
        <f t="shared" si="133"/>
      </c>
      <c r="E676" s="70"/>
      <c r="F676" s="5">
        <f t="shared" si="134"/>
      </c>
      <c r="G676" s="5">
        <f t="shared" si="124"/>
      </c>
      <c r="H676" s="70">
        <f t="shared" si="125"/>
      </c>
      <c r="I676" s="5">
        <f t="shared" si="126"/>
        <v/>
      </c>
      <c r="J676" s="5">
        <f t="shared" si="127"/>
      </c>
      <c r="K676" s="5">
        <f t="shared" si="128"/>
      </c>
      <c r="L676" s="5">
        <f t="shared" si="129"/>
      </c>
      <c r="M676">
        <f t="shared" si="130"/>
      </c>
      <c r="N676" s="18">
        <f t="shared" si="131"/>
      </c>
    </row>
    <row r="677" spans="3:14" x14ac:dyDescent="0.3">
      <c r="C677" s="5">
        <f t="shared" si="132"/>
      </c>
      <c r="D677" s="5">
        <f t="shared" si="133"/>
      </c>
      <c r="E677" s="70"/>
      <c r="F677" s="5">
        <f t="shared" si="134"/>
      </c>
      <c r="G677" s="5">
        <f t="shared" si="124"/>
      </c>
      <c r="H677" s="70">
        <f t="shared" si="125"/>
      </c>
      <c r="I677" s="5">
        <f t="shared" si="126"/>
        <v/>
      </c>
      <c r="J677" s="5">
        <f t="shared" si="127"/>
      </c>
      <c r="K677" s="5">
        <f t="shared" si="128"/>
      </c>
      <c r="L677" s="5">
        <f t="shared" si="129"/>
      </c>
      <c r="M677">
        <f t="shared" si="130"/>
      </c>
      <c r="N677" s="18">
        <f t="shared" si="131"/>
      </c>
    </row>
    <row r="678" spans="3:14" x14ac:dyDescent="0.3">
      <c r="C678" s="5">
        <f t="shared" si="132"/>
      </c>
      <c r="D678" s="5">
        <f t="shared" si="133"/>
      </c>
      <c r="E678" s="70"/>
      <c r="F678" s="5">
        <f t="shared" si="134"/>
      </c>
      <c r="G678" s="5">
        <f t="shared" si="124"/>
      </c>
      <c r="H678" s="70">
        <f t="shared" si="125"/>
      </c>
      <c r="I678" s="5">
        <f t="shared" si="126"/>
        <v/>
      </c>
      <c r="J678" s="5">
        <f t="shared" si="127"/>
      </c>
      <c r="K678" s="5">
        <f t="shared" si="128"/>
      </c>
      <c r="L678" s="5">
        <f t="shared" si="129"/>
      </c>
      <c r="M678">
        <f t="shared" si="130"/>
      </c>
      <c r="N678" s="18">
        <f t="shared" si="131"/>
      </c>
    </row>
    <row r="679" spans="3:14" x14ac:dyDescent="0.3">
      <c r="C679" s="5">
        <f t="shared" si="132"/>
      </c>
      <c r="D679" s="5">
        <f t="shared" si="133"/>
      </c>
      <c r="E679" s="70"/>
      <c r="F679" s="5">
        <f t="shared" si="134"/>
      </c>
      <c r="G679" s="5">
        <f t="shared" si="124"/>
      </c>
      <c r="H679" s="70">
        <f t="shared" si="125"/>
      </c>
      <c r="I679" s="5">
        <f t="shared" si="126"/>
        <v/>
      </c>
      <c r="J679" s="5">
        <f t="shared" si="127"/>
      </c>
      <c r="K679" s="5">
        <f t="shared" si="128"/>
      </c>
      <c r="L679" s="5">
        <f t="shared" si="129"/>
      </c>
      <c r="M679">
        <f t="shared" si="130"/>
      </c>
      <c r="N679" s="18">
        <f t="shared" si="131"/>
      </c>
    </row>
    <row r="680" spans="3:14" x14ac:dyDescent="0.3">
      <c r="C680" s="5">
        <f t="shared" si="132"/>
      </c>
      <c r="D680" s="5">
        <f t="shared" si="133"/>
      </c>
      <c r="E680" s="70"/>
      <c r="F680" s="5">
        <f t="shared" si="134"/>
      </c>
      <c r="G680" s="5">
        <f t="shared" si="124"/>
      </c>
      <c r="H680" s="70">
        <f t="shared" si="125"/>
      </c>
      <c r="I680" s="5">
        <f t="shared" si="126"/>
        <v/>
      </c>
      <c r="J680" s="5">
        <f t="shared" si="127"/>
      </c>
      <c r="K680" s="5">
        <f t="shared" si="128"/>
      </c>
      <c r="L680" s="5">
        <f t="shared" si="129"/>
      </c>
      <c r="M680">
        <f t="shared" si="130"/>
      </c>
      <c r="N680" s="18">
        <f t="shared" si="131"/>
      </c>
    </row>
    <row r="681" spans="3:14" x14ac:dyDescent="0.3">
      <c r="C681" s="5">
        <f t="shared" si="132"/>
      </c>
      <c r="D681" s="5">
        <f t="shared" si="133"/>
      </c>
      <c r="E681" s="70"/>
      <c r="F681" s="5">
        <f t="shared" si="134"/>
      </c>
      <c r="G681" s="5">
        <f t="shared" si="124"/>
      </c>
      <c r="H681" s="70">
        <f t="shared" si="125"/>
      </c>
      <c r="I681" s="5">
        <f t="shared" si="126"/>
        <v/>
      </c>
      <c r="J681" s="5">
        <f t="shared" si="127"/>
      </c>
      <c r="K681" s="5">
        <f t="shared" si="128"/>
      </c>
      <c r="L681" s="5">
        <f t="shared" si="129"/>
      </c>
      <c r="M681">
        <f t="shared" si="130"/>
      </c>
      <c r="N681" s="18">
        <f t="shared" si="131"/>
      </c>
    </row>
    <row r="682" spans="3:14" x14ac:dyDescent="0.3">
      <c r="C682" s="5">
        <f t="shared" si="132"/>
      </c>
      <c r="D682" s="5">
        <f t="shared" si="133"/>
      </c>
      <c r="E682" s="70"/>
      <c r="F682" s="5">
        <f t="shared" si="134"/>
      </c>
      <c r="G682" s="5">
        <f t="shared" si="124"/>
      </c>
      <c r="H682" s="70">
        <f t="shared" si="125"/>
      </c>
      <c r="I682" s="5">
        <f t="shared" si="126"/>
        <v/>
      </c>
      <c r="J682" s="5">
        <f t="shared" si="127"/>
      </c>
      <c r="K682" s="5">
        <f t="shared" si="128"/>
      </c>
      <c r="L682" s="5">
        <f t="shared" si="129"/>
      </c>
      <c r="M682">
        <f t="shared" si="130"/>
      </c>
      <c r="N682" s="18">
        <f t="shared" si="131"/>
      </c>
    </row>
    <row r="683" spans="3:14" x14ac:dyDescent="0.3">
      <c r="C683" s="5">
        <f t="shared" si="132"/>
      </c>
      <c r="D683" s="5">
        <f t="shared" si="133"/>
      </c>
      <c r="E683" s="70"/>
      <c r="F683" s="5">
        <f t="shared" si="134"/>
      </c>
      <c r="G683" s="5">
        <f t="shared" si="124"/>
      </c>
      <c r="H683" s="70">
        <f t="shared" si="125"/>
      </c>
      <c r="I683" s="5">
        <f t="shared" si="126"/>
        <v/>
      </c>
      <c r="J683" s="5">
        <f t="shared" si="127"/>
      </c>
      <c r="K683" s="5">
        <f t="shared" si="128"/>
      </c>
      <c r="L683" s="5">
        <f t="shared" si="129"/>
      </c>
      <c r="M683">
        <f t="shared" si="130"/>
      </c>
      <c r="N683" s="18">
        <f t="shared" si="131"/>
      </c>
    </row>
    <row r="684" spans="3:14" x14ac:dyDescent="0.3">
      <c r="C684" s="5">
        <f t="shared" si="132"/>
      </c>
      <c r="D684" s="5">
        <f t="shared" si="133"/>
      </c>
      <c r="E684" s="70"/>
      <c r="F684" s="5">
        <f t="shared" si="134"/>
      </c>
      <c r="G684" s="5">
        <f t="shared" si="124"/>
      </c>
      <c r="H684" s="70">
        <f t="shared" si="125"/>
      </c>
      <c r="I684" s="5">
        <f t="shared" si="126"/>
        <v/>
      </c>
      <c r="J684" s="5">
        <f t="shared" si="127"/>
      </c>
      <c r="K684" s="5">
        <f t="shared" si="128"/>
      </c>
      <c r="L684" s="5">
        <f t="shared" si="129"/>
      </c>
      <c r="M684">
        <f t="shared" si="130"/>
      </c>
      <c r="N684" s="18">
        <f t="shared" si="131"/>
      </c>
    </row>
    <row r="685" spans="3:14" x14ac:dyDescent="0.3">
      <c r="C685" s="5">
        <f t="shared" si="132"/>
      </c>
      <c r="D685" s="5">
        <f t="shared" si="133"/>
      </c>
      <c r="E685" s="70"/>
      <c r="F685" s="5">
        <f t="shared" si="134"/>
      </c>
      <c r="G685" s="5">
        <f t="shared" si="124"/>
      </c>
      <c r="H685" s="70">
        <f t="shared" si="125"/>
      </c>
      <c r="I685" s="5">
        <f t="shared" si="126"/>
        <v/>
      </c>
      <c r="J685" s="5">
        <f t="shared" si="127"/>
      </c>
      <c r="K685" s="5">
        <f t="shared" si="128"/>
      </c>
      <c r="L685" s="5">
        <f t="shared" si="129"/>
      </c>
      <c r="M685">
        <f t="shared" si="130"/>
      </c>
      <c r="N685" s="18">
        <f t="shared" si="131"/>
      </c>
    </row>
    <row r="686" spans="3:14" x14ac:dyDescent="0.3">
      <c r="C686" s="5">
        <f t="shared" si="132"/>
      </c>
      <c r="D686" s="5">
        <f t="shared" si="133"/>
      </c>
      <c r="E686" s="70"/>
      <c r="F686" s="5">
        <f t="shared" si="134"/>
      </c>
      <c r="G686" s="5">
        <f t="shared" si="124"/>
      </c>
      <c r="H686" s="70">
        <f t="shared" si="125"/>
      </c>
      <c r="I686" s="5">
        <f t="shared" si="126"/>
        <v/>
      </c>
      <c r="J686" s="5">
        <f t="shared" si="127"/>
      </c>
      <c r="K686" s="5">
        <f t="shared" si="128"/>
      </c>
      <c r="L686" s="5">
        <f t="shared" si="129"/>
      </c>
      <c r="M686">
        <f t="shared" si="130"/>
      </c>
      <c r="N686" s="18">
        <f t="shared" si="131"/>
      </c>
    </row>
    <row r="687" spans="3:14" x14ac:dyDescent="0.3">
      <c r="C687" s="5">
        <f t="shared" si="132"/>
      </c>
      <c r="D687" s="5">
        <f t="shared" si="133"/>
      </c>
      <c r="E687" s="70"/>
      <c r="F687" s="5">
        <f t="shared" si="134"/>
      </c>
      <c r="G687" s="5">
        <f t="shared" si="124"/>
      </c>
      <c r="H687" s="70">
        <f t="shared" si="125"/>
      </c>
      <c r="I687" s="5">
        <f t="shared" si="126"/>
        <v/>
      </c>
      <c r="J687" s="5">
        <f t="shared" si="127"/>
      </c>
      <c r="K687" s="5">
        <f t="shared" si="128"/>
      </c>
      <c r="L687" s="5">
        <f t="shared" si="129"/>
      </c>
      <c r="M687">
        <f t="shared" si="130"/>
      </c>
      <c r="N687" s="18">
        <f t="shared" si="131"/>
      </c>
    </row>
    <row r="688" spans="3:14" x14ac:dyDescent="0.3">
      <c r="C688" s="5">
        <f t="shared" si="132"/>
      </c>
      <c r="D688" s="5">
        <f t="shared" si="133"/>
      </c>
      <c r="E688" s="70"/>
      <c r="F688" s="5">
        <f t="shared" si="134"/>
      </c>
      <c r="G688" s="5">
        <f t="shared" si="124"/>
      </c>
      <c r="H688" s="70">
        <f t="shared" si="125"/>
      </c>
      <c r="I688" s="5">
        <f t="shared" si="126"/>
        <v/>
      </c>
      <c r="J688" s="5">
        <f t="shared" si="127"/>
      </c>
      <c r="K688" s="5">
        <f t="shared" si="128"/>
      </c>
      <c r="L688" s="5">
        <f t="shared" si="129"/>
      </c>
      <c r="M688">
        <f t="shared" si="130"/>
      </c>
      <c r="N688" s="18">
        <f t="shared" si="131"/>
      </c>
    </row>
    <row r="689" spans="3:14" x14ac:dyDescent="0.3">
      <c r="C689" s="5">
        <f t="shared" si="132"/>
      </c>
      <c r="D689" s="5">
        <f t="shared" si="133"/>
      </c>
      <c r="E689" s="70"/>
      <c r="F689" s="5">
        <f t="shared" si="134"/>
      </c>
      <c r="G689" s="5">
        <f t="shared" si="124"/>
      </c>
      <c r="H689" s="70">
        <f t="shared" si="125"/>
      </c>
      <c r="I689" s="5">
        <f t="shared" si="126"/>
        <v/>
      </c>
      <c r="J689" s="5">
        <f t="shared" si="127"/>
      </c>
      <c r="K689" s="5">
        <f t="shared" si="128"/>
      </c>
      <c r="L689" s="5">
        <f t="shared" si="129"/>
      </c>
      <c r="M689">
        <f t="shared" si="130"/>
      </c>
      <c r="N689" s="18">
        <f t="shared" si="131"/>
      </c>
    </row>
    <row r="690" spans="3:14" x14ac:dyDescent="0.3">
      <c r="C690" s="5">
        <f t="shared" si="132"/>
      </c>
      <c r="D690" s="5">
        <f t="shared" si="133"/>
      </c>
      <c r="E690" s="70"/>
      <c r="F690" s="5">
        <f t="shared" si="134"/>
      </c>
      <c r="G690" s="5">
        <f t="shared" si="124"/>
      </c>
      <c r="H690" s="70">
        <f t="shared" si="125"/>
      </c>
      <c r="I690" s="5">
        <f t="shared" si="126"/>
        <v/>
      </c>
      <c r="J690" s="5">
        <f t="shared" si="127"/>
      </c>
      <c r="K690" s="5">
        <f t="shared" si="128"/>
      </c>
      <c r="L690" s="5">
        <f t="shared" si="129"/>
      </c>
      <c r="M690">
        <f t="shared" si="130"/>
      </c>
      <c r="N690" s="18">
        <f t="shared" si="131"/>
      </c>
    </row>
    <row r="691" spans="3:14" x14ac:dyDescent="0.3">
      <c r="C691" s="5">
        <f t="shared" si="132"/>
      </c>
      <c r="D691" s="5">
        <f t="shared" si="133"/>
      </c>
      <c r="E691" s="70"/>
      <c r="F691" s="5">
        <f t="shared" si="134"/>
      </c>
      <c r="G691" s="5">
        <f t="shared" si="124"/>
      </c>
      <c r="H691" s="70">
        <f t="shared" si="125"/>
      </c>
      <c r="I691" s="5">
        <f t="shared" si="126"/>
        <v/>
      </c>
      <c r="J691" s="5">
        <f t="shared" si="127"/>
      </c>
      <c r="K691" s="5">
        <f t="shared" si="128"/>
      </c>
      <c r="L691" s="5">
        <f t="shared" si="129"/>
      </c>
      <c r="M691">
        <f t="shared" si="130"/>
      </c>
      <c r="N691" s="18">
        <f t="shared" si="131"/>
      </c>
    </row>
    <row r="692" spans="3:14" x14ac:dyDescent="0.3">
      <c r="C692" s="5">
        <f t="shared" si="132"/>
      </c>
      <c r="D692" s="5">
        <f t="shared" si="133"/>
      </c>
      <c r="E692" s="70"/>
      <c r="F692" s="5">
        <f t="shared" si="134"/>
      </c>
      <c r="G692" s="5">
        <f t="shared" si="124"/>
      </c>
      <c r="H692" s="70">
        <f t="shared" si="125"/>
      </c>
      <c r="I692" s="5">
        <f t="shared" si="126"/>
        <v/>
      </c>
      <c r="J692" s="5">
        <f t="shared" si="127"/>
      </c>
      <c r="K692" s="5">
        <f t="shared" si="128"/>
      </c>
      <c r="L692" s="5">
        <f t="shared" si="129"/>
      </c>
      <c r="M692">
        <f t="shared" si="130"/>
      </c>
      <c r="N692" s="18">
        <f t="shared" si="131"/>
      </c>
    </row>
    <row r="693" spans="3:14" x14ac:dyDescent="0.3">
      <c r="C693" s="5">
        <f t="shared" si="132"/>
      </c>
      <c r="D693" s="5">
        <f t="shared" si="133"/>
      </c>
      <c r="E693" s="70"/>
      <c r="F693" s="5">
        <f t="shared" si="134"/>
      </c>
      <c r="G693" s="5">
        <f t="shared" ref="G693:G756" si="135">IF(E693="упр","",IF(E693=0,F693,IF(E693="1,2,3","L1,L2,L3","L"&amp;E693)))</f>
      </c>
      <c r="H693" s="70">
        <f t="shared" ref="H693:H756" si="136">VLOOKUP(D693,Исходные_данные,5,FALSE)</f>
      </c>
      <c r="I693" s="5">
        <f t="shared" ref="I693:I756" si="137">IFERROR(VLOOKUP(D693,Исходные_данные,36,FALSE),"")</f>
        <v/>
      </c>
      <c r="J693" s="5">
        <f t="shared" ref="J693:J756" si="138">VLOOKUP(D693,Исходные_данные,46,FALSE)</f>
      </c>
      <c r="K693" s="5">
        <f t="shared" ref="K693:K756" si="139">VLOOKUP(D693,Исходные_данные,16,FALSE)</f>
      </c>
      <c r="L693" s="5">
        <f t="shared" ref="L693:L756" si="140">H693*K693</f>
      </c>
      <c r="M693">
        <f t="shared" ref="M693:M756" si="141">IF(ISBLANK(E693),M692,E693)</f>
      </c>
      <c r="N693" s="18">
        <f t="shared" ref="N693:N756" si="142">C693&amp;G693</f>
      </c>
    </row>
    <row r="694" spans="3:14" x14ac:dyDescent="0.3">
      <c r="C694" s="5">
        <f t="shared" si="132"/>
      </c>
      <c r="D694" s="5">
        <f t="shared" si="133"/>
      </c>
      <c r="E694" s="70"/>
      <c r="F694" s="5">
        <f t="shared" si="134"/>
      </c>
      <c r="G694" s="5">
        <f t="shared" si="135"/>
      </c>
      <c r="H694" s="70">
        <f t="shared" si="136"/>
      </c>
      <c r="I694" s="5">
        <f t="shared" si="137"/>
        <v/>
      </c>
      <c r="J694" s="5">
        <f t="shared" si="138"/>
      </c>
      <c r="K694" s="5">
        <f t="shared" si="139"/>
      </c>
      <c r="L694" s="5">
        <f t="shared" si="140"/>
      </c>
      <c r="M694">
        <f t="shared" si="141"/>
      </c>
      <c r="N694" s="18">
        <f t="shared" si="142"/>
      </c>
    </row>
    <row r="695" spans="3:14" x14ac:dyDescent="0.3">
      <c r="C695" s="5">
        <f t="shared" si="132"/>
      </c>
      <c r="D695" s="5">
        <f t="shared" si="133"/>
      </c>
      <c r="E695" s="70"/>
      <c r="F695" s="5">
        <f t="shared" si="134"/>
      </c>
      <c r="G695" s="5">
        <f t="shared" si="135"/>
      </c>
      <c r="H695" s="70">
        <f t="shared" si="136"/>
      </c>
      <c r="I695" s="5">
        <f t="shared" si="137"/>
        <v/>
      </c>
      <c r="J695" s="5">
        <f t="shared" si="138"/>
      </c>
      <c r="K695" s="5">
        <f t="shared" si="139"/>
      </c>
      <c r="L695" s="5">
        <f t="shared" si="140"/>
      </c>
      <c r="M695">
        <f t="shared" si="141"/>
      </c>
      <c r="N695" s="18">
        <f t="shared" si="142"/>
      </c>
    </row>
    <row r="696" spans="3:14" x14ac:dyDescent="0.3">
      <c r="C696" s="5">
        <f t="shared" si="132"/>
      </c>
      <c r="D696" s="5">
        <f t="shared" si="133"/>
      </c>
      <c r="E696" s="70"/>
      <c r="F696" s="5">
        <f t="shared" si="134"/>
      </c>
      <c r="G696" s="5">
        <f t="shared" si="135"/>
      </c>
      <c r="H696" s="70">
        <f t="shared" si="136"/>
      </c>
      <c r="I696" s="5">
        <f t="shared" si="137"/>
        <v/>
      </c>
      <c r="J696" s="5">
        <f t="shared" si="138"/>
      </c>
      <c r="K696" s="5">
        <f t="shared" si="139"/>
      </c>
      <c r="L696" s="5">
        <f t="shared" si="140"/>
      </c>
      <c r="M696">
        <f t="shared" si="141"/>
      </c>
      <c r="N696" s="18">
        <f t="shared" si="142"/>
      </c>
    </row>
    <row r="697" spans="3:14" x14ac:dyDescent="0.3">
      <c r="C697" s="5">
        <f t="shared" si="132"/>
      </c>
      <c r="D697" s="5">
        <f t="shared" si="133"/>
      </c>
      <c r="E697" s="70"/>
      <c r="F697" s="5">
        <f t="shared" si="134"/>
      </c>
      <c r="G697" s="5">
        <f t="shared" si="135"/>
      </c>
      <c r="H697" s="70">
        <f t="shared" si="136"/>
      </c>
      <c r="I697" s="5">
        <f t="shared" si="137"/>
        <v/>
      </c>
      <c r="J697" s="5">
        <f t="shared" si="138"/>
      </c>
      <c r="K697" s="5">
        <f t="shared" si="139"/>
      </c>
      <c r="L697" s="5">
        <f t="shared" si="140"/>
      </c>
      <c r="M697">
        <f t="shared" si="141"/>
      </c>
      <c r="N697" s="18">
        <f t="shared" si="142"/>
      </c>
    </row>
    <row r="698" spans="3:14" x14ac:dyDescent="0.3">
      <c r="C698" s="5">
        <f t="shared" si="132"/>
      </c>
      <c r="D698" s="5">
        <f t="shared" si="133"/>
      </c>
      <c r="E698" s="70"/>
      <c r="F698" s="5">
        <f t="shared" si="134"/>
      </c>
      <c r="G698" s="5">
        <f t="shared" si="135"/>
      </c>
      <c r="H698" s="70">
        <f t="shared" si="136"/>
      </c>
      <c r="I698" s="5">
        <f t="shared" si="137"/>
        <v/>
      </c>
      <c r="J698" s="5">
        <f t="shared" si="138"/>
      </c>
      <c r="K698" s="5">
        <f t="shared" si="139"/>
      </c>
      <c r="L698" s="5">
        <f t="shared" si="140"/>
      </c>
      <c r="M698">
        <f t="shared" si="141"/>
      </c>
      <c r="N698" s="18">
        <f t="shared" si="142"/>
      </c>
    </row>
    <row r="699" spans="3:14" x14ac:dyDescent="0.3">
      <c r="C699" s="5">
        <f t="shared" si="132"/>
      </c>
      <c r="D699" s="5">
        <f t="shared" si="133"/>
      </c>
      <c r="E699" s="70"/>
      <c r="F699" s="5">
        <f t="shared" si="134"/>
      </c>
      <c r="G699" s="5">
        <f t="shared" si="135"/>
      </c>
      <c r="H699" s="70">
        <f t="shared" si="136"/>
      </c>
      <c r="I699" s="5">
        <f t="shared" si="137"/>
        <v/>
      </c>
      <c r="J699" s="5">
        <f t="shared" si="138"/>
      </c>
      <c r="K699" s="5">
        <f t="shared" si="139"/>
      </c>
      <c r="L699" s="5">
        <f t="shared" si="140"/>
      </c>
      <c r="M699">
        <f t="shared" si="141"/>
      </c>
      <c r="N699" s="18">
        <f t="shared" si="142"/>
      </c>
    </row>
    <row r="700" spans="3:14" x14ac:dyDescent="0.3">
      <c r="C700" s="5">
        <f t="shared" si="132"/>
      </c>
      <c r="D700" s="5">
        <f t="shared" si="133"/>
      </c>
      <c r="E700" s="70"/>
      <c r="F700" s="5">
        <f t="shared" si="134"/>
      </c>
      <c r="G700" s="5">
        <f t="shared" si="135"/>
      </c>
      <c r="H700" s="70">
        <f t="shared" si="136"/>
      </c>
      <c r="I700" s="5">
        <f t="shared" si="137"/>
        <v/>
      </c>
      <c r="J700" s="5">
        <f t="shared" si="138"/>
      </c>
      <c r="K700" s="5">
        <f t="shared" si="139"/>
      </c>
      <c r="L700" s="5">
        <f t="shared" si="140"/>
      </c>
      <c r="M700">
        <f t="shared" si="141"/>
      </c>
      <c r="N700" s="18">
        <f t="shared" si="142"/>
      </c>
    </row>
    <row r="701" spans="3:14" x14ac:dyDescent="0.3">
      <c r="C701" s="5">
        <f t="shared" si="132"/>
      </c>
      <c r="D701" s="5">
        <f t="shared" si="133"/>
      </c>
      <c r="E701" s="70"/>
      <c r="F701" s="5">
        <f t="shared" si="134"/>
      </c>
      <c r="G701" s="5">
        <f t="shared" si="135"/>
      </c>
      <c r="H701" s="70">
        <f t="shared" si="136"/>
      </c>
      <c r="I701" s="5">
        <f t="shared" si="137"/>
        <v/>
      </c>
      <c r="J701" s="5">
        <f t="shared" si="138"/>
      </c>
      <c r="K701" s="5">
        <f t="shared" si="139"/>
      </c>
      <c r="L701" s="5">
        <f t="shared" si="140"/>
      </c>
      <c r="M701">
        <f t="shared" si="141"/>
      </c>
      <c r="N701" s="18">
        <f t="shared" si="142"/>
      </c>
    </row>
    <row r="702" spans="3:14" x14ac:dyDescent="0.3">
      <c r="C702" s="5">
        <f t="shared" si="132"/>
      </c>
      <c r="D702" s="5">
        <f t="shared" si="133"/>
      </c>
      <c r="E702" s="70"/>
      <c r="F702" s="5">
        <f t="shared" si="134"/>
      </c>
      <c r="G702" s="5">
        <f t="shared" si="135"/>
      </c>
      <c r="H702" s="70">
        <f t="shared" si="136"/>
      </c>
      <c r="I702" s="5">
        <f t="shared" si="137"/>
        <v/>
      </c>
      <c r="J702" s="5">
        <f t="shared" si="138"/>
      </c>
      <c r="K702" s="5">
        <f t="shared" si="139"/>
      </c>
      <c r="L702" s="5">
        <f t="shared" si="140"/>
      </c>
      <c r="M702">
        <f t="shared" si="141"/>
      </c>
      <c r="N702" s="18">
        <f t="shared" si="142"/>
      </c>
    </row>
    <row r="703" spans="3:14" x14ac:dyDescent="0.3">
      <c r="C703" s="5">
        <f t="shared" si="132"/>
      </c>
      <c r="D703" s="5">
        <f t="shared" si="133"/>
      </c>
      <c r="E703" s="70"/>
      <c r="F703" s="5">
        <f t="shared" si="134"/>
      </c>
      <c r="G703" s="5">
        <f t="shared" si="135"/>
      </c>
      <c r="H703" s="70">
        <f t="shared" si="136"/>
      </c>
      <c r="I703" s="5">
        <f t="shared" si="137"/>
        <v/>
      </c>
      <c r="J703" s="5">
        <f t="shared" si="138"/>
      </c>
      <c r="K703" s="5">
        <f t="shared" si="139"/>
      </c>
      <c r="L703" s="5">
        <f t="shared" si="140"/>
      </c>
      <c r="M703">
        <f t="shared" si="141"/>
      </c>
      <c r="N703" s="18">
        <f t="shared" si="142"/>
      </c>
    </row>
    <row r="704" spans="3:14" x14ac:dyDescent="0.3">
      <c r="C704" s="5">
        <f t="shared" si="132"/>
      </c>
      <c r="D704" s="5">
        <f t="shared" si="133"/>
      </c>
      <c r="E704" s="70"/>
      <c r="F704" s="5">
        <f t="shared" si="134"/>
      </c>
      <c r="G704" s="5">
        <f t="shared" si="135"/>
      </c>
      <c r="H704" s="70">
        <f t="shared" si="136"/>
      </c>
      <c r="I704" s="5">
        <f t="shared" si="137"/>
        <v/>
      </c>
      <c r="J704" s="5">
        <f t="shared" si="138"/>
      </c>
      <c r="K704" s="5">
        <f t="shared" si="139"/>
      </c>
      <c r="L704" s="5">
        <f t="shared" si="140"/>
      </c>
      <c r="M704">
        <f t="shared" si="141"/>
      </c>
      <c r="N704" s="18">
        <f t="shared" si="142"/>
      </c>
    </row>
    <row r="705" spans="3:14" x14ac:dyDescent="0.3">
      <c r="C705" s="5">
        <f t="shared" si="132"/>
      </c>
      <c r="D705" s="5">
        <f t="shared" si="133"/>
      </c>
      <c r="E705" s="70"/>
      <c r="F705" s="5">
        <f t="shared" si="134"/>
      </c>
      <c r="G705" s="5">
        <f t="shared" si="135"/>
      </c>
      <c r="H705" s="70">
        <f t="shared" si="136"/>
      </c>
      <c r="I705" s="5">
        <f t="shared" si="137"/>
        <v/>
      </c>
      <c r="J705" s="5">
        <f t="shared" si="138"/>
      </c>
      <c r="K705" s="5">
        <f t="shared" si="139"/>
      </c>
      <c r="L705" s="5">
        <f t="shared" si="140"/>
      </c>
      <c r="M705">
        <f t="shared" si="141"/>
      </c>
      <c r="N705" s="18">
        <f t="shared" si="142"/>
      </c>
    </row>
    <row r="706" spans="3:14" x14ac:dyDescent="0.3">
      <c r="C706" s="5">
        <f t="shared" si="132"/>
      </c>
      <c r="D706" s="5">
        <f t="shared" si="133"/>
      </c>
      <c r="E706" s="70"/>
      <c r="F706" s="5">
        <f t="shared" si="134"/>
      </c>
      <c r="G706" s="5">
        <f t="shared" si="135"/>
      </c>
      <c r="H706" s="70">
        <f t="shared" si="136"/>
      </c>
      <c r="I706" s="5">
        <f t="shared" si="137"/>
        <v/>
      </c>
      <c r="J706" s="5">
        <f t="shared" si="138"/>
      </c>
      <c r="K706" s="5">
        <f t="shared" si="139"/>
      </c>
      <c r="L706" s="5">
        <f t="shared" si="140"/>
      </c>
      <c r="M706">
        <f t="shared" si="141"/>
      </c>
      <c r="N706" s="18">
        <f t="shared" si="142"/>
      </c>
    </row>
    <row r="707" spans="3:14" x14ac:dyDescent="0.3">
      <c r="C707" s="5">
        <f t="shared" ref="C707:C770" si="143">VLOOKUP(ROW(705:705),Разбивка_нумерация_5,2,FALSE)</f>
      </c>
      <c r="D707" s="5">
        <f t="shared" ref="D707:D770" si="144">VLOOKUP(ROW(705:705),Разбивка_нумерация_5,4,FALSE)</f>
      </c>
      <c r="E707" s="70"/>
      <c r="F707" s="5">
        <f t="shared" ref="F707:F770" si="145">VLOOKUP(ROW(705:705),Разбивка_нумерация_5,16,FALSE)</f>
      </c>
      <c r="G707" s="5">
        <f t="shared" si="135"/>
      </c>
      <c r="H707" s="70">
        <f t="shared" si="136"/>
      </c>
      <c r="I707" s="5">
        <f t="shared" si="137"/>
        <v/>
      </c>
      <c r="J707" s="5">
        <f t="shared" si="138"/>
      </c>
      <c r="K707" s="5">
        <f t="shared" si="139"/>
      </c>
      <c r="L707" s="5">
        <f t="shared" si="140"/>
      </c>
      <c r="M707">
        <f t="shared" si="141"/>
      </c>
      <c r="N707" s="18">
        <f t="shared" si="142"/>
      </c>
    </row>
    <row r="708" spans="3:14" x14ac:dyDescent="0.3">
      <c r="C708" s="5">
        <f t="shared" si="143"/>
      </c>
      <c r="D708" s="5">
        <f t="shared" si="144"/>
      </c>
      <c r="E708" s="70"/>
      <c r="F708" s="5">
        <f t="shared" si="145"/>
      </c>
      <c r="G708" s="5">
        <f t="shared" si="135"/>
      </c>
      <c r="H708" s="70">
        <f t="shared" si="136"/>
      </c>
      <c r="I708" s="5">
        <f t="shared" si="137"/>
        <v/>
      </c>
      <c r="J708" s="5">
        <f t="shared" si="138"/>
      </c>
      <c r="K708" s="5">
        <f t="shared" si="139"/>
      </c>
      <c r="L708" s="5">
        <f t="shared" si="140"/>
      </c>
      <c r="M708">
        <f t="shared" si="141"/>
      </c>
      <c r="N708" s="18">
        <f t="shared" si="142"/>
      </c>
    </row>
    <row r="709" spans="3:14" x14ac:dyDescent="0.3">
      <c r="C709" s="5">
        <f t="shared" si="143"/>
      </c>
      <c r="D709" s="5">
        <f t="shared" si="144"/>
      </c>
      <c r="E709" s="70"/>
      <c r="F709" s="5">
        <f t="shared" si="145"/>
      </c>
      <c r="G709" s="5">
        <f t="shared" si="135"/>
      </c>
      <c r="H709" s="70">
        <f t="shared" si="136"/>
      </c>
      <c r="I709" s="5">
        <f t="shared" si="137"/>
        <v/>
      </c>
      <c r="J709" s="5">
        <f t="shared" si="138"/>
      </c>
      <c r="K709" s="5">
        <f t="shared" si="139"/>
      </c>
      <c r="L709" s="5">
        <f t="shared" si="140"/>
      </c>
      <c r="M709">
        <f t="shared" si="141"/>
      </c>
      <c r="N709" s="18">
        <f t="shared" si="142"/>
      </c>
    </row>
    <row r="710" spans="3:14" x14ac:dyDescent="0.3">
      <c r="C710" s="5">
        <f t="shared" si="143"/>
      </c>
      <c r="D710" s="5">
        <f t="shared" si="144"/>
      </c>
      <c r="E710" s="70"/>
      <c r="F710" s="5">
        <f t="shared" si="145"/>
      </c>
      <c r="G710" s="5">
        <f t="shared" si="135"/>
      </c>
      <c r="H710" s="70">
        <f t="shared" si="136"/>
      </c>
      <c r="I710" s="5">
        <f t="shared" si="137"/>
        <v/>
      </c>
      <c r="J710" s="5">
        <f t="shared" si="138"/>
      </c>
      <c r="K710" s="5">
        <f t="shared" si="139"/>
      </c>
      <c r="L710" s="5">
        <f t="shared" si="140"/>
      </c>
      <c r="M710">
        <f t="shared" si="141"/>
      </c>
      <c r="N710" s="18">
        <f t="shared" si="142"/>
      </c>
    </row>
    <row r="711" spans="3:14" x14ac:dyDescent="0.3">
      <c r="C711" s="5">
        <f t="shared" si="143"/>
      </c>
      <c r="D711" s="5">
        <f t="shared" si="144"/>
      </c>
      <c r="E711" s="70"/>
      <c r="F711" s="5">
        <f t="shared" si="145"/>
      </c>
      <c r="G711" s="5">
        <f t="shared" si="135"/>
      </c>
      <c r="H711" s="70">
        <f t="shared" si="136"/>
      </c>
      <c r="I711" s="5">
        <f t="shared" si="137"/>
        <v/>
      </c>
      <c r="J711" s="5">
        <f t="shared" si="138"/>
      </c>
      <c r="K711" s="5">
        <f t="shared" si="139"/>
      </c>
      <c r="L711" s="5">
        <f t="shared" si="140"/>
      </c>
      <c r="M711">
        <f t="shared" si="141"/>
      </c>
      <c r="N711" s="18">
        <f t="shared" si="142"/>
      </c>
    </row>
    <row r="712" spans="3:14" x14ac:dyDescent="0.3">
      <c r="C712" s="5">
        <f t="shared" si="143"/>
      </c>
      <c r="D712" s="5">
        <f t="shared" si="144"/>
      </c>
      <c r="E712" s="70"/>
      <c r="F712" s="5">
        <f t="shared" si="145"/>
      </c>
      <c r="G712" s="5">
        <f t="shared" si="135"/>
      </c>
      <c r="H712" s="70">
        <f t="shared" si="136"/>
      </c>
      <c r="I712" s="5">
        <f t="shared" si="137"/>
        <v/>
      </c>
      <c r="J712" s="5">
        <f t="shared" si="138"/>
      </c>
      <c r="K712" s="5">
        <f t="shared" si="139"/>
      </c>
      <c r="L712" s="5">
        <f t="shared" si="140"/>
      </c>
      <c r="M712">
        <f t="shared" si="141"/>
      </c>
      <c r="N712" s="18">
        <f t="shared" si="142"/>
      </c>
    </row>
    <row r="713" spans="3:14" x14ac:dyDescent="0.3">
      <c r="C713" s="5">
        <f t="shared" si="143"/>
      </c>
      <c r="D713" s="5">
        <f t="shared" si="144"/>
      </c>
      <c r="E713" s="70"/>
      <c r="F713" s="5">
        <f t="shared" si="145"/>
      </c>
      <c r="G713" s="5">
        <f t="shared" si="135"/>
      </c>
      <c r="H713" s="70">
        <f t="shared" si="136"/>
      </c>
      <c r="I713" s="5">
        <f t="shared" si="137"/>
        <v/>
      </c>
      <c r="J713" s="5">
        <f t="shared" si="138"/>
      </c>
      <c r="K713" s="5">
        <f t="shared" si="139"/>
      </c>
      <c r="L713" s="5">
        <f t="shared" si="140"/>
      </c>
      <c r="M713">
        <f t="shared" si="141"/>
      </c>
      <c r="N713" s="18">
        <f t="shared" si="142"/>
      </c>
    </row>
    <row r="714" spans="3:14" x14ac:dyDescent="0.3">
      <c r="C714" s="5">
        <f t="shared" si="143"/>
      </c>
      <c r="D714" s="5">
        <f t="shared" si="144"/>
      </c>
      <c r="E714" s="70"/>
      <c r="F714" s="5">
        <f t="shared" si="145"/>
      </c>
      <c r="G714" s="5">
        <f t="shared" si="135"/>
      </c>
      <c r="H714" s="70">
        <f t="shared" si="136"/>
      </c>
      <c r="I714" s="5">
        <f t="shared" si="137"/>
        <v/>
      </c>
      <c r="J714" s="5">
        <f t="shared" si="138"/>
      </c>
      <c r="K714" s="5">
        <f t="shared" si="139"/>
      </c>
      <c r="L714" s="5">
        <f t="shared" si="140"/>
      </c>
      <c r="M714">
        <f t="shared" si="141"/>
      </c>
      <c r="N714" s="18">
        <f t="shared" si="142"/>
      </c>
    </row>
    <row r="715" spans="3:14" x14ac:dyDescent="0.3">
      <c r="C715" s="5">
        <f t="shared" si="143"/>
      </c>
      <c r="D715" s="5">
        <f t="shared" si="144"/>
      </c>
      <c r="E715" s="70"/>
      <c r="F715" s="5">
        <f t="shared" si="145"/>
      </c>
      <c r="G715" s="5">
        <f t="shared" si="135"/>
      </c>
      <c r="H715" s="70">
        <f t="shared" si="136"/>
      </c>
      <c r="I715" s="5">
        <f t="shared" si="137"/>
        <v/>
      </c>
      <c r="J715" s="5">
        <f t="shared" si="138"/>
      </c>
      <c r="K715" s="5">
        <f t="shared" si="139"/>
      </c>
      <c r="L715" s="5">
        <f t="shared" si="140"/>
      </c>
      <c r="M715">
        <f t="shared" si="141"/>
      </c>
      <c r="N715" s="18">
        <f t="shared" si="142"/>
      </c>
    </row>
    <row r="716" spans="3:14" x14ac:dyDescent="0.3">
      <c r="C716" s="5">
        <f t="shared" si="143"/>
      </c>
      <c r="D716" s="5">
        <f t="shared" si="144"/>
      </c>
      <c r="E716" s="70"/>
      <c r="F716" s="5">
        <f t="shared" si="145"/>
      </c>
      <c r="G716" s="5">
        <f t="shared" si="135"/>
      </c>
      <c r="H716" s="70">
        <f t="shared" si="136"/>
      </c>
      <c r="I716" s="5">
        <f t="shared" si="137"/>
        <v/>
      </c>
      <c r="J716" s="5">
        <f t="shared" si="138"/>
      </c>
      <c r="K716" s="5">
        <f t="shared" si="139"/>
      </c>
      <c r="L716" s="5">
        <f t="shared" si="140"/>
      </c>
      <c r="M716">
        <f t="shared" si="141"/>
      </c>
      <c r="N716" s="18">
        <f t="shared" si="142"/>
      </c>
    </row>
    <row r="717" spans="3:14" x14ac:dyDescent="0.3">
      <c r="C717" s="5">
        <f t="shared" si="143"/>
      </c>
      <c r="D717" s="5">
        <f t="shared" si="144"/>
      </c>
      <c r="E717" s="70"/>
      <c r="F717" s="5">
        <f t="shared" si="145"/>
      </c>
      <c r="G717" s="5">
        <f t="shared" si="135"/>
      </c>
      <c r="H717" s="70">
        <f t="shared" si="136"/>
      </c>
      <c r="I717" s="5">
        <f t="shared" si="137"/>
        <v/>
      </c>
      <c r="J717" s="5">
        <f t="shared" si="138"/>
      </c>
      <c r="K717" s="5">
        <f t="shared" si="139"/>
      </c>
      <c r="L717" s="5">
        <f t="shared" si="140"/>
      </c>
      <c r="M717">
        <f t="shared" si="141"/>
      </c>
      <c r="N717" s="18">
        <f t="shared" si="142"/>
      </c>
    </row>
    <row r="718" spans="3:14" x14ac:dyDescent="0.3">
      <c r="C718" s="5">
        <f t="shared" si="143"/>
      </c>
      <c r="D718" s="5">
        <f t="shared" si="144"/>
      </c>
      <c r="E718" s="70"/>
      <c r="F718" s="5">
        <f t="shared" si="145"/>
      </c>
      <c r="G718" s="5">
        <f t="shared" si="135"/>
      </c>
      <c r="H718" s="70">
        <f t="shared" si="136"/>
      </c>
      <c r="I718" s="5">
        <f t="shared" si="137"/>
        <v/>
      </c>
      <c r="J718" s="5">
        <f t="shared" si="138"/>
      </c>
      <c r="K718" s="5">
        <f t="shared" si="139"/>
      </c>
      <c r="L718" s="5">
        <f t="shared" si="140"/>
      </c>
      <c r="M718">
        <f t="shared" si="141"/>
      </c>
      <c r="N718" s="18">
        <f t="shared" si="142"/>
      </c>
    </row>
    <row r="719" spans="3:14" x14ac:dyDescent="0.3">
      <c r="C719" s="5">
        <f t="shared" si="143"/>
      </c>
      <c r="D719" s="5">
        <f t="shared" si="144"/>
      </c>
      <c r="E719" s="70"/>
      <c r="F719" s="5">
        <f t="shared" si="145"/>
      </c>
      <c r="G719" s="5">
        <f t="shared" si="135"/>
      </c>
      <c r="H719" s="70">
        <f t="shared" si="136"/>
      </c>
      <c r="I719" s="5">
        <f t="shared" si="137"/>
        <v/>
      </c>
      <c r="J719" s="5">
        <f t="shared" si="138"/>
      </c>
      <c r="K719" s="5">
        <f t="shared" si="139"/>
      </c>
      <c r="L719" s="5">
        <f t="shared" si="140"/>
      </c>
      <c r="M719">
        <f t="shared" si="141"/>
      </c>
      <c r="N719" s="18">
        <f t="shared" si="142"/>
      </c>
    </row>
    <row r="720" spans="3:14" x14ac:dyDescent="0.3">
      <c r="C720" s="5">
        <f t="shared" si="143"/>
      </c>
      <c r="D720" s="5">
        <f t="shared" si="144"/>
      </c>
      <c r="E720" s="70"/>
      <c r="F720" s="5">
        <f t="shared" si="145"/>
      </c>
      <c r="G720" s="5">
        <f t="shared" si="135"/>
      </c>
      <c r="H720" s="70">
        <f t="shared" si="136"/>
      </c>
      <c r="I720" s="5">
        <f t="shared" si="137"/>
        <v/>
      </c>
      <c r="J720" s="5">
        <f t="shared" si="138"/>
      </c>
      <c r="K720" s="5">
        <f t="shared" si="139"/>
      </c>
      <c r="L720" s="5">
        <f t="shared" si="140"/>
      </c>
      <c r="M720">
        <f t="shared" si="141"/>
      </c>
      <c r="N720" s="18">
        <f t="shared" si="142"/>
      </c>
    </row>
    <row r="721" spans="3:14" x14ac:dyDescent="0.3">
      <c r="C721" s="5">
        <f t="shared" si="143"/>
      </c>
      <c r="D721" s="5">
        <f t="shared" si="144"/>
      </c>
      <c r="E721" s="70"/>
      <c r="F721" s="5">
        <f t="shared" si="145"/>
      </c>
      <c r="G721" s="5">
        <f t="shared" si="135"/>
      </c>
      <c r="H721" s="70">
        <f t="shared" si="136"/>
      </c>
      <c r="I721" s="5">
        <f t="shared" si="137"/>
        <v/>
      </c>
      <c r="J721" s="5">
        <f t="shared" si="138"/>
      </c>
      <c r="K721" s="5">
        <f t="shared" si="139"/>
      </c>
      <c r="L721" s="5">
        <f t="shared" si="140"/>
      </c>
      <c r="M721">
        <f t="shared" si="141"/>
      </c>
      <c r="N721" s="18">
        <f t="shared" si="142"/>
      </c>
    </row>
    <row r="722" spans="3:14" x14ac:dyDescent="0.3">
      <c r="C722" s="5">
        <f t="shared" si="143"/>
      </c>
      <c r="D722" s="5">
        <f t="shared" si="144"/>
      </c>
      <c r="E722" s="70"/>
      <c r="F722" s="5">
        <f t="shared" si="145"/>
      </c>
      <c r="G722" s="5">
        <f t="shared" si="135"/>
      </c>
      <c r="H722" s="70">
        <f t="shared" si="136"/>
      </c>
      <c r="I722" s="5">
        <f t="shared" si="137"/>
        <v/>
      </c>
      <c r="J722" s="5">
        <f t="shared" si="138"/>
      </c>
      <c r="K722" s="5">
        <f t="shared" si="139"/>
      </c>
      <c r="L722" s="5">
        <f t="shared" si="140"/>
      </c>
      <c r="M722">
        <f t="shared" si="141"/>
      </c>
      <c r="N722" s="18">
        <f t="shared" si="142"/>
      </c>
    </row>
    <row r="723" spans="3:14" x14ac:dyDescent="0.3">
      <c r="C723" s="5">
        <f t="shared" si="143"/>
      </c>
      <c r="D723" s="5">
        <f t="shared" si="144"/>
      </c>
      <c r="E723" s="70"/>
      <c r="F723" s="5">
        <f t="shared" si="145"/>
      </c>
      <c r="G723" s="5">
        <f t="shared" si="135"/>
      </c>
      <c r="H723" s="70">
        <f t="shared" si="136"/>
      </c>
      <c r="I723" s="5">
        <f t="shared" si="137"/>
        <v/>
      </c>
      <c r="J723" s="5">
        <f t="shared" si="138"/>
      </c>
      <c r="K723" s="5">
        <f t="shared" si="139"/>
      </c>
      <c r="L723" s="5">
        <f t="shared" si="140"/>
      </c>
      <c r="M723">
        <f t="shared" si="141"/>
      </c>
      <c r="N723" s="18">
        <f t="shared" si="142"/>
      </c>
    </row>
    <row r="724" spans="3:14" x14ac:dyDescent="0.3">
      <c r="C724" s="5">
        <f t="shared" si="143"/>
      </c>
      <c r="D724" s="5">
        <f t="shared" si="144"/>
      </c>
      <c r="E724" s="70"/>
      <c r="F724" s="5">
        <f t="shared" si="145"/>
      </c>
      <c r="G724" s="5">
        <f t="shared" si="135"/>
      </c>
      <c r="H724" s="70">
        <f t="shared" si="136"/>
      </c>
      <c r="I724" s="5">
        <f t="shared" si="137"/>
        <v/>
      </c>
      <c r="J724" s="5">
        <f t="shared" si="138"/>
      </c>
      <c r="K724" s="5">
        <f t="shared" si="139"/>
      </c>
      <c r="L724" s="5">
        <f t="shared" si="140"/>
      </c>
      <c r="M724">
        <f t="shared" si="141"/>
      </c>
      <c r="N724" s="18">
        <f t="shared" si="142"/>
      </c>
    </row>
    <row r="725" spans="3:14" x14ac:dyDescent="0.3">
      <c r="C725" s="5">
        <f t="shared" si="143"/>
      </c>
      <c r="D725" s="5">
        <f t="shared" si="144"/>
      </c>
      <c r="E725" s="70"/>
      <c r="F725" s="5">
        <f t="shared" si="145"/>
      </c>
      <c r="G725" s="5">
        <f t="shared" si="135"/>
      </c>
      <c r="H725" s="70">
        <f t="shared" si="136"/>
      </c>
      <c r="I725" s="5">
        <f t="shared" si="137"/>
        <v/>
      </c>
      <c r="J725" s="5">
        <f t="shared" si="138"/>
      </c>
      <c r="K725" s="5">
        <f t="shared" si="139"/>
      </c>
      <c r="L725" s="5">
        <f t="shared" si="140"/>
      </c>
      <c r="M725">
        <f t="shared" si="141"/>
      </c>
      <c r="N725" s="18">
        <f t="shared" si="142"/>
      </c>
    </row>
    <row r="726" spans="3:14" x14ac:dyDescent="0.3">
      <c r="C726" s="5">
        <f t="shared" si="143"/>
      </c>
      <c r="D726" s="5">
        <f t="shared" si="144"/>
      </c>
      <c r="E726" s="70"/>
      <c r="F726" s="5">
        <f t="shared" si="145"/>
      </c>
      <c r="G726" s="5">
        <f t="shared" si="135"/>
      </c>
      <c r="H726" s="70">
        <f t="shared" si="136"/>
      </c>
      <c r="I726" s="5">
        <f t="shared" si="137"/>
        <v/>
      </c>
      <c r="J726" s="5">
        <f t="shared" si="138"/>
      </c>
      <c r="K726" s="5">
        <f t="shared" si="139"/>
      </c>
      <c r="L726" s="5">
        <f t="shared" si="140"/>
      </c>
      <c r="M726">
        <f t="shared" si="141"/>
      </c>
      <c r="N726" s="18">
        <f t="shared" si="142"/>
      </c>
    </row>
    <row r="727" spans="3:14" x14ac:dyDescent="0.3">
      <c r="C727" s="5">
        <f t="shared" si="143"/>
      </c>
      <c r="D727" s="5">
        <f t="shared" si="144"/>
      </c>
      <c r="E727" s="70"/>
      <c r="F727" s="5">
        <f t="shared" si="145"/>
      </c>
      <c r="G727" s="5">
        <f t="shared" si="135"/>
      </c>
      <c r="H727" s="70">
        <f t="shared" si="136"/>
      </c>
      <c r="I727" s="5">
        <f t="shared" si="137"/>
        <v/>
      </c>
      <c r="J727" s="5">
        <f t="shared" si="138"/>
      </c>
      <c r="K727" s="5">
        <f t="shared" si="139"/>
      </c>
      <c r="L727" s="5">
        <f t="shared" si="140"/>
      </c>
      <c r="M727">
        <f t="shared" si="141"/>
      </c>
      <c r="N727" s="18">
        <f t="shared" si="142"/>
      </c>
    </row>
    <row r="728" spans="3:14" x14ac:dyDescent="0.3">
      <c r="C728" s="5">
        <f t="shared" si="143"/>
      </c>
      <c r="D728" s="5">
        <f t="shared" si="144"/>
      </c>
      <c r="E728" s="70"/>
      <c r="F728" s="5">
        <f t="shared" si="145"/>
      </c>
      <c r="G728" s="5">
        <f t="shared" si="135"/>
      </c>
      <c r="H728" s="70">
        <f t="shared" si="136"/>
      </c>
      <c r="I728" s="5">
        <f t="shared" si="137"/>
        <v/>
      </c>
      <c r="J728" s="5">
        <f t="shared" si="138"/>
      </c>
      <c r="K728" s="5">
        <f t="shared" si="139"/>
      </c>
      <c r="L728" s="5">
        <f t="shared" si="140"/>
      </c>
      <c r="M728">
        <f t="shared" si="141"/>
      </c>
      <c r="N728" s="18">
        <f t="shared" si="142"/>
      </c>
    </row>
    <row r="729" spans="3:14" x14ac:dyDescent="0.3">
      <c r="C729" s="5">
        <f t="shared" si="143"/>
      </c>
      <c r="D729" s="5">
        <f t="shared" si="144"/>
      </c>
      <c r="E729" s="70"/>
      <c r="F729" s="5">
        <f t="shared" si="145"/>
      </c>
      <c r="G729" s="5">
        <f t="shared" si="135"/>
      </c>
      <c r="H729" s="70">
        <f t="shared" si="136"/>
      </c>
      <c r="I729" s="5">
        <f t="shared" si="137"/>
        <v/>
      </c>
      <c r="J729" s="5">
        <f t="shared" si="138"/>
      </c>
      <c r="K729" s="5">
        <f t="shared" si="139"/>
      </c>
      <c r="L729" s="5">
        <f t="shared" si="140"/>
      </c>
      <c r="M729">
        <f t="shared" si="141"/>
      </c>
      <c r="N729" s="18">
        <f t="shared" si="142"/>
      </c>
    </row>
    <row r="730" spans="3:14" x14ac:dyDescent="0.3">
      <c r="C730" s="5">
        <f t="shared" si="143"/>
      </c>
      <c r="D730" s="5">
        <f t="shared" si="144"/>
      </c>
      <c r="E730" s="70"/>
      <c r="F730" s="5">
        <f t="shared" si="145"/>
      </c>
      <c r="G730" s="5">
        <f t="shared" si="135"/>
      </c>
      <c r="H730" s="70">
        <f t="shared" si="136"/>
      </c>
      <c r="I730" s="5">
        <f t="shared" si="137"/>
        <v/>
      </c>
      <c r="J730" s="5">
        <f t="shared" si="138"/>
      </c>
      <c r="K730" s="5">
        <f t="shared" si="139"/>
      </c>
      <c r="L730" s="5">
        <f t="shared" si="140"/>
      </c>
      <c r="M730">
        <f t="shared" si="141"/>
      </c>
      <c r="N730" s="18">
        <f t="shared" si="142"/>
      </c>
    </row>
    <row r="731" spans="3:14" x14ac:dyDescent="0.3">
      <c r="C731" s="5">
        <f t="shared" si="143"/>
      </c>
      <c r="D731" s="5">
        <f t="shared" si="144"/>
      </c>
      <c r="E731" s="70"/>
      <c r="F731" s="5">
        <f t="shared" si="145"/>
      </c>
      <c r="G731" s="5">
        <f t="shared" si="135"/>
      </c>
      <c r="H731" s="70">
        <f t="shared" si="136"/>
      </c>
      <c r="I731" s="5">
        <f t="shared" si="137"/>
        <v/>
      </c>
      <c r="J731" s="5">
        <f t="shared" si="138"/>
      </c>
      <c r="K731" s="5">
        <f t="shared" si="139"/>
      </c>
      <c r="L731" s="5">
        <f t="shared" si="140"/>
      </c>
      <c r="M731">
        <f t="shared" si="141"/>
      </c>
      <c r="N731" s="18">
        <f t="shared" si="142"/>
      </c>
    </row>
    <row r="732" spans="3:14" x14ac:dyDescent="0.3">
      <c r="C732" s="5">
        <f t="shared" si="143"/>
      </c>
      <c r="D732" s="5">
        <f t="shared" si="144"/>
      </c>
      <c r="E732" s="70"/>
      <c r="F732" s="5">
        <f t="shared" si="145"/>
      </c>
      <c r="G732" s="5">
        <f t="shared" si="135"/>
      </c>
      <c r="H732" s="70">
        <f t="shared" si="136"/>
      </c>
      <c r="I732" s="5">
        <f t="shared" si="137"/>
        <v/>
      </c>
      <c r="J732" s="5">
        <f t="shared" si="138"/>
      </c>
      <c r="K732" s="5">
        <f t="shared" si="139"/>
      </c>
      <c r="L732" s="5">
        <f t="shared" si="140"/>
      </c>
      <c r="M732">
        <f t="shared" si="141"/>
      </c>
      <c r="N732" s="18">
        <f t="shared" si="142"/>
      </c>
    </row>
    <row r="733" spans="3:14" x14ac:dyDescent="0.3">
      <c r="C733" s="5">
        <f t="shared" si="143"/>
      </c>
      <c r="D733" s="5">
        <f t="shared" si="144"/>
      </c>
      <c r="E733" s="70"/>
      <c r="F733" s="5">
        <f t="shared" si="145"/>
      </c>
      <c r="G733" s="5">
        <f t="shared" si="135"/>
      </c>
      <c r="H733" s="70">
        <f t="shared" si="136"/>
      </c>
      <c r="I733" s="5">
        <f t="shared" si="137"/>
        <v/>
      </c>
      <c r="J733" s="5">
        <f t="shared" si="138"/>
      </c>
      <c r="K733" s="5">
        <f t="shared" si="139"/>
      </c>
      <c r="L733" s="5">
        <f t="shared" si="140"/>
      </c>
      <c r="M733">
        <f t="shared" si="141"/>
      </c>
      <c r="N733" s="18">
        <f t="shared" si="142"/>
      </c>
    </row>
    <row r="734" spans="3:14" x14ac:dyDescent="0.3">
      <c r="C734" s="5">
        <f t="shared" si="143"/>
      </c>
      <c r="D734" s="5">
        <f t="shared" si="144"/>
      </c>
      <c r="E734" s="70"/>
      <c r="F734" s="5">
        <f t="shared" si="145"/>
      </c>
      <c r="G734" s="5">
        <f t="shared" si="135"/>
      </c>
      <c r="H734" s="70">
        <f t="shared" si="136"/>
      </c>
      <c r="I734" s="5">
        <f t="shared" si="137"/>
        <v/>
      </c>
      <c r="J734" s="5">
        <f t="shared" si="138"/>
      </c>
      <c r="K734" s="5">
        <f t="shared" si="139"/>
      </c>
      <c r="L734" s="5">
        <f t="shared" si="140"/>
      </c>
      <c r="M734">
        <f t="shared" si="141"/>
      </c>
      <c r="N734" s="18">
        <f t="shared" si="142"/>
      </c>
    </row>
    <row r="735" spans="3:14" x14ac:dyDescent="0.3">
      <c r="C735" s="5">
        <f t="shared" si="143"/>
      </c>
      <c r="D735" s="5">
        <f t="shared" si="144"/>
      </c>
      <c r="E735" s="70"/>
      <c r="F735" s="5">
        <f t="shared" si="145"/>
      </c>
      <c r="G735" s="5">
        <f t="shared" si="135"/>
      </c>
      <c r="H735" s="70">
        <f t="shared" si="136"/>
      </c>
      <c r="I735" s="5">
        <f t="shared" si="137"/>
        <v/>
      </c>
      <c r="J735" s="5">
        <f t="shared" si="138"/>
      </c>
      <c r="K735" s="5">
        <f t="shared" si="139"/>
      </c>
      <c r="L735" s="5">
        <f t="shared" si="140"/>
      </c>
      <c r="M735">
        <f t="shared" si="141"/>
      </c>
      <c r="N735" s="18">
        <f t="shared" si="142"/>
      </c>
    </row>
    <row r="736" spans="3:14" x14ac:dyDescent="0.3">
      <c r="C736" s="5">
        <f t="shared" si="143"/>
      </c>
      <c r="D736" s="5">
        <f t="shared" si="144"/>
      </c>
      <c r="E736" s="70"/>
      <c r="F736" s="5">
        <f t="shared" si="145"/>
      </c>
      <c r="G736" s="5">
        <f t="shared" si="135"/>
      </c>
      <c r="H736" s="70">
        <f t="shared" si="136"/>
      </c>
      <c r="I736" s="5">
        <f t="shared" si="137"/>
        <v/>
      </c>
      <c r="J736" s="5">
        <f t="shared" si="138"/>
      </c>
      <c r="K736" s="5">
        <f t="shared" si="139"/>
      </c>
      <c r="L736" s="5">
        <f t="shared" si="140"/>
      </c>
      <c r="M736">
        <f t="shared" si="141"/>
      </c>
      <c r="N736" s="18">
        <f t="shared" si="142"/>
      </c>
    </row>
    <row r="737" spans="3:14" x14ac:dyDescent="0.3">
      <c r="C737" s="5">
        <f t="shared" si="143"/>
      </c>
      <c r="D737" s="5">
        <f t="shared" si="144"/>
      </c>
      <c r="E737" s="70"/>
      <c r="F737" s="5">
        <f t="shared" si="145"/>
      </c>
      <c r="G737" s="5">
        <f t="shared" si="135"/>
      </c>
      <c r="H737" s="70">
        <f t="shared" si="136"/>
      </c>
      <c r="I737" s="5">
        <f t="shared" si="137"/>
        <v/>
      </c>
      <c r="J737" s="5">
        <f t="shared" si="138"/>
      </c>
      <c r="K737" s="5">
        <f t="shared" si="139"/>
      </c>
      <c r="L737" s="5">
        <f t="shared" si="140"/>
      </c>
      <c r="M737">
        <f t="shared" si="141"/>
      </c>
      <c r="N737" s="18">
        <f t="shared" si="142"/>
      </c>
    </row>
    <row r="738" spans="3:14" x14ac:dyDescent="0.3">
      <c r="C738" s="5">
        <f t="shared" si="143"/>
      </c>
      <c r="D738" s="5">
        <f t="shared" si="144"/>
      </c>
      <c r="E738" s="70"/>
      <c r="F738" s="5">
        <f t="shared" si="145"/>
      </c>
      <c r="G738" s="5">
        <f t="shared" si="135"/>
      </c>
      <c r="H738" s="70">
        <f t="shared" si="136"/>
      </c>
      <c r="I738" s="5">
        <f t="shared" si="137"/>
        <v/>
      </c>
      <c r="J738" s="5">
        <f t="shared" si="138"/>
      </c>
      <c r="K738" s="5">
        <f t="shared" si="139"/>
      </c>
      <c r="L738" s="5">
        <f t="shared" si="140"/>
      </c>
      <c r="M738">
        <f t="shared" si="141"/>
      </c>
      <c r="N738" s="18">
        <f t="shared" si="142"/>
      </c>
    </row>
    <row r="739" spans="3:14" x14ac:dyDescent="0.3">
      <c r="C739" s="5">
        <f t="shared" si="143"/>
      </c>
      <c r="D739" s="5">
        <f t="shared" si="144"/>
      </c>
      <c r="E739" s="70"/>
      <c r="F739" s="5">
        <f t="shared" si="145"/>
      </c>
      <c r="G739" s="5">
        <f t="shared" si="135"/>
      </c>
      <c r="H739" s="70">
        <f t="shared" si="136"/>
      </c>
      <c r="I739" s="5">
        <f t="shared" si="137"/>
        <v/>
      </c>
      <c r="J739" s="5">
        <f t="shared" si="138"/>
      </c>
      <c r="K739" s="5">
        <f t="shared" si="139"/>
      </c>
      <c r="L739" s="5">
        <f t="shared" si="140"/>
      </c>
      <c r="M739">
        <f t="shared" si="141"/>
      </c>
      <c r="N739" s="18">
        <f t="shared" si="142"/>
      </c>
    </row>
    <row r="740" spans="3:14" x14ac:dyDescent="0.3">
      <c r="C740" s="5">
        <f t="shared" si="143"/>
      </c>
      <c r="D740" s="5">
        <f t="shared" si="144"/>
      </c>
      <c r="E740" s="70"/>
      <c r="F740" s="5">
        <f t="shared" si="145"/>
      </c>
      <c r="G740" s="5">
        <f t="shared" si="135"/>
      </c>
      <c r="H740" s="70">
        <f t="shared" si="136"/>
      </c>
      <c r="I740" s="5">
        <f t="shared" si="137"/>
        <v/>
      </c>
      <c r="J740" s="5">
        <f t="shared" si="138"/>
      </c>
      <c r="K740" s="5">
        <f t="shared" si="139"/>
      </c>
      <c r="L740" s="5">
        <f t="shared" si="140"/>
      </c>
      <c r="M740">
        <f t="shared" si="141"/>
      </c>
      <c r="N740" s="18">
        <f t="shared" si="142"/>
      </c>
    </row>
    <row r="741" spans="3:14" x14ac:dyDescent="0.3">
      <c r="C741" s="5">
        <f t="shared" si="143"/>
      </c>
      <c r="D741" s="5">
        <f t="shared" si="144"/>
      </c>
      <c r="E741" s="70"/>
      <c r="F741" s="5">
        <f t="shared" si="145"/>
      </c>
      <c r="G741" s="5">
        <f t="shared" si="135"/>
      </c>
      <c r="H741" s="70">
        <f t="shared" si="136"/>
      </c>
      <c r="I741" s="5">
        <f t="shared" si="137"/>
        <v/>
      </c>
      <c r="J741" s="5">
        <f t="shared" si="138"/>
      </c>
      <c r="K741" s="5">
        <f t="shared" si="139"/>
      </c>
      <c r="L741" s="5">
        <f t="shared" si="140"/>
      </c>
      <c r="M741">
        <f t="shared" si="141"/>
      </c>
      <c r="N741" s="18">
        <f t="shared" si="142"/>
      </c>
    </row>
    <row r="742" spans="3:14" x14ac:dyDescent="0.3">
      <c r="C742" s="5">
        <f t="shared" si="143"/>
      </c>
      <c r="D742" s="5">
        <f t="shared" si="144"/>
      </c>
      <c r="E742" s="70"/>
      <c r="F742" s="5">
        <f t="shared" si="145"/>
      </c>
      <c r="G742" s="5">
        <f t="shared" si="135"/>
      </c>
      <c r="H742" s="70">
        <f t="shared" si="136"/>
      </c>
      <c r="I742" s="5">
        <f t="shared" si="137"/>
        <v/>
      </c>
      <c r="J742" s="5">
        <f t="shared" si="138"/>
      </c>
      <c r="K742" s="5">
        <f t="shared" si="139"/>
      </c>
      <c r="L742" s="5">
        <f t="shared" si="140"/>
      </c>
      <c r="M742">
        <f t="shared" si="141"/>
      </c>
      <c r="N742" s="18">
        <f t="shared" si="142"/>
      </c>
    </row>
    <row r="743" spans="3:14" x14ac:dyDescent="0.3">
      <c r="C743" s="5">
        <f t="shared" si="143"/>
      </c>
      <c r="D743" s="5">
        <f t="shared" si="144"/>
      </c>
      <c r="E743" s="70"/>
      <c r="F743" s="5">
        <f t="shared" si="145"/>
      </c>
      <c r="G743" s="5">
        <f t="shared" si="135"/>
      </c>
      <c r="H743" s="70">
        <f t="shared" si="136"/>
      </c>
      <c r="I743" s="5">
        <f t="shared" si="137"/>
        <v/>
      </c>
      <c r="J743" s="5">
        <f t="shared" si="138"/>
      </c>
      <c r="K743" s="5">
        <f t="shared" si="139"/>
      </c>
      <c r="L743" s="5">
        <f t="shared" si="140"/>
      </c>
      <c r="M743">
        <f t="shared" si="141"/>
      </c>
      <c r="N743" s="18">
        <f t="shared" si="142"/>
      </c>
    </row>
    <row r="744" spans="3:14" x14ac:dyDescent="0.3">
      <c r="C744" s="5">
        <f t="shared" si="143"/>
      </c>
      <c r="D744" s="5">
        <f t="shared" si="144"/>
      </c>
      <c r="E744" s="70"/>
      <c r="F744" s="5">
        <f t="shared" si="145"/>
      </c>
      <c r="G744" s="5">
        <f t="shared" si="135"/>
      </c>
      <c r="H744" s="70">
        <f t="shared" si="136"/>
      </c>
      <c r="I744" s="5">
        <f t="shared" si="137"/>
        <v/>
      </c>
      <c r="J744" s="5">
        <f t="shared" si="138"/>
      </c>
      <c r="K744" s="5">
        <f t="shared" si="139"/>
      </c>
      <c r="L744" s="5">
        <f t="shared" si="140"/>
      </c>
      <c r="M744">
        <f t="shared" si="141"/>
      </c>
      <c r="N744" s="18">
        <f t="shared" si="142"/>
      </c>
    </row>
    <row r="745" spans="3:14" x14ac:dyDescent="0.3">
      <c r="C745" s="5">
        <f t="shared" si="143"/>
      </c>
      <c r="D745" s="5">
        <f t="shared" si="144"/>
      </c>
      <c r="E745" s="70"/>
      <c r="F745" s="5">
        <f t="shared" si="145"/>
      </c>
      <c r="G745" s="5">
        <f t="shared" si="135"/>
      </c>
      <c r="H745" s="70">
        <f t="shared" si="136"/>
      </c>
      <c r="I745" s="5">
        <f t="shared" si="137"/>
        <v/>
      </c>
      <c r="J745" s="5">
        <f t="shared" si="138"/>
      </c>
      <c r="K745" s="5">
        <f t="shared" si="139"/>
      </c>
      <c r="L745" s="5">
        <f t="shared" si="140"/>
      </c>
      <c r="M745">
        <f t="shared" si="141"/>
      </c>
      <c r="N745" s="18">
        <f t="shared" si="142"/>
      </c>
    </row>
    <row r="746" spans="3:14" x14ac:dyDescent="0.3">
      <c r="C746" s="5">
        <f t="shared" si="143"/>
      </c>
      <c r="D746" s="5">
        <f t="shared" si="144"/>
      </c>
      <c r="E746" s="70"/>
      <c r="F746" s="5">
        <f t="shared" si="145"/>
      </c>
      <c r="G746" s="5">
        <f t="shared" si="135"/>
      </c>
      <c r="H746" s="70">
        <f t="shared" si="136"/>
      </c>
      <c r="I746" s="5">
        <f t="shared" si="137"/>
        <v/>
      </c>
      <c r="J746" s="5">
        <f t="shared" si="138"/>
      </c>
      <c r="K746" s="5">
        <f t="shared" si="139"/>
      </c>
      <c r="L746" s="5">
        <f t="shared" si="140"/>
      </c>
      <c r="M746">
        <f t="shared" si="141"/>
      </c>
      <c r="N746" s="18">
        <f t="shared" si="142"/>
      </c>
    </row>
    <row r="747" spans="3:14" x14ac:dyDescent="0.3">
      <c r="C747" s="5">
        <f t="shared" si="143"/>
      </c>
      <c r="D747" s="5">
        <f t="shared" si="144"/>
      </c>
      <c r="E747" s="70"/>
      <c r="F747" s="5">
        <f t="shared" si="145"/>
      </c>
      <c r="G747" s="5">
        <f t="shared" si="135"/>
      </c>
      <c r="H747" s="70">
        <f t="shared" si="136"/>
      </c>
      <c r="I747" s="5">
        <f t="shared" si="137"/>
        <v/>
      </c>
      <c r="J747" s="5">
        <f t="shared" si="138"/>
      </c>
      <c r="K747" s="5">
        <f t="shared" si="139"/>
      </c>
      <c r="L747" s="5">
        <f t="shared" si="140"/>
      </c>
      <c r="M747">
        <f t="shared" si="141"/>
      </c>
      <c r="N747" s="18">
        <f t="shared" si="142"/>
      </c>
    </row>
    <row r="748" spans="3:14" x14ac:dyDescent="0.3">
      <c r="C748" s="5">
        <f t="shared" si="143"/>
      </c>
      <c r="D748" s="5">
        <f t="shared" si="144"/>
      </c>
      <c r="E748" s="70"/>
      <c r="F748" s="5">
        <f t="shared" si="145"/>
      </c>
      <c r="G748" s="5">
        <f t="shared" si="135"/>
      </c>
      <c r="H748" s="70">
        <f t="shared" si="136"/>
      </c>
      <c r="I748" s="5">
        <f t="shared" si="137"/>
        <v/>
      </c>
      <c r="J748" s="5">
        <f t="shared" si="138"/>
      </c>
      <c r="K748" s="5">
        <f t="shared" si="139"/>
      </c>
      <c r="L748" s="5">
        <f t="shared" si="140"/>
      </c>
      <c r="M748">
        <f t="shared" si="141"/>
      </c>
      <c r="N748" s="18">
        <f t="shared" si="142"/>
      </c>
    </row>
    <row r="749" spans="3:14" x14ac:dyDescent="0.3">
      <c r="C749" s="5">
        <f t="shared" si="143"/>
      </c>
      <c r="D749" s="5">
        <f t="shared" si="144"/>
      </c>
      <c r="E749" s="70"/>
      <c r="F749" s="5">
        <f t="shared" si="145"/>
      </c>
      <c r="G749" s="5">
        <f t="shared" si="135"/>
      </c>
      <c r="H749" s="70">
        <f t="shared" si="136"/>
      </c>
      <c r="I749" s="5">
        <f t="shared" si="137"/>
        <v/>
      </c>
      <c r="J749" s="5">
        <f t="shared" si="138"/>
      </c>
      <c r="K749" s="5">
        <f t="shared" si="139"/>
      </c>
      <c r="L749" s="5">
        <f t="shared" si="140"/>
      </c>
      <c r="M749">
        <f t="shared" si="141"/>
      </c>
      <c r="N749" s="18">
        <f t="shared" si="142"/>
      </c>
    </row>
    <row r="750" spans="3:14" x14ac:dyDescent="0.3">
      <c r="C750" s="5">
        <f t="shared" si="143"/>
      </c>
      <c r="D750" s="5">
        <f t="shared" si="144"/>
      </c>
      <c r="E750" s="70"/>
      <c r="F750" s="5">
        <f t="shared" si="145"/>
      </c>
      <c r="G750" s="5">
        <f t="shared" si="135"/>
      </c>
      <c r="H750" s="70">
        <f t="shared" si="136"/>
      </c>
      <c r="I750" s="5">
        <f t="shared" si="137"/>
        <v/>
      </c>
      <c r="J750" s="5">
        <f t="shared" si="138"/>
      </c>
      <c r="K750" s="5">
        <f t="shared" si="139"/>
      </c>
      <c r="L750" s="5">
        <f t="shared" si="140"/>
      </c>
      <c r="M750">
        <f t="shared" si="141"/>
      </c>
      <c r="N750" s="18">
        <f t="shared" si="142"/>
      </c>
    </row>
    <row r="751" spans="3:14" x14ac:dyDescent="0.3">
      <c r="C751" s="5">
        <f t="shared" si="143"/>
      </c>
      <c r="D751" s="5">
        <f t="shared" si="144"/>
      </c>
      <c r="E751" s="70"/>
      <c r="F751" s="5">
        <f t="shared" si="145"/>
      </c>
      <c r="G751" s="5">
        <f t="shared" si="135"/>
      </c>
      <c r="H751" s="70">
        <f t="shared" si="136"/>
      </c>
      <c r="I751" s="5">
        <f t="shared" si="137"/>
        <v/>
      </c>
      <c r="J751" s="5">
        <f t="shared" si="138"/>
      </c>
      <c r="K751" s="5">
        <f t="shared" si="139"/>
      </c>
      <c r="L751" s="5">
        <f t="shared" si="140"/>
      </c>
      <c r="M751">
        <f t="shared" si="141"/>
      </c>
      <c r="N751" s="18">
        <f t="shared" si="142"/>
      </c>
    </row>
    <row r="752" spans="3:14" x14ac:dyDescent="0.3">
      <c r="C752" s="5">
        <f t="shared" si="143"/>
      </c>
      <c r="D752" s="5">
        <f t="shared" si="144"/>
      </c>
      <c r="E752" s="70"/>
      <c r="F752" s="5">
        <f t="shared" si="145"/>
      </c>
      <c r="G752" s="5">
        <f t="shared" si="135"/>
      </c>
      <c r="H752" s="70">
        <f t="shared" si="136"/>
      </c>
      <c r="I752" s="5">
        <f t="shared" si="137"/>
        <v/>
      </c>
      <c r="J752" s="5">
        <f t="shared" si="138"/>
      </c>
      <c r="K752" s="5">
        <f t="shared" si="139"/>
      </c>
      <c r="L752" s="5">
        <f t="shared" si="140"/>
      </c>
      <c r="M752">
        <f t="shared" si="141"/>
      </c>
      <c r="N752" s="18">
        <f t="shared" si="142"/>
      </c>
    </row>
    <row r="753" spans="3:14" x14ac:dyDescent="0.3">
      <c r="C753" s="5">
        <f t="shared" si="143"/>
      </c>
      <c r="D753" s="5">
        <f t="shared" si="144"/>
      </c>
      <c r="E753" s="70"/>
      <c r="F753" s="5">
        <f t="shared" si="145"/>
      </c>
      <c r="G753" s="5">
        <f t="shared" si="135"/>
      </c>
      <c r="H753" s="70">
        <f t="shared" si="136"/>
      </c>
      <c r="I753" s="5">
        <f t="shared" si="137"/>
        <v/>
      </c>
      <c r="J753" s="5">
        <f t="shared" si="138"/>
      </c>
      <c r="K753" s="5">
        <f t="shared" si="139"/>
      </c>
      <c r="L753" s="5">
        <f t="shared" si="140"/>
      </c>
      <c r="M753">
        <f t="shared" si="141"/>
      </c>
      <c r="N753" s="18">
        <f t="shared" si="142"/>
      </c>
    </row>
    <row r="754" spans="3:14" x14ac:dyDescent="0.3">
      <c r="C754" s="5">
        <f t="shared" si="143"/>
      </c>
      <c r="D754" s="5">
        <f t="shared" si="144"/>
      </c>
      <c r="E754" s="70"/>
      <c r="F754" s="5">
        <f t="shared" si="145"/>
      </c>
      <c r="G754" s="5">
        <f t="shared" si="135"/>
      </c>
      <c r="H754" s="70">
        <f t="shared" si="136"/>
      </c>
      <c r="I754" s="5">
        <f t="shared" si="137"/>
        <v/>
      </c>
      <c r="J754" s="5">
        <f t="shared" si="138"/>
      </c>
      <c r="K754" s="5">
        <f t="shared" si="139"/>
      </c>
      <c r="L754" s="5">
        <f t="shared" si="140"/>
      </c>
      <c r="M754">
        <f t="shared" si="141"/>
      </c>
      <c r="N754" s="18">
        <f t="shared" si="142"/>
      </c>
    </row>
    <row r="755" spans="3:14" x14ac:dyDescent="0.3">
      <c r="C755" s="5">
        <f t="shared" si="143"/>
      </c>
      <c r="D755" s="5">
        <f t="shared" si="144"/>
      </c>
      <c r="E755" s="70"/>
      <c r="F755" s="5">
        <f t="shared" si="145"/>
      </c>
      <c r="G755" s="5">
        <f t="shared" si="135"/>
      </c>
      <c r="H755" s="70">
        <f t="shared" si="136"/>
      </c>
      <c r="I755" s="5">
        <f t="shared" si="137"/>
        <v/>
      </c>
      <c r="J755" s="5">
        <f t="shared" si="138"/>
      </c>
      <c r="K755" s="5">
        <f t="shared" si="139"/>
      </c>
      <c r="L755" s="5">
        <f t="shared" si="140"/>
      </c>
      <c r="M755">
        <f t="shared" si="141"/>
      </c>
      <c r="N755" s="18">
        <f t="shared" si="142"/>
      </c>
    </row>
    <row r="756" spans="3:14" x14ac:dyDescent="0.3">
      <c r="C756" s="5">
        <f t="shared" si="143"/>
      </c>
      <c r="D756" s="5">
        <f t="shared" si="144"/>
      </c>
      <c r="E756" s="70"/>
      <c r="F756" s="5">
        <f t="shared" si="145"/>
      </c>
      <c r="G756" s="5">
        <f t="shared" si="135"/>
      </c>
      <c r="H756" s="70">
        <f t="shared" si="136"/>
      </c>
      <c r="I756" s="5">
        <f t="shared" si="137"/>
        <v/>
      </c>
      <c r="J756" s="5">
        <f t="shared" si="138"/>
      </c>
      <c r="K756" s="5">
        <f t="shared" si="139"/>
      </c>
      <c r="L756" s="5">
        <f t="shared" si="140"/>
      </c>
      <c r="M756">
        <f t="shared" si="141"/>
      </c>
      <c r="N756" s="18">
        <f t="shared" si="142"/>
      </c>
    </row>
    <row r="757" spans="3:14" x14ac:dyDescent="0.3">
      <c r="C757" s="5">
        <f t="shared" si="143"/>
      </c>
      <c r="D757" s="5">
        <f t="shared" si="144"/>
      </c>
      <c r="E757" s="70"/>
      <c r="F757" s="5">
        <f t="shared" si="145"/>
      </c>
      <c r="G757" s="5">
        <f t="shared" ref="G757:G820" si="146">IF(E757="упр","",IF(E757=0,F757,IF(E757="1,2,3","L1,L2,L3","L"&amp;E757)))</f>
      </c>
      <c r="H757" s="70">
        <f t="shared" ref="H757:H820" si="147">VLOOKUP(D757,Исходные_данные,5,FALSE)</f>
      </c>
      <c r="I757" s="5">
        <f t="shared" ref="I757:I820" si="148">IFERROR(VLOOKUP(D757,Исходные_данные,36,FALSE),"")</f>
        <v/>
      </c>
      <c r="J757" s="5">
        <f t="shared" ref="J757:J820" si="149">VLOOKUP(D757,Исходные_данные,46,FALSE)</f>
      </c>
      <c r="K757" s="5">
        <f t="shared" ref="K757:K820" si="150">VLOOKUP(D757,Исходные_данные,16,FALSE)</f>
      </c>
      <c r="L757" s="5">
        <f t="shared" ref="L757:L820" si="151">H757*K757</f>
      </c>
      <c r="M757">
        <f t="shared" ref="M757:M820" si="152">IF(ISBLANK(E757),M756,E757)</f>
      </c>
      <c r="N757" s="18">
        <f t="shared" ref="N757:N820" si="153">C757&amp;G757</f>
      </c>
    </row>
    <row r="758" spans="3:14" x14ac:dyDescent="0.3">
      <c r="C758" s="5">
        <f t="shared" si="143"/>
      </c>
      <c r="D758" s="5">
        <f t="shared" si="144"/>
      </c>
      <c r="E758" s="70"/>
      <c r="F758" s="5">
        <f t="shared" si="145"/>
      </c>
      <c r="G758" s="5">
        <f t="shared" si="146"/>
      </c>
      <c r="H758" s="70">
        <f t="shared" si="147"/>
      </c>
      <c r="I758" s="5">
        <f t="shared" si="148"/>
        <v/>
      </c>
      <c r="J758" s="5">
        <f t="shared" si="149"/>
      </c>
      <c r="K758" s="5">
        <f t="shared" si="150"/>
      </c>
      <c r="L758" s="5">
        <f t="shared" si="151"/>
      </c>
      <c r="M758">
        <f t="shared" si="152"/>
      </c>
      <c r="N758" s="18">
        <f t="shared" si="153"/>
      </c>
    </row>
    <row r="759" spans="3:14" x14ac:dyDescent="0.3">
      <c r="C759" s="5">
        <f t="shared" si="143"/>
      </c>
      <c r="D759" s="5">
        <f t="shared" si="144"/>
      </c>
      <c r="E759" s="70"/>
      <c r="F759" s="5">
        <f t="shared" si="145"/>
      </c>
      <c r="G759" s="5">
        <f t="shared" si="146"/>
      </c>
      <c r="H759" s="70">
        <f t="shared" si="147"/>
      </c>
      <c r="I759" s="5">
        <f t="shared" si="148"/>
        <v/>
      </c>
      <c r="J759" s="5">
        <f t="shared" si="149"/>
      </c>
      <c r="K759" s="5">
        <f t="shared" si="150"/>
      </c>
      <c r="L759" s="5">
        <f t="shared" si="151"/>
      </c>
      <c r="M759">
        <f t="shared" si="152"/>
      </c>
      <c r="N759" s="18">
        <f t="shared" si="153"/>
      </c>
    </row>
    <row r="760" spans="3:14" x14ac:dyDescent="0.3">
      <c r="C760" s="5">
        <f t="shared" si="143"/>
      </c>
      <c r="D760" s="5">
        <f t="shared" si="144"/>
      </c>
      <c r="E760" s="70"/>
      <c r="F760" s="5">
        <f t="shared" si="145"/>
      </c>
      <c r="G760" s="5">
        <f t="shared" si="146"/>
      </c>
      <c r="H760" s="70">
        <f t="shared" si="147"/>
      </c>
      <c r="I760" s="5">
        <f t="shared" si="148"/>
        <v/>
      </c>
      <c r="J760" s="5">
        <f t="shared" si="149"/>
      </c>
      <c r="K760" s="5">
        <f t="shared" si="150"/>
      </c>
      <c r="L760" s="5">
        <f t="shared" si="151"/>
      </c>
      <c r="M760">
        <f t="shared" si="152"/>
      </c>
      <c r="N760" s="18">
        <f t="shared" si="153"/>
      </c>
    </row>
    <row r="761" spans="3:14" x14ac:dyDescent="0.3">
      <c r="C761" s="5">
        <f t="shared" si="143"/>
      </c>
      <c r="D761" s="5">
        <f t="shared" si="144"/>
      </c>
      <c r="E761" s="70"/>
      <c r="F761" s="5">
        <f t="shared" si="145"/>
      </c>
      <c r="G761" s="5">
        <f t="shared" si="146"/>
      </c>
      <c r="H761" s="70">
        <f t="shared" si="147"/>
      </c>
      <c r="I761" s="5">
        <f t="shared" si="148"/>
        <v/>
      </c>
      <c r="J761" s="5">
        <f t="shared" si="149"/>
      </c>
      <c r="K761" s="5">
        <f t="shared" si="150"/>
      </c>
      <c r="L761" s="5">
        <f t="shared" si="151"/>
      </c>
      <c r="M761">
        <f t="shared" si="152"/>
      </c>
      <c r="N761" s="18">
        <f t="shared" si="153"/>
      </c>
    </row>
    <row r="762" spans="3:14" x14ac:dyDescent="0.3">
      <c r="C762" s="5">
        <f t="shared" si="143"/>
      </c>
      <c r="D762" s="5">
        <f t="shared" si="144"/>
      </c>
      <c r="E762" s="70"/>
      <c r="F762" s="5">
        <f t="shared" si="145"/>
      </c>
      <c r="G762" s="5">
        <f t="shared" si="146"/>
      </c>
      <c r="H762" s="70">
        <f t="shared" si="147"/>
      </c>
      <c r="I762" s="5">
        <f t="shared" si="148"/>
        <v/>
      </c>
      <c r="J762" s="5">
        <f t="shared" si="149"/>
      </c>
      <c r="K762" s="5">
        <f t="shared" si="150"/>
      </c>
      <c r="L762" s="5">
        <f t="shared" si="151"/>
      </c>
      <c r="M762">
        <f t="shared" si="152"/>
      </c>
      <c r="N762" s="18">
        <f t="shared" si="153"/>
      </c>
    </row>
    <row r="763" spans="3:14" x14ac:dyDescent="0.3">
      <c r="C763" s="5">
        <f t="shared" si="143"/>
      </c>
      <c r="D763" s="5">
        <f t="shared" si="144"/>
      </c>
      <c r="E763" s="70"/>
      <c r="F763" s="5">
        <f t="shared" si="145"/>
      </c>
      <c r="G763" s="5">
        <f t="shared" si="146"/>
      </c>
      <c r="H763" s="70">
        <f t="shared" si="147"/>
      </c>
      <c r="I763" s="5">
        <f t="shared" si="148"/>
        <v/>
      </c>
      <c r="J763" s="5">
        <f t="shared" si="149"/>
      </c>
      <c r="K763" s="5">
        <f t="shared" si="150"/>
      </c>
      <c r="L763" s="5">
        <f t="shared" si="151"/>
      </c>
      <c r="M763">
        <f t="shared" si="152"/>
      </c>
      <c r="N763" s="18">
        <f t="shared" si="153"/>
      </c>
    </row>
    <row r="764" spans="3:14" x14ac:dyDescent="0.3">
      <c r="C764" s="5">
        <f t="shared" si="143"/>
      </c>
      <c r="D764" s="5">
        <f t="shared" si="144"/>
      </c>
      <c r="E764" s="70"/>
      <c r="F764" s="5">
        <f t="shared" si="145"/>
      </c>
      <c r="G764" s="5">
        <f t="shared" si="146"/>
      </c>
      <c r="H764" s="70">
        <f t="shared" si="147"/>
      </c>
      <c r="I764" s="5">
        <f t="shared" si="148"/>
        <v/>
      </c>
      <c r="J764" s="5">
        <f t="shared" si="149"/>
      </c>
      <c r="K764" s="5">
        <f t="shared" si="150"/>
      </c>
      <c r="L764" s="5">
        <f t="shared" si="151"/>
      </c>
      <c r="M764">
        <f t="shared" si="152"/>
      </c>
      <c r="N764" s="18">
        <f t="shared" si="153"/>
      </c>
    </row>
    <row r="765" spans="3:14" x14ac:dyDescent="0.3">
      <c r="C765" s="5">
        <f t="shared" si="143"/>
      </c>
      <c r="D765" s="5">
        <f t="shared" si="144"/>
      </c>
      <c r="E765" s="70"/>
      <c r="F765" s="5">
        <f t="shared" si="145"/>
      </c>
      <c r="G765" s="5">
        <f t="shared" si="146"/>
      </c>
      <c r="H765" s="70">
        <f t="shared" si="147"/>
      </c>
      <c r="I765" s="5">
        <f t="shared" si="148"/>
        <v/>
      </c>
      <c r="J765" s="5">
        <f t="shared" si="149"/>
      </c>
      <c r="K765" s="5">
        <f t="shared" si="150"/>
      </c>
      <c r="L765" s="5">
        <f t="shared" si="151"/>
      </c>
      <c r="M765">
        <f t="shared" si="152"/>
      </c>
      <c r="N765" s="18">
        <f t="shared" si="153"/>
      </c>
    </row>
    <row r="766" spans="3:14" x14ac:dyDescent="0.3">
      <c r="C766" s="5">
        <f t="shared" si="143"/>
      </c>
      <c r="D766" s="5">
        <f t="shared" si="144"/>
      </c>
      <c r="E766" s="70"/>
      <c r="F766" s="5">
        <f t="shared" si="145"/>
      </c>
      <c r="G766" s="5">
        <f t="shared" si="146"/>
      </c>
      <c r="H766" s="70">
        <f t="shared" si="147"/>
      </c>
      <c r="I766" s="5">
        <f t="shared" si="148"/>
        <v/>
      </c>
      <c r="J766" s="5">
        <f t="shared" si="149"/>
      </c>
      <c r="K766" s="5">
        <f t="shared" si="150"/>
      </c>
      <c r="L766" s="5">
        <f t="shared" si="151"/>
      </c>
      <c r="M766">
        <f t="shared" si="152"/>
      </c>
      <c r="N766" s="18">
        <f t="shared" si="153"/>
      </c>
    </row>
    <row r="767" spans="3:14" x14ac:dyDescent="0.3">
      <c r="C767" s="5">
        <f t="shared" si="143"/>
      </c>
      <c r="D767" s="5">
        <f t="shared" si="144"/>
      </c>
      <c r="E767" s="70"/>
      <c r="F767" s="5">
        <f t="shared" si="145"/>
      </c>
      <c r="G767" s="5">
        <f t="shared" si="146"/>
      </c>
      <c r="H767" s="70">
        <f t="shared" si="147"/>
      </c>
      <c r="I767" s="5">
        <f t="shared" si="148"/>
        <v/>
      </c>
      <c r="J767" s="5">
        <f t="shared" si="149"/>
      </c>
      <c r="K767" s="5">
        <f t="shared" si="150"/>
      </c>
      <c r="L767" s="5">
        <f t="shared" si="151"/>
      </c>
      <c r="M767">
        <f t="shared" si="152"/>
      </c>
      <c r="N767" s="18">
        <f t="shared" si="153"/>
      </c>
    </row>
    <row r="768" spans="3:14" x14ac:dyDescent="0.3">
      <c r="C768" s="5">
        <f t="shared" si="143"/>
      </c>
      <c r="D768" s="5">
        <f t="shared" si="144"/>
      </c>
      <c r="E768" s="70"/>
      <c r="F768" s="5">
        <f t="shared" si="145"/>
      </c>
      <c r="G768" s="5">
        <f t="shared" si="146"/>
      </c>
      <c r="H768" s="70">
        <f t="shared" si="147"/>
      </c>
      <c r="I768" s="5">
        <f t="shared" si="148"/>
        <v/>
      </c>
      <c r="J768" s="5">
        <f t="shared" si="149"/>
      </c>
      <c r="K768" s="5">
        <f t="shared" si="150"/>
      </c>
      <c r="L768" s="5">
        <f t="shared" si="151"/>
      </c>
      <c r="M768">
        <f t="shared" si="152"/>
      </c>
      <c r="N768" s="18">
        <f t="shared" si="153"/>
      </c>
    </row>
    <row r="769" spans="3:14" x14ac:dyDescent="0.3">
      <c r="C769" s="5">
        <f t="shared" si="143"/>
      </c>
      <c r="D769" s="5">
        <f t="shared" si="144"/>
      </c>
      <c r="E769" s="70"/>
      <c r="F769" s="5">
        <f t="shared" si="145"/>
      </c>
      <c r="G769" s="5">
        <f t="shared" si="146"/>
      </c>
      <c r="H769" s="70">
        <f t="shared" si="147"/>
      </c>
      <c r="I769" s="5">
        <f t="shared" si="148"/>
        <v/>
      </c>
      <c r="J769" s="5">
        <f t="shared" si="149"/>
      </c>
      <c r="K769" s="5">
        <f t="shared" si="150"/>
      </c>
      <c r="L769" s="5">
        <f t="shared" si="151"/>
      </c>
      <c r="M769">
        <f t="shared" si="152"/>
      </c>
      <c r="N769" s="18">
        <f t="shared" si="153"/>
      </c>
    </row>
    <row r="770" spans="3:14" x14ac:dyDescent="0.3">
      <c r="C770" s="5">
        <f t="shared" si="143"/>
      </c>
      <c r="D770" s="5">
        <f t="shared" si="144"/>
      </c>
      <c r="E770" s="70"/>
      <c r="F770" s="5">
        <f t="shared" si="145"/>
      </c>
      <c r="G770" s="5">
        <f t="shared" si="146"/>
      </c>
      <c r="H770" s="70">
        <f t="shared" si="147"/>
      </c>
      <c r="I770" s="5">
        <f t="shared" si="148"/>
        <v/>
      </c>
      <c r="J770" s="5">
        <f t="shared" si="149"/>
      </c>
      <c r="K770" s="5">
        <f t="shared" si="150"/>
      </c>
      <c r="L770" s="5">
        <f t="shared" si="151"/>
      </c>
      <c r="M770">
        <f t="shared" si="152"/>
      </c>
      <c r="N770" s="18">
        <f t="shared" si="153"/>
      </c>
    </row>
    <row r="771" spans="3:14" x14ac:dyDescent="0.3">
      <c r="C771" s="5">
        <f t="shared" ref="C771:C834" si="154">VLOOKUP(ROW(769:769),Разбивка_нумерация_5,2,FALSE)</f>
      </c>
      <c r="D771" s="5">
        <f t="shared" ref="D771:D834" si="155">VLOOKUP(ROW(769:769),Разбивка_нумерация_5,4,FALSE)</f>
      </c>
      <c r="E771" s="70"/>
      <c r="F771" s="5">
        <f t="shared" ref="F771:F834" si="156">VLOOKUP(ROW(769:769),Разбивка_нумерация_5,16,FALSE)</f>
      </c>
      <c r="G771" s="5">
        <f t="shared" si="146"/>
      </c>
      <c r="H771" s="70">
        <f t="shared" si="147"/>
      </c>
      <c r="I771" s="5">
        <f t="shared" si="148"/>
        <v/>
      </c>
      <c r="J771" s="5">
        <f t="shared" si="149"/>
      </c>
      <c r="K771" s="5">
        <f t="shared" si="150"/>
      </c>
      <c r="L771" s="5">
        <f t="shared" si="151"/>
      </c>
      <c r="M771">
        <f t="shared" si="152"/>
      </c>
      <c r="N771" s="18">
        <f t="shared" si="153"/>
      </c>
    </row>
    <row r="772" spans="3:14" x14ac:dyDescent="0.3">
      <c r="C772" s="5">
        <f t="shared" si="154"/>
      </c>
      <c r="D772" s="5">
        <f t="shared" si="155"/>
      </c>
      <c r="E772" s="70"/>
      <c r="F772" s="5">
        <f t="shared" si="156"/>
      </c>
      <c r="G772" s="5">
        <f t="shared" si="146"/>
      </c>
      <c r="H772" s="70">
        <f t="shared" si="147"/>
      </c>
      <c r="I772" s="5">
        <f t="shared" si="148"/>
        <v/>
      </c>
      <c r="J772" s="5">
        <f t="shared" si="149"/>
      </c>
      <c r="K772" s="5">
        <f t="shared" si="150"/>
      </c>
      <c r="L772" s="5">
        <f t="shared" si="151"/>
      </c>
      <c r="M772">
        <f t="shared" si="152"/>
      </c>
      <c r="N772" s="18">
        <f t="shared" si="153"/>
      </c>
    </row>
    <row r="773" spans="3:14" x14ac:dyDescent="0.3">
      <c r="C773" s="5">
        <f t="shared" si="154"/>
      </c>
      <c r="D773" s="5">
        <f t="shared" si="155"/>
      </c>
      <c r="E773" s="70"/>
      <c r="F773" s="5">
        <f t="shared" si="156"/>
      </c>
      <c r="G773" s="5">
        <f t="shared" si="146"/>
      </c>
      <c r="H773" s="70">
        <f t="shared" si="147"/>
      </c>
      <c r="I773" s="5">
        <f t="shared" si="148"/>
        <v/>
      </c>
      <c r="J773" s="5">
        <f t="shared" si="149"/>
      </c>
      <c r="K773" s="5">
        <f t="shared" si="150"/>
      </c>
      <c r="L773" s="5">
        <f t="shared" si="151"/>
      </c>
      <c r="M773">
        <f t="shared" si="152"/>
      </c>
      <c r="N773" s="18">
        <f t="shared" si="153"/>
      </c>
    </row>
    <row r="774" spans="3:14" x14ac:dyDescent="0.3">
      <c r="C774" s="5">
        <f t="shared" si="154"/>
      </c>
      <c r="D774" s="5">
        <f t="shared" si="155"/>
      </c>
      <c r="E774" s="70"/>
      <c r="F774" s="5">
        <f t="shared" si="156"/>
      </c>
      <c r="G774" s="5">
        <f t="shared" si="146"/>
      </c>
      <c r="H774" s="70">
        <f t="shared" si="147"/>
      </c>
      <c r="I774" s="5">
        <f t="shared" si="148"/>
        <v/>
      </c>
      <c r="J774" s="5">
        <f t="shared" si="149"/>
      </c>
      <c r="K774" s="5">
        <f t="shared" si="150"/>
      </c>
      <c r="L774" s="5">
        <f t="shared" si="151"/>
      </c>
      <c r="M774">
        <f t="shared" si="152"/>
      </c>
      <c r="N774" s="18">
        <f t="shared" si="153"/>
      </c>
    </row>
    <row r="775" spans="3:14" x14ac:dyDescent="0.3">
      <c r="C775" s="5">
        <f t="shared" si="154"/>
      </c>
      <c r="D775" s="5">
        <f t="shared" si="155"/>
      </c>
      <c r="E775" s="70"/>
      <c r="F775" s="5">
        <f t="shared" si="156"/>
      </c>
      <c r="G775" s="5">
        <f t="shared" si="146"/>
      </c>
      <c r="H775" s="70">
        <f t="shared" si="147"/>
      </c>
      <c r="I775" s="5">
        <f t="shared" si="148"/>
        <v/>
      </c>
      <c r="J775" s="5">
        <f t="shared" si="149"/>
      </c>
      <c r="K775" s="5">
        <f t="shared" si="150"/>
      </c>
      <c r="L775" s="5">
        <f t="shared" si="151"/>
      </c>
      <c r="M775">
        <f t="shared" si="152"/>
      </c>
      <c r="N775" s="18">
        <f t="shared" si="153"/>
      </c>
    </row>
    <row r="776" spans="3:14" x14ac:dyDescent="0.3">
      <c r="C776" s="5">
        <f t="shared" si="154"/>
      </c>
      <c r="D776" s="5">
        <f t="shared" si="155"/>
      </c>
      <c r="E776" s="70"/>
      <c r="F776" s="5">
        <f t="shared" si="156"/>
      </c>
      <c r="G776" s="5">
        <f t="shared" si="146"/>
      </c>
      <c r="H776" s="70">
        <f t="shared" si="147"/>
      </c>
      <c r="I776" s="5">
        <f t="shared" si="148"/>
        <v/>
      </c>
      <c r="J776" s="5">
        <f t="shared" si="149"/>
      </c>
      <c r="K776" s="5">
        <f t="shared" si="150"/>
      </c>
      <c r="L776" s="5">
        <f t="shared" si="151"/>
      </c>
      <c r="M776">
        <f t="shared" si="152"/>
      </c>
      <c r="N776" s="18">
        <f t="shared" si="153"/>
      </c>
    </row>
    <row r="777" spans="3:14" x14ac:dyDescent="0.3">
      <c r="C777" s="5">
        <f t="shared" si="154"/>
      </c>
      <c r="D777" s="5">
        <f t="shared" si="155"/>
      </c>
      <c r="E777" s="70"/>
      <c r="F777" s="5">
        <f t="shared" si="156"/>
      </c>
      <c r="G777" s="5">
        <f t="shared" si="146"/>
      </c>
      <c r="H777" s="70">
        <f t="shared" si="147"/>
      </c>
      <c r="I777" s="5">
        <f t="shared" si="148"/>
        <v/>
      </c>
      <c r="J777" s="5">
        <f t="shared" si="149"/>
      </c>
      <c r="K777" s="5">
        <f t="shared" si="150"/>
      </c>
      <c r="L777" s="5">
        <f t="shared" si="151"/>
      </c>
      <c r="M777">
        <f t="shared" si="152"/>
      </c>
      <c r="N777" s="18">
        <f t="shared" si="153"/>
      </c>
    </row>
    <row r="778" spans="3:14" x14ac:dyDescent="0.3">
      <c r="C778" s="5">
        <f t="shared" si="154"/>
      </c>
      <c r="D778" s="5">
        <f t="shared" si="155"/>
      </c>
      <c r="E778" s="70"/>
      <c r="F778" s="5">
        <f t="shared" si="156"/>
      </c>
      <c r="G778" s="5">
        <f t="shared" si="146"/>
      </c>
      <c r="H778" s="70">
        <f t="shared" si="147"/>
      </c>
      <c r="I778" s="5">
        <f t="shared" si="148"/>
        <v/>
      </c>
      <c r="J778" s="5">
        <f t="shared" si="149"/>
      </c>
      <c r="K778" s="5">
        <f t="shared" si="150"/>
      </c>
      <c r="L778" s="5">
        <f t="shared" si="151"/>
      </c>
      <c r="M778">
        <f t="shared" si="152"/>
      </c>
      <c r="N778" s="18">
        <f t="shared" si="153"/>
      </c>
    </row>
    <row r="779" spans="3:14" x14ac:dyDescent="0.3">
      <c r="C779" s="5">
        <f t="shared" si="154"/>
      </c>
      <c r="D779" s="5">
        <f t="shared" si="155"/>
      </c>
      <c r="E779" s="70"/>
      <c r="F779" s="5">
        <f t="shared" si="156"/>
      </c>
      <c r="G779" s="5">
        <f t="shared" si="146"/>
      </c>
      <c r="H779" s="70">
        <f t="shared" si="147"/>
      </c>
      <c r="I779" s="5">
        <f t="shared" si="148"/>
        <v/>
      </c>
      <c r="J779" s="5">
        <f t="shared" si="149"/>
      </c>
      <c r="K779" s="5">
        <f t="shared" si="150"/>
      </c>
      <c r="L779" s="5">
        <f t="shared" si="151"/>
      </c>
      <c r="M779">
        <f t="shared" si="152"/>
      </c>
      <c r="N779" s="18">
        <f t="shared" si="153"/>
      </c>
    </row>
    <row r="780" spans="3:14" x14ac:dyDescent="0.3">
      <c r="C780" s="5">
        <f t="shared" si="154"/>
      </c>
      <c r="D780" s="5">
        <f t="shared" si="155"/>
      </c>
      <c r="E780" s="70"/>
      <c r="F780" s="5">
        <f t="shared" si="156"/>
      </c>
      <c r="G780" s="5">
        <f t="shared" si="146"/>
      </c>
      <c r="H780" s="70">
        <f t="shared" si="147"/>
      </c>
      <c r="I780" s="5">
        <f t="shared" si="148"/>
        <v/>
      </c>
      <c r="J780" s="5">
        <f t="shared" si="149"/>
      </c>
      <c r="K780" s="5">
        <f t="shared" si="150"/>
      </c>
      <c r="L780" s="5">
        <f t="shared" si="151"/>
      </c>
      <c r="M780">
        <f t="shared" si="152"/>
      </c>
      <c r="N780" s="18">
        <f t="shared" si="153"/>
      </c>
    </row>
    <row r="781" spans="3:14" x14ac:dyDescent="0.3">
      <c r="C781" s="5">
        <f t="shared" si="154"/>
      </c>
      <c r="D781" s="5">
        <f t="shared" si="155"/>
      </c>
      <c r="E781" s="70"/>
      <c r="F781" s="5">
        <f t="shared" si="156"/>
      </c>
      <c r="G781" s="5">
        <f t="shared" si="146"/>
      </c>
      <c r="H781" s="70">
        <f t="shared" si="147"/>
      </c>
      <c r="I781" s="5">
        <f t="shared" si="148"/>
        <v/>
      </c>
      <c r="J781" s="5">
        <f t="shared" si="149"/>
      </c>
      <c r="K781" s="5">
        <f t="shared" si="150"/>
      </c>
      <c r="L781" s="5">
        <f t="shared" si="151"/>
      </c>
      <c r="M781">
        <f t="shared" si="152"/>
      </c>
      <c r="N781" s="18">
        <f t="shared" si="153"/>
      </c>
    </row>
    <row r="782" spans="3:14" x14ac:dyDescent="0.3">
      <c r="C782" s="5">
        <f t="shared" si="154"/>
      </c>
      <c r="D782" s="5">
        <f t="shared" si="155"/>
      </c>
      <c r="E782" s="70"/>
      <c r="F782" s="5">
        <f t="shared" si="156"/>
      </c>
      <c r="G782" s="5">
        <f t="shared" si="146"/>
      </c>
      <c r="H782" s="70">
        <f t="shared" si="147"/>
      </c>
      <c r="I782" s="5">
        <f t="shared" si="148"/>
        <v/>
      </c>
      <c r="J782" s="5">
        <f t="shared" si="149"/>
      </c>
      <c r="K782" s="5">
        <f t="shared" si="150"/>
      </c>
      <c r="L782" s="5">
        <f t="shared" si="151"/>
      </c>
      <c r="M782">
        <f t="shared" si="152"/>
      </c>
      <c r="N782" s="18">
        <f t="shared" si="153"/>
      </c>
    </row>
    <row r="783" spans="3:14" x14ac:dyDescent="0.3">
      <c r="C783" s="5">
        <f t="shared" si="154"/>
      </c>
      <c r="D783" s="5">
        <f t="shared" si="155"/>
      </c>
      <c r="E783" s="70"/>
      <c r="F783" s="5">
        <f t="shared" si="156"/>
      </c>
      <c r="G783" s="5">
        <f t="shared" si="146"/>
      </c>
      <c r="H783" s="70">
        <f t="shared" si="147"/>
      </c>
      <c r="I783" s="5">
        <f t="shared" si="148"/>
        <v/>
      </c>
      <c r="J783" s="5">
        <f t="shared" si="149"/>
      </c>
      <c r="K783" s="5">
        <f t="shared" si="150"/>
      </c>
      <c r="L783" s="5">
        <f t="shared" si="151"/>
      </c>
      <c r="M783">
        <f t="shared" si="152"/>
      </c>
      <c r="N783" s="18">
        <f t="shared" si="153"/>
      </c>
    </row>
    <row r="784" spans="3:14" x14ac:dyDescent="0.3">
      <c r="C784" s="5">
        <f t="shared" si="154"/>
      </c>
      <c r="D784" s="5">
        <f t="shared" si="155"/>
      </c>
      <c r="E784" s="70"/>
      <c r="F784" s="5">
        <f t="shared" si="156"/>
      </c>
      <c r="G784" s="5">
        <f t="shared" si="146"/>
      </c>
      <c r="H784" s="70">
        <f t="shared" si="147"/>
      </c>
      <c r="I784" s="5">
        <f t="shared" si="148"/>
        <v/>
      </c>
      <c r="J784" s="5">
        <f t="shared" si="149"/>
      </c>
      <c r="K784" s="5">
        <f t="shared" si="150"/>
      </c>
      <c r="L784" s="5">
        <f t="shared" si="151"/>
      </c>
      <c r="M784">
        <f t="shared" si="152"/>
      </c>
      <c r="N784" s="18">
        <f t="shared" si="153"/>
      </c>
    </row>
    <row r="785" spans="3:14" x14ac:dyDescent="0.3">
      <c r="C785" s="5">
        <f t="shared" si="154"/>
      </c>
      <c r="D785" s="5">
        <f t="shared" si="155"/>
      </c>
      <c r="E785" s="70"/>
      <c r="F785" s="5">
        <f t="shared" si="156"/>
      </c>
      <c r="G785" s="5">
        <f t="shared" si="146"/>
      </c>
      <c r="H785" s="70">
        <f t="shared" si="147"/>
      </c>
      <c r="I785" s="5">
        <f t="shared" si="148"/>
        <v/>
      </c>
      <c r="J785" s="5">
        <f t="shared" si="149"/>
      </c>
      <c r="K785" s="5">
        <f t="shared" si="150"/>
      </c>
      <c r="L785" s="5">
        <f t="shared" si="151"/>
      </c>
      <c r="M785">
        <f t="shared" si="152"/>
      </c>
      <c r="N785" s="18">
        <f t="shared" si="153"/>
      </c>
    </row>
    <row r="786" spans="3:14" x14ac:dyDescent="0.3">
      <c r="C786" s="5">
        <f t="shared" si="154"/>
      </c>
      <c r="D786" s="5">
        <f t="shared" si="155"/>
      </c>
      <c r="E786" s="70"/>
      <c r="F786" s="5">
        <f t="shared" si="156"/>
      </c>
      <c r="G786" s="5">
        <f t="shared" si="146"/>
      </c>
      <c r="H786" s="70">
        <f t="shared" si="147"/>
      </c>
      <c r="I786" s="5">
        <f t="shared" si="148"/>
        <v/>
      </c>
      <c r="J786" s="5">
        <f t="shared" si="149"/>
      </c>
      <c r="K786" s="5">
        <f t="shared" si="150"/>
      </c>
      <c r="L786" s="5">
        <f t="shared" si="151"/>
      </c>
      <c r="M786">
        <f t="shared" si="152"/>
      </c>
      <c r="N786" s="18">
        <f t="shared" si="153"/>
      </c>
    </row>
    <row r="787" spans="3:14" x14ac:dyDescent="0.3">
      <c r="C787" s="5">
        <f t="shared" si="154"/>
      </c>
      <c r="D787" s="5">
        <f t="shared" si="155"/>
      </c>
      <c r="E787" s="70"/>
      <c r="F787" s="5">
        <f t="shared" si="156"/>
      </c>
      <c r="G787" s="5">
        <f t="shared" si="146"/>
      </c>
      <c r="H787" s="70">
        <f t="shared" si="147"/>
      </c>
      <c r="I787" s="5">
        <f t="shared" si="148"/>
        <v/>
      </c>
      <c r="J787" s="5">
        <f t="shared" si="149"/>
      </c>
      <c r="K787" s="5">
        <f t="shared" si="150"/>
      </c>
      <c r="L787" s="5">
        <f t="shared" si="151"/>
      </c>
      <c r="M787">
        <f t="shared" si="152"/>
      </c>
      <c r="N787" s="18">
        <f t="shared" si="153"/>
      </c>
    </row>
    <row r="788" spans="3:14" x14ac:dyDescent="0.3">
      <c r="C788" s="5">
        <f t="shared" si="154"/>
      </c>
      <c r="D788" s="5">
        <f t="shared" si="155"/>
      </c>
      <c r="E788" s="70"/>
      <c r="F788" s="5">
        <f t="shared" si="156"/>
      </c>
      <c r="G788" s="5">
        <f t="shared" si="146"/>
      </c>
      <c r="H788" s="70">
        <f t="shared" si="147"/>
      </c>
      <c r="I788" s="5">
        <f t="shared" si="148"/>
        <v/>
      </c>
      <c r="J788" s="5">
        <f t="shared" si="149"/>
      </c>
      <c r="K788" s="5">
        <f t="shared" si="150"/>
      </c>
      <c r="L788" s="5">
        <f t="shared" si="151"/>
      </c>
      <c r="M788">
        <f t="shared" si="152"/>
      </c>
      <c r="N788" s="18">
        <f t="shared" si="153"/>
      </c>
    </row>
    <row r="789" spans="3:14" x14ac:dyDescent="0.3">
      <c r="C789" s="5">
        <f t="shared" si="154"/>
      </c>
      <c r="D789" s="5">
        <f t="shared" si="155"/>
      </c>
      <c r="E789" s="70"/>
      <c r="F789" s="5">
        <f t="shared" si="156"/>
      </c>
      <c r="G789" s="5">
        <f t="shared" si="146"/>
      </c>
      <c r="H789" s="70">
        <f t="shared" si="147"/>
      </c>
      <c r="I789" s="5">
        <f t="shared" si="148"/>
        <v/>
      </c>
      <c r="J789" s="5">
        <f t="shared" si="149"/>
      </c>
      <c r="K789" s="5">
        <f t="shared" si="150"/>
      </c>
      <c r="L789" s="5">
        <f t="shared" si="151"/>
      </c>
      <c r="M789">
        <f t="shared" si="152"/>
      </c>
      <c r="N789" s="18">
        <f t="shared" si="153"/>
      </c>
    </row>
    <row r="790" spans="3:14" x14ac:dyDescent="0.3">
      <c r="C790" s="5">
        <f t="shared" si="154"/>
      </c>
      <c r="D790" s="5">
        <f t="shared" si="155"/>
      </c>
      <c r="E790" s="70"/>
      <c r="F790" s="5">
        <f t="shared" si="156"/>
      </c>
      <c r="G790" s="5">
        <f t="shared" si="146"/>
      </c>
      <c r="H790" s="70">
        <f t="shared" si="147"/>
      </c>
      <c r="I790" s="5">
        <f t="shared" si="148"/>
        <v/>
      </c>
      <c r="J790" s="5">
        <f t="shared" si="149"/>
      </c>
      <c r="K790" s="5">
        <f t="shared" si="150"/>
      </c>
      <c r="L790" s="5">
        <f t="shared" si="151"/>
      </c>
      <c r="M790">
        <f t="shared" si="152"/>
      </c>
      <c r="N790" s="18">
        <f t="shared" si="153"/>
      </c>
    </row>
    <row r="791" spans="3:14" x14ac:dyDescent="0.3">
      <c r="C791" s="5">
        <f t="shared" si="154"/>
      </c>
      <c r="D791" s="5">
        <f t="shared" si="155"/>
      </c>
      <c r="E791" s="70"/>
      <c r="F791" s="5">
        <f t="shared" si="156"/>
      </c>
      <c r="G791" s="5">
        <f t="shared" si="146"/>
      </c>
      <c r="H791" s="70">
        <f t="shared" si="147"/>
      </c>
      <c r="I791" s="5">
        <f t="shared" si="148"/>
        <v/>
      </c>
      <c r="J791" s="5">
        <f t="shared" si="149"/>
      </c>
      <c r="K791" s="5">
        <f t="shared" si="150"/>
      </c>
      <c r="L791" s="5">
        <f t="shared" si="151"/>
      </c>
      <c r="M791">
        <f t="shared" si="152"/>
      </c>
      <c r="N791" s="18">
        <f t="shared" si="153"/>
      </c>
    </row>
    <row r="792" spans="3:14" x14ac:dyDescent="0.3">
      <c r="C792" s="5">
        <f t="shared" si="154"/>
      </c>
      <c r="D792" s="5">
        <f t="shared" si="155"/>
      </c>
      <c r="E792" s="70"/>
      <c r="F792" s="5">
        <f t="shared" si="156"/>
      </c>
      <c r="G792" s="5">
        <f t="shared" si="146"/>
      </c>
      <c r="H792" s="70">
        <f t="shared" si="147"/>
      </c>
      <c r="I792" s="5">
        <f t="shared" si="148"/>
        <v/>
      </c>
      <c r="J792" s="5">
        <f t="shared" si="149"/>
      </c>
      <c r="K792" s="5">
        <f t="shared" si="150"/>
      </c>
      <c r="L792" s="5">
        <f t="shared" si="151"/>
      </c>
      <c r="M792">
        <f t="shared" si="152"/>
      </c>
      <c r="N792" s="18">
        <f t="shared" si="153"/>
      </c>
    </row>
    <row r="793" spans="3:14" x14ac:dyDescent="0.3">
      <c r="C793" s="5">
        <f t="shared" si="154"/>
      </c>
      <c r="D793" s="5">
        <f t="shared" si="155"/>
      </c>
      <c r="E793" s="70"/>
      <c r="F793" s="5">
        <f t="shared" si="156"/>
      </c>
      <c r="G793" s="5">
        <f t="shared" si="146"/>
      </c>
      <c r="H793" s="70">
        <f t="shared" si="147"/>
      </c>
      <c r="I793" s="5">
        <f t="shared" si="148"/>
        <v/>
      </c>
      <c r="J793" s="5">
        <f t="shared" si="149"/>
      </c>
      <c r="K793" s="5">
        <f t="shared" si="150"/>
      </c>
      <c r="L793" s="5">
        <f t="shared" si="151"/>
      </c>
      <c r="M793">
        <f t="shared" si="152"/>
      </c>
      <c r="N793" s="18">
        <f t="shared" si="153"/>
      </c>
    </row>
    <row r="794" spans="3:14" x14ac:dyDescent="0.3">
      <c r="C794" s="5">
        <f t="shared" si="154"/>
      </c>
      <c r="D794" s="5">
        <f t="shared" si="155"/>
      </c>
      <c r="E794" s="70"/>
      <c r="F794" s="5">
        <f t="shared" si="156"/>
      </c>
      <c r="G794" s="5">
        <f t="shared" si="146"/>
      </c>
      <c r="H794" s="70">
        <f t="shared" si="147"/>
      </c>
      <c r="I794" s="5">
        <f t="shared" si="148"/>
        <v/>
      </c>
      <c r="J794" s="5">
        <f t="shared" si="149"/>
      </c>
      <c r="K794" s="5">
        <f t="shared" si="150"/>
      </c>
      <c r="L794" s="5">
        <f t="shared" si="151"/>
      </c>
      <c r="M794">
        <f t="shared" si="152"/>
      </c>
      <c r="N794" s="18">
        <f t="shared" si="153"/>
      </c>
    </row>
    <row r="795" spans="3:14" x14ac:dyDescent="0.3">
      <c r="C795" s="5">
        <f t="shared" si="154"/>
      </c>
      <c r="D795" s="5">
        <f t="shared" si="155"/>
      </c>
      <c r="E795" s="70"/>
      <c r="F795" s="5">
        <f t="shared" si="156"/>
      </c>
      <c r="G795" s="5">
        <f t="shared" si="146"/>
      </c>
      <c r="H795" s="70">
        <f t="shared" si="147"/>
      </c>
      <c r="I795" s="5">
        <f t="shared" si="148"/>
        <v/>
      </c>
      <c r="J795" s="5">
        <f t="shared" si="149"/>
      </c>
      <c r="K795" s="5">
        <f t="shared" si="150"/>
      </c>
      <c r="L795" s="5">
        <f t="shared" si="151"/>
      </c>
      <c r="M795">
        <f t="shared" si="152"/>
      </c>
      <c r="N795" s="18">
        <f t="shared" si="153"/>
      </c>
    </row>
    <row r="796" spans="3:14" x14ac:dyDescent="0.3">
      <c r="C796" s="5">
        <f t="shared" si="154"/>
      </c>
      <c r="D796" s="5">
        <f t="shared" si="155"/>
      </c>
      <c r="E796" s="70"/>
      <c r="F796" s="5">
        <f t="shared" si="156"/>
      </c>
      <c r="G796" s="5">
        <f t="shared" si="146"/>
      </c>
      <c r="H796" s="70">
        <f t="shared" si="147"/>
      </c>
      <c r="I796" s="5">
        <f t="shared" si="148"/>
        <v/>
      </c>
      <c r="J796" s="5">
        <f t="shared" si="149"/>
      </c>
      <c r="K796" s="5">
        <f t="shared" si="150"/>
      </c>
      <c r="L796" s="5">
        <f t="shared" si="151"/>
      </c>
      <c r="M796">
        <f t="shared" si="152"/>
      </c>
      <c r="N796" s="18">
        <f t="shared" si="153"/>
      </c>
    </row>
    <row r="797" spans="3:14" x14ac:dyDescent="0.3">
      <c r="C797" s="5">
        <f t="shared" si="154"/>
      </c>
      <c r="D797" s="5">
        <f t="shared" si="155"/>
      </c>
      <c r="E797" s="70"/>
      <c r="F797" s="5">
        <f t="shared" si="156"/>
      </c>
      <c r="G797" s="5">
        <f t="shared" si="146"/>
      </c>
      <c r="H797" s="70">
        <f t="shared" si="147"/>
      </c>
      <c r="I797" s="5">
        <f t="shared" si="148"/>
        <v/>
      </c>
      <c r="J797" s="5">
        <f t="shared" si="149"/>
      </c>
      <c r="K797" s="5">
        <f t="shared" si="150"/>
      </c>
      <c r="L797" s="5">
        <f t="shared" si="151"/>
      </c>
      <c r="M797">
        <f t="shared" si="152"/>
      </c>
      <c r="N797" s="18">
        <f t="shared" si="153"/>
      </c>
    </row>
    <row r="798" spans="3:14" x14ac:dyDescent="0.3">
      <c r="C798" s="5">
        <f t="shared" si="154"/>
      </c>
      <c r="D798" s="5">
        <f t="shared" si="155"/>
      </c>
      <c r="E798" s="70"/>
      <c r="F798" s="5">
        <f t="shared" si="156"/>
      </c>
      <c r="G798" s="5">
        <f t="shared" si="146"/>
      </c>
      <c r="H798" s="70">
        <f t="shared" si="147"/>
      </c>
      <c r="I798" s="5">
        <f t="shared" si="148"/>
        <v/>
      </c>
      <c r="J798" s="5">
        <f t="shared" si="149"/>
      </c>
      <c r="K798" s="5">
        <f t="shared" si="150"/>
      </c>
      <c r="L798" s="5">
        <f t="shared" si="151"/>
      </c>
      <c r="M798">
        <f t="shared" si="152"/>
      </c>
      <c r="N798" s="18">
        <f t="shared" si="153"/>
      </c>
    </row>
    <row r="799" spans="3:14" x14ac:dyDescent="0.3">
      <c r="C799" s="5">
        <f t="shared" si="154"/>
      </c>
      <c r="D799" s="5">
        <f t="shared" si="155"/>
      </c>
      <c r="E799" s="70"/>
      <c r="F799" s="5">
        <f t="shared" si="156"/>
      </c>
      <c r="G799" s="5">
        <f t="shared" si="146"/>
      </c>
      <c r="H799" s="70">
        <f t="shared" si="147"/>
      </c>
      <c r="I799" s="5">
        <f t="shared" si="148"/>
        <v/>
      </c>
      <c r="J799" s="5">
        <f t="shared" si="149"/>
      </c>
      <c r="K799" s="5">
        <f t="shared" si="150"/>
      </c>
      <c r="L799" s="5">
        <f t="shared" si="151"/>
      </c>
      <c r="M799">
        <f t="shared" si="152"/>
      </c>
      <c r="N799" s="18">
        <f t="shared" si="153"/>
      </c>
    </row>
    <row r="800" spans="3:14" x14ac:dyDescent="0.3">
      <c r="C800" s="5">
        <f t="shared" si="154"/>
      </c>
      <c r="D800" s="5">
        <f t="shared" si="155"/>
      </c>
      <c r="E800" s="70"/>
      <c r="F800" s="5">
        <f t="shared" si="156"/>
      </c>
      <c r="G800" s="5">
        <f t="shared" si="146"/>
      </c>
      <c r="H800" s="70">
        <f t="shared" si="147"/>
      </c>
      <c r="I800" s="5">
        <f t="shared" si="148"/>
        <v/>
      </c>
      <c r="J800" s="5">
        <f t="shared" si="149"/>
      </c>
      <c r="K800" s="5">
        <f t="shared" si="150"/>
      </c>
      <c r="L800" s="5">
        <f t="shared" si="151"/>
      </c>
      <c r="M800">
        <f t="shared" si="152"/>
      </c>
      <c r="N800" s="18">
        <f t="shared" si="153"/>
      </c>
    </row>
    <row r="801" spans="3:14" x14ac:dyDescent="0.3">
      <c r="C801" s="5">
        <f t="shared" si="154"/>
      </c>
      <c r="D801" s="5">
        <f t="shared" si="155"/>
      </c>
      <c r="E801" s="70"/>
      <c r="F801" s="5">
        <f t="shared" si="156"/>
      </c>
      <c r="G801" s="5">
        <f t="shared" si="146"/>
      </c>
      <c r="H801" s="70">
        <f t="shared" si="147"/>
      </c>
      <c r="I801" s="5">
        <f t="shared" si="148"/>
        <v/>
      </c>
      <c r="J801" s="5">
        <f t="shared" si="149"/>
      </c>
      <c r="K801" s="5">
        <f t="shared" si="150"/>
      </c>
      <c r="L801" s="5">
        <f t="shared" si="151"/>
      </c>
      <c r="M801">
        <f t="shared" si="152"/>
      </c>
      <c r="N801" s="18">
        <f t="shared" si="153"/>
      </c>
    </row>
    <row r="802" spans="3:14" x14ac:dyDescent="0.3">
      <c r="C802" s="5">
        <f t="shared" si="154"/>
      </c>
      <c r="D802" s="5">
        <f t="shared" si="155"/>
      </c>
      <c r="E802" s="70"/>
      <c r="F802" s="5">
        <f t="shared" si="156"/>
      </c>
      <c r="G802" s="5">
        <f t="shared" si="146"/>
      </c>
      <c r="H802" s="70">
        <f t="shared" si="147"/>
      </c>
      <c r="I802" s="5">
        <f t="shared" si="148"/>
        <v/>
      </c>
      <c r="J802" s="5">
        <f t="shared" si="149"/>
      </c>
      <c r="K802" s="5">
        <f t="shared" si="150"/>
      </c>
      <c r="L802" s="5">
        <f t="shared" si="151"/>
      </c>
      <c r="M802">
        <f t="shared" si="152"/>
      </c>
      <c r="N802" s="18">
        <f t="shared" si="153"/>
      </c>
    </row>
    <row r="803" spans="3:14" x14ac:dyDescent="0.3">
      <c r="C803" s="5">
        <f t="shared" si="154"/>
      </c>
      <c r="D803" s="5">
        <f t="shared" si="155"/>
      </c>
      <c r="E803" s="70"/>
      <c r="F803" s="5">
        <f t="shared" si="156"/>
      </c>
      <c r="G803" s="5">
        <f t="shared" si="146"/>
      </c>
      <c r="H803" s="70">
        <f t="shared" si="147"/>
      </c>
      <c r="I803" s="5">
        <f t="shared" si="148"/>
        <v/>
      </c>
      <c r="J803" s="5">
        <f t="shared" si="149"/>
      </c>
      <c r="K803" s="5">
        <f t="shared" si="150"/>
      </c>
      <c r="L803" s="5">
        <f t="shared" si="151"/>
      </c>
      <c r="M803">
        <f t="shared" si="152"/>
      </c>
      <c r="N803" s="18">
        <f t="shared" si="153"/>
      </c>
    </row>
    <row r="804" spans="3:14" x14ac:dyDescent="0.3">
      <c r="C804" s="5">
        <f t="shared" si="154"/>
      </c>
      <c r="D804" s="5">
        <f t="shared" si="155"/>
      </c>
      <c r="E804" s="70"/>
      <c r="F804" s="5">
        <f t="shared" si="156"/>
      </c>
      <c r="G804" s="5">
        <f t="shared" si="146"/>
      </c>
      <c r="H804" s="70">
        <f t="shared" si="147"/>
      </c>
      <c r="I804" s="5">
        <f t="shared" si="148"/>
        <v/>
      </c>
      <c r="J804" s="5">
        <f t="shared" si="149"/>
      </c>
      <c r="K804" s="5">
        <f t="shared" si="150"/>
      </c>
      <c r="L804" s="5">
        <f t="shared" si="151"/>
      </c>
      <c r="M804">
        <f t="shared" si="152"/>
      </c>
      <c r="N804" s="18">
        <f t="shared" si="153"/>
      </c>
    </row>
    <row r="805" spans="3:14" x14ac:dyDescent="0.3">
      <c r="C805" s="5">
        <f t="shared" si="154"/>
      </c>
      <c r="D805" s="5">
        <f t="shared" si="155"/>
      </c>
      <c r="E805" s="70"/>
      <c r="F805" s="5">
        <f t="shared" si="156"/>
      </c>
      <c r="G805" s="5">
        <f t="shared" si="146"/>
      </c>
      <c r="H805" s="70">
        <f t="shared" si="147"/>
      </c>
      <c r="I805" s="5">
        <f t="shared" si="148"/>
        <v/>
      </c>
      <c r="J805" s="5">
        <f t="shared" si="149"/>
      </c>
      <c r="K805" s="5">
        <f t="shared" si="150"/>
      </c>
      <c r="L805" s="5">
        <f t="shared" si="151"/>
      </c>
      <c r="M805">
        <f t="shared" si="152"/>
      </c>
      <c r="N805" s="18">
        <f t="shared" si="153"/>
      </c>
    </row>
    <row r="806" spans="3:14" x14ac:dyDescent="0.3">
      <c r="C806" s="5">
        <f t="shared" si="154"/>
      </c>
      <c r="D806" s="5">
        <f t="shared" si="155"/>
      </c>
      <c r="E806" s="70"/>
      <c r="F806" s="5">
        <f t="shared" si="156"/>
      </c>
      <c r="G806" s="5">
        <f t="shared" si="146"/>
      </c>
      <c r="H806" s="70">
        <f t="shared" si="147"/>
      </c>
      <c r="I806" s="5">
        <f t="shared" si="148"/>
        <v/>
      </c>
      <c r="J806" s="5">
        <f t="shared" si="149"/>
      </c>
      <c r="K806" s="5">
        <f t="shared" si="150"/>
      </c>
      <c r="L806" s="5">
        <f t="shared" si="151"/>
      </c>
      <c r="M806">
        <f t="shared" si="152"/>
      </c>
      <c r="N806" s="18">
        <f t="shared" si="153"/>
      </c>
    </row>
    <row r="807" spans="3:14" x14ac:dyDescent="0.3">
      <c r="C807" s="5">
        <f t="shared" si="154"/>
      </c>
      <c r="D807" s="5">
        <f t="shared" si="155"/>
      </c>
      <c r="E807" s="70"/>
      <c r="F807" s="5">
        <f t="shared" si="156"/>
      </c>
      <c r="G807" s="5">
        <f t="shared" si="146"/>
      </c>
      <c r="H807" s="70">
        <f t="shared" si="147"/>
      </c>
      <c r="I807" s="5">
        <f t="shared" si="148"/>
        <v/>
      </c>
      <c r="J807" s="5">
        <f t="shared" si="149"/>
      </c>
      <c r="K807" s="5">
        <f t="shared" si="150"/>
      </c>
      <c r="L807" s="5">
        <f t="shared" si="151"/>
      </c>
      <c r="M807">
        <f t="shared" si="152"/>
      </c>
      <c r="N807" s="18">
        <f t="shared" si="153"/>
      </c>
    </row>
    <row r="808" spans="3:14" x14ac:dyDescent="0.3">
      <c r="C808" s="5">
        <f t="shared" si="154"/>
      </c>
      <c r="D808" s="5">
        <f t="shared" si="155"/>
      </c>
      <c r="E808" s="70"/>
      <c r="F808" s="5">
        <f t="shared" si="156"/>
      </c>
      <c r="G808" s="5">
        <f t="shared" si="146"/>
      </c>
      <c r="H808" s="70">
        <f t="shared" si="147"/>
      </c>
      <c r="I808" s="5">
        <f t="shared" si="148"/>
        <v/>
      </c>
      <c r="J808" s="5">
        <f t="shared" si="149"/>
      </c>
      <c r="K808" s="5">
        <f t="shared" si="150"/>
      </c>
      <c r="L808" s="5">
        <f t="shared" si="151"/>
      </c>
      <c r="M808">
        <f t="shared" si="152"/>
      </c>
      <c r="N808" s="18">
        <f t="shared" si="153"/>
      </c>
    </row>
    <row r="809" spans="3:14" x14ac:dyDescent="0.3">
      <c r="C809" s="5">
        <f t="shared" si="154"/>
      </c>
      <c r="D809" s="5">
        <f t="shared" si="155"/>
      </c>
      <c r="E809" s="70"/>
      <c r="F809" s="5">
        <f t="shared" si="156"/>
      </c>
      <c r="G809" s="5">
        <f t="shared" si="146"/>
      </c>
      <c r="H809" s="70">
        <f t="shared" si="147"/>
      </c>
      <c r="I809" s="5">
        <f t="shared" si="148"/>
        <v/>
      </c>
      <c r="J809" s="5">
        <f t="shared" si="149"/>
      </c>
      <c r="K809" s="5">
        <f t="shared" si="150"/>
      </c>
      <c r="L809" s="5">
        <f t="shared" si="151"/>
      </c>
      <c r="M809">
        <f t="shared" si="152"/>
      </c>
      <c r="N809" s="18">
        <f t="shared" si="153"/>
      </c>
    </row>
    <row r="810" spans="3:14" x14ac:dyDescent="0.3">
      <c r="C810" s="5">
        <f t="shared" si="154"/>
      </c>
      <c r="D810" s="5">
        <f t="shared" si="155"/>
      </c>
      <c r="E810" s="70"/>
      <c r="F810" s="5">
        <f t="shared" si="156"/>
      </c>
      <c r="G810" s="5">
        <f t="shared" si="146"/>
      </c>
      <c r="H810" s="70">
        <f t="shared" si="147"/>
      </c>
      <c r="I810" s="5">
        <f t="shared" si="148"/>
        <v/>
      </c>
      <c r="J810" s="5">
        <f t="shared" si="149"/>
      </c>
      <c r="K810" s="5">
        <f t="shared" si="150"/>
      </c>
      <c r="L810" s="5">
        <f t="shared" si="151"/>
      </c>
      <c r="M810">
        <f t="shared" si="152"/>
      </c>
      <c r="N810" s="18">
        <f t="shared" si="153"/>
      </c>
    </row>
    <row r="811" spans="3:14" x14ac:dyDescent="0.3">
      <c r="C811" s="5">
        <f t="shared" si="154"/>
      </c>
      <c r="D811" s="5">
        <f t="shared" si="155"/>
      </c>
      <c r="E811" s="70"/>
      <c r="F811" s="5">
        <f t="shared" si="156"/>
      </c>
      <c r="G811" s="5">
        <f t="shared" si="146"/>
      </c>
      <c r="H811" s="70">
        <f t="shared" si="147"/>
      </c>
      <c r="I811" s="5">
        <f t="shared" si="148"/>
        <v/>
      </c>
      <c r="J811" s="5">
        <f t="shared" si="149"/>
      </c>
      <c r="K811" s="5">
        <f t="shared" si="150"/>
      </c>
      <c r="L811" s="5">
        <f t="shared" si="151"/>
      </c>
      <c r="M811">
        <f t="shared" si="152"/>
      </c>
      <c r="N811" s="18">
        <f t="shared" si="153"/>
      </c>
    </row>
    <row r="812" spans="3:14" x14ac:dyDescent="0.3">
      <c r="C812" s="5">
        <f t="shared" si="154"/>
      </c>
      <c r="D812" s="5">
        <f t="shared" si="155"/>
      </c>
      <c r="E812" s="70"/>
      <c r="F812" s="5">
        <f t="shared" si="156"/>
      </c>
      <c r="G812" s="5">
        <f t="shared" si="146"/>
      </c>
      <c r="H812" s="70">
        <f t="shared" si="147"/>
      </c>
      <c r="I812" s="5">
        <f t="shared" si="148"/>
        <v/>
      </c>
      <c r="J812" s="5">
        <f t="shared" si="149"/>
      </c>
      <c r="K812" s="5">
        <f t="shared" si="150"/>
      </c>
      <c r="L812" s="5">
        <f t="shared" si="151"/>
      </c>
      <c r="M812">
        <f t="shared" si="152"/>
      </c>
      <c r="N812" s="18">
        <f t="shared" si="153"/>
      </c>
    </row>
    <row r="813" spans="3:14" x14ac:dyDescent="0.3">
      <c r="C813" s="5">
        <f t="shared" si="154"/>
      </c>
      <c r="D813" s="5">
        <f t="shared" si="155"/>
      </c>
      <c r="E813" s="70"/>
      <c r="F813" s="5">
        <f t="shared" si="156"/>
      </c>
      <c r="G813" s="5">
        <f t="shared" si="146"/>
      </c>
      <c r="H813" s="70">
        <f t="shared" si="147"/>
      </c>
      <c r="I813" s="5">
        <f t="shared" si="148"/>
        <v/>
      </c>
      <c r="J813" s="5">
        <f t="shared" si="149"/>
      </c>
      <c r="K813" s="5">
        <f t="shared" si="150"/>
      </c>
      <c r="L813" s="5">
        <f t="shared" si="151"/>
      </c>
      <c r="M813">
        <f t="shared" si="152"/>
      </c>
      <c r="N813" s="18">
        <f t="shared" si="153"/>
      </c>
    </row>
    <row r="814" spans="3:14" x14ac:dyDescent="0.3">
      <c r="C814" s="5">
        <f t="shared" si="154"/>
      </c>
      <c r="D814" s="5">
        <f t="shared" si="155"/>
      </c>
      <c r="E814" s="70"/>
      <c r="F814" s="5">
        <f t="shared" si="156"/>
      </c>
      <c r="G814" s="5">
        <f t="shared" si="146"/>
      </c>
      <c r="H814" s="70">
        <f t="shared" si="147"/>
      </c>
      <c r="I814" s="5">
        <f t="shared" si="148"/>
        <v/>
      </c>
      <c r="J814" s="5">
        <f t="shared" si="149"/>
      </c>
      <c r="K814" s="5">
        <f t="shared" si="150"/>
      </c>
      <c r="L814" s="5">
        <f t="shared" si="151"/>
      </c>
      <c r="M814">
        <f t="shared" si="152"/>
      </c>
      <c r="N814" s="18">
        <f t="shared" si="153"/>
      </c>
    </row>
    <row r="815" spans="3:14" x14ac:dyDescent="0.3">
      <c r="C815" s="5">
        <f t="shared" si="154"/>
      </c>
      <c r="D815" s="5">
        <f t="shared" si="155"/>
      </c>
      <c r="E815" s="70"/>
      <c r="F815" s="5">
        <f t="shared" si="156"/>
      </c>
      <c r="G815" s="5">
        <f t="shared" si="146"/>
      </c>
      <c r="H815" s="70">
        <f t="shared" si="147"/>
      </c>
      <c r="I815" s="5">
        <f t="shared" si="148"/>
        <v/>
      </c>
      <c r="J815" s="5">
        <f t="shared" si="149"/>
      </c>
      <c r="K815" s="5">
        <f t="shared" si="150"/>
      </c>
      <c r="L815" s="5">
        <f t="shared" si="151"/>
      </c>
      <c r="M815">
        <f t="shared" si="152"/>
      </c>
      <c r="N815" s="18">
        <f t="shared" si="153"/>
      </c>
    </row>
    <row r="816" spans="3:14" x14ac:dyDescent="0.3">
      <c r="C816" s="5">
        <f t="shared" si="154"/>
      </c>
      <c r="D816" s="5">
        <f t="shared" si="155"/>
      </c>
      <c r="E816" s="70"/>
      <c r="F816" s="5">
        <f t="shared" si="156"/>
      </c>
      <c r="G816" s="5">
        <f t="shared" si="146"/>
      </c>
      <c r="H816" s="70">
        <f t="shared" si="147"/>
      </c>
      <c r="I816" s="5">
        <f t="shared" si="148"/>
        <v/>
      </c>
      <c r="J816" s="5">
        <f t="shared" si="149"/>
      </c>
      <c r="K816" s="5">
        <f t="shared" si="150"/>
      </c>
      <c r="L816" s="5">
        <f t="shared" si="151"/>
      </c>
      <c r="M816">
        <f t="shared" si="152"/>
      </c>
      <c r="N816" s="18">
        <f t="shared" si="153"/>
      </c>
    </row>
    <row r="817" spans="3:14" x14ac:dyDescent="0.3">
      <c r="C817" s="5">
        <f t="shared" si="154"/>
      </c>
      <c r="D817" s="5">
        <f t="shared" si="155"/>
      </c>
      <c r="E817" s="70"/>
      <c r="F817" s="5">
        <f t="shared" si="156"/>
      </c>
      <c r="G817" s="5">
        <f t="shared" si="146"/>
      </c>
      <c r="H817" s="70">
        <f t="shared" si="147"/>
      </c>
      <c r="I817" s="5">
        <f t="shared" si="148"/>
        <v/>
      </c>
      <c r="J817" s="5">
        <f t="shared" si="149"/>
      </c>
      <c r="K817" s="5">
        <f t="shared" si="150"/>
      </c>
      <c r="L817" s="5">
        <f t="shared" si="151"/>
      </c>
      <c r="M817">
        <f t="shared" si="152"/>
      </c>
      <c r="N817" s="18">
        <f t="shared" si="153"/>
      </c>
    </row>
    <row r="818" spans="3:14" x14ac:dyDescent="0.3">
      <c r="C818" s="5">
        <f t="shared" si="154"/>
      </c>
      <c r="D818" s="5">
        <f t="shared" si="155"/>
      </c>
      <c r="E818" s="70"/>
      <c r="F818" s="5">
        <f t="shared" si="156"/>
      </c>
      <c r="G818" s="5">
        <f t="shared" si="146"/>
      </c>
      <c r="H818" s="70">
        <f t="shared" si="147"/>
      </c>
      <c r="I818" s="5">
        <f t="shared" si="148"/>
        <v/>
      </c>
      <c r="J818" s="5">
        <f t="shared" si="149"/>
      </c>
      <c r="K818" s="5">
        <f t="shared" si="150"/>
      </c>
      <c r="L818" s="5">
        <f t="shared" si="151"/>
      </c>
      <c r="M818">
        <f t="shared" si="152"/>
      </c>
      <c r="N818" s="18">
        <f t="shared" si="153"/>
      </c>
    </row>
    <row r="819" spans="3:14" x14ac:dyDescent="0.3">
      <c r="C819" s="5">
        <f t="shared" si="154"/>
      </c>
      <c r="D819" s="5">
        <f t="shared" si="155"/>
      </c>
      <c r="E819" s="70"/>
      <c r="F819" s="5">
        <f t="shared" si="156"/>
      </c>
      <c r="G819" s="5">
        <f t="shared" si="146"/>
      </c>
      <c r="H819" s="70">
        <f t="shared" si="147"/>
      </c>
      <c r="I819" s="5">
        <f t="shared" si="148"/>
        <v/>
      </c>
      <c r="J819" s="5">
        <f t="shared" si="149"/>
      </c>
      <c r="K819" s="5">
        <f t="shared" si="150"/>
      </c>
      <c r="L819" s="5">
        <f t="shared" si="151"/>
      </c>
      <c r="M819">
        <f t="shared" si="152"/>
      </c>
      <c r="N819" s="18">
        <f t="shared" si="153"/>
      </c>
    </row>
    <row r="820" spans="3:14" x14ac:dyDescent="0.3">
      <c r="C820" s="5">
        <f t="shared" si="154"/>
      </c>
      <c r="D820" s="5">
        <f t="shared" si="155"/>
      </c>
      <c r="E820" s="70"/>
      <c r="F820" s="5">
        <f t="shared" si="156"/>
      </c>
      <c r="G820" s="5">
        <f t="shared" si="146"/>
      </c>
      <c r="H820" s="70">
        <f t="shared" si="147"/>
      </c>
      <c r="I820" s="5">
        <f t="shared" si="148"/>
        <v/>
      </c>
      <c r="J820" s="5">
        <f t="shared" si="149"/>
      </c>
      <c r="K820" s="5">
        <f t="shared" si="150"/>
      </c>
      <c r="L820" s="5">
        <f t="shared" si="151"/>
      </c>
      <c r="M820">
        <f t="shared" si="152"/>
      </c>
      <c r="N820" s="18">
        <f t="shared" si="153"/>
      </c>
    </row>
    <row r="821" spans="3:14" x14ac:dyDescent="0.3">
      <c r="C821" s="5">
        <f t="shared" si="154"/>
      </c>
      <c r="D821" s="5">
        <f t="shared" si="155"/>
      </c>
      <c r="E821" s="70"/>
      <c r="F821" s="5">
        <f t="shared" si="156"/>
      </c>
      <c r="G821" s="5">
        <f t="shared" ref="G821:G884" si="157">IF(E821="упр","",IF(E821=0,F821,IF(E821="1,2,3","L1,L2,L3","L"&amp;E821)))</f>
      </c>
      <c r="H821" s="70">
        <f t="shared" ref="H821:H884" si="158">VLOOKUP(D821,Исходные_данные,5,FALSE)</f>
      </c>
      <c r="I821" s="5">
        <f t="shared" ref="I821:I884" si="159">IFERROR(VLOOKUP(D821,Исходные_данные,36,FALSE),"")</f>
        <v/>
      </c>
      <c r="J821" s="5">
        <f t="shared" ref="J821:J884" si="160">VLOOKUP(D821,Исходные_данные,46,FALSE)</f>
      </c>
      <c r="K821" s="5">
        <f t="shared" ref="K821:K884" si="161">VLOOKUP(D821,Исходные_данные,16,FALSE)</f>
      </c>
      <c r="L821" s="5">
        <f t="shared" ref="L821:L884" si="162">H821*K821</f>
      </c>
      <c r="M821">
        <f t="shared" ref="M821:M884" si="163">IF(ISBLANK(E821),M820,E821)</f>
      </c>
      <c r="N821" s="18">
        <f t="shared" ref="N821:N884" si="164">C821&amp;G821</f>
      </c>
    </row>
    <row r="822" spans="3:14" x14ac:dyDescent="0.3">
      <c r="C822" s="5">
        <f t="shared" si="154"/>
      </c>
      <c r="D822" s="5">
        <f t="shared" si="155"/>
      </c>
      <c r="E822" s="70"/>
      <c r="F822" s="5">
        <f t="shared" si="156"/>
      </c>
      <c r="G822" s="5">
        <f t="shared" si="157"/>
      </c>
      <c r="H822" s="70">
        <f t="shared" si="158"/>
      </c>
      <c r="I822" s="5">
        <f t="shared" si="159"/>
        <v/>
      </c>
      <c r="J822" s="5">
        <f t="shared" si="160"/>
      </c>
      <c r="K822" s="5">
        <f t="shared" si="161"/>
      </c>
      <c r="L822" s="5">
        <f t="shared" si="162"/>
      </c>
      <c r="M822">
        <f t="shared" si="163"/>
      </c>
      <c r="N822" s="18">
        <f t="shared" si="164"/>
      </c>
    </row>
    <row r="823" spans="3:14" x14ac:dyDescent="0.3">
      <c r="C823" s="5">
        <f t="shared" si="154"/>
      </c>
      <c r="D823" s="5">
        <f t="shared" si="155"/>
      </c>
      <c r="E823" s="70"/>
      <c r="F823" s="5">
        <f t="shared" si="156"/>
      </c>
      <c r="G823" s="5">
        <f t="shared" si="157"/>
      </c>
      <c r="H823" s="70">
        <f t="shared" si="158"/>
      </c>
      <c r="I823" s="5">
        <f t="shared" si="159"/>
        <v/>
      </c>
      <c r="J823" s="5">
        <f t="shared" si="160"/>
      </c>
      <c r="K823" s="5">
        <f t="shared" si="161"/>
      </c>
      <c r="L823" s="5">
        <f t="shared" si="162"/>
      </c>
      <c r="M823">
        <f t="shared" si="163"/>
      </c>
      <c r="N823" s="18">
        <f t="shared" si="164"/>
      </c>
    </row>
    <row r="824" spans="3:14" x14ac:dyDescent="0.3">
      <c r="C824" s="5">
        <f t="shared" si="154"/>
      </c>
      <c r="D824" s="5">
        <f t="shared" si="155"/>
      </c>
      <c r="E824" s="70"/>
      <c r="F824" s="5">
        <f t="shared" si="156"/>
      </c>
      <c r="G824" s="5">
        <f t="shared" si="157"/>
      </c>
      <c r="H824" s="70">
        <f t="shared" si="158"/>
      </c>
      <c r="I824" s="5">
        <f t="shared" si="159"/>
        <v/>
      </c>
      <c r="J824" s="5">
        <f t="shared" si="160"/>
      </c>
      <c r="K824" s="5">
        <f t="shared" si="161"/>
      </c>
      <c r="L824" s="5">
        <f t="shared" si="162"/>
      </c>
      <c r="M824">
        <f t="shared" si="163"/>
      </c>
      <c r="N824" s="18">
        <f t="shared" si="164"/>
      </c>
    </row>
    <row r="825" spans="3:14" x14ac:dyDescent="0.3">
      <c r="C825" s="5">
        <f t="shared" si="154"/>
      </c>
      <c r="D825" s="5">
        <f t="shared" si="155"/>
      </c>
      <c r="E825" s="70"/>
      <c r="F825" s="5">
        <f t="shared" si="156"/>
      </c>
      <c r="G825" s="5">
        <f t="shared" si="157"/>
      </c>
      <c r="H825" s="70">
        <f t="shared" si="158"/>
      </c>
      <c r="I825" s="5">
        <f t="shared" si="159"/>
        <v/>
      </c>
      <c r="J825" s="5">
        <f t="shared" si="160"/>
      </c>
      <c r="K825" s="5">
        <f t="shared" si="161"/>
      </c>
      <c r="L825" s="5">
        <f t="shared" si="162"/>
      </c>
      <c r="M825">
        <f t="shared" si="163"/>
      </c>
      <c r="N825" s="18">
        <f t="shared" si="164"/>
      </c>
    </row>
    <row r="826" spans="3:14" x14ac:dyDescent="0.3">
      <c r="C826" s="5">
        <f t="shared" si="154"/>
      </c>
      <c r="D826" s="5">
        <f t="shared" si="155"/>
      </c>
      <c r="E826" s="70"/>
      <c r="F826" s="5">
        <f t="shared" si="156"/>
      </c>
      <c r="G826" s="5">
        <f t="shared" si="157"/>
      </c>
      <c r="H826" s="70">
        <f t="shared" si="158"/>
      </c>
      <c r="I826" s="5">
        <f t="shared" si="159"/>
        <v/>
      </c>
      <c r="J826" s="5">
        <f t="shared" si="160"/>
      </c>
      <c r="K826" s="5">
        <f t="shared" si="161"/>
      </c>
      <c r="L826" s="5">
        <f t="shared" si="162"/>
      </c>
      <c r="M826">
        <f t="shared" si="163"/>
      </c>
      <c r="N826" s="18">
        <f t="shared" si="164"/>
      </c>
    </row>
    <row r="827" spans="3:14" x14ac:dyDescent="0.3">
      <c r="C827" s="5">
        <f t="shared" si="154"/>
      </c>
      <c r="D827" s="5">
        <f t="shared" si="155"/>
      </c>
      <c r="E827" s="70"/>
      <c r="F827" s="5">
        <f t="shared" si="156"/>
      </c>
      <c r="G827" s="5">
        <f t="shared" si="157"/>
      </c>
      <c r="H827" s="70">
        <f t="shared" si="158"/>
      </c>
      <c r="I827" s="5">
        <f t="shared" si="159"/>
        <v/>
      </c>
      <c r="J827" s="5">
        <f t="shared" si="160"/>
      </c>
      <c r="K827" s="5">
        <f t="shared" si="161"/>
      </c>
      <c r="L827" s="5">
        <f t="shared" si="162"/>
      </c>
      <c r="M827">
        <f t="shared" si="163"/>
      </c>
      <c r="N827" s="18">
        <f t="shared" si="164"/>
      </c>
    </row>
    <row r="828" spans="3:14" x14ac:dyDescent="0.3">
      <c r="C828" s="5">
        <f t="shared" si="154"/>
      </c>
      <c r="D828" s="5">
        <f t="shared" si="155"/>
      </c>
      <c r="E828" s="70"/>
      <c r="F828" s="5">
        <f t="shared" si="156"/>
      </c>
      <c r="G828" s="5">
        <f t="shared" si="157"/>
      </c>
      <c r="H828" s="70">
        <f t="shared" si="158"/>
      </c>
      <c r="I828" s="5">
        <f t="shared" si="159"/>
        <v/>
      </c>
      <c r="J828" s="5">
        <f t="shared" si="160"/>
      </c>
      <c r="K828" s="5">
        <f t="shared" si="161"/>
      </c>
      <c r="L828" s="5">
        <f t="shared" si="162"/>
      </c>
      <c r="M828">
        <f t="shared" si="163"/>
      </c>
      <c r="N828" s="18">
        <f t="shared" si="164"/>
      </c>
    </row>
    <row r="829" spans="3:14" x14ac:dyDescent="0.3">
      <c r="C829" s="5">
        <f t="shared" si="154"/>
      </c>
      <c r="D829" s="5">
        <f t="shared" si="155"/>
      </c>
      <c r="E829" s="70"/>
      <c r="F829" s="5">
        <f t="shared" si="156"/>
      </c>
      <c r="G829" s="5">
        <f t="shared" si="157"/>
      </c>
      <c r="H829" s="70">
        <f t="shared" si="158"/>
      </c>
      <c r="I829" s="5">
        <f t="shared" si="159"/>
        <v/>
      </c>
      <c r="J829" s="5">
        <f t="shared" si="160"/>
      </c>
      <c r="K829" s="5">
        <f t="shared" si="161"/>
      </c>
      <c r="L829" s="5">
        <f t="shared" si="162"/>
      </c>
      <c r="M829">
        <f t="shared" si="163"/>
      </c>
      <c r="N829" s="18">
        <f t="shared" si="164"/>
      </c>
    </row>
    <row r="830" spans="3:14" x14ac:dyDescent="0.3">
      <c r="C830" s="5">
        <f t="shared" si="154"/>
      </c>
      <c r="D830" s="5">
        <f t="shared" si="155"/>
      </c>
      <c r="E830" s="70"/>
      <c r="F830" s="5">
        <f t="shared" si="156"/>
      </c>
      <c r="G830" s="5">
        <f t="shared" si="157"/>
      </c>
      <c r="H830" s="70">
        <f t="shared" si="158"/>
      </c>
      <c r="I830" s="5">
        <f t="shared" si="159"/>
        <v/>
      </c>
      <c r="J830" s="5">
        <f t="shared" si="160"/>
      </c>
      <c r="K830" s="5">
        <f t="shared" si="161"/>
      </c>
      <c r="L830" s="5">
        <f t="shared" si="162"/>
      </c>
      <c r="M830">
        <f t="shared" si="163"/>
      </c>
      <c r="N830" s="18">
        <f t="shared" si="164"/>
      </c>
    </row>
    <row r="831" spans="3:14" x14ac:dyDescent="0.3">
      <c r="C831" s="5">
        <f t="shared" si="154"/>
      </c>
      <c r="D831" s="5">
        <f t="shared" si="155"/>
      </c>
      <c r="E831" s="70"/>
      <c r="F831" s="5">
        <f t="shared" si="156"/>
      </c>
      <c r="G831" s="5">
        <f t="shared" si="157"/>
      </c>
      <c r="H831" s="70">
        <f t="shared" si="158"/>
      </c>
      <c r="I831" s="5">
        <f t="shared" si="159"/>
        <v/>
      </c>
      <c r="J831" s="5">
        <f t="shared" si="160"/>
      </c>
      <c r="K831" s="5">
        <f t="shared" si="161"/>
      </c>
      <c r="L831" s="5">
        <f t="shared" si="162"/>
      </c>
      <c r="M831">
        <f t="shared" si="163"/>
      </c>
      <c r="N831" s="18">
        <f t="shared" si="164"/>
      </c>
    </row>
    <row r="832" spans="3:14" x14ac:dyDescent="0.3">
      <c r="C832" s="5">
        <f t="shared" si="154"/>
      </c>
      <c r="D832" s="5">
        <f t="shared" si="155"/>
      </c>
      <c r="E832" s="70"/>
      <c r="F832" s="5">
        <f t="shared" si="156"/>
      </c>
      <c r="G832" s="5">
        <f t="shared" si="157"/>
      </c>
      <c r="H832" s="70">
        <f t="shared" si="158"/>
      </c>
      <c r="I832" s="5">
        <f t="shared" si="159"/>
        <v/>
      </c>
      <c r="J832" s="5">
        <f t="shared" si="160"/>
      </c>
      <c r="K832" s="5">
        <f t="shared" si="161"/>
      </c>
      <c r="L832" s="5">
        <f t="shared" si="162"/>
      </c>
      <c r="M832">
        <f t="shared" si="163"/>
      </c>
      <c r="N832" s="18">
        <f t="shared" si="164"/>
      </c>
    </row>
    <row r="833" spans="3:14" x14ac:dyDescent="0.3">
      <c r="C833" s="5">
        <f t="shared" si="154"/>
      </c>
      <c r="D833" s="5">
        <f t="shared" si="155"/>
      </c>
      <c r="E833" s="70"/>
      <c r="F833" s="5">
        <f t="shared" si="156"/>
      </c>
      <c r="G833" s="5">
        <f t="shared" si="157"/>
      </c>
      <c r="H833" s="70">
        <f t="shared" si="158"/>
      </c>
      <c r="I833" s="5">
        <f t="shared" si="159"/>
        <v/>
      </c>
      <c r="J833" s="5">
        <f t="shared" si="160"/>
      </c>
      <c r="K833" s="5">
        <f t="shared" si="161"/>
      </c>
      <c r="L833" s="5">
        <f t="shared" si="162"/>
      </c>
      <c r="M833">
        <f t="shared" si="163"/>
      </c>
      <c r="N833" s="18">
        <f t="shared" si="164"/>
      </c>
    </row>
    <row r="834" spans="3:14" x14ac:dyDescent="0.3">
      <c r="C834" s="5">
        <f t="shared" si="154"/>
      </c>
      <c r="D834" s="5">
        <f t="shared" si="155"/>
      </c>
      <c r="E834" s="70"/>
      <c r="F834" s="5">
        <f t="shared" si="156"/>
      </c>
      <c r="G834" s="5">
        <f t="shared" si="157"/>
      </c>
      <c r="H834" s="70">
        <f t="shared" si="158"/>
      </c>
      <c r="I834" s="5">
        <f t="shared" si="159"/>
        <v/>
      </c>
      <c r="J834" s="5">
        <f t="shared" si="160"/>
      </c>
      <c r="K834" s="5">
        <f t="shared" si="161"/>
      </c>
      <c r="L834" s="5">
        <f t="shared" si="162"/>
      </c>
      <c r="M834">
        <f t="shared" si="163"/>
      </c>
      <c r="N834" s="18">
        <f t="shared" si="164"/>
      </c>
    </row>
    <row r="835" spans="3:14" x14ac:dyDescent="0.3">
      <c r="C835" s="5">
        <f t="shared" ref="C835:C898" si="165">VLOOKUP(ROW(833:833),Разбивка_нумерация_5,2,FALSE)</f>
      </c>
      <c r="D835" s="5">
        <f t="shared" ref="D835:D898" si="166">VLOOKUP(ROW(833:833),Разбивка_нумерация_5,4,FALSE)</f>
      </c>
      <c r="E835" s="70"/>
      <c r="F835" s="5">
        <f t="shared" ref="F835:F898" si="167">VLOOKUP(ROW(833:833),Разбивка_нумерация_5,16,FALSE)</f>
      </c>
      <c r="G835" s="5">
        <f t="shared" si="157"/>
      </c>
      <c r="H835" s="70">
        <f t="shared" si="158"/>
      </c>
      <c r="I835" s="5">
        <f t="shared" si="159"/>
        <v/>
      </c>
      <c r="J835" s="5">
        <f t="shared" si="160"/>
      </c>
      <c r="K835" s="5">
        <f t="shared" si="161"/>
      </c>
      <c r="L835" s="5">
        <f t="shared" si="162"/>
      </c>
      <c r="M835">
        <f t="shared" si="163"/>
      </c>
      <c r="N835" s="18">
        <f t="shared" si="164"/>
      </c>
    </row>
    <row r="836" spans="3:14" x14ac:dyDescent="0.3">
      <c r="C836" s="5">
        <f t="shared" si="165"/>
      </c>
      <c r="D836" s="5">
        <f t="shared" si="166"/>
      </c>
      <c r="E836" s="70"/>
      <c r="F836" s="5">
        <f t="shared" si="167"/>
      </c>
      <c r="G836" s="5">
        <f t="shared" si="157"/>
      </c>
      <c r="H836" s="70">
        <f t="shared" si="158"/>
      </c>
      <c r="I836" s="5">
        <f t="shared" si="159"/>
        <v/>
      </c>
      <c r="J836" s="5">
        <f t="shared" si="160"/>
      </c>
      <c r="K836" s="5">
        <f t="shared" si="161"/>
      </c>
      <c r="L836" s="5">
        <f t="shared" si="162"/>
      </c>
      <c r="M836">
        <f t="shared" si="163"/>
      </c>
      <c r="N836" s="18">
        <f t="shared" si="164"/>
      </c>
    </row>
    <row r="837" spans="3:14" x14ac:dyDescent="0.3">
      <c r="C837" s="5">
        <f t="shared" si="165"/>
      </c>
      <c r="D837" s="5">
        <f t="shared" si="166"/>
      </c>
      <c r="E837" s="70"/>
      <c r="F837" s="5">
        <f t="shared" si="167"/>
      </c>
      <c r="G837" s="5">
        <f t="shared" si="157"/>
      </c>
      <c r="H837" s="70">
        <f t="shared" si="158"/>
      </c>
      <c r="I837" s="5">
        <f t="shared" si="159"/>
        <v/>
      </c>
      <c r="J837" s="5">
        <f t="shared" si="160"/>
      </c>
      <c r="K837" s="5">
        <f t="shared" si="161"/>
      </c>
      <c r="L837" s="5">
        <f t="shared" si="162"/>
      </c>
      <c r="M837">
        <f t="shared" si="163"/>
      </c>
      <c r="N837" s="18">
        <f t="shared" si="164"/>
      </c>
    </row>
    <row r="838" spans="3:14" x14ac:dyDescent="0.3">
      <c r="C838" s="5">
        <f t="shared" si="165"/>
      </c>
      <c r="D838" s="5">
        <f t="shared" si="166"/>
      </c>
      <c r="E838" s="70"/>
      <c r="F838" s="5">
        <f t="shared" si="167"/>
      </c>
      <c r="G838" s="5">
        <f t="shared" si="157"/>
      </c>
      <c r="H838" s="70">
        <f t="shared" si="158"/>
      </c>
      <c r="I838" s="5">
        <f t="shared" si="159"/>
        <v/>
      </c>
      <c r="J838" s="5">
        <f t="shared" si="160"/>
      </c>
      <c r="K838" s="5">
        <f t="shared" si="161"/>
      </c>
      <c r="L838" s="5">
        <f t="shared" si="162"/>
      </c>
      <c r="M838">
        <f t="shared" si="163"/>
      </c>
      <c r="N838" s="18">
        <f t="shared" si="164"/>
      </c>
    </row>
    <row r="839" spans="3:14" x14ac:dyDescent="0.3">
      <c r="C839" s="5">
        <f t="shared" si="165"/>
      </c>
      <c r="D839" s="5">
        <f t="shared" si="166"/>
      </c>
      <c r="E839" s="70"/>
      <c r="F839" s="5">
        <f t="shared" si="167"/>
      </c>
      <c r="G839" s="5">
        <f t="shared" si="157"/>
      </c>
      <c r="H839" s="70">
        <f t="shared" si="158"/>
      </c>
      <c r="I839" s="5">
        <f t="shared" si="159"/>
        <v/>
      </c>
      <c r="J839" s="5">
        <f t="shared" si="160"/>
      </c>
      <c r="K839" s="5">
        <f t="shared" si="161"/>
      </c>
      <c r="L839" s="5">
        <f t="shared" si="162"/>
      </c>
      <c r="M839">
        <f t="shared" si="163"/>
      </c>
      <c r="N839" s="18">
        <f t="shared" si="164"/>
      </c>
    </row>
    <row r="840" spans="3:14" x14ac:dyDescent="0.3">
      <c r="C840" s="5">
        <f t="shared" si="165"/>
      </c>
      <c r="D840" s="5">
        <f t="shared" si="166"/>
      </c>
      <c r="E840" s="70"/>
      <c r="F840" s="5">
        <f t="shared" si="167"/>
      </c>
      <c r="G840" s="5">
        <f t="shared" si="157"/>
      </c>
      <c r="H840" s="70">
        <f t="shared" si="158"/>
      </c>
      <c r="I840" s="5">
        <f t="shared" si="159"/>
        <v/>
      </c>
      <c r="J840" s="5">
        <f t="shared" si="160"/>
      </c>
      <c r="K840" s="5">
        <f t="shared" si="161"/>
      </c>
      <c r="L840" s="5">
        <f t="shared" si="162"/>
      </c>
      <c r="M840">
        <f t="shared" si="163"/>
      </c>
      <c r="N840" s="18">
        <f t="shared" si="164"/>
      </c>
    </row>
    <row r="841" spans="3:14" x14ac:dyDescent="0.3">
      <c r="C841" s="5">
        <f t="shared" si="165"/>
      </c>
      <c r="D841" s="5">
        <f t="shared" si="166"/>
      </c>
      <c r="E841" s="70"/>
      <c r="F841" s="5">
        <f t="shared" si="167"/>
      </c>
      <c r="G841" s="5">
        <f t="shared" si="157"/>
      </c>
      <c r="H841" s="70">
        <f t="shared" si="158"/>
      </c>
      <c r="I841" s="5">
        <f t="shared" si="159"/>
        <v/>
      </c>
      <c r="J841" s="5">
        <f t="shared" si="160"/>
      </c>
      <c r="K841" s="5">
        <f t="shared" si="161"/>
      </c>
      <c r="L841" s="5">
        <f t="shared" si="162"/>
      </c>
      <c r="M841">
        <f t="shared" si="163"/>
      </c>
      <c r="N841" s="18">
        <f t="shared" si="164"/>
      </c>
    </row>
    <row r="842" spans="3:14" x14ac:dyDescent="0.3">
      <c r="C842" s="5">
        <f t="shared" si="165"/>
      </c>
      <c r="D842" s="5">
        <f t="shared" si="166"/>
      </c>
      <c r="E842" s="70"/>
      <c r="F842" s="5">
        <f t="shared" si="167"/>
      </c>
      <c r="G842" s="5">
        <f t="shared" si="157"/>
      </c>
      <c r="H842" s="70">
        <f t="shared" si="158"/>
      </c>
      <c r="I842" s="5">
        <f t="shared" si="159"/>
        <v/>
      </c>
      <c r="J842" s="5">
        <f t="shared" si="160"/>
      </c>
      <c r="K842" s="5">
        <f t="shared" si="161"/>
      </c>
      <c r="L842" s="5">
        <f t="shared" si="162"/>
      </c>
      <c r="M842">
        <f t="shared" si="163"/>
      </c>
      <c r="N842" s="18">
        <f t="shared" si="164"/>
      </c>
    </row>
    <row r="843" spans="3:14" x14ac:dyDescent="0.3">
      <c r="C843" s="5">
        <f t="shared" si="165"/>
      </c>
      <c r="D843" s="5">
        <f t="shared" si="166"/>
      </c>
      <c r="E843" s="70"/>
      <c r="F843" s="5">
        <f t="shared" si="167"/>
      </c>
      <c r="G843" s="5">
        <f t="shared" si="157"/>
      </c>
      <c r="H843" s="70">
        <f t="shared" si="158"/>
      </c>
      <c r="I843" s="5">
        <f t="shared" si="159"/>
        <v/>
      </c>
      <c r="J843" s="5">
        <f t="shared" si="160"/>
      </c>
      <c r="K843" s="5">
        <f t="shared" si="161"/>
      </c>
      <c r="L843" s="5">
        <f t="shared" si="162"/>
      </c>
      <c r="M843">
        <f t="shared" si="163"/>
      </c>
      <c r="N843" s="18">
        <f t="shared" si="164"/>
      </c>
    </row>
    <row r="844" spans="3:14" x14ac:dyDescent="0.3">
      <c r="C844" s="5">
        <f t="shared" si="165"/>
      </c>
      <c r="D844" s="5">
        <f t="shared" si="166"/>
      </c>
      <c r="E844" s="70"/>
      <c r="F844" s="5">
        <f t="shared" si="167"/>
      </c>
      <c r="G844" s="5">
        <f t="shared" si="157"/>
      </c>
      <c r="H844" s="70">
        <f t="shared" si="158"/>
      </c>
      <c r="I844" s="5">
        <f t="shared" si="159"/>
        <v/>
      </c>
      <c r="J844" s="5">
        <f t="shared" si="160"/>
      </c>
      <c r="K844" s="5">
        <f t="shared" si="161"/>
      </c>
      <c r="L844" s="5">
        <f t="shared" si="162"/>
      </c>
      <c r="M844">
        <f t="shared" si="163"/>
      </c>
      <c r="N844" s="18">
        <f t="shared" si="164"/>
      </c>
    </row>
    <row r="845" spans="3:14" x14ac:dyDescent="0.3">
      <c r="C845" s="5">
        <f t="shared" si="165"/>
      </c>
      <c r="D845" s="5">
        <f t="shared" si="166"/>
      </c>
      <c r="E845" s="70"/>
      <c r="F845" s="5">
        <f t="shared" si="167"/>
      </c>
      <c r="G845" s="5">
        <f t="shared" si="157"/>
      </c>
      <c r="H845" s="70">
        <f t="shared" si="158"/>
      </c>
      <c r="I845" s="5">
        <f t="shared" si="159"/>
        <v/>
      </c>
      <c r="J845" s="5">
        <f t="shared" si="160"/>
      </c>
      <c r="K845" s="5">
        <f t="shared" si="161"/>
      </c>
      <c r="L845" s="5">
        <f t="shared" si="162"/>
      </c>
      <c r="M845">
        <f t="shared" si="163"/>
      </c>
      <c r="N845" s="18">
        <f t="shared" si="164"/>
      </c>
    </row>
    <row r="846" spans="3:14" x14ac:dyDescent="0.3">
      <c r="C846" s="5">
        <f t="shared" si="165"/>
      </c>
      <c r="D846" s="5">
        <f t="shared" si="166"/>
      </c>
      <c r="E846" s="70"/>
      <c r="F846" s="5">
        <f t="shared" si="167"/>
      </c>
      <c r="G846" s="5">
        <f t="shared" si="157"/>
      </c>
      <c r="H846" s="70">
        <f t="shared" si="158"/>
      </c>
      <c r="I846" s="5">
        <f t="shared" si="159"/>
        <v/>
      </c>
      <c r="J846" s="5">
        <f t="shared" si="160"/>
      </c>
      <c r="K846" s="5">
        <f t="shared" si="161"/>
      </c>
      <c r="L846" s="5">
        <f t="shared" si="162"/>
      </c>
      <c r="M846">
        <f t="shared" si="163"/>
      </c>
      <c r="N846" s="18">
        <f t="shared" si="164"/>
      </c>
    </row>
    <row r="847" spans="3:14" x14ac:dyDescent="0.3">
      <c r="C847" s="5">
        <f t="shared" si="165"/>
      </c>
      <c r="D847" s="5">
        <f t="shared" si="166"/>
      </c>
      <c r="E847" s="70"/>
      <c r="F847" s="5">
        <f t="shared" si="167"/>
      </c>
      <c r="G847" s="5">
        <f t="shared" si="157"/>
      </c>
      <c r="H847" s="70">
        <f t="shared" si="158"/>
      </c>
      <c r="I847" s="5">
        <f t="shared" si="159"/>
        <v/>
      </c>
      <c r="J847" s="5">
        <f t="shared" si="160"/>
      </c>
      <c r="K847" s="5">
        <f t="shared" si="161"/>
      </c>
      <c r="L847" s="5">
        <f t="shared" si="162"/>
      </c>
      <c r="M847">
        <f t="shared" si="163"/>
      </c>
      <c r="N847" s="18">
        <f t="shared" si="164"/>
      </c>
    </row>
    <row r="848" spans="3:14" x14ac:dyDescent="0.3">
      <c r="C848" s="5">
        <f t="shared" si="165"/>
      </c>
      <c r="D848" s="5">
        <f t="shared" si="166"/>
      </c>
      <c r="E848" s="70"/>
      <c r="F848" s="5">
        <f t="shared" si="167"/>
      </c>
      <c r="G848" s="5">
        <f t="shared" si="157"/>
      </c>
      <c r="H848" s="70">
        <f t="shared" si="158"/>
      </c>
      <c r="I848" s="5">
        <f t="shared" si="159"/>
        <v/>
      </c>
      <c r="J848" s="5">
        <f t="shared" si="160"/>
      </c>
      <c r="K848" s="5">
        <f t="shared" si="161"/>
      </c>
      <c r="L848" s="5">
        <f t="shared" si="162"/>
      </c>
      <c r="M848">
        <f t="shared" si="163"/>
      </c>
      <c r="N848" s="18">
        <f t="shared" si="164"/>
      </c>
    </row>
    <row r="849" spans="3:14" x14ac:dyDescent="0.3">
      <c r="C849" s="5">
        <f t="shared" si="165"/>
      </c>
      <c r="D849" s="5">
        <f t="shared" si="166"/>
      </c>
      <c r="E849" s="70"/>
      <c r="F849" s="5">
        <f t="shared" si="167"/>
      </c>
      <c r="G849" s="5">
        <f t="shared" si="157"/>
      </c>
      <c r="H849" s="70">
        <f t="shared" si="158"/>
      </c>
      <c r="I849" s="5">
        <f t="shared" si="159"/>
        <v/>
      </c>
      <c r="J849" s="5">
        <f t="shared" si="160"/>
      </c>
      <c r="K849" s="5">
        <f t="shared" si="161"/>
      </c>
      <c r="L849" s="5">
        <f t="shared" si="162"/>
      </c>
      <c r="M849">
        <f t="shared" si="163"/>
      </c>
      <c r="N849" s="18">
        <f t="shared" si="164"/>
      </c>
    </row>
    <row r="850" spans="3:14" x14ac:dyDescent="0.3">
      <c r="C850" s="5">
        <f t="shared" si="165"/>
      </c>
      <c r="D850" s="5">
        <f t="shared" si="166"/>
      </c>
      <c r="E850" s="70"/>
      <c r="F850" s="5">
        <f t="shared" si="167"/>
      </c>
      <c r="G850" s="5">
        <f t="shared" si="157"/>
      </c>
      <c r="H850" s="70">
        <f t="shared" si="158"/>
      </c>
      <c r="I850" s="5">
        <f t="shared" si="159"/>
        <v/>
      </c>
      <c r="J850" s="5">
        <f t="shared" si="160"/>
      </c>
      <c r="K850" s="5">
        <f t="shared" si="161"/>
      </c>
      <c r="L850" s="5">
        <f t="shared" si="162"/>
      </c>
      <c r="M850">
        <f t="shared" si="163"/>
      </c>
      <c r="N850" s="18">
        <f t="shared" si="164"/>
      </c>
    </row>
    <row r="851" spans="3:14" x14ac:dyDescent="0.3">
      <c r="C851" s="5">
        <f t="shared" si="165"/>
      </c>
      <c r="D851" s="5">
        <f t="shared" si="166"/>
      </c>
      <c r="E851" s="70"/>
      <c r="F851" s="5">
        <f t="shared" si="167"/>
      </c>
      <c r="G851" s="5">
        <f t="shared" si="157"/>
      </c>
      <c r="H851" s="70">
        <f t="shared" si="158"/>
      </c>
      <c r="I851" s="5">
        <f t="shared" si="159"/>
        <v/>
      </c>
      <c r="J851" s="5">
        <f t="shared" si="160"/>
      </c>
      <c r="K851" s="5">
        <f t="shared" si="161"/>
      </c>
      <c r="L851" s="5">
        <f t="shared" si="162"/>
      </c>
      <c r="M851">
        <f t="shared" si="163"/>
      </c>
      <c r="N851" s="18">
        <f t="shared" si="164"/>
      </c>
    </row>
    <row r="852" spans="3:14" x14ac:dyDescent="0.3">
      <c r="C852" s="5">
        <f t="shared" si="165"/>
      </c>
      <c r="D852" s="5">
        <f t="shared" si="166"/>
      </c>
      <c r="E852" s="70"/>
      <c r="F852" s="5">
        <f t="shared" si="167"/>
      </c>
      <c r="G852" s="5">
        <f t="shared" si="157"/>
      </c>
      <c r="H852" s="70">
        <f t="shared" si="158"/>
      </c>
      <c r="I852" s="5">
        <f t="shared" si="159"/>
        <v/>
      </c>
      <c r="J852" s="5">
        <f t="shared" si="160"/>
      </c>
      <c r="K852" s="5">
        <f t="shared" si="161"/>
      </c>
      <c r="L852" s="5">
        <f t="shared" si="162"/>
      </c>
      <c r="M852">
        <f t="shared" si="163"/>
      </c>
      <c r="N852" s="18">
        <f t="shared" si="164"/>
      </c>
    </row>
    <row r="853" spans="3:14" x14ac:dyDescent="0.3">
      <c r="C853" s="5">
        <f t="shared" si="165"/>
      </c>
      <c r="D853" s="5">
        <f t="shared" si="166"/>
      </c>
      <c r="E853" s="70"/>
      <c r="F853" s="5">
        <f t="shared" si="167"/>
      </c>
      <c r="G853" s="5">
        <f t="shared" si="157"/>
      </c>
      <c r="H853" s="70">
        <f t="shared" si="158"/>
      </c>
      <c r="I853" s="5">
        <f t="shared" si="159"/>
        <v/>
      </c>
      <c r="J853" s="5">
        <f t="shared" si="160"/>
      </c>
      <c r="K853" s="5">
        <f t="shared" si="161"/>
      </c>
      <c r="L853" s="5">
        <f t="shared" si="162"/>
      </c>
      <c r="M853">
        <f t="shared" si="163"/>
      </c>
      <c r="N853" s="18">
        <f t="shared" si="164"/>
      </c>
    </row>
    <row r="854" spans="3:14" x14ac:dyDescent="0.3">
      <c r="C854" s="5">
        <f t="shared" si="165"/>
      </c>
      <c r="D854" s="5">
        <f t="shared" si="166"/>
      </c>
      <c r="E854" s="70"/>
      <c r="F854" s="5">
        <f t="shared" si="167"/>
      </c>
      <c r="G854" s="5">
        <f t="shared" si="157"/>
      </c>
      <c r="H854" s="70">
        <f t="shared" si="158"/>
      </c>
      <c r="I854" s="5">
        <f t="shared" si="159"/>
        <v/>
      </c>
      <c r="J854" s="5">
        <f t="shared" si="160"/>
      </c>
      <c r="K854" s="5">
        <f t="shared" si="161"/>
      </c>
      <c r="L854" s="5">
        <f t="shared" si="162"/>
      </c>
      <c r="M854">
        <f t="shared" si="163"/>
      </c>
      <c r="N854" s="18">
        <f t="shared" si="164"/>
      </c>
    </row>
    <row r="855" spans="3:14" x14ac:dyDescent="0.3">
      <c r="C855" s="5">
        <f t="shared" si="165"/>
      </c>
      <c r="D855" s="5">
        <f t="shared" si="166"/>
      </c>
      <c r="E855" s="70"/>
      <c r="F855" s="5">
        <f t="shared" si="167"/>
      </c>
      <c r="G855" s="5">
        <f t="shared" si="157"/>
      </c>
      <c r="H855" s="70">
        <f t="shared" si="158"/>
      </c>
      <c r="I855" s="5">
        <f t="shared" si="159"/>
        <v/>
      </c>
      <c r="J855" s="5">
        <f t="shared" si="160"/>
      </c>
      <c r="K855" s="5">
        <f t="shared" si="161"/>
      </c>
      <c r="L855" s="5">
        <f t="shared" si="162"/>
      </c>
      <c r="M855">
        <f t="shared" si="163"/>
      </c>
      <c r="N855" s="18">
        <f t="shared" si="164"/>
      </c>
    </row>
    <row r="856" spans="3:14" x14ac:dyDescent="0.3">
      <c r="C856" s="5">
        <f t="shared" si="165"/>
      </c>
      <c r="D856" s="5">
        <f t="shared" si="166"/>
      </c>
      <c r="E856" s="70"/>
      <c r="F856" s="5">
        <f t="shared" si="167"/>
      </c>
      <c r="G856" s="5">
        <f t="shared" si="157"/>
      </c>
      <c r="H856" s="70">
        <f t="shared" si="158"/>
      </c>
      <c r="I856" s="5">
        <f t="shared" si="159"/>
        <v/>
      </c>
      <c r="J856" s="5">
        <f t="shared" si="160"/>
      </c>
      <c r="K856" s="5">
        <f t="shared" si="161"/>
      </c>
      <c r="L856" s="5">
        <f t="shared" si="162"/>
      </c>
      <c r="M856">
        <f t="shared" si="163"/>
      </c>
      <c r="N856" s="18">
        <f t="shared" si="164"/>
      </c>
    </row>
    <row r="857" spans="3:14" x14ac:dyDescent="0.3">
      <c r="C857" s="5">
        <f t="shared" si="165"/>
      </c>
      <c r="D857" s="5">
        <f t="shared" si="166"/>
      </c>
      <c r="E857" s="70"/>
      <c r="F857" s="5">
        <f t="shared" si="167"/>
      </c>
      <c r="G857" s="5">
        <f t="shared" si="157"/>
      </c>
      <c r="H857" s="70">
        <f t="shared" si="158"/>
      </c>
      <c r="I857" s="5">
        <f t="shared" si="159"/>
        <v/>
      </c>
      <c r="J857" s="5">
        <f t="shared" si="160"/>
      </c>
      <c r="K857" s="5">
        <f t="shared" si="161"/>
      </c>
      <c r="L857" s="5">
        <f t="shared" si="162"/>
      </c>
      <c r="M857">
        <f t="shared" si="163"/>
      </c>
      <c r="N857" s="18">
        <f t="shared" si="164"/>
      </c>
    </row>
    <row r="858" spans="3:14" x14ac:dyDescent="0.3">
      <c r="C858" s="5">
        <f t="shared" si="165"/>
      </c>
      <c r="D858" s="5">
        <f t="shared" si="166"/>
      </c>
      <c r="E858" s="70"/>
      <c r="F858" s="5">
        <f t="shared" si="167"/>
      </c>
      <c r="G858" s="5">
        <f t="shared" si="157"/>
      </c>
      <c r="H858" s="70">
        <f t="shared" si="158"/>
      </c>
      <c r="I858" s="5">
        <f t="shared" si="159"/>
        <v/>
      </c>
      <c r="J858" s="5">
        <f t="shared" si="160"/>
      </c>
      <c r="K858" s="5">
        <f t="shared" si="161"/>
      </c>
      <c r="L858" s="5">
        <f t="shared" si="162"/>
      </c>
      <c r="M858">
        <f t="shared" si="163"/>
      </c>
      <c r="N858" s="18">
        <f t="shared" si="164"/>
      </c>
    </row>
    <row r="859" spans="3:14" x14ac:dyDescent="0.3">
      <c r="C859" s="5">
        <f t="shared" si="165"/>
      </c>
      <c r="D859" s="5">
        <f t="shared" si="166"/>
      </c>
      <c r="E859" s="70"/>
      <c r="F859" s="5">
        <f t="shared" si="167"/>
      </c>
      <c r="G859" s="5">
        <f t="shared" si="157"/>
      </c>
      <c r="H859" s="70">
        <f t="shared" si="158"/>
      </c>
      <c r="I859" s="5">
        <f t="shared" si="159"/>
        <v/>
      </c>
      <c r="J859" s="5">
        <f t="shared" si="160"/>
      </c>
      <c r="K859" s="5">
        <f t="shared" si="161"/>
      </c>
      <c r="L859" s="5">
        <f t="shared" si="162"/>
      </c>
      <c r="M859">
        <f t="shared" si="163"/>
      </c>
      <c r="N859" s="18">
        <f t="shared" si="164"/>
      </c>
    </row>
    <row r="860" spans="3:14" x14ac:dyDescent="0.3">
      <c r="C860" s="5">
        <f t="shared" si="165"/>
      </c>
      <c r="D860" s="5">
        <f t="shared" si="166"/>
      </c>
      <c r="E860" s="70"/>
      <c r="F860" s="5">
        <f t="shared" si="167"/>
      </c>
      <c r="G860" s="5">
        <f t="shared" si="157"/>
      </c>
      <c r="H860" s="70">
        <f t="shared" si="158"/>
      </c>
      <c r="I860" s="5">
        <f t="shared" si="159"/>
        <v/>
      </c>
      <c r="J860" s="5">
        <f t="shared" si="160"/>
      </c>
      <c r="K860" s="5">
        <f t="shared" si="161"/>
      </c>
      <c r="L860" s="5">
        <f t="shared" si="162"/>
      </c>
      <c r="M860">
        <f t="shared" si="163"/>
      </c>
      <c r="N860" s="18">
        <f t="shared" si="164"/>
      </c>
    </row>
    <row r="861" spans="3:14" x14ac:dyDescent="0.3">
      <c r="C861" s="5">
        <f t="shared" si="165"/>
      </c>
      <c r="D861" s="5">
        <f t="shared" si="166"/>
      </c>
      <c r="E861" s="70"/>
      <c r="F861" s="5">
        <f t="shared" si="167"/>
      </c>
      <c r="G861" s="5">
        <f t="shared" si="157"/>
      </c>
      <c r="H861" s="70">
        <f t="shared" si="158"/>
      </c>
      <c r="I861" s="5">
        <f t="shared" si="159"/>
        <v/>
      </c>
      <c r="J861" s="5">
        <f t="shared" si="160"/>
      </c>
      <c r="K861" s="5">
        <f t="shared" si="161"/>
      </c>
      <c r="L861" s="5">
        <f t="shared" si="162"/>
      </c>
      <c r="M861">
        <f t="shared" si="163"/>
      </c>
      <c r="N861" s="18">
        <f t="shared" si="164"/>
      </c>
    </row>
    <row r="862" spans="3:14" x14ac:dyDescent="0.3">
      <c r="C862" s="5">
        <f t="shared" si="165"/>
      </c>
      <c r="D862" s="5">
        <f t="shared" si="166"/>
      </c>
      <c r="E862" s="70"/>
      <c r="F862" s="5">
        <f t="shared" si="167"/>
      </c>
      <c r="G862" s="5">
        <f t="shared" si="157"/>
      </c>
      <c r="H862" s="70">
        <f t="shared" si="158"/>
      </c>
      <c r="I862" s="5">
        <f t="shared" si="159"/>
        <v/>
      </c>
      <c r="J862" s="5">
        <f t="shared" si="160"/>
      </c>
      <c r="K862" s="5">
        <f t="shared" si="161"/>
      </c>
      <c r="L862" s="5">
        <f t="shared" si="162"/>
      </c>
      <c r="M862">
        <f t="shared" si="163"/>
      </c>
      <c r="N862" s="18">
        <f t="shared" si="164"/>
      </c>
    </row>
    <row r="863" spans="3:14" x14ac:dyDescent="0.3">
      <c r="C863" s="5">
        <f t="shared" si="165"/>
      </c>
      <c r="D863" s="5">
        <f t="shared" si="166"/>
      </c>
      <c r="E863" s="70"/>
      <c r="F863" s="5">
        <f t="shared" si="167"/>
      </c>
      <c r="G863" s="5">
        <f t="shared" si="157"/>
      </c>
      <c r="H863" s="70">
        <f t="shared" si="158"/>
      </c>
      <c r="I863" s="5">
        <f t="shared" si="159"/>
        <v/>
      </c>
      <c r="J863" s="5">
        <f t="shared" si="160"/>
      </c>
      <c r="K863" s="5">
        <f t="shared" si="161"/>
      </c>
      <c r="L863" s="5">
        <f t="shared" si="162"/>
      </c>
      <c r="M863">
        <f t="shared" si="163"/>
      </c>
      <c r="N863" s="18">
        <f t="shared" si="164"/>
      </c>
    </row>
    <row r="864" spans="3:14" x14ac:dyDescent="0.3">
      <c r="C864" s="5">
        <f t="shared" si="165"/>
      </c>
      <c r="D864" s="5">
        <f t="shared" si="166"/>
      </c>
      <c r="E864" s="70"/>
      <c r="F864" s="5">
        <f t="shared" si="167"/>
      </c>
      <c r="G864" s="5">
        <f t="shared" si="157"/>
      </c>
      <c r="H864" s="70">
        <f t="shared" si="158"/>
      </c>
      <c r="I864" s="5">
        <f t="shared" si="159"/>
        <v/>
      </c>
      <c r="J864" s="5">
        <f t="shared" si="160"/>
      </c>
      <c r="K864" s="5">
        <f t="shared" si="161"/>
      </c>
      <c r="L864" s="5">
        <f t="shared" si="162"/>
      </c>
      <c r="M864">
        <f t="shared" si="163"/>
      </c>
      <c r="N864" s="18">
        <f t="shared" si="164"/>
      </c>
    </row>
    <row r="865" spans="3:14" x14ac:dyDescent="0.3">
      <c r="C865" s="5">
        <f t="shared" si="165"/>
      </c>
      <c r="D865" s="5">
        <f t="shared" si="166"/>
      </c>
      <c r="E865" s="70"/>
      <c r="F865" s="5">
        <f t="shared" si="167"/>
      </c>
      <c r="G865" s="5">
        <f t="shared" si="157"/>
      </c>
      <c r="H865" s="70">
        <f t="shared" si="158"/>
      </c>
      <c r="I865" s="5">
        <f t="shared" si="159"/>
        <v/>
      </c>
      <c r="J865" s="5">
        <f t="shared" si="160"/>
      </c>
      <c r="K865" s="5">
        <f t="shared" si="161"/>
      </c>
      <c r="L865" s="5">
        <f t="shared" si="162"/>
      </c>
      <c r="M865">
        <f t="shared" si="163"/>
      </c>
      <c r="N865" s="18">
        <f t="shared" si="164"/>
      </c>
    </row>
    <row r="866" spans="3:14" x14ac:dyDescent="0.3">
      <c r="C866" s="5">
        <f t="shared" si="165"/>
      </c>
      <c r="D866" s="5">
        <f t="shared" si="166"/>
      </c>
      <c r="E866" s="70"/>
      <c r="F866" s="5">
        <f t="shared" si="167"/>
      </c>
      <c r="G866" s="5">
        <f t="shared" si="157"/>
      </c>
      <c r="H866" s="70">
        <f t="shared" si="158"/>
      </c>
      <c r="I866" s="5">
        <f t="shared" si="159"/>
        <v/>
      </c>
      <c r="J866" s="5">
        <f t="shared" si="160"/>
      </c>
      <c r="K866" s="5">
        <f t="shared" si="161"/>
      </c>
      <c r="L866" s="5">
        <f t="shared" si="162"/>
      </c>
      <c r="M866">
        <f t="shared" si="163"/>
      </c>
      <c r="N866" s="18">
        <f t="shared" si="164"/>
      </c>
    </row>
    <row r="867" spans="3:14" x14ac:dyDescent="0.3">
      <c r="C867" s="5">
        <f t="shared" si="165"/>
      </c>
      <c r="D867" s="5">
        <f t="shared" si="166"/>
      </c>
      <c r="E867" s="70"/>
      <c r="F867" s="5">
        <f t="shared" si="167"/>
      </c>
      <c r="G867" s="5">
        <f t="shared" si="157"/>
      </c>
      <c r="H867" s="70">
        <f t="shared" si="158"/>
      </c>
      <c r="I867" s="5">
        <f t="shared" si="159"/>
        <v/>
      </c>
      <c r="J867" s="5">
        <f t="shared" si="160"/>
      </c>
      <c r="K867" s="5">
        <f t="shared" si="161"/>
      </c>
      <c r="L867" s="5">
        <f t="shared" si="162"/>
      </c>
      <c r="M867">
        <f t="shared" si="163"/>
      </c>
      <c r="N867" s="18">
        <f t="shared" si="164"/>
      </c>
    </row>
    <row r="868" spans="3:14" x14ac:dyDescent="0.3">
      <c r="C868" s="5">
        <f t="shared" si="165"/>
      </c>
      <c r="D868" s="5">
        <f t="shared" si="166"/>
      </c>
      <c r="E868" s="70"/>
      <c r="F868" s="5">
        <f t="shared" si="167"/>
      </c>
      <c r="G868" s="5">
        <f t="shared" si="157"/>
      </c>
      <c r="H868" s="70">
        <f t="shared" si="158"/>
      </c>
      <c r="I868" s="5">
        <f t="shared" si="159"/>
        <v/>
      </c>
      <c r="J868" s="5">
        <f t="shared" si="160"/>
      </c>
      <c r="K868" s="5">
        <f t="shared" si="161"/>
      </c>
      <c r="L868" s="5">
        <f t="shared" si="162"/>
      </c>
      <c r="M868">
        <f t="shared" si="163"/>
      </c>
      <c r="N868" s="18">
        <f t="shared" si="164"/>
      </c>
    </row>
    <row r="869" spans="3:14" x14ac:dyDescent="0.3">
      <c r="C869" s="5">
        <f t="shared" si="165"/>
      </c>
      <c r="D869" s="5">
        <f t="shared" si="166"/>
      </c>
      <c r="E869" s="70"/>
      <c r="F869" s="5">
        <f t="shared" si="167"/>
      </c>
      <c r="G869" s="5">
        <f t="shared" si="157"/>
      </c>
      <c r="H869" s="70">
        <f t="shared" si="158"/>
      </c>
      <c r="I869" s="5">
        <f t="shared" si="159"/>
        <v/>
      </c>
      <c r="J869" s="5">
        <f t="shared" si="160"/>
      </c>
      <c r="K869" s="5">
        <f t="shared" si="161"/>
      </c>
      <c r="L869" s="5">
        <f t="shared" si="162"/>
      </c>
      <c r="M869">
        <f t="shared" si="163"/>
      </c>
      <c r="N869" s="18">
        <f t="shared" si="164"/>
      </c>
    </row>
    <row r="870" spans="3:14" x14ac:dyDescent="0.3">
      <c r="C870" s="5">
        <f t="shared" si="165"/>
      </c>
      <c r="D870" s="5">
        <f t="shared" si="166"/>
      </c>
      <c r="E870" s="70"/>
      <c r="F870" s="5">
        <f t="shared" si="167"/>
      </c>
      <c r="G870" s="5">
        <f t="shared" si="157"/>
      </c>
      <c r="H870" s="70">
        <f t="shared" si="158"/>
      </c>
      <c r="I870" s="5">
        <f t="shared" si="159"/>
        <v/>
      </c>
      <c r="J870" s="5">
        <f t="shared" si="160"/>
      </c>
      <c r="K870" s="5">
        <f t="shared" si="161"/>
      </c>
      <c r="L870" s="5">
        <f t="shared" si="162"/>
      </c>
      <c r="M870">
        <f t="shared" si="163"/>
      </c>
      <c r="N870" s="18">
        <f t="shared" si="164"/>
      </c>
    </row>
    <row r="871" spans="3:14" x14ac:dyDescent="0.3">
      <c r="C871" s="5">
        <f t="shared" si="165"/>
      </c>
      <c r="D871" s="5">
        <f t="shared" si="166"/>
      </c>
      <c r="E871" s="70"/>
      <c r="F871" s="5">
        <f t="shared" si="167"/>
      </c>
      <c r="G871" s="5">
        <f t="shared" si="157"/>
      </c>
      <c r="H871" s="70">
        <f t="shared" si="158"/>
      </c>
      <c r="I871" s="5">
        <f t="shared" si="159"/>
        <v/>
      </c>
      <c r="J871" s="5">
        <f t="shared" si="160"/>
      </c>
      <c r="K871" s="5">
        <f t="shared" si="161"/>
      </c>
      <c r="L871" s="5">
        <f t="shared" si="162"/>
      </c>
      <c r="M871">
        <f t="shared" si="163"/>
      </c>
      <c r="N871" s="18">
        <f t="shared" si="164"/>
      </c>
    </row>
    <row r="872" spans="3:14" x14ac:dyDescent="0.3">
      <c r="C872" s="5">
        <f t="shared" si="165"/>
      </c>
      <c r="D872" s="5">
        <f t="shared" si="166"/>
      </c>
      <c r="E872" s="70"/>
      <c r="F872" s="5">
        <f t="shared" si="167"/>
      </c>
      <c r="G872" s="5">
        <f t="shared" si="157"/>
      </c>
      <c r="H872" s="70">
        <f t="shared" si="158"/>
      </c>
      <c r="I872" s="5">
        <f t="shared" si="159"/>
        <v/>
      </c>
      <c r="J872" s="5">
        <f t="shared" si="160"/>
      </c>
      <c r="K872" s="5">
        <f t="shared" si="161"/>
      </c>
      <c r="L872" s="5">
        <f t="shared" si="162"/>
      </c>
      <c r="M872">
        <f t="shared" si="163"/>
      </c>
      <c r="N872" s="18">
        <f t="shared" si="164"/>
      </c>
    </row>
    <row r="873" spans="3:14" x14ac:dyDescent="0.3">
      <c r="C873" s="5">
        <f t="shared" si="165"/>
      </c>
      <c r="D873" s="5">
        <f t="shared" si="166"/>
      </c>
      <c r="E873" s="70"/>
      <c r="F873" s="5">
        <f t="shared" si="167"/>
      </c>
      <c r="G873" s="5">
        <f t="shared" si="157"/>
      </c>
      <c r="H873" s="70">
        <f t="shared" si="158"/>
      </c>
      <c r="I873" s="5">
        <f t="shared" si="159"/>
        <v/>
      </c>
      <c r="J873" s="5">
        <f t="shared" si="160"/>
      </c>
      <c r="K873" s="5">
        <f t="shared" si="161"/>
      </c>
      <c r="L873" s="5">
        <f t="shared" si="162"/>
      </c>
      <c r="M873">
        <f t="shared" si="163"/>
      </c>
      <c r="N873" s="18">
        <f t="shared" si="164"/>
      </c>
    </row>
    <row r="874" spans="3:14" x14ac:dyDescent="0.3">
      <c r="C874" s="5">
        <f t="shared" si="165"/>
      </c>
      <c r="D874" s="5">
        <f t="shared" si="166"/>
      </c>
      <c r="E874" s="70"/>
      <c r="F874" s="5">
        <f t="shared" si="167"/>
      </c>
      <c r="G874" s="5">
        <f t="shared" si="157"/>
      </c>
      <c r="H874" s="70">
        <f t="shared" si="158"/>
      </c>
      <c r="I874" s="5">
        <f t="shared" si="159"/>
        <v/>
      </c>
      <c r="J874" s="5">
        <f t="shared" si="160"/>
      </c>
      <c r="K874" s="5">
        <f t="shared" si="161"/>
      </c>
      <c r="L874" s="5">
        <f t="shared" si="162"/>
      </c>
      <c r="M874">
        <f t="shared" si="163"/>
      </c>
      <c r="N874" s="18">
        <f t="shared" si="164"/>
      </c>
    </row>
    <row r="875" spans="3:14" x14ac:dyDescent="0.3">
      <c r="C875" s="5">
        <f t="shared" si="165"/>
      </c>
      <c r="D875" s="5">
        <f t="shared" si="166"/>
      </c>
      <c r="E875" s="70"/>
      <c r="F875" s="5">
        <f t="shared" si="167"/>
      </c>
      <c r="G875" s="5">
        <f t="shared" si="157"/>
      </c>
      <c r="H875" s="70">
        <f t="shared" si="158"/>
      </c>
      <c r="I875" s="5">
        <f t="shared" si="159"/>
        <v/>
      </c>
      <c r="J875" s="5">
        <f t="shared" si="160"/>
      </c>
      <c r="K875" s="5">
        <f t="shared" si="161"/>
      </c>
      <c r="L875" s="5">
        <f t="shared" si="162"/>
      </c>
      <c r="M875">
        <f t="shared" si="163"/>
      </c>
      <c r="N875" s="18">
        <f t="shared" si="164"/>
      </c>
    </row>
    <row r="876" spans="3:14" x14ac:dyDescent="0.3">
      <c r="C876" s="5">
        <f t="shared" si="165"/>
      </c>
      <c r="D876" s="5">
        <f t="shared" si="166"/>
      </c>
      <c r="E876" s="70"/>
      <c r="F876" s="5">
        <f t="shared" si="167"/>
      </c>
      <c r="G876" s="5">
        <f t="shared" si="157"/>
      </c>
      <c r="H876" s="70">
        <f t="shared" si="158"/>
      </c>
      <c r="I876" s="5">
        <f t="shared" si="159"/>
        <v/>
      </c>
      <c r="J876" s="5">
        <f t="shared" si="160"/>
      </c>
      <c r="K876" s="5">
        <f t="shared" si="161"/>
      </c>
      <c r="L876" s="5">
        <f t="shared" si="162"/>
      </c>
      <c r="M876">
        <f t="shared" si="163"/>
      </c>
      <c r="N876" s="18">
        <f t="shared" si="164"/>
      </c>
    </row>
    <row r="877" spans="3:14" x14ac:dyDescent="0.3">
      <c r="C877" s="5">
        <f t="shared" si="165"/>
      </c>
      <c r="D877" s="5">
        <f t="shared" si="166"/>
      </c>
      <c r="E877" s="70"/>
      <c r="F877" s="5">
        <f t="shared" si="167"/>
      </c>
      <c r="G877" s="5">
        <f t="shared" si="157"/>
      </c>
      <c r="H877" s="70">
        <f t="shared" si="158"/>
      </c>
      <c r="I877" s="5">
        <f t="shared" si="159"/>
        <v/>
      </c>
      <c r="J877" s="5">
        <f t="shared" si="160"/>
      </c>
      <c r="K877" s="5">
        <f t="shared" si="161"/>
      </c>
      <c r="L877" s="5">
        <f t="shared" si="162"/>
      </c>
      <c r="M877">
        <f t="shared" si="163"/>
      </c>
      <c r="N877" s="18">
        <f t="shared" si="164"/>
      </c>
    </row>
    <row r="878" spans="3:14" x14ac:dyDescent="0.3">
      <c r="C878" s="5">
        <f t="shared" si="165"/>
      </c>
      <c r="D878" s="5">
        <f t="shared" si="166"/>
      </c>
      <c r="E878" s="70"/>
      <c r="F878" s="5">
        <f t="shared" si="167"/>
      </c>
      <c r="G878" s="5">
        <f t="shared" si="157"/>
      </c>
      <c r="H878" s="70">
        <f t="shared" si="158"/>
      </c>
      <c r="I878" s="5">
        <f t="shared" si="159"/>
        <v/>
      </c>
      <c r="J878" s="5">
        <f t="shared" si="160"/>
      </c>
      <c r="K878" s="5">
        <f t="shared" si="161"/>
      </c>
      <c r="L878" s="5">
        <f t="shared" si="162"/>
      </c>
      <c r="M878">
        <f t="shared" si="163"/>
      </c>
      <c r="N878" s="18">
        <f t="shared" si="164"/>
      </c>
    </row>
    <row r="879" spans="3:14" x14ac:dyDescent="0.3">
      <c r="C879" s="5">
        <f t="shared" si="165"/>
      </c>
      <c r="D879" s="5">
        <f t="shared" si="166"/>
      </c>
      <c r="E879" s="70"/>
      <c r="F879" s="5">
        <f t="shared" si="167"/>
      </c>
      <c r="G879" s="5">
        <f t="shared" si="157"/>
      </c>
      <c r="H879" s="70">
        <f t="shared" si="158"/>
      </c>
      <c r="I879" s="5">
        <f t="shared" si="159"/>
        <v/>
      </c>
      <c r="J879" s="5">
        <f t="shared" si="160"/>
      </c>
      <c r="K879" s="5">
        <f t="shared" si="161"/>
      </c>
      <c r="L879" s="5">
        <f t="shared" si="162"/>
      </c>
      <c r="M879">
        <f t="shared" si="163"/>
      </c>
      <c r="N879" s="18">
        <f t="shared" si="164"/>
      </c>
    </row>
    <row r="880" spans="3:14" x14ac:dyDescent="0.3">
      <c r="C880" s="5">
        <f t="shared" si="165"/>
      </c>
      <c r="D880" s="5">
        <f t="shared" si="166"/>
      </c>
      <c r="E880" s="70"/>
      <c r="F880" s="5">
        <f t="shared" si="167"/>
      </c>
      <c r="G880" s="5">
        <f t="shared" si="157"/>
      </c>
      <c r="H880" s="70">
        <f t="shared" si="158"/>
      </c>
      <c r="I880" s="5">
        <f t="shared" si="159"/>
        <v/>
      </c>
      <c r="J880" s="5">
        <f t="shared" si="160"/>
      </c>
      <c r="K880" s="5">
        <f t="shared" si="161"/>
      </c>
      <c r="L880" s="5">
        <f t="shared" si="162"/>
      </c>
      <c r="M880">
        <f t="shared" si="163"/>
      </c>
      <c r="N880" s="18">
        <f t="shared" si="164"/>
      </c>
    </row>
    <row r="881" spans="3:14" x14ac:dyDescent="0.3">
      <c r="C881" s="5">
        <f t="shared" si="165"/>
      </c>
      <c r="D881" s="5">
        <f t="shared" si="166"/>
      </c>
      <c r="E881" s="70"/>
      <c r="F881" s="5">
        <f t="shared" si="167"/>
      </c>
      <c r="G881" s="5">
        <f t="shared" si="157"/>
      </c>
      <c r="H881" s="70">
        <f t="shared" si="158"/>
      </c>
      <c r="I881" s="5">
        <f t="shared" si="159"/>
        <v/>
      </c>
      <c r="J881" s="5">
        <f t="shared" si="160"/>
      </c>
      <c r="K881" s="5">
        <f t="shared" si="161"/>
      </c>
      <c r="L881" s="5">
        <f t="shared" si="162"/>
      </c>
      <c r="M881">
        <f t="shared" si="163"/>
      </c>
      <c r="N881" s="18">
        <f t="shared" si="164"/>
      </c>
    </row>
    <row r="882" spans="3:14" x14ac:dyDescent="0.3">
      <c r="C882" s="5">
        <f t="shared" si="165"/>
      </c>
      <c r="D882" s="5">
        <f t="shared" si="166"/>
      </c>
      <c r="E882" s="70"/>
      <c r="F882" s="5">
        <f t="shared" si="167"/>
      </c>
      <c r="G882" s="5">
        <f t="shared" si="157"/>
      </c>
      <c r="H882" s="70">
        <f t="shared" si="158"/>
      </c>
      <c r="I882" s="5">
        <f t="shared" si="159"/>
        <v/>
      </c>
      <c r="J882" s="5">
        <f t="shared" si="160"/>
      </c>
      <c r="K882" s="5">
        <f t="shared" si="161"/>
      </c>
      <c r="L882" s="5">
        <f t="shared" si="162"/>
      </c>
      <c r="M882">
        <f t="shared" si="163"/>
      </c>
      <c r="N882" s="18">
        <f t="shared" si="164"/>
      </c>
    </row>
    <row r="883" spans="3:14" x14ac:dyDescent="0.3">
      <c r="C883" s="5">
        <f t="shared" si="165"/>
      </c>
      <c r="D883" s="5">
        <f t="shared" si="166"/>
      </c>
      <c r="E883" s="70"/>
      <c r="F883" s="5">
        <f t="shared" si="167"/>
      </c>
      <c r="G883" s="5">
        <f t="shared" si="157"/>
      </c>
      <c r="H883" s="70">
        <f t="shared" si="158"/>
      </c>
      <c r="I883" s="5">
        <f t="shared" si="159"/>
        <v/>
      </c>
      <c r="J883" s="5">
        <f t="shared" si="160"/>
      </c>
      <c r="K883" s="5">
        <f t="shared" si="161"/>
      </c>
      <c r="L883" s="5">
        <f t="shared" si="162"/>
      </c>
      <c r="M883">
        <f t="shared" si="163"/>
      </c>
      <c r="N883" s="18">
        <f t="shared" si="164"/>
      </c>
    </row>
    <row r="884" spans="3:14" x14ac:dyDescent="0.3">
      <c r="C884" s="5">
        <f t="shared" si="165"/>
      </c>
      <c r="D884" s="5">
        <f t="shared" si="166"/>
      </c>
      <c r="E884" s="70"/>
      <c r="F884" s="5">
        <f t="shared" si="167"/>
      </c>
      <c r="G884" s="5">
        <f t="shared" si="157"/>
      </c>
      <c r="H884" s="70">
        <f t="shared" si="158"/>
      </c>
      <c r="I884" s="5">
        <f t="shared" si="159"/>
        <v/>
      </c>
      <c r="J884" s="5">
        <f t="shared" si="160"/>
      </c>
      <c r="K884" s="5">
        <f t="shared" si="161"/>
      </c>
      <c r="L884" s="5">
        <f t="shared" si="162"/>
      </c>
      <c r="M884">
        <f t="shared" si="163"/>
      </c>
      <c r="N884" s="18">
        <f t="shared" si="164"/>
      </c>
    </row>
    <row r="885" spans="3:14" x14ac:dyDescent="0.3">
      <c r="C885" s="5">
        <f t="shared" si="165"/>
      </c>
      <c r="D885" s="5">
        <f t="shared" si="166"/>
      </c>
      <c r="E885" s="70"/>
      <c r="F885" s="5">
        <f t="shared" si="167"/>
      </c>
      <c r="G885" s="5">
        <f t="shared" ref="G885:G948" si="168">IF(E885="упр","",IF(E885=0,F885,IF(E885="1,2,3","L1,L2,L3","L"&amp;E885)))</f>
      </c>
      <c r="H885" s="70">
        <f t="shared" ref="H885:H948" si="169">VLOOKUP(D885,Исходные_данные,5,FALSE)</f>
      </c>
      <c r="I885" s="5">
        <f t="shared" ref="I885:I948" si="170">IFERROR(VLOOKUP(D885,Исходные_данные,36,FALSE),"")</f>
        <v/>
      </c>
      <c r="J885" s="5">
        <f t="shared" ref="J885:J948" si="171">VLOOKUP(D885,Исходные_данные,46,FALSE)</f>
      </c>
      <c r="K885" s="5">
        <f t="shared" ref="K885:K948" si="172">VLOOKUP(D885,Исходные_данные,16,FALSE)</f>
      </c>
      <c r="L885" s="5">
        <f t="shared" ref="L885:L948" si="173">H885*K885</f>
      </c>
      <c r="M885">
        <f t="shared" ref="M885:M948" si="174">IF(ISBLANK(E885),M884,E885)</f>
      </c>
      <c r="N885" s="18">
        <f t="shared" ref="N885:N948" si="175">C885&amp;G885</f>
      </c>
    </row>
    <row r="886" spans="3:14" x14ac:dyDescent="0.3">
      <c r="C886" s="5">
        <f t="shared" si="165"/>
      </c>
      <c r="D886" s="5">
        <f t="shared" si="166"/>
      </c>
      <c r="E886" s="70"/>
      <c r="F886" s="5">
        <f t="shared" si="167"/>
      </c>
      <c r="G886" s="5">
        <f t="shared" si="168"/>
      </c>
      <c r="H886" s="70">
        <f t="shared" si="169"/>
      </c>
      <c r="I886" s="5">
        <f t="shared" si="170"/>
        <v/>
      </c>
      <c r="J886" s="5">
        <f t="shared" si="171"/>
      </c>
      <c r="K886" s="5">
        <f t="shared" si="172"/>
      </c>
      <c r="L886" s="5">
        <f t="shared" si="173"/>
      </c>
      <c r="M886">
        <f t="shared" si="174"/>
      </c>
      <c r="N886" s="18">
        <f t="shared" si="175"/>
      </c>
    </row>
    <row r="887" spans="3:14" x14ac:dyDescent="0.3">
      <c r="C887" s="5">
        <f t="shared" si="165"/>
      </c>
      <c r="D887" s="5">
        <f t="shared" si="166"/>
      </c>
      <c r="E887" s="70"/>
      <c r="F887" s="5">
        <f t="shared" si="167"/>
      </c>
      <c r="G887" s="5">
        <f t="shared" si="168"/>
      </c>
      <c r="H887" s="70">
        <f t="shared" si="169"/>
      </c>
      <c r="I887" s="5">
        <f t="shared" si="170"/>
        <v/>
      </c>
      <c r="J887" s="5">
        <f t="shared" si="171"/>
      </c>
      <c r="K887" s="5">
        <f t="shared" si="172"/>
      </c>
      <c r="L887" s="5">
        <f t="shared" si="173"/>
      </c>
      <c r="M887">
        <f t="shared" si="174"/>
      </c>
      <c r="N887" s="18">
        <f t="shared" si="175"/>
      </c>
    </row>
    <row r="888" spans="3:14" x14ac:dyDescent="0.3">
      <c r="C888" s="5">
        <f t="shared" si="165"/>
      </c>
      <c r="D888" s="5">
        <f t="shared" si="166"/>
      </c>
      <c r="E888" s="70"/>
      <c r="F888" s="5">
        <f t="shared" si="167"/>
      </c>
      <c r="G888" s="5">
        <f t="shared" si="168"/>
      </c>
      <c r="H888" s="70">
        <f t="shared" si="169"/>
      </c>
      <c r="I888" s="5">
        <f t="shared" si="170"/>
        <v/>
      </c>
      <c r="J888" s="5">
        <f t="shared" si="171"/>
      </c>
      <c r="K888" s="5">
        <f t="shared" si="172"/>
      </c>
      <c r="L888" s="5">
        <f t="shared" si="173"/>
      </c>
      <c r="M888">
        <f t="shared" si="174"/>
      </c>
      <c r="N888" s="18">
        <f t="shared" si="175"/>
      </c>
    </row>
    <row r="889" spans="3:14" x14ac:dyDescent="0.3">
      <c r="C889" s="5">
        <f t="shared" si="165"/>
      </c>
      <c r="D889" s="5">
        <f t="shared" si="166"/>
      </c>
      <c r="E889" s="70"/>
      <c r="F889" s="5">
        <f t="shared" si="167"/>
      </c>
      <c r="G889" s="5">
        <f t="shared" si="168"/>
      </c>
      <c r="H889" s="70">
        <f t="shared" si="169"/>
      </c>
      <c r="I889" s="5">
        <f t="shared" si="170"/>
        <v/>
      </c>
      <c r="J889" s="5">
        <f t="shared" si="171"/>
      </c>
      <c r="K889" s="5">
        <f t="shared" si="172"/>
      </c>
      <c r="L889" s="5">
        <f t="shared" si="173"/>
      </c>
      <c r="M889">
        <f t="shared" si="174"/>
      </c>
      <c r="N889" s="18">
        <f t="shared" si="175"/>
      </c>
    </row>
    <row r="890" spans="3:14" x14ac:dyDescent="0.3">
      <c r="C890" s="5">
        <f t="shared" si="165"/>
      </c>
      <c r="D890" s="5">
        <f t="shared" si="166"/>
      </c>
      <c r="E890" s="70"/>
      <c r="F890" s="5">
        <f t="shared" si="167"/>
      </c>
      <c r="G890" s="5">
        <f t="shared" si="168"/>
      </c>
      <c r="H890" s="70">
        <f t="shared" si="169"/>
      </c>
      <c r="I890" s="5">
        <f t="shared" si="170"/>
        <v/>
      </c>
      <c r="J890" s="5">
        <f t="shared" si="171"/>
      </c>
      <c r="K890" s="5">
        <f t="shared" si="172"/>
      </c>
      <c r="L890" s="5">
        <f t="shared" si="173"/>
      </c>
      <c r="M890">
        <f t="shared" si="174"/>
      </c>
      <c r="N890" s="18">
        <f t="shared" si="175"/>
      </c>
    </row>
    <row r="891" spans="3:14" x14ac:dyDescent="0.3">
      <c r="C891" s="5">
        <f t="shared" si="165"/>
      </c>
      <c r="D891" s="5">
        <f t="shared" si="166"/>
      </c>
      <c r="E891" s="70"/>
      <c r="F891" s="5">
        <f t="shared" si="167"/>
      </c>
      <c r="G891" s="5">
        <f t="shared" si="168"/>
      </c>
      <c r="H891" s="70">
        <f t="shared" si="169"/>
      </c>
      <c r="I891" s="5">
        <f t="shared" si="170"/>
        <v/>
      </c>
      <c r="J891" s="5">
        <f t="shared" si="171"/>
      </c>
      <c r="K891" s="5">
        <f t="shared" si="172"/>
      </c>
      <c r="L891" s="5">
        <f t="shared" si="173"/>
      </c>
      <c r="M891">
        <f t="shared" si="174"/>
      </c>
      <c r="N891" s="18">
        <f t="shared" si="175"/>
      </c>
    </row>
    <row r="892" spans="3:14" x14ac:dyDescent="0.3">
      <c r="C892" s="5">
        <f t="shared" si="165"/>
      </c>
      <c r="D892" s="5">
        <f t="shared" si="166"/>
      </c>
      <c r="E892" s="70"/>
      <c r="F892" s="5">
        <f t="shared" si="167"/>
      </c>
      <c r="G892" s="5">
        <f t="shared" si="168"/>
      </c>
      <c r="H892" s="70">
        <f t="shared" si="169"/>
      </c>
      <c r="I892" s="5">
        <f t="shared" si="170"/>
        <v/>
      </c>
      <c r="J892" s="5">
        <f t="shared" si="171"/>
      </c>
      <c r="K892" s="5">
        <f t="shared" si="172"/>
      </c>
      <c r="L892" s="5">
        <f t="shared" si="173"/>
      </c>
      <c r="M892">
        <f t="shared" si="174"/>
      </c>
      <c r="N892" s="18">
        <f t="shared" si="175"/>
      </c>
    </row>
    <row r="893" spans="3:14" x14ac:dyDescent="0.3">
      <c r="C893" s="5">
        <f t="shared" si="165"/>
      </c>
      <c r="D893" s="5">
        <f t="shared" si="166"/>
      </c>
      <c r="E893" s="70"/>
      <c r="F893" s="5">
        <f t="shared" si="167"/>
      </c>
      <c r="G893" s="5">
        <f t="shared" si="168"/>
      </c>
      <c r="H893" s="70">
        <f t="shared" si="169"/>
      </c>
      <c r="I893" s="5">
        <f t="shared" si="170"/>
        <v/>
      </c>
      <c r="J893" s="5">
        <f t="shared" si="171"/>
      </c>
      <c r="K893" s="5">
        <f t="shared" si="172"/>
      </c>
      <c r="L893" s="5">
        <f t="shared" si="173"/>
      </c>
      <c r="M893">
        <f t="shared" si="174"/>
      </c>
      <c r="N893" s="18">
        <f t="shared" si="175"/>
      </c>
    </row>
    <row r="894" spans="3:14" x14ac:dyDescent="0.3">
      <c r="C894" s="5">
        <f t="shared" si="165"/>
      </c>
      <c r="D894" s="5">
        <f t="shared" si="166"/>
      </c>
      <c r="E894" s="70"/>
      <c r="F894" s="5">
        <f t="shared" si="167"/>
      </c>
      <c r="G894" s="5">
        <f t="shared" si="168"/>
      </c>
      <c r="H894" s="70">
        <f t="shared" si="169"/>
      </c>
      <c r="I894" s="5">
        <f t="shared" si="170"/>
        <v/>
      </c>
      <c r="J894" s="5">
        <f t="shared" si="171"/>
      </c>
      <c r="K894" s="5">
        <f t="shared" si="172"/>
      </c>
      <c r="L894" s="5">
        <f t="shared" si="173"/>
      </c>
      <c r="M894">
        <f t="shared" si="174"/>
      </c>
      <c r="N894" s="18">
        <f t="shared" si="175"/>
      </c>
    </row>
    <row r="895" spans="3:14" x14ac:dyDescent="0.3">
      <c r="C895" s="5">
        <f t="shared" si="165"/>
      </c>
      <c r="D895" s="5">
        <f t="shared" si="166"/>
      </c>
      <c r="E895" s="70"/>
      <c r="F895" s="5">
        <f t="shared" si="167"/>
      </c>
      <c r="G895" s="5">
        <f t="shared" si="168"/>
      </c>
      <c r="H895" s="70">
        <f t="shared" si="169"/>
      </c>
      <c r="I895" s="5">
        <f t="shared" si="170"/>
        <v/>
      </c>
      <c r="J895" s="5">
        <f t="shared" si="171"/>
      </c>
      <c r="K895" s="5">
        <f t="shared" si="172"/>
      </c>
      <c r="L895" s="5">
        <f t="shared" si="173"/>
      </c>
      <c r="M895">
        <f t="shared" si="174"/>
      </c>
      <c r="N895" s="18">
        <f t="shared" si="175"/>
      </c>
    </row>
    <row r="896" spans="3:14" x14ac:dyDescent="0.3">
      <c r="C896" s="5">
        <f t="shared" si="165"/>
      </c>
      <c r="D896" s="5">
        <f t="shared" si="166"/>
      </c>
      <c r="E896" s="70"/>
      <c r="F896" s="5">
        <f t="shared" si="167"/>
      </c>
      <c r="G896" s="5">
        <f t="shared" si="168"/>
      </c>
      <c r="H896" s="70">
        <f t="shared" si="169"/>
      </c>
      <c r="I896" s="5">
        <f t="shared" si="170"/>
        <v/>
      </c>
      <c r="J896" s="5">
        <f t="shared" si="171"/>
      </c>
      <c r="K896" s="5">
        <f t="shared" si="172"/>
      </c>
      <c r="L896" s="5">
        <f t="shared" si="173"/>
      </c>
      <c r="M896">
        <f t="shared" si="174"/>
      </c>
      <c r="N896" s="18">
        <f t="shared" si="175"/>
      </c>
    </row>
    <row r="897" spans="3:14" x14ac:dyDescent="0.3">
      <c r="C897" s="5">
        <f t="shared" si="165"/>
      </c>
      <c r="D897" s="5">
        <f t="shared" si="166"/>
      </c>
      <c r="E897" s="70"/>
      <c r="F897" s="5">
        <f t="shared" si="167"/>
      </c>
      <c r="G897" s="5">
        <f t="shared" si="168"/>
      </c>
      <c r="H897" s="70">
        <f t="shared" si="169"/>
      </c>
      <c r="I897" s="5">
        <f t="shared" si="170"/>
        <v/>
      </c>
      <c r="J897" s="5">
        <f t="shared" si="171"/>
      </c>
      <c r="K897" s="5">
        <f t="shared" si="172"/>
      </c>
      <c r="L897" s="5">
        <f t="shared" si="173"/>
      </c>
      <c r="M897">
        <f t="shared" si="174"/>
      </c>
      <c r="N897" s="18">
        <f t="shared" si="175"/>
      </c>
    </row>
    <row r="898" spans="3:14" x14ac:dyDescent="0.3">
      <c r="C898" s="5">
        <f t="shared" si="165"/>
      </c>
      <c r="D898" s="5">
        <f t="shared" si="166"/>
      </c>
      <c r="E898" s="70"/>
      <c r="F898" s="5">
        <f t="shared" si="167"/>
      </c>
      <c r="G898" s="5">
        <f t="shared" si="168"/>
      </c>
      <c r="H898" s="70">
        <f t="shared" si="169"/>
      </c>
      <c r="I898" s="5">
        <f t="shared" si="170"/>
        <v/>
      </c>
      <c r="J898" s="5">
        <f t="shared" si="171"/>
      </c>
      <c r="K898" s="5">
        <f t="shared" si="172"/>
      </c>
      <c r="L898" s="5">
        <f t="shared" si="173"/>
      </c>
      <c r="M898">
        <f t="shared" si="174"/>
      </c>
      <c r="N898" s="18">
        <f t="shared" si="175"/>
      </c>
    </row>
    <row r="899" spans="3:14" x14ac:dyDescent="0.3">
      <c r="C899" s="5">
        <f t="shared" ref="C899:C962" si="176">VLOOKUP(ROW(897:897),Разбивка_нумерация_5,2,FALSE)</f>
      </c>
      <c r="D899" s="5">
        <f t="shared" ref="D899:D962" si="177">VLOOKUP(ROW(897:897),Разбивка_нумерация_5,4,FALSE)</f>
      </c>
      <c r="E899" s="70"/>
      <c r="F899" s="5">
        <f t="shared" ref="F899:F962" si="178">VLOOKUP(ROW(897:897),Разбивка_нумерация_5,16,FALSE)</f>
      </c>
      <c r="G899" s="5">
        <f t="shared" si="168"/>
      </c>
      <c r="H899" s="70">
        <f t="shared" si="169"/>
      </c>
      <c r="I899" s="5">
        <f t="shared" si="170"/>
        <v/>
      </c>
      <c r="J899" s="5">
        <f t="shared" si="171"/>
      </c>
      <c r="K899" s="5">
        <f t="shared" si="172"/>
      </c>
      <c r="L899" s="5">
        <f t="shared" si="173"/>
      </c>
      <c r="M899">
        <f t="shared" si="174"/>
      </c>
      <c r="N899" s="18">
        <f t="shared" si="175"/>
      </c>
    </row>
    <row r="900" spans="3:14" x14ac:dyDescent="0.3">
      <c r="C900" s="5">
        <f t="shared" si="176"/>
      </c>
      <c r="D900" s="5">
        <f t="shared" si="177"/>
      </c>
      <c r="E900" s="70"/>
      <c r="F900" s="5">
        <f t="shared" si="178"/>
      </c>
      <c r="G900" s="5">
        <f t="shared" si="168"/>
      </c>
      <c r="H900" s="70">
        <f t="shared" si="169"/>
      </c>
      <c r="I900" s="5">
        <f t="shared" si="170"/>
        <v/>
      </c>
      <c r="J900" s="5">
        <f t="shared" si="171"/>
      </c>
      <c r="K900" s="5">
        <f t="shared" si="172"/>
      </c>
      <c r="L900" s="5">
        <f t="shared" si="173"/>
      </c>
      <c r="M900">
        <f t="shared" si="174"/>
      </c>
      <c r="N900" s="18">
        <f t="shared" si="175"/>
      </c>
    </row>
    <row r="901" spans="3:14" x14ac:dyDescent="0.3">
      <c r="C901" s="5">
        <f t="shared" si="176"/>
      </c>
      <c r="D901" s="5">
        <f t="shared" si="177"/>
      </c>
      <c r="E901" s="70"/>
      <c r="F901" s="5">
        <f t="shared" si="178"/>
      </c>
      <c r="G901" s="5">
        <f t="shared" si="168"/>
      </c>
      <c r="H901" s="70">
        <f t="shared" si="169"/>
      </c>
      <c r="I901" s="5">
        <f t="shared" si="170"/>
        <v/>
      </c>
      <c r="J901" s="5">
        <f t="shared" si="171"/>
      </c>
      <c r="K901" s="5">
        <f t="shared" si="172"/>
      </c>
      <c r="L901" s="5">
        <f t="shared" si="173"/>
      </c>
      <c r="M901">
        <f t="shared" si="174"/>
      </c>
      <c r="N901" s="18">
        <f t="shared" si="175"/>
      </c>
    </row>
    <row r="902" spans="3:14" x14ac:dyDescent="0.3">
      <c r="C902" s="5">
        <f t="shared" si="176"/>
      </c>
      <c r="D902" s="5">
        <f t="shared" si="177"/>
      </c>
      <c r="E902" s="70"/>
      <c r="F902" s="5">
        <f t="shared" si="178"/>
      </c>
      <c r="G902" s="5">
        <f t="shared" si="168"/>
      </c>
      <c r="H902" s="70">
        <f t="shared" si="169"/>
      </c>
      <c r="I902" s="5">
        <f t="shared" si="170"/>
        <v/>
      </c>
      <c r="J902" s="5">
        <f t="shared" si="171"/>
      </c>
      <c r="K902" s="5">
        <f t="shared" si="172"/>
      </c>
      <c r="L902" s="5">
        <f t="shared" si="173"/>
      </c>
      <c r="M902">
        <f t="shared" si="174"/>
      </c>
      <c r="N902" s="18">
        <f t="shared" si="175"/>
      </c>
    </row>
    <row r="903" spans="3:14" x14ac:dyDescent="0.3">
      <c r="C903" s="5">
        <f t="shared" si="176"/>
      </c>
      <c r="D903" s="5">
        <f t="shared" si="177"/>
      </c>
      <c r="E903" s="70"/>
      <c r="F903" s="5">
        <f t="shared" si="178"/>
      </c>
      <c r="G903" s="5">
        <f t="shared" si="168"/>
      </c>
      <c r="H903" s="70">
        <f t="shared" si="169"/>
      </c>
      <c r="I903" s="5">
        <f t="shared" si="170"/>
        <v/>
      </c>
      <c r="J903" s="5">
        <f t="shared" si="171"/>
      </c>
      <c r="K903" s="5">
        <f t="shared" si="172"/>
      </c>
      <c r="L903" s="5">
        <f t="shared" si="173"/>
      </c>
      <c r="M903">
        <f t="shared" si="174"/>
      </c>
      <c r="N903" s="18">
        <f t="shared" si="175"/>
      </c>
    </row>
    <row r="904" spans="3:14" x14ac:dyDescent="0.3">
      <c r="C904" s="5">
        <f t="shared" si="176"/>
      </c>
      <c r="D904" s="5">
        <f t="shared" si="177"/>
      </c>
      <c r="E904" s="70"/>
      <c r="F904" s="5">
        <f t="shared" si="178"/>
      </c>
      <c r="G904" s="5">
        <f t="shared" si="168"/>
      </c>
      <c r="H904" s="70">
        <f t="shared" si="169"/>
      </c>
      <c r="I904" s="5">
        <f t="shared" si="170"/>
        <v/>
      </c>
      <c r="J904" s="5">
        <f t="shared" si="171"/>
      </c>
      <c r="K904" s="5">
        <f t="shared" si="172"/>
      </c>
      <c r="L904" s="5">
        <f t="shared" si="173"/>
      </c>
      <c r="M904">
        <f t="shared" si="174"/>
      </c>
      <c r="N904" s="18">
        <f t="shared" si="175"/>
      </c>
    </row>
    <row r="905" spans="3:14" x14ac:dyDescent="0.3">
      <c r="C905" s="5">
        <f t="shared" si="176"/>
      </c>
      <c r="D905" s="5">
        <f t="shared" si="177"/>
      </c>
      <c r="E905" s="70"/>
      <c r="F905" s="5">
        <f t="shared" si="178"/>
      </c>
      <c r="G905" s="5">
        <f t="shared" si="168"/>
      </c>
      <c r="H905" s="70">
        <f t="shared" si="169"/>
      </c>
      <c r="I905" s="5">
        <f t="shared" si="170"/>
        <v/>
      </c>
      <c r="J905" s="5">
        <f t="shared" si="171"/>
      </c>
      <c r="K905" s="5">
        <f t="shared" si="172"/>
      </c>
      <c r="L905" s="5">
        <f t="shared" si="173"/>
      </c>
      <c r="M905">
        <f t="shared" si="174"/>
      </c>
      <c r="N905" s="18">
        <f t="shared" si="175"/>
      </c>
    </row>
    <row r="906" spans="3:14" x14ac:dyDescent="0.3">
      <c r="C906" s="5">
        <f t="shared" si="176"/>
      </c>
      <c r="D906" s="5">
        <f t="shared" si="177"/>
      </c>
      <c r="E906" s="70"/>
      <c r="F906" s="5">
        <f t="shared" si="178"/>
      </c>
      <c r="G906" s="5">
        <f t="shared" si="168"/>
      </c>
      <c r="H906" s="70">
        <f t="shared" si="169"/>
      </c>
      <c r="I906" s="5">
        <f t="shared" si="170"/>
        <v/>
      </c>
      <c r="J906" s="5">
        <f t="shared" si="171"/>
      </c>
      <c r="K906" s="5">
        <f t="shared" si="172"/>
      </c>
      <c r="L906" s="5">
        <f t="shared" si="173"/>
      </c>
      <c r="M906">
        <f t="shared" si="174"/>
      </c>
      <c r="N906" s="18">
        <f t="shared" si="175"/>
      </c>
    </row>
    <row r="907" spans="3:14" x14ac:dyDescent="0.3">
      <c r="C907" s="5">
        <f t="shared" si="176"/>
      </c>
      <c r="D907" s="5">
        <f t="shared" si="177"/>
      </c>
      <c r="E907" s="70"/>
      <c r="F907" s="5">
        <f t="shared" si="178"/>
      </c>
      <c r="G907" s="5">
        <f t="shared" si="168"/>
      </c>
      <c r="H907" s="70">
        <f t="shared" si="169"/>
      </c>
      <c r="I907" s="5">
        <f t="shared" si="170"/>
        <v/>
      </c>
      <c r="J907" s="5">
        <f t="shared" si="171"/>
      </c>
      <c r="K907" s="5">
        <f t="shared" si="172"/>
      </c>
      <c r="L907" s="5">
        <f t="shared" si="173"/>
      </c>
      <c r="M907">
        <f t="shared" si="174"/>
      </c>
      <c r="N907" s="18">
        <f t="shared" si="175"/>
      </c>
    </row>
    <row r="908" spans="3:14" x14ac:dyDescent="0.3">
      <c r="C908" s="5">
        <f t="shared" si="176"/>
      </c>
      <c r="D908" s="5">
        <f t="shared" si="177"/>
      </c>
      <c r="E908" s="70"/>
      <c r="F908" s="5">
        <f t="shared" si="178"/>
      </c>
      <c r="G908" s="5">
        <f t="shared" si="168"/>
      </c>
      <c r="H908" s="70">
        <f t="shared" si="169"/>
      </c>
      <c r="I908" s="5">
        <f t="shared" si="170"/>
        <v/>
      </c>
      <c r="J908" s="5">
        <f t="shared" si="171"/>
      </c>
      <c r="K908" s="5">
        <f t="shared" si="172"/>
      </c>
      <c r="L908" s="5">
        <f t="shared" si="173"/>
      </c>
      <c r="M908">
        <f t="shared" si="174"/>
      </c>
      <c r="N908" s="18">
        <f t="shared" si="175"/>
      </c>
    </row>
    <row r="909" spans="3:14" x14ac:dyDescent="0.3">
      <c r="C909" s="5">
        <f t="shared" si="176"/>
      </c>
      <c r="D909" s="5">
        <f t="shared" si="177"/>
      </c>
      <c r="E909" s="70"/>
      <c r="F909" s="5">
        <f t="shared" si="178"/>
      </c>
      <c r="G909" s="5">
        <f t="shared" si="168"/>
      </c>
      <c r="H909" s="70">
        <f t="shared" si="169"/>
      </c>
      <c r="I909" s="5">
        <f t="shared" si="170"/>
        <v/>
      </c>
      <c r="J909" s="5">
        <f t="shared" si="171"/>
      </c>
      <c r="K909" s="5">
        <f t="shared" si="172"/>
      </c>
      <c r="L909" s="5">
        <f t="shared" si="173"/>
      </c>
      <c r="M909">
        <f t="shared" si="174"/>
      </c>
      <c r="N909" s="18">
        <f t="shared" si="175"/>
      </c>
    </row>
    <row r="910" spans="3:14" x14ac:dyDescent="0.3">
      <c r="C910" s="5">
        <f t="shared" si="176"/>
      </c>
      <c r="D910" s="5">
        <f t="shared" si="177"/>
      </c>
      <c r="E910" s="70"/>
      <c r="F910" s="5">
        <f t="shared" si="178"/>
      </c>
      <c r="G910" s="5">
        <f t="shared" si="168"/>
      </c>
      <c r="H910" s="70">
        <f t="shared" si="169"/>
      </c>
      <c r="I910" s="5">
        <f t="shared" si="170"/>
        <v/>
      </c>
      <c r="J910" s="5">
        <f t="shared" si="171"/>
      </c>
      <c r="K910" s="5">
        <f t="shared" si="172"/>
      </c>
      <c r="L910" s="5">
        <f t="shared" si="173"/>
      </c>
      <c r="M910">
        <f t="shared" si="174"/>
      </c>
      <c r="N910" s="18">
        <f t="shared" si="175"/>
      </c>
    </row>
    <row r="911" spans="3:14" x14ac:dyDescent="0.3">
      <c r="C911" s="5">
        <f t="shared" si="176"/>
      </c>
      <c r="D911" s="5">
        <f t="shared" si="177"/>
      </c>
      <c r="E911" s="70"/>
      <c r="F911" s="5">
        <f t="shared" si="178"/>
      </c>
      <c r="G911" s="5">
        <f t="shared" si="168"/>
      </c>
      <c r="H911" s="70">
        <f t="shared" si="169"/>
      </c>
      <c r="I911" s="5">
        <f t="shared" si="170"/>
        <v/>
      </c>
      <c r="J911" s="5">
        <f t="shared" si="171"/>
      </c>
      <c r="K911" s="5">
        <f t="shared" si="172"/>
      </c>
      <c r="L911" s="5">
        <f t="shared" si="173"/>
      </c>
      <c r="M911">
        <f t="shared" si="174"/>
      </c>
      <c r="N911" s="18">
        <f t="shared" si="175"/>
      </c>
    </row>
    <row r="912" spans="3:14" x14ac:dyDescent="0.3">
      <c r="C912" s="5">
        <f t="shared" si="176"/>
      </c>
      <c r="D912" s="5">
        <f t="shared" si="177"/>
      </c>
      <c r="E912" s="70"/>
      <c r="F912" s="5">
        <f t="shared" si="178"/>
      </c>
      <c r="G912" s="5">
        <f t="shared" si="168"/>
      </c>
      <c r="H912" s="70">
        <f t="shared" si="169"/>
      </c>
      <c r="I912" s="5">
        <f t="shared" si="170"/>
        <v/>
      </c>
      <c r="J912" s="5">
        <f t="shared" si="171"/>
      </c>
      <c r="K912" s="5">
        <f t="shared" si="172"/>
      </c>
      <c r="L912" s="5">
        <f t="shared" si="173"/>
      </c>
      <c r="M912">
        <f t="shared" si="174"/>
      </c>
      <c r="N912" s="18">
        <f t="shared" si="175"/>
      </c>
    </row>
    <row r="913" spans="3:14" x14ac:dyDescent="0.3">
      <c r="C913" s="5">
        <f t="shared" si="176"/>
      </c>
      <c r="D913" s="5">
        <f t="shared" si="177"/>
      </c>
      <c r="E913" s="70"/>
      <c r="F913" s="5">
        <f t="shared" si="178"/>
      </c>
      <c r="G913" s="5">
        <f t="shared" si="168"/>
      </c>
      <c r="H913" s="70">
        <f t="shared" si="169"/>
      </c>
      <c r="I913" s="5">
        <f t="shared" si="170"/>
        <v/>
      </c>
      <c r="J913" s="5">
        <f t="shared" si="171"/>
      </c>
      <c r="K913" s="5">
        <f t="shared" si="172"/>
      </c>
      <c r="L913" s="5">
        <f t="shared" si="173"/>
      </c>
      <c r="M913">
        <f t="shared" si="174"/>
      </c>
      <c r="N913" s="18">
        <f t="shared" si="175"/>
      </c>
    </row>
    <row r="914" spans="3:14" x14ac:dyDescent="0.3">
      <c r="C914" s="5">
        <f t="shared" si="176"/>
      </c>
      <c r="D914" s="5">
        <f t="shared" si="177"/>
      </c>
      <c r="E914" s="70"/>
      <c r="F914" s="5">
        <f t="shared" si="178"/>
      </c>
      <c r="G914" s="5">
        <f t="shared" si="168"/>
      </c>
      <c r="H914" s="70">
        <f t="shared" si="169"/>
      </c>
      <c r="I914" s="5">
        <f t="shared" si="170"/>
        <v/>
      </c>
      <c r="J914" s="5">
        <f t="shared" si="171"/>
      </c>
      <c r="K914" s="5">
        <f t="shared" si="172"/>
      </c>
      <c r="L914" s="5">
        <f t="shared" si="173"/>
      </c>
      <c r="M914">
        <f t="shared" si="174"/>
      </c>
      <c r="N914" s="18">
        <f t="shared" si="175"/>
      </c>
    </row>
    <row r="915" spans="3:14" x14ac:dyDescent="0.3">
      <c r="C915" s="5">
        <f t="shared" si="176"/>
      </c>
      <c r="D915" s="5">
        <f t="shared" si="177"/>
      </c>
      <c r="E915" s="70"/>
      <c r="F915" s="5">
        <f t="shared" si="178"/>
      </c>
      <c r="G915" s="5">
        <f t="shared" si="168"/>
      </c>
      <c r="H915" s="70">
        <f t="shared" si="169"/>
      </c>
      <c r="I915" s="5">
        <f t="shared" si="170"/>
        <v/>
      </c>
      <c r="J915" s="5">
        <f t="shared" si="171"/>
      </c>
      <c r="K915" s="5">
        <f t="shared" si="172"/>
      </c>
      <c r="L915" s="5">
        <f t="shared" si="173"/>
      </c>
      <c r="M915">
        <f t="shared" si="174"/>
      </c>
      <c r="N915" s="18">
        <f t="shared" si="175"/>
      </c>
    </row>
    <row r="916" spans="3:14" x14ac:dyDescent="0.3">
      <c r="C916" s="5">
        <f t="shared" si="176"/>
      </c>
      <c r="D916" s="5">
        <f t="shared" si="177"/>
      </c>
      <c r="E916" s="70"/>
      <c r="F916" s="5">
        <f t="shared" si="178"/>
      </c>
      <c r="G916" s="5">
        <f t="shared" si="168"/>
      </c>
      <c r="H916" s="70">
        <f t="shared" si="169"/>
      </c>
      <c r="I916" s="5">
        <f t="shared" si="170"/>
        <v/>
      </c>
      <c r="J916" s="5">
        <f t="shared" si="171"/>
      </c>
      <c r="K916" s="5">
        <f t="shared" si="172"/>
      </c>
      <c r="L916" s="5">
        <f t="shared" si="173"/>
      </c>
      <c r="M916">
        <f t="shared" si="174"/>
      </c>
      <c r="N916" s="18">
        <f t="shared" si="175"/>
      </c>
    </row>
    <row r="917" spans="3:14" x14ac:dyDescent="0.3">
      <c r="C917" s="5">
        <f t="shared" si="176"/>
      </c>
      <c r="D917" s="5">
        <f t="shared" si="177"/>
      </c>
      <c r="E917" s="70"/>
      <c r="F917" s="5">
        <f t="shared" si="178"/>
      </c>
      <c r="G917" s="5">
        <f t="shared" si="168"/>
      </c>
      <c r="H917" s="70">
        <f t="shared" si="169"/>
      </c>
      <c r="I917" s="5">
        <f t="shared" si="170"/>
        <v/>
      </c>
      <c r="J917" s="5">
        <f t="shared" si="171"/>
      </c>
      <c r="K917" s="5">
        <f t="shared" si="172"/>
      </c>
      <c r="L917" s="5">
        <f t="shared" si="173"/>
      </c>
      <c r="M917">
        <f t="shared" si="174"/>
      </c>
      <c r="N917" s="18">
        <f t="shared" si="175"/>
      </c>
    </row>
    <row r="918" spans="3:14" x14ac:dyDescent="0.3">
      <c r="C918" s="5">
        <f t="shared" si="176"/>
      </c>
      <c r="D918" s="5">
        <f t="shared" si="177"/>
      </c>
      <c r="E918" s="70"/>
      <c r="F918" s="5">
        <f t="shared" si="178"/>
      </c>
      <c r="G918" s="5">
        <f t="shared" si="168"/>
      </c>
      <c r="H918" s="70">
        <f t="shared" si="169"/>
      </c>
      <c r="I918" s="5">
        <f t="shared" si="170"/>
        <v/>
      </c>
      <c r="J918" s="5">
        <f t="shared" si="171"/>
      </c>
      <c r="K918" s="5">
        <f t="shared" si="172"/>
      </c>
      <c r="L918" s="5">
        <f t="shared" si="173"/>
      </c>
      <c r="M918">
        <f t="shared" si="174"/>
      </c>
      <c r="N918" s="18">
        <f t="shared" si="175"/>
      </c>
    </row>
    <row r="919" spans="3:14" x14ac:dyDescent="0.3">
      <c r="C919" s="5">
        <f t="shared" si="176"/>
      </c>
      <c r="D919" s="5">
        <f t="shared" si="177"/>
      </c>
      <c r="E919" s="70"/>
      <c r="F919" s="5">
        <f t="shared" si="178"/>
      </c>
      <c r="G919" s="5">
        <f t="shared" si="168"/>
      </c>
      <c r="H919" s="70">
        <f t="shared" si="169"/>
      </c>
      <c r="I919" s="5">
        <f t="shared" si="170"/>
        <v/>
      </c>
      <c r="J919" s="5">
        <f t="shared" si="171"/>
      </c>
      <c r="K919" s="5">
        <f t="shared" si="172"/>
      </c>
      <c r="L919" s="5">
        <f t="shared" si="173"/>
      </c>
      <c r="M919">
        <f t="shared" si="174"/>
      </c>
      <c r="N919" s="18">
        <f t="shared" si="175"/>
      </c>
    </row>
    <row r="920" spans="3:14" x14ac:dyDescent="0.3">
      <c r="C920" s="5">
        <f t="shared" si="176"/>
      </c>
      <c r="D920" s="5">
        <f t="shared" si="177"/>
      </c>
      <c r="E920" s="70"/>
      <c r="F920" s="5">
        <f t="shared" si="178"/>
      </c>
      <c r="G920" s="5">
        <f t="shared" si="168"/>
      </c>
      <c r="H920" s="70">
        <f t="shared" si="169"/>
      </c>
      <c r="I920" s="5">
        <f t="shared" si="170"/>
        <v/>
      </c>
      <c r="J920" s="5">
        <f t="shared" si="171"/>
      </c>
      <c r="K920" s="5">
        <f t="shared" si="172"/>
      </c>
      <c r="L920" s="5">
        <f t="shared" si="173"/>
      </c>
      <c r="M920">
        <f t="shared" si="174"/>
      </c>
      <c r="N920" s="18">
        <f t="shared" si="175"/>
      </c>
    </row>
    <row r="921" spans="3:14" x14ac:dyDescent="0.3">
      <c r="C921" s="5">
        <f t="shared" si="176"/>
      </c>
      <c r="D921" s="5">
        <f t="shared" si="177"/>
      </c>
      <c r="E921" s="70"/>
      <c r="F921" s="5">
        <f t="shared" si="178"/>
      </c>
      <c r="G921" s="5">
        <f t="shared" si="168"/>
      </c>
      <c r="H921" s="70">
        <f t="shared" si="169"/>
      </c>
      <c r="I921" s="5">
        <f t="shared" si="170"/>
        <v/>
      </c>
      <c r="J921" s="5">
        <f t="shared" si="171"/>
      </c>
      <c r="K921" s="5">
        <f t="shared" si="172"/>
      </c>
      <c r="L921" s="5">
        <f t="shared" si="173"/>
      </c>
      <c r="M921">
        <f t="shared" si="174"/>
      </c>
      <c r="N921" s="18">
        <f t="shared" si="175"/>
      </c>
    </row>
    <row r="922" spans="3:14" x14ac:dyDescent="0.3">
      <c r="C922" s="5">
        <f t="shared" si="176"/>
      </c>
      <c r="D922" s="5">
        <f t="shared" si="177"/>
      </c>
      <c r="E922" s="70"/>
      <c r="F922" s="5">
        <f t="shared" si="178"/>
      </c>
      <c r="G922" s="5">
        <f t="shared" si="168"/>
      </c>
      <c r="H922" s="70">
        <f t="shared" si="169"/>
      </c>
      <c r="I922" s="5">
        <f t="shared" si="170"/>
        <v/>
      </c>
      <c r="J922" s="5">
        <f t="shared" si="171"/>
      </c>
      <c r="K922" s="5">
        <f t="shared" si="172"/>
      </c>
      <c r="L922" s="5">
        <f t="shared" si="173"/>
      </c>
      <c r="M922">
        <f t="shared" si="174"/>
      </c>
      <c r="N922" s="18">
        <f t="shared" si="175"/>
      </c>
    </row>
    <row r="923" spans="3:14" x14ac:dyDescent="0.3">
      <c r="C923" s="5">
        <f t="shared" si="176"/>
      </c>
      <c r="D923" s="5">
        <f t="shared" si="177"/>
      </c>
      <c r="E923" s="70"/>
      <c r="F923" s="5">
        <f t="shared" si="178"/>
      </c>
      <c r="G923" s="5">
        <f t="shared" si="168"/>
      </c>
      <c r="H923" s="70">
        <f t="shared" si="169"/>
      </c>
      <c r="I923" s="5">
        <f t="shared" si="170"/>
        <v/>
      </c>
      <c r="J923" s="5">
        <f t="shared" si="171"/>
      </c>
      <c r="K923" s="5">
        <f t="shared" si="172"/>
      </c>
      <c r="L923" s="5">
        <f t="shared" si="173"/>
      </c>
      <c r="M923">
        <f t="shared" si="174"/>
      </c>
      <c r="N923" s="18">
        <f t="shared" si="175"/>
      </c>
    </row>
    <row r="924" spans="3:14" x14ac:dyDescent="0.3">
      <c r="C924" s="5">
        <f t="shared" si="176"/>
      </c>
      <c r="D924" s="5">
        <f t="shared" si="177"/>
      </c>
      <c r="E924" s="70"/>
      <c r="F924" s="5">
        <f t="shared" si="178"/>
      </c>
      <c r="G924" s="5">
        <f t="shared" si="168"/>
      </c>
      <c r="H924" s="70">
        <f t="shared" si="169"/>
      </c>
      <c r="I924" s="5">
        <f t="shared" si="170"/>
        <v/>
      </c>
      <c r="J924" s="5">
        <f t="shared" si="171"/>
      </c>
      <c r="K924" s="5">
        <f t="shared" si="172"/>
      </c>
      <c r="L924" s="5">
        <f t="shared" si="173"/>
      </c>
      <c r="M924">
        <f t="shared" si="174"/>
      </c>
      <c r="N924" s="18">
        <f t="shared" si="175"/>
      </c>
    </row>
    <row r="925" spans="3:14" x14ac:dyDescent="0.3">
      <c r="C925" s="5">
        <f t="shared" si="176"/>
      </c>
      <c r="D925" s="5">
        <f t="shared" si="177"/>
      </c>
      <c r="E925" s="70"/>
      <c r="F925" s="5">
        <f t="shared" si="178"/>
      </c>
      <c r="G925" s="5">
        <f t="shared" si="168"/>
      </c>
      <c r="H925" s="70">
        <f t="shared" si="169"/>
      </c>
      <c r="I925" s="5">
        <f t="shared" si="170"/>
        <v/>
      </c>
      <c r="J925" s="5">
        <f t="shared" si="171"/>
      </c>
      <c r="K925" s="5">
        <f t="shared" si="172"/>
      </c>
      <c r="L925" s="5">
        <f t="shared" si="173"/>
      </c>
      <c r="M925">
        <f t="shared" si="174"/>
      </c>
      <c r="N925" s="18">
        <f t="shared" si="175"/>
      </c>
    </row>
    <row r="926" spans="3:14" x14ac:dyDescent="0.3">
      <c r="C926" s="5">
        <f t="shared" si="176"/>
      </c>
      <c r="D926" s="5">
        <f t="shared" si="177"/>
      </c>
      <c r="E926" s="70"/>
      <c r="F926" s="5">
        <f t="shared" si="178"/>
      </c>
      <c r="G926" s="5">
        <f t="shared" si="168"/>
      </c>
      <c r="H926" s="70">
        <f t="shared" si="169"/>
      </c>
      <c r="I926" s="5">
        <f t="shared" si="170"/>
        <v/>
      </c>
      <c r="J926" s="5">
        <f t="shared" si="171"/>
      </c>
      <c r="K926" s="5">
        <f t="shared" si="172"/>
      </c>
      <c r="L926" s="5">
        <f t="shared" si="173"/>
      </c>
      <c r="M926">
        <f t="shared" si="174"/>
      </c>
      <c r="N926" s="18">
        <f t="shared" si="175"/>
      </c>
    </row>
    <row r="927" spans="3:14" x14ac:dyDescent="0.3">
      <c r="C927" s="5">
        <f t="shared" si="176"/>
      </c>
      <c r="D927" s="5">
        <f t="shared" si="177"/>
      </c>
      <c r="E927" s="70"/>
      <c r="F927" s="5">
        <f t="shared" si="178"/>
      </c>
      <c r="G927" s="5">
        <f t="shared" si="168"/>
      </c>
      <c r="H927" s="70">
        <f t="shared" si="169"/>
      </c>
      <c r="I927" s="5">
        <f t="shared" si="170"/>
        <v/>
      </c>
      <c r="J927" s="5">
        <f t="shared" si="171"/>
      </c>
      <c r="K927" s="5">
        <f t="shared" si="172"/>
      </c>
      <c r="L927" s="5">
        <f t="shared" si="173"/>
      </c>
      <c r="M927">
        <f t="shared" si="174"/>
      </c>
      <c r="N927" s="18">
        <f t="shared" si="175"/>
      </c>
    </row>
    <row r="928" spans="3:14" x14ac:dyDescent="0.3">
      <c r="C928" s="5">
        <f t="shared" si="176"/>
      </c>
      <c r="D928" s="5">
        <f t="shared" si="177"/>
      </c>
      <c r="E928" s="70"/>
      <c r="F928" s="5">
        <f t="shared" si="178"/>
      </c>
      <c r="G928" s="5">
        <f t="shared" si="168"/>
      </c>
      <c r="H928" s="70">
        <f t="shared" si="169"/>
      </c>
      <c r="I928" s="5">
        <f t="shared" si="170"/>
        <v/>
      </c>
      <c r="J928" s="5">
        <f t="shared" si="171"/>
      </c>
      <c r="K928" s="5">
        <f t="shared" si="172"/>
      </c>
      <c r="L928" s="5">
        <f t="shared" si="173"/>
      </c>
      <c r="M928">
        <f t="shared" si="174"/>
      </c>
      <c r="N928" s="18">
        <f t="shared" si="175"/>
      </c>
    </row>
    <row r="929" spans="3:14" x14ac:dyDescent="0.3">
      <c r="C929" s="5">
        <f t="shared" si="176"/>
      </c>
      <c r="D929" s="5">
        <f t="shared" si="177"/>
      </c>
      <c r="E929" s="70"/>
      <c r="F929" s="5">
        <f t="shared" si="178"/>
      </c>
      <c r="G929" s="5">
        <f t="shared" si="168"/>
      </c>
      <c r="H929" s="70">
        <f t="shared" si="169"/>
      </c>
      <c r="I929" s="5">
        <f t="shared" si="170"/>
        <v/>
      </c>
      <c r="J929" s="5">
        <f t="shared" si="171"/>
      </c>
      <c r="K929" s="5">
        <f t="shared" si="172"/>
      </c>
      <c r="L929" s="5">
        <f t="shared" si="173"/>
      </c>
      <c r="M929">
        <f t="shared" si="174"/>
      </c>
      <c r="N929" s="18">
        <f t="shared" si="175"/>
      </c>
    </row>
    <row r="930" spans="3:14" x14ac:dyDescent="0.3">
      <c r="C930" s="5">
        <f t="shared" si="176"/>
      </c>
      <c r="D930" s="5">
        <f t="shared" si="177"/>
      </c>
      <c r="E930" s="70"/>
      <c r="F930" s="5">
        <f t="shared" si="178"/>
      </c>
      <c r="G930" s="5">
        <f t="shared" si="168"/>
      </c>
      <c r="H930" s="70">
        <f t="shared" si="169"/>
      </c>
      <c r="I930" s="5">
        <f t="shared" si="170"/>
        <v/>
      </c>
      <c r="J930" s="5">
        <f t="shared" si="171"/>
      </c>
      <c r="K930" s="5">
        <f t="shared" si="172"/>
      </c>
      <c r="L930" s="5">
        <f t="shared" si="173"/>
      </c>
      <c r="M930">
        <f t="shared" si="174"/>
      </c>
      <c r="N930" s="18">
        <f t="shared" si="175"/>
      </c>
    </row>
    <row r="931" spans="3:14" x14ac:dyDescent="0.3">
      <c r="C931" s="5">
        <f t="shared" si="176"/>
      </c>
      <c r="D931" s="5">
        <f t="shared" si="177"/>
      </c>
      <c r="E931" s="70"/>
      <c r="F931" s="5">
        <f t="shared" si="178"/>
      </c>
      <c r="G931" s="5">
        <f t="shared" si="168"/>
      </c>
      <c r="H931" s="70">
        <f t="shared" si="169"/>
      </c>
      <c r="I931" s="5">
        <f t="shared" si="170"/>
        <v/>
      </c>
      <c r="J931" s="5">
        <f t="shared" si="171"/>
      </c>
      <c r="K931" s="5">
        <f t="shared" si="172"/>
      </c>
      <c r="L931" s="5">
        <f t="shared" si="173"/>
      </c>
      <c r="M931">
        <f t="shared" si="174"/>
      </c>
      <c r="N931" s="18">
        <f t="shared" si="175"/>
      </c>
    </row>
    <row r="932" spans="3:14" x14ac:dyDescent="0.3">
      <c r="C932" s="5">
        <f t="shared" si="176"/>
      </c>
      <c r="D932" s="5">
        <f t="shared" si="177"/>
      </c>
      <c r="E932" s="70"/>
      <c r="F932" s="5">
        <f t="shared" si="178"/>
      </c>
      <c r="G932" s="5">
        <f t="shared" si="168"/>
      </c>
      <c r="H932" s="70">
        <f t="shared" si="169"/>
      </c>
      <c r="I932" s="5">
        <f t="shared" si="170"/>
        <v/>
      </c>
      <c r="J932" s="5">
        <f t="shared" si="171"/>
      </c>
      <c r="K932" s="5">
        <f t="shared" si="172"/>
      </c>
      <c r="L932" s="5">
        <f t="shared" si="173"/>
      </c>
      <c r="M932">
        <f t="shared" si="174"/>
      </c>
      <c r="N932" s="18">
        <f t="shared" si="175"/>
      </c>
    </row>
    <row r="933" spans="3:14" x14ac:dyDescent="0.3">
      <c r="C933" s="5">
        <f t="shared" si="176"/>
      </c>
      <c r="D933" s="5">
        <f t="shared" si="177"/>
      </c>
      <c r="E933" s="70"/>
      <c r="F933" s="5">
        <f t="shared" si="178"/>
      </c>
      <c r="G933" s="5">
        <f t="shared" si="168"/>
      </c>
      <c r="H933" s="70">
        <f t="shared" si="169"/>
      </c>
      <c r="I933" s="5">
        <f t="shared" si="170"/>
        <v/>
      </c>
      <c r="J933" s="5">
        <f t="shared" si="171"/>
      </c>
      <c r="K933" s="5">
        <f t="shared" si="172"/>
      </c>
      <c r="L933" s="5">
        <f t="shared" si="173"/>
      </c>
      <c r="M933">
        <f t="shared" si="174"/>
      </c>
      <c r="N933" s="18">
        <f t="shared" si="175"/>
      </c>
    </row>
    <row r="934" spans="3:14" x14ac:dyDescent="0.3">
      <c r="C934" s="5">
        <f t="shared" si="176"/>
      </c>
      <c r="D934" s="5">
        <f t="shared" si="177"/>
      </c>
      <c r="E934" s="70"/>
      <c r="F934" s="5">
        <f t="shared" si="178"/>
      </c>
      <c r="G934" s="5">
        <f t="shared" si="168"/>
      </c>
      <c r="H934" s="70">
        <f t="shared" si="169"/>
      </c>
      <c r="I934" s="5">
        <f t="shared" si="170"/>
        <v/>
      </c>
      <c r="J934" s="5">
        <f t="shared" si="171"/>
      </c>
      <c r="K934" s="5">
        <f t="shared" si="172"/>
      </c>
      <c r="L934" s="5">
        <f t="shared" si="173"/>
      </c>
      <c r="M934">
        <f t="shared" si="174"/>
      </c>
      <c r="N934" s="18">
        <f t="shared" si="175"/>
      </c>
    </row>
    <row r="935" spans="3:14" x14ac:dyDescent="0.3">
      <c r="C935" s="5">
        <f t="shared" si="176"/>
      </c>
      <c r="D935" s="5">
        <f t="shared" si="177"/>
      </c>
      <c r="E935" s="70"/>
      <c r="F935" s="5">
        <f t="shared" si="178"/>
      </c>
      <c r="G935" s="5">
        <f t="shared" si="168"/>
      </c>
      <c r="H935" s="70">
        <f t="shared" si="169"/>
      </c>
      <c r="I935" s="5">
        <f t="shared" si="170"/>
        <v/>
      </c>
      <c r="J935" s="5">
        <f t="shared" si="171"/>
      </c>
      <c r="K935" s="5">
        <f t="shared" si="172"/>
      </c>
      <c r="L935" s="5">
        <f t="shared" si="173"/>
      </c>
      <c r="M935">
        <f t="shared" si="174"/>
      </c>
      <c r="N935" s="18">
        <f t="shared" si="175"/>
      </c>
    </row>
    <row r="936" spans="3:14" x14ac:dyDescent="0.3">
      <c r="C936" s="5">
        <f t="shared" si="176"/>
      </c>
      <c r="D936" s="5">
        <f t="shared" si="177"/>
      </c>
      <c r="E936" s="70"/>
      <c r="F936" s="5">
        <f t="shared" si="178"/>
      </c>
      <c r="G936" s="5">
        <f t="shared" si="168"/>
      </c>
      <c r="H936" s="70">
        <f t="shared" si="169"/>
      </c>
      <c r="I936" s="5">
        <f t="shared" si="170"/>
        <v/>
      </c>
      <c r="J936" s="5">
        <f t="shared" si="171"/>
      </c>
      <c r="K936" s="5">
        <f t="shared" si="172"/>
      </c>
      <c r="L936" s="5">
        <f t="shared" si="173"/>
      </c>
      <c r="M936">
        <f t="shared" si="174"/>
      </c>
      <c r="N936" s="18">
        <f t="shared" si="175"/>
      </c>
    </row>
    <row r="937" spans="3:14" x14ac:dyDescent="0.3">
      <c r="C937" s="5">
        <f t="shared" si="176"/>
      </c>
      <c r="D937" s="5">
        <f t="shared" si="177"/>
      </c>
      <c r="E937" s="70"/>
      <c r="F937" s="5">
        <f t="shared" si="178"/>
      </c>
      <c r="G937" s="5">
        <f t="shared" si="168"/>
      </c>
      <c r="H937" s="70">
        <f t="shared" si="169"/>
      </c>
      <c r="I937" s="5">
        <f t="shared" si="170"/>
        <v/>
      </c>
      <c r="J937" s="5">
        <f t="shared" si="171"/>
      </c>
      <c r="K937" s="5">
        <f t="shared" si="172"/>
      </c>
      <c r="L937" s="5">
        <f t="shared" si="173"/>
      </c>
      <c r="M937">
        <f t="shared" si="174"/>
      </c>
      <c r="N937" s="18">
        <f t="shared" si="175"/>
      </c>
    </row>
    <row r="938" spans="3:14" x14ac:dyDescent="0.3">
      <c r="C938" s="5">
        <f t="shared" si="176"/>
      </c>
      <c r="D938" s="5">
        <f t="shared" si="177"/>
      </c>
      <c r="E938" s="70"/>
      <c r="F938" s="5">
        <f t="shared" si="178"/>
      </c>
      <c r="G938" s="5">
        <f t="shared" si="168"/>
      </c>
      <c r="H938" s="70">
        <f t="shared" si="169"/>
      </c>
      <c r="I938" s="5">
        <f t="shared" si="170"/>
        <v/>
      </c>
      <c r="J938" s="5">
        <f t="shared" si="171"/>
      </c>
      <c r="K938" s="5">
        <f t="shared" si="172"/>
      </c>
      <c r="L938" s="5">
        <f t="shared" si="173"/>
      </c>
      <c r="M938">
        <f t="shared" si="174"/>
      </c>
      <c r="N938" s="18">
        <f t="shared" si="175"/>
      </c>
    </row>
    <row r="939" spans="3:14" x14ac:dyDescent="0.3">
      <c r="C939" s="5">
        <f t="shared" si="176"/>
      </c>
      <c r="D939" s="5">
        <f t="shared" si="177"/>
      </c>
      <c r="E939" s="70"/>
      <c r="F939" s="5">
        <f t="shared" si="178"/>
      </c>
      <c r="G939" s="5">
        <f t="shared" si="168"/>
      </c>
      <c r="H939" s="70">
        <f t="shared" si="169"/>
      </c>
      <c r="I939" s="5">
        <f t="shared" si="170"/>
        <v/>
      </c>
      <c r="J939" s="5">
        <f t="shared" si="171"/>
      </c>
      <c r="K939" s="5">
        <f t="shared" si="172"/>
      </c>
      <c r="L939" s="5">
        <f t="shared" si="173"/>
      </c>
      <c r="M939">
        <f t="shared" si="174"/>
      </c>
      <c r="N939" s="18">
        <f t="shared" si="175"/>
      </c>
    </row>
    <row r="940" spans="3:14" x14ac:dyDescent="0.3">
      <c r="C940" s="5">
        <f t="shared" si="176"/>
      </c>
      <c r="D940" s="5">
        <f t="shared" si="177"/>
      </c>
      <c r="E940" s="70"/>
      <c r="F940" s="5">
        <f t="shared" si="178"/>
      </c>
      <c r="G940" s="5">
        <f t="shared" si="168"/>
      </c>
      <c r="H940" s="70">
        <f t="shared" si="169"/>
      </c>
      <c r="I940" s="5">
        <f t="shared" si="170"/>
        <v/>
      </c>
      <c r="J940" s="5">
        <f t="shared" si="171"/>
      </c>
      <c r="K940" s="5">
        <f t="shared" si="172"/>
      </c>
      <c r="L940" s="5">
        <f t="shared" si="173"/>
      </c>
      <c r="M940">
        <f t="shared" si="174"/>
      </c>
      <c r="N940" s="18">
        <f t="shared" si="175"/>
      </c>
    </row>
    <row r="941" spans="3:14" x14ac:dyDescent="0.3">
      <c r="C941" s="5">
        <f t="shared" si="176"/>
      </c>
      <c r="D941" s="5">
        <f t="shared" si="177"/>
      </c>
      <c r="E941" s="70"/>
      <c r="F941" s="5">
        <f t="shared" si="178"/>
      </c>
      <c r="G941" s="5">
        <f t="shared" si="168"/>
      </c>
      <c r="H941" s="70">
        <f t="shared" si="169"/>
      </c>
      <c r="I941" s="5">
        <f t="shared" si="170"/>
        <v/>
      </c>
      <c r="J941" s="5">
        <f t="shared" si="171"/>
      </c>
      <c r="K941" s="5">
        <f t="shared" si="172"/>
      </c>
      <c r="L941" s="5">
        <f t="shared" si="173"/>
      </c>
      <c r="M941">
        <f t="shared" si="174"/>
      </c>
      <c r="N941" s="18">
        <f t="shared" si="175"/>
      </c>
    </row>
    <row r="942" spans="3:14" x14ac:dyDescent="0.3">
      <c r="C942" s="5">
        <f t="shared" si="176"/>
      </c>
      <c r="D942" s="5">
        <f t="shared" si="177"/>
      </c>
      <c r="E942" s="70"/>
      <c r="F942" s="5">
        <f t="shared" si="178"/>
      </c>
      <c r="G942" s="5">
        <f t="shared" si="168"/>
      </c>
      <c r="H942" s="70">
        <f t="shared" si="169"/>
      </c>
      <c r="I942" s="5">
        <f t="shared" si="170"/>
        <v/>
      </c>
      <c r="J942" s="5">
        <f t="shared" si="171"/>
      </c>
      <c r="K942" s="5">
        <f t="shared" si="172"/>
      </c>
      <c r="L942" s="5">
        <f t="shared" si="173"/>
      </c>
      <c r="M942">
        <f t="shared" si="174"/>
      </c>
      <c r="N942" s="18">
        <f t="shared" si="175"/>
      </c>
    </row>
    <row r="943" spans="3:14" x14ac:dyDescent="0.3">
      <c r="C943" s="5">
        <f t="shared" si="176"/>
      </c>
      <c r="D943" s="5">
        <f t="shared" si="177"/>
      </c>
      <c r="E943" s="70"/>
      <c r="F943" s="5">
        <f t="shared" si="178"/>
      </c>
      <c r="G943" s="5">
        <f t="shared" si="168"/>
      </c>
      <c r="H943" s="70">
        <f t="shared" si="169"/>
      </c>
      <c r="I943" s="5">
        <f t="shared" si="170"/>
        <v/>
      </c>
      <c r="J943" s="5">
        <f t="shared" si="171"/>
      </c>
      <c r="K943" s="5">
        <f t="shared" si="172"/>
      </c>
      <c r="L943" s="5">
        <f t="shared" si="173"/>
      </c>
      <c r="M943">
        <f t="shared" si="174"/>
      </c>
      <c r="N943" s="18">
        <f t="shared" si="175"/>
      </c>
    </row>
    <row r="944" spans="3:14" x14ac:dyDescent="0.3">
      <c r="C944" s="5">
        <f t="shared" si="176"/>
      </c>
      <c r="D944" s="5">
        <f t="shared" si="177"/>
      </c>
      <c r="E944" s="70"/>
      <c r="F944" s="5">
        <f t="shared" si="178"/>
      </c>
      <c r="G944" s="5">
        <f t="shared" si="168"/>
      </c>
      <c r="H944" s="70">
        <f t="shared" si="169"/>
      </c>
      <c r="I944" s="5">
        <f t="shared" si="170"/>
        <v/>
      </c>
      <c r="J944" s="5">
        <f t="shared" si="171"/>
      </c>
      <c r="K944" s="5">
        <f t="shared" si="172"/>
      </c>
      <c r="L944" s="5">
        <f t="shared" si="173"/>
      </c>
      <c r="M944">
        <f t="shared" si="174"/>
      </c>
      <c r="N944" s="18">
        <f t="shared" si="175"/>
      </c>
    </row>
    <row r="945" spans="3:14" x14ac:dyDescent="0.3">
      <c r="C945" s="5">
        <f t="shared" si="176"/>
      </c>
      <c r="D945" s="5">
        <f t="shared" si="177"/>
      </c>
      <c r="E945" s="70"/>
      <c r="F945" s="5">
        <f t="shared" si="178"/>
      </c>
      <c r="G945" s="5">
        <f t="shared" si="168"/>
      </c>
      <c r="H945" s="70">
        <f t="shared" si="169"/>
      </c>
      <c r="I945" s="5">
        <f t="shared" si="170"/>
        <v/>
      </c>
      <c r="J945" s="5">
        <f t="shared" si="171"/>
      </c>
      <c r="K945" s="5">
        <f t="shared" si="172"/>
      </c>
      <c r="L945" s="5">
        <f t="shared" si="173"/>
      </c>
      <c r="M945">
        <f t="shared" si="174"/>
      </c>
      <c r="N945" s="18">
        <f t="shared" si="175"/>
      </c>
    </row>
    <row r="946" spans="3:14" x14ac:dyDescent="0.3">
      <c r="C946" s="5">
        <f t="shared" si="176"/>
      </c>
      <c r="D946" s="5">
        <f t="shared" si="177"/>
      </c>
      <c r="E946" s="70"/>
      <c r="F946" s="5">
        <f t="shared" si="178"/>
      </c>
      <c r="G946" s="5">
        <f t="shared" si="168"/>
      </c>
      <c r="H946" s="70">
        <f t="shared" si="169"/>
      </c>
      <c r="I946" s="5">
        <f t="shared" si="170"/>
        <v/>
      </c>
      <c r="J946" s="5">
        <f t="shared" si="171"/>
      </c>
      <c r="K946" s="5">
        <f t="shared" si="172"/>
      </c>
      <c r="L946" s="5">
        <f t="shared" si="173"/>
      </c>
      <c r="M946">
        <f t="shared" si="174"/>
      </c>
      <c r="N946" s="18">
        <f t="shared" si="175"/>
      </c>
    </row>
    <row r="947" spans="3:14" x14ac:dyDescent="0.3">
      <c r="C947" s="5">
        <f t="shared" si="176"/>
      </c>
      <c r="D947" s="5">
        <f t="shared" si="177"/>
      </c>
      <c r="E947" s="70"/>
      <c r="F947" s="5">
        <f t="shared" si="178"/>
      </c>
      <c r="G947" s="5">
        <f t="shared" si="168"/>
      </c>
      <c r="H947" s="70">
        <f t="shared" si="169"/>
      </c>
      <c r="I947" s="5">
        <f t="shared" si="170"/>
        <v/>
      </c>
      <c r="J947" s="5">
        <f t="shared" si="171"/>
      </c>
      <c r="K947" s="5">
        <f t="shared" si="172"/>
      </c>
      <c r="L947" s="5">
        <f t="shared" si="173"/>
      </c>
      <c r="M947">
        <f t="shared" si="174"/>
      </c>
      <c r="N947" s="18">
        <f t="shared" si="175"/>
      </c>
    </row>
    <row r="948" spans="3:14" x14ac:dyDescent="0.3">
      <c r="C948" s="5">
        <f t="shared" si="176"/>
      </c>
      <c r="D948" s="5">
        <f t="shared" si="177"/>
      </c>
      <c r="E948" s="70"/>
      <c r="F948" s="5">
        <f t="shared" si="178"/>
      </c>
      <c r="G948" s="5">
        <f t="shared" si="168"/>
      </c>
      <c r="H948" s="70">
        <f t="shared" si="169"/>
      </c>
      <c r="I948" s="5">
        <f t="shared" si="170"/>
        <v/>
      </c>
      <c r="J948" s="5">
        <f t="shared" si="171"/>
      </c>
      <c r="K948" s="5">
        <f t="shared" si="172"/>
      </c>
      <c r="L948" s="5">
        <f t="shared" si="173"/>
      </c>
      <c r="M948">
        <f t="shared" si="174"/>
      </c>
      <c r="N948" s="18">
        <f t="shared" si="175"/>
      </c>
    </row>
    <row r="949" spans="3:14" x14ac:dyDescent="0.3">
      <c r="C949" s="5">
        <f t="shared" si="176"/>
      </c>
      <c r="D949" s="5">
        <f t="shared" si="177"/>
      </c>
      <c r="E949" s="70"/>
      <c r="F949" s="5">
        <f t="shared" si="178"/>
      </c>
      <c r="G949" s="5">
        <f t="shared" ref="G949:G1000" si="179">IF(E949="упр","",IF(E949=0,F949,IF(E949="1,2,3","L1,L2,L3","L"&amp;E949)))</f>
      </c>
      <c r="H949" s="70">
        <f t="shared" ref="H949:H1000" si="180">VLOOKUP(D949,Исходные_данные,5,FALSE)</f>
      </c>
      <c r="I949" s="5">
        <f t="shared" ref="I949:I1000" si="181">IFERROR(VLOOKUP(D949,Исходные_данные,36,FALSE),"")</f>
        <v/>
      </c>
      <c r="J949" s="5">
        <f t="shared" ref="J949:J1000" si="182">VLOOKUP(D949,Исходные_данные,46,FALSE)</f>
      </c>
      <c r="K949" s="5">
        <f t="shared" ref="K949:K1000" si="183">VLOOKUP(D949,Исходные_данные,16,FALSE)</f>
      </c>
      <c r="L949" s="5">
        <f t="shared" ref="L949:L1000" si="184">H949*K949</f>
      </c>
      <c r="M949">
        <f t="shared" ref="M949:M1000" si="185">IF(ISBLANK(E949),M948,E949)</f>
      </c>
      <c r="N949" s="18">
        <f t="shared" ref="N949:N1000" si="186">C949&amp;G949</f>
      </c>
    </row>
    <row r="950" spans="3:14" x14ac:dyDescent="0.3">
      <c r="C950" s="5">
        <f t="shared" si="176"/>
      </c>
      <c r="D950" s="5">
        <f t="shared" si="177"/>
      </c>
      <c r="E950" s="70"/>
      <c r="F950" s="5">
        <f t="shared" si="178"/>
      </c>
      <c r="G950" s="5">
        <f t="shared" si="179"/>
      </c>
      <c r="H950" s="70">
        <f t="shared" si="180"/>
      </c>
      <c r="I950" s="5">
        <f t="shared" si="181"/>
        <v/>
      </c>
      <c r="J950" s="5">
        <f t="shared" si="182"/>
      </c>
      <c r="K950" s="5">
        <f t="shared" si="183"/>
      </c>
      <c r="L950" s="5">
        <f t="shared" si="184"/>
      </c>
      <c r="M950">
        <f t="shared" si="185"/>
      </c>
      <c r="N950" s="18">
        <f t="shared" si="186"/>
      </c>
    </row>
    <row r="951" spans="3:14" x14ac:dyDescent="0.3">
      <c r="C951" s="5">
        <f t="shared" si="176"/>
      </c>
      <c r="D951" s="5">
        <f t="shared" si="177"/>
      </c>
      <c r="E951" s="70"/>
      <c r="F951" s="5">
        <f t="shared" si="178"/>
      </c>
      <c r="G951" s="5">
        <f t="shared" si="179"/>
      </c>
      <c r="H951" s="70">
        <f t="shared" si="180"/>
      </c>
      <c r="I951" s="5">
        <f t="shared" si="181"/>
        <v/>
      </c>
      <c r="J951" s="5">
        <f t="shared" si="182"/>
      </c>
      <c r="K951" s="5">
        <f t="shared" si="183"/>
      </c>
      <c r="L951" s="5">
        <f t="shared" si="184"/>
      </c>
      <c r="M951">
        <f t="shared" si="185"/>
      </c>
      <c r="N951" s="18">
        <f t="shared" si="186"/>
      </c>
    </row>
    <row r="952" spans="3:14" x14ac:dyDescent="0.3">
      <c r="C952" s="5">
        <f t="shared" si="176"/>
      </c>
      <c r="D952" s="5">
        <f t="shared" si="177"/>
      </c>
      <c r="E952" s="70"/>
      <c r="F952" s="5">
        <f t="shared" si="178"/>
      </c>
      <c r="G952" s="5">
        <f t="shared" si="179"/>
      </c>
      <c r="H952" s="70">
        <f t="shared" si="180"/>
      </c>
      <c r="I952" s="5">
        <f t="shared" si="181"/>
        <v/>
      </c>
      <c r="J952" s="5">
        <f t="shared" si="182"/>
      </c>
      <c r="K952" s="5">
        <f t="shared" si="183"/>
      </c>
      <c r="L952" s="5">
        <f t="shared" si="184"/>
      </c>
      <c r="M952">
        <f t="shared" si="185"/>
      </c>
      <c r="N952" s="18">
        <f t="shared" si="186"/>
      </c>
    </row>
    <row r="953" spans="3:14" x14ac:dyDescent="0.3">
      <c r="C953" s="5">
        <f t="shared" si="176"/>
      </c>
      <c r="D953" s="5">
        <f t="shared" si="177"/>
      </c>
      <c r="E953" s="70"/>
      <c r="F953" s="5">
        <f t="shared" si="178"/>
      </c>
      <c r="G953" s="5">
        <f t="shared" si="179"/>
      </c>
      <c r="H953" s="70">
        <f t="shared" si="180"/>
      </c>
      <c r="I953" s="5">
        <f t="shared" si="181"/>
        <v/>
      </c>
      <c r="J953" s="5">
        <f t="shared" si="182"/>
      </c>
      <c r="K953" s="5">
        <f t="shared" si="183"/>
      </c>
      <c r="L953" s="5">
        <f t="shared" si="184"/>
      </c>
      <c r="M953">
        <f t="shared" si="185"/>
      </c>
      <c r="N953" s="18">
        <f t="shared" si="186"/>
      </c>
    </row>
    <row r="954" spans="3:14" x14ac:dyDescent="0.3">
      <c r="C954" s="5">
        <f t="shared" si="176"/>
      </c>
      <c r="D954" s="5">
        <f t="shared" si="177"/>
      </c>
      <c r="E954" s="70"/>
      <c r="F954" s="5">
        <f t="shared" si="178"/>
      </c>
      <c r="G954" s="5">
        <f t="shared" si="179"/>
      </c>
      <c r="H954" s="70">
        <f t="shared" si="180"/>
      </c>
      <c r="I954" s="5">
        <f t="shared" si="181"/>
        <v/>
      </c>
      <c r="J954" s="5">
        <f t="shared" si="182"/>
      </c>
      <c r="K954" s="5">
        <f t="shared" si="183"/>
      </c>
      <c r="L954" s="5">
        <f t="shared" si="184"/>
      </c>
      <c r="M954">
        <f t="shared" si="185"/>
      </c>
      <c r="N954" s="18">
        <f t="shared" si="186"/>
      </c>
    </row>
    <row r="955" spans="3:14" x14ac:dyDescent="0.3">
      <c r="C955" s="5">
        <f t="shared" si="176"/>
      </c>
      <c r="D955" s="5">
        <f t="shared" si="177"/>
      </c>
      <c r="E955" s="70"/>
      <c r="F955" s="5">
        <f t="shared" si="178"/>
      </c>
      <c r="G955" s="5">
        <f t="shared" si="179"/>
      </c>
      <c r="H955" s="70">
        <f t="shared" si="180"/>
      </c>
      <c r="I955" s="5">
        <f t="shared" si="181"/>
        <v/>
      </c>
      <c r="J955" s="5">
        <f t="shared" si="182"/>
      </c>
      <c r="K955" s="5">
        <f t="shared" si="183"/>
      </c>
      <c r="L955" s="5">
        <f t="shared" si="184"/>
      </c>
      <c r="M955">
        <f t="shared" si="185"/>
      </c>
      <c r="N955" s="18">
        <f t="shared" si="186"/>
      </c>
    </row>
    <row r="956" spans="3:14" x14ac:dyDescent="0.3">
      <c r="C956" s="5">
        <f t="shared" si="176"/>
      </c>
      <c r="D956" s="5">
        <f t="shared" si="177"/>
      </c>
      <c r="E956" s="70"/>
      <c r="F956" s="5">
        <f t="shared" si="178"/>
      </c>
      <c r="G956" s="5">
        <f t="shared" si="179"/>
      </c>
      <c r="H956" s="70">
        <f t="shared" si="180"/>
      </c>
      <c r="I956" s="5">
        <f t="shared" si="181"/>
        <v/>
      </c>
      <c r="J956" s="5">
        <f t="shared" si="182"/>
      </c>
      <c r="K956" s="5">
        <f t="shared" si="183"/>
      </c>
      <c r="L956" s="5">
        <f t="shared" si="184"/>
      </c>
      <c r="M956">
        <f t="shared" si="185"/>
      </c>
      <c r="N956" s="18">
        <f t="shared" si="186"/>
      </c>
    </row>
    <row r="957" spans="3:14" x14ac:dyDescent="0.3">
      <c r="C957" s="5">
        <f t="shared" si="176"/>
      </c>
      <c r="D957" s="5">
        <f t="shared" si="177"/>
      </c>
      <c r="E957" s="70"/>
      <c r="F957" s="5">
        <f t="shared" si="178"/>
      </c>
      <c r="G957" s="5">
        <f t="shared" si="179"/>
      </c>
      <c r="H957" s="70">
        <f t="shared" si="180"/>
      </c>
      <c r="I957" s="5">
        <f t="shared" si="181"/>
        <v/>
      </c>
      <c r="J957" s="5">
        <f t="shared" si="182"/>
      </c>
      <c r="K957" s="5">
        <f t="shared" si="183"/>
      </c>
      <c r="L957" s="5">
        <f t="shared" si="184"/>
      </c>
      <c r="M957">
        <f t="shared" si="185"/>
      </c>
      <c r="N957" s="18">
        <f t="shared" si="186"/>
      </c>
    </row>
    <row r="958" spans="3:14" x14ac:dyDescent="0.3">
      <c r="C958" s="5">
        <f t="shared" si="176"/>
      </c>
      <c r="D958" s="5">
        <f t="shared" si="177"/>
      </c>
      <c r="E958" s="70"/>
      <c r="F958" s="5">
        <f t="shared" si="178"/>
      </c>
      <c r="G958" s="5">
        <f t="shared" si="179"/>
      </c>
      <c r="H958" s="70">
        <f t="shared" si="180"/>
      </c>
      <c r="I958" s="5">
        <f t="shared" si="181"/>
        <v/>
      </c>
      <c r="J958" s="5">
        <f t="shared" si="182"/>
      </c>
      <c r="K958" s="5">
        <f t="shared" si="183"/>
      </c>
      <c r="L958" s="5">
        <f t="shared" si="184"/>
      </c>
      <c r="M958">
        <f t="shared" si="185"/>
      </c>
      <c r="N958" s="18">
        <f t="shared" si="186"/>
      </c>
    </row>
    <row r="959" spans="3:14" x14ac:dyDescent="0.3">
      <c r="C959" s="5">
        <f t="shared" si="176"/>
      </c>
      <c r="D959" s="5">
        <f t="shared" si="177"/>
      </c>
      <c r="E959" s="70"/>
      <c r="F959" s="5">
        <f t="shared" si="178"/>
      </c>
      <c r="G959" s="5">
        <f t="shared" si="179"/>
      </c>
      <c r="H959" s="70">
        <f t="shared" si="180"/>
      </c>
      <c r="I959" s="5">
        <f t="shared" si="181"/>
        <v/>
      </c>
      <c r="J959" s="5">
        <f t="shared" si="182"/>
      </c>
      <c r="K959" s="5">
        <f t="shared" si="183"/>
      </c>
      <c r="L959" s="5">
        <f t="shared" si="184"/>
      </c>
      <c r="M959">
        <f t="shared" si="185"/>
      </c>
      <c r="N959" s="18">
        <f t="shared" si="186"/>
      </c>
    </row>
    <row r="960" spans="3:14" x14ac:dyDescent="0.3">
      <c r="C960" s="5">
        <f t="shared" si="176"/>
      </c>
      <c r="D960" s="5">
        <f t="shared" si="177"/>
      </c>
      <c r="E960" s="70"/>
      <c r="F960" s="5">
        <f t="shared" si="178"/>
      </c>
      <c r="G960" s="5">
        <f t="shared" si="179"/>
      </c>
      <c r="H960" s="70">
        <f t="shared" si="180"/>
      </c>
      <c r="I960" s="5">
        <f t="shared" si="181"/>
        <v/>
      </c>
      <c r="J960" s="5">
        <f t="shared" si="182"/>
      </c>
      <c r="K960" s="5">
        <f t="shared" si="183"/>
      </c>
      <c r="L960" s="5">
        <f t="shared" si="184"/>
      </c>
      <c r="M960">
        <f t="shared" si="185"/>
      </c>
      <c r="N960" s="18">
        <f t="shared" si="186"/>
      </c>
    </row>
    <row r="961" spans="3:14" x14ac:dyDescent="0.3">
      <c r="C961" s="5">
        <f t="shared" si="176"/>
      </c>
      <c r="D961" s="5">
        <f t="shared" si="177"/>
      </c>
      <c r="E961" s="70"/>
      <c r="F961" s="5">
        <f t="shared" si="178"/>
      </c>
      <c r="G961" s="5">
        <f t="shared" si="179"/>
      </c>
      <c r="H961" s="70">
        <f t="shared" si="180"/>
      </c>
      <c r="I961" s="5">
        <f t="shared" si="181"/>
        <v/>
      </c>
      <c r="J961" s="5">
        <f t="shared" si="182"/>
      </c>
      <c r="K961" s="5">
        <f t="shared" si="183"/>
      </c>
      <c r="L961" s="5">
        <f t="shared" si="184"/>
      </c>
      <c r="M961">
        <f t="shared" si="185"/>
      </c>
      <c r="N961" s="18">
        <f t="shared" si="186"/>
      </c>
    </row>
    <row r="962" spans="3:14" x14ac:dyDescent="0.3">
      <c r="C962" s="5">
        <f t="shared" si="176"/>
      </c>
      <c r="D962" s="5">
        <f t="shared" si="177"/>
      </c>
      <c r="E962" s="70"/>
      <c r="F962" s="5">
        <f t="shared" si="178"/>
      </c>
      <c r="G962" s="5">
        <f t="shared" si="179"/>
      </c>
      <c r="H962" s="70">
        <f t="shared" si="180"/>
      </c>
      <c r="I962" s="5">
        <f t="shared" si="181"/>
        <v/>
      </c>
      <c r="J962" s="5">
        <f t="shared" si="182"/>
      </c>
      <c r="K962" s="5">
        <f t="shared" si="183"/>
      </c>
      <c r="L962" s="5">
        <f t="shared" si="184"/>
      </c>
      <c r="M962">
        <f t="shared" si="185"/>
      </c>
      <c r="N962" s="18">
        <f t="shared" si="186"/>
      </c>
    </row>
    <row r="963" spans="3:14" x14ac:dyDescent="0.3">
      <c r="C963" s="5">
        <f t="shared" ref="C963:C1000" si="187">VLOOKUP(ROW(961:961),Разбивка_нумерация_5,2,FALSE)</f>
      </c>
      <c r="D963" s="5">
        <f t="shared" ref="D963:D1000" si="188">VLOOKUP(ROW(961:961),Разбивка_нумерация_5,4,FALSE)</f>
      </c>
      <c r="E963" s="70"/>
      <c r="F963" s="5">
        <f t="shared" ref="F963:F1000" si="189">VLOOKUP(ROW(961:961),Разбивка_нумерация_5,16,FALSE)</f>
      </c>
      <c r="G963" s="5">
        <f t="shared" si="179"/>
      </c>
      <c r="H963" s="70">
        <f t="shared" si="180"/>
      </c>
      <c r="I963" s="5">
        <f t="shared" si="181"/>
        <v/>
      </c>
      <c r="J963" s="5">
        <f t="shared" si="182"/>
      </c>
      <c r="K963" s="5">
        <f t="shared" si="183"/>
      </c>
      <c r="L963" s="5">
        <f t="shared" si="184"/>
      </c>
      <c r="M963">
        <f t="shared" si="185"/>
      </c>
      <c r="N963" s="18">
        <f t="shared" si="186"/>
      </c>
    </row>
    <row r="964" spans="3:14" x14ac:dyDescent="0.3">
      <c r="C964" s="5">
        <f t="shared" si="187"/>
      </c>
      <c r="D964" s="5">
        <f t="shared" si="188"/>
      </c>
      <c r="E964" s="70"/>
      <c r="F964" s="5">
        <f t="shared" si="189"/>
      </c>
      <c r="G964" s="5">
        <f t="shared" si="179"/>
      </c>
      <c r="H964" s="70">
        <f t="shared" si="180"/>
      </c>
      <c r="I964" s="5">
        <f t="shared" si="181"/>
        <v/>
      </c>
      <c r="J964" s="5">
        <f t="shared" si="182"/>
      </c>
      <c r="K964" s="5">
        <f t="shared" si="183"/>
      </c>
      <c r="L964" s="5">
        <f t="shared" si="184"/>
      </c>
      <c r="M964">
        <f t="shared" si="185"/>
      </c>
      <c r="N964" s="18">
        <f t="shared" si="186"/>
      </c>
    </row>
    <row r="965" spans="3:14" x14ac:dyDescent="0.3">
      <c r="C965" s="5">
        <f t="shared" si="187"/>
      </c>
      <c r="D965" s="5">
        <f t="shared" si="188"/>
      </c>
      <c r="E965" s="70"/>
      <c r="F965" s="5">
        <f t="shared" si="189"/>
      </c>
      <c r="G965" s="5">
        <f t="shared" si="179"/>
      </c>
      <c r="H965" s="70">
        <f t="shared" si="180"/>
      </c>
      <c r="I965" s="5">
        <f t="shared" si="181"/>
        <v/>
      </c>
      <c r="J965" s="5">
        <f t="shared" si="182"/>
      </c>
      <c r="K965" s="5">
        <f t="shared" si="183"/>
      </c>
      <c r="L965" s="5">
        <f t="shared" si="184"/>
      </c>
      <c r="M965">
        <f t="shared" si="185"/>
      </c>
      <c r="N965" s="18">
        <f t="shared" si="186"/>
      </c>
    </row>
    <row r="966" spans="3:14" x14ac:dyDescent="0.3">
      <c r="C966" s="5">
        <f t="shared" si="187"/>
      </c>
      <c r="D966" s="5">
        <f t="shared" si="188"/>
      </c>
      <c r="E966" s="70"/>
      <c r="F966" s="5">
        <f t="shared" si="189"/>
      </c>
      <c r="G966" s="5">
        <f t="shared" si="179"/>
      </c>
      <c r="H966" s="70">
        <f t="shared" si="180"/>
      </c>
      <c r="I966" s="5">
        <f t="shared" si="181"/>
        <v/>
      </c>
      <c r="J966" s="5">
        <f t="shared" si="182"/>
      </c>
      <c r="K966" s="5">
        <f t="shared" si="183"/>
      </c>
      <c r="L966" s="5">
        <f t="shared" si="184"/>
      </c>
      <c r="M966">
        <f t="shared" si="185"/>
      </c>
      <c r="N966" s="18">
        <f t="shared" si="186"/>
      </c>
    </row>
    <row r="967" spans="3:14" x14ac:dyDescent="0.3">
      <c r="C967" s="5">
        <f t="shared" si="187"/>
      </c>
      <c r="D967" s="5">
        <f t="shared" si="188"/>
      </c>
      <c r="E967" s="70"/>
      <c r="F967" s="5">
        <f t="shared" si="189"/>
      </c>
      <c r="G967" s="5">
        <f t="shared" si="179"/>
      </c>
      <c r="H967" s="70">
        <f t="shared" si="180"/>
      </c>
      <c r="I967" s="5">
        <f t="shared" si="181"/>
        <v/>
      </c>
      <c r="J967" s="5">
        <f t="shared" si="182"/>
      </c>
      <c r="K967" s="5">
        <f t="shared" si="183"/>
      </c>
      <c r="L967" s="5">
        <f t="shared" si="184"/>
      </c>
      <c r="M967">
        <f t="shared" si="185"/>
      </c>
      <c r="N967" s="18">
        <f t="shared" si="186"/>
      </c>
    </row>
    <row r="968" spans="3:14" x14ac:dyDescent="0.3">
      <c r="C968" s="5">
        <f t="shared" si="187"/>
      </c>
      <c r="D968" s="5">
        <f t="shared" si="188"/>
      </c>
      <c r="E968" s="70"/>
      <c r="F968" s="5">
        <f t="shared" si="189"/>
      </c>
      <c r="G968" s="5">
        <f t="shared" si="179"/>
      </c>
      <c r="H968" s="70">
        <f t="shared" si="180"/>
      </c>
      <c r="I968" s="5">
        <f t="shared" si="181"/>
        <v/>
      </c>
      <c r="J968" s="5">
        <f t="shared" si="182"/>
      </c>
      <c r="K968" s="5">
        <f t="shared" si="183"/>
      </c>
      <c r="L968" s="5">
        <f t="shared" si="184"/>
      </c>
      <c r="M968">
        <f t="shared" si="185"/>
      </c>
      <c r="N968" s="18">
        <f t="shared" si="186"/>
      </c>
    </row>
    <row r="969" spans="3:14" x14ac:dyDescent="0.3">
      <c r="C969" s="5">
        <f t="shared" si="187"/>
      </c>
      <c r="D969" s="5">
        <f t="shared" si="188"/>
      </c>
      <c r="E969" s="70"/>
      <c r="F969" s="5">
        <f t="shared" si="189"/>
      </c>
      <c r="G969" s="5">
        <f t="shared" si="179"/>
      </c>
      <c r="H969" s="70">
        <f t="shared" si="180"/>
      </c>
      <c r="I969" s="5">
        <f t="shared" si="181"/>
        <v/>
      </c>
      <c r="J969" s="5">
        <f t="shared" si="182"/>
      </c>
      <c r="K969" s="5">
        <f t="shared" si="183"/>
      </c>
      <c r="L969" s="5">
        <f t="shared" si="184"/>
      </c>
      <c r="M969">
        <f t="shared" si="185"/>
      </c>
      <c r="N969" s="18">
        <f t="shared" si="186"/>
      </c>
    </row>
    <row r="970" spans="3:14" x14ac:dyDescent="0.3">
      <c r="C970" s="5">
        <f t="shared" si="187"/>
      </c>
      <c r="D970" s="5">
        <f t="shared" si="188"/>
      </c>
      <c r="E970" s="70"/>
      <c r="F970" s="5">
        <f t="shared" si="189"/>
      </c>
      <c r="G970" s="5">
        <f t="shared" si="179"/>
      </c>
      <c r="H970" s="70">
        <f t="shared" si="180"/>
      </c>
      <c r="I970" s="5">
        <f t="shared" si="181"/>
        <v/>
      </c>
      <c r="J970" s="5">
        <f t="shared" si="182"/>
      </c>
      <c r="K970" s="5">
        <f t="shared" si="183"/>
      </c>
      <c r="L970" s="5">
        <f t="shared" si="184"/>
      </c>
      <c r="M970">
        <f t="shared" si="185"/>
      </c>
      <c r="N970" s="18">
        <f t="shared" si="186"/>
      </c>
    </row>
    <row r="971" spans="3:14" x14ac:dyDescent="0.3">
      <c r="C971" s="5">
        <f t="shared" si="187"/>
      </c>
      <c r="D971" s="5">
        <f t="shared" si="188"/>
      </c>
      <c r="E971" s="70"/>
      <c r="F971" s="5">
        <f t="shared" si="189"/>
      </c>
      <c r="G971" s="5">
        <f t="shared" si="179"/>
      </c>
      <c r="H971" s="70">
        <f t="shared" si="180"/>
      </c>
      <c r="I971" s="5">
        <f t="shared" si="181"/>
        <v/>
      </c>
      <c r="J971" s="5">
        <f t="shared" si="182"/>
      </c>
      <c r="K971" s="5">
        <f t="shared" si="183"/>
      </c>
      <c r="L971" s="5">
        <f t="shared" si="184"/>
      </c>
      <c r="M971">
        <f t="shared" si="185"/>
      </c>
      <c r="N971" s="18">
        <f t="shared" si="186"/>
      </c>
    </row>
    <row r="972" spans="3:14" x14ac:dyDescent="0.3">
      <c r="C972" s="5">
        <f t="shared" si="187"/>
      </c>
      <c r="D972" s="5">
        <f t="shared" si="188"/>
      </c>
      <c r="E972" s="70"/>
      <c r="F972" s="5">
        <f t="shared" si="189"/>
      </c>
      <c r="G972" s="5">
        <f t="shared" si="179"/>
      </c>
      <c r="H972" s="70">
        <f t="shared" si="180"/>
      </c>
      <c r="I972" s="5">
        <f t="shared" si="181"/>
        <v/>
      </c>
      <c r="J972" s="5">
        <f t="shared" si="182"/>
      </c>
      <c r="K972" s="5">
        <f t="shared" si="183"/>
      </c>
      <c r="L972" s="5">
        <f t="shared" si="184"/>
      </c>
      <c r="M972">
        <f t="shared" si="185"/>
      </c>
      <c r="N972" s="18">
        <f t="shared" si="186"/>
      </c>
    </row>
    <row r="973" spans="3:14" x14ac:dyDescent="0.3">
      <c r="C973" s="5">
        <f t="shared" si="187"/>
      </c>
      <c r="D973" s="5">
        <f t="shared" si="188"/>
      </c>
      <c r="E973" s="70"/>
      <c r="F973" s="5">
        <f t="shared" si="189"/>
      </c>
      <c r="G973" s="5">
        <f t="shared" si="179"/>
      </c>
      <c r="H973" s="70">
        <f t="shared" si="180"/>
      </c>
      <c r="I973" s="5">
        <f t="shared" si="181"/>
        <v/>
      </c>
      <c r="J973" s="5">
        <f t="shared" si="182"/>
      </c>
      <c r="K973" s="5">
        <f t="shared" si="183"/>
      </c>
      <c r="L973" s="5">
        <f t="shared" si="184"/>
      </c>
      <c r="M973">
        <f t="shared" si="185"/>
      </c>
      <c r="N973" s="18">
        <f t="shared" si="186"/>
      </c>
    </row>
    <row r="974" spans="3:14" x14ac:dyDescent="0.3">
      <c r="C974" s="5">
        <f t="shared" si="187"/>
      </c>
      <c r="D974" s="5">
        <f t="shared" si="188"/>
      </c>
      <c r="E974" s="70"/>
      <c r="F974" s="5">
        <f t="shared" si="189"/>
      </c>
      <c r="G974" s="5">
        <f t="shared" si="179"/>
      </c>
      <c r="H974" s="70">
        <f t="shared" si="180"/>
      </c>
      <c r="I974" s="5">
        <f t="shared" si="181"/>
        <v/>
      </c>
      <c r="J974" s="5">
        <f t="shared" si="182"/>
      </c>
      <c r="K974" s="5">
        <f t="shared" si="183"/>
      </c>
      <c r="L974" s="5">
        <f t="shared" si="184"/>
      </c>
      <c r="M974">
        <f t="shared" si="185"/>
      </c>
      <c r="N974" s="18">
        <f t="shared" si="186"/>
      </c>
    </row>
    <row r="975" spans="3:14" x14ac:dyDescent="0.3">
      <c r="C975" s="5">
        <f t="shared" si="187"/>
      </c>
      <c r="D975" s="5">
        <f t="shared" si="188"/>
      </c>
      <c r="E975" s="70"/>
      <c r="F975" s="5">
        <f t="shared" si="189"/>
      </c>
      <c r="G975" s="5">
        <f t="shared" si="179"/>
      </c>
      <c r="H975" s="70">
        <f t="shared" si="180"/>
      </c>
      <c r="I975" s="5">
        <f t="shared" si="181"/>
        <v/>
      </c>
      <c r="J975" s="5">
        <f t="shared" si="182"/>
      </c>
      <c r="K975" s="5">
        <f t="shared" si="183"/>
      </c>
      <c r="L975" s="5">
        <f t="shared" si="184"/>
      </c>
      <c r="M975">
        <f t="shared" si="185"/>
      </c>
      <c r="N975" s="18">
        <f t="shared" si="186"/>
      </c>
    </row>
    <row r="976" spans="3:14" x14ac:dyDescent="0.3">
      <c r="C976" s="5">
        <f t="shared" si="187"/>
      </c>
      <c r="D976" s="5">
        <f t="shared" si="188"/>
      </c>
      <c r="E976" s="70"/>
      <c r="F976" s="5">
        <f t="shared" si="189"/>
      </c>
      <c r="G976" s="5">
        <f t="shared" si="179"/>
      </c>
      <c r="H976" s="70">
        <f t="shared" si="180"/>
      </c>
      <c r="I976" s="5">
        <f t="shared" si="181"/>
        <v/>
      </c>
      <c r="J976" s="5">
        <f t="shared" si="182"/>
      </c>
      <c r="K976" s="5">
        <f t="shared" si="183"/>
      </c>
      <c r="L976" s="5">
        <f t="shared" si="184"/>
      </c>
      <c r="M976">
        <f t="shared" si="185"/>
      </c>
      <c r="N976" s="18">
        <f t="shared" si="186"/>
      </c>
    </row>
    <row r="977" spans="3:14" x14ac:dyDescent="0.3">
      <c r="C977" s="5">
        <f t="shared" si="187"/>
      </c>
      <c r="D977" s="5">
        <f t="shared" si="188"/>
      </c>
      <c r="E977" s="70"/>
      <c r="F977" s="5">
        <f t="shared" si="189"/>
      </c>
      <c r="G977" s="5">
        <f t="shared" si="179"/>
      </c>
      <c r="H977" s="70">
        <f t="shared" si="180"/>
      </c>
      <c r="I977" s="5">
        <f t="shared" si="181"/>
        <v/>
      </c>
      <c r="J977" s="5">
        <f t="shared" si="182"/>
      </c>
      <c r="K977" s="5">
        <f t="shared" si="183"/>
      </c>
      <c r="L977" s="5">
        <f t="shared" si="184"/>
      </c>
      <c r="M977">
        <f t="shared" si="185"/>
      </c>
      <c r="N977" s="18">
        <f t="shared" si="186"/>
      </c>
    </row>
    <row r="978" spans="3:14" x14ac:dyDescent="0.3">
      <c r="C978" s="5">
        <f t="shared" si="187"/>
      </c>
      <c r="D978" s="5">
        <f t="shared" si="188"/>
      </c>
      <c r="E978" s="70"/>
      <c r="F978" s="5">
        <f t="shared" si="189"/>
      </c>
      <c r="G978" s="5">
        <f t="shared" si="179"/>
      </c>
      <c r="H978" s="70">
        <f t="shared" si="180"/>
      </c>
      <c r="I978" s="5">
        <f t="shared" si="181"/>
        <v/>
      </c>
      <c r="J978" s="5">
        <f t="shared" si="182"/>
      </c>
      <c r="K978" s="5">
        <f t="shared" si="183"/>
      </c>
      <c r="L978" s="5">
        <f t="shared" si="184"/>
      </c>
      <c r="M978">
        <f t="shared" si="185"/>
      </c>
      <c r="N978" s="18">
        <f t="shared" si="186"/>
      </c>
    </row>
    <row r="979" spans="3:14" x14ac:dyDescent="0.3">
      <c r="C979" s="5">
        <f t="shared" si="187"/>
      </c>
      <c r="D979" s="5">
        <f t="shared" si="188"/>
      </c>
      <c r="E979" s="70"/>
      <c r="F979" s="5">
        <f t="shared" si="189"/>
      </c>
      <c r="G979" s="5">
        <f t="shared" si="179"/>
      </c>
      <c r="H979" s="70">
        <f t="shared" si="180"/>
      </c>
      <c r="I979" s="5">
        <f t="shared" si="181"/>
        <v/>
      </c>
      <c r="J979" s="5">
        <f t="shared" si="182"/>
      </c>
      <c r="K979" s="5">
        <f t="shared" si="183"/>
      </c>
      <c r="L979" s="5">
        <f t="shared" si="184"/>
      </c>
      <c r="M979">
        <f t="shared" si="185"/>
      </c>
      <c r="N979" s="18">
        <f t="shared" si="186"/>
      </c>
    </row>
    <row r="980" spans="3:14" x14ac:dyDescent="0.3">
      <c r="C980" s="5">
        <f t="shared" si="187"/>
      </c>
      <c r="D980" s="5">
        <f t="shared" si="188"/>
      </c>
      <c r="E980" s="70"/>
      <c r="F980" s="5">
        <f t="shared" si="189"/>
      </c>
      <c r="G980" s="5">
        <f t="shared" si="179"/>
      </c>
      <c r="H980" s="70">
        <f t="shared" si="180"/>
      </c>
      <c r="I980" s="5">
        <f t="shared" si="181"/>
        <v/>
      </c>
      <c r="J980" s="5">
        <f t="shared" si="182"/>
      </c>
      <c r="K980" s="5">
        <f t="shared" si="183"/>
      </c>
      <c r="L980" s="5">
        <f t="shared" si="184"/>
      </c>
      <c r="M980">
        <f t="shared" si="185"/>
      </c>
      <c r="N980" s="18">
        <f t="shared" si="186"/>
      </c>
    </row>
    <row r="981" spans="3:14" x14ac:dyDescent="0.3">
      <c r="C981" s="5">
        <f t="shared" si="187"/>
      </c>
      <c r="D981" s="5">
        <f t="shared" si="188"/>
      </c>
      <c r="E981" s="70"/>
      <c r="F981" s="5">
        <f t="shared" si="189"/>
      </c>
      <c r="G981" s="5">
        <f t="shared" si="179"/>
      </c>
      <c r="H981" s="70">
        <f t="shared" si="180"/>
      </c>
      <c r="I981" s="5">
        <f t="shared" si="181"/>
        <v/>
      </c>
      <c r="J981" s="5">
        <f t="shared" si="182"/>
      </c>
      <c r="K981" s="5">
        <f t="shared" si="183"/>
      </c>
      <c r="L981" s="5">
        <f t="shared" si="184"/>
      </c>
      <c r="M981">
        <f t="shared" si="185"/>
      </c>
      <c r="N981" s="18">
        <f t="shared" si="186"/>
      </c>
    </row>
    <row r="982" spans="3:14" x14ac:dyDescent="0.3">
      <c r="C982" s="5">
        <f t="shared" si="187"/>
      </c>
      <c r="D982" s="5">
        <f t="shared" si="188"/>
      </c>
      <c r="E982" s="70"/>
      <c r="F982" s="5">
        <f t="shared" si="189"/>
      </c>
      <c r="G982" s="5">
        <f t="shared" si="179"/>
      </c>
      <c r="H982" s="70">
        <f t="shared" si="180"/>
      </c>
      <c r="I982" s="5">
        <f t="shared" si="181"/>
        <v/>
      </c>
      <c r="J982" s="5">
        <f t="shared" si="182"/>
      </c>
      <c r="K982" s="5">
        <f t="shared" si="183"/>
      </c>
      <c r="L982" s="5">
        <f t="shared" si="184"/>
      </c>
      <c r="M982">
        <f t="shared" si="185"/>
      </c>
      <c r="N982" s="18">
        <f t="shared" si="186"/>
      </c>
    </row>
    <row r="983" spans="3:14" x14ac:dyDescent="0.3">
      <c r="C983" s="5">
        <f t="shared" si="187"/>
      </c>
      <c r="D983" s="5">
        <f t="shared" si="188"/>
      </c>
      <c r="E983" s="70"/>
      <c r="F983" s="5">
        <f t="shared" si="189"/>
      </c>
      <c r="G983" s="5">
        <f t="shared" si="179"/>
      </c>
      <c r="H983" s="70">
        <f t="shared" si="180"/>
      </c>
      <c r="I983" s="5">
        <f t="shared" si="181"/>
        <v/>
      </c>
      <c r="J983" s="5">
        <f t="shared" si="182"/>
      </c>
      <c r="K983" s="5">
        <f t="shared" si="183"/>
      </c>
      <c r="L983" s="5">
        <f t="shared" si="184"/>
      </c>
      <c r="M983">
        <f t="shared" si="185"/>
      </c>
      <c r="N983" s="18">
        <f t="shared" si="186"/>
      </c>
    </row>
    <row r="984" spans="3:14" x14ac:dyDescent="0.3">
      <c r="C984" s="5">
        <f t="shared" si="187"/>
      </c>
      <c r="D984" s="5">
        <f t="shared" si="188"/>
      </c>
      <c r="E984" s="70"/>
      <c r="F984" s="5">
        <f t="shared" si="189"/>
      </c>
      <c r="G984" s="5">
        <f t="shared" si="179"/>
      </c>
      <c r="H984" s="70">
        <f t="shared" si="180"/>
      </c>
      <c r="I984" s="5">
        <f t="shared" si="181"/>
        <v/>
      </c>
      <c r="J984" s="5">
        <f t="shared" si="182"/>
      </c>
      <c r="K984" s="5">
        <f t="shared" si="183"/>
      </c>
      <c r="L984" s="5">
        <f t="shared" si="184"/>
      </c>
      <c r="M984">
        <f t="shared" si="185"/>
      </c>
      <c r="N984" s="18">
        <f t="shared" si="186"/>
      </c>
    </row>
    <row r="985" spans="3:14" x14ac:dyDescent="0.3">
      <c r="C985" s="5">
        <f t="shared" si="187"/>
      </c>
      <c r="D985" s="5">
        <f t="shared" si="188"/>
      </c>
      <c r="E985" s="70"/>
      <c r="F985" s="5">
        <f t="shared" si="189"/>
      </c>
      <c r="G985" s="5">
        <f t="shared" si="179"/>
      </c>
      <c r="H985" s="70">
        <f t="shared" si="180"/>
      </c>
      <c r="I985" s="5">
        <f t="shared" si="181"/>
        <v/>
      </c>
      <c r="J985" s="5">
        <f t="shared" si="182"/>
      </c>
      <c r="K985" s="5">
        <f t="shared" si="183"/>
      </c>
      <c r="L985" s="5">
        <f t="shared" si="184"/>
      </c>
      <c r="M985">
        <f t="shared" si="185"/>
      </c>
      <c r="N985" s="18">
        <f t="shared" si="186"/>
      </c>
    </row>
    <row r="986" spans="3:14" x14ac:dyDescent="0.3">
      <c r="C986" s="5">
        <f t="shared" si="187"/>
      </c>
      <c r="D986" s="5">
        <f t="shared" si="188"/>
      </c>
      <c r="E986" s="70"/>
      <c r="F986" s="5">
        <f t="shared" si="189"/>
      </c>
      <c r="G986" s="5">
        <f t="shared" si="179"/>
      </c>
      <c r="H986" s="70">
        <f t="shared" si="180"/>
      </c>
      <c r="I986" s="5">
        <f t="shared" si="181"/>
        <v/>
      </c>
      <c r="J986" s="5">
        <f t="shared" si="182"/>
      </c>
      <c r="K986" s="5">
        <f t="shared" si="183"/>
      </c>
      <c r="L986" s="5">
        <f t="shared" si="184"/>
      </c>
      <c r="M986">
        <f t="shared" si="185"/>
      </c>
      <c r="N986" s="18">
        <f t="shared" si="186"/>
      </c>
    </row>
    <row r="987" spans="3:14" x14ac:dyDescent="0.3">
      <c r="C987" s="5">
        <f t="shared" si="187"/>
      </c>
      <c r="D987" s="5">
        <f t="shared" si="188"/>
      </c>
      <c r="E987" s="70"/>
      <c r="F987" s="5">
        <f t="shared" si="189"/>
      </c>
      <c r="G987" s="5">
        <f t="shared" si="179"/>
      </c>
      <c r="H987" s="70">
        <f t="shared" si="180"/>
      </c>
      <c r="I987" s="5">
        <f t="shared" si="181"/>
        <v/>
      </c>
      <c r="J987" s="5">
        <f t="shared" si="182"/>
      </c>
      <c r="K987" s="5">
        <f t="shared" si="183"/>
      </c>
      <c r="L987" s="5">
        <f t="shared" si="184"/>
      </c>
      <c r="M987">
        <f t="shared" si="185"/>
      </c>
      <c r="N987" s="18">
        <f t="shared" si="186"/>
      </c>
    </row>
    <row r="988" spans="3:14" x14ac:dyDescent="0.3">
      <c r="C988" s="5">
        <f t="shared" si="187"/>
      </c>
      <c r="D988" s="5">
        <f t="shared" si="188"/>
      </c>
      <c r="E988" s="70"/>
      <c r="F988" s="5">
        <f t="shared" si="189"/>
      </c>
      <c r="G988" s="5">
        <f t="shared" si="179"/>
      </c>
      <c r="H988" s="70">
        <f t="shared" si="180"/>
      </c>
      <c r="I988" s="5">
        <f t="shared" si="181"/>
        <v/>
      </c>
      <c r="J988" s="5">
        <f t="shared" si="182"/>
      </c>
      <c r="K988" s="5">
        <f t="shared" si="183"/>
      </c>
      <c r="L988" s="5">
        <f t="shared" si="184"/>
      </c>
      <c r="M988">
        <f t="shared" si="185"/>
      </c>
      <c r="N988" s="18">
        <f t="shared" si="186"/>
      </c>
    </row>
    <row r="989" spans="3:14" x14ac:dyDescent="0.3">
      <c r="C989" s="5">
        <f t="shared" si="187"/>
      </c>
      <c r="D989" s="5">
        <f t="shared" si="188"/>
      </c>
      <c r="E989" s="70"/>
      <c r="F989" s="5">
        <f t="shared" si="189"/>
      </c>
      <c r="G989" s="5">
        <f t="shared" si="179"/>
      </c>
      <c r="H989" s="70">
        <f t="shared" si="180"/>
      </c>
      <c r="I989" s="5">
        <f t="shared" si="181"/>
        <v/>
      </c>
      <c r="J989" s="5">
        <f t="shared" si="182"/>
      </c>
      <c r="K989" s="5">
        <f t="shared" si="183"/>
      </c>
      <c r="L989" s="5">
        <f t="shared" si="184"/>
      </c>
      <c r="M989">
        <f t="shared" si="185"/>
      </c>
      <c r="N989" s="18">
        <f t="shared" si="186"/>
      </c>
    </row>
    <row r="990" spans="3:14" x14ac:dyDescent="0.3">
      <c r="C990" s="5">
        <f t="shared" si="187"/>
      </c>
      <c r="D990" s="5">
        <f t="shared" si="188"/>
      </c>
      <c r="E990" s="70"/>
      <c r="F990" s="5">
        <f t="shared" si="189"/>
      </c>
      <c r="G990" s="5">
        <f t="shared" si="179"/>
      </c>
      <c r="H990" s="70">
        <f t="shared" si="180"/>
      </c>
      <c r="I990" s="5">
        <f t="shared" si="181"/>
        <v/>
      </c>
      <c r="J990" s="5">
        <f t="shared" si="182"/>
      </c>
      <c r="K990" s="5">
        <f t="shared" si="183"/>
      </c>
      <c r="L990" s="5">
        <f t="shared" si="184"/>
      </c>
      <c r="M990">
        <f t="shared" si="185"/>
      </c>
      <c r="N990" s="18">
        <f t="shared" si="186"/>
      </c>
    </row>
    <row r="991" spans="3:14" x14ac:dyDescent="0.3">
      <c r="C991" s="5">
        <f t="shared" si="187"/>
      </c>
      <c r="D991" s="5">
        <f t="shared" si="188"/>
      </c>
      <c r="E991" s="70"/>
      <c r="F991" s="5">
        <f t="shared" si="189"/>
      </c>
      <c r="G991" s="5">
        <f t="shared" si="179"/>
      </c>
      <c r="H991" s="70">
        <f t="shared" si="180"/>
      </c>
      <c r="I991" s="5">
        <f t="shared" si="181"/>
        <v/>
      </c>
      <c r="J991" s="5">
        <f t="shared" si="182"/>
      </c>
      <c r="K991" s="5">
        <f t="shared" si="183"/>
      </c>
      <c r="L991" s="5">
        <f t="shared" si="184"/>
      </c>
      <c r="M991">
        <f t="shared" si="185"/>
      </c>
      <c r="N991" s="18">
        <f t="shared" si="186"/>
      </c>
    </row>
    <row r="992" spans="3:14" x14ac:dyDescent="0.3">
      <c r="C992" s="5">
        <f t="shared" si="187"/>
      </c>
      <c r="D992" s="5">
        <f t="shared" si="188"/>
      </c>
      <c r="E992" s="70"/>
      <c r="F992" s="5">
        <f t="shared" si="189"/>
      </c>
      <c r="G992" s="5">
        <f t="shared" si="179"/>
      </c>
      <c r="H992" s="70">
        <f t="shared" si="180"/>
      </c>
      <c r="I992" s="5">
        <f t="shared" si="181"/>
        <v/>
      </c>
      <c r="J992" s="5">
        <f t="shared" si="182"/>
      </c>
      <c r="K992" s="5">
        <f t="shared" si="183"/>
      </c>
      <c r="L992" s="5">
        <f t="shared" si="184"/>
      </c>
      <c r="M992">
        <f t="shared" si="185"/>
      </c>
      <c r="N992" s="18">
        <f t="shared" si="186"/>
      </c>
    </row>
    <row r="993" spans="3:14" x14ac:dyDescent="0.3">
      <c r="C993" s="5">
        <f t="shared" si="187"/>
      </c>
      <c r="D993" s="5">
        <f t="shared" si="188"/>
      </c>
      <c r="E993" s="70"/>
      <c r="F993" s="5">
        <f t="shared" si="189"/>
      </c>
      <c r="G993" s="5">
        <f t="shared" si="179"/>
      </c>
      <c r="H993" s="70">
        <f t="shared" si="180"/>
      </c>
      <c r="I993" s="5">
        <f t="shared" si="181"/>
        <v/>
      </c>
      <c r="J993" s="5">
        <f t="shared" si="182"/>
      </c>
      <c r="K993" s="5">
        <f t="shared" si="183"/>
      </c>
      <c r="L993" s="5">
        <f t="shared" si="184"/>
      </c>
      <c r="M993">
        <f t="shared" si="185"/>
      </c>
      <c r="N993" s="18">
        <f t="shared" si="186"/>
      </c>
    </row>
    <row r="994" spans="3:14" x14ac:dyDescent="0.3">
      <c r="C994" s="5">
        <f t="shared" si="187"/>
      </c>
      <c r="D994" s="5">
        <f t="shared" si="188"/>
      </c>
      <c r="E994" s="70"/>
      <c r="F994" s="5">
        <f t="shared" si="189"/>
      </c>
      <c r="G994" s="5">
        <f t="shared" si="179"/>
      </c>
      <c r="H994" s="70">
        <f t="shared" si="180"/>
      </c>
      <c r="I994" s="5">
        <f t="shared" si="181"/>
        <v/>
      </c>
      <c r="J994" s="5">
        <f t="shared" si="182"/>
      </c>
      <c r="K994" s="5">
        <f t="shared" si="183"/>
      </c>
      <c r="L994" s="5">
        <f t="shared" si="184"/>
      </c>
      <c r="M994">
        <f t="shared" si="185"/>
      </c>
      <c r="N994" s="18">
        <f t="shared" si="186"/>
      </c>
    </row>
    <row r="995" spans="3:14" x14ac:dyDescent="0.3">
      <c r="C995" s="5">
        <f t="shared" si="187"/>
      </c>
      <c r="D995" s="5">
        <f t="shared" si="188"/>
      </c>
      <c r="E995" s="70"/>
      <c r="F995" s="5">
        <f t="shared" si="189"/>
      </c>
      <c r="G995" s="5">
        <f t="shared" si="179"/>
      </c>
      <c r="H995" s="70">
        <f t="shared" si="180"/>
      </c>
      <c r="I995" s="5">
        <f t="shared" si="181"/>
        <v/>
      </c>
      <c r="J995" s="5">
        <f t="shared" si="182"/>
      </c>
      <c r="K995" s="5">
        <f t="shared" si="183"/>
      </c>
      <c r="L995" s="5">
        <f t="shared" si="184"/>
      </c>
      <c r="M995">
        <f t="shared" si="185"/>
      </c>
      <c r="N995" s="18">
        <f t="shared" si="186"/>
      </c>
    </row>
    <row r="996" spans="3:14" x14ac:dyDescent="0.3">
      <c r="C996" s="5">
        <f t="shared" si="187"/>
      </c>
      <c r="D996" s="5">
        <f t="shared" si="188"/>
      </c>
      <c r="E996" s="70"/>
      <c r="F996" s="5">
        <f t="shared" si="189"/>
      </c>
      <c r="G996" s="5">
        <f t="shared" si="179"/>
      </c>
      <c r="H996" s="70">
        <f t="shared" si="180"/>
      </c>
      <c r="I996" s="5">
        <f t="shared" si="181"/>
        <v/>
      </c>
      <c r="J996" s="5">
        <f t="shared" si="182"/>
      </c>
      <c r="K996" s="5">
        <f t="shared" si="183"/>
      </c>
      <c r="L996" s="5">
        <f t="shared" si="184"/>
      </c>
      <c r="M996">
        <f t="shared" si="185"/>
      </c>
      <c r="N996" s="18">
        <f t="shared" si="186"/>
      </c>
    </row>
    <row r="997" spans="3:14" x14ac:dyDescent="0.3">
      <c r="C997" s="5">
        <f t="shared" si="187"/>
      </c>
      <c r="D997" s="5">
        <f t="shared" si="188"/>
      </c>
      <c r="E997" s="70"/>
      <c r="F997" s="5">
        <f t="shared" si="189"/>
      </c>
      <c r="G997" s="5">
        <f t="shared" si="179"/>
      </c>
      <c r="H997" s="70">
        <f t="shared" si="180"/>
      </c>
      <c r="I997" s="5">
        <f t="shared" si="181"/>
        <v/>
      </c>
      <c r="J997" s="5">
        <f t="shared" si="182"/>
      </c>
      <c r="K997" s="5">
        <f t="shared" si="183"/>
      </c>
      <c r="L997" s="5">
        <f t="shared" si="184"/>
      </c>
      <c r="M997">
        <f t="shared" si="185"/>
      </c>
      <c r="N997" s="18">
        <f t="shared" si="186"/>
      </c>
    </row>
    <row r="998" spans="3:14" x14ac:dyDescent="0.3">
      <c r="C998" s="5">
        <f t="shared" si="187"/>
      </c>
      <c r="D998" s="5">
        <f t="shared" si="188"/>
      </c>
      <c r="E998" s="70"/>
      <c r="F998" s="5">
        <f t="shared" si="189"/>
      </c>
      <c r="G998" s="5">
        <f t="shared" si="179"/>
      </c>
      <c r="H998" s="70">
        <f t="shared" si="180"/>
      </c>
      <c r="I998" s="5">
        <f t="shared" si="181"/>
        <v/>
      </c>
      <c r="J998" s="5">
        <f t="shared" si="182"/>
      </c>
      <c r="K998" s="5">
        <f t="shared" si="183"/>
      </c>
      <c r="L998" s="5">
        <f t="shared" si="184"/>
      </c>
      <c r="M998">
        <f t="shared" si="185"/>
      </c>
      <c r="N998" s="18">
        <f t="shared" si="186"/>
      </c>
    </row>
    <row r="999" spans="3:14" x14ac:dyDescent="0.3">
      <c r="C999" s="5">
        <f t="shared" si="187"/>
      </c>
      <c r="D999" s="5">
        <f t="shared" si="188"/>
      </c>
      <c r="E999" s="70"/>
      <c r="F999" s="5">
        <f t="shared" si="189"/>
      </c>
      <c r="G999" s="5">
        <f t="shared" si="179"/>
      </c>
      <c r="H999" s="70">
        <f t="shared" si="180"/>
      </c>
      <c r="I999" s="5">
        <f t="shared" si="181"/>
        <v/>
      </c>
      <c r="J999" s="5">
        <f t="shared" si="182"/>
      </c>
      <c r="K999" s="5">
        <f t="shared" si="183"/>
      </c>
      <c r="L999" s="5">
        <f t="shared" si="184"/>
      </c>
      <c r="M999">
        <f t="shared" si="185"/>
      </c>
      <c r="N999" s="18">
        <f t="shared" si="186"/>
      </c>
    </row>
    <row r="1000" spans="3:14" x14ac:dyDescent="0.3">
      <c r="C1000" s="5">
        <f t="shared" si="187"/>
      </c>
      <c r="D1000" s="5">
        <f t="shared" si="188"/>
      </c>
      <c r="E1000" s="70"/>
      <c r="F1000" s="5">
        <f t="shared" si="189"/>
      </c>
      <c r="G1000" s="5">
        <f t="shared" si="179"/>
      </c>
      <c r="H1000" s="70">
        <f t="shared" si="180"/>
      </c>
      <c r="I1000" s="5">
        <f t="shared" si="181"/>
        <v/>
      </c>
      <c r="J1000" s="5">
        <f t="shared" si="182"/>
      </c>
      <c r="K1000" s="5">
        <f t="shared" si="183"/>
      </c>
      <c r="L1000" s="5">
        <f t="shared" si="184"/>
      </c>
      <c r="M1000">
        <f t="shared" si="185"/>
      </c>
      <c r="N1000" s="18">
        <f t="shared" si="186"/>
      </c>
    </row>
  </sheetData>
  <sheetProtection formatCells="0" formatColumns="0" formatRows="0"/>
  <mergeCells count="21">
    <mergeCell ref="O14:Q14"/>
    <mergeCell ref="O18:Q18"/>
    <mergeCell ref="O11:Q11"/>
    <mergeCell ref="O29:Q29"/>
    <mergeCell ref="O27:Q27"/>
    <mergeCell ref="O22:Q22"/>
    <mergeCell ref="O23:Q23"/>
    <mergeCell ref="O20:Q20"/>
    <mergeCell ref="V8:Z8"/>
    <mergeCell ref="V9:Z9"/>
    <mergeCell ref="R4:S4"/>
    <mergeCell ref="O13:Q13"/>
    <mergeCell ref="R13:S13"/>
    <mergeCell ref="O4:Q4"/>
    <mergeCell ref="O5:Q5"/>
    <mergeCell ref="O9:Q9"/>
    <mergeCell ref="R22:S22"/>
    <mergeCell ref="V17:Z17"/>
    <mergeCell ref="V18:Z18"/>
    <mergeCell ref="V26:Z26"/>
    <mergeCell ref="V27:Z27"/>
  </mergeCells>
  <conditionalFormatting sqref="C2:L2">
    <cfRule type="expression" dxfId="9784" priority="35">
      <formula>_xlfn.ISFORMULA(C2)=TRUE</formula>
    </cfRule>
  </conditionalFormatting>
  <conditionalFormatting sqref="C129:L1000 C29:D128 F29:L128 E30:E128 C3:L28">
    <cfRule type="expression" dxfId="9783" priority="34">
      <formula>_xlfn.ISFORMULA(C3)=TRUE</formula>
    </cfRule>
  </conditionalFormatting>
  <conditionalFormatting sqref="O9:Q9 O18:Q18 O27:Q27">
    <cfRule type="expression" dxfId="9782" priority="33">
      <formula>IF($O9&gt;4.8%,"ИСТИНА","ЛОЖЬ")</formula>
    </cfRule>
  </conditionalFormatting>
  <conditionalFormatting sqref="U8:V9">
    <cfRule type="expression" dxfId="9781" priority="30">
      <formula>_xlfn.ISFORMULA(U8)=TRUE</formula>
    </cfRule>
  </conditionalFormatting>
  <conditionalFormatting sqref="U17:V18">
    <cfRule type="expression" dxfId="9780" priority="16">
      <formula>_xlfn.ISFORMULA(U17)=TRUE</formula>
    </cfRule>
  </conditionalFormatting>
  <conditionalFormatting sqref="U26:V27">
    <cfRule type="expression" dxfId="9779" priority="15">
      <formula>_xlfn.ISFORMULA(U26)=TRUE</formula>
    </cfRule>
  </conditionalFormatting>
  <conditionalFormatting sqref="U5:Z7">
    <cfRule type="expression" dxfId="9778" priority="17">
      <formula>_xlfn.ISFORMULA(U5)=TRUE</formula>
    </cfRule>
  </conditionalFormatting>
  <conditionalFormatting sqref="U14:Z16">
    <cfRule type="expression" dxfId="9777" priority="27">
      <formula>_xlfn.ISFORMULA(U14)=TRUE</formula>
    </cfRule>
  </conditionalFormatting>
  <conditionalFormatting sqref="U23:Z25">
    <cfRule type="expression" dxfId="9776" priority="26">
      <formula>_xlfn.ISFORMULA(U23)=TRUE</formula>
    </cfRule>
  </conditionalFormatting>
  <conditionalFormatting sqref="AB4:AB5">
    <cfRule type="expression" dxfId="9775" priority="6">
      <formula>_xlfn.ISFORMULA(AB4)=TRUE</formula>
    </cfRule>
  </conditionalFormatting>
  <conditionalFormatting sqref="AB13:AB14">
    <cfRule type="expression" dxfId="9774" priority="3">
      <formula>_xlfn.ISFORMULA(AB13)=TRUE</formula>
    </cfRule>
  </conditionalFormatting>
  <conditionalFormatting sqref="AB22:AB23">
    <cfRule type="expression" dxfId="9773" priority="2">
      <formula>_xlfn.ISFORMULA(AB22)=TRUE</formula>
    </cfRule>
  </conditionalFormatting>
  <conditionalFormatting sqref="AC5">
    <cfRule type="expression" dxfId="9772" priority="13">
      <formula>_xlfn.ISFORMULA(AC5)=TRUE</formula>
    </cfRule>
  </conditionalFormatting>
  <conditionalFormatting sqref="AC14">
    <cfRule type="expression" dxfId="9771" priority="11">
      <formula>_xlfn.ISFORMULA(AC14)=TRUE</formula>
    </cfRule>
  </conditionalFormatting>
  <conditionalFormatting sqref="AC23">
    <cfRule type="expression" dxfId="9770" priority="9">
      <formula>_xlfn.ISFORMULA(AC23)=TRUE</formula>
    </cfRule>
  </conditionalFormatting>
  <conditionalFormatting sqref="V72:W80 V61:W71">
    <cfRule type="expression" dxfId="9769" priority="1">
      <formula>_xlfn.ISFORMULA(V61)=TRUE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6ED87-40A3-4B33-96E6-697F1C9EC386}">
  <sheetPr>
    <tabColor rgb="FFED7D31"/>
  </sheetPr>
  <dimension ref="B2:Y2000"/>
  <sheetViews>
    <sheetView topLeftCell="B1" workbookViewId="0"/>
  </sheetViews>
  <sheetFormatPr defaultRowHeight="14.4" x14ac:dyDescent="0.3"/>
  <cols>
    <col min="2" max="2" width="20.5546875" customWidth="1"/>
    <col min="3" max="3" width="17.44140625" customWidth="1"/>
    <col min="4" max="4" width="29.109375" customWidth="1"/>
    <col min="5" max="5" width="16.44140625" customWidth="1"/>
    <col min="6" max="6" width="10.33203125" bestFit="1" customWidth="1"/>
    <col min="7" max="7" width="7.6640625" customWidth="1"/>
    <col min="9" max="9" width="10.5546875" bestFit="1" customWidth="1"/>
    <col min="11" max="11" width="12.33203125" customWidth="1"/>
    <col min="14" max="14" width="11.5546875" bestFit="1" customWidth="1"/>
    <col min="16" max="16" width="11.5546875" bestFit="1" customWidth="1"/>
    <col min="19" max="19" width="11.88671875" customWidth="1"/>
  </cols>
  <sheetData>
    <row r="2" spans="2:25" x14ac:dyDescent="0.3">
      <c r="D2" s="76" t="s">
        <v>259</v>
      </c>
      <c r="K2" s="77" t="s">
        <v>264</v>
      </c>
      <c r="L2" s="77">
        <v>0.03</v>
      </c>
      <c r="V2" s="231" t="s">
        <v>269</v>
      </c>
      <c r="W2" s="77" t="s">
        <v>126</v>
      </c>
      <c r="X2" s="77">
        <v>5</v>
      </c>
      <c r="Y2" s="77">
        <v>6000</v>
      </c>
    </row>
    <row r="3" spans="2:25" x14ac:dyDescent="0.3">
      <c r="D3" s="79">
        <v>630</v>
      </c>
      <c r="K3" s="77" t="s">
        <v>265</v>
      </c>
      <c r="L3" s="77">
        <v>1.7500000000000002E-2</v>
      </c>
      <c r="V3" s="231"/>
      <c r="W3" s="77" t="s">
        <v>267</v>
      </c>
      <c r="X3" s="77">
        <v>10</v>
      </c>
      <c r="Y3" s="77">
        <v>6000</v>
      </c>
    </row>
    <row r="4" spans="2:25" x14ac:dyDescent="0.3">
      <c r="V4" s="231"/>
      <c r="W4" s="77" t="s">
        <v>268</v>
      </c>
      <c r="X4" s="77">
        <v>20</v>
      </c>
      <c r="Y4" s="77">
        <v>6000</v>
      </c>
    </row>
    <row r="5" spans="2:25" x14ac:dyDescent="0.3">
      <c r="B5" s="233" t="s">
        <v>244</v>
      </c>
      <c r="C5" s="233" t="s">
        <v>245</v>
      </c>
      <c r="D5" s="233" t="s">
        <v>262</v>
      </c>
      <c r="E5" s="233" t="s">
        <v>277</v>
      </c>
      <c r="F5" s="233" t="s">
        <v>246</v>
      </c>
      <c r="G5" s="233" t="s">
        <v>247</v>
      </c>
      <c r="H5" s="233" t="s">
        <v>266</v>
      </c>
      <c r="I5" s="238" t="s">
        <v>248</v>
      </c>
      <c r="J5" s="237"/>
      <c r="K5" s="233" t="s">
        <v>263</v>
      </c>
      <c r="L5" s="239" t="s">
        <v>249</v>
      </c>
      <c r="M5" s="235" t="s">
        <v>250</v>
      </c>
      <c r="N5" s="236"/>
      <c r="O5" s="237"/>
      <c r="P5" s="238" t="s">
        <v>251</v>
      </c>
      <c r="Q5" s="237"/>
      <c r="R5" s="233" t="s">
        <v>271</v>
      </c>
      <c r="S5" s="233" t="s">
        <v>312</v>
      </c>
      <c r="T5" s="233" t="s">
        <v>313</v>
      </c>
      <c r="V5" s="231" t="s">
        <v>269</v>
      </c>
      <c r="W5" s="77" t="s">
        <v>274</v>
      </c>
      <c r="X5" s="77">
        <v>5</v>
      </c>
      <c r="Y5" s="77">
        <v>6000</v>
      </c>
    </row>
    <row r="6" spans="2:25" ht="26.4" x14ac:dyDescent="0.3">
      <c r="B6" s="234"/>
      <c r="C6" s="234"/>
      <c r="D6" s="234"/>
      <c r="E6" s="234"/>
      <c r="F6" s="234"/>
      <c r="G6" s="234"/>
      <c r="H6" s="234"/>
      <c r="I6" s="75" t="s">
        <v>252</v>
      </c>
      <c r="J6" s="75" t="s">
        <v>253</v>
      </c>
      <c r="K6" s="234"/>
      <c r="L6" s="239"/>
      <c r="M6" s="75" t="s">
        <v>254</v>
      </c>
      <c r="N6" s="75" t="s">
        <v>255</v>
      </c>
      <c r="O6" s="75" t="s">
        <v>256</v>
      </c>
      <c r="P6" s="75" t="s">
        <v>257</v>
      </c>
      <c r="Q6" s="75" t="s">
        <v>258</v>
      </c>
      <c r="R6" s="234"/>
      <c r="S6" s="234"/>
      <c r="T6" s="234"/>
      <c r="V6" s="231"/>
      <c r="W6" s="77" t="s">
        <v>273</v>
      </c>
      <c r="X6" s="77">
        <v>10</v>
      </c>
      <c r="Y6" s="77">
        <v>6000</v>
      </c>
    </row>
    <row r="7" spans="2:25" x14ac:dyDescent="0.3">
      <c r="B7" s="80" t="s">
        <v>260</v>
      </c>
      <c r="C7" s="74">
        <f>Диапазоны!B3</f>
      </c>
      <c r="D7" s="74">
        <f>B7&amp;"-"&amp;C7</f>
      </c>
      <c r="E7" s="80" t="s">
        <v>278</v>
      </c>
      <c r="F7" s="80">
        <v>50</v>
      </c>
      <c r="G7" s="80">
        <v>200</v>
      </c>
      <c r="H7" s="80">
        <v>16</v>
      </c>
      <c r="I7" s="80">
        <v>240</v>
      </c>
      <c r="J7" s="74">
        <f>I7</f>
      </c>
      <c r="K7" s="80" t="s">
        <v>276</v>
      </c>
      <c r="L7" s="74">
        <f>VLOOKUP(K7,$K$2:$L$3,2,FALSE)</f>
      </c>
      <c r="M7" s="74">
        <f>L7*F7*(1/I7+1/J7)</f>
      </c>
      <c r="N7" s="74">
        <f>5.5*0.4^2/D$3</f>
      </c>
      <c r="O7" s="74">
        <f>L7+M7</f>
      </c>
      <c r="P7" s="74">
        <f>220/O7</f>
      </c>
      <c r="Q7" s="74">
        <f>O7/G7</f>
      </c>
      <c r="R7" s="74">
        <f>VLOOKUP(H7,$W$2:$Y$12,3,FALSE)</f>
      </c>
      <c r="S7" s="74">
        <f>_xlfn.IFS(E7="щит",IF(P7&gt;R7,"Увел сеч",IF(T7&gt;P7,"Увел сеч","tср&lt;5с")),E7="потреб",IF(P7&gt;R7,"Увел сеч",IF(T7&gt;P7,"Увел сеч","tср&lt;0.4с")))</f>
      </c>
      <c r="T7" s="74">
        <f>G7*VLOOKUP(H7,$W$2:$Y$12,2,FALSE)</f>
      </c>
      <c r="V7" s="231"/>
      <c r="W7" s="77" t="s">
        <v>275</v>
      </c>
      <c r="X7" s="77">
        <v>20</v>
      </c>
      <c r="Y7" s="77">
        <v>6000</v>
      </c>
    </row>
    <row r="8" spans="2:25" x14ac:dyDescent="0.3">
      <c r="B8" s="80" t="s">
        <v>261</v>
      </c>
      <c r="C8" s="74">
        <f>Диапазоны!B4</f>
      </c>
      <c r="D8" s="74">
        <f>B8&amp;"-"&amp;C8</f>
      </c>
      <c r="E8" s="80" t="s">
        <v>278</v>
      </c>
      <c r="F8" s="80">
        <v>300</v>
      </c>
      <c r="G8" s="80">
        <v>100</v>
      </c>
      <c r="H8" s="80">
        <v>16</v>
      </c>
      <c r="I8" s="80">
        <v>50</v>
      </c>
      <c r="J8" s="74">
        <f>I8</f>
      </c>
      <c r="K8" s="80" t="s">
        <v>280</v>
      </c>
      <c r="L8" s="74">
        <f>VLOOKUP(K8,$K$2:$L$3,2,FALSE)</f>
      </c>
      <c r="M8" s="74">
        <f>L8*F8*(1/I8+1/J8)</f>
      </c>
      <c r="N8" s="74">
        <f>VLOOKUP(B8,$C$7:$T7,13,FALSE)</f>
      </c>
      <c r="O8" s="74">
        <f>L8+M8</f>
      </c>
      <c r="P8" s="74">
        <f>220/O8</f>
      </c>
      <c r="Q8" s="74">
        <f>O8/G8</f>
      </c>
      <c r="R8" s="74">
        <f>VLOOKUP(H8,$W$2:$Y$12,3,FALSE)</f>
      </c>
      <c r="S8" s="74">
        <f>_xlfn.IFS(E8="щит",IF(P8&gt;R8,"Увел сеч",IF(T8&gt;P8,"Увел сеч","tср&lt;5с")),E8="потреб",IF(P8&gt;R8,"Увел сеч",IF(T8&gt;P8,"Увел сеч","tср&lt;0.4с")))</f>
      </c>
      <c r="T8" s="74">
        <f>G8*VLOOKUP(H8,$W$2:$Y$12,2,FALSE)</f>
      </c>
      <c r="V8" s="232" t="s">
        <v>270</v>
      </c>
      <c r="W8" s="77">
        <v>16</v>
      </c>
      <c r="X8" s="77">
        <v>2.5499999999999998</v>
      </c>
      <c r="Y8" s="77">
        <v>16000</v>
      </c>
    </row>
    <row r="9" spans="2:25" x14ac:dyDescent="0.3">
      <c r="B9" s="80" t="s">
        <v>261</v>
      </c>
      <c r="C9" s="74">
        <f>Диапазоны!B5</f>
      </c>
      <c r="D9" s="74">
        <f t="shared" ref="D9:D39" si="0">B9&amp;"-"&amp;C9</f>
      </c>
      <c r="E9" s="80" t="s">
        <v>278</v>
      </c>
      <c r="F9" s="80">
        <v>50</v>
      </c>
      <c r="G9" s="80">
        <v>16</v>
      </c>
      <c r="H9" s="80" t="s">
        <v>272</v>
      </c>
      <c r="I9" s="80">
        <v>4</v>
      </c>
      <c r="J9" s="74">
        <f t="shared" ref="J9:J37" si="1">I9</f>
      </c>
      <c r="K9" s="80" t="s">
        <v>280</v>
      </c>
      <c r="L9" s="74">
        <f t="shared" ref="L9:L39" si="2">VLOOKUP(K9,$K$2:$L$3,2,FALSE)</f>
      </c>
      <c r="M9" s="74">
        <f t="shared" ref="M9:M39" si="3">L9*F9*(1/I9+1/J9)</f>
      </c>
      <c r="N9" s="74">
        <f>VLOOKUP(B9,$C$7:$T8,13,FALSE)</f>
      </c>
      <c r="O9" s="74">
        <f t="shared" ref="O9:O39" si="4">L9+M9</f>
      </c>
      <c r="P9" s="74">
        <f t="shared" ref="P9:P39" si="5">220/O9</f>
      </c>
      <c r="Q9" s="74">
        <f t="shared" ref="Q9:Q39" si="6">O9/G9</f>
      </c>
      <c r="R9" s="74">
        <f t="shared" ref="R9:R39" si="7">VLOOKUP(H9,$W$2:$Y$12,3,FALSE)</f>
      </c>
      <c r="S9" s="74">
        <f>_xlfn.IFS(E9="щит",IF(P9&gt;R9,"Увел сеч",IF(T9&gt;P9,"Увел сеч","tср&lt;5с")),E9="потреб",IF(P9&gt;R9,"Увел сеч",IF(T9&gt;P9,"Увел сеч","tср&lt;0.4с")))</f>
      </c>
      <c r="T9" s="74">
        <f t="shared" ref="T9:T37" si="8">G9*VLOOKUP(H9,$W$2:$Y$12,2,FALSE)</f>
      </c>
      <c r="V9" s="232"/>
      <c r="W9" s="77">
        <v>25</v>
      </c>
      <c r="X9" s="77">
        <v>2.5499999999999998</v>
      </c>
      <c r="Y9" s="77">
        <v>25000</v>
      </c>
    </row>
    <row r="10" spans="2:25" ht="15" customHeight="1" x14ac:dyDescent="0.3">
      <c r="B10" s="80"/>
      <c r="C10" s="74">
        <f>Диапазоны!B6</f>
      </c>
      <c r="D10" s="74">
        <f t="shared" si="0"/>
      </c>
      <c r="E10" s="80" t="s">
        <v>278</v>
      </c>
      <c r="F10" s="80"/>
      <c r="G10" s="80"/>
      <c r="H10" s="80"/>
      <c r="I10" s="80"/>
      <c r="J10" s="74">
        <f t="shared" si="1"/>
      </c>
      <c r="K10" s="80"/>
      <c r="L10" s="74">
        <f t="shared" si="2"/>
      </c>
      <c r="M10" s="74">
        <f t="shared" si="3"/>
      </c>
      <c r="N10" s="74">
        <f>VLOOKUP(B10,$C$7:$T9,13,FALSE)</f>
      </c>
      <c r="O10" s="74">
        <f t="shared" si="4"/>
      </c>
      <c r="P10" s="74">
        <f t="shared" si="5"/>
      </c>
      <c r="Q10" s="74">
        <f t="shared" si="6"/>
      </c>
      <c r="R10" s="74">
        <f t="shared" si="7"/>
      </c>
      <c r="S10" s="74">
        <f t="shared" ref="S10:S39" si="9">_xlfn.IFS(E10="щит",IF(P10&gt;R10,"Увел сеч",IF(T10&gt;P10,"Увел сеч","tср&lt;5с")),E10="потреб",IF(P10&gt;R10,"Увел сеч",IF(T10&gt;P10,"Увел сеч","tср&lt;0.4с")))</f>
      </c>
      <c r="T10" s="74">
        <f t="shared" si="8"/>
      </c>
      <c r="V10" s="232"/>
      <c r="W10" s="77">
        <v>32</v>
      </c>
      <c r="X10" s="77">
        <v>2.5499999999999998</v>
      </c>
      <c r="Y10" s="77">
        <v>32000</v>
      </c>
    </row>
    <row r="11" spans="2:25" x14ac:dyDescent="0.3">
      <c r="B11" s="80"/>
      <c r="C11" s="74">
        <f>Диапазоны!B7</f>
      </c>
      <c r="D11" s="74">
        <f t="shared" si="0"/>
      </c>
      <c r="E11" s="80" t="s">
        <v>278</v>
      </c>
      <c r="F11" s="80"/>
      <c r="G11" s="80"/>
      <c r="H11" s="80"/>
      <c r="I11" s="80"/>
      <c r="J11" s="74">
        <f t="shared" si="1"/>
      </c>
      <c r="K11" s="80"/>
      <c r="L11" s="74">
        <f t="shared" si="2"/>
      </c>
      <c r="M11" s="74">
        <f t="shared" si="3"/>
      </c>
      <c r="N11" s="74">
        <f>VLOOKUP(B11,$C$7:$T10,13,FALSE)</f>
      </c>
      <c r="O11" s="74">
        <f t="shared" si="4"/>
      </c>
      <c r="P11" s="74">
        <f t="shared" si="5"/>
      </c>
      <c r="Q11" s="74">
        <f t="shared" si="6"/>
      </c>
      <c r="R11" s="74">
        <f t="shared" si="7"/>
      </c>
      <c r="S11" s="74">
        <f t="shared" si="9"/>
      </c>
      <c r="T11" s="74">
        <f t="shared" si="8"/>
      </c>
      <c r="V11" s="232"/>
      <c r="W11" s="77">
        <v>40</v>
      </c>
      <c r="X11" s="77">
        <v>2.5499999999999998</v>
      </c>
      <c r="Y11" s="77">
        <v>40000</v>
      </c>
    </row>
    <row r="12" spans="2:25" x14ac:dyDescent="0.3">
      <c r="B12" s="80"/>
      <c r="C12" s="74">
        <f>Диапазоны!B8</f>
      </c>
      <c r="D12" s="74">
        <f t="shared" si="0"/>
      </c>
      <c r="E12" s="80" t="s">
        <v>278</v>
      </c>
      <c r="F12" s="80"/>
      <c r="G12" s="80"/>
      <c r="H12" s="80"/>
      <c r="I12" s="80"/>
      <c r="J12" s="74">
        <f t="shared" si="1"/>
      </c>
      <c r="K12" s="80"/>
      <c r="L12" s="74">
        <f t="shared" si="2"/>
      </c>
      <c r="M12" s="74">
        <f t="shared" si="3"/>
      </c>
      <c r="N12" s="74">
        <f>VLOOKUP(B12,$C$7:$T11,13,FALSE)</f>
      </c>
      <c r="O12" s="74">
        <f t="shared" si="4"/>
      </c>
      <c r="P12" s="74">
        <f t="shared" si="5"/>
      </c>
      <c r="Q12" s="74">
        <f t="shared" si="6"/>
      </c>
      <c r="R12" s="74">
        <f t="shared" si="7"/>
      </c>
      <c r="S12" s="74">
        <f t="shared" si="9"/>
      </c>
      <c r="T12" s="74">
        <f t="shared" si="8"/>
      </c>
      <c r="V12" s="232"/>
      <c r="W12" s="77">
        <v>50</v>
      </c>
      <c r="X12" s="77">
        <v>2.5499999999999998</v>
      </c>
      <c r="Y12" s="77">
        <v>50000</v>
      </c>
    </row>
    <row r="13" spans="2:25" x14ac:dyDescent="0.3">
      <c r="B13" s="80"/>
      <c r="C13" s="74">
        <f>Диапазоны!B9</f>
      </c>
      <c r="D13" s="74">
        <f t="shared" si="0"/>
      </c>
      <c r="E13" s="80" t="s">
        <v>278</v>
      </c>
      <c r="F13" s="80"/>
      <c r="G13" s="80"/>
      <c r="H13" s="80"/>
      <c r="I13" s="80"/>
      <c r="J13" s="74">
        <f t="shared" si="1"/>
      </c>
      <c r="K13" s="80"/>
      <c r="L13" s="74">
        <f t="shared" si="2"/>
      </c>
      <c r="M13" s="74">
        <f t="shared" si="3"/>
      </c>
      <c r="N13" s="74">
        <f>VLOOKUP(B13,$C$7:$T12,13,FALSE)</f>
      </c>
      <c r="O13" s="74">
        <f t="shared" si="4"/>
      </c>
      <c r="P13" s="74">
        <f t="shared" si="5"/>
      </c>
      <c r="Q13" s="74">
        <f t="shared" si="6"/>
      </c>
      <c r="R13" s="74">
        <f t="shared" si="7"/>
      </c>
      <c r="S13" s="74">
        <f t="shared" si="9"/>
      </c>
      <c r="T13" s="74">
        <f t="shared" si="8"/>
      </c>
    </row>
    <row r="14" spans="2:25" x14ac:dyDescent="0.3">
      <c r="B14" s="80"/>
      <c r="C14" s="74">
        <f>Диапазоны!B10</f>
      </c>
      <c r="D14" s="74">
        <f t="shared" si="0"/>
      </c>
      <c r="E14" s="80" t="s">
        <v>278</v>
      </c>
      <c r="F14" s="80"/>
      <c r="G14" s="80"/>
      <c r="H14" s="80"/>
      <c r="I14" s="80"/>
      <c r="J14" s="74">
        <f t="shared" si="1"/>
      </c>
      <c r="K14" s="80"/>
      <c r="L14" s="74">
        <f t="shared" si="2"/>
      </c>
      <c r="M14" s="74">
        <f t="shared" si="3"/>
      </c>
      <c r="N14" s="74">
        <f>VLOOKUP(B14,$C$7:$T13,13,FALSE)</f>
      </c>
      <c r="O14" s="74">
        <f t="shared" si="4"/>
      </c>
      <c r="P14" s="74">
        <f t="shared" si="5"/>
      </c>
      <c r="Q14" s="74">
        <f t="shared" si="6"/>
      </c>
      <c r="R14" s="74">
        <f t="shared" si="7"/>
      </c>
      <c r="S14" s="74">
        <f t="shared" si="9"/>
      </c>
      <c r="T14" s="74">
        <f t="shared" si="8"/>
      </c>
    </row>
    <row r="15" spans="2:25" x14ac:dyDescent="0.3">
      <c r="B15" s="80"/>
      <c r="C15" s="74">
        <f>Диапазоны!B11</f>
      </c>
      <c r="D15" s="74">
        <f t="shared" si="0"/>
      </c>
      <c r="E15" s="80" t="s">
        <v>278</v>
      </c>
      <c r="F15" s="80"/>
      <c r="G15" s="80"/>
      <c r="H15" s="80"/>
      <c r="I15" s="80"/>
      <c r="J15" s="74">
        <f t="shared" si="1"/>
      </c>
      <c r="K15" s="80"/>
      <c r="L15" s="74">
        <f t="shared" si="2"/>
      </c>
      <c r="M15" s="74">
        <f t="shared" si="3"/>
      </c>
      <c r="N15" s="74">
        <f>VLOOKUP(B15,$C$7:$T14,13,FALSE)</f>
      </c>
      <c r="O15" s="74">
        <f t="shared" si="4"/>
      </c>
      <c r="P15" s="74">
        <f t="shared" si="5"/>
      </c>
      <c r="Q15" s="74">
        <f t="shared" si="6"/>
      </c>
      <c r="R15" s="74">
        <f t="shared" si="7"/>
      </c>
      <c r="S15" s="74">
        <f t="shared" si="9"/>
      </c>
      <c r="T15" s="74">
        <f t="shared" si="8"/>
      </c>
    </row>
    <row r="16" spans="2:25" x14ac:dyDescent="0.3">
      <c r="B16" s="80"/>
      <c r="C16" s="74">
        <f>Диапазоны!B12</f>
      </c>
      <c r="D16" s="74">
        <f t="shared" si="0"/>
      </c>
      <c r="E16" s="80" t="s">
        <v>278</v>
      </c>
      <c r="F16" s="80"/>
      <c r="G16" s="80"/>
      <c r="H16" s="80"/>
      <c r="I16" s="80"/>
      <c r="J16" s="74">
        <f t="shared" si="1"/>
      </c>
      <c r="K16" s="80"/>
      <c r="L16" s="74">
        <f t="shared" si="2"/>
      </c>
      <c r="M16" s="74">
        <f t="shared" si="3"/>
      </c>
      <c r="N16" s="74">
        <f>VLOOKUP(B16,$C$7:$T15,13,FALSE)</f>
      </c>
      <c r="O16" s="74">
        <f t="shared" si="4"/>
      </c>
      <c r="P16" s="74">
        <f t="shared" si="5"/>
      </c>
      <c r="Q16" s="74">
        <f t="shared" si="6"/>
      </c>
      <c r="R16" s="74">
        <f t="shared" si="7"/>
      </c>
      <c r="S16" s="74">
        <f t="shared" si="9"/>
      </c>
      <c r="T16" s="74">
        <f t="shared" si="8"/>
      </c>
    </row>
    <row r="17" spans="2:20" x14ac:dyDescent="0.3">
      <c r="B17" s="80"/>
      <c r="C17" s="74">
        <f>Диапазоны!B13</f>
      </c>
      <c r="D17" s="74">
        <f t="shared" si="0"/>
      </c>
      <c r="E17" s="80" t="s">
        <v>278</v>
      </c>
      <c r="F17" s="80"/>
      <c r="G17" s="80"/>
      <c r="H17" s="80"/>
      <c r="I17" s="80"/>
      <c r="J17" s="74">
        <f t="shared" si="1"/>
      </c>
      <c r="K17" s="80"/>
      <c r="L17" s="74">
        <f t="shared" si="2"/>
      </c>
      <c r="M17" s="74">
        <f t="shared" si="3"/>
      </c>
      <c r="N17" s="74">
        <f>VLOOKUP(B17,$C$7:$T16,13,FALSE)</f>
      </c>
      <c r="O17" s="74">
        <f t="shared" si="4"/>
      </c>
      <c r="P17" s="74">
        <f t="shared" si="5"/>
      </c>
      <c r="Q17" s="74">
        <f t="shared" si="6"/>
      </c>
      <c r="R17" s="74">
        <f t="shared" si="7"/>
      </c>
      <c r="S17" s="74">
        <f t="shared" si="9"/>
      </c>
      <c r="T17" s="74">
        <f t="shared" si="8"/>
      </c>
    </row>
    <row r="18" spans="2:20" x14ac:dyDescent="0.3">
      <c r="B18" s="80"/>
      <c r="C18" s="74">
        <f>Диапазоны!B14</f>
      </c>
      <c r="D18" s="74">
        <f t="shared" si="0"/>
      </c>
      <c r="E18" s="80" t="s">
        <v>278</v>
      </c>
      <c r="F18" s="80"/>
      <c r="G18" s="80"/>
      <c r="H18" s="80"/>
      <c r="I18" s="80"/>
      <c r="J18" s="74">
        <f t="shared" si="1"/>
      </c>
      <c r="K18" s="80"/>
      <c r="L18" s="74">
        <f t="shared" si="2"/>
      </c>
      <c r="M18" s="74">
        <f t="shared" si="3"/>
      </c>
      <c r="N18" s="74">
        <f>VLOOKUP(B18,$C$7:$T17,13,FALSE)</f>
      </c>
      <c r="O18" s="74">
        <f t="shared" si="4"/>
      </c>
      <c r="P18" s="74">
        <f t="shared" si="5"/>
      </c>
      <c r="Q18" s="74">
        <f t="shared" si="6"/>
      </c>
      <c r="R18" s="74">
        <f t="shared" si="7"/>
      </c>
      <c r="S18" s="74">
        <f t="shared" si="9"/>
      </c>
      <c r="T18" s="74">
        <f t="shared" si="8"/>
      </c>
    </row>
    <row r="19" spans="2:20" x14ac:dyDescent="0.3">
      <c r="B19" s="80"/>
      <c r="C19" s="74">
        <f>Диапазоны!B15</f>
      </c>
      <c r="D19" s="74">
        <f t="shared" si="0"/>
      </c>
      <c r="E19" s="80" t="s">
        <v>278</v>
      </c>
      <c r="F19" s="80"/>
      <c r="G19" s="80"/>
      <c r="H19" s="80"/>
      <c r="I19" s="80"/>
      <c r="J19" s="74">
        <f t="shared" si="1"/>
      </c>
      <c r="K19" s="80"/>
      <c r="L19" s="74">
        <f t="shared" si="2"/>
      </c>
      <c r="M19" s="74">
        <f t="shared" si="3"/>
      </c>
      <c r="N19" s="74">
        <f>VLOOKUP(B19,$C$7:$T18,13,FALSE)</f>
      </c>
      <c r="O19" s="74">
        <f t="shared" si="4"/>
      </c>
      <c r="P19" s="74">
        <f t="shared" si="5"/>
      </c>
      <c r="Q19" s="74">
        <f t="shared" si="6"/>
      </c>
      <c r="R19" s="74">
        <f t="shared" si="7"/>
      </c>
      <c r="S19" s="74">
        <f t="shared" si="9"/>
      </c>
      <c r="T19" s="74">
        <f t="shared" si="8"/>
      </c>
    </row>
    <row r="20" spans="2:20" x14ac:dyDescent="0.3">
      <c r="B20" s="80"/>
      <c r="C20" s="74">
        <f>Диапазоны!B16</f>
      </c>
      <c r="D20" s="74">
        <f t="shared" si="0"/>
      </c>
      <c r="E20" s="80" t="s">
        <v>278</v>
      </c>
      <c r="F20" s="80"/>
      <c r="G20" s="80"/>
      <c r="H20" s="80"/>
      <c r="I20" s="80"/>
      <c r="J20" s="74">
        <f t="shared" si="1"/>
      </c>
      <c r="K20" s="80"/>
      <c r="L20" s="74">
        <f t="shared" si="2"/>
      </c>
      <c r="M20" s="74">
        <f t="shared" si="3"/>
      </c>
      <c r="N20" s="74">
        <f>VLOOKUP(B20,$C$7:$T19,13,FALSE)</f>
      </c>
      <c r="O20" s="74">
        <f t="shared" si="4"/>
      </c>
      <c r="P20" s="74">
        <f t="shared" si="5"/>
      </c>
      <c r="Q20" s="74">
        <f t="shared" si="6"/>
      </c>
      <c r="R20" s="74">
        <f t="shared" si="7"/>
      </c>
      <c r="S20" s="74">
        <f t="shared" si="9"/>
      </c>
      <c r="T20" s="74">
        <f t="shared" si="8"/>
      </c>
    </row>
    <row r="21" spans="2:20" x14ac:dyDescent="0.3">
      <c r="B21" s="80"/>
      <c r="C21" s="74">
        <f>Диапазоны!B17</f>
      </c>
      <c r="D21" s="74">
        <f t="shared" si="0"/>
      </c>
      <c r="E21" s="80" t="s">
        <v>278</v>
      </c>
      <c r="F21" s="80"/>
      <c r="G21" s="80"/>
      <c r="H21" s="80"/>
      <c r="I21" s="80"/>
      <c r="J21" s="74">
        <f t="shared" si="1"/>
      </c>
      <c r="K21" s="80"/>
      <c r="L21" s="74">
        <f t="shared" si="2"/>
      </c>
      <c r="M21" s="74">
        <f t="shared" si="3"/>
      </c>
      <c r="N21" s="74">
        <f>VLOOKUP(B21,$C$7:$T20,13,FALSE)</f>
      </c>
      <c r="O21" s="74">
        <f t="shared" si="4"/>
      </c>
      <c r="P21" s="74">
        <f t="shared" si="5"/>
      </c>
      <c r="Q21" s="74">
        <f t="shared" si="6"/>
      </c>
      <c r="R21" s="74">
        <f t="shared" si="7"/>
      </c>
      <c r="S21" s="74">
        <f t="shared" si="9"/>
      </c>
      <c r="T21" s="74">
        <f t="shared" si="8"/>
      </c>
    </row>
    <row r="22" spans="2:20" x14ac:dyDescent="0.3">
      <c r="B22" s="80"/>
      <c r="C22" s="74">
        <f>Диапазоны!B18</f>
      </c>
      <c r="D22" s="74">
        <f t="shared" si="0"/>
      </c>
      <c r="E22" s="80" t="s">
        <v>278</v>
      </c>
      <c r="F22" s="80"/>
      <c r="G22" s="80"/>
      <c r="H22" s="80"/>
      <c r="I22" s="80"/>
      <c r="J22" s="74">
        <f t="shared" si="1"/>
      </c>
      <c r="K22" s="80"/>
      <c r="L22" s="74">
        <f t="shared" si="2"/>
      </c>
      <c r="M22" s="74">
        <f t="shared" si="3"/>
      </c>
      <c r="N22" s="74">
        <f>VLOOKUP(B22,$C$7:$T21,13,FALSE)</f>
      </c>
      <c r="O22" s="74">
        <f t="shared" si="4"/>
      </c>
      <c r="P22" s="74">
        <f t="shared" si="5"/>
      </c>
      <c r="Q22" s="74">
        <f t="shared" si="6"/>
      </c>
      <c r="R22" s="74">
        <f t="shared" si="7"/>
      </c>
      <c r="S22" s="74">
        <f t="shared" si="9"/>
      </c>
      <c r="T22" s="74">
        <f t="shared" si="8"/>
      </c>
    </row>
    <row r="23" spans="2:20" x14ac:dyDescent="0.3">
      <c r="B23" s="80"/>
      <c r="C23" s="74">
        <f>Диапазоны!B19</f>
      </c>
      <c r="D23" s="74">
        <f t="shared" si="0"/>
      </c>
      <c r="E23" s="80" t="s">
        <v>278</v>
      </c>
      <c r="F23" s="80"/>
      <c r="G23" s="80"/>
      <c r="H23" s="80"/>
      <c r="I23" s="80"/>
      <c r="J23" s="74">
        <f t="shared" si="1"/>
      </c>
      <c r="K23" s="80"/>
      <c r="L23" s="74">
        <f t="shared" si="2"/>
      </c>
      <c r="M23" s="74">
        <f t="shared" si="3"/>
      </c>
      <c r="N23" s="74">
        <f>VLOOKUP(B23,$C$7:$T22,13,FALSE)</f>
      </c>
      <c r="O23" s="74">
        <f t="shared" si="4"/>
      </c>
      <c r="P23" s="74">
        <f t="shared" si="5"/>
      </c>
      <c r="Q23" s="74">
        <f t="shared" si="6"/>
      </c>
      <c r="R23" s="74">
        <f t="shared" si="7"/>
      </c>
      <c r="S23" s="74">
        <f t="shared" si="9"/>
      </c>
      <c r="T23" s="74">
        <f t="shared" si="8"/>
      </c>
    </row>
    <row r="24" spans="2:20" x14ac:dyDescent="0.3">
      <c r="B24" s="80"/>
      <c r="C24" s="74">
        <f>Диапазоны!B20</f>
      </c>
      <c r="D24" s="74">
        <f t="shared" si="0"/>
      </c>
      <c r="E24" s="80" t="s">
        <v>278</v>
      </c>
      <c r="F24" s="80"/>
      <c r="G24" s="80"/>
      <c r="H24" s="80"/>
      <c r="I24" s="80"/>
      <c r="J24" s="74">
        <f t="shared" si="1"/>
      </c>
      <c r="K24" s="80"/>
      <c r="L24" s="74">
        <f t="shared" si="2"/>
      </c>
      <c r="M24" s="74">
        <f t="shared" si="3"/>
      </c>
      <c r="N24" s="74">
        <f>VLOOKUP(B24,$C$7:$T23,13,FALSE)</f>
      </c>
      <c r="O24" s="74">
        <f t="shared" si="4"/>
      </c>
      <c r="P24" s="74">
        <f t="shared" si="5"/>
      </c>
      <c r="Q24" s="74">
        <f t="shared" si="6"/>
      </c>
      <c r="R24" s="74">
        <f t="shared" si="7"/>
      </c>
      <c r="S24" s="74">
        <f t="shared" si="9"/>
      </c>
      <c r="T24" s="74">
        <f t="shared" si="8"/>
      </c>
    </row>
    <row r="25" spans="2:20" x14ac:dyDescent="0.3">
      <c r="B25" s="80"/>
      <c r="C25" s="74">
        <f>Диапазоны!B21</f>
      </c>
      <c r="D25" s="74">
        <f t="shared" si="0"/>
      </c>
      <c r="E25" s="80" t="s">
        <v>278</v>
      </c>
      <c r="F25" s="80"/>
      <c r="G25" s="80"/>
      <c r="H25" s="80"/>
      <c r="I25" s="80"/>
      <c r="J25" s="74">
        <f t="shared" si="1"/>
      </c>
      <c r="K25" s="80"/>
      <c r="L25" s="74">
        <f t="shared" si="2"/>
      </c>
      <c r="M25" s="74">
        <f t="shared" si="3"/>
      </c>
      <c r="N25" s="74">
        <f>VLOOKUP(B25,$C$7:$T24,13,FALSE)</f>
      </c>
      <c r="O25" s="74">
        <f t="shared" si="4"/>
      </c>
      <c r="P25" s="74">
        <f t="shared" si="5"/>
      </c>
      <c r="Q25" s="74">
        <f t="shared" si="6"/>
      </c>
      <c r="R25" s="74">
        <f t="shared" si="7"/>
      </c>
      <c r="S25" s="74">
        <f t="shared" si="9"/>
      </c>
      <c r="T25" s="74">
        <f t="shared" si="8"/>
      </c>
    </row>
    <row r="26" spans="2:20" x14ac:dyDescent="0.3">
      <c r="B26" s="80"/>
      <c r="C26" s="74">
        <f>Диапазоны!B22</f>
      </c>
      <c r="D26" s="74">
        <f t="shared" si="0"/>
      </c>
      <c r="E26" s="80" t="s">
        <v>278</v>
      </c>
      <c r="F26" s="80"/>
      <c r="G26" s="80"/>
      <c r="H26" s="80"/>
      <c r="I26" s="80"/>
      <c r="J26" s="74">
        <f t="shared" si="1"/>
      </c>
      <c r="K26" s="80"/>
      <c r="L26" s="74">
        <f t="shared" si="2"/>
      </c>
      <c r="M26" s="74">
        <f t="shared" si="3"/>
      </c>
      <c r="N26" s="74">
        <f>VLOOKUP(B26,$C$7:$T25,13,FALSE)</f>
      </c>
      <c r="O26" s="74">
        <f t="shared" si="4"/>
      </c>
      <c r="P26" s="74">
        <f t="shared" si="5"/>
      </c>
      <c r="Q26" s="74">
        <f t="shared" si="6"/>
      </c>
      <c r="R26" s="74">
        <f t="shared" si="7"/>
      </c>
      <c r="S26" s="74">
        <f t="shared" si="9"/>
      </c>
      <c r="T26" s="74">
        <f t="shared" si="8"/>
      </c>
    </row>
    <row r="27" spans="2:20" x14ac:dyDescent="0.3">
      <c r="B27" s="80"/>
      <c r="C27" s="74">
        <f>Диапазоны!B23</f>
      </c>
      <c r="D27" s="74">
        <f t="shared" si="0"/>
      </c>
      <c r="E27" s="80" t="s">
        <v>278</v>
      </c>
      <c r="F27" s="80"/>
      <c r="G27" s="80"/>
      <c r="H27" s="80"/>
      <c r="I27" s="80"/>
      <c r="J27" s="74">
        <f t="shared" si="1"/>
      </c>
      <c r="K27" s="80"/>
      <c r="L27" s="74">
        <f t="shared" si="2"/>
      </c>
      <c r="M27" s="74">
        <f t="shared" si="3"/>
      </c>
      <c r="N27" s="74">
        <f>VLOOKUP(B27,$C$7:$T26,13,FALSE)</f>
      </c>
      <c r="O27" s="74">
        <f t="shared" si="4"/>
      </c>
      <c r="P27" s="74">
        <f t="shared" si="5"/>
      </c>
      <c r="Q27" s="74">
        <f t="shared" si="6"/>
      </c>
      <c r="R27" s="74">
        <f t="shared" si="7"/>
      </c>
      <c r="S27" s="74">
        <f t="shared" si="9"/>
      </c>
      <c r="T27" s="74">
        <f t="shared" si="8"/>
      </c>
    </row>
    <row r="28" spans="2:20" x14ac:dyDescent="0.3">
      <c r="B28" s="80"/>
      <c r="C28" s="74">
        <f>Диапазоны!B24</f>
      </c>
      <c r="D28" s="74">
        <f t="shared" si="0"/>
      </c>
      <c r="E28" s="80" t="s">
        <v>278</v>
      </c>
      <c r="F28" s="80"/>
      <c r="G28" s="80"/>
      <c r="H28" s="80"/>
      <c r="I28" s="80"/>
      <c r="J28" s="74">
        <f t="shared" si="1"/>
      </c>
      <c r="K28" s="80"/>
      <c r="L28" s="74">
        <f t="shared" si="2"/>
      </c>
      <c r="M28" s="74">
        <f t="shared" si="3"/>
      </c>
      <c r="N28" s="74">
        <f>VLOOKUP(B28,$C$7:$T27,13,FALSE)</f>
      </c>
      <c r="O28" s="74">
        <f t="shared" si="4"/>
      </c>
      <c r="P28" s="74">
        <f t="shared" si="5"/>
      </c>
      <c r="Q28" s="74">
        <f t="shared" si="6"/>
      </c>
      <c r="R28" s="74">
        <f t="shared" si="7"/>
      </c>
      <c r="S28" s="74">
        <f t="shared" si="9"/>
      </c>
      <c r="T28" s="74">
        <f t="shared" si="8"/>
      </c>
    </row>
    <row r="29" spans="2:20" x14ac:dyDescent="0.3">
      <c r="B29" s="80"/>
      <c r="C29" s="74">
        <f>Диапазоны!B25</f>
      </c>
      <c r="D29" s="74">
        <f t="shared" si="0"/>
      </c>
      <c r="E29" s="80" t="s">
        <v>278</v>
      </c>
      <c r="F29" s="80"/>
      <c r="G29" s="80"/>
      <c r="H29" s="80"/>
      <c r="I29" s="80"/>
      <c r="J29" s="74">
        <f t="shared" si="1"/>
      </c>
      <c r="K29" s="80"/>
      <c r="L29" s="74">
        <f t="shared" si="2"/>
      </c>
      <c r="M29" s="74">
        <f t="shared" si="3"/>
      </c>
      <c r="N29" s="74">
        <f>VLOOKUP(B29,$C$7:$T28,13,FALSE)</f>
      </c>
      <c r="O29" s="74">
        <f t="shared" si="4"/>
      </c>
      <c r="P29" s="74">
        <f t="shared" si="5"/>
      </c>
      <c r="Q29" s="74">
        <f t="shared" si="6"/>
      </c>
      <c r="R29" s="74">
        <f t="shared" si="7"/>
      </c>
      <c r="S29" s="74">
        <f t="shared" si="9"/>
      </c>
      <c r="T29" s="74">
        <f t="shared" si="8"/>
      </c>
    </row>
    <row r="30" spans="2:20" x14ac:dyDescent="0.3">
      <c r="B30" s="80"/>
      <c r="C30" s="74">
        <f>Диапазоны!B26</f>
      </c>
      <c r="D30" s="74">
        <f t="shared" si="0"/>
      </c>
      <c r="E30" s="80" t="s">
        <v>278</v>
      </c>
      <c r="F30" s="80"/>
      <c r="G30" s="80"/>
      <c r="H30" s="80"/>
      <c r="I30" s="80"/>
      <c r="J30" s="74">
        <f t="shared" si="1"/>
      </c>
      <c r="K30" s="80"/>
      <c r="L30" s="74">
        <f t="shared" si="2"/>
      </c>
      <c r="M30" s="74">
        <f t="shared" si="3"/>
      </c>
      <c r="N30" s="74">
        <f>VLOOKUP(B30,$C$7:$T29,13,FALSE)</f>
      </c>
      <c r="O30" s="74">
        <f t="shared" si="4"/>
      </c>
      <c r="P30" s="74">
        <f t="shared" si="5"/>
      </c>
      <c r="Q30" s="74">
        <f t="shared" si="6"/>
      </c>
      <c r="R30" s="74">
        <f t="shared" si="7"/>
      </c>
      <c r="S30" s="74">
        <f t="shared" si="9"/>
      </c>
      <c r="T30" s="74">
        <f t="shared" si="8"/>
      </c>
    </row>
    <row r="31" spans="2:20" x14ac:dyDescent="0.3">
      <c r="B31" s="80"/>
      <c r="C31" s="74">
        <f>Диапазоны!B27</f>
      </c>
      <c r="D31" s="74">
        <f t="shared" si="0"/>
      </c>
      <c r="E31" s="80" t="s">
        <v>278</v>
      </c>
      <c r="F31" s="80"/>
      <c r="G31" s="80"/>
      <c r="H31" s="80"/>
      <c r="I31" s="80"/>
      <c r="J31" s="74">
        <f t="shared" si="1"/>
      </c>
      <c r="K31" s="80"/>
      <c r="L31" s="74">
        <f t="shared" si="2"/>
      </c>
      <c r="M31" s="74">
        <f t="shared" si="3"/>
      </c>
      <c r="N31" s="74">
        <f>VLOOKUP(B31,$C$7:$T30,13,FALSE)</f>
      </c>
      <c r="O31" s="74">
        <f t="shared" si="4"/>
      </c>
      <c r="P31" s="74">
        <f t="shared" si="5"/>
      </c>
      <c r="Q31" s="74">
        <f t="shared" si="6"/>
      </c>
      <c r="R31" s="74">
        <f t="shared" si="7"/>
      </c>
      <c r="S31" s="74">
        <f t="shared" si="9"/>
      </c>
      <c r="T31" s="74">
        <f t="shared" si="8"/>
      </c>
    </row>
    <row r="32" spans="2:20" x14ac:dyDescent="0.3">
      <c r="B32" s="80"/>
      <c r="C32" s="74">
        <f>Диапазоны!B28</f>
      </c>
      <c r="D32" s="74">
        <f t="shared" si="0"/>
      </c>
      <c r="E32" s="80" t="s">
        <v>278</v>
      </c>
      <c r="F32" s="80"/>
      <c r="G32" s="80"/>
      <c r="H32" s="80"/>
      <c r="I32" s="80"/>
      <c r="J32" s="74">
        <f t="shared" si="1"/>
      </c>
      <c r="K32" s="80"/>
      <c r="L32" s="74">
        <f t="shared" si="2"/>
      </c>
      <c r="M32" s="74">
        <f t="shared" si="3"/>
      </c>
      <c r="N32" s="74">
        <f>VLOOKUP(B32,$C$7:$T31,13,FALSE)</f>
      </c>
      <c r="O32" s="74">
        <f t="shared" si="4"/>
      </c>
      <c r="P32" s="74">
        <f t="shared" si="5"/>
      </c>
      <c r="Q32" s="74">
        <f t="shared" si="6"/>
      </c>
      <c r="R32" s="74">
        <f t="shared" si="7"/>
      </c>
      <c r="S32" s="74">
        <f t="shared" si="9"/>
      </c>
      <c r="T32" s="74">
        <f t="shared" si="8"/>
      </c>
    </row>
    <row r="33" spans="2:20" x14ac:dyDescent="0.3">
      <c r="B33" s="80"/>
      <c r="C33" s="74">
        <f>Диапазоны!B29</f>
      </c>
      <c r="D33" s="74">
        <f t="shared" si="0"/>
      </c>
      <c r="E33" s="80" t="s">
        <v>278</v>
      </c>
      <c r="F33" s="80"/>
      <c r="G33" s="80"/>
      <c r="H33" s="80"/>
      <c r="I33" s="80"/>
      <c r="J33" s="74">
        <f t="shared" si="1"/>
      </c>
      <c r="K33" s="80"/>
      <c r="L33" s="74">
        <f t="shared" si="2"/>
      </c>
      <c r="M33" s="74">
        <f t="shared" si="3"/>
      </c>
      <c r="N33" s="74">
        <f>VLOOKUP(B33,$C$7:$T32,13,FALSE)</f>
      </c>
      <c r="O33" s="74">
        <f t="shared" si="4"/>
      </c>
      <c r="P33" s="74">
        <f t="shared" si="5"/>
      </c>
      <c r="Q33" s="74">
        <f t="shared" si="6"/>
      </c>
      <c r="R33" s="74">
        <f t="shared" si="7"/>
      </c>
      <c r="S33" s="74">
        <f t="shared" si="9"/>
      </c>
      <c r="T33" s="74">
        <f t="shared" si="8"/>
      </c>
    </row>
    <row r="34" spans="2:20" x14ac:dyDescent="0.3">
      <c r="B34" s="80"/>
      <c r="C34" s="74">
        <f>Диапазоны!B30</f>
      </c>
      <c r="D34" s="74">
        <f t="shared" si="0"/>
      </c>
      <c r="E34" s="80" t="s">
        <v>278</v>
      </c>
      <c r="F34" s="80"/>
      <c r="G34" s="80"/>
      <c r="H34" s="80"/>
      <c r="I34" s="80"/>
      <c r="J34" s="74">
        <f t="shared" si="1"/>
      </c>
      <c r="K34" s="80"/>
      <c r="L34" s="74">
        <f t="shared" si="2"/>
      </c>
      <c r="M34" s="74">
        <f t="shared" si="3"/>
      </c>
      <c r="N34" s="74">
        <f>VLOOKUP(B34,$C$7:$T33,13,FALSE)</f>
      </c>
      <c r="O34" s="74">
        <f t="shared" si="4"/>
      </c>
      <c r="P34" s="74">
        <f t="shared" si="5"/>
      </c>
      <c r="Q34" s="74">
        <f t="shared" si="6"/>
      </c>
      <c r="R34" s="74">
        <f t="shared" si="7"/>
      </c>
      <c r="S34" s="74">
        <f t="shared" si="9"/>
      </c>
      <c r="T34" s="74">
        <f t="shared" si="8"/>
      </c>
    </row>
    <row r="35" spans="2:20" x14ac:dyDescent="0.3">
      <c r="B35" s="80"/>
      <c r="C35" s="74">
        <f>Диапазоны!B31</f>
      </c>
      <c r="D35" s="74">
        <f t="shared" si="0"/>
      </c>
      <c r="E35" s="80" t="s">
        <v>278</v>
      </c>
      <c r="F35" s="80"/>
      <c r="G35" s="80"/>
      <c r="H35" s="80"/>
      <c r="I35" s="80"/>
      <c r="J35" s="74">
        <f t="shared" si="1"/>
      </c>
      <c r="K35" s="80"/>
      <c r="L35" s="74">
        <f t="shared" si="2"/>
      </c>
      <c r="M35" s="74">
        <f t="shared" si="3"/>
      </c>
      <c r="N35" s="74">
        <f>VLOOKUP(B35,$C$7:$T34,13,FALSE)</f>
      </c>
      <c r="O35" s="74">
        <f t="shared" si="4"/>
      </c>
      <c r="P35" s="74">
        <f t="shared" si="5"/>
      </c>
      <c r="Q35" s="74">
        <f t="shared" si="6"/>
      </c>
      <c r="R35" s="74">
        <f t="shared" si="7"/>
      </c>
      <c r="S35" s="74">
        <f t="shared" si="9"/>
      </c>
      <c r="T35" s="74">
        <f t="shared" si="8"/>
      </c>
    </row>
    <row r="36" spans="2:20" x14ac:dyDescent="0.3">
      <c r="B36" s="80"/>
      <c r="C36" s="74">
        <f>Диапазоны!B32</f>
      </c>
      <c r="D36" s="74">
        <f t="shared" si="0"/>
      </c>
      <c r="E36" s="80" t="s">
        <v>278</v>
      </c>
      <c r="F36" s="80"/>
      <c r="G36" s="80"/>
      <c r="H36" s="80"/>
      <c r="I36" s="80"/>
      <c r="J36" s="74">
        <f t="shared" si="1"/>
      </c>
      <c r="K36" s="80"/>
      <c r="L36" s="74">
        <f t="shared" si="2"/>
      </c>
      <c r="M36" s="74">
        <f t="shared" si="3"/>
      </c>
      <c r="N36" s="74">
        <f>VLOOKUP(B36,$C$7:$T35,13,FALSE)</f>
      </c>
      <c r="O36" s="74">
        <f t="shared" si="4"/>
      </c>
      <c r="P36" s="74">
        <f t="shared" si="5"/>
      </c>
      <c r="Q36" s="74">
        <f t="shared" si="6"/>
      </c>
      <c r="R36" s="74">
        <f t="shared" si="7"/>
      </c>
      <c r="S36" s="74">
        <f t="shared" si="9"/>
      </c>
      <c r="T36" s="74">
        <f t="shared" si="8"/>
      </c>
    </row>
    <row r="37" spans="2:20" x14ac:dyDescent="0.3">
      <c r="B37" s="80"/>
      <c r="C37" s="74">
        <f>Диапазоны!B33</f>
      </c>
      <c r="D37" s="74">
        <f t="shared" si="0"/>
      </c>
      <c r="E37" s="80" t="s">
        <v>278</v>
      </c>
      <c r="F37" s="80"/>
      <c r="G37" s="80"/>
      <c r="H37" s="80"/>
      <c r="I37" s="80"/>
      <c r="J37" s="74">
        <f t="shared" si="1"/>
      </c>
      <c r="K37" s="80"/>
      <c r="L37" s="74">
        <f t="shared" si="2"/>
      </c>
      <c r="M37" s="74">
        <f t="shared" si="3"/>
      </c>
      <c r="N37" s="74">
        <f>VLOOKUP(B37,$C$7:$T36,13,FALSE)</f>
      </c>
      <c r="O37" s="74">
        <f t="shared" si="4"/>
      </c>
      <c r="P37" s="74">
        <f t="shared" si="5"/>
      </c>
      <c r="Q37" s="74">
        <f t="shared" si="6"/>
      </c>
      <c r="R37" s="74">
        <f t="shared" si="7"/>
      </c>
      <c r="S37" s="74">
        <f t="shared" si="9"/>
      </c>
      <c r="T37" s="74">
        <f t="shared" si="8"/>
      </c>
    </row>
    <row r="38" spans="2:20" x14ac:dyDescent="0.3"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</row>
    <row r="39" spans="2:20" x14ac:dyDescent="0.3">
      <c r="B39" s="74">
        <f t="shared" ref="B39" ca="1" si="10">VLOOKUP(C39,Кабельный_журнал,2,FALSE)</f>
      </c>
      <c r="C39" s="78">
        <f>Кабельный_журнал!P5</f>
      </c>
      <c r="D39" s="74">
        <f t="shared" ca="1" si="0"/>
      </c>
      <c r="E39" s="80" t="s">
        <v>279</v>
      </c>
      <c r="F39" s="74">
        <f t="shared" ref="F39:F102" ca="1" si="11">VLOOKUP(C39,Кабельный_журнал,8,FALSE)</f>
      </c>
      <c r="G39" s="74">
        <f>VLOOKUP(C39,Исходные_данные,21,FALSE)</f>
      </c>
      <c r="H39" s="80">
        <v>16</v>
      </c>
      <c r="I39" s="74">
        <f t="shared" ref="I39:I102" si="12">VLOOKUP(C39,Исходные_данные,22,FALSE)</f>
      </c>
      <c r="J39" s="74">
        <f>I39</f>
      </c>
      <c r="K39" s="80" t="s">
        <v>280</v>
      </c>
      <c r="L39" s="74">
        <f t="shared" si="2"/>
      </c>
      <c r="M39" s="74">
        <f t="shared" ca="1" si="3"/>
      </c>
      <c r="N39" s="74">
        <f ca="1">VLOOKUP(B39,$C$7:$T37,13,FALSE)</f>
      </c>
      <c r="O39" s="74">
        <f t="shared" ca="1" si="4"/>
      </c>
      <c r="P39" s="74">
        <f t="shared" ca="1" si="5"/>
      </c>
      <c r="Q39" s="74">
        <f t="shared" ca="1" si="6"/>
      </c>
      <c r="R39" s="74">
        <f t="shared" si="7"/>
      </c>
      <c r="S39" s="74">
        <f t="shared" ca="1" si="9"/>
      </c>
      <c r="T39" s="74">
        <f>G39*VLOOKUP(H39,$W$2:$Y$12,2,FALSE)</f>
      </c>
    </row>
    <row r="40" spans="2:20" x14ac:dyDescent="0.3">
      <c r="B40" s="74">
        <f t="shared" ref="B40:B103" ca="1" si="13">VLOOKUP(C40,Кабельный_журнал,2,FALSE)</f>
      </c>
      <c r="C40" s="78">
        <f>Кабельный_журнал!P6</f>
      </c>
      <c r="D40" s="74">
        <f t="shared" ref="D40:D103" ca="1" si="14">B40&amp;"-"&amp;C40</f>
      </c>
      <c r="E40" s="80" t="s">
        <v>279</v>
      </c>
      <c r="F40" s="74">
        <f t="shared" ca="1" si="11"/>
      </c>
      <c r="G40" s="74">
        <f t="shared" ref="G40:G102" si="15">VLOOKUP(C40,Исходные_данные,21,FALSE)</f>
      </c>
      <c r="H40" s="80" t="s">
        <v>272</v>
      </c>
      <c r="I40" s="74">
        <f t="shared" si="12"/>
      </c>
      <c r="J40" s="74">
        <f t="shared" ref="J40:J103" si="16">I40</f>
      </c>
      <c r="K40" s="80" t="s">
        <v>280</v>
      </c>
      <c r="L40" s="74">
        <f t="shared" ref="L40:L103" si="17">VLOOKUP(K40,$K$2:$L$3,2,FALSE)</f>
      </c>
      <c r="M40" s="74">
        <f t="shared" ref="M40:M103" ca="1" si="18">L40*F40*(1/I40+1/J40)</f>
      </c>
      <c r="N40" s="74">
        <f ca="1">VLOOKUP(B40,$C$7:$T38,13,FALSE)</f>
      </c>
      <c r="O40" s="74">
        <f t="shared" ref="O40:O103" ca="1" si="19">L40+M40</f>
      </c>
      <c r="P40" s="74">
        <f t="shared" ref="P40:P103" ca="1" si="20">220/O40</f>
      </c>
      <c r="Q40" s="74">
        <f t="shared" ref="Q40:Q103" ca="1" si="21">O40/G40</f>
      </c>
      <c r="R40" s="74">
        <f t="shared" ref="R40:R103" si="22">VLOOKUP(H40,$W$2:$Y$12,3,FALSE)</f>
      </c>
      <c r="S40" s="74">
        <f t="shared" ref="S40:S103" ca="1" si="23">_xlfn.IFS(E40="щит",IF(P40&gt;R40,"Увел сеч",IF(T40&gt;P40,"Увел сеч","tср&lt;5с")),E40="потреб",IF(P40&gt;R40,"Увел сеч",IF(T40&gt;P40,"Увел сеч","tср&lt;0.4с")))</f>
      </c>
      <c r="T40" s="74">
        <f t="shared" ref="T40:T103" si="24">G40*VLOOKUP(H40,$W$2:$Y$12,2,FALSE)</f>
      </c>
    </row>
    <row r="41" spans="2:20" x14ac:dyDescent="0.3">
      <c r="B41" s="74">
        <f t="shared" ca="1" si="13"/>
      </c>
      <c r="C41" s="78">
        <f>Кабельный_журнал!P7</f>
      </c>
      <c r="D41" s="74">
        <f t="shared" ca="1" si="14"/>
      </c>
      <c r="E41" s="80" t="s">
        <v>279</v>
      </c>
      <c r="F41" s="74">
        <f t="shared" ca="1" si="11"/>
      </c>
      <c r="G41" s="74">
        <f t="shared" si="15"/>
      </c>
      <c r="H41" s="80" t="s">
        <v>272</v>
      </c>
      <c r="I41" s="74">
        <f t="shared" si="12"/>
      </c>
      <c r="J41" s="74">
        <f t="shared" si="16"/>
      </c>
      <c r="K41" s="80" t="s">
        <v>280</v>
      </c>
      <c r="L41" s="74">
        <f t="shared" si="17"/>
      </c>
      <c r="M41" s="74">
        <f t="shared" ca="1" si="18"/>
      </c>
      <c r="N41" s="74">
        <f ca="1">VLOOKUP(B41,$C$7:$T39,13,FALSE)</f>
      </c>
      <c r="O41" s="74">
        <f t="shared" ca="1" si="19"/>
      </c>
      <c r="P41" s="74">
        <f t="shared" ca="1" si="20"/>
      </c>
      <c r="Q41" s="74">
        <f t="shared" ca="1" si="21"/>
      </c>
      <c r="R41" s="74">
        <f t="shared" si="22"/>
      </c>
      <c r="S41" s="74">
        <f t="shared" ca="1" si="23"/>
      </c>
      <c r="T41" s="74">
        <f t="shared" si="24"/>
      </c>
    </row>
    <row r="42" spans="2:20" x14ac:dyDescent="0.3">
      <c r="B42" s="74">
        <f t="shared" ca="1" si="13"/>
      </c>
      <c r="C42" s="78">
        <f>Кабельный_журнал!P8</f>
      </c>
      <c r="D42" s="74">
        <f t="shared" ca="1" si="14"/>
      </c>
      <c r="E42" s="80" t="s">
        <v>279</v>
      </c>
      <c r="F42" s="74">
        <f t="shared" ca="1" si="11"/>
      </c>
      <c r="G42" s="74">
        <f t="shared" si="15"/>
      </c>
      <c r="H42" s="80" t="s">
        <v>272</v>
      </c>
      <c r="I42" s="74">
        <f t="shared" si="12"/>
      </c>
      <c r="J42" s="74">
        <f t="shared" si="16"/>
      </c>
      <c r="K42" s="80" t="s">
        <v>280</v>
      </c>
      <c r="L42" s="74">
        <f t="shared" si="17"/>
      </c>
      <c r="M42" s="74">
        <f t="shared" ca="1" si="18"/>
      </c>
      <c r="N42" s="74">
        <f ca="1">VLOOKUP(B42,$C$7:$T40,13,FALSE)</f>
      </c>
      <c r="O42" s="74">
        <f t="shared" ca="1" si="19"/>
      </c>
      <c r="P42" s="74">
        <f t="shared" ca="1" si="20"/>
      </c>
      <c r="Q42" s="74">
        <f t="shared" ca="1" si="21"/>
      </c>
      <c r="R42" s="74">
        <f t="shared" si="22"/>
      </c>
      <c r="S42" s="74">
        <f t="shared" ca="1" si="23"/>
      </c>
      <c r="T42" s="74">
        <f t="shared" si="24"/>
      </c>
    </row>
    <row r="43" spans="2:20" x14ac:dyDescent="0.3">
      <c r="B43" s="74">
        <f t="shared" ca="1" si="13"/>
      </c>
      <c r="C43" s="78">
        <f>Кабельный_журнал!P9</f>
      </c>
      <c r="D43" s="74">
        <f t="shared" ca="1" si="14"/>
      </c>
      <c r="E43" s="80" t="s">
        <v>279</v>
      </c>
      <c r="F43" s="74">
        <f t="shared" ca="1" si="11"/>
      </c>
      <c r="G43" s="74">
        <f t="shared" si="15"/>
      </c>
      <c r="H43" s="80" t="s">
        <v>272</v>
      </c>
      <c r="I43" s="74">
        <f t="shared" si="12"/>
      </c>
      <c r="J43" s="74">
        <f t="shared" si="16"/>
      </c>
      <c r="K43" s="80" t="s">
        <v>280</v>
      </c>
      <c r="L43" s="74">
        <f t="shared" si="17"/>
      </c>
      <c r="M43" s="74">
        <f t="shared" ca="1" si="18"/>
      </c>
      <c r="N43" s="74">
        <f ca="1">VLOOKUP(B43,$C$7:$T41,13,FALSE)</f>
      </c>
      <c r="O43" s="74">
        <f t="shared" ca="1" si="19"/>
      </c>
      <c r="P43" s="74">
        <f t="shared" ca="1" si="20"/>
      </c>
      <c r="Q43" s="74">
        <f t="shared" ca="1" si="21"/>
      </c>
      <c r="R43" s="74">
        <f t="shared" si="22"/>
      </c>
      <c r="S43" s="74">
        <f t="shared" ca="1" si="23"/>
      </c>
      <c r="T43" s="74">
        <f t="shared" si="24"/>
      </c>
    </row>
    <row r="44" spans="2:20" x14ac:dyDescent="0.3">
      <c r="B44" s="74">
        <f t="shared" ca="1" si="13"/>
      </c>
      <c r="C44" s="78">
        <f>Кабельный_журнал!P10</f>
      </c>
      <c r="D44" s="74">
        <f t="shared" ca="1" si="14"/>
      </c>
      <c r="E44" s="80" t="s">
        <v>279</v>
      </c>
      <c r="F44" s="74">
        <f t="shared" ca="1" si="11"/>
      </c>
      <c r="G44" s="74">
        <f t="shared" si="15"/>
      </c>
      <c r="H44" s="80" t="s">
        <v>272</v>
      </c>
      <c r="I44" s="74">
        <f t="shared" si="12"/>
      </c>
      <c r="J44" s="74">
        <f t="shared" si="16"/>
      </c>
      <c r="K44" s="80" t="s">
        <v>280</v>
      </c>
      <c r="L44" s="74">
        <f t="shared" si="17"/>
      </c>
      <c r="M44" s="74">
        <f t="shared" ca="1" si="18"/>
      </c>
      <c r="N44" s="74">
        <f ca="1">VLOOKUP(B44,$C$7:$T42,13,FALSE)</f>
      </c>
      <c r="O44" s="74">
        <f t="shared" ca="1" si="19"/>
      </c>
      <c r="P44" s="74">
        <f t="shared" ca="1" si="20"/>
      </c>
      <c r="Q44" s="74">
        <f t="shared" ca="1" si="21"/>
      </c>
      <c r="R44" s="74">
        <f t="shared" si="22"/>
      </c>
      <c r="S44" s="74">
        <f t="shared" ca="1" si="23"/>
      </c>
      <c r="T44" s="74">
        <f t="shared" si="24"/>
      </c>
    </row>
    <row r="45" spans="2:20" x14ac:dyDescent="0.3">
      <c r="B45" s="74">
        <f t="shared" ca="1" si="13"/>
      </c>
      <c r="C45" s="78">
        <f>Кабельный_журнал!P11</f>
      </c>
      <c r="D45" s="74">
        <f t="shared" ca="1" si="14"/>
      </c>
      <c r="E45" s="80" t="s">
        <v>279</v>
      </c>
      <c r="F45" s="74">
        <f t="shared" ca="1" si="11"/>
      </c>
      <c r="G45" s="74">
        <f t="shared" si="15"/>
      </c>
      <c r="H45" s="80" t="s">
        <v>272</v>
      </c>
      <c r="I45" s="74">
        <f t="shared" si="12"/>
      </c>
      <c r="J45" s="74">
        <f t="shared" si="16"/>
      </c>
      <c r="K45" s="80" t="s">
        <v>280</v>
      </c>
      <c r="L45" s="74">
        <f t="shared" si="17"/>
      </c>
      <c r="M45" s="74">
        <f t="shared" ca="1" si="18"/>
      </c>
      <c r="N45" s="74">
        <f ca="1">VLOOKUP(B45,$C$7:$T43,13,FALSE)</f>
      </c>
      <c r="O45" s="74">
        <f t="shared" ca="1" si="19"/>
      </c>
      <c r="P45" s="74">
        <f t="shared" ca="1" si="20"/>
      </c>
      <c r="Q45" s="74">
        <f t="shared" ca="1" si="21"/>
      </c>
      <c r="R45" s="74">
        <f t="shared" si="22"/>
      </c>
      <c r="S45" s="74">
        <f t="shared" ca="1" si="23"/>
      </c>
      <c r="T45" s="74">
        <f t="shared" si="24"/>
      </c>
    </row>
    <row r="46" spans="2:20" x14ac:dyDescent="0.3">
      <c r="B46" s="74">
        <f t="shared" ca="1" si="13"/>
      </c>
      <c r="C46" s="78">
        <f>Кабельный_журнал!P12</f>
      </c>
      <c r="D46" s="74">
        <f t="shared" ca="1" si="14"/>
      </c>
      <c r="E46" s="80" t="s">
        <v>279</v>
      </c>
      <c r="F46" s="74">
        <f t="shared" ca="1" si="11"/>
      </c>
      <c r="G46" s="74">
        <f t="shared" si="15"/>
      </c>
      <c r="H46" s="80" t="s">
        <v>272</v>
      </c>
      <c r="I46" s="74">
        <f t="shared" si="12"/>
      </c>
      <c r="J46" s="74">
        <f t="shared" si="16"/>
      </c>
      <c r="K46" s="80" t="s">
        <v>280</v>
      </c>
      <c r="L46" s="74">
        <f t="shared" si="17"/>
      </c>
      <c r="M46" s="74">
        <f t="shared" ca="1" si="18"/>
      </c>
      <c r="N46" s="74">
        <f ca="1">VLOOKUP(B46,$C$7:$T44,13,FALSE)</f>
      </c>
      <c r="O46" s="74">
        <f t="shared" ca="1" si="19"/>
      </c>
      <c r="P46" s="74">
        <f t="shared" ca="1" si="20"/>
      </c>
      <c r="Q46" s="74">
        <f t="shared" ca="1" si="21"/>
      </c>
      <c r="R46" s="74">
        <f t="shared" si="22"/>
      </c>
      <c r="S46" s="74">
        <f t="shared" ca="1" si="23"/>
      </c>
      <c r="T46" s="74">
        <f t="shared" si="24"/>
      </c>
    </row>
    <row r="47" spans="2:20" x14ac:dyDescent="0.3">
      <c r="B47" s="74">
        <f t="shared" ca="1" si="13"/>
      </c>
      <c r="C47" s="78">
        <f>Кабельный_журнал!P13</f>
      </c>
      <c r="D47" s="74">
        <f t="shared" ca="1" si="14"/>
      </c>
      <c r="E47" s="80" t="s">
        <v>279</v>
      </c>
      <c r="F47" s="74">
        <f t="shared" ca="1" si="11"/>
      </c>
      <c r="G47" s="74">
        <f t="shared" si="15"/>
      </c>
      <c r="H47" s="80" t="s">
        <v>272</v>
      </c>
      <c r="I47" s="74">
        <f t="shared" si="12"/>
      </c>
      <c r="J47" s="74">
        <f t="shared" si="16"/>
      </c>
      <c r="K47" s="80" t="s">
        <v>280</v>
      </c>
      <c r="L47" s="74">
        <f t="shared" si="17"/>
      </c>
      <c r="M47" s="74">
        <f t="shared" ca="1" si="18"/>
      </c>
      <c r="N47" s="74">
        <f ca="1">VLOOKUP(B47,$C$7:$T45,13,FALSE)</f>
      </c>
      <c r="O47" s="74">
        <f t="shared" ca="1" si="19"/>
      </c>
      <c r="P47" s="74">
        <f t="shared" ca="1" si="20"/>
      </c>
      <c r="Q47" s="74">
        <f t="shared" ca="1" si="21"/>
      </c>
      <c r="R47" s="74">
        <f t="shared" si="22"/>
      </c>
      <c r="S47" s="74">
        <f t="shared" ca="1" si="23"/>
      </c>
      <c r="T47" s="74">
        <f t="shared" si="24"/>
      </c>
    </row>
    <row r="48" spans="2:20" x14ac:dyDescent="0.3">
      <c r="B48" s="74">
        <f t="shared" ca="1" si="13"/>
      </c>
      <c r="C48" s="78">
        <f>Кабельный_журнал!P14</f>
      </c>
      <c r="D48" s="74">
        <f t="shared" ca="1" si="14"/>
      </c>
      <c r="E48" s="80" t="s">
        <v>279</v>
      </c>
      <c r="F48" s="74">
        <f t="shared" ca="1" si="11"/>
      </c>
      <c r="G48" s="74">
        <f t="shared" si="15"/>
      </c>
      <c r="H48" s="80" t="s">
        <v>272</v>
      </c>
      <c r="I48" s="74">
        <f t="shared" si="12"/>
      </c>
      <c r="J48" s="74">
        <f t="shared" si="16"/>
      </c>
      <c r="K48" s="80" t="s">
        <v>280</v>
      </c>
      <c r="L48" s="74">
        <f t="shared" si="17"/>
      </c>
      <c r="M48" s="74">
        <f t="shared" ca="1" si="18"/>
      </c>
      <c r="N48" s="74">
        <f ca="1">VLOOKUP(B48,$C$7:$T46,13,FALSE)</f>
      </c>
      <c r="O48" s="74">
        <f t="shared" ca="1" si="19"/>
      </c>
      <c r="P48" s="74">
        <f t="shared" ca="1" si="20"/>
      </c>
      <c r="Q48" s="74">
        <f t="shared" ca="1" si="21"/>
      </c>
      <c r="R48" s="74">
        <f t="shared" si="22"/>
      </c>
      <c r="S48" s="74">
        <f t="shared" ca="1" si="23"/>
      </c>
      <c r="T48" s="74">
        <f t="shared" si="24"/>
      </c>
    </row>
    <row r="49" spans="2:20" x14ac:dyDescent="0.3">
      <c r="B49" s="74">
        <f t="shared" ca="1" si="13"/>
      </c>
      <c r="C49" s="78">
        <f>Кабельный_журнал!P15</f>
      </c>
      <c r="D49" s="74">
        <f t="shared" ca="1" si="14"/>
      </c>
      <c r="E49" s="80" t="s">
        <v>279</v>
      </c>
      <c r="F49" s="74">
        <f t="shared" ca="1" si="11"/>
      </c>
      <c r="G49" s="74">
        <f t="shared" si="15"/>
      </c>
      <c r="H49" s="80" t="s">
        <v>272</v>
      </c>
      <c r="I49" s="74">
        <f t="shared" si="12"/>
      </c>
      <c r="J49" s="74">
        <f t="shared" si="16"/>
      </c>
      <c r="K49" s="80" t="s">
        <v>280</v>
      </c>
      <c r="L49" s="74">
        <f t="shared" si="17"/>
      </c>
      <c r="M49" s="74">
        <f t="shared" ca="1" si="18"/>
      </c>
      <c r="N49" s="74">
        <f ca="1">VLOOKUP(B49,$C$7:$T47,13,FALSE)</f>
      </c>
      <c r="O49" s="74">
        <f t="shared" ca="1" si="19"/>
      </c>
      <c r="P49" s="74">
        <f t="shared" ca="1" si="20"/>
      </c>
      <c r="Q49" s="74">
        <f t="shared" ca="1" si="21"/>
      </c>
      <c r="R49" s="74">
        <f t="shared" si="22"/>
      </c>
      <c r="S49" s="74">
        <f t="shared" ca="1" si="23"/>
      </c>
      <c r="T49" s="74">
        <f t="shared" si="24"/>
      </c>
    </row>
    <row r="50" spans="2:20" x14ac:dyDescent="0.3">
      <c r="B50" s="74">
        <f t="shared" ca="1" si="13"/>
      </c>
      <c r="C50" s="78">
        <f>Кабельный_журнал!P16</f>
      </c>
      <c r="D50" s="74">
        <f t="shared" ca="1" si="14"/>
      </c>
      <c r="E50" s="80" t="s">
        <v>279</v>
      </c>
      <c r="F50" s="74">
        <f t="shared" ca="1" si="11"/>
      </c>
      <c r="G50" s="74">
        <f t="shared" si="15"/>
      </c>
      <c r="H50" s="80" t="s">
        <v>272</v>
      </c>
      <c r="I50" s="74">
        <f t="shared" si="12"/>
      </c>
      <c r="J50" s="74">
        <f t="shared" si="16"/>
      </c>
      <c r="K50" s="80" t="s">
        <v>280</v>
      </c>
      <c r="L50" s="74">
        <f t="shared" si="17"/>
      </c>
      <c r="M50" s="74">
        <f t="shared" ca="1" si="18"/>
      </c>
      <c r="N50" s="74">
        <f ca="1">VLOOKUP(B50,$C$7:$T48,13,FALSE)</f>
      </c>
      <c r="O50" s="74">
        <f t="shared" ca="1" si="19"/>
      </c>
      <c r="P50" s="74">
        <f t="shared" ca="1" si="20"/>
      </c>
      <c r="Q50" s="74">
        <f t="shared" ca="1" si="21"/>
      </c>
      <c r="R50" s="74">
        <f t="shared" si="22"/>
      </c>
      <c r="S50" s="74">
        <f t="shared" ca="1" si="23"/>
      </c>
      <c r="T50" s="74">
        <f t="shared" si="24"/>
      </c>
    </row>
    <row r="51" spans="2:20" x14ac:dyDescent="0.3">
      <c r="B51" s="74">
        <f t="shared" ca="1" si="13"/>
      </c>
      <c r="C51" s="78">
        <f>Кабельный_журнал!P17</f>
      </c>
      <c r="D51" s="74">
        <f t="shared" ca="1" si="14"/>
      </c>
      <c r="E51" s="80" t="s">
        <v>279</v>
      </c>
      <c r="F51" s="74">
        <f t="shared" ca="1" si="11"/>
      </c>
      <c r="G51" s="74">
        <f t="shared" si="15"/>
      </c>
      <c r="H51" s="80" t="s">
        <v>272</v>
      </c>
      <c r="I51" s="74">
        <f t="shared" si="12"/>
      </c>
      <c r="J51" s="74">
        <f t="shared" si="16"/>
      </c>
      <c r="K51" s="80" t="s">
        <v>280</v>
      </c>
      <c r="L51" s="74">
        <f t="shared" si="17"/>
      </c>
      <c r="M51" s="74">
        <f t="shared" ca="1" si="18"/>
      </c>
      <c r="N51" s="74">
        <f ca="1">VLOOKUP(B51,$C$7:$T49,13,FALSE)</f>
      </c>
      <c r="O51" s="74">
        <f t="shared" ca="1" si="19"/>
      </c>
      <c r="P51" s="74">
        <f t="shared" ca="1" si="20"/>
      </c>
      <c r="Q51" s="74">
        <f t="shared" ca="1" si="21"/>
      </c>
      <c r="R51" s="74">
        <f t="shared" si="22"/>
      </c>
      <c r="S51" s="74">
        <f t="shared" ca="1" si="23"/>
      </c>
      <c r="T51" s="74">
        <f t="shared" si="24"/>
      </c>
    </row>
    <row r="52" spans="2:20" x14ac:dyDescent="0.3">
      <c r="B52" s="74">
        <f t="shared" ca="1" si="13"/>
      </c>
      <c r="C52" s="78">
        <f>Кабельный_журнал!P18</f>
      </c>
      <c r="D52" s="74">
        <f t="shared" ca="1" si="14"/>
      </c>
      <c r="E52" s="80" t="s">
        <v>279</v>
      </c>
      <c r="F52" s="74">
        <f t="shared" ca="1" si="11"/>
      </c>
      <c r="G52" s="74">
        <f t="shared" si="15"/>
      </c>
      <c r="H52" s="80" t="s">
        <v>272</v>
      </c>
      <c r="I52" s="74">
        <f t="shared" si="12"/>
      </c>
      <c r="J52" s="74">
        <f t="shared" si="16"/>
      </c>
      <c r="K52" s="80" t="s">
        <v>280</v>
      </c>
      <c r="L52" s="74">
        <f t="shared" si="17"/>
      </c>
      <c r="M52" s="74">
        <f t="shared" ca="1" si="18"/>
      </c>
      <c r="N52" s="74">
        <f ca="1">VLOOKUP(B52,$C$7:$T50,13,FALSE)</f>
      </c>
      <c r="O52" s="74">
        <f t="shared" ca="1" si="19"/>
      </c>
      <c r="P52" s="74">
        <f t="shared" ca="1" si="20"/>
      </c>
      <c r="Q52" s="74">
        <f t="shared" ca="1" si="21"/>
      </c>
      <c r="R52" s="74">
        <f t="shared" si="22"/>
      </c>
      <c r="S52" s="74">
        <f t="shared" ca="1" si="23"/>
      </c>
      <c r="T52" s="74">
        <f t="shared" si="24"/>
      </c>
    </row>
    <row r="53" spans="2:20" x14ac:dyDescent="0.3">
      <c r="B53" s="74">
        <f t="shared" ca="1" si="13"/>
      </c>
      <c r="C53" s="78">
        <f>Кабельный_журнал!P19</f>
      </c>
      <c r="D53" s="74">
        <f t="shared" ca="1" si="14"/>
      </c>
      <c r="E53" s="80" t="s">
        <v>279</v>
      </c>
      <c r="F53" s="74">
        <f t="shared" ca="1" si="11"/>
      </c>
      <c r="G53" s="74">
        <f t="shared" si="15"/>
      </c>
      <c r="H53" s="80" t="s">
        <v>272</v>
      </c>
      <c r="I53" s="74">
        <f t="shared" si="12"/>
      </c>
      <c r="J53" s="74">
        <f t="shared" si="16"/>
      </c>
      <c r="K53" s="80" t="s">
        <v>280</v>
      </c>
      <c r="L53" s="74">
        <f t="shared" si="17"/>
      </c>
      <c r="M53" s="74">
        <f t="shared" ca="1" si="18"/>
      </c>
      <c r="N53" s="74">
        <f ca="1">VLOOKUP(B53,$C$7:$T51,13,FALSE)</f>
      </c>
      <c r="O53" s="74">
        <f t="shared" ca="1" si="19"/>
      </c>
      <c r="P53" s="74">
        <f t="shared" ca="1" si="20"/>
      </c>
      <c r="Q53" s="74">
        <f t="shared" ca="1" si="21"/>
      </c>
      <c r="R53" s="74">
        <f t="shared" si="22"/>
      </c>
      <c r="S53" s="74">
        <f t="shared" ca="1" si="23"/>
      </c>
      <c r="T53" s="74">
        <f t="shared" si="24"/>
      </c>
    </row>
    <row r="54" spans="2:20" x14ac:dyDescent="0.3">
      <c r="B54" s="74">
        <f t="shared" ca="1" si="13"/>
      </c>
      <c r="C54" s="78">
        <f>Кабельный_журнал!P20</f>
      </c>
      <c r="D54" s="74">
        <f t="shared" ca="1" si="14"/>
      </c>
      <c r="E54" s="80" t="s">
        <v>279</v>
      </c>
      <c r="F54" s="74">
        <f t="shared" ca="1" si="11"/>
      </c>
      <c r="G54" s="74">
        <f t="shared" si="15"/>
      </c>
      <c r="H54" s="80" t="s">
        <v>272</v>
      </c>
      <c r="I54" s="74">
        <f t="shared" si="12"/>
      </c>
      <c r="J54" s="74">
        <f t="shared" si="16"/>
      </c>
      <c r="K54" s="80" t="s">
        <v>280</v>
      </c>
      <c r="L54" s="74">
        <f t="shared" si="17"/>
      </c>
      <c r="M54" s="74">
        <f t="shared" ca="1" si="18"/>
      </c>
      <c r="N54" s="74">
        <f ca="1">VLOOKUP(B54,$C$7:$T52,13,FALSE)</f>
      </c>
      <c r="O54" s="74">
        <f t="shared" ca="1" si="19"/>
      </c>
      <c r="P54" s="74">
        <f t="shared" ca="1" si="20"/>
      </c>
      <c r="Q54" s="74">
        <f t="shared" ca="1" si="21"/>
      </c>
      <c r="R54" s="74">
        <f t="shared" si="22"/>
      </c>
      <c r="S54" s="74">
        <f t="shared" ca="1" si="23"/>
      </c>
      <c r="T54" s="74">
        <f t="shared" si="24"/>
      </c>
    </row>
    <row r="55" spans="2:20" x14ac:dyDescent="0.3">
      <c r="B55" s="74">
        <f t="shared" ca="1" si="13"/>
      </c>
      <c r="C55" s="78">
        <f>Кабельный_журнал!P21</f>
      </c>
      <c r="D55" s="74">
        <f t="shared" ca="1" si="14"/>
      </c>
      <c r="E55" s="80" t="s">
        <v>279</v>
      </c>
      <c r="F55" s="74">
        <f t="shared" ca="1" si="11"/>
      </c>
      <c r="G55" s="74">
        <f t="shared" si="15"/>
      </c>
      <c r="H55" s="80" t="s">
        <v>272</v>
      </c>
      <c r="I55" s="74">
        <f t="shared" si="12"/>
      </c>
      <c r="J55" s="74">
        <f t="shared" si="16"/>
      </c>
      <c r="K55" s="80" t="s">
        <v>280</v>
      </c>
      <c r="L55" s="74">
        <f t="shared" si="17"/>
      </c>
      <c r="M55" s="74">
        <f t="shared" ca="1" si="18"/>
      </c>
      <c r="N55" s="74">
        <f ca="1">VLOOKUP(B55,$C$7:$T53,13,FALSE)</f>
      </c>
      <c r="O55" s="74">
        <f t="shared" ca="1" si="19"/>
      </c>
      <c r="P55" s="74">
        <f t="shared" ca="1" si="20"/>
      </c>
      <c r="Q55" s="74">
        <f t="shared" ca="1" si="21"/>
      </c>
      <c r="R55" s="74">
        <f t="shared" si="22"/>
      </c>
      <c r="S55" s="74">
        <f t="shared" ca="1" si="23"/>
      </c>
      <c r="T55" s="74">
        <f t="shared" si="24"/>
      </c>
    </row>
    <row r="56" spans="2:20" x14ac:dyDescent="0.3">
      <c r="B56" s="74">
        <f t="shared" ca="1" si="13"/>
      </c>
      <c r="C56" s="78">
        <f>Кабельный_журнал!P22</f>
      </c>
      <c r="D56" s="74">
        <f t="shared" ca="1" si="14"/>
      </c>
      <c r="E56" s="80" t="s">
        <v>279</v>
      </c>
      <c r="F56" s="74">
        <f t="shared" ca="1" si="11"/>
      </c>
      <c r="G56" s="74">
        <f t="shared" si="15"/>
      </c>
      <c r="H56" s="80" t="s">
        <v>272</v>
      </c>
      <c r="I56" s="74">
        <f t="shared" si="12"/>
      </c>
      <c r="J56" s="74">
        <f t="shared" si="16"/>
      </c>
      <c r="K56" s="80" t="s">
        <v>280</v>
      </c>
      <c r="L56" s="74">
        <f t="shared" si="17"/>
      </c>
      <c r="M56" s="74">
        <f t="shared" ca="1" si="18"/>
      </c>
      <c r="N56" s="74">
        <f ca="1">VLOOKUP(B56,$C$7:$T54,13,FALSE)</f>
      </c>
      <c r="O56" s="74">
        <f t="shared" ca="1" si="19"/>
      </c>
      <c r="P56" s="74">
        <f t="shared" ca="1" si="20"/>
      </c>
      <c r="Q56" s="74">
        <f t="shared" ca="1" si="21"/>
      </c>
      <c r="R56" s="74">
        <f t="shared" si="22"/>
      </c>
      <c r="S56" s="74">
        <f t="shared" ca="1" si="23"/>
      </c>
      <c r="T56" s="74">
        <f t="shared" si="24"/>
      </c>
    </row>
    <row r="57" spans="2:20" x14ac:dyDescent="0.3">
      <c r="B57" s="74">
        <f t="shared" ca="1" si="13"/>
      </c>
      <c r="C57" s="78">
        <f>Кабельный_журнал!P23</f>
      </c>
      <c r="D57" s="74">
        <f t="shared" ca="1" si="14"/>
      </c>
      <c r="E57" s="80" t="s">
        <v>279</v>
      </c>
      <c r="F57" s="74">
        <f t="shared" ca="1" si="11"/>
      </c>
      <c r="G57" s="74">
        <f t="shared" si="15"/>
      </c>
      <c r="H57" s="80" t="s">
        <v>272</v>
      </c>
      <c r="I57" s="74">
        <f t="shared" si="12"/>
      </c>
      <c r="J57" s="74">
        <f t="shared" si="16"/>
      </c>
      <c r="K57" s="80" t="s">
        <v>280</v>
      </c>
      <c r="L57" s="74">
        <f t="shared" si="17"/>
      </c>
      <c r="M57" s="74">
        <f t="shared" ca="1" si="18"/>
      </c>
      <c r="N57" s="74">
        <f ca="1">VLOOKUP(B57,$C$7:$T55,13,FALSE)</f>
      </c>
      <c r="O57" s="74">
        <f t="shared" ca="1" si="19"/>
      </c>
      <c r="P57" s="74">
        <f t="shared" ca="1" si="20"/>
      </c>
      <c r="Q57" s="74">
        <f t="shared" ca="1" si="21"/>
      </c>
      <c r="R57" s="74">
        <f t="shared" si="22"/>
      </c>
      <c r="S57" s="74">
        <f t="shared" ca="1" si="23"/>
      </c>
      <c r="T57" s="74">
        <f t="shared" si="24"/>
      </c>
    </row>
    <row r="58" spans="2:20" x14ac:dyDescent="0.3">
      <c r="B58" s="74">
        <f t="shared" ca="1" si="13"/>
      </c>
      <c r="C58" s="78">
        <f>Кабельный_журнал!P24</f>
      </c>
      <c r="D58" s="74">
        <f t="shared" ca="1" si="14"/>
      </c>
      <c r="E58" s="80" t="s">
        <v>279</v>
      </c>
      <c r="F58" s="74">
        <f t="shared" ca="1" si="11"/>
      </c>
      <c r="G58" s="74">
        <f t="shared" si="15"/>
      </c>
      <c r="H58" s="80" t="s">
        <v>272</v>
      </c>
      <c r="I58" s="74">
        <f t="shared" si="12"/>
      </c>
      <c r="J58" s="74">
        <f t="shared" si="16"/>
      </c>
      <c r="K58" s="80" t="s">
        <v>280</v>
      </c>
      <c r="L58" s="74">
        <f t="shared" si="17"/>
      </c>
      <c r="M58" s="74">
        <f t="shared" ca="1" si="18"/>
      </c>
      <c r="N58" s="74">
        <f ca="1">VLOOKUP(B58,$C$7:$T56,13,FALSE)</f>
      </c>
      <c r="O58" s="74">
        <f t="shared" ca="1" si="19"/>
      </c>
      <c r="P58" s="74">
        <f t="shared" ca="1" si="20"/>
      </c>
      <c r="Q58" s="74">
        <f t="shared" ca="1" si="21"/>
      </c>
      <c r="R58" s="74">
        <f t="shared" si="22"/>
      </c>
      <c r="S58" s="74">
        <f t="shared" ca="1" si="23"/>
      </c>
      <c r="T58" s="74">
        <f t="shared" si="24"/>
      </c>
    </row>
    <row r="59" spans="2:20" x14ac:dyDescent="0.3">
      <c r="B59" s="74">
        <f t="shared" ca="1" si="13"/>
      </c>
      <c r="C59" s="78">
        <f>Кабельный_журнал!P25</f>
      </c>
      <c r="D59" s="74">
        <f t="shared" ca="1" si="14"/>
      </c>
      <c r="E59" s="80" t="s">
        <v>279</v>
      </c>
      <c r="F59" s="74">
        <f t="shared" ca="1" si="11"/>
      </c>
      <c r="G59" s="74">
        <f t="shared" si="15"/>
      </c>
      <c r="H59" s="80" t="s">
        <v>272</v>
      </c>
      <c r="I59" s="74">
        <f t="shared" si="12"/>
      </c>
      <c r="J59" s="74">
        <f t="shared" si="16"/>
      </c>
      <c r="K59" s="80" t="s">
        <v>280</v>
      </c>
      <c r="L59" s="74">
        <f t="shared" si="17"/>
      </c>
      <c r="M59" s="74">
        <f t="shared" ca="1" si="18"/>
      </c>
      <c r="N59" s="74">
        <f ca="1">VLOOKUP(B59,$C$7:$T57,13,FALSE)</f>
      </c>
      <c r="O59" s="74">
        <f t="shared" ca="1" si="19"/>
      </c>
      <c r="P59" s="74">
        <f t="shared" ca="1" si="20"/>
      </c>
      <c r="Q59" s="74">
        <f t="shared" ca="1" si="21"/>
      </c>
      <c r="R59" s="74">
        <f t="shared" si="22"/>
      </c>
      <c r="S59" s="74">
        <f t="shared" ca="1" si="23"/>
      </c>
      <c r="T59" s="74">
        <f t="shared" si="24"/>
      </c>
    </row>
    <row r="60" spans="2:20" x14ac:dyDescent="0.3">
      <c r="B60" s="74">
        <f t="shared" ca="1" si="13"/>
      </c>
      <c r="C60" s="78">
        <f>Кабельный_журнал!P26</f>
      </c>
      <c r="D60" s="74">
        <f t="shared" ca="1" si="14"/>
      </c>
      <c r="E60" s="80" t="s">
        <v>279</v>
      </c>
      <c r="F60" s="74">
        <f t="shared" ca="1" si="11"/>
      </c>
      <c r="G60" s="74">
        <f t="shared" si="15"/>
      </c>
      <c r="H60" s="80" t="s">
        <v>272</v>
      </c>
      <c r="I60" s="74">
        <f t="shared" si="12"/>
      </c>
      <c r="J60" s="74">
        <f t="shared" si="16"/>
      </c>
      <c r="K60" s="80" t="s">
        <v>280</v>
      </c>
      <c r="L60" s="74">
        <f t="shared" si="17"/>
      </c>
      <c r="M60" s="74">
        <f t="shared" ca="1" si="18"/>
      </c>
      <c r="N60" s="74">
        <f ca="1">VLOOKUP(B60,$C$7:$T58,13,FALSE)</f>
      </c>
      <c r="O60" s="74">
        <f t="shared" ca="1" si="19"/>
      </c>
      <c r="P60" s="74">
        <f t="shared" ca="1" si="20"/>
      </c>
      <c r="Q60" s="74">
        <f t="shared" ca="1" si="21"/>
      </c>
      <c r="R60" s="74">
        <f t="shared" si="22"/>
      </c>
      <c r="S60" s="74">
        <f t="shared" ca="1" si="23"/>
      </c>
      <c r="T60" s="74">
        <f t="shared" si="24"/>
      </c>
    </row>
    <row r="61" spans="2:20" x14ac:dyDescent="0.3">
      <c r="B61" s="74">
        <f t="shared" ca="1" si="13"/>
      </c>
      <c r="C61" s="78">
        <f>Кабельный_журнал!P27</f>
      </c>
      <c r="D61" s="74">
        <f t="shared" ca="1" si="14"/>
      </c>
      <c r="E61" s="80" t="s">
        <v>279</v>
      </c>
      <c r="F61" s="74">
        <f t="shared" ca="1" si="11"/>
      </c>
      <c r="G61" s="74">
        <f t="shared" si="15"/>
      </c>
      <c r="H61" s="80" t="s">
        <v>272</v>
      </c>
      <c r="I61" s="74">
        <f t="shared" si="12"/>
      </c>
      <c r="J61" s="74">
        <f t="shared" si="16"/>
      </c>
      <c r="K61" s="80" t="s">
        <v>280</v>
      </c>
      <c r="L61" s="74">
        <f t="shared" si="17"/>
      </c>
      <c r="M61" s="74">
        <f t="shared" ca="1" si="18"/>
      </c>
      <c r="N61" s="74">
        <f ca="1">VLOOKUP(B61,$C$7:$T59,13,FALSE)</f>
      </c>
      <c r="O61" s="74">
        <f t="shared" ca="1" si="19"/>
      </c>
      <c r="P61" s="74">
        <f t="shared" ca="1" si="20"/>
      </c>
      <c r="Q61" s="74">
        <f t="shared" ca="1" si="21"/>
      </c>
      <c r="R61" s="74">
        <f t="shared" si="22"/>
      </c>
      <c r="S61" s="74">
        <f t="shared" ca="1" si="23"/>
      </c>
      <c r="T61" s="74">
        <f t="shared" si="24"/>
      </c>
    </row>
    <row r="62" spans="2:20" x14ac:dyDescent="0.3">
      <c r="B62" s="74">
        <f t="shared" ca="1" si="13"/>
      </c>
      <c r="C62" s="78">
        <f>Кабельный_журнал!P28</f>
      </c>
      <c r="D62" s="74">
        <f t="shared" ca="1" si="14"/>
      </c>
      <c r="E62" s="80" t="s">
        <v>279</v>
      </c>
      <c r="F62" s="74">
        <f t="shared" ca="1" si="11"/>
      </c>
      <c r="G62" s="74">
        <f t="shared" si="15"/>
      </c>
      <c r="H62" s="80" t="s">
        <v>272</v>
      </c>
      <c r="I62" s="74">
        <f t="shared" si="12"/>
      </c>
      <c r="J62" s="74">
        <f t="shared" si="16"/>
      </c>
      <c r="K62" s="80" t="s">
        <v>280</v>
      </c>
      <c r="L62" s="74">
        <f t="shared" si="17"/>
      </c>
      <c r="M62" s="74">
        <f t="shared" ca="1" si="18"/>
      </c>
      <c r="N62" s="74">
        <f ca="1">VLOOKUP(B62,$C$7:$T60,13,FALSE)</f>
      </c>
      <c r="O62" s="74">
        <f t="shared" ca="1" si="19"/>
      </c>
      <c r="P62" s="74">
        <f t="shared" ca="1" si="20"/>
      </c>
      <c r="Q62" s="74">
        <f t="shared" ca="1" si="21"/>
      </c>
      <c r="R62" s="74">
        <f t="shared" si="22"/>
      </c>
      <c r="S62" s="74">
        <f t="shared" ca="1" si="23"/>
      </c>
      <c r="T62" s="74">
        <f t="shared" si="24"/>
      </c>
    </row>
    <row r="63" spans="2:20" x14ac:dyDescent="0.3">
      <c r="B63" s="74">
        <f t="shared" ca="1" si="13"/>
      </c>
      <c r="C63" s="78">
        <f>Кабельный_журнал!P29</f>
      </c>
      <c r="D63" s="74">
        <f t="shared" ca="1" si="14"/>
      </c>
      <c r="E63" s="80" t="s">
        <v>279</v>
      </c>
      <c r="F63" s="74">
        <f t="shared" ca="1" si="11"/>
      </c>
      <c r="G63" s="74">
        <f t="shared" si="15"/>
      </c>
      <c r="H63" s="80" t="s">
        <v>272</v>
      </c>
      <c r="I63" s="74">
        <f t="shared" si="12"/>
      </c>
      <c r="J63" s="74">
        <f t="shared" si="16"/>
      </c>
      <c r="K63" s="80" t="s">
        <v>280</v>
      </c>
      <c r="L63" s="74">
        <f t="shared" si="17"/>
      </c>
      <c r="M63" s="74">
        <f t="shared" ca="1" si="18"/>
      </c>
      <c r="N63" s="74">
        <f ca="1">VLOOKUP(B63,$C$7:$T61,13,FALSE)</f>
      </c>
      <c r="O63" s="74">
        <f t="shared" ca="1" si="19"/>
      </c>
      <c r="P63" s="74">
        <f t="shared" ca="1" si="20"/>
      </c>
      <c r="Q63" s="74">
        <f t="shared" ca="1" si="21"/>
      </c>
      <c r="R63" s="74">
        <f t="shared" si="22"/>
      </c>
      <c r="S63" s="74">
        <f t="shared" ca="1" si="23"/>
      </c>
      <c r="T63" s="74">
        <f t="shared" si="24"/>
      </c>
    </row>
    <row r="64" spans="2:20" x14ac:dyDescent="0.3">
      <c r="B64" s="74">
        <f t="shared" ca="1" si="13"/>
      </c>
      <c r="C64" s="78">
        <f>Кабельный_журнал!P30</f>
      </c>
      <c r="D64" s="74">
        <f t="shared" ca="1" si="14"/>
      </c>
      <c r="E64" s="80" t="s">
        <v>279</v>
      </c>
      <c r="F64" s="74">
        <f t="shared" ca="1" si="11"/>
      </c>
      <c r="G64" s="74">
        <f t="shared" si="15"/>
      </c>
      <c r="H64" s="80" t="s">
        <v>272</v>
      </c>
      <c r="I64" s="74">
        <f t="shared" si="12"/>
      </c>
      <c r="J64" s="74">
        <f t="shared" si="16"/>
      </c>
      <c r="K64" s="80" t="s">
        <v>280</v>
      </c>
      <c r="L64" s="74">
        <f t="shared" si="17"/>
      </c>
      <c r="M64" s="74">
        <f t="shared" ca="1" si="18"/>
      </c>
      <c r="N64" s="74">
        <f ca="1">VLOOKUP(B64,$C$7:$T62,13,FALSE)</f>
      </c>
      <c r="O64" s="74">
        <f t="shared" ca="1" si="19"/>
      </c>
      <c r="P64" s="74">
        <f t="shared" ca="1" si="20"/>
      </c>
      <c r="Q64" s="74">
        <f t="shared" ca="1" si="21"/>
      </c>
      <c r="R64" s="74">
        <f t="shared" si="22"/>
      </c>
      <c r="S64" s="74">
        <f t="shared" ca="1" si="23"/>
      </c>
      <c r="T64" s="74">
        <f t="shared" si="24"/>
      </c>
    </row>
    <row r="65" spans="2:20" x14ac:dyDescent="0.3">
      <c r="B65" s="74">
        <f t="shared" ca="1" si="13"/>
      </c>
      <c r="C65" s="78">
        <f>Кабельный_журнал!P31</f>
      </c>
      <c r="D65" s="74">
        <f t="shared" ca="1" si="14"/>
      </c>
      <c r="E65" s="80" t="s">
        <v>279</v>
      </c>
      <c r="F65" s="74">
        <f t="shared" ca="1" si="11"/>
      </c>
      <c r="G65" s="74">
        <f t="shared" si="15"/>
      </c>
      <c r="H65" s="80" t="s">
        <v>272</v>
      </c>
      <c r="I65" s="74">
        <f t="shared" si="12"/>
      </c>
      <c r="J65" s="74">
        <f t="shared" si="16"/>
      </c>
      <c r="K65" s="80" t="s">
        <v>280</v>
      </c>
      <c r="L65" s="74">
        <f t="shared" si="17"/>
      </c>
      <c r="M65" s="74">
        <f t="shared" ca="1" si="18"/>
      </c>
      <c r="N65" s="74">
        <f ca="1">VLOOKUP(B65,$C$7:$T63,13,FALSE)</f>
      </c>
      <c r="O65" s="74">
        <f t="shared" ca="1" si="19"/>
      </c>
      <c r="P65" s="74">
        <f t="shared" ca="1" si="20"/>
      </c>
      <c r="Q65" s="74">
        <f t="shared" ca="1" si="21"/>
      </c>
      <c r="R65" s="74">
        <f t="shared" si="22"/>
      </c>
      <c r="S65" s="74">
        <f t="shared" ca="1" si="23"/>
      </c>
      <c r="T65" s="74">
        <f t="shared" si="24"/>
      </c>
    </row>
    <row r="66" spans="2:20" x14ac:dyDescent="0.3">
      <c r="B66" s="74">
        <f t="shared" ca="1" si="13"/>
      </c>
      <c r="C66" s="78">
        <f>Кабельный_журнал!P32</f>
      </c>
      <c r="D66" s="74">
        <f t="shared" ca="1" si="14"/>
      </c>
      <c r="E66" s="80" t="s">
        <v>279</v>
      </c>
      <c r="F66" s="74">
        <f t="shared" ca="1" si="11"/>
      </c>
      <c r="G66" s="74">
        <f t="shared" si="15"/>
      </c>
      <c r="H66" s="80" t="s">
        <v>272</v>
      </c>
      <c r="I66" s="74">
        <f t="shared" si="12"/>
      </c>
      <c r="J66" s="74">
        <f t="shared" si="16"/>
      </c>
      <c r="K66" s="80" t="s">
        <v>280</v>
      </c>
      <c r="L66" s="74">
        <f t="shared" si="17"/>
      </c>
      <c r="M66" s="74">
        <f t="shared" ca="1" si="18"/>
      </c>
      <c r="N66" s="74">
        <f ca="1">VLOOKUP(B66,$C$7:$T64,13,FALSE)</f>
      </c>
      <c r="O66" s="74">
        <f t="shared" ca="1" si="19"/>
      </c>
      <c r="P66" s="74">
        <f t="shared" ca="1" si="20"/>
      </c>
      <c r="Q66" s="74">
        <f t="shared" ca="1" si="21"/>
      </c>
      <c r="R66" s="74">
        <f t="shared" si="22"/>
      </c>
      <c r="S66" s="74">
        <f t="shared" ca="1" si="23"/>
      </c>
      <c r="T66" s="74">
        <f t="shared" si="24"/>
      </c>
    </row>
    <row r="67" spans="2:20" x14ac:dyDescent="0.3">
      <c r="B67" s="74">
        <f t="shared" ca="1" si="13"/>
      </c>
      <c r="C67" s="78">
        <f>Кабельный_журнал!P33</f>
      </c>
      <c r="D67" s="74">
        <f t="shared" ca="1" si="14"/>
      </c>
      <c r="E67" s="80" t="s">
        <v>279</v>
      </c>
      <c r="F67" s="74">
        <f t="shared" ca="1" si="11"/>
      </c>
      <c r="G67" s="74">
        <f t="shared" si="15"/>
      </c>
      <c r="H67" s="80" t="s">
        <v>272</v>
      </c>
      <c r="I67" s="74">
        <f t="shared" si="12"/>
      </c>
      <c r="J67" s="74">
        <f t="shared" si="16"/>
      </c>
      <c r="K67" s="80" t="s">
        <v>280</v>
      </c>
      <c r="L67" s="74">
        <f t="shared" si="17"/>
      </c>
      <c r="M67" s="74">
        <f t="shared" ca="1" si="18"/>
      </c>
      <c r="N67" s="74">
        <f ca="1">VLOOKUP(B67,$C$7:$T65,13,FALSE)</f>
      </c>
      <c r="O67" s="74">
        <f t="shared" ca="1" si="19"/>
      </c>
      <c r="P67" s="74">
        <f t="shared" ca="1" si="20"/>
      </c>
      <c r="Q67" s="74">
        <f t="shared" ca="1" si="21"/>
      </c>
      <c r="R67" s="74">
        <f t="shared" si="22"/>
      </c>
      <c r="S67" s="74">
        <f t="shared" ca="1" si="23"/>
      </c>
      <c r="T67" s="74">
        <f t="shared" si="24"/>
      </c>
    </row>
    <row r="68" spans="2:20" x14ac:dyDescent="0.3">
      <c r="B68" s="74">
        <f t="shared" ca="1" si="13"/>
      </c>
      <c r="C68" s="78">
        <f>Кабельный_журнал!P34</f>
      </c>
      <c r="D68" s="74">
        <f t="shared" ca="1" si="14"/>
      </c>
      <c r="E68" s="80" t="s">
        <v>279</v>
      </c>
      <c r="F68" s="74">
        <f t="shared" ca="1" si="11"/>
      </c>
      <c r="G68" s="74">
        <f t="shared" si="15"/>
      </c>
      <c r="H68" s="80" t="s">
        <v>272</v>
      </c>
      <c r="I68" s="74">
        <f t="shared" si="12"/>
      </c>
      <c r="J68" s="74">
        <f t="shared" si="16"/>
      </c>
      <c r="K68" s="80" t="s">
        <v>280</v>
      </c>
      <c r="L68" s="74">
        <f t="shared" si="17"/>
      </c>
      <c r="M68" s="74">
        <f t="shared" ca="1" si="18"/>
      </c>
      <c r="N68" s="74">
        <f ca="1">VLOOKUP(B68,$C$7:$T66,13,FALSE)</f>
      </c>
      <c r="O68" s="74">
        <f t="shared" ca="1" si="19"/>
      </c>
      <c r="P68" s="74">
        <f t="shared" ca="1" si="20"/>
      </c>
      <c r="Q68" s="74">
        <f t="shared" ca="1" si="21"/>
      </c>
      <c r="R68" s="74">
        <f t="shared" si="22"/>
      </c>
      <c r="S68" s="74">
        <f t="shared" ca="1" si="23"/>
      </c>
      <c r="T68" s="74">
        <f t="shared" si="24"/>
      </c>
    </row>
    <row r="69" spans="2:20" x14ac:dyDescent="0.3">
      <c r="B69" s="74">
        <f t="shared" ca="1" si="13"/>
      </c>
      <c r="C69" s="78">
        <f>Кабельный_журнал!P35</f>
      </c>
      <c r="D69" s="74">
        <f t="shared" ca="1" si="14"/>
      </c>
      <c r="E69" s="80" t="s">
        <v>279</v>
      </c>
      <c r="F69" s="74">
        <f t="shared" ca="1" si="11"/>
      </c>
      <c r="G69" s="74">
        <f t="shared" si="15"/>
      </c>
      <c r="H69" s="80" t="s">
        <v>272</v>
      </c>
      <c r="I69" s="74">
        <f t="shared" si="12"/>
      </c>
      <c r="J69" s="74">
        <f t="shared" si="16"/>
      </c>
      <c r="K69" s="80" t="s">
        <v>280</v>
      </c>
      <c r="L69" s="74">
        <f t="shared" si="17"/>
      </c>
      <c r="M69" s="74">
        <f t="shared" ca="1" si="18"/>
      </c>
      <c r="N69" s="74">
        <f ca="1">VLOOKUP(B69,$C$7:$T67,13,FALSE)</f>
      </c>
      <c r="O69" s="74">
        <f t="shared" ca="1" si="19"/>
      </c>
      <c r="P69" s="74">
        <f t="shared" ca="1" si="20"/>
      </c>
      <c r="Q69" s="74">
        <f t="shared" ca="1" si="21"/>
      </c>
      <c r="R69" s="74">
        <f t="shared" si="22"/>
      </c>
      <c r="S69" s="74">
        <f t="shared" ca="1" si="23"/>
      </c>
      <c r="T69" s="74">
        <f t="shared" si="24"/>
      </c>
    </row>
    <row r="70" spans="2:20" x14ac:dyDescent="0.3">
      <c r="B70" s="74">
        <f t="shared" ca="1" si="13"/>
      </c>
      <c r="C70" s="78">
        <f>Кабельный_журнал!P36</f>
      </c>
      <c r="D70" s="74">
        <f t="shared" ca="1" si="14"/>
      </c>
      <c r="E70" s="80" t="s">
        <v>279</v>
      </c>
      <c r="F70" s="74">
        <f t="shared" ca="1" si="11"/>
      </c>
      <c r="G70" s="74">
        <f t="shared" si="15"/>
      </c>
      <c r="H70" s="80" t="s">
        <v>272</v>
      </c>
      <c r="I70" s="74">
        <f t="shared" si="12"/>
      </c>
      <c r="J70" s="74">
        <f t="shared" si="16"/>
      </c>
      <c r="K70" s="80" t="s">
        <v>280</v>
      </c>
      <c r="L70" s="74">
        <f t="shared" si="17"/>
      </c>
      <c r="M70" s="74">
        <f t="shared" ca="1" si="18"/>
      </c>
      <c r="N70" s="74">
        <f ca="1">VLOOKUP(B70,$C$7:$T68,13,FALSE)</f>
      </c>
      <c r="O70" s="74">
        <f t="shared" ca="1" si="19"/>
      </c>
      <c r="P70" s="74">
        <f t="shared" ca="1" si="20"/>
      </c>
      <c r="Q70" s="74">
        <f t="shared" ca="1" si="21"/>
      </c>
      <c r="R70" s="74">
        <f t="shared" si="22"/>
      </c>
      <c r="S70" s="74">
        <f t="shared" ca="1" si="23"/>
      </c>
      <c r="T70" s="74">
        <f t="shared" si="24"/>
      </c>
    </row>
    <row r="71" spans="2:20" x14ac:dyDescent="0.3">
      <c r="B71" s="74">
        <f t="shared" ca="1" si="13"/>
      </c>
      <c r="C71" s="78">
        <f>Кабельный_журнал!P37</f>
      </c>
      <c r="D71" s="74">
        <f t="shared" ca="1" si="14"/>
      </c>
      <c r="E71" s="80" t="s">
        <v>279</v>
      </c>
      <c r="F71" s="74">
        <f t="shared" ca="1" si="11"/>
      </c>
      <c r="G71" s="74">
        <f t="shared" si="15"/>
      </c>
      <c r="H71" s="80" t="s">
        <v>272</v>
      </c>
      <c r="I71" s="74">
        <f t="shared" si="12"/>
      </c>
      <c r="J71" s="74">
        <f t="shared" si="16"/>
      </c>
      <c r="K71" s="80" t="s">
        <v>280</v>
      </c>
      <c r="L71" s="74">
        <f t="shared" si="17"/>
      </c>
      <c r="M71" s="74">
        <f t="shared" ca="1" si="18"/>
      </c>
      <c r="N71" s="74">
        <f ca="1">VLOOKUP(B71,$C$7:$T69,13,FALSE)</f>
      </c>
      <c r="O71" s="74">
        <f t="shared" ca="1" si="19"/>
      </c>
      <c r="P71" s="74">
        <f t="shared" ca="1" si="20"/>
      </c>
      <c r="Q71" s="74">
        <f t="shared" ca="1" si="21"/>
      </c>
      <c r="R71" s="74">
        <f t="shared" si="22"/>
      </c>
      <c r="S71" s="74">
        <f t="shared" ca="1" si="23"/>
      </c>
      <c r="T71" s="74">
        <f t="shared" si="24"/>
      </c>
    </row>
    <row r="72" spans="2:20" x14ac:dyDescent="0.3">
      <c r="B72" s="74">
        <f t="shared" ca="1" si="13"/>
      </c>
      <c r="C72" s="78">
        <f>Кабельный_журнал!P38</f>
      </c>
      <c r="D72" s="74">
        <f t="shared" ca="1" si="14"/>
      </c>
      <c r="E72" s="80" t="s">
        <v>279</v>
      </c>
      <c r="F72" s="74">
        <f t="shared" ca="1" si="11"/>
      </c>
      <c r="G72" s="74">
        <f t="shared" si="15"/>
      </c>
      <c r="H72" s="80" t="s">
        <v>272</v>
      </c>
      <c r="I72" s="74">
        <f t="shared" si="12"/>
      </c>
      <c r="J72" s="74">
        <f t="shared" si="16"/>
      </c>
      <c r="K72" s="80" t="s">
        <v>280</v>
      </c>
      <c r="L72" s="74">
        <f t="shared" si="17"/>
      </c>
      <c r="M72" s="74">
        <f t="shared" ca="1" si="18"/>
      </c>
      <c r="N72" s="74">
        <f ca="1">VLOOKUP(B72,$C$7:$T70,13,FALSE)</f>
      </c>
      <c r="O72" s="74">
        <f t="shared" ca="1" si="19"/>
      </c>
      <c r="P72" s="74">
        <f t="shared" ca="1" si="20"/>
      </c>
      <c r="Q72" s="74">
        <f t="shared" ca="1" si="21"/>
      </c>
      <c r="R72" s="74">
        <f t="shared" si="22"/>
      </c>
      <c r="S72" s="74">
        <f t="shared" ca="1" si="23"/>
      </c>
      <c r="T72" s="74">
        <f t="shared" si="24"/>
      </c>
    </row>
    <row r="73" spans="2:20" x14ac:dyDescent="0.3">
      <c r="B73" s="74">
        <f t="shared" ca="1" si="13"/>
      </c>
      <c r="C73" s="78">
        <f>Кабельный_журнал!P39</f>
      </c>
      <c r="D73" s="74">
        <f t="shared" ca="1" si="14"/>
      </c>
      <c r="E73" s="80" t="s">
        <v>279</v>
      </c>
      <c r="F73" s="74">
        <f t="shared" ca="1" si="11"/>
      </c>
      <c r="G73" s="74">
        <f t="shared" si="15"/>
      </c>
      <c r="H73" s="80" t="s">
        <v>272</v>
      </c>
      <c r="I73" s="74">
        <f t="shared" si="12"/>
      </c>
      <c r="J73" s="74">
        <f t="shared" si="16"/>
      </c>
      <c r="K73" s="80" t="s">
        <v>280</v>
      </c>
      <c r="L73" s="74">
        <f t="shared" si="17"/>
      </c>
      <c r="M73" s="74">
        <f t="shared" ca="1" si="18"/>
      </c>
      <c r="N73" s="74">
        <f ca="1">VLOOKUP(B73,$C$7:$T71,13,FALSE)</f>
      </c>
      <c r="O73" s="74">
        <f t="shared" ca="1" si="19"/>
      </c>
      <c r="P73" s="74">
        <f t="shared" ca="1" si="20"/>
      </c>
      <c r="Q73" s="74">
        <f t="shared" ca="1" si="21"/>
      </c>
      <c r="R73" s="74">
        <f t="shared" si="22"/>
      </c>
      <c r="S73" s="74">
        <f t="shared" ca="1" si="23"/>
      </c>
      <c r="T73" s="74">
        <f t="shared" si="24"/>
      </c>
    </row>
    <row r="74" spans="2:20" x14ac:dyDescent="0.3">
      <c r="B74" s="74">
        <f t="shared" ca="1" si="13"/>
      </c>
      <c r="C74" s="78">
        <f>Кабельный_журнал!P40</f>
      </c>
      <c r="D74" s="74">
        <f t="shared" ca="1" si="14"/>
      </c>
      <c r="E74" s="80" t="s">
        <v>279</v>
      </c>
      <c r="F74" s="74">
        <f t="shared" ca="1" si="11"/>
      </c>
      <c r="G74" s="74">
        <f t="shared" si="15"/>
      </c>
      <c r="H74" s="80" t="s">
        <v>272</v>
      </c>
      <c r="I74" s="74">
        <f t="shared" si="12"/>
      </c>
      <c r="J74" s="74">
        <f t="shared" si="16"/>
      </c>
      <c r="K74" s="80" t="s">
        <v>280</v>
      </c>
      <c r="L74" s="74">
        <f t="shared" si="17"/>
      </c>
      <c r="M74" s="74">
        <f t="shared" ca="1" si="18"/>
      </c>
      <c r="N74" s="74">
        <f ca="1">VLOOKUP(B74,$C$7:$T72,13,FALSE)</f>
      </c>
      <c r="O74" s="74">
        <f t="shared" ca="1" si="19"/>
      </c>
      <c r="P74" s="74">
        <f t="shared" ca="1" si="20"/>
      </c>
      <c r="Q74" s="74">
        <f t="shared" ca="1" si="21"/>
      </c>
      <c r="R74" s="74">
        <f t="shared" si="22"/>
      </c>
      <c r="S74" s="74">
        <f t="shared" ca="1" si="23"/>
      </c>
      <c r="T74" s="74">
        <f t="shared" si="24"/>
      </c>
    </row>
    <row r="75" spans="2:20" x14ac:dyDescent="0.3">
      <c r="B75" s="74">
        <f t="shared" ca="1" si="13"/>
      </c>
      <c r="C75" s="78">
        <f>Кабельный_журнал!P41</f>
      </c>
      <c r="D75" s="74">
        <f t="shared" ca="1" si="14"/>
      </c>
      <c r="E75" s="80" t="s">
        <v>279</v>
      </c>
      <c r="F75" s="74">
        <f t="shared" ca="1" si="11"/>
      </c>
      <c r="G75" s="74">
        <f t="shared" si="15"/>
      </c>
      <c r="H75" s="80" t="s">
        <v>272</v>
      </c>
      <c r="I75" s="74">
        <f t="shared" si="12"/>
      </c>
      <c r="J75" s="74">
        <f t="shared" si="16"/>
      </c>
      <c r="K75" s="80" t="s">
        <v>280</v>
      </c>
      <c r="L75" s="74">
        <f t="shared" si="17"/>
      </c>
      <c r="M75" s="74">
        <f t="shared" ca="1" si="18"/>
      </c>
      <c r="N75" s="74">
        <f ca="1">VLOOKUP(B75,$C$7:$T73,13,FALSE)</f>
      </c>
      <c r="O75" s="74">
        <f t="shared" ca="1" si="19"/>
      </c>
      <c r="P75" s="74">
        <f t="shared" ca="1" si="20"/>
      </c>
      <c r="Q75" s="74">
        <f t="shared" ca="1" si="21"/>
      </c>
      <c r="R75" s="74">
        <f t="shared" si="22"/>
      </c>
      <c r="S75" s="74">
        <f t="shared" ca="1" si="23"/>
      </c>
      <c r="T75" s="74">
        <f t="shared" si="24"/>
      </c>
    </row>
    <row r="76" spans="2:20" x14ac:dyDescent="0.3">
      <c r="B76" s="74">
        <f t="shared" ca="1" si="13"/>
      </c>
      <c r="C76" s="78">
        <f>Кабельный_журнал!P42</f>
      </c>
      <c r="D76" s="74">
        <f t="shared" ca="1" si="14"/>
      </c>
      <c r="E76" s="80" t="s">
        <v>279</v>
      </c>
      <c r="F76" s="74">
        <f t="shared" ca="1" si="11"/>
      </c>
      <c r="G76" s="74">
        <f t="shared" si="15"/>
      </c>
      <c r="H76" s="80" t="s">
        <v>272</v>
      </c>
      <c r="I76" s="74">
        <f t="shared" si="12"/>
      </c>
      <c r="J76" s="74">
        <f t="shared" si="16"/>
      </c>
      <c r="K76" s="80" t="s">
        <v>280</v>
      </c>
      <c r="L76" s="74">
        <f t="shared" si="17"/>
      </c>
      <c r="M76" s="74">
        <f t="shared" ca="1" si="18"/>
      </c>
      <c r="N76" s="74">
        <f ca="1">VLOOKUP(B76,$C$7:$T74,13,FALSE)</f>
      </c>
      <c r="O76" s="74">
        <f t="shared" ca="1" si="19"/>
      </c>
      <c r="P76" s="74">
        <f t="shared" ca="1" si="20"/>
      </c>
      <c r="Q76" s="74">
        <f t="shared" ca="1" si="21"/>
      </c>
      <c r="R76" s="74">
        <f t="shared" si="22"/>
      </c>
      <c r="S76" s="74">
        <f t="shared" ca="1" si="23"/>
      </c>
      <c r="T76" s="74">
        <f t="shared" si="24"/>
      </c>
    </row>
    <row r="77" spans="2:20" x14ac:dyDescent="0.3">
      <c r="B77" s="74">
        <f t="shared" ca="1" si="13"/>
      </c>
      <c r="C77" s="78">
        <f>Кабельный_журнал!P43</f>
      </c>
      <c r="D77" s="74">
        <f t="shared" ca="1" si="14"/>
      </c>
      <c r="E77" s="80" t="s">
        <v>279</v>
      </c>
      <c r="F77" s="74">
        <f t="shared" ca="1" si="11"/>
      </c>
      <c r="G77" s="74">
        <f t="shared" si="15"/>
      </c>
      <c r="H77" s="80" t="s">
        <v>272</v>
      </c>
      <c r="I77" s="74">
        <f t="shared" si="12"/>
      </c>
      <c r="J77" s="74">
        <f t="shared" si="16"/>
      </c>
      <c r="K77" s="80" t="s">
        <v>280</v>
      </c>
      <c r="L77" s="74">
        <f t="shared" si="17"/>
      </c>
      <c r="M77" s="74">
        <f t="shared" ca="1" si="18"/>
      </c>
      <c r="N77" s="74">
        <f ca="1">VLOOKUP(B77,$C$7:$T75,13,FALSE)</f>
      </c>
      <c r="O77" s="74">
        <f t="shared" ca="1" si="19"/>
      </c>
      <c r="P77" s="74">
        <f t="shared" ca="1" si="20"/>
      </c>
      <c r="Q77" s="74">
        <f t="shared" ca="1" si="21"/>
      </c>
      <c r="R77" s="74">
        <f t="shared" si="22"/>
      </c>
      <c r="S77" s="74">
        <f t="shared" ca="1" si="23"/>
      </c>
      <c r="T77" s="74">
        <f t="shared" si="24"/>
      </c>
    </row>
    <row r="78" spans="2:20" x14ac:dyDescent="0.3">
      <c r="B78" s="74">
        <f t="shared" ca="1" si="13"/>
      </c>
      <c r="C78" s="78">
        <f>Кабельный_журнал!P44</f>
      </c>
      <c r="D78" s="74">
        <f t="shared" ca="1" si="14"/>
      </c>
      <c r="E78" s="80" t="s">
        <v>279</v>
      </c>
      <c r="F78" s="74">
        <f t="shared" ca="1" si="11"/>
      </c>
      <c r="G78" s="74">
        <f t="shared" si="15"/>
      </c>
      <c r="H78" s="80" t="s">
        <v>272</v>
      </c>
      <c r="I78" s="74">
        <f t="shared" si="12"/>
      </c>
      <c r="J78" s="74">
        <f t="shared" si="16"/>
      </c>
      <c r="K78" s="80" t="s">
        <v>280</v>
      </c>
      <c r="L78" s="74">
        <f t="shared" si="17"/>
      </c>
      <c r="M78" s="74">
        <f t="shared" ca="1" si="18"/>
      </c>
      <c r="N78" s="74">
        <f ca="1">VLOOKUP(B78,$C$7:$T76,13,FALSE)</f>
      </c>
      <c r="O78" s="74">
        <f t="shared" ca="1" si="19"/>
      </c>
      <c r="P78" s="74">
        <f t="shared" ca="1" si="20"/>
      </c>
      <c r="Q78" s="74">
        <f t="shared" ca="1" si="21"/>
      </c>
      <c r="R78" s="74">
        <f t="shared" si="22"/>
      </c>
      <c r="S78" s="74">
        <f t="shared" ca="1" si="23"/>
      </c>
      <c r="T78" s="74">
        <f t="shared" si="24"/>
      </c>
    </row>
    <row r="79" spans="2:20" x14ac:dyDescent="0.3">
      <c r="B79" s="74">
        <f t="shared" ca="1" si="13"/>
      </c>
      <c r="C79" s="78">
        <f>Кабельный_журнал!P45</f>
      </c>
      <c r="D79" s="74">
        <f t="shared" ca="1" si="14"/>
      </c>
      <c r="E79" s="80" t="s">
        <v>279</v>
      </c>
      <c r="F79" s="74">
        <f t="shared" ca="1" si="11"/>
      </c>
      <c r="G79" s="74">
        <f t="shared" si="15"/>
      </c>
      <c r="H79" s="80" t="s">
        <v>272</v>
      </c>
      <c r="I79" s="74">
        <f t="shared" si="12"/>
      </c>
      <c r="J79" s="74">
        <f t="shared" si="16"/>
      </c>
      <c r="K79" s="80" t="s">
        <v>280</v>
      </c>
      <c r="L79" s="74">
        <f t="shared" si="17"/>
      </c>
      <c r="M79" s="74">
        <f t="shared" ca="1" si="18"/>
      </c>
      <c r="N79" s="74">
        <f ca="1">VLOOKUP(B79,$C$7:$T77,13,FALSE)</f>
      </c>
      <c r="O79" s="74">
        <f t="shared" ca="1" si="19"/>
      </c>
      <c r="P79" s="74">
        <f t="shared" ca="1" si="20"/>
      </c>
      <c r="Q79" s="74">
        <f t="shared" ca="1" si="21"/>
      </c>
      <c r="R79" s="74">
        <f t="shared" si="22"/>
      </c>
      <c r="S79" s="74">
        <f t="shared" ca="1" si="23"/>
      </c>
      <c r="T79" s="74">
        <f t="shared" si="24"/>
      </c>
    </row>
    <row r="80" spans="2:20" x14ac:dyDescent="0.3">
      <c r="B80" s="74">
        <f t="shared" ca="1" si="13"/>
      </c>
      <c r="C80" s="78">
        <f>Кабельный_журнал!P46</f>
      </c>
      <c r="D80" s="74">
        <f t="shared" ca="1" si="14"/>
      </c>
      <c r="E80" s="80" t="s">
        <v>279</v>
      </c>
      <c r="F80" s="74">
        <f t="shared" ca="1" si="11"/>
      </c>
      <c r="G80" s="74">
        <f t="shared" si="15"/>
      </c>
      <c r="H80" s="80" t="s">
        <v>272</v>
      </c>
      <c r="I80" s="74">
        <f t="shared" si="12"/>
      </c>
      <c r="J80" s="74">
        <f t="shared" si="16"/>
      </c>
      <c r="K80" s="80" t="s">
        <v>280</v>
      </c>
      <c r="L80" s="74">
        <f t="shared" si="17"/>
      </c>
      <c r="M80" s="74">
        <f t="shared" ca="1" si="18"/>
      </c>
      <c r="N80" s="74">
        <f ca="1">VLOOKUP(B80,$C$7:$T78,13,FALSE)</f>
      </c>
      <c r="O80" s="74">
        <f t="shared" ca="1" si="19"/>
      </c>
      <c r="P80" s="74">
        <f t="shared" ca="1" si="20"/>
      </c>
      <c r="Q80" s="74">
        <f t="shared" ca="1" si="21"/>
      </c>
      <c r="R80" s="74">
        <f t="shared" si="22"/>
      </c>
      <c r="S80" s="74">
        <f t="shared" ca="1" si="23"/>
      </c>
      <c r="T80" s="74">
        <f t="shared" si="24"/>
      </c>
    </row>
    <row r="81" spans="2:20" x14ac:dyDescent="0.3">
      <c r="B81" s="74">
        <f t="shared" ca="1" si="13"/>
      </c>
      <c r="C81" s="78">
        <f>Кабельный_журнал!P47</f>
      </c>
      <c r="D81" s="74">
        <f t="shared" ca="1" si="14"/>
      </c>
      <c r="E81" s="80" t="s">
        <v>279</v>
      </c>
      <c r="F81" s="74">
        <f t="shared" ca="1" si="11"/>
      </c>
      <c r="G81" s="74">
        <f t="shared" si="15"/>
      </c>
      <c r="H81" s="80" t="s">
        <v>272</v>
      </c>
      <c r="I81" s="74">
        <f t="shared" si="12"/>
      </c>
      <c r="J81" s="74">
        <f t="shared" si="16"/>
      </c>
      <c r="K81" s="80" t="s">
        <v>280</v>
      </c>
      <c r="L81" s="74">
        <f t="shared" si="17"/>
      </c>
      <c r="M81" s="74">
        <f t="shared" ca="1" si="18"/>
      </c>
      <c r="N81" s="74">
        <f ca="1">VLOOKUP(B81,$C$7:$T79,13,FALSE)</f>
      </c>
      <c r="O81" s="74">
        <f t="shared" ca="1" si="19"/>
      </c>
      <c r="P81" s="74">
        <f t="shared" ca="1" si="20"/>
      </c>
      <c r="Q81" s="74">
        <f t="shared" ca="1" si="21"/>
      </c>
      <c r="R81" s="74">
        <f t="shared" si="22"/>
      </c>
      <c r="S81" s="74">
        <f t="shared" ca="1" si="23"/>
      </c>
      <c r="T81" s="74">
        <f t="shared" si="24"/>
      </c>
    </row>
    <row r="82" spans="2:20" x14ac:dyDescent="0.3">
      <c r="B82" s="74">
        <f t="shared" ca="1" si="13"/>
      </c>
      <c r="C82" s="78">
        <f>Кабельный_журнал!P48</f>
      </c>
      <c r="D82" s="74">
        <f t="shared" ca="1" si="14"/>
      </c>
      <c r="E82" s="80" t="s">
        <v>279</v>
      </c>
      <c r="F82" s="74">
        <f t="shared" ca="1" si="11"/>
      </c>
      <c r="G82" s="74">
        <f t="shared" si="15"/>
      </c>
      <c r="H82" s="80" t="s">
        <v>272</v>
      </c>
      <c r="I82" s="74">
        <f t="shared" si="12"/>
      </c>
      <c r="J82" s="74">
        <f t="shared" si="16"/>
      </c>
      <c r="K82" s="80" t="s">
        <v>280</v>
      </c>
      <c r="L82" s="74">
        <f t="shared" si="17"/>
      </c>
      <c r="M82" s="74">
        <f t="shared" ca="1" si="18"/>
      </c>
      <c r="N82" s="74">
        <f ca="1">VLOOKUP(B82,$C$7:$T80,13,FALSE)</f>
      </c>
      <c r="O82" s="74">
        <f t="shared" ca="1" si="19"/>
      </c>
      <c r="P82" s="74">
        <f t="shared" ca="1" si="20"/>
      </c>
      <c r="Q82" s="74">
        <f t="shared" ca="1" si="21"/>
      </c>
      <c r="R82" s="74">
        <f t="shared" si="22"/>
      </c>
      <c r="S82" s="74">
        <f t="shared" ca="1" si="23"/>
      </c>
      <c r="T82" s="74">
        <f t="shared" si="24"/>
      </c>
    </row>
    <row r="83" spans="2:20" x14ac:dyDescent="0.3">
      <c r="B83" s="74">
        <f t="shared" ca="1" si="13"/>
      </c>
      <c r="C83" s="78">
        <f>Кабельный_журнал!P49</f>
      </c>
      <c r="D83" s="74">
        <f t="shared" ca="1" si="14"/>
      </c>
      <c r="E83" s="80" t="s">
        <v>279</v>
      </c>
      <c r="F83" s="74">
        <f t="shared" ca="1" si="11"/>
      </c>
      <c r="G83" s="74">
        <f t="shared" si="15"/>
      </c>
      <c r="H83" s="80" t="s">
        <v>272</v>
      </c>
      <c r="I83" s="74">
        <f t="shared" si="12"/>
      </c>
      <c r="J83" s="74">
        <f t="shared" si="16"/>
      </c>
      <c r="K83" s="80" t="s">
        <v>280</v>
      </c>
      <c r="L83" s="74">
        <f t="shared" si="17"/>
      </c>
      <c r="M83" s="74">
        <f t="shared" ca="1" si="18"/>
      </c>
      <c r="N83" s="74">
        <f ca="1">VLOOKUP(B83,$C$7:$T81,13,FALSE)</f>
      </c>
      <c r="O83" s="74">
        <f t="shared" ca="1" si="19"/>
      </c>
      <c r="P83" s="74">
        <f t="shared" ca="1" si="20"/>
      </c>
      <c r="Q83" s="74">
        <f t="shared" ca="1" si="21"/>
      </c>
      <c r="R83" s="74">
        <f t="shared" si="22"/>
      </c>
      <c r="S83" s="74">
        <f t="shared" ca="1" si="23"/>
      </c>
      <c r="T83" s="74">
        <f t="shared" si="24"/>
      </c>
    </row>
    <row r="84" spans="2:20" x14ac:dyDescent="0.3">
      <c r="B84" s="74">
        <f t="shared" ca="1" si="13"/>
      </c>
      <c r="C84" s="78">
        <f>Кабельный_журнал!P50</f>
      </c>
      <c r="D84" s="74">
        <f t="shared" ca="1" si="14"/>
      </c>
      <c r="E84" s="80" t="s">
        <v>279</v>
      </c>
      <c r="F84" s="74">
        <f t="shared" ca="1" si="11"/>
      </c>
      <c r="G84" s="74">
        <f t="shared" si="15"/>
      </c>
      <c r="H84" s="80" t="s">
        <v>272</v>
      </c>
      <c r="I84" s="74">
        <f t="shared" si="12"/>
      </c>
      <c r="J84" s="74">
        <f t="shared" si="16"/>
      </c>
      <c r="K84" s="80" t="s">
        <v>280</v>
      </c>
      <c r="L84" s="74">
        <f t="shared" si="17"/>
      </c>
      <c r="M84" s="74">
        <f t="shared" ca="1" si="18"/>
      </c>
      <c r="N84" s="74">
        <f ca="1">VLOOKUP(B84,$C$7:$T82,13,FALSE)</f>
      </c>
      <c r="O84" s="74">
        <f t="shared" ca="1" si="19"/>
      </c>
      <c r="P84" s="74">
        <f t="shared" ca="1" si="20"/>
      </c>
      <c r="Q84" s="74">
        <f t="shared" ca="1" si="21"/>
      </c>
      <c r="R84" s="74">
        <f t="shared" si="22"/>
      </c>
      <c r="S84" s="74">
        <f t="shared" ca="1" si="23"/>
      </c>
      <c r="T84" s="74">
        <f t="shared" si="24"/>
      </c>
    </row>
    <row r="85" spans="2:20" x14ac:dyDescent="0.3">
      <c r="B85" s="74">
        <f t="shared" ca="1" si="13"/>
      </c>
      <c r="C85" s="78">
        <f>Кабельный_журнал!P51</f>
      </c>
      <c r="D85" s="74">
        <f t="shared" ca="1" si="14"/>
      </c>
      <c r="E85" s="80" t="s">
        <v>279</v>
      </c>
      <c r="F85" s="74">
        <f t="shared" ca="1" si="11"/>
      </c>
      <c r="G85" s="74">
        <f t="shared" si="15"/>
      </c>
      <c r="H85" s="80" t="s">
        <v>272</v>
      </c>
      <c r="I85" s="74">
        <f t="shared" si="12"/>
      </c>
      <c r="J85" s="74">
        <f t="shared" si="16"/>
      </c>
      <c r="K85" s="80" t="s">
        <v>280</v>
      </c>
      <c r="L85" s="74">
        <f t="shared" si="17"/>
      </c>
      <c r="M85" s="74">
        <f t="shared" ca="1" si="18"/>
      </c>
      <c r="N85" s="74">
        <f ca="1">VLOOKUP(B85,$C$7:$T83,13,FALSE)</f>
      </c>
      <c r="O85" s="74">
        <f t="shared" ca="1" si="19"/>
      </c>
      <c r="P85" s="74">
        <f t="shared" ca="1" si="20"/>
      </c>
      <c r="Q85" s="74">
        <f t="shared" ca="1" si="21"/>
      </c>
      <c r="R85" s="74">
        <f t="shared" si="22"/>
      </c>
      <c r="S85" s="74">
        <f t="shared" ca="1" si="23"/>
      </c>
      <c r="T85" s="74">
        <f t="shared" si="24"/>
      </c>
    </row>
    <row r="86" spans="2:20" x14ac:dyDescent="0.3">
      <c r="B86" s="74">
        <f t="shared" ca="1" si="13"/>
      </c>
      <c r="C86" s="78">
        <f>Кабельный_журнал!P52</f>
      </c>
      <c r="D86" s="74">
        <f t="shared" ca="1" si="14"/>
      </c>
      <c r="E86" s="80" t="s">
        <v>279</v>
      </c>
      <c r="F86" s="74">
        <f t="shared" ca="1" si="11"/>
      </c>
      <c r="G86" s="74">
        <f t="shared" si="15"/>
      </c>
      <c r="H86" s="80" t="s">
        <v>272</v>
      </c>
      <c r="I86" s="74">
        <f t="shared" si="12"/>
      </c>
      <c r="J86" s="74">
        <f t="shared" si="16"/>
      </c>
      <c r="K86" s="80" t="s">
        <v>280</v>
      </c>
      <c r="L86" s="74">
        <f t="shared" si="17"/>
      </c>
      <c r="M86" s="74">
        <f t="shared" ca="1" si="18"/>
      </c>
      <c r="N86" s="74">
        <f ca="1">VLOOKUP(B86,$C$7:$T84,13,FALSE)</f>
      </c>
      <c r="O86" s="74">
        <f t="shared" ca="1" si="19"/>
      </c>
      <c r="P86" s="74">
        <f t="shared" ca="1" si="20"/>
      </c>
      <c r="Q86" s="74">
        <f t="shared" ca="1" si="21"/>
      </c>
      <c r="R86" s="74">
        <f t="shared" si="22"/>
      </c>
      <c r="S86" s="74">
        <f t="shared" ca="1" si="23"/>
      </c>
      <c r="T86" s="74">
        <f t="shared" si="24"/>
      </c>
    </row>
    <row r="87" spans="2:20" x14ac:dyDescent="0.3">
      <c r="B87" s="74">
        <f t="shared" ca="1" si="13"/>
      </c>
      <c r="C87" s="78">
        <f>Кабельный_журнал!P53</f>
      </c>
      <c r="D87" s="74">
        <f t="shared" ca="1" si="14"/>
      </c>
      <c r="E87" s="80" t="s">
        <v>279</v>
      </c>
      <c r="F87" s="74">
        <f t="shared" ca="1" si="11"/>
      </c>
      <c r="G87" s="74">
        <f t="shared" si="15"/>
      </c>
      <c r="H87" s="80" t="s">
        <v>272</v>
      </c>
      <c r="I87" s="74">
        <f t="shared" si="12"/>
      </c>
      <c r="J87" s="74">
        <f t="shared" si="16"/>
      </c>
      <c r="K87" s="80" t="s">
        <v>280</v>
      </c>
      <c r="L87" s="74">
        <f t="shared" si="17"/>
      </c>
      <c r="M87" s="74">
        <f t="shared" ca="1" si="18"/>
      </c>
      <c r="N87" s="74">
        <f ca="1">VLOOKUP(B87,$C$7:$T85,13,FALSE)</f>
      </c>
      <c r="O87" s="74">
        <f t="shared" ca="1" si="19"/>
      </c>
      <c r="P87" s="74">
        <f t="shared" ca="1" si="20"/>
      </c>
      <c r="Q87" s="74">
        <f t="shared" ca="1" si="21"/>
      </c>
      <c r="R87" s="74">
        <f t="shared" si="22"/>
      </c>
      <c r="S87" s="74">
        <f t="shared" ca="1" si="23"/>
      </c>
      <c r="T87" s="74">
        <f t="shared" si="24"/>
      </c>
    </row>
    <row r="88" spans="2:20" x14ac:dyDescent="0.3">
      <c r="B88" s="74">
        <f t="shared" ca="1" si="13"/>
      </c>
      <c r="C88" s="78">
        <f>Кабельный_журнал!P54</f>
      </c>
      <c r="D88" s="74">
        <f t="shared" ca="1" si="14"/>
      </c>
      <c r="E88" s="80" t="s">
        <v>279</v>
      </c>
      <c r="F88" s="74">
        <f t="shared" ca="1" si="11"/>
      </c>
      <c r="G88" s="74">
        <f t="shared" si="15"/>
      </c>
      <c r="H88" s="80" t="s">
        <v>272</v>
      </c>
      <c r="I88" s="74">
        <f t="shared" si="12"/>
      </c>
      <c r="J88" s="74">
        <f t="shared" si="16"/>
      </c>
      <c r="K88" s="80" t="s">
        <v>280</v>
      </c>
      <c r="L88" s="74">
        <f t="shared" si="17"/>
      </c>
      <c r="M88" s="74">
        <f t="shared" ca="1" si="18"/>
      </c>
      <c r="N88" s="74">
        <f ca="1">VLOOKUP(B88,$C$7:$T86,13,FALSE)</f>
      </c>
      <c r="O88" s="74">
        <f t="shared" ca="1" si="19"/>
      </c>
      <c r="P88" s="74">
        <f t="shared" ca="1" si="20"/>
      </c>
      <c r="Q88" s="74">
        <f t="shared" ca="1" si="21"/>
      </c>
      <c r="R88" s="74">
        <f t="shared" si="22"/>
      </c>
      <c r="S88" s="74">
        <f t="shared" ca="1" si="23"/>
      </c>
      <c r="T88" s="74">
        <f t="shared" si="24"/>
      </c>
    </row>
    <row r="89" spans="2:20" x14ac:dyDescent="0.3">
      <c r="B89" s="74">
        <f t="shared" ca="1" si="13"/>
      </c>
      <c r="C89" s="78">
        <f>Кабельный_журнал!P55</f>
      </c>
      <c r="D89" s="74">
        <f t="shared" ca="1" si="14"/>
      </c>
      <c r="E89" s="80" t="s">
        <v>279</v>
      </c>
      <c r="F89" s="74">
        <f t="shared" ca="1" si="11"/>
      </c>
      <c r="G89" s="74">
        <f t="shared" si="15"/>
      </c>
      <c r="H89" s="80" t="s">
        <v>272</v>
      </c>
      <c r="I89" s="74">
        <f t="shared" si="12"/>
      </c>
      <c r="J89" s="74">
        <f t="shared" si="16"/>
      </c>
      <c r="K89" s="80" t="s">
        <v>280</v>
      </c>
      <c r="L89" s="74">
        <f t="shared" si="17"/>
      </c>
      <c r="M89" s="74">
        <f t="shared" ca="1" si="18"/>
      </c>
      <c r="N89" s="74">
        <f ca="1">VLOOKUP(B89,$C$7:$T87,13,FALSE)</f>
      </c>
      <c r="O89" s="74">
        <f t="shared" ca="1" si="19"/>
      </c>
      <c r="P89" s="74">
        <f t="shared" ca="1" si="20"/>
      </c>
      <c r="Q89" s="74">
        <f t="shared" ca="1" si="21"/>
      </c>
      <c r="R89" s="74">
        <f t="shared" si="22"/>
      </c>
      <c r="S89" s="74">
        <f t="shared" ca="1" si="23"/>
      </c>
      <c r="T89" s="74">
        <f t="shared" si="24"/>
      </c>
    </row>
    <row r="90" spans="2:20" x14ac:dyDescent="0.3">
      <c r="B90" s="74">
        <f t="shared" ca="1" si="13"/>
      </c>
      <c r="C90" s="78">
        <f>Кабельный_журнал!P56</f>
      </c>
      <c r="D90" s="74">
        <f t="shared" ca="1" si="14"/>
      </c>
      <c r="E90" s="80" t="s">
        <v>279</v>
      </c>
      <c r="F90" s="74">
        <f t="shared" ca="1" si="11"/>
      </c>
      <c r="G90" s="74">
        <f t="shared" si="15"/>
      </c>
      <c r="H90" s="80" t="s">
        <v>272</v>
      </c>
      <c r="I90" s="74">
        <f t="shared" si="12"/>
      </c>
      <c r="J90" s="74">
        <f t="shared" si="16"/>
      </c>
      <c r="K90" s="80" t="s">
        <v>280</v>
      </c>
      <c r="L90" s="74">
        <f t="shared" si="17"/>
      </c>
      <c r="M90" s="74">
        <f t="shared" ca="1" si="18"/>
      </c>
      <c r="N90" s="74">
        <f ca="1">VLOOKUP(B90,$C$7:$T88,13,FALSE)</f>
      </c>
      <c r="O90" s="74">
        <f t="shared" ca="1" si="19"/>
      </c>
      <c r="P90" s="74">
        <f t="shared" ca="1" si="20"/>
      </c>
      <c r="Q90" s="74">
        <f t="shared" ca="1" si="21"/>
      </c>
      <c r="R90" s="74">
        <f t="shared" si="22"/>
      </c>
      <c r="S90" s="74">
        <f t="shared" ca="1" si="23"/>
      </c>
      <c r="T90" s="74">
        <f t="shared" si="24"/>
      </c>
    </row>
    <row r="91" spans="2:20" x14ac:dyDescent="0.3">
      <c r="B91" s="74">
        <f t="shared" ca="1" si="13"/>
      </c>
      <c r="C91" s="78">
        <f>Кабельный_журнал!P57</f>
      </c>
      <c r="D91" s="74">
        <f t="shared" ca="1" si="14"/>
      </c>
      <c r="E91" s="80" t="s">
        <v>279</v>
      </c>
      <c r="F91" s="74">
        <f t="shared" ca="1" si="11"/>
      </c>
      <c r="G91" s="74">
        <f t="shared" si="15"/>
      </c>
      <c r="H91" s="80" t="s">
        <v>272</v>
      </c>
      <c r="I91" s="74">
        <f t="shared" si="12"/>
      </c>
      <c r="J91" s="74">
        <f t="shared" si="16"/>
      </c>
      <c r="K91" s="80" t="s">
        <v>280</v>
      </c>
      <c r="L91" s="74">
        <f t="shared" si="17"/>
      </c>
      <c r="M91" s="74">
        <f t="shared" ca="1" si="18"/>
      </c>
      <c r="N91" s="74">
        <f ca="1">VLOOKUP(B91,$C$7:$T89,13,FALSE)</f>
      </c>
      <c r="O91" s="74">
        <f t="shared" ca="1" si="19"/>
      </c>
      <c r="P91" s="74">
        <f t="shared" ca="1" si="20"/>
      </c>
      <c r="Q91" s="74">
        <f t="shared" ca="1" si="21"/>
      </c>
      <c r="R91" s="74">
        <f t="shared" si="22"/>
      </c>
      <c r="S91" s="74">
        <f t="shared" ca="1" si="23"/>
      </c>
      <c r="T91" s="74">
        <f t="shared" si="24"/>
      </c>
    </row>
    <row r="92" spans="2:20" x14ac:dyDescent="0.3">
      <c r="B92" s="74">
        <f t="shared" ca="1" si="13"/>
      </c>
      <c r="C92" s="78">
        <f>Кабельный_журнал!P58</f>
      </c>
      <c r="D92" s="74">
        <f t="shared" ca="1" si="14"/>
      </c>
      <c r="E92" s="80" t="s">
        <v>279</v>
      </c>
      <c r="F92" s="74">
        <f t="shared" ca="1" si="11"/>
      </c>
      <c r="G92" s="74">
        <f t="shared" si="15"/>
      </c>
      <c r="H92" s="80" t="s">
        <v>272</v>
      </c>
      <c r="I92" s="74">
        <f t="shared" si="12"/>
      </c>
      <c r="J92" s="74">
        <f t="shared" si="16"/>
      </c>
      <c r="K92" s="80" t="s">
        <v>280</v>
      </c>
      <c r="L92" s="74">
        <f t="shared" si="17"/>
      </c>
      <c r="M92" s="74">
        <f t="shared" ca="1" si="18"/>
      </c>
      <c r="N92" s="74">
        <f ca="1">VLOOKUP(B92,$C$7:$T90,13,FALSE)</f>
      </c>
      <c r="O92" s="74">
        <f t="shared" ca="1" si="19"/>
      </c>
      <c r="P92" s="74">
        <f t="shared" ca="1" si="20"/>
      </c>
      <c r="Q92" s="74">
        <f t="shared" ca="1" si="21"/>
      </c>
      <c r="R92" s="74">
        <f t="shared" si="22"/>
      </c>
      <c r="S92" s="74">
        <f t="shared" ca="1" si="23"/>
      </c>
      <c r="T92" s="74">
        <f t="shared" si="24"/>
      </c>
    </row>
    <row r="93" spans="2:20" x14ac:dyDescent="0.3">
      <c r="B93" s="74">
        <f t="shared" ca="1" si="13"/>
      </c>
      <c r="C93" s="78">
        <f>Кабельный_журнал!P59</f>
      </c>
      <c r="D93" s="74">
        <f t="shared" ca="1" si="14"/>
      </c>
      <c r="E93" s="80" t="s">
        <v>279</v>
      </c>
      <c r="F93" s="74">
        <f t="shared" ca="1" si="11"/>
      </c>
      <c r="G93" s="74">
        <f t="shared" si="15"/>
      </c>
      <c r="H93" s="80" t="s">
        <v>272</v>
      </c>
      <c r="I93" s="74">
        <f t="shared" si="12"/>
      </c>
      <c r="J93" s="74">
        <f t="shared" si="16"/>
      </c>
      <c r="K93" s="80" t="s">
        <v>280</v>
      </c>
      <c r="L93" s="74">
        <f t="shared" si="17"/>
      </c>
      <c r="M93" s="74">
        <f t="shared" ca="1" si="18"/>
      </c>
      <c r="N93" s="74">
        <f ca="1">VLOOKUP(B93,$C$7:$T91,13,FALSE)</f>
      </c>
      <c r="O93" s="74">
        <f t="shared" ca="1" si="19"/>
      </c>
      <c r="P93" s="74">
        <f t="shared" ca="1" si="20"/>
      </c>
      <c r="Q93" s="74">
        <f t="shared" ca="1" si="21"/>
      </c>
      <c r="R93" s="74">
        <f t="shared" si="22"/>
      </c>
      <c r="S93" s="74">
        <f t="shared" ca="1" si="23"/>
      </c>
      <c r="T93" s="74">
        <f t="shared" si="24"/>
      </c>
    </row>
    <row r="94" spans="2:20" x14ac:dyDescent="0.3">
      <c r="B94" s="74">
        <f t="shared" ca="1" si="13"/>
      </c>
      <c r="C94" s="78">
        <f>Кабельный_журнал!P60</f>
      </c>
      <c r="D94" s="74">
        <f t="shared" ca="1" si="14"/>
      </c>
      <c r="E94" s="80" t="s">
        <v>279</v>
      </c>
      <c r="F94" s="74">
        <f t="shared" ca="1" si="11"/>
      </c>
      <c r="G94" s="74">
        <f t="shared" si="15"/>
      </c>
      <c r="H94" s="80" t="s">
        <v>272</v>
      </c>
      <c r="I94" s="74">
        <f t="shared" si="12"/>
      </c>
      <c r="J94" s="74">
        <f t="shared" si="16"/>
      </c>
      <c r="K94" s="80" t="s">
        <v>280</v>
      </c>
      <c r="L94" s="74">
        <f t="shared" si="17"/>
      </c>
      <c r="M94" s="74">
        <f t="shared" ca="1" si="18"/>
      </c>
      <c r="N94" s="74">
        <f ca="1">VLOOKUP(B94,$C$7:$T92,13,FALSE)</f>
      </c>
      <c r="O94" s="74">
        <f t="shared" ca="1" si="19"/>
      </c>
      <c r="P94" s="74">
        <f t="shared" ca="1" si="20"/>
      </c>
      <c r="Q94" s="74">
        <f t="shared" ca="1" si="21"/>
      </c>
      <c r="R94" s="74">
        <f t="shared" si="22"/>
      </c>
      <c r="S94" s="74">
        <f t="shared" ca="1" si="23"/>
      </c>
      <c r="T94" s="74">
        <f t="shared" si="24"/>
      </c>
    </row>
    <row r="95" spans="2:20" x14ac:dyDescent="0.3">
      <c r="B95" s="74">
        <f t="shared" ca="1" si="13"/>
      </c>
      <c r="C95" s="78">
        <f>Кабельный_журнал!P61</f>
      </c>
      <c r="D95" s="74">
        <f t="shared" ca="1" si="14"/>
      </c>
      <c r="E95" s="80" t="s">
        <v>279</v>
      </c>
      <c r="F95" s="74">
        <f t="shared" ca="1" si="11"/>
      </c>
      <c r="G95" s="74">
        <f t="shared" si="15"/>
      </c>
      <c r="H95" s="80" t="s">
        <v>272</v>
      </c>
      <c r="I95" s="74">
        <f t="shared" si="12"/>
      </c>
      <c r="J95" s="74">
        <f t="shared" si="16"/>
      </c>
      <c r="K95" s="80" t="s">
        <v>280</v>
      </c>
      <c r="L95" s="74">
        <f t="shared" si="17"/>
      </c>
      <c r="M95" s="74">
        <f t="shared" ca="1" si="18"/>
      </c>
      <c r="N95" s="74">
        <f ca="1">VLOOKUP(B95,$C$7:$T93,13,FALSE)</f>
      </c>
      <c r="O95" s="74">
        <f t="shared" ca="1" si="19"/>
      </c>
      <c r="P95" s="74">
        <f t="shared" ca="1" si="20"/>
      </c>
      <c r="Q95" s="74">
        <f t="shared" ca="1" si="21"/>
      </c>
      <c r="R95" s="74">
        <f t="shared" si="22"/>
      </c>
      <c r="S95" s="74">
        <f t="shared" ca="1" si="23"/>
      </c>
      <c r="T95" s="74">
        <f t="shared" si="24"/>
      </c>
    </row>
    <row r="96" spans="2:20" x14ac:dyDescent="0.3">
      <c r="B96" s="74">
        <f t="shared" ca="1" si="13"/>
      </c>
      <c r="C96" s="78">
        <f>Кабельный_журнал!P62</f>
      </c>
      <c r="D96" s="74">
        <f t="shared" ca="1" si="14"/>
      </c>
      <c r="E96" s="80" t="s">
        <v>279</v>
      </c>
      <c r="F96" s="74">
        <f t="shared" ca="1" si="11"/>
      </c>
      <c r="G96" s="74">
        <f t="shared" si="15"/>
      </c>
      <c r="H96" s="80" t="s">
        <v>272</v>
      </c>
      <c r="I96" s="74">
        <f t="shared" si="12"/>
      </c>
      <c r="J96" s="74">
        <f t="shared" si="16"/>
      </c>
      <c r="K96" s="80" t="s">
        <v>280</v>
      </c>
      <c r="L96" s="74">
        <f t="shared" si="17"/>
      </c>
      <c r="M96" s="74">
        <f t="shared" ca="1" si="18"/>
      </c>
      <c r="N96" s="74">
        <f ca="1">VLOOKUP(B96,$C$7:$T94,13,FALSE)</f>
      </c>
      <c r="O96" s="74">
        <f t="shared" ca="1" si="19"/>
      </c>
      <c r="P96" s="74">
        <f t="shared" ca="1" si="20"/>
      </c>
      <c r="Q96" s="74">
        <f t="shared" ca="1" si="21"/>
      </c>
      <c r="R96" s="74">
        <f t="shared" si="22"/>
      </c>
      <c r="S96" s="74">
        <f t="shared" ca="1" si="23"/>
      </c>
      <c r="T96" s="74">
        <f t="shared" si="24"/>
      </c>
    </row>
    <row r="97" spans="2:20" x14ac:dyDescent="0.3">
      <c r="B97" s="74">
        <f t="shared" ca="1" si="13"/>
      </c>
      <c r="C97" s="78">
        <f>Кабельный_журнал!P63</f>
      </c>
      <c r="D97" s="74">
        <f t="shared" ca="1" si="14"/>
      </c>
      <c r="E97" s="80" t="s">
        <v>279</v>
      </c>
      <c r="F97" s="74">
        <f t="shared" ca="1" si="11"/>
      </c>
      <c r="G97" s="74">
        <f t="shared" si="15"/>
      </c>
      <c r="H97" s="80" t="s">
        <v>272</v>
      </c>
      <c r="I97" s="74">
        <f t="shared" si="12"/>
      </c>
      <c r="J97" s="74">
        <f t="shared" si="16"/>
      </c>
      <c r="K97" s="80" t="s">
        <v>280</v>
      </c>
      <c r="L97" s="74">
        <f t="shared" si="17"/>
      </c>
      <c r="M97" s="74">
        <f t="shared" ca="1" si="18"/>
      </c>
      <c r="N97" s="74">
        <f ca="1">VLOOKUP(B97,$C$7:$T95,13,FALSE)</f>
      </c>
      <c r="O97" s="74">
        <f t="shared" ca="1" si="19"/>
      </c>
      <c r="P97" s="74">
        <f t="shared" ca="1" si="20"/>
      </c>
      <c r="Q97" s="74">
        <f t="shared" ca="1" si="21"/>
      </c>
      <c r="R97" s="74">
        <f t="shared" si="22"/>
      </c>
      <c r="S97" s="74">
        <f t="shared" ca="1" si="23"/>
      </c>
      <c r="T97" s="74">
        <f t="shared" si="24"/>
      </c>
    </row>
    <row r="98" spans="2:20" x14ac:dyDescent="0.3">
      <c r="B98" s="74">
        <f t="shared" ca="1" si="13"/>
      </c>
      <c r="C98" s="78">
        <f>Кабельный_журнал!P64</f>
      </c>
      <c r="D98" s="74">
        <f t="shared" ca="1" si="14"/>
      </c>
      <c r="E98" s="80" t="s">
        <v>279</v>
      </c>
      <c r="F98" s="74">
        <f t="shared" ca="1" si="11"/>
      </c>
      <c r="G98" s="74">
        <f t="shared" si="15"/>
      </c>
      <c r="H98" s="80" t="s">
        <v>272</v>
      </c>
      <c r="I98" s="74">
        <f t="shared" si="12"/>
      </c>
      <c r="J98" s="74">
        <f t="shared" si="16"/>
      </c>
      <c r="K98" s="80" t="s">
        <v>280</v>
      </c>
      <c r="L98" s="74">
        <f t="shared" si="17"/>
      </c>
      <c r="M98" s="74">
        <f t="shared" ca="1" si="18"/>
      </c>
      <c r="N98" s="74">
        <f ca="1">VLOOKUP(B98,$C$7:$T96,13,FALSE)</f>
      </c>
      <c r="O98" s="74">
        <f t="shared" ca="1" si="19"/>
      </c>
      <c r="P98" s="74">
        <f t="shared" ca="1" si="20"/>
      </c>
      <c r="Q98" s="74">
        <f t="shared" ca="1" si="21"/>
      </c>
      <c r="R98" s="74">
        <f t="shared" si="22"/>
      </c>
      <c r="S98" s="74">
        <f t="shared" ca="1" si="23"/>
      </c>
      <c r="T98" s="74">
        <f t="shared" si="24"/>
      </c>
    </row>
    <row r="99" spans="2:20" x14ac:dyDescent="0.3">
      <c r="B99" s="74">
        <f t="shared" ca="1" si="13"/>
      </c>
      <c r="C99" s="78">
        <f>Кабельный_журнал!P65</f>
      </c>
      <c r="D99" s="74">
        <f t="shared" ca="1" si="14"/>
      </c>
      <c r="E99" s="80" t="s">
        <v>279</v>
      </c>
      <c r="F99" s="74">
        <f t="shared" ca="1" si="11"/>
      </c>
      <c r="G99" s="74">
        <f t="shared" si="15"/>
      </c>
      <c r="H99" s="80" t="s">
        <v>272</v>
      </c>
      <c r="I99" s="74">
        <f t="shared" si="12"/>
      </c>
      <c r="J99" s="74">
        <f t="shared" si="16"/>
      </c>
      <c r="K99" s="80" t="s">
        <v>280</v>
      </c>
      <c r="L99" s="74">
        <f t="shared" si="17"/>
      </c>
      <c r="M99" s="74">
        <f t="shared" ca="1" si="18"/>
      </c>
      <c r="N99" s="74">
        <f ca="1">VLOOKUP(B99,$C$7:$T97,13,FALSE)</f>
      </c>
      <c r="O99" s="74">
        <f t="shared" ca="1" si="19"/>
      </c>
      <c r="P99" s="74">
        <f t="shared" ca="1" si="20"/>
      </c>
      <c r="Q99" s="74">
        <f t="shared" ca="1" si="21"/>
      </c>
      <c r="R99" s="74">
        <f t="shared" si="22"/>
      </c>
      <c r="S99" s="74">
        <f t="shared" ca="1" si="23"/>
      </c>
      <c r="T99" s="74">
        <f t="shared" si="24"/>
      </c>
    </row>
    <row r="100" spans="2:20" x14ac:dyDescent="0.3">
      <c r="B100" s="74">
        <f t="shared" ca="1" si="13"/>
      </c>
      <c r="C100" s="78">
        <f>Кабельный_журнал!P66</f>
      </c>
      <c r="D100" s="74">
        <f t="shared" ca="1" si="14"/>
      </c>
      <c r="E100" s="80" t="s">
        <v>279</v>
      </c>
      <c r="F100" s="74">
        <f t="shared" ca="1" si="11"/>
      </c>
      <c r="G100" s="74">
        <f t="shared" si="15"/>
      </c>
      <c r="H100" s="80" t="s">
        <v>272</v>
      </c>
      <c r="I100" s="74">
        <f t="shared" si="12"/>
      </c>
      <c r="J100" s="74">
        <f t="shared" si="16"/>
      </c>
      <c r="K100" s="80" t="s">
        <v>280</v>
      </c>
      <c r="L100" s="74">
        <f t="shared" si="17"/>
      </c>
      <c r="M100" s="74">
        <f t="shared" ca="1" si="18"/>
      </c>
      <c r="N100" s="74">
        <f ca="1">VLOOKUP(B100,$C$7:$T98,13,FALSE)</f>
      </c>
      <c r="O100" s="74">
        <f t="shared" ca="1" si="19"/>
      </c>
      <c r="P100" s="74">
        <f t="shared" ca="1" si="20"/>
      </c>
      <c r="Q100" s="74">
        <f t="shared" ca="1" si="21"/>
      </c>
      <c r="R100" s="74">
        <f t="shared" si="22"/>
      </c>
      <c r="S100" s="74">
        <f t="shared" ca="1" si="23"/>
      </c>
      <c r="T100" s="74">
        <f t="shared" si="24"/>
      </c>
    </row>
    <row r="101" spans="2:20" x14ac:dyDescent="0.3">
      <c r="B101" s="74">
        <f t="shared" ca="1" si="13"/>
      </c>
      <c r="C101" s="78">
        <f>Кабельный_журнал!P67</f>
      </c>
      <c r="D101" s="74">
        <f t="shared" ca="1" si="14"/>
      </c>
      <c r="E101" s="80" t="s">
        <v>279</v>
      </c>
      <c r="F101" s="74">
        <f t="shared" ca="1" si="11"/>
      </c>
      <c r="G101" s="74">
        <f t="shared" si="15"/>
      </c>
      <c r="H101" s="80" t="s">
        <v>272</v>
      </c>
      <c r="I101" s="74">
        <f t="shared" si="12"/>
      </c>
      <c r="J101" s="74">
        <f t="shared" si="16"/>
      </c>
      <c r="K101" s="80" t="s">
        <v>280</v>
      </c>
      <c r="L101" s="74">
        <f t="shared" si="17"/>
      </c>
      <c r="M101" s="74">
        <f t="shared" ca="1" si="18"/>
      </c>
      <c r="N101" s="74">
        <f ca="1">VLOOKUP(B101,$C$7:$T99,13,FALSE)</f>
      </c>
      <c r="O101" s="74">
        <f t="shared" ca="1" si="19"/>
      </c>
      <c r="P101" s="74">
        <f t="shared" ca="1" si="20"/>
      </c>
      <c r="Q101" s="74">
        <f t="shared" ca="1" si="21"/>
      </c>
      <c r="R101" s="74">
        <f t="shared" si="22"/>
      </c>
      <c r="S101" s="74">
        <f t="shared" ca="1" si="23"/>
      </c>
      <c r="T101" s="74">
        <f t="shared" si="24"/>
      </c>
    </row>
    <row r="102" spans="2:20" x14ac:dyDescent="0.3">
      <c r="B102" s="74">
        <f t="shared" ca="1" si="13"/>
      </c>
      <c r="C102" s="78">
        <f>Кабельный_журнал!P68</f>
      </c>
      <c r="D102" s="74">
        <f t="shared" ca="1" si="14"/>
      </c>
      <c r="E102" s="80" t="s">
        <v>279</v>
      </c>
      <c r="F102" s="74">
        <f t="shared" ca="1" si="11"/>
      </c>
      <c r="G102" s="74">
        <f t="shared" si="15"/>
      </c>
      <c r="H102" s="80" t="s">
        <v>272</v>
      </c>
      <c r="I102" s="74">
        <f t="shared" si="12"/>
      </c>
      <c r="J102" s="74">
        <f t="shared" si="16"/>
      </c>
      <c r="K102" s="80" t="s">
        <v>280</v>
      </c>
      <c r="L102" s="74">
        <f t="shared" si="17"/>
      </c>
      <c r="M102" s="74">
        <f t="shared" ca="1" si="18"/>
      </c>
      <c r="N102" s="74">
        <f ca="1">VLOOKUP(B102,$C$7:$T100,13,FALSE)</f>
      </c>
      <c r="O102" s="74">
        <f t="shared" ca="1" si="19"/>
      </c>
      <c r="P102" s="74">
        <f t="shared" ca="1" si="20"/>
      </c>
      <c r="Q102" s="74">
        <f t="shared" ca="1" si="21"/>
      </c>
      <c r="R102" s="74">
        <f t="shared" si="22"/>
      </c>
      <c r="S102" s="74">
        <f t="shared" ca="1" si="23"/>
      </c>
      <c r="T102" s="74">
        <f t="shared" si="24"/>
      </c>
    </row>
    <row r="103" spans="2:20" x14ac:dyDescent="0.3">
      <c r="B103" s="74">
        <f t="shared" ca="1" si="13"/>
      </c>
      <c r="C103" s="78">
        <f>Кабельный_журнал!P69</f>
      </c>
      <c r="D103" s="74">
        <f t="shared" ca="1" si="14"/>
      </c>
      <c r="E103" s="80" t="s">
        <v>279</v>
      </c>
      <c r="F103" s="74">
        <f t="shared" ref="F103:F166" ca="1" si="25">VLOOKUP(C103,Кабельный_журнал,8,FALSE)</f>
      </c>
      <c r="G103" s="74">
        <f t="shared" ref="G103:G166" si="26">VLOOKUP(C103,Исходные_данные,21,FALSE)</f>
      </c>
      <c r="H103" s="80" t="s">
        <v>272</v>
      </c>
      <c r="I103" s="74">
        <f t="shared" ref="I103:I166" si="27">VLOOKUP(C103,Исходные_данные,22,FALSE)</f>
      </c>
      <c r="J103" s="74">
        <f t="shared" si="16"/>
      </c>
      <c r="K103" s="80" t="s">
        <v>280</v>
      </c>
      <c r="L103" s="74">
        <f t="shared" si="17"/>
      </c>
      <c r="M103" s="74">
        <f t="shared" ca="1" si="18"/>
      </c>
      <c r="N103" s="74">
        <f ca="1">VLOOKUP(B103,$C$7:$T101,13,FALSE)</f>
      </c>
      <c r="O103" s="74">
        <f t="shared" ca="1" si="19"/>
      </c>
      <c r="P103" s="74">
        <f t="shared" ca="1" si="20"/>
      </c>
      <c r="Q103" s="74">
        <f t="shared" ca="1" si="21"/>
      </c>
      <c r="R103" s="74">
        <f t="shared" si="22"/>
      </c>
      <c r="S103" s="74">
        <f t="shared" ca="1" si="23"/>
      </c>
      <c r="T103" s="74">
        <f t="shared" si="24"/>
      </c>
    </row>
    <row r="104" spans="2:20" x14ac:dyDescent="0.3">
      <c r="B104" s="74">
        <f t="shared" ref="B104:B167" ca="1" si="28">VLOOKUP(C104,Кабельный_журнал,2,FALSE)</f>
      </c>
      <c r="C104" s="78">
        <f>Кабельный_журнал!P70</f>
      </c>
      <c r="D104" s="74">
        <f t="shared" ref="D104:D167" ca="1" si="29">B104&amp;"-"&amp;C104</f>
      </c>
      <c r="E104" s="80" t="s">
        <v>279</v>
      </c>
      <c r="F104" s="74">
        <f t="shared" ca="1" si="25"/>
      </c>
      <c r="G104" s="74">
        <f t="shared" si="26"/>
      </c>
      <c r="H104" s="80" t="s">
        <v>272</v>
      </c>
      <c r="I104" s="74">
        <f t="shared" si="27"/>
      </c>
      <c r="J104" s="74">
        <f t="shared" ref="J104:J167" si="30">I104</f>
      </c>
      <c r="K104" s="80" t="s">
        <v>280</v>
      </c>
      <c r="L104" s="74">
        <f t="shared" ref="L104:L167" si="31">VLOOKUP(K104,$K$2:$L$3,2,FALSE)</f>
      </c>
      <c r="M104" s="74">
        <f t="shared" ref="M104:M167" ca="1" si="32">L104*F104*(1/I104+1/J104)</f>
      </c>
      <c r="N104" s="74">
        <f ca="1">VLOOKUP(B104,$C$7:$T102,13,FALSE)</f>
      </c>
      <c r="O104" s="74">
        <f t="shared" ref="O104:O167" ca="1" si="33">L104+M104</f>
      </c>
      <c r="P104" s="74">
        <f t="shared" ref="P104:P167" ca="1" si="34">220/O104</f>
      </c>
      <c r="Q104" s="74">
        <f t="shared" ref="Q104:Q167" ca="1" si="35">O104/G104</f>
      </c>
      <c r="R104" s="74">
        <f t="shared" ref="R104:R167" si="36">VLOOKUP(H104,$W$2:$Y$12,3,FALSE)</f>
      </c>
      <c r="S104" s="74">
        <f t="shared" ref="S104:S167" ca="1" si="37">_xlfn.IFS(E104="щит",IF(P104&gt;R104,"Увел сеч",IF(T104&gt;P104,"Увел сеч","tср&lt;5с")),E104="потреб",IF(P104&gt;R104,"Увел сеч",IF(T104&gt;P104,"Увел сеч","tср&lt;0.4с")))</f>
      </c>
      <c r="T104" s="74">
        <f t="shared" ref="T104:T167" si="38">G104*VLOOKUP(H104,$W$2:$Y$12,2,FALSE)</f>
      </c>
    </row>
    <row r="105" spans="2:20" x14ac:dyDescent="0.3">
      <c r="B105" s="74">
        <f t="shared" ca="1" si="28"/>
      </c>
      <c r="C105" s="78">
        <f>Кабельный_журнал!P71</f>
      </c>
      <c r="D105" s="74">
        <f t="shared" ca="1" si="29"/>
      </c>
      <c r="E105" s="80" t="s">
        <v>279</v>
      </c>
      <c r="F105" s="74">
        <f t="shared" ca="1" si="25"/>
      </c>
      <c r="G105" s="74">
        <f t="shared" si="26"/>
      </c>
      <c r="H105" s="80" t="s">
        <v>272</v>
      </c>
      <c r="I105" s="74">
        <f t="shared" si="27"/>
      </c>
      <c r="J105" s="74">
        <f t="shared" si="30"/>
      </c>
      <c r="K105" s="80" t="s">
        <v>280</v>
      </c>
      <c r="L105" s="74">
        <f t="shared" si="31"/>
      </c>
      <c r="M105" s="74">
        <f t="shared" ca="1" si="32"/>
      </c>
      <c r="N105" s="74">
        <f ca="1">VLOOKUP(B105,$C$7:$T103,13,FALSE)</f>
      </c>
      <c r="O105" s="74">
        <f t="shared" ca="1" si="33"/>
      </c>
      <c r="P105" s="74">
        <f t="shared" ca="1" si="34"/>
      </c>
      <c r="Q105" s="74">
        <f t="shared" ca="1" si="35"/>
      </c>
      <c r="R105" s="74">
        <f t="shared" si="36"/>
      </c>
      <c r="S105" s="74">
        <f t="shared" ca="1" si="37"/>
      </c>
      <c r="T105" s="74">
        <f t="shared" si="38"/>
      </c>
    </row>
    <row r="106" spans="2:20" x14ac:dyDescent="0.3">
      <c r="B106" s="74">
        <f t="shared" ca="1" si="28"/>
      </c>
      <c r="C106" s="78">
        <f>Кабельный_журнал!P72</f>
      </c>
      <c r="D106" s="74">
        <f t="shared" ca="1" si="29"/>
      </c>
      <c r="E106" s="80" t="s">
        <v>279</v>
      </c>
      <c r="F106" s="74">
        <f t="shared" ca="1" si="25"/>
      </c>
      <c r="G106" s="74">
        <f t="shared" si="26"/>
      </c>
      <c r="H106" s="80" t="s">
        <v>272</v>
      </c>
      <c r="I106" s="74">
        <f t="shared" si="27"/>
      </c>
      <c r="J106" s="74">
        <f t="shared" si="30"/>
      </c>
      <c r="K106" s="80" t="s">
        <v>280</v>
      </c>
      <c r="L106" s="74">
        <f t="shared" si="31"/>
      </c>
      <c r="M106" s="74">
        <f t="shared" ca="1" si="32"/>
      </c>
      <c r="N106" s="74">
        <f ca="1">VLOOKUP(B106,$C$7:$T104,13,FALSE)</f>
      </c>
      <c r="O106" s="74">
        <f t="shared" ca="1" si="33"/>
      </c>
      <c r="P106" s="74">
        <f t="shared" ca="1" si="34"/>
      </c>
      <c r="Q106" s="74">
        <f t="shared" ca="1" si="35"/>
      </c>
      <c r="R106" s="74">
        <f t="shared" si="36"/>
      </c>
      <c r="S106" s="74">
        <f t="shared" ca="1" si="37"/>
      </c>
      <c r="T106" s="74">
        <f t="shared" si="38"/>
      </c>
    </row>
    <row r="107" spans="2:20" x14ac:dyDescent="0.3">
      <c r="B107" s="74">
        <f t="shared" ca="1" si="28"/>
      </c>
      <c r="C107" s="78">
        <f>Кабельный_журнал!P73</f>
      </c>
      <c r="D107" s="74">
        <f t="shared" ca="1" si="29"/>
      </c>
      <c r="E107" s="80" t="s">
        <v>279</v>
      </c>
      <c r="F107" s="74">
        <f t="shared" ca="1" si="25"/>
      </c>
      <c r="G107" s="74">
        <f t="shared" si="26"/>
      </c>
      <c r="H107" s="80" t="s">
        <v>272</v>
      </c>
      <c r="I107" s="74">
        <f t="shared" si="27"/>
      </c>
      <c r="J107" s="74">
        <f t="shared" si="30"/>
      </c>
      <c r="K107" s="80" t="s">
        <v>280</v>
      </c>
      <c r="L107" s="74">
        <f t="shared" si="31"/>
      </c>
      <c r="M107" s="74">
        <f t="shared" ca="1" si="32"/>
      </c>
      <c r="N107" s="74">
        <f ca="1">VLOOKUP(B107,$C$7:$T105,13,FALSE)</f>
      </c>
      <c r="O107" s="74">
        <f t="shared" ca="1" si="33"/>
      </c>
      <c r="P107" s="74">
        <f t="shared" ca="1" si="34"/>
      </c>
      <c r="Q107" s="74">
        <f t="shared" ca="1" si="35"/>
      </c>
      <c r="R107" s="74">
        <f t="shared" si="36"/>
      </c>
      <c r="S107" s="74">
        <f t="shared" ca="1" si="37"/>
      </c>
      <c r="T107" s="74">
        <f t="shared" si="38"/>
      </c>
    </row>
    <row r="108" spans="2:20" x14ac:dyDescent="0.3">
      <c r="B108" s="74">
        <f t="shared" ca="1" si="28"/>
      </c>
      <c r="C108" s="78">
        <f>Кабельный_журнал!P74</f>
      </c>
      <c r="D108" s="74">
        <f t="shared" ca="1" si="29"/>
      </c>
      <c r="E108" s="80" t="s">
        <v>279</v>
      </c>
      <c r="F108" s="74">
        <f t="shared" ca="1" si="25"/>
      </c>
      <c r="G108" s="74">
        <f t="shared" si="26"/>
      </c>
      <c r="H108" s="80" t="s">
        <v>272</v>
      </c>
      <c r="I108" s="74">
        <f t="shared" si="27"/>
      </c>
      <c r="J108" s="74">
        <f t="shared" si="30"/>
      </c>
      <c r="K108" s="80" t="s">
        <v>280</v>
      </c>
      <c r="L108" s="74">
        <f t="shared" si="31"/>
      </c>
      <c r="M108" s="74">
        <f t="shared" ca="1" si="32"/>
      </c>
      <c r="N108" s="74">
        <f ca="1">VLOOKUP(B108,$C$7:$T106,13,FALSE)</f>
      </c>
      <c r="O108" s="74">
        <f t="shared" ca="1" si="33"/>
      </c>
      <c r="P108" s="74">
        <f t="shared" ca="1" si="34"/>
      </c>
      <c r="Q108" s="74">
        <f t="shared" ca="1" si="35"/>
      </c>
      <c r="R108" s="74">
        <f t="shared" si="36"/>
      </c>
      <c r="S108" s="74">
        <f t="shared" ca="1" si="37"/>
      </c>
      <c r="T108" s="74">
        <f t="shared" si="38"/>
      </c>
    </row>
    <row r="109" spans="2:20" x14ac:dyDescent="0.3">
      <c r="B109" s="74">
        <f t="shared" ca="1" si="28"/>
      </c>
      <c r="C109" s="78">
        <f>Кабельный_журнал!P75</f>
      </c>
      <c r="D109" s="74">
        <f t="shared" ca="1" si="29"/>
      </c>
      <c r="E109" s="80" t="s">
        <v>279</v>
      </c>
      <c r="F109" s="74">
        <f t="shared" ca="1" si="25"/>
      </c>
      <c r="G109" s="74">
        <f t="shared" si="26"/>
      </c>
      <c r="H109" s="80" t="s">
        <v>272</v>
      </c>
      <c r="I109" s="74">
        <f t="shared" si="27"/>
      </c>
      <c r="J109" s="74">
        <f t="shared" si="30"/>
      </c>
      <c r="K109" s="80" t="s">
        <v>280</v>
      </c>
      <c r="L109" s="74">
        <f t="shared" si="31"/>
      </c>
      <c r="M109" s="74">
        <f t="shared" ca="1" si="32"/>
      </c>
      <c r="N109" s="74">
        <f ca="1">VLOOKUP(B109,$C$7:$T107,13,FALSE)</f>
      </c>
      <c r="O109" s="74">
        <f t="shared" ca="1" si="33"/>
      </c>
      <c r="P109" s="74">
        <f t="shared" ca="1" si="34"/>
      </c>
      <c r="Q109" s="74">
        <f t="shared" ca="1" si="35"/>
      </c>
      <c r="R109" s="74">
        <f t="shared" si="36"/>
      </c>
      <c r="S109" s="74">
        <f t="shared" ca="1" si="37"/>
      </c>
      <c r="T109" s="74">
        <f t="shared" si="38"/>
      </c>
    </row>
    <row r="110" spans="2:20" x14ac:dyDescent="0.3">
      <c r="B110" s="74">
        <f t="shared" ca="1" si="28"/>
      </c>
      <c r="C110" s="78">
        <f>Кабельный_журнал!P76</f>
      </c>
      <c r="D110" s="74">
        <f t="shared" ca="1" si="29"/>
      </c>
      <c r="E110" s="80" t="s">
        <v>279</v>
      </c>
      <c r="F110" s="74">
        <f t="shared" ca="1" si="25"/>
      </c>
      <c r="G110" s="74">
        <f t="shared" si="26"/>
      </c>
      <c r="H110" s="80" t="s">
        <v>272</v>
      </c>
      <c r="I110" s="74">
        <f t="shared" si="27"/>
      </c>
      <c r="J110" s="74">
        <f t="shared" si="30"/>
      </c>
      <c r="K110" s="80" t="s">
        <v>280</v>
      </c>
      <c r="L110" s="74">
        <f t="shared" si="31"/>
      </c>
      <c r="M110" s="74">
        <f t="shared" ca="1" si="32"/>
      </c>
      <c r="N110" s="74">
        <f ca="1">VLOOKUP(B110,$C$7:$T108,13,FALSE)</f>
      </c>
      <c r="O110" s="74">
        <f t="shared" ca="1" si="33"/>
      </c>
      <c r="P110" s="74">
        <f t="shared" ca="1" si="34"/>
      </c>
      <c r="Q110" s="74">
        <f t="shared" ca="1" si="35"/>
      </c>
      <c r="R110" s="74">
        <f t="shared" si="36"/>
      </c>
      <c r="S110" s="74">
        <f t="shared" ca="1" si="37"/>
      </c>
      <c r="T110" s="74">
        <f t="shared" si="38"/>
      </c>
    </row>
    <row r="111" spans="2:20" x14ac:dyDescent="0.3">
      <c r="B111" s="74">
        <f t="shared" ca="1" si="28"/>
      </c>
      <c r="C111" s="78">
        <f>Кабельный_журнал!P77</f>
      </c>
      <c r="D111" s="74">
        <f t="shared" ca="1" si="29"/>
      </c>
      <c r="E111" s="80" t="s">
        <v>279</v>
      </c>
      <c r="F111" s="74">
        <f t="shared" ca="1" si="25"/>
      </c>
      <c r="G111" s="74">
        <f t="shared" si="26"/>
      </c>
      <c r="H111" s="80" t="s">
        <v>272</v>
      </c>
      <c r="I111" s="74">
        <f t="shared" si="27"/>
      </c>
      <c r="J111" s="74">
        <f t="shared" si="30"/>
      </c>
      <c r="K111" s="80" t="s">
        <v>280</v>
      </c>
      <c r="L111" s="74">
        <f t="shared" si="31"/>
      </c>
      <c r="M111" s="74">
        <f t="shared" ca="1" si="32"/>
      </c>
      <c r="N111" s="74">
        <f ca="1">VLOOKUP(B111,$C$7:$T109,13,FALSE)</f>
      </c>
      <c r="O111" s="74">
        <f t="shared" ca="1" si="33"/>
      </c>
      <c r="P111" s="74">
        <f t="shared" ca="1" si="34"/>
      </c>
      <c r="Q111" s="74">
        <f t="shared" ca="1" si="35"/>
      </c>
      <c r="R111" s="74">
        <f t="shared" si="36"/>
      </c>
      <c r="S111" s="74">
        <f t="shared" ca="1" si="37"/>
      </c>
      <c r="T111" s="74">
        <f t="shared" si="38"/>
      </c>
    </row>
    <row r="112" spans="2:20" x14ac:dyDescent="0.3">
      <c r="B112" s="74">
        <f t="shared" ca="1" si="28"/>
      </c>
      <c r="C112" s="78">
        <f>Кабельный_журнал!P78</f>
      </c>
      <c r="D112" s="74">
        <f t="shared" ca="1" si="29"/>
      </c>
      <c r="E112" s="80" t="s">
        <v>279</v>
      </c>
      <c r="F112" s="74">
        <f t="shared" ca="1" si="25"/>
      </c>
      <c r="G112" s="74">
        <f t="shared" si="26"/>
      </c>
      <c r="H112" s="80" t="s">
        <v>272</v>
      </c>
      <c r="I112" s="74">
        <f t="shared" si="27"/>
      </c>
      <c r="J112" s="74">
        <f t="shared" si="30"/>
      </c>
      <c r="K112" s="80" t="s">
        <v>280</v>
      </c>
      <c r="L112" s="74">
        <f t="shared" si="31"/>
      </c>
      <c r="M112" s="74">
        <f t="shared" ca="1" si="32"/>
      </c>
      <c r="N112" s="74">
        <f ca="1">VLOOKUP(B112,$C$7:$T110,13,FALSE)</f>
      </c>
      <c r="O112" s="74">
        <f t="shared" ca="1" si="33"/>
      </c>
      <c r="P112" s="74">
        <f t="shared" ca="1" si="34"/>
      </c>
      <c r="Q112" s="74">
        <f t="shared" ca="1" si="35"/>
      </c>
      <c r="R112" s="74">
        <f t="shared" si="36"/>
      </c>
      <c r="S112" s="74">
        <f t="shared" ca="1" si="37"/>
      </c>
      <c r="T112" s="74">
        <f t="shared" si="38"/>
      </c>
    </row>
    <row r="113" spans="2:20" x14ac:dyDescent="0.3">
      <c r="B113" s="74">
        <f t="shared" ca="1" si="28"/>
      </c>
      <c r="C113" s="78">
        <f>Кабельный_журнал!P79</f>
      </c>
      <c r="D113" s="74">
        <f t="shared" ca="1" si="29"/>
      </c>
      <c r="E113" s="80" t="s">
        <v>279</v>
      </c>
      <c r="F113" s="74">
        <f t="shared" ca="1" si="25"/>
      </c>
      <c r="G113" s="74">
        <f t="shared" si="26"/>
      </c>
      <c r="H113" s="80" t="s">
        <v>272</v>
      </c>
      <c r="I113" s="74">
        <f t="shared" si="27"/>
      </c>
      <c r="J113" s="74">
        <f t="shared" si="30"/>
      </c>
      <c r="K113" s="80" t="s">
        <v>280</v>
      </c>
      <c r="L113" s="74">
        <f t="shared" si="31"/>
      </c>
      <c r="M113" s="74">
        <f t="shared" ca="1" si="32"/>
      </c>
      <c r="N113" s="74">
        <f ca="1">VLOOKUP(B113,$C$7:$T111,13,FALSE)</f>
      </c>
      <c r="O113" s="74">
        <f t="shared" ca="1" si="33"/>
      </c>
      <c r="P113" s="74">
        <f t="shared" ca="1" si="34"/>
      </c>
      <c r="Q113" s="74">
        <f t="shared" ca="1" si="35"/>
      </c>
      <c r="R113" s="74">
        <f t="shared" si="36"/>
      </c>
      <c r="S113" s="74">
        <f t="shared" ca="1" si="37"/>
      </c>
      <c r="T113" s="74">
        <f t="shared" si="38"/>
      </c>
    </row>
    <row r="114" spans="2:20" x14ac:dyDescent="0.3">
      <c r="B114" s="74">
        <f t="shared" ca="1" si="28"/>
      </c>
      <c r="C114" s="78">
        <f>Кабельный_журнал!P80</f>
      </c>
      <c r="D114" s="74">
        <f t="shared" ca="1" si="29"/>
      </c>
      <c r="E114" s="80" t="s">
        <v>279</v>
      </c>
      <c r="F114" s="74">
        <f t="shared" ca="1" si="25"/>
      </c>
      <c r="G114" s="74">
        <f t="shared" si="26"/>
      </c>
      <c r="H114" s="80" t="s">
        <v>272</v>
      </c>
      <c r="I114" s="74">
        <f t="shared" si="27"/>
      </c>
      <c r="J114" s="74">
        <f t="shared" si="30"/>
      </c>
      <c r="K114" s="80" t="s">
        <v>280</v>
      </c>
      <c r="L114" s="74">
        <f t="shared" si="31"/>
      </c>
      <c r="M114" s="74">
        <f t="shared" ca="1" si="32"/>
      </c>
      <c r="N114" s="74">
        <f ca="1">VLOOKUP(B114,$C$7:$T112,13,FALSE)</f>
      </c>
      <c r="O114" s="74">
        <f t="shared" ca="1" si="33"/>
      </c>
      <c r="P114" s="74">
        <f t="shared" ca="1" si="34"/>
      </c>
      <c r="Q114" s="74">
        <f t="shared" ca="1" si="35"/>
      </c>
      <c r="R114" s="74">
        <f t="shared" si="36"/>
      </c>
      <c r="S114" s="74">
        <f t="shared" ca="1" si="37"/>
      </c>
      <c r="T114" s="74">
        <f t="shared" si="38"/>
      </c>
    </row>
    <row r="115" spans="2:20" x14ac:dyDescent="0.3">
      <c r="B115" s="74">
        <f t="shared" ca="1" si="28"/>
      </c>
      <c r="C115" s="78">
        <f>Кабельный_журнал!P81</f>
      </c>
      <c r="D115" s="74">
        <f t="shared" ca="1" si="29"/>
      </c>
      <c r="E115" s="80" t="s">
        <v>279</v>
      </c>
      <c r="F115" s="74">
        <f t="shared" ca="1" si="25"/>
      </c>
      <c r="G115" s="74">
        <f t="shared" si="26"/>
      </c>
      <c r="H115" s="80" t="s">
        <v>272</v>
      </c>
      <c r="I115" s="74">
        <f t="shared" si="27"/>
      </c>
      <c r="J115" s="74">
        <f t="shared" si="30"/>
      </c>
      <c r="K115" s="80" t="s">
        <v>280</v>
      </c>
      <c r="L115" s="74">
        <f t="shared" si="31"/>
      </c>
      <c r="M115" s="74">
        <f t="shared" ca="1" si="32"/>
      </c>
      <c r="N115" s="74">
        <f ca="1">VLOOKUP(B115,$C$7:$T113,13,FALSE)</f>
      </c>
      <c r="O115" s="74">
        <f t="shared" ca="1" si="33"/>
      </c>
      <c r="P115" s="74">
        <f t="shared" ca="1" si="34"/>
      </c>
      <c r="Q115" s="74">
        <f t="shared" ca="1" si="35"/>
      </c>
      <c r="R115" s="74">
        <f t="shared" si="36"/>
      </c>
      <c r="S115" s="74">
        <f t="shared" ca="1" si="37"/>
      </c>
      <c r="T115" s="74">
        <f t="shared" si="38"/>
      </c>
    </row>
    <row r="116" spans="2:20" x14ac:dyDescent="0.3">
      <c r="B116" s="74">
        <f t="shared" ca="1" si="28"/>
      </c>
      <c r="C116" s="78">
        <f>Кабельный_журнал!P82</f>
      </c>
      <c r="D116" s="74">
        <f t="shared" ca="1" si="29"/>
      </c>
      <c r="E116" s="80" t="s">
        <v>279</v>
      </c>
      <c r="F116" s="74">
        <f t="shared" ca="1" si="25"/>
      </c>
      <c r="G116" s="74">
        <f t="shared" si="26"/>
      </c>
      <c r="H116" s="80" t="s">
        <v>272</v>
      </c>
      <c r="I116" s="74">
        <f t="shared" si="27"/>
      </c>
      <c r="J116" s="74">
        <f t="shared" si="30"/>
      </c>
      <c r="K116" s="80" t="s">
        <v>280</v>
      </c>
      <c r="L116" s="74">
        <f t="shared" si="31"/>
      </c>
      <c r="M116" s="74">
        <f t="shared" ca="1" si="32"/>
      </c>
      <c r="N116" s="74">
        <f ca="1">VLOOKUP(B116,$C$7:$T114,13,FALSE)</f>
      </c>
      <c r="O116" s="74">
        <f t="shared" ca="1" si="33"/>
      </c>
      <c r="P116" s="74">
        <f t="shared" ca="1" si="34"/>
      </c>
      <c r="Q116" s="74">
        <f t="shared" ca="1" si="35"/>
      </c>
      <c r="R116" s="74">
        <f t="shared" si="36"/>
      </c>
      <c r="S116" s="74">
        <f t="shared" ca="1" si="37"/>
      </c>
      <c r="T116" s="74">
        <f t="shared" si="38"/>
      </c>
    </row>
    <row r="117" spans="2:20" x14ac:dyDescent="0.3">
      <c r="B117" s="74">
        <f t="shared" ca="1" si="28"/>
      </c>
      <c r="C117" s="78">
        <f>Кабельный_журнал!P83</f>
      </c>
      <c r="D117" s="74">
        <f t="shared" ca="1" si="29"/>
      </c>
      <c r="E117" s="80" t="s">
        <v>279</v>
      </c>
      <c r="F117" s="74">
        <f t="shared" ca="1" si="25"/>
      </c>
      <c r="G117" s="74">
        <f t="shared" si="26"/>
      </c>
      <c r="H117" s="80" t="s">
        <v>272</v>
      </c>
      <c r="I117" s="74">
        <f t="shared" si="27"/>
      </c>
      <c r="J117" s="74">
        <f t="shared" si="30"/>
      </c>
      <c r="K117" s="80" t="s">
        <v>280</v>
      </c>
      <c r="L117" s="74">
        <f t="shared" si="31"/>
      </c>
      <c r="M117" s="74">
        <f t="shared" ca="1" si="32"/>
      </c>
      <c r="N117" s="74">
        <f ca="1">VLOOKUP(B117,$C$7:$T115,13,FALSE)</f>
      </c>
      <c r="O117" s="74">
        <f t="shared" ca="1" si="33"/>
      </c>
      <c r="P117" s="74">
        <f t="shared" ca="1" si="34"/>
      </c>
      <c r="Q117" s="74">
        <f t="shared" ca="1" si="35"/>
      </c>
      <c r="R117" s="74">
        <f t="shared" si="36"/>
      </c>
      <c r="S117" s="74">
        <f t="shared" ca="1" si="37"/>
      </c>
      <c r="T117" s="74">
        <f t="shared" si="38"/>
      </c>
    </row>
    <row r="118" spans="2:20" x14ac:dyDescent="0.3">
      <c r="B118" s="74">
        <f t="shared" ca="1" si="28"/>
      </c>
      <c r="C118" s="78">
        <f>Кабельный_журнал!P84</f>
      </c>
      <c r="D118" s="74">
        <f t="shared" ca="1" si="29"/>
      </c>
      <c r="E118" s="80" t="s">
        <v>279</v>
      </c>
      <c r="F118" s="74">
        <f t="shared" ca="1" si="25"/>
      </c>
      <c r="G118" s="74">
        <f t="shared" si="26"/>
      </c>
      <c r="H118" s="80" t="s">
        <v>272</v>
      </c>
      <c r="I118" s="74">
        <f t="shared" si="27"/>
      </c>
      <c r="J118" s="74">
        <f t="shared" si="30"/>
      </c>
      <c r="K118" s="80" t="s">
        <v>280</v>
      </c>
      <c r="L118" s="74">
        <f t="shared" si="31"/>
      </c>
      <c r="M118" s="74">
        <f t="shared" ca="1" si="32"/>
      </c>
      <c r="N118" s="74">
        <f ca="1">VLOOKUP(B118,$C$7:$T116,13,FALSE)</f>
      </c>
      <c r="O118" s="74">
        <f t="shared" ca="1" si="33"/>
      </c>
      <c r="P118" s="74">
        <f t="shared" ca="1" si="34"/>
      </c>
      <c r="Q118" s="74">
        <f t="shared" ca="1" si="35"/>
      </c>
      <c r="R118" s="74">
        <f t="shared" si="36"/>
      </c>
      <c r="S118" s="74">
        <f t="shared" ca="1" si="37"/>
      </c>
      <c r="T118" s="74">
        <f t="shared" si="38"/>
      </c>
    </row>
    <row r="119" spans="2:20" x14ac:dyDescent="0.3">
      <c r="B119" s="74">
        <f t="shared" ca="1" si="28"/>
      </c>
      <c r="C119" s="78">
        <f>Кабельный_журнал!P85</f>
      </c>
      <c r="D119" s="74">
        <f t="shared" ca="1" si="29"/>
      </c>
      <c r="E119" s="80" t="s">
        <v>279</v>
      </c>
      <c r="F119" s="74">
        <f t="shared" ca="1" si="25"/>
      </c>
      <c r="G119" s="74">
        <f t="shared" si="26"/>
      </c>
      <c r="H119" s="80" t="s">
        <v>272</v>
      </c>
      <c r="I119" s="74">
        <f t="shared" si="27"/>
      </c>
      <c r="J119" s="74">
        <f t="shared" si="30"/>
      </c>
      <c r="K119" s="80" t="s">
        <v>280</v>
      </c>
      <c r="L119" s="74">
        <f t="shared" si="31"/>
      </c>
      <c r="M119" s="74">
        <f t="shared" ca="1" si="32"/>
      </c>
      <c r="N119" s="74">
        <f ca="1">VLOOKUP(B119,$C$7:$T117,13,FALSE)</f>
      </c>
      <c r="O119" s="74">
        <f t="shared" ca="1" si="33"/>
      </c>
      <c r="P119" s="74">
        <f t="shared" ca="1" si="34"/>
      </c>
      <c r="Q119" s="74">
        <f t="shared" ca="1" si="35"/>
      </c>
      <c r="R119" s="74">
        <f t="shared" si="36"/>
      </c>
      <c r="S119" s="74">
        <f t="shared" ca="1" si="37"/>
      </c>
      <c r="T119" s="74">
        <f t="shared" si="38"/>
      </c>
    </row>
    <row r="120" spans="2:20" x14ac:dyDescent="0.3">
      <c r="B120" s="74">
        <f t="shared" ca="1" si="28"/>
      </c>
      <c r="C120" s="78">
        <f>Кабельный_журнал!P86</f>
      </c>
      <c r="D120" s="74">
        <f t="shared" ca="1" si="29"/>
      </c>
      <c r="E120" s="80" t="s">
        <v>279</v>
      </c>
      <c r="F120" s="74">
        <f t="shared" ca="1" si="25"/>
      </c>
      <c r="G120" s="74">
        <f t="shared" si="26"/>
      </c>
      <c r="H120" s="80" t="s">
        <v>272</v>
      </c>
      <c r="I120" s="74">
        <f t="shared" si="27"/>
      </c>
      <c r="J120" s="74">
        <f t="shared" si="30"/>
      </c>
      <c r="K120" s="80" t="s">
        <v>280</v>
      </c>
      <c r="L120" s="74">
        <f t="shared" si="31"/>
      </c>
      <c r="M120" s="74">
        <f t="shared" ca="1" si="32"/>
      </c>
      <c r="N120" s="74">
        <f ca="1">VLOOKUP(B120,$C$7:$T118,13,FALSE)</f>
      </c>
      <c r="O120" s="74">
        <f t="shared" ca="1" si="33"/>
      </c>
      <c r="P120" s="74">
        <f t="shared" ca="1" si="34"/>
      </c>
      <c r="Q120" s="74">
        <f t="shared" ca="1" si="35"/>
      </c>
      <c r="R120" s="74">
        <f t="shared" si="36"/>
      </c>
      <c r="S120" s="74">
        <f t="shared" ca="1" si="37"/>
      </c>
      <c r="T120" s="74">
        <f t="shared" si="38"/>
      </c>
    </row>
    <row r="121" spans="2:20" x14ac:dyDescent="0.3">
      <c r="B121" s="74">
        <f t="shared" ca="1" si="28"/>
      </c>
      <c r="C121" s="78">
        <f>Кабельный_журнал!P87</f>
      </c>
      <c r="D121" s="74">
        <f t="shared" ca="1" si="29"/>
      </c>
      <c r="E121" s="80" t="s">
        <v>279</v>
      </c>
      <c r="F121" s="74">
        <f t="shared" ca="1" si="25"/>
      </c>
      <c r="G121" s="74">
        <f t="shared" si="26"/>
      </c>
      <c r="H121" s="80" t="s">
        <v>272</v>
      </c>
      <c r="I121" s="74">
        <f t="shared" si="27"/>
      </c>
      <c r="J121" s="74">
        <f t="shared" si="30"/>
      </c>
      <c r="K121" s="80" t="s">
        <v>280</v>
      </c>
      <c r="L121" s="74">
        <f t="shared" si="31"/>
      </c>
      <c r="M121" s="74">
        <f t="shared" ca="1" si="32"/>
      </c>
      <c r="N121" s="74">
        <f ca="1">VLOOKUP(B121,$C$7:$T119,13,FALSE)</f>
      </c>
      <c r="O121" s="74">
        <f t="shared" ca="1" si="33"/>
      </c>
      <c r="P121" s="74">
        <f t="shared" ca="1" si="34"/>
      </c>
      <c r="Q121" s="74">
        <f t="shared" ca="1" si="35"/>
      </c>
      <c r="R121" s="74">
        <f t="shared" si="36"/>
      </c>
      <c r="S121" s="74">
        <f t="shared" ca="1" si="37"/>
      </c>
      <c r="T121" s="74">
        <f t="shared" si="38"/>
      </c>
    </row>
    <row r="122" spans="2:20" x14ac:dyDescent="0.3">
      <c r="B122" s="74">
        <f t="shared" ca="1" si="28"/>
      </c>
      <c r="C122" s="78">
        <f>Кабельный_журнал!P88</f>
      </c>
      <c r="D122" s="74">
        <f t="shared" ca="1" si="29"/>
      </c>
      <c r="E122" s="80" t="s">
        <v>279</v>
      </c>
      <c r="F122" s="74">
        <f t="shared" ca="1" si="25"/>
      </c>
      <c r="G122" s="74">
        <f t="shared" si="26"/>
      </c>
      <c r="H122" s="80" t="s">
        <v>272</v>
      </c>
      <c r="I122" s="74">
        <f t="shared" si="27"/>
      </c>
      <c r="J122" s="74">
        <f t="shared" si="30"/>
      </c>
      <c r="K122" s="80" t="s">
        <v>280</v>
      </c>
      <c r="L122" s="74">
        <f t="shared" si="31"/>
      </c>
      <c r="M122" s="74">
        <f t="shared" ca="1" si="32"/>
      </c>
      <c r="N122" s="74">
        <f ca="1">VLOOKUP(B122,$C$7:$T120,13,FALSE)</f>
      </c>
      <c r="O122" s="74">
        <f t="shared" ca="1" si="33"/>
      </c>
      <c r="P122" s="74">
        <f t="shared" ca="1" si="34"/>
      </c>
      <c r="Q122" s="74">
        <f t="shared" ca="1" si="35"/>
      </c>
      <c r="R122" s="74">
        <f t="shared" si="36"/>
      </c>
      <c r="S122" s="74">
        <f t="shared" ca="1" si="37"/>
      </c>
      <c r="T122" s="74">
        <f t="shared" si="38"/>
      </c>
    </row>
    <row r="123" spans="2:20" x14ac:dyDescent="0.3">
      <c r="B123" s="74">
        <f t="shared" ca="1" si="28"/>
      </c>
      <c r="C123" s="78">
        <f>Кабельный_журнал!P89</f>
      </c>
      <c r="D123" s="74">
        <f t="shared" ca="1" si="29"/>
      </c>
      <c r="E123" s="80" t="s">
        <v>279</v>
      </c>
      <c r="F123" s="74">
        <f t="shared" ca="1" si="25"/>
      </c>
      <c r="G123" s="74">
        <f t="shared" si="26"/>
      </c>
      <c r="H123" s="80" t="s">
        <v>272</v>
      </c>
      <c r="I123" s="74">
        <f t="shared" si="27"/>
      </c>
      <c r="J123" s="74">
        <f t="shared" si="30"/>
      </c>
      <c r="K123" s="80" t="s">
        <v>280</v>
      </c>
      <c r="L123" s="74">
        <f t="shared" si="31"/>
      </c>
      <c r="M123" s="74">
        <f t="shared" ca="1" si="32"/>
      </c>
      <c r="N123" s="74">
        <f ca="1">VLOOKUP(B123,$C$7:$T121,13,FALSE)</f>
      </c>
      <c r="O123" s="74">
        <f t="shared" ca="1" si="33"/>
      </c>
      <c r="P123" s="74">
        <f t="shared" ca="1" si="34"/>
      </c>
      <c r="Q123" s="74">
        <f t="shared" ca="1" si="35"/>
      </c>
      <c r="R123" s="74">
        <f t="shared" si="36"/>
      </c>
      <c r="S123" s="74">
        <f t="shared" ca="1" si="37"/>
      </c>
      <c r="T123" s="74">
        <f t="shared" si="38"/>
      </c>
    </row>
    <row r="124" spans="2:20" x14ac:dyDescent="0.3">
      <c r="B124" s="74">
        <f t="shared" ca="1" si="28"/>
      </c>
      <c r="C124" s="78">
        <f>Кабельный_журнал!P90</f>
      </c>
      <c r="D124" s="74">
        <f t="shared" ca="1" si="29"/>
      </c>
      <c r="E124" s="80" t="s">
        <v>279</v>
      </c>
      <c r="F124" s="74">
        <f t="shared" ca="1" si="25"/>
      </c>
      <c r="G124" s="74">
        <f t="shared" si="26"/>
      </c>
      <c r="H124" s="80" t="s">
        <v>272</v>
      </c>
      <c r="I124" s="74">
        <f t="shared" si="27"/>
      </c>
      <c r="J124" s="74">
        <f t="shared" si="30"/>
      </c>
      <c r="K124" s="80" t="s">
        <v>280</v>
      </c>
      <c r="L124" s="74">
        <f t="shared" si="31"/>
      </c>
      <c r="M124" s="74">
        <f t="shared" ca="1" si="32"/>
      </c>
      <c r="N124" s="74">
        <f ca="1">VLOOKUP(B124,$C$7:$T122,13,FALSE)</f>
      </c>
      <c r="O124" s="74">
        <f t="shared" ca="1" si="33"/>
      </c>
      <c r="P124" s="74">
        <f t="shared" ca="1" si="34"/>
      </c>
      <c r="Q124" s="74">
        <f t="shared" ca="1" si="35"/>
      </c>
      <c r="R124" s="74">
        <f t="shared" si="36"/>
      </c>
      <c r="S124" s="74">
        <f t="shared" ca="1" si="37"/>
      </c>
      <c r="T124" s="74">
        <f t="shared" si="38"/>
      </c>
    </row>
    <row r="125" spans="2:20" x14ac:dyDescent="0.3">
      <c r="B125" s="74">
        <f t="shared" ca="1" si="28"/>
      </c>
      <c r="C125" s="78">
        <f>Кабельный_журнал!P91</f>
      </c>
      <c r="D125" s="74">
        <f t="shared" ca="1" si="29"/>
      </c>
      <c r="E125" s="80" t="s">
        <v>279</v>
      </c>
      <c r="F125" s="74">
        <f t="shared" ca="1" si="25"/>
      </c>
      <c r="G125" s="74">
        <f t="shared" si="26"/>
      </c>
      <c r="H125" s="80" t="s">
        <v>272</v>
      </c>
      <c r="I125" s="74">
        <f t="shared" si="27"/>
      </c>
      <c r="J125" s="74">
        <f t="shared" si="30"/>
      </c>
      <c r="K125" s="80" t="s">
        <v>280</v>
      </c>
      <c r="L125" s="74">
        <f t="shared" si="31"/>
      </c>
      <c r="M125" s="74">
        <f t="shared" ca="1" si="32"/>
      </c>
      <c r="N125" s="74">
        <f ca="1">VLOOKUP(B125,$C$7:$T123,13,FALSE)</f>
      </c>
      <c r="O125" s="74">
        <f t="shared" ca="1" si="33"/>
      </c>
      <c r="P125" s="74">
        <f t="shared" ca="1" si="34"/>
      </c>
      <c r="Q125" s="74">
        <f t="shared" ca="1" si="35"/>
      </c>
      <c r="R125" s="74">
        <f t="shared" si="36"/>
      </c>
      <c r="S125" s="74">
        <f t="shared" ca="1" si="37"/>
      </c>
      <c r="T125" s="74">
        <f t="shared" si="38"/>
      </c>
    </row>
    <row r="126" spans="2:20" x14ac:dyDescent="0.3">
      <c r="B126" s="74">
        <f t="shared" ca="1" si="28"/>
      </c>
      <c r="C126" s="78">
        <f>Кабельный_журнал!P92</f>
      </c>
      <c r="D126" s="74">
        <f t="shared" ca="1" si="29"/>
      </c>
      <c r="E126" s="80" t="s">
        <v>279</v>
      </c>
      <c r="F126" s="74">
        <f t="shared" ca="1" si="25"/>
      </c>
      <c r="G126" s="74">
        <f t="shared" si="26"/>
      </c>
      <c r="H126" s="80" t="s">
        <v>272</v>
      </c>
      <c r="I126" s="74">
        <f t="shared" si="27"/>
      </c>
      <c r="J126" s="74">
        <f t="shared" si="30"/>
      </c>
      <c r="K126" s="80" t="s">
        <v>280</v>
      </c>
      <c r="L126" s="74">
        <f t="shared" si="31"/>
      </c>
      <c r="M126" s="74">
        <f t="shared" ca="1" si="32"/>
      </c>
      <c r="N126" s="74">
        <f ca="1">VLOOKUP(B126,$C$7:$T124,13,FALSE)</f>
      </c>
      <c r="O126" s="74">
        <f t="shared" ca="1" si="33"/>
      </c>
      <c r="P126" s="74">
        <f t="shared" ca="1" si="34"/>
      </c>
      <c r="Q126" s="74">
        <f t="shared" ca="1" si="35"/>
      </c>
      <c r="R126" s="74">
        <f t="shared" si="36"/>
      </c>
      <c r="S126" s="74">
        <f t="shared" ca="1" si="37"/>
      </c>
      <c r="T126" s="74">
        <f t="shared" si="38"/>
      </c>
    </row>
    <row r="127" spans="2:20" x14ac:dyDescent="0.3">
      <c r="B127" s="74">
        <f t="shared" ca="1" si="28"/>
      </c>
      <c r="C127" s="78">
        <f>Кабельный_журнал!P93</f>
      </c>
      <c r="D127" s="74">
        <f t="shared" ca="1" si="29"/>
      </c>
      <c r="E127" s="80" t="s">
        <v>279</v>
      </c>
      <c r="F127" s="74">
        <f t="shared" ca="1" si="25"/>
      </c>
      <c r="G127" s="74">
        <f t="shared" si="26"/>
      </c>
      <c r="H127" s="80" t="s">
        <v>272</v>
      </c>
      <c r="I127" s="74">
        <f t="shared" si="27"/>
      </c>
      <c r="J127" s="74">
        <f t="shared" si="30"/>
      </c>
      <c r="K127" s="80" t="s">
        <v>280</v>
      </c>
      <c r="L127" s="74">
        <f t="shared" si="31"/>
      </c>
      <c r="M127" s="74">
        <f t="shared" ca="1" si="32"/>
      </c>
      <c r="N127" s="74">
        <f ca="1">VLOOKUP(B127,$C$7:$T125,13,FALSE)</f>
      </c>
      <c r="O127" s="74">
        <f t="shared" ca="1" si="33"/>
      </c>
      <c r="P127" s="74">
        <f t="shared" ca="1" si="34"/>
      </c>
      <c r="Q127" s="74">
        <f t="shared" ca="1" si="35"/>
      </c>
      <c r="R127" s="74">
        <f t="shared" si="36"/>
      </c>
      <c r="S127" s="74">
        <f t="shared" ca="1" si="37"/>
      </c>
      <c r="T127" s="74">
        <f t="shared" si="38"/>
      </c>
    </row>
    <row r="128" spans="2:20" x14ac:dyDescent="0.3">
      <c r="B128" s="74">
        <f t="shared" ca="1" si="28"/>
      </c>
      <c r="C128" s="78">
        <f>Кабельный_журнал!P94</f>
      </c>
      <c r="D128" s="74">
        <f t="shared" ca="1" si="29"/>
      </c>
      <c r="E128" s="80" t="s">
        <v>279</v>
      </c>
      <c r="F128" s="74">
        <f t="shared" ca="1" si="25"/>
      </c>
      <c r="G128" s="74">
        <f t="shared" si="26"/>
      </c>
      <c r="H128" s="80" t="s">
        <v>272</v>
      </c>
      <c r="I128" s="74">
        <f t="shared" si="27"/>
      </c>
      <c r="J128" s="74">
        <f t="shared" si="30"/>
      </c>
      <c r="K128" s="80" t="s">
        <v>280</v>
      </c>
      <c r="L128" s="74">
        <f t="shared" si="31"/>
      </c>
      <c r="M128" s="74">
        <f t="shared" ca="1" si="32"/>
      </c>
      <c r="N128" s="74">
        <f ca="1">VLOOKUP(B128,$C$7:$T126,13,FALSE)</f>
      </c>
      <c r="O128" s="74">
        <f t="shared" ca="1" si="33"/>
      </c>
      <c r="P128" s="74">
        <f t="shared" ca="1" si="34"/>
      </c>
      <c r="Q128" s="74">
        <f t="shared" ca="1" si="35"/>
      </c>
      <c r="R128" s="74">
        <f t="shared" si="36"/>
      </c>
      <c r="S128" s="74">
        <f t="shared" ca="1" si="37"/>
      </c>
      <c r="T128" s="74">
        <f t="shared" si="38"/>
      </c>
    </row>
    <row r="129" spans="2:20" x14ac:dyDescent="0.3">
      <c r="B129" s="74">
        <f t="shared" ca="1" si="28"/>
      </c>
      <c r="C129" s="78">
        <f>Кабельный_журнал!P95</f>
      </c>
      <c r="D129" s="74">
        <f t="shared" ca="1" si="29"/>
      </c>
      <c r="E129" s="80" t="s">
        <v>279</v>
      </c>
      <c r="F129" s="74">
        <f t="shared" ca="1" si="25"/>
      </c>
      <c r="G129" s="74">
        <f t="shared" si="26"/>
      </c>
      <c r="H129" s="80" t="s">
        <v>272</v>
      </c>
      <c r="I129" s="74">
        <f t="shared" si="27"/>
      </c>
      <c r="J129" s="74">
        <f t="shared" si="30"/>
      </c>
      <c r="K129" s="80" t="s">
        <v>280</v>
      </c>
      <c r="L129" s="74">
        <f t="shared" si="31"/>
      </c>
      <c r="M129" s="74">
        <f t="shared" ca="1" si="32"/>
      </c>
      <c r="N129" s="74">
        <f ca="1">VLOOKUP(B129,$C$7:$T127,13,FALSE)</f>
      </c>
      <c r="O129" s="74">
        <f t="shared" ca="1" si="33"/>
      </c>
      <c r="P129" s="74">
        <f t="shared" ca="1" si="34"/>
      </c>
      <c r="Q129" s="74">
        <f t="shared" ca="1" si="35"/>
      </c>
      <c r="R129" s="74">
        <f t="shared" si="36"/>
      </c>
      <c r="S129" s="74">
        <f t="shared" ca="1" si="37"/>
      </c>
      <c r="T129" s="74">
        <f t="shared" si="38"/>
      </c>
    </row>
    <row r="130" spans="2:20" x14ac:dyDescent="0.3">
      <c r="B130" s="74">
        <f t="shared" ca="1" si="28"/>
      </c>
      <c r="C130" s="78">
        <f>Кабельный_журнал!P96</f>
      </c>
      <c r="D130" s="74">
        <f t="shared" ca="1" si="29"/>
      </c>
      <c r="E130" s="80" t="s">
        <v>279</v>
      </c>
      <c r="F130" s="74">
        <f t="shared" ca="1" si="25"/>
      </c>
      <c r="G130" s="74">
        <f t="shared" si="26"/>
      </c>
      <c r="H130" s="80" t="s">
        <v>272</v>
      </c>
      <c r="I130" s="74">
        <f t="shared" si="27"/>
      </c>
      <c r="J130" s="74">
        <f t="shared" si="30"/>
      </c>
      <c r="K130" s="80" t="s">
        <v>280</v>
      </c>
      <c r="L130" s="74">
        <f t="shared" si="31"/>
      </c>
      <c r="M130" s="74">
        <f t="shared" ca="1" si="32"/>
      </c>
      <c r="N130" s="74">
        <f ca="1">VLOOKUP(B130,$C$7:$T128,13,FALSE)</f>
      </c>
      <c r="O130" s="74">
        <f t="shared" ca="1" si="33"/>
      </c>
      <c r="P130" s="74">
        <f t="shared" ca="1" si="34"/>
      </c>
      <c r="Q130" s="74">
        <f t="shared" ca="1" si="35"/>
      </c>
      <c r="R130" s="74">
        <f t="shared" si="36"/>
      </c>
      <c r="S130" s="74">
        <f t="shared" ca="1" si="37"/>
      </c>
      <c r="T130" s="74">
        <f t="shared" si="38"/>
      </c>
    </row>
    <row r="131" spans="2:20" x14ac:dyDescent="0.3">
      <c r="B131" s="74">
        <f t="shared" ca="1" si="28"/>
      </c>
      <c r="C131" s="78">
        <f>Кабельный_журнал!P97</f>
      </c>
      <c r="D131" s="74">
        <f t="shared" ca="1" si="29"/>
      </c>
      <c r="E131" s="80" t="s">
        <v>279</v>
      </c>
      <c r="F131" s="74">
        <f t="shared" ca="1" si="25"/>
      </c>
      <c r="G131" s="74">
        <f t="shared" si="26"/>
      </c>
      <c r="H131" s="80" t="s">
        <v>272</v>
      </c>
      <c r="I131" s="74">
        <f t="shared" si="27"/>
      </c>
      <c r="J131" s="74">
        <f t="shared" si="30"/>
      </c>
      <c r="K131" s="80" t="s">
        <v>280</v>
      </c>
      <c r="L131" s="74">
        <f t="shared" si="31"/>
      </c>
      <c r="M131" s="74">
        <f t="shared" ca="1" si="32"/>
      </c>
      <c r="N131" s="74">
        <f ca="1">VLOOKUP(B131,$C$7:$T129,13,FALSE)</f>
      </c>
      <c r="O131" s="74">
        <f t="shared" ca="1" si="33"/>
      </c>
      <c r="P131" s="74">
        <f t="shared" ca="1" si="34"/>
      </c>
      <c r="Q131" s="74">
        <f t="shared" ca="1" si="35"/>
      </c>
      <c r="R131" s="74">
        <f t="shared" si="36"/>
      </c>
      <c r="S131" s="74">
        <f t="shared" ca="1" si="37"/>
      </c>
      <c r="T131" s="74">
        <f t="shared" si="38"/>
      </c>
    </row>
    <row r="132" spans="2:20" x14ac:dyDescent="0.3">
      <c r="B132" s="74">
        <f t="shared" ca="1" si="28"/>
      </c>
      <c r="C132" s="78">
        <f>Кабельный_журнал!P98</f>
      </c>
      <c r="D132" s="74">
        <f t="shared" ca="1" si="29"/>
      </c>
      <c r="E132" s="80" t="s">
        <v>279</v>
      </c>
      <c r="F132" s="74">
        <f t="shared" ca="1" si="25"/>
      </c>
      <c r="G132" s="74">
        <f t="shared" si="26"/>
      </c>
      <c r="H132" s="80" t="s">
        <v>272</v>
      </c>
      <c r="I132" s="74">
        <f t="shared" si="27"/>
      </c>
      <c r="J132" s="74">
        <f t="shared" si="30"/>
      </c>
      <c r="K132" s="80" t="s">
        <v>280</v>
      </c>
      <c r="L132" s="74">
        <f t="shared" si="31"/>
      </c>
      <c r="M132" s="74">
        <f t="shared" ca="1" si="32"/>
      </c>
      <c r="N132" s="74">
        <f ca="1">VLOOKUP(B132,$C$7:$T130,13,FALSE)</f>
      </c>
      <c r="O132" s="74">
        <f t="shared" ca="1" si="33"/>
      </c>
      <c r="P132" s="74">
        <f t="shared" ca="1" si="34"/>
      </c>
      <c r="Q132" s="74">
        <f t="shared" ca="1" si="35"/>
      </c>
      <c r="R132" s="74">
        <f t="shared" si="36"/>
      </c>
      <c r="S132" s="74">
        <f t="shared" ca="1" si="37"/>
      </c>
      <c r="T132" s="74">
        <f t="shared" si="38"/>
      </c>
    </row>
    <row r="133" spans="2:20" x14ac:dyDescent="0.3">
      <c r="B133" s="74">
        <f t="shared" ca="1" si="28"/>
      </c>
      <c r="C133" s="78">
        <f>Кабельный_журнал!P99</f>
      </c>
      <c r="D133" s="74">
        <f t="shared" ca="1" si="29"/>
      </c>
      <c r="E133" s="80" t="s">
        <v>279</v>
      </c>
      <c r="F133" s="74">
        <f t="shared" ca="1" si="25"/>
      </c>
      <c r="G133" s="74">
        <f t="shared" si="26"/>
      </c>
      <c r="H133" s="80" t="s">
        <v>272</v>
      </c>
      <c r="I133" s="74">
        <f t="shared" si="27"/>
      </c>
      <c r="J133" s="74">
        <f t="shared" si="30"/>
      </c>
      <c r="K133" s="80" t="s">
        <v>280</v>
      </c>
      <c r="L133" s="74">
        <f t="shared" si="31"/>
      </c>
      <c r="M133" s="74">
        <f t="shared" ca="1" si="32"/>
      </c>
      <c r="N133" s="74">
        <f ca="1">VLOOKUP(B133,$C$7:$T131,13,FALSE)</f>
      </c>
      <c r="O133" s="74">
        <f t="shared" ca="1" si="33"/>
      </c>
      <c r="P133" s="74">
        <f t="shared" ca="1" si="34"/>
      </c>
      <c r="Q133" s="74">
        <f t="shared" ca="1" si="35"/>
      </c>
      <c r="R133" s="74">
        <f t="shared" si="36"/>
      </c>
      <c r="S133" s="74">
        <f t="shared" ca="1" si="37"/>
      </c>
      <c r="T133" s="74">
        <f t="shared" si="38"/>
      </c>
    </row>
    <row r="134" spans="2:20" x14ac:dyDescent="0.3">
      <c r="B134" s="74">
        <f t="shared" ca="1" si="28"/>
      </c>
      <c r="C134" s="78">
        <f>Кабельный_журнал!P100</f>
      </c>
      <c r="D134" s="74">
        <f t="shared" ca="1" si="29"/>
      </c>
      <c r="E134" s="80" t="s">
        <v>279</v>
      </c>
      <c r="F134" s="74">
        <f t="shared" ca="1" si="25"/>
      </c>
      <c r="G134" s="74">
        <f t="shared" si="26"/>
      </c>
      <c r="H134" s="80" t="s">
        <v>272</v>
      </c>
      <c r="I134" s="74">
        <f t="shared" si="27"/>
      </c>
      <c r="J134" s="74">
        <f t="shared" si="30"/>
      </c>
      <c r="K134" s="80" t="s">
        <v>280</v>
      </c>
      <c r="L134" s="74">
        <f t="shared" si="31"/>
      </c>
      <c r="M134" s="74">
        <f t="shared" ca="1" si="32"/>
      </c>
      <c r="N134" s="74">
        <f ca="1">VLOOKUP(B134,$C$7:$T132,13,FALSE)</f>
      </c>
      <c r="O134" s="74">
        <f t="shared" ca="1" si="33"/>
      </c>
      <c r="P134" s="74">
        <f t="shared" ca="1" si="34"/>
      </c>
      <c r="Q134" s="74">
        <f t="shared" ca="1" si="35"/>
      </c>
      <c r="R134" s="74">
        <f t="shared" si="36"/>
      </c>
      <c r="S134" s="74">
        <f t="shared" ca="1" si="37"/>
      </c>
      <c r="T134" s="74">
        <f t="shared" si="38"/>
      </c>
    </row>
    <row r="135" spans="2:20" x14ac:dyDescent="0.3">
      <c r="B135" s="74">
        <f t="shared" ca="1" si="28"/>
      </c>
      <c r="C135" s="78">
        <f>Кабельный_журнал!P101</f>
      </c>
      <c r="D135" s="74">
        <f t="shared" ca="1" si="29"/>
      </c>
      <c r="E135" s="80" t="s">
        <v>279</v>
      </c>
      <c r="F135" s="74">
        <f t="shared" ca="1" si="25"/>
      </c>
      <c r="G135" s="74">
        <f t="shared" si="26"/>
      </c>
      <c r="H135" s="80" t="s">
        <v>272</v>
      </c>
      <c r="I135" s="74">
        <f t="shared" si="27"/>
      </c>
      <c r="J135" s="74">
        <f t="shared" si="30"/>
      </c>
      <c r="K135" s="80" t="s">
        <v>280</v>
      </c>
      <c r="L135" s="74">
        <f t="shared" si="31"/>
      </c>
      <c r="M135" s="74">
        <f t="shared" ca="1" si="32"/>
      </c>
      <c r="N135" s="74">
        <f ca="1">VLOOKUP(B135,$C$7:$T133,13,FALSE)</f>
      </c>
      <c r="O135" s="74">
        <f t="shared" ca="1" si="33"/>
      </c>
      <c r="P135" s="74">
        <f t="shared" ca="1" si="34"/>
      </c>
      <c r="Q135" s="74">
        <f t="shared" ca="1" si="35"/>
      </c>
      <c r="R135" s="74">
        <f t="shared" si="36"/>
      </c>
      <c r="S135" s="74">
        <f t="shared" ca="1" si="37"/>
      </c>
      <c r="T135" s="74">
        <f t="shared" si="38"/>
      </c>
    </row>
    <row r="136" spans="2:20" x14ac:dyDescent="0.3">
      <c r="B136" s="74">
        <f t="shared" ca="1" si="28"/>
      </c>
      <c r="C136" s="78">
        <f>Кабельный_журнал!P102</f>
      </c>
      <c r="D136" s="74">
        <f t="shared" ca="1" si="29"/>
      </c>
      <c r="E136" s="80" t="s">
        <v>279</v>
      </c>
      <c r="F136" s="74">
        <f t="shared" ca="1" si="25"/>
      </c>
      <c r="G136" s="74">
        <f t="shared" si="26"/>
      </c>
      <c r="H136" s="80" t="s">
        <v>272</v>
      </c>
      <c r="I136" s="74">
        <f t="shared" si="27"/>
      </c>
      <c r="J136" s="74">
        <f t="shared" si="30"/>
      </c>
      <c r="K136" s="80" t="s">
        <v>280</v>
      </c>
      <c r="L136" s="74">
        <f t="shared" si="31"/>
      </c>
      <c r="M136" s="74">
        <f t="shared" ca="1" si="32"/>
      </c>
      <c r="N136" s="74">
        <f ca="1">VLOOKUP(B136,$C$7:$T134,13,FALSE)</f>
      </c>
      <c r="O136" s="74">
        <f t="shared" ca="1" si="33"/>
      </c>
      <c r="P136" s="74">
        <f t="shared" ca="1" si="34"/>
      </c>
      <c r="Q136" s="74">
        <f t="shared" ca="1" si="35"/>
      </c>
      <c r="R136" s="74">
        <f t="shared" si="36"/>
      </c>
      <c r="S136" s="74">
        <f t="shared" ca="1" si="37"/>
      </c>
      <c r="T136" s="74">
        <f t="shared" si="38"/>
      </c>
    </row>
    <row r="137" spans="2:20" x14ac:dyDescent="0.3">
      <c r="B137" s="74">
        <f t="shared" ca="1" si="28"/>
      </c>
      <c r="C137" s="78">
        <f>Кабельный_журнал!P103</f>
      </c>
      <c r="D137" s="74">
        <f t="shared" ca="1" si="29"/>
      </c>
      <c r="E137" s="80" t="s">
        <v>279</v>
      </c>
      <c r="F137" s="74">
        <f t="shared" ca="1" si="25"/>
      </c>
      <c r="G137" s="74">
        <f t="shared" si="26"/>
      </c>
      <c r="H137" s="80" t="s">
        <v>272</v>
      </c>
      <c r="I137" s="74">
        <f t="shared" si="27"/>
      </c>
      <c r="J137" s="74">
        <f t="shared" si="30"/>
      </c>
      <c r="K137" s="80" t="s">
        <v>280</v>
      </c>
      <c r="L137" s="74">
        <f t="shared" si="31"/>
      </c>
      <c r="M137" s="74">
        <f t="shared" ca="1" si="32"/>
      </c>
      <c r="N137" s="74">
        <f ca="1">VLOOKUP(B137,$C$7:$T135,13,FALSE)</f>
      </c>
      <c r="O137" s="74">
        <f t="shared" ca="1" si="33"/>
      </c>
      <c r="P137" s="74">
        <f t="shared" ca="1" si="34"/>
      </c>
      <c r="Q137" s="74">
        <f t="shared" ca="1" si="35"/>
      </c>
      <c r="R137" s="74">
        <f t="shared" si="36"/>
      </c>
      <c r="S137" s="74">
        <f t="shared" ca="1" si="37"/>
      </c>
      <c r="T137" s="74">
        <f t="shared" si="38"/>
      </c>
    </row>
    <row r="138" spans="2:20" x14ac:dyDescent="0.3">
      <c r="B138" s="74">
        <f t="shared" ca="1" si="28"/>
      </c>
      <c r="C138" s="78">
        <f>Кабельный_журнал!P104</f>
      </c>
      <c r="D138" s="74">
        <f t="shared" ca="1" si="29"/>
      </c>
      <c r="E138" s="80" t="s">
        <v>279</v>
      </c>
      <c r="F138" s="74">
        <f t="shared" ca="1" si="25"/>
      </c>
      <c r="G138" s="74">
        <f t="shared" si="26"/>
      </c>
      <c r="H138" s="80" t="s">
        <v>272</v>
      </c>
      <c r="I138" s="74">
        <f t="shared" si="27"/>
      </c>
      <c r="J138" s="74">
        <f t="shared" si="30"/>
      </c>
      <c r="K138" s="80" t="s">
        <v>280</v>
      </c>
      <c r="L138" s="74">
        <f t="shared" si="31"/>
      </c>
      <c r="M138" s="74">
        <f t="shared" ca="1" si="32"/>
      </c>
      <c r="N138" s="74">
        <f ca="1">VLOOKUP(B138,$C$7:$T136,13,FALSE)</f>
      </c>
      <c r="O138" s="74">
        <f t="shared" ca="1" si="33"/>
      </c>
      <c r="P138" s="74">
        <f t="shared" ca="1" si="34"/>
      </c>
      <c r="Q138" s="74">
        <f t="shared" ca="1" si="35"/>
      </c>
      <c r="R138" s="74">
        <f t="shared" si="36"/>
      </c>
      <c r="S138" s="74">
        <f t="shared" ca="1" si="37"/>
      </c>
      <c r="T138" s="74">
        <f t="shared" si="38"/>
      </c>
    </row>
    <row r="139" spans="2:20" x14ac:dyDescent="0.3">
      <c r="B139" s="74">
        <f t="shared" ca="1" si="28"/>
      </c>
      <c r="C139" s="78">
        <f>Кабельный_журнал!P105</f>
      </c>
      <c r="D139" s="74">
        <f t="shared" ca="1" si="29"/>
      </c>
      <c r="E139" s="80" t="s">
        <v>279</v>
      </c>
      <c r="F139" s="74">
        <f t="shared" ca="1" si="25"/>
      </c>
      <c r="G139" s="74">
        <f t="shared" si="26"/>
      </c>
      <c r="H139" s="80" t="s">
        <v>272</v>
      </c>
      <c r="I139" s="74">
        <f t="shared" si="27"/>
      </c>
      <c r="J139" s="74">
        <f t="shared" si="30"/>
      </c>
      <c r="K139" s="80" t="s">
        <v>280</v>
      </c>
      <c r="L139" s="74">
        <f t="shared" si="31"/>
      </c>
      <c r="M139" s="74">
        <f t="shared" ca="1" si="32"/>
      </c>
      <c r="N139" s="74">
        <f ca="1">VLOOKUP(B139,$C$7:$T137,13,FALSE)</f>
      </c>
      <c r="O139" s="74">
        <f t="shared" ca="1" si="33"/>
      </c>
      <c r="P139" s="74">
        <f t="shared" ca="1" si="34"/>
      </c>
      <c r="Q139" s="74">
        <f t="shared" ca="1" si="35"/>
      </c>
      <c r="R139" s="74">
        <f t="shared" si="36"/>
      </c>
      <c r="S139" s="74">
        <f t="shared" ca="1" si="37"/>
      </c>
      <c r="T139" s="74">
        <f t="shared" si="38"/>
      </c>
    </row>
    <row r="140" spans="2:20" x14ac:dyDescent="0.3">
      <c r="B140" s="74">
        <f t="shared" ca="1" si="28"/>
      </c>
      <c r="C140" s="78">
        <f>Кабельный_журнал!P106</f>
      </c>
      <c r="D140" s="74">
        <f t="shared" ca="1" si="29"/>
      </c>
      <c r="E140" s="80" t="s">
        <v>279</v>
      </c>
      <c r="F140" s="74">
        <f t="shared" ca="1" si="25"/>
      </c>
      <c r="G140" s="74">
        <f t="shared" si="26"/>
      </c>
      <c r="H140" s="80" t="s">
        <v>272</v>
      </c>
      <c r="I140" s="74">
        <f t="shared" si="27"/>
      </c>
      <c r="J140" s="74">
        <f t="shared" si="30"/>
      </c>
      <c r="K140" s="80" t="s">
        <v>280</v>
      </c>
      <c r="L140" s="74">
        <f t="shared" si="31"/>
      </c>
      <c r="M140" s="74">
        <f t="shared" ca="1" si="32"/>
      </c>
      <c r="N140" s="74">
        <f ca="1">VLOOKUP(B140,$C$7:$T138,13,FALSE)</f>
      </c>
      <c r="O140" s="74">
        <f t="shared" ca="1" si="33"/>
      </c>
      <c r="P140" s="74">
        <f t="shared" ca="1" si="34"/>
      </c>
      <c r="Q140" s="74">
        <f t="shared" ca="1" si="35"/>
      </c>
      <c r="R140" s="74">
        <f t="shared" si="36"/>
      </c>
      <c r="S140" s="74">
        <f t="shared" ca="1" si="37"/>
      </c>
      <c r="T140" s="74">
        <f t="shared" si="38"/>
      </c>
    </row>
    <row r="141" spans="2:20" x14ac:dyDescent="0.3">
      <c r="B141" s="74">
        <f t="shared" ca="1" si="28"/>
      </c>
      <c r="C141" s="78">
        <f>Кабельный_журнал!P107</f>
      </c>
      <c r="D141" s="74">
        <f t="shared" ca="1" si="29"/>
      </c>
      <c r="E141" s="80" t="s">
        <v>279</v>
      </c>
      <c r="F141" s="74">
        <f t="shared" ca="1" si="25"/>
      </c>
      <c r="G141" s="74">
        <f t="shared" si="26"/>
      </c>
      <c r="H141" s="80" t="s">
        <v>272</v>
      </c>
      <c r="I141" s="74">
        <f t="shared" si="27"/>
      </c>
      <c r="J141" s="74">
        <f t="shared" si="30"/>
      </c>
      <c r="K141" s="80" t="s">
        <v>280</v>
      </c>
      <c r="L141" s="74">
        <f t="shared" si="31"/>
      </c>
      <c r="M141" s="74">
        <f t="shared" ca="1" si="32"/>
      </c>
      <c r="N141" s="74">
        <f ca="1">VLOOKUP(B141,$C$7:$T139,13,FALSE)</f>
      </c>
      <c r="O141" s="74">
        <f t="shared" ca="1" si="33"/>
      </c>
      <c r="P141" s="74">
        <f t="shared" ca="1" si="34"/>
      </c>
      <c r="Q141" s="74">
        <f t="shared" ca="1" si="35"/>
      </c>
      <c r="R141" s="74">
        <f t="shared" si="36"/>
      </c>
      <c r="S141" s="74">
        <f t="shared" ca="1" si="37"/>
      </c>
      <c r="T141" s="74">
        <f t="shared" si="38"/>
      </c>
    </row>
    <row r="142" spans="2:20" x14ac:dyDescent="0.3">
      <c r="B142" s="74">
        <f t="shared" ca="1" si="28"/>
      </c>
      <c r="C142" s="78">
        <f>Кабельный_журнал!P108</f>
      </c>
      <c r="D142" s="74">
        <f t="shared" ca="1" si="29"/>
      </c>
      <c r="E142" s="80" t="s">
        <v>279</v>
      </c>
      <c r="F142" s="74">
        <f t="shared" ca="1" si="25"/>
      </c>
      <c r="G142" s="74">
        <f t="shared" si="26"/>
      </c>
      <c r="H142" s="80" t="s">
        <v>272</v>
      </c>
      <c r="I142" s="74">
        <f t="shared" si="27"/>
      </c>
      <c r="J142" s="74">
        <f t="shared" si="30"/>
      </c>
      <c r="K142" s="80" t="s">
        <v>280</v>
      </c>
      <c r="L142" s="74">
        <f t="shared" si="31"/>
      </c>
      <c r="M142" s="74">
        <f t="shared" ca="1" si="32"/>
      </c>
      <c r="N142" s="74">
        <f ca="1">VLOOKUP(B142,$C$7:$T140,13,FALSE)</f>
      </c>
      <c r="O142" s="74">
        <f t="shared" ca="1" si="33"/>
      </c>
      <c r="P142" s="74">
        <f t="shared" ca="1" si="34"/>
      </c>
      <c r="Q142" s="74">
        <f t="shared" ca="1" si="35"/>
      </c>
      <c r="R142" s="74">
        <f t="shared" si="36"/>
      </c>
      <c r="S142" s="74">
        <f t="shared" ca="1" si="37"/>
      </c>
      <c r="T142" s="74">
        <f t="shared" si="38"/>
      </c>
    </row>
    <row r="143" spans="2:20" x14ac:dyDescent="0.3">
      <c r="B143" s="74">
        <f t="shared" ca="1" si="28"/>
      </c>
      <c r="C143" s="78">
        <f>Кабельный_журнал!P109</f>
      </c>
      <c r="D143" s="74">
        <f t="shared" ca="1" si="29"/>
      </c>
      <c r="E143" s="80" t="s">
        <v>279</v>
      </c>
      <c r="F143" s="74">
        <f t="shared" ca="1" si="25"/>
      </c>
      <c r="G143" s="74">
        <f t="shared" si="26"/>
      </c>
      <c r="H143" s="80" t="s">
        <v>272</v>
      </c>
      <c r="I143" s="74">
        <f t="shared" si="27"/>
      </c>
      <c r="J143" s="74">
        <f t="shared" si="30"/>
      </c>
      <c r="K143" s="80" t="s">
        <v>280</v>
      </c>
      <c r="L143" s="74">
        <f t="shared" si="31"/>
      </c>
      <c r="M143" s="74">
        <f t="shared" ca="1" si="32"/>
      </c>
      <c r="N143" s="74">
        <f ca="1">VLOOKUP(B143,$C$7:$T141,13,FALSE)</f>
      </c>
      <c r="O143" s="74">
        <f t="shared" ca="1" si="33"/>
      </c>
      <c r="P143" s="74">
        <f t="shared" ca="1" si="34"/>
      </c>
      <c r="Q143" s="74">
        <f t="shared" ca="1" si="35"/>
      </c>
      <c r="R143" s="74">
        <f t="shared" si="36"/>
      </c>
      <c r="S143" s="74">
        <f t="shared" ca="1" si="37"/>
      </c>
      <c r="T143" s="74">
        <f t="shared" si="38"/>
      </c>
    </row>
    <row r="144" spans="2:20" x14ac:dyDescent="0.3">
      <c r="B144" s="74">
        <f t="shared" ca="1" si="28"/>
      </c>
      <c r="C144" s="78">
        <f>Кабельный_журнал!P110</f>
      </c>
      <c r="D144" s="74">
        <f t="shared" ca="1" si="29"/>
      </c>
      <c r="E144" s="80" t="s">
        <v>279</v>
      </c>
      <c r="F144" s="74">
        <f t="shared" ca="1" si="25"/>
      </c>
      <c r="G144" s="74">
        <f t="shared" si="26"/>
      </c>
      <c r="H144" s="80" t="s">
        <v>272</v>
      </c>
      <c r="I144" s="74">
        <f t="shared" si="27"/>
      </c>
      <c r="J144" s="74">
        <f t="shared" si="30"/>
      </c>
      <c r="K144" s="80" t="s">
        <v>280</v>
      </c>
      <c r="L144" s="74">
        <f t="shared" si="31"/>
      </c>
      <c r="M144" s="74">
        <f t="shared" ca="1" si="32"/>
      </c>
      <c r="N144" s="74">
        <f ca="1">VLOOKUP(B144,$C$7:$T142,13,FALSE)</f>
      </c>
      <c r="O144" s="74">
        <f t="shared" ca="1" si="33"/>
      </c>
      <c r="P144" s="74">
        <f t="shared" ca="1" si="34"/>
      </c>
      <c r="Q144" s="74">
        <f t="shared" ca="1" si="35"/>
      </c>
      <c r="R144" s="74">
        <f t="shared" si="36"/>
      </c>
      <c r="S144" s="74">
        <f t="shared" ca="1" si="37"/>
      </c>
      <c r="T144" s="74">
        <f t="shared" si="38"/>
      </c>
    </row>
    <row r="145" spans="2:20" x14ac:dyDescent="0.3">
      <c r="B145" s="74">
        <f t="shared" ca="1" si="28"/>
      </c>
      <c r="C145" s="78">
        <f>Кабельный_журнал!P111</f>
      </c>
      <c r="D145" s="74">
        <f t="shared" ca="1" si="29"/>
      </c>
      <c r="E145" s="80" t="s">
        <v>279</v>
      </c>
      <c r="F145" s="74">
        <f t="shared" ca="1" si="25"/>
      </c>
      <c r="G145" s="74">
        <f t="shared" si="26"/>
      </c>
      <c r="H145" s="80" t="s">
        <v>272</v>
      </c>
      <c r="I145" s="74">
        <f t="shared" si="27"/>
      </c>
      <c r="J145" s="74">
        <f t="shared" si="30"/>
      </c>
      <c r="K145" s="80" t="s">
        <v>280</v>
      </c>
      <c r="L145" s="74">
        <f t="shared" si="31"/>
      </c>
      <c r="M145" s="74">
        <f t="shared" ca="1" si="32"/>
      </c>
      <c r="N145" s="74">
        <f ca="1">VLOOKUP(B145,$C$7:$T143,13,FALSE)</f>
      </c>
      <c r="O145" s="74">
        <f t="shared" ca="1" si="33"/>
      </c>
      <c r="P145" s="74">
        <f t="shared" ca="1" si="34"/>
      </c>
      <c r="Q145" s="74">
        <f t="shared" ca="1" si="35"/>
      </c>
      <c r="R145" s="74">
        <f t="shared" si="36"/>
      </c>
      <c r="S145" s="74">
        <f t="shared" ca="1" si="37"/>
      </c>
      <c r="T145" s="74">
        <f t="shared" si="38"/>
      </c>
    </row>
    <row r="146" spans="2:20" x14ac:dyDescent="0.3">
      <c r="B146" s="74">
        <f t="shared" ca="1" si="28"/>
      </c>
      <c r="C146" s="78">
        <f>Кабельный_журнал!P112</f>
      </c>
      <c r="D146" s="74">
        <f t="shared" ca="1" si="29"/>
      </c>
      <c r="E146" s="80" t="s">
        <v>279</v>
      </c>
      <c r="F146" s="74">
        <f t="shared" ca="1" si="25"/>
      </c>
      <c r="G146" s="74">
        <f t="shared" si="26"/>
      </c>
      <c r="H146" s="80" t="s">
        <v>272</v>
      </c>
      <c r="I146" s="74">
        <f t="shared" si="27"/>
      </c>
      <c r="J146" s="74">
        <f t="shared" si="30"/>
      </c>
      <c r="K146" s="80" t="s">
        <v>280</v>
      </c>
      <c r="L146" s="74">
        <f t="shared" si="31"/>
      </c>
      <c r="M146" s="74">
        <f t="shared" ca="1" si="32"/>
      </c>
      <c r="N146" s="74">
        <f ca="1">VLOOKUP(B146,$C$7:$T144,13,FALSE)</f>
      </c>
      <c r="O146" s="74">
        <f t="shared" ca="1" si="33"/>
      </c>
      <c r="P146" s="74">
        <f t="shared" ca="1" si="34"/>
      </c>
      <c r="Q146" s="74">
        <f t="shared" ca="1" si="35"/>
      </c>
      <c r="R146" s="74">
        <f t="shared" si="36"/>
      </c>
      <c r="S146" s="74">
        <f t="shared" ca="1" si="37"/>
      </c>
      <c r="T146" s="74">
        <f t="shared" si="38"/>
      </c>
    </row>
    <row r="147" spans="2:20" x14ac:dyDescent="0.3">
      <c r="B147" s="74">
        <f t="shared" ca="1" si="28"/>
      </c>
      <c r="C147" s="78">
        <f>Кабельный_журнал!P113</f>
      </c>
      <c r="D147" s="74">
        <f t="shared" ca="1" si="29"/>
      </c>
      <c r="E147" s="80" t="s">
        <v>279</v>
      </c>
      <c r="F147" s="74">
        <f t="shared" ca="1" si="25"/>
      </c>
      <c r="G147" s="74">
        <f t="shared" si="26"/>
      </c>
      <c r="H147" s="80" t="s">
        <v>272</v>
      </c>
      <c r="I147" s="74">
        <f t="shared" si="27"/>
      </c>
      <c r="J147" s="74">
        <f t="shared" si="30"/>
      </c>
      <c r="K147" s="80" t="s">
        <v>280</v>
      </c>
      <c r="L147" s="74">
        <f t="shared" si="31"/>
      </c>
      <c r="M147" s="74">
        <f t="shared" ca="1" si="32"/>
      </c>
      <c r="N147" s="74">
        <f ca="1">VLOOKUP(B147,$C$7:$T145,13,FALSE)</f>
      </c>
      <c r="O147" s="74">
        <f t="shared" ca="1" si="33"/>
      </c>
      <c r="P147" s="74">
        <f t="shared" ca="1" si="34"/>
      </c>
      <c r="Q147" s="74">
        <f t="shared" ca="1" si="35"/>
      </c>
      <c r="R147" s="74">
        <f t="shared" si="36"/>
      </c>
      <c r="S147" s="74">
        <f t="shared" ca="1" si="37"/>
      </c>
      <c r="T147" s="74">
        <f t="shared" si="38"/>
      </c>
    </row>
    <row r="148" spans="2:20" x14ac:dyDescent="0.3">
      <c r="B148" s="74">
        <f t="shared" ca="1" si="28"/>
      </c>
      <c r="C148" s="78">
        <f>Кабельный_журнал!P114</f>
      </c>
      <c r="D148" s="74">
        <f t="shared" ca="1" si="29"/>
      </c>
      <c r="E148" s="80" t="s">
        <v>279</v>
      </c>
      <c r="F148" s="74">
        <f t="shared" ca="1" si="25"/>
      </c>
      <c r="G148" s="74">
        <f t="shared" si="26"/>
      </c>
      <c r="H148" s="80" t="s">
        <v>272</v>
      </c>
      <c r="I148" s="74">
        <f t="shared" si="27"/>
      </c>
      <c r="J148" s="74">
        <f t="shared" si="30"/>
      </c>
      <c r="K148" s="80" t="s">
        <v>280</v>
      </c>
      <c r="L148" s="74">
        <f t="shared" si="31"/>
      </c>
      <c r="M148" s="74">
        <f t="shared" ca="1" si="32"/>
      </c>
      <c r="N148" s="74">
        <f ca="1">VLOOKUP(B148,$C$7:$T146,13,FALSE)</f>
      </c>
      <c r="O148" s="74">
        <f t="shared" ca="1" si="33"/>
      </c>
      <c r="P148" s="74">
        <f t="shared" ca="1" si="34"/>
      </c>
      <c r="Q148" s="74">
        <f t="shared" ca="1" si="35"/>
      </c>
      <c r="R148" s="74">
        <f t="shared" si="36"/>
      </c>
      <c r="S148" s="74">
        <f t="shared" ca="1" si="37"/>
      </c>
      <c r="T148" s="74">
        <f t="shared" si="38"/>
      </c>
    </row>
    <row r="149" spans="2:20" x14ac:dyDescent="0.3">
      <c r="B149" s="74">
        <f t="shared" ca="1" si="28"/>
      </c>
      <c r="C149" s="78">
        <f>Кабельный_журнал!P115</f>
      </c>
      <c r="D149" s="74">
        <f t="shared" ca="1" si="29"/>
      </c>
      <c r="E149" s="80" t="s">
        <v>279</v>
      </c>
      <c r="F149" s="74">
        <f t="shared" ca="1" si="25"/>
      </c>
      <c r="G149" s="74">
        <f t="shared" si="26"/>
      </c>
      <c r="H149" s="80" t="s">
        <v>272</v>
      </c>
      <c r="I149" s="74">
        <f t="shared" si="27"/>
      </c>
      <c r="J149" s="74">
        <f t="shared" si="30"/>
      </c>
      <c r="K149" s="80" t="s">
        <v>280</v>
      </c>
      <c r="L149" s="74">
        <f t="shared" si="31"/>
      </c>
      <c r="M149" s="74">
        <f t="shared" ca="1" si="32"/>
      </c>
      <c r="N149" s="74">
        <f ca="1">VLOOKUP(B149,$C$7:$T147,13,FALSE)</f>
      </c>
      <c r="O149" s="74">
        <f t="shared" ca="1" si="33"/>
      </c>
      <c r="P149" s="74">
        <f t="shared" ca="1" si="34"/>
      </c>
      <c r="Q149" s="74">
        <f t="shared" ca="1" si="35"/>
      </c>
      <c r="R149" s="74">
        <f t="shared" si="36"/>
      </c>
      <c r="S149" s="74">
        <f t="shared" ca="1" si="37"/>
      </c>
      <c r="T149" s="74">
        <f t="shared" si="38"/>
      </c>
    </row>
    <row r="150" spans="2:20" x14ac:dyDescent="0.3">
      <c r="B150" s="74">
        <f t="shared" ca="1" si="28"/>
      </c>
      <c r="C150" s="78">
        <f>Кабельный_журнал!P116</f>
      </c>
      <c r="D150" s="74">
        <f t="shared" ca="1" si="29"/>
      </c>
      <c r="E150" s="80" t="s">
        <v>279</v>
      </c>
      <c r="F150" s="74">
        <f t="shared" ca="1" si="25"/>
      </c>
      <c r="G150" s="74">
        <f t="shared" si="26"/>
      </c>
      <c r="H150" s="80" t="s">
        <v>272</v>
      </c>
      <c r="I150" s="74">
        <f t="shared" si="27"/>
      </c>
      <c r="J150" s="74">
        <f t="shared" si="30"/>
      </c>
      <c r="K150" s="80" t="s">
        <v>280</v>
      </c>
      <c r="L150" s="74">
        <f t="shared" si="31"/>
      </c>
      <c r="M150" s="74">
        <f t="shared" ca="1" si="32"/>
      </c>
      <c r="N150" s="74">
        <f ca="1">VLOOKUP(B150,$C$7:$T148,13,FALSE)</f>
      </c>
      <c r="O150" s="74">
        <f t="shared" ca="1" si="33"/>
      </c>
      <c r="P150" s="74">
        <f t="shared" ca="1" si="34"/>
      </c>
      <c r="Q150" s="74">
        <f t="shared" ca="1" si="35"/>
      </c>
      <c r="R150" s="74">
        <f t="shared" si="36"/>
      </c>
      <c r="S150" s="74">
        <f t="shared" ca="1" si="37"/>
      </c>
      <c r="T150" s="74">
        <f t="shared" si="38"/>
      </c>
    </row>
    <row r="151" spans="2:20" x14ac:dyDescent="0.3">
      <c r="B151" s="74">
        <f t="shared" ca="1" si="28"/>
      </c>
      <c r="C151" s="78">
        <f>Кабельный_журнал!P117</f>
      </c>
      <c r="D151" s="74">
        <f t="shared" ca="1" si="29"/>
      </c>
      <c r="E151" s="80" t="s">
        <v>279</v>
      </c>
      <c r="F151" s="74">
        <f t="shared" ca="1" si="25"/>
      </c>
      <c r="G151" s="74">
        <f t="shared" si="26"/>
      </c>
      <c r="H151" s="80" t="s">
        <v>272</v>
      </c>
      <c r="I151" s="74">
        <f t="shared" si="27"/>
      </c>
      <c r="J151" s="74">
        <f t="shared" si="30"/>
      </c>
      <c r="K151" s="80" t="s">
        <v>280</v>
      </c>
      <c r="L151" s="74">
        <f t="shared" si="31"/>
      </c>
      <c r="M151" s="74">
        <f t="shared" ca="1" si="32"/>
      </c>
      <c r="N151" s="74">
        <f ca="1">VLOOKUP(B151,$C$7:$T149,13,FALSE)</f>
      </c>
      <c r="O151" s="74">
        <f t="shared" ca="1" si="33"/>
      </c>
      <c r="P151" s="74">
        <f t="shared" ca="1" si="34"/>
      </c>
      <c r="Q151" s="74">
        <f t="shared" ca="1" si="35"/>
      </c>
      <c r="R151" s="74">
        <f t="shared" si="36"/>
      </c>
      <c r="S151" s="74">
        <f t="shared" ca="1" si="37"/>
      </c>
      <c r="T151" s="74">
        <f t="shared" si="38"/>
      </c>
    </row>
    <row r="152" spans="2:20" x14ac:dyDescent="0.3">
      <c r="B152" s="74">
        <f t="shared" ca="1" si="28"/>
      </c>
      <c r="C152" s="78">
        <f>Кабельный_журнал!P118</f>
      </c>
      <c r="D152" s="74">
        <f t="shared" ca="1" si="29"/>
      </c>
      <c r="E152" s="80" t="s">
        <v>279</v>
      </c>
      <c r="F152" s="74">
        <f t="shared" ca="1" si="25"/>
      </c>
      <c r="G152" s="74">
        <f t="shared" si="26"/>
      </c>
      <c r="H152" s="80" t="s">
        <v>272</v>
      </c>
      <c r="I152" s="74">
        <f t="shared" si="27"/>
      </c>
      <c r="J152" s="74">
        <f t="shared" si="30"/>
      </c>
      <c r="K152" s="80" t="s">
        <v>280</v>
      </c>
      <c r="L152" s="74">
        <f t="shared" si="31"/>
      </c>
      <c r="M152" s="74">
        <f t="shared" ca="1" si="32"/>
      </c>
      <c r="N152" s="74">
        <f ca="1">VLOOKUP(B152,$C$7:$T150,13,FALSE)</f>
      </c>
      <c r="O152" s="74">
        <f t="shared" ca="1" si="33"/>
      </c>
      <c r="P152" s="74">
        <f t="shared" ca="1" si="34"/>
      </c>
      <c r="Q152" s="74">
        <f t="shared" ca="1" si="35"/>
      </c>
      <c r="R152" s="74">
        <f t="shared" si="36"/>
      </c>
      <c r="S152" s="74">
        <f t="shared" ca="1" si="37"/>
      </c>
      <c r="T152" s="74">
        <f t="shared" si="38"/>
      </c>
    </row>
    <row r="153" spans="2:20" x14ac:dyDescent="0.3">
      <c r="B153" s="74">
        <f t="shared" ca="1" si="28"/>
      </c>
      <c r="C153" s="78">
        <f>Кабельный_журнал!P119</f>
      </c>
      <c r="D153" s="74">
        <f t="shared" ca="1" si="29"/>
      </c>
      <c r="E153" s="80" t="s">
        <v>279</v>
      </c>
      <c r="F153" s="74">
        <f t="shared" ca="1" si="25"/>
      </c>
      <c r="G153" s="74">
        <f t="shared" si="26"/>
      </c>
      <c r="H153" s="80" t="s">
        <v>272</v>
      </c>
      <c r="I153" s="74">
        <f t="shared" si="27"/>
      </c>
      <c r="J153" s="74">
        <f t="shared" si="30"/>
      </c>
      <c r="K153" s="80" t="s">
        <v>280</v>
      </c>
      <c r="L153" s="74">
        <f t="shared" si="31"/>
      </c>
      <c r="M153" s="74">
        <f t="shared" ca="1" si="32"/>
      </c>
      <c r="N153" s="74">
        <f ca="1">VLOOKUP(B153,$C$7:$T151,13,FALSE)</f>
      </c>
      <c r="O153" s="74">
        <f t="shared" ca="1" si="33"/>
      </c>
      <c r="P153" s="74">
        <f t="shared" ca="1" si="34"/>
      </c>
      <c r="Q153" s="74">
        <f t="shared" ca="1" si="35"/>
      </c>
      <c r="R153" s="74">
        <f t="shared" si="36"/>
      </c>
      <c r="S153" s="74">
        <f t="shared" ca="1" si="37"/>
      </c>
      <c r="T153" s="74">
        <f t="shared" si="38"/>
      </c>
    </row>
    <row r="154" spans="2:20" x14ac:dyDescent="0.3">
      <c r="B154" s="74">
        <f t="shared" ca="1" si="28"/>
      </c>
      <c r="C154" s="78">
        <f>Кабельный_журнал!P120</f>
      </c>
      <c r="D154" s="74">
        <f t="shared" ca="1" si="29"/>
      </c>
      <c r="E154" s="80" t="s">
        <v>279</v>
      </c>
      <c r="F154" s="74">
        <f t="shared" ca="1" si="25"/>
      </c>
      <c r="G154" s="74">
        <f t="shared" si="26"/>
      </c>
      <c r="H154" s="80" t="s">
        <v>272</v>
      </c>
      <c r="I154" s="74">
        <f t="shared" si="27"/>
      </c>
      <c r="J154" s="74">
        <f t="shared" si="30"/>
      </c>
      <c r="K154" s="80" t="s">
        <v>280</v>
      </c>
      <c r="L154" s="74">
        <f t="shared" si="31"/>
      </c>
      <c r="M154" s="74">
        <f t="shared" ca="1" si="32"/>
      </c>
      <c r="N154" s="74">
        <f ca="1">VLOOKUP(B154,$C$7:$T152,13,FALSE)</f>
      </c>
      <c r="O154" s="74">
        <f t="shared" ca="1" si="33"/>
      </c>
      <c r="P154" s="74">
        <f t="shared" ca="1" si="34"/>
      </c>
      <c r="Q154" s="74">
        <f t="shared" ca="1" si="35"/>
      </c>
      <c r="R154" s="74">
        <f t="shared" si="36"/>
      </c>
      <c r="S154" s="74">
        <f t="shared" ca="1" si="37"/>
      </c>
      <c r="T154" s="74">
        <f t="shared" si="38"/>
      </c>
    </row>
    <row r="155" spans="2:20" x14ac:dyDescent="0.3">
      <c r="B155" s="74">
        <f t="shared" ca="1" si="28"/>
      </c>
      <c r="C155" s="78">
        <f>Кабельный_журнал!P121</f>
      </c>
      <c r="D155" s="74">
        <f t="shared" ca="1" si="29"/>
      </c>
      <c r="E155" s="80" t="s">
        <v>279</v>
      </c>
      <c r="F155" s="74">
        <f t="shared" ca="1" si="25"/>
      </c>
      <c r="G155" s="74">
        <f t="shared" si="26"/>
      </c>
      <c r="H155" s="80" t="s">
        <v>272</v>
      </c>
      <c r="I155" s="74">
        <f t="shared" si="27"/>
      </c>
      <c r="J155" s="74">
        <f t="shared" si="30"/>
      </c>
      <c r="K155" s="80" t="s">
        <v>280</v>
      </c>
      <c r="L155" s="74">
        <f t="shared" si="31"/>
      </c>
      <c r="M155" s="74">
        <f t="shared" ca="1" si="32"/>
      </c>
      <c r="N155" s="74">
        <f ca="1">VLOOKUP(B155,$C$7:$T153,13,FALSE)</f>
      </c>
      <c r="O155" s="74">
        <f t="shared" ca="1" si="33"/>
      </c>
      <c r="P155" s="74">
        <f t="shared" ca="1" si="34"/>
      </c>
      <c r="Q155" s="74">
        <f t="shared" ca="1" si="35"/>
      </c>
      <c r="R155" s="74">
        <f t="shared" si="36"/>
      </c>
      <c r="S155" s="74">
        <f t="shared" ca="1" si="37"/>
      </c>
      <c r="T155" s="74">
        <f t="shared" si="38"/>
      </c>
    </row>
    <row r="156" spans="2:20" x14ac:dyDescent="0.3">
      <c r="B156" s="74">
        <f t="shared" ca="1" si="28"/>
      </c>
      <c r="C156" s="78">
        <f>Кабельный_журнал!P122</f>
      </c>
      <c r="D156" s="74">
        <f t="shared" ca="1" si="29"/>
      </c>
      <c r="E156" s="80" t="s">
        <v>279</v>
      </c>
      <c r="F156" s="74">
        <f t="shared" ca="1" si="25"/>
      </c>
      <c r="G156" s="74">
        <f t="shared" si="26"/>
      </c>
      <c r="H156" s="80" t="s">
        <v>272</v>
      </c>
      <c r="I156" s="74">
        <f t="shared" si="27"/>
      </c>
      <c r="J156" s="74">
        <f t="shared" si="30"/>
      </c>
      <c r="K156" s="80" t="s">
        <v>280</v>
      </c>
      <c r="L156" s="74">
        <f t="shared" si="31"/>
      </c>
      <c r="M156" s="74">
        <f t="shared" ca="1" si="32"/>
      </c>
      <c r="N156" s="74">
        <f ca="1">VLOOKUP(B156,$C$7:$T154,13,FALSE)</f>
      </c>
      <c r="O156" s="74">
        <f t="shared" ca="1" si="33"/>
      </c>
      <c r="P156" s="74">
        <f t="shared" ca="1" si="34"/>
      </c>
      <c r="Q156" s="74">
        <f t="shared" ca="1" si="35"/>
      </c>
      <c r="R156" s="74">
        <f t="shared" si="36"/>
      </c>
      <c r="S156" s="74">
        <f t="shared" ca="1" si="37"/>
      </c>
      <c r="T156" s="74">
        <f t="shared" si="38"/>
      </c>
    </row>
    <row r="157" spans="2:20" x14ac:dyDescent="0.3">
      <c r="B157" s="74">
        <f t="shared" ca="1" si="28"/>
      </c>
      <c r="C157" s="78">
        <f>Кабельный_журнал!P123</f>
      </c>
      <c r="D157" s="74">
        <f t="shared" ca="1" si="29"/>
      </c>
      <c r="E157" s="80" t="s">
        <v>279</v>
      </c>
      <c r="F157" s="74">
        <f t="shared" ca="1" si="25"/>
      </c>
      <c r="G157" s="74">
        <f t="shared" si="26"/>
      </c>
      <c r="H157" s="80" t="s">
        <v>272</v>
      </c>
      <c r="I157" s="74">
        <f t="shared" si="27"/>
      </c>
      <c r="J157" s="74">
        <f t="shared" si="30"/>
      </c>
      <c r="K157" s="80" t="s">
        <v>280</v>
      </c>
      <c r="L157" s="74">
        <f t="shared" si="31"/>
      </c>
      <c r="M157" s="74">
        <f t="shared" ca="1" si="32"/>
      </c>
      <c r="N157" s="74">
        <f ca="1">VLOOKUP(B157,$C$7:$T155,13,FALSE)</f>
      </c>
      <c r="O157" s="74">
        <f t="shared" ca="1" si="33"/>
      </c>
      <c r="P157" s="74">
        <f t="shared" ca="1" si="34"/>
      </c>
      <c r="Q157" s="74">
        <f t="shared" ca="1" si="35"/>
      </c>
      <c r="R157" s="74">
        <f t="shared" si="36"/>
      </c>
      <c r="S157" s="74">
        <f t="shared" ca="1" si="37"/>
      </c>
      <c r="T157" s="74">
        <f t="shared" si="38"/>
      </c>
    </row>
    <row r="158" spans="2:20" x14ac:dyDescent="0.3">
      <c r="B158" s="74">
        <f t="shared" ca="1" si="28"/>
      </c>
      <c r="C158" s="78">
        <f>Кабельный_журнал!P124</f>
      </c>
      <c r="D158" s="74">
        <f t="shared" ca="1" si="29"/>
      </c>
      <c r="E158" s="80" t="s">
        <v>279</v>
      </c>
      <c r="F158" s="74">
        <f t="shared" ca="1" si="25"/>
      </c>
      <c r="G158" s="74">
        <f t="shared" si="26"/>
      </c>
      <c r="H158" s="80" t="s">
        <v>272</v>
      </c>
      <c r="I158" s="74">
        <f t="shared" si="27"/>
      </c>
      <c r="J158" s="74">
        <f t="shared" si="30"/>
      </c>
      <c r="K158" s="80" t="s">
        <v>280</v>
      </c>
      <c r="L158" s="74">
        <f t="shared" si="31"/>
      </c>
      <c r="M158" s="74">
        <f t="shared" ca="1" si="32"/>
      </c>
      <c r="N158" s="74">
        <f ca="1">VLOOKUP(B158,$C$7:$T156,13,FALSE)</f>
      </c>
      <c r="O158" s="74">
        <f t="shared" ca="1" si="33"/>
      </c>
      <c r="P158" s="74">
        <f t="shared" ca="1" si="34"/>
      </c>
      <c r="Q158" s="74">
        <f t="shared" ca="1" si="35"/>
      </c>
      <c r="R158" s="74">
        <f t="shared" si="36"/>
      </c>
      <c r="S158" s="74">
        <f t="shared" ca="1" si="37"/>
      </c>
      <c r="T158" s="74">
        <f t="shared" si="38"/>
      </c>
    </row>
    <row r="159" spans="2:20" x14ac:dyDescent="0.3">
      <c r="B159" s="74">
        <f t="shared" ca="1" si="28"/>
      </c>
      <c r="C159" s="78">
        <f>Кабельный_журнал!P125</f>
      </c>
      <c r="D159" s="74">
        <f t="shared" ca="1" si="29"/>
      </c>
      <c r="E159" s="80" t="s">
        <v>279</v>
      </c>
      <c r="F159" s="74">
        <f t="shared" ca="1" si="25"/>
      </c>
      <c r="G159" s="74">
        <f t="shared" si="26"/>
      </c>
      <c r="H159" s="80" t="s">
        <v>272</v>
      </c>
      <c r="I159" s="74">
        <f t="shared" si="27"/>
      </c>
      <c r="J159" s="74">
        <f t="shared" si="30"/>
      </c>
      <c r="K159" s="80" t="s">
        <v>280</v>
      </c>
      <c r="L159" s="74">
        <f t="shared" si="31"/>
      </c>
      <c r="M159" s="74">
        <f t="shared" ca="1" si="32"/>
      </c>
      <c r="N159" s="74">
        <f ca="1">VLOOKUP(B159,$C$7:$T157,13,FALSE)</f>
      </c>
      <c r="O159" s="74">
        <f t="shared" ca="1" si="33"/>
      </c>
      <c r="P159" s="74">
        <f t="shared" ca="1" si="34"/>
      </c>
      <c r="Q159" s="74">
        <f t="shared" ca="1" si="35"/>
      </c>
      <c r="R159" s="74">
        <f t="shared" si="36"/>
      </c>
      <c r="S159" s="74">
        <f t="shared" ca="1" si="37"/>
      </c>
      <c r="T159" s="74">
        <f t="shared" si="38"/>
      </c>
    </row>
    <row r="160" spans="2:20" x14ac:dyDescent="0.3">
      <c r="B160" s="74">
        <f t="shared" ca="1" si="28"/>
      </c>
      <c r="C160" s="78">
        <f>Кабельный_журнал!P126</f>
      </c>
      <c r="D160" s="74">
        <f t="shared" ca="1" si="29"/>
      </c>
      <c r="E160" s="80" t="s">
        <v>279</v>
      </c>
      <c r="F160" s="74">
        <f t="shared" ca="1" si="25"/>
      </c>
      <c r="G160" s="74">
        <f t="shared" si="26"/>
      </c>
      <c r="H160" s="80" t="s">
        <v>272</v>
      </c>
      <c r="I160" s="74">
        <f t="shared" si="27"/>
      </c>
      <c r="J160" s="74">
        <f t="shared" si="30"/>
      </c>
      <c r="K160" s="80" t="s">
        <v>280</v>
      </c>
      <c r="L160" s="74">
        <f t="shared" si="31"/>
      </c>
      <c r="M160" s="74">
        <f t="shared" ca="1" si="32"/>
      </c>
      <c r="N160" s="74">
        <f ca="1">VLOOKUP(B160,$C$7:$T158,13,FALSE)</f>
      </c>
      <c r="O160" s="74">
        <f t="shared" ca="1" si="33"/>
      </c>
      <c r="P160" s="74">
        <f t="shared" ca="1" si="34"/>
      </c>
      <c r="Q160" s="74">
        <f t="shared" ca="1" si="35"/>
      </c>
      <c r="R160" s="74">
        <f t="shared" si="36"/>
      </c>
      <c r="S160" s="74">
        <f t="shared" ca="1" si="37"/>
      </c>
      <c r="T160" s="74">
        <f t="shared" si="38"/>
      </c>
    </row>
    <row r="161" spans="2:20" x14ac:dyDescent="0.3">
      <c r="B161" s="74">
        <f t="shared" ca="1" si="28"/>
      </c>
      <c r="C161" s="78">
        <f>Кабельный_журнал!P127</f>
      </c>
      <c r="D161" s="74">
        <f t="shared" ca="1" si="29"/>
      </c>
      <c r="E161" s="80" t="s">
        <v>279</v>
      </c>
      <c r="F161" s="74">
        <f t="shared" ca="1" si="25"/>
      </c>
      <c r="G161" s="74">
        <f t="shared" si="26"/>
      </c>
      <c r="H161" s="80" t="s">
        <v>272</v>
      </c>
      <c r="I161" s="74">
        <f t="shared" si="27"/>
      </c>
      <c r="J161" s="74">
        <f t="shared" si="30"/>
      </c>
      <c r="K161" s="80" t="s">
        <v>280</v>
      </c>
      <c r="L161" s="74">
        <f t="shared" si="31"/>
      </c>
      <c r="M161" s="74">
        <f t="shared" ca="1" si="32"/>
      </c>
      <c r="N161" s="74">
        <f ca="1">VLOOKUP(B161,$C$7:$T159,13,FALSE)</f>
      </c>
      <c r="O161" s="74">
        <f t="shared" ca="1" si="33"/>
      </c>
      <c r="P161" s="74">
        <f t="shared" ca="1" si="34"/>
      </c>
      <c r="Q161" s="74">
        <f t="shared" ca="1" si="35"/>
      </c>
      <c r="R161" s="74">
        <f t="shared" si="36"/>
      </c>
      <c r="S161" s="74">
        <f t="shared" ca="1" si="37"/>
      </c>
      <c r="T161" s="74">
        <f t="shared" si="38"/>
      </c>
    </row>
    <row r="162" spans="2:20" x14ac:dyDescent="0.3">
      <c r="B162" s="74">
        <f t="shared" ca="1" si="28"/>
      </c>
      <c r="C162" s="78">
        <f>Кабельный_журнал!P128</f>
      </c>
      <c r="D162" s="74">
        <f t="shared" ca="1" si="29"/>
      </c>
      <c r="E162" s="80" t="s">
        <v>279</v>
      </c>
      <c r="F162" s="74">
        <f t="shared" ca="1" si="25"/>
      </c>
      <c r="G162" s="74">
        <f t="shared" si="26"/>
      </c>
      <c r="H162" s="80" t="s">
        <v>272</v>
      </c>
      <c r="I162" s="74">
        <f t="shared" si="27"/>
      </c>
      <c r="J162" s="74">
        <f t="shared" si="30"/>
      </c>
      <c r="K162" s="80" t="s">
        <v>280</v>
      </c>
      <c r="L162" s="74">
        <f t="shared" si="31"/>
      </c>
      <c r="M162" s="74">
        <f t="shared" ca="1" si="32"/>
      </c>
      <c r="N162" s="74">
        <f ca="1">VLOOKUP(B162,$C$7:$T160,13,FALSE)</f>
      </c>
      <c r="O162" s="74">
        <f t="shared" ca="1" si="33"/>
      </c>
      <c r="P162" s="74">
        <f t="shared" ca="1" si="34"/>
      </c>
      <c r="Q162" s="74">
        <f t="shared" ca="1" si="35"/>
      </c>
      <c r="R162" s="74">
        <f t="shared" si="36"/>
      </c>
      <c r="S162" s="74">
        <f t="shared" ca="1" si="37"/>
      </c>
      <c r="T162" s="74">
        <f t="shared" si="38"/>
      </c>
    </row>
    <row r="163" spans="2:20" x14ac:dyDescent="0.3">
      <c r="B163" s="74">
        <f t="shared" ca="1" si="28"/>
      </c>
      <c r="C163" s="78">
        <f>Кабельный_журнал!P129</f>
      </c>
      <c r="D163" s="74">
        <f t="shared" ca="1" si="29"/>
      </c>
      <c r="E163" s="80" t="s">
        <v>279</v>
      </c>
      <c r="F163" s="74">
        <f t="shared" ca="1" si="25"/>
      </c>
      <c r="G163" s="74">
        <f t="shared" si="26"/>
      </c>
      <c r="H163" s="80" t="s">
        <v>272</v>
      </c>
      <c r="I163" s="74">
        <f t="shared" si="27"/>
      </c>
      <c r="J163" s="74">
        <f t="shared" si="30"/>
      </c>
      <c r="K163" s="80" t="s">
        <v>280</v>
      </c>
      <c r="L163" s="74">
        <f t="shared" si="31"/>
      </c>
      <c r="M163" s="74">
        <f t="shared" ca="1" si="32"/>
      </c>
      <c r="N163" s="74">
        <f ca="1">VLOOKUP(B163,$C$7:$T161,13,FALSE)</f>
      </c>
      <c r="O163" s="74">
        <f t="shared" ca="1" si="33"/>
      </c>
      <c r="P163" s="74">
        <f t="shared" ca="1" si="34"/>
      </c>
      <c r="Q163" s="74">
        <f t="shared" ca="1" si="35"/>
      </c>
      <c r="R163" s="74">
        <f t="shared" si="36"/>
      </c>
      <c r="S163" s="74">
        <f t="shared" ca="1" si="37"/>
      </c>
      <c r="T163" s="74">
        <f t="shared" si="38"/>
      </c>
    </row>
    <row r="164" spans="2:20" x14ac:dyDescent="0.3">
      <c r="B164" s="74">
        <f t="shared" ca="1" si="28"/>
      </c>
      <c r="C164" s="78">
        <f>Кабельный_журнал!P130</f>
      </c>
      <c r="D164" s="74">
        <f t="shared" ca="1" si="29"/>
      </c>
      <c r="E164" s="80" t="s">
        <v>279</v>
      </c>
      <c r="F164" s="74">
        <f t="shared" ca="1" si="25"/>
      </c>
      <c r="G164" s="74">
        <f t="shared" si="26"/>
      </c>
      <c r="H164" s="80" t="s">
        <v>272</v>
      </c>
      <c r="I164" s="74">
        <f t="shared" si="27"/>
      </c>
      <c r="J164" s="74">
        <f t="shared" si="30"/>
      </c>
      <c r="K164" s="80" t="s">
        <v>280</v>
      </c>
      <c r="L164" s="74">
        <f t="shared" si="31"/>
      </c>
      <c r="M164" s="74">
        <f t="shared" ca="1" si="32"/>
      </c>
      <c r="N164" s="74">
        <f ca="1">VLOOKUP(B164,$C$7:$T162,13,FALSE)</f>
      </c>
      <c r="O164" s="74">
        <f t="shared" ca="1" si="33"/>
      </c>
      <c r="P164" s="74">
        <f t="shared" ca="1" si="34"/>
      </c>
      <c r="Q164" s="74">
        <f t="shared" ca="1" si="35"/>
      </c>
      <c r="R164" s="74">
        <f t="shared" si="36"/>
      </c>
      <c r="S164" s="74">
        <f t="shared" ca="1" si="37"/>
      </c>
      <c r="T164" s="74">
        <f t="shared" si="38"/>
      </c>
    </row>
    <row r="165" spans="2:20" x14ac:dyDescent="0.3">
      <c r="B165" s="74">
        <f t="shared" ca="1" si="28"/>
      </c>
      <c r="C165" s="78">
        <f>Кабельный_журнал!P131</f>
      </c>
      <c r="D165" s="74">
        <f t="shared" ca="1" si="29"/>
      </c>
      <c r="E165" s="80" t="s">
        <v>279</v>
      </c>
      <c r="F165" s="74">
        <f t="shared" ca="1" si="25"/>
      </c>
      <c r="G165" s="74">
        <f t="shared" si="26"/>
      </c>
      <c r="H165" s="80" t="s">
        <v>272</v>
      </c>
      <c r="I165" s="74">
        <f t="shared" si="27"/>
      </c>
      <c r="J165" s="74">
        <f t="shared" si="30"/>
      </c>
      <c r="K165" s="80" t="s">
        <v>280</v>
      </c>
      <c r="L165" s="74">
        <f t="shared" si="31"/>
      </c>
      <c r="M165" s="74">
        <f t="shared" ca="1" si="32"/>
      </c>
      <c r="N165" s="74">
        <f ca="1">VLOOKUP(B165,$C$7:$T163,13,FALSE)</f>
      </c>
      <c r="O165" s="74">
        <f t="shared" ca="1" si="33"/>
      </c>
      <c r="P165" s="74">
        <f t="shared" ca="1" si="34"/>
      </c>
      <c r="Q165" s="74">
        <f t="shared" ca="1" si="35"/>
      </c>
      <c r="R165" s="74">
        <f t="shared" si="36"/>
      </c>
      <c r="S165" s="74">
        <f t="shared" ca="1" si="37"/>
      </c>
      <c r="T165" s="74">
        <f t="shared" si="38"/>
      </c>
    </row>
    <row r="166" spans="2:20" x14ac:dyDescent="0.3">
      <c r="B166" s="74">
        <f t="shared" ca="1" si="28"/>
      </c>
      <c r="C166" s="78">
        <f>Кабельный_журнал!P132</f>
      </c>
      <c r="D166" s="74">
        <f t="shared" ca="1" si="29"/>
      </c>
      <c r="E166" s="80" t="s">
        <v>279</v>
      </c>
      <c r="F166" s="74">
        <f t="shared" ca="1" si="25"/>
      </c>
      <c r="G166" s="74">
        <f t="shared" si="26"/>
      </c>
      <c r="H166" s="80" t="s">
        <v>272</v>
      </c>
      <c r="I166" s="74">
        <f t="shared" si="27"/>
      </c>
      <c r="J166" s="74">
        <f t="shared" si="30"/>
      </c>
      <c r="K166" s="80" t="s">
        <v>280</v>
      </c>
      <c r="L166" s="74">
        <f t="shared" si="31"/>
      </c>
      <c r="M166" s="74">
        <f t="shared" ca="1" si="32"/>
      </c>
      <c r="N166" s="74">
        <f ca="1">VLOOKUP(B166,$C$7:$T164,13,FALSE)</f>
      </c>
      <c r="O166" s="74">
        <f t="shared" ca="1" si="33"/>
      </c>
      <c r="P166" s="74">
        <f t="shared" ca="1" si="34"/>
      </c>
      <c r="Q166" s="74">
        <f t="shared" ca="1" si="35"/>
      </c>
      <c r="R166" s="74">
        <f t="shared" si="36"/>
      </c>
      <c r="S166" s="74">
        <f t="shared" ca="1" si="37"/>
      </c>
      <c r="T166" s="74">
        <f t="shared" si="38"/>
      </c>
    </row>
    <row r="167" spans="2:20" x14ac:dyDescent="0.3">
      <c r="B167" s="74">
        <f t="shared" ca="1" si="28"/>
      </c>
      <c r="C167" s="78">
        <f>Кабельный_журнал!P133</f>
      </c>
      <c r="D167" s="74">
        <f t="shared" ca="1" si="29"/>
      </c>
      <c r="E167" s="80" t="s">
        <v>279</v>
      </c>
      <c r="F167" s="74">
        <f t="shared" ref="F167:F230" ca="1" si="39">VLOOKUP(C167,Кабельный_журнал,8,FALSE)</f>
      </c>
      <c r="G167" s="74">
        <f t="shared" ref="G167:G230" si="40">VLOOKUP(C167,Исходные_данные,21,FALSE)</f>
      </c>
      <c r="H167" s="80" t="s">
        <v>272</v>
      </c>
      <c r="I167" s="74">
        <f t="shared" ref="I167:I230" si="41">VLOOKUP(C167,Исходные_данные,22,FALSE)</f>
      </c>
      <c r="J167" s="74">
        <f t="shared" si="30"/>
      </c>
      <c r="K167" s="80" t="s">
        <v>280</v>
      </c>
      <c r="L167" s="74">
        <f t="shared" si="31"/>
      </c>
      <c r="M167" s="74">
        <f t="shared" ca="1" si="32"/>
      </c>
      <c r="N167" s="74">
        <f ca="1">VLOOKUP(B167,$C$7:$T165,13,FALSE)</f>
      </c>
      <c r="O167" s="74">
        <f t="shared" ca="1" si="33"/>
      </c>
      <c r="P167" s="74">
        <f t="shared" ca="1" si="34"/>
      </c>
      <c r="Q167" s="74">
        <f t="shared" ca="1" si="35"/>
      </c>
      <c r="R167" s="74">
        <f t="shared" si="36"/>
      </c>
      <c r="S167" s="74">
        <f t="shared" ca="1" si="37"/>
      </c>
      <c r="T167" s="74">
        <f t="shared" si="38"/>
      </c>
    </row>
    <row r="168" spans="2:20" x14ac:dyDescent="0.3">
      <c r="B168" s="74">
        <f t="shared" ref="B168:B231" ca="1" si="42">VLOOKUP(C168,Кабельный_журнал,2,FALSE)</f>
      </c>
      <c r="C168" s="78">
        <f>Кабельный_журнал!P134</f>
      </c>
      <c r="D168" s="74">
        <f t="shared" ref="D168:D231" ca="1" si="43">B168&amp;"-"&amp;C168</f>
      </c>
      <c r="E168" s="80" t="s">
        <v>279</v>
      </c>
      <c r="F168" s="74">
        <f t="shared" ca="1" si="39"/>
      </c>
      <c r="G168" s="74">
        <f t="shared" si="40"/>
      </c>
      <c r="H168" s="80" t="s">
        <v>272</v>
      </c>
      <c r="I168" s="74">
        <f t="shared" si="41"/>
      </c>
      <c r="J168" s="74">
        <f t="shared" ref="J168:J231" si="44">I168</f>
      </c>
      <c r="K168" s="80" t="s">
        <v>280</v>
      </c>
      <c r="L168" s="74">
        <f t="shared" ref="L168:L231" si="45">VLOOKUP(K168,$K$2:$L$3,2,FALSE)</f>
      </c>
      <c r="M168" s="74">
        <f t="shared" ref="M168:M231" ca="1" si="46">L168*F168*(1/I168+1/J168)</f>
      </c>
      <c r="N168" s="74">
        <f ca="1">VLOOKUP(B168,$C$7:$T166,13,FALSE)</f>
      </c>
      <c r="O168" s="74">
        <f t="shared" ref="O168:O231" ca="1" si="47">L168+M168</f>
      </c>
      <c r="P168" s="74">
        <f t="shared" ref="P168:P231" ca="1" si="48">220/O168</f>
      </c>
      <c r="Q168" s="74">
        <f t="shared" ref="Q168:Q231" ca="1" si="49">O168/G168</f>
      </c>
      <c r="R168" s="74">
        <f t="shared" ref="R168:R231" si="50">VLOOKUP(H168,$W$2:$Y$12,3,FALSE)</f>
      </c>
      <c r="S168" s="74">
        <f t="shared" ref="S168:S231" ca="1" si="51">_xlfn.IFS(E168="щит",IF(P168&gt;R168,"Увел сеч",IF(T168&gt;P168,"Увел сеч","tср&lt;5с")),E168="потреб",IF(P168&gt;R168,"Увел сеч",IF(T168&gt;P168,"Увел сеч","tср&lt;0.4с")))</f>
      </c>
      <c r="T168" s="74">
        <f t="shared" ref="T168:T231" si="52">G168*VLOOKUP(H168,$W$2:$Y$12,2,FALSE)</f>
      </c>
    </row>
    <row r="169" spans="2:20" x14ac:dyDescent="0.3">
      <c r="B169" s="74">
        <f t="shared" ca="1" si="42"/>
      </c>
      <c r="C169" s="78">
        <f>Кабельный_журнал!P135</f>
      </c>
      <c r="D169" s="74">
        <f t="shared" ca="1" si="43"/>
      </c>
      <c r="E169" s="80" t="s">
        <v>279</v>
      </c>
      <c r="F169" s="74">
        <f t="shared" ca="1" si="39"/>
      </c>
      <c r="G169" s="74">
        <f t="shared" si="40"/>
      </c>
      <c r="H169" s="80" t="s">
        <v>272</v>
      </c>
      <c r="I169" s="74">
        <f t="shared" si="41"/>
      </c>
      <c r="J169" s="74">
        <f t="shared" si="44"/>
      </c>
      <c r="K169" s="80" t="s">
        <v>280</v>
      </c>
      <c r="L169" s="74">
        <f t="shared" si="45"/>
      </c>
      <c r="M169" s="74">
        <f t="shared" ca="1" si="46"/>
      </c>
      <c r="N169" s="74">
        <f ca="1">VLOOKUP(B169,$C$7:$T167,13,FALSE)</f>
      </c>
      <c r="O169" s="74">
        <f t="shared" ca="1" si="47"/>
      </c>
      <c r="P169" s="74">
        <f t="shared" ca="1" si="48"/>
      </c>
      <c r="Q169" s="74">
        <f t="shared" ca="1" si="49"/>
      </c>
      <c r="R169" s="74">
        <f t="shared" si="50"/>
      </c>
      <c r="S169" s="74">
        <f t="shared" ca="1" si="51"/>
      </c>
      <c r="T169" s="74">
        <f t="shared" si="52"/>
      </c>
    </row>
    <row r="170" spans="2:20" x14ac:dyDescent="0.3">
      <c r="B170" s="74">
        <f t="shared" ca="1" si="42"/>
      </c>
      <c r="C170" s="78">
        <f>Кабельный_журнал!P136</f>
      </c>
      <c r="D170" s="74">
        <f t="shared" ca="1" si="43"/>
      </c>
      <c r="E170" s="80" t="s">
        <v>279</v>
      </c>
      <c r="F170" s="74">
        <f t="shared" ca="1" si="39"/>
      </c>
      <c r="G170" s="74">
        <f t="shared" si="40"/>
      </c>
      <c r="H170" s="80" t="s">
        <v>272</v>
      </c>
      <c r="I170" s="74">
        <f t="shared" si="41"/>
      </c>
      <c r="J170" s="74">
        <f t="shared" si="44"/>
      </c>
      <c r="K170" s="80" t="s">
        <v>280</v>
      </c>
      <c r="L170" s="74">
        <f t="shared" si="45"/>
      </c>
      <c r="M170" s="74">
        <f t="shared" ca="1" si="46"/>
      </c>
      <c r="N170" s="74">
        <f ca="1">VLOOKUP(B170,$C$7:$T168,13,FALSE)</f>
      </c>
      <c r="O170" s="74">
        <f t="shared" ca="1" si="47"/>
      </c>
      <c r="P170" s="74">
        <f t="shared" ca="1" si="48"/>
      </c>
      <c r="Q170" s="74">
        <f t="shared" ca="1" si="49"/>
      </c>
      <c r="R170" s="74">
        <f t="shared" si="50"/>
      </c>
      <c r="S170" s="74">
        <f t="shared" ca="1" si="51"/>
      </c>
      <c r="T170" s="74">
        <f t="shared" si="52"/>
      </c>
    </row>
    <row r="171" spans="2:20" x14ac:dyDescent="0.3">
      <c r="B171" s="74">
        <f t="shared" ca="1" si="42"/>
      </c>
      <c r="C171" s="78">
        <f>Кабельный_журнал!P137</f>
      </c>
      <c r="D171" s="74">
        <f t="shared" ca="1" si="43"/>
      </c>
      <c r="E171" s="80" t="s">
        <v>279</v>
      </c>
      <c r="F171" s="74">
        <f t="shared" ca="1" si="39"/>
      </c>
      <c r="G171" s="74">
        <f t="shared" si="40"/>
      </c>
      <c r="H171" s="80" t="s">
        <v>272</v>
      </c>
      <c r="I171" s="74">
        <f t="shared" si="41"/>
      </c>
      <c r="J171" s="74">
        <f t="shared" si="44"/>
      </c>
      <c r="K171" s="80" t="s">
        <v>280</v>
      </c>
      <c r="L171" s="74">
        <f t="shared" si="45"/>
      </c>
      <c r="M171" s="74">
        <f t="shared" ca="1" si="46"/>
      </c>
      <c r="N171" s="74">
        <f ca="1">VLOOKUP(B171,$C$7:$T169,13,FALSE)</f>
      </c>
      <c r="O171" s="74">
        <f t="shared" ca="1" si="47"/>
      </c>
      <c r="P171" s="74">
        <f t="shared" ca="1" si="48"/>
      </c>
      <c r="Q171" s="74">
        <f t="shared" ca="1" si="49"/>
      </c>
      <c r="R171" s="74">
        <f t="shared" si="50"/>
      </c>
      <c r="S171" s="74">
        <f t="shared" ca="1" si="51"/>
      </c>
      <c r="T171" s="74">
        <f t="shared" si="52"/>
      </c>
    </row>
    <row r="172" spans="2:20" x14ac:dyDescent="0.3">
      <c r="B172" s="74">
        <f t="shared" ca="1" si="42"/>
      </c>
      <c r="C172" s="78">
        <f>Кабельный_журнал!P138</f>
      </c>
      <c r="D172" s="74">
        <f t="shared" ca="1" si="43"/>
      </c>
      <c r="E172" s="80" t="s">
        <v>279</v>
      </c>
      <c r="F172" s="74">
        <f t="shared" ca="1" si="39"/>
      </c>
      <c r="G172" s="74">
        <f t="shared" si="40"/>
      </c>
      <c r="H172" s="80" t="s">
        <v>272</v>
      </c>
      <c r="I172" s="74">
        <f t="shared" si="41"/>
      </c>
      <c r="J172" s="74">
        <f t="shared" si="44"/>
      </c>
      <c r="K172" s="80" t="s">
        <v>280</v>
      </c>
      <c r="L172" s="74">
        <f t="shared" si="45"/>
      </c>
      <c r="M172" s="74">
        <f t="shared" ca="1" si="46"/>
      </c>
      <c r="N172" s="74">
        <f ca="1">VLOOKUP(B172,$C$7:$T170,13,FALSE)</f>
      </c>
      <c r="O172" s="74">
        <f t="shared" ca="1" si="47"/>
      </c>
      <c r="P172" s="74">
        <f t="shared" ca="1" si="48"/>
      </c>
      <c r="Q172" s="74">
        <f t="shared" ca="1" si="49"/>
      </c>
      <c r="R172" s="74">
        <f t="shared" si="50"/>
      </c>
      <c r="S172" s="74">
        <f t="shared" ca="1" si="51"/>
      </c>
      <c r="T172" s="74">
        <f t="shared" si="52"/>
      </c>
    </row>
    <row r="173" spans="2:20" x14ac:dyDescent="0.3">
      <c r="B173" s="74">
        <f t="shared" ca="1" si="42"/>
      </c>
      <c r="C173" s="78">
        <f>Кабельный_журнал!P139</f>
      </c>
      <c r="D173" s="74">
        <f t="shared" ca="1" si="43"/>
      </c>
      <c r="E173" s="80" t="s">
        <v>279</v>
      </c>
      <c r="F173" s="74">
        <f t="shared" ca="1" si="39"/>
      </c>
      <c r="G173" s="74">
        <f t="shared" si="40"/>
      </c>
      <c r="H173" s="80" t="s">
        <v>272</v>
      </c>
      <c r="I173" s="74">
        <f t="shared" si="41"/>
      </c>
      <c r="J173" s="74">
        <f t="shared" si="44"/>
      </c>
      <c r="K173" s="80" t="s">
        <v>280</v>
      </c>
      <c r="L173" s="74">
        <f t="shared" si="45"/>
      </c>
      <c r="M173" s="74">
        <f t="shared" ca="1" si="46"/>
      </c>
      <c r="N173" s="74">
        <f ca="1">VLOOKUP(B173,$C$7:$T171,13,FALSE)</f>
      </c>
      <c r="O173" s="74">
        <f t="shared" ca="1" si="47"/>
      </c>
      <c r="P173" s="74">
        <f t="shared" ca="1" si="48"/>
      </c>
      <c r="Q173" s="74">
        <f t="shared" ca="1" si="49"/>
      </c>
      <c r="R173" s="74">
        <f t="shared" si="50"/>
      </c>
      <c r="S173" s="74">
        <f t="shared" ca="1" si="51"/>
      </c>
      <c r="T173" s="74">
        <f t="shared" si="52"/>
      </c>
    </row>
    <row r="174" spans="2:20" x14ac:dyDescent="0.3">
      <c r="B174" s="74">
        <f t="shared" ca="1" si="42"/>
      </c>
      <c r="C174" s="78">
        <f>Кабельный_журнал!P140</f>
      </c>
      <c r="D174" s="74">
        <f t="shared" ca="1" si="43"/>
      </c>
      <c r="E174" s="80" t="s">
        <v>279</v>
      </c>
      <c r="F174" s="74">
        <f t="shared" ca="1" si="39"/>
      </c>
      <c r="G174" s="74">
        <f t="shared" si="40"/>
      </c>
      <c r="H174" s="80" t="s">
        <v>272</v>
      </c>
      <c r="I174" s="74">
        <f t="shared" si="41"/>
      </c>
      <c r="J174" s="74">
        <f t="shared" si="44"/>
      </c>
      <c r="K174" s="80" t="s">
        <v>280</v>
      </c>
      <c r="L174" s="74">
        <f t="shared" si="45"/>
      </c>
      <c r="M174" s="74">
        <f t="shared" ca="1" si="46"/>
      </c>
      <c r="N174" s="74">
        <f ca="1">VLOOKUP(B174,$C$7:$T172,13,FALSE)</f>
      </c>
      <c r="O174" s="74">
        <f t="shared" ca="1" si="47"/>
      </c>
      <c r="P174" s="74">
        <f t="shared" ca="1" si="48"/>
      </c>
      <c r="Q174" s="74">
        <f t="shared" ca="1" si="49"/>
      </c>
      <c r="R174" s="74">
        <f t="shared" si="50"/>
      </c>
      <c r="S174" s="74">
        <f t="shared" ca="1" si="51"/>
      </c>
      <c r="T174" s="74">
        <f t="shared" si="52"/>
      </c>
    </row>
    <row r="175" spans="2:20" x14ac:dyDescent="0.3">
      <c r="B175" s="74">
        <f t="shared" ca="1" si="42"/>
      </c>
      <c r="C175" s="78">
        <f>Кабельный_журнал!P141</f>
      </c>
      <c r="D175" s="74">
        <f t="shared" ca="1" si="43"/>
      </c>
      <c r="E175" s="80" t="s">
        <v>279</v>
      </c>
      <c r="F175" s="74">
        <f t="shared" ca="1" si="39"/>
      </c>
      <c r="G175" s="74">
        <f t="shared" si="40"/>
      </c>
      <c r="H175" s="80" t="s">
        <v>272</v>
      </c>
      <c r="I175" s="74">
        <f t="shared" si="41"/>
      </c>
      <c r="J175" s="74">
        <f t="shared" si="44"/>
      </c>
      <c r="K175" s="80" t="s">
        <v>280</v>
      </c>
      <c r="L175" s="74">
        <f t="shared" si="45"/>
      </c>
      <c r="M175" s="74">
        <f t="shared" ca="1" si="46"/>
      </c>
      <c r="N175" s="74">
        <f ca="1">VLOOKUP(B175,$C$7:$T173,13,FALSE)</f>
      </c>
      <c r="O175" s="74">
        <f t="shared" ca="1" si="47"/>
      </c>
      <c r="P175" s="74">
        <f t="shared" ca="1" si="48"/>
      </c>
      <c r="Q175" s="74">
        <f t="shared" ca="1" si="49"/>
      </c>
      <c r="R175" s="74">
        <f t="shared" si="50"/>
      </c>
      <c r="S175" s="74">
        <f t="shared" ca="1" si="51"/>
      </c>
      <c r="T175" s="74">
        <f t="shared" si="52"/>
      </c>
    </row>
    <row r="176" spans="2:20" x14ac:dyDescent="0.3">
      <c r="B176" s="74">
        <f t="shared" ca="1" si="42"/>
      </c>
      <c r="C176" s="78">
        <f>Кабельный_журнал!P142</f>
      </c>
      <c r="D176" s="74">
        <f t="shared" ca="1" si="43"/>
      </c>
      <c r="E176" s="80" t="s">
        <v>279</v>
      </c>
      <c r="F176" s="74">
        <f t="shared" ca="1" si="39"/>
      </c>
      <c r="G176" s="74">
        <f t="shared" si="40"/>
      </c>
      <c r="H176" s="80" t="s">
        <v>272</v>
      </c>
      <c r="I176" s="74">
        <f t="shared" si="41"/>
      </c>
      <c r="J176" s="74">
        <f t="shared" si="44"/>
      </c>
      <c r="K176" s="80" t="s">
        <v>280</v>
      </c>
      <c r="L176" s="74">
        <f t="shared" si="45"/>
      </c>
      <c r="M176" s="74">
        <f t="shared" ca="1" si="46"/>
      </c>
      <c r="N176" s="74">
        <f ca="1">VLOOKUP(B176,$C$7:$T174,13,FALSE)</f>
      </c>
      <c r="O176" s="74">
        <f t="shared" ca="1" si="47"/>
      </c>
      <c r="P176" s="74">
        <f t="shared" ca="1" si="48"/>
      </c>
      <c r="Q176" s="74">
        <f t="shared" ca="1" si="49"/>
      </c>
      <c r="R176" s="74">
        <f t="shared" si="50"/>
      </c>
      <c r="S176" s="74">
        <f t="shared" ca="1" si="51"/>
      </c>
      <c r="T176" s="74">
        <f t="shared" si="52"/>
      </c>
    </row>
    <row r="177" spans="2:20" x14ac:dyDescent="0.3">
      <c r="B177" s="74">
        <f t="shared" ca="1" si="42"/>
      </c>
      <c r="C177" s="78">
        <f>Кабельный_журнал!P143</f>
      </c>
      <c r="D177" s="74">
        <f t="shared" ca="1" si="43"/>
      </c>
      <c r="E177" s="80" t="s">
        <v>279</v>
      </c>
      <c r="F177" s="74">
        <f t="shared" ca="1" si="39"/>
      </c>
      <c r="G177" s="74">
        <f t="shared" si="40"/>
      </c>
      <c r="H177" s="80" t="s">
        <v>272</v>
      </c>
      <c r="I177" s="74">
        <f t="shared" si="41"/>
      </c>
      <c r="J177" s="74">
        <f t="shared" si="44"/>
      </c>
      <c r="K177" s="80" t="s">
        <v>280</v>
      </c>
      <c r="L177" s="74">
        <f t="shared" si="45"/>
      </c>
      <c r="M177" s="74">
        <f t="shared" ca="1" si="46"/>
      </c>
      <c r="N177" s="74">
        <f ca="1">VLOOKUP(B177,$C$7:$T175,13,FALSE)</f>
      </c>
      <c r="O177" s="74">
        <f t="shared" ca="1" si="47"/>
      </c>
      <c r="P177" s="74">
        <f t="shared" ca="1" si="48"/>
      </c>
      <c r="Q177" s="74">
        <f t="shared" ca="1" si="49"/>
      </c>
      <c r="R177" s="74">
        <f t="shared" si="50"/>
      </c>
      <c r="S177" s="74">
        <f t="shared" ca="1" si="51"/>
      </c>
      <c r="T177" s="74">
        <f t="shared" si="52"/>
      </c>
    </row>
    <row r="178" spans="2:20" x14ac:dyDescent="0.3">
      <c r="B178" s="74">
        <f t="shared" ca="1" si="42"/>
      </c>
      <c r="C178" s="78">
        <f>Кабельный_журнал!P144</f>
      </c>
      <c r="D178" s="74">
        <f t="shared" ca="1" si="43"/>
      </c>
      <c r="E178" s="80" t="s">
        <v>279</v>
      </c>
      <c r="F178" s="74">
        <f t="shared" ca="1" si="39"/>
      </c>
      <c r="G178" s="74">
        <f t="shared" si="40"/>
      </c>
      <c r="H178" s="80" t="s">
        <v>272</v>
      </c>
      <c r="I178" s="74">
        <f t="shared" si="41"/>
      </c>
      <c r="J178" s="74">
        <f t="shared" si="44"/>
      </c>
      <c r="K178" s="80" t="s">
        <v>280</v>
      </c>
      <c r="L178" s="74">
        <f t="shared" si="45"/>
      </c>
      <c r="M178" s="74">
        <f t="shared" ca="1" si="46"/>
      </c>
      <c r="N178" s="74">
        <f ca="1">VLOOKUP(B178,$C$7:$T176,13,FALSE)</f>
      </c>
      <c r="O178" s="74">
        <f t="shared" ca="1" si="47"/>
      </c>
      <c r="P178" s="74">
        <f t="shared" ca="1" si="48"/>
      </c>
      <c r="Q178" s="74">
        <f t="shared" ca="1" si="49"/>
      </c>
      <c r="R178" s="74">
        <f t="shared" si="50"/>
      </c>
      <c r="S178" s="74">
        <f t="shared" ca="1" si="51"/>
      </c>
      <c r="T178" s="74">
        <f t="shared" si="52"/>
      </c>
    </row>
    <row r="179" spans="2:20" x14ac:dyDescent="0.3">
      <c r="B179" s="74">
        <f t="shared" ca="1" si="42"/>
      </c>
      <c r="C179" s="78">
        <f>Кабельный_журнал!P145</f>
      </c>
      <c r="D179" s="74">
        <f t="shared" ca="1" si="43"/>
      </c>
      <c r="E179" s="80" t="s">
        <v>279</v>
      </c>
      <c r="F179" s="74">
        <f t="shared" ca="1" si="39"/>
      </c>
      <c r="G179" s="74">
        <f t="shared" si="40"/>
      </c>
      <c r="H179" s="80" t="s">
        <v>272</v>
      </c>
      <c r="I179" s="74">
        <f t="shared" si="41"/>
      </c>
      <c r="J179" s="74">
        <f t="shared" si="44"/>
      </c>
      <c r="K179" s="80" t="s">
        <v>280</v>
      </c>
      <c r="L179" s="74">
        <f t="shared" si="45"/>
      </c>
      <c r="M179" s="74">
        <f t="shared" ca="1" si="46"/>
      </c>
      <c r="N179" s="74">
        <f ca="1">VLOOKUP(B179,$C$7:$T177,13,FALSE)</f>
      </c>
      <c r="O179" s="74">
        <f t="shared" ca="1" si="47"/>
      </c>
      <c r="P179" s="74">
        <f t="shared" ca="1" si="48"/>
      </c>
      <c r="Q179" s="74">
        <f t="shared" ca="1" si="49"/>
      </c>
      <c r="R179" s="74">
        <f t="shared" si="50"/>
      </c>
      <c r="S179" s="74">
        <f t="shared" ca="1" si="51"/>
      </c>
      <c r="T179" s="74">
        <f t="shared" si="52"/>
      </c>
    </row>
    <row r="180" spans="2:20" x14ac:dyDescent="0.3">
      <c r="B180" s="74">
        <f t="shared" ca="1" si="42"/>
      </c>
      <c r="C180" s="78">
        <f>Кабельный_журнал!P146</f>
      </c>
      <c r="D180" s="74">
        <f t="shared" ca="1" si="43"/>
      </c>
      <c r="E180" s="80" t="s">
        <v>279</v>
      </c>
      <c r="F180" s="74">
        <f t="shared" ca="1" si="39"/>
      </c>
      <c r="G180" s="74">
        <f t="shared" si="40"/>
      </c>
      <c r="H180" s="80" t="s">
        <v>272</v>
      </c>
      <c r="I180" s="74">
        <f t="shared" si="41"/>
      </c>
      <c r="J180" s="74">
        <f t="shared" si="44"/>
      </c>
      <c r="K180" s="80" t="s">
        <v>280</v>
      </c>
      <c r="L180" s="74">
        <f t="shared" si="45"/>
      </c>
      <c r="M180" s="74">
        <f t="shared" ca="1" si="46"/>
      </c>
      <c r="N180" s="74">
        <f ca="1">VLOOKUP(B180,$C$7:$T178,13,FALSE)</f>
      </c>
      <c r="O180" s="74">
        <f t="shared" ca="1" si="47"/>
      </c>
      <c r="P180" s="74">
        <f t="shared" ca="1" si="48"/>
      </c>
      <c r="Q180" s="74">
        <f t="shared" ca="1" si="49"/>
      </c>
      <c r="R180" s="74">
        <f t="shared" si="50"/>
      </c>
      <c r="S180" s="74">
        <f t="shared" ca="1" si="51"/>
      </c>
      <c r="T180" s="74">
        <f t="shared" si="52"/>
      </c>
    </row>
    <row r="181" spans="2:20" x14ac:dyDescent="0.3">
      <c r="B181" s="74">
        <f t="shared" ca="1" si="42"/>
      </c>
      <c r="C181" s="78">
        <f>Кабельный_журнал!P147</f>
      </c>
      <c r="D181" s="74">
        <f t="shared" ca="1" si="43"/>
      </c>
      <c r="E181" s="80" t="s">
        <v>279</v>
      </c>
      <c r="F181" s="74">
        <f t="shared" ca="1" si="39"/>
      </c>
      <c r="G181" s="74">
        <f t="shared" si="40"/>
      </c>
      <c r="H181" s="80" t="s">
        <v>272</v>
      </c>
      <c r="I181" s="74">
        <f t="shared" si="41"/>
      </c>
      <c r="J181" s="74">
        <f t="shared" si="44"/>
      </c>
      <c r="K181" s="80" t="s">
        <v>280</v>
      </c>
      <c r="L181" s="74">
        <f t="shared" si="45"/>
      </c>
      <c r="M181" s="74">
        <f t="shared" ca="1" si="46"/>
      </c>
      <c r="N181" s="74">
        <f ca="1">VLOOKUP(B181,$C$7:$T179,13,FALSE)</f>
      </c>
      <c r="O181" s="74">
        <f t="shared" ca="1" si="47"/>
      </c>
      <c r="P181" s="74">
        <f t="shared" ca="1" si="48"/>
      </c>
      <c r="Q181" s="74">
        <f t="shared" ca="1" si="49"/>
      </c>
      <c r="R181" s="74">
        <f t="shared" si="50"/>
      </c>
      <c r="S181" s="74">
        <f t="shared" ca="1" si="51"/>
      </c>
      <c r="T181" s="74">
        <f t="shared" si="52"/>
      </c>
    </row>
    <row r="182" spans="2:20" x14ac:dyDescent="0.3">
      <c r="B182" s="74">
        <f t="shared" ca="1" si="42"/>
      </c>
      <c r="C182" s="78">
        <f>Кабельный_журнал!P148</f>
      </c>
      <c r="D182" s="74">
        <f t="shared" ca="1" si="43"/>
      </c>
      <c r="E182" s="80" t="s">
        <v>279</v>
      </c>
      <c r="F182" s="74">
        <f t="shared" ca="1" si="39"/>
      </c>
      <c r="G182" s="74">
        <f t="shared" si="40"/>
      </c>
      <c r="H182" s="80" t="s">
        <v>272</v>
      </c>
      <c r="I182" s="74">
        <f t="shared" si="41"/>
      </c>
      <c r="J182" s="74">
        <f t="shared" si="44"/>
      </c>
      <c r="K182" s="80" t="s">
        <v>280</v>
      </c>
      <c r="L182" s="74">
        <f t="shared" si="45"/>
      </c>
      <c r="M182" s="74">
        <f t="shared" ca="1" si="46"/>
      </c>
      <c r="N182" s="74">
        <f ca="1">VLOOKUP(B182,$C$7:$T180,13,FALSE)</f>
      </c>
      <c r="O182" s="74">
        <f t="shared" ca="1" si="47"/>
      </c>
      <c r="P182" s="74">
        <f t="shared" ca="1" si="48"/>
      </c>
      <c r="Q182" s="74">
        <f t="shared" ca="1" si="49"/>
      </c>
      <c r="R182" s="74">
        <f t="shared" si="50"/>
      </c>
      <c r="S182" s="74">
        <f t="shared" ca="1" si="51"/>
      </c>
      <c r="T182" s="74">
        <f t="shared" si="52"/>
      </c>
    </row>
    <row r="183" spans="2:20" x14ac:dyDescent="0.3">
      <c r="B183" s="74">
        <f t="shared" ca="1" si="42"/>
      </c>
      <c r="C183" s="78">
        <f>Кабельный_журнал!P149</f>
      </c>
      <c r="D183" s="74">
        <f t="shared" ca="1" si="43"/>
      </c>
      <c r="E183" s="80" t="s">
        <v>279</v>
      </c>
      <c r="F183" s="74">
        <f t="shared" ca="1" si="39"/>
      </c>
      <c r="G183" s="74">
        <f t="shared" si="40"/>
      </c>
      <c r="H183" s="80" t="s">
        <v>272</v>
      </c>
      <c r="I183" s="74">
        <f t="shared" si="41"/>
      </c>
      <c r="J183" s="74">
        <f t="shared" si="44"/>
      </c>
      <c r="K183" s="80" t="s">
        <v>280</v>
      </c>
      <c r="L183" s="74">
        <f t="shared" si="45"/>
      </c>
      <c r="M183" s="74">
        <f t="shared" ca="1" si="46"/>
      </c>
      <c r="N183" s="74">
        <f ca="1">VLOOKUP(B183,$C$7:$T181,13,FALSE)</f>
      </c>
      <c r="O183" s="74">
        <f t="shared" ca="1" si="47"/>
      </c>
      <c r="P183" s="74">
        <f t="shared" ca="1" si="48"/>
      </c>
      <c r="Q183" s="74">
        <f t="shared" ca="1" si="49"/>
      </c>
      <c r="R183" s="74">
        <f t="shared" si="50"/>
      </c>
      <c r="S183" s="74">
        <f t="shared" ca="1" si="51"/>
      </c>
      <c r="T183" s="74">
        <f t="shared" si="52"/>
      </c>
    </row>
    <row r="184" spans="2:20" x14ac:dyDescent="0.3">
      <c r="B184" s="74">
        <f t="shared" ca="1" si="42"/>
      </c>
      <c r="C184" s="78">
        <f>Кабельный_журнал!P150</f>
      </c>
      <c r="D184" s="74">
        <f t="shared" ca="1" si="43"/>
      </c>
      <c r="E184" s="80" t="s">
        <v>279</v>
      </c>
      <c r="F184" s="74">
        <f t="shared" ca="1" si="39"/>
      </c>
      <c r="G184" s="74">
        <f t="shared" si="40"/>
      </c>
      <c r="H184" s="80" t="s">
        <v>272</v>
      </c>
      <c r="I184" s="74">
        <f t="shared" si="41"/>
      </c>
      <c r="J184" s="74">
        <f t="shared" si="44"/>
      </c>
      <c r="K184" s="80" t="s">
        <v>280</v>
      </c>
      <c r="L184" s="74">
        <f t="shared" si="45"/>
      </c>
      <c r="M184" s="74">
        <f t="shared" ca="1" si="46"/>
      </c>
      <c r="N184" s="74">
        <f ca="1">VLOOKUP(B184,$C$7:$T182,13,FALSE)</f>
      </c>
      <c r="O184" s="74">
        <f t="shared" ca="1" si="47"/>
      </c>
      <c r="P184" s="74">
        <f t="shared" ca="1" si="48"/>
      </c>
      <c r="Q184" s="74">
        <f t="shared" ca="1" si="49"/>
      </c>
      <c r="R184" s="74">
        <f t="shared" si="50"/>
      </c>
      <c r="S184" s="74">
        <f t="shared" ca="1" si="51"/>
      </c>
      <c r="T184" s="74">
        <f t="shared" si="52"/>
      </c>
    </row>
    <row r="185" spans="2:20" x14ac:dyDescent="0.3">
      <c r="B185" s="74">
        <f t="shared" ca="1" si="42"/>
      </c>
      <c r="C185" s="78">
        <f>Кабельный_журнал!P151</f>
      </c>
      <c r="D185" s="74">
        <f t="shared" ca="1" si="43"/>
      </c>
      <c r="E185" s="80" t="s">
        <v>279</v>
      </c>
      <c r="F185" s="74">
        <f t="shared" ca="1" si="39"/>
      </c>
      <c r="G185" s="74">
        <f t="shared" si="40"/>
      </c>
      <c r="H185" s="80" t="s">
        <v>272</v>
      </c>
      <c r="I185" s="74">
        <f t="shared" si="41"/>
      </c>
      <c r="J185" s="74">
        <f t="shared" si="44"/>
      </c>
      <c r="K185" s="80" t="s">
        <v>280</v>
      </c>
      <c r="L185" s="74">
        <f t="shared" si="45"/>
      </c>
      <c r="M185" s="74">
        <f t="shared" ca="1" si="46"/>
      </c>
      <c r="N185" s="74">
        <f ca="1">VLOOKUP(B185,$C$7:$T183,13,FALSE)</f>
      </c>
      <c r="O185" s="74">
        <f t="shared" ca="1" si="47"/>
      </c>
      <c r="P185" s="74">
        <f t="shared" ca="1" si="48"/>
      </c>
      <c r="Q185" s="74">
        <f t="shared" ca="1" si="49"/>
      </c>
      <c r="R185" s="74">
        <f t="shared" si="50"/>
      </c>
      <c r="S185" s="74">
        <f t="shared" ca="1" si="51"/>
      </c>
      <c r="T185" s="74">
        <f t="shared" si="52"/>
      </c>
    </row>
    <row r="186" spans="2:20" x14ac:dyDescent="0.3">
      <c r="B186" s="74">
        <f t="shared" ca="1" si="42"/>
      </c>
      <c r="C186" s="78">
        <f>Кабельный_журнал!P152</f>
      </c>
      <c r="D186" s="74">
        <f t="shared" ca="1" si="43"/>
      </c>
      <c r="E186" s="80" t="s">
        <v>279</v>
      </c>
      <c r="F186" s="74">
        <f t="shared" ca="1" si="39"/>
      </c>
      <c r="G186" s="74">
        <f t="shared" si="40"/>
      </c>
      <c r="H186" s="80" t="s">
        <v>272</v>
      </c>
      <c r="I186" s="74">
        <f t="shared" si="41"/>
      </c>
      <c r="J186" s="74">
        <f t="shared" si="44"/>
      </c>
      <c r="K186" s="80" t="s">
        <v>280</v>
      </c>
      <c r="L186" s="74">
        <f t="shared" si="45"/>
      </c>
      <c r="M186" s="74">
        <f t="shared" ca="1" si="46"/>
      </c>
      <c r="N186" s="74">
        <f ca="1">VLOOKUP(B186,$C$7:$T184,13,FALSE)</f>
      </c>
      <c r="O186" s="74">
        <f t="shared" ca="1" si="47"/>
      </c>
      <c r="P186" s="74">
        <f t="shared" ca="1" si="48"/>
      </c>
      <c r="Q186" s="74">
        <f t="shared" ca="1" si="49"/>
      </c>
      <c r="R186" s="74">
        <f t="shared" si="50"/>
      </c>
      <c r="S186" s="74">
        <f t="shared" ca="1" si="51"/>
      </c>
      <c r="T186" s="74">
        <f t="shared" si="52"/>
      </c>
    </row>
    <row r="187" spans="2:20" x14ac:dyDescent="0.3">
      <c r="B187" s="74">
        <f t="shared" ca="1" si="42"/>
      </c>
      <c r="C187" s="78">
        <f>Кабельный_журнал!P153</f>
      </c>
      <c r="D187" s="74">
        <f t="shared" ca="1" si="43"/>
      </c>
      <c r="E187" s="80" t="s">
        <v>279</v>
      </c>
      <c r="F187" s="74">
        <f t="shared" ca="1" si="39"/>
      </c>
      <c r="G187" s="74">
        <f t="shared" si="40"/>
      </c>
      <c r="H187" s="80" t="s">
        <v>272</v>
      </c>
      <c r="I187" s="74">
        <f t="shared" si="41"/>
      </c>
      <c r="J187" s="74">
        <f t="shared" si="44"/>
      </c>
      <c r="K187" s="80" t="s">
        <v>280</v>
      </c>
      <c r="L187" s="74">
        <f t="shared" si="45"/>
      </c>
      <c r="M187" s="74">
        <f t="shared" ca="1" si="46"/>
      </c>
      <c r="N187" s="74">
        <f ca="1">VLOOKUP(B187,$C$7:$T185,13,FALSE)</f>
      </c>
      <c r="O187" s="74">
        <f t="shared" ca="1" si="47"/>
      </c>
      <c r="P187" s="74">
        <f t="shared" ca="1" si="48"/>
      </c>
      <c r="Q187" s="74">
        <f t="shared" ca="1" si="49"/>
      </c>
      <c r="R187" s="74">
        <f t="shared" si="50"/>
      </c>
      <c r="S187" s="74">
        <f t="shared" ca="1" si="51"/>
      </c>
      <c r="T187" s="74">
        <f t="shared" si="52"/>
      </c>
    </row>
    <row r="188" spans="2:20" x14ac:dyDescent="0.3">
      <c r="B188" s="74">
        <f t="shared" ca="1" si="42"/>
      </c>
      <c r="C188" s="78">
        <f>Кабельный_журнал!P154</f>
      </c>
      <c r="D188" s="74">
        <f t="shared" ca="1" si="43"/>
      </c>
      <c r="E188" s="80" t="s">
        <v>279</v>
      </c>
      <c r="F188" s="74">
        <f t="shared" ca="1" si="39"/>
      </c>
      <c r="G188" s="74">
        <f t="shared" si="40"/>
      </c>
      <c r="H188" s="80" t="s">
        <v>272</v>
      </c>
      <c r="I188" s="74">
        <f t="shared" si="41"/>
      </c>
      <c r="J188" s="74">
        <f t="shared" si="44"/>
      </c>
      <c r="K188" s="80" t="s">
        <v>280</v>
      </c>
      <c r="L188" s="74">
        <f t="shared" si="45"/>
      </c>
      <c r="M188" s="74">
        <f t="shared" ca="1" si="46"/>
      </c>
      <c r="N188" s="74">
        <f ca="1">VLOOKUP(B188,$C$7:$T186,13,FALSE)</f>
      </c>
      <c r="O188" s="74">
        <f t="shared" ca="1" si="47"/>
      </c>
      <c r="P188" s="74">
        <f t="shared" ca="1" si="48"/>
      </c>
      <c r="Q188" s="74">
        <f t="shared" ca="1" si="49"/>
      </c>
      <c r="R188" s="74">
        <f t="shared" si="50"/>
      </c>
      <c r="S188" s="74">
        <f t="shared" ca="1" si="51"/>
      </c>
      <c r="T188" s="74">
        <f t="shared" si="52"/>
      </c>
    </row>
    <row r="189" spans="2:20" x14ac:dyDescent="0.3">
      <c r="B189" s="74">
        <f t="shared" ca="1" si="42"/>
      </c>
      <c r="C189" s="78">
        <f>Кабельный_журнал!P155</f>
      </c>
      <c r="D189" s="74">
        <f t="shared" ca="1" si="43"/>
      </c>
      <c r="E189" s="80" t="s">
        <v>279</v>
      </c>
      <c r="F189" s="74">
        <f t="shared" ca="1" si="39"/>
      </c>
      <c r="G189" s="74">
        <f t="shared" si="40"/>
      </c>
      <c r="H189" s="80" t="s">
        <v>272</v>
      </c>
      <c r="I189" s="74">
        <f t="shared" si="41"/>
      </c>
      <c r="J189" s="74">
        <f t="shared" si="44"/>
      </c>
      <c r="K189" s="80" t="s">
        <v>280</v>
      </c>
      <c r="L189" s="74">
        <f t="shared" si="45"/>
      </c>
      <c r="M189" s="74">
        <f t="shared" ca="1" si="46"/>
      </c>
      <c r="N189" s="74">
        <f ca="1">VLOOKUP(B189,$C$7:$T187,13,FALSE)</f>
      </c>
      <c r="O189" s="74">
        <f t="shared" ca="1" si="47"/>
      </c>
      <c r="P189" s="74">
        <f t="shared" ca="1" si="48"/>
      </c>
      <c r="Q189" s="74">
        <f t="shared" ca="1" si="49"/>
      </c>
      <c r="R189" s="74">
        <f t="shared" si="50"/>
      </c>
      <c r="S189" s="74">
        <f t="shared" ca="1" si="51"/>
      </c>
      <c r="T189" s="74">
        <f t="shared" si="52"/>
      </c>
    </row>
    <row r="190" spans="2:20" x14ac:dyDescent="0.3">
      <c r="B190" s="74">
        <f t="shared" ca="1" si="42"/>
      </c>
      <c r="C190" s="78">
        <f>Кабельный_журнал!P156</f>
      </c>
      <c r="D190" s="74">
        <f t="shared" ca="1" si="43"/>
      </c>
      <c r="E190" s="80" t="s">
        <v>279</v>
      </c>
      <c r="F190" s="74">
        <f t="shared" ca="1" si="39"/>
      </c>
      <c r="G190" s="74">
        <f t="shared" si="40"/>
      </c>
      <c r="H190" s="80" t="s">
        <v>272</v>
      </c>
      <c r="I190" s="74">
        <f t="shared" si="41"/>
      </c>
      <c r="J190" s="74">
        <f t="shared" si="44"/>
      </c>
      <c r="K190" s="80" t="s">
        <v>280</v>
      </c>
      <c r="L190" s="74">
        <f t="shared" si="45"/>
      </c>
      <c r="M190" s="74">
        <f t="shared" ca="1" si="46"/>
      </c>
      <c r="N190" s="74">
        <f ca="1">VLOOKUP(B190,$C$7:$T188,13,FALSE)</f>
      </c>
      <c r="O190" s="74">
        <f t="shared" ca="1" si="47"/>
      </c>
      <c r="P190" s="74">
        <f t="shared" ca="1" si="48"/>
      </c>
      <c r="Q190" s="74">
        <f t="shared" ca="1" si="49"/>
      </c>
      <c r="R190" s="74">
        <f t="shared" si="50"/>
      </c>
      <c r="S190" s="74">
        <f t="shared" ca="1" si="51"/>
      </c>
      <c r="T190" s="74">
        <f t="shared" si="52"/>
      </c>
    </row>
    <row r="191" spans="2:20" x14ac:dyDescent="0.3">
      <c r="B191" s="74">
        <f t="shared" ca="1" si="42"/>
      </c>
      <c r="C191" s="78">
        <f>Кабельный_журнал!P157</f>
      </c>
      <c r="D191" s="74">
        <f t="shared" ca="1" si="43"/>
      </c>
      <c r="E191" s="80" t="s">
        <v>279</v>
      </c>
      <c r="F191" s="74">
        <f t="shared" ca="1" si="39"/>
      </c>
      <c r="G191" s="74">
        <f t="shared" si="40"/>
      </c>
      <c r="H191" s="80" t="s">
        <v>272</v>
      </c>
      <c r="I191" s="74">
        <f t="shared" si="41"/>
      </c>
      <c r="J191" s="74">
        <f t="shared" si="44"/>
      </c>
      <c r="K191" s="80" t="s">
        <v>280</v>
      </c>
      <c r="L191" s="74">
        <f t="shared" si="45"/>
      </c>
      <c r="M191" s="74">
        <f t="shared" ca="1" si="46"/>
      </c>
      <c r="N191" s="74">
        <f ca="1">VLOOKUP(B191,$C$7:$T189,13,FALSE)</f>
      </c>
      <c r="O191" s="74">
        <f t="shared" ca="1" si="47"/>
      </c>
      <c r="P191" s="74">
        <f t="shared" ca="1" si="48"/>
      </c>
      <c r="Q191" s="74">
        <f t="shared" ca="1" si="49"/>
      </c>
      <c r="R191" s="74">
        <f t="shared" si="50"/>
      </c>
      <c r="S191" s="74">
        <f t="shared" ca="1" si="51"/>
      </c>
      <c r="T191" s="74">
        <f t="shared" si="52"/>
      </c>
    </row>
    <row r="192" spans="2:20" x14ac:dyDescent="0.3">
      <c r="B192" s="74">
        <f t="shared" ca="1" si="42"/>
      </c>
      <c r="C192" s="78">
        <f>Кабельный_журнал!P158</f>
      </c>
      <c r="D192" s="74">
        <f t="shared" ca="1" si="43"/>
      </c>
      <c r="E192" s="80" t="s">
        <v>279</v>
      </c>
      <c r="F192" s="74">
        <f t="shared" ca="1" si="39"/>
      </c>
      <c r="G192" s="74">
        <f t="shared" si="40"/>
      </c>
      <c r="H192" s="80" t="s">
        <v>272</v>
      </c>
      <c r="I192" s="74">
        <f t="shared" si="41"/>
      </c>
      <c r="J192" s="74">
        <f t="shared" si="44"/>
      </c>
      <c r="K192" s="80" t="s">
        <v>280</v>
      </c>
      <c r="L192" s="74">
        <f t="shared" si="45"/>
      </c>
      <c r="M192" s="74">
        <f t="shared" ca="1" si="46"/>
      </c>
      <c r="N192" s="74">
        <f ca="1">VLOOKUP(B192,$C$7:$T190,13,FALSE)</f>
      </c>
      <c r="O192" s="74">
        <f t="shared" ca="1" si="47"/>
      </c>
      <c r="P192" s="74">
        <f t="shared" ca="1" si="48"/>
      </c>
      <c r="Q192" s="74">
        <f t="shared" ca="1" si="49"/>
      </c>
      <c r="R192" s="74">
        <f t="shared" si="50"/>
      </c>
      <c r="S192" s="74">
        <f t="shared" ca="1" si="51"/>
      </c>
      <c r="T192" s="74">
        <f t="shared" si="52"/>
      </c>
    </row>
    <row r="193" spans="2:20" x14ac:dyDescent="0.3">
      <c r="B193" s="74">
        <f t="shared" ca="1" si="42"/>
      </c>
      <c r="C193" s="78">
        <f>Кабельный_журнал!P159</f>
      </c>
      <c r="D193" s="74">
        <f t="shared" ca="1" si="43"/>
      </c>
      <c r="E193" s="80" t="s">
        <v>279</v>
      </c>
      <c r="F193" s="74">
        <f t="shared" ca="1" si="39"/>
      </c>
      <c r="G193" s="74">
        <f t="shared" si="40"/>
      </c>
      <c r="H193" s="80" t="s">
        <v>272</v>
      </c>
      <c r="I193" s="74">
        <f t="shared" si="41"/>
      </c>
      <c r="J193" s="74">
        <f t="shared" si="44"/>
      </c>
      <c r="K193" s="80" t="s">
        <v>280</v>
      </c>
      <c r="L193" s="74">
        <f t="shared" si="45"/>
      </c>
      <c r="M193" s="74">
        <f t="shared" ca="1" si="46"/>
      </c>
      <c r="N193" s="74">
        <f ca="1">VLOOKUP(B193,$C$7:$T191,13,FALSE)</f>
      </c>
      <c r="O193" s="74">
        <f t="shared" ca="1" si="47"/>
      </c>
      <c r="P193" s="74">
        <f t="shared" ca="1" si="48"/>
      </c>
      <c r="Q193" s="74">
        <f t="shared" ca="1" si="49"/>
      </c>
      <c r="R193" s="74">
        <f t="shared" si="50"/>
      </c>
      <c r="S193" s="74">
        <f t="shared" ca="1" si="51"/>
      </c>
      <c r="T193" s="74">
        <f t="shared" si="52"/>
      </c>
    </row>
    <row r="194" spans="2:20" x14ac:dyDescent="0.3">
      <c r="B194" s="74">
        <f t="shared" ca="1" si="42"/>
      </c>
      <c r="C194" s="78">
        <f>Кабельный_журнал!P160</f>
      </c>
      <c r="D194" s="74">
        <f t="shared" ca="1" si="43"/>
      </c>
      <c r="E194" s="80" t="s">
        <v>279</v>
      </c>
      <c r="F194" s="74">
        <f t="shared" ca="1" si="39"/>
      </c>
      <c r="G194" s="74">
        <f t="shared" si="40"/>
      </c>
      <c r="H194" s="80" t="s">
        <v>272</v>
      </c>
      <c r="I194" s="74">
        <f t="shared" si="41"/>
      </c>
      <c r="J194" s="74">
        <f t="shared" si="44"/>
      </c>
      <c r="K194" s="80" t="s">
        <v>280</v>
      </c>
      <c r="L194" s="74">
        <f t="shared" si="45"/>
      </c>
      <c r="M194" s="74">
        <f t="shared" ca="1" si="46"/>
      </c>
      <c r="N194" s="74">
        <f ca="1">VLOOKUP(B194,$C$7:$T192,13,FALSE)</f>
      </c>
      <c r="O194" s="74">
        <f t="shared" ca="1" si="47"/>
      </c>
      <c r="P194" s="74">
        <f t="shared" ca="1" si="48"/>
      </c>
      <c r="Q194" s="74">
        <f t="shared" ca="1" si="49"/>
      </c>
      <c r="R194" s="74">
        <f t="shared" si="50"/>
      </c>
      <c r="S194" s="74">
        <f t="shared" ca="1" si="51"/>
      </c>
      <c r="T194" s="74">
        <f t="shared" si="52"/>
      </c>
    </row>
    <row r="195" spans="2:20" x14ac:dyDescent="0.3">
      <c r="B195" s="74">
        <f t="shared" ca="1" si="42"/>
      </c>
      <c r="C195" s="78">
        <f>Кабельный_журнал!P161</f>
      </c>
      <c r="D195" s="74">
        <f t="shared" ca="1" si="43"/>
      </c>
      <c r="E195" s="80" t="s">
        <v>279</v>
      </c>
      <c r="F195" s="74">
        <f t="shared" ca="1" si="39"/>
      </c>
      <c r="G195" s="74">
        <f t="shared" si="40"/>
      </c>
      <c r="H195" s="80" t="s">
        <v>272</v>
      </c>
      <c r="I195" s="74">
        <f t="shared" si="41"/>
      </c>
      <c r="J195" s="74">
        <f t="shared" si="44"/>
      </c>
      <c r="K195" s="80" t="s">
        <v>280</v>
      </c>
      <c r="L195" s="74">
        <f t="shared" si="45"/>
      </c>
      <c r="M195" s="74">
        <f t="shared" ca="1" si="46"/>
      </c>
      <c r="N195" s="74">
        <f ca="1">VLOOKUP(B195,$C$7:$T193,13,FALSE)</f>
      </c>
      <c r="O195" s="74">
        <f t="shared" ca="1" si="47"/>
      </c>
      <c r="P195" s="74">
        <f t="shared" ca="1" si="48"/>
      </c>
      <c r="Q195" s="74">
        <f t="shared" ca="1" si="49"/>
      </c>
      <c r="R195" s="74">
        <f t="shared" si="50"/>
      </c>
      <c r="S195" s="74">
        <f t="shared" ca="1" si="51"/>
      </c>
      <c r="T195" s="74">
        <f t="shared" si="52"/>
      </c>
    </row>
    <row r="196" spans="2:20" x14ac:dyDescent="0.3">
      <c r="B196" s="74">
        <f t="shared" ca="1" si="42"/>
      </c>
      <c r="C196" s="78">
        <f>Кабельный_журнал!P162</f>
      </c>
      <c r="D196" s="74">
        <f t="shared" ca="1" si="43"/>
      </c>
      <c r="E196" s="80" t="s">
        <v>279</v>
      </c>
      <c r="F196" s="74">
        <f t="shared" ca="1" si="39"/>
      </c>
      <c r="G196" s="74">
        <f t="shared" si="40"/>
      </c>
      <c r="H196" s="80" t="s">
        <v>272</v>
      </c>
      <c r="I196" s="74">
        <f t="shared" si="41"/>
      </c>
      <c r="J196" s="74">
        <f t="shared" si="44"/>
      </c>
      <c r="K196" s="80" t="s">
        <v>280</v>
      </c>
      <c r="L196" s="74">
        <f t="shared" si="45"/>
      </c>
      <c r="M196" s="74">
        <f t="shared" ca="1" si="46"/>
      </c>
      <c r="N196" s="74">
        <f ca="1">VLOOKUP(B196,$C$7:$T194,13,FALSE)</f>
      </c>
      <c r="O196" s="74">
        <f t="shared" ca="1" si="47"/>
      </c>
      <c r="P196" s="74">
        <f t="shared" ca="1" si="48"/>
      </c>
      <c r="Q196" s="74">
        <f t="shared" ca="1" si="49"/>
      </c>
      <c r="R196" s="74">
        <f t="shared" si="50"/>
      </c>
      <c r="S196" s="74">
        <f t="shared" ca="1" si="51"/>
      </c>
      <c r="T196" s="74">
        <f t="shared" si="52"/>
      </c>
    </row>
    <row r="197" spans="2:20" x14ac:dyDescent="0.3">
      <c r="B197" s="74">
        <f t="shared" ca="1" si="42"/>
      </c>
      <c r="C197" s="78">
        <f>Кабельный_журнал!P163</f>
      </c>
      <c r="D197" s="74">
        <f t="shared" ca="1" si="43"/>
      </c>
      <c r="E197" s="80" t="s">
        <v>279</v>
      </c>
      <c r="F197" s="74">
        <f t="shared" ca="1" si="39"/>
      </c>
      <c r="G197" s="74">
        <f t="shared" si="40"/>
      </c>
      <c r="H197" s="80" t="s">
        <v>272</v>
      </c>
      <c r="I197" s="74">
        <f t="shared" si="41"/>
      </c>
      <c r="J197" s="74">
        <f t="shared" si="44"/>
      </c>
      <c r="K197" s="80" t="s">
        <v>280</v>
      </c>
      <c r="L197" s="74">
        <f t="shared" si="45"/>
      </c>
      <c r="M197" s="74">
        <f t="shared" ca="1" si="46"/>
      </c>
      <c r="N197" s="74">
        <f ca="1">VLOOKUP(B197,$C$7:$T195,13,FALSE)</f>
      </c>
      <c r="O197" s="74">
        <f t="shared" ca="1" si="47"/>
      </c>
      <c r="P197" s="74">
        <f t="shared" ca="1" si="48"/>
      </c>
      <c r="Q197" s="74">
        <f t="shared" ca="1" si="49"/>
      </c>
      <c r="R197" s="74">
        <f t="shared" si="50"/>
      </c>
      <c r="S197" s="74">
        <f t="shared" ca="1" si="51"/>
      </c>
      <c r="T197" s="74">
        <f t="shared" si="52"/>
      </c>
    </row>
    <row r="198" spans="2:20" x14ac:dyDescent="0.3">
      <c r="B198" s="74">
        <f t="shared" ca="1" si="42"/>
      </c>
      <c r="C198" s="78">
        <f>Кабельный_журнал!P164</f>
      </c>
      <c r="D198" s="74">
        <f t="shared" ca="1" si="43"/>
      </c>
      <c r="E198" s="80" t="s">
        <v>279</v>
      </c>
      <c r="F198" s="74">
        <f t="shared" ca="1" si="39"/>
      </c>
      <c r="G198" s="74">
        <f t="shared" si="40"/>
      </c>
      <c r="H198" s="80" t="s">
        <v>272</v>
      </c>
      <c r="I198" s="74">
        <f t="shared" si="41"/>
      </c>
      <c r="J198" s="74">
        <f t="shared" si="44"/>
      </c>
      <c r="K198" s="80" t="s">
        <v>280</v>
      </c>
      <c r="L198" s="74">
        <f t="shared" si="45"/>
      </c>
      <c r="M198" s="74">
        <f t="shared" ca="1" si="46"/>
      </c>
      <c r="N198" s="74">
        <f ca="1">VLOOKUP(B198,$C$7:$T196,13,FALSE)</f>
      </c>
      <c r="O198" s="74">
        <f t="shared" ca="1" si="47"/>
      </c>
      <c r="P198" s="74">
        <f t="shared" ca="1" si="48"/>
      </c>
      <c r="Q198" s="74">
        <f t="shared" ca="1" si="49"/>
      </c>
      <c r="R198" s="74">
        <f t="shared" si="50"/>
      </c>
      <c r="S198" s="74">
        <f t="shared" ca="1" si="51"/>
      </c>
      <c r="T198" s="74">
        <f t="shared" si="52"/>
      </c>
    </row>
    <row r="199" spans="2:20" x14ac:dyDescent="0.3">
      <c r="B199" s="74">
        <f t="shared" ca="1" si="42"/>
      </c>
      <c r="C199" s="78">
        <f>Кабельный_журнал!P165</f>
      </c>
      <c r="D199" s="74">
        <f t="shared" ca="1" si="43"/>
      </c>
      <c r="E199" s="80" t="s">
        <v>279</v>
      </c>
      <c r="F199" s="74">
        <f t="shared" ca="1" si="39"/>
      </c>
      <c r="G199" s="74">
        <f t="shared" si="40"/>
      </c>
      <c r="H199" s="80" t="s">
        <v>272</v>
      </c>
      <c r="I199" s="74">
        <f t="shared" si="41"/>
      </c>
      <c r="J199" s="74">
        <f t="shared" si="44"/>
      </c>
      <c r="K199" s="80" t="s">
        <v>280</v>
      </c>
      <c r="L199" s="74">
        <f t="shared" si="45"/>
      </c>
      <c r="M199" s="74">
        <f t="shared" ca="1" si="46"/>
      </c>
      <c r="N199" s="74">
        <f ca="1">VLOOKUP(B199,$C$7:$T197,13,FALSE)</f>
      </c>
      <c r="O199" s="74">
        <f t="shared" ca="1" si="47"/>
      </c>
      <c r="P199" s="74">
        <f t="shared" ca="1" si="48"/>
      </c>
      <c r="Q199" s="74">
        <f t="shared" ca="1" si="49"/>
      </c>
      <c r="R199" s="74">
        <f t="shared" si="50"/>
      </c>
      <c r="S199" s="74">
        <f t="shared" ca="1" si="51"/>
      </c>
      <c r="T199" s="74">
        <f t="shared" si="52"/>
      </c>
    </row>
    <row r="200" spans="2:20" x14ac:dyDescent="0.3">
      <c r="B200" s="74">
        <f t="shared" ca="1" si="42"/>
      </c>
      <c r="C200" s="78">
        <f>Кабельный_журнал!P166</f>
      </c>
      <c r="D200" s="74">
        <f t="shared" ca="1" si="43"/>
      </c>
      <c r="E200" s="80" t="s">
        <v>279</v>
      </c>
      <c r="F200" s="74">
        <f t="shared" ca="1" si="39"/>
      </c>
      <c r="G200" s="74">
        <f t="shared" si="40"/>
      </c>
      <c r="H200" s="80" t="s">
        <v>272</v>
      </c>
      <c r="I200" s="74">
        <f t="shared" si="41"/>
      </c>
      <c r="J200" s="74">
        <f t="shared" si="44"/>
      </c>
      <c r="K200" s="80" t="s">
        <v>280</v>
      </c>
      <c r="L200" s="74">
        <f t="shared" si="45"/>
      </c>
      <c r="M200" s="74">
        <f t="shared" ca="1" si="46"/>
      </c>
      <c r="N200" s="74">
        <f ca="1">VLOOKUP(B200,$C$7:$T198,13,FALSE)</f>
      </c>
      <c r="O200" s="74">
        <f t="shared" ca="1" si="47"/>
      </c>
      <c r="P200" s="74">
        <f t="shared" ca="1" si="48"/>
      </c>
      <c r="Q200" s="74">
        <f t="shared" ca="1" si="49"/>
      </c>
      <c r="R200" s="74">
        <f t="shared" si="50"/>
      </c>
      <c r="S200" s="74">
        <f t="shared" ca="1" si="51"/>
      </c>
      <c r="T200" s="74">
        <f t="shared" si="52"/>
      </c>
    </row>
    <row r="201" spans="2:20" x14ac:dyDescent="0.3">
      <c r="B201" s="74">
        <f t="shared" ca="1" si="42"/>
      </c>
      <c r="C201" s="78">
        <f>Кабельный_журнал!P167</f>
      </c>
      <c r="D201" s="74">
        <f t="shared" ca="1" si="43"/>
      </c>
      <c r="E201" s="80" t="s">
        <v>279</v>
      </c>
      <c r="F201" s="74">
        <f t="shared" ca="1" si="39"/>
      </c>
      <c r="G201" s="74">
        <f t="shared" si="40"/>
      </c>
      <c r="H201" s="80" t="s">
        <v>272</v>
      </c>
      <c r="I201" s="74">
        <f t="shared" si="41"/>
      </c>
      <c r="J201" s="74">
        <f t="shared" si="44"/>
      </c>
      <c r="K201" s="80" t="s">
        <v>280</v>
      </c>
      <c r="L201" s="74">
        <f t="shared" si="45"/>
      </c>
      <c r="M201" s="74">
        <f t="shared" ca="1" si="46"/>
      </c>
      <c r="N201" s="74">
        <f ca="1">VLOOKUP(B201,$C$7:$T199,13,FALSE)</f>
      </c>
      <c r="O201" s="74">
        <f t="shared" ca="1" si="47"/>
      </c>
      <c r="P201" s="74">
        <f t="shared" ca="1" si="48"/>
      </c>
      <c r="Q201" s="74">
        <f t="shared" ca="1" si="49"/>
      </c>
      <c r="R201" s="74">
        <f t="shared" si="50"/>
      </c>
      <c r="S201" s="74">
        <f t="shared" ca="1" si="51"/>
      </c>
      <c r="T201" s="74">
        <f t="shared" si="52"/>
      </c>
    </row>
    <row r="202" spans="2:20" x14ac:dyDescent="0.3">
      <c r="B202" s="74">
        <f t="shared" ca="1" si="42"/>
      </c>
      <c r="C202" s="78">
        <f>Кабельный_журнал!P168</f>
      </c>
      <c r="D202" s="74">
        <f t="shared" ca="1" si="43"/>
      </c>
      <c r="E202" s="80" t="s">
        <v>279</v>
      </c>
      <c r="F202" s="74">
        <f t="shared" ca="1" si="39"/>
      </c>
      <c r="G202" s="74">
        <f t="shared" si="40"/>
      </c>
      <c r="H202" s="80" t="s">
        <v>272</v>
      </c>
      <c r="I202" s="74">
        <f t="shared" si="41"/>
      </c>
      <c r="J202" s="74">
        <f t="shared" si="44"/>
      </c>
      <c r="K202" s="80" t="s">
        <v>280</v>
      </c>
      <c r="L202" s="74">
        <f t="shared" si="45"/>
      </c>
      <c r="M202" s="74">
        <f t="shared" ca="1" si="46"/>
      </c>
      <c r="N202" s="74">
        <f ca="1">VLOOKUP(B202,$C$7:$T200,13,FALSE)</f>
      </c>
      <c r="O202" s="74">
        <f t="shared" ca="1" si="47"/>
      </c>
      <c r="P202" s="74">
        <f t="shared" ca="1" si="48"/>
      </c>
      <c r="Q202" s="74">
        <f t="shared" ca="1" si="49"/>
      </c>
      <c r="R202" s="74">
        <f t="shared" si="50"/>
      </c>
      <c r="S202" s="74">
        <f t="shared" ca="1" si="51"/>
      </c>
      <c r="T202" s="74">
        <f t="shared" si="52"/>
      </c>
    </row>
    <row r="203" spans="2:20" x14ac:dyDescent="0.3">
      <c r="B203" s="74">
        <f t="shared" ca="1" si="42"/>
      </c>
      <c r="C203" s="78">
        <f>Кабельный_журнал!P169</f>
      </c>
      <c r="D203" s="74">
        <f t="shared" ca="1" si="43"/>
      </c>
      <c r="E203" s="80" t="s">
        <v>279</v>
      </c>
      <c r="F203" s="74">
        <f t="shared" ca="1" si="39"/>
      </c>
      <c r="G203" s="74">
        <f t="shared" si="40"/>
      </c>
      <c r="H203" s="80" t="s">
        <v>272</v>
      </c>
      <c r="I203" s="74">
        <f t="shared" si="41"/>
      </c>
      <c r="J203" s="74">
        <f t="shared" si="44"/>
      </c>
      <c r="K203" s="80" t="s">
        <v>280</v>
      </c>
      <c r="L203" s="74">
        <f t="shared" si="45"/>
      </c>
      <c r="M203" s="74">
        <f t="shared" ca="1" si="46"/>
      </c>
      <c r="N203" s="74">
        <f ca="1">VLOOKUP(B203,$C$7:$T201,13,FALSE)</f>
      </c>
      <c r="O203" s="74">
        <f t="shared" ca="1" si="47"/>
      </c>
      <c r="P203" s="74">
        <f t="shared" ca="1" si="48"/>
      </c>
      <c r="Q203" s="74">
        <f t="shared" ca="1" si="49"/>
      </c>
      <c r="R203" s="74">
        <f t="shared" si="50"/>
      </c>
      <c r="S203" s="74">
        <f t="shared" ca="1" si="51"/>
      </c>
      <c r="T203" s="74">
        <f t="shared" si="52"/>
      </c>
    </row>
    <row r="204" spans="2:20" x14ac:dyDescent="0.3">
      <c r="B204" s="74">
        <f t="shared" ca="1" si="42"/>
      </c>
      <c r="C204" s="78">
        <f>Кабельный_журнал!P170</f>
      </c>
      <c r="D204" s="74">
        <f t="shared" ca="1" si="43"/>
      </c>
      <c r="E204" s="80" t="s">
        <v>279</v>
      </c>
      <c r="F204" s="74">
        <f t="shared" ca="1" si="39"/>
      </c>
      <c r="G204" s="74">
        <f t="shared" si="40"/>
      </c>
      <c r="H204" s="80" t="s">
        <v>272</v>
      </c>
      <c r="I204" s="74">
        <f t="shared" si="41"/>
      </c>
      <c r="J204" s="74">
        <f t="shared" si="44"/>
      </c>
      <c r="K204" s="80" t="s">
        <v>280</v>
      </c>
      <c r="L204" s="74">
        <f t="shared" si="45"/>
      </c>
      <c r="M204" s="74">
        <f t="shared" ca="1" si="46"/>
      </c>
      <c r="N204" s="74">
        <f ca="1">VLOOKUP(B204,$C$7:$T202,13,FALSE)</f>
      </c>
      <c r="O204" s="74">
        <f t="shared" ca="1" si="47"/>
      </c>
      <c r="P204" s="74">
        <f t="shared" ca="1" si="48"/>
      </c>
      <c r="Q204" s="74">
        <f t="shared" ca="1" si="49"/>
      </c>
      <c r="R204" s="74">
        <f t="shared" si="50"/>
      </c>
      <c r="S204" s="74">
        <f t="shared" ca="1" si="51"/>
      </c>
      <c r="T204" s="74">
        <f t="shared" si="52"/>
      </c>
    </row>
    <row r="205" spans="2:20" x14ac:dyDescent="0.3">
      <c r="B205" s="74">
        <f t="shared" ca="1" si="42"/>
      </c>
      <c r="C205" s="78">
        <f>Кабельный_журнал!P171</f>
      </c>
      <c r="D205" s="74">
        <f t="shared" ca="1" si="43"/>
      </c>
      <c r="E205" s="80" t="s">
        <v>279</v>
      </c>
      <c r="F205" s="74">
        <f t="shared" ca="1" si="39"/>
      </c>
      <c r="G205" s="74">
        <f t="shared" si="40"/>
      </c>
      <c r="H205" s="80" t="s">
        <v>272</v>
      </c>
      <c r="I205" s="74">
        <f t="shared" si="41"/>
      </c>
      <c r="J205" s="74">
        <f t="shared" si="44"/>
      </c>
      <c r="K205" s="80" t="s">
        <v>280</v>
      </c>
      <c r="L205" s="74">
        <f t="shared" si="45"/>
      </c>
      <c r="M205" s="74">
        <f t="shared" ca="1" si="46"/>
      </c>
      <c r="N205" s="74">
        <f ca="1">VLOOKUP(B205,$C$7:$T203,13,FALSE)</f>
      </c>
      <c r="O205" s="74">
        <f t="shared" ca="1" si="47"/>
      </c>
      <c r="P205" s="74">
        <f t="shared" ca="1" si="48"/>
      </c>
      <c r="Q205" s="74">
        <f t="shared" ca="1" si="49"/>
      </c>
      <c r="R205" s="74">
        <f t="shared" si="50"/>
      </c>
      <c r="S205" s="74">
        <f t="shared" ca="1" si="51"/>
      </c>
      <c r="T205" s="74">
        <f t="shared" si="52"/>
      </c>
    </row>
    <row r="206" spans="2:20" x14ac:dyDescent="0.3">
      <c r="B206" s="74">
        <f t="shared" ca="1" si="42"/>
      </c>
      <c r="C206" s="78">
        <f>Кабельный_журнал!P172</f>
      </c>
      <c r="D206" s="74">
        <f t="shared" ca="1" si="43"/>
      </c>
      <c r="E206" s="80" t="s">
        <v>279</v>
      </c>
      <c r="F206" s="74">
        <f t="shared" ca="1" si="39"/>
      </c>
      <c r="G206" s="74">
        <f t="shared" si="40"/>
      </c>
      <c r="H206" s="80" t="s">
        <v>272</v>
      </c>
      <c r="I206" s="74">
        <f t="shared" si="41"/>
      </c>
      <c r="J206" s="74">
        <f t="shared" si="44"/>
      </c>
      <c r="K206" s="80" t="s">
        <v>280</v>
      </c>
      <c r="L206" s="74">
        <f t="shared" si="45"/>
      </c>
      <c r="M206" s="74">
        <f t="shared" ca="1" si="46"/>
      </c>
      <c r="N206" s="74">
        <f ca="1">VLOOKUP(B206,$C$7:$T204,13,FALSE)</f>
      </c>
      <c r="O206" s="74">
        <f t="shared" ca="1" si="47"/>
      </c>
      <c r="P206" s="74">
        <f t="shared" ca="1" si="48"/>
      </c>
      <c r="Q206" s="74">
        <f t="shared" ca="1" si="49"/>
      </c>
      <c r="R206" s="74">
        <f t="shared" si="50"/>
      </c>
      <c r="S206" s="74">
        <f t="shared" ca="1" si="51"/>
      </c>
      <c r="T206" s="74">
        <f t="shared" si="52"/>
      </c>
    </row>
    <row r="207" spans="2:20" x14ac:dyDescent="0.3">
      <c r="B207" s="74">
        <f t="shared" ca="1" si="42"/>
      </c>
      <c r="C207" s="78">
        <f>Кабельный_журнал!P173</f>
      </c>
      <c r="D207" s="74">
        <f t="shared" ca="1" si="43"/>
      </c>
      <c r="E207" s="80" t="s">
        <v>279</v>
      </c>
      <c r="F207" s="74">
        <f t="shared" ca="1" si="39"/>
      </c>
      <c r="G207" s="74">
        <f t="shared" si="40"/>
      </c>
      <c r="H207" s="80" t="s">
        <v>272</v>
      </c>
      <c r="I207" s="74">
        <f t="shared" si="41"/>
      </c>
      <c r="J207" s="74">
        <f t="shared" si="44"/>
      </c>
      <c r="K207" s="80" t="s">
        <v>280</v>
      </c>
      <c r="L207" s="74">
        <f t="shared" si="45"/>
      </c>
      <c r="M207" s="74">
        <f t="shared" ca="1" si="46"/>
      </c>
      <c r="N207" s="74">
        <f ca="1">VLOOKUP(B207,$C$7:$T205,13,FALSE)</f>
      </c>
      <c r="O207" s="74">
        <f t="shared" ca="1" si="47"/>
      </c>
      <c r="P207" s="74">
        <f t="shared" ca="1" si="48"/>
      </c>
      <c r="Q207" s="74">
        <f t="shared" ca="1" si="49"/>
      </c>
      <c r="R207" s="74">
        <f t="shared" si="50"/>
      </c>
      <c r="S207" s="74">
        <f t="shared" ca="1" si="51"/>
      </c>
      <c r="T207" s="74">
        <f t="shared" si="52"/>
      </c>
    </row>
    <row r="208" spans="2:20" x14ac:dyDescent="0.3">
      <c r="B208" s="74">
        <f t="shared" ca="1" si="42"/>
      </c>
      <c r="C208" s="78">
        <f>Кабельный_журнал!P174</f>
      </c>
      <c r="D208" s="74">
        <f t="shared" ca="1" si="43"/>
      </c>
      <c r="E208" s="80" t="s">
        <v>279</v>
      </c>
      <c r="F208" s="74">
        <f t="shared" ca="1" si="39"/>
      </c>
      <c r="G208" s="74">
        <f t="shared" si="40"/>
      </c>
      <c r="H208" s="80" t="s">
        <v>272</v>
      </c>
      <c r="I208" s="74">
        <f t="shared" si="41"/>
      </c>
      <c r="J208" s="74">
        <f t="shared" si="44"/>
      </c>
      <c r="K208" s="80" t="s">
        <v>280</v>
      </c>
      <c r="L208" s="74">
        <f t="shared" si="45"/>
      </c>
      <c r="M208" s="74">
        <f t="shared" ca="1" si="46"/>
      </c>
      <c r="N208" s="74">
        <f ca="1">VLOOKUP(B208,$C$7:$T206,13,FALSE)</f>
      </c>
      <c r="O208" s="74">
        <f t="shared" ca="1" si="47"/>
      </c>
      <c r="P208" s="74">
        <f t="shared" ca="1" si="48"/>
      </c>
      <c r="Q208" s="74">
        <f t="shared" ca="1" si="49"/>
      </c>
      <c r="R208" s="74">
        <f t="shared" si="50"/>
      </c>
      <c r="S208" s="74">
        <f t="shared" ca="1" si="51"/>
      </c>
      <c r="T208" s="74">
        <f t="shared" si="52"/>
      </c>
    </row>
    <row r="209" spans="2:20" x14ac:dyDescent="0.3">
      <c r="B209" s="74">
        <f t="shared" ca="1" si="42"/>
      </c>
      <c r="C209" s="78">
        <f>Кабельный_журнал!P175</f>
      </c>
      <c r="D209" s="74">
        <f t="shared" ca="1" si="43"/>
      </c>
      <c r="E209" s="80" t="s">
        <v>279</v>
      </c>
      <c r="F209" s="74">
        <f t="shared" ca="1" si="39"/>
      </c>
      <c r="G209" s="74">
        <f t="shared" si="40"/>
      </c>
      <c r="H209" s="80" t="s">
        <v>272</v>
      </c>
      <c r="I209" s="74">
        <f t="shared" si="41"/>
      </c>
      <c r="J209" s="74">
        <f t="shared" si="44"/>
      </c>
      <c r="K209" s="80" t="s">
        <v>280</v>
      </c>
      <c r="L209" s="74">
        <f t="shared" si="45"/>
      </c>
      <c r="M209" s="74">
        <f t="shared" ca="1" si="46"/>
      </c>
      <c r="N209" s="74">
        <f ca="1">VLOOKUP(B209,$C$7:$T207,13,FALSE)</f>
      </c>
      <c r="O209" s="74">
        <f t="shared" ca="1" si="47"/>
      </c>
      <c r="P209" s="74">
        <f t="shared" ca="1" si="48"/>
      </c>
      <c r="Q209" s="74">
        <f t="shared" ca="1" si="49"/>
      </c>
      <c r="R209" s="74">
        <f t="shared" si="50"/>
      </c>
      <c r="S209" s="74">
        <f t="shared" ca="1" si="51"/>
      </c>
      <c r="T209" s="74">
        <f t="shared" si="52"/>
      </c>
    </row>
    <row r="210" spans="2:20" x14ac:dyDescent="0.3">
      <c r="B210" s="74">
        <f t="shared" ca="1" si="42"/>
      </c>
      <c r="C210" s="78">
        <f>Кабельный_журнал!P176</f>
      </c>
      <c r="D210" s="74">
        <f t="shared" ca="1" si="43"/>
      </c>
      <c r="E210" s="80" t="s">
        <v>279</v>
      </c>
      <c r="F210" s="74">
        <f t="shared" ca="1" si="39"/>
      </c>
      <c r="G210" s="74">
        <f t="shared" si="40"/>
      </c>
      <c r="H210" s="80" t="s">
        <v>272</v>
      </c>
      <c r="I210" s="74">
        <f t="shared" si="41"/>
      </c>
      <c r="J210" s="74">
        <f t="shared" si="44"/>
      </c>
      <c r="K210" s="80" t="s">
        <v>280</v>
      </c>
      <c r="L210" s="74">
        <f t="shared" si="45"/>
      </c>
      <c r="M210" s="74">
        <f t="shared" ca="1" si="46"/>
      </c>
      <c r="N210" s="74">
        <f ca="1">VLOOKUP(B210,$C$7:$T208,13,FALSE)</f>
      </c>
      <c r="O210" s="74">
        <f t="shared" ca="1" si="47"/>
      </c>
      <c r="P210" s="74">
        <f t="shared" ca="1" si="48"/>
      </c>
      <c r="Q210" s="74">
        <f t="shared" ca="1" si="49"/>
      </c>
      <c r="R210" s="74">
        <f t="shared" si="50"/>
      </c>
      <c r="S210" s="74">
        <f t="shared" ca="1" si="51"/>
      </c>
      <c r="T210" s="74">
        <f t="shared" si="52"/>
      </c>
    </row>
    <row r="211" spans="2:20" x14ac:dyDescent="0.3">
      <c r="B211" s="74">
        <f t="shared" ca="1" si="42"/>
      </c>
      <c r="C211" s="78">
        <f>Кабельный_журнал!P177</f>
      </c>
      <c r="D211" s="74">
        <f t="shared" ca="1" si="43"/>
      </c>
      <c r="E211" s="80" t="s">
        <v>279</v>
      </c>
      <c r="F211" s="74">
        <f t="shared" ca="1" si="39"/>
      </c>
      <c r="G211" s="74">
        <f t="shared" si="40"/>
      </c>
      <c r="H211" s="80" t="s">
        <v>272</v>
      </c>
      <c r="I211" s="74">
        <f t="shared" si="41"/>
      </c>
      <c r="J211" s="74">
        <f t="shared" si="44"/>
      </c>
      <c r="K211" s="80" t="s">
        <v>280</v>
      </c>
      <c r="L211" s="74">
        <f t="shared" si="45"/>
      </c>
      <c r="M211" s="74">
        <f t="shared" ca="1" si="46"/>
      </c>
      <c r="N211" s="74">
        <f ca="1">VLOOKUP(B211,$C$7:$T209,13,FALSE)</f>
      </c>
      <c r="O211" s="74">
        <f t="shared" ca="1" si="47"/>
      </c>
      <c r="P211" s="74">
        <f t="shared" ca="1" si="48"/>
      </c>
      <c r="Q211" s="74">
        <f t="shared" ca="1" si="49"/>
      </c>
      <c r="R211" s="74">
        <f t="shared" si="50"/>
      </c>
      <c r="S211" s="74">
        <f t="shared" ca="1" si="51"/>
      </c>
      <c r="T211" s="74">
        <f t="shared" si="52"/>
      </c>
    </row>
    <row r="212" spans="2:20" x14ac:dyDescent="0.3">
      <c r="B212" s="74">
        <f t="shared" ca="1" si="42"/>
      </c>
      <c r="C212" s="78">
        <f>Кабельный_журнал!P178</f>
      </c>
      <c r="D212" s="74">
        <f t="shared" ca="1" si="43"/>
      </c>
      <c r="E212" s="80" t="s">
        <v>279</v>
      </c>
      <c r="F212" s="74">
        <f t="shared" ca="1" si="39"/>
      </c>
      <c r="G212" s="74">
        <f t="shared" si="40"/>
      </c>
      <c r="H212" s="80" t="s">
        <v>272</v>
      </c>
      <c r="I212" s="74">
        <f t="shared" si="41"/>
      </c>
      <c r="J212" s="74">
        <f t="shared" si="44"/>
      </c>
      <c r="K212" s="80" t="s">
        <v>280</v>
      </c>
      <c r="L212" s="74">
        <f t="shared" si="45"/>
      </c>
      <c r="M212" s="74">
        <f t="shared" ca="1" si="46"/>
      </c>
      <c r="N212" s="74">
        <f ca="1">VLOOKUP(B212,$C$7:$T210,13,FALSE)</f>
      </c>
      <c r="O212" s="74">
        <f t="shared" ca="1" si="47"/>
      </c>
      <c r="P212" s="74">
        <f t="shared" ca="1" si="48"/>
      </c>
      <c r="Q212" s="74">
        <f t="shared" ca="1" si="49"/>
      </c>
      <c r="R212" s="74">
        <f t="shared" si="50"/>
      </c>
      <c r="S212" s="74">
        <f t="shared" ca="1" si="51"/>
      </c>
      <c r="T212" s="74">
        <f t="shared" si="52"/>
      </c>
    </row>
    <row r="213" spans="2:20" x14ac:dyDescent="0.3">
      <c r="B213" s="74">
        <f t="shared" ca="1" si="42"/>
      </c>
      <c r="C213" s="78">
        <f>Кабельный_журнал!P179</f>
      </c>
      <c r="D213" s="74">
        <f t="shared" ca="1" si="43"/>
      </c>
      <c r="E213" s="80" t="s">
        <v>279</v>
      </c>
      <c r="F213" s="74">
        <f t="shared" ca="1" si="39"/>
      </c>
      <c r="G213" s="74">
        <f t="shared" si="40"/>
      </c>
      <c r="H213" s="80" t="s">
        <v>272</v>
      </c>
      <c r="I213" s="74">
        <f t="shared" si="41"/>
      </c>
      <c r="J213" s="74">
        <f t="shared" si="44"/>
      </c>
      <c r="K213" s="80" t="s">
        <v>280</v>
      </c>
      <c r="L213" s="74">
        <f t="shared" si="45"/>
      </c>
      <c r="M213" s="74">
        <f t="shared" ca="1" si="46"/>
      </c>
      <c r="N213" s="74">
        <f ca="1">VLOOKUP(B213,$C$7:$T211,13,FALSE)</f>
      </c>
      <c r="O213" s="74">
        <f t="shared" ca="1" si="47"/>
      </c>
      <c r="P213" s="74">
        <f t="shared" ca="1" si="48"/>
      </c>
      <c r="Q213" s="74">
        <f t="shared" ca="1" si="49"/>
      </c>
      <c r="R213" s="74">
        <f t="shared" si="50"/>
      </c>
      <c r="S213" s="74">
        <f t="shared" ca="1" si="51"/>
      </c>
      <c r="T213" s="74">
        <f t="shared" si="52"/>
      </c>
    </row>
    <row r="214" spans="2:20" x14ac:dyDescent="0.3">
      <c r="B214" s="74">
        <f t="shared" ca="1" si="42"/>
      </c>
      <c r="C214" s="78">
        <f>Кабельный_журнал!P180</f>
      </c>
      <c r="D214" s="74">
        <f t="shared" ca="1" si="43"/>
      </c>
      <c r="E214" s="80" t="s">
        <v>279</v>
      </c>
      <c r="F214" s="74">
        <f t="shared" ca="1" si="39"/>
      </c>
      <c r="G214" s="74">
        <f t="shared" si="40"/>
      </c>
      <c r="H214" s="80" t="s">
        <v>272</v>
      </c>
      <c r="I214" s="74">
        <f t="shared" si="41"/>
      </c>
      <c r="J214" s="74">
        <f t="shared" si="44"/>
      </c>
      <c r="K214" s="80" t="s">
        <v>280</v>
      </c>
      <c r="L214" s="74">
        <f t="shared" si="45"/>
      </c>
      <c r="M214" s="74">
        <f t="shared" ca="1" si="46"/>
      </c>
      <c r="N214" s="74">
        <f ca="1">VLOOKUP(B214,$C$7:$T212,13,FALSE)</f>
      </c>
      <c r="O214" s="74">
        <f t="shared" ca="1" si="47"/>
      </c>
      <c r="P214" s="74">
        <f t="shared" ca="1" si="48"/>
      </c>
      <c r="Q214" s="74">
        <f t="shared" ca="1" si="49"/>
      </c>
      <c r="R214" s="74">
        <f t="shared" si="50"/>
      </c>
      <c r="S214" s="74">
        <f t="shared" ca="1" si="51"/>
      </c>
      <c r="T214" s="74">
        <f t="shared" si="52"/>
      </c>
    </row>
    <row r="215" spans="2:20" x14ac:dyDescent="0.3">
      <c r="B215" s="74">
        <f t="shared" ca="1" si="42"/>
      </c>
      <c r="C215" s="78">
        <f>Кабельный_журнал!P181</f>
      </c>
      <c r="D215" s="74">
        <f t="shared" ca="1" si="43"/>
      </c>
      <c r="E215" s="80" t="s">
        <v>279</v>
      </c>
      <c r="F215" s="74">
        <f t="shared" ca="1" si="39"/>
      </c>
      <c r="G215" s="74">
        <f t="shared" si="40"/>
      </c>
      <c r="H215" s="80" t="s">
        <v>272</v>
      </c>
      <c r="I215" s="74">
        <f t="shared" si="41"/>
      </c>
      <c r="J215" s="74">
        <f t="shared" si="44"/>
      </c>
      <c r="K215" s="80" t="s">
        <v>280</v>
      </c>
      <c r="L215" s="74">
        <f t="shared" si="45"/>
      </c>
      <c r="M215" s="74">
        <f t="shared" ca="1" si="46"/>
      </c>
      <c r="N215" s="74">
        <f ca="1">VLOOKUP(B215,$C$7:$T213,13,FALSE)</f>
      </c>
      <c r="O215" s="74">
        <f t="shared" ca="1" si="47"/>
      </c>
      <c r="P215" s="74">
        <f t="shared" ca="1" si="48"/>
      </c>
      <c r="Q215" s="74">
        <f t="shared" ca="1" si="49"/>
      </c>
      <c r="R215" s="74">
        <f t="shared" si="50"/>
      </c>
      <c r="S215" s="74">
        <f t="shared" ca="1" si="51"/>
      </c>
      <c r="T215" s="74">
        <f t="shared" si="52"/>
      </c>
    </row>
    <row r="216" spans="2:20" x14ac:dyDescent="0.3">
      <c r="B216" s="74">
        <f t="shared" ca="1" si="42"/>
      </c>
      <c r="C216" s="78">
        <f>Кабельный_журнал!P182</f>
      </c>
      <c r="D216" s="74">
        <f t="shared" ca="1" si="43"/>
      </c>
      <c r="E216" s="80" t="s">
        <v>279</v>
      </c>
      <c r="F216" s="74">
        <f t="shared" ca="1" si="39"/>
      </c>
      <c r="G216" s="74">
        <f t="shared" si="40"/>
      </c>
      <c r="H216" s="80" t="s">
        <v>272</v>
      </c>
      <c r="I216" s="74">
        <f t="shared" si="41"/>
      </c>
      <c r="J216" s="74">
        <f t="shared" si="44"/>
      </c>
      <c r="K216" s="80" t="s">
        <v>280</v>
      </c>
      <c r="L216" s="74">
        <f t="shared" si="45"/>
      </c>
      <c r="M216" s="74">
        <f t="shared" ca="1" si="46"/>
      </c>
      <c r="N216" s="74">
        <f ca="1">VLOOKUP(B216,$C$7:$T214,13,FALSE)</f>
      </c>
      <c r="O216" s="74">
        <f t="shared" ca="1" si="47"/>
      </c>
      <c r="P216" s="74">
        <f t="shared" ca="1" si="48"/>
      </c>
      <c r="Q216" s="74">
        <f t="shared" ca="1" si="49"/>
      </c>
      <c r="R216" s="74">
        <f t="shared" si="50"/>
      </c>
      <c r="S216" s="74">
        <f t="shared" ca="1" si="51"/>
      </c>
      <c r="T216" s="74">
        <f t="shared" si="52"/>
      </c>
    </row>
    <row r="217" spans="2:20" x14ac:dyDescent="0.3">
      <c r="B217" s="74">
        <f t="shared" ca="1" si="42"/>
      </c>
      <c r="C217" s="78">
        <f>Кабельный_журнал!P183</f>
      </c>
      <c r="D217" s="74">
        <f t="shared" ca="1" si="43"/>
      </c>
      <c r="E217" s="80" t="s">
        <v>279</v>
      </c>
      <c r="F217" s="74">
        <f t="shared" ca="1" si="39"/>
      </c>
      <c r="G217" s="74">
        <f t="shared" si="40"/>
      </c>
      <c r="H217" s="80" t="s">
        <v>272</v>
      </c>
      <c r="I217" s="74">
        <f t="shared" si="41"/>
      </c>
      <c r="J217" s="74">
        <f t="shared" si="44"/>
      </c>
      <c r="K217" s="80" t="s">
        <v>280</v>
      </c>
      <c r="L217" s="74">
        <f t="shared" si="45"/>
      </c>
      <c r="M217" s="74">
        <f t="shared" ca="1" si="46"/>
      </c>
      <c r="N217" s="74">
        <f ca="1">VLOOKUP(B217,$C$7:$T215,13,FALSE)</f>
      </c>
      <c r="O217" s="74">
        <f t="shared" ca="1" si="47"/>
      </c>
      <c r="P217" s="74">
        <f t="shared" ca="1" si="48"/>
      </c>
      <c r="Q217" s="74">
        <f t="shared" ca="1" si="49"/>
      </c>
      <c r="R217" s="74">
        <f t="shared" si="50"/>
      </c>
      <c r="S217" s="74">
        <f t="shared" ca="1" si="51"/>
      </c>
      <c r="T217" s="74">
        <f t="shared" si="52"/>
      </c>
    </row>
    <row r="218" spans="2:20" x14ac:dyDescent="0.3">
      <c r="B218" s="74">
        <f t="shared" ca="1" si="42"/>
      </c>
      <c r="C218" s="78">
        <f>Кабельный_журнал!P184</f>
      </c>
      <c r="D218" s="74">
        <f t="shared" ca="1" si="43"/>
      </c>
      <c r="E218" s="80" t="s">
        <v>279</v>
      </c>
      <c r="F218" s="74">
        <f t="shared" ca="1" si="39"/>
      </c>
      <c r="G218" s="74">
        <f t="shared" si="40"/>
      </c>
      <c r="H218" s="80" t="s">
        <v>272</v>
      </c>
      <c r="I218" s="74">
        <f t="shared" si="41"/>
      </c>
      <c r="J218" s="74">
        <f t="shared" si="44"/>
      </c>
      <c r="K218" s="80" t="s">
        <v>280</v>
      </c>
      <c r="L218" s="74">
        <f t="shared" si="45"/>
      </c>
      <c r="M218" s="74">
        <f t="shared" ca="1" si="46"/>
      </c>
      <c r="N218" s="74">
        <f ca="1">VLOOKUP(B218,$C$7:$T216,13,FALSE)</f>
      </c>
      <c r="O218" s="74">
        <f t="shared" ca="1" si="47"/>
      </c>
      <c r="P218" s="74">
        <f t="shared" ca="1" si="48"/>
      </c>
      <c r="Q218" s="74">
        <f t="shared" ca="1" si="49"/>
      </c>
      <c r="R218" s="74">
        <f t="shared" si="50"/>
      </c>
      <c r="S218" s="74">
        <f t="shared" ca="1" si="51"/>
      </c>
      <c r="T218" s="74">
        <f t="shared" si="52"/>
      </c>
    </row>
    <row r="219" spans="2:20" x14ac:dyDescent="0.3">
      <c r="B219" s="74">
        <f t="shared" ca="1" si="42"/>
      </c>
      <c r="C219" s="78">
        <f>Кабельный_журнал!P185</f>
      </c>
      <c r="D219" s="74">
        <f t="shared" ca="1" si="43"/>
      </c>
      <c r="E219" s="80" t="s">
        <v>279</v>
      </c>
      <c r="F219" s="74">
        <f t="shared" ca="1" si="39"/>
      </c>
      <c r="G219" s="74">
        <f t="shared" si="40"/>
      </c>
      <c r="H219" s="80" t="s">
        <v>272</v>
      </c>
      <c r="I219" s="74">
        <f t="shared" si="41"/>
      </c>
      <c r="J219" s="74">
        <f t="shared" si="44"/>
      </c>
      <c r="K219" s="80" t="s">
        <v>280</v>
      </c>
      <c r="L219" s="74">
        <f t="shared" si="45"/>
      </c>
      <c r="M219" s="74">
        <f t="shared" ca="1" si="46"/>
      </c>
      <c r="N219" s="74">
        <f ca="1">VLOOKUP(B219,$C$7:$T217,13,FALSE)</f>
      </c>
      <c r="O219" s="74">
        <f t="shared" ca="1" si="47"/>
      </c>
      <c r="P219" s="74">
        <f t="shared" ca="1" si="48"/>
      </c>
      <c r="Q219" s="74">
        <f t="shared" ca="1" si="49"/>
      </c>
      <c r="R219" s="74">
        <f t="shared" si="50"/>
      </c>
      <c r="S219" s="74">
        <f t="shared" ca="1" si="51"/>
      </c>
      <c r="T219" s="74">
        <f t="shared" si="52"/>
      </c>
    </row>
    <row r="220" spans="2:20" x14ac:dyDescent="0.3">
      <c r="B220" s="74">
        <f t="shared" ca="1" si="42"/>
      </c>
      <c r="C220" s="78">
        <f>Кабельный_журнал!P186</f>
      </c>
      <c r="D220" s="74">
        <f t="shared" ca="1" si="43"/>
      </c>
      <c r="E220" s="80" t="s">
        <v>279</v>
      </c>
      <c r="F220" s="74">
        <f t="shared" ca="1" si="39"/>
      </c>
      <c r="G220" s="74">
        <f t="shared" si="40"/>
      </c>
      <c r="H220" s="80" t="s">
        <v>272</v>
      </c>
      <c r="I220" s="74">
        <f t="shared" si="41"/>
      </c>
      <c r="J220" s="74">
        <f t="shared" si="44"/>
      </c>
      <c r="K220" s="80" t="s">
        <v>280</v>
      </c>
      <c r="L220" s="74">
        <f t="shared" si="45"/>
      </c>
      <c r="M220" s="74">
        <f t="shared" ca="1" si="46"/>
      </c>
      <c r="N220" s="74">
        <f ca="1">VLOOKUP(B220,$C$7:$T218,13,FALSE)</f>
      </c>
      <c r="O220" s="74">
        <f t="shared" ca="1" si="47"/>
      </c>
      <c r="P220" s="74">
        <f t="shared" ca="1" si="48"/>
      </c>
      <c r="Q220" s="74">
        <f t="shared" ca="1" si="49"/>
      </c>
      <c r="R220" s="74">
        <f t="shared" si="50"/>
      </c>
      <c r="S220" s="74">
        <f t="shared" ca="1" si="51"/>
      </c>
      <c r="T220" s="74">
        <f t="shared" si="52"/>
      </c>
    </row>
    <row r="221" spans="2:20" x14ac:dyDescent="0.3">
      <c r="B221" s="74">
        <f t="shared" ca="1" si="42"/>
      </c>
      <c r="C221" s="78">
        <f>Кабельный_журнал!P187</f>
      </c>
      <c r="D221" s="74">
        <f t="shared" ca="1" si="43"/>
      </c>
      <c r="E221" s="80" t="s">
        <v>279</v>
      </c>
      <c r="F221" s="74">
        <f t="shared" ca="1" si="39"/>
      </c>
      <c r="G221" s="74">
        <f t="shared" si="40"/>
      </c>
      <c r="H221" s="80" t="s">
        <v>272</v>
      </c>
      <c r="I221" s="74">
        <f t="shared" si="41"/>
      </c>
      <c r="J221" s="74">
        <f t="shared" si="44"/>
      </c>
      <c r="K221" s="80" t="s">
        <v>280</v>
      </c>
      <c r="L221" s="74">
        <f t="shared" si="45"/>
      </c>
      <c r="M221" s="74">
        <f t="shared" ca="1" si="46"/>
      </c>
      <c r="N221" s="74">
        <f ca="1">VLOOKUP(B221,$C$7:$T219,13,FALSE)</f>
      </c>
      <c r="O221" s="74">
        <f t="shared" ca="1" si="47"/>
      </c>
      <c r="P221" s="74">
        <f t="shared" ca="1" si="48"/>
      </c>
      <c r="Q221" s="74">
        <f t="shared" ca="1" si="49"/>
      </c>
      <c r="R221" s="74">
        <f t="shared" si="50"/>
      </c>
      <c r="S221" s="74">
        <f t="shared" ca="1" si="51"/>
      </c>
      <c r="T221" s="74">
        <f t="shared" si="52"/>
      </c>
    </row>
    <row r="222" spans="2:20" x14ac:dyDescent="0.3">
      <c r="B222" s="74">
        <f t="shared" ca="1" si="42"/>
      </c>
      <c r="C222" s="78">
        <f>Кабельный_журнал!P188</f>
      </c>
      <c r="D222" s="74">
        <f t="shared" ca="1" si="43"/>
      </c>
      <c r="E222" s="80" t="s">
        <v>279</v>
      </c>
      <c r="F222" s="74">
        <f t="shared" ca="1" si="39"/>
      </c>
      <c r="G222" s="74">
        <f t="shared" si="40"/>
      </c>
      <c r="H222" s="80" t="s">
        <v>272</v>
      </c>
      <c r="I222" s="74">
        <f t="shared" si="41"/>
      </c>
      <c r="J222" s="74">
        <f t="shared" si="44"/>
      </c>
      <c r="K222" s="80" t="s">
        <v>280</v>
      </c>
      <c r="L222" s="74">
        <f t="shared" si="45"/>
      </c>
      <c r="M222" s="74">
        <f t="shared" ca="1" si="46"/>
      </c>
      <c r="N222" s="74">
        <f ca="1">VLOOKUP(B222,$C$7:$T220,13,FALSE)</f>
      </c>
      <c r="O222" s="74">
        <f t="shared" ca="1" si="47"/>
      </c>
      <c r="P222" s="74">
        <f t="shared" ca="1" si="48"/>
      </c>
      <c r="Q222" s="74">
        <f t="shared" ca="1" si="49"/>
      </c>
      <c r="R222" s="74">
        <f t="shared" si="50"/>
      </c>
      <c r="S222" s="74">
        <f t="shared" ca="1" si="51"/>
      </c>
      <c r="T222" s="74">
        <f t="shared" si="52"/>
      </c>
    </row>
    <row r="223" spans="2:20" x14ac:dyDescent="0.3">
      <c r="B223" s="74">
        <f t="shared" ca="1" si="42"/>
      </c>
      <c r="C223" s="78">
        <f>Кабельный_журнал!P189</f>
      </c>
      <c r="D223" s="74">
        <f t="shared" ca="1" si="43"/>
      </c>
      <c r="E223" s="80" t="s">
        <v>279</v>
      </c>
      <c r="F223" s="74">
        <f t="shared" ca="1" si="39"/>
      </c>
      <c r="G223" s="74">
        <f t="shared" si="40"/>
      </c>
      <c r="H223" s="80" t="s">
        <v>272</v>
      </c>
      <c r="I223" s="74">
        <f t="shared" si="41"/>
      </c>
      <c r="J223" s="74">
        <f t="shared" si="44"/>
      </c>
      <c r="K223" s="80" t="s">
        <v>280</v>
      </c>
      <c r="L223" s="74">
        <f t="shared" si="45"/>
      </c>
      <c r="M223" s="74">
        <f t="shared" ca="1" si="46"/>
      </c>
      <c r="N223" s="74">
        <f ca="1">VLOOKUP(B223,$C$7:$T221,13,FALSE)</f>
      </c>
      <c r="O223" s="74">
        <f t="shared" ca="1" si="47"/>
      </c>
      <c r="P223" s="74">
        <f t="shared" ca="1" si="48"/>
      </c>
      <c r="Q223" s="74">
        <f t="shared" ca="1" si="49"/>
      </c>
      <c r="R223" s="74">
        <f t="shared" si="50"/>
      </c>
      <c r="S223" s="74">
        <f t="shared" ca="1" si="51"/>
      </c>
      <c r="T223" s="74">
        <f t="shared" si="52"/>
      </c>
    </row>
    <row r="224" spans="2:20" x14ac:dyDescent="0.3">
      <c r="B224" s="74">
        <f t="shared" ca="1" si="42"/>
      </c>
      <c r="C224" s="78">
        <f>Кабельный_журнал!P190</f>
      </c>
      <c r="D224" s="74">
        <f t="shared" ca="1" si="43"/>
      </c>
      <c r="E224" s="80" t="s">
        <v>279</v>
      </c>
      <c r="F224" s="74">
        <f t="shared" ca="1" si="39"/>
      </c>
      <c r="G224" s="74">
        <f t="shared" si="40"/>
      </c>
      <c r="H224" s="80" t="s">
        <v>272</v>
      </c>
      <c r="I224" s="74">
        <f t="shared" si="41"/>
      </c>
      <c r="J224" s="74">
        <f t="shared" si="44"/>
      </c>
      <c r="K224" s="80" t="s">
        <v>280</v>
      </c>
      <c r="L224" s="74">
        <f t="shared" si="45"/>
      </c>
      <c r="M224" s="74">
        <f t="shared" ca="1" si="46"/>
      </c>
      <c r="N224" s="74">
        <f ca="1">VLOOKUP(B224,$C$7:$T222,13,FALSE)</f>
      </c>
      <c r="O224" s="74">
        <f t="shared" ca="1" si="47"/>
      </c>
      <c r="P224" s="74">
        <f t="shared" ca="1" si="48"/>
      </c>
      <c r="Q224" s="74">
        <f t="shared" ca="1" si="49"/>
      </c>
      <c r="R224" s="74">
        <f t="shared" si="50"/>
      </c>
      <c r="S224" s="74">
        <f t="shared" ca="1" si="51"/>
      </c>
      <c r="T224" s="74">
        <f t="shared" si="52"/>
      </c>
    </row>
    <row r="225" spans="2:20" x14ac:dyDescent="0.3">
      <c r="B225" s="74">
        <f t="shared" ca="1" si="42"/>
      </c>
      <c r="C225" s="78">
        <f>Кабельный_журнал!P191</f>
      </c>
      <c r="D225" s="74">
        <f t="shared" ca="1" si="43"/>
      </c>
      <c r="E225" s="80" t="s">
        <v>279</v>
      </c>
      <c r="F225" s="74">
        <f t="shared" ca="1" si="39"/>
      </c>
      <c r="G225" s="74">
        <f t="shared" si="40"/>
      </c>
      <c r="H225" s="80" t="s">
        <v>272</v>
      </c>
      <c r="I225" s="74">
        <f t="shared" si="41"/>
      </c>
      <c r="J225" s="74">
        <f t="shared" si="44"/>
      </c>
      <c r="K225" s="80" t="s">
        <v>280</v>
      </c>
      <c r="L225" s="74">
        <f t="shared" si="45"/>
      </c>
      <c r="M225" s="74">
        <f t="shared" ca="1" si="46"/>
      </c>
      <c r="N225" s="74">
        <f ca="1">VLOOKUP(B225,$C$7:$T223,13,FALSE)</f>
      </c>
      <c r="O225" s="74">
        <f t="shared" ca="1" si="47"/>
      </c>
      <c r="P225" s="74">
        <f t="shared" ca="1" si="48"/>
      </c>
      <c r="Q225" s="74">
        <f t="shared" ca="1" si="49"/>
      </c>
      <c r="R225" s="74">
        <f t="shared" si="50"/>
      </c>
      <c r="S225" s="74">
        <f t="shared" ca="1" si="51"/>
      </c>
      <c r="T225" s="74">
        <f t="shared" si="52"/>
      </c>
    </row>
    <row r="226" spans="2:20" x14ac:dyDescent="0.3">
      <c r="B226" s="74">
        <f t="shared" ca="1" si="42"/>
      </c>
      <c r="C226" s="78">
        <f>Кабельный_журнал!P192</f>
      </c>
      <c r="D226" s="74">
        <f t="shared" ca="1" si="43"/>
      </c>
      <c r="E226" s="80" t="s">
        <v>279</v>
      </c>
      <c r="F226" s="74">
        <f t="shared" ca="1" si="39"/>
      </c>
      <c r="G226" s="74">
        <f t="shared" si="40"/>
      </c>
      <c r="H226" s="80" t="s">
        <v>272</v>
      </c>
      <c r="I226" s="74">
        <f t="shared" si="41"/>
      </c>
      <c r="J226" s="74">
        <f t="shared" si="44"/>
      </c>
      <c r="K226" s="80" t="s">
        <v>280</v>
      </c>
      <c r="L226" s="74">
        <f t="shared" si="45"/>
      </c>
      <c r="M226" s="74">
        <f t="shared" ca="1" si="46"/>
      </c>
      <c r="N226" s="74">
        <f ca="1">VLOOKUP(B226,$C$7:$T224,13,FALSE)</f>
      </c>
      <c r="O226" s="74">
        <f t="shared" ca="1" si="47"/>
      </c>
      <c r="P226" s="74">
        <f t="shared" ca="1" si="48"/>
      </c>
      <c r="Q226" s="74">
        <f t="shared" ca="1" si="49"/>
      </c>
      <c r="R226" s="74">
        <f t="shared" si="50"/>
      </c>
      <c r="S226" s="74">
        <f t="shared" ca="1" si="51"/>
      </c>
      <c r="T226" s="74">
        <f t="shared" si="52"/>
      </c>
    </row>
    <row r="227" spans="2:20" x14ac:dyDescent="0.3">
      <c r="B227" s="74">
        <f t="shared" ca="1" si="42"/>
      </c>
      <c r="C227" s="78">
        <f>Кабельный_журнал!P193</f>
      </c>
      <c r="D227" s="74">
        <f t="shared" ca="1" si="43"/>
      </c>
      <c r="E227" s="80" t="s">
        <v>279</v>
      </c>
      <c r="F227" s="74">
        <f t="shared" ca="1" si="39"/>
      </c>
      <c r="G227" s="74">
        <f t="shared" si="40"/>
      </c>
      <c r="H227" s="80" t="s">
        <v>272</v>
      </c>
      <c r="I227" s="74">
        <f t="shared" si="41"/>
      </c>
      <c r="J227" s="74">
        <f t="shared" si="44"/>
      </c>
      <c r="K227" s="80" t="s">
        <v>280</v>
      </c>
      <c r="L227" s="74">
        <f t="shared" si="45"/>
      </c>
      <c r="M227" s="74">
        <f t="shared" ca="1" si="46"/>
      </c>
      <c r="N227" s="74">
        <f ca="1">VLOOKUP(B227,$C$7:$T225,13,FALSE)</f>
      </c>
      <c r="O227" s="74">
        <f t="shared" ca="1" si="47"/>
      </c>
      <c r="P227" s="74">
        <f t="shared" ca="1" si="48"/>
      </c>
      <c r="Q227" s="74">
        <f t="shared" ca="1" si="49"/>
      </c>
      <c r="R227" s="74">
        <f t="shared" si="50"/>
      </c>
      <c r="S227" s="74">
        <f t="shared" ca="1" si="51"/>
      </c>
      <c r="T227" s="74">
        <f t="shared" si="52"/>
      </c>
    </row>
    <row r="228" spans="2:20" x14ac:dyDescent="0.3">
      <c r="B228" s="74">
        <f t="shared" ca="1" si="42"/>
      </c>
      <c r="C228" s="78">
        <f>Кабельный_журнал!P194</f>
      </c>
      <c r="D228" s="74">
        <f t="shared" ca="1" si="43"/>
      </c>
      <c r="E228" s="80" t="s">
        <v>279</v>
      </c>
      <c r="F228" s="74">
        <f t="shared" ca="1" si="39"/>
      </c>
      <c r="G228" s="74">
        <f t="shared" si="40"/>
      </c>
      <c r="H228" s="80" t="s">
        <v>272</v>
      </c>
      <c r="I228" s="74">
        <f t="shared" si="41"/>
      </c>
      <c r="J228" s="74">
        <f t="shared" si="44"/>
      </c>
      <c r="K228" s="80" t="s">
        <v>280</v>
      </c>
      <c r="L228" s="74">
        <f t="shared" si="45"/>
      </c>
      <c r="M228" s="74">
        <f t="shared" ca="1" si="46"/>
      </c>
      <c r="N228" s="74">
        <f ca="1">VLOOKUP(B228,$C$7:$T226,13,FALSE)</f>
      </c>
      <c r="O228" s="74">
        <f t="shared" ca="1" si="47"/>
      </c>
      <c r="P228" s="74">
        <f t="shared" ca="1" si="48"/>
      </c>
      <c r="Q228" s="74">
        <f t="shared" ca="1" si="49"/>
      </c>
      <c r="R228" s="74">
        <f t="shared" si="50"/>
      </c>
      <c r="S228" s="74">
        <f t="shared" ca="1" si="51"/>
      </c>
      <c r="T228" s="74">
        <f t="shared" si="52"/>
      </c>
    </row>
    <row r="229" spans="2:20" x14ac:dyDescent="0.3">
      <c r="B229" s="74">
        <f t="shared" ca="1" si="42"/>
      </c>
      <c r="C229" s="78">
        <f>Кабельный_журнал!P195</f>
      </c>
      <c r="D229" s="74">
        <f t="shared" ca="1" si="43"/>
      </c>
      <c r="E229" s="80" t="s">
        <v>279</v>
      </c>
      <c r="F229" s="74">
        <f t="shared" ca="1" si="39"/>
      </c>
      <c r="G229" s="74">
        <f t="shared" si="40"/>
      </c>
      <c r="H229" s="80" t="s">
        <v>272</v>
      </c>
      <c r="I229" s="74">
        <f t="shared" si="41"/>
      </c>
      <c r="J229" s="74">
        <f t="shared" si="44"/>
      </c>
      <c r="K229" s="80" t="s">
        <v>280</v>
      </c>
      <c r="L229" s="74">
        <f t="shared" si="45"/>
      </c>
      <c r="M229" s="74">
        <f t="shared" ca="1" si="46"/>
      </c>
      <c r="N229" s="74">
        <f ca="1">VLOOKUP(B229,$C$7:$T227,13,FALSE)</f>
      </c>
      <c r="O229" s="74">
        <f t="shared" ca="1" si="47"/>
      </c>
      <c r="P229" s="74">
        <f t="shared" ca="1" si="48"/>
      </c>
      <c r="Q229" s="74">
        <f t="shared" ca="1" si="49"/>
      </c>
      <c r="R229" s="74">
        <f t="shared" si="50"/>
      </c>
      <c r="S229" s="74">
        <f t="shared" ca="1" si="51"/>
      </c>
      <c r="T229" s="74">
        <f t="shared" si="52"/>
      </c>
    </row>
    <row r="230" spans="2:20" x14ac:dyDescent="0.3">
      <c r="B230" s="74">
        <f t="shared" ca="1" si="42"/>
      </c>
      <c r="C230" s="78">
        <f>Кабельный_журнал!P196</f>
      </c>
      <c r="D230" s="74">
        <f t="shared" ca="1" si="43"/>
      </c>
      <c r="E230" s="80" t="s">
        <v>279</v>
      </c>
      <c r="F230" s="74">
        <f t="shared" ca="1" si="39"/>
      </c>
      <c r="G230" s="74">
        <f t="shared" si="40"/>
      </c>
      <c r="H230" s="80" t="s">
        <v>272</v>
      </c>
      <c r="I230" s="74">
        <f t="shared" si="41"/>
      </c>
      <c r="J230" s="74">
        <f t="shared" si="44"/>
      </c>
      <c r="K230" s="80" t="s">
        <v>280</v>
      </c>
      <c r="L230" s="74">
        <f t="shared" si="45"/>
      </c>
      <c r="M230" s="74">
        <f t="shared" ca="1" si="46"/>
      </c>
      <c r="N230" s="74">
        <f ca="1">VLOOKUP(B230,$C$7:$T228,13,FALSE)</f>
      </c>
      <c r="O230" s="74">
        <f t="shared" ca="1" si="47"/>
      </c>
      <c r="P230" s="74">
        <f t="shared" ca="1" si="48"/>
      </c>
      <c r="Q230" s="74">
        <f t="shared" ca="1" si="49"/>
      </c>
      <c r="R230" s="74">
        <f t="shared" si="50"/>
      </c>
      <c r="S230" s="74">
        <f t="shared" ca="1" si="51"/>
      </c>
      <c r="T230" s="74">
        <f t="shared" si="52"/>
      </c>
    </row>
    <row r="231" spans="2:20" x14ac:dyDescent="0.3">
      <c r="B231" s="74">
        <f t="shared" ca="1" si="42"/>
      </c>
      <c r="C231" s="78">
        <f>Кабельный_журнал!P197</f>
      </c>
      <c r="D231" s="74">
        <f t="shared" ca="1" si="43"/>
      </c>
      <c r="E231" s="80" t="s">
        <v>279</v>
      </c>
      <c r="F231" s="74">
        <f t="shared" ref="F231:F294" ca="1" si="53">VLOOKUP(C231,Кабельный_журнал,8,FALSE)</f>
      </c>
      <c r="G231" s="74">
        <f t="shared" ref="G231:G294" si="54">VLOOKUP(C231,Исходные_данные,21,FALSE)</f>
      </c>
      <c r="H231" s="80" t="s">
        <v>272</v>
      </c>
      <c r="I231" s="74">
        <f t="shared" ref="I231:I294" si="55">VLOOKUP(C231,Исходные_данные,22,FALSE)</f>
      </c>
      <c r="J231" s="74">
        <f t="shared" si="44"/>
      </c>
      <c r="K231" s="80" t="s">
        <v>280</v>
      </c>
      <c r="L231" s="74">
        <f t="shared" si="45"/>
      </c>
      <c r="M231" s="74">
        <f t="shared" ca="1" si="46"/>
      </c>
      <c r="N231" s="74">
        <f ca="1">VLOOKUP(B231,$C$7:$T229,13,FALSE)</f>
      </c>
      <c r="O231" s="74">
        <f t="shared" ca="1" si="47"/>
      </c>
      <c r="P231" s="74">
        <f t="shared" ca="1" si="48"/>
      </c>
      <c r="Q231" s="74">
        <f t="shared" ca="1" si="49"/>
      </c>
      <c r="R231" s="74">
        <f t="shared" si="50"/>
      </c>
      <c r="S231" s="74">
        <f t="shared" ca="1" si="51"/>
      </c>
      <c r="T231" s="74">
        <f t="shared" si="52"/>
      </c>
    </row>
    <row r="232" spans="2:20" x14ac:dyDescent="0.3">
      <c r="B232" s="74">
        <f t="shared" ref="B232:B295" ca="1" si="56">VLOOKUP(C232,Кабельный_журнал,2,FALSE)</f>
      </c>
      <c r="C232" s="78">
        <f>Кабельный_журнал!P198</f>
      </c>
      <c r="D232" s="74">
        <f t="shared" ref="D232:D295" ca="1" si="57">B232&amp;"-"&amp;C232</f>
      </c>
      <c r="E232" s="80" t="s">
        <v>279</v>
      </c>
      <c r="F232" s="74">
        <f t="shared" ca="1" si="53"/>
      </c>
      <c r="G232" s="74">
        <f t="shared" si="54"/>
      </c>
      <c r="H232" s="80" t="s">
        <v>272</v>
      </c>
      <c r="I232" s="74">
        <f t="shared" si="55"/>
      </c>
      <c r="J232" s="74">
        <f t="shared" ref="J232:J295" si="58">I232</f>
      </c>
      <c r="K232" s="80" t="s">
        <v>280</v>
      </c>
      <c r="L232" s="74">
        <f t="shared" ref="L232:L295" si="59">VLOOKUP(K232,$K$2:$L$3,2,FALSE)</f>
      </c>
      <c r="M232" s="74">
        <f t="shared" ref="M232:M295" ca="1" si="60">L232*F232*(1/I232+1/J232)</f>
      </c>
      <c r="N232" s="74">
        <f ca="1">VLOOKUP(B232,$C$7:$T230,13,FALSE)</f>
      </c>
      <c r="O232" s="74">
        <f t="shared" ref="O232:O295" ca="1" si="61">L232+M232</f>
      </c>
      <c r="P232" s="74">
        <f t="shared" ref="P232:P295" ca="1" si="62">220/O232</f>
      </c>
      <c r="Q232" s="74">
        <f t="shared" ref="Q232:Q295" ca="1" si="63">O232/G232</f>
      </c>
      <c r="R232" s="74">
        <f t="shared" ref="R232:R295" si="64">VLOOKUP(H232,$W$2:$Y$12,3,FALSE)</f>
      </c>
      <c r="S232" s="74">
        <f t="shared" ref="S232:S295" ca="1" si="65">_xlfn.IFS(E232="щит",IF(P232&gt;R232,"Увел сеч",IF(T232&gt;P232,"Увел сеч","tср&lt;5с")),E232="потреб",IF(P232&gt;R232,"Увел сеч",IF(T232&gt;P232,"Увел сеч","tср&lt;0.4с")))</f>
      </c>
      <c r="T232" s="74">
        <f t="shared" ref="T232:T295" si="66">G232*VLOOKUP(H232,$W$2:$Y$12,2,FALSE)</f>
      </c>
    </row>
    <row r="233" spans="2:20" x14ac:dyDescent="0.3">
      <c r="B233" s="74">
        <f t="shared" ca="1" si="56"/>
      </c>
      <c r="C233" s="78">
        <f>Кабельный_журнал!P199</f>
      </c>
      <c r="D233" s="74">
        <f t="shared" ca="1" si="57"/>
      </c>
      <c r="E233" s="80" t="s">
        <v>279</v>
      </c>
      <c r="F233" s="74">
        <f t="shared" ca="1" si="53"/>
      </c>
      <c r="G233" s="74">
        <f t="shared" si="54"/>
      </c>
      <c r="H233" s="80" t="s">
        <v>272</v>
      </c>
      <c r="I233" s="74">
        <f t="shared" si="55"/>
      </c>
      <c r="J233" s="74">
        <f t="shared" si="58"/>
      </c>
      <c r="K233" s="80" t="s">
        <v>280</v>
      </c>
      <c r="L233" s="74">
        <f t="shared" si="59"/>
      </c>
      <c r="M233" s="74">
        <f t="shared" ca="1" si="60"/>
      </c>
      <c r="N233" s="74">
        <f ca="1">VLOOKUP(B233,$C$7:$T231,13,FALSE)</f>
      </c>
      <c r="O233" s="74">
        <f t="shared" ca="1" si="61"/>
      </c>
      <c r="P233" s="74">
        <f t="shared" ca="1" si="62"/>
      </c>
      <c r="Q233" s="74">
        <f t="shared" ca="1" si="63"/>
      </c>
      <c r="R233" s="74">
        <f t="shared" si="64"/>
      </c>
      <c r="S233" s="74">
        <f t="shared" ca="1" si="65"/>
      </c>
      <c r="T233" s="74">
        <f t="shared" si="66"/>
      </c>
    </row>
    <row r="234" spans="2:20" x14ac:dyDescent="0.3">
      <c r="B234" s="74">
        <f t="shared" ca="1" si="56"/>
      </c>
      <c r="C234" s="78">
        <f>Кабельный_журнал!P200</f>
      </c>
      <c r="D234" s="74">
        <f t="shared" ca="1" si="57"/>
      </c>
      <c r="E234" s="80" t="s">
        <v>279</v>
      </c>
      <c r="F234" s="74">
        <f t="shared" ca="1" si="53"/>
      </c>
      <c r="G234" s="74">
        <f t="shared" si="54"/>
      </c>
      <c r="H234" s="80" t="s">
        <v>272</v>
      </c>
      <c r="I234" s="74">
        <f t="shared" si="55"/>
      </c>
      <c r="J234" s="74">
        <f t="shared" si="58"/>
      </c>
      <c r="K234" s="80" t="s">
        <v>280</v>
      </c>
      <c r="L234" s="74">
        <f t="shared" si="59"/>
      </c>
      <c r="M234" s="74">
        <f t="shared" ca="1" si="60"/>
      </c>
      <c r="N234" s="74">
        <f ca="1">VLOOKUP(B234,$C$7:$T232,13,FALSE)</f>
      </c>
      <c r="O234" s="74">
        <f t="shared" ca="1" si="61"/>
      </c>
      <c r="P234" s="74">
        <f t="shared" ca="1" si="62"/>
      </c>
      <c r="Q234" s="74">
        <f t="shared" ca="1" si="63"/>
      </c>
      <c r="R234" s="74">
        <f t="shared" si="64"/>
      </c>
      <c r="S234" s="74">
        <f t="shared" ca="1" si="65"/>
      </c>
      <c r="T234" s="74">
        <f t="shared" si="66"/>
      </c>
    </row>
    <row r="235" spans="2:20" x14ac:dyDescent="0.3">
      <c r="B235" s="74">
        <f t="shared" ca="1" si="56"/>
      </c>
      <c r="C235" s="78">
        <f>Кабельный_журнал!P201</f>
      </c>
      <c r="D235" s="74">
        <f t="shared" ca="1" si="57"/>
      </c>
      <c r="E235" s="80" t="s">
        <v>279</v>
      </c>
      <c r="F235" s="74">
        <f t="shared" ca="1" si="53"/>
      </c>
      <c r="G235" s="74">
        <f t="shared" si="54"/>
      </c>
      <c r="H235" s="80" t="s">
        <v>272</v>
      </c>
      <c r="I235" s="74">
        <f t="shared" si="55"/>
      </c>
      <c r="J235" s="74">
        <f t="shared" si="58"/>
      </c>
      <c r="K235" s="80" t="s">
        <v>280</v>
      </c>
      <c r="L235" s="74">
        <f t="shared" si="59"/>
      </c>
      <c r="M235" s="74">
        <f t="shared" ca="1" si="60"/>
      </c>
      <c r="N235" s="74">
        <f ca="1">VLOOKUP(B235,$C$7:$T233,13,FALSE)</f>
      </c>
      <c r="O235" s="74">
        <f t="shared" ca="1" si="61"/>
      </c>
      <c r="P235" s="74">
        <f t="shared" ca="1" si="62"/>
      </c>
      <c r="Q235" s="74">
        <f t="shared" ca="1" si="63"/>
      </c>
      <c r="R235" s="74">
        <f t="shared" si="64"/>
      </c>
      <c r="S235" s="74">
        <f t="shared" ca="1" si="65"/>
      </c>
      <c r="T235" s="74">
        <f t="shared" si="66"/>
      </c>
    </row>
    <row r="236" spans="2:20" x14ac:dyDescent="0.3">
      <c r="B236" s="74">
        <f t="shared" ca="1" si="56"/>
      </c>
      <c r="C236" s="78">
        <f>Кабельный_журнал!P202</f>
      </c>
      <c r="D236" s="74">
        <f t="shared" ca="1" si="57"/>
      </c>
      <c r="E236" s="80" t="s">
        <v>279</v>
      </c>
      <c r="F236" s="74">
        <f t="shared" ca="1" si="53"/>
      </c>
      <c r="G236" s="74">
        <f t="shared" si="54"/>
      </c>
      <c r="H236" s="80" t="s">
        <v>272</v>
      </c>
      <c r="I236" s="74">
        <f t="shared" si="55"/>
      </c>
      <c r="J236" s="74">
        <f t="shared" si="58"/>
      </c>
      <c r="K236" s="80" t="s">
        <v>280</v>
      </c>
      <c r="L236" s="74">
        <f t="shared" si="59"/>
      </c>
      <c r="M236" s="74">
        <f t="shared" ca="1" si="60"/>
      </c>
      <c r="N236" s="74">
        <f ca="1">VLOOKUP(B236,$C$7:$T234,13,FALSE)</f>
      </c>
      <c r="O236" s="74">
        <f t="shared" ca="1" si="61"/>
      </c>
      <c r="P236" s="74">
        <f t="shared" ca="1" si="62"/>
      </c>
      <c r="Q236" s="74">
        <f t="shared" ca="1" si="63"/>
      </c>
      <c r="R236" s="74">
        <f t="shared" si="64"/>
      </c>
      <c r="S236" s="74">
        <f t="shared" ca="1" si="65"/>
      </c>
      <c r="T236" s="74">
        <f t="shared" si="66"/>
      </c>
    </row>
    <row r="237" spans="2:20" x14ac:dyDescent="0.3">
      <c r="B237" s="74">
        <f t="shared" ca="1" si="56"/>
      </c>
      <c r="C237" s="78">
        <f>Кабельный_журнал!P203</f>
      </c>
      <c r="D237" s="74">
        <f t="shared" ca="1" si="57"/>
      </c>
      <c r="E237" s="80" t="s">
        <v>279</v>
      </c>
      <c r="F237" s="74">
        <f t="shared" ca="1" si="53"/>
      </c>
      <c r="G237" s="74">
        <f t="shared" si="54"/>
      </c>
      <c r="H237" s="80" t="s">
        <v>272</v>
      </c>
      <c r="I237" s="74">
        <f t="shared" si="55"/>
      </c>
      <c r="J237" s="74">
        <f t="shared" si="58"/>
      </c>
      <c r="K237" s="80" t="s">
        <v>280</v>
      </c>
      <c r="L237" s="74">
        <f t="shared" si="59"/>
      </c>
      <c r="M237" s="74">
        <f t="shared" ca="1" si="60"/>
      </c>
      <c r="N237" s="74">
        <f ca="1">VLOOKUP(B237,$C$7:$T235,13,FALSE)</f>
      </c>
      <c r="O237" s="74">
        <f t="shared" ca="1" si="61"/>
      </c>
      <c r="P237" s="74">
        <f t="shared" ca="1" si="62"/>
      </c>
      <c r="Q237" s="74">
        <f t="shared" ca="1" si="63"/>
      </c>
      <c r="R237" s="74">
        <f t="shared" si="64"/>
      </c>
      <c r="S237" s="74">
        <f t="shared" ca="1" si="65"/>
      </c>
      <c r="T237" s="74">
        <f t="shared" si="66"/>
      </c>
    </row>
    <row r="238" spans="2:20" x14ac:dyDescent="0.3">
      <c r="B238" s="74">
        <f t="shared" ca="1" si="56"/>
      </c>
      <c r="C238" s="78">
        <f>Кабельный_журнал!P204</f>
      </c>
      <c r="D238" s="74">
        <f t="shared" ca="1" si="57"/>
      </c>
      <c r="E238" s="80" t="s">
        <v>279</v>
      </c>
      <c r="F238" s="74">
        <f t="shared" ca="1" si="53"/>
      </c>
      <c r="G238" s="74">
        <f t="shared" si="54"/>
      </c>
      <c r="H238" s="80" t="s">
        <v>272</v>
      </c>
      <c r="I238" s="74">
        <f t="shared" si="55"/>
      </c>
      <c r="J238" s="74">
        <f t="shared" si="58"/>
      </c>
      <c r="K238" s="80" t="s">
        <v>280</v>
      </c>
      <c r="L238" s="74">
        <f t="shared" si="59"/>
      </c>
      <c r="M238" s="74">
        <f t="shared" ca="1" si="60"/>
      </c>
      <c r="N238" s="74">
        <f ca="1">VLOOKUP(B238,$C$7:$T236,13,FALSE)</f>
      </c>
      <c r="O238" s="74">
        <f t="shared" ca="1" si="61"/>
      </c>
      <c r="P238" s="74">
        <f t="shared" ca="1" si="62"/>
      </c>
      <c r="Q238" s="74">
        <f t="shared" ca="1" si="63"/>
      </c>
      <c r="R238" s="74">
        <f t="shared" si="64"/>
      </c>
      <c r="S238" s="74">
        <f t="shared" ca="1" si="65"/>
      </c>
      <c r="T238" s="74">
        <f t="shared" si="66"/>
      </c>
    </row>
    <row r="239" spans="2:20" x14ac:dyDescent="0.3">
      <c r="B239" s="74">
        <f t="shared" ca="1" si="56"/>
      </c>
      <c r="C239" s="78">
        <f>Кабельный_журнал!P205</f>
      </c>
      <c r="D239" s="74">
        <f t="shared" ca="1" si="57"/>
      </c>
      <c r="E239" s="80" t="s">
        <v>279</v>
      </c>
      <c r="F239" s="74">
        <f t="shared" ca="1" si="53"/>
      </c>
      <c r="G239" s="74">
        <f t="shared" si="54"/>
      </c>
      <c r="H239" s="80" t="s">
        <v>272</v>
      </c>
      <c r="I239" s="74">
        <f t="shared" si="55"/>
      </c>
      <c r="J239" s="74">
        <f t="shared" si="58"/>
      </c>
      <c r="K239" s="80" t="s">
        <v>280</v>
      </c>
      <c r="L239" s="74">
        <f t="shared" si="59"/>
      </c>
      <c r="M239" s="74">
        <f t="shared" ca="1" si="60"/>
      </c>
      <c r="N239" s="74">
        <f ca="1">VLOOKUP(B239,$C$7:$T237,13,FALSE)</f>
      </c>
      <c r="O239" s="74">
        <f t="shared" ca="1" si="61"/>
      </c>
      <c r="P239" s="74">
        <f t="shared" ca="1" si="62"/>
      </c>
      <c r="Q239" s="74">
        <f t="shared" ca="1" si="63"/>
      </c>
      <c r="R239" s="74">
        <f t="shared" si="64"/>
      </c>
      <c r="S239" s="74">
        <f t="shared" ca="1" si="65"/>
      </c>
      <c r="T239" s="74">
        <f t="shared" si="66"/>
      </c>
    </row>
    <row r="240" spans="2:20" x14ac:dyDescent="0.3">
      <c r="B240" s="74">
        <f t="shared" ca="1" si="56"/>
      </c>
      <c r="C240" s="78">
        <f>Кабельный_журнал!P206</f>
      </c>
      <c r="D240" s="74">
        <f t="shared" ca="1" si="57"/>
      </c>
      <c r="E240" s="80" t="s">
        <v>279</v>
      </c>
      <c r="F240" s="74">
        <f t="shared" ca="1" si="53"/>
      </c>
      <c r="G240" s="74">
        <f t="shared" si="54"/>
      </c>
      <c r="H240" s="80" t="s">
        <v>272</v>
      </c>
      <c r="I240" s="74">
        <f t="shared" si="55"/>
      </c>
      <c r="J240" s="74">
        <f t="shared" si="58"/>
      </c>
      <c r="K240" s="80" t="s">
        <v>280</v>
      </c>
      <c r="L240" s="74">
        <f t="shared" si="59"/>
      </c>
      <c r="M240" s="74">
        <f t="shared" ca="1" si="60"/>
      </c>
      <c r="N240" s="74">
        <f ca="1">VLOOKUP(B240,$C$7:$T238,13,FALSE)</f>
      </c>
      <c r="O240" s="74">
        <f t="shared" ca="1" si="61"/>
      </c>
      <c r="P240" s="74">
        <f t="shared" ca="1" si="62"/>
      </c>
      <c r="Q240" s="74">
        <f t="shared" ca="1" si="63"/>
      </c>
      <c r="R240" s="74">
        <f t="shared" si="64"/>
      </c>
      <c r="S240" s="74">
        <f t="shared" ca="1" si="65"/>
      </c>
      <c r="T240" s="74">
        <f t="shared" si="66"/>
      </c>
    </row>
    <row r="241" spans="2:20" x14ac:dyDescent="0.3">
      <c r="B241" s="74">
        <f t="shared" ca="1" si="56"/>
      </c>
      <c r="C241" s="78">
        <f>Кабельный_журнал!P207</f>
      </c>
      <c r="D241" s="74">
        <f t="shared" ca="1" si="57"/>
      </c>
      <c r="E241" s="80" t="s">
        <v>279</v>
      </c>
      <c r="F241" s="74">
        <f t="shared" ca="1" si="53"/>
      </c>
      <c r="G241" s="74">
        <f t="shared" si="54"/>
      </c>
      <c r="H241" s="80" t="s">
        <v>272</v>
      </c>
      <c r="I241" s="74">
        <f t="shared" si="55"/>
      </c>
      <c r="J241" s="74">
        <f t="shared" si="58"/>
      </c>
      <c r="K241" s="80" t="s">
        <v>280</v>
      </c>
      <c r="L241" s="74">
        <f t="shared" si="59"/>
      </c>
      <c r="M241" s="74">
        <f t="shared" ca="1" si="60"/>
      </c>
      <c r="N241" s="74">
        <f ca="1">VLOOKUP(B241,$C$7:$T239,13,FALSE)</f>
      </c>
      <c r="O241" s="74">
        <f t="shared" ca="1" si="61"/>
      </c>
      <c r="P241" s="74">
        <f t="shared" ca="1" si="62"/>
      </c>
      <c r="Q241" s="74">
        <f t="shared" ca="1" si="63"/>
      </c>
      <c r="R241" s="74">
        <f t="shared" si="64"/>
      </c>
      <c r="S241" s="74">
        <f t="shared" ca="1" si="65"/>
      </c>
      <c r="T241" s="74">
        <f t="shared" si="66"/>
      </c>
    </row>
    <row r="242" spans="2:20" x14ac:dyDescent="0.3">
      <c r="B242" s="74">
        <f t="shared" ca="1" si="56"/>
      </c>
      <c r="C242" s="78">
        <f>Кабельный_журнал!P208</f>
      </c>
      <c r="D242" s="74">
        <f t="shared" ca="1" si="57"/>
      </c>
      <c r="E242" s="80" t="s">
        <v>279</v>
      </c>
      <c r="F242" s="74">
        <f t="shared" ca="1" si="53"/>
      </c>
      <c r="G242" s="74">
        <f t="shared" si="54"/>
      </c>
      <c r="H242" s="80" t="s">
        <v>272</v>
      </c>
      <c r="I242" s="74">
        <f t="shared" si="55"/>
      </c>
      <c r="J242" s="74">
        <f t="shared" si="58"/>
      </c>
      <c r="K242" s="80" t="s">
        <v>280</v>
      </c>
      <c r="L242" s="74">
        <f t="shared" si="59"/>
      </c>
      <c r="M242" s="74">
        <f t="shared" ca="1" si="60"/>
      </c>
      <c r="N242" s="74">
        <f ca="1">VLOOKUP(B242,$C$7:$T240,13,FALSE)</f>
      </c>
      <c r="O242" s="74">
        <f t="shared" ca="1" si="61"/>
      </c>
      <c r="P242" s="74">
        <f t="shared" ca="1" si="62"/>
      </c>
      <c r="Q242" s="74">
        <f t="shared" ca="1" si="63"/>
      </c>
      <c r="R242" s="74">
        <f t="shared" si="64"/>
      </c>
      <c r="S242" s="74">
        <f t="shared" ca="1" si="65"/>
      </c>
      <c r="T242" s="74">
        <f t="shared" si="66"/>
      </c>
    </row>
    <row r="243" spans="2:20" x14ac:dyDescent="0.3">
      <c r="B243" s="74">
        <f t="shared" ca="1" si="56"/>
      </c>
      <c r="C243" s="78">
        <f>Кабельный_журнал!P209</f>
      </c>
      <c r="D243" s="74">
        <f t="shared" ca="1" si="57"/>
      </c>
      <c r="E243" s="80" t="s">
        <v>279</v>
      </c>
      <c r="F243" s="74">
        <f t="shared" ca="1" si="53"/>
      </c>
      <c r="G243" s="74">
        <f t="shared" si="54"/>
      </c>
      <c r="H243" s="80" t="s">
        <v>272</v>
      </c>
      <c r="I243" s="74">
        <f t="shared" si="55"/>
      </c>
      <c r="J243" s="74">
        <f t="shared" si="58"/>
      </c>
      <c r="K243" s="80" t="s">
        <v>280</v>
      </c>
      <c r="L243" s="74">
        <f t="shared" si="59"/>
      </c>
      <c r="M243" s="74">
        <f t="shared" ca="1" si="60"/>
      </c>
      <c r="N243" s="74">
        <f ca="1">VLOOKUP(B243,$C$7:$T241,13,FALSE)</f>
      </c>
      <c r="O243" s="74">
        <f t="shared" ca="1" si="61"/>
      </c>
      <c r="P243" s="74">
        <f t="shared" ca="1" si="62"/>
      </c>
      <c r="Q243" s="74">
        <f t="shared" ca="1" si="63"/>
      </c>
      <c r="R243" s="74">
        <f t="shared" si="64"/>
      </c>
      <c r="S243" s="74">
        <f t="shared" ca="1" si="65"/>
      </c>
      <c r="T243" s="74">
        <f t="shared" si="66"/>
      </c>
    </row>
    <row r="244" spans="2:20" x14ac:dyDescent="0.3">
      <c r="B244" s="74">
        <f t="shared" ca="1" si="56"/>
      </c>
      <c r="C244" s="78">
        <f>Кабельный_журнал!P210</f>
      </c>
      <c r="D244" s="74">
        <f t="shared" ca="1" si="57"/>
      </c>
      <c r="E244" s="80" t="s">
        <v>279</v>
      </c>
      <c r="F244" s="74">
        <f t="shared" ca="1" si="53"/>
      </c>
      <c r="G244" s="74">
        <f t="shared" si="54"/>
      </c>
      <c r="H244" s="80" t="s">
        <v>272</v>
      </c>
      <c r="I244" s="74">
        <f t="shared" si="55"/>
      </c>
      <c r="J244" s="74">
        <f t="shared" si="58"/>
      </c>
      <c r="K244" s="80" t="s">
        <v>280</v>
      </c>
      <c r="L244" s="74">
        <f t="shared" si="59"/>
      </c>
      <c r="M244" s="74">
        <f t="shared" ca="1" si="60"/>
      </c>
      <c r="N244" s="74">
        <f ca="1">VLOOKUP(B244,$C$7:$T242,13,FALSE)</f>
      </c>
      <c r="O244" s="74">
        <f t="shared" ca="1" si="61"/>
      </c>
      <c r="P244" s="74">
        <f t="shared" ca="1" si="62"/>
      </c>
      <c r="Q244" s="74">
        <f t="shared" ca="1" si="63"/>
      </c>
      <c r="R244" s="74">
        <f t="shared" si="64"/>
      </c>
      <c r="S244" s="74">
        <f t="shared" ca="1" si="65"/>
      </c>
      <c r="T244" s="74">
        <f t="shared" si="66"/>
      </c>
    </row>
    <row r="245" spans="2:20" x14ac:dyDescent="0.3">
      <c r="B245" s="74">
        <f t="shared" ca="1" si="56"/>
      </c>
      <c r="C245" s="78">
        <f>Кабельный_журнал!P211</f>
      </c>
      <c r="D245" s="74">
        <f t="shared" ca="1" si="57"/>
      </c>
      <c r="E245" s="80" t="s">
        <v>279</v>
      </c>
      <c r="F245" s="74">
        <f t="shared" ca="1" si="53"/>
      </c>
      <c r="G245" s="74">
        <f t="shared" si="54"/>
      </c>
      <c r="H245" s="80" t="s">
        <v>272</v>
      </c>
      <c r="I245" s="74">
        <f t="shared" si="55"/>
      </c>
      <c r="J245" s="74">
        <f t="shared" si="58"/>
      </c>
      <c r="K245" s="80" t="s">
        <v>280</v>
      </c>
      <c r="L245" s="74">
        <f t="shared" si="59"/>
      </c>
      <c r="M245" s="74">
        <f t="shared" ca="1" si="60"/>
      </c>
      <c r="N245" s="74">
        <f ca="1">VLOOKUP(B245,$C$7:$T243,13,FALSE)</f>
      </c>
      <c r="O245" s="74">
        <f t="shared" ca="1" si="61"/>
      </c>
      <c r="P245" s="74">
        <f t="shared" ca="1" si="62"/>
      </c>
      <c r="Q245" s="74">
        <f t="shared" ca="1" si="63"/>
      </c>
      <c r="R245" s="74">
        <f t="shared" si="64"/>
      </c>
      <c r="S245" s="74">
        <f t="shared" ca="1" si="65"/>
      </c>
      <c r="T245" s="74">
        <f t="shared" si="66"/>
      </c>
    </row>
    <row r="246" spans="2:20" x14ac:dyDescent="0.3">
      <c r="B246" s="74">
        <f t="shared" ca="1" si="56"/>
      </c>
      <c r="C246" s="78">
        <f>Кабельный_журнал!P212</f>
      </c>
      <c r="D246" s="74">
        <f t="shared" ca="1" si="57"/>
      </c>
      <c r="E246" s="80" t="s">
        <v>279</v>
      </c>
      <c r="F246" s="74">
        <f t="shared" ca="1" si="53"/>
      </c>
      <c r="G246" s="74">
        <f t="shared" si="54"/>
      </c>
      <c r="H246" s="80" t="s">
        <v>272</v>
      </c>
      <c r="I246" s="74">
        <f t="shared" si="55"/>
      </c>
      <c r="J246" s="74">
        <f t="shared" si="58"/>
      </c>
      <c r="K246" s="80" t="s">
        <v>280</v>
      </c>
      <c r="L246" s="74">
        <f t="shared" si="59"/>
      </c>
      <c r="M246" s="74">
        <f t="shared" ca="1" si="60"/>
      </c>
      <c r="N246" s="74">
        <f ca="1">VLOOKUP(B246,$C$7:$T244,13,FALSE)</f>
      </c>
      <c r="O246" s="74">
        <f t="shared" ca="1" si="61"/>
      </c>
      <c r="P246" s="74">
        <f t="shared" ca="1" si="62"/>
      </c>
      <c r="Q246" s="74">
        <f t="shared" ca="1" si="63"/>
      </c>
      <c r="R246" s="74">
        <f t="shared" si="64"/>
      </c>
      <c r="S246" s="74">
        <f t="shared" ca="1" si="65"/>
      </c>
      <c r="T246" s="74">
        <f t="shared" si="66"/>
      </c>
    </row>
    <row r="247" spans="2:20" x14ac:dyDescent="0.3">
      <c r="B247" s="74">
        <f t="shared" ca="1" si="56"/>
      </c>
      <c r="C247" s="78">
        <f>Кабельный_журнал!P213</f>
      </c>
      <c r="D247" s="74">
        <f t="shared" ca="1" si="57"/>
      </c>
      <c r="E247" s="80" t="s">
        <v>279</v>
      </c>
      <c r="F247" s="74">
        <f t="shared" ca="1" si="53"/>
      </c>
      <c r="G247" s="74">
        <f t="shared" si="54"/>
      </c>
      <c r="H247" s="80" t="s">
        <v>272</v>
      </c>
      <c r="I247" s="74">
        <f t="shared" si="55"/>
      </c>
      <c r="J247" s="74">
        <f t="shared" si="58"/>
      </c>
      <c r="K247" s="80" t="s">
        <v>280</v>
      </c>
      <c r="L247" s="74">
        <f t="shared" si="59"/>
      </c>
      <c r="M247" s="74">
        <f t="shared" ca="1" si="60"/>
      </c>
      <c r="N247" s="74">
        <f ca="1">VLOOKUP(B247,$C$7:$T245,13,FALSE)</f>
      </c>
      <c r="O247" s="74">
        <f t="shared" ca="1" si="61"/>
      </c>
      <c r="P247" s="74">
        <f t="shared" ca="1" si="62"/>
      </c>
      <c r="Q247" s="74">
        <f t="shared" ca="1" si="63"/>
      </c>
      <c r="R247" s="74">
        <f t="shared" si="64"/>
      </c>
      <c r="S247" s="74">
        <f t="shared" ca="1" si="65"/>
      </c>
      <c r="T247" s="74">
        <f t="shared" si="66"/>
      </c>
    </row>
    <row r="248" spans="2:20" x14ac:dyDescent="0.3">
      <c r="B248" s="74">
        <f t="shared" ca="1" si="56"/>
      </c>
      <c r="C248" s="78">
        <f>Кабельный_журнал!P214</f>
      </c>
      <c r="D248" s="74">
        <f t="shared" ca="1" si="57"/>
      </c>
      <c r="E248" s="80" t="s">
        <v>279</v>
      </c>
      <c r="F248" s="74">
        <f t="shared" ca="1" si="53"/>
      </c>
      <c r="G248" s="74">
        <f t="shared" si="54"/>
      </c>
      <c r="H248" s="80" t="s">
        <v>272</v>
      </c>
      <c r="I248" s="74">
        <f t="shared" si="55"/>
      </c>
      <c r="J248" s="74">
        <f t="shared" si="58"/>
      </c>
      <c r="K248" s="80" t="s">
        <v>280</v>
      </c>
      <c r="L248" s="74">
        <f t="shared" si="59"/>
      </c>
      <c r="M248" s="74">
        <f t="shared" ca="1" si="60"/>
      </c>
      <c r="N248" s="74">
        <f ca="1">VLOOKUP(B248,$C$7:$T246,13,FALSE)</f>
      </c>
      <c r="O248" s="74">
        <f t="shared" ca="1" si="61"/>
      </c>
      <c r="P248" s="74">
        <f t="shared" ca="1" si="62"/>
      </c>
      <c r="Q248" s="74">
        <f t="shared" ca="1" si="63"/>
      </c>
      <c r="R248" s="74">
        <f t="shared" si="64"/>
      </c>
      <c r="S248" s="74">
        <f t="shared" ca="1" si="65"/>
      </c>
      <c r="T248" s="74">
        <f t="shared" si="66"/>
      </c>
    </row>
    <row r="249" spans="2:20" x14ac:dyDescent="0.3">
      <c r="B249" s="74">
        <f t="shared" ca="1" si="56"/>
      </c>
      <c r="C249" s="78">
        <f>Кабельный_журнал!P215</f>
      </c>
      <c r="D249" s="74">
        <f t="shared" ca="1" si="57"/>
      </c>
      <c r="E249" s="80" t="s">
        <v>279</v>
      </c>
      <c r="F249" s="74">
        <f t="shared" ca="1" si="53"/>
      </c>
      <c r="G249" s="74">
        <f t="shared" si="54"/>
      </c>
      <c r="H249" s="80" t="s">
        <v>272</v>
      </c>
      <c r="I249" s="74">
        <f t="shared" si="55"/>
      </c>
      <c r="J249" s="74">
        <f t="shared" si="58"/>
      </c>
      <c r="K249" s="80" t="s">
        <v>280</v>
      </c>
      <c r="L249" s="74">
        <f t="shared" si="59"/>
      </c>
      <c r="M249" s="74">
        <f t="shared" ca="1" si="60"/>
      </c>
      <c r="N249" s="74">
        <f ca="1">VLOOKUP(B249,$C$7:$T247,13,FALSE)</f>
      </c>
      <c r="O249" s="74">
        <f t="shared" ca="1" si="61"/>
      </c>
      <c r="P249" s="74">
        <f t="shared" ca="1" si="62"/>
      </c>
      <c r="Q249" s="74">
        <f t="shared" ca="1" si="63"/>
      </c>
      <c r="R249" s="74">
        <f t="shared" si="64"/>
      </c>
      <c r="S249" s="74">
        <f t="shared" ca="1" si="65"/>
      </c>
      <c r="T249" s="74">
        <f t="shared" si="66"/>
      </c>
    </row>
    <row r="250" spans="2:20" x14ac:dyDescent="0.3">
      <c r="B250" s="74">
        <f t="shared" ca="1" si="56"/>
      </c>
      <c r="C250" s="78">
        <f>Кабельный_журнал!P216</f>
      </c>
      <c r="D250" s="74">
        <f t="shared" ca="1" si="57"/>
      </c>
      <c r="E250" s="80" t="s">
        <v>279</v>
      </c>
      <c r="F250" s="74">
        <f t="shared" ca="1" si="53"/>
      </c>
      <c r="G250" s="74">
        <f t="shared" si="54"/>
      </c>
      <c r="H250" s="80" t="s">
        <v>272</v>
      </c>
      <c r="I250" s="74">
        <f t="shared" si="55"/>
      </c>
      <c r="J250" s="74">
        <f t="shared" si="58"/>
      </c>
      <c r="K250" s="80" t="s">
        <v>280</v>
      </c>
      <c r="L250" s="74">
        <f t="shared" si="59"/>
      </c>
      <c r="M250" s="74">
        <f t="shared" ca="1" si="60"/>
      </c>
      <c r="N250" s="74">
        <f ca="1">VLOOKUP(B250,$C$7:$T248,13,FALSE)</f>
      </c>
      <c r="O250" s="74">
        <f t="shared" ca="1" si="61"/>
      </c>
      <c r="P250" s="74">
        <f t="shared" ca="1" si="62"/>
      </c>
      <c r="Q250" s="74">
        <f t="shared" ca="1" si="63"/>
      </c>
      <c r="R250" s="74">
        <f t="shared" si="64"/>
      </c>
      <c r="S250" s="74">
        <f t="shared" ca="1" si="65"/>
      </c>
      <c r="T250" s="74">
        <f t="shared" si="66"/>
      </c>
    </row>
    <row r="251" spans="2:20" x14ac:dyDescent="0.3">
      <c r="B251" s="74">
        <f t="shared" ca="1" si="56"/>
      </c>
      <c r="C251" s="78">
        <f>Кабельный_журнал!P217</f>
      </c>
      <c r="D251" s="74">
        <f t="shared" ca="1" si="57"/>
      </c>
      <c r="E251" s="80" t="s">
        <v>279</v>
      </c>
      <c r="F251" s="74">
        <f t="shared" ca="1" si="53"/>
      </c>
      <c r="G251" s="74">
        <f t="shared" si="54"/>
      </c>
      <c r="H251" s="80" t="s">
        <v>272</v>
      </c>
      <c r="I251" s="74">
        <f t="shared" si="55"/>
      </c>
      <c r="J251" s="74">
        <f t="shared" si="58"/>
      </c>
      <c r="K251" s="80" t="s">
        <v>280</v>
      </c>
      <c r="L251" s="74">
        <f t="shared" si="59"/>
      </c>
      <c r="M251" s="74">
        <f t="shared" ca="1" si="60"/>
      </c>
      <c r="N251" s="74">
        <f ca="1">VLOOKUP(B251,$C$7:$T249,13,FALSE)</f>
      </c>
      <c r="O251" s="74">
        <f t="shared" ca="1" si="61"/>
      </c>
      <c r="P251" s="74">
        <f t="shared" ca="1" si="62"/>
      </c>
      <c r="Q251" s="74">
        <f t="shared" ca="1" si="63"/>
      </c>
      <c r="R251" s="74">
        <f t="shared" si="64"/>
      </c>
      <c r="S251" s="74">
        <f t="shared" ca="1" si="65"/>
      </c>
      <c r="T251" s="74">
        <f t="shared" si="66"/>
      </c>
    </row>
    <row r="252" spans="2:20" x14ac:dyDescent="0.3">
      <c r="B252" s="74">
        <f t="shared" ca="1" si="56"/>
      </c>
      <c r="C252" s="78">
        <f>Кабельный_журнал!P218</f>
      </c>
      <c r="D252" s="74">
        <f t="shared" ca="1" si="57"/>
      </c>
      <c r="E252" s="80" t="s">
        <v>279</v>
      </c>
      <c r="F252" s="74">
        <f t="shared" ca="1" si="53"/>
      </c>
      <c r="G252" s="74">
        <f t="shared" si="54"/>
      </c>
      <c r="H252" s="80" t="s">
        <v>272</v>
      </c>
      <c r="I252" s="74">
        <f t="shared" si="55"/>
      </c>
      <c r="J252" s="74">
        <f t="shared" si="58"/>
      </c>
      <c r="K252" s="80" t="s">
        <v>280</v>
      </c>
      <c r="L252" s="74">
        <f t="shared" si="59"/>
      </c>
      <c r="M252" s="74">
        <f t="shared" ca="1" si="60"/>
      </c>
      <c r="N252" s="74">
        <f ca="1">VLOOKUP(B252,$C$7:$T250,13,FALSE)</f>
      </c>
      <c r="O252" s="74">
        <f t="shared" ca="1" si="61"/>
      </c>
      <c r="P252" s="74">
        <f t="shared" ca="1" si="62"/>
      </c>
      <c r="Q252" s="74">
        <f t="shared" ca="1" si="63"/>
      </c>
      <c r="R252" s="74">
        <f t="shared" si="64"/>
      </c>
      <c r="S252" s="74">
        <f t="shared" ca="1" si="65"/>
      </c>
      <c r="T252" s="74">
        <f t="shared" si="66"/>
      </c>
    </row>
    <row r="253" spans="2:20" x14ac:dyDescent="0.3">
      <c r="B253" s="74">
        <f t="shared" ca="1" si="56"/>
      </c>
      <c r="C253" s="78">
        <f>Кабельный_журнал!P219</f>
      </c>
      <c r="D253" s="74">
        <f t="shared" ca="1" si="57"/>
      </c>
      <c r="E253" s="80" t="s">
        <v>279</v>
      </c>
      <c r="F253" s="74">
        <f t="shared" ca="1" si="53"/>
      </c>
      <c r="G253" s="74">
        <f t="shared" si="54"/>
      </c>
      <c r="H253" s="80" t="s">
        <v>272</v>
      </c>
      <c r="I253" s="74">
        <f t="shared" si="55"/>
      </c>
      <c r="J253" s="74">
        <f t="shared" si="58"/>
      </c>
      <c r="K253" s="80" t="s">
        <v>280</v>
      </c>
      <c r="L253" s="74">
        <f t="shared" si="59"/>
      </c>
      <c r="M253" s="74">
        <f t="shared" ca="1" si="60"/>
      </c>
      <c r="N253" s="74">
        <f ca="1">VLOOKUP(B253,$C$7:$T251,13,FALSE)</f>
      </c>
      <c r="O253" s="74">
        <f t="shared" ca="1" si="61"/>
      </c>
      <c r="P253" s="74">
        <f t="shared" ca="1" si="62"/>
      </c>
      <c r="Q253" s="74">
        <f t="shared" ca="1" si="63"/>
      </c>
      <c r="R253" s="74">
        <f t="shared" si="64"/>
      </c>
      <c r="S253" s="74">
        <f t="shared" ca="1" si="65"/>
      </c>
      <c r="T253" s="74">
        <f t="shared" si="66"/>
      </c>
    </row>
    <row r="254" spans="2:20" x14ac:dyDescent="0.3">
      <c r="B254" s="74">
        <f t="shared" ca="1" si="56"/>
      </c>
      <c r="C254" s="78">
        <f>Кабельный_журнал!P220</f>
      </c>
      <c r="D254" s="74">
        <f t="shared" ca="1" si="57"/>
      </c>
      <c r="E254" s="80" t="s">
        <v>279</v>
      </c>
      <c r="F254" s="74">
        <f t="shared" ca="1" si="53"/>
      </c>
      <c r="G254" s="74">
        <f t="shared" si="54"/>
      </c>
      <c r="H254" s="80" t="s">
        <v>272</v>
      </c>
      <c r="I254" s="74">
        <f t="shared" si="55"/>
      </c>
      <c r="J254" s="74">
        <f t="shared" si="58"/>
      </c>
      <c r="K254" s="80" t="s">
        <v>280</v>
      </c>
      <c r="L254" s="74">
        <f t="shared" si="59"/>
      </c>
      <c r="M254" s="74">
        <f t="shared" ca="1" si="60"/>
      </c>
      <c r="N254" s="74">
        <f ca="1">VLOOKUP(B254,$C$7:$T252,13,FALSE)</f>
      </c>
      <c r="O254" s="74">
        <f t="shared" ca="1" si="61"/>
      </c>
      <c r="P254" s="74">
        <f t="shared" ca="1" si="62"/>
      </c>
      <c r="Q254" s="74">
        <f t="shared" ca="1" si="63"/>
      </c>
      <c r="R254" s="74">
        <f t="shared" si="64"/>
      </c>
      <c r="S254" s="74">
        <f t="shared" ca="1" si="65"/>
      </c>
      <c r="T254" s="74">
        <f t="shared" si="66"/>
      </c>
    </row>
    <row r="255" spans="2:20" x14ac:dyDescent="0.3">
      <c r="B255" s="74">
        <f t="shared" ca="1" si="56"/>
      </c>
      <c r="C255" s="78">
        <f>Кабельный_журнал!P221</f>
      </c>
      <c r="D255" s="74">
        <f t="shared" ca="1" si="57"/>
      </c>
      <c r="E255" s="80" t="s">
        <v>279</v>
      </c>
      <c r="F255" s="74">
        <f t="shared" ca="1" si="53"/>
      </c>
      <c r="G255" s="74">
        <f t="shared" si="54"/>
      </c>
      <c r="H255" s="80" t="s">
        <v>272</v>
      </c>
      <c r="I255" s="74">
        <f t="shared" si="55"/>
      </c>
      <c r="J255" s="74">
        <f t="shared" si="58"/>
      </c>
      <c r="K255" s="80" t="s">
        <v>280</v>
      </c>
      <c r="L255" s="74">
        <f t="shared" si="59"/>
      </c>
      <c r="M255" s="74">
        <f t="shared" ca="1" si="60"/>
      </c>
      <c r="N255" s="74">
        <f ca="1">VLOOKUP(B255,$C$7:$T253,13,FALSE)</f>
      </c>
      <c r="O255" s="74">
        <f t="shared" ca="1" si="61"/>
      </c>
      <c r="P255" s="74">
        <f t="shared" ca="1" si="62"/>
      </c>
      <c r="Q255" s="74">
        <f t="shared" ca="1" si="63"/>
      </c>
      <c r="R255" s="74">
        <f t="shared" si="64"/>
      </c>
      <c r="S255" s="74">
        <f t="shared" ca="1" si="65"/>
      </c>
      <c r="T255" s="74">
        <f t="shared" si="66"/>
      </c>
    </row>
    <row r="256" spans="2:20" x14ac:dyDescent="0.3">
      <c r="B256" s="74">
        <f t="shared" ca="1" si="56"/>
      </c>
      <c r="C256" s="78">
        <f>Кабельный_журнал!P222</f>
      </c>
      <c r="D256" s="74">
        <f t="shared" ca="1" si="57"/>
      </c>
      <c r="E256" s="80" t="s">
        <v>279</v>
      </c>
      <c r="F256" s="74">
        <f t="shared" ca="1" si="53"/>
      </c>
      <c r="G256" s="74">
        <f t="shared" si="54"/>
      </c>
      <c r="H256" s="80" t="s">
        <v>272</v>
      </c>
      <c r="I256" s="74">
        <f t="shared" si="55"/>
      </c>
      <c r="J256" s="74">
        <f t="shared" si="58"/>
      </c>
      <c r="K256" s="80" t="s">
        <v>280</v>
      </c>
      <c r="L256" s="74">
        <f t="shared" si="59"/>
      </c>
      <c r="M256" s="74">
        <f t="shared" ca="1" si="60"/>
      </c>
      <c r="N256" s="74">
        <f ca="1">VLOOKUP(B256,$C$7:$T254,13,FALSE)</f>
      </c>
      <c r="O256" s="74">
        <f t="shared" ca="1" si="61"/>
      </c>
      <c r="P256" s="74">
        <f t="shared" ca="1" si="62"/>
      </c>
      <c r="Q256" s="74">
        <f t="shared" ca="1" si="63"/>
      </c>
      <c r="R256" s="74">
        <f t="shared" si="64"/>
      </c>
      <c r="S256" s="74">
        <f t="shared" ca="1" si="65"/>
      </c>
      <c r="T256" s="74">
        <f t="shared" si="66"/>
      </c>
    </row>
    <row r="257" spans="2:20" x14ac:dyDescent="0.3">
      <c r="B257" s="74">
        <f t="shared" ca="1" si="56"/>
      </c>
      <c r="C257" s="78">
        <f>Кабельный_журнал!P223</f>
      </c>
      <c r="D257" s="74">
        <f t="shared" ca="1" si="57"/>
      </c>
      <c r="E257" s="80" t="s">
        <v>279</v>
      </c>
      <c r="F257" s="74">
        <f t="shared" ca="1" si="53"/>
      </c>
      <c r="G257" s="74">
        <f t="shared" si="54"/>
      </c>
      <c r="H257" s="80" t="s">
        <v>272</v>
      </c>
      <c r="I257" s="74">
        <f t="shared" si="55"/>
      </c>
      <c r="J257" s="74">
        <f t="shared" si="58"/>
      </c>
      <c r="K257" s="80" t="s">
        <v>280</v>
      </c>
      <c r="L257" s="74">
        <f t="shared" si="59"/>
      </c>
      <c r="M257" s="74">
        <f t="shared" ca="1" si="60"/>
      </c>
      <c r="N257" s="74">
        <f ca="1">VLOOKUP(B257,$C$7:$T255,13,FALSE)</f>
      </c>
      <c r="O257" s="74">
        <f t="shared" ca="1" si="61"/>
      </c>
      <c r="P257" s="74">
        <f t="shared" ca="1" si="62"/>
      </c>
      <c r="Q257" s="74">
        <f t="shared" ca="1" si="63"/>
      </c>
      <c r="R257" s="74">
        <f t="shared" si="64"/>
      </c>
      <c r="S257" s="74">
        <f t="shared" ca="1" si="65"/>
      </c>
      <c r="T257" s="74">
        <f t="shared" si="66"/>
      </c>
    </row>
    <row r="258" spans="2:20" x14ac:dyDescent="0.3">
      <c r="B258" s="74">
        <f t="shared" ca="1" si="56"/>
      </c>
      <c r="C258" s="78">
        <f>Кабельный_журнал!P224</f>
      </c>
      <c r="D258" s="74">
        <f t="shared" ca="1" si="57"/>
      </c>
      <c r="E258" s="80" t="s">
        <v>279</v>
      </c>
      <c r="F258" s="74">
        <f t="shared" ca="1" si="53"/>
      </c>
      <c r="G258" s="74">
        <f t="shared" si="54"/>
      </c>
      <c r="H258" s="80" t="s">
        <v>272</v>
      </c>
      <c r="I258" s="74">
        <f t="shared" si="55"/>
      </c>
      <c r="J258" s="74">
        <f t="shared" si="58"/>
      </c>
      <c r="K258" s="80" t="s">
        <v>280</v>
      </c>
      <c r="L258" s="74">
        <f t="shared" si="59"/>
      </c>
      <c r="M258" s="74">
        <f t="shared" ca="1" si="60"/>
      </c>
      <c r="N258" s="74">
        <f ca="1">VLOOKUP(B258,$C$7:$T256,13,FALSE)</f>
      </c>
      <c r="O258" s="74">
        <f t="shared" ca="1" si="61"/>
      </c>
      <c r="P258" s="74">
        <f t="shared" ca="1" si="62"/>
      </c>
      <c r="Q258" s="74">
        <f t="shared" ca="1" si="63"/>
      </c>
      <c r="R258" s="74">
        <f t="shared" si="64"/>
      </c>
      <c r="S258" s="74">
        <f t="shared" ca="1" si="65"/>
      </c>
      <c r="T258" s="74">
        <f t="shared" si="66"/>
      </c>
    </row>
    <row r="259" spans="2:20" x14ac:dyDescent="0.3">
      <c r="B259" s="74">
        <f t="shared" ca="1" si="56"/>
      </c>
      <c r="C259" s="78">
        <f>Кабельный_журнал!P225</f>
      </c>
      <c r="D259" s="74">
        <f t="shared" ca="1" si="57"/>
      </c>
      <c r="E259" s="80" t="s">
        <v>279</v>
      </c>
      <c r="F259" s="74">
        <f t="shared" ca="1" si="53"/>
      </c>
      <c r="G259" s="74">
        <f t="shared" si="54"/>
      </c>
      <c r="H259" s="80" t="s">
        <v>272</v>
      </c>
      <c r="I259" s="74">
        <f t="shared" si="55"/>
      </c>
      <c r="J259" s="74">
        <f t="shared" si="58"/>
      </c>
      <c r="K259" s="80" t="s">
        <v>280</v>
      </c>
      <c r="L259" s="74">
        <f t="shared" si="59"/>
      </c>
      <c r="M259" s="74">
        <f t="shared" ca="1" si="60"/>
      </c>
      <c r="N259" s="74">
        <f ca="1">VLOOKUP(B259,$C$7:$T257,13,FALSE)</f>
      </c>
      <c r="O259" s="74">
        <f t="shared" ca="1" si="61"/>
      </c>
      <c r="P259" s="74">
        <f t="shared" ca="1" si="62"/>
      </c>
      <c r="Q259" s="74">
        <f t="shared" ca="1" si="63"/>
      </c>
      <c r="R259" s="74">
        <f t="shared" si="64"/>
      </c>
      <c r="S259" s="74">
        <f t="shared" ca="1" si="65"/>
      </c>
      <c r="T259" s="74">
        <f t="shared" si="66"/>
      </c>
    </row>
    <row r="260" spans="2:20" x14ac:dyDescent="0.3">
      <c r="B260" s="74">
        <f t="shared" ca="1" si="56"/>
      </c>
      <c r="C260" s="78">
        <f>Кабельный_журнал!P226</f>
      </c>
      <c r="D260" s="74">
        <f t="shared" ca="1" si="57"/>
      </c>
      <c r="E260" s="80" t="s">
        <v>279</v>
      </c>
      <c r="F260" s="74">
        <f t="shared" ca="1" si="53"/>
      </c>
      <c r="G260" s="74">
        <f t="shared" si="54"/>
      </c>
      <c r="H260" s="80" t="s">
        <v>272</v>
      </c>
      <c r="I260" s="74">
        <f t="shared" si="55"/>
      </c>
      <c r="J260" s="74">
        <f t="shared" si="58"/>
      </c>
      <c r="K260" s="80" t="s">
        <v>280</v>
      </c>
      <c r="L260" s="74">
        <f t="shared" si="59"/>
      </c>
      <c r="M260" s="74">
        <f t="shared" ca="1" si="60"/>
      </c>
      <c r="N260" s="74">
        <f ca="1">VLOOKUP(B260,$C$7:$T258,13,FALSE)</f>
      </c>
      <c r="O260" s="74">
        <f t="shared" ca="1" si="61"/>
      </c>
      <c r="P260" s="74">
        <f t="shared" ca="1" si="62"/>
      </c>
      <c r="Q260" s="74">
        <f t="shared" ca="1" si="63"/>
      </c>
      <c r="R260" s="74">
        <f t="shared" si="64"/>
      </c>
      <c r="S260" s="74">
        <f t="shared" ca="1" si="65"/>
      </c>
      <c r="T260" s="74">
        <f t="shared" si="66"/>
      </c>
    </row>
    <row r="261" spans="2:20" x14ac:dyDescent="0.3">
      <c r="B261" s="74">
        <f t="shared" ca="1" si="56"/>
      </c>
      <c r="C261" s="78">
        <f>Кабельный_журнал!P227</f>
      </c>
      <c r="D261" s="74">
        <f t="shared" ca="1" si="57"/>
      </c>
      <c r="E261" s="80" t="s">
        <v>279</v>
      </c>
      <c r="F261" s="74">
        <f t="shared" ca="1" si="53"/>
      </c>
      <c r="G261" s="74">
        <f t="shared" si="54"/>
      </c>
      <c r="H261" s="80" t="s">
        <v>272</v>
      </c>
      <c r="I261" s="74">
        <f t="shared" si="55"/>
      </c>
      <c r="J261" s="74">
        <f t="shared" si="58"/>
      </c>
      <c r="K261" s="80" t="s">
        <v>280</v>
      </c>
      <c r="L261" s="74">
        <f t="shared" si="59"/>
      </c>
      <c r="M261" s="74">
        <f t="shared" ca="1" si="60"/>
      </c>
      <c r="N261" s="74">
        <f ca="1">VLOOKUP(B261,$C$7:$T259,13,FALSE)</f>
      </c>
      <c r="O261" s="74">
        <f t="shared" ca="1" si="61"/>
      </c>
      <c r="P261" s="74">
        <f t="shared" ca="1" si="62"/>
      </c>
      <c r="Q261" s="74">
        <f t="shared" ca="1" si="63"/>
      </c>
      <c r="R261" s="74">
        <f t="shared" si="64"/>
      </c>
      <c r="S261" s="74">
        <f t="shared" ca="1" si="65"/>
      </c>
      <c r="T261" s="74">
        <f t="shared" si="66"/>
      </c>
    </row>
    <row r="262" spans="2:20" x14ac:dyDescent="0.3">
      <c r="B262" s="74">
        <f t="shared" ca="1" si="56"/>
      </c>
      <c r="C262" s="78">
        <f>Кабельный_журнал!P228</f>
      </c>
      <c r="D262" s="74">
        <f t="shared" ca="1" si="57"/>
      </c>
      <c r="E262" s="80" t="s">
        <v>279</v>
      </c>
      <c r="F262" s="74">
        <f t="shared" ca="1" si="53"/>
      </c>
      <c r="G262" s="74">
        <f t="shared" si="54"/>
      </c>
      <c r="H262" s="80" t="s">
        <v>272</v>
      </c>
      <c r="I262" s="74">
        <f t="shared" si="55"/>
      </c>
      <c r="J262" s="74">
        <f t="shared" si="58"/>
      </c>
      <c r="K262" s="80" t="s">
        <v>280</v>
      </c>
      <c r="L262" s="74">
        <f t="shared" si="59"/>
      </c>
      <c r="M262" s="74">
        <f t="shared" ca="1" si="60"/>
      </c>
      <c r="N262" s="74">
        <f ca="1">VLOOKUP(B262,$C$7:$T260,13,FALSE)</f>
      </c>
      <c r="O262" s="74">
        <f t="shared" ca="1" si="61"/>
      </c>
      <c r="P262" s="74">
        <f t="shared" ca="1" si="62"/>
      </c>
      <c r="Q262" s="74">
        <f t="shared" ca="1" si="63"/>
      </c>
      <c r="R262" s="74">
        <f t="shared" si="64"/>
      </c>
      <c r="S262" s="74">
        <f t="shared" ca="1" si="65"/>
      </c>
      <c r="T262" s="74">
        <f t="shared" si="66"/>
      </c>
    </row>
    <row r="263" spans="2:20" x14ac:dyDescent="0.3">
      <c r="B263" s="74">
        <f t="shared" ca="1" si="56"/>
      </c>
      <c r="C263" s="78">
        <f>Кабельный_журнал!P229</f>
      </c>
      <c r="D263" s="74">
        <f t="shared" ca="1" si="57"/>
      </c>
      <c r="E263" s="80" t="s">
        <v>279</v>
      </c>
      <c r="F263" s="74">
        <f t="shared" ca="1" si="53"/>
      </c>
      <c r="G263" s="74">
        <f t="shared" si="54"/>
      </c>
      <c r="H263" s="80" t="s">
        <v>272</v>
      </c>
      <c r="I263" s="74">
        <f t="shared" si="55"/>
      </c>
      <c r="J263" s="74">
        <f t="shared" si="58"/>
      </c>
      <c r="K263" s="80" t="s">
        <v>280</v>
      </c>
      <c r="L263" s="74">
        <f t="shared" si="59"/>
      </c>
      <c r="M263" s="74">
        <f t="shared" ca="1" si="60"/>
      </c>
      <c r="N263" s="74">
        <f ca="1">VLOOKUP(B263,$C$7:$T261,13,FALSE)</f>
      </c>
      <c r="O263" s="74">
        <f t="shared" ca="1" si="61"/>
      </c>
      <c r="P263" s="74">
        <f t="shared" ca="1" si="62"/>
      </c>
      <c r="Q263" s="74">
        <f t="shared" ca="1" si="63"/>
      </c>
      <c r="R263" s="74">
        <f t="shared" si="64"/>
      </c>
      <c r="S263" s="74">
        <f t="shared" ca="1" si="65"/>
      </c>
      <c r="T263" s="74">
        <f t="shared" si="66"/>
      </c>
    </row>
    <row r="264" spans="2:20" x14ac:dyDescent="0.3">
      <c r="B264" s="74">
        <f t="shared" ca="1" si="56"/>
      </c>
      <c r="C264" s="78">
        <f>Кабельный_журнал!P230</f>
      </c>
      <c r="D264" s="74">
        <f t="shared" ca="1" si="57"/>
      </c>
      <c r="E264" s="80" t="s">
        <v>279</v>
      </c>
      <c r="F264" s="74">
        <f t="shared" ca="1" si="53"/>
      </c>
      <c r="G264" s="74">
        <f t="shared" si="54"/>
      </c>
      <c r="H264" s="80" t="s">
        <v>272</v>
      </c>
      <c r="I264" s="74">
        <f t="shared" si="55"/>
      </c>
      <c r="J264" s="74">
        <f t="shared" si="58"/>
      </c>
      <c r="K264" s="80" t="s">
        <v>280</v>
      </c>
      <c r="L264" s="74">
        <f t="shared" si="59"/>
      </c>
      <c r="M264" s="74">
        <f t="shared" ca="1" si="60"/>
      </c>
      <c r="N264" s="74">
        <f ca="1">VLOOKUP(B264,$C$7:$T262,13,FALSE)</f>
      </c>
      <c r="O264" s="74">
        <f t="shared" ca="1" si="61"/>
      </c>
      <c r="P264" s="74">
        <f t="shared" ca="1" si="62"/>
      </c>
      <c r="Q264" s="74">
        <f t="shared" ca="1" si="63"/>
      </c>
      <c r="R264" s="74">
        <f t="shared" si="64"/>
      </c>
      <c r="S264" s="74">
        <f t="shared" ca="1" si="65"/>
      </c>
      <c r="T264" s="74">
        <f t="shared" si="66"/>
      </c>
    </row>
    <row r="265" spans="2:20" x14ac:dyDescent="0.3">
      <c r="B265" s="74">
        <f t="shared" ca="1" si="56"/>
      </c>
      <c r="C265" s="78">
        <f>Кабельный_журнал!P231</f>
      </c>
      <c r="D265" s="74">
        <f t="shared" ca="1" si="57"/>
      </c>
      <c r="E265" s="80" t="s">
        <v>279</v>
      </c>
      <c r="F265" s="74">
        <f t="shared" ca="1" si="53"/>
      </c>
      <c r="G265" s="74">
        <f t="shared" si="54"/>
      </c>
      <c r="H265" s="80" t="s">
        <v>272</v>
      </c>
      <c r="I265" s="74">
        <f t="shared" si="55"/>
      </c>
      <c r="J265" s="74">
        <f t="shared" si="58"/>
      </c>
      <c r="K265" s="80" t="s">
        <v>280</v>
      </c>
      <c r="L265" s="74">
        <f t="shared" si="59"/>
      </c>
      <c r="M265" s="74">
        <f t="shared" ca="1" si="60"/>
      </c>
      <c r="N265" s="74">
        <f ca="1">VLOOKUP(B265,$C$7:$T263,13,FALSE)</f>
      </c>
      <c r="O265" s="74">
        <f t="shared" ca="1" si="61"/>
      </c>
      <c r="P265" s="74">
        <f t="shared" ca="1" si="62"/>
      </c>
      <c r="Q265" s="74">
        <f t="shared" ca="1" si="63"/>
      </c>
      <c r="R265" s="74">
        <f t="shared" si="64"/>
      </c>
      <c r="S265" s="74">
        <f t="shared" ca="1" si="65"/>
      </c>
      <c r="T265" s="74">
        <f t="shared" si="66"/>
      </c>
    </row>
    <row r="266" spans="2:20" x14ac:dyDescent="0.3">
      <c r="B266" s="74">
        <f t="shared" ca="1" si="56"/>
      </c>
      <c r="C266" s="78">
        <f>Кабельный_журнал!P232</f>
      </c>
      <c r="D266" s="74">
        <f t="shared" ca="1" si="57"/>
      </c>
      <c r="E266" s="80" t="s">
        <v>279</v>
      </c>
      <c r="F266" s="74">
        <f t="shared" ca="1" si="53"/>
      </c>
      <c r="G266" s="74">
        <f t="shared" si="54"/>
      </c>
      <c r="H266" s="80" t="s">
        <v>272</v>
      </c>
      <c r="I266" s="74">
        <f t="shared" si="55"/>
      </c>
      <c r="J266" s="74">
        <f t="shared" si="58"/>
      </c>
      <c r="K266" s="80" t="s">
        <v>280</v>
      </c>
      <c r="L266" s="74">
        <f t="shared" si="59"/>
      </c>
      <c r="M266" s="74">
        <f t="shared" ca="1" si="60"/>
      </c>
      <c r="N266" s="74">
        <f ca="1">VLOOKUP(B266,$C$7:$T264,13,FALSE)</f>
      </c>
      <c r="O266" s="74">
        <f t="shared" ca="1" si="61"/>
      </c>
      <c r="P266" s="74">
        <f t="shared" ca="1" si="62"/>
      </c>
      <c r="Q266" s="74">
        <f t="shared" ca="1" si="63"/>
      </c>
      <c r="R266" s="74">
        <f t="shared" si="64"/>
      </c>
      <c r="S266" s="74">
        <f t="shared" ca="1" si="65"/>
      </c>
      <c r="T266" s="74">
        <f t="shared" si="66"/>
      </c>
    </row>
    <row r="267" spans="2:20" x14ac:dyDescent="0.3">
      <c r="B267" s="74">
        <f t="shared" ca="1" si="56"/>
      </c>
      <c r="C267" s="78">
        <f>Кабельный_журнал!P233</f>
      </c>
      <c r="D267" s="74">
        <f t="shared" ca="1" si="57"/>
      </c>
      <c r="E267" s="80" t="s">
        <v>279</v>
      </c>
      <c r="F267" s="74">
        <f t="shared" ca="1" si="53"/>
      </c>
      <c r="G267" s="74">
        <f t="shared" si="54"/>
      </c>
      <c r="H267" s="80" t="s">
        <v>272</v>
      </c>
      <c r="I267" s="74">
        <f t="shared" si="55"/>
      </c>
      <c r="J267" s="74">
        <f t="shared" si="58"/>
      </c>
      <c r="K267" s="80" t="s">
        <v>280</v>
      </c>
      <c r="L267" s="74">
        <f t="shared" si="59"/>
      </c>
      <c r="M267" s="74">
        <f t="shared" ca="1" si="60"/>
      </c>
      <c r="N267" s="74">
        <f ca="1">VLOOKUP(B267,$C$7:$T265,13,FALSE)</f>
      </c>
      <c r="O267" s="74">
        <f t="shared" ca="1" si="61"/>
      </c>
      <c r="P267" s="74">
        <f t="shared" ca="1" si="62"/>
      </c>
      <c r="Q267" s="74">
        <f t="shared" ca="1" si="63"/>
      </c>
      <c r="R267" s="74">
        <f t="shared" si="64"/>
      </c>
      <c r="S267" s="74">
        <f t="shared" ca="1" si="65"/>
      </c>
      <c r="T267" s="74">
        <f t="shared" si="66"/>
      </c>
    </row>
    <row r="268" spans="2:20" x14ac:dyDescent="0.3">
      <c r="B268" s="74">
        <f t="shared" ca="1" si="56"/>
      </c>
      <c r="C268" s="78">
        <f>Кабельный_журнал!P234</f>
      </c>
      <c r="D268" s="74">
        <f t="shared" ca="1" si="57"/>
      </c>
      <c r="E268" s="80" t="s">
        <v>279</v>
      </c>
      <c r="F268" s="74">
        <f t="shared" ca="1" si="53"/>
      </c>
      <c r="G268" s="74">
        <f t="shared" si="54"/>
      </c>
      <c r="H268" s="80" t="s">
        <v>272</v>
      </c>
      <c r="I268" s="74">
        <f t="shared" si="55"/>
      </c>
      <c r="J268" s="74">
        <f t="shared" si="58"/>
      </c>
      <c r="K268" s="80" t="s">
        <v>280</v>
      </c>
      <c r="L268" s="74">
        <f t="shared" si="59"/>
      </c>
      <c r="M268" s="74">
        <f t="shared" ca="1" si="60"/>
      </c>
      <c r="N268" s="74">
        <f ca="1">VLOOKUP(B268,$C$7:$T266,13,FALSE)</f>
      </c>
      <c r="O268" s="74">
        <f t="shared" ca="1" si="61"/>
      </c>
      <c r="P268" s="74">
        <f t="shared" ca="1" si="62"/>
      </c>
      <c r="Q268" s="74">
        <f t="shared" ca="1" si="63"/>
      </c>
      <c r="R268" s="74">
        <f t="shared" si="64"/>
      </c>
      <c r="S268" s="74">
        <f t="shared" ca="1" si="65"/>
      </c>
      <c r="T268" s="74">
        <f t="shared" si="66"/>
      </c>
    </row>
    <row r="269" spans="2:20" x14ac:dyDescent="0.3">
      <c r="B269" s="74">
        <f t="shared" ca="1" si="56"/>
      </c>
      <c r="C269" s="78">
        <f>Кабельный_журнал!P235</f>
      </c>
      <c r="D269" s="74">
        <f t="shared" ca="1" si="57"/>
      </c>
      <c r="E269" s="80" t="s">
        <v>279</v>
      </c>
      <c r="F269" s="74">
        <f t="shared" ca="1" si="53"/>
      </c>
      <c r="G269" s="74">
        <f t="shared" si="54"/>
      </c>
      <c r="H269" s="80" t="s">
        <v>272</v>
      </c>
      <c r="I269" s="74">
        <f t="shared" si="55"/>
      </c>
      <c r="J269" s="74">
        <f t="shared" si="58"/>
      </c>
      <c r="K269" s="80" t="s">
        <v>280</v>
      </c>
      <c r="L269" s="74">
        <f t="shared" si="59"/>
      </c>
      <c r="M269" s="74">
        <f t="shared" ca="1" si="60"/>
      </c>
      <c r="N269" s="74">
        <f ca="1">VLOOKUP(B269,$C$7:$T267,13,FALSE)</f>
      </c>
      <c r="O269" s="74">
        <f t="shared" ca="1" si="61"/>
      </c>
      <c r="P269" s="74">
        <f t="shared" ca="1" si="62"/>
      </c>
      <c r="Q269" s="74">
        <f t="shared" ca="1" si="63"/>
      </c>
      <c r="R269" s="74">
        <f t="shared" si="64"/>
      </c>
      <c r="S269" s="74">
        <f t="shared" ca="1" si="65"/>
      </c>
      <c r="T269" s="74">
        <f t="shared" si="66"/>
      </c>
    </row>
    <row r="270" spans="2:20" x14ac:dyDescent="0.3">
      <c r="B270" s="74">
        <f t="shared" ca="1" si="56"/>
      </c>
      <c r="C270" s="78">
        <f>Кабельный_журнал!P236</f>
      </c>
      <c r="D270" s="74">
        <f t="shared" ca="1" si="57"/>
      </c>
      <c r="E270" s="80" t="s">
        <v>279</v>
      </c>
      <c r="F270" s="74">
        <f t="shared" ca="1" si="53"/>
      </c>
      <c r="G270" s="74">
        <f t="shared" si="54"/>
      </c>
      <c r="H270" s="80" t="s">
        <v>272</v>
      </c>
      <c r="I270" s="74">
        <f t="shared" si="55"/>
      </c>
      <c r="J270" s="74">
        <f t="shared" si="58"/>
      </c>
      <c r="K270" s="80" t="s">
        <v>280</v>
      </c>
      <c r="L270" s="74">
        <f t="shared" si="59"/>
      </c>
      <c r="M270" s="74">
        <f t="shared" ca="1" si="60"/>
      </c>
      <c r="N270" s="74">
        <f ca="1">VLOOKUP(B270,$C$7:$T268,13,FALSE)</f>
      </c>
      <c r="O270" s="74">
        <f t="shared" ca="1" si="61"/>
      </c>
      <c r="P270" s="74">
        <f t="shared" ca="1" si="62"/>
      </c>
      <c r="Q270" s="74">
        <f t="shared" ca="1" si="63"/>
      </c>
      <c r="R270" s="74">
        <f t="shared" si="64"/>
      </c>
      <c r="S270" s="74">
        <f t="shared" ca="1" si="65"/>
      </c>
      <c r="T270" s="74">
        <f t="shared" si="66"/>
      </c>
    </row>
    <row r="271" spans="2:20" x14ac:dyDescent="0.3">
      <c r="B271" s="74">
        <f t="shared" ca="1" si="56"/>
      </c>
      <c r="C271" s="78">
        <f>Кабельный_журнал!P237</f>
      </c>
      <c r="D271" s="74">
        <f t="shared" ca="1" si="57"/>
      </c>
      <c r="E271" s="80" t="s">
        <v>279</v>
      </c>
      <c r="F271" s="74">
        <f t="shared" ca="1" si="53"/>
      </c>
      <c r="G271" s="74">
        <f t="shared" si="54"/>
      </c>
      <c r="H271" s="80" t="s">
        <v>272</v>
      </c>
      <c r="I271" s="74">
        <f t="shared" si="55"/>
      </c>
      <c r="J271" s="74">
        <f t="shared" si="58"/>
      </c>
      <c r="K271" s="80" t="s">
        <v>280</v>
      </c>
      <c r="L271" s="74">
        <f t="shared" si="59"/>
      </c>
      <c r="M271" s="74">
        <f t="shared" ca="1" si="60"/>
      </c>
      <c r="N271" s="74">
        <f ca="1">VLOOKUP(B271,$C$7:$T269,13,FALSE)</f>
      </c>
      <c r="O271" s="74">
        <f t="shared" ca="1" si="61"/>
      </c>
      <c r="P271" s="74">
        <f t="shared" ca="1" si="62"/>
      </c>
      <c r="Q271" s="74">
        <f t="shared" ca="1" si="63"/>
      </c>
      <c r="R271" s="74">
        <f t="shared" si="64"/>
      </c>
      <c r="S271" s="74">
        <f t="shared" ca="1" si="65"/>
      </c>
      <c r="T271" s="74">
        <f t="shared" si="66"/>
      </c>
    </row>
    <row r="272" spans="2:20" x14ac:dyDescent="0.3">
      <c r="B272" s="74">
        <f t="shared" ca="1" si="56"/>
      </c>
      <c r="C272" s="78">
        <f>Кабельный_журнал!P238</f>
      </c>
      <c r="D272" s="74">
        <f t="shared" ca="1" si="57"/>
      </c>
      <c r="E272" s="80" t="s">
        <v>279</v>
      </c>
      <c r="F272" s="74">
        <f t="shared" ca="1" si="53"/>
      </c>
      <c r="G272" s="74">
        <f t="shared" si="54"/>
      </c>
      <c r="H272" s="80" t="s">
        <v>272</v>
      </c>
      <c r="I272" s="74">
        <f t="shared" si="55"/>
      </c>
      <c r="J272" s="74">
        <f t="shared" si="58"/>
      </c>
      <c r="K272" s="80" t="s">
        <v>280</v>
      </c>
      <c r="L272" s="74">
        <f t="shared" si="59"/>
      </c>
      <c r="M272" s="74">
        <f t="shared" ca="1" si="60"/>
      </c>
      <c r="N272" s="74">
        <f ca="1">VLOOKUP(B272,$C$7:$T270,13,FALSE)</f>
      </c>
      <c r="O272" s="74">
        <f t="shared" ca="1" si="61"/>
      </c>
      <c r="P272" s="74">
        <f t="shared" ca="1" si="62"/>
      </c>
      <c r="Q272" s="74">
        <f t="shared" ca="1" si="63"/>
      </c>
      <c r="R272" s="74">
        <f t="shared" si="64"/>
      </c>
      <c r="S272" s="74">
        <f t="shared" ca="1" si="65"/>
      </c>
      <c r="T272" s="74">
        <f t="shared" si="66"/>
      </c>
    </row>
    <row r="273" spans="2:20" x14ac:dyDescent="0.3">
      <c r="B273" s="74">
        <f t="shared" ca="1" si="56"/>
      </c>
      <c r="C273" s="78">
        <f>Кабельный_журнал!P239</f>
      </c>
      <c r="D273" s="74">
        <f t="shared" ca="1" si="57"/>
      </c>
      <c r="E273" s="80" t="s">
        <v>279</v>
      </c>
      <c r="F273" s="74">
        <f t="shared" ca="1" si="53"/>
      </c>
      <c r="G273" s="74">
        <f t="shared" si="54"/>
      </c>
      <c r="H273" s="80" t="s">
        <v>272</v>
      </c>
      <c r="I273" s="74">
        <f t="shared" si="55"/>
      </c>
      <c r="J273" s="74">
        <f t="shared" si="58"/>
      </c>
      <c r="K273" s="80" t="s">
        <v>280</v>
      </c>
      <c r="L273" s="74">
        <f t="shared" si="59"/>
      </c>
      <c r="M273" s="74">
        <f t="shared" ca="1" si="60"/>
      </c>
      <c r="N273" s="74">
        <f ca="1">VLOOKUP(B273,$C$7:$T271,13,FALSE)</f>
      </c>
      <c r="O273" s="74">
        <f t="shared" ca="1" si="61"/>
      </c>
      <c r="P273" s="74">
        <f t="shared" ca="1" si="62"/>
      </c>
      <c r="Q273" s="74">
        <f t="shared" ca="1" si="63"/>
      </c>
      <c r="R273" s="74">
        <f t="shared" si="64"/>
      </c>
      <c r="S273" s="74">
        <f t="shared" ca="1" si="65"/>
      </c>
      <c r="T273" s="74">
        <f t="shared" si="66"/>
      </c>
    </row>
    <row r="274" spans="2:20" x14ac:dyDescent="0.3">
      <c r="B274" s="74">
        <f t="shared" ca="1" si="56"/>
      </c>
      <c r="C274" s="78">
        <f>Кабельный_журнал!P240</f>
      </c>
      <c r="D274" s="74">
        <f t="shared" ca="1" si="57"/>
      </c>
      <c r="E274" s="80" t="s">
        <v>279</v>
      </c>
      <c r="F274" s="74">
        <f t="shared" ca="1" si="53"/>
      </c>
      <c r="G274" s="74">
        <f t="shared" si="54"/>
      </c>
      <c r="H274" s="80" t="s">
        <v>272</v>
      </c>
      <c r="I274" s="74">
        <f t="shared" si="55"/>
      </c>
      <c r="J274" s="74">
        <f t="shared" si="58"/>
      </c>
      <c r="K274" s="80" t="s">
        <v>280</v>
      </c>
      <c r="L274" s="74">
        <f t="shared" si="59"/>
      </c>
      <c r="M274" s="74">
        <f t="shared" ca="1" si="60"/>
      </c>
      <c r="N274" s="74">
        <f ca="1">VLOOKUP(B274,$C$7:$T272,13,FALSE)</f>
      </c>
      <c r="O274" s="74">
        <f t="shared" ca="1" si="61"/>
      </c>
      <c r="P274" s="74">
        <f t="shared" ca="1" si="62"/>
      </c>
      <c r="Q274" s="74">
        <f t="shared" ca="1" si="63"/>
      </c>
      <c r="R274" s="74">
        <f t="shared" si="64"/>
      </c>
      <c r="S274" s="74">
        <f t="shared" ca="1" si="65"/>
      </c>
      <c r="T274" s="74">
        <f t="shared" si="66"/>
      </c>
    </row>
    <row r="275" spans="2:20" x14ac:dyDescent="0.3">
      <c r="B275" s="74">
        <f t="shared" ca="1" si="56"/>
      </c>
      <c r="C275" s="78">
        <f>Кабельный_журнал!P241</f>
      </c>
      <c r="D275" s="74">
        <f t="shared" ca="1" si="57"/>
      </c>
      <c r="E275" s="80" t="s">
        <v>279</v>
      </c>
      <c r="F275" s="74">
        <f t="shared" ca="1" si="53"/>
      </c>
      <c r="G275" s="74">
        <f t="shared" si="54"/>
      </c>
      <c r="H275" s="80" t="s">
        <v>272</v>
      </c>
      <c r="I275" s="74">
        <f t="shared" si="55"/>
      </c>
      <c r="J275" s="74">
        <f t="shared" si="58"/>
      </c>
      <c r="K275" s="80" t="s">
        <v>280</v>
      </c>
      <c r="L275" s="74">
        <f t="shared" si="59"/>
      </c>
      <c r="M275" s="74">
        <f t="shared" ca="1" si="60"/>
      </c>
      <c r="N275" s="74">
        <f ca="1">VLOOKUP(B275,$C$7:$T273,13,FALSE)</f>
      </c>
      <c r="O275" s="74">
        <f t="shared" ca="1" si="61"/>
      </c>
      <c r="P275" s="74">
        <f t="shared" ca="1" si="62"/>
      </c>
      <c r="Q275" s="74">
        <f t="shared" ca="1" si="63"/>
      </c>
      <c r="R275" s="74">
        <f t="shared" si="64"/>
      </c>
      <c r="S275" s="74">
        <f t="shared" ca="1" si="65"/>
      </c>
      <c r="T275" s="74">
        <f t="shared" si="66"/>
      </c>
    </row>
    <row r="276" spans="2:20" x14ac:dyDescent="0.3">
      <c r="B276" s="74">
        <f t="shared" ca="1" si="56"/>
      </c>
      <c r="C276" s="78">
        <f>Кабельный_журнал!P242</f>
      </c>
      <c r="D276" s="74">
        <f t="shared" ca="1" si="57"/>
      </c>
      <c r="E276" s="80" t="s">
        <v>279</v>
      </c>
      <c r="F276" s="74">
        <f t="shared" ca="1" si="53"/>
      </c>
      <c r="G276" s="74">
        <f t="shared" si="54"/>
      </c>
      <c r="H276" s="80" t="s">
        <v>272</v>
      </c>
      <c r="I276" s="74">
        <f t="shared" si="55"/>
      </c>
      <c r="J276" s="74">
        <f t="shared" si="58"/>
      </c>
      <c r="K276" s="80" t="s">
        <v>280</v>
      </c>
      <c r="L276" s="74">
        <f t="shared" si="59"/>
      </c>
      <c r="M276" s="74">
        <f t="shared" ca="1" si="60"/>
      </c>
      <c r="N276" s="74">
        <f ca="1">VLOOKUP(B276,$C$7:$T274,13,FALSE)</f>
      </c>
      <c r="O276" s="74">
        <f t="shared" ca="1" si="61"/>
      </c>
      <c r="P276" s="74">
        <f t="shared" ca="1" si="62"/>
      </c>
      <c r="Q276" s="74">
        <f t="shared" ca="1" si="63"/>
      </c>
      <c r="R276" s="74">
        <f t="shared" si="64"/>
      </c>
      <c r="S276" s="74">
        <f t="shared" ca="1" si="65"/>
      </c>
      <c r="T276" s="74">
        <f t="shared" si="66"/>
      </c>
    </row>
    <row r="277" spans="2:20" x14ac:dyDescent="0.3">
      <c r="B277" s="74">
        <f t="shared" ca="1" si="56"/>
      </c>
      <c r="C277" s="78">
        <f>Кабельный_журнал!P243</f>
      </c>
      <c r="D277" s="74">
        <f t="shared" ca="1" si="57"/>
      </c>
      <c r="E277" s="80" t="s">
        <v>279</v>
      </c>
      <c r="F277" s="74">
        <f t="shared" ca="1" si="53"/>
      </c>
      <c r="G277" s="74">
        <f t="shared" si="54"/>
      </c>
      <c r="H277" s="80" t="s">
        <v>272</v>
      </c>
      <c r="I277" s="74">
        <f t="shared" si="55"/>
      </c>
      <c r="J277" s="74">
        <f t="shared" si="58"/>
      </c>
      <c r="K277" s="80" t="s">
        <v>280</v>
      </c>
      <c r="L277" s="74">
        <f t="shared" si="59"/>
      </c>
      <c r="M277" s="74">
        <f t="shared" ca="1" si="60"/>
      </c>
      <c r="N277" s="74">
        <f ca="1">VLOOKUP(B277,$C$7:$T275,13,FALSE)</f>
      </c>
      <c r="O277" s="74">
        <f t="shared" ca="1" si="61"/>
      </c>
      <c r="P277" s="74">
        <f t="shared" ca="1" si="62"/>
      </c>
      <c r="Q277" s="74">
        <f t="shared" ca="1" si="63"/>
      </c>
      <c r="R277" s="74">
        <f t="shared" si="64"/>
      </c>
      <c r="S277" s="74">
        <f t="shared" ca="1" si="65"/>
      </c>
      <c r="T277" s="74">
        <f t="shared" si="66"/>
      </c>
    </row>
    <row r="278" spans="2:20" x14ac:dyDescent="0.3">
      <c r="B278" s="74">
        <f t="shared" ca="1" si="56"/>
      </c>
      <c r="C278" s="78">
        <f>Кабельный_журнал!P244</f>
      </c>
      <c r="D278" s="74">
        <f t="shared" ca="1" si="57"/>
      </c>
      <c r="E278" s="80" t="s">
        <v>279</v>
      </c>
      <c r="F278" s="74">
        <f t="shared" ca="1" si="53"/>
      </c>
      <c r="G278" s="74">
        <f t="shared" si="54"/>
      </c>
      <c r="H278" s="80" t="s">
        <v>272</v>
      </c>
      <c r="I278" s="74">
        <f t="shared" si="55"/>
      </c>
      <c r="J278" s="74">
        <f t="shared" si="58"/>
      </c>
      <c r="K278" s="80" t="s">
        <v>280</v>
      </c>
      <c r="L278" s="74">
        <f t="shared" si="59"/>
      </c>
      <c r="M278" s="74">
        <f t="shared" ca="1" si="60"/>
      </c>
      <c r="N278" s="74">
        <f ca="1">VLOOKUP(B278,$C$7:$T276,13,FALSE)</f>
      </c>
      <c r="O278" s="74">
        <f t="shared" ca="1" si="61"/>
      </c>
      <c r="P278" s="74">
        <f t="shared" ca="1" si="62"/>
      </c>
      <c r="Q278" s="74">
        <f t="shared" ca="1" si="63"/>
      </c>
      <c r="R278" s="74">
        <f t="shared" si="64"/>
      </c>
      <c r="S278" s="74">
        <f t="shared" ca="1" si="65"/>
      </c>
      <c r="T278" s="74">
        <f t="shared" si="66"/>
      </c>
    </row>
    <row r="279" spans="2:20" x14ac:dyDescent="0.3">
      <c r="B279" s="74">
        <f t="shared" ca="1" si="56"/>
      </c>
      <c r="C279" s="78">
        <f>Кабельный_журнал!P245</f>
      </c>
      <c r="D279" s="74">
        <f t="shared" ca="1" si="57"/>
      </c>
      <c r="E279" s="80" t="s">
        <v>279</v>
      </c>
      <c r="F279" s="74">
        <f t="shared" ca="1" si="53"/>
      </c>
      <c r="G279" s="74">
        <f t="shared" si="54"/>
      </c>
      <c r="H279" s="80" t="s">
        <v>272</v>
      </c>
      <c r="I279" s="74">
        <f t="shared" si="55"/>
      </c>
      <c r="J279" s="74">
        <f t="shared" si="58"/>
      </c>
      <c r="K279" s="80" t="s">
        <v>280</v>
      </c>
      <c r="L279" s="74">
        <f t="shared" si="59"/>
      </c>
      <c r="M279" s="74">
        <f t="shared" ca="1" si="60"/>
      </c>
      <c r="N279" s="74">
        <f ca="1">VLOOKUP(B279,$C$7:$T277,13,FALSE)</f>
      </c>
      <c r="O279" s="74">
        <f t="shared" ca="1" si="61"/>
      </c>
      <c r="P279" s="74">
        <f t="shared" ca="1" si="62"/>
      </c>
      <c r="Q279" s="74">
        <f t="shared" ca="1" si="63"/>
      </c>
      <c r="R279" s="74">
        <f t="shared" si="64"/>
      </c>
      <c r="S279" s="74">
        <f t="shared" ca="1" si="65"/>
      </c>
      <c r="T279" s="74">
        <f t="shared" si="66"/>
      </c>
    </row>
    <row r="280" spans="2:20" x14ac:dyDescent="0.3">
      <c r="B280" s="74">
        <f t="shared" ca="1" si="56"/>
      </c>
      <c r="C280" s="78">
        <f>Кабельный_журнал!P246</f>
      </c>
      <c r="D280" s="74">
        <f t="shared" ca="1" si="57"/>
      </c>
      <c r="E280" s="80" t="s">
        <v>279</v>
      </c>
      <c r="F280" s="74">
        <f t="shared" ca="1" si="53"/>
      </c>
      <c r="G280" s="74">
        <f t="shared" si="54"/>
      </c>
      <c r="H280" s="80" t="s">
        <v>272</v>
      </c>
      <c r="I280" s="74">
        <f t="shared" si="55"/>
      </c>
      <c r="J280" s="74">
        <f t="shared" si="58"/>
      </c>
      <c r="K280" s="80" t="s">
        <v>280</v>
      </c>
      <c r="L280" s="74">
        <f t="shared" si="59"/>
      </c>
      <c r="M280" s="74">
        <f t="shared" ca="1" si="60"/>
      </c>
      <c r="N280" s="74">
        <f ca="1">VLOOKUP(B280,$C$7:$T278,13,FALSE)</f>
      </c>
      <c r="O280" s="74">
        <f t="shared" ca="1" si="61"/>
      </c>
      <c r="P280" s="74">
        <f t="shared" ca="1" si="62"/>
      </c>
      <c r="Q280" s="74">
        <f t="shared" ca="1" si="63"/>
      </c>
      <c r="R280" s="74">
        <f t="shared" si="64"/>
      </c>
      <c r="S280" s="74">
        <f t="shared" ca="1" si="65"/>
      </c>
      <c r="T280" s="74">
        <f t="shared" si="66"/>
      </c>
    </row>
    <row r="281" spans="2:20" x14ac:dyDescent="0.3">
      <c r="B281" s="74">
        <f t="shared" ca="1" si="56"/>
      </c>
      <c r="C281" s="78">
        <f>Кабельный_журнал!P247</f>
      </c>
      <c r="D281" s="74">
        <f t="shared" ca="1" si="57"/>
      </c>
      <c r="E281" s="80" t="s">
        <v>279</v>
      </c>
      <c r="F281" s="74">
        <f t="shared" ca="1" si="53"/>
      </c>
      <c r="G281" s="74">
        <f t="shared" si="54"/>
      </c>
      <c r="H281" s="80" t="s">
        <v>272</v>
      </c>
      <c r="I281" s="74">
        <f t="shared" si="55"/>
      </c>
      <c r="J281" s="74">
        <f t="shared" si="58"/>
      </c>
      <c r="K281" s="80" t="s">
        <v>280</v>
      </c>
      <c r="L281" s="74">
        <f t="shared" si="59"/>
      </c>
      <c r="M281" s="74">
        <f t="shared" ca="1" si="60"/>
      </c>
      <c r="N281" s="74">
        <f ca="1">VLOOKUP(B281,$C$7:$T279,13,FALSE)</f>
      </c>
      <c r="O281" s="74">
        <f t="shared" ca="1" si="61"/>
      </c>
      <c r="P281" s="74">
        <f t="shared" ca="1" si="62"/>
      </c>
      <c r="Q281" s="74">
        <f t="shared" ca="1" si="63"/>
      </c>
      <c r="R281" s="74">
        <f t="shared" si="64"/>
      </c>
      <c r="S281" s="74">
        <f t="shared" ca="1" si="65"/>
      </c>
      <c r="T281" s="74">
        <f t="shared" si="66"/>
      </c>
    </row>
    <row r="282" spans="2:20" x14ac:dyDescent="0.3">
      <c r="B282" s="74">
        <f t="shared" ca="1" si="56"/>
      </c>
      <c r="C282" s="78">
        <f>Кабельный_журнал!P248</f>
      </c>
      <c r="D282" s="74">
        <f t="shared" ca="1" si="57"/>
      </c>
      <c r="E282" s="80" t="s">
        <v>279</v>
      </c>
      <c r="F282" s="74">
        <f t="shared" ca="1" si="53"/>
      </c>
      <c r="G282" s="74">
        <f t="shared" si="54"/>
      </c>
      <c r="H282" s="80" t="s">
        <v>272</v>
      </c>
      <c r="I282" s="74">
        <f t="shared" si="55"/>
      </c>
      <c r="J282" s="74">
        <f t="shared" si="58"/>
      </c>
      <c r="K282" s="80" t="s">
        <v>280</v>
      </c>
      <c r="L282" s="74">
        <f t="shared" si="59"/>
      </c>
      <c r="M282" s="74">
        <f t="shared" ca="1" si="60"/>
      </c>
      <c r="N282" s="74">
        <f ca="1">VLOOKUP(B282,$C$7:$T280,13,FALSE)</f>
      </c>
      <c r="O282" s="74">
        <f t="shared" ca="1" si="61"/>
      </c>
      <c r="P282" s="74">
        <f t="shared" ca="1" si="62"/>
      </c>
      <c r="Q282" s="74">
        <f t="shared" ca="1" si="63"/>
      </c>
      <c r="R282" s="74">
        <f t="shared" si="64"/>
      </c>
      <c r="S282" s="74">
        <f t="shared" ca="1" si="65"/>
      </c>
      <c r="T282" s="74">
        <f t="shared" si="66"/>
      </c>
    </row>
    <row r="283" spans="2:20" x14ac:dyDescent="0.3">
      <c r="B283" s="74">
        <f t="shared" ca="1" si="56"/>
      </c>
      <c r="C283" s="78">
        <f>Кабельный_журнал!P249</f>
      </c>
      <c r="D283" s="74">
        <f t="shared" ca="1" si="57"/>
      </c>
      <c r="E283" s="80" t="s">
        <v>279</v>
      </c>
      <c r="F283" s="74">
        <f t="shared" ca="1" si="53"/>
      </c>
      <c r="G283" s="74">
        <f t="shared" si="54"/>
      </c>
      <c r="H283" s="80" t="s">
        <v>272</v>
      </c>
      <c r="I283" s="74">
        <f t="shared" si="55"/>
      </c>
      <c r="J283" s="74">
        <f t="shared" si="58"/>
      </c>
      <c r="K283" s="80" t="s">
        <v>280</v>
      </c>
      <c r="L283" s="74">
        <f t="shared" si="59"/>
      </c>
      <c r="M283" s="74">
        <f t="shared" ca="1" si="60"/>
      </c>
      <c r="N283" s="74">
        <f ca="1">VLOOKUP(B283,$C$7:$T281,13,FALSE)</f>
      </c>
      <c r="O283" s="74">
        <f t="shared" ca="1" si="61"/>
      </c>
      <c r="P283" s="74">
        <f t="shared" ca="1" si="62"/>
      </c>
      <c r="Q283" s="74">
        <f t="shared" ca="1" si="63"/>
      </c>
      <c r="R283" s="74">
        <f t="shared" si="64"/>
      </c>
      <c r="S283" s="74">
        <f t="shared" ca="1" si="65"/>
      </c>
      <c r="T283" s="74">
        <f t="shared" si="66"/>
      </c>
    </row>
    <row r="284" spans="2:20" x14ac:dyDescent="0.3">
      <c r="B284" s="74">
        <f t="shared" ca="1" si="56"/>
      </c>
      <c r="C284" s="78">
        <f>Кабельный_журнал!P250</f>
      </c>
      <c r="D284" s="74">
        <f t="shared" ca="1" si="57"/>
      </c>
      <c r="E284" s="80" t="s">
        <v>279</v>
      </c>
      <c r="F284" s="74">
        <f t="shared" ca="1" si="53"/>
      </c>
      <c r="G284" s="74">
        <f t="shared" si="54"/>
      </c>
      <c r="H284" s="80" t="s">
        <v>272</v>
      </c>
      <c r="I284" s="74">
        <f t="shared" si="55"/>
      </c>
      <c r="J284" s="74">
        <f t="shared" si="58"/>
      </c>
      <c r="K284" s="80" t="s">
        <v>280</v>
      </c>
      <c r="L284" s="74">
        <f t="shared" si="59"/>
      </c>
      <c r="M284" s="74">
        <f t="shared" ca="1" si="60"/>
      </c>
      <c r="N284" s="74">
        <f ca="1">VLOOKUP(B284,$C$7:$T282,13,FALSE)</f>
      </c>
      <c r="O284" s="74">
        <f t="shared" ca="1" si="61"/>
      </c>
      <c r="P284" s="74">
        <f t="shared" ca="1" si="62"/>
      </c>
      <c r="Q284" s="74">
        <f t="shared" ca="1" si="63"/>
      </c>
      <c r="R284" s="74">
        <f t="shared" si="64"/>
      </c>
      <c r="S284" s="74">
        <f t="shared" ca="1" si="65"/>
      </c>
      <c r="T284" s="74">
        <f t="shared" si="66"/>
      </c>
    </row>
    <row r="285" spans="2:20" x14ac:dyDescent="0.3">
      <c r="B285" s="74">
        <f t="shared" ca="1" si="56"/>
      </c>
      <c r="C285" s="78">
        <f>Кабельный_журнал!P251</f>
      </c>
      <c r="D285" s="74">
        <f t="shared" ca="1" si="57"/>
      </c>
      <c r="E285" s="80" t="s">
        <v>279</v>
      </c>
      <c r="F285" s="74">
        <f t="shared" ca="1" si="53"/>
      </c>
      <c r="G285" s="74">
        <f t="shared" si="54"/>
      </c>
      <c r="H285" s="80" t="s">
        <v>272</v>
      </c>
      <c r="I285" s="74">
        <f t="shared" si="55"/>
      </c>
      <c r="J285" s="74">
        <f t="shared" si="58"/>
      </c>
      <c r="K285" s="80" t="s">
        <v>280</v>
      </c>
      <c r="L285" s="74">
        <f t="shared" si="59"/>
      </c>
      <c r="M285" s="74">
        <f t="shared" ca="1" si="60"/>
      </c>
      <c r="N285" s="74">
        <f ca="1">VLOOKUP(B285,$C$7:$T283,13,FALSE)</f>
      </c>
      <c r="O285" s="74">
        <f t="shared" ca="1" si="61"/>
      </c>
      <c r="P285" s="74">
        <f t="shared" ca="1" si="62"/>
      </c>
      <c r="Q285" s="74">
        <f t="shared" ca="1" si="63"/>
      </c>
      <c r="R285" s="74">
        <f t="shared" si="64"/>
      </c>
      <c r="S285" s="74">
        <f t="shared" ca="1" si="65"/>
      </c>
      <c r="T285" s="74">
        <f t="shared" si="66"/>
      </c>
    </row>
    <row r="286" spans="2:20" x14ac:dyDescent="0.3">
      <c r="B286" s="74">
        <f t="shared" ca="1" si="56"/>
      </c>
      <c r="C286" s="78">
        <f>Кабельный_журнал!P252</f>
      </c>
      <c r="D286" s="74">
        <f t="shared" ca="1" si="57"/>
      </c>
      <c r="E286" s="80" t="s">
        <v>279</v>
      </c>
      <c r="F286" s="74">
        <f t="shared" ca="1" si="53"/>
      </c>
      <c r="G286" s="74">
        <f t="shared" si="54"/>
      </c>
      <c r="H286" s="80" t="s">
        <v>272</v>
      </c>
      <c r="I286" s="74">
        <f t="shared" si="55"/>
      </c>
      <c r="J286" s="74">
        <f t="shared" si="58"/>
      </c>
      <c r="K286" s="80" t="s">
        <v>280</v>
      </c>
      <c r="L286" s="74">
        <f t="shared" si="59"/>
      </c>
      <c r="M286" s="74">
        <f t="shared" ca="1" si="60"/>
      </c>
      <c r="N286" s="74">
        <f ca="1">VLOOKUP(B286,$C$7:$T284,13,FALSE)</f>
      </c>
      <c r="O286" s="74">
        <f t="shared" ca="1" si="61"/>
      </c>
      <c r="P286" s="74">
        <f t="shared" ca="1" si="62"/>
      </c>
      <c r="Q286" s="74">
        <f t="shared" ca="1" si="63"/>
      </c>
      <c r="R286" s="74">
        <f t="shared" si="64"/>
      </c>
      <c r="S286" s="74">
        <f t="shared" ca="1" si="65"/>
      </c>
      <c r="T286" s="74">
        <f t="shared" si="66"/>
      </c>
    </row>
    <row r="287" spans="2:20" x14ac:dyDescent="0.3">
      <c r="B287" s="74">
        <f t="shared" ca="1" si="56"/>
      </c>
      <c r="C287" s="78">
        <f>Кабельный_журнал!P253</f>
      </c>
      <c r="D287" s="74">
        <f t="shared" ca="1" si="57"/>
      </c>
      <c r="E287" s="80" t="s">
        <v>279</v>
      </c>
      <c r="F287" s="74">
        <f t="shared" ca="1" si="53"/>
      </c>
      <c r="G287" s="74">
        <f t="shared" si="54"/>
      </c>
      <c r="H287" s="80" t="s">
        <v>272</v>
      </c>
      <c r="I287" s="74">
        <f t="shared" si="55"/>
      </c>
      <c r="J287" s="74">
        <f t="shared" si="58"/>
      </c>
      <c r="K287" s="80" t="s">
        <v>280</v>
      </c>
      <c r="L287" s="74">
        <f t="shared" si="59"/>
      </c>
      <c r="M287" s="74">
        <f t="shared" ca="1" si="60"/>
      </c>
      <c r="N287" s="74">
        <f ca="1">VLOOKUP(B287,$C$7:$T285,13,FALSE)</f>
      </c>
      <c r="O287" s="74">
        <f t="shared" ca="1" si="61"/>
      </c>
      <c r="P287" s="74">
        <f t="shared" ca="1" si="62"/>
      </c>
      <c r="Q287" s="74">
        <f t="shared" ca="1" si="63"/>
      </c>
      <c r="R287" s="74">
        <f t="shared" si="64"/>
      </c>
      <c r="S287" s="74">
        <f t="shared" ca="1" si="65"/>
      </c>
      <c r="T287" s="74">
        <f t="shared" si="66"/>
      </c>
    </row>
    <row r="288" spans="2:20" x14ac:dyDescent="0.3">
      <c r="B288" s="74">
        <f t="shared" ca="1" si="56"/>
      </c>
      <c r="C288" s="78">
        <f>Кабельный_журнал!P254</f>
      </c>
      <c r="D288" s="74">
        <f t="shared" ca="1" si="57"/>
      </c>
      <c r="E288" s="80" t="s">
        <v>279</v>
      </c>
      <c r="F288" s="74">
        <f t="shared" ca="1" si="53"/>
      </c>
      <c r="G288" s="74">
        <f t="shared" si="54"/>
      </c>
      <c r="H288" s="80" t="s">
        <v>272</v>
      </c>
      <c r="I288" s="74">
        <f t="shared" si="55"/>
      </c>
      <c r="J288" s="74">
        <f t="shared" si="58"/>
      </c>
      <c r="K288" s="80" t="s">
        <v>280</v>
      </c>
      <c r="L288" s="74">
        <f t="shared" si="59"/>
      </c>
      <c r="M288" s="74">
        <f t="shared" ca="1" si="60"/>
      </c>
      <c r="N288" s="74">
        <f ca="1">VLOOKUP(B288,$C$7:$T286,13,FALSE)</f>
      </c>
      <c r="O288" s="74">
        <f t="shared" ca="1" si="61"/>
      </c>
      <c r="P288" s="74">
        <f t="shared" ca="1" si="62"/>
      </c>
      <c r="Q288" s="74">
        <f t="shared" ca="1" si="63"/>
      </c>
      <c r="R288" s="74">
        <f t="shared" si="64"/>
      </c>
      <c r="S288" s="74">
        <f t="shared" ca="1" si="65"/>
      </c>
      <c r="T288" s="74">
        <f t="shared" si="66"/>
      </c>
    </row>
    <row r="289" spans="2:20" x14ac:dyDescent="0.3">
      <c r="B289" s="74">
        <f t="shared" ca="1" si="56"/>
      </c>
      <c r="C289" s="78">
        <f>Кабельный_журнал!P255</f>
      </c>
      <c r="D289" s="74">
        <f t="shared" ca="1" si="57"/>
      </c>
      <c r="E289" s="80" t="s">
        <v>279</v>
      </c>
      <c r="F289" s="74">
        <f t="shared" ca="1" si="53"/>
      </c>
      <c r="G289" s="74">
        <f t="shared" si="54"/>
      </c>
      <c r="H289" s="80" t="s">
        <v>272</v>
      </c>
      <c r="I289" s="74">
        <f t="shared" si="55"/>
      </c>
      <c r="J289" s="74">
        <f t="shared" si="58"/>
      </c>
      <c r="K289" s="80" t="s">
        <v>280</v>
      </c>
      <c r="L289" s="74">
        <f t="shared" si="59"/>
      </c>
      <c r="M289" s="74">
        <f t="shared" ca="1" si="60"/>
      </c>
      <c r="N289" s="74">
        <f ca="1">VLOOKUP(B289,$C$7:$T287,13,FALSE)</f>
      </c>
      <c r="O289" s="74">
        <f t="shared" ca="1" si="61"/>
      </c>
      <c r="P289" s="74">
        <f t="shared" ca="1" si="62"/>
      </c>
      <c r="Q289" s="74">
        <f t="shared" ca="1" si="63"/>
      </c>
      <c r="R289" s="74">
        <f t="shared" si="64"/>
      </c>
      <c r="S289" s="74">
        <f t="shared" ca="1" si="65"/>
      </c>
      <c r="T289" s="74">
        <f t="shared" si="66"/>
      </c>
    </row>
    <row r="290" spans="2:20" x14ac:dyDescent="0.3">
      <c r="B290" s="74">
        <f t="shared" ca="1" si="56"/>
      </c>
      <c r="C290" s="78">
        <f>Кабельный_журнал!P256</f>
      </c>
      <c r="D290" s="74">
        <f t="shared" ca="1" si="57"/>
      </c>
      <c r="E290" s="80" t="s">
        <v>279</v>
      </c>
      <c r="F290" s="74">
        <f t="shared" ca="1" si="53"/>
      </c>
      <c r="G290" s="74">
        <f t="shared" si="54"/>
      </c>
      <c r="H290" s="80" t="s">
        <v>272</v>
      </c>
      <c r="I290" s="74">
        <f t="shared" si="55"/>
      </c>
      <c r="J290" s="74">
        <f t="shared" si="58"/>
      </c>
      <c r="K290" s="80" t="s">
        <v>280</v>
      </c>
      <c r="L290" s="74">
        <f t="shared" si="59"/>
      </c>
      <c r="M290" s="74">
        <f t="shared" ca="1" si="60"/>
      </c>
      <c r="N290" s="74">
        <f ca="1">VLOOKUP(B290,$C$7:$T288,13,FALSE)</f>
      </c>
      <c r="O290" s="74">
        <f t="shared" ca="1" si="61"/>
      </c>
      <c r="P290" s="74">
        <f t="shared" ca="1" si="62"/>
      </c>
      <c r="Q290" s="74">
        <f t="shared" ca="1" si="63"/>
      </c>
      <c r="R290" s="74">
        <f t="shared" si="64"/>
      </c>
      <c r="S290" s="74">
        <f t="shared" ca="1" si="65"/>
      </c>
      <c r="T290" s="74">
        <f t="shared" si="66"/>
      </c>
    </row>
    <row r="291" spans="2:20" x14ac:dyDescent="0.3">
      <c r="B291" s="74">
        <f t="shared" ca="1" si="56"/>
      </c>
      <c r="C291" s="78">
        <f>Кабельный_журнал!P257</f>
      </c>
      <c r="D291" s="74">
        <f t="shared" ca="1" si="57"/>
      </c>
      <c r="E291" s="80" t="s">
        <v>279</v>
      </c>
      <c r="F291" s="74">
        <f t="shared" ca="1" si="53"/>
      </c>
      <c r="G291" s="74">
        <f t="shared" si="54"/>
      </c>
      <c r="H291" s="80" t="s">
        <v>272</v>
      </c>
      <c r="I291" s="74">
        <f t="shared" si="55"/>
      </c>
      <c r="J291" s="74">
        <f t="shared" si="58"/>
      </c>
      <c r="K291" s="80" t="s">
        <v>280</v>
      </c>
      <c r="L291" s="74">
        <f t="shared" si="59"/>
      </c>
      <c r="M291" s="74">
        <f t="shared" ca="1" si="60"/>
      </c>
      <c r="N291" s="74">
        <f ca="1">VLOOKUP(B291,$C$7:$T289,13,FALSE)</f>
      </c>
      <c r="O291" s="74">
        <f t="shared" ca="1" si="61"/>
      </c>
      <c r="P291" s="74">
        <f t="shared" ca="1" si="62"/>
      </c>
      <c r="Q291" s="74">
        <f t="shared" ca="1" si="63"/>
      </c>
      <c r="R291" s="74">
        <f t="shared" si="64"/>
      </c>
      <c r="S291" s="74">
        <f t="shared" ca="1" si="65"/>
      </c>
      <c r="T291" s="74">
        <f t="shared" si="66"/>
      </c>
    </row>
    <row r="292" spans="2:20" x14ac:dyDescent="0.3">
      <c r="B292" s="74">
        <f t="shared" ca="1" si="56"/>
      </c>
      <c r="C292" s="78">
        <f>Кабельный_журнал!P258</f>
      </c>
      <c r="D292" s="74">
        <f t="shared" ca="1" si="57"/>
      </c>
      <c r="E292" s="80" t="s">
        <v>279</v>
      </c>
      <c r="F292" s="74">
        <f t="shared" ca="1" si="53"/>
      </c>
      <c r="G292" s="74">
        <f t="shared" si="54"/>
      </c>
      <c r="H292" s="80" t="s">
        <v>272</v>
      </c>
      <c r="I292" s="74">
        <f t="shared" si="55"/>
      </c>
      <c r="J292" s="74">
        <f t="shared" si="58"/>
      </c>
      <c r="K292" s="80" t="s">
        <v>280</v>
      </c>
      <c r="L292" s="74">
        <f t="shared" si="59"/>
      </c>
      <c r="M292" s="74">
        <f t="shared" ca="1" si="60"/>
      </c>
      <c r="N292" s="74">
        <f ca="1">VLOOKUP(B292,$C$7:$T290,13,FALSE)</f>
      </c>
      <c r="O292" s="74">
        <f t="shared" ca="1" si="61"/>
      </c>
      <c r="P292" s="74">
        <f t="shared" ca="1" si="62"/>
      </c>
      <c r="Q292" s="74">
        <f t="shared" ca="1" si="63"/>
      </c>
      <c r="R292" s="74">
        <f t="shared" si="64"/>
      </c>
      <c r="S292" s="74">
        <f t="shared" ca="1" si="65"/>
      </c>
      <c r="T292" s="74">
        <f t="shared" si="66"/>
      </c>
    </row>
    <row r="293" spans="2:20" x14ac:dyDescent="0.3">
      <c r="B293" s="74">
        <f t="shared" ca="1" si="56"/>
      </c>
      <c r="C293" s="78">
        <f>Кабельный_журнал!P259</f>
      </c>
      <c r="D293" s="74">
        <f t="shared" ca="1" si="57"/>
      </c>
      <c r="E293" s="80" t="s">
        <v>279</v>
      </c>
      <c r="F293" s="74">
        <f t="shared" ca="1" si="53"/>
      </c>
      <c r="G293" s="74">
        <f t="shared" si="54"/>
      </c>
      <c r="H293" s="80" t="s">
        <v>272</v>
      </c>
      <c r="I293" s="74">
        <f t="shared" si="55"/>
      </c>
      <c r="J293" s="74">
        <f t="shared" si="58"/>
      </c>
      <c r="K293" s="80" t="s">
        <v>280</v>
      </c>
      <c r="L293" s="74">
        <f t="shared" si="59"/>
      </c>
      <c r="M293" s="74">
        <f t="shared" ca="1" si="60"/>
      </c>
      <c r="N293" s="74">
        <f ca="1">VLOOKUP(B293,$C$7:$T291,13,FALSE)</f>
      </c>
      <c r="O293" s="74">
        <f t="shared" ca="1" si="61"/>
      </c>
      <c r="P293" s="74">
        <f t="shared" ca="1" si="62"/>
      </c>
      <c r="Q293" s="74">
        <f t="shared" ca="1" si="63"/>
      </c>
      <c r="R293" s="74">
        <f t="shared" si="64"/>
      </c>
      <c r="S293" s="74">
        <f t="shared" ca="1" si="65"/>
      </c>
      <c r="T293" s="74">
        <f t="shared" si="66"/>
      </c>
    </row>
    <row r="294" spans="2:20" x14ac:dyDescent="0.3">
      <c r="B294" s="74">
        <f t="shared" ca="1" si="56"/>
      </c>
      <c r="C294" s="78">
        <f>Кабельный_журнал!P260</f>
      </c>
      <c r="D294" s="74">
        <f t="shared" ca="1" si="57"/>
      </c>
      <c r="E294" s="80" t="s">
        <v>279</v>
      </c>
      <c r="F294" s="74">
        <f t="shared" ca="1" si="53"/>
      </c>
      <c r="G294" s="74">
        <f t="shared" si="54"/>
      </c>
      <c r="H294" s="80" t="s">
        <v>272</v>
      </c>
      <c r="I294" s="74">
        <f t="shared" si="55"/>
      </c>
      <c r="J294" s="74">
        <f t="shared" si="58"/>
      </c>
      <c r="K294" s="80" t="s">
        <v>280</v>
      </c>
      <c r="L294" s="74">
        <f t="shared" si="59"/>
      </c>
      <c r="M294" s="74">
        <f t="shared" ca="1" si="60"/>
      </c>
      <c r="N294" s="74">
        <f ca="1">VLOOKUP(B294,$C$7:$T292,13,FALSE)</f>
      </c>
      <c r="O294" s="74">
        <f t="shared" ca="1" si="61"/>
      </c>
      <c r="P294" s="74">
        <f t="shared" ca="1" si="62"/>
      </c>
      <c r="Q294" s="74">
        <f t="shared" ca="1" si="63"/>
      </c>
      <c r="R294" s="74">
        <f t="shared" si="64"/>
      </c>
      <c r="S294" s="74">
        <f t="shared" ca="1" si="65"/>
      </c>
      <c r="T294" s="74">
        <f t="shared" si="66"/>
      </c>
    </row>
    <row r="295" spans="2:20" x14ac:dyDescent="0.3">
      <c r="B295" s="74">
        <f t="shared" ca="1" si="56"/>
      </c>
      <c r="C295" s="78">
        <f>Кабельный_журнал!P261</f>
      </c>
      <c r="D295" s="74">
        <f t="shared" ca="1" si="57"/>
      </c>
      <c r="E295" s="80" t="s">
        <v>279</v>
      </c>
      <c r="F295" s="74">
        <f t="shared" ref="F295:F358" ca="1" si="67">VLOOKUP(C295,Кабельный_журнал,8,FALSE)</f>
      </c>
      <c r="G295" s="74">
        <f t="shared" ref="G295:G358" si="68">VLOOKUP(C295,Исходные_данные,21,FALSE)</f>
      </c>
      <c r="H295" s="80" t="s">
        <v>272</v>
      </c>
      <c r="I295" s="74">
        <f t="shared" ref="I295:I358" si="69">VLOOKUP(C295,Исходные_данные,22,FALSE)</f>
      </c>
      <c r="J295" s="74">
        <f t="shared" si="58"/>
      </c>
      <c r="K295" s="80" t="s">
        <v>280</v>
      </c>
      <c r="L295" s="74">
        <f t="shared" si="59"/>
      </c>
      <c r="M295" s="74">
        <f t="shared" ca="1" si="60"/>
      </c>
      <c r="N295" s="74">
        <f ca="1">VLOOKUP(B295,$C$7:$T293,13,FALSE)</f>
      </c>
      <c r="O295" s="74">
        <f t="shared" ca="1" si="61"/>
      </c>
      <c r="P295" s="74">
        <f t="shared" ca="1" si="62"/>
      </c>
      <c r="Q295" s="74">
        <f t="shared" ca="1" si="63"/>
      </c>
      <c r="R295" s="74">
        <f t="shared" si="64"/>
      </c>
      <c r="S295" s="74">
        <f t="shared" ca="1" si="65"/>
      </c>
      <c r="T295" s="74">
        <f t="shared" si="66"/>
      </c>
    </row>
    <row r="296" spans="2:20" x14ac:dyDescent="0.3">
      <c r="B296" s="74">
        <f t="shared" ref="B296:B359" ca="1" si="70">VLOOKUP(C296,Кабельный_журнал,2,FALSE)</f>
      </c>
      <c r="C296" s="78">
        <f>Кабельный_журнал!P262</f>
      </c>
      <c r="D296" s="74">
        <f t="shared" ref="D296:D359" ca="1" si="71">B296&amp;"-"&amp;C296</f>
      </c>
      <c r="E296" s="80" t="s">
        <v>279</v>
      </c>
      <c r="F296" s="74">
        <f t="shared" ca="1" si="67"/>
      </c>
      <c r="G296" s="74">
        <f t="shared" si="68"/>
      </c>
      <c r="H296" s="80" t="s">
        <v>272</v>
      </c>
      <c r="I296" s="74">
        <f t="shared" si="69"/>
      </c>
      <c r="J296" s="74">
        <f t="shared" ref="J296:J359" si="72">I296</f>
      </c>
      <c r="K296" s="80" t="s">
        <v>280</v>
      </c>
      <c r="L296" s="74">
        <f t="shared" ref="L296:L359" si="73">VLOOKUP(K296,$K$2:$L$3,2,FALSE)</f>
      </c>
      <c r="M296" s="74">
        <f t="shared" ref="M296:M359" ca="1" si="74">L296*F296*(1/I296+1/J296)</f>
      </c>
      <c r="N296" s="74">
        <f ca="1">VLOOKUP(B296,$C$7:$T294,13,FALSE)</f>
      </c>
      <c r="O296" s="74">
        <f t="shared" ref="O296:O359" ca="1" si="75">L296+M296</f>
      </c>
      <c r="P296" s="74">
        <f t="shared" ref="P296:P359" ca="1" si="76">220/O296</f>
      </c>
      <c r="Q296" s="74">
        <f t="shared" ref="Q296:Q359" ca="1" si="77">O296/G296</f>
      </c>
      <c r="R296" s="74">
        <f t="shared" ref="R296:R359" si="78">VLOOKUP(H296,$W$2:$Y$12,3,FALSE)</f>
      </c>
      <c r="S296" s="74">
        <f t="shared" ref="S296:S359" ca="1" si="79">_xlfn.IFS(E296="щит",IF(P296&gt;R296,"Увел сеч",IF(T296&gt;P296,"Увел сеч","tср&lt;5с")),E296="потреб",IF(P296&gt;R296,"Увел сеч",IF(T296&gt;P296,"Увел сеч","tср&lt;0.4с")))</f>
      </c>
      <c r="T296" s="74">
        <f t="shared" ref="T296:T359" si="80">G296*VLOOKUP(H296,$W$2:$Y$12,2,FALSE)</f>
      </c>
    </row>
    <row r="297" spans="2:20" x14ac:dyDescent="0.3">
      <c r="B297" s="74">
        <f t="shared" ca="1" si="70"/>
      </c>
      <c r="C297" s="78">
        <f>Кабельный_журнал!P263</f>
      </c>
      <c r="D297" s="74">
        <f t="shared" ca="1" si="71"/>
      </c>
      <c r="E297" s="80" t="s">
        <v>279</v>
      </c>
      <c r="F297" s="74">
        <f t="shared" ca="1" si="67"/>
      </c>
      <c r="G297" s="74">
        <f t="shared" si="68"/>
      </c>
      <c r="H297" s="80" t="s">
        <v>272</v>
      </c>
      <c r="I297" s="74">
        <f t="shared" si="69"/>
      </c>
      <c r="J297" s="74">
        <f t="shared" si="72"/>
      </c>
      <c r="K297" s="80" t="s">
        <v>280</v>
      </c>
      <c r="L297" s="74">
        <f t="shared" si="73"/>
      </c>
      <c r="M297" s="74">
        <f t="shared" ca="1" si="74"/>
      </c>
      <c r="N297" s="74">
        <f ca="1">VLOOKUP(B297,$C$7:$T295,13,FALSE)</f>
      </c>
      <c r="O297" s="74">
        <f t="shared" ca="1" si="75"/>
      </c>
      <c r="P297" s="74">
        <f t="shared" ca="1" si="76"/>
      </c>
      <c r="Q297" s="74">
        <f t="shared" ca="1" si="77"/>
      </c>
      <c r="R297" s="74">
        <f t="shared" si="78"/>
      </c>
      <c r="S297" s="74">
        <f t="shared" ca="1" si="79"/>
      </c>
      <c r="T297" s="74">
        <f t="shared" si="80"/>
      </c>
    </row>
    <row r="298" spans="2:20" x14ac:dyDescent="0.3">
      <c r="B298" s="74">
        <f t="shared" ca="1" si="70"/>
      </c>
      <c r="C298" s="78">
        <f>Кабельный_журнал!P264</f>
      </c>
      <c r="D298" s="74">
        <f t="shared" ca="1" si="71"/>
      </c>
      <c r="E298" s="80" t="s">
        <v>279</v>
      </c>
      <c r="F298" s="74">
        <f t="shared" ca="1" si="67"/>
      </c>
      <c r="G298" s="74">
        <f t="shared" si="68"/>
      </c>
      <c r="H298" s="80" t="s">
        <v>272</v>
      </c>
      <c r="I298" s="74">
        <f t="shared" si="69"/>
      </c>
      <c r="J298" s="74">
        <f t="shared" si="72"/>
      </c>
      <c r="K298" s="80" t="s">
        <v>280</v>
      </c>
      <c r="L298" s="74">
        <f t="shared" si="73"/>
      </c>
      <c r="M298" s="74">
        <f t="shared" ca="1" si="74"/>
      </c>
      <c r="N298" s="74">
        <f ca="1">VLOOKUP(B298,$C$7:$T296,13,FALSE)</f>
      </c>
      <c r="O298" s="74">
        <f t="shared" ca="1" si="75"/>
      </c>
      <c r="P298" s="74">
        <f t="shared" ca="1" si="76"/>
      </c>
      <c r="Q298" s="74">
        <f t="shared" ca="1" si="77"/>
      </c>
      <c r="R298" s="74">
        <f t="shared" si="78"/>
      </c>
      <c r="S298" s="74">
        <f t="shared" ca="1" si="79"/>
      </c>
      <c r="T298" s="74">
        <f t="shared" si="80"/>
      </c>
    </row>
    <row r="299" spans="2:20" x14ac:dyDescent="0.3">
      <c r="B299" s="74">
        <f t="shared" ca="1" si="70"/>
      </c>
      <c r="C299" s="78">
        <f>Кабельный_журнал!P265</f>
      </c>
      <c r="D299" s="74">
        <f t="shared" ca="1" si="71"/>
      </c>
      <c r="E299" s="80" t="s">
        <v>279</v>
      </c>
      <c r="F299" s="74">
        <f t="shared" ca="1" si="67"/>
      </c>
      <c r="G299" s="74">
        <f t="shared" si="68"/>
      </c>
      <c r="H299" s="80" t="s">
        <v>272</v>
      </c>
      <c r="I299" s="74">
        <f t="shared" si="69"/>
      </c>
      <c r="J299" s="74">
        <f t="shared" si="72"/>
      </c>
      <c r="K299" s="80" t="s">
        <v>280</v>
      </c>
      <c r="L299" s="74">
        <f t="shared" si="73"/>
      </c>
      <c r="M299" s="74">
        <f t="shared" ca="1" si="74"/>
      </c>
      <c r="N299" s="74">
        <f ca="1">VLOOKUP(B299,$C$7:$T297,13,FALSE)</f>
      </c>
      <c r="O299" s="74">
        <f t="shared" ca="1" si="75"/>
      </c>
      <c r="P299" s="74">
        <f t="shared" ca="1" si="76"/>
      </c>
      <c r="Q299" s="74">
        <f t="shared" ca="1" si="77"/>
      </c>
      <c r="R299" s="74">
        <f t="shared" si="78"/>
      </c>
      <c r="S299" s="74">
        <f t="shared" ca="1" si="79"/>
      </c>
      <c r="T299" s="74">
        <f t="shared" si="80"/>
      </c>
    </row>
    <row r="300" spans="2:20" x14ac:dyDescent="0.3">
      <c r="B300" s="74">
        <f t="shared" ca="1" si="70"/>
      </c>
      <c r="C300" s="78">
        <f>Кабельный_журнал!P266</f>
      </c>
      <c r="D300" s="74">
        <f t="shared" ca="1" si="71"/>
      </c>
      <c r="E300" s="80" t="s">
        <v>279</v>
      </c>
      <c r="F300" s="74">
        <f t="shared" ca="1" si="67"/>
      </c>
      <c r="G300" s="74">
        <f t="shared" si="68"/>
      </c>
      <c r="H300" s="80" t="s">
        <v>272</v>
      </c>
      <c r="I300" s="74">
        <f t="shared" si="69"/>
      </c>
      <c r="J300" s="74">
        <f t="shared" si="72"/>
      </c>
      <c r="K300" s="80" t="s">
        <v>280</v>
      </c>
      <c r="L300" s="74">
        <f t="shared" si="73"/>
      </c>
      <c r="M300" s="74">
        <f t="shared" ca="1" si="74"/>
      </c>
      <c r="N300" s="74">
        <f ca="1">VLOOKUP(B300,$C$7:$T298,13,FALSE)</f>
      </c>
      <c r="O300" s="74">
        <f t="shared" ca="1" si="75"/>
      </c>
      <c r="P300" s="74">
        <f t="shared" ca="1" si="76"/>
      </c>
      <c r="Q300" s="74">
        <f t="shared" ca="1" si="77"/>
      </c>
      <c r="R300" s="74">
        <f t="shared" si="78"/>
      </c>
      <c r="S300" s="74">
        <f t="shared" ca="1" si="79"/>
      </c>
      <c r="T300" s="74">
        <f t="shared" si="80"/>
      </c>
    </row>
    <row r="301" spans="2:20" x14ac:dyDescent="0.3">
      <c r="B301" s="74">
        <f t="shared" ca="1" si="70"/>
      </c>
      <c r="C301" s="78">
        <f>Кабельный_журнал!P267</f>
      </c>
      <c r="D301" s="74">
        <f t="shared" ca="1" si="71"/>
      </c>
      <c r="E301" s="80" t="s">
        <v>279</v>
      </c>
      <c r="F301" s="74">
        <f t="shared" ca="1" si="67"/>
      </c>
      <c r="G301" s="74">
        <f t="shared" si="68"/>
      </c>
      <c r="H301" s="80" t="s">
        <v>272</v>
      </c>
      <c r="I301" s="74">
        <f t="shared" si="69"/>
      </c>
      <c r="J301" s="74">
        <f t="shared" si="72"/>
      </c>
      <c r="K301" s="80" t="s">
        <v>280</v>
      </c>
      <c r="L301" s="74">
        <f t="shared" si="73"/>
      </c>
      <c r="M301" s="74">
        <f t="shared" ca="1" si="74"/>
      </c>
      <c r="N301" s="74">
        <f ca="1">VLOOKUP(B301,$C$7:$T299,13,FALSE)</f>
      </c>
      <c r="O301" s="74">
        <f t="shared" ca="1" si="75"/>
      </c>
      <c r="P301" s="74">
        <f t="shared" ca="1" si="76"/>
      </c>
      <c r="Q301" s="74">
        <f t="shared" ca="1" si="77"/>
      </c>
      <c r="R301" s="74">
        <f t="shared" si="78"/>
      </c>
      <c r="S301" s="74">
        <f t="shared" ca="1" si="79"/>
      </c>
      <c r="T301" s="74">
        <f t="shared" si="80"/>
      </c>
    </row>
    <row r="302" spans="2:20" x14ac:dyDescent="0.3">
      <c r="B302" s="74">
        <f t="shared" ca="1" si="70"/>
      </c>
      <c r="C302" s="78">
        <f>Кабельный_журнал!P268</f>
      </c>
      <c r="D302" s="74">
        <f t="shared" ca="1" si="71"/>
      </c>
      <c r="E302" s="80" t="s">
        <v>279</v>
      </c>
      <c r="F302" s="74">
        <f t="shared" ca="1" si="67"/>
      </c>
      <c r="G302" s="74">
        <f t="shared" si="68"/>
      </c>
      <c r="H302" s="80" t="s">
        <v>272</v>
      </c>
      <c r="I302" s="74">
        <f t="shared" si="69"/>
      </c>
      <c r="J302" s="74">
        <f t="shared" si="72"/>
      </c>
      <c r="K302" s="80" t="s">
        <v>280</v>
      </c>
      <c r="L302" s="74">
        <f t="shared" si="73"/>
      </c>
      <c r="M302" s="74">
        <f t="shared" ca="1" si="74"/>
      </c>
      <c r="N302" s="74">
        <f ca="1">VLOOKUP(B302,$C$7:$T300,13,FALSE)</f>
      </c>
      <c r="O302" s="74">
        <f t="shared" ca="1" si="75"/>
      </c>
      <c r="P302" s="74">
        <f t="shared" ca="1" si="76"/>
      </c>
      <c r="Q302" s="74">
        <f t="shared" ca="1" si="77"/>
      </c>
      <c r="R302" s="74">
        <f t="shared" si="78"/>
      </c>
      <c r="S302" s="74">
        <f t="shared" ca="1" si="79"/>
      </c>
      <c r="T302" s="74">
        <f t="shared" si="80"/>
      </c>
    </row>
    <row r="303" spans="2:20" x14ac:dyDescent="0.3">
      <c r="B303" s="74">
        <f t="shared" ca="1" si="70"/>
      </c>
      <c r="C303" s="78">
        <f>Кабельный_журнал!P269</f>
      </c>
      <c r="D303" s="74">
        <f t="shared" ca="1" si="71"/>
      </c>
      <c r="E303" s="80" t="s">
        <v>279</v>
      </c>
      <c r="F303" s="74">
        <f t="shared" ca="1" si="67"/>
      </c>
      <c r="G303" s="74">
        <f t="shared" si="68"/>
      </c>
      <c r="H303" s="80" t="s">
        <v>272</v>
      </c>
      <c r="I303" s="74">
        <f t="shared" si="69"/>
      </c>
      <c r="J303" s="74">
        <f t="shared" si="72"/>
      </c>
      <c r="K303" s="80" t="s">
        <v>280</v>
      </c>
      <c r="L303" s="74">
        <f t="shared" si="73"/>
      </c>
      <c r="M303" s="74">
        <f t="shared" ca="1" si="74"/>
      </c>
      <c r="N303" s="74">
        <f ca="1">VLOOKUP(B303,$C$7:$T301,13,FALSE)</f>
      </c>
      <c r="O303" s="74">
        <f t="shared" ca="1" si="75"/>
      </c>
      <c r="P303" s="74">
        <f t="shared" ca="1" si="76"/>
      </c>
      <c r="Q303" s="74">
        <f t="shared" ca="1" si="77"/>
      </c>
      <c r="R303" s="74">
        <f t="shared" si="78"/>
      </c>
      <c r="S303" s="74">
        <f t="shared" ca="1" si="79"/>
      </c>
      <c r="T303" s="74">
        <f t="shared" si="80"/>
      </c>
    </row>
    <row r="304" spans="2:20" x14ac:dyDescent="0.3">
      <c r="B304" s="74">
        <f t="shared" ca="1" si="70"/>
      </c>
      <c r="C304" s="78">
        <f>Кабельный_журнал!P270</f>
      </c>
      <c r="D304" s="74">
        <f t="shared" ca="1" si="71"/>
      </c>
      <c r="E304" s="80" t="s">
        <v>279</v>
      </c>
      <c r="F304" s="74">
        <f t="shared" ca="1" si="67"/>
      </c>
      <c r="G304" s="74">
        <f t="shared" si="68"/>
      </c>
      <c r="H304" s="80" t="s">
        <v>272</v>
      </c>
      <c r="I304" s="74">
        <f t="shared" si="69"/>
      </c>
      <c r="J304" s="74">
        <f t="shared" si="72"/>
      </c>
      <c r="K304" s="80" t="s">
        <v>280</v>
      </c>
      <c r="L304" s="74">
        <f t="shared" si="73"/>
      </c>
      <c r="M304" s="74">
        <f t="shared" ca="1" si="74"/>
      </c>
      <c r="N304" s="74">
        <f ca="1">VLOOKUP(B304,$C$7:$T302,13,FALSE)</f>
      </c>
      <c r="O304" s="74">
        <f t="shared" ca="1" si="75"/>
      </c>
      <c r="P304" s="74">
        <f t="shared" ca="1" si="76"/>
      </c>
      <c r="Q304" s="74">
        <f t="shared" ca="1" si="77"/>
      </c>
      <c r="R304" s="74">
        <f t="shared" si="78"/>
      </c>
      <c r="S304" s="74">
        <f t="shared" ca="1" si="79"/>
      </c>
      <c r="T304" s="74">
        <f t="shared" si="80"/>
      </c>
    </row>
    <row r="305" spans="2:20" x14ac:dyDescent="0.3">
      <c r="B305" s="74">
        <f t="shared" ca="1" si="70"/>
      </c>
      <c r="C305" s="78">
        <f>Кабельный_журнал!P271</f>
      </c>
      <c r="D305" s="74">
        <f t="shared" ca="1" si="71"/>
      </c>
      <c r="E305" s="80" t="s">
        <v>279</v>
      </c>
      <c r="F305" s="74">
        <f t="shared" ca="1" si="67"/>
      </c>
      <c r="G305" s="74">
        <f t="shared" si="68"/>
      </c>
      <c r="H305" s="80" t="s">
        <v>272</v>
      </c>
      <c r="I305" s="74">
        <f t="shared" si="69"/>
      </c>
      <c r="J305" s="74">
        <f t="shared" si="72"/>
      </c>
      <c r="K305" s="80" t="s">
        <v>280</v>
      </c>
      <c r="L305" s="74">
        <f t="shared" si="73"/>
      </c>
      <c r="M305" s="74">
        <f t="shared" ca="1" si="74"/>
      </c>
      <c r="N305" s="74">
        <f ca="1">VLOOKUP(B305,$C$7:$T303,13,FALSE)</f>
      </c>
      <c r="O305" s="74">
        <f t="shared" ca="1" si="75"/>
      </c>
      <c r="P305" s="74">
        <f t="shared" ca="1" si="76"/>
      </c>
      <c r="Q305" s="74">
        <f t="shared" ca="1" si="77"/>
      </c>
      <c r="R305" s="74">
        <f t="shared" si="78"/>
      </c>
      <c r="S305" s="74">
        <f t="shared" ca="1" si="79"/>
      </c>
      <c r="T305" s="74">
        <f t="shared" si="80"/>
      </c>
    </row>
    <row r="306" spans="2:20" x14ac:dyDescent="0.3">
      <c r="B306" s="74">
        <f t="shared" ca="1" si="70"/>
      </c>
      <c r="C306" s="78">
        <f>Кабельный_журнал!P272</f>
      </c>
      <c r="D306" s="74">
        <f t="shared" ca="1" si="71"/>
      </c>
      <c r="E306" s="80" t="s">
        <v>279</v>
      </c>
      <c r="F306" s="74">
        <f t="shared" ca="1" si="67"/>
      </c>
      <c r="G306" s="74">
        <f t="shared" si="68"/>
      </c>
      <c r="H306" s="80" t="s">
        <v>272</v>
      </c>
      <c r="I306" s="74">
        <f t="shared" si="69"/>
      </c>
      <c r="J306" s="74">
        <f t="shared" si="72"/>
      </c>
      <c r="K306" s="80" t="s">
        <v>280</v>
      </c>
      <c r="L306" s="74">
        <f t="shared" si="73"/>
      </c>
      <c r="M306" s="74">
        <f t="shared" ca="1" si="74"/>
      </c>
      <c r="N306" s="74">
        <f ca="1">VLOOKUP(B306,$C$7:$T304,13,FALSE)</f>
      </c>
      <c r="O306" s="74">
        <f t="shared" ca="1" si="75"/>
      </c>
      <c r="P306" s="74">
        <f t="shared" ca="1" si="76"/>
      </c>
      <c r="Q306" s="74">
        <f t="shared" ca="1" si="77"/>
      </c>
      <c r="R306" s="74">
        <f t="shared" si="78"/>
      </c>
      <c r="S306" s="74">
        <f t="shared" ca="1" si="79"/>
      </c>
      <c r="T306" s="74">
        <f t="shared" si="80"/>
      </c>
    </row>
    <row r="307" spans="2:20" x14ac:dyDescent="0.3">
      <c r="B307" s="74">
        <f t="shared" ca="1" si="70"/>
      </c>
      <c r="C307" s="78">
        <f>Кабельный_журнал!P273</f>
      </c>
      <c r="D307" s="74">
        <f t="shared" ca="1" si="71"/>
      </c>
      <c r="E307" s="80" t="s">
        <v>279</v>
      </c>
      <c r="F307" s="74">
        <f t="shared" ca="1" si="67"/>
      </c>
      <c r="G307" s="74">
        <f t="shared" si="68"/>
      </c>
      <c r="H307" s="80" t="s">
        <v>272</v>
      </c>
      <c r="I307" s="74">
        <f t="shared" si="69"/>
      </c>
      <c r="J307" s="74">
        <f t="shared" si="72"/>
      </c>
      <c r="K307" s="80" t="s">
        <v>280</v>
      </c>
      <c r="L307" s="74">
        <f t="shared" si="73"/>
      </c>
      <c r="M307" s="74">
        <f t="shared" ca="1" si="74"/>
      </c>
      <c r="N307" s="74">
        <f ca="1">VLOOKUP(B307,$C$7:$T305,13,FALSE)</f>
      </c>
      <c r="O307" s="74">
        <f t="shared" ca="1" si="75"/>
      </c>
      <c r="P307" s="74">
        <f t="shared" ca="1" si="76"/>
      </c>
      <c r="Q307" s="74">
        <f t="shared" ca="1" si="77"/>
      </c>
      <c r="R307" s="74">
        <f t="shared" si="78"/>
      </c>
      <c r="S307" s="74">
        <f t="shared" ca="1" si="79"/>
      </c>
      <c r="T307" s="74">
        <f t="shared" si="80"/>
      </c>
    </row>
    <row r="308" spans="2:20" x14ac:dyDescent="0.3">
      <c r="B308" s="74">
        <f t="shared" ca="1" si="70"/>
      </c>
      <c r="C308" s="78">
        <f>Кабельный_журнал!P274</f>
      </c>
      <c r="D308" s="74">
        <f t="shared" ca="1" si="71"/>
      </c>
      <c r="E308" s="80" t="s">
        <v>279</v>
      </c>
      <c r="F308" s="74">
        <f t="shared" ca="1" si="67"/>
      </c>
      <c r="G308" s="74">
        <f t="shared" si="68"/>
      </c>
      <c r="H308" s="80" t="s">
        <v>272</v>
      </c>
      <c r="I308" s="74">
        <f t="shared" si="69"/>
      </c>
      <c r="J308" s="74">
        <f t="shared" si="72"/>
      </c>
      <c r="K308" s="80" t="s">
        <v>280</v>
      </c>
      <c r="L308" s="74">
        <f t="shared" si="73"/>
      </c>
      <c r="M308" s="74">
        <f t="shared" ca="1" si="74"/>
      </c>
      <c r="N308" s="74">
        <f ca="1">VLOOKUP(B308,$C$7:$T306,13,FALSE)</f>
      </c>
      <c r="O308" s="74">
        <f t="shared" ca="1" si="75"/>
      </c>
      <c r="P308" s="74">
        <f t="shared" ca="1" si="76"/>
      </c>
      <c r="Q308" s="74">
        <f t="shared" ca="1" si="77"/>
      </c>
      <c r="R308" s="74">
        <f t="shared" si="78"/>
      </c>
      <c r="S308" s="74">
        <f t="shared" ca="1" si="79"/>
      </c>
      <c r="T308" s="74">
        <f t="shared" si="80"/>
      </c>
    </row>
    <row r="309" spans="2:20" x14ac:dyDescent="0.3">
      <c r="B309" s="74">
        <f t="shared" ca="1" si="70"/>
      </c>
      <c r="C309" s="78">
        <f>Кабельный_журнал!P275</f>
      </c>
      <c r="D309" s="74">
        <f t="shared" ca="1" si="71"/>
      </c>
      <c r="E309" s="80" t="s">
        <v>279</v>
      </c>
      <c r="F309" s="74">
        <f t="shared" ca="1" si="67"/>
      </c>
      <c r="G309" s="74">
        <f t="shared" si="68"/>
      </c>
      <c r="H309" s="80" t="s">
        <v>272</v>
      </c>
      <c r="I309" s="74">
        <f t="shared" si="69"/>
      </c>
      <c r="J309" s="74">
        <f t="shared" si="72"/>
      </c>
      <c r="K309" s="80" t="s">
        <v>280</v>
      </c>
      <c r="L309" s="74">
        <f t="shared" si="73"/>
      </c>
      <c r="M309" s="74">
        <f t="shared" ca="1" si="74"/>
      </c>
      <c r="N309" s="74">
        <f ca="1">VLOOKUP(B309,$C$7:$T307,13,FALSE)</f>
      </c>
      <c r="O309" s="74">
        <f t="shared" ca="1" si="75"/>
      </c>
      <c r="P309" s="74">
        <f t="shared" ca="1" si="76"/>
      </c>
      <c r="Q309" s="74">
        <f t="shared" ca="1" si="77"/>
      </c>
      <c r="R309" s="74">
        <f t="shared" si="78"/>
      </c>
      <c r="S309" s="74">
        <f t="shared" ca="1" si="79"/>
      </c>
      <c r="T309" s="74">
        <f t="shared" si="80"/>
      </c>
    </row>
    <row r="310" spans="2:20" x14ac:dyDescent="0.3">
      <c r="B310" s="74">
        <f t="shared" ca="1" si="70"/>
      </c>
      <c r="C310" s="78">
        <f>Кабельный_журнал!P276</f>
      </c>
      <c r="D310" s="74">
        <f t="shared" ca="1" si="71"/>
      </c>
      <c r="E310" s="80" t="s">
        <v>279</v>
      </c>
      <c r="F310" s="74">
        <f t="shared" ca="1" si="67"/>
      </c>
      <c r="G310" s="74">
        <f t="shared" si="68"/>
      </c>
      <c r="H310" s="80" t="s">
        <v>272</v>
      </c>
      <c r="I310" s="74">
        <f t="shared" si="69"/>
      </c>
      <c r="J310" s="74">
        <f t="shared" si="72"/>
      </c>
      <c r="K310" s="80" t="s">
        <v>280</v>
      </c>
      <c r="L310" s="74">
        <f t="shared" si="73"/>
      </c>
      <c r="M310" s="74">
        <f t="shared" ca="1" si="74"/>
      </c>
      <c r="N310" s="74">
        <f ca="1">VLOOKUP(B310,$C$7:$T308,13,FALSE)</f>
      </c>
      <c r="O310" s="74">
        <f t="shared" ca="1" si="75"/>
      </c>
      <c r="P310" s="74">
        <f t="shared" ca="1" si="76"/>
      </c>
      <c r="Q310" s="74">
        <f t="shared" ca="1" si="77"/>
      </c>
      <c r="R310" s="74">
        <f t="shared" si="78"/>
      </c>
      <c r="S310" s="74">
        <f t="shared" ca="1" si="79"/>
      </c>
      <c r="T310" s="74">
        <f t="shared" si="80"/>
      </c>
    </row>
    <row r="311" spans="2:20" x14ac:dyDescent="0.3">
      <c r="B311" s="74">
        <f t="shared" ca="1" si="70"/>
      </c>
      <c r="C311" s="78">
        <f>Кабельный_журнал!P277</f>
      </c>
      <c r="D311" s="74">
        <f t="shared" ca="1" si="71"/>
      </c>
      <c r="E311" s="80" t="s">
        <v>279</v>
      </c>
      <c r="F311" s="74">
        <f t="shared" ca="1" si="67"/>
      </c>
      <c r="G311" s="74">
        <f t="shared" si="68"/>
      </c>
      <c r="H311" s="80" t="s">
        <v>272</v>
      </c>
      <c r="I311" s="74">
        <f t="shared" si="69"/>
      </c>
      <c r="J311" s="74">
        <f t="shared" si="72"/>
      </c>
      <c r="K311" s="80" t="s">
        <v>280</v>
      </c>
      <c r="L311" s="74">
        <f t="shared" si="73"/>
      </c>
      <c r="M311" s="74">
        <f t="shared" ca="1" si="74"/>
      </c>
      <c r="N311" s="74">
        <f ca="1">VLOOKUP(B311,$C$7:$T309,13,FALSE)</f>
      </c>
      <c r="O311" s="74">
        <f t="shared" ca="1" si="75"/>
      </c>
      <c r="P311" s="74">
        <f t="shared" ca="1" si="76"/>
      </c>
      <c r="Q311" s="74">
        <f t="shared" ca="1" si="77"/>
      </c>
      <c r="R311" s="74">
        <f t="shared" si="78"/>
      </c>
      <c r="S311" s="74">
        <f t="shared" ca="1" si="79"/>
      </c>
      <c r="T311" s="74">
        <f t="shared" si="80"/>
      </c>
    </row>
    <row r="312" spans="2:20" x14ac:dyDescent="0.3">
      <c r="B312" s="74">
        <f t="shared" ca="1" si="70"/>
      </c>
      <c r="C312" s="78">
        <f>Кабельный_журнал!P278</f>
      </c>
      <c r="D312" s="74">
        <f t="shared" ca="1" si="71"/>
      </c>
      <c r="E312" s="80" t="s">
        <v>279</v>
      </c>
      <c r="F312" s="74">
        <f t="shared" ca="1" si="67"/>
      </c>
      <c r="G312" s="74">
        <f t="shared" si="68"/>
      </c>
      <c r="H312" s="80" t="s">
        <v>272</v>
      </c>
      <c r="I312" s="74">
        <f t="shared" si="69"/>
      </c>
      <c r="J312" s="74">
        <f t="shared" si="72"/>
      </c>
      <c r="K312" s="80" t="s">
        <v>280</v>
      </c>
      <c r="L312" s="74">
        <f t="shared" si="73"/>
      </c>
      <c r="M312" s="74">
        <f t="shared" ca="1" si="74"/>
      </c>
      <c r="N312" s="74">
        <f ca="1">VLOOKUP(B312,$C$7:$T310,13,FALSE)</f>
      </c>
      <c r="O312" s="74">
        <f t="shared" ca="1" si="75"/>
      </c>
      <c r="P312" s="74">
        <f t="shared" ca="1" si="76"/>
      </c>
      <c r="Q312" s="74">
        <f t="shared" ca="1" si="77"/>
      </c>
      <c r="R312" s="74">
        <f t="shared" si="78"/>
      </c>
      <c r="S312" s="74">
        <f t="shared" ca="1" si="79"/>
      </c>
      <c r="T312" s="74">
        <f t="shared" si="80"/>
      </c>
    </row>
    <row r="313" spans="2:20" x14ac:dyDescent="0.3">
      <c r="B313" s="74">
        <f t="shared" ca="1" si="70"/>
      </c>
      <c r="C313" s="78">
        <f>Кабельный_журнал!P279</f>
      </c>
      <c r="D313" s="74">
        <f t="shared" ca="1" si="71"/>
      </c>
      <c r="E313" s="80" t="s">
        <v>279</v>
      </c>
      <c r="F313" s="74">
        <f t="shared" ca="1" si="67"/>
      </c>
      <c r="G313" s="74">
        <f t="shared" si="68"/>
      </c>
      <c r="H313" s="80" t="s">
        <v>272</v>
      </c>
      <c r="I313" s="74">
        <f t="shared" si="69"/>
      </c>
      <c r="J313" s="74">
        <f t="shared" si="72"/>
      </c>
      <c r="K313" s="80" t="s">
        <v>280</v>
      </c>
      <c r="L313" s="74">
        <f t="shared" si="73"/>
      </c>
      <c r="M313" s="74">
        <f t="shared" ca="1" si="74"/>
      </c>
      <c r="N313" s="74">
        <f ca="1">VLOOKUP(B313,$C$7:$T311,13,FALSE)</f>
      </c>
      <c r="O313" s="74">
        <f t="shared" ca="1" si="75"/>
      </c>
      <c r="P313" s="74">
        <f t="shared" ca="1" si="76"/>
      </c>
      <c r="Q313" s="74">
        <f t="shared" ca="1" si="77"/>
      </c>
      <c r="R313" s="74">
        <f t="shared" si="78"/>
      </c>
      <c r="S313" s="74">
        <f t="shared" ca="1" si="79"/>
      </c>
      <c r="T313" s="74">
        <f t="shared" si="80"/>
      </c>
    </row>
    <row r="314" spans="2:20" x14ac:dyDescent="0.3">
      <c r="B314" s="74">
        <f t="shared" ca="1" si="70"/>
      </c>
      <c r="C314" s="78">
        <f>Кабельный_журнал!P280</f>
      </c>
      <c r="D314" s="74">
        <f t="shared" ca="1" si="71"/>
      </c>
      <c r="E314" s="80" t="s">
        <v>279</v>
      </c>
      <c r="F314" s="74">
        <f t="shared" ca="1" si="67"/>
      </c>
      <c r="G314" s="74">
        <f t="shared" si="68"/>
      </c>
      <c r="H314" s="80" t="s">
        <v>272</v>
      </c>
      <c r="I314" s="74">
        <f t="shared" si="69"/>
      </c>
      <c r="J314" s="74">
        <f t="shared" si="72"/>
      </c>
      <c r="K314" s="80" t="s">
        <v>280</v>
      </c>
      <c r="L314" s="74">
        <f t="shared" si="73"/>
      </c>
      <c r="M314" s="74">
        <f t="shared" ca="1" si="74"/>
      </c>
      <c r="N314" s="74">
        <f ca="1">VLOOKUP(B314,$C$7:$T312,13,FALSE)</f>
      </c>
      <c r="O314" s="74">
        <f t="shared" ca="1" si="75"/>
      </c>
      <c r="P314" s="74">
        <f t="shared" ca="1" si="76"/>
      </c>
      <c r="Q314" s="74">
        <f t="shared" ca="1" si="77"/>
      </c>
      <c r="R314" s="74">
        <f t="shared" si="78"/>
      </c>
      <c r="S314" s="74">
        <f t="shared" ca="1" si="79"/>
      </c>
      <c r="T314" s="74">
        <f t="shared" si="80"/>
      </c>
    </row>
    <row r="315" spans="2:20" x14ac:dyDescent="0.3">
      <c r="B315" s="74">
        <f t="shared" ca="1" si="70"/>
      </c>
      <c r="C315" s="78">
        <f>Кабельный_журнал!P281</f>
      </c>
      <c r="D315" s="74">
        <f t="shared" ca="1" si="71"/>
      </c>
      <c r="E315" s="80" t="s">
        <v>279</v>
      </c>
      <c r="F315" s="74">
        <f t="shared" ca="1" si="67"/>
      </c>
      <c r="G315" s="74">
        <f t="shared" si="68"/>
      </c>
      <c r="H315" s="80" t="s">
        <v>272</v>
      </c>
      <c r="I315" s="74">
        <f t="shared" si="69"/>
      </c>
      <c r="J315" s="74">
        <f t="shared" si="72"/>
      </c>
      <c r="K315" s="80" t="s">
        <v>280</v>
      </c>
      <c r="L315" s="74">
        <f t="shared" si="73"/>
      </c>
      <c r="M315" s="74">
        <f t="shared" ca="1" si="74"/>
      </c>
      <c r="N315" s="74">
        <f ca="1">VLOOKUP(B315,$C$7:$T313,13,FALSE)</f>
      </c>
      <c r="O315" s="74">
        <f t="shared" ca="1" si="75"/>
      </c>
      <c r="P315" s="74">
        <f t="shared" ca="1" si="76"/>
      </c>
      <c r="Q315" s="74">
        <f t="shared" ca="1" si="77"/>
      </c>
      <c r="R315" s="74">
        <f t="shared" si="78"/>
      </c>
      <c r="S315" s="74">
        <f t="shared" ca="1" si="79"/>
      </c>
      <c r="T315" s="74">
        <f t="shared" si="80"/>
      </c>
    </row>
    <row r="316" spans="2:20" x14ac:dyDescent="0.3">
      <c r="B316" s="74">
        <f t="shared" ca="1" si="70"/>
      </c>
      <c r="C316" s="78">
        <f>Кабельный_журнал!P282</f>
      </c>
      <c r="D316" s="74">
        <f t="shared" ca="1" si="71"/>
      </c>
      <c r="E316" s="80" t="s">
        <v>279</v>
      </c>
      <c r="F316" s="74">
        <f t="shared" ca="1" si="67"/>
      </c>
      <c r="G316" s="74">
        <f t="shared" si="68"/>
      </c>
      <c r="H316" s="80" t="s">
        <v>272</v>
      </c>
      <c r="I316" s="74">
        <f t="shared" si="69"/>
      </c>
      <c r="J316" s="74">
        <f t="shared" si="72"/>
      </c>
      <c r="K316" s="80" t="s">
        <v>280</v>
      </c>
      <c r="L316" s="74">
        <f t="shared" si="73"/>
      </c>
      <c r="M316" s="74">
        <f t="shared" ca="1" si="74"/>
      </c>
      <c r="N316" s="74">
        <f ca="1">VLOOKUP(B316,$C$7:$T314,13,FALSE)</f>
      </c>
      <c r="O316" s="74">
        <f t="shared" ca="1" si="75"/>
      </c>
      <c r="P316" s="74">
        <f t="shared" ca="1" si="76"/>
      </c>
      <c r="Q316" s="74">
        <f t="shared" ca="1" si="77"/>
      </c>
      <c r="R316" s="74">
        <f t="shared" si="78"/>
      </c>
      <c r="S316" s="74">
        <f t="shared" ca="1" si="79"/>
      </c>
      <c r="T316" s="74">
        <f t="shared" si="80"/>
      </c>
    </row>
    <row r="317" spans="2:20" x14ac:dyDescent="0.3">
      <c r="B317" s="74">
        <f t="shared" ca="1" si="70"/>
      </c>
      <c r="C317" s="78">
        <f>Кабельный_журнал!P283</f>
      </c>
      <c r="D317" s="74">
        <f t="shared" ca="1" si="71"/>
      </c>
      <c r="E317" s="80" t="s">
        <v>279</v>
      </c>
      <c r="F317" s="74">
        <f t="shared" ca="1" si="67"/>
      </c>
      <c r="G317" s="74">
        <f t="shared" si="68"/>
      </c>
      <c r="H317" s="80" t="s">
        <v>272</v>
      </c>
      <c r="I317" s="74">
        <f t="shared" si="69"/>
      </c>
      <c r="J317" s="74">
        <f t="shared" si="72"/>
      </c>
      <c r="K317" s="80" t="s">
        <v>280</v>
      </c>
      <c r="L317" s="74">
        <f t="shared" si="73"/>
      </c>
      <c r="M317" s="74">
        <f t="shared" ca="1" si="74"/>
      </c>
      <c r="N317" s="74">
        <f ca="1">VLOOKUP(B317,$C$7:$T315,13,FALSE)</f>
      </c>
      <c r="O317" s="74">
        <f t="shared" ca="1" si="75"/>
      </c>
      <c r="P317" s="74">
        <f t="shared" ca="1" si="76"/>
      </c>
      <c r="Q317" s="74">
        <f t="shared" ca="1" si="77"/>
      </c>
      <c r="R317" s="74">
        <f t="shared" si="78"/>
      </c>
      <c r="S317" s="74">
        <f t="shared" ca="1" si="79"/>
      </c>
      <c r="T317" s="74">
        <f t="shared" si="80"/>
      </c>
    </row>
    <row r="318" spans="2:20" x14ac:dyDescent="0.3">
      <c r="B318" s="74">
        <f t="shared" ca="1" si="70"/>
      </c>
      <c r="C318" s="78">
        <f>Кабельный_журнал!P284</f>
      </c>
      <c r="D318" s="74">
        <f t="shared" ca="1" si="71"/>
      </c>
      <c r="E318" s="80" t="s">
        <v>279</v>
      </c>
      <c r="F318" s="74">
        <f t="shared" ca="1" si="67"/>
      </c>
      <c r="G318" s="74">
        <f t="shared" si="68"/>
      </c>
      <c r="H318" s="80" t="s">
        <v>272</v>
      </c>
      <c r="I318" s="74">
        <f t="shared" si="69"/>
      </c>
      <c r="J318" s="74">
        <f t="shared" si="72"/>
      </c>
      <c r="K318" s="80" t="s">
        <v>280</v>
      </c>
      <c r="L318" s="74">
        <f t="shared" si="73"/>
      </c>
      <c r="M318" s="74">
        <f t="shared" ca="1" si="74"/>
      </c>
      <c r="N318" s="74">
        <f ca="1">VLOOKUP(B318,$C$7:$T316,13,FALSE)</f>
      </c>
      <c r="O318" s="74">
        <f t="shared" ca="1" si="75"/>
      </c>
      <c r="P318" s="74">
        <f t="shared" ca="1" si="76"/>
      </c>
      <c r="Q318" s="74">
        <f t="shared" ca="1" si="77"/>
      </c>
      <c r="R318" s="74">
        <f t="shared" si="78"/>
      </c>
      <c r="S318" s="74">
        <f t="shared" ca="1" si="79"/>
      </c>
      <c r="T318" s="74">
        <f t="shared" si="80"/>
      </c>
    </row>
    <row r="319" spans="2:20" x14ac:dyDescent="0.3">
      <c r="B319" s="74">
        <f t="shared" ca="1" si="70"/>
      </c>
      <c r="C319" s="78">
        <f>Кабельный_журнал!P285</f>
      </c>
      <c r="D319" s="74">
        <f t="shared" ca="1" si="71"/>
      </c>
      <c r="E319" s="80" t="s">
        <v>279</v>
      </c>
      <c r="F319" s="74">
        <f t="shared" ca="1" si="67"/>
      </c>
      <c r="G319" s="74">
        <f t="shared" si="68"/>
      </c>
      <c r="H319" s="80" t="s">
        <v>272</v>
      </c>
      <c r="I319" s="74">
        <f t="shared" si="69"/>
      </c>
      <c r="J319" s="74">
        <f t="shared" si="72"/>
      </c>
      <c r="K319" s="80" t="s">
        <v>280</v>
      </c>
      <c r="L319" s="74">
        <f t="shared" si="73"/>
      </c>
      <c r="M319" s="74">
        <f t="shared" ca="1" si="74"/>
      </c>
      <c r="N319" s="74">
        <f ca="1">VLOOKUP(B319,$C$7:$T317,13,FALSE)</f>
      </c>
      <c r="O319" s="74">
        <f t="shared" ca="1" si="75"/>
      </c>
      <c r="P319" s="74">
        <f t="shared" ca="1" si="76"/>
      </c>
      <c r="Q319" s="74">
        <f t="shared" ca="1" si="77"/>
      </c>
      <c r="R319" s="74">
        <f t="shared" si="78"/>
      </c>
      <c r="S319" s="74">
        <f t="shared" ca="1" si="79"/>
      </c>
      <c r="T319" s="74">
        <f t="shared" si="80"/>
      </c>
    </row>
    <row r="320" spans="2:20" x14ac:dyDescent="0.3">
      <c r="B320" s="74">
        <f t="shared" ca="1" si="70"/>
      </c>
      <c r="C320" s="78">
        <f>Кабельный_журнал!P286</f>
      </c>
      <c r="D320" s="74">
        <f t="shared" ca="1" si="71"/>
      </c>
      <c r="E320" s="80" t="s">
        <v>279</v>
      </c>
      <c r="F320" s="74">
        <f t="shared" ca="1" si="67"/>
      </c>
      <c r="G320" s="74">
        <f t="shared" si="68"/>
      </c>
      <c r="H320" s="80" t="s">
        <v>272</v>
      </c>
      <c r="I320" s="74">
        <f t="shared" si="69"/>
      </c>
      <c r="J320" s="74">
        <f t="shared" si="72"/>
      </c>
      <c r="K320" s="80" t="s">
        <v>280</v>
      </c>
      <c r="L320" s="74">
        <f t="shared" si="73"/>
      </c>
      <c r="M320" s="74">
        <f t="shared" ca="1" si="74"/>
      </c>
      <c r="N320" s="74">
        <f ca="1">VLOOKUP(B320,$C$7:$T318,13,FALSE)</f>
      </c>
      <c r="O320" s="74">
        <f t="shared" ca="1" si="75"/>
      </c>
      <c r="P320" s="74">
        <f t="shared" ca="1" si="76"/>
      </c>
      <c r="Q320" s="74">
        <f t="shared" ca="1" si="77"/>
      </c>
      <c r="R320" s="74">
        <f t="shared" si="78"/>
      </c>
      <c r="S320" s="74">
        <f t="shared" ca="1" si="79"/>
      </c>
      <c r="T320" s="74">
        <f t="shared" si="80"/>
      </c>
    </row>
    <row r="321" spans="2:20" x14ac:dyDescent="0.3">
      <c r="B321" s="74">
        <f t="shared" ca="1" si="70"/>
      </c>
      <c r="C321" s="78">
        <f>Кабельный_журнал!P287</f>
      </c>
      <c r="D321" s="74">
        <f t="shared" ca="1" si="71"/>
      </c>
      <c r="E321" s="80" t="s">
        <v>279</v>
      </c>
      <c r="F321" s="74">
        <f t="shared" ca="1" si="67"/>
      </c>
      <c r="G321" s="74">
        <f t="shared" si="68"/>
      </c>
      <c r="H321" s="80" t="s">
        <v>272</v>
      </c>
      <c r="I321" s="74">
        <f t="shared" si="69"/>
      </c>
      <c r="J321" s="74">
        <f t="shared" si="72"/>
      </c>
      <c r="K321" s="80" t="s">
        <v>280</v>
      </c>
      <c r="L321" s="74">
        <f t="shared" si="73"/>
      </c>
      <c r="M321" s="74">
        <f t="shared" ca="1" si="74"/>
      </c>
      <c r="N321" s="74">
        <f ca="1">VLOOKUP(B321,$C$7:$T319,13,FALSE)</f>
      </c>
      <c r="O321" s="74">
        <f t="shared" ca="1" si="75"/>
      </c>
      <c r="P321" s="74">
        <f t="shared" ca="1" si="76"/>
      </c>
      <c r="Q321" s="74">
        <f t="shared" ca="1" si="77"/>
      </c>
      <c r="R321" s="74">
        <f t="shared" si="78"/>
      </c>
      <c r="S321" s="74">
        <f t="shared" ca="1" si="79"/>
      </c>
      <c r="T321" s="74">
        <f t="shared" si="80"/>
      </c>
    </row>
    <row r="322" spans="2:20" x14ac:dyDescent="0.3">
      <c r="B322" s="74">
        <f t="shared" ca="1" si="70"/>
      </c>
      <c r="C322" s="78">
        <f>Кабельный_журнал!P288</f>
      </c>
      <c r="D322" s="74">
        <f t="shared" ca="1" si="71"/>
      </c>
      <c r="E322" s="80" t="s">
        <v>279</v>
      </c>
      <c r="F322" s="74">
        <f t="shared" ca="1" si="67"/>
      </c>
      <c r="G322" s="74">
        <f t="shared" si="68"/>
      </c>
      <c r="H322" s="80" t="s">
        <v>272</v>
      </c>
      <c r="I322" s="74">
        <f t="shared" si="69"/>
      </c>
      <c r="J322" s="74">
        <f t="shared" si="72"/>
      </c>
      <c r="K322" s="80" t="s">
        <v>280</v>
      </c>
      <c r="L322" s="74">
        <f t="shared" si="73"/>
      </c>
      <c r="M322" s="74">
        <f t="shared" ca="1" si="74"/>
      </c>
      <c r="N322" s="74">
        <f ca="1">VLOOKUP(B322,$C$7:$T320,13,FALSE)</f>
      </c>
      <c r="O322" s="74">
        <f t="shared" ca="1" si="75"/>
      </c>
      <c r="P322" s="74">
        <f t="shared" ca="1" si="76"/>
      </c>
      <c r="Q322" s="74">
        <f t="shared" ca="1" si="77"/>
      </c>
      <c r="R322" s="74">
        <f t="shared" si="78"/>
      </c>
      <c r="S322" s="74">
        <f t="shared" ca="1" si="79"/>
      </c>
      <c r="T322" s="74">
        <f t="shared" si="80"/>
      </c>
    </row>
    <row r="323" spans="2:20" x14ac:dyDescent="0.3">
      <c r="B323" s="74">
        <f t="shared" ca="1" si="70"/>
      </c>
      <c r="C323" s="78">
        <f>Кабельный_журнал!P289</f>
      </c>
      <c r="D323" s="74">
        <f t="shared" ca="1" si="71"/>
      </c>
      <c r="E323" s="80" t="s">
        <v>279</v>
      </c>
      <c r="F323" s="74">
        <f t="shared" ca="1" si="67"/>
      </c>
      <c r="G323" s="74">
        <f t="shared" si="68"/>
      </c>
      <c r="H323" s="80" t="s">
        <v>272</v>
      </c>
      <c r="I323" s="74">
        <f t="shared" si="69"/>
      </c>
      <c r="J323" s="74">
        <f t="shared" si="72"/>
      </c>
      <c r="K323" s="80" t="s">
        <v>280</v>
      </c>
      <c r="L323" s="74">
        <f t="shared" si="73"/>
      </c>
      <c r="M323" s="74">
        <f t="shared" ca="1" si="74"/>
      </c>
      <c r="N323" s="74">
        <f ca="1">VLOOKUP(B323,$C$7:$T321,13,FALSE)</f>
      </c>
      <c r="O323" s="74">
        <f t="shared" ca="1" si="75"/>
      </c>
      <c r="P323" s="74">
        <f t="shared" ca="1" si="76"/>
      </c>
      <c r="Q323" s="74">
        <f t="shared" ca="1" si="77"/>
      </c>
      <c r="R323" s="74">
        <f t="shared" si="78"/>
      </c>
      <c r="S323" s="74">
        <f t="shared" ca="1" si="79"/>
      </c>
      <c r="T323" s="74">
        <f t="shared" si="80"/>
      </c>
    </row>
    <row r="324" spans="2:20" x14ac:dyDescent="0.3">
      <c r="B324" s="74">
        <f t="shared" ca="1" si="70"/>
      </c>
      <c r="C324" s="78">
        <f>Кабельный_журнал!P290</f>
      </c>
      <c r="D324" s="74">
        <f t="shared" ca="1" si="71"/>
      </c>
      <c r="E324" s="80" t="s">
        <v>279</v>
      </c>
      <c r="F324" s="74">
        <f t="shared" ca="1" si="67"/>
      </c>
      <c r="G324" s="74">
        <f t="shared" si="68"/>
      </c>
      <c r="H324" s="80" t="s">
        <v>272</v>
      </c>
      <c r="I324" s="74">
        <f t="shared" si="69"/>
      </c>
      <c r="J324" s="74">
        <f t="shared" si="72"/>
      </c>
      <c r="K324" s="80" t="s">
        <v>280</v>
      </c>
      <c r="L324" s="74">
        <f t="shared" si="73"/>
      </c>
      <c r="M324" s="74">
        <f t="shared" ca="1" si="74"/>
      </c>
      <c r="N324" s="74">
        <f ca="1">VLOOKUP(B324,$C$7:$T322,13,FALSE)</f>
      </c>
      <c r="O324" s="74">
        <f t="shared" ca="1" si="75"/>
      </c>
      <c r="P324" s="74">
        <f t="shared" ca="1" si="76"/>
      </c>
      <c r="Q324" s="74">
        <f t="shared" ca="1" si="77"/>
      </c>
      <c r="R324" s="74">
        <f t="shared" si="78"/>
      </c>
      <c r="S324" s="74">
        <f t="shared" ca="1" si="79"/>
      </c>
      <c r="T324" s="74">
        <f t="shared" si="80"/>
      </c>
    </row>
    <row r="325" spans="2:20" x14ac:dyDescent="0.3">
      <c r="B325" s="74">
        <f t="shared" ca="1" si="70"/>
      </c>
      <c r="C325" s="78">
        <f>Кабельный_журнал!P291</f>
      </c>
      <c r="D325" s="74">
        <f t="shared" ca="1" si="71"/>
      </c>
      <c r="E325" s="80" t="s">
        <v>279</v>
      </c>
      <c r="F325" s="74">
        <f t="shared" ca="1" si="67"/>
      </c>
      <c r="G325" s="74">
        <f t="shared" si="68"/>
      </c>
      <c r="H325" s="80" t="s">
        <v>272</v>
      </c>
      <c r="I325" s="74">
        <f t="shared" si="69"/>
      </c>
      <c r="J325" s="74">
        <f t="shared" si="72"/>
      </c>
      <c r="K325" s="80" t="s">
        <v>280</v>
      </c>
      <c r="L325" s="74">
        <f t="shared" si="73"/>
      </c>
      <c r="M325" s="74">
        <f t="shared" ca="1" si="74"/>
      </c>
      <c r="N325" s="74">
        <f ca="1">VLOOKUP(B325,$C$7:$T323,13,FALSE)</f>
      </c>
      <c r="O325" s="74">
        <f t="shared" ca="1" si="75"/>
      </c>
      <c r="P325" s="74">
        <f t="shared" ca="1" si="76"/>
      </c>
      <c r="Q325" s="74">
        <f t="shared" ca="1" si="77"/>
      </c>
      <c r="R325" s="74">
        <f t="shared" si="78"/>
      </c>
      <c r="S325" s="74">
        <f t="shared" ca="1" si="79"/>
      </c>
      <c r="T325" s="74">
        <f t="shared" si="80"/>
      </c>
    </row>
    <row r="326" spans="2:20" x14ac:dyDescent="0.3">
      <c r="B326" s="74">
        <f t="shared" ca="1" si="70"/>
      </c>
      <c r="C326" s="78">
        <f>Кабельный_журнал!P292</f>
      </c>
      <c r="D326" s="74">
        <f t="shared" ca="1" si="71"/>
      </c>
      <c r="E326" s="80" t="s">
        <v>279</v>
      </c>
      <c r="F326" s="74">
        <f t="shared" ca="1" si="67"/>
      </c>
      <c r="G326" s="74">
        <f t="shared" si="68"/>
      </c>
      <c r="H326" s="80" t="s">
        <v>272</v>
      </c>
      <c r="I326" s="74">
        <f t="shared" si="69"/>
      </c>
      <c r="J326" s="74">
        <f t="shared" si="72"/>
      </c>
      <c r="K326" s="80" t="s">
        <v>280</v>
      </c>
      <c r="L326" s="74">
        <f t="shared" si="73"/>
      </c>
      <c r="M326" s="74">
        <f t="shared" ca="1" si="74"/>
      </c>
      <c r="N326" s="74">
        <f ca="1">VLOOKUP(B326,$C$7:$T324,13,FALSE)</f>
      </c>
      <c r="O326" s="74">
        <f t="shared" ca="1" si="75"/>
      </c>
      <c r="P326" s="74">
        <f t="shared" ca="1" si="76"/>
      </c>
      <c r="Q326" s="74">
        <f t="shared" ca="1" si="77"/>
      </c>
      <c r="R326" s="74">
        <f t="shared" si="78"/>
      </c>
      <c r="S326" s="74">
        <f t="shared" ca="1" si="79"/>
      </c>
      <c r="T326" s="74">
        <f t="shared" si="80"/>
      </c>
    </row>
    <row r="327" spans="2:20" x14ac:dyDescent="0.3">
      <c r="B327" s="74">
        <f t="shared" ca="1" si="70"/>
      </c>
      <c r="C327" s="78">
        <f>Кабельный_журнал!P293</f>
      </c>
      <c r="D327" s="74">
        <f t="shared" ca="1" si="71"/>
      </c>
      <c r="E327" s="80" t="s">
        <v>279</v>
      </c>
      <c r="F327" s="74">
        <f t="shared" ca="1" si="67"/>
      </c>
      <c r="G327" s="74">
        <f t="shared" si="68"/>
      </c>
      <c r="H327" s="80" t="s">
        <v>272</v>
      </c>
      <c r="I327" s="74">
        <f t="shared" si="69"/>
      </c>
      <c r="J327" s="74">
        <f t="shared" si="72"/>
      </c>
      <c r="K327" s="80" t="s">
        <v>280</v>
      </c>
      <c r="L327" s="74">
        <f t="shared" si="73"/>
      </c>
      <c r="M327" s="74">
        <f t="shared" ca="1" si="74"/>
      </c>
      <c r="N327" s="74">
        <f ca="1">VLOOKUP(B327,$C$7:$T325,13,FALSE)</f>
      </c>
      <c r="O327" s="74">
        <f t="shared" ca="1" si="75"/>
      </c>
      <c r="P327" s="74">
        <f t="shared" ca="1" si="76"/>
      </c>
      <c r="Q327" s="74">
        <f t="shared" ca="1" si="77"/>
      </c>
      <c r="R327" s="74">
        <f t="shared" si="78"/>
      </c>
      <c r="S327" s="74">
        <f t="shared" ca="1" si="79"/>
      </c>
      <c r="T327" s="74">
        <f t="shared" si="80"/>
      </c>
    </row>
    <row r="328" spans="2:20" x14ac:dyDescent="0.3">
      <c r="B328" s="74">
        <f t="shared" ca="1" si="70"/>
      </c>
      <c r="C328" s="78">
        <f>Кабельный_журнал!P294</f>
      </c>
      <c r="D328" s="74">
        <f t="shared" ca="1" si="71"/>
      </c>
      <c r="E328" s="80" t="s">
        <v>279</v>
      </c>
      <c r="F328" s="74">
        <f t="shared" ca="1" si="67"/>
      </c>
      <c r="G328" s="74">
        <f t="shared" si="68"/>
      </c>
      <c r="H328" s="80" t="s">
        <v>272</v>
      </c>
      <c r="I328" s="74">
        <f t="shared" si="69"/>
      </c>
      <c r="J328" s="74">
        <f t="shared" si="72"/>
      </c>
      <c r="K328" s="80" t="s">
        <v>280</v>
      </c>
      <c r="L328" s="74">
        <f t="shared" si="73"/>
      </c>
      <c r="M328" s="74">
        <f t="shared" ca="1" si="74"/>
      </c>
      <c r="N328" s="74">
        <f ca="1">VLOOKUP(B328,$C$7:$T326,13,FALSE)</f>
      </c>
      <c r="O328" s="74">
        <f t="shared" ca="1" si="75"/>
      </c>
      <c r="P328" s="74">
        <f t="shared" ca="1" si="76"/>
      </c>
      <c r="Q328" s="74">
        <f t="shared" ca="1" si="77"/>
      </c>
      <c r="R328" s="74">
        <f t="shared" si="78"/>
      </c>
      <c r="S328" s="74">
        <f t="shared" ca="1" si="79"/>
      </c>
      <c r="T328" s="74">
        <f t="shared" si="80"/>
      </c>
    </row>
    <row r="329" spans="2:20" x14ac:dyDescent="0.3">
      <c r="B329" s="74">
        <f t="shared" ca="1" si="70"/>
      </c>
      <c r="C329" s="78">
        <f>Кабельный_журнал!P295</f>
      </c>
      <c r="D329" s="74">
        <f t="shared" ca="1" si="71"/>
      </c>
      <c r="E329" s="80" t="s">
        <v>279</v>
      </c>
      <c r="F329" s="74">
        <f t="shared" ca="1" si="67"/>
      </c>
      <c r="G329" s="74">
        <f t="shared" si="68"/>
      </c>
      <c r="H329" s="80" t="s">
        <v>272</v>
      </c>
      <c r="I329" s="74">
        <f t="shared" si="69"/>
      </c>
      <c r="J329" s="74">
        <f t="shared" si="72"/>
      </c>
      <c r="K329" s="80" t="s">
        <v>280</v>
      </c>
      <c r="L329" s="74">
        <f t="shared" si="73"/>
      </c>
      <c r="M329" s="74">
        <f t="shared" ca="1" si="74"/>
      </c>
      <c r="N329" s="74">
        <f ca="1">VLOOKUP(B329,$C$7:$T327,13,FALSE)</f>
      </c>
      <c r="O329" s="74">
        <f t="shared" ca="1" si="75"/>
      </c>
      <c r="P329" s="74">
        <f t="shared" ca="1" si="76"/>
      </c>
      <c r="Q329" s="74">
        <f t="shared" ca="1" si="77"/>
      </c>
      <c r="R329" s="74">
        <f t="shared" si="78"/>
      </c>
      <c r="S329" s="74">
        <f t="shared" ca="1" si="79"/>
      </c>
      <c r="T329" s="74">
        <f t="shared" si="80"/>
      </c>
    </row>
    <row r="330" spans="2:20" x14ac:dyDescent="0.3">
      <c r="B330" s="74">
        <f t="shared" ca="1" si="70"/>
      </c>
      <c r="C330" s="78">
        <f>Кабельный_журнал!P296</f>
      </c>
      <c r="D330" s="74">
        <f t="shared" ca="1" si="71"/>
      </c>
      <c r="E330" s="80" t="s">
        <v>279</v>
      </c>
      <c r="F330" s="74">
        <f t="shared" ca="1" si="67"/>
      </c>
      <c r="G330" s="74">
        <f t="shared" si="68"/>
      </c>
      <c r="H330" s="80" t="s">
        <v>272</v>
      </c>
      <c r="I330" s="74">
        <f t="shared" si="69"/>
      </c>
      <c r="J330" s="74">
        <f t="shared" si="72"/>
      </c>
      <c r="K330" s="80" t="s">
        <v>280</v>
      </c>
      <c r="L330" s="74">
        <f t="shared" si="73"/>
      </c>
      <c r="M330" s="74">
        <f t="shared" ca="1" si="74"/>
      </c>
      <c r="N330" s="74">
        <f ca="1">VLOOKUP(B330,$C$7:$T328,13,FALSE)</f>
      </c>
      <c r="O330" s="74">
        <f t="shared" ca="1" si="75"/>
      </c>
      <c r="P330" s="74">
        <f t="shared" ca="1" si="76"/>
      </c>
      <c r="Q330" s="74">
        <f t="shared" ca="1" si="77"/>
      </c>
      <c r="R330" s="74">
        <f t="shared" si="78"/>
      </c>
      <c r="S330" s="74">
        <f t="shared" ca="1" si="79"/>
      </c>
      <c r="T330" s="74">
        <f t="shared" si="80"/>
      </c>
    </row>
    <row r="331" spans="2:20" x14ac:dyDescent="0.3">
      <c r="B331" s="74">
        <f t="shared" ca="1" si="70"/>
      </c>
      <c r="C331" s="78">
        <f>Кабельный_журнал!P297</f>
      </c>
      <c r="D331" s="74">
        <f t="shared" ca="1" si="71"/>
      </c>
      <c r="E331" s="80" t="s">
        <v>279</v>
      </c>
      <c r="F331" s="74">
        <f t="shared" ca="1" si="67"/>
      </c>
      <c r="G331" s="74">
        <f t="shared" si="68"/>
      </c>
      <c r="H331" s="80" t="s">
        <v>272</v>
      </c>
      <c r="I331" s="74">
        <f t="shared" si="69"/>
      </c>
      <c r="J331" s="74">
        <f t="shared" si="72"/>
      </c>
      <c r="K331" s="80" t="s">
        <v>280</v>
      </c>
      <c r="L331" s="74">
        <f t="shared" si="73"/>
      </c>
      <c r="M331" s="74">
        <f t="shared" ca="1" si="74"/>
      </c>
      <c r="N331" s="74">
        <f ca="1">VLOOKUP(B331,$C$7:$T329,13,FALSE)</f>
      </c>
      <c r="O331" s="74">
        <f t="shared" ca="1" si="75"/>
      </c>
      <c r="P331" s="74">
        <f t="shared" ca="1" si="76"/>
      </c>
      <c r="Q331" s="74">
        <f t="shared" ca="1" si="77"/>
      </c>
      <c r="R331" s="74">
        <f t="shared" si="78"/>
      </c>
      <c r="S331" s="74">
        <f t="shared" ca="1" si="79"/>
      </c>
      <c r="T331" s="74">
        <f t="shared" si="80"/>
      </c>
    </row>
    <row r="332" spans="2:20" x14ac:dyDescent="0.3">
      <c r="B332" s="74">
        <f t="shared" ca="1" si="70"/>
      </c>
      <c r="C332" s="78">
        <f>Кабельный_журнал!P298</f>
      </c>
      <c r="D332" s="74">
        <f t="shared" ca="1" si="71"/>
      </c>
      <c r="E332" s="80" t="s">
        <v>279</v>
      </c>
      <c r="F332" s="74">
        <f t="shared" ca="1" si="67"/>
      </c>
      <c r="G332" s="74">
        <f t="shared" si="68"/>
      </c>
      <c r="H332" s="80" t="s">
        <v>272</v>
      </c>
      <c r="I332" s="74">
        <f t="shared" si="69"/>
      </c>
      <c r="J332" s="74">
        <f t="shared" si="72"/>
      </c>
      <c r="K332" s="80" t="s">
        <v>280</v>
      </c>
      <c r="L332" s="74">
        <f t="shared" si="73"/>
      </c>
      <c r="M332" s="74">
        <f t="shared" ca="1" si="74"/>
      </c>
      <c r="N332" s="74">
        <f ca="1">VLOOKUP(B332,$C$7:$T330,13,FALSE)</f>
      </c>
      <c r="O332" s="74">
        <f t="shared" ca="1" si="75"/>
      </c>
      <c r="P332" s="74">
        <f t="shared" ca="1" si="76"/>
      </c>
      <c r="Q332" s="74">
        <f t="shared" ca="1" si="77"/>
      </c>
      <c r="R332" s="74">
        <f t="shared" si="78"/>
      </c>
      <c r="S332" s="74">
        <f t="shared" ca="1" si="79"/>
      </c>
      <c r="T332" s="74">
        <f t="shared" si="80"/>
      </c>
    </row>
    <row r="333" spans="2:20" x14ac:dyDescent="0.3">
      <c r="B333" s="74">
        <f t="shared" ca="1" si="70"/>
      </c>
      <c r="C333" s="78">
        <f>Кабельный_журнал!P299</f>
      </c>
      <c r="D333" s="74">
        <f t="shared" ca="1" si="71"/>
      </c>
      <c r="E333" s="80" t="s">
        <v>279</v>
      </c>
      <c r="F333" s="74">
        <f t="shared" ca="1" si="67"/>
      </c>
      <c r="G333" s="74">
        <f t="shared" si="68"/>
      </c>
      <c r="H333" s="80" t="s">
        <v>272</v>
      </c>
      <c r="I333" s="74">
        <f t="shared" si="69"/>
      </c>
      <c r="J333" s="74">
        <f t="shared" si="72"/>
      </c>
      <c r="K333" s="80" t="s">
        <v>280</v>
      </c>
      <c r="L333" s="74">
        <f t="shared" si="73"/>
      </c>
      <c r="M333" s="74">
        <f t="shared" ca="1" si="74"/>
      </c>
      <c r="N333" s="74">
        <f ca="1">VLOOKUP(B333,$C$7:$T331,13,FALSE)</f>
      </c>
      <c r="O333" s="74">
        <f t="shared" ca="1" si="75"/>
      </c>
      <c r="P333" s="74">
        <f t="shared" ca="1" si="76"/>
      </c>
      <c r="Q333" s="74">
        <f t="shared" ca="1" si="77"/>
      </c>
      <c r="R333" s="74">
        <f t="shared" si="78"/>
      </c>
      <c r="S333" s="74">
        <f t="shared" ca="1" si="79"/>
      </c>
      <c r="T333" s="74">
        <f t="shared" si="80"/>
      </c>
    </row>
    <row r="334" spans="2:20" x14ac:dyDescent="0.3">
      <c r="B334" s="74">
        <f t="shared" ca="1" si="70"/>
      </c>
      <c r="C334" s="78">
        <f>Кабельный_журнал!P300</f>
      </c>
      <c r="D334" s="74">
        <f t="shared" ca="1" si="71"/>
      </c>
      <c r="E334" s="80" t="s">
        <v>279</v>
      </c>
      <c r="F334" s="74">
        <f t="shared" ca="1" si="67"/>
      </c>
      <c r="G334" s="74">
        <f t="shared" si="68"/>
      </c>
      <c r="H334" s="80" t="s">
        <v>272</v>
      </c>
      <c r="I334" s="74">
        <f t="shared" si="69"/>
      </c>
      <c r="J334" s="74">
        <f t="shared" si="72"/>
      </c>
      <c r="K334" s="80" t="s">
        <v>280</v>
      </c>
      <c r="L334" s="74">
        <f t="shared" si="73"/>
      </c>
      <c r="M334" s="74">
        <f t="shared" ca="1" si="74"/>
      </c>
      <c r="N334" s="74">
        <f ca="1">VLOOKUP(B334,$C$7:$T332,13,FALSE)</f>
      </c>
      <c r="O334" s="74">
        <f t="shared" ca="1" si="75"/>
      </c>
      <c r="P334" s="74">
        <f t="shared" ca="1" si="76"/>
      </c>
      <c r="Q334" s="74">
        <f t="shared" ca="1" si="77"/>
      </c>
      <c r="R334" s="74">
        <f t="shared" si="78"/>
      </c>
      <c r="S334" s="74">
        <f t="shared" ca="1" si="79"/>
      </c>
      <c r="T334" s="74">
        <f t="shared" si="80"/>
      </c>
    </row>
    <row r="335" spans="2:20" x14ac:dyDescent="0.3">
      <c r="B335" s="74">
        <f t="shared" ca="1" si="70"/>
      </c>
      <c r="C335" s="78">
        <f>Кабельный_журнал!P301</f>
      </c>
      <c r="D335" s="74">
        <f t="shared" ca="1" si="71"/>
      </c>
      <c r="E335" s="80" t="s">
        <v>279</v>
      </c>
      <c r="F335" s="74">
        <f t="shared" ca="1" si="67"/>
      </c>
      <c r="G335" s="74">
        <f t="shared" si="68"/>
      </c>
      <c r="H335" s="80" t="s">
        <v>272</v>
      </c>
      <c r="I335" s="74">
        <f t="shared" si="69"/>
      </c>
      <c r="J335" s="74">
        <f t="shared" si="72"/>
      </c>
      <c r="K335" s="80" t="s">
        <v>280</v>
      </c>
      <c r="L335" s="74">
        <f t="shared" si="73"/>
      </c>
      <c r="M335" s="74">
        <f t="shared" ca="1" si="74"/>
      </c>
      <c r="N335" s="74">
        <f ca="1">VLOOKUP(B335,$C$7:$T333,13,FALSE)</f>
      </c>
      <c r="O335" s="74">
        <f t="shared" ca="1" si="75"/>
      </c>
      <c r="P335" s="74">
        <f t="shared" ca="1" si="76"/>
      </c>
      <c r="Q335" s="74">
        <f t="shared" ca="1" si="77"/>
      </c>
      <c r="R335" s="74">
        <f t="shared" si="78"/>
      </c>
      <c r="S335" s="74">
        <f t="shared" ca="1" si="79"/>
      </c>
      <c r="T335" s="74">
        <f t="shared" si="80"/>
      </c>
    </row>
    <row r="336" spans="2:20" x14ac:dyDescent="0.3">
      <c r="B336" s="74">
        <f t="shared" ca="1" si="70"/>
      </c>
      <c r="C336" s="78">
        <f>Кабельный_журнал!P302</f>
      </c>
      <c r="D336" s="74">
        <f t="shared" ca="1" si="71"/>
      </c>
      <c r="E336" s="80" t="s">
        <v>279</v>
      </c>
      <c r="F336" s="74">
        <f t="shared" ca="1" si="67"/>
      </c>
      <c r="G336" s="74">
        <f t="shared" si="68"/>
      </c>
      <c r="H336" s="80" t="s">
        <v>272</v>
      </c>
      <c r="I336" s="74">
        <f t="shared" si="69"/>
      </c>
      <c r="J336" s="74">
        <f t="shared" si="72"/>
      </c>
      <c r="K336" s="80" t="s">
        <v>280</v>
      </c>
      <c r="L336" s="74">
        <f t="shared" si="73"/>
      </c>
      <c r="M336" s="74">
        <f t="shared" ca="1" si="74"/>
      </c>
      <c r="N336" s="74">
        <f ca="1">VLOOKUP(B336,$C$7:$T334,13,FALSE)</f>
      </c>
      <c r="O336" s="74">
        <f t="shared" ca="1" si="75"/>
      </c>
      <c r="P336" s="74">
        <f t="shared" ca="1" si="76"/>
      </c>
      <c r="Q336" s="74">
        <f t="shared" ca="1" si="77"/>
      </c>
      <c r="R336" s="74">
        <f t="shared" si="78"/>
      </c>
      <c r="S336" s="74">
        <f t="shared" ca="1" si="79"/>
      </c>
      <c r="T336" s="74">
        <f t="shared" si="80"/>
      </c>
    </row>
    <row r="337" spans="2:20" x14ac:dyDescent="0.3">
      <c r="B337" s="74">
        <f t="shared" ca="1" si="70"/>
      </c>
      <c r="C337" s="78">
        <f>Кабельный_журнал!P303</f>
      </c>
      <c r="D337" s="74">
        <f t="shared" ca="1" si="71"/>
      </c>
      <c r="E337" s="80" t="s">
        <v>279</v>
      </c>
      <c r="F337" s="74">
        <f t="shared" ca="1" si="67"/>
      </c>
      <c r="G337" s="74">
        <f t="shared" si="68"/>
      </c>
      <c r="H337" s="80" t="s">
        <v>272</v>
      </c>
      <c r="I337" s="74">
        <f t="shared" si="69"/>
      </c>
      <c r="J337" s="74">
        <f t="shared" si="72"/>
      </c>
      <c r="K337" s="80" t="s">
        <v>280</v>
      </c>
      <c r="L337" s="74">
        <f t="shared" si="73"/>
      </c>
      <c r="M337" s="74">
        <f t="shared" ca="1" si="74"/>
      </c>
      <c r="N337" s="74">
        <f ca="1">VLOOKUP(B337,$C$7:$T335,13,FALSE)</f>
      </c>
      <c r="O337" s="74">
        <f t="shared" ca="1" si="75"/>
      </c>
      <c r="P337" s="74">
        <f t="shared" ca="1" si="76"/>
      </c>
      <c r="Q337" s="74">
        <f t="shared" ca="1" si="77"/>
      </c>
      <c r="R337" s="74">
        <f t="shared" si="78"/>
      </c>
      <c r="S337" s="74">
        <f t="shared" ca="1" si="79"/>
      </c>
      <c r="T337" s="74">
        <f t="shared" si="80"/>
      </c>
    </row>
    <row r="338" spans="2:20" x14ac:dyDescent="0.3">
      <c r="B338" s="74">
        <f t="shared" ca="1" si="70"/>
      </c>
      <c r="C338" s="78">
        <f>Кабельный_журнал!P304</f>
      </c>
      <c r="D338" s="74">
        <f t="shared" ca="1" si="71"/>
      </c>
      <c r="E338" s="80" t="s">
        <v>279</v>
      </c>
      <c r="F338" s="74">
        <f t="shared" ca="1" si="67"/>
      </c>
      <c r="G338" s="74">
        <f t="shared" si="68"/>
      </c>
      <c r="H338" s="80" t="s">
        <v>272</v>
      </c>
      <c r="I338" s="74">
        <f t="shared" si="69"/>
      </c>
      <c r="J338" s="74">
        <f t="shared" si="72"/>
      </c>
      <c r="K338" s="80" t="s">
        <v>280</v>
      </c>
      <c r="L338" s="74">
        <f t="shared" si="73"/>
      </c>
      <c r="M338" s="74">
        <f t="shared" ca="1" si="74"/>
      </c>
      <c r="N338" s="74">
        <f ca="1">VLOOKUP(B338,$C$7:$T336,13,FALSE)</f>
      </c>
      <c r="O338" s="74">
        <f t="shared" ca="1" si="75"/>
      </c>
      <c r="P338" s="74">
        <f t="shared" ca="1" si="76"/>
      </c>
      <c r="Q338" s="74">
        <f t="shared" ca="1" si="77"/>
      </c>
      <c r="R338" s="74">
        <f t="shared" si="78"/>
      </c>
      <c r="S338" s="74">
        <f t="shared" ca="1" si="79"/>
      </c>
      <c r="T338" s="74">
        <f t="shared" si="80"/>
      </c>
    </row>
    <row r="339" spans="2:20" x14ac:dyDescent="0.3">
      <c r="B339" s="74">
        <f t="shared" ca="1" si="70"/>
      </c>
      <c r="C339" s="78">
        <f>Кабельный_журнал!P305</f>
      </c>
      <c r="D339" s="74">
        <f t="shared" ca="1" si="71"/>
      </c>
      <c r="E339" s="80" t="s">
        <v>279</v>
      </c>
      <c r="F339" s="74">
        <f t="shared" ca="1" si="67"/>
      </c>
      <c r="G339" s="74">
        <f t="shared" si="68"/>
      </c>
      <c r="H339" s="80" t="s">
        <v>272</v>
      </c>
      <c r="I339" s="74">
        <f t="shared" si="69"/>
      </c>
      <c r="J339" s="74">
        <f t="shared" si="72"/>
      </c>
      <c r="K339" s="80" t="s">
        <v>280</v>
      </c>
      <c r="L339" s="74">
        <f t="shared" si="73"/>
      </c>
      <c r="M339" s="74">
        <f t="shared" ca="1" si="74"/>
      </c>
      <c r="N339" s="74">
        <f ca="1">VLOOKUP(B339,$C$7:$T337,13,FALSE)</f>
      </c>
      <c r="O339" s="74">
        <f t="shared" ca="1" si="75"/>
      </c>
      <c r="P339" s="74">
        <f t="shared" ca="1" si="76"/>
      </c>
      <c r="Q339" s="74">
        <f t="shared" ca="1" si="77"/>
      </c>
      <c r="R339" s="74">
        <f t="shared" si="78"/>
      </c>
      <c r="S339" s="74">
        <f t="shared" ca="1" si="79"/>
      </c>
      <c r="T339" s="74">
        <f t="shared" si="80"/>
      </c>
    </row>
    <row r="340" spans="2:20" x14ac:dyDescent="0.3">
      <c r="B340" s="74">
        <f t="shared" ca="1" si="70"/>
      </c>
      <c r="C340" s="78">
        <f>Кабельный_журнал!P306</f>
      </c>
      <c r="D340" s="74">
        <f t="shared" ca="1" si="71"/>
      </c>
      <c r="E340" s="80" t="s">
        <v>279</v>
      </c>
      <c r="F340" s="74">
        <f t="shared" ca="1" si="67"/>
      </c>
      <c r="G340" s="74">
        <f t="shared" si="68"/>
      </c>
      <c r="H340" s="80" t="s">
        <v>272</v>
      </c>
      <c r="I340" s="74">
        <f t="shared" si="69"/>
      </c>
      <c r="J340" s="74">
        <f t="shared" si="72"/>
      </c>
      <c r="K340" s="80" t="s">
        <v>280</v>
      </c>
      <c r="L340" s="74">
        <f t="shared" si="73"/>
      </c>
      <c r="M340" s="74">
        <f t="shared" ca="1" si="74"/>
      </c>
      <c r="N340" s="74">
        <f ca="1">VLOOKUP(B340,$C$7:$T338,13,FALSE)</f>
      </c>
      <c r="O340" s="74">
        <f t="shared" ca="1" si="75"/>
      </c>
      <c r="P340" s="74">
        <f t="shared" ca="1" si="76"/>
      </c>
      <c r="Q340" s="74">
        <f t="shared" ca="1" si="77"/>
      </c>
      <c r="R340" s="74">
        <f t="shared" si="78"/>
      </c>
      <c r="S340" s="74">
        <f t="shared" ca="1" si="79"/>
      </c>
      <c r="T340" s="74">
        <f t="shared" si="80"/>
      </c>
    </row>
    <row r="341" spans="2:20" x14ac:dyDescent="0.3">
      <c r="B341" s="74">
        <f t="shared" ca="1" si="70"/>
      </c>
      <c r="C341" s="78">
        <f>Кабельный_журнал!P307</f>
      </c>
      <c r="D341" s="74">
        <f t="shared" ca="1" si="71"/>
      </c>
      <c r="E341" s="80" t="s">
        <v>279</v>
      </c>
      <c r="F341" s="74">
        <f t="shared" ca="1" si="67"/>
      </c>
      <c r="G341" s="74">
        <f t="shared" si="68"/>
      </c>
      <c r="H341" s="80" t="s">
        <v>272</v>
      </c>
      <c r="I341" s="74">
        <f t="shared" si="69"/>
      </c>
      <c r="J341" s="74">
        <f t="shared" si="72"/>
      </c>
      <c r="K341" s="80" t="s">
        <v>280</v>
      </c>
      <c r="L341" s="74">
        <f t="shared" si="73"/>
      </c>
      <c r="M341" s="74">
        <f t="shared" ca="1" si="74"/>
      </c>
      <c r="N341" s="74">
        <f ca="1">VLOOKUP(B341,$C$7:$T339,13,FALSE)</f>
      </c>
      <c r="O341" s="74">
        <f t="shared" ca="1" si="75"/>
      </c>
      <c r="P341" s="74">
        <f t="shared" ca="1" si="76"/>
      </c>
      <c r="Q341" s="74">
        <f t="shared" ca="1" si="77"/>
      </c>
      <c r="R341" s="74">
        <f t="shared" si="78"/>
      </c>
      <c r="S341" s="74">
        <f t="shared" ca="1" si="79"/>
      </c>
      <c r="T341" s="74">
        <f t="shared" si="80"/>
      </c>
    </row>
    <row r="342" spans="2:20" x14ac:dyDescent="0.3">
      <c r="B342" s="74">
        <f t="shared" ca="1" si="70"/>
      </c>
      <c r="C342" s="78">
        <f>Кабельный_журнал!P308</f>
      </c>
      <c r="D342" s="74">
        <f t="shared" ca="1" si="71"/>
      </c>
      <c r="E342" s="80" t="s">
        <v>279</v>
      </c>
      <c r="F342" s="74">
        <f t="shared" ca="1" si="67"/>
      </c>
      <c r="G342" s="74">
        <f t="shared" si="68"/>
      </c>
      <c r="H342" s="80" t="s">
        <v>272</v>
      </c>
      <c r="I342" s="74">
        <f t="shared" si="69"/>
      </c>
      <c r="J342" s="74">
        <f t="shared" si="72"/>
      </c>
      <c r="K342" s="80" t="s">
        <v>280</v>
      </c>
      <c r="L342" s="74">
        <f t="shared" si="73"/>
      </c>
      <c r="M342" s="74">
        <f t="shared" ca="1" si="74"/>
      </c>
      <c r="N342" s="74">
        <f ca="1">VLOOKUP(B342,$C$7:$T340,13,FALSE)</f>
      </c>
      <c r="O342" s="74">
        <f t="shared" ca="1" si="75"/>
      </c>
      <c r="P342" s="74">
        <f t="shared" ca="1" si="76"/>
      </c>
      <c r="Q342" s="74">
        <f t="shared" ca="1" si="77"/>
      </c>
      <c r="R342" s="74">
        <f t="shared" si="78"/>
      </c>
      <c r="S342" s="74">
        <f t="shared" ca="1" si="79"/>
      </c>
      <c r="T342" s="74">
        <f t="shared" si="80"/>
      </c>
    </row>
    <row r="343" spans="2:20" x14ac:dyDescent="0.3">
      <c r="B343" s="74">
        <f t="shared" ca="1" si="70"/>
      </c>
      <c r="C343" s="78">
        <f>Кабельный_журнал!P309</f>
      </c>
      <c r="D343" s="74">
        <f t="shared" ca="1" si="71"/>
      </c>
      <c r="E343" s="80" t="s">
        <v>279</v>
      </c>
      <c r="F343" s="74">
        <f t="shared" ca="1" si="67"/>
      </c>
      <c r="G343" s="74">
        <f t="shared" si="68"/>
      </c>
      <c r="H343" s="80" t="s">
        <v>272</v>
      </c>
      <c r="I343" s="74">
        <f t="shared" si="69"/>
      </c>
      <c r="J343" s="74">
        <f t="shared" si="72"/>
      </c>
      <c r="K343" s="80" t="s">
        <v>280</v>
      </c>
      <c r="L343" s="74">
        <f t="shared" si="73"/>
      </c>
      <c r="M343" s="74">
        <f t="shared" ca="1" si="74"/>
      </c>
      <c r="N343" s="74">
        <f ca="1">VLOOKUP(B343,$C$7:$T341,13,FALSE)</f>
      </c>
      <c r="O343" s="74">
        <f t="shared" ca="1" si="75"/>
      </c>
      <c r="P343" s="74">
        <f t="shared" ca="1" si="76"/>
      </c>
      <c r="Q343" s="74">
        <f t="shared" ca="1" si="77"/>
      </c>
      <c r="R343" s="74">
        <f t="shared" si="78"/>
      </c>
      <c r="S343" s="74">
        <f t="shared" ca="1" si="79"/>
      </c>
      <c r="T343" s="74">
        <f t="shared" si="80"/>
      </c>
    </row>
    <row r="344" spans="2:20" x14ac:dyDescent="0.3">
      <c r="B344" s="74">
        <f t="shared" ca="1" si="70"/>
      </c>
      <c r="C344" s="78">
        <f>Кабельный_журнал!P310</f>
      </c>
      <c r="D344" s="74">
        <f t="shared" ca="1" si="71"/>
      </c>
      <c r="E344" s="80" t="s">
        <v>279</v>
      </c>
      <c r="F344" s="74">
        <f t="shared" ca="1" si="67"/>
      </c>
      <c r="G344" s="74">
        <f t="shared" si="68"/>
      </c>
      <c r="H344" s="80" t="s">
        <v>272</v>
      </c>
      <c r="I344" s="74">
        <f t="shared" si="69"/>
      </c>
      <c r="J344" s="74">
        <f t="shared" si="72"/>
      </c>
      <c r="K344" s="80" t="s">
        <v>280</v>
      </c>
      <c r="L344" s="74">
        <f t="shared" si="73"/>
      </c>
      <c r="M344" s="74">
        <f t="shared" ca="1" si="74"/>
      </c>
      <c r="N344" s="74">
        <f ca="1">VLOOKUP(B344,$C$7:$T342,13,FALSE)</f>
      </c>
      <c r="O344" s="74">
        <f t="shared" ca="1" si="75"/>
      </c>
      <c r="P344" s="74">
        <f t="shared" ca="1" si="76"/>
      </c>
      <c r="Q344" s="74">
        <f t="shared" ca="1" si="77"/>
      </c>
      <c r="R344" s="74">
        <f t="shared" si="78"/>
      </c>
      <c r="S344" s="74">
        <f t="shared" ca="1" si="79"/>
      </c>
      <c r="T344" s="74">
        <f t="shared" si="80"/>
      </c>
    </row>
    <row r="345" spans="2:20" x14ac:dyDescent="0.3">
      <c r="B345" s="74">
        <f t="shared" ca="1" si="70"/>
      </c>
      <c r="C345" s="78">
        <f>Кабельный_журнал!P311</f>
      </c>
      <c r="D345" s="74">
        <f t="shared" ca="1" si="71"/>
      </c>
      <c r="E345" s="80" t="s">
        <v>279</v>
      </c>
      <c r="F345" s="74">
        <f t="shared" ca="1" si="67"/>
      </c>
      <c r="G345" s="74">
        <f t="shared" si="68"/>
      </c>
      <c r="H345" s="80" t="s">
        <v>272</v>
      </c>
      <c r="I345" s="74">
        <f t="shared" si="69"/>
      </c>
      <c r="J345" s="74">
        <f t="shared" si="72"/>
      </c>
      <c r="K345" s="80" t="s">
        <v>280</v>
      </c>
      <c r="L345" s="74">
        <f t="shared" si="73"/>
      </c>
      <c r="M345" s="74">
        <f t="shared" ca="1" si="74"/>
      </c>
      <c r="N345" s="74">
        <f ca="1">VLOOKUP(B345,$C$7:$T343,13,FALSE)</f>
      </c>
      <c r="O345" s="74">
        <f t="shared" ca="1" si="75"/>
      </c>
      <c r="P345" s="74">
        <f t="shared" ca="1" si="76"/>
      </c>
      <c r="Q345" s="74">
        <f t="shared" ca="1" si="77"/>
      </c>
      <c r="R345" s="74">
        <f t="shared" si="78"/>
      </c>
      <c r="S345" s="74">
        <f t="shared" ca="1" si="79"/>
      </c>
      <c r="T345" s="74">
        <f t="shared" si="80"/>
      </c>
    </row>
    <row r="346" spans="2:20" x14ac:dyDescent="0.3">
      <c r="B346" s="74">
        <f t="shared" ca="1" si="70"/>
      </c>
      <c r="C346" s="78">
        <f>Кабельный_журнал!P312</f>
      </c>
      <c r="D346" s="74">
        <f t="shared" ca="1" si="71"/>
      </c>
      <c r="E346" s="80" t="s">
        <v>279</v>
      </c>
      <c r="F346" s="74">
        <f t="shared" ca="1" si="67"/>
      </c>
      <c r="G346" s="74">
        <f t="shared" si="68"/>
      </c>
      <c r="H346" s="80" t="s">
        <v>272</v>
      </c>
      <c r="I346" s="74">
        <f t="shared" si="69"/>
      </c>
      <c r="J346" s="74">
        <f t="shared" si="72"/>
      </c>
      <c r="K346" s="80" t="s">
        <v>280</v>
      </c>
      <c r="L346" s="74">
        <f t="shared" si="73"/>
      </c>
      <c r="M346" s="74">
        <f t="shared" ca="1" si="74"/>
      </c>
      <c r="N346" s="74">
        <f ca="1">VLOOKUP(B346,$C$7:$T344,13,FALSE)</f>
      </c>
      <c r="O346" s="74">
        <f t="shared" ca="1" si="75"/>
      </c>
      <c r="P346" s="74">
        <f t="shared" ca="1" si="76"/>
      </c>
      <c r="Q346" s="74">
        <f t="shared" ca="1" si="77"/>
      </c>
      <c r="R346" s="74">
        <f t="shared" si="78"/>
      </c>
      <c r="S346" s="74">
        <f t="shared" ca="1" si="79"/>
      </c>
      <c r="T346" s="74">
        <f t="shared" si="80"/>
      </c>
    </row>
    <row r="347" spans="2:20" x14ac:dyDescent="0.3">
      <c r="B347" s="74">
        <f t="shared" ca="1" si="70"/>
      </c>
      <c r="C347" s="78">
        <f>Кабельный_журнал!P313</f>
      </c>
      <c r="D347" s="74">
        <f t="shared" ca="1" si="71"/>
      </c>
      <c r="E347" s="80" t="s">
        <v>279</v>
      </c>
      <c r="F347" s="74">
        <f t="shared" ca="1" si="67"/>
      </c>
      <c r="G347" s="74">
        <f t="shared" si="68"/>
      </c>
      <c r="H347" s="80" t="s">
        <v>272</v>
      </c>
      <c r="I347" s="74">
        <f t="shared" si="69"/>
      </c>
      <c r="J347" s="74">
        <f t="shared" si="72"/>
      </c>
      <c r="K347" s="80" t="s">
        <v>280</v>
      </c>
      <c r="L347" s="74">
        <f t="shared" si="73"/>
      </c>
      <c r="M347" s="74">
        <f t="shared" ca="1" si="74"/>
      </c>
      <c r="N347" s="74">
        <f ca="1">VLOOKUP(B347,$C$7:$T345,13,FALSE)</f>
      </c>
      <c r="O347" s="74">
        <f t="shared" ca="1" si="75"/>
      </c>
      <c r="P347" s="74">
        <f t="shared" ca="1" si="76"/>
      </c>
      <c r="Q347" s="74">
        <f t="shared" ca="1" si="77"/>
      </c>
      <c r="R347" s="74">
        <f t="shared" si="78"/>
      </c>
      <c r="S347" s="74">
        <f t="shared" ca="1" si="79"/>
      </c>
      <c r="T347" s="74">
        <f t="shared" si="80"/>
      </c>
    </row>
    <row r="348" spans="2:20" x14ac:dyDescent="0.3">
      <c r="B348" s="74">
        <f t="shared" ca="1" si="70"/>
      </c>
      <c r="C348" s="78">
        <f>Кабельный_журнал!P314</f>
      </c>
      <c r="D348" s="74">
        <f t="shared" ca="1" si="71"/>
      </c>
      <c r="E348" s="80" t="s">
        <v>279</v>
      </c>
      <c r="F348" s="74">
        <f t="shared" ca="1" si="67"/>
      </c>
      <c r="G348" s="74">
        <f t="shared" si="68"/>
      </c>
      <c r="H348" s="80" t="s">
        <v>272</v>
      </c>
      <c r="I348" s="74">
        <f t="shared" si="69"/>
      </c>
      <c r="J348" s="74">
        <f t="shared" si="72"/>
      </c>
      <c r="K348" s="80" t="s">
        <v>280</v>
      </c>
      <c r="L348" s="74">
        <f t="shared" si="73"/>
      </c>
      <c r="M348" s="74">
        <f t="shared" ca="1" si="74"/>
      </c>
      <c r="N348" s="74">
        <f ca="1">VLOOKUP(B348,$C$7:$T346,13,FALSE)</f>
      </c>
      <c r="O348" s="74">
        <f t="shared" ca="1" si="75"/>
      </c>
      <c r="P348" s="74">
        <f t="shared" ca="1" si="76"/>
      </c>
      <c r="Q348" s="74">
        <f t="shared" ca="1" si="77"/>
      </c>
      <c r="R348" s="74">
        <f t="shared" si="78"/>
      </c>
      <c r="S348" s="74">
        <f t="shared" ca="1" si="79"/>
      </c>
      <c r="T348" s="74">
        <f t="shared" si="80"/>
      </c>
    </row>
    <row r="349" spans="2:20" x14ac:dyDescent="0.3">
      <c r="B349" s="74">
        <f t="shared" ca="1" si="70"/>
      </c>
      <c r="C349" s="78">
        <f>Кабельный_журнал!P315</f>
      </c>
      <c r="D349" s="74">
        <f t="shared" ca="1" si="71"/>
      </c>
      <c r="E349" s="80" t="s">
        <v>279</v>
      </c>
      <c r="F349" s="74">
        <f t="shared" ca="1" si="67"/>
      </c>
      <c r="G349" s="74">
        <f t="shared" si="68"/>
      </c>
      <c r="H349" s="80" t="s">
        <v>272</v>
      </c>
      <c r="I349" s="74">
        <f t="shared" si="69"/>
      </c>
      <c r="J349" s="74">
        <f t="shared" si="72"/>
      </c>
      <c r="K349" s="80" t="s">
        <v>280</v>
      </c>
      <c r="L349" s="74">
        <f t="shared" si="73"/>
      </c>
      <c r="M349" s="74">
        <f t="shared" ca="1" si="74"/>
      </c>
      <c r="N349" s="74">
        <f ca="1">VLOOKUP(B349,$C$7:$T347,13,FALSE)</f>
      </c>
      <c r="O349" s="74">
        <f t="shared" ca="1" si="75"/>
      </c>
      <c r="P349" s="74">
        <f t="shared" ca="1" si="76"/>
      </c>
      <c r="Q349" s="74">
        <f t="shared" ca="1" si="77"/>
      </c>
      <c r="R349" s="74">
        <f t="shared" si="78"/>
      </c>
      <c r="S349" s="74">
        <f t="shared" ca="1" si="79"/>
      </c>
      <c r="T349" s="74">
        <f t="shared" si="80"/>
      </c>
    </row>
    <row r="350" spans="2:20" x14ac:dyDescent="0.3">
      <c r="B350" s="74">
        <f t="shared" ca="1" si="70"/>
      </c>
      <c r="C350" s="78">
        <f>Кабельный_журнал!P316</f>
      </c>
      <c r="D350" s="74">
        <f t="shared" ca="1" si="71"/>
      </c>
      <c r="E350" s="80" t="s">
        <v>279</v>
      </c>
      <c r="F350" s="74">
        <f t="shared" ca="1" si="67"/>
      </c>
      <c r="G350" s="74">
        <f t="shared" si="68"/>
      </c>
      <c r="H350" s="80" t="s">
        <v>272</v>
      </c>
      <c r="I350" s="74">
        <f t="shared" si="69"/>
      </c>
      <c r="J350" s="74">
        <f t="shared" si="72"/>
      </c>
      <c r="K350" s="80" t="s">
        <v>280</v>
      </c>
      <c r="L350" s="74">
        <f t="shared" si="73"/>
      </c>
      <c r="M350" s="74">
        <f t="shared" ca="1" si="74"/>
      </c>
      <c r="N350" s="74">
        <f ca="1">VLOOKUP(B350,$C$7:$T348,13,FALSE)</f>
      </c>
      <c r="O350" s="74">
        <f t="shared" ca="1" si="75"/>
      </c>
      <c r="P350" s="74">
        <f t="shared" ca="1" si="76"/>
      </c>
      <c r="Q350" s="74">
        <f t="shared" ca="1" si="77"/>
      </c>
      <c r="R350" s="74">
        <f t="shared" si="78"/>
      </c>
      <c r="S350" s="74">
        <f t="shared" ca="1" si="79"/>
      </c>
      <c r="T350" s="74">
        <f t="shared" si="80"/>
      </c>
    </row>
    <row r="351" spans="2:20" x14ac:dyDescent="0.3">
      <c r="B351" s="74">
        <f t="shared" ca="1" si="70"/>
      </c>
      <c r="C351" s="78">
        <f>Кабельный_журнал!P317</f>
      </c>
      <c r="D351" s="74">
        <f t="shared" ca="1" si="71"/>
      </c>
      <c r="E351" s="80" t="s">
        <v>279</v>
      </c>
      <c r="F351" s="74">
        <f t="shared" ca="1" si="67"/>
      </c>
      <c r="G351" s="74">
        <f t="shared" si="68"/>
      </c>
      <c r="H351" s="80" t="s">
        <v>272</v>
      </c>
      <c r="I351" s="74">
        <f t="shared" si="69"/>
      </c>
      <c r="J351" s="74">
        <f t="shared" si="72"/>
      </c>
      <c r="K351" s="80" t="s">
        <v>280</v>
      </c>
      <c r="L351" s="74">
        <f t="shared" si="73"/>
      </c>
      <c r="M351" s="74">
        <f t="shared" ca="1" si="74"/>
      </c>
      <c r="N351" s="74">
        <f ca="1">VLOOKUP(B351,$C$7:$T349,13,FALSE)</f>
      </c>
      <c r="O351" s="74">
        <f t="shared" ca="1" si="75"/>
      </c>
      <c r="P351" s="74">
        <f t="shared" ca="1" si="76"/>
      </c>
      <c r="Q351" s="74">
        <f t="shared" ca="1" si="77"/>
      </c>
      <c r="R351" s="74">
        <f t="shared" si="78"/>
      </c>
      <c r="S351" s="74">
        <f t="shared" ca="1" si="79"/>
      </c>
      <c r="T351" s="74">
        <f t="shared" si="80"/>
      </c>
    </row>
    <row r="352" spans="2:20" x14ac:dyDescent="0.3">
      <c r="B352" s="74">
        <f t="shared" ca="1" si="70"/>
      </c>
      <c r="C352" s="78">
        <f>Кабельный_журнал!P318</f>
      </c>
      <c r="D352" s="74">
        <f t="shared" ca="1" si="71"/>
      </c>
      <c r="E352" s="80" t="s">
        <v>279</v>
      </c>
      <c r="F352" s="74">
        <f t="shared" ca="1" si="67"/>
      </c>
      <c r="G352" s="74">
        <f t="shared" si="68"/>
      </c>
      <c r="H352" s="80" t="s">
        <v>272</v>
      </c>
      <c r="I352" s="74">
        <f t="shared" si="69"/>
      </c>
      <c r="J352" s="74">
        <f t="shared" si="72"/>
      </c>
      <c r="K352" s="80" t="s">
        <v>280</v>
      </c>
      <c r="L352" s="74">
        <f t="shared" si="73"/>
      </c>
      <c r="M352" s="74">
        <f t="shared" ca="1" si="74"/>
      </c>
      <c r="N352" s="74">
        <f ca="1">VLOOKUP(B352,$C$7:$T350,13,FALSE)</f>
      </c>
      <c r="O352" s="74">
        <f t="shared" ca="1" si="75"/>
      </c>
      <c r="P352" s="74">
        <f t="shared" ca="1" si="76"/>
      </c>
      <c r="Q352" s="74">
        <f t="shared" ca="1" si="77"/>
      </c>
      <c r="R352" s="74">
        <f t="shared" si="78"/>
      </c>
      <c r="S352" s="74">
        <f t="shared" ca="1" si="79"/>
      </c>
      <c r="T352" s="74">
        <f t="shared" si="80"/>
      </c>
    </row>
    <row r="353" spans="2:20" x14ac:dyDescent="0.3">
      <c r="B353" s="74">
        <f t="shared" ca="1" si="70"/>
      </c>
      <c r="C353" s="78">
        <f>Кабельный_журнал!P319</f>
      </c>
      <c r="D353" s="74">
        <f t="shared" ca="1" si="71"/>
      </c>
      <c r="E353" s="80" t="s">
        <v>279</v>
      </c>
      <c r="F353" s="74">
        <f t="shared" ca="1" si="67"/>
      </c>
      <c r="G353" s="74">
        <f t="shared" si="68"/>
      </c>
      <c r="H353" s="80" t="s">
        <v>272</v>
      </c>
      <c r="I353" s="74">
        <f t="shared" si="69"/>
      </c>
      <c r="J353" s="74">
        <f t="shared" si="72"/>
      </c>
      <c r="K353" s="80" t="s">
        <v>280</v>
      </c>
      <c r="L353" s="74">
        <f t="shared" si="73"/>
      </c>
      <c r="M353" s="74">
        <f t="shared" ca="1" si="74"/>
      </c>
      <c r="N353" s="74">
        <f ca="1">VLOOKUP(B353,$C$7:$T351,13,FALSE)</f>
      </c>
      <c r="O353" s="74">
        <f t="shared" ca="1" si="75"/>
      </c>
      <c r="P353" s="74">
        <f t="shared" ca="1" si="76"/>
      </c>
      <c r="Q353" s="74">
        <f t="shared" ca="1" si="77"/>
      </c>
      <c r="R353" s="74">
        <f t="shared" si="78"/>
      </c>
      <c r="S353" s="74">
        <f t="shared" ca="1" si="79"/>
      </c>
      <c r="T353" s="74">
        <f t="shared" si="80"/>
      </c>
    </row>
    <row r="354" spans="2:20" x14ac:dyDescent="0.3">
      <c r="B354" s="74">
        <f t="shared" ca="1" si="70"/>
      </c>
      <c r="C354" s="78">
        <f>Кабельный_журнал!P320</f>
      </c>
      <c r="D354" s="74">
        <f t="shared" ca="1" si="71"/>
      </c>
      <c r="E354" s="80" t="s">
        <v>279</v>
      </c>
      <c r="F354" s="74">
        <f t="shared" ca="1" si="67"/>
      </c>
      <c r="G354" s="74">
        <f t="shared" si="68"/>
      </c>
      <c r="H354" s="80" t="s">
        <v>272</v>
      </c>
      <c r="I354" s="74">
        <f t="shared" si="69"/>
      </c>
      <c r="J354" s="74">
        <f t="shared" si="72"/>
      </c>
      <c r="K354" s="80" t="s">
        <v>280</v>
      </c>
      <c r="L354" s="74">
        <f t="shared" si="73"/>
      </c>
      <c r="M354" s="74">
        <f t="shared" ca="1" si="74"/>
      </c>
      <c r="N354" s="74">
        <f ca="1">VLOOKUP(B354,$C$7:$T352,13,FALSE)</f>
      </c>
      <c r="O354" s="74">
        <f t="shared" ca="1" si="75"/>
      </c>
      <c r="P354" s="74">
        <f t="shared" ca="1" si="76"/>
      </c>
      <c r="Q354" s="74">
        <f t="shared" ca="1" si="77"/>
      </c>
      <c r="R354" s="74">
        <f t="shared" si="78"/>
      </c>
      <c r="S354" s="74">
        <f t="shared" ca="1" si="79"/>
      </c>
      <c r="T354" s="74">
        <f t="shared" si="80"/>
      </c>
    </row>
    <row r="355" spans="2:20" x14ac:dyDescent="0.3">
      <c r="B355" s="74">
        <f t="shared" ca="1" si="70"/>
      </c>
      <c r="C355" s="78">
        <f>Кабельный_журнал!P321</f>
      </c>
      <c r="D355" s="74">
        <f t="shared" ca="1" si="71"/>
      </c>
      <c r="E355" s="80" t="s">
        <v>279</v>
      </c>
      <c r="F355" s="74">
        <f t="shared" ca="1" si="67"/>
      </c>
      <c r="G355" s="74">
        <f t="shared" si="68"/>
      </c>
      <c r="H355" s="80" t="s">
        <v>272</v>
      </c>
      <c r="I355" s="74">
        <f t="shared" si="69"/>
      </c>
      <c r="J355" s="74">
        <f t="shared" si="72"/>
      </c>
      <c r="K355" s="80" t="s">
        <v>280</v>
      </c>
      <c r="L355" s="74">
        <f t="shared" si="73"/>
      </c>
      <c r="M355" s="74">
        <f t="shared" ca="1" si="74"/>
      </c>
      <c r="N355" s="74">
        <f ca="1">VLOOKUP(B355,$C$7:$T353,13,FALSE)</f>
      </c>
      <c r="O355" s="74">
        <f t="shared" ca="1" si="75"/>
      </c>
      <c r="P355" s="74">
        <f t="shared" ca="1" si="76"/>
      </c>
      <c r="Q355" s="74">
        <f t="shared" ca="1" si="77"/>
      </c>
      <c r="R355" s="74">
        <f t="shared" si="78"/>
      </c>
      <c r="S355" s="74">
        <f t="shared" ca="1" si="79"/>
      </c>
      <c r="T355" s="74">
        <f t="shared" si="80"/>
      </c>
    </row>
    <row r="356" spans="2:20" x14ac:dyDescent="0.3">
      <c r="B356" s="74">
        <f t="shared" ca="1" si="70"/>
      </c>
      <c r="C356" s="78">
        <f>Кабельный_журнал!P322</f>
      </c>
      <c r="D356" s="74">
        <f t="shared" ca="1" si="71"/>
      </c>
      <c r="E356" s="80" t="s">
        <v>279</v>
      </c>
      <c r="F356" s="74">
        <f t="shared" ca="1" si="67"/>
      </c>
      <c r="G356" s="74">
        <f t="shared" si="68"/>
      </c>
      <c r="H356" s="80" t="s">
        <v>272</v>
      </c>
      <c r="I356" s="74">
        <f t="shared" si="69"/>
      </c>
      <c r="J356" s="74">
        <f t="shared" si="72"/>
      </c>
      <c r="K356" s="80" t="s">
        <v>280</v>
      </c>
      <c r="L356" s="74">
        <f t="shared" si="73"/>
      </c>
      <c r="M356" s="74">
        <f t="shared" ca="1" si="74"/>
      </c>
      <c r="N356" s="74">
        <f ca="1">VLOOKUP(B356,$C$7:$T354,13,FALSE)</f>
      </c>
      <c r="O356" s="74">
        <f t="shared" ca="1" si="75"/>
      </c>
      <c r="P356" s="74">
        <f t="shared" ca="1" si="76"/>
      </c>
      <c r="Q356" s="74">
        <f t="shared" ca="1" si="77"/>
      </c>
      <c r="R356" s="74">
        <f t="shared" si="78"/>
      </c>
      <c r="S356" s="74">
        <f t="shared" ca="1" si="79"/>
      </c>
      <c r="T356" s="74">
        <f t="shared" si="80"/>
      </c>
    </row>
    <row r="357" spans="2:20" x14ac:dyDescent="0.3">
      <c r="B357" s="74">
        <f t="shared" ca="1" si="70"/>
      </c>
      <c r="C357" s="78">
        <f>Кабельный_журнал!P323</f>
      </c>
      <c r="D357" s="74">
        <f t="shared" ca="1" si="71"/>
      </c>
      <c r="E357" s="80" t="s">
        <v>279</v>
      </c>
      <c r="F357" s="74">
        <f t="shared" ca="1" si="67"/>
      </c>
      <c r="G357" s="74">
        <f t="shared" si="68"/>
      </c>
      <c r="H357" s="80" t="s">
        <v>272</v>
      </c>
      <c r="I357" s="74">
        <f t="shared" si="69"/>
      </c>
      <c r="J357" s="74">
        <f t="shared" si="72"/>
      </c>
      <c r="K357" s="80" t="s">
        <v>280</v>
      </c>
      <c r="L357" s="74">
        <f t="shared" si="73"/>
      </c>
      <c r="M357" s="74">
        <f t="shared" ca="1" si="74"/>
      </c>
      <c r="N357" s="74">
        <f ca="1">VLOOKUP(B357,$C$7:$T355,13,FALSE)</f>
      </c>
      <c r="O357" s="74">
        <f t="shared" ca="1" si="75"/>
      </c>
      <c r="P357" s="74">
        <f t="shared" ca="1" si="76"/>
      </c>
      <c r="Q357" s="74">
        <f t="shared" ca="1" si="77"/>
      </c>
      <c r="R357" s="74">
        <f t="shared" si="78"/>
      </c>
      <c r="S357" s="74">
        <f t="shared" ca="1" si="79"/>
      </c>
      <c r="T357" s="74">
        <f t="shared" si="80"/>
      </c>
    </row>
    <row r="358" spans="2:20" x14ac:dyDescent="0.3">
      <c r="B358" s="74">
        <f t="shared" ca="1" si="70"/>
      </c>
      <c r="C358" s="78">
        <f>Кабельный_журнал!P324</f>
      </c>
      <c r="D358" s="74">
        <f t="shared" ca="1" si="71"/>
      </c>
      <c r="E358" s="80" t="s">
        <v>279</v>
      </c>
      <c r="F358" s="74">
        <f t="shared" ca="1" si="67"/>
      </c>
      <c r="G358" s="74">
        <f t="shared" si="68"/>
      </c>
      <c r="H358" s="80" t="s">
        <v>272</v>
      </c>
      <c r="I358" s="74">
        <f t="shared" si="69"/>
      </c>
      <c r="J358" s="74">
        <f t="shared" si="72"/>
      </c>
      <c r="K358" s="80" t="s">
        <v>280</v>
      </c>
      <c r="L358" s="74">
        <f t="shared" si="73"/>
      </c>
      <c r="M358" s="74">
        <f t="shared" ca="1" si="74"/>
      </c>
      <c r="N358" s="74">
        <f ca="1">VLOOKUP(B358,$C$7:$T356,13,FALSE)</f>
      </c>
      <c r="O358" s="74">
        <f t="shared" ca="1" si="75"/>
      </c>
      <c r="P358" s="74">
        <f t="shared" ca="1" si="76"/>
      </c>
      <c r="Q358" s="74">
        <f t="shared" ca="1" si="77"/>
      </c>
      <c r="R358" s="74">
        <f t="shared" si="78"/>
      </c>
      <c r="S358" s="74">
        <f t="shared" ca="1" si="79"/>
      </c>
      <c r="T358" s="74">
        <f t="shared" si="80"/>
      </c>
    </row>
    <row r="359" spans="2:20" x14ac:dyDescent="0.3">
      <c r="B359" s="74">
        <f t="shared" ca="1" si="70"/>
      </c>
      <c r="C359" s="78">
        <f>Кабельный_журнал!P325</f>
      </c>
      <c r="D359" s="74">
        <f t="shared" ca="1" si="71"/>
      </c>
      <c r="E359" s="80" t="s">
        <v>279</v>
      </c>
      <c r="F359" s="74">
        <f t="shared" ref="F359:F422" ca="1" si="81">VLOOKUP(C359,Кабельный_журнал,8,FALSE)</f>
      </c>
      <c r="G359" s="74">
        <f t="shared" ref="G359:G422" si="82">VLOOKUP(C359,Исходные_данные,21,FALSE)</f>
      </c>
      <c r="H359" s="80" t="s">
        <v>272</v>
      </c>
      <c r="I359" s="74">
        <f t="shared" ref="I359:I422" si="83">VLOOKUP(C359,Исходные_данные,22,FALSE)</f>
      </c>
      <c r="J359" s="74">
        <f t="shared" si="72"/>
      </c>
      <c r="K359" s="80" t="s">
        <v>280</v>
      </c>
      <c r="L359" s="74">
        <f t="shared" si="73"/>
      </c>
      <c r="M359" s="74">
        <f t="shared" ca="1" si="74"/>
      </c>
      <c r="N359" s="74">
        <f ca="1">VLOOKUP(B359,$C$7:$T357,13,FALSE)</f>
      </c>
      <c r="O359" s="74">
        <f t="shared" ca="1" si="75"/>
      </c>
      <c r="P359" s="74">
        <f t="shared" ca="1" si="76"/>
      </c>
      <c r="Q359" s="74">
        <f t="shared" ca="1" si="77"/>
      </c>
      <c r="R359" s="74">
        <f t="shared" si="78"/>
      </c>
      <c r="S359" s="74">
        <f t="shared" ca="1" si="79"/>
      </c>
      <c r="T359" s="74">
        <f t="shared" si="80"/>
      </c>
    </row>
    <row r="360" spans="2:20" x14ac:dyDescent="0.3">
      <c r="B360" s="74">
        <f t="shared" ref="B360:B423" ca="1" si="84">VLOOKUP(C360,Кабельный_журнал,2,FALSE)</f>
      </c>
      <c r="C360" s="78">
        <f>Кабельный_журнал!P326</f>
      </c>
      <c r="D360" s="74">
        <f t="shared" ref="D360:D423" ca="1" si="85">B360&amp;"-"&amp;C360</f>
      </c>
      <c r="E360" s="80" t="s">
        <v>279</v>
      </c>
      <c r="F360" s="74">
        <f t="shared" ca="1" si="81"/>
      </c>
      <c r="G360" s="74">
        <f t="shared" si="82"/>
      </c>
      <c r="H360" s="80" t="s">
        <v>272</v>
      </c>
      <c r="I360" s="74">
        <f t="shared" si="83"/>
      </c>
      <c r="J360" s="74">
        <f t="shared" ref="J360:J423" si="86">I360</f>
      </c>
      <c r="K360" s="80" t="s">
        <v>280</v>
      </c>
      <c r="L360" s="74">
        <f t="shared" ref="L360:L423" si="87">VLOOKUP(K360,$K$2:$L$3,2,FALSE)</f>
      </c>
      <c r="M360" s="74">
        <f t="shared" ref="M360:M423" ca="1" si="88">L360*F360*(1/I360+1/J360)</f>
      </c>
      <c r="N360" s="74">
        <f ca="1">VLOOKUP(B360,$C$7:$T358,13,FALSE)</f>
      </c>
      <c r="O360" s="74">
        <f t="shared" ref="O360:O423" ca="1" si="89">L360+M360</f>
      </c>
      <c r="P360" s="74">
        <f t="shared" ref="P360:P423" ca="1" si="90">220/O360</f>
      </c>
      <c r="Q360" s="74">
        <f t="shared" ref="Q360:Q423" ca="1" si="91">O360/G360</f>
      </c>
      <c r="R360" s="74">
        <f t="shared" ref="R360:R423" si="92">VLOOKUP(H360,$W$2:$Y$12,3,FALSE)</f>
      </c>
      <c r="S360" s="74">
        <f t="shared" ref="S360:S423" ca="1" si="93">_xlfn.IFS(E360="щит",IF(P360&gt;R360,"Увел сеч",IF(T360&gt;P360,"Увел сеч","tср&lt;5с")),E360="потреб",IF(P360&gt;R360,"Увел сеч",IF(T360&gt;P360,"Увел сеч","tср&lt;0.4с")))</f>
      </c>
      <c r="T360" s="74">
        <f t="shared" ref="T360:T423" si="94">G360*VLOOKUP(H360,$W$2:$Y$12,2,FALSE)</f>
      </c>
    </row>
    <row r="361" spans="2:20" x14ac:dyDescent="0.3">
      <c r="B361" s="74">
        <f t="shared" ca="1" si="84"/>
      </c>
      <c r="C361" s="78">
        <f>Кабельный_журнал!P327</f>
      </c>
      <c r="D361" s="74">
        <f t="shared" ca="1" si="85"/>
      </c>
      <c r="E361" s="80" t="s">
        <v>279</v>
      </c>
      <c r="F361" s="74">
        <f t="shared" ca="1" si="81"/>
      </c>
      <c r="G361" s="74">
        <f t="shared" si="82"/>
      </c>
      <c r="H361" s="80" t="s">
        <v>272</v>
      </c>
      <c r="I361" s="74">
        <f t="shared" si="83"/>
      </c>
      <c r="J361" s="74">
        <f t="shared" si="86"/>
      </c>
      <c r="K361" s="80" t="s">
        <v>280</v>
      </c>
      <c r="L361" s="74">
        <f t="shared" si="87"/>
      </c>
      <c r="M361" s="74">
        <f t="shared" ca="1" si="88"/>
      </c>
      <c r="N361" s="74">
        <f ca="1">VLOOKUP(B361,$C$7:$T359,13,FALSE)</f>
      </c>
      <c r="O361" s="74">
        <f t="shared" ca="1" si="89"/>
      </c>
      <c r="P361" s="74">
        <f t="shared" ca="1" si="90"/>
      </c>
      <c r="Q361" s="74">
        <f t="shared" ca="1" si="91"/>
      </c>
      <c r="R361" s="74">
        <f t="shared" si="92"/>
      </c>
      <c r="S361" s="74">
        <f t="shared" ca="1" si="93"/>
      </c>
      <c r="T361" s="74">
        <f t="shared" si="94"/>
      </c>
    </row>
    <row r="362" spans="2:20" x14ac:dyDescent="0.3">
      <c r="B362" s="74">
        <f t="shared" ca="1" si="84"/>
      </c>
      <c r="C362" s="78">
        <f>Кабельный_журнал!P328</f>
      </c>
      <c r="D362" s="74">
        <f t="shared" ca="1" si="85"/>
      </c>
      <c r="E362" s="80" t="s">
        <v>279</v>
      </c>
      <c r="F362" s="74">
        <f t="shared" ca="1" si="81"/>
      </c>
      <c r="G362" s="74">
        <f t="shared" si="82"/>
      </c>
      <c r="H362" s="80" t="s">
        <v>272</v>
      </c>
      <c r="I362" s="74">
        <f t="shared" si="83"/>
      </c>
      <c r="J362" s="74">
        <f t="shared" si="86"/>
      </c>
      <c r="K362" s="80" t="s">
        <v>280</v>
      </c>
      <c r="L362" s="74">
        <f t="shared" si="87"/>
      </c>
      <c r="M362" s="74">
        <f t="shared" ca="1" si="88"/>
      </c>
      <c r="N362" s="74">
        <f ca="1">VLOOKUP(B362,$C$7:$T360,13,FALSE)</f>
      </c>
      <c r="O362" s="74">
        <f t="shared" ca="1" si="89"/>
      </c>
      <c r="P362" s="74">
        <f t="shared" ca="1" si="90"/>
      </c>
      <c r="Q362" s="74">
        <f t="shared" ca="1" si="91"/>
      </c>
      <c r="R362" s="74">
        <f t="shared" si="92"/>
      </c>
      <c r="S362" s="74">
        <f t="shared" ca="1" si="93"/>
      </c>
      <c r="T362" s="74">
        <f t="shared" si="94"/>
      </c>
    </row>
    <row r="363" spans="2:20" x14ac:dyDescent="0.3">
      <c r="B363" s="74">
        <f t="shared" ca="1" si="84"/>
      </c>
      <c r="C363" s="78">
        <f>Кабельный_журнал!P329</f>
      </c>
      <c r="D363" s="74">
        <f t="shared" ca="1" si="85"/>
      </c>
      <c r="E363" s="80" t="s">
        <v>279</v>
      </c>
      <c r="F363" s="74">
        <f t="shared" ca="1" si="81"/>
      </c>
      <c r="G363" s="74">
        <f t="shared" si="82"/>
      </c>
      <c r="H363" s="80" t="s">
        <v>272</v>
      </c>
      <c r="I363" s="74">
        <f t="shared" si="83"/>
      </c>
      <c r="J363" s="74">
        <f t="shared" si="86"/>
      </c>
      <c r="K363" s="80" t="s">
        <v>280</v>
      </c>
      <c r="L363" s="74">
        <f t="shared" si="87"/>
      </c>
      <c r="M363" s="74">
        <f t="shared" ca="1" si="88"/>
      </c>
      <c r="N363" s="74">
        <f ca="1">VLOOKUP(B363,$C$7:$T361,13,FALSE)</f>
      </c>
      <c r="O363" s="74">
        <f t="shared" ca="1" si="89"/>
      </c>
      <c r="P363" s="74">
        <f t="shared" ca="1" si="90"/>
      </c>
      <c r="Q363" s="74">
        <f t="shared" ca="1" si="91"/>
      </c>
      <c r="R363" s="74">
        <f t="shared" si="92"/>
      </c>
      <c r="S363" s="74">
        <f t="shared" ca="1" si="93"/>
      </c>
      <c r="T363" s="74">
        <f t="shared" si="94"/>
      </c>
    </row>
    <row r="364" spans="2:20" x14ac:dyDescent="0.3">
      <c r="B364" s="74">
        <f t="shared" ca="1" si="84"/>
      </c>
      <c r="C364" s="78">
        <f>Кабельный_журнал!P330</f>
      </c>
      <c r="D364" s="74">
        <f t="shared" ca="1" si="85"/>
      </c>
      <c r="E364" s="80" t="s">
        <v>279</v>
      </c>
      <c r="F364" s="74">
        <f t="shared" ca="1" si="81"/>
      </c>
      <c r="G364" s="74">
        <f t="shared" si="82"/>
      </c>
      <c r="H364" s="80" t="s">
        <v>272</v>
      </c>
      <c r="I364" s="74">
        <f t="shared" si="83"/>
      </c>
      <c r="J364" s="74">
        <f t="shared" si="86"/>
      </c>
      <c r="K364" s="80" t="s">
        <v>280</v>
      </c>
      <c r="L364" s="74">
        <f t="shared" si="87"/>
      </c>
      <c r="M364" s="74">
        <f t="shared" ca="1" si="88"/>
      </c>
      <c r="N364" s="74">
        <f ca="1">VLOOKUP(B364,$C$7:$T362,13,FALSE)</f>
      </c>
      <c r="O364" s="74">
        <f t="shared" ca="1" si="89"/>
      </c>
      <c r="P364" s="74">
        <f t="shared" ca="1" si="90"/>
      </c>
      <c r="Q364" s="74">
        <f t="shared" ca="1" si="91"/>
      </c>
      <c r="R364" s="74">
        <f t="shared" si="92"/>
      </c>
      <c r="S364" s="74">
        <f t="shared" ca="1" si="93"/>
      </c>
      <c r="T364" s="74">
        <f t="shared" si="94"/>
      </c>
    </row>
    <row r="365" spans="2:20" x14ac:dyDescent="0.3">
      <c r="B365" s="74">
        <f t="shared" ca="1" si="84"/>
      </c>
      <c r="C365" s="78">
        <f>Кабельный_журнал!P331</f>
      </c>
      <c r="D365" s="74">
        <f t="shared" ca="1" si="85"/>
      </c>
      <c r="E365" s="80" t="s">
        <v>279</v>
      </c>
      <c r="F365" s="74">
        <f t="shared" ca="1" si="81"/>
      </c>
      <c r="G365" s="74">
        <f t="shared" si="82"/>
      </c>
      <c r="H365" s="80" t="s">
        <v>272</v>
      </c>
      <c r="I365" s="74">
        <f t="shared" si="83"/>
      </c>
      <c r="J365" s="74">
        <f t="shared" si="86"/>
      </c>
      <c r="K365" s="80" t="s">
        <v>280</v>
      </c>
      <c r="L365" s="74">
        <f t="shared" si="87"/>
      </c>
      <c r="M365" s="74">
        <f t="shared" ca="1" si="88"/>
      </c>
      <c r="N365" s="74">
        <f ca="1">VLOOKUP(B365,$C$7:$T363,13,FALSE)</f>
      </c>
      <c r="O365" s="74">
        <f t="shared" ca="1" si="89"/>
      </c>
      <c r="P365" s="74">
        <f t="shared" ca="1" si="90"/>
      </c>
      <c r="Q365" s="74">
        <f t="shared" ca="1" si="91"/>
      </c>
      <c r="R365" s="74">
        <f t="shared" si="92"/>
      </c>
      <c r="S365" s="74">
        <f t="shared" ca="1" si="93"/>
      </c>
      <c r="T365" s="74">
        <f t="shared" si="94"/>
      </c>
    </row>
    <row r="366" spans="2:20" x14ac:dyDescent="0.3">
      <c r="B366" s="74">
        <f t="shared" ca="1" si="84"/>
      </c>
      <c r="C366" s="78">
        <f>Кабельный_журнал!P332</f>
      </c>
      <c r="D366" s="74">
        <f t="shared" ca="1" si="85"/>
      </c>
      <c r="E366" s="80" t="s">
        <v>279</v>
      </c>
      <c r="F366" s="74">
        <f t="shared" ca="1" si="81"/>
      </c>
      <c r="G366" s="74">
        <f t="shared" si="82"/>
      </c>
      <c r="H366" s="80" t="s">
        <v>272</v>
      </c>
      <c r="I366" s="74">
        <f t="shared" si="83"/>
      </c>
      <c r="J366" s="74">
        <f t="shared" si="86"/>
      </c>
      <c r="K366" s="80" t="s">
        <v>280</v>
      </c>
      <c r="L366" s="74">
        <f t="shared" si="87"/>
      </c>
      <c r="M366" s="74">
        <f t="shared" ca="1" si="88"/>
      </c>
      <c r="N366" s="74">
        <f ca="1">VLOOKUP(B366,$C$7:$T364,13,FALSE)</f>
      </c>
      <c r="O366" s="74">
        <f t="shared" ca="1" si="89"/>
      </c>
      <c r="P366" s="74">
        <f t="shared" ca="1" si="90"/>
      </c>
      <c r="Q366" s="74">
        <f t="shared" ca="1" si="91"/>
      </c>
      <c r="R366" s="74">
        <f t="shared" si="92"/>
      </c>
      <c r="S366" s="74">
        <f t="shared" ca="1" si="93"/>
      </c>
      <c r="T366" s="74">
        <f t="shared" si="94"/>
      </c>
    </row>
    <row r="367" spans="2:20" x14ac:dyDescent="0.3">
      <c r="B367" s="74">
        <f t="shared" ca="1" si="84"/>
      </c>
      <c r="C367" s="78">
        <f>Кабельный_журнал!P333</f>
      </c>
      <c r="D367" s="74">
        <f t="shared" ca="1" si="85"/>
      </c>
      <c r="E367" s="80" t="s">
        <v>279</v>
      </c>
      <c r="F367" s="74">
        <f t="shared" ca="1" si="81"/>
      </c>
      <c r="G367" s="74">
        <f t="shared" si="82"/>
      </c>
      <c r="H367" s="80" t="s">
        <v>272</v>
      </c>
      <c r="I367" s="74">
        <f t="shared" si="83"/>
      </c>
      <c r="J367" s="74">
        <f t="shared" si="86"/>
      </c>
      <c r="K367" s="80" t="s">
        <v>280</v>
      </c>
      <c r="L367" s="74">
        <f t="shared" si="87"/>
      </c>
      <c r="M367" s="74">
        <f t="shared" ca="1" si="88"/>
      </c>
      <c r="N367" s="74">
        <f ca="1">VLOOKUP(B367,$C$7:$T365,13,FALSE)</f>
      </c>
      <c r="O367" s="74">
        <f t="shared" ca="1" si="89"/>
      </c>
      <c r="P367" s="74">
        <f t="shared" ca="1" si="90"/>
      </c>
      <c r="Q367" s="74">
        <f t="shared" ca="1" si="91"/>
      </c>
      <c r="R367" s="74">
        <f t="shared" si="92"/>
      </c>
      <c r="S367" s="74">
        <f t="shared" ca="1" si="93"/>
      </c>
      <c r="T367" s="74">
        <f t="shared" si="94"/>
      </c>
    </row>
    <row r="368" spans="2:20" x14ac:dyDescent="0.3">
      <c r="B368" s="74">
        <f t="shared" ca="1" si="84"/>
      </c>
      <c r="C368" s="78">
        <f>Кабельный_журнал!P334</f>
      </c>
      <c r="D368" s="74">
        <f t="shared" ca="1" si="85"/>
      </c>
      <c r="E368" s="80" t="s">
        <v>279</v>
      </c>
      <c r="F368" s="74">
        <f t="shared" ca="1" si="81"/>
      </c>
      <c r="G368" s="74">
        <f t="shared" si="82"/>
      </c>
      <c r="H368" s="80" t="s">
        <v>272</v>
      </c>
      <c r="I368" s="74">
        <f t="shared" si="83"/>
      </c>
      <c r="J368" s="74">
        <f t="shared" si="86"/>
      </c>
      <c r="K368" s="80" t="s">
        <v>280</v>
      </c>
      <c r="L368" s="74">
        <f t="shared" si="87"/>
      </c>
      <c r="M368" s="74">
        <f t="shared" ca="1" si="88"/>
      </c>
      <c r="N368" s="74">
        <f ca="1">VLOOKUP(B368,$C$7:$T366,13,FALSE)</f>
      </c>
      <c r="O368" s="74">
        <f t="shared" ca="1" si="89"/>
      </c>
      <c r="P368" s="74">
        <f t="shared" ca="1" si="90"/>
      </c>
      <c r="Q368" s="74">
        <f t="shared" ca="1" si="91"/>
      </c>
      <c r="R368" s="74">
        <f t="shared" si="92"/>
      </c>
      <c r="S368" s="74">
        <f t="shared" ca="1" si="93"/>
      </c>
      <c r="T368" s="74">
        <f t="shared" si="94"/>
      </c>
    </row>
    <row r="369" spans="2:20" x14ac:dyDescent="0.3">
      <c r="B369" s="74">
        <f t="shared" ca="1" si="84"/>
      </c>
      <c r="C369" s="78">
        <f>Кабельный_журнал!P335</f>
      </c>
      <c r="D369" s="74">
        <f t="shared" ca="1" si="85"/>
      </c>
      <c r="E369" s="80" t="s">
        <v>279</v>
      </c>
      <c r="F369" s="74">
        <f t="shared" ca="1" si="81"/>
      </c>
      <c r="G369" s="74">
        <f t="shared" si="82"/>
      </c>
      <c r="H369" s="80" t="s">
        <v>272</v>
      </c>
      <c r="I369" s="74">
        <f t="shared" si="83"/>
      </c>
      <c r="J369" s="74">
        <f t="shared" si="86"/>
      </c>
      <c r="K369" s="80" t="s">
        <v>280</v>
      </c>
      <c r="L369" s="74">
        <f t="shared" si="87"/>
      </c>
      <c r="M369" s="74">
        <f t="shared" ca="1" si="88"/>
      </c>
      <c r="N369" s="74">
        <f ca="1">VLOOKUP(B369,$C$7:$T367,13,FALSE)</f>
      </c>
      <c r="O369" s="74">
        <f t="shared" ca="1" si="89"/>
      </c>
      <c r="P369" s="74">
        <f t="shared" ca="1" si="90"/>
      </c>
      <c r="Q369" s="74">
        <f t="shared" ca="1" si="91"/>
      </c>
      <c r="R369" s="74">
        <f t="shared" si="92"/>
      </c>
      <c r="S369" s="74">
        <f t="shared" ca="1" si="93"/>
      </c>
      <c r="T369" s="74">
        <f t="shared" si="94"/>
      </c>
    </row>
    <row r="370" spans="2:20" x14ac:dyDescent="0.3">
      <c r="B370" s="74">
        <f t="shared" ca="1" si="84"/>
      </c>
      <c r="C370" s="78">
        <f>Кабельный_журнал!P336</f>
      </c>
      <c r="D370" s="74">
        <f t="shared" ca="1" si="85"/>
      </c>
      <c r="E370" s="80" t="s">
        <v>279</v>
      </c>
      <c r="F370" s="74">
        <f t="shared" ca="1" si="81"/>
      </c>
      <c r="G370" s="74">
        <f t="shared" si="82"/>
      </c>
      <c r="H370" s="80" t="s">
        <v>272</v>
      </c>
      <c r="I370" s="74">
        <f t="shared" si="83"/>
      </c>
      <c r="J370" s="74">
        <f t="shared" si="86"/>
      </c>
      <c r="K370" s="80" t="s">
        <v>280</v>
      </c>
      <c r="L370" s="74">
        <f t="shared" si="87"/>
      </c>
      <c r="M370" s="74">
        <f t="shared" ca="1" si="88"/>
      </c>
      <c r="N370" s="74">
        <f ca="1">VLOOKUP(B370,$C$7:$T368,13,FALSE)</f>
      </c>
      <c r="O370" s="74">
        <f t="shared" ca="1" si="89"/>
      </c>
      <c r="P370" s="74">
        <f t="shared" ca="1" si="90"/>
      </c>
      <c r="Q370" s="74">
        <f t="shared" ca="1" si="91"/>
      </c>
      <c r="R370" s="74">
        <f t="shared" si="92"/>
      </c>
      <c r="S370" s="74">
        <f t="shared" ca="1" si="93"/>
      </c>
      <c r="T370" s="74">
        <f t="shared" si="94"/>
      </c>
    </row>
    <row r="371" spans="2:20" x14ac:dyDescent="0.3">
      <c r="B371" s="74">
        <f t="shared" ca="1" si="84"/>
      </c>
      <c r="C371" s="78">
        <f>Кабельный_журнал!P337</f>
      </c>
      <c r="D371" s="74">
        <f t="shared" ca="1" si="85"/>
      </c>
      <c r="E371" s="80" t="s">
        <v>279</v>
      </c>
      <c r="F371" s="74">
        <f t="shared" ca="1" si="81"/>
      </c>
      <c r="G371" s="74">
        <f t="shared" si="82"/>
      </c>
      <c r="H371" s="80" t="s">
        <v>272</v>
      </c>
      <c r="I371" s="74">
        <f t="shared" si="83"/>
      </c>
      <c r="J371" s="74">
        <f t="shared" si="86"/>
      </c>
      <c r="K371" s="80" t="s">
        <v>280</v>
      </c>
      <c r="L371" s="74">
        <f t="shared" si="87"/>
      </c>
      <c r="M371" s="74">
        <f t="shared" ca="1" si="88"/>
      </c>
      <c r="N371" s="74">
        <f ca="1">VLOOKUP(B371,$C$7:$T369,13,FALSE)</f>
      </c>
      <c r="O371" s="74">
        <f t="shared" ca="1" si="89"/>
      </c>
      <c r="P371" s="74">
        <f t="shared" ca="1" si="90"/>
      </c>
      <c r="Q371" s="74">
        <f t="shared" ca="1" si="91"/>
      </c>
      <c r="R371" s="74">
        <f t="shared" si="92"/>
      </c>
      <c r="S371" s="74">
        <f t="shared" ca="1" si="93"/>
      </c>
      <c r="T371" s="74">
        <f t="shared" si="94"/>
      </c>
    </row>
    <row r="372" spans="2:20" x14ac:dyDescent="0.3">
      <c r="B372" s="74">
        <f t="shared" ca="1" si="84"/>
      </c>
      <c r="C372" s="78">
        <f>Кабельный_журнал!P338</f>
      </c>
      <c r="D372" s="74">
        <f t="shared" ca="1" si="85"/>
      </c>
      <c r="E372" s="80" t="s">
        <v>279</v>
      </c>
      <c r="F372" s="74">
        <f t="shared" ca="1" si="81"/>
      </c>
      <c r="G372" s="74">
        <f t="shared" si="82"/>
      </c>
      <c r="H372" s="80" t="s">
        <v>272</v>
      </c>
      <c r="I372" s="74">
        <f t="shared" si="83"/>
      </c>
      <c r="J372" s="74">
        <f t="shared" si="86"/>
      </c>
      <c r="K372" s="80" t="s">
        <v>280</v>
      </c>
      <c r="L372" s="74">
        <f t="shared" si="87"/>
      </c>
      <c r="M372" s="74">
        <f t="shared" ca="1" si="88"/>
      </c>
      <c r="N372" s="74">
        <f ca="1">VLOOKUP(B372,$C$7:$T370,13,FALSE)</f>
      </c>
      <c r="O372" s="74">
        <f t="shared" ca="1" si="89"/>
      </c>
      <c r="P372" s="74">
        <f t="shared" ca="1" si="90"/>
      </c>
      <c r="Q372" s="74">
        <f t="shared" ca="1" si="91"/>
      </c>
      <c r="R372" s="74">
        <f t="shared" si="92"/>
      </c>
      <c r="S372" s="74">
        <f t="shared" ca="1" si="93"/>
      </c>
      <c r="T372" s="74">
        <f t="shared" si="94"/>
      </c>
    </row>
    <row r="373" spans="2:20" x14ac:dyDescent="0.3">
      <c r="B373" s="74">
        <f t="shared" ca="1" si="84"/>
      </c>
      <c r="C373" s="78">
        <f>Кабельный_журнал!P339</f>
      </c>
      <c r="D373" s="74">
        <f t="shared" ca="1" si="85"/>
      </c>
      <c r="E373" s="80" t="s">
        <v>279</v>
      </c>
      <c r="F373" s="74">
        <f t="shared" ca="1" si="81"/>
      </c>
      <c r="G373" s="74">
        <f t="shared" si="82"/>
      </c>
      <c r="H373" s="80" t="s">
        <v>272</v>
      </c>
      <c r="I373" s="74">
        <f t="shared" si="83"/>
      </c>
      <c r="J373" s="74">
        <f t="shared" si="86"/>
      </c>
      <c r="K373" s="80" t="s">
        <v>280</v>
      </c>
      <c r="L373" s="74">
        <f t="shared" si="87"/>
      </c>
      <c r="M373" s="74">
        <f t="shared" ca="1" si="88"/>
      </c>
      <c r="N373" s="74">
        <f ca="1">VLOOKUP(B373,$C$7:$T371,13,FALSE)</f>
      </c>
      <c r="O373" s="74">
        <f t="shared" ca="1" si="89"/>
      </c>
      <c r="P373" s="74">
        <f t="shared" ca="1" si="90"/>
      </c>
      <c r="Q373" s="74">
        <f t="shared" ca="1" si="91"/>
      </c>
      <c r="R373" s="74">
        <f t="shared" si="92"/>
      </c>
      <c r="S373" s="74">
        <f t="shared" ca="1" si="93"/>
      </c>
      <c r="T373" s="74">
        <f t="shared" si="94"/>
      </c>
    </row>
    <row r="374" spans="2:20" x14ac:dyDescent="0.3">
      <c r="B374" s="74">
        <f t="shared" ca="1" si="84"/>
      </c>
      <c r="C374" s="78">
        <f>Кабельный_журнал!P340</f>
      </c>
      <c r="D374" s="74">
        <f t="shared" ca="1" si="85"/>
      </c>
      <c r="E374" s="80" t="s">
        <v>279</v>
      </c>
      <c r="F374" s="74">
        <f t="shared" ca="1" si="81"/>
      </c>
      <c r="G374" s="74">
        <f t="shared" si="82"/>
      </c>
      <c r="H374" s="80" t="s">
        <v>272</v>
      </c>
      <c r="I374" s="74">
        <f t="shared" si="83"/>
      </c>
      <c r="J374" s="74">
        <f t="shared" si="86"/>
      </c>
      <c r="K374" s="80" t="s">
        <v>280</v>
      </c>
      <c r="L374" s="74">
        <f t="shared" si="87"/>
      </c>
      <c r="M374" s="74">
        <f t="shared" ca="1" si="88"/>
      </c>
      <c r="N374" s="74">
        <f ca="1">VLOOKUP(B374,$C$7:$T372,13,FALSE)</f>
      </c>
      <c r="O374" s="74">
        <f t="shared" ca="1" si="89"/>
      </c>
      <c r="P374" s="74">
        <f t="shared" ca="1" si="90"/>
      </c>
      <c r="Q374" s="74">
        <f t="shared" ca="1" si="91"/>
      </c>
      <c r="R374" s="74">
        <f t="shared" si="92"/>
      </c>
      <c r="S374" s="74">
        <f t="shared" ca="1" si="93"/>
      </c>
      <c r="T374" s="74">
        <f t="shared" si="94"/>
      </c>
    </row>
    <row r="375" spans="2:20" x14ac:dyDescent="0.3">
      <c r="B375" s="74">
        <f t="shared" ca="1" si="84"/>
      </c>
      <c r="C375" s="78">
        <f>Кабельный_журнал!P341</f>
      </c>
      <c r="D375" s="74">
        <f t="shared" ca="1" si="85"/>
      </c>
      <c r="E375" s="80" t="s">
        <v>279</v>
      </c>
      <c r="F375" s="74">
        <f t="shared" ca="1" si="81"/>
      </c>
      <c r="G375" s="74">
        <f t="shared" si="82"/>
      </c>
      <c r="H375" s="80" t="s">
        <v>272</v>
      </c>
      <c r="I375" s="74">
        <f t="shared" si="83"/>
      </c>
      <c r="J375" s="74">
        <f t="shared" si="86"/>
      </c>
      <c r="K375" s="80" t="s">
        <v>280</v>
      </c>
      <c r="L375" s="74">
        <f t="shared" si="87"/>
      </c>
      <c r="M375" s="74">
        <f t="shared" ca="1" si="88"/>
      </c>
      <c r="N375" s="74">
        <f ca="1">VLOOKUP(B375,$C$7:$T373,13,FALSE)</f>
      </c>
      <c r="O375" s="74">
        <f t="shared" ca="1" si="89"/>
      </c>
      <c r="P375" s="74">
        <f t="shared" ca="1" si="90"/>
      </c>
      <c r="Q375" s="74">
        <f t="shared" ca="1" si="91"/>
      </c>
      <c r="R375" s="74">
        <f t="shared" si="92"/>
      </c>
      <c r="S375" s="74">
        <f t="shared" ca="1" si="93"/>
      </c>
      <c r="T375" s="74">
        <f t="shared" si="94"/>
      </c>
    </row>
    <row r="376" spans="2:20" x14ac:dyDescent="0.3">
      <c r="B376" s="74">
        <f t="shared" ca="1" si="84"/>
      </c>
      <c r="C376" s="78">
        <f>Кабельный_журнал!P342</f>
      </c>
      <c r="D376" s="74">
        <f t="shared" ca="1" si="85"/>
      </c>
      <c r="E376" s="80" t="s">
        <v>279</v>
      </c>
      <c r="F376" s="74">
        <f t="shared" ca="1" si="81"/>
      </c>
      <c r="G376" s="74">
        <f t="shared" si="82"/>
      </c>
      <c r="H376" s="80" t="s">
        <v>272</v>
      </c>
      <c r="I376" s="74">
        <f t="shared" si="83"/>
      </c>
      <c r="J376" s="74">
        <f t="shared" si="86"/>
      </c>
      <c r="K376" s="80" t="s">
        <v>280</v>
      </c>
      <c r="L376" s="74">
        <f t="shared" si="87"/>
      </c>
      <c r="M376" s="74">
        <f t="shared" ca="1" si="88"/>
      </c>
      <c r="N376" s="74">
        <f ca="1">VLOOKUP(B376,$C$7:$T374,13,FALSE)</f>
      </c>
      <c r="O376" s="74">
        <f t="shared" ca="1" si="89"/>
      </c>
      <c r="P376" s="74">
        <f t="shared" ca="1" si="90"/>
      </c>
      <c r="Q376" s="74">
        <f t="shared" ca="1" si="91"/>
      </c>
      <c r="R376" s="74">
        <f t="shared" si="92"/>
      </c>
      <c r="S376" s="74">
        <f t="shared" ca="1" si="93"/>
      </c>
      <c r="T376" s="74">
        <f t="shared" si="94"/>
      </c>
    </row>
    <row r="377" spans="2:20" x14ac:dyDescent="0.3">
      <c r="B377" s="74">
        <f t="shared" ca="1" si="84"/>
      </c>
      <c r="C377" s="78">
        <f>Кабельный_журнал!P343</f>
      </c>
      <c r="D377" s="74">
        <f t="shared" ca="1" si="85"/>
      </c>
      <c r="E377" s="80" t="s">
        <v>279</v>
      </c>
      <c r="F377" s="74">
        <f t="shared" ca="1" si="81"/>
      </c>
      <c r="G377" s="74">
        <f t="shared" si="82"/>
      </c>
      <c r="H377" s="80" t="s">
        <v>272</v>
      </c>
      <c r="I377" s="74">
        <f t="shared" si="83"/>
      </c>
      <c r="J377" s="74">
        <f t="shared" si="86"/>
      </c>
      <c r="K377" s="80" t="s">
        <v>280</v>
      </c>
      <c r="L377" s="74">
        <f t="shared" si="87"/>
      </c>
      <c r="M377" s="74">
        <f t="shared" ca="1" si="88"/>
      </c>
      <c r="N377" s="74">
        <f ca="1">VLOOKUP(B377,$C$7:$T375,13,FALSE)</f>
      </c>
      <c r="O377" s="74">
        <f t="shared" ca="1" si="89"/>
      </c>
      <c r="P377" s="74">
        <f t="shared" ca="1" si="90"/>
      </c>
      <c r="Q377" s="74">
        <f t="shared" ca="1" si="91"/>
      </c>
      <c r="R377" s="74">
        <f t="shared" si="92"/>
      </c>
      <c r="S377" s="74">
        <f t="shared" ca="1" si="93"/>
      </c>
      <c r="T377" s="74">
        <f t="shared" si="94"/>
      </c>
    </row>
    <row r="378" spans="2:20" x14ac:dyDescent="0.3">
      <c r="B378" s="74">
        <f t="shared" ca="1" si="84"/>
      </c>
      <c r="C378" s="78">
        <f>Кабельный_журнал!P344</f>
      </c>
      <c r="D378" s="74">
        <f t="shared" ca="1" si="85"/>
      </c>
      <c r="E378" s="80" t="s">
        <v>279</v>
      </c>
      <c r="F378" s="74">
        <f t="shared" ca="1" si="81"/>
      </c>
      <c r="G378" s="74">
        <f t="shared" si="82"/>
      </c>
      <c r="H378" s="80" t="s">
        <v>272</v>
      </c>
      <c r="I378" s="74">
        <f t="shared" si="83"/>
      </c>
      <c r="J378" s="74">
        <f t="shared" si="86"/>
      </c>
      <c r="K378" s="80" t="s">
        <v>280</v>
      </c>
      <c r="L378" s="74">
        <f t="shared" si="87"/>
      </c>
      <c r="M378" s="74">
        <f t="shared" ca="1" si="88"/>
      </c>
      <c r="N378" s="74">
        <f ca="1">VLOOKUP(B378,$C$7:$T376,13,FALSE)</f>
      </c>
      <c r="O378" s="74">
        <f t="shared" ca="1" si="89"/>
      </c>
      <c r="P378" s="74">
        <f t="shared" ca="1" si="90"/>
      </c>
      <c r="Q378" s="74">
        <f t="shared" ca="1" si="91"/>
      </c>
      <c r="R378" s="74">
        <f t="shared" si="92"/>
      </c>
      <c r="S378" s="74">
        <f t="shared" ca="1" si="93"/>
      </c>
      <c r="T378" s="74">
        <f t="shared" si="94"/>
      </c>
    </row>
    <row r="379" spans="2:20" x14ac:dyDescent="0.3">
      <c r="B379" s="74">
        <f t="shared" ca="1" si="84"/>
      </c>
      <c r="C379" s="78">
        <f>Кабельный_журнал!P345</f>
      </c>
      <c r="D379" s="74">
        <f t="shared" ca="1" si="85"/>
      </c>
      <c r="E379" s="80" t="s">
        <v>279</v>
      </c>
      <c r="F379" s="74">
        <f t="shared" ca="1" si="81"/>
      </c>
      <c r="G379" s="74">
        <f t="shared" si="82"/>
      </c>
      <c r="H379" s="80" t="s">
        <v>272</v>
      </c>
      <c r="I379" s="74">
        <f t="shared" si="83"/>
      </c>
      <c r="J379" s="74">
        <f t="shared" si="86"/>
      </c>
      <c r="K379" s="80" t="s">
        <v>280</v>
      </c>
      <c r="L379" s="74">
        <f t="shared" si="87"/>
      </c>
      <c r="M379" s="74">
        <f t="shared" ca="1" si="88"/>
      </c>
      <c r="N379" s="74">
        <f ca="1">VLOOKUP(B379,$C$7:$T377,13,FALSE)</f>
      </c>
      <c r="O379" s="74">
        <f t="shared" ca="1" si="89"/>
      </c>
      <c r="P379" s="74">
        <f t="shared" ca="1" si="90"/>
      </c>
      <c r="Q379" s="74">
        <f t="shared" ca="1" si="91"/>
      </c>
      <c r="R379" s="74">
        <f t="shared" si="92"/>
      </c>
      <c r="S379" s="74">
        <f t="shared" ca="1" si="93"/>
      </c>
      <c r="T379" s="74">
        <f t="shared" si="94"/>
      </c>
    </row>
    <row r="380" spans="2:20" x14ac:dyDescent="0.3">
      <c r="B380" s="74">
        <f t="shared" ca="1" si="84"/>
      </c>
      <c r="C380" s="78">
        <f>Кабельный_журнал!P346</f>
      </c>
      <c r="D380" s="74">
        <f t="shared" ca="1" si="85"/>
      </c>
      <c r="E380" s="80" t="s">
        <v>279</v>
      </c>
      <c r="F380" s="74">
        <f t="shared" ca="1" si="81"/>
      </c>
      <c r="G380" s="74">
        <f t="shared" si="82"/>
      </c>
      <c r="H380" s="80" t="s">
        <v>272</v>
      </c>
      <c r="I380" s="74">
        <f t="shared" si="83"/>
      </c>
      <c r="J380" s="74">
        <f t="shared" si="86"/>
      </c>
      <c r="K380" s="80" t="s">
        <v>280</v>
      </c>
      <c r="L380" s="74">
        <f t="shared" si="87"/>
      </c>
      <c r="M380" s="74">
        <f t="shared" ca="1" si="88"/>
      </c>
      <c r="N380" s="74">
        <f ca="1">VLOOKUP(B380,$C$7:$T378,13,FALSE)</f>
      </c>
      <c r="O380" s="74">
        <f t="shared" ca="1" si="89"/>
      </c>
      <c r="P380" s="74">
        <f t="shared" ca="1" si="90"/>
      </c>
      <c r="Q380" s="74">
        <f t="shared" ca="1" si="91"/>
      </c>
      <c r="R380" s="74">
        <f t="shared" si="92"/>
      </c>
      <c r="S380" s="74">
        <f t="shared" ca="1" si="93"/>
      </c>
      <c r="T380" s="74">
        <f t="shared" si="94"/>
      </c>
    </row>
    <row r="381" spans="2:20" x14ac:dyDescent="0.3">
      <c r="B381" s="74">
        <f t="shared" ca="1" si="84"/>
      </c>
      <c r="C381" s="78">
        <f>Кабельный_журнал!P347</f>
      </c>
      <c r="D381" s="74">
        <f t="shared" ca="1" si="85"/>
      </c>
      <c r="E381" s="80" t="s">
        <v>279</v>
      </c>
      <c r="F381" s="74">
        <f t="shared" ca="1" si="81"/>
      </c>
      <c r="G381" s="74">
        <f t="shared" si="82"/>
      </c>
      <c r="H381" s="80" t="s">
        <v>272</v>
      </c>
      <c r="I381" s="74">
        <f t="shared" si="83"/>
      </c>
      <c r="J381" s="74">
        <f t="shared" si="86"/>
      </c>
      <c r="K381" s="80" t="s">
        <v>280</v>
      </c>
      <c r="L381" s="74">
        <f t="shared" si="87"/>
      </c>
      <c r="M381" s="74">
        <f t="shared" ca="1" si="88"/>
      </c>
      <c r="N381" s="74">
        <f ca="1">VLOOKUP(B381,$C$7:$T379,13,FALSE)</f>
      </c>
      <c r="O381" s="74">
        <f t="shared" ca="1" si="89"/>
      </c>
      <c r="P381" s="74">
        <f t="shared" ca="1" si="90"/>
      </c>
      <c r="Q381" s="74">
        <f t="shared" ca="1" si="91"/>
      </c>
      <c r="R381" s="74">
        <f t="shared" si="92"/>
      </c>
      <c r="S381" s="74">
        <f t="shared" ca="1" si="93"/>
      </c>
      <c r="T381" s="74">
        <f t="shared" si="94"/>
      </c>
    </row>
    <row r="382" spans="2:20" x14ac:dyDescent="0.3">
      <c r="B382" s="74">
        <f t="shared" ca="1" si="84"/>
      </c>
      <c r="C382" s="78">
        <f>Кабельный_журнал!P348</f>
      </c>
      <c r="D382" s="74">
        <f t="shared" ca="1" si="85"/>
      </c>
      <c r="E382" s="80" t="s">
        <v>279</v>
      </c>
      <c r="F382" s="74">
        <f t="shared" ca="1" si="81"/>
      </c>
      <c r="G382" s="74">
        <f t="shared" si="82"/>
      </c>
      <c r="H382" s="80" t="s">
        <v>272</v>
      </c>
      <c r="I382" s="74">
        <f t="shared" si="83"/>
      </c>
      <c r="J382" s="74">
        <f t="shared" si="86"/>
      </c>
      <c r="K382" s="80" t="s">
        <v>280</v>
      </c>
      <c r="L382" s="74">
        <f t="shared" si="87"/>
      </c>
      <c r="M382" s="74">
        <f t="shared" ca="1" si="88"/>
      </c>
      <c r="N382" s="74">
        <f ca="1">VLOOKUP(B382,$C$7:$T380,13,FALSE)</f>
      </c>
      <c r="O382" s="74">
        <f t="shared" ca="1" si="89"/>
      </c>
      <c r="P382" s="74">
        <f t="shared" ca="1" si="90"/>
      </c>
      <c r="Q382" s="74">
        <f t="shared" ca="1" si="91"/>
      </c>
      <c r="R382" s="74">
        <f t="shared" si="92"/>
      </c>
      <c r="S382" s="74">
        <f t="shared" ca="1" si="93"/>
      </c>
      <c r="T382" s="74">
        <f t="shared" si="94"/>
      </c>
    </row>
    <row r="383" spans="2:20" x14ac:dyDescent="0.3">
      <c r="B383" s="74">
        <f t="shared" ca="1" si="84"/>
      </c>
      <c r="C383" s="78">
        <f>Кабельный_журнал!P349</f>
      </c>
      <c r="D383" s="74">
        <f t="shared" ca="1" si="85"/>
      </c>
      <c r="E383" s="80" t="s">
        <v>279</v>
      </c>
      <c r="F383" s="74">
        <f t="shared" ca="1" si="81"/>
      </c>
      <c r="G383" s="74">
        <f t="shared" si="82"/>
      </c>
      <c r="H383" s="80" t="s">
        <v>272</v>
      </c>
      <c r="I383" s="74">
        <f t="shared" si="83"/>
      </c>
      <c r="J383" s="74">
        <f t="shared" si="86"/>
      </c>
      <c r="K383" s="80" t="s">
        <v>280</v>
      </c>
      <c r="L383" s="74">
        <f t="shared" si="87"/>
      </c>
      <c r="M383" s="74">
        <f t="shared" ca="1" si="88"/>
      </c>
      <c r="N383" s="74">
        <f ca="1">VLOOKUP(B383,$C$7:$T381,13,FALSE)</f>
      </c>
      <c r="O383" s="74">
        <f t="shared" ca="1" si="89"/>
      </c>
      <c r="P383" s="74">
        <f t="shared" ca="1" si="90"/>
      </c>
      <c r="Q383" s="74">
        <f t="shared" ca="1" si="91"/>
      </c>
      <c r="R383" s="74">
        <f t="shared" si="92"/>
      </c>
      <c r="S383" s="74">
        <f t="shared" ca="1" si="93"/>
      </c>
      <c r="T383" s="74">
        <f t="shared" si="94"/>
      </c>
    </row>
    <row r="384" spans="2:20" x14ac:dyDescent="0.3">
      <c r="B384" s="74">
        <f t="shared" ca="1" si="84"/>
      </c>
      <c r="C384" s="78">
        <f>Кабельный_журнал!P350</f>
      </c>
      <c r="D384" s="74">
        <f t="shared" ca="1" si="85"/>
      </c>
      <c r="E384" s="80" t="s">
        <v>279</v>
      </c>
      <c r="F384" s="74">
        <f t="shared" ca="1" si="81"/>
      </c>
      <c r="G384" s="74">
        <f t="shared" si="82"/>
      </c>
      <c r="H384" s="80" t="s">
        <v>272</v>
      </c>
      <c r="I384" s="74">
        <f t="shared" si="83"/>
      </c>
      <c r="J384" s="74">
        <f t="shared" si="86"/>
      </c>
      <c r="K384" s="80" t="s">
        <v>280</v>
      </c>
      <c r="L384" s="74">
        <f t="shared" si="87"/>
      </c>
      <c r="M384" s="74">
        <f t="shared" ca="1" si="88"/>
      </c>
      <c r="N384" s="74">
        <f ca="1">VLOOKUP(B384,$C$7:$T382,13,FALSE)</f>
      </c>
      <c r="O384" s="74">
        <f t="shared" ca="1" si="89"/>
      </c>
      <c r="P384" s="74">
        <f t="shared" ca="1" si="90"/>
      </c>
      <c r="Q384" s="74">
        <f t="shared" ca="1" si="91"/>
      </c>
      <c r="R384" s="74">
        <f t="shared" si="92"/>
      </c>
      <c r="S384" s="74">
        <f t="shared" ca="1" si="93"/>
      </c>
      <c r="T384" s="74">
        <f t="shared" si="94"/>
      </c>
    </row>
    <row r="385" spans="2:20" x14ac:dyDescent="0.3">
      <c r="B385" s="74">
        <f t="shared" ca="1" si="84"/>
      </c>
      <c r="C385" s="78">
        <f>Кабельный_журнал!P351</f>
      </c>
      <c r="D385" s="74">
        <f t="shared" ca="1" si="85"/>
      </c>
      <c r="E385" s="80" t="s">
        <v>279</v>
      </c>
      <c r="F385" s="74">
        <f t="shared" ca="1" si="81"/>
      </c>
      <c r="G385" s="74">
        <f t="shared" si="82"/>
      </c>
      <c r="H385" s="80" t="s">
        <v>272</v>
      </c>
      <c r="I385" s="74">
        <f t="shared" si="83"/>
      </c>
      <c r="J385" s="74">
        <f t="shared" si="86"/>
      </c>
      <c r="K385" s="80" t="s">
        <v>280</v>
      </c>
      <c r="L385" s="74">
        <f t="shared" si="87"/>
      </c>
      <c r="M385" s="74">
        <f t="shared" ca="1" si="88"/>
      </c>
      <c r="N385" s="74">
        <f ca="1">VLOOKUP(B385,$C$7:$T383,13,FALSE)</f>
      </c>
      <c r="O385" s="74">
        <f t="shared" ca="1" si="89"/>
      </c>
      <c r="P385" s="74">
        <f t="shared" ca="1" si="90"/>
      </c>
      <c r="Q385" s="74">
        <f t="shared" ca="1" si="91"/>
      </c>
      <c r="R385" s="74">
        <f t="shared" si="92"/>
      </c>
      <c r="S385" s="74">
        <f t="shared" ca="1" si="93"/>
      </c>
      <c r="T385" s="74">
        <f t="shared" si="94"/>
      </c>
    </row>
    <row r="386" spans="2:20" x14ac:dyDescent="0.3">
      <c r="B386" s="74">
        <f t="shared" ca="1" si="84"/>
      </c>
      <c r="C386" s="78">
        <f>Кабельный_журнал!P352</f>
      </c>
      <c r="D386" s="74">
        <f t="shared" ca="1" si="85"/>
      </c>
      <c r="E386" s="80" t="s">
        <v>279</v>
      </c>
      <c r="F386" s="74">
        <f t="shared" ca="1" si="81"/>
      </c>
      <c r="G386" s="74">
        <f t="shared" si="82"/>
      </c>
      <c r="H386" s="80" t="s">
        <v>272</v>
      </c>
      <c r="I386" s="74">
        <f t="shared" si="83"/>
      </c>
      <c r="J386" s="74">
        <f t="shared" si="86"/>
      </c>
      <c r="K386" s="80" t="s">
        <v>280</v>
      </c>
      <c r="L386" s="74">
        <f t="shared" si="87"/>
      </c>
      <c r="M386" s="74">
        <f t="shared" ca="1" si="88"/>
      </c>
      <c r="N386" s="74">
        <f ca="1">VLOOKUP(B386,$C$7:$T384,13,FALSE)</f>
      </c>
      <c r="O386" s="74">
        <f t="shared" ca="1" si="89"/>
      </c>
      <c r="P386" s="74">
        <f t="shared" ca="1" si="90"/>
      </c>
      <c r="Q386" s="74">
        <f t="shared" ca="1" si="91"/>
      </c>
      <c r="R386" s="74">
        <f t="shared" si="92"/>
      </c>
      <c r="S386" s="74">
        <f t="shared" ca="1" si="93"/>
      </c>
      <c r="T386" s="74">
        <f t="shared" si="94"/>
      </c>
    </row>
    <row r="387" spans="2:20" x14ac:dyDescent="0.3">
      <c r="B387" s="74">
        <f t="shared" ca="1" si="84"/>
      </c>
      <c r="C387" s="78">
        <f>Кабельный_журнал!P353</f>
      </c>
      <c r="D387" s="74">
        <f t="shared" ca="1" si="85"/>
      </c>
      <c r="E387" s="80" t="s">
        <v>279</v>
      </c>
      <c r="F387" s="74">
        <f t="shared" ca="1" si="81"/>
      </c>
      <c r="G387" s="74">
        <f t="shared" si="82"/>
      </c>
      <c r="H387" s="80" t="s">
        <v>272</v>
      </c>
      <c r="I387" s="74">
        <f t="shared" si="83"/>
      </c>
      <c r="J387" s="74">
        <f t="shared" si="86"/>
      </c>
      <c r="K387" s="80" t="s">
        <v>280</v>
      </c>
      <c r="L387" s="74">
        <f t="shared" si="87"/>
      </c>
      <c r="M387" s="74">
        <f t="shared" ca="1" si="88"/>
      </c>
      <c r="N387" s="74">
        <f ca="1">VLOOKUP(B387,$C$7:$T385,13,FALSE)</f>
      </c>
      <c r="O387" s="74">
        <f t="shared" ca="1" si="89"/>
      </c>
      <c r="P387" s="74">
        <f t="shared" ca="1" si="90"/>
      </c>
      <c r="Q387" s="74">
        <f t="shared" ca="1" si="91"/>
      </c>
      <c r="R387" s="74">
        <f t="shared" si="92"/>
      </c>
      <c r="S387" s="74">
        <f t="shared" ca="1" si="93"/>
      </c>
      <c r="T387" s="74">
        <f t="shared" si="94"/>
      </c>
    </row>
    <row r="388" spans="2:20" x14ac:dyDescent="0.3">
      <c r="B388" s="74">
        <f t="shared" ca="1" si="84"/>
      </c>
      <c r="C388" s="78">
        <f>Кабельный_журнал!P354</f>
      </c>
      <c r="D388" s="74">
        <f t="shared" ca="1" si="85"/>
      </c>
      <c r="E388" s="80" t="s">
        <v>279</v>
      </c>
      <c r="F388" s="74">
        <f t="shared" ca="1" si="81"/>
      </c>
      <c r="G388" s="74">
        <f t="shared" si="82"/>
      </c>
      <c r="H388" s="80" t="s">
        <v>272</v>
      </c>
      <c r="I388" s="74">
        <f t="shared" si="83"/>
      </c>
      <c r="J388" s="74">
        <f t="shared" si="86"/>
      </c>
      <c r="K388" s="80" t="s">
        <v>280</v>
      </c>
      <c r="L388" s="74">
        <f t="shared" si="87"/>
      </c>
      <c r="M388" s="74">
        <f t="shared" ca="1" si="88"/>
      </c>
      <c r="N388" s="74">
        <f ca="1">VLOOKUP(B388,$C$7:$T386,13,FALSE)</f>
      </c>
      <c r="O388" s="74">
        <f t="shared" ca="1" si="89"/>
      </c>
      <c r="P388" s="74">
        <f t="shared" ca="1" si="90"/>
      </c>
      <c r="Q388" s="74">
        <f t="shared" ca="1" si="91"/>
      </c>
      <c r="R388" s="74">
        <f t="shared" si="92"/>
      </c>
      <c r="S388" s="74">
        <f t="shared" ca="1" si="93"/>
      </c>
      <c r="T388" s="74">
        <f t="shared" si="94"/>
      </c>
    </row>
    <row r="389" spans="2:20" x14ac:dyDescent="0.3">
      <c r="B389" s="74">
        <f t="shared" ca="1" si="84"/>
      </c>
      <c r="C389" s="78">
        <f>Кабельный_журнал!P355</f>
      </c>
      <c r="D389" s="74">
        <f t="shared" ca="1" si="85"/>
      </c>
      <c r="E389" s="80" t="s">
        <v>279</v>
      </c>
      <c r="F389" s="74">
        <f t="shared" ca="1" si="81"/>
      </c>
      <c r="G389" s="74">
        <f t="shared" si="82"/>
      </c>
      <c r="H389" s="80" t="s">
        <v>272</v>
      </c>
      <c r="I389" s="74">
        <f t="shared" si="83"/>
      </c>
      <c r="J389" s="74">
        <f t="shared" si="86"/>
      </c>
      <c r="K389" s="80" t="s">
        <v>280</v>
      </c>
      <c r="L389" s="74">
        <f t="shared" si="87"/>
      </c>
      <c r="M389" s="74">
        <f t="shared" ca="1" si="88"/>
      </c>
      <c r="N389" s="74">
        <f ca="1">VLOOKUP(B389,$C$7:$T387,13,FALSE)</f>
      </c>
      <c r="O389" s="74">
        <f t="shared" ca="1" si="89"/>
      </c>
      <c r="P389" s="74">
        <f t="shared" ca="1" si="90"/>
      </c>
      <c r="Q389" s="74">
        <f t="shared" ca="1" si="91"/>
      </c>
      <c r="R389" s="74">
        <f t="shared" si="92"/>
      </c>
      <c r="S389" s="74">
        <f t="shared" ca="1" si="93"/>
      </c>
      <c r="T389" s="74">
        <f t="shared" si="94"/>
      </c>
    </row>
    <row r="390" spans="2:20" x14ac:dyDescent="0.3">
      <c r="B390" s="74">
        <f t="shared" ca="1" si="84"/>
      </c>
      <c r="C390" s="78">
        <f>Кабельный_журнал!P356</f>
      </c>
      <c r="D390" s="74">
        <f t="shared" ca="1" si="85"/>
      </c>
      <c r="E390" s="80" t="s">
        <v>279</v>
      </c>
      <c r="F390" s="74">
        <f t="shared" ca="1" si="81"/>
      </c>
      <c r="G390" s="74">
        <f t="shared" si="82"/>
      </c>
      <c r="H390" s="80" t="s">
        <v>272</v>
      </c>
      <c r="I390" s="74">
        <f t="shared" si="83"/>
      </c>
      <c r="J390" s="74">
        <f t="shared" si="86"/>
      </c>
      <c r="K390" s="80" t="s">
        <v>280</v>
      </c>
      <c r="L390" s="74">
        <f t="shared" si="87"/>
      </c>
      <c r="M390" s="74">
        <f t="shared" ca="1" si="88"/>
      </c>
      <c r="N390" s="74">
        <f ca="1">VLOOKUP(B390,$C$7:$T388,13,FALSE)</f>
      </c>
      <c r="O390" s="74">
        <f t="shared" ca="1" si="89"/>
      </c>
      <c r="P390" s="74">
        <f t="shared" ca="1" si="90"/>
      </c>
      <c r="Q390" s="74">
        <f t="shared" ca="1" si="91"/>
      </c>
      <c r="R390" s="74">
        <f t="shared" si="92"/>
      </c>
      <c r="S390" s="74">
        <f t="shared" ca="1" si="93"/>
      </c>
      <c r="T390" s="74">
        <f t="shared" si="94"/>
      </c>
    </row>
    <row r="391" spans="2:20" x14ac:dyDescent="0.3">
      <c r="B391" s="74">
        <f t="shared" ca="1" si="84"/>
      </c>
      <c r="C391" s="78">
        <f>Кабельный_журнал!P357</f>
      </c>
      <c r="D391" s="74">
        <f t="shared" ca="1" si="85"/>
      </c>
      <c r="E391" s="80" t="s">
        <v>279</v>
      </c>
      <c r="F391" s="74">
        <f t="shared" ca="1" si="81"/>
      </c>
      <c r="G391" s="74">
        <f t="shared" si="82"/>
      </c>
      <c r="H391" s="80" t="s">
        <v>272</v>
      </c>
      <c r="I391" s="74">
        <f t="shared" si="83"/>
      </c>
      <c r="J391" s="74">
        <f t="shared" si="86"/>
      </c>
      <c r="K391" s="80" t="s">
        <v>280</v>
      </c>
      <c r="L391" s="74">
        <f t="shared" si="87"/>
      </c>
      <c r="M391" s="74">
        <f t="shared" ca="1" si="88"/>
      </c>
      <c r="N391" s="74">
        <f ca="1">VLOOKUP(B391,$C$7:$T389,13,FALSE)</f>
      </c>
      <c r="O391" s="74">
        <f t="shared" ca="1" si="89"/>
      </c>
      <c r="P391" s="74">
        <f t="shared" ca="1" si="90"/>
      </c>
      <c r="Q391" s="74">
        <f t="shared" ca="1" si="91"/>
      </c>
      <c r="R391" s="74">
        <f t="shared" si="92"/>
      </c>
      <c r="S391" s="74">
        <f t="shared" ca="1" si="93"/>
      </c>
      <c r="T391" s="74">
        <f t="shared" si="94"/>
      </c>
    </row>
    <row r="392" spans="2:20" x14ac:dyDescent="0.3">
      <c r="B392" s="74">
        <f t="shared" ca="1" si="84"/>
      </c>
      <c r="C392" s="78">
        <f>Кабельный_журнал!P358</f>
      </c>
      <c r="D392" s="74">
        <f t="shared" ca="1" si="85"/>
      </c>
      <c r="E392" s="80" t="s">
        <v>279</v>
      </c>
      <c r="F392" s="74">
        <f t="shared" ca="1" si="81"/>
      </c>
      <c r="G392" s="74">
        <f t="shared" si="82"/>
      </c>
      <c r="H392" s="80" t="s">
        <v>272</v>
      </c>
      <c r="I392" s="74">
        <f t="shared" si="83"/>
      </c>
      <c r="J392" s="74">
        <f t="shared" si="86"/>
      </c>
      <c r="K392" s="80" t="s">
        <v>280</v>
      </c>
      <c r="L392" s="74">
        <f t="shared" si="87"/>
      </c>
      <c r="M392" s="74">
        <f t="shared" ca="1" si="88"/>
      </c>
      <c r="N392" s="74">
        <f ca="1">VLOOKUP(B392,$C$7:$T390,13,FALSE)</f>
      </c>
      <c r="O392" s="74">
        <f t="shared" ca="1" si="89"/>
      </c>
      <c r="P392" s="74">
        <f t="shared" ca="1" si="90"/>
      </c>
      <c r="Q392" s="74">
        <f t="shared" ca="1" si="91"/>
      </c>
      <c r="R392" s="74">
        <f t="shared" si="92"/>
      </c>
      <c r="S392" s="74">
        <f t="shared" ca="1" si="93"/>
      </c>
      <c r="T392" s="74">
        <f t="shared" si="94"/>
      </c>
    </row>
    <row r="393" spans="2:20" x14ac:dyDescent="0.3">
      <c r="B393" s="74">
        <f t="shared" ca="1" si="84"/>
      </c>
      <c r="C393" s="78">
        <f>Кабельный_журнал!P359</f>
      </c>
      <c r="D393" s="74">
        <f t="shared" ca="1" si="85"/>
      </c>
      <c r="E393" s="80" t="s">
        <v>279</v>
      </c>
      <c r="F393" s="74">
        <f t="shared" ca="1" si="81"/>
      </c>
      <c r="G393" s="74">
        <f t="shared" si="82"/>
      </c>
      <c r="H393" s="80" t="s">
        <v>272</v>
      </c>
      <c r="I393" s="74">
        <f t="shared" si="83"/>
      </c>
      <c r="J393" s="74">
        <f t="shared" si="86"/>
      </c>
      <c r="K393" s="80" t="s">
        <v>280</v>
      </c>
      <c r="L393" s="74">
        <f t="shared" si="87"/>
      </c>
      <c r="M393" s="74">
        <f t="shared" ca="1" si="88"/>
      </c>
      <c r="N393" s="74">
        <f ca="1">VLOOKUP(B393,$C$7:$T391,13,FALSE)</f>
      </c>
      <c r="O393" s="74">
        <f t="shared" ca="1" si="89"/>
      </c>
      <c r="P393" s="74">
        <f t="shared" ca="1" si="90"/>
      </c>
      <c r="Q393" s="74">
        <f t="shared" ca="1" si="91"/>
      </c>
      <c r="R393" s="74">
        <f t="shared" si="92"/>
      </c>
      <c r="S393" s="74">
        <f t="shared" ca="1" si="93"/>
      </c>
      <c r="T393" s="74">
        <f t="shared" si="94"/>
      </c>
    </row>
    <row r="394" spans="2:20" x14ac:dyDescent="0.3">
      <c r="B394" s="74">
        <f t="shared" ca="1" si="84"/>
      </c>
      <c r="C394" s="78">
        <f>Кабельный_журнал!P360</f>
      </c>
      <c r="D394" s="74">
        <f t="shared" ca="1" si="85"/>
      </c>
      <c r="E394" s="80" t="s">
        <v>279</v>
      </c>
      <c r="F394" s="74">
        <f t="shared" ca="1" si="81"/>
      </c>
      <c r="G394" s="74">
        <f t="shared" si="82"/>
      </c>
      <c r="H394" s="80" t="s">
        <v>272</v>
      </c>
      <c r="I394" s="74">
        <f t="shared" si="83"/>
      </c>
      <c r="J394" s="74">
        <f t="shared" si="86"/>
      </c>
      <c r="K394" s="80" t="s">
        <v>280</v>
      </c>
      <c r="L394" s="74">
        <f t="shared" si="87"/>
      </c>
      <c r="M394" s="74">
        <f t="shared" ca="1" si="88"/>
      </c>
      <c r="N394" s="74">
        <f ca="1">VLOOKUP(B394,$C$7:$T392,13,FALSE)</f>
      </c>
      <c r="O394" s="74">
        <f t="shared" ca="1" si="89"/>
      </c>
      <c r="P394" s="74">
        <f t="shared" ca="1" si="90"/>
      </c>
      <c r="Q394" s="74">
        <f t="shared" ca="1" si="91"/>
      </c>
      <c r="R394" s="74">
        <f t="shared" si="92"/>
      </c>
      <c r="S394" s="74">
        <f t="shared" ca="1" si="93"/>
      </c>
      <c r="T394" s="74">
        <f t="shared" si="94"/>
      </c>
    </row>
    <row r="395" spans="2:20" x14ac:dyDescent="0.3">
      <c r="B395" s="74">
        <f t="shared" ca="1" si="84"/>
      </c>
      <c r="C395" s="78">
        <f>Кабельный_журнал!P361</f>
      </c>
      <c r="D395" s="74">
        <f t="shared" ca="1" si="85"/>
      </c>
      <c r="E395" s="80" t="s">
        <v>279</v>
      </c>
      <c r="F395" s="74">
        <f t="shared" ca="1" si="81"/>
      </c>
      <c r="G395" s="74">
        <f t="shared" si="82"/>
      </c>
      <c r="H395" s="80" t="s">
        <v>272</v>
      </c>
      <c r="I395" s="74">
        <f t="shared" si="83"/>
      </c>
      <c r="J395" s="74">
        <f t="shared" si="86"/>
      </c>
      <c r="K395" s="80" t="s">
        <v>280</v>
      </c>
      <c r="L395" s="74">
        <f t="shared" si="87"/>
      </c>
      <c r="M395" s="74">
        <f t="shared" ca="1" si="88"/>
      </c>
      <c r="N395" s="74">
        <f ca="1">VLOOKUP(B395,$C$7:$T393,13,FALSE)</f>
      </c>
      <c r="O395" s="74">
        <f t="shared" ca="1" si="89"/>
      </c>
      <c r="P395" s="74">
        <f t="shared" ca="1" si="90"/>
      </c>
      <c r="Q395" s="74">
        <f t="shared" ca="1" si="91"/>
      </c>
      <c r="R395" s="74">
        <f t="shared" si="92"/>
      </c>
      <c r="S395" s="74">
        <f t="shared" ca="1" si="93"/>
      </c>
      <c r="T395" s="74">
        <f t="shared" si="94"/>
      </c>
    </row>
    <row r="396" spans="2:20" x14ac:dyDescent="0.3">
      <c r="B396" s="74">
        <f t="shared" ca="1" si="84"/>
      </c>
      <c r="C396" s="78">
        <f>Кабельный_журнал!P362</f>
      </c>
      <c r="D396" s="74">
        <f t="shared" ca="1" si="85"/>
      </c>
      <c r="E396" s="80" t="s">
        <v>279</v>
      </c>
      <c r="F396" s="74">
        <f t="shared" ca="1" si="81"/>
      </c>
      <c r="G396" s="74">
        <f t="shared" si="82"/>
      </c>
      <c r="H396" s="80" t="s">
        <v>272</v>
      </c>
      <c r="I396" s="74">
        <f t="shared" si="83"/>
      </c>
      <c r="J396" s="74">
        <f t="shared" si="86"/>
      </c>
      <c r="K396" s="80" t="s">
        <v>280</v>
      </c>
      <c r="L396" s="74">
        <f t="shared" si="87"/>
      </c>
      <c r="M396" s="74">
        <f t="shared" ca="1" si="88"/>
      </c>
      <c r="N396" s="74">
        <f ca="1">VLOOKUP(B396,$C$7:$T394,13,FALSE)</f>
      </c>
      <c r="O396" s="74">
        <f t="shared" ca="1" si="89"/>
      </c>
      <c r="P396" s="74">
        <f t="shared" ca="1" si="90"/>
      </c>
      <c r="Q396" s="74">
        <f t="shared" ca="1" si="91"/>
      </c>
      <c r="R396" s="74">
        <f t="shared" si="92"/>
      </c>
      <c r="S396" s="74">
        <f t="shared" ca="1" si="93"/>
      </c>
      <c r="T396" s="74">
        <f t="shared" si="94"/>
      </c>
    </row>
    <row r="397" spans="2:20" x14ac:dyDescent="0.3">
      <c r="B397" s="74">
        <f t="shared" ca="1" si="84"/>
      </c>
      <c r="C397" s="78">
        <f>Кабельный_журнал!P363</f>
      </c>
      <c r="D397" s="74">
        <f t="shared" ca="1" si="85"/>
      </c>
      <c r="E397" s="80" t="s">
        <v>279</v>
      </c>
      <c r="F397" s="74">
        <f t="shared" ca="1" si="81"/>
      </c>
      <c r="G397" s="74">
        <f t="shared" si="82"/>
      </c>
      <c r="H397" s="80" t="s">
        <v>272</v>
      </c>
      <c r="I397" s="74">
        <f t="shared" si="83"/>
      </c>
      <c r="J397" s="74">
        <f t="shared" si="86"/>
      </c>
      <c r="K397" s="80" t="s">
        <v>280</v>
      </c>
      <c r="L397" s="74">
        <f t="shared" si="87"/>
      </c>
      <c r="M397" s="74">
        <f t="shared" ca="1" si="88"/>
      </c>
      <c r="N397" s="74">
        <f ca="1">VLOOKUP(B397,$C$7:$T395,13,FALSE)</f>
      </c>
      <c r="O397" s="74">
        <f t="shared" ca="1" si="89"/>
      </c>
      <c r="P397" s="74">
        <f t="shared" ca="1" si="90"/>
      </c>
      <c r="Q397" s="74">
        <f t="shared" ca="1" si="91"/>
      </c>
      <c r="R397" s="74">
        <f t="shared" si="92"/>
      </c>
      <c r="S397" s="74">
        <f t="shared" ca="1" si="93"/>
      </c>
      <c r="T397" s="74">
        <f t="shared" si="94"/>
      </c>
    </row>
    <row r="398" spans="2:20" x14ac:dyDescent="0.3">
      <c r="B398" s="74">
        <f t="shared" ca="1" si="84"/>
      </c>
      <c r="C398" s="78">
        <f>Кабельный_журнал!P364</f>
      </c>
      <c r="D398" s="74">
        <f t="shared" ca="1" si="85"/>
      </c>
      <c r="E398" s="80" t="s">
        <v>279</v>
      </c>
      <c r="F398" s="74">
        <f t="shared" ca="1" si="81"/>
      </c>
      <c r="G398" s="74">
        <f t="shared" si="82"/>
      </c>
      <c r="H398" s="80" t="s">
        <v>272</v>
      </c>
      <c r="I398" s="74">
        <f t="shared" si="83"/>
      </c>
      <c r="J398" s="74">
        <f t="shared" si="86"/>
      </c>
      <c r="K398" s="80" t="s">
        <v>280</v>
      </c>
      <c r="L398" s="74">
        <f t="shared" si="87"/>
      </c>
      <c r="M398" s="74">
        <f t="shared" ca="1" si="88"/>
      </c>
      <c r="N398" s="74">
        <f ca="1">VLOOKUP(B398,$C$7:$T396,13,FALSE)</f>
      </c>
      <c r="O398" s="74">
        <f t="shared" ca="1" si="89"/>
      </c>
      <c r="P398" s="74">
        <f t="shared" ca="1" si="90"/>
      </c>
      <c r="Q398" s="74">
        <f t="shared" ca="1" si="91"/>
      </c>
      <c r="R398" s="74">
        <f t="shared" si="92"/>
      </c>
      <c r="S398" s="74">
        <f t="shared" ca="1" si="93"/>
      </c>
      <c r="T398" s="74">
        <f t="shared" si="94"/>
      </c>
    </row>
    <row r="399" spans="2:20" x14ac:dyDescent="0.3">
      <c r="B399" s="74">
        <f t="shared" ca="1" si="84"/>
      </c>
      <c r="C399" s="78">
        <f>Кабельный_журнал!P365</f>
      </c>
      <c r="D399" s="74">
        <f t="shared" ca="1" si="85"/>
      </c>
      <c r="E399" s="80" t="s">
        <v>279</v>
      </c>
      <c r="F399" s="74">
        <f t="shared" ca="1" si="81"/>
      </c>
      <c r="G399" s="74">
        <f t="shared" si="82"/>
      </c>
      <c r="H399" s="80" t="s">
        <v>272</v>
      </c>
      <c r="I399" s="74">
        <f t="shared" si="83"/>
      </c>
      <c r="J399" s="74">
        <f t="shared" si="86"/>
      </c>
      <c r="K399" s="80" t="s">
        <v>280</v>
      </c>
      <c r="L399" s="74">
        <f t="shared" si="87"/>
      </c>
      <c r="M399" s="74">
        <f t="shared" ca="1" si="88"/>
      </c>
      <c r="N399" s="74">
        <f ca="1">VLOOKUP(B399,$C$7:$T397,13,FALSE)</f>
      </c>
      <c r="O399" s="74">
        <f t="shared" ca="1" si="89"/>
      </c>
      <c r="P399" s="74">
        <f t="shared" ca="1" si="90"/>
      </c>
      <c r="Q399" s="74">
        <f t="shared" ca="1" si="91"/>
      </c>
      <c r="R399" s="74">
        <f t="shared" si="92"/>
      </c>
      <c r="S399" s="74">
        <f t="shared" ca="1" si="93"/>
      </c>
      <c r="T399" s="74">
        <f t="shared" si="94"/>
      </c>
    </row>
    <row r="400" spans="2:20" x14ac:dyDescent="0.3">
      <c r="B400" s="74">
        <f t="shared" ca="1" si="84"/>
      </c>
      <c r="C400" s="78">
        <f>Кабельный_журнал!P366</f>
      </c>
      <c r="D400" s="74">
        <f t="shared" ca="1" si="85"/>
      </c>
      <c r="E400" s="80" t="s">
        <v>279</v>
      </c>
      <c r="F400" s="74">
        <f t="shared" ca="1" si="81"/>
      </c>
      <c r="G400" s="74">
        <f t="shared" si="82"/>
      </c>
      <c r="H400" s="80" t="s">
        <v>272</v>
      </c>
      <c r="I400" s="74">
        <f t="shared" si="83"/>
      </c>
      <c r="J400" s="74">
        <f t="shared" si="86"/>
      </c>
      <c r="K400" s="80" t="s">
        <v>280</v>
      </c>
      <c r="L400" s="74">
        <f t="shared" si="87"/>
      </c>
      <c r="M400" s="74">
        <f t="shared" ca="1" si="88"/>
      </c>
      <c r="N400" s="74">
        <f ca="1">VLOOKUP(B400,$C$7:$T398,13,FALSE)</f>
      </c>
      <c r="O400" s="74">
        <f t="shared" ca="1" si="89"/>
      </c>
      <c r="P400" s="74">
        <f t="shared" ca="1" si="90"/>
      </c>
      <c r="Q400" s="74">
        <f t="shared" ca="1" si="91"/>
      </c>
      <c r="R400" s="74">
        <f t="shared" si="92"/>
      </c>
      <c r="S400" s="74">
        <f t="shared" ca="1" si="93"/>
      </c>
      <c r="T400" s="74">
        <f t="shared" si="94"/>
      </c>
    </row>
    <row r="401" spans="2:20" x14ac:dyDescent="0.3">
      <c r="B401" s="74">
        <f t="shared" ca="1" si="84"/>
      </c>
      <c r="C401" s="78">
        <f>Кабельный_журнал!P367</f>
      </c>
      <c r="D401" s="74">
        <f t="shared" ca="1" si="85"/>
      </c>
      <c r="E401" s="80" t="s">
        <v>279</v>
      </c>
      <c r="F401" s="74">
        <f t="shared" ca="1" si="81"/>
      </c>
      <c r="G401" s="74">
        <f t="shared" si="82"/>
      </c>
      <c r="H401" s="80" t="s">
        <v>272</v>
      </c>
      <c r="I401" s="74">
        <f t="shared" si="83"/>
      </c>
      <c r="J401" s="74">
        <f t="shared" si="86"/>
      </c>
      <c r="K401" s="80" t="s">
        <v>280</v>
      </c>
      <c r="L401" s="74">
        <f t="shared" si="87"/>
      </c>
      <c r="M401" s="74">
        <f t="shared" ca="1" si="88"/>
      </c>
      <c r="N401" s="74">
        <f ca="1">VLOOKUP(B401,$C$7:$T399,13,FALSE)</f>
      </c>
      <c r="O401" s="74">
        <f t="shared" ca="1" si="89"/>
      </c>
      <c r="P401" s="74">
        <f t="shared" ca="1" si="90"/>
      </c>
      <c r="Q401" s="74">
        <f t="shared" ca="1" si="91"/>
      </c>
      <c r="R401" s="74">
        <f t="shared" si="92"/>
      </c>
      <c r="S401" s="74">
        <f t="shared" ca="1" si="93"/>
      </c>
      <c r="T401" s="74">
        <f t="shared" si="94"/>
      </c>
    </row>
    <row r="402" spans="2:20" x14ac:dyDescent="0.3">
      <c r="B402" s="74">
        <f t="shared" ca="1" si="84"/>
      </c>
      <c r="C402" s="78">
        <f>Кабельный_журнал!P368</f>
      </c>
      <c r="D402" s="74">
        <f t="shared" ca="1" si="85"/>
      </c>
      <c r="E402" s="80" t="s">
        <v>279</v>
      </c>
      <c r="F402" s="74">
        <f t="shared" ca="1" si="81"/>
      </c>
      <c r="G402" s="74">
        <f t="shared" si="82"/>
      </c>
      <c r="H402" s="80" t="s">
        <v>272</v>
      </c>
      <c r="I402" s="74">
        <f t="shared" si="83"/>
      </c>
      <c r="J402" s="74">
        <f t="shared" si="86"/>
      </c>
      <c r="K402" s="80" t="s">
        <v>280</v>
      </c>
      <c r="L402" s="74">
        <f t="shared" si="87"/>
      </c>
      <c r="M402" s="74">
        <f t="shared" ca="1" si="88"/>
      </c>
      <c r="N402" s="74">
        <f ca="1">VLOOKUP(B402,$C$7:$T400,13,FALSE)</f>
      </c>
      <c r="O402" s="74">
        <f t="shared" ca="1" si="89"/>
      </c>
      <c r="P402" s="74">
        <f t="shared" ca="1" si="90"/>
      </c>
      <c r="Q402" s="74">
        <f t="shared" ca="1" si="91"/>
      </c>
      <c r="R402" s="74">
        <f t="shared" si="92"/>
      </c>
      <c r="S402" s="74">
        <f t="shared" ca="1" si="93"/>
      </c>
      <c r="T402" s="74">
        <f t="shared" si="94"/>
      </c>
    </row>
    <row r="403" spans="2:20" x14ac:dyDescent="0.3">
      <c r="B403" s="74">
        <f t="shared" ca="1" si="84"/>
      </c>
      <c r="C403" s="78">
        <f>Кабельный_журнал!P369</f>
      </c>
      <c r="D403" s="74">
        <f t="shared" ca="1" si="85"/>
      </c>
      <c r="E403" s="80" t="s">
        <v>279</v>
      </c>
      <c r="F403" s="74">
        <f t="shared" ca="1" si="81"/>
      </c>
      <c r="G403" s="74">
        <f t="shared" si="82"/>
      </c>
      <c r="H403" s="80" t="s">
        <v>272</v>
      </c>
      <c r="I403" s="74">
        <f t="shared" si="83"/>
      </c>
      <c r="J403" s="74">
        <f t="shared" si="86"/>
      </c>
      <c r="K403" s="80" t="s">
        <v>280</v>
      </c>
      <c r="L403" s="74">
        <f t="shared" si="87"/>
      </c>
      <c r="M403" s="74">
        <f t="shared" ca="1" si="88"/>
      </c>
      <c r="N403" s="74">
        <f ca="1">VLOOKUP(B403,$C$7:$T401,13,FALSE)</f>
      </c>
      <c r="O403" s="74">
        <f t="shared" ca="1" si="89"/>
      </c>
      <c r="P403" s="74">
        <f t="shared" ca="1" si="90"/>
      </c>
      <c r="Q403" s="74">
        <f t="shared" ca="1" si="91"/>
      </c>
      <c r="R403" s="74">
        <f t="shared" si="92"/>
      </c>
      <c r="S403" s="74">
        <f t="shared" ca="1" si="93"/>
      </c>
      <c r="T403" s="74">
        <f t="shared" si="94"/>
      </c>
    </row>
    <row r="404" spans="2:20" x14ac:dyDescent="0.3">
      <c r="B404" s="74">
        <f t="shared" ca="1" si="84"/>
      </c>
      <c r="C404" s="78">
        <f>Кабельный_журнал!P370</f>
      </c>
      <c r="D404" s="74">
        <f t="shared" ca="1" si="85"/>
      </c>
      <c r="E404" s="80" t="s">
        <v>279</v>
      </c>
      <c r="F404" s="74">
        <f t="shared" ca="1" si="81"/>
      </c>
      <c r="G404" s="74">
        <f t="shared" si="82"/>
      </c>
      <c r="H404" s="80" t="s">
        <v>272</v>
      </c>
      <c r="I404" s="74">
        <f t="shared" si="83"/>
      </c>
      <c r="J404" s="74">
        <f t="shared" si="86"/>
      </c>
      <c r="K404" s="80" t="s">
        <v>280</v>
      </c>
      <c r="L404" s="74">
        <f t="shared" si="87"/>
      </c>
      <c r="M404" s="74">
        <f t="shared" ca="1" si="88"/>
      </c>
      <c r="N404" s="74">
        <f ca="1">VLOOKUP(B404,$C$7:$T402,13,FALSE)</f>
      </c>
      <c r="O404" s="74">
        <f t="shared" ca="1" si="89"/>
      </c>
      <c r="P404" s="74">
        <f t="shared" ca="1" si="90"/>
      </c>
      <c r="Q404" s="74">
        <f t="shared" ca="1" si="91"/>
      </c>
      <c r="R404" s="74">
        <f t="shared" si="92"/>
      </c>
      <c r="S404" s="74">
        <f t="shared" ca="1" si="93"/>
      </c>
      <c r="T404" s="74">
        <f t="shared" si="94"/>
      </c>
    </row>
    <row r="405" spans="2:20" x14ac:dyDescent="0.3">
      <c r="B405" s="74">
        <f t="shared" ca="1" si="84"/>
      </c>
      <c r="C405" s="78">
        <f>Кабельный_журнал!P371</f>
      </c>
      <c r="D405" s="74">
        <f t="shared" ca="1" si="85"/>
      </c>
      <c r="E405" s="80" t="s">
        <v>279</v>
      </c>
      <c r="F405" s="74">
        <f t="shared" ca="1" si="81"/>
      </c>
      <c r="G405" s="74">
        <f t="shared" si="82"/>
      </c>
      <c r="H405" s="80" t="s">
        <v>272</v>
      </c>
      <c r="I405" s="74">
        <f t="shared" si="83"/>
      </c>
      <c r="J405" s="74">
        <f t="shared" si="86"/>
      </c>
      <c r="K405" s="80" t="s">
        <v>280</v>
      </c>
      <c r="L405" s="74">
        <f t="shared" si="87"/>
      </c>
      <c r="M405" s="74">
        <f t="shared" ca="1" si="88"/>
      </c>
      <c r="N405" s="74">
        <f ca="1">VLOOKUP(B405,$C$7:$T403,13,FALSE)</f>
      </c>
      <c r="O405" s="74">
        <f t="shared" ca="1" si="89"/>
      </c>
      <c r="P405" s="74">
        <f t="shared" ca="1" si="90"/>
      </c>
      <c r="Q405" s="74">
        <f t="shared" ca="1" si="91"/>
      </c>
      <c r="R405" s="74">
        <f t="shared" si="92"/>
      </c>
      <c r="S405" s="74">
        <f t="shared" ca="1" si="93"/>
      </c>
      <c r="T405" s="74">
        <f t="shared" si="94"/>
      </c>
    </row>
    <row r="406" spans="2:20" x14ac:dyDescent="0.3">
      <c r="B406" s="74">
        <f t="shared" ca="1" si="84"/>
      </c>
      <c r="C406" s="78">
        <f>Кабельный_журнал!P372</f>
      </c>
      <c r="D406" s="74">
        <f t="shared" ca="1" si="85"/>
      </c>
      <c r="E406" s="80" t="s">
        <v>279</v>
      </c>
      <c r="F406" s="74">
        <f t="shared" ca="1" si="81"/>
      </c>
      <c r="G406" s="74">
        <f t="shared" si="82"/>
      </c>
      <c r="H406" s="80" t="s">
        <v>272</v>
      </c>
      <c r="I406" s="74">
        <f t="shared" si="83"/>
      </c>
      <c r="J406" s="74">
        <f t="shared" si="86"/>
      </c>
      <c r="K406" s="80" t="s">
        <v>280</v>
      </c>
      <c r="L406" s="74">
        <f t="shared" si="87"/>
      </c>
      <c r="M406" s="74">
        <f t="shared" ca="1" si="88"/>
      </c>
      <c r="N406" s="74">
        <f ca="1">VLOOKUP(B406,$C$7:$T404,13,FALSE)</f>
      </c>
      <c r="O406" s="74">
        <f t="shared" ca="1" si="89"/>
      </c>
      <c r="P406" s="74">
        <f t="shared" ca="1" si="90"/>
      </c>
      <c r="Q406" s="74">
        <f t="shared" ca="1" si="91"/>
      </c>
      <c r="R406" s="74">
        <f t="shared" si="92"/>
      </c>
      <c r="S406" s="74">
        <f t="shared" ca="1" si="93"/>
      </c>
      <c r="T406" s="74">
        <f t="shared" si="94"/>
      </c>
    </row>
    <row r="407" spans="2:20" x14ac:dyDescent="0.3">
      <c r="B407" s="74">
        <f t="shared" ca="1" si="84"/>
      </c>
      <c r="C407" s="78">
        <f>Кабельный_журнал!P373</f>
      </c>
      <c r="D407" s="74">
        <f t="shared" ca="1" si="85"/>
      </c>
      <c r="E407" s="80" t="s">
        <v>279</v>
      </c>
      <c r="F407" s="74">
        <f t="shared" ca="1" si="81"/>
      </c>
      <c r="G407" s="74">
        <f t="shared" si="82"/>
      </c>
      <c r="H407" s="80" t="s">
        <v>272</v>
      </c>
      <c r="I407" s="74">
        <f t="shared" si="83"/>
      </c>
      <c r="J407" s="74">
        <f t="shared" si="86"/>
      </c>
      <c r="K407" s="80" t="s">
        <v>280</v>
      </c>
      <c r="L407" s="74">
        <f t="shared" si="87"/>
      </c>
      <c r="M407" s="74">
        <f t="shared" ca="1" si="88"/>
      </c>
      <c r="N407" s="74">
        <f ca="1">VLOOKUP(B407,$C$7:$T405,13,FALSE)</f>
      </c>
      <c r="O407" s="74">
        <f t="shared" ca="1" si="89"/>
      </c>
      <c r="P407" s="74">
        <f t="shared" ca="1" si="90"/>
      </c>
      <c r="Q407" s="74">
        <f t="shared" ca="1" si="91"/>
      </c>
      <c r="R407" s="74">
        <f t="shared" si="92"/>
      </c>
      <c r="S407" s="74">
        <f t="shared" ca="1" si="93"/>
      </c>
      <c r="T407" s="74">
        <f t="shared" si="94"/>
      </c>
    </row>
    <row r="408" spans="2:20" x14ac:dyDescent="0.3">
      <c r="B408" s="74">
        <f t="shared" ca="1" si="84"/>
      </c>
      <c r="C408" s="78">
        <f>Кабельный_журнал!P374</f>
      </c>
      <c r="D408" s="74">
        <f t="shared" ca="1" si="85"/>
      </c>
      <c r="E408" s="80" t="s">
        <v>279</v>
      </c>
      <c r="F408" s="74">
        <f t="shared" ca="1" si="81"/>
      </c>
      <c r="G408" s="74">
        <f t="shared" si="82"/>
      </c>
      <c r="H408" s="80" t="s">
        <v>272</v>
      </c>
      <c r="I408" s="74">
        <f t="shared" si="83"/>
      </c>
      <c r="J408" s="74">
        <f t="shared" si="86"/>
      </c>
      <c r="K408" s="80" t="s">
        <v>280</v>
      </c>
      <c r="L408" s="74">
        <f t="shared" si="87"/>
      </c>
      <c r="M408" s="74">
        <f t="shared" ca="1" si="88"/>
      </c>
      <c r="N408" s="74">
        <f ca="1">VLOOKUP(B408,$C$7:$T406,13,FALSE)</f>
      </c>
      <c r="O408" s="74">
        <f t="shared" ca="1" si="89"/>
      </c>
      <c r="P408" s="74">
        <f t="shared" ca="1" si="90"/>
      </c>
      <c r="Q408" s="74">
        <f t="shared" ca="1" si="91"/>
      </c>
      <c r="R408" s="74">
        <f t="shared" si="92"/>
      </c>
      <c r="S408" s="74">
        <f t="shared" ca="1" si="93"/>
      </c>
      <c r="T408" s="74">
        <f t="shared" si="94"/>
      </c>
    </row>
    <row r="409" spans="2:20" x14ac:dyDescent="0.3">
      <c r="B409" s="74">
        <f t="shared" ca="1" si="84"/>
      </c>
      <c r="C409" s="78">
        <f>Кабельный_журнал!P375</f>
      </c>
      <c r="D409" s="74">
        <f t="shared" ca="1" si="85"/>
      </c>
      <c r="E409" s="80" t="s">
        <v>279</v>
      </c>
      <c r="F409" s="74">
        <f t="shared" ca="1" si="81"/>
      </c>
      <c r="G409" s="74">
        <f t="shared" si="82"/>
      </c>
      <c r="H409" s="80" t="s">
        <v>272</v>
      </c>
      <c r="I409" s="74">
        <f t="shared" si="83"/>
      </c>
      <c r="J409" s="74">
        <f t="shared" si="86"/>
      </c>
      <c r="K409" s="80" t="s">
        <v>280</v>
      </c>
      <c r="L409" s="74">
        <f t="shared" si="87"/>
      </c>
      <c r="M409" s="74">
        <f t="shared" ca="1" si="88"/>
      </c>
      <c r="N409" s="74">
        <f ca="1">VLOOKUP(B409,$C$7:$T407,13,FALSE)</f>
      </c>
      <c r="O409" s="74">
        <f t="shared" ca="1" si="89"/>
      </c>
      <c r="P409" s="74">
        <f t="shared" ca="1" si="90"/>
      </c>
      <c r="Q409" s="74">
        <f t="shared" ca="1" si="91"/>
      </c>
      <c r="R409" s="74">
        <f t="shared" si="92"/>
      </c>
      <c r="S409" s="74">
        <f t="shared" ca="1" si="93"/>
      </c>
      <c r="T409" s="74">
        <f t="shared" si="94"/>
      </c>
    </row>
    <row r="410" spans="2:20" x14ac:dyDescent="0.3">
      <c r="B410" s="74">
        <f t="shared" ca="1" si="84"/>
      </c>
      <c r="C410" s="78">
        <f>Кабельный_журнал!P376</f>
      </c>
      <c r="D410" s="74">
        <f t="shared" ca="1" si="85"/>
      </c>
      <c r="E410" s="80" t="s">
        <v>279</v>
      </c>
      <c r="F410" s="74">
        <f t="shared" ca="1" si="81"/>
      </c>
      <c r="G410" s="74">
        <f t="shared" si="82"/>
      </c>
      <c r="H410" s="80" t="s">
        <v>272</v>
      </c>
      <c r="I410" s="74">
        <f t="shared" si="83"/>
      </c>
      <c r="J410" s="74">
        <f t="shared" si="86"/>
      </c>
      <c r="K410" s="80" t="s">
        <v>280</v>
      </c>
      <c r="L410" s="74">
        <f t="shared" si="87"/>
      </c>
      <c r="M410" s="74">
        <f t="shared" ca="1" si="88"/>
      </c>
      <c r="N410" s="74">
        <f ca="1">VLOOKUP(B410,$C$7:$T408,13,FALSE)</f>
      </c>
      <c r="O410" s="74">
        <f t="shared" ca="1" si="89"/>
      </c>
      <c r="P410" s="74">
        <f t="shared" ca="1" si="90"/>
      </c>
      <c r="Q410" s="74">
        <f t="shared" ca="1" si="91"/>
      </c>
      <c r="R410" s="74">
        <f t="shared" si="92"/>
      </c>
      <c r="S410" s="74">
        <f t="shared" ca="1" si="93"/>
      </c>
      <c r="T410" s="74">
        <f t="shared" si="94"/>
      </c>
    </row>
    <row r="411" spans="2:20" x14ac:dyDescent="0.3">
      <c r="B411" s="74">
        <f t="shared" ca="1" si="84"/>
      </c>
      <c r="C411" s="78">
        <f>Кабельный_журнал!P377</f>
      </c>
      <c r="D411" s="74">
        <f t="shared" ca="1" si="85"/>
      </c>
      <c r="E411" s="80" t="s">
        <v>279</v>
      </c>
      <c r="F411" s="74">
        <f t="shared" ca="1" si="81"/>
      </c>
      <c r="G411" s="74">
        <f t="shared" si="82"/>
      </c>
      <c r="H411" s="80" t="s">
        <v>272</v>
      </c>
      <c r="I411" s="74">
        <f t="shared" si="83"/>
      </c>
      <c r="J411" s="74">
        <f t="shared" si="86"/>
      </c>
      <c r="K411" s="80" t="s">
        <v>280</v>
      </c>
      <c r="L411" s="74">
        <f t="shared" si="87"/>
      </c>
      <c r="M411" s="74">
        <f t="shared" ca="1" si="88"/>
      </c>
      <c r="N411" s="74">
        <f ca="1">VLOOKUP(B411,$C$7:$T409,13,FALSE)</f>
      </c>
      <c r="O411" s="74">
        <f t="shared" ca="1" si="89"/>
      </c>
      <c r="P411" s="74">
        <f t="shared" ca="1" si="90"/>
      </c>
      <c r="Q411" s="74">
        <f t="shared" ca="1" si="91"/>
      </c>
      <c r="R411" s="74">
        <f t="shared" si="92"/>
      </c>
      <c r="S411" s="74">
        <f t="shared" ca="1" si="93"/>
      </c>
      <c r="T411" s="74">
        <f t="shared" si="94"/>
      </c>
    </row>
    <row r="412" spans="2:20" x14ac:dyDescent="0.3">
      <c r="B412" s="74">
        <f t="shared" ca="1" si="84"/>
      </c>
      <c r="C412" s="78">
        <f>Кабельный_журнал!P378</f>
      </c>
      <c r="D412" s="74">
        <f t="shared" ca="1" si="85"/>
      </c>
      <c r="E412" s="80" t="s">
        <v>279</v>
      </c>
      <c r="F412" s="74">
        <f t="shared" ca="1" si="81"/>
      </c>
      <c r="G412" s="74">
        <f t="shared" si="82"/>
      </c>
      <c r="H412" s="80" t="s">
        <v>272</v>
      </c>
      <c r="I412" s="74">
        <f t="shared" si="83"/>
      </c>
      <c r="J412" s="74">
        <f t="shared" si="86"/>
      </c>
      <c r="K412" s="80" t="s">
        <v>280</v>
      </c>
      <c r="L412" s="74">
        <f t="shared" si="87"/>
      </c>
      <c r="M412" s="74">
        <f t="shared" ca="1" si="88"/>
      </c>
      <c r="N412" s="74">
        <f ca="1">VLOOKUP(B412,$C$7:$T410,13,FALSE)</f>
      </c>
      <c r="O412" s="74">
        <f t="shared" ca="1" si="89"/>
      </c>
      <c r="P412" s="74">
        <f t="shared" ca="1" si="90"/>
      </c>
      <c r="Q412" s="74">
        <f t="shared" ca="1" si="91"/>
      </c>
      <c r="R412" s="74">
        <f t="shared" si="92"/>
      </c>
      <c r="S412" s="74">
        <f t="shared" ca="1" si="93"/>
      </c>
      <c r="T412" s="74">
        <f t="shared" si="94"/>
      </c>
    </row>
    <row r="413" spans="2:20" x14ac:dyDescent="0.3">
      <c r="B413" s="74">
        <f t="shared" ca="1" si="84"/>
      </c>
      <c r="C413" s="78">
        <f>Кабельный_журнал!P379</f>
      </c>
      <c r="D413" s="74">
        <f t="shared" ca="1" si="85"/>
      </c>
      <c r="E413" s="80" t="s">
        <v>279</v>
      </c>
      <c r="F413" s="74">
        <f t="shared" ca="1" si="81"/>
      </c>
      <c r="G413" s="74">
        <f t="shared" si="82"/>
      </c>
      <c r="H413" s="80" t="s">
        <v>272</v>
      </c>
      <c r="I413" s="74">
        <f t="shared" si="83"/>
      </c>
      <c r="J413" s="74">
        <f t="shared" si="86"/>
      </c>
      <c r="K413" s="80" t="s">
        <v>280</v>
      </c>
      <c r="L413" s="74">
        <f t="shared" si="87"/>
      </c>
      <c r="M413" s="74">
        <f t="shared" ca="1" si="88"/>
      </c>
      <c r="N413" s="74">
        <f ca="1">VLOOKUP(B413,$C$7:$T411,13,FALSE)</f>
      </c>
      <c r="O413" s="74">
        <f t="shared" ca="1" si="89"/>
      </c>
      <c r="P413" s="74">
        <f t="shared" ca="1" si="90"/>
      </c>
      <c r="Q413" s="74">
        <f t="shared" ca="1" si="91"/>
      </c>
      <c r="R413" s="74">
        <f t="shared" si="92"/>
      </c>
      <c r="S413" s="74">
        <f t="shared" ca="1" si="93"/>
      </c>
      <c r="T413" s="74">
        <f t="shared" si="94"/>
      </c>
    </row>
    <row r="414" spans="2:20" x14ac:dyDescent="0.3">
      <c r="B414" s="74">
        <f t="shared" ca="1" si="84"/>
      </c>
      <c r="C414" s="78">
        <f>Кабельный_журнал!P380</f>
      </c>
      <c r="D414" s="74">
        <f t="shared" ca="1" si="85"/>
      </c>
      <c r="E414" s="80" t="s">
        <v>279</v>
      </c>
      <c r="F414" s="74">
        <f t="shared" ca="1" si="81"/>
      </c>
      <c r="G414" s="74">
        <f t="shared" si="82"/>
      </c>
      <c r="H414" s="80" t="s">
        <v>272</v>
      </c>
      <c r="I414" s="74">
        <f t="shared" si="83"/>
      </c>
      <c r="J414" s="74">
        <f t="shared" si="86"/>
      </c>
      <c r="K414" s="80" t="s">
        <v>280</v>
      </c>
      <c r="L414" s="74">
        <f t="shared" si="87"/>
      </c>
      <c r="M414" s="74">
        <f t="shared" ca="1" si="88"/>
      </c>
      <c r="N414" s="74">
        <f ca="1">VLOOKUP(B414,$C$7:$T412,13,FALSE)</f>
      </c>
      <c r="O414" s="74">
        <f t="shared" ca="1" si="89"/>
      </c>
      <c r="P414" s="74">
        <f t="shared" ca="1" si="90"/>
      </c>
      <c r="Q414" s="74">
        <f t="shared" ca="1" si="91"/>
      </c>
      <c r="R414" s="74">
        <f t="shared" si="92"/>
      </c>
      <c r="S414" s="74">
        <f t="shared" ca="1" si="93"/>
      </c>
      <c r="T414" s="74">
        <f t="shared" si="94"/>
      </c>
    </row>
    <row r="415" spans="2:20" x14ac:dyDescent="0.3">
      <c r="B415" s="74">
        <f t="shared" ca="1" si="84"/>
      </c>
      <c r="C415" s="78">
        <f>Кабельный_журнал!P381</f>
      </c>
      <c r="D415" s="74">
        <f t="shared" ca="1" si="85"/>
      </c>
      <c r="E415" s="80" t="s">
        <v>279</v>
      </c>
      <c r="F415" s="74">
        <f t="shared" ca="1" si="81"/>
      </c>
      <c r="G415" s="74">
        <f t="shared" si="82"/>
      </c>
      <c r="H415" s="80" t="s">
        <v>272</v>
      </c>
      <c r="I415" s="74">
        <f t="shared" si="83"/>
      </c>
      <c r="J415" s="74">
        <f t="shared" si="86"/>
      </c>
      <c r="K415" s="80" t="s">
        <v>280</v>
      </c>
      <c r="L415" s="74">
        <f t="shared" si="87"/>
      </c>
      <c r="M415" s="74">
        <f t="shared" ca="1" si="88"/>
      </c>
      <c r="N415" s="74">
        <f ca="1">VLOOKUP(B415,$C$7:$T413,13,FALSE)</f>
      </c>
      <c r="O415" s="74">
        <f t="shared" ca="1" si="89"/>
      </c>
      <c r="P415" s="74">
        <f t="shared" ca="1" si="90"/>
      </c>
      <c r="Q415" s="74">
        <f t="shared" ca="1" si="91"/>
      </c>
      <c r="R415" s="74">
        <f t="shared" si="92"/>
      </c>
      <c r="S415" s="74">
        <f t="shared" ca="1" si="93"/>
      </c>
      <c r="T415" s="74">
        <f t="shared" si="94"/>
      </c>
    </row>
    <row r="416" spans="2:20" x14ac:dyDescent="0.3">
      <c r="B416" s="74">
        <f t="shared" ca="1" si="84"/>
      </c>
      <c r="C416" s="78">
        <f>Кабельный_журнал!P382</f>
      </c>
      <c r="D416" s="74">
        <f t="shared" ca="1" si="85"/>
      </c>
      <c r="E416" s="80" t="s">
        <v>279</v>
      </c>
      <c r="F416" s="74">
        <f t="shared" ca="1" si="81"/>
      </c>
      <c r="G416" s="74">
        <f t="shared" si="82"/>
      </c>
      <c r="H416" s="80" t="s">
        <v>272</v>
      </c>
      <c r="I416" s="74">
        <f t="shared" si="83"/>
      </c>
      <c r="J416" s="74">
        <f t="shared" si="86"/>
      </c>
      <c r="K416" s="80" t="s">
        <v>280</v>
      </c>
      <c r="L416" s="74">
        <f t="shared" si="87"/>
      </c>
      <c r="M416" s="74">
        <f t="shared" ca="1" si="88"/>
      </c>
      <c r="N416" s="74">
        <f ca="1">VLOOKUP(B416,$C$7:$T414,13,FALSE)</f>
      </c>
      <c r="O416" s="74">
        <f t="shared" ca="1" si="89"/>
      </c>
      <c r="P416" s="74">
        <f t="shared" ca="1" si="90"/>
      </c>
      <c r="Q416" s="74">
        <f t="shared" ca="1" si="91"/>
      </c>
      <c r="R416" s="74">
        <f t="shared" si="92"/>
      </c>
      <c r="S416" s="74">
        <f t="shared" ca="1" si="93"/>
      </c>
      <c r="T416" s="74">
        <f t="shared" si="94"/>
      </c>
    </row>
    <row r="417" spans="2:20" x14ac:dyDescent="0.3">
      <c r="B417" s="74">
        <f t="shared" ca="1" si="84"/>
      </c>
      <c r="C417" s="78">
        <f>Кабельный_журнал!P383</f>
      </c>
      <c r="D417" s="74">
        <f t="shared" ca="1" si="85"/>
      </c>
      <c r="E417" s="80" t="s">
        <v>279</v>
      </c>
      <c r="F417" s="74">
        <f t="shared" ca="1" si="81"/>
      </c>
      <c r="G417" s="74">
        <f t="shared" si="82"/>
      </c>
      <c r="H417" s="80" t="s">
        <v>272</v>
      </c>
      <c r="I417" s="74">
        <f t="shared" si="83"/>
      </c>
      <c r="J417" s="74">
        <f t="shared" si="86"/>
      </c>
      <c r="K417" s="80" t="s">
        <v>280</v>
      </c>
      <c r="L417" s="74">
        <f t="shared" si="87"/>
      </c>
      <c r="M417" s="74">
        <f t="shared" ca="1" si="88"/>
      </c>
      <c r="N417" s="74">
        <f ca="1">VLOOKUP(B417,$C$7:$T415,13,FALSE)</f>
      </c>
      <c r="O417" s="74">
        <f t="shared" ca="1" si="89"/>
      </c>
      <c r="P417" s="74">
        <f t="shared" ca="1" si="90"/>
      </c>
      <c r="Q417" s="74">
        <f t="shared" ca="1" si="91"/>
      </c>
      <c r="R417" s="74">
        <f t="shared" si="92"/>
      </c>
      <c r="S417" s="74">
        <f t="shared" ca="1" si="93"/>
      </c>
      <c r="T417" s="74">
        <f t="shared" si="94"/>
      </c>
    </row>
    <row r="418" spans="2:20" x14ac:dyDescent="0.3">
      <c r="B418" s="74">
        <f t="shared" ca="1" si="84"/>
      </c>
      <c r="C418" s="78">
        <f>Кабельный_журнал!P384</f>
      </c>
      <c r="D418" s="74">
        <f t="shared" ca="1" si="85"/>
      </c>
      <c r="E418" s="80" t="s">
        <v>279</v>
      </c>
      <c r="F418" s="74">
        <f t="shared" ca="1" si="81"/>
      </c>
      <c r="G418" s="74">
        <f t="shared" si="82"/>
      </c>
      <c r="H418" s="80" t="s">
        <v>272</v>
      </c>
      <c r="I418" s="74">
        <f t="shared" si="83"/>
      </c>
      <c r="J418" s="74">
        <f t="shared" si="86"/>
      </c>
      <c r="K418" s="80" t="s">
        <v>280</v>
      </c>
      <c r="L418" s="74">
        <f t="shared" si="87"/>
      </c>
      <c r="M418" s="74">
        <f t="shared" ca="1" si="88"/>
      </c>
      <c r="N418" s="74">
        <f ca="1">VLOOKUP(B418,$C$7:$T416,13,FALSE)</f>
      </c>
      <c r="O418" s="74">
        <f t="shared" ca="1" si="89"/>
      </c>
      <c r="P418" s="74">
        <f t="shared" ca="1" si="90"/>
      </c>
      <c r="Q418" s="74">
        <f t="shared" ca="1" si="91"/>
      </c>
      <c r="R418" s="74">
        <f t="shared" si="92"/>
      </c>
      <c r="S418" s="74">
        <f t="shared" ca="1" si="93"/>
      </c>
      <c r="T418" s="74">
        <f t="shared" si="94"/>
      </c>
    </row>
    <row r="419" spans="2:20" x14ac:dyDescent="0.3">
      <c r="B419" s="74">
        <f t="shared" ca="1" si="84"/>
      </c>
      <c r="C419" s="78">
        <f>Кабельный_журнал!P385</f>
      </c>
      <c r="D419" s="74">
        <f t="shared" ca="1" si="85"/>
      </c>
      <c r="E419" s="80" t="s">
        <v>279</v>
      </c>
      <c r="F419" s="74">
        <f t="shared" ca="1" si="81"/>
      </c>
      <c r="G419" s="74">
        <f t="shared" si="82"/>
      </c>
      <c r="H419" s="80" t="s">
        <v>272</v>
      </c>
      <c r="I419" s="74">
        <f t="shared" si="83"/>
      </c>
      <c r="J419" s="74">
        <f t="shared" si="86"/>
      </c>
      <c r="K419" s="80" t="s">
        <v>280</v>
      </c>
      <c r="L419" s="74">
        <f t="shared" si="87"/>
      </c>
      <c r="M419" s="74">
        <f t="shared" ca="1" si="88"/>
      </c>
      <c r="N419" s="74">
        <f ca="1">VLOOKUP(B419,$C$7:$T417,13,FALSE)</f>
      </c>
      <c r="O419" s="74">
        <f t="shared" ca="1" si="89"/>
      </c>
      <c r="P419" s="74">
        <f t="shared" ca="1" si="90"/>
      </c>
      <c r="Q419" s="74">
        <f t="shared" ca="1" si="91"/>
      </c>
      <c r="R419" s="74">
        <f t="shared" si="92"/>
      </c>
      <c r="S419" s="74">
        <f t="shared" ca="1" si="93"/>
      </c>
      <c r="T419" s="74">
        <f t="shared" si="94"/>
      </c>
    </row>
    <row r="420" spans="2:20" x14ac:dyDescent="0.3">
      <c r="B420" s="74">
        <f t="shared" ca="1" si="84"/>
      </c>
      <c r="C420" s="78">
        <f>Кабельный_журнал!P386</f>
      </c>
      <c r="D420" s="74">
        <f t="shared" ca="1" si="85"/>
      </c>
      <c r="E420" s="80" t="s">
        <v>279</v>
      </c>
      <c r="F420" s="74">
        <f t="shared" ca="1" si="81"/>
      </c>
      <c r="G420" s="74">
        <f t="shared" si="82"/>
      </c>
      <c r="H420" s="80" t="s">
        <v>272</v>
      </c>
      <c r="I420" s="74">
        <f t="shared" si="83"/>
      </c>
      <c r="J420" s="74">
        <f t="shared" si="86"/>
      </c>
      <c r="K420" s="80" t="s">
        <v>280</v>
      </c>
      <c r="L420" s="74">
        <f t="shared" si="87"/>
      </c>
      <c r="M420" s="74">
        <f t="shared" ca="1" si="88"/>
      </c>
      <c r="N420" s="74">
        <f ca="1">VLOOKUP(B420,$C$7:$T418,13,FALSE)</f>
      </c>
      <c r="O420" s="74">
        <f t="shared" ca="1" si="89"/>
      </c>
      <c r="P420" s="74">
        <f t="shared" ca="1" si="90"/>
      </c>
      <c r="Q420" s="74">
        <f t="shared" ca="1" si="91"/>
      </c>
      <c r="R420" s="74">
        <f t="shared" si="92"/>
      </c>
      <c r="S420" s="74">
        <f t="shared" ca="1" si="93"/>
      </c>
      <c r="T420" s="74">
        <f t="shared" si="94"/>
      </c>
    </row>
    <row r="421" spans="2:20" x14ac:dyDescent="0.3">
      <c r="B421" s="74">
        <f t="shared" ca="1" si="84"/>
      </c>
      <c r="C421" s="78">
        <f>Кабельный_журнал!P387</f>
      </c>
      <c r="D421" s="74">
        <f t="shared" ca="1" si="85"/>
      </c>
      <c r="E421" s="80" t="s">
        <v>279</v>
      </c>
      <c r="F421" s="74">
        <f t="shared" ca="1" si="81"/>
      </c>
      <c r="G421" s="74">
        <f t="shared" si="82"/>
      </c>
      <c r="H421" s="80" t="s">
        <v>272</v>
      </c>
      <c r="I421" s="74">
        <f t="shared" si="83"/>
      </c>
      <c r="J421" s="74">
        <f t="shared" si="86"/>
      </c>
      <c r="K421" s="80" t="s">
        <v>280</v>
      </c>
      <c r="L421" s="74">
        <f t="shared" si="87"/>
      </c>
      <c r="M421" s="74">
        <f t="shared" ca="1" si="88"/>
      </c>
      <c r="N421" s="74">
        <f ca="1">VLOOKUP(B421,$C$7:$T419,13,FALSE)</f>
      </c>
      <c r="O421" s="74">
        <f t="shared" ca="1" si="89"/>
      </c>
      <c r="P421" s="74">
        <f t="shared" ca="1" si="90"/>
      </c>
      <c r="Q421" s="74">
        <f t="shared" ca="1" si="91"/>
      </c>
      <c r="R421" s="74">
        <f t="shared" si="92"/>
      </c>
      <c r="S421" s="74">
        <f t="shared" ca="1" si="93"/>
      </c>
      <c r="T421" s="74">
        <f t="shared" si="94"/>
      </c>
    </row>
    <row r="422" spans="2:20" x14ac:dyDescent="0.3">
      <c r="B422" s="74">
        <f t="shared" ca="1" si="84"/>
      </c>
      <c r="C422" s="78">
        <f>Кабельный_журнал!P388</f>
      </c>
      <c r="D422" s="74">
        <f t="shared" ca="1" si="85"/>
      </c>
      <c r="E422" s="80" t="s">
        <v>279</v>
      </c>
      <c r="F422" s="74">
        <f t="shared" ca="1" si="81"/>
      </c>
      <c r="G422" s="74">
        <f t="shared" si="82"/>
      </c>
      <c r="H422" s="80" t="s">
        <v>272</v>
      </c>
      <c r="I422" s="74">
        <f t="shared" si="83"/>
      </c>
      <c r="J422" s="74">
        <f t="shared" si="86"/>
      </c>
      <c r="K422" s="80" t="s">
        <v>280</v>
      </c>
      <c r="L422" s="74">
        <f t="shared" si="87"/>
      </c>
      <c r="M422" s="74">
        <f t="shared" ca="1" si="88"/>
      </c>
      <c r="N422" s="74">
        <f ca="1">VLOOKUP(B422,$C$7:$T420,13,FALSE)</f>
      </c>
      <c r="O422" s="74">
        <f t="shared" ca="1" si="89"/>
      </c>
      <c r="P422" s="74">
        <f t="shared" ca="1" si="90"/>
      </c>
      <c r="Q422" s="74">
        <f t="shared" ca="1" si="91"/>
      </c>
      <c r="R422" s="74">
        <f t="shared" si="92"/>
      </c>
      <c r="S422" s="74">
        <f t="shared" ca="1" si="93"/>
      </c>
      <c r="T422" s="74">
        <f t="shared" si="94"/>
      </c>
    </row>
    <row r="423" spans="2:20" x14ac:dyDescent="0.3">
      <c r="B423" s="74">
        <f t="shared" ca="1" si="84"/>
      </c>
      <c r="C423" s="78">
        <f>Кабельный_журнал!P389</f>
      </c>
      <c r="D423" s="74">
        <f t="shared" ca="1" si="85"/>
      </c>
      <c r="E423" s="80" t="s">
        <v>279</v>
      </c>
      <c r="F423" s="74">
        <f t="shared" ref="F423:F486" ca="1" si="95">VLOOKUP(C423,Кабельный_журнал,8,FALSE)</f>
      </c>
      <c r="G423" s="74">
        <f t="shared" ref="G423:G486" si="96">VLOOKUP(C423,Исходные_данные,21,FALSE)</f>
      </c>
      <c r="H423" s="80" t="s">
        <v>272</v>
      </c>
      <c r="I423" s="74">
        <f t="shared" ref="I423:I486" si="97">VLOOKUP(C423,Исходные_данные,22,FALSE)</f>
      </c>
      <c r="J423" s="74">
        <f t="shared" si="86"/>
      </c>
      <c r="K423" s="80" t="s">
        <v>280</v>
      </c>
      <c r="L423" s="74">
        <f t="shared" si="87"/>
      </c>
      <c r="M423" s="74">
        <f t="shared" ca="1" si="88"/>
      </c>
      <c r="N423" s="74">
        <f ca="1">VLOOKUP(B423,$C$7:$T421,13,FALSE)</f>
      </c>
      <c r="O423" s="74">
        <f t="shared" ca="1" si="89"/>
      </c>
      <c r="P423" s="74">
        <f t="shared" ca="1" si="90"/>
      </c>
      <c r="Q423" s="74">
        <f t="shared" ca="1" si="91"/>
      </c>
      <c r="R423" s="74">
        <f t="shared" si="92"/>
      </c>
      <c r="S423" s="74">
        <f t="shared" ca="1" si="93"/>
      </c>
      <c r="T423" s="74">
        <f t="shared" si="94"/>
      </c>
    </row>
    <row r="424" spans="2:20" x14ac:dyDescent="0.3">
      <c r="B424" s="74">
        <f t="shared" ref="B424:B487" ca="1" si="98">VLOOKUP(C424,Кабельный_журнал,2,FALSE)</f>
      </c>
      <c r="C424" s="78">
        <f>Кабельный_журнал!P390</f>
      </c>
      <c r="D424" s="74">
        <f t="shared" ref="D424:D487" ca="1" si="99">B424&amp;"-"&amp;C424</f>
      </c>
      <c r="E424" s="80" t="s">
        <v>279</v>
      </c>
      <c r="F424" s="74">
        <f t="shared" ca="1" si="95"/>
      </c>
      <c r="G424" s="74">
        <f t="shared" si="96"/>
      </c>
      <c r="H424" s="80" t="s">
        <v>272</v>
      </c>
      <c r="I424" s="74">
        <f t="shared" si="97"/>
      </c>
      <c r="J424" s="74">
        <f t="shared" ref="J424:J487" si="100">I424</f>
      </c>
      <c r="K424" s="80" t="s">
        <v>280</v>
      </c>
      <c r="L424" s="74">
        <f t="shared" ref="L424:L487" si="101">VLOOKUP(K424,$K$2:$L$3,2,FALSE)</f>
      </c>
      <c r="M424" s="74">
        <f t="shared" ref="M424:M487" ca="1" si="102">L424*F424*(1/I424+1/J424)</f>
      </c>
      <c r="N424" s="74">
        <f ca="1">VLOOKUP(B424,$C$7:$T422,13,FALSE)</f>
      </c>
      <c r="O424" s="74">
        <f t="shared" ref="O424:O487" ca="1" si="103">L424+M424</f>
      </c>
      <c r="P424" s="74">
        <f t="shared" ref="P424:P487" ca="1" si="104">220/O424</f>
      </c>
      <c r="Q424" s="74">
        <f t="shared" ref="Q424:Q487" ca="1" si="105">O424/G424</f>
      </c>
      <c r="R424" s="74">
        <f t="shared" ref="R424:R487" si="106">VLOOKUP(H424,$W$2:$Y$12,3,FALSE)</f>
      </c>
      <c r="S424" s="74">
        <f t="shared" ref="S424:S487" ca="1" si="107">_xlfn.IFS(E424="щит",IF(P424&gt;R424,"Увел сеч",IF(T424&gt;P424,"Увел сеч","tср&lt;5с")),E424="потреб",IF(P424&gt;R424,"Увел сеч",IF(T424&gt;P424,"Увел сеч","tср&lt;0.4с")))</f>
      </c>
      <c r="T424" s="74">
        <f t="shared" ref="T424:T487" si="108">G424*VLOOKUP(H424,$W$2:$Y$12,2,FALSE)</f>
      </c>
    </row>
    <row r="425" spans="2:20" x14ac:dyDescent="0.3">
      <c r="B425" s="74">
        <f t="shared" ca="1" si="98"/>
      </c>
      <c r="C425" s="78">
        <f>Кабельный_журнал!P391</f>
      </c>
      <c r="D425" s="74">
        <f t="shared" ca="1" si="99"/>
      </c>
      <c r="E425" s="80" t="s">
        <v>279</v>
      </c>
      <c r="F425" s="74">
        <f t="shared" ca="1" si="95"/>
      </c>
      <c r="G425" s="74">
        <f t="shared" si="96"/>
      </c>
      <c r="H425" s="80" t="s">
        <v>272</v>
      </c>
      <c r="I425" s="74">
        <f t="shared" si="97"/>
      </c>
      <c r="J425" s="74">
        <f t="shared" si="100"/>
      </c>
      <c r="K425" s="80" t="s">
        <v>280</v>
      </c>
      <c r="L425" s="74">
        <f t="shared" si="101"/>
      </c>
      <c r="M425" s="74">
        <f t="shared" ca="1" si="102"/>
      </c>
      <c r="N425" s="74">
        <f ca="1">VLOOKUP(B425,$C$7:$T423,13,FALSE)</f>
      </c>
      <c r="O425" s="74">
        <f t="shared" ca="1" si="103"/>
      </c>
      <c r="P425" s="74">
        <f t="shared" ca="1" si="104"/>
      </c>
      <c r="Q425" s="74">
        <f t="shared" ca="1" si="105"/>
      </c>
      <c r="R425" s="74">
        <f t="shared" si="106"/>
      </c>
      <c r="S425" s="74">
        <f t="shared" ca="1" si="107"/>
      </c>
      <c r="T425" s="74">
        <f t="shared" si="108"/>
      </c>
    </row>
    <row r="426" spans="2:20" x14ac:dyDescent="0.3">
      <c r="B426" s="74">
        <f t="shared" ca="1" si="98"/>
      </c>
      <c r="C426" s="78">
        <f>Кабельный_журнал!P392</f>
      </c>
      <c r="D426" s="74">
        <f t="shared" ca="1" si="99"/>
      </c>
      <c r="E426" s="80" t="s">
        <v>279</v>
      </c>
      <c r="F426" s="74">
        <f t="shared" ca="1" si="95"/>
      </c>
      <c r="G426" s="74">
        <f t="shared" si="96"/>
      </c>
      <c r="H426" s="80" t="s">
        <v>272</v>
      </c>
      <c r="I426" s="74">
        <f t="shared" si="97"/>
      </c>
      <c r="J426" s="74">
        <f t="shared" si="100"/>
      </c>
      <c r="K426" s="80" t="s">
        <v>280</v>
      </c>
      <c r="L426" s="74">
        <f t="shared" si="101"/>
      </c>
      <c r="M426" s="74">
        <f t="shared" ca="1" si="102"/>
      </c>
      <c r="N426" s="74">
        <f ca="1">VLOOKUP(B426,$C$7:$T424,13,FALSE)</f>
      </c>
      <c r="O426" s="74">
        <f t="shared" ca="1" si="103"/>
      </c>
      <c r="P426" s="74">
        <f t="shared" ca="1" si="104"/>
      </c>
      <c r="Q426" s="74">
        <f t="shared" ca="1" si="105"/>
      </c>
      <c r="R426" s="74">
        <f t="shared" si="106"/>
      </c>
      <c r="S426" s="74">
        <f t="shared" ca="1" si="107"/>
      </c>
      <c r="T426" s="74">
        <f t="shared" si="108"/>
      </c>
    </row>
    <row r="427" spans="2:20" x14ac:dyDescent="0.3">
      <c r="B427" s="74">
        <f t="shared" ca="1" si="98"/>
      </c>
      <c r="C427" s="78">
        <f>Кабельный_журнал!P393</f>
      </c>
      <c r="D427" s="74">
        <f t="shared" ca="1" si="99"/>
      </c>
      <c r="E427" s="80" t="s">
        <v>279</v>
      </c>
      <c r="F427" s="74">
        <f t="shared" ca="1" si="95"/>
      </c>
      <c r="G427" s="74">
        <f t="shared" si="96"/>
      </c>
      <c r="H427" s="80" t="s">
        <v>272</v>
      </c>
      <c r="I427" s="74">
        <f t="shared" si="97"/>
      </c>
      <c r="J427" s="74">
        <f t="shared" si="100"/>
      </c>
      <c r="K427" s="80" t="s">
        <v>280</v>
      </c>
      <c r="L427" s="74">
        <f t="shared" si="101"/>
      </c>
      <c r="M427" s="74">
        <f t="shared" ca="1" si="102"/>
      </c>
      <c r="N427" s="74">
        <f ca="1">VLOOKUP(B427,$C$7:$T425,13,FALSE)</f>
      </c>
      <c r="O427" s="74">
        <f t="shared" ca="1" si="103"/>
      </c>
      <c r="P427" s="74">
        <f t="shared" ca="1" si="104"/>
      </c>
      <c r="Q427" s="74">
        <f t="shared" ca="1" si="105"/>
      </c>
      <c r="R427" s="74">
        <f t="shared" si="106"/>
      </c>
      <c r="S427" s="74">
        <f t="shared" ca="1" si="107"/>
      </c>
      <c r="T427" s="74">
        <f t="shared" si="108"/>
      </c>
    </row>
    <row r="428" spans="2:20" x14ac:dyDescent="0.3">
      <c r="B428" s="74">
        <f t="shared" ca="1" si="98"/>
      </c>
      <c r="C428" s="78">
        <f>Кабельный_журнал!P394</f>
      </c>
      <c r="D428" s="74">
        <f t="shared" ca="1" si="99"/>
      </c>
      <c r="E428" s="80" t="s">
        <v>279</v>
      </c>
      <c r="F428" s="74">
        <f t="shared" ca="1" si="95"/>
      </c>
      <c r="G428" s="74">
        <f t="shared" si="96"/>
      </c>
      <c r="H428" s="80" t="s">
        <v>272</v>
      </c>
      <c r="I428" s="74">
        <f t="shared" si="97"/>
      </c>
      <c r="J428" s="74">
        <f t="shared" si="100"/>
      </c>
      <c r="K428" s="80" t="s">
        <v>280</v>
      </c>
      <c r="L428" s="74">
        <f t="shared" si="101"/>
      </c>
      <c r="M428" s="74">
        <f t="shared" ca="1" si="102"/>
      </c>
      <c r="N428" s="74">
        <f ca="1">VLOOKUP(B428,$C$7:$T426,13,FALSE)</f>
      </c>
      <c r="O428" s="74">
        <f t="shared" ca="1" si="103"/>
      </c>
      <c r="P428" s="74">
        <f t="shared" ca="1" si="104"/>
      </c>
      <c r="Q428" s="74">
        <f t="shared" ca="1" si="105"/>
      </c>
      <c r="R428" s="74">
        <f t="shared" si="106"/>
      </c>
      <c r="S428" s="74">
        <f t="shared" ca="1" si="107"/>
      </c>
      <c r="T428" s="74">
        <f t="shared" si="108"/>
      </c>
    </row>
    <row r="429" spans="2:20" x14ac:dyDescent="0.3">
      <c r="B429" s="74">
        <f t="shared" ca="1" si="98"/>
      </c>
      <c r="C429" s="78">
        <f>Кабельный_журнал!P395</f>
      </c>
      <c r="D429" s="74">
        <f t="shared" ca="1" si="99"/>
      </c>
      <c r="E429" s="80" t="s">
        <v>279</v>
      </c>
      <c r="F429" s="74">
        <f t="shared" ca="1" si="95"/>
      </c>
      <c r="G429" s="74">
        <f t="shared" si="96"/>
      </c>
      <c r="H429" s="80" t="s">
        <v>272</v>
      </c>
      <c r="I429" s="74">
        <f t="shared" si="97"/>
      </c>
      <c r="J429" s="74">
        <f t="shared" si="100"/>
      </c>
      <c r="K429" s="80" t="s">
        <v>280</v>
      </c>
      <c r="L429" s="74">
        <f t="shared" si="101"/>
      </c>
      <c r="M429" s="74">
        <f t="shared" ca="1" si="102"/>
      </c>
      <c r="N429" s="74">
        <f ca="1">VLOOKUP(B429,$C$7:$T427,13,FALSE)</f>
      </c>
      <c r="O429" s="74">
        <f t="shared" ca="1" si="103"/>
      </c>
      <c r="P429" s="74">
        <f t="shared" ca="1" si="104"/>
      </c>
      <c r="Q429" s="74">
        <f t="shared" ca="1" si="105"/>
      </c>
      <c r="R429" s="74">
        <f t="shared" si="106"/>
      </c>
      <c r="S429" s="74">
        <f t="shared" ca="1" si="107"/>
      </c>
      <c r="T429" s="74">
        <f t="shared" si="108"/>
      </c>
    </row>
    <row r="430" spans="2:20" x14ac:dyDescent="0.3">
      <c r="B430" s="74">
        <f t="shared" ca="1" si="98"/>
      </c>
      <c r="C430" s="78">
        <f>Кабельный_журнал!P396</f>
      </c>
      <c r="D430" s="74">
        <f t="shared" ca="1" si="99"/>
      </c>
      <c r="E430" s="80" t="s">
        <v>279</v>
      </c>
      <c r="F430" s="74">
        <f t="shared" ca="1" si="95"/>
      </c>
      <c r="G430" s="74">
        <f t="shared" si="96"/>
      </c>
      <c r="H430" s="80" t="s">
        <v>272</v>
      </c>
      <c r="I430" s="74">
        <f t="shared" si="97"/>
      </c>
      <c r="J430" s="74">
        <f t="shared" si="100"/>
      </c>
      <c r="K430" s="80" t="s">
        <v>280</v>
      </c>
      <c r="L430" s="74">
        <f t="shared" si="101"/>
      </c>
      <c r="M430" s="74">
        <f t="shared" ca="1" si="102"/>
      </c>
      <c r="N430" s="74">
        <f ca="1">VLOOKUP(B430,$C$7:$T428,13,FALSE)</f>
      </c>
      <c r="O430" s="74">
        <f t="shared" ca="1" si="103"/>
      </c>
      <c r="P430" s="74">
        <f t="shared" ca="1" si="104"/>
      </c>
      <c r="Q430" s="74">
        <f t="shared" ca="1" si="105"/>
      </c>
      <c r="R430" s="74">
        <f t="shared" si="106"/>
      </c>
      <c r="S430" s="74">
        <f t="shared" ca="1" si="107"/>
      </c>
      <c r="T430" s="74">
        <f t="shared" si="108"/>
      </c>
    </row>
    <row r="431" spans="2:20" x14ac:dyDescent="0.3">
      <c r="B431" s="74">
        <f t="shared" ca="1" si="98"/>
      </c>
      <c r="C431" s="78">
        <f>Кабельный_журнал!P397</f>
      </c>
      <c r="D431" s="74">
        <f t="shared" ca="1" si="99"/>
      </c>
      <c r="E431" s="80" t="s">
        <v>279</v>
      </c>
      <c r="F431" s="74">
        <f t="shared" ca="1" si="95"/>
      </c>
      <c r="G431" s="74">
        <f t="shared" si="96"/>
      </c>
      <c r="H431" s="80" t="s">
        <v>272</v>
      </c>
      <c r="I431" s="74">
        <f t="shared" si="97"/>
      </c>
      <c r="J431" s="74">
        <f t="shared" si="100"/>
      </c>
      <c r="K431" s="80" t="s">
        <v>280</v>
      </c>
      <c r="L431" s="74">
        <f t="shared" si="101"/>
      </c>
      <c r="M431" s="74">
        <f t="shared" ca="1" si="102"/>
      </c>
      <c r="N431" s="74">
        <f ca="1">VLOOKUP(B431,$C$7:$T429,13,FALSE)</f>
      </c>
      <c r="O431" s="74">
        <f t="shared" ca="1" si="103"/>
      </c>
      <c r="P431" s="74">
        <f t="shared" ca="1" si="104"/>
      </c>
      <c r="Q431" s="74">
        <f t="shared" ca="1" si="105"/>
      </c>
      <c r="R431" s="74">
        <f t="shared" si="106"/>
      </c>
      <c r="S431" s="74">
        <f t="shared" ca="1" si="107"/>
      </c>
      <c r="T431" s="74">
        <f t="shared" si="108"/>
      </c>
    </row>
    <row r="432" spans="2:20" x14ac:dyDescent="0.3">
      <c r="B432" s="74">
        <f t="shared" ca="1" si="98"/>
      </c>
      <c r="C432" s="78">
        <f>Кабельный_журнал!P398</f>
      </c>
      <c r="D432" s="74">
        <f t="shared" ca="1" si="99"/>
      </c>
      <c r="E432" s="80" t="s">
        <v>279</v>
      </c>
      <c r="F432" s="74">
        <f t="shared" ca="1" si="95"/>
      </c>
      <c r="G432" s="74">
        <f t="shared" si="96"/>
      </c>
      <c r="H432" s="80" t="s">
        <v>272</v>
      </c>
      <c r="I432" s="74">
        <f t="shared" si="97"/>
      </c>
      <c r="J432" s="74">
        <f t="shared" si="100"/>
      </c>
      <c r="K432" s="80" t="s">
        <v>280</v>
      </c>
      <c r="L432" s="74">
        <f t="shared" si="101"/>
      </c>
      <c r="M432" s="74">
        <f t="shared" ca="1" si="102"/>
      </c>
      <c r="N432" s="74">
        <f ca="1">VLOOKUP(B432,$C$7:$T430,13,FALSE)</f>
      </c>
      <c r="O432" s="74">
        <f t="shared" ca="1" si="103"/>
      </c>
      <c r="P432" s="74">
        <f t="shared" ca="1" si="104"/>
      </c>
      <c r="Q432" s="74">
        <f t="shared" ca="1" si="105"/>
      </c>
      <c r="R432" s="74">
        <f t="shared" si="106"/>
      </c>
      <c r="S432" s="74">
        <f t="shared" ca="1" si="107"/>
      </c>
      <c r="T432" s="74">
        <f t="shared" si="108"/>
      </c>
    </row>
    <row r="433" spans="2:20" x14ac:dyDescent="0.3">
      <c r="B433" s="74">
        <f t="shared" ca="1" si="98"/>
      </c>
      <c r="C433" s="78">
        <f>Кабельный_журнал!P399</f>
      </c>
      <c r="D433" s="74">
        <f t="shared" ca="1" si="99"/>
      </c>
      <c r="E433" s="80" t="s">
        <v>279</v>
      </c>
      <c r="F433" s="74">
        <f t="shared" ca="1" si="95"/>
      </c>
      <c r="G433" s="74">
        <f t="shared" si="96"/>
      </c>
      <c r="H433" s="80" t="s">
        <v>272</v>
      </c>
      <c r="I433" s="74">
        <f t="shared" si="97"/>
      </c>
      <c r="J433" s="74">
        <f t="shared" si="100"/>
      </c>
      <c r="K433" s="80" t="s">
        <v>280</v>
      </c>
      <c r="L433" s="74">
        <f t="shared" si="101"/>
      </c>
      <c r="M433" s="74">
        <f t="shared" ca="1" si="102"/>
      </c>
      <c r="N433" s="74">
        <f ca="1">VLOOKUP(B433,$C$7:$T431,13,FALSE)</f>
      </c>
      <c r="O433" s="74">
        <f t="shared" ca="1" si="103"/>
      </c>
      <c r="P433" s="74">
        <f t="shared" ca="1" si="104"/>
      </c>
      <c r="Q433" s="74">
        <f t="shared" ca="1" si="105"/>
      </c>
      <c r="R433" s="74">
        <f t="shared" si="106"/>
      </c>
      <c r="S433" s="74">
        <f t="shared" ca="1" si="107"/>
      </c>
      <c r="T433" s="74">
        <f t="shared" si="108"/>
      </c>
    </row>
    <row r="434" spans="2:20" x14ac:dyDescent="0.3">
      <c r="B434" s="74">
        <f t="shared" ca="1" si="98"/>
      </c>
      <c r="C434" s="78">
        <f>Кабельный_журнал!P400</f>
      </c>
      <c r="D434" s="74">
        <f t="shared" ca="1" si="99"/>
      </c>
      <c r="E434" s="80" t="s">
        <v>279</v>
      </c>
      <c r="F434" s="74">
        <f t="shared" ca="1" si="95"/>
      </c>
      <c r="G434" s="74">
        <f t="shared" si="96"/>
      </c>
      <c r="H434" s="80" t="s">
        <v>272</v>
      </c>
      <c r="I434" s="74">
        <f t="shared" si="97"/>
      </c>
      <c r="J434" s="74">
        <f t="shared" si="100"/>
      </c>
      <c r="K434" s="80" t="s">
        <v>280</v>
      </c>
      <c r="L434" s="74">
        <f t="shared" si="101"/>
      </c>
      <c r="M434" s="74">
        <f t="shared" ca="1" si="102"/>
      </c>
      <c r="N434" s="74">
        <f ca="1">VLOOKUP(B434,$C$7:$T432,13,FALSE)</f>
      </c>
      <c r="O434" s="74">
        <f t="shared" ca="1" si="103"/>
      </c>
      <c r="P434" s="74">
        <f t="shared" ca="1" si="104"/>
      </c>
      <c r="Q434" s="74">
        <f t="shared" ca="1" si="105"/>
      </c>
      <c r="R434" s="74">
        <f t="shared" si="106"/>
      </c>
      <c r="S434" s="74">
        <f t="shared" ca="1" si="107"/>
      </c>
      <c r="T434" s="74">
        <f t="shared" si="108"/>
      </c>
    </row>
    <row r="435" spans="2:20" x14ac:dyDescent="0.3">
      <c r="B435" s="74">
        <f t="shared" ca="1" si="98"/>
      </c>
      <c r="C435" s="78">
        <f>Кабельный_журнал!P401</f>
      </c>
      <c r="D435" s="74">
        <f t="shared" ca="1" si="99"/>
      </c>
      <c r="E435" s="80" t="s">
        <v>279</v>
      </c>
      <c r="F435" s="74">
        <f t="shared" ca="1" si="95"/>
      </c>
      <c r="G435" s="74">
        <f t="shared" si="96"/>
      </c>
      <c r="H435" s="80" t="s">
        <v>272</v>
      </c>
      <c r="I435" s="74">
        <f t="shared" si="97"/>
      </c>
      <c r="J435" s="74">
        <f t="shared" si="100"/>
      </c>
      <c r="K435" s="80" t="s">
        <v>280</v>
      </c>
      <c r="L435" s="74">
        <f t="shared" si="101"/>
      </c>
      <c r="M435" s="74">
        <f t="shared" ca="1" si="102"/>
      </c>
      <c r="N435" s="74">
        <f ca="1">VLOOKUP(B435,$C$7:$T433,13,FALSE)</f>
      </c>
      <c r="O435" s="74">
        <f t="shared" ca="1" si="103"/>
      </c>
      <c r="P435" s="74">
        <f t="shared" ca="1" si="104"/>
      </c>
      <c r="Q435" s="74">
        <f t="shared" ca="1" si="105"/>
      </c>
      <c r="R435" s="74">
        <f t="shared" si="106"/>
      </c>
      <c r="S435" s="74">
        <f t="shared" ca="1" si="107"/>
      </c>
      <c r="T435" s="74">
        <f t="shared" si="108"/>
      </c>
    </row>
    <row r="436" spans="2:20" x14ac:dyDescent="0.3">
      <c r="B436" s="74">
        <f t="shared" ca="1" si="98"/>
      </c>
      <c r="C436" s="78">
        <f>Кабельный_журнал!P402</f>
      </c>
      <c r="D436" s="74">
        <f t="shared" ca="1" si="99"/>
      </c>
      <c r="E436" s="80" t="s">
        <v>279</v>
      </c>
      <c r="F436" s="74">
        <f t="shared" ca="1" si="95"/>
      </c>
      <c r="G436" s="74">
        <f t="shared" si="96"/>
      </c>
      <c r="H436" s="80" t="s">
        <v>272</v>
      </c>
      <c r="I436" s="74">
        <f t="shared" si="97"/>
      </c>
      <c r="J436" s="74">
        <f t="shared" si="100"/>
      </c>
      <c r="K436" s="80" t="s">
        <v>280</v>
      </c>
      <c r="L436" s="74">
        <f t="shared" si="101"/>
      </c>
      <c r="M436" s="74">
        <f t="shared" ca="1" si="102"/>
      </c>
      <c r="N436" s="74">
        <f ca="1">VLOOKUP(B436,$C$7:$T434,13,FALSE)</f>
      </c>
      <c r="O436" s="74">
        <f t="shared" ca="1" si="103"/>
      </c>
      <c r="P436" s="74">
        <f t="shared" ca="1" si="104"/>
      </c>
      <c r="Q436" s="74">
        <f t="shared" ca="1" si="105"/>
      </c>
      <c r="R436" s="74">
        <f t="shared" si="106"/>
      </c>
      <c r="S436" s="74">
        <f t="shared" ca="1" si="107"/>
      </c>
      <c r="T436" s="74">
        <f t="shared" si="108"/>
      </c>
    </row>
    <row r="437" spans="2:20" x14ac:dyDescent="0.3">
      <c r="B437" s="74">
        <f t="shared" ca="1" si="98"/>
      </c>
      <c r="C437" s="78">
        <f>Кабельный_журнал!P403</f>
      </c>
      <c r="D437" s="74">
        <f t="shared" ca="1" si="99"/>
      </c>
      <c r="E437" s="80" t="s">
        <v>279</v>
      </c>
      <c r="F437" s="74">
        <f t="shared" ca="1" si="95"/>
      </c>
      <c r="G437" s="74">
        <f t="shared" si="96"/>
      </c>
      <c r="H437" s="80" t="s">
        <v>272</v>
      </c>
      <c r="I437" s="74">
        <f t="shared" si="97"/>
      </c>
      <c r="J437" s="74">
        <f t="shared" si="100"/>
      </c>
      <c r="K437" s="80" t="s">
        <v>280</v>
      </c>
      <c r="L437" s="74">
        <f t="shared" si="101"/>
      </c>
      <c r="M437" s="74">
        <f t="shared" ca="1" si="102"/>
      </c>
      <c r="N437" s="74">
        <f ca="1">VLOOKUP(B437,$C$7:$T435,13,FALSE)</f>
      </c>
      <c r="O437" s="74">
        <f t="shared" ca="1" si="103"/>
      </c>
      <c r="P437" s="74">
        <f t="shared" ca="1" si="104"/>
      </c>
      <c r="Q437" s="74">
        <f t="shared" ca="1" si="105"/>
      </c>
      <c r="R437" s="74">
        <f t="shared" si="106"/>
      </c>
      <c r="S437" s="74">
        <f t="shared" ca="1" si="107"/>
      </c>
      <c r="T437" s="74">
        <f t="shared" si="108"/>
      </c>
    </row>
    <row r="438" spans="2:20" x14ac:dyDescent="0.3">
      <c r="B438" s="74">
        <f t="shared" ca="1" si="98"/>
      </c>
      <c r="C438" s="78">
        <f>Кабельный_журнал!P404</f>
      </c>
      <c r="D438" s="74">
        <f t="shared" ca="1" si="99"/>
      </c>
      <c r="E438" s="80" t="s">
        <v>279</v>
      </c>
      <c r="F438" s="74">
        <f t="shared" ca="1" si="95"/>
      </c>
      <c r="G438" s="74">
        <f t="shared" si="96"/>
      </c>
      <c r="H438" s="80" t="s">
        <v>272</v>
      </c>
      <c r="I438" s="74">
        <f t="shared" si="97"/>
      </c>
      <c r="J438" s="74">
        <f t="shared" si="100"/>
      </c>
      <c r="K438" s="80" t="s">
        <v>280</v>
      </c>
      <c r="L438" s="74">
        <f t="shared" si="101"/>
      </c>
      <c r="M438" s="74">
        <f t="shared" ca="1" si="102"/>
      </c>
      <c r="N438" s="74">
        <f ca="1">VLOOKUP(B438,$C$7:$T436,13,FALSE)</f>
      </c>
      <c r="O438" s="74">
        <f t="shared" ca="1" si="103"/>
      </c>
      <c r="P438" s="74">
        <f t="shared" ca="1" si="104"/>
      </c>
      <c r="Q438" s="74">
        <f t="shared" ca="1" si="105"/>
      </c>
      <c r="R438" s="74">
        <f t="shared" si="106"/>
      </c>
      <c r="S438" s="74">
        <f t="shared" ca="1" si="107"/>
      </c>
      <c r="T438" s="74">
        <f t="shared" si="108"/>
      </c>
    </row>
    <row r="439" spans="2:20" x14ac:dyDescent="0.3">
      <c r="B439" s="74">
        <f t="shared" ca="1" si="98"/>
      </c>
      <c r="C439" s="78">
        <f>Кабельный_журнал!P405</f>
      </c>
      <c r="D439" s="74">
        <f t="shared" ca="1" si="99"/>
      </c>
      <c r="E439" s="80" t="s">
        <v>279</v>
      </c>
      <c r="F439" s="74">
        <f t="shared" ca="1" si="95"/>
      </c>
      <c r="G439" s="74">
        <f t="shared" si="96"/>
      </c>
      <c r="H439" s="80" t="s">
        <v>272</v>
      </c>
      <c r="I439" s="74">
        <f t="shared" si="97"/>
      </c>
      <c r="J439" s="74">
        <f t="shared" si="100"/>
      </c>
      <c r="K439" s="80" t="s">
        <v>280</v>
      </c>
      <c r="L439" s="74">
        <f t="shared" si="101"/>
      </c>
      <c r="M439" s="74">
        <f t="shared" ca="1" si="102"/>
      </c>
      <c r="N439" s="74">
        <f ca="1">VLOOKUP(B439,$C$7:$T437,13,FALSE)</f>
      </c>
      <c r="O439" s="74">
        <f t="shared" ca="1" si="103"/>
      </c>
      <c r="P439" s="74">
        <f t="shared" ca="1" si="104"/>
      </c>
      <c r="Q439" s="74">
        <f t="shared" ca="1" si="105"/>
      </c>
      <c r="R439" s="74">
        <f t="shared" si="106"/>
      </c>
      <c r="S439" s="74">
        <f t="shared" ca="1" si="107"/>
      </c>
      <c r="T439" s="74">
        <f t="shared" si="108"/>
      </c>
    </row>
    <row r="440" spans="2:20" x14ac:dyDescent="0.3">
      <c r="B440" s="74">
        <f t="shared" ca="1" si="98"/>
      </c>
      <c r="C440" s="78">
        <f>Кабельный_журнал!P406</f>
      </c>
      <c r="D440" s="74">
        <f t="shared" ca="1" si="99"/>
      </c>
      <c r="E440" s="80" t="s">
        <v>279</v>
      </c>
      <c r="F440" s="74">
        <f t="shared" ca="1" si="95"/>
      </c>
      <c r="G440" s="74">
        <f t="shared" si="96"/>
      </c>
      <c r="H440" s="80" t="s">
        <v>272</v>
      </c>
      <c r="I440" s="74">
        <f t="shared" si="97"/>
      </c>
      <c r="J440" s="74">
        <f t="shared" si="100"/>
      </c>
      <c r="K440" s="80" t="s">
        <v>280</v>
      </c>
      <c r="L440" s="74">
        <f t="shared" si="101"/>
      </c>
      <c r="M440" s="74">
        <f t="shared" ca="1" si="102"/>
      </c>
      <c r="N440" s="74">
        <f ca="1">VLOOKUP(B440,$C$7:$T438,13,FALSE)</f>
      </c>
      <c r="O440" s="74">
        <f t="shared" ca="1" si="103"/>
      </c>
      <c r="P440" s="74">
        <f t="shared" ca="1" si="104"/>
      </c>
      <c r="Q440" s="74">
        <f t="shared" ca="1" si="105"/>
      </c>
      <c r="R440" s="74">
        <f t="shared" si="106"/>
      </c>
      <c r="S440" s="74">
        <f t="shared" ca="1" si="107"/>
      </c>
      <c r="T440" s="74">
        <f t="shared" si="108"/>
      </c>
    </row>
    <row r="441" spans="2:20" x14ac:dyDescent="0.3">
      <c r="B441" s="74">
        <f t="shared" ca="1" si="98"/>
      </c>
      <c r="C441" s="78">
        <f>Кабельный_журнал!P407</f>
      </c>
      <c r="D441" s="74">
        <f t="shared" ca="1" si="99"/>
      </c>
      <c r="E441" s="80" t="s">
        <v>279</v>
      </c>
      <c r="F441" s="74">
        <f t="shared" ca="1" si="95"/>
      </c>
      <c r="G441" s="74">
        <f t="shared" si="96"/>
      </c>
      <c r="H441" s="80" t="s">
        <v>272</v>
      </c>
      <c r="I441" s="74">
        <f t="shared" si="97"/>
      </c>
      <c r="J441" s="74">
        <f t="shared" si="100"/>
      </c>
      <c r="K441" s="80" t="s">
        <v>280</v>
      </c>
      <c r="L441" s="74">
        <f t="shared" si="101"/>
      </c>
      <c r="M441" s="74">
        <f t="shared" ca="1" si="102"/>
      </c>
      <c r="N441" s="74">
        <f ca="1">VLOOKUP(B441,$C$7:$T439,13,FALSE)</f>
      </c>
      <c r="O441" s="74">
        <f t="shared" ca="1" si="103"/>
      </c>
      <c r="P441" s="74">
        <f t="shared" ca="1" si="104"/>
      </c>
      <c r="Q441" s="74">
        <f t="shared" ca="1" si="105"/>
      </c>
      <c r="R441" s="74">
        <f t="shared" si="106"/>
      </c>
      <c r="S441" s="74">
        <f t="shared" ca="1" si="107"/>
      </c>
      <c r="T441" s="74">
        <f t="shared" si="108"/>
      </c>
    </row>
    <row r="442" spans="2:20" x14ac:dyDescent="0.3">
      <c r="B442" s="74">
        <f t="shared" ca="1" si="98"/>
      </c>
      <c r="C442" s="78">
        <f>Кабельный_журнал!P408</f>
      </c>
      <c r="D442" s="74">
        <f t="shared" ca="1" si="99"/>
      </c>
      <c r="E442" s="80" t="s">
        <v>279</v>
      </c>
      <c r="F442" s="74">
        <f t="shared" ca="1" si="95"/>
      </c>
      <c r="G442" s="74">
        <f t="shared" si="96"/>
      </c>
      <c r="H442" s="80" t="s">
        <v>272</v>
      </c>
      <c r="I442" s="74">
        <f t="shared" si="97"/>
      </c>
      <c r="J442" s="74">
        <f t="shared" si="100"/>
      </c>
      <c r="K442" s="80" t="s">
        <v>280</v>
      </c>
      <c r="L442" s="74">
        <f t="shared" si="101"/>
      </c>
      <c r="M442" s="74">
        <f t="shared" ca="1" si="102"/>
      </c>
      <c r="N442" s="74">
        <f ca="1">VLOOKUP(B442,$C$7:$T440,13,FALSE)</f>
      </c>
      <c r="O442" s="74">
        <f t="shared" ca="1" si="103"/>
      </c>
      <c r="P442" s="74">
        <f t="shared" ca="1" si="104"/>
      </c>
      <c r="Q442" s="74">
        <f t="shared" ca="1" si="105"/>
      </c>
      <c r="R442" s="74">
        <f t="shared" si="106"/>
      </c>
      <c r="S442" s="74">
        <f t="shared" ca="1" si="107"/>
      </c>
      <c r="T442" s="74">
        <f t="shared" si="108"/>
      </c>
    </row>
    <row r="443" spans="2:20" x14ac:dyDescent="0.3">
      <c r="B443" s="74">
        <f t="shared" ca="1" si="98"/>
      </c>
      <c r="C443" s="78">
        <f>Кабельный_журнал!P409</f>
      </c>
      <c r="D443" s="74">
        <f t="shared" ca="1" si="99"/>
      </c>
      <c r="E443" s="80" t="s">
        <v>279</v>
      </c>
      <c r="F443" s="74">
        <f t="shared" ca="1" si="95"/>
      </c>
      <c r="G443" s="74">
        <f t="shared" si="96"/>
      </c>
      <c r="H443" s="80" t="s">
        <v>272</v>
      </c>
      <c r="I443" s="74">
        <f t="shared" si="97"/>
      </c>
      <c r="J443" s="74">
        <f t="shared" si="100"/>
      </c>
      <c r="K443" s="80" t="s">
        <v>280</v>
      </c>
      <c r="L443" s="74">
        <f t="shared" si="101"/>
      </c>
      <c r="M443" s="74">
        <f t="shared" ca="1" si="102"/>
      </c>
      <c r="N443" s="74">
        <f ca="1">VLOOKUP(B443,$C$7:$T441,13,FALSE)</f>
      </c>
      <c r="O443" s="74">
        <f t="shared" ca="1" si="103"/>
      </c>
      <c r="P443" s="74">
        <f t="shared" ca="1" si="104"/>
      </c>
      <c r="Q443" s="74">
        <f t="shared" ca="1" si="105"/>
      </c>
      <c r="R443" s="74">
        <f t="shared" si="106"/>
      </c>
      <c r="S443" s="74">
        <f t="shared" ca="1" si="107"/>
      </c>
      <c r="T443" s="74">
        <f t="shared" si="108"/>
      </c>
    </row>
    <row r="444" spans="2:20" x14ac:dyDescent="0.3">
      <c r="B444" s="74">
        <f t="shared" ca="1" si="98"/>
      </c>
      <c r="C444" s="78">
        <f>Кабельный_журнал!P410</f>
      </c>
      <c r="D444" s="74">
        <f t="shared" ca="1" si="99"/>
      </c>
      <c r="E444" s="80" t="s">
        <v>279</v>
      </c>
      <c r="F444" s="74">
        <f t="shared" ca="1" si="95"/>
      </c>
      <c r="G444" s="74">
        <f t="shared" si="96"/>
      </c>
      <c r="H444" s="80" t="s">
        <v>272</v>
      </c>
      <c r="I444" s="74">
        <f t="shared" si="97"/>
      </c>
      <c r="J444" s="74">
        <f t="shared" si="100"/>
      </c>
      <c r="K444" s="80" t="s">
        <v>280</v>
      </c>
      <c r="L444" s="74">
        <f t="shared" si="101"/>
      </c>
      <c r="M444" s="74">
        <f t="shared" ca="1" si="102"/>
      </c>
      <c r="N444" s="74">
        <f ca="1">VLOOKUP(B444,$C$7:$T442,13,FALSE)</f>
      </c>
      <c r="O444" s="74">
        <f t="shared" ca="1" si="103"/>
      </c>
      <c r="P444" s="74">
        <f t="shared" ca="1" si="104"/>
      </c>
      <c r="Q444" s="74">
        <f t="shared" ca="1" si="105"/>
      </c>
      <c r="R444" s="74">
        <f t="shared" si="106"/>
      </c>
      <c r="S444" s="74">
        <f t="shared" ca="1" si="107"/>
      </c>
      <c r="T444" s="74">
        <f t="shared" si="108"/>
      </c>
    </row>
    <row r="445" spans="2:20" x14ac:dyDescent="0.3">
      <c r="B445" s="74">
        <f t="shared" ca="1" si="98"/>
      </c>
      <c r="C445" s="78">
        <f>Кабельный_журнал!P411</f>
      </c>
      <c r="D445" s="74">
        <f t="shared" ca="1" si="99"/>
      </c>
      <c r="E445" s="80" t="s">
        <v>279</v>
      </c>
      <c r="F445" s="74">
        <f t="shared" ca="1" si="95"/>
      </c>
      <c r="G445" s="74">
        <f t="shared" si="96"/>
      </c>
      <c r="H445" s="80" t="s">
        <v>272</v>
      </c>
      <c r="I445" s="74">
        <f t="shared" si="97"/>
      </c>
      <c r="J445" s="74">
        <f t="shared" si="100"/>
      </c>
      <c r="K445" s="80" t="s">
        <v>280</v>
      </c>
      <c r="L445" s="74">
        <f t="shared" si="101"/>
      </c>
      <c r="M445" s="74">
        <f t="shared" ca="1" si="102"/>
      </c>
      <c r="N445" s="74">
        <f ca="1">VLOOKUP(B445,$C$7:$T443,13,FALSE)</f>
      </c>
      <c r="O445" s="74">
        <f t="shared" ca="1" si="103"/>
      </c>
      <c r="P445" s="74">
        <f t="shared" ca="1" si="104"/>
      </c>
      <c r="Q445" s="74">
        <f t="shared" ca="1" si="105"/>
      </c>
      <c r="R445" s="74">
        <f t="shared" si="106"/>
      </c>
      <c r="S445" s="74">
        <f t="shared" ca="1" si="107"/>
      </c>
      <c r="T445" s="74">
        <f t="shared" si="108"/>
      </c>
    </row>
    <row r="446" spans="2:20" x14ac:dyDescent="0.3">
      <c r="B446" s="74">
        <f t="shared" ca="1" si="98"/>
      </c>
      <c r="C446" s="78">
        <f>Кабельный_журнал!P412</f>
      </c>
      <c r="D446" s="74">
        <f t="shared" ca="1" si="99"/>
      </c>
      <c r="E446" s="80" t="s">
        <v>279</v>
      </c>
      <c r="F446" s="74">
        <f t="shared" ca="1" si="95"/>
      </c>
      <c r="G446" s="74">
        <f t="shared" si="96"/>
      </c>
      <c r="H446" s="80" t="s">
        <v>272</v>
      </c>
      <c r="I446" s="74">
        <f t="shared" si="97"/>
      </c>
      <c r="J446" s="74">
        <f t="shared" si="100"/>
      </c>
      <c r="K446" s="80" t="s">
        <v>280</v>
      </c>
      <c r="L446" s="74">
        <f t="shared" si="101"/>
      </c>
      <c r="M446" s="74">
        <f t="shared" ca="1" si="102"/>
      </c>
      <c r="N446" s="74">
        <f ca="1">VLOOKUP(B446,$C$7:$T444,13,FALSE)</f>
      </c>
      <c r="O446" s="74">
        <f t="shared" ca="1" si="103"/>
      </c>
      <c r="P446" s="74">
        <f t="shared" ca="1" si="104"/>
      </c>
      <c r="Q446" s="74">
        <f t="shared" ca="1" si="105"/>
      </c>
      <c r="R446" s="74">
        <f t="shared" si="106"/>
      </c>
      <c r="S446" s="74">
        <f t="shared" ca="1" si="107"/>
      </c>
      <c r="T446" s="74">
        <f t="shared" si="108"/>
      </c>
    </row>
    <row r="447" spans="2:20" x14ac:dyDescent="0.3">
      <c r="B447" s="74">
        <f t="shared" ca="1" si="98"/>
      </c>
      <c r="C447" s="78">
        <f>Кабельный_журнал!P413</f>
      </c>
      <c r="D447" s="74">
        <f t="shared" ca="1" si="99"/>
      </c>
      <c r="E447" s="80" t="s">
        <v>279</v>
      </c>
      <c r="F447" s="74">
        <f t="shared" ca="1" si="95"/>
      </c>
      <c r="G447" s="74">
        <f t="shared" si="96"/>
      </c>
      <c r="H447" s="80" t="s">
        <v>272</v>
      </c>
      <c r="I447" s="74">
        <f t="shared" si="97"/>
      </c>
      <c r="J447" s="74">
        <f t="shared" si="100"/>
      </c>
      <c r="K447" s="80" t="s">
        <v>280</v>
      </c>
      <c r="L447" s="74">
        <f t="shared" si="101"/>
      </c>
      <c r="M447" s="74">
        <f t="shared" ca="1" si="102"/>
      </c>
      <c r="N447" s="74">
        <f ca="1">VLOOKUP(B447,$C$7:$T445,13,FALSE)</f>
      </c>
      <c r="O447" s="74">
        <f t="shared" ca="1" si="103"/>
      </c>
      <c r="P447" s="74">
        <f t="shared" ca="1" si="104"/>
      </c>
      <c r="Q447" s="74">
        <f t="shared" ca="1" si="105"/>
      </c>
      <c r="R447" s="74">
        <f t="shared" si="106"/>
      </c>
      <c r="S447" s="74">
        <f t="shared" ca="1" si="107"/>
      </c>
      <c r="T447" s="74">
        <f t="shared" si="108"/>
      </c>
    </row>
    <row r="448" spans="2:20" x14ac:dyDescent="0.3">
      <c r="B448" s="74">
        <f t="shared" ca="1" si="98"/>
      </c>
      <c r="C448" s="78">
        <f>Кабельный_журнал!P414</f>
      </c>
      <c r="D448" s="74">
        <f t="shared" ca="1" si="99"/>
      </c>
      <c r="E448" s="80" t="s">
        <v>279</v>
      </c>
      <c r="F448" s="74">
        <f t="shared" ca="1" si="95"/>
      </c>
      <c r="G448" s="74">
        <f t="shared" si="96"/>
      </c>
      <c r="H448" s="80" t="s">
        <v>272</v>
      </c>
      <c r="I448" s="74">
        <f t="shared" si="97"/>
      </c>
      <c r="J448" s="74">
        <f t="shared" si="100"/>
      </c>
      <c r="K448" s="80" t="s">
        <v>280</v>
      </c>
      <c r="L448" s="74">
        <f t="shared" si="101"/>
      </c>
      <c r="M448" s="74">
        <f t="shared" ca="1" si="102"/>
      </c>
      <c r="N448" s="74">
        <f ca="1">VLOOKUP(B448,$C$7:$T446,13,FALSE)</f>
      </c>
      <c r="O448" s="74">
        <f t="shared" ca="1" si="103"/>
      </c>
      <c r="P448" s="74">
        <f t="shared" ca="1" si="104"/>
      </c>
      <c r="Q448" s="74">
        <f t="shared" ca="1" si="105"/>
      </c>
      <c r="R448" s="74">
        <f t="shared" si="106"/>
      </c>
      <c r="S448" s="74">
        <f t="shared" ca="1" si="107"/>
      </c>
      <c r="T448" s="74">
        <f t="shared" si="108"/>
      </c>
    </row>
    <row r="449" spans="2:20" x14ac:dyDescent="0.3">
      <c r="B449" s="74">
        <f t="shared" ca="1" si="98"/>
      </c>
      <c r="C449" s="78">
        <f>Кабельный_журнал!P415</f>
      </c>
      <c r="D449" s="74">
        <f t="shared" ca="1" si="99"/>
      </c>
      <c r="E449" s="80" t="s">
        <v>279</v>
      </c>
      <c r="F449" s="74">
        <f t="shared" ca="1" si="95"/>
      </c>
      <c r="G449" s="74">
        <f t="shared" si="96"/>
      </c>
      <c r="H449" s="80" t="s">
        <v>272</v>
      </c>
      <c r="I449" s="74">
        <f t="shared" si="97"/>
      </c>
      <c r="J449" s="74">
        <f t="shared" si="100"/>
      </c>
      <c r="K449" s="80" t="s">
        <v>280</v>
      </c>
      <c r="L449" s="74">
        <f t="shared" si="101"/>
      </c>
      <c r="M449" s="74">
        <f t="shared" ca="1" si="102"/>
      </c>
      <c r="N449" s="74">
        <f ca="1">VLOOKUP(B449,$C$7:$T447,13,FALSE)</f>
      </c>
      <c r="O449" s="74">
        <f t="shared" ca="1" si="103"/>
      </c>
      <c r="P449" s="74">
        <f t="shared" ca="1" si="104"/>
      </c>
      <c r="Q449" s="74">
        <f t="shared" ca="1" si="105"/>
      </c>
      <c r="R449" s="74">
        <f t="shared" si="106"/>
      </c>
      <c r="S449" s="74">
        <f t="shared" ca="1" si="107"/>
      </c>
      <c r="T449" s="74">
        <f t="shared" si="108"/>
      </c>
    </row>
    <row r="450" spans="2:20" x14ac:dyDescent="0.3">
      <c r="B450" s="74">
        <f t="shared" ca="1" si="98"/>
      </c>
      <c r="C450" s="78">
        <f>Кабельный_журнал!P416</f>
      </c>
      <c r="D450" s="74">
        <f t="shared" ca="1" si="99"/>
      </c>
      <c r="E450" s="80" t="s">
        <v>279</v>
      </c>
      <c r="F450" s="74">
        <f t="shared" ca="1" si="95"/>
      </c>
      <c r="G450" s="74">
        <f t="shared" si="96"/>
      </c>
      <c r="H450" s="80" t="s">
        <v>272</v>
      </c>
      <c r="I450" s="74">
        <f t="shared" si="97"/>
      </c>
      <c r="J450" s="74">
        <f t="shared" si="100"/>
      </c>
      <c r="K450" s="80" t="s">
        <v>280</v>
      </c>
      <c r="L450" s="74">
        <f t="shared" si="101"/>
      </c>
      <c r="M450" s="74">
        <f t="shared" ca="1" si="102"/>
      </c>
      <c r="N450" s="74">
        <f ca="1">VLOOKUP(B450,$C$7:$T448,13,FALSE)</f>
      </c>
      <c r="O450" s="74">
        <f t="shared" ca="1" si="103"/>
      </c>
      <c r="P450" s="74">
        <f t="shared" ca="1" si="104"/>
      </c>
      <c r="Q450" s="74">
        <f t="shared" ca="1" si="105"/>
      </c>
      <c r="R450" s="74">
        <f t="shared" si="106"/>
      </c>
      <c r="S450" s="74">
        <f t="shared" ca="1" si="107"/>
      </c>
      <c r="T450" s="74">
        <f t="shared" si="108"/>
      </c>
    </row>
    <row r="451" spans="2:20" x14ac:dyDescent="0.3">
      <c r="B451" s="74">
        <f t="shared" ca="1" si="98"/>
      </c>
      <c r="C451" s="78">
        <f>Кабельный_журнал!P417</f>
      </c>
      <c r="D451" s="74">
        <f t="shared" ca="1" si="99"/>
      </c>
      <c r="E451" s="80" t="s">
        <v>279</v>
      </c>
      <c r="F451" s="74">
        <f t="shared" ca="1" si="95"/>
      </c>
      <c r="G451" s="74">
        <f t="shared" si="96"/>
      </c>
      <c r="H451" s="80" t="s">
        <v>272</v>
      </c>
      <c r="I451" s="74">
        <f t="shared" si="97"/>
      </c>
      <c r="J451" s="74">
        <f t="shared" si="100"/>
      </c>
      <c r="K451" s="80" t="s">
        <v>280</v>
      </c>
      <c r="L451" s="74">
        <f t="shared" si="101"/>
      </c>
      <c r="M451" s="74">
        <f t="shared" ca="1" si="102"/>
      </c>
      <c r="N451" s="74">
        <f ca="1">VLOOKUP(B451,$C$7:$T449,13,FALSE)</f>
      </c>
      <c r="O451" s="74">
        <f t="shared" ca="1" si="103"/>
      </c>
      <c r="P451" s="74">
        <f t="shared" ca="1" si="104"/>
      </c>
      <c r="Q451" s="74">
        <f t="shared" ca="1" si="105"/>
      </c>
      <c r="R451" s="74">
        <f t="shared" si="106"/>
      </c>
      <c r="S451" s="74">
        <f t="shared" ca="1" si="107"/>
      </c>
      <c r="T451" s="74">
        <f t="shared" si="108"/>
      </c>
    </row>
    <row r="452" spans="2:20" x14ac:dyDescent="0.3">
      <c r="B452" s="74">
        <f t="shared" ca="1" si="98"/>
      </c>
      <c r="C452" s="78">
        <f>Кабельный_журнал!P418</f>
      </c>
      <c r="D452" s="74">
        <f t="shared" ca="1" si="99"/>
      </c>
      <c r="E452" s="80" t="s">
        <v>279</v>
      </c>
      <c r="F452" s="74">
        <f t="shared" ca="1" si="95"/>
      </c>
      <c r="G452" s="74">
        <f t="shared" si="96"/>
      </c>
      <c r="H452" s="80" t="s">
        <v>272</v>
      </c>
      <c r="I452" s="74">
        <f t="shared" si="97"/>
      </c>
      <c r="J452" s="74">
        <f t="shared" si="100"/>
      </c>
      <c r="K452" s="80" t="s">
        <v>280</v>
      </c>
      <c r="L452" s="74">
        <f t="shared" si="101"/>
      </c>
      <c r="M452" s="74">
        <f t="shared" ca="1" si="102"/>
      </c>
      <c r="N452" s="74">
        <f ca="1">VLOOKUP(B452,$C$7:$T450,13,FALSE)</f>
      </c>
      <c r="O452" s="74">
        <f t="shared" ca="1" si="103"/>
      </c>
      <c r="P452" s="74">
        <f t="shared" ca="1" si="104"/>
      </c>
      <c r="Q452" s="74">
        <f t="shared" ca="1" si="105"/>
      </c>
      <c r="R452" s="74">
        <f t="shared" si="106"/>
      </c>
      <c r="S452" s="74">
        <f t="shared" ca="1" si="107"/>
      </c>
      <c r="T452" s="74">
        <f t="shared" si="108"/>
      </c>
    </row>
    <row r="453" spans="2:20" x14ac:dyDescent="0.3">
      <c r="B453" s="74">
        <f t="shared" ca="1" si="98"/>
      </c>
      <c r="C453" s="78">
        <f>Кабельный_журнал!P419</f>
      </c>
      <c r="D453" s="74">
        <f t="shared" ca="1" si="99"/>
      </c>
      <c r="E453" s="80" t="s">
        <v>279</v>
      </c>
      <c r="F453" s="74">
        <f t="shared" ca="1" si="95"/>
      </c>
      <c r="G453" s="74">
        <f t="shared" si="96"/>
      </c>
      <c r="H453" s="80" t="s">
        <v>272</v>
      </c>
      <c r="I453" s="74">
        <f t="shared" si="97"/>
      </c>
      <c r="J453" s="74">
        <f t="shared" si="100"/>
      </c>
      <c r="K453" s="80" t="s">
        <v>280</v>
      </c>
      <c r="L453" s="74">
        <f t="shared" si="101"/>
      </c>
      <c r="M453" s="74">
        <f t="shared" ca="1" si="102"/>
      </c>
      <c r="N453" s="74">
        <f ca="1">VLOOKUP(B453,$C$7:$T451,13,FALSE)</f>
      </c>
      <c r="O453" s="74">
        <f t="shared" ca="1" si="103"/>
      </c>
      <c r="P453" s="74">
        <f t="shared" ca="1" si="104"/>
      </c>
      <c r="Q453" s="74">
        <f t="shared" ca="1" si="105"/>
      </c>
      <c r="R453" s="74">
        <f t="shared" si="106"/>
      </c>
      <c r="S453" s="74">
        <f t="shared" ca="1" si="107"/>
      </c>
      <c r="T453" s="74">
        <f t="shared" si="108"/>
      </c>
    </row>
    <row r="454" spans="2:20" x14ac:dyDescent="0.3">
      <c r="B454" s="74">
        <f t="shared" ca="1" si="98"/>
      </c>
      <c r="C454" s="78">
        <f>Кабельный_журнал!P420</f>
      </c>
      <c r="D454" s="74">
        <f t="shared" ca="1" si="99"/>
      </c>
      <c r="E454" s="80" t="s">
        <v>279</v>
      </c>
      <c r="F454" s="74">
        <f t="shared" ca="1" si="95"/>
      </c>
      <c r="G454" s="74">
        <f t="shared" si="96"/>
      </c>
      <c r="H454" s="80" t="s">
        <v>272</v>
      </c>
      <c r="I454" s="74">
        <f t="shared" si="97"/>
      </c>
      <c r="J454" s="74">
        <f t="shared" si="100"/>
      </c>
      <c r="K454" s="80" t="s">
        <v>280</v>
      </c>
      <c r="L454" s="74">
        <f t="shared" si="101"/>
      </c>
      <c r="M454" s="74">
        <f t="shared" ca="1" si="102"/>
      </c>
      <c r="N454" s="74">
        <f ca="1">VLOOKUP(B454,$C$7:$T452,13,FALSE)</f>
      </c>
      <c r="O454" s="74">
        <f t="shared" ca="1" si="103"/>
      </c>
      <c r="P454" s="74">
        <f t="shared" ca="1" si="104"/>
      </c>
      <c r="Q454" s="74">
        <f t="shared" ca="1" si="105"/>
      </c>
      <c r="R454" s="74">
        <f t="shared" si="106"/>
      </c>
      <c r="S454" s="74">
        <f t="shared" ca="1" si="107"/>
      </c>
      <c r="T454" s="74">
        <f t="shared" si="108"/>
      </c>
    </row>
    <row r="455" spans="2:20" x14ac:dyDescent="0.3">
      <c r="B455" s="74">
        <f t="shared" ca="1" si="98"/>
      </c>
      <c r="C455" s="78">
        <f>Кабельный_журнал!P421</f>
      </c>
      <c r="D455" s="74">
        <f t="shared" ca="1" si="99"/>
      </c>
      <c r="E455" s="80" t="s">
        <v>279</v>
      </c>
      <c r="F455" s="74">
        <f t="shared" ca="1" si="95"/>
      </c>
      <c r="G455" s="74">
        <f t="shared" si="96"/>
      </c>
      <c r="H455" s="80" t="s">
        <v>272</v>
      </c>
      <c r="I455" s="74">
        <f t="shared" si="97"/>
      </c>
      <c r="J455" s="74">
        <f t="shared" si="100"/>
      </c>
      <c r="K455" s="80" t="s">
        <v>280</v>
      </c>
      <c r="L455" s="74">
        <f t="shared" si="101"/>
      </c>
      <c r="M455" s="74">
        <f t="shared" ca="1" si="102"/>
      </c>
      <c r="N455" s="74">
        <f ca="1">VLOOKUP(B455,$C$7:$T453,13,FALSE)</f>
      </c>
      <c r="O455" s="74">
        <f t="shared" ca="1" si="103"/>
      </c>
      <c r="P455" s="74">
        <f t="shared" ca="1" si="104"/>
      </c>
      <c r="Q455" s="74">
        <f t="shared" ca="1" si="105"/>
      </c>
      <c r="R455" s="74">
        <f t="shared" si="106"/>
      </c>
      <c r="S455" s="74">
        <f t="shared" ca="1" si="107"/>
      </c>
      <c r="T455" s="74">
        <f t="shared" si="108"/>
      </c>
    </row>
    <row r="456" spans="2:20" x14ac:dyDescent="0.3">
      <c r="B456" s="74">
        <f t="shared" ca="1" si="98"/>
      </c>
      <c r="C456" s="78">
        <f>Кабельный_журнал!P422</f>
      </c>
      <c r="D456" s="74">
        <f t="shared" ca="1" si="99"/>
      </c>
      <c r="E456" s="80" t="s">
        <v>279</v>
      </c>
      <c r="F456" s="74">
        <f t="shared" ca="1" si="95"/>
      </c>
      <c r="G456" s="74">
        <f t="shared" si="96"/>
      </c>
      <c r="H456" s="80" t="s">
        <v>272</v>
      </c>
      <c r="I456" s="74">
        <f t="shared" si="97"/>
      </c>
      <c r="J456" s="74">
        <f t="shared" si="100"/>
      </c>
      <c r="K456" s="80" t="s">
        <v>280</v>
      </c>
      <c r="L456" s="74">
        <f t="shared" si="101"/>
      </c>
      <c r="M456" s="74">
        <f t="shared" ca="1" si="102"/>
      </c>
      <c r="N456" s="74">
        <f ca="1">VLOOKUP(B456,$C$7:$T454,13,FALSE)</f>
      </c>
      <c r="O456" s="74">
        <f t="shared" ca="1" si="103"/>
      </c>
      <c r="P456" s="74">
        <f t="shared" ca="1" si="104"/>
      </c>
      <c r="Q456" s="74">
        <f t="shared" ca="1" si="105"/>
      </c>
      <c r="R456" s="74">
        <f t="shared" si="106"/>
      </c>
      <c r="S456" s="74">
        <f t="shared" ca="1" si="107"/>
      </c>
      <c r="T456" s="74">
        <f t="shared" si="108"/>
      </c>
    </row>
    <row r="457" spans="2:20" x14ac:dyDescent="0.3">
      <c r="B457" s="74">
        <f t="shared" ca="1" si="98"/>
      </c>
      <c r="C457" s="78">
        <f>Кабельный_журнал!P423</f>
      </c>
      <c r="D457" s="74">
        <f t="shared" ca="1" si="99"/>
      </c>
      <c r="E457" s="80" t="s">
        <v>279</v>
      </c>
      <c r="F457" s="74">
        <f t="shared" ca="1" si="95"/>
      </c>
      <c r="G457" s="74">
        <f t="shared" si="96"/>
      </c>
      <c r="H457" s="80" t="s">
        <v>272</v>
      </c>
      <c r="I457" s="74">
        <f t="shared" si="97"/>
      </c>
      <c r="J457" s="74">
        <f t="shared" si="100"/>
      </c>
      <c r="K457" s="80" t="s">
        <v>280</v>
      </c>
      <c r="L457" s="74">
        <f t="shared" si="101"/>
      </c>
      <c r="M457" s="74">
        <f t="shared" ca="1" si="102"/>
      </c>
      <c r="N457" s="74">
        <f ca="1">VLOOKUP(B457,$C$7:$T455,13,FALSE)</f>
      </c>
      <c r="O457" s="74">
        <f t="shared" ca="1" si="103"/>
      </c>
      <c r="P457" s="74">
        <f t="shared" ca="1" si="104"/>
      </c>
      <c r="Q457" s="74">
        <f t="shared" ca="1" si="105"/>
      </c>
      <c r="R457" s="74">
        <f t="shared" si="106"/>
      </c>
      <c r="S457" s="74">
        <f t="shared" ca="1" si="107"/>
      </c>
      <c r="T457" s="74">
        <f t="shared" si="108"/>
      </c>
    </row>
    <row r="458" spans="2:20" x14ac:dyDescent="0.3">
      <c r="B458" s="74">
        <f t="shared" ca="1" si="98"/>
      </c>
      <c r="C458" s="78">
        <f>Кабельный_журнал!P424</f>
      </c>
      <c r="D458" s="74">
        <f t="shared" ca="1" si="99"/>
      </c>
      <c r="E458" s="80" t="s">
        <v>279</v>
      </c>
      <c r="F458" s="74">
        <f t="shared" ca="1" si="95"/>
      </c>
      <c r="G458" s="74">
        <f t="shared" si="96"/>
      </c>
      <c r="H458" s="80" t="s">
        <v>272</v>
      </c>
      <c r="I458" s="74">
        <f t="shared" si="97"/>
      </c>
      <c r="J458" s="74">
        <f t="shared" si="100"/>
      </c>
      <c r="K458" s="80" t="s">
        <v>280</v>
      </c>
      <c r="L458" s="74">
        <f t="shared" si="101"/>
      </c>
      <c r="M458" s="74">
        <f t="shared" ca="1" si="102"/>
      </c>
      <c r="N458" s="74">
        <f ca="1">VLOOKUP(B458,$C$7:$T456,13,FALSE)</f>
      </c>
      <c r="O458" s="74">
        <f t="shared" ca="1" si="103"/>
      </c>
      <c r="P458" s="74">
        <f t="shared" ca="1" si="104"/>
      </c>
      <c r="Q458" s="74">
        <f t="shared" ca="1" si="105"/>
      </c>
      <c r="R458" s="74">
        <f t="shared" si="106"/>
      </c>
      <c r="S458" s="74">
        <f t="shared" ca="1" si="107"/>
      </c>
      <c r="T458" s="74">
        <f t="shared" si="108"/>
      </c>
    </row>
    <row r="459" spans="2:20" x14ac:dyDescent="0.3">
      <c r="B459" s="74">
        <f t="shared" ca="1" si="98"/>
      </c>
      <c r="C459" s="78">
        <f>Кабельный_журнал!P425</f>
      </c>
      <c r="D459" s="74">
        <f t="shared" ca="1" si="99"/>
      </c>
      <c r="E459" s="80" t="s">
        <v>279</v>
      </c>
      <c r="F459" s="74">
        <f t="shared" ca="1" si="95"/>
      </c>
      <c r="G459" s="74">
        <f t="shared" si="96"/>
      </c>
      <c r="H459" s="80" t="s">
        <v>272</v>
      </c>
      <c r="I459" s="74">
        <f t="shared" si="97"/>
      </c>
      <c r="J459" s="74">
        <f t="shared" si="100"/>
      </c>
      <c r="K459" s="80" t="s">
        <v>280</v>
      </c>
      <c r="L459" s="74">
        <f t="shared" si="101"/>
      </c>
      <c r="M459" s="74">
        <f t="shared" ca="1" si="102"/>
      </c>
      <c r="N459" s="74">
        <f ca="1">VLOOKUP(B459,$C$7:$T457,13,FALSE)</f>
      </c>
      <c r="O459" s="74">
        <f t="shared" ca="1" si="103"/>
      </c>
      <c r="P459" s="74">
        <f t="shared" ca="1" si="104"/>
      </c>
      <c r="Q459" s="74">
        <f t="shared" ca="1" si="105"/>
      </c>
      <c r="R459" s="74">
        <f t="shared" si="106"/>
      </c>
      <c r="S459" s="74">
        <f t="shared" ca="1" si="107"/>
      </c>
      <c r="T459" s="74">
        <f t="shared" si="108"/>
      </c>
    </row>
    <row r="460" spans="2:20" x14ac:dyDescent="0.3">
      <c r="B460" s="74">
        <f t="shared" ca="1" si="98"/>
      </c>
      <c r="C460" s="78">
        <f>Кабельный_журнал!P426</f>
      </c>
      <c r="D460" s="74">
        <f t="shared" ca="1" si="99"/>
      </c>
      <c r="E460" s="80" t="s">
        <v>279</v>
      </c>
      <c r="F460" s="74">
        <f t="shared" ca="1" si="95"/>
      </c>
      <c r="G460" s="74">
        <f t="shared" si="96"/>
      </c>
      <c r="H460" s="80" t="s">
        <v>272</v>
      </c>
      <c r="I460" s="74">
        <f t="shared" si="97"/>
      </c>
      <c r="J460" s="74">
        <f t="shared" si="100"/>
      </c>
      <c r="K460" s="80" t="s">
        <v>280</v>
      </c>
      <c r="L460" s="74">
        <f t="shared" si="101"/>
      </c>
      <c r="M460" s="74">
        <f t="shared" ca="1" si="102"/>
      </c>
      <c r="N460" s="74">
        <f ca="1">VLOOKUP(B460,$C$7:$T458,13,FALSE)</f>
      </c>
      <c r="O460" s="74">
        <f t="shared" ca="1" si="103"/>
      </c>
      <c r="P460" s="74">
        <f t="shared" ca="1" si="104"/>
      </c>
      <c r="Q460" s="74">
        <f t="shared" ca="1" si="105"/>
      </c>
      <c r="R460" s="74">
        <f t="shared" si="106"/>
      </c>
      <c r="S460" s="74">
        <f t="shared" ca="1" si="107"/>
      </c>
      <c r="T460" s="74">
        <f t="shared" si="108"/>
      </c>
    </row>
    <row r="461" spans="2:20" x14ac:dyDescent="0.3">
      <c r="B461" s="74">
        <f t="shared" ca="1" si="98"/>
      </c>
      <c r="C461" s="78">
        <f>Кабельный_журнал!P427</f>
      </c>
      <c r="D461" s="74">
        <f t="shared" ca="1" si="99"/>
      </c>
      <c r="E461" s="80" t="s">
        <v>279</v>
      </c>
      <c r="F461" s="74">
        <f t="shared" ca="1" si="95"/>
      </c>
      <c r="G461" s="74">
        <f t="shared" si="96"/>
      </c>
      <c r="H461" s="80" t="s">
        <v>272</v>
      </c>
      <c r="I461" s="74">
        <f t="shared" si="97"/>
      </c>
      <c r="J461" s="74">
        <f t="shared" si="100"/>
      </c>
      <c r="K461" s="80" t="s">
        <v>280</v>
      </c>
      <c r="L461" s="74">
        <f t="shared" si="101"/>
      </c>
      <c r="M461" s="74">
        <f t="shared" ca="1" si="102"/>
      </c>
      <c r="N461" s="74">
        <f ca="1">VLOOKUP(B461,$C$7:$T459,13,FALSE)</f>
      </c>
      <c r="O461" s="74">
        <f t="shared" ca="1" si="103"/>
      </c>
      <c r="P461" s="74">
        <f t="shared" ca="1" si="104"/>
      </c>
      <c r="Q461" s="74">
        <f t="shared" ca="1" si="105"/>
      </c>
      <c r="R461" s="74">
        <f t="shared" si="106"/>
      </c>
      <c r="S461" s="74">
        <f t="shared" ca="1" si="107"/>
      </c>
      <c r="T461" s="74">
        <f t="shared" si="108"/>
      </c>
    </row>
    <row r="462" spans="2:20" x14ac:dyDescent="0.3">
      <c r="B462" s="74">
        <f t="shared" ca="1" si="98"/>
      </c>
      <c r="C462" s="78">
        <f>Кабельный_журнал!P428</f>
      </c>
      <c r="D462" s="74">
        <f t="shared" ca="1" si="99"/>
      </c>
      <c r="E462" s="80" t="s">
        <v>279</v>
      </c>
      <c r="F462" s="74">
        <f t="shared" ca="1" si="95"/>
      </c>
      <c r="G462" s="74">
        <f t="shared" si="96"/>
      </c>
      <c r="H462" s="80" t="s">
        <v>272</v>
      </c>
      <c r="I462" s="74">
        <f t="shared" si="97"/>
      </c>
      <c r="J462" s="74">
        <f t="shared" si="100"/>
      </c>
      <c r="K462" s="80" t="s">
        <v>280</v>
      </c>
      <c r="L462" s="74">
        <f t="shared" si="101"/>
      </c>
      <c r="M462" s="74">
        <f t="shared" ca="1" si="102"/>
      </c>
      <c r="N462" s="74">
        <f ca="1">VLOOKUP(B462,$C$7:$T460,13,FALSE)</f>
      </c>
      <c r="O462" s="74">
        <f t="shared" ca="1" si="103"/>
      </c>
      <c r="P462" s="74">
        <f t="shared" ca="1" si="104"/>
      </c>
      <c r="Q462" s="74">
        <f t="shared" ca="1" si="105"/>
      </c>
      <c r="R462" s="74">
        <f t="shared" si="106"/>
      </c>
      <c r="S462" s="74">
        <f t="shared" ca="1" si="107"/>
      </c>
      <c r="T462" s="74">
        <f t="shared" si="108"/>
      </c>
    </row>
    <row r="463" spans="2:20" x14ac:dyDescent="0.3">
      <c r="B463" s="74">
        <f t="shared" ca="1" si="98"/>
      </c>
      <c r="C463" s="78">
        <f>Кабельный_журнал!P429</f>
      </c>
      <c r="D463" s="74">
        <f t="shared" ca="1" si="99"/>
      </c>
      <c r="E463" s="80" t="s">
        <v>279</v>
      </c>
      <c r="F463" s="74">
        <f t="shared" ca="1" si="95"/>
      </c>
      <c r="G463" s="74">
        <f t="shared" si="96"/>
      </c>
      <c r="H463" s="80" t="s">
        <v>272</v>
      </c>
      <c r="I463" s="74">
        <f t="shared" si="97"/>
      </c>
      <c r="J463" s="74">
        <f t="shared" si="100"/>
      </c>
      <c r="K463" s="80" t="s">
        <v>280</v>
      </c>
      <c r="L463" s="74">
        <f t="shared" si="101"/>
      </c>
      <c r="M463" s="74">
        <f t="shared" ca="1" si="102"/>
      </c>
      <c r="N463" s="74">
        <f ca="1">VLOOKUP(B463,$C$7:$T461,13,FALSE)</f>
      </c>
      <c r="O463" s="74">
        <f t="shared" ca="1" si="103"/>
      </c>
      <c r="P463" s="74">
        <f t="shared" ca="1" si="104"/>
      </c>
      <c r="Q463" s="74">
        <f t="shared" ca="1" si="105"/>
      </c>
      <c r="R463" s="74">
        <f t="shared" si="106"/>
      </c>
      <c r="S463" s="74">
        <f t="shared" ca="1" si="107"/>
      </c>
      <c r="T463" s="74">
        <f t="shared" si="108"/>
      </c>
    </row>
    <row r="464" spans="2:20" x14ac:dyDescent="0.3">
      <c r="B464" s="74">
        <f t="shared" ca="1" si="98"/>
      </c>
      <c r="C464" s="78">
        <f>Кабельный_журнал!P430</f>
      </c>
      <c r="D464" s="74">
        <f t="shared" ca="1" si="99"/>
      </c>
      <c r="E464" s="80" t="s">
        <v>279</v>
      </c>
      <c r="F464" s="74">
        <f t="shared" ca="1" si="95"/>
      </c>
      <c r="G464" s="74">
        <f t="shared" si="96"/>
      </c>
      <c r="H464" s="80" t="s">
        <v>272</v>
      </c>
      <c r="I464" s="74">
        <f t="shared" si="97"/>
      </c>
      <c r="J464" s="74">
        <f t="shared" si="100"/>
      </c>
      <c r="K464" s="80" t="s">
        <v>280</v>
      </c>
      <c r="L464" s="74">
        <f t="shared" si="101"/>
      </c>
      <c r="M464" s="74">
        <f t="shared" ca="1" si="102"/>
      </c>
      <c r="N464" s="74">
        <f ca="1">VLOOKUP(B464,$C$7:$T462,13,FALSE)</f>
      </c>
      <c r="O464" s="74">
        <f t="shared" ca="1" si="103"/>
      </c>
      <c r="P464" s="74">
        <f t="shared" ca="1" si="104"/>
      </c>
      <c r="Q464" s="74">
        <f t="shared" ca="1" si="105"/>
      </c>
      <c r="R464" s="74">
        <f t="shared" si="106"/>
      </c>
      <c r="S464" s="74">
        <f t="shared" ca="1" si="107"/>
      </c>
      <c r="T464" s="74">
        <f t="shared" si="108"/>
      </c>
    </row>
    <row r="465" spans="2:20" x14ac:dyDescent="0.3">
      <c r="B465" s="74">
        <f t="shared" ca="1" si="98"/>
      </c>
      <c r="C465" s="78">
        <f>Кабельный_журнал!P431</f>
      </c>
      <c r="D465" s="74">
        <f t="shared" ca="1" si="99"/>
      </c>
      <c r="E465" s="80" t="s">
        <v>279</v>
      </c>
      <c r="F465" s="74">
        <f t="shared" ca="1" si="95"/>
      </c>
      <c r="G465" s="74">
        <f t="shared" si="96"/>
      </c>
      <c r="H465" s="80" t="s">
        <v>272</v>
      </c>
      <c r="I465" s="74">
        <f t="shared" si="97"/>
      </c>
      <c r="J465" s="74">
        <f t="shared" si="100"/>
      </c>
      <c r="K465" s="80" t="s">
        <v>280</v>
      </c>
      <c r="L465" s="74">
        <f t="shared" si="101"/>
      </c>
      <c r="M465" s="74">
        <f t="shared" ca="1" si="102"/>
      </c>
      <c r="N465" s="74">
        <f ca="1">VLOOKUP(B465,$C$7:$T463,13,FALSE)</f>
      </c>
      <c r="O465" s="74">
        <f t="shared" ca="1" si="103"/>
      </c>
      <c r="P465" s="74">
        <f t="shared" ca="1" si="104"/>
      </c>
      <c r="Q465" s="74">
        <f t="shared" ca="1" si="105"/>
      </c>
      <c r="R465" s="74">
        <f t="shared" si="106"/>
      </c>
      <c r="S465" s="74">
        <f t="shared" ca="1" si="107"/>
      </c>
      <c r="T465" s="74">
        <f t="shared" si="108"/>
      </c>
    </row>
    <row r="466" spans="2:20" x14ac:dyDescent="0.3">
      <c r="B466" s="74">
        <f t="shared" ca="1" si="98"/>
      </c>
      <c r="C466" s="78">
        <f>Кабельный_журнал!P432</f>
      </c>
      <c r="D466" s="74">
        <f t="shared" ca="1" si="99"/>
      </c>
      <c r="E466" s="80" t="s">
        <v>279</v>
      </c>
      <c r="F466" s="74">
        <f t="shared" ca="1" si="95"/>
      </c>
      <c r="G466" s="74">
        <f t="shared" si="96"/>
      </c>
      <c r="H466" s="80" t="s">
        <v>272</v>
      </c>
      <c r="I466" s="74">
        <f t="shared" si="97"/>
      </c>
      <c r="J466" s="74">
        <f t="shared" si="100"/>
      </c>
      <c r="K466" s="80" t="s">
        <v>280</v>
      </c>
      <c r="L466" s="74">
        <f t="shared" si="101"/>
      </c>
      <c r="M466" s="74">
        <f t="shared" ca="1" si="102"/>
      </c>
      <c r="N466" s="74">
        <f ca="1">VLOOKUP(B466,$C$7:$T464,13,FALSE)</f>
      </c>
      <c r="O466" s="74">
        <f t="shared" ca="1" si="103"/>
      </c>
      <c r="P466" s="74">
        <f t="shared" ca="1" si="104"/>
      </c>
      <c r="Q466" s="74">
        <f t="shared" ca="1" si="105"/>
      </c>
      <c r="R466" s="74">
        <f t="shared" si="106"/>
      </c>
      <c r="S466" s="74">
        <f t="shared" ca="1" si="107"/>
      </c>
      <c r="T466" s="74">
        <f t="shared" si="108"/>
      </c>
    </row>
    <row r="467" spans="2:20" x14ac:dyDescent="0.3">
      <c r="B467" s="74">
        <f t="shared" ca="1" si="98"/>
      </c>
      <c r="C467" s="78">
        <f>Кабельный_журнал!P433</f>
      </c>
      <c r="D467" s="74">
        <f t="shared" ca="1" si="99"/>
      </c>
      <c r="E467" s="80" t="s">
        <v>279</v>
      </c>
      <c r="F467" s="74">
        <f t="shared" ca="1" si="95"/>
      </c>
      <c r="G467" s="74">
        <f t="shared" si="96"/>
      </c>
      <c r="H467" s="80" t="s">
        <v>272</v>
      </c>
      <c r="I467" s="74">
        <f t="shared" si="97"/>
      </c>
      <c r="J467" s="74">
        <f t="shared" si="100"/>
      </c>
      <c r="K467" s="80" t="s">
        <v>280</v>
      </c>
      <c r="L467" s="74">
        <f t="shared" si="101"/>
      </c>
      <c r="M467" s="74">
        <f t="shared" ca="1" si="102"/>
      </c>
      <c r="N467" s="74">
        <f ca="1">VLOOKUP(B467,$C$7:$T465,13,FALSE)</f>
      </c>
      <c r="O467" s="74">
        <f t="shared" ca="1" si="103"/>
      </c>
      <c r="P467" s="74">
        <f t="shared" ca="1" si="104"/>
      </c>
      <c r="Q467" s="74">
        <f t="shared" ca="1" si="105"/>
      </c>
      <c r="R467" s="74">
        <f t="shared" si="106"/>
      </c>
      <c r="S467" s="74">
        <f t="shared" ca="1" si="107"/>
      </c>
      <c r="T467" s="74">
        <f t="shared" si="108"/>
      </c>
    </row>
    <row r="468" spans="2:20" x14ac:dyDescent="0.3">
      <c r="B468" s="74">
        <f t="shared" ca="1" si="98"/>
      </c>
      <c r="C468" s="78">
        <f>Кабельный_журнал!P434</f>
      </c>
      <c r="D468" s="74">
        <f t="shared" ca="1" si="99"/>
      </c>
      <c r="E468" s="80" t="s">
        <v>279</v>
      </c>
      <c r="F468" s="74">
        <f t="shared" ca="1" si="95"/>
      </c>
      <c r="G468" s="74">
        <f t="shared" si="96"/>
      </c>
      <c r="H468" s="80" t="s">
        <v>272</v>
      </c>
      <c r="I468" s="74">
        <f t="shared" si="97"/>
      </c>
      <c r="J468" s="74">
        <f t="shared" si="100"/>
      </c>
      <c r="K468" s="80" t="s">
        <v>280</v>
      </c>
      <c r="L468" s="74">
        <f t="shared" si="101"/>
      </c>
      <c r="M468" s="74">
        <f t="shared" ca="1" si="102"/>
      </c>
      <c r="N468" s="74">
        <f ca="1">VLOOKUP(B468,$C$7:$T466,13,FALSE)</f>
      </c>
      <c r="O468" s="74">
        <f t="shared" ca="1" si="103"/>
      </c>
      <c r="P468" s="74">
        <f t="shared" ca="1" si="104"/>
      </c>
      <c r="Q468" s="74">
        <f t="shared" ca="1" si="105"/>
      </c>
      <c r="R468" s="74">
        <f t="shared" si="106"/>
      </c>
      <c r="S468" s="74">
        <f t="shared" ca="1" si="107"/>
      </c>
      <c r="T468" s="74">
        <f t="shared" si="108"/>
      </c>
    </row>
    <row r="469" spans="2:20" x14ac:dyDescent="0.3">
      <c r="B469" s="74">
        <f t="shared" ca="1" si="98"/>
      </c>
      <c r="C469" s="78">
        <f>Кабельный_журнал!P435</f>
      </c>
      <c r="D469" s="74">
        <f t="shared" ca="1" si="99"/>
      </c>
      <c r="E469" s="80" t="s">
        <v>279</v>
      </c>
      <c r="F469" s="74">
        <f t="shared" ca="1" si="95"/>
      </c>
      <c r="G469" s="74">
        <f t="shared" si="96"/>
      </c>
      <c r="H469" s="80" t="s">
        <v>272</v>
      </c>
      <c r="I469" s="74">
        <f t="shared" si="97"/>
      </c>
      <c r="J469" s="74">
        <f t="shared" si="100"/>
      </c>
      <c r="K469" s="80" t="s">
        <v>280</v>
      </c>
      <c r="L469" s="74">
        <f t="shared" si="101"/>
      </c>
      <c r="M469" s="74">
        <f t="shared" ca="1" si="102"/>
      </c>
      <c r="N469" s="74">
        <f ca="1">VLOOKUP(B469,$C$7:$T467,13,FALSE)</f>
      </c>
      <c r="O469" s="74">
        <f t="shared" ca="1" si="103"/>
      </c>
      <c r="P469" s="74">
        <f t="shared" ca="1" si="104"/>
      </c>
      <c r="Q469" s="74">
        <f t="shared" ca="1" si="105"/>
      </c>
      <c r="R469" s="74">
        <f t="shared" si="106"/>
      </c>
      <c r="S469" s="74">
        <f t="shared" ca="1" si="107"/>
      </c>
      <c r="T469" s="74">
        <f t="shared" si="108"/>
      </c>
    </row>
    <row r="470" spans="2:20" x14ac:dyDescent="0.3">
      <c r="B470" s="74">
        <f t="shared" ca="1" si="98"/>
      </c>
      <c r="C470" s="78">
        <f>Кабельный_журнал!P436</f>
      </c>
      <c r="D470" s="74">
        <f t="shared" ca="1" si="99"/>
      </c>
      <c r="E470" s="80" t="s">
        <v>279</v>
      </c>
      <c r="F470" s="74">
        <f t="shared" ca="1" si="95"/>
      </c>
      <c r="G470" s="74">
        <f t="shared" si="96"/>
      </c>
      <c r="H470" s="80" t="s">
        <v>272</v>
      </c>
      <c r="I470" s="74">
        <f t="shared" si="97"/>
      </c>
      <c r="J470" s="74">
        <f t="shared" si="100"/>
      </c>
      <c r="K470" s="80" t="s">
        <v>280</v>
      </c>
      <c r="L470" s="74">
        <f t="shared" si="101"/>
      </c>
      <c r="M470" s="74">
        <f t="shared" ca="1" si="102"/>
      </c>
      <c r="N470" s="74">
        <f ca="1">VLOOKUP(B470,$C$7:$T468,13,FALSE)</f>
      </c>
      <c r="O470" s="74">
        <f t="shared" ca="1" si="103"/>
      </c>
      <c r="P470" s="74">
        <f t="shared" ca="1" si="104"/>
      </c>
      <c r="Q470" s="74">
        <f t="shared" ca="1" si="105"/>
      </c>
      <c r="R470" s="74">
        <f t="shared" si="106"/>
      </c>
      <c r="S470" s="74">
        <f t="shared" ca="1" si="107"/>
      </c>
      <c r="T470" s="74">
        <f t="shared" si="108"/>
      </c>
    </row>
    <row r="471" spans="2:20" x14ac:dyDescent="0.3">
      <c r="B471" s="74">
        <f t="shared" ca="1" si="98"/>
      </c>
      <c r="C471" s="78">
        <f>Кабельный_журнал!P437</f>
      </c>
      <c r="D471" s="74">
        <f t="shared" ca="1" si="99"/>
      </c>
      <c r="E471" s="80" t="s">
        <v>279</v>
      </c>
      <c r="F471" s="74">
        <f t="shared" ca="1" si="95"/>
      </c>
      <c r="G471" s="74">
        <f t="shared" si="96"/>
      </c>
      <c r="H471" s="80" t="s">
        <v>272</v>
      </c>
      <c r="I471" s="74">
        <f t="shared" si="97"/>
      </c>
      <c r="J471" s="74">
        <f t="shared" si="100"/>
      </c>
      <c r="K471" s="80" t="s">
        <v>280</v>
      </c>
      <c r="L471" s="74">
        <f t="shared" si="101"/>
      </c>
      <c r="M471" s="74">
        <f t="shared" ca="1" si="102"/>
      </c>
      <c r="N471" s="74">
        <f ca="1">VLOOKUP(B471,$C$7:$T469,13,FALSE)</f>
      </c>
      <c r="O471" s="74">
        <f t="shared" ca="1" si="103"/>
      </c>
      <c r="P471" s="74">
        <f t="shared" ca="1" si="104"/>
      </c>
      <c r="Q471" s="74">
        <f t="shared" ca="1" si="105"/>
      </c>
      <c r="R471" s="74">
        <f t="shared" si="106"/>
      </c>
      <c r="S471" s="74">
        <f t="shared" ca="1" si="107"/>
      </c>
      <c r="T471" s="74">
        <f t="shared" si="108"/>
      </c>
    </row>
    <row r="472" spans="2:20" x14ac:dyDescent="0.3">
      <c r="B472" s="74">
        <f t="shared" ca="1" si="98"/>
      </c>
      <c r="C472" s="78">
        <f>Кабельный_журнал!P438</f>
      </c>
      <c r="D472" s="74">
        <f t="shared" ca="1" si="99"/>
      </c>
      <c r="E472" s="80" t="s">
        <v>279</v>
      </c>
      <c r="F472" s="74">
        <f t="shared" ca="1" si="95"/>
      </c>
      <c r="G472" s="74">
        <f t="shared" si="96"/>
      </c>
      <c r="H472" s="80" t="s">
        <v>272</v>
      </c>
      <c r="I472" s="74">
        <f t="shared" si="97"/>
      </c>
      <c r="J472" s="74">
        <f t="shared" si="100"/>
      </c>
      <c r="K472" s="80" t="s">
        <v>280</v>
      </c>
      <c r="L472" s="74">
        <f t="shared" si="101"/>
      </c>
      <c r="M472" s="74">
        <f t="shared" ca="1" si="102"/>
      </c>
      <c r="N472" s="74">
        <f ca="1">VLOOKUP(B472,$C$7:$T470,13,FALSE)</f>
      </c>
      <c r="O472" s="74">
        <f t="shared" ca="1" si="103"/>
      </c>
      <c r="P472" s="74">
        <f t="shared" ca="1" si="104"/>
      </c>
      <c r="Q472" s="74">
        <f t="shared" ca="1" si="105"/>
      </c>
      <c r="R472" s="74">
        <f t="shared" si="106"/>
      </c>
      <c r="S472" s="74">
        <f t="shared" ca="1" si="107"/>
      </c>
      <c r="T472" s="74">
        <f t="shared" si="108"/>
      </c>
    </row>
    <row r="473" spans="2:20" x14ac:dyDescent="0.3">
      <c r="B473" s="74">
        <f t="shared" ca="1" si="98"/>
      </c>
      <c r="C473" s="78">
        <f>Кабельный_журнал!P439</f>
      </c>
      <c r="D473" s="74">
        <f t="shared" ca="1" si="99"/>
      </c>
      <c r="E473" s="80" t="s">
        <v>279</v>
      </c>
      <c r="F473" s="74">
        <f t="shared" ca="1" si="95"/>
      </c>
      <c r="G473" s="74">
        <f t="shared" si="96"/>
      </c>
      <c r="H473" s="80" t="s">
        <v>272</v>
      </c>
      <c r="I473" s="74">
        <f t="shared" si="97"/>
      </c>
      <c r="J473" s="74">
        <f t="shared" si="100"/>
      </c>
      <c r="K473" s="80" t="s">
        <v>280</v>
      </c>
      <c r="L473" s="74">
        <f t="shared" si="101"/>
      </c>
      <c r="M473" s="74">
        <f t="shared" ca="1" si="102"/>
      </c>
      <c r="N473" s="74">
        <f ca="1">VLOOKUP(B473,$C$7:$T471,13,FALSE)</f>
      </c>
      <c r="O473" s="74">
        <f t="shared" ca="1" si="103"/>
      </c>
      <c r="P473" s="74">
        <f t="shared" ca="1" si="104"/>
      </c>
      <c r="Q473" s="74">
        <f t="shared" ca="1" si="105"/>
      </c>
      <c r="R473" s="74">
        <f t="shared" si="106"/>
      </c>
      <c r="S473" s="74">
        <f t="shared" ca="1" si="107"/>
      </c>
      <c r="T473" s="74">
        <f t="shared" si="108"/>
      </c>
    </row>
    <row r="474" spans="2:20" x14ac:dyDescent="0.3">
      <c r="B474" s="74">
        <f t="shared" ca="1" si="98"/>
      </c>
      <c r="C474" s="78">
        <f>Кабельный_журнал!P440</f>
      </c>
      <c r="D474" s="74">
        <f t="shared" ca="1" si="99"/>
      </c>
      <c r="E474" s="80" t="s">
        <v>279</v>
      </c>
      <c r="F474" s="74">
        <f t="shared" ca="1" si="95"/>
      </c>
      <c r="G474" s="74">
        <f t="shared" si="96"/>
      </c>
      <c r="H474" s="80" t="s">
        <v>272</v>
      </c>
      <c r="I474" s="74">
        <f t="shared" si="97"/>
      </c>
      <c r="J474" s="74">
        <f t="shared" si="100"/>
      </c>
      <c r="K474" s="80" t="s">
        <v>280</v>
      </c>
      <c r="L474" s="74">
        <f t="shared" si="101"/>
      </c>
      <c r="M474" s="74">
        <f t="shared" ca="1" si="102"/>
      </c>
      <c r="N474" s="74">
        <f ca="1">VLOOKUP(B474,$C$7:$T472,13,FALSE)</f>
      </c>
      <c r="O474" s="74">
        <f t="shared" ca="1" si="103"/>
      </c>
      <c r="P474" s="74">
        <f t="shared" ca="1" si="104"/>
      </c>
      <c r="Q474" s="74">
        <f t="shared" ca="1" si="105"/>
      </c>
      <c r="R474" s="74">
        <f t="shared" si="106"/>
      </c>
      <c r="S474" s="74">
        <f t="shared" ca="1" si="107"/>
      </c>
      <c r="T474" s="74">
        <f t="shared" si="108"/>
      </c>
    </row>
    <row r="475" spans="2:20" x14ac:dyDescent="0.3">
      <c r="B475" s="74">
        <f t="shared" ca="1" si="98"/>
      </c>
      <c r="C475" s="78">
        <f>Кабельный_журнал!P441</f>
      </c>
      <c r="D475" s="74">
        <f t="shared" ca="1" si="99"/>
      </c>
      <c r="E475" s="80" t="s">
        <v>279</v>
      </c>
      <c r="F475" s="74">
        <f t="shared" ca="1" si="95"/>
      </c>
      <c r="G475" s="74">
        <f t="shared" si="96"/>
      </c>
      <c r="H475" s="80" t="s">
        <v>272</v>
      </c>
      <c r="I475" s="74">
        <f t="shared" si="97"/>
      </c>
      <c r="J475" s="74">
        <f t="shared" si="100"/>
      </c>
      <c r="K475" s="80" t="s">
        <v>280</v>
      </c>
      <c r="L475" s="74">
        <f t="shared" si="101"/>
      </c>
      <c r="M475" s="74">
        <f t="shared" ca="1" si="102"/>
      </c>
      <c r="N475" s="74">
        <f ca="1">VLOOKUP(B475,$C$7:$T473,13,FALSE)</f>
      </c>
      <c r="O475" s="74">
        <f t="shared" ca="1" si="103"/>
      </c>
      <c r="P475" s="74">
        <f t="shared" ca="1" si="104"/>
      </c>
      <c r="Q475" s="74">
        <f t="shared" ca="1" si="105"/>
      </c>
      <c r="R475" s="74">
        <f t="shared" si="106"/>
      </c>
      <c r="S475" s="74">
        <f t="shared" ca="1" si="107"/>
      </c>
      <c r="T475" s="74">
        <f t="shared" si="108"/>
      </c>
    </row>
    <row r="476" spans="2:20" x14ac:dyDescent="0.3">
      <c r="B476" s="74">
        <f t="shared" ca="1" si="98"/>
      </c>
      <c r="C476" s="78">
        <f>Кабельный_журнал!P442</f>
      </c>
      <c r="D476" s="74">
        <f t="shared" ca="1" si="99"/>
      </c>
      <c r="E476" s="80" t="s">
        <v>279</v>
      </c>
      <c r="F476" s="74">
        <f t="shared" ca="1" si="95"/>
      </c>
      <c r="G476" s="74">
        <f t="shared" si="96"/>
      </c>
      <c r="H476" s="80" t="s">
        <v>272</v>
      </c>
      <c r="I476" s="74">
        <f t="shared" si="97"/>
      </c>
      <c r="J476" s="74">
        <f t="shared" si="100"/>
      </c>
      <c r="K476" s="80" t="s">
        <v>280</v>
      </c>
      <c r="L476" s="74">
        <f t="shared" si="101"/>
      </c>
      <c r="M476" s="74">
        <f t="shared" ca="1" si="102"/>
      </c>
      <c r="N476" s="74">
        <f ca="1">VLOOKUP(B476,$C$7:$T474,13,FALSE)</f>
      </c>
      <c r="O476" s="74">
        <f t="shared" ca="1" si="103"/>
      </c>
      <c r="P476" s="74">
        <f t="shared" ca="1" si="104"/>
      </c>
      <c r="Q476" s="74">
        <f t="shared" ca="1" si="105"/>
      </c>
      <c r="R476" s="74">
        <f t="shared" si="106"/>
      </c>
      <c r="S476" s="74">
        <f t="shared" ca="1" si="107"/>
      </c>
      <c r="T476" s="74">
        <f t="shared" si="108"/>
      </c>
    </row>
    <row r="477" spans="2:20" x14ac:dyDescent="0.3">
      <c r="B477" s="74">
        <f t="shared" ca="1" si="98"/>
      </c>
      <c r="C477" s="78">
        <f>Кабельный_журнал!P443</f>
      </c>
      <c r="D477" s="74">
        <f t="shared" ca="1" si="99"/>
      </c>
      <c r="E477" s="80" t="s">
        <v>279</v>
      </c>
      <c r="F477" s="74">
        <f t="shared" ca="1" si="95"/>
      </c>
      <c r="G477" s="74">
        <f t="shared" si="96"/>
      </c>
      <c r="H477" s="80" t="s">
        <v>272</v>
      </c>
      <c r="I477" s="74">
        <f t="shared" si="97"/>
      </c>
      <c r="J477" s="74">
        <f t="shared" si="100"/>
      </c>
      <c r="K477" s="80" t="s">
        <v>280</v>
      </c>
      <c r="L477" s="74">
        <f t="shared" si="101"/>
      </c>
      <c r="M477" s="74">
        <f t="shared" ca="1" si="102"/>
      </c>
      <c r="N477" s="74">
        <f ca="1">VLOOKUP(B477,$C$7:$T475,13,FALSE)</f>
      </c>
      <c r="O477" s="74">
        <f t="shared" ca="1" si="103"/>
      </c>
      <c r="P477" s="74">
        <f t="shared" ca="1" si="104"/>
      </c>
      <c r="Q477" s="74">
        <f t="shared" ca="1" si="105"/>
      </c>
      <c r="R477" s="74">
        <f t="shared" si="106"/>
      </c>
      <c r="S477" s="74">
        <f t="shared" ca="1" si="107"/>
      </c>
      <c r="T477" s="74">
        <f t="shared" si="108"/>
      </c>
    </row>
    <row r="478" spans="2:20" x14ac:dyDescent="0.3">
      <c r="B478" s="74">
        <f t="shared" ca="1" si="98"/>
      </c>
      <c r="C478" s="78">
        <f>Кабельный_журнал!P444</f>
      </c>
      <c r="D478" s="74">
        <f t="shared" ca="1" si="99"/>
      </c>
      <c r="E478" s="80" t="s">
        <v>279</v>
      </c>
      <c r="F478" s="74">
        <f t="shared" ca="1" si="95"/>
      </c>
      <c r="G478" s="74">
        <f t="shared" si="96"/>
      </c>
      <c r="H478" s="80" t="s">
        <v>272</v>
      </c>
      <c r="I478" s="74">
        <f t="shared" si="97"/>
      </c>
      <c r="J478" s="74">
        <f t="shared" si="100"/>
      </c>
      <c r="K478" s="80" t="s">
        <v>280</v>
      </c>
      <c r="L478" s="74">
        <f t="shared" si="101"/>
      </c>
      <c r="M478" s="74">
        <f t="shared" ca="1" si="102"/>
      </c>
      <c r="N478" s="74">
        <f ca="1">VLOOKUP(B478,$C$7:$T476,13,FALSE)</f>
      </c>
      <c r="O478" s="74">
        <f t="shared" ca="1" si="103"/>
      </c>
      <c r="P478" s="74">
        <f t="shared" ca="1" si="104"/>
      </c>
      <c r="Q478" s="74">
        <f t="shared" ca="1" si="105"/>
      </c>
      <c r="R478" s="74">
        <f t="shared" si="106"/>
      </c>
      <c r="S478" s="74">
        <f t="shared" ca="1" si="107"/>
      </c>
      <c r="T478" s="74">
        <f t="shared" si="108"/>
      </c>
    </row>
    <row r="479" spans="2:20" x14ac:dyDescent="0.3">
      <c r="B479" s="74">
        <f t="shared" ca="1" si="98"/>
      </c>
      <c r="C479" s="78">
        <f>Кабельный_журнал!P445</f>
      </c>
      <c r="D479" s="74">
        <f t="shared" ca="1" si="99"/>
      </c>
      <c r="E479" s="80" t="s">
        <v>279</v>
      </c>
      <c r="F479" s="74">
        <f t="shared" ca="1" si="95"/>
      </c>
      <c r="G479" s="74">
        <f t="shared" si="96"/>
      </c>
      <c r="H479" s="80" t="s">
        <v>272</v>
      </c>
      <c r="I479" s="74">
        <f t="shared" si="97"/>
      </c>
      <c r="J479" s="74">
        <f t="shared" si="100"/>
      </c>
      <c r="K479" s="80" t="s">
        <v>280</v>
      </c>
      <c r="L479" s="74">
        <f t="shared" si="101"/>
      </c>
      <c r="M479" s="74">
        <f t="shared" ca="1" si="102"/>
      </c>
      <c r="N479" s="74">
        <f ca="1">VLOOKUP(B479,$C$7:$T477,13,FALSE)</f>
      </c>
      <c r="O479" s="74">
        <f t="shared" ca="1" si="103"/>
      </c>
      <c r="P479" s="74">
        <f t="shared" ca="1" si="104"/>
      </c>
      <c r="Q479" s="74">
        <f t="shared" ca="1" si="105"/>
      </c>
      <c r="R479" s="74">
        <f t="shared" si="106"/>
      </c>
      <c r="S479" s="74">
        <f t="shared" ca="1" si="107"/>
      </c>
      <c r="T479" s="74">
        <f t="shared" si="108"/>
      </c>
    </row>
    <row r="480" spans="2:20" x14ac:dyDescent="0.3">
      <c r="B480" s="74">
        <f t="shared" ca="1" si="98"/>
      </c>
      <c r="C480" s="78">
        <f>Кабельный_журнал!P446</f>
      </c>
      <c r="D480" s="74">
        <f t="shared" ca="1" si="99"/>
      </c>
      <c r="E480" s="80" t="s">
        <v>279</v>
      </c>
      <c r="F480" s="74">
        <f t="shared" ca="1" si="95"/>
      </c>
      <c r="G480" s="74">
        <f t="shared" si="96"/>
      </c>
      <c r="H480" s="80" t="s">
        <v>272</v>
      </c>
      <c r="I480" s="74">
        <f t="shared" si="97"/>
      </c>
      <c r="J480" s="74">
        <f t="shared" si="100"/>
      </c>
      <c r="K480" s="80" t="s">
        <v>280</v>
      </c>
      <c r="L480" s="74">
        <f t="shared" si="101"/>
      </c>
      <c r="M480" s="74">
        <f t="shared" ca="1" si="102"/>
      </c>
      <c r="N480" s="74">
        <f ca="1">VLOOKUP(B480,$C$7:$T478,13,FALSE)</f>
      </c>
      <c r="O480" s="74">
        <f t="shared" ca="1" si="103"/>
      </c>
      <c r="P480" s="74">
        <f t="shared" ca="1" si="104"/>
      </c>
      <c r="Q480" s="74">
        <f t="shared" ca="1" si="105"/>
      </c>
      <c r="R480" s="74">
        <f t="shared" si="106"/>
      </c>
      <c r="S480" s="74">
        <f t="shared" ca="1" si="107"/>
      </c>
      <c r="T480" s="74">
        <f t="shared" si="108"/>
      </c>
    </row>
    <row r="481" spans="2:20" x14ac:dyDescent="0.3">
      <c r="B481" s="74">
        <f t="shared" ca="1" si="98"/>
      </c>
      <c r="C481" s="78">
        <f>Кабельный_журнал!P447</f>
      </c>
      <c r="D481" s="74">
        <f t="shared" ca="1" si="99"/>
      </c>
      <c r="E481" s="80" t="s">
        <v>279</v>
      </c>
      <c r="F481" s="74">
        <f t="shared" ca="1" si="95"/>
      </c>
      <c r="G481" s="74">
        <f t="shared" si="96"/>
      </c>
      <c r="H481" s="80" t="s">
        <v>272</v>
      </c>
      <c r="I481" s="74">
        <f t="shared" si="97"/>
      </c>
      <c r="J481" s="74">
        <f t="shared" si="100"/>
      </c>
      <c r="K481" s="80" t="s">
        <v>280</v>
      </c>
      <c r="L481" s="74">
        <f t="shared" si="101"/>
      </c>
      <c r="M481" s="74">
        <f t="shared" ca="1" si="102"/>
      </c>
      <c r="N481" s="74">
        <f ca="1">VLOOKUP(B481,$C$7:$T479,13,FALSE)</f>
      </c>
      <c r="O481" s="74">
        <f t="shared" ca="1" si="103"/>
      </c>
      <c r="P481" s="74">
        <f t="shared" ca="1" si="104"/>
      </c>
      <c r="Q481" s="74">
        <f t="shared" ca="1" si="105"/>
      </c>
      <c r="R481" s="74">
        <f t="shared" si="106"/>
      </c>
      <c r="S481" s="74">
        <f t="shared" ca="1" si="107"/>
      </c>
      <c r="T481" s="74">
        <f t="shared" si="108"/>
      </c>
    </row>
    <row r="482" spans="2:20" x14ac:dyDescent="0.3">
      <c r="B482" s="74">
        <f t="shared" ca="1" si="98"/>
      </c>
      <c r="C482" s="78">
        <f>Кабельный_журнал!P448</f>
      </c>
      <c r="D482" s="74">
        <f t="shared" ca="1" si="99"/>
      </c>
      <c r="E482" s="80" t="s">
        <v>279</v>
      </c>
      <c r="F482" s="74">
        <f t="shared" ca="1" si="95"/>
      </c>
      <c r="G482" s="74">
        <f t="shared" si="96"/>
      </c>
      <c r="H482" s="80" t="s">
        <v>272</v>
      </c>
      <c r="I482" s="74">
        <f t="shared" si="97"/>
      </c>
      <c r="J482" s="74">
        <f t="shared" si="100"/>
      </c>
      <c r="K482" s="80" t="s">
        <v>280</v>
      </c>
      <c r="L482" s="74">
        <f t="shared" si="101"/>
      </c>
      <c r="M482" s="74">
        <f t="shared" ca="1" si="102"/>
      </c>
      <c r="N482" s="74">
        <f ca="1">VLOOKUP(B482,$C$7:$T480,13,FALSE)</f>
      </c>
      <c r="O482" s="74">
        <f t="shared" ca="1" si="103"/>
      </c>
      <c r="P482" s="74">
        <f t="shared" ca="1" si="104"/>
      </c>
      <c r="Q482" s="74">
        <f t="shared" ca="1" si="105"/>
      </c>
      <c r="R482" s="74">
        <f t="shared" si="106"/>
      </c>
      <c r="S482" s="74">
        <f t="shared" ca="1" si="107"/>
      </c>
      <c r="T482" s="74">
        <f t="shared" si="108"/>
      </c>
    </row>
    <row r="483" spans="2:20" x14ac:dyDescent="0.3">
      <c r="B483" s="74">
        <f t="shared" ca="1" si="98"/>
      </c>
      <c r="C483" s="78">
        <f>Кабельный_журнал!P449</f>
      </c>
      <c r="D483" s="74">
        <f t="shared" ca="1" si="99"/>
      </c>
      <c r="E483" s="80" t="s">
        <v>279</v>
      </c>
      <c r="F483" s="74">
        <f t="shared" ca="1" si="95"/>
      </c>
      <c r="G483" s="74">
        <f t="shared" si="96"/>
      </c>
      <c r="H483" s="80" t="s">
        <v>272</v>
      </c>
      <c r="I483" s="74">
        <f t="shared" si="97"/>
      </c>
      <c r="J483" s="74">
        <f t="shared" si="100"/>
      </c>
      <c r="K483" s="80" t="s">
        <v>280</v>
      </c>
      <c r="L483" s="74">
        <f t="shared" si="101"/>
      </c>
      <c r="M483" s="74">
        <f t="shared" ca="1" si="102"/>
      </c>
      <c r="N483" s="74">
        <f ca="1">VLOOKUP(B483,$C$7:$T481,13,FALSE)</f>
      </c>
      <c r="O483" s="74">
        <f t="shared" ca="1" si="103"/>
      </c>
      <c r="P483" s="74">
        <f t="shared" ca="1" si="104"/>
      </c>
      <c r="Q483" s="74">
        <f t="shared" ca="1" si="105"/>
      </c>
      <c r="R483" s="74">
        <f t="shared" si="106"/>
      </c>
      <c r="S483" s="74">
        <f t="shared" ca="1" si="107"/>
      </c>
      <c r="T483" s="74">
        <f t="shared" si="108"/>
      </c>
    </row>
    <row r="484" spans="2:20" x14ac:dyDescent="0.3">
      <c r="B484" s="74">
        <f t="shared" ca="1" si="98"/>
      </c>
      <c r="C484" s="78">
        <f>Кабельный_журнал!P450</f>
      </c>
      <c r="D484" s="74">
        <f t="shared" ca="1" si="99"/>
      </c>
      <c r="E484" s="80" t="s">
        <v>279</v>
      </c>
      <c r="F484" s="74">
        <f t="shared" ca="1" si="95"/>
      </c>
      <c r="G484" s="74">
        <f t="shared" si="96"/>
      </c>
      <c r="H484" s="80" t="s">
        <v>272</v>
      </c>
      <c r="I484" s="74">
        <f t="shared" si="97"/>
      </c>
      <c r="J484" s="74">
        <f t="shared" si="100"/>
      </c>
      <c r="K484" s="80" t="s">
        <v>280</v>
      </c>
      <c r="L484" s="74">
        <f t="shared" si="101"/>
      </c>
      <c r="M484" s="74">
        <f t="shared" ca="1" si="102"/>
      </c>
      <c r="N484" s="74">
        <f ca="1">VLOOKUP(B484,$C$7:$T482,13,FALSE)</f>
      </c>
      <c r="O484" s="74">
        <f t="shared" ca="1" si="103"/>
      </c>
      <c r="P484" s="74">
        <f t="shared" ca="1" si="104"/>
      </c>
      <c r="Q484" s="74">
        <f t="shared" ca="1" si="105"/>
      </c>
      <c r="R484" s="74">
        <f t="shared" si="106"/>
      </c>
      <c r="S484" s="74">
        <f t="shared" ca="1" si="107"/>
      </c>
      <c r="T484" s="74">
        <f t="shared" si="108"/>
      </c>
    </row>
    <row r="485" spans="2:20" x14ac:dyDescent="0.3">
      <c r="B485" s="74">
        <f t="shared" ca="1" si="98"/>
      </c>
      <c r="C485" s="78">
        <f>Кабельный_журнал!P451</f>
      </c>
      <c r="D485" s="74">
        <f t="shared" ca="1" si="99"/>
      </c>
      <c r="E485" s="80" t="s">
        <v>279</v>
      </c>
      <c r="F485" s="74">
        <f t="shared" ca="1" si="95"/>
      </c>
      <c r="G485" s="74">
        <f t="shared" si="96"/>
      </c>
      <c r="H485" s="80" t="s">
        <v>272</v>
      </c>
      <c r="I485" s="74">
        <f t="shared" si="97"/>
      </c>
      <c r="J485" s="74">
        <f t="shared" si="100"/>
      </c>
      <c r="K485" s="80" t="s">
        <v>280</v>
      </c>
      <c r="L485" s="74">
        <f t="shared" si="101"/>
      </c>
      <c r="M485" s="74">
        <f t="shared" ca="1" si="102"/>
      </c>
      <c r="N485" s="74">
        <f ca="1">VLOOKUP(B485,$C$7:$T483,13,FALSE)</f>
      </c>
      <c r="O485" s="74">
        <f t="shared" ca="1" si="103"/>
      </c>
      <c r="P485" s="74">
        <f t="shared" ca="1" si="104"/>
      </c>
      <c r="Q485" s="74">
        <f t="shared" ca="1" si="105"/>
      </c>
      <c r="R485" s="74">
        <f t="shared" si="106"/>
      </c>
      <c r="S485" s="74">
        <f t="shared" ca="1" si="107"/>
      </c>
      <c r="T485" s="74">
        <f t="shared" si="108"/>
      </c>
    </row>
    <row r="486" spans="2:20" x14ac:dyDescent="0.3">
      <c r="B486" s="74">
        <f t="shared" ca="1" si="98"/>
      </c>
      <c r="C486" s="78">
        <f>Кабельный_журнал!P452</f>
      </c>
      <c r="D486" s="74">
        <f t="shared" ca="1" si="99"/>
      </c>
      <c r="E486" s="80" t="s">
        <v>279</v>
      </c>
      <c r="F486" s="74">
        <f t="shared" ca="1" si="95"/>
      </c>
      <c r="G486" s="74">
        <f t="shared" si="96"/>
      </c>
      <c r="H486" s="80" t="s">
        <v>272</v>
      </c>
      <c r="I486" s="74">
        <f t="shared" si="97"/>
      </c>
      <c r="J486" s="74">
        <f t="shared" si="100"/>
      </c>
      <c r="K486" s="80" t="s">
        <v>280</v>
      </c>
      <c r="L486" s="74">
        <f t="shared" si="101"/>
      </c>
      <c r="M486" s="74">
        <f t="shared" ca="1" si="102"/>
      </c>
      <c r="N486" s="74">
        <f ca="1">VLOOKUP(B486,$C$7:$T484,13,FALSE)</f>
      </c>
      <c r="O486" s="74">
        <f t="shared" ca="1" si="103"/>
      </c>
      <c r="P486" s="74">
        <f t="shared" ca="1" si="104"/>
      </c>
      <c r="Q486" s="74">
        <f t="shared" ca="1" si="105"/>
      </c>
      <c r="R486" s="74">
        <f t="shared" si="106"/>
      </c>
      <c r="S486" s="74">
        <f t="shared" ca="1" si="107"/>
      </c>
      <c r="T486" s="74">
        <f t="shared" si="108"/>
      </c>
    </row>
    <row r="487" spans="2:20" x14ac:dyDescent="0.3">
      <c r="B487" s="74">
        <f t="shared" ca="1" si="98"/>
      </c>
      <c r="C487" s="78">
        <f>Кабельный_журнал!P453</f>
      </c>
      <c r="D487" s="74">
        <f t="shared" ca="1" si="99"/>
      </c>
      <c r="E487" s="80" t="s">
        <v>279</v>
      </c>
      <c r="F487" s="74">
        <f t="shared" ref="F487:F550" ca="1" si="109">VLOOKUP(C487,Кабельный_журнал,8,FALSE)</f>
      </c>
      <c r="G487" s="74">
        <f t="shared" ref="G487:G550" si="110">VLOOKUP(C487,Исходные_данные,21,FALSE)</f>
      </c>
      <c r="H487" s="80" t="s">
        <v>272</v>
      </c>
      <c r="I487" s="74">
        <f t="shared" ref="I487:I550" si="111">VLOOKUP(C487,Исходные_данные,22,FALSE)</f>
      </c>
      <c r="J487" s="74">
        <f t="shared" si="100"/>
      </c>
      <c r="K487" s="80" t="s">
        <v>280</v>
      </c>
      <c r="L487" s="74">
        <f t="shared" si="101"/>
      </c>
      <c r="M487" s="74">
        <f t="shared" ca="1" si="102"/>
      </c>
      <c r="N487" s="74">
        <f ca="1">VLOOKUP(B487,$C$7:$T485,13,FALSE)</f>
      </c>
      <c r="O487" s="74">
        <f t="shared" ca="1" si="103"/>
      </c>
      <c r="P487" s="74">
        <f t="shared" ca="1" si="104"/>
      </c>
      <c r="Q487" s="74">
        <f t="shared" ca="1" si="105"/>
      </c>
      <c r="R487" s="74">
        <f t="shared" si="106"/>
      </c>
      <c r="S487" s="74">
        <f t="shared" ca="1" si="107"/>
      </c>
      <c r="T487" s="74">
        <f t="shared" si="108"/>
      </c>
    </row>
    <row r="488" spans="2:20" x14ac:dyDescent="0.3">
      <c r="B488" s="74">
        <f t="shared" ref="B488:B551" ca="1" si="112">VLOOKUP(C488,Кабельный_журнал,2,FALSE)</f>
      </c>
      <c r="C488" s="78">
        <f>Кабельный_журнал!P454</f>
      </c>
      <c r="D488" s="74">
        <f t="shared" ref="D488:D551" ca="1" si="113">B488&amp;"-"&amp;C488</f>
      </c>
      <c r="E488" s="80" t="s">
        <v>279</v>
      </c>
      <c r="F488" s="74">
        <f t="shared" ca="1" si="109"/>
      </c>
      <c r="G488" s="74">
        <f t="shared" si="110"/>
      </c>
      <c r="H488" s="80" t="s">
        <v>272</v>
      </c>
      <c r="I488" s="74">
        <f t="shared" si="111"/>
      </c>
      <c r="J488" s="74">
        <f t="shared" ref="J488:J551" si="114">I488</f>
      </c>
      <c r="K488" s="80" t="s">
        <v>280</v>
      </c>
      <c r="L488" s="74">
        <f t="shared" ref="L488:L551" si="115">VLOOKUP(K488,$K$2:$L$3,2,FALSE)</f>
      </c>
      <c r="M488" s="74">
        <f t="shared" ref="M488:M551" ca="1" si="116">L488*F488*(1/I488+1/J488)</f>
      </c>
      <c r="N488" s="74">
        <f ca="1">VLOOKUP(B488,$C$7:$T486,13,FALSE)</f>
      </c>
      <c r="O488" s="74">
        <f t="shared" ref="O488:O551" ca="1" si="117">L488+M488</f>
      </c>
      <c r="P488" s="74">
        <f t="shared" ref="P488:P551" ca="1" si="118">220/O488</f>
      </c>
      <c r="Q488" s="74">
        <f t="shared" ref="Q488:Q551" ca="1" si="119">O488/G488</f>
      </c>
      <c r="R488" s="74">
        <f t="shared" ref="R488:R551" si="120">VLOOKUP(H488,$W$2:$Y$12,3,FALSE)</f>
      </c>
      <c r="S488" s="74">
        <f t="shared" ref="S488:S551" ca="1" si="121">_xlfn.IFS(E488="щит",IF(P488&gt;R488,"Увел сеч",IF(T488&gt;P488,"Увел сеч","tср&lt;5с")),E488="потреб",IF(P488&gt;R488,"Увел сеч",IF(T488&gt;P488,"Увел сеч","tср&lt;0.4с")))</f>
      </c>
      <c r="T488" s="74">
        <f t="shared" ref="T488:T551" si="122">G488*VLOOKUP(H488,$W$2:$Y$12,2,FALSE)</f>
      </c>
    </row>
    <row r="489" spans="2:20" x14ac:dyDescent="0.3">
      <c r="B489" s="74">
        <f t="shared" ca="1" si="112"/>
      </c>
      <c r="C489" s="78">
        <f>Кабельный_журнал!P455</f>
      </c>
      <c r="D489" s="74">
        <f t="shared" ca="1" si="113"/>
      </c>
      <c r="E489" s="80" t="s">
        <v>279</v>
      </c>
      <c r="F489" s="74">
        <f t="shared" ca="1" si="109"/>
      </c>
      <c r="G489" s="74">
        <f t="shared" si="110"/>
      </c>
      <c r="H489" s="80" t="s">
        <v>272</v>
      </c>
      <c r="I489" s="74">
        <f t="shared" si="111"/>
      </c>
      <c r="J489" s="74">
        <f t="shared" si="114"/>
      </c>
      <c r="K489" s="80" t="s">
        <v>280</v>
      </c>
      <c r="L489" s="74">
        <f t="shared" si="115"/>
      </c>
      <c r="M489" s="74">
        <f t="shared" ca="1" si="116"/>
      </c>
      <c r="N489" s="74">
        <f ca="1">VLOOKUP(B489,$C$7:$T487,13,FALSE)</f>
      </c>
      <c r="O489" s="74">
        <f t="shared" ca="1" si="117"/>
      </c>
      <c r="P489" s="74">
        <f t="shared" ca="1" si="118"/>
      </c>
      <c r="Q489" s="74">
        <f t="shared" ca="1" si="119"/>
      </c>
      <c r="R489" s="74">
        <f t="shared" si="120"/>
      </c>
      <c r="S489" s="74">
        <f t="shared" ca="1" si="121"/>
      </c>
      <c r="T489" s="74">
        <f t="shared" si="122"/>
      </c>
    </row>
    <row r="490" spans="2:20" x14ac:dyDescent="0.3">
      <c r="B490" s="74">
        <f t="shared" ca="1" si="112"/>
      </c>
      <c r="C490" s="78">
        <f>Кабельный_журнал!P456</f>
      </c>
      <c r="D490" s="74">
        <f t="shared" ca="1" si="113"/>
      </c>
      <c r="E490" s="80" t="s">
        <v>279</v>
      </c>
      <c r="F490" s="74">
        <f t="shared" ca="1" si="109"/>
      </c>
      <c r="G490" s="74">
        <f t="shared" si="110"/>
      </c>
      <c r="H490" s="80" t="s">
        <v>272</v>
      </c>
      <c r="I490" s="74">
        <f t="shared" si="111"/>
      </c>
      <c r="J490" s="74">
        <f t="shared" si="114"/>
      </c>
      <c r="K490" s="80" t="s">
        <v>280</v>
      </c>
      <c r="L490" s="74">
        <f t="shared" si="115"/>
      </c>
      <c r="M490" s="74">
        <f t="shared" ca="1" si="116"/>
      </c>
      <c r="N490" s="74">
        <f ca="1">VLOOKUP(B490,$C$7:$T488,13,FALSE)</f>
      </c>
      <c r="O490" s="74">
        <f t="shared" ca="1" si="117"/>
      </c>
      <c r="P490" s="74">
        <f t="shared" ca="1" si="118"/>
      </c>
      <c r="Q490" s="74">
        <f t="shared" ca="1" si="119"/>
      </c>
      <c r="R490" s="74">
        <f t="shared" si="120"/>
      </c>
      <c r="S490" s="74">
        <f t="shared" ca="1" si="121"/>
      </c>
      <c r="T490" s="74">
        <f t="shared" si="122"/>
      </c>
    </row>
    <row r="491" spans="2:20" x14ac:dyDescent="0.3">
      <c r="B491" s="74">
        <f t="shared" ca="1" si="112"/>
      </c>
      <c r="C491" s="78">
        <f>Кабельный_журнал!P457</f>
      </c>
      <c r="D491" s="74">
        <f t="shared" ca="1" si="113"/>
      </c>
      <c r="E491" s="80" t="s">
        <v>279</v>
      </c>
      <c r="F491" s="74">
        <f t="shared" ca="1" si="109"/>
      </c>
      <c r="G491" s="74">
        <f t="shared" si="110"/>
      </c>
      <c r="H491" s="80" t="s">
        <v>272</v>
      </c>
      <c r="I491" s="74">
        <f t="shared" si="111"/>
      </c>
      <c r="J491" s="74">
        <f t="shared" si="114"/>
      </c>
      <c r="K491" s="80" t="s">
        <v>280</v>
      </c>
      <c r="L491" s="74">
        <f t="shared" si="115"/>
      </c>
      <c r="M491" s="74">
        <f t="shared" ca="1" si="116"/>
      </c>
      <c r="N491" s="74">
        <f ca="1">VLOOKUP(B491,$C$7:$T489,13,FALSE)</f>
      </c>
      <c r="O491" s="74">
        <f t="shared" ca="1" si="117"/>
      </c>
      <c r="P491" s="74">
        <f t="shared" ca="1" si="118"/>
      </c>
      <c r="Q491" s="74">
        <f t="shared" ca="1" si="119"/>
      </c>
      <c r="R491" s="74">
        <f t="shared" si="120"/>
      </c>
      <c r="S491" s="74">
        <f t="shared" ca="1" si="121"/>
      </c>
      <c r="T491" s="74">
        <f t="shared" si="122"/>
      </c>
    </row>
    <row r="492" spans="2:20" x14ac:dyDescent="0.3">
      <c r="B492" s="74">
        <f t="shared" ca="1" si="112"/>
      </c>
      <c r="C492" s="78">
        <f>Кабельный_журнал!P458</f>
      </c>
      <c r="D492" s="74">
        <f t="shared" ca="1" si="113"/>
      </c>
      <c r="E492" s="80" t="s">
        <v>279</v>
      </c>
      <c r="F492" s="74">
        <f t="shared" ca="1" si="109"/>
      </c>
      <c r="G492" s="74">
        <f t="shared" si="110"/>
      </c>
      <c r="H492" s="80" t="s">
        <v>272</v>
      </c>
      <c r="I492" s="74">
        <f t="shared" si="111"/>
      </c>
      <c r="J492" s="74">
        <f t="shared" si="114"/>
      </c>
      <c r="K492" s="80" t="s">
        <v>280</v>
      </c>
      <c r="L492" s="74">
        <f t="shared" si="115"/>
      </c>
      <c r="M492" s="74">
        <f t="shared" ca="1" si="116"/>
      </c>
      <c r="N492" s="74">
        <f ca="1">VLOOKUP(B492,$C$7:$T490,13,FALSE)</f>
      </c>
      <c r="O492" s="74">
        <f t="shared" ca="1" si="117"/>
      </c>
      <c r="P492" s="74">
        <f t="shared" ca="1" si="118"/>
      </c>
      <c r="Q492" s="74">
        <f t="shared" ca="1" si="119"/>
      </c>
      <c r="R492" s="74">
        <f t="shared" si="120"/>
      </c>
      <c r="S492" s="74">
        <f t="shared" ca="1" si="121"/>
      </c>
      <c r="T492" s="74">
        <f t="shared" si="122"/>
      </c>
    </row>
    <row r="493" spans="2:20" x14ac:dyDescent="0.3">
      <c r="B493" s="74">
        <f t="shared" ca="1" si="112"/>
      </c>
      <c r="C493" s="78">
        <f>Кабельный_журнал!P459</f>
      </c>
      <c r="D493" s="74">
        <f t="shared" ca="1" si="113"/>
      </c>
      <c r="E493" s="80" t="s">
        <v>279</v>
      </c>
      <c r="F493" s="74">
        <f t="shared" ca="1" si="109"/>
      </c>
      <c r="G493" s="74">
        <f t="shared" si="110"/>
      </c>
      <c r="H493" s="80" t="s">
        <v>272</v>
      </c>
      <c r="I493" s="74">
        <f t="shared" si="111"/>
      </c>
      <c r="J493" s="74">
        <f t="shared" si="114"/>
      </c>
      <c r="K493" s="80" t="s">
        <v>280</v>
      </c>
      <c r="L493" s="74">
        <f t="shared" si="115"/>
      </c>
      <c r="M493" s="74">
        <f t="shared" ca="1" si="116"/>
      </c>
      <c r="N493" s="74">
        <f ca="1">VLOOKUP(B493,$C$7:$T491,13,FALSE)</f>
      </c>
      <c r="O493" s="74">
        <f t="shared" ca="1" si="117"/>
      </c>
      <c r="P493" s="74">
        <f t="shared" ca="1" si="118"/>
      </c>
      <c r="Q493" s="74">
        <f t="shared" ca="1" si="119"/>
      </c>
      <c r="R493" s="74">
        <f t="shared" si="120"/>
      </c>
      <c r="S493" s="74">
        <f t="shared" ca="1" si="121"/>
      </c>
      <c r="T493" s="74">
        <f t="shared" si="122"/>
      </c>
    </row>
    <row r="494" spans="2:20" x14ac:dyDescent="0.3">
      <c r="B494" s="74">
        <f t="shared" ca="1" si="112"/>
      </c>
      <c r="C494" s="78">
        <f>Кабельный_журнал!P460</f>
      </c>
      <c r="D494" s="74">
        <f t="shared" ca="1" si="113"/>
      </c>
      <c r="E494" s="80" t="s">
        <v>279</v>
      </c>
      <c r="F494" s="74">
        <f t="shared" ca="1" si="109"/>
      </c>
      <c r="G494" s="74">
        <f t="shared" si="110"/>
      </c>
      <c r="H494" s="80" t="s">
        <v>272</v>
      </c>
      <c r="I494" s="74">
        <f t="shared" si="111"/>
      </c>
      <c r="J494" s="74">
        <f t="shared" si="114"/>
      </c>
      <c r="K494" s="80" t="s">
        <v>280</v>
      </c>
      <c r="L494" s="74">
        <f t="shared" si="115"/>
      </c>
      <c r="M494" s="74">
        <f t="shared" ca="1" si="116"/>
      </c>
      <c r="N494" s="74">
        <f ca="1">VLOOKUP(B494,$C$7:$T492,13,FALSE)</f>
      </c>
      <c r="O494" s="74">
        <f t="shared" ca="1" si="117"/>
      </c>
      <c r="P494" s="74">
        <f t="shared" ca="1" si="118"/>
      </c>
      <c r="Q494" s="74">
        <f t="shared" ca="1" si="119"/>
      </c>
      <c r="R494" s="74">
        <f t="shared" si="120"/>
      </c>
      <c r="S494" s="74">
        <f t="shared" ca="1" si="121"/>
      </c>
      <c r="T494" s="74">
        <f t="shared" si="122"/>
      </c>
    </row>
    <row r="495" spans="2:20" x14ac:dyDescent="0.3">
      <c r="B495" s="74">
        <f t="shared" ca="1" si="112"/>
      </c>
      <c r="C495" s="78">
        <f>Кабельный_журнал!P461</f>
      </c>
      <c r="D495" s="74">
        <f t="shared" ca="1" si="113"/>
      </c>
      <c r="E495" s="80" t="s">
        <v>279</v>
      </c>
      <c r="F495" s="74">
        <f t="shared" ca="1" si="109"/>
      </c>
      <c r="G495" s="74">
        <f t="shared" si="110"/>
      </c>
      <c r="H495" s="80" t="s">
        <v>272</v>
      </c>
      <c r="I495" s="74">
        <f t="shared" si="111"/>
      </c>
      <c r="J495" s="74">
        <f t="shared" si="114"/>
      </c>
      <c r="K495" s="80" t="s">
        <v>280</v>
      </c>
      <c r="L495" s="74">
        <f t="shared" si="115"/>
      </c>
      <c r="M495" s="74">
        <f t="shared" ca="1" si="116"/>
      </c>
      <c r="N495" s="74">
        <f ca="1">VLOOKUP(B495,$C$7:$T493,13,FALSE)</f>
      </c>
      <c r="O495" s="74">
        <f t="shared" ca="1" si="117"/>
      </c>
      <c r="P495" s="74">
        <f t="shared" ca="1" si="118"/>
      </c>
      <c r="Q495" s="74">
        <f t="shared" ca="1" si="119"/>
      </c>
      <c r="R495" s="74">
        <f t="shared" si="120"/>
      </c>
      <c r="S495" s="74">
        <f t="shared" ca="1" si="121"/>
      </c>
      <c r="T495" s="74">
        <f t="shared" si="122"/>
      </c>
    </row>
    <row r="496" spans="2:20" x14ac:dyDescent="0.3">
      <c r="B496" s="74">
        <f t="shared" ca="1" si="112"/>
      </c>
      <c r="C496" s="78">
        <f>Кабельный_журнал!P462</f>
      </c>
      <c r="D496" s="74">
        <f t="shared" ca="1" si="113"/>
      </c>
      <c r="E496" s="80" t="s">
        <v>279</v>
      </c>
      <c r="F496" s="74">
        <f t="shared" ca="1" si="109"/>
      </c>
      <c r="G496" s="74">
        <f t="shared" si="110"/>
      </c>
      <c r="H496" s="80" t="s">
        <v>272</v>
      </c>
      <c r="I496" s="74">
        <f t="shared" si="111"/>
      </c>
      <c r="J496" s="74">
        <f t="shared" si="114"/>
      </c>
      <c r="K496" s="80" t="s">
        <v>280</v>
      </c>
      <c r="L496" s="74">
        <f t="shared" si="115"/>
      </c>
      <c r="M496" s="74">
        <f t="shared" ca="1" si="116"/>
      </c>
      <c r="N496" s="74">
        <f ca="1">VLOOKUP(B496,$C$7:$T494,13,FALSE)</f>
      </c>
      <c r="O496" s="74">
        <f t="shared" ca="1" si="117"/>
      </c>
      <c r="P496" s="74">
        <f t="shared" ca="1" si="118"/>
      </c>
      <c r="Q496" s="74">
        <f t="shared" ca="1" si="119"/>
      </c>
      <c r="R496" s="74">
        <f t="shared" si="120"/>
      </c>
      <c r="S496" s="74">
        <f t="shared" ca="1" si="121"/>
      </c>
      <c r="T496" s="74">
        <f t="shared" si="122"/>
      </c>
    </row>
    <row r="497" spans="2:20" x14ac:dyDescent="0.3">
      <c r="B497" s="74">
        <f t="shared" ca="1" si="112"/>
      </c>
      <c r="C497" s="78">
        <f>Кабельный_журнал!P463</f>
      </c>
      <c r="D497" s="74">
        <f t="shared" ca="1" si="113"/>
      </c>
      <c r="E497" s="80" t="s">
        <v>279</v>
      </c>
      <c r="F497" s="74">
        <f t="shared" ca="1" si="109"/>
      </c>
      <c r="G497" s="74">
        <f t="shared" si="110"/>
      </c>
      <c r="H497" s="80" t="s">
        <v>272</v>
      </c>
      <c r="I497" s="74">
        <f t="shared" si="111"/>
      </c>
      <c r="J497" s="74">
        <f t="shared" si="114"/>
      </c>
      <c r="K497" s="80" t="s">
        <v>280</v>
      </c>
      <c r="L497" s="74">
        <f t="shared" si="115"/>
      </c>
      <c r="M497" s="74">
        <f t="shared" ca="1" si="116"/>
      </c>
      <c r="N497" s="74">
        <f ca="1">VLOOKUP(B497,$C$7:$T495,13,FALSE)</f>
      </c>
      <c r="O497" s="74">
        <f t="shared" ca="1" si="117"/>
      </c>
      <c r="P497" s="74">
        <f t="shared" ca="1" si="118"/>
      </c>
      <c r="Q497" s="74">
        <f t="shared" ca="1" si="119"/>
      </c>
      <c r="R497" s="74">
        <f t="shared" si="120"/>
      </c>
      <c r="S497" s="74">
        <f t="shared" ca="1" si="121"/>
      </c>
      <c r="T497" s="74">
        <f t="shared" si="122"/>
      </c>
    </row>
    <row r="498" spans="2:20" x14ac:dyDescent="0.3">
      <c r="B498" s="74">
        <f t="shared" ca="1" si="112"/>
      </c>
      <c r="C498" s="78">
        <f>Кабельный_журнал!P464</f>
      </c>
      <c r="D498" s="74">
        <f t="shared" ca="1" si="113"/>
      </c>
      <c r="E498" s="80" t="s">
        <v>279</v>
      </c>
      <c r="F498" s="74">
        <f t="shared" ca="1" si="109"/>
      </c>
      <c r="G498" s="74">
        <f t="shared" si="110"/>
      </c>
      <c r="H498" s="80" t="s">
        <v>272</v>
      </c>
      <c r="I498" s="74">
        <f t="shared" si="111"/>
      </c>
      <c r="J498" s="74">
        <f t="shared" si="114"/>
      </c>
      <c r="K498" s="80" t="s">
        <v>280</v>
      </c>
      <c r="L498" s="74">
        <f t="shared" si="115"/>
      </c>
      <c r="M498" s="74">
        <f t="shared" ca="1" si="116"/>
      </c>
      <c r="N498" s="74">
        <f ca="1">VLOOKUP(B498,$C$7:$T496,13,FALSE)</f>
      </c>
      <c r="O498" s="74">
        <f t="shared" ca="1" si="117"/>
      </c>
      <c r="P498" s="74">
        <f t="shared" ca="1" si="118"/>
      </c>
      <c r="Q498" s="74">
        <f t="shared" ca="1" si="119"/>
      </c>
      <c r="R498" s="74">
        <f t="shared" si="120"/>
      </c>
      <c r="S498" s="74">
        <f t="shared" ca="1" si="121"/>
      </c>
      <c r="T498" s="74">
        <f t="shared" si="122"/>
      </c>
    </row>
    <row r="499" spans="2:20" x14ac:dyDescent="0.3">
      <c r="B499" s="74">
        <f t="shared" ca="1" si="112"/>
      </c>
      <c r="C499" s="78">
        <f>Кабельный_журнал!P465</f>
      </c>
      <c r="D499" s="74">
        <f t="shared" ca="1" si="113"/>
      </c>
      <c r="E499" s="80" t="s">
        <v>279</v>
      </c>
      <c r="F499" s="74">
        <f t="shared" ca="1" si="109"/>
      </c>
      <c r="G499" s="74">
        <f t="shared" si="110"/>
      </c>
      <c r="H499" s="80" t="s">
        <v>272</v>
      </c>
      <c r="I499" s="74">
        <f t="shared" si="111"/>
      </c>
      <c r="J499" s="74">
        <f t="shared" si="114"/>
      </c>
      <c r="K499" s="80" t="s">
        <v>280</v>
      </c>
      <c r="L499" s="74">
        <f t="shared" si="115"/>
      </c>
      <c r="M499" s="74">
        <f t="shared" ca="1" si="116"/>
      </c>
      <c r="N499" s="74">
        <f ca="1">VLOOKUP(B499,$C$7:$T497,13,FALSE)</f>
      </c>
      <c r="O499" s="74">
        <f t="shared" ca="1" si="117"/>
      </c>
      <c r="P499" s="74">
        <f t="shared" ca="1" si="118"/>
      </c>
      <c r="Q499" s="74">
        <f t="shared" ca="1" si="119"/>
      </c>
      <c r="R499" s="74">
        <f t="shared" si="120"/>
      </c>
      <c r="S499" s="74">
        <f t="shared" ca="1" si="121"/>
      </c>
      <c r="T499" s="74">
        <f t="shared" si="122"/>
      </c>
    </row>
    <row r="500" spans="2:20" x14ac:dyDescent="0.3">
      <c r="B500" s="74">
        <f t="shared" ca="1" si="112"/>
      </c>
      <c r="C500" s="78">
        <f>Кабельный_журнал!P466</f>
      </c>
      <c r="D500" s="74">
        <f t="shared" ca="1" si="113"/>
      </c>
      <c r="E500" s="80" t="s">
        <v>279</v>
      </c>
      <c r="F500" s="74">
        <f t="shared" ca="1" si="109"/>
      </c>
      <c r="G500" s="74">
        <f t="shared" si="110"/>
      </c>
      <c r="H500" s="80" t="s">
        <v>272</v>
      </c>
      <c r="I500" s="74">
        <f t="shared" si="111"/>
      </c>
      <c r="J500" s="74">
        <f t="shared" si="114"/>
      </c>
      <c r="K500" s="80" t="s">
        <v>280</v>
      </c>
      <c r="L500" s="74">
        <f t="shared" si="115"/>
      </c>
      <c r="M500" s="74">
        <f t="shared" ca="1" si="116"/>
      </c>
      <c r="N500" s="74">
        <f ca="1">VLOOKUP(B500,$C$7:$T498,13,FALSE)</f>
      </c>
      <c r="O500" s="74">
        <f t="shared" ca="1" si="117"/>
      </c>
      <c r="P500" s="74">
        <f t="shared" ca="1" si="118"/>
      </c>
      <c r="Q500" s="74">
        <f t="shared" ca="1" si="119"/>
      </c>
      <c r="R500" s="74">
        <f t="shared" si="120"/>
      </c>
      <c r="S500" s="74">
        <f t="shared" ca="1" si="121"/>
      </c>
      <c r="T500" s="74">
        <f t="shared" si="122"/>
      </c>
    </row>
    <row r="501" spans="2:20" x14ac:dyDescent="0.3">
      <c r="B501" s="74">
        <f t="shared" ca="1" si="112"/>
      </c>
      <c r="C501" s="78">
        <f>Кабельный_журнал!P467</f>
      </c>
      <c r="D501" s="74">
        <f t="shared" ca="1" si="113"/>
      </c>
      <c r="E501" s="80" t="s">
        <v>279</v>
      </c>
      <c r="F501" s="74">
        <f t="shared" ca="1" si="109"/>
      </c>
      <c r="G501" s="74">
        <f t="shared" si="110"/>
      </c>
      <c r="H501" s="80" t="s">
        <v>272</v>
      </c>
      <c r="I501" s="74">
        <f t="shared" si="111"/>
      </c>
      <c r="J501" s="74">
        <f t="shared" si="114"/>
      </c>
      <c r="K501" s="80" t="s">
        <v>280</v>
      </c>
      <c r="L501" s="74">
        <f t="shared" si="115"/>
      </c>
      <c r="M501" s="74">
        <f t="shared" ca="1" si="116"/>
      </c>
      <c r="N501" s="74">
        <f ca="1">VLOOKUP(B501,$C$7:$T499,13,FALSE)</f>
      </c>
      <c r="O501" s="74">
        <f t="shared" ca="1" si="117"/>
      </c>
      <c r="P501" s="74">
        <f t="shared" ca="1" si="118"/>
      </c>
      <c r="Q501" s="74">
        <f t="shared" ca="1" si="119"/>
      </c>
      <c r="R501" s="74">
        <f t="shared" si="120"/>
      </c>
      <c r="S501" s="74">
        <f t="shared" ca="1" si="121"/>
      </c>
      <c r="T501" s="74">
        <f t="shared" si="122"/>
      </c>
    </row>
    <row r="502" spans="2:20" x14ac:dyDescent="0.3">
      <c r="B502" s="74">
        <f t="shared" ca="1" si="112"/>
      </c>
      <c r="C502" s="78">
        <f>Кабельный_журнал!P468</f>
      </c>
      <c r="D502" s="74">
        <f t="shared" ca="1" si="113"/>
      </c>
      <c r="E502" s="80" t="s">
        <v>279</v>
      </c>
      <c r="F502" s="74">
        <f t="shared" ca="1" si="109"/>
      </c>
      <c r="G502" s="74">
        <f t="shared" si="110"/>
      </c>
      <c r="H502" s="80" t="s">
        <v>272</v>
      </c>
      <c r="I502" s="74">
        <f t="shared" si="111"/>
      </c>
      <c r="J502" s="74">
        <f t="shared" si="114"/>
      </c>
      <c r="K502" s="80" t="s">
        <v>280</v>
      </c>
      <c r="L502" s="74">
        <f t="shared" si="115"/>
      </c>
      <c r="M502" s="74">
        <f t="shared" ca="1" si="116"/>
      </c>
      <c r="N502" s="74">
        <f ca="1">VLOOKUP(B502,$C$7:$T500,13,FALSE)</f>
      </c>
      <c r="O502" s="74">
        <f t="shared" ca="1" si="117"/>
      </c>
      <c r="P502" s="74">
        <f t="shared" ca="1" si="118"/>
      </c>
      <c r="Q502" s="74">
        <f t="shared" ca="1" si="119"/>
      </c>
      <c r="R502" s="74">
        <f t="shared" si="120"/>
      </c>
      <c r="S502" s="74">
        <f t="shared" ca="1" si="121"/>
      </c>
      <c r="T502" s="74">
        <f t="shared" si="122"/>
      </c>
    </row>
    <row r="503" spans="2:20" x14ac:dyDescent="0.3">
      <c r="B503" s="74">
        <f t="shared" ca="1" si="112"/>
      </c>
      <c r="C503" s="78">
        <f>Кабельный_журнал!P469</f>
      </c>
      <c r="D503" s="74">
        <f t="shared" ca="1" si="113"/>
      </c>
      <c r="E503" s="80" t="s">
        <v>279</v>
      </c>
      <c r="F503" s="74">
        <f t="shared" ca="1" si="109"/>
      </c>
      <c r="G503" s="74">
        <f t="shared" si="110"/>
      </c>
      <c r="H503" s="80" t="s">
        <v>272</v>
      </c>
      <c r="I503" s="74">
        <f t="shared" si="111"/>
      </c>
      <c r="J503" s="74">
        <f t="shared" si="114"/>
      </c>
      <c r="K503" s="80" t="s">
        <v>280</v>
      </c>
      <c r="L503" s="74">
        <f t="shared" si="115"/>
      </c>
      <c r="M503" s="74">
        <f t="shared" ca="1" si="116"/>
      </c>
      <c r="N503" s="74">
        <f ca="1">VLOOKUP(B503,$C$7:$T501,13,FALSE)</f>
      </c>
      <c r="O503" s="74">
        <f t="shared" ca="1" si="117"/>
      </c>
      <c r="P503" s="74">
        <f t="shared" ca="1" si="118"/>
      </c>
      <c r="Q503" s="74">
        <f t="shared" ca="1" si="119"/>
      </c>
      <c r="R503" s="74">
        <f t="shared" si="120"/>
      </c>
      <c r="S503" s="74">
        <f t="shared" ca="1" si="121"/>
      </c>
      <c r="T503" s="74">
        <f t="shared" si="122"/>
      </c>
    </row>
    <row r="504" spans="2:20" x14ac:dyDescent="0.3">
      <c r="B504" s="74">
        <f t="shared" ca="1" si="112"/>
      </c>
      <c r="C504" s="78">
        <f>Кабельный_журнал!P470</f>
      </c>
      <c r="D504" s="74">
        <f t="shared" ca="1" si="113"/>
      </c>
      <c r="E504" s="80" t="s">
        <v>279</v>
      </c>
      <c r="F504" s="74">
        <f t="shared" ca="1" si="109"/>
      </c>
      <c r="G504" s="74">
        <f t="shared" si="110"/>
      </c>
      <c r="H504" s="80" t="s">
        <v>272</v>
      </c>
      <c r="I504" s="74">
        <f t="shared" si="111"/>
      </c>
      <c r="J504" s="74">
        <f t="shared" si="114"/>
      </c>
      <c r="K504" s="80" t="s">
        <v>280</v>
      </c>
      <c r="L504" s="74">
        <f t="shared" si="115"/>
      </c>
      <c r="M504" s="74">
        <f t="shared" ca="1" si="116"/>
      </c>
      <c r="N504" s="74">
        <f ca="1">VLOOKUP(B504,$C$7:$T502,13,FALSE)</f>
      </c>
      <c r="O504" s="74">
        <f t="shared" ca="1" si="117"/>
      </c>
      <c r="P504" s="74">
        <f t="shared" ca="1" si="118"/>
      </c>
      <c r="Q504" s="74">
        <f t="shared" ca="1" si="119"/>
      </c>
      <c r="R504" s="74">
        <f t="shared" si="120"/>
      </c>
      <c r="S504" s="74">
        <f t="shared" ca="1" si="121"/>
      </c>
      <c r="T504" s="74">
        <f t="shared" si="122"/>
      </c>
    </row>
    <row r="505" spans="2:20" x14ac:dyDescent="0.3">
      <c r="B505" s="74">
        <f t="shared" ca="1" si="112"/>
      </c>
      <c r="C505" s="78">
        <f>Кабельный_журнал!P471</f>
      </c>
      <c r="D505" s="74">
        <f t="shared" ca="1" si="113"/>
      </c>
      <c r="E505" s="80" t="s">
        <v>279</v>
      </c>
      <c r="F505" s="74">
        <f t="shared" ca="1" si="109"/>
      </c>
      <c r="G505" s="74">
        <f t="shared" si="110"/>
      </c>
      <c r="H505" s="80" t="s">
        <v>272</v>
      </c>
      <c r="I505" s="74">
        <f t="shared" si="111"/>
      </c>
      <c r="J505" s="74">
        <f t="shared" si="114"/>
      </c>
      <c r="K505" s="80" t="s">
        <v>280</v>
      </c>
      <c r="L505" s="74">
        <f t="shared" si="115"/>
      </c>
      <c r="M505" s="74">
        <f t="shared" ca="1" si="116"/>
      </c>
      <c r="N505" s="74">
        <f ca="1">VLOOKUP(B505,$C$7:$T503,13,FALSE)</f>
      </c>
      <c r="O505" s="74">
        <f t="shared" ca="1" si="117"/>
      </c>
      <c r="P505" s="74">
        <f t="shared" ca="1" si="118"/>
      </c>
      <c r="Q505" s="74">
        <f t="shared" ca="1" si="119"/>
      </c>
      <c r="R505" s="74">
        <f t="shared" si="120"/>
      </c>
      <c r="S505" s="74">
        <f t="shared" ca="1" si="121"/>
      </c>
      <c r="T505" s="74">
        <f t="shared" si="122"/>
      </c>
    </row>
    <row r="506" spans="2:20" x14ac:dyDescent="0.3">
      <c r="B506" s="74">
        <f t="shared" ca="1" si="112"/>
      </c>
      <c r="C506" s="78">
        <f>Кабельный_журнал!P472</f>
      </c>
      <c r="D506" s="74">
        <f t="shared" ca="1" si="113"/>
      </c>
      <c r="E506" s="80" t="s">
        <v>279</v>
      </c>
      <c r="F506" s="74">
        <f t="shared" ca="1" si="109"/>
      </c>
      <c r="G506" s="74">
        <f t="shared" si="110"/>
      </c>
      <c r="H506" s="80" t="s">
        <v>272</v>
      </c>
      <c r="I506" s="74">
        <f t="shared" si="111"/>
      </c>
      <c r="J506" s="74">
        <f t="shared" si="114"/>
      </c>
      <c r="K506" s="80" t="s">
        <v>280</v>
      </c>
      <c r="L506" s="74">
        <f t="shared" si="115"/>
      </c>
      <c r="M506" s="74">
        <f t="shared" ca="1" si="116"/>
      </c>
      <c r="N506" s="74">
        <f ca="1">VLOOKUP(B506,$C$7:$T504,13,FALSE)</f>
      </c>
      <c r="O506" s="74">
        <f t="shared" ca="1" si="117"/>
      </c>
      <c r="P506" s="74">
        <f t="shared" ca="1" si="118"/>
      </c>
      <c r="Q506" s="74">
        <f t="shared" ca="1" si="119"/>
      </c>
      <c r="R506" s="74">
        <f t="shared" si="120"/>
      </c>
      <c r="S506" s="74">
        <f t="shared" ca="1" si="121"/>
      </c>
      <c r="T506" s="74">
        <f t="shared" si="122"/>
      </c>
    </row>
    <row r="507" spans="2:20" x14ac:dyDescent="0.3">
      <c r="B507" s="74">
        <f t="shared" ca="1" si="112"/>
      </c>
      <c r="C507" s="78">
        <f>Кабельный_журнал!P473</f>
      </c>
      <c r="D507" s="74">
        <f t="shared" ca="1" si="113"/>
      </c>
      <c r="E507" s="80" t="s">
        <v>279</v>
      </c>
      <c r="F507" s="74">
        <f t="shared" ca="1" si="109"/>
      </c>
      <c r="G507" s="74">
        <f t="shared" si="110"/>
      </c>
      <c r="H507" s="80" t="s">
        <v>272</v>
      </c>
      <c r="I507" s="74">
        <f t="shared" si="111"/>
      </c>
      <c r="J507" s="74">
        <f t="shared" si="114"/>
      </c>
      <c r="K507" s="80" t="s">
        <v>280</v>
      </c>
      <c r="L507" s="74">
        <f t="shared" si="115"/>
      </c>
      <c r="M507" s="74">
        <f t="shared" ca="1" si="116"/>
      </c>
      <c r="N507" s="74">
        <f ca="1">VLOOKUP(B507,$C$7:$T505,13,FALSE)</f>
      </c>
      <c r="O507" s="74">
        <f t="shared" ca="1" si="117"/>
      </c>
      <c r="P507" s="74">
        <f t="shared" ca="1" si="118"/>
      </c>
      <c r="Q507" s="74">
        <f t="shared" ca="1" si="119"/>
      </c>
      <c r="R507" s="74">
        <f t="shared" si="120"/>
      </c>
      <c r="S507" s="74">
        <f t="shared" ca="1" si="121"/>
      </c>
      <c r="T507" s="74">
        <f t="shared" si="122"/>
      </c>
    </row>
    <row r="508" spans="2:20" x14ac:dyDescent="0.3">
      <c r="B508" s="74">
        <f t="shared" ca="1" si="112"/>
      </c>
      <c r="C508" s="78">
        <f>Кабельный_журнал!P474</f>
      </c>
      <c r="D508" s="74">
        <f t="shared" ca="1" si="113"/>
      </c>
      <c r="E508" s="80" t="s">
        <v>279</v>
      </c>
      <c r="F508" s="74">
        <f t="shared" ca="1" si="109"/>
      </c>
      <c r="G508" s="74">
        <f t="shared" si="110"/>
      </c>
      <c r="H508" s="80" t="s">
        <v>272</v>
      </c>
      <c r="I508" s="74">
        <f t="shared" si="111"/>
      </c>
      <c r="J508" s="74">
        <f t="shared" si="114"/>
      </c>
      <c r="K508" s="80" t="s">
        <v>280</v>
      </c>
      <c r="L508" s="74">
        <f t="shared" si="115"/>
      </c>
      <c r="M508" s="74">
        <f t="shared" ca="1" si="116"/>
      </c>
      <c r="N508" s="74">
        <f ca="1">VLOOKUP(B508,$C$7:$T506,13,FALSE)</f>
      </c>
      <c r="O508" s="74">
        <f t="shared" ca="1" si="117"/>
      </c>
      <c r="P508" s="74">
        <f t="shared" ca="1" si="118"/>
      </c>
      <c r="Q508" s="74">
        <f t="shared" ca="1" si="119"/>
      </c>
      <c r="R508" s="74">
        <f t="shared" si="120"/>
      </c>
      <c r="S508" s="74">
        <f t="shared" ca="1" si="121"/>
      </c>
      <c r="T508" s="74">
        <f t="shared" si="122"/>
      </c>
    </row>
    <row r="509" spans="2:20" x14ac:dyDescent="0.3">
      <c r="B509" s="74">
        <f t="shared" ca="1" si="112"/>
      </c>
      <c r="C509" s="78">
        <f>Кабельный_журнал!P475</f>
      </c>
      <c r="D509" s="74">
        <f t="shared" ca="1" si="113"/>
      </c>
      <c r="E509" s="80" t="s">
        <v>279</v>
      </c>
      <c r="F509" s="74">
        <f t="shared" ca="1" si="109"/>
      </c>
      <c r="G509" s="74">
        <f t="shared" si="110"/>
      </c>
      <c r="H509" s="80" t="s">
        <v>272</v>
      </c>
      <c r="I509" s="74">
        <f t="shared" si="111"/>
      </c>
      <c r="J509" s="74">
        <f t="shared" si="114"/>
      </c>
      <c r="K509" s="80" t="s">
        <v>280</v>
      </c>
      <c r="L509" s="74">
        <f t="shared" si="115"/>
      </c>
      <c r="M509" s="74">
        <f t="shared" ca="1" si="116"/>
      </c>
      <c r="N509" s="74">
        <f ca="1">VLOOKUP(B509,$C$7:$T507,13,FALSE)</f>
      </c>
      <c r="O509" s="74">
        <f t="shared" ca="1" si="117"/>
      </c>
      <c r="P509" s="74">
        <f t="shared" ca="1" si="118"/>
      </c>
      <c r="Q509" s="74">
        <f t="shared" ca="1" si="119"/>
      </c>
      <c r="R509" s="74">
        <f t="shared" si="120"/>
      </c>
      <c r="S509" s="74">
        <f t="shared" ca="1" si="121"/>
      </c>
      <c r="T509" s="74">
        <f t="shared" si="122"/>
      </c>
    </row>
    <row r="510" spans="2:20" x14ac:dyDescent="0.3">
      <c r="B510" s="74">
        <f t="shared" ca="1" si="112"/>
      </c>
      <c r="C510" s="78">
        <f>Кабельный_журнал!P476</f>
      </c>
      <c r="D510" s="74">
        <f t="shared" ca="1" si="113"/>
      </c>
      <c r="E510" s="80" t="s">
        <v>279</v>
      </c>
      <c r="F510" s="74">
        <f t="shared" ca="1" si="109"/>
      </c>
      <c r="G510" s="74">
        <f t="shared" si="110"/>
      </c>
      <c r="H510" s="80" t="s">
        <v>272</v>
      </c>
      <c r="I510" s="74">
        <f t="shared" si="111"/>
      </c>
      <c r="J510" s="74">
        <f t="shared" si="114"/>
      </c>
      <c r="K510" s="80" t="s">
        <v>280</v>
      </c>
      <c r="L510" s="74">
        <f t="shared" si="115"/>
      </c>
      <c r="M510" s="74">
        <f t="shared" ca="1" si="116"/>
      </c>
      <c r="N510" s="74">
        <f ca="1">VLOOKUP(B510,$C$7:$T508,13,FALSE)</f>
      </c>
      <c r="O510" s="74">
        <f t="shared" ca="1" si="117"/>
      </c>
      <c r="P510" s="74">
        <f t="shared" ca="1" si="118"/>
      </c>
      <c r="Q510" s="74">
        <f t="shared" ca="1" si="119"/>
      </c>
      <c r="R510" s="74">
        <f t="shared" si="120"/>
      </c>
      <c r="S510" s="74">
        <f t="shared" ca="1" si="121"/>
      </c>
      <c r="T510" s="74">
        <f t="shared" si="122"/>
      </c>
    </row>
    <row r="511" spans="2:20" x14ac:dyDescent="0.3">
      <c r="B511" s="74">
        <f t="shared" ca="1" si="112"/>
      </c>
      <c r="C511" s="78">
        <f>Кабельный_журнал!P477</f>
      </c>
      <c r="D511" s="74">
        <f t="shared" ca="1" si="113"/>
      </c>
      <c r="E511" s="80" t="s">
        <v>279</v>
      </c>
      <c r="F511" s="74">
        <f t="shared" ca="1" si="109"/>
      </c>
      <c r="G511" s="74">
        <f t="shared" si="110"/>
      </c>
      <c r="H511" s="80" t="s">
        <v>272</v>
      </c>
      <c r="I511" s="74">
        <f t="shared" si="111"/>
      </c>
      <c r="J511" s="74">
        <f t="shared" si="114"/>
      </c>
      <c r="K511" s="80" t="s">
        <v>280</v>
      </c>
      <c r="L511" s="74">
        <f t="shared" si="115"/>
      </c>
      <c r="M511" s="74">
        <f t="shared" ca="1" si="116"/>
      </c>
      <c r="N511" s="74">
        <f ca="1">VLOOKUP(B511,$C$7:$T509,13,FALSE)</f>
      </c>
      <c r="O511" s="74">
        <f t="shared" ca="1" si="117"/>
      </c>
      <c r="P511" s="74">
        <f t="shared" ca="1" si="118"/>
      </c>
      <c r="Q511" s="74">
        <f t="shared" ca="1" si="119"/>
      </c>
      <c r="R511" s="74">
        <f t="shared" si="120"/>
      </c>
      <c r="S511" s="74">
        <f t="shared" ca="1" si="121"/>
      </c>
      <c r="T511" s="74">
        <f t="shared" si="122"/>
      </c>
    </row>
    <row r="512" spans="2:20" x14ac:dyDescent="0.3">
      <c r="B512" s="74">
        <f t="shared" ca="1" si="112"/>
      </c>
      <c r="C512" s="78">
        <f>Кабельный_журнал!P478</f>
      </c>
      <c r="D512" s="74">
        <f t="shared" ca="1" si="113"/>
      </c>
      <c r="E512" s="80" t="s">
        <v>279</v>
      </c>
      <c r="F512" s="74">
        <f t="shared" ca="1" si="109"/>
      </c>
      <c r="G512" s="74">
        <f t="shared" si="110"/>
      </c>
      <c r="H512" s="80" t="s">
        <v>272</v>
      </c>
      <c r="I512" s="74">
        <f t="shared" si="111"/>
      </c>
      <c r="J512" s="74">
        <f t="shared" si="114"/>
      </c>
      <c r="K512" s="80" t="s">
        <v>280</v>
      </c>
      <c r="L512" s="74">
        <f t="shared" si="115"/>
      </c>
      <c r="M512" s="74">
        <f t="shared" ca="1" si="116"/>
      </c>
      <c r="N512" s="74">
        <f ca="1">VLOOKUP(B512,$C$7:$T510,13,FALSE)</f>
      </c>
      <c r="O512" s="74">
        <f t="shared" ca="1" si="117"/>
      </c>
      <c r="P512" s="74">
        <f t="shared" ca="1" si="118"/>
      </c>
      <c r="Q512" s="74">
        <f t="shared" ca="1" si="119"/>
      </c>
      <c r="R512" s="74">
        <f t="shared" si="120"/>
      </c>
      <c r="S512" s="74">
        <f t="shared" ca="1" si="121"/>
      </c>
      <c r="T512" s="74">
        <f t="shared" si="122"/>
      </c>
    </row>
    <row r="513" spans="2:20" x14ac:dyDescent="0.3">
      <c r="B513" s="74">
        <f t="shared" ca="1" si="112"/>
      </c>
      <c r="C513" s="78">
        <f>Кабельный_журнал!P479</f>
      </c>
      <c r="D513" s="74">
        <f t="shared" ca="1" si="113"/>
      </c>
      <c r="E513" s="80" t="s">
        <v>279</v>
      </c>
      <c r="F513" s="74">
        <f t="shared" ca="1" si="109"/>
      </c>
      <c r="G513" s="74">
        <f t="shared" si="110"/>
      </c>
      <c r="H513" s="80" t="s">
        <v>272</v>
      </c>
      <c r="I513" s="74">
        <f t="shared" si="111"/>
      </c>
      <c r="J513" s="74">
        <f t="shared" si="114"/>
      </c>
      <c r="K513" s="80" t="s">
        <v>280</v>
      </c>
      <c r="L513" s="74">
        <f t="shared" si="115"/>
      </c>
      <c r="M513" s="74">
        <f t="shared" ca="1" si="116"/>
      </c>
      <c r="N513" s="74">
        <f ca="1">VLOOKUP(B513,$C$7:$T511,13,FALSE)</f>
      </c>
      <c r="O513" s="74">
        <f t="shared" ca="1" si="117"/>
      </c>
      <c r="P513" s="74">
        <f t="shared" ca="1" si="118"/>
      </c>
      <c r="Q513" s="74">
        <f t="shared" ca="1" si="119"/>
      </c>
      <c r="R513" s="74">
        <f t="shared" si="120"/>
      </c>
      <c r="S513" s="74">
        <f t="shared" ca="1" si="121"/>
      </c>
      <c r="T513" s="74">
        <f t="shared" si="122"/>
      </c>
    </row>
    <row r="514" spans="2:20" x14ac:dyDescent="0.3">
      <c r="B514" s="74">
        <f t="shared" ca="1" si="112"/>
      </c>
      <c r="C514" s="78">
        <f>Кабельный_журнал!P480</f>
      </c>
      <c r="D514" s="74">
        <f t="shared" ca="1" si="113"/>
      </c>
      <c r="E514" s="80" t="s">
        <v>279</v>
      </c>
      <c r="F514" s="74">
        <f t="shared" ca="1" si="109"/>
      </c>
      <c r="G514" s="74">
        <f t="shared" si="110"/>
      </c>
      <c r="H514" s="80" t="s">
        <v>272</v>
      </c>
      <c r="I514" s="74">
        <f t="shared" si="111"/>
      </c>
      <c r="J514" s="74">
        <f t="shared" si="114"/>
      </c>
      <c r="K514" s="80" t="s">
        <v>280</v>
      </c>
      <c r="L514" s="74">
        <f t="shared" si="115"/>
      </c>
      <c r="M514" s="74">
        <f t="shared" ca="1" si="116"/>
      </c>
      <c r="N514" s="74">
        <f ca="1">VLOOKUP(B514,$C$7:$T512,13,FALSE)</f>
      </c>
      <c r="O514" s="74">
        <f t="shared" ca="1" si="117"/>
      </c>
      <c r="P514" s="74">
        <f t="shared" ca="1" si="118"/>
      </c>
      <c r="Q514" s="74">
        <f t="shared" ca="1" si="119"/>
      </c>
      <c r="R514" s="74">
        <f t="shared" si="120"/>
      </c>
      <c r="S514" s="74">
        <f t="shared" ca="1" si="121"/>
      </c>
      <c r="T514" s="74">
        <f t="shared" si="122"/>
      </c>
    </row>
    <row r="515" spans="2:20" x14ac:dyDescent="0.3">
      <c r="B515" s="74">
        <f t="shared" ca="1" si="112"/>
      </c>
      <c r="C515" s="78">
        <f>Кабельный_журнал!P481</f>
      </c>
      <c r="D515" s="74">
        <f t="shared" ca="1" si="113"/>
      </c>
      <c r="E515" s="80" t="s">
        <v>279</v>
      </c>
      <c r="F515" s="74">
        <f t="shared" ca="1" si="109"/>
      </c>
      <c r="G515" s="74">
        <f t="shared" si="110"/>
      </c>
      <c r="H515" s="80" t="s">
        <v>272</v>
      </c>
      <c r="I515" s="74">
        <f t="shared" si="111"/>
      </c>
      <c r="J515" s="74">
        <f t="shared" si="114"/>
      </c>
      <c r="K515" s="80" t="s">
        <v>280</v>
      </c>
      <c r="L515" s="74">
        <f t="shared" si="115"/>
      </c>
      <c r="M515" s="74">
        <f t="shared" ca="1" si="116"/>
      </c>
      <c r="N515" s="74">
        <f ca="1">VLOOKUP(B515,$C$7:$T513,13,FALSE)</f>
      </c>
      <c r="O515" s="74">
        <f t="shared" ca="1" si="117"/>
      </c>
      <c r="P515" s="74">
        <f t="shared" ca="1" si="118"/>
      </c>
      <c r="Q515" s="74">
        <f t="shared" ca="1" si="119"/>
      </c>
      <c r="R515" s="74">
        <f t="shared" si="120"/>
      </c>
      <c r="S515" s="74">
        <f t="shared" ca="1" si="121"/>
      </c>
      <c r="T515" s="74">
        <f t="shared" si="122"/>
      </c>
    </row>
    <row r="516" spans="2:20" x14ac:dyDescent="0.3">
      <c r="B516" s="74">
        <f t="shared" ca="1" si="112"/>
      </c>
      <c r="C516" s="78">
        <f>Кабельный_журнал!P482</f>
      </c>
      <c r="D516" s="74">
        <f t="shared" ca="1" si="113"/>
      </c>
      <c r="E516" s="80" t="s">
        <v>279</v>
      </c>
      <c r="F516" s="74">
        <f t="shared" ca="1" si="109"/>
      </c>
      <c r="G516" s="74">
        <f t="shared" si="110"/>
      </c>
      <c r="H516" s="80" t="s">
        <v>272</v>
      </c>
      <c r="I516" s="74">
        <f t="shared" si="111"/>
      </c>
      <c r="J516" s="74">
        <f t="shared" si="114"/>
      </c>
      <c r="K516" s="80" t="s">
        <v>280</v>
      </c>
      <c r="L516" s="74">
        <f t="shared" si="115"/>
      </c>
      <c r="M516" s="74">
        <f t="shared" ca="1" si="116"/>
      </c>
      <c r="N516" s="74">
        <f ca="1">VLOOKUP(B516,$C$7:$T514,13,FALSE)</f>
      </c>
      <c r="O516" s="74">
        <f t="shared" ca="1" si="117"/>
      </c>
      <c r="P516" s="74">
        <f t="shared" ca="1" si="118"/>
      </c>
      <c r="Q516" s="74">
        <f t="shared" ca="1" si="119"/>
      </c>
      <c r="R516" s="74">
        <f t="shared" si="120"/>
      </c>
      <c r="S516" s="74">
        <f t="shared" ca="1" si="121"/>
      </c>
      <c r="T516" s="74">
        <f t="shared" si="122"/>
      </c>
    </row>
    <row r="517" spans="2:20" x14ac:dyDescent="0.3">
      <c r="B517" s="74">
        <f t="shared" ca="1" si="112"/>
      </c>
      <c r="C517" s="78">
        <f>Кабельный_журнал!P483</f>
      </c>
      <c r="D517" s="74">
        <f t="shared" ca="1" si="113"/>
      </c>
      <c r="E517" s="80" t="s">
        <v>279</v>
      </c>
      <c r="F517" s="74">
        <f t="shared" ca="1" si="109"/>
      </c>
      <c r="G517" s="74">
        <f t="shared" si="110"/>
      </c>
      <c r="H517" s="80" t="s">
        <v>272</v>
      </c>
      <c r="I517" s="74">
        <f t="shared" si="111"/>
      </c>
      <c r="J517" s="74">
        <f t="shared" si="114"/>
      </c>
      <c r="K517" s="80" t="s">
        <v>280</v>
      </c>
      <c r="L517" s="74">
        <f t="shared" si="115"/>
      </c>
      <c r="M517" s="74">
        <f t="shared" ca="1" si="116"/>
      </c>
      <c r="N517" s="74">
        <f ca="1">VLOOKUP(B517,$C$7:$T515,13,FALSE)</f>
      </c>
      <c r="O517" s="74">
        <f t="shared" ca="1" si="117"/>
      </c>
      <c r="P517" s="74">
        <f t="shared" ca="1" si="118"/>
      </c>
      <c r="Q517" s="74">
        <f t="shared" ca="1" si="119"/>
      </c>
      <c r="R517" s="74">
        <f t="shared" si="120"/>
      </c>
      <c r="S517" s="74">
        <f t="shared" ca="1" si="121"/>
      </c>
      <c r="T517" s="74">
        <f t="shared" si="122"/>
      </c>
    </row>
    <row r="518" spans="2:20" x14ac:dyDescent="0.3">
      <c r="B518" s="74">
        <f t="shared" ca="1" si="112"/>
      </c>
      <c r="C518" s="78">
        <f>Кабельный_журнал!P484</f>
      </c>
      <c r="D518" s="74">
        <f t="shared" ca="1" si="113"/>
      </c>
      <c r="E518" s="80" t="s">
        <v>279</v>
      </c>
      <c r="F518" s="74">
        <f t="shared" ca="1" si="109"/>
      </c>
      <c r="G518" s="74">
        <f t="shared" si="110"/>
      </c>
      <c r="H518" s="80" t="s">
        <v>272</v>
      </c>
      <c r="I518" s="74">
        <f t="shared" si="111"/>
      </c>
      <c r="J518" s="74">
        <f t="shared" si="114"/>
      </c>
      <c r="K518" s="80" t="s">
        <v>280</v>
      </c>
      <c r="L518" s="74">
        <f t="shared" si="115"/>
      </c>
      <c r="M518" s="74">
        <f t="shared" ca="1" si="116"/>
      </c>
      <c r="N518" s="74">
        <f ca="1">VLOOKUP(B518,$C$7:$T516,13,FALSE)</f>
      </c>
      <c r="O518" s="74">
        <f t="shared" ca="1" si="117"/>
      </c>
      <c r="P518" s="74">
        <f t="shared" ca="1" si="118"/>
      </c>
      <c r="Q518" s="74">
        <f t="shared" ca="1" si="119"/>
      </c>
      <c r="R518" s="74">
        <f t="shared" si="120"/>
      </c>
      <c r="S518" s="74">
        <f t="shared" ca="1" si="121"/>
      </c>
      <c r="T518" s="74">
        <f t="shared" si="122"/>
      </c>
    </row>
    <row r="519" spans="2:20" x14ac:dyDescent="0.3">
      <c r="B519" s="74">
        <f t="shared" ca="1" si="112"/>
      </c>
      <c r="C519" s="78">
        <f>Кабельный_журнал!P485</f>
      </c>
      <c r="D519" s="74">
        <f t="shared" ca="1" si="113"/>
      </c>
      <c r="E519" s="80" t="s">
        <v>279</v>
      </c>
      <c r="F519" s="74">
        <f t="shared" ca="1" si="109"/>
      </c>
      <c r="G519" s="74">
        <f t="shared" si="110"/>
      </c>
      <c r="H519" s="80" t="s">
        <v>272</v>
      </c>
      <c r="I519" s="74">
        <f t="shared" si="111"/>
      </c>
      <c r="J519" s="74">
        <f t="shared" si="114"/>
      </c>
      <c r="K519" s="80" t="s">
        <v>280</v>
      </c>
      <c r="L519" s="74">
        <f t="shared" si="115"/>
      </c>
      <c r="M519" s="74">
        <f t="shared" ca="1" si="116"/>
      </c>
      <c r="N519" s="74">
        <f ca="1">VLOOKUP(B519,$C$7:$T517,13,FALSE)</f>
      </c>
      <c r="O519" s="74">
        <f t="shared" ca="1" si="117"/>
      </c>
      <c r="P519" s="74">
        <f t="shared" ca="1" si="118"/>
      </c>
      <c r="Q519" s="74">
        <f t="shared" ca="1" si="119"/>
      </c>
      <c r="R519" s="74">
        <f t="shared" si="120"/>
      </c>
      <c r="S519" s="74">
        <f t="shared" ca="1" si="121"/>
      </c>
      <c r="T519" s="74">
        <f t="shared" si="122"/>
      </c>
    </row>
    <row r="520" spans="2:20" x14ac:dyDescent="0.3">
      <c r="B520" s="74">
        <f t="shared" ca="1" si="112"/>
      </c>
      <c r="C520" s="78">
        <f>Кабельный_журнал!P486</f>
      </c>
      <c r="D520" s="74">
        <f t="shared" ca="1" si="113"/>
      </c>
      <c r="E520" s="80" t="s">
        <v>279</v>
      </c>
      <c r="F520" s="74">
        <f t="shared" ca="1" si="109"/>
      </c>
      <c r="G520" s="74">
        <f t="shared" si="110"/>
      </c>
      <c r="H520" s="80" t="s">
        <v>272</v>
      </c>
      <c r="I520" s="74">
        <f t="shared" si="111"/>
      </c>
      <c r="J520" s="74">
        <f t="shared" si="114"/>
      </c>
      <c r="K520" s="80" t="s">
        <v>280</v>
      </c>
      <c r="L520" s="74">
        <f t="shared" si="115"/>
      </c>
      <c r="M520" s="74">
        <f t="shared" ca="1" si="116"/>
      </c>
      <c r="N520" s="74">
        <f ca="1">VLOOKUP(B520,$C$7:$T518,13,FALSE)</f>
      </c>
      <c r="O520" s="74">
        <f t="shared" ca="1" si="117"/>
      </c>
      <c r="P520" s="74">
        <f t="shared" ca="1" si="118"/>
      </c>
      <c r="Q520" s="74">
        <f t="shared" ca="1" si="119"/>
      </c>
      <c r="R520" s="74">
        <f t="shared" si="120"/>
      </c>
      <c r="S520" s="74">
        <f t="shared" ca="1" si="121"/>
      </c>
      <c r="T520" s="74">
        <f t="shared" si="122"/>
      </c>
    </row>
    <row r="521" spans="2:20" x14ac:dyDescent="0.3">
      <c r="B521" s="74">
        <f t="shared" ca="1" si="112"/>
      </c>
      <c r="C521" s="78">
        <f>Кабельный_журнал!P487</f>
      </c>
      <c r="D521" s="74">
        <f t="shared" ca="1" si="113"/>
      </c>
      <c r="E521" s="80" t="s">
        <v>279</v>
      </c>
      <c r="F521" s="74">
        <f t="shared" ca="1" si="109"/>
      </c>
      <c r="G521" s="74">
        <f t="shared" si="110"/>
      </c>
      <c r="H521" s="80" t="s">
        <v>272</v>
      </c>
      <c r="I521" s="74">
        <f t="shared" si="111"/>
      </c>
      <c r="J521" s="74">
        <f t="shared" si="114"/>
      </c>
      <c r="K521" s="80" t="s">
        <v>280</v>
      </c>
      <c r="L521" s="74">
        <f t="shared" si="115"/>
      </c>
      <c r="M521" s="74">
        <f t="shared" ca="1" si="116"/>
      </c>
      <c r="N521" s="74">
        <f ca="1">VLOOKUP(B521,$C$7:$T519,13,FALSE)</f>
      </c>
      <c r="O521" s="74">
        <f t="shared" ca="1" si="117"/>
      </c>
      <c r="P521" s="74">
        <f t="shared" ca="1" si="118"/>
      </c>
      <c r="Q521" s="74">
        <f t="shared" ca="1" si="119"/>
      </c>
      <c r="R521" s="74">
        <f t="shared" si="120"/>
      </c>
      <c r="S521" s="74">
        <f t="shared" ca="1" si="121"/>
      </c>
      <c r="T521" s="74">
        <f t="shared" si="122"/>
      </c>
    </row>
    <row r="522" spans="2:20" x14ac:dyDescent="0.3">
      <c r="B522" s="74">
        <f t="shared" ca="1" si="112"/>
      </c>
      <c r="C522" s="78">
        <f>Кабельный_журнал!P488</f>
      </c>
      <c r="D522" s="74">
        <f t="shared" ca="1" si="113"/>
      </c>
      <c r="E522" s="80" t="s">
        <v>279</v>
      </c>
      <c r="F522" s="74">
        <f t="shared" ca="1" si="109"/>
      </c>
      <c r="G522" s="74">
        <f t="shared" si="110"/>
      </c>
      <c r="H522" s="80" t="s">
        <v>272</v>
      </c>
      <c r="I522" s="74">
        <f t="shared" si="111"/>
      </c>
      <c r="J522" s="74">
        <f t="shared" si="114"/>
      </c>
      <c r="K522" s="80" t="s">
        <v>280</v>
      </c>
      <c r="L522" s="74">
        <f t="shared" si="115"/>
      </c>
      <c r="M522" s="74">
        <f t="shared" ca="1" si="116"/>
      </c>
      <c r="N522" s="74">
        <f ca="1">VLOOKUP(B522,$C$7:$T520,13,FALSE)</f>
      </c>
      <c r="O522" s="74">
        <f t="shared" ca="1" si="117"/>
      </c>
      <c r="P522" s="74">
        <f t="shared" ca="1" si="118"/>
      </c>
      <c r="Q522" s="74">
        <f t="shared" ca="1" si="119"/>
      </c>
      <c r="R522" s="74">
        <f t="shared" si="120"/>
      </c>
      <c r="S522" s="74">
        <f t="shared" ca="1" si="121"/>
      </c>
      <c r="T522" s="74">
        <f t="shared" si="122"/>
      </c>
    </row>
    <row r="523" spans="2:20" x14ac:dyDescent="0.3">
      <c r="B523" s="74">
        <f t="shared" ca="1" si="112"/>
      </c>
      <c r="C523" s="78">
        <f>Кабельный_журнал!P489</f>
      </c>
      <c r="D523" s="74">
        <f t="shared" ca="1" si="113"/>
      </c>
      <c r="E523" s="80" t="s">
        <v>279</v>
      </c>
      <c r="F523" s="74">
        <f t="shared" ca="1" si="109"/>
      </c>
      <c r="G523" s="74">
        <f t="shared" si="110"/>
      </c>
      <c r="H523" s="80" t="s">
        <v>272</v>
      </c>
      <c r="I523" s="74">
        <f t="shared" si="111"/>
      </c>
      <c r="J523" s="74">
        <f t="shared" si="114"/>
      </c>
      <c r="K523" s="80" t="s">
        <v>280</v>
      </c>
      <c r="L523" s="74">
        <f t="shared" si="115"/>
      </c>
      <c r="M523" s="74">
        <f t="shared" ca="1" si="116"/>
      </c>
      <c r="N523" s="74">
        <f ca="1">VLOOKUP(B523,$C$7:$T521,13,FALSE)</f>
      </c>
      <c r="O523" s="74">
        <f t="shared" ca="1" si="117"/>
      </c>
      <c r="P523" s="74">
        <f t="shared" ca="1" si="118"/>
      </c>
      <c r="Q523" s="74">
        <f t="shared" ca="1" si="119"/>
      </c>
      <c r="R523" s="74">
        <f t="shared" si="120"/>
      </c>
      <c r="S523" s="74">
        <f t="shared" ca="1" si="121"/>
      </c>
      <c r="T523" s="74">
        <f t="shared" si="122"/>
      </c>
    </row>
    <row r="524" spans="2:20" x14ac:dyDescent="0.3">
      <c r="B524" s="74">
        <f t="shared" ca="1" si="112"/>
      </c>
      <c r="C524" s="78">
        <f>Кабельный_журнал!P490</f>
      </c>
      <c r="D524" s="74">
        <f t="shared" ca="1" si="113"/>
      </c>
      <c r="E524" s="80" t="s">
        <v>279</v>
      </c>
      <c r="F524" s="74">
        <f t="shared" ca="1" si="109"/>
      </c>
      <c r="G524" s="74">
        <f t="shared" si="110"/>
      </c>
      <c r="H524" s="80" t="s">
        <v>272</v>
      </c>
      <c r="I524" s="74">
        <f t="shared" si="111"/>
      </c>
      <c r="J524" s="74">
        <f t="shared" si="114"/>
      </c>
      <c r="K524" s="80" t="s">
        <v>280</v>
      </c>
      <c r="L524" s="74">
        <f t="shared" si="115"/>
      </c>
      <c r="M524" s="74">
        <f t="shared" ca="1" si="116"/>
      </c>
      <c r="N524" s="74">
        <f ca="1">VLOOKUP(B524,$C$7:$T522,13,FALSE)</f>
      </c>
      <c r="O524" s="74">
        <f t="shared" ca="1" si="117"/>
      </c>
      <c r="P524" s="74">
        <f t="shared" ca="1" si="118"/>
      </c>
      <c r="Q524" s="74">
        <f t="shared" ca="1" si="119"/>
      </c>
      <c r="R524" s="74">
        <f t="shared" si="120"/>
      </c>
      <c r="S524" s="74">
        <f t="shared" ca="1" si="121"/>
      </c>
      <c r="T524" s="74">
        <f t="shared" si="122"/>
      </c>
    </row>
    <row r="525" spans="2:20" x14ac:dyDescent="0.3">
      <c r="B525" s="74">
        <f t="shared" ca="1" si="112"/>
      </c>
      <c r="C525" s="78">
        <f>Кабельный_журнал!P491</f>
      </c>
      <c r="D525" s="74">
        <f t="shared" ca="1" si="113"/>
      </c>
      <c r="E525" s="80" t="s">
        <v>279</v>
      </c>
      <c r="F525" s="74">
        <f t="shared" ca="1" si="109"/>
      </c>
      <c r="G525" s="74">
        <f t="shared" si="110"/>
      </c>
      <c r="H525" s="80" t="s">
        <v>272</v>
      </c>
      <c r="I525" s="74">
        <f t="shared" si="111"/>
      </c>
      <c r="J525" s="74">
        <f t="shared" si="114"/>
      </c>
      <c r="K525" s="80" t="s">
        <v>280</v>
      </c>
      <c r="L525" s="74">
        <f t="shared" si="115"/>
      </c>
      <c r="M525" s="74">
        <f t="shared" ca="1" si="116"/>
      </c>
      <c r="N525" s="74">
        <f ca="1">VLOOKUP(B525,$C$7:$T523,13,FALSE)</f>
      </c>
      <c r="O525" s="74">
        <f t="shared" ca="1" si="117"/>
      </c>
      <c r="P525" s="74">
        <f t="shared" ca="1" si="118"/>
      </c>
      <c r="Q525" s="74">
        <f t="shared" ca="1" si="119"/>
      </c>
      <c r="R525" s="74">
        <f t="shared" si="120"/>
      </c>
      <c r="S525" s="74">
        <f t="shared" ca="1" si="121"/>
      </c>
      <c r="T525" s="74">
        <f t="shared" si="122"/>
      </c>
    </row>
    <row r="526" spans="2:20" x14ac:dyDescent="0.3">
      <c r="B526" s="74">
        <f t="shared" ca="1" si="112"/>
      </c>
      <c r="C526" s="78">
        <f>Кабельный_журнал!P492</f>
      </c>
      <c r="D526" s="74">
        <f t="shared" ca="1" si="113"/>
      </c>
      <c r="E526" s="80" t="s">
        <v>279</v>
      </c>
      <c r="F526" s="74">
        <f t="shared" ca="1" si="109"/>
      </c>
      <c r="G526" s="74">
        <f t="shared" si="110"/>
      </c>
      <c r="H526" s="80" t="s">
        <v>272</v>
      </c>
      <c r="I526" s="74">
        <f t="shared" si="111"/>
      </c>
      <c r="J526" s="74">
        <f t="shared" si="114"/>
      </c>
      <c r="K526" s="80" t="s">
        <v>280</v>
      </c>
      <c r="L526" s="74">
        <f t="shared" si="115"/>
      </c>
      <c r="M526" s="74">
        <f t="shared" ca="1" si="116"/>
      </c>
      <c r="N526" s="74">
        <f ca="1">VLOOKUP(B526,$C$7:$T524,13,FALSE)</f>
      </c>
      <c r="O526" s="74">
        <f t="shared" ca="1" si="117"/>
      </c>
      <c r="P526" s="74">
        <f t="shared" ca="1" si="118"/>
      </c>
      <c r="Q526" s="74">
        <f t="shared" ca="1" si="119"/>
      </c>
      <c r="R526" s="74">
        <f t="shared" si="120"/>
      </c>
      <c r="S526" s="74">
        <f t="shared" ca="1" si="121"/>
      </c>
      <c r="T526" s="74">
        <f t="shared" si="122"/>
      </c>
    </row>
    <row r="527" spans="2:20" x14ac:dyDescent="0.3">
      <c r="B527" s="74">
        <f t="shared" ca="1" si="112"/>
      </c>
      <c r="C527" s="78">
        <f>Кабельный_журнал!P493</f>
      </c>
      <c r="D527" s="74">
        <f t="shared" ca="1" si="113"/>
      </c>
      <c r="E527" s="80" t="s">
        <v>279</v>
      </c>
      <c r="F527" s="74">
        <f t="shared" ca="1" si="109"/>
      </c>
      <c r="G527" s="74">
        <f t="shared" si="110"/>
      </c>
      <c r="H527" s="80" t="s">
        <v>272</v>
      </c>
      <c r="I527" s="74">
        <f t="shared" si="111"/>
      </c>
      <c r="J527" s="74">
        <f t="shared" si="114"/>
      </c>
      <c r="K527" s="80" t="s">
        <v>280</v>
      </c>
      <c r="L527" s="74">
        <f t="shared" si="115"/>
      </c>
      <c r="M527" s="74">
        <f t="shared" ca="1" si="116"/>
      </c>
      <c r="N527" s="74">
        <f ca="1">VLOOKUP(B527,$C$7:$T525,13,FALSE)</f>
      </c>
      <c r="O527" s="74">
        <f t="shared" ca="1" si="117"/>
      </c>
      <c r="P527" s="74">
        <f t="shared" ca="1" si="118"/>
      </c>
      <c r="Q527" s="74">
        <f t="shared" ca="1" si="119"/>
      </c>
      <c r="R527" s="74">
        <f t="shared" si="120"/>
      </c>
      <c r="S527" s="74">
        <f t="shared" ca="1" si="121"/>
      </c>
      <c r="T527" s="74">
        <f t="shared" si="122"/>
      </c>
    </row>
    <row r="528" spans="2:20" x14ac:dyDescent="0.3">
      <c r="B528" s="74">
        <f t="shared" ca="1" si="112"/>
      </c>
      <c r="C528" s="78">
        <f>Кабельный_журнал!P494</f>
      </c>
      <c r="D528" s="74">
        <f t="shared" ca="1" si="113"/>
      </c>
      <c r="E528" s="80" t="s">
        <v>279</v>
      </c>
      <c r="F528" s="74">
        <f t="shared" ca="1" si="109"/>
      </c>
      <c r="G528" s="74">
        <f t="shared" si="110"/>
      </c>
      <c r="H528" s="80" t="s">
        <v>272</v>
      </c>
      <c r="I528" s="74">
        <f t="shared" si="111"/>
      </c>
      <c r="J528" s="74">
        <f t="shared" si="114"/>
      </c>
      <c r="K528" s="80" t="s">
        <v>280</v>
      </c>
      <c r="L528" s="74">
        <f t="shared" si="115"/>
      </c>
      <c r="M528" s="74">
        <f t="shared" ca="1" si="116"/>
      </c>
      <c r="N528" s="74">
        <f ca="1">VLOOKUP(B528,$C$7:$T526,13,FALSE)</f>
      </c>
      <c r="O528" s="74">
        <f t="shared" ca="1" si="117"/>
      </c>
      <c r="P528" s="74">
        <f t="shared" ca="1" si="118"/>
      </c>
      <c r="Q528" s="74">
        <f t="shared" ca="1" si="119"/>
      </c>
      <c r="R528" s="74">
        <f t="shared" si="120"/>
      </c>
      <c r="S528" s="74">
        <f t="shared" ca="1" si="121"/>
      </c>
      <c r="T528" s="74">
        <f t="shared" si="122"/>
      </c>
    </row>
    <row r="529" spans="2:20" x14ac:dyDescent="0.3">
      <c r="B529" s="74">
        <f t="shared" ca="1" si="112"/>
      </c>
      <c r="C529" s="78">
        <f>Кабельный_журнал!P495</f>
      </c>
      <c r="D529" s="74">
        <f t="shared" ca="1" si="113"/>
      </c>
      <c r="E529" s="80" t="s">
        <v>279</v>
      </c>
      <c r="F529" s="74">
        <f t="shared" ca="1" si="109"/>
      </c>
      <c r="G529" s="74">
        <f t="shared" si="110"/>
      </c>
      <c r="H529" s="80" t="s">
        <v>272</v>
      </c>
      <c r="I529" s="74">
        <f t="shared" si="111"/>
      </c>
      <c r="J529" s="74">
        <f t="shared" si="114"/>
      </c>
      <c r="K529" s="80" t="s">
        <v>280</v>
      </c>
      <c r="L529" s="74">
        <f t="shared" si="115"/>
      </c>
      <c r="M529" s="74">
        <f t="shared" ca="1" si="116"/>
      </c>
      <c r="N529" s="74">
        <f ca="1">VLOOKUP(B529,$C$7:$T527,13,FALSE)</f>
      </c>
      <c r="O529" s="74">
        <f t="shared" ca="1" si="117"/>
      </c>
      <c r="P529" s="74">
        <f t="shared" ca="1" si="118"/>
      </c>
      <c r="Q529" s="74">
        <f t="shared" ca="1" si="119"/>
      </c>
      <c r="R529" s="74">
        <f t="shared" si="120"/>
      </c>
      <c r="S529" s="74">
        <f t="shared" ca="1" si="121"/>
      </c>
      <c r="T529" s="74">
        <f t="shared" si="122"/>
      </c>
    </row>
    <row r="530" spans="2:20" x14ac:dyDescent="0.3">
      <c r="B530" s="74">
        <f t="shared" ca="1" si="112"/>
      </c>
      <c r="C530" s="78">
        <f>Кабельный_журнал!P496</f>
      </c>
      <c r="D530" s="74">
        <f t="shared" ca="1" si="113"/>
      </c>
      <c r="E530" s="80" t="s">
        <v>279</v>
      </c>
      <c r="F530" s="74">
        <f t="shared" ca="1" si="109"/>
      </c>
      <c r="G530" s="74">
        <f t="shared" si="110"/>
      </c>
      <c r="H530" s="80" t="s">
        <v>272</v>
      </c>
      <c r="I530" s="74">
        <f t="shared" si="111"/>
      </c>
      <c r="J530" s="74">
        <f t="shared" si="114"/>
      </c>
      <c r="K530" s="80" t="s">
        <v>280</v>
      </c>
      <c r="L530" s="74">
        <f t="shared" si="115"/>
      </c>
      <c r="M530" s="74">
        <f t="shared" ca="1" si="116"/>
      </c>
      <c r="N530" s="74">
        <f ca="1">VLOOKUP(B530,$C$7:$T528,13,FALSE)</f>
      </c>
      <c r="O530" s="74">
        <f t="shared" ca="1" si="117"/>
      </c>
      <c r="P530" s="74">
        <f t="shared" ca="1" si="118"/>
      </c>
      <c r="Q530" s="74">
        <f t="shared" ca="1" si="119"/>
      </c>
      <c r="R530" s="74">
        <f t="shared" si="120"/>
      </c>
      <c r="S530" s="74">
        <f t="shared" ca="1" si="121"/>
      </c>
      <c r="T530" s="74">
        <f t="shared" si="122"/>
      </c>
    </row>
    <row r="531" spans="2:20" x14ac:dyDescent="0.3">
      <c r="B531" s="74">
        <f t="shared" ca="1" si="112"/>
      </c>
      <c r="C531" s="78">
        <f>Кабельный_журнал!P497</f>
      </c>
      <c r="D531" s="74">
        <f t="shared" ca="1" si="113"/>
      </c>
      <c r="E531" s="80" t="s">
        <v>279</v>
      </c>
      <c r="F531" s="74">
        <f t="shared" ca="1" si="109"/>
      </c>
      <c r="G531" s="74">
        <f t="shared" si="110"/>
      </c>
      <c r="H531" s="80" t="s">
        <v>272</v>
      </c>
      <c r="I531" s="74">
        <f t="shared" si="111"/>
      </c>
      <c r="J531" s="74">
        <f t="shared" si="114"/>
      </c>
      <c r="K531" s="80" t="s">
        <v>280</v>
      </c>
      <c r="L531" s="74">
        <f t="shared" si="115"/>
      </c>
      <c r="M531" s="74">
        <f t="shared" ca="1" si="116"/>
      </c>
      <c r="N531" s="74">
        <f ca="1">VLOOKUP(B531,$C$7:$T529,13,FALSE)</f>
      </c>
      <c r="O531" s="74">
        <f t="shared" ca="1" si="117"/>
      </c>
      <c r="P531" s="74">
        <f t="shared" ca="1" si="118"/>
      </c>
      <c r="Q531" s="74">
        <f t="shared" ca="1" si="119"/>
      </c>
      <c r="R531" s="74">
        <f t="shared" si="120"/>
      </c>
      <c r="S531" s="74">
        <f t="shared" ca="1" si="121"/>
      </c>
      <c r="T531" s="74">
        <f t="shared" si="122"/>
      </c>
    </row>
    <row r="532" spans="2:20" x14ac:dyDescent="0.3">
      <c r="B532" s="74">
        <f t="shared" ca="1" si="112"/>
      </c>
      <c r="C532" s="78">
        <f>Кабельный_журнал!P498</f>
      </c>
      <c r="D532" s="74">
        <f t="shared" ca="1" si="113"/>
      </c>
      <c r="E532" s="80" t="s">
        <v>279</v>
      </c>
      <c r="F532" s="74">
        <f t="shared" ca="1" si="109"/>
      </c>
      <c r="G532" s="74">
        <f t="shared" si="110"/>
      </c>
      <c r="H532" s="80" t="s">
        <v>272</v>
      </c>
      <c r="I532" s="74">
        <f t="shared" si="111"/>
      </c>
      <c r="J532" s="74">
        <f t="shared" si="114"/>
      </c>
      <c r="K532" s="80" t="s">
        <v>280</v>
      </c>
      <c r="L532" s="74">
        <f t="shared" si="115"/>
      </c>
      <c r="M532" s="74">
        <f t="shared" ca="1" si="116"/>
      </c>
      <c r="N532" s="74">
        <f ca="1">VLOOKUP(B532,$C$7:$T530,13,FALSE)</f>
      </c>
      <c r="O532" s="74">
        <f t="shared" ca="1" si="117"/>
      </c>
      <c r="P532" s="74">
        <f t="shared" ca="1" si="118"/>
      </c>
      <c r="Q532" s="74">
        <f t="shared" ca="1" si="119"/>
      </c>
      <c r="R532" s="74">
        <f t="shared" si="120"/>
      </c>
      <c r="S532" s="74">
        <f t="shared" ca="1" si="121"/>
      </c>
      <c r="T532" s="74">
        <f t="shared" si="122"/>
      </c>
    </row>
    <row r="533" spans="2:20" x14ac:dyDescent="0.3">
      <c r="B533" s="74">
        <f t="shared" ca="1" si="112"/>
      </c>
      <c r="C533" s="78">
        <f>Кабельный_журнал!P499</f>
      </c>
      <c r="D533" s="74">
        <f t="shared" ca="1" si="113"/>
      </c>
      <c r="E533" s="80" t="s">
        <v>279</v>
      </c>
      <c r="F533" s="74">
        <f t="shared" ca="1" si="109"/>
      </c>
      <c r="G533" s="74">
        <f t="shared" si="110"/>
      </c>
      <c r="H533" s="80" t="s">
        <v>272</v>
      </c>
      <c r="I533" s="74">
        <f t="shared" si="111"/>
      </c>
      <c r="J533" s="74">
        <f t="shared" si="114"/>
      </c>
      <c r="K533" s="80" t="s">
        <v>280</v>
      </c>
      <c r="L533" s="74">
        <f t="shared" si="115"/>
      </c>
      <c r="M533" s="74">
        <f t="shared" ca="1" si="116"/>
      </c>
      <c r="N533" s="74">
        <f ca="1">VLOOKUP(B533,$C$7:$T531,13,FALSE)</f>
      </c>
      <c r="O533" s="74">
        <f t="shared" ca="1" si="117"/>
      </c>
      <c r="P533" s="74">
        <f t="shared" ca="1" si="118"/>
      </c>
      <c r="Q533" s="74">
        <f t="shared" ca="1" si="119"/>
      </c>
      <c r="R533" s="74">
        <f t="shared" si="120"/>
      </c>
      <c r="S533" s="74">
        <f t="shared" ca="1" si="121"/>
      </c>
      <c r="T533" s="74">
        <f t="shared" si="122"/>
      </c>
    </row>
    <row r="534" spans="2:20" x14ac:dyDescent="0.3">
      <c r="B534" s="74">
        <f t="shared" ca="1" si="112"/>
      </c>
      <c r="C534" s="78">
        <f>Кабельный_журнал!P500</f>
      </c>
      <c r="D534" s="74">
        <f t="shared" ca="1" si="113"/>
      </c>
      <c r="E534" s="80" t="s">
        <v>279</v>
      </c>
      <c r="F534" s="74">
        <f t="shared" ca="1" si="109"/>
      </c>
      <c r="G534" s="74">
        <f t="shared" si="110"/>
      </c>
      <c r="H534" s="80" t="s">
        <v>272</v>
      </c>
      <c r="I534" s="74">
        <f t="shared" si="111"/>
      </c>
      <c r="J534" s="74">
        <f t="shared" si="114"/>
      </c>
      <c r="K534" s="80" t="s">
        <v>280</v>
      </c>
      <c r="L534" s="74">
        <f t="shared" si="115"/>
      </c>
      <c r="M534" s="74">
        <f t="shared" ca="1" si="116"/>
      </c>
      <c r="N534" s="74">
        <f ca="1">VLOOKUP(B534,$C$7:$T532,13,FALSE)</f>
      </c>
      <c r="O534" s="74">
        <f t="shared" ca="1" si="117"/>
      </c>
      <c r="P534" s="74">
        <f t="shared" ca="1" si="118"/>
      </c>
      <c r="Q534" s="74">
        <f t="shared" ca="1" si="119"/>
      </c>
      <c r="R534" s="74">
        <f t="shared" si="120"/>
      </c>
      <c r="S534" s="74">
        <f t="shared" ca="1" si="121"/>
      </c>
      <c r="T534" s="74">
        <f t="shared" si="122"/>
      </c>
    </row>
    <row r="535" spans="2:20" x14ac:dyDescent="0.3">
      <c r="B535" s="74">
        <f t="shared" ca="1" si="112"/>
      </c>
      <c r="C535" s="78">
        <f>Кабельный_журнал!P501</f>
      </c>
      <c r="D535" s="74">
        <f t="shared" ca="1" si="113"/>
      </c>
      <c r="E535" s="80" t="s">
        <v>279</v>
      </c>
      <c r="F535" s="74">
        <f t="shared" ca="1" si="109"/>
      </c>
      <c r="G535" s="74">
        <f t="shared" si="110"/>
      </c>
      <c r="H535" s="80" t="s">
        <v>272</v>
      </c>
      <c r="I535" s="74">
        <f t="shared" si="111"/>
      </c>
      <c r="J535" s="74">
        <f t="shared" si="114"/>
      </c>
      <c r="K535" s="80" t="s">
        <v>280</v>
      </c>
      <c r="L535" s="74">
        <f t="shared" si="115"/>
      </c>
      <c r="M535" s="74">
        <f t="shared" ca="1" si="116"/>
      </c>
      <c r="N535" s="74">
        <f ca="1">VLOOKUP(B535,$C$7:$T533,13,FALSE)</f>
      </c>
      <c r="O535" s="74">
        <f t="shared" ca="1" si="117"/>
      </c>
      <c r="P535" s="74">
        <f t="shared" ca="1" si="118"/>
      </c>
      <c r="Q535" s="74">
        <f t="shared" ca="1" si="119"/>
      </c>
      <c r="R535" s="74">
        <f t="shared" si="120"/>
      </c>
      <c r="S535" s="74">
        <f t="shared" ca="1" si="121"/>
      </c>
      <c r="T535" s="74">
        <f t="shared" si="122"/>
      </c>
    </row>
    <row r="536" spans="2:20" x14ac:dyDescent="0.3">
      <c r="B536" s="74">
        <f t="shared" ca="1" si="112"/>
      </c>
      <c r="C536" s="78">
        <f>Кабельный_журнал!P502</f>
      </c>
      <c r="D536" s="74">
        <f t="shared" ca="1" si="113"/>
      </c>
      <c r="E536" s="80" t="s">
        <v>279</v>
      </c>
      <c r="F536" s="74">
        <f t="shared" ca="1" si="109"/>
      </c>
      <c r="G536" s="74">
        <f t="shared" si="110"/>
      </c>
      <c r="H536" s="80" t="s">
        <v>272</v>
      </c>
      <c r="I536" s="74">
        <f t="shared" si="111"/>
      </c>
      <c r="J536" s="74">
        <f t="shared" si="114"/>
      </c>
      <c r="K536" s="80" t="s">
        <v>280</v>
      </c>
      <c r="L536" s="74">
        <f t="shared" si="115"/>
      </c>
      <c r="M536" s="74">
        <f t="shared" ca="1" si="116"/>
      </c>
      <c r="N536" s="74">
        <f ca="1">VLOOKUP(B536,$C$7:$T534,13,FALSE)</f>
      </c>
      <c r="O536" s="74">
        <f t="shared" ca="1" si="117"/>
      </c>
      <c r="P536" s="74">
        <f t="shared" ca="1" si="118"/>
      </c>
      <c r="Q536" s="74">
        <f t="shared" ca="1" si="119"/>
      </c>
      <c r="R536" s="74">
        <f t="shared" si="120"/>
      </c>
      <c r="S536" s="74">
        <f t="shared" ca="1" si="121"/>
      </c>
      <c r="T536" s="74">
        <f t="shared" si="122"/>
      </c>
    </row>
    <row r="537" spans="2:20" x14ac:dyDescent="0.3">
      <c r="B537" s="74">
        <f t="shared" ca="1" si="112"/>
      </c>
      <c r="C537" s="78">
        <f>Кабельный_журнал!P503</f>
      </c>
      <c r="D537" s="74">
        <f t="shared" ca="1" si="113"/>
      </c>
      <c r="E537" s="80" t="s">
        <v>279</v>
      </c>
      <c r="F537" s="74">
        <f t="shared" ca="1" si="109"/>
      </c>
      <c r="G537" s="74">
        <f t="shared" si="110"/>
      </c>
      <c r="H537" s="80" t="s">
        <v>272</v>
      </c>
      <c r="I537" s="74">
        <f t="shared" si="111"/>
      </c>
      <c r="J537" s="74">
        <f t="shared" si="114"/>
      </c>
      <c r="K537" s="80" t="s">
        <v>280</v>
      </c>
      <c r="L537" s="74">
        <f t="shared" si="115"/>
      </c>
      <c r="M537" s="74">
        <f t="shared" ca="1" si="116"/>
      </c>
      <c r="N537" s="74">
        <f ca="1">VLOOKUP(B537,$C$7:$T535,13,FALSE)</f>
      </c>
      <c r="O537" s="74">
        <f t="shared" ca="1" si="117"/>
      </c>
      <c r="P537" s="74">
        <f t="shared" ca="1" si="118"/>
      </c>
      <c r="Q537" s="74">
        <f t="shared" ca="1" si="119"/>
      </c>
      <c r="R537" s="74">
        <f t="shared" si="120"/>
      </c>
      <c r="S537" s="74">
        <f t="shared" ca="1" si="121"/>
      </c>
      <c r="T537" s="74">
        <f t="shared" si="122"/>
      </c>
    </row>
    <row r="538" spans="2:20" x14ac:dyDescent="0.3">
      <c r="B538" s="74">
        <f t="shared" ca="1" si="112"/>
      </c>
      <c r="C538" s="78">
        <f>Кабельный_журнал!P504</f>
      </c>
      <c r="D538" s="74">
        <f t="shared" ca="1" si="113"/>
      </c>
      <c r="E538" s="80" t="s">
        <v>279</v>
      </c>
      <c r="F538" s="74">
        <f t="shared" ca="1" si="109"/>
      </c>
      <c r="G538" s="74">
        <f t="shared" si="110"/>
      </c>
      <c r="H538" s="80" t="s">
        <v>272</v>
      </c>
      <c r="I538" s="74">
        <f t="shared" si="111"/>
      </c>
      <c r="J538" s="74">
        <f t="shared" si="114"/>
      </c>
      <c r="K538" s="80" t="s">
        <v>280</v>
      </c>
      <c r="L538" s="74">
        <f t="shared" si="115"/>
      </c>
      <c r="M538" s="74">
        <f t="shared" ca="1" si="116"/>
      </c>
      <c r="N538" s="74">
        <f ca="1">VLOOKUP(B538,$C$7:$T536,13,FALSE)</f>
      </c>
      <c r="O538" s="74">
        <f t="shared" ca="1" si="117"/>
      </c>
      <c r="P538" s="74">
        <f t="shared" ca="1" si="118"/>
      </c>
      <c r="Q538" s="74">
        <f t="shared" ca="1" si="119"/>
      </c>
      <c r="R538" s="74">
        <f t="shared" si="120"/>
      </c>
      <c r="S538" s="74">
        <f t="shared" ca="1" si="121"/>
      </c>
      <c r="T538" s="74">
        <f t="shared" si="122"/>
      </c>
    </row>
    <row r="539" spans="2:20" x14ac:dyDescent="0.3">
      <c r="B539" s="74">
        <f t="shared" ca="1" si="112"/>
      </c>
      <c r="C539" s="78">
        <f>Кабельный_журнал!P505</f>
      </c>
      <c r="D539" s="74">
        <f t="shared" ca="1" si="113"/>
      </c>
      <c r="E539" s="80" t="s">
        <v>279</v>
      </c>
      <c r="F539" s="74">
        <f t="shared" ca="1" si="109"/>
      </c>
      <c r="G539" s="74">
        <f t="shared" si="110"/>
      </c>
      <c r="H539" s="80" t="s">
        <v>272</v>
      </c>
      <c r="I539" s="74">
        <f t="shared" si="111"/>
      </c>
      <c r="J539" s="74">
        <f t="shared" si="114"/>
      </c>
      <c r="K539" s="80" t="s">
        <v>280</v>
      </c>
      <c r="L539" s="74">
        <f t="shared" si="115"/>
      </c>
      <c r="M539" s="74">
        <f t="shared" ca="1" si="116"/>
      </c>
      <c r="N539" s="74">
        <f ca="1">VLOOKUP(B539,$C$7:$T537,13,FALSE)</f>
      </c>
      <c r="O539" s="74">
        <f t="shared" ca="1" si="117"/>
      </c>
      <c r="P539" s="74">
        <f t="shared" ca="1" si="118"/>
      </c>
      <c r="Q539" s="74">
        <f t="shared" ca="1" si="119"/>
      </c>
      <c r="R539" s="74">
        <f t="shared" si="120"/>
      </c>
      <c r="S539" s="74">
        <f t="shared" ca="1" si="121"/>
      </c>
      <c r="T539" s="74">
        <f t="shared" si="122"/>
      </c>
    </row>
    <row r="540" spans="2:20" x14ac:dyDescent="0.3">
      <c r="B540" s="74">
        <f t="shared" ca="1" si="112"/>
      </c>
      <c r="C540" s="78">
        <f>Кабельный_журнал!P506</f>
      </c>
      <c r="D540" s="74">
        <f t="shared" ca="1" si="113"/>
      </c>
      <c r="E540" s="80" t="s">
        <v>279</v>
      </c>
      <c r="F540" s="74">
        <f t="shared" ca="1" si="109"/>
      </c>
      <c r="G540" s="74">
        <f t="shared" si="110"/>
      </c>
      <c r="H540" s="80" t="s">
        <v>272</v>
      </c>
      <c r="I540" s="74">
        <f t="shared" si="111"/>
      </c>
      <c r="J540" s="74">
        <f t="shared" si="114"/>
      </c>
      <c r="K540" s="80" t="s">
        <v>280</v>
      </c>
      <c r="L540" s="74">
        <f t="shared" si="115"/>
      </c>
      <c r="M540" s="74">
        <f t="shared" ca="1" si="116"/>
      </c>
      <c r="N540" s="74">
        <f ca="1">VLOOKUP(B540,$C$7:$T538,13,FALSE)</f>
      </c>
      <c r="O540" s="74">
        <f t="shared" ca="1" si="117"/>
      </c>
      <c r="P540" s="74">
        <f t="shared" ca="1" si="118"/>
      </c>
      <c r="Q540" s="74">
        <f t="shared" ca="1" si="119"/>
      </c>
      <c r="R540" s="74">
        <f t="shared" si="120"/>
      </c>
      <c r="S540" s="74">
        <f t="shared" ca="1" si="121"/>
      </c>
      <c r="T540" s="74">
        <f t="shared" si="122"/>
      </c>
    </row>
    <row r="541" spans="2:20" x14ac:dyDescent="0.3">
      <c r="B541" s="74">
        <f t="shared" ca="1" si="112"/>
      </c>
      <c r="C541" s="78">
        <f>Кабельный_журнал!P507</f>
      </c>
      <c r="D541" s="74">
        <f t="shared" ca="1" si="113"/>
      </c>
      <c r="E541" s="80" t="s">
        <v>279</v>
      </c>
      <c r="F541" s="74">
        <f t="shared" ca="1" si="109"/>
      </c>
      <c r="G541" s="74">
        <f t="shared" si="110"/>
      </c>
      <c r="H541" s="80" t="s">
        <v>272</v>
      </c>
      <c r="I541" s="74">
        <f t="shared" si="111"/>
      </c>
      <c r="J541" s="74">
        <f t="shared" si="114"/>
      </c>
      <c r="K541" s="80" t="s">
        <v>280</v>
      </c>
      <c r="L541" s="74">
        <f t="shared" si="115"/>
      </c>
      <c r="M541" s="74">
        <f t="shared" ca="1" si="116"/>
      </c>
      <c r="N541" s="74">
        <f ca="1">VLOOKUP(B541,$C$7:$T539,13,FALSE)</f>
      </c>
      <c r="O541" s="74">
        <f t="shared" ca="1" si="117"/>
      </c>
      <c r="P541" s="74">
        <f t="shared" ca="1" si="118"/>
      </c>
      <c r="Q541" s="74">
        <f t="shared" ca="1" si="119"/>
      </c>
      <c r="R541" s="74">
        <f t="shared" si="120"/>
      </c>
      <c r="S541" s="74">
        <f t="shared" ca="1" si="121"/>
      </c>
      <c r="T541" s="74">
        <f t="shared" si="122"/>
      </c>
    </row>
    <row r="542" spans="2:20" x14ac:dyDescent="0.3">
      <c r="B542" s="74">
        <f t="shared" ca="1" si="112"/>
      </c>
      <c r="C542" s="78">
        <f>Кабельный_журнал!P508</f>
      </c>
      <c r="D542" s="74">
        <f t="shared" ca="1" si="113"/>
      </c>
      <c r="E542" s="80" t="s">
        <v>279</v>
      </c>
      <c r="F542" s="74">
        <f t="shared" ca="1" si="109"/>
      </c>
      <c r="G542" s="74">
        <f t="shared" si="110"/>
      </c>
      <c r="H542" s="80" t="s">
        <v>272</v>
      </c>
      <c r="I542" s="74">
        <f t="shared" si="111"/>
      </c>
      <c r="J542" s="74">
        <f t="shared" si="114"/>
      </c>
      <c r="K542" s="80" t="s">
        <v>280</v>
      </c>
      <c r="L542" s="74">
        <f t="shared" si="115"/>
      </c>
      <c r="M542" s="74">
        <f t="shared" ca="1" si="116"/>
      </c>
      <c r="N542" s="74">
        <f ca="1">VLOOKUP(B542,$C$7:$T540,13,FALSE)</f>
      </c>
      <c r="O542" s="74">
        <f t="shared" ca="1" si="117"/>
      </c>
      <c r="P542" s="74">
        <f t="shared" ca="1" si="118"/>
      </c>
      <c r="Q542" s="74">
        <f t="shared" ca="1" si="119"/>
      </c>
      <c r="R542" s="74">
        <f t="shared" si="120"/>
      </c>
      <c r="S542" s="74">
        <f t="shared" ca="1" si="121"/>
      </c>
      <c r="T542" s="74">
        <f t="shared" si="122"/>
      </c>
    </row>
    <row r="543" spans="2:20" x14ac:dyDescent="0.3">
      <c r="B543" s="74">
        <f t="shared" ca="1" si="112"/>
      </c>
      <c r="C543" s="78">
        <f>Кабельный_журнал!P509</f>
      </c>
      <c r="D543" s="74">
        <f t="shared" ca="1" si="113"/>
      </c>
      <c r="E543" s="80" t="s">
        <v>279</v>
      </c>
      <c r="F543" s="74">
        <f t="shared" ca="1" si="109"/>
      </c>
      <c r="G543" s="74">
        <f t="shared" si="110"/>
      </c>
      <c r="H543" s="80" t="s">
        <v>272</v>
      </c>
      <c r="I543" s="74">
        <f t="shared" si="111"/>
      </c>
      <c r="J543" s="74">
        <f t="shared" si="114"/>
      </c>
      <c r="K543" s="80" t="s">
        <v>280</v>
      </c>
      <c r="L543" s="74">
        <f t="shared" si="115"/>
      </c>
      <c r="M543" s="74">
        <f t="shared" ca="1" si="116"/>
      </c>
      <c r="N543" s="74">
        <f ca="1">VLOOKUP(B543,$C$7:$T541,13,FALSE)</f>
      </c>
      <c r="O543" s="74">
        <f t="shared" ca="1" si="117"/>
      </c>
      <c r="P543" s="74">
        <f t="shared" ca="1" si="118"/>
      </c>
      <c r="Q543" s="74">
        <f t="shared" ca="1" si="119"/>
      </c>
      <c r="R543" s="74">
        <f t="shared" si="120"/>
      </c>
      <c r="S543" s="74">
        <f t="shared" ca="1" si="121"/>
      </c>
      <c r="T543" s="74">
        <f t="shared" si="122"/>
      </c>
    </row>
    <row r="544" spans="2:20" x14ac:dyDescent="0.3">
      <c r="B544" s="74">
        <f t="shared" ca="1" si="112"/>
      </c>
      <c r="C544" s="78">
        <f>Кабельный_журнал!P510</f>
      </c>
      <c r="D544" s="74">
        <f t="shared" ca="1" si="113"/>
      </c>
      <c r="E544" s="80" t="s">
        <v>279</v>
      </c>
      <c r="F544" s="74">
        <f t="shared" ca="1" si="109"/>
      </c>
      <c r="G544" s="74">
        <f t="shared" si="110"/>
      </c>
      <c r="H544" s="80" t="s">
        <v>272</v>
      </c>
      <c r="I544" s="74">
        <f t="shared" si="111"/>
      </c>
      <c r="J544" s="74">
        <f t="shared" si="114"/>
      </c>
      <c r="K544" s="80" t="s">
        <v>280</v>
      </c>
      <c r="L544" s="74">
        <f t="shared" si="115"/>
      </c>
      <c r="M544" s="74">
        <f t="shared" ca="1" si="116"/>
      </c>
      <c r="N544" s="74">
        <f ca="1">VLOOKUP(B544,$C$7:$T542,13,FALSE)</f>
      </c>
      <c r="O544" s="74">
        <f t="shared" ca="1" si="117"/>
      </c>
      <c r="P544" s="74">
        <f t="shared" ca="1" si="118"/>
      </c>
      <c r="Q544" s="74">
        <f t="shared" ca="1" si="119"/>
      </c>
      <c r="R544" s="74">
        <f t="shared" si="120"/>
      </c>
      <c r="S544" s="74">
        <f t="shared" ca="1" si="121"/>
      </c>
      <c r="T544" s="74">
        <f t="shared" si="122"/>
      </c>
    </row>
    <row r="545" spans="2:20" x14ac:dyDescent="0.3">
      <c r="B545" s="74">
        <f t="shared" ca="1" si="112"/>
      </c>
      <c r="C545" s="78">
        <f>Кабельный_журнал!P511</f>
      </c>
      <c r="D545" s="74">
        <f t="shared" ca="1" si="113"/>
      </c>
      <c r="E545" s="80" t="s">
        <v>279</v>
      </c>
      <c r="F545" s="74">
        <f t="shared" ca="1" si="109"/>
      </c>
      <c r="G545" s="74">
        <f t="shared" si="110"/>
      </c>
      <c r="H545" s="80" t="s">
        <v>272</v>
      </c>
      <c r="I545" s="74">
        <f t="shared" si="111"/>
      </c>
      <c r="J545" s="74">
        <f t="shared" si="114"/>
      </c>
      <c r="K545" s="80" t="s">
        <v>280</v>
      </c>
      <c r="L545" s="74">
        <f t="shared" si="115"/>
      </c>
      <c r="M545" s="74">
        <f t="shared" ca="1" si="116"/>
      </c>
      <c r="N545" s="74">
        <f ca="1">VLOOKUP(B545,$C$7:$T543,13,FALSE)</f>
      </c>
      <c r="O545" s="74">
        <f t="shared" ca="1" si="117"/>
      </c>
      <c r="P545" s="74">
        <f t="shared" ca="1" si="118"/>
      </c>
      <c r="Q545" s="74">
        <f t="shared" ca="1" si="119"/>
      </c>
      <c r="R545" s="74">
        <f t="shared" si="120"/>
      </c>
      <c r="S545" s="74">
        <f t="shared" ca="1" si="121"/>
      </c>
      <c r="T545" s="74">
        <f t="shared" si="122"/>
      </c>
    </row>
    <row r="546" spans="2:20" x14ac:dyDescent="0.3">
      <c r="B546" s="74">
        <f t="shared" ca="1" si="112"/>
      </c>
      <c r="C546" s="78">
        <f>Кабельный_журнал!P512</f>
      </c>
      <c r="D546" s="74">
        <f t="shared" ca="1" si="113"/>
      </c>
      <c r="E546" s="80" t="s">
        <v>279</v>
      </c>
      <c r="F546" s="74">
        <f t="shared" ca="1" si="109"/>
      </c>
      <c r="G546" s="74">
        <f t="shared" si="110"/>
      </c>
      <c r="H546" s="80" t="s">
        <v>272</v>
      </c>
      <c r="I546" s="74">
        <f t="shared" si="111"/>
      </c>
      <c r="J546" s="74">
        <f t="shared" si="114"/>
      </c>
      <c r="K546" s="80" t="s">
        <v>280</v>
      </c>
      <c r="L546" s="74">
        <f t="shared" si="115"/>
      </c>
      <c r="M546" s="74">
        <f t="shared" ca="1" si="116"/>
      </c>
      <c r="N546" s="74">
        <f ca="1">VLOOKUP(B546,$C$7:$T544,13,FALSE)</f>
      </c>
      <c r="O546" s="74">
        <f t="shared" ca="1" si="117"/>
      </c>
      <c r="P546" s="74">
        <f t="shared" ca="1" si="118"/>
      </c>
      <c r="Q546" s="74">
        <f t="shared" ca="1" si="119"/>
      </c>
      <c r="R546" s="74">
        <f t="shared" si="120"/>
      </c>
      <c r="S546" s="74">
        <f t="shared" ca="1" si="121"/>
      </c>
      <c r="T546" s="74">
        <f t="shared" si="122"/>
      </c>
    </row>
    <row r="547" spans="2:20" x14ac:dyDescent="0.3">
      <c r="B547" s="74">
        <f t="shared" ca="1" si="112"/>
      </c>
      <c r="C547" s="78">
        <f>Кабельный_журнал!P513</f>
      </c>
      <c r="D547" s="74">
        <f t="shared" ca="1" si="113"/>
      </c>
      <c r="E547" s="80" t="s">
        <v>279</v>
      </c>
      <c r="F547" s="74">
        <f t="shared" ca="1" si="109"/>
      </c>
      <c r="G547" s="74">
        <f t="shared" si="110"/>
      </c>
      <c r="H547" s="80" t="s">
        <v>272</v>
      </c>
      <c r="I547" s="74">
        <f t="shared" si="111"/>
      </c>
      <c r="J547" s="74">
        <f t="shared" si="114"/>
      </c>
      <c r="K547" s="80" t="s">
        <v>280</v>
      </c>
      <c r="L547" s="74">
        <f t="shared" si="115"/>
      </c>
      <c r="M547" s="74">
        <f t="shared" ca="1" si="116"/>
      </c>
      <c r="N547" s="74">
        <f ca="1">VLOOKUP(B547,$C$7:$T545,13,FALSE)</f>
      </c>
      <c r="O547" s="74">
        <f t="shared" ca="1" si="117"/>
      </c>
      <c r="P547" s="74">
        <f t="shared" ca="1" si="118"/>
      </c>
      <c r="Q547" s="74">
        <f t="shared" ca="1" si="119"/>
      </c>
      <c r="R547" s="74">
        <f t="shared" si="120"/>
      </c>
      <c r="S547" s="74">
        <f t="shared" ca="1" si="121"/>
      </c>
      <c r="T547" s="74">
        <f t="shared" si="122"/>
      </c>
    </row>
    <row r="548" spans="2:20" x14ac:dyDescent="0.3">
      <c r="B548" s="74">
        <f t="shared" ca="1" si="112"/>
      </c>
      <c r="C548" s="78">
        <f>Кабельный_журнал!P514</f>
      </c>
      <c r="D548" s="74">
        <f t="shared" ca="1" si="113"/>
      </c>
      <c r="E548" s="80" t="s">
        <v>279</v>
      </c>
      <c r="F548" s="74">
        <f t="shared" ca="1" si="109"/>
      </c>
      <c r="G548" s="74">
        <f t="shared" si="110"/>
      </c>
      <c r="H548" s="80" t="s">
        <v>272</v>
      </c>
      <c r="I548" s="74">
        <f t="shared" si="111"/>
      </c>
      <c r="J548" s="74">
        <f t="shared" si="114"/>
      </c>
      <c r="K548" s="80" t="s">
        <v>280</v>
      </c>
      <c r="L548" s="74">
        <f t="shared" si="115"/>
      </c>
      <c r="M548" s="74">
        <f t="shared" ca="1" si="116"/>
      </c>
      <c r="N548" s="74">
        <f ca="1">VLOOKUP(B548,$C$7:$T546,13,FALSE)</f>
      </c>
      <c r="O548" s="74">
        <f t="shared" ca="1" si="117"/>
      </c>
      <c r="P548" s="74">
        <f t="shared" ca="1" si="118"/>
      </c>
      <c r="Q548" s="74">
        <f t="shared" ca="1" si="119"/>
      </c>
      <c r="R548" s="74">
        <f t="shared" si="120"/>
      </c>
      <c r="S548" s="74">
        <f t="shared" ca="1" si="121"/>
      </c>
      <c r="T548" s="74">
        <f t="shared" si="122"/>
      </c>
    </row>
    <row r="549" spans="2:20" x14ac:dyDescent="0.3">
      <c r="B549" s="74">
        <f t="shared" ca="1" si="112"/>
      </c>
      <c r="C549" s="78">
        <f>Кабельный_журнал!P515</f>
      </c>
      <c r="D549" s="74">
        <f t="shared" ca="1" si="113"/>
      </c>
      <c r="E549" s="80" t="s">
        <v>279</v>
      </c>
      <c r="F549" s="74">
        <f t="shared" ca="1" si="109"/>
      </c>
      <c r="G549" s="74">
        <f t="shared" si="110"/>
      </c>
      <c r="H549" s="80" t="s">
        <v>272</v>
      </c>
      <c r="I549" s="74">
        <f t="shared" si="111"/>
      </c>
      <c r="J549" s="74">
        <f t="shared" si="114"/>
      </c>
      <c r="K549" s="80" t="s">
        <v>280</v>
      </c>
      <c r="L549" s="74">
        <f t="shared" si="115"/>
      </c>
      <c r="M549" s="74">
        <f t="shared" ca="1" si="116"/>
      </c>
      <c r="N549" s="74">
        <f ca="1">VLOOKUP(B549,$C$7:$T547,13,FALSE)</f>
      </c>
      <c r="O549" s="74">
        <f t="shared" ca="1" si="117"/>
      </c>
      <c r="P549" s="74">
        <f t="shared" ca="1" si="118"/>
      </c>
      <c r="Q549" s="74">
        <f t="shared" ca="1" si="119"/>
      </c>
      <c r="R549" s="74">
        <f t="shared" si="120"/>
      </c>
      <c r="S549" s="74">
        <f t="shared" ca="1" si="121"/>
      </c>
      <c r="T549" s="74">
        <f t="shared" si="122"/>
      </c>
    </row>
    <row r="550" spans="2:20" x14ac:dyDescent="0.3">
      <c r="B550" s="74">
        <f t="shared" ca="1" si="112"/>
      </c>
      <c r="C550" s="78">
        <f>Кабельный_журнал!P516</f>
      </c>
      <c r="D550" s="74">
        <f t="shared" ca="1" si="113"/>
      </c>
      <c r="E550" s="80" t="s">
        <v>279</v>
      </c>
      <c r="F550" s="74">
        <f t="shared" ca="1" si="109"/>
      </c>
      <c r="G550" s="74">
        <f t="shared" si="110"/>
      </c>
      <c r="H550" s="80" t="s">
        <v>272</v>
      </c>
      <c r="I550" s="74">
        <f t="shared" si="111"/>
      </c>
      <c r="J550" s="74">
        <f t="shared" si="114"/>
      </c>
      <c r="K550" s="80" t="s">
        <v>280</v>
      </c>
      <c r="L550" s="74">
        <f t="shared" si="115"/>
      </c>
      <c r="M550" s="74">
        <f t="shared" ca="1" si="116"/>
      </c>
      <c r="N550" s="74">
        <f ca="1">VLOOKUP(B550,$C$7:$T548,13,FALSE)</f>
      </c>
      <c r="O550" s="74">
        <f t="shared" ca="1" si="117"/>
      </c>
      <c r="P550" s="74">
        <f t="shared" ca="1" si="118"/>
      </c>
      <c r="Q550" s="74">
        <f t="shared" ca="1" si="119"/>
      </c>
      <c r="R550" s="74">
        <f t="shared" si="120"/>
      </c>
      <c r="S550" s="74">
        <f t="shared" ca="1" si="121"/>
      </c>
      <c r="T550" s="74">
        <f t="shared" si="122"/>
      </c>
    </row>
    <row r="551" spans="2:20" x14ac:dyDescent="0.3">
      <c r="B551" s="74">
        <f t="shared" ca="1" si="112"/>
      </c>
      <c r="C551" s="78">
        <f>Кабельный_журнал!P517</f>
      </c>
      <c r="D551" s="74">
        <f t="shared" ca="1" si="113"/>
      </c>
      <c r="E551" s="80" t="s">
        <v>279</v>
      </c>
      <c r="F551" s="74">
        <f t="shared" ref="F551:F614" ca="1" si="123">VLOOKUP(C551,Кабельный_журнал,8,FALSE)</f>
      </c>
      <c r="G551" s="74">
        <f t="shared" ref="G551:G614" si="124">VLOOKUP(C551,Исходные_данные,21,FALSE)</f>
      </c>
      <c r="H551" s="80" t="s">
        <v>272</v>
      </c>
      <c r="I551" s="74">
        <f t="shared" ref="I551:I614" si="125">VLOOKUP(C551,Исходные_данные,22,FALSE)</f>
      </c>
      <c r="J551" s="74">
        <f t="shared" si="114"/>
      </c>
      <c r="K551" s="80" t="s">
        <v>280</v>
      </c>
      <c r="L551" s="74">
        <f t="shared" si="115"/>
      </c>
      <c r="M551" s="74">
        <f t="shared" ca="1" si="116"/>
      </c>
      <c r="N551" s="74">
        <f ca="1">VLOOKUP(B551,$C$7:$T549,13,FALSE)</f>
      </c>
      <c r="O551" s="74">
        <f t="shared" ca="1" si="117"/>
      </c>
      <c r="P551" s="74">
        <f t="shared" ca="1" si="118"/>
      </c>
      <c r="Q551" s="74">
        <f t="shared" ca="1" si="119"/>
      </c>
      <c r="R551" s="74">
        <f t="shared" si="120"/>
      </c>
      <c r="S551" s="74">
        <f t="shared" ca="1" si="121"/>
      </c>
      <c r="T551" s="74">
        <f t="shared" si="122"/>
      </c>
    </row>
    <row r="552" spans="2:20" x14ac:dyDescent="0.3">
      <c r="B552" s="74">
        <f t="shared" ref="B552:B615" ca="1" si="126">VLOOKUP(C552,Кабельный_журнал,2,FALSE)</f>
      </c>
      <c r="C552" s="78">
        <f>Кабельный_журнал!P518</f>
      </c>
      <c r="D552" s="74">
        <f t="shared" ref="D552:D615" ca="1" si="127">B552&amp;"-"&amp;C552</f>
      </c>
      <c r="E552" s="80" t="s">
        <v>279</v>
      </c>
      <c r="F552" s="74">
        <f t="shared" ca="1" si="123"/>
      </c>
      <c r="G552" s="74">
        <f t="shared" si="124"/>
      </c>
      <c r="H552" s="80" t="s">
        <v>272</v>
      </c>
      <c r="I552" s="74">
        <f t="shared" si="125"/>
      </c>
      <c r="J552" s="74">
        <f t="shared" ref="J552:J615" si="128">I552</f>
      </c>
      <c r="K552" s="80" t="s">
        <v>280</v>
      </c>
      <c r="L552" s="74">
        <f t="shared" ref="L552:L615" si="129">VLOOKUP(K552,$K$2:$L$3,2,FALSE)</f>
      </c>
      <c r="M552" s="74">
        <f t="shared" ref="M552:M615" ca="1" si="130">L552*F552*(1/I552+1/J552)</f>
      </c>
      <c r="N552" s="74">
        <f ca="1">VLOOKUP(B552,$C$7:$T550,13,FALSE)</f>
      </c>
      <c r="O552" s="74">
        <f t="shared" ref="O552:O615" ca="1" si="131">L552+M552</f>
      </c>
      <c r="P552" s="74">
        <f t="shared" ref="P552:P615" ca="1" si="132">220/O552</f>
      </c>
      <c r="Q552" s="74">
        <f t="shared" ref="Q552:Q615" ca="1" si="133">O552/G552</f>
      </c>
      <c r="R552" s="74">
        <f t="shared" ref="R552:R615" si="134">VLOOKUP(H552,$W$2:$Y$12,3,FALSE)</f>
      </c>
      <c r="S552" s="74">
        <f t="shared" ref="S552:S615" ca="1" si="135">_xlfn.IFS(E552="щит",IF(P552&gt;R552,"Увел сеч",IF(T552&gt;P552,"Увел сеч","tср&lt;5с")),E552="потреб",IF(P552&gt;R552,"Увел сеч",IF(T552&gt;P552,"Увел сеч","tср&lt;0.4с")))</f>
      </c>
      <c r="T552" s="74">
        <f t="shared" ref="T552:T615" si="136">G552*VLOOKUP(H552,$W$2:$Y$12,2,FALSE)</f>
      </c>
    </row>
    <row r="553" spans="2:20" x14ac:dyDescent="0.3">
      <c r="B553" s="74">
        <f t="shared" ca="1" si="126"/>
      </c>
      <c r="C553" s="78">
        <f>Кабельный_журнал!P519</f>
      </c>
      <c r="D553" s="74">
        <f t="shared" ca="1" si="127"/>
      </c>
      <c r="E553" s="80" t="s">
        <v>279</v>
      </c>
      <c r="F553" s="74">
        <f t="shared" ca="1" si="123"/>
      </c>
      <c r="G553" s="74">
        <f t="shared" si="124"/>
      </c>
      <c r="H553" s="80" t="s">
        <v>272</v>
      </c>
      <c r="I553" s="74">
        <f t="shared" si="125"/>
      </c>
      <c r="J553" s="74">
        <f t="shared" si="128"/>
      </c>
      <c r="K553" s="80" t="s">
        <v>280</v>
      </c>
      <c r="L553" s="74">
        <f t="shared" si="129"/>
      </c>
      <c r="M553" s="74">
        <f t="shared" ca="1" si="130"/>
      </c>
      <c r="N553" s="74">
        <f ca="1">VLOOKUP(B553,$C$7:$T551,13,FALSE)</f>
      </c>
      <c r="O553" s="74">
        <f t="shared" ca="1" si="131"/>
      </c>
      <c r="P553" s="74">
        <f t="shared" ca="1" si="132"/>
      </c>
      <c r="Q553" s="74">
        <f t="shared" ca="1" si="133"/>
      </c>
      <c r="R553" s="74">
        <f t="shared" si="134"/>
      </c>
      <c r="S553" s="74">
        <f t="shared" ca="1" si="135"/>
      </c>
      <c r="T553" s="74">
        <f t="shared" si="136"/>
      </c>
    </row>
    <row r="554" spans="2:20" x14ac:dyDescent="0.3">
      <c r="B554" s="74">
        <f t="shared" ca="1" si="126"/>
      </c>
      <c r="C554" s="78">
        <f>Кабельный_журнал!P520</f>
      </c>
      <c r="D554" s="74">
        <f t="shared" ca="1" si="127"/>
      </c>
      <c r="E554" s="80" t="s">
        <v>279</v>
      </c>
      <c r="F554" s="74">
        <f t="shared" ca="1" si="123"/>
      </c>
      <c r="G554" s="74">
        <f t="shared" si="124"/>
      </c>
      <c r="H554" s="80" t="s">
        <v>272</v>
      </c>
      <c r="I554" s="74">
        <f t="shared" si="125"/>
      </c>
      <c r="J554" s="74">
        <f t="shared" si="128"/>
      </c>
      <c r="K554" s="80" t="s">
        <v>280</v>
      </c>
      <c r="L554" s="74">
        <f t="shared" si="129"/>
      </c>
      <c r="M554" s="74">
        <f t="shared" ca="1" si="130"/>
      </c>
      <c r="N554" s="74">
        <f ca="1">VLOOKUP(B554,$C$7:$T552,13,FALSE)</f>
      </c>
      <c r="O554" s="74">
        <f t="shared" ca="1" si="131"/>
      </c>
      <c r="P554" s="74">
        <f t="shared" ca="1" si="132"/>
      </c>
      <c r="Q554" s="74">
        <f t="shared" ca="1" si="133"/>
      </c>
      <c r="R554" s="74">
        <f t="shared" si="134"/>
      </c>
      <c r="S554" s="74">
        <f t="shared" ca="1" si="135"/>
      </c>
      <c r="T554" s="74">
        <f t="shared" si="136"/>
      </c>
    </row>
    <row r="555" spans="2:20" x14ac:dyDescent="0.3">
      <c r="B555" s="74">
        <f t="shared" ca="1" si="126"/>
      </c>
      <c r="C555" s="78">
        <f>Кабельный_журнал!P521</f>
      </c>
      <c r="D555" s="74">
        <f t="shared" ca="1" si="127"/>
      </c>
      <c r="E555" s="80" t="s">
        <v>279</v>
      </c>
      <c r="F555" s="74">
        <f t="shared" ca="1" si="123"/>
      </c>
      <c r="G555" s="74">
        <f t="shared" si="124"/>
      </c>
      <c r="H555" s="80" t="s">
        <v>272</v>
      </c>
      <c r="I555" s="74">
        <f t="shared" si="125"/>
      </c>
      <c r="J555" s="74">
        <f t="shared" si="128"/>
      </c>
      <c r="K555" s="80" t="s">
        <v>280</v>
      </c>
      <c r="L555" s="74">
        <f t="shared" si="129"/>
      </c>
      <c r="M555" s="74">
        <f t="shared" ca="1" si="130"/>
      </c>
      <c r="N555" s="74">
        <f ca="1">VLOOKUP(B555,$C$7:$T553,13,FALSE)</f>
      </c>
      <c r="O555" s="74">
        <f t="shared" ca="1" si="131"/>
      </c>
      <c r="P555" s="74">
        <f t="shared" ca="1" si="132"/>
      </c>
      <c r="Q555" s="74">
        <f t="shared" ca="1" si="133"/>
      </c>
      <c r="R555" s="74">
        <f t="shared" si="134"/>
      </c>
      <c r="S555" s="74">
        <f t="shared" ca="1" si="135"/>
      </c>
      <c r="T555" s="74">
        <f t="shared" si="136"/>
      </c>
    </row>
    <row r="556" spans="2:20" x14ac:dyDescent="0.3">
      <c r="B556" s="74">
        <f t="shared" ca="1" si="126"/>
      </c>
      <c r="C556" s="78">
        <f>Кабельный_журнал!P522</f>
      </c>
      <c r="D556" s="74">
        <f t="shared" ca="1" si="127"/>
      </c>
      <c r="E556" s="80" t="s">
        <v>279</v>
      </c>
      <c r="F556" s="74">
        <f t="shared" ca="1" si="123"/>
      </c>
      <c r="G556" s="74">
        <f t="shared" si="124"/>
      </c>
      <c r="H556" s="80" t="s">
        <v>272</v>
      </c>
      <c r="I556" s="74">
        <f t="shared" si="125"/>
      </c>
      <c r="J556" s="74">
        <f t="shared" si="128"/>
      </c>
      <c r="K556" s="80" t="s">
        <v>280</v>
      </c>
      <c r="L556" s="74">
        <f t="shared" si="129"/>
      </c>
      <c r="M556" s="74">
        <f t="shared" ca="1" si="130"/>
      </c>
      <c r="N556" s="74">
        <f ca="1">VLOOKUP(B556,$C$7:$T554,13,FALSE)</f>
      </c>
      <c r="O556" s="74">
        <f t="shared" ca="1" si="131"/>
      </c>
      <c r="P556" s="74">
        <f t="shared" ca="1" si="132"/>
      </c>
      <c r="Q556" s="74">
        <f t="shared" ca="1" si="133"/>
      </c>
      <c r="R556" s="74">
        <f t="shared" si="134"/>
      </c>
      <c r="S556" s="74">
        <f t="shared" ca="1" si="135"/>
      </c>
      <c r="T556" s="74">
        <f t="shared" si="136"/>
      </c>
    </row>
    <row r="557" spans="2:20" x14ac:dyDescent="0.3">
      <c r="B557" s="74">
        <f t="shared" ca="1" si="126"/>
      </c>
      <c r="C557" s="78">
        <f>Кабельный_журнал!P523</f>
      </c>
      <c r="D557" s="74">
        <f t="shared" ca="1" si="127"/>
      </c>
      <c r="E557" s="80" t="s">
        <v>279</v>
      </c>
      <c r="F557" s="74">
        <f t="shared" ca="1" si="123"/>
      </c>
      <c r="G557" s="74">
        <f t="shared" si="124"/>
      </c>
      <c r="H557" s="80" t="s">
        <v>272</v>
      </c>
      <c r="I557" s="74">
        <f t="shared" si="125"/>
      </c>
      <c r="J557" s="74">
        <f t="shared" si="128"/>
      </c>
      <c r="K557" s="80" t="s">
        <v>280</v>
      </c>
      <c r="L557" s="74">
        <f t="shared" si="129"/>
      </c>
      <c r="M557" s="74">
        <f t="shared" ca="1" si="130"/>
      </c>
      <c r="N557" s="74">
        <f ca="1">VLOOKUP(B557,$C$7:$T555,13,FALSE)</f>
      </c>
      <c r="O557" s="74">
        <f t="shared" ca="1" si="131"/>
      </c>
      <c r="P557" s="74">
        <f t="shared" ca="1" si="132"/>
      </c>
      <c r="Q557" s="74">
        <f t="shared" ca="1" si="133"/>
      </c>
      <c r="R557" s="74">
        <f t="shared" si="134"/>
      </c>
      <c r="S557" s="74">
        <f t="shared" ca="1" si="135"/>
      </c>
      <c r="T557" s="74">
        <f t="shared" si="136"/>
      </c>
    </row>
    <row r="558" spans="2:20" x14ac:dyDescent="0.3">
      <c r="B558" s="74">
        <f t="shared" ca="1" si="126"/>
      </c>
      <c r="C558" s="78">
        <f>Кабельный_журнал!P524</f>
      </c>
      <c r="D558" s="74">
        <f t="shared" ca="1" si="127"/>
      </c>
      <c r="E558" s="80" t="s">
        <v>279</v>
      </c>
      <c r="F558" s="74">
        <f t="shared" ca="1" si="123"/>
      </c>
      <c r="G558" s="74">
        <f t="shared" si="124"/>
      </c>
      <c r="H558" s="80" t="s">
        <v>272</v>
      </c>
      <c r="I558" s="74">
        <f t="shared" si="125"/>
      </c>
      <c r="J558" s="74">
        <f t="shared" si="128"/>
      </c>
      <c r="K558" s="80" t="s">
        <v>280</v>
      </c>
      <c r="L558" s="74">
        <f t="shared" si="129"/>
      </c>
      <c r="M558" s="74">
        <f t="shared" ca="1" si="130"/>
      </c>
      <c r="N558" s="74">
        <f ca="1">VLOOKUP(B558,$C$7:$T556,13,FALSE)</f>
      </c>
      <c r="O558" s="74">
        <f t="shared" ca="1" si="131"/>
      </c>
      <c r="P558" s="74">
        <f t="shared" ca="1" si="132"/>
      </c>
      <c r="Q558" s="74">
        <f t="shared" ca="1" si="133"/>
      </c>
      <c r="R558" s="74">
        <f t="shared" si="134"/>
      </c>
      <c r="S558" s="74">
        <f t="shared" ca="1" si="135"/>
      </c>
      <c r="T558" s="74">
        <f t="shared" si="136"/>
      </c>
    </row>
    <row r="559" spans="2:20" x14ac:dyDescent="0.3">
      <c r="B559" s="74">
        <f t="shared" ca="1" si="126"/>
      </c>
      <c r="C559" s="78">
        <f>Кабельный_журнал!P525</f>
      </c>
      <c r="D559" s="74">
        <f t="shared" ca="1" si="127"/>
      </c>
      <c r="E559" s="80" t="s">
        <v>279</v>
      </c>
      <c r="F559" s="74">
        <f t="shared" ca="1" si="123"/>
      </c>
      <c r="G559" s="74">
        <f t="shared" si="124"/>
      </c>
      <c r="H559" s="80" t="s">
        <v>272</v>
      </c>
      <c r="I559" s="74">
        <f t="shared" si="125"/>
      </c>
      <c r="J559" s="74">
        <f t="shared" si="128"/>
      </c>
      <c r="K559" s="80" t="s">
        <v>280</v>
      </c>
      <c r="L559" s="74">
        <f t="shared" si="129"/>
      </c>
      <c r="M559" s="74">
        <f t="shared" ca="1" si="130"/>
      </c>
      <c r="N559" s="74">
        <f ca="1">VLOOKUP(B559,$C$7:$T557,13,FALSE)</f>
      </c>
      <c r="O559" s="74">
        <f t="shared" ca="1" si="131"/>
      </c>
      <c r="P559" s="74">
        <f t="shared" ca="1" si="132"/>
      </c>
      <c r="Q559" s="74">
        <f t="shared" ca="1" si="133"/>
      </c>
      <c r="R559" s="74">
        <f t="shared" si="134"/>
      </c>
      <c r="S559" s="74">
        <f t="shared" ca="1" si="135"/>
      </c>
      <c r="T559" s="74">
        <f t="shared" si="136"/>
      </c>
    </row>
    <row r="560" spans="2:20" x14ac:dyDescent="0.3">
      <c r="B560" s="74">
        <f t="shared" ca="1" si="126"/>
      </c>
      <c r="C560" s="78">
        <f>Кабельный_журнал!P526</f>
      </c>
      <c r="D560" s="74">
        <f t="shared" ca="1" si="127"/>
      </c>
      <c r="E560" s="80" t="s">
        <v>279</v>
      </c>
      <c r="F560" s="74">
        <f t="shared" ca="1" si="123"/>
      </c>
      <c r="G560" s="74">
        <f t="shared" si="124"/>
      </c>
      <c r="H560" s="80" t="s">
        <v>272</v>
      </c>
      <c r="I560" s="74">
        <f t="shared" si="125"/>
      </c>
      <c r="J560" s="74">
        <f t="shared" si="128"/>
      </c>
      <c r="K560" s="80" t="s">
        <v>280</v>
      </c>
      <c r="L560" s="74">
        <f t="shared" si="129"/>
      </c>
      <c r="M560" s="74">
        <f t="shared" ca="1" si="130"/>
      </c>
      <c r="N560" s="74">
        <f ca="1">VLOOKUP(B560,$C$7:$T558,13,FALSE)</f>
      </c>
      <c r="O560" s="74">
        <f t="shared" ca="1" si="131"/>
      </c>
      <c r="P560" s="74">
        <f t="shared" ca="1" si="132"/>
      </c>
      <c r="Q560" s="74">
        <f t="shared" ca="1" si="133"/>
      </c>
      <c r="R560" s="74">
        <f t="shared" si="134"/>
      </c>
      <c r="S560" s="74">
        <f t="shared" ca="1" si="135"/>
      </c>
      <c r="T560" s="74">
        <f t="shared" si="136"/>
      </c>
    </row>
    <row r="561" spans="2:20" x14ac:dyDescent="0.3">
      <c r="B561" s="74">
        <f t="shared" ca="1" si="126"/>
      </c>
      <c r="C561" s="78">
        <f>Кабельный_журнал!P527</f>
      </c>
      <c r="D561" s="74">
        <f t="shared" ca="1" si="127"/>
      </c>
      <c r="E561" s="80" t="s">
        <v>279</v>
      </c>
      <c r="F561" s="74">
        <f t="shared" ca="1" si="123"/>
      </c>
      <c r="G561" s="74">
        <f t="shared" si="124"/>
      </c>
      <c r="H561" s="80" t="s">
        <v>272</v>
      </c>
      <c r="I561" s="74">
        <f t="shared" si="125"/>
      </c>
      <c r="J561" s="74">
        <f t="shared" si="128"/>
      </c>
      <c r="K561" s="80" t="s">
        <v>280</v>
      </c>
      <c r="L561" s="74">
        <f t="shared" si="129"/>
      </c>
      <c r="M561" s="74">
        <f t="shared" ca="1" si="130"/>
      </c>
      <c r="N561" s="74">
        <f ca="1">VLOOKUP(B561,$C$7:$T559,13,FALSE)</f>
      </c>
      <c r="O561" s="74">
        <f t="shared" ca="1" si="131"/>
      </c>
      <c r="P561" s="74">
        <f t="shared" ca="1" si="132"/>
      </c>
      <c r="Q561" s="74">
        <f t="shared" ca="1" si="133"/>
      </c>
      <c r="R561" s="74">
        <f t="shared" si="134"/>
      </c>
      <c r="S561" s="74">
        <f t="shared" ca="1" si="135"/>
      </c>
      <c r="T561" s="74">
        <f t="shared" si="136"/>
      </c>
    </row>
    <row r="562" spans="2:20" x14ac:dyDescent="0.3">
      <c r="B562" s="74">
        <f t="shared" ca="1" si="126"/>
      </c>
      <c r="C562" s="78">
        <f>Кабельный_журнал!P528</f>
      </c>
      <c r="D562" s="74">
        <f t="shared" ca="1" si="127"/>
      </c>
      <c r="E562" s="80" t="s">
        <v>279</v>
      </c>
      <c r="F562" s="74">
        <f t="shared" ca="1" si="123"/>
      </c>
      <c r="G562" s="74">
        <f t="shared" si="124"/>
      </c>
      <c r="H562" s="80" t="s">
        <v>272</v>
      </c>
      <c r="I562" s="74">
        <f t="shared" si="125"/>
      </c>
      <c r="J562" s="74">
        <f t="shared" si="128"/>
      </c>
      <c r="K562" s="80" t="s">
        <v>280</v>
      </c>
      <c r="L562" s="74">
        <f t="shared" si="129"/>
      </c>
      <c r="M562" s="74">
        <f t="shared" ca="1" si="130"/>
      </c>
      <c r="N562" s="74">
        <f ca="1">VLOOKUP(B562,$C$7:$T560,13,FALSE)</f>
      </c>
      <c r="O562" s="74">
        <f t="shared" ca="1" si="131"/>
      </c>
      <c r="P562" s="74">
        <f t="shared" ca="1" si="132"/>
      </c>
      <c r="Q562" s="74">
        <f t="shared" ca="1" si="133"/>
      </c>
      <c r="R562" s="74">
        <f t="shared" si="134"/>
      </c>
      <c r="S562" s="74">
        <f t="shared" ca="1" si="135"/>
      </c>
      <c r="T562" s="74">
        <f t="shared" si="136"/>
      </c>
    </row>
    <row r="563" spans="2:20" x14ac:dyDescent="0.3">
      <c r="B563" s="74">
        <f t="shared" ca="1" si="126"/>
      </c>
      <c r="C563" s="78">
        <f>Кабельный_журнал!P529</f>
      </c>
      <c r="D563" s="74">
        <f t="shared" ca="1" si="127"/>
      </c>
      <c r="E563" s="80" t="s">
        <v>279</v>
      </c>
      <c r="F563" s="74">
        <f t="shared" ca="1" si="123"/>
      </c>
      <c r="G563" s="74">
        <f t="shared" si="124"/>
      </c>
      <c r="H563" s="80" t="s">
        <v>272</v>
      </c>
      <c r="I563" s="74">
        <f t="shared" si="125"/>
      </c>
      <c r="J563" s="74">
        <f t="shared" si="128"/>
      </c>
      <c r="K563" s="80" t="s">
        <v>280</v>
      </c>
      <c r="L563" s="74">
        <f t="shared" si="129"/>
      </c>
      <c r="M563" s="74">
        <f t="shared" ca="1" si="130"/>
      </c>
      <c r="N563" s="74">
        <f ca="1">VLOOKUP(B563,$C$7:$T561,13,FALSE)</f>
      </c>
      <c r="O563" s="74">
        <f t="shared" ca="1" si="131"/>
      </c>
      <c r="P563" s="74">
        <f t="shared" ca="1" si="132"/>
      </c>
      <c r="Q563" s="74">
        <f t="shared" ca="1" si="133"/>
      </c>
      <c r="R563" s="74">
        <f t="shared" si="134"/>
      </c>
      <c r="S563" s="74">
        <f t="shared" ca="1" si="135"/>
      </c>
      <c r="T563" s="74">
        <f t="shared" si="136"/>
      </c>
    </row>
    <row r="564" spans="2:20" x14ac:dyDescent="0.3">
      <c r="B564" s="74">
        <f t="shared" ca="1" si="126"/>
      </c>
      <c r="C564" s="78">
        <f>Кабельный_журнал!P530</f>
      </c>
      <c r="D564" s="74">
        <f t="shared" ca="1" si="127"/>
      </c>
      <c r="E564" s="80" t="s">
        <v>279</v>
      </c>
      <c r="F564" s="74">
        <f t="shared" ca="1" si="123"/>
      </c>
      <c r="G564" s="74">
        <f t="shared" si="124"/>
      </c>
      <c r="H564" s="80" t="s">
        <v>272</v>
      </c>
      <c r="I564" s="74">
        <f t="shared" si="125"/>
      </c>
      <c r="J564" s="74">
        <f t="shared" si="128"/>
      </c>
      <c r="K564" s="80" t="s">
        <v>280</v>
      </c>
      <c r="L564" s="74">
        <f t="shared" si="129"/>
      </c>
      <c r="M564" s="74">
        <f t="shared" ca="1" si="130"/>
      </c>
      <c r="N564" s="74">
        <f ca="1">VLOOKUP(B564,$C$7:$T562,13,FALSE)</f>
      </c>
      <c r="O564" s="74">
        <f t="shared" ca="1" si="131"/>
      </c>
      <c r="P564" s="74">
        <f t="shared" ca="1" si="132"/>
      </c>
      <c r="Q564" s="74">
        <f t="shared" ca="1" si="133"/>
      </c>
      <c r="R564" s="74">
        <f t="shared" si="134"/>
      </c>
      <c r="S564" s="74">
        <f t="shared" ca="1" si="135"/>
      </c>
      <c r="T564" s="74">
        <f t="shared" si="136"/>
      </c>
    </row>
    <row r="565" spans="2:20" x14ac:dyDescent="0.3">
      <c r="B565" s="74">
        <f t="shared" ca="1" si="126"/>
      </c>
      <c r="C565" s="78">
        <f>Кабельный_журнал!P531</f>
      </c>
      <c r="D565" s="74">
        <f t="shared" ca="1" si="127"/>
      </c>
      <c r="E565" s="80" t="s">
        <v>279</v>
      </c>
      <c r="F565" s="74">
        <f t="shared" ca="1" si="123"/>
      </c>
      <c r="G565" s="74">
        <f t="shared" si="124"/>
      </c>
      <c r="H565" s="80" t="s">
        <v>272</v>
      </c>
      <c r="I565" s="74">
        <f t="shared" si="125"/>
      </c>
      <c r="J565" s="74">
        <f t="shared" si="128"/>
      </c>
      <c r="K565" s="80" t="s">
        <v>280</v>
      </c>
      <c r="L565" s="74">
        <f t="shared" si="129"/>
      </c>
      <c r="M565" s="74">
        <f t="shared" ca="1" si="130"/>
      </c>
      <c r="N565" s="74">
        <f ca="1">VLOOKUP(B565,$C$7:$T563,13,FALSE)</f>
      </c>
      <c r="O565" s="74">
        <f t="shared" ca="1" si="131"/>
      </c>
      <c r="P565" s="74">
        <f t="shared" ca="1" si="132"/>
      </c>
      <c r="Q565" s="74">
        <f t="shared" ca="1" si="133"/>
      </c>
      <c r="R565" s="74">
        <f t="shared" si="134"/>
      </c>
      <c r="S565" s="74">
        <f t="shared" ca="1" si="135"/>
      </c>
      <c r="T565" s="74">
        <f t="shared" si="136"/>
      </c>
    </row>
    <row r="566" spans="2:20" x14ac:dyDescent="0.3">
      <c r="B566" s="74">
        <f t="shared" ca="1" si="126"/>
      </c>
      <c r="C566" s="78">
        <f>Кабельный_журнал!P532</f>
      </c>
      <c r="D566" s="74">
        <f t="shared" ca="1" si="127"/>
      </c>
      <c r="E566" s="80" t="s">
        <v>279</v>
      </c>
      <c r="F566" s="74">
        <f t="shared" ca="1" si="123"/>
      </c>
      <c r="G566" s="74">
        <f t="shared" si="124"/>
      </c>
      <c r="H566" s="80" t="s">
        <v>272</v>
      </c>
      <c r="I566" s="74">
        <f t="shared" si="125"/>
      </c>
      <c r="J566" s="74">
        <f t="shared" si="128"/>
      </c>
      <c r="K566" s="80" t="s">
        <v>280</v>
      </c>
      <c r="L566" s="74">
        <f t="shared" si="129"/>
      </c>
      <c r="M566" s="74">
        <f t="shared" ca="1" si="130"/>
      </c>
      <c r="N566" s="74">
        <f ca="1">VLOOKUP(B566,$C$7:$T564,13,FALSE)</f>
      </c>
      <c r="O566" s="74">
        <f t="shared" ca="1" si="131"/>
      </c>
      <c r="P566" s="74">
        <f t="shared" ca="1" si="132"/>
      </c>
      <c r="Q566" s="74">
        <f t="shared" ca="1" si="133"/>
      </c>
      <c r="R566" s="74">
        <f t="shared" si="134"/>
      </c>
      <c r="S566" s="74">
        <f t="shared" ca="1" si="135"/>
      </c>
      <c r="T566" s="74">
        <f t="shared" si="136"/>
      </c>
    </row>
    <row r="567" spans="2:20" x14ac:dyDescent="0.3">
      <c r="B567" s="74">
        <f t="shared" ca="1" si="126"/>
      </c>
      <c r="C567" s="78">
        <f>Кабельный_журнал!P533</f>
      </c>
      <c r="D567" s="74">
        <f t="shared" ca="1" si="127"/>
      </c>
      <c r="E567" s="80" t="s">
        <v>279</v>
      </c>
      <c r="F567" s="74">
        <f t="shared" ca="1" si="123"/>
      </c>
      <c r="G567" s="74">
        <f t="shared" si="124"/>
      </c>
      <c r="H567" s="80" t="s">
        <v>272</v>
      </c>
      <c r="I567" s="74">
        <f t="shared" si="125"/>
      </c>
      <c r="J567" s="74">
        <f t="shared" si="128"/>
      </c>
      <c r="K567" s="80" t="s">
        <v>280</v>
      </c>
      <c r="L567" s="74">
        <f t="shared" si="129"/>
      </c>
      <c r="M567" s="74">
        <f t="shared" ca="1" si="130"/>
      </c>
      <c r="N567" s="74">
        <f ca="1">VLOOKUP(B567,$C$7:$T565,13,FALSE)</f>
      </c>
      <c r="O567" s="74">
        <f t="shared" ca="1" si="131"/>
      </c>
      <c r="P567" s="74">
        <f t="shared" ca="1" si="132"/>
      </c>
      <c r="Q567" s="74">
        <f t="shared" ca="1" si="133"/>
      </c>
      <c r="R567" s="74">
        <f t="shared" si="134"/>
      </c>
      <c r="S567" s="74">
        <f t="shared" ca="1" si="135"/>
      </c>
      <c r="T567" s="74">
        <f t="shared" si="136"/>
      </c>
    </row>
    <row r="568" spans="2:20" x14ac:dyDescent="0.3">
      <c r="B568" s="74">
        <f t="shared" ca="1" si="126"/>
      </c>
      <c r="C568" s="78">
        <f>Кабельный_журнал!P534</f>
      </c>
      <c r="D568" s="74">
        <f t="shared" ca="1" si="127"/>
      </c>
      <c r="E568" s="80" t="s">
        <v>279</v>
      </c>
      <c r="F568" s="74">
        <f t="shared" ca="1" si="123"/>
      </c>
      <c r="G568" s="74">
        <f t="shared" si="124"/>
      </c>
      <c r="H568" s="80" t="s">
        <v>272</v>
      </c>
      <c r="I568" s="74">
        <f t="shared" si="125"/>
      </c>
      <c r="J568" s="74">
        <f t="shared" si="128"/>
      </c>
      <c r="K568" s="80" t="s">
        <v>280</v>
      </c>
      <c r="L568" s="74">
        <f t="shared" si="129"/>
      </c>
      <c r="M568" s="74">
        <f t="shared" ca="1" si="130"/>
      </c>
      <c r="N568" s="74">
        <f ca="1">VLOOKUP(B568,$C$7:$T566,13,FALSE)</f>
      </c>
      <c r="O568" s="74">
        <f t="shared" ca="1" si="131"/>
      </c>
      <c r="P568" s="74">
        <f t="shared" ca="1" si="132"/>
      </c>
      <c r="Q568" s="74">
        <f t="shared" ca="1" si="133"/>
      </c>
      <c r="R568" s="74">
        <f t="shared" si="134"/>
      </c>
      <c r="S568" s="74">
        <f t="shared" ca="1" si="135"/>
      </c>
      <c r="T568" s="74">
        <f t="shared" si="136"/>
      </c>
    </row>
    <row r="569" spans="2:20" x14ac:dyDescent="0.3">
      <c r="B569" s="74">
        <f t="shared" ca="1" si="126"/>
      </c>
      <c r="C569" s="78">
        <f>Кабельный_журнал!P535</f>
      </c>
      <c r="D569" s="74">
        <f t="shared" ca="1" si="127"/>
      </c>
      <c r="E569" s="80" t="s">
        <v>279</v>
      </c>
      <c r="F569" s="74">
        <f t="shared" ca="1" si="123"/>
      </c>
      <c r="G569" s="74">
        <f t="shared" si="124"/>
      </c>
      <c r="H569" s="80" t="s">
        <v>272</v>
      </c>
      <c r="I569" s="74">
        <f t="shared" si="125"/>
      </c>
      <c r="J569" s="74">
        <f t="shared" si="128"/>
      </c>
      <c r="K569" s="80" t="s">
        <v>280</v>
      </c>
      <c r="L569" s="74">
        <f t="shared" si="129"/>
      </c>
      <c r="M569" s="74">
        <f t="shared" ca="1" si="130"/>
      </c>
      <c r="N569" s="74">
        <f ca="1">VLOOKUP(B569,$C$7:$T567,13,FALSE)</f>
      </c>
      <c r="O569" s="74">
        <f t="shared" ca="1" si="131"/>
      </c>
      <c r="P569" s="74">
        <f t="shared" ca="1" si="132"/>
      </c>
      <c r="Q569" s="74">
        <f t="shared" ca="1" si="133"/>
      </c>
      <c r="R569" s="74">
        <f t="shared" si="134"/>
      </c>
      <c r="S569" s="74">
        <f t="shared" ca="1" si="135"/>
      </c>
      <c r="T569" s="74">
        <f t="shared" si="136"/>
      </c>
    </row>
    <row r="570" spans="2:20" x14ac:dyDescent="0.3">
      <c r="B570" s="74">
        <f t="shared" ca="1" si="126"/>
      </c>
      <c r="C570" s="78">
        <f>Кабельный_журнал!P536</f>
      </c>
      <c r="D570" s="74">
        <f t="shared" ca="1" si="127"/>
      </c>
      <c r="E570" s="80" t="s">
        <v>279</v>
      </c>
      <c r="F570" s="74">
        <f t="shared" ca="1" si="123"/>
      </c>
      <c r="G570" s="74">
        <f t="shared" si="124"/>
      </c>
      <c r="H570" s="80" t="s">
        <v>272</v>
      </c>
      <c r="I570" s="74">
        <f t="shared" si="125"/>
      </c>
      <c r="J570" s="74">
        <f t="shared" si="128"/>
      </c>
      <c r="K570" s="80" t="s">
        <v>280</v>
      </c>
      <c r="L570" s="74">
        <f t="shared" si="129"/>
      </c>
      <c r="M570" s="74">
        <f t="shared" ca="1" si="130"/>
      </c>
      <c r="N570" s="74">
        <f ca="1">VLOOKUP(B570,$C$7:$T568,13,FALSE)</f>
      </c>
      <c r="O570" s="74">
        <f t="shared" ca="1" si="131"/>
      </c>
      <c r="P570" s="74">
        <f t="shared" ca="1" si="132"/>
      </c>
      <c r="Q570" s="74">
        <f t="shared" ca="1" si="133"/>
      </c>
      <c r="R570" s="74">
        <f t="shared" si="134"/>
      </c>
      <c r="S570" s="74">
        <f t="shared" ca="1" si="135"/>
      </c>
      <c r="T570" s="74">
        <f t="shared" si="136"/>
      </c>
    </row>
    <row r="571" spans="2:20" x14ac:dyDescent="0.3">
      <c r="B571" s="74">
        <f t="shared" ca="1" si="126"/>
      </c>
      <c r="C571" s="78">
        <f>Кабельный_журнал!P537</f>
      </c>
      <c r="D571" s="74">
        <f t="shared" ca="1" si="127"/>
      </c>
      <c r="E571" s="80" t="s">
        <v>279</v>
      </c>
      <c r="F571" s="74">
        <f t="shared" ca="1" si="123"/>
      </c>
      <c r="G571" s="74">
        <f t="shared" si="124"/>
      </c>
      <c r="H571" s="80" t="s">
        <v>272</v>
      </c>
      <c r="I571" s="74">
        <f t="shared" si="125"/>
      </c>
      <c r="J571" s="74">
        <f t="shared" si="128"/>
      </c>
      <c r="K571" s="80" t="s">
        <v>280</v>
      </c>
      <c r="L571" s="74">
        <f t="shared" si="129"/>
      </c>
      <c r="M571" s="74">
        <f t="shared" ca="1" si="130"/>
      </c>
      <c r="N571" s="74">
        <f ca="1">VLOOKUP(B571,$C$7:$T569,13,FALSE)</f>
      </c>
      <c r="O571" s="74">
        <f t="shared" ca="1" si="131"/>
      </c>
      <c r="P571" s="74">
        <f t="shared" ca="1" si="132"/>
      </c>
      <c r="Q571" s="74">
        <f t="shared" ca="1" si="133"/>
      </c>
      <c r="R571" s="74">
        <f t="shared" si="134"/>
      </c>
      <c r="S571" s="74">
        <f t="shared" ca="1" si="135"/>
      </c>
      <c r="T571" s="74">
        <f t="shared" si="136"/>
      </c>
    </row>
    <row r="572" spans="2:20" x14ac:dyDescent="0.3">
      <c r="B572" s="74">
        <f t="shared" ca="1" si="126"/>
      </c>
      <c r="C572" s="78">
        <f>Кабельный_журнал!P538</f>
      </c>
      <c r="D572" s="74">
        <f t="shared" ca="1" si="127"/>
      </c>
      <c r="E572" s="80" t="s">
        <v>279</v>
      </c>
      <c r="F572" s="74">
        <f t="shared" ca="1" si="123"/>
      </c>
      <c r="G572" s="74">
        <f t="shared" si="124"/>
      </c>
      <c r="H572" s="80" t="s">
        <v>272</v>
      </c>
      <c r="I572" s="74">
        <f t="shared" si="125"/>
      </c>
      <c r="J572" s="74">
        <f t="shared" si="128"/>
      </c>
      <c r="K572" s="80" t="s">
        <v>280</v>
      </c>
      <c r="L572" s="74">
        <f t="shared" si="129"/>
      </c>
      <c r="M572" s="74">
        <f t="shared" ca="1" si="130"/>
      </c>
      <c r="N572" s="74">
        <f ca="1">VLOOKUP(B572,$C$7:$T570,13,FALSE)</f>
      </c>
      <c r="O572" s="74">
        <f t="shared" ca="1" si="131"/>
      </c>
      <c r="P572" s="74">
        <f t="shared" ca="1" si="132"/>
      </c>
      <c r="Q572" s="74">
        <f t="shared" ca="1" si="133"/>
      </c>
      <c r="R572" s="74">
        <f t="shared" si="134"/>
      </c>
      <c r="S572" s="74">
        <f t="shared" ca="1" si="135"/>
      </c>
      <c r="T572" s="74">
        <f t="shared" si="136"/>
      </c>
    </row>
    <row r="573" spans="2:20" x14ac:dyDescent="0.3">
      <c r="B573" s="74">
        <f t="shared" ca="1" si="126"/>
      </c>
      <c r="C573" s="78">
        <f>Кабельный_журнал!P539</f>
      </c>
      <c r="D573" s="74">
        <f t="shared" ca="1" si="127"/>
      </c>
      <c r="E573" s="80" t="s">
        <v>279</v>
      </c>
      <c r="F573" s="74">
        <f t="shared" ca="1" si="123"/>
      </c>
      <c r="G573" s="74">
        <f t="shared" si="124"/>
      </c>
      <c r="H573" s="80" t="s">
        <v>272</v>
      </c>
      <c r="I573" s="74">
        <f t="shared" si="125"/>
      </c>
      <c r="J573" s="74">
        <f t="shared" si="128"/>
      </c>
      <c r="K573" s="80" t="s">
        <v>280</v>
      </c>
      <c r="L573" s="74">
        <f t="shared" si="129"/>
      </c>
      <c r="M573" s="74">
        <f t="shared" ca="1" si="130"/>
      </c>
      <c r="N573" s="74">
        <f ca="1">VLOOKUP(B573,$C$7:$T571,13,FALSE)</f>
      </c>
      <c r="O573" s="74">
        <f t="shared" ca="1" si="131"/>
      </c>
      <c r="P573" s="74">
        <f t="shared" ca="1" si="132"/>
      </c>
      <c r="Q573" s="74">
        <f t="shared" ca="1" si="133"/>
      </c>
      <c r="R573" s="74">
        <f t="shared" si="134"/>
      </c>
      <c r="S573" s="74">
        <f t="shared" ca="1" si="135"/>
      </c>
      <c r="T573" s="74">
        <f t="shared" si="136"/>
      </c>
    </row>
    <row r="574" spans="2:20" x14ac:dyDescent="0.3">
      <c r="B574" s="74">
        <f t="shared" ca="1" si="126"/>
      </c>
      <c r="C574" s="78">
        <f>Кабельный_журнал!P540</f>
      </c>
      <c r="D574" s="74">
        <f t="shared" ca="1" si="127"/>
      </c>
      <c r="E574" s="80" t="s">
        <v>279</v>
      </c>
      <c r="F574" s="74">
        <f t="shared" ca="1" si="123"/>
      </c>
      <c r="G574" s="74">
        <f t="shared" si="124"/>
      </c>
      <c r="H574" s="80" t="s">
        <v>272</v>
      </c>
      <c r="I574" s="74">
        <f t="shared" si="125"/>
      </c>
      <c r="J574" s="74">
        <f t="shared" si="128"/>
      </c>
      <c r="K574" s="80" t="s">
        <v>280</v>
      </c>
      <c r="L574" s="74">
        <f t="shared" si="129"/>
      </c>
      <c r="M574" s="74">
        <f t="shared" ca="1" si="130"/>
      </c>
      <c r="N574" s="74">
        <f ca="1">VLOOKUP(B574,$C$7:$T572,13,FALSE)</f>
      </c>
      <c r="O574" s="74">
        <f t="shared" ca="1" si="131"/>
      </c>
      <c r="P574" s="74">
        <f t="shared" ca="1" si="132"/>
      </c>
      <c r="Q574" s="74">
        <f t="shared" ca="1" si="133"/>
      </c>
      <c r="R574" s="74">
        <f t="shared" si="134"/>
      </c>
      <c r="S574" s="74">
        <f t="shared" ca="1" si="135"/>
      </c>
      <c r="T574" s="74">
        <f t="shared" si="136"/>
      </c>
    </row>
    <row r="575" spans="2:20" x14ac:dyDescent="0.3">
      <c r="B575" s="74">
        <f t="shared" ca="1" si="126"/>
      </c>
      <c r="C575" s="78">
        <f>Кабельный_журнал!P541</f>
      </c>
      <c r="D575" s="74">
        <f t="shared" ca="1" si="127"/>
      </c>
      <c r="E575" s="80" t="s">
        <v>279</v>
      </c>
      <c r="F575" s="74">
        <f t="shared" ca="1" si="123"/>
      </c>
      <c r="G575" s="74">
        <f t="shared" si="124"/>
      </c>
      <c r="H575" s="80" t="s">
        <v>272</v>
      </c>
      <c r="I575" s="74">
        <f t="shared" si="125"/>
      </c>
      <c r="J575" s="74">
        <f t="shared" si="128"/>
      </c>
      <c r="K575" s="80" t="s">
        <v>280</v>
      </c>
      <c r="L575" s="74">
        <f t="shared" si="129"/>
      </c>
      <c r="M575" s="74">
        <f t="shared" ca="1" si="130"/>
      </c>
      <c r="N575" s="74">
        <f ca="1">VLOOKUP(B575,$C$7:$T573,13,FALSE)</f>
      </c>
      <c r="O575" s="74">
        <f t="shared" ca="1" si="131"/>
      </c>
      <c r="P575" s="74">
        <f t="shared" ca="1" si="132"/>
      </c>
      <c r="Q575" s="74">
        <f t="shared" ca="1" si="133"/>
      </c>
      <c r="R575" s="74">
        <f t="shared" si="134"/>
      </c>
      <c r="S575" s="74">
        <f t="shared" ca="1" si="135"/>
      </c>
      <c r="T575" s="74">
        <f t="shared" si="136"/>
      </c>
    </row>
    <row r="576" spans="2:20" x14ac:dyDescent="0.3">
      <c r="B576" s="74">
        <f t="shared" ca="1" si="126"/>
      </c>
      <c r="C576" s="78">
        <f>Кабельный_журнал!P542</f>
      </c>
      <c r="D576" s="74">
        <f t="shared" ca="1" si="127"/>
      </c>
      <c r="E576" s="80" t="s">
        <v>279</v>
      </c>
      <c r="F576" s="74">
        <f t="shared" ca="1" si="123"/>
      </c>
      <c r="G576" s="74">
        <f t="shared" si="124"/>
      </c>
      <c r="H576" s="80" t="s">
        <v>272</v>
      </c>
      <c r="I576" s="74">
        <f t="shared" si="125"/>
      </c>
      <c r="J576" s="74">
        <f t="shared" si="128"/>
      </c>
      <c r="K576" s="80" t="s">
        <v>280</v>
      </c>
      <c r="L576" s="74">
        <f t="shared" si="129"/>
      </c>
      <c r="M576" s="74">
        <f t="shared" ca="1" si="130"/>
      </c>
      <c r="N576" s="74">
        <f ca="1">VLOOKUP(B576,$C$7:$T574,13,FALSE)</f>
      </c>
      <c r="O576" s="74">
        <f t="shared" ca="1" si="131"/>
      </c>
      <c r="P576" s="74">
        <f t="shared" ca="1" si="132"/>
      </c>
      <c r="Q576" s="74">
        <f t="shared" ca="1" si="133"/>
      </c>
      <c r="R576" s="74">
        <f t="shared" si="134"/>
      </c>
      <c r="S576" s="74">
        <f t="shared" ca="1" si="135"/>
      </c>
      <c r="T576" s="74">
        <f t="shared" si="136"/>
      </c>
    </row>
    <row r="577" spans="2:20" x14ac:dyDescent="0.3">
      <c r="B577" s="74">
        <f t="shared" ca="1" si="126"/>
      </c>
      <c r="C577" s="78">
        <f>Кабельный_журнал!P543</f>
      </c>
      <c r="D577" s="74">
        <f t="shared" ca="1" si="127"/>
      </c>
      <c r="E577" s="80" t="s">
        <v>279</v>
      </c>
      <c r="F577" s="74">
        <f t="shared" ca="1" si="123"/>
      </c>
      <c r="G577" s="74">
        <f t="shared" si="124"/>
      </c>
      <c r="H577" s="80" t="s">
        <v>272</v>
      </c>
      <c r="I577" s="74">
        <f t="shared" si="125"/>
      </c>
      <c r="J577" s="74">
        <f t="shared" si="128"/>
      </c>
      <c r="K577" s="80" t="s">
        <v>280</v>
      </c>
      <c r="L577" s="74">
        <f t="shared" si="129"/>
      </c>
      <c r="M577" s="74">
        <f t="shared" ca="1" si="130"/>
      </c>
      <c r="N577" s="74">
        <f ca="1">VLOOKUP(B577,$C$7:$T575,13,FALSE)</f>
      </c>
      <c r="O577" s="74">
        <f t="shared" ca="1" si="131"/>
      </c>
      <c r="P577" s="74">
        <f t="shared" ca="1" si="132"/>
      </c>
      <c r="Q577" s="74">
        <f t="shared" ca="1" si="133"/>
      </c>
      <c r="R577" s="74">
        <f t="shared" si="134"/>
      </c>
      <c r="S577" s="74">
        <f t="shared" ca="1" si="135"/>
      </c>
      <c r="T577" s="74">
        <f t="shared" si="136"/>
      </c>
    </row>
    <row r="578" spans="2:20" x14ac:dyDescent="0.3">
      <c r="B578" s="74">
        <f t="shared" ca="1" si="126"/>
      </c>
      <c r="C578" s="78">
        <f>Кабельный_журнал!P544</f>
      </c>
      <c r="D578" s="74">
        <f t="shared" ca="1" si="127"/>
      </c>
      <c r="E578" s="80" t="s">
        <v>279</v>
      </c>
      <c r="F578" s="74">
        <f t="shared" ca="1" si="123"/>
      </c>
      <c r="G578" s="74">
        <f t="shared" si="124"/>
      </c>
      <c r="H578" s="80" t="s">
        <v>272</v>
      </c>
      <c r="I578" s="74">
        <f t="shared" si="125"/>
      </c>
      <c r="J578" s="74">
        <f t="shared" si="128"/>
      </c>
      <c r="K578" s="80" t="s">
        <v>280</v>
      </c>
      <c r="L578" s="74">
        <f t="shared" si="129"/>
      </c>
      <c r="M578" s="74">
        <f t="shared" ca="1" si="130"/>
      </c>
      <c r="N578" s="74">
        <f ca="1">VLOOKUP(B578,$C$7:$T576,13,FALSE)</f>
      </c>
      <c r="O578" s="74">
        <f t="shared" ca="1" si="131"/>
      </c>
      <c r="P578" s="74">
        <f t="shared" ca="1" si="132"/>
      </c>
      <c r="Q578" s="74">
        <f t="shared" ca="1" si="133"/>
      </c>
      <c r="R578" s="74">
        <f t="shared" si="134"/>
      </c>
      <c r="S578" s="74">
        <f t="shared" ca="1" si="135"/>
      </c>
      <c r="T578" s="74">
        <f t="shared" si="136"/>
      </c>
    </row>
    <row r="579" spans="2:20" x14ac:dyDescent="0.3">
      <c r="B579" s="74">
        <f t="shared" ca="1" si="126"/>
      </c>
      <c r="C579" s="78">
        <f>Кабельный_журнал!P545</f>
      </c>
      <c r="D579" s="74">
        <f t="shared" ca="1" si="127"/>
      </c>
      <c r="E579" s="80" t="s">
        <v>279</v>
      </c>
      <c r="F579" s="74">
        <f t="shared" ca="1" si="123"/>
      </c>
      <c r="G579" s="74">
        <f t="shared" si="124"/>
      </c>
      <c r="H579" s="80" t="s">
        <v>272</v>
      </c>
      <c r="I579" s="74">
        <f t="shared" si="125"/>
      </c>
      <c r="J579" s="74">
        <f t="shared" si="128"/>
      </c>
      <c r="K579" s="80" t="s">
        <v>280</v>
      </c>
      <c r="L579" s="74">
        <f t="shared" si="129"/>
      </c>
      <c r="M579" s="74">
        <f t="shared" ca="1" si="130"/>
      </c>
      <c r="N579" s="74">
        <f ca="1">VLOOKUP(B579,$C$7:$T577,13,FALSE)</f>
      </c>
      <c r="O579" s="74">
        <f t="shared" ca="1" si="131"/>
      </c>
      <c r="P579" s="74">
        <f t="shared" ca="1" si="132"/>
      </c>
      <c r="Q579" s="74">
        <f t="shared" ca="1" si="133"/>
      </c>
      <c r="R579" s="74">
        <f t="shared" si="134"/>
      </c>
      <c r="S579" s="74">
        <f t="shared" ca="1" si="135"/>
      </c>
      <c r="T579" s="74">
        <f t="shared" si="136"/>
      </c>
    </row>
    <row r="580" spans="2:20" x14ac:dyDescent="0.3">
      <c r="B580" s="74">
        <f t="shared" ca="1" si="126"/>
      </c>
      <c r="C580" s="78">
        <f>Кабельный_журнал!P546</f>
      </c>
      <c r="D580" s="74">
        <f t="shared" ca="1" si="127"/>
      </c>
      <c r="E580" s="80" t="s">
        <v>279</v>
      </c>
      <c r="F580" s="74">
        <f t="shared" ca="1" si="123"/>
      </c>
      <c r="G580" s="74">
        <f t="shared" si="124"/>
      </c>
      <c r="H580" s="80" t="s">
        <v>272</v>
      </c>
      <c r="I580" s="74">
        <f t="shared" si="125"/>
      </c>
      <c r="J580" s="74">
        <f t="shared" si="128"/>
      </c>
      <c r="K580" s="80" t="s">
        <v>280</v>
      </c>
      <c r="L580" s="74">
        <f t="shared" si="129"/>
      </c>
      <c r="M580" s="74">
        <f t="shared" ca="1" si="130"/>
      </c>
      <c r="N580" s="74">
        <f ca="1">VLOOKUP(B580,$C$7:$T578,13,FALSE)</f>
      </c>
      <c r="O580" s="74">
        <f t="shared" ca="1" si="131"/>
      </c>
      <c r="P580" s="74">
        <f t="shared" ca="1" si="132"/>
      </c>
      <c r="Q580" s="74">
        <f t="shared" ca="1" si="133"/>
      </c>
      <c r="R580" s="74">
        <f t="shared" si="134"/>
      </c>
      <c r="S580" s="74">
        <f t="shared" ca="1" si="135"/>
      </c>
      <c r="T580" s="74">
        <f t="shared" si="136"/>
      </c>
    </row>
    <row r="581" spans="2:20" x14ac:dyDescent="0.3">
      <c r="B581" s="74">
        <f t="shared" ca="1" si="126"/>
      </c>
      <c r="C581" s="78">
        <f>Кабельный_журнал!P547</f>
      </c>
      <c r="D581" s="74">
        <f t="shared" ca="1" si="127"/>
      </c>
      <c r="E581" s="80" t="s">
        <v>279</v>
      </c>
      <c r="F581" s="74">
        <f t="shared" ca="1" si="123"/>
      </c>
      <c r="G581" s="74">
        <f t="shared" si="124"/>
      </c>
      <c r="H581" s="80" t="s">
        <v>272</v>
      </c>
      <c r="I581" s="74">
        <f t="shared" si="125"/>
      </c>
      <c r="J581" s="74">
        <f t="shared" si="128"/>
      </c>
      <c r="K581" s="80" t="s">
        <v>280</v>
      </c>
      <c r="L581" s="74">
        <f t="shared" si="129"/>
      </c>
      <c r="M581" s="74">
        <f t="shared" ca="1" si="130"/>
      </c>
      <c r="N581" s="74">
        <f ca="1">VLOOKUP(B581,$C$7:$T579,13,FALSE)</f>
      </c>
      <c r="O581" s="74">
        <f t="shared" ca="1" si="131"/>
      </c>
      <c r="P581" s="74">
        <f t="shared" ca="1" si="132"/>
      </c>
      <c r="Q581" s="74">
        <f t="shared" ca="1" si="133"/>
      </c>
      <c r="R581" s="74">
        <f t="shared" si="134"/>
      </c>
      <c r="S581" s="74">
        <f t="shared" ca="1" si="135"/>
      </c>
      <c r="T581" s="74">
        <f t="shared" si="136"/>
      </c>
    </row>
    <row r="582" spans="2:20" x14ac:dyDescent="0.3">
      <c r="B582" s="74">
        <f t="shared" ca="1" si="126"/>
      </c>
      <c r="C582" s="78">
        <f>Кабельный_журнал!P548</f>
      </c>
      <c r="D582" s="74">
        <f t="shared" ca="1" si="127"/>
      </c>
      <c r="E582" s="80" t="s">
        <v>279</v>
      </c>
      <c r="F582" s="74">
        <f t="shared" ca="1" si="123"/>
      </c>
      <c r="G582" s="74">
        <f t="shared" si="124"/>
      </c>
      <c r="H582" s="80" t="s">
        <v>272</v>
      </c>
      <c r="I582" s="74">
        <f t="shared" si="125"/>
      </c>
      <c r="J582" s="74">
        <f t="shared" si="128"/>
      </c>
      <c r="K582" s="80" t="s">
        <v>280</v>
      </c>
      <c r="L582" s="74">
        <f t="shared" si="129"/>
      </c>
      <c r="M582" s="74">
        <f t="shared" ca="1" si="130"/>
      </c>
      <c r="N582" s="74">
        <f ca="1">VLOOKUP(B582,$C$7:$T580,13,FALSE)</f>
      </c>
      <c r="O582" s="74">
        <f t="shared" ca="1" si="131"/>
      </c>
      <c r="P582" s="74">
        <f t="shared" ca="1" si="132"/>
      </c>
      <c r="Q582" s="74">
        <f t="shared" ca="1" si="133"/>
      </c>
      <c r="R582" s="74">
        <f t="shared" si="134"/>
      </c>
      <c r="S582" s="74">
        <f t="shared" ca="1" si="135"/>
      </c>
      <c r="T582" s="74">
        <f t="shared" si="136"/>
      </c>
    </row>
    <row r="583" spans="2:20" x14ac:dyDescent="0.3">
      <c r="B583" s="74">
        <f t="shared" ca="1" si="126"/>
      </c>
      <c r="C583" s="78">
        <f>Кабельный_журнал!P549</f>
      </c>
      <c r="D583" s="74">
        <f t="shared" ca="1" si="127"/>
      </c>
      <c r="E583" s="80" t="s">
        <v>279</v>
      </c>
      <c r="F583" s="74">
        <f t="shared" ca="1" si="123"/>
      </c>
      <c r="G583" s="74">
        <f t="shared" si="124"/>
      </c>
      <c r="H583" s="80" t="s">
        <v>272</v>
      </c>
      <c r="I583" s="74">
        <f t="shared" si="125"/>
      </c>
      <c r="J583" s="74">
        <f t="shared" si="128"/>
      </c>
      <c r="K583" s="80" t="s">
        <v>280</v>
      </c>
      <c r="L583" s="74">
        <f t="shared" si="129"/>
      </c>
      <c r="M583" s="74">
        <f t="shared" ca="1" si="130"/>
      </c>
      <c r="N583" s="74">
        <f ca="1">VLOOKUP(B583,$C$7:$T581,13,FALSE)</f>
      </c>
      <c r="O583" s="74">
        <f t="shared" ca="1" si="131"/>
      </c>
      <c r="P583" s="74">
        <f t="shared" ca="1" si="132"/>
      </c>
      <c r="Q583" s="74">
        <f t="shared" ca="1" si="133"/>
      </c>
      <c r="R583" s="74">
        <f t="shared" si="134"/>
      </c>
      <c r="S583" s="74">
        <f t="shared" ca="1" si="135"/>
      </c>
      <c r="T583" s="74">
        <f t="shared" si="136"/>
      </c>
    </row>
    <row r="584" spans="2:20" x14ac:dyDescent="0.3">
      <c r="B584" s="74">
        <f t="shared" ca="1" si="126"/>
      </c>
      <c r="C584" s="78">
        <f>Кабельный_журнал!P550</f>
      </c>
      <c r="D584" s="74">
        <f t="shared" ca="1" si="127"/>
      </c>
      <c r="E584" s="80" t="s">
        <v>279</v>
      </c>
      <c r="F584" s="74">
        <f t="shared" ca="1" si="123"/>
      </c>
      <c r="G584" s="74">
        <f t="shared" si="124"/>
      </c>
      <c r="H584" s="80" t="s">
        <v>272</v>
      </c>
      <c r="I584" s="74">
        <f t="shared" si="125"/>
      </c>
      <c r="J584" s="74">
        <f t="shared" si="128"/>
      </c>
      <c r="K584" s="80" t="s">
        <v>280</v>
      </c>
      <c r="L584" s="74">
        <f t="shared" si="129"/>
      </c>
      <c r="M584" s="74">
        <f t="shared" ca="1" si="130"/>
      </c>
      <c r="N584" s="74">
        <f ca="1">VLOOKUP(B584,$C$7:$T582,13,FALSE)</f>
      </c>
      <c r="O584" s="74">
        <f t="shared" ca="1" si="131"/>
      </c>
      <c r="P584" s="74">
        <f t="shared" ca="1" si="132"/>
      </c>
      <c r="Q584" s="74">
        <f t="shared" ca="1" si="133"/>
      </c>
      <c r="R584" s="74">
        <f t="shared" si="134"/>
      </c>
      <c r="S584" s="74">
        <f t="shared" ca="1" si="135"/>
      </c>
      <c r="T584" s="74">
        <f t="shared" si="136"/>
      </c>
    </row>
    <row r="585" spans="2:20" x14ac:dyDescent="0.3">
      <c r="B585" s="74">
        <f t="shared" ca="1" si="126"/>
      </c>
      <c r="C585" s="78">
        <f>Кабельный_журнал!P551</f>
      </c>
      <c r="D585" s="74">
        <f t="shared" ca="1" si="127"/>
      </c>
      <c r="E585" s="80" t="s">
        <v>279</v>
      </c>
      <c r="F585" s="74">
        <f t="shared" ca="1" si="123"/>
      </c>
      <c r="G585" s="74">
        <f t="shared" si="124"/>
      </c>
      <c r="H585" s="80" t="s">
        <v>272</v>
      </c>
      <c r="I585" s="74">
        <f t="shared" si="125"/>
      </c>
      <c r="J585" s="74">
        <f t="shared" si="128"/>
      </c>
      <c r="K585" s="80" t="s">
        <v>280</v>
      </c>
      <c r="L585" s="74">
        <f t="shared" si="129"/>
      </c>
      <c r="M585" s="74">
        <f t="shared" ca="1" si="130"/>
      </c>
      <c r="N585" s="74">
        <f ca="1">VLOOKUP(B585,$C$7:$T583,13,FALSE)</f>
      </c>
      <c r="O585" s="74">
        <f t="shared" ca="1" si="131"/>
      </c>
      <c r="P585" s="74">
        <f t="shared" ca="1" si="132"/>
      </c>
      <c r="Q585" s="74">
        <f t="shared" ca="1" si="133"/>
      </c>
      <c r="R585" s="74">
        <f t="shared" si="134"/>
      </c>
      <c r="S585" s="74">
        <f t="shared" ca="1" si="135"/>
      </c>
      <c r="T585" s="74">
        <f t="shared" si="136"/>
      </c>
    </row>
    <row r="586" spans="2:20" x14ac:dyDescent="0.3">
      <c r="B586" s="74">
        <f t="shared" ca="1" si="126"/>
      </c>
      <c r="C586" s="78">
        <f>Кабельный_журнал!P552</f>
      </c>
      <c r="D586" s="74">
        <f t="shared" ca="1" si="127"/>
      </c>
      <c r="E586" s="80" t="s">
        <v>279</v>
      </c>
      <c r="F586" s="74">
        <f t="shared" ca="1" si="123"/>
      </c>
      <c r="G586" s="74">
        <f t="shared" si="124"/>
      </c>
      <c r="H586" s="80" t="s">
        <v>272</v>
      </c>
      <c r="I586" s="74">
        <f t="shared" si="125"/>
      </c>
      <c r="J586" s="74">
        <f t="shared" si="128"/>
      </c>
      <c r="K586" s="80" t="s">
        <v>280</v>
      </c>
      <c r="L586" s="74">
        <f t="shared" si="129"/>
      </c>
      <c r="M586" s="74">
        <f t="shared" ca="1" si="130"/>
      </c>
      <c r="N586" s="74">
        <f ca="1">VLOOKUP(B586,$C$7:$T584,13,FALSE)</f>
      </c>
      <c r="O586" s="74">
        <f t="shared" ca="1" si="131"/>
      </c>
      <c r="P586" s="74">
        <f t="shared" ca="1" si="132"/>
      </c>
      <c r="Q586" s="74">
        <f t="shared" ca="1" si="133"/>
      </c>
      <c r="R586" s="74">
        <f t="shared" si="134"/>
      </c>
      <c r="S586" s="74">
        <f t="shared" ca="1" si="135"/>
      </c>
      <c r="T586" s="74">
        <f t="shared" si="136"/>
      </c>
    </row>
    <row r="587" spans="2:20" x14ac:dyDescent="0.3">
      <c r="B587" s="74">
        <f t="shared" ca="1" si="126"/>
      </c>
      <c r="C587" s="78">
        <f>Кабельный_журнал!P553</f>
      </c>
      <c r="D587" s="74">
        <f t="shared" ca="1" si="127"/>
      </c>
      <c r="E587" s="80" t="s">
        <v>279</v>
      </c>
      <c r="F587" s="74">
        <f t="shared" ca="1" si="123"/>
      </c>
      <c r="G587" s="74">
        <f t="shared" si="124"/>
      </c>
      <c r="H587" s="80" t="s">
        <v>272</v>
      </c>
      <c r="I587" s="74">
        <f t="shared" si="125"/>
      </c>
      <c r="J587" s="74">
        <f t="shared" si="128"/>
      </c>
      <c r="K587" s="80" t="s">
        <v>280</v>
      </c>
      <c r="L587" s="74">
        <f t="shared" si="129"/>
      </c>
      <c r="M587" s="74">
        <f t="shared" ca="1" si="130"/>
      </c>
      <c r="N587" s="74">
        <f ca="1">VLOOKUP(B587,$C$7:$T585,13,FALSE)</f>
      </c>
      <c r="O587" s="74">
        <f t="shared" ca="1" si="131"/>
      </c>
      <c r="P587" s="74">
        <f t="shared" ca="1" si="132"/>
      </c>
      <c r="Q587" s="74">
        <f t="shared" ca="1" si="133"/>
      </c>
      <c r="R587" s="74">
        <f t="shared" si="134"/>
      </c>
      <c r="S587" s="74">
        <f t="shared" ca="1" si="135"/>
      </c>
      <c r="T587" s="74">
        <f t="shared" si="136"/>
      </c>
    </row>
    <row r="588" spans="2:20" x14ac:dyDescent="0.3">
      <c r="B588" s="74">
        <f t="shared" ca="1" si="126"/>
      </c>
      <c r="C588" s="78">
        <f>Кабельный_журнал!P554</f>
      </c>
      <c r="D588" s="74">
        <f t="shared" ca="1" si="127"/>
      </c>
      <c r="E588" s="80" t="s">
        <v>279</v>
      </c>
      <c r="F588" s="74">
        <f t="shared" ca="1" si="123"/>
      </c>
      <c r="G588" s="74">
        <f t="shared" si="124"/>
      </c>
      <c r="H588" s="80" t="s">
        <v>272</v>
      </c>
      <c r="I588" s="74">
        <f t="shared" si="125"/>
      </c>
      <c r="J588" s="74">
        <f t="shared" si="128"/>
      </c>
      <c r="K588" s="80" t="s">
        <v>280</v>
      </c>
      <c r="L588" s="74">
        <f t="shared" si="129"/>
      </c>
      <c r="M588" s="74">
        <f t="shared" ca="1" si="130"/>
      </c>
      <c r="N588" s="74">
        <f ca="1">VLOOKUP(B588,$C$7:$T586,13,FALSE)</f>
      </c>
      <c r="O588" s="74">
        <f t="shared" ca="1" si="131"/>
      </c>
      <c r="P588" s="74">
        <f t="shared" ca="1" si="132"/>
      </c>
      <c r="Q588" s="74">
        <f t="shared" ca="1" si="133"/>
      </c>
      <c r="R588" s="74">
        <f t="shared" si="134"/>
      </c>
      <c r="S588" s="74">
        <f t="shared" ca="1" si="135"/>
      </c>
      <c r="T588" s="74">
        <f t="shared" si="136"/>
      </c>
    </row>
    <row r="589" spans="2:20" x14ac:dyDescent="0.3">
      <c r="B589" s="74">
        <f t="shared" ca="1" si="126"/>
      </c>
      <c r="C589" s="78">
        <f>Кабельный_журнал!P555</f>
      </c>
      <c r="D589" s="74">
        <f t="shared" ca="1" si="127"/>
      </c>
      <c r="E589" s="80" t="s">
        <v>279</v>
      </c>
      <c r="F589" s="74">
        <f t="shared" ca="1" si="123"/>
      </c>
      <c r="G589" s="74">
        <f t="shared" si="124"/>
      </c>
      <c r="H589" s="80" t="s">
        <v>272</v>
      </c>
      <c r="I589" s="74">
        <f t="shared" si="125"/>
      </c>
      <c r="J589" s="74">
        <f t="shared" si="128"/>
      </c>
      <c r="K589" s="80" t="s">
        <v>280</v>
      </c>
      <c r="L589" s="74">
        <f t="shared" si="129"/>
      </c>
      <c r="M589" s="74">
        <f t="shared" ca="1" si="130"/>
      </c>
      <c r="N589" s="74">
        <f ca="1">VLOOKUP(B589,$C$7:$T587,13,FALSE)</f>
      </c>
      <c r="O589" s="74">
        <f t="shared" ca="1" si="131"/>
      </c>
      <c r="P589" s="74">
        <f t="shared" ca="1" si="132"/>
      </c>
      <c r="Q589" s="74">
        <f t="shared" ca="1" si="133"/>
      </c>
      <c r="R589" s="74">
        <f t="shared" si="134"/>
      </c>
      <c r="S589" s="74">
        <f t="shared" ca="1" si="135"/>
      </c>
      <c r="T589" s="74">
        <f t="shared" si="136"/>
      </c>
    </row>
    <row r="590" spans="2:20" x14ac:dyDescent="0.3">
      <c r="B590" s="74">
        <f t="shared" ca="1" si="126"/>
      </c>
      <c r="C590" s="78">
        <f>Кабельный_журнал!P556</f>
      </c>
      <c r="D590" s="74">
        <f t="shared" ca="1" si="127"/>
      </c>
      <c r="E590" s="80" t="s">
        <v>279</v>
      </c>
      <c r="F590" s="74">
        <f t="shared" ca="1" si="123"/>
      </c>
      <c r="G590" s="74">
        <f t="shared" si="124"/>
      </c>
      <c r="H590" s="80" t="s">
        <v>272</v>
      </c>
      <c r="I590" s="74">
        <f t="shared" si="125"/>
      </c>
      <c r="J590" s="74">
        <f t="shared" si="128"/>
      </c>
      <c r="K590" s="80" t="s">
        <v>280</v>
      </c>
      <c r="L590" s="74">
        <f t="shared" si="129"/>
      </c>
      <c r="M590" s="74">
        <f t="shared" ca="1" si="130"/>
      </c>
      <c r="N590" s="74">
        <f ca="1">VLOOKUP(B590,$C$7:$T588,13,FALSE)</f>
      </c>
      <c r="O590" s="74">
        <f t="shared" ca="1" si="131"/>
      </c>
      <c r="P590" s="74">
        <f t="shared" ca="1" si="132"/>
      </c>
      <c r="Q590" s="74">
        <f t="shared" ca="1" si="133"/>
      </c>
      <c r="R590" s="74">
        <f t="shared" si="134"/>
      </c>
      <c r="S590" s="74">
        <f t="shared" ca="1" si="135"/>
      </c>
      <c r="T590" s="74">
        <f t="shared" si="136"/>
      </c>
    </row>
    <row r="591" spans="2:20" x14ac:dyDescent="0.3">
      <c r="B591" s="74">
        <f t="shared" ca="1" si="126"/>
      </c>
      <c r="C591" s="78">
        <f>Кабельный_журнал!P557</f>
      </c>
      <c r="D591" s="74">
        <f t="shared" ca="1" si="127"/>
      </c>
      <c r="E591" s="80" t="s">
        <v>279</v>
      </c>
      <c r="F591" s="74">
        <f t="shared" ca="1" si="123"/>
      </c>
      <c r="G591" s="74">
        <f t="shared" si="124"/>
      </c>
      <c r="H591" s="80" t="s">
        <v>272</v>
      </c>
      <c r="I591" s="74">
        <f t="shared" si="125"/>
      </c>
      <c r="J591" s="74">
        <f t="shared" si="128"/>
      </c>
      <c r="K591" s="80" t="s">
        <v>280</v>
      </c>
      <c r="L591" s="74">
        <f t="shared" si="129"/>
      </c>
      <c r="M591" s="74">
        <f t="shared" ca="1" si="130"/>
      </c>
      <c r="N591" s="74">
        <f ca="1">VLOOKUP(B591,$C$7:$T589,13,FALSE)</f>
      </c>
      <c r="O591" s="74">
        <f t="shared" ca="1" si="131"/>
      </c>
      <c r="P591" s="74">
        <f t="shared" ca="1" si="132"/>
      </c>
      <c r="Q591" s="74">
        <f t="shared" ca="1" si="133"/>
      </c>
      <c r="R591" s="74">
        <f t="shared" si="134"/>
      </c>
      <c r="S591" s="74">
        <f t="shared" ca="1" si="135"/>
      </c>
      <c r="T591" s="74">
        <f t="shared" si="136"/>
      </c>
    </row>
    <row r="592" spans="2:20" x14ac:dyDescent="0.3">
      <c r="B592" s="74">
        <f t="shared" ca="1" si="126"/>
      </c>
      <c r="C592" s="78">
        <f>Кабельный_журнал!P558</f>
      </c>
      <c r="D592" s="74">
        <f t="shared" ca="1" si="127"/>
      </c>
      <c r="E592" s="80" t="s">
        <v>279</v>
      </c>
      <c r="F592" s="74">
        <f t="shared" ca="1" si="123"/>
      </c>
      <c r="G592" s="74">
        <f t="shared" si="124"/>
      </c>
      <c r="H592" s="80" t="s">
        <v>272</v>
      </c>
      <c r="I592" s="74">
        <f t="shared" si="125"/>
      </c>
      <c r="J592" s="74">
        <f t="shared" si="128"/>
      </c>
      <c r="K592" s="80" t="s">
        <v>280</v>
      </c>
      <c r="L592" s="74">
        <f t="shared" si="129"/>
      </c>
      <c r="M592" s="74">
        <f t="shared" ca="1" si="130"/>
      </c>
      <c r="N592" s="74">
        <f ca="1">VLOOKUP(B592,$C$7:$T590,13,FALSE)</f>
      </c>
      <c r="O592" s="74">
        <f t="shared" ca="1" si="131"/>
      </c>
      <c r="P592" s="74">
        <f t="shared" ca="1" si="132"/>
      </c>
      <c r="Q592" s="74">
        <f t="shared" ca="1" si="133"/>
      </c>
      <c r="R592" s="74">
        <f t="shared" si="134"/>
      </c>
      <c r="S592" s="74">
        <f t="shared" ca="1" si="135"/>
      </c>
      <c r="T592" s="74">
        <f t="shared" si="136"/>
      </c>
    </row>
    <row r="593" spans="2:20" x14ac:dyDescent="0.3">
      <c r="B593" s="74">
        <f t="shared" ca="1" si="126"/>
      </c>
      <c r="C593" s="78">
        <f>Кабельный_журнал!P559</f>
      </c>
      <c r="D593" s="74">
        <f t="shared" ca="1" si="127"/>
      </c>
      <c r="E593" s="80" t="s">
        <v>279</v>
      </c>
      <c r="F593" s="74">
        <f t="shared" ca="1" si="123"/>
      </c>
      <c r="G593" s="74">
        <f t="shared" si="124"/>
      </c>
      <c r="H593" s="80" t="s">
        <v>272</v>
      </c>
      <c r="I593" s="74">
        <f t="shared" si="125"/>
      </c>
      <c r="J593" s="74">
        <f t="shared" si="128"/>
      </c>
      <c r="K593" s="80" t="s">
        <v>280</v>
      </c>
      <c r="L593" s="74">
        <f t="shared" si="129"/>
      </c>
      <c r="M593" s="74">
        <f t="shared" ca="1" si="130"/>
      </c>
      <c r="N593" s="74">
        <f ca="1">VLOOKUP(B593,$C$7:$T591,13,FALSE)</f>
      </c>
      <c r="O593" s="74">
        <f t="shared" ca="1" si="131"/>
      </c>
      <c r="P593" s="74">
        <f t="shared" ca="1" si="132"/>
      </c>
      <c r="Q593" s="74">
        <f t="shared" ca="1" si="133"/>
      </c>
      <c r="R593" s="74">
        <f t="shared" si="134"/>
      </c>
      <c r="S593" s="74">
        <f t="shared" ca="1" si="135"/>
      </c>
      <c r="T593" s="74">
        <f t="shared" si="136"/>
      </c>
    </row>
    <row r="594" spans="2:20" x14ac:dyDescent="0.3">
      <c r="B594" s="74">
        <f t="shared" ca="1" si="126"/>
      </c>
      <c r="C594" s="78">
        <f>Кабельный_журнал!P560</f>
      </c>
      <c r="D594" s="74">
        <f t="shared" ca="1" si="127"/>
      </c>
      <c r="E594" s="80" t="s">
        <v>279</v>
      </c>
      <c r="F594" s="74">
        <f t="shared" ca="1" si="123"/>
      </c>
      <c r="G594" s="74">
        <f t="shared" si="124"/>
      </c>
      <c r="H594" s="80" t="s">
        <v>272</v>
      </c>
      <c r="I594" s="74">
        <f t="shared" si="125"/>
      </c>
      <c r="J594" s="74">
        <f t="shared" si="128"/>
      </c>
      <c r="K594" s="80" t="s">
        <v>280</v>
      </c>
      <c r="L594" s="74">
        <f t="shared" si="129"/>
      </c>
      <c r="M594" s="74">
        <f t="shared" ca="1" si="130"/>
      </c>
      <c r="N594" s="74">
        <f ca="1">VLOOKUP(B594,$C$7:$T592,13,FALSE)</f>
      </c>
      <c r="O594" s="74">
        <f t="shared" ca="1" si="131"/>
      </c>
      <c r="P594" s="74">
        <f t="shared" ca="1" si="132"/>
      </c>
      <c r="Q594" s="74">
        <f t="shared" ca="1" si="133"/>
      </c>
      <c r="R594" s="74">
        <f t="shared" si="134"/>
      </c>
      <c r="S594" s="74">
        <f t="shared" ca="1" si="135"/>
      </c>
      <c r="T594" s="74">
        <f t="shared" si="136"/>
      </c>
    </row>
    <row r="595" spans="2:20" x14ac:dyDescent="0.3">
      <c r="B595" s="74">
        <f t="shared" ca="1" si="126"/>
      </c>
      <c r="C595" s="78">
        <f>Кабельный_журнал!P561</f>
      </c>
      <c r="D595" s="74">
        <f t="shared" ca="1" si="127"/>
      </c>
      <c r="E595" s="80" t="s">
        <v>279</v>
      </c>
      <c r="F595" s="74">
        <f t="shared" ca="1" si="123"/>
      </c>
      <c r="G595" s="74">
        <f t="shared" si="124"/>
      </c>
      <c r="H595" s="80" t="s">
        <v>272</v>
      </c>
      <c r="I595" s="74">
        <f t="shared" si="125"/>
      </c>
      <c r="J595" s="74">
        <f t="shared" si="128"/>
      </c>
      <c r="K595" s="80" t="s">
        <v>280</v>
      </c>
      <c r="L595" s="74">
        <f t="shared" si="129"/>
      </c>
      <c r="M595" s="74">
        <f t="shared" ca="1" si="130"/>
      </c>
      <c r="N595" s="74">
        <f ca="1">VLOOKUP(B595,$C$7:$T593,13,FALSE)</f>
      </c>
      <c r="O595" s="74">
        <f t="shared" ca="1" si="131"/>
      </c>
      <c r="P595" s="74">
        <f t="shared" ca="1" si="132"/>
      </c>
      <c r="Q595" s="74">
        <f t="shared" ca="1" si="133"/>
      </c>
      <c r="R595" s="74">
        <f t="shared" si="134"/>
      </c>
      <c r="S595" s="74">
        <f t="shared" ca="1" si="135"/>
      </c>
      <c r="T595" s="74">
        <f t="shared" si="136"/>
      </c>
    </row>
    <row r="596" spans="2:20" x14ac:dyDescent="0.3">
      <c r="B596" s="74">
        <f t="shared" ca="1" si="126"/>
      </c>
      <c r="C596" s="78">
        <f>Кабельный_журнал!P562</f>
      </c>
      <c r="D596" s="74">
        <f t="shared" ca="1" si="127"/>
      </c>
      <c r="E596" s="80" t="s">
        <v>279</v>
      </c>
      <c r="F596" s="74">
        <f t="shared" ca="1" si="123"/>
      </c>
      <c r="G596" s="74">
        <f t="shared" si="124"/>
      </c>
      <c r="H596" s="80" t="s">
        <v>272</v>
      </c>
      <c r="I596" s="74">
        <f t="shared" si="125"/>
      </c>
      <c r="J596" s="74">
        <f t="shared" si="128"/>
      </c>
      <c r="K596" s="80" t="s">
        <v>280</v>
      </c>
      <c r="L596" s="74">
        <f t="shared" si="129"/>
      </c>
      <c r="M596" s="74">
        <f t="shared" ca="1" si="130"/>
      </c>
      <c r="N596" s="74">
        <f ca="1">VLOOKUP(B596,$C$7:$T594,13,FALSE)</f>
      </c>
      <c r="O596" s="74">
        <f t="shared" ca="1" si="131"/>
      </c>
      <c r="P596" s="74">
        <f t="shared" ca="1" si="132"/>
      </c>
      <c r="Q596" s="74">
        <f t="shared" ca="1" si="133"/>
      </c>
      <c r="R596" s="74">
        <f t="shared" si="134"/>
      </c>
      <c r="S596" s="74">
        <f t="shared" ca="1" si="135"/>
      </c>
      <c r="T596" s="74">
        <f t="shared" si="136"/>
      </c>
    </row>
    <row r="597" spans="2:20" x14ac:dyDescent="0.3">
      <c r="B597" s="74">
        <f t="shared" ca="1" si="126"/>
      </c>
      <c r="C597" s="78">
        <f>Кабельный_журнал!P563</f>
      </c>
      <c r="D597" s="74">
        <f t="shared" ca="1" si="127"/>
      </c>
      <c r="E597" s="80" t="s">
        <v>279</v>
      </c>
      <c r="F597" s="74">
        <f t="shared" ca="1" si="123"/>
      </c>
      <c r="G597" s="74">
        <f t="shared" si="124"/>
      </c>
      <c r="H597" s="80" t="s">
        <v>272</v>
      </c>
      <c r="I597" s="74">
        <f t="shared" si="125"/>
      </c>
      <c r="J597" s="74">
        <f t="shared" si="128"/>
      </c>
      <c r="K597" s="80" t="s">
        <v>280</v>
      </c>
      <c r="L597" s="74">
        <f t="shared" si="129"/>
      </c>
      <c r="M597" s="74">
        <f t="shared" ca="1" si="130"/>
      </c>
      <c r="N597" s="74">
        <f ca="1">VLOOKUP(B597,$C$7:$T595,13,FALSE)</f>
      </c>
      <c r="O597" s="74">
        <f t="shared" ca="1" si="131"/>
      </c>
      <c r="P597" s="74">
        <f t="shared" ca="1" si="132"/>
      </c>
      <c r="Q597" s="74">
        <f t="shared" ca="1" si="133"/>
      </c>
      <c r="R597" s="74">
        <f t="shared" si="134"/>
      </c>
      <c r="S597" s="74">
        <f t="shared" ca="1" si="135"/>
      </c>
      <c r="T597" s="74">
        <f t="shared" si="136"/>
      </c>
    </row>
    <row r="598" spans="2:20" x14ac:dyDescent="0.3">
      <c r="B598" s="74">
        <f t="shared" ca="1" si="126"/>
      </c>
      <c r="C598" s="78">
        <f>Кабельный_журнал!P564</f>
      </c>
      <c r="D598" s="74">
        <f t="shared" ca="1" si="127"/>
      </c>
      <c r="E598" s="80" t="s">
        <v>279</v>
      </c>
      <c r="F598" s="74">
        <f t="shared" ca="1" si="123"/>
      </c>
      <c r="G598" s="74">
        <f t="shared" si="124"/>
      </c>
      <c r="H598" s="80" t="s">
        <v>272</v>
      </c>
      <c r="I598" s="74">
        <f t="shared" si="125"/>
      </c>
      <c r="J598" s="74">
        <f t="shared" si="128"/>
      </c>
      <c r="K598" s="80" t="s">
        <v>280</v>
      </c>
      <c r="L598" s="74">
        <f t="shared" si="129"/>
      </c>
      <c r="M598" s="74">
        <f t="shared" ca="1" si="130"/>
      </c>
      <c r="N598" s="74">
        <f ca="1">VLOOKUP(B598,$C$7:$T596,13,FALSE)</f>
      </c>
      <c r="O598" s="74">
        <f t="shared" ca="1" si="131"/>
      </c>
      <c r="P598" s="74">
        <f t="shared" ca="1" si="132"/>
      </c>
      <c r="Q598" s="74">
        <f t="shared" ca="1" si="133"/>
      </c>
      <c r="R598" s="74">
        <f t="shared" si="134"/>
      </c>
      <c r="S598" s="74">
        <f t="shared" ca="1" si="135"/>
      </c>
      <c r="T598" s="74">
        <f t="shared" si="136"/>
      </c>
    </row>
    <row r="599" spans="2:20" x14ac:dyDescent="0.3">
      <c r="B599" s="74">
        <f t="shared" ca="1" si="126"/>
      </c>
      <c r="C599" s="78">
        <f>Кабельный_журнал!P565</f>
      </c>
      <c r="D599" s="74">
        <f t="shared" ca="1" si="127"/>
      </c>
      <c r="E599" s="80" t="s">
        <v>279</v>
      </c>
      <c r="F599" s="74">
        <f t="shared" ca="1" si="123"/>
      </c>
      <c r="G599" s="74">
        <f t="shared" si="124"/>
      </c>
      <c r="H599" s="80" t="s">
        <v>272</v>
      </c>
      <c r="I599" s="74">
        <f t="shared" si="125"/>
      </c>
      <c r="J599" s="74">
        <f t="shared" si="128"/>
      </c>
      <c r="K599" s="80" t="s">
        <v>280</v>
      </c>
      <c r="L599" s="74">
        <f t="shared" si="129"/>
      </c>
      <c r="M599" s="74">
        <f t="shared" ca="1" si="130"/>
      </c>
      <c r="N599" s="74">
        <f ca="1">VLOOKUP(B599,$C$7:$T597,13,FALSE)</f>
      </c>
      <c r="O599" s="74">
        <f t="shared" ca="1" si="131"/>
      </c>
      <c r="P599" s="74">
        <f t="shared" ca="1" si="132"/>
      </c>
      <c r="Q599" s="74">
        <f t="shared" ca="1" si="133"/>
      </c>
      <c r="R599" s="74">
        <f t="shared" si="134"/>
      </c>
      <c r="S599" s="74">
        <f t="shared" ca="1" si="135"/>
      </c>
      <c r="T599" s="74">
        <f t="shared" si="136"/>
      </c>
    </row>
    <row r="600" spans="2:20" x14ac:dyDescent="0.3">
      <c r="B600" s="74">
        <f t="shared" ca="1" si="126"/>
      </c>
      <c r="C600" s="78">
        <f>Кабельный_журнал!P566</f>
      </c>
      <c r="D600" s="74">
        <f t="shared" ca="1" si="127"/>
      </c>
      <c r="E600" s="80" t="s">
        <v>279</v>
      </c>
      <c r="F600" s="74">
        <f t="shared" ca="1" si="123"/>
      </c>
      <c r="G600" s="74">
        <f t="shared" si="124"/>
      </c>
      <c r="H600" s="80" t="s">
        <v>272</v>
      </c>
      <c r="I600" s="74">
        <f t="shared" si="125"/>
      </c>
      <c r="J600" s="74">
        <f t="shared" si="128"/>
      </c>
      <c r="K600" s="80" t="s">
        <v>280</v>
      </c>
      <c r="L600" s="74">
        <f t="shared" si="129"/>
      </c>
      <c r="M600" s="74">
        <f t="shared" ca="1" si="130"/>
      </c>
      <c r="N600" s="74">
        <f ca="1">VLOOKUP(B600,$C$7:$T598,13,FALSE)</f>
      </c>
      <c r="O600" s="74">
        <f t="shared" ca="1" si="131"/>
      </c>
      <c r="P600" s="74">
        <f t="shared" ca="1" si="132"/>
      </c>
      <c r="Q600" s="74">
        <f t="shared" ca="1" si="133"/>
      </c>
      <c r="R600" s="74">
        <f t="shared" si="134"/>
      </c>
      <c r="S600" s="74">
        <f t="shared" ca="1" si="135"/>
      </c>
      <c r="T600" s="74">
        <f t="shared" si="136"/>
      </c>
    </row>
    <row r="601" spans="2:20" x14ac:dyDescent="0.3">
      <c r="B601" s="74">
        <f t="shared" ca="1" si="126"/>
      </c>
      <c r="C601" s="78">
        <f>Кабельный_журнал!P567</f>
      </c>
      <c r="D601" s="74">
        <f t="shared" ca="1" si="127"/>
      </c>
      <c r="E601" s="80" t="s">
        <v>279</v>
      </c>
      <c r="F601" s="74">
        <f t="shared" ca="1" si="123"/>
      </c>
      <c r="G601" s="74">
        <f t="shared" si="124"/>
      </c>
      <c r="H601" s="80" t="s">
        <v>272</v>
      </c>
      <c r="I601" s="74">
        <f t="shared" si="125"/>
      </c>
      <c r="J601" s="74">
        <f t="shared" si="128"/>
      </c>
      <c r="K601" s="80" t="s">
        <v>280</v>
      </c>
      <c r="L601" s="74">
        <f t="shared" si="129"/>
      </c>
      <c r="M601" s="74">
        <f t="shared" ca="1" si="130"/>
      </c>
      <c r="N601" s="74">
        <f ca="1">VLOOKUP(B601,$C$7:$T599,13,FALSE)</f>
      </c>
      <c r="O601" s="74">
        <f t="shared" ca="1" si="131"/>
      </c>
      <c r="P601" s="74">
        <f t="shared" ca="1" si="132"/>
      </c>
      <c r="Q601" s="74">
        <f t="shared" ca="1" si="133"/>
      </c>
      <c r="R601" s="74">
        <f t="shared" si="134"/>
      </c>
      <c r="S601" s="74">
        <f t="shared" ca="1" si="135"/>
      </c>
      <c r="T601" s="74">
        <f t="shared" si="136"/>
      </c>
    </row>
    <row r="602" spans="2:20" x14ac:dyDescent="0.3">
      <c r="B602" s="74">
        <f t="shared" ca="1" si="126"/>
      </c>
      <c r="C602" s="78">
        <f>Кабельный_журнал!P568</f>
      </c>
      <c r="D602" s="74">
        <f t="shared" ca="1" si="127"/>
      </c>
      <c r="E602" s="80" t="s">
        <v>279</v>
      </c>
      <c r="F602" s="74">
        <f t="shared" ca="1" si="123"/>
      </c>
      <c r="G602" s="74">
        <f t="shared" si="124"/>
      </c>
      <c r="H602" s="80" t="s">
        <v>272</v>
      </c>
      <c r="I602" s="74">
        <f t="shared" si="125"/>
      </c>
      <c r="J602" s="74">
        <f t="shared" si="128"/>
      </c>
      <c r="K602" s="80" t="s">
        <v>280</v>
      </c>
      <c r="L602" s="74">
        <f t="shared" si="129"/>
      </c>
      <c r="M602" s="74">
        <f t="shared" ca="1" si="130"/>
      </c>
      <c r="N602" s="74">
        <f ca="1">VLOOKUP(B602,$C$7:$T600,13,FALSE)</f>
      </c>
      <c r="O602" s="74">
        <f t="shared" ca="1" si="131"/>
      </c>
      <c r="P602" s="74">
        <f t="shared" ca="1" si="132"/>
      </c>
      <c r="Q602" s="74">
        <f t="shared" ca="1" si="133"/>
      </c>
      <c r="R602" s="74">
        <f t="shared" si="134"/>
      </c>
      <c r="S602" s="74">
        <f t="shared" ca="1" si="135"/>
      </c>
      <c r="T602" s="74">
        <f t="shared" si="136"/>
      </c>
    </row>
    <row r="603" spans="2:20" x14ac:dyDescent="0.3">
      <c r="B603" s="74">
        <f t="shared" ca="1" si="126"/>
      </c>
      <c r="C603" s="78">
        <f>Кабельный_журнал!P569</f>
      </c>
      <c r="D603" s="74">
        <f t="shared" ca="1" si="127"/>
      </c>
      <c r="E603" s="80" t="s">
        <v>279</v>
      </c>
      <c r="F603" s="74">
        <f t="shared" ca="1" si="123"/>
      </c>
      <c r="G603" s="74">
        <f t="shared" si="124"/>
      </c>
      <c r="H603" s="80" t="s">
        <v>272</v>
      </c>
      <c r="I603" s="74">
        <f t="shared" si="125"/>
      </c>
      <c r="J603" s="74">
        <f t="shared" si="128"/>
      </c>
      <c r="K603" s="80" t="s">
        <v>280</v>
      </c>
      <c r="L603" s="74">
        <f t="shared" si="129"/>
      </c>
      <c r="M603" s="74">
        <f t="shared" ca="1" si="130"/>
      </c>
      <c r="N603" s="74">
        <f ca="1">VLOOKUP(B603,$C$7:$T601,13,FALSE)</f>
      </c>
      <c r="O603" s="74">
        <f t="shared" ca="1" si="131"/>
      </c>
      <c r="P603" s="74">
        <f t="shared" ca="1" si="132"/>
      </c>
      <c r="Q603" s="74">
        <f t="shared" ca="1" si="133"/>
      </c>
      <c r="R603" s="74">
        <f t="shared" si="134"/>
      </c>
      <c r="S603" s="74">
        <f t="shared" ca="1" si="135"/>
      </c>
      <c r="T603" s="74">
        <f t="shared" si="136"/>
      </c>
    </row>
    <row r="604" spans="2:20" x14ac:dyDescent="0.3">
      <c r="B604" s="74">
        <f t="shared" ca="1" si="126"/>
      </c>
      <c r="C604" s="78">
        <f>Кабельный_журнал!P570</f>
      </c>
      <c r="D604" s="74">
        <f t="shared" ca="1" si="127"/>
      </c>
      <c r="E604" s="80" t="s">
        <v>279</v>
      </c>
      <c r="F604" s="74">
        <f t="shared" ca="1" si="123"/>
      </c>
      <c r="G604" s="74">
        <f t="shared" si="124"/>
      </c>
      <c r="H604" s="80" t="s">
        <v>272</v>
      </c>
      <c r="I604" s="74">
        <f t="shared" si="125"/>
      </c>
      <c r="J604" s="74">
        <f t="shared" si="128"/>
      </c>
      <c r="K604" s="80" t="s">
        <v>280</v>
      </c>
      <c r="L604" s="74">
        <f t="shared" si="129"/>
      </c>
      <c r="M604" s="74">
        <f t="shared" ca="1" si="130"/>
      </c>
      <c r="N604" s="74">
        <f ca="1">VLOOKUP(B604,$C$7:$T602,13,FALSE)</f>
      </c>
      <c r="O604" s="74">
        <f t="shared" ca="1" si="131"/>
      </c>
      <c r="P604" s="74">
        <f t="shared" ca="1" si="132"/>
      </c>
      <c r="Q604" s="74">
        <f t="shared" ca="1" si="133"/>
      </c>
      <c r="R604" s="74">
        <f t="shared" si="134"/>
      </c>
      <c r="S604" s="74">
        <f t="shared" ca="1" si="135"/>
      </c>
      <c r="T604" s="74">
        <f t="shared" si="136"/>
      </c>
    </row>
    <row r="605" spans="2:20" x14ac:dyDescent="0.3">
      <c r="B605" s="74">
        <f t="shared" ca="1" si="126"/>
      </c>
      <c r="C605" s="78">
        <f>Кабельный_журнал!P571</f>
      </c>
      <c r="D605" s="74">
        <f t="shared" ca="1" si="127"/>
      </c>
      <c r="E605" s="80" t="s">
        <v>279</v>
      </c>
      <c r="F605" s="74">
        <f t="shared" ca="1" si="123"/>
      </c>
      <c r="G605" s="74">
        <f t="shared" si="124"/>
      </c>
      <c r="H605" s="80" t="s">
        <v>272</v>
      </c>
      <c r="I605" s="74">
        <f t="shared" si="125"/>
      </c>
      <c r="J605" s="74">
        <f t="shared" si="128"/>
      </c>
      <c r="K605" s="80" t="s">
        <v>280</v>
      </c>
      <c r="L605" s="74">
        <f t="shared" si="129"/>
      </c>
      <c r="M605" s="74">
        <f t="shared" ca="1" si="130"/>
      </c>
      <c r="N605" s="74">
        <f ca="1">VLOOKUP(B605,$C$7:$T603,13,FALSE)</f>
      </c>
      <c r="O605" s="74">
        <f t="shared" ca="1" si="131"/>
      </c>
      <c r="P605" s="74">
        <f t="shared" ca="1" si="132"/>
      </c>
      <c r="Q605" s="74">
        <f t="shared" ca="1" si="133"/>
      </c>
      <c r="R605" s="74">
        <f t="shared" si="134"/>
      </c>
      <c r="S605" s="74">
        <f t="shared" ca="1" si="135"/>
      </c>
      <c r="T605" s="74">
        <f t="shared" si="136"/>
      </c>
    </row>
    <row r="606" spans="2:20" x14ac:dyDescent="0.3">
      <c r="B606" s="74">
        <f t="shared" ca="1" si="126"/>
      </c>
      <c r="C606" s="78">
        <f>Кабельный_журнал!P572</f>
      </c>
      <c r="D606" s="74">
        <f t="shared" ca="1" si="127"/>
      </c>
      <c r="E606" s="80" t="s">
        <v>279</v>
      </c>
      <c r="F606" s="74">
        <f t="shared" ca="1" si="123"/>
      </c>
      <c r="G606" s="74">
        <f t="shared" si="124"/>
      </c>
      <c r="H606" s="80" t="s">
        <v>272</v>
      </c>
      <c r="I606" s="74">
        <f t="shared" si="125"/>
      </c>
      <c r="J606" s="74">
        <f t="shared" si="128"/>
      </c>
      <c r="K606" s="80" t="s">
        <v>280</v>
      </c>
      <c r="L606" s="74">
        <f t="shared" si="129"/>
      </c>
      <c r="M606" s="74">
        <f t="shared" ca="1" si="130"/>
      </c>
      <c r="N606" s="74">
        <f ca="1">VLOOKUP(B606,$C$7:$T604,13,FALSE)</f>
      </c>
      <c r="O606" s="74">
        <f t="shared" ca="1" si="131"/>
      </c>
      <c r="P606" s="74">
        <f t="shared" ca="1" si="132"/>
      </c>
      <c r="Q606" s="74">
        <f t="shared" ca="1" si="133"/>
      </c>
      <c r="R606" s="74">
        <f t="shared" si="134"/>
      </c>
      <c r="S606" s="74">
        <f t="shared" ca="1" si="135"/>
      </c>
      <c r="T606" s="74">
        <f t="shared" si="136"/>
      </c>
    </row>
    <row r="607" spans="2:20" x14ac:dyDescent="0.3">
      <c r="B607" s="74">
        <f t="shared" ca="1" si="126"/>
      </c>
      <c r="C607" s="78">
        <f>Кабельный_журнал!P573</f>
      </c>
      <c r="D607" s="74">
        <f t="shared" ca="1" si="127"/>
      </c>
      <c r="E607" s="80" t="s">
        <v>279</v>
      </c>
      <c r="F607" s="74">
        <f t="shared" ca="1" si="123"/>
      </c>
      <c r="G607" s="74">
        <f t="shared" si="124"/>
      </c>
      <c r="H607" s="80" t="s">
        <v>272</v>
      </c>
      <c r="I607" s="74">
        <f t="shared" si="125"/>
      </c>
      <c r="J607" s="74">
        <f t="shared" si="128"/>
      </c>
      <c r="K607" s="80" t="s">
        <v>280</v>
      </c>
      <c r="L607" s="74">
        <f t="shared" si="129"/>
      </c>
      <c r="M607" s="74">
        <f t="shared" ca="1" si="130"/>
      </c>
      <c r="N607" s="74">
        <f ca="1">VLOOKUP(B607,$C$7:$T605,13,FALSE)</f>
      </c>
      <c r="O607" s="74">
        <f t="shared" ca="1" si="131"/>
      </c>
      <c r="P607" s="74">
        <f t="shared" ca="1" si="132"/>
      </c>
      <c r="Q607" s="74">
        <f t="shared" ca="1" si="133"/>
      </c>
      <c r="R607" s="74">
        <f t="shared" si="134"/>
      </c>
      <c r="S607" s="74">
        <f t="shared" ca="1" si="135"/>
      </c>
      <c r="T607" s="74">
        <f t="shared" si="136"/>
      </c>
    </row>
    <row r="608" spans="2:20" x14ac:dyDescent="0.3">
      <c r="B608" s="74">
        <f t="shared" ca="1" si="126"/>
      </c>
      <c r="C608" s="78">
        <f>Кабельный_журнал!P574</f>
      </c>
      <c r="D608" s="74">
        <f t="shared" ca="1" si="127"/>
      </c>
      <c r="E608" s="80" t="s">
        <v>279</v>
      </c>
      <c r="F608" s="74">
        <f t="shared" ca="1" si="123"/>
      </c>
      <c r="G608" s="74">
        <f t="shared" si="124"/>
      </c>
      <c r="H608" s="80" t="s">
        <v>272</v>
      </c>
      <c r="I608" s="74">
        <f t="shared" si="125"/>
      </c>
      <c r="J608" s="74">
        <f t="shared" si="128"/>
      </c>
      <c r="K608" s="80" t="s">
        <v>280</v>
      </c>
      <c r="L608" s="74">
        <f t="shared" si="129"/>
      </c>
      <c r="M608" s="74">
        <f t="shared" ca="1" si="130"/>
      </c>
      <c r="N608" s="74">
        <f ca="1">VLOOKUP(B608,$C$7:$T606,13,FALSE)</f>
      </c>
      <c r="O608" s="74">
        <f t="shared" ca="1" si="131"/>
      </c>
      <c r="P608" s="74">
        <f t="shared" ca="1" si="132"/>
      </c>
      <c r="Q608" s="74">
        <f t="shared" ca="1" si="133"/>
      </c>
      <c r="R608" s="74">
        <f t="shared" si="134"/>
      </c>
      <c r="S608" s="74">
        <f t="shared" ca="1" si="135"/>
      </c>
      <c r="T608" s="74">
        <f t="shared" si="136"/>
      </c>
    </row>
    <row r="609" spans="2:20" x14ac:dyDescent="0.3">
      <c r="B609" s="74">
        <f t="shared" ca="1" si="126"/>
      </c>
      <c r="C609" s="78">
        <f>Кабельный_журнал!P575</f>
      </c>
      <c r="D609" s="74">
        <f t="shared" ca="1" si="127"/>
      </c>
      <c r="E609" s="80" t="s">
        <v>279</v>
      </c>
      <c r="F609" s="74">
        <f t="shared" ca="1" si="123"/>
      </c>
      <c r="G609" s="74">
        <f t="shared" si="124"/>
      </c>
      <c r="H609" s="80" t="s">
        <v>272</v>
      </c>
      <c r="I609" s="74">
        <f t="shared" si="125"/>
      </c>
      <c r="J609" s="74">
        <f t="shared" si="128"/>
      </c>
      <c r="K609" s="80" t="s">
        <v>280</v>
      </c>
      <c r="L609" s="74">
        <f t="shared" si="129"/>
      </c>
      <c r="M609" s="74">
        <f t="shared" ca="1" si="130"/>
      </c>
      <c r="N609" s="74">
        <f ca="1">VLOOKUP(B609,$C$7:$T607,13,FALSE)</f>
      </c>
      <c r="O609" s="74">
        <f t="shared" ca="1" si="131"/>
      </c>
      <c r="P609" s="74">
        <f t="shared" ca="1" si="132"/>
      </c>
      <c r="Q609" s="74">
        <f t="shared" ca="1" si="133"/>
      </c>
      <c r="R609" s="74">
        <f t="shared" si="134"/>
      </c>
      <c r="S609" s="74">
        <f t="shared" ca="1" si="135"/>
      </c>
      <c r="T609" s="74">
        <f t="shared" si="136"/>
      </c>
    </row>
    <row r="610" spans="2:20" x14ac:dyDescent="0.3">
      <c r="B610" s="74">
        <f t="shared" ca="1" si="126"/>
      </c>
      <c r="C610" s="78">
        <f>Кабельный_журнал!P576</f>
      </c>
      <c r="D610" s="74">
        <f t="shared" ca="1" si="127"/>
      </c>
      <c r="E610" s="80" t="s">
        <v>279</v>
      </c>
      <c r="F610" s="74">
        <f t="shared" ca="1" si="123"/>
      </c>
      <c r="G610" s="74">
        <f t="shared" si="124"/>
      </c>
      <c r="H610" s="80" t="s">
        <v>272</v>
      </c>
      <c r="I610" s="74">
        <f t="shared" si="125"/>
      </c>
      <c r="J610" s="74">
        <f t="shared" si="128"/>
      </c>
      <c r="K610" s="80" t="s">
        <v>280</v>
      </c>
      <c r="L610" s="74">
        <f t="shared" si="129"/>
      </c>
      <c r="M610" s="74">
        <f t="shared" ca="1" si="130"/>
      </c>
      <c r="N610" s="74">
        <f ca="1">VLOOKUP(B610,$C$7:$T608,13,FALSE)</f>
      </c>
      <c r="O610" s="74">
        <f t="shared" ca="1" si="131"/>
      </c>
      <c r="P610" s="74">
        <f t="shared" ca="1" si="132"/>
      </c>
      <c r="Q610" s="74">
        <f t="shared" ca="1" si="133"/>
      </c>
      <c r="R610" s="74">
        <f t="shared" si="134"/>
      </c>
      <c r="S610" s="74">
        <f t="shared" ca="1" si="135"/>
      </c>
      <c r="T610" s="74">
        <f t="shared" si="136"/>
      </c>
    </row>
    <row r="611" spans="2:20" x14ac:dyDescent="0.3">
      <c r="B611" s="74">
        <f t="shared" ca="1" si="126"/>
      </c>
      <c r="C611" s="78">
        <f>Кабельный_журнал!P577</f>
      </c>
      <c r="D611" s="74">
        <f t="shared" ca="1" si="127"/>
      </c>
      <c r="E611" s="80" t="s">
        <v>279</v>
      </c>
      <c r="F611" s="74">
        <f t="shared" ca="1" si="123"/>
      </c>
      <c r="G611" s="74">
        <f t="shared" si="124"/>
      </c>
      <c r="H611" s="80" t="s">
        <v>272</v>
      </c>
      <c r="I611" s="74">
        <f t="shared" si="125"/>
      </c>
      <c r="J611" s="74">
        <f t="shared" si="128"/>
      </c>
      <c r="K611" s="80" t="s">
        <v>280</v>
      </c>
      <c r="L611" s="74">
        <f t="shared" si="129"/>
      </c>
      <c r="M611" s="74">
        <f t="shared" ca="1" si="130"/>
      </c>
      <c r="N611" s="74">
        <f ca="1">VLOOKUP(B611,$C$7:$T609,13,FALSE)</f>
      </c>
      <c r="O611" s="74">
        <f t="shared" ca="1" si="131"/>
      </c>
      <c r="P611" s="74">
        <f t="shared" ca="1" si="132"/>
      </c>
      <c r="Q611" s="74">
        <f t="shared" ca="1" si="133"/>
      </c>
      <c r="R611" s="74">
        <f t="shared" si="134"/>
      </c>
      <c r="S611" s="74">
        <f t="shared" ca="1" si="135"/>
      </c>
      <c r="T611" s="74">
        <f t="shared" si="136"/>
      </c>
    </row>
    <row r="612" spans="2:20" x14ac:dyDescent="0.3">
      <c r="B612" s="74">
        <f t="shared" ca="1" si="126"/>
      </c>
      <c r="C612" s="78">
        <f>Кабельный_журнал!P578</f>
      </c>
      <c r="D612" s="74">
        <f t="shared" ca="1" si="127"/>
      </c>
      <c r="E612" s="80" t="s">
        <v>279</v>
      </c>
      <c r="F612" s="74">
        <f t="shared" ca="1" si="123"/>
      </c>
      <c r="G612" s="74">
        <f t="shared" si="124"/>
      </c>
      <c r="H612" s="80" t="s">
        <v>272</v>
      </c>
      <c r="I612" s="74">
        <f t="shared" si="125"/>
      </c>
      <c r="J612" s="74">
        <f t="shared" si="128"/>
      </c>
      <c r="K612" s="80" t="s">
        <v>280</v>
      </c>
      <c r="L612" s="74">
        <f t="shared" si="129"/>
      </c>
      <c r="M612" s="74">
        <f t="shared" ca="1" si="130"/>
      </c>
      <c r="N612" s="74">
        <f ca="1">VLOOKUP(B612,$C$7:$T610,13,FALSE)</f>
      </c>
      <c r="O612" s="74">
        <f t="shared" ca="1" si="131"/>
      </c>
      <c r="P612" s="74">
        <f t="shared" ca="1" si="132"/>
      </c>
      <c r="Q612" s="74">
        <f t="shared" ca="1" si="133"/>
      </c>
      <c r="R612" s="74">
        <f t="shared" si="134"/>
      </c>
      <c r="S612" s="74">
        <f t="shared" ca="1" si="135"/>
      </c>
      <c r="T612" s="74">
        <f t="shared" si="136"/>
      </c>
    </row>
    <row r="613" spans="2:20" x14ac:dyDescent="0.3">
      <c r="B613" s="74">
        <f t="shared" ca="1" si="126"/>
      </c>
      <c r="C613" s="78">
        <f>Кабельный_журнал!P579</f>
      </c>
      <c r="D613" s="74">
        <f t="shared" ca="1" si="127"/>
      </c>
      <c r="E613" s="80" t="s">
        <v>279</v>
      </c>
      <c r="F613" s="74">
        <f t="shared" ca="1" si="123"/>
      </c>
      <c r="G613" s="74">
        <f t="shared" si="124"/>
      </c>
      <c r="H613" s="80" t="s">
        <v>272</v>
      </c>
      <c r="I613" s="74">
        <f t="shared" si="125"/>
      </c>
      <c r="J613" s="74">
        <f t="shared" si="128"/>
      </c>
      <c r="K613" s="80" t="s">
        <v>280</v>
      </c>
      <c r="L613" s="74">
        <f t="shared" si="129"/>
      </c>
      <c r="M613" s="74">
        <f t="shared" ca="1" si="130"/>
      </c>
      <c r="N613" s="74">
        <f ca="1">VLOOKUP(B613,$C$7:$T611,13,FALSE)</f>
      </c>
      <c r="O613" s="74">
        <f t="shared" ca="1" si="131"/>
      </c>
      <c r="P613" s="74">
        <f t="shared" ca="1" si="132"/>
      </c>
      <c r="Q613" s="74">
        <f t="shared" ca="1" si="133"/>
      </c>
      <c r="R613" s="74">
        <f t="shared" si="134"/>
      </c>
      <c r="S613" s="74">
        <f t="shared" ca="1" si="135"/>
      </c>
      <c r="T613" s="74">
        <f t="shared" si="136"/>
      </c>
    </row>
    <row r="614" spans="2:20" x14ac:dyDescent="0.3">
      <c r="B614" s="74">
        <f t="shared" ca="1" si="126"/>
      </c>
      <c r="C614" s="78">
        <f>Кабельный_журнал!P580</f>
      </c>
      <c r="D614" s="74">
        <f t="shared" ca="1" si="127"/>
      </c>
      <c r="E614" s="80" t="s">
        <v>279</v>
      </c>
      <c r="F614" s="74">
        <f t="shared" ca="1" si="123"/>
      </c>
      <c r="G614" s="74">
        <f t="shared" si="124"/>
      </c>
      <c r="H614" s="80" t="s">
        <v>272</v>
      </c>
      <c r="I614" s="74">
        <f t="shared" si="125"/>
      </c>
      <c r="J614" s="74">
        <f t="shared" si="128"/>
      </c>
      <c r="K614" s="80" t="s">
        <v>280</v>
      </c>
      <c r="L614" s="74">
        <f t="shared" si="129"/>
      </c>
      <c r="M614" s="74">
        <f t="shared" ca="1" si="130"/>
      </c>
      <c r="N614" s="74">
        <f ca="1">VLOOKUP(B614,$C$7:$T612,13,FALSE)</f>
      </c>
      <c r="O614" s="74">
        <f t="shared" ca="1" si="131"/>
      </c>
      <c r="P614" s="74">
        <f t="shared" ca="1" si="132"/>
      </c>
      <c r="Q614" s="74">
        <f t="shared" ca="1" si="133"/>
      </c>
      <c r="R614" s="74">
        <f t="shared" si="134"/>
      </c>
      <c r="S614" s="74">
        <f t="shared" ca="1" si="135"/>
      </c>
      <c r="T614" s="74">
        <f t="shared" si="136"/>
      </c>
    </row>
    <row r="615" spans="2:20" x14ac:dyDescent="0.3">
      <c r="B615" s="74">
        <f t="shared" ca="1" si="126"/>
      </c>
      <c r="C615" s="78">
        <f>Кабельный_журнал!P581</f>
      </c>
      <c r="D615" s="74">
        <f t="shared" ca="1" si="127"/>
      </c>
      <c r="E615" s="80" t="s">
        <v>279</v>
      </c>
      <c r="F615" s="74">
        <f t="shared" ref="F615:F678" ca="1" si="137">VLOOKUP(C615,Кабельный_журнал,8,FALSE)</f>
      </c>
      <c r="G615" s="74">
        <f t="shared" ref="G615:G678" si="138">VLOOKUP(C615,Исходные_данные,21,FALSE)</f>
      </c>
      <c r="H615" s="80" t="s">
        <v>272</v>
      </c>
      <c r="I615" s="74">
        <f t="shared" ref="I615:I678" si="139">VLOOKUP(C615,Исходные_данные,22,FALSE)</f>
      </c>
      <c r="J615" s="74">
        <f t="shared" si="128"/>
      </c>
      <c r="K615" s="80" t="s">
        <v>280</v>
      </c>
      <c r="L615" s="74">
        <f t="shared" si="129"/>
      </c>
      <c r="M615" s="74">
        <f t="shared" ca="1" si="130"/>
      </c>
      <c r="N615" s="74">
        <f ca="1">VLOOKUP(B615,$C$7:$T613,13,FALSE)</f>
      </c>
      <c r="O615" s="74">
        <f t="shared" ca="1" si="131"/>
      </c>
      <c r="P615" s="74">
        <f t="shared" ca="1" si="132"/>
      </c>
      <c r="Q615" s="74">
        <f t="shared" ca="1" si="133"/>
      </c>
      <c r="R615" s="74">
        <f t="shared" si="134"/>
      </c>
      <c r="S615" s="74">
        <f t="shared" ca="1" si="135"/>
      </c>
      <c r="T615" s="74">
        <f t="shared" si="136"/>
      </c>
    </row>
    <row r="616" spans="2:20" x14ac:dyDescent="0.3">
      <c r="B616" s="74">
        <f t="shared" ref="B616:B679" ca="1" si="140">VLOOKUP(C616,Кабельный_журнал,2,FALSE)</f>
      </c>
      <c r="C616" s="78">
        <f>Кабельный_журнал!P582</f>
      </c>
      <c r="D616" s="74">
        <f t="shared" ref="D616:D679" ca="1" si="141">B616&amp;"-"&amp;C616</f>
      </c>
      <c r="E616" s="80" t="s">
        <v>279</v>
      </c>
      <c r="F616" s="74">
        <f t="shared" ca="1" si="137"/>
      </c>
      <c r="G616" s="74">
        <f t="shared" si="138"/>
      </c>
      <c r="H616" s="80" t="s">
        <v>272</v>
      </c>
      <c r="I616" s="74">
        <f t="shared" si="139"/>
      </c>
      <c r="J616" s="74">
        <f t="shared" ref="J616:J679" si="142">I616</f>
      </c>
      <c r="K616" s="80" t="s">
        <v>280</v>
      </c>
      <c r="L616" s="74">
        <f t="shared" ref="L616:L679" si="143">VLOOKUP(K616,$K$2:$L$3,2,FALSE)</f>
      </c>
      <c r="M616" s="74">
        <f t="shared" ref="M616:M679" ca="1" si="144">L616*F616*(1/I616+1/J616)</f>
      </c>
      <c r="N616" s="74">
        <f ca="1">VLOOKUP(B616,$C$7:$T614,13,FALSE)</f>
      </c>
      <c r="O616" s="74">
        <f t="shared" ref="O616:O679" ca="1" si="145">L616+M616</f>
      </c>
      <c r="P616" s="74">
        <f t="shared" ref="P616:P679" ca="1" si="146">220/O616</f>
      </c>
      <c r="Q616" s="74">
        <f t="shared" ref="Q616:Q679" ca="1" si="147">O616/G616</f>
      </c>
      <c r="R616" s="74">
        <f t="shared" ref="R616:R679" si="148">VLOOKUP(H616,$W$2:$Y$12,3,FALSE)</f>
      </c>
      <c r="S616" s="74">
        <f t="shared" ref="S616:S679" ca="1" si="149">_xlfn.IFS(E616="щит",IF(P616&gt;R616,"Увел сеч",IF(T616&gt;P616,"Увел сеч","tср&lt;5с")),E616="потреб",IF(P616&gt;R616,"Увел сеч",IF(T616&gt;P616,"Увел сеч","tср&lt;0.4с")))</f>
      </c>
      <c r="T616" s="74">
        <f t="shared" ref="T616:T679" si="150">G616*VLOOKUP(H616,$W$2:$Y$12,2,FALSE)</f>
      </c>
    </row>
    <row r="617" spans="2:20" x14ac:dyDescent="0.3">
      <c r="B617" s="74">
        <f t="shared" ca="1" si="140"/>
      </c>
      <c r="C617" s="78">
        <f>Кабельный_журнал!P583</f>
      </c>
      <c r="D617" s="74">
        <f t="shared" ca="1" si="141"/>
      </c>
      <c r="E617" s="80" t="s">
        <v>279</v>
      </c>
      <c r="F617" s="74">
        <f t="shared" ca="1" si="137"/>
      </c>
      <c r="G617" s="74">
        <f t="shared" si="138"/>
      </c>
      <c r="H617" s="80" t="s">
        <v>272</v>
      </c>
      <c r="I617" s="74">
        <f t="shared" si="139"/>
      </c>
      <c r="J617" s="74">
        <f t="shared" si="142"/>
      </c>
      <c r="K617" s="80" t="s">
        <v>280</v>
      </c>
      <c r="L617" s="74">
        <f t="shared" si="143"/>
      </c>
      <c r="M617" s="74">
        <f t="shared" ca="1" si="144"/>
      </c>
      <c r="N617" s="74">
        <f ca="1">VLOOKUP(B617,$C$7:$T615,13,FALSE)</f>
      </c>
      <c r="O617" s="74">
        <f t="shared" ca="1" si="145"/>
      </c>
      <c r="P617" s="74">
        <f t="shared" ca="1" si="146"/>
      </c>
      <c r="Q617" s="74">
        <f t="shared" ca="1" si="147"/>
      </c>
      <c r="R617" s="74">
        <f t="shared" si="148"/>
      </c>
      <c r="S617" s="74">
        <f t="shared" ca="1" si="149"/>
      </c>
      <c r="T617" s="74">
        <f t="shared" si="150"/>
      </c>
    </row>
    <row r="618" spans="2:20" x14ac:dyDescent="0.3">
      <c r="B618" s="74">
        <f t="shared" ca="1" si="140"/>
      </c>
      <c r="C618" s="78">
        <f>Кабельный_журнал!P584</f>
      </c>
      <c r="D618" s="74">
        <f t="shared" ca="1" si="141"/>
      </c>
      <c r="E618" s="80" t="s">
        <v>279</v>
      </c>
      <c r="F618" s="74">
        <f t="shared" ca="1" si="137"/>
      </c>
      <c r="G618" s="74">
        <f t="shared" si="138"/>
      </c>
      <c r="H618" s="80" t="s">
        <v>272</v>
      </c>
      <c r="I618" s="74">
        <f t="shared" si="139"/>
      </c>
      <c r="J618" s="74">
        <f t="shared" si="142"/>
      </c>
      <c r="K618" s="80" t="s">
        <v>280</v>
      </c>
      <c r="L618" s="74">
        <f t="shared" si="143"/>
      </c>
      <c r="M618" s="74">
        <f t="shared" ca="1" si="144"/>
      </c>
      <c r="N618" s="74">
        <f ca="1">VLOOKUP(B618,$C$7:$T616,13,FALSE)</f>
      </c>
      <c r="O618" s="74">
        <f t="shared" ca="1" si="145"/>
      </c>
      <c r="P618" s="74">
        <f t="shared" ca="1" si="146"/>
      </c>
      <c r="Q618" s="74">
        <f t="shared" ca="1" si="147"/>
      </c>
      <c r="R618" s="74">
        <f t="shared" si="148"/>
      </c>
      <c r="S618" s="74">
        <f t="shared" ca="1" si="149"/>
      </c>
      <c r="T618" s="74">
        <f t="shared" si="150"/>
      </c>
    </row>
    <row r="619" spans="2:20" x14ac:dyDescent="0.3">
      <c r="B619" s="74">
        <f t="shared" ca="1" si="140"/>
      </c>
      <c r="C619" s="78">
        <f>Кабельный_журнал!P585</f>
      </c>
      <c r="D619" s="74">
        <f t="shared" ca="1" si="141"/>
      </c>
      <c r="E619" s="80" t="s">
        <v>279</v>
      </c>
      <c r="F619" s="74">
        <f t="shared" ca="1" si="137"/>
      </c>
      <c r="G619" s="74">
        <f t="shared" si="138"/>
      </c>
      <c r="H619" s="80" t="s">
        <v>272</v>
      </c>
      <c r="I619" s="74">
        <f t="shared" si="139"/>
      </c>
      <c r="J619" s="74">
        <f t="shared" si="142"/>
      </c>
      <c r="K619" s="80" t="s">
        <v>280</v>
      </c>
      <c r="L619" s="74">
        <f t="shared" si="143"/>
      </c>
      <c r="M619" s="74">
        <f t="shared" ca="1" si="144"/>
      </c>
      <c r="N619" s="74">
        <f ca="1">VLOOKUP(B619,$C$7:$T617,13,FALSE)</f>
      </c>
      <c r="O619" s="74">
        <f t="shared" ca="1" si="145"/>
      </c>
      <c r="P619" s="74">
        <f t="shared" ca="1" si="146"/>
      </c>
      <c r="Q619" s="74">
        <f t="shared" ca="1" si="147"/>
      </c>
      <c r="R619" s="74">
        <f t="shared" si="148"/>
      </c>
      <c r="S619" s="74">
        <f t="shared" ca="1" si="149"/>
      </c>
      <c r="T619" s="74">
        <f t="shared" si="150"/>
      </c>
    </row>
    <row r="620" spans="2:20" x14ac:dyDescent="0.3">
      <c r="B620" s="74">
        <f t="shared" ca="1" si="140"/>
      </c>
      <c r="C620" s="78">
        <f>Кабельный_журнал!P586</f>
      </c>
      <c r="D620" s="74">
        <f t="shared" ca="1" si="141"/>
      </c>
      <c r="E620" s="80" t="s">
        <v>279</v>
      </c>
      <c r="F620" s="74">
        <f t="shared" ca="1" si="137"/>
      </c>
      <c r="G620" s="74">
        <f t="shared" si="138"/>
      </c>
      <c r="H620" s="80" t="s">
        <v>272</v>
      </c>
      <c r="I620" s="74">
        <f t="shared" si="139"/>
      </c>
      <c r="J620" s="74">
        <f t="shared" si="142"/>
      </c>
      <c r="K620" s="80" t="s">
        <v>280</v>
      </c>
      <c r="L620" s="74">
        <f t="shared" si="143"/>
      </c>
      <c r="M620" s="74">
        <f t="shared" ca="1" si="144"/>
      </c>
      <c r="N620" s="74">
        <f ca="1">VLOOKUP(B620,$C$7:$T618,13,FALSE)</f>
      </c>
      <c r="O620" s="74">
        <f t="shared" ca="1" si="145"/>
      </c>
      <c r="P620" s="74">
        <f t="shared" ca="1" si="146"/>
      </c>
      <c r="Q620" s="74">
        <f t="shared" ca="1" si="147"/>
      </c>
      <c r="R620" s="74">
        <f t="shared" si="148"/>
      </c>
      <c r="S620" s="74">
        <f t="shared" ca="1" si="149"/>
      </c>
      <c r="T620" s="74">
        <f t="shared" si="150"/>
      </c>
    </row>
    <row r="621" spans="2:20" x14ac:dyDescent="0.3">
      <c r="B621" s="74">
        <f t="shared" ca="1" si="140"/>
      </c>
      <c r="C621" s="78">
        <f>Кабельный_журнал!P587</f>
      </c>
      <c r="D621" s="74">
        <f t="shared" ca="1" si="141"/>
      </c>
      <c r="E621" s="80" t="s">
        <v>279</v>
      </c>
      <c r="F621" s="74">
        <f t="shared" ca="1" si="137"/>
      </c>
      <c r="G621" s="74">
        <f t="shared" si="138"/>
      </c>
      <c r="H621" s="80" t="s">
        <v>272</v>
      </c>
      <c r="I621" s="74">
        <f t="shared" si="139"/>
      </c>
      <c r="J621" s="74">
        <f t="shared" si="142"/>
      </c>
      <c r="K621" s="80" t="s">
        <v>280</v>
      </c>
      <c r="L621" s="74">
        <f t="shared" si="143"/>
      </c>
      <c r="M621" s="74">
        <f t="shared" ca="1" si="144"/>
      </c>
      <c r="N621" s="74">
        <f ca="1">VLOOKUP(B621,$C$7:$T619,13,FALSE)</f>
      </c>
      <c r="O621" s="74">
        <f t="shared" ca="1" si="145"/>
      </c>
      <c r="P621" s="74">
        <f t="shared" ca="1" si="146"/>
      </c>
      <c r="Q621" s="74">
        <f t="shared" ca="1" si="147"/>
      </c>
      <c r="R621" s="74">
        <f t="shared" si="148"/>
      </c>
      <c r="S621" s="74">
        <f t="shared" ca="1" si="149"/>
      </c>
      <c r="T621" s="74">
        <f t="shared" si="150"/>
      </c>
    </row>
    <row r="622" spans="2:20" x14ac:dyDescent="0.3">
      <c r="B622" s="74">
        <f t="shared" ca="1" si="140"/>
      </c>
      <c r="C622" s="78">
        <f>Кабельный_журнал!P588</f>
      </c>
      <c r="D622" s="74">
        <f t="shared" ca="1" si="141"/>
      </c>
      <c r="E622" s="80" t="s">
        <v>279</v>
      </c>
      <c r="F622" s="74">
        <f t="shared" ca="1" si="137"/>
      </c>
      <c r="G622" s="74">
        <f t="shared" si="138"/>
      </c>
      <c r="H622" s="80" t="s">
        <v>272</v>
      </c>
      <c r="I622" s="74">
        <f t="shared" si="139"/>
      </c>
      <c r="J622" s="74">
        <f t="shared" si="142"/>
      </c>
      <c r="K622" s="80" t="s">
        <v>280</v>
      </c>
      <c r="L622" s="74">
        <f t="shared" si="143"/>
      </c>
      <c r="M622" s="74">
        <f t="shared" ca="1" si="144"/>
      </c>
      <c r="N622" s="74">
        <f ca="1">VLOOKUP(B622,$C$7:$T620,13,FALSE)</f>
      </c>
      <c r="O622" s="74">
        <f t="shared" ca="1" si="145"/>
      </c>
      <c r="P622" s="74">
        <f t="shared" ca="1" si="146"/>
      </c>
      <c r="Q622" s="74">
        <f t="shared" ca="1" si="147"/>
      </c>
      <c r="R622" s="74">
        <f t="shared" si="148"/>
      </c>
      <c r="S622" s="74">
        <f t="shared" ca="1" si="149"/>
      </c>
      <c r="T622" s="74">
        <f t="shared" si="150"/>
      </c>
    </row>
    <row r="623" spans="2:20" x14ac:dyDescent="0.3">
      <c r="B623" s="74">
        <f t="shared" ca="1" si="140"/>
      </c>
      <c r="C623" s="78">
        <f>Кабельный_журнал!P589</f>
      </c>
      <c r="D623" s="74">
        <f t="shared" ca="1" si="141"/>
      </c>
      <c r="E623" s="80" t="s">
        <v>279</v>
      </c>
      <c r="F623" s="74">
        <f t="shared" ca="1" si="137"/>
      </c>
      <c r="G623" s="74">
        <f t="shared" si="138"/>
      </c>
      <c r="H623" s="80" t="s">
        <v>272</v>
      </c>
      <c r="I623" s="74">
        <f t="shared" si="139"/>
      </c>
      <c r="J623" s="74">
        <f t="shared" si="142"/>
      </c>
      <c r="K623" s="80" t="s">
        <v>280</v>
      </c>
      <c r="L623" s="74">
        <f t="shared" si="143"/>
      </c>
      <c r="M623" s="74">
        <f t="shared" ca="1" si="144"/>
      </c>
      <c r="N623" s="74">
        <f ca="1">VLOOKUP(B623,$C$7:$T621,13,FALSE)</f>
      </c>
      <c r="O623" s="74">
        <f t="shared" ca="1" si="145"/>
      </c>
      <c r="P623" s="74">
        <f t="shared" ca="1" si="146"/>
      </c>
      <c r="Q623" s="74">
        <f t="shared" ca="1" si="147"/>
      </c>
      <c r="R623" s="74">
        <f t="shared" si="148"/>
      </c>
      <c r="S623" s="74">
        <f t="shared" ca="1" si="149"/>
      </c>
      <c r="T623" s="74">
        <f t="shared" si="150"/>
      </c>
    </row>
    <row r="624" spans="2:20" x14ac:dyDescent="0.3">
      <c r="B624" s="74">
        <f t="shared" ca="1" si="140"/>
      </c>
      <c r="C624" s="78">
        <f>Кабельный_журнал!P590</f>
      </c>
      <c r="D624" s="74">
        <f t="shared" ca="1" si="141"/>
      </c>
      <c r="E624" s="80" t="s">
        <v>279</v>
      </c>
      <c r="F624" s="74">
        <f t="shared" ca="1" si="137"/>
      </c>
      <c r="G624" s="74">
        <f t="shared" si="138"/>
      </c>
      <c r="H624" s="80" t="s">
        <v>272</v>
      </c>
      <c r="I624" s="74">
        <f t="shared" si="139"/>
      </c>
      <c r="J624" s="74">
        <f t="shared" si="142"/>
      </c>
      <c r="K624" s="80" t="s">
        <v>280</v>
      </c>
      <c r="L624" s="74">
        <f t="shared" si="143"/>
      </c>
      <c r="M624" s="74">
        <f t="shared" ca="1" si="144"/>
      </c>
      <c r="N624" s="74">
        <f ca="1">VLOOKUP(B624,$C$7:$T622,13,FALSE)</f>
      </c>
      <c r="O624" s="74">
        <f t="shared" ca="1" si="145"/>
      </c>
      <c r="P624" s="74">
        <f t="shared" ca="1" si="146"/>
      </c>
      <c r="Q624" s="74">
        <f t="shared" ca="1" si="147"/>
      </c>
      <c r="R624" s="74">
        <f t="shared" si="148"/>
      </c>
      <c r="S624" s="74">
        <f t="shared" ca="1" si="149"/>
      </c>
      <c r="T624" s="74">
        <f t="shared" si="150"/>
      </c>
    </row>
    <row r="625" spans="2:20" x14ac:dyDescent="0.3">
      <c r="B625" s="74">
        <f t="shared" ca="1" si="140"/>
      </c>
      <c r="C625" s="78">
        <f>Кабельный_журнал!P591</f>
      </c>
      <c r="D625" s="74">
        <f t="shared" ca="1" si="141"/>
      </c>
      <c r="E625" s="80" t="s">
        <v>279</v>
      </c>
      <c r="F625" s="74">
        <f t="shared" ca="1" si="137"/>
      </c>
      <c r="G625" s="74">
        <f t="shared" si="138"/>
      </c>
      <c r="H625" s="80" t="s">
        <v>272</v>
      </c>
      <c r="I625" s="74">
        <f t="shared" si="139"/>
      </c>
      <c r="J625" s="74">
        <f t="shared" si="142"/>
      </c>
      <c r="K625" s="80" t="s">
        <v>280</v>
      </c>
      <c r="L625" s="74">
        <f t="shared" si="143"/>
      </c>
      <c r="M625" s="74">
        <f t="shared" ca="1" si="144"/>
      </c>
      <c r="N625" s="74">
        <f ca="1">VLOOKUP(B625,$C$7:$T623,13,FALSE)</f>
      </c>
      <c r="O625" s="74">
        <f t="shared" ca="1" si="145"/>
      </c>
      <c r="P625" s="74">
        <f t="shared" ca="1" si="146"/>
      </c>
      <c r="Q625" s="74">
        <f t="shared" ca="1" si="147"/>
      </c>
      <c r="R625" s="74">
        <f t="shared" si="148"/>
      </c>
      <c r="S625" s="74">
        <f t="shared" ca="1" si="149"/>
      </c>
      <c r="T625" s="74">
        <f t="shared" si="150"/>
      </c>
    </row>
    <row r="626" spans="2:20" x14ac:dyDescent="0.3">
      <c r="B626" s="74">
        <f t="shared" ca="1" si="140"/>
      </c>
      <c r="C626" s="78">
        <f>Кабельный_журнал!P592</f>
      </c>
      <c r="D626" s="74">
        <f t="shared" ca="1" si="141"/>
      </c>
      <c r="E626" s="80" t="s">
        <v>279</v>
      </c>
      <c r="F626" s="74">
        <f t="shared" ca="1" si="137"/>
      </c>
      <c r="G626" s="74">
        <f t="shared" si="138"/>
      </c>
      <c r="H626" s="80" t="s">
        <v>272</v>
      </c>
      <c r="I626" s="74">
        <f t="shared" si="139"/>
      </c>
      <c r="J626" s="74">
        <f t="shared" si="142"/>
      </c>
      <c r="K626" s="80" t="s">
        <v>280</v>
      </c>
      <c r="L626" s="74">
        <f t="shared" si="143"/>
      </c>
      <c r="M626" s="74">
        <f t="shared" ca="1" si="144"/>
      </c>
      <c r="N626" s="74">
        <f ca="1">VLOOKUP(B626,$C$7:$T624,13,FALSE)</f>
      </c>
      <c r="O626" s="74">
        <f t="shared" ca="1" si="145"/>
      </c>
      <c r="P626" s="74">
        <f t="shared" ca="1" si="146"/>
      </c>
      <c r="Q626" s="74">
        <f t="shared" ca="1" si="147"/>
      </c>
      <c r="R626" s="74">
        <f t="shared" si="148"/>
      </c>
      <c r="S626" s="74">
        <f t="shared" ca="1" si="149"/>
      </c>
      <c r="T626" s="74">
        <f t="shared" si="150"/>
      </c>
    </row>
    <row r="627" spans="2:20" x14ac:dyDescent="0.3">
      <c r="B627" s="74">
        <f t="shared" ca="1" si="140"/>
      </c>
      <c r="C627" s="78">
        <f>Кабельный_журнал!P593</f>
      </c>
      <c r="D627" s="74">
        <f t="shared" ca="1" si="141"/>
      </c>
      <c r="E627" s="80" t="s">
        <v>279</v>
      </c>
      <c r="F627" s="74">
        <f t="shared" ca="1" si="137"/>
      </c>
      <c r="G627" s="74">
        <f t="shared" si="138"/>
      </c>
      <c r="H627" s="80" t="s">
        <v>272</v>
      </c>
      <c r="I627" s="74">
        <f t="shared" si="139"/>
      </c>
      <c r="J627" s="74">
        <f t="shared" si="142"/>
      </c>
      <c r="K627" s="80" t="s">
        <v>280</v>
      </c>
      <c r="L627" s="74">
        <f t="shared" si="143"/>
      </c>
      <c r="M627" s="74">
        <f t="shared" ca="1" si="144"/>
      </c>
      <c r="N627" s="74">
        <f ca="1">VLOOKUP(B627,$C$7:$T625,13,FALSE)</f>
      </c>
      <c r="O627" s="74">
        <f t="shared" ca="1" si="145"/>
      </c>
      <c r="P627" s="74">
        <f t="shared" ca="1" si="146"/>
      </c>
      <c r="Q627" s="74">
        <f t="shared" ca="1" si="147"/>
      </c>
      <c r="R627" s="74">
        <f t="shared" si="148"/>
      </c>
      <c r="S627" s="74">
        <f t="shared" ca="1" si="149"/>
      </c>
      <c r="T627" s="74">
        <f t="shared" si="150"/>
      </c>
    </row>
    <row r="628" spans="2:20" x14ac:dyDescent="0.3">
      <c r="B628" s="74">
        <f t="shared" ca="1" si="140"/>
      </c>
      <c r="C628" s="78">
        <f>Кабельный_журнал!P594</f>
      </c>
      <c r="D628" s="74">
        <f t="shared" ca="1" si="141"/>
      </c>
      <c r="E628" s="80" t="s">
        <v>279</v>
      </c>
      <c r="F628" s="74">
        <f t="shared" ca="1" si="137"/>
      </c>
      <c r="G628" s="74">
        <f t="shared" si="138"/>
      </c>
      <c r="H628" s="80" t="s">
        <v>272</v>
      </c>
      <c r="I628" s="74">
        <f t="shared" si="139"/>
      </c>
      <c r="J628" s="74">
        <f t="shared" si="142"/>
      </c>
      <c r="K628" s="80" t="s">
        <v>280</v>
      </c>
      <c r="L628" s="74">
        <f t="shared" si="143"/>
      </c>
      <c r="M628" s="74">
        <f t="shared" ca="1" si="144"/>
      </c>
      <c r="N628" s="74">
        <f ca="1">VLOOKUP(B628,$C$7:$T626,13,FALSE)</f>
      </c>
      <c r="O628" s="74">
        <f t="shared" ca="1" si="145"/>
      </c>
      <c r="P628" s="74">
        <f t="shared" ca="1" si="146"/>
      </c>
      <c r="Q628" s="74">
        <f t="shared" ca="1" si="147"/>
      </c>
      <c r="R628" s="74">
        <f t="shared" si="148"/>
      </c>
      <c r="S628" s="74">
        <f t="shared" ca="1" si="149"/>
      </c>
      <c r="T628" s="74">
        <f t="shared" si="150"/>
      </c>
    </row>
    <row r="629" spans="2:20" x14ac:dyDescent="0.3">
      <c r="B629" s="74">
        <f t="shared" ca="1" si="140"/>
      </c>
      <c r="C629" s="78">
        <f>Кабельный_журнал!P595</f>
      </c>
      <c r="D629" s="74">
        <f t="shared" ca="1" si="141"/>
      </c>
      <c r="E629" s="80" t="s">
        <v>279</v>
      </c>
      <c r="F629" s="74">
        <f t="shared" ca="1" si="137"/>
      </c>
      <c r="G629" s="74">
        <f t="shared" si="138"/>
      </c>
      <c r="H629" s="80" t="s">
        <v>272</v>
      </c>
      <c r="I629" s="74">
        <f t="shared" si="139"/>
      </c>
      <c r="J629" s="74">
        <f t="shared" si="142"/>
      </c>
      <c r="K629" s="80" t="s">
        <v>280</v>
      </c>
      <c r="L629" s="74">
        <f t="shared" si="143"/>
      </c>
      <c r="M629" s="74">
        <f t="shared" ca="1" si="144"/>
      </c>
      <c r="N629" s="74">
        <f ca="1">VLOOKUP(B629,$C$7:$T627,13,FALSE)</f>
      </c>
      <c r="O629" s="74">
        <f t="shared" ca="1" si="145"/>
      </c>
      <c r="P629" s="74">
        <f t="shared" ca="1" si="146"/>
      </c>
      <c r="Q629" s="74">
        <f t="shared" ca="1" si="147"/>
      </c>
      <c r="R629" s="74">
        <f t="shared" si="148"/>
      </c>
      <c r="S629" s="74">
        <f t="shared" ca="1" si="149"/>
      </c>
      <c r="T629" s="74">
        <f t="shared" si="150"/>
      </c>
    </row>
    <row r="630" spans="2:20" x14ac:dyDescent="0.3">
      <c r="B630" s="74">
        <f t="shared" ca="1" si="140"/>
      </c>
      <c r="C630" s="78">
        <f>Кабельный_журнал!P596</f>
      </c>
      <c r="D630" s="74">
        <f t="shared" ca="1" si="141"/>
      </c>
      <c r="E630" s="80" t="s">
        <v>279</v>
      </c>
      <c r="F630" s="74">
        <f t="shared" ca="1" si="137"/>
      </c>
      <c r="G630" s="74">
        <f t="shared" si="138"/>
      </c>
      <c r="H630" s="80" t="s">
        <v>272</v>
      </c>
      <c r="I630" s="74">
        <f t="shared" si="139"/>
      </c>
      <c r="J630" s="74">
        <f t="shared" si="142"/>
      </c>
      <c r="K630" s="80" t="s">
        <v>280</v>
      </c>
      <c r="L630" s="74">
        <f t="shared" si="143"/>
      </c>
      <c r="M630" s="74">
        <f t="shared" ca="1" si="144"/>
      </c>
      <c r="N630" s="74">
        <f ca="1">VLOOKUP(B630,$C$7:$T628,13,FALSE)</f>
      </c>
      <c r="O630" s="74">
        <f t="shared" ca="1" si="145"/>
      </c>
      <c r="P630" s="74">
        <f t="shared" ca="1" si="146"/>
      </c>
      <c r="Q630" s="74">
        <f t="shared" ca="1" si="147"/>
      </c>
      <c r="R630" s="74">
        <f t="shared" si="148"/>
      </c>
      <c r="S630" s="74">
        <f t="shared" ca="1" si="149"/>
      </c>
      <c r="T630" s="74">
        <f t="shared" si="150"/>
      </c>
    </row>
    <row r="631" spans="2:20" x14ac:dyDescent="0.3">
      <c r="B631" s="74">
        <f t="shared" ca="1" si="140"/>
      </c>
      <c r="C631" s="78">
        <f>Кабельный_журнал!P597</f>
      </c>
      <c r="D631" s="74">
        <f t="shared" ca="1" si="141"/>
      </c>
      <c r="E631" s="80" t="s">
        <v>279</v>
      </c>
      <c r="F631" s="74">
        <f t="shared" ca="1" si="137"/>
      </c>
      <c r="G631" s="74">
        <f t="shared" si="138"/>
      </c>
      <c r="H631" s="80" t="s">
        <v>272</v>
      </c>
      <c r="I631" s="74">
        <f t="shared" si="139"/>
      </c>
      <c r="J631" s="74">
        <f t="shared" si="142"/>
      </c>
      <c r="K631" s="80" t="s">
        <v>280</v>
      </c>
      <c r="L631" s="74">
        <f t="shared" si="143"/>
      </c>
      <c r="M631" s="74">
        <f t="shared" ca="1" si="144"/>
      </c>
      <c r="N631" s="74">
        <f ca="1">VLOOKUP(B631,$C$7:$T629,13,FALSE)</f>
      </c>
      <c r="O631" s="74">
        <f t="shared" ca="1" si="145"/>
      </c>
      <c r="P631" s="74">
        <f t="shared" ca="1" si="146"/>
      </c>
      <c r="Q631" s="74">
        <f t="shared" ca="1" si="147"/>
      </c>
      <c r="R631" s="74">
        <f t="shared" si="148"/>
      </c>
      <c r="S631" s="74">
        <f t="shared" ca="1" si="149"/>
      </c>
      <c r="T631" s="74">
        <f t="shared" si="150"/>
      </c>
    </row>
    <row r="632" spans="2:20" x14ac:dyDescent="0.3">
      <c r="B632" s="74">
        <f t="shared" ca="1" si="140"/>
      </c>
      <c r="C632" s="78">
        <f>Кабельный_журнал!P598</f>
      </c>
      <c r="D632" s="74">
        <f t="shared" ca="1" si="141"/>
      </c>
      <c r="E632" s="80" t="s">
        <v>279</v>
      </c>
      <c r="F632" s="74">
        <f t="shared" ca="1" si="137"/>
      </c>
      <c r="G632" s="74">
        <f t="shared" si="138"/>
      </c>
      <c r="H632" s="80" t="s">
        <v>272</v>
      </c>
      <c r="I632" s="74">
        <f t="shared" si="139"/>
      </c>
      <c r="J632" s="74">
        <f t="shared" si="142"/>
      </c>
      <c r="K632" s="80" t="s">
        <v>280</v>
      </c>
      <c r="L632" s="74">
        <f t="shared" si="143"/>
      </c>
      <c r="M632" s="74">
        <f t="shared" ca="1" si="144"/>
      </c>
      <c r="N632" s="74">
        <f ca="1">VLOOKUP(B632,$C$7:$T630,13,FALSE)</f>
      </c>
      <c r="O632" s="74">
        <f t="shared" ca="1" si="145"/>
      </c>
      <c r="P632" s="74">
        <f t="shared" ca="1" si="146"/>
      </c>
      <c r="Q632" s="74">
        <f t="shared" ca="1" si="147"/>
      </c>
      <c r="R632" s="74">
        <f t="shared" si="148"/>
      </c>
      <c r="S632" s="74">
        <f t="shared" ca="1" si="149"/>
      </c>
      <c r="T632" s="74">
        <f t="shared" si="150"/>
      </c>
    </row>
    <row r="633" spans="2:20" x14ac:dyDescent="0.3">
      <c r="B633" s="74">
        <f t="shared" ca="1" si="140"/>
      </c>
      <c r="C633" s="78">
        <f>Кабельный_журнал!P599</f>
      </c>
      <c r="D633" s="74">
        <f t="shared" ca="1" si="141"/>
      </c>
      <c r="E633" s="80" t="s">
        <v>279</v>
      </c>
      <c r="F633" s="74">
        <f t="shared" ca="1" si="137"/>
      </c>
      <c r="G633" s="74">
        <f t="shared" si="138"/>
      </c>
      <c r="H633" s="80" t="s">
        <v>272</v>
      </c>
      <c r="I633" s="74">
        <f t="shared" si="139"/>
      </c>
      <c r="J633" s="74">
        <f t="shared" si="142"/>
      </c>
      <c r="K633" s="80" t="s">
        <v>280</v>
      </c>
      <c r="L633" s="74">
        <f t="shared" si="143"/>
      </c>
      <c r="M633" s="74">
        <f t="shared" ca="1" si="144"/>
      </c>
      <c r="N633" s="74">
        <f ca="1">VLOOKUP(B633,$C$7:$T631,13,FALSE)</f>
      </c>
      <c r="O633" s="74">
        <f t="shared" ca="1" si="145"/>
      </c>
      <c r="P633" s="74">
        <f t="shared" ca="1" si="146"/>
      </c>
      <c r="Q633" s="74">
        <f t="shared" ca="1" si="147"/>
      </c>
      <c r="R633" s="74">
        <f t="shared" si="148"/>
      </c>
      <c r="S633" s="74">
        <f t="shared" ca="1" si="149"/>
      </c>
      <c r="T633" s="74">
        <f t="shared" si="150"/>
      </c>
    </row>
    <row r="634" spans="2:20" x14ac:dyDescent="0.3">
      <c r="B634" s="74">
        <f t="shared" ca="1" si="140"/>
      </c>
      <c r="C634" s="78">
        <f>Кабельный_журнал!P600</f>
      </c>
      <c r="D634" s="74">
        <f t="shared" ca="1" si="141"/>
      </c>
      <c r="E634" s="80" t="s">
        <v>279</v>
      </c>
      <c r="F634" s="74">
        <f t="shared" ca="1" si="137"/>
      </c>
      <c r="G634" s="74">
        <f t="shared" si="138"/>
      </c>
      <c r="H634" s="80" t="s">
        <v>272</v>
      </c>
      <c r="I634" s="74">
        <f t="shared" si="139"/>
      </c>
      <c r="J634" s="74">
        <f t="shared" si="142"/>
      </c>
      <c r="K634" s="80" t="s">
        <v>280</v>
      </c>
      <c r="L634" s="74">
        <f t="shared" si="143"/>
      </c>
      <c r="M634" s="74">
        <f t="shared" ca="1" si="144"/>
      </c>
      <c r="N634" s="74">
        <f ca="1">VLOOKUP(B634,$C$7:$T632,13,FALSE)</f>
      </c>
      <c r="O634" s="74">
        <f t="shared" ca="1" si="145"/>
      </c>
      <c r="P634" s="74">
        <f t="shared" ca="1" si="146"/>
      </c>
      <c r="Q634" s="74">
        <f t="shared" ca="1" si="147"/>
      </c>
      <c r="R634" s="74">
        <f t="shared" si="148"/>
      </c>
      <c r="S634" s="74">
        <f t="shared" ca="1" si="149"/>
      </c>
      <c r="T634" s="74">
        <f t="shared" si="150"/>
      </c>
    </row>
    <row r="635" spans="2:20" x14ac:dyDescent="0.3">
      <c r="B635" s="74">
        <f t="shared" ca="1" si="140"/>
      </c>
      <c r="C635" s="78">
        <f>Кабельный_журнал!P601</f>
      </c>
      <c r="D635" s="74">
        <f t="shared" ca="1" si="141"/>
      </c>
      <c r="E635" s="80" t="s">
        <v>279</v>
      </c>
      <c r="F635" s="74">
        <f t="shared" ca="1" si="137"/>
      </c>
      <c r="G635" s="74">
        <f t="shared" si="138"/>
      </c>
      <c r="H635" s="80" t="s">
        <v>272</v>
      </c>
      <c r="I635" s="74">
        <f t="shared" si="139"/>
      </c>
      <c r="J635" s="74">
        <f t="shared" si="142"/>
      </c>
      <c r="K635" s="80" t="s">
        <v>280</v>
      </c>
      <c r="L635" s="74">
        <f t="shared" si="143"/>
      </c>
      <c r="M635" s="74">
        <f t="shared" ca="1" si="144"/>
      </c>
      <c r="N635" s="74">
        <f ca="1">VLOOKUP(B635,$C$7:$T633,13,FALSE)</f>
      </c>
      <c r="O635" s="74">
        <f t="shared" ca="1" si="145"/>
      </c>
      <c r="P635" s="74">
        <f t="shared" ca="1" si="146"/>
      </c>
      <c r="Q635" s="74">
        <f t="shared" ca="1" si="147"/>
      </c>
      <c r="R635" s="74">
        <f t="shared" si="148"/>
      </c>
      <c r="S635" s="74">
        <f t="shared" ca="1" si="149"/>
      </c>
      <c r="T635" s="74">
        <f t="shared" si="150"/>
      </c>
    </row>
    <row r="636" spans="2:20" x14ac:dyDescent="0.3">
      <c r="B636" s="74">
        <f t="shared" ca="1" si="140"/>
      </c>
      <c r="C636" s="78">
        <f>Кабельный_журнал!P602</f>
      </c>
      <c r="D636" s="74">
        <f t="shared" ca="1" si="141"/>
      </c>
      <c r="E636" s="80" t="s">
        <v>279</v>
      </c>
      <c r="F636" s="74">
        <f t="shared" ca="1" si="137"/>
      </c>
      <c r="G636" s="74">
        <f t="shared" si="138"/>
      </c>
      <c r="H636" s="80" t="s">
        <v>272</v>
      </c>
      <c r="I636" s="74">
        <f t="shared" si="139"/>
      </c>
      <c r="J636" s="74">
        <f t="shared" si="142"/>
      </c>
      <c r="K636" s="80" t="s">
        <v>280</v>
      </c>
      <c r="L636" s="74">
        <f t="shared" si="143"/>
      </c>
      <c r="M636" s="74">
        <f t="shared" ca="1" si="144"/>
      </c>
      <c r="N636" s="74">
        <f ca="1">VLOOKUP(B636,$C$7:$T634,13,FALSE)</f>
      </c>
      <c r="O636" s="74">
        <f t="shared" ca="1" si="145"/>
      </c>
      <c r="P636" s="74">
        <f t="shared" ca="1" si="146"/>
      </c>
      <c r="Q636" s="74">
        <f t="shared" ca="1" si="147"/>
      </c>
      <c r="R636" s="74">
        <f t="shared" si="148"/>
      </c>
      <c r="S636" s="74">
        <f t="shared" ca="1" si="149"/>
      </c>
      <c r="T636" s="74">
        <f t="shared" si="150"/>
      </c>
    </row>
    <row r="637" spans="2:20" x14ac:dyDescent="0.3">
      <c r="B637" s="74">
        <f t="shared" ca="1" si="140"/>
      </c>
      <c r="C637" s="78">
        <f>Кабельный_журнал!P603</f>
      </c>
      <c r="D637" s="74">
        <f t="shared" ca="1" si="141"/>
      </c>
      <c r="E637" s="80" t="s">
        <v>279</v>
      </c>
      <c r="F637" s="74">
        <f t="shared" ca="1" si="137"/>
      </c>
      <c r="G637" s="74">
        <f t="shared" si="138"/>
      </c>
      <c r="H637" s="80" t="s">
        <v>272</v>
      </c>
      <c r="I637" s="74">
        <f t="shared" si="139"/>
      </c>
      <c r="J637" s="74">
        <f t="shared" si="142"/>
      </c>
      <c r="K637" s="80" t="s">
        <v>280</v>
      </c>
      <c r="L637" s="74">
        <f t="shared" si="143"/>
      </c>
      <c r="M637" s="74">
        <f t="shared" ca="1" si="144"/>
      </c>
      <c r="N637" s="74">
        <f ca="1">VLOOKUP(B637,$C$7:$T635,13,FALSE)</f>
      </c>
      <c r="O637" s="74">
        <f t="shared" ca="1" si="145"/>
      </c>
      <c r="P637" s="74">
        <f t="shared" ca="1" si="146"/>
      </c>
      <c r="Q637" s="74">
        <f t="shared" ca="1" si="147"/>
      </c>
      <c r="R637" s="74">
        <f t="shared" si="148"/>
      </c>
      <c r="S637" s="74">
        <f t="shared" ca="1" si="149"/>
      </c>
      <c r="T637" s="74">
        <f t="shared" si="150"/>
      </c>
    </row>
    <row r="638" spans="2:20" x14ac:dyDescent="0.3">
      <c r="B638" s="74">
        <f t="shared" ca="1" si="140"/>
      </c>
      <c r="C638" s="78">
        <f>Кабельный_журнал!P604</f>
      </c>
      <c r="D638" s="74">
        <f t="shared" ca="1" si="141"/>
      </c>
      <c r="E638" s="80" t="s">
        <v>279</v>
      </c>
      <c r="F638" s="74">
        <f t="shared" ca="1" si="137"/>
      </c>
      <c r="G638" s="74">
        <f t="shared" si="138"/>
      </c>
      <c r="H638" s="80" t="s">
        <v>272</v>
      </c>
      <c r="I638" s="74">
        <f t="shared" si="139"/>
      </c>
      <c r="J638" s="74">
        <f t="shared" si="142"/>
      </c>
      <c r="K638" s="80" t="s">
        <v>280</v>
      </c>
      <c r="L638" s="74">
        <f t="shared" si="143"/>
      </c>
      <c r="M638" s="74">
        <f t="shared" ca="1" si="144"/>
      </c>
      <c r="N638" s="74">
        <f ca="1">VLOOKUP(B638,$C$7:$T636,13,FALSE)</f>
      </c>
      <c r="O638" s="74">
        <f t="shared" ca="1" si="145"/>
      </c>
      <c r="P638" s="74">
        <f t="shared" ca="1" si="146"/>
      </c>
      <c r="Q638" s="74">
        <f t="shared" ca="1" si="147"/>
      </c>
      <c r="R638" s="74">
        <f t="shared" si="148"/>
      </c>
      <c r="S638" s="74">
        <f t="shared" ca="1" si="149"/>
      </c>
      <c r="T638" s="74">
        <f t="shared" si="150"/>
      </c>
    </row>
    <row r="639" spans="2:20" x14ac:dyDescent="0.3">
      <c r="B639" s="74">
        <f t="shared" ca="1" si="140"/>
      </c>
      <c r="C639" s="78">
        <f>Кабельный_журнал!P605</f>
      </c>
      <c r="D639" s="74">
        <f t="shared" ca="1" si="141"/>
      </c>
      <c r="E639" s="80" t="s">
        <v>279</v>
      </c>
      <c r="F639" s="74">
        <f t="shared" ca="1" si="137"/>
      </c>
      <c r="G639" s="74">
        <f t="shared" si="138"/>
      </c>
      <c r="H639" s="80" t="s">
        <v>272</v>
      </c>
      <c r="I639" s="74">
        <f t="shared" si="139"/>
      </c>
      <c r="J639" s="74">
        <f t="shared" si="142"/>
      </c>
      <c r="K639" s="80" t="s">
        <v>280</v>
      </c>
      <c r="L639" s="74">
        <f t="shared" si="143"/>
      </c>
      <c r="M639" s="74">
        <f t="shared" ca="1" si="144"/>
      </c>
      <c r="N639" s="74">
        <f ca="1">VLOOKUP(B639,$C$7:$T637,13,FALSE)</f>
      </c>
      <c r="O639" s="74">
        <f t="shared" ca="1" si="145"/>
      </c>
      <c r="P639" s="74">
        <f t="shared" ca="1" si="146"/>
      </c>
      <c r="Q639" s="74">
        <f t="shared" ca="1" si="147"/>
      </c>
      <c r="R639" s="74">
        <f t="shared" si="148"/>
      </c>
      <c r="S639" s="74">
        <f t="shared" ca="1" si="149"/>
      </c>
      <c r="T639" s="74">
        <f t="shared" si="150"/>
      </c>
    </row>
    <row r="640" spans="2:20" x14ac:dyDescent="0.3">
      <c r="B640" s="74">
        <f t="shared" ca="1" si="140"/>
      </c>
      <c r="C640" s="78">
        <f>Кабельный_журнал!P606</f>
      </c>
      <c r="D640" s="74">
        <f t="shared" ca="1" si="141"/>
      </c>
      <c r="E640" s="80" t="s">
        <v>279</v>
      </c>
      <c r="F640" s="74">
        <f t="shared" ca="1" si="137"/>
      </c>
      <c r="G640" s="74">
        <f t="shared" si="138"/>
      </c>
      <c r="H640" s="80" t="s">
        <v>272</v>
      </c>
      <c r="I640" s="74">
        <f t="shared" si="139"/>
      </c>
      <c r="J640" s="74">
        <f t="shared" si="142"/>
      </c>
      <c r="K640" s="80" t="s">
        <v>280</v>
      </c>
      <c r="L640" s="74">
        <f t="shared" si="143"/>
      </c>
      <c r="M640" s="74">
        <f t="shared" ca="1" si="144"/>
      </c>
      <c r="N640" s="74">
        <f ca="1">VLOOKUP(B640,$C$7:$T638,13,FALSE)</f>
      </c>
      <c r="O640" s="74">
        <f t="shared" ca="1" si="145"/>
      </c>
      <c r="P640" s="74">
        <f t="shared" ca="1" si="146"/>
      </c>
      <c r="Q640" s="74">
        <f t="shared" ca="1" si="147"/>
      </c>
      <c r="R640" s="74">
        <f t="shared" si="148"/>
      </c>
      <c r="S640" s="74">
        <f t="shared" ca="1" si="149"/>
      </c>
      <c r="T640" s="74">
        <f t="shared" si="150"/>
      </c>
    </row>
    <row r="641" spans="2:20" x14ac:dyDescent="0.3">
      <c r="B641" s="74">
        <f t="shared" ca="1" si="140"/>
      </c>
      <c r="C641" s="78">
        <f>Кабельный_журнал!P607</f>
      </c>
      <c r="D641" s="74">
        <f t="shared" ca="1" si="141"/>
      </c>
      <c r="E641" s="80" t="s">
        <v>279</v>
      </c>
      <c r="F641" s="74">
        <f t="shared" ca="1" si="137"/>
      </c>
      <c r="G641" s="74">
        <f t="shared" si="138"/>
      </c>
      <c r="H641" s="80" t="s">
        <v>272</v>
      </c>
      <c r="I641" s="74">
        <f t="shared" si="139"/>
      </c>
      <c r="J641" s="74">
        <f t="shared" si="142"/>
      </c>
      <c r="K641" s="80" t="s">
        <v>280</v>
      </c>
      <c r="L641" s="74">
        <f t="shared" si="143"/>
      </c>
      <c r="M641" s="74">
        <f t="shared" ca="1" si="144"/>
      </c>
      <c r="N641" s="74">
        <f ca="1">VLOOKUP(B641,$C$7:$T639,13,FALSE)</f>
      </c>
      <c r="O641" s="74">
        <f t="shared" ca="1" si="145"/>
      </c>
      <c r="P641" s="74">
        <f t="shared" ca="1" si="146"/>
      </c>
      <c r="Q641" s="74">
        <f t="shared" ca="1" si="147"/>
      </c>
      <c r="R641" s="74">
        <f t="shared" si="148"/>
      </c>
      <c r="S641" s="74">
        <f t="shared" ca="1" si="149"/>
      </c>
      <c r="T641" s="74">
        <f t="shared" si="150"/>
      </c>
    </row>
    <row r="642" spans="2:20" x14ac:dyDescent="0.3">
      <c r="B642" s="74">
        <f t="shared" ca="1" si="140"/>
      </c>
      <c r="C642" s="78">
        <f>Кабельный_журнал!P608</f>
      </c>
      <c r="D642" s="74">
        <f t="shared" ca="1" si="141"/>
      </c>
      <c r="E642" s="80" t="s">
        <v>279</v>
      </c>
      <c r="F642" s="74">
        <f t="shared" ca="1" si="137"/>
      </c>
      <c r="G642" s="74">
        <f t="shared" si="138"/>
      </c>
      <c r="H642" s="80" t="s">
        <v>272</v>
      </c>
      <c r="I642" s="74">
        <f t="shared" si="139"/>
      </c>
      <c r="J642" s="74">
        <f t="shared" si="142"/>
      </c>
      <c r="K642" s="80" t="s">
        <v>280</v>
      </c>
      <c r="L642" s="74">
        <f t="shared" si="143"/>
      </c>
      <c r="M642" s="74">
        <f t="shared" ca="1" si="144"/>
      </c>
      <c r="N642" s="74">
        <f ca="1">VLOOKUP(B642,$C$7:$T640,13,FALSE)</f>
      </c>
      <c r="O642" s="74">
        <f t="shared" ca="1" si="145"/>
      </c>
      <c r="P642" s="74">
        <f t="shared" ca="1" si="146"/>
      </c>
      <c r="Q642" s="74">
        <f t="shared" ca="1" si="147"/>
      </c>
      <c r="R642" s="74">
        <f t="shared" si="148"/>
      </c>
      <c r="S642" s="74">
        <f t="shared" ca="1" si="149"/>
      </c>
      <c r="T642" s="74">
        <f t="shared" si="150"/>
      </c>
    </row>
    <row r="643" spans="2:20" x14ac:dyDescent="0.3">
      <c r="B643" s="74">
        <f t="shared" ca="1" si="140"/>
      </c>
      <c r="C643" s="78">
        <f>Кабельный_журнал!P609</f>
      </c>
      <c r="D643" s="74">
        <f t="shared" ca="1" si="141"/>
      </c>
      <c r="E643" s="80" t="s">
        <v>279</v>
      </c>
      <c r="F643" s="74">
        <f t="shared" ca="1" si="137"/>
      </c>
      <c r="G643" s="74">
        <f t="shared" si="138"/>
      </c>
      <c r="H643" s="80" t="s">
        <v>272</v>
      </c>
      <c r="I643" s="74">
        <f t="shared" si="139"/>
      </c>
      <c r="J643" s="74">
        <f t="shared" si="142"/>
      </c>
      <c r="K643" s="80" t="s">
        <v>280</v>
      </c>
      <c r="L643" s="74">
        <f t="shared" si="143"/>
      </c>
      <c r="M643" s="74">
        <f t="shared" ca="1" si="144"/>
      </c>
      <c r="N643" s="74">
        <f ca="1">VLOOKUP(B643,$C$7:$T641,13,FALSE)</f>
      </c>
      <c r="O643" s="74">
        <f t="shared" ca="1" si="145"/>
      </c>
      <c r="P643" s="74">
        <f t="shared" ca="1" si="146"/>
      </c>
      <c r="Q643" s="74">
        <f t="shared" ca="1" si="147"/>
      </c>
      <c r="R643" s="74">
        <f t="shared" si="148"/>
      </c>
      <c r="S643" s="74">
        <f t="shared" ca="1" si="149"/>
      </c>
      <c r="T643" s="74">
        <f t="shared" si="150"/>
      </c>
    </row>
    <row r="644" spans="2:20" x14ac:dyDescent="0.3">
      <c r="B644" s="74">
        <f t="shared" ca="1" si="140"/>
      </c>
      <c r="C644" s="78">
        <f>Кабельный_журнал!P610</f>
      </c>
      <c r="D644" s="74">
        <f t="shared" ca="1" si="141"/>
      </c>
      <c r="E644" s="80" t="s">
        <v>279</v>
      </c>
      <c r="F644" s="74">
        <f t="shared" ca="1" si="137"/>
      </c>
      <c r="G644" s="74">
        <f t="shared" si="138"/>
      </c>
      <c r="H644" s="80" t="s">
        <v>272</v>
      </c>
      <c r="I644" s="74">
        <f t="shared" si="139"/>
      </c>
      <c r="J644" s="74">
        <f t="shared" si="142"/>
      </c>
      <c r="K644" s="80" t="s">
        <v>280</v>
      </c>
      <c r="L644" s="74">
        <f t="shared" si="143"/>
      </c>
      <c r="M644" s="74">
        <f t="shared" ca="1" si="144"/>
      </c>
      <c r="N644" s="74">
        <f ca="1">VLOOKUP(B644,$C$7:$T642,13,FALSE)</f>
      </c>
      <c r="O644" s="74">
        <f t="shared" ca="1" si="145"/>
      </c>
      <c r="P644" s="74">
        <f t="shared" ca="1" si="146"/>
      </c>
      <c r="Q644" s="74">
        <f t="shared" ca="1" si="147"/>
      </c>
      <c r="R644" s="74">
        <f t="shared" si="148"/>
      </c>
      <c r="S644" s="74">
        <f t="shared" ca="1" si="149"/>
      </c>
      <c r="T644" s="74">
        <f t="shared" si="150"/>
      </c>
    </row>
    <row r="645" spans="2:20" x14ac:dyDescent="0.3">
      <c r="B645" s="74">
        <f t="shared" ca="1" si="140"/>
      </c>
      <c r="C645" s="78">
        <f>Кабельный_журнал!P611</f>
      </c>
      <c r="D645" s="74">
        <f t="shared" ca="1" si="141"/>
      </c>
      <c r="E645" s="80" t="s">
        <v>279</v>
      </c>
      <c r="F645" s="74">
        <f t="shared" ca="1" si="137"/>
      </c>
      <c r="G645" s="74">
        <f t="shared" si="138"/>
      </c>
      <c r="H645" s="80" t="s">
        <v>272</v>
      </c>
      <c r="I645" s="74">
        <f t="shared" si="139"/>
      </c>
      <c r="J645" s="74">
        <f t="shared" si="142"/>
      </c>
      <c r="K645" s="80" t="s">
        <v>280</v>
      </c>
      <c r="L645" s="74">
        <f t="shared" si="143"/>
      </c>
      <c r="M645" s="74">
        <f t="shared" ca="1" si="144"/>
      </c>
      <c r="N645" s="74">
        <f ca="1">VLOOKUP(B645,$C$7:$T643,13,FALSE)</f>
      </c>
      <c r="O645" s="74">
        <f t="shared" ca="1" si="145"/>
      </c>
      <c r="P645" s="74">
        <f t="shared" ca="1" si="146"/>
      </c>
      <c r="Q645" s="74">
        <f t="shared" ca="1" si="147"/>
      </c>
      <c r="R645" s="74">
        <f t="shared" si="148"/>
      </c>
      <c r="S645" s="74">
        <f t="shared" ca="1" si="149"/>
      </c>
      <c r="T645" s="74">
        <f t="shared" si="150"/>
      </c>
    </row>
    <row r="646" spans="2:20" x14ac:dyDescent="0.3">
      <c r="B646" s="74">
        <f t="shared" ca="1" si="140"/>
      </c>
      <c r="C646" s="78">
        <f>Кабельный_журнал!P612</f>
      </c>
      <c r="D646" s="74">
        <f t="shared" ca="1" si="141"/>
      </c>
      <c r="E646" s="80" t="s">
        <v>279</v>
      </c>
      <c r="F646" s="74">
        <f t="shared" ca="1" si="137"/>
      </c>
      <c r="G646" s="74">
        <f t="shared" si="138"/>
      </c>
      <c r="H646" s="80" t="s">
        <v>272</v>
      </c>
      <c r="I646" s="74">
        <f t="shared" si="139"/>
      </c>
      <c r="J646" s="74">
        <f t="shared" si="142"/>
      </c>
      <c r="K646" s="80" t="s">
        <v>280</v>
      </c>
      <c r="L646" s="74">
        <f t="shared" si="143"/>
      </c>
      <c r="M646" s="74">
        <f t="shared" ca="1" si="144"/>
      </c>
      <c r="N646" s="74">
        <f ca="1">VLOOKUP(B646,$C$7:$T644,13,FALSE)</f>
      </c>
      <c r="O646" s="74">
        <f t="shared" ca="1" si="145"/>
      </c>
      <c r="P646" s="74">
        <f t="shared" ca="1" si="146"/>
      </c>
      <c r="Q646" s="74">
        <f t="shared" ca="1" si="147"/>
      </c>
      <c r="R646" s="74">
        <f t="shared" si="148"/>
      </c>
      <c r="S646" s="74">
        <f t="shared" ca="1" si="149"/>
      </c>
      <c r="T646" s="74">
        <f t="shared" si="150"/>
      </c>
    </row>
    <row r="647" spans="2:20" x14ac:dyDescent="0.3">
      <c r="B647" s="74">
        <f t="shared" ca="1" si="140"/>
      </c>
      <c r="C647" s="78">
        <f>Кабельный_журнал!P613</f>
      </c>
      <c r="D647" s="74">
        <f t="shared" ca="1" si="141"/>
      </c>
      <c r="E647" s="80" t="s">
        <v>279</v>
      </c>
      <c r="F647" s="74">
        <f t="shared" ca="1" si="137"/>
      </c>
      <c r="G647" s="74">
        <f t="shared" si="138"/>
      </c>
      <c r="H647" s="80" t="s">
        <v>272</v>
      </c>
      <c r="I647" s="74">
        <f t="shared" si="139"/>
      </c>
      <c r="J647" s="74">
        <f t="shared" si="142"/>
      </c>
      <c r="K647" s="80" t="s">
        <v>280</v>
      </c>
      <c r="L647" s="74">
        <f t="shared" si="143"/>
      </c>
      <c r="M647" s="74">
        <f t="shared" ca="1" si="144"/>
      </c>
      <c r="N647" s="74">
        <f ca="1">VLOOKUP(B647,$C$7:$T645,13,FALSE)</f>
      </c>
      <c r="O647" s="74">
        <f t="shared" ca="1" si="145"/>
      </c>
      <c r="P647" s="74">
        <f t="shared" ca="1" si="146"/>
      </c>
      <c r="Q647" s="74">
        <f t="shared" ca="1" si="147"/>
      </c>
      <c r="R647" s="74">
        <f t="shared" si="148"/>
      </c>
      <c r="S647" s="74">
        <f t="shared" ca="1" si="149"/>
      </c>
      <c r="T647" s="74">
        <f t="shared" si="150"/>
      </c>
    </row>
    <row r="648" spans="2:20" x14ac:dyDescent="0.3">
      <c r="B648" s="74">
        <f t="shared" ca="1" si="140"/>
      </c>
      <c r="C648" s="78">
        <f>Кабельный_журнал!P614</f>
      </c>
      <c r="D648" s="74">
        <f t="shared" ca="1" si="141"/>
      </c>
      <c r="E648" s="80" t="s">
        <v>279</v>
      </c>
      <c r="F648" s="74">
        <f t="shared" ca="1" si="137"/>
      </c>
      <c r="G648" s="74">
        <f t="shared" si="138"/>
      </c>
      <c r="H648" s="80" t="s">
        <v>272</v>
      </c>
      <c r="I648" s="74">
        <f t="shared" si="139"/>
      </c>
      <c r="J648" s="74">
        <f t="shared" si="142"/>
      </c>
      <c r="K648" s="80" t="s">
        <v>280</v>
      </c>
      <c r="L648" s="74">
        <f t="shared" si="143"/>
      </c>
      <c r="M648" s="74">
        <f t="shared" ca="1" si="144"/>
      </c>
      <c r="N648" s="74">
        <f ca="1">VLOOKUP(B648,$C$7:$T646,13,FALSE)</f>
      </c>
      <c r="O648" s="74">
        <f t="shared" ca="1" si="145"/>
      </c>
      <c r="P648" s="74">
        <f t="shared" ca="1" si="146"/>
      </c>
      <c r="Q648" s="74">
        <f t="shared" ca="1" si="147"/>
      </c>
      <c r="R648" s="74">
        <f t="shared" si="148"/>
      </c>
      <c r="S648" s="74">
        <f t="shared" ca="1" si="149"/>
      </c>
      <c r="T648" s="74">
        <f t="shared" si="150"/>
      </c>
    </row>
    <row r="649" spans="2:20" x14ac:dyDescent="0.3">
      <c r="B649" s="74">
        <f t="shared" ca="1" si="140"/>
      </c>
      <c r="C649" s="78">
        <f>Кабельный_журнал!P615</f>
      </c>
      <c r="D649" s="74">
        <f t="shared" ca="1" si="141"/>
      </c>
      <c r="E649" s="80" t="s">
        <v>279</v>
      </c>
      <c r="F649" s="74">
        <f t="shared" ca="1" si="137"/>
      </c>
      <c r="G649" s="74">
        <f t="shared" si="138"/>
      </c>
      <c r="H649" s="80" t="s">
        <v>272</v>
      </c>
      <c r="I649" s="74">
        <f t="shared" si="139"/>
      </c>
      <c r="J649" s="74">
        <f t="shared" si="142"/>
      </c>
      <c r="K649" s="80" t="s">
        <v>280</v>
      </c>
      <c r="L649" s="74">
        <f t="shared" si="143"/>
      </c>
      <c r="M649" s="74">
        <f t="shared" ca="1" si="144"/>
      </c>
      <c r="N649" s="74">
        <f ca="1">VLOOKUP(B649,$C$7:$T647,13,FALSE)</f>
      </c>
      <c r="O649" s="74">
        <f t="shared" ca="1" si="145"/>
      </c>
      <c r="P649" s="74">
        <f t="shared" ca="1" si="146"/>
      </c>
      <c r="Q649" s="74">
        <f t="shared" ca="1" si="147"/>
      </c>
      <c r="R649" s="74">
        <f t="shared" si="148"/>
      </c>
      <c r="S649" s="74">
        <f t="shared" ca="1" si="149"/>
      </c>
      <c r="T649" s="74">
        <f t="shared" si="150"/>
      </c>
    </row>
    <row r="650" spans="2:20" x14ac:dyDescent="0.3">
      <c r="B650" s="74">
        <f t="shared" ca="1" si="140"/>
      </c>
      <c r="C650" s="78">
        <f>Кабельный_журнал!P616</f>
      </c>
      <c r="D650" s="74">
        <f t="shared" ca="1" si="141"/>
      </c>
      <c r="E650" s="80" t="s">
        <v>279</v>
      </c>
      <c r="F650" s="74">
        <f t="shared" ca="1" si="137"/>
      </c>
      <c r="G650" s="74">
        <f t="shared" si="138"/>
      </c>
      <c r="H650" s="80" t="s">
        <v>272</v>
      </c>
      <c r="I650" s="74">
        <f t="shared" si="139"/>
      </c>
      <c r="J650" s="74">
        <f t="shared" si="142"/>
      </c>
      <c r="K650" s="80" t="s">
        <v>280</v>
      </c>
      <c r="L650" s="74">
        <f t="shared" si="143"/>
      </c>
      <c r="M650" s="74">
        <f t="shared" ca="1" si="144"/>
      </c>
      <c r="N650" s="74">
        <f ca="1">VLOOKUP(B650,$C$7:$T648,13,FALSE)</f>
      </c>
      <c r="O650" s="74">
        <f t="shared" ca="1" si="145"/>
      </c>
      <c r="P650" s="74">
        <f t="shared" ca="1" si="146"/>
      </c>
      <c r="Q650" s="74">
        <f t="shared" ca="1" si="147"/>
      </c>
      <c r="R650" s="74">
        <f t="shared" si="148"/>
      </c>
      <c r="S650" s="74">
        <f t="shared" ca="1" si="149"/>
      </c>
      <c r="T650" s="74">
        <f t="shared" si="150"/>
      </c>
    </row>
    <row r="651" spans="2:20" x14ac:dyDescent="0.3">
      <c r="B651" s="74">
        <f t="shared" ca="1" si="140"/>
      </c>
      <c r="C651" s="78">
        <f>Кабельный_журнал!P617</f>
      </c>
      <c r="D651" s="74">
        <f t="shared" ca="1" si="141"/>
      </c>
      <c r="E651" s="80" t="s">
        <v>279</v>
      </c>
      <c r="F651" s="74">
        <f t="shared" ca="1" si="137"/>
      </c>
      <c r="G651" s="74">
        <f t="shared" si="138"/>
      </c>
      <c r="H651" s="80" t="s">
        <v>272</v>
      </c>
      <c r="I651" s="74">
        <f t="shared" si="139"/>
      </c>
      <c r="J651" s="74">
        <f t="shared" si="142"/>
      </c>
      <c r="K651" s="80" t="s">
        <v>280</v>
      </c>
      <c r="L651" s="74">
        <f t="shared" si="143"/>
      </c>
      <c r="M651" s="74">
        <f t="shared" ca="1" si="144"/>
      </c>
      <c r="N651" s="74">
        <f ca="1">VLOOKUP(B651,$C$7:$T649,13,FALSE)</f>
      </c>
      <c r="O651" s="74">
        <f t="shared" ca="1" si="145"/>
      </c>
      <c r="P651" s="74">
        <f t="shared" ca="1" si="146"/>
      </c>
      <c r="Q651" s="74">
        <f t="shared" ca="1" si="147"/>
      </c>
      <c r="R651" s="74">
        <f t="shared" si="148"/>
      </c>
      <c r="S651" s="74">
        <f t="shared" ca="1" si="149"/>
      </c>
      <c r="T651" s="74">
        <f t="shared" si="150"/>
      </c>
    </row>
    <row r="652" spans="2:20" x14ac:dyDescent="0.3">
      <c r="B652" s="74">
        <f t="shared" ca="1" si="140"/>
      </c>
      <c r="C652" s="78">
        <f>Кабельный_журнал!P618</f>
      </c>
      <c r="D652" s="74">
        <f t="shared" ca="1" si="141"/>
      </c>
      <c r="E652" s="80" t="s">
        <v>279</v>
      </c>
      <c r="F652" s="74">
        <f t="shared" ca="1" si="137"/>
      </c>
      <c r="G652" s="74">
        <f t="shared" si="138"/>
      </c>
      <c r="H652" s="80" t="s">
        <v>272</v>
      </c>
      <c r="I652" s="74">
        <f t="shared" si="139"/>
      </c>
      <c r="J652" s="74">
        <f t="shared" si="142"/>
      </c>
      <c r="K652" s="80" t="s">
        <v>280</v>
      </c>
      <c r="L652" s="74">
        <f t="shared" si="143"/>
      </c>
      <c r="M652" s="74">
        <f t="shared" ca="1" si="144"/>
      </c>
      <c r="N652" s="74">
        <f ca="1">VLOOKUP(B652,$C$7:$T650,13,FALSE)</f>
      </c>
      <c r="O652" s="74">
        <f t="shared" ca="1" si="145"/>
      </c>
      <c r="P652" s="74">
        <f t="shared" ca="1" si="146"/>
      </c>
      <c r="Q652" s="74">
        <f t="shared" ca="1" si="147"/>
      </c>
      <c r="R652" s="74">
        <f t="shared" si="148"/>
      </c>
      <c r="S652" s="74">
        <f t="shared" ca="1" si="149"/>
      </c>
      <c r="T652" s="74">
        <f t="shared" si="150"/>
      </c>
    </row>
    <row r="653" spans="2:20" x14ac:dyDescent="0.3">
      <c r="B653" s="74">
        <f t="shared" ca="1" si="140"/>
      </c>
      <c r="C653" s="78">
        <f>Кабельный_журнал!P619</f>
      </c>
      <c r="D653" s="74">
        <f t="shared" ca="1" si="141"/>
      </c>
      <c r="E653" s="80" t="s">
        <v>279</v>
      </c>
      <c r="F653" s="74">
        <f t="shared" ca="1" si="137"/>
      </c>
      <c r="G653" s="74">
        <f t="shared" si="138"/>
      </c>
      <c r="H653" s="80" t="s">
        <v>272</v>
      </c>
      <c r="I653" s="74">
        <f t="shared" si="139"/>
      </c>
      <c r="J653" s="74">
        <f t="shared" si="142"/>
      </c>
      <c r="K653" s="80" t="s">
        <v>280</v>
      </c>
      <c r="L653" s="74">
        <f t="shared" si="143"/>
      </c>
      <c r="M653" s="74">
        <f t="shared" ca="1" si="144"/>
      </c>
      <c r="N653" s="74">
        <f ca="1">VLOOKUP(B653,$C$7:$T651,13,FALSE)</f>
      </c>
      <c r="O653" s="74">
        <f t="shared" ca="1" si="145"/>
      </c>
      <c r="P653" s="74">
        <f t="shared" ca="1" si="146"/>
      </c>
      <c r="Q653" s="74">
        <f t="shared" ca="1" si="147"/>
      </c>
      <c r="R653" s="74">
        <f t="shared" si="148"/>
      </c>
      <c r="S653" s="74">
        <f t="shared" ca="1" si="149"/>
      </c>
      <c r="T653" s="74">
        <f t="shared" si="150"/>
      </c>
    </row>
    <row r="654" spans="2:20" x14ac:dyDescent="0.3">
      <c r="B654" s="74">
        <f t="shared" ca="1" si="140"/>
      </c>
      <c r="C654" s="78">
        <f>Кабельный_журнал!P620</f>
      </c>
      <c r="D654" s="74">
        <f t="shared" ca="1" si="141"/>
      </c>
      <c r="E654" s="80" t="s">
        <v>279</v>
      </c>
      <c r="F654" s="74">
        <f t="shared" ca="1" si="137"/>
      </c>
      <c r="G654" s="74">
        <f t="shared" si="138"/>
      </c>
      <c r="H654" s="80" t="s">
        <v>272</v>
      </c>
      <c r="I654" s="74">
        <f t="shared" si="139"/>
      </c>
      <c r="J654" s="74">
        <f t="shared" si="142"/>
      </c>
      <c r="K654" s="80" t="s">
        <v>280</v>
      </c>
      <c r="L654" s="74">
        <f t="shared" si="143"/>
      </c>
      <c r="M654" s="74">
        <f t="shared" ca="1" si="144"/>
      </c>
      <c r="N654" s="74">
        <f ca="1">VLOOKUP(B654,$C$7:$T652,13,FALSE)</f>
      </c>
      <c r="O654" s="74">
        <f t="shared" ca="1" si="145"/>
      </c>
      <c r="P654" s="74">
        <f t="shared" ca="1" si="146"/>
      </c>
      <c r="Q654" s="74">
        <f t="shared" ca="1" si="147"/>
      </c>
      <c r="R654" s="74">
        <f t="shared" si="148"/>
      </c>
      <c r="S654" s="74">
        <f t="shared" ca="1" si="149"/>
      </c>
      <c r="T654" s="74">
        <f t="shared" si="150"/>
      </c>
    </row>
    <row r="655" spans="2:20" x14ac:dyDescent="0.3">
      <c r="B655" s="74">
        <f t="shared" ca="1" si="140"/>
      </c>
      <c r="C655" s="78">
        <f>Кабельный_журнал!P621</f>
      </c>
      <c r="D655" s="74">
        <f t="shared" ca="1" si="141"/>
      </c>
      <c r="E655" s="80" t="s">
        <v>279</v>
      </c>
      <c r="F655" s="74">
        <f t="shared" ca="1" si="137"/>
      </c>
      <c r="G655" s="74">
        <f t="shared" si="138"/>
      </c>
      <c r="H655" s="80" t="s">
        <v>272</v>
      </c>
      <c r="I655" s="74">
        <f t="shared" si="139"/>
      </c>
      <c r="J655" s="74">
        <f t="shared" si="142"/>
      </c>
      <c r="K655" s="80" t="s">
        <v>280</v>
      </c>
      <c r="L655" s="74">
        <f t="shared" si="143"/>
      </c>
      <c r="M655" s="74">
        <f t="shared" ca="1" si="144"/>
      </c>
      <c r="N655" s="74">
        <f ca="1">VLOOKUP(B655,$C$7:$T653,13,FALSE)</f>
      </c>
      <c r="O655" s="74">
        <f t="shared" ca="1" si="145"/>
      </c>
      <c r="P655" s="74">
        <f t="shared" ca="1" si="146"/>
      </c>
      <c r="Q655" s="74">
        <f t="shared" ca="1" si="147"/>
      </c>
      <c r="R655" s="74">
        <f t="shared" si="148"/>
      </c>
      <c r="S655" s="74">
        <f t="shared" ca="1" si="149"/>
      </c>
      <c r="T655" s="74">
        <f t="shared" si="150"/>
      </c>
    </row>
    <row r="656" spans="2:20" x14ac:dyDescent="0.3">
      <c r="B656" s="74">
        <f t="shared" ca="1" si="140"/>
      </c>
      <c r="C656" s="78">
        <f>Кабельный_журнал!P622</f>
      </c>
      <c r="D656" s="74">
        <f t="shared" ca="1" si="141"/>
      </c>
      <c r="E656" s="80" t="s">
        <v>279</v>
      </c>
      <c r="F656" s="74">
        <f t="shared" ca="1" si="137"/>
      </c>
      <c r="G656" s="74">
        <f t="shared" si="138"/>
      </c>
      <c r="H656" s="80" t="s">
        <v>272</v>
      </c>
      <c r="I656" s="74">
        <f t="shared" si="139"/>
      </c>
      <c r="J656" s="74">
        <f t="shared" si="142"/>
      </c>
      <c r="K656" s="80" t="s">
        <v>280</v>
      </c>
      <c r="L656" s="74">
        <f t="shared" si="143"/>
      </c>
      <c r="M656" s="74">
        <f t="shared" ca="1" si="144"/>
      </c>
      <c r="N656" s="74">
        <f ca="1">VLOOKUP(B656,$C$7:$T654,13,FALSE)</f>
      </c>
      <c r="O656" s="74">
        <f t="shared" ca="1" si="145"/>
      </c>
      <c r="P656" s="74">
        <f t="shared" ca="1" si="146"/>
      </c>
      <c r="Q656" s="74">
        <f t="shared" ca="1" si="147"/>
      </c>
      <c r="R656" s="74">
        <f t="shared" si="148"/>
      </c>
      <c r="S656" s="74">
        <f t="shared" ca="1" si="149"/>
      </c>
      <c r="T656" s="74">
        <f t="shared" si="150"/>
      </c>
    </row>
    <row r="657" spans="2:20" x14ac:dyDescent="0.3">
      <c r="B657" s="74">
        <f t="shared" ca="1" si="140"/>
      </c>
      <c r="C657" s="78">
        <f>Кабельный_журнал!P623</f>
      </c>
      <c r="D657" s="74">
        <f t="shared" ca="1" si="141"/>
      </c>
      <c r="E657" s="80" t="s">
        <v>279</v>
      </c>
      <c r="F657" s="74">
        <f t="shared" ca="1" si="137"/>
      </c>
      <c r="G657" s="74">
        <f t="shared" si="138"/>
      </c>
      <c r="H657" s="80" t="s">
        <v>272</v>
      </c>
      <c r="I657" s="74">
        <f t="shared" si="139"/>
      </c>
      <c r="J657" s="74">
        <f t="shared" si="142"/>
      </c>
      <c r="K657" s="80" t="s">
        <v>280</v>
      </c>
      <c r="L657" s="74">
        <f t="shared" si="143"/>
      </c>
      <c r="M657" s="74">
        <f t="shared" ca="1" si="144"/>
      </c>
      <c r="N657" s="74">
        <f ca="1">VLOOKUP(B657,$C$7:$T655,13,FALSE)</f>
      </c>
      <c r="O657" s="74">
        <f t="shared" ca="1" si="145"/>
      </c>
      <c r="P657" s="74">
        <f t="shared" ca="1" si="146"/>
      </c>
      <c r="Q657" s="74">
        <f t="shared" ca="1" si="147"/>
      </c>
      <c r="R657" s="74">
        <f t="shared" si="148"/>
      </c>
      <c r="S657" s="74">
        <f t="shared" ca="1" si="149"/>
      </c>
      <c r="T657" s="74">
        <f t="shared" si="150"/>
      </c>
    </row>
    <row r="658" spans="2:20" x14ac:dyDescent="0.3">
      <c r="B658" s="74">
        <f t="shared" ca="1" si="140"/>
      </c>
      <c r="C658" s="78">
        <f>Кабельный_журнал!P624</f>
      </c>
      <c r="D658" s="74">
        <f t="shared" ca="1" si="141"/>
      </c>
      <c r="E658" s="80" t="s">
        <v>279</v>
      </c>
      <c r="F658" s="74">
        <f t="shared" ca="1" si="137"/>
      </c>
      <c r="G658" s="74">
        <f t="shared" si="138"/>
      </c>
      <c r="H658" s="80" t="s">
        <v>272</v>
      </c>
      <c r="I658" s="74">
        <f t="shared" si="139"/>
      </c>
      <c r="J658" s="74">
        <f t="shared" si="142"/>
      </c>
      <c r="K658" s="80" t="s">
        <v>280</v>
      </c>
      <c r="L658" s="74">
        <f t="shared" si="143"/>
      </c>
      <c r="M658" s="74">
        <f t="shared" ca="1" si="144"/>
      </c>
      <c r="N658" s="74">
        <f ca="1">VLOOKUP(B658,$C$7:$T656,13,FALSE)</f>
      </c>
      <c r="O658" s="74">
        <f t="shared" ca="1" si="145"/>
      </c>
      <c r="P658" s="74">
        <f t="shared" ca="1" si="146"/>
      </c>
      <c r="Q658" s="74">
        <f t="shared" ca="1" si="147"/>
      </c>
      <c r="R658" s="74">
        <f t="shared" si="148"/>
      </c>
      <c r="S658" s="74">
        <f t="shared" ca="1" si="149"/>
      </c>
      <c r="T658" s="74">
        <f t="shared" si="150"/>
      </c>
    </row>
    <row r="659" spans="2:20" x14ac:dyDescent="0.3">
      <c r="B659" s="74">
        <f t="shared" ca="1" si="140"/>
      </c>
      <c r="C659" s="78">
        <f>Кабельный_журнал!P625</f>
      </c>
      <c r="D659" s="74">
        <f t="shared" ca="1" si="141"/>
      </c>
      <c r="E659" s="80" t="s">
        <v>279</v>
      </c>
      <c r="F659" s="74">
        <f t="shared" ca="1" si="137"/>
      </c>
      <c r="G659" s="74">
        <f t="shared" si="138"/>
      </c>
      <c r="H659" s="80" t="s">
        <v>272</v>
      </c>
      <c r="I659" s="74">
        <f t="shared" si="139"/>
      </c>
      <c r="J659" s="74">
        <f t="shared" si="142"/>
      </c>
      <c r="K659" s="80" t="s">
        <v>280</v>
      </c>
      <c r="L659" s="74">
        <f t="shared" si="143"/>
      </c>
      <c r="M659" s="74">
        <f t="shared" ca="1" si="144"/>
      </c>
      <c r="N659" s="74">
        <f ca="1">VLOOKUP(B659,$C$7:$T657,13,FALSE)</f>
      </c>
      <c r="O659" s="74">
        <f t="shared" ca="1" si="145"/>
      </c>
      <c r="P659" s="74">
        <f t="shared" ca="1" si="146"/>
      </c>
      <c r="Q659" s="74">
        <f t="shared" ca="1" si="147"/>
      </c>
      <c r="R659" s="74">
        <f t="shared" si="148"/>
      </c>
      <c r="S659" s="74">
        <f t="shared" ca="1" si="149"/>
      </c>
      <c r="T659" s="74">
        <f t="shared" si="150"/>
      </c>
    </row>
    <row r="660" spans="2:20" x14ac:dyDescent="0.3">
      <c r="B660" s="74">
        <f t="shared" ca="1" si="140"/>
      </c>
      <c r="C660" s="78">
        <f>Кабельный_журнал!P626</f>
      </c>
      <c r="D660" s="74">
        <f t="shared" ca="1" si="141"/>
      </c>
      <c r="E660" s="80" t="s">
        <v>279</v>
      </c>
      <c r="F660" s="74">
        <f t="shared" ca="1" si="137"/>
      </c>
      <c r="G660" s="74">
        <f t="shared" si="138"/>
      </c>
      <c r="H660" s="80" t="s">
        <v>272</v>
      </c>
      <c r="I660" s="74">
        <f t="shared" si="139"/>
      </c>
      <c r="J660" s="74">
        <f t="shared" si="142"/>
      </c>
      <c r="K660" s="80" t="s">
        <v>280</v>
      </c>
      <c r="L660" s="74">
        <f t="shared" si="143"/>
      </c>
      <c r="M660" s="74">
        <f t="shared" ca="1" si="144"/>
      </c>
      <c r="N660" s="74">
        <f ca="1">VLOOKUP(B660,$C$7:$T658,13,FALSE)</f>
      </c>
      <c r="O660" s="74">
        <f t="shared" ca="1" si="145"/>
      </c>
      <c r="P660" s="74">
        <f t="shared" ca="1" si="146"/>
      </c>
      <c r="Q660" s="74">
        <f t="shared" ca="1" si="147"/>
      </c>
      <c r="R660" s="74">
        <f t="shared" si="148"/>
      </c>
      <c r="S660" s="74">
        <f t="shared" ca="1" si="149"/>
      </c>
      <c r="T660" s="74">
        <f t="shared" si="150"/>
      </c>
    </row>
    <row r="661" spans="2:20" x14ac:dyDescent="0.3">
      <c r="B661" s="74">
        <f t="shared" ca="1" si="140"/>
      </c>
      <c r="C661" s="78">
        <f>Кабельный_журнал!P627</f>
      </c>
      <c r="D661" s="74">
        <f t="shared" ca="1" si="141"/>
      </c>
      <c r="E661" s="80" t="s">
        <v>279</v>
      </c>
      <c r="F661" s="74">
        <f t="shared" ca="1" si="137"/>
      </c>
      <c r="G661" s="74">
        <f t="shared" si="138"/>
      </c>
      <c r="H661" s="80" t="s">
        <v>272</v>
      </c>
      <c r="I661" s="74">
        <f t="shared" si="139"/>
      </c>
      <c r="J661" s="74">
        <f t="shared" si="142"/>
      </c>
      <c r="K661" s="80" t="s">
        <v>280</v>
      </c>
      <c r="L661" s="74">
        <f t="shared" si="143"/>
      </c>
      <c r="M661" s="74">
        <f t="shared" ca="1" si="144"/>
      </c>
      <c r="N661" s="74">
        <f ca="1">VLOOKUP(B661,$C$7:$T659,13,FALSE)</f>
      </c>
      <c r="O661" s="74">
        <f t="shared" ca="1" si="145"/>
      </c>
      <c r="P661" s="74">
        <f t="shared" ca="1" si="146"/>
      </c>
      <c r="Q661" s="74">
        <f t="shared" ca="1" si="147"/>
      </c>
      <c r="R661" s="74">
        <f t="shared" si="148"/>
      </c>
      <c r="S661" s="74">
        <f t="shared" ca="1" si="149"/>
      </c>
      <c r="T661" s="74">
        <f t="shared" si="150"/>
      </c>
    </row>
    <row r="662" spans="2:20" x14ac:dyDescent="0.3">
      <c r="B662" s="74">
        <f t="shared" ca="1" si="140"/>
      </c>
      <c r="C662" s="78">
        <f>Кабельный_журнал!P628</f>
      </c>
      <c r="D662" s="74">
        <f t="shared" ca="1" si="141"/>
      </c>
      <c r="E662" s="80" t="s">
        <v>279</v>
      </c>
      <c r="F662" s="74">
        <f t="shared" ca="1" si="137"/>
      </c>
      <c r="G662" s="74">
        <f t="shared" si="138"/>
      </c>
      <c r="H662" s="80" t="s">
        <v>272</v>
      </c>
      <c r="I662" s="74">
        <f t="shared" si="139"/>
      </c>
      <c r="J662" s="74">
        <f t="shared" si="142"/>
      </c>
      <c r="K662" s="80" t="s">
        <v>280</v>
      </c>
      <c r="L662" s="74">
        <f t="shared" si="143"/>
      </c>
      <c r="M662" s="74">
        <f t="shared" ca="1" si="144"/>
      </c>
      <c r="N662" s="74">
        <f ca="1">VLOOKUP(B662,$C$7:$T660,13,FALSE)</f>
      </c>
      <c r="O662" s="74">
        <f t="shared" ca="1" si="145"/>
      </c>
      <c r="P662" s="74">
        <f t="shared" ca="1" si="146"/>
      </c>
      <c r="Q662" s="74">
        <f t="shared" ca="1" si="147"/>
      </c>
      <c r="R662" s="74">
        <f t="shared" si="148"/>
      </c>
      <c r="S662" s="74">
        <f t="shared" ca="1" si="149"/>
      </c>
      <c r="T662" s="74">
        <f t="shared" si="150"/>
      </c>
    </row>
    <row r="663" spans="2:20" x14ac:dyDescent="0.3">
      <c r="B663" s="74">
        <f t="shared" ca="1" si="140"/>
      </c>
      <c r="C663" s="78">
        <f>Кабельный_журнал!P629</f>
      </c>
      <c r="D663" s="74">
        <f t="shared" ca="1" si="141"/>
      </c>
      <c r="E663" s="80" t="s">
        <v>279</v>
      </c>
      <c r="F663" s="74">
        <f t="shared" ca="1" si="137"/>
      </c>
      <c r="G663" s="74">
        <f t="shared" si="138"/>
      </c>
      <c r="H663" s="80" t="s">
        <v>272</v>
      </c>
      <c r="I663" s="74">
        <f t="shared" si="139"/>
      </c>
      <c r="J663" s="74">
        <f t="shared" si="142"/>
      </c>
      <c r="K663" s="80" t="s">
        <v>280</v>
      </c>
      <c r="L663" s="74">
        <f t="shared" si="143"/>
      </c>
      <c r="M663" s="74">
        <f t="shared" ca="1" si="144"/>
      </c>
      <c r="N663" s="74">
        <f ca="1">VLOOKUP(B663,$C$7:$T661,13,FALSE)</f>
      </c>
      <c r="O663" s="74">
        <f t="shared" ca="1" si="145"/>
      </c>
      <c r="P663" s="74">
        <f t="shared" ca="1" si="146"/>
      </c>
      <c r="Q663" s="74">
        <f t="shared" ca="1" si="147"/>
      </c>
      <c r="R663" s="74">
        <f t="shared" si="148"/>
      </c>
      <c r="S663" s="74">
        <f t="shared" ca="1" si="149"/>
      </c>
      <c r="T663" s="74">
        <f t="shared" si="150"/>
      </c>
    </row>
    <row r="664" spans="2:20" x14ac:dyDescent="0.3">
      <c r="B664" s="74">
        <f t="shared" ca="1" si="140"/>
      </c>
      <c r="C664" s="78">
        <f>Кабельный_журнал!P630</f>
      </c>
      <c r="D664" s="74">
        <f t="shared" ca="1" si="141"/>
      </c>
      <c r="E664" s="80" t="s">
        <v>279</v>
      </c>
      <c r="F664" s="74">
        <f t="shared" ca="1" si="137"/>
      </c>
      <c r="G664" s="74">
        <f t="shared" si="138"/>
      </c>
      <c r="H664" s="80" t="s">
        <v>272</v>
      </c>
      <c r="I664" s="74">
        <f t="shared" si="139"/>
      </c>
      <c r="J664" s="74">
        <f t="shared" si="142"/>
      </c>
      <c r="K664" s="80" t="s">
        <v>280</v>
      </c>
      <c r="L664" s="74">
        <f t="shared" si="143"/>
      </c>
      <c r="M664" s="74">
        <f t="shared" ca="1" si="144"/>
      </c>
      <c r="N664" s="74">
        <f ca="1">VLOOKUP(B664,$C$7:$T662,13,FALSE)</f>
      </c>
      <c r="O664" s="74">
        <f t="shared" ca="1" si="145"/>
      </c>
      <c r="P664" s="74">
        <f t="shared" ca="1" si="146"/>
      </c>
      <c r="Q664" s="74">
        <f t="shared" ca="1" si="147"/>
      </c>
      <c r="R664" s="74">
        <f t="shared" si="148"/>
      </c>
      <c r="S664" s="74">
        <f t="shared" ca="1" si="149"/>
      </c>
      <c r="T664" s="74">
        <f t="shared" si="150"/>
      </c>
    </row>
    <row r="665" spans="2:20" x14ac:dyDescent="0.3">
      <c r="B665" s="74">
        <f t="shared" ca="1" si="140"/>
      </c>
      <c r="C665" s="78">
        <f>Кабельный_журнал!P631</f>
      </c>
      <c r="D665" s="74">
        <f t="shared" ca="1" si="141"/>
      </c>
      <c r="E665" s="80" t="s">
        <v>279</v>
      </c>
      <c r="F665" s="74">
        <f t="shared" ca="1" si="137"/>
      </c>
      <c r="G665" s="74">
        <f t="shared" si="138"/>
      </c>
      <c r="H665" s="80" t="s">
        <v>272</v>
      </c>
      <c r="I665" s="74">
        <f t="shared" si="139"/>
      </c>
      <c r="J665" s="74">
        <f t="shared" si="142"/>
      </c>
      <c r="K665" s="80" t="s">
        <v>280</v>
      </c>
      <c r="L665" s="74">
        <f t="shared" si="143"/>
      </c>
      <c r="M665" s="74">
        <f t="shared" ca="1" si="144"/>
      </c>
      <c r="N665" s="74">
        <f ca="1">VLOOKUP(B665,$C$7:$T663,13,FALSE)</f>
      </c>
      <c r="O665" s="74">
        <f t="shared" ca="1" si="145"/>
      </c>
      <c r="P665" s="74">
        <f t="shared" ca="1" si="146"/>
      </c>
      <c r="Q665" s="74">
        <f t="shared" ca="1" si="147"/>
      </c>
      <c r="R665" s="74">
        <f t="shared" si="148"/>
      </c>
      <c r="S665" s="74">
        <f t="shared" ca="1" si="149"/>
      </c>
      <c r="T665" s="74">
        <f t="shared" si="150"/>
      </c>
    </row>
    <row r="666" spans="2:20" x14ac:dyDescent="0.3">
      <c r="B666" s="74">
        <f t="shared" ca="1" si="140"/>
      </c>
      <c r="C666" s="78">
        <f>Кабельный_журнал!P632</f>
      </c>
      <c r="D666" s="74">
        <f t="shared" ca="1" si="141"/>
      </c>
      <c r="E666" s="80" t="s">
        <v>279</v>
      </c>
      <c r="F666" s="74">
        <f t="shared" ca="1" si="137"/>
      </c>
      <c r="G666" s="74">
        <f t="shared" si="138"/>
      </c>
      <c r="H666" s="80" t="s">
        <v>272</v>
      </c>
      <c r="I666" s="74">
        <f t="shared" si="139"/>
      </c>
      <c r="J666" s="74">
        <f t="shared" si="142"/>
      </c>
      <c r="K666" s="80" t="s">
        <v>280</v>
      </c>
      <c r="L666" s="74">
        <f t="shared" si="143"/>
      </c>
      <c r="M666" s="74">
        <f t="shared" ca="1" si="144"/>
      </c>
      <c r="N666" s="74">
        <f ca="1">VLOOKUP(B666,$C$7:$T664,13,FALSE)</f>
      </c>
      <c r="O666" s="74">
        <f t="shared" ca="1" si="145"/>
      </c>
      <c r="P666" s="74">
        <f t="shared" ca="1" si="146"/>
      </c>
      <c r="Q666" s="74">
        <f t="shared" ca="1" si="147"/>
      </c>
      <c r="R666" s="74">
        <f t="shared" si="148"/>
      </c>
      <c r="S666" s="74">
        <f t="shared" ca="1" si="149"/>
      </c>
      <c r="T666" s="74">
        <f t="shared" si="150"/>
      </c>
    </row>
    <row r="667" spans="2:20" x14ac:dyDescent="0.3">
      <c r="B667" s="74">
        <f t="shared" ca="1" si="140"/>
      </c>
      <c r="C667" s="78">
        <f>Кабельный_журнал!P633</f>
      </c>
      <c r="D667" s="74">
        <f t="shared" ca="1" si="141"/>
      </c>
      <c r="E667" s="80" t="s">
        <v>279</v>
      </c>
      <c r="F667" s="74">
        <f t="shared" ca="1" si="137"/>
      </c>
      <c r="G667" s="74">
        <f t="shared" si="138"/>
      </c>
      <c r="H667" s="80" t="s">
        <v>272</v>
      </c>
      <c r="I667" s="74">
        <f t="shared" si="139"/>
      </c>
      <c r="J667" s="74">
        <f t="shared" si="142"/>
      </c>
      <c r="K667" s="80" t="s">
        <v>280</v>
      </c>
      <c r="L667" s="74">
        <f t="shared" si="143"/>
      </c>
      <c r="M667" s="74">
        <f t="shared" ca="1" si="144"/>
      </c>
      <c r="N667" s="74">
        <f ca="1">VLOOKUP(B667,$C$7:$T665,13,FALSE)</f>
      </c>
      <c r="O667" s="74">
        <f t="shared" ca="1" si="145"/>
      </c>
      <c r="P667" s="74">
        <f t="shared" ca="1" si="146"/>
      </c>
      <c r="Q667" s="74">
        <f t="shared" ca="1" si="147"/>
      </c>
      <c r="R667" s="74">
        <f t="shared" si="148"/>
      </c>
      <c r="S667" s="74">
        <f t="shared" ca="1" si="149"/>
      </c>
      <c r="T667" s="74">
        <f t="shared" si="150"/>
      </c>
    </row>
    <row r="668" spans="2:20" x14ac:dyDescent="0.3">
      <c r="B668" s="74">
        <f t="shared" ca="1" si="140"/>
      </c>
      <c r="C668" s="78">
        <f>Кабельный_журнал!P634</f>
      </c>
      <c r="D668" s="74">
        <f t="shared" ca="1" si="141"/>
      </c>
      <c r="E668" s="80" t="s">
        <v>279</v>
      </c>
      <c r="F668" s="74">
        <f t="shared" ca="1" si="137"/>
      </c>
      <c r="G668" s="74">
        <f t="shared" si="138"/>
      </c>
      <c r="H668" s="80" t="s">
        <v>272</v>
      </c>
      <c r="I668" s="74">
        <f t="shared" si="139"/>
      </c>
      <c r="J668" s="74">
        <f t="shared" si="142"/>
      </c>
      <c r="K668" s="80" t="s">
        <v>280</v>
      </c>
      <c r="L668" s="74">
        <f t="shared" si="143"/>
      </c>
      <c r="M668" s="74">
        <f t="shared" ca="1" si="144"/>
      </c>
      <c r="N668" s="74">
        <f ca="1">VLOOKUP(B668,$C$7:$T666,13,FALSE)</f>
      </c>
      <c r="O668" s="74">
        <f t="shared" ca="1" si="145"/>
      </c>
      <c r="P668" s="74">
        <f t="shared" ca="1" si="146"/>
      </c>
      <c r="Q668" s="74">
        <f t="shared" ca="1" si="147"/>
      </c>
      <c r="R668" s="74">
        <f t="shared" si="148"/>
      </c>
      <c r="S668" s="74">
        <f t="shared" ca="1" si="149"/>
      </c>
      <c r="T668" s="74">
        <f t="shared" si="150"/>
      </c>
    </row>
    <row r="669" spans="2:20" x14ac:dyDescent="0.3">
      <c r="B669" s="74">
        <f t="shared" ca="1" si="140"/>
      </c>
      <c r="C669" s="78">
        <f>Кабельный_журнал!P635</f>
      </c>
      <c r="D669" s="74">
        <f t="shared" ca="1" si="141"/>
      </c>
      <c r="E669" s="80" t="s">
        <v>279</v>
      </c>
      <c r="F669" s="74">
        <f t="shared" ca="1" si="137"/>
      </c>
      <c r="G669" s="74">
        <f t="shared" si="138"/>
      </c>
      <c r="H669" s="80" t="s">
        <v>272</v>
      </c>
      <c r="I669" s="74">
        <f t="shared" si="139"/>
      </c>
      <c r="J669" s="74">
        <f t="shared" si="142"/>
      </c>
      <c r="K669" s="80" t="s">
        <v>280</v>
      </c>
      <c r="L669" s="74">
        <f t="shared" si="143"/>
      </c>
      <c r="M669" s="74">
        <f t="shared" ca="1" si="144"/>
      </c>
      <c r="N669" s="74">
        <f ca="1">VLOOKUP(B669,$C$7:$T667,13,FALSE)</f>
      </c>
      <c r="O669" s="74">
        <f t="shared" ca="1" si="145"/>
      </c>
      <c r="P669" s="74">
        <f t="shared" ca="1" si="146"/>
      </c>
      <c r="Q669" s="74">
        <f t="shared" ca="1" si="147"/>
      </c>
      <c r="R669" s="74">
        <f t="shared" si="148"/>
      </c>
      <c r="S669" s="74">
        <f t="shared" ca="1" si="149"/>
      </c>
      <c r="T669" s="74">
        <f t="shared" si="150"/>
      </c>
    </row>
    <row r="670" spans="2:20" x14ac:dyDescent="0.3">
      <c r="B670" s="74">
        <f t="shared" ca="1" si="140"/>
      </c>
      <c r="C670" s="78">
        <f>Кабельный_журнал!P636</f>
      </c>
      <c r="D670" s="74">
        <f t="shared" ca="1" si="141"/>
      </c>
      <c r="E670" s="80" t="s">
        <v>279</v>
      </c>
      <c r="F670" s="74">
        <f t="shared" ca="1" si="137"/>
      </c>
      <c r="G670" s="74">
        <f t="shared" si="138"/>
      </c>
      <c r="H670" s="80" t="s">
        <v>272</v>
      </c>
      <c r="I670" s="74">
        <f t="shared" si="139"/>
      </c>
      <c r="J670" s="74">
        <f t="shared" si="142"/>
      </c>
      <c r="K670" s="80" t="s">
        <v>280</v>
      </c>
      <c r="L670" s="74">
        <f t="shared" si="143"/>
      </c>
      <c r="M670" s="74">
        <f t="shared" ca="1" si="144"/>
      </c>
      <c r="N670" s="74">
        <f ca="1">VLOOKUP(B670,$C$7:$T668,13,FALSE)</f>
      </c>
      <c r="O670" s="74">
        <f t="shared" ca="1" si="145"/>
      </c>
      <c r="P670" s="74">
        <f t="shared" ca="1" si="146"/>
      </c>
      <c r="Q670" s="74">
        <f t="shared" ca="1" si="147"/>
      </c>
      <c r="R670" s="74">
        <f t="shared" si="148"/>
      </c>
      <c r="S670" s="74">
        <f t="shared" ca="1" si="149"/>
      </c>
      <c r="T670" s="74">
        <f t="shared" si="150"/>
      </c>
    </row>
    <row r="671" spans="2:20" x14ac:dyDescent="0.3">
      <c r="B671" s="74">
        <f t="shared" ca="1" si="140"/>
      </c>
      <c r="C671" s="78">
        <f>Кабельный_журнал!P637</f>
      </c>
      <c r="D671" s="74">
        <f t="shared" ca="1" si="141"/>
      </c>
      <c r="E671" s="80" t="s">
        <v>279</v>
      </c>
      <c r="F671" s="74">
        <f t="shared" ca="1" si="137"/>
      </c>
      <c r="G671" s="74">
        <f t="shared" si="138"/>
      </c>
      <c r="H671" s="80" t="s">
        <v>272</v>
      </c>
      <c r="I671" s="74">
        <f t="shared" si="139"/>
      </c>
      <c r="J671" s="74">
        <f t="shared" si="142"/>
      </c>
      <c r="K671" s="80" t="s">
        <v>280</v>
      </c>
      <c r="L671" s="74">
        <f t="shared" si="143"/>
      </c>
      <c r="M671" s="74">
        <f t="shared" ca="1" si="144"/>
      </c>
      <c r="N671" s="74">
        <f ca="1">VLOOKUP(B671,$C$7:$T669,13,FALSE)</f>
      </c>
      <c r="O671" s="74">
        <f t="shared" ca="1" si="145"/>
      </c>
      <c r="P671" s="74">
        <f t="shared" ca="1" si="146"/>
      </c>
      <c r="Q671" s="74">
        <f t="shared" ca="1" si="147"/>
      </c>
      <c r="R671" s="74">
        <f t="shared" si="148"/>
      </c>
      <c r="S671" s="74">
        <f t="shared" ca="1" si="149"/>
      </c>
      <c r="T671" s="74">
        <f t="shared" si="150"/>
      </c>
    </row>
    <row r="672" spans="2:20" x14ac:dyDescent="0.3">
      <c r="B672" s="74">
        <f t="shared" ca="1" si="140"/>
      </c>
      <c r="C672" s="78">
        <f>Кабельный_журнал!P638</f>
      </c>
      <c r="D672" s="74">
        <f t="shared" ca="1" si="141"/>
      </c>
      <c r="E672" s="80" t="s">
        <v>279</v>
      </c>
      <c r="F672" s="74">
        <f t="shared" ca="1" si="137"/>
      </c>
      <c r="G672" s="74">
        <f t="shared" si="138"/>
      </c>
      <c r="H672" s="80" t="s">
        <v>272</v>
      </c>
      <c r="I672" s="74">
        <f t="shared" si="139"/>
      </c>
      <c r="J672" s="74">
        <f t="shared" si="142"/>
      </c>
      <c r="K672" s="80" t="s">
        <v>280</v>
      </c>
      <c r="L672" s="74">
        <f t="shared" si="143"/>
      </c>
      <c r="M672" s="74">
        <f t="shared" ca="1" si="144"/>
      </c>
      <c r="N672" s="74">
        <f ca="1">VLOOKUP(B672,$C$7:$T670,13,FALSE)</f>
      </c>
      <c r="O672" s="74">
        <f t="shared" ca="1" si="145"/>
      </c>
      <c r="P672" s="74">
        <f t="shared" ca="1" si="146"/>
      </c>
      <c r="Q672" s="74">
        <f t="shared" ca="1" si="147"/>
      </c>
      <c r="R672" s="74">
        <f t="shared" si="148"/>
      </c>
      <c r="S672" s="74">
        <f t="shared" ca="1" si="149"/>
      </c>
      <c r="T672" s="74">
        <f t="shared" si="150"/>
      </c>
    </row>
    <row r="673" spans="2:20" x14ac:dyDescent="0.3">
      <c r="B673" s="74">
        <f t="shared" ca="1" si="140"/>
      </c>
      <c r="C673" s="78">
        <f>Кабельный_журнал!P639</f>
      </c>
      <c r="D673" s="74">
        <f t="shared" ca="1" si="141"/>
      </c>
      <c r="E673" s="80" t="s">
        <v>279</v>
      </c>
      <c r="F673" s="74">
        <f t="shared" ca="1" si="137"/>
      </c>
      <c r="G673" s="74">
        <f t="shared" si="138"/>
      </c>
      <c r="H673" s="80" t="s">
        <v>272</v>
      </c>
      <c r="I673" s="74">
        <f t="shared" si="139"/>
      </c>
      <c r="J673" s="74">
        <f t="shared" si="142"/>
      </c>
      <c r="K673" s="80" t="s">
        <v>280</v>
      </c>
      <c r="L673" s="74">
        <f t="shared" si="143"/>
      </c>
      <c r="M673" s="74">
        <f t="shared" ca="1" si="144"/>
      </c>
      <c r="N673" s="74">
        <f ca="1">VLOOKUP(B673,$C$7:$T671,13,FALSE)</f>
      </c>
      <c r="O673" s="74">
        <f t="shared" ca="1" si="145"/>
      </c>
      <c r="P673" s="74">
        <f t="shared" ca="1" si="146"/>
      </c>
      <c r="Q673" s="74">
        <f t="shared" ca="1" si="147"/>
      </c>
      <c r="R673" s="74">
        <f t="shared" si="148"/>
      </c>
      <c r="S673" s="74">
        <f t="shared" ca="1" si="149"/>
      </c>
      <c r="T673" s="74">
        <f t="shared" si="150"/>
      </c>
    </row>
    <row r="674" spans="2:20" x14ac:dyDescent="0.3">
      <c r="B674" s="74">
        <f t="shared" ca="1" si="140"/>
      </c>
      <c r="C674" s="78">
        <f>Кабельный_журнал!P640</f>
      </c>
      <c r="D674" s="74">
        <f t="shared" ca="1" si="141"/>
      </c>
      <c r="E674" s="80" t="s">
        <v>279</v>
      </c>
      <c r="F674" s="74">
        <f t="shared" ca="1" si="137"/>
      </c>
      <c r="G674" s="74">
        <f t="shared" si="138"/>
      </c>
      <c r="H674" s="80" t="s">
        <v>272</v>
      </c>
      <c r="I674" s="74">
        <f t="shared" si="139"/>
      </c>
      <c r="J674" s="74">
        <f t="shared" si="142"/>
      </c>
      <c r="K674" s="80" t="s">
        <v>280</v>
      </c>
      <c r="L674" s="74">
        <f t="shared" si="143"/>
      </c>
      <c r="M674" s="74">
        <f t="shared" ca="1" si="144"/>
      </c>
      <c r="N674" s="74">
        <f ca="1">VLOOKUP(B674,$C$7:$T672,13,FALSE)</f>
      </c>
      <c r="O674" s="74">
        <f t="shared" ca="1" si="145"/>
      </c>
      <c r="P674" s="74">
        <f t="shared" ca="1" si="146"/>
      </c>
      <c r="Q674" s="74">
        <f t="shared" ca="1" si="147"/>
      </c>
      <c r="R674" s="74">
        <f t="shared" si="148"/>
      </c>
      <c r="S674" s="74">
        <f t="shared" ca="1" si="149"/>
      </c>
      <c r="T674" s="74">
        <f t="shared" si="150"/>
      </c>
    </row>
    <row r="675" spans="2:20" x14ac:dyDescent="0.3">
      <c r="B675" s="74">
        <f t="shared" ca="1" si="140"/>
      </c>
      <c r="C675" s="78">
        <f>Кабельный_журнал!P641</f>
      </c>
      <c r="D675" s="74">
        <f t="shared" ca="1" si="141"/>
      </c>
      <c r="E675" s="80" t="s">
        <v>279</v>
      </c>
      <c r="F675" s="74">
        <f t="shared" ca="1" si="137"/>
      </c>
      <c r="G675" s="74">
        <f t="shared" si="138"/>
      </c>
      <c r="H675" s="80" t="s">
        <v>272</v>
      </c>
      <c r="I675" s="74">
        <f t="shared" si="139"/>
      </c>
      <c r="J675" s="74">
        <f t="shared" si="142"/>
      </c>
      <c r="K675" s="80" t="s">
        <v>280</v>
      </c>
      <c r="L675" s="74">
        <f t="shared" si="143"/>
      </c>
      <c r="M675" s="74">
        <f t="shared" ca="1" si="144"/>
      </c>
      <c r="N675" s="74">
        <f ca="1">VLOOKUP(B675,$C$7:$T673,13,FALSE)</f>
      </c>
      <c r="O675" s="74">
        <f t="shared" ca="1" si="145"/>
      </c>
      <c r="P675" s="74">
        <f t="shared" ca="1" si="146"/>
      </c>
      <c r="Q675" s="74">
        <f t="shared" ca="1" si="147"/>
      </c>
      <c r="R675" s="74">
        <f t="shared" si="148"/>
      </c>
      <c r="S675" s="74">
        <f t="shared" ca="1" si="149"/>
      </c>
      <c r="T675" s="74">
        <f t="shared" si="150"/>
      </c>
    </row>
    <row r="676" spans="2:20" x14ac:dyDescent="0.3">
      <c r="B676" s="74">
        <f t="shared" ca="1" si="140"/>
      </c>
      <c r="C676" s="78">
        <f>Кабельный_журнал!P642</f>
      </c>
      <c r="D676" s="74">
        <f t="shared" ca="1" si="141"/>
      </c>
      <c r="E676" s="80" t="s">
        <v>279</v>
      </c>
      <c r="F676" s="74">
        <f t="shared" ca="1" si="137"/>
      </c>
      <c r="G676" s="74">
        <f t="shared" si="138"/>
      </c>
      <c r="H676" s="80" t="s">
        <v>272</v>
      </c>
      <c r="I676" s="74">
        <f t="shared" si="139"/>
      </c>
      <c r="J676" s="74">
        <f t="shared" si="142"/>
      </c>
      <c r="K676" s="80" t="s">
        <v>280</v>
      </c>
      <c r="L676" s="74">
        <f t="shared" si="143"/>
      </c>
      <c r="M676" s="74">
        <f t="shared" ca="1" si="144"/>
      </c>
      <c r="N676" s="74">
        <f ca="1">VLOOKUP(B676,$C$7:$T674,13,FALSE)</f>
      </c>
      <c r="O676" s="74">
        <f t="shared" ca="1" si="145"/>
      </c>
      <c r="P676" s="74">
        <f t="shared" ca="1" si="146"/>
      </c>
      <c r="Q676" s="74">
        <f t="shared" ca="1" si="147"/>
      </c>
      <c r="R676" s="74">
        <f t="shared" si="148"/>
      </c>
      <c r="S676" s="74">
        <f t="shared" ca="1" si="149"/>
      </c>
      <c r="T676" s="74">
        <f t="shared" si="150"/>
      </c>
    </row>
    <row r="677" spans="2:20" x14ac:dyDescent="0.3">
      <c r="B677" s="74">
        <f t="shared" ca="1" si="140"/>
      </c>
      <c r="C677" s="78">
        <f>Кабельный_журнал!P643</f>
      </c>
      <c r="D677" s="74">
        <f t="shared" ca="1" si="141"/>
      </c>
      <c r="E677" s="80" t="s">
        <v>279</v>
      </c>
      <c r="F677" s="74">
        <f t="shared" ca="1" si="137"/>
      </c>
      <c r="G677" s="74">
        <f t="shared" si="138"/>
      </c>
      <c r="H677" s="80" t="s">
        <v>272</v>
      </c>
      <c r="I677" s="74">
        <f t="shared" si="139"/>
      </c>
      <c r="J677" s="74">
        <f t="shared" si="142"/>
      </c>
      <c r="K677" s="80" t="s">
        <v>280</v>
      </c>
      <c r="L677" s="74">
        <f t="shared" si="143"/>
      </c>
      <c r="M677" s="74">
        <f t="shared" ca="1" si="144"/>
      </c>
      <c r="N677" s="74">
        <f ca="1">VLOOKUP(B677,$C$7:$T675,13,FALSE)</f>
      </c>
      <c r="O677" s="74">
        <f t="shared" ca="1" si="145"/>
      </c>
      <c r="P677" s="74">
        <f t="shared" ca="1" si="146"/>
      </c>
      <c r="Q677" s="74">
        <f t="shared" ca="1" si="147"/>
      </c>
      <c r="R677" s="74">
        <f t="shared" si="148"/>
      </c>
      <c r="S677" s="74">
        <f t="shared" ca="1" si="149"/>
      </c>
      <c r="T677" s="74">
        <f t="shared" si="150"/>
      </c>
    </row>
    <row r="678" spans="2:20" x14ac:dyDescent="0.3">
      <c r="B678" s="74">
        <f t="shared" ca="1" si="140"/>
      </c>
      <c r="C678" s="78">
        <f>Кабельный_журнал!P644</f>
      </c>
      <c r="D678" s="74">
        <f t="shared" ca="1" si="141"/>
      </c>
      <c r="E678" s="80" t="s">
        <v>279</v>
      </c>
      <c r="F678" s="74">
        <f t="shared" ca="1" si="137"/>
      </c>
      <c r="G678" s="74">
        <f t="shared" si="138"/>
      </c>
      <c r="H678" s="80" t="s">
        <v>272</v>
      </c>
      <c r="I678" s="74">
        <f t="shared" si="139"/>
      </c>
      <c r="J678" s="74">
        <f t="shared" si="142"/>
      </c>
      <c r="K678" s="80" t="s">
        <v>280</v>
      </c>
      <c r="L678" s="74">
        <f t="shared" si="143"/>
      </c>
      <c r="M678" s="74">
        <f t="shared" ca="1" si="144"/>
      </c>
      <c r="N678" s="74">
        <f ca="1">VLOOKUP(B678,$C$7:$T676,13,FALSE)</f>
      </c>
      <c r="O678" s="74">
        <f t="shared" ca="1" si="145"/>
      </c>
      <c r="P678" s="74">
        <f t="shared" ca="1" si="146"/>
      </c>
      <c r="Q678" s="74">
        <f t="shared" ca="1" si="147"/>
      </c>
      <c r="R678" s="74">
        <f t="shared" si="148"/>
      </c>
      <c r="S678" s="74">
        <f t="shared" ca="1" si="149"/>
      </c>
      <c r="T678" s="74">
        <f t="shared" si="150"/>
      </c>
    </row>
    <row r="679" spans="2:20" x14ac:dyDescent="0.3">
      <c r="B679" s="74">
        <f t="shared" ca="1" si="140"/>
      </c>
      <c r="C679" s="78">
        <f>Кабельный_журнал!P645</f>
      </c>
      <c r="D679" s="74">
        <f t="shared" ca="1" si="141"/>
      </c>
      <c r="E679" s="80" t="s">
        <v>279</v>
      </c>
      <c r="F679" s="74">
        <f t="shared" ref="F679:F742" ca="1" si="151">VLOOKUP(C679,Кабельный_журнал,8,FALSE)</f>
      </c>
      <c r="G679" s="74">
        <f t="shared" ref="G679:G742" si="152">VLOOKUP(C679,Исходные_данные,21,FALSE)</f>
      </c>
      <c r="H679" s="80" t="s">
        <v>272</v>
      </c>
      <c r="I679" s="74">
        <f t="shared" ref="I679:I742" si="153">VLOOKUP(C679,Исходные_данные,22,FALSE)</f>
      </c>
      <c r="J679" s="74">
        <f t="shared" si="142"/>
      </c>
      <c r="K679" s="80" t="s">
        <v>280</v>
      </c>
      <c r="L679" s="74">
        <f t="shared" si="143"/>
      </c>
      <c r="M679" s="74">
        <f t="shared" ca="1" si="144"/>
      </c>
      <c r="N679" s="74">
        <f ca="1">VLOOKUP(B679,$C$7:$T677,13,FALSE)</f>
      </c>
      <c r="O679" s="74">
        <f t="shared" ca="1" si="145"/>
      </c>
      <c r="P679" s="74">
        <f t="shared" ca="1" si="146"/>
      </c>
      <c r="Q679" s="74">
        <f t="shared" ca="1" si="147"/>
      </c>
      <c r="R679" s="74">
        <f t="shared" si="148"/>
      </c>
      <c r="S679" s="74">
        <f t="shared" ca="1" si="149"/>
      </c>
      <c r="T679" s="74">
        <f t="shared" si="150"/>
      </c>
    </row>
    <row r="680" spans="2:20" x14ac:dyDescent="0.3">
      <c r="B680" s="74">
        <f t="shared" ref="B680:B743" ca="1" si="154">VLOOKUP(C680,Кабельный_журнал,2,FALSE)</f>
      </c>
      <c r="C680" s="78">
        <f>Кабельный_журнал!P646</f>
      </c>
      <c r="D680" s="74">
        <f t="shared" ref="D680:D743" ca="1" si="155">B680&amp;"-"&amp;C680</f>
      </c>
      <c r="E680" s="80" t="s">
        <v>279</v>
      </c>
      <c r="F680" s="74">
        <f t="shared" ca="1" si="151"/>
      </c>
      <c r="G680" s="74">
        <f t="shared" si="152"/>
      </c>
      <c r="H680" s="80" t="s">
        <v>272</v>
      </c>
      <c r="I680" s="74">
        <f t="shared" si="153"/>
      </c>
      <c r="J680" s="74">
        <f t="shared" ref="J680:J743" si="156">I680</f>
      </c>
      <c r="K680" s="80" t="s">
        <v>280</v>
      </c>
      <c r="L680" s="74">
        <f t="shared" ref="L680:L743" si="157">VLOOKUP(K680,$K$2:$L$3,2,FALSE)</f>
      </c>
      <c r="M680" s="74">
        <f t="shared" ref="M680:M743" ca="1" si="158">L680*F680*(1/I680+1/J680)</f>
      </c>
      <c r="N680" s="74">
        <f ca="1">VLOOKUP(B680,$C$7:$T678,13,FALSE)</f>
      </c>
      <c r="O680" s="74">
        <f t="shared" ref="O680:O743" ca="1" si="159">L680+M680</f>
      </c>
      <c r="P680" s="74">
        <f t="shared" ref="P680:P743" ca="1" si="160">220/O680</f>
      </c>
      <c r="Q680" s="74">
        <f t="shared" ref="Q680:Q743" ca="1" si="161">O680/G680</f>
      </c>
      <c r="R680" s="74">
        <f t="shared" ref="R680:R743" si="162">VLOOKUP(H680,$W$2:$Y$12,3,FALSE)</f>
      </c>
      <c r="S680" s="74">
        <f t="shared" ref="S680:S743" ca="1" si="163">_xlfn.IFS(E680="щит",IF(P680&gt;R680,"Увел сеч",IF(T680&gt;P680,"Увел сеч","tср&lt;5с")),E680="потреб",IF(P680&gt;R680,"Увел сеч",IF(T680&gt;P680,"Увел сеч","tср&lt;0.4с")))</f>
      </c>
      <c r="T680" s="74">
        <f t="shared" ref="T680:T743" si="164">G680*VLOOKUP(H680,$W$2:$Y$12,2,FALSE)</f>
      </c>
    </row>
    <row r="681" spans="2:20" x14ac:dyDescent="0.3">
      <c r="B681" s="74">
        <f t="shared" ca="1" si="154"/>
      </c>
      <c r="C681" s="78">
        <f>Кабельный_журнал!P647</f>
      </c>
      <c r="D681" s="74">
        <f t="shared" ca="1" si="155"/>
      </c>
      <c r="E681" s="80" t="s">
        <v>279</v>
      </c>
      <c r="F681" s="74">
        <f t="shared" ca="1" si="151"/>
      </c>
      <c r="G681" s="74">
        <f t="shared" si="152"/>
      </c>
      <c r="H681" s="80" t="s">
        <v>272</v>
      </c>
      <c r="I681" s="74">
        <f t="shared" si="153"/>
      </c>
      <c r="J681" s="74">
        <f t="shared" si="156"/>
      </c>
      <c r="K681" s="80" t="s">
        <v>280</v>
      </c>
      <c r="L681" s="74">
        <f t="shared" si="157"/>
      </c>
      <c r="M681" s="74">
        <f t="shared" ca="1" si="158"/>
      </c>
      <c r="N681" s="74">
        <f ca="1">VLOOKUP(B681,$C$7:$T679,13,FALSE)</f>
      </c>
      <c r="O681" s="74">
        <f t="shared" ca="1" si="159"/>
      </c>
      <c r="P681" s="74">
        <f t="shared" ca="1" si="160"/>
      </c>
      <c r="Q681" s="74">
        <f t="shared" ca="1" si="161"/>
      </c>
      <c r="R681" s="74">
        <f t="shared" si="162"/>
      </c>
      <c r="S681" s="74">
        <f t="shared" ca="1" si="163"/>
      </c>
      <c r="T681" s="74">
        <f t="shared" si="164"/>
      </c>
    </row>
    <row r="682" spans="2:20" x14ac:dyDescent="0.3">
      <c r="B682" s="74">
        <f t="shared" ca="1" si="154"/>
      </c>
      <c r="C682" s="78">
        <f>Кабельный_журнал!P648</f>
      </c>
      <c r="D682" s="74">
        <f t="shared" ca="1" si="155"/>
      </c>
      <c r="E682" s="80" t="s">
        <v>279</v>
      </c>
      <c r="F682" s="74">
        <f t="shared" ca="1" si="151"/>
      </c>
      <c r="G682" s="74">
        <f t="shared" si="152"/>
      </c>
      <c r="H682" s="80" t="s">
        <v>272</v>
      </c>
      <c r="I682" s="74">
        <f t="shared" si="153"/>
      </c>
      <c r="J682" s="74">
        <f t="shared" si="156"/>
      </c>
      <c r="K682" s="80" t="s">
        <v>280</v>
      </c>
      <c r="L682" s="74">
        <f t="shared" si="157"/>
      </c>
      <c r="M682" s="74">
        <f t="shared" ca="1" si="158"/>
      </c>
      <c r="N682" s="74">
        <f ca="1">VLOOKUP(B682,$C$7:$T680,13,FALSE)</f>
      </c>
      <c r="O682" s="74">
        <f t="shared" ca="1" si="159"/>
      </c>
      <c r="P682" s="74">
        <f t="shared" ca="1" si="160"/>
      </c>
      <c r="Q682" s="74">
        <f t="shared" ca="1" si="161"/>
      </c>
      <c r="R682" s="74">
        <f t="shared" si="162"/>
      </c>
      <c r="S682" s="74">
        <f t="shared" ca="1" si="163"/>
      </c>
      <c r="T682" s="74">
        <f t="shared" si="164"/>
      </c>
    </row>
    <row r="683" spans="2:20" x14ac:dyDescent="0.3">
      <c r="B683" s="74">
        <f t="shared" ca="1" si="154"/>
      </c>
      <c r="C683" s="78">
        <f>Кабельный_журнал!P649</f>
      </c>
      <c r="D683" s="74">
        <f t="shared" ca="1" si="155"/>
      </c>
      <c r="E683" s="80" t="s">
        <v>279</v>
      </c>
      <c r="F683" s="74">
        <f t="shared" ca="1" si="151"/>
      </c>
      <c r="G683" s="74">
        <f t="shared" si="152"/>
      </c>
      <c r="H683" s="80" t="s">
        <v>272</v>
      </c>
      <c r="I683" s="74">
        <f t="shared" si="153"/>
      </c>
      <c r="J683" s="74">
        <f t="shared" si="156"/>
      </c>
      <c r="K683" s="80" t="s">
        <v>280</v>
      </c>
      <c r="L683" s="74">
        <f t="shared" si="157"/>
      </c>
      <c r="M683" s="74">
        <f t="shared" ca="1" si="158"/>
      </c>
      <c r="N683" s="74">
        <f ca="1">VLOOKUP(B683,$C$7:$T681,13,FALSE)</f>
      </c>
      <c r="O683" s="74">
        <f t="shared" ca="1" si="159"/>
      </c>
      <c r="P683" s="74">
        <f t="shared" ca="1" si="160"/>
      </c>
      <c r="Q683" s="74">
        <f t="shared" ca="1" si="161"/>
      </c>
      <c r="R683" s="74">
        <f t="shared" si="162"/>
      </c>
      <c r="S683" s="74">
        <f t="shared" ca="1" si="163"/>
      </c>
      <c r="T683" s="74">
        <f t="shared" si="164"/>
      </c>
    </row>
    <row r="684" spans="2:20" x14ac:dyDescent="0.3">
      <c r="B684" s="74">
        <f t="shared" ca="1" si="154"/>
      </c>
      <c r="C684" s="78">
        <f>Кабельный_журнал!P650</f>
      </c>
      <c r="D684" s="74">
        <f t="shared" ca="1" si="155"/>
      </c>
      <c r="E684" s="80" t="s">
        <v>279</v>
      </c>
      <c r="F684" s="74">
        <f t="shared" ca="1" si="151"/>
      </c>
      <c r="G684" s="74">
        <f t="shared" si="152"/>
      </c>
      <c r="H684" s="80" t="s">
        <v>272</v>
      </c>
      <c r="I684" s="74">
        <f t="shared" si="153"/>
      </c>
      <c r="J684" s="74">
        <f t="shared" si="156"/>
      </c>
      <c r="K684" s="80" t="s">
        <v>280</v>
      </c>
      <c r="L684" s="74">
        <f t="shared" si="157"/>
      </c>
      <c r="M684" s="74">
        <f t="shared" ca="1" si="158"/>
      </c>
      <c r="N684" s="74">
        <f ca="1">VLOOKUP(B684,$C$7:$T682,13,FALSE)</f>
      </c>
      <c r="O684" s="74">
        <f t="shared" ca="1" si="159"/>
      </c>
      <c r="P684" s="74">
        <f t="shared" ca="1" si="160"/>
      </c>
      <c r="Q684" s="74">
        <f t="shared" ca="1" si="161"/>
      </c>
      <c r="R684" s="74">
        <f t="shared" si="162"/>
      </c>
      <c r="S684" s="74">
        <f t="shared" ca="1" si="163"/>
      </c>
      <c r="T684" s="74">
        <f t="shared" si="164"/>
      </c>
    </row>
    <row r="685" spans="2:20" x14ac:dyDescent="0.3">
      <c r="B685" s="74">
        <f t="shared" ca="1" si="154"/>
      </c>
      <c r="C685" s="78">
        <f>Кабельный_журнал!P651</f>
      </c>
      <c r="D685" s="74">
        <f t="shared" ca="1" si="155"/>
      </c>
      <c r="E685" s="80" t="s">
        <v>279</v>
      </c>
      <c r="F685" s="74">
        <f t="shared" ca="1" si="151"/>
      </c>
      <c r="G685" s="74">
        <f t="shared" si="152"/>
      </c>
      <c r="H685" s="80" t="s">
        <v>272</v>
      </c>
      <c r="I685" s="74">
        <f t="shared" si="153"/>
      </c>
      <c r="J685" s="74">
        <f t="shared" si="156"/>
      </c>
      <c r="K685" s="80" t="s">
        <v>280</v>
      </c>
      <c r="L685" s="74">
        <f t="shared" si="157"/>
      </c>
      <c r="M685" s="74">
        <f t="shared" ca="1" si="158"/>
      </c>
      <c r="N685" s="74">
        <f ca="1">VLOOKUP(B685,$C$7:$T683,13,FALSE)</f>
      </c>
      <c r="O685" s="74">
        <f t="shared" ca="1" si="159"/>
      </c>
      <c r="P685" s="74">
        <f t="shared" ca="1" si="160"/>
      </c>
      <c r="Q685" s="74">
        <f t="shared" ca="1" si="161"/>
      </c>
      <c r="R685" s="74">
        <f t="shared" si="162"/>
      </c>
      <c r="S685" s="74">
        <f t="shared" ca="1" si="163"/>
      </c>
      <c r="T685" s="74">
        <f t="shared" si="164"/>
      </c>
    </row>
    <row r="686" spans="2:20" x14ac:dyDescent="0.3">
      <c r="B686" s="74">
        <f t="shared" ca="1" si="154"/>
      </c>
      <c r="C686" s="78">
        <f>Кабельный_журнал!P652</f>
      </c>
      <c r="D686" s="74">
        <f t="shared" ca="1" si="155"/>
      </c>
      <c r="E686" s="80" t="s">
        <v>279</v>
      </c>
      <c r="F686" s="74">
        <f t="shared" ca="1" si="151"/>
      </c>
      <c r="G686" s="74">
        <f t="shared" si="152"/>
      </c>
      <c r="H686" s="80" t="s">
        <v>272</v>
      </c>
      <c r="I686" s="74">
        <f t="shared" si="153"/>
      </c>
      <c r="J686" s="74">
        <f t="shared" si="156"/>
      </c>
      <c r="K686" s="80" t="s">
        <v>280</v>
      </c>
      <c r="L686" s="74">
        <f t="shared" si="157"/>
      </c>
      <c r="M686" s="74">
        <f t="shared" ca="1" si="158"/>
      </c>
      <c r="N686" s="74">
        <f ca="1">VLOOKUP(B686,$C$7:$T684,13,FALSE)</f>
      </c>
      <c r="O686" s="74">
        <f t="shared" ca="1" si="159"/>
      </c>
      <c r="P686" s="74">
        <f t="shared" ca="1" si="160"/>
      </c>
      <c r="Q686" s="74">
        <f t="shared" ca="1" si="161"/>
      </c>
      <c r="R686" s="74">
        <f t="shared" si="162"/>
      </c>
      <c r="S686" s="74">
        <f t="shared" ca="1" si="163"/>
      </c>
      <c r="T686" s="74">
        <f t="shared" si="164"/>
      </c>
    </row>
    <row r="687" spans="2:20" x14ac:dyDescent="0.3">
      <c r="B687" s="74">
        <f t="shared" ca="1" si="154"/>
      </c>
      <c r="C687" s="78">
        <f>Кабельный_журнал!P653</f>
      </c>
      <c r="D687" s="74">
        <f t="shared" ca="1" si="155"/>
      </c>
      <c r="E687" s="80" t="s">
        <v>279</v>
      </c>
      <c r="F687" s="74">
        <f t="shared" ca="1" si="151"/>
      </c>
      <c r="G687" s="74">
        <f t="shared" si="152"/>
      </c>
      <c r="H687" s="80" t="s">
        <v>272</v>
      </c>
      <c r="I687" s="74">
        <f t="shared" si="153"/>
      </c>
      <c r="J687" s="74">
        <f t="shared" si="156"/>
      </c>
      <c r="K687" s="80" t="s">
        <v>280</v>
      </c>
      <c r="L687" s="74">
        <f t="shared" si="157"/>
      </c>
      <c r="M687" s="74">
        <f t="shared" ca="1" si="158"/>
      </c>
      <c r="N687" s="74">
        <f ca="1">VLOOKUP(B687,$C$7:$T685,13,FALSE)</f>
      </c>
      <c r="O687" s="74">
        <f t="shared" ca="1" si="159"/>
      </c>
      <c r="P687" s="74">
        <f t="shared" ca="1" si="160"/>
      </c>
      <c r="Q687" s="74">
        <f t="shared" ca="1" si="161"/>
      </c>
      <c r="R687" s="74">
        <f t="shared" si="162"/>
      </c>
      <c r="S687" s="74">
        <f t="shared" ca="1" si="163"/>
      </c>
      <c r="T687" s="74">
        <f t="shared" si="164"/>
      </c>
    </row>
    <row r="688" spans="2:20" x14ac:dyDescent="0.3">
      <c r="B688" s="74">
        <f t="shared" ca="1" si="154"/>
      </c>
      <c r="C688" s="78">
        <f>Кабельный_журнал!P654</f>
      </c>
      <c r="D688" s="74">
        <f t="shared" ca="1" si="155"/>
      </c>
      <c r="E688" s="80" t="s">
        <v>279</v>
      </c>
      <c r="F688" s="74">
        <f t="shared" ca="1" si="151"/>
      </c>
      <c r="G688" s="74">
        <f t="shared" si="152"/>
      </c>
      <c r="H688" s="80" t="s">
        <v>272</v>
      </c>
      <c r="I688" s="74">
        <f t="shared" si="153"/>
      </c>
      <c r="J688" s="74">
        <f t="shared" si="156"/>
      </c>
      <c r="K688" s="80" t="s">
        <v>280</v>
      </c>
      <c r="L688" s="74">
        <f t="shared" si="157"/>
      </c>
      <c r="M688" s="74">
        <f t="shared" ca="1" si="158"/>
      </c>
      <c r="N688" s="74">
        <f ca="1">VLOOKUP(B688,$C$7:$T686,13,FALSE)</f>
      </c>
      <c r="O688" s="74">
        <f t="shared" ca="1" si="159"/>
      </c>
      <c r="P688" s="74">
        <f t="shared" ca="1" si="160"/>
      </c>
      <c r="Q688" s="74">
        <f t="shared" ca="1" si="161"/>
      </c>
      <c r="R688" s="74">
        <f t="shared" si="162"/>
      </c>
      <c r="S688" s="74">
        <f t="shared" ca="1" si="163"/>
      </c>
      <c r="T688" s="74">
        <f t="shared" si="164"/>
      </c>
    </row>
    <row r="689" spans="2:20" x14ac:dyDescent="0.3">
      <c r="B689" s="74">
        <f t="shared" ca="1" si="154"/>
      </c>
      <c r="C689" s="78">
        <f>Кабельный_журнал!P655</f>
      </c>
      <c r="D689" s="74">
        <f t="shared" ca="1" si="155"/>
      </c>
      <c r="E689" s="80" t="s">
        <v>279</v>
      </c>
      <c r="F689" s="74">
        <f t="shared" ca="1" si="151"/>
      </c>
      <c r="G689" s="74">
        <f t="shared" si="152"/>
      </c>
      <c r="H689" s="80" t="s">
        <v>272</v>
      </c>
      <c r="I689" s="74">
        <f t="shared" si="153"/>
      </c>
      <c r="J689" s="74">
        <f t="shared" si="156"/>
      </c>
      <c r="K689" s="80" t="s">
        <v>280</v>
      </c>
      <c r="L689" s="74">
        <f t="shared" si="157"/>
      </c>
      <c r="M689" s="74">
        <f t="shared" ca="1" si="158"/>
      </c>
      <c r="N689" s="74">
        <f ca="1">VLOOKUP(B689,$C$7:$T687,13,FALSE)</f>
      </c>
      <c r="O689" s="74">
        <f t="shared" ca="1" si="159"/>
      </c>
      <c r="P689" s="74">
        <f t="shared" ca="1" si="160"/>
      </c>
      <c r="Q689" s="74">
        <f t="shared" ca="1" si="161"/>
      </c>
      <c r="R689" s="74">
        <f t="shared" si="162"/>
      </c>
      <c r="S689" s="74">
        <f t="shared" ca="1" si="163"/>
      </c>
      <c r="T689" s="74">
        <f t="shared" si="164"/>
      </c>
    </row>
    <row r="690" spans="2:20" x14ac:dyDescent="0.3">
      <c r="B690" s="74">
        <f t="shared" ca="1" si="154"/>
      </c>
      <c r="C690" s="78">
        <f>Кабельный_журнал!P656</f>
      </c>
      <c r="D690" s="74">
        <f t="shared" ca="1" si="155"/>
      </c>
      <c r="E690" s="80" t="s">
        <v>279</v>
      </c>
      <c r="F690" s="74">
        <f t="shared" ca="1" si="151"/>
      </c>
      <c r="G690" s="74">
        <f t="shared" si="152"/>
      </c>
      <c r="H690" s="80" t="s">
        <v>272</v>
      </c>
      <c r="I690" s="74">
        <f t="shared" si="153"/>
      </c>
      <c r="J690" s="74">
        <f t="shared" si="156"/>
      </c>
      <c r="K690" s="80" t="s">
        <v>280</v>
      </c>
      <c r="L690" s="74">
        <f t="shared" si="157"/>
      </c>
      <c r="M690" s="74">
        <f t="shared" ca="1" si="158"/>
      </c>
      <c r="N690" s="74">
        <f ca="1">VLOOKUP(B690,$C$7:$T688,13,FALSE)</f>
      </c>
      <c r="O690" s="74">
        <f t="shared" ca="1" si="159"/>
      </c>
      <c r="P690" s="74">
        <f t="shared" ca="1" si="160"/>
      </c>
      <c r="Q690" s="74">
        <f t="shared" ca="1" si="161"/>
      </c>
      <c r="R690" s="74">
        <f t="shared" si="162"/>
      </c>
      <c r="S690" s="74">
        <f t="shared" ca="1" si="163"/>
      </c>
      <c r="T690" s="74">
        <f t="shared" si="164"/>
      </c>
    </row>
    <row r="691" spans="2:20" x14ac:dyDescent="0.3">
      <c r="B691" s="74">
        <f t="shared" ca="1" si="154"/>
      </c>
      <c r="C691" s="78">
        <f>Кабельный_журнал!P657</f>
      </c>
      <c r="D691" s="74">
        <f t="shared" ca="1" si="155"/>
      </c>
      <c r="E691" s="80" t="s">
        <v>279</v>
      </c>
      <c r="F691" s="74">
        <f t="shared" ca="1" si="151"/>
      </c>
      <c r="G691" s="74">
        <f t="shared" si="152"/>
      </c>
      <c r="H691" s="80" t="s">
        <v>272</v>
      </c>
      <c r="I691" s="74">
        <f t="shared" si="153"/>
      </c>
      <c r="J691" s="74">
        <f t="shared" si="156"/>
      </c>
      <c r="K691" s="80" t="s">
        <v>280</v>
      </c>
      <c r="L691" s="74">
        <f t="shared" si="157"/>
      </c>
      <c r="M691" s="74">
        <f t="shared" ca="1" si="158"/>
      </c>
      <c r="N691" s="74">
        <f ca="1">VLOOKUP(B691,$C$7:$T689,13,FALSE)</f>
      </c>
      <c r="O691" s="74">
        <f t="shared" ca="1" si="159"/>
      </c>
      <c r="P691" s="74">
        <f t="shared" ca="1" si="160"/>
      </c>
      <c r="Q691" s="74">
        <f t="shared" ca="1" si="161"/>
      </c>
      <c r="R691" s="74">
        <f t="shared" si="162"/>
      </c>
      <c r="S691" s="74">
        <f t="shared" ca="1" si="163"/>
      </c>
      <c r="T691" s="74">
        <f t="shared" si="164"/>
      </c>
    </row>
    <row r="692" spans="2:20" x14ac:dyDescent="0.3">
      <c r="B692" s="74">
        <f t="shared" ca="1" si="154"/>
      </c>
      <c r="C692" s="78">
        <f>Кабельный_журнал!P658</f>
      </c>
      <c r="D692" s="74">
        <f t="shared" ca="1" si="155"/>
      </c>
      <c r="E692" s="80" t="s">
        <v>279</v>
      </c>
      <c r="F692" s="74">
        <f t="shared" ca="1" si="151"/>
      </c>
      <c r="G692" s="74">
        <f t="shared" si="152"/>
      </c>
      <c r="H692" s="80" t="s">
        <v>272</v>
      </c>
      <c r="I692" s="74">
        <f t="shared" si="153"/>
      </c>
      <c r="J692" s="74">
        <f t="shared" si="156"/>
      </c>
      <c r="K692" s="80" t="s">
        <v>280</v>
      </c>
      <c r="L692" s="74">
        <f t="shared" si="157"/>
      </c>
      <c r="M692" s="74">
        <f t="shared" ca="1" si="158"/>
      </c>
      <c r="N692" s="74">
        <f ca="1">VLOOKUP(B692,$C$7:$T690,13,FALSE)</f>
      </c>
      <c r="O692" s="74">
        <f t="shared" ca="1" si="159"/>
      </c>
      <c r="P692" s="74">
        <f t="shared" ca="1" si="160"/>
      </c>
      <c r="Q692" s="74">
        <f t="shared" ca="1" si="161"/>
      </c>
      <c r="R692" s="74">
        <f t="shared" si="162"/>
      </c>
      <c r="S692" s="74">
        <f t="shared" ca="1" si="163"/>
      </c>
      <c r="T692" s="74">
        <f t="shared" si="164"/>
      </c>
    </row>
    <row r="693" spans="2:20" x14ac:dyDescent="0.3">
      <c r="B693" s="74">
        <f t="shared" ca="1" si="154"/>
      </c>
      <c r="C693" s="78">
        <f>Кабельный_журнал!P659</f>
      </c>
      <c r="D693" s="74">
        <f t="shared" ca="1" si="155"/>
      </c>
      <c r="E693" s="80" t="s">
        <v>279</v>
      </c>
      <c r="F693" s="74">
        <f t="shared" ca="1" si="151"/>
      </c>
      <c r="G693" s="74">
        <f t="shared" si="152"/>
      </c>
      <c r="H693" s="80" t="s">
        <v>272</v>
      </c>
      <c r="I693" s="74">
        <f t="shared" si="153"/>
      </c>
      <c r="J693" s="74">
        <f t="shared" si="156"/>
      </c>
      <c r="K693" s="80" t="s">
        <v>280</v>
      </c>
      <c r="L693" s="74">
        <f t="shared" si="157"/>
      </c>
      <c r="M693" s="74">
        <f t="shared" ca="1" si="158"/>
      </c>
      <c r="N693" s="74">
        <f ca="1">VLOOKUP(B693,$C$7:$T691,13,FALSE)</f>
      </c>
      <c r="O693" s="74">
        <f t="shared" ca="1" si="159"/>
      </c>
      <c r="P693" s="74">
        <f t="shared" ca="1" si="160"/>
      </c>
      <c r="Q693" s="74">
        <f t="shared" ca="1" si="161"/>
      </c>
      <c r="R693" s="74">
        <f t="shared" si="162"/>
      </c>
      <c r="S693" s="74">
        <f t="shared" ca="1" si="163"/>
      </c>
      <c r="T693" s="74">
        <f t="shared" si="164"/>
      </c>
    </row>
    <row r="694" spans="2:20" x14ac:dyDescent="0.3">
      <c r="B694" s="74">
        <f t="shared" ca="1" si="154"/>
      </c>
      <c r="C694" s="78">
        <f>Кабельный_журнал!P660</f>
      </c>
      <c r="D694" s="74">
        <f t="shared" ca="1" si="155"/>
      </c>
      <c r="E694" s="80" t="s">
        <v>279</v>
      </c>
      <c r="F694" s="74">
        <f t="shared" ca="1" si="151"/>
      </c>
      <c r="G694" s="74">
        <f t="shared" si="152"/>
      </c>
      <c r="H694" s="80" t="s">
        <v>272</v>
      </c>
      <c r="I694" s="74">
        <f t="shared" si="153"/>
      </c>
      <c r="J694" s="74">
        <f t="shared" si="156"/>
      </c>
      <c r="K694" s="80" t="s">
        <v>280</v>
      </c>
      <c r="L694" s="74">
        <f t="shared" si="157"/>
      </c>
      <c r="M694" s="74">
        <f t="shared" ca="1" si="158"/>
      </c>
      <c r="N694" s="74">
        <f ca="1">VLOOKUP(B694,$C$7:$T692,13,FALSE)</f>
      </c>
      <c r="O694" s="74">
        <f t="shared" ca="1" si="159"/>
      </c>
      <c r="P694" s="74">
        <f t="shared" ca="1" si="160"/>
      </c>
      <c r="Q694" s="74">
        <f t="shared" ca="1" si="161"/>
      </c>
      <c r="R694" s="74">
        <f t="shared" si="162"/>
      </c>
      <c r="S694" s="74">
        <f t="shared" ca="1" si="163"/>
      </c>
      <c r="T694" s="74">
        <f t="shared" si="164"/>
      </c>
    </row>
    <row r="695" spans="2:20" x14ac:dyDescent="0.3">
      <c r="B695" s="74">
        <f t="shared" ca="1" si="154"/>
      </c>
      <c r="C695" s="78">
        <f>Кабельный_журнал!P661</f>
      </c>
      <c r="D695" s="74">
        <f t="shared" ca="1" si="155"/>
      </c>
      <c r="E695" s="80" t="s">
        <v>279</v>
      </c>
      <c r="F695" s="74">
        <f t="shared" ca="1" si="151"/>
      </c>
      <c r="G695" s="74">
        <f t="shared" si="152"/>
      </c>
      <c r="H695" s="80" t="s">
        <v>272</v>
      </c>
      <c r="I695" s="74">
        <f t="shared" si="153"/>
      </c>
      <c r="J695" s="74">
        <f t="shared" si="156"/>
      </c>
      <c r="K695" s="80" t="s">
        <v>280</v>
      </c>
      <c r="L695" s="74">
        <f t="shared" si="157"/>
      </c>
      <c r="M695" s="74">
        <f t="shared" ca="1" si="158"/>
      </c>
      <c r="N695" s="74">
        <f ca="1">VLOOKUP(B695,$C$7:$T693,13,FALSE)</f>
      </c>
      <c r="O695" s="74">
        <f t="shared" ca="1" si="159"/>
      </c>
      <c r="P695" s="74">
        <f t="shared" ca="1" si="160"/>
      </c>
      <c r="Q695" s="74">
        <f t="shared" ca="1" si="161"/>
      </c>
      <c r="R695" s="74">
        <f t="shared" si="162"/>
      </c>
      <c r="S695" s="74">
        <f t="shared" ca="1" si="163"/>
      </c>
      <c r="T695" s="74">
        <f t="shared" si="164"/>
      </c>
    </row>
    <row r="696" spans="2:20" x14ac:dyDescent="0.3">
      <c r="B696" s="74">
        <f t="shared" ca="1" si="154"/>
      </c>
      <c r="C696" s="78">
        <f>Кабельный_журнал!P662</f>
      </c>
      <c r="D696" s="74">
        <f t="shared" ca="1" si="155"/>
      </c>
      <c r="E696" s="80" t="s">
        <v>279</v>
      </c>
      <c r="F696" s="74">
        <f t="shared" ca="1" si="151"/>
      </c>
      <c r="G696" s="74">
        <f t="shared" si="152"/>
      </c>
      <c r="H696" s="80" t="s">
        <v>272</v>
      </c>
      <c r="I696" s="74">
        <f t="shared" si="153"/>
      </c>
      <c r="J696" s="74">
        <f t="shared" si="156"/>
      </c>
      <c r="K696" s="80" t="s">
        <v>280</v>
      </c>
      <c r="L696" s="74">
        <f t="shared" si="157"/>
      </c>
      <c r="M696" s="74">
        <f t="shared" ca="1" si="158"/>
      </c>
      <c r="N696" s="74">
        <f ca="1">VLOOKUP(B696,$C$7:$T694,13,FALSE)</f>
      </c>
      <c r="O696" s="74">
        <f t="shared" ca="1" si="159"/>
      </c>
      <c r="P696" s="74">
        <f t="shared" ca="1" si="160"/>
      </c>
      <c r="Q696" s="74">
        <f t="shared" ca="1" si="161"/>
      </c>
      <c r="R696" s="74">
        <f t="shared" si="162"/>
      </c>
      <c r="S696" s="74">
        <f t="shared" ca="1" si="163"/>
      </c>
      <c r="T696" s="74">
        <f t="shared" si="164"/>
      </c>
    </row>
    <row r="697" spans="2:20" x14ac:dyDescent="0.3">
      <c r="B697" s="74">
        <f t="shared" ca="1" si="154"/>
      </c>
      <c r="C697" s="78">
        <f>Кабельный_журнал!P663</f>
      </c>
      <c r="D697" s="74">
        <f t="shared" ca="1" si="155"/>
      </c>
      <c r="E697" s="80" t="s">
        <v>279</v>
      </c>
      <c r="F697" s="74">
        <f t="shared" ca="1" si="151"/>
      </c>
      <c r="G697" s="74">
        <f t="shared" si="152"/>
      </c>
      <c r="H697" s="80" t="s">
        <v>272</v>
      </c>
      <c r="I697" s="74">
        <f t="shared" si="153"/>
      </c>
      <c r="J697" s="74">
        <f t="shared" si="156"/>
      </c>
      <c r="K697" s="80" t="s">
        <v>280</v>
      </c>
      <c r="L697" s="74">
        <f t="shared" si="157"/>
      </c>
      <c r="M697" s="74">
        <f t="shared" ca="1" si="158"/>
      </c>
      <c r="N697" s="74">
        <f ca="1">VLOOKUP(B697,$C$7:$T695,13,FALSE)</f>
      </c>
      <c r="O697" s="74">
        <f t="shared" ca="1" si="159"/>
      </c>
      <c r="P697" s="74">
        <f t="shared" ca="1" si="160"/>
      </c>
      <c r="Q697" s="74">
        <f t="shared" ca="1" si="161"/>
      </c>
      <c r="R697" s="74">
        <f t="shared" si="162"/>
      </c>
      <c r="S697" s="74">
        <f t="shared" ca="1" si="163"/>
      </c>
      <c r="T697" s="74">
        <f t="shared" si="164"/>
      </c>
    </row>
    <row r="698" spans="2:20" x14ac:dyDescent="0.3">
      <c r="B698" s="74">
        <f t="shared" ca="1" si="154"/>
      </c>
      <c r="C698" s="78">
        <f>Кабельный_журнал!P664</f>
      </c>
      <c r="D698" s="74">
        <f t="shared" ca="1" si="155"/>
      </c>
      <c r="E698" s="80" t="s">
        <v>279</v>
      </c>
      <c r="F698" s="74">
        <f t="shared" ca="1" si="151"/>
      </c>
      <c r="G698" s="74">
        <f t="shared" si="152"/>
      </c>
      <c r="H698" s="80" t="s">
        <v>272</v>
      </c>
      <c r="I698" s="74">
        <f t="shared" si="153"/>
      </c>
      <c r="J698" s="74">
        <f t="shared" si="156"/>
      </c>
      <c r="K698" s="80" t="s">
        <v>280</v>
      </c>
      <c r="L698" s="74">
        <f t="shared" si="157"/>
      </c>
      <c r="M698" s="74">
        <f t="shared" ca="1" si="158"/>
      </c>
      <c r="N698" s="74">
        <f ca="1">VLOOKUP(B698,$C$7:$T696,13,FALSE)</f>
      </c>
      <c r="O698" s="74">
        <f t="shared" ca="1" si="159"/>
      </c>
      <c r="P698" s="74">
        <f t="shared" ca="1" si="160"/>
      </c>
      <c r="Q698" s="74">
        <f t="shared" ca="1" si="161"/>
      </c>
      <c r="R698" s="74">
        <f t="shared" si="162"/>
      </c>
      <c r="S698" s="74">
        <f t="shared" ca="1" si="163"/>
      </c>
      <c r="T698" s="74">
        <f t="shared" si="164"/>
      </c>
    </row>
    <row r="699" spans="2:20" x14ac:dyDescent="0.3">
      <c r="B699" s="74">
        <f t="shared" ca="1" si="154"/>
      </c>
      <c r="C699" s="78">
        <f>Кабельный_журнал!P665</f>
      </c>
      <c r="D699" s="74">
        <f t="shared" ca="1" si="155"/>
      </c>
      <c r="E699" s="80" t="s">
        <v>279</v>
      </c>
      <c r="F699" s="74">
        <f t="shared" ca="1" si="151"/>
      </c>
      <c r="G699" s="74">
        <f t="shared" si="152"/>
      </c>
      <c r="H699" s="80" t="s">
        <v>272</v>
      </c>
      <c r="I699" s="74">
        <f t="shared" si="153"/>
      </c>
      <c r="J699" s="74">
        <f t="shared" si="156"/>
      </c>
      <c r="K699" s="80" t="s">
        <v>280</v>
      </c>
      <c r="L699" s="74">
        <f t="shared" si="157"/>
      </c>
      <c r="M699" s="74">
        <f t="shared" ca="1" si="158"/>
      </c>
      <c r="N699" s="74">
        <f ca="1">VLOOKUP(B699,$C$7:$T697,13,FALSE)</f>
      </c>
      <c r="O699" s="74">
        <f t="shared" ca="1" si="159"/>
      </c>
      <c r="P699" s="74">
        <f t="shared" ca="1" si="160"/>
      </c>
      <c r="Q699" s="74">
        <f t="shared" ca="1" si="161"/>
      </c>
      <c r="R699" s="74">
        <f t="shared" si="162"/>
      </c>
      <c r="S699" s="74">
        <f t="shared" ca="1" si="163"/>
      </c>
      <c r="T699" s="74">
        <f t="shared" si="164"/>
      </c>
    </row>
    <row r="700" spans="2:20" x14ac:dyDescent="0.3">
      <c r="B700" s="74">
        <f t="shared" ca="1" si="154"/>
      </c>
      <c r="C700" s="78">
        <f>Кабельный_журнал!P666</f>
      </c>
      <c r="D700" s="74">
        <f t="shared" ca="1" si="155"/>
      </c>
      <c r="E700" s="80" t="s">
        <v>279</v>
      </c>
      <c r="F700" s="74">
        <f t="shared" ca="1" si="151"/>
      </c>
      <c r="G700" s="74">
        <f t="shared" si="152"/>
      </c>
      <c r="H700" s="80" t="s">
        <v>272</v>
      </c>
      <c r="I700" s="74">
        <f t="shared" si="153"/>
      </c>
      <c r="J700" s="74">
        <f t="shared" si="156"/>
      </c>
      <c r="K700" s="80" t="s">
        <v>280</v>
      </c>
      <c r="L700" s="74">
        <f t="shared" si="157"/>
      </c>
      <c r="M700" s="74">
        <f t="shared" ca="1" si="158"/>
      </c>
      <c r="N700" s="74">
        <f ca="1">VLOOKUP(B700,$C$7:$T698,13,FALSE)</f>
      </c>
      <c r="O700" s="74">
        <f t="shared" ca="1" si="159"/>
      </c>
      <c r="P700" s="74">
        <f t="shared" ca="1" si="160"/>
      </c>
      <c r="Q700" s="74">
        <f t="shared" ca="1" si="161"/>
      </c>
      <c r="R700" s="74">
        <f t="shared" si="162"/>
      </c>
      <c r="S700" s="74">
        <f t="shared" ca="1" si="163"/>
      </c>
      <c r="T700" s="74">
        <f t="shared" si="164"/>
      </c>
    </row>
    <row r="701" spans="2:20" x14ac:dyDescent="0.3">
      <c r="B701" s="74">
        <f t="shared" ca="1" si="154"/>
      </c>
      <c r="C701" s="78">
        <f>Кабельный_журнал!P667</f>
      </c>
      <c r="D701" s="74">
        <f t="shared" ca="1" si="155"/>
      </c>
      <c r="E701" s="80" t="s">
        <v>279</v>
      </c>
      <c r="F701" s="74">
        <f t="shared" ca="1" si="151"/>
      </c>
      <c r="G701" s="74">
        <f t="shared" si="152"/>
      </c>
      <c r="H701" s="80" t="s">
        <v>272</v>
      </c>
      <c r="I701" s="74">
        <f t="shared" si="153"/>
      </c>
      <c r="J701" s="74">
        <f t="shared" si="156"/>
      </c>
      <c r="K701" s="80" t="s">
        <v>280</v>
      </c>
      <c r="L701" s="74">
        <f t="shared" si="157"/>
      </c>
      <c r="M701" s="74">
        <f t="shared" ca="1" si="158"/>
      </c>
      <c r="N701" s="74">
        <f ca="1">VLOOKUP(B701,$C$7:$T699,13,FALSE)</f>
      </c>
      <c r="O701" s="74">
        <f t="shared" ca="1" si="159"/>
      </c>
      <c r="P701" s="74">
        <f t="shared" ca="1" si="160"/>
      </c>
      <c r="Q701" s="74">
        <f t="shared" ca="1" si="161"/>
      </c>
      <c r="R701" s="74">
        <f t="shared" si="162"/>
      </c>
      <c r="S701" s="74">
        <f t="shared" ca="1" si="163"/>
      </c>
      <c r="T701" s="74">
        <f t="shared" si="164"/>
      </c>
    </row>
    <row r="702" spans="2:20" x14ac:dyDescent="0.3">
      <c r="B702" s="74">
        <f t="shared" ca="1" si="154"/>
      </c>
      <c r="C702" s="78">
        <f>Кабельный_журнал!P668</f>
      </c>
      <c r="D702" s="74">
        <f t="shared" ca="1" si="155"/>
      </c>
      <c r="E702" s="80" t="s">
        <v>279</v>
      </c>
      <c r="F702" s="74">
        <f t="shared" ca="1" si="151"/>
      </c>
      <c r="G702" s="74">
        <f t="shared" si="152"/>
      </c>
      <c r="H702" s="80" t="s">
        <v>272</v>
      </c>
      <c r="I702" s="74">
        <f t="shared" si="153"/>
      </c>
      <c r="J702" s="74">
        <f t="shared" si="156"/>
      </c>
      <c r="K702" s="80" t="s">
        <v>280</v>
      </c>
      <c r="L702" s="74">
        <f t="shared" si="157"/>
      </c>
      <c r="M702" s="74">
        <f t="shared" ca="1" si="158"/>
      </c>
      <c r="N702" s="74">
        <f ca="1">VLOOKUP(B702,$C$7:$T700,13,FALSE)</f>
      </c>
      <c r="O702" s="74">
        <f t="shared" ca="1" si="159"/>
      </c>
      <c r="P702" s="74">
        <f t="shared" ca="1" si="160"/>
      </c>
      <c r="Q702" s="74">
        <f t="shared" ca="1" si="161"/>
      </c>
      <c r="R702" s="74">
        <f t="shared" si="162"/>
      </c>
      <c r="S702" s="74">
        <f t="shared" ca="1" si="163"/>
      </c>
      <c r="T702" s="74">
        <f t="shared" si="164"/>
      </c>
    </row>
    <row r="703" spans="2:20" x14ac:dyDescent="0.3">
      <c r="B703" s="74">
        <f t="shared" ca="1" si="154"/>
      </c>
      <c r="C703" s="78">
        <f>Кабельный_журнал!P669</f>
      </c>
      <c r="D703" s="74">
        <f t="shared" ca="1" si="155"/>
      </c>
      <c r="E703" s="80" t="s">
        <v>279</v>
      </c>
      <c r="F703" s="74">
        <f t="shared" ca="1" si="151"/>
      </c>
      <c r="G703" s="74">
        <f t="shared" si="152"/>
      </c>
      <c r="H703" s="80" t="s">
        <v>272</v>
      </c>
      <c r="I703" s="74">
        <f t="shared" si="153"/>
      </c>
      <c r="J703" s="74">
        <f t="shared" si="156"/>
      </c>
      <c r="K703" s="80" t="s">
        <v>280</v>
      </c>
      <c r="L703" s="74">
        <f t="shared" si="157"/>
      </c>
      <c r="M703" s="74">
        <f t="shared" ca="1" si="158"/>
      </c>
      <c r="N703" s="74">
        <f ca="1">VLOOKUP(B703,$C$7:$T701,13,FALSE)</f>
      </c>
      <c r="O703" s="74">
        <f t="shared" ca="1" si="159"/>
      </c>
      <c r="P703" s="74">
        <f t="shared" ca="1" si="160"/>
      </c>
      <c r="Q703" s="74">
        <f t="shared" ca="1" si="161"/>
      </c>
      <c r="R703" s="74">
        <f t="shared" si="162"/>
      </c>
      <c r="S703" s="74">
        <f t="shared" ca="1" si="163"/>
      </c>
      <c r="T703" s="74">
        <f t="shared" si="164"/>
      </c>
    </row>
    <row r="704" spans="2:20" x14ac:dyDescent="0.3">
      <c r="B704" s="74">
        <f t="shared" ca="1" si="154"/>
      </c>
      <c r="C704" s="78">
        <f>Кабельный_журнал!P670</f>
      </c>
      <c r="D704" s="74">
        <f t="shared" ca="1" si="155"/>
      </c>
      <c r="E704" s="80" t="s">
        <v>279</v>
      </c>
      <c r="F704" s="74">
        <f t="shared" ca="1" si="151"/>
      </c>
      <c r="G704" s="74">
        <f t="shared" si="152"/>
      </c>
      <c r="H704" s="80" t="s">
        <v>272</v>
      </c>
      <c r="I704" s="74">
        <f t="shared" si="153"/>
      </c>
      <c r="J704" s="74">
        <f t="shared" si="156"/>
      </c>
      <c r="K704" s="80" t="s">
        <v>280</v>
      </c>
      <c r="L704" s="74">
        <f t="shared" si="157"/>
      </c>
      <c r="M704" s="74">
        <f t="shared" ca="1" si="158"/>
      </c>
      <c r="N704" s="74">
        <f ca="1">VLOOKUP(B704,$C$7:$T702,13,FALSE)</f>
      </c>
      <c r="O704" s="74">
        <f t="shared" ca="1" si="159"/>
      </c>
      <c r="P704" s="74">
        <f t="shared" ca="1" si="160"/>
      </c>
      <c r="Q704" s="74">
        <f t="shared" ca="1" si="161"/>
      </c>
      <c r="R704" s="74">
        <f t="shared" si="162"/>
      </c>
      <c r="S704" s="74">
        <f t="shared" ca="1" si="163"/>
      </c>
      <c r="T704" s="74">
        <f t="shared" si="164"/>
      </c>
    </row>
    <row r="705" spans="2:20" x14ac:dyDescent="0.3">
      <c r="B705" s="74">
        <f t="shared" ca="1" si="154"/>
      </c>
      <c r="C705" s="78">
        <f>Кабельный_журнал!P671</f>
      </c>
      <c r="D705" s="74">
        <f t="shared" ca="1" si="155"/>
      </c>
      <c r="E705" s="80" t="s">
        <v>279</v>
      </c>
      <c r="F705" s="74">
        <f t="shared" ca="1" si="151"/>
      </c>
      <c r="G705" s="74">
        <f t="shared" si="152"/>
      </c>
      <c r="H705" s="80" t="s">
        <v>272</v>
      </c>
      <c r="I705" s="74">
        <f t="shared" si="153"/>
      </c>
      <c r="J705" s="74">
        <f t="shared" si="156"/>
      </c>
      <c r="K705" s="80" t="s">
        <v>280</v>
      </c>
      <c r="L705" s="74">
        <f t="shared" si="157"/>
      </c>
      <c r="M705" s="74">
        <f t="shared" ca="1" si="158"/>
      </c>
      <c r="N705" s="74">
        <f ca="1">VLOOKUP(B705,$C$7:$T703,13,FALSE)</f>
      </c>
      <c r="O705" s="74">
        <f t="shared" ca="1" si="159"/>
      </c>
      <c r="P705" s="74">
        <f t="shared" ca="1" si="160"/>
      </c>
      <c r="Q705" s="74">
        <f t="shared" ca="1" si="161"/>
      </c>
      <c r="R705" s="74">
        <f t="shared" si="162"/>
      </c>
      <c r="S705" s="74">
        <f t="shared" ca="1" si="163"/>
      </c>
      <c r="T705" s="74">
        <f t="shared" si="164"/>
      </c>
    </row>
    <row r="706" spans="2:20" x14ac:dyDescent="0.3">
      <c r="B706" s="74">
        <f t="shared" ca="1" si="154"/>
      </c>
      <c r="C706" s="78">
        <f>Кабельный_журнал!P672</f>
      </c>
      <c r="D706" s="74">
        <f t="shared" ca="1" si="155"/>
      </c>
      <c r="E706" s="80" t="s">
        <v>279</v>
      </c>
      <c r="F706" s="74">
        <f t="shared" ca="1" si="151"/>
      </c>
      <c r="G706" s="74">
        <f t="shared" si="152"/>
      </c>
      <c r="H706" s="80" t="s">
        <v>272</v>
      </c>
      <c r="I706" s="74">
        <f t="shared" si="153"/>
      </c>
      <c r="J706" s="74">
        <f t="shared" si="156"/>
      </c>
      <c r="K706" s="80" t="s">
        <v>280</v>
      </c>
      <c r="L706" s="74">
        <f t="shared" si="157"/>
      </c>
      <c r="M706" s="74">
        <f t="shared" ca="1" si="158"/>
      </c>
      <c r="N706" s="74">
        <f ca="1">VLOOKUP(B706,$C$7:$T704,13,FALSE)</f>
      </c>
      <c r="O706" s="74">
        <f t="shared" ca="1" si="159"/>
      </c>
      <c r="P706" s="74">
        <f t="shared" ca="1" si="160"/>
      </c>
      <c r="Q706" s="74">
        <f t="shared" ca="1" si="161"/>
      </c>
      <c r="R706" s="74">
        <f t="shared" si="162"/>
      </c>
      <c r="S706" s="74">
        <f t="shared" ca="1" si="163"/>
      </c>
      <c r="T706" s="74">
        <f t="shared" si="164"/>
      </c>
    </row>
    <row r="707" spans="2:20" x14ac:dyDescent="0.3">
      <c r="B707" s="74">
        <f t="shared" ca="1" si="154"/>
      </c>
      <c r="C707" s="78">
        <f>Кабельный_журнал!P673</f>
      </c>
      <c r="D707" s="74">
        <f t="shared" ca="1" si="155"/>
      </c>
      <c r="E707" s="80" t="s">
        <v>279</v>
      </c>
      <c r="F707" s="74">
        <f t="shared" ca="1" si="151"/>
      </c>
      <c r="G707" s="74">
        <f t="shared" si="152"/>
      </c>
      <c r="H707" s="80" t="s">
        <v>272</v>
      </c>
      <c r="I707" s="74">
        <f t="shared" si="153"/>
      </c>
      <c r="J707" s="74">
        <f t="shared" si="156"/>
      </c>
      <c r="K707" s="80" t="s">
        <v>280</v>
      </c>
      <c r="L707" s="74">
        <f t="shared" si="157"/>
      </c>
      <c r="M707" s="74">
        <f t="shared" ca="1" si="158"/>
      </c>
      <c r="N707" s="74">
        <f ca="1">VLOOKUP(B707,$C$7:$T705,13,FALSE)</f>
      </c>
      <c r="O707" s="74">
        <f t="shared" ca="1" si="159"/>
      </c>
      <c r="P707" s="74">
        <f t="shared" ca="1" si="160"/>
      </c>
      <c r="Q707" s="74">
        <f t="shared" ca="1" si="161"/>
      </c>
      <c r="R707" s="74">
        <f t="shared" si="162"/>
      </c>
      <c r="S707" s="74">
        <f t="shared" ca="1" si="163"/>
      </c>
      <c r="T707" s="74">
        <f t="shared" si="164"/>
      </c>
    </row>
    <row r="708" spans="2:20" x14ac:dyDescent="0.3">
      <c r="B708" s="74">
        <f t="shared" ca="1" si="154"/>
      </c>
      <c r="C708" s="78">
        <f>Кабельный_журнал!P674</f>
      </c>
      <c r="D708" s="74">
        <f t="shared" ca="1" si="155"/>
      </c>
      <c r="E708" s="80" t="s">
        <v>279</v>
      </c>
      <c r="F708" s="74">
        <f t="shared" ca="1" si="151"/>
      </c>
      <c r="G708" s="74">
        <f t="shared" si="152"/>
      </c>
      <c r="H708" s="80" t="s">
        <v>272</v>
      </c>
      <c r="I708" s="74">
        <f t="shared" si="153"/>
      </c>
      <c r="J708" s="74">
        <f t="shared" si="156"/>
      </c>
      <c r="K708" s="80" t="s">
        <v>280</v>
      </c>
      <c r="L708" s="74">
        <f t="shared" si="157"/>
      </c>
      <c r="M708" s="74">
        <f t="shared" ca="1" si="158"/>
      </c>
      <c r="N708" s="74">
        <f ca="1">VLOOKUP(B708,$C$7:$T706,13,FALSE)</f>
      </c>
      <c r="O708" s="74">
        <f t="shared" ca="1" si="159"/>
      </c>
      <c r="P708" s="74">
        <f t="shared" ca="1" si="160"/>
      </c>
      <c r="Q708" s="74">
        <f t="shared" ca="1" si="161"/>
      </c>
      <c r="R708" s="74">
        <f t="shared" si="162"/>
      </c>
      <c r="S708" s="74">
        <f t="shared" ca="1" si="163"/>
      </c>
      <c r="T708" s="74">
        <f t="shared" si="164"/>
      </c>
    </row>
    <row r="709" spans="2:20" x14ac:dyDescent="0.3">
      <c r="B709" s="74">
        <f t="shared" ca="1" si="154"/>
      </c>
      <c r="C709" s="78">
        <f>Кабельный_журнал!P675</f>
      </c>
      <c r="D709" s="74">
        <f t="shared" ca="1" si="155"/>
      </c>
      <c r="E709" s="80" t="s">
        <v>279</v>
      </c>
      <c r="F709" s="74">
        <f t="shared" ca="1" si="151"/>
      </c>
      <c r="G709" s="74">
        <f t="shared" si="152"/>
      </c>
      <c r="H709" s="80" t="s">
        <v>272</v>
      </c>
      <c r="I709" s="74">
        <f t="shared" si="153"/>
      </c>
      <c r="J709" s="74">
        <f t="shared" si="156"/>
      </c>
      <c r="K709" s="80" t="s">
        <v>280</v>
      </c>
      <c r="L709" s="74">
        <f t="shared" si="157"/>
      </c>
      <c r="M709" s="74">
        <f t="shared" ca="1" si="158"/>
      </c>
      <c r="N709" s="74">
        <f ca="1">VLOOKUP(B709,$C$7:$T707,13,FALSE)</f>
      </c>
      <c r="O709" s="74">
        <f t="shared" ca="1" si="159"/>
      </c>
      <c r="P709" s="74">
        <f t="shared" ca="1" si="160"/>
      </c>
      <c r="Q709" s="74">
        <f t="shared" ca="1" si="161"/>
      </c>
      <c r="R709" s="74">
        <f t="shared" si="162"/>
      </c>
      <c r="S709" s="74">
        <f t="shared" ca="1" si="163"/>
      </c>
      <c r="T709" s="74">
        <f t="shared" si="164"/>
      </c>
    </row>
    <row r="710" spans="2:20" x14ac:dyDescent="0.3">
      <c r="B710" s="74">
        <f t="shared" ca="1" si="154"/>
      </c>
      <c r="C710" s="78">
        <f>Кабельный_журнал!P676</f>
      </c>
      <c r="D710" s="74">
        <f t="shared" ca="1" si="155"/>
      </c>
      <c r="E710" s="80" t="s">
        <v>279</v>
      </c>
      <c r="F710" s="74">
        <f t="shared" ca="1" si="151"/>
      </c>
      <c r="G710" s="74">
        <f t="shared" si="152"/>
      </c>
      <c r="H710" s="80" t="s">
        <v>272</v>
      </c>
      <c r="I710" s="74">
        <f t="shared" si="153"/>
      </c>
      <c r="J710" s="74">
        <f t="shared" si="156"/>
      </c>
      <c r="K710" s="80" t="s">
        <v>280</v>
      </c>
      <c r="L710" s="74">
        <f t="shared" si="157"/>
      </c>
      <c r="M710" s="74">
        <f t="shared" ca="1" si="158"/>
      </c>
      <c r="N710" s="74">
        <f ca="1">VLOOKUP(B710,$C$7:$T708,13,FALSE)</f>
      </c>
      <c r="O710" s="74">
        <f t="shared" ca="1" si="159"/>
      </c>
      <c r="P710" s="74">
        <f t="shared" ca="1" si="160"/>
      </c>
      <c r="Q710" s="74">
        <f t="shared" ca="1" si="161"/>
      </c>
      <c r="R710" s="74">
        <f t="shared" si="162"/>
      </c>
      <c r="S710" s="74">
        <f t="shared" ca="1" si="163"/>
      </c>
      <c r="T710" s="74">
        <f t="shared" si="164"/>
      </c>
    </row>
    <row r="711" spans="2:20" x14ac:dyDescent="0.3">
      <c r="B711" s="74">
        <f t="shared" ca="1" si="154"/>
      </c>
      <c r="C711" s="78">
        <f>Кабельный_журнал!P677</f>
      </c>
      <c r="D711" s="74">
        <f t="shared" ca="1" si="155"/>
      </c>
      <c r="E711" s="80" t="s">
        <v>279</v>
      </c>
      <c r="F711" s="74">
        <f t="shared" ca="1" si="151"/>
      </c>
      <c r="G711" s="74">
        <f t="shared" si="152"/>
      </c>
      <c r="H711" s="80" t="s">
        <v>272</v>
      </c>
      <c r="I711" s="74">
        <f t="shared" si="153"/>
      </c>
      <c r="J711" s="74">
        <f t="shared" si="156"/>
      </c>
      <c r="K711" s="80" t="s">
        <v>280</v>
      </c>
      <c r="L711" s="74">
        <f t="shared" si="157"/>
      </c>
      <c r="M711" s="74">
        <f t="shared" ca="1" si="158"/>
      </c>
      <c r="N711" s="74">
        <f ca="1">VLOOKUP(B711,$C$7:$T709,13,FALSE)</f>
      </c>
      <c r="O711" s="74">
        <f t="shared" ca="1" si="159"/>
      </c>
      <c r="P711" s="74">
        <f t="shared" ca="1" si="160"/>
      </c>
      <c r="Q711" s="74">
        <f t="shared" ca="1" si="161"/>
      </c>
      <c r="R711" s="74">
        <f t="shared" si="162"/>
      </c>
      <c r="S711" s="74">
        <f t="shared" ca="1" si="163"/>
      </c>
      <c r="T711" s="74">
        <f t="shared" si="164"/>
      </c>
    </row>
    <row r="712" spans="2:20" x14ac:dyDescent="0.3">
      <c r="B712" s="74">
        <f t="shared" ca="1" si="154"/>
      </c>
      <c r="C712" s="78">
        <f>Кабельный_журнал!P678</f>
      </c>
      <c r="D712" s="74">
        <f t="shared" ca="1" si="155"/>
      </c>
      <c r="E712" s="80" t="s">
        <v>279</v>
      </c>
      <c r="F712" s="74">
        <f t="shared" ca="1" si="151"/>
      </c>
      <c r="G712" s="74">
        <f t="shared" si="152"/>
      </c>
      <c r="H712" s="80" t="s">
        <v>272</v>
      </c>
      <c r="I712" s="74">
        <f t="shared" si="153"/>
      </c>
      <c r="J712" s="74">
        <f t="shared" si="156"/>
      </c>
      <c r="K712" s="80" t="s">
        <v>280</v>
      </c>
      <c r="L712" s="74">
        <f t="shared" si="157"/>
      </c>
      <c r="M712" s="74">
        <f t="shared" ca="1" si="158"/>
      </c>
      <c r="N712" s="74">
        <f ca="1">VLOOKUP(B712,$C$7:$T710,13,FALSE)</f>
      </c>
      <c r="O712" s="74">
        <f t="shared" ca="1" si="159"/>
      </c>
      <c r="P712" s="74">
        <f t="shared" ca="1" si="160"/>
      </c>
      <c r="Q712" s="74">
        <f t="shared" ca="1" si="161"/>
      </c>
      <c r="R712" s="74">
        <f t="shared" si="162"/>
      </c>
      <c r="S712" s="74">
        <f t="shared" ca="1" si="163"/>
      </c>
      <c r="T712" s="74">
        <f t="shared" si="164"/>
      </c>
    </row>
    <row r="713" spans="2:20" x14ac:dyDescent="0.3">
      <c r="B713" s="74">
        <f t="shared" ca="1" si="154"/>
      </c>
      <c r="C713" s="78">
        <f>Кабельный_журнал!P679</f>
      </c>
      <c r="D713" s="74">
        <f t="shared" ca="1" si="155"/>
      </c>
      <c r="E713" s="80" t="s">
        <v>279</v>
      </c>
      <c r="F713" s="74">
        <f t="shared" ca="1" si="151"/>
      </c>
      <c r="G713" s="74">
        <f t="shared" si="152"/>
      </c>
      <c r="H713" s="80" t="s">
        <v>272</v>
      </c>
      <c r="I713" s="74">
        <f t="shared" si="153"/>
      </c>
      <c r="J713" s="74">
        <f t="shared" si="156"/>
      </c>
      <c r="K713" s="80" t="s">
        <v>280</v>
      </c>
      <c r="L713" s="74">
        <f t="shared" si="157"/>
      </c>
      <c r="M713" s="74">
        <f t="shared" ca="1" si="158"/>
      </c>
      <c r="N713" s="74">
        <f ca="1">VLOOKUP(B713,$C$7:$T711,13,FALSE)</f>
      </c>
      <c r="O713" s="74">
        <f t="shared" ca="1" si="159"/>
      </c>
      <c r="P713" s="74">
        <f t="shared" ca="1" si="160"/>
      </c>
      <c r="Q713" s="74">
        <f t="shared" ca="1" si="161"/>
      </c>
      <c r="R713" s="74">
        <f t="shared" si="162"/>
      </c>
      <c r="S713" s="74">
        <f t="shared" ca="1" si="163"/>
      </c>
      <c r="T713" s="74">
        <f t="shared" si="164"/>
      </c>
    </row>
    <row r="714" spans="2:20" x14ac:dyDescent="0.3">
      <c r="B714" s="74">
        <f t="shared" ca="1" si="154"/>
      </c>
      <c r="C714" s="78">
        <f>Кабельный_журнал!P680</f>
      </c>
      <c r="D714" s="74">
        <f t="shared" ca="1" si="155"/>
      </c>
      <c r="E714" s="80" t="s">
        <v>279</v>
      </c>
      <c r="F714" s="74">
        <f t="shared" ca="1" si="151"/>
      </c>
      <c r="G714" s="74">
        <f t="shared" si="152"/>
      </c>
      <c r="H714" s="80" t="s">
        <v>272</v>
      </c>
      <c r="I714" s="74">
        <f t="shared" si="153"/>
      </c>
      <c r="J714" s="74">
        <f t="shared" si="156"/>
      </c>
      <c r="K714" s="80" t="s">
        <v>280</v>
      </c>
      <c r="L714" s="74">
        <f t="shared" si="157"/>
      </c>
      <c r="M714" s="74">
        <f t="shared" ca="1" si="158"/>
      </c>
      <c r="N714" s="74">
        <f ca="1">VLOOKUP(B714,$C$7:$T712,13,FALSE)</f>
      </c>
      <c r="O714" s="74">
        <f t="shared" ca="1" si="159"/>
      </c>
      <c r="P714" s="74">
        <f t="shared" ca="1" si="160"/>
      </c>
      <c r="Q714" s="74">
        <f t="shared" ca="1" si="161"/>
      </c>
      <c r="R714" s="74">
        <f t="shared" si="162"/>
      </c>
      <c r="S714" s="74">
        <f t="shared" ca="1" si="163"/>
      </c>
      <c r="T714" s="74">
        <f t="shared" si="164"/>
      </c>
    </row>
    <row r="715" spans="2:20" x14ac:dyDescent="0.3">
      <c r="B715" s="74">
        <f t="shared" ca="1" si="154"/>
      </c>
      <c r="C715" s="78">
        <f>Кабельный_журнал!P681</f>
      </c>
      <c r="D715" s="74">
        <f t="shared" ca="1" si="155"/>
      </c>
      <c r="E715" s="80" t="s">
        <v>279</v>
      </c>
      <c r="F715" s="74">
        <f t="shared" ca="1" si="151"/>
      </c>
      <c r="G715" s="74">
        <f t="shared" si="152"/>
      </c>
      <c r="H715" s="80" t="s">
        <v>272</v>
      </c>
      <c r="I715" s="74">
        <f t="shared" si="153"/>
      </c>
      <c r="J715" s="74">
        <f t="shared" si="156"/>
      </c>
      <c r="K715" s="80" t="s">
        <v>280</v>
      </c>
      <c r="L715" s="74">
        <f t="shared" si="157"/>
      </c>
      <c r="M715" s="74">
        <f t="shared" ca="1" si="158"/>
      </c>
      <c r="N715" s="74">
        <f ca="1">VLOOKUP(B715,$C$7:$T713,13,FALSE)</f>
      </c>
      <c r="O715" s="74">
        <f t="shared" ca="1" si="159"/>
      </c>
      <c r="P715" s="74">
        <f t="shared" ca="1" si="160"/>
      </c>
      <c r="Q715" s="74">
        <f t="shared" ca="1" si="161"/>
      </c>
      <c r="R715" s="74">
        <f t="shared" si="162"/>
      </c>
      <c r="S715" s="74">
        <f t="shared" ca="1" si="163"/>
      </c>
      <c r="T715" s="74">
        <f t="shared" si="164"/>
      </c>
    </row>
    <row r="716" spans="2:20" x14ac:dyDescent="0.3">
      <c r="B716" s="74">
        <f t="shared" ca="1" si="154"/>
      </c>
      <c r="C716" s="78">
        <f>Кабельный_журнал!P682</f>
      </c>
      <c r="D716" s="74">
        <f t="shared" ca="1" si="155"/>
      </c>
      <c r="E716" s="80" t="s">
        <v>279</v>
      </c>
      <c r="F716" s="74">
        <f t="shared" ca="1" si="151"/>
      </c>
      <c r="G716" s="74">
        <f t="shared" si="152"/>
      </c>
      <c r="H716" s="80" t="s">
        <v>272</v>
      </c>
      <c r="I716" s="74">
        <f t="shared" si="153"/>
      </c>
      <c r="J716" s="74">
        <f t="shared" si="156"/>
      </c>
      <c r="K716" s="80" t="s">
        <v>280</v>
      </c>
      <c r="L716" s="74">
        <f t="shared" si="157"/>
      </c>
      <c r="M716" s="74">
        <f t="shared" ca="1" si="158"/>
      </c>
      <c r="N716" s="74">
        <f ca="1">VLOOKUP(B716,$C$7:$T714,13,FALSE)</f>
      </c>
      <c r="O716" s="74">
        <f t="shared" ca="1" si="159"/>
      </c>
      <c r="P716" s="74">
        <f t="shared" ca="1" si="160"/>
      </c>
      <c r="Q716" s="74">
        <f t="shared" ca="1" si="161"/>
      </c>
      <c r="R716" s="74">
        <f t="shared" si="162"/>
      </c>
      <c r="S716" s="74">
        <f t="shared" ca="1" si="163"/>
      </c>
      <c r="T716" s="74">
        <f t="shared" si="164"/>
      </c>
    </row>
    <row r="717" spans="2:20" x14ac:dyDescent="0.3">
      <c r="B717" s="74">
        <f t="shared" ca="1" si="154"/>
      </c>
      <c r="C717" s="78">
        <f>Кабельный_журнал!P683</f>
      </c>
      <c r="D717" s="74">
        <f t="shared" ca="1" si="155"/>
      </c>
      <c r="E717" s="80" t="s">
        <v>279</v>
      </c>
      <c r="F717" s="74">
        <f t="shared" ca="1" si="151"/>
      </c>
      <c r="G717" s="74">
        <f t="shared" si="152"/>
      </c>
      <c r="H717" s="80" t="s">
        <v>272</v>
      </c>
      <c r="I717" s="74">
        <f t="shared" si="153"/>
      </c>
      <c r="J717" s="74">
        <f t="shared" si="156"/>
      </c>
      <c r="K717" s="80" t="s">
        <v>280</v>
      </c>
      <c r="L717" s="74">
        <f t="shared" si="157"/>
      </c>
      <c r="M717" s="74">
        <f t="shared" ca="1" si="158"/>
      </c>
      <c r="N717" s="74">
        <f ca="1">VLOOKUP(B717,$C$7:$T715,13,FALSE)</f>
      </c>
      <c r="O717" s="74">
        <f t="shared" ca="1" si="159"/>
      </c>
      <c r="P717" s="74">
        <f t="shared" ca="1" si="160"/>
      </c>
      <c r="Q717" s="74">
        <f t="shared" ca="1" si="161"/>
      </c>
      <c r="R717" s="74">
        <f t="shared" si="162"/>
      </c>
      <c r="S717" s="74">
        <f t="shared" ca="1" si="163"/>
      </c>
      <c r="T717" s="74">
        <f t="shared" si="164"/>
      </c>
    </row>
    <row r="718" spans="2:20" x14ac:dyDescent="0.3">
      <c r="B718" s="74">
        <f t="shared" ca="1" si="154"/>
      </c>
      <c r="C718" s="78">
        <f>Кабельный_журнал!P684</f>
      </c>
      <c r="D718" s="74">
        <f t="shared" ca="1" si="155"/>
      </c>
      <c r="E718" s="80" t="s">
        <v>279</v>
      </c>
      <c r="F718" s="74">
        <f t="shared" ca="1" si="151"/>
      </c>
      <c r="G718" s="74">
        <f t="shared" si="152"/>
      </c>
      <c r="H718" s="80" t="s">
        <v>272</v>
      </c>
      <c r="I718" s="74">
        <f t="shared" si="153"/>
      </c>
      <c r="J718" s="74">
        <f t="shared" si="156"/>
      </c>
      <c r="K718" s="80" t="s">
        <v>280</v>
      </c>
      <c r="L718" s="74">
        <f t="shared" si="157"/>
      </c>
      <c r="M718" s="74">
        <f t="shared" ca="1" si="158"/>
      </c>
      <c r="N718" s="74">
        <f ca="1">VLOOKUP(B718,$C$7:$T716,13,FALSE)</f>
      </c>
      <c r="O718" s="74">
        <f t="shared" ca="1" si="159"/>
      </c>
      <c r="P718" s="74">
        <f t="shared" ca="1" si="160"/>
      </c>
      <c r="Q718" s="74">
        <f t="shared" ca="1" si="161"/>
      </c>
      <c r="R718" s="74">
        <f t="shared" si="162"/>
      </c>
      <c r="S718" s="74">
        <f t="shared" ca="1" si="163"/>
      </c>
      <c r="T718" s="74">
        <f t="shared" si="164"/>
      </c>
    </row>
    <row r="719" spans="2:20" x14ac:dyDescent="0.3">
      <c r="B719" s="74">
        <f t="shared" ca="1" si="154"/>
      </c>
      <c r="C719" s="78">
        <f>Кабельный_журнал!P685</f>
      </c>
      <c r="D719" s="74">
        <f t="shared" ca="1" si="155"/>
      </c>
      <c r="E719" s="80" t="s">
        <v>279</v>
      </c>
      <c r="F719" s="74">
        <f t="shared" ca="1" si="151"/>
      </c>
      <c r="G719" s="74">
        <f t="shared" si="152"/>
      </c>
      <c r="H719" s="80" t="s">
        <v>272</v>
      </c>
      <c r="I719" s="74">
        <f t="shared" si="153"/>
      </c>
      <c r="J719" s="74">
        <f t="shared" si="156"/>
      </c>
      <c r="K719" s="80" t="s">
        <v>280</v>
      </c>
      <c r="L719" s="74">
        <f t="shared" si="157"/>
      </c>
      <c r="M719" s="74">
        <f t="shared" ca="1" si="158"/>
      </c>
      <c r="N719" s="74">
        <f ca="1">VLOOKUP(B719,$C$7:$T717,13,FALSE)</f>
      </c>
      <c r="O719" s="74">
        <f t="shared" ca="1" si="159"/>
      </c>
      <c r="P719" s="74">
        <f t="shared" ca="1" si="160"/>
      </c>
      <c r="Q719" s="74">
        <f t="shared" ca="1" si="161"/>
      </c>
      <c r="R719" s="74">
        <f t="shared" si="162"/>
      </c>
      <c r="S719" s="74">
        <f t="shared" ca="1" si="163"/>
      </c>
      <c r="T719" s="74">
        <f t="shared" si="164"/>
      </c>
    </row>
    <row r="720" spans="2:20" x14ac:dyDescent="0.3">
      <c r="B720" s="74">
        <f t="shared" ca="1" si="154"/>
      </c>
      <c r="C720" s="78">
        <f>Кабельный_журнал!P686</f>
      </c>
      <c r="D720" s="74">
        <f t="shared" ca="1" si="155"/>
      </c>
      <c r="E720" s="80" t="s">
        <v>279</v>
      </c>
      <c r="F720" s="74">
        <f t="shared" ca="1" si="151"/>
      </c>
      <c r="G720" s="74">
        <f t="shared" si="152"/>
      </c>
      <c r="H720" s="80" t="s">
        <v>272</v>
      </c>
      <c r="I720" s="74">
        <f t="shared" si="153"/>
      </c>
      <c r="J720" s="74">
        <f t="shared" si="156"/>
      </c>
      <c r="K720" s="80" t="s">
        <v>280</v>
      </c>
      <c r="L720" s="74">
        <f t="shared" si="157"/>
      </c>
      <c r="M720" s="74">
        <f t="shared" ca="1" si="158"/>
      </c>
      <c r="N720" s="74">
        <f ca="1">VLOOKUP(B720,$C$7:$T718,13,FALSE)</f>
      </c>
      <c r="O720" s="74">
        <f t="shared" ca="1" si="159"/>
      </c>
      <c r="P720" s="74">
        <f t="shared" ca="1" si="160"/>
      </c>
      <c r="Q720" s="74">
        <f t="shared" ca="1" si="161"/>
      </c>
      <c r="R720" s="74">
        <f t="shared" si="162"/>
      </c>
      <c r="S720" s="74">
        <f t="shared" ca="1" si="163"/>
      </c>
      <c r="T720" s="74">
        <f t="shared" si="164"/>
      </c>
    </row>
    <row r="721" spans="2:20" x14ac:dyDescent="0.3">
      <c r="B721" s="74">
        <f t="shared" ca="1" si="154"/>
      </c>
      <c r="C721" s="78">
        <f>Кабельный_журнал!P687</f>
      </c>
      <c r="D721" s="74">
        <f t="shared" ca="1" si="155"/>
      </c>
      <c r="E721" s="80" t="s">
        <v>279</v>
      </c>
      <c r="F721" s="74">
        <f t="shared" ca="1" si="151"/>
      </c>
      <c r="G721" s="74">
        <f t="shared" si="152"/>
      </c>
      <c r="H721" s="80" t="s">
        <v>272</v>
      </c>
      <c r="I721" s="74">
        <f t="shared" si="153"/>
      </c>
      <c r="J721" s="74">
        <f t="shared" si="156"/>
      </c>
      <c r="K721" s="80" t="s">
        <v>280</v>
      </c>
      <c r="L721" s="74">
        <f t="shared" si="157"/>
      </c>
      <c r="M721" s="74">
        <f t="shared" ca="1" si="158"/>
      </c>
      <c r="N721" s="74">
        <f ca="1">VLOOKUP(B721,$C$7:$T719,13,FALSE)</f>
      </c>
      <c r="O721" s="74">
        <f t="shared" ca="1" si="159"/>
      </c>
      <c r="P721" s="74">
        <f t="shared" ca="1" si="160"/>
      </c>
      <c r="Q721" s="74">
        <f t="shared" ca="1" si="161"/>
      </c>
      <c r="R721" s="74">
        <f t="shared" si="162"/>
      </c>
      <c r="S721" s="74">
        <f t="shared" ca="1" si="163"/>
      </c>
      <c r="T721" s="74">
        <f t="shared" si="164"/>
      </c>
    </row>
    <row r="722" spans="2:20" x14ac:dyDescent="0.3">
      <c r="B722" s="74">
        <f t="shared" ca="1" si="154"/>
      </c>
      <c r="C722" s="78">
        <f>Кабельный_журнал!P688</f>
      </c>
      <c r="D722" s="74">
        <f t="shared" ca="1" si="155"/>
      </c>
      <c r="E722" s="80" t="s">
        <v>279</v>
      </c>
      <c r="F722" s="74">
        <f t="shared" ca="1" si="151"/>
      </c>
      <c r="G722" s="74">
        <f t="shared" si="152"/>
      </c>
      <c r="H722" s="80" t="s">
        <v>272</v>
      </c>
      <c r="I722" s="74">
        <f t="shared" si="153"/>
      </c>
      <c r="J722" s="74">
        <f t="shared" si="156"/>
      </c>
      <c r="K722" s="80" t="s">
        <v>280</v>
      </c>
      <c r="L722" s="74">
        <f t="shared" si="157"/>
      </c>
      <c r="M722" s="74">
        <f t="shared" ca="1" si="158"/>
      </c>
      <c r="N722" s="74">
        <f ca="1">VLOOKUP(B722,$C$7:$T720,13,FALSE)</f>
      </c>
      <c r="O722" s="74">
        <f t="shared" ca="1" si="159"/>
      </c>
      <c r="P722" s="74">
        <f t="shared" ca="1" si="160"/>
      </c>
      <c r="Q722" s="74">
        <f t="shared" ca="1" si="161"/>
      </c>
      <c r="R722" s="74">
        <f t="shared" si="162"/>
      </c>
      <c r="S722" s="74">
        <f t="shared" ca="1" si="163"/>
      </c>
      <c r="T722" s="74">
        <f t="shared" si="164"/>
      </c>
    </row>
    <row r="723" spans="2:20" x14ac:dyDescent="0.3">
      <c r="B723" s="74">
        <f t="shared" ca="1" si="154"/>
      </c>
      <c r="C723" s="78">
        <f>Кабельный_журнал!P689</f>
      </c>
      <c r="D723" s="74">
        <f t="shared" ca="1" si="155"/>
      </c>
      <c r="E723" s="80" t="s">
        <v>279</v>
      </c>
      <c r="F723" s="74">
        <f t="shared" ca="1" si="151"/>
      </c>
      <c r="G723" s="74">
        <f t="shared" si="152"/>
      </c>
      <c r="H723" s="80" t="s">
        <v>272</v>
      </c>
      <c r="I723" s="74">
        <f t="shared" si="153"/>
      </c>
      <c r="J723" s="74">
        <f t="shared" si="156"/>
      </c>
      <c r="K723" s="80" t="s">
        <v>280</v>
      </c>
      <c r="L723" s="74">
        <f t="shared" si="157"/>
      </c>
      <c r="M723" s="74">
        <f t="shared" ca="1" si="158"/>
      </c>
      <c r="N723" s="74">
        <f ca="1">VLOOKUP(B723,$C$7:$T721,13,FALSE)</f>
      </c>
      <c r="O723" s="74">
        <f t="shared" ca="1" si="159"/>
      </c>
      <c r="P723" s="74">
        <f t="shared" ca="1" si="160"/>
      </c>
      <c r="Q723" s="74">
        <f t="shared" ca="1" si="161"/>
      </c>
      <c r="R723" s="74">
        <f t="shared" si="162"/>
      </c>
      <c r="S723" s="74">
        <f t="shared" ca="1" si="163"/>
      </c>
      <c r="T723" s="74">
        <f t="shared" si="164"/>
      </c>
    </row>
    <row r="724" spans="2:20" x14ac:dyDescent="0.3">
      <c r="B724" s="74">
        <f t="shared" ca="1" si="154"/>
      </c>
      <c r="C724" s="78">
        <f>Кабельный_журнал!P690</f>
      </c>
      <c r="D724" s="74">
        <f t="shared" ca="1" si="155"/>
      </c>
      <c r="E724" s="80" t="s">
        <v>279</v>
      </c>
      <c r="F724" s="74">
        <f t="shared" ca="1" si="151"/>
      </c>
      <c r="G724" s="74">
        <f t="shared" si="152"/>
      </c>
      <c r="H724" s="80" t="s">
        <v>272</v>
      </c>
      <c r="I724" s="74">
        <f t="shared" si="153"/>
      </c>
      <c r="J724" s="74">
        <f t="shared" si="156"/>
      </c>
      <c r="K724" s="80" t="s">
        <v>280</v>
      </c>
      <c r="L724" s="74">
        <f t="shared" si="157"/>
      </c>
      <c r="M724" s="74">
        <f t="shared" ca="1" si="158"/>
      </c>
      <c r="N724" s="74">
        <f ca="1">VLOOKUP(B724,$C$7:$T722,13,FALSE)</f>
      </c>
      <c r="O724" s="74">
        <f t="shared" ca="1" si="159"/>
      </c>
      <c r="P724" s="74">
        <f t="shared" ca="1" si="160"/>
      </c>
      <c r="Q724" s="74">
        <f t="shared" ca="1" si="161"/>
      </c>
      <c r="R724" s="74">
        <f t="shared" si="162"/>
      </c>
      <c r="S724" s="74">
        <f t="shared" ca="1" si="163"/>
      </c>
      <c r="T724" s="74">
        <f t="shared" si="164"/>
      </c>
    </row>
    <row r="725" spans="2:20" x14ac:dyDescent="0.3">
      <c r="B725" s="74">
        <f t="shared" ca="1" si="154"/>
      </c>
      <c r="C725" s="78">
        <f>Кабельный_журнал!P691</f>
      </c>
      <c r="D725" s="74">
        <f t="shared" ca="1" si="155"/>
      </c>
      <c r="E725" s="80" t="s">
        <v>279</v>
      </c>
      <c r="F725" s="74">
        <f t="shared" ca="1" si="151"/>
      </c>
      <c r="G725" s="74">
        <f t="shared" si="152"/>
      </c>
      <c r="H725" s="80" t="s">
        <v>272</v>
      </c>
      <c r="I725" s="74">
        <f t="shared" si="153"/>
      </c>
      <c r="J725" s="74">
        <f t="shared" si="156"/>
      </c>
      <c r="K725" s="80" t="s">
        <v>280</v>
      </c>
      <c r="L725" s="74">
        <f t="shared" si="157"/>
      </c>
      <c r="M725" s="74">
        <f t="shared" ca="1" si="158"/>
      </c>
      <c r="N725" s="74">
        <f ca="1">VLOOKUP(B725,$C$7:$T723,13,FALSE)</f>
      </c>
      <c r="O725" s="74">
        <f t="shared" ca="1" si="159"/>
      </c>
      <c r="P725" s="74">
        <f t="shared" ca="1" si="160"/>
      </c>
      <c r="Q725" s="74">
        <f t="shared" ca="1" si="161"/>
      </c>
      <c r="R725" s="74">
        <f t="shared" si="162"/>
      </c>
      <c r="S725" s="74">
        <f t="shared" ca="1" si="163"/>
      </c>
      <c r="T725" s="74">
        <f t="shared" si="164"/>
      </c>
    </row>
    <row r="726" spans="2:20" x14ac:dyDescent="0.3">
      <c r="B726" s="74">
        <f t="shared" ca="1" si="154"/>
      </c>
      <c r="C726" s="78">
        <f>Кабельный_журнал!P692</f>
      </c>
      <c r="D726" s="74">
        <f t="shared" ca="1" si="155"/>
      </c>
      <c r="E726" s="80" t="s">
        <v>279</v>
      </c>
      <c r="F726" s="74">
        <f t="shared" ca="1" si="151"/>
      </c>
      <c r="G726" s="74">
        <f t="shared" si="152"/>
      </c>
      <c r="H726" s="80" t="s">
        <v>272</v>
      </c>
      <c r="I726" s="74">
        <f t="shared" si="153"/>
      </c>
      <c r="J726" s="74">
        <f t="shared" si="156"/>
      </c>
      <c r="K726" s="80" t="s">
        <v>280</v>
      </c>
      <c r="L726" s="74">
        <f t="shared" si="157"/>
      </c>
      <c r="M726" s="74">
        <f t="shared" ca="1" si="158"/>
      </c>
      <c r="N726" s="74">
        <f ca="1">VLOOKUP(B726,$C$7:$T724,13,FALSE)</f>
      </c>
      <c r="O726" s="74">
        <f t="shared" ca="1" si="159"/>
      </c>
      <c r="P726" s="74">
        <f t="shared" ca="1" si="160"/>
      </c>
      <c r="Q726" s="74">
        <f t="shared" ca="1" si="161"/>
      </c>
      <c r="R726" s="74">
        <f t="shared" si="162"/>
      </c>
      <c r="S726" s="74">
        <f t="shared" ca="1" si="163"/>
      </c>
      <c r="T726" s="74">
        <f t="shared" si="164"/>
      </c>
    </row>
    <row r="727" spans="2:20" x14ac:dyDescent="0.3">
      <c r="B727" s="74">
        <f t="shared" ca="1" si="154"/>
      </c>
      <c r="C727" s="78">
        <f>Кабельный_журнал!P693</f>
      </c>
      <c r="D727" s="74">
        <f t="shared" ca="1" si="155"/>
      </c>
      <c r="E727" s="80" t="s">
        <v>279</v>
      </c>
      <c r="F727" s="74">
        <f t="shared" ca="1" si="151"/>
      </c>
      <c r="G727" s="74">
        <f t="shared" si="152"/>
      </c>
      <c r="H727" s="80" t="s">
        <v>272</v>
      </c>
      <c r="I727" s="74">
        <f t="shared" si="153"/>
      </c>
      <c r="J727" s="74">
        <f t="shared" si="156"/>
      </c>
      <c r="K727" s="80" t="s">
        <v>280</v>
      </c>
      <c r="L727" s="74">
        <f t="shared" si="157"/>
      </c>
      <c r="M727" s="74">
        <f t="shared" ca="1" si="158"/>
      </c>
      <c r="N727" s="74">
        <f ca="1">VLOOKUP(B727,$C$7:$T725,13,FALSE)</f>
      </c>
      <c r="O727" s="74">
        <f t="shared" ca="1" si="159"/>
      </c>
      <c r="P727" s="74">
        <f t="shared" ca="1" si="160"/>
      </c>
      <c r="Q727" s="74">
        <f t="shared" ca="1" si="161"/>
      </c>
      <c r="R727" s="74">
        <f t="shared" si="162"/>
      </c>
      <c r="S727" s="74">
        <f t="shared" ca="1" si="163"/>
      </c>
      <c r="T727" s="74">
        <f t="shared" si="164"/>
      </c>
    </row>
    <row r="728" spans="2:20" x14ac:dyDescent="0.3">
      <c r="B728" s="74">
        <f t="shared" ca="1" si="154"/>
      </c>
      <c r="C728" s="78">
        <f>Кабельный_журнал!P694</f>
      </c>
      <c r="D728" s="74">
        <f t="shared" ca="1" si="155"/>
      </c>
      <c r="E728" s="80" t="s">
        <v>279</v>
      </c>
      <c r="F728" s="74">
        <f t="shared" ca="1" si="151"/>
      </c>
      <c r="G728" s="74">
        <f t="shared" si="152"/>
      </c>
      <c r="H728" s="80" t="s">
        <v>272</v>
      </c>
      <c r="I728" s="74">
        <f t="shared" si="153"/>
      </c>
      <c r="J728" s="74">
        <f t="shared" si="156"/>
      </c>
      <c r="K728" s="80" t="s">
        <v>280</v>
      </c>
      <c r="L728" s="74">
        <f t="shared" si="157"/>
      </c>
      <c r="M728" s="74">
        <f t="shared" ca="1" si="158"/>
      </c>
      <c r="N728" s="74">
        <f ca="1">VLOOKUP(B728,$C$7:$T726,13,FALSE)</f>
      </c>
      <c r="O728" s="74">
        <f t="shared" ca="1" si="159"/>
      </c>
      <c r="P728" s="74">
        <f t="shared" ca="1" si="160"/>
      </c>
      <c r="Q728" s="74">
        <f t="shared" ca="1" si="161"/>
      </c>
      <c r="R728" s="74">
        <f t="shared" si="162"/>
      </c>
      <c r="S728" s="74">
        <f t="shared" ca="1" si="163"/>
      </c>
      <c r="T728" s="74">
        <f t="shared" si="164"/>
      </c>
    </row>
    <row r="729" spans="2:20" x14ac:dyDescent="0.3">
      <c r="B729" s="74">
        <f t="shared" ca="1" si="154"/>
      </c>
      <c r="C729" s="78">
        <f>Кабельный_журнал!P695</f>
      </c>
      <c r="D729" s="74">
        <f t="shared" ca="1" si="155"/>
      </c>
      <c r="E729" s="80" t="s">
        <v>279</v>
      </c>
      <c r="F729" s="74">
        <f t="shared" ca="1" si="151"/>
      </c>
      <c r="G729" s="74">
        <f t="shared" si="152"/>
      </c>
      <c r="H729" s="80" t="s">
        <v>272</v>
      </c>
      <c r="I729" s="74">
        <f t="shared" si="153"/>
      </c>
      <c r="J729" s="74">
        <f t="shared" si="156"/>
      </c>
      <c r="K729" s="80" t="s">
        <v>280</v>
      </c>
      <c r="L729" s="74">
        <f t="shared" si="157"/>
      </c>
      <c r="M729" s="74">
        <f t="shared" ca="1" si="158"/>
      </c>
      <c r="N729" s="74">
        <f ca="1">VLOOKUP(B729,$C$7:$T727,13,FALSE)</f>
      </c>
      <c r="O729" s="74">
        <f t="shared" ca="1" si="159"/>
      </c>
      <c r="P729" s="74">
        <f t="shared" ca="1" si="160"/>
      </c>
      <c r="Q729" s="74">
        <f t="shared" ca="1" si="161"/>
      </c>
      <c r="R729" s="74">
        <f t="shared" si="162"/>
      </c>
      <c r="S729" s="74">
        <f t="shared" ca="1" si="163"/>
      </c>
      <c r="T729" s="74">
        <f t="shared" si="164"/>
      </c>
    </row>
    <row r="730" spans="2:20" x14ac:dyDescent="0.3">
      <c r="B730" s="74">
        <f t="shared" ca="1" si="154"/>
      </c>
      <c r="C730" s="78">
        <f>Кабельный_журнал!P696</f>
      </c>
      <c r="D730" s="74">
        <f t="shared" ca="1" si="155"/>
      </c>
      <c r="E730" s="80" t="s">
        <v>279</v>
      </c>
      <c r="F730" s="74">
        <f t="shared" ca="1" si="151"/>
      </c>
      <c r="G730" s="74">
        <f t="shared" si="152"/>
      </c>
      <c r="H730" s="80" t="s">
        <v>272</v>
      </c>
      <c r="I730" s="74">
        <f t="shared" si="153"/>
      </c>
      <c r="J730" s="74">
        <f t="shared" si="156"/>
      </c>
      <c r="K730" s="80" t="s">
        <v>280</v>
      </c>
      <c r="L730" s="74">
        <f t="shared" si="157"/>
      </c>
      <c r="M730" s="74">
        <f t="shared" ca="1" si="158"/>
      </c>
      <c r="N730" s="74">
        <f ca="1">VLOOKUP(B730,$C$7:$T728,13,FALSE)</f>
      </c>
      <c r="O730" s="74">
        <f t="shared" ca="1" si="159"/>
      </c>
      <c r="P730" s="74">
        <f t="shared" ca="1" si="160"/>
      </c>
      <c r="Q730" s="74">
        <f t="shared" ca="1" si="161"/>
      </c>
      <c r="R730" s="74">
        <f t="shared" si="162"/>
      </c>
      <c r="S730" s="74">
        <f t="shared" ca="1" si="163"/>
      </c>
      <c r="T730" s="74">
        <f t="shared" si="164"/>
      </c>
    </row>
    <row r="731" spans="2:20" x14ac:dyDescent="0.3">
      <c r="B731" s="74">
        <f t="shared" ca="1" si="154"/>
      </c>
      <c r="C731" s="78">
        <f>Кабельный_журнал!P697</f>
      </c>
      <c r="D731" s="74">
        <f t="shared" ca="1" si="155"/>
      </c>
      <c r="E731" s="80" t="s">
        <v>279</v>
      </c>
      <c r="F731" s="74">
        <f t="shared" ca="1" si="151"/>
      </c>
      <c r="G731" s="74">
        <f t="shared" si="152"/>
      </c>
      <c r="H731" s="80" t="s">
        <v>272</v>
      </c>
      <c r="I731" s="74">
        <f t="shared" si="153"/>
      </c>
      <c r="J731" s="74">
        <f t="shared" si="156"/>
      </c>
      <c r="K731" s="80" t="s">
        <v>280</v>
      </c>
      <c r="L731" s="74">
        <f t="shared" si="157"/>
      </c>
      <c r="M731" s="74">
        <f t="shared" ca="1" si="158"/>
      </c>
      <c r="N731" s="74">
        <f ca="1">VLOOKUP(B731,$C$7:$T729,13,FALSE)</f>
      </c>
      <c r="O731" s="74">
        <f t="shared" ca="1" si="159"/>
      </c>
      <c r="P731" s="74">
        <f t="shared" ca="1" si="160"/>
      </c>
      <c r="Q731" s="74">
        <f t="shared" ca="1" si="161"/>
      </c>
      <c r="R731" s="74">
        <f t="shared" si="162"/>
      </c>
      <c r="S731" s="74">
        <f t="shared" ca="1" si="163"/>
      </c>
      <c r="T731" s="74">
        <f t="shared" si="164"/>
      </c>
    </row>
    <row r="732" spans="2:20" x14ac:dyDescent="0.3">
      <c r="B732" s="74">
        <f t="shared" ca="1" si="154"/>
      </c>
      <c r="C732" s="78">
        <f>Кабельный_журнал!P698</f>
      </c>
      <c r="D732" s="74">
        <f t="shared" ca="1" si="155"/>
      </c>
      <c r="E732" s="80" t="s">
        <v>279</v>
      </c>
      <c r="F732" s="74">
        <f t="shared" ca="1" si="151"/>
      </c>
      <c r="G732" s="74">
        <f t="shared" si="152"/>
      </c>
      <c r="H732" s="80" t="s">
        <v>272</v>
      </c>
      <c r="I732" s="74">
        <f t="shared" si="153"/>
      </c>
      <c r="J732" s="74">
        <f t="shared" si="156"/>
      </c>
      <c r="K732" s="80" t="s">
        <v>280</v>
      </c>
      <c r="L732" s="74">
        <f t="shared" si="157"/>
      </c>
      <c r="M732" s="74">
        <f t="shared" ca="1" si="158"/>
      </c>
      <c r="N732" s="74">
        <f ca="1">VLOOKUP(B732,$C$7:$T730,13,FALSE)</f>
      </c>
      <c r="O732" s="74">
        <f t="shared" ca="1" si="159"/>
      </c>
      <c r="P732" s="74">
        <f t="shared" ca="1" si="160"/>
      </c>
      <c r="Q732" s="74">
        <f t="shared" ca="1" si="161"/>
      </c>
      <c r="R732" s="74">
        <f t="shared" si="162"/>
      </c>
      <c r="S732" s="74">
        <f t="shared" ca="1" si="163"/>
      </c>
      <c r="T732" s="74">
        <f t="shared" si="164"/>
      </c>
    </row>
    <row r="733" spans="2:20" x14ac:dyDescent="0.3">
      <c r="B733" s="74">
        <f t="shared" ca="1" si="154"/>
      </c>
      <c r="C733" s="78">
        <f>Кабельный_журнал!P699</f>
      </c>
      <c r="D733" s="74">
        <f t="shared" ca="1" si="155"/>
      </c>
      <c r="E733" s="80" t="s">
        <v>279</v>
      </c>
      <c r="F733" s="74">
        <f t="shared" ca="1" si="151"/>
      </c>
      <c r="G733" s="74">
        <f t="shared" si="152"/>
      </c>
      <c r="H733" s="80" t="s">
        <v>272</v>
      </c>
      <c r="I733" s="74">
        <f t="shared" si="153"/>
      </c>
      <c r="J733" s="74">
        <f t="shared" si="156"/>
      </c>
      <c r="K733" s="80" t="s">
        <v>280</v>
      </c>
      <c r="L733" s="74">
        <f t="shared" si="157"/>
      </c>
      <c r="M733" s="74">
        <f t="shared" ca="1" si="158"/>
      </c>
      <c r="N733" s="74">
        <f ca="1">VLOOKUP(B733,$C$7:$T731,13,FALSE)</f>
      </c>
      <c r="O733" s="74">
        <f t="shared" ca="1" si="159"/>
      </c>
      <c r="P733" s="74">
        <f t="shared" ca="1" si="160"/>
      </c>
      <c r="Q733" s="74">
        <f t="shared" ca="1" si="161"/>
      </c>
      <c r="R733" s="74">
        <f t="shared" si="162"/>
      </c>
      <c r="S733" s="74">
        <f t="shared" ca="1" si="163"/>
      </c>
      <c r="T733" s="74">
        <f t="shared" si="164"/>
      </c>
    </row>
    <row r="734" spans="2:20" x14ac:dyDescent="0.3">
      <c r="B734" s="74">
        <f t="shared" ca="1" si="154"/>
      </c>
      <c r="C734" s="78">
        <f>Кабельный_журнал!P700</f>
      </c>
      <c r="D734" s="74">
        <f t="shared" ca="1" si="155"/>
      </c>
      <c r="E734" s="80" t="s">
        <v>279</v>
      </c>
      <c r="F734" s="74">
        <f t="shared" ca="1" si="151"/>
      </c>
      <c r="G734" s="74">
        <f t="shared" si="152"/>
      </c>
      <c r="H734" s="80" t="s">
        <v>272</v>
      </c>
      <c r="I734" s="74">
        <f t="shared" si="153"/>
      </c>
      <c r="J734" s="74">
        <f t="shared" si="156"/>
      </c>
      <c r="K734" s="80" t="s">
        <v>280</v>
      </c>
      <c r="L734" s="74">
        <f t="shared" si="157"/>
      </c>
      <c r="M734" s="74">
        <f t="shared" ca="1" si="158"/>
      </c>
      <c r="N734" s="74">
        <f ca="1">VLOOKUP(B734,$C$7:$T732,13,FALSE)</f>
      </c>
      <c r="O734" s="74">
        <f t="shared" ca="1" si="159"/>
      </c>
      <c r="P734" s="74">
        <f t="shared" ca="1" si="160"/>
      </c>
      <c r="Q734" s="74">
        <f t="shared" ca="1" si="161"/>
      </c>
      <c r="R734" s="74">
        <f t="shared" si="162"/>
      </c>
      <c r="S734" s="74">
        <f t="shared" ca="1" si="163"/>
      </c>
      <c r="T734" s="74">
        <f t="shared" si="164"/>
      </c>
    </row>
    <row r="735" spans="2:20" x14ac:dyDescent="0.3">
      <c r="B735" s="74">
        <f t="shared" ca="1" si="154"/>
      </c>
      <c r="C735" s="78">
        <f>Кабельный_журнал!P701</f>
      </c>
      <c r="D735" s="74">
        <f t="shared" ca="1" si="155"/>
      </c>
      <c r="E735" s="80" t="s">
        <v>279</v>
      </c>
      <c r="F735" s="74">
        <f t="shared" ca="1" si="151"/>
      </c>
      <c r="G735" s="74">
        <f t="shared" si="152"/>
      </c>
      <c r="H735" s="80" t="s">
        <v>272</v>
      </c>
      <c r="I735" s="74">
        <f t="shared" si="153"/>
      </c>
      <c r="J735" s="74">
        <f t="shared" si="156"/>
      </c>
      <c r="K735" s="80" t="s">
        <v>280</v>
      </c>
      <c r="L735" s="74">
        <f t="shared" si="157"/>
      </c>
      <c r="M735" s="74">
        <f t="shared" ca="1" si="158"/>
      </c>
      <c r="N735" s="74">
        <f ca="1">VLOOKUP(B735,$C$7:$T733,13,FALSE)</f>
      </c>
      <c r="O735" s="74">
        <f t="shared" ca="1" si="159"/>
      </c>
      <c r="P735" s="74">
        <f t="shared" ca="1" si="160"/>
      </c>
      <c r="Q735" s="74">
        <f t="shared" ca="1" si="161"/>
      </c>
      <c r="R735" s="74">
        <f t="shared" si="162"/>
      </c>
      <c r="S735" s="74">
        <f t="shared" ca="1" si="163"/>
      </c>
      <c r="T735" s="74">
        <f t="shared" si="164"/>
      </c>
    </row>
    <row r="736" spans="2:20" x14ac:dyDescent="0.3">
      <c r="B736" s="74">
        <f t="shared" ca="1" si="154"/>
      </c>
      <c r="C736" s="78">
        <f>Кабельный_журнал!P702</f>
      </c>
      <c r="D736" s="74">
        <f t="shared" ca="1" si="155"/>
      </c>
      <c r="E736" s="80" t="s">
        <v>279</v>
      </c>
      <c r="F736" s="74">
        <f t="shared" ca="1" si="151"/>
      </c>
      <c r="G736" s="74">
        <f t="shared" si="152"/>
      </c>
      <c r="H736" s="80" t="s">
        <v>272</v>
      </c>
      <c r="I736" s="74">
        <f t="shared" si="153"/>
      </c>
      <c r="J736" s="74">
        <f t="shared" si="156"/>
      </c>
      <c r="K736" s="80" t="s">
        <v>280</v>
      </c>
      <c r="L736" s="74">
        <f t="shared" si="157"/>
      </c>
      <c r="M736" s="74">
        <f t="shared" ca="1" si="158"/>
      </c>
      <c r="N736" s="74">
        <f ca="1">VLOOKUP(B736,$C$7:$T734,13,FALSE)</f>
      </c>
      <c r="O736" s="74">
        <f t="shared" ca="1" si="159"/>
      </c>
      <c r="P736" s="74">
        <f t="shared" ca="1" si="160"/>
      </c>
      <c r="Q736" s="74">
        <f t="shared" ca="1" si="161"/>
      </c>
      <c r="R736" s="74">
        <f t="shared" si="162"/>
      </c>
      <c r="S736" s="74">
        <f t="shared" ca="1" si="163"/>
      </c>
      <c r="T736" s="74">
        <f t="shared" si="164"/>
      </c>
    </row>
    <row r="737" spans="2:20" x14ac:dyDescent="0.3">
      <c r="B737" s="74">
        <f t="shared" ca="1" si="154"/>
      </c>
      <c r="C737" s="78">
        <f>Кабельный_журнал!P703</f>
      </c>
      <c r="D737" s="74">
        <f t="shared" ca="1" si="155"/>
      </c>
      <c r="E737" s="80" t="s">
        <v>279</v>
      </c>
      <c r="F737" s="74">
        <f t="shared" ca="1" si="151"/>
      </c>
      <c r="G737" s="74">
        <f t="shared" si="152"/>
      </c>
      <c r="H737" s="80" t="s">
        <v>272</v>
      </c>
      <c r="I737" s="74">
        <f t="shared" si="153"/>
      </c>
      <c r="J737" s="74">
        <f t="shared" si="156"/>
      </c>
      <c r="K737" s="80" t="s">
        <v>280</v>
      </c>
      <c r="L737" s="74">
        <f t="shared" si="157"/>
      </c>
      <c r="M737" s="74">
        <f t="shared" ca="1" si="158"/>
      </c>
      <c r="N737" s="74">
        <f ca="1">VLOOKUP(B737,$C$7:$T735,13,FALSE)</f>
      </c>
      <c r="O737" s="74">
        <f t="shared" ca="1" si="159"/>
      </c>
      <c r="P737" s="74">
        <f t="shared" ca="1" si="160"/>
      </c>
      <c r="Q737" s="74">
        <f t="shared" ca="1" si="161"/>
      </c>
      <c r="R737" s="74">
        <f t="shared" si="162"/>
      </c>
      <c r="S737" s="74">
        <f t="shared" ca="1" si="163"/>
      </c>
      <c r="T737" s="74">
        <f t="shared" si="164"/>
      </c>
    </row>
    <row r="738" spans="2:20" x14ac:dyDescent="0.3">
      <c r="B738" s="74">
        <f t="shared" ca="1" si="154"/>
      </c>
      <c r="C738" s="78">
        <f>Кабельный_журнал!P704</f>
      </c>
      <c r="D738" s="74">
        <f t="shared" ca="1" si="155"/>
      </c>
      <c r="E738" s="80" t="s">
        <v>279</v>
      </c>
      <c r="F738" s="74">
        <f t="shared" ca="1" si="151"/>
      </c>
      <c r="G738" s="74">
        <f t="shared" si="152"/>
      </c>
      <c r="H738" s="80" t="s">
        <v>272</v>
      </c>
      <c r="I738" s="74">
        <f t="shared" si="153"/>
      </c>
      <c r="J738" s="74">
        <f t="shared" si="156"/>
      </c>
      <c r="K738" s="80" t="s">
        <v>280</v>
      </c>
      <c r="L738" s="74">
        <f t="shared" si="157"/>
      </c>
      <c r="M738" s="74">
        <f t="shared" ca="1" si="158"/>
      </c>
      <c r="N738" s="74">
        <f ca="1">VLOOKUP(B738,$C$7:$T736,13,FALSE)</f>
      </c>
      <c r="O738" s="74">
        <f t="shared" ca="1" si="159"/>
      </c>
      <c r="P738" s="74">
        <f t="shared" ca="1" si="160"/>
      </c>
      <c r="Q738" s="74">
        <f t="shared" ca="1" si="161"/>
      </c>
      <c r="R738" s="74">
        <f t="shared" si="162"/>
      </c>
      <c r="S738" s="74">
        <f t="shared" ca="1" si="163"/>
      </c>
      <c r="T738" s="74">
        <f t="shared" si="164"/>
      </c>
    </row>
    <row r="739" spans="2:20" x14ac:dyDescent="0.3">
      <c r="B739" s="74">
        <f t="shared" ca="1" si="154"/>
      </c>
      <c r="C739" s="78">
        <f>Кабельный_журнал!P705</f>
      </c>
      <c r="D739" s="74">
        <f t="shared" ca="1" si="155"/>
      </c>
      <c r="E739" s="80" t="s">
        <v>279</v>
      </c>
      <c r="F739" s="74">
        <f t="shared" ca="1" si="151"/>
      </c>
      <c r="G739" s="74">
        <f t="shared" si="152"/>
      </c>
      <c r="H739" s="80" t="s">
        <v>272</v>
      </c>
      <c r="I739" s="74">
        <f t="shared" si="153"/>
      </c>
      <c r="J739" s="74">
        <f t="shared" si="156"/>
      </c>
      <c r="K739" s="80" t="s">
        <v>280</v>
      </c>
      <c r="L739" s="74">
        <f t="shared" si="157"/>
      </c>
      <c r="M739" s="74">
        <f t="shared" ca="1" si="158"/>
      </c>
      <c r="N739" s="74">
        <f ca="1">VLOOKUP(B739,$C$7:$T737,13,FALSE)</f>
      </c>
      <c r="O739" s="74">
        <f t="shared" ca="1" si="159"/>
      </c>
      <c r="P739" s="74">
        <f t="shared" ca="1" si="160"/>
      </c>
      <c r="Q739" s="74">
        <f t="shared" ca="1" si="161"/>
      </c>
      <c r="R739" s="74">
        <f t="shared" si="162"/>
      </c>
      <c r="S739" s="74">
        <f t="shared" ca="1" si="163"/>
      </c>
      <c r="T739" s="74">
        <f t="shared" si="164"/>
      </c>
    </row>
    <row r="740" spans="2:20" x14ac:dyDescent="0.3">
      <c r="B740" s="74">
        <f t="shared" ca="1" si="154"/>
      </c>
      <c r="C740" s="78">
        <f>Кабельный_журнал!P706</f>
      </c>
      <c r="D740" s="74">
        <f t="shared" ca="1" si="155"/>
      </c>
      <c r="E740" s="80" t="s">
        <v>279</v>
      </c>
      <c r="F740" s="74">
        <f t="shared" ca="1" si="151"/>
      </c>
      <c r="G740" s="74">
        <f t="shared" si="152"/>
      </c>
      <c r="H740" s="80" t="s">
        <v>272</v>
      </c>
      <c r="I740" s="74">
        <f t="shared" si="153"/>
      </c>
      <c r="J740" s="74">
        <f t="shared" si="156"/>
      </c>
      <c r="K740" s="80" t="s">
        <v>280</v>
      </c>
      <c r="L740" s="74">
        <f t="shared" si="157"/>
      </c>
      <c r="M740" s="74">
        <f t="shared" ca="1" si="158"/>
      </c>
      <c r="N740" s="74">
        <f ca="1">VLOOKUP(B740,$C$7:$T738,13,FALSE)</f>
      </c>
      <c r="O740" s="74">
        <f t="shared" ca="1" si="159"/>
      </c>
      <c r="P740" s="74">
        <f t="shared" ca="1" si="160"/>
      </c>
      <c r="Q740" s="74">
        <f t="shared" ca="1" si="161"/>
      </c>
      <c r="R740" s="74">
        <f t="shared" si="162"/>
      </c>
      <c r="S740" s="74">
        <f t="shared" ca="1" si="163"/>
      </c>
      <c r="T740" s="74">
        <f t="shared" si="164"/>
      </c>
    </row>
    <row r="741" spans="2:20" x14ac:dyDescent="0.3">
      <c r="B741" s="74">
        <f t="shared" ca="1" si="154"/>
      </c>
      <c r="C741" s="78">
        <f>Кабельный_журнал!P707</f>
      </c>
      <c r="D741" s="74">
        <f t="shared" ca="1" si="155"/>
      </c>
      <c r="E741" s="80" t="s">
        <v>279</v>
      </c>
      <c r="F741" s="74">
        <f t="shared" ca="1" si="151"/>
      </c>
      <c r="G741" s="74">
        <f t="shared" si="152"/>
      </c>
      <c r="H741" s="80" t="s">
        <v>272</v>
      </c>
      <c r="I741" s="74">
        <f t="shared" si="153"/>
      </c>
      <c r="J741" s="74">
        <f t="shared" si="156"/>
      </c>
      <c r="K741" s="80" t="s">
        <v>280</v>
      </c>
      <c r="L741" s="74">
        <f t="shared" si="157"/>
      </c>
      <c r="M741" s="74">
        <f t="shared" ca="1" si="158"/>
      </c>
      <c r="N741" s="74">
        <f ca="1">VLOOKUP(B741,$C$7:$T739,13,FALSE)</f>
      </c>
      <c r="O741" s="74">
        <f t="shared" ca="1" si="159"/>
      </c>
      <c r="P741" s="74">
        <f t="shared" ca="1" si="160"/>
      </c>
      <c r="Q741" s="74">
        <f t="shared" ca="1" si="161"/>
      </c>
      <c r="R741" s="74">
        <f t="shared" si="162"/>
      </c>
      <c r="S741" s="74">
        <f t="shared" ca="1" si="163"/>
      </c>
      <c r="T741" s="74">
        <f t="shared" si="164"/>
      </c>
    </row>
    <row r="742" spans="2:20" x14ac:dyDescent="0.3">
      <c r="B742" s="74">
        <f t="shared" ca="1" si="154"/>
      </c>
      <c r="C742" s="78">
        <f>Кабельный_журнал!P708</f>
      </c>
      <c r="D742" s="74">
        <f t="shared" ca="1" si="155"/>
      </c>
      <c r="E742" s="80" t="s">
        <v>279</v>
      </c>
      <c r="F742" s="74">
        <f t="shared" ca="1" si="151"/>
      </c>
      <c r="G742" s="74">
        <f t="shared" si="152"/>
      </c>
      <c r="H742" s="80" t="s">
        <v>272</v>
      </c>
      <c r="I742" s="74">
        <f t="shared" si="153"/>
      </c>
      <c r="J742" s="74">
        <f t="shared" si="156"/>
      </c>
      <c r="K742" s="80" t="s">
        <v>280</v>
      </c>
      <c r="L742" s="74">
        <f t="shared" si="157"/>
      </c>
      <c r="M742" s="74">
        <f t="shared" ca="1" si="158"/>
      </c>
      <c r="N742" s="74">
        <f ca="1">VLOOKUP(B742,$C$7:$T740,13,FALSE)</f>
      </c>
      <c r="O742" s="74">
        <f t="shared" ca="1" si="159"/>
      </c>
      <c r="P742" s="74">
        <f t="shared" ca="1" si="160"/>
      </c>
      <c r="Q742" s="74">
        <f t="shared" ca="1" si="161"/>
      </c>
      <c r="R742" s="74">
        <f t="shared" si="162"/>
      </c>
      <c r="S742" s="74">
        <f t="shared" ca="1" si="163"/>
      </c>
      <c r="T742" s="74">
        <f t="shared" si="164"/>
      </c>
    </row>
    <row r="743" spans="2:20" x14ac:dyDescent="0.3">
      <c r="B743" s="74">
        <f t="shared" ca="1" si="154"/>
      </c>
      <c r="C743" s="78">
        <f>Кабельный_журнал!P709</f>
      </c>
      <c r="D743" s="74">
        <f t="shared" ca="1" si="155"/>
      </c>
      <c r="E743" s="80" t="s">
        <v>279</v>
      </c>
      <c r="F743" s="74">
        <f t="shared" ref="F743:F806" ca="1" si="165">VLOOKUP(C743,Кабельный_журнал,8,FALSE)</f>
      </c>
      <c r="G743" s="74">
        <f t="shared" ref="G743:G806" si="166">VLOOKUP(C743,Исходные_данные,21,FALSE)</f>
      </c>
      <c r="H743" s="80" t="s">
        <v>272</v>
      </c>
      <c r="I743" s="74">
        <f t="shared" ref="I743:I806" si="167">VLOOKUP(C743,Исходные_данные,22,FALSE)</f>
      </c>
      <c r="J743" s="74">
        <f t="shared" si="156"/>
      </c>
      <c r="K743" s="80" t="s">
        <v>280</v>
      </c>
      <c r="L743" s="74">
        <f t="shared" si="157"/>
      </c>
      <c r="M743" s="74">
        <f t="shared" ca="1" si="158"/>
      </c>
      <c r="N743" s="74">
        <f ca="1">VLOOKUP(B743,$C$7:$T741,13,FALSE)</f>
      </c>
      <c r="O743" s="74">
        <f t="shared" ca="1" si="159"/>
      </c>
      <c r="P743" s="74">
        <f t="shared" ca="1" si="160"/>
      </c>
      <c r="Q743" s="74">
        <f t="shared" ca="1" si="161"/>
      </c>
      <c r="R743" s="74">
        <f t="shared" si="162"/>
      </c>
      <c r="S743" s="74">
        <f t="shared" ca="1" si="163"/>
      </c>
      <c r="T743" s="74">
        <f t="shared" si="164"/>
      </c>
    </row>
    <row r="744" spans="2:20" x14ac:dyDescent="0.3">
      <c r="B744" s="74">
        <f t="shared" ref="B744:B807" ca="1" si="168">VLOOKUP(C744,Кабельный_журнал,2,FALSE)</f>
      </c>
      <c r="C744" s="78">
        <f>Кабельный_журнал!P710</f>
      </c>
      <c r="D744" s="74">
        <f t="shared" ref="D744:D807" ca="1" si="169">B744&amp;"-"&amp;C744</f>
      </c>
      <c r="E744" s="80" t="s">
        <v>279</v>
      </c>
      <c r="F744" s="74">
        <f t="shared" ca="1" si="165"/>
      </c>
      <c r="G744" s="74">
        <f t="shared" si="166"/>
      </c>
      <c r="H744" s="80" t="s">
        <v>272</v>
      </c>
      <c r="I744" s="74">
        <f t="shared" si="167"/>
      </c>
      <c r="J744" s="74">
        <f t="shared" ref="J744:J807" si="170">I744</f>
      </c>
      <c r="K744" s="80" t="s">
        <v>280</v>
      </c>
      <c r="L744" s="74">
        <f t="shared" ref="L744:L807" si="171">VLOOKUP(K744,$K$2:$L$3,2,FALSE)</f>
      </c>
      <c r="M744" s="74">
        <f t="shared" ref="M744:M807" ca="1" si="172">L744*F744*(1/I744+1/J744)</f>
      </c>
      <c r="N744" s="74">
        <f ca="1">VLOOKUP(B744,$C$7:$T742,13,FALSE)</f>
      </c>
      <c r="O744" s="74">
        <f t="shared" ref="O744:O807" ca="1" si="173">L744+M744</f>
      </c>
      <c r="P744" s="74">
        <f t="shared" ref="P744:P807" ca="1" si="174">220/O744</f>
      </c>
      <c r="Q744" s="74">
        <f t="shared" ref="Q744:Q807" ca="1" si="175">O744/G744</f>
      </c>
      <c r="R744" s="74">
        <f t="shared" ref="R744:R807" si="176">VLOOKUP(H744,$W$2:$Y$12,3,FALSE)</f>
      </c>
      <c r="S744" s="74">
        <f t="shared" ref="S744:S807" ca="1" si="177">_xlfn.IFS(E744="щит",IF(P744&gt;R744,"Увел сеч",IF(T744&gt;P744,"Увел сеч","tср&lt;5с")),E744="потреб",IF(P744&gt;R744,"Увел сеч",IF(T744&gt;P744,"Увел сеч","tср&lt;0.4с")))</f>
      </c>
      <c r="T744" s="74">
        <f t="shared" ref="T744:T807" si="178">G744*VLOOKUP(H744,$W$2:$Y$12,2,FALSE)</f>
      </c>
    </row>
    <row r="745" spans="2:20" x14ac:dyDescent="0.3">
      <c r="B745" s="74">
        <f t="shared" ca="1" si="168"/>
      </c>
      <c r="C745" s="78">
        <f>Кабельный_журнал!P711</f>
      </c>
      <c r="D745" s="74">
        <f t="shared" ca="1" si="169"/>
      </c>
      <c r="E745" s="80" t="s">
        <v>279</v>
      </c>
      <c r="F745" s="74">
        <f t="shared" ca="1" si="165"/>
      </c>
      <c r="G745" s="74">
        <f t="shared" si="166"/>
      </c>
      <c r="H745" s="80" t="s">
        <v>272</v>
      </c>
      <c r="I745" s="74">
        <f t="shared" si="167"/>
      </c>
      <c r="J745" s="74">
        <f t="shared" si="170"/>
      </c>
      <c r="K745" s="80" t="s">
        <v>280</v>
      </c>
      <c r="L745" s="74">
        <f t="shared" si="171"/>
      </c>
      <c r="M745" s="74">
        <f t="shared" ca="1" si="172"/>
      </c>
      <c r="N745" s="74">
        <f ca="1">VLOOKUP(B745,$C$7:$T743,13,FALSE)</f>
      </c>
      <c r="O745" s="74">
        <f t="shared" ca="1" si="173"/>
      </c>
      <c r="P745" s="74">
        <f t="shared" ca="1" si="174"/>
      </c>
      <c r="Q745" s="74">
        <f t="shared" ca="1" si="175"/>
      </c>
      <c r="R745" s="74">
        <f t="shared" si="176"/>
      </c>
      <c r="S745" s="74">
        <f t="shared" ca="1" si="177"/>
      </c>
      <c r="T745" s="74">
        <f t="shared" si="178"/>
      </c>
    </row>
    <row r="746" spans="2:20" x14ac:dyDescent="0.3">
      <c r="B746" s="74">
        <f t="shared" ca="1" si="168"/>
      </c>
      <c r="C746" s="78">
        <f>Кабельный_журнал!P712</f>
      </c>
      <c r="D746" s="74">
        <f t="shared" ca="1" si="169"/>
      </c>
      <c r="E746" s="80" t="s">
        <v>279</v>
      </c>
      <c r="F746" s="74">
        <f t="shared" ca="1" si="165"/>
      </c>
      <c r="G746" s="74">
        <f t="shared" si="166"/>
      </c>
      <c r="H746" s="80" t="s">
        <v>272</v>
      </c>
      <c r="I746" s="74">
        <f t="shared" si="167"/>
      </c>
      <c r="J746" s="74">
        <f t="shared" si="170"/>
      </c>
      <c r="K746" s="80" t="s">
        <v>280</v>
      </c>
      <c r="L746" s="74">
        <f t="shared" si="171"/>
      </c>
      <c r="M746" s="74">
        <f t="shared" ca="1" si="172"/>
      </c>
      <c r="N746" s="74">
        <f ca="1">VLOOKUP(B746,$C$7:$T744,13,FALSE)</f>
      </c>
      <c r="O746" s="74">
        <f t="shared" ca="1" si="173"/>
      </c>
      <c r="P746" s="74">
        <f t="shared" ca="1" si="174"/>
      </c>
      <c r="Q746" s="74">
        <f t="shared" ca="1" si="175"/>
      </c>
      <c r="R746" s="74">
        <f t="shared" si="176"/>
      </c>
      <c r="S746" s="74">
        <f t="shared" ca="1" si="177"/>
      </c>
      <c r="T746" s="74">
        <f t="shared" si="178"/>
      </c>
    </row>
    <row r="747" spans="2:20" x14ac:dyDescent="0.3">
      <c r="B747" s="74">
        <f t="shared" ca="1" si="168"/>
      </c>
      <c r="C747" s="78">
        <f>Кабельный_журнал!P713</f>
      </c>
      <c r="D747" s="74">
        <f t="shared" ca="1" si="169"/>
      </c>
      <c r="E747" s="80" t="s">
        <v>279</v>
      </c>
      <c r="F747" s="74">
        <f t="shared" ca="1" si="165"/>
      </c>
      <c r="G747" s="74">
        <f t="shared" si="166"/>
      </c>
      <c r="H747" s="80" t="s">
        <v>272</v>
      </c>
      <c r="I747" s="74">
        <f t="shared" si="167"/>
      </c>
      <c r="J747" s="74">
        <f t="shared" si="170"/>
      </c>
      <c r="K747" s="80" t="s">
        <v>280</v>
      </c>
      <c r="L747" s="74">
        <f t="shared" si="171"/>
      </c>
      <c r="M747" s="74">
        <f t="shared" ca="1" si="172"/>
      </c>
      <c r="N747" s="74">
        <f ca="1">VLOOKUP(B747,$C$7:$T745,13,FALSE)</f>
      </c>
      <c r="O747" s="74">
        <f t="shared" ca="1" si="173"/>
      </c>
      <c r="P747" s="74">
        <f t="shared" ca="1" si="174"/>
      </c>
      <c r="Q747" s="74">
        <f t="shared" ca="1" si="175"/>
      </c>
      <c r="R747" s="74">
        <f t="shared" si="176"/>
      </c>
      <c r="S747" s="74">
        <f t="shared" ca="1" si="177"/>
      </c>
      <c r="T747" s="74">
        <f t="shared" si="178"/>
      </c>
    </row>
    <row r="748" spans="2:20" x14ac:dyDescent="0.3">
      <c r="B748" s="74">
        <f t="shared" ca="1" si="168"/>
      </c>
      <c r="C748" s="78">
        <f>Кабельный_журнал!P714</f>
      </c>
      <c r="D748" s="74">
        <f t="shared" ca="1" si="169"/>
      </c>
      <c r="E748" s="80" t="s">
        <v>279</v>
      </c>
      <c r="F748" s="74">
        <f t="shared" ca="1" si="165"/>
      </c>
      <c r="G748" s="74">
        <f t="shared" si="166"/>
      </c>
      <c r="H748" s="80" t="s">
        <v>272</v>
      </c>
      <c r="I748" s="74">
        <f t="shared" si="167"/>
      </c>
      <c r="J748" s="74">
        <f t="shared" si="170"/>
      </c>
      <c r="K748" s="80" t="s">
        <v>280</v>
      </c>
      <c r="L748" s="74">
        <f t="shared" si="171"/>
      </c>
      <c r="M748" s="74">
        <f t="shared" ca="1" si="172"/>
      </c>
      <c r="N748" s="74">
        <f ca="1">VLOOKUP(B748,$C$7:$T746,13,FALSE)</f>
      </c>
      <c r="O748" s="74">
        <f t="shared" ca="1" si="173"/>
      </c>
      <c r="P748" s="74">
        <f t="shared" ca="1" si="174"/>
      </c>
      <c r="Q748" s="74">
        <f t="shared" ca="1" si="175"/>
      </c>
      <c r="R748" s="74">
        <f t="shared" si="176"/>
      </c>
      <c r="S748" s="74">
        <f t="shared" ca="1" si="177"/>
      </c>
      <c r="T748" s="74">
        <f t="shared" si="178"/>
      </c>
    </row>
    <row r="749" spans="2:20" x14ac:dyDescent="0.3">
      <c r="B749" s="74">
        <f t="shared" ca="1" si="168"/>
      </c>
      <c r="C749" s="78">
        <f>Кабельный_журнал!P715</f>
      </c>
      <c r="D749" s="74">
        <f t="shared" ca="1" si="169"/>
      </c>
      <c r="E749" s="80" t="s">
        <v>279</v>
      </c>
      <c r="F749" s="74">
        <f t="shared" ca="1" si="165"/>
      </c>
      <c r="G749" s="74">
        <f t="shared" si="166"/>
      </c>
      <c r="H749" s="80" t="s">
        <v>272</v>
      </c>
      <c r="I749" s="74">
        <f t="shared" si="167"/>
      </c>
      <c r="J749" s="74">
        <f t="shared" si="170"/>
      </c>
      <c r="K749" s="80" t="s">
        <v>280</v>
      </c>
      <c r="L749" s="74">
        <f t="shared" si="171"/>
      </c>
      <c r="M749" s="74">
        <f t="shared" ca="1" si="172"/>
      </c>
      <c r="N749" s="74">
        <f ca="1">VLOOKUP(B749,$C$7:$T747,13,FALSE)</f>
      </c>
      <c r="O749" s="74">
        <f t="shared" ca="1" si="173"/>
      </c>
      <c r="P749" s="74">
        <f t="shared" ca="1" si="174"/>
      </c>
      <c r="Q749" s="74">
        <f t="shared" ca="1" si="175"/>
      </c>
      <c r="R749" s="74">
        <f t="shared" si="176"/>
      </c>
      <c r="S749" s="74">
        <f t="shared" ca="1" si="177"/>
      </c>
      <c r="T749" s="74">
        <f t="shared" si="178"/>
      </c>
    </row>
    <row r="750" spans="2:20" x14ac:dyDescent="0.3">
      <c r="B750" s="74">
        <f t="shared" ca="1" si="168"/>
      </c>
      <c r="C750" s="78">
        <f>Кабельный_журнал!P716</f>
      </c>
      <c r="D750" s="74">
        <f t="shared" ca="1" si="169"/>
      </c>
      <c r="E750" s="80" t="s">
        <v>279</v>
      </c>
      <c r="F750" s="74">
        <f t="shared" ca="1" si="165"/>
      </c>
      <c r="G750" s="74">
        <f t="shared" si="166"/>
      </c>
      <c r="H750" s="80" t="s">
        <v>272</v>
      </c>
      <c r="I750" s="74">
        <f t="shared" si="167"/>
      </c>
      <c r="J750" s="74">
        <f t="shared" si="170"/>
      </c>
      <c r="K750" s="80" t="s">
        <v>280</v>
      </c>
      <c r="L750" s="74">
        <f t="shared" si="171"/>
      </c>
      <c r="M750" s="74">
        <f t="shared" ca="1" si="172"/>
      </c>
      <c r="N750" s="74">
        <f ca="1">VLOOKUP(B750,$C$7:$T748,13,FALSE)</f>
      </c>
      <c r="O750" s="74">
        <f t="shared" ca="1" si="173"/>
      </c>
      <c r="P750" s="74">
        <f t="shared" ca="1" si="174"/>
      </c>
      <c r="Q750" s="74">
        <f t="shared" ca="1" si="175"/>
      </c>
      <c r="R750" s="74">
        <f t="shared" si="176"/>
      </c>
      <c r="S750" s="74">
        <f t="shared" ca="1" si="177"/>
      </c>
      <c r="T750" s="74">
        <f t="shared" si="178"/>
      </c>
    </row>
    <row r="751" spans="2:20" x14ac:dyDescent="0.3">
      <c r="B751" s="74">
        <f t="shared" ca="1" si="168"/>
      </c>
      <c r="C751" s="78">
        <f>Кабельный_журнал!P717</f>
      </c>
      <c r="D751" s="74">
        <f t="shared" ca="1" si="169"/>
      </c>
      <c r="E751" s="80" t="s">
        <v>279</v>
      </c>
      <c r="F751" s="74">
        <f t="shared" ca="1" si="165"/>
      </c>
      <c r="G751" s="74">
        <f t="shared" si="166"/>
      </c>
      <c r="H751" s="80" t="s">
        <v>272</v>
      </c>
      <c r="I751" s="74">
        <f t="shared" si="167"/>
      </c>
      <c r="J751" s="74">
        <f t="shared" si="170"/>
      </c>
      <c r="K751" s="80" t="s">
        <v>280</v>
      </c>
      <c r="L751" s="74">
        <f t="shared" si="171"/>
      </c>
      <c r="M751" s="74">
        <f t="shared" ca="1" si="172"/>
      </c>
      <c r="N751" s="74">
        <f ca="1">VLOOKUP(B751,$C$7:$T749,13,FALSE)</f>
      </c>
      <c r="O751" s="74">
        <f t="shared" ca="1" si="173"/>
      </c>
      <c r="P751" s="74">
        <f t="shared" ca="1" si="174"/>
      </c>
      <c r="Q751" s="74">
        <f t="shared" ca="1" si="175"/>
      </c>
      <c r="R751" s="74">
        <f t="shared" si="176"/>
      </c>
      <c r="S751" s="74">
        <f t="shared" ca="1" si="177"/>
      </c>
      <c r="T751" s="74">
        <f t="shared" si="178"/>
      </c>
    </row>
    <row r="752" spans="2:20" x14ac:dyDescent="0.3">
      <c r="B752" s="74">
        <f t="shared" ca="1" si="168"/>
      </c>
      <c r="C752" s="78">
        <f>Кабельный_журнал!P718</f>
      </c>
      <c r="D752" s="74">
        <f t="shared" ca="1" si="169"/>
      </c>
      <c r="E752" s="80" t="s">
        <v>279</v>
      </c>
      <c r="F752" s="74">
        <f t="shared" ca="1" si="165"/>
      </c>
      <c r="G752" s="74">
        <f t="shared" si="166"/>
      </c>
      <c r="H752" s="80" t="s">
        <v>272</v>
      </c>
      <c r="I752" s="74">
        <f t="shared" si="167"/>
      </c>
      <c r="J752" s="74">
        <f t="shared" si="170"/>
      </c>
      <c r="K752" s="80" t="s">
        <v>280</v>
      </c>
      <c r="L752" s="74">
        <f t="shared" si="171"/>
      </c>
      <c r="M752" s="74">
        <f t="shared" ca="1" si="172"/>
      </c>
      <c r="N752" s="74">
        <f ca="1">VLOOKUP(B752,$C$7:$T750,13,FALSE)</f>
      </c>
      <c r="O752" s="74">
        <f t="shared" ca="1" si="173"/>
      </c>
      <c r="P752" s="74">
        <f t="shared" ca="1" si="174"/>
      </c>
      <c r="Q752" s="74">
        <f t="shared" ca="1" si="175"/>
      </c>
      <c r="R752" s="74">
        <f t="shared" si="176"/>
      </c>
      <c r="S752" s="74">
        <f t="shared" ca="1" si="177"/>
      </c>
      <c r="T752" s="74">
        <f t="shared" si="178"/>
      </c>
    </row>
    <row r="753" spans="2:20" x14ac:dyDescent="0.3">
      <c r="B753" s="74">
        <f t="shared" ca="1" si="168"/>
      </c>
      <c r="C753" s="78">
        <f>Кабельный_журнал!P719</f>
      </c>
      <c r="D753" s="74">
        <f t="shared" ca="1" si="169"/>
      </c>
      <c r="E753" s="80" t="s">
        <v>279</v>
      </c>
      <c r="F753" s="74">
        <f t="shared" ca="1" si="165"/>
      </c>
      <c r="G753" s="74">
        <f t="shared" si="166"/>
      </c>
      <c r="H753" s="80" t="s">
        <v>272</v>
      </c>
      <c r="I753" s="74">
        <f t="shared" si="167"/>
      </c>
      <c r="J753" s="74">
        <f t="shared" si="170"/>
      </c>
      <c r="K753" s="80" t="s">
        <v>280</v>
      </c>
      <c r="L753" s="74">
        <f t="shared" si="171"/>
      </c>
      <c r="M753" s="74">
        <f t="shared" ca="1" si="172"/>
      </c>
      <c r="N753" s="74">
        <f ca="1">VLOOKUP(B753,$C$7:$T751,13,FALSE)</f>
      </c>
      <c r="O753" s="74">
        <f t="shared" ca="1" si="173"/>
      </c>
      <c r="P753" s="74">
        <f t="shared" ca="1" si="174"/>
      </c>
      <c r="Q753" s="74">
        <f t="shared" ca="1" si="175"/>
      </c>
      <c r="R753" s="74">
        <f t="shared" si="176"/>
      </c>
      <c r="S753" s="74">
        <f t="shared" ca="1" si="177"/>
      </c>
      <c r="T753" s="74">
        <f t="shared" si="178"/>
      </c>
    </row>
    <row r="754" spans="2:20" x14ac:dyDescent="0.3">
      <c r="B754" s="74">
        <f t="shared" ca="1" si="168"/>
      </c>
      <c r="C754" s="78">
        <f>Кабельный_журнал!P720</f>
      </c>
      <c r="D754" s="74">
        <f t="shared" ca="1" si="169"/>
      </c>
      <c r="E754" s="80" t="s">
        <v>279</v>
      </c>
      <c r="F754" s="74">
        <f t="shared" ca="1" si="165"/>
      </c>
      <c r="G754" s="74">
        <f t="shared" si="166"/>
      </c>
      <c r="H754" s="80" t="s">
        <v>272</v>
      </c>
      <c r="I754" s="74">
        <f t="shared" si="167"/>
      </c>
      <c r="J754" s="74">
        <f t="shared" si="170"/>
      </c>
      <c r="K754" s="80" t="s">
        <v>280</v>
      </c>
      <c r="L754" s="74">
        <f t="shared" si="171"/>
      </c>
      <c r="M754" s="74">
        <f t="shared" ca="1" si="172"/>
      </c>
      <c r="N754" s="74">
        <f ca="1">VLOOKUP(B754,$C$7:$T752,13,FALSE)</f>
      </c>
      <c r="O754" s="74">
        <f t="shared" ca="1" si="173"/>
      </c>
      <c r="P754" s="74">
        <f t="shared" ca="1" si="174"/>
      </c>
      <c r="Q754" s="74">
        <f t="shared" ca="1" si="175"/>
      </c>
      <c r="R754" s="74">
        <f t="shared" si="176"/>
      </c>
      <c r="S754" s="74">
        <f t="shared" ca="1" si="177"/>
      </c>
      <c r="T754" s="74">
        <f t="shared" si="178"/>
      </c>
    </row>
    <row r="755" spans="2:20" x14ac:dyDescent="0.3">
      <c r="B755" s="74">
        <f t="shared" ca="1" si="168"/>
      </c>
      <c r="C755" s="78">
        <f>Кабельный_журнал!P721</f>
      </c>
      <c r="D755" s="74">
        <f t="shared" ca="1" si="169"/>
      </c>
      <c r="E755" s="80" t="s">
        <v>279</v>
      </c>
      <c r="F755" s="74">
        <f t="shared" ca="1" si="165"/>
      </c>
      <c r="G755" s="74">
        <f t="shared" si="166"/>
      </c>
      <c r="H755" s="80" t="s">
        <v>272</v>
      </c>
      <c r="I755" s="74">
        <f t="shared" si="167"/>
      </c>
      <c r="J755" s="74">
        <f t="shared" si="170"/>
      </c>
      <c r="K755" s="80" t="s">
        <v>280</v>
      </c>
      <c r="L755" s="74">
        <f t="shared" si="171"/>
      </c>
      <c r="M755" s="74">
        <f t="shared" ca="1" si="172"/>
      </c>
      <c r="N755" s="74">
        <f ca="1">VLOOKUP(B755,$C$7:$T753,13,FALSE)</f>
      </c>
      <c r="O755" s="74">
        <f t="shared" ca="1" si="173"/>
      </c>
      <c r="P755" s="74">
        <f t="shared" ca="1" si="174"/>
      </c>
      <c r="Q755" s="74">
        <f t="shared" ca="1" si="175"/>
      </c>
      <c r="R755" s="74">
        <f t="shared" si="176"/>
      </c>
      <c r="S755" s="74">
        <f t="shared" ca="1" si="177"/>
      </c>
      <c r="T755" s="74">
        <f t="shared" si="178"/>
      </c>
    </row>
    <row r="756" spans="2:20" x14ac:dyDescent="0.3">
      <c r="B756" s="74">
        <f t="shared" ca="1" si="168"/>
      </c>
      <c r="C756" s="78">
        <f>Кабельный_журнал!P722</f>
      </c>
      <c r="D756" s="74">
        <f t="shared" ca="1" si="169"/>
      </c>
      <c r="E756" s="80" t="s">
        <v>279</v>
      </c>
      <c r="F756" s="74">
        <f t="shared" ca="1" si="165"/>
      </c>
      <c r="G756" s="74">
        <f t="shared" si="166"/>
      </c>
      <c r="H756" s="80" t="s">
        <v>272</v>
      </c>
      <c r="I756" s="74">
        <f t="shared" si="167"/>
      </c>
      <c r="J756" s="74">
        <f t="shared" si="170"/>
      </c>
      <c r="K756" s="80" t="s">
        <v>280</v>
      </c>
      <c r="L756" s="74">
        <f t="shared" si="171"/>
      </c>
      <c r="M756" s="74">
        <f t="shared" ca="1" si="172"/>
      </c>
      <c r="N756" s="74">
        <f ca="1">VLOOKUP(B756,$C$7:$T754,13,FALSE)</f>
      </c>
      <c r="O756" s="74">
        <f t="shared" ca="1" si="173"/>
      </c>
      <c r="P756" s="74">
        <f t="shared" ca="1" si="174"/>
      </c>
      <c r="Q756" s="74">
        <f t="shared" ca="1" si="175"/>
      </c>
      <c r="R756" s="74">
        <f t="shared" si="176"/>
      </c>
      <c r="S756" s="74">
        <f t="shared" ca="1" si="177"/>
      </c>
      <c r="T756" s="74">
        <f t="shared" si="178"/>
      </c>
    </row>
    <row r="757" spans="2:20" x14ac:dyDescent="0.3">
      <c r="B757" s="74">
        <f t="shared" ca="1" si="168"/>
      </c>
      <c r="C757" s="78">
        <f>Кабельный_журнал!P723</f>
      </c>
      <c r="D757" s="74">
        <f t="shared" ca="1" si="169"/>
      </c>
      <c r="E757" s="80" t="s">
        <v>279</v>
      </c>
      <c r="F757" s="74">
        <f t="shared" ca="1" si="165"/>
      </c>
      <c r="G757" s="74">
        <f t="shared" si="166"/>
      </c>
      <c r="H757" s="80" t="s">
        <v>272</v>
      </c>
      <c r="I757" s="74">
        <f t="shared" si="167"/>
      </c>
      <c r="J757" s="74">
        <f t="shared" si="170"/>
      </c>
      <c r="K757" s="80" t="s">
        <v>280</v>
      </c>
      <c r="L757" s="74">
        <f t="shared" si="171"/>
      </c>
      <c r="M757" s="74">
        <f t="shared" ca="1" si="172"/>
      </c>
      <c r="N757" s="74">
        <f ca="1">VLOOKUP(B757,$C$7:$T755,13,FALSE)</f>
      </c>
      <c r="O757" s="74">
        <f t="shared" ca="1" si="173"/>
      </c>
      <c r="P757" s="74">
        <f t="shared" ca="1" si="174"/>
      </c>
      <c r="Q757" s="74">
        <f t="shared" ca="1" si="175"/>
      </c>
      <c r="R757" s="74">
        <f t="shared" si="176"/>
      </c>
      <c r="S757" s="74">
        <f t="shared" ca="1" si="177"/>
      </c>
      <c r="T757" s="74">
        <f t="shared" si="178"/>
      </c>
    </row>
    <row r="758" spans="2:20" x14ac:dyDescent="0.3">
      <c r="B758" s="74">
        <f t="shared" ca="1" si="168"/>
      </c>
      <c r="C758" s="78">
        <f>Кабельный_журнал!P724</f>
      </c>
      <c r="D758" s="74">
        <f t="shared" ca="1" si="169"/>
      </c>
      <c r="E758" s="80" t="s">
        <v>279</v>
      </c>
      <c r="F758" s="74">
        <f t="shared" ca="1" si="165"/>
      </c>
      <c r="G758" s="74">
        <f t="shared" si="166"/>
      </c>
      <c r="H758" s="80" t="s">
        <v>272</v>
      </c>
      <c r="I758" s="74">
        <f t="shared" si="167"/>
      </c>
      <c r="J758" s="74">
        <f t="shared" si="170"/>
      </c>
      <c r="K758" s="80" t="s">
        <v>280</v>
      </c>
      <c r="L758" s="74">
        <f t="shared" si="171"/>
      </c>
      <c r="M758" s="74">
        <f t="shared" ca="1" si="172"/>
      </c>
      <c r="N758" s="74">
        <f ca="1">VLOOKUP(B758,$C$7:$T756,13,FALSE)</f>
      </c>
      <c r="O758" s="74">
        <f t="shared" ca="1" si="173"/>
      </c>
      <c r="P758" s="74">
        <f t="shared" ca="1" si="174"/>
      </c>
      <c r="Q758" s="74">
        <f t="shared" ca="1" si="175"/>
      </c>
      <c r="R758" s="74">
        <f t="shared" si="176"/>
      </c>
      <c r="S758" s="74">
        <f t="shared" ca="1" si="177"/>
      </c>
      <c r="T758" s="74">
        <f t="shared" si="178"/>
      </c>
    </row>
    <row r="759" spans="2:20" x14ac:dyDescent="0.3">
      <c r="B759" s="74">
        <f t="shared" ca="1" si="168"/>
      </c>
      <c r="C759" s="78">
        <f>Кабельный_журнал!P725</f>
      </c>
      <c r="D759" s="74">
        <f t="shared" ca="1" si="169"/>
      </c>
      <c r="E759" s="80" t="s">
        <v>279</v>
      </c>
      <c r="F759" s="74">
        <f t="shared" ca="1" si="165"/>
      </c>
      <c r="G759" s="74">
        <f t="shared" si="166"/>
      </c>
      <c r="H759" s="80" t="s">
        <v>272</v>
      </c>
      <c r="I759" s="74">
        <f t="shared" si="167"/>
      </c>
      <c r="J759" s="74">
        <f t="shared" si="170"/>
      </c>
      <c r="K759" s="80" t="s">
        <v>280</v>
      </c>
      <c r="L759" s="74">
        <f t="shared" si="171"/>
      </c>
      <c r="M759" s="74">
        <f t="shared" ca="1" si="172"/>
      </c>
      <c r="N759" s="74">
        <f ca="1">VLOOKUP(B759,$C$7:$T757,13,FALSE)</f>
      </c>
      <c r="O759" s="74">
        <f t="shared" ca="1" si="173"/>
      </c>
      <c r="P759" s="74">
        <f t="shared" ca="1" si="174"/>
      </c>
      <c r="Q759" s="74">
        <f t="shared" ca="1" si="175"/>
      </c>
      <c r="R759" s="74">
        <f t="shared" si="176"/>
      </c>
      <c r="S759" s="74">
        <f t="shared" ca="1" si="177"/>
      </c>
      <c r="T759" s="74">
        <f t="shared" si="178"/>
      </c>
    </row>
    <row r="760" spans="2:20" x14ac:dyDescent="0.3">
      <c r="B760" s="74">
        <f t="shared" ca="1" si="168"/>
      </c>
      <c r="C760" s="78">
        <f>Кабельный_журнал!P726</f>
      </c>
      <c r="D760" s="74">
        <f t="shared" ca="1" si="169"/>
      </c>
      <c r="E760" s="80" t="s">
        <v>279</v>
      </c>
      <c r="F760" s="74">
        <f t="shared" ca="1" si="165"/>
      </c>
      <c r="G760" s="74">
        <f t="shared" si="166"/>
      </c>
      <c r="H760" s="80" t="s">
        <v>272</v>
      </c>
      <c r="I760" s="74">
        <f t="shared" si="167"/>
      </c>
      <c r="J760" s="74">
        <f t="shared" si="170"/>
      </c>
      <c r="K760" s="80" t="s">
        <v>280</v>
      </c>
      <c r="L760" s="74">
        <f t="shared" si="171"/>
      </c>
      <c r="M760" s="74">
        <f t="shared" ca="1" si="172"/>
      </c>
      <c r="N760" s="74">
        <f ca="1">VLOOKUP(B760,$C$7:$T758,13,FALSE)</f>
      </c>
      <c r="O760" s="74">
        <f t="shared" ca="1" si="173"/>
      </c>
      <c r="P760" s="74">
        <f t="shared" ca="1" si="174"/>
      </c>
      <c r="Q760" s="74">
        <f t="shared" ca="1" si="175"/>
      </c>
      <c r="R760" s="74">
        <f t="shared" si="176"/>
      </c>
      <c r="S760" s="74">
        <f t="shared" ca="1" si="177"/>
      </c>
      <c r="T760" s="74">
        <f t="shared" si="178"/>
      </c>
    </row>
    <row r="761" spans="2:20" x14ac:dyDescent="0.3">
      <c r="B761" s="74">
        <f t="shared" ca="1" si="168"/>
      </c>
      <c r="C761" s="78">
        <f>Кабельный_журнал!P727</f>
      </c>
      <c r="D761" s="74">
        <f t="shared" ca="1" si="169"/>
      </c>
      <c r="E761" s="80" t="s">
        <v>279</v>
      </c>
      <c r="F761" s="74">
        <f t="shared" ca="1" si="165"/>
      </c>
      <c r="G761" s="74">
        <f t="shared" si="166"/>
      </c>
      <c r="H761" s="80" t="s">
        <v>272</v>
      </c>
      <c r="I761" s="74">
        <f t="shared" si="167"/>
      </c>
      <c r="J761" s="74">
        <f t="shared" si="170"/>
      </c>
      <c r="K761" s="80" t="s">
        <v>280</v>
      </c>
      <c r="L761" s="74">
        <f t="shared" si="171"/>
      </c>
      <c r="M761" s="74">
        <f t="shared" ca="1" si="172"/>
      </c>
      <c r="N761" s="74">
        <f ca="1">VLOOKUP(B761,$C$7:$T759,13,FALSE)</f>
      </c>
      <c r="O761" s="74">
        <f t="shared" ca="1" si="173"/>
      </c>
      <c r="P761" s="74">
        <f t="shared" ca="1" si="174"/>
      </c>
      <c r="Q761" s="74">
        <f t="shared" ca="1" si="175"/>
      </c>
      <c r="R761" s="74">
        <f t="shared" si="176"/>
      </c>
      <c r="S761" s="74">
        <f t="shared" ca="1" si="177"/>
      </c>
      <c r="T761" s="74">
        <f t="shared" si="178"/>
      </c>
    </row>
    <row r="762" spans="2:20" x14ac:dyDescent="0.3">
      <c r="B762" s="74">
        <f t="shared" ca="1" si="168"/>
      </c>
      <c r="C762" s="78">
        <f>Кабельный_журнал!P728</f>
      </c>
      <c r="D762" s="74">
        <f t="shared" ca="1" si="169"/>
      </c>
      <c r="E762" s="80" t="s">
        <v>279</v>
      </c>
      <c r="F762" s="74">
        <f t="shared" ca="1" si="165"/>
      </c>
      <c r="G762" s="74">
        <f t="shared" si="166"/>
      </c>
      <c r="H762" s="80" t="s">
        <v>272</v>
      </c>
      <c r="I762" s="74">
        <f t="shared" si="167"/>
      </c>
      <c r="J762" s="74">
        <f t="shared" si="170"/>
      </c>
      <c r="K762" s="80" t="s">
        <v>280</v>
      </c>
      <c r="L762" s="74">
        <f t="shared" si="171"/>
      </c>
      <c r="M762" s="74">
        <f t="shared" ca="1" si="172"/>
      </c>
      <c r="N762" s="74">
        <f ca="1">VLOOKUP(B762,$C$7:$T760,13,FALSE)</f>
      </c>
      <c r="O762" s="74">
        <f t="shared" ca="1" si="173"/>
      </c>
      <c r="P762" s="74">
        <f t="shared" ca="1" si="174"/>
      </c>
      <c r="Q762" s="74">
        <f t="shared" ca="1" si="175"/>
      </c>
      <c r="R762" s="74">
        <f t="shared" si="176"/>
      </c>
      <c r="S762" s="74">
        <f t="shared" ca="1" si="177"/>
      </c>
      <c r="T762" s="74">
        <f t="shared" si="178"/>
      </c>
    </row>
    <row r="763" spans="2:20" x14ac:dyDescent="0.3">
      <c r="B763" s="74">
        <f t="shared" ca="1" si="168"/>
      </c>
      <c r="C763" s="78">
        <f>Кабельный_журнал!P729</f>
      </c>
      <c r="D763" s="74">
        <f t="shared" ca="1" si="169"/>
      </c>
      <c r="E763" s="80" t="s">
        <v>279</v>
      </c>
      <c r="F763" s="74">
        <f t="shared" ca="1" si="165"/>
      </c>
      <c r="G763" s="74">
        <f t="shared" si="166"/>
      </c>
      <c r="H763" s="80" t="s">
        <v>272</v>
      </c>
      <c r="I763" s="74">
        <f t="shared" si="167"/>
      </c>
      <c r="J763" s="74">
        <f t="shared" si="170"/>
      </c>
      <c r="K763" s="80" t="s">
        <v>280</v>
      </c>
      <c r="L763" s="74">
        <f t="shared" si="171"/>
      </c>
      <c r="M763" s="74">
        <f t="shared" ca="1" si="172"/>
      </c>
      <c r="N763" s="74">
        <f ca="1">VLOOKUP(B763,$C$7:$T761,13,FALSE)</f>
      </c>
      <c r="O763" s="74">
        <f t="shared" ca="1" si="173"/>
      </c>
      <c r="P763" s="74">
        <f t="shared" ca="1" si="174"/>
      </c>
      <c r="Q763" s="74">
        <f t="shared" ca="1" si="175"/>
      </c>
      <c r="R763" s="74">
        <f t="shared" si="176"/>
      </c>
      <c r="S763" s="74">
        <f t="shared" ca="1" si="177"/>
      </c>
      <c r="T763" s="74">
        <f t="shared" si="178"/>
      </c>
    </row>
    <row r="764" spans="2:20" x14ac:dyDescent="0.3">
      <c r="B764" s="74">
        <f t="shared" ca="1" si="168"/>
      </c>
      <c r="C764" s="78">
        <f>Кабельный_журнал!P730</f>
      </c>
      <c r="D764" s="74">
        <f t="shared" ca="1" si="169"/>
      </c>
      <c r="E764" s="80" t="s">
        <v>279</v>
      </c>
      <c r="F764" s="74">
        <f t="shared" ca="1" si="165"/>
      </c>
      <c r="G764" s="74">
        <f t="shared" si="166"/>
      </c>
      <c r="H764" s="80" t="s">
        <v>272</v>
      </c>
      <c r="I764" s="74">
        <f t="shared" si="167"/>
      </c>
      <c r="J764" s="74">
        <f t="shared" si="170"/>
      </c>
      <c r="K764" s="80" t="s">
        <v>280</v>
      </c>
      <c r="L764" s="74">
        <f t="shared" si="171"/>
      </c>
      <c r="M764" s="74">
        <f t="shared" ca="1" si="172"/>
      </c>
      <c r="N764" s="74">
        <f ca="1">VLOOKUP(B764,$C$7:$T762,13,FALSE)</f>
      </c>
      <c r="O764" s="74">
        <f t="shared" ca="1" si="173"/>
      </c>
      <c r="P764" s="74">
        <f t="shared" ca="1" si="174"/>
      </c>
      <c r="Q764" s="74">
        <f t="shared" ca="1" si="175"/>
      </c>
      <c r="R764" s="74">
        <f t="shared" si="176"/>
      </c>
      <c r="S764" s="74">
        <f t="shared" ca="1" si="177"/>
      </c>
      <c r="T764" s="74">
        <f t="shared" si="178"/>
      </c>
    </row>
    <row r="765" spans="2:20" x14ac:dyDescent="0.3">
      <c r="B765" s="74">
        <f t="shared" ca="1" si="168"/>
      </c>
      <c r="C765" s="78">
        <f>Кабельный_журнал!P731</f>
      </c>
      <c r="D765" s="74">
        <f t="shared" ca="1" si="169"/>
      </c>
      <c r="E765" s="80" t="s">
        <v>279</v>
      </c>
      <c r="F765" s="74">
        <f t="shared" ca="1" si="165"/>
      </c>
      <c r="G765" s="74">
        <f t="shared" si="166"/>
      </c>
      <c r="H765" s="80" t="s">
        <v>272</v>
      </c>
      <c r="I765" s="74">
        <f t="shared" si="167"/>
      </c>
      <c r="J765" s="74">
        <f t="shared" si="170"/>
      </c>
      <c r="K765" s="80" t="s">
        <v>280</v>
      </c>
      <c r="L765" s="74">
        <f t="shared" si="171"/>
      </c>
      <c r="M765" s="74">
        <f t="shared" ca="1" si="172"/>
      </c>
      <c r="N765" s="74">
        <f ca="1">VLOOKUP(B765,$C$7:$T763,13,FALSE)</f>
      </c>
      <c r="O765" s="74">
        <f t="shared" ca="1" si="173"/>
      </c>
      <c r="P765" s="74">
        <f t="shared" ca="1" si="174"/>
      </c>
      <c r="Q765" s="74">
        <f t="shared" ca="1" si="175"/>
      </c>
      <c r="R765" s="74">
        <f t="shared" si="176"/>
      </c>
      <c r="S765" s="74">
        <f t="shared" ca="1" si="177"/>
      </c>
      <c r="T765" s="74">
        <f t="shared" si="178"/>
      </c>
    </row>
    <row r="766" spans="2:20" x14ac:dyDescent="0.3">
      <c r="B766" s="74">
        <f t="shared" ca="1" si="168"/>
      </c>
      <c r="C766" s="78">
        <f>Кабельный_журнал!P732</f>
      </c>
      <c r="D766" s="74">
        <f t="shared" ca="1" si="169"/>
      </c>
      <c r="E766" s="80" t="s">
        <v>279</v>
      </c>
      <c r="F766" s="74">
        <f t="shared" ca="1" si="165"/>
      </c>
      <c r="G766" s="74">
        <f t="shared" si="166"/>
      </c>
      <c r="H766" s="80" t="s">
        <v>272</v>
      </c>
      <c r="I766" s="74">
        <f t="shared" si="167"/>
      </c>
      <c r="J766" s="74">
        <f t="shared" si="170"/>
      </c>
      <c r="K766" s="80" t="s">
        <v>280</v>
      </c>
      <c r="L766" s="74">
        <f t="shared" si="171"/>
      </c>
      <c r="M766" s="74">
        <f t="shared" ca="1" si="172"/>
      </c>
      <c r="N766" s="74">
        <f ca="1">VLOOKUP(B766,$C$7:$T764,13,FALSE)</f>
      </c>
      <c r="O766" s="74">
        <f t="shared" ca="1" si="173"/>
      </c>
      <c r="P766" s="74">
        <f t="shared" ca="1" si="174"/>
      </c>
      <c r="Q766" s="74">
        <f t="shared" ca="1" si="175"/>
      </c>
      <c r="R766" s="74">
        <f t="shared" si="176"/>
      </c>
      <c r="S766" s="74">
        <f t="shared" ca="1" si="177"/>
      </c>
      <c r="T766" s="74">
        <f t="shared" si="178"/>
      </c>
    </row>
    <row r="767" spans="2:20" x14ac:dyDescent="0.3">
      <c r="B767" s="74">
        <f t="shared" ca="1" si="168"/>
      </c>
      <c r="C767" s="78">
        <f>Кабельный_журнал!P733</f>
      </c>
      <c r="D767" s="74">
        <f t="shared" ca="1" si="169"/>
      </c>
      <c r="E767" s="80" t="s">
        <v>279</v>
      </c>
      <c r="F767" s="74">
        <f t="shared" ca="1" si="165"/>
      </c>
      <c r="G767" s="74">
        <f t="shared" si="166"/>
      </c>
      <c r="H767" s="80" t="s">
        <v>272</v>
      </c>
      <c r="I767" s="74">
        <f t="shared" si="167"/>
      </c>
      <c r="J767" s="74">
        <f t="shared" si="170"/>
      </c>
      <c r="K767" s="80" t="s">
        <v>280</v>
      </c>
      <c r="L767" s="74">
        <f t="shared" si="171"/>
      </c>
      <c r="M767" s="74">
        <f t="shared" ca="1" si="172"/>
      </c>
      <c r="N767" s="74">
        <f ca="1">VLOOKUP(B767,$C$7:$T765,13,FALSE)</f>
      </c>
      <c r="O767" s="74">
        <f t="shared" ca="1" si="173"/>
      </c>
      <c r="P767" s="74">
        <f t="shared" ca="1" si="174"/>
      </c>
      <c r="Q767" s="74">
        <f t="shared" ca="1" si="175"/>
      </c>
      <c r="R767" s="74">
        <f t="shared" si="176"/>
      </c>
      <c r="S767" s="74">
        <f t="shared" ca="1" si="177"/>
      </c>
      <c r="T767" s="74">
        <f t="shared" si="178"/>
      </c>
    </row>
    <row r="768" spans="2:20" x14ac:dyDescent="0.3">
      <c r="B768" s="74">
        <f t="shared" ca="1" si="168"/>
      </c>
      <c r="C768" s="78">
        <f>Кабельный_журнал!P734</f>
      </c>
      <c r="D768" s="74">
        <f t="shared" ca="1" si="169"/>
      </c>
      <c r="E768" s="80" t="s">
        <v>279</v>
      </c>
      <c r="F768" s="74">
        <f t="shared" ca="1" si="165"/>
      </c>
      <c r="G768" s="74">
        <f t="shared" si="166"/>
      </c>
      <c r="H768" s="80" t="s">
        <v>272</v>
      </c>
      <c r="I768" s="74">
        <f t="shared" si="167"/>
      </c>
      <c r="J768" s="74">
        <f t="shared" si="170"/>
      </c>
      <c r="K768" s="80" t="s">
        <v>280</v>
      </c>
      <c r="L768" s="74">
        <f t="shared" si="171"/>
      </c>
      <c r="M768" s="74">
        <f t="shared" ca="1" si="172"/>
      </c>
      <c r="N768" s="74">
        <f ca="1">VLOOKUP(B768,$C$7:$T766,13,FALSE)</f>
      </c>
      <c r="O768" s="74">
        <f t="shared" ca="1" si="173"/>
      </c>
      <c r="P768" s="74">
        <f t="shared" ca="1" si="174"/>
      </c>
      <c r="Q768" s="74">
        <f t="shared" ca="1" si="175"/>
      </c>
      <c r="R768" s="74">
        <f t="shared" si="176"/>
      </c>
      <c r="S768" s="74">
        <f t="shared" ca="1" si="177"/>
      </c>
      <c r="T768" s="74">
        <f t="shared" si="178"/>
      </c>
    </row>
    <row r="769" spans="2:20" x14ac:dyDescent="0.3">
      <c r="B769" s="74">
        <f t="shared" ca="1" si="168"/>
      </c>
      <c r="C769" s="78">
        <f>Кабельный_журнал!P735</f>
      </c>
      <c r="D769" s="74">
        <f t="shared" ca="1" si="169"/>
      </c>
      <c r="E769" s="80" t="s">
        <v>279</v>
      </c>
      <c r="F769" s="74">
        <f t="shared" ca="1" si="165"/>
      </c>
      <c r="G769" s="74">
        <f t="shared" si="166"/>
      </c>
      <c r="H769" s="80" t="s">
        <v>272</v>
      </c>
      <c r="I769" s="74">
        <f t="shared" si="167"/>
      </c>
      <c r="J769" s="74">
        <f t="shared" si="170"/>
      </c>
      <c r="K769" s="80" t="s">
        <v>280</v>
      </c>
      <c r="L769" s="74">
        <f t="shared" si="171"/>
      </c>
      <c r="M769" s="74">
        <f t="shared" ca="1" si="172"/>
      </c>
      <c r="N769" s="74">
        <f ca="1">VLOOKUP(B769,$C$7:$T767,13,FALSE)</f>
      </c>
      <c r="O769" s="74">
        <f t="shared" ca="1" si="173"/>
      </c>
      <c r="P769" s="74">
        <f t="shared" ca="1" si="174"/>
      </c>
      <c r="Q769" s="74">
        <f t="shared" ca="1" si="175"/>
      </c>
      <c r="R769" s="74">
        <f t="shared" si="176"/>
      </c>
      <c r="S769" s="74">
        <f t="shared" ca="1" si="177"/>
      </c>
      <c r="T769" s="74">
        <f t="shared" si="178"/>
      </c>
    </row>
    <row r="770" spans="2:20" x14ac:dyDescent="0.3">
      <c r="B770" s="74">
        <f t="shared" ca="1" si="168"/>
      </c>
      <c r="C770" s="78">
        <f>Кабельный_журнал!P736</f>
      </c>
      <c r="D770" s="74">
        <f t="shared" ca="1" si="169"/>
      </c>
      <c r="E770" s="80" t="s">
        <v>279</v>
      </c>
      <c r="F770" s="74">
        <f t="shared" ca="1" si="165"/>
      </c>
      <c r="G770" s="74">
        <f t="shared" si="166"/>
      </c>
      <c r="H770" s="80" t="s">
        <v>272</v>
      </c>
      <c r="I770" s="74">
        <f t="shared" si="167"/>
      </c>
      <c r="J770" s="74">
        <f t="shared" si="170"/>
      </c>
      <c r="K770" s="80" t="s">
        <v>280</v>
      </c>
      <c r="L770" s="74">
        <f t="shared" si="171"/>
      </c>
      <c r="M770" s="74">
        <f t="shared" ca="1" si="172"/>
      </c>
      <c r="N770" s="74">
        <f ca="1">VLOOKUP(B770,$C$7:$T768,13,FALSE)</f>
      </c>
      <c r="O770" s="74">
        <f t="shared" ca="1" si="173"/>
      </c>
      <c r="P770" s="74">
        <f t="shared" ca="1" si="174"/>
      </c>
      <c r="Q770" s="74">
        <f t="shared" ca="1" si="175"/>
      </c>
      <c r="R770" s="74">
        <f t="shared" si="176"/>
      </c>
      <c r="S770" s="74">
        <f t="shared" ca="1" si="177"/>
      </c>
      <c r="T770" s="74">
        <f t="shared" si="178"/>
      </c>
    </row>
    <row r="771" spans="2:20" x14ac:dyDescent="0.3">
      <c r="B771" s="74">
        <f t="shared" ca="1" si="168"/>
      </c>
      <c r="C771" s="78">
        <f>Кабельный_журнал!P737</f>
      </c>
      <c r="D771" s="74">
        <f t="shared" ca="1" si="169"/>
      </c>
      <c r="E771" s="80" t="s">
        <v>279</v>
      </c>
      <c r="F771" s="74">
        <f t="shared" ca="1" si="165"/>
      </c>
      <c r="G771" s="74">
        <f t="shared" si="166"/>
      </c>
      <c r="H771" s="80" t="s">
        <v>272</v>
      </c>
      <c r="I771" s="74">
        <f t="shared" si="167"/>
      </c>
      <c r="J771" s="74">
        <f t="shared" si="170"/>
      </c>
      <c r="K771" s="80" t="s">
        <v>280</v>
      </c>
      <c r="L771" s="74">
        <f t="shared" si="171"/>
      </c>
      <c r="M771" s="74">
        <f t="shared" ca="1" si="172"/>
      </c>
      <c r="N771" s="74">
        <f ca="1">VLOOKUP(B771,$C$7:$T769,13,FALSE)</f>
      </c>
      <c r="O771" s="74">
        <f t="shared" ca="1" si="173"/>
      </c>
      <c r="P771" s="74">
        <f t="shared" ca="1" si="174"/>
      </c>
      <c r="Q771" s="74">
        <f t="shared" ca="1" si="175"/>
      </c>
      <c r="R771" s="74">
        <f t="shared" si="176"/>
      </c>
      <c r="S771" s="74">
        <f t="shared" ca="1" si="177"/>
      </c>
      <c r="T771" s="74">
        <f t="shared" si="178"/>
      </c>
    </row>
    <row r="772" spans="2:20" x14ac:dyDescent="0.3">
      <c r="B772" s="74">
        <f t="shared" ca="1" si="168"/>
      </c>
      <c r="C772" s="78">
        <f>Кабельный_журнал!P738</f>
      </c>
      <c r="D772" s="74">
        <f t="shared" ca="1" si="169"/>
      </c>
      <c r="E772" s="80" t="s">
        <v>279</v>
      </c>
      <c r="F772" s="74">
        <f t="shared" ca="1" si="165"/>
      </c>
      <c r="G772" s="74">
        <f t="shared" si="166"/>
      </c>
      <c r="H772" s="80" t="s">
        <v>272</v>
      </c>
      <c r="I772" s="74">
        <f t="shared" si="167"/>
      </c>
      <c r="J772" s="74">
        <f t="shared" si="170"/>
      </c>
      <c r="K772" s="80" t="s">
        <v>280</v>
      </c>
      <c r="L772" s="74">
        <f t="shared" si="171"/>
      </c>
      <c r="M772" s="74">
        <f t="shared" ca="1" si="172"/>
      </c>
      <c r="N772" s="74">
        <f ca="1">VLOOKUP(B772,$C$7:$T770,13,FALSE)</f>
      </c>
      <c r="O772" s="74">
        <f t="shared" ca="1" si="173"/>
      </c>
      <c r="P772" s="74">
        <f t="shared" ca="1" si="174"/>
      </c>
      <c r="Q772" s="74">
        <f t="shared" ca="1" si="175"/>
      </c>
      <c r="R772" s="74">
        <f t="shared" si="176"/>
      </c>
      <c r="S772" s="74">
        <f t="shared" ca="1" si="177"/>
      </c>
      <c r="T772" s="74">
        <f t="shared" si="178"/>
      </c>
    </row>
    <row r="773" spans="2:20" x14ac:dyDescent="0.3">
      <c r="B773" s="74">
        <f t="shared" ca="1" si="168"/>
      </c>
      <c r="C773" s="78">
        <f>Кабельный_журнал!P739</f>
      </c>
      <c r="D773" s="74">
        <f t="shared" ca="1" si="169"/>
      </c>
      <c r="E773" s="80" t="s">
        <v>279</v>
      </c>
      <c r="F773" s="74">
        <f t="shared" ca="1" si="165"/>
      </c>
      <c r="G773" s="74">
        <f t="shared" si="166"/>
      </c>
      <c r="H773" s="80" t="s">
        <v>272</v>
      </c>
      <c r="I773" s="74">
        <f t="shared" si="167"/>
      </c>
      <c r="J773" s="74">
        <f t="shared" si="170"/>
      </c>
      <c r="K773" s="80" t="s">
        <v>280</v>
      </c>
      <c r="L773" s="74">
        <f t="shared" si="171"/>
      </c>
      <c r="M773" s="74">
        <f t="shared" ca="1" si="172"/>
      </c>
      <c r="N773" s="74">
        <f ca="1">VLOOKUP(B773,$C$7:$T771,13,FALSE)</f>
      </c>
      <c r="O773" s="74">
        <f t="shared" ca="1" si="173"/>
      </c>
      <c r="P773" s="74">
        <f t="shared" ca="1" si="174"/>
      </c>
      <c r="Q773" s="74">
        <f t="shared" ca="1" si="175"/>
      </c>
      <c r="R773" s="74">
        <f t="shared" si="176"/>
      </c>
      <c r="S773" s="74">
        <f t="shared" ca="1" si="177"/>
      </c>
      <c r="T773" s="74">
        <f t="shared" si="178"/>
      </c>
    </row>
    <row r="774" spans="2:20" x14ac:dyDescent="0.3">
      <c r="B774" s="74">
        <f t="shared" ca="1" si="168"/>
      </c>
      <c r="C774" s="78">
        <f>Кабельный_журнал!P740</f>
      </c>
      <c r="D774" s="74">
        <f t="shared" ca="1" si="169"/>
      </c>
      <c r="E774" s="80" t="s">
        <v>279</v>
      </c>
      <c r="F774" s="74">
        <f t="shared" ca="1" si="165"/>
      </c>
      <c r="G774" s="74">
        <f t="shared" si="166"/>
      </c>
      <c r="H774" s="80" t="s">
        <v>272</v>
      </c>
      <c r="I774" s="74">
        <f t="shared" si="167"/>
      </c>
      <c r="J774" s="74">
        <f t="shared" si="170"/>
      </c>
      <c r="K774" s="80" t="s">
        <v>280</v>
      </c>
      <c r="L774" s="74">
        <f t="shared" si="171"/>
      </c>
      <c r="M774" s="74">
        <f t="shared" ca="1" si="172"/>
      </c>
      <c r="N774" s="74">
        <f ca="1">VLOOKUP(B774,$C$7:$T772,13,FALSE)</f>
      </c>
      <c r="O774" s="74">
        <f t="shared" ca="1" si="173"/>
      </c>
      <c r="P774" s="74">
        <f t="shared" ca="1" si="174"/>
      </c>
      <c r="Q774" s="74">
        <f t="shared" ca="1" si="175"/>
      </c>
      <c r="R774" s="74">
        <f t="shared" si="176"/>
      </c>
      <c r="S774" s="74">
        <f t="shared" ca="1" si="177"/>
      </c>
      <c r="T774" s="74">
        <f t="shared" si="178"/>
      </c>
    </row>
    <row r="775" spans="2:20" x14ac:dyDescent="0.3">
      <c r="B775" s="74">
        <f t="shared" ca="1" si="168"/>
      </c>
      <c r="C775" s="78">
        <f>Кабельный_журнал!P741</f>
      </c>
      <c r="D775" s="74">
        <f t="shared" ca="1" si="169"/>
      </c>
      <c r="E775" s="80" t="s">
        <v>279</v>
      </c>
      <c r="F775" s="74">
        <f t="shared" ca="1" si="165"/>
      </c>
      <c r="G775" s="74">
        <f t="shared" si="166"/>
      </c>
      <c r="H775" s="80" t="s">
        <v>272</v>
      </c>
      <c r="I775" s="74">
        <f t="shared" si="167"/>
      </c>
      <c r="J775" s="74">
        <f t="shared" si="170"/>
      </c>
      <c r="K775" s="80" t="s">
        <v>280</v>
      </c>
      <c r="L775" s="74">
        <f t="shared" si="171"/>
      </c>
      <c r="M775" s="74">
        <f t="shared" ca="1" si="172"/>
      </c>
      <c r="N775" s="74">
        <f ca="1">VLOOKUP(B775,$C$7:$T773,13,FALSE)</f>
      </c>
      <c r="O775" s="74">
        <f t="shared" ca="1" si="173"/>
      </c>
      <c r="P775" s="74">
        <f t="shared" ca="1" si="174"/>
      </c>
      <c r="Q775" s="74">
        <f t="shared" ca="1" si="175"/>
      </c>
      <c r="R775" s="74">
        <f t="shared" si="176"/>
      </c>
      <c r="S775" s="74">
        <f t="shared" ca="1" si="177"/>
      </c>
      <c r="T775" s="74">
        <f t="shared" si="178"/>
      </c>
    </row>
    <row r="776" spans="2:20" x14ac:dyDescent="0.3">
      <c r="B776" s="74">
        <f t="shared" ca="1" si="168"/>
      </c>
      <c r="C776" s="78">
        <f>Кабельный_журнал!P742</f>
      </c>
      <c r="D776" s="74">
        <f t="shared" ca="1" si="169"/>
      </c>
      <c r="E776" s="80" t="s">
        <v>279</v>
      </c>
      <c r="F776" s="74">
        <f t="shared" ca="1" si="165"/>
      </c>
      <c r="G776" s="74">
        <f t="shared" si="166"/>
      </c>
      <c r="H776" s="80" t="s">
        <v>272</v>
      </c>
      <c r="I776" s="74">
        <f t="shared" si="167"/>
      </c>
      <c r="J776" s="74">
        <f t="shared" si="170"/>
      </c>
      <c r="K776" s="80" t="s">
        <v>280</v>
      </c>
      <c r="L776" s="74">
        <f t="shared" si="171"/>
      </c>
      <c r="M776" s="74">
        <f t="shared" ca="1" si="172"/>
      </c>
      <c r="N776" s="74">
        <f ca="1">VLOOKUP(B776,$C$7:$T774,13,FALSE)</f>
      </c>
      <c r="O776" s="74">
        <f t="shared" ca="1" si="173"/>
      </c>
      <c r="P776" s="74">
        <f t="shared" ca="1" si="174"/>
      </c>
      <c r="Q776" s="74">
        <f t="shared" ca="1" si="175"/>
      </c>
      <c r="R776" s="74">
        <f t="shared" si="176"/>
      </c>
      <c r="S776" s="74">
        <f t="shared" ca="1" si="177"/>
      </c>
      <c r="T776" s="74">
        <f t="shared" si="178"/>
      </c>
    </row>
    <row r="777" spans="2:20" x14ac:dyDescent="0.3">
      <c r="B777" s="74">
        <f t="shared" ca="1" si="168"/>
      </c>
      <c r="C777" s="78">
        <f>Кабельный_журнал!P743</f>
      </c>
      <c r="D777" s="74">
        <f t="shared" ca="1" si="169"/>
      </c>
      <c r="E777" s="80" t="s">
        <v>279</v>
      </c>
      <c r="F777" s="74">
        <f t="shared" ca="1" si="165"/>
      </c>
      <c r="G777" s="74">
        <f t="shared" si="166"/>
      </c>
      <c r="H777" s="80" t="s">
        <v>272</v>
      </c>
      <c r="I777" s="74">
        <f t="shared" si="167"/>
      </c>
      <c r="J777" s="74">
        <f t="shared" si="170"/>
      </c>
      <c r="K777" s="80" t="s">
        <v>280</v>
      </c>
      <c r="L777" s="74">
        <f t="shared" si="171"/>
      </c>
      <c r="M777" s="74">
        <f t="shared" ca="1" si="172"/>
      </c>
      <c r="N777" s="74">
        <f ca="1">VLOOKUP(B777,$C$7:$T775,13,FALSE)</f>
      </c>
      <c r="O777" s="74">
        <f t="shared" ca="1" si="173"/>
      </c>
      <c r="P777" s="74">
        <f t="shared" ca="1" si="174"/>
      </c>
      <c r="Q777" s="74">
        <f t="shared" ca="1" si="175"/>
      </c>
      <c r="R777" s="74">
        <f t="shared" si="176"/>
      </c>
      <c r="S777" s="74">
        <f t="shared" ca="1" si="177"/>
      </c>
      <c r="T777" s="74">
        <f t="shared" si="178"/>
      </c>
    </row>
    <row r="778" spans="2:20" x14ac:dyDescent="0.3">
      <c r="B778" s="74">
        <f t="shared" ca="1" si="168"/>
      </c>
      <c r="C778" s="78">
        <f>Кабельный_журнал!P744</f>
      </c>
      <c r="D778" s="74">
        <f t="shared" ca="1" si="169"/>
      </c>
      <c r="E778" s="80" t="s">
        <v>279</v>
      </c>
      <c r="F778" s="74">
        <f t="shared" ca="1" si="165"/>
      </c>
      <c r="G778" s="74">
        <f t="shared" si="166"/>
      </c>
      <c r="H778" s="80" t="s">
        <v>272</v>
      </c>
      <c r="I778" s="74">
        <f t="shared" si="167"/>
      </c>
      <c r="J778" s="74">
        <f t="shared" si="170"/>
      </c>
      <c r="K778" s="80" t="s">
        <v>280</v>
      </c>
      <c r="L778" s="74">
        <f t="shared" si="171"/>
      </c>
      <c r="M778" s="74">
        <f t="shared" ca="1" si="172"/>
      </c>
      <c r="N778" s="74">
        <f ca="1">VLOOKUP(B778,$C$7:$T776,13,FALSE)</f>
      </c>
      <c r="O778" s="74">
        <f t="shared" ca="1" si="173"/>
      </c>
      <c r="P778" s="74">
        <f t="shared" ca="1" si="174"/>
      </c>
      <c r="Q778" s="74">
        <f t="shared" ca="1" si="175"/>
      </c>
      <c r="R778" s="74">
        <f t="shared" si="176"/>
      </c>
      <c r="S778" s="74">
        <f t="shared" ca="1" si="177"/>
      </c>
      <c r="T778" s="74">
        <f t="shared" si="178"/>
      </c>
    </row>
    <row r="779" spans="2:20" x14ac:dyDescent="0.3">
      <c r="B779" s="74">
        <f t="shared" ca="1" si="168"/>
      </c>
      <c r="C779" s="78">
        <f>Кабельный_журнал!P745</f>
      </c>
      <c r="D779" s="74">
        <f t="shared" ca="1" si="169"/>
      </c>
      <c r="E779" s="80" t="s">
        <v>279</v>
      </c>
      <c r="F779" s="74">
        <f t="shared" ca="1" si="165"/>
      </c>
      <c r="G779" s="74">
        <f t="shared" si="166"/>
      </c>
      <c r="H779" s="80" t="s">
        <v>272</v>
      </c>
      <c r="I779" s="74">
        <f t="shared" si="167"/>
      </c>
      <c r="J779" s="74">
        <f t="shared" si="170"/>
      </c>
      <c r="K779" s="80" t="s">
        <v>280</v>
      </c>
      <c r="L779" s="74">
        <f t="shared" si="171"/>
      </c>
      <c r="M779" s="74">
        <f t="shared" ca="1" si="172"/>
      </c>
      <c r="N779" s="74">
        <f ca="1">VLOOKUP(B779,$C$7:$T777,13,FALSE)</f>
      </c>
      <c r="O779" s="74">
        <f t="shared" ca="1" si="173"/>
      </c>
      <c r="P779" s="74">
        <f t="shared" ca="1" si="174"/>
      </c>
      <c r="Q779" s="74">
        <f t="shared" ca="1" si="175"/>
      </c>
      <c r="R779" s="74">
        <f t="shared" si="176"/>
      </c>
      <c r="S779" s="74">
        <f t="shared" ca="1" si="177"/>
      </c>
      <c r="T779" s="74">
        <f t="shared" si="178"/>
      </c>
    </row>
    <row r="780" spans="2:20" x14ac:dyDescent="0.3">
      <c r="B780" s="74">
        <f t="shared" ca="1" si="168"/>
      </c>
      <c r="C780" s="78">
        <f>Кабельный_журнал!P746</f>
      </c>
      <c r="D780" s="74">
        <f t="shared" ca="1" si="169"/>
      </c>
      <c r="E780" s="80" t="s">
        <v>279</v>
      </c>
      <c r="F780" s="74">
        <f t="shared" ca="1" si="165"/>
      </c>
      <c r="G780" s="74">
        <f t="shared" si="166"/>
      </c>
      <c r="H780" s="80" t="s">
        <v>272</v>
      </c>
      <c r="I780" s="74">
        <f t="shared" si="167"/>
      </c>
      <c r="J780" s="74">
        <f t="shared" si="170"/>
      </c>
      <c r="K780" s="80" t="s">
        <v>280</v>
      </c>
      <c r="L780" s="74">
        <f t="shared" si="171"/>
      </c>
      <c r="M780" s="74">
        <f t="shared" ca="1" si="172"/>
      </c>
      <c r="N780" s="74">
        <f ca="1">VLOOKUP(B780,$C$7:$T778,13,FALSE)</f>
      </c>
      <c r="O780" s="74">
        <f t="shared" ca="1" si="173"/>
      </c>
      <c r="P780" s="74">
        <f t="shared" ca="1" si="174"/>
      </c>
      <c r="Q780" s="74">
        <f t="shared" ca="1" si="175"/>
      </c>
      <c r="R780" s="74">
        <f t="shared" si="176"/>
      </c>
      <c r="S780" s="74">
        <f t="shared" ca="1" si="177"/>
      </c>
      <c r="T780" s="74">
        <f t="shared" si="178"/>
      </c>
    </row>
    <row r="781" spans="2:20" x14ac:dyDescent="0.3">
      <c r="B781" s="74">
        <f t="shared" ca="1" si="168"/>
      </c>
      <c r="C781" s="78">
        <f>Кабельный_журнал!P747</f>
      </c>
      <c r="D781" s="74">
        <f t="shared" ca="1" si="169"/>
      </c>
      <c r="E781" s="80" t="s">
        <v>279</v>
      </c>
      <c r="F781" s="74">
        <f t="shared" ca="1" si="165"/>
      </c>
      <c r="G781" s="74">
        <f t="shared" si="166"/>
      </c>
      <c r="H781" s="80" t="s">
        <v>272</v>
      </c>
      <c r="I781" s="74">
        <f t="shared" si="167"/>
      </c>
      <c r="J781" s="74">
        <f t="shared" si="170"/>
      </c>
      <c r="K781" s="80" t="s">
        <v>280</v>
      </c>
      <c r="L781" s="74">
        <f t="shared" si="171"/>
      </c>
      <c r="M781" s="74">
        <f t="shared" ca="1" si="172"/>
      </c>
      <c r="N781" s="74">
        <f ca="1">VLOOKUP(B781,$C$7:$T779,13,FALSE)</f>
      </c>
      <c r="O781" s="74">
        <f t="shared" ca="1" si="173"/>
      </c>
      <c r="P781" s="74">
        <f t="shared" ca="1" si="174"/>
      </c>
      <c r="Q781" s="74">
        <f t="shared" ca="1" si="175"/>
      </c>
      <c r="R781" s="74">
        <f t="shared" si="176"/>
      </c>
      <c r="S781" s="74">
        <f t="shared" ca="1" si="177"/>
      </c>
      <c r="T781" s="74">
        <f t="shared" si="178"/>
      </c>
    </row>
    <row r="782" spans="2:20" x14ac:dyDescent="0.3">
      <c r="B782" s="74">
        <f t="shared" ca="1" si="168"/>
      </c>
      <c r="C782" s="78">
        <f>Кабельный_журнал!P748</f>
      </c>
      <c r="D782" s="74">
        <f t="shared" ca="1" si="169"/>
      </c>
      <c r="E782" s="80" t="s">
        <v>279</v>
      </c>
      <c r="F782" s="74">
        <f t="shared" ca="1" si="165"/>
      </c>
      <c r="G782" s="74">
        <f t="shared" si="166"/>
      </c>
      <c r="H782" s="80" t="s">
        <v>272</v>
      </c>
      <c r="I782" s="74">
        <f t="shared" si="167"/>
      </c>
      <c r="J782" s="74">
        <f t="shared" si="170"/>
      </c>
      <c r="K782" s="80" t="s">
        <v>280</v>
      </c>
      <c r="L782" s="74">
        <f t="shared" si="171"/>
      </c>
      <c r="M782" s="74">
        <f t="shared" ca="1" si="172"/>
      </c>
      <c r="N782" s="74">
        <f ca="1">VLOOKUP(B782,$C$7:$T780,13,FALSE)</f>
      </c>
      <c r="O782" s="74">
        <f t="shared" ca="1" si="173"/>
      </c>
      <c r="P782" s="74">
        <f t="shared" ca="1" si="174"/>
      </c>
      <c r="Q782" s="74">
        <f t="shared" ca="1" si="175"/>
      </c>
      <c r="R782" s="74">
        <f t="shared" si="176"/>
      </c>
      <c r="S782" s="74">
        <f t="shared" ca="1" si="177"/>
      </c>
      <c r="T782" s="74">
        <f t="shared" si="178"/>
      </c>
    </row>
    <row r="783" spans="2:20" x14ac:dyDescent="0.3">
      <c r="B783" s="74">
        <f t="shared" ca="1" si="168"/>
      </c>
      <c r="C783" s="78">
        <f>Кабельный_журнал!P749</f>
      </c>
      <c r="D783" s="74">
        <f t="shared" ca="1" si="169"/>
      </c>
      <c r="E783" s="80" t="s">
        <v>279</v>
      </c>
      <c r="F783" s="74">
        <f t="shared" ca="1" si="165"/>
      </c>
      <c r="G783" s="74">
        <f t="shared" si="166"/>
      </c>
      <c r="H783" s="80" t="s">
        <v>272</v>
      </c>
      <c r="I783" s="74">
        <f t="shared" si="167"/>
      </c>
      <c r="J783" s="74">
        <f t="shared" si="170"/>
      </c>
      <c r="K783" s="80" t="s">
        <v>280</v>
      </c>
      <c r="L783" s="74">
        <f t="shared" si="171"/>
      </c>
      <c r="M783" s="74">
        <f t="shared" ca="1" si="172"/>
      </c>
      <c r="N783" s="74">
        <f ca="1">VLOOKUP(B783,$C$7:$T781,13,FALSE)</f>
      </c>
      <c r="O783" s="74">
        <f t="shared" ca="1" si="173"/>
      </c>
      <c r="P783" s="74">
        <f t="shared" ca="1" si="174"/>
      </c>
      <c r="Q783" s="74">
        <f t="shared" ca="1" si="175"/>
      </c>
      <c r="R783" s="74">
        <f t="shared" si="176"/>
      </c>
      <c r="S783" s="74">
        <f t="shared" ca="1" si="177"/>
      </c>
      <c r="T783" s="74">
        <f t="shared" si="178"/>
      </c>
    </row>
    <row r="784" spans="2:20" x14ac:dyDescent="0.3">
      <c r="B784" s="74">
        <f t="shared" ca="1" si="168"/>
      </c>
      <c r="C784" s="78">
        <f>Кабельный_журнал!P750</f>
      </c>
      <c r="D784" s="74">
        <f t="shared" ca="1" si="169"/>
      </c>
      <c r="E784" s="80" t="s">
        <v>279</v>
      </c>
      <c r="F784" s="74">
        <f t="shared" ca="1" si="165"/>
      </c>
      <c r="G784" s="74">
        <f t="shared" si="166"/>
      </c>
      <c r="H784" s="80" t="s">
        <v>272</v>
      </c>
      <c r="I784" s="74">
        <f t="shared" si="167"/>
      </c>
      <c r="J784" s="74">
        <f t="shared" si="170"/>
      </c>
      <c r="K784" s="80" t="s">
        <v>280</v>
      </c>
      <c r="L784" s="74">
        <f t="shared" si="171"/>
      </c>
      <c r="M784" s="74">
        <f t="shared" ca="1" si="172"/>
      </c>
      <c r="N784" s="74">
        <f ca="1">VLOOKUP(B784,$C$7:$T782,13,FALSE)</f>
      </c>
      <c r="O784" s="74">
        <f t="shared" ca="1" si="173"/>
      </c>
      <c r="P784" s="74">
        <f t="shared" ca="1" si="174"/>
      </c>
      <c r="Q784" s="74">
        <f t="shared" ca="1" si="175"/>
      </c>
      <c r="R784" s="74">
        <f t="shared" si="176"/>
      </c>
      <c r="S784" s="74">
        <f t="shared" ca="1" si="177"/>
      </c>
      <c r="T784" s="74">
        <f t="shared" si="178"/>
      </c>
    </row>
    <row r="785" spans="2:20" x14ac:dyDescent="0.3">
      <c r="B785" s="74">
        <f t="shared" ca="1" si="168"/>
      </c>
      <c r="C785" s="78">
        <f>Кабельный_журнал!P751</f>
      </c>
      <c r="D785" s="74">
        <f t="shared" ca="1" si="169"/>
      </c>
      <c r="E785" s="80" t="s">
        <v>279</v>
      </c>
      <c r="F785" s="74">
        <f t="shared" ca="1" si="165"/>
      </c>
      <c r="G785" s="74">
        <f t="shared" si="166"/>
      </c>
      <c r="H785" s="80" t="s">
        <v>272</v>
      </c>
      <c r="I785" s="74">
        <f t="shared" si="167"/>
      </c>
      <c r="J785" s="74">
        <f t="shared" si="170"/>
      </c>
      <c r="K785" s="80" t="s">
        <v>280</v>
      </c>
      <c r="L785" s="74">
        <f t="shared" si="171"/>
      </c>
      <c r="M785" s="74">
        <f t="shared" ca="1" si="172"/>
      </c>
      <c r="N785" s="74">
        <f ca="1">VLOOKUP(B785,$C$7:$T783,13,FALSE)</f>
      </c>
      <c r="O785" s="74">
        <f t="shared" ca="1" si="173"/>
      </c>
      <c r="P785" s="74">
        <f t="shared" ca="1" si="174"/>
      </c>
      <c r="Q785" s="74">
        <f t="shared" ca="1" si="175"/>
      </c>
      <c r="R785" s="74">
        <f t="shared" si="176"/>
      </c>
      <c r="S785" s="74">
        <f t="shared" ca="1" si="177"/>
      </c>
      <c r="T785" s="74">
        <f t="shared" si="178"/>
      </c>
    </row>
    <row r="786" spans="2:20" x14ac:dyDescent="0.3">
      <c r="B786" s="74">
        <f t="shared" ca="1" si="168"/>
      </c>
      <c r="C786" s="78">
        <f>Кабельный_журнал!P752</f>
      </c>
      <c r="D786" s="74">
        <f t="shared" ca="1" si="169"/>
      </c>
      <c r="E786" s="80" t="s">
        <v>279</v>
      </c>
      <c r="F786" s="74">
        <f t="shared" ca="1" si="165"/>
      </c>
      <c r="G786" s="74">
        <f t="shared" si="166"/>
      </c>
      <c r="H786" s="80" t="s">
        <v>272</v>
      </c>
      <c r="I786" s="74">
        <f t="shared" si="167"/>
      </c>
      <c r="J786" s="74">
        <f t="shared" si="170"/>
      </c>
      <c r="K786" s="80" t="s">
        <v>280</v>
      </c>
      <c r="L786" s="74">
        <f t="shared" si="171"/>
      </c>
      <c r="M786" s="74">
        <f t="shared" ca="1" si="172"/>
      </c>
      <c r="N786" s="74">
        <f ca="1">VLOOKUP(B786,$C$7:$T784,13,FALSE)</f>
      </c>
      <c r="O786" s="74">
        <f t="shared" ca="1" si="173"/>
      </c>
      <c r="P786" s="74">
        <f t="shared" ca="1" si="174"/>
      </c>
      <c r="Q786" s="74">
        <f t="shared" ca="1" si="175"/>
      </c>
      <c r="R786" s="74">
        <f t="shared" si="176"/>
      </c>
      <c r="S786" s="74">
        <f t="shared" ca="1" si="177"/>
      </c>
      <c r="T786" s="74">
        <f t="shared" si="178"/>
      </c>
    </row>
    <row r="787" spans="2:20" x14ac:dyDescent="0.3">
      <c r="B787" s="74">
        <f t="shared" ca="1" si="168"/>
      </c>
      <c r="C787" s="78">
        <f>Кабельный_журнал!P753</f>
      </c>
      <c r="D787" s="74">
        <f t="shared" ca="1" si="169"/>
      </c>
      <c r="E787" s="80" t="s">
        <v>279</v>
      </c>
      <c r="F787" s="74">
        <f t="shared" ca="1" si="165"/>
      </c>
      <c r="G787" s="74">
        <f t="shared" si="166"/>
      </c>
      <c r="H787" s="80" t="s">
        <v>272</v>
      </c>
      <c r="I787" s="74">
        <f t="shared" si="167"/>
      </c>
      <c r="J787" s="74">
        <f t="shared" si="170"/>
      </c>
      <c r="K787" s="80" t="s">
        <v>280</v>
      </c>
      <c r="L787" s="74">
        <f t="shared" si="171"/>
      </c>
      <c r="M787" s="74">
        <f t="shared" ca="1" si="172"/>
      </c>
      <c r="N787" s="74">
        <f ca="1">VLOOKUP(B787,$C$7:$T785,13,FALSE)</f>
      </c>
      <c r="O787" s="74">
        <f t="shared" ca="1" si="173"/>
      </c>
      <c r="P787" s="74">
        <f t="shared" ca="1" si="174"/>
      </c>
      <c r="Q787" s="74">
        <f t="shared" ca="1" si="175"/>
      </c>
      <c r="R787" s="74">
        <f t="shared" si="176"/>
      </c>
      <c r="S787" s="74">
        <f t="shared" ca="1" si="177"/>
      </c>
      <c r="T787" s="74">
        <f t="shared" si="178"/>
      </c>
    </row>
    <row r="788" spans="2:20" x14ac:dyDescent="0.3">
      <c r="B788" s="74">
        <f t="shared" ca="1" si="168"/>
      </c>
      <c r="C788" s="78">
        <f>Кабельный_журнал!P754</f>
      </c>
      <c r="D788" s="74">
        <f t="shared" ca="1" si="169"/>
      </c>
      <c r="E788" s="80" t="s">
        <v>279</v>
      </c>
      <c r="F788" s="74">
        <f t="shared" ca="1" si="165"/>
      </c>
      <c r="G788" s="74">
        <f t="shared" si="166"/>
      </c>
      <c r="H788" s="80" t="s">
        <v>272</v>
      </c>
      <c r="I788" s="74">
        <f t="shared" si="167"/>
      </c>
      <c r="J788" s="74">
        <f t="shared" si="170"/>
      </c>
      <c r="K788" s="80" t="s">
        <v>280</v>
      </c>
      <c r="L788" s="74">
        <f t="shared" si="171"/>
      </c>
      <c r="M788" s="74">
        <f t="shared" ca="1" si="172"/>
      </c>
      <c r="N788" s="74">
        <f ca="1">VLOOKUP(B788,$C$7:$T786,13,FALSE)</f>
      </c>
      <c r="O788" s="74">
        <f t="shared" ca="1" si="173"/>
      </c>
      <c r="P788" s="74">
        <f t="shared" ca="1" si="174"/>
      </c>
      <c r="Q788" s="74">
        <f t="shared" ca="1" si="175"/>
      </c>
      <c r="R788" s="74">
        <f t="shared" si="176"/>
      </c>
      <c r="S788" s="74">
        <f t="shared" ca="1" si="177"/>
      </c>
      <c r="T788" s="74">
        <f t="shared" si="178"/>
      </c>
    </row>
    <row r="789" spans="2:20" x14ac:dyDescent="0.3">
      <c r="B789" s="74">
        <f t="shared" ca="1" si="168"/>
      </c>
      <c r="C789" s="78">
        <f>Кабельный_журнал!P755</f>
      </c>
      <c r="D789" s="74">
        <f t="shared" ca="1" si="169"/>
      </c>
      <c r="E789" s="80" t="s">
        <v>279</v>
      </c>
      <c r="F789" s="74">
        <f t="shared" ca="1" si="165"/>
      </c>
      <c r="G789" s="74">
        <f t="shared" si="166"/>
      </c>
      <c r="H789" s="80" t="s">
        <v>272</v>
      </c>
      <c r="I789" s="74">
        <f t="shared" si="167"/>
      </c>
      <c r="J789" s="74">
        <f t="shared" si="170"/>
      </c>
      <c r="K789" s="80" t="s">
        <v>280</v>
      </c>
      <c r="L789" s="74">
        <f t="shared" si="171"/>
      </c>
      <c r="M789" s="74">
        <f t="shared" ca="1" si="172"/>
      </c>
      <c r="N789" s="74">
        <f ca="1">VLOOKUP(B789,$C$7:$T787,13,FALSE)</f>
      </c>
      <c r="O789" s="74">
        <f t="shared" ca="1" si="173"/>
      </c>
      <c r="P789" s="74">
        <f t="shared" ca="1" si="174"/>
      </c>
      <c r="Q789" s="74">
        <f t="shared" ca="1" si="175"/>
      </c>
      <c r="R789" s="74">
        <f t="shared" si="176"/>
      </c>
      <c r="S789" s="74">
        <f t="shared" ca="1" si="177"/>
      </c>
      <c r="T789" s="74">
        <f t="shared" si="178"/>
      </c>
    </row>
    <row r="790" spans="2:20" x14ac:dyDescent="0.3">
      <c r="B790" s="74">
        <f t="shared" ca="1" si="168"/>
      </c>
      <c r="C790" s="78">
        <f>Кабельный_журнал!P756</f>
      </c>
      <c r="D790" s="74">
        <f t="shared" ca="1" si="169"/>
      </c>
      <c r="E790" s="80" t="s">
        <v>279</v>
      </c>
      <c r="F790" s="74">
        <f t="shared" ca="1" si="165"/>
      </c>
      <c r="G790" s="74">
        <f t="shared" si="166"/>
      </c>
      <c r="H790" s="80" t="s">
        <v>272</v>
      </c>
      <c r="I790" s="74">
        <f t="shared" si="167"/>
      </c>
      <c r="J790" s="74">
        <f t="shared" si="170"/>
      </c>
      <c r="K790" s="80" t="s">
        <v>280</v>
      </c>
      <c r="L790" s="74">
        <f t="shared" si="171"/>
      </c>
      <c r="M790" s="74">
        <f t="shared" ca="1" si="172"/>
      </c>
      <c r="N790" s="74">
        <f ca="1">VLOOKUP(B790,$C$7:$T788,13,FALSE)</f>
      </c>
      <c r="O790" s="74">
        <f t="shared" ca="1" si="173"/>
      </c>
      <c r="P790" s="74">
        <f t="shared" ca="1" si="174"/>
      </c>
      <c r="Q790" s="74">
        <f t="shared" ca="1" si="175"/>
      </c>
      <c r="R790" s="74">
        <f t="shared" si="176"/>
      </c>
      <c r="S790" s="74">
        <f t="shared" ca="1" si="177"/>
      </c>
      <c r="T790" s="74">
        <f t="shared" si="178"/>
      </c>
    </row>
    <row r="791" spans="2:20" x14ac:dyDescent="0.3">
      <c r="B791" s="74">
        <f t="shared" ca="1" si="168"/>
      </c>
      <c r="C791" s="78">
        <f>Кабельный_журнал!P757</f>
      </c>
      <c r="D791" s="74">
        <f t="shared" ca="1" si="169"/>
      </c>
      <c r="E791" s="80" t="s">
        <v>279</v>
      </c>
      <c r="F791" s="74">
        <f t="shared" ca="1" si="165"/>
      </c>
      <c r="G791" s="74">
        <f t="shared" si="166"/>
      </c>
      <c r="H791" s="80" t="s">
        <v>272</v>
      </c>
      <c r="I791" s="74">
        <f t="shared" si="167"/>
      </c>
      <c r="J791" s="74">
        <f t="shared" si="170"/>
      </c>
      <c r="K791" s="80" t="s">
        <v>280</v>
      </c>
      <c r="L791" s="74">
        <f t="shared" si="171"/>
      </c>
      <c r="M791" s="74">
        <f t="shared" ca="1" si="172"/>
      </c>
      <c r="N791" s="74">
        <f ca="1">VLOOKUP(B791,$C$7:$T789,13,FALSE)</f>
      </c>
      <c r="O791" s="74">
        <f t="shared" ca="1" si="173"/>
      </c>
      <c r="P791" s="74">
        <f t="shared" ca="1" si="174"/>
      </c>
      <c r="Q791" s="74">
        <f t="shared" ca="1" si="175"/>
      </c>
      <c r="R791" s="74">
        <f t="shared" si="176"/>
      </c>
      <c r="S791" s="74">
        <f t="shared" ca="1" si="177"/>
      </c>
      <c r="T791" s="74">
        <f t="shared" si="178"/>
      </c>
    </row>
    <row r="792" spans="2:20" x14ac:dyDescent="0.3">
      <c r="B792" s="74">
        <f t="shared" ca="1" si="168"/>
      </c>
      <c r="C792" s="78">
        <f>Кабельный_журнал!P758</f>
      </c>
      <c r="D792" s="74">
        <f t="shared" ca="1" si="169"/>
      </c>
      <c r="E792" s="80" t="s">
        <v>279</v>
      </c>
      <c r="F792" s="74">
        <f t="shared" ca="1" si="165"/>
      </c>
      <c r="G792" s="74">
        <f t="shared" si="166"/>
      </c>
      <c r="H792" s="80" t="s">
        <v>272</v>
      </c>
      <c r="I792" s="74">
        <f t="shared" si="167"/>
      </c>
      <c r="J792" s="74">
        <f t="shared" si="170"/>
      </c>
      <c r="K792" s="80" t="s">
        <v>280</v>
      </c>
      <c r="L792" s="74">
        <f t="shared" si="171"/>
      </c>
      <c r="M792" s="74">
        <f t="shared" ca="1" si="172"/>
      </c>
      <c r="N792" s="74">
        <f ca="1">VLOOKUP(B792,$C$7:$T790,13,FALSE)</f>
      </c>
      <c r="O792" s="74">
        <f t="shared" ca="1" si="173"/>
      </c>
      <c r="P792" s="74">
        <f t="shared" ca="1" si="174"/>
      </c>
      <c r="Q792" s="74">
        <f t="shared" ca="1" si="175"/>
      </c>
      <c r="R792" s="74">
        <f t="shared" si="176"/>
      </c>
      <c r="S792" s="74">
        <f t="shared" ca="1" si="177"/>
      </c>
      <c r="T792" s="74">
        <f t="shared" si="178"/>
      </c>
    </row>
    <row r="793" spans="2:20" x14ac:dyDescent="0.3">
      <c r="B793" s="74">
        <f t="shared" ca="1" si="168"/>
      </c>
      <c r="C793" s="78">
        <f>Кабельный_журнал!P759</f>
      </c>
      <c r="D793" s="74">
        <f t="shared" ca="1" si="169"/>
      </c>
      <c r="E793" s="80" t="s">
        <v>279</v>
      </c>
      <c r="F793" s="74">
        <f t="shared" ca="1" si="165"/>
      </c>
      <c r="G793" s="74">
        <f t="shared" si="166"/>
      </c>
      <c r="H793" s="80" t="s">
        <v>272</v>
      </c>
      <c r="I793" s="74">
        <f t="shared" si="167"/>
      </c>
      <c r="J793" s="74">
        <f t="shared" si="170"/>
      </c>
      <c r="K793" s="80" t="s">
        <v>280</v>
      </c>
      <c r="L793" s="74">
        <f t="shared" si="171"/>
      </c>
      <c r="M793" s="74">
        <f t="shared" ca="1" si="172"/>
      </c>
      <c r="N793" s="74">
        <f ca="1">VLOOKUP(B793,$C$7:$T791,13,FALSE)</f>
      </c>
      <c r="O793" s="74">
        <f t="shared" ca="1" si="173"/>
      </c>
      <c r="P793" s="74">
        <f t="shared" ca="1" si="174"/>
      </c>
      <c r="Q793" s="74">
        <f t="shared" ca="1" si="175"/>
      </c>
      <c r="R793" s="74">
        <f t="shared" si="176"/>
      </c>
      <c r="S793" s="74">
        <f t="shared" ca="1" si="177"/>
      </c>
      <c r="T793" s="74">
        <f t="shared" si="178"/>
      </c>
    </row>
    <row r="794" spans="2:20" x14ac:dyDescent="0.3">
      <c r="B794" s="74">
        <f t="shared" ca="1" si="168"/>
      </c>
      <c r="C794" s="78">
        <f>Кабельный_журнал!P760</f>
      </c>
      <c r="D794" s="74">
        <f t="shared" ca="1" si="169"/>
      </c>
      <c r="E794" s="80" t="s">
        <v>279</v>
      </c>
      <c r="F794" s="74">
        <f t="shared" ca="1" si="165"/>
      </c>
      <c r="G794" s="74">
        <f t="shared" si="166"/>
      </c>
      <c r="H794" s="80" t="s">
        <v>272</v>
      </c>
      <c r="I794" s="74">
        <f t="shared" si="167"/>
      </c>
      <c r="J794" s="74">
        <f t="shared" si="170"/>
      </c>
      <c r="K794" s="80" t="s">
        <v>280</v>
      </c>
      <c r="L794" s="74">
        <f t="shared" si="171"/>
      </c>
      <c r="M794" s="74">
        <f t="shared" ca="1" si="172"/>
      </c>
      <c r="N794" s="74">
        <f ca="1">VLOOKUP(B794,$C$7:$T792,13,FALSE)</f>
      </c>
      <c r="O794" s="74">
        <f t="shared" ca="1" si="173"/>
      </c>
      <c r="P794" s="74">
        <f t="shared" ca="1" si="174"/>
      </c>
      <c r="Q794" s="74">
        <f t="shared" ca="1" si="175"/>
      </c>
      <c r="R794" s="74">
        <f t="shared" si="176"/>
      </c>
      <c r="S794" s="74">
        <f t="shared" ca="1" si="177"/>
      </c>
      <c r="T794" s="74">
        <f t="shared" si="178"/>
      </c>
    </row>
    <row r="795" spans="2:20" x14ac:dyDescent="0.3">
      <c r="B795" s="74">
        <f t="shared" ca="1" si="168"/>
      </c>
      <c r="C795" s="78">
        <f>Кабельный_журнал!P761</f>
      </c>
      <c r="D795" s="74">
        <f t="shared" ca="1" si="169"/>
      </c>
      <c r="E795" s="80" t="s">
        <v>279</v>
      </c>
      <c r="F795" s="74">
        <f t="shared" ca="1" si="165"/>
      </c>
      <c r="G795" s="74">
        <f t="shared" si="166"/>
      </c>
      <c r="H795" s="80" t="s">
        <v>272</v>
      </c>
      <c r="I795" s="74">
        <f t="shared" si="167"/>
      </c>
      <c r="J795" s="74">
        <f t="shared" si="170"/>
      </c>
      <c r="K795" s="80" t="s">
        <v>280</v>
      </c>
      <c r="L795" s="74">
        <f t="shared" si="171"/>
      </c>
      <c r="M795" s="74">
        <f t="shared" ca="1" si="172"/>
      </c>
      <c r="N795" s="74">
        <f ca="1">VLOOKUP(B795,$C$7:$T793,13,FALSE)</f>
      </c>
      <c r="O795" s="74">
        <f t="shared" ca="1" si="173"/>
      </c>
      <c r="P795" s="74">
        <f t="shared" ca="1" si="174"/>
      </c>
      <c r="Q795" s="74">
        <f t="shared" ca="1" si="175"/>
      </c>
      <c r="R795" s="74">
        <f t="shared" si="176"/>
      </c>
      <c r="S795" s="74">
        <f t="shared" ca="1" si="177"/>
      </c>
      <c r="T795" s="74">
        <f t="shared" si="178"/>
      </c>
    </row>
    <row r="796" spans="2:20" x14ac:dyDescent="0.3">
      <c r="B796" s="74">
        <f t="shared" ca="1" si="168"/>
      </c>
      <c r="C796" s="78">
        <f>Кабельный_журнал!P762</f>
      </c>
      <c r="D796" s="74">
        <f t="shared" ca="1" si="169"/>
      </c>
      <c r="E796" s="80" t="s">
        <v>279</v>
      </c>
      <c r="F796" s="74">
        <f t="shared" ca="1" si="165"/>
      </c>
      <c r="G796" s="74">
        <f t="shared" si="166"/>
      </c>
      <c r="H796" s="80" t="s">
        <v>272</v>
      </c>
      <c r="I796" s="74">
        <f t="shared" si="167"/>
      </c>
      <c r="J796" s="74">
        <f t="shared" si="170"/>
      </c>
      <c r="K796" s="80" t="s">
        <v>280</v>
      </c>
      <c r="L796" s="74">
        <f t="shared" si="171"/>
      </c>
      <c r="M796" s="74">
        <f t="shared" ca="1" si="172"/>
      </c>
      <c r="N796" s="74">
        <f ca="1">VLOOKUP(B796,$C$7:$T794,13,FALSE)</f>
      </c>
      <c r="O796" s="74">
        <f t="shared" ca="1" si="173"/>
      </c>
      <c r="P796" s="74">
        <f t="shared" ca="1" si="174"/>
      </c>
      <c r="Q796" s="74">
        <f t="shared" ca="1" si="175"/>
      </c>
      <c r="R796" s="74">
        <f t="shared" si="176"/>
      </c>
      <c r="S796" s="74">
        <f t="shared" ca="1" si="177"/>
      </c>
      <c r="T796" s="74">
        <f t="shared" si="178"/>
      </c>
    </row>
    <row r="797" spans="2:20" x14ac:dyDescent="0.3">
      <c r="B797" s="74">
        <f t="shared" ca="1" si="168"/>
      </c>
      <c r="C797" s="78">
        <f>Кабельный_журнал!P763</f>
      </c>
      <c r="D797" s="74">
        <f t="shared" ca="1" si="169"/>
      </c>
      <c r="E797" s="80" t="s">
        <v>279</v>
      </c>
      <c r="F797" s="74">
        <f t="shared" ca="1" si="165"/>
      </c>
      <c r="G797" s="74">
        <f t="shared" si="166"/>
      </c>
      <c r="H797" s="80" t="s">
        <v>272</v>
      </c>
      <c r="I797" s="74">
        <f t="shared" si="167"/>
      </c>
      <c r="J797" s="74">
        <f t="shared" si="170"/>
      </c>
      <c r="K797" s="80" t="s">
        <v>280</v>
      </c>
      <c r="L797" s="74">
        <f t="shared" si="171"/>
      </c>
      <c r="M797" s="74">
        <f t="shared" ca="1" si="172"/>
      </c>
      <c r="N797" s="74">
        <f ca="1">VLOOKUP(B797,$C$7:$T795,13,FALSE)</f>
      </c>
      <c r="O797" s="74">
        <f t="shared" ca="1" si="173"/>
      </c>
      <c r="P797" s="74">
        <f t="shared" ca="1" si="174"/>
      </c>
      <c r="Q797" s="74">
        <f t="shared" ca="1" si="175"/>
      </c>
      <c r="R797" s="74">
        <f t="shared" si="176"/>
      </c>
      <c r="S797" s="74">
        <f t="shared" ca="1" si="177"/>
      </c>
      <c r="T797" s="74">
        <f t="shared" si="178"/>
      </c>
    </row>
    <row r="798" spans="2:20" x14ac:dyDescent="0.3">
      <c r="B798" s="74">
        <f t="shared" ca="1" si="168"/>
      </c>
      <c r="C798" s="78">
        <f>Кабельный_журнал!P764</f>
      </c>
      <c r="D798" s="74">
        <f t="shared" ca="1" si="169"/>
      </c>
      <c r="E798" s="80" t="s">
        <v>279</v>
      </c>
      <c r="F798" s="74">
        <f t="shared" ca="1" si="165"/>
      </c>
      <c r="G798" s="74">
        <f t="shared" si="166"/>
      </c>
      <c r="H798" s="80" t="s">
        <v>272</v>
      </c>
      <c r="I798" s="74">
        <f t="shared" si="167"/>
      </c>
      <c r="J798" s="74">
        <f t="shared" si="170"/>
      </c>
      <c r="K798" s="80" t="s">
        <v>280</v>
      </c>
      <c r="L798" s="74">
        <f t="shared" si="171"/>
      </c>
      <c r="M798" s="74">
        <f t="shared" ca="1" si="172"/>
      </c>
      <c r="N798" s="74">
        <f ca="1">VLOOKUP(B798,$C$7:$T796,13,FALSE)</f>
      </c>
      <c r="O798" s="74">
        <f t="shared" ca="1" si="173"/>
      </c>
      <c r="P798" s="74">
        <f t="shared" ca="1" si="174"/>
      </c>
      <c r="Q798" s="74">
        <f t="shared" ca="1" si="175"/>
      </c>
      <c r="R798" s="74">
        <f t="shared" si="176"/>
      </c>
      <c r="S798" s="74">
        <f t="shared" ca="1" si="177"/>
      </c>
      <c r="T798" s="74">
        <f t="shared" si="178"/>
      </c>
    </row>
    <row r="799" spans="2:20" x14ac:dyDescent="0.3">
      <c r="B799" s="74">
        <f t="shared" ca="1" si="168"/>
      </c>
      <c r="C799" s="78">
        <f>Кабельный_журнал!P765</f>
      </c>
      <c r="D799" s="74">
        <f t="shared" ca="1" si="169"/>
      </c>
      <c r="E799" s="80" t="s">
        <v>279</v>
      </c>
      <c r="F799" s="74">
        <f t="shared" ca="1" si="165"/>
      </c>
      <c r="G799" s="74">
        <f t="shared" si="166"/>
      </c>
      <c r="H799" s="80" t="s">
        <v>272</v>
      </c>
      <c r="I799" s="74">
        <f t="shared" si="167"/>
      </c>
      <c r="J799" s="74">
        <f t="shared" si="170"/>
      </c>
      <c r="K799" s="80" t="s">
        <v>280</v>
      </c>
      <c r="L799" s="74">
        <f t="shared" si="171"/>
      </c>
      <c r="M799" s="74">
        <f t="shared" ca="1" si="172"/>
      </c>
      <c r="N799" s="74">
        <f ca="1">VLOOKUP(B799,$C$7:$T797,13,FALSE)</f>
      </c>
      <c r="O799" s="74">
        <f t="shared" ca="1" si="173"/>
      </c>
      <c r="P799" s="74">
        <f t="shared" ca="1" si="174"/>
      </c>
      <c r="Q799" s="74">
        <f t="shared" ca="1" si="175"/>
      </c>
      <c r="R799" s="74">
        <f t="shared" si="176"/>
      </c>
      <c r="S799" s="74">
        <f t="shared" ca="1" si="177"/>
      </c>
      <c r="T799" s="74">
        <f t="shared" si="178"/>
      </c>
    </row>
    <row r="800" spans="2:20" x14ac:dyDescent="0.3">
      <c r="B800" s="74">
        <f t="shared" ca="1" si="168"/>
      </c>
      <c r="C800" s="78">
        <f>Кабельный_журнал!P766</f>
      </c>
      <c r="D800" s="74">
        <f t="shared" ca="1" si="169"/>
      </c>
      <c r="E800" s="80" t="s">
        <v>279</v>
      </c>
      <c r="F800" s="74">
        <f t="shared" ca="1" si="165"/>
      </c>
      <c r="G800" s="74">
        <f t="shared" si="166"/>
      </c>
      <c r="H800" s="80" t="s">
        <v>272</v>
      </c>
      <c r="I800" s="74">
        <f t="shared" si="167"/>
      </c>
      <c r="J800" s="74">
        <f t="shared" si="170"/>
      </c>
      <c r="K800" s="80" t="s">
        <v>280</v>
      </c>
      <c r="L800" s="74">
        <f t="shared" si="171"/>
      </c>
      <c r="M800" s="74">
        <f t="shared" ca="1" si="172"/>
      </c>
      <c r="N800" s="74">
        <f ca="1">VLOOKUP(B800,$C$7:$T798,13,FALSE)</f>
      </c>
      <c r="O800" s="74">
        <f t="shared" ca="1" si="173"/>
      </c>
      <c r="P800" s="74">
        <f t="shared" ca="1" si="174"/>
      </c>
      <c r="Q800" s="74">
        <f t="shared" ca="1" si="175"/>
      </c>
      <c r="R800" s="74">
        <f t="shared" si="176"/>
      </c>
      <c r="S800" s="74">
        <f t="shared" ca="1" si="177"/>
      </c>
      <c r="T800" s="74">
        <f t="shared" si="178"/>
      </c>
    </row>
    <row r="801" spans="2:20" x14ac:dyDescent="0.3">
      <c r="B801" s="74">
        <f t="shared" ca="1" si="168"/>
      </c>
      <c r="C801" s="78">
        <f>Кабельный_журнал!P767</f>
      </c>
      <c r="D801" s="74">
        <f t="shared" ca="1" si="169"/>
      </c>
      <c r="E801" s="80" t="s">
        <v>279</v>
      </c>
      <c r="F801" s="74">
        <f t="shared" ca="1" si="165"/>
      </c>
      <c r="G801" s="74">
        <f t="shared" si="166"/>
      </c>
      <c r="H801" s="80" t="s">
        <v>272</v>
      </c>
      <c r="I801" s="74">
        <f t="shared" si="167"/>
      </c>
      <c r="J801" s="74">
        <f t="shared" si="170"/>
      </c>
      <c r="K801" s="80" t="s">
        <v>280</v>
      </c>
      <c r="L801" s="74">
        <f t="shared" si="171"/>
      </c>
      <c r="M801" s="74">
        <f t="shared" ca="1" si="172"/>
      </c>
      <c r="N801" s="74">
        <f ca="1">VLOOKUP(B801,$C$7:$T799,13,FALSE)</f>
      </c>
      <c r="O801" s="74">
        <f t="shared" ca="1" si="173"/>
      </c>
      <c r="P801" s="74">
        <f t="shared" ca="1" si="174"/>
      </c>
      <c r="Q801" s="74">
        <f t="shared" ca="1" si="175"/>
      </c>
      <c r="R801" s="74">
        <f t="shared" si="176"/>
      </c>
      <c r="S801" s="74">
        <f t="shared" ca="1" si="177"/>
      </c>
      <c r="T801" s="74">
        <f t="shared" si="178"/>
      </c>
    </row>
    <row r="802" spans="2:20" x14ac:dyDescent="0.3">
      <c r="B802" s="74">
        <f t="shared" ca="1" si="168"/>
      </c>
      <c r="C802" s="78">
        <f>Кабельный_журнал!P768</f>
      </c>
      <c r="D802" s="74">
        <f t="shared" ca="1" si="169"/>
      </c>
      <c r="E802" s="80" t="s">
        <v>279</v>
      </c>
      <c r="F802" s="74">
        <f t="shared" ca="1" si="165"/>
      </c>
      <c r="G802" s="74">
        <f t="shared" si="166"/>
      </c>
      <c r="H802" s="80" t="s">
        <v>272</v>
      </c>
      <c r="I802" s="74">
        <f t="shared" si="167"/>
      </c>
      <c r="J802" s="74">
        <f t="shared" si="170"/>
      </c>
      <c r="K802" s="80" t="s">
        <v>280</v>
      </c>
      <c r="L802" s="74">
        <f t="shared" si="171"/>
      </c>
      <c r="M802" s="74">
        <f t="shared" ca="1" si="172"/>
      </c>
      <c r="N802" s="74">
        <f ca="1">VLOOKUP(B802,$C$7:$T800,13,FALSE)</f>
      </c>
      <c r="O802" s="74">
        <f t="shared" ca="1" si="173"/>
      </c>
      <c r="P802" s="74">
        <f t="shared" ca="1" si="174"/>
      </c>
      <c r="Q802" s="74">
        <f t="shared" ca="1" si="175"/>
      </c>
      <c r="R802" s="74">
        <f t="shared" si="176"/>
      </c>
      <c r="S802" s="74">
        <f t="shared" ca="1" si="177"/>
      </c>
      <c r="T802" s="74">
        <f t="shared" si="178"/>
      </c>
    </row>
    <row r="803" spans="2:20" x14ac:dyDescent="0.3">
      <c r="B803" s="74">
        <f t="shared" ca="1" si="168"/>
      </c>
      <c r="C803" s="78">
        <f>Кабельный_журнал!P769</f>
      </c>
      <c r="D803" s="74">
        <f t="shared" ca="1" si="169"/>
      </c>
      <c r="E803" s="80" t="s">
        <v>279</v>
      </c>
      <c r="F803" s="74">
        <f t="shared" ca="1" si="165"/>
      </c>
      <c r="G803" s="74">
        <f t="shared" si="166"/>
      </c>
      <c r="H803" s="80" t="s">
        <v>272</v>
      </c>
      <c r="I803" s="74">
        <f t="shared" si="167"/>
      </c>
      <c r="J803" s="74">
        <f t="shared" si="170"/>
      </c>
      <c r="K803" s="80" t="s">
        <v>280</v>
      </c>
      <c r="L803" s="74">
        <f t="shared" si="171"/>
      </c>
      <c r="M803" s="74">
        <f t="shared" ca="1" si="172"/>
      </c>
      <c r="N803" s="74">
        <f ca="1">VLOOKUP(B803,$C$7:$T801,13,FALSE)</f>
      </c>
      <c r="O803" s="74">
        <f t="shared" ca="1" si="173"/>
      </c>
      <c r="P803" s="74">
        <f t="shared" ca="1" si="174"/>
      </c>
      <c r="Q803" s="74">
        <f t="shared" ca="1" si="175"/>
      </c>
      <c r="R803" s="74">
        <f t="shared" si="176"/>
      </c>
      <c r="S803" s="74">
        <f t="shared" ca="1" si="177"/>
      </c>
      <c r="T803" s="74">
        <f t="shared" si="178"/>
      </c>
    </row>
    <row r="804" spans="2:20" x14ac:dyDescent="0.3">
      <c r="B804" s="74">
        <f t="shared" ca="1" si="168"/>
      </c>
      <c r="C804" s="78">
        <f>Кабельный_журнал!P770</f>
      </c>
      <c r="D804" s="74">
        <f t="shared" ca="1" si="169"/>
      </c>
      <c r="E804" s="80" t="s">
        <v>279</v>
      </c>
      <c r="F804" s="74">
        <f t="shared" ca="1" si="165"/>
      </c>
      <c r="G804" s="74">
        <f t="shared" si="166"/>
      </c>
      <c r="H804" s="80" t="s">
        <v>272</v>
      </c>
      <c r="I804" s="74">
        <f t="shared" si="167"/>
      </c>
      <c r="J804" s="74">
        <f t="shared" si="170"/>
      </c>
      <c r="K804" s="80" t="s">
        <v>280</v>
      </c>
      <c r="L804" s="74">
        <f t="shared" si="171"/>
      </c>
      <c r="M804" s="74">
        <f t="shared" ca="1" si="172"/>
      </c>
      <c r="N804" s="74">
        <f ca="1">VLOOKUP(B804,$C$7:$T802,13,FALSE)</f>
      </c>
      <c r="O804" s="74">
        <f t="shared" ca="1" si="173"/>
      </c>
      <c r="P804" s="74">
        <f t="shared" ca="1" si="174"/>
      </c>
      <c r="Q804" s="74">
        <f t="shared" ca="1" si="175"/>
      </c>
      <c r="R804" s="74">
        <f t="shared" si="176"/>
      </c>
      <c r="S804" s="74">
        <f t="shared" ca="1" si="177"/>
      </c>
      <c r="T804" s="74">
        <f t="shared" si="178"/>
      </c>
    </row>
    <row r="805" spans="2:20" x14ac:dyDescent="0.3">
      <c r="B805" s="74">
        <f t="shared" ca="1" si="168"/>
      </c>
      <c r="C805" s="78">
        <f>Кабельный_журнал!P771</f>
      </c>
      <c r="D805" s="74">
        <f t="shared" ca="1" si="169"/>
      </c>
      <c r="E805" s="80" t="s">
        <v>279</v>
      </c>
      <c r="F805" s="74">
        <f t="shared" ca="1" si="165"/>
      </c>
      <c r="G805" s="74">
        <f t="shared" si="166"/>
      </c>
      <c r="H805" s="80" t="s">
        <v>272</v>
      </c>
      <c r="I805" s="74">
        <f t="shared" si="167"/>
      </c>
      <c r="J805" s="74">
        <f t="shared" si="170"/>
      </c>
      <c r="K805" s="80" t="s">
        <v>280</v>
      </c>
      <c r="L805" s="74">
        <f t="shared" si="171"/>
      </c>
      <c r="M805" s="74">
        <f t="shared" ca="1" si="172"/>
      </c>
      <c r="N805" s="74">
        <f ca="1">VLOOKUP(B805,$C$7:$T803,13,FALSE)</f>
      </c>
      <c r="O805" s="74">
        <f t="shared" ca="1" si="173"/>
      </c>
      <c r="P805" s="74">
        <f t="shared" ca="1" si="174"/>
      </c>
      <c r="Q805" s="74">
        <f t="shared" ca="1" si="175"/>
      </c>
      <c r="R805" s="74">
        <f t="shared" si="176"/>
      </c>
      <c r="S805" s="74">
        <f t="shared" ca="1" si="177"/>
      </c>
      <c r="T805" s="74">
        <f t="shared" si="178"/>
      </c>
    </row>
    <row r="806" spans="2:20" x14ac:dyDescent="0.3">
      <c r="B806" s="74">
        <f t="shared" ca="1" si="168"/>
      </c>
      <c r="C806" s="78">
        <f>Кабельный_журнал!P772</f>
      </c>
      <c r="D806" s="74">
        <f t="shared" ca="1" si="169"/>
      </c>
      <c r="E806" s="80" t="s">
        <v>279</v>
      </c>
      <c r="F806" s="74">
        <f t="shared" ca="1" si="165"/>
      </c>
      <c r="G806" s="74">
        <f t="shared" si="166"/>
      </c>
      <c r="H806" s="80" t="s">
        <v>272</v>
      </c>
      <c r="I806" s="74">
        <f t="shared" si="167"/>
      </c>
      <c r="J806" s="74">
        <f t="shared" si="170"/>
      </c>
      <c r="K806" s="80" t="s">
        <v>280</v>
      </c>
      <c r="L806" s="74">
        <f t="shared" si="171"/>
      </c>
      <c r="M806" s="74">
        <f t="shared" ca="1" si="172"/>
      </c>
      <c r="N806" s="74">
        <f ca="1">VLOOKUP(B806,$C$7:$T804,13,FALSE)</f>
      </c>
      <c r="O806" s="74">
        <f t="shared" ca="1" si="173"/>
      </c>
      <c r="P806" s="74">
        <f t="shared" ca="1" si="174"/>
      </c>
      <c r="Q806" s="74">
        <f t="shared" ca="1" si="175"/>
      </c>
      <c r="R806" s="74">
        <f t="shared" si="176"/>
      </c>
      <c r="S806" s="74">
        <f t="shared" ca="1" si="177"/>
      </c>
      <c r="T806" s="74">
        <f t="shared" si="178"/>
      </c>
    </row>
    <row r="807" spans="2:20" x14ac:dyDescent="0.3">
      <c r="B807" s="74">
        <f t="shared" ca="1" si="168"/>
      </c>
      <c r="C807" s="78">
        <f>Кабельный_журнал!P773</f>
      </c>
      <c r="D807" s="74">
        <f t="shared" ca="1" si="169"/>
      </c>
      <c r="E807" s="80" t="s">
        <v>279</v>
      </c>
      <c r="F807" s="74">
        <f t="shared" ref="F807:F870" ca="1" si="179">VLOOKUP(C807,Кабельный_журнал,8,FALSE)</f>
      </c>
      <c r="G807" s="74">
        <f t="shared" ref="G807:G870" si="180">VLOOKUP(C807,Исходные_данные,21,FALSE)</f>
      </c>
      <c r="H807" s="80" t="s">
        <v>272</v>
      </c>
      <c r="I807" s="74">
        <f t="shared" ref="I807:I870" si="181">VLOOKUP(C807,Исходные_данные,22,FALSE)</f>
      </c>
      <c r="J807" s="74">
        <f t="shared" si="170"/>
      </c>
      <c r="K807" s="80" t="s">
        <v>280</v>
      </c>
      <c r="L807" s="74">
        <f t="shared" si="171"/>
      </c>
      <c r="M807" s="74">
        <f t="shared" ca="1" si="172"/>
      </c>
      <c r="N807" s="74">
        <f ca="1">VLOOKUP(B807,$C$7:$T805,13,FALSE)</f>
      </c>
      <c r="O807" s="74">
        <f t="shared" ca="1" si="173"/>
      </c>
      <c r="P807" s="74">
        <f t="shared" ca="1" si="174"/>
      </c>
      <c r="Q807" s="74">
        <f t="shared" ca="1" si="175"/>
      </c>
      <c r="R807" s="74">
        <f t="shared" si="176"/>
      </c>
      <c r="S807" s="74">
        <f t="shared" ca="1" si="177"/>
      </c>
      <c r="T807" s="74">
        <f t="shared" si="178"/>
      </c>
    </row>
    <row r="808" spans="2:20" x14ac:dyDescent="0.3">
      <c r="B808" s="74">
        <f t="shared" ref="B808:B871" ca="1" si="182">VLOOKUP(C808,Кабельный_журнал,2,FALSE)</f>
      </c>
      <c r="C808" s="78">
        <f>Кабельный_журнал!P774</f>
      </c>
      <c r="D808" s="74">
        <f t="shared" ref="D808:D871" ca="1" si="183">B808&amp;"-"&amp;C808</f>
      </c>
      <c r="E808" s="80" t="s">
        <v>279</v>
      </c>
      <c r="F808" s="74">
        <f t="shared" ca="1" si="179"/>
      </c>
      <c r="G808" s="74">
        <f t="shared" si="180"/>
      </c>
      <c r="H808" s="80" t="s">
        <v>272</v>
      </c>
      <c r="I808" s="74">
        <f t="shared" si="181"/>
      </c>
      <c r="J808" s="74">
        <f t="shared" ref="J808:J871" si="184">I808</f>
      </c>
      <c r="K808" s="80" t="s">
        <v>280</v>
      </c>
      <c r="L808" s="74">
        <f t="shared" ref="L808:L871" si="185">VLOOKUP(K808,$K$2:$L$3,2,FALSE)</f>
      </c>
      <c r="M808" s="74">
        <f t="shared" ref="M808:M871" ca="1" si="186">L808*F808*(1/I808+1/J808)</f>
      </c>
      <c r="N808" s="74">
        <f ca="1">VLOOKUP(B808,$C$7:$T806,13,FALSE)</f>
      </c>
      <c r="O808" s="74">
        <f t="shared" ref="O808:O871" ca="1" si="187">L808+M808</f>
      </c>
      <c r="P808" s="74">
        <f t="shared" ref="P808:P871" ca="1" si="188">220/O808</f>
      </c>
      <c r="Q808" s="74">
        <f t="shared" ref="Q808:Q871" ca="1" si="189">O808/G808</f>
      </c>
      <c r="R808" s="74">
        <f t="shared" ref="R808:R871" si="190">VLOOKUP(H808,$W$2:$Y$12,3,FALSE)</f>
      </c>
      <c r="S808" s="74">
        <f t="shared" ref="S808:S871" ca="1" si="191">_xlfn.IFS(E808="щит",IF(P808&gt;R808,"Увел сеч",IF(T808&gt;P808,"Увел сеч","tср&lt;5с")),E808="потреб",IF(P808&gt;R808,"Увел сеч",IF(T808&gt;P808,"Увел сеч","tср&lt;0.4с")))</f>
      </c>
      <c r="T808" s="74">
        <f t="shared" ref="T808:T871" si="192">G808*VLOOKUP(H808,$W$2:$Y$12,2,FALSE)</f>
      </c>
    </row>
    <row r="809" spans="2:20" x14ac:dyDescent="0.3">
      <c r="B809" s="74">
        <f t="shared" ca="1" si="182"/>
      </c>
      <c r="C809" s="78">
        <f>Кабельный_журнал!P775</f>
      </c>
      <c r="D809" s="74">
        <f t="shared" ca="1" si="183"/>
      </c>
      <c r="E809" s="80" t="s">
        <v>279</v>
      </c>
      <c r="F809" s="74">
        <f t="shared" ca="1" si="179"/>
      </c>
      <c r="G809" s="74">
        <f t="shared" si="180"/>
      </c>
      <c r="H809" s="80" t="s">
        <v>272</v>
      </c>
      <c r="I809" s="74">
        <f t="shared" si="181"/>
      </c>
      <c r="J809" s="74">
        <f t="shared" si="184"/>
      </c>
      <c r="K809" s="80" t="s">
        <v>280</v>
      </c>
      <c r="L809" s="74">
        <f t="shared" si="185"/>
      </c>
      <c r="M809" s="74">
        <f t="shared" ca="1" si="186"/>
      </c>
      <c r="N809" s="74">
        <f ca="1">VLOOKUP(B809,$C$7:$T807,13,FALSE)</f>
      </c>
      <c r="O809" s="74">
        <f t="shared" ca="1" si="187"/>
      </c>
      <c r="P809" s="74">
        <f t="shared" ca="1" si="188"/>
      </c>
      <c r="Q809" s="74">
        <f t="shared" ca="1" si="189"/>
      </c>
      <c r="R809" s="74">
        <f t="shared" si="190"/>
      </c>
      <c r="S809" s="74">
        <f t="shared" ca="1" si="191"/>
      </c>
      <c r="T809" s="74">
        <f t="shared" si="192"/>
      </c>
    </row>
    <row r="810" spans="2:20" x14ac:dyDescent="0.3">
      <c r="B810" s="74">
        <f t="shared" ca="1" si="182"/>
      </c>
      <c r="C810" s="78">
        <f>Кабельный_журнал!P776</f>
      </c>
      <c r="D810" s="74">
        <f t="shared" ca="1" si="183"/>
      </c>
      <c r="E810" s="80" t="s">
        <v>279</v>
      </c>
      <c r="F810" s="74">
        <f t="shared" ca="1" si="179"/>
      </c>
      <c r="G810" s="74">
        <f t="shared" si="180"/>
      </c>
      <c r="H810" s="80" t="s">
        <v>272</v>
      </c>
      <c r="I810" s="74">
        <f t="shared" si="181"/>
      </c>
      <c r="J810" s="74">
        <f t="shared" si="184"/>
      </c>
      <c r="K810" s="80" t="s">
        <v>280</v>
      </c>
      <c r="L810" s="74">
        <f t="shared" si="185"/>
      </c>
      <c r="M810" s="74">
        <f t="shared" ca="1" si="186"/>
      </c>
      <c r="N810" s="74">
        <f ca="1">VLOOKUP(B810,$C$7:$T808,13,FALSE)</f>
      </c>
      <c r="O810" s="74">
        <f t="shared" ca="1" si="187"/>
      </c>
      <c r="P810" s="74">
        <f t="shared" ca="1" si="188"/>
      </c>
      <c r="Q810" s="74">
        <f t="shared" ca="1" si="189"/>
      </c>
      <c r="R810" s="74">
        <f t="shared" si="190"/>
      </c>
      <c r="S810" s="74">
        <f t="shared" ca="1" si="191"/>
      </c>
      <c r="T810" s="74">
        <f t="shared" si="192"/>
      </c>
    </row>
    <row r="811" spans="2:20" x14ac:dyDescent="0.3">
      <c r="B811" s="74">
        <f t="shared" ca="1" si="182"/>
      </c>
      <c r="C811" s="78">
        <f>Кабельный_журнал!P777</f>
      </c>
      <c r="D811" s="74">
        <f t="shared" ca="1" si="183"/>
      </c>
      <c r="E811" s="80" t="s">
        <v>279</v>
      </c>
      <c r="F811" s="74">
        <f t="shared" ca="1" si="179"/>
      </c>
      <c r="G811" s="74">
        <f t="shared" si="180"/>
      </c>
      <c r="H811" s="80" t="s">
        <v>272</v>
      </c>
      <c r="I811" s="74">
        <f t="shared" si="181"/>
      </c>
      <c r="J811" s="74">
        <f t="shared" si="184"/>
      </c>
      <c r="K811" s="80" t="s">
        <v>280</v>
      </c>
      <c r="L811" s="74">
        <f t="shared" si="185"/>
      </c>
      <c r="M811" s="74">
        <f t="shared" ca="1" si="186"/>
      </c>
      <c r="N811" s="74">
        <f ca="1">VLOOKUP(B811,$C$7:$T809,13,FALSE)</f>
      </c>
      <c r="O811" s="74">
        <f t="shared" ca="1" si="187"/>
      </c>
      <c r="P811" s="74">
        <f t="shared" ca="1" si="188"/>
      </c>
      <c r="Q811" s="74">
        <f t="shared" ca="1" si="189"/>
      </c>
      <c r="R811" s="74">
        <f t="shared" si="190"/>
      </c>
      <c r="S811" s="74">
        <f t="shared" ca="1" si="191"/>
      </c>
      <c r="T811" s="74">
        <f t="shared" si="192"/>
      </c>
    </row>
    <row r="812" spans="2:20" x14ac:dyDescent="0.3">
      <c r="B812" s="74">
        <f t="shared" ca="1" si="182"/>
      </c>
      <c r="C812" s="78">
        <f>Кабельный_журнал!P778</f>
      </c>
      <c r="D812" s="74">
        <f t="shared" ca="1" si="183"/>
      </c>
      <c r="E812" s="80" t="s">
        <v>279</v>
      </c>
      <c r="F812" s="74">
        <f t="shared" ca="1" si="179"/>
      </c>
      <c r="G812" s="74">
        <f t="shared" si="180"/>
      </c>
      <c r="H812" s="80" t="s">
        <v>272</v>
      </c>
      <c r="I812" s="74">
        <f t="shared" si="181"/>
      </c>
      <c r="J812" s="74">
        <f t="shared" si="184"/>
      </c>
      <c r="K812" s="80" t="s">
        <v>280</v>
      </c>
      <c r="L812" s="74">
        <f t="shared" si="185"/>
      </c>
      <c r="M812" s="74">
        <f t="shared" ca="1" si="186"/>
      </c>
      <c r="N812" s="74">
        <f ca="1">VLOOKUP(B812,$C$7:$T810,13,FALSE)</f>
      </c>
      <c r="O812" s="74">
        <f t="shared" ca="1" si="187"/>
      </c>
      <c r="P812" s="74">
        <f t="shared" ca="1" si="188"/>
      </c>
      <c r="Q812" s="74">
        <f t="shared" ca="1" si="189"/>
      </c>
      <c r="R812" s="74">
        <f t="shared" si="190"/>
      </c>
      <c r="S812" s="74">
        <f t="shared" ca="1" si="191"/>
      </c>
      <c r="T812" s="74">
        <f t="shared" si="192"/>
      </c>
    </row>
    <row r="813" spans="2:20" x14ac:dyDescent="0.3">
      <c r="B813" s="74">
        <f t="shared" ca="1" si="182"/>
      </c>
      <c r="C813" s="78">
        <f>Кабельный_журнал!P779</f>
      </c>
      <c r="D813" s="74">
        <f t="shared" ca="1" si="183"/>
      </c>
      <c r="E813" s="80" t="s">
        <v>279</v>
      </c>
      <c r="F813" s="74">
        <f t="shared" ca="1" si="179"/>
      </c>
      <c r="G813" s="74">
        <f t="shared" si="180"/>
      </c>
      <c r="H813" s="80" t="s">
        <v>272</v>
      </c>
      <c r="I813" s="74">
        <f t="shared" si="181"/>
      </c>
      <c r="J813" s="74">
        <f t="shared" si="184"/>
      </c>
      <c r="K813" s="80" t="s">
        <v>280</v>
      </c>
      <c r="L813" s="74">
        <f t="shared" si="185"/>
      </c>
      <c r="M813" s="74">
        <f t="shared" ca="1" si="186"/>
      </c>
      <c r="N813" s="74">
        <f ca="1">VLOOKUP(B813,$C$7:$T811,13,FALSE)</f>
      </c>
      <c r="O813" s="74">
        <f t="shared" ca="1" si="187"/>
      </c>
      <c r="P813" s="74">
        <f t="shared" ca="1" si="188"/>
      </c>
      <c r="Q813" s="74">
        <f t="shared" ca="1" si="189"/>
      </c>
      <c r="R813" s="74">
        <f t="shared" si="190"/>
      </c>
      <c r="S813" s="74">
        <f t="shared" ca="1" si="191"/>
      </c>
      <c r="T813" s="74">
        <f t="shared" si="192"/>
      </c>
    </row>
    <row r="814" spans="2:20" x14ac:dyDescent="0.3">
      <c r="B814" s="74">
        <f t="shared" ca="1" si="182"/>
      </c>
      <c r="C814" s="78">
        <f>Кабельный_журнал!P780</f>
      </c>
      <c r="D814" s="74">
        <f t="shared" ca="1" si="183"/>
      </c>
      <c r="E814" s="80" t="s">
        <v>279</v>
      </c>
      <c r="F814" s="74">
        <f t="shared" ca="1" si="179"/>
      </c>
      <c r="G814" s="74">
        <f t="shared" si="180"/>
      </c>
      <c r="H814" s="80" t="s">
        <v>272</v>
      </c>
      <c r="I814" s="74">
        <f t="shared" si="181"/>
      </c>
      <c r="J814" s="74">
        <f t="shared" si="184"/>
      </c>
      <c r="K814" s="80" t="s">
        <v>280</v>
      </c>
      <c r="L814" s="74">
        <f t="shared" si="185"/>
      </c>
      <c r="M814" s="74">
        <f t="shared" ca="1" si="186"/>
      </c>
      <c r="N814" s="74">
        <f ca="1">VLOOKUP(B814,$C$7:$T812,13,FALSE)</f>
      </c>
      <c r="O814" s="74">
        <f t="shared" ca="1" si="187"/>
      </c>
      <c r="P814" s="74">
        <f t="shared" ca="1" si="188"/>
      </c>
      <c r="Q814" s="74">
        <f t="shared" ca="1" si="189"/>
      </c>
      <c r="R814" s="74">
        <f t="shared" si="190"/>
      </c>
      <c r="S814" s="74">
        <f t="shared" ca="1" si="191"/>
      </c>
      <c r="T814" s="74">
        <f t="shared" si="192"/>
      </c>
    </row>
    <row r="815" spans="2:20" x14ac:dyDescent="0.3">
      <c r="B815" s="74">
        <f t="shared" ca="1" si="182"/>
      </c>
      <c r="C815" s="78">
        <f>Кабельный_журнал!P781</f>
      </c>
      <c r="D815" s="74">
        <f t="shared" ca="1" si="183"/>
      </c>
      <c r="E815" s="80" t="s">
        <v>279</v>
      </c>
      <c r="F815" s="74">
        <f t="shared" ca="1" si="179"/>
      </c>
      <c r="G815" s="74">
        <f t="shared" si="180"/>
      </c>
      <c r="H815" s="80" t="s">
        <v>272</v>
      </c>
      <c r="I815" s="74">
        <f t="shared" si="181"/>
      </c>
      <c r="J815" s="74">
        <f t="shared" si="184"/>
      </c>
      <c r="K815" s="80" t="s">
        <v>280</v>
      </c>
      <c r="L815" s="74">
        <f t="shared" si="185"/>
      </c>
      <c r="M815" s="74">
        <f t="shared" ca="1" si="186"/>
      </c>
      <c r="N815" s="74">
        <f ca="1">VLOOKUP(B815,$C$7:$T813,13,FALSE)</f>
      </c>
      <c r="O815" s="74">
        <f t="shared" ca="1" si="187"/>
      </c>
      <c r="P815" s="74">
        <f t="shared" ca="1" si="188"/>
      </c>
      <c r="Q815" s="74">
        <f t="shared" ca="1" si="189"/>
      </c>
      <c r="R815" s="74">
        <f t="shared" si="190"/>
      </c>
      <c r="S815" s="74">
        <f t="shared" ca="1" si="191"/>
      </c>
      <c r="T815" s="74">
        <f t="shared" si="192"/>
      </c>
    </row>
    <row r="816" spans="2:20" x14ac:dyDescent="0.3">
      <c r="B816" s="74">
        <f t="shared" ca="1" si="182"/>
      </c>
      <c r="C816" s="78">
        <f>Кабельный_журнал!P782</f>
      </c>
      <c r="D816" s="74">
        <f t="shared" ca="1" si="183"/>
      </c>
      <c r="E816" s="80" t="s">
        <v>279</v>
      </c>
      <c r="F816" s="74">
        <f t="shared" ca="1" si="179"/>
      </c>
      <c r="G816" s="74">
        <f t="shared" si="180"/>
      </c>
      <c r="H816" s="80" t="s">
        <v>272</v>
      </c>
      <c r="I816" s="74">
        <f t="shared" si="181"/>
      </c>
      <c r="J816" s="74">
        <f t="shared" si="184"/>
      </c>
      <c r="K816" s="80" t="s">
        <v>280</v>
      </c>
      <c r="L816" s="74">
        <f t="shared" si="185"/>
      </c>
      <c r="M816" s="74">
        <f t="shared" ca="1" si="186"/>
      </c>
      <c r="N816" s="74">
        <f ca="1">VLOOKUP(B816,$C$7:$T814,13,FALSE)</f>
      </c>
      <c r="O816" s="74">
        <f t="shared" ca="1" si="187"/>
      </c>
      <c r="P816" s="74">
        <f t="shared" ca="1" si="188"/>
      </c>
      <c r="Q816" s="74">
        <f t="shared" ca="1" si="189"/>
      </c>
      <c r="R816" s="74">
        <f t="shared" si="190"/>
      </c>
      <c r="S816" s="74">
        <f t="shared" ca="1" si="191"/>
      </c>
      <c r="T816" s="74">
        <f t="shared" si="192"/>
      </c>
    </row>
    <row r="817" spans="2:20" x14ac:dyDescent="0.3">
      <c r="B817" s="74">
        <f t="shared" ca="1" si="182"/>
      </c>
      <c r="C817" s="78">
        <f>Кабельный_журнал!P783</f>
      </c>
      <c r="D817" s="74">
        <f t="shared" ca="1" si="183"/>
      </c>
      <c r="E817" s="80" t="s">
        <v>279</v>
      </c>
      <c r="F817" s="74">
        <f t="shared" ca="1" si="179"/>
      </c>
      <c r="G817" s="74">
        <f t="shared" si="180"/>
      </c>
      <c r="H817" s="80" t="s">
        <v>272</v>
      </c>
      <c r="I817" s="74">
        <f t="shared" si="181"/>
      </c>
      <c r="J817" s="74">
        <f t="shared" si="184"/>
      </c>
      <c r="K817" s="80" t="s">
        <v>280</v>
      </c>
      <c r="L817" s="74">
        <f t="shared" si="185"/>
      </c>
      <c r="M817" s="74">
        <f t="shared" ca="1" si="186"/>
      </c>
      <c r="N817" s="74">
        <f ca="1">VLOOKUP(B817,$C$7:$T815,13,FALSE)</f>
      </c>
      <c r="O817" s="74">
        <f t="shared" ca="1" si="187"/>
      </c>
      <c r="P817" s="74">
        <f t="shared" ca="1" si="188"/>
      </c>
      <c r="Q817" s="74">
        <f t="shared" ca="1" si="189"/>
      </c>
      <c r="R817" s="74">
        <f t="shared" si="190"/>
      </c>
      <c r="S817" s="74">
        <f t="shared" ca="1" si="191"/>
      </c>
      <c r="T817" s="74">
        <f t="shared" si="192"/>
      </c>
    </row>
    <row r="818" spans="2:20" x14ac:dyDescent="0.3">
      <c r="B818" s="74">
        <f t="shared" ca="1" si="182"/>
      </c>
      <c r="C818" s="78">
        <f>Кабельный_журнал!P784</f>
      </c>
      <c r="D818" s="74">
        <f t="shared" ca="1" si="183"/>
      </c>
      <c r="E818" s="80" t="s">
        <v>279</v>
      </c>
      <c r="F818" s="74">
        <f t="shared" ca="1" si="179"/>
      </c>
      <c r="G818" s="74">
        <f t="shared" si="180"/>
      </c>
      <c r="H818" s="80" t="s">
        <v>272</v>
      </c>
      <c r="I818" s="74">
        <f t="shared" si="181"/>
      </c>
      <c r="J818" s="74">
        <f t="shared" si="184"/>
      </c>
      <c r="K818" s="80" t="s">
        <v>280</v>
      </c>
      <c r="L818" s="74">
        <f t="shared" si="185"/>
      </c>
      <c r="M818" s="74">
        <f t="shared" ca="1" si="186"/>
      </c>
      <c r="N818" s="74">
        <f ca="1">VLOOKUP(B818,$C$7:$T816,13,FALSE)</f>
      </c>
      <c r="O818" s="74">
        <f t="shared" ca="1" si="187"/>
      </c>
      <c r="P818" s="74">
        <f t="shared" ca="1" si="188"/>
      </c>
      <c r="Q818" s="74">
        <f t="shared" ca="1" si="189"/>
      </c>
      <c r="R818" s="74">
        <f t="shared" si="190"/>
      </c>
      <c r="S818" s="74">
        <f t="shared" ca="1" si="191"/>
      </c>
      <c r="T818" s="74">
        <f t="shared" si="192"/>
      </c>
    </row>
    <row r="819" spans="2:20" x14ac:dyDescent="0.3">
      <c r="B819" s="74">
        <f t="shared" ca="1" si="182"/>
      </c>
      <c r="C819" s="78">
        <f>Кабельный_журнал!P785</f>
      </c>
      <c r="D819" s="74">
        <f t="shared" ca="1" si="183"/>
      </c>
      <c r="E819" s="80" t="s">
        <v>279</v>
      </c>
      <c r="F819" s="74">
        <f t="shared" ca="1" si="179"/>
      </c>
      <c r="G819" s="74">
        <f t="shared" si="180"/>
      </c>
      <c r="H819" s="80" t="s">
        <v>272</v>
      </c>
      <c r="I819" s="74">
        <f t="shared" si="181"/>
      </c>
      <c r="J819" s="74">
        <f t="shared" si="184"/>
      </c>
      <c r="K819" s="80" t="s">
        <v>280</v>
      </c>
      <c r="L819" s="74">
        <f t="shared" si="185"/>
      </c>
      <c r="M819" s="74">
        <f t="shared" ca="1" si="186"/>
      </c>
      <c r="N819" s="74">
        <f ca="1">VLOOKUP(B819,$C$7:$T817,13,FALSE)</f>
      </c>
      <c r="O819" s="74">
        <f t="shared" ca="1" si="187"/>
      </c>
      <c r="P819" s="74">
        <f t="shared" ca="1" si="188"/>
      </c>
      <c r="Q819" s="74">
        <f t="shared" ca="1" si="189"/>
      </c>
      <c r="R819" s="74">
        <f t="shared" si="190"/>
      </c>
      <c r="S819" s="74">
        <f t="shared" ca="1" si="191"/>
      </c>
      <c r="T819" s="74">
        <f t="shared" si="192"/>
      </c>
    </row>
    <row r="820" spans="2:20" x14ac:dyDescent="0.3">
      <c r="B820" s="74">
        <f t="shared" ca="1" si="182"/>
      </c>
      <c r="C820" s="78">
        <f>Кабельный_журнал!P786</f>
      </c>
      <c r="D820" s="74">
        <f t="shared" ca="1" si="183"/>
      </c>
      <c r="E820" s="80" t="s">
        <v>279</v>
      </c>
      <c r="F820" s="74">
        <f t="shared" ca="1" si="179"/>
      </c>
      <c r="G820" s="74">
        <f t="shared" si="180"/>
      </c>
      <c r="H820" s="80" t="s">
        <v>272</v>
      </c>
      <c r="I820" s="74">
        <f t="shared" si="181"/>
      </c>
      <c r="J820" s="74">
        <f t="shared" si="184"/>
      </c>
      <c r="K820" s="80" t="s">
        <v>280</v>
      </c>
      <c r="L820" s="74">
        <f t="shared" si="185"/>
      </c>
      <c r="M820" s="74">
        <f t="shared" ca="1" si="186"/>
      </c>
      <c r="N820" s="74">
        <f ca="1">VLOOKUP(B820,$C$7:$T818,13,FALSE)</f>
      </c>
      <c r="O820" s="74">
        <f t="shared" ca="1" si="187"/>
      </c>
      <c r="P820" s="74">
        <f t="shared" ca="1" si="188"/>
      </c>
      <c r="Q820" s="74">
        <f t="shared" ca="1" si="189"/>
      </c>
      <c r="R820" s="74">
        <f t="shared" si="190"/>
      </c>
      <c r="S820" s="74">
        <f t="shared" ca="1" si="191"/>
      </c>
      <c r="T820" s="74">
        <f t="shared" si="192"/>
      </c>
    </row>
    <row r="821" spans="2:20" x14ac:dyDescent="0.3">
      <c r="B821" s="74">
        <f t="shared" ca="1" si="182"/>
      </c>
      <c r="C821" s="78">
        <f>Кабельный_журнал!P787</f>
      </c>
      <c r="D821" s="74">
        <f t="shared" ca="1" si="183"/>
      </c>
      <c r="E821" s="80" t="s">
        <v>279</v>
      </c>
      <c r="F821" s="74">
        <f t="shared" ca="1" si="179"/>
      </c>
      <c r="G821" s="74">
        <f t="shared" si="180"/>
      </c>
      <c r="H821" s="80" t="s">
        <v>272</v>
      </c>
      <c r="I821" s="74">
        <f t="shared" si="181"/>
      </c>
      <c r="J821" s="74">
        <f t="shared" si="184"/>
      </c>
      <c r="K821" s="80" t="s">
        <v>280</v>
      </c>
      <c r="L821" s="74">
        <f t="shared" si="185"/>
      </c>
      <c r="M821" s="74">
        <f t="shared" ca="1" si="186"/>
      </c>
      <c r="N821" s="74">
        <f ca="1">VLOOKUP(B821,$C$7:$T819,13,FALSE)</f>
      </c>
      <c r="O821" s="74">
        <f t="shared" ca="1" si="187"/>
      </c>
      <c r="P821" s="74">
        <f t="shared" ca="1" si="188"/>
      </c>
      <c r="Q821" s="74">
        <f t="shared" ca="1" si="189"/>
      </c>
      <c r="R821" s="74">
        <f t="shared" si="190"/>
      </c>
      <c r="S821" s="74">
        <f t="shared" ca="1" si="191"/>
      </c>
      <c r="T821" s="74">
        <f t="shared" si="192"/>
      </c>
    </row>
    <row r="822" spans="2:20" x14ac:dyDescent="0.3">
      <c r="B822" s="74">
        <f t="shared" ca="1" si="182"/>
      </c>
      <c r="C822" s="78">
        <f>Кабельный_журнал!P788</f>
      </c>
      <c r="D822" s="74">
        <f t="shared" ca="1" si="183"/>
      </c>
      <c r="E822" s="80" t="s">
        <v>279</v>
      </c>
      <c r="F822" s="74">
        <f t="shared" ca="1" si="179"/>
      </c>
      <c r="G822" s="74">
        <f t="shared" si="180"/>
      </c>
      <c r="H822" s="80" t="s">
        <v>272</v>
      </c>
      <c r="I822" s="74">
        <f t="shared" si="181"/>
      </c>
      <c r="J822" s="74">
        <f t="shared" si="184"/>
      </c>
      <c r="K822" s="80" t="s">
        <v>280</v>
      </c>
      <c r="L822" s="74">
        <f t="shared" si="185"/>
      </c>
      <c r="M822" s="74">
        <f t="shared" ca="1" si="186"/>
      </c>
      <c r="N822" s="74">
        <f ca="1">VLOOKUP(B822,$C$7:$T820,13,FALSE)</f>
      </c>
      <c r="O822" s="74">
        <f t="shared" ca="1" si="187"/>
      </c>
      <c r="P822" s="74">
        <f t="shared" ca="1" si="188"/>
      </c>
      <c r="Q822" s="74">
        <f t="shared" ca="1" si="189"/>
      </c>
      <c r="R822" s="74">
        <f t="shared" si="190"/>
      </c>
      <c r="S822" s="74">
        <f t="shared" ca="1" si="191"/>
      </c>
      <c r="T822" s="74">
        <f t="shared" si="192"/>
      </c>
    </row>
    <row r="823" spans="2:20" x14ac:dyDescent="0.3">
      <c r="B823" s="74">
        <f t="shared" ca="1" si="182"/>
      </c>
      <c r="C823" s="78">
        <f>Кабельный_журнал!P789</f>
      </c>
      <c r="D823" s="74">
        <f t="shared" ca="1" si="183"/>
      </c>
      <c r="E823" s="80" t="s">
        <v>279</v>
      </c>
      <c r="F823" s="74">
        <f t="shared" ca="1" si="179"/>
      </c>
      <c r="G823" s="74">
        <f t="shared" si="180"/>
      </c>
      <c r="H823" s="80" t="s">
        <v>272</v>
      </c>
      <c r="I823" s="74">
        <f t="shared" si="181"/>
      </c>
      <c r="J823" s="74">
        <f t="shared" si="184"/>
      </c>
      <c r="K823" s="80" t="s">
        <v>280</v>
      </c>
      <c r="L823" s="74">
        <f t="shared" si="185"/>
      </c>
      <c r="M823" s="74">
        <f t="shared" ca="1" si="186"/>
      </c>
      <c r="N823" s="74">
        <f ca="1">VLOOKUP(B823,$C$7:$T821,13,FALSE)</f>
      </c>
      <c r="O823" s="74">
        <f t="shared" ca="1" si="187"/>
      </c>
      <c r="P823" s="74">
        <f t="shared" ca="1" si="188"/>
      </c>
      <c r="Q823" s="74">
        <f t="shared" ca="1" si="189"/>
      </c>
      <c r="R823" s="74">
        <f t="shared" si="190"/>
      </c>
      <c r="S823" s="74">
        <f t="shared" ca="1" si="191"/>
      </c>
      <c r="T823" s="74">
        <f t="shared" si="192"/>
      </c>
    </row>
    <row r="824" spans="2:20" x14ac:dyDescent="0.3">
      <c r="B824" s="74">
        <f t="shared" ca="1" si="182"/>
      </c>
      <c r="C824" s="78">
        <f>Кабельный_журнал!P790</f>
      </c>
      <c r="D824" s="74">
        <f t="shared" ca="1" si="183"/>
      </c>
      <c r="E824" s="80" t="s">
        <v>279</v>
      </c>
      <c r="F824" s="74">
        <f t="shared" ca="1" si="179"/>
      </c>
      <c r="G824" s="74">
        <f t="shared" si="180"/>
      </c>
      <c r="H824" s="80" t="s">
        <v>272</v>
      </c>
      <c r="I824" s="74">
        <f t="shared" si="181"/>
      </c>
      <c r="J824" s="74">
        <f t="shared" si="184"/>
      </c>
      <c r="K824" s="80" t="s">
        <v>280</v>
      </c>
      <c r="L824" s="74">
        <f t="shared" si="185"/>
      </c>
      <c r="M824" s="74">
        <f t="shared" ca="1" si="186"/>
      </c>
      <c r="N824" s="74">
        <f ca="1">VLOOKUP(B824,$C$7:$T822,13,FALSE)</f>
      </c>
      <c r="O824" s="74">
        <f t="shared" ca="1" si="187"/>
      </c>
      <c r="P824" s="74">
        <f t="shared" ca="1" si="188"/>
      </c>
      <c r="Q824" s="74">
        <f t="shared" ca="1" si="189"/>
      </c>
      <c r="R824" s="74">
        <f t="shared" si="190"/>
      </c>
      <c r="S824" s="74">
        <f t="shared" ca="1" si="191"/>
      </c>
      <c r="T824" s="74">
        <f t="shared" si="192"/>
      </c>
    </row>
    <row r="825" spans="2:20" x14ac:dyDescent="0.3">
      <c r="B825" s="74">
        <f t="shared" ca="1" si="182"/>
      </c>
      <c r="C825" s="78">
        <f>Кабельный_журнал!P791</f>
      </c>
      <c r="D825" s="74">
        <f t="shared" ca="1" si="183"/>
      </c>
      <c r="E825" s="80" t="s">
        <v>279</v>
      </c>
      <c r="F825" s="74">
        <f t="shared" ca="1" si="179"/>
      </c>
      <c r="G825" s="74">
        <f t="shared" si="180"/>
      </c>
      <c r="H825" s="80" t="s">
        <v>272</v>
      </c>
      <c r="I825" s="74">
        <f t="shared" si="181"/>
      </c>
      <c r="J825" s="74">
        <f t="shared" si="184"/>
      </c>
      <c r="K825" s="80" t="s">
        <v>280</v>
      </c>
      <c r="L825" s="74">
        <f t="shared" si="185"/>
      </c>
      <c r="M825" s="74">
        <f t="shared" ca="1" si="186"/>
      </c>
      <c r="N825" s="74">
        <f ca="1">VLOOKUP(B825,$C$7:$T823,13,FALSE)</f>
      </c>
      <c r="O825" s="74">
        <f t="shared" ca="1" si="187"/>
      </c>
      <c r="P825" s="74">
        <f t="shared" ca="1" si="188"/>
      </c>
      <c r="Q825" s="74">
        <f t="shared" ca="1" si="189"/>
      </c>
      <c r="R825" s="74">
        <f t="shared" si="190"/>
      </c>
      <c r="S825" s="74">
        <f t="shared" ca="1" si="191"/>
      </c>
      <c r="T825" s="74">
        <f t="shared" si="192"/>
      </c>
    </row>
    <row r="826" spans="2:20" x14ac:dyDescent="0.3">
      <c r="B826" s="74">
        <f t="shared" ca="1" si="182"/>
      </c>
      <c r="C826" s="78">
        <f>Кабельный_журнал!P792</f>
      </c>
      <c r="D826" s="74">
        <f t="shared" ca="1" si="183"/>
      </c>
      <c r="E826" s="80" t="s">
        <v>279</v>
      </c>
      <c r="F826" s="74">
        <f t="shared" ca="1" si="179"/>
      </c>
      <c r="G826" s="74">
        <f t="shared" si="180"/>
      </c>
      <c r="H826" s="80" t="s">
        <v>272</v>
      </c>
      <c r="I826" s="74">
        <f t="shared" si="181"/>
      </c>
      <c r="J826" s="74">
        <f t="shared" si="184"/>
      </c>
      <c r="K826" s="80" t="s">
        <v>280</v>
      </c>
      <c r="L826" s="74">
        <f t="shared" si="185"/>
      </c>
      <c r="M826" s="74">
        <f t="shared" ca="1" si="186"/>
      </c>
      <c r="N826" s="74">
        <f ca="1">VLOOKUP(B826,$C$7:$T824,13,FALSE)</f>
      </c>
      <c r="O826" s="74">
        <f t="shared" ca="1" si="187"/>
      </c>
      <c r="P826" s="74">
        <f t="shared" ca="1" si="188"/>
      </c>
      <c r="Q826" s="74">
        <f t="shared" ca="1" si="189"/>
      </c>
      <c r="R826" s="74">
        <f t="shared" si="190"/>
      </c>
      <c r="S826" s="74">
        <f t="shared" ca="1" si="191"/>
      </c>
      <c r="T826" s="74">
        <f t="shared" si="192"/>
      </c>
    </row>
    <row r="827" spans="2:20" x14ac:dyDescent="0.3">
      <c r="B827" s="74">
        <f t="shared" ca="1" si="182"/>
      </c>
      <c r="C827" s="78">
        <f>Кабельный_журнал!P793</f>
      </c>
      <c r="D827" s="74">
        <f t="shared" ca="1" si="183"/>
      </c>
      <c r="E827" s="80" t="s">
        <v>279</v>
      </c>
      <c r="F827" s="74">
        <f t="shared" ca="1" si="179"/>
      </c>
      <c r="G827" s="74">
        <f t="shared" si="180"/>
      </c>
      <c r="H827" s="80" t="s">
        <v>272</v>
      </c>
      <c r="I827" s="74">
        <f t="shared" si="181"/>
      </c>
      <c r="J827" s="74">
        <f t="shared" si="184"/>
      </c>
      <c r="K827" s="80" t="s">
        <v>280</v>
      </c>
      <c r="L827" s="74">
        <f t="shared" si="185"/>
      </c>
      <c r="M827" s="74">
        <f t="shared" ca="1" si="186"/>
      </c>
      <c r="N827" s="74">
        <f ca="1">VLOOKUP(B827,$C$7:$T825,13,FALSE)</f>
      </c>
      <c r="O827" s="74">
        <f t="shared" ca="1" si="187"/>
      </c>
      <c r="P827" s="74">
        <f t="shared" ca="1" si="188"/>
      </c>
      <c r="Q827" s="74">
        <f t="shared" ca="1" si="189"/>
      </c>
      <c r="R827" s="74">
        <f t="shared" si="190"/>
      </c>
      <c r="S827" s="74">
        <f t="shared" ca="1" si="191"/>
      </c>
      <c r="T827" s="74">
        <f t="shared" si="192"/>
      </c>
    </row>
    <row r="828" spans="2:20" x14ac:dyDescent="0.3">
      <c r="B828" s="74">
        <f t="shared" ca="1" si="182"/>
      </c>
      <c r="C828" s="78">
        <f>Кабельный_журнал!P794</f>
      </c>
      <c r="D828" s="74">
        <f t="shared" ca="1" si="183"/>
      </c>
      <c r="E828" s="80" t="s">
        <v>279</v>
      </c>
      <c r="F828" s="74">
        <f t="shared" ca="1" si="179"/>
      </c>
      <c r="G828" s="74">
        <f t="shared" si="180"/>
      </c>
      <c r="H828" s="80" t="s">
        <v>272</v>
      </c>
      <c r="I828" s="74">
        <f t="shared" si="181"/>
      </c>
      <c r="J828" s="74">
        <f t="shared" si="184"/>
      </c>
      <c r="K828" s="80" t="s">
        <v>280</v>
      </c>
      <c r="L828" s="74">
        <f t="shared" si="185"/>
      </c>
      <c r="M828" s="74">
        <f t="shared" ca="1" si="186"/>
      </c>
      <c r="N828" s="74">
        <f ca="1">VLOOKUP(B828,$C$7:$T826,13,FALSE)</f>
      </c>
      <c r="O828" s="74">
        <f t="shared" ca="1" si="187"/>
      </c>
      <c r="P828" s="74">
        <f t="shared" ca="1" si="188"/>
      </c>
      <c r="Q828" s="74">
        <f t="shared" ca="1" si="189"/>
      </c>
      <c r="R828" s="74">
        <f t="shared" si="190"/>
      </c>
      <c r="S828" s="74">
        <f t="shared" ca="1" si="191"/>
      </c>
      <c r="T828" s="74">
        <f t="shared" si="192"/>
      </c>
    </row>
    <row r="829" spans="2:20" x14ac:dyDescent="0.3">
      <c r="B829" s="74">
        <f t="shared" ca="1" si="182"/>
      </c>
      <c r="C829" s="78">
        <f>Кабельный_журнал!P795</f>
      </c>
      <c r="D829" s="74">
        <f t="shared" ca="1" si="183"/>
      </c>
      <c r="E829" s="80" t="s">
        <v>279</v>
      </c>
      <c r="F829" s="74">
        <f t="shared" ca="1" si="179"/>
      </c>
      <c r="G829" s="74">
        <f t="shared" si="180"/>
      </c>
      <c r="H829" s="80" t="s">
        <v>272</v>
      </c>
      <c r="I829" s="74">
        <f t="shared" si="181"/>
      </c>
      <c r="J829" s="74">
        <f t="shared" si="184"/>
      </c>
      <c r="K829" s="80" t="s">
        <v>280</v>
      </c>
      <c r="L829" s="74">
        <f t="shared" si="185"/>
      </c>
      <c r="M829" s="74">
        <f t="shared" ca="1" si="186"/>
      </c>
      <c r="N829" s="74">
        <f ca="1">VLOOKUP(B829,$C$7:$T827,13,FALSE)</f>
      </c>
      <c r="O829" s="74">
        <f t="shared" ca="1" si="187"/>
      </c>
      <c r="P829" s="74">
        <f t="shared" ca="1" si="188"/>
      </c>
      <c r="Q829" s="74">
        <f t="shared" ca="1" si="189"/>
      </c>
      <c r="R829" s="74">
        <f t="shared" si="190"/>
      </c>
      <c r="S829" s="74">
        <f t="shared" ca="1" si="191"/>
      </c>
      <c r="T829" s="74">
        <f t="shared" si="192"/>
      </c>
    </row>
    <row r="830" spans="2:20" x14ac:dyDescent="0.3">
      <c r="B830" s="74">
        <f t="shared" ca="1" si="182"/>
      </c>
      <c r="C830" s="78">
        <f>Кабельный_журнал!P796</f>
      </c>
      <c r="D830" s="74">
        <f t="shared" ca="1" si="183"/>
      </c>
      <c r="E830" s="80" t="s">
        <v>279</v>
      </c>
      <c r="F830" s="74">
        <f t="shared" ca="1" si="179"/>
      </c>
      <c r="G830" s="74">
        <f t="shared" si="180"/>
      </c>
      <c r="H830" s="80" t="s">
        <v>272</v>
      </c>
      <c r="I830" s="74">
        <f t="shared" si="181"/>
      </c>
      <c r="J830" s="74">
        <f t="shared" si="184"/>
      </c>
      <c r="K830" s="80" t="s">
        <v>280</v>
      </c>
      <c r="L830" s="74">
        <f t="shared" si="185"/>
      </c>
      <c r="M830" s="74">
        <f t="shared" ca="1" si="186"/>
      </c>
      <c r="N830" s="74">
        <f ca="1">VLOOKUP(B830,$C$7:$T828,13,FALSE)</f>
      </c>
      <c r="O830" s="74">
        <f t="shared" ca="1" si="187"/>
      </c>
      <c r="P830" s="74">
        <f t="shared" ca="1" si="188"/>
      </c>
      <c r="Q830" s="74">
        <f t="shared" ca="1" si="189"/>
      </c>
      <c r="R830" s="74">
        <f t="shared" si="190"/>
      </c>
      <c r="S830" s="74">
        <f t="shared" ca="1" si="191"/>
      </c>
      <c r="T830" s="74">
        <f t="shared" si="192"/>
      </c>
    </row>
    <row r="831" spans="2:20" x14ac:dyDescent="0.3">
      <c r="B831" s="74">
        <f t="shared" ca="1" si="182"/>
      </c>
      <c r="C831" s="78">
        <f>Кабельный_журнал!P797</f>
      </c>
      <c r="D831" s="74">
        <f t="shared" ca="1" si="183"/>
      </c>
      <c r="E831" s="80" t="s">
        <v>279</v>
      </c>
      <c r="F831" s="74">
        <f t="shared" ca="1" si="179"/>
      </c>
      <c r="G831" s="74">
        <f t="shared" si="180"/>
      </c>
      <c r="H831" s="80" t="s">
        <v>272</v>
      </c>
      <c r="I831" s="74">
        <f t="shared" si="181"/>
      </c>
      <c r="J831" s="74">
        <f t="shared" si="184"/>
      </c>
      <c r="K831" s="80" t="s">
        <v>280</v>
      </c>
      <c r="L831" s="74">
        <f t="shared" si="185"/>
      </c>
      <c r="M831" s="74">
        <f t="shared" ca="1" si="186"/>
      </c>
      <c r="N831" s="74">
        <f ca="1">VLOOKUP(B831,$C$7:$T829,13,FALSE)</f>
      </c>
      <c r="O831" s="74">
        <f t="shared" ca="1" si="187"/>
      </c>
      <c r="P831" s="74">
        <f t="shared" ca="1" si="188"/>
      </c>
      <c r="Q831" s="74">
        <f t="shared" ca="1" si="189"/>
      </c>
      <c r="R831" s="74">
        <f t="shared" si="190"/>
      </c>
      <c r="S831" s="74">
        <f t="shared" ca="1" si="191"/>
      </c>
      <c r="T831" s="74">
        <f t="shared" si="192"/>
      </c>
    </row>
    <row r="832" spans="2:20" x14ac:dyDescent="0.3">
      <c r="B832" s="74">
        <f t="shared" ca="1" si="182"/>
      </c>
      <c r="C832" s="78">
        <f>Кабельный_журнал!P798</f>
      </c>
      <c r="D832" s="74">
        <f t="shared" ca="1" si="183"/>
      </c>
      <c r="E832" s="80" t="s">
        <v>279</v>
      </c>
      <c r="F832" s="74">
        <f t="shared" ca="1" si="179"/>
      </c>
      <c r="G832" s="74">
        <f t="shared" si="180"/>
      </c>
      <c r="H832" s="80" t="s">
        <v>272</v>
      </c>
      <c r="I832" s="74">
        <f t="shared" si="181"/>
      </c>
      <c r="J832" s="74">
        <f t="shared" si="184"/>
      </c>
      <c r="K832" s="80" t="s">
        <v>280</v>
      </c>
      <c r="L832" s="74">
        <f t="shared" si="185"/>
      </c>
      <c r="M832" s="74">
        <f t="shared" ca="1" si="186"/>
      </c>
      <c r="N832" s="74">
        <f ca="1">VLOOKUP(B832,$C$7:$T830,13,FALSE)</f>
      </c>
      <c r="O832" s="74">
        <f t="shared" ca="1" si="187"/>
      </c>
      <c r="P832" s="74">
        <f t="shared" ca="1" si="188"/>
      </c>
      <c r="Q832" s="74">
        <f t="shared" ca="1" si="189"/>
      </c>
      <c r="R832" s="74">
        <f t="shared" si="190"/>
      </c>
      <c r="S832" s="74">
        <f t="shared" ca="1" si="191"/>
      </c>
      <c r="T832" s="74">
        <f t="shared" si="192"/>
      </c>
    </row>
    <row r="833" spans="2:20" x14ac:dyDescent="0.3">
      <c r="B833" s="74">
        <f t="shared" ca="1" si="182"/>
      </c>
      <c r="C833" s="78">
        <f>Кабельный_журнал!P799</f>
      </c>
      <c r="D833" s="74">
        <f t="shared" ca="1" si="183"/>
      </c>
      <c r="E833" s="80" t="s">
        <v>279</v>
      </c>
      <c r="F833" s="74">
        <f t="shared" ca="1" si="179"/>
      </c>
      <c r="G833" s="74">
        <f t="shared" si="180"/>
      </c>
      <c r="H833" s="80" t="s">
        <v>272</v>
      </c>
      <c r="I833" s="74">
        <f t="shared" si="181"/>
      </c>
      <c r="J833" s="74">
        <f t="shared" si="184"/>
      </c>
      <c r="K833" s="80" t="s">
        <v>280</v>
      </c>
      <c r="L833" s="74">
        <f t="shared" si="185"/>
      </c>
      <c r="M833" s="74">
        <f t="shared" ca="1" si="186"/>
      </c>
      <c r="N833" s="74">
        <f ca="1">VLOOKUP(B833,$C$7:$T831,13,FALSE)</f>
      </c>
      <c r="O833" s="74">
        <f t="shared" ca="1" si="187"/>
      </c>
      <c r="P833" s="74">
        <f t="shared" ca="1" si="188"/>
      </c>
      <c r="Q833" s="74">
        <f t="shared" ca="1" si="189"/>
      </c>
      <c r="R833" s="74">
        <f t="shared" si="190"/>
      </c>
      <c r="S833" s="74">
        <f t="shared" ca="1" si="191"/>
      </c>
      <c r="T833" s="74">
        <f t="shared" si="192"/>
      </c>
    </row>
    <row r="834" spans="2:20" x14ac:dyDescent="0.3">
      <c r="B834" s="74">
        <f t="shared" ca="1" si="182"/>
      </c>
      <c r="C834" s="78">
        <f>Кабельный_журнал!P800</f>
      </c>
      <c r="D834" s="74">
        <f t="shared" ca="1" si="183"/>
      </c>
      <c r="E834" s="80" t="s">
        <v>279</v>
      </c>
      <c r="F834" s="74">
        <f t="shared" ca="1" si="179"/>
      </c>
      <c r="G834" s="74">
        <f t="shared" si="180"/>
      </c>
      <c r="H834" s="80" t="s">
        <v>272</v>
      </c>
      <c r="I834" s="74">
        <f t="shared" si="181"/>
      </c>
      <c r="J834" s="74">
        <f t="shared" si="184"/>
      </c>
      <c r="K834" s="80" t="s">
        <v>280</v>
      </c>
      <c r="L834" s="74">
        <f t="shared" si="185"/>
      </c>
      <c r="M834" s="74">
        <f t="shared" ca="1" si="186"/>
      </c>
      <c r="N834" s="74">
        <f ca="1">VLOOKUP(B834,$C$7:$T832,13,FALSE)</f>
      </c>
      <c r="O834" s="74">
        <f t="shared" ca="1" si="187"/>
      </c>
      <c r="P834" s="74">
        <f t="shared" ca="1" si="188"/>
      </c>
      <c r="Q834" s="74">
        <f t="shared" ca="1" si="189"/>
      </c>
      <c r="R834" s="74">
        <f t="shared" si="190"/>
      </c>
      <c r="S834" s="74">
        <f t="shared" ca="1" si="191"/>
      </c>
      <c r="T834" s="74">
        <f t="shared" si="192"/>
      </c>
    </row>
    <row r="835" spans="2:20" x14ac:dyDescent="0.3">
      <c r="B835" s="74">
        <f t="shared" ca="1" si="182"/>
      </c>
      <c r="C835" s="78">
        <f>Кабельный_журнал!P801</f>
      </c>
      <c r="D835" s="74">
        <f t="shared" ca="1" si="183"/>
      </c>
      <c r="E835" s="80" t="s">
        <v>279</v>
      </c>
      <c r="F835" s="74">
        <f t="shared" ca="1" si="179"/>
      </c>
      <c r="G835" s="74">
        <f t="shared" si="180"/>
      </c>
      <c r="H835" s="80" t="s">
        <v>272</v>
      </c>
      <c r="I835" s="74">
        <f t="shared" si="181"/>
      </c>
      <c r="J835" s="74">
        <f t="shared" si="184"/>
      </c>
      <c r="K835" s="80" t="s">
        <v>280</v>
      </c>
      <c r="L835" s="74">
        <f t="shared" si="185"/>
      </c>
      <c r="M835" s="74">
        <f t="shared" ca="1" si="186"/>
      </c>
      <c r="N835" s="74">
        <f ca="1">VLOOKUP(B835,$C$7:$T833,13,FALSE)</f>
      </c>
      <c r="O835" s="74">
        <f t="shared" ca="1" si="187"/>
      </c>
      <c r="P835" s="74">
        <f t="shared" ca="1" si="188"/>
      </c>
      <c r="Q835" s="74">
        <f t="shared" ca="1" si="189"/>
      </c>
      <c r="R835" s="74">
        <f t="shared" si="190"/>
      </c>
      <c r="S835" s="74">
        <f t="shared" ca="1" si="191"/>
      </c>
      <c r="T835" s="74">
        <f t="shared" si="192"/>
      </c>
    </row>
    <row r="836" spans="2:20" x14ac:dyDescent="0.3">
      <c r="B836" s="74">
        <f t="shared" ca="1" si="182"/>
      </c>
      <c r="C836" s="78">
        <f>Кабельный_журнал!P802</f>
      </c>
      <c r="D836" s="74">
        <f t="shared" ca="1" si="183"/>
      </c>
      <c r="E836" s="80" t="s">
        <v>279</v>
      </c>
      <c r="F836" s="74">
        <f t="shared" ca="1" si="179"/>
      </c>
      <c r="G836" s="74">
        <f t="shared" si="180"/>
      </c>
      <c r="H836" s="80" t="s">
        <v>272</v>
      </c>
      <c r="I836" s="74">
        <f t="shared" si="181"/>
      </c>
      <c r="J836" s="74">
        <f t="shared" si="184"/>
      </c>
      <c r="K836" s="80" t="s">
        <v>280</v>
      </c>
      <c r="L836" s="74">
        <f t="shared" si="185"/>
      </c>
      <c r="M836" s="74">
        <f t="shared" ca="1" si="186"/>
      </c>
      <c r="N836" s="74">
        <f ca="1">VLOOKUP(B836,$C$7:$T834,13,FALSE)</f>
      </c>
      <c r="O836" s="74">
        <f t="shared" ca="1" si="187"/>
      </c>
      <c r="P836" s="74">
        <f t="shared" ca="1" si="188"/>
      </c>
      <c r="Q836" s="74">
        <f t="shared" ca="1" si="189"/>
      </c>
      <c r="R836" s="74">
        <f t="shared" si="190"/>
      </c>
      <c r="S836" s="74">
        <f t="shared" ca="1" si="191"/>
      </c>
      <c r="T836" s="74">
        <f t="shared" si="192"/>
      </c>
    </row>
    <row r="837" spans="2:20" x14ac:dyDescent="0.3">
      <c r="B837" s="74">
        <f t="shared" ca="1" si="182"/>
      </c>
      <c r="C837" s="78">
        <f>Кабельный_журнал!P803</f>
      </c>
      <c r="D837" s="74">
        <f t="shared" ca="1" si="183"/>
      </c>
      <c r="E837" s="80" t="s">
        <v>279</v>
      </c>
      <c r="F837" s="74">
        <f t="shared" ca="1" si="179"/>
      </c>
      <c r="G837" s="74">
        <f t="shared" si="180"/>
      </c>
      <c r="H837" s="80" t="s">
        <v>272</v>
      </c>
      <c r="I837" s="74">
        <f t="shared" si="181"/>
      </c>
      <c r="J837" s="74">
        <f t="shared" si="184"/>
      </c>
      <c r="K837" s="80" t="s">
        <v>280</v>
      </c>
      <c r="L837" s="74">
        <f t="shared" si="185"/>
      </c>
      <c r="M837" s="74">
        <f t="shared" ca="1" si="186"/>
      </c>
      <c r="N837" s="74">
        <f ca="1">VLOOKUP(B837,$C$7:$T835,13,FALSE)</f>
      </c>
      <c r="O837" s="74">
        <f t="shared" ca="1" si="187"/>
      </c>
      <c r="P837" s="74">
        <f t="shared" ca="1" si="188"/>
      </c>
      <c r="Q837" s="74">
        <f t="shared" ca="1" si="189"/>
      </c>
      <c r="R837" s="74">
        <f t="shared" si="190"/>
      </c>
      <c r="S837" s="74">
        <f t="shared" ca="1" si="191"/>
      </c>
      <c r="T837" s="74">
        <f t="shared" si="192"/>
      </c>
    </row>
    <row r="838" spans="2:20" x14ac:dyDescent="0.3">
      <c r="B838" s="74">
        <f t="shared" ca="1" si="182"/>
      </c>
      <c r="C838" s="78">
        <f>Кабельный_журнал!P804</f>
      </c>
      <c r="D838" s="74">
        <f t="shared" ca="1" si="183"/>
      </c>
      <c r="E838" s="80" t="s">
        <v>279</v>
      </c>
      <c r="F838" s="74">
        <f t="shared" ca="1" si="179"/>
      </c>
      <c r="G838" s="74">
        <f t="shared" si="180"/>
      </c>
      <c r="H838" s="80" t="s">
        <v>272</v>
      </c>
      <c r="I838" s="74">
        <f t="shared" si="181"/>
      </c>
      <c r="J838" s="74">
        <f t="shared" si="184"/>
      </c>
      <c r="K838" s="80" t="s">
        <v>280</v>
      </c>
      <c r="L838" s="74">
        <f t="shared" si="185"/>
      </c>
      <c r="M838" s="74">
        <f t="shared" ca="1" si="186"/>
      </c>
      <c r="N838" s="74">
        <f ca="1">VLOOKUP(B838,$C$7:$T836,13,FALSE)</f>
      </c>
      <c r="O838" s="74">
        <f t="shared" ca="1" si="187"/>
      </c>
      <c r="P838" s="74">
        <f t="shared" ca="1" si="188"/>
      </c>
      <c r="Q838" s="74">
        <f t="shared" ca="1" si="189"/>
      </c>
      <c r="R838" s="74">
        <f t="shared" si="190"/>
      </c>
      <c r="S838" s="74">
        <f t="shared" ca="1" si="191"/>
      </c>
      <c r="T838" s="74">
        <f t="shared" si="192"/>
      </c>
    </row>
    <row r="839" spans="2:20" x14ac:dyDescent="0.3">
      <c r="B839" s="74">
        <f t="shared" ca="1" si="182"/>
      </c>
      <c r="C839" s="78">
        <f>Кабельный_журнал!P805</f>
      </c>
      <c r="D839" s="74">
        <f t="shared" ca="1" si="183"/>
      </c>
      <c r="E839" s="80" t="s">
        <v>279</v>
      </c>
      <c r="F839" s="74">
        <f t="shared" ca="1" si="179"/>
      </c>
      <c r="G839" s="74">
        <f t="shared" si="180"/>
      </c>
      <c r="H839" s="80" t="s">
        <v>272</v>
      </c>
      <c r="I839" s="74">
        <f t="shared" si="181"/>
      </c>
      <c r="J839" s="74">
        <f t="shared" si="184"/>
      </c>
      <c r="K839" s="80" t="s">
        <v>280</v>
      </c>
      <c r="L839" s="74">
        <f t="shared" si="185"/>
      </c>
      <c r="M839" s="74">
        <f t="shared" ca="1" si="186"/>
      </c>
      <c r="N839" s="74">
        <f ca="1">VLOOKUP(B839,$C$7:$T837,13,FALSE)</f>
      </c>
      <c r="O839" s="74">
        <f t="shared" ca="1" si="187"/>
      </c>
      <c r="P839" s="74">
        <f t="shared" ca="1" si="188"/>
      </c>
      <c r="Q839" s="74">
        <f t="shared" ca="1" si="189"/>
      </c>
      <c r="R839" s="74">
        <f t="shared" si="190"/>
      </c>
      <c r="S839" s="74">
        <f t="shared" ca="1" si="191"/>
      </c>
      <c r="T839" s="74">
        <f t="shared" si="192"/>
      </c>
    </row>
    <row r="840" spans="2:20" x14ac:dyDescent="0.3">
      <c r="B840" s="74">
        <f t="shared" ca="1" si="182"/>
      </c>
      <c r="C840" s="78">
        <f>Кабельный_журнал!P806</f>
      </c>
      <c r="D840" s="74">
        <f t="shared" ca="1" si="183"/>
      </c>
      <c r="E840" s="80" t="s">
        <v>279</v>
      </c>
      <c r="F840" s="74">
        <f t="shared" ca="1" si="179"/>
      </c>
      <c r="G840" s="74">
        <f t="shared" si="180"/>
      </c>
      <c r="H840" s="80" t="s">
        <v>272</v>
      </c>
      <c r="I840" s="74">
        <f t="shared" si="181"/>
      </c>
      <c r="J840" s="74">
        <f t="shared" si="184"/>
      </c>
      <c r="K840" s="80" t="s">
        <v>280</v>
      </c>
      <c r="L840" s="74">
        <f t="shared" si="185"/>
      </c>
      <c r="M840" s="74">
        <f t="shared" ca="1" si="186"/>
      </c>
      <c r="N840" s="74">
        <f ca="1">VLOOKUP(B840,$C$7:$T838,13,FALSE)</f>
      </c>
      <c r="O840" s="74">
        <f t="shared" ca="1" si="187"/>
      </c>
      <c r="P840" s="74">
        <f t="shared" ca="1" si="188"/>
      </c>
      <c r="Q840" s="74">
        <f t="shared" ca="1" si="189"/>
      </c>
      <c r="R840" s="74">
        <f t="shared" si="190"/>
      </c>
      <c r="S840" s="74">
        <f t="shared" ca="1" si="191"/>
      </c>
      <c r="T840" s="74">
        <f t="shared" si="192"/>
      </c>
    </row>
    <row r="841" spans="2:20" x14ac:dyDescent="0.3">
      <c r="B841" s="74">
        <f t="shared" ca="1" si="182"/>
      </c>
      <c r="C841" s="78">
        <f>Кабельный_журнал!P807</f>
      </c>
      <c r="D841" s="74">
        <f t="shared" ca="1" si="183"/>
      </c>
      <c r="E841" s="80" t="s">
        <v>279</v>
      </c>
      <c r="F841" s="74">
        <f t="shared" ca="1" si="179"/>
      </c>
      <c r="G841" s="74">
        <f t="shared" si="180"/>
      </c>
      <c r="H841" s="80" t="s">
        <v>272</v>
      </c>
      <c r="I841" s="74">
        <f t="shared" si="181"/>
      </c>
      <c r="J841" s="74">
        <f t="shared" si="184"/>
      </c>
      <c r="K841" s="80" t="s">
        <v>280</v>
      </c>
      <c r="L841" s="74">
        <f t="shared" si="185"/>
      </c>
      <c r="M841" s="74">
        <f t="shared" ca="1" si="186"/>
      </c>
      <c r="N841" s="74">
        <f ca="1">VLOOKUP(B841,$C$7:$T839,13,FALSE)</f>
      </c>
      <c r="O841" s="74">
        <f t="shared" ca="1" si="187"/>
      </c>
      <c r="P841" s="74">
        <f t="shared" ca="1" si="188"/>
      </c>
      <c r="Q841" s="74">
        <f t="shared" ca="1" si="189"/>
      </c>
      <c r="R841" s="74">
        <f t="shared" si="190"/>
      </c>
      <c r="S841" s="74">
        <f t="shared" ca="1" si="191"/>
      </c>
      <c r="T841" s="74">
        <f t="shared" si="192"/>
      </c>
    </row>
    <row r="842" spans="2:20" x14ac:dyDescent="0.3">
      <c r="B842" s="74">
        <f t="shared" ca="1" si="182"/>
      </c>
      <c r="C842" s="78">
        <f>Кабельный_журнал!P808</f>
      </c>
      <c r="D842" s="74">
        <f t="shared" ca="1" si="183"/>
      </c>
      <c r="E842" s="80" t="s">
        <v>279</v>
      </c>
      <c r="F842" s="74">
        <f t="shared" ca="1" si="179"/>
      </c>
      <c r="G842" s="74">
        <f t="shared" si="180"/>
      </c>
      <c r="H842" s="80" t="s">
        <v>272</v>
      </c>
      <c r="I842" s="74">
        <f t="shared" si="181"/>
      </c>
      <c r="J842" s="74">
        <f t="shared" si="184"/>
      </c>
      <c r="K842" s="80" t="s">
        <v>280</v>
      </c>
      <c r="L842" s="74">
        <f t="shared" si="185"/>
      </c>
      <c r="M842" s="74">
        <f t="shared" ca="1" si="186"/>
      </c>
      <c r="N842" s="74">
        <f ca="1">VLOOKUP(B842,$C$7:$T840,13,FALSE)</f>
      </c>
      <c r="O842" s="74">
        <f t="shared" ca="1" si="187"/>
      </c>
      <c r="P842" s="74">
        <f t="shared" ca="1" si="188"/>
      </c>
      <c r="Q842" s="74">
        <f t="shared" ca="1" si="189"/>
      </c>
      <c r="R842" s="74">
        <f t="shared" si="190"/>
      </c>
      <c r="S842" s="74">
        <f t="shared" ca="1" si="191"/>
      </c>
      <c r="T842" s="74">
        <f t="shared" si="192"/>
      </c>
    </row>
    <row r="843" spans="2:20" x14ac:dyDescent="0.3">
      <c r="B843" s="74">
        <f t="shared" ca="1" si="182"/>
      </c>
      <c r="C843" s="78">
        <f>Кабельный_журнал!P809</f>
      </c>
      <c r="D843" s="74">
        <f t="shared" ca="1" si="183"/>
      </c>
      <c r="E843" s="80" t="s">
        <v>279</v>
      </c>
      <c r="F843" s="74">
        <f t="shared" ca="1" si="179"/>
      </c>
      <c r="G843" s="74">
        <f t="shared" si="180"/>
      </c>
      <c r="H843" s="80" t="s">
        <v>272</v>
      </c>
      <c r="I843" s="74">
        <f t="shared" si="181"/>
      </c>
      <c r="J843" s="74">
        <f t="shared" si="184"/>
      </c>
      <c r="K843" s="80" t="s">
        <v>280</v>
      </c>
      <c r="L843" s="74">
        <f t="shared" si="185"/>
      </c>
      <c r="M843" s="74">
        <f t="shared" ca="1" si="186"/>
      </c>
      <c r="N843" s="74">
        <f ca="1">VLOOKUP(B843,$C$7:$T841,13,FALSE)</f>
      </c>
      <c r="O843" s="74">
        <f t="shared" ca="1" si="187"/>
      </c>
      <c r="P843" s="74">
        <f t="shared" ca="1" si="188"/>
      </c>
      <c r="Q843" s="74">
        <f t="shared" ca="1" si="189"/>
      </c>
      <c r="R843" s="74">
        <f t="shared" si="190"/>
      </c>
      <c r="S843" s="74">
        <f t="shared" ca="1" si="191"/>
      </c>
      <c r="T843" s="74">
        <f t="shared" si="192"/>
      </c>
    </row>
    <row r="844" spans="2:20" x14ac:dyDescent="0.3">
      <c r="B844" s="74">
        <f t="shared" ca="1" si="182"/>
      </c>
      <c r="C844" s="78">
        <f>Кабельный_журнал!P810</f>
      </c>
      <c r="D844" s="74">
        <f t="shared" ca="1" si="183"/>
      </c>
      <c r="E844" s="80" t="s">
        <v>279</v>
      </c>
      <c r="F844" s="74">
        <f t="shared" ca="1" si="179"/>
      </c>
      <c r="G844" s="74">
        <f t="shared" si="180"/>
      </c>
      <c r="H844" s="80" t="s">
        <v>272</v>
      </c>
      <c r="I844" s="74">
        <f t="shared" si="181"/>
      </c>
      <c r="J844" s="74">
        <f t="shared" si="184"/>
      </c>
      <c r="K844" s="80" t="s">
        <v>280</v>
      </c>
      <c r="L844" s="74">
        <f t="shared" si="185"/>
      </c>
      <c r="M844" s="74">
        <f t="shared" ca="1" si="186"/>
      </c>
      <c r="N844" s="74">
        <f ca="1">VLOOKUP(B844,$C$7:$T842,13,FALSE)</f>
      </c>
      <c r="O844" s="74">
        <f t="shared" ca="1" si="187"/>
      </c>
      <c r="P844" s="74">
        <f t="shared" ca="1" si="188"/>
      </c>
      <c r="Q844" s="74">
        <f t="shared" ca="1" si="189"/>
      </c>
      <c r="R844" s="74">
        <f t="shared" si="190"/>
      </c>
      <c r="S844" s="74">
        <f t="shared" ca="1" si="191"/>
      </c>
      <c r="T844" s="74">
        <f t="shared" si="192"/>
      </c>
    </row>
    <row r="845" spans="2:20" x14ac:dyDescent="0.3">
      <c r="B845" s="74">
        <f t="shared" ca="1" si="182"/>
      </c>
      <c r="C845" s="78">
        <f>Кабельный_журнал!P811</f>
      </c>
      <c r="D845" s="74">
        <f t="shared" ca="1" si="183"/>
      </c>
      <c r="E845" s="80" t="s">
        <v>279</v>
      </c>
      <c r="F845" s="74">
        <f t="shared" ca="1" si="179"/>
      </c>
      <c r="G845" s="74">
        <f t="shared" si="180"/>
      </c>
      <c r="H845" s="80" t="s">
        <v>272</v>
      </c>
      <c r="I845" s="74">
        <f t="shared" si="181"/>
      </c>
      <c r="J845" s="74">
        <f t="shared" si="184"/>
      </c>
      <c r="K845" s="80" t="s">
        <v>280</v>
      </c>
      <c r="L845" s="74">
        <f t="shared" si="185"/>
      </c>
      <c r="M845" s="74">
        <f t="shared" ca="1" si="186"/>
      </c>
      <c r="N845" s="74">
        <f ca="1">VLOOKUP(B845,$C$7:$T843,13,FALSE)</f>
      </c>
      <c r="O845" s="74">
        <f t="shared" ca="1" si="187"/>
      </c>
      <c r="P845" s="74">
        <f t="shared" ca="1" si="188"/>
      </c>
      <c r="Q845" s="74">
        <f t="shared" ca="1" si="189"/>
      </c>
      <c r="R845" s="74">
        <f t="shared" si="190"/>
      </c>
      <c r="S845" s="74">
        <f t="shared" ca="1" si="191"/>
      </c>
      <c r="T845" s="74">
        <f t="shared" si="192"/>
      </c>
    </row>
    <row r="846" spans="2:20" x14ac:dyDescent="0.3">
      <c r="B846" s="74">
        <f t="shared" ca="1" si="182"/>
      </c>
      <c r="C846" s="78">
        <f>Кабельный_журнал!P812</f>
      </c>
      <c r="D846" s="74">
        <f t="shared" ca="1" si="183"/>
      </c>
      <c r="E846" s="80" t="s">
        <v>279</v>
      </c>
      <c r="F846" s="74">
        <f t="shared" ca="1" si="179"/>
      </c>
      <c r="G846" s="74">
        <f t="shared" si="180"/>
      </c>
      <c r="H846" s="80" t="s">
        <v>272</v>
      </c>
      <c r="I846" s="74">
        <f t="shared" si="181"/>
      </c>
      <c r="J846" s="74">
        <f t="shared" si="184"/>
      </c>
      <c r="K846" s="80" t="s">
        <v>280</v>
      </c>
      <c r="L846" s="74">
        <f t="shared" si="185"/>
      </c>
      <c r="M846" s="74">
        <f t="shared" ca="1" si="186"/>
      </c>
      <c r="N846" s="74">
        <f ca="1">VLOOKUP(B846,$C$7:$T844,13,FALSE)</f>
      </c>
      <c r="O846" s="74">
        <f t="shared" ca="1" si="187"/>
      </c>
      <c r="P846" s="74">
        <f t="shared" ca="1" si="188"/>
      </c>
      <c r="Q846" s="74">
        <f t="shared" ca="1" si="189"/>
      </c>
      <c r="R846" s="74">
        <f t="shared" si="190"/>
      </c>
      <c r="S846" s="74">
        <f t="shared" ca="1" si="191"/>
      </c>
      <c r="T846" s="74">
        <f t="shared" si="192"/>
      </c>
    </row>
    <row r="847" spans="2:20" x14ac:dyDescent="0.3">
      <c r="B847" s="74">
        <f t="shared" ca="1" si="182"/>
      </c>
      <c r="C847" s="78">
        <f>Кабельный_журнал!P813</f>
      </c>
      <c r="D847" s="74">
        <f t="shared" ca="1" si="183"/>
      </c>
      <c r="E847" s="80" t="s">
        <v>279</v>
      </c>
      <c r="F847" s="74">
        <f t="shared" ca="1" si="179"/>
      </c>
      <c r="G847" s="74">
        <f t="shared" si="180"/>
      </c>
      <c r="H847" s="80" t="s">
        <v>272</v>
      </c>
      <c r="I847" s="74">
        <f t="shared" si="181"/>
      </c>
      <c r="J847" s="74">
        <f t="shared" si="184"/>
      </c>
      <c r="K847" s="80" t="s">
        <v>280</v>
      </c>
      <c r="L847" s="74">
        <f t="shared" si="185"/>
      </c>
      <c r="M847" s="74">
        <f t="shared" ca="1" si="186"/>
      </c>
      <c r="N847" s="74">
        <f ca="1">VLOOKUP(B847,$C$7:$T845,13,FALSE)</f>
      </c>
      <c r="O847" s="74">
        <f t="shared" ca="1" si="187"/>
      </c>
      <c r="P847" s="74">
        <f t="shared" ca="1" si="188"/>
      </c>
      <c r="Q847" s="74">
        <f t="shared" ca="1" si="189"/>
      </c>
      <c r="R847" s="74">
        <f t="shared" si="190"/>
      </c>
      <c r="S847" s="74">
        <f t="shared" ca="1" si="191"/>
      </c>
      <c r="T847" s="74">
        <f t="shared" si="192"/>
      </c>
    </row>
    <row r="848" spans="2:20" x14ac:dyDescent="0.3">
      <c r="B848" s="74">
        <f t="shared" ca="1" si="182"/>
      </c>
      <c r="C848" s="78">
        <f>Кабельный_журнал!P814</f>
      </c>
      <c r="D848" s="74">
        <f t="shared" ca="1" si="183"/>
      </c>
      <c r="E848" s="80" t="s">
        <v>279</v>
      </c>
      <c r="F848" s="74">
        <f t="shared" ca="1" si="179"/>
      </c>
      <c r="G848" s="74">
        <f t="shared" si="180"/>
      </c>
      <c r="H848" s="80" t="s">
        <v>272</v>
      </c>
      <c r="I848" s="74">
        <f t="shared" si="181"/>
      </c>
      <c r="J848" s="74">
        <f t="shared" si="184"/>
      </c>
      <c r="K848" s="80" t="s">
        <v>280</v>
      </c>
      <c r="L848" s="74">
        <f t="shared" si="185"/>
      </c>
      <c r="M848" s="74">
        <f t="shared" ca="1" si="186"/>
      </c>
      <c r="N848" s="74">
        <f ca="1">VLOOKUP(B848,$C$7:$T846,13,FALSE)</f>
      </c>
      <c r="O848" s="74">
        <f t="shared" ca="1" si="187"/>
      </c>
      <c r="P848" s="74">
        <f t="shared" ca="1" si="188"/>
      </c>
      <c r="Q848" s="74">
        <f t="shared" ca="1" si="189"/>
      </c>
      <c r="R848" s="74">
        <f t="shared" si="190"/>
      </c>
      <c r="S848" s="74">
        <f t="shared" ca="1" si="191"/>
      </c>
      <c r="T848" s="74">
        <f t="shared" si="192"/>
      </c>
    </row>
    <row r="849" spans="2:20" x14ac:dyDescent="0.3">
      <c r="B849" s="74">
        <f t="shared" ca="1" si="182"/>
      </c>
      <c r="C849" s="78">
        <f>Кабельный_журнал!P815</f>
      </c>
      <c r="D849" s="74">
        <f t="shared" ca="1" si="183"/>
      </c>
      <c r="E849" s="80" t="s">
        <v>279</v>
      </c>
      <c r="F849" s="74">
        <f t="shared" ca="1" si="179"/>
      </c>
      <c r="G849" s="74">
        <f t="shared" si="180"/>
      </c>
      <c r="H849" s="80" t="s">
        <v>272</v>
      </c>
      <c r="I849" s="74">
        <f t="shared" si="181"/>
      </c>
      <c r="J849" s="74">
        <f t="shared" si="184"/>
      </c>
      <c r="K849" s="80" t="s">
        <v>280</v>
      </c>
      <c r="L849" s="74">
        <f t="shared" si="185"/>
      </c>
      <c r="M849" s="74">
        <f t="shared" ca="1" si="186"/>
      </c>
      <c r="N849" s="74">
        <f ca="1">VLOOKUP(B849,$C$7:$T847,13,FALSE)</f>
      </c>
      <c r="O849" s="74">
        <f t="shared" ca="1" si="187"/>
      </c>
      <c r="P849" s="74">
        <f t="shared" ca="1" si="188"/>
      </c>
      <c r="Q849" s="74">
        <f t="shared" ca="1" si="189"/>
      </c>
      <c r="R849" s="74">
        <f t="shared" si="190"/>
      </c>
      <c r="S849" s="74">
        <f t="shared" ca="1" si="191"/>
      </c>
      <c r="T849" s="74">
        <f t="shared" si="192"/>
      </c>
    </row>
    <row r="850" spans="2:20" x14ac:dyDescent="0.3">
      <c r="B850" s="74">
        <f t="shared" ca="1" si="182"/>
      </c>
      <c r="C850" s="78">
        <f>Кабельный_журнал!P816</f>
      </c>
      <c r="D850" s="74">
        <f t="shared" ca="1" si="183"/>
      </c>
      <c r="E850" s="80" t="s">
        <v>279</v>
      </c>
      <c r="F850" s="74">
        <f t="shared" ca="1" si="179"/>
      </c>
      <c r="G850" s="74">
        <f t="shared" si="180"/>
      </c>
      <c r="H850" s="80" t="s">
        <v>272</v>
      </c>
      <c r="I850" s="74">
        <f t="shared" si="181"/>
      </c>
      <c r="J850" s="74">
        <f t="shared" si="184"/>
      </c>
      <c r="K850" s="80" t="s">
        <v>280</v>
      </c>
      <c r="L850" s="74">
        <f t="shared" si="185"/>
      </c>
      <c r="M850" s="74">
        <f t="shared" ca="1" si="186"/>
      </c>
      <c r="N850" s="74">
        <f ca="1">VLOOKUP(B850,$C$7:$T848,13,FALSE)</f>
      </c>
      <c r="O850" s="74">
        <f t="shared" ca="1" si="187"/>
      </c>
      <c r="P850" s="74">
        <f t="shared" ca="1" si="188"/>
      </c>
      <c r="Q850" s="74">
        <f t="shared" ca="1" si="189"/>
      </c>
      <c r="R850" s="74">
        <f t="shared" si="190"/>
      </c>
      <c r="S850" s="74">
        <f t="shared" ca="1" si="191"/>
      </c>
      <c r="T850" s="74">
        <f t="shared" si="192"/>
      </c>
    </row>
    <row r="851" spans="2:20" x14ac:dyDescent="0.3">
      <c r="B851" s="74">
        <f t="shared" ca="1" si="182"/>
      </c>
      <c r="C851" s="78">
        <f>Кабельный_журнал!P817</f>
      </c>
      <c r="D851" s="74">
        <f t="shared" ca="1" si="183"/>
      </c>
      <c r="E851" s="80" t="s">
        <v>279</v>
      </c>
      <c r="F851" s="74">
        <f t="shared" ca="1" si="179"/>
      </c>
      <c r="G851" s="74">
        <f t="shared" si="180"/>
      </c>
      <c r="H851" s="80" t="s">
        <v>272</v>
      </c>
      <c r="I851" s="74">
        <f t="shared" si="181"/>
      </c>
      <c r="J851" s="74">
        <f t="shared" si="184"/>
      </c>
      <c r="K851" s="80" t="s">
        <v>280</v>
      </c>
      <c r="L851" s="74">
        <f t="shared" si="185"/>
      </c>
      <c r="M851" s="74">
        <f t="shared" ca="1" si="186"/>
      </c>
      <c r="N851" s="74">
        <f ca="1">VLOOKUP(B851,$C$7:$T849,13,FALSE)</f>
      </c>
      <c r="O851" s="74">
        <f t="shared" ca="1" si="187"/>
      </c>
      <c r="P851" s="74">
        <f t="shared" ca="1" si="188"/>
      </c>
      <c r="Q851" s="74">
        <f t="shared" ca="1" si="189"/>
      </c>
      <c r="R851" s="74">
        <f t="shared" si="190"/>
      </c>
      <c r="S851" s="74">
        <f t="shared" ca="1" si="191"/>
      </c>
      <c r="T851" s="74">
        <f t="shared" si="192"/>
      </c>
    </row>
    <row r="852" spans="2:20" x14ac:dyDescent="0.3">
      <c r="B852" s="74">
        <f t="shared" ca="1" si="182"/>
      </c>
      <c r="C852" s="78">
        <f>Кабельный_журнал!P818</f>
      </c>
      <c r="D852" s="74">
        <f t="shared" ca="1" si="183"/>
      </c>
      <c r="E852" s="80" t="s">
        <v>279</v>
      </c>
      <c r="F852" s="74">
        <f t="shared" ca="1" si="179"/>
      </c>
      <c r="G852" s="74">
        <f t="shared" si="180"/>
      </c>
      <c r="H852" s="80" t="s">
        <v>272</v>
      </c>
      <c r="I852" s="74">
        <f t="shared" si="181"/>
      </c>
      <c r="J852" s="74">
        <f t="shared" si="184"/>
      </c>
      <c r="K852" s="80" t="s">
        <v>280</v>
      </c>
      <c r="L852" s="74">
        <f t="shared" si="185"/>
      </c>
      <c r="M852" s="74">
        <f t="shared" ca="1" si="186"/>
      </c>
      <c r="N852" s="74">
        <f ca="1">VLOOKUP(B852,$C$7:$T850,13,FALSE)</f>
      </c>
      <c r="O852" s="74">
        <f t="shared" ca="1" si="187"/>
      </c>
      <c r="P852" s="74">
        <f t="shared" ca="1" si="188"/>
      </c>
      <c r="Q852" s="74">
        <f t="shared" ca="1" si="189"/>
      </c>
      <c r="R852" s="74">
        <f t="shared" si="190"/>
      </c>
      <c r="S852" s="74">
        <f t="shared" ca="1" si="191"/>
      </c>
      <c r="T852" s="74">
        <f t="shared" si="192"/>
      </c>
    </row>
    <row r="853" spans="2:20" x14ac:dyDescent="0.3">
      <c r="B853" s="74">
        <f t="shared" ca="1" si="182"/>
      </c>
      <c r="C853" s="78">
        <f>Кабельный_журнал!P819</f>
      </c>
      <c r="D853" s="74">
        <f t="shared" ca="1" si="183"/>
      </c>
      <c r="E853" s="80" t="s">
        <v>279</v>
      </c>
      <c r="F853" s="74">
        <f t="shared" ca="1" si="179"/>
      </c>
      <c r="G853" s="74">
        <f t="shared" si="180"/>
      </c>
      <c r="H853" s="80" t="s">
        <v>272</v>
      </c>
      <c r="I853" s="74">
        <f t="shared" si="181"/>
      </c>
      <c r="J853" s="74">
        <f t="shared" si="184"/>
      </c>
      <c r="K853" s="80" t="s">
        <v>280</v>
      </c>
      <c r="L853" s="74">
        <f t="shared" si="185"/>
      </c>
      <c r="M853" s="74">
        <f t="shared" ca="1" si="186"/>
      </c>
      <c r="N853" s="74">
        <f ca="1">VLOOKUP(B853,$C$7:$T851,13,FALSE)</f>
      </c>
      <c r="O853" s="74">
        <f t="shared" ca="1" si="187"/>
      </c>
      <c r="P853" s="74">
        <f t="shared" ca="1" si="188"/>
      </c>
      <c r="Q853" s="74">
        <f t="shared" ca="1" si="189"/>
      </c>
      <c r="R853" s="74">
        <f t="shared" si="190"/>
      </c>
      <c r="S853" s="74">
        <f t="shared" ca="1" si="191"/>
      </c>
      <c r="T853" s="74">
        <f t="shared" si="192"/>
      </c>
    </row>
    <row r="854" spans="2:20" x14ac:dyDescent="0.3">
      <c r="B854" s="74">
        <f t="shared" ca="1" si="182"/>
      </c>
      <c r="C854" s="78">
        <f>Кабельный_журнал!P820</f>
      </c>
      <c r="D854" s="74">
        <f t="shared" ca="1" si="183"/>
      </c>
      <c r="E854" s="80" t="s">
        <v>279</v>
      </c>
      <c r="F854" s="74">
        <f t="shared" ca="1" si="179"/>
      </c>
      <c r="G854" s="74">
        <f t="shared" si="180"/>
      </c>
      <c r="H854" s="80" t="s">
        <v>272</v>
      </c>
      <c r="I854" s="74">
        <f t="shared" si="181"/>
      </c>
      <c r="J854" s="74">
        <f t="shared" si="184"/>
      </c>
      <c r="K854" s="80" t="s">
        <v>280</v>
      </c>
      <c r="L854" s="74">
        <f t="shared" si="185"/>
      </c>
      <c r="M854" s="74">
        <f t="shared" ca="1" si="186"/>
      </c>
      <c r="N854" s="74">
        <f ca="1">VLOOKUP(B854,$C$7:$T852,13,FALSE)</f>
      </c>
      <c r="O854" s="74">
        <f t="shared" ca="1" si="187"/>
      </c>
      <c r="P854" s="74">
        <f t="shared" ca="1" si="188"/>
      </c>
      <c r="Q854" s="74">
        <f t="shared" ca="1" si="189"/>
      </c>
      <c r="R854" s="74">
        <f t="shared" si="190"/>
      </c>
      <c r="S854" s="74">
        <f t="shared" ca="1" si="191"/>
      </c>
      <c r="T854" s="74">
        <f t="shared" si="192"/>
      </c>
    </row>
    <row r="855" spans="2:20" x14ac:dyDescent="0.3">
      <c r="B855" s="74">
        <f t="shared" ca="1" si="182"/>
      </c>
      <c r="C855" s="78">
        <f>Кабельный_журнал!P821</f>
      </c>
      <c r="D855" s="74">
        <f t="shared" ca="1" si="183"/>
      </c>
      <c r="E855" s="80" t="s">
        <v>279</v>
      </c>
      <c r="F855" s="74">
        <f t="shared" ca="1" si="179"/>
      </c>
      <c r="G855" s="74">
        <f t="shared" si="180"/>
      </c>
      <c r="H855" s="80" t="s">
        <v>272</v>
      </c>
      <c r="I855" s="74">
        <f t="shared" si="181"/>
      </c>
      <c r="J855" s="74">
        <f t="shared" si="184"/>
      </c>
      <c r="K855" s="80" t="s">
        <v>280</v>
      </c>
      <c r="L855" s="74">
        <f t="shared" si="185"/>
      </c>
      <c r="M855" s="74">
        <f t="shared" ca="1" si="186"/>
      </c>
      <c r="N855" s="74">
        <f ca="1">VLOOKUP(B855,$C$7:$T853,13,FALSE)</f>
      </c>
      <c r="O855" s="74">
        <f t="shared" ca="1" si="187"/>
      </c>
      <c r="P855" s="74">
        <f t="shared" ca="1" si="188"/>
      </c>
      <c r="Q855" s="74">
        <f t="shared" ca="1" si="189"/>
      </c>
      <c r="R855" s="74">
        <f t="shared" si="190"/>
      </c>
      <c r="S855" s="74">
        <f t="shared" ca="1" si="191"/>
      </c>
      <c r="T855" s="74">
        <f t="shared" si="192"/>
      </c>
    </row>
    <row r="856" spans="2:20" x14ac:dyDescent="0.3">
      <c r="B856" s="74">
        <f t="shared" ca="1" si="182"/>
      </c>
      <c r="C856" s="78">
        <f>Кабельный_журнал!P822</f>
      </c>
      <c r="D856" s="74">
        <f t="shared" ca="1" si="183"/>
      </c>
      <c r="E856" s="80" t="s">
        <v>279</v>
      </c>
      <c r="F856" s="74">
        <f t="shared" ca="1" si="179"/>
      </c>
      <c r="G856" s="74">
        <f t="shared" si="180"/>
      </c>
      <c r="H856" s="80" t="s">
        <v>272</v>
      </c>
      <c r="I856" s="74">
        <f t="shared" si="181"/>
      </c>
      <c r="J856" s="74">
        <f t="shared" si="184"/>
      </c>
      <c r="K856" s="80" t="s">
        <v>280</v>
      </c>
      <c r="L856" s="74">
        <f t="shared" si="185"/>
      </c>
      <c r="M856" s="74">
        <f t="shared" ca="1" si="186"/>
      </c>
      <c r="N856" s="74">
        <f ca="1">VLOOKUP(B856,$C$7:$T854,13,FALSE)</f>
      </c>
      <c r="O856" s="74">
        <f t="shared" ca="1" si="187"/>
      </c>
      <c r="P856" s="74">
        <f t="shared" ca="1" si="188"/>
      </c>
      <c r="Q856" s="74">
        <f t="shared" ca="1" si="189"/>
      </c>
      <c r="R856" s="74">
        <f t="shared" si="190"/>
      </c>
      <c r="S856" s="74">
        <f t="shared" ca="1" si="191"/>
      </c>
      <c r="T856" s="74">
        <f t="shared" si="192"/>
      </c>
    </row>
    <row r="857" spans="2:20" x14ac:dyDescent="0.3">
      <c r="B857" s="74">
        <f t="shared" ca="1" si="182"/>
      </c>
      <c r="C857" s="78">
        <f>Кабельный_журнал!P823</f>
      </c>
      <c r="D857" s="74">
        <f t="shared" ca="1" si="183"/>
      </c>
      <c r="E857" s="80" t="s">
        <v>279</v>
      </c>
      <c r="F857" s="74">
        <f t="shared" ca="1" si="179"/>
      </c>
      <c r="G857" s="74">
        <f t="shared" si="180"/>
      </c>
      <c r="H857" s="80" t="s">
        <v>272</v>
      </c>
      <c r="I857" s="74">
        <f t="shared" si="181"/>
      </c>
      <c r="J857" s="74">
        <f t="shared" si="184"/>
      </c>
      <c r="K857" s="80" t="s">
        <v>280</v>
      </c>
      <c r="L857" s="74">
        <f t="shared" si="185"/>
      </c>
      <c r="M857" s="74">
        <f t="shared" ca="1" si="186"/>
      </c>
      <c r="N857" s="74">
        <f ca="1">VLOOKUP(B857,$C$7:$T855,13,FALSE)</f>
      </c>
      <c r="O857" s="74">
        <f t="shared" ca="1" si="187"/>
      </c>
      <c r="P857" s="74">
        <f t="shared" ca="1" si="188"/>
      </c>
      <c r="Q857" s="74">
        <f t="shared" ca="1" si="189"/>
      </c>
      <c r="R857" s="74">
        <f t="shared" si="190"/>
      </c>
      <c r="S857" s="74">
        <f t="shared" ca="1" si="191"/>
      </c>
      <c r="T857" s="74">
        <f t="shared" si="192"/>
      </c>
    </row>
    <row r="858" spans="2:20" x14ac:dyDescent="0.3">
      <c r="B858" s="74">
        <f t="shared" ca="1" si="182"/>
      </c>
      <c r="C858" s="78">
        <f>Кабельный_журнал!P824</f>
      </c>
      <c r="D858" s="74">
        <f t="shared" ca="1" si="183"/>
      </c>
      <c r="E858" s="80" t="s">
        <v>279</v>
      </c>
      <c r="F858" s="74">
        <f t="shared" ca="1" si="179"/>
      </c>
      <c r="G858" s="74">
        <f t="shared" si="180"/>
      </c>
      <c r="H858" s="80" t="s">
        <v>272</v>
      </c>
      <c r="I858" s="74">
        <f t="shared" si="181"/>
      </c>
      <c r="J858" s="74">
        <f t="shared" si="184"/>
      </c>
      <c r="K858" s="80" t="s">
        <v>280</v>
      </c>
      <c r="L858" s="74">
        <f t="shared" si="185"/>
      </c>
      <c r="M858" s="74">
        <f t="shared" ca="1" si="186"/>
      </c>
      <c r="N858" s="74">
        <f ca="1">VLOOKUP(B858,$C$7:$T856,13,FALSE)</f>
      </c>
      <c r="O858" s="74">
        <f t="shared" ca="1" si="187"/>
      </c>
      <c r="P858" s="74">
        <f t="shared" ca="1" si="188"/>
      </c>
      <c r="Q858" s="74">
        <f t="shared" ca="1" si="189"/>
      </c>
      <c r="R858" s="74">
        <f t="shared" si="190"/>
      </c>
      <c r="S858" s="74">
        <f t="shared" ca="1" si="191"/>
      </c>
      <c r="T858" s="74">
        <f t="shared" si="192"/>
      </c>
    </row>
    <row r="859" spans="2:20" x14ac:dyDescent="0.3">
      <c r="B859" s="74">
        <f t="shared" ca="1" si="182"/>
      </c>
      <c r="C859" s="78">
        <f>Кабельный_журнал!P825</f>
      </c>
      <c r="D859" s="74">
        <f t="shared" ca="1" si="183"/>
      </c>
      <c r="E859" s="80" t="s">
        <v>279</v>
      </c>
      <c r="F859" s="74">
        <f t="shared" ca="1" si="179"/>
      </c>
      <c r="G859" s="74">
        <f t="shared" si="180"/>
      </c>
      <c r="H859" s="80" t="s">
        <v>272</v>
      </c>
      <c r="I859" s="74">
        <f t="shared" si="181"/>
      </c>
      <c r="J859" s="74">
        <f t="shared" si="184"/>
      </c>
      <c r="K859" s="80" t="s">
        <v>280</v>
      </c>
      <c r="L859" s="74">
        <f t="shared" si="185"/>
      </c>
      <c r="M859" s="74">
        <f t="shared" ca="1" si="186"/>
      </c>
      <c r="N859" s="74">
        <f ca="1">VLOOKUP(B859,$C$7:$T857,13,FALSE)</f>
      </c>
      <c r="O859" s="74">
        <f t="shared" ca="1" si="187"/>
      </c>
      <c r="P859" s="74">
        <f t="shared" ca="1" si="188"/>
      </c>
      <c r="Q859" s="74">
        <f t="shared" ca="1" si="189"/>
      </c>
      <c r="R859" s="74">
        <f t="shared" si="190"/>
      </c>
      <c r="S859" s="74">
        <f t="shared" ca="1" si="191"/>
      </c>
      <c r="T859" s="74">
        <f t="shared" si="192"/>
      </c>
    </row>
    <row r="860" spans="2:20" x14ac:dyDescent="0.3">
      <c r="B860" s="74">
        <f t="shared" ca="1" si="182"/>
      </c>
      <c r="C860" s="78">
        <f>Кабельный_журнал!P826</f>
      </c>
      <c r="D860" s="74">
        <f t="shared" ca="1" si="183"/>
      </c>
      <c r="E860" s="80" t="s">
        <v>279</v>
      </c>
      <c r="F860" s="74">
        <f t="shared" ca="1" si="179"/>
      </c>
      <c r="G860" s="74">
        <f t="shared" si="180"/>
      </c>
      <c r="H860" s="80" t="s">
        <v>272</v>
      </c>
      <c r="I860" s="74">
        <f t="shared" si="181"/>
      </c>
      <c r="J860" s="74">
        <f t="shared" si="184"/>
      </c>
      <c r="K860" s="80" t="s">
        <v>280</v>
      </c>
      <c r="L860" s="74">
        <f t="shared" si="185"/>
      </c>
      <c r="M860" s="74">
        <f t="shared" ca="1" si="186"/>
      </c>
      <c r="N860" s="74">
        <f ca="1">VLOOKUP(B860,$C$7:$T858,13,FALSE)</f>
      </c>
      <c r="O860" s="74">
        <f t="shared" ca="1" si="187"/>
      </c>
      <c r="P860" s="74">
        <f t="shared" ca="1" si="188"/>
      </c>
      <c r="Q860" s="74">
        <f t="shared" ca="1" si="189"/>
      </c>
      <c r="R860" s="74">
        <f t="shared" si="190"/>
      </c>
      <c r="S860" s="74">
        <f t="shared" ca="1" si="191"/>
      </c>
      <c r="T860" s="74">
        <f t="shared" si="192"/>
      </c>
    </row>
    <row r="861" spans="2:20" x14ac:dyDescent="0.3">
      <c r="B861" s="74">
        <f t="shared" ca="1" si="182"/>
      </c>
      <c r="C861" s="78">
        <f>Кабельный_журнал!P827</f>
      </c>
      <c r="D861" s="74">
        <f t="shared" ca="1" si="183"/>
      </c>
      <c r="E861" s="80" t="s">
        <v>279</v>
      </c>
      <c r="F861" s="74">
        <f t="shared" ca="1" si="179"/>
      </c>
      <c r="G861" s="74">
        <f t="shared" si="180"/>
      </c>
      <c r="H861" s="80" t="s">
        <v>272</v>
      </c>
      <c r="I861" s="74">
        <f t="shared" si="181"/>
      </c>
      <c r="J861" s="74">
        <f t="shared" si="184"/>
      </c>
      <c r="K861" s="80" t="s">
        <v>280</v>
      </c>
      <c r="L861" s="74">
        <f t="shared" si="185"/>
      </c>
      <c r="M861" s="74">
        <f t="shared" ca="1" si="186"/>
      </c>
      <c r="N861" s="74">
        <f ca="1">VLOOKUP(B861,$C$7:$T859,13,FALSE)</f>
      </c>
      <c r="O861" s="74">
        <f t="shared" ca="1" si="187"/>
      </c>
      <c r="P861" s="74">
        <f t="shared" ca="1" si="188"/>
      </c>
      <c r="Q861" s="74">
        <f t="shared" ca="1" si="189"/>
      </c>
      <c r="R861" s="74">
        <f t="shared" si="190"/>
      </c>
      <c r="S861" s="74">
        <f t="shared" ca="1" si="191"/>
      </c>
      <c r="T861" s="74">
        <f t="shared" si="192"/>
      </c>
    </row>
    <row r="862" spans="2:20" x14ac:dyDescent="0.3">
      <c r="B862" s="74">
        <f t="shared" ca="1" si="182"/>
      </c>
      <c r="C862" s="78">
        <f>Кабельный_журнал!P828</f>
      </c>
      <c r="D862" s="74">
        <f t="shared" ca="1" si="183"/>
      </c>
      <c r="E862" s="80" t="s">
        <v>279</v>
      </c>
      <c r="F862" s="74">
        <f t="shared" ca="1" si="179"/>
      </c>
      <c r="G862" s="74">
        <f t="shared" si="180"/>
      </c>
      <c r="H862" s="80" t="s">
        <v>272</v>
      </c>
      <c r="I862" s="74">
        <f t="shared" si="181"/>
      </c>
      <c r="J862" s="74">
        <f t="shared" si="184"/>
      </c>
      <c r="K862" s="80" t="s">
        <v>280</v>
      </c>
      <c r="L862" s="74">
        <f t="shared" si="185"/>
      </c>
      <c r="M862" s="74">
        <f t="shared" ca="1" si="186"/>
      </c>
      <c r="N862" s="74">
        <f ca="1">VLOOKUP(B862,$C$7:$T860,13,FALSE)</f>
      </c>
      <c r="O862" s="74">
        <f t="shared" ca="1" si="187"/>
      </c>
      <c r="P862" s="74">
        <f t="shared" ca="1" si="188"/>
      </c>
      <c r="Q862" s="74">
        <f t="shared" ca="1" si="189"/>
      </c>
      <c r="R862" s="74">
        <f t="shared" si="190"/>
      </c>
      <c r="S862" s="74">
        <f t="shared" ca="1" si="191"/>
      </c>
      <c r="T862" s="74">
        <f t="shared" si="192"/>
      </c>
    </row>
    <row r="863" spans="2:20" x14ac:dyDescent="0.3">
      <c r="B863" s="74">
        <f t="shared" ca="1" si="182"/>
      </c>
      <c r="C863" s="78">
        <f>Кабельный_журнал!P829</f>
      </c>
      <c r="D863" s="74">
        <f t="shared" ca="1" si="183"/>
      </c>
      <c r="E863" s="80" t="s">
        <v>279</v>
      </c>
      <c r="F863" s="74">
        <f t="shared" ca="1" si="179"/>
      </c>
      <c r="G863" s="74">
        <f t="shared" si="180"/>
      </c>
      <c r="H863" s="80" t="s">
        <v>272</v>
      </c>
      <c r="I863" s="74">
        <f t="shared" si="181"/>
      </c>
      <c r="J863" s="74">
        <f t="shared" si="184"/>
      </c>
      <c r="K863" s="80" t="s">
        <v>280</v>
      </c>
      <c r="L863" s="74">
        <f t="shared" si="185"/>
      </c>
      <c r="M863" s="74">
        <f t="shared" ca="1" si="186"/>
      </c>
      <c r="N863" s="74">
        <f ca="1">VLOOKUP(B863,$C$7:$T861,13,FALSE)</f>
      </c>
      <c r="O863" s="74">
        <f t="shared" ca="1" si="187"/>
      </c>
      <c r="P863" s="74">
        <f t="shared" ca="1" si="188"/>
      </c>
      <c r="Q863" s="74">
        <f t="shared" ca="1" si="189"/>
      </c>
      <c r="R863" s="74">
        <f t="shared" si="190"/>
      </c>
      <c r="S863" s="74">
        <f t="shared" ca="1" si="191"/>
      </c>
      <c r="T863" s="74">
        <f t="shared" si="192"/>
      </c>
    </row>
    <row r="864" spans="2:20" x14ac:dyDescent="0.3">
      <c r="B864" s="74">
        <f t="shared" ca="1" si="182"/>
      </c>
      <c r="C864" s="78">
        <f>Кабельный_журнал!P830</f>
      </c>
      <c r="D864" s="74">
        <f t="shared" ca="1" si="183"/>
      </c>
      <c r="E864" s="80" t="s">
        <v>279</v>
      </c>
      <c r="F864" s="74">
        <f t="shared" ca="1" si="179"/>
      </c>
      <c r="G864" s="74">
        <f t="shared" si="180"/>
      </c>
      <c r="H864" s="80" t="s">
        <v>272</v>
      </c>
      <c r="I864" s="74">
        <f t="shared" si="181"/>
      </c>
      <c r="J864" s="74">
        <f t="shared" si="184"/>
      </c>
      <c r="K864" s="80" t="s">
        <v>280</v>
      </c>
      <c r="L864" s="74">
        <f t="shared" si="185"/>
      </c>
      <c r="M864" s="74">
        <f t="shared" ca="1" si="186"/>
      </c>
      <c r="N864" s="74">
        <f ca="1">VLOOKUP(B864,$C$7:$T862,13,FALSE)</f>
      </c>
      <c r="O864" s="74">
        <f t="shared" ca="1" si="187"/>
      </c>
      <c r="P864" s="74">
        <f t="shared" ca="1" si="188"/>
      </c>
      <c r="Q864" s="74">
        <f t="shared" ca="1" si="189"/>
      </c>
      <c r="R864" s="74">
        <f t="shared" si="190"/>
      </c>
      <c r="S864" s="74">
        <f t="shared" ca="1" si="191"/>
      </c>
      <c r="T864" s="74">
        <f t="shared" si="192"/>
      </c>
    </row>
    <row r="865" spans="2:20" x14ac:dyDescent="0.3">
      <c r="B865" s="74">
        <f t="shared" ca="1" si="182"/>
      </c>
      <c r="C865" s="78">
        <f>Кабельный_журнал!P831</f>
      </c>
      <c r="D865" s="74">
        <f t="shared" ca="1" si="183"/>
      </c>
      <c r="E865" s="80" t="s">
        <v>279</v>
      </c>
      <c r="F865" s="74">
        <f t="shared" ca="1" si="179"/>
      </c>
      <c r="G865" s="74">
        <f t="shared" si="180"/>
      </c>
      <c r="H865" s="80" t="s">
        <v>272</v>
      </c>
      <c r="I865" s="74">
        <f t="shared" si="181"/>
      </c>
      <c r="J865" s="74">
        <f t="shared" si="184"/>
      </c>
      <c r="K865" s="80" t="s">
        <v>280</v>
      </c>
      <c r="L865" s="74">
        <f t="shared" si="185"/>
      </c>
      <c r="M865" s="74">
        <f t="shared" ca="1" si="186"/>
      </c>
      <c r="N865" s="74">
        <f ca="1">VLOOKUP(B865,$C$7:$T863,13,FALSE)</f>
      </c>
      <c r="O865" s="74">
        <f t="shared" ca="1" si="187"/>
      </c>
      <c r="P865" s="74">
        <f t="shared" ca="1" si="188"/>
      </c>
      <c r="Q865" s="74">
        <f t="shared" ca="1" si="189"/>
      </c>
      <c r="R865" s="74">
        <f t="shared" si="190"/>
      </c>
      <c r="S865" s="74">
        <f t="shared" ca="1" si="191"/>
      </c>
      <c r="T865" s="74">
        <f t="shared" si="192"/>
      </c>
    </row>
    <row r="866" spans="2:20" x14ac:dyDescent="0.3">
      <c r="B866" s="74">
        <f t="shared" ca="1" si="182"/>
      </c>
      <c r="C866" s="78">
        <f>Кабельный_журнал!P832</f>
      </c>
      <c r="D866" s="74">
        <f t="shared" ca="1" si="183"/>
      </c>
      <c r="E866" s="80" t="s">
        <v>279</v>
      </c>
      <c r="F866" s="74">
        <f t="shared" ca="1" si="179"/>
      </c>
      <c r="G866" s="74">
        <f t="shared" si="180"/>
      </c>
      <c r="H866" s="80" t="s">
        <v>272</v>
      </c>
      <c r="I866" s="74">
        <f t="shared" si="181"/>
      </c>
      <c r="J866" s="74">
        <f t="shared" si="184"/>
      </c>
      <c r="K866" s="80" t="s">
        <v>280</v>
      </c>
      <c r="L866" s="74">
        <f t="shared" si="185"/>
      </c>
      <c r="M866" s="74">
        <f t="shared" ca="1" si="186"/>
      </c>
      <c r="N866" s="74">
        <f ca="1">VLOOKUP(B866,$C$7:$T864,13,FALSE)</f>
      </c>
      <c r="O866" s="74">
        <f t="shared" ca="1" si="187"/>
      </c>
      <c r="P866" s="74">
        <f t="shared" ca="1" si="188"/>
      </c>
      <c r="Q866" s="74">
        <f t="shared" ca="1" si="189"/>
      </c>
      <c r="R866" s="74">
        <f t="shared" si="190"/>
      </c>
      <c r="S866" s="74">
        <f t="shared" ca="1" si="191"/>
      </c>
      <c r="T866" s="74">
        <f t="shared" si="192"/>
      </c>
    </row>
    <row r="867" spans="2:20" x14ac:dyDescent="0.3">
      <c r="B867" s="74">
        <f t="shared" ca="1" si="182"/>
      </c>
      <c r="C867" s="78">
        <f>Кабельный_журнал!P833</f>
      </c>
      <c r="D867" s="74">
        <f t="shared" ca="1" si="183"/>
      </c>
      <c r="E867" s="80" t="s">
        <v>279</v>
      </c>
      <c r="F867" s="74">
        <f t="shared" ca="1" si="179"/>
      </c>
      <c r="G867" s="74">
        <f t="shared" si="180"/>
      </c>
      <c r="H867" s="80" t="s">
        <v>272</v>
      </c>
      <c r="I867" s="74">
        <f t="shared" si="181"/>
      </c>
      <c r="J867" s="74">
        <f t="shared" si="184"/>
      </c>
      <c r="K867" s="80" t="s">
        <v>280</v>
      </c>
      <c r="L867" s="74">
        <f t="shared" si="185"/>
      </c>
      <c r="M867" s="74">
        <f t="shared" ca="1" si="186"/>
      </c>
      <c r="N867" s="74">
        <f ca="1">VLOOKUP(B867,$C$7:$T865,13,FALSE)</f>
      </c>
      <c r="O867" s="74">
        <f t="shared" ca="1" si="187"/>
      </c>
      <c r="P867" s="74">
        <f t="shared" ca="1" si="188"/>
      </c>
      <c r="Q867" s="74">
        <f t="shared" ca="1" si="189"/>
      </c>
      <c r="R867" s="74">
        <f t="shared" si="190"/>
      </c>
      <c r="S867" s="74">
        <f t="shared" ca="1" si="191"/>
      </c>
      <c r="T867" s="74">
        <f t="shared" si="192"/>
      </c>
    </row>
    <row r="868" spans="2:20" x14ac:dyDescent="0.3">
      <c r="B868" s="74">
        <f t="shared" ca="1" si="182"/>
      </c>
      <c r="C868" s="78">
        <f>Кабельный_журнал!P834</f>
      </c>
      <c r="D868" s="74">
        <f t="shared" ca="1" si="183"/>
      </c>
      <c r="E868" s="80" t="s">
        <v>279</v>
      </c>
      <c r="F868" s="74">
        <f t="shared" ca="1" si="179"/>
      </c>
      <c r="G868" s="74">
        <f t="shared" si="180"/>
      </c>
      <c r="H868" s="80" t="s">
        <v>272</v>
      </c>
      <c r="I868" s="74">
        <f t="shared" si="181"/>
      </c>
      <c r="J868" s="74">
        <f t="shared" si="184"/>
      </c>
      <c r="K868" s="80" t="s">
        <v>280</v>
      </c>
      <c r="L868" s="74">
        <f t="shared" si="185"/>
      </c>
      <c r="M868" s="74">
        <f t="shared" ca="1" si="186"/>
      </c>
      <c r="N868" s="74">
        <f ca="1">VLOOKUP(B868,$C$7:$T866,13,FALSE)</f>
      </c>
      <c r="O868" s="74">
        <f t="shared" ca="1" si="187"/>
      </c>
      <c r="P868" s="74">
        <f t="shared" ca="1" si="188"/>
      </c>
      <c r="Q868" s="74">
        <f t="shared" ca="1" si="189"/>
      </c>
      <c r="R868" s="74">
        <f t="shared" si="190"/>
      </c>
      <c r="S868" s="74">
        <f t="shared" ca="1" si="191"/>
      </c>
      <c r="T868" s="74">
        <f t="shared" si="192"/>
      </c>
    </row>
    <row r="869" spans="2:20" x14ac:dyDescent="0.3">
      <c r="B869" s="74">
        <f t="shared" ca="1" si="182"/>
      </c>
      <c r="C869" s="78">
        <f>Кабельный_журнал!P835</f>
      </c>
      <c r="D869" s="74">
        <f t="shared" ca="1" si="183"/>
      </c>
      <c r="E869" s="80" t="s">
        <v>279</v>
      </c>
      <c r="F869" s="74">
        <f t="shared" ca="1" si="179"/>
      </c>
      <c r="G869" s="74">
        <f t="shared" si="180"/>
      </c>
      <c r="H869" s="80" t="s">
        <v>272</v>
      </c>
      <c r="I869" s="74">
        <f t="shared" si="181"/>
      </c>
      <c r="J869" s="74">
        <f t="shared" si="184"/>
      </c>
      <c r="K869" s="80" t="s">
        <v>280</v>
      </c>
      <c r="L869" s="74">
        <f t="shared" si="185"/>
      </c>
      <c r="M869" s="74">
        <f t="shared" ca="1" si="186"/>
      </c>
      <c r="N869" s="74">
        <f ca="1">VLOOKUP(B869,$C$7:$T867,13,FALSE)</f>
      </c>
      <c r="O869" s="74">
        <f t="shared" ca="1" si="187"/>
      </c>
      <c r="P869" s="74">
        <f t="shared" ca="1" si="188"/>
      </c>
      <c r="Q869" s="74">
        <f t="shared" ca="1" si="189"/>
      </c>
      <c r="R869" s="74">
        <f t="shared" si="190"/>
      </c>
      <c r="S869" s="74">
        <f t="shared" ca="1" si="191"/>
      </c>
      <c r="T869" s="74">
        <f t="shared" si="192"/>
      </c>
    </row>
    <row r="870" spans="2:20" x14ac:dyDescent="0.3">
      <c r="B870" s="74">
        <f t="shared" ca="1" si="182"/>
      </c>
      <c r="C870" s="78">
        <f>Кабельный_журнал!P836</f>
      </c>
      <c r="D870" s="74">
        <f t="shared" ca="1" si="183"/>
      </c>
      <c r="E870" s="80" t="s">
        <v>279</v>
      </c>
      <c r="F870" s="74">
        <f t="shared" ca="1" si="179"/>
      </c>
      <c r="G870" s="74">
        <f t="shared" si="180"/>
      </c>
      <c r="H870" s="80" t="s">
        <v>272</v>
      </c>
      <c r="I870" s="74">
        <f t="shared" si="181"/>
      </c>
      <c r="J870" s="74">
        <f t="shared" si="184"/>
      </c>
      <c r="K870" s="80" t="s">
        <v>280</v>
      </c>
      <c r="L870" s="74">
        <f t="shared" si="185"/>
      </c>
      <c r="M870" s="74">
        <f t="shared" ca="1" si="186"/>
      </c>
      <c r="N870" s="74">
        <f ca="1">VLOOKUP(B870,$C$7:$T868,13,FALSE)</f>
      </c>
      <c r="O870" s="74">
        <f t="shared" ca="1" si="187"/>
      </c>
      <c r="P870" s="74">
        <f t="shared" ca="1" si="188"/>
      </c>
      <c r="Q870" s="74">
        <f t="shared" ca="1" si="189"/>
      </c>
      <c r="R870" s="74">
        <f t="shared" si="190"/>
      </c>
      <c r="S870" s="74">
        <f t="shared" ca="1" si="191"/>
      </c>
      <c r="T870" s="74">
        <f t="shared" si="192"/>
      </c>
    </row>
    <row r="871" spans="2:20" x14ac:dyDescent="0.3">
      <c r="B871" s="74">
        <f t="shared" ca="1" si="182"/>
      </c>
      <c r="C871" s="78">
        <f>Кабельный_журнал!P837</f>
      </c>
      <c r="D871" s="74">
        <f t="shared" ca="1" si="183"/>
      </c>
      <c r="E871" s="80" t="s">
        <v>279</v>
      </c>
      <c r="F871" s="74">
        <f t="shared" ref="F871:F934" ca="1" si="193">VLOOKUP(C871,Кабельный_журнал,8,FALSE)</f>
      </c>
      <c r="G871" s="74">
        <f t="shared" ref="G871:G934" si="194">VLOOKUP(C871,Исходные_данные,21,FALSE)</f>
      </c>
      <c r="H871" s="80" t="s">
        <v>272</v>
      </c>
      <c r="I871" s="74">
        <f t="shared" ref="I871:I934" si="195">VLOOKUP(C871,Исходные_данные,22,FALSE)</f>
      </c>
      <c r="J871" s="74">
        <f t="shared" si="184"/>
      </c>
      <c r="K871" s="80" t="s">
        <v>280</v>
      </c>
      <c r="L871" s="74">
        <f t="shared" si="185"/>
      </c>
      <c r="M871" s="74">
        <f t="shared" ca="1" si="186"/>
      </c>
      <c r="N871" s="74">
        <f ca="1">VLOOKUP(B871,$C$7:$T869,13,FALSE)</f>
      </c>
      <c r="O871" s="74">
        <f t="shared" ca="1" si="187"/>
      </c>
      <c r="P871" s="74">
        <f t="shared" ca="1" si="188"/>
      </c>
      <c r="Q871" s="74">
        <f t="shared" ca="1" si="189"/>
      </c>
      <c r="R871" s="74">
        <f t="shared" si="190"/>
      </c>
      <c r="S871" s="74">
        <f t="shared" ca="1" si="191"/>
      </c>
      <c r="T871" s="74">
        <f t="shared" si="192"/>
      </c>
    </row>
    <row r="872" spans="2:20" x14ac:dyDescent="0.3">
      <c r="B872" s="74">
        <f t="shared" ref="B872:B935" ca="1" si="196">VLOOKUP(C872,Кабельный_журнал,2,FALSE)</f>
      </c>
      <c r="C872" s="78">
        <f>Кабельный_журнал!P838</f>
      </c>
      <c r="D872" s="74">
        <f t="shared" ref="D872:D935" ca="1" si="197">B872&amp;"-"&amp;C872</f>
      </c>
      <c r="E872" s="80" t="s">
        <v>279</v>
      </c>
      <c r="F872" s="74">
        <f t="shared" ca="1" si="193"/>
      </c>
      <c r="G872" s="74">
        <f t="shared" si="194"/>
      </c>
      <c r="H872" s="80" t="s">
        <v>272</v>
      </c>
      <c r="I872" s="74">
        <f t="shared" si="195"/>
      </c>
      <c r="J872" s="74">
        <f t="shared" ref="J872:J935" si="198">I872</f>
      </c>
      <c r="K872" s="80" t="s">
        <v>280</v>
      </c>
      <c r="L872" s="74">
        <f t="shared" ref="L872:L935" si="199">VLOOKUP(K872,$K$2:$L$3,2,FALSE)</f>
      </c>
      <c r="M872" s="74">
        <f t="shared" ref="M872:M935" ca="1" si="200">L872*F872*(1/I872+1/J872)</f>
      </c>
      <c r="N872" s="74">
        <f ca="1">VLOOKUP(B872,$C$7:$T870,13,FALSE)</f>
      </c>
      <c r="O872" s="74">
        <f t="shared" ref="O872:O935" ca="1" si="201">L872+M872</f>
      </c>
      <c r="P872" s="74">
        <f t="shared" ref="P872:P935" ca="1" si="202">220/O872</f>
      </c>
      <c r="Q872" s="74">
        <f t="shared" ref="Q872:Q935" ca="1" si="203">O872/G872</f>
      </c>
      <c r="R872" s="74">
        <f t="shared" ref="R872:R935" si="204">VLOOKUP(H872,$W$2:$Y$12,3,FALSE)</f>
      </c>
      <c r="S872" s="74">
        <f t="shared" ref="S872:S935" ca="1" si="205">_xlfn.IFS(E872="щит",IF(P872&gt;R872,"Увел сеч",IF(T872&gt;P872,"Увел сеч","tср&lt;5с")),E872="потреб",IF(P872&gt;R872,"Увел сеч",IF(T872&gt;P872,"Увел сеч","tср&lt;0.4с")))</f>
      </c>
      <c r="T872" s="74">
        <f t="shared" ref="T872:T935" si="206">G872*VLOOKUP(H872,$W$2:$Y$12,2,FALSE)</f>
      </c>
    </row>
    <row r="873" spans="2:20" x14ac:dyDescent="0.3">
      <c r="B873" s="74">
        <f t="shared" ca="1" si="196"/>
      </c>
      <c r="C873" s="78">
        <f>Кабельный_журнал!P839</f>
      </c>
      <c r="D873" s="74">
        <f t="shared" ca="1" si="197"/>
      </c>
      <c r="E873" s="80" t="s">
        <v>279</v>
      </c>
      <c r="F873" s="74">
        <f t="shared" ca="1" si="193"/>
      </c>
      <c r="G873" s="74">
        <f t="shared" si="194"/>
      </c>
      <c r="H873" s="80" t="s">
        <v>272</v>
      </c>
      <c r="I873" s="74">
        <f t="shared" si="195"/>
      </c>
      <c r="J873" s="74">
        <f t="shared" si="198"/>
      </c>
      <c r="K873" s="80" t="s">
        <v>280</v>
      </c>
      <c r="L873" s="74">
        <f t="shared" si="199"/>
      </c>
      <c r="M873" s="74">
        <f t="shared" ca="1" si="200"/>
      </c>
      <c r="N873" s="74">
        <f ca="1">VLOOKUP(B873,$C$7:$T871,13,FALSE)</f>
      </c>
      <c r="O873" s="74">
        <f t="shared" ca="1" si="201"/>
      </c>
      <c r="P873" s="74">
        <f t="shared" ca="1" si="202"/>
      </c>
      <c r="Q873" s="74">
        <f t="shared" ca="1" si="203"/>
      </c>
      <c r="R873" s="74">
        <f t="shared" si="204"/>
      </c>
      <c r="S873" s="74">
        <f t="shared" ca="1" si="205"/>
      </c>
      <c r="T873" s="74">
        <f t="shared" si="206"/>
      </c>
    </row>
    <row r="874" spans="2:20" x14ac:dyDescent="0.3">
      <c r="B874" s="74">
        <f t="shared" ca="1" si="196"/>
      </c>
      <c r="C874" s="78">
        <f>Кабельный_журнал!P840</f>
      </c>
      <c r="D874" s="74">
        <f t="shared" ca="1" si="197"/>
      </c>
      <c r="E874" s="80" t="s">
        <v>279</v>
      </c>
      <c r="F874" s="74">
        <f t="shared" ca="1" si="193"/>
      </c>
      <c r="G874" s="74">
        <f t="shared" si="194"/>
      </c>
      <c r="H874" s="80" t="s">
        <v>272</v>
      </c>
      <c r="I874" s="74">
        <f t="shared" si="195"/>
      </c>
      <c r="J874" s="74">
        <f t="shared" si="198"/>
      </c>
      <c r="K874" s="80" t="s">
        <v>280</v>
      </c>
      <c r="L874" s="74">
        <f t="shared" si="199"/>
      </c>
      <c r="M874" s="74">
        <f t="shared" ca="1" si="200"/>
      </c>
      <c r="N874" s="74">
        <f ca="1">VLOOKUP(B874,$C$7:$T872,13,FALSE)</f>
      </c>
      <c r="O874" s="74">
        <f t="shared" ca="1" si="201"/>
      </c>
      <c r="P874" s="74">
        <f t="shared" ca="1" si="202"/>
      </c>
      <c r="Q874" s="74">
        <f t="shared" ca="1" si="203"/>
      </c>
      <c r="R874" s="74">
        <f t="shared" si="204"/>
      </c>
      <c r="S874" s="74">
        <f t="shared" ca="1" si="205"/>
      </c>
      <c r="T874" s="74">
        <f t="shared" si="206"/>
      </c>
    </row>
    <row r="875" spans="2:20" x14ac:dyDescent="0.3">
      <c r="B875" s="74">
        <f t="shared" ca="1" si="196"/>
      </c>
      <c r="C875" s="78">
        <f>Кабельный_журнал!P841</f>
      </c>
      <c r="D875" s="74">
        <f t="shared" ca="1" si="197"/>
      </c>
      <c r="E875" s="80" t="s">
        <v>279</v>
      </c>
      <c r="F875" s="74">
        <f t="shared" ca="1" si="193"/>
      </c>
      <c r="G875" s="74">
        <f t="shared" si="194"/>
      </c>
      <c r="H875" s="80" t="s">
        <v>272</v>
      </c>
      <c r="I875" s="74">
        <f t="shared" si="195"/>
      </c>
      <c r="J875" s="74">
        <f t="shared" si="198"/>
      </c>
      <c r="K875" s="80" t="s">
        <v>280</v>
      </c>
      <c r="L875" s="74">
        <f t="shared" si="199"/>
      </c>
      <c r="M875" s="74">
        <f t="shared" ca="1" si="200"/>
      </c>
      <c r="N875" s="74">
        <f ca="1">VLOOKUP(B875,$C$7:$T873,13,FALSE)</f>
      </c>
      <c r="O875" s="74">
        <f t="shared" ca="1" si="201"/>
      </c>
      <c r="P875" s="74">
        <f t="shared" ca="1" si="202"/>
      </c>
      <c r="Q875" s="74">
        <f t="shared" ca="1" si="203"/>
      </c>
      <c r="R875" s="74">
        <f t="shared" si="204"/>
      </c>
      <c r="S875" s="74">
        <f t="shared" ca="1" si="205"/>
      </c>
      <c r="T875" s="74">
        <f t="shared" si="206"/>
      </c>
    </row>
    <row r="876" spans="2:20" x14ac:dyDescent="0.3">
      <c r="B876" s="74">
        <f t="shared" ca="1" si="196"/>
      </c>
      <c r="C876" s="78">
        <f>Кабельный_журнал!P842</f>
      </c>
      <c r="D876" s="74">
        <f t="shared" ca="1" si="197"/>
      </c>
      <c r="E876" s="80" t="s">
        <v>279</v>
      </c>
      <c r="F876" s="74">
        <f t="shared" ca="1" si="193"/>
      </c>
      <c r="G876" s="74">
        <f t="shared" si="194"/>
      </c>
      <c r="H876" s="80" t="s">
        <v>272</v>
      </c>
      <c r="I876" s="74">
        <f t="shared" si="195"/>
      </c>
      <c r="J876" s="74">
        <f t="shared" si="198"/>
      </c>
      <c r="K876" s="80" t="s">
        <v>280</v>
      </c>
      <c r="L876" s="74">
        <f t="shared" si="199"/>
      </c>
      <c r="M876" s="74">
        <f t="shared" ca="1" si="200"/>
      </c>
      <c r="N876" s="74">
        <f ca="1">VLOOKUP(B876,$C$7:$T874,13,FALSE)</f>
      </c>
      <c r="O876" s="74">
        <f t="shared" ca="1" si="201"/>
      </c>
      <c r="P876" s="74">
        <f t="shared" ca="1" si="202"/>
      </c>
      <c r="Q876" s="74">
        <f t="shared" ca="1" si="203"/>
      </c>
      <c r="R876" s="74">
        <f t="shared" si="204"/>
      </c>
      <c r="S876" s="74">
        <f t="shared" ca="1" si="205"/>
      </c>
      <c r="T876" s="74">
        <f t="shared" si="206"/>
      </c>
    </row>
    <row r="877" spans="2:20" x14ac:dyDescent="0.3">
      <c r="B877" s="74">
        <f t="shared" ca="1" si="196"/>
      </c>
      <c r="C877" s="78">
        <f>Кабельный_журнал!P843</f>
      </c>
      <c r="D877" s="74">
        <f t="shared" ca="1" si="197"/>
      </c>
      <c r="E877" s="80" t="s">
        <v>279</v>
      </c>
      <c r="F877" s="74">
        <f t="shared" ca="1" si="193"/>
      </c>
      <c r="G877" s="74">
        <f t="shared" si="194"/>
      </c>
      <c r="H877" s="80" t="s">
        <v>272</v>
      </c>
      <c r="I877" s="74">
        <f t="shared" si="195"/>
      </c>
      <c r="J877" s="74">
        <f t="shared" si="198"/>
      </c>
      <c r="K877" s="80" t="s">
        <v>280</v>
      </c>
      <c r="L877" s="74">
        <f t="shared" si="199"/>
      </c>
      <c r="M877" s="74">
        <f t="shared" ca="1" si="200"/>
      </c>
      <c r="N877" s="74">
        <f ca="1">VLOOKUP(B877,$C$7:$T875,13,FALSE)</f>
      </c>
      <c r="O877" s="74">
        <f t="shared" ca="1" si="201"/>
      </c>
      <c r="P877" s="74">
        <f t="shared" ca="1" si="202"/>
      </c>
      <c r="Q877" s="74">
        <f t="shared" ca="1" si="203"/>
      </c>
      <c r="R877" s="74">
        <f t="shared" si="204"/>
      </c>
      <c r="S877" s="74">
        <f t="shared" ca="1" si="205"/>
      </c>
      <c r="T877" s="74">
        <f t="shared" si="206"/>
      </c>
    </row>
    <row r="878" spans="2:20" x14ac:dyDescent="0.3">
      <c r="B878" s="74">
        <f t="shared" ca="1" si="196"/>
      </c>
      <c r="C878" s="78">
        <f>Кабельный_журнал!P844</f>
      </c>
      <c r="D878" s="74">
        <f t="shared" ca="1" si="197"/>
      </c>
      <c r="E878" s="80" t="s">
        <v>279</v>
      </c>
      <c r="F878" s="74">
        <f t="shared" ca="1" si="193"/>
      </c>
      <c r="G878" s="74">
        <f t="shared" si="194"/>
      </c>
      <c r="H878" s="80" t="s">
        <v>272</v>
      </c>
      <c r="I878" s="74">
        <f t="shared" si="195"/>
      </c>
      <c r="J878" s="74">
        <f t="shared" si="198"/>
      </c>
      <c r="K878" s="80" t="s">
        <v>280</v>
      </c>
      <c r="L878" s="74">
        <f t="shared" si="199"/>
      </c>
      <c r="M878" s="74">
        <f t="shared" ca="1" si="200"/>
      </c>
      <c r="N878" s="74">
        <f ca="1">VLOOKUP(B878,$C$7:$T876,13,FALSE)</f>
      </c>
      <c r="O878" s="74">
        <f t="shared" ca="1" si="201"/>
      </c>
      <c r="P878" s="74">
        <f t="shared" ca="1" si="202"/>
      </c>
      <c r="Q878" s="74">
        <f t="shared" ca="1" si="203"/>
      </c>
      <c r="R878" s="74">
        <f t="shared" si="204"/>
      </c>
      <c r="S878" s="74">
        <f t="shared" ca="1" si="205"/>
      </c>
      <c r="T878" s="74">
        <f t="shared" si="206"/>
      </c>
    </row>
    <row r="879" spans="2:20" x14ac:dyDescent="0.3">
      <c r="B879" s="74">
        <f t="shared" ca="1" si="196"/>
      </c>
      <c r="C879" s="78">
        <f>Кабельный_журнал!P845</f>
      </c>
      <c r="D879" s="74">
        <f t="shared" ca="1" si="197"/>
      </c>
      <c r="E879" s="80" t="s">
        <v>279</v>
      </c>
      <c r="F879" s="74">
        <f t="shared" ca="1" si="193"/>
      </c>
      <c r="G879" s="74">
        <f t="shared" si="194"/>
      </c>
      <c r="H879" s="80" t="s">
        <v>272</v>
      </c>
      <c r="I879" s="74">
        <f t="shared" si="195"/>
      </c>
      <c r="J879" s="74">
        <f t="shared" si="198"/>
      </c>
      <c r="K879" s="80" t="s">
        <v>280</v>
      </c>
      <c r="L879" s="74">
        <f t="shared" si="199"/>
      </c>
      <c r="M879" s="74">
        <f t="shared" ca="1" si="200"/>
      </c>
      <c r="N879" s="74">
        <f ca="1">VLOOKUP(B879,$C$7:$T877,13,FALSE)</f>
      </c>
      <c r="O879" s="74">
        <f t="shared" ca="1" si="201"/>
      </c>
      <c r="P879" s="74">
        <f t="shared" ca="1" si="202"/>
      </c>
      <c r="Q879" s="74">
        <f t="shared" ca="1" si="203"/>
      </c>
      <c r="R879" s="74">
        <f t="shared" si="204"/>
      </c>
      <c r="S879" s="74">
        <f t="shared" ca="1" si="205"/>
      </c>
      <c r="T879" s="74">
        <f t="shared" si="206"/>
      </c>
    </row>
    <row r="880" spans="2:20" x14ac:dyDescent="0.3">
      <c r="B880" s="74">
        <f t="shared" ca="1" si="196"/>
      </c>
      <c r="C880" s="78">
        <f>Кабельный_журнал!P846</f>
      </c>
      <c r="D880" s="74">
        <f t="shared" ca="1" si="197"/>
      </c>
      <c r="E880" s="80" t="s">
        <v>279</v>
      </c>
      <c r="F880" s="74">
        <f t="shared" ca="1" si="193"/>
      </c>
      <c r="G880" s="74">
        <f t="shared" si="194"/>
      </c>
      <c r="H880" s="80" t="s">
        <v>272</v>
      </c>
      <c r="I880" s="74">
        <f t="shared" si="195"/>
      </c>
      <c r="J880" s="74">
        <f t="shared" si="198"/>
      </c>
      <c r="K880" s="80" t="s">
        <v>280</v>
      </c>
      <c r="L880" s="74">
        <f t="shared" si="199"/>
      </c>
      <c r="M880" s="74">
        <f t="shared" ca="1" si="200"/>
      </c>
      <c r="N880" s="74">
        <f ca="1">VLOOKUP(B880,$C$7:$T878,13,FALSE)</f>
      </c>
      <c r="O880" s="74">
        <f t="shared" ca="1" si="201"/>
      </c>
      <c r="P880" s="74">
        <f t="shared" ca="1" si="202"/>
      </c>
      <c r="Q880" s="74">
        <f t="shared" ca="1" si="203"/>
      </c>
      <c r="R880" s="74">
        <f t="shared" si="204"/>
      </c>
      <c r="S880" s="74">
        <f t="shared" ca="1" si="205"/>
      </c>
      <c r="T880" s="74">
        <f t="shared" si="206"/>
      </c>
    </row>
    <row r="881" spans="2:20" x14ac:dyDescent="0.3">
      <c r="B881" s="74">
        <f t="shared" ca="1" si="196"/>
      </c>
      <c r="C881" s="78">
        <f>Кабельный_журнал!P847</f>
      </c>
      <c r="D881" s="74">
        <f t="shared" ca="1" si="197"/>
      </c>
      <c r="E881" s="80" t="s">
        <v>279</v>
      </c>
      <c r="F881" s="74">
        <f t="shared" ca="1" si="193"/>
      </c>
      <c r="G881" s="74">
        <f t="shared" si="194"/>
      </c>
      <c r="H881" s="80" t="s">
        <v>272</v>
      </c>
      <c r="I881" s="74">
        <f t="shared" si="195"/>
      </c>
      <c r="J881" s="74">
        <f t="shared" si="198"/>
      </c>
      <c r="K881" s="80" t="s">
        <v>280</v>
      </c>
      <c r="L881" s="74">
        <f t="shared" si="199"/>
      </c>
      <c r="M881" s="74">
        <f t="shared" ca="1" si="200"/>
      </c>
      <c r="N881" s="74">
        <f ca="1">VLOOKUP(B881,$C$7:$T879,13,FALSE)</f>
      </c>
      <c r="O881" s="74">
        <f t="shared" ca="1" si="201"/>
      </c>
      <c r="P881" s="74">
        <f t="shared" ca="1" si="202"/>
      </c>
      <c r="Q881" s="74">
        <f t="shared" ca="1" si="203"/>
      </c>
      <c r="R881" s="74">
        <f t="shared" si="204"/>
      </c>
      <c r="S881" s="74">
        <f t="shared" ca="1" si="205"/>
      </c>
      <c r="T881" s="74">
        <f t="shared" si="206"/>
      </c>
    </row>
    <row r="882" spans="2:20" x14ac:dyDescent="0.3">
      <c r="B882" s="74">
        <f t="shared" ca="1" si="196"/>
      </c>
      <c r="C882" s="78">
        <f>Кабельный_журнал!P848</f>
      </c>
      <c r="D882" s="74">
        <f t="shared" ca="1" si="197"/>
      </c>
      <c r="E882" s="80" t="s">
        <v>279</v>
      </c>
      <c r="F882" s="74">
        <f t="shared" ca="1" si="193"/>
      </c>
      <c r="G882" s="74">
        <f t="shared" si="194"/>
      </c>
      <c r="H882" s="80" t="s">
        <v>272</v>
      </c>
      <c r="I882" s="74">
        <f t="shared" si="195"/>
      </c>
      <c r="J882" s="74">
        <f t="shared" si="198"/>
      </c>
      <c r="K882" s="80" t="s">
        <v>280</v>
      </c>
      <c r="L882" s="74">
        <f t="shared" si="199"/>
      </c>
      <c r="M882" s="74">
        <f t="shared" ca="1" si="200"/>
      </c>
      <c r="N882" s="74">
        <f ca="1">VLOOKUP(B882,$C$7:$T880,13,FALSE)</f>
      </c>
      <c r="O882" s="74">
        <f t="shared" ca="1" si="201"/>
      </c>
      <c r="P882" s="74">
        <f t="shared" ca="1" si="202"/>
      </c>
      <c r="Q882" s="74">
        <f t="shared" ca="1" si="203"/>
      </c>
      <c r="R882" s="74">
        <f t="shared" si="204"/>
      </c>
      <c r="S882" s="74">
        <f t="shared" ca="1" si="205"/>
      </c>
      <c r="T882" s="74">
        <f t="shared" si="206"/>
      </c>
    </row>
    <row r="883" spans="2:20" x14ac:dyDescent="0.3">
      <c r="B883" s="74">
        <f t="shared" ca="1" si="196"/>
      </c>
      <c r="C883" s="78">
        <f>Кабельный_журнал!P849</f>
      </c>
      <c r="D883" s="74">
        <f t="shared" ca="1" si="197"/>
      </c>
      <c r="E883" s="80" t="s">
        <v>279</v>
      </c>
      <c r="F883" s="74">
        <f t="shared" ca="1" si="193"/>
      </c>
      <c r="G883" s="74">
        <f t="shared" si="194"/>
      </c>
      <c r="H883" s="80" t="s">
        <v>272</v>
      </c>
      <c r="I883" s="74">
        <f t="shared" si="195"/>
      </c>
      <c r="J883" s="74">
        <f t="shared" si="198"/>
      </c>
      <c r="K883" s="80" t="s">
        <v>280</v>
      </c>
      <c r="L883" s="74">
        <f t="shared" si="199"/>
      </c>
      <c r="M883" s="74">
        <f t="shared" ca="1" si="200"/>
      </c>
      <c r="N883" s="74">
        <f ca="1">VLOOKUP(B883,$C$7:$T881,13,FALSE)</f>
      </c>
      <c r="O883" s="74">
        <f t="shared" ca="1" si="201"/>
      </c>
      <c r="P883" s="74">
        <f t="shared" ca="1" si="202"/>
      </c>
      <c r="Q883" s="74">
        <f t="shared" ca="1" si="203"/>
      </c>
      <c r="R883" s="74">
        <f t="shared" si="204"/>
      </c>
      <c r="S883" s="74">
        <f t="shared" ca="1" si="205"/>
      </c>
      <c r="T883" s="74">
        <f t="shared" si="206"/>
      </c>
    </row>
    <row r="884" spans="2:20" x14ac:dyDescent="0.3">
      <c r="B884" s="74">
        <f t="shared" ca="1" si="196"/>
      </c>
      <c r="C884" s="78">
        <f>Кабельный_журнал!P850</f>
      </c>
      <c r="D884" s="74">
        <f t="shared" ca="1" si="197"/>
      </c>
      <c r="E884" s="80" t="s">
        <v>279</v>
      </c>
      <c r="F884" s="74">
        <f t="shared" ca="1" si="193"/>
      </c>
      <c r="G884" s="74">
        <f t="shared" si="194"/>
      </c>
      <c r="H884" s="80" t="s">
        <v>272</v>
      </c>
      <c r="I884" s="74">
        <f t="shared" si="195"/>
      </c>
      <c r="J884" s="74">
        <f t="shared" si="198"/>
      </c>
      <c r="K884" s="80" t="s">
        <v>280</v>
      </c>
      <c r="L884" s="74">
        <f t="shared" si="199"/>
      </c>
      <c r="M884" s="74">
        <f t="shared" ca="1" si="200"/>
      </c>
      <c r="N884" s="74">
        <f ca="1">VLOOKUP(B884,$C$7:$T882,13,FALSE)</f>
      </c>
      <c r="O884" s="74">
        <f t="shared" ca="1" si="201"/>
      </c>
      <c r="P884" s="74">
        <f t="shared" ca="1" si="202"/>
      </c>
      <c r="Q884" s="74">
        <f t="shared" ca="1" si="203"/>
      </c>
      <c r="R884" s="74">
        <f t="shared" si="204"/>
      </c>
      <c r="S884" s="74">
        <f t="shared" ca="1" si="205"/>
      </c>
      <c r="T884" s="74">
        <f t="shared" si="206"/>
      </c>
    </row>
    <row r="885" spans="2:20" x14ac:dyDescent="0.3">
      <c r="B885" s="74">
        <f t="shared" ca="1" si="196"/>
      </c>
      <c r="C885" s="78">
        <f>Кабельный_журнал!P851</f>
      </c>
      <c r="D885" s="74">
        <f t="shared" ca="1" si="197"/>
      </c>
      <c r="E885" s="80" t="s">
        <v>279</v>
      </c>
      <c r="F885" s="74">
        <f t="shared" ca="1" si="193"/>
      </c>
      <c r="G885" s="74">
        <f t="shared" si="194"/>
      </c>
      <c r="H885" s="80" t="s">
        <v>272</v>
      </c>
      <c r="I885" s="74">
        <f t="shared" si="195"/>
      </c>
      <c r="J885" s="74">
        <f t="shared" si="198"/>
      </c>
      <c r="K885" s="80" t="s">
        <v>280</v>
      </c>
      <c r="L885" s="74">
        <f t="shared" si="199"/>
      </c>
      <c r="M885" s="74">
        <f t="shared" ca="1" si="200"/>
      </c>
      <c r="N885" s="74">
        <f ca="1">VLOOKUP(B885,$C$7:$T883,13,FALSE)</f>
      </c>
      <c r="O885" s="74">
        <f t="shared" ca="1" si="201"/>
      </c>
      <c r="P885" s="74">
        <f t="shared" ca="1" si="202"/>
      </c>
      <c r="Q885" s="74">
        <f t="shared" ca="1" si="203"/>
      </c>
      <c r="R885" s="74">
        <f t="shared" si="204"/>
      </c>
      <c r="S885" s="74">
        <f t="shared" ca="1" si="205"/>
      </c>
      <c r="T885" s="74">
        <f t="shared" si="206"/>
      </c>
    </row>
    <row r="886" spans="2:20" x14ac:dyDescent="0.3">
      <c r="B886" s="74">
        <f t="shared" ca="1" si="196"/>
      </c>
      <c r="C886" s="78">
        <f>Кабельный_журнал!P852</f>
      </c>
      <c r="D886" s="74">
        <f t="shared" ca="1" si="197"/>
      </c>
      <c r="E886" s="80" t="s">
        <v>279</v>
      </c>
      <c r="F886" s="74">
        <f t="shared" ca="1" si="193"/>
      </c>
      <c r="G886" s="74">
        <f t="shared" si="194"/>
      </c>
      <c r="H886" s="80" t="s">
        <v>272</v>
      </c>
      <c r="I886" s="74">
        <f t="shared" si="195"/>
      </c>
      <c r="J886" s="74">
        <f t="shared" si="198"/>
      </c>
      <c r="K886" s="80" t="s">
        <v>280</v>
      </c>
      <c r="L886" s="74">
        <f t="shared" si="199"/>
      </c>
      <c r="M886" s="74">
        <f t="shared" ca="1" si="200"/>
      </c>
      <c r="N886" s="74">
        <f ca="1">VLOOKUP(B886,$C$7:$T884,13,FALSE)</f>
      </c>
      <c r="O886" s="74">
        <f t="shared" ca="1" si="201"/>
      </c>
      <c r="P886" s="74">
        <f t="shared" ca="1" si="202"/>
      </c>
      <c r="Q886" s="74">
        <f t="shared" ca="1" si="203"/>
      </c>
      <c r="R886" s="74">
        <f t="shared" si="204"/>
      </c>
      <c r="S886" s="74">
        <f t="shared" ca="1" si="205"/>
      </c>
      <c r="T886" s="74">
        <f t="shared" si="206"/>
      </c>
    </row>
    <row r="887" spans="2:20" x14ac:dyDescent="0.3">
      <c r="B887" s="74">
        <f t="shared" ca="1" si="196"/>
      </c>
      <c r="C887" s="78">
        <f>Кабельный_журнал!P853</f>
      </c>
      <c r="D887" s="74">
        <f t="shared" ca="1" si="197"/>
      </c>
      <c r="E887" s="80" t="s">
        <v>279</v>
      </c>
      <c r="F887" s="74">
        <f t="shared" ca="1" si="193"/>
      </c>
      <c r="G887" s="74">
        <f t="shared" si="194"/>
      </c>
      <c r="H887" s="80" t="s">
        <v>272</v>
      </c>
      <c r="I887" s="74">
        <f t="shared" si="195"/>
      </c>
      <c r="J887" s="74">
        <f t="shared" si="198"/>
      </c>
      <c r="K887" s="80" t="s">
        <v>280</v>
      </c>
      <c r="L887" s="74">
        <f t="shared" si="199"/>
      </c>
      <c r="M887" s="74">
        <f t="shared" ca="1" si="200"/>
      </c>
      <c r="N887" s="74">
        <f ca="1">VLOOKUP(B887,$C$7:$T885,13,FALSE)</f>
      </c>
      <c r="O887" s="74">
        <f t="shared" ca="1" si="201"/>
      </c>
      <c r="P887" s="74">
        <f t="shared" ca="1" si="202"/>
      </c>
      <c r="Q887" s="74">
        <f t="shared" ca="1" si="203"/>
      </c>
      <c r="R887" s="74">
        <f t="shared" si="204"/>
      </c>
      <c r="S887" s="74">
        <f t="shared" ca="1" si="205"/>
      </c>
      <c r="T887" s="74">
        <f t="shared" si="206"/>
      </c>
    </row>
    <row r="888" spans="2:20" x14ac:dyDescent="0.3">
      <c r="B888" s="74">
        <f t="shared" ca="1" si="196"/>
      </c>
      <c r="C888" s="78">
        <f>Кабельный_журнал!P854</f>
      </c>
      <c r="D888" s="74">
        <f t="shared" ca="1" si="197"/>
      </c>
      <c r="E888" s="80" t="s">
        <v>279</v>
      </c>
      <c r="F888" s="74">
        <f t="shared" ca="1" si="193"/>
      </c>
      <c r="G888" s="74">
        <f t="shared" si="194"/>
      </c>
      <c r="H888" s="80" t="s">
        <v>272</v>
      </c>
      <c r="I888" s="74">
        <f t="shared" si="195"/>
      </c>
      <c r="J888" s="74">
        <f t="shared" si="198"/>
      </c>
      <c r="K888" s="80" t="s">
        <v>280</v>
      </c>
      <c r="L888" s="74">
        <f t="shared" si="199"/>
      </c>
      <c r="M888" s="74">
        <f t="shared" ca="1" si="200"/>
      </c>
      <c r="N888" s="74">
        <f ca="1">VLOOKUP(B888,$C$7:$T886,13,FALSE)</f>
      </c>
      <c r="O888" s="74">
        <f t="shared" ca="1" si="201"/>
      </c>
      <c r="P888" s="74">
        <f t="shared" ca="1" si="202"/>
      </c>
      <c r="Q888" s="74">
        <f t="shared" ca="1" si="203"/>
      </c>
      <c r="R888" s="74">
        <f t="shared" si="204"/>
      </c>
      <c r="S888" s="74">
        <f t="shared" ca="1" si="205"/>
      </c>
      <c r="T888" s="74">
        <f t="shared" si="206"/>
      </c>
    </row>
    <row r="889" spans="2:20" x14ac:dyDescent="0.3">
      <c r="B889" s="74">
        <f t="shared" ca="1" si="196"/>
      </c>
      <c r="C889" s="78">
        <f>Кабельный_журнал!P855</f>
      </c>
      <c r="D889" s="74">
        <f t="shared" ca="1" si="197"/>
      </c>
      <c r="E889" s="80" t="s">
        <v>279</v>
      </c>
      <c r="F889" s="74">
        <f t="shared" ca="1" si="193"/>
      </c>
      <c r="G889" s="74">
        <f t="shared" si="194"/>
      </c>
      <c r="H889" s="80" t="s">
        <v>272</v>
      </c>
      <c r="I889" s="74">
        <f t="shared" si="195"/>
      </c>
      <c r="J889" s="74">
        <f t="shared" si="198"/>
      </c>
      <c r="K889" s="80" t="s">
        <v>280</v>
      </c>
      <c r="L889" s="74">
        <f t="shared" si="199"/>
      </c>
      <c r="M889" s="74">
        <f t="shared" ca="1" si="200"/>
      </c>
      <c r="N889" s="74">
        <f ca="1">VLOOKUP(B889,$C$7:$T887,13,FALSE)</f>
      </c>
      <c r="O889" s="74">
        <f t="shared" ca="1" si="201"/>
      </c>
      <c r="P889" s="74">
        <f t="shared" ca="1" si="202"/>
      </c>
      <c r="Q889" s="74">
        <f t="shared" ca="1" si="203"/>
      </c>
      <c r="R889" s="74">
        <f t="shared" si="204"/>
      </c>
      <c r="S889" s="74">
        <f t="shared" ca="1" si="205"/>
      </c>
      <c r="T889" s="74">
        <f t="shared" si="206"/>
      </c>
    </row>
    <row r="890" spans="2:20" x14ac:dyDescent="0.3">
      <c r="B890" s="74">
        <f t="shared" ca="1" si="196"/>
      </c>
      <c r="C890" s="78">
        <f>Кабельный_журнал!P856</f>
      </c>
      <c r="D890" s="74">
        <f t="shared" ca="1" si="197"/>
      </c>
      <c r="E890" s="80" t="s">
        <v>279</v>
      </c>
      <c r="F890" s="74">
        <f t="shared" ca="1" si="193"/>
      </c>
      <c r="G890" s="74">
        <f t="shared" si="194"/>
      </c>
      <c r="H890" s="80" t="s">
        <v>272</v>
      </c>
      <c r="I890" s="74">
        <f t="shared" si="195"/>
      </c>
      <c r="J890" s="74">
        <f t="shared" si="198"/>
      </c>
      <c r="K890" s="80" t="s">
        <v>280</v>
      </c>
      <c r="L890" s="74">
        <f t="shared" si="199"/>
      </c>
      <c r="M890" s="74">
        <f t="shared" ca="1" si="200"/>
      </c>
      <c r="N890" s="74">
        <f ca="1">VLOOKUP(B890,$C$7:$T888,13,FALSE)</f>
      </c>
      <c r="O890" s="74">
        <f t="shared" ca="1" si="201"/>
      </c>
      <c r="P890" s="74">
        <f t="shared" ca="1" si="202"/>
      </c>
      <c r="Q890" s="74">
        <f t="shared" ca="1" si="203"/>
      </c>
      <c r="R890" s="74">
        <f t="shared" si="204"/>
      </c>
      <c r="S890" s="74">
        <f t="shared" ca="1" si="205"/>
      </c>
      <c r="T890" s="74">
        <f t="shared" si="206"/>
      </c>
    </row>
    <row r="891" spans="2:20" x14ac:dyDescent="0.3">
      <c r="B891" s="74">
        <f t="shared" ca="1" si="196"/>
      </c>
      <c r="C891" s="78">
        <f>Кабельный_журнал!P857</f>
      </c>
      <c r="D891" s="74">
        <f t="shared" ca="1" si="197"/>
      </c>
      <c r="E891" s="80" t="s">
        <v>279</v>
      </c>
      <c r="F891" s="74">
        <f t="shared" ca="1" si="193"/>
      </c>
      <c r="G891" s="74">
        <f t="shared" si="194"/>
      </c>
      <c r="H891" s="80" t="s">
        <v>272</v>
      </c>
      <c r="I891" s="74">
        <f t="shared" si="195"/>
      </c>
      <c r="J891" s="74">
        <f t="shared" si="198"/>
      </c>
      <c r="K891" s="80" t="s">
        <v>280</v>
      </c>
      <c r="L891" s="74">
        <f t="shared" si="199"/>
      </c>
      <c r="M891" s="74">
        <f t="shared" ca="1" si="200"/>
      </c>
      <c r="N891" s="74">
        <f ca="1">VLOOKUP(B891,$C$7:$T889,13,FALSE)</f>
      </c>
      <c r="O891" s="74">
        <f t="shared" ca="1" si="201"/>
      </c>
      <c r="P891" s="74">
        <f t="shared" ca="1" si="202"/>
      </c>
      <c r="Q891" s="74">
        <f t="shared" ca="1" si="203"/>
      </c>
      <c r="R891" s="74">
        <f t="shared" si="204"/>
      </c>
      <c r="S891" s="74">
        <f t="shared" ca="1" si="205"/>
      </c>
      <c r="T891" s="74">
        <f t="shared" si="206"/>
      </c>
    </row>
    <row r="892" spans="2:20" x14ac:dyDescent="0.3">
      <c r="B892" s="74">
        <f t="shared" ca="1" si="196"/>
      </c>
      <c r="C892" s="78">
        <f>Кабельный_журнал!P858</f>
      </c>
      <c r="D892" s="74">
        <f t="shared" ca="1" si="197"/>
      </c>
      <c r="E892" s="80" t="s">
        <v>279</v>
      </c>
      <c r="F892" s="74">
        <f t="shared" ca="1" si="193"/>
      </c>
      <c r="G892" s="74">
        <f t="shared" si="194"/>
      </c>
      <c r="H892" s="80" t="s">
        <v>272</v>
      </c>
      <c r="I892" s="74">
        <f t="shared" si="195"/>
      </c>
      <c r="J892" s="74">
        <f t="shared" si="198"/>
      </c>
      <c r="K892" s="80" t="s">
        <v>280</v>
      </c>
      <c r="L892" s="74">
        <f t="shared" si="199"/>
      </c>
      <c r="M892" s="74">
        <f t="shared" ca="1" si="200"/>
      </c>
      <c r="N892" s="74">
        <f ca="1">VLOOKUP(B892,$C$7:$T890,13,FALSE)</f>
      </c>
      <c r="O892" s="74">
        <f t="shared" ca="1" si="201"/>
      </c>
      <c r="P892" s="74">
        <f t="shared" ca="1" si="202"/>
      </c>
      <c r="Q892" s="74">
        <f t="shared" ca="1" si="203"/>
      </c>
      <c r="R892" s="74">
        <f t="shared" si="204"/>
      </c>
      <c r="S892" s="74">
        <f t="shared" ca="1" si="205"/>
      </c>
      <c r="T892" s="74">
        <f t="shared" si="206"/>
      </c>
    </row>
    <row r="893" spans="2:20" x14ac:dyDescent="0.3">
      <c r="B893" s="74">
        <f t="shared" ca="1" si="196"/>
      </c>
      <c r="C893" s="78">
        <f>Кабельный_журнал!P859</f>
      </c>
      <c r="D893" s="74">
        <f t="shared" ca="1" si="197"/>
      </c>
      <c r="E893" s="80" t="s">
        <v>279</v>
      </c>
      <c r="F893" s="74">
        <f t="shared" ca="1" si="193"/>
      </c>
      <c r="G893" s="74">
        <f t="shared" si="194"/>
      </c>
      <c r="H893" s="80" t="s">
        <v>272</v>
      </c>
      <c r="I893" s="74">
        <f t="shared" si="195"/>
      </c>
      <c r="J893" s="74">
        <f t="shared" si="198"/>
      </c>
      <c r="K893" s="80" t="s">
        <v>280</v>
      </c>
      <c r="L893" s="74">
        <f t="shared" si="199"/>
      </c>
      <c r="M893" s="74">
        <f t="shared" ca="1" si="200"/>
      </c>
      <c r="N893" s="74">
        <f ca="1">VLOOKUP(B893,$C$7:$T891,13,FALSE)</f>
      </c>
      <c r="O893" s="74">
        <f t="shared" ca="1" si="201"/>
      </c>
      <c r="P893" s="74">
        <f t="shared" ca="1" si="202"/>
      </c>
      <c r="Q893" s="74">
        <f t="shared" ca="1" si="203"/>
      </c>
      <c r="R893" s="74">
        <f t="shared" si="204"/>
      </c>
      <c r="S893" s="74">
        <f t="shared" ca="1" si="205"/>
      </c>
      <c r="T893" s="74">
        <f t="shared" si="206"/>
      </c>
    </row>
    <row r="894" spans="2:20" x14ac:dyDescent="0.3">
      <c r="B894" s="74">
        <f t="shared" ca="1" si="196"/>
      </c>
      <c r="C894" s="78">
        <f>Кабельный_журнал!P860</f>
      </c>
      <c r="D894" s="74">
        <f t="shared" ca="1" si="197"/>
      </c>
      <c r="E894" s="80" t="s">
        <v>279</v>
      </c>
      <c r="F894" s="74">
        <f t="shared" ca="1" si="193"/>
      </c>
      <c r="G894" s="74">
        <f t="shared" si="194"/>
      </c>
      <c r="H894" s="80" t="s">
        <v>272</v>
      </c>
      <c r="I894" s="74">
        <f t="shared" si="195"/>
      </c>
      <c r="J894" s="74">
        <f t="shared" si="198"/>
      </c>
      <c r="K894" s="80" t="s">
        <v>280</v>
      </c>
      <c r="L894" s="74">
        <f t="shared" si="199"/>
      </c>
      <c r="M894" s="74">
        <f t="shared" ca="1" si="200"/>
      </c>
      <c r="N894" s="74">
        <f ca="1">VLOOKUP(B894,$C$7:$T892,13,FALSE)</f>
      </c>
      <c r="O894" s="74">
        <f t="shared" ca="1" si="201"/>
      </c>
      <c r="P894" s="74">
        <f t="shared" ca="1" si="202"/>
      </c>
      <c r="Q894" s="74">
        <f t="shared" ca="1" si="203"/>
      </c>
      <c r="R894" s="74">
        <f t="shared" si="204"/>
      </c>
      <c r="S894" s="74">
        <f t="shared" ca="1" si="205"/>
      </c>
      <c r="T894" s="74">
        <f t="shared" si="206"/>
      </c>
    </row>
    <row r="895" spans="2:20" x14ac:dyDescent="0.3">
      <c r="B895" s="74">
        <f t="shared" ca="1" si="196"/>
      </c>
      <c r="C895" s="78">
        <f>Кабельный_журнал!P861</f>
      </c>
      <c r="D895" s="74">
        <f t="shared" ca="1" si="197"/>
      </c>
      <c r="E895" s="80" t="s">
        <v>279</v>
      </c>
      <c r="F895" s="74">
        <f t="shared" ca="1" si="193"/>
      </c>
      <c r="G895" s="74">
        <f t="shared" si="194"/>
      </c>
      <c r="H895" s="80" t="s">
        <v>272</v>
      </c>
      <c r="I895" s="74">
        <f t="shared" si="195"/>
      </c>
      <c r="J895" s="74">
        <f t="shared" si="198"/>
      </c>
      <c r="K895" s="80" t="s">
        <v>280</v>
      </c>
      <c r="L895" s="74">
        <f t="shared" si="199"/>
      </c>
      <c r="M895" s="74">
        <f t="shared" ca="1" si="200"/>
      </c>
      <c r="N895" s="74">
        <f ca="1">VLOOKUP(B895,$C$7:$T893,13,FALSE)</f>
      </c>
      <c r="O895" s="74">
        <f t="shared" ca="1" si="201"/>
      </c>
      <c r="P895" s="74">
        <f t="shared" ca="1" si="202"/>
      </c>
      <c r="Q895" s="74">
        <f t="shared" ca="1" si="203"/>
      </c>
      <c r="R895" s="74">
        <f t="shared" si="204"/>
      </c>
      <c r="S895" s="74">
        <f t="shared" ca="1" si="205"/>
      </c>
      <c r="T895" s="74">
        <f t="shared" si="206"/>
      </c>
    </row>
    <row r="896" spans="2:20" x14ac:dyDescent="0.3">
      <c r="B896" s="74">
        <f t="shared" ca="1" si="196"/>
      </c>
      <c r="C896" s="78">
        <f>Кабельный_журнал!P862</f>
      </c>
      <c r="D896" s="74">
        <f t="shared" ca="1" si="197"/>
      </c>
      <c r="E896" s="80" t="s">
        <v>279</v>
      </c>
      <c r="F896" s="74">
        <f t="shared" ca="1" si="193"/>
      </c>
      <c r="G896" s="74">
        <f t="shared" si="194"/>
      </c>
      <c r="H896" s="80" t="s">
        <v>272</v>
      </c>
      <c r="I896" s="74">
        <f t="shared" si="195"/>
      </c>
      <c r="J896" s="74">
        <f t="shared" si="198"/>
      </c>
      <c r="K896" s="80" t="s">
        <v>280</v>
      </c>
      <c r="L896" s="74">
        <f t="shared" si="199"/>
      </c>
      <c r="M896" s="74">
        <f t="shared" ca="1" si="200"/>
      </c>
      <c r="N896" s="74">
        <f ca="1">VLOOKUP(B896,$C$7:$T894,13,FALSE)</f>
      </c>
      <c r="O896" s="74">
        <f t="shared" ca="1" si="201"/>
      </c>
      <c r="P896" s="74">
        <f t="shared" ca="1" si="202"/>
      </c>
      <c r="Q896" s="74">
        <f t="shared" ca="1" si="203"/>
      </c>
      <c r="R896" s="74">
        <f t="shared" si="204"/>
      </c>
      <c r="S896" s="74">
        <f t="shared" ca="1" si="205"/>
      </c>
      <c r="T896" s="74">
        <f t="shared" si="206"/>
      </c>
    </row>
    <row r="897" spans="2:20" x14ac:dyDescent="0.3">
      <c r="B897" s="74">
        <f t="shared" ca="1" si="196"/>
      </c>
      <c r="C897" s="78">
        <f>Кабельный_журнал!P863</f>
      </c>
      <c r="D897" s="74">
        <f t="shared" ca="1" si="197"/>
      </c>
      <c r="E897" s="80" t="s">
        <v>279</v>
      </c>
      <c r="F897" s="74">
        <f t="shared" ca="1" si="193"/>
      </c>
      <c r="G897" s="74">
        <f t="shared" si="194"/>
      </c>
      <c r="H897" s="80" t="s">
        <v>272</v>
      </c>
      <c r="I897" s="74">
        <f t="shared" si="195"/>
      </c>
      <c r="J897" s="74">
        <f t="shared" si="198"/>
      </c>
      <c r="K897" s="80" t="s">
        <v>280</v>
      </c>
      <c r="L897" s="74">
        <f t="shared" si="199"/>
      </c>
      <c r="M897" s="74">
        <f t="shared" ca="1" si="200"/>
      </c>
      <c r="N897" s="74">
        <f ca="1">VLOOKUP(B897,$C$7:$T895,13,FALSE)</f>
      </c>
      <c r="O897" s="74">
        <f t="shared" ca="1" si="201"/>
      </c>
      <c r="P897" s="74">
        <f t="shared" ca="1" si="202"/>
      </c>
      <c r="Q897" s="74">
        <f t="shared" ca="1" si="203"/>
      </c>
      <c r="R897" s="74">
        <f t="shared" si="204"/>
      </c>
      <c r="S897" s="74">
        <f t="shared" ca="1" si="205"/>
      </c>
      <c r="T897" s="74">
        <f t="shared" si="206"/>
      </c>
    </row>
    <row r="898" spans="2:20" x14ac:dyDescent="0.3">
      <c r="B898" s="74">
        <f t="shared" ca="1" si="196"/>
      </c>
      <c r="C898" s="78">
        <f>Кабельный_журнал!P864</f>
      </c>
      <c r="D898" s="74">
        <f t="shared" ca="1" si="197"/>
      </c>
      <c r="E898" s="80" t="s">
        <v>279</v>
      </c>
      <c r="F898" s="74">
        <f t="shared" ca="1" si="193"/>
      </c>
      <c r="G898" s="74">
        <f t="shared" si="194"/>
      </c>
      <c r="H898" s="80" t="s">
        <v>272</v>
      </c>
      <c r="I898" s="74">
        <f t="shared" si="195"/>
      </c>
      <c r="J898" s="74">
        <f t="shared" si="198"/>
      </c>
      <c r="K898" s="80" t="s">
        <v>280</v>
      </c>
      <c r="L898" s="74">
        <f t="shared" si="199"/>
      </c>
      <c r="M898" s="74">
        <f t="shared" ca="1" si="200"/>
      </c>
      <c r="N898" s="74">
        <f ca="1">VLOOKUP(B898,$C$7:$T896,13,FALSE)</f>
      </c>
      <c r="O898" s="74">
        <f t="shared" ca="1" si="201"/>
      </c>
      <c r="P898" s="74">
        <f t="shared" ca="1" si="202"/>
      </c>
      <c r="Q898" s="74">
        <f t="shared" ca="1" si="203"/>
      </c>
      <c r="R898" s="74">
        <f t="shared" si="204"/>
      </c>
      <c r="S898" s="74">
        <f t="shared" ca="1" si="205"/>
      </c>
      <c r="T898" s="74">
        <f t="shared" si="206"/>
      </c>
    </row>
    <row r="899" spans="2:20" x14ac:dyDescent="0.3">
      <c r="B899" s="74">
        <f t="shared" ca="1" si="196"/>
      </c>
      <c r="C899" s="78">
        <f>Кабельный_журнал!P865</f>
      </c>
      <c r="D899" s="74">
        <f t="shared" ca="1" si="197"/>
      </c>
      <c r="E899" s="80" t="s">
        <v>279</v>
      </c>
      <c r="F899" s="74">
        <f t="shared" ca="1" si="193"/>
      </c>
      <c r="G899" s="74">
        <f t="shared" si="194"/>
      </c>
      <c r="H899" s="80" t="s">
        <v>272</v>
      </c>
      <c r="I899" s="74">
        <f t="shared" si="195"/>
      </c>
      <c r="J899" s="74">
        <f t="shared" si="198"/>
      </c>
      <c r="K899" s="80" t="s">
        <v>280</v>
      </c>
      <c r="L899" s="74">
        <f t="shared" si="199"/>
      </c>
      <c r="M899" s="74">
        <f t="shared" ca="1" si="200"/>
      </c>
      <c r="N899" s="74">
        <f ca="1">VLOOKUP(B899,$C$7:$T897,13,FALSE)</f>
      </c>
      <c r="O899" s="74">
        <f t="shared" ca="1" si="201"/>
      </c>
      <c r="P899" s="74">
        <f t="shared" ca="1" si="202"/>
      </c>
      <c r="Q899" s="74">
        <f t="shared" ca="1" si="203"/>
      </c>
      <c r="R899" s="74">
        <f t="shared" si="204"/>
      </c>
      <c r="S899" s="74">
        <f t="shared" ca="1" si="205"/>
      </c>
      <c r="T899" s="74">
        <f t="shared" si="206"/>
      </c>
    </row>
    <row r="900" spans="2:20" x14ac:dyDescent="0.3">
      <c r="B900" s="74">
        <f t="shared" ca="1" si="196"/>
      </c>
      <c r="C900" s="78">
        <f>Кабельный_журнал!P866</f>
      </c>
      <c r="D900" s="74">
        <f t="shared" ca="1" si="197"/>
      </c>
      <c r="E900" s="80" t="s">
        <v>279</v>
      </c>
      <c r="F900" s="74">
        <f t="shared" ca="1" si="193"/>
      </c>
      <c r="G900" s="74">
        <f t="shared" si="194"/>
      </c>
      <c r="H900" s="80" t="s">
        <v>272</v>
      </c>
      <c r="I900" s="74">
        <f t="shared" si="195"/>
      </c>
      <c r="J900" s="74">
        <f t="shared" si="198"/>
      </c>
      <c r="K900" s="80" t="s">
        <v>280</v>
      </c>
      <c r="L900" s="74">
        <f t="shared" si="199"/>
      </c>
      <c r="M900" s="74">
        <f t="shared" ca="1" si="200"/>
      </c>
      <c r="N900" s="74">
        <f ca="1">VLOOKUP(B900,$C$7:$T898,13,FALSE)</f>
      </c>
      <c r="O900" s="74">
        <f t="shared" ca="1" si="201"/>
      </c>
      <c r="P900" s="74">
        <f t="shared" ca="1" si="202"/>
      </c>
      <c r="Q900" s="74">
        <f t="shared" ca="1" si="203"/>
      </c>
      <c r="R900" s="74">
        <f t="shared" si="204"/>
      </c>
      <c r="S900" s="74">
        <f t="shared" ca="1" si="205"/>
      </c>
      <c r="T900" s="74">
        <f t="shared" si="206"/>
      </c>
    </row>
    <row r="901" spans="2:20" x14ac:dyDescent="0.3">
      <c r="B901" s="74">
        <f t="shared" ca="1" si="196"/>
      </c>
      <c r="C901" s="78">
        <f>Кабельный_журнал!P867</f>
      </c>
      <c r="D901" s="74">
        <f t="shared" ca="1" si="197"/>
      </c>
      <c r="E901" s="80" t="s">
        <v>279</v>
      </c>
      <c r="F901" s="74">
        <f t="shared" ca="1" si="193"/>
      </c>
      <c r="G901" s="74">
        <f t="shared" si="194"/>
      </c>
      <c r="H901" s="80" t="s">
        <v>272</v>
      </c>
      <c r="I901" s="74">
        <f t="shared" si="195"/>
      </c>
      <c r="J901" s="74">
        <f t="shared" si="198"/>
      </c>
      <c r="K901" s="80" t="s">
        <v>280</v>
      </c>
      <c r="L901" s="74">
        <f t="shared" si="199"/>
      </c>
      <c r="M901" s="74">
        <f t="shared" ca="1" si="200"/>
      </c>
      <c r="N901" s="74">
        <f ca="1">VLOOKUP(B901,$C$7:$T899,13,FALSE)</f>
      </c>
      <c r="O901" s="74">
        <f t="shared" ca="1" si="201"/>
      </c>
      <c r="P901" s="74">
        <f t="shared" ca="1" si="202"/>
      </c>
      <c r="Q901" s="74">
        <f t="shared" ca="1" si="203"/>
      </c>
      <c r="R901" s="74">
        <f t="shared" si="204"/>
      </c>
      <c r="S901" s="74">
        <f t="shared" ca="1" si="205"/>
      </c>
      <c r="T901" s="74">
        <f t="shared" si="206"/>
      </c>
    </row>
    <row r="902" spans="2:20" x14ac:dyDescent="0.3">
      <c r="B902" s="74">
        <f t="shared" ca="1" si="196"/>
      </c>
      <c r="C902" s="78">
        <f>Кабельный_журнал!P868</f>
      </c>
      <c r="D902" s="74">
        <f t="shared" ca="1" si="197"/>
      </c>
      <c r="E902" s="80" t="s">
        <v>279</v>
      </c>
      <c r="F902" s="74">
        <f t="shared" ca="1" si="193"/>
      </c>
      <c r="G902" s="74">
        <f t="shared" si="194"/>
      </c>
      <c r="H902" s="80" t="s">
        <v>272</v>
      </c>
      <c r="I902" s="74">
        <f t="shared" si="195"/>
      </c>
      <c r="J902" s="74">
        <f t="shared" si="198"/>
      </c>
      <c r="K902" s="80" t="s">
        <v>280</v>
      </c>
      <c r="L902" s="74">
        <f t="shared" si="199"/>
      </c>
      <c r="M902" s="74">
        <f t="shared" ca="1" si="200"/>
      </c>
      <c r="N902" s="74">
        <f ca="1">VLOOKUP(B902,$C$7:$T900,13,FALSE)</f>
      </c>
      <c r="O902" s="74">
        <f t="shared" ca="1" si="201"/>
      </c>
      <c r="P902" s="74">
        <f t="shared" ca="1" si="202"/>
      </c>
      <c r="Q902" s="74">
        <f t="shared" ca="1" si="203"/>
      </c>
      <c r="R902" s="74">
        <f t="shared" si="204"/>
      </c>
      <c r="S902" s="74">
        <f t="shared" ca="1" si="205"/>
      </c>
      <c r="T902" s="74">
        <f t="shared" si="206"/>
      </c>
    </row>
    <row r="903" spans="2:20" x14ac:dyDescent="0.3">
      <c r="B903" s="74">
        <f t="shared" ca="1" si="196"/>
      </c>
      <c r="C903" s="78">
        <f>Кабельный_журнал!P869</f>
      </c>
      <c r="D903" s="74">
        <f t="shared" ca="1" si="197"/>
      </c>
      <c r="E903" s="80" t="s">
        <v>279</v>
      </c>
      <c r="F903" s="74">
        <f t="shared" ca="1" si="193"/>
      </c>
      <c r="G903" s="74">
        <f t="shared" si="194"/>
      </c>
      <c r="H903" s="80" t="s">
        <v>272</v>
      </c>
      <c r="I903" s="74">
        <f t="shared" si="195"/>
      </c>
      <c r="J903" s="74">
        <f t="shared" si="198"/>
      </c>
      <c r="K903" s="80" t="s">
        <v>280</v>
      </c>
      <c r="L903" s="74">
        <f t="shared" si="199"/>
      </c>
      <c r="M903" s="74">
        <f t="shared" ca="1" si="200"/>
      </c>
      <c r="N903" s="74">
        <f ca="1">VLOOKUP(B903,$C$7:$T901,13,FALSE)</f>
      </c>
      <c r="O903" s="74">
        <f t="shared" ca="1" si="201"/>
      </c>
      <c r="P903" s="74">
        <f t="shared" ca="1" si="202"/>
      </c>
      <c r="Q903" s="74">
        <f t="shared" ca="1" si="203"/>
      </c>
      <c r="R903" s="74">
        <f t="shared" si="204"/>
      </c>
      <c r="S903" s="74">
        <f t="shared" ca="1" si="205"/>
      </c>
      <c r="T903" s="74">
        <f t="shared" si="206"/>
      </c>
    </row>
    <row r="904" spans="2:20" x14ac:dyDescent="0.3">
      <c r="B904" s="74">
        <f t="shared" ca="1" si="196"/>
      </c>
      <c r="C904" s="78">
        <f>Кабельный_журнал!P870</f>
      </c>
      <c r="D904" s="74">
        <f t="shared" ca="1" si="197"/>
      </c>
      <c r="E904" s="80" t="s">
        <v>279</v>
      </c>
      <c r="F904" s="74">
        <f t="shared" ca="1" si="193"/>
      </c>
      <c r="G904" s="74">
        <f t="shared" si="194"/>
      </c>
      <c r="H904" s="80" t="s">
        <v>272</v>
      </c>
      <c r="I904" s="74">
        <f t="shared" si="195"/>
      </c>
      <c r="J904" s="74">
        <f t="shared" si="198"/>
      </c>
      <c r="K904" s="80" t="s">
        <v>280</v>
      </c>
      <c r="L904" s="74">
        <f t="shared" si="199"/>
      </c>
      <c r="M904" s="74">
        <f t="shared" ca="1" si="200"/>
      </c>
      <c r="N904" s="74">
        <f ca="1">VLOOKUP(B904,$C$7:$T902,13,FALSE)</f>
      </c>
      <c r="O904" s="74">
        <f t="shared" ca="1" si="201"/>
      </c>
      <c r="P904" s="74">
        <f t="shared" ca="1" si="202"/>
      </c>
      <c r="Q904" s="74">
        <f t="shared" ca="1" si="203"/>
      </c>
      <c r="R904" s="74">
        <f t="shared" si="204"/>
      </c>
      <c r="S904" s="74">
        <f t="shared" ca="1" si="205"/>
      </c>
      <c r="T904" s="74">
        <f t="shared" si="206"/>
      </c>
    </row>
    <row r="905" spans="2:20" x14ac:dyDescent="0.3">
      <c r="B905" s="74">
        <f t="shared" ca="1" si="196"/>
      </c>
      <c r="C905" s="78">
        <f>Кабельный_журнал!P871</f>
      </c>
      <c r="D905" s="74">
        <f t="shared" ca="1" si="197"/>
      </c>
      <c r="E905" s="80" t="s">
        <v>279</v>
      </c>
      <c r="F905" s="74">
        <f t="shared" ca="1" si="193"/>
      </c>
      <c r="G905" s="74">
        <f t="shared" si="194"/>
      </c>
      <c r="H905" s="80" t="s">
        <v>272</v>
      </c>
      <c r="I905" s="74">
        <f t="shared" si="195"/>
      </c>
      <c r="J905" s="74">
        <f t="shared" si="198"/>
      </c>
      <c r="K905" s="80" t="s">
        <v>280</v>
      </c>
      <c r="L905" s="74">
        <f t="shared" si="199"/>
      </c>
      <c r="M905" s="74">
        <f t="shared" ca="1" si="200"/>
      </c>
      <c r="N905" s="74">
        <f ca="1">VLOOKUP(B905,$C$7:$T903,13,FALSE)</f>
      </c>
      <c r="O905" s="74">
        <f t="shared" ca="1" si="201"/>
      </c>
      <c r="P905" s="74">
        <f t="shared" ca="1" si="202"/>
      </c>
      <c r="Q905" s="74">
        <f t="shared" ca="1" si="203"/>
      </c>
      <c r="R905" s="74">
        <f t="shared" si="204"/>
      </c>
      <c r="S905" s="74">
        <f t="shared" ca="1" si="205"/>
      </c>
      <c r="T905" s="74">
        <f t="shared" si="206"/>
      </c>
    </row>
    <row r="906" spans="2:20" x14ac:dyDescent="0.3">
      <c r="B906" s="74">
        <f t="shared" ca="1" si="196"/>
      </c>
      <c r="C906" s="78">
        <f>Кабельный_журнал!P872</f>
      </c>
      <c r="D906" s="74">
        <f t="shared" ca="1" si="197"/>
      </c>
      <c r="E906" s="80" t="s">
        <v>279</v>
      </c>
      <c r="F906" s="74">
        <f t="shared" ca="1" si="193"/>
      </c>
      <c r="G906" s="74">
        <f t="shared" si="194"/>
      </c>
      <c r="H906" s="80" t="s">
        <v>272</v>
      </c>
      <c r="I906" s="74">
        <f t="shared" si="195"/>
      </c>
      <c r="J906" s="74">
        <f t="shared" si="198"/>
      </c>
      <c r="K906" s="80" t="s">
        <v>280</v>
      </c>
      <c r="L906" s="74">
        <f t="shared" si="199"/>
      </c>
      <c r="M906" s="74">
        <f t="shared" ca="1" si="200"/>
      </c>
      <c r="N906" s="74">
        <f ca="1">VLOOKUP(B906,$C$7:$T904,13,FALSE)</f>
      </c>
      <c r="O906" s="74">
        <f t="shared" ca="1" si="201"/>
      </c>
      <c r="P906" s="74">
        <f t="shared" ca="1" si="202"/>
      </c>
      <c r="Q906" s="74">
        <f t="shared" ca="1" si="203"/>
      </c>
      <c r="R906" s="74">
        <f t="shared" si="204"/>
      </c>
      <c r="S906" s="74">
        <f t="shared" ca="1" si="205"/>
      </c>
      <c r="T906" s="74">
        <f t="shared" si="206"/>
      </c>
    </row>
    <row r="907" spans="2:20" x14ac:dyDescent="0.3">
      <c r="B907" s="74">
        <f t="shared" ca="1" si="196"/>
      </c>
      <c r="C907" s="78">
        <f>Кабельный_журнал!P873</f>
      </c>
      <c r="D907" s="74">
        <f t="shared" ca="1" si="197"/>
      </c>
      <c r="E907" s="80" t="s">
        <v>279</v>
      </c>
      <c r="F907" s="74">
        <f t="shared" ca="1" si="193"/>
      </c>
      <c r="G907" s="74">
        <f t="shared" si="194"/>
      </c>
      <c r="H907" s="80" t="s">
        <v>272</v>
      </c>
      <c r="I907" s="74">
        <f t="shared" si="195"/>
      </c>
      <c r="J907" s="74">
        <f t="shared" si="198"/>
      </c>
      <c r="K907" s="80" t="s">
        <v>280</v>
      </c>
      <c r="L907" s="74">
        <f t="shared" si="199"/>
      </c>
      <c r="M907" s="74">
        <f t="shared" ca="1" si="200"/>
      </c>
      <c r="N907" s="74">
        <f ca="1">VLOOKUP(B907,$C$7:$T905,13,FALSE)</f>
      </c>
      <c r="O907" s="74">
        <f t="shared" ca="1" si="201"/>
      </c>
      <c r="P907" s="74">
        <f t="shared" ca="1" si="202"/>
      </c>
      <c r="Q907" s="74">
        <f t="shared" ca="1" si="203"/>
      </c>
      <c r="R907" s="74">
        <f t="shared" si="204"/>
      </c>
      <c r="S907" s="74">
        <f t="shared" ca="1" si="205"/>
      </c>
      <c r="T907" s="74">
        <f t="shared" si="206"/>
      </c>
    </row>
    <row r="908" spans="2:20" x14ac:dyDescent="0.3">
      <c r="B908" s="74">
        <f t="shared" ca="1" si="196"/>
      </c>
      <c r="C908" s="78">
        <f>Кабельный_журнал!P874</f>
      </c>
      <c r="D908" s="74">
        <f t="shared" ca="1" si="197"/>
      </c>
      <c r="E908" s="80" t="s">
        <v>279</v>
      </c>
      <c r="F908" s="74">
        <f t="shared" ca="1" si="193"/>
      </c>
      <c r="G908" s="74">
        <f t="shared" si="194"/>
      </c>
      <c r="H908" s="80" t="s">
        <v>272</v>
      </c>
      <c r="I908" s="74">
        <f t="shared" si="195"/>
      </c>
      <c r="J908" s="74">
        <f t="shared" si="198"/>
      </c>
      <c r="K908" s="80" t="s">
        <v>280</v>
      </c>
      <c r="L908" s="74">
        <f t="shared" si="199"/>
      </c>
      <c r="M908" s="74">
        <f t="shared" ca="1" si="200"/>
      </c>
      <c r="N908" s="74">
        <f ca="1">VLOOKUP(B908,$C$7:$T906,13,FALSE)</f>
      </c>
      <c r="O908" s="74">
        <f t="shared" ca="1" si="201"/>
      </c>
      <c r="P908" s="74">
        <f t="shared" ca="1" si="202"/>
      </c>
      <c r="Q908" s="74">
        <f t="shared" ca="1" si="203"/>
      </c>
      <c r="R908" s="74">
        <f t="shared" si="204"/>
      </c>
      <c r="S908" s="74">
        <f t="shared" ca="1" si="205"/>
      </c>
      <c r="T908" s="74">
        <f t="shared" si="206"/>
      </c>
    </row>
    <row r="909" spans="2:20" x14ac:dyDescent="0.3">
      <c r="B909" s="74">
        <f t="shared" ca="1" si="196"/>
      </c>
      <c r="C909" s="78">
        <f>Кабельный_журнал!P875</f>
      </c>
      <c r="D909" s="74">
        <f t="shared" ca="1" si="197"/>
      </c>
      <c r="E909" s="80" t="s">
        <v>279</v>
      </c>
      <c r="F909" s="74">
        <f t="shared" ca="1" si="193"/>
      </c>
      <c r="G909" s="74">
        <f t="shared" si="194"/>
      </c>
      <c r="H909" s="80" t="s">
        <v>272</v>
      </c>
      <c r="I909" s="74">
        <f t="shared" si="195"/>
      </c>
      <c r="J909" s="74">
        <f t="shared" si="198"/>
      </c>
      <c r="K909" s="80" t="s">
        <v>280</v>
      </c>
      <c r="L909" s="74">
        <f t="shared" si="199"/>
      </c>
      <c r="M909" s="74">
        <f t="shared" ca="1" si="200"/>
      </c>
      <c r="N909" s="74">
        <f ca="1">VLOOKUP(B909,$C$7:$T907,13,FALSE)</f>
      </c>
      <c r="O909" s="74">
        <f t="shared" ca="1" si="201"/>
      </c>
      <c r="P909" s="74">
        <f t="shared" ca="1" si="202"/>
      </c>
      <c r="Q909" s="74">
        <f t="shared" ca="1" si="203"/>
      </c>
      <c r="R909" s="74">
        <f t="shared" si="204"/>
      </c>
      <c r="S909" s="74">
        <f t="shared" ca="1" si="205"/>
      </c>
      <c r="T909" s="74">
        <f t="shared" si="206"/>
      </c>
    </row>
    <row r="910" spans="2:20" x14ac:dyDescent="0.3">
      <c r="B910" s="74">
        <f t="shared" ca="1" si="196"/>
      </c>
      <c r="C910" s="78">
        <f>Кабельный_журнал!P876</f>
      </c>
      <c r="D910" s="74">
        <f t="shared" ca="1" si="197"/>
      </c>
      <c r="E910" s="80" t="s">
        <v>279</v>
      </c>
      <c r="F910" s="74">
        <f t="shared" ca="1" si="193"/>
      </c>
      <c r="G910" s="74">
        <f t="shared" si="194"/>
      </c>
      <c r="H910" s="80" t="s">
        <v>272</v>
      </c>
      <c r="I910" s="74">
        <f t="shared" si="195"/>
      </c>
      <c r="J910" s="74">
        <f t="shared" si="198"/>
      </c>
      <c r="K910" s="80" t="s">
        <v>280</v>
      </c>
      <c r="L910" s="74">
        <f t="shared" si="199"/>
      </c>
      <c r="M910" s="74">
        <f t="shared" ca="1" si="200"/>
      </c>
      <c r="N910" s="74">
        <f ca="1">VLOOKUP(B910,$C$7:$T908,13,FALSE)</f>
      </c>
      <c r="O910" s="74">
        <f t="shared" ca="1" si="201"/>
      </c>
      <c r="P910" s="74">
        <f t="shared" ca="1" si="202"/>
      </c>
      <c r="Q910" s="74">
        <f t="shared" ca="1" si="203"/>
      </c>
      <c r="R910" s="74">
        <f t="shared" si="204"/>
      </c>
      <c r="S910" s="74">
        <f t="shared" ca="1" si="205"/>
      </c>
      <c r="T910" s="74">
        <f t="shared" si="206"/>
      </c>
    </row>
    <row r="911" spans="2:20" x14ac:dyDescent="0.3">
      <c r="B911" s="74">
        <f t="shared" ca="1" si="196"/>
      </c>
      <c r="C911" s="78">
        <f>Кабельный_журнал!P877</f>
      </c>
      <c r="D911" s="74">
        <f t="shared" ca="1" si="197"/>
      </c>
      <c r="E911" s="80" t="s">
        <v>279</v>
      </c>
      <c r="F911" s="74">
        <f t="shared" ca="1" si="193"/>
      </c>
      <c r="G911" s="74">
        <f t="shared" si="194"/>
      </c>
      <c r="H911" s="80" t="s">
        <v>272</v>
      </c>
      <c r="I911" s="74">
        <f t="shared" si="195"/>
      </c>
      <c r="J911" s="74">
        <f t="shared" si="198"/>
      </c>
      <c r="K911" s="80" t="s">
        <v>280</v>
      </c>
      <c r="L911" s="74">
        <f t="shared" si="199"/>
      </c>
      <c r="M911" s="74">
        <f t="shared" ca="1" si="200"/>
      </c>
      <c r="N911" s="74">
        <f ca="1">VLOOKUP(B911,$C$7:$T909,13,FALSE)</f>
      </c>
      <c r="O911" s="74">
        <f t="shared" ca="1" si="201"/>
      </c>
      <c r="P911" s="74">
        <f t="shared" ca="1" si="202"/>
      </c>
      <c r="Q911" s="74">
        <f t="shared" ca="1" si="203"/>
      </c>
      <c r="R911" s="74">
        <f t="shared" si="204"/>
      </c>
      <c r="S911" s="74">
        <f t="shared" ca="1" si="205"/>
      </c>
      <c r="T911" s="74">
        <f t="shared" si="206"/>
      </c>
    </row>
    <row r="912" spans="2:20" x14ac:dyDescent="0.3">
      <c r="B912" s="74">
        <f t="shared" ca="1" si="196"/>
      </c>
      <c r="C912" s="78">
        <f>Кабельный_журнал!P878</f>
      </c>
      <c r="D912" s="74">
        <f t="shared" ca="1" si="197"/>
      </c>
      <c r="E912" s="80" t="s">
        <v>279</v>
      </c>
      <c r="F912" s="74">
        <f t="shared" ca="1" si="193"/>
      </c>
      <c r="G912" s="74">
        <f t="shared" si="194"/>
      </c>
      <c r="H912" s="80" t="s">
        <v>272</v>
      </c>
      <c r="I912" s="74">
        <f t="shared" si="195"/>
      </c>
      <c r="J912" s="74">
        <f t="shared" si="198"/>
      </c>
      <c r="K912" s="80" t="s">
        <v>280</v>
      </c>
      <c r="L912" s="74">
        <f t="shared" si="199"/>
      </c>
      <c r="M912" s="74">
        <f t="shared" ca="1" si="200"/>
      </c>
      <c r="N912" s="74">
        <f ca="1">VLOOKUP(B912,$C$7:$T910,13,FALSE)</f>
      </c>
      <c r="O912" s="74">
        <f t="shared" ca="1" si="201"/>
      </c>
      <c r="P912" s="74">
        <f t="shared" ca="1" si="202"/>
      </c>
      <c r="Q912" s="74">
        <f t="shared" ca="1" si="203"/>
      </c>
      <c r="R912" s="74">
        <f t="shared" si="204"/>
      </c>
      <c r="S912" s="74">
        <f t="shared" ca="1" si="205"/>
      </c>
      <c r="T912" s="74">
        <f t="shared" si="206"/>
      </c>
    </row>
    <row r="913" spans="2:20" x14ac:dyDescent="0.3">
      <c r="B913" s="74">
        <f t="shared" ca="1" si="196"/>
      </c>
      <c r="C913" s="78">
        <f>Кабельный_журнал!P879</f>
      </c>
      <c r="D913" s="74">
        <f t="shared" ca="1" si="197"/>
      </c>
      <c r="E913" s="80" t="s">
        <v>279</v>
      </c>
      <c r="F913" s="74">
        <f t="shared" ca="1" si="193"/>
      </c>
      <c r="G913" s="74">
        <f t="shared" si="194"/>
      </c>
      <c r="H913" s="80" t="s">
        <v>272</v>
      </c>
      <c r="I913" s="74">
        <f t="shared" si="195"/>
      </c>
      <c r="J913" s="74">
        <f t="shared" si="198"/>
      </c>
      <c r="K913" s="80" t="s">
        <v>280</v>
      </c>
      <c r="L913" s="74">
        <f t="shared" si="199"/>
      </c>
      <c r="M913" s="74">
        <f t="shared" ca="1" si="200"/>
      </c>
      <c r="N913" s="74">
        <f ca="1">VLOOKUP(B913,$C$7:$T911,13,FALSE)</f>
      </c>
      <c r="O913" s="74">
        <f t="shared" ca="1" si="201"/>
      </c>
      <c r="P913" s="74">
        <f t="shared" ca="1" si="202"/>
      </c>
      <c r="Q913" s="74">
        <f t="shared" ca="1" si="203"/>
      </c>
      <c r="R913" s="74">
        <f t="shared" si="204"/>
      </c>
      <c r="S913" s="74">
        <f t="shared" ca="1" si="205"/>
      </c>
      <c r="T913" s="74">
        <f t="shared" si="206"/>
      </c>
    </row>
    <row r="914" spans="2:20" x14ac:dyDescent="0.3">
      <c r="B914" s="74">
        <f t="shared" ca="1" si="196"/>
      </c>
      <c r="C914" s="78">
        <f>Кабельный_журнал!P880</f>
      </c>
      <c r="D914" s="74">
        <f t="shared" ca="1" si="197"/>
      </c>
      <c r="E914" s="80" t="s">
        <v>279</v>
      </c>
      <c r="F914" s="74">
        <f t="shared" ca="1" si="193"/>
      </c>
      <c r="G914" s="74">
        <f t="shared" si="194"/>
      </c>
      <c r="H914" s="80" t="s">
        <v>272</v>
      </c>
      <c r="I914" s="74">
        <f t="shared" si="195"/>
      </c>
      <c r="J914" s="74">
        <f t="shared" si="198"/>
      </c>
      <c r="K914" s="80" t="s">
        <v>280</v>
      </c>
      <c r="L914" s="74">
        <f t="shared" si="199"/>
      </c>
      <c r="M914" s="74">
        <f t="shared" ca="1" si="200"/>
      </c>
      <c r="N914" s="74">
        <f ca="1">VLOOKUP(B914,$C$7:$T912,13,FALSE)</f>
      </c>
      <c r="O914" s="74">
        <f t="shared" ca="1" si="201"/>
      </c>
      <c r="P914" s="74">
        <f t="shared" ca="1" si="202"/>
      </c>
      <c r="Q914" s="74">
        <f t="shared" ca="1" si="203"/>
      </c>
      <c r="R914" s="74">
        <f t="shared" si="204"/>
      </c>
      <c r="S914" s="74">
        <f t="shared" ca="1" si="205"/>
      </c>
      <c r="T914" s="74">
        <f t="shared" si="206"/>
      </c>
    </row>
    <row r="915" spans="2:20" x14ac:dyDescent="0.3">
      <c r="B915" s="74">
        <f t="shared" ca="1" si="196"/>
      </c>
      <c r="C915" s="78">
        <f>Кабельный_журнал!P881</f>
      </c>
      <c r="D915" s="74">
        <f t="shared" ca="1" si="197"/>
      </c>
      <c r="E915" s="80" t="s">
        <v>279</v>
      </c>
      <c r="F915" s="74">
        <f t="shared" ca="1" si="193"/>
      </c>
      <c r="G915" s="74">
        <f t="shared" si="194"/>
      </c>
      <c r="H915" s="80" t="s">
        <v>272</v>
      </c>
      <c r="I915" s="74">
        <f t="shared" si="195"/>
      </c>
      <c r="J915" s="74">
        <f t="shared" si="198"/>
      </c>
      <c r="K915" s="80" t="s">
        <v>280</v>
      </c>
      <c r="L915" s="74">
        <f t="shared" si="199"/>
      </c>
      <c r="M915" s="74">
        <f t="shared" ca="1" si="200"/>
      </c>
      <c r="N915" s="74">
        <f ca="1">VLOOKUP(B915,$C$7:$T913,13,FALSE)</f>
      </c>
      <c r="O915" s="74">
        <f t="shared" ca="1" si="201"/>
      </c>
      <c r="P915" s="74">
        <f t="shared" ca="1" si="202"/>
      </c>
      <c r="Q915" s="74">
        <f t="shared" ca="1" si="203"/>
      </c>
      <c r="R915" s="74">
        <f t="shared" si="204"/>
      </c>
      <c r="S915" s="74">
        <f t="shared" ca="1" si="205"/>
      </c>
      <c r="T915" s="74">
        <f t="shared" si="206"/>
      </c>
    </row>
    <row r="916" spans="2:20" x14ac:dyDescent="0.3">
      <c r="B916" s="74">
        <f t="shared" ca="1" si="196"/>
      </c>
      <c r="C916" s="78">
        <f>Кабельный_журнал!P882</f>
      </c>
      <c r="D916" s="74">
        <f t="shared" ca="1" si="197"/>
      </c>
      <c r="E916" s="80" t="s">
        <v>279</v>
      </c>
      <c r="F916" s="74">
        <f t="shared" ca="1" si="193"/>
      </c>
      <c r="G916" s="74">
        <f t="shared" si="194"/>
      </c>
      <c r="H916" s="80" t="s">
        <v>272</v>
      </c>
      <c r="I916" s="74">
        <f t="shared" si="195"/>
      </c>
      <c r="J916" s="74">
        <f t="shared" si="198"/>
      </c>
      <c r="K916" s="80" t="s">
        <v>280</v>
      </c>
      <c r="L916" s="74">
        <f t="shared" si="199"/>
      </c>
      <c r="M916" s="74">
        <f t="shared" ca="1" si="200"/>
      </c>
      <c r="N916" s="74">
        <f ca="1">VLOOKUP(B916,$C$7:$T914,13,FALSE)</f>
      </c>
      <c r="O916" s="74">
        <f t="shared" ca="1" si="201"/>
      </c>
      <c r="P916" s="74">
        <f t="shared" ca="1" si="202"/>
      </c>
      <c r="Q916" s="74">
        <f t="shared" ca="1" si="203"/>
      </c>
      <c r="R916" s="74">
        <f t="shared" si="204"/>
      </c>
      <c r="S916" s="74">
        <f t="shared" ca="1" si="205"/>
      </c>
      <c r="T916" s="74">
        <f t="shared" si="206"/>
      </c>
    </row>
    <row r="917" spans="2:20" x14ac:dyDescent="0.3">
      <c r="B917" s="74">
        <f t="shared" ca="1" si="196"/>
      </c>
      <c r="C917" s="78">
        <f>Кабельный_журнал!P883</f>
      </c>
      <c r="D917" s="74">
        <f t="shared" ca="1" si="197"/>
      </c>
      <c r="E917" s="80" t="s">
        <v>279</v>
      </c>
      <c r="F917" s="74">
        <f t="shared" ca="1" si="193"/>
      </c>
      <c r="G917" s="74">
        <f t="shared" si="194"/>
      </c>
      <c r="H917" s="80" t="s">
        <v>272</v>
      </c>
      <c r="I917" s="74">
        <f t="shared" si="195"/>
      </c>
      <c r="J917" s="74">
        <f t="shared" si="198"/>
      </c>
      <c r="K917" s="80" t="s">
        <v>280</v>
      </c>
      <c r="L917" s="74">
        <f t="shared" si="199"/>
      </c>
      <c r="M917" s="74">
        <f t="shared" ca="1" si="200"/>
      </c>
      <c r="N917" s="74">
        <f ca="1">VLOOKUP(B917,$C$7:$T915,13,FALSE)</f>
      </c>
      <c r="O917" s="74">
        <f t="shared" ca="1" si="201"/>
      </c>
      <c r="P917" s="74">
        <f t="shared" ca="1" si="202"/>
      </c>
      <c r="Q917" s="74">
        <f t="shared" ca="1" si="203"/>
      </c>
      <c r="R917" s="74">
        <f t="shared" si="204"/>
      </c>
      <c r="S917" s="74">
        <f t="shared" ca="1" si="205"/>
      </c>
      <c r="T917" s="74">
        <f t="shared" si="206"/>
      </c>
    </row>
    <row r="918" spans="2:20" x14ac:dyDescent="0.3">
      <c r="B918" s="74">
        <f t="shared" ca="1" si="196"/>
      </c>
      <c r="C918" s="78">
        <f>Кабельный_журнал!P884</f>
      </c>
      <c r="D918" s="74">
        <f t="shared" ca="1" si="197"/>
      </c>
      <c r="E918" s="80" t="s">
        <v>279</v>
      </c>
      <c r="F918" s="74">
        <f t="shared" ca="1" si="193"/>
      </c>
      <c r="G918" s="74">
        <f t="shared" si="194"/>
      </c>
      <c r="H918" s="80" t="s">
        <v>272</v>
      </c>
      <c r="I918" s="74">
        <f t="shared" si="195"/>
      </c>
      <c r="J918" s="74">
        <f t="shared" si="198"/>
      </c>
      <c r="K918" s="80" t="s">
        <v>280</v>
      </c>
      <c r="L918" s="74">
        <f t="shared" si="199"/>
      </c>
      <c r="M918" s="74">
        <f t="shared" ca="1" si="200"/>
      </c>
      <c r="N918" s="74">
        <f ca="1">VLOOKUP(B918,$C$7:$T916,13,FALSE)</f>
      </c>
      <c r="O918" s="74">
        <f t="shared" ca="1" si="201"/>
      </c>
      <c r="P918" s="74">
        <f t="shared" ca="1" si="202"/>
      </c>
      <c r="Q918" s="74">
        <f t="shared" ca="1" si="203"/>
      </c>
      <c r="R918" s="74">
        <f t="shared" si="204"/>
      </c>
      <c r="S918" s="74">
        <f t="shared" ca="1" si="205"/>
      </c>
      <c r="T918" s="74">
        <f t="shared" si="206"/>
      </c>
    </row>
    <row r="919" spans="2:20" x14ac:dyDescent="0.3">
      <c r="B919" s="74">
        <f t="shared" ca="1" si="196"/>
      </c>
      <c r="C919" s="78">
        <f>Кабельный_журнал!P885</f>
      </c>
      <c r="D919" s="74">
        <f t="shared" ca="1" si="197"/>
      </c>
      <c r="E919" s="80" t="s">
        <v>279</v>
      </c>
      <c r="F919" s="74">
        <f t="shared" ca="1" si="193"/>
      </c>
      <c r="G919" s="74">
        <f t="shared" si="194"/>
      </c>
      <c r="H919" s="80" t="s">
        <v>272</v>
      </c>
      <c r="I919" s="74">
        <f t="shared" si="195"/>
      </c>
      <c r="J919" s="74">
        <f t="shared" si="198"/>
      </c>
      <c r="K919" s="80" t="s">
        <v>280</v>
      </c>
      <c r="L919" s="74">
        <f t="shared" si="199"/>
      </c>
      <c r="M919" s="74">
        <f t="shared" ca="1" si="200"/>
      </c>
      <c r="N919" s="74">
        <f ca="1">VLOOKUP(B919,$C$7:$T917,13,FALSE)</f>
      </c>
      <c r="O919" s="74">
        <f t="shared" ca="1" si="201"/>
      </c>
      <c r="P919" s="74">
        <f t="shared" ca="1" si="202"/>
      </c>
      <c r="Q919" s="74">
        <f t="shared" ca="1" si="203"/>
      </c>
      <c r="R919" s="74">
        <f t="shared" si="204"/>
      </c>
      <c r="S919" s="74">
        <f t="shared" ca="1" si="205"/>
      </c>
      <c r="T919" s="74">
        <f t="shared" si="206"/>
      </c>
    </row>
    <row r="920" spans="2:20" x14ac:dyDescent="0.3">
      <c r="B920" s="74">
        <f t="shared" ca="1" si="196"/>
      </c>
      <c r="C920" s="78">
        <f>Кабельный_журнал!P886</f>
      </c>
      <c r="D920" s="74">
        <f t="shared" ca="1" si="197"/>
      </c>
      <c r="E920" s="80" t="s">
        <v>279</v>
      </c>
      <c r="F920" s="74">
        <f t="shared" ca="1" si="193"/>
      </c>
      <c r="G920" s="74">
        <f t="shared" si="194"/>
      </c>
      <c r="H920" s="80" t="s">
        <v>272</v>
      </c>
      <c r="I920" s="74">
        <f t="shared" si="195"/>
      </c>
      <c r="J920" s="74">
        <f t="shared" si="198"/>
      </c>
      <c r="K920" s="80" t="s">
        <v>280</v>
      </c>
      <c r="L920" s="74">
        <f t="shared" si="199"/>
      </c>
      <c r="M920" s="74">
        <f t="shared" ca="1" si="200"/>
      </c>
      <c r="N920" s="74">
        <f ca="1">VLOOKUP(B920,$C$7:$T918,13,FALSE)</f>
      </c>
      <c r="O920" s="74">
        <f t="shared" ca="1" si="201"/>
      </c>
      <c r="P920" s="74">
        <f t="shared" ca="1" si="202"/>
      </c>
      <c r="Q920" s="74">
        <f t="shared" ca="1" si="203"/>
      </c>
      <c r="R920" s="74">
        <f t="shared" si="204"/>
      </c>
      <c r="S920" s="74">
        <f t="shared" ca="1" si="205"/>
      </c>
      <c r="T920" s="74">
        <f t="shared" si="206"/>
      </c>
    </row>
    <row r="921" spans="2:20" x14ac:dyDescent="0.3">
      <c r="B921" s="74">
        <f t="shared" ca="1" si="196"/>
      </c>
      <c r="C921" s="78">
        <f>Кабельный_журнал!P887</f>
      </c>
      <c r="D921" s="74">
        <f t="shared" ca="1" si="197"/>
      </c>
      <c r="E921" s="80" t="s">
        <v>279</v>
      </c>
      <c r="F921" s="74">
        <f t="shared" ca="1" si="193"/>
      </c>
      <c r="G921" s="74">
        <f t="shared" si="194"/>
      </c>
      <c r="H921" s="80" t="s">
        <v>272</v>
      </c>
      <c r="I921" s="74">
        <f t="shared" si="195"/>
      </c>
      <c r="J921" s="74">
        <f t="shared" si="198"/>
      </c>
      <c r="K921" s="80" t="s">
        <v>280</v>
      </c>
      <c r="L921" s="74">
        <f t="shared" si="199"/>
      </c>
      <c r="M921" s="74">
        <f t="shared" ca="1" si="200"/>
      </c>
      <c r="N921" s="74">
        <f ca="1">VLOOKUP(B921,$C$7:$T919,13,FALSE)</f>
      </c>
      <c r="O921" s="74">
        <f t="shared" ca="1" si="201"/>
      </c>
      <c r="P921" s="74">
        <f t="shared" ca="1" si="202"/>
      </c>
      <c r="Q921" s="74">
        <f t="shared" ca="1" si="203"/>
      </c>
      <c r="R921" s="74">
        <f t="shared" si="204"/>
      </c>
      <c r="S921" s="74">
        <f t="shared" ca="1" si="205"/>
      </c>
      <c r="T921" s="74">
        <f t="shared" si="206"/>
      </c>
    </row>
    <row r="922" spans="2:20" x14ac:dyDescent="0.3">
      <c r="B922" s="74">
        <f t="shared" ca="1" si="196"/>
      </c>
      <c r="C922" s="78">
        <f>Кабельный_журнал!P888</f>
      </c>
      <c r="D922" s="74">
        <f t="shared" ca="1" si="197"/>
      </c>
      <c r="E922" s="80" t="s">
        <v>279</v>
      </c>
      <c r="F922" s="74">
        <f t="shared" ca="1" si="193"/>
      </c>
      <c r="G922" s="74">
        <f t="shared" si="194"/>
      </c>
      <c r="H922" s="80" t="s">
        <v>272</v>
      </c>
      <c r="I922" s="74">
        <f t="shared" si="195"/>
      </c>
      <c r="J922" s="74">
        <f t="shared" si="198"/>
      </c>
      <c r="K922" s="80" t="s">
        <v>280</v>
      </c>
      <c r="L922" s="74">
        <f t="shared" si="199"/>
      </c>
      <c r="M922" s="74">
        <f t="shared" ca="1" si="200"/>
      </c>
      <c r="N922" s="74">
        <f ca="1">VLOOKUP(B922,$C$7:$T920,13,FALSE)</f>
      </c>
      <c r="O922" s="74">
        <f t="shared" ca="1" si="201"/>
      </c>
      <c r="P922" s="74">
        <f t="shared" ca="1" si="202"/>
      </c>
      <c r="Q922" s="74">
        <f t="shared" ca="1" si="203"/>
      </c>
      <c r="R922" s="74">
        <f t="shared" si="204"/>
      </c>
      <c r="S922" s="74">
        <f t="shared" ca="1" si="205"/>
      </c>
      <c r="T922" s="74">
        <f t="shared" si="206"/>
      </c>
    </row>
    <row r="923" spans="2:20" x14ac:dyDescent="0.3">
      <c r="B923" s="74">
        <f t="shared" ca="1" si="196"/>
      </c>
      <c r="C923" s="78">
        <f>Кабельный_журнал!P889</f>
      </c>
      <c r="D923" s="74">
        <f t="shared" ca="1" si="197"/>
      </c>
      <c r="E923" s="80" t="s">
        <v>279</v>
      </c>
      <c r="F923" s="74">
        <f t="shared" ca="1" si="193"/>
      </c>
      <c r="G923" s="74">
        <f t="shared" si="194"/>
      </c>
      <c r="H923" s="80" t="s">
        <v>272</v>
      </c>
      <c r="I923" s="74">
        <f t="shared" si="195"/>
      </c>
      <c r="J923" s="74">
        <f t="shared" si="198"/>
      </c>
      <c r="K923" s="80" t="s">
        <v>280</v>
      </c>
      <c r="L923" s="74">
        <f t="shared" si="199"/>
      </c>
      <c r="M923" s="74">
        <f t="shared" ca="1" si="200"/>
      </c>
      <c r="N923" s="74">
        <f ca="1">VLOOKUP(B923,$C$7:$T921,13,FALSE)</f>
      </c>
      <c r="O923" s="74">
        <f t="shared" ca="1" si="201"/>
      </c>
      <c r="P923" s="74">
        <f t="shared" ca="1" si="202"/>
      </c>
      <c r="Q923" s="74">
        <f t="shared" ca="1" si="203"/>
      </c>
      <c r="R923" s="74">
        <f t="shared" si="204"/>
      </c>
      <c r="S923" s="74">
        <f t="shared" ca="1" si="205"/>
      </c>
      <c r="T923" s="74">
        <f t="shared" si="206"/>
      </c>
    </row>
    <row r="924" spans="2:20" x14ac:dyDescent="0.3">
      <c r="B924" s="74">
        <f t="shared" ca="1" si="196"/>
      </c>
      <c r="C924" s="78">
        <f>Кабельный_журнал!P890</f>
      </c>
      <c r="D924" s="74">
        <f t="shared" ca="1" si="197"/>
      </c>
      <c r="E924" s="80" t="s">
        <v>279</v>
      </c>
      <c r="F924" s="74">
        <f t="shared" ca="1" si="193"/>
      </c>
      <c r="G924" s="74">
        <f t="shared" si="194"/>
      </c>
      <c r="H924" s="80" t="s">
        <v>272</v>
      </c>
      <c r="I924" s="74">
        <f t="shared" si="195"/>
      </c>
      <c r="J924" s="74">
        <f t="shared" si="198"/>
      </c>
      <c r="K924" s="80" t="s">
        <v>280</v>
      </c>
      <c r="L924" s="74">
        <f t="shared" si="199"/>
      </c>
      <c r="M924" s="74">
        <f t="shared" ca="1" si="200"/>
      </c>
      <c r="N924" s="74">
        <f ca="1">VLOOKUP(B924,$C$7:$T922,13,FALSE)</f>
      </c>
      <c r="O924" s="74">
        <f t="shared" ca="1" si="201"/>
      </c>
      <c r="P924" s="74">
        <f t="shared" ca="1" si="202"/>
      </c>
      <c r="Q924" s="74">
        <f t="shared" ca="1" si="203"/>
      </c>
      <c r="R924" s="74">
        <f t="shared" si="204"/>
      </c>
      <c r="S924" s="74">
        <f t="shared" ca="1" si="205"/>
      </c>
      <c r="T924" s="74">
        <f t="shared" si="206"/>
      </c>
    </row>
    <row r="925" spans="2:20" x14ac:dyDescent="0.3">
      <c r="B925" s="74">
        <f t="shared" ca="1" si="196"/>
      </c>
      <c r="C925" s="78">
        <f>Кабельный_журнал!P891</f>
      </c>
      <c r="D925" s="74">
        <f t="shared" ca="1" si="197"/>
      </c>
      <c r="E925" s="80" t="s">
        <v>279</v>
      </c>
      <c r="F925" s="74">
        <f t="shared" ca="1" si="193"/>
      </c>
      <c r="G925" s="74">
        <f t="shared" si="194"/>
      </c>
      <c r="H925" s="80" t="s">
        <v>272</v>
      </c>
      <c r="I925" s="74">
        <f t="shared" si="195"/>
      </c>
      <c r="J925" s="74">
        <f t="shared" si="198"/>
      </c>
      <c r="K925" s="80" t="s">
        <v>280</v>
      </c>
      <c r="L925" s="74">
        <f t="shared" si="199"/>
      </c>
      <c r="M925" s="74">
        <f t="shared" ca="1" si="200"/>
      </c>
      <c r="N925" s="74">
        <f ca="1">VLOOKUP(B925,$C$7:$T923,13,FALSE)</f>
      </c>
      <c r="O925" s="74">
        <f t="shared" ca="1" si="201"/>
      </c>
      <c r="P925" s="74">
        <f t="shared" ca="1" si="202"/>
      </c>
      <c r="Q925" s="74">
        <f t="shared" ca="1" si="203"/>
      </c>
      <c r="R925" s="74">
        <f t="shared" si="204"/>
      </c>
      <c r="S925" s="74">
        <f t="shared" ca="1" si="205"/>
      </c>
      <c r="T925" s="74">
        <f t="shared" si="206"/>
      </c>
    </row>
    <row r="926" spans="2:20" x14ac:dyDescent="0.3">
      <c r="B926" s="74">
        <f t="shared" ca="1" si="196"/>
      </c>
      <c r="C926" s="78">
        <f>Кабельный_журнал!P892</f>
      </c>
      <c r="D926" s="74">
        <f t="shared" ca="1" si="197"/>
      </c>
      <c r="E926" s="80" t="s">
        <v>279</v>
      </c>
      <c r="F926" s="74">
        <f t="shared" ca="1" si="193"/>
      </c>
      <c r="G926" s="74">
        <f t="shared" si="194"/>
      </c>
      <c r="H926" s="80" t="s">
        <v>272</v>
      </c>
      <c r="I926" s="74">
        <f t="shared" si="195"/>
      </c>
      <c r="J926" s="74">
        <f t="shared" si="198"/>
      </c>
      <c r="K926" s="80" t="s">
        <v>280</v>
      </c>
      <c r="L926" s="74">
        <f t="shared" si="199"/>
      </c>
      <c r="M926" s="74">
        <f t="shared" ca="1" si="200"/>
      </c>
      <c r="N926" s="74">
        <f ca="1">VLOOKUP(B926,$C$7:$T924,13,FALSE)</f>
      </c>
      <c r="O926" s="74">
        <f t="shared" ca="1" si="201"/>
      </c>
      <c r="P926" s="74">
        <f t="shared" ca="1" si="202"/>
      </c>
      <c r="Q926" s="74">
        <f t="shared" ca="1" si="203"/>
      </c>
      <c r="R926" s="74">
        <f t="shared" si="204"/>
      </c>
      <c r="S926" s="74">
        <f t="shared" ca="1" si="205"/>
      </c>
      <c r="T926" s="74">
        <f t="shared" si="206"/>
      </c>
    </row>
    <row r="927" spans="2:20" x14ac:dyDescent="0.3">
      <c r="B927" s="74">
        <f t="shared" ca="1" si="196"/>
      </c>
      <c r="C927" s="78">
        <f>Кабельный_журнал!P893</f>
      </c>
      <c r="D927" s="74">
        <f t="shared" ca="1" si="197"/>
      </c>
      <c r="E927" s="80" t="s">
        <v>279</v>
      </c>
      <c r="F927" s="74">
        <f t="shared" ca="1" si="193"/>
      </c>
      <c r="G927" s="74">
        <f t="shared" si="194"/>
      </c>
      <c r="H927" s="80" t="s">
        <v>272</v>
      </c>
      <c r="I927" s="74">
        <f t="shared" si="195"/>
      </c>
      <c r="J927" s="74">
        <f t="shared" si="198"/>
      </c>
      <c r="K927" s="80" t="s">
        <v>280</v>
      </c>
      <c r="L927" s="74">
        <f t="shared" si="199"/>
      </c>
      <c r="M927" s="74">
        <f t="shared" ca="1" si="200"/>
      </c>
      <c r="N927" s="74">
        <f ca="1">VLOOKUP(B927,$C$7:$T925,13,FALSE)</f>
      </c>
      <c r="O927" s="74">
        <f t="shared" ca="1" si="201"/>
      </c>
      <c r="P927" s="74">
        <f t="shared" ca="1" si="202"/>
      </c>
      <c r="Q927" s="74">
        <f t="shared" ca="1" si="203"/>
      </c>
      <c r="R927" s="74">
        <f t="shared" si="204"/>
      </c>
      <c r="S927" s="74">
        <f t="shared" ca="1" si="205"/>
      </c>
      <c r="T927" s="74">
        <f t="shared" si="206"/>
      </c>
    </row>
    <row r="928" spans="2:20" x14ac:dyDescent="0.3">
      <c r="B928" s="74">
        <f t="shared" ca="1" si="196"/>
      </c>
      <c r="C928" s="78">
        <f>Кабельный_журнал!P894</f>
      </c>
      <c r="D928" s="74">
        <f t="shared" ca="1" si="197"/>
      </c>
      <c r="E928" s="80" t="s">
        <v>279</v>
      </c>
      <c r="F928" s="74">
        <f t="shared" ca="1" si="193"/>
      </c>
      <c r="G928" s="74">
        <f t="shared" si="194"/>
      </c>
      <c r="H928" s="80" t="s">
        <v>272</v>
      </c>
      <c r="I928" s="74">
        <f t="shared" si="195"/>
      </c>
      <c r="J928" s="74">
        <f t="shared" si="198"/>
      </c>
      <c r="K928" s="80" t="s">
        <v>280</v>
      </c>
      <c r="L928" s="74">
        <f t="shared" si="199"/>
      </c>
      <c r="M928" s="74">
        <f t="shared" ca="1" si="200"/>
      </c>
      <c r="N928" s="74">
        <f ca="1">VLOOKUP(B928,$C$7:$T926,13,FALSE)</f>
      </c>
      <c r="O928" s="74">
        <f t="shared" ca="1" si="201"/>
      </c>
      <c r="P928" s="74">
        <f t="shared" ca="1" si="202"/>
      </c>
      <c r="Q928" s="74">
        <f t="shared" ca="1" si="203"/>
      </c>
      <c r="R928" s="74">
        <f t="shared" si="204"/>
      </c>
      <c r="S928" s="74">
        <f t="shared" ca="1" si="205"/>
      </c>
      <c r="T928" s="74">
        <f t="shared" si="206"/>
      </c>
    </row>
    <row r="929" spans="2:20" x14ac:dyDescent="0.3">
      <c r="B929" s="74">
        <f t="shared" ca="1" si="196"/>
      </c>
      <c r="C929" s="78">
        <f>Кабельный_журнал!P895</f>
      </c>
      <c r="D929" s="74">
        <f t="shared" ca="1" si="197"/>
      </c>
      <c r="E929" s="80" t="s">
        <v>279</v>
      </c>
      <c r="F929" s="74">
        <f t="shared" ca="1" si="193"/>
      </c>
      <c r="G929" s="74">
        <f t="shared" si="194"/>
      </c>
      <c r="H929" s="80" t="s">
        <v>272</v>
      </c>
      <c r="I929" s="74">
        <f t="shared" si="195"/>
      </c>
      <c r="J929" s="74">
        <f t="shared" si="198"/>
      </c>
      <c r="K929" s="80" t="s">
        <v>280</v>
      </c>
      <c r="L929" s="74">
        <f t="shared" si="199"/>
      </c>
      <c r="M929" s="74">
        <f t="shared" ca="1" si="200"/>
      </c>
      <c r="N929" s="74">
        <f ca="1">VLOOKUP(B929,$C$7:$T927,13,FALSE)</f>
      </c>
      <c r="O929" s="74">
        <f t="shared" ca="1" si="201"/>
      </c>
      <c r="P929" s="74">
        <f t="shared" ca="1" si="202"/>
      </c>
      <c r="Q929" s="74">
        <f t="shared" ca="1" si="203"/>
      </c>
      <c r="R929" s="74">
        <f t="shared" si="204"/>
      </c>
      <c r="S929" s="74">
        <f t="shared" ca="1" si="205"/>
      </c>
      <c r="T929" s="74">
        <f t="shared" si="206"/>
      </c>
    </row>
    <row r="930" spans="2:20" x14ac:dyDescent="0.3">
      <c r="B930" s="74">
        <f t="shared" ca="1" si="196"/>
      </c>
      <c r="C930" s="78">
        <f>Кабельный_журнал!P896</f>
      </c>
      <c r="D930" s="74">
        <f t="shared" ca="1" si="197"/>
      </c>
      <c r="E930" s="80" t="s">
        <v>279</v>
      </c>
      <c r="F930" s="74">
        <f t="shared" ca="1" si="193"/>
      </c>
      <c r="G930" s="74">
        <f t="shared" si="194"/>
      </c>
      <c r="H930" s="80" t="s">
        <v>272</v>
      </c>
      <c r="I930" s="74">
        <f t="shared" si="195"/>
      </c>
      <c r="J930" s="74">
        <f t="shared" si="198"/>
      </c>
      <c r="K930" s="80" t="s">
        <v>280</v>
      </c>
      <c r="L930" s="74">
        <f t="shared" si="199"/>
      </c>
      <c r="M930" s="74">
        <f t="shared" ca="1" si="200"/>
      </c>
      <c r="N930" s="74">
        <f ca="1">VLOOKUP(B930,$C$7:$T928,13,FALSE)</f>
      </c>
      <c r="O930" s="74">
        <f t="shared" ca="1" si="201"/>
      </c>
      <c r="P930" s="74">
        <f t="shared" ca="1" si="202"/>
      </c>
      <c r="Q930" s="74">
        <f t="shared" ca="1" si="203"/>
      </c>
      <c r="R930" s="74">
        <f t="shared" si="204"/>
      </c>
      <c r="S930" s="74">
        <f t="shared" ca="1" si="205"/>
      </c>
      <c r="T930" s="74">
        <f t="shared" si="206"/>
      </c>
    </row>
    <row r="931" spans="2:20" x14ac:dyDescent="0.3">
      <c r="B931" s="74">
        <f t="shared" ca="1" si="196"/>
      </c>
      <c r="C931" s="78">
        <f>Кабельный_журнал!P897</f>
      </c>
      <c r="D931" s="74">
        <f t="shared" ca="1" si="197"/>
      </c>
      <c r="E931" s="80" t="s">
        <v>279</v>
      </c>
      <c r="F931" s="74">
        <f t="shared" ca="1" si="193"/>
      </c>
      <c r="G931" s="74">
        <f t="shared" si="194"/>
      </c>
      <c r="H931" s="80" t="s">
        <v>272</v>
      </c>
      <c r="I931" s="74">
        <f t="shared" si="195"/>
      </c>
      <c r="J931" s="74">
        <f t="shared" si="198"/>
      </c>
      <c r="K931" s="80" t="s">
        <v>280</v>
      </c>
      <c r="L931" s="74">
        <f t="shared" si="199"/>
      </c>
      <c r="M931" s="74">
        <f t="shared" ca="1" si="200"/>
      </c>
      <c r="N931" s="74">
        <f ca="1">VLOOKUP(B931,$C$7:$T929,13,FALSE)</f>
      </c>
      <c r="O931" s="74">
        <f t="shared" ca="1" si="201"/>
      </c>
      <c r="P931" s="74">
        <f t="shared" ca="1" si="202"/>
      </c>
      <c r="Q931" s="74">
        <f t="shared" ca="1" si="203"/>
      </c>
      <c r="R931" s="74">
        <f t="shared" si="204"/>
      </c>
      <c r="S931" s="74">
        <f t="shared" ca="1" si="205"/>
      </c>
      <c r="T931" s="74">
        <f t="shared" si="206"/>
      </c>
    </row>
    <row r="932" spans="2:20" x14ac:dyDescent="0.3">
      <c r="B932" s="74">
        <f t="shared" ca="1" si="196"/>
      </c>
      <c r="C932" s="78">
        <f>Кабельный_журнал!P898</f>
      </c>
      <c r="D932" s="74">
        <f t="shared" ca="1" si="197"/>
      </c>
      <c r="E932" s="80" t="s">
        <v>279</v>
      </c>
      <c r="F932" s="74">
        <f t="shared" ca="1" si="193"/>
      </c>
      <c r="G932" s="74">
        <f t="shared" si="194"/>
      </c>
      <c r="H932" s="80" t="s">
        <v>272</v>
      </c>
      <c r="I932" s="74">
        <f t="shared" si="195"/>
      </c>
      <c r="J932" s="74">
        <f t="shared" si="198"/>
      </c>
      <c r="K932" s="80" t="s">
        <v>280</v>
      </c>
      <c r="L932" s="74">
        <f t="shared" si="199"/>
      </c>
      <c r="M932" s="74">
        <f t="shared" ca="1" si="200"/>
      </c>
      <c r="N932" s="74">
        <f ca="1">VLOOKUP(B932,$C$7:$T930,13,FALSE)</f>
      </c>
      <c r="O932" s="74">
        <f t="shared" ca="1" si="201"/>
      </c>
      <c r="P932" s="74">
        <f t="shared" ca="1" si="202"/>
      </c>
      <c r="Q932" s="74">
        <f t="shared" ca="1" si="203"/>
      </c>
      <c r="R932" s="74">
        <f t="shared" si="204"/>
      </c>
      <c r="S932" s="74">
        <f t="shared" ca="1" si="205"/>
      </c>
      <c r="T932" s="74">
        <f t="shared" si="206"/>
      </c>
    </row>
    <row r="933" spans="2:20" x14ac:dyDescent="0.3">
      <c r="B933" s="74">
        <f t="shared" ca="1" si="196"/>
      </c>
      <c r="C933" s="78">
        <f>Кабельный_журнал!P899</f>
      </c>
      <c r="D933" s="74">
        <f t="shared" ca="1" si="197"/>
      </c>
      <c r="E933" s="80" t="s">
        <v>279</v>
      </c>
      <c r="F933" s="74">
        <f t="shared" ca="1" si="193"/>
      </c>
      <c r="G933" s="74">
        <f t="shared" si="194"/>
      </c>
      <c r="H933" s="80" t="s">
        <v>272</v>
      </c>
      <c r="I933" s="74">
        <f t="shared" si="195"/>
      </c>
      <c r="J933" s="74">
        <f t="shared" si="198"/>
      </c>
      <c r="K933" s="80" t="s">
        <v>280</v>
      </c>
      <c r="L933" s="74">
        <f t="shared" si="199"/>
      </c>
      <c r="M933" s="74">
        <f t="shared" ca="1" si="200"/>
      </c>
      <c r="N933" s="74">
        <f ca="1">VLOOKUP(B933,$C$7:$T931,13,FALSE)</f>
      </c>
      <c r="O933" s="74">
        <f t="shared" ca="1" si="201"/>
      </c>
      <c r="P933" s="74">
        <f t="shared" ca="1" si="202"/>
      </c>
      <c r="Q933" s="74">
        <f t="shared" ca="1" si="203"/>
      </c>
      <c r="R933" s="74">
        <f t="shared" si="204"/>
      </c>
      <c r="S933" s="74">
        <f t="shared" ca="1" si="205"/>
      </c>
      <c r="T933" s="74">
        <f t="shared" si="206"/>
      </c>
    </row>
    <row r="934" spans="2:20" x14ac:dyDescent="0.3">
      <c r="B934" s="74">
        <f t="shared" ca="1" si="196"/>
      </c>
      <c r="C934" s="78">
        <f>Кабельный_журнал!P900</f>
      </c>
      <c r="D934" s="74">
        <f t="shared" ca="1" si="197"/>
      </c>
      <c r="E934" s="80" t="s">
        <v>279</v>
      </c>
      <c r="F934" s="74">
        <f t="shared" ca="1" si="193"/>
      </c>
      <c r="G934" s="74">
        <f t="shared" si="194"/>
      </c>
      <c r="H934" s="80" t="s">
        <v>272</v>
      </c>
      <c r="I934" s="74">
        <f t="shared" si="195"/>
      </c>
      <c r="J934" s="74">
        <f t="shared" si="198"/>
      </c>
      <c r="K934" s="80" t="s">
        <v>280</v>
      </c>
      <c r="L934" s="74">
        <f t="shared" si="199"/>
      </c>
      <c r="M934" s="74">
        <f t="shared" ca="1" si="200"/>
      </c>
      <c r="N934" s="74">
        <f ca="1">VLOOKUP(B934,$C$7:$T932,13,FALSE)</f>
      </c>
      <c r="O934" s="74">
        <f t="shared" ca="1" si="201"/>
      </c>
      <c r="P934" s="74">
        <f t="shared" ca="1" si="202"/>
      </c>
      <c r="Q934" s="74">
        <f t="shared" ca="1" si="203"/>
      </c>
      <c r="R934" s="74">
        <f t="shared" si="204"/>
      </c>
      <c r="S934" s="74">
        <f t="shared" ca="1" si="205"/>
      </c>
      <c r="T934" s="74">
        <f t="shared" si="206"/>
      </c>
    </row>
    <row r="935" spans="2:20" x14ac:dyDescent="0.3">
      <c r="B935" s="74">
        <f t="shared" ca="1" si="196"/>
      </c>
      <c r="C935" s="78">
        <f>Кабельный_журнал!P901</f>
      </c>
      <c r="D935" s="74">
        <f t="shared" ca="1" si="197"/>
      </c>
      <c r="E935" s="80" t="s">
        <v>279</v>
      </c>
      <c r="F935" s="74">
        <f t="shared" ref="F935:F998" ca="1" si="207">VLOOKUP(C935,Кабельный_журнал,8,FALSE)</f>
      </c>
      <c r="G935" s="74">
        <f t="shared" ref="G935:G998" si="208">VLOOKUP(C935,Исходные_данные,21,FALSE)</f>
      </c>
      <c r="H935" s="80" t="s">
        <v>272</v>
      </c>
      <c r="I935" s="74">
        <f t="shared" ref="I935:I998" si="209">VLOOKUP(C935,Исходные_данные,22,FALSE)</f>
      </c>
      <c r="J935" s="74">
        <f t="shared" si="198"/>
      </c>
      <c r="K935" s="80" t="s">
        <v>280</v>
      </c>
      <c r="L935" s="74">
        <f t="shared" si="199"/>
      </c>
      <c r="M935" s="74">
        <f t="shared" ca="1" si="200"/>
      </c>
      <c r="N935" s="74">
        <f ca="1">VLOOKUP(B935,$C$7:$T933,13,FALSE)</f>
      </c>
      <c r="O935" s="74">
        <f t="shared" ca="1" si="201"/>
      </c>
      <c r="P935" s="74">
        <f t="shared" ca="1" si="202"/>
      </c>
      <c r="Q935" s="74">
        <f t="shared" ca="1" si="203"/>
      </c>
      <c r="R935" s="74">
        <f t="shared" si="204"/>
      </c>
      <c r="S935" s="74">
        <f t="shared" ca="1" si="205"/>
      </c>
      <c r="T935" s="74">
        <f t="shared" si="206"/>
      </c>
    </row>
    <row r="936" spans="2:20" x14ac:dyDescent="0.3">
      <c r="B936" s="74">
        <f t="shared" ref="B936:B999" ca="1" si="210">VLOOKUP(C936,Кабельный_журнал,2,FALSE)</f>
      </c>
      <c r="C936" s="78">
        <f>Кабельный_журнал!P902</f>
      </c>
      <c r="D936" s="74">
        <f t="shared" ref="D936:D999" ca="1" si="211">B936&amp;"-"&amp;C936</f>
      </c>
      <c r="E936" s="80" t="s">
        <v>279</v>
      </c>
      <c r="F936" s="74">
        <f t="shared" ca="1" si="207"/>
      </c>
      <c r="G936" s="74">
        <f t="shared" si="208"/>
      </c>
      <c r="H936" s="80" t="s">
        <v>272</v>
      </c>
      <c r="I936" s="74">
        <f t="shared" si="209"/>
      </c>
      <c r="J936" s="74">
        <f t="shared" ref="J936:J999" si="212">I936</f>
      </c>
      <c r="K936" s="80" t="s">
        <v>280</v>
      </c>
      <c r="L936" s="74">
        <f t="shared" ref="L936:L999" si="213">VLOOKUP(K936,$K$2:$L$3,2,FALSE)</f>
      </c>
      <c r="M936" s="74">
        <f t="shared" ref="M936:M999" ca="1" si="214">L936*F936*(1/I936+1/J936)</f>
      </c>
      <c r="N936" s="74">
        <f ca="1">VLOOKUP(B936,$C$7:$T934,13,FALSE)</f>
      </c>
      <c r="O936" s="74">
        <f t="shared" ref="O936:O999" ca="1" si="215">L936+M936</f>
      </c>
      <c r="P936" s="74">
        <f t="shared" ref="P936:P999" ca="1" si="216">220/O936</f>
      </c>
      <c r="Q936" s="74">
        <f t="shared" ref="Q936:Q999" ca="1" si="217">O936/G936</f>
      </c>
      <c r="R936" s="74">
        <f t="shared" ref="R936:R999" si="218">VLOOKUP(H936,$W$2:$Y$12,3,FALSE)</f>
      </c>
      <c r="S936" s="74">
        <f t="shared" ref="S936:S999" ca="1" si="219">_xlfn.IFS(E936="щит",IF(P936&gt;R936,"Увел сеч",IF(T936&gt;P936,"Увел сеч","tср&lt;5с")),E936="потреб",IF(P936&gt;R936,"Увел сеч",IF(T936&gt;P936,"Увел сеч","tср&lt;0.4с")))</f>
      </c>
      <c r="T936" s="74">
        <f t="shared" ref="T936:T999" si="220">G936*VLOOKUP(H936,$W$2:$Y$12,2,FALSE)</f>
      </c>
    </row>
    <row r="937" spans="2:20" x14ac:dyDescent="0.3">
      <c r="B937" s="74">
        <f t="shared" ca="1" si="210"/>
      </c>
      <c r="C937" s="78">
        <f>Кабельный_журнал!P903</f>
      </c>
      <c r="D937" s="74">
        <f t="shared" ca="1" si="211"/>
      </c>
      <c r="E937" s="80" t="s">
        <v>279</v>
      </c>
      <c r="F937" s="74">
        <f t="shared" ca="1" si="207"/>
      </c>
      <c r="G937" s="74">
        <f t="shared" si="208"/>
      </c>
      <c r="H937" s="80" t="s">
        <v>272</v>
      </c>
      <c r="I937" s="74">
        <f t="shared" si="209"/>
      </c>
      <c r="J937" s="74">
        <f t="shared" si="212"/>
      </c>
      <c r="K937" s="80" t="s">
        <v>280</v>
      </c>
      <c r="L937" s="74">
        <f t="shared" si="213"/>
      </c>
      <c r="M937" s="74">
        <f t="shared" ca="1" si="214"/>
      </c>
      <c r="N937" s="74">
        <f ca="1">VLOOKUP(B937,$C$7:$T935,13,FALSE)</f>
      </c>
      <c r="O937" s="74">
        <f t="shared" ca="1" si="215"/>
      </c>
      <c r="P937" s="74">
        <f t="shared" ca="1" si="216"/>
      </c>
      <c r="Q937" s="74">
        <f t="shared" ca="1" si="217"/>
      </c>
      <c r="R937" s="74">
        <f t="shared" si="218"/>
      </c>
      <c r="S937" s="74">
        <f t="shared" ca="1" si="219"/>
      </c>
      <c r="T937" s="74">
        <f t="shared" si="220"/>
      </c>
    </row>
    <row r="938" spans="2:20" x14ac:dyDescent="0.3">
      <c r="B938" s="74">
        <f t="shared" ca="1" si="210"/>
      </c>
      <c r="C938" s="78">
        <f>Кабельный_журнал!P904</f>
      </c>
      <c r="D938" s="74">
        <f t="shared" ca="1" si="211"/>
      </c>
      <c r="E938" s="80" t="s">
        <v>279</v>
      </c>
      <c r="F938" s="74">
        <f t="shared" ca="1" si="207"/>
      </c>
      <c r="G938" s="74">
        <f t="shared" si="208"/>
      </c>
      <c r="H938" s="80" t="s">
        <v>272</v>
      </c>
      <c r="I938" s="74">
        <f t="shared" si="209"/>
      </c>
      <c r="J938" s="74">
        <f t="shared" si="212"/>
      </c>
      <c r="K938" s="80" t="s">
        <v>280</v>
      </c>
      <c r="L938" s="74">
        <f t="shared" si="213"/>
      </c>
      <c r="M938" s="74">
        <f t="shared" ca="1" si="214"/>
      </c>
      <c r="N938" s="74">
        <f ca="1">VLOOKUP(B938,$C$7:$T936,13,FALSE)</f>
      </c>
      <c r="O938" s="74">
        <f t="shared" ca="1" si="215"/>
      </c>
      <c r="P938" s="74">
        <f t="shared" ca="1" si="216"/>
      </c>
      <c r="Q938" s="74">
        <f t="shared" ca="1" si="217"/>
      </c>
      <c r="R938" s="74">
        <f t="shared" si="218"/>
      </c>
      <c r="S938" s="74">
        <f t="shared" ca="1" si="219"/>
      </c>
      <c r="T938" s="74">
        <f t="shared" si="220"/>
      </c>
    </row>
    <row r="939" spans="2:20" x14ac:dyDescent="0.3">
      <c r="B939" s="74">
        <f t="shared" ca="1" si="210"/>
      </c>
      <c r="C939" s="78">
        <f>Кабельный_журнал!P905</f>
      </c>
      <c r="D939" s="74">
        <f t="shared" ca="1" si="211"/>
      </c>
      <c r="E939" s="80" t="s">
        <v>279</v>
      </c>
      <c r="F939" s="74">
        <f t="shared" ca="1" si="207"/>
      </c>
      <c r="G939" s="74">
        <f t="shared" si="208"/>
      </c>
      <c r="H939" s="80" t="s">
        <v>272</v>
      </c>
      <c r="I939" s="74">
        <f t="shared" si="209"/>
      </c>
      <c r="J939" s="74">
        <f t="shared" si="212"/>
      </c>
      <c r="K939" s="80" t="s">
        <v>280</v>
      </c>
      <c r="L939" s="74">
        <f t="shared" si="213"/>
      </c>
      <c r="M939" s="74">
        <f t="shared" ca="1" si="214"/>
      </c>
      <c r="N939" s="74">
        <f ca="1">VLOOKUP(B939,$C$7:$T937,13,FALSE)</f>
      </c>
      <c r="O939" s="74">
        <f t="shared" ca="1" si="215"/>
      </c>
      <c r="P939" s="74">
        <f t="shared" ca="1" si="216"/>
      </c>
      <c r="Q939" s="74">
        <f t="shared" ca="1" si="217"/>
      </c>
      <c r="R939" s="74">
        <f t="shared" si="218"/>
      </c>
      <c r="S939" s="74">
        <f t="shared" ca="1" si="219"/>
      </c>
      <c r="T939" s="74">
        <f t="shared" si="220"/>
      </c>
    </row>
    <row r="940" spans="2:20" x14ac:dyDescent="0.3">
      <c r="B940" s="74">
        <f t="shared" ca="1" si="210"/>
      </c>
      <c r="C940" s="78">
        <f>Кабельный_журнал!P906</f>
      </c>
      <c r="D940" s="74">
        <f t="shared" ca="1" si="211"/>
      </c>
      <c r="E940" s="80" t="s">
        <v>279</v>
      </c>
      <c r="F940" s="74">
        <f t="shared" ca="1" si="207"/>
      </c>
      <c r="G940" s="74">
        <f t="shared" si="208"/>
      </c>
      <c r="H940" s="80" t="s">
        <v>272</v>
      </c>
      <c r="I940" s="74">
        <f t="shared" si="209"/>
      </c>
      <c r="J940" s="74">
        <f t="shared" si="212"/>
      </c>
      <c r="K940" s="80" t="s">
        <v>280</v>
      </c>
      <c r="L940" s="74">
        <f t="shared" si="213"/>
      </c>
      <c r="M940" s="74">
        <f t="shared" ca="1" si="214"/>
      </c>
      <c r="N940" s="74">
        <f ca="1">VLOOKUP(B940,$C$7:$T938,13,FALSE)</f>
      </c>
      <c r="O940" s="74">
        <f t="shared" ca="1" si="215"/>
      </c>
      <c r="P940" s="74">
        <f t="shared" ca="1" si="216"/>
      </c>
      <c r="Q940" s="74">
        <f t="shared" ca="1" si="217"/>
      </c>
      <c r="R940" s="74">
        <f t="shared" si="218"/>
      </c>
      <c r="S940" s="74">
        <f t="shared" ca="1" si="219"/>
      </c>
      <c r="T940" s="74">
        <f t="shared" si="220"/>
      </c>
    </row>
    <row r="941" spans="2:20" x14ac:dyDescent="0.3">
      <c r="B941" s="74">
        <f t="shared" ca="1" si="210"/>
      </c>
      <c r="C941" s="78">
        <f>Кабельный_журнал!P907</f>
      </c>
      <c r="D941" s="74">
        <f t="shared" ca="1" si="211"/>
      </c>
      <c r="E941" s="80" t="s">
        <v>279</v>
      </c>
      <c r="F941" s="74">
        <f t="shared" ca="1" si="207"/>
      </c>
      <c r="G941" s="74">
        <f t="shared" si="208"/>
      </c>
      <c r="H941" s="80" t="s">
        <v>272</v>
      </c>
      <c r="I941" s="74">
        <f t="shared" si="209"/>
      </c>
      <c r="J941" s="74">
        <f t="shared" si="212"/>
      </c>
      <c r="K941" s="80" t="s">
        <v>280</v>
      </c>
      <c r="L941" s="74">
        <f t="shared" si="213"/>
      </c>
      <c r="M941" s="74">
        <f t="shared" ca="1" si="214"/>
      </c>
      <c r="N941" s="74">
        <f ca="1">VLOOKUP(B941,$C$7:$T939,13,FALSE)</f>
      </c>
      <c r="O941" s="74">
        <f t="shared" ca="1" si="215"/>
      </c>
      <c r="P941" s="74">
        <f t="shared" ca="1" si="216"/>
      </c>
      <c r="Q941" s="74">
        <f t="shared" ca="1" si="217"/>
      </c>
      <c r="R941" s="74">
        <f t="shared" si="218"/>
      </c>
      <c r="S941" s="74">
        <f t="shared" ca="1" si="219"/>
      </c>
      <c r="T941" s="74">
        <f t="shared" si="220"/>
      </c>
    </row>
    <row r="942" spans="2:20" x14ac:dyDescent="0.3">
      <c r="B942" s="74">
        <f t="shared" ca="1" si="210"/>
      </c>
      <c r="C942" s="78">
        <f>Кабельный_журнал!P908</f>
      </c>
      <c r="D942" s="74">
        <f t="shared" ca="1" si="211"/>
      </c>
      <c r="E942" s="80" t="s">
        <v>279</v>
      </c>
      <c r="F942" s="74">
        <f t="shared" ca="1" si="207"/>
      </c>
      <c r="G942" s="74">
        <f t="shared" si="208"/>
      </c>
      <c r="H942" s="80" t="s">
        <v>272</v>
      </c>
      <c r="I942" s="74">
        <f t="shared" si="209"/>
      </c>
      <c r="J942" s="74">
        <f t="shared" si="212"/>
      </c>
      <c r="K942" s="80" t="s">
        <v>280</v>
      </c>
      <c r="L942" s="74">
        <f t="shared" si="213"/>
      </c>
      <c r="M942" s="74">
        <f t="shared" ca="1" si="214"/>
      </c>
      <c r="N942" s="74">
        <f ca="1">VLOOKUP(B942,$C$7:$T940,13,FALSE)</f>
      </c>
      <c r="O942" s="74">
        <f t="shared" ca="1" si="215"/>
      </c>
      <c r="P942" s="74">
        <f t="shared" ca="1" si="216"/>
      </c>
      <c r="Q942" s="74">
        <f t="shared" ca="1" si="217"/>
      </c>
      <c r="R942" s="74">
        <f t="shared" si="218"/>
      </c>
      <c r="S942" s="74">
        <f t="shared" ca="1" si="219"/>
      </c>
      <c r="T942" s="74">
        <f t="shared" si="220"/>
      </c>
    </row>
    <row r="943" spans="2:20" x14ac:dyDescent="0.3">
      <c r="B943" s="74">
        <f t="shared" ca="1" si="210"/>
      </c>
      <c r="C943" s="78">
        <f>Кабельный_журнал!P909</f>
      </c>
      <c r="D943" s="74">
        <f t="shared" ca="1" si="211"/>
      </c>
      <c r="E943" s="80" t="s">
        <v>279</v>
      </c>
      <c r="F943" s="74">
        <f t="shared" ca="1" si="207"/>
      </c>
      <c r="G943" s="74">
        <f t="shared" si="208"/>
      </c>
      <c r="H943" s="80" t="s">
        <v>272</v>
      </c>
      <c r="I943" s="74">
        <f t="shared" si="209"/>
      </c>
      <c r="J943" s="74">
        <f t="shared" si="212"/>
      </c>
      <c r="K943" s="80" t="s">
        <v>280</v>
      </c>
      <c r="L943" s="74">
        <f t="shared" si="213"/>
      </c>
      <c r="M943" s="74">
        <f t="shared" ca="1" si="214"/>
      </c>
      <c r="N943" s="74">
        <f ca="1">VLOOKUP(B943,$C$7:$T941,13,FALSE)</f>
      </c>
      <c r="O943" s="74">
        <f t="shared" ca="1" si="215"/>
      </c>
      <c r="P943" s="74">
        <f t="shared" ca="1" si="216"/>
      </c>
      <c r="Q943" s="74">
        <f t="shared" ca="1" si="217"/>
      </c>
      <c r="R943" s="74">
        <f t="shared" si="218"/>
      </c>
      <c r="S943" s="74">
        <f t="shared" ca="1" si="219"/>
      </c>
      <c r="T943" s="74">
        <f t="shared" si="220"/>
      </c>
    </row>
    <row r="944" spans="2:20" x14ac:dyDescent="0.3">
      <c r="B944" s="74">
        <f t="shared" ca="1" si="210"/>
      </c>
      <c r="C944" s="78">
        <f>Кабельный_журнал!P910</f>
      </c>
      <c r="D944" s="74">
        <f t="shared" ca="1" si="211"/>
      </c>
      <c r="E944" s="80" t="s">
        <v>279</v>
      </c>
      <c r="F944" s="74">
        <f t="shared" ca="1" si="207"/>
      </c>
      <c r="G944" s="74">
        <f t="shared" si="208"/>
      </c>
      <c r="H944" s="80" t="s">
        <v>272</v>
      </c>
      <c r="I944" s="74">
        <f t="shared" si="209"/>
      </c>
      <c r="J944" s="74">
        <f t="shared" si="212"/>
      </c>
      <c r="K944" s="80" t="s">
        <v>280</v>
      </c>
      <c r="L944" s="74">
        <f t="shared" si="213"/>
      </c>
      <c r="M944" s="74">
        <f t="shared" ca="1" si="214"/>
      </c>
      <c r="N944" s="74">
        <f ca="1">VLOOKUP(B944,$C$7:$T942,13,FALSE)</f>
      </c>
      <c r="O944" s="74">
        <f t="shared" ca="1" si="215"/>
      </c>
      <c r="P944" s="74">
        <f t="shared" ca="1" si="216"/>
      </c>
      <c r="Q944" s="74">
        <f t="shared" ca="1" si="217"/>
      </c>
      <c r="R944" s="74">
        <f t="shared" si="218"/>
      </c>
      <c r="S944" s="74">
        <f t="shared" ca="1" si="219"/>
      </c>
      <c r="T944" s="74">
        <f t="shared" si="220"/>
      </c>
    </row>
    <row r="945" spans="2:20" x14ac:dyDescent="0.3">
      <c r="B945" s="74">
        <f t="shared" ca="1" si="210"/>
      </c>
      <c r="C945" s="78">
        <f>Кабельный_журнал!P911</f>
      </c>
      <c r="D945" s="74">
        <f t="shared" ca="1" si="211"/>
      </c>
      <c r="E945" s="80" t="s">
        <v>279</v>
      </c>
      <c r="F945" s="74">
        <f t="shared" ca="1" si="207"/>
      </c>
      <c r="G945" s="74">
        <f t="shared" si="208"/>
      </c>
      <c r="H945" s="80" t="s">
        <v>272</v>
      </c>
      <c r="I945" s="74">
        <f t="shared" si="209"/>
      </c>
      <c r="J945" s="74">
        <f t="shared" si="212"/>
      </c>
      <c r="K945" s="80" t="s">
        <v>280</v>
      </c>
      <c r="L945" s="74">
        <f t="shared" si="213"/>
      </c>
      <c r="M945" s="74">
        <f t="shared" ca="1" si="214"/>
      </c>
      <c r="N945" s="74">
        <f ca="1">VLOOKUP(B945,$C$7:$T943,13,FALSE)</f>
      </c>
      <c r="O945" s="74">
        <f t="shared" ca="1" si="215"/>
      </c>
      <c r="P945" s="74">
        <f t="shared" ca="1" si="216"/>
      </c>
      <c r="Q945" s="74">
        <f t="shared" ca="1" si="217"/>
      </c>
      <c r="R945" s="74">
        <f t="shared" si="218"/>
      </c>
      <c r="S945" s="74">
        <f t="shared" ca="1" si="219"/>
      </c>
      <c r="T945" s="74">
        <f t="shared" si="220"/>
      </c>
    </row>
    <row r="946" spans="2:20" x14ac:dyDescent="0.3">
      <c r="B946" s="74">
        <f t="shared" ca="1" si="210"/>
      </c>
      <c r="C946" s="78">
        <f>Кабельный_журнал!P912</f>
      </c>
      <c r="D946" s="74">
        <f t="shared" ca="1" si="211"/>
      </c>
      <c r="E946" s="80" t="s">
        <v>279</v>
      </c>
      <c r="F946" s="74">
        <f t="shared" ca="1" si="207"/>
      </c>
      <c r="G946" s="74">
        <f t="shared" si="208"/>
      </c>
      <c r="H946" s="80" t="s">
        <v>272</v>
      </c>
      <c r="I946" s="74">
        <f t="shared" si="209"/>
      </c>
      <c r="J946" s="74">
        <f t="shared" si="212"/>
      </c>
      <c r="K946" s="80" t="s">
        <v>280</v>
      </c>
      <c r="L946" s="74">
        <f t="shared" si="213"/>
      </c>
      <c r="M946" s="74">
        <f t="shared" ca="1" si="214"/>
      </c>
      <c r="N946" s="74">
        <f ca="1">VLOOKUP(B946,$C$7:$T944,13,FALSE)</f>
      </c>
      <c r="O946" s="74">
        <f t="shared" ca="1" si="215"/>
      </c>
      <c r="P946" s="74">
        <f t="shared" ca="1" si="216"/>
      </c>
      <c r="Q946" s="74">
        <f t="shared" ca="1" si="217"/>
      </c>
      <c r="R946" s="74">
        <f t="shared" si="218"/>
      </c>
      <c r="S946" s="74">
        <f t="shared" ca="1" si="219"/>
      </c>
      <c r="T946" s="74">
        <f t="shared" si="220"/>
      </c>
    </row>
    <row r="947" spans="2:20" x14ac:dyDescent="0.3">
      <c r="B947" s="74">
        <f t="shared" ca="1" si="210"/>
      </c>
      <c r="C947" s="78">
        <f>Кабельный_журнал!P913</f>
      </c>
      <c r="D947" s="74">
        <f t="shared" ca="1" si="211"/>
      </c>
      <c r="E947" s="80" t="s">
        <v>279</v>
      </c>
      <c r="F947" s="74">
        <f t="shared" ca="1" si="207"/>
      </c>
      <c r="G947" s="74">
        <f t="shared" si="208"/>
      </c>
      <c r="H947" s="80" t="s">
        <v>272</v>
      </c>
      <c r="I947" s="74">
        <f t="shared" si="209"/>
      </c>
      <c r="J947" s="74">
        <f t="shared" si="212"/>
      </c>
      <c r="K947" s="80" t="s">
        <v>280</v>
      </c>
      <c r="L947" s="74">
        <f t="shared" si="213"/>
      </c>
      <c r="M947" s="74">
        <f t="shared" ca="1" si="214"/>
      </c>
      <c r="N947" s="74">
        <f ca="1">VLOOKUP(B947,$C$7:$T945,13,FALSE)</f>
      </c>
      <c r="O947" s="74">
        <f t="shared" ca="1" si="215"/>
      </c>
      <c r="P947" s="74">
        <f t="shared" ca="1" si="216"/>
      </c>
      <c r="Q947" s="74">
        <f t="shared" ca="1" si="217"/>
      </c>
      <c r="R947" s="74">
        <f t="shared" si="218"/>
      </c>
      <c r="S947" s="74">
        <f t="shared" ca="1" si="219"/>
      </c>
      <c r="T947" s="74">
        <f t="shared" si="220"/>
      </c>
    </row>
    <row r="948" spans="2:20" x14ac:dyDescent="0.3">
      <c r="B948" s="74">
        <f t="shared" ca="1" si="210"/>
      </c>
      <c r="C948" s="78">
        <f>Кабельный_журнал!P914</f>
      </c>
      <c r="D948" s="74">
        <f t="shared" ca="1" si="211"/>
      </c>
      <c r="E948" s="80" t="s">
        <v>279</v>
      </c>
      <c r="F948" s="74">
        <f t="shared" ca="1" si="207"/>
      </c>
      <c r="G948" s="74">
        <f t="shared" si="208"/>
      </c>
      <c r="H948" s="80" t="s">
        <v>272</v>
      </c>
      <c r="I948" s="74">
        <f t="shared" si="209"/>
      </c>
      <c r="J948" s="74">
        <f t="shared" si="212"/>
      </c>
      <c r="K948" s="80" t="s">
        <v>280</v>
      </c>
      <c r="L948" s="74">
        <f t="shared" si="213"/>
      </c>
      <c r="M948" s="74">
        <f t="shared" ca="1" si="214"/>
      </c>
      <c r="N948" s="74">
        <f ca="1">VLOOKUP(B948,$C$7:$T946,13,FALSE)</f>
      </c>
      <c r="O948" s="74">
        <f t="shared" ca="1" si="215"/>
      </c>
      <c r="P948" s="74">
        <f t="shared" ca="1" si="216"/>
      </c>
      <c r="Q948" s="74">
        <f t="shared" ca="1" si="217"/>
      </c>
      <c r="R948" s="74">
        <f t="shared" si="218"/>
      </c>
      <c r="S948" s="74">
        <f t="shared" ca="1" si="219"/>
      </c>
      <c r="T948" s="74">
        <f t="shared" si="220"/>
      </c>
    </row>
    <row r="949" spans="2:20" x14ac:dyDescent="0.3">
      <c r="B949" s="74">
        <f t="shared" ca="1" si="210"/>
      </c>
      <c r="C949" s="78">
        <f>Кабельный_журнал!P915</f>
      </c>
      <c r="D949" s="74">
        <f t="shared" ca="1" si="211"/>
      </c>
      <c r="E949" s="80" t="s">
        <v>279</v>
      </c>
      <c r="F949" s="74">
        <f t="shared" ca="1" si="207"/>
      </c>
      <c r="G949" s="74">
        <f t="shared" si="208"/>
      </c>
      <c r="H949" s="80" t="s">
        <v>272</v>
      </c>
      <c r="I949" s="74">
        <f t="shared" si="209"/>
      </c>
      <c r="J949" s="74">
        <f t="shared" si="212"/>
      </c>
      <c r="K949" s="80" t="s">
        <v>280</v>
      </c>
      <c r="L949" s="74">
        <f t="shared" si="213"/>
      </c>
      <c r="M949" s="74">
        <f t="shared" ca="1" si="214"/>
      </c>
      <c r="N949" s="74">
        <f ca="1">VLOOKUP(B949,$C$7:$T947,13,FALSE)</f>
      </c>
      <c r="O949" s="74">
        <f t="shared" ca="1" si="215"/>
      </c>
      <c r="P949" s="74">
        <f t="shared" ca="1" si="216"/>
      </c>
      <c r="Q949" s="74">
        <f t="shared" ca="1" si="217"/>
      </c>
      <c r="R949" s="74">
        <f t="shared" si="218"/>
      </c>
      <c r="S949" s="74">
        <f t="shared" ca="1" si="219"/>
      </c>
      <c r="T949" s="74">
        <f t="shared" si="220"/>
      </c>
    </row>
    <row r="950" spans="2:20" x14ac:dyDescent="0.3">
      <c r="B950" s="74">
        <f t="shared" ca="1" si="210"/>
      </c>
      <c r="C950" s="78">
        <f>Кабельный_журнал!P916</f>
      </c>
      <c r="D950" s="74">
        <f t="shared" ca="1" si="211"/>
      </c>
      <c r="E950" s="80" t="s">
        <v>279</v>
      </c>
      <c r="F950" s="74">
        <f t="shared" ca="1" si="207"/>
      </c>
      <c r="G950" s="74">
        <f t="shared" si="208"/>
      </c>
      <c r="H950" s="80" t="s">
        <v>272</v>
      </c>
      <c r="I950" s="74">
        <f t="shared" si="209"/>
      </c>
      <c r="J950" s="74">
        <f t="shared" si="212"/>
      </c>
      <c r="K950" s="80" t="s">
        <v>280</v>
      </c>
      <c r="L950" s="74">
        <f t="shared" si="213"/>
      </c>
      <c r="M950" s="74">
        <f t="shared" ca="1" si="214"/>
      </c>
      <c r="N950" s="74">
        <f ca="1">VLOOKUP(B950,$C$7:$T948,13,FALSE)</f>
      </c>
      <c r="O950" s="74">
        <f t="shared" ca="1" si="215"/>
      </c>
      <c r="P950" s="74">
        <f t="shared" ca="1" si="216"/>
      </c>
      <c r="Q950" s="74">
        <f t="shared" ca="1" si="217"/>
      </c>
      <c r="R950" s="74">
        <f t="shared" si="218"/>
      </c>
      <c r="S950" s="74">
        <f t="shared" ca="1" si="219"/>
      </c>
      <c r="T950" s="74">
        <f t="shared" si="220"/>
      </c>
    </row>
    <row r="951" spans="2:20" x14ac:dyDescent="0.3">
      <c r="B951" s="74">
        <f t="shared" ca="1" si="210"/>
      </c>
      <c r="C951" s="78">
        <f>Кабельный_журнал!P917</f>
      </c>
      <c r="D951" s="74">
        <f t="shared" ca="1" si="211"/>
      </c>
      <c r="E951" s="80" t="s">
        <v>279</v>
      </c>
      <c r="F951" s="74">
        <f t="shared" ca="1" si="207"/>
      </c>
      <c r="G951" s="74">
        <f t="shared" si="208"/>
      </c>
      <c r="H951" s="80" t="s">
        <v>272</v>
      </c>
      <c r="I951" s="74">
        <f t="shared" si="209"/>
      </c>
      <c r="J951" s="74">
        <f t="shared" si="212"/>
      </c>
      <c r="K951" s="80" t="s">
        <v>280</v>
      </c>
      <c r="L951" s="74">
        <f t="shared" si="213"/>
      </c>
      <c r="M951" s="74">
        <f t="shared" ca="1" si="214"/>
      </c>
      <c r="N951" s="74">
        <f ca="1">VLOOKUP(B951,$C$7:$T949,13,FALSE)</f>
      </c>
      <c r="O951" s="74">
        <f t="shared" ca="1" si="215"/>
      </c>
      <c r="P951" s="74">
        <f t="shared" ca="1" si="216"/>
      </c>
      <c r="Q951" s="74">
        <f t="shared" ca="1" si="217"/>
      </c>
      <c r="R951" s="74">
        <f t="shared" si="218"/>
      </c>
      <c r="S951" s="74">
        <f t="shared" ca="1" si="219"/>
      </c>
      <c r="T951" s="74">
        <f t="shared" si="220"/>
      </c>
    </row>
    <row r="952" spans="2:20" x14ac:dyDescent="0.3">
      <c r="B952" s="74">
        <f t="shared" ca="1" si="210"/>
      </c>
      <c r="C952" s="78">
        <f>Кабельный_журнал!P918</f>
      </c>
      <c r="D952" s="74">
        <f t="shared" ca="1" si="211"/>
      </c>
      <c r="E952" s="80" t="s">
        <v>279</v>
      </c>
      <c r="F952" s="74">
        <f t="shared" ca="1" si="207"/>
      </c>
      <c r="G952" s="74">
        <f t="shared" si="208"/>
      </c>
      <c r="H952" s="80" t="s">
        <v>272</v>
      </c>
      <c r="I952" s="74">
        <f t="shared" si="209"/>
      </c>
      <c r="J952" s="74">
        <f t="shared" si="212"/>
      </c>
      <c r="K952" s="80" t="s">
        <v>280</v>
      </c>
      <c r="L952" s="74">
        <f t="shared" si="213"/>
      </c>
      <c r="M952" s="74">
        <f t="shared" ca="1" si="214"/>
      </c>
      <c r="N952" s="74">
        <f ca="1">VLOOKUP(B952,$C$7:$T950,13,FALSE)</f>
      </c>
      <c r="O952" s="74">
        <f t="shared" ca="1" si="215"/>
      </c>
      <c r="P952" s="74">
        <f t="shared" ca="1" si="216"/>
      </c>
      <c r="Q952" s="74">
        <f t="shared" ca="1" si="217"/>
      </c>
      <c r="R952" s="74">
        <f t="shared" si="218"/>
      </c>
      <c r="S952" s="74">
        <f t="shared" ca="1" si="219"/>
      </c>
      <c r="T952" s="74">
        <f t="shared" si="220"/>
      </c>
    </row>
    <row r="953" spans="2:20" x14ac:dyDescent="0.3">
      <c r="B953" s="74">
        <f t="shared" ca="1" si="210"/>
      </c>
      <c r="C953" s="78">
        <f>Кабельный_журнал!P919</f>
      </c>
      <c r="D953" s="74">
        <f t="shared" ca="1" si="211"/>
      </c>
      <c r="E953" s="80" t="s">
        <v>279</v>
      </c>
      <c r="F953" s="74">
        <f t="shared" ca="1" si="207"/>
      </c>
      <c r="G953" s="74">
        <f t="shared" si="208"/>
      </c>
      <c r="H953" s="80" t="s">
        <v>272</v>
      </c>
      <c r="I953" s="74">
        <f t="shared" si="209"/>
      </c>
      <c r="J953" s="74">
        <f t="shared" si="212"/>
      </c>
      <c r="K953" s="80" t="s">
        <v>280</v>
      </c>
      <c r="L953" s="74">
        <f t="shared" si="213"/>
      </c>
      <c r="M953" s="74">
        <f t="shared" ca="1" si="214"/>
      </c>
      <c r="N953" s="74">
        <f ca="1">VLOOKUP(B953,$C$7:$T951,13,FALSE)</f>
      </c>
      <c r="O953" s="74">
        <f t="shared" ca="1" si="215"/>
      </c>
      <c r="P953" s="74">
        <f t="shared" ca="1" si="216"/>
      </c>
      <c r="Q953" s="74">
        <f t="shared" ca="1" si="217"/>
      </c>
      <c r="R953" s="74">
        <f t="shared" si="218"/>
      </c>
      <c r="S953" s="74">
        <f t="shared" ca="1" si="219"/>
      </c>
      <c r="T953" s="74">
        <f t="shared" si="220"/>
      </c>
    </row>
    <row r="954" spans="2:20" x14ac:dyDescent="0.3">
      <c r="B954" s="74">
        <f t="shared" ca="1" si="210"/>
      </c>
      <c r="C954" s="78">
        <f>Кабельный_журнал!P920</f>
      </c>
      <c r="D954" s="74">
        <f t="shared" ca="1" si="211"/>
      </c>
      <c r="E954" s="80" t="s">
        <v>279</v>
      </c>
      <c r="F954" s="74">
        <f t="shared" ca="1" si="207"/>
      </c>
      <c r="G954" s="74">
        <f t="shared" si="208"/>
      </c>
      <c r="H954" s="80" t="s">
        <v>272</v>
      </c>
      <c r="I954" s="74">
        <f t="shared" si="209"/>
      </c>
      <c r="J954" s="74">
        <f t="shared" si="212"/>
      </c>
      <c r="K954" s="80" t="s">
        <v>280</v>
      </c>
      <c r="L954" s="74">
        <f t="shared" si="213"/>
      </c>
      <c r="M954" s="74">
        <f t="shared" ca="1" si="214"/>
      </c>
      <c r="N954" s="74">
        <f ca="1">VLOOKUP(B954,$C$7:$T952,13,FALSE)</f>
      </c>
      <c r="O954" s="74">
        <f t="shared" ca="1" si="215"/>
      </c>
      <c r="P954" s="74">
        <f t="shared" ca="1" si="216"/>
      </c>
      <c r="Q954" s="74">
        <f t="shared" ca="1" si="217"/>
      </c>
      <c r="R954" s="74">
        <f t="shared" si="218"/>
      </c>
      <c r="S954" s="74">
        <f t="shared" ca="1" si="219"/>
      </c>
      <c r="T954" s="74">
        <f t="shared" si="220"/>
      </c>
    </row>
    <row r="955" spans="2:20" x14ac:dyDescent="0.3">
      <c r="B955" s="74">
        <f t="shared" ca="1" si="210"/>
      </c>
      <c r="C955" s="78">
        <f>Кабельный_журнал!P921</f>
      </c>
      <c r="D955" s="74">
        <f t="shared" ca="1" si="211"/>
      </c>
      <c r="E955" s="80" t="s">
        <v>279</v>
      </c>
      <c r="F955" s="74">
        <f t="shared" ca="1" si="207"/>
      </c>
      <c r="G955" s="74">
        <f t="shared" si="208"/>
      </c>
      <c r="H955" s="80" t="s">
        <v>272</v>
      </c>
      <c r="I955" s="74">
        <f t="shared" si="209"/>
      </c>
      <c r="J955" s="74">
        <f t="shared" si="212"/>
      </c>
      <c r="K955" s="80" t="s">
        <v>280</v>
      </c>
      <c r="L955" s="74">
        <f t="shared" si="213"/>
      </c>
      <c r="M955" s="74">
        <f t="shared" ca="1" si="214"/>
      </c>
      <c r="N955" s="74">
        <f ca="1">VLOOKUP(B955,$C$7:$T953,13,FALSE)</f>
      </c>
      <c r="O955" s="74">
        <f t="shared" ca="1" si="215"/>
      </c>
      <c r="P955" s="74">
        <f t="shared" ca="1" si="216"/>
      </c>
      <c r="Q955" s="74">
        <f t="shared" ca="1" si="217"/>
      </c>
      <c r="R955" s="74">
        <f t="shared" si="218"/>
      </c>
      <c r="S955" s="74">
        <f t="shared" ca="1" si="219"/>
      </c>
      <c r="T955" s="74">
        <f t="shared" si="220"/>
      </c>
    </row>
    <row r="956" spans="2:20" x14ac:dyDescent="0.3">
      <c r="B956" s="74">
        <f t="shared" ca="1" si="210"/>
      </c>
      <c r="C956" s="78">
        <f>Кабельный_журнал!P922</f>
      </c>
      <c r="D956" s="74">
        <f t="shared" ca="1" si="211"/>
      </c>
      <c r="E956" s="80" t="s">
        <v>279</v>
      </c>
      <c r="F956" s="74">
        <f t="shared" ca="1" si="207"/>
      </c>
      <c r="G956" s="74">
        <f t="shared" si="208"/>
      </c>
      <c r="H956" s="80" t="s">
        <v>272</v>
      </c>
      <c r="I956" s="74">
        <f t="shared" si="209"/>
      </c>
      <c r="J956" s="74">
        <f t="shared" si="212"/>
      </c>
      <c r="K956" s="80" t="s">
        <v>280</v>
      </c>
      <c r="L956" s="74">
        <f t="shared" si="213"/>
      </c>
      <c r="M956" s="74">
        <f t="shared" ca="1" si="214"/>
      </c>
      <c r="N956" s="74">
        <f ca="1">VLOOKUP(B956,$C$7:$T954,13,FALSE)</f>
      </c>
      <c r="O956" s="74">
        <f t="shared" ca="1" si="215"/>
      </c>
      <c r="P956" s="74">
        <f t="shared" ca="1" si="216"/>
      </c>
      <c r="Q956" s="74">
        <f t="shared" ca="1" si="217"/>
      </c>
      <c r="R956" s="74">
        <f t="shared" si="218"/>
      </c>
      <c r="S956" s="74">
        <f t="shared" ca="1" si="219"/>
      </c>
      <c r="T956" s="74">
        <f t="shared" si="220"/>
      </c>
    </row>
    <row r="957" spans="2:20" x14ac:dyDescent="0.3">
      <c r="B957" s="74">
        <f t="shared" ca="1" si="210"/>
      </c>
      <c r="C957" s="78">
        <f>Кабельный_журнал!P923</f>
      </c>
      <c r="D957" s="74">
        <f t="shared" ca="1" si="211"/>
      </c>
      <c r="E957" s="80" t="s">
        <v>279</v>
      </c>
      <c r="F957" s="74">
        <f t="shared" ca="1" si="207"/>
      </c>
      <c r="G957" s="74">
        <f t="shared" si="208"/>
      </c>
      <c r="H957" s="80" t="s">
        <v>272</v>
      </c>
      <c r="I957" s="74">
        <f t="shared" si="209"/>
      </c>
      <c r="J957" s="74">
        <f t="shared" si="212"/>
      </c>
      <c r="K957" s="80" t="s">
        <v>280</v>
      </c>
      <c r="L957" s="74">
        <f t="shared" si="213"/>
      </c>
      <c r="M957" s="74">
        <f t="shared" ca="1" si="214"/>
      </c>
      <c r="N957" s="74">
        <f ca="1">VLOOKUP(B957,$C$7:$T955,13,FALSE)</f>
      </c>
      <c r="O957" s="74">
        <f t="shared" ca="1" si="215"/>
      </c>
      <c r="P957" s="74">
        <f t="shared" ca="1" si="216"/>
      </c>
      <c r="Q957" s="74">
        <f t="shared" ca="1" si="217"/>
      </c>
      <c r="R957" s="74">
        <f t="shared" si="218"/>
      </c>
      <c r="S957" s="74">
        <f t="shared" ca="1" si="219"/>
      </c>
      <c r="T957" s="74">
        <f t="shared" si="220"/>
      </c>
    </row>
    <row r="958" spans="2:20" x14ac:dyDescent="0.3">
      <c r="B958" s="74">
        <f t="shared" ca="1" si="210"/>
      </c>
      <c r="C958" s="78">
        <f>Кабельный_журнал!P924</f>
      </c>
      <c r="D958" s="74">
        <f t="shared" ca="1" si="211"/>
      </c>
      <c r="E958" s="80" t="s">
        <v>279</v>
      </c>
      <c r="F958" s="74">
        <f t="shared" ca="1" si="207"/>
      </c>
      <c r="G958" s="74">
        <f t="shared" si="208"/>
      </c>
      <c r="H958" s="80" t="s">
        <v>272</v>
      </c>
      <c r="I958" s="74">
        <f t="shared" si="209"/>
      </c>
      <c r="J958" s="74">
        <f t="shared" si="212"/>
      </c>
      <c r="K958" s="80" t="s">
        <v>280</v>
      </c>
      <c r="L958" s="74">
        <f t="shared" si="213"/>
      </c>
      <c r="M958" s="74">
        <f t="shared" ca="1" si="214"/>
      </c>
      <c r="N958" s="74">
        <f ca="1">VLOOKUP(B958,$C$7:$T956,13,FALSE)</f>
      </c>
      <c r="O958" s="74">
        <f t="shared" ca="1" si="215"/>
      </c>
      <c r="P958" s="74">
        <f t="shared" ca="1" si="216"/>
      </c>
      <c r="Q958" s="74">
        <f t="shared" ca="1" si="217"/>
      </c>
      <c r="R958" s="74">
        <f t="shared" si="218"/>
      </c>
      <c r="S958" s="74">
        <f t="shared" ca="1" si="219"/>
      </c>
      <c r="T958" s="74">
        <f t="shared" si="220"/>
      </c>
    </row>
    <row r="959" spans="2:20" x14ac:dyDescent="0.3">
      <c r="B959" s="74">
        <f t="shared" ca="1" si="210"/>
      </c>
      <c r="C959" s="78">
        <f>Кабельный_журнал!P925</f>
      </c>
      <c r="D959" s="74">
        <f t="shared" ca="1" si="211"/>
      </c>
      <c r="E959" s="80" t="s">
        <v>279</v>
      </c>
      <c r="F959" s="74">
        <f t="shared" ca="1" si="207"/>
      </c>
      <c r="G959" s="74">
        <f t="shared" si="208"/>
      </c>
      <c r="H959" s="80" t="s">
        <v>272</v>
      </c>
      <c r="I959" s="74">
        <f t="shared" si="209"/>
      </c>
      <c r="J959" s="74">
        <f t="shared" si="212"/>
      </c>
      <c r="K959" s="80" t="s">
        <v>280</v>
      </c>
      <c r="L959" s="74">
        <f t="shared" si="213"/>
      </c>
      <c r="M959" s="74">
        <f t="shared" ca="1" si="214"/>
      </c>
      <c r="N959" s="74">
        <f ca="1">VLOOKUP(B959,$C$7:$T957,13,FALSE)</f>
      </c>
      <c r="O959" s="74">
        <f t="shared" ca="1" si="215"/>
      </c>
      <c r="P959" s="74">
        <f t="shared" ca="1" si="216"/>
      </c>
      <c r="Q959" s="74">
        <f t="shared" ca="1" si="217"/>
      </c>
      <c r="R959" s="74">
        <f t="shared" si="218"/>
      </c>
      <c r="S959" s="74">
        <f t="shared" ca="1" si="219"/>
      </c>
      <c r="T959" s="74">
        <f t="shared" si="220"/>
      </c>
    </row>
    <row r="960" spans="2:20" x14ac:dyDescent="0.3">
      <c r="B960" s="74">
        <f t="shared" ca="1" si="210"/>
      </c>
      <c r="C960" s="78">
        <f>Кабельный_журнал!P926</f>
      </c>
      <c r="D960" s="74">
        <f t="shared" ca="1" si="211"/>
      </c>
      <c r="E960" s="80" t="s">
        <v>279</v>
      </c>
      <c r="F960" s="74">
        <f t="shared" ca="1" si="207"/>
      </c>
      <c r="G960" s="74">
        <f t="shared" si="208"/>
      </c>
      <c r="H960" s="80" t="s">
        <v>272</v>
      </c>
      <c r="I960" s="74">
        <f t="shared" si="209"/>
      </c>
      <c r="J960" s="74">
        <f t="shared" si="212"/>
      </c>
      <c r="K960" s="80" t="s">
        <v>280</v>
      </c>
      <c r="L960" s="74">
        <f t="shared" si="213"/>
      </c>
      <c r="M960" s="74">
        <f t="shared" ca="1" si="214"/>
      </c>
      <c r="N960" s="74">
        <f ca="1">VLOOKUP(B960,$C$7:$T958,13,FALSE)</f>
      </c>
      <c r="O960" s="74">
        <f t="shared" ca="1" si="215"/>
      </c>
      <c r="P960" s="74">
        <f t="shared" ca="1" si="216"/>
      </c>
      <c r="Q960" s="74">
        <f t="shared" ca="1" si="217"/>
      </c>
      <c r="R960" s="74">
        <f t="shared" si="218"/>
      </c>
      <c r="S960" s="74">
        <f t="shared" ca="1" si="219"/>
      </c>
      <c r="T960" s="74">
        <f t="shared" si="220"/>
      </c>
    </row>
    <row r="961" spans="2:20" x14ac:dyDescent="0.3">
      <c r="B961" s="74">
        <f t="shared" ca="1" si="210"/>
      </c>
      <c r="C961" s="78">
        <f>Кабельный_журнал!P927</f>
      </c>
      <c r="D961" s="74">
        <f t="shared" ca="1" si="211"/>
      </c>
      <c r="E961" s="80" t="s">
        <v>279</v>
      </c>
      <c r="F961" s="74">
        <f t="shared" ca="1" si="207"/>
      </c>
      <c r="G961" s="74">
        <f t="shared" si="208"/>
      </c>
      <c r="H961" s="80" t="s">
        <v>272</v>
      </c>
      <c r="I961" s="74">
        <f t="shared" si="209"/>
      </c>
      <c r="J961" s="74">
        <f t="shared" si="212"/>
      </c>
      <c r="K961" s="80" t="s">
        <v>280</v>
      </c>
      <c r="L961" s="74">
        <f t="shared" si="213"/>
      </c>
      <c r="M961" s="74">
        <f t="shared" ca="1" si="214"/>
      </c>
      <c r="N961" s="74">
        <f ca="1">VLOOKUP(B961,$C$7:$T959,13,FALSE)</f>
      </c>
      <c r="O961" s="74">
        <f t="shared" ca="1" si="215"/>
      </c>
      <c r="P961" s="74">
        <f t="shared" ca="1" si="216"/>
      </c>
      <c r="Q961" s="74">
        <f t="shared" ca="1" si="217"/>
      </c>
      <c r="R961" s="74">
        <f t="shared" si="218"/>
      </c>
      <c r="S961" s="74">
        <f t="shared" ca="1" si="219"/>
      </c>
      <c r="T961" s="74">
        <f t="shared" si="220"/>
      </c>
    </row>
    <row r="962" spans="2:20" x14ac:dyDescent="0.3">
      <c r="B962" s="74">
        <f t="shared" ca="1" si="210"/>
      </c>
      <c r="C962" s="78">
        <f>Кабельный_журнал!P928</f>
      </c>
      <c r="D962" s="74">
        <f t="shared" ca="1" si="211"/>
      </c>
      <c r="E962" s="80" t="s">
        <v>279</v>
      </c>
      <c r="F962" s="74">
        <f t="shared" ca="1" si="207"/>
      </c>
      <c r="G962" s="74">
        <f t="shared" si="208"/>
      </c>
      <c r="H962" s="80" t="s">
        <v>272</v>
      </c>
      <c r="I962" s="74">
        <f t="shared" si="209"/>
      </c>
      <c r="J962" s="74">
        <f t="shared" si="212"/>
      </c>
      <c r="K962" s="80" t="s">
        <v>280</v>
      </c>
      <c r="L962" s="74">
        <f t="shared" si="213"/>
      </c>
      <c r="M962" s="74">
        <f t="shared" ca="1" si="214"/>
      </c>
      <c r="N962" s="74">
        <f ca="1">VLOOKUP(B962,$C$7:$T960,13,FALSE)</f>
      </c>
      <c r="O962" s="74">
        <f t="shared" ca="1" si="215"/>
      </c>
      <c r="P962" s="74">
        <f t="shared" ca="1" si="216"/>
      </c>
      <c r="Q962" s="74">
        <f t="shared" ca="1" si="217"/>
      </c>
      <c r="R962" s="74">
        <f t="shared" si="218"/>
      </c>
      <c r="S962" s="74">
        <f t="shared" ca="1" si="219"/>
      </c>
      <c r="T962" s="74">
        <f t="shared" si="220"/>
      </c>
    </row>
    <row r="963" spans="2:20" x14ac:dyDescent="0.3">
      <c r="B963" s="74">
        <f t="shared" ca="1" si="210"/>
      </c>
      <c r="C963" s="78">
        <f>Кабельный_журнал!P929</f>
      </c>
      <c r="D963" s="74">
        <f t="shared" ca="1" si="211"/>
      </c>
      <c r="E963" s="80" t="s">
        <v>279</v>
      </c>
      <c r="F963" s="74">
        <f t="shared" ca="1" si="207"/>
      </c>
      <c r="G963" s="74">
        <f t="shared" si="208"/>
      </c>
      <c r="H963" s="80" t="s">
        <v>272</v>
      </c>
      <c r="I963" s="74">
        <f t="shared" si="209"/>
      </c>
      <c r="J963" s="74">
        <f t="shared" si="212"/>
      </c>
      <c r="K963" s="80" t="s">
        <v>280</v>
      </c>
      <c r="L963" s="74">
        <f t="shared" si="213"/>
      </c>
      <c r="M963" s="74">
        <f t="shared" ca="1" si="214"/>
      </c>
      <c r="N963" s="74">
        <f ca="1">VLOOKUP(B963,$C$7:$T961,13,FALSE)</f>
      </c>
      <c r="O963" s="74">
        <f t="shared" ca="1" si="215"/>
      </c>
      <c r="P963" s="74">
        <f t="shared" ca="1" si="216"/>
      </c>
      <c r="Q963" s="74">
        <f t="shared" ca="1" si="217"/>
      </c>
      <c r="R963" s="74">
        <f t="shared" si="218"/>
      </c>
      <c r="S963" s="74">
        <f t="shared" ca="1" si="219"/>
      </c>
      <c r="T963" s="74">
        <f t="shared" si="220"/>
      </c>
    </row>
    <row r="964" spans="2:20" x14ac:dyDescent="0.3">
      <c r="B964" s="74">
        <f t="shared" ca="1" si="210"/>
      </c>
      <c r="C964" s="78">
        <f>Кабельный_журнал!P930</f>
      </c>
      <c r="D964" s="74">
        <f t="shared" ca="1" si="211"/>
      </c>
      <c r="E964" s="80" t="s">
        <v>279</v>
      </c>
      <c r="F964" s="74">
        <f t="shared" ca="1" si="207"/>
      </c>
      <c r="G964" s="74">
        <f t="shared" si="208"/>
      </c>
      <c r="H964" s="80" t="s">
        <v>272</v>
      </c>
      <c r="I964" s="74">
        <f t="shared" si="209"/>
      </c>
      <c r="J964" s="74">
        <f t="shared" si="212"/>
      </c>
      <c r="K964" s="80" t="s">
        <v>280</v>
      </c>
      <c r="L964" s="74">
        <f t="shared" si="213"/>
      </c>
      <c r="M964" s="74">
        <f t="shared" ca="1" si="214"/>
      </c>
      <c r="N964" s="74">
        <f ca="1">VLOOKUP(B964,$C$7:$T962,13,FALSE)</f>
      </c>
      <c r="O964" s="74">
        <f t="shared" ca="1" si="215"/>
      </c>
      <c r="P964" s="74">
        <f t="shared" ca="1" si="216"/>
      </c>
      <c r="Q964" s="74">
        <f t="shared" ca="1" si="217"/>
      </c>
      <c r="R964" s="74">
        <f t="shared" si="218"/>
      </c>
      <c r="S964" s="74">
        <f t="shared" ca="1" si="219"/>
      </c>
      <c r="T964" s="74">
        <f t="shared" si="220"/>
      </c>
    </row>
    <row r="965" spans="2:20" x14ac:dyDescent="0.3">
      <c r="B965" s="74">
        <f t="shared" ca="1" si="210"/>
      </c>
      <c r="C965" s="78">
        <f>Кабельный_журнал!P931</f>
      </c>
      <c r="D965" s="74">
        <f t="shared" ca="1" si="211"/>
      </c>
      <c r="E965" s="80" t="s">
        <v>279</v>
      </c>
      <c r="F965" s="74">
        <f t="shared" ca="1" si="207"/>
      </c>
      <c r="G965" s="74">
        <f t="shared" si="208"/>
      </c>
      <c r="H965" s="80" t="s">
        <v>272</v>
      </c>
      <c r="I965" s="74">
        <f t="shared" si="209"/>
      </c>
      <c r="J965" s="74">
        <f t="shared" si="212"/>
      </c>
      <c r="K965" s="80" t="s">
        <v>280</v>
      </c>
      <c r="L965" s="74">
        <f t="shared" si="213"/>
      </c>
      <c r="M965" s="74">
        <f t="shared" ca="1" si="214"/>
      </c>
      <c r="N965" s="74">
        <f ca="1">VLOOKUP(B965,$C$7:$T963,13,FALSE)</f>
      </c>
      <c r="O965" s="74">
        <f t="shared" ca="1" si="215"/>
      </c>
      <c r="P965" s="74">
        <f t="shared" ca="1" si="216"/>
      </c>
      <c r="Q965" s="74">
        <f t="shared" ca="1" si="217"/>
      </c>
      <c r="R965" s="74">
        <f t="shared" si="218"/>
      </c>
      <c r="S965" s="74">
        <f t="shared" ca="1" si="219"/>
      </c>
      <c r="T965" s="74">
        <f t="shared" si="220"/>
      </c>
    </row>
    <row r="966" spans="2:20" x14ac:dyDescent="0.3">
      <c r="B966" s="74">
        <f t="shared" ca="1" si="210"/>
      </c>
      <c r="C966" s="78">
        <f>Кабельный_журнал!P932</f>
      </c>
      <c r="D966" s="74">
        <f t="shared" ca="1" si="211"/>
      </c>
      <c r="E966" s="80" t="s">
        <v>279</v>
      </c>
      <c r="F966" s="74">
        <f t="shared" ca="1" si="207"/>
      </c>
      <c r="G966" s="74">
        <f t="shared" si="208"/>
      </c>
      <c r="H966" s="80" t="s">
        <v>272</v>
      </c>
      <c r="I966" s="74">
        <f t="shared" si="209"/>
      </c>
      <c r="J966" s="74">
        <f t="shared" si="212"/>
      </c>
      <c r="K966" s="80" t="s">
        <v>280</v>
      </c>
      <c r="L966" s="74">
        <f t="shared" si="213"/>
      </c>
      <c r="M966" s="74">
        <f t="shared" ca="1" si="214"/>
      </c>
      <c r="N966" s="74">
        <f ca="1">VLOOKUP(B966,$C$7:$T964,13,FALSE)</f>
      </c>
      <c r="O966" s="74">
        <f t="shared" ca="1" si="215"/>
      </c>
      <c r="P966" s="74">
        <f t="shared" ca="1" si="216"/>
      </c>
      <c r="Q966" s="74">
        <f t="shared" ca="1" si="217"/>
      </c>
      <c r="R966" s="74">
        <f t="shared" si="218"/>
      </c>
      <c r="S966" s="74">
        <f t="shared" ca="1" si="219"/>
      </c>
      <c r="T966" s="74">
        <f t="shared" si="220"/>
      </c>
    </row>
    <row r="967" spans="2:20" x14ac:dyDescent="0.3">
      <c r="B967" s="74">
        <f t="shared" ca="1" si="210"/>
      </c>
      <c r="C967" s="78">
        <f>Кабельный_журнал!P933</f>
      </c>
      <c r="D967" s="74">
        <f t="shared" ca="1" si="211"/>
      </c>
      <c r="E967" s="80" t="s">
        <v>279</v>
      </c>
      <c r="F967" s="74">
        <f t="shared" ca="1" si="207"/>
      </c>
      <c r="G967" s="74">
        <f t="shared" si="208"/>
      </c>
      <c r="H967" s="80" t="s">
        <v>272</v>
      </c>
      <c r="I967" s="74">
        <f t="shared" si="209"/>
      </c>
      <c r="J967" s="74">
        <f t="shared" si="212"/>
      </c>
      <c r="K967" s="80" t="s">
        <v>280</v>
      </c>
      <c r="L967" s="74">
        <f t="shared" si="213"/>
      </c>
      <c r="M967" s="74">
        <f t="shared" ca="1" si="214"/>
      </c>
      <c r="N967" s="74">
        <f ca="1">VLOOKUP(B967,$C$7:$T965,13,FALSE)</f>
      </c>
      <c r="O967" s="74">
        <f t="shared" ca="1" si="215"/>
      </c>
      <c r="P967" s="74">
        <f t="shared" ca="1" si="216"/>
      </c>
      <c r="Q967" s="74">
        <f t="shared" ca="1" si="217"/>
      </c>
      <c r="R967" s="74">
        <f t="shared" si="218"/>
      </c>
      <c r="S967" s="74">
        <f t="shared" ca="1" si="219"/>
      </c>
      <c r="T967" s="74">
        <f t="shared" si="220"/>
      </c>
    </row>
    <row r="968" spans="2:20" x14ac:dyDescent="0.3">
      <c r="B968" s="74">
        <f t="shared" ca="1" si="210"/>
      </c>
      <c r="C968" s="78">
        <f>Кабельный_журнал!P934</f>
      </c>
      <c r="D968" s="74">
        <f t="shared" ca="1" si="211"/>
      </c>
      <c r="E968" s="80" t="s">
        <v>279</v>
      </c>
      <c r="F968" s="74">
        <f t="shared" ca="1" si="207"/>
      </c>
      <c r="G968" s="74">
        <f t="shared" si="208"/>
      </c>
      <c r="H968" s="80" t="s">
        <v>272</v>
      </c>
      <c r="I968" s="74">
        <f t="shared" si="209"/>
      </c>
      <c r="J968" s="74">
        <f t="shared" si="212"/>
      </c>
      <c r="K968" s="80" t="s">
        <v>280</v>
      </c>
      <c r="L968" s="74">
        <f t="shared" si="213"/>
      </c>
      <c r="M968" s="74">
        <f t="shared" ca="1" si="214"/>
      </c>
      <c r="N968" s="74">
        <f ca="1">VLOOKUP(B968,$C$7:$T966,13,FALSE)</f>
      </c>
      <c r="O968" s="74">
        <f t="shared" ca="1" si="215"/>
      </c>
      <c r="P968" s="74">
        <f t="shared" ca="1" si="216"/>
      </c>
      <c r="Q968" s="74">
        <f t="shared" ca="1" si="217"/>
      </c>
      <c r="R968" s="74">
        <f t="shared" si="218"/>
      </c>
      <c r="S968" s="74">
        <f t="shared" ca="1" si="219"/>
      </c>
      <c r="T968" s="74">
        <f t="shared" si="220"/>
      </c>
    </row>
    <row r="969" spans="2:20" x14ac:dyDescent="0.3">
      <c r="B969" s="74">
        <f t="shared" ca="1" si="210"/>
      </c>
      <c r="C969" s="78">
        <f>Кабельный_журнал!P935</f>
      </c>
      <c r="D969" s="74">
        <f t="shared" ca="1" si="211"/>
      </c>
      <c r="E969" s="80" t="s">
        <v>279</v>
      </c>
      <c r="F969" s="74">
        <f t="shared" ca="1" si="207"/>
      </c>
      <c r="G969" s="74">
        <f t="shared" si="208"/>
      </c>
      <c r="H969" s="80" t="s">
        <v>272</v>
      </c>
      <c r="I969" s="74">
        <f t="shared" si="209"/>
      </c>
      <c r="J969" s="74">
        <f t="shared" si="212"/>
      </c>
      <c r="K969" s="80" t="s">
        <v>280</v>
      </c>
      <c r="L969" s="74">
        <f t="shared" si="213"/>
      </c>
      <c r="M969" s="74">
        <f t="shared" ca="1" si="214"/>
      </c>
      <c r="N969" s="74">
        <f ca="1">VLOOKUP(B969,$C$7:$T967,13,FALSE)</f>
      </c>
      <c r="O969" s="74">
        <f t="shared" ca="1" si="215"/>
      </c>
      <c r="P969" s="74">
        <f t="shared" ca="1" si="216"/>
      </c>
      <c r="Q969" s="74">
        <f t="shared" ca="1" si="217"/>
      </c>
      <c r="R969" s="74">
        <f t="shared" si="218"/>
      </c>
      <c r="S969" s="74">
        <f t="shared" ca="1" si="219"/>
      </c>
      <c r="T969" s="74">
        <f t="shared" si="220"/>
      </c>
    </row>
    <row r="970" spans="2:20" x14ac:dyDescent="0.3">
      <c r="B970" s="74">
        <f t="shared" ca="1" si="210"/>
      </c>
      <c r="C970" s="78">
        <f>Кабельный_журнал!P936</f>
      </c>
      <c r="D970" s="74">
        <f t="shared" ca="1" si="211"/>
      </c>
      <c r="E970" s="80" t="s">
        <v>279</v>
      </c>
      <c r="F970" s="74">
        <f t="shared" ca="1" si="207"/>
      </c>
      <c r="G970" s="74">
        <f t="shared" si="208"/>
      </c>
      <c r="H970" s="80" t="s">
        <v>272</v>
      </c>
      <c r="I970" s="74">
        <f t="shared" si="209"/>
      </c>
      <c r="J970" s="74">
        <f t="shared" si="212"/>
      </c>
      <c r="K970" s="80" t="s">
        <v>280</v>
      </c>
      <c r="L970" s="74">
        <f t="shared" si="213"/>
      </c>
      <c r="M970" s="74">
        <f t="shared" ca="1" si="214"/>
      </c>
      <c r="N970" s="74">
        <f ca="1">VLOOKUP(B970,$C$7:$T968,13,FALSE)</f>
      </c>
      <c r="O970" s="74">
        <f t="shared" ca="1" si="215"/>
      </c>
      <c r="P970" s="74">
        <f t="shared" ca="1" si="216"/>
      </c>
      <c r="Q970" s="74">
        <f t="shared" ca="1" si="217"/>
      </c>
      <c r="R970" s="74">
        <f t="shared" si="218"/>
      </c>
      <c r="S970" s="74">
        <f t="shared" ca="1" si="219"/>
      </c>
      <c r="T970" s="74">
        <f t="shared" si="220"/>
      </c>
    </row>
    <row r="971" spans="2:20" x14ac:dyDescent="0.3">
      <c r="B971" s="74">
        <f t="shared" ca="1" si="210"/>
      </c>
      <c r="C971" s="78">
        <f>Кабельный_журнал!P937</f>
      </c>
      <c r="D971" s="74">
        <f t="shared" ca="1" si="211"/>
      </c>
      <c r="E971" s="80" t="s">
        <v>279</v>
      </c>
      <c r="F971" s="74">
        <f t="shared" ca="1" si="207"/>
      </c>
      <c r="G971" s="74">
        <f t="shared" si="208"/>
      </c>
      <c r="H971" s="80" t="s">
        <v>272</v>
      </c>
      <c r="I971" s="74">
        <f t="shared" si="209"/>
      </c>
      <c r="J971" s="74">
        <f t="shared" si="212"/>
      </c>
      <c r="K971" s="80" t="s">
        <v>280</v>
      </c>
      <c r="L971" s="74">
        <f t="shared" si="213"/>
      </c>
      <c r="M971" s="74">
        <f t="shared" ca="1" si="214"/>
      </c>
      <c r="N971" s="74">
        <f ca="1">VLOOKUP(B971,$C$7:$T969,13,FALSE)</f>
      </c>
      <c r="O971" s="74">
        <f t="shared" ca="1" si="215"/>
      </c>
      <c r="P971" s="74">
        <f t="shared" ca="1" si="216"/>
      </c>
      <c r="Q971" s="74">
        <f t="shared" ca="1" si="217"/>
      </c>
      <c r="R971" s="74">
        <f t="shared" si="218"/>
      </c>
      <c r="S971" s="74">
        <f t="shared" ca="1" si="219"/>
      </c>
      <c r="T971" s="74">
        <f t="shared" si="220"/>
      </c>
    </row>
    <row r="972" spans="2:20" x14ac:dyDescent="0.3">
      <c r="B972" s="74">
        <f t="shared" ca="1" si="210"/>
      </c>
      <c r="C972" s="78">
        <f>Кабельный_журнал!P938</f>
      </c>
      <c r="D972" s="74">
        <f t="shared" ca="1" si="211"/>
      </c>
      <c r="E972" s="80" t="s">
        <v>279</v>
      </c>
      <c r="F972" s="74">
        <f t="shared" ca="1" si="207"/>
      </c>
      <c r="G972" s="74">
        <f t="shared" si="208"/>
      </c>
      <c r="H972" s="80" t="s">
        <v>272</v>
      </c>
      <c r="I972" s="74">
        <f t="shared" si="209"/>
      </c>
      <c r="J972" s="74">
        <f t="shared" si="212"/>
      </c>
      <c r="K972" s="80" t="s">
        <v>280</v>
      </c>
      <c r="L972" s="74">
        <f t="shared" si="213"/>
      </c>
      <c r="M972" s="74">
        <f t="shared" ca="1" si="214"/>
      </c>
      <c r="N972" s="74">
        <f ca="1">VLOOKUP(B972,$C$7:$T970,13,FALSE)</f>
      </c>
      <c r="O972" s="74">
        <f t="shared" ca="1" si="215"/>
      </c>
      <c r="P972" s="74">
        <f t="shared" ca="1" si="216"/>
      </c>
      <c r="Q972" s="74">
        <f t="shared" ca="1" si="217"/>
      </c>
      <c r="R972" s="74">
        <f t="shared" si="218"/>
      </c>
      <c r="S972" s="74">
        <f t="shared" ca="1" si="219"/>
      </c>
      <c r="T972" s="74">
        <f t="shared" si="220"/>
      </c>
    </row>
    <row r="973" spans="2:20" x14ac:dyDescent="0.3">
      <c r="B973" s="74">
        <f t="shared" ca="1" si="210"/>
      </c>
      <c r="C973" s="78">
        <f>Кабельный_журнал!P939</f>
      </c>
      <c r="D973" s="74">
        <f t="shared" ca="1" si="211"/>
      </c>
      <c r="E973" s="80" t="s">
        <v>279</v>
      </c>
      <c r="F973" s="74">
        <f t="shared" ca="1" si="207"/>
      </c>
      <c r="G973" s="74">
        <f t="shared" si="208"/>
      </c>
      <c r="H973" s="80" t="s">
        <v>272</v>
      </c>
      <c r="I973" s="74">
        <f t="shared" si="209"/>
      </c>
      <c r="J973" s="74">
        <f t="shared" si="212"/>
      </c>
      <c r="K973" s="80" t="s">
        <v>280</v>
      </c>
      <c r="L973" s="74">
        <f t="shared" si="213"/>
      </c>
      <c r="M973" s="74">
        <f t="shared" ca="1" si="214"/>
      </c>
      <c r="N973" s="74">
        <f ca="1">VLOOKUP(B973,$C$7:$T971,13,FALSE)</f>
      </c>
      <c r="O973" s="74">
        <f t="shared" ca="1" si="215"/>
      </c>
      <c r="P973" s="74">
        <f t="shared" ca="1" si="216"/>
      </c>
      <c r="Q973" s="74">
        <f t="shared" ca="1" si="217"/>
      </c>
      <c r="R973" s="74">
        <f t="shared" si="218"/>
      </c>
      <c r="S973" s="74">
        <f t="shared" ca="1" si="219"/>
      </c>
      <c r="T973" s="74">
        <f t="shared" si="220"/>
      </c>
    </row>
    <row r="974" spans="2:20" x14ac:dyDescent="0.3">
      <c r="B974" s="74">
        <f t="shared" ca="1" si="210"/>
      </c>
      <c r="C974" s="78">
        <f>Кабельный_журнал!P940</f>
      </c>
      <c r="D974" s="74">
        <f t="shared" ca="1" si="211"/>
      </c>
      <c r="E974" s="80" t="s">
        <v>279</v>
      </c>
      <c r="F974" s="74">
        <f t="shared" ca="1" si="207"/>
      </c>
      <c r="G974" s="74">
        <f t="shared" si="208"/>
      </c>
      <c r="H974" s="80" t="s">
        <v>272</v>
      </c>
      <c r="I974" s="74">
        <f t="shared" si="209"/>
      </c>
      <c r="J974" s="74">
        <f t="shared" si="212"/>
      </c>
      <c r="K974" s="80" t="s">
        <v>280</v>
      </c>
      <c r="L974" s="74">
        <f t="shared" si="213"/>
      </c>
      <c r="M974" s="74">
        <f t="shared" ca="1" si="214"/>
      </c>
      <c r="N974" s="74">
        <f ca="1">VLOOKUP(B974,$C$7:$T972,13,FALSE)</f>
      </c>
      <c r="O974" s="74">
        <f t="shared" ca="1" si="215"/>
      </c>
      <c r="P974" s="74">
        <f t="shared" ca="1" si="216"/>
      </c>
      <c r="Q974" s="74">
        <f t="shared" ca="1" si="217"/>
      </c>
      <c r="R974" s="74">
        <f t="shared" si="218"/>
      </c>
      <c r="S974" s="74">
        <f t="shared" ca="1" si="219"/>
      </c>
      <c r="T974" s="74">
        <f t="shared" si="220"/>
      </c>
    </row>
    <row r="975" spans="2:20" x14ac:dyDescent="0.3">
      <c r="B975" s="74">
        <f t="shared" ca="1" si="210"/>
      </c>
      <c r="C975" s="78">
        <f>Кабельный_журнал!P941</f>
      </c>
      <c r="D975" s="74">
        <f t="shared" ca="1" si="211"/>
      </c>
      <c r="E975" s="80" t="s">
        <v>279</v>
      </c>
      <c r="F975" s="74">
        <f t="shared" ca="1" si="207"/>
      </c>
      <c r="G975" s="74">
        <f t="shared" si="208"/>
      </c>
      <c r="H975" s="80" t="s">
        <v>272</v>
      </c>
      <c r="I975" s="74">
        <f t="shared" si="209"/>
      </c>
      <c r="J975" s="74">
        <f t="shared" si="212"/>
      </c>
      <c r="K975" s="80" t="s">
        <v>280</v>
      </c>
      <c r="L975" s="74">
        <f t="shared" si="213"/>
      </c>
      <c r="M975" s="74">
        <f t="shared" ca="1" si="214"/>
      </c>
      <c r="N975" s="74">
        <f ca="1">VLOOKUP(B975,$C$7:$T973,13,FALSE)</f>
      </c>
      <c r="O975" s="74">
        <f t="shared" ca="1" si="215"/>
      </c>
      <c r="P975" s="74">
        <f t="shared" ca="1" si="216"/>
      </c>
      <c r="Q975" s="74">
        <f t="shared" ca="1" si="217"/>
      </c>
      <c r="R975" s="74">
        <f t="shared" si="218"/>
      </c>
      <c r="S975" s="74">
        <f t="shared" ca="1" si="219"/>
      </c>
      <c r="T975" s="74">
        <f t="shared" si="220"/>
      </c>
    </row>
    <row r="976" spans="2:20" x14ac:dyDescent="0.3">
      <c r="B976" s="74">
        <f t="shared" ca="1" si="210"/>
      </c>
      <c r="C976" s="78">
        <f>Кабельный_журнал!P942</f>
      </c>
      <c r="D976" s="74">
        <f t="shared" ca="1" si="211"/>
      </c>
      <c r="E976" s="80" t="s">
        <v>279</v>
      </c>
      <c r="F976" s="74">
        <f t="shared" ca="1" si="207"/>
      </c>
      <c r="G976" s="74">
        <f t="shared" si="208"/>
      </c>
      <c r="H976" s="80" t="s">
        <v>272</v>
      </c>
      <c r="I976" s="74">
        <f t="shared" si="209"/>
      </c>
      <c r="J976" s="74">
        <f t="shared" si="212"/>
      </c>
      <c r="K976" s="80" t="s">
        <v>280</v>
      </c>
      <c r="L976" s="74">
        <f t="shared" si="213"/>
      </c>
      <c r="M976" s="74">
        <f t="shared" ca="1" si="214"/>
      </c>
      <c r="N976" s="74">
        <f ca="1">VLOOKUP(B976,$C$7:$T974,13,FALSE)</f>
      </c>
      <c r="O976" s="74">
        <f t="shared" ca="1" si="215"/>
      </c>
      <c r="P976" s="74">
        <f t="shared" ca="1" si="216"/>
      </c>
      <c r="Q976" s="74">
        <f t="shared" ca="1" si="217"/>
      </c>
      <c r="R976" s="74">
        <f t="shared" si="218"/>
      </c>
      <c r="S976" s="74">
        <f t="shared" ca="1" si="219"/>
      </c>
      <c r="T976" s="74">
        <f t="shared" si="220"/>
      </c>
    </row>
    <row r="977" spans="2:20" x14ac:dyDescent="0.3">
      <c r="B977" s="74">
        <f t="shared" ca="1" si="210"/>
      </c>
      <c r="C977" s="78">
        <f>Кабельный_журнал!P943</f>
      </c>
      <c r="D977" s="74">
        <f t="shared" ca="1" si="211"/>
      </c>
      <c r="E977" s="80" t="s">
        <v>279</v>
      </c>
      <c r="F977" s="74">
        <f t="shared" ca="1" si="207"/>
      </c>
      <c r="G977" s="74">
        <f t="shared" si="208"/>
      </c>
      <c r="H977" s="80" t="s">
        <v>272</v>
      </c>
      <c r="I977" s="74">
        <f t="shared" si="209"/>
      </c>
      <c r="J977" s="74">
        <f t="shared" si="212"/>
      </c>
      <c r="K977" s="80" t="s">
        <v>280</v>
      </c>
      <c r="L977" s="74">
        <f t="shared" si="213"/>
      </c>
      <c r="M977" s="74">
        <f t="shared" ca="1" si="214"/>
      </c>
      <c r="N977" s="74">
        <f ca="1">VLOOKUP(B977,$C$7:$T975,13,FALSE)</f>
      </c>
      <c r="O977" s="74">
        <f t="shared" ca="1" si="215"/>
      </c>
      <c r="P977" s="74">
        <f t="shared" ca="1" si="216"/>
      </c>
      <c r="Q977" s="74">
        <f t="shared" ca="1" si="217"/>
      </c>
      <c r="R977" s="74">
        <f t="shared" si="218"/>
      </c>
      <c r="S977" s="74">
        <f t="shared" ca="1" si="219"/>
      </c>
      <c r="T977" s="74">
        <f t="shared" si="220"/>
      </c>
    </row>
    <row r="978" spans="2:20" x14ac:dyDescent="0.3">
      <c r="B978" s="74">
        <f t="shared" ca="1" si="210"/>
      </c>
      <c r="C978" s="78">
        <f>Кабельный_журнал!P944</f>
      </c>
      <c r="D978" s="74">
        <f t="shared" ca="1" si="211"/>
      </c>
      <c r="E978" s="80" t="s">
        <v>279</v>
      </c>
      <c r="F978" s="74">
        <f t="shared" ca="1" si="207"/>
      </c>
      <c r="G978" s="74">
        <f t="shared" si="208"/>
      </c>
      <c r="H978" s="80" t="s">
        <v>272</v>
      </c>
      <c r="I978" s="74">
        <f t="shared" si="209"/>
      </c>
      <c r="J978" s="74">
        <f t="shared" si="212"/>
      </c>
      <c r="K978" s="80" t="s">
        <v>280</v>
      </c>
      <c r="L978" s="74">
        <f t="shared" si="213"/>
      </c>
      <c r="M978" s="74">
        <f t="shared" ca="1" si="214"/>
      </c>
      <c r="N978" s="74">
        <f ca="1">VLOOKUP(B978,$C$7:$T976,13,FALSE)</f>
      </c>
      <c r="O978" s="74">
        <f t="shared" ca="1" si="215"/>
      </c>
      <c r="P978" s="74">
        <f t="shared" ca="1" si="216"/>
      </c>
      <c r="Q978" s="74">
        <f t="shared" ca="1" si="217"/>
      </c>
      <c r="R978" s="74">
        <f t="shared" si="218"/>
      </c>
      <c r="S978" s="74">
        <f t="shared" ca="1" si="219"/>
      </c>
      <c r="T978" s="74">
        <f t="shared" si="220"/>
      </c>
    </row>
    <row r="979" spans="2:20" x14ac:dyDescent="0.3">
      <c r="B979" s="74">
        <f t="shared" ca="1" si="210"/>
      </c>
      <c r="C979" s="78">
        <f>Кабельный_журнал!P945</f>
      </c>
      <c r="D979" s="74">
        <f t="shared" ca="1" si="211"/>
      </c>
      <c r="E979" s="80" t="s">
        <v>279</v>
      </c>
      <c r="F979" s="74">
        <f t="shared" ca="1" si="207"/>
      </c>
      <c r="G979" s="74">
        <f t="shared" si="208"/>
      </c>
      <c r="H979" s="80" t="s">
        <v>272</v>
      </c>
      <c r="I979" s="74">
        <f t="shared" si="209"/>
      </c>
      <c r="J979" s="74">
        <f t="shared" si="212"/>
      </c>
      <c r="K979" s="80" t="s">
        <v>280</v>
      </c>
      <c r="L979" s="74">
        <f t="shared" si="213"/>
      </c>
      <c r="M979" s="74">
        <f t="shared" ca="1" si="214"/>
      </c>
      <c r="N979" s="74">
        <f ca="1">VLOOKUP(B979,$C$7:$T977,13,FALSE)</f>
      </c>
      <c r="O979" s="74">
        <f t="shared" ca="1" si="215"/>
      </c>
      <c r="P979" s="74">
        <f t="shared" ca="1" si="216"/>
      </c>
      <c r="Q979" s="74">
        <f t="shared" ca="1" si="217"/>
      </c>
      <c r="R979" s="74">
        <f t="shared" si="218"/>
      </c>
      <c r="S979" s="74">
        <f t="shared" ca="1" si="219"/>
      </c>
      <c r="T979" s="74">
        <f t="shared" si="220"/>
      </c>
    </row>
    <row r="980" spans="2:20" x14ac:dyDescent="0.3">
      <c r="B980" s="74">
        <f t="shared" ca="1" si="210"/>
      </c>
      <c r="C980" s="78">
        <f>Кабельный_журнал!P946</f>
      </c>
      <c r="D980" s="74">
        <f t="shared" ca="1" si="211"/>
      </c>
      <c r="E980" s="80" t="s">
        <v>279</v>
      </c>
      <c r="F980" s="74">
        <f t="shared" ca="1" si="207"/>
      </c>
      <c r="G980" s="74">
        <f t="shared" si="208"/>
      </c>
      <c r="H980" s="80" t="s">
        <v>272</v>
      </c>
      <c r="I980" s="74">
        <f t="shared" si="209"/>
      </c>
      <c r="J980" s="74">
        <f t="shared" si="212"/>
      </c>
      <c r="K980" s="80" t="s">
        <v>280</v>
      </c>
      <c r="L980" s="74">
        <f t="shared" si="213"/>
      </c>
      <c r="M980" s="74">
        <f t="shared" ca="1" si="214"/>
      </c>
      <c r="N980" s="74">
        <f ca="1">VLOOKUP(B980,$C$7:$T978,13,FALSE)</f>
      </c>
      <c r="O980" s="74">
        <f t="shared" ca="1" si="215"/>
      </c>
      <c r="P980" s="74">
        <f t="shared" ca="1" si="216"/>
      </c>
      <c r="Q980" s="74">
        <f t="shared" ca="1" si="217"/>
      </c>
      <c r="R980" s="74">
        <f t="shared" si="218"/>
      </c>
      <c r="S980" s="74">
        <f t="shared" ca="1" si="219"/>
      </c>
      <c r="T980" s="74">
        <f t="shared" si="220"/>
      </c>
    </row>
    <row r="981" spans="2:20" x14ac:dyDescent="0.3">
      <c r="B981" s="74">
        <f t="shared" ca="1" si="210"/>
      </c>
      <c r="C981" s="78">
        <f>Кабельный_журнал!P947</f>
      </c>
      <c r="D981" s="74">
        <f t="shared" ca="1" si="211"/>
      </c>
      <c r="E981" s="80" t="s">
        <v>279</v>
      </c>
      <c r="F981" s="74">
        <f t="shared" ca="1" si="207"/>
      </c>
      <c r="G981" s="74">
        <f t="shared" si="208"/>
      </c>
      <c r="H981" s="80" t="s">
        <v>272</v>
      </c>
      <c r="I981" s="74">
        <f t="shared" si="209"/>
      </c>
      <c r="J981" s="74">
        <f t="shared" si="212"/>
      </c>
      <c r="K981" s="80" t="s">
        <v>280</v>
      </c>
      <c r="L981" s="74">
        <f t="shared" si="213"/>
      </c>
      <c r="M981" s="74">
        <f t="shared" ca="1" si="214"/>
      </c>
      <c r="N981" s="74">
        <f ca="1">VLOOKUP(B981,$C$7:$T979,13,FALSE)</f>
      </c>
      <c r="O981" s="74">
        <f t="shared" ca="1" si="215"/>
      </c>
      <c r="P981" s="74">
        <f t="shared" ca="1" si="216"/>
      </c>
      <c r="Q981" s="74">
        <f t="shared" ca="1" si="217"/>
      </c>
      <c r="R981" s="74">
        <f t="shared" si="218"/>
      </c>
      <c r="S981" s="74">
        <f t="shared" ca="1" si="219"/>
      </c>
      <c r="T981" s="74">
        <f t="shared" si="220"/>
      </c>
    </row>
    <row r="982" spans="2:20" x14ac:dyDescent="0.3">
      <c r="B982" s="74">
        <f t="shared" ca="1" si="210"/>
      </c>
      <c r="C982" s="78">
        <f>Кабельный_журнал!P948</f>
      </c>
      <c r="D982" s="74">
        <f t="shared" ca="1" si="211"/>
      </c>
      <c r="E982" s="80" t="s">
        <v>279</v>
      </c>
      <c r="F982" s="74">
        <f t="shared" ca="1" si="207"/>
      </c>
      <c r="G982" s="74">
        <f t="shared" si="208"/>
      </c>
      <c r="H982" s="80" t="s">
        <v>272</v>
      </c>
      <c r="I982" s="74">
        <f t="shared" si="209"/>
      </c>
      <c r="J982" s="74">
        <f t="shared" si="212"/>
      </c>
      <c r="K982" s="80" t="s">
        <v>280</v>
      </c>
      <c r="L982" s="74">
        <f t="shared" si="213"/>
      </c>
      <c r="M982" s="74">
        <f t="shared" ca="1" si="214"/>
      </c>
      <c r="N982" s="74">
        <f ca="1">VLOOKUP(B982,$C$7:$T980,13,FALSE)</f>
      </c>
      <c r="O982" s="74">
        <f t="shared" ca="1" si="215"/>
      </c>
      <c r="P982" s="74">
        <f t="shared" ca="1" si="216"/>
      </c>
      <c r="Q982" s="74">
        <f t="shared" ca="1" si="217"/>
      </c>
      <c r="R982" s="74">
        <f t="shared" si="218"/>
      </c>
      <c r="S982" s="74">
        <f t="shared" ca="1" si="219"/>
      </c>
      <c r="T982" s="74">
        <f t="shared" si="220"/>
      </c>
    </row>
    <row r="983" spans="2:20" x14ac:dyDescent="0.3">
      <c r="B983" s="74">
        <f t="shared" ca="1" si="210"/>
      </c>
      <c r="C983" s="78">
        <f>Кабельный_журнал!P949</f>
      </c>
      <c r="D983" s="74">
        <f t="shared" ca="1" si="211"/>
      </c>
      <c r="E983" s="80" t="s">
        <v>279</v>
      </c>
      <c r="F983" s="74">
        <f t="shared" ca="1" si="207"/>
      </c>
      <c r="G983" s="74">
        <f t="shared" si="208"/>
      </c>
      <c r="H983" s="80" t="s">
        <v>272</v>
      </c>
      <c r="I983" s="74">
        <f t="shared" si="209"/>
      </c>
      <c r="J983" s="74">
        <f t="shared" si="212"/>
      </c>
      <c r="K983" s="80" t="s">
        <v>280</v>
      </c>
      <c r="L983" s="74">
        <f t="shared" si="213"/>
      </c>
      <c r="M983" s="74">
        <f t="shared" ca="1" si="214"/>
      </c>
      <c r="N983" s="74">
        <f ca="1">VLOOKUP(B983,$C$7:$T981,13,FALSE)</f>
      </c>
      <c r="O983" s="74">
        <f t="shared" ca="1" si="215"/>
      </c>
      <c r="P983" s="74">
        <f t="shared" ca="1" si="216"/>
      </c>
      <c r="Q983" s="74">
        <f t="shared" ca="1" si="217"/>
      </c>
      <c r="R983" s="74">
        <f t="shared" si="218"/>
      </c>
      <c r="S983" s="74">
        <f t="shared" ca="1" si="219"/>
      </c>
      <c r="T983" s="74">
        <f t="shared" si="220"/>
      </c>
    </row>
    <row r="984" spans="2:20" x14ac:dyDescent="0.3">
      <c r="B984" s="74">
        <f t="shared" ca="1" si="210"/>
      </c>
      <c r="C984" s="78">
        <f>Кабельный_журнал!P950</f>
      </c>
      <c r="D984" s="74">
        <f t="shared" ca="1" si="211"/>
      </c>
      <c r="E984" s="80" t="s">
        <v>279</v>
      </c>
      <c r="F984" s="74">
        <f t="shared" ca="1" si="207"/>
      </c>
      <c r="G984" s="74">
        <f t="shared" si="208"/>
      </c>
      <c r="H984" s="80" t="s">
        <v>272</v>
      </c>
      <c r="I984" s="74">
        <f t="shared" si="209"/>
      </c>
      <c r="J984" s="74">
        <f t="shared" si="212"/>
      </c>
      <c r="K984" s="80" t="s">
        <v>280</v>
      </c>
      <c r="L984" s="74">
        <f t="shared" si="213"/>
      </c>
      <c r="M984" s="74">
        <f t="shared" ca="1" si="214"/>
      </c>
      <c r="N984" s="74">
        <f ca="1">VLOOKUP(B984,$C$7:$T982,13,FALSE)</f>
      </c>
      <c r="O984" s="74">
        <f t="shared" ca="1" si="215"/>
      </c>
      <c r="P984" s="74">
        <f t="shared" ca="1" si="216"/>
      </c>
      <c r="Q984" s="74">
        <f t="shared" ca="1" si="217"/>
      </c>
      <c r="R984" s="74">
        <f t="shared" si="218"/>
      </c>
      <c r="S984" s="74">
        <f t="shared" ca="1" si="219"/>
      </c>
      <c r="T984" s="74">
        <f t="shared" si="220"/>
      </c>
    </row>
    <row r="985" spans="2:20" x14ac:dyDescent="0.3">
      <c r="B985" s="74">
        <f t="shared" ca="1" si="210"/>
      </c>
      <c r="C985" s="78">
        <f>Кабельный_журнал!P951</f>
      </c>
      <c r="D985" s="74">
        <f t="shared" ca="1" si="211"/>
      </c>
      <c r="E985" s="80" t="s">
        <v>279</v>
      </c>
      <c r="F985" s="74">
        <f t="shared" ca="1" si="207"/>
      </c>
      <c r="G985" s="74">
        <f t="shared" si="208"/>
      </c>
      <c r="H985" s="80" t="s">
        <v>272</v>
      </c>
      <c r="I985" s="74">
        <f t="shared" si="209"/>
      </c>
      <c r="J985" s="74">
        <f t="shared" si="212"/>
      </c>
      <c r="K985" s="80" t="s">
        <v>280</v>
      </c>
      <c r="L985" s="74">
        <f t="shared" si="213"/>
      </c>
      <c r="M985" s="74">
        <f t="shared" ca="1" si="214"/>
      </c>
      <c r="N985" s="74">
        <f ca="1">VLOOKUP(B985,$C$7:$T983,13,FALSE)</f>
      </c>
      <c r="O985" s="74">
        <f t="shared" ca="1" si="215"/>
      </c>
      <c r="P985" s="74">
        <f t="shared" ca="1" si="216"/>
      </c>
      <c r="Q985" s="74">
        <f t="shared" ca="1" si="217"/>
      </c>
      <c r="R985" s="74">
        <f t="shared" si="218"/>
      </c>
      <c r="S985" s="74">
        <f t="shared" ca="1" si="219"/>
      </c>
      <c r="T985" s="74">
        <f t="shared" si="220"/>
      </c>
    </row>
    <row r="986" spans="2:20" x14ac:dyDescent="0.3">
      <c r="B986" s="74">
        <f t="shared" ca="1" si="210"/>
      </c>
      <c r="C986" s="78">
        <f>Кабельный_журнал!P952</f>
      </c>
      <c r="D986" s="74">
        <f t="shared" ca="1" si="211"/>
      </c>
      <c r="E986" s="80" t="s">
        <v>279</v>
      </c>
      <c r="F986" s="74">
        <f t="shared" ca="1" si="207"/>
      </c>
      <c r="G986" s="74">
        <f t="shared" si="208"/>
      </c>
      <c r="H986" s="80" t="s">
        <v>272</v>
      </c>
      <c r="I986" s="74">
        <f t="shared" si="209"/>
      </c>
      <c r="J986" s="74">
        <f t="shared" si="212"/>
      </c>
      <c r="K986" s="80" t="s">
        <v>280</v>
      </c>
      <c r="L986" s="74">
        <f t="shared" si="213"/>
      </c>
      <c r="M986" s="74">
        <f t="shared" ca="1" si="214"/>
      </c>
      <c r="N986" s="74">
        <f ca="1">VLOOKUP(B986,$C$7:$T984,13,FALSE)</f>
      </c>
      <c r="O986" s="74">
        <f t="shared" ca="1" si="215"/>
      </c>
      <c r="P986" s="74">
        <f t="shared" ca="1" si="216"/>
      </c>
      <c r="Q986" s="74">
        <f t="shared" ca="1" si="217"/>
      </c>
      <c r="R986" s="74">
        <f t="shared" si="218"/>
      </c>
      <c r="S986" s="74">
        <f t="shared" ca="1" si="219"/>
      </c>
      <c r="T986" s="74">
        <f t="shared" si="220"/>
      </c>
    </row>
    <row r="987" spans="2:20" x14ac:dyDescent="0.3">
      <c r="B987" s="74">
        <f t="shared" ca="1" si="210"/>
      </c>
      <c r="C987" s="78">
        <f>Кабельный_журнал!P953</f>
      </c>
      <c r="D987" s="74">
        <f t="shared" ca="1" si="211"/>
      </c>
      <c r="E987" s="80" t="s">
        <v>279</v>
      </c>
      <c r="F987" s="74">
        <f t="shared" ca="1" si="207"/>
      </c>
      <c r="G987" s="74">
        <f t="shared" si="208"/>
      </c>
      <c r="H987" s="80" t="s">
        <v>272</v>
      </c>
      <c r="I987" s="74">
        <f t="shared" si="209"/>
      </c>
      <c r="J987" s="74">
        <f t="shared" si="212"/>
      </c>
      <c r="K987" s="80" t="s">
        <v>280</v>
      </c>
      <c r="L987" s="74">
        <f t="shared" si="213"/>
      </c>
      <c r="M987" s="74">
        <f t="shared" ca="1" si="214"/>
      </c>
      <c r="N987" s="74">
        <f ca="1">VLOOKUP(B987,$C$7:$T985,13,FALSE)</f>
      </c>
      <c r="O987" s="74">
        <f t="shared" ca="1" si="215"/>
      </c>
      <c r="P987" s="74">
        <f t="shared" ca="1" si="216"/>
      </c>
      <c r="Q987" s="74">
        <f t="shared" ca="1" si="217"/>
      </c>
      <c r="R987" s="74">
        <f t="shared" si="218"/>
      </c>
      <c r="S987" s="74">
        <f t="shared" ca="1" si="219"/>
      </c>
      <c r="T987" s="74">
        <f t="shared" si="220"/>
      </c>
    </row>
    <row r="988" spans="2:20" x14ac:dyDescent="0.3">
      <c r="B988" s="74">
        <f t="shared" ca="1" si="210"/>
      </c>
      <c r="C988" s="78">
        <f>Кабельный_журнал!P954</f>
      </c>
      <c r="D988" s="74">
        <f t="shared" ca="1" si="211"/>
      </c>
      <c r="E988" s="80" t="s">
        <v>279</v>
      </c>
      <c r="F988" s="74">
        <f t="shared" ca="1" si="207"/>
      </c>
      <c r="G988" s="74">
        <f t="shared" si="208"/>
      </c>
      <c r="H988" s="80" t="s">
        <v>272</v>
      </c>
      <c r="I988" s="74">
        <f t="shared" si="209"/>
      </c>
      <c r="J988" s="74">
        <f t="shared" si="212"/>
      </c>
      <c r="K988" s="80" t="s">
        <v>280</v>
      </c>
      <c r="L988" s="74">
        <f t="shared" si="213"/>
      </c>
      <c r="M988" s="74">
        <f t="shared" ca="1" si="214"/>
      </c>
      <c r="N988" s="74">
        <f ca="1">VLOOKUP(B988,$C$7:$T986,13,FALSE)</f>
      </c>
      <c r="O988" s="74">
        <f t="shared" ca="1" si="215"/>
      </c>
      <c r="P988" s="74">
        <f t="shared" ca="1" si="216"/>
      </c>
      <c r="Q988" s="74">
        <f t="shared" ca="1" si="217"/>
      </c>
      <c r="R988" s="74">
        <f t="shared" si="218"/>
      </c>
      <c r="S988" s="74">
        <f t="shared" ca="1" si="219"/>
      </c>
      <c r="T988" s="74">
        <f t="shared" si="220"/>
      </c>
    </row>
    <row r="989" spans="2:20" x14ac:dyDescent="0.3">
      <c r="B989" s="74">
        <f t="shared" ca="1" si="210"/>
      </c>
      <c r="C989" s="78">
        <f>Кабельный_журнал!P955</f>
      </c>
      <c r="D989" s="74">
        <f t="shared" ca="1" si="211"/>
      </c>
      <c r="E989" s="80" t="s">
        <v>279</v>
      </c>
      <c r="F989" s="74">
        <f t="shared" ca="1" si="207"/>
      </c>
      <c r="G989" s="74">
        <f t="shared" si="208"/>
      </c>
      <c r="H989" s="80" t="s">
        <v>272</v>
      </c>
      <c r="I989" s="74">
        <f t="shared" si="209"/>
      </c>
      <c r="J989" s="74">
        <f t="shared" si="212"/>
      </c>
      <c r="K989" s="80" t="s">
        <v>280</v>
      </c>
      <c r="L989" s="74">
        <f t="shared" si="213"/>
      </c>
      <c r="M989" s="74">
        <f t="shared" ca="1" si="214"/>
      </c>
      <c r="N989" s="74">
        <f ca="1">VLOOKUP(B989,$C$7:$T987,13,FALSE)</f>
      </c>
      <c r="O989" s="74">
        <f t="shared" ca="1" si="215"/>
      </c>
      <c r="P989" s="74">
        <f t="shared" ca="1" si="216"/>
      </c>
      <c r="Q989" s="74">
        <f t="shared" ca="1" si="217"/>
      </c>
      <c r="R989" s="74">
        <f t="shared" si="218"/>
      </c>
      <c r="S989" s="74">
        <f t="shared" ca="1" si="219"/>
      </c>
      <c r="T989" s="74">
        <f t="shared" si="220"/>
      </c>
    </row>
    <row r="990" spans="2:20" x14ac:dyDescent="0.3">
      <c r="B990" s="74">
        <f t="shared" ca="1" si="210"/>
      </c>
      <c r="C990" s="78">
        <f>Кабельный_журнал!P956</f>
      </c>
      <c r="D990" s="74">
        <f t="shared" ca="1" si="211"/>
      </c>
      <c r="E990" s="80" t="s">
        <v>279</v>
      </c>
      <c r="F990" s="74">
        <f t="shared" ca="1" si="207"/>
      </c>
      <c r="G990" s="74">
        <f t="shared" si="208"/>
      </c>
      <c r="H990" s="80" t="s">
        <v>272</v>
      </c>
      <c r="I990" s="74">
        <f t="shared" si="209"/>
      </c>
      <c r="J990" s="74">
        <f t="shared" si="212"/>
      </c>
      <c r="K990" s="80" t="s">
        <v>280</v>
      </c>
      <c r="L990" s="74">
        <f t="shared" si="213"/>
      </c>
      <c r="M990" s="74">
        <f t="shared" ca="1" si="214"/>
      </c>
      <c r="N990" s="74">
        <f ca="1">VLOOKUP(B990,$C$7:$T988,13,FALSE)</f>
      </c>
      <c r="O990" s="74">
        <f t="shared" ca="1" si="215"/>
      </c>
      <c r="P990" s="74">
        <f t="shared" ca="1" si="216"/>
      </c>
      <c r="Q990" s="74">
        <f t="shared" ca="1" si="217"/>
      </c>
      <c r="R990" s="74">
        <f t="shared" si="218"/>
      </c>
      <c r="S990" s="74">
        <f t="shared" ca="1" si="219"/>
      </c>
      <c r="T990" s="74">
        <f t="shared" si="220"/>
      </c>
    </row>
    <row r="991" spans="2:20" x14ac:dyDescent="0.3">
      <c r="B991" s="74">
        <f t="shared" ca="1" si="210"/>
      </c>
      <c r="C991" s="78">
        <f>Кабельный_журнал!P957</f>
      </c>
      <c r="D991" s="74">
        <f t="shared" ca="1" si="211"/>
      </c>
      <c r="E991" s="80" t="s">
        <v>279</v>
      </c>
      <c r="F991" s="74">
        <f t="shared" ca="1" si="207"/>
      </c>
      <c r="G991" s="74">
        <f t="shared" si="208"/>
      </c>
      <c r="H991" s="80" t="s">
        <v>272</v>
      </c>
      <c r="I991" s="74">
        <f t="shared" si="209"/>
      </c>
      <c r="J991" s="74">
        <f t="shared" si="212"/>
      </c>
      <c r="K991" s="80" t="s">
        <v>280</v>
      </c>
      <c r="L991" s="74">
        <f t="shared" si="213"/>
      </c>
      <c r="M991" s="74">
        <f t="shared" ca="1" si="214"/>
      </c>
      <c r="N991" s="74">
        <f ca="1">VLOOKUP(B991,$C$7:$T989,13,FALSE)</f>
      </c>
      <c r="O991" s="74">
        <f t="shared" ca="1" si="215"/>
      </c>
      <c r="P991" s="74">
        <f t="shared" ca="1" si="216"/>
      </c>
      <c r="Q991" s="74">
        <f t="shared" ca="1" si="217"/>
      </c>
      <c r="R991" s="74">
        <f t="shared" si="218"/>
      </c>
      <c r="S991" s="74">
        <f t="shared" ca="1" si="219"/>
      </c>
      <c r="T991" s="74">
        <f t="shared" si="220"/>
      </c>
    </row>
    <row r="992" spans="2:20" x14ac:dyDescent="0.3">
      <c r="B992" s="74">
        <f t="shared" ca="1" si="210"/>
      </c>
      <c r="C992" s="78">
        <f>Кабельный_журнал!P958</f>
      </c>
      <c r="D992" s="74">
        <f t="shared" ca="1" si="211"/>
      </c>
      <c r="E992" s="80" t="s">
        <v>279</v>
      </c>
      <c r="F992" s="74">
        <f t="shared" ca="1" si="207"/>
      </c>
      <c r="G992" s="74">
        <f t="shared" si="208"/>
      </c>
      <c r="H992" s="80" t="s">
        <v>272</v>
      </c>
      <c r="I992" s="74">
        <f t="shared" si="209"/>
      </c>
      <c r="J992" s="74">
        <f t="shared" si="212"/>
      </c>
      <c r="K992" s="80" t="s">
        <v>280</v>
      </c>
      <c r="L992" s="74">
        <f t="shared" si="213"/>
      </c>
      <c r="M992" s="74">
        <f t="shared" ca="1" si="214"/>
      </c>
      <c r="N992" s="74">
        <f ca="1">VLOOKUP(B992,$C$7:$T990,13,FALSE)</f>
      </c>
      <c r="O992" s="74">
        <f t="shared" ca="1" si="215"/>
      </c>
      <c r="P992" s="74">
        <f t="shared" ca="1" si="216"/>
      </c>
      <c r="Q992" s="74">
        <f t="shared" ca="1" si="217"/>
      </c>
      <c r="R992" s="74">
        <f t="shared" si="218"/>
      </c>
      <c r="S992" s="74">
        <f t="shared" ca="1" si="219"/>
      </c>
      <c r="T992" s="74">
        <f t="shared" si="220"/>
      </c>
    </row>
    <row r="993" spans="2:20" x14ac:dyDescent="0.3">
      <c r="B993" s="74">
        <f t="shared" ca="1" si="210"/>
      </c>
      <c r="C993" s="78">
        <f>Кабельный_журнал!P959</f>
      </c>
      <c r="D993" s="74">
        <f t="shared" ca="1" si="211"/>
      </c>
      <c r="E993" s="80" t="s">
        <v>279</v>
      </c>
      <c r="F993" s="74">
        <f t="shared" ca="1" si="207"/>
      </c>
      <c r="G993" s="74">
        <f t="shared" si="208"/>
      </c>
      <c r="H993" s="80" t="s">
        <v>272</v>
      </c>
      <c r="I993" s="74">
        <f t="shared" si="209"/>
      </c>
      <c r="J993" s="74">
        <f t="shared" si="212"/>
      </c>
      <c r="K993" s="80" t="s">
        <v>280</v>
      </c>
      <c r="L993" s="74">
        <f t="shared" si="213"/>
      </c>
      <c r="M993" s="74">
        <f t="shared" ca="1" si="214"/>
      </c>
      <c r="N993" s="74">
        <f ca="1">VLOOKUP(B993,$C$7:$T991,13,FALSE)</f>
      </c>
      <c r="O993" s="74">
        <f t="shared" ca="1" si="215"/>
      </c>
      <c r="P993" s="74">
        <f t="shared" ca="1" si="216"/>
      </c>
      <c r="Q993" s="74">
        <f t="shared" ca="1" si="217"/>
      </c>
      <c r="R993" s="74">
        <f t="shared" si="218"/>
      </c>
      <c r="S993" s="74">
        <f t="shared" ca="1" si="219"/>
      </c>
      <c r="T993" s="74">
        <f t="shared" si="220"/>
      </c>
    </row>
    <row r="994" spans="2:20" x14ac:dyDescent="0.3">
      <c r="B994" s="74">
        <f t="shared" ca="1" si="210"/>
      </c>
      <c r="C994" s="78">
        <f>Кабельный_журнал!P960</f>
      </c>
      <c r="D994" s="74">
        <f t="shared" ca="1" si="211"/>
      </c>
      <c r="E994" s="80" t="s">
        <v>279</v>
      </c>
      <c r="F994" s="74">
        <f t="shared" ca="1" si="207"/>
      </c>
      <c r="G994" s="74">
        <f t="shared" si="208"/>
      </c>
      <c r="H994" s="80" t="s">
        <v>272</v>
      </c>
      <c r="I994" s="74">
        <f t="shared" si="209"/>
      </c>
      <c r="J994" s="74">
        <f t="shared" si="212"/>
      </c>
      <c r="K994" s="80" t="s">
        <v>280</v>
      </c>
      <c r="L994" s="74">
        <f t="shared" si="213"/>
      </c>
      <c r="M994" s="74">
        <f t="shared" ca="1" si="214"/>
      </c>
      <c r="N994" s="74">
        <f ca="1">VLOOKUP(B994,$C$7:$T992,13,FALSE)</f>
      </c>
      <c r="O994" s="74">
        <f t="shared" ca="1" si="215"/>
      </c>
      <c r="P994" s="74">
        <f t="shared" ca="1" si="216"/>
      </c>
      <c r="Q994" s="74">
        <f t="shared" ca="1" si="217"/>
      </c>
      <c r="R994" s="74">
        <f t="shared" si="218"/>
      </c>
      <c r="S994" s="74">
        <f t="shared" ca="1" si="219"/>
      </c>
      <c r="T994" s="74">
        <f t="shared" si="220"/>
      </c>
    </row>
    <row r="995" spans="2:20" x14ac:dyDescent="0.3">
      <c r="B995" s="74">
        <f t="shared" ca="1" si="210"/>
      </c>
      <c r="C995" s="78">
        <f>Кабельный_журнал!P961</f>
      </c>
      <c r="D995" s="74">
        <f t="shared" ca="1" si="211"/>
      </c>
      <c r="E995" s="80" t="s">
        <v>279</v>
      </c>
      <c r="F995" s="74">
        <f t="shared" ca="1" si="207"/>
      </c>
      <c r="G995" s="74">
        <f t="shared" si="208"/>
      </c>
      <c r="H995" s="80" t="s">
        <v>272</v>
      </c>
      <c r="I995" s="74">
        <f t="shared" si="209"/>
      </c>
      <c r="J995" s="74">
        <f t="shared" si="212"/>
      </c>
      <c r="K995" s="80" t="s">
        <v>280</v>
      </c>
      <c r="L995" s="74">
        <f t="shared" si="213"/>
      </c>
      <c r="M995" s="74">
        <f t="shared" ca="1" si="214"/>
      </c>
      <c r="N995" s="74">
        <f ca="1">VLOOKUP(B995,$C$7:$T993,13,FALSE)</f>
      </c>
      <c r="O995" s="74">
        <f t="shared" ca="1" si="215"/>
      </c>
      <c r="P995" s="74">
        <f t="shared" ca="1" si="216"/>
      </c>
      <c r="Q995" s="74">
        <f t="shared" ca="1" si="217"/>
      </c>
      <c r="R995" s="74">
        <f t="shared" si="218"/>
      </c>
      <c r="S995" s="74">
        <f t="shared" ca="1" si="219"/>
      </c>
      <c r="T995" s="74">
        <f t="shared" si="220"/>
      </c>
    </row>
    <row r="996" spans="2:20" x14ac:dyDescent="0.3">
      <c r="B996" s="74">
        <f t="shared" ca="1" si="210"/>
      </c>
      <c r="C996" s="78">
        <f>Кабельный_журнал!P962</f>
      </c>
      <c r="D996" s="74">
        <f t="shared" ca="1" si="211"/>
      </c>
      <c r="E996" s="80" t="s">
        <v>279</v>
      </c>
      <c r="F996" s="74">
        <f t="shared" ca="1" si="207"/>
      </c>
      <c r="G996" s="74">
        <f t="shared" si="208"/>
      </c>
      <c r="H996" s="80" t="s">
        <v>272</v>
      </c>
      <c r="I996" s="74">
        <f t="shared" si="209"/>
      </c>
      <c r="J996" s="74">
        <f t="shared" si="212"/>
      </c>
      <c r="K996" s="80" t="s">
        <v>280</v>
      </c>
      <c r="L996" s="74">
        <f t="shared" si="213"/>
      </c>
      <c r="M996" s="74">
        <f t="shared" ca="1" si="214"/>
      </c>
      <c r="N996" s="74">
        <f ca="1">VLOOKUP(B996,$C$7:$T994,13,FALSE)</f>
      </c>
      <c r="O996" s="74">
        <f t="shared" ca="1" si="215"/>
      </c>
      <c r="P996" s="74">
        <f t="shared" ca="1" si="216"/>
      </c>
      <c r="Q996" s="74">
        <f t="shared" ca="1" si="217"/>
      </c>
      <c r="R996" s="74">
        <f t="shared" si="218"/>
      </c>
      <c r="S996" s="74">
        <f t="shared" ca="1" si="219"/>
      </c>
      <c r="T996" s="74">
        <f t="shared" si="220"/>
      </c>
    </row>
    <row r="997" spans="2:20" x14ac:dyDescent="0.3">
      <c r="B997" s="74">
        <f t="shared" ca="1" si="210"/>
      </c>
      <c r="C997" s="78">
        <f>Кабельный_журнал!P963</f>
      </c>
      <c r="D997" s="74">
        <f t="shared" ca="1" si="211"/>
      </c>
      <c r="E997" s="80" t="s">
        <v>279</v>
      </c>
      <c r="F997" s="74">
        <f t="shared" ca="1" si="207"/>
      </c>
      <c r="G997" s="74">
        <f t="shared" si="208"/>
      </c>
      <c r="H997" s="80" t="s">
        <v>272</v>
      </c>
      <c r="I997" s="74">
        <f t="shared" si="209"/>
      </c>
      <c r="J997" s="74">
        <f t="shared" si="212"/>
      </c>
      <c r="K997" s="80" t="s">
        <v>280</v>
      </c>
      <c r="L997" s="74">
        <f t="shared" si="213"/>
      </c>
      <c r="M997" s="74">
        <f t="shared" ca="1" si="214"/>
      </c>
      <c r="N997" s="74">
        <f ca="1">VLOOKUP(B997,$C$7:$T995,13,FALSE)</f>
      </c>
      <c r="O997" s="74">
        <f t="shared" ca="1" si="215"/>
      </c>
      <c r="P997" s="74">
        <f t="shared" ca="1" si="216"/>
      </c>
      <c r="Q997" s="74">
        <f t="shared" ca="1" si="217"/>
      </c>
      <c r="R997" s="74">
        <f t="shared" si="218"/>
      </c>
      <c r="S997" s="74">
        <f t="shared" ca="1" si="219"/>
      </c>
      <c r="T997" s="74">
        <f t="shared" si="220"/>
      </c>
    </row>
    <row r="998" spans="2:20" x14ac:dyDescent="0.3">
      <c r="B998" s="74">
        <f t="shared" ca="1" si="210"/>
      </c>
      <c r="C998" s="78">
        <f>Кабельный_журнал!P964</f>
      </c>
      <c r="D998" s="74">
        <f t="shared" ca="1" si="211"/>
      </c>
      <c r="E998" s="80" t="s">
        <v>279</v>
      </c>
      <c r="F998" s="74">
        <f t="shared" ca="1" si="207"/>
      </c>
      <c r="G998" s="74">
        <f t="shared" si="208"/>
      </c>
      <c r="H998" s="80" t="s">
        <v>272</v>
      </c>
      <c r="I998" s="74">
        <f t="shared" si="209"/>
      </c>
      <c r="J998" s="74">
        <f t="shared" si="212"/>
      </c>
      <c r="K998" s="80" t="s">
        <v>280</v>
      </c>
      <c r="L998" s="74">
        <f t="shared" si="213"/>
      </c>
      <c r="M998" s="74">
        <f t="shared" ca="1" si="214"/>
      </c>
      <c r="N998" s="74">
        <f ca="1">VLOOKUP(B998,$C$7:$T996,13,FALSE)</f>
      </c>
      <c r="O998" s="74">
        <f t="shared" ca="1" si="215"/>
      </c>
      <c r="P998" s="74">
        <f t="shared" ca="1" si="216"/>
      </c>
      <c r="Q998" s="74">
        <f t="shared" ca="1" si="217"/>
      </c>
      <c r="R998" s="74">
        <f t="shared" si="218"/>
      </c>
      <c r="S998" s="74">
        <f t="shared" ca="1" si="219"/>
      </c>
      <c r="T998" s="74">
        <f t="shared" si="220"/>
      </c>
    </row>
    <row r="999" spans="2:20" x14ac:dyDescent="0.3">
      <c r="B999" s="74">
        <f t="shared" ca="1" si="210"/>
      </c>
      <c r="C999" s="78">
        <f>Кабельный_журнал!P965</f>
      </c>
      <c r="D999" s="74">
        <f t="shared" ca="1" si="211"/>
      </c>
      <c r="E999" s="80" t="s">
        <v>279</v>
      </c>
      <c r="F999" s="74">
        <f t="shared" ref="F999:F1062" ca="1" si="221">VLOOKUP(C999,Кабельный_журнал,8,FALSE)</f>
      </c>
      <c r="G999" s="74">
        <f t="shared" ref="G999:G1062" si="222">VLOOKUP(C999,Исходные_данные,21,FALSE)</f>
      </c>
      <c r="H999" s="80" t="s">
        <v>272</v>
      </c>
      <c r="I999" s="74">
        <f t="shared" ref="I999:I1062" si="223">VLOOKUP(C999,Исходные_данные,22,FALSE)</f>
      </c>
      <c r="J999" s="74">
        <f t="shared" si="212"/>
      </c>
      <c r="K999" s="80" t="s">
        <v>280</v>
      </c>
      <c r="L999" s="74">
        <f t="shared" si="213"/>
      </c>
      <c r="M999" s="74">
        <f t="shared" ca="1" si="214"/>
      </c>
      <c r="N999" s="74">
        <f ca="1">VLOOKUP(B999,$C$7:$T997,13,FALSE)</f>
      </c>
      <c r="O999" s="74">
        <f t="shared" ca="1" si="215"/>
      </c>
      <c r="P999" s="74">
        <f t="shared" ca="1" si="216"/>
      </c>
      <c r="Q999" s="74">
        <f t="shared" ca="1" si="217"/>
      </c>
      <c r="R999" s="74">
        <f t="shared" si="218"/>
      </c>
      <c r="S999" s="74">
        <f t="shared" ca="1" si="219"/>
      </c>
      <c r="T999" s="74">
        <f t="shared" si="220"/>
      </c>
    </row>
    <row r="1000" spans="2:20" x14ac:dyDescent="0.3">
      <c r="B1000" s="74">
        <f t="shared" ref="B1000:B1063" ca="1" si="224">VLOOKUP(C1000,Кабельный_журнал,2,FALSE)</f>
      </c>
      <c r="C1000" s="78">
        <f>Кабельный_журнал!P966</f>
      </c>
      <c r="D1000" s="74">
        <f t="shared" ref="D1000:D1063" ca="1" si="225">B1000&amp;"-"&amp;C1000</f>
      </c>
      <c r="E1000" s="80" t="s">
        <v>279</v>
      </c>
      <c r="F1000" s="74">
        <f t="shared" ca="1" si="221"/>
      </c>
      <c r="G1000" s="74">
        <f t="shared" si="222"/>
      </c>
      <c r="H1000" s="80" t="s">
        <v>272</v>
      </c>
      <c r="I1000" s="74">
        <f t="shared" si="223"/>
      </c>
      <c r="J1000" s="74">
        <f t="shared" ref="J1000:J1063" si="226">I1000</f>
      </c>
      <c r="K1000" s="80" t="s">
        <v>280</v>
      </c>
      <c r="L1000" s="74">
        <f t="shared" ref="L1000:L1063" si="227">VLOOKUP(K1000,$K$2:$L$3,2,FALSE)</f>
      </c>
      <c r="M1000" s="74">
        <f t="shared" ref="M1000:M1063" ca="1" si="228">L1000*F1000*(1/I1000+1/J1000)</f>
      </c>
      <c r="N1000" s="74">
        <f ca="1">VLOOKUP(B1000,$C$7:$T998,13,FALSE)</f>
      </c>
      <c r="O1000" s="74">
        <f t="shared" ref="O1000:O1063" ca="1" si="229">L1000+M1000</f>
      </c>
      <c r="P1000" s="74">
        <f t="shared" ref="P1000:P1063" ca="1" si="230">220/O1000</f>
      </c>
      <c r="Q1000" s="74">
        <f t="shared" ref="Q1000:Q1063" ca="1" si="231">O1000/G1000</f>
      </c>
      <c r="R1000" s="74">
        <f t="shared" ref="R1000:R1063" si="232">VLOOKUP(H1000,$W$2:$Y$12,3,FALSE)</f>
      </c>
      <c r="S1000" s="74">
        <f t="shared" ref="S1000:S1063" ca="1" si="233">_xlfn.IFS(E1000="щит",IF(P1000&gt;R1000,"Увел сеч",IF(T1000&gt;P1000,"Увел сеч","tср&lt;5с")),E1000="потреб",IF(P1000&gt;R1000,"Увел сеч",IF(T1000&gt;P1000,"Увел сеч","tср&lt;0.4с")))</f>
      </c>
      <c r="T1000" s="74">
        <f t="shared" ref="T1000:T1063" si="234">G1000*VLOOKUP(H1000,$W$2:$Y$12,2,FALSE)</f>
      </c>
    </row>
    <row r="1001" spans="2:20" x14ac:dyDescent="0.3">
      <c r="B1001" s="74">
        <f t="shared" ca="1" si="224"/>
      </c>
      <c r="C1001" s="78">
        <f>Кабельный_журнал!P967</f>
      </c>
      <c r="D1001" s="74">
        <f t="shared" ca="1" si="225"/>
      </c>
      <c r="E1001" s="80" t="s">
        <v>279</v>
      </c>
      <c r="F1001" s="74">
        <f t="shared" ca="1" si="221"/>
      </c>
      <c r="G1001" s="74">
        <f t="shared" si="222"/>
      </c>
      <c r="H1001" s="80" t="s">
        <v>272</v>
      </c>
      <c r="I1001" s="74">
        <f t="shared" si="223"/>
      </c>
      <c r="J1001" s="74">
        <f t="shared" si="226"/>
      </c>
      <c r="K1001" s="80" t="s">
        <v>280</v>
      </c>
      <c r="L1001" s="74">
        <f t="shared" si="227"/>
      </c>
      <c r="M1001" s="74">
        <f t="shared" ca="1" si="228"/>
      </c>
      <c r="N1001" s="74">
        <f ca="1">VLOOKUP(B1001,$C$7:$T999,13,FALSE)</f>
      </c>
      <c r="O1001" s="74">
        <f t="shared" ca="1" si="229"/>
      </c>
      <c r="P1001" s="74">
        <f t="shared" ca="1" si="230"/>
      </c>
      <c r="Q1001" s="74">
        <f t="shared" ca="1" si="231"/>
      </c>
      <c r="R1001" s="74">
        <f t="shared" si="232"/>
      </c>
      <c r="S1001" s="74">
        <f t="shared" ca="1" si="233"/>
      </c>
      <c r="T1001" s="74">
        <f t="shared" si="234"/>
      </c>
    </row>
    <row r="1002" spans="2:20" x14ac:dyDescent="0.3">
      <c r="B1002" s="74">
        <f t="shared" ca="1" si="224"/>
      </c>
      <c r="C1002" s="78">
        <f>Кабельный_журнал!P968</f>
      </c>
      <c r="D1002" s="74">
        <f t="shared" ca="1" si="225"/>
      </c>
      <c r="E1002" s="80" t="s">
        <v>279</v>
      </c>
      <c r="F1002" s="74">
        <f t="shared" ca="1" si="221"/>
      </c>
      <c r="G1002" s="74">
        <f t="shared" si="222"/>
      </c>
      <c r="H1002" s="80" t="s">
        <v>272</v>
      </c>
      <c r="I1002" s="74">
        <f t="shared" si="223"/>
      </c>
      <c r="J1002" s="74">
        <f t="shared" si="226"/>
      </c>
      <c r="K1002" s="80" t="s">
        <v>280</v>
      </c>
      <c r="L1002" s="74">
        <f t="shared" si="227"/>
      </c>
      <c r="M1002" s="74">
        <f t="shared" ca="1" si="228"/>
      </c>
      <c r="N1002" s="74">
        <f ca="1">VLOOKUP(B1002,$C$7:$T1000,13,FALSE)</f>
      </c>
      <c r="O1002" s="74">
        <f t="shared" ca="1" si="229"/>
      </c>
      <c r="P1002" s="74">
        <f t="shared" ca="1" si="230"/>
      </c>
      <c r="Q1002" s="74">
        <f t="shared" ca="1" si="231"/>
      </c>
      <c r="R1002" s="74">
        <f t="shared" si="232"/>
      </c>
      <c r="S1002" s="74">
        <f t="shared" ca="1" si="233"/>
      </c>
      <c r="T1002" s="74">
        <f t="shared" si="234"/>
      </c>
    </row>
    <row r="1003" spans="2:20" x14ac:dyDescent="0.3">
      <c r="B1003" s="74">
        <f t="shared" ca="1" si="224"/>
      </c>
      <c r="C1003" s="78">
        <f>Кабельный_журнал!P969</f>
      </c>
      <c r="D1003" s="74">
        <f t="shared" ca="1" si="225"/>
      </c>
      <c r="E1003" s="80" t="s">
        <v>279</v>
      </c>
      <c r="F1003" s="74">
        <f t="shared" ca="1" si="221"/>
      </c>
      <c r="G1003" s="74">
        <f t="shared" si="222"/>
      </c>
      <c r="H1003" s="80" t="s">
        <v>272</v>
      </c>
      <c r="I1003" s="74">
        <f t="shared" si="223"/>
      </c>
      <c r="J1003" s="74">
        <f t="shared" si="226"/>
      </c>
      <c r="K1003" s="80" t="s">
        <v>280</v>
      </c>
      <c r="L1003" s="74">
        <f t="shared" si="227"/>
      </c>
      <c r="M1003" s="74">
        <f t="shared" ca="1" si="228"/>
      </c>
      <c r="N1003" s="74">
        <f ca="1">VLOOKUP(B1003,$C$7:$T1001,13,FALSE)</f>
      </c>
      <c r="O1003" s="74">
        <f t="shared" ca="1" si="229"/>
      </c>
      <c r="P1003" s="74">
        <f t="shared" ca="1" si="230"/>
      </c>
      <c r="Q1003" s="74">
        <f t="shared" ca="1" si="231"/>
      </c>
      <c r="R1003" s="74">
        <f t="shared" si="232"/>
      </c>
      <c r="S1003" s="74">
        <f t="shared" ca="1" si="233"/>
      </c>
      <c r="T1003" s="74">
        <f t="shared" si="234"/>
      </c>
    </row>
    <row r="1004" spans="2:20" x14ac:dyDescent="0.3">
      <c r="B1004" s="74">
        <f t="shared" ca="1" si="224"/>
      </c>
      <c r="C1004" s="78">
        <f>Кабельный_журнал!P970</f>
      </c>
      <c r="D1004" s="74">
        <f t="shared" ca="1" si="225"/>
      </c>
      <c r="E1004" s="80" t="s">
        <v>279</v>
      </c>
      <c r="F1004" s="74">
        <f t="shared" ca="1" si="221"/>
      </c>
      <c r="G1004" s="74">
        <f t="shared" si="222"/>
      </c>
      <c r="H1004" s="80" t="s">
        <v>272</v>
      </c>
      <c r="I1004" s="74">
        <f t="shared" si="223"/>
      </c>
      <c r="J1004" s="74">
        <f t="shared" si="226"/>
      </c>
      <c r="K1004" s="80" t="s">
        <v>280</v>
      </c>
      <c r="L1004" s="74">
        <f t="shared" si="227"/>
      </c>
      <c r="M1004" s="74">
        <f t="shared" ca="1" si="228"/>
      </c>
      <c r="N1004" s="74">
        <f ca="1">VLOOKUP(B1004,$C$7:$T1002,13,FALSE)</f>
      </c>
      <c r="O1004" s="74">
        <f t="shared" ca="1" si="229"/>
      </c>
      <c r="P1004" s="74">
        <f t="shared" ca="1" si="230"/>
      </c>
      <c r="Q1004" s="74">
        <f t="shared" ca="1" si="231"/>
      </c>
      <c r="R1004" s="74">
        <f t="shared" si="232"/>
      </c>
      <c r="S1004" s="74">
        <f t="shared" ca="1" si="233"/>
      </c>
      <c r="T1004" s="74">
        <f t="shared" si="234"/>
      </c>
    </row>
    <row r="1005" spans="2:20" x14ac:dyDescent="0.3">
      <c r="B1005" s="74">
        <f t="shared" ca="1" si="224"/>
      </c>
      <c r="C1005" s="78">
        <f>Кабельный_журнал!P971</f>
      </c>
      <c r="D1005" s="74">
        <f t="shared" ca="1" si="225"/>
      </c>
      <c r="E1005" s="80" t="s">
        <v>279</v>
      </c>
      <c r="F1005" s="74">
        <f t="shared" ca="1" si="221"/>
      </c>
      <c r="G1005" s="74">
        <f t="shared" si="222"/>
      </c>
      <c r="H1005" s="80" t="s">
        <v>272</v>
      </c>
      <c r="I1005" s="74">
        <f t="shared" si="223"/>
      </c>
      <c r="J1005" s="74">
        <f t="shared" si="226"/>
      </c>
      <c r="K1005" s="80" t="s">
        <v>280</v>
      </c>
      <c r="L1005" s="74">
        <f t="shared" si="227"/>
      </c>
      <c r="M1005" s="74">
        <f t="shared" ca="1" si="228"/>
      </c>
      <c r="N1005" s="74">
        <f ca="1">VLOOKUP(B1005,$C$7:$T1003,13,FALSE)</f>
      </c>
      <c r="O1005" s="74">
        <f t="shared" ca="1" si="229"/>
      </c>
      <c r="P1005" s="74">
        <f t="shared" ca="1" si="230"/>
      </c>
      <c r="Q1005" s="74">
        <f t="shared" ca="1" si="231"/>
      </c>
      <c r="R1005" s="74">
        <f t="shared" si="232"/>
      </c>
      <c r="S1005" s="74">
        <f t="shared" ca="1" si="233"/>
      </c>
      <c r="T1005" s="74">
        <f t="shared" si="234"/>
      </c>
    </row>
    <row r="1006" spans="2:20" x14ac:dyDescent="0.3">
      <c r="B1006" s="74">
        <f t="shared" ca="1" si="224"/>
      </c>
      <c r="C1006" s="78">
        <f>Кабельный_журнал!P972</f>
      </c>
      <c r="D1006" s="74">
        <f t="shared" ca="1" si="225"/>
      </c>
      <c r="E1006" s="80" t="s">
        <v>279</v>
      </c>
      <c r="F1006" s="74">
        <f t="shared" ca="1" si="221"/>
      </c>
      <c r="G1006" s="74">
        <f t="shared" si="222"/>
      </c>
      <c r="H1006" s="80" t="s">
        <v>272</v>
      </c>
      <c r="I1006" s="74">
        <f t="shared" si="223"/>
      </c>
      <c r="J1006" s="74">
        <f t="shared" si="226"/>
      </c>
      <c r="K1006" s="80" t="s">
        <v>280</v>
      </c>
      <c r="L1006" s="74">
        <f t="shared" si="227"/>
      </c>
      <c r="M1006" s="74">
        <f t="shared" ca="1" si="228"/>
      </c>
      <c r="N1006" s="74">
        <f ca="1">VLOOKUP(B1006,$C$7:$T1004,13,FALSE)</f>
      </c>
      <c r="O1006" s="74">
        <f t="shared" ca="1" si="229"/>
      </c>
      <c r="P1006" s="74">
        <f t="shared" ca="1" si="230"/>
      </c>
      <c r="Q1006" s="74">
        <f t="shared" ca="1" si="231"/>
      </c>
      <c r="R1006" s="74">
        <f t="shared" si="232"/>
      </c>
      <c r="S1006" s="74">
        <f t="shared" ca="1" si="233"/>
      </c>
      <c r="T1006" s="74">
        <f t="shared" si="234"/>
      </c>
    </row>
    <row r="1007" spans="2:20" x14ac:dyDescent="0.3">
      <c r="B1007" s="74">
        <f t="shared" ca="1" si="224"/>
      </c>
      <c r="C1007" s="78">
        <f>Кабельный_журнал!P973</f>
      </c>
      <c r="D1007" s="74">
        <f t="shared" ca="1" si="225"/>
      </c>
      <c r="E1007" s="80" t="s">
        <v>279</v>
      </c>
      <c r="F1007" s="74">
        <f t="shared" ca="1" si="221"/>
      </c>
      <c r="G1007" s="74">
        <f t="shared" si="222"/>
      </c>
      <c r="H1007" s="80" t="s">
        <v>272</v>
      </c>
      <c r="I1007" s="74">
        <f t="shared" si="223"/>
      </c>
      <c r="J1007" s="74">
        <f t="shared" si="226"/>
      </c>
      <c r="K1007" s="80" t="s">
        <v>280</v>
      </c>
      <c r="L1007" s="74">
        <f t="shared" si="227"/>
      </c>
      <c r="M1007" s="74">
        <f t="shared" ca="1" si="228"/>
      </c>
      <c r="N1007" s="74">
        <f ca="1">VLOOKUP(B1007,$C$7:$T1005,13,FALSE)</f>
      </c>
      <c r="O1007" s="74">
        <f t="shared" ca="1" si="229"/>
      </c>
      <c r="P1007" s="74">
        <f t="shared" ca="1" si="230"/>
      </c>
      <c r="Q1007" s="74">
        <f t="shared" ca="1" si="231"/>
      </c>
      <c r="R1007" s="74">
        <f t="shared" si="232"/>
      </c>
      <c r="S1007" s="74">
        <f t="shared" ca="1" si="233"/>
      </c>
      <c r="T1007" s="74">
        <f t="shared" si="234"/>
      </c>
    </row>
    <row r="1008" spans="2:20" x14ac:dyDescent="0.3">
      <c r="B1008" s="74">
        <f t="shared" ca="1" si="224"/>
      </c>
      <c r="C1008" s="78">
        <f>Кабельный_журнал!P974</f>
      </c>
      <c r="D1008" s="74">
        <f t="shared" ca="1" si="225"/>
      </c>
      <c r="E1008" s="80" t="s">
        <v>279</v>
      </c>
      <c r="F1008" s="74">
        <f t="shared" ca="1" si="221"/>
      </c>
      <c r="G1008" s="74">
        <f t="shared" si="222"/>
      </c>
      <c r="H1008" s="80" t="s">
        <v>272</v>
      </c>
      <c r="I1008" s="74">
        <f t="shared" si="223"/>
      </c>
      <c r="J1008" s="74">
        <f t="shared" si="226"/>
      </c>
      <c r="K1008" s="80" t="s">
        <v>280</v>
      </c>
      <c r="L1008" s="74">
        <f t="shared" si="227"/>
      </c>
      <c r="M1008" s="74">
        <f t="shared" ca="1" si="228"/>
      </c>
      <c r="N1008" s="74">
        <f ca="1">VLOOKUP(B1008,$C$7:$T1006,13,FALSE)</f>
      </c>
      <c r="O1008" s="74">
        <f t="shared" ca="1" si="229"/>
      </c>
      <c r="P1008" s="74">
        <f t="shared" ca="1" si="230"/>
      </c>
      <c r="Q1008" s="74">
        <f t="shared" ca="1" si="231"/>
      </c>
      <c r="R1008" s="74">
        <f t="shared" si="232"/>
      </c>
      <c r="S1008" s="74">
        <f t="shared" ca="1" si="233"/>
      </c>
      <c r="T1008" s="74">
        <f t="shared" si="234"/>
      </c>
    </row>
    <row r="1009" spans="2:20" x14ac:dyDescent="0.3">
      <c r="B1009" s="74">
        <f t="shared" ca="1" si="224"/>
      </c>
      <c r="C1009" s="78">
        <f>Кабельный_журнал!P975</f>
      </c>
      <c r="D1009" s="74">
        <f t="shared" ca="1" si="225"/>
      </c>
      <c r="E1009" s="80" t="s">
        <v>279</v>
      </c>
      <c r="F1009" s="74">
        <f t="shared" ca="1" si="221"/>
      </c>
      <c r="G1009" s="74">
        <f t="shared" si="222"/>
      </c>
      <c r="H1009" s="80" t="s">
        <v>272</v>
      </c>
      <c r="I1009" s="74">
        <f t="shared" si="223"/>
      </c>
      <c r="J1009" s="74">
        <f t="shared" si="226"/>
      </c>
      <c r="K1009" s="80" t="s">
        <v>280</v>
      </c>
      <c r="L1009" s="74">
        <f t="shared" si="227"/>
      </c>
      <c r="M1009" s="74">
        <f t="shared" ca="1" si="228"/>
      </c>
      <c r="N1009" s="74">
        <f ca="1">VLOOKUP(B1009,$C$7:$T1007,13,FALSE)</f>
      </c>
      <c r="O1009" s="74">
        <f t="shared" ca="1" si="229"/>
      </c>
      <c r="P1009" s="74">
        <f t="shared" ca="1" si="230"/>
      </c>
      <c r="Q1009" s="74">
        <f t="shared" ca="1" si="231"/>
      </c>
      <c r="R1009" s="74">
        <f t="shared" si="232"/>
      </c>
      <c r="S1009" s="74">
        <f t="shared" ca="1" si="233"/>
      </c>
      <c r="T1009" s="74">
        <f t="shared" si="234"/>
      </c>
    </row>
    <row r="1010" spans="2:20" x14ac:dyDescent="0.3">
      <c r="B1010" s="74">
        <f t="shared" ca="1" si="224"/>
      </c>
      <c r="C1010" s="78">
        <f>Кабельный_журнал!P976</f>
      </c>
      <c r="D1010" s="74">
        <f t="shared" ca="1" si="225"/>
      </c>
      <c r="E1010" s="80" t="s">
        <v>279</v>
      </c>
      <c r="F1010" s="74">
        <f t="shared" ca="1" si="221"/>
      </c>
      <c r="G1010" s="74">
        <f t="shared" si="222"/>
      </c>
      <c r="H1010" s="80" t="s">
        <v>272</v>
      </c>
      <c r="I1010" s="74">
        <f t="shared" si="223"/>
      </c>
      <c r="J1010" s="74">
        <f t="shared" si="226"/>
      </c>
      <c r="K1010" s="80" t="s">
        <v>280</v>
      </c>
      <c r="L1010" s="74">
        <f t="shared" si="227"/>
      </c>
      <c r="M1010" s="74">
        <f t="shared" ca="1" si="228"/>
      </c>
      <c r="N1010" s="74">
        <f ca="1">VLOOKUP(B1010,$C$7:$T1008,13,FALSE)</f>
      </c>
      <c r="O1010" s="74">
        <f t="shared" ca="1" si="229"/>
      </c>
      <c r="P1010" s="74">
        <f t="shared" ca="1" si="230"/>
      </c>
      <c r="Q1010" s="74">
        <f t="shared" ca="1" si="231"/>
      </c>
      <c r="R1010" s="74">
        <f t="shared" si="232"/>
      </c>
      <c r="S1010" s="74">
        <f t="shared" ca="1" si="233"/>
      </c>
      <c r="T1010" s="74">
        <f t="shared" si="234"/>
      </c>
    </row>
    <row r="1011" spans="2:20" x14ac:dyDescent="0.3">
      <c r="B1011" s="74">
        <f t="shared" ca="1" si="224"/>
      </c>
      <c r="C1011" s="78">
        <f>Кабельный_журнал!P977</f>
      </c>
      <c r="D1011" s="74">
        <f t="shared" ca="1" si="225"/>
      </c>
      <c r="E1011" s="80" t="s">
        <v>279</v>
      </c>
      <c r="F1011" s="74">
        <f t="shared" ca="1" si="221"/>
      </c>
      <c r="G1011" s="74">
        <f t="shared" si="222"/>
      </c>
      <c r="H1011" s="80" t="s">
        <v>272</v>
      </c>
      <c r="I1011" s="74">
        <f t="shared" si="223"/>
      </c>
      <c r="J1011" s="74">
        <f t="shared" si="226"/>
      </c>
      <c r="K1011" s="80" t="s">
        <v>280</v>
      </c>
      <c r="L1011" s="74">
        <f t="shared" si="227"/>
      </c>
      <c r="M1011" s="74">
        <f t="shared" ca="1" si="228"/>
      </c>
      <c r="N1011" s="74">
        <f ca="1">VLOOKUP(B1011,$C$7:$T1009,13,FALSE)</f>
      </c>
      <c r="O1011" s="74">
        <f t="shared" ca="1" si="229"/>
      </c>
      <c r="P1011" s="74">
        <f t="shared" ca="1" si="230"/>
      </c>
      <c r="Q1011" s="74">
        <f t="shared" ca="1" si="231"/>
      </c>
      <c r="R1011" s="74">
        <f t="shared" si="232"/>
      </c>
      <c r="S1011" s="74">
        <f t="shared" ca="1" si="233"/>
      </c>
      <c r="T1011" s="74">
        <f t="shared" si="234"/>
      </c>
    </row>
    <row r="1012" spans="2:20" x14ac:dyDescent="0.3">
      <c r="B1012" s="74">
        <f t="shared" ca="1" si="224"/>
      </c>
      <c r="C1012" s="78">
        <f>Кабельный_журнал!P978</f>
      </c>
      <c r="D1012" s="74">
        <f t="shared" ca="1" si="225"/>
      </c>
      <c r="E1012" s="80" t="s">
        <v>279</v>
      </c>
      <c r="F1012" s="74">
        <f t="shared" ca="1" si="221"/>
      </c>
      <c r="G1012" s="74">
        <f t="shared" si="222"/>
      </c>
      <c r="H1012" s="80" t="s">
        <v>272</v>
      </c>
      <c r="I1012" s="74">
        <f t="shared" si="223"/>
      </c>
      <c r="J1012" s="74">
        <f t="shared" si="226"/>
      </c>
      <c r="K1012" s="80" t="s">
        <v>280</v>
      </c>
      <c r="L1012" s="74">
        <f t="shared" si="227"/>
      </c>
      <c r="M1012" s="74">
        <f t="shared" ca="1" si="228"/>
      </c>
      <c r="N1012" s="74">
        <f ca="1">VLOOKUP(B1012,$C$7:$T1010,13,FALSE)</f>
      </c>
      <c r="O1012" s="74">
        <f t="shared" ca="1" si="229"/>
      </c>
      <c r="P1012" s="74">
        <f t="shared" ca="1" si="230"/>
      </c>
      <c r="Q1012" s="74">
        <f t="shared" ca="1" si="231"/>
      </c>
      <c r="R1012" s="74">
        <f t="shared" si="232"/>
      </c>
      <c r="S1012" s="74">
        <f t="shared" ca="1" si="233"/>
      </c>
      <c r="T1012" s="74">
        <f t="shared" si="234"/>
      </c>
    </row>
    <row r="1013" spans="2:20" x14ac:dyDescent="0.3">
      <c r="B1013" s="74">
        <f t="shared" ca="1" si="224"/>
      </c>
      <c r="C1013" s="78">
        <f>Кабельный_журнал!P979</f>
      </c>
      <c r="D1013" s="74">
        <f t="shared" ca="1" si="225"/>
      </c>
      <c r="E1013" s="80" t="s">
        <v>279</v>
      </c>
      <c r="F1013" s="74">
        <f t="shared" ca="1" si="221"/>
      </c>
      <c r="G1013" s="74">
        <f t="shared" si="222"/>
      </c>
      <c r="H1013" s="80" t="s">
        <v>272</v>
      </c>
      <c r="I1013" s="74">
        <f t="shared" si="223"/>
      </c>
      <c r="J1013" s="74">
        <f t="shared" si="226"/>
      </c>
      <c r="K1013" s="80" t="s">
        <v>280</v>
      </c>
      <c r="L1013" s="74">
        <f t="shared" si="227"/>
      </c>
      <c r="M1013" s="74">
        <f t="shared" ca="1" si="228"/>
      </c>
      <c r="N1013" s="74">
        <f ca="1">VLOOKUP(B1013,$C$7:$T1011,13,FALSE)</f>
      </c>
      <c r="O1013" s="74">
        <f t="shared" ca="1" si="229"/>
      </c>
      <c r="P1013" s="74">
        <f t="shared" ca="1" si="230"/>
      </c>
      <c r="Q1013" s="74">
        <f t="shared" ca="1" si="231"/>
      </c>
      <c r="R1013" s="74">
        <f t="shared" si="232"/>
      </c>
      <c r="S1013" s="74">
        <f t="shared" ca="1" si="233"/>
      </c>
      <c r="T1013" s="74">
        <f t="shared" si="234"/>
      </c>
    </row>
    <row r="1014" spans="2:20" x14ac:dyDescent="0.3">
      <c r="B1014" s="74">
        <f t="shared" ca="1" si="224"/>
      </c>
      <c r="C1014" s="78">
        <f>Кабельный_журнал!P980</f>
      </c>
      <c r="D1014" s="74">
        <f t="shared" ca="1" si="225"/>
      </c>
      <c r="E1014" s="80" t="s">
        <v>279</v>
      </c>
      <c r="F1014" s="74">
        <f t="shared" ca="1" si="221"/>
      </c>
      <c r="G1014" s="74">
        <f t="shared" si="222"/>
      </c>
      <c r="H1014" s="80" t="s">
        <v>272</v>
      </c>
      <c r="I1014" s="74">
        <f t="shared" si="223"/>
      </c>
      <c r="J1014" s="74">
        <f t="shared" si="226"/>
      </c>
      <c r="K1014" s="80" t="s">
        <v>280</v>
      </c>
      <c r="L1014" s="74">
        <f t="shared" si="227"/>
      </c>
      <c r="M1014" s="74">
        <f t="shared" ca="1" si="228"/>
      </c>
      <c r="N1014" s="74">
        <f ca="1">VLOOKUP(B1014,$C$7:$T1012,13,FALSE)</f>
      </c>
      <c r="O1014" s="74">
        <f t="shared" ca="1" si="229"/>
      </c>
      <c r="P1014" s="74">
        <f t="shared" ca="1" si="230"/>
      </c>
      <c r="Q1014" s="74">
        <f t="shared" ca="1" si="231"/>
      </c>
      <c r="R1014" s="74">
        <f t="shared" si="232"/>
      </c>
      <c r="S1014" s="74">
        <f t="shared" ca="1" si="233"/>
      </c>
      <c r="T1014" s="74">
        <f t="shared" si="234"/>
      </c>
    </row>
    <row r="1015" spans="2:20" x14ac:dyDescent="0.3">
      <c r="B1015" s="74">
        <f t="shared" ca="1" si="224"/>
      </c>
      <c r="C1015" s="78">
        <f>Кабельный_журнал!P981</f>
      </c>
      <c r="D1015" s="74">
        <f t="shared" ca="1" si="225"/>
      </c>
      <c r="E1015" s="80" t="s">
        <v>279</v>
      </c>
      <c r="F1015" s="74">
        <f t="shared" ca="1" si="221"/>
      </c>
      <c r="G1015" s="74">
        <f t="shared" si="222"/>
      </c>
      <c r="H1015" s="80" t="s">
        <v>272</v>
      </c>
      <c r="I1015" s="74">
        <f t="shared" si="223"/>
      </c>
      <c r="J1015" s="74">
        <f t="shared" si="226"/>
      </c>
      <c r="K1015" s="80" t="s">
        <v>280</v>
      </c>
      <c r="L1015" s="74">
        <f t="shared" si="227"/>
      </c>
      <c r="M1015" s="74">
        <f t="shared" ca="1" si="228"/>
      </c>
      <c r="N1015" s="74">
        <f ca="1">VLOOKUP(B1015,$C$7:$T1013,13,FALSE)</f>
      </c>
      <c r="O1015" s="74">
        <f t="shared" ca="1" si="229"/>
      </c>
      <c r="P1015" s="74">
        <f t="shared" ca="1" si="230"/>
      </c>
      <c r="Q1015" s="74">
        <f t="shared" ca="1" si="231"/>
      </c>
      <c r="R1015" s="74">
        <f t="shared" si="232"/>
      </c>
      <c r="S1015" s="74">
        <f t="shared" ca="1" si="233"/>
      </c>
      <c r="T1015" s="74">
        <f t="shared" si="234"/>
      </c>
    </row>
    <row r="1016" spans="2:20" x14ac:dyDescent="0.3">
      <c r="B1016" s="74">
        <f t="shared" ca="1" si="224"/>
      </c>
      <c r="C1016" s="78">
        <f>Кабельный_журнал!P982</f>
      </c>
      <c r="D1016" s="74">
        <f t="shared" ca="1" si="225"/>
      </c>
      <c r="E1016" s="80" t="s">
        <v>279</v>
      </c>
      <c r="F1016" s="74">
        <f t="shared" ca="1" si="221"/>
      </c>
      <c r="G1016" s="74">
        <f t="shared" si="222"/>
      </c>
      <c r="H1016" s="80" t="s">
        <v>272</v>
      </c>
      <c r="I1016" s="74">
        <f t="shared" si="223"/>
      </c>
      <c r="J1016" s="74">
        <f t="shared" si="226"/>
      </c>
      <c r="K1016" s="80" t="s">
        <v>280</v>
      </c>
      <c r="L1016" s="74">
        <f t="shared" si="227"/>
      </c>
      <c r="M1016" s="74">
        <f t="shared" ca="1" si="228"/>
      </c>
      <c r="N1016" s="74">
        <f ca="1">VLOOKUP(B1016,$C$7:$T1014,13,FALSE)</f>
      </c>
      <c r="O1016" s="74">
        <f t="shared" ca="1" si="229"/>
      </c>
      <c r="P1016" s="74">
        <f t="shared" ca="1" si="230"/>
      </c>
      <c r="Q1016" s="74">
        <f t="shared" ca="1" si="231"/>
      </c>
      <c r="R1016" s="74">
        <f t="shared" si="232"/>
      </c>
      <c r="S1016" s="74">
        <f t="shared" ca="1" si="233"/>
      </c>
      <c r="T1016" s="74">
        <f t="shared" si="234"/>
      </c>
    </row>
    <row r="1017" spans="2:20" x14ac:dyDescent="0.3">
      <c r="B1017" s="74">
        <f t="shared" ca="1" si="224"/>
      </c>
      <c r="C1017" s="78">
        <f>Кабельный_журнал!P983</f>
      </c>
      <c r="D1017" s="74">
        <f t="shared" ca="1" si="225"/>
      </c>
      <c r="E1017" s="80" t="s">
        <v>279</v>
      </c>
      <c r="F1017" s="74">
        <f t="shared" ca="1" si="221"/>
      </c>
      <c r="G1017" s="74">
        <f t="shared" si="222"/>
      </c>
      <c r="H1017" s="80" t="s">
        <v>272</v>
      </c>
      <c r="I1017" s="74">
        <f t="shared" si="223"/>
      </c>
      <c r="J1017" s="74">
        <f t="shared" si="226"/>
      </c>
      <c r="K1017" s="80" t="s">
        <v>280</v>
      </c>
      <c r="L1017" s="74">
        <f t="shared" si="227"/>
      </c>
      <c r="M1017" s="74">
        <f t="shared" ca="1" si="228"/>
      </c>
      <c r="N1017" s="74">
        <f ca="1">VLOOKUP(B1017,$C$7:$T1015,13,FALSE)</f>
      </c>
      <c r="O1017" s="74">
        <f t="shared" ca="1" si="229"/>
      </c>
      <c r="P1017" s="74">
        <f t="shared" ca="1" si="230"/>
      </c>
      <c r="Q1017" s="74">
        <f t="shared" ca="1" si="231"/>
      </c>
      <c r="R1017" s="74">
        <f t="shared" si="232"/>
      </c>
      <c r="S1017" s="74">
        <f t="shared" ca="1" si="233"/>
      </c>
      <c r="T1017" s="74">
        <f t="shared" si="234"/>
      </c>
    </row>
    <row r="1018" spans="2:20" x14ac:dyDescent="0.3">
      <c r="B1018" s="74">
        <f t="shared" ca="1" si="224"/>
      </c>
      <c r="C1018" s="78">
        <f>Кабельный_журнал!P984</f>
      </c>
      <c r="D1018" s="74">
        <f t="shared" ca="1" si="225"/>
      </c>
      <c r="E1018" s="80" t="s">
        <v>279</v>
      </c>
      <c r="F1018" s="74">
        <f t="shared" ca="1" si="221"/>
      </c>
      <c r="G1018" s="74">
        <f t="shared" si="222"/>
      </c>
      <c r="H1018" s="80" t="s">
        <v>272</v>
      </c>
      <c r="I1018" s="74">
        <f t="shared" si="223"/>
      </c>
      <c r="J1018" s="74">
        <f t="shared" si="226"/>
      </c>
      <c r="K1018" s="80" t="s">
        <v>280</v>
      </c>
      <c r="L1018" s="74">
        <f t="shared" si="227"/>
      </c>
      <c r="M1018" s="74">
        <f t="shared" ca="1" si="228"/>
      </c>
      <c r="N1018" s="74">
        <f ca="1">VLOOKUP(B1018,$C$7:$T1016,13,FALSE)</f>
      </c>
      <c r="O1018" s="74">
        <f t="shared" ca="1" si="229"/>
      </c>
      <c r="P1018" s="74">
        <f t="shared" ca="1" si="230"/>
      </c>
      <c r="Q1018" s="74">
        <f t="shared" ca="1" si="231"/>
      </c>
      <c r="R1018" s="74">
        <f t="shared" si="232"/>
      </c>
      <c r="S1018" s="74">
        <f t="shared" ca="1" si="233"/>
      </c>
      <c r="T1018" s="74">
        <f t="shared" si="234"/>
      </c>
    </row>
    <row r="1019" spans="2:20" x14ac:dyDescent="0.3">
      <c r="B1019" s="74">
        <f t="shared" ca="1" si="224"/>
      </c>
      <c r="C1019" s="78">
        <f>Кабельный_журнал!P985</f>
      </c>
      <c r="D1019" s="74">
        <f t="shared" ca="1" si="225"/>
      </c>
      <c r="E1019" s="80" t="s">
        <v>279</v>
      </c>
      <c r="F1019" s="74">
        <f t="shared" ca="1" si="221"/>
      </c>
      <c r="G1019" s="74">
        <f t="shared" si="222"/>
      </c>
      <c r="H1019" s="80" t="s">
        <v>272</v>
      </c>
      <c r="I1019" s="74">
        <f t="shared" si="223"/>
      </c>
      <c r="J1019" s="74">
        <f t="shared" si="226"/>
      </c>
      <c r="K1019" s="80" t="s">
        <v>280</v>
      </c>
      <c r="L1019" s="74">
        <f t="shared" si="227"/>
      </c>
      <c r="M1019" s="74">
        <f t="shared" ca="1" si="228"/>
      </c>
      <c r="N1019" s="74">
        <f ca="1">VLOOKUP(B1019,$C$7:$T1017,13,FALSE)</f>
      </c>
      <c r="O1019" s="74">
        <f t="shared" ca="1" si="229"/>
      </c>
      <c r="P1019" s="74">
        <f t="shared" ca="1" si="230"/>
      </c>
      <c r="Q1019" s="74">
        <f t="shared" ca="1" si="231"/>
      </c>
      <c r="R1019" s="74">
        <f t="shared" si="232"/>
      </c>
      <c r="S1019" s="74">
        <f t="shared" ca="1" si="233"/>
      </c>
      <c r="T1019" s="74">
        <f t="shared" si="234"/>
      </c>
    </row>
    <row r="1020" spans="2:20" x14ac:dyDescent="0.3">
      <c r="B1020" s="74">
        <f t="shared" ca="1" si="224"/>
      </c>
      <c r="C1020" s="78">
        <f>Кабельный_журнал!P986</f>
      </c>
      <c r="D1020" s="74">
        <f t="shared" ca="1" si="225"/>
      </c>
      <c r="E1020" s="80" t="s">
        <v>279</v>
      </c>
      <c r="F1020" s="74">
        <f t="shared" ca="1" si="221"/>
      </c>
      <c r="G1020" s="74">
        <f t="shared" si="222"/>
      </c>
      <c r="H1020" s="80" t="s">
        <v>272</v>
      </c>
      <c r="I1020" s="74">
        <f t="shared" si="223"/>
      </c>
      <c r="J1020" s="74">
        <f t="shared" si="226"/>
      </c>
      <c r="K1020" s="80" t="s">
        <v>280</v>
      </c>
      <c r="L1020" s="74">
        <f t="shared" si="227"/>
      </c>
      <c r="M1020" s="74">
        <f t="shared" ca="1" si="228"/>
      </c>
      <c r="N1020" s="74">
        <f ca="1">VLOOKUP(B1020,$C$7:$T1018,13,FALSE)</f>
      </c>
      <c r="O1020" s="74">
        <f t="shared" ca="1" si="229"/>
      </c>
      <c r="P1020" s="74">
        <f t="shared" ca="1" si="230"/>
      </c>
      <c r="Q1020" s="74">
        <f t="shared" ca="1" si="231"/>
      </c>
      <c r="R1020" s="74">
        <f t="shared" si="232"/>
      </c>
      <c r="S1020" s="74">
        <f t="shared" ca="1" si="233"/>
      </c>
      <c r="T1020" s="74">
        <f t="shared" si="234"/>
      </c>
    </row>
    <row r="1021" spans="2:20" x14ac:dyDescent="0.3">
      <c r="B1021" s="74">
        <f t="shared" ca="1" si="224"/>
      </c>
      <c r="C1021" s="78">
        <f>Кабельный_журнал!P987</f>
      </c>
      <c r="D1021" s="74">
        <f t="shared" ca="1" si="225"/>
      </c>
      <c r="E1021" s="80" t="s">
        <v>279</v>
      </c>
      <c r="F1021" s="74">
        <f t="shared" ca="1" si="221"/>
      </c>
      <c r="G1021" s="74">
        <f t="shared" si="222"/>
      </c>
      <c r="H1021" s="80" t="s">
        <v>272</v>
      </c>
      <c r="I1021" s="74">
        <f t="shared" si="223"/>
      </c>
      <c r="J1021" s="74">
        <f t="shared" si="226"/>
      </c>
      <c r="K1021" s="80" t="s">
        <v>280</v>
      </c>
      <c r="L1021" s="74">
        <f t="shared" si="227"/>
      </c>
      <c r="M1021" s="74">
        <f t="shared" ca="1" si="228"/>
      </c>
      <c r="N1021" s="74">
        <f ca="1">VLOOKUP(B1021,$C$7:$T1019,13,FALSE)</f>
      </c>
      <c r="O1021" s="74">
        <f t="shared" ca="1" si="229"/>
      </c>
      <c r="P1021" s="74">
        <f t="shared" ca="1" si="230"/>
      </c>
      <c r="Q1021" s="74">
        <f t="shared" ca="1" si="231"/>
      </c>
      <c r="R1021" s="74">
        <f t="shared" si="232"/>
      </c>
      <c r="S1021" s="74">
        <f t="shared" ca="1" si="233"/>
      </c>
      <c r="T1021" s="74">
        <f t="shared" si="234"/>
      </c>
    </row>
    <row r="1022" spans="2:20" x14ac:dyDescent="0.3">
      <c r="B1022" s="74">
        <f t="shared" ca="1" si="224"/>
      </c>
      <c r="C1022" s="78">
        <f>Кабельный_журнал!P988</f>
      </c>
      <c r="D1022" s="74">
        <f t="shared" ca="1" si="225"/>
      </c>
      <c r="E1022" s="80" t="s">
        <v>279</v>
      </c>
      <c r="F1022" s="74">
        <f t="shared" ca="1" si="221"/>
      </c>
      <c r="G1022" s="74">
        <f t="shared" si="222"/>
      </c>
      <c r="H1022" s="80" t="s">
        <v>272</v>
      </c>
      <c r="I1022" s="74">
        <f t="shared" si="223"/>
      </c>
      <c r="J1022" s="74">
        <f t="shared" si="226"/>
      </c>
      <c r="K1022" s="80" t="s">
        <v>280</v>
      </c>
      <c r="L1022" s="74">
        <f t="shared" si="227"/>
      </c>
      <c r="M1022" s="74">
        <f t="shared" ca="1" si="228"/>
      </c>
      <c r="N1022" s="74">
        <f ca="1">VLOOKUP(B1022,$C$7:$T1020,13,FALSE)</f>
      </c>
      <c r="O1022" s="74">
        <f t="shared" ca="1" si="229"/>
      </c>
      <c r="P1022" s="74">
        <f t="shared" ca="1" si="230"/>
      </c>
      <c r="Q1022" s="74">
        <f t="shared" ca="1" si="231"/>
      </c>
      <c r="R1022" s="74">
        <f t="shared" si="232"/>
      </c>
      <c r="S1022" s="74">
        <f t="shared" ca="1" si="233"/>
      </c>
      <c r="T1022" s="74">
        <f t="shared" si="234"/>
      </c>
    </row>
    <row r="1023" spans="2:20" x14ac:dyDescent="0.3">
      <c r="B1023" s="74">
        <f t="shared" ca="1" si="224"/>
      </c>
      <c r="C1023" s="78">
        <f>Кабельный_журнал!P989</f>
      </c>
      <c r="D1023" s="74">
        <f t="shared" ca="1" si="225"/>
      </c>
      <c r="E1023" s="80" t="s">
        <v>279</v>
      </c>
      <c r="F1023" s="74">
        <f t="shared" ca="1" si="221"/>
      </c>
      <c r="G1023" s="74">
        <f t="shared" si="222"/>
      </c>
      <c r="H1023" s="80" t="s">
        <v>272</v>
      </c>
      <c r="I1023" s="74">
        <f t="shared" si="223"/>
      </c>
      <c r="J1023" s="74">
        <f t="shared" si="226"/>
      </c>
      <c r="K1023" s="80" t="s">
        <v>280</v>
      </c>
      <c r="L1023" s="74">
        <f t="shared" si="227"/>
      </c>
      <c r="M1023" s="74">
        <f t="shared" ca="1" si="228"/>
      </c>
      <c r="N1023" s="74">
        <f ca="1">VLOOKUP(B1023,$C$7:$T1021,13,FALSE)</f>
      </c>
      <c r="O1023" s="74">
        <f t="shared" ca="1" si="229"/>
      </c>
      <c r="P1023" s="74">
        <f t="shared" ca="1" si="230"/>
      </c>
      <c r="Q1023" s="74">
        <f t="shared" ca="1" si="231"/>
      </c>
      <c r="R1023" s="74">
        <f t="shared" si="232"/>
      </c>
      <c r="S1023" s="74">
        <f t="shared" ca="1" si="233"/>
      </c>
      <c r="T1023" s="74">
        <f t="shared" si="234"/>
      </c>
    </row>
    <row r="1024" spans="2:20" x14ac:dyDescent="0.3">
      <c r="B1024" s="74">
        <f t="shared" ca="1" si="224"/>
      </c>
      <c r="C1024" s="78">
        <f>Кабельный_журнал!P990</f>
      </c>
      <c r="D1024" s="74">
        <f t="shared" ca="1" si="225"/>
      </c>
      <c r="E1024" s="80" t="s">
        <v>279</v>
      </c>
      <c r="F1024" s="74">
        <f t="shared" ca="1" si="221"/>
      </c>
      <c r="G1024" s="74">
        <f t="shared" si="222"/>
      </c>
      <c r="H1024" s="80" t="s">
        <v>272</v>
      </c>
      <c r="I1024" s="74">
        <f t="shared" si="223"/>
      </c>
      <c r="J1024" s="74">
        <f t="shared" si="226"/>
      </c>
      <c r="K1024" s="80" t="s">
        <v>280</v>
      </c>
      <c r="L1024" s="74">
        <f t="shared" si="227"/>
      </c>
      <c r="M1024" s="74">
        <f t="shared" ca="1" si="228"/>
      </c>
      <c r="N1024" s="74">
        <f ca="1">VLOOKUP(B1024,$C$7:$T1022,13,FALSE)</f>
      </c>
      <c r="O1024" s="74">
        <f t="shared" ca="1" si="229"/>
      </c>
      <c r="P1024" s="74">
        <f t="shared" ca="1" si="230"/>
      </c>
      <c r="Q1024" s="74">
        <f t="shared" ca="1" si="231"/>
      </c>
      <c r="R1024" s="74">
        <f t="shared" si="232"/>
      </c>
      <c r="S1024" s="74">
        <f t="shared" ca="1" si="233"/>
      </c>
      <c r="T1024" s="74">
        <f t="shared" si="234"/>
      </c>
    </row>
    <row r="1025" spans="2:20" x14ac:dyDescent="0.3">
      <c r="B1025" s="74">
        <f t="shared" ca="1" si="224"/>
      </c>
      <c r="C1025" s="78">
        <f>Кабельный_журнал!P991</f>
      </c>
      <c r="D1025" s="74">
        <f t="shared" ca="1" si="225"/>
      </c>
      <c r="E1025" s="80" t="s">
        <v>279</v>
      </c>
      <c r="F1025" s="74">
        <f t="shared" ca="1" si="221"/>
      </c>
      <c r="G1025" s="74">
        <f t="shared" si="222"/>
      </c>
      <c r="H1025" s="80" t="s">
        <v>272</v>
      </c>
      <c r="I1025" s="74">
        <f t="shared" si="223"/>
      </c>
      <c r="J1025" s="74">
        <f t="shared" si="226"/>
      </c>
      <c r="K1025" s="80" t="s">
        <v>280</v>
      </c>
      <c r="L1025" s="74">
        <f t="shared" si="227"/>
      </c>
      <c r="M1025" s="74">
        <f t="shared" ca="1" si="228"/>
      </c>
      <c r="N1025" s="74">
        <f ca="1">VLOOKUP(B1025,$C$7:$T1023,13,FALSE)</f>
      </c>
      <c r="O1025" s="74">
        <f t="shared" ca="1" si="229"/>
      </c>
      <c r="P1025" s="74">
        <f t="shared" ca="1" si="230"/>
      </c>
      <c r="Q1025" s="74">
        <f t="shared" ca="1" si="231"/>
      </c>
      <c r="R1025" s="74">
        <f t="shared" si="232"/>
      </c>
      <c r="S1025" s="74">
        <f t="shared" ca="1" si="233"/>
      </c>
      <c r="T1025" s="74">
        <f t="shared" si="234"/>
      </c>
    </row>
    <row r="1026" spans="2:20" x14ac:dyDescent="0.3">
      <c r="B1026" s="74">
        <f t="shared" ca="1" si="224"/>
      </c>
      <c r="C1026" s="78">
        <f>Кабельный_журнал!P992</f>
      </c>
      <c r="D1026" s="74">
        <f t="shared" ca="1" si="225"/>
      </c>
      <c r="E1026" s="80" t="s">
        <v>279</v>
      </c>
      <c r="F1026" s="74">
        <f t="shared" ca="1" si="221"/>
      </c>
      <c r="G1026" s="74">
        <f t="shared" si="222"/>
      </c>
      <c r="H1026" s="80" t="s">
        <v>272</v>
      </c>
      <c r="I1026" s="74">
        <f t="shared" si="223"/>
      </c>
      <c r="J1026" s="74">
        <f t="shared" si="226"/>
      </c>
      <c r="K1026" s="80" t="s">
        <v>280</v>
      </c>
      <c r="L1026" s="74">
        <f t="shared" si="227"/>
      </c>
      <c r="M1026" s="74">
        <f t="shared" ca="1" si="228"/>
      </c>
      <c r="N1026" s="74">
        <f ca="1">VLOOKUP(B1026,$C$7:$T1024,13,FALSE)</f>
      </c>
      <c r="O1026" s="74">
        <f t="shared" ca="1" si="229"/>
      </c>
      <c r="P1026" s="74">
        <f t="shared" ca="1" si="230"/>
      </c>
      <c r="Q1026" s="74">
        <f t="shared" ca="1" si="231"/>
      </c>
      <c r="R1026" s="74">
        <f t="shared" si="232"/>
      </c>
      <c r="S1026" s="74">
        <f t="shared" ca="1" si="233"/>
      </c>
      <c r="T1026" s="74">
        <f t="shared" si="234"/>
      </c>
    </row>
    <row r="1027" spans="2:20" x14ac:dyDescent="0.3">
      <c r="B1027" s="74">
        <f t="shared" ca="1" si="224"/>
      </c>
      <c r="C1027" s="78">
        <f>Кабельный_журнал!P993</f>
      </c>
      <c r="D1027" s="74">
        <f t="shared" ca="1" si="225"/>
      </c>
      <c r="E1027" s="80" t="s">
        <v>279</v>
      </c>
      <c r="F1027" s="74">
        <f t="shared" ca="1" si="221"/>
      </c>
      <c r="G1027" s="74">
        <f t="shared" si="222"/>
      </c>
      <c r="H1027" s="80" t="s">
        <v>272</v>
      </c>
      <c r="I1027" s="74">
        <f t="shared" si="223"/>
      </c>
      <c r="J1027" s="74">
        <f t="shared" si="226"/>
      </c>
      <c r="K1027" s="80" t="s">
        <v>280</v>
      </c>
      <c r="L1027" s="74">
        <f t="shared" si="227"/>
      </c>
      <c r="M1027" s="74">
        <f t="shared" ca="1" si="228"/>
      </c>
      <c r="N1027" s="74">
        <f ca="1">VLOOKUP(B1027,$C$7:$T1025,13,FALSE)</f>
      </c>
      <c r="O1027" s="74">
        <f t="shared" ca="1" si="229"/>
      </c>
      <c r="P1027" s="74">
        <f t="shared" ca="1" si="230"/>
      </c>
      <c r="Q1027" s="74">
        <f t="shared" ca="1" si="231"/>
      </c>
      <c r="R1027" s="74">
        <f t="shared" si="232"/>
      </c>
      <c r="S1027" s="74">
        <f t="shared" ca="1" si="233"/>
      </c>
      <c r="T1027" s="74">
        <f t="shared" si="234"/>
      </c>
    </row>
    <row r="1028" spans="2:20" x14ac:dyDescent="0.3">
      <c r="B1028" s="74">
        <f t="shared" ca="1" si="224"/>
      </c>
      <c r="C1028" s="78">
        <f>Кабельный_журнал!P994</f>
      </c>
      <c r="D1028" s="74">
        <f t="shared" ca="1" si="225"/>
      </c>
      <c r="E1028" s="80" t="s">
        <v>279</v>
      </c>
      <c r="F1028" s="74">
        <f t="shared" ca="1" si="221"/>
      </c>
      <c r="G1028" s="74">
        <f t="shared" si="222"/>
      </c>
      <c r="H1028" s="80" t="s">
        <v>272</v>
      </c>
      <c r="I1028" s="74">
        <f t="shared" si="223"/>
      </c>
      <c r="J1028" s="74">
        <f t="shared" si="226"/>
      </c>
      <c r="K1028" s="80" t="s">
        <v>280</v>
      </c>
      <c r="L1028" s="74">
        <f t="shared" si="227"/>
      </c>
      <c r="M1028" s="74">
        <f t="shared" ca="1" si="228"/>
      </c>
      <c r="N1028" s="74">
        <f ca="1">VLOOKUP(B1028,$C$7:$T1026,13,FALSE)</f>
      </c>
      <c r="O1028" s="74">
        <f t="shared" ca="1" si="229"/>
      </c>
      <c r="P1028" s="74">
        <f t="shared" ca="1" si="230"/>
      </c>
      <c r="Q1028" s="74">
        <f t="shared" ca="1" si="231"/>
      </c>
      <c r="R1028" s="74">
        <f t="shared" si="232"/>
      </c>
      <c r="S1028" s="74">
        <f t="shared" ca="1" si="233"/>
      </c>
      <c r="T1028" s="74">
        <f t="shared" si="234"/>
      </c>
    </row>
    <row r="1029" spans="2:20" x14ac:dyDescent="0.3">
      <c r="B1029" s="74">
        <f t="shared" ca="1" si="224"/>
      </c>
      <c r="C1029" s="78">
        <f>Кабельный_журнал!P995</f>
      </c>
      <c r="D1029" s="74">
        <f t="shared" ca="1" si="225"/>
      </c>
      <c r="E1029" s="80" t="s">
        <v>279</v>
      </c>
      <c r="F1029" s="74">
        <f t="shared" ca="1" si="221"/>
      </c>
      <c r="G1029" s="74">
        <f t="shared" si="222"/>
      </c>
      <c r="H1029" s="80" t="s">
        <v>272</v>
      </c>
      <c r="I1029" s="74">
        <f t="shared" si="223"/>
      </c>
      <c r="J1029" s="74">
        <f t="shared" si="226"/>
      </c>
      <c r="K1029" s="80" t="s">
        <v>280</v>
      </c>
      <c r="L1029" s="74">
        <f t="shared" si="227"/>
      </c>
      <c r="M1029" s="74">
        <f t="shared" ca="1" si="228"/>
      </c>
      <c r="N1029" s="74">
        <f ca="1">VLOOKUP(B1029,$C$7:$T1027,13,FALSE)</f>
      </c>
      <c r="O1029" s="74">
        <f t="shared" ca="1" si="229"/>
      </c>
      <c r="P1029" s="74">
        <f t="shared" ca="1" si="230"/>
      </c>
      <c r="Q1029" s="74">
        <f t="shared" ca="1" si="231"/>
      </c>
      <c r="R1029" s="74">
        <f t="shared" si="232"/>
      </c>
      <c r="S1029" s="74">
        <f t="shared" ca="1" si="233"/>
      </c>
      <c r="T1029" s="74">
        <f t="shared" si="234"/>
      </c>
    </row>
    <row r="1030" spans="2:20" x14ac:dyDescent="0.3">
      <c r="B1030" s="74">
        <f t="shared" ca="1" si="224"/>
      </c>
      <c r="C1030" s="78">
        <f>Кабельный_журнал!P996</f>
      </c>
      <c r="D1030" s="74">
        <f t="shared" ca="1" si="225"/>
      </c>
      <c r="E1030" s="80" t="s">
        <v>279</v>
      </c>
      <c r="F1030" s="74">
        <f t="shared" ca="1" si="221"/>
      </c>
      <c r="G1030" s="74">
        <f t="shared" si="222"/>
      </c>
      <c r="H1030" s="80" t="s">
        <v>272</v>
      </c>
      <c r="I1030" s="74">
        <f t="shared" si="223"/>
      </c>
      <c r="J1030" s="74">
        <f t="shared" si="226"/>
      </c>
      <c r="K1030" s="80" t="s">
        <v>280</v>
      </c>
      <c r="L1030" s="74">
        <f t="shared" si="227"/>
      </c>
      <c r="M1030" s="74">
        <f t="shared" ca="1" si="228"/>
      </c>
      <c r="N1030" s="74">
        <f ca="1">VLOOKUP(B1030,$C$7:$T1028,13,FALSE)</f>
      </c>
      <c r="O1030" s="74">
        <f t="shared" ca="1" si="229"/>
      </c>
      <c r="P1030" s="74">
        <f t="shared" ca="1" si="230"/>
      </c>
      <c r="Q1030" s="74">
        <f t="shared" ca="1" si="231"/>
      </c>
      <c r="R1030" s="74">
        <f t="shared" si="232"/>
      </c>
      <c r="S1030" s="74">
        <f t="shared" ca="1" si="233"/>
      </c>
      <c r="T1030" s="74">
        <f t="shared" si="234"/>
      </c>
    </row>
    <row r="1031" spans="2:20" x14ac:dyDescent="0.3">
      <c r="B1031" s="74">
        <f t="shared" ca="1" si="224"/>
      </c>
      <c r="C1031" s="78">
        <f>Кабельный_журнал!P997</f>
      </c>
      <c r="D1031" s="74">
        <f t="shared" ca="1" si="225"/>
      </c>
      <c r="E1031" s="80" t="s">
        <v>279</v>
      </c>
      <c r="F1031" s="74">
        <f t="shared" ca="1" si="221"/>
      </c>
      <c r="G1031" s="74">
        <f t="shared" si="222"/>
      </c>
      <c r="H1031" s="80" t="s">
        <v>272</v>
      </c>
      <c r="I1031" s="74">
        <f t="shared" si="223"/>
      </c>
      <c r="J1031" s="74">
        <f t="shared" si="226"/>
      </c>
      <c r="K1031" s="80" t="s">
        <v>280</v>
      </c>
      <c r="L1031" s="74">
        <f t="shared" si="227"/>
      </c>
      <c r="M1031" s="74">
        <f t="shared" ca="1" si="228"/>
      </c>
      <c r="N1031" s="74">
        <f ca="1">VLOOKUP(B1031,$C$7:$T1029,13,FALSE)</f>
      </c>
      <c r="O1031" s="74">
        <f t="shared" ca="1" si="229"/>
      </c>
      <c r="P1031" s="74">
        <f t="shared" ca="1" si="230"/>
      </c>
      <c r="Q1031" s="74">
        <f t="shared" ca="1" si="231"/>
      </c>
      <c r="R1031" s="74">
        <f t="shared" si="232"/>
      </c>
      <c r="S1031" s="74">
        <f t="shared" ca="1" si="233"/>
      </c>
      <c r="T1031" s="74">
        <f t="shared" si="234"/>
      </c>
    </row>
    <row r="1032" spans="2:20" x14ac:dyDescent="0.3">
      <c r="B1032" s="74">
        <f t="shared" ca="1" si="224"/>
      </c>
      <c r="C1032" s="78">
        <f>Кабельный_журнал!P998</f>
      </c>
      <c r="D1032" s="74">
        <f t="shared" ca="1" si="225"/>
      </c>
      <c r="E1032" s="80" t="s">
        <v>279</v>
      </c>
      <c r="F1032" s="74">
        <f t="shared" ca="1" si="221"/>
      </c>
      <c r="G1032" s="74">
        <f t="shared" si="222"/>
      </c>
      <c r="H1032" s="80" t="s">
        <v>272</v>
      </c>
      <c r="I1032" s="74">
        <f t="shared" si="223"/>
      </c>
      <c r="J1032" s="74">
        <f t="shared" si="226"/>
      </c>
      <c r="K1032" s="80" t="s">
        <v>280</v>
      </c>
      <c r="L1032" s="74">
        <f t="shared" si="227"/>
      </c>
      <c r="M1032" s="74">
        <f t="shared" ca="1" si="228"/>
      </c>
      <c r="N1032" s="74">
        <f ca="1">VLOOKUP(B1032,$C$7:$T1030,13,FALSE)</f>
      </c>
      <c r="O1032" s="74">
        <f t="shared" ca="1" si="229"/>
      </c>
      <c r="P1032" s="74">
        <f t="shared" ca="1" si="230"/>
      </c>
      <c r="Q1032" s="74">
        <f t="shared" ca="1" si="231"/>
      </c>
      <c r="R1032" s="74">
        <f t="shared" si="232"/>
      </c>
      <c r="S1032" s="74">
        <f t="shared" ca="1" si="233"/>
      </c>
      <c r="T1032" s="74">
        <f t="shared" si="234"/>
      </c>
    </row>
    <row r="1033" spans="2:20" x14ac:dyDescent="0.3">
      <c r="B1033" s="74">
        <f t="shared" ca="1" si="224"/>
      </c>
      <c r="C1033" s="78">
        <f>Кабельный_журнал!P999</f>
      </c>
      <c r="D1033" s="74">
        <f t="shared" ca="1" si="225"/>
      </c>
      <c r="E1033" s="80" t="s">
        <v>279</v>
      </c>
      <c r="F1033" s="74">
        <f t="shared" ca="1" si="221"/>
      </c>
      <c r="G1033" s="74">
        <f t="shared" si="222"/>
      </c>
      <c r="H1033" s="80" t="s">
        <v>272</v>
      </c>
      <c r="I1033" s="74">
        <f t="shared" si="223"/>
      </c>
      <c r="J1033" s="74">
        <f t="shared" si="226"/>
      </c>
      <c r="K1033" s="80" t="s">
        <v>280</v>
      </c>
      <c r="L1033" s="74">
        <f t="shared" si="227"/>
      </c>
      <c r="M1033" s="74">
        <f t="shared" ca="1" si="228"/>
      </c>
      <c r="N1033" s="74">
        <f ca="1">VLOOKUP(B1033,$C$7:$T1031,13,FALSE)</f>
      </c>
      <c r="O1033" s="74">
        <f t="shared" ca="1" si="229"/>
      </c>
      <c r="P1033" s="74">
        <f t="shared" ca="1" si="230"/>
      </c>
      <c r="Q1033" s="74">
        <f t="shared" ca="1" si="231"/>
      </c>
      <c r="R1033" s="74">
        <f t="shared" si="232"/>
      </c>
      <c r="S1033" s="74">
        <f t="shared" ca="1" si="233"/>
      </c>
      <c r="T1033" s="74">
        <f t="shared" si="234"/>
      </c>
    </row>
    <row r="1034" spans="2:20" x14ac:dyDescent="0.3">
      <c r="B1034" s="74">
        <f t="shared" ca="1" si="224"/>
      </c>
      <c r="C1034" s="78">
        <f>Кабельный_журнал!P1000</f>
      </c>
      <c r="D1034" s="74">
        <f t="shared" ca="1" si="225"/>
      </c>
      <c r="E1034" s="80" t="s">
        <v>279</v>
      </c>
      <c r="F1034" s="74">
        <f t="shared" ca="1" si="221"/>
      </c>
      <c r="G1034" s="74">
        <f t="shared" si="222"/>
      </c>
      <c r="H1034" s="80" t="s">
        <v>272</v>
      </c>
      <c r="I1034" s="74">
        <f t="shared" si="223"/>
      </c>
      <c r="J1034" s="74">
        <f t="shared" si="226"/>
      </c>
      <c r="K1034" s="80" t="s">
        <v>280</v>
      </c>
      <c r="L1034" s="74">
        <f t="shared" si="227"/>
      </c>
      <c r="M1034" s="74">
        <f t="shared" ca="1" si="228"/>
      </c>
      <c r="N1034" s="74">
        <f ca="1">VLOOKUP(B1034,$C$7:$T1032,13,FALSE)</f>
      </c>
      <c r="O1034" s="74">
        <f t="shared" ca="1" si="229"/>
      </c>
      <c r="P1034" s="74">
        <f t="shared" ca="1" si="230"/>
      </c>
      <c r="Q1034" s="74">
        <f t="shared" ca="1" si="231"/>
      </c>
      <c r="R1034" s="74">
        <f t="shared" si="232"/>
      </c>
      <c r="S1034" s="74">
        <f t="shared" ca="1" si="233"/>
      </c>
      <c r="T1034" s="74">
        <f t="shared" si="234"/>
      </c>
    </row>
    <row r="1035" spans="2:20" x14ac:dyDescent="0.3">
      <c r="B1035" s="74">
        <f t="shared" ca="1" si="224"/>
      </c>
      <c r="C1035" s="78">
        <f>Кабельный_журнал!P1001</f>
      </c>
      <c r="D1035" s="74">
        <f t="shared" ca="1" si="225"/>
      </c>
      <c r="E1035" s="80" t="s">
        <v>279</v>
      </c>
      <c r="F1035" s="74">
        <f t="shared" ca="1" si="221"/>
      </c>
      <c r="G1035" s="74">
        <f t="shared" si="222"/>
      </c>
      <c r="H1035" s="80" t="s">
        <v>272</v>
      </c>
      <c r="I1035" s="74">
        <f t="shared" si="223"/>
      </c>
      <c r="J1035" s="74">
        <f t="shared" si="226"/>
      </c>
      <c r="K1035" s="80" t="s">
        <v>280</v>
      </c>
      <c r="L1035" s="74">
        <f t="shared" si="227"/>
      </c>
      <c r="M1035" s="74">
        <f t="shared" ca="1" si="228"/>
      </c>
      <c r="N1035" s="74">
        <f ca="1">VLOOKUP(B1035,$C$7:$T1033,13,FALSE)</f>
      </c>
      <c r="O1035" s="74">
        <f t="shared" ca="1" si="229"/>
      </c>
      <c r="P1035" s="74">
        <f t="shared" ca="1" si="230"/>
      </c>
      <c r="Q1035" s="74">
        <f t="shared" ca="1" si="231"/>
      </c>
      <c r="R1035" s="74">
        <f t="shared" si="232"/>
      </c>
      <c r="S1035" s="74">
        <f t="shared" ca="1" si="233"/>
      </c>
      <c r="T1035" s="74">
        <f t="shared" si="234"/>
      </c>
    </row>
    <row r="1036" spans="2:20" x14ac:dyDescent="0.3">
      <c r="B1036" s="74">
        <f t="shared" ca="1" si="224"/>
      </c>
      <c r="C1036" s="78">
        <f>Кабельный_журнал!P1002</f>
      </c>
      <c r="D1036" s="74">
        <f t="shared" ca="1" si="225"/>
      </c>
      <c r="E1036" s="80" t="s">
        <v>279</v>
      </c>
      <c r="F1036" s="74">
        <f t="shared" ca="1" si="221"/>
      </c>
      <c r="G1036" s="74">
        <f t="shared" si="222"/>
      </c>
      <c r="H1036" s="80" t="s">
        <v>272</v>
      </c>
      <c r="I1036" s="74">
        <f t="shared" si="223"/>
      </c>
      <c r="J1036" s="74">
        <f t="shared" si="226"/>
      </c>
      <c r="K1036" s="80" t="s">
        <v>280</v>
      </c>
      <c r="L1036" s="74">
        <f t="shared" si="227"/>
      </c>
      <c r="M1036" s="74">
        <f t="shared" ca="1" si="228"/>
      </c>
      <c r="N1036" s="74">
        <f ca="1">VLOOKUP(B1036,$C$7:$T1034,13,FALSE)</f>
      </c>
      <c r="O1036" s="74">
        <f t="shared" ca="1" si="229"/>
      </c>
      <c r="P1036" s="74">
        <f t="shared" ca="1" si="230"/>
      </c>
      <c r="Q1036" s="74">
        <f t="shared" ca="1" si="231"/>
      </c>
      <c r="R1036" s="74">
        <f t="shared" si="232"/>
      </c>
      <c r="S1036" s="74">
        <f t="shared" ca="1" si="233"/>
      </c>
      <c r="T1036" s="74">
        <f t="shared" si="234"/>
      </c>
    </row>
    <row r="1037" spans="2:20" x14ac:dyDescent="0.3">
      <c r="B1037" s="74">
        <f t="shared" ca="1" si="224"/>
      </c>
      <c r="C1037" s="78">
        <f>Кабельный_журнал!P1003</f>
      </c>
      <c r="D1037" s="74">
        <f t="shared" ca="1" si="225"/>
      </c>
      <c r="E1037" s="80" t="s">
        <v>279</v>
      </c>
      <c r="F1037" s="74">
        <f t="shared" ca="1" si="221"/>
      </c>
      <c r="G1037" s="74">
        <f t="shared" si="222"/>
      </c>
      <c r="H1037" s="80" t="s">
        <v>272</v>
      </c>
      <c r="I1037" s="74">
        <f t="shared" si="223"/>
      </c>
      <c r="J1037" s="74">
        <f t="shared" si="226"/>
      </c>
      <c r="K1037" s="80" t="s">
        <v>280</v>
      </c>
      <c r="L1037" s="74">
        <f t="shared" si="227"/>
      </c>
      <c r="M1037" s="74">
        <f t="shared" ca="1" si="228"/>
      </c>
      <c r="N1037" s="74">
        <f ca="1">VLOOKUP(B1037,$C$7:$T1035,13,FALSE)</f>
      </c>
      <c r="O1037" s="74">
        <f t="shared" ca="1" si="229"/>
      </c>
      <c r="P1037" s="74">
        <f t="shared" ca="1" si="230"/>
      </c>
      <c r="Q1037" s="74">
        <f t="shared" ca="1" si="231"/>
      </c>
      <c r="R1037" s="74">
        <f t="shared" si="232"/>
      </c>
      <c r="S1037" s="74">
        <f t="shared" ca="1" si="233"/>
      </c>
      <c r="T1037" s="74">
        <f t="shared" si="234"/>
      </c>
    </row>
    <row r="1038" spans="2:20" x14ac:dyDescent="0.3">
      <c r="B1038" s="74">
        <f t="shared" ca="1" si="224"/>
      </c>
      <c r="C1038" s="78">
        <f>Кабельный_журнал!P1004</f>
      </c>
      <c r="D1038" s="74">
        <f t="shared" ca="1" si="225"/>
      </c>
      <c r="E1038" s="80" t="s">
        <v>279</v>
      </c>
      <c r="F1038" s="74">
        <f t="shared" ca="1" si="221"/>
      </c>
      <c r="G1038" s="74">
        <f t="shared" si="222"/>
      </c>
      <c r="H1038" s="80" t="s">
        <v>272</v>
      </c>
      <c r="I1038" s="74">
        <f t="shared" si="223"/>
      </c>
      <c r="J1038" s="74">
        <f t="shared" si="226"/>
      </c>
      <c r="K1038" s="80" t="s">
        <v>280</v>
      </c>
      <c r="L1038" s="74">
        <f t="shared" si="227"/>
      </c>
      <c r="M1038" s="74">
        <f t="shared" ca="1" si="228"/>
      </c>
      <c r="N1038" s="74">
        <f ca="1">VLOOKUP(B1038,$C$7:$T1036,13,FALSE)</f>
      </c>
      <c r="O1038" s="74">
        <f t="shared" ca="1" si="229"/>
      </c>
      <c r="P1038" s="74">
        <f t="shared" ca="1" si="230"/>
      </c>
      <c r="Q1038" s="74">
        <f t="shared" ca="1" si="231"/>
      </c>
      <c r="R1038" s="74">
        <f t="shared" si="232"/>
      </c>
      <c r="S1038" s="74">
        <f t="shared" ca="1" si="233"/>
      </c>
      <c r="T1038" s="74">
        <f t="shared" si="234"/>
      </c>
    </row>
    <row r="1039" spans="2:20" x14ac:dyDescent="0.3">
      <c r="B1039" s="74">
        <f t="shared" ca="1" si="224"/>
      </c>
      <c r="C1039" s="78">
        <f>Кабельный_журнал!P1005</f>
      </c>
      <c r="D1039" s="74">
        <f t="shared" ca="1" si="225"/>
      </c>
      <c r="E1039" s="80" t="s">
        <v>279</v>
      </c>
      <c r="F1039" s="74">
        <f t="shared" ca="1" si="221"/>
      </c>
      <c r="G1039" s="74">
        <f t="shared" si="222"/>
      </c>
      <c r="H1039" s="80" t="s">
        <v>272</v>
      </c>
      <c r="I1039" s="74">
        <f t="shared" si="223"/>
      </c>
      <c r="J1039" s="74">
        <f t="shared" si="226"/>
      </c>
      <c r="K1039" s="80" t="s">
        <v>280</v>
      </c>
      <c r="L1039" s="74">
        <f t="shared" si="227"/>
      </c>
      <c r="M1039" s="74">
        <f t="shared" ca="1" si="228"/>
      </c>
      <c r="N1039" s="74">
        <f ca="1">VLOOKUP(B1039,$C$7:$T1037,13,FALSE)</f>
      </c>
      <c r="O1039" s="74">
        <f t="shared" ca="1" si="229"/>
      </c>
      <c r="P1039" s="74">
        <f t="shared" ca="1" si="230"/>
      </c>
      <c r="Q1039" s="74">
        <f t="shared" ca="1" si="231"/>
      </c>
      <c r="R1039" s="74">
        <f t="shared" si="232"/>
      </c>
      <c r="S1039" s="74">
        <f t="shared" ca="1" si="233"/>
      </c>
      <c r="T1039" s="74">
        <f t="shared" si="234"/>
      </c>
    </row>
    <row r="1040" spans="2:20" x14ac:dyDescent="0.3">
      <c r="B1040" s="74">
        <f t="shared" ca="1" si="224"/>
      </c>
      <c r="C1040" s="78">
        <f>Кабельный_журнал!P1006</f>
      </c>
      <c r="D1040" s="74">
        <f t="shared" ca="1" si="225"/>
      </c>
      <c r="E1040" s="80" t="s">
        <v>279</v>
      </c>
      <c r="F1040" s="74">
        <f t="shared" ca="1" si="221"/>
      </c>
      <c r="G1040" s="74">
        <f t="shared" si="222"/>
      </c>
      <c r="H1040" s="80" t="s">
        <v>272</v>
      </c>
      <c r="I1040" s="74">
        <f t="shared" si="223"/>
      </c>
      <c r="J1040" s="74">
        <f t="shared" si="226"/>
      </c>
      <c r="K1040" s="80" t="s">
        <v>280</v>
      </c>
      <c r="L1040" s="74">
        <f t="shared" si="227"/>
      </c>
      <c r="M1040" s="74">
        <f t="shared" ca="1" si="228"/>
      </c>
      <c r="N1040" s="74">
        <f ca="1">VLOOKUP(B1040,$C$7:$T1038,13,FALSE)</f>
      </c>
      <c r="O1040" s="74">
        <f t="shared" ca="1" si="229"/>
      </c>
      <c r="P1040" s="74">
        <f t="shared" ca="1" si="230"/>
      </c>
      <c r="Q1040" s="74">
        <f t="shared" ca="1" si="231"/>
      </c>
      <c r="R1040" s="74">
        <f t="shared" si="232"/>
      </c>
      <c r="S1040" s="74">
        <f t="shared" ca="1" si="233"/>
      </c>
      <c r="T1040" s="74">
        <f t="shared" si="234"/>
      </c>
    </row>
    <row r="1041" spans="2:20" x14ac:dyDescent="0.3">
      <c r="B1041" s="74">
        <f t="shared" ca="1" si="224"/>
      </c>
      <c r="C1041" s="78">
        <f>Кабельный_журнал!P1007</f>
      </c>
      <c r="D1041" s="74">
        <f t="shared" ca="1" si="225"/>
      </c>
      <c r="E1041" s="80" t="s">
        <v>279</v>
      </c>
      <c r="F1041" s="74">
        <f t="shared" ca="1" si="221"/>
      </c>
      <c r="G1041" s="74">
        <f t="shared" si="222"/>
      </c>
      <c r="H1041" s="80" t="s">
        <v>272</v>
      </c>
      <c r="I1041" s="74">
        <f t="shared" si="223"/>
      </c>
      <c r="J1041" s="74">
        <f t="shared" si="226"/>
      </c>
      <c r="K1041" s="80" t="s">
        <v>280</v>
      </c>
      <c r="L1041" s="74">
        <f t="shared" si="227"/>
      </c>
      <c r="M1041" s="74">
        <f t="shared" ca="1" si="228"/>
      </c>
      <c r="N1041" s="74">
        <f ca="1">VLOOKUP(B1041,$C$7:$T1039,13,FALSE)</f>
      </c>
      <c r="O1041" s="74">
        <f t="shared" ca="1" si="229"/>
      </c>
      <c r="P1041" s="74">
        <f t="shared" ca="1" si="230"/>
      </c>
      <c r="Q1041" s="74">
        <f t="shared" ca="1" si="231"/>
      </c>
      <c r="R1041" s="74">
        <f t="shared" si="232"/>
      </c>
      <c r="S1041" s="74">
        <f t="shared" ca="1" si="233"/>
      </c>
      <c r="T1041" s="74">
        <f t="shared" si="234"/>
      </c>
    </row>
    <row r="1042" spans="2:20" x14ac:dyDescent="0.3">
      <c r="B1042" s="74">
        <f t="shared" ca="1" si="224"/>
      </c>
      <c r="C1042" s="78">
        <f>Кабельный_журнал!P1008</f>
      </c>
      <c r="D1042" s="74">
        <f t="shared" ca="1" si="225"/>
      </c>
      <c r="E1042" s="80" t="s">
        <v>279</v>
      </c>
      <c r="F1042" s="74">
        <f t="shared" ca="1" si="221"/>
      </c>
      <c r="G1042" s="74">
        <f t="shared" si="222"/>
      </c>
      <c r="H1042" s="80" t="s">
        <v>272</v>
      </c>
      <c r="I1042" s="74">
        <f t="shared" si="223"/>
      </c>
      <c r="J1042" s="74">
        <f t="shared" si="226"/>
      </c>
      <c r="K1042" s="80" t="s">
        <v>280</v>
      </c>
      <c r="L1042" s="74">
        <f t="shared" si="227"/>
      </c>
      <c r="M1042" s="74">
        <f t="shared" ca="1" si="228"/>
      </c>
      <c r="N1042" s="74">
        <f ca="1">VLOOKUP(B1042,$C$7:$T1040,13,FALSE)</f>
      </c>
      <c r="O1042" s="74">
        <f t="shared" ca="1" si="229"/>
      </c>
      <c r="P1042" s="74">
        <f t="shared" ca="1" si="230"/>
      </c>
      <c r="Q1042" s="74">
        <f t="shared" ca="1" si="231"/>
      </c>
      <c r="R1042" s="74">
        <f t="shared" si="232"/>
      </c>
      <c r="S1042" s="74">
        <f t="shared" ca="1" si="233"/>
      </c>
      <c r="T1042" s="74">
        <f t="shared" si="234"/>
      </c>
    </row>
    <row r="1043" spans="2:20" x14ac:dyDescent="0.3">
      <c r="B1043" s="74">
        <f t="shared" ca="1" si="224"/>
      </c>
      <c r="C1043" s="78">
        <f>Кабельный_журнал!P1009</f>
      </c>
      <c r="D1043" s="74">
        <f t="shared" ca="1" si="225"/>
      </c>
      <c r="E1043" s="80" t="s">
        <v>279</v>
      </c>
      <c r="F1043" s="74">
        <f t="shared" ca="1" si="221"/>
      </c>
      <c r="G1043" s="74">
        <f t="shared" si="222"/>
      </c>
      <c r="H1043" s="80" t="s">
        <v>272</v>
      </c>
      <c r="I1043" s="74">
        <f t="shared" si="223"/>
      </c>
      <c r="J1043" s="74">
        <f t="shared" si="226"/>
      </c>
      <c r="K1043" s="80" t="s">
        <v>280</v>
      </c>
      <c r="L1043" s="74">
        <f t="shared" si="227"/>
      </c>
      <c r="M1043" s="74">
        <f t="shared" ca="1" si="228"/>
      </c>
      <c r="N1043" s="74">
        <f ca="1">VLOOKUP(B1043,$C$7:$T1041,13,FALSE)</f>
      </c>
      <c r="O1043" s="74">
        <f t="shared" ca="1" si="229"/>
      </c>
      <c r="P1043" s="74">
        <f t="shared" ca="1" si="230"/>
      </c>
      <c r="Q1043" s="74">
        <f t="shared" ca="1" si="231"/>
      </c>
      <c r="R1043" s="74">
        <f t="shared" si="232"/>
      </c>
      <c r="S1043" s="74">
        <f t="shared" ca="1" si="233"/>
      </c>
      <c r="T1043" s="74">
        <f t="shared" si="234"/>
      </c>
    </row>
    <row r="1044" spans="2:20" x14ac:dyDescent="0.3">
      <c r="B1044" s="74">
        <f t="shared" ca="1" si="224"/>
      </c>
      <c r="C1044" s="78">
        <f>Кабельный_журнал!P1010</f>
      </c>
      <c r="D1044" s="74">
        <f t="shared" ca="1" si="225"/>
      </c>
      <c r="E1044" s="80" t="s">
        <v>279</v>
      </c>
      <c r="F1044" s="74">
        <f t="shared" ca="1" si="221"/>
      </c>
      <c r="G1044" s="74">
        <f t="shared" si="222"/>
      </c>
      <c r="H1044" s="80" t="s">
        <v>272</v>
      </c>
      <c r="I1044" s="74">
        <f t="shared" si="223"/>
      </c>
      <c r="J1044" s="74">
        <f t="shared" si="226"/>
      </c>
      <c r="K1044" s="80" t="s">
        <v>280</v>
      </c>
      <c r="L1044" s="74">
        <f t="shared" si="227"/>
      </c>
      <c r="M1044" s="74">
        <f t="shared" ca="1" si="228"/>
      </c>
      <c r="N1044" s="74">
        <f ca="1">VLOOKUP(B1044,$C$7:$T1042,13,FALSE)</f>
      </c>
      <c r="O1044" s="74">
        <f t="shared" ca="1" si="229"/>
      </c>
      <c r="P1044" s="74">
        <f t="shared" ca="1" si="230"/>
      </c>
      <c r="Q1044" s="74">
        <f t="shared" ca="1" si="231"/>
      </c>
      <c r="R1044" s="74">
        <f t="shared" si="232"/>
      </c>
      <c r="S1044" s="74">
        <f t="shared" ca="1" si="233"/>
      </c>
      <c r="T1044" s="74">
        <f t="shared" si="234"/>
      </c>
    </row>
    <row r="1045" spans="2:20" x14ac:dyDescent="0.3">
      <c r="B1045" s="74">
        <f t="shared" ca="1" si="224"/>
      </c>
      <c r="C1045" s="78">
        <f>Кабельный_журнал!P1011</f>
      </c>
      <c r="D1045" s="74">
        <f t="shared" ca="1" si="225"/>
      </c>
      <c r="E1045" s="80" t="s">
        <v>279</v>
      </c>
      <c r="F1045" s="74">
        <f t="shared" ca="1" si="221"/>
      </c>
      <c r="G1045" s="74">
        <f t="shared" si="222"/>
      </c>
      <c r="H1045" s="80" t="s">
        <v>272</v>
      </c>
      <c r="I1045" s="74">
        <f t="shared" si="223"/>
      </c>
      <c r="J1045" s="74">
        <f t="shared" si="226"/>
      </c>
      <c r="K1045" s="80" t="s">
        <v>280</v>
      </c>
      <c r="L1045" s="74">
        <f t="shared" si="227"/>
      </c>
      <c r="M1045" s="74">
        <f t="shared" ca="1" si="228"/>
      </c>
      <c r="N1045" s="74">
        <f ca="1">VLOOKUP(B1045,$C$7:$T1043,13,FALSE)</f>
      </c>
      <c r="O1045" s="74">
        <f t="shared" ca="1" si="229"/>
      </c>
      <c r="P1045" s="74">
        <f t="shared" ca="1" si="230"/>
      </c>
      <c r="Q1045" s="74">
        <f t="shared" ca="1" si="231"/>
      </c>
      <c r="R1045" s="74">
        <f t="shared" si="232"/>
      </c>
      <c r="S1045" s="74">
        <f t="shared" ca="1" si="233"/>
      </c>
      <c r="T1045" s="74">
        <f t="shared" si="234"/>
      </c>
    </row>
    <row r="1046" spans="2:20" x14ac:dyDescent="0.3">
      <c r="B1046" s="74">
        <f t="shared" ca="1" si="224"/>
      </c>
      <c r="C1046" s="78">
        <f>Кабельный_журнал!P1012</f>
      </c>
      <c r="D1046" s="74">
        <f t="shared" ca="1" si="225"/>
      </c>
      <c r="E1046" s="80" t="s">
        <v>279</v>
      </c>
      <c r="F1046" s="74">
        <f t="shared" ca="1" si="221"/>
      </c>
      <c r="G1046" s="74">
        <f t="shared" si="222"/>
      </c>
      <c r="H1046" s="80" t="s">
        <v>272</v>
      </c>
      <c r="I1046" s="74">
        <f t="shared" si="223"/>
      </c>
      <c r="J1046" s="74">
        <f t="shared" si="226"/>
      </c>
      <c r="K1046" s="80" t="s">
        <v>280</v>
      </c>
      <c r="L1046" s="74">
        <f t="shared" si="227"/>
      </c>
      <c r="M1046" s="74">
        <f t="shared" ca="1" si="228"/>
      </c>
      <c r="N1046" s="74">
        <f ca="1">VLOOKUP(B1046,$C$7:$T1044,13,FALSE)</f>
      </c>
      <c r="O1046" s="74">
        <f t="shared" ca="1" si="229"/>
      </c>
      <c r="P1046" s="74">
        <f t="shared" ca="1" si="230"/>
      </c>
      <c r="Q1046" s="74">
        <f t="shared" ca="1" si="231"/>
      </c>
      <c r="R1046" s="74">
        <f t="shared" si="232"/>
      </c>
      <c r="S1046" s="74">
        <f t="shared" ca="1" si="233"/>
      </c>
      <c r="T1046" s="74">
        <f t="shared" si="234"/>
      </c>
    </row>
    <row r="1047" spans="2:20" x14ac:dyDescent="0.3">
      <c r="B1047" s="74">
        <f t="shared" ca="1" si="224"/>
      </c>
      <c r="C1047" s="78">
        <f>Кабельный_журнал!P1013</f>
      </c>
      <c r="D1047" s="74">
        <f t="shared" ca="1" si="225"/>
      </c>
      <c r="E1047" s="80" t="s">
        <v>279</v>
      </c>
      <c r="F1047" s="74">
        <f t="shared" ca="1" si="221"/>
      </c>
      <c r="G1047" s="74">
        <f t="shared" si="222"/>
      </c>
      <c r="H1047" s="80" t="s">
        <v>272</v>
      </c>
      <c r="I1047" s="74">
        <f t="shared" si="223"/>
      </c>
      <c r="J1047" s="74">
        <f t="shared" si="226"/>
      </c>
      <c r="K1047" s="80" t="s">
        <v>280</v>
      </c>
      <c r="L1047" s="74">
        <f t="shared" si="227"/>
      </c>
      <c r="M1047" s="74">
        <f t="shared" ca="1" si="228"/>
      </c>
      <c r="N1047" s="74">
        <f ca="1">VLOOKUP(B1047,$C$7:$T1045,13,FALSE)</f>
      </c>
      <c r="O1047" s="74">
        <f t="shared" ca="1" si="229"/>
      </c>
      <c r="P1047" s="74">
        <f t="shared" ca="1" si="230"/>
      </c>
      <c r="Q1047" s="74">
        <f t="shared" ca="1" si="231"/>
      </c>
      <c r="R1047" s="74">
        <f t="shared" si="232"/>
      </c>
      <c r="S1047" s="74">
        <f t="shared" ca="1" si="233"/>
      </c>
      <c r="T1047" s="74">
        <f t="shared" si="234"/>
      </c>
    </row>
    <row r="1048" spans="2:20" x14ac:dyDescent="0.3">
      <c r="B1048" s="74">
        <f t="shared" ca="1" si="224"/>
      </c>
      <c r="C1048" s="78">
        <f>Кабельный_журнал!P1014</f>
      </c>
      <c r="D1048" s="74">
        <f t="shared" ca="1" si="225"/>
      </c>
      <c r="E1048" s="80" t="s">
        <v>279</v>
      </c>
      <c r="F1048" s="74">
        <f t="shared" ca="1" si="221"/>
      </c>
      <c r="G1048" s="74">
        <f t="shared" si="222"/>
      </c>
      <c r="H1048" s="80" t="s">
        <v>272</v>
      </c>
      <c r="I1048" s="74">
        <f t="shared" si="223"/>
      </c>
      <c r="J1048" s="74">
        <f t="shared" si="226"/>
      </c>
      <c r="K1048" s="80" t="s">
        <v>280</v>
      </c>
      <c r="L1048" s="74">
        <f t="shared" si="227"/>
      </c>
      <c r="M1048" s="74">
        <f t="shared" ca="1" si="228"/>
      </c>
      <c r="N1048" s="74">
        <f ca="1">VLOOKUP(B1048,$C$7:$T1046,13,FALSE)</f>
      </c>
      <c r="O1048" s="74">
        <f t="shared" ca="1" si="229"/>
      </c>
      <c r="P1048" s="74">
        <f t="shared" ca="1" si="230"/>
      </c>
      <c r="Q1048" s="74">
        <f t="shared" ca="1" si="231"/>
      </c>
      <c r="R1048" s="74">
        <f t="shared" si="232"/>
      </c>
      <c r="S1048" s="74">
        <f t="shared" ca="1" si="233"/>
      </c>
      <c r="T1048" s="74">
        <f t="shared" si="234"/>
      </c>
    </row>
    <row r="1049" spans="2:20" x14ac:dyDescent="0.3">
      <c r="B1049" s="74">
        <f t="shared" ca="1" si="224"/>
      </c>
      <c r="C1049" s="78">
        <f>Кабельный_журнал!P1015</f>
      </c>
      <c r="D1049" s="74">
        <f t="shared" ca="1" si="225"/>
      </c>
      <c r="E1049" s="80" t="s">
        <v>279</v>
      </c>
      <c r="F1049" s="74">
        <f t="shared" ca="1" si="221"/>
      </c>
      <c r="G1049" s="74">
        <f t="shared" si="222"/>
      </c>
      <c r="H1049" s="80" t="s">
        <v>272</v>
      </c>
      <c r="I1049" s="74">
        <f t="shared" si="223"/>
      </c>
      <c r="J1049" s="74">
        <f t="shared" si="226"/>
      </c>
      <c r="K1049" s="80" t="s">
        <v>280</v>
      </c>
      <c r="L1049" s="74">
        <f t="shared" si="227"/>
      </c>
      <c r="M1049" s="74">
        <f t="shared" ca="1" si="228"/>
      </c>
      <c r="N1049" s="74">
        <f ca="1">VLOOKUP(B1049,$C$7:$T1047,13,FALSE)</f>
      </c>
      <c r="O1049" s="74">
        <f t="shared" ca="1" si="229"/>
      </c>
      <c r="P1049" s="74">
        <f t="shared" ca="1" si="230"/>
      </c>
      <c r="Q1049" s="74">
        <f t="shared" ca="1" si="231"/>
      </c>
      <c r="R1049" s="74">
        <f t="shared" si="232"/>
      </c>
      <c r="S1049" s="74">
        <f t="shared" ca="1" si="233"/>
      </c>
      <c r="T1049" s="74">
        <f t="shared" si="234"/>
      </c>
    </row>
    <row r="1050" spans="2:20" x14ac:dyDescent="0.3">
      <c r="B1050" s="74">
        <f t="shared" ca="1" si="224"/>
      </c>
      <c r="C1050" s="78">
        <f>Кабельный_журнал!P1016</f>
      </c>
      <c r="D1050" s="74">
        <f t="shared" ca="1" si="225"/>
      </c>
      <c r="E1050" s="80" t="s">
        <v>279</v>
      </c>
      <c r="F1050" s="74">
        <f t="shared" ca="1" si="221"/>
      </c>
      <c r="G1050" s="74">
        <f t="shared" si="222"/>
      </c>
      <c r="H1050" s="80" t="s">
        <v>272</v>
      </c>
      <c r="I1050" s="74">
        <f t="shared" si="223"/>
      </c>
      <c r="J1050" s="74">
        <f t="shared" si="226"/>
      </c>
      <c r="K1050" s="80" t="s">
        <v>280</v>
      </c>
      <c r="L1050" s="74">
        <f t="shared" si="227"/>
      </c>
      <c r="M1050" s="74">
        <f t="shared" ca="1" si="228"/>
      </c>
      <c r="N1050" s="74">
        <f ca="1">VLOOKUP(B1050,$C$7:$T1048,13,FALSE)</f>
      </c>
      <c r="O1050" s="74">
        <f t="shared" ca="1" si="229"/>
      </c>
      <c r="P1050" s="74">
        <f t="shared" ca="1" si="230"/>
      </c>
      <c r="Q1050" s="74">
        <f t="shared" ca="1" si="231"/>
      </c>
      <c r="R1050" s="74">
        <f t="shared" si="232"/>
      </c>
      <c r="S1050" s="74">
        <f t="shared" ca="1" si="233"/>
      </c>
      <c r="T1050" s="74">
        <f t="shared" si="234"/>
      </c>
    </row>
    <row r="1051" spans="2:20" x14ac:dyDescent="0.3">
      <c r="B1051" s="74">
        <f t="shared" ca="1" si="224"/>
      </c>
      <c r="C1051" s="78">
        <f>Кабельный_журнал!P1017</f>
      </c>
      <c r="D1051" s="74">
        <f t="shared" ca="1" si="225"/>
      </c>
      <c r="E1051" s="80" t="s">
        <v>279</v>
      </c>
      <c r="F1051" s="74">
        <f t="shared" ca="1" si="221"/>
      </c>
      <c r="G1051" s="74">
        <f t="shared" si="222"/>
      </c>
      <c r="H1051" s="80" t="s">
        <v>272</v>
      </c>
      <c r="I1051" s="74">
        <f t="shared" si="223"/>
      </c>
      <c r="J1051" s="74">
        <f t="shared" si="226"/>
      </c>
      <c r="K1051" s="80" t="s">
        <v>280</v>
      </c>
      <c r="L1051" s="74">
        <f t="shared" si="227"/>
      </c>
      <c r="M1051" s="74">
        <f t="shared" ca="1" si="228"/>
      </c>
      <c r="N1051" s="74">
        <f ca="1">VLOOKUP(B1051,$C$7:$T1049,13,FALSE)</f>
      </c>
      <c r="O1051" s="74">
        <f t="shared" ca="1" si="229"/>
      </c>
      <c r="P1051" s="74">
        <f t="shared" ca="1" si="230"/>
      </c>
      <c r="Q1051" s="74">
        <f t="shared" ca="1" si="231"/>
      </c>
      <c r="R1051" s="74">
        <f t="shared" si="232"/>
      </c>
      <c r="S1051" s="74">
        <f t="shared" ca="1" si="233"/>
      </c>
      <c r="T1051" s="74">
        <f t="shared" si="234"/>
      </c>
    </row>
    <row r="1052" spans="2:20" x14ac:dyDescent="0.3">
      <c r="B1052" s="74">
        <f t="shared" ca="1" si="224"/>
      </c>
      <c r="C1052" s="78">
        <f>Кабельный_журнал!P1018</f>
      </c>
      <c r="D1052" s="74">
        <f t="shared" ca="1" si="225"/>
      </c>
      <c r="E1052" s="80" t="s">
        <v>279</v>
      </c>
      <c r="F1052" s="74">
        <f t="shared" ca="1" si="221"/>
      </c>
      <c r="G1052" s="74">
        <f t="shared" si="222"/>
      </c>
      <c r="H1052" s="80" t="s">
        <v>272</v>
      </c>
      <c r="I1052" s="74">
        <f t="shared" si="223"/>
      </c>
      <c r="J1052" s="74">
        <f t="shared" si="226"/>
      </c>
      <c r="K1052" s="80" t="s">
        <v>280</v>
      </c>
      <c r="L1052" s="74">
        <f t="shared" si="227"/>
      </c>
      <c r="M1052" s="74">
        <f t="shared" ca="1" si="228"/>
      </c>
      <c r="N1052" s="74">
        <f ca="1">VLOOKUP(B1052,$C$7:$T1050,13,FALSE)</f>
      </c>
      <c r="O1052" s="74">
        <f t="shared" ca="1" si="229"/>
      </c>
      <c r="P1052" s="74">
        <f t="shared" ca="1" si="230"/>
      </c>
      <c r="Q1052" s="74">
        <f t="shared" ca="1" si="231"/>
      </c>
      <c r="R1052" s="74">
        <f t="shared" si="232"/>
      </c>
      <c r="S1052" s="74">
        <f t="shared" ca="1" si="233"/>
      </c>
      <c r="T1052" s="74">
        <f t="shared" si="234"/>
      </c>
    </row>
    <row r="1053" spans="2:20" x14ac:dyDescent="0.3">
      <c r="B1053" s="74">
        <f t="shared" ca="1" si="224"/>
      </c>
      <c r="C1053" s="78">
        <f>Кабельный_журнал!P1019</f>
      </c>
      <c r="D1053" s="74">
        <f t="shared" ca="1" si="225"/>
      </c>
      <c r="E1053" s="80" t="s">
        <v>279</v>
      </c>
      <c r="F1053" s="74">
        <f t="shared" ca="1" si="221"/>
      </c>
      <c r="G1053" s="74">
        <f t="shared" si="222"/>
      </c>
      <c r="H1053" s="80" t="s">
        <v>272</v>
      </c>
      <c r="I1053" s="74">
        <f t="shared" si="223"/>
      </c>
      <c r="J1053" s="74">
        <f t="shared" si="226"/>
      </c>
      <c r="K1053" s="80" t="s">
        <v>280</v>
      </c>
      <c r="L1053" s="74">
        <f t="shared" si="227"/>
      </c>
      <c r="M1053" s="74">
        <f t="shared" ca="1" si="228"/>
      </c>
      <c r="N1053" s="74">
        <f ca="1">VLOOKUP(B1053,$C$7:$T1051,13,FALSE)</f>
      </c>
      <c r="O1053" s="74">
        <f t="shared" ca="1" si="229"/>
      </c>
      <c r="P1053" s="74">
        <f t="shared" ca="1" si="230"/>
      </c>
      <c r="Q1053" s="74">
        <f t="shared" ca="1" si="231"/>
      </c>
      <c r="R1053" s="74">
        <f t="shared" si="232"/>
      </c>
      <c r="S1053" s="74">
        <f t="shared" ca="1" si="233"/>
      </c>
      <c r="T1053" s="74">
        <f t="shared" si="234"/>
      </c>
    </row>
    <row r="1054" spans="2:20" x14ac:dyDescent="0.3">
      <c r="B1054" s="74">
        <f t="shared" ca="1" si="224"/>
      </c>
      <c r="C1054" s="78">
        <f>Кабельный_журнал!P1020</f>
      </c>
      <c r="D1054" s="74">
        <f t="shared" ca="1" si="225"/>
      </c>
      <c r="E1054" s="80" t="s">
        <v>279</v>
      </c>
      <c r="F1054" s="74">
        <f t="shared" ca="1" si="221"/>
      </c>
      <c r="G1054" s="74">
        <f t="shared" si="222"/>
      </c>
      <c r="H1054" s="80" t="s">
        <v>272</v>
      </c>
      <c r="I1054" s="74">
        <f t="shared" si="223"/>
      </c>
      <c r="J1054" s="74">
        <f t="shared" si="226"/>
      </c>
      <c r="K1054" s="80" t="s">
        <v>280</v>
      </c>
      <c r="L1054" s="74">
        <f t="shared" si="227"/>
      </c>
      <c r="M1054" s="74">
        <f t="shared" ca="1" si="228"/>
      </c>
      <c r="N1054" s="74">
        <f ca="1">VLOOKUP(B1054,$C$7:$T1052,13,FALSE)</f>
      </c>
      <c r="O1054" s="74">
        <f t="shared" ca="1" si="229"/>
      </c>
      <c r="P1054" s="74">
        <f t="shared" ca="1" si="230"/>
      </c>
      <c r="Q1054" s="74">
        <f t="shared" ca="1" si="231"/>
      </c>
      <c r="R1054" s="74">
        <f t="shared" si="232"/>
      </c>
      <c r="S1054" s="74">
        <f t="shared" ca="1" si="233"/>
      </c>
      <c r="T1054" s="74">
        <f t="shared" si="234"/>
      </c>
    </row>
    <row r="1055" spans="2:20" x14ac:dyDescent="0.3">
      <c r="B1055" s="74">
        <f t="shared" ca="1" si="224"/>
      </c>
      <c r="C1055" s="78">
        <f>Кабельный_журнал!P1021</f>
      </c>
      <c r="D1055" s="74">
        <f t="shared" ca="1" si="225"/>
      </c>
      <c r="E1055" s="80" t="s">
        <v>279</v>
      </c>
      <c r="F1055" s="74">
        <f t="shared" ca="1" si="221"/>
      </c>
      <c r="G1055" s="74">
        <f t="shared" si="222"/>
      </c>
      <c r="H1055" s="80" t="s">
        <v>272</v>
      </c>
      <c r="I1055" s="74">
        <f t="shared" si="223"/>
      </c>
      <c r="J1055" s="74">
        <f t="shared" si="226"/>
      </c>
      <c r="K1055" s="80" t="s">
        <v>280</v>
      </c>
      <c r="L1055" s="74">
        <f t="shared" si="227"/>
      </c>
      <c r="M1055" s="74">
        <f t="shared" ca="1" si="228"/>
      </c>
      <c r="N1055" s="74">
        <f ca="1">VLOOKUP(B1055,$C$7:$T1053,13,FALSE)</f>
      </c>
      <c r="O1055" s="74">
        <f t="shared" ca="1" si="229"/>
      </c>
      <c r="P1055" s="74">
        <f t="shared" ca="1" si="230"/>
      </c>
      <c r="Q1055" s="74">
        <f t="shared" ca="1" si="231"/>
      </c>
      <c r="R1055" s="74">
        <f t="shared" si="232"/>
      </c>
      <c r="S1055" s="74">
        <f t="shared" ca="1" si="233"/>
      </c>
      <c r="T1055" s="74">
        <f t="shared" si="234"/>
      </c>
    </row>
    <row r="1056" spans="2:20" x14ac:dyDescent="0.3">
      <c r="B1056" s="74">
        <f t="shared" ca="1" si="224"/>
      </c>
      <c r="C1056" s="78">
        <f>Кабельный_журнал!P1022</f>
      </c>
      <c r="D1056" s="74">
        <f t="shared" ca="1" si="225"/>
      </c>
      <c r="E1056" s="80" t="s">
        <v>279</v>
      </c>
      <c r="F1056" s="74">
        <f t="shared" ca="1" si="221"/>
      </c>
      <c r="G1056" s="74">
        <f t="shared" si="222"/>
      </c>
      <c r="H1056" s="80" t="s">
        <v>272</v>
      </c>
      <c r="I1056" s="74">
        <f t="shared" si="223"/>
      </c>
      <c r="J1056" s="74">
        <f t="shared" si="226"/>
      </c>
      <c r="K1056" s="80" t="s">
        <v>280</v>
      </c>
      <c r="L1056" s="74">
        <f t="shared" si="227"/>
      </c>
      <c r="M1056" s="74">
        <f t="shared" ca="1" si="228"/>
      </c>
      <c r="N1056" s="74">
        <f ca="1">VLOOKUP(B1056,$C$7:$T1054,13,FALSE)</f>
      </c>
      <c r="O1056" s="74">
        <f t="shared" ca="1" si="229"/>
      </c>
      <c r="P1056" s="74">
        <f t="shared" ca="1" si="230"/>
      </c>
      <c r="Q1056" s="74">
        <f t="shared" ca="1" si="231"/>
      </c>
      <c r="R1056" s="74">
        <f t="shared" si="232"/>
      </c>
      <c r="S1056" s="74">
        <f t="shared" ca="1" si="233"/>
      </c>
      <c r="T1056" s="74">
        <f t="shared" si="234"/>
      </c>
    </row>
    <row r="1057" spans="2:20" x14ac:dyDescent="0.3">
      <c r="B1057" s="74">
        <f t="shared" ca="1" si="224"/>
      </c>
      <c r="C1057" s="78">
        <f>Кабельный_журнал!P1023</f>
      </c>
      <c r="D1057" s="74">
        <f t="shared" ca="1" si="225"/>
      </c>
      <c r="E1057" s="80" t="s">
        <v>279</v>
      </c>
      <c r="F1057" s="74">
        <f t="shared" ca="1" si="221"/>
      </c>
      <c r="G1057" s="74">
        <f t="shared" si="222"/>
      </c>
      <c r="H1057" s="80" t="s">
        <v>272</v>
      </c>
      <c r="I1057" s="74">
        <f t="shared" si="223"/>
      </c>
      <c r="J1057" s="74">
        <f t="shared" si="226"/>
      </c>
      <c r="K1057" s="80" t="s">
        <v>280</v>
      </c>
      <c r="L1057" s="74">
        <f t="shared" si="227"/>
      </c>
      <c r="M1057" s="74">
        <f t="shared" ca="1" si="228"/>
      </c>
      <c r="N1057" s="74">
        <f ca="1">VLOOKUP(B1057,$C$7:$T1055,13,FALSE)</f>
      </c>
      <c r="O1057" s="74">
        <f t="shared" ca="1" si="229"/>
      </c>
      <c r="P1057" s="74">
        <f t="shared" ca="1" si="230"/>
      </c>
      <c r="Q1057" s="74">
        <f t="shared" ca="1" si="231"/>
      </c>
      <c r="R1057" s="74">
        <f t="shared" si="232"/>
      </c>
      <c r="S1057" s="74">
        <f t="shared" ca="1" si="233"/>
      </c>
      <c r="T1057" s="74">
        <f t="shared" si="234"/>
      </c>
    </row>
    <row r="1058" spans="2:20" x14ac:dyDescent="0.3">
      <c r="B1058" s="74">
        <f t="shared" ca="1" si="224"/>
      </c>
      <c r="C1058" s="78">
        <f>Кабельный_журнал!P1024</f>
      </c>
      <c r="D1058" s="74">
        <f t="shared" ca="1" si="225"/>
      </c>
      <c r="E1058" s="80" t="s">
        <v>279</v>
      </c>
      <c r="F1058" s="74">
        <f t="shared" ca="1" si="221"/>
      </c>
      <c r="G1058" s="74">
        <f t="shared" si="222"/>
      </c>
      <c r="H1058" s="80" t="s">
        <v>272</v>
      </c>
      <c r="I1058" s="74">
        <f t="shared" si="223"/>
      </c>
      <c r="J1058" s="74">
        <f t="shared" si="226"/>
      </c>
      <c r="K1058" s="80" t="s">
        <v>280</v>
      </c>
      <c r="L1058" s="74">
        <f t="shared" si="227"/>
      </c>
      <c r="M1058" s="74">
        <f t="shared" ca="1" si="228"/>
      </c>
      <c r="N1058" s="74">
        <f ca="1">VLOOKUP(B1058,$C$7:$T1056,13,FALSE)</f>
      </c>
      <c r="O1058" s="74">
        <f t="shared" ca="1" si="229"/>
      </c>
      <c r="P1058" s="74">
        <f t="shared" ca="1" si="230"/>
      </c>
      <c r="Q1058" s="74">
        <f t="shared" ca="1" si="231"/>
      </c>
      <c r="R1058" s="74">
        <f t="shared" si="232"/>
      </c>
      <c r="S1058" s="74">
        <f t="shared" ca="1" si="233"/>
      </c>
      <c r="T1058" s="74">
        <f t="shared" si="234"/>
      </c>
    </row>
    <row r="1059" spans="2:20" x14ac:dyDescent="0.3">
      <c r="B1059" s="74">
        <f t="shared" ca="1" si="224"/>
      </c>
      <c r="C1059" s="78">
        <f>Кабельный_журнал!P1025</f>
      </c>
      <c r="D1059" s="74">
        <f t="shared" ca="1" si="225"/>
      </c>
      <c r="E1059" s="80" t="s">
        <v>279</v>
      </c>
      <c r="F1059" s="74">
        <f t="shared" ca="1" si="221"/>
      </c>
      <c r="G1059" s="74">
        <f t="shared" si="222"/>
      </c>
      <c r="H1059" s="80" t="s">
        <v>272</v>
      </c>
      <c r="I1059" s="74">
        <f t="shared" si="223"/>
      </c>
      <c r="J1059" s="74">
        <f t="shared" si="226"/>
      </c>
      <c r="K1059" s="80" t="s">
        <v>280</v>
      </c>
      <c r="L1059" s="74">
        <f t="shared" si="227"/>
      </c>
      <c r="M1059" s="74">
        <f t="shared" ca="1" si="228"/>
      </c>
      <c r="N1059" s="74">
        <f ca="1">VLOOKUP(B1059,$C$7:$T1057,13,FALSE)</f>
      </c>
      <c r="O1059" s="74">
        <f t="shared" ca="1" si="229"/>
      </c>
      <c r="P1059" s="74">
        <f t="shared" ca="1" si="230"/>
      </c>
      <c r="Q1059" s="74">
        <f t="shared" ca="1" si="231"/>
      </c>
      <c r="R1059" s="74">
        <f t="shared" si="232"/>
      </c>
      <c r="S1059" s="74">
        <f t="shared" ca="1" si="233"/>
      </c>
      <c r="T1059" s="74">
        <f t="shared" si="234"/>
      </c>
    </row>
    <row r="1060" spans="2:20" x14ac:dyDescent="0.3">
      <c r="B1060" s="74">
        <f t="shared" ca="1" si="224"/>
      </c>
      <c r="C1060" s="78">
        <f>Кабельный_журнал!P1026</f>
      </c>
      <c r="D1060" s="74">
        <f t="shared" ca="1" si="225"/>
      </c>
      <c r="E1060" s="80" t="s">
        <v>279</v>
      </c>
      <c r="F1060" s="74">
        <f t="shared" ca="1" si="221"/>
      </c>
      <c r="G1060" s="74">
        <f t="shared" si="222"/>
      </c>
      <c r="H1060" s="80" t="s">
        <v>272</v>
      </c>
      <c r="I1060" s="74">
        <f t="shared" si="223"/>
      </c>
      <c r="J1060" s="74">
        <f t="shared" si="226"/>
      </c>
      <c r="K1060" s="80" t="s">
        <v>280</v>
      </c>
      <c r="L1060" s="74">
        <f t="shared" si="227"/>
      </c>
      <c r="M1060" s="74">
        <f t="shared" ca="1" si="228"/>
      </c>
      <c r="N1060" s="74">
        <f ca="1">VLOOKUP(B1060,$C$7:$T1058,13,FALSE)</f>
      </c>
      <c r="O1060" s="74">
        <f t="shared" ca="1" si="229"/>
      </c>
      <c r="P1060" s="74">
        <f t="shared" ca="1" si="230"/>
      </c>
      <c r="Q1060" s="74">
        <f t="shared" ca="1" si="231"/>
      </c>
      <c r="R1060" s="74">
        <f t="shared" si="232"/>
      </c>
      <c r="S1060" s="74">
        <f t="shared" ca="1" si="233"/>
      </c>
      <c r="T1060" s="74">
        <f t="shared" si="234"/>
      </c>
    </row>
    <row r="1061" spans="2:20" x14ac:dyDescent="0.3">
      <c r="B1061" s="74">
        <f t="shared" ca="1" si="224"/>
      </c>
      <c r="C1061" s="78">
        <f>Кабельный_журнал!P1027</f>
      </c>
      <c r="D1061" s="74">
        <f t="shared" ca="1" si="225"/>
      </c>
      <c r="E1061" s="80" t="s">
        <v>279</v>
      </c>
      <c r="F1061" s="74">
        <f t="shared" ca="1" si="221"/>
      </c>
      <c r="G1061" s="74">
        <f t="shared" si="222"/>
      </c>
      <c r="H1061" s="80" t="s">
        <v>272</v>
      </c>
      <c r="I1061" s="74">
        <f t="shared" si="223"/>
      </c>
      <c r="J1061" s="74">
        <f t="shared" si="226"/>
      </c>
      <c r="K1061" s="80" t="s">
        <v>280</v>
      </c>
      <c r="L1061" s="74">
        <f t="shared" si="227"/>
      </c>
      <c r="M1061" s="74">
        <f t="shared" ca="1" si="228"/>
      </c>
      <c r="N1061" s="74">
        <f ca="1">VLOOKUP(B1061,$C$7:$T1059,13,FALSE)</f>
      </c>
      <c r="O1061" s="74">
        <f t="shared" ca="1" si="229"/>
      </c>
      <c r="P1061" s="74">
        <f t="shared" ca="1" si="230"/>
      </c>
      <c r="Q1061" s="74">
        <f t="shared" ca="1" si="231"/>
      </c>
      <c r="R1061" s="74">
        <f t="shared" si="232"/>
      </c>
      <c r="S1061" s="74">
        <f t="shared" ca="1" si="233"/>
      </c>
      <c r="T1061" s="74">
        <f t="shared" si="234"/>
      </c>
    </row>
    <row r="1062" spans="2:20" x14ac:dyDescent="0.3">
      <c r="B1062" s="74">
        <f t="shared" ca="1" si="224"/>
      </c>
      <c r="C1062" s="78">
        <f>Кабельный_журнал!P1028</f>
      </c>
      <c r="D1062" s="74">
        <f t="shared" ca="1" si="225"/>
      </c>
      <c r="E1062" s="80" t="s">
        <v>279</v>
      </c>
      <c r="F1062" s="74">
        <f t="shared" ca="1" si="221"/>
      </c>
      <c r="G1062" s="74">
        <f t="shared" si="222"/>
      </c>
      <c r="H1062" s="80" t="s">
        <v>272</v>
      </c>
      <c r="I1062" s="74">
        <f t="shared" si="223"/>
      </c>
      <c r="J1062" s="74">
        <f t="shared" si="226"/>
      </c>
      <c r="K1062" s="80" t="s">
        <v>280</v>
      </c>
      <c r="L1062" s="74">
        <f t="shared" si="227"/>
      </c>
      <c r="M1062" s="74">
        <f t="shared" ca="1" si="228"/>
      </c>
      <c r="N1062" s="74">
        <f ca="1">VLOOKUP(B1062,$C$7:$T1060,13,FALSE)</f>
      </c>
      <c r="O1062" s="74">
        <f t="shared" ca="1" si="229"/>
      </c>
      <c r="P1062" s="74">
        <f t="shared" ca="1" si="230"/>
      </c>
      <c r="Q1062" s="74">
        <f t="shared" ca="1" si="231"/>
      </c>
      <c r="R1062" s="74">
        <f t="shared" si="232"/>
      </c>
      <c r="S1062" s="74">
        <f t="shared" ca="1" si="233"/>
      </c>
      <c r="T1062" s="74">
        <f t="shared" si="234"/>
      </c>
    </row>
    <row r="1063" spans="2:20" x14ac:dyDescent="0.3">
      <c r="B1063" s="74">
        <f t="shared" ca="1" si="224"/>
      </c>
      <c r="C1063" s="78">
        <f>Кабельный_журнал!P1029</f>
      </c>
      <c r="D1063" s="74">
        <f t="shared" ca="1" si="225"/>
      </c>
      <c r="E1063" s="80" t="s">
        <v>279</v>
      </c>
      <c r="F1063" s="74">
        <f t="shared" ref="F1063:F1126" ca="1" si="235">VLOOKUP(C1063,Кабельный_журнал,8,FALSE)</f>
      </c>
      <c r="G1063" s="74">
        <f t="shared" ref="G1063:G1126" si="236">VLOOKUP(C1063,Исходные_данные,21,FALSE)</f>
      </c>
      <c r="H1063" s="80" t="s">
        <v>272</v>
      </c>
      <c r="I1063" s="74">
        <f t="shared" ref="I1063:I1126" si="237">VLOOKUP(C1063,Исходные_данные,22,FALSE)</f>
      </c>
      <c r="J1063" s="74">
        <f t="shared" si="226"/>
      </c>
      <c r="K1063" s="80" t="s">
        <v>280</v>
      </c>
      <c r="L1063" s="74">
        <f t="shared" si="227"/>
      </c>
      <c r="M1063" s="74">
        <f t="shared" ca="1" si="228"/>
      </c>
      <c r="N1063" s="74">
        <f ca="1">VLOOKUP(B1063,$C$7:$T1061,13,FALSE)</f>
      </c>
      <c r="O1063" s="74">
        <f t="shared" ca="1" si="229"/>
      </c>
      <c r="P1063" s="74">
        <f t="shared" ca="1" si="230"/>
      </c>
      <c r="Q1063" s="74">
        <f t="shared" ca="1" si="231"/>
      </c>
      <c r="R1063" s="74">
        <f t="shared" si="232"/>
      </c>
      <c r="S1063" s="74">
        <f t="shared" ca="1" si="233"/>
      </c>
      <c r="T1063" s="74">
        <f t="shared" si="234"/>
      </c>
    </row>
    <row r="1064" spans="2:20" x14ac:dyDescent="0.3">
      <c r="B1064" s="74">
        <f t="shared" ref="B1064:B1127" ca="1" si="238">VLOOKUP(C1064,Кабельный_журнал,2,FALSE)</f>
      </c>
      <c r="C1064" s="78">
        <f>Кабельный_журнал!P1030</f>
      </c>
      <c r="D1064" s="74">
        <f t="shared" ref="D1064:D1127" ca="1" si="239">B1064&amp;"-"&amp;C1064</f>
      </c>
      <c r="E1064" s="80" t="s">
        <v>279</v>
      </c>
      <c r="F1064" s="74">
        <f t="shared" ca="1" si="235"/>
      </c>
      <c r="G1064" s="74">
        <f t="shared" si="236"/>
      </c>
      <c r="H1064" s="80" t="s">
        <v>272</v>
      </c>
      <c r="I1064" s="74">
        <f t="shared" si="237"/>
      </c>
      <c r="J1064" s="74">
        <f t="shared" ref="J1064:J1127" si="240">I1064</f>
      </c>
      <c r="K1064" s="80" t="s">
        <v>280</v>
      </c>
      <c r="L1064" s="74">
        <f t="shared" ref="L1064:L1127" si="241">VLOOKUP(K1064,$K$2:$L$3,2,FALSE)</f>
      </c>
      <c r="M1064" s="74">
        <f t="shared" ref="M1064:M1127" ca="1" si="242">L1064*F1064*(1/I1064+1/J1064)</f>
      </c>
      <c r="N1064" s="74">
        <f ca="1">VLOOKUP(B1064,$C$7:$T1062,13,FALSE)</f>
      </c>
      <c r="O1064" s="74">
        <f t="shared" ref="O1064:O1127" ca="1" si="243">L1064+M1064</f>
      </c>
      <c r="P1064" s="74">
        <f t="shared" ref="P1064:P1127" ca="1" si="244">220/O1064</f>
      </c>
      <c r="Q1064" s="74">
        <f t="shared" ref="Q1064:Q1127" ca="1" si="245">O1064/G1064</f>
      </c>
      <c r="R1064" s="74">
        <f t="shared" ref="R1064:R1127" si="246">VLOOKUP(H1064,$W$2:$Y$12,3,FALSE)</f>
      </c>
      <c r="S1064" s="74">
        <f t="shared" ref="S1064:S1127" ca="1" si="247">_xlfn.IFS(E1064="щит",IF(P1064&gt;R1064,"Увел сеч",IF(T1064&gt;P1064,"Увел сеч","tср&lt;5с")),E1064="потреб",IF(P1064&gt;R1064,"Увел сеч",IF(T1064&gt;P1064,"Увел сеч","tср&lt;0.4с")))</f>
      </c>
      <c r="T1064" s="74">
        <f t="shared" ref="T1064:T1127" si="248">G1064*VLOOKUP(H1064,$W$2:$Y$12,2,FALSE)</f>
      </c>
    </row>
    <row r="1065" spans="2:20" x14ac:dyDescent="0.3">
      <c r="B1065" s="74">
        <f t="shared" ca="1" si="238"/>
      </c>
      <c r="C1065" s="78">
        <f>Кабельный_журнал!P1031</f>
      </c>
      <c r="D1065" s="74">
        <f t="shared" ca="1" si="239"/>
      </c>
      <c r="E1065" s="80" t="s">
        <v>279</v>
      </c>
      <c r="F1065" s="74">
        <f t="shared" ca="1" si="235"/>
      </c>
      <c r="G1065" s="74">
        <f t="shared" si="236"/>
      </c>
      <c r="H1065" s="80" t="s">
        <v>272</v>
      </c>
      <c r="I1065" s="74">
        <f t="shared" si="237"/>
      </c>
      <c r="J1065" s="74">
        <f t="shared" si="240"/>
      </c>
      <c r="K1065" s="80" t="s">
        <v>280</v>
      </c>
      <c r="L1065" s="74">
        <f t="shared" si="241"/>
      </c>
      <c r="M1065" s="74">
        <f t="shared" ca="1" si="242"/>
      </c>
      <c r="N1065" s="74">
        <f ca="1">VLOOKUP(B1065,$C$7:$T1063,13,FALSE)</f>
      </c>
      <c r="O1065" s="74">
        <f t="shared" ca="1" si="243"/>
      </c>
      <c r="P1065" s="74">
        <f t="shared" ca="1" si="244"/>
      </c>
      <c r="Q1065" s="74">
        <f t="shared" ca="1" si="245"/>
      </c>
      <c r="R1065" s="74">
        <f t="shared" si="246"/>
      </c>
      <c r="S1065" s="74">
        <f t="shared" ca="1" si="247"/>
      </c>
      <c r="T1065" s="74">
        <f t="shared" si="248"/>
      </c>
    </row>
    <row r="1066" spans="2:20" x14ac:dyDescent="0.3">
      <c r="B1066" s="74">
        <f t="shared" ca="1" si="238"/>
      </c>
      <c r="C1066" s="78">
        <f>Кабельный_журнал!P1032</f>
      </c>
      <c r="D1066" s="74">
        <f t="shared" ca="1" si="239"/>
      </c>
      <c r="E1066" s="80" t="s">
        <v>279</v>
      </c>
      <c r="F1066" s="74">
        <f t="shared" ca="1" si="235"/>
      </c>
      <c r="G1066" s="74">
        <f t="shared" si="236"/>
      </c>
      <c r="H1066" s="80" t="s">
        <v>272</v>
      </c>
      <c r="I1066" s="74">
        <f t="shared" si="237"/>
      </c>
      <c r="J1066" s="74">
        <f t="shared" si="240"/>
      </c>
      <c r="K1066" s="80" t="s">
        <v>280</v>
      </c>
      <c r="L1066" s="74">
        <f t="shared" si="241"/>
      </c>
      <c r="M1066" s="74">
        <f t="shared" ca="1" si="242"/>
      </c>
      <c r="N1066" s="74">
        <f ca="1">VLOOKUP(B1066,$C$7:$T1064,13,FALSE)</f>
      </c>
      <c r="O1066" s="74">
        <f t="shared" ca="1" si="243"/>
      </c>
      <c r="P1066" s="74">
        <f t="shared" ca="1" si="244"/>
      </c>
      <c r="Q1066" s="74">
        <f t="shared" ca="1" si="245"/>
      </c>
      <c r="R1066" s="74">
        <f t="shared" si="246"/>
      </c>
      <c r="S1066" s="74">
        <f t="shared" ca="1" si="247"/>
      </c>
      <c r="T1066" s="74">
        <f t="shared" si="248"/>
      </c>
    </row>
    <row r="1067" spans="2:20" x14ac:dyDescent="0.3">
      <c r="B1067" s="74">
        <f t="shared" ca="1" si="238"/>
      </c>
      <c r="C1067" s="78">
        <f>Кабельный_журнал!P1033</f>
      </c>
      <c r="D1067" s="74">
        <f t="shared" ca="1" si="239"/>
      </c>
      <c r="E1067" s="80" t="s">
        <v>279</v>
      </c>
      <c r="F1067" s="74">
        <f t="shared" ca="1" si="235"/>
      </c>
      <c r="G1067" s="74">
        <f t="shared" si="236"/>
      </c>
      <c r="H1067" s="80" t="s">
        <v>272</v>
      </c>
      <c r="I1067" s="74">
        <f t="shared" si="237"/>
      </c>
      <c r="J1067" s="74">
        <f t="shared" si="240"/>
      </c>
      <c r="K1067" s="80" t="s">
        <v>280</v>
      </c>
      <c r="L1067" s="74">
        <f t="shared" si="241"/>
      </c>
      <c r="M1067" s="74">
        <f t="shared" ca="1" si="242"/>
      </c>
      <c r="N1067" s="74">
        <f ca="1">VLOOKUP(B1067,$C$7:$T1065,13,FALSE)</f>
      </c>
      <c r="O1067" s="74">
        <f t="shared" ca="1" si="243"/>
      </c>
      <c r="P1067" s="74">
        <f t="shared" ca="1" si="244"/>
      </c>
      <c r="Q1067" s="74">
        <f t="shared" ca="1" si="245"/>
      </c>
      <c r="R1067" s="74">
        <f t="shared" si="246"/>
      </c>
      <c r="S1067" s="74">
        <f t="shared" ca="1" si="247"/>
      </c>
      <c r="T1067" s="74">
        <f t="shared" si="248"/>
      </c>
    </row>
    <row r="1068" spans="2:20" x14ac:dyDescent="0.3">
      <c r="B1068" s="74">
        <f t="shared" ca="1" si="238"/>
      </c>
      <c r="C1068" s="78">
        <f>Кабельный_журнал!P1034</f>
      </c>
      <c r="D1068" s="74">
        <f t="shared" ca="1" si="239"/>
      </c>
      <c r="E1068" s="80" t="s">
        <v>279</v>
      </c>
      <c r="F1068" s="74">
        <f t="shared" ca="1" si="235"/>
      </c>
      <c r="G1068" s="74">
        <f t="shared" si="236"/>
      </c>
      <c r="H1068" s="80" t="s">
        <v>272</v>
      </c>
      <c r="I1068" s="74">
        <f t="shared" si="237"/>
      </c>
      <c r="J1068" s="74">
        <f t="shared" si="240"/>
      </c>
      <c r="K1068" s="80" t="s">
        <v>280</v>
      </c>
      <c r="L1068" s="74">
        <f t="shared" si="241"/>
      </c>
      <c r="M1068" s="74">
        <f t="shared" ca="1" si="242"/>
      </c>
      <c r="N1068" s="74">
        <f ca="1">VLOOKUP(B1068,$C$7:$T1066,13,FALSE)</f>
      </c>
      <c r="O1068" s="74">
        <f t="shared" ca="1" si="243"/>
      </c>
      <c r="P1068" s="74">
        <f t="shared" ca="1" si="244"/>
      </c>
      <c r="Q1068" s="74">
        <f t="shared" ca="1" si="245"/>
      </c>
      <c r="R1068" s="74">
        <f t="shared" si="246"/>
      </c>
      <c r="S1068" s="74">
        <f t="shared" ca="1" si="247"/>
      </c>
      <c r="T1068" s="74">
        <f t="shared" si="248"/>
      </c>
    </row>
    <row r="1069" spans="2:20" x14ac:dyDescent="0.3">
      <c r="B1069" s="74">
        <f t="shared" ca="1" si="238"/>
      </c>
      <c r="C1069" s="78">
        <f>Кабельный_журнал!P1035</f>
      </c>
      <c r="D1069" s="74">
        <f t="shared" ca="1" si="239"/>
      </c>
      <c r="E1069" s="80" t="s">
        <v>279</v>
      </c>
      <c r="F1069" s="74">
        <f t="shared" ca="1" si="235"/>
      </c>
      <c r="G1069" s="74">
        <f t="shared" si="236"/>
      </c>
      <c r="H1069" s="80" t="s">
        <v>272</v>
      </c>
      <c r="I1069" s="74">
        <f t="shared" si="237"/>
      </c>
      <c r="J1069" s="74">
        <f t="shared" si="240"/>
      </c>
      <c r="K1069" s="80" t="s">
        <v>280</v>
      </c>
      <c r="L1069" s="74">
        <f t="shared" si="241"/>
      </c>
      <c r="M1069" s="74">
        <f t="shared" ca="1" si="242"/>
      </c>
      <c r="N1069" s="74">
        <f ca="1">VLOOKUP(B1069,$C$7:$T1067,13,FALSE)</f>
      </c>
      <c r="O1069" s="74">
        <f t="shared" ca="1" si="243"/>
      </c>
      <c r="P1069" s="74">
        <f t="shared" ca="1" si="244"/>
      </c>
      <c r="Q1069" s="74">
        <f t="shared" ca="1" si="245"/>
      </c>
      <c r="R1069" s="74">
        <f t="shared" si="246"/>
      </c>
      <c r="S1069" s="74">
        <f t="shared" ca="1" si="247"/>
      </c>
      <c r="T1069" s="74">
        <f t="shared" si="248"/>
      </c>
    </row>
    <row r="1070" spans="2:20" x14ac:dyDescent="0.3">
      <c r="B1070" s="74">
        <f t="shared" ca="1" si="238"/>
      </c>
      <c r="C1070" s="78">
        <f>Кабельный_журнал!P1036</f>
      </c>
      <c r="D1070" s="74">
        <f t="shared" ca="1" si="239"/>
      </c>
      <c r="E1070" s="80" t="s">
        <v>279</v>
      </c>
      <c r="F1070" s="74">
        <f t="shared" ca="1" si="235"/>
      </c>
      <c r="G1070" s="74">
        <f t="shared" si="236"/>
      </c>
      <c r="H1070" s="80" t="s">
        <v>272</v>
      </c>
      <c r="I1070" s="74">
        <f t="shared" si="237"/>
      </c>
      <c r="J1070" s="74">
        <f t="shared" si="240"/>
      </c>
      <c r="K1070" s="80" t="s">
        <v>280</v>
      </c>
      <c r="L1070" s="74">
        <f t="shared" si="241"/>
      </c>
      <c r="M1070" s="74">
        <f t="shared" ca="1" si="242"/>
      </c>
      <c r="N1070" s="74">
        <f ca="1">VLOOKUP(B1070,$C$7:$T1068,13,FALSE)</f>
      </c>
      <c r="O1070" s="74">
        <f t="shared" ca="1" si="243"/>
      </c>
      <c r="P1070" s="74">
        <f t="shared" ca="1" si="244"/>
      </c>
      <c r="Q1070" s="74">
        <f t="shared" ca="1" si="245"/>
      </c>
      <c r="R1070" s="74">
        <f t="shared" si="246"/>
      </c>
      <c r="S1070" s="74">
        <f t="shared" ca="1" si="247"/>
      </c>
      <c r="T1070" s="74">
        <f t="shared" si="248"/>
      </c>
    </row>
    <row r="1071" spans="2:20" x14ac:dyDescent="0.3">
      <c r="B1071" s="74">
        <f t="shared" ca="1" si="238"/>
      </c>
      <c r="C1071" s="78">
        <f>Кабельный_журнал!P1037</f>
      </c>
      <c r="D1071" s="74">
        <f t="shared" ca="1" si="239"/>
      </c>
      <c r="E1071" s="80" t="s">
        <v>279</v>
      </c>
      <c r="F1071" s="74">
        <f t="shared" ca="1" si="235"/>
      </c>
      <c r="G1071" s="74">
        <f t="shared" si="236"/>
      </c>
      <c r="H1071" s="80" t="s">
        <v>272</v>
      </c>
      <c r="I1071" s="74">
        <f t="shared" si="237"/>
      </c>
      <c r="J1071" s="74">
        <f t="shared" si="240"/>
      </c>
      <c r="K1071" s="80" t="s">
        <v>280</v>
      </c>
      <c r="L1071" s="74">
        <f t="shared" si="241"/>
      </c>
      <c r="M1071" s="74">
        <f t="shared" ca="1" si="242"/>
      </c>
      <c r="N1071" s="74">
        <f ca="1">VLOOKUP(B1071,$C$7:$T1069,13,FALSE)</f>
      </c>
      <c r="O1071" s="74">
        <f t="shared" ca="1" si="243"/>
      </c>
      <c r="P1071" s="74">
        <f t="shared" ca="1" si="244"/>
      </c>
      <c r="Q1071" s="74">
        <f t="shared" ca="1" si="245"/>
      </c>
      <c r="R1071" s="74">
        <f t="shared" si="246"/>
      </c>
      <c r="S1071" s="74">
        <f t="shared" ca="1" si="247"/>
      </c>
      <c r="T1071" s="74">
        <f t="shared" si="248"/>
      </c>
    </row>
    <row r="1072" spans="2:20" x14ac:dyDescent="0.3">
      <c r="B1072" s="74">
        <f t="shared" ca="1" si="238"/>
      </c>
      <c r="C1072" s="78">
        <f>Кабельный_журнал!P1038</f>
      </c>
      <c r="D1072" s="74">
        <f t="shared" ca="1" si="239"/>
      </c>
      <c r="E1072" s="80" t="s">
        <v>279</v>
      </c>
      <c r="F1072" s="74">
        <f t="shared" ca="1" si="235"/>
      </c>
      <c r="G1072" s="74">
        <f t="shared" si="236"/>
      </c>
      <c r="H1072" s="80" t="s">
        <v>272</v>
      </c>
      <c r="I1072" s="74">
        <f t="shared" si="237"/>
      </c>
      <c r="J1072" s="74">
        <f t="shared" si="240"/>
      </c>
      <c r="K1072" s="80" t="s">
        <v>280</v>
      </c>
      <c r="L1072" s="74">
        <f t="shared" si="241"/>
      </c>
      <c r="M1072" s="74">
        <f t="shared" ca="1" si="242"/>
      </c>
      <c r="N1072" s="74">
        <f ca="1">VLOOKUP(B1072,$C$7:$T1070,13,FALSE)</f>
      </c>
      <c r="O1072" s="74">
        <f t="shared" ca="1" si="243"/>
      </c>
      <c r="P1072" s="74">
        <f t="shared" ca="1" si="244"/>
      </c>
      <c r="Q1072" s="74">
        <f t="shared" ca="1" si="245"/>
      </c>
      <c r="R1072" s="74">
        <f t="shared" si="246"/>
      </c>
      <c r="S1072" s="74">
        <f t="shared" ca="1" si="247"/>
      </c>
      <c r="T1072" s="74">
        <f t="shared" si="248"/>
      </c>
    </row>
    <row r="1073" spans="2:20" x14ac:dyDescent="0.3">
      <c r="B1073" s="74">
        <f t="shared" ca="1" si="238"/>
      </c>
      <c r="C1073" s="78">
        <f>Кабельный_журнал!P1039</f>
      </c>
      <c r="D1073" s="74">
        <f t="shared" ca="1" si="239"/>
      </c>
      <c r="E1073" s="80" t="s">
        <v>279</v>
      </c>
      <c r="F1073" s="74">
        <f t="shared" ca="1" si="235"/>
      </c>
      <c r="G1073" s="74">
        <f t="shared" si="236"/>
      </c>
      <c r="H1073" s="80" t="s">
        <v>272</v>
      </c>
      <c r="I1073" s="74">
        <f t="shared" si="237"/>
      </c>
      <c r="J1073" s="74">
        <f t="shared" si="240"/>
      </c>
      <c r="K1073" s="80" t="s">
        <v>280</v>
      </c>
      <c r="L1073" s="74">
        <f t="shared" si="241"/>
      </c>
      <c r="M1073" s="74">
        <f t="shared" ca="1" si="242"/>
      </c>
      <c r="N1073" s="74">
        <f ca="1">VLOOKUP(B1073,$C$7:$T1071,13,FALSE)</f>
      </c>
      <c r="O1073" s="74">
        <f t="shared" ca="1" si="243"/>
      </c>
      <c r="P1073" s="74">
        <f t="shared" ca="1" si="244"/>
      </c>
      <c r="Q1073" s="74">
        <f t="shared" ca="1" si="245"/>
      </c>
      <c r="R1073" s="74">
        <f t="shared" si="246"/>
      </c>
      <c r="S1073" s="74">
        <f t="shared" ca="1" si="247"/>
      </c>
      <c r="T1073" s="74">
        <f t="shared" si="248"/>
      </c>
    </row>
    <row r="1074" spans="2:20" x14ac:dyDescent="0.3">
      <c r="B1074" s="74">
        <f t="shared" ca="1" si="238"/>
      </c>
      <c r="C1074" s="78">
        <f>Кабельный_журнал!P1040</f>
      </c>
      <c r="D1074" s="74">
        <f t="shared" ca="1" si="239"/>
      </c>
      <c r="E1074" s="80" t="s">
        <v>279</v>
      </c>
      <c r="F1074" s="74">
        <f t="shared" ca="1" si="235"/>
      </c>
      <c r="G1074" s="74">
        <f t="shared" si="236"/>
      </c>
      <c r="H1074" s="80" t="s">
        <v>272</v>
      </c>
      <c r="I1074" s="74">
        <f t="shared" si="237"/>
      </c>
      <c r="J1074" s="74">
        <f t="shared" si="240"/>
      </c>
      <c r="K1074" s="80" t="s">
        <v>280</v>
      </c>
      <c r="L1074" s="74">
        <f t="shared" si="241"/>
      </c>
      <c r="M1074" s="74">
        <f t="shared" ca="1" si="242"/>
      </c>
      <c r="N1074" s="74">
        <f ca="1">VLOOKUP(B1074,$C$7:$T1072,13,FALSE)</f>
      </c>
      <c r="O1074" s="74">
        <f t="shared" ca="1" si="243"/>
      </c>
      <c r="P1074" s="74">
        <f t="shared" ca="1" si="244"/>
      </c>
      <c r="Q1074" s="74">
        <f t="shared" ca="1" si="245"/>
      </c>
      <c r="R1074" s="74">
        <f t="shared" si="246"/>
      </c>
      <c r="S1074" s="74">
        <f t="shared" ca="1" si="247"/>
      </c>
      <c r="T1074" s="74">
        <f t="shared" si="248"/>
      </c>
    </row>
    <row r="1075" spans="2:20" x14ac:dyDescent="0.3">
      <c r="B1075" s="74">
        <f t="shared" ca="1" si="238"/>
      </c>
      <c r="C1075" s="78">
        <f>Кабельный_журнал!P1041</f>
      </c>
      <c r="D1075" s="74">
        <f t="shared" ca="1" si="239"/>
      </c>
      <c r="E1075" s="80" t="s">
        <v>279</v>
      </c>
      <c r="F1075" s="74">
        <f t="shared" ca="1" si="235"/>
      </c>
      <c r="G1075" s="74">
        <f t="shared" si="236"/>
      </c>
      <c r="H1075" s="80" t="s">
        <v>272</v>
      </c>
      <c r="I1075" s="74">
        <f t="shared" si="237"/>
      </c>
      <c r="J1075" s="74">
        <f t="shared" si="240"/>
      </c>
      <c r="K1075" s="80" t="s">
        <v>280</v>
      </c>
      <c r="L1075" s="74">
        <f t="shared" si="241"/>
      </c>
      <c r="M1075" s="74">
        <f t="shared" ca="1" si="242"/>
      </c>
      <c r="N1075" s="74">
        <f ca="1">VLOOKUP(B1075,$C$7:$T1073,13,FALSE)</f>
      </c>
      <c r="O1075" s="74">
        <f t="shared" ca="1" si="243"/>
      </c>
      <c r="P1075" s="74">
        <f t="shared" ca="1" si="244"/>
      </c>
      <c r="Q1075" s="74">
        <f t="shared" ca="1" si="245"/>
      </c>
      <c r="R1075" s="74">
        <f t="shared" si="246"/>
      </c>
      <c r="S1075" s="74">
        <f t="shared" ca="1" si="247"/>
      </c>
      <c r="T1075" s="74">
        <f t="shared" si="248"/>
      </c>
    </row>
    <row r="1076" spans="2:20" x14ac:dyDescent="0.3">
      <c r="B1076" s="74">
        <f t="shared" ca="1" si="238"/>
      </c>
      <c r="C1076" s="78">
        <f>Кабельный_журнал!P1042</f>
      </c>
      <c r="D1076" s="74">
        <f t="shared" ca="1" si="239"/>
      </c>
      <c r="E1076" s="80" t="s">
        <v>279</v>
      </c>
      <c r="F1076" s="74">
        <f t="shared" ca="1" si="235"/>
      </c>
      <c r="G1076" s="74">
        <f t="shared" si="236"/>
      </c>
      <c r="H1076" s="80" t="s">
        <v>272</v>
      </c>
      <c r="I1076" s="74">
        <f t="shared" si="237"/>
      </c>
      <c r="J1076" s="74">
        <f t="shared" si="240"/>
      </c>
      <c r="K1076" s="80" t="s">
        <v>280</v>
      </c>
      <c r="L1076" s="74">
        <f t="shared" si="241"/>
      </c>
      <c r="M1076" s="74">
        <f t="shared" ca="1" si="242"/>
      </c>
      <c r="N1076" s="74">
        <f ca="1">VLOOKUP(B1076,$C$7:$T1074,13,FALSE)</f>
      </c>
      <c r="O1076" s="74">
        <f t="shared" ca="1" si="243"/>
      </c>
      <c r="P1076" s="74">
        <f t="shared" ca="1" si="244"/>
      </c>
      <c r="Q1076" s="74">
        <f t="shared" ca="1" si="245"/>
      </c>
      <c r="R1076" s="74">
        <f t="shared" si="246"/>
      </c>
      <c r="S1076" s="74">
        <f t="shared" ca="1" si="247"/>
      </c>
      <c r="T1076" s="74">
        <f t="shared" si="248"/>
      </c>
    </row>
    <row r="1077" spans="2:20" x14ac:dyDescent="0.3">
      <c r="B1077" s="74">
        <f t="shared" ca="1" si="238"/>
      </c>
      <c r="C1077" s="78">
        <f>Кабельный_журнал!P1043</f>
      </c>
      <c r="D1077" s="74">
        <f t="shared" ca="1" si="239"/>
      </c>
      <c r="E1077" s="80" t="s">
        <v>279</v>
      </c>
      <c r="F1077" s="74">
        <f t="shared" ca="1" si="235"/>
      </c>
      <c r="G1077" s="74">
        <f t="shared" si="236"/>
      </c>
      <c r="H1077" s="80" t="s">
        <v>272</v>
      </c>
      <c r="I1077" s="74">
        <f t="shared" si="237"/>
      </c>
      <c r="J1077" s="74">
        <f t="shared" si="240"/>
      </c>
      <c r="K1077" s="80" t="s">
        <v>280</v>
      </c>
      <c r="L1077" s="74">
        <f t="shared" si="241"/>
      </c>
      <c r="M1077" s="74">
        <f t="shared" ca="1" si="242"/>
      </c>
      <c r="N1077" s="74">
        <f ca="1">VLOOKUP(B1077,$C$7:$T1075,13,FALSE)</f>
      </c>
      <c r="O1077" s="74">
        <f t="shared" ca="1" si="243"/>
      </c>
      <c r="P1077" s="74">
        <f t="shared" ca="1" si="244"/>
      </c>
      <c r="Q1077" s="74">
        <f t="shared" ca="1" si="245"/>
      </c>
      <c r="R1077" s="74">
        <f t="shared" si="246"/>
      </c>
      <c r="S1077" s="74">
        <f t="shared" ca="1" si="247"/>
      </c>
      <c r="T1077" s="74">
        <f t="shared" si="248"/>
      </c>
    </row>
    <row r="1078" spans="2:20" x14ac:dyDescent="0.3">
      <c r="B1078" s="74">
        <f t="shared" ca="1" si="238"/>
      </c>
      <c r="C1078" s="78">
        <f>Кабельный_журнал!P1044</f>
      </c>
      <c r="D1078" s="74">
        <f t="shared" ca="1" si="239"/>
      </c>
      <c r="E1078" s="80" t="s">
        <v>279</v>
      </c>
      <c r="F1078" s="74">
        <f t="shared" ca="1" si="235"/>
      </c>
      <c r="G1078" s="74">
        <f t="shared" si="236"/>
      </c>
      <c r="H1078" s="80" t="s">
        <v>272</v>
      </c>
      <c r="I1078" s="74">
        <f t="shared" si="237"/>
      </c>
      <c r="J1078" s="74">
        <f t="shared" si="240"/>
      </c>
      <c r="K1078" s="80" t="s">
        <v>280</v>
      </c>
      <c r="L1078" s="74">
        <f t="shared" si="241"/>
      </c>
      <c r="M1078" s="74">
        <f t="shared" ca="1" si="242"/>
      </c>
      <c r="N1078" s="74">
        <f ca="1">VLOOKUP(B1078,$C$7:$T1076,13,FALSE)</f>
      </c>
      <c r="O1078" s="74">
        <f t="shared" ca="1" si="243"/>
      </c>
      <c r="P1078" s="74">
        <f t="shared" ca="1" si="244"/>
      </c>
      <c r="Q1078" s="74">
        <f t="shared" ca="1" si="245"/>
      </c>
      <c r="R1078" s="74">
        <f t="shared" si="246"/>
      </c>
      <c r="S1078" s="74">
        <f t="shared" ca="1" si="247"/>
      </c>
      <c r="T1078" s="74">
        <f t="shared" si="248"/>
      </c>
    </row>
    <row r="1079" spans="2:20" x14ac:dyDescent="0.3">
      <c r="B1079" s="74">
        <f t="shared" ca="1" si="238"/>
      </c>
      <c r="C1079" s="78">
        <f>Кабельный_журнал!P1045</f>
      </c>
      <c r="D1079" s="74">
        <f t="shared" ca="1" si="239"/>
      </c>
      <c r="E1079" s="80" t="s">
        <v>279</v>
      </c>
      <c r="F1079" s="74">
        <f t="shared" ca="1" si="235"/>
      </c>
      <c r="G1079" s="74">
        <f t="shared" si="236"/>
      </c>
      <c r="H1079" s="80" t="s">
        <v>272</v>
      </c>
      <c r="I1079" s="74">
        <f t="shared" si="237"/>
      </c>
      <c r="J1079" s="74">
        <f t="shared" si="240"/>
      </c>
      <c r="K1079" s="80" t="s">
        <v>280</v>
      </c>
      <c r="L1079" s="74">
        <f t="shared" si="241"/>
      </c>
      <c r="M1079" s="74">
        <f t="shared" ca="1" si="242"/>
      </c>
      <c r="N1079" s="74">
        <f ca="1">VLOOKUP(B1079,$C$7:$T1077,13,FALSE)</f>
      </c>
      <c r="O1079" s="74">
        <f t="shared" ca="1" si="243"/>
      </c>
      <c r="P1079" s="74">
        <f t="shared" ca="1" si="244"/>
      </c>
      <c r="Q1079" s="74">
        <f t="shared" ca="1" si="245"/>
      </c>
      <c r="R1079" s="74">
        <f t="shared" si="246"/>
      </c>
      <c r="S1079" s="74">
        <f t="shared" ca="1" si="247"/>
      </c>
      <c r="T1079" s="74">
        <f t="shared" si="248"/>
      </c>
    </row>
    <row r="1080" spans="2:20" x14ac:dyDescent="0.3">
      <c r="B1080" s="74">
        <f t="shared" ca="1" si="238"/>
      </c>
      <c r="C1080" s="78">
        <f>Кабельный_журнал!P1046</f>
      </c>
      <c r="D1080" s="74">
        <f t="shared" ca="1" si="239"/>
      </c>
      <c r="E1080" s="80" t="s">
        <v>279</v>
      </c>
      <c r="F1080" s="74">
        <f t="shared" ca="1" si="235"/>
      </c>
      <c r="G1080" s="74">
        <f t="shared" si="236"/>
      </c>
      <c r="H1080" s="80" t="s">
        <v>272</v>
      </c>
      <c r="I1080" s="74">
        <f t="shared" si="237"/>
      </c>
      <c r="J1080" s="74">
        <f t="shared" si="240"/>
      </c>
      <c r="K1080" s="80" t="s">
        <v>280</v>
      </c>
      <c r="L1080" s="74">
        <f t="shared" si="241"/>
      </c>
      <c r="M1080" s="74">
        <f t="shared" ca="1" si="242"/>
      </c>
      <c r="N1080" s="74">
        <f ca="1">VLOOKUP(B1080,$C$7:$T1078,13,FALSE)</f>
      </c>
      <c r="O1080" s="74">
        <f t="shared" ca="1" si="243"/>
      </c>
      <c r="P1080" s="74">
        <f t="shared" ca="1" si="244"/>
      </c>
      <c r="Q1080" s="74">
        <f t="shared" ca="1" si="245"/>
      </c>
      <c r="R1080" s="74">
        <f t="shared" si="246"/>
      </c>
      <c r="S1080" s="74">
        <f t="shared" ca="1" si="247"/>
      </c>
      <c r="T1080" s="74">
        <f t="shared" si="248"/>
      </c>
    </row>
    <row r="1081" spans="2:20" x14ac:dyDescent="0.3">
      <c r="B1081" s="74">
        <f t="shared" ca="1" si="238"/>
      </c>
      <c r="C1081" s="78">
        <f>Кабельный_журнал!P1047</f>
      </c>
      <c r="D1081" s="74">
        <f t="shared" ca="1" si="239"/>
      </c>
      <c r="E1081" s="80" t="s">
        <v>279</v>
      </c>
      <c r="F1081" s="74">
        <f t="shared" ca="1" si="235"/>
      </c>
      <c r="G1081" s="74">
        <f t="shared" si="236"/>
      </c>
      <c r="H1081" s="80" t="s">
        <v>272</v>
      </c>
      <c r="I1081" s="74">
        <f t="shared" si="237"/>
      </c>
      <c r="J1081" s="74">
        <f t="shared" si="240"/>
      </c>
      <c r="K1081" s="80" t="s">
        <v>280</v>
      </c>
      <c r="L1081" s="74">
        <f t="shared" si="241"/>
      </c>
      <c r="M1081" s="74">
        <f t="shared" ca="1" si="242"/>
      </c>
      <c r="N1081" s="74">
        <f ca="1">VLOOKUP(B1081,$C$7:$T1079,13,FALSE)</f>
      </c>
      <c r="O1081" s="74">
        <f t="shared" ca="1" si="243"/>
      </c>
      <c r="P1081" s="74">
        <f t="shared" ca="1" si="244"/>
      </c>
      <c r="Q1081" s="74">
        <f t="shared" ca="1" si="245"/>
      </c>
      <c r="R1081" s="74">
        <f t="shared" si="246"/>
      </c>
      <c r="S1081" s="74">
        <f t="shared" ca="1" si="247"/>
      </c>
      <c r="T1081" s="74">
        <f t="shared" si="248"/>
      </c>
    </row>
    <row r="1082" spans="2:20" x14ac:dyDescent="0.3">
      <c r="B1082" s="74">
        <f t="shared" ca="1" si="238"/>
      </c>
      <c r="C1082" s="78">
        <f>Кабельный_журнал!P1048</f>
      </c>
      <c r="D1082" s="74">
        <f t="shared" ca="1" si="239"/>
      </c>
      <c r="E1082" s="80" t="s">
        <v>279</v>
      </c>
      <c r="F1082" s="74">
        <f t="shared" ca="1" si="235"/>
      </c>
      <c r="G1082" s="74">
        <f t="shared" si="236"/>
      </c>
      <c r="H1082" s="80" t="s">
        <v>272</v>
      </c>
      <c r="I1082" s="74">
        <f t="shared" si="237"/>
      </c>
      <c r="J1082" s="74">
        <f t="shared" si="240"/>
      </c>
      <c r="K1082" s="80" t="s">
        <v>280</v>
      </c>
      <c r="L1082" s="74">
        <f t="shared" si="241"/>
      </c>
      <c r="M1082" s="74">
        <f t="shared" ca="1" si="242"/>
      </c>
      <c r="N1082" s="74">
        <f ca="1">VLOOKUP(B1082,$C$7:$T1080,13,FALSE)</f>
      </c>
      <c r="O1082" s="74">
        <f t="shared" ca="1" si="243"/>
      </c>
      <c r="P1082" s="74">
        <f t="shared" ca="1" si="244"/>
      </c>
      <c r="Q1082" s="74">
        <f t="shared" ca="1" si="245"/>
      </c>
      <c r="R1082" s="74">
        <f t="shared" si="246"/>
      </c>
      <c r="S1082" s="74">
        <f t="shared" ca="1" si="247"/>
      </c>
      <c r="T1082" s="74">
        <f t="shared" si="248"/>
      </c>
    </row>
    <row r="1083" spans="2:20" x14ac:dyDescent="0.3">
      <c r="B1083" s="74">
        <f t="shared" ca="1" si="238"/>
      </c>
      <c r="C1083" s="78">
        <f>Кабельный_журнал!P1049</f>
      </c>
      <c r="D1083" s="74">
        <f t="shared" ca="1" si="239"/>
      </c>
      <c r="E1083" s="80" t="s">
        <v>279</v>
      </c>
      <c r="F1083" s="74">
        <f t="shared" ca="1" si="235"/>
      </c>
      <c r="G1083" s="74">
        <f t="shared" si="236"/>
      </c>
      <c r="H1083" s="80" t="s">
        <v>272</v>
      </c>
      <c r="I1083" s="74">
        <f t="shared" si="237"/>
      </c>
      <c r="J1083" s="74">
        <f t="shared" si="240"/>
      </c>
      <c r="K1083" s="80" t="s">
        <v>280</v>
      </c>
      <c r="L1083" s="74">
        <f t="shared" si="241"/>
      </c>
      <c r="M1083" s="74">
        <f t="shared" ca="1" si="242"/>
      </c>
      <c r="N1083" s="74">
        <f ca="1">VLOOKUP(B1083,$C$7:$T1081,13,FALSE)</f>
      </c>
      <c r="O1083" s="74">
        <f t="shared" ca="1" si="243"/>
      </c>
      <c r="P1083" s="74">
        <f t="shared" ca="1" si="244"/>
      </c>
      <c r="Q1083" s="74">
        <f t="shared" ca="1" si="245"/>
      </c>
      <c r="R1083" s="74">
        <f t="shared" si="246"/>
      </c>
      <c r="S1083" s="74">
        <f t="shared" ca="1" si="247"/>
      </c>
      <c r="T1083" s="74">
        <f t="shared" si="248"/>
      </c>
    </row>
    <row r="1084" spans="2:20" x14ac:dyDescent="0.3">
      <c r="B1084" s="74">
        <f t="shared" ca="1" si="238"/>
      </c>
      <c r="C1084" s="78">
        <f>Кабельный_журнал!P1050</f>
      </c>
      <c r="D1084" s="74">
        <f t="shared" ca="1" si="239"/>
      </c>
      <c r="E1084" s="80" t="s">
        <v>279</v>
      </c>
      <c r="F1084" s="74">
        <f t="shared" ca="1" si="235"/>
      </c>
      <c r="G1084" s="74">
        <f t="shared" si="236"/>
      </c>
      <c r="H1084" s="80" t="s">
        <v>272</v>
      </c>
      <c r="I1084" s="74">
        <f t="shared" si="237"/>
      </c>
      <c r="J1084" s="74">
        <f t="shared" si="240"/>
      </c>
      <c r="K1084" s="80" t="s">
        <v>280</v>
      </c>
      <c r="L1084" s="74">
        <f t="shared" si="241"/>
      </c>
      <c r="M1084" s="74">
        <f t="shared" ca="1" si="242"/>
      </c>
      <c r="N1084" s="74">
        <f ca="1">VLOOKUP(B1084,$C$7:$T1082,13,FALSE)</f>
      </c>
      <c r="O1084" s="74">
        <f t="shared" ca="1" si="243"/>
      </c>
      <c r="P1084" s="74">
        <f t="shared" ca="1" si="244"/>
      </c>
      <c r="Q1084" s="74">
        <f t="shared" ca="1" si="245"/>
      </c>
      <c r="R1084" s="74">
        <f t="shared" si="246"/>
      </c>
      <c r="S1084" s="74">
        <f t="shared" ca="1" si="247"/>
      </c>
      <c r="T1084" s="74">
        <f t="shared" si="248"/>
      </c>
    </row>
    <row r="1085" spans="2:20" x14ac:dyDescent="0.3">
      <c r="B1085" s="74">
        <f t="shared" ca="1" si="238"/>
      </c>
      <c r="C1085" s="78">
        <f>Кабельный_журнал!P1051</f>
      </c>
      <c r="D1085" s="74">
        <f t="shared" ca="1" si="239"/>
      </c>
      <c r="E1085" s="80" t="s">
        <v>279</v>
      </c>
      <c r="F1085" s="74">
        <f t="shared" ca="1" si="235"/>
      </c>
      <c r="G1085" s="74">
        <f t="shared" si="236"/>
      </c>
      <c r="H1085" s="80" t="s">
        <v>272</v>
      </c>
      <c r="I1085" s="74">
        <f t="shared" si="237"/>
      </c>
      <c r="J1085" s="74">
        <f t="shared" si="240"/>
      </c>
      <c r="K1085" s="80" t="s">
        <v>280</v>
      </c>
      <c r="L1085" s="74">
        <f t="shared" si="241"/>
      </c>
      <c r="M1085" s="74">
        <f t="shared" ca="1" si="242"/>
      </c>
      <c r="N1085" s="74">
        <f ca="1">VLOOKUP(B1085,$C$7:$T1083,13,FALSE)</f>
      </c>
      <c r="O1085" s="74">
        <f t="shared" ca="1" si="243"/>
      </c>
      <c r="P1085" s="74">
        <f t="shared" ca="1" si="244"/>
      </c>
      <c r="Q1085" s="74">
        <f t="shared" ca="1" si="245"/>
      </c>
      <c r="R1085" s="74">
        <f t="shared" si="246"/>
      </c>
      <c r="S1085" s="74">
        <f t="shared" ca="1" si="247"/>
      </c>
      <c r="T1085" s="74">
        <f t="shared" si="248"/>
      </c>
    </row>
    <row r="1086" spans="2:20" x14ac:dyDescent="0.3">
      <c r="B1086" s="74">
        <f t="shared" ca="1" si="238"/>
      </c>
      <c r="C1086" s="78">
        <f>Кабельный_журнал!P1052</f>
      </c>
      <c r="D1086" s="74">
        <f t="shared" ca="1" si="239"/>
      </c>
      <c r="E1086" s="80" t="s">
        <v>279</v>
      </c>
      <c r="F1086" s="74">
        <f t="shared" ca="1" si="235"/>
      </c>
      <c r="G1086" s="74">
        <f t="shared" si="236"/>
      </c>
      <c r="H1086" s="80" t="s">
        <v>272</v>
      </c>
      <c r="I1086" s="74">
        <f t="shared" si="237"/>
      </c>
      <c r="J1086" s="74">
        <f t="shared" si="240"/>
      </c>
      <c r="K1086" s="80" t="s">
        <v>280</v>
      </c>
      <c r="L1086" s="74">
        <f t="shared" si="241"/>
      </c>
      <c r="M1086" s="74">
        <f t="shared" ca="1" si="242"/>
      </c>
      <c r="N1086" s="74">
        <f ca="1">VLOOKUP(B1086,$C$7:$T1084,13,FALSE)</f>
      </c>
      <c r="O1086" s="74">
        <f t="shared" ca="1" si="243"/>
      </c>
      <c r="P1086" s="74">
        <f t="shared" ca="1" si="244"/>
      </c>
      <c r="Q1086" s="74">
        <f t="shared" ca="1" si="245"/>
      </c>
      <c r="R1086" s="74">
        <f t="shared" si="246"/>
      </c>
      <c r="S1086" s="74">
        <f t="shared" ca="1" si="247"/>
      </c>
      <c r="T1086" s="74">
        <f t="shared" si="248"/>
      </c>
    </row>
    <row r="1087" spans="2:20" x14ac:dyDescent="0.3">
      <c r="B1087" s="74">
        <f t="shared" ca="1" si="238"/>
      </c>
      <c r="C1087" s="78">
        <f>Кабельный_журнал!P1053</f>
      </c>
      <c r="D1087" s="74">
        <f t="shared" ca="1" si="239"/>
      </c>
      <c r="E1087" s="80" t="s">
        <v>279</v>
      </c>
      <c r="F1087" s="74">
        <f t="shared" ca="1" si="235"/>
      </c>
      <c r="G1087" s="74">
        <f t="shared" si="236"/>
      </c>
      <c r="H1087" s="80" t="s">
        <v>272</v>
      </c>
      <c r="I1087" s="74">
        <f t="shared" si="237"/>
      </c>
      <c r="J1087" s="74">
        <f t="shared" si="240"/>
      </c>
      <c r="K1087" s="80" t="s">
        <v>280</v>
      </c>
      <c r="L1087" s="74">
        <f t="shared" si="241"/>
      </c>
      <c r="M1087" s="74">
        <f t="shared" ca="1" si="242"/>
      </c>
      <c r="N1087" s="74">
        <f ca="1">VLOOKUP(B1087,$C$7:$T1085,13,FALSE)</f>
      </c>
      <c r="O1087" s="74">
        <f t="shared" ca="1" si="243"/>
      </c>
      <c r="P1087" s="74">
        <f t="shared" ca="1" si="244"/>
      </c>
      <c r="Q1087" s="74">
        <f t="shared" ca="1" si="245"/>
      </c>
      <c r="R1087" s="74">
        <f t="shared" si="246"/>
      </c>
      <c r="S1087" s="74">
        <f t="shared" ca="1" si="247"/>
      </c>
      <c r="T1087" s="74">
        <f t="shared" si="248"/>
      </c>
    </row>
    <row r="1088" spans="2:20" x14ac:dyDescent="0.3">
      <c r="B1088" s="74">
        <f t="shared" ca="1" si="238"/>
      </c>
      <c r="C1088" s="78">
        <f>Кабельный_журнал!P1054</f>
      </c>
      <c r="D1088" s="74">
        <f t="shared" ca="1" si="239"/>
      </c>
      <c r="E1088" s="80" t="s">
        <v>279</v>
      </c>
      <c r="F1088" s="74">
        <f t="shared" ca="1" si="235"/>
      </c>
      <c r="G1088" s="74">
        <f t="shared" si="236"/>
      </c>
      <c r="H1088" s="80" t="s">
        <v>272</v>
      </c>
      <c r="I1088" s="74">
        <f t="shared" si="237"/>
      </c>
      <c r="J1088" s="74">
        <f t="shared" si="240"/>
      </c>
      <c r="K1088" s="80" t="s">
        <v>280</v>
      </c>
      <c r="L1088" s="74">
        <f t="shared" si="241"/>
      </c>
      <c r="M1088" s="74">
        <f t="shared" ca="1" si="242"/>
      </c>
      <c r="N1088" s="74">
        <f ca="1">VLOOKUP(B1088,$C$7:$T1086,13,FALSE)</f>
      </c>
      <c r="O1088" s="74">
        <f t="shared" ca="1" si="243"/>
      </c>
      <c r="P1088" s="74">
        <f t="shared" ca="1" si="244"/>
      </c>
      <c r="Q1088" s="74">
        <f t="shared" ca="1" si="245"/>
      </c>
      <c r="R1088" s="74">
        <f t="shared" si="246"/>
      </c>
      <c r="S1088" s="74">
        <f t="shared" ca="1" si="247"/>
      </c>
      <c r="T1088" s="74">
        <f t="shared" si="248"/>
      </c>
    </row>
    <row r="1089" spans="2:20" x14ac:dyDescent="0.3">
      <c r="B1089" s="74">
        <f t="shared" ca="1" si="238"/>
      </c>
      <c r="C1089" s="78">
        <f>Кабельный_журнал!P1055</f>
      </c>
      <c r="D1089" s="74">
        <f t="shared" ca="1" si="239"/>
      </c>
      <c r="E1089" s="80" t="s">
        <v>279</v>
      </c>
      <c r="F1089" s="74">
        <f t="shared" ca="1" si="235"/>
      </c>
      <c r="G1089" s="74">
        <f t="shared" si="236"/>
      </c>
      <c r="H1089" s="80" t="s">
        <v>272</v>
      </c>
      <c r="I1089" s="74">
        <f t="shared" si="237"/>
      </c>
      <c r="J1089" s="74">
        <f t="shared" si="240"/>
      </c>
      <c r="K1089" s="80" t="s">
        <v>280</v>
      </c>
      <c r="L1089" s="74">
        <f t="shared" si="241"/>
      </c>
      <c r="M1089" s="74">
        <f t="shared" ca="1" si="242"/>
      </c>
      <c r="N1089" s="74">
        <f ca="1">VLOOKUP(B1089,$C$7:$T1087,13,FALSE)</f>
      </c>
      <c r="O1089" s="74">
        <f t="shared" ca="1" si="243"/>
      </c>
      <c r="P1089" s="74">
        <f t="shared" ca="1" si="244"/>
      </c>
      <c r="Q1089" s="74">
        <f t="shared" ca="1" si="245"/>
      </c>
      <c r="R1089" s="74">
        <f t="shared" si="246"/>
      </c>
      <c r="S1089" s="74">
        <f t="shared" ca="1" si="247"/>
      </c>
      <c r="T1089" s="74">
        <f t="shared" si="248"/>
      </c>
    </row>
    <row r="1090" spans="2:20" x14ac:dyDescent="0.3">
      <c r="B1090" s="74">
        <f t="shared" ca="1" si="238"/>
      </c>
      <c r="C1090" s="78">
        <f>Кабельный_журнал!P1056</f>
      </c>
      <c r="D1090" s="74">
        <f t="shared" ca="1" si="239"/>
      </c>
      <c r="E1090" s="80" t="s">
        <v>279</v>
      </c>
      <c r="F1090" s="74">
        <f t="shared" ca="1" si="235"/>
      </c>
      <c r="G1090" s="74">
        <f t="shared" si="236"/>
      </c>
      <c r="H1090" s="80" t="s">
        <v>272</v>
      </c>
      <c r="I1090" s="74">
        <f t="shared" si="237"/>
      </c>
      <c r="J1090" s="74">
        <f t="shared" si="240"/>
      </c>
      <c r="K1090" s="80" t="s">
        <v>280</v>
      </c>
      <c r="L1090" s="74">
        <f t="shared" si="241"/>
      </c>
      <c r="M1090" s="74">
        <f t="shared" ca="1" si="242"/>
      </c>
      <c r="N1090" s="74">
        <f ca="1">VLOOKUP(B1090,$C$7:$T1088,13,FALSE)</f>
      </c>
      <c r="O1090" s="74">
        <f t="shared" ca="1" si="243"/>
      </c>
      <c r="P1090" s="74">
        <f t="shared" ca="1" si="244"/>
      </c>
      <c r="Q1090" s="74">
        <f t="shared" ca="1" si="245"/>
      </c>
      <c r="R1090" s="74">
        <f t="shared" si="246"/>
      </c>
      <c r="S1090" s="74">
        <f t="shared" ca="1" si="247"/>
      </c>
      <c r="T1090" s="74">
        <f t="shared" si="248"/>
      </c>
    </row>
    <row r="1091" spans="2:20" x14ac:dyDescent="0.3">
      <c r="B1091" s="74">
        <f t="shared" ca="1" si="238"/>
      </c>
      <c r="C1091" s="78">
        <f>Кабельный_журнал!P1057</f>
      </c>
      <c r="D1091" s="74">
        <f t="shared" ca="1" si="239"/>
      </c>
      <c r="E1091" s="80" t="s">
        <v>279</v>
      </c>
      <c r="F1091" s="74">
        <f t="shared" ca="1" si="235"/>
      </c>
      <c r="G1091" s="74">
        <f t="shared" si="236"/>
      </c>
      <c r="H1091" s="80" t="s">
        <v>272</v>
      </c>
      <c r="I1091" s="74">
        <f t="shared" si="237"/>
      </c>
      <c r="J1091" s="74">
        <f t="shared" si="240"/>
      </c>
      <c r="K1091" s="80" t="s">
        <v>280</v>
      </c>
      <c r="L1091" s="74">
        <f t="shared" si="241"/>
      </c>
      <c r="M1091" s="74">
        <f t="shared" ca="1" si="242"/>
      </c>
      <c r="N1091" s="74">
        <f ca="1">VLOOKUP(B1091,$C$7:$T1089,13,FALSE)</f>
      </c>
      <c r="O1091" s="74">
        <f t="shared" ca="1" si="243"/>
      </c>
      <c r="P1091" s="74">
        <f t="shared" ca="1" si="244"/>
      </c>
      <c r="Q1091" s="74">
        <f t="shared" ca="1" si="245"/>
      </c>
      <c r="R1091" s="74">
        <f t="shared" si="246"/>
      </c>
      <c r="S1091" s="74">
        <f t="shared" ca="1" si="247"/>
      </c>
      <c r="T1091" s="74">
        <f t="shared" si="248"/>
      </c>
    </row>
    <row r="1092" spans="2:20" x14ac:dyDescent="0.3">
      <c r="B1092" s="74">
        <f t="shared" ca="1" si="238"/>
      </c>
      <c r="C1092" s="78">
        <f>Кабельный_журнал!P1058</f>
      </c>
      <c r="D1092" s="74">
        <f t="shared" ca="1" si="239"/>
      </c>
      <c r="E1092" s="80" t="s">
        <v>279</v>
      </c>
      <c r="F1092" s="74">
        <f t="shared" ca="1" si="235"/>
      </c>
      <c r="G1092" s="74">
        <f t="shared" si="236"/>
      </c>
      <c r="H1092" s="80" t="s">
        <v>272</v>
      </c>
      <c r="I1092" s="74">
        <f t="shared" si="237"/>
      </c>
      <c r="J1092" s="74">
        <f t="shared" si="240"/>
      </c>
      <c r="K1092" s="80" t="s">
        <v>280</v>
      </c>
      <c r="L1092" s="74">
        <f t="shared" si="241"/>
      </c>
      <c r="M1092" s="74">
        <f t="shared" ca="1" si="242"/>
      </c>
      <c r="N1092" s="74">
        <f ca="1">VLOOKUP(B1092,$C$7:$T1090,13,FALSE)</f>
      </c>
      <c r="O1092" s="74">
        <f t="shared" ca="1" si="243"/>
      </c>
      <c r="P1092" s="74">
        <f t="shared" ca="1" si="244"/>
      </c>
      <c r="Q1092" s="74">
        <f t="shared" ca="1" si="245"/>
      </c>
      <c r="R1092" s="74">
        <f t="shared" si="246"/>
      </c>
      <c r="S1092" s="74">
        <f t="shared" ca="1" si="247"/>
      </c>
      <c r="T1092" s="74">
        <f t="shared" si="248"/>
      </c>
    </row>
    <row r="1093" spans="2:20" x14ac:dyDescent="0.3">
      <c r="B1093" s="74">
        <f t="shared" ca="1" si="238"/>
      </c>
      <c r="C1093" s="78">
        <f>Кабельный_журнал!P1059</f>
      </c>
      <c r="D1093" s="74">
        <f t="shared" ca="1" si="239"/>
      </c>
      <c r="E1093" s="80" t="s">
        <v>279</v>
      </c>
      <c r="F1093" s="74">
        <f t="shared" ca="1" si="235"/>
      </c>
      <c r="G1093" s="74">
        <f t="shared" si="236"/>
      </c>
      <c r="H1093" s="80" t="s">
        <v>272</v>
      </c>
      <c r="I1093" s="74">
        <f t="shared" si="237"/>
      </c>
      <c r="J1093" s="74">
        <f t="shared" si="240"/>
      </c>
      <c r="K1093" s="80" t="s">
        <v>280</v>
      </c>
      <c r="L1093" s="74">
        <f t="shared" si="241"/>
      </c>
      <c r="M1093" s="74">
        <f t="shared" ca="1" si="242"/>
      </c>
      <c r="N1093" s="74">
        <f ca="1">VLOOKUP(B1093,$C$7:$T1091,13,FALSE)</f>
      </c>
      <c r="O1093" s="74">
        <f t="shared" ca="1" si="243"/>
      </c>
      <c r="P1093" s="74">
        <f t="shared" ca="1" si="244"/>
      </c>
      <c r="Q1093" s="74">
        <f t="shared" ca="1" si="245"/>
      </c>
      <c r="R1093" s="74">
        <f t="shared" si="246"/>
      </c>
      <c r="S1093" s="74">
        <f t="shared" ca="1" si="247"/>
      </c>
      <c r="T1093" s="74">
        <f t="shared" si="248"/>
      </c>
    </row>
    <row r="1094" spans="2:20" x14ac:dyDescent="0.3">
      <c r="B1094" s="74">
        <f t="shared" ca="1" si="238"/>
      </c>
      <c r="C1094" s="78">
        <f>Кабельный_журнал!P1060</f>
      </c>
      <c r="D1094" s="74">
        <f t="shared" ca="1" si="239"/>
      </c>
      <c r="E1094" s="80" t="s">
        <v>279</v>
      </c>
      <c r="F1094" s="74">
        <f t="shared" ca="1" si="235"/>
      </c>
      <c r="G1094" s="74">
        <f t="shared" si="236"/>
      </c>
      <c r="H1094" s="80" t="s">
        <v>272</v>
      </c>
      <c r="I1094" s="74">
        <f t="shared" si="237"/>
      </c>
      <c r="J1094" s="74">
        <f t="shared" si="240"/>
      </c>
      <c r="K1094" s="80" t="s">
        <v>280</v>
      </c>
      <c r="L1094" s="74">
        <f t="shared" si="241"/>
      </c>
      <c r="M1094" s="74">
        <f t="shared" ca="1" si="242"/>
      </c>
      <c r="N1094" s="74">
        <f ca="1">VLOOKUP(B1094,$C$7:$T1092,13,FALSE)</f>
      </c>
      <c r="O1094" s="74">
        <f t="shared" ca="1" si="243"/>
      </c>
      <c r="P1094" s="74">
        <f t="shared" ca="1" si="244"/>
      </c>
      <c r="Q1094" s="74">
        <f t="shared" ca="1" si="245"/>
      </c>
      <c r="R1094" s="74">
        <f t="shared" si="246"/>
      </c>
      <c r="S1094" s="74">
        <f t="shared" ca="1" si="247"/>
      </c>
      <c r="T1094" s="74">
        <f t="shared" si="248"/>
      </c>
    </row>
    <row r="1095" spans="2:20" x14ac:dyDescent="0.3">
      <c r="B1095" s="74">
        <f t="shared" ca="1" si="238"/>
      </c>
      <c r="C1095" s="78">
        <f>Кабельный_журнал!P1061</f>
      </c>
      <c r="D1095" s="74">
        <f t="shared" ca="1" si="239"/>
      </c>
      <c r="E1095" s="80" t="s">
        <v>279</v>
      </c>
      <c r="F1095" s="74">
        <f t="shared" ca="1" si="235"/>
      </c>
      <c r="G1095" s="74">
        <f t="shared" si="236"/>
      </c>
      <c r="H1095" s="80" t="s">
        <v>272</v>
      </c>
      <c r="I1095" s="74">
        <f t="shared" si="237"/>
      </c>
      <c r="J1095" s="74">
        <f t="shared" si="240"/>
      </c>
      <c r="K1095" s="80" t="s">
        <v>280</v>
      </c>
      <c r="L1095" s="74">
        <f t="shared" si="241"/>
      </c>
      <c r="M1095" s="74">
        <f t="shared" ca="1" si="242"/>
      </c>
      <c r="N1095" s="74">
        <f ca="1">VLOOKUP(B1095,$C$7:$T1093,13,FALSE)</f>
      </c>
      <c r="O1095" s="74">
        <f t="shared" ca="1" si="243"/>
      </c>
      <c r="P1095" s="74">
        <f t="shared" ca="1" si="244"/>
      </c>
      <c r="Q1095" s="74">
        <f t="shared" ca="1" si="245"/>
      </c>
      <c r="R1095" s="74">
        <f t="shared" si="246"/>
      </c>
      <c r="S1095" s="74">
        <f t="shared" ca="1" si="247"/>
      </c>
      <c r="T1095" s="74">
        <f t="shared" si="248"/>
      </c>
    </row>
    <row r="1096" spans="2:20" x14ac:dyDescent="0.3">
      <c r="B1096" s="74">
        <f t="shared" ca="1" si="238"/>
      </c>
      <c r="C1096" s="78">
        <f>Кабельный_журнал!P1062</f>
      </c>
      <c r="D1096" s="74">
        <f t="shared" ca="1" si="239"/>
      </c>
      <c r="E1096" s="80" t="s">
        <v>279</v>
      </c>
      <c r="F1096" s="74">
        <f t="shared" ca="1" si="235"/>
      </c>
      <c r="G1096" s="74">
        <f t="shared" si="236"/>
      </c>
      <c r="H1096" s="80" t="s">
        <v>272</v>
      </c>
      <c r="I1096" s="74">
        <f t="shared" si="237"/>
      </c>
      <c r="J1096" s="74">
        <f t="shared" si="240"/>
      </c>
      <c r="K1096" s="80" t="s">
        <v>280</v>
      </c>
      <c r="L1096" s="74">
        <f t="shared" si="241"/>
      </c>
      <c r="M1096" s="74">
        <f t="shared" ca="1" si="242"/>
      </c>
      <c r="N1096" s="74">
        <f ca="1">VLOOKUP(B1096,$C$7:$T1094,13,FALSE)</f>
      </c>
      <c r="O1096" s="74">
        <f t="shared" ca="1" si="243"/>
      </c>
      <c r="P1096" s="74">
        <f t="shared" ca="1" si="244"/>
      </c>
      <c r="Q1096" s="74">
        <f t="shared" ca="1" si="245"/>
      </c>
      <c r="R1096" s="74">
        <f t="shared" si="246"/>
      </c>
      <c r="S1096" s="74">
        <f t="shared" ca="1" si="247"/>
      </c>
      <c r="T1096" s="74">
        <f t="shared" si="248"/>
      </c>
    </row>
    <row r="1097" spans="2:20" x14ac:dyDescent="0.3">
      <c r="B1097" s="74">
        <f t="shared" ca="1" si="238"/>
      </c>
      <c r="C1097" s="78">
        <f>Кабельный_журнал!P1063</f>
      </c>
      <c r="D1097" s="74">
        <f t="shared" ca="1" si="239"/>
      </c>
      <c r="E1097" s="80" t="s">
        <v>279</v>
      </c>
      <c r="F1097" s="74">
        <f t="shared" ca="1" si="235"/>
      </c>
      <c r="G1097" s="74">
        <f t="shared" si="236"/>
      </c>
      <c r="H1097" s="80" t="s">
        <v>272</v>
      </c>
      <c r="I1097" s="74">
        <f t="shared" si="237"/>
      </c>
      <c r="J1097" s="74">
        <f t="shared" si="240"/>
      </c>
      <c r="K1097" s="80" t="s">
        <v>280</v>
      </c>
      <c r="L1097" s="74">
        <f t="shared" si="241"/>
      </c>
      <c r="M1097" s="74">
        <f t="shared" ca="1" si="242"/>
      </c>
      <c r="N1097" s="74">
        <f ca="1">VLOOKUP(B1097,$C$7:$T1095,13,FALSE)</f>
      </c>
      <c r="O1097" s="74">
        <f t="shared" ca="1" si="243"/>
      </c>
      <c r="P1097" s="74">
        <f t="shared" ca="1" si="244"/>
      </c>
      <c r="Q1097" s="74">
        <f t="shared" ca="1" si="245"/>
      </c>
      <c r="R1097" s="74">
        <f t="shared" si="246"/>
      </c>
      <c r="S1097" s="74">
        <f t="shared" ca="1" si="247"/>
      </c>
      <c r="T1097" s="74">
        <f t="shared" si="248"/>
      </c>
    </row>
    <row r="1098" spans="2:20" x14ac:dyDescent="0.3">
      <c r="B1098" s="74">
        <f t="shared" ca="1" si="238"/>
      </c>
      <c r="C1098" s="78">
        <f>Кабельный_журнал!P1064</f>
      </c>
      <c r="D1098" s="74">
        <f t="shared" ca="1" si="239"/>
      </c>
      <c r="E1098" s="80" t="s">
        <v>279</v>
      </c>
      <c r="F1098" s="74">
        <f t="shared" ca="1" si="235"/>
      </c>
      <c r="G1098" s="74">
        <f t="shared" si="236"/>
      </c>
      <c r="H1098" s="80" t="s">
        <v>272</v>
      </c>
      <c r="I1098" s="74">
        <f t="shared" si="237"/>
      </c>
      <c r="J1098" s="74">
        <f t="shared" si="240"/>
      </c>
      <c r="K1098" s="80" t="s">
        <v>280</v>
      </c>
      <c r="L1098" s="74">
        <f t="shared" si="241"/>
      </c>
      <c r="M1098" s="74">
        <f t="shared" ca="1" si="242"/>
      </c>
      <c r="N1098" s="74">
        <f ca="1">VLOOKUP(B1098,$C$7:$T1096,13,FALSE)</f>
      </c>
      <c r="O1098" s="74">
        <f t="shared" ca="1" si="243"/>
      </c>
      <c r="P1098" s="74">
        <f t="shared" ca="1" si="244"/>
      </c>
      <c r="Q1098" s="74">
        <f t="shared" ca="1" si="245"/>
      </c>
      <c r="R1098" s="74">
        <f t="shared" si="246"/>
      </c>
      <c r="S1098" s="74">
        <f t="shared" ca="1" si="247"/>
      </c>
      <c r="T1098" s="74">
        <f t="shared" si="248"/>
      </c>
    </row>
    <row r="1099" spans="2:20" x14ac:dyDescent="0.3">
      <c r="B1099" s="74">
        <f t="shared" ca="1" si="238"/>
      </c>
      <c r="C1099" s="78">
        <f>Кабельный_журнал!P1065</f>
      </c>
      <c r="D1099" s="74">
        <f t="shared" ca="1" si="239"/>
      </c>
      <c r="E1099" s="80" t="s">
        <v>279</v>
      </c>
      <c r="F1099" s="74">
        <f t="shared" ca="1" si="235"/>
      </c>
      <c r="G1099" s="74">
        <f t="shared" si="236"/>
      </c>
      <c r="H1099" s="80" t="s">
        <v>272</v>
      </c>
      <c r="I1099" s="74">
        <f t="shared" si="237"/>
      </c>
      <c r="J1099" s="74">
        <f t="shared" si="240"/>
      </c>
      <c r="K1099" s="80" t="s">
        <v>280</v>
      </c>
      <c r="L1099" s="74">
        <f t="shared" si="241"/>
      </c>
      <c r="M1099" s="74">
        <f t="shared" ca="1" si="242"/>
      </c>
      <c r="N1099" s="74">
        <f ca="1">VLOOKUP(B1099,$C$7:$T1097,13,FALSE)</f>
      </c>
      <c r="O1099" s="74">
        <f t="shared" ca="1" si="243"/>
      </c>
      <c r="P1099" s="74">
        <f t="shared" ca="1" si="244"/>
      </c>
      <c r="Q1099" s="74">
        <f t="shared" ca="1" si="245"/>
      </c>
      <c r="R1099" s="74">
        <f t="shared" si="246"/>
      </c>
      <c r="S1099" s="74">
        <f t="shared" ca="1" si="247"/>
      </c>
      <c r="T1099" s="74">
        <f t="shared" si="248"/>
      </c>
    </row>
    <row r="1100" spans="2:20" x14ac:dyDescent="0.3">
      <c r="B1100" s="74">
        <f t="shared" ca="1" si="238"/>
      </c>
      <c r="C1100" s="78">
        <f>Кабельный_журнал!P1066</f>
      </c>
      <c r="D1100" s="74">
        <f t="shared" ca="1" si="239"/>
      </c>
      <c r="E1100" s="80" t="s">
        <v>279</v>
      </c>
      <c r="F1100" s="74">
        <f t="shared" ca="1" si="235"/>
      </c>
      <c r="G1100" s="74">
        <f t="shared" si="236"/>
      </c>
      <c r="H1100" s="80" t="s">
        <v>272</v>
      </c>
      <c r="I1100" s="74">
        <f t="shared" si="237"/>
      </c>
      <c r="J1100" s="74">
        <f t="shared" si="240"/>
      </c>
      <c r="K1100" s="80" t="s">
        <v>280</v>
      </c>
      <c r="L1100" s="74">
        <f t="shared" si="241"/>
      </c>
      <c r="M1100" s="74">
        <f t="shared" ca="1" si="242"/>
      </c>
      <c r="N1100" s="74">
        <f ca="1">VLOOKUP(B1100,$C$7:$T1098,13,FALSE)</f>
      </c>
      <c r="O1100" s="74">
        <f t="shared" ca="1" si="243"/>
      </c>
      <c r="P1100" s="74">
        <f t="shared" ca="1" si="244"/>
      </c>
      <c r="Q1100" s="74">
        <f t="shared" ca="1" si="245"/>
      </c>
      <c r="R1100" s="74">
        <f t="shared" si="246"/>
      </c>
      <c r="S1100" s="74">
        <f t="shared" ca="1" si="247"/>
      </c>
      <c r="T1100" s="74">
        <f t="shared" si="248"/>
      </c>
    </row>
    <row r="1101" spans="2:20" x14ac:dyDescent="0.3">
      <c r="B1101" s="74">
        <f t="shared" ca="1" si="238"/>
      </c>
      <c r="C1101" s="78">
        <f>Кабельный_журнал!P1067</f>
      </c>
      <c r="D1101" s="74">
        <f t="shared" ca="1" si="239"/>
      </c>
      <c r="E1101" s="80" t="s">
        <v>279</v>
      </c>
      <c r="F1101" s="74">
        <f t="shared" ca="1" si="235"/>
      </c>
      <c r="G1101" s="74">
        <f t="shared" si="236"/>
      </c>
      <c r="H1101" s="80" t="s">
        <v>272</v>
      </c>
      <c r="I1101" s="74">
        <f t="shared" si="237"/>
      </c>
      <c r="J1101" s="74">
        <f t="shared" si="240"/>
      </c>
      <c r="K1101" s="80" t="s">
        <v>280</v>
      </c>
      <c r="L1101" s="74">
        <f t="shared" si="241"/>
      </c>
      <c r="M1101" s="74">
        <f t="shared" ca="1" si="242"/>
      </c>
      <c r="N1101" s="74">
        <f ca="1">VLOOKUP(B1101,$C$7:$T1099,13,FALSE)</f>
      </c>
      <c r="O1101" s="74">
        <f t="shared" ca="1" si="243"/>
      </c>
      <c r="P1101" s="74">
        <f t="shared" ca="1" si="244"/>
      </c>
      <c r="Q1101" s="74">
        <f t="shared" ca="1" si="245"/>
      </c>
      <c r="R1101" s="74">
        <f t="shared" si="246"/>
      </c>
      <c r="S1101" s="74">
        <f t="shared" ca="1" si="247"/>
      </c>
      <c r="T1101" s="74">
        <f t="shared" si="248"/>
      </c>
    </row>
    <row r="1102" spans="2:20" x14ac:dyDescent="0.3">
      <c r="B1102" s="74">
        <f t="shared" ca="1" si="238"/>
      </c>
      <c r="C1102" s="78">
        <f>Кабельный_журнал!P1068</f>
      </c>
      <c r="D1102" s="74">
        <f t="shared" ca="1" si="239"/>
      </c>
      <c r="E1102" s="80" t="s">
        <v>279</v>
      </c>
      <c r="F1102" s="74">
        <f t="shared" ca="1" si="235"/>
      </c>
      <c r="G1102" s="74">
        <f t="shared" si="236"/>
      </c>
      <c r="H1102" s="80" t="s">
        <v>272</v>
      </c>
      <c r="I1102" s="74">
        <f t="shared" si="237"/>
      </c>
      <c r="J1102" s="74">
        <f t="shared" si="240"/>
      </c>
      <c r="K1102" s="80" t="s">
        <v>280</v>
      </c>
      <c r="L1102" s="74">
        <f t="shared" si="241"/>
      </c>
      <c r="M1102" s="74">
        <f t="shared" ca="1" si="242"/>
      </c>
      <c r="N1102" s="74">
        <f ca="1">VLOOKUP(B1102,$C$7:$T1100,13,FALSE)</f>
      </c>
      <c r="O1102" s="74">
        <f t="shared" ca="1" si="243"/>
      </c>
      <c r="P1102" s="74">
        <f t="shared" ca="1" si="244"/>
      </c>
      <c r="Q1102" s="74">
        <f t="shared" ca="1" si="245"/>
      </c>
      <c r="R1102" s="74">
        <f t="shared" si="246"/>
      </c>
      <c r="S1102" s="74">
        <f t="shared" ca="1" si="247"/>
      </c>
      <c r="T1102" s="74">
        <f t="shared" si="248"/>
      </c>
    </row>
    <row r="1103" spans="2:20" x14ac:dyDescent="0.3">
      <c r="B1103" s="74">
        <f t="shared" ca="1" si="238"/>
      </c>
      <c r="C1103" s="78">
        <f>Кабельный_журнал!P1069</f>
      </c>
      <c r="D1103" s="74">
        <f t="shared" ca="1" si="239"/>
      </c>
      <c r="E1103" s="80" t="s">
        <v>279</v>
      </c>
      <c r="F1103" s="74">
        <f t="shared" ca="1" si="235"/>
      </c>
      <c r="G1103" s="74">
        <f t="shared" si="236"/>
      </c>
      <c r="H1103" s="80" t="s">
        <v>272</v>
      </c>
      <c r="I1103" s="74">
        <f t="shared" si="237"/>
      </c>
      <c r="J1103" s="74">
        <f t="shared" si="240"/>
      </c>
      <c r="K1103" s="80" t="s">
        <v>280</v>
      </c>
      <c r="L1103" s="74">
        <f t="shared" si="241"/>
      </c>
      <c r="M1103" s="74">
        <f t="shared" ca="1" si="242"/>
      </c>
      <c r="N1103" s="74">
        <f ca="1">VLOOKUP(B1103,$C$7:$T1101,13,FALSE)</f>
      </c>
      <c r="O1103" s="74">
        <f t="shared" ca="1" si="243"/>
      </c>
      <c r="P1103" s="74">
        <f t="shared" ca="1" si="244"/>
      </c>
      <c r="Q1103" s="74">
        <f t="shared" ca="1" si="245"/>
      </c>
      <c r="R1103" s="74">
        <f t="shared" si="246"/>
      </c>
      <c r="S1103" s="74">
        <f t="shared" ca="1" si="247"/>
      </c>
      <c r="T1103" s="74">
        <f t="shared" si="248"/>
      </c>
    </row>
    <row r="1104" spans="2:20" x14ac:dyDescent="0.3">
      <c r="B1104" s="74">
        <f t="shared" ca="1" si="238"/>
      </c>
      <c r="C1104" s="78">
        <f>Кабельный_журнал!P1070</f>
      </c>
      <c r="D1104" s="74">
        <f t="shared" ca="1" si="239"/>
      </c>
      <c r="E1104" s="80" t="s">
        <v>279</v>
      </c>
      <c r="F1104" s="74">
        <f t="shared" ca="1" si="235"/>
      </c>
      <c r="G1104" s="74">
        <f t="shared" si="236"/>
      </c>
      <c r="H1104" s="80" t="s">
        <v>272</v>
      </c>
      <c r="I1104" s="74">
        <f t="shared" si="237"/>
      </c>
      <c r="J1104" s="74">
        <f t="shared" si="240"/>
      </c>
      <c r="K1104" s="80" t="s">
        <v>280</v>
      </c>
      <c r="L1104" s="74">
        <f t="shared" si="241"/>
      </c>
      <c r="M1104" s="74">
        <f t="shared" ca="1" si="242"/>
      </c>
      <c r="N1104" s="74">
        <f ca="1">VLOOKUP(B1104,$C$7:$T1102,13,FALSE)</f>
      </c>
      <c r="O1104" s="74">
        <f t="shared" ca="1" si="243"/>
      </c>
      <c r="P1104" s="74">
        <f t="shared" ca="1" si="244"/>
      </c>
      <c r="Q1104" s="74">
        <f t="shared" ca="1" si="245"/>
      </c>
      <c r="R1104" s="74">
        <f t="shared" si="246"/>
      </c>
      <c r="S1104" s="74">
        <f t="shared" ca="1" si="247"/>
      </c>
      <c r="T1104" s="74">
        <f t="shared" si="248"/>
      </c>
    </row>
    <row r="1105" spans="2:20" x14ac:dyDescent="0.3">
      <c r="B1105" s="74">
        <f t="shared" ca="1" si="238"/>
      </c>
      <c r="C1105" s="78">
        <f>Кабельный_журнал!P1071</f>
      </c>
      <c r="D1105" s="74">
        <f t="shared" ca="1" si="239"/>
      </c>
      <c r="E1105" s="80" t="s">
        <v>279</v>
      </c>
      <c r="F1105" s="74">
        <f t="shared" ca="1" si="235"/>
      </c>
      <c r="G1105" s="74">
        <f t="shared" si="236"/>
      </c>
      <c r="H1105" s="80" t="s">
        <v>272</v>
      </c>
      <c r="I1105" s="74">
        <f t="shared" si="237"/>
      </c>
      <c r="J1105" s="74">
        <f t="shared" si="240"/>
      </c>
      <c r="K1105" s="80" t="s">
        <v>280</v>
      </c>
      <c r="L1105" s="74">
        <f t="shared" si="241"/>
      </c>
      <c r="M1105" s="74">
        <f t="shared" ca="1" si="242"/>
      </c>
      <c r="N1105" s="74">
        <f ca="1">VLOOKUP(B1105,$C$7:$T1103,13,FALSE)</f>
      </c>
      <c r="O1105" s="74">
        <f t="shared" ca="1" si="243"/>
      </c>
      <c r="P1105" s="74">
        <f t="shared" ca="1" si="244"/>
      </c>
      <c r="Q1105" s="74">
        <f t="shared" ca="1" si="245"/>
      </c>
      <c r="R1105" s="74">
        <f t="shared" si="246"/>
      </c>
      <c r="S1105" s="74">
        <f t="shared" ca="1" si="247"/>
      </c>
      <c r="T1105" s="74">
        <f t="shared" si="248"/>
      </c>
    </row>
    <row r="1106" spans="2:20" x14ac:dyDescent="0.3">
      <c r="B1106" s="74">
        <f t="shared" ca="1" si="238"/>
      </c>
      <c r="C1106" s="78">
        <f>Кабельный_журнал!P1072</f>
      </c>
      <c r="D1106" s="74">
        <f t="shared" ca="1" si="239"/>
      </c>
      <c r="E1106" s="80" t="s">
        <v>279</v>
      </c>
      <c r="F1106" s="74">
        <f t="shared" ca="1" si="235"/>
      </c>
      <c r="G1106" s="74">
        <f t="shared" si="236"/>
      </c>
      <c r="H1106" s="80" t="s">
        <v>272</v>
      </c>
      <c r="I1106" s="74">
        <f t="shared" si="237"/>
      </c>
      <c r="J1106" s="74">
        <f t="shared" si="240"/>
      </c>
      <c r="K1106" s="80" t="s">
        <v>280</v>
      </c>
      <c r="L1106" s="74">
        <f t="shared" si="241"/>
      </c>
      <c r="M1106" s="74">
        <f t="shared" ca="1" si="242"/>
      </c>
      <c r="N1106" s="74">
        <f ca="1">VLOOKUP(B1106,$C$7:$T1104,13,FALSE)</f>
      </c>
      <c r="O1106" s="74">
        <f t="shared" ca="1" si="243"/>
      </c>
      <c r="P1106" s="74">
        <f t="shared" ca="1" si="244"/>
      </c>
      <c r="Q1106" s="74">
        <f t="shared" ca="1" si="245"/>
      </c>
      <c r="R1106" s="74">
        <f t="shared" si="246"/>
      </c>
      <c r="S1106" s="74">
        <f t="shared" ca="1" si="247"/>
      </c>
      <c r="T1106" s="74">
        <f t="shared" si="248"/>
      </c>
    </row>
    <row r="1107" spans="2:20" x14ac:dyDescent="0.3">
      <c r="B1107" s="74">
        <f t="shared" ca="1" si="238"/>
      </c>
      <c r="C1107" s="78">
        <f>Кабельный_журнал!P1073</f>
      </c>
      <c r="D1107" s="74">
        <f t="shared" ca="1" si="239"/>
      </c>
      <c r="E1107" s="80" t="s">
        <v>279</v>
      </c>
      <c r="F1107" s="74">
        <f t="shared" ca="1" si="235"/>
      </c>
      <c r="G1107" s="74">
        <f t="shared" si="236"/>
      </c>
      <c r="H1107" s="80" t="s">
        <v>272</v>
      </c>
      <c r="I1107" s="74">
        <f t="shared" si="237"/>
      </c>
      <c r="J1107" s="74">
        <f t="shared" si="240"/>
      </c>
      <c r="K1107" s="80" t="s">
        <v>280</v>
      </c>
      <c r="L1107" s="74">
        <f t="shared" si="241"/>
      </c>
      <c r="M1107" s="74">
        <f t="shared" ca="1" si="242"/>
      </c>
      <c r="N1107" s="74">
        <f ca="1">VLOOKUP(B1107,$C$7:$T1105,13,FALSE)</f>
      </c>
      <c r="O1107" s="74">
        <f t="shared" ca="1" si="243"/>
      </c>
      <c r="P1107" s="74">
        <f t="shared" ca="1" si="244"/>
      </c>
      <c r="Q1107" s="74">
        <f t="shared" ca="1" si="245"/>
      </c>
      <c r="R1107" s="74">
        <f t="shared" si="246"/>
      </c>
      <c r="S1107" s="74">
        <f t="shared" ca="1" si="247"/>
      </c>
      <c r="T1107" s="74">
        <f t="shared" si="248"/>
      </c>
    </row>
    <row r="1108" spans="2:20" x14ac:dyDescent="0.3">
      <c r="B1108" s="74">
        <f t="shared" ca="1" si="238"/>
      </c>
      <c r="C1108" s="78">
        <f>Кабельный_журнал!P1074</f>
      </c>
      <c r="D1108" s="74">
        <f t="shared" ca="1" si="239"/>
      </c>
      <c r="E1108" s="80" t="s">
        <v>279</v>
      </c>
      <c r="F1108" s="74">
        <f t="shared" ca="1" si="235"/>
      </c>
      <c r="G1108" s="74">
        <f t="shared" si="236"/>
      </c>
      <c r="H1108" s="80" t="s">
        <v>272</v>
      </c>
      <c r="I1108" s="74">
        <f t="shared" si="237"/>
      </c>
      <c r="J1108" s="74">
        <f t="shared" si="240"/>
      </c>
      <c r="K1108" s="80" t="s">
        <v>280</v>
      </c>
      <c r="L1108" s="74">
        <f t="shared" si="241"/>
      </c>
      <c r="M1108" s="74">
        <f t="shared" ca="1" si="242"/>
      </c>
      <c r="N1108" s="74">
        <f ca="1">VLOOKUP(B1108,$C$7:$T1106,13,FALSE)</f>
      </c>
      <c r="O1108" s="74">
        <f t="shared" ca="1" si="243"/>
      </c>
      <c r="P1108" s="74">
        <f t="shared" ca="1" si="244"/>
      </c>
      <c r="Q1108" s="74">
        <f t="shared" ca="1" si="245"/>
      </c>
      <c r="R1108" s="74">
        <f t="shared" si="246"/>
      </c>
      <c r="S1108" s="74">
        <f t="shared" ca="1" si="247"/>
      </c>
      <c r="T1108" s="74">
        <f t="shared" si="248"/>
      </c>
    </row>
    <row r="1109" spans="2:20" x14ac:dyDescent="0.3">
      <c r="B1109" s="74">
        <f t="shared" ca="1" si="238"/>
      </c>
      <c r="C1109" s="78">
        <f>Кабельный_журнал!P1075</f>
      </c>
      <c r="D1109" s="74">
        <f t="shared" ca="1" si="239"/>
      </c>
      <c r="E1109" s="80" t="s">
        <v>279</v>
      </c>
      <c r="F1109" s="74">
        <f t="shared" ca="1" si="235"/>
      </c>
      <c r="G1109" s="74">
        <f t="shared" si="236"/>
      </c>
      <c r="H1109" s="80" t="s">
        <v>272</v>
      </c>
      <c r="I1109" s="74">
        <f t="shared" si="237"/>
      </c>
      <c r="J1109" s="74">
        <f t="shared" si="240"/>
      </c>
      <c r="K1109" s="80" t="s">
        <v>280</v>
      </c>
      <c r="L1109" s="74">
        <f t="shared" si="241"/>
      </c>
      <c r="M1109" s="74">
        <f t="shared" ca="1" si="242"/>
      </c>
      <c r="N1109" s="74">
        <f ca="1">VLOOKUP(B1109,$C$7:$T1107,13,FALSE)</f>
      </c>
      <c r="O1109" s="74">
        <f t="shared" ca="1" si="243"/>
      </c>
      <c r="P1109" s="74">
        <f t="shared" ca="1" si="244"/>
      </c>
      <c r="Q1109" s="74">
        <f t="shared" ca="1" si="245"/>
      </c>
      <c r="R1109" s="74">
        <f t="shared" si="246"/>
      </c>
      <c r="S1109" s="74">
        <f t="shared" ca="1" si="247"/>
      </c>
      <c r="T1109" s="74">
        <f t="shared" si="248"/>
      </c>
    </row>
    <row r="1110" spans="2:20" x14ac:dyDescent="0.3">
      <c r="B1110" s="74">
        <f t="shared" ca="1" si="238"/>
      </c>
      <c r="C1110" s="78">
        <f>Кабельный_журнал!P1076</f>
      </c>
      <c r="D1110" s="74">
        <f t="shared" ca="1" si="239"/>
      </c>
      <c r="E1110" s="80" t="s">
        <v>279</v>
      </c>
      <c r="F1110" s="74">
        <f t="shared" ca="1" si="235"/>
      </c>
      <c r="G1110" s="74">
        <f t="shared" si="236"/>
      </c>
      <c r="H1110" s="80" t="s">
        <v>272</v>
      </c>
      <c r="I1110" s="74">
        <f t="shared" si="237"/>
      </c>
      <c r="J1110" s="74">
        <f t="shared" si="240"/>
      </c>
      <c r="K1110" s="80" t="s">
        <v>280</v>
      </c>
      <c r="L1110" s="74">
        <f t="shared" si="241"/>
      </c>
      <c r="M1110" s="74">
        <f t="shared" ca="1" si="242"/>
      </c>
      <c r="N1110" s="74">
        <f ca="1">VLOOKUP(B1110,$C$7:$T1108,13,FALSE)</f>
      </c>
      <c r="O1110" s="74">
        <f t="shared" ca="1" si="243"/>
      </c>
      <c r="P1110" s="74">
        <f t="shared" ca="1" si="244"/>
      </c>
      <c r="Q1110" s="74">
        <f t="shared" ca="1" si="245"/>
      </c>
      <c r="R1110" s="74">
        <f t="shared" si="246"/>
      </c>
      <c r="S1110" s="74">
        <f t="shared" ca="1" si="247"/>
      </c>
      <c r="T1110" s="74">
        <f t="shared" si="248"/>
      </c>
    </row>
    <row r="1111" spans="2:20" x14ac:dyDescent="0.3">
      <c r="B1111" s="74">
        <f t="shared" ca="1" si="238"/>
      </c>
      <c r="C1111" s="78">
        <f>Кабельный_журнал!P1077</f>
      </c>
      <c r="D1111" s="74">
        <f t="shared" ca="1" si="239"/>
      </c>
      <c r="E1111" s="80" t="s">
        <v>279</v>
      </c>
      <c r="F1111" s="74">
        <f t="shared" ca="1" si="235"/>
      </c>
      <c r="G1111" s="74">
        <f t="shared" si="236"/>
      </c>
      <c r="H1111" s="80" t="s">
        <v>272</v>
      </c>
      <c r="I1111" s="74">
        <f t="shared" si="237"/>
      </c>
      <c r="J1111" s="74">
        <f t="shared" si="240"/>
      </c>
      <c r="K1111" s="80" t="s">
        <v>280</v>
      </c>
      <c r="L1111" s="74">
        <f t="shared" si="241"/>
      </c>
      <c r="M1111" s="74">
        <f t="shared" ca="1" si="242"/>
      </c>
      <c r="N1111" s="74">
        <f ca="1">VLOOKUP(B1111,$C$7:$T1109,13,FALSE)</f>
      </c>
      <c r="O1111" s="74">
        <f t="shared" ca="1" si="243"/>
      </c>
      <c r="P1111" s="74">
        <f t="shared" ca="1" si="244"/>
      </c>
      <c r="Q1111" s="74">
        <f t="shared" ca="1" si="245"/>
      </c>
      <c r="R1111" s="74">
        <f t="shared" si="246"/>
      </c>
      <c r="S1111" s="74">
        <f t="shared" ca="1" si="247"/>
      </c>
      <c r="T1111" s="74">
        <f t="shared" si="248"/>
      </c>
    </row>
    <row r="1112" spans="2:20" x14ac:dyDescent="0.3">
      <c r="B1112" s="74">
        <f t="shared" ca="1" si="238"/>
      </c>
      <c r="C1112" s="78">
        <f>Кабельный_журнал!P1078</f>
      </c>
      <c r="D1112" s="74">
        <f t="shared" ca="1" si="239"/>
      </c>
      <c r="E1112" s="80" t="s">
        <v>279</v>
      </c>
      <c r="F1112" s="74">
        <f t="shared" ca="1" si="235"/>
      </c>
      <c r="G1112" s="74">
        <f t="shared" si="236"/>
      </c>
      <c r="H1112" s="80" t="s">
        <v>272</v>
      </c>
      <c r="I1112" s="74">
        <f t="shared" si="237"/>
      </c>
      <c r="J1112" s="74">
        <f t="shared" si="240"/>
      </c>
      <c r="K1112" s="80" t="s">
        <v>280</v>
      </c>
      <c r="L1112" s="74">
        <f t="shared" si="241"/>
      </c>
      <c r="M1112" s="74">
        <f t="shared" ca="1" si="242"/>
      </c>
      <c r="N1112" s="74">
        <f ca="1">VLOOKUP(B1112,$C$7:$T1110,13,FALSE)</f>
      </c>
      <c r="O1112" s="74">
        <f t="shared" ca="1" si="243"/>
      </c>
      <c r="P1112" s="74">
        <f t="shared" ca="1" si="244"/>
      </c>
      <c r="Q1112" s="74">
        <f t="shared" ca="1" si="245"/>
      </c>
      <c r="R1112" s="74">
        <f t="shared" si="246"/>
      </c>
      <c r="S1112" s="74">
        <f t="shared" ca="1" si="247"/>
      </c>
      <c r="T1112" s="74">
        <f t="shared" si="248"/>
      </c>
    </row>
    <row r="1113" spans="2:20" x14ac:dyDescent="0.3">
      <c r="B1113" s="74">
        <f t="shared" ca="1" si="238"/>
      </c>
      <c r="C1113" s="78">
        <f>Кабельный_журнал!P1079</f>
      </c>
      <c r="D1113" s="74">
        <f t="shared" ca="1" si="239"/>
      </c>
      <c r="E1113" s="80" t="s">
        <v>279</v>
      </c>
      <c r="F1113" s="74">
        <f t="shared" ca="1" si="235"/>
      </c>
      <c r="G1113" s="74">
        <f t="shared" si="236"/>
      </c>
      <c r="H1113" s="80" t="s">
        <v>272</v>
      </c>
      <c r="I1113" s="74">
        <f t="shared" si="237"/>
      </c>
      <c r="J1113" s="74">
        <f t="shared" si="240"/>
      </c>
      <c r="K1113" s="80" t="s">
        <v>280</v>
      </c>
      <c r="L1113" s="74">
        <f t="shared" si="241"/>
      </c>
      <c r="M1113" s="74">
        <f t="shared" ca="1" si="242"/>
      </c>
      <c r="N1113" s="74">
        <f ca="1">VLOOKUP(B1113,$C$7:$T1111,13,FALSE)</f>
      </c>
      <c r="O1113" s="74">
        <f t="shared" ca="1" si="243"/>
      </c>
      <c r="P1113" s="74">
        <f t="shared" ca="1" si="244"/>
      </c>
      <c r="Q1113" s="74">
        <f t="shared" ca="1" si="245"/>
      </c>
      <c r="R1113" s="74">
        <f t="shared" si="246"/>
      </c>
      <c r="S1113" s="74">
        <f t="shared" ca="1" si="247"/>
      </c>
      <c r="T1113" s="74">
        <f t="shared" si="248"/>
      </c>
    </row>
    <row r="1114" spans="2:20" x14ac:dyDescent="0.3">
      <c r="B1114" s="74">
        <f t="shared" ca="1" si="238"/>
      </c>
      <c r="C1114" s="78">
        <f>Кабельный_журнал!P1080</f>
      </c>
      <c r="D1114" s="74">
        <f t="shared" ca="1" si="239"/>
      </c>
      <c r="E1114" s="80" t="s">
        <v>279</v>
      </c>
      <c r="F1114" s="74">
        <f t="shared" ca="1" si="235"/>
      </c>
      <c r="G1114" s="74">
        <f t="shared" si="236"/>
      </c>
      <c r="H1114" s="80" t="s">
        <v>272</v>
      </c>
      <c r="I1114" s="74">
        <f t="shared" si="237"/>
      </c>
      <c r="J1114" s="74">
        <f t="shared" si="240"/>
      </c>
      <c r="K1114" s="80" t="s">
        <v>280</v>
      </c>
      <c r="L1114" s="74">
        <f t="shared" si="241"/>
      </c>
      <c r="M1114" s="74">
        <f t="shared" ca="1" si="242"/>
      </c>
      <c r="N1114" s="74">
        <f ca="1">VLOOKUP(B1114,$C$7:$T1112,13,FALSE)</f>
      </c>
      <c r="O1114" s="74">
        <f t="shared" ca="1" si="243"/>
      </c>
      <c r="P1114" s="74">
        <f t="shared" ca="1" si="244"/>
      </c>
      <c r="Q1114" s="74">
        <f t="shared" ca="1" si="245"/>
      </c>
      <c r="R1114" s="74">
        <f t="shared" si="246"/>
      </c>
      <c r="S1114" s="74">
        <f t="shared" ca="1" si="247"/>
      </c>
      <c r="T1114" s="74">
        <f t="shared" si="248"/>
      </c>
    </row>
    <row r="1115" spans="2:20" x14ac:dyDescent="0.3">
      <c r="B1115" s="74">
        <f t="shared" ca="1" si="238"/>
      </c>
      <c r="C1115" s="78">
        <f>Кабельный_журнал!P1081</f>
      </c>
      <c r="D1115" s="74">
        <f t="shared" ca="1" si="239"/>
      </c>
      <c r="E1115" s="80" t="s">
        <v>279</v>
      </c>
      <c r="F1115" s="74">
        <f t="shared" ca="1" si="235"/>
      </c>
      <c r="G1115" s="74">
        <f t="shared" si="236"/>
      </c>
      <c r="H1115" s="80" t="s">
        <v>272</v>
      </c>
      <c r="I1115" s="74">
        <f t="shared" si="237"/>
      </c>
      <c r="J1115" s="74">
        <f t="shared" si="240"/>
      </c>
      <c r="K1115" s="80" t="s">
        <v>280</v>
      </c>
      <c r="L1115" s="74">
        <f t="shared" si="241"/>
      </c>
      <c r="M1115" s="74">
        <f t="shared" ca="1" si="242"/>
      </c>
      <c r="N1115" s="74">
        <f ca="1">VLOOKUP(B1115,$C$7:$T1113,13,FALSE)</f>
      </c>
      <c r="O1115" s="74">
        <f t="shared" ca="1" si="243"/>
      </c>
      <c r="P1115" s="74">
        <f t="shared" ca="1" si="244"/>
      </c>
      <c r="Q1115" s="74">
        <f t="shared" ca="1" si="245"/>
      </c>
      <c r="R1115" s="74">
        <f t="shared" si="246"/>
      </c>
      <c r="S1115" s="74">
        <f t="shared" ca="1" si="247"/>
      </c>
      <c r="T1115" s="74">
        <f t="shared" si="248"/>
      </c>
    </row>
    <row r="1116" spans="2:20" x14ac:dyDescent="0.3">
      <c r="B1116" s="74">
        <f t="shared" ca="1" si="238"/>
      </c>
      <c r="C1116" s="78">
        <f>Кабельный_журнал!P1082</f>
      </c>
      <c r="D1116" s="74">
        <f t="shared" ca="1" si="239"/>
      </c>
      <c r="E1116" s="80" t="s">
        <v>279</v>
      </c>
      <c r="F1116" s="74">
        <f t="shared" ca="1" si="235"/>
      </c>
      <c r="G1116" s="74">
        <f t="shared" si="236"/>
      </c>
      <c r="H1116" s="80" t="s">
        <v>272</v>
      </c>
      <c r="I1116" s="74">
        <f t="shared" si="237"/>
      </c>
      <c r="J1116" s="74">
        <f t="shared" si="240"/>
      </c>
      <c r="K1116" s="80" t="s">
        <v>280</v>
      </c>
      <c r="L1116" s="74">
        <f t="shared" si="241"/>
      </c>
      <c r="M1116" s="74">
        <f t="shared" ca="1" si="242"/>
      </c>
      <c r="N1116" s="74">
        <f ca="1">VLOOKUP(B1116,$C$7:$T1114,13,FALSE)</f>
      </c>
      <c r="O1116" s="74">
        <f t="shared" ca="1" si="243"/>
      </c>
      <c r="P1116" s="74">
        <f t="shared" ca="1" si="244"/>
      </c>
      <c r="Q1116" s="74">
        <f t="shared" ca="1" si="245"/>
      </c>
      <c r="R1116" s="74">
        <f t="shared" si="246"/>
      </c>
      <c r="S1116" s="74">
        <f t="shared" ca="1" si="247"/>
      </c>
      <c r="T1116" s="74">
        <f t="shared" si="248"/>
      </c>
    </row>
    <row r="1117" spans="2:20" x14ac:dyDescent="0.3">
      <c r="B1117" s="74">
        <f t="shared" ca="1" si="238"/>
      </c>
      <c r="C1117" s="78">
        <f>Кабельный_журнал!P1083</f>
      </c>
      <c r="D1117" s="74">
        <f t="shared" ca="1" si="239"/>
      </c>
      <c r="E1117" s="80" t="s">
        <v>279</v>
      </c>
      <c r="F1117" s="74">
        <f t="shared" ca="1" si="235"/>
      </c>
      <c r="G1117" s="74">
        <f t="shared" si="236"/>
      </c>
      <c r="H1117" s="80" t="s">
        <v>272</v>
      </c>
      <c r="I1117" s="74">
        <f t="shared" si="237"/>
      </c>
      <c r="J1117" s="74">
        <f t="shared" si="240"/>
      </c>
      <c r="K1117" s="80" t="s">
        <v>280</v>
      </c>
      <c r="L1117" s="74">
        <f t="shared" si="241"/>
      </c>
      <c r="M1117" s="74">
        <f t="shared" ca="1" si="242"/>
      </c>
      <c r="N1117" s="74">
        <f ca="1">VLOOKUP(B1117,$C$7:$T1115,13,FALSE)</f>
      </c>
      <c r="O1117" s="74">
        <f t="shared" ca="1" si="243"/>
      </c>
      <c r="P1117" s="74">
        <f t="shared" ca="1" si="244"/>
      </c>
      <c r="Q1117" s="74">
        <f t="shared" ca="1" si="245"/>
      </c>
      <c r="R1117" s="74">
        <f t="shared" si="246"/>
      </c>
      <c r="S1117" s="74">
        <f t="shared" ca="1" si="247"/>
      </c>
      <c r="T1117" s="74">
        <f t="shared" si="248"/>
      </c>
    </row>
    <row r="1118" spans="2:20" x14ac:dyDescent="0.3">
      <c r="B1118" s="74">
        <f t="shared" ca="1" si="238"/>
      </c>
      <c r="C1118" s="78">
        <f>Кабельный_журнал!P1084</f>
      </c>
      <c r="D1118" s="74">
        <f t="shared" ca="1" si="239"/>
      </c>
      <c r="E1118" s="80" t="s">
        <v>279</v>
      </c>
      <c r="F1118" s="74">
        <f t="shared" ca="1" si="235"/>
      </c>
      <c r="G1118" s="74">
        <f t="shared" si="236"/>
      </c>
      <c r="H1118" s="80" t="s">
        <v>272</v>
      </c>
      <c r="I1118" s="74">
        <f t="shared" si="237"/>
      </c>
      <c r="J1118" s="74">
        <f t="shared" si="240"/>
      </c>
      <c r="K1118" s="80" t="s">
        <v>280</v>
      </c>
      <c r="L1118" s="74">
        <f t="shared" si="241"/>
      </c>
      <c r="M1118" s="74">
        <f t="shared" ca="1" si="242"/>
      </c>
      <c r="N1118" s="74">
        <f ca="1">VLOOKUP(B1118,$C$7:$T1116,13,FALSE)</f>
      </c>
      <c r="O1118" s="74">
        <f t="shared" ca="1" si="243"/>
      </c>
      <c r="P1118" s="74">
        <f t="shared" ca="1" si="244"/>
      </c>
      <c r="Q1118" s="74">
        <f t="shared" ca="1" si="245"/>
      </c>
      <c r="R1118" s="74">
        <f t="shared" si="246"/>
      </c>
      <c r="S1118" s="74">
        <f t="shared" ca="1" si="247"/>
      </c>
      <c r="T1118" s="74">
        <f t="shared" si="248"/>
      </c>
    </row>
    <row r="1119" spans="2:20" x14ac:dyDescent="0.3">
      <c r="B1119" s="74">
        <f t="shared" ca="1" si="238"/>
      </c>
      <c r="C1119" s="78">
        <f>Кабельный_журнал!P1085</f>
      </c>
      <c r="D1119" s="74">
        <f t="shared" ca="1" si="239"/>
      </c>
      <c r="E1119" s="80" t="s">
        <v>279</v>
      </c>
      <c r="F1119" s="74">
        <f t="shared" ca="1" si="235"/>
      </c>
      <c r="G1119" s="74">
        <f t="shared" si="236"/>
      </c>
      <c r="H1119" s="80" t="s">
        <v>272</v>
      </c>
      <c r="I1119" s="74">
        <f t="shared" si="237"/>
      </c>
      <c r="J1119" s="74">
        <f t="shared" si="240"/>
      </c>
      <c r="K1119" s="80" t="s">
        <v>280</v>
      </c>
      <c r="L1119" s="74">
        <f t="shared" si="241"/>
      </c>
      <c r="M1119" s="74">
        <f t="shared" ca="1" si="242"/>
      </c>
      <c r="N1119" s="74">
        <f ca="1">VLOOKUP(B1119,$C$7:$T1117,13,FALSE)</f>
      </c>
      <c r="O1119" s="74">
        <f t="shared" ca="1" si="243"/>
      </c>
      <c r="P1119" s="74">
        <f t="shared" ca="1" si="244"/>
      </c>
      <c r="Q1119" s="74">
        <f t="shared" ca="1" si="245"/>
      </c>
      <c r="R1119" s="74">
        <f t="shared" si="246"/>
      </c>
      <c r="S1119" s="74">
        <f t="shared" ca="1" si="247"/>
      </c>
      <c r="T1119" s="74">
        <f t="shared" si="248"/>
      </c>
    </row>
    <row r="1120" spans="2:20" x14ac:dyDescent="0.3">
      <c r="B1120" s="74">
        <f t="shared" ca="1" si="238"/>
      </c>
      <c r="C1120" s="78">
        <f>Кабельный_журнал!P1086</f>
      </c>
      <c r="D1120" s="74">
        <f t="shared" ca="1" si="239"/>
      </c>
      <c r="E1120" s="80" t="s">
        <v>279</v>
      </c>
      <c r="F1120" s="74">
        <f t="shared" ca="1" si="235"/>
      </c>
      <c r="G1120" s="74">
        <f t="shared" si="236"/>
      </c>
      <c r="H1120" s="80" t="s">
        <v>272</v>
      </c>
      <c r="I1120" s="74">
        <f t="shared" si="237"/>
      </c>
      <c r="J1120" s="74">
        <f t="shared" si="240"/>
      </c>
      <c r="K1120" s="80" t="s">
        <v>280</v>
      </c>
      <c r="L1120" s="74">
        <f t="shared" si="241"/>
      </c>
      <c r="M1120" s="74">
        <f t="shared" ca="1" si="242"/>
      </c>
      <c r="N1120" s="74">
        <f ca="1">VLOOKUP(B1120,$C$7:$T1118,13,FALSE)</f>
      </c>
      <c r="O1120" s="74">
        <f t="shared" ca="1" si="243"/>
      </c>
      <c r="P1120" s="74">
        <f t="shared" ca="1" si="244"/>
      </c>
      <c r="Q1120" s="74">
        <f t="shared" ca="1" si="245"/>
      </c>
      <c r="R1120" s="74">
        <f t="shared" si="246"/>
      </c>
      <c r="S1120" s="74">
        <f t="shared" ca="1" si="247"/>
      </c>
      <c r="T1120" s="74">
        <f t="shared" si="248"/>
      </c>
    </row>
    <row r="1121" spans="2:20" x14ac:dyDescent="0.3">
      <c r="B1121" s="74">
        <f t="shared" ca="1" si="238"/>
      </c>
      <c r="C1121" s="78">
        <f>Кабельный_журнал!P1087</f>
      </c>
      <c r="D1121" s="74">
        <f t="shared" ca="1" si="239"/>
      </c>
      <c r="E1121" s="80" t="s">
        <v>279</v>
      </c>
      <c r="F1121" s="74">
        <f t="shared" ca="1" si="235"/>
      </c>
      <c r="G1121" s="74">
        <f t="shared" si="236"/>
      </c>
      <c r="H1121" s="80" t="s">
        <v>272</v>
      </c>
      <c r="I1121" s="74">
        <f t="shared" si="237"/>
      </c>
      <c r="J1121" s="74">
        <f t="shared" si="240"/>
      </c>
      <c r="K1121" s="80" t="s">
        <v>280</v>
      </c>
      <c r="L1121" s="74">
        <f t="shared" si="241"/>
      </c>
      <c r="M1121" s="74">
        <f t="shared" ca="1" si="242"/>
      </c>
      <c r="N1121" s="74">
        <f ca="1">VLOOKUP(B1121,$C$7:$T1119,13,FALSE)</f>
      </c>
      <c r="O1121" s="74">
        <f t="shared" ca="1" si="243"/>
      </c>
      <c r="P1121" s="74">
        <f t="shared" ca="1" si="244"/>
      </c>
      <c r="Q1121" s="74">
        <f t="shared" ca="1" si="245"/>
      </c>
      <c r="R1121" s="74">
        <f t="shared" si="246"/>
      </c>
      <c r="S1121" s="74">
        <f t="shared" ca="1" si="247"/>
      </c>
      <c r="T1121" s="74">
        <f t="shared" si="248"/>
      </c>
    </row>
    <row r="1122" spans="2:20" x14ac:dyDescent="0.3">
      <c r="B1122" s="74">
        <f t="shared" ca="1" si="238"/>
      </c>
      <c r="C1122" s="78">
        <f>Кабельный_журнал!P1088</f>
      </c>
      <c r="D1122" s="74">
        <f t="shared" ca="1" si="239"/>
      </c>
      <c r="E1122" s="80" t="s">
        <v>279</v>
      </c>
      <c r="F1122" s="74">
        <f t="shared" ca="1" si="235"/>
      </c>
      <c r="G1122" s="74">
        <f t="shared" si="236"/>
      </c>
      <c r="H1122" s="80" t="s">
        <v>272</v>
      </c>
      <c r="I1122" s="74">
        <f t="shared" si="237"/>
      </c>
      <c r="J1122" s="74">
        <f t="shared" si="240"/>
      </c>
      <c r="K1122" s="80" t="s">
        <v>280</v>
      </c>
      <c r="L1122" s="74">
        <f t="shared" si="241"/>
      </c>
      <c r="M1122" s="74">
        <f t="shared" ca="1" si="242"/>
      </c>
      <c r="N1122" s="74">
        <f ca="1">VLOOKUP(B1122,$C$7:$T1120,13,FALSE)</f>
      </c>
      <c r="O1122" s="74">
        <f t="shared" ca="1" si="243"/>
      </c>
      <c r="P1122" s="74">
        <f t="shared" ca="1" si="244"/>
      </c>
      <c r="Q1122" s="74">
        <f t="shared" ca="1" si="245"/>
      </c>
      <c r="R1122" s="74">
        <f t="shared" si="246"/>
      </c>
      <c r="S1122" s="74">
        <f t="shared" ca="1" si="247"/>
      </c>
      <c r="T1122" s="74">
        <f t="shared" si="248"/>
      </c>
    </row>
    <row r="1123" spans="2:20" x14ac:dyDescent="0.3">
      <c r="B1123" s="74">
        <f t="shared" ca="1" si="238"/>
      </c>
      <c r="C1123" s="78">
        <f>Кабельный_журнал!P1089</f>
      </c>
      <c r="D1123" s="74">
        <f t="shared" ca="1" si="239"/>
      </c>
      <c r="E1123" s="80" t="s">
        <v>279</v>
      </c>
      <c r="F1123" s="74">
        <f t="shared" ca="1" si="235"/>
      </c>
      <c r="G1123" s="74">
        <f t="shared" si="236"/>
      </c>
      <c r="H1123" s="80" t="s">
        <v>272</v>
      </c>
      <c r="I1123" s="74">
        <f t="shared" si="237"/>
      </c>
      <c r="J1123" s="74">
        <f t="shared" si="240"/>
      </c>
      <c r="K1123" s="80" t="s">
        <v>280</v>
      </c>
      <c r="L1123" s="74">
        <f t="shared" si="241"/>
      </c>
      <c r="M1123" s="74">
        <f t="shared" ca="1" si="242"/>
      </c>
      <c r="N1123" s="74">
        <f ca="1">VLOOKUP(B1123,$C$7:$T1121,13,FALSE)</f>
      </c>
      <c r="O1123" s="74">
        <f t="shared" ca="1" si="243"/>
      </c>
      <c r="P1123" s="74">
        <f t="shared" ca="1" si="244"/>
      </c>
      <c r="Q1123" s="74">
        <f t="shared" ca="1" si="245"/>
      </c>
      <c r="R1123" s="74">
        <f t="shared" si="246"/>
      </c>
      <c r="S1123" s="74">
        <f t="shared" ca="1" si="247"/>
      </c>
      <c r="T1123" s="74">
        <f t="shared" si="248"/>
      </c>
    </row>
    <row r="1124" spans="2:20" x14ac:dyDescent="0.3">
      <c r="B1124" s="74">
        <f t="shared" ca="1" si="238"/>
      </c>
      <c r="C1124" s="78">
        <f>Кабельный_журнал!P1090</f>
      </c>
      <c r="D1124" s="74">
        <f t="shared" ca="1" si="239"/>
      </c>
      <c r="E1124" s="80" t="s">
        <v>279</v>
      </c>
      <c r="F1124" s="74">
        <f t="shared" ca="1" si="235"/>
      </c>
      <c r="G1124" s="74">
        <f t="shared" si="236"/>
      </c>
      <c r="H1124" s="80" t="s">
        <v>272</v>
      </c>
      <c r="I1124" s="74">
        <f t="shared" si="237"/>
      </c>
      <c r="J1124" s="74">
        <f t="shared" si="240"/>
      </c>
      <c r="K1124" s="80" t="s">
        <v>280</v>
      </c>
      <c r="L1124" s="74">
        <f t="shared" si="241"/>
      </c>
      <c r="M1124" s="74">
        <f t="shared" ca="1" si="242"/>
      </c>
      <c r="N1124" s="74">
        <f ca="1">VLOOKUP(B1124,$C$7:$T1122,13,FALSE)</f>
      </c>
      <c r="O1124" s="74">
        <f t="shared" ca="1" si="243"/>
      </c>
      <c r="P1124" s="74">
        <f t="shared" ca="1" si="244"/>
      </c>
      <c r="Q1124" s="74">
        <f t="shared" ca="1" si="245"/>
      </c>
      <c r="R1124" s="74">
        <f t="shared" si="246"/>
      </c>
      <c r="S1124" s="74">
        <f t="shared" ca="1" si="247"/>
      </c>
      <c r="T1124" s="74">
        <f t="shared" si="248"/>
      </c>
    </row>
    <row r="1125" spans="2:20" x14ac:dyDescent="0.3">
      <c r="B1125" s="74">
        <f t="shared" ca="1" si="238"/>
      </c>
      <c r="C1125" s="78">
        <f>Кабельный_журнал!P1091</f>
      </c>
      <c r="D1125" s="74">
        <f t="shared" ca="1" si="239"/>
      </c>
      <c r="E1125" s="80" t="s">
        <v>279</v>
      </c>
      <c r="F1125" s="74">
        <f t="shared" ca="1" si="235"/>
      </c>
      <c r="G1125" s="74">
        <f t="shared" si="236"/>
      </c>
      <c r="H1125" s="80" t="s">
        <v>272</v>
      </c>
      <c r="I1125" s="74">
        <f t="shared" si="237"/>
      </c>
      <c r="J1125" s="74">
        <f t="shared" si="240"/>
      </c>
      <c r="K1125" s="80" t="s">
        <v>280</v>
      </c>
      <c r="L1125" s="74">
        <f t="shared" si="241"/>
      </c>
      <c r="M1125" s="74">
        <f t="shared" ca="1" si="242"/>
      </c>
      <c r="N1125" s="74">
        <f ca="1">VLOOKUP(B1125,$C$7:$T1123,13,FALSE)</f>
      </c>
      <c r="O1125" s="74">
        <f t="shared" ca="1" si="243"/>
      </c>
      <c r="P1125" s="74">
        <f t="shared" ca="1" si="244"/>
      </c>
      <c r="Q1125" s="74">
        <f t="shared" ca="1" si="245"/>
      </c>
      <c r="R1125" s="74">
        <f t="shared" si="246"/>
      </c>
      <c r="S1125" s="74">
        <f t="shared" ca="1" si="247"/>
      </c>
      <c r="T1125" s="74">
        <f t="shared" si="248"/>
      </c>
    </row>
    <row r="1126" spans="2:20" x14ac:dyDescent="0.3">
      <c r="B1126" s="74">
        <f t="shared" ca="1" si="238"/>
      </c>
      <c r="C1126" s="78">
        <f>Кабельный_журнал!P1092</f>
      </c>
      <c r="D1126" s="74">
        <f t="shared" ca="1" si="239"/>
      </c>
      <c r="E1126" s="80" t="s">
        <v>279</v>
      </c>
      <c r="F1126" s="74">
        <f t="shared" ca="1" si="235"/>
      </c>
      <c r="G1126" s="74">
        <f t="shared" si="236"/>
      </c>
      <c r="H1126" s="80" t="s">
        <v>272</v>
      </c>
      <c r="I1126" s="74">
        <f t="shared" si="237"/>
      </c>
      <c r="J1126" s="74">
        <f t="shared" si="240"/>
      </c>
      <c r="K1126" s="80" t="s">
        <v>280</v>
      </c>
      <c r="L1126" s="74">
        <f t="shared" si="241"/>
      </c>
      <c r="M1126" s="74">
        <f t="shared" ca="1" si="242"/>
      </c>
      <c r="N1126" s="74">
        <f ca="1">VLOOKUP(B1126,$C$7:$T1124,13,FALSE)</f>
      </c>
      <c r="O1126" s="74">
        <f t="shared" ca="1" si="243"/>
      </c>
      <c r="P1126" s="74">
        <f t="shared" ca="1" si="244"/>
      </c>
      <c r="Q1126" s="74">
        <f t="shared" ca="1" si="245"/>
      </c>
      <c r="R1126" s="74">
        <f t="shared" si="246"/>
      </c>
      <c r="S1126" s="74">
        <f t="shared" ca="1" si="247"/>
      </c>
      <c r="T1126" s="74">
        <f t="shared" si="248"/>
      </c>
    </row>
    <row r="1127" spans="2:20" x14ac:dyDescent="0.3">
      <c r="B1127" s="74">
        <f t="shared" ca="1" si="238"/>
      </c>
      <c r="C1127" s="78">
        <f>Кабельный_журнал!P1093</f>
      </c>
      <c r="D1127" s="74">
        <f t="shared" ca="1" si="239"/>
      </c>
      <c r="E1127" s="80" t="s">
        <v>279</v>
      </c>
      <c r="F1127" s="74">
        <f t="shared" ref="F1127:F1190" ca="1" si="249">VLOOKUP(C1127,Кабельный_журнал,8,FALSE)</f>
      </c>
      <c r="G1127" s="74">
        <f t="shared" ref="G1127:G1190" si="250">VLOOKUP(C1127,Исходные_данные,21,FALSE)</f>
      </c>
      <c r="H1127" s="80" t="s">
        <v>272</v>
      </c>
      <c r="I1127" s="74">
        <f t="shared" ref="I1127:I1190" si="251">VLOOKUP(C1127,Исходные_данные,22,FALSE)</f>
      </c>
      <c r="J1127" s="74">
        <f t="shared" si="240"/>
      </c>
      <c r="K1127" s="80" t="s">
        <v>280</v>
      </c>
      <c r="L1127" s="74">
        <f t="shared" si="241"/>
      </c>
      <c r="M1127" s="74">
        <f t="shared" ca="1" si="242"/>
      </c>
      <c r="N1127" s="74">
        <f ca="1">VLOOKUP(B1127,$C$7:$T1125,13,FALSE)</f>
      </c>
      <c r="O1127" s="74">
        <f t="shared" ca="1" si="243"/>
      </c>
      <c r="P1127" s="74">
        <f t="shared" ca="1" si="244"/>
      </c>
      <c r="Q1127" s="74">
        <f t="shared" ca="1" si="245"/>
      </c>
      <c r="R1127" s="74">
        <f t="shared" si="246"/>
      </c>
      <c r="S1127" s="74">
        <f t="shared" ca="1" si="247"/>
      </c>
      <c r="T1127" s="74">
        <f t="shared" si="248"/>
      </c>
    </row>
    <row r="1128" spans="2:20" x14ac:dyDescent="0.3">
      <c r="B1128" s="74">
        <f t="shared" ref="B1128:B1191" ca="1" si="252">VLOOKUP(C1128,Кабельный_журнал,2,FALSE)</f>
      </c>
      <c r="C1128" s="78">
        <f>Кабельный_журнал!P1094</f>
      </c>
      <c r="D1128" s="74">
        <f t="shared" ref="D1128:D1191" ca="1" si="253">B1128&amp;"-"&amp;C1128</f>
      </c>
      <c r="E1128" s="80" t="s">
        <v>279</v>
      </c>
      <c r="F1128" s="74">
        <f t="shared" ca="1" si="249"/>
      </c>
      <c r="G1128" s="74">
        <f t="shared" si="250"/>
      </c>
      <c r="H1128" s="80" t="s">
        <v>272</v>
      </c>
      <c r="I1128" s="74">
        <f t="shared" si="251"/>
      </c>
      <c r="J1128" s="74">
        <f t="shared" ref="J1128:J1191" si="254">I1128</f>
      </c>
      <c r="K1128" s="80" t="s">
        <v>280</v>
      </c>
      <c r="L1128" s="74">
        <f t="shared" ref="L1128:L1191" si="255">VLOOKUP(K1128,$K$2:$L$3,2,FALSE)</f>
      </c>
      <c r="M1128" s="74">
        <f t="shared" ref="M1128:M1191" ca="1" si="256">L1128*F1128*(1/I1128+1/J1128)</f>
      </c>
      <c r="N1128" s="74">
        <f ca="1">VLOOKUP(B1128,$C$7:$T1126,13,FALSE)</f>
      </c>
      <c r="O1128" s="74">
        <f t="shared" ref="O1128:O1191" ca="1" si="257">L1128+M1128</f>
      </c>
      <c r="P1128" s="74">
        <f t="shared" ref="P1128:P1191" ca="1" si="258">220/O1128</f>
      </c>
      <c r="Q1128" s="74">
        <f t="shared" ref="Q1128:Q1191" ca="1" si="259">O1128/G1128</f>
      </c>
      <c r="R1128" s="74">
        <f t="shared" ref="R1128:R1191" si="260">VLOOKUP(H1128,$W$2:$Y$12,3,FALSE)</f>
      </c>
      <c r="S1128" s="74">
        <f t="shared" ref="S1128:S1191" ca="1" si="261">_xlfn.IFS(E1128="щит",IF(P1128&gt;R1128,"Увел сеч",IF(T1128&gt;P1128,"Увел сеч","tср&lt;5с")),E1128="потреб",IF(P1128&gt;R1128,"Увел сеч",IF(T1128&gt;P1128,"Увел сеч","tср&lt;0.4с")))</f>
      </c>
      <c r="T1128" s="74">
        <f t="shared" ref="T1128:T1191" si="262">G1128*VLOOKUP(H1128,$W$2:$Y$12,2,FALSE)</f>
      </c>
    </row>
    <row r="1129" spans="2:20" x14ac:dyDescent="0.3">
      <c r="B1129" s="74">
        <f t="shared" ca="1" si="252"/>
      </c>
      <c r="C1129" s="78">
        <f>Кабельный_журнал!P1095</f>
      </c>
      <c r="D1129" s="74">
        <f t="shared" ca="1" si="253"/>
      </c>
      <c r="E1129" s="80" t="s">
        <v>279</v>
      </c>
      <c r="F1129" s="74">
        <f t="shared" ca="1" si="249"/>
      </c>
      <c r="G1129" s="74">
        <f t="shared" si="250"/>
      </c>
      <c r="H1129" s="80" t="s">
        <v>272</v>
      </c>
      <c r="I1129" s="74">
        <f t="shared" si="251"/>
      </c>
      <c r="J1129" s="74">
        <f t="shared" si="254"/>
      </c>
      <c r="K1129" s="80" t="s">
        <v>280</v>
      </c>
      <c r="L1129" s="74">
        <f t="shared" si="255"/>
      </c>
      <c r="M1129" s="74">
        <f t="shared" ca="1" si="256"/>
      </c>
      <c r="N1129" s="74">
        <f ca="1">VLOOKUP(B1129,$C$7:$T1127,13,FALSE)</f>
      </c>
      <c r="O1129" s="74">
        <f t="shared" ca="1" si="257"/>
      </c>
      <c r="P1129" s="74">
        <f t="shared" ca="1" si="258"/>
      </c>
      <c r="Q1129" s="74">
        <f t="shared" ca="1" si="259"/>
      </c>
      <c r="R1129" s="74">
        <f t="shared" si="260"/>
      </c>
      <c r="S1129" s="74">
        <f t="shared" ca="1" si="261"/>
      </c>
      <c r="T1129" s="74">
        <f t="shared" si="262"/>
      </c>
    </row>
    <row r="1130" spans="2:20" x14ac:dyDescent="0.3">
      <c r="B1130" s="74">
        <f t="shared" ca="1" si="252"/>
      </c>
      <c r="C1130" s="78">
        <f>Кабельный_журнал!P1096</f>
      </c>
      <c r="D1130" s="74">
        <f t="shared" ca="1" si="253"/>
      </c>
      <c r="E1130" s="80" t="s">
        <v>279</v>
      </c>
      <c r="F1130" s="74">
        <f t="shared" ca="1" si="249"/>
      </c>
      <c r="G1130" s="74">
        <f t="shared" si="250"/>
      </c>
      <c r="H1130" s="80" t="s">
        <v>272</v>
      </c>
      <c r="I1130" s="74">
        <f t="shared" si="251"/>
      </c>
      <c r="J1130" s="74">
        <f t="shared" si="254"/>
      </c>
      <c r="K1130" s="80" t="s">
        <v>280</v>
      </c>
      <c r="L1130" s="74">
        <f t="shared" si="255"/>
      </c>
      <c r="M1130" s="74">
        <f t="shared" ca="1" si="256"/>
      </c>
      <c r="N1130" s="74">
        <f ca="1">VLOOKUP(B1130,$C$7:$T1128,13,FALSE)</f>
      </c>
      <c r="O1130" s="74">
        <f t="shared" ca="1" si="257"/>
      </c>
      <c r="P1130" s="74">
        <f t="shared" ca="1" si="258"/>
      </c>
      <c r="Q1130" s="74">
        <f t="shared" ca="1" si="259"/>
      </c>
      <c r="R1130" s="74">
        <f t="shared" si="260"/>
      </c>
      <c r="S1130" s="74">
        <f t="shared" ca="1" si="261"/>
      </c>
      <c r="T1130" s="74">
        <f t="shared" si="262"/>
      </c>
    </row>
    <row r="1131" spans="2:20" x14ac:dyDescent="0.3">
      <c r="B1131" s="74">
        <f t="shared" ca="1" si="252"/>
      </c>
      <c r="C1131" s="78">
        <f>Кабельный_журнал!P1097</f>
      </c>
      <c r="D1131" s="74">
        <f t="shared" ca="1" si="253"/>
      </c>
      <c r="E1131" s="80" t="s">
        <v>279</v>
      </c>
      <c r="F1131" s="74">
        <f t="shared" ca="1" si="249"/>
      </c>
      <c r="G1131" s="74">
        <f t="shared" si="250"/>
      </c>
      <c r="H1131" s="80" t="s">
        <v>272</v>
      </c>
      <c r="I1131" s="74">
        <f t="shared" si="251"/>
      </c>
      <c r="J1131" s="74">
        <f t="shared" si="254"/>
      </c>
      <c r="K1131" s="80" t="s">
        <v>280</v>
      </c>
      <c r="L1131" s="74">
        <f t="shared" si="255"/>
      </c>
      <c r="M1131" s="74">
        <f t="shared" ca="1" si="256"/>
      </c>
      <c r="N1131" s="74">
        <f ca="1">VLOOKUP(B1131,$C$7:$T1129,13,FALSE)</f>
      </c>
      <c r="O1131" s="74">
        <f t="shared" ca="1" si="257"/>
      </c>
      <c r="P1131" s="74">
        <f t="shared" ca="1" si="258"/>
      </c>
      <c r="Q1131" s="74">
        <f t="shared" ca="1" si="259"/>
      </c>
      <c r="R1131" s="74">
        <f t="shared" si="260"/>
      </c>
      <c r="S1131" s="74">
        <f t="shared" ca="1" si="261"/>
      </c>
      <c r="T1131" s="74">
        <f t="shared" si="262"/>
      </c>
    </row>
    <row r="1132" spans="2:20" x14ac:dyDescent="0.3">
      <c r="B1132" s="74">
        <f t="shared" ca="1" si="252"/>
      </c>
      <c r="C1132" s="78">
        <f>Кабельный_журнал!P1098</f>
      </c>
      <c r="D1132" s="74">
        <f t="shared" ca="1" si="253"/>
      </c>
      <c r="E1132" s="80" t="s">
        <v>279</v>
      </c>
      <c r="F1132" s="74">
        <f t="shared" ca="1" si="249"/>
      </c>
      <c r="G1132" s="74">
        <f t="shared" si="250"/>
      </c>
      <c r="H1132" s="80" t="s">
        <v>272</v>
      </c>
      <c r="I1132" s="74">
        <f t="shared" si="251"/>
      </c>
      <c r="J1132" s="74">
        <f t="shared" si="254"/>
      </c>
      <c r="K1132" s="80" t="s">
        <v>280</v>
      </c>
      <c r="L1132" s="74">
        <f t="shared" si="255"/>
      </c>
      <c r="M1132" s="74">
        <f t="shared" ca="1" si="256"/>
      </c>
      <c r="N1132" s="74">
        <f ca="1">VLOOKUP(B1132,$C$7:$T1130,13,FALSE)</f>
      </c>
      <c r="O1132" s="74">
        <f t="shared" ca="1" si="257"/>
      </c>
      <c r="P1132" s="74">
        <f t="shared" ca="1" si="258"/>
      </c>
      <c r="Q1132" s="74">
        <f t="shared" ca="1" si="259"/>
      </c>
      <c r="R1132" s="74">
        <f t="shared" si="260"/>
      </c>
      <c r="S1132" s="74">
        <f t="shared" ca="1" si="261"/>
      </c>
      <c r="T1132" s="74">
        <f t="shared" si="262"/>
      </c>
    </row>
    <row r="1133" spans="2:20" x14ac:dyDescent="0.3">
      <c r="B1133" s="74">
        <f t="shared" ca="1" si="252"/>
      </c>
      <c r="C1133" s="78">
        <f>Кабельный_журнал!P1099</f>
      </c>
      <c r="D1133" s="74">
        <f t="shared" ca="1" si="253"/>
      </c>
      <c r="E1133" s="80" t="s">
        <v>279</v>
      </c>
      <c r="F1133" s="74">
        <f t="shared" ca="1" si="249"/>
      </c>
      <c r="G1133" s="74">
        <f t="shared" si="250"/>
      </c>
      <c r="H1133" s="80" t="s">
        <v>272</v>
      </c>
      <c r="I1133" s="74">
        <f t="shared" si="251"/>
      </c>
      <c r="J1133" s="74">
        <f t="shared" si="254"/>
      </c>
      <c r="K1133" s="80" t="s">
        <v>280</v>
      </c>
      <c r="L1133" s="74">
        <f t="shared" si="255"/>
      </c>
      <c r="M1133" s="74">
        <f t="shared" ca="1" si="256"/>
      </c>
      <c r="N1133" s="74">
        <f ca="1">VLOOKUP(B1133,$C$7:$T1131,13,FALSE)</f>
      </c>
      <c r="O1133" s="74">
        <f t="shared" ca="1" si="257"/>
      </c>
      <c r="P1133" s="74">
        <f t="shared" ca="1" si="258"/>
      </c>
      <c r="Q1133" s="74">
        <f t="shared" ca="1" si="259"/>
      </c>
      <c r="R1133" s="74">
        <f t="shared" si="260"/>
      </c>
      <c r="S1133" s="74">
        <f t="shared" ca="1" si="261"/>
      </c>
      <c r="T1133" s="74">
        <f t="shared" si="262"/>
      </c>
    </row>
    <row r="1134" spans="2:20" x14ac:dyDescent="0.3">
      <c r="B1134" s="74">
        <f t="shared" ca="1" si="252"/>
      </c>
      <c r="C1134" s="78">
        <f>Кабельный_журнал!P1100</f>
      </c>
      <c r="D1134" s="74">
        <f t="shared" ca="1" si="253"/>
      </c>
      <c r="E1134" s="80" t="s">
        <v>279</v>
      </c>
      <c r="F1134" s="74">
        <f t="shared" ca="1" si="249"/>
      </c>
      <c r="G1134" s="74">
        <f t="shared" si="250"/>
      </c>
      <c r="H1134" s="80" t="s">
        <v>272</v>
      </c>
      <c r="I1134" s="74">
        <f t="shared" si="251"/>
      </c>
      <c r="J1134" s="74">
        <f t="shared" si="254"/>
      </c>
      <c r="K1134" s="80" t="s">
        <v>280</v>
      </c>
      <c r="L1134" s="74">
        <f t="shared" si="255"/>
      </c>
      <c r="M1134" s="74">
        <f t="shared" ca="1" si="256"/>
      </c>
      <c r="N1134" s="74">
        <f ca="1">VLOOKUP(B1134,$C$7:$T1132,13,FALSE)</f>
      </c>
      <c r="O1134" s="74">
        <f t="shared" ca="1" si="257"/>
      </c>
      <c r="P1134" s="74">
        <f t="shared" ca="1" si="258"/>
      </c>
      <c r="Q1134" s="74">
        <f t="shared" ca="1" si="259"/>
      </c>
      <c r="R1134" s="74">
        <f t="shared" si="260"/>
      </c>
      <c r="S1134" s="74">
        <f t="shared" ca="1" si="261"/>
      </c>
      <c r="T1134" s="74">
        <f t="shared" si="262"/>
      </c>
    </row>
    <row r="1135" spans="2:20" x14ac:dyDescent="0.3">
      <c r="B1135" s="74">
        <f t="shared" ca="1" si="252"/>
      </c>
      <c r="C1135" s="78">
        <f>Кабельный_журнал!P1101</f>
      </c>
      <c r="D1135" s="74">
        <f t="shared" ca="1" si="253"/>
      </c>
      <c r="E1135" s="80" t="s">
        <v>279</v>
      </c>
      <c r="F1135" s="74">
        <f t="shared" ca="1" si="249"/>
      </c>
      <c r="G1135" s="74">
        <f t="shared" si="250"/>
      </c>
      <c r="H1135" s="80" t="s">
        <v>272</v>
      </c>
      <c r="I1135" s="74">
        <f t="shared" si="251"/>
      </c>
      <c r="J1135" s="74">
        <f t="shared" si="254"/>
      </c>
      <c r="K1135" s="80" t="s">
        <v>280</v>
      </c>
      <c r="L1135" s="74">
        <f t="shared" si="255"/>
      </c>
      <c r="M1135" s="74">
        <f t="shared" ca="1" si="256"/>
      </c>
      <c r="N1135" s="74">
        <f ca="1">VLOOKUP(B1135,$C$7:$T1133,13,FALSE)</f>
      </c>
      <c r="O1135" s="74">
        <f t="shared" ca="1" si="257"/>
      </c>
      <c r="P1135" s="74">
        <f t="shared" ca="1" si="258"/>
      </c>
      <c r="Q1135" s="74">
        <f t="shared" ca="1" si="259"/>
      </c>
      <c r="R1135" s="74">
        <f t="shared" si="260"/>
      </c>
      <c r="S1135" s="74">
        <f t="shared" ca="1" si="261"/>
      </c>
      <c r="T1135" s="74">
        <f t="shared" si="262"/>
      </c>
    </row>
    <row r="1136" spans="2:20" x14ac:dyDescent="0.3">
      <c r="B1136" s="74">
        <f t="shared" ca="1" si="252"/>
      </c>
      <c r="C1136" s="78">
        <f>Кабельный_журнал!P1102</f>
      </c>
      <c r="D1136" s="74">
        <f t="shared" ca="1" si="253"/>
      </c>
      <c r="E1136" s="80" t="s">
        <v>279</v>
      </c>
      <c r="F1136" s="74">
        <f t="shared" ca="1" si="249"/>
      </c>
      <c r="G1136" s="74">
        <f t="shared" si="250"/>
      </c>
      <c r="H1136" s="80" t="s">
        <v>272</v>
      </c>
      <c r="I1136" s="74">
        <f t="shared" si="251"/>
      </c>
      <c r="J1136" s="74">
        <f t="shared" si="254"/>
      </c>
      <c r="K1136" s="80" t="s">
        <v>280</v>
      </c>
      <c r="L1136" s="74">
        <f t="shared" si="255"/>
      </c>
      <c r="M1136" s="74">
        <f t="shared" ca="1" si="256"/>
      </c>
      <c r="N1136" s="74">
        <f ca="1">VLOOKUP(B1136,$C$7:$T1134,13,FALSE)</f>
      </c>
      <c r="O1136" s="74">
        <f t="shared" ca="1" si="257"/>
      </c>
      <c r="P1136" s="74">
        <f t="shared" ca="1" si="258"/>
      </c>
      <c r="Q1136" s="74">
        <f t="shared" ca="1" si="259"/>
      </c>
      <c r="R1136" s="74">
        <f t="shared" si="260"/>
      </c>
      <c r="S1136" s="74">
        <f t="shared" ca="1" si="261"/>
      </c>
      <c r="T1136" s="74">
        <f t="shared" si="262"/>
      </c>
    </row>
    <row r="1137" spans="2:20" x14ac:dyDescent="0.3">
      <c r="B1137" s="74">
        <f t="shared" ca="1" si="252"/>
      </c>
      <c r="C1137" s="78">
        <f>Кабельный_журнал!P1103</f>
      </c>
      <c r="D1137" s="74">
        <f t="shared" ca="1" si="253"/>
      </c>
      <c r="E1137" s="80" t="s">
        <v>279</v>
      </c>
      <c r="F1137" s="74">
        <f t="shared" ca="1" si="249"/>
      </c>
      <c r="G1137" s="74">
        <f t="shared" si="250"/>
      </c>
      <c r="H1137" s="80" t="s">
        <v>272</v>
      </c>
      <c r="I1137" s="74">
        <f t="shared" si="251"/>
      </c>
      <c r="J1137" s="74">
        <f t="shared" si="254"/>
      </c>
      <c r="K1137" s="80" t="s">
        <v>280</v>
      </c>
      <c r="L1137" s="74">
        <f t="shared" si="255"/>
      </c>
      <c r="M1137" s="74">
        <f t="shared" ca="1" si="256"/>
      </c>
      <c r="N1137" s="74">
        <f ca="1">VLOOKUP(B1137,$C$7:$T1135,13,FALSE)</f>
      </c>
      <c r="O1137" s="74">
        <f t="shared" ca="1" si="257"/>
      </c>
      <c r="P1137" s="74">
        <f t="shared" ca="1" si="258"/>
      </c>
      <c r="Q1137" s="74">
        <f t="shared" ca="1" si="259"/>
      </c>
      <c r="R1137" s="74">
        <f t="shared" si="260"/>
      </c>
      <c r="S1137" s="74">
        <f t="shared" ca="1" si="261"/>
      </c>
      <c r="T1137" s="74">
        <f t="shared" si="262"/>
      </c>
    </row>
    <row r="1138" spans="2:20" x14ac:dyDescent="0.3">
      <c r="B1138" s="74">
        <f t="shared" ca="1" si="252"/>
      </c>
      <c r="C1138" s="78">
        <f>Кабельный_журнал!P1104</f>
      </c>
      <c r="D1138" s="74">
        <f t="shared" ca="1" si="253"/>
      </c>
      <c r="E1138" s="80" t="s">
        <v>279</v>
      </c>
      <c r="F1138" s="74">
        <f t="shared" ca="1" si="249"/>
      </c>
      <c r="G1138" s="74">
        <f t="shared" si="250"/>
      </c>
      <c r="H1138" s="80" t="s">
        <v>272</v>
      </c>
      <c r="I1138" s="74">
        <f t="shared" si="251"/>
      </c>
      <c r="J1138" s="74">
        <f t="shared" si="254"/>
      </c>
      <c r="K1138" s="80" t="s">
        <v>280</v>
      </c>
      <c r="L1138" s="74">
        <f t="shared" si="255"/>
      </c>
      <c r="M1138" s="74">
        <f t="shared" ca="1" si="256"/>
      </c>
      <c r="N1138" s="74">
        <f ca="1">VLOOKUP(B1138,$C$7:$T1136,13,FALSE)</f>
      </c>
      <c r="O1138" s="74">
        <f t="shared" ca="1" si="257"/>
      </c>
      <c r="P1138" s="74">
        <f t="shared" ca="1" si="258"/>
      </c>
      <c r="Q1138" s="74">
        <f t="shared" ca="1" si="259"/>
      </c>
      <c r="R1138" s="74">
        <f t="shared" si="260"/>
      </c>
      <c r="S1138" s="74">
        <f t="shared" ca="1" si="261"/>
      </c>
      <c r="T1138" s="74">
        <f t="shared" si="262"/>
      </c>
    </row>
    <row r="1139" spans="2:20" x14ac:dyDescent="0.3">
      <c r="B1139" s="74">
        <f t="shared" ca="1" si="252"/>
      </c>
      <c r="C1139" s="78">
        <f>Кабельный_журнал!P1105</f>
      </c>
      <c r="D1139" s="74">
        <f t="shared" ca="1" si="253"/>
      </c>
      <c r="E1139" s="80" t="s">
        <v>279</v>
      </c>
      <c r="F1139" s="74">
        <f t="shared" ca="1" si="249"/>
      </c>
      <c r="G1139" s="74">
        <f t="shared" si="250"/>
      </c>
      <c r="H1139" s="80" t="s">
        <v>272</v>
      </c>
      <c r="I1139" s="74">
        <f t="shared" si="251"/>
      </c>
      <c r="J1139" s="74">
        <f t="shared" si="254"/>
      </c>
      <c r="K1139" s="80" t="s">
        <v>280</v>
      </c>
      <c r="L1139" s="74">
        <f t="shared" si="255"/>
      </c>
      <c r="M1139" s="74">
        <f t="shared" ca="1" si="256"/>
      </c>
      <c r="N1139" s="74">
        <f ca="1">VLOOKUP(B1139,$C$7:$T1137,13,FALSE)</f>
      </c>
      <c r="O1139" s="74">
        <f t="shared" ca="1" si="257"/>
      </c>
      <c r="P1139" s="74">
        <f t="shared" ca="1" si="258"/>
      </c>
      <c r="Q1139" s="74">
        <f t="shared" ca="1" si="259"/>
      </c>
      <c r="R1139" s="74">
        <f t="shared" si="260"/>
      </c>
      <c r="S1139" s="74">
        <f t="shared" ca="1" si="261"/>
      </c>
      <c r="T1139" s="74">
        <f t="shared" si="262"/>
      </c>
    </row>
    <row r="1140" spans="2:20" x14ac:dyDescent="0.3">
      <c r="B1140" s="74">
        <f t="shared" ca="1" si="252"/>
      </c>
      <c r="C1140" s="78">
        <f>Кабельный_журнал!P1106</f>
      </c>
      <c r="D1140" s="74">
        <f t="shared" ca="1" si="253"/>
      </c>
      <c r="E1140" s="80" t="s">
        <v>279</v>
      </c>
      <c r="F1140" s="74">
        <f t="shared" ca="1" si="249"/>
      </c>
      <c r="G1140" s="74">
        <f t="shared" si="250"/>
      </c>
      <c r="H1140" s="80" t="s">
        <v>272</v>
      </c>
      <c r="I1140" s="74">
        <f t="shared" si="251"/>
      </c>
      <c r="J1140" s="74">
        <f t="shared" si="254"/>
      </c>
      <c r="K1140" s="80" t="s">
        <v>280</v>
      </c>
      <c r="L1140" s="74">
        <f t="shared" si="255"/>
      </c>
      <c r="M1140" s="74">
        <f t="shared" ca="1" si="256"/>
      </c>
      <c r="N1140" s="74">
        <f ca="1">VLOOKUP(B1140,$C$7:$T1138,13,FALSE)</f>
      </c>
      <c r="O1140" s="74">
        <f t="shared" ca="1" si="257"/>
      </c>
      <c r="P1140" s="74">
        <f t="shared" ca="1" si="258"/>
      </c>
      <c r="Q1140" s="74">
        <f t="shared" ca="1" si="259"/>
      </c>
      <c r="R1140" s="74">
        <f t="shared" si="260"/>
      </c>
      <c r="S1140" s="74">
        <f t="shared" ca="1" si="261"/>
      </c>
      <c r="T1140" s="74">
        <f t="shared" si="262"/>
      </c>
    </row>
    <row r="1141" spans="2:20" x14ac:dyDescent="0.3">
      <c r="B1141" s="74">
        <f t="shared" ca="1" si="252"/>
      </c>
      <c r="C1141" s="78">
        <f>Кабельный_журнал!P1107</f>
      </c>
      <c r="D1141" s="74">
        <f t="shared" ca="1" si="253"/>
      </c>
      <c r="E1141" s="80" t="s">
        <v>279</v>
      </c>
      <c r="F1141" s="74">
        <f t="shared" ca="1" si="249"/>
      </c>
      <c r="G1141" s="74">
        <f t="shared" si="250"/>
      </c>
      <c r="H1141" s="80" t="s">
        <v>272</v>
      </c>
      <c r="I1141" s="74">
        <f t="shared" si="251"/>
      </c>
      <c r="J1141" s="74">
        <f t="shared" si="254"/>
      </c>
      <c r="K1141" s="80" t="s">
        <v>280</v>
      </c>
      <c r="L1141" s="74">
        <f t="shared" si="255"/>
      </c>
      <c r="M1141" s="74">
        <f t="shared" ca="1" si="256"/>
      </c>
      <c r="N1141" s="74">
        <f ca="1">VLOOKUP(B1141,$C$7:$T1139,13,FALSE)</f>
      </c>
      <c r="O1141" s="74">
        <f t="shared" ca="1" si="257"/>
      </c>
      <c r="P1141" s="74">
        <f t="shared" ca="1" si="258"/>
      </c>
      <c r="Q1141" s="74">
        <f t="shared" ca="1" si="259"/>
      </c>
      <c r="R1141" s="74">
        <f t="shared" si="260"/>
      </c>
      <c r="S1141" s="74">
        <f t="shared" ca="1" si="261"/>
      </c>
      <c r="T1141" s="74">
        <f t="shared" si="262"/>
      </c>
    </row>
    <row r="1142" spans="2:20" x14ac:dyDescent="0.3">
      <c r="B1142" s="74">
        <f t="shared" ca="1" si="252"/>
      </c>
      <c r="C1142" s="78">
        <f>Кабельный_журнал!P1108</f>
      </c>
      <c r="D1142" s="74">
        <f t="shared" ca="1" si="253"/>
      </c>
      <c r="E1142" s="80" t="s">
        <v>279</v>
      </c>
      <c r="F1142" s="74">
        <f t="shared" ca="1" si="249"/>
      </c>
      <c r="G1142" s="74">
        <f t="shared" si="250"/>
      </c>
      <c r="H1142" s="80" t="s">
        <v>272</v>
      </c>
      <c r="I1142" s="74">
        <f t="shared" si="251"/>
      </c>
      <c r="J1142" s="74">
        <f t="shared" si="254"/>
      </c>
      <c r="K1142" s="80" t="s">
        <v>280</v>
      </c>
      <c r="L1142" s="74">
        <f t="shared" si="255"/>
      </c>
      <c r="M1142" s="74">
        <f t="shared" ca="1" si="256"/>
      </c>
      <c r="N1142" s="74">
        <f ca="1">VLOOKUP(B1142,$C$7:$T1140,13,FALSE)</f>
      </c>
      <c r="O1142" s="74">
        <f t="shared" ca="1" si="257"/>
      </c>
      <c r="P1142" s="74">
        <f t="shared" ca="1" si="258"/>
      </c>
      <c r="Q1142" s="74">
        <f t="shared" ca="1" si="259"/>
      </c>
      <c r="R1142" s="74">
        <f t="shared" si="260"/>
      </c>
      <c r="S1142" s="74">
        <f t="shared" ca="1" si="261"/>
      </c>
      <c r="T1142" s="74">
        <f t="shared" si="262"/>
      </c>
    </row>
    <row r="1143" spans="2:20" x14ac:dyDescent="0.3">
      <c r="B1143" s="74">
        <f t="shared" ca="1" si="252"/>
      </c>
      <c r="C1143" s="78">
        <f>Кабельный_журнал!P1109</f>
      </c>
      <c r="D1143" s="74">
        <f t="shared" ca="1" si="253"/>
      </c>
      <c r="E1143" s="80" t="s">
        <v>279</v>
      </c>
      <c r="F1143" s="74">
        <f t="shared" ca="1" si="249"/>
      </c>
      <c r="G1143" s="74">
        <f t="shared" si="250"/>
      </c>
      <c r="H1143" s="80" t="s">
        <v>272</v>
      </c>
      <c r="I1143" s="74">
        <f t="shared" si="251"/>
      </c>
      <c r="J1143" s="74">
        <f t="shared" si="254"/>
      </c>
      <c r="K1143" s="80" t="s">
        <v>280</v>
      </c>
      <c r="L1143" s="74">
        <f t="shared" si="255"/>
      </c>
      <c r="M1143" s="74">
        <f t="shared" ca="1" si="256"/>
      </c>
      <c r="N1143" s="74">
        <f ca="1">VLOOKUP(B1143,$C$7:$T1141,13,FALSE)</f>
      </c>
      <c r="O1143" s="74">
        <f t="shared" ca="1" si="257"/>
      </c>
      <c r="P1143" s="74">
        <f t="shared" ca="1" si="258"/>
      </c>
      <c r="Q1143" s="74">
        <f t="shared" ca="1" si="259"/>
      </c>
      <c r="R1143" s="74">
        <f t="shared" si="260"/>
      </c>
      <c r="S1143" s="74">
        <f t="shared" ca="1" si="261"/>
      </c>
      <c r="T1143" s="74">
        <f t="shared" si="262"/>
      </c>
    </row>
    <row r="1144" spans="2:20" x14ac:dyDescent="0.3">
      <c r="B1144" s="74">
        <f t="shared" ca="1" si="252"/>
      </c>
      <c r="C1144" s="78">
        <f>Кабельный_журнал!P1110</f>
      </c>
      <c r="D1144" s="74">
        <f t="shared" ca="1" si="253"/>
      </c>
      <c r="E1144" s="80" t="s">
        <v>279</v>
      </c>
      <c r="F1144" s="74">
        <f t="shared" ca="1" si="249"/>
      </c>
      <c r="G1144" s="74">
        <f t="shared" si="250"/>
      </c>
      <c r="H1144" s="80" t="s">
        <v>272</v>
      </c>
      <c r="I1144" s="74">
        <f t="shared" si="251"/>
      </c>
      <c r="J1144" s="74">
        <f t="shared" si="254"/>
      </c>
      <c r="K1144" s="80" t="s">
        <v>280</v>
      </c>
      <c r="L1144" s="74">
        <f t="shared" si="255"/>
      </c>
      <c r="M1144" s="74">
        <f t="shared" ca="1" si="256"/>
      </c>
      <c r="N1144" s="74">
        <f ca="1">VLOOKUP(B1144,$C$7:$T1142,13,FALSE)</f>
      </c>
      <c r="O1144" s="74">
        <f t="shared" ca="1" si="257"/>
      </c>
      <c r="P1144" s="74">
        <f t="shared" ca="1" si="258"/>
      </c>
      <c r="Q1144" s="74">
        <f t="shared" ca="1" si="259"/>
      </c>
      <c r="R1144" s="74">
        <f t="shared" si="260"/>
      </c>
      <c r="S1144" s="74">
        <f t="shared" ca="1" si="261"/>
      </c>
      <c r="T1144" s="74">
        <f t="shared" si="262"/>
      </c>
    </row>
    <row r="1145" spans="2:20" x14ac:dyDescent="0.3">
      <c r="B1145" s="74">
        <f t="shared" ca="1" si="252"/>
      </c>
      <c r="C1145" s="78">
        <f>Кабельный_журнал!P1111</f>
      </c>
      <c r="D1145" s="74">
        <f t="shared" ca="1" si="253"/>
      </c>
      <c r="E1145" s="80" t="s">
        <v>279</v>
      </c>
      <c r="F1145" s="74">
        <f t="shared" ca="1" si="249"/>
      </c>
      <c r="G1145" s="74">
        <f t="shared" si="250"/>
      </c>
      <c r="H1145" s="80" t="s">
        <v>272</v>
      </c>
      <c r="I1145" s="74">
        <f t="shared" si="251"/>
      </c>
      <c r="J1145" s="74">
        <f t="shared" si="254"/>
      </c>
      <c r="K1145" s="80" t="s">
        <v>280</v>
      </c>
      <c r="L1145" s="74">
        <f t="shared" si="255"/>
      </c>
      <c r="M1145" s="74">
        <f t="shared" ca="1" si="256"/>
      </c>
      <c r="N1145" s="74">
        <f ca="1">VLOOKUP(B1145,$C$7:$T1143,13,FALSE)</f>
      </c>
      <c r="O1145" s="74">
        <f t="shared" ca="1" si="257"/>
      </c>
      <c r="P1145" s="74">
        <f t="shared" ca="1" si="258"/>
      </c>
      <c r="Q1145" s="74">
        <f t="shared" ca="1" si="259"/>
      </c>
      <c r="R1145" s="74">
        <f t="shared" si="260"/>
      </c>
      <c r="S1145" s="74">
        <f t="shared" ca="1" si="261"/>
      </c>
      <c r="T1145" s="74">
        <f t="shared" si="262"/>
      </c>
    </row>
    <row r="1146" spans="2:20" x14ac:dyDescent="0.3">
      <c r="B1146" s="74">
        <f t="shared" ca="1" si="252"/>
      </c>
      <c r="C1146" s="78">
        <f>Кабельный_журнал!P1112</f>
      </c>
      <c r="D1146" s="74">
        <f t="shared" ca="1" si="253"/>
      </c>
      <c r="E1146" s="80" t="s">
        <v>279</v>
      </c>
      <c r="F1146" s="74">
        <f t="shared" ca="1" si="249"/>
      </c>
      <c r="G1146" s="74">
        <f t="shared" si="250"/>
      </c>
      <c r="H1146" s="80" t="s">
        <v>272</v>
      </c>
      <c r="I1146" s="74">
        <f t="shared" si="251"/>
      </c>
      <c r="J1146" s="74">
        <f t="shared" si="254"/>
      </c>
      <c r="K1146" s="80" t="s">
        <v>280</v>
      </c>
      <c r="L1146" s="74">
        <f t="shared" si="255"/>
      </c>
      <c r="M1146" s="74">
        <f t="shared" ca="1" si="256"/>
      </c>
      <c r="N1146" s="74">
        <f ca="1">VLOOKUP(B1146,$C$7:$T1144,13,FALSE)</f>
      </c>
      <c r="O1146" s="74">
        <f t="shared" ca="1" si="257"/>
      </c>
      <c r="P1146" s="74">
        <f t="shared" ca="1" si="258"/>
      </c>
      <c r="Q1146" s="74">
        <f t="shared" ca="1" si="259"/>
      </c>
      <c r="R1146" s="74">
        <f t="shared" si="260"/>
      </c>
      <c r="S1146" s="74">
        <f t="shared" ca="1" si="261"/>
      </c>
      <c r="T1146" s="74">
        <f t="shared" si="262"/>
      </c>
    </row>
    <row r="1147" spans="2:20" x14ac:dyDescent="0.3">
      <c r="B1147" s="74">
        <f t="shared" ca="1" si="252"/>
      </c>
      <c r="C1147" s="78">
        <f>Кабельный_журнал!P1113</f>
      </c>
      <c r="D1147" s="74">
        <f t="shared" ca="1" si="253"/>
      </c>
      <c r="E1147" s="80" t="s">
        <v>279</v>
      </c>
      <c r="F1147" s="74">
        <f t="shared" ca="1" si="249"/>
      </c>
      <c r="G1147" s="74">
        <f t="shared" si="250"/>
      </c>
      <c r="H1147" s="80" t="s">
        <v>272</v>
      </c>
      <c r="I1147" s="74">
        <f t="shared" si="251"/>
      </c>
      <c r="J1147" s="74">
        <f t="shared" si="254"/>
      </c>
      <c r="K1147" s="80" t="s">
        <v>280</v>
      </c>
      <c r="L1147" s="74">
        <f t="shared" si="255"/>
      </c>
      <c r="M1147" s="74">
        <f t="shared" ca="1" si="256"/>
      </c>
      <c r="N1147" s="74">
        <f ca="1">VLOOKUP(B1147,$C$7:$T1145,13,FALSE)</f>
      </c>
      <c r="O1147" s="74">
        <f t="shared" ca="1" si="257"/>
      </c>
      <c r="P1147" s="74">
        <f t="shared" ca="1" si="258"/>
      </c>
      <c r="Q1147" s="74">
        <f t="shared" ca="1" si="259"/>
      </c>
      <c r="R1147" s="74">
        <f t="shared" si="260"/>
      </c>
      <c r="S1147" s="74">
        <f t="shared" ca="1" si="261"/>
      </c>
      <c r="T1147" s="74">
        <f t="shared" si="262"/>
      </c>
    </row>
    <row r="1148" spans="2:20" x14ac:dyDescent="0.3">
      <c r="B1148" s="74">
        <f t="shared" ca="1" si="252"/>
      </c>
      <c r="C1148" s="78">
        <f>Кабельный_журнал!P1114</f>
      </c>
      <c r="D1148" s="74">
        <f t="shared" ca="1" si="253"/>
      </c>
      <c r="E1148" s="80" t="s">
        <v>279</v>
      </c>
      <c r="F1148" s="74">
        <f t="shared" ca="1" si="249"/>
      </c>
      <c r="G1148" s="74">
        <f t="shared" si="250"/>
      </c>
      <c r="H1148" s="80" t="s">
        <v>272</v>
      </c>
      <c r="I1148" s="74">
        <f t="shared" si="251"/>
      </c>
      <c r="J1148" s="74">
        <f t="shared" si="254"/>
      </c>
      <c r="K1148" s="80" t="s">
        <v>280</v>
      </c>
      <c r="L1148" s="74">
        <f t="shared" si="255"/>
      </c>
      <c r="M1148" s="74">
        <f t="shared" ca="1" si="256"/>
      </c>
      <c r="N1148" s="74">
        <f ca="1">VLOOKUP(B1148,$C$7:$T1146,13,FALSE)</f>
      </c>
      <c r="O1148" s="74">
        <f t="shared" ca="1" si="257"/>
      </c>
      <c r="P1148" s="74">
        <f t="shared" ca="1" si="258"/>
      </c>
      <c r="Q1148" s="74">
        <f t="shared" ca="1" si="259"/>
      </c>
      <c r="R1148" s="74">
        <f t="shared" si="260"/>
      </c>
      <c r="S1148" s="74">
        <f t="shared" ca="1" si="261"/>
      </c>
      <c r="T1148" s="74">
        <f t="shared" si="262"/>
      </c>
    </row>
    <row r="1149" spans="2:20" x14ac:dyDescent="0.3">
      <c r="B1149" s="74">
        <f t="shared" ca="1" si="252"/>
      </c>
      <c r="C1149" s="78">
        <f>Кабельный_журнал!P1115</f>
      </c>
      <c r="D1149" s="74">
        <f t="shared" ca="1" si="253"/>
      </c>
      <c r="E1149" s="80" t="s">
        <v>279</v>
      </c>
      <c r="F1149" s="74">
        <f t="shared" ca="1" si="249"/>
      </c>
      <c r="G1149" s="74">
        <f t="shared" si="250"/>
      </c>
      <c r="H1149" s="80" t="s">
        <v>272</v>
      </c>
      <c r="I1149" s="74">
        <f t="shared" si="251"/>
      </c>
      <c r="J1149" s="74">
        <f t="shared" si="254"/>
      </c>
      <c r="K1149" s="80" t="s">
        <v>280</v>
      </c>
      <c r="L1149" s="74">
        <f t="shared" si="255"/>
      </c>
      <c r="M1149" s="74">
        <f t="shared" ca="1" si="256"/>
      </c>
      <c r="N1149" s="74">
        <f ca="1">VLOOKUP(B1149,$C$7:$T1147,13,FALSE)</f>
      </c>
      <c r="O1149" s="74">
        <f t="shared" ca="1" si="257"/>
      </c>
      <c r="P1149" s="74">
        <f t="shared" ca="1" si="258"/>
      </c>
      <c r="Q1149" s="74">
        <f t="shared" ca="1" si="259"/>
      </c>
      <c r="R1149" s="74">
        <f t="shared" si="260"/>
      </c>
      <c r="S1149" s="74">
        <f t="shared" ca="1" si="261"/>
      </c>
      <c r="T1149" s="74">
        <f t="shared" si="262"/>
      </c>
    </row>
    <row r="1150" spans="2:20" x14ac:dyDescent="0.3">
      <c r="B1150" s="74">
        <f t="shared" ca="1" si="252"/>
      </c>
      <c r="C1150" s="78">
        <f>Кабельный_журнал!P1116</f>
      </c>
      <c r="D1150" s="74">
        <f t="shared" ca="1" si="253"/>
      </c>
      <c r="E1150" s="80" t="s">
        <v>279</v>
      </c>
      <c r="F1150" s="74">
        <f t="shared" ca="1" si="249"/>
      </c>
      <c r="G1150" s="74">
        <f t="shared" si="250"/>
      </c>
      <c r="H1150" s="80" t="s">
        <v>272</v>
      </c>
      <c r="I1150" s="74">
        <f t="shared" si="251"/>
      </c>
      <c r="J1150" s="74">
        <f t="shared" si="254"/>
      </c>
      <c r="K1150" s="80" t="s">
        <v>280</v>
      </c>
      <c r="L1150" s="74">
        <f t="shared" si="255"/>
      </c>
      <c r="M1150" s="74">
        <f t="shared" ca="1" si="256"/>
      </c>
      <c r="N1150" s="74">
        <f ca="1">VLOOKUP(B1150,$C$7:$T1148,13,FALSE)</f>
      </c>
      <c r="O1150" s="74">
        <f t="shared" ca="1" si="257"/>
      </c>
      <c r="P1150" s="74">
        <f t="shared" ca="1" si="258"/>
      </c>
      <c r="Q1150" s="74">
        <f t="shared" ca="1" si="259"/>
      </c>
      <c r="R1150" s="74">
        <f t="shared" si="260"/>
      </c>
      <c r="S1150" s="74">
        <f t="shared" ca="1" si="261"/>
      </c>
      <c r="T1150" s="74">
        <f t="shared" si="262"/>
      </c>
    </row>
    <row r="1151" spans="2:20" x14ac:dyDescent="0.3">
      <c r="B1151" s="74">
        <f t="shared" ca="1" si="252"/>
      </c>
      <c r="C1151" s="78">
        <f>Кабельный_журнал!P1117</f>
      </c>
      <c r="D1151" s="74">
        <f t="shared" ca="1" si="253"/>
      </c>
      <c r="E1151" s="80" t="s">
        <v>279</v>
      </c>
      <c r="F1151" s="74">
        <f t="shared" ca="1" si="249"/>
      </c>
      <c r="G1151" s="74">
        <f t="shared" si="250"/>
      </c>
      <c r="H1151" s="80" t="s">
        <v>272</v>
      </c>
      <c r="I1151" s="74">
        <f t="shared" si="251"/>
      </c>
      <c r="J1151" s="74">
        <f t="shared" si="254"/>
      </c>
      <c r="K1151" s="80" t="s">
        <v>280</v>
      </c>
      <c r="L1151" s="74">
        <f t="shared" si="255"/>
      </c>
      <c r="M1151" s="74">
        <f t="shared" ca="1" si="256"/>
      </c>
      <c r="N1151" s="74">
        <f ca="1">VLOOKUP(B1151,$C$7:$T1149,13,FALSE)</f>
      </c>
      <c r="O1151" s="74">
        <f t="shared" ca="1" si="257"/>
      </c>
      <c r="P1151" s="74">
        <f t="shared" ca="1" si="258"/>
      </c>
      <c r="Q1151" s="74">
        <f t="shared" ca="1" si="259"/>
      </c>
      <c r="R1151" s="74">
        <f t="shared" si="260"/>
      </c>
      <c r="S1151" s="74">
        <f t="shared" ca="1" si="261"/>
      </c>
      <c r="T1151" s="74">
        <f t="shared" si="262"/>
      </c>
    </row>
    <row r="1152" spans="2:20" x14ac:dyDescent="0.3">
      <c r="B1152" s="74">
        <f t="shared" ca="1" si="252"/>
      </c>
      <c r="C1152" s="78">
        <f>Кабельный_журнал!P1118</f>
      </c>
      <c r="D1152" s="74">
        <f t="shared" ca="1" si="253"/>
      </c>
      <c r="E1152" s="80" t="s">
        <v>279</v>
      </c>
      <c r="F1152" s="74">
        <f t="shared" ca="1" si="249"/>
      </c>
      <c r="G1152" s="74">
        <f t="shared" si="250"/>
      </c>
      <c r="H1152" s="80" t="s">
        <v>272</v>
      </c>
      <c r="I1152" s="74">
        <f t="shared" si="251"/>
      </c>
      <c r="J1152" s="74">
        <f t="shared" si="254"/>
      </c>
      <c r="K1152" s="80" t="s">
        <v>280</v>
      </c>
      <c r="L1152" s="74">
        <f t="shared" si="255"/>
      </c>
      <c r="M1152" s="74">
        <f t="shared" ca="1" si="256"/>
      </c>
      <c r="N1152" s="74">
        <f ca="1">VLOOKUP(B1152,$C$7:$T1150,13,FALSE)</f>
      </c>
      <c r="O1152" s="74">
        <f t="shared" ca="1" si="257"/>
      </c>
      <c r="P1152" s="74">
        <f t="shared" ca="1" si="258"/>
      </c>
      <c r="Q1152" s="74">
        <f t="shared" ca="1" si="259"/>
      </c>
      <c r="R1152" s="74">
        <f t="shared" si="260"/>
      </c>
      <c r="S1152" s="74">
        <f t="shared" ca="1" si="261"/>
      </c>
      <c r="T1152" s="74">
        <f t="shared" si="262"/>
      </c>
    </row>
    <row r="1153" spans="2:20" x14ac:dyDescent="0.3">
      <c r="B1153" s="74">
        <f t="shared" ca="1" si="252"/>
      </c>
      <c r="C1153" s="78">
        <f>Кабельный_журнал!P1119</f>
      </c>
      <c r="D1153" s="74">
        <f t="shared" ca="1" si="253"/>
      </c>
      <c r="E1153" s="80" t="s">
        <v>279</v>
      </c>
      <c r="F1153" s="74">
        <f t="shared" ca="1" si="249"/>
      </c>
      <c r="G1153" s="74">
        <f t="shared" si="250"/>
      </c>
      <c r="H1153" s="80" t="s">
        <v>272</v>
      </c>
      <c r="I1153" s="74">
        <f t="shared" si="251"/>
      </c>
      <c r="J1153" s="74">
        <f t="shared" si="254"/>
      </c>
      <c r="K1153" s="80" t="s">
        <v>280</v>
      </c>
      <c r="L1153" s="74">
        <f t="shared" si="255"/>
      </c>
      <c r="M1153" s="74">
        <f t="shared" ca="1" si="256"/>
      </c>
      <c r="N1153" s="74">
        <f ca="1">VLOOKUP(B1153,$C$7:$T1151,13,FALSE)</f>
      </c>
      <c r="O1153" s="74">
        <f t="shared" ca="1" si="257"/>
      </c>
      <c r="P1153" s="74">
        <f t="shared" ca="1" si="258"/>
      </c>
      <c r="Q1153" s="74">
        <f t="shared" ca="1" si="259"/>
      </c>
      <c r="R1153" s="74">
        <f t="shared" si="260"/>
      </c>
      <c r="S1153" s="74">
        <f t="shared" ca="1" si="261"/>
      </c>
      <c r="T1153" s="74">
        <f t="shared" si="262"/>
      </c>
    </row>
    <row r="1154" spans="2:20" x14ac:dyDescent="0.3">
      <c r="B1154" s="74">
        <f t="shared" ca="1" si="252"/>
      </c>
      <c r="C1154" s="78">
        <f>Кабельный_журнал!P1120</f>
      </c>
      <c r="D1154" s="74">
        <f t="shared" ca="1" si="253"/>
      </c>
      <c r="E1154" s="80" t="s">
        <v>279</v>
      </c>
      <c r="F1154" s="74">
        <f t="shared" ca="1" si="249"/>
      </c>
      <c r="G1154" s="74">
        <f t="shared" si="250"/>
      </c>
      <c r="H1154" s="80" t="s">
        <v>272</v>
      </c>
      <c r="I1154" s="74">
        <f t="shared" si="251"/>
      </c>
      <c r="J1154" s="74">
        <f t="shared" si="254"/>
      </c>
      <c r="K1154" s="80" t="s">
        <v>280</v>
      </c>
      <c r="L1154" s="74">
        <f t="shared" si="255"/>
      </c>
      <c r="M1154" s="74">
        <f t="shared" ca="1" si="256"/>
      </c>
      <c r="N1154" s="74">
        <f ca="1">VLOOKUP(B1154,$C$7:$T1152,13,FALSE)</f>
      </c>
      <c r="O1154" s="74">
        <f t="shared" ca="1" si="257"/>
      </c>
      <c r="P1154" s="74">
        <f t="shared" ca="1" si="258"/>
      </c>
      <c r="Q1154" s="74">
        <f t="shared" ca="1" si="259"/>
      </c>
      <c r="R1154" s="74">
        <f t="shared" si="260"/>
      </c>
      <c r="S1154" s="74">
        <f t="shared" ca="1" si="261"/>
      </c>
      <c r="T1154" s="74">
        <f t="shared" si="262"/>
      </c>
    </row>
    <row r="1155" spans="2:20" x14ac:dyDescent="0.3">
      <c r="B1155" s="74">
        <f t="shared" ca="1" si="252"/>
      </c>
      <c r="C1155" s="78">
        <f>Кабельный_журнал!P1121</f>
      </c>
      <c r="D1155" s="74">
        <f t="shared" ca="1" si="253"/>
      </c>
      <c r="E1155" s="80" t="s">
        <v>279</v>
      </c>
      <c r="F1155" s="74">
        <f t="shared" ca="1" si="249"/>
      </c>
      <c r="G1155" s="74">
        <f t="shared" si="250"/>
      </c>
      <c r="H1155" s="80" t="s">
        <v>272</v>
      </c>
      <c r="I1155" s="74">
        <f t="shared" si="251"/>
      </c>
      <c r="J1155" s="74">
        <f t="shared" si="254"/>
      </c>
      <c r="K1155" s="80" t="s">
        <v>280</v>
      </c>
      <c r="L1155" s="74">
        <f t="shared" si="255"/>
      </c>
      <c r="M1155" s="74">
        <f t="shared" ca="1" si="256"/>
      </c>
      <c r="N1155" s="74">
        <f ca="1">VLOOKUP(B1155,$C$7:$T1153,13,FALSE)</f>
      </c>
      <c r="O1155" s="74">
        <f t="shared" ca="1" si="257"/>
      </c>
      <c r="P1155" s="74">
        <f t="shared" ca="1" si="258"/>
      </c>
      <c r="Q1155" s="74">
        <f t="shared" ca="1" si="259"/>
      </c>
      <c r="R1155" s="74">
        <f t="shared" si="260"/>
      </c>
      <c r="S1155" s="74">
        <f t="shared" ca="1" si="261"/>
      </c>
      <c r="T1155" s="74">
        <f t="shared" si="262"/>
      </c>
    </row>
    <row r="1156" spans="2:20" x14ac:dyDescent="0.3">
      <c r="B1156" s="74">
        <f t="shared" ca="1" si="252"/>
      </c>
      <c r="C1156" s="78">
        <f>Кабельный_журнал!P1122</f>
      </c>
      <c r="D1156" s="74">
        <f t="shared" ca="1" si="253"/>
      </c>
      <c r="E1156" s="80" t="s">
        <v>279</v>
      </c>
      <c r="F1156" s="74">
        <f t="shared" ca="1" si="249"/>
      </c>
      <c r="G1156" s="74">
        <f t="shared" si="250"/>
      </c>
      <c r="H1156" s="80" t="s">
        <v>272</v>
      </c>
      <c r="I1156" s="74">
        <f t="shared" si="251"/>
      </c>
      <c r="J1156" s="74">
        <f t="shared" si="254"/>
      </c>
      <c r="K1156" s="80" t="s">
        <v>280</v>
      </c>
      <c r="L1156" s="74">
        <f t="shared" si="255"/>
      </c>
      <c r="M1156" s="74">
        <f t="shared" ca="1" si="256"/>
      </c>
      <c r="N1156" s="74">
        <f ca="1">VLOOKUP(B1156,$C$7:$T1154,13,FALSE)</f>
      </c>
      <c r="O1156" s="74">
        <f t="shared" ca="1" si="257"/>
      </c>
      <c r="P1156" s="74">
        <f t="shared" ca="1" si="258"/>
      </c>
      <c r="Q1156" s="74">
        <f t="shared" ca="1" si="259"/>
      </c>
      <c r="R1156" s="74">
        <f t="shared" si="260"/>
      </c>
      <c r="S1156" s="74">
        <f t="shared" ca="1" si="261"/>
      </c>
      <c r="T1156" s="74">
        <f t="shared" si="262"/>
      </c>
    </row>
    <row r="1157" spans="2:20" x14ac:dyDescent="0.3">
      <c r="B1157" s="74">
        <f t="shared" ca="1" si="252"/>
      </c>
      <c r="C1157" s="78">
        <f>Кабельный_журнал!P1123</f>
      </c>
      <c r="D1157" s="74">
        <f t="shared" ca="1" si="253"/>
      </c>
      <c r="E1157" s="80" t="s">
        <v>279</v>
      </c>
      <c r="F1157" s="74">
        <f t="shared" ca="1" si="249"/>
      </c>
      <c r="G1157" s="74">
        <f t="shared" si="250"/>
      </c>
      <c r="H1157" s="80" t="s">
        <v>272</v>
      </c>
      <c r="I1157" s="74">
        <f t="shared" si="251"/>
      </c>
      <c r="J1157" s="74">
        <f t="shared" si="254"/>
      </c>
      <c r="K1157" s="80" t="s">
        <v>280</v>
      </c>
      <c r="L1157" s="74">
        <f t="shared" si="255"/>
      </c>
      <c r="M1157" s="74">
        <f t="shared" ca="1" si="256"/>
      </c>
      <c r="N1157" s="74">
        <f ca="1">VLOOKUP(B1157,$C$7:$T1155,13,FALSE)</f>
      </c>
      <c r="O1157" s="74">
        <f t="shared" ca="1" si="257"/>
      </c>
      <c r="P1157" s="74">
        <f t="shared" ca="1" si="258"/>
      </c>
      <c r="Q1157" s="74">
        <f t="shared" ca="1" si="259"/>
      </c>
      <c r="R1157" s="74">
        <f t="shared" si="260"/>
      </c>
      <c r="S1157" s="74">
        <f t="shared" ca="1" si="261"/>
      </c>
      <c r="T1157" s="74">
        <f t="shared" si="262"/>
      </c>
    </row>
    <row r="1158" spans="2:20" x14ac:dyDescent="0.3">
      <c r="B1158" s="74">
        <f t="shared" ca="1" si="252"/>
      </c>
      <c r="C1158" s="78">
        <f>Кабельный_журнал!P1124</f>
      </c>
      <c r="D1158" s="74">
        <f t="shared" ca="1" si="253"/>
      </c>
      <c r="E1158" s="80" t="s">
        <v>279</v>
      </c>
      <c r="F1158" s="74">
        <f t="shared" ca="1" si="249"/>
      </c>
      <c r="G1158" s="74">
        <f t="shared" si="250"/>
      </c>
      <c r="H1158" s="80" t="s">
        <v>272</v>
      </c>
      <c r="I1158" s="74">
        <f t="shared" si="251"/>
      </c>
      <c r="J1158" s="74">
        <f t="shared" si="254"/>
      </c>
      <c r="K1158" s="80" t="s">
        <v>280</v>
      </c>
      <c r="L1158" s="74">
        <f t="shared" si="255"/>
      </c>
      <c r="M1158" s="74">
        <f t="shared" ca="1" si="256"/>
      </c>
      <c r="N1158" s="74">
        <f ca="1">VLOOKUP(B1158,$C$7:$T1156,13,FALSE)</f>
      </c>
      <c r="O1158" s="74">
        <f t="shared" ca="1" si="257"/>
      </c>
      <c r="P1158" s="74">
        <f t="shared" ca="1" si="258"/>
      </c>
      <c r="Q1158" s="74">
        <f t="shared" ca="1" si="259"/>
      </c>
      <c r="R1158" s="74">
        <f t="shared" si="260"/>
      </c>
      <c r="S1158" s="74">
        <f t="shared" ca="1" si="261"/>
      </c>
      <c r="T1158" s="74">
        <f t="shared" si="262"/>
      </c>
    </row>
    <row r="1159" spans="2:20" x14ac:dyDescent="0.3">
      <c r="B1159" s="74">
        <f t="shared" ca="1" si="252"/>
      </c>
      <c r="C1159" s="78">
        <f>Кабельный_журнал!P1125</f>
      </c>
      <c r="D1159" s="74">
        <f t="shared" ca="1" si="253"/>
      </c>
      <c r="E1159" s="80" t="s">
        <v>279</v>
      </c>
      <c r="F1159" s="74">
        <f t="shared" ca="1" si="249"/>
      </c>
      <c r="G1159" s="74">
        <f t="shared" si="250"/>
      </c>
      <c r="H1159" s="80" t="s">
        <v>272</v>
      </c>
      <c r="I1159" s="74">
        <f t="shared" si="251"/>
      </c>
      <c r="J1159" s="74">
        <f t="shared" si="254"/>
      </c>
      <c r="K1159" s="80" t="s">
        <v>280</v>
      </c>
      <c r="L1159" s="74">
        <f t="shared" si="255"/>
      </c>
      <c r="M1159" s="74">
        <f t="shared" ca="1" si="256"/>
      </c>
      <c r="N1159" s="74">
        <f ca="1">VLOOKUP(B1159,$C$7:$T1157,13,FALSE)</f>
      </c>
      <c r="O1159" s="74">
        <f t="shared" ca="1" si="257"/>
      </c>
      <c r="P1159" s="74">
        <f t="shared" ca="1" si="258"/>
      </c>
      <c r="Q1159" s="74">
        <f t="shared" ca="1" si="259"/>
      </c>
      <c r="R1159" s="74">
        <f t="shared" si="260"/>
      </c>
      <c r="S1159" s="74">
        <f t="shared" ca="1" si="261"/>
      </c>
      <c r="T1159" s="74">
        <f t="shared" si="262"/>
      </c>
    </row>
    <row r="1160" spans="2:20" x14ac:dyDescent="0.3">
      <c r="B1160" s="74">
        <f t="shared" ca="1" si="252"/>
      </c>
      <c r="C1160" s="78">
        <f>Кабельный_журнал!P1126</f>
      </c>
      <c r="D1160" s="74">
        <f t="shared" ca="1" si="253"/>
      </c>
      <c r="E1160" s="80" t="s">
        <v>279</v>
      </c>
      <c r="F1160" s="74">
        <f t="shared" ca="1" si="249"/>
      </c>
      <c r="G1160" s="74">
        <f t="shared" si="250"/>
      </c>
      <c r="H1160" s="80" t="s">
        <v>272</v>
      </c>
      <c r="I1160" s="74">
        <f t="shared" si="251"/>
      </c>
      <c r="J1160" s="74">
        <f t="shared" si="254"/>
      </c>
      <c r="K1160" s="80" t="s">
        <v>280</v>
      </c>
      <c r="L1160" s="74">
        <f t="shared" si="255"/>
      </c>
      <c r="M1160" s="74">
        <f t="shared" ca="1" si="256"/>
      </c>
      <c r="N1160" s="74">
        <f ca="1">VLOOKUP(B1160,$C$7:$T1158,13,FALSE)</f>
      </c>
      <c r="O1160" s="74">
        <f t="shared" ca="1" si="257"/>
      </c>
      <c r="P1160" s="74">
        <f t="shared" ca="1" si="258"/>
      </c>
      <c r="Q1160" s="74">
        <f t="shared" ca="1" si="259"/>
      </c>
      <c r="R1160" s="74">
        <f t="shared" si="260"/>
      </c>
      <c r="S1160" s="74">
        <f t="shared" ca="1" si="261"/>
      </c>
      <c r="T1160" s="74">
        <f t="shared" si="262"/>
      </c>
    </row>
    <row r="1161" spans="2:20" x14ac:dyDescent="0.3">
      <c r="B1161" s="74">
        <f t="shared" ca="1" si="252"/>
      </c>
      <c r="C1161" s="78">
        <f>Кабельный_журнал!P1127</f>
      </c>
      <c r="D1161" s="74">
        <f t="shared" ca="1" si="253"/>
      </c>
      <c r="E1161" s="80" t="s">
        <v>279</v>
      </c>
      <c r="F1161" s="74">
        <f t="shared" ca="1" si="249"/>
      </c>
      <c r="G1161" s="74">
        <f t="shared" si="250"/>
      </c>
      <c r="H1161" s="80" t="s">
        <v>272</v>
      </c>
      <c r="I1161" s="74">
        <f t="shared" si="251"/>
      </c>
      <c r="J1161" s="74">
        <f t="shared" si="254"/>
      </c>
      <c r="K1161" s="80" t="s">
        <v>280</v>
      </c>
      <c r="L1161" s="74">
        <f t="shared" si="255"/>
      </c>
      <c r="M1161" s="74">
        <f t="shared" ca="1" si="256"/>
      </c>
      <c r="N1161" s="74">
        <f ca="1">VLOOKUP(B1161,$C$7:$T1159,13,FALSE)</f>
      </c>
      <c r="O1161" s="74">
        <f t="shared" ca="1" si="257"/>
      </c>
      <c r="P1161" s="74">
        <f t="shared" ca="1" si="258"/>
      </c>
      <c r="Q1161" s="74">
        <f t="shared" ca="1" si="259"/>
      </c>
      <c r="R1161" s="74">
        <f t="shared" si="260"/>
      </c>
      <c r="S1161" s="74">
        <f t="shared" ca="1" si="261"/>
      </c>
      <c r="T1161" s="74">
        <f t="shared" si="262"/>
      </c>
    </row>
    <row r="1162" spans="2:20" x14ac:dyDescent="0.3">
      <c r="B1162" s="74">
        <f t="shared" ca="1" si="252"/>
      </c>
      <c r="C1162" s="78">
        <f>Кабельный_журнал!P1128</f>
      </c>
      <c r="D1162" s="74">
        <f t="shared" ca="1" si="253"/>
      </c>
      <c r="E1162" s="80" t="s">
        <v>279</v>
      </c>
      <c r="F1162" s="74">
        <f t="shared" ca="1" si="249"/>
      </c>
      <c r="G1162" s="74">
        <f t="shared" si="250"/>
      </c>
      <c r="H1162" s="80" t="s">
        <v>272</v>
      </c>
      <c r="I1162" s="74">
        <f t="shared" si="251"/>
      </c>
      <c r="J1162" s="74">
        <f t="shared" si="254"/>
      </c>
      <c r="K1162" s="80" t="s">
        <v>280</v>
      </c>
      <c r="L1162" s="74">
        <f t="shared" si="255"/>
      </c>
      <c r="M1162" s="74">
        <f t="shared" ca="1" si="256"/>
      </c>
      <c r="N1162" s="74">
        <f ca="1">VLOOKUP(B1162,$C$7:$T1160,13,FALSE)</f>
      </c>
      <c r="O1162" s="74">
        <f t="shared" ca="1" si="257"/>
      </c>
      <c r="P1162" s="74">
        <f t="shared" ca="1" si="258"/>
      </c>
      <c r="Q1162" s="74">
        <f t="shared" ca="1" si="259"/>
      </c>
      <c r="R1162" s="74">
        <f t="shared" si="260"/>
      </c>
      <c r="S1162" s="74">
        <f t="shared" ca="1" si="261"/>
      </c>
      <c r="T1162" s="74">
        <f t="shared" si="262"/>
      </c>
    </row>
    <row r="1163" spans="2:20" x14ac:dyDescent="0.3">
      <c r="B1163" s="74">
        <f t="shared" ca="1" si="252"/>
      </c>
      <c r="C1163" s="78">
        <f>Кабельный_журнал!P1129</f>
      </c>
      <c r="D1163" s="74">
        <f t="shared" ca="1" si="253"/>
      </c>
      <c r="E1163" s="80" t="s">
        <v>279</v>
      </c>
      <c r="F1163" s="74">
        <f t="shared" ca="1" si="249"/>
      </c>
      <c r="G1163" s="74">
        <f t="shared" si="250"/>
      </c>
      <c r="H1163" s="80" t="s">
        <v>272</v>
      </c>
      <c r="I1163" s="74">
        <f t="shared" si="251"/>
      </c>
      <c r="J1163" s="74">
        <f t="shared" si="254"/>
      </c>
      <c r="K1163" s="80" t="s">
        <v>280</v>
      </c>
      <c r="L1163" s="74">
        <f t="shared" si="255"/>
      </c>
      <c r="M1163" s="74">
        <f t="shared" ca="1" si="256"/>
      </c>
      <c r="N1163" s="74">
        <f ca="1">VLOOKUP(B1163,$C$7:$T1161,13,FALSE)</f>
      </c>
      <c r="O1163" s="74">
        <f t="shared" ca="1" si="257"/>
      </c>
      <c r="P1163" s="74">
        <f t="shared" ca="1" si="258"/>
      </c>
      <c r="Q1163" s="74">
        <f t="shared" ca="1" si="259"/>
      </c>
      <c r="R1163" s="74">
        <f t="shared" si="260"/>
      </c>
      <c r="S1163" s="74">
        <f t="shared" ca="1" si="261"/>
      </c>
      <c r="T1163" s="74">
        <f t="shared" si="262"/>
      </c>
    </row>
    <row r="1164" spans="2:20" x14ac:dyDescent="0.3">
      <c r="B1164" s="74">
        <f t="shared" ca="1" si="252"/>
      </c>
      <c r="C1164" s="78">
        <f>Кабельный_журнал!P1130</f>
      </c>
      <c r="D1164" s="74">
        <f t="shared" ca="1" si="253"/>
      </c>
      <c r="E1164" s="80" t="s">
        <v>279</v>
      </c>
      <c r="F1164" s="74">
        <f t="shared" ca="1" si="249"/>
      </c>
      <c r="G1164" s="74">
        <f t="shared" si="250"/>
      </c>
      <c r="H1164" s="80" t="s">
        <v>272</v>
      </c>
      <c r="I1164" s="74">
        <f t="shared" si="251"/>
      </c>
      <c r="J1164" s="74">
        <f t="shared" si="254"/>
      </c>
      <c r="K1164" s="80" t="s">
        <v>280</v>
      </c>
      <c r="L1164" s="74">
        <f t="shared" si="255"/>
      </c>
      <c r="M1164" s="74">
        <f t="shared" ca="1" si="256"/>
      </c>
      <c r="N1164" s="74">
        <f ca="1">VLOOKUP(B1164,$C$7:$T1162,13,FALSE)</f>
      </c>
      <c r="O1164" s="74">
        <f t="shared" ca="1" si="257"/>
      </c>
      <c r="P1164" s="74">
        <f t="shared" ca="1" si="258"/>
      </c>
      <c r="Q1164" s="74">
        <f t="shared" ca="1" si="259"/>
      </c>
      <c r="R1164" s="74">
        <f t="shared" si="260"/>
      </c>
      <c r="S1164" s="74">
        <f t="shared" ca="1" si="261"/>
      </c>
      <c r="T1164" s="74">
        <f t="shared" si="262"/>
      </c>
    </row>
    <row r="1165" spans="2:20" x14ac:dyDescent="0.3">
      <c r="B1165" s="74">
        <f t="shared" ca="1" si="252"/>
      </c>
      <c r="C1165" s="78">
        <f>Кабельный_журнал!P1131</f>
      </c>
      <c r="D1165" s="74">
        <f t="shared" ca="1" si="253"/>
      </c>
      <c r="E1165" s="80" t="s">
        <v>279</v>
      </c>
      <c r="F1165" s="74">
        <f t="shared" ca="1" si="249"/>
      </c>
      <c r="G1165" s="74">
        <f t="shared" si="250"/>
      </c>
      <c r="H1165" s="80" t="s">
        <v>272</v>
      </c>
      <c r="I1165" s="74">
        <f t="shared" si="251"/>
      </c>
      <c r="J1165" s="74">
        <f t="shared" si="254"/>
      </c>
      <c r="K1165" s="80" t="s">
        <v>280</v>
      </c>
      <c r="L1165" s="74">
        <f t="shared" si="255"/>
      </c>
      <c r="M1165" s="74">
        <f t="shared" ca="1" si="256"/>
      </c>
      <c r="N1165" s="74">
        <f ca="1">VLOOKUP(B1165,$C$7:$T1163,13,FALSE)</f>
      </c>
      <c r="O1165" s="74">
        <f t="shared" ca="1" si="257"/>
      </c>
      <c r="P1165" s="74">
        <f t="shared" ca="1" si="258"/>
      </c>
      <c r="Q1165" s="74">
        <f t="shared" ca="1" si="259"/>
      </c>
      <c r="R1165" s="74">
        <f t="shared" si="260"/>
      </c>
      <c r="S1165" s="74">
        <f t="shared" ca="1" si="261"/>
      </c>
      <c r="T1165" s="74">
        <f t="shared" si="262"/>
      </c>
    </row>
    <row r="1166" spans="2:20" x14ac:dyDescent="0.3">
      <c r="B1166" s="74">
        <f t="shared" ca="1" si="252"/>
      </c>
      <c r="C1166" s="78">
        <f>Кабельный_журнал!P1132</f>
      </c>
      <c r="D1166" s="74">
        <f t="shared" ca="1" si="253"/>
      </c>
      <c r="E1166" s="80" t="s">
        <v>279</v>
      </c>
      <c r="F1166" s="74">
        <f t="shared" ca="1" si="249"/>
      </c>
      <c r="G1166" s="74">
        <f t="shared" si="250"/>
      </c>
      <c r="H1166" s="80" t="s">
        <v>272</v>
      </c>
      <c r="I1166" s="74">
        <f t="shared" si="251"/>
      </c>
      <c r="J1166" s="74">
        <f t="shared" si="254"/>
      </c>
      <c r="K1166" s="80" t="s">
        <v>280</v>
      </c>
      <c r="L1166" s="74">
        <f t="shared" si="255"/>
      </c>
      <c r="M1166" s="74">
        <f t="shared" ca="1" si="256"/>
      </c>
      <c r="N1166" s="74">
        <f ca="1">VLOOKUP(B1166,$C$7:$T1164,13,FALSE)</f>
      </c>
      <c r="O1166" s="74">
        <f t="shared" ca="1" si="257"/>
      </c>
      <c r="P1166" s="74">
        <f t="shared" ca="1" si="258"/>
      </c>
      <c r="Q1166" s="74">
        <f t="shared" ca="1" si="259"/>
      </c>
      <c r="R1166" s="74">
        <f t="shared" si="260"/>
      </c>
      <c r="S1166" s="74">
        <f t="shared" ca="1" si="261"/>
      </c>
      <c r="T1166" s="74">
        <f t="shared" si="262"/>
      </c>
    </row>
    <row r="1167" spans="2:20" x14ac:dyDescent="0.3">
      <c r="B1167" s="74">
        <f t="shared" ca="1" si="252"/>
      </c>
      <c r="C1167" s="78">
        <f>Кабельный_журнал!P1133</f>
      </c>
      <c r="D1167" s="74">
        <f t="shared" ca="1" si="253"/>
      </c>
      <c r="E1167" s="80" t="s">
        <v>279</v>
      </c>
      <c r="F1167" s="74">
        <f t="shared" ca="1" si="249"/>
      </c>
      <c r="G1167" s="74">
        <f t="shared" si="250"/>
      </c>
      <c r="H1167" s="80" t="s">
        <v>272</v>
      </c>
      <c r="I1167" s="74">
        <f t="shared" si="251"/>
      </c>
      <c r="J1167" s="74">
        <f t="shared" si="254"/>
      </c>
      <c r="K1167" s="80" t="s">
        <v>280</v>
      </c>
      <c r="L1167" s="74">
        <f t="shared" si="255"/>
      </c>
      <c r="M1167" s="74">
        <f t="shared" ca="1" si="256"/>
      </c>
      <c r="N1167" s="74">
        <f ca="1">VLOOKUP(B1167,$C$7:$T1165,13,FALSE)</f>
      </c>
      <c r="O1167" s="74">
        <f t="shared" ca="1" si="257"/>
      </c>
      <c r="P1167" s="74">
        <f t="shared" ca="1" si="258"/>
      </c>
      <c r="Q1167" s="74">
        <f t="shared" ca="1" si="259"/>
      </c>
      <c r="R1167" s="74">
        <f t="shared" si="260"/>
      </c>
      <c r="S1167" s="74">
        <f t="shared" ca="1" si="261"/>
      </c>
      <c r="T1167" s="74">
        <f t="shared" si="262"/>
      </c>
    </row>
    <row r="1168" spans="2:20" x14ac:dyDescent="0.3">
      <c r="B1168" s="74">
        <f t="shared" ca="1" si="252"/>
      </c>
      <c r="C1168" s="78">
        <f>Кабельный_журнал!P1134</f>
      </c>
      <c r="D1168" s="74">
        <f t="shared" ca="1" si="253"/>
      </c>
      <c r="E1168" s="80" t="s">
        <v>279</v>
      </c>
      <c r="F1168" s="74">
        <f t="shared" ca="1" si="249"/>
      </c>
      <c r="G1168" s="74">
        <f t="shared" si="250"/>
      </c>
      <c r="H1168" s="80" t="s">
        <v>272</v>
      </c>
      <c r="I1168" s="74">
        <f t="shared" si="251"/>
      </c>
      <c r="J1168" s="74">
        <f t="shared" si="254"/>
      </c>
      <c r="K1168" s="80" t="s">
        <v>280</v>
      </c>
      <c r="L1168" s="74">
        <f t="shared" si="255"/>
      </c>
      <c r="M1168" s="74">
        <f t="shared" ca="1" si="256"/>
      </c>
      <c r="N1168" s="74">
        <f ca="1">VLOOKUP(B1168,$C$7:$T1166,13,FALSE)</f>
      </c>
      <c r="O1168" s="74">
        <f t="shared" ca="1" si="257"/>
      </c>
      <c r="P1168" s="74">
        <f t="shared" ca="1" si="258"/>
      </c>
      <c r="Q1168" s="74">
        <f t="shared" ca="1" si="259"/>
      </c>
      <c r="R1168" s="74">
        <f t="shared" si="260"/>
      </c>
      <c r="S1168" s="74">
        <f t="shared" ca="1" si="261"/>
      </c>
      <c r="T1168" s="74">
        <f t="shared" si="262"/>
      </c>
    </row>
    <row r="1169" spans="2:20" x14ac:dyDescent="0.3">
      <c r="B1169" s="74">
        <f t="shared" ca="1" si="252"/>
      </c>
      <c r="C1169" s="78">
        <f>Кабельный_журнал!P1135</f>
      </c>
      <c r="D1169" s="74">
        <f t="shared" ca="1" si="253"/>
      </c>
      <c r="E1169" s="80" t="s">
        <v>279</v>
      </c>
      <c r="F1169" s="74">
        <f t="shared" ca="1" si="249"/>
      </c>
      <c r="G1169" s="74">
        <f t="shared" si="250"/>
      </c>
      <c r="H1169" s="80" t="s">
        <v>272</v>
      </c>
      <c r="I1169" s="74">
        <f t="shared" si="251"/>
      </c>
      <c r="J1169" s="74">
        <f t="shared" si="254"/>
      </c>
      <c r="K1169" s="80" t="s">
        <v>280</v>
      </c>
      <c r="L1169" s="74">
        <f t="shared" si="255"/>
      </c>
      <c r="M1169" s="74">
        <f t="shared" ca="1" si="256"/>
      </c>
      <c r="N1169" s="74">
        <f ca="1">VLOOKUP(B1169,$C$7:$T1167,13,FALSE)</f>
      </c>
      <c r="O1169" s="74">
        <f t="shared" ca="1" si="257"/>
      </c>
      <c r="P1169" s="74">
        <f t="shared" ca="1" si="258"/>
      </c>
      <c r="Q1169" s="74">
        <f t="shared" ca="1" si="259"/>
      </c>
      <c r="R1169" s="74">
        <f t="shared" si="260"/>
      </c>
      <c r="S1169" s="74">
        <f t="shared" ca="1" si="261"/>
      </c>
      <c r="T1169" s="74">
        <f t="shared" si="262"/>
      </c>
    </row>
    <row r="1170" spans="2:20" x14ac:dyDescent="0.3">
      <c r="B1170" s="74">
        <f t="shared" ca="1" si="252"/>
      </c>
      <c r="C1170" s="78">
        <f>Кабельный_журнал!P1136</f>
      </c>
      <c r="D1170" s="74">
        <f t="shared" ca="1" si="253"/>
      </c>
      <c r="E1170" s="80" t="s">
        <v>279</v>
      </c>
      <c r="F1170" s="74">
        <f t="shared" ca="1" si="249"/>
      </c>
      <c r="G1170" s="74">
        <f t="shared" si="250"/>
      </c>
      <c r="H1170" s="80" t="s">
        <v>272</v>
      </c>
      <c r="I1170" s="74">
        <f t="shared" si="251"/>
      </c>
      <c r="J1170" s="74">
        <f t="shared" si="254"/>
      </c>
      <c r="K1170" s="80" t="s">
        <v>280</v>
      </c>
      <c r="L1170" s="74">
        <f t="shared" si="255"/>
      </c>
      <c r="M1170" s="74">
        <f t="shared" ca="1" si="256"/>
      </c>
      <c r="N1170" s="74">
        <f ca="1">VLOOKUP(B1170,$C$7:$T1168,13,FALSE)</f>
      </c>
      <c r="O1170" s="74">
        <f t="shared" ca="1" si="257"/>
      </c>
      <c r="P1170" s="74">
        <f t="shared" ca="1" si="258"/>
      </c>
      <c r="Q1170" s="74">
        <f t="shared" ca="1" si="259"/>
      </c>
      <c r="R1170" s="74">
        <f t="shared" si="260"/>
      </c>
      <c r="S1170" s="74">
        <f t="shared" ca="1" si="261"/>
      </c>
      <c r="T1170" s="74">
        <f t="shared" si="262"/>
      </c>
    </row>
    <row r="1171" spans="2:20" x14ac:dyDescent="0.3">
      <c r="B1171" s="74">
        <f t="shared" ca="1" si="252"/>
      </c>
      <c r="C1171" s="78">
        <f>Кабельный_журнал!P1137</f>
      </c>
      <c r="D1171" s="74">
        <f t="shared" ca="1" si="253"/>
      </c>
      <c r="E1171" s="80" t="s">
        <v>279</v>
      </c>
      <c r="F1171" s="74">
        <f t="shared" ca="1" si="249"/>
      </c>
      <c r="G1171" s="74">
        <f t="shared" si="250"/>
      </c>
      <c r="H1171" s="80" t="s">
        <v>272</v>
      </c>
      <c r="I1171" s="74">
        <f t="shared" si="251"/>
      </c>
      <c r="J1171" s="74">
        <f t="shared" si="254"/>
      </c>
      <c r="K1171" s="80" t="s">
        <v>280</v>
      </c>
      <c r="L1171" s="74">
        <f t="shared" si="255"/>
      </c>
      <c r="M1171" s="74">
        <f t="shared" ca="1" si="256"/>
      </c>
      <c r="N1171" s="74">
        <f ca="1">VLOOKUP(B1171,$C$7:$T1169,13,FALSE)</f>
      </c>
      <c r="O1171" s="74">
        <f t="shared" ca="1" si="257"/>
      </c>
      <c r="P1171" s="74">
        <f t="shared" ca="1" si="258"/>
      </c>
      <c r="Q1171" s="74">
        <f t="shared" ca="1" si="259"/>
      </c>
      <c r="R1171" s="74">
        <f t="shared" si="260"/>
      </c>
      <c r="S1171" s="74">
        <f t="shared" ca="1" si="261"/>
      </c>
      <c r="T1171" s="74">
        <f t="shared" si="262"/>
      </c>
    </row>
    <row r="1172" spans="2:20" x14ac:dyDescent="0.3">
      <c r="B1172" s="74">
        <f t="shared" ca="1" si="252"/>
      </c>
      <c r="C1172" s="78">
        <f>Кабельный_журнал!P1138</f>
      </c>
      <c r="D1172" s="74">
        <f t="shared" ca="1" si="253"/>
      </c>
      <c r="E1172" s="80" t="s">
        <v>279</v>
      </c>
      <c r="F1172" s="74">
        <f t="shared" ca="1" si="249"/>
      </c>
      <c r="G1172" s="74">
        <f t="shared" si="250"/>
      </c>
      <c r="H1172" s="80" t="s">
        <v>272</v>
      </c>
      <c r="I1172" s="74">
        <f t="shared" si="251"/>
      </c>
      <c r="J1172" s="74">
        <f t="shared" si="254"/>
      </c>
      <c r="K1172" s="80" t="s">
        <v>280</v>
      </c>
      <c r="L1172" s="74">
        <f t="shared" si="255"/>
      </c>
      <c r="M1172" s="74">
        <f t="shared" ca="1" si="256"/>
      </c>
      <c r="N1172" s="74">
        <f ca="1">VLOOKUP(B1172,$C$7:$T1170,13,FALSE)</f>
      </c>
      <c r="O1172" s="74">
        <f t="shared" ca="1" si="257"/>
      </c>
      <c r="P1172" s="74">
        <f t="shared" ca="1" si="258"/>
      </c>
      <c r="Q1172" s="74">
        <f t="shared" ca="1" si="259"/>
      </c>
      <c r="R1172" s="74">
        <f t="shared" si="260"/>
      </c>
      <c r="S1172" s="74">
        <f t="shared" ca="1" si="261"/>
      </c>
      <c r="T1172" s="74">
        <f t="shared" si="262"/>
      </c>
    </row>
    <row r="1173" spans="2:20" x14ac:dyDescent="0.3">
      <c r="B1173" s="74">
        <f t="shared" ca="1" si="252"/>
      </c>
      <c r="C1173" s="78">
        <f>Кабельный_журнал!P1139</f>
      </c>
      <c r="D1173" s="74">
        <f t="shared" ca="1" si="253"/>
      </c>
      <c r="E1173" s="80" t="s">
        <v>279</v>
      </c>
      <c r="F1173" s="74">
        <f t="shared" ca="1" si="249"/>
      </c>
      <c r="G1173" s="74">
        <f t="shared" si="250"/>
      </c>
      <c r="H1173" s="80" t="s">
        <v>272</v>
      </c>
      <c r="I1173" s="74">
        <f t="shared" si="251"/>
      </c>
      <c r="J1173" s="74">
        <f t="shared" si="254"/>
      </c>
      <c r="K1173" s="80" t="s">
        <v>280</v>
      </c>
      <c r="L1173" s="74">
        <f t="shared" si="255"/>
      </c>
      <c r="M1173" s="74">
        <f t="shared" ca="1" si="256"/>
      </c>
      <c r="N1173" s="74">
        <f ca="1">VLOOKUP(B1173,$C$7:$T1171,13,FALSE)</f>
      </c>
      <c r="O1173" s="74">
        <f t="shared" ca="1" si="257"/>
      </c>
      <c r="P1173" s="74">
        <f t="shared" ca="1" si="258"/>
      </c>
      <c r="Q1173" s="74">
        <f t="shared" ca="1" si="259"/>
      </c>
      <c r="R1173" s="74">
        <f t="shared" si="260"/>
      </c>
      <c r="S1173" s="74">
        <f t="shared" ca="1" si="261"/>
      </c>
      <c r="T1173" s="74">
        <f t="shared" si="262"/>
      </c>
    </row>
    <row r="1174" spans="2:20" x14ac:dyDescent="0.3">
      <c r="B1174" s="74">
        <f t="shared" ca="1" si="252"/>
      </c>
      <c r="C1174" s="78">
        <f>Кабельный_журнал!P1140</f>
      </c>
      <c r="D1174" s="74">
        <f t="shared" ca="1" si="253"/>
      </c>
      <c r="E1174" s="80" t="s">
        <v>279</v>
      </c>
      <c r="F1174" s="74">
        <f t="shared" ca="1" si="249"/>
      </c>
      <c r="G1174" s="74">
        <f t="shared" si="250"/>
      </c>
      <c r="H1174" s="80" t="s">
        <v>272</v>
      </c>
      <c r="I1174" s="74">
        <f t="shared" si="251"/>
      </c>
      <c r="J1174" s="74">
        <f t="shared" si="254"/>
      </c>
      <c r="K1174" s="80" t="s">
        <v>280</v>
      </c>
      <c r="L1174" s="74">
        <f t="shared" si="255"/>
      </c>
      <c r="M1174" s="74">
        <f t="shared" ca="1" si="256"/>
      </c>
      <c r="N1174" s="74">
        <f ca="1">VLOOKUP(B1174,$C$7:$T1172,13,FALSE)</f>
      </c>
      <c r="O1174" s="74">
        <f t="shared" ca="1" si="257"/>
      </c>
      <c r="P1174" s="74">
        <f t="shared" ca="1" si="258"/>
      </c>
      <c r="Q1174" s="74">
        <f t="shared" ca="1" si="259"/>
      </c>
      <c r="R1174" s="74">
        <f t="shared" si="260"/>
      </c>
      <c r="S1174" s="74">
        <f t="shared" ca="1" si="261"/>
      </c>
      <c r="T1174" s="74">
        <f t="shared" si="262"/>
      </c>
    </row>
    <row r="1175" spans="2:20" x14ac:dyDescent="0.3">
      <c r="B1175" s="74">
        <f t="shared" ca="1" si="252"/>
      </c>
      <c r="C1175" s="78">
        <f>Кабельный_журнал!P1141</f>
      </c>
      <c r="D1175" s="74">
        <f t="shared" ca="1" si="253"/>
      </c>
      <c r="E1175" s="80" t="s">
        <v>279</v>
      </c>
      <c r="F1175" s="74">
        <f t="shared" ca="1" si="249"/>
      </c>
      <c r="G1175" s="74">
        <f t="shared" si="250"/>
      </c>
      <c r="H1175" s="80" t="s">
        <v>272</v>
      </c>
      <c r="I1175" s="74">
        <f t="shared" si="251"/>
      </c>
      <c r="J1175" s="74">
        <f t="shared" si="254"/>
      </c>
      <c r="K1175" s="80" t="s">
        <v>280</v>
      </c>
      <c r="L1175" s="74">
        <f t="shared" si="255"/>
      </c>
      <c r="M1175" s="74">
        <f t="shared" ca="1" si="256"/>
      </c>
      <c r="N1175" s="74">
        <f ca="1">VLOOKUP(B1175,$C$7:$T1173,13,FALSE)</f>
      </c>
      <c r="O1175" s="74">
        <f t="shared" ca="1" si="257"/>
      </c>
      <c r="P1175" s="74">
        <f t="shared" ca="1" si="258"/>
      </c>
      <c r="Q1175" s="74">
        <f t="shared" ca="1" si="259"/>
      </c>
      <c r="R1175" s="74">
        <f t="shared" si="260"/>
      </c>
      <c r="S1175" s="74">
        <f t="shared" ca="1" si="261"/>
      </c>
      <c r="T1175" s="74">
        <f t="shared" si="262"/>
      </c>
    </row>
    <row r="1176" spans="2:20" x14ac:dyDescent="0.3">
      <c r="B1176" s="74">
        <f t="shared" ca="1" si="252"/>
      </c>
      <c r="C1176" s="78">
        <f>Кабельный_журнал!P1142</f>
      </c>
      <c r="D1176" s="74">
        <f t="shared" ca="1" si="253"/>
      </c>
      <c r="E1176" s="80" t="s">
        <v>279</v>
      </c>
      <c r="F1176" s="74">
        <f t="shared" ca="1" si="249"/>
      </c>
      <c r="G1176" s="74">
        <f t="shared" si="250"/>
      </c>
      <c r="H1176" s="80" t="s">
        <v>272</v>
      </c>
      <c r="I1176" s="74">
        <f t="shared" si="251"/>
      </c>
      <c r="J1176" s="74">
        <f t="shared" si="254"/>
      </c>
      <c r="K1176" s="80" t="s">
        <v>280</v>
      </c>
      <c r="L1176" s="74">
        <f t="shared" si="255"/>
      </c>
      <c r="M1176" s="74">
        <f t="shared" ca="1" si="256"/>
      </c>
      <c r="N1176" s="74">
        <f ca="1">VLOOKUP(B1176,$C$7:$T1174,13,FALSE)</f>
      </c>
      <c r="O1176" s="74">
        <f t="shared" ca="1" si="257"/>
      </c>
      <c r="P1176" s="74">
        <f t="shared" ca="1" si="258"/>
      </c>
      <c r="Q1176" s="74">
        <f t="shared" ca="1" si="259"/>
      </c>
      <c r="R1176" s="74">
        <f t="shared" si="260"/>
      </c>
      <c r="S1176" s="74">
        <f t="shared" ca="1" si="261"/>
      </c>
      <c r="T1176" s="74">
        <f t="shared" si="262"/>
      </c>
    </row>
    <row r="1177" spans="2:20" x14ac:dyDescent="0.3">
      <c r="B1177" s="74">
        <f t="shared" ca="1" si="252"/>
      </c>
      <c r="C1177" s="78">
        <f>Кабельный_журнал!P1143</f>
      </c>
      <c r="D1177" s="74">
        <f t="shared" ca="1" si="253"/>
      </c>
      <c r="E1177" s="80" t="s">
        <v>279</v>
      </c>
      <c r="F1177" s="74">
        <f t="shared" ca="1" si="249"/>
      </c>
      <c r="G1177" s="74">
        <f t="shared" si="250"/>
      </c>
      <c r="H1177" s="80" t="s">
        <v>272</v>
      </c>
      <c r="I1177" s="74">
        <f t="shared" si="251"/>
      </c>
      <c r="J1177" s="74">
        <f t="shared" si="254"/>
      </c>
      <c r="K1177" s="80" t="s">
        <v>280</v>
      </c>
      <c r="L1177" s="74">
        <f t="shared" si="255"/>
      </c>
      <c r="M1177" s="74">
        <f t="shared" ca="1" si="256"/>
      </c>
      <c r="N1177" s="74">
        <f ca="1">VLOOKUP(B1177,$C$7:$T1175,13,FALSE)</f>
      </c>
      <c r="O1177" s="74">
        <f t="shared" ca="1" si="257"/>
      </c>
      <c r="P1177" s="74">
        <f t="shared" ca="1" si="258"/>
      </c>
      <c r="Q1177" s="74">
        <f t="shared" ca="1" si="259"/>
      </c>
      <c r="R1177" s="74">
        <f t="shared" si="260"/>
      </c>
      <c r="S1177" s="74">
        <f t="shared" ca="1" si="261"/>
      </c>
      <c r="T1177" s="74">
        <f t="shared" si="262"/>
      </c>
    </row>
    <row r="1178" spans="2:20" x14ac:dyDescent="0.3">
      <c r="B1178" s="74">
        <f t="shared" ca="1" si="252"/>
      </c>
      <c r="C1178" s="78">
        <f>Кабельный_журнал!P1144</f>
      </c>
      <c r="D1178" s="74">
        <f t="shared" ca="1" si="253"/>
      </c>
      <c r="E1178" s="80" t="s">
        <v>279</v>
      </c>
      <c r="F1178" s="74">
        <f t="shared" ca="1" si="249"/>
      </c>
      <c r="G1178" s="74">
        <f t="shared" si="250"/>
      </c>
      <c r="H1178" s="80" t="s">
        <v>272</v>
      </c>
      <c r="I1178" s="74">
        <f t="shared" si="251"/>
      </c>
      <c r="J1178" s="74">
        <f t="shared" si="254"/>
      </c>
      <c r="K1178" s="80" t="s">
        <v>280</v>
      </c>
      <c r="L1178" s="74">
        <f t="shared" si="255"/>
      </c>
      <c r="M1178" s="74">
        <f t="shared" ca="1" si="256"/>
      </c>
      <c r="N1178" s="74">
        <f ca="1">VLOOKUP(B1178,$C$7:$T1176,13,FALSE)</f>
      </c>
      <c r="O1178" s="74">
        <f t="shared" ca="1" si="257"/>
      </c>
      <c r="P1178" s="74">
        <f t="shared" ca="1" si="258"/>
      </c>
      <c r="Q1178" s="74">
        <f t="shared" ca="1" si="259"/>
      </c>
      <c r="R1178" s="74">
        <f t="shared" si="260"/>
      </c>
      <c r="S1178" s="74">
        <f t="shared" ca="1" si="261"/>
      </c>
      <c r="T1178" s="74">
        <f t="shared" si="262"/>
      </c>
    </row>
    <row r="1179" spans="2:20" x14ac:dyDescent="0.3">
      <c r="B1179" s="74">
        <f t="shared" ca="1" si="252"/>
      </c>
      <c r="C1179" s="78">
        <f>Кабельный_журнал!P1145</f>
      </c>
      <c r="D1179" s="74">
        <f t="shared" ca="1" si="253"/>
      </c>
      <c r="E1179" s="80" t="s">
        <v>279</v>
      </c>
      <c r="F1179" s="74">
        <f t="shared" ca="1" si="249"/>
      </c>
      <c r="G1179" s="74">
        <f t="shared" si="250"/>
      </c>
      <c r="H1179" s="80" t="s">
        <v>272</v>
      </c>
      <c r="I1179" s="74">
        <f t="shared" si="251"/>
      </c>
      <c r="J1179" s="74">
        <f t="shared" si="254"/>
      </c>
      <c r="K1179" s="80" t="s">
        <v>280</v>
      </c>
      <c r="L1179" s="74">
        <f t="shared" si="255"/>
      </c>
      <c r="M1179" s="74">
        <f t="shared" ca="1" si="256"/>
      </c>
      <c r="N1179" s="74">
        <f ca="1">VLOOKUP(B1179,$C$7:$T1177,13,FALSE)</f>
      </c>
      <c r="O1179" s="74">
        <f t="shared" ca="1" si="257"/>
      </c>
      <c r="P1179" s="74">
        <f t="shared" ca="1" si="258"/>
      </c>
      <c r="Q1179" s="74">
        <f t="shared" ca="1" si="259"/>
      </c>
      <c r="R1179" s="74">
        <f t="shared" si="260"/>
      </c>
      <c r="S1179" s="74">
        <f t="shared" ca="1" si="261"/>
      </c>
      <c r="T1179" s="74">
        <f t="shared" si="262"/>
      </c>
    </row>
    <row r="1180" spans="2:20" x14ac:dyDescent="0.3">
      <c r="B1180" s="74">
        <f t="shared" ca="1" si="252"/>
      </c>
      <c r="C1180" s="78">
        <f>Кабельный_журнал!P1146</f>
      </c>
      <c r="D1180" s="74">
        <f t="shared" ca="1" si="253"/>
      </c>
      <c r="E1180" s="80" t="s">
        <v>279</v>
      </c>
      <c r="F1180" s="74">
        <f t="shared" ca="1" si="249"/>
      </c>
      <c r="G1180" s="74">
        <f t="shared" si="250"/>
      </c>
      <c r="H1180" s="80" t="s">
        <v>272</v>
      </c>
      <c r="I1180" s="74">
        <f t="shared" si="251"/>
      </c>
      <c r="J1180" s="74">
        <f t="shared" si="254"/>
      </c>
      <c r="K1180" s="80" t="s">
        <v>280</v>
      </c>
      <c r="L1180" s="74">
        <f t="shared" si="255"/>
      </c>
      <c r="M1180" s="74">
        <f t="shared" ca="1" si="256"/>
      </c>
      <c r="N1180" s="74">
        <f ca="1">VLOOKUP(B1180,$C$7:$T1178,13,FALSE)</f>
      </c>
      <c r="O1180" s="74">
        <f t="shared" ca="1" si="257"/>
      </c>
      <c r="P1180" s="74">
        <f t="shared" ca="1" si="258"/>
      </c>
      <c r="Q1180" s="74">
        <f t="shared" ca="1" si="259"/>
      </c>
      <c r="R1180" s="74">
        <f t="shared" si="260"/>
      </c>
      <c r="S1180" s="74">
        <f t="shared" ca="1" si="261"/>
      </c>
      <c r="T1180" s="74">
        <f t="shared" si="262"/>
      </c>
    </row>
    <row r="1181" spans="2:20" x14ac:dyDescent="0.3">
      <c r="B1181" s="74">
        <f t="shared" ca="1" si="252"/>
      </c>
      <c r="C1181" s="78">
        <f>Кабельный_журнал!P1147</f>
      </c>
      <c r="D1181" s="74">
        <f t="shared" ca="1" si="253"/>
      </c>
      <c r="E1181" s="80" t="s">
        <v>279</v>
      </c>
      <c r="F1181" s="74">
        <f t="shared" ca="1" si="249"/>
      </c>
      <c r="G1181" s="74">
        <f t="shared" si="250"/>
      </c>
      <c r="H1181" s="80" t="s">
        <v>272</v>
      </c>
      <c r="I1181" s="74">
        <f t="shared" si="251"/>
      </c>
      <c r="J1181" s="74">
        <f t="shared" si="254"/>
      </c>
      <c r="K1181" s="80" t="s">
        <v>280</v>
      </c>
      <c r="L1181" s="74">
        <f t="shared" si="255"/>
      </c>
      <c r="M1181" s="74">
        <f t="shared" ca="1" si="256"/>
      </c>
      <c r="N1181" s="74">
        <f ca="1">VLOOKUP(B1181,$C$7:$T1179,13,FALSE)</f>
      </c>
      <c r="O1181" s="74">
        <f t="shared" ca="1" si="257"/>
      </c>
      <c r="P1181" s="74">
        <f t="shared" ca="1" si="258"/>
      </c>
      <c r="Q1181" s="74">
        <f t="shared" ca="1" si="259"/>
      </c>
      <c r="R1181" s="74">
        <f t="shared" si="260"/>
      </c>
      <c r="S1181" s="74">
        <f t="shared" ca="1" si="261"/>
      </c>
      <c r="T1181" s="74">
        <f t="shared" si="262"/>
      </c>
    </row>
    <row r="1182" spans="2:20" x14ac:dyDescent="0.3">
      <c r="B1182" s="74">
        <f t="shared" ca="1" si="252"/>
      </c>
      <c r="C1182" s="78">
        <f>Кабельный_журнал!P1148</f>
      </c>
      <c r="D1182" s="74">
        <f t="shared" ca="1" si="253"/>
      </c>
      <c r="E1182" s="80" t="s">
        <v>279</v>
      </c>
      <c r="F1182" s="74">
        <f t="shared" ca="1" si="249"/>
      </c>
      <c r="G1182" s="74">
        <f t="shared" si="250"/>
      </c>
      <c r="H1182" s="80" t="s">
        <v>272</v>
      </c>
      <c r="I1182" s="74">
        <f t="shared" si="251"/>
      </c>
      <c r="J1182" s="74">
        <f t="shared" si="254"/>
      </c>
      <c r="K1182" s="80" t="s">
        <v>280</v>
      </c>
      <c r="L1182" s="74">
        <f t="shared" si="255"/>
      </c>
      <c r="M1182" s="74">
        <f t="shared" ca="1" si="256"/>
      </c>
      <c r="N1182" s="74">
        <f ca="1">VLOOKUP(B1182,$C$7:$T1180,13,FALSE)</f>
      </c>
      <c r="O1182" s="74">
        <f t="shared" ca="1" si="257"/>
      </c>
      <c r="P1182" s="74">
        <f t="shared" ca="1" si="258"/>
      </c>
      <c r="Q1182" s="74">
        <f t="shared" ca="1" si="259"/>
      </c>
      <c r="R1182" s="74">
        <f t="shared" si="260"/>
      </c>
      <c r="S1182" s="74">
        <f t="shared" ca="1" si="261"/>
      </c>
      <c r="T1182" s="74">
        <f t="shared" si="262"/>
      </c>
    </row>
    <row r="1183" spans="2:20" x14ac:dyDescent="0.3">
      <c r="B1183" s="74">
        <f t="shared" ca="1" si="252"/>
      </c>
      <c r="C1183" s="78">
        <f>Кабельный_журнал!P1149</f>
      </c>
      <c r="D1183" s="74">
        <f t="shared" ca="1" si="253"/>
      </c>
      <c r="E1183" s="80" t="s">
        <v>279</v>
      </c>
      <c r="F1183" s="74">
        <f t="shared" ca="1" si="249"/>
      </c>
      <c r="G1183" s="74">
        <f t="shared" si="250"/>
      </c>
      <c r="H1183" s="80" t="s">
        <v>272</v>
      </c>
      <c r="I1183" s="74">
        <f t="shared" si="251"/>
      </c>
      <c r="J1183" s="74">
        <f t="shared" si="254"/>
      </c>
      <c r="K1183" s="80" t="s">
        <v>280</v>
      </c>
      <c r="L1183" s="74">
        <f t="shared" si="255"/>
      </c>
      <c r="M1183" s="74">
        <f t="shared" ca="1" si="256"/>
      </c>
      <c r="N1183" s="74">
        <f ca="1">VLOOKUP(B1183,$C$7:$T1181,13,FALSE)</f>
      </c>
      <c r="O1183" s="74">
        <f t="shared" ca="1" si="257"/>
      </c>
      <c r="P1183" s="74">
        <f t="shared" ca="1" si="258"/>
      </c>
      <c r="Q1183" s="74">
        <f t="shared" ca="1" si="259"/>
      </c>
      <c r="R1183" s="74">
        <f t="shared" si="260"/>
      </c>
      <c r="S1183" s="74">
        <f t="shared" ca="1" si="261"/>
      </c>
      <c r="T1183" s="74">
        <f t="shared" si="262"/>
      </c>
    </row>
    <row r="1184" spans="2:20" x14ac:dyDescent="0.3">
      <c r="B1184" s="74">
        <f t="shared" ca="1" si="252"/>
      </c>
      <c r="C1184" s="78">
        <f>Кабельный_журнал!P1150</f>
      </c>
      <c r="D1184" s="74">
        <f t="shared" ca="1" si="253"/>
      </c>
      <c r="E1184" s="80" t="s">
        <v>279</v>
      </c>
      <c r="F1184" s="74">
        <f t="shared" ca="1" si="249"/>
      </c>
      <c r="G1184" s="74">
        <f t="shared" si="250"/>
      </c>
      <c r="H1184" s="80" t="s">
        <v>272</v>
      </c>
      <c r="I1184" s="74">
        <f t="shared" si="251"/>
      </c>
      <c r="J1184" s="74">
        <f t="shared" si="254"/>
      </c>
      <c r="K1184" s="80" t="s">
        <v>280</v>
      </c>
      <c r="L1184" s="74">
        <f t="shared" si="255"/>
      </c>
      <c r="M1184" s="74">
        <f t="shared" ca="1" si="256"/>
      </c>
      <c r="N1184" s="74">
        <f ca="1">VLOOKUP(B1184,$C$7:$T1182,13,FALSE)</f>
      </c>
      <c r="O1184" s="74">
        <f t="shared" ca="1" si="257"/>
      </c>
      <c r="P1184" s="74">
        <f t="shared" ca="1" si="258"/>
      </c>
      <c r="Q1184" s="74">
        <f t="shared" ca="1" si="259"/>
      </c>
      <c r="R1184" s="74">
        <f t="shared" si="260"/>
      </c>
      <c r="S1184" s="74">
        <f t="shared" ca="1" si="261"/>
      </c>
      <c r="T1184" s="74">
        <f t="shared" si="262"/>
      </c>
    </row>
    <row r="1185" spans="2:20" x14ac:dyDescent="0.3">
      <c r="B1185" s="74">
        <f t="shared" ca="1" si="252"/>
      </c>
      <c r="C1185" s="78">
        <f>Кабельный_журнал!P1151</f>
      </c>
      <c r="D1185" s="74">
        <f t="shared" ca="1" si="253"/>
      </c>
      <c r="E1185" s="80" t="s">
        <v>279</v>
      </c>
      <c r="F1185" s="74">
        <f t="shared" ca="1" si="249"/>
      </c>
      <c r="G1185" s="74">
        <f t="shared" si="250"/>
      </c>
      <c r="H1185" s="80" t="s">
        <v>272</v>
      </c>
      <c r="I1185" s="74">
        <f t="shared" si="251"/>
      </c>
      <c r="J1185" s="74">
        <f t="shared" si="254"/>
      </c>
      <c r="K1185" s="80" t="s">
        <v>280</v>
      </c>
      <c r="L1185" s="74">
        <f t="shared" si="255"/>
      </c>
      <c r="M1185" s="74">
        <f t="shared" ca="1" si="256"/>
      </c>
      <c r="N1185" s="74">
        <f ca="1">VLOOKUP(B1185,$C$7:$T1183,13,FALSE)</f>
      </c>
      <c r="O1185" s="74">
        <f t="shared" ca="1" si="257"/>
      </c>
      <c r="P1185" s="74">
        <f t="shared" ca="1" si="258"/>
      </c>
      <c r="Q1185" s="74">
        <f t="shared" ca="1" si="259"/>
      </c>
      <c r="R1185" s="74">
        <f t="shared" si="260"/>
      </c>
      <c r="S1185" s="74">
        <f t="shared" ca="1" si="261"/>
      </c>
      <c r="T1185" s="74">
        <f t="shared" si="262"/>
      </c>
    </row>
    <row r="1186" spans="2:20" x14ac:dyDescent="0.3">
      <c r="B1186" s="74">
        <f t="shared" ca="1" si="252"/>
      </c>
      <c r="C1186" s="78">
        <f>Кабельный_журнал!P1152</f>
      </c>
      <c r="D1186" s="74">
        <f t="shared" ca="1" si="253"/>
      </c>
      <c r="E1186" s="80" t="s">
        <v>279</v>
      </c>
      <c r="F1186" s="74">
        <f t="shared" ca="1" si="249"/>
      </c>
      <c r="G1186" s="74">
        <f t="shared" si="250"/>
      </c>
      <c r="H1186" s="80" t="s">
        <v>272</v>
      </c>
      <c r="I1186" s="74">
        <f t="shared" si="251"/>
      </c>
      <c r="J1186" s="74">
        <f t="shared" si="254"/>
      </c>
      <c r="K1186" s="80" t="s">
        <v>280</v>
      </c>
      <c r="L1186" s="74">
        <f t="shared" si="255"/>
      </c>
      <c r="M1186" s="74">
        <f t="shared" ca="1" si="256"/>
      </c>
      <c r="N1186" s="74">
        <f ca="1">VLOOKUP(B1186,$C$7:$T1184,13,FALSE)</f>
      </c>
      <c r="O1186" s="74">
        <f t="shared" ca="1" si="257"/>
      </c>
      <c r="P1186" s="74">
        <f t="shared" ca="1" si="258"/>
      </c>
      <c r="Q1186" s="74">
        <f t="shared" ca="1" si="259"/>
      </c>
      <c r="R1186" s="74">
        <f t="shared" si="260"/>
      </c>
      <c r="S1186" s="74">
        <f t="shared" ca="1" si="261"/>
      </c>
      <c r="T1186" s="74">
        <f t="shared" si="262"/>
      </c>
    </row>
    <row r="1187" spans="2:20" x14ac:dyDescent="0.3">
      <c r="B1187" s="74">
        <f t="shared" ca="1" si="252"/>
      </c>
      <c r="C1187" s="78">
        <f>Кабельный_журнал!P1153</f>
      </c>
      <c r="D1187" s="74">
        <f t="shared" ca="1" si="253"/>
      </c>
      <c r="E1187" s="80" t="s">
        <v>279</v>
      </c>
      <c r="F1187" s="74">
        <f t="shared" ca="1" si="249"/>
      </c>
      <c r="G1187" s="74">
        <f t="shared" si="250"/>
      </c>
      <c r="H1187" s="80" t="s">
        <v>272</v>
      </c>
      <c r="I1187" s="74">
        <f t="shared" si="251"/>
      </c>
      <c r="J1187" s="74">
        <f t="shared" si="254"/>
      </c>
      <c r="K1187" s="80" t="s">
        <v>280</v>
      </c>
      <c r="L1187" s="74">
        <f t="shared" si="255"/>
      </c>
      <c r="M1187" s="74">
        <f t="shared" ca="1" si="256"/>
      </c>
      <c r="N1187" s="74">
        <f ca="1">VLOOKUP(B1187,$C$7:$T1185,13,FALSE)</f>
      </c>
      <c r="O1187" s="74">
        <f t="shared" ca="1" si="257"/>
      </c>
      <c r="P1187" s="74">
        <f t="shared" ca="1" si="258"/>
      </c>
      <c r="Q1187" s="74">
        <f t="shared" ca="1" si="259"/>
      </c>
      <c r="R1187" s="74">
        <f t="shared" si="260"/>
      </c>
      <c r="S1187" s="74">
        <f t="shared" ca="1" si="261"/>
      </c>
      <c r="T1187" s="74">
        <f t="shared" si="262"/>
      </c>
    </row>
    <row r="1188" spans="2:20" x14ac:dyDescent="0.3">
      <c r="B1188" s="74">
        <f t="shared" ca="1" si="252"/>
      </c>
      <c r="C1188" s="78">
        <f>Кабельный_журнал!P1154</f>
      </c>
      <c r="D1188" s="74">
        <f t="shared" ca="1" si="253"/>
      </c>
      <c r="E1188" s="80" t="s">
        <v>279</v>
      </c>
      <c r="F1188" s="74">
        <f t="shared" ca="1" si="249"/>
      </c>
      <c r="G1188" s="74">
        <f t="shared" si="250"/>
      </c>
      <c r="H1188" s="80" t="s">
        <v>272</v>
      </c>
      <c r="I1188" s="74">
        <f t="shared" si="251"/>
      </c>
      <c r="J1188" s="74">
        <f t="shared" si="254"/>
      </c>
      <c r="K1188" s="80" t="s">
        <v>280</v>
      </c>
      <c r="L1188" s="74">
        <f t="shared" si="255"/>
      </c>
      <c r="M1188" s="74">
        <f t="shared" ca="1" si="256"/>
      </c>
      <c r="N1188" s="74">
        <f ca="1">VLOOKUP(B1188,$C$7:$T1186,13,FALSE)</f>
      </c>
      <c r="O1188" s="74">
        <f t="shared" ca="1" si="257"/>
      </c>
      <c r="P1188" s="74">
        <f t="shared" ca="1" si="258"/>
      </c>
      <c r="Q1188" s="74">
        <f t="shared" ca="1" si="259"/>
      </c>
      <c r="R1188" s="74">
        <f t="shared" si="260"/>
      </c>
      <c r="S1188" s="74">
        <f t="shared" ca="1" si="261"/>
      </c>
      <c r="T1188" s="74">
        <f t="shared" si="262"/>
      </c>
    </row>
    <row r="1189" spans="2:20" x14ac:dyDescent="0.3">
      <c r="B1189" s="74">
        <f t="shared" ca="1" si="252"/>
      </c>
      <c r="C1189" s="78">
        <f>Кабельный_журнал!P1155</f>
      </c>
      <c r="D1189" s="74">
        <f t="shared" ca="1" si="253"/>
      </c>
      <c r="E1189" s="80" t="s">
        <v>279</v>
      </c>
      <c r="F1189" s="74">
        <f t="shared" ca="1" si="249"/>
      </c>
      <c r="G1189" s="74">
        <f t="shared" si="250"/>
      </c>
      <c r="H1189" s="80" t="s">
        <v>272</v>
      </c>
      <c r="I1189" s="74">
        <f t="shared" si="251"/>
      </c>
      <c r="J1189" s="74">
        <f t="shared" si="254"/>
      </c>
      <c r="K1189" s="80" t="s">
        <v>280</v>
      </c>
      <c r="L1189" s="74">
        <f t="shared" si="255"/>
      </c>
      <c r="M1189" s="74">
        <f t="shared" ca="1" si="256"/>
      </c>
      <c r="N1189" s="74">
        <f ca="1">VLOOKUP(B1189,$C$7:$T1187,13,FALSE)</f>
      </c>
      <c r="O1189" s="74">
        <f t="shared" ca="1" si="257"/>
      </c>
      <c r="P1189" s="74">
        <f t="shared" ca="1" si="258"/>
      </c>
      <c r="Q1189" s="74">
        <f t="shared" ca="1" si="259"/>
      </c>
      <c r="R1189" s="74">
        <f t="shared" si="260"/>
      </c>
      <c r="S1189" s="74">
        <f t="shared" ca="1" si="261"/>
      </c>
      <c r="T1189" s="74">
        <f t="shared" si="262"/>
      </c>
    </row>
    <row r="1190" spans="2:20" x14ac:dyDescent="0.3">
      <c r="B1190" s="74">
        <f t="shared" ca="1" si="252"/>
      </c>
      <c r="C1190" s="78">
        <f>Кабельный_журнал!P1156</f>
      </c>
      <c r="D1190" s="74">
        <f t="shared" ca="1" si="253"/>
      </c>
      <c r="E1190" s="80" t="s">
        <v>279</v>
      </c>
      <c r="F1190" s="74">
        <f t="shared" ca="1" si="249"/>
      </c>
      <c r="G1190" s="74">
        <f t="shared" si="250"/>
      </c>
      <c r="H1190" s="80" t="s">
        <v>272</v>
      </c>
      <c r="I1190" s="74">
        <f t="shared" si="251"/>
      </c>
      <c r="J1190" s="74">
        <f t="shared" si="254"/>
      </c>
      <c r="K1190" s="80" t="s">
        <v>280</v>
      </c>
      <c r="L1190" s="74">
        <f t="shared" si="255"/>
      </c>
      <c r="M1190" s="74">
        <f t="shared" ca="1" si="256"/>
      </c>
      <c r="N1190" s="74">
        <f ca="1">VLOOKUP(B1190,$C$7:$T1188,13,FALSE)</f>
      </c>
      <c r="O1190" s="74">
        <f t="shared" ca="1" si="257"/>
      </c>
      <c r="P1190" s="74">
        <f t="shared" ca="1" si="258"/>
      </c>
      <c r="Q1190" s="74">
        <f t="shared" ca="1" si="259"/>
      </c>
      <c r="R1190" s="74">
        <f t="shared" si="260"/>
      </c>
      <c r="S1190" s="74">
        <f t="shared" ca="1" si="261"/>
      </c>
      <c r="T1190" s="74">
        <f t="shared" si="262"/>
      </c>
    </row>
    <row r="1191" spans="2:20" x14ac:dyDescent="0.3">
      <c r="B1191" s="74">
        <f t="shared" ca="1" si="252"/>
      </c>
      <c r="C1191" s="78">
        <f>Кабельный_журнал!P1157</f>
      </c>
      <c r="D1191" s="74">
        <f t="shared" ca="1" si="253"/>
      </c>
      <c r="E1191" s="80" t="s">
        <v>279</v>
      </c>
      <c r="F1191" s="74">
        <f t="shared" ref="F1191:F1254" ca="1" si="263">VLOOKUP(C1191,Кабельный_журнал,8,FALSE)</f>
      </c>
      <c r="G1191" s="74">
        <f t="shared" ref="G1191:G1254" si="264">VLOOKUP(C1191,Исходные_данные,21,FALSE)</f>
      </c>
      <c r="H1191" s="80" t="s">
        <v>272</v>
      </c>
      <c r="I1191" s="74">
        <f t="shared" ref="I1191:I1254" si="265">VLOOKUP(C1191,Исходные_данные,22,FALSE)</f>
      </c>
      <c r="J1191" s="74">
        <f t="shared" si="254"/>
      </c>
      <c r="K1191" s="80" t="s">
        <v>280</v>
      </c>
      <c r="L1191" s="74">
        <f t="shared" si="255"/>
      </c>
      <c r="M1191" s="74">
        <f t="shared" ca="1" si="256"/>
      </c>
      <c r="N1191" s="74">
        <f ca="1">VLOOKUP(B1191,$C$7:$T1189,13,FALSE)</f>
      </c>
      <c r="O1191" s="74">
        <f t="shared" ca="1" si="257"/>
      </c>
      <c r="P1191" s="74">
        <f t="shared" ca="1" si="258"/>
      </c>
      <c r="Q1191" s="74">
        <f t="shared" ca="1" si="259"/>
      </c>
      <c r="R1191" s="74">
        <f t="shared" si="260"/>
      </c>
      <c r="S1191" s="74">
        <f t="shared" ca="1" si="261"/>
      </c>
      <c r="T1191" s="74">
        <f t="shared" si="262"/>
      </c>
    </row>
    <row r="1192" spans="2:20" x14ac:dyDescent="0.3">
      <c r="B1192" s="74">
        <f t="shared" ref="B1192:B1255" ca="1" si="266">VLOOKUP(C1192,Кабельный_журнал,2,FALSE)</f>
      </c>
      <c r="C1192" s="78">
        <f>Кабельный_журнал!P1158</f>
      </c>
      <c r="D1192" s="74">
        <f t="shared" ref="D1192:D1255" ca="1" si="267">B1192&amp;"-"&amp;C1192</f>
      </c>
      <c r="E1192" s="80" t="s">
        <v>279</v>
      </c>
      <c r="F1192" s="74">
        <f t="shared" ca="1" si="263"/>
      </c>
      <c r="G1192" s="74">
        <f t="shared" si="264"/>
      </c>
      <c r="H1192" s="80" t="s">
        <v>272</v>
      </c>
      <c r="I1192" s="74">
        <f t="shared" si="265"/>
      </c>
      <c r="J1192" s="74">
        <f t="shared" ref="J1192:J1255" si="268">I1192</f>
      </c>
      <c r="K1192" s="80" t="s">
        <v>280</v>
      </c>
      <c r="L1192" s="74">
        <f t="shared" ref="L1192:L1255" si="269">VLOOKUP(K1192,$K$2:$L$3,2,FALSE)</f>
      </c>
      <c r="M1192" s="74">
        <f t="shared" ref="M1192:M1255" ca="1" si="270">L1192*F1192*(1/I1192+1/J1192)</f>
      </c>
      <c r="N1192" s="74">
        <f ca="1">VLOOKUP(B1192,$C$7:$T1190,13,FALSE)</f>
      </c>
      <c r="O1192" s="74">
        <f t="shared" ref="O1192:O1255" ca="1" si="271">L1192+M1192</f>
      </c>
      <c r="P1192" s="74">
        <f t="shared" ref="P1192:P1255" ca="1" si="272">220/O1192</f>
      </c>
      <c r="Q1192" s="74">
        <f t="shared" ref="Q1192:Q1255" ca="1" si="273">O1192/G1192</f>
      </c>
      <c r="R1192" s="74">
        <f t="shared" ref="R1192:R1255" si="274">VLOOKUP(H1192,$W$2:$Y$12,3,FALSE)</f>
      </c>
      <c r="S1192" s="74">
        <f t="shared" ref="S1192:S1255" ca="1" si="275">_xlfn.IFS(E1192="щит",IF(P1192&gt;R1192,"Увел сеч",IF(T1192&gt;P1192,"Увел сеч","tср&lt;5с")),E1192="потреб",IF(P1192&gt;R1192,"Увел сеч",IF(T1192&gt;P1192,"Увел сеч","tср&lt;0.4с")))</f>
      </c>
      <c r="T1192" s="74">
        <f t="shared" ref="T1192:T1255" si="276">G1192*VLOOKUP(H1192,$W$2:$Y$12,2,FALSE)</f>
      </c>
    </row>
    <row r="1193" spans="2:20" x14ac:dyDescent="0.3">
      <c r="B1193" s="74">
        <f t="shared" ca="1" si="266"/>
      </c>
      <c r="C1193" s="78">
        <f>Кабельный_журнал!P1159</f>
      </c>
      <c r="D1193" s="74">
        <f t="shared" ca="1" si="267"/>
      </c>
      <c r="E1193" s="80" t="s">
        <v>279</v>
      </c>
      <c r="F1193" s="74">
        <f t="shared" ca="1" si="263"/>
      </c>
      <c r="G1193" s="74">
        <f t="shared" si="264"/>
      </c>
      <c r="H1193" s="80" t="s">
        <v>272</v>
      </c>
      <c r="I1193" s="74">
        <f t="shared" si="265"/>
      </c>
      <c r="J1193" s="74">
        <f t="shared" si="268"/>
      </c>
      <c r="K1193" s="80" t="s">
        <v>280</v>
      </c>
      <c r="L1193" s="74">
        <f t="shared" si="269"/>
      </c>
      <c r="M1193" s="74">
        <f t="shared" ca="1" si="270"/>
      </c>
      <c r="N1193" s="74">
        <f ca="1">VLOOKUP(B1193,$C$7:$T1191,13,FALSE)</f>
      </c>
      <c r="O1193" s="74">
        <f t="shared" ca="1" si="271"/>
      </c>
      <c r="P1193" s="74">
        <f t="shared" ca="1" si="272"/>
      </c>
      <c r="Q1193" s="74">
        <f t="shared" ca="1" si="273"/>
      </c>
      <c r="R1193" s="74">
        <f t="shared" si="274"/>
      </c>
      <c r="S1193" s="74">
        <f t="shared" ca="1" si="275"/>
      </c>
      <c r="T1193" s="74">
        <f t="shared" si="276"/>
      </c>
    </row>
    <row r="1194" spans="2:20" x14ac:dyDescent="0.3">
      <c r="B1194" s="74">
        <f t="shared" ca="1" si="266"/>
      </c>
      <c r="C1194" s="78">
        <f>Кабельный_журнал!P1160</f>
      </c>
      <c r="D1194" s="74">
        <f t="shared" ca="1" si="267"/>
      </c>
      <c r="E1194" s="80" t="s">
        <v>279</v>
      </c>
      <c r="F1194" s="74">
        <f t="shared" ca="1" si="263"/>
      </c>
      <c r="G1194" s="74">
        <f t="shared" si="264"/>
      </c>
      <c r="H1194" s="80" t="s">
        <v>272</v>
      </c>
      <c r="I1194" s="74">
        <f t="shared" si="265"/>
      </c>
      <c r="J1194" s="74">
        <f t="shared" si="268"/>
      </c>
      <c r="K1194" s="80" t="s">
        <v>280</v>
      </c>
      <c r="L1194" s="74">
        <f t="shared" si="269"/>
      </c>
      <c r="M1194" s="74">
        <f t="shared" ca="1" si="270"/>
      </c>
      <c r="N1194" s="74">
        <f ca="1">VLOOKUP(B1194,$C$7:$T1192,13,FALSE)</f>
      </c>
      <c r="O1194" s="74">
        <f t="shared" ca="1" si="271"/>
      </c>
      <c r="P1194" s="74">
        <f t="shared" ca="1" si="272"/>
      </c>
      <c r="Q1194" s="74">
        <f t="shared" ca="1" si="273"/>
      </c>
      <c r="R1194" s="74">
        <f t="shared" si="274"/>
      </c>
      <c r="S1194" s="74">
        <f t="shared" ca="1" si="275"/>
      </c>
      <c r="T1194" s="74">
        <f t="shared" si="276"/>
      </c>
    </row>
    <row r="1195" spans="2:20" x14ac:dyDescent="0.3">
      <c r="B1195" s="74">
        <f t="shared" ca="1" si="266"/>
      </c>
      <c r="C1195" s="78">
        <f>Кабельный_журнал!P1161</f>
      </c>
      <c r="D1195" s="74">
        <f t="shared" ca="1" si="267"/>
      </c>
      <c r="E1195" s="80" t="s">
        <v>279</v>
      </c>
      <c r="F1195" s="74">
        <f t="shared" ca="1" si="263"/>
      </c>
      <c r="G1195" s="74">
        <f t="shared" si="264"/>
      </c>
      <c r="H1195" s="80" t="s">
        <v>272</v>
      </c>
      <c r="I1195" s="74">
        <f t="shared" si="265"/>
      </c>
      <c r="J1195" s="74">
        <f t="shared" si="268"/>
      </c>
      <c r="K1195" s="80" t="s">
        <v>280</v>
      </c>
      <c r="L1195" s="74">
        <f t="shared" si="269"/>
      </c>
      <c r="M1195" s="74">
        <f t="shared" ca="1" si="270"/>
      </c>
      <c r="N1195" s="74">
        <f ca="1">VLOOKUP(B1195,$C$7:$T1193,13,FALSE)</f>
      </c>
      <c r="O1195" s="74">
        <f t="shared" ca="1" si="271"/>
      </c>
      <c r="P1195" s="74">
        <f t="shared" ca="1" si="272"/>
      </c>
      <c r="Q1195" s="74">
        <f t="shared" ca="1" si="273"/>
      </c>
      <c r="R1195" s="74">
        <f t="shared" si="274"/>
      </c>
      <c r="S1195" s="74">
        <f t="shared" ca="1" si="275"/>
      </c>
      <c r="T1195" s="74">
        <f t="shared" si="276"/>
      </c>
    </row>
    <row r="1196" spans="2:20" x14ac:dyDescent="0.3">
      <c r="B1196" s="74">
        <f t="shared" ca="1" si="266"/>
      </c>
      <c r="C1196" s="78">
        <f>Кабельный_журнал!P1162</f>
      </c>
      <c r="D1196" s="74">
        <f t="shared" ca="1" si="267"/>
      </c>
      <c r="E1196" s="80" t="s">
        <v>279</v>
      </c>
      <c r="F1196" s="74">
        <f t="shared" ca="1" si="263"/>
      </c>
      <c r="G1196" s="74">
        <f t="shared" si="264"/>
      </c>
      <c r="H1196" s="80" t="s">
        <v>272</v>
      </c>
      <c r="I1196" s="74">
        <f t="shared" si="265"/>
      </c>
      <c r="J1196" s="74">
        <f t="shared" si="268"/>
      </c>
      <c r="K1196" s="80" t="s">
        <v>280</v>
      </c>
      <c r="L1196" s="74">
        <f t="shared" si="269"/>
      </c>
      <c r="M1196" s="74">
        <f t="shared" ca="1" si="270"/>
      </c>
      <c r="N1196" s="74">
        <f ca="1">VLOOKUP(B1196,$C$7:$T1194,13,FALSE)</f>
      </c>
      <c r="O1196" s="74">
        <f t="shared" ca="1" si="271"/>
      </c>
      <c r="P1196" s="74">
        <f t="shared" ca="1" si="272"/>
      </c>
      <c r="Q1196" s="74">
        <f t="shared" ca="1" si="273"/>
      </c>
      <c r="R1196" s="74">
        <f t="shared" si="274"/>
      </c>
      <c r="S1196" s="74">
        <f t="shared" ca="1" si="275"/>
      </c>
      <c r="T1196" s="74">
        <f t="shared" si="276"/>
      </c>
    </row>
    <row r="1197" spans="2:20" x14ac:dyDescent="0.3">
      <c r="B1197" s="74">
        <f t="shared" ca="1" si="266"/>
      </c>
      <c r="C1197" s="78">
        <f>Кабельный_журнал!P1163</f>
      </c>
      <c r="D1197" s="74">
        <f t="shared" ca="1" si="267"/>
      </c>
      <c r="E1197" s="80" t="s">
        <v>279</v>
      </c>
      <c r="F1197" s="74">
        <f t="shared" ca="1" si="263"/>
      </c>
      <c r="G1197" s="74">
        <f t="shared" si="264"/>
      </c>
      <c r="H1197" s="80" t="s">
        <v>272</v>
      </c>
      <c r="I1197" s="74">
        <f t="shared" si="265"/>
      </c>
      <c r="J1197" s="74">
        <f t="shared" si="268"/>
      </c>
      <c r="K1197" s="80" t="s">
        <v>280</v>
      </c>
      <c r="L1197" s="74">
        <f t="shared" si="269"/>
      </c>
      <c r="M1197" s="74">
        <f t="shared" ca="1" si="270"/>
      </c>
      <c r="N1197" s="74">
        <f ca="1">VLOOKUP(B1197,$C$7:$T1195,13,FALSE)</f>
      </c>
      <c r="O1197" s="74">
        <f t="shared" ca="1" si="271"/>
      </c>
      <c r="P1197" s="74">
        <f t="shared" ca="1" si="272"/>
      </c>
      <c r="Q1197" s="74">
        <f t="shared" ca="1" si="273"/>
      </c>
      <c r="R1197" s="74">
        <f t="shared" si="274"/>
      </c>
      <c r="S1197" s="74">
        <f t="shared" ca="1" si="275"/>
      </c>
      <c r="T1197" s="74">
        <f t="shared" si="276"/>
      </c>
    </row>
    <row r="1198" spans="2:20" x14ac:dyDescent="0.3">
      <c r="B1198" s="74">
        <f t="shared" ca="1" si="266"/>
      </c>
      <c r="C1198" s="78">
        <f>Кабельный_журнал!P1164</f>
      </c>
      <c r="D1198" s="74">
        <f t="shared" ca="1" si="267"/>
      </c>
      <c r="E1198" s="80" t="s">
        <v>279</v>
      </c>
      <c r="F1198" s="74">
        <f t="shared" ca="1" si="263"/>
      </c>
      <c r="G1198" s="74">
        <f t="shared" si="264"/>
      </c>
      <c r="H1198" s="80" t="s">
        <v>272</v>
      </c>
      <c r="I1198" s="74">
        <f t="shared" si="265"/>
      </c>
      <c r="J1198" s="74">
        <f t="shared" si="268"/>
      </c>
      <c r="K1198" s="80" t="s">
        <v>280</v>
      </c>
      <c r="L1198" s="74">
        <f t="shared" si="269"/>
      </c>
      <c r="M1198" s="74">
        <f t="shared" ca="1" si="270"/>
      </c>
      <c r="N1198" s="74">
        <f ca="1">VLOOKUP(B1198,$C$7:$T1196,13,FALSE)</f>
      </c>
      <c r="O1198" s="74">
        <f t="shared" ca="1" si="271"/>
      </c>
      <c r="P1198" s="74">
        <f t="shared" ca="1" si="272"/>
      </c>
      <c r="Q1198" s="74">
        <f t="shared" ca="1" si="273"/>
      </c>
      <c r="R1198" s="74">
        <f t="shared" si="274"/>
      </c>
      <c r="S1198" s="74">
        <f t="shared" ca="1" si="275"/>
      </c>
      <c r="T1198" s="74">
        <f t="shared" si="276"/>
      </c>
    </row>
    <row r="1199" spans="2:20" x14ac:dyDescent="0.3">
      <c r="B1199" s="74">
        <f t="shared" ca="1" si="266"/>
      </c>
      <c r="C1199" s="78">
        <f>Кабельный_журнал!P1165</f>
      </c>
      <c r="D1199" s="74">
        <f t="shared" ca="1" si="267"/>
      </c>
      <c r="E1199" s="80" t="s">
        <v>279</v>
      </c>
      <c r="F1199" s="74">
        <f t="shared" ca="1" si="263"/>
      </c>
      <c r="G1199" s="74">
        <f t="shared" si="264"/>
      </c>
      <c r="H1199" s="80" t="s">
        <v>272</v>
      </c>
      <c r="I1199" s="74">
        <f t="shared" si="265"/>
      </c>
      <c r="J1199" s="74">
        <f t="shared" si="268"/>
      </c>
      <c r="K1199" s="80" t="s">
        <v>280</v>
      </c>
      <c r="L1199" s="74">
        <f t="shared" si="269"/>
      </c>
      <c r="M1199" s="74">
        <f t="shared" ca="1" si="270"/>
      </c>
      <c r="N1199" s="74">
        <f ca="1">VLOOKUP(B1199,$C$7:$T1197,13,FALSE)</f>
      </c>
      <c r="O1199" s="74">
        <f t="shared" ca="1" si="271"/>
      </c>
      <c r="P1199" s="74">
        <f t="shared" ca="1" si="272"/>
      </c>
      <c r="Q1199" s="74">
        <f t="shared" ca="1" si="273"/>
      </c>
      <c r="R1199" s="74">
        <f t="shared" si="274"/>
      </c>
      <c r="S1199" s="74">
        <f t="shared" ca="1" si="275"/>
      </c>
      <c r="T1199" s="74">
        <f t="shared" si="276"/>
      </c>
    </row>
    <row r="1200" spans="2:20" x14ac:dyDescent="0.3">
      <c r="B1200" s="74">
        <f t="shared" ca="1" si="266"/>
      </c>
      <c r="C1200" s="78">
        <f>Кабельный_журнал!P1166</f>
      </c>
      <c r="D1200" s="74">
        <f t="shared" ca="1" si="267"/>
      </c>
      <c r="E1200" s="80" t="s">
        <v>279</v>
      </c>
      <c r="F1200" s="74">
        <f t="shared" ca="1" si="263"/>
      </c>
      <c r="G1200" s="74">
        <f t="shared" si="264"/>
      </c>
      <c r="H1200" s="80" t="s">
        <v>272</v>
      </c>
      <c r="I1200" s="74">
        <f t="shared" si="265"/>
      </c>
      <c r="J1200" s="74">
        <f t="shared" si="268"/>
      </c>
      <c r="K1200" s="80" t="s">
        <v>280</v>
      </c>
      <c r="L1200" s="74">
        <f t="shared" si="269"/>
      </c>
      <c r="M1200" s="74">
        <f t="shared" ca="1" si="270"/>
      </c>
      <c r="N1200" s="74">
        <f ca="1">VLOOKUP(B1200,$C$7:$T1198,13,FALSE)</f>
      </c>
      <c r="O1200" s="74">
        <f t="shared" ca="1" si="271"/>
      </c>
      <c r="P1200" s="74">
        <f t="shared" ca="1" si="272"/>
      </c>
      <c r="Q1200" s="74">
        <f t="shared" ca="1" si="273"/>
      </c>
      <c r="R1200" s="74">
        <f t="shared" si="274"/>
      </c>
      <c r="S1200" s="74">
        <f t="shared" ca="1" si="275"/>
      </c>
      <c r="T1200" s="74">
        <f t="shared" si="276"/>
      </c>
    </row>
    <row r="1201" spans="2:20" x14ac:dyDescent="0.3">
      <c r="B1201" s="74">
        <f t="shared" ca="1" si="266"/>
      </c>
      <c r="C1201" s="78">
        <f>Кабельный_журнал!P1167</f>
      </c>
      <c r="D1201" s="74">
        <f t="shared" ca="1" si="267"/>
      </c>
      <c r="E1201" s="80" t="s">
        <v>279</v>
      </c>
      <c r="F1201" s="74">
        <f t="shared" ca="1" si="263"/>
      </c>
      <c r="G1201" s="74">
        <f t="shared" si="264"/>
      </c>
      <c r="H1201" s="80" t="s">
        <v>272</v>
      </c>
      <c r="I1201" s="74">
        <f t="shared" si="265"/>
      </c>
      <c r="J1201" s="74">
        <f t="shared" si="268"/>
      </c>
      <c r="K1201" s="80" t="s">
        <v>280</v>
      </c>
      <c r="L1201" s="74">
        <f t="shared" si="269"/>
      </c>
      <c r="M1201" s="74">
        <f t="shared" ca="1" si="270"/>
      </c>
      <c r="N1201" s="74">
        <f ca="1">VLOOKUP(B1201,$C$7:$T1199,13,FALSE)</f>
      </c>
      <c r="O1201" s="74">
        <f t="shared" ca="1" si="271"/>
      </c>
      <c r="P1201" s="74">
        <f t="shared" ca="1" si="272"/>
      </c>
      <c r="Q1201" s="74">
        <f t="shared" ca="1" si="273"/>
      </c>
      <c r="R1201" s="74">
        <f t="shared" si="274"/>
      </c>
      <c r="S1201" s="74">
        <f t="shared" ca="1" si="275"/>
      </c>
      <c r="T1201" s="74">
        <f t="shared" si="276"/>
      </c>
    </row>
    <row r="1202" spans="2:20" x14ac:dyDescent="0.3">
      <c r="B1202" s="74">
        <f t="shared" ca="1" si="266"/>
      </c>
      <c r="C1202" s="78">
        <f>Кабельный_журнал!P1168</f>
      </c>
      <c r="D1202" s="74">
        <f t="shared" ca="1" si="267"/>
      </c>
      <c r="E1202" s="80" t="s">
        <v>279</v>
      </c>
      <c r="F1202" s="74">
        <f t="shared" ca="1" si="263"/>
      </c>
      <c r="G1202" s="74">
        <f t="shared" si="264"/>
      </c>
      <c r="H1202" s="80" t="s">
        <v>272</v>
      </c>
      <c r="I1202" s="74">
        <f t="shared" si="265"/>
      </c>
      <c r="J1202" s="74">
        <f t="shared" si="268"/>
      </c>
      <c r="K1202" s="80" t="s">
        <v>280</v>
      </c>
      <c r="L1202" s="74">
        <f t="shared" si="269"/>
      </c>
      <c r="M1202" s="74">
        <f t="shared" ca="1" si="270"/>
      </c>
      <c r="N1202" s="74">
        <f ca="1">VLOOKUP(B1202,$C$7:$T1200,13,FALSE)</f>
      </c>
      <c r="O1202" s="74">
        <f t="shared" ca="1" si="271"/>
      </c>
      <c r="P1202" s="74">
        <f t="shared" ca="1" si="272"/>
      </c>
      <c r="Q1202" s="74">
        <f t="shared" ca="1" si="273"/>
      </c>
      <c r="R1202" s="74">
        <f t="shared" si="274"/>
      </c>
      <c r="S1202" s="74">
        <f t="shared" ca="1" si="275"/>
      </c>
      <c r="T1202" s="74">
        <f t="shared" si="276"/>
      </c>
    </row>
    <row r="1203" spans="2:20" x14ac:dyDescent="0.3">
      <c r="B1203" s="74">
        <f t="shared" ca="1" si="266"/>
      </c>
      <c r="C1203" s="78">
        <f>Кабельный_журнал!P1169</f>
      </c>
      <c r="D1203" s="74">
        <f t="shared" ca="1" si="267"/>
      </c>
      <c r="E1203" s="80" t="s">
        <v>279</v>
      </c>
      <c r="F1203" s="74">
        <f t="shared" ca="1" si="263"/>
      </c>
      <c r="G1203" s="74">
        <f t="shared" si="264"/>
      </c>
      <c r="H1203" s="80" t="s">
        <v>272</v>
      </c>
      <c r="I1203" s="74">
        <f t="shared" si="265"/>
      </c>
      <c r="J1203" s="74">
        <f t="shared" si="268"/>
      </c>
      <c r="K1203" s="80" t="s">
        <v>280</v>
      </c>
      <c r="L1203" s="74">
        <f t="shared" si="269"/>
      </c>
      <c r="M1203" s="74">
        <f t="shared" ca="1" si="270"/>
      </c>
      <c r="N1203" s="74">
        <f ca="1">VLOOKUP(B1203,$C$7:$T1201,13,FALSE)</f>
      </c>
      <c r="O1203" s="74">
        <f t="shared" ca="1" si="271"/>
      </c>
      <c r="P1203" s="74">
        <f t="shared" ca="1" si="272"/>
      </c>
      <c r="Q1203" s="74">
        <f t="shared" ca="1" si="273"/>
      </c>
      <c r="R1203" s="74">
        <f t="shared" si="274"/>
      </c>
      <c r="S1203" s="74">
        <f t="shared" ca="1" si="275"/>
      </c>
      <c r="T1203" s="74">
        <f t="shared" si="276"/>
      </c>
    </row>
    <row r="1204" spans="2:20" x14ac:dyDescent="0.3">
      <c r="B1204" s="74">
        <f t="shared" ca="1" si="266"/>
      </c>
      <c r="C1204" s="78">
        <f>Кабельный_журнал!P1170</f>
      </c>
      <c r="D1204" s="74">
        <f t="shared" ca="1" si="267"/>
      </c>
      <c r="E1204" s="80" t="s">
        <v>279</v>
      </c>
      <c r="F1204" s="74">
        <f t="shared" ca="1" si="263"/>
      </c>
      <c r="G1204" s="74">
        <f t="shared" si="264"/>
      </c>
      <c r="H1204" s="80" t="s">
        <v>272</v>
      </c>
      <c r="I1204" s="74">
        <f t="shared" si="265"/>
      </c>
      <c r="J1204" s="74">
        <f t="shared" si="268"/>
      </c>
      <c r="K1204" s="80" t="s">
        <v>280</v>
      </c>
      <c r="L1204" s="74">
        <f t="shared" si="269"/>
      </c>
      <c r="M1204" s="74">
        <f t="shared" ca="1" si="270"/>
      </c>
      <c r="N1204" s="74">
        <f ca="1">VLOOKUP(B1204,$C$7:$T1202,13,FALSE)</f>
      </c>
      <c r="O1204" s="74">
        <f t="shared" ca="1" si="271"/>
      </c>
      <c r="P1204" s="74">
        <f t="shared" ca="1" si="272"/>
      </c>
      <c r="Q1204" s="74">
        <f t="shared" ca="1" si="273"/>
      </c>
      <c r="R1204" s="74">
        <f t="shared" si="274"/>
      </c>
      <c r="S1204" s="74">
        <f t="shared" ca="1" si="275"/>
      </c>
      <c r="T1204" s="74">
        <f t="shared" si="276"/>
      </c>
    </row>
    <row r="1205" spans="2:20" x14ac:dyDescent="0.3">
      <c r="B1205" s="74">
        <f t="shared" ca="1" si="266"/>
      </c>
      <c r="C1205" s="78">
        <f>Кабельный_журнал!P1171</f>
      </c>
      <c r="D1205" s="74">
        <f t="shared" ca="1" si="267"/>
      </c>
      <c r="E1205" s="80" t="s">
        <v>279</v>
      </c>
      <c r="F1205" s="74">
        <f t="shared" ca="1" si="263"/>
      </c>
      <c r="G1205" s="74">
        <f t="shared" si="264"/>
      </c>
      <c r="H1205" s="80" t="s">
        <v>272</v>
      </c>
      <c r="I1205" s="74">
        <f t="shared" si="265"/>
      </c>
      <c r="J1205" s="74">
        <f t="shared" si="268"/>
      </c>
      <c r="K1205" s="80" t="s">
        <v>280</v>
      </c>
      <c r="L1205" s="74">
        <f t="shared" si="269"/>
      </c>
      <c r="M1205" s="74">
        <f t="shared" ca="1" si="270"/>
      </c>
      <c r="N1205" s="74">
        <f ca="1">VLOOKUP(B1205,$C$7:$T1203,13,FALSE)</f>
      </c>
      <c r="O1205" s="74">
        <f t="shared" ca="1" si="271"/>
      </c>
      <c r="P1205" s="74">
        <f t="shared" ca="1" si="272"/>
      </c>
      <c r="Q1205" s="74">
        <f t="shared" ca="1" si="273"/>
      </c>
      <c r="R1205" s="74">
        <f t="shared" si="274"/>
      </c>
      <c r="S1205" s="74">
        <f t="shared" ca="1" si="275"/>
      </c>
      <c r="T1205" s="74">
        <f t="shared" si="276"/>
      </c>
    </row>
    <row r="1206" spans="2:20" x14ac:dyDescent="0.3">
      <c r="B1206" s="74">
        <f t="shared" ca="1" si="266"/>
      </c>
      <c r="C1206" s="78">
        <f>Кабельный_журнал!P1172</f>
      </c>
      <c r="D1206" s="74">
        <f t="shared" ca="1" si="267"/>
      </c>
      <c r="E1206" s="80" t="s">
        <v>279</v>
      </c>
      <c r="F1206" s="74">
        <f t="shared" ca="1" si="263"/>
      </c>
      <c r="G1206" s="74">
        <f t="shared" si="264"/>
      </c>
      <c r="H1206" s="80" t="s">
        <v>272</v>
      </c>
      <c r="I1206" s="74">
        <f t="shared" si="265"/>
      </c>
      <c r="J1206" s="74">
        <f t="shared" si="268"/>
      </c>
      <c r="K1206" s="80" t="s">
        <v>280</v>
      </c>
      <c r="L1206" s="74">
        <f t="shared" si="269"/>
      </c>
      <c r="M1206" s="74">
        <f t="shared" ca="1" si="270"/>
      </c>
      <c r="N1206" s="74">
        <f ca="1">VLOOKUP(B1206,$C$7:$T1204,13,FALSE)</f>
      </c>
      <c r="O1206" s="74">
        <f t="shared" ca="1" si="271"/>
      </c>
      <c r="P1206" s="74">
        <f t="shared" ca="1" si="272"/>
      </c>
      <c r="Q1206" s="74">
        <f t="shared" ca="1" si="273"/>
      </c>
      <c r="R1206" s="74">
        <f t="shared" si="274"/>
      </c>
      <c r="S1206" s="74">
        <f t="shared" ca="1" si="275"/>
      </c>
      <c r="T1206" s="74">
        <f t="shared" si="276"/>
      </c>
    </row>
    <row r="1207" spans="2:20" x14ac:dyDescent="0.3">
      <c r="B1207" s="74">
        <f t="shared" ca="1" si="266"/>
      </c>
      <c r="C1207" s="78">
        <f>Кабельный_журнал!P1173</f>
      </c>
      <c r="D1207" s="74">
        <f t="shared" ca="1" si="267"/>
      </c>
      <c r="E1207" s="80" t="s">
        <v>279</v>
      </c>
      <c r="F1207" s="74">
        <f t="shared" ca="1" si="263"/>
      </c>
      <c r="G1207" s="74">
        <f t="shared" si="264"/>
      </c>
      <c r="H1207" s="80" t="s">
        <v>272</v>
      </c>
      <c r="I1207" s="74">
        <f t="shared" si="265"/>
      </c>
      <c r="J1207" s="74">
        <f t="shared" si="268"/>
      </c>
      <c r="K1207" s="80" t="s">
        <v>280</v>
      </c>
      <c r="L1207" s="74">
        <f t="shared" si="269"/>
      </c>
      <c r="M1207" s="74">
        <f t="shared" ca="1" si="270"/>
      </c>
      <c r="N1207" s="74">
        <f ca="1">VLOOKUP(B1207,$C$7:$T1205,13,FALSE)</f>
      </c>
      <c r="O1207" s="74">
        <f t="shared" ca="1" si="271"/>
      </c>
      <c r="P1207" s="74">
        <f t="shared" ca="1" si="272"/>
      </c>
      <c r="Q1207" s="74">
        <f t="shared" ca="1" si="273"/>
      </c>
      <c r="R1207" s="74">
        <f t="shared" si="274"/>
      </c>
      <c r="S1207" s="74">
        <f t="shared" ca="1" si="275"/>
      </c>
      <c r="T1207" s="74">
        <f t="shared" si="276"/>
      </c>
    </row>
    <row r="1208" spans="2:20" x14ac:dyDescent="0.3">
      <c r="B1208" s="74">
        <f t="shared" ca="1" si="266"/>
      </c>
      <c r="C1208" s="78">
        <f>Кабельный_журнал!P1174</f>
      </c>
      <c r="D1208" s="74">
        <f t="shared" ca="1" si="267"/>
      </c>
      <c r="E1208" s="80" t="s">
        <v>279</v>
      </c>
      <c r="F1208" s="74">
        <f t="shared" ca="1" si="263"/>
      </c>
      <c r="G1208" s="74">
        <f t="shared" si="264"/>
      </c>
      <c r="H1208" s="80" t="s">
        <v>272</v>
      </c>
      <c r="I1208" s="74">
        <f t="shared" si="265"/>
      </c>
      <c r="J1208" s="74">
        <f t="shared" si="268"/>
      </c>
      <c r="K1208" s="80" t="s">
        <v>280</v>
      </c>
      <c r="L1208" s="74">
        <f t="shared" si="269"/>
      </c>
      <c r="M1208" s="74">
        <f t="shared" ca="1" si="270"/>
      </c>
      <c r="N1208" s="74">
        <f ca="1">VLOOKUP(B1208,$C$7:$T1206,13,FALSE)</f>
      </c>
      <c r="O1208" s="74">
        <f t="shared" ca="1" si="271"/>
      </c>
      <c r="P1208" s="74">
        <f t="shared" ca="1" si="272"/>
      </c>
      <c r="Q1208" s="74">
        <f t="shared" ca="1" si="273"/>
      </c>
      <c r="R1208" s="74">
        <f t="shared" si="274"/>
      </c>
      <c r="S1208" s="74">
        <f t="shared" ca="1" si="275"/>
      </c>
      <c r="T1208" s="74">
        <f t="shared" si="276"/>
      </c>
    </row>
    <row r="1209" spans="2:20" x14ac:dyDescent="0.3">
      <c r="B1209" s="74">
        <f t="shared" ca="1" si="266"/>
      </c>
      <c r="C1209" s="78">
        <f>Кабельный_журнал!P1175</f>
      </c>
      <c r="D1209" s="74">
        <f t="shared" ca="1" si="267"/>
      </c>
      <c r="E1209" s="80" t="s">
        <v>279</v>
      </c>
      <c r="F1209" s="74">
        <f t="shared" ca="1" si="263"/>
      </c>
      <c r="G1209" s="74">
        <f t="shared" si="264"/>
      </c>
      <c r="H1209" s="80" t="s">
        <v>272</v>
      </c>
      <c r="I1209" s="74">
        <f t="shared" si="265"/>
      </c>
      <c r="J1209" s="74">
        <f t="shared" si="268"/>
      </c>
      <c r="K1209" s="80" t="s">
        <v>280</v>
      </c>
      <c r="L1209" s="74">
        <f t="shared" si="269"/>
      </c>
      <c r="M1209" s="74">
        <f t="shared" ca="1" si="270"/>
      </c>
      <c r="N1209" s="74">
        <f ca="1">VLOOKUP(B1209,$C$7:$T1207,13,FALSE)</f>
      </c>
      <c r="O1209" s="74">
        <f t="shared" ca="1" si="271"/>
      </c>
      <c r="P1209" s="74">
        <f t="shared" ca="1" si="272"/>
      </c>
      <c r="Q1209" s="74">
        <f t="shared" ca="1" si="273"/>
      </c>
      <c r="R1209" s="74">
        <f t="shared" si="274"/>
      </c>
      <c r="S1209" s="74">
        <f t="shared" ca="1" si="275"/>
      </c>
      <c r="T1209" s="74">
        <f t="shared" si="276"/>
      </c>
    </row>
    <row r="1210" spans="2:20" x14ac:dyDescent="0.3">
      <c r="B1210" s="74">
        <f t="shared" ca="1" si="266"/>
      </c>
      <c r="C1210" s="78">
        <f>Кабельный_журнал!P1176</f>
      </c>
      <c r="D1210" s="74">
        <f t="shared" ca="1" si="267"/>
      </c>
      <c r="E1210" s="80" t="s">
        <v>279</v>
      </c>
      <c r="F1210" s="74">
        <f t="shared" ca="1" si="263"/>
      </c>
      <c r="G1210" s="74">
        <f t="shared" si="264"/>
      </c>
      <c r="H1210" s="80" t="s">
        <v>272</v>
      </c>
      <c r="I1210" s="74">
        <f t="shared" si="265"/>
      </c>
      <c r="J1210" s="74">
        <f t="shared" si="268"/>
      </c>
      <c r="K1210" s="80" t="s">
        <v>280</v>
      </c>
      <c r="L1210" s="74">
        <f t="shared" si="269"/>
      </c>
      <c r="M1210" s="74">
        <f t="shared" ca="1" si="270"/>
      </c>
      <c r="N1210" s="74">
        <f ca="1">VLOOKUP(B1210,$C$7:$T1208,13,FALSE)</f>
      </c>
      <c r="O1210" s="74">
        <f t="shared" ca="1" si="271"/>
      </c>
      <c r="P1210" s="74">
        <f t="shared" ca="1" si="272"/>
      </c>
      <c r="Q1210" s="74">
        <f t="shared" ca="1" si="273"/>
      </c>
      <c r="R1210" s="74">
        <f t="shared" si="274"/>
      </c>
      <c r="S1210" s="74">
        <f t="shared" ca="1" si="275"/>
      </c>
      <c r="T1210" s="74">
        <f t="shared" si="276"/>
      </c>
    </row>
    <row r="1211" spans="2:20" x14ac:dyDescent="0.3">
      <c r="B1211" s="74">
        <f t="shared" ca="1" si="266"/>
      </c>
      <c r="C1211" s="78">
        <f>Кабельный_журнал!P1177</f>
      </c>
      <c r="D1211" s="74">
        <f t="shared" ca="1" si="267"/>
      </c>
      <c r="E1211" s="80" t="s">
        <v>279</v>
      </c>
      <c r="F1211" s="74">
        <f t="shared" ca="1" si="263"/>
      </c>
      <c r="G1211" s="74">
        <f t="shared" si="264"/>
      </c>
      <c r="H1211" s="80" t="s">
        <v>272</v>
      </c>
      <c r="I1211" s="74">
        <f t="shared" si="265"/>
      </c>
      <c r="J1211" s="74">
        <f t="shared" si="268"/>
      </c>
      <c r="K1211" s="80" t="s">
        <v>280</v>
      </c>
      <c r="L1211" s="74">
        <f t="shared" si="269"/>
      </c>
      <c r="M1211" s="74">
        <f t="shared" ca="1" si="270"/>
      </c>
      <c r="N1211" s="74">
        <f ca="1">VLOOKUP(B1211,$C$7:$T1209,13,FALSE)</f>
      </c>
      <c r="O1211" s="74">
        <f t="shared" ca="1" si="271"/>
      </c>
      <c r="P1211" s="74">
        <f t="shared" ca="1" si="272"/>
      </c>
      <c r="Q1211" s="74">
        <f t="shared" ca="1" si="273"/>
      </c>
      <c r="R1211" s="74">
        <f t="shared" si="274"/>
      </c>
      <c r="S1211" s="74">
        <f t="shared" ca="1" si="275"/>
      </c>
      <c r="T1211" s="74">
        <f t="shared" si="276"/>
      </c>
    </row>
    <row r="1212" spans="2:20" x14ac:dyDescent="0.3">
      <c r="B1212" s="74">
        <f t="shared" ca="1" si="266"/>
      </c>
      <c r="C1212" s="78">
        <f>Кабельный_журнал!P1178</f>
      </c>
      <c r="D1212" s="74">
        <f t="shared" ca="1" si="267"/>
      </c>
      <c r="E1212" s="80" t="s">
        <v>279</v>
      </c>
      <c r="F1212" s="74">
        <f t="shared" ca="1" si="263"/>
      </c>
      <c r="G1212" s="74">
        <f t="shared" si="264"/>
      </c>
      <c r="H1212" s="80" t="s">
        <v>272</v>
      </c>
      <c r="I1212" s="74">
        <f t="shared" si="265"/>
      </c>
      <c r="J1212" s="74">
        <f t="shared" si="268"/>
      </c>
      <c r="K1212" s="80" t="s">
        <v>280</v>
      </c>
      <c r="L1212" s="74">
        <f t="shared" si="269"/>
      </c>
      <c r="M1212" s="74">
        <f t="shared" ca="1" si="270"/>
      </c>
      <c r="N1212" s="74">
        <f ca="1">VLOOKUP(B1212,$C$7:$T1210,13,FALSE)</f>
      </c>
      <c r="O1212" s="74">
        <f t="shared" ca="1" si="271"/>
      </c>
      <c r="P1212" s="74">
        <f t="shared" ca="1" si="272"/>
      </c>
      <c r="Q1212" s="74">
        <f t="shared" ca="1" si="273"/>
      </c>
      <c r="R1212" s="74">
        <f t="shared" si="274"/>
      </c>
      <c r="S1212" s="74">
        <f t="shared" ca="1" si="275"/>
      </c>
      <c r="T1212" s="74">
        <f t="shared" si="276"/>
      </c>
    </row>
    <row r="1213" spans="2:20" x14ac:dyDescent="0.3">
      <c r="B1213" s="74">
        <f t="shared" ca="1" si="266"/>
      </c>
      <c r="C1213" s="78">
        <f>Кабельный_журнал!P1179</f>
      </c>
      <c r="D1213" s="74">
        <f t="shared" ca="1" si="267"/>
      </c>
      <c r="E1213" s="80" t="s">
        <v>279</v>
      </c>
      <c r="F1213" s="74">
        <f t="shared" ca="1" si="263"/>
      </c>
      <c r="G1213" s="74">
        <f t="shared" si="264"/>
      </c>
      <c r="H1213" s="80" t="s">
        <v>272</v>
      </c>
      <c r="I1213" s="74">
        <f t="shared" si="265"/>
      </c>
      <c r="J1213" s="74">
        <f t="shared" si="268"/>
      </c>
      <c r="K1213" s="80" t="s">
        <v>280</v>
      </c>
      <c r="L1213" s="74">
        <f t="shared" si="269"/>
      </c>
      <c r="M1213" s="74">
        <f t="shared" ca="1" si="270"/>
      </c>
      <c r="N1213" s="74">
        <f ca="1">VLOOKUP(B1213,$C$7:$T1211,13,FALSE)</f>
      </c>
      <c r="O1213" s="74">
        <f t="shared" ca="1" si="271"/>
      </c>
      <c r="P1213" s="74">
        <f t="shared" ca="1" si="272"/>
      </c>
      <c r="Q1213" s="74">
        <f t="shared" ca="1" si="273"/>
      </c>
      <c r="R1213" s="74">
        <f t="shared" si="274"/>
      </c>
      <c r="S1213" s="74">
        <f t="shared" ca="1" si="275"/>
      </c>
      <c r="T1213" s="74">
        <f t="shared" si="276"/>
      </c>
    </row>
    <row r="1214" spans="2:20" x14ac:dyDescent="0.3">
      <c r="B1214" s="74">
        <f t="shared" ca="1" si="266"/>
      </c>
      <c r="C1214" s="78">
        <f>Кабельный_журнал!P1180</f>
      </c>
      <c r="D1214" s="74">
        <f t="shared" ca="1" si="267"/>
      </c>
      <c r="E1214" s="80" t="s">
        <v>279</v>
      </c>
      <c r="F1214" s="74">
        <f t="shared" ca="1" si="263"/>
      </c>
      <c r="G1214" s="74">
        <f t="shared" si="264"/>
      </c>
      <c r="H1214" s="80" t="s">
        <v>272</v>
      </c>
      <c r="I1214" s="74">
        <f t="shared" si="265"/>
      </c>
      <c r="J1214" s="74">
        <f t="shared" si="268"/>
      </c>
      <c r="K1214" s="80" t="s">
        <v>280</v>
      </c>
      <c r="L1214" s="74">
        <f t="shared" si="269"/>
      </c>
      <c r="M1214" s="74">
        <f t="shared" ca="1" si="270"/>
      </c>
      <c r="N1214" s="74">
        <f ca="1">VLOOKUP(B1214,$C$7:$T1212,13,FALSE)</f>
      </c>
      <c r="O1214" s="74">
        <f t="shared" ca="1" si="271"/>
      </c>
      <c r="P1214" s="74">
        <f t="shared" ca="1" si="272"/>
      </c>
      <c r="Q1214" s="74">
        <f t="shared" ca="1" si="273"/>
      </c>
      <c r="R1214" s="74">
        <f t="shared" si="274"/>
      </c>
      <c r="S1214" s="74">
        <f t="shared" ca="1" si="275"/>
      </c>
      <c r="T1214" s="74">
        <f t="shared" si="276"/>
      </c>
    </row>
    <row r="1215" spans="2:20" x14ac:dyDescent="0.3">
      <c r="B1215" s="74">
        <f t="shared" ca="1" si="266"/>
      </c>
      <c r="C1215" s="78">
        <f>Кабельный_журнал!P1181</f>
      </c>
      <c r="D1215" s="74">
        <f t="shared" ca="1" si="267"/>
      </c>
      <c r="E1215" s="80" t="s">
        <v>279</v>
      </c>
      <c r="F1215" s="74">
        <f t="shared" ca="1" si="263"/>
      </c>
      <c r="G1215" s="74">
        <f t="shared" si="264"/>
      </c>
      <c r="H1215" s="80" t="s">
        <v>272</v>
      </c>
      <c r="I1215" s="74">
        <f t="shared" si="265"/>
      </c>
      <c r="J1215" s="74">
        <f t="shared" si="268"/>
      </c>
      <c r="K1215" s="80" t="s">
        <v>280</v>
      </c>
      <c r="L1215" s="74">
        <f t="shared" si="269"/>
      </c>
      <c r="M1215" s="74">
        <f t="shared" ca="1" si="270"/>
      </c>
      <c r="N1215" s="74">
        <f ca="1">VLOOKUP(B1215,$C$7:$T1213,13,FALSE)</f>
      </c>
      <c r="O1215" s="74">
        <f t="shared" ca="1" si="271"/>
      </c>
      <c r="P1215" s="74">
        <f t="shared" ca="1" si="272"/>
      </c>
      <c r="Q1215" s="74">
        <f t="shared" ca="1" si="273"/>
      </c>
      <c r="R1215" s="74">
        <f t="shared" si="274"/>
      </c>
      <c r="S1215" s="74">
        <f t="shared" ca="1" si="275"/>
      </c>
      <c r="T1215" s="74">
        <f t="shared" si="276"/>
      </c>
    </row>
    <row r="1216" spans="2:20" x14ac:dyDescent="0.3">
      <c r="B1216" s="74">
        <f t="shared" ca="1" si="266"/>
      </c>
      <c r="C1216" s="78">
        <f>Кабельный_журнал!P1182</f>
      </c>
      <c r="D1216" s="74">
        <f t="shared" ca="1" si="267"/>
      </c>
      <c r="E1216" s="80" t="s">
        <v>279</v>
      </c>
      <c r="F1216" s="74">
        <f t="shared" ca="1" si="263"/>
      </c>
      <c r="G1216" s="74">
        <f t="shared" si="264"/>
      </c>
      <c r="H1216" s="80" t="s">
        <v>272</v>
      </c>
      <c r="I1216" s="74">
        <f t="shared" si="265"/>
      </c>
      <c r="J1216" s="74">
        <f t="shared" si="268"/>
      </c>
      <c r="K1216" s="80" t="s">
        <v>280</v>
      </c>
      <c r="L1216" s="74">
        <f t="shared" si="269"/>
      </c>
      <c r="M1216" s="74">
        <f t="shared" ca="1" si="270"/>
      </c>
      <c r="N1216" s="74">
        <f ca="1">VLOOKUP(B1216,$C$7:$T1214,13,FALSE)</f>
      </c>
      <c r="O1216" s="74">
        <f t="shared" ca="1" si="271"/>
      </c>
      <c r="P1216" s="74">
        <f t="shared" ca="1" si="272"/>
      </c>
      <c r="Q1216" s="74">
        <f t="shared" ca="1" si="273"/>
      </c>
      <c r="R1216" s="74">
        <f t="shared" si="274"/>
      </c>
      <c r="S1216" s="74">
        <f t="shared" ca="1" si="275"/>
      </c>
      <c r="T1216" s="74">
        <f t="shared" si="276"/>
      </c>
    </row>
    <row r="1217" spans="2:20" x14ac:dyDescent="0.3">
      <c r="B1217" s="74">
        <f t="shared" ca="1" si="266"/>
      </c>
      <c r="C1217" s="78">
        <f>Кабельный_журнал!P1183</f>
      </c>
      <c r="D1217" s="74">
        <f t="shared" ca="1" si="267"/>
      </c>
      <c r="E1217" s="80" t="s">
        <v>279</v>
      </c>
      <c r="F1217" s="74">
        <f t="shared" ca="1" si="263"/>
      </c>
      <c r="G1217" s="74">
        <f t="shared" si="264"/>
      </c>
      <c r="H1217" s="80" t="s">
        <v>272</v>
      </c>
      <c r="I1217" s="74">
        <f t="shared" si="265"/>
      </c>
      <c r="J1217" s="74">
        <f t="shared" si="268"/>
      </c>
      <c r="K1217" s="80" t="s">
        <v>280</v>
      </c>
      <c r="L1217" s="74">
        <f t="shared" si="269"/>
      </c>
      <c r="M1217" s="74">
        <f t="shared" ca="1" si="270"/>
      </c>
      <c r="N1217" s="74">
        <f ca="1">VLOOKUP(B1217,$C$7:$T1215,13,FALSE)</f>
      </c>
      <c r="O1217" s="74">
        <f t="shared" ca="1" si="271"/>
      </c>
      <c r="P1217" s="74">
        <f t="shared" ca="1" si="272"/>
      </c>
      <c r="Q1217" s="74">
        <f t="shared" ca="1" si="273"/>
      </c>
      <c r="R1217" s="74">
        <f t="shared" si="274"/>
      </c>
      <c r="S1217" s="74">
        <f t="shared" ca="1" si="275"/>
      </c>
      <c r="T1217" s="74">
        <f t="shared" si="276"/>
      </c>
    </row>
    <row r="1218" spans="2:20" x14ac:dyDescent="0.3">
      <c r="B1218" s="74">
        <f t="shared" ca="1" si="266"/>
      </c>
      <c r="C1218" s="78">
        <f>Кабельный_журнал!P1184</f>
      </c>
      <c r="D1218" s="74">
        <f t="shared" ca="1" si="267"/>
      </c>
      <c r="E1218" s="80" t="s">
        <v>279</v>
      </c>
      <c r="F1218" s="74">
        <f t="shared" ca="1" si="263"/>
      </c>
      <c r="G1218" s="74">
        <f t="shared" si="264"/>
      </c>
      <c r="H1218" s="80" t="s">
        <v>272</v>
      </c>
      <c r="I1218" s="74">
        <f t="shared" si="265"/>
      </c>
      <c r="J1218" s="74">
        <f t="shared" si="268"/>
      </c>
      <c r="K1218" s="80" t="s">
        <v>280</v>
      </c>
      <c r="L1218" s="74">
        <f t="shared" si="269"/>
      </c>
      <c r="M1218" s="74">
        <f t="shared" ca="1" si="270"/>
      </c>
      <c r="N1218" s="74">
        <f ca="1">VLOOKUP(B1218,$C$7:$T1216,13,FALSE)</f>
      </c>
      <c r="O1218" s="74">
        <f t="shared" ca="1" si="271"/>
      </c>
      <c r="P1218" s="74">
        <f t="shared" ca="1" si="272"/>
      </c>
      <c r="Q1218" s="74">
        <f t="shared" ca="1" si="273"/>
      </c>
      <c r="R1218" s="74">
        <f t="shared" si="274"/>
      </c>
      <c r="S1218" s="74">
        <f t="shared" ca="1" si="275"/>
      </c>
      <c r="T1218" s="74">
        <f t="shared" si="276"/>
      </c>
    </row>
    <row r="1219" spans="2:20" x14ac:dyDescent="0.3">
      <c r="B1219" s="74">
        <f t="shared" ca="1" si="266"/>
      </c>
      <c r="C1219" s="78">
        <f>Кабельный_журнал!P1185</f>
      </c>
      <c r="D1219" s="74">
        <f t="shared" ca="1" si="267"/>
      </c>
      <c r="E1219" s="80" t="s">
        <v>279</v>
      </c>
      <c r="F1219" s="74">
        <f t="shared" ca="1" si="263"/>
      </c>
      <c r="G1219" s="74">
        <f t="shared" si="264"/>
      </c>
      <c r="H1219" s="80" t="s">
        <v>272</v>
      </c>
      <c r="I1219" s="74">
        <f t="shared" si="265"/>
      </c>
      <c r="J1219" s="74">
        <f t="shared" si="268"/>
      </c>
      <c r="K1219" s="80" t="s">
        <v>280</v>
      </c>
      <c r="L1219" s="74">
        <f t="shared" si="269"/>
      </c>
      <c r="M1219" s="74">
        <f t="shared" ca="1" si="270"/>
      </c>
      <c r="N1219" s="74">
        <f ca="1">VLOOKUP(B1219,$C$7:$T1217,13,FALSE)</f>
      </c>
      <c r="O1219" s="74">
        <f t="shared" ca="1" si="271"/>
      </c>
      <c r="P1219" s="74">
        <f t="shared" ca="1" si="272"/>
      </c>
      <c r="Q1219" s="74">
        <f t="shared" ca="1" si="273"/>
      </c>
      <c r="R1219" s="74">
        <f t="shared" si="274"/>
      </c>
      <c r="S1219" s="74">
        <f t="shared" ca="1" si="275"/>
      </c>
      <c r="T1219" s="74">
        <f t="shared" si="276"/>
      </c>
    </row>
    <row r="1220" spans="2:20" x14ac:dyDescent="0.3">
      <c r="B1220" s="74">
        <f t="shared" ca="1" si="266"/>
      </c>
      <c r="C1220" s="78">
        <f>Кабельный_журнал!P1186</f>
      </c>
      <c r="D1220" s="74">
        <f t="shared" ca="1" si="267"/>
      </c>
      <c r="E1220" s="80" t="s">
        <v>279</v>
      </c>
      <c r="F1220" s="74">
        <f t="shared" ca="1" si="263"/>
      </c>
      <c r="G1220" s="74">
        <f t="shared" si="264"/>
      </c>
      <c r="H1220" s="80" t="s">
        <v>272</v>
      </c>
      <c r="I1220" s="74">
        <f t="shared" si="265"/>
      </c>
      <c r="J1220" s="74">
        <f t="shared" si="268"/>
      </c>
      <c r="K1220" s="80" t="s">
        <v>280</v>
      </c>
      <c r="L1220" s="74">
        <f t="shared" si="269"/>
      </c>
      <c r="M1220" s="74">
        <f t="shared" ca="1" si="270"/>
      </c>
      <c r="N1220" s="74">
        <f ca="1">VLOOKUP(B1220,$C$7:$T1218,13,FALSE)</f>
      </c>
      <c r="O1220" s="74">
        <f t="shared" ca="1" si="271"/>
      </c>
      <c r="P1220" s="74">
        <f t="shared" ca="1" si="272"/>
      </c>
      <c r="Q1220" s="74">
        <f t="shared" ca="1" si="273"/>
      </c>
      <c r="R1220" s="74">
        <f t="shared" si="274"/>
      </c>
      <c r="S1220" s="74">
        <f t="shared" ca="1" si="275"/>
      </c>
      <c r="T1220" s="74">
        <f t="shared" si="276"/>
      </c>
    </row>
    <row r="1221" spans="2:20" x14ac:dyDescent="0.3">
      <c r="B1221" s="74">
        <f t="shared" ca="1" si="266"/>
      </c>
      <c r="C1221" s="78">
        <f>Кабельный_журнал!P1187</f>
      </c>
      <c r="D1221" s="74">
        <f t="shared" ca="1" si="267"/>
      </c>
      <c r="E1221" s="80" t="s">
        <v>279</v>
      </c>
      <c r="F1221" s="74">
        <f t="shared" ca="1" si="263"/>
      </c>
      <c r="G1221" s="74">
        <f t="shared" si="264"/>
      </c>
      <c r="H1221" s="80" t="s">
        <v>272</v>
      </c>
      <c r="I1221" s="74">
        <f t="shared" si="265"/>
      </c>
      <c r="J1221" s="74">
        <f t="shared" si="268"/>
      </c>
      <c r="K1221" s="80" t="s">
        <v>280</v>
      </c>
      <c r="L1221" s="74">
        <f t="shared" si="269"/>
      </c>
      <c r="M1221" s="74">
        <f t="shared" ca="1" si="270"/>
      </c>
      <c r="N1221" s="74">
        <f ca="1">VLOOKUP(B1221,$C$7:$T1219,13,FALSE)</f>
      </c>
      <c r="O1221" s="74">
        <f t="shared" ca="1" si="271"/>
      </c>
      <c r="P1221" s="74">
        <f t="shared" ca="1" si="272"/>
      </c>
      <c r="Q1221" s="74">
        <f t="shared" ca="1" si="273"/>
      </c>
      <c r="R1221" s="74">
        <f t="shared" si="274"/>
      </c>
      <c r="S1221" s="74">
        <f t="shared" ca="1" si="275"/>
      </c>
      <c r="T1221" s="74">
        <f t="shared" si="276"/>
      </c>
    </row>
    <row r="1222" spans="2:20" x14ac:dyDescent="0.3">
      <c r="B1222" s="74">
        <f t="shared" ca="1" si="266"/>
      </c>
      <c r="C1222" s="78">
        <f>Кабельный_журнал!P1188</f>
      </c>
      <c r="D1222" s="74">
        <f t="shared" ca="1" si="267"/>
      </c>
      <c r="E1222" s="80" t="s">
        <v>279</v>
      </c>
      <c r="F1222" s="74">
        <f t="shared" ca="1" si="263"/>
      </c>
      <c r="G1222" s="74">
        <f t="shared" si="264"/>
      </c>
      <c r="H1222" s="80" t="s">
        <v>272</v>
      </c>
      <c r="I1222" s="74">
        <f t="shared" si="265"/>
      </c>
      <c r="J1222" s="74">
        <f t="shared" si="268"/>
      </c>
      <c r="K1222" s="80" t="s">
        <v>280</v>
      </c>
      <c r="L1222" s="74">
        <f t="shared" si="269"/>
      </c>
      <c r="M1222" s="74">
        <f t="shared" ca="1" si="270"/>
      </c>
      <c r="N1222" s="74">
        <f ca="1">VLOOKUP(B1222,$C$7:$T1220,13,FALSE)</f>
      </c>
      <c r="O1222" s="74">
        <f t="shared" ca="1" si="271"/>
      </c>
      <c r="P1222" s="74">
        <f t="shared" ca="1" si="272"/>
      </c>
      <c r="Q1222" s="74">
        <f t="shared" ca="1" si="273"/>
      </c>
      <c r="R1222" s="74">
        <f t="shared" si="274"/>
      </c>
      <c r="S1222" s="74">
        <f t="shared" ca="1" si="275"/>
      </c>
      <c r="T1222" s="74">
        <f t="shared" si="276"/>
      </c>
    </row>
    <row r="1223" spans="2:20" x14ac:dyDescent="0.3">
      <c r="B1223" s="74">
        <f t="shared" ca="1" si="266"/>
      </c>
      <c r="C1223" s="78">
        <f>Кабельный_журнал!P1189</f>
      </c>
      <c r="D1223" s="74">
        <f t="shared" ca="1" si="267"/>
      </c>
      <c r="E1223" s="80" t="s">
        <v>279</v>
      </c>
      <c r="F1223" s="74">
        <f t="shared" ca="1" si="263"/>
      </c>
      <c r="G1223" s="74">
        <f t="shared" si="264"/>
      </c>
      <c r="H1223" s="80" t="s">
        <v>272</v>
      </c>
      <c r="I1223" s="74">
        <f t="shared" si="265"/>
      </c>
      <c r="J1223" s="74">
        <f t="shared" si="268"/>
      </c>
      <c r="K1223" s="80" t="s">
        <v>280</v>
      </c>
      <c r="L1223" s="74">
        <f t="shared" si="269"/>
      </c>
      <c r="M1223" s="74">
        <f t="shared" ca="1" si="270"/>
      </c>
      <c r="N1223" s="74">
        <f ca="1">VLOOKUP(B1223,$C$7:$T1221,13,FALSE)</f>
      </c>
      <c r="O1223" s="74">
        <f t="shared" ca="1" si="271"/>
      </c>
      <c r="P1223" s="74">
        <f t="shared" ca="1" si="272"/>
      </c>
      <c r="Q1223" s="74">
        <f t="shared" ca="1" si="273"/>
      </c>
      <c r="R1223" s="74">
        <f t="shared" si="274"/>
      </c>
      <c r="S1223" s="74">
        <f t="shared" ca="1" si="275"/>
      </c>
      <c r="T1223" s="74">
        <f t="shared" si="276"/>
      </c>
    </row>
    <row r="1224" spans="2:20" x14ac:dyDescent="0.3">
      <c r="B1224" s="74">
        <f t="shared" ca="1" si="266"/>
      </c>
      <c r="C1224" s="78">
        <f>Кабельный_журнал!P1190</f>
      </c>
      <c r="D1224" s="74">
        <f t="shared" ca="1" si="267"/>
      </c>
      <c r="E1224" s="80" t="s">
        <v>279</v>
      </c>
      <c r="F1224" s="74">
        <f t="shared" ca="1" si="263"/>
      </c>
      <c r="G1224" s="74">
        <f t="shared" si="264"/>
      </c>
      <c r="H1224" s="80" t="s">
        <v>272</v>
      </c>
      <c r="I1224" s="74">
        <f t="shared" si="265"/>
      </c>
      <c r="J1224" s="74">
        <f t="shared" si="268"/>
      </c>
      <c r="K1224" s="80" t="s">
        <v>280</v>
      </c>
      <c r="L1224" s="74">
        <f t="shared" si="269"/>
      </c>
      <c r="M1224" s="74">
        <f t="shared" ca="1" si="270"/>
      </c>
      <c r="N1224" s="74">
        <f ca="1">VLOOKUP(B1224,$C$7:$T1222,13,FALSE)</f>
      </c>
      <c r="O1224" s="74">
        <f t="shared" ca="1" si="271"/>
      </c>
      <c r="P1224" s="74">
        <f t="shared" ca="1" si="272"/>
      </c>
      <c r="Q1224" s="74">
        <f t="shared" ca="1" si="273"/>
      </c>
      <c r="R1224" s="74">
        <f t="shared" si="274"/>
      </c>
      <c r="S1224" s="74">
        <f t="shared" ca="1" si="275"/>
      </c>
      <c r="T1224" s="74">
        <f t="shared" si="276"/>
      </c>
    </row>
    <row r="1225" spans="2:20" x14ac:dyDescent="0.3">
      <c r="B1225" s="74">
        <f t="shared" ca="1" si="266"/>
      </c>
      <c r="C1225" s="78">
        <f>Кабельный_журнал!P1191</f>
      </c>
      <c r="D1225" s="74">
        <f t="shared" ca="1" si="267"/>
      </c>
      <c r="E1225" s="80" t="s">
        <v>279</v>
      </c>
      <c r="F1225" s="74">
        <f t="shared" ca="1" si="263"/>
      </c>
      <c r="G1225" s="74">
        <f t="shared" si="264"/>
      </c>
      <c r="H1225" s="80" t="s">
        <v>272</v>
      </c>
      <c r="I1225" s="74">
        <f t="shared" si="265"/>
      </c>
      <c r="J1225" s="74">
        <f t="shared" si="268"/>
      </c>
      <c r="K1225" s="80" t="s">
        <v>280</v>
      </c>
      <c r="L1225" s="74">
        <f t="shared" si="269"/>
      </c>
      <c r="M1225" s="74">
        <f t="shared" ca="1" si="270"/>
      </c>
      <c r="N1225" s="74">
        <f ca="1">VLOOKUP(B1225,$C$7:$T1223,13,FALSE)</f>
      </c>
      <c r="O1225" s="74">
        <f t="shared" ca="1" si="271"/>
      </c>
      <c r="P1225" s="74">
        <f t="shared" ca="1" si="272"/>
      </c>
      <c r="Q1225" s="74">
        <f t="shared" ca="1" si="273"/>
      </c>
      <c r="R1225" s="74">
        <f t="shared" si="274"/>
      </c>
      <c r="S1225" s="74">
        <f t="shared" ca="1" si="275"/>
      </c>
      <c r="T1225" s="74">
        <f t="shared" si="276"/>
      </c>
    </row>
    <row r="1226" spans="2:20" x14ac:dyDescent="0.3">
      <c r="B1226" s="74">
        <f t="shared" ca="1" si="266"/>
      </c>
      <c r="C1226" s="78">
        <f>Кабельный_журнал!P1192</f>
      </c>
      <c r="D1226" s="74">
        <f t="shared" ca="1" si="267"/>
      </c>
      <c r="E1226" s="80" t="s">
        <v>279</v>
      </c>
      <c r="F1226" s="74">
        <f t="shared" ca="1" si="263"/>
      </c>
      <c r="G1226" s="74">
        <f t="shared" si="264"/>
      </c>
      <c r="H1226" s="80" t="s">
        <v>272</v>
      </c>
      <c r="I1226" s="74">
        <f t="shared" si="265"/>
      </c>
      <c r="J1226" s="74">
        <f t="shared" si="268"/>
      </c>
      <c r="K1226" s="80" t="s">
        <v>280</v>
      </c>
      <c r="L1226" s="74">
        <f t="shared" si="269"/>
      </c>
      <c r="M1226" s="74">
        <f t="shared" ca="1" si="270"/>
      </c>
      <c r="N1226" s="74">
        <f ca="1">VLOOKUP(B1226,$C$7:$T1224,13,FALSE)</f>
      </c>
      <c r="O1226" s="74">
        <f t="shared" ca="1" si="271"/>
      </c>
      <c r="P1226" s="74">
        <f t="shared" ca="1" si="272"/>
      </c>
      <c r="Q1226" s="74">
        <f t="shared" ca="1" si="273"/>
      </c>
      <c r="R1226" s="74">
        <f t="shared" si="274"/>
      </c>
      <c r="S1226" s="74">
        <f t="shared" ca="1" si="275"/>
      </c>
      <c r="T1226" s="74">
        <f t="shared" si="276"/>
      </c>
    </row>
    <row r="1227" spans="2:20" x14ac:dyDescent="0.3">
      <c r="B1227" s="74">
        <f t="shared" ca="1" si="266"/>
      </c>
      <c r="C1227" s="78">
        <f>Кабельный_журнал!P1193</f>
      </c>
      <c r="D1227" s="74">
        <f t="shared" ca="1" si="267"/>
      </c>
      <c r="E1227" s="80" t="s">
        <v>279</v>
      </c>
      <c r="F1227" s="74">
        <f t="shared" ca="1" si="263"/>
      </c>
      <c r="G1227" s="74">
        <f t="shared" si="264"/>
      </c>
      <c r="H1227" s="80" t="s">
        <v>272</v>
      </c>
      <c r="I1227" s="74">
        <f t="shared" si="265"/>
      </c>
      <c r="J1227" s="74">
        <f t="shared" si="268"/>
      </c>
      <c r="K1227" s="80" t="s">
        <v>280</v>
      </c>
      <c r="L1227" s="74">
        <f t="shared" si="269"/>
      </c>
      <c r="M1227" s="74">
        <f t="shared" ca="1" si="270"/>
      </c>
      <c r="N1227" s="74">
        <f ca="1">VLOOKUP(B1227,$C$7:$T1225,13,FALSE)</f>
      </c>
      <c r="O1227" s="74">
        <f t="shared" ca="1" si="271"/>
      </c>
      <c r="P1227" s="74">
        <f t="shared" ca="1" si="272"/>
      </c>
      <c r="Q1227" s="74">
        <f t="shared" ca="1" si="273"/>
      </c>
      <c r="R1227" s="74">
        <f t="shared" si="274"/>
      </c>
      <c r="S1227" s="74">
        <f t="shared" ca="1" si="275"/>
      </c>
      <c r="T1227" s="74">
        <f t="shared" si="276"/>
      </c>
    </row>
    <row r="1228" spans="2:20" x14ac:dyDescent="0.3">
      <c r="B1228" s="74">
        <f t="shared" ca="1" si="266"/>
      </c>
      <c r="C1228" s="78">
        <f>Кабельный_журнал!P1194</f>
      </c>
      <c r="D1228" s="74">
        <f t="shared" ca="1" si="267"/>
      </c>
      <c r="E1228" s="80" t="s">
        <v>279</v>
      </c>
      <c r="F1228" s="74">
        <f t="shared" ca="1" si="263"/>
      </c>
      <c r="G1228" s="74">
        <f t="shared" si="264"/>
      </c>
      <c r="H1228" s="80" t="s">
        <v>272</v>
      </c>
      <c r="I1228" s="74">
        <f t="shared" si="265"/>
      </c>
      <c r="J1228" s="74">
        <f t="shared" si="268"/>
      </c>
      <c r="K1228" s="80" t="s">
        <v>280</v>
      </c>
      <c r="L1228" s="74">
        <f t="shared" si="269"/>
      </c>
      <c r="M1228" s="74">
        <f t="shared" ca="1" si="270"/>
      </c>
      <c r="N1228" s="74">
        <f ca="1">VLOOKUP(B1228,$C$7:$T1226,13,FALSE)</f>
      </c>
      <c r="O1228" s="74">
        <f t="shared" ca="1" si="271"/>
      </c>
      <c r="P1228" s="74">
        <f t="shared" ca="1" si="272"/>
      </c>
      <c r="Q1228" s="74">
        <f t="shared" ca="1" si="273"/>
      </c>
      <c r="R1228" s="74">
        <f t="shared" si="274"/>
      </c>
      <c r="S1228" s="74">
        <f t="shared" ca="1" si="275"/>
      </c>
      <c r="T1228" s="74">
        <f t="shared" si="276"/>
      </c>
    </row>
    <row r="1229" spans="2:20" x14ac:dyDescent="0.3">
      <c r="B1229" s="74">
        <f t="shared" ca="1" si="266"/>
      </c>
      <c r="C1229" s="78">
        <f>Кабельный_журнал!P1195</f>
      </c>
      <c r="D1229" s="74">
        <f t="shared" ca="1" si="267"/>
      </c>
      <c r="E1229" s="80" t="s">
        <v>279</v>
      </c>
      <c r="F1229" s="74">
        <f t="shared" ca="1" si="263"/>
      </c>
      <c r="G1229" s="74">
        <f t="shared" si="264"/>
      </c>
      <c r="H1229" s="80" t="s">
        <v>272</v>
      </c>
      <c r="I1229" s="74">
        <f t="shared" si="265"/>
      </c>
      <c r="J1229" s="74">
        <f t="shared" si="268"/>
      </c>
      <c r="K1229" s="80" t="s">
        <v>280</v>
      </c>
      <c r="L1229" s="74">
        <f t="shared" si="269"/>
      </c>
      <c r="M1229" s="74">
        <f t="shared" ca="1" si="270"/>
      </c>
      <c r="N1229" s="74">
        <f ca="1">VLOOKUP(B1229,$C$7:$T1227,13,FALSE)</f>
      </c>
      <c r="O1229" s="74">
        <f t="shared" ca="1" si="271"/>
      </c>
      <c r="P1229" s="74">
        <f t="shared" ca="1" si="272"/>
      </c>
      <c r="Q1229" s="74">
        <f t="shared" ca="1" si="273"/>
      </c>
      <c r="R1229" s="74">
        <f t="shared" si="274"/>
      </c>
      <c r="S1229" s="74">
        <f t="shared" ca="1" si="275"/>
      </c>
      <c r="T1229" s="74">
        <f t="shared" si="276"/>
      </c>
    </row>
    <row r="1230" spans="2:20" x14ac:dyDescent="0.3">
      <c r="B1230" s="74">
        <f t="shared" ca="1" si="266"/>
      </c>
      <c r="C1230" s="78">
        <f>Кабельный_журнал!P1196</f>
      </c>
      <c r="D1230" s="74">
        <f t="shared" ca="1" si="267"/>
      </c>
      <c r="E1230" s="80" t="s">
        <v>279</v>
      </c>
      <c r="F1230" s="74">
        <f t="shared" ca="1" si="263"/>
      </c>
      <c r="G1230" s="74">
        <f t="shared" si="264"/>
      </c>
      <c r="H1230" s="80" t="s">
        <v>272</v>
      </c>
      <c r="I1230" s="74">
        <f t="shared" si="265"/>
      </c>
      <c r="J1230" s="74">
        <f t="shared" si="268"/>
      </c>
      <c r="K1230" s="80" t="s">
        <v>280</v>
      </c>
      <c r="L1230" s="74">
        <f t="shared" si="269"/>
      </c>
      <c r="M1230" s="74">
        <f t="shared" ca="1" si="270"/>
      </c>
      <c r="N1230" s="74">
        <f ca="1">VLOOKUP(B1230,$C$7:$T1228,13,FALSE)</f>
      </c>
      <c r="O1230" s="74">
        <f t="shared" ca="1" si="271"/>
      </c>
      <c r="P1230" s="74">
        <f t="shared" ca="1" si="272"/>
      </c>
      <c r="Q1230" s="74">
        <f t="shared" ca="1" si="273"/>
      </c>
      <c r="R1230" s="74">
        <f t="shared" si="274"/>
      </c>
      <c r="S1230" s="74">
        <f t="shared" ca="1" si="275"/>
      </c>
      <c r="T1230" s="74">
        <f t="shared" si="276"/>
      </c>
    </row>
    <row r="1231" spans="2:20" x14ac:dyDescent="0.3">
      <c r="B1231" s="74">
        <f t="shared" ca="1" si="266"/>
      </c>
      <c r="C1231" s="78">
        <f>Кабельный_журнал!P1197</f>
      </c>
      <c r="D1231" s="74">
        <f t="shared" ca="1" si="267"/>
      </c>
      <c r="E1231" s="80" t="s">
        <v>279</v>
      </c>
      <c r="F1231" s="74">
        <f t="shared" ca="1" si="263"/>
      </c>
      <c r="G1231" s="74">
        <f t="shared" si="264"/>
      </c>
      <c r="H1231" s="80" t="s">
        <v>272</v>
      </c>
      <c r="I1231" s="74">
        <f t="shared" si="265"/>
      </c>
      <c r="J1231" s="74">
        <f t="shared" si="268"/>
      </c>
      <c r="K1231" s="80" t="s">
        <v>280</v>
      </c>
      <c r="L1231" s="74">
        <f t="shared" si="269"/>
      </c>
      <c r="M1231" s="74">
        <f t="shared" ca="1" si="270"/>
      </c>
      <c r="N1231" s="74">
        <f ca="1">VLOOKUP(B1231,$C$7:$T1229,13,FALSE)</f>
      </c>
      <c r="O1231" s="74">
        <f t="shared" ca="1" si="271"/>
      </c>
      <c r="P1231" s="74">
        <f t="shared" ca="1" si="272"/>
      </c>
      <c r="Q1231" s="74">
        <f t="shared" ca="1" si="273"/>
      </c>
      <c r="R1231" s="74">
        <f t="shared" si="274"/>
      </c>
      <c r="S1231" s="74">
        <f t="shared" ca="1" si="275"/>
      </c>
      <c r="T1231" s="74">
        <f t="shared" si="276"/>
      </c>
    </row>
    <row r="1232" spans="2:20" x14ac:dyDescent="0.3">
      <c r="B1232" s="74">
        <f t="shared" ca="1" si="266"/>
      </c>
      <c r="C1232" s="78">
        <f>Кабельный_журнал!P1198</f>
      </c>
      <c r="D1232" s="74">
        <f t="shared" ca="1" si="267"/>
      </c>
      <c r="E1232" s="80" t="s">
        <v>279</v>
      </c>
      <c r="F1232" s="74">
        <f t="shared" ca="1" si="263"/>
      </c>
      <c r="G1232" s="74">
        <f t="shared" si="264"/>
      </c>
      <c r="H1232" s="80" t="s">
        <v>272</v>
      </c>
      <c r="I1232" s="74">
        <f t="shared" si="265"/>
      </c>
      <c r="J1232" s="74">
        <f t="shared" si="268"/>
      </c>
      <c r="K1232" s="80" t="s">
        <v>280</v>
      </c>
      <c r="L1232" s="74">
        <f t="shared" si="269"/>
      </c>
      <c r="M1232" s="74">
        <f t="shared" ca="1" si="270"/>
      </c>
      <c r="N1232" s="74">
        <f ca="1">VLOOKUP(B1232,$C$7:$T1230,13,FALSE)</f>
      </c>
      <c r="O1232" s="74">
        <f t="shared" ca="1" si="271"/>
      </c>
      <c r="P1232" s="74">
        <f t="shared" ca="1" si="272"/>
      </c>
      <c r="Q1232" s="74">
        <f t="shared" ca="1" si="273"/>
      </c>
      <c r="R1232" s="74">
        <f t="shared" si="274"/>
      </c>
      <c r="S1232" s="74">
        <f t="shared" ca="1" si="275"/>
      </c>
      <c r="T1232" s="74">
        <f t="shared" si="276"/>
      </c>
    </row>
    <row r="1233" spans="2:20" x14ac:dyDescent="0.3">
      <c r="B1233" s="74">
        <f t="shared" ca="1" si="266"/>
      </c>
      <c r="C1233" s="78">
        <f>Кабельный_журнал!P1199</f>
      </c>
      <c r="D1233" s="74">
        <f t="shared" ca="1" si="267"/>
      </c>
      <c r="E1233" s="80" t="s">
        <v>279</v>
      </c>
      <c r="F1233" s="74">
        <f t="shared" ca="1" si="263"/>
      </c>
      <c r="G1233" s="74">
        <f t="shared" si="264"/>
      </c>
      <c r="H1233" s="80" t="s">
        <v>272</v>
      </c>
      <c r="I1233" s="74">
        <f t="shared" si="265"/>
      </c>
      <c r="J1233" s="74">
        <f t="shared" si="268"/>
      </c>
      <c r="K1233" s="80" t="s">
        <v>280</v>
      </c>
      <c r="L1233" s="74">
        <f t="shared" si="269"/>
      </c>
      <c r="M1233" s="74">
        <f t="shared" ca="1" si="270"/>
      </c>
      <c r="N1233" s="74">
        <f ca="1">VLOOKUP(B1233,$C$7:$T1231,13,FALSE)</f>
      </c>
      <c r="O1233" s="74">
        <f t="shared" ca="1" si="271"/>
      </c>
      <c r="P1233" s="74">
        <f t="shared" ca="1" si="272"/>
      </c>
      <c r="Q1233" s="74">
        <f t="shared" ca="1" si="273"/>
      </c>
      <c r="R1233" s="74">
        <f t="shared" si="274"/>
      </c>
      <c r="S1233" s="74">
        <f t="shared" ca="1" si="275"/>
      </c>
      <c r="T1233" s="74">
        <f t="shared" si="276"/>
      </c>
    </row>
    <row r="1234" spans="2:20" x14ac:dyDescent="0.3">
      <c r="B1234" s="74">
        <f t="shared" ca="1" si="266"/>
      </c>
      <c r="C1234" s="78">
        <f>Кабельный_журнал!P1200</f>
      </c>
      <c r="D1234" s="74">
        <f t="shared" ca="1" si="267"/>
      </c>
      <c r="E1234" s="80" t="s">
        <v>279</v>
      </c>
      <c r="F1234" s="74">
        <f t="shared" ca="1" si="263"/>
      </c>
      <c r="G1234" s="74">
        <f t="shared" si="264"/>
      </c>
      <c r="H1234" s="80" t="s">
        <v>272</v>
      </c>
      <c r="I1234" s="74">
        <f t="shared" si="265"/>
      </c>
      <c r="J1234" s="74">
        <f t="shared" si="268"/>
      </c>
      <c r="K1234" s="80" t="s">
        <v>280</v>
      </c>
      <c r="L1234" s="74">
        <f t="shared" si="269"/>
      </c>
      <c r="M1234" s="74">
        <f t="shared" ca="1" si="270"/>
      </c>
      <c r="N1234" s="74">
        <f ca="1">VLOOKUP(B1234,$C$7:$T1232,13,FALSE)</f>
      </c>
      <c r="O1234" s="74">
        <f t="shared" ca="1" si="271"/>
      </c>
      <c r="P1234" s="74">
        <f t="shared" ca="1" si="272"/>
      </c>
      <c r="Q1234" s="74">
        <f t="shared" ca="1" si="273"/>
      </c>
      <c r="R1234" s="74">
        <f t="shared" si="274"/>
      </c>
      <c r="S1234" s="74">
        <f t="shared" ca="1" si="275"/>
      </c>
      <c r="T1234" s="74">
        <f t="shared" si="276"/>
      </c>
    </row>
    <row r="1235" spans="2:20" x14ac:dyDescent="0.3">
      <c r="B1235" s="74">
        <f t="shared" ca="1" si="266"/>
      </c>
      <c r="C1235" s="78">
        <f>Кабельный_журнал!P1201</f>
      </c>
      <c r="D1235" s="74">
        <f t="shared" ca="1" si="267"/>
      </c>
      <c r="E1235" s="80" t="s">
        <v>279</v>
      </c>
      <c r="F1235" s="74">
        <f t="shared" ca="1" si="263"/>
      </c>
      <c r="G1235" s="74">
        <f t="shared" si="264"/>
      </c>
      <c r="H1235" s="80" t="s">
        <v>272</v>
      </c>
      <c r="I1235" s="74">
        <f t="shared" si="265"/>
      </c>
      <c r="J1235" s="74">
        <f t="shared" si="268"/>
      </c>
      <c r="K1235" s="80" t="s">
        <v>280</v>
      </c>
      <c r="L1235" s="74">
        <f t="shared" si="269"/>
      </c>
      <c r="M1235" s="74">
        <f t="shared" ca="1" si="270"/>
      </c>
      <c r="N1235" s="74">
        <f ca="1">VLOOKUP(B1235,$C$7:$T1233,13,FALSE)</f>
      </c>
      <c r="O1235" s="74">
        <f t="shared" ca="1" si="271"/>
      </c>
      <c r="P1235" s="74">
        <f t="shared" ca="1" si="272"/>
      </c>
      <c r="Q1235" s="74">
        <f t="shared" ca="1" si="273"/>
      </c>
      <c r="R1235" s="74">
        <f t="shared" si="274"/>
      </c>
      <c r="S1235" s="74">
        <f t="shared" ca="1" si="275"/>
      </c>
      <c r="T1235" s="74">
        <f t="shared" si="276"/>
      </c>
    </row>
    <row r="1236" spans="2:20" x14ac:dyDescent="0.3">
      <c r="B1236" s="74">
        <f t="shared" ca="1" si="266"/>
      </c>
      <c r="C1236" s="78">
        <f>Кабельный_журнал!P1202</f>
      </c>
      <c r="D1236" s="74">
        <f t="shared" ca="1" si="267"/>
      </c>
      <c r="E1236" s="80" t="s">
        <v>279</v>
      </c>
      <c r="F1236" s="74">
        <f t="shared" ca="1" si="263"/>
      </c>
      <c r="G1236" s="74">
        <f t="shared" si="264"/>
      </c>
      <c r="H1236" s="80" t="s">
        <v>272</v>
      </c>
      <c r="I1236" s="74">
        <f t="shared" si="265"/>
      </c>
      <c r="J1236" s="74">
        <f t="shared" si="268"/>
      </c>
      <c r="K1236" s="80" t="s">
        <v>280</v>
      </c>
      <c r="L1236" s="74">
        <f t="shared" si="269"/>
      </c>
      <c r="M1236" s="74">
        <f t="shared" ca="1" si="270"/>
      </c>
      <c r="N1236" s="74">
        <f ca="1">VLOOKUP(B1236,$C$7:$T1234,13,FALSE)</f>
      </c>
      <c r="O1236" s="74">
        <f t="shared" ca="1" si="271"/>
      </c>
      <c r="P1236" s="74">
        <f t="shared" ca="1" si="272"/>
      </c>
      <c r="Q1236" s="74">
        <f t="shared" ca="1" si="273"/>
      </c>
      <c r="R1236" s="74">
        <f t="shared" si="274"/>
      </c>
      <c r="S1236" s="74">
        <f t="shared" ca="1" si="275"/>
      </c>
      <c r="T1236" s="74">
        <f t="shared" si="276"/>
      </c>
    </row>
    <row r="1237" spans="2:20" x14ac:dyDescent="0.3">
      <c r="B1237" s="74">
        <f t="shared" ca="1" si="266"/>
      </c>
      <c r="C1237" s="78">
        <f>Кабельный_журнал!P1203</f>
      </c>
      <c r="D1237" s="74">
        <f t="shared" ca="1" si="267"/>
      </c>
      <c r="E1237" s="80" t="s">
        <v>279</v>
      </c>
      <c r="F1237" s="74">
        <f t="shared" ca="1" si="263"/>
      </c>
      <c r="G1237" s="74">
        <f t="shared" si="264"/>
      </c>
      <c r="H1237" s="80" t="s">
        <v>272</v>
      </c>
      <c r="I1237" s="74">
        <f t="shared" si="265"/>
      </c>
      <c r="J1237" s="74">
        <f t="shared" si="268"/>
      </c>
      <c r="K1237" s="80" t="s">
        <v>280</v>
      </c>
      <c r="L1237" s="74">
        <f t="shared" si="269"/>
      </c>
      <c r="M1237" s="74">
        <f t="shared" ca="1" si="270"/>
      </c>
      <c r="N1237" s="74">
        <f ca="1">VLOOKUP(B1237,$C$7:$T1235,13,FALSE)</f>
      </c>
      <c r="O1237" s="74">
        <f t="shared" ca="1" si="271"/>
      </c>
      <c r="P1237" s="74">
        <f t="shared" ca="1" si="272"/>
      </c>
      <c r="Q1237" s="74">
        <f t="shared" ca="1" si="273"/>
      </c>
      <c r="R1237" s="74">
        <f t="shared" si="274"/>
      </c>
      <c r="S1237" s="74">
        <f t="shared" ca="1" si="275"/>
      </c>
      <c r="T1237" s="74">
        <f t="shared" si="276"/>
      </c>
    </row>
    <row r="1238" spans="2:20" x14ac:dyDescent="0.3">
      <c r="B1238" s="74">
        <f t="shared" ca="1" si="266"/>
      </c>
      <c r="C1238" s="78">
        <f>Кабельный_журнал!P1204</f>
      </c>
      <c r="D1238" s="74">
        <f t="shared" ca="1" si="267"/>
      </c>
      <c r="E1238" s="80" t="s">
        <v>279</v>
      </c>
      <c r="F1238" s="74">
        <f t="shared" ca="1" si="263"/>
      </c>
      <c r="G1238" s="74">
        <f t="shared" si="264"/>
      </c>
      <c r="H1238" s="80" t="s">
        <v>272</v>
      </c>
      <c r="I1238" s="74">
        <f t="shared" si="265"/>
      </c>
      <c r="J1238" s="74">
        <f t="shared" si="268"/>
      </c>
      <c r="K1238" s="80" t="s">
        <v>280</v>
      </c>
      <c r="L1238" s="74">
        <f t="shared" si="269"/>
      </c>
      <c r="M1238" s="74">
        <f t="shared" ca="1" si="270"/>
      </c>
      <c r="N1238" s="74">
        <f ca="1">VLOOKUP(B1238,$C$7:$T1236,13,FALSE)</f>
      </c>
      <c r="O1238" s="74">
        <f t="shared" ca="1" si="271"/>
      </c>
      <c r="P1238" s="74">
        <f t="shared" ca="1" si="272"/>
      </c>
      <c r="Q1238" s="74">
        <f t="shared" ca="1" si="273"/>
      </c>
      <c r="R1238" s="74">
        <f t="shared" si="274"/>
      </c>
      <c r="S1238" s="74">
        <f t="shared" ca="1" si="275"/>
      </c>
      <c r="T1238" s="74">
        <f t="shared" si="276"/>
      </c>
    </row>
    <row r="1239" spans="2:20" x14ac:dyDescent="0.3">
      <c r="B1239" s="74">
        <f t="shared" ca="1" si="266"/>
      </c>
      <c r="C1239" s="78">
        <f>Кабельный_журнал!P1205</f>
      </c>
      <c r="D1239" s="74">
        <f t="shared" ca="1" si="267"/>
      </c>
      <c r="E1239" s="80" t="s">
        <v>279</v>
      </c>
      <c r="F1239" s="74">
        <f t="shared" ca="1" si="263"/>
      </c>
      <c r="G1239" s="74">
        <f t="shared" si="264"/>
      </c>
      <c r="H1239" s="80" t="s">
        <v>272</v>
      </c>
      <c r="I1239" s="74">
        <f t="shared" si="265"/>
      </c>
      <c r="J1239" s="74">
        <f t="shared" si="268"/>
      </c>
      <c r="K1239" s="80" t="s">
        <v>280</v>
      </c>
      <c r="L1239" s="74">
        <f t="shared" si="269"/>
      </c>
      <c r="M1239" s="74">
        <f t="shared" ca="1" si="270"/>
      </c>
      <c r="N1239" s="74">
        <f ca="1">VLOOKUP(B1239,$C$7:$T1237,13,FALSE)</f>
      </c>
      <c r="O1239" s="74">
        <f t="shared" ca="1" si="271"/>
      </c>
      <c r="P1239" s="74">
        <f t="shared" ca="1" si="272"/>
      </c>
      <c r="Q1239" s="74">
        <f t="shared" ca="1" si="273"/>
      </c>
      <c r="R1239" s="74">
        <f t="shared" si="274"/>
      </c>
      <c r="S1239" s="74">
        <f t="shared" ca="1" si="275"/>
      </c>
      <c r="T1239" s="74">
        <f t="shared" si="276"/>
      </c>
    </row>
    <row r="1240" spans="2:20" x14ac:dyDescent="0.3">
      <c r="B1240" s="74">
        <f t="shared" ca="1" si="266"/>
      </c>
      <c r="C1240" s="78">
        <f>Кабельный_журнал!P1206</f>
      </c>
      <c r="D1240" s="74">
        <f t="shared" ca="1" si="267"/>
      </c>
      <c r="E1240" s="80" t="s">
        <v>279</v>
      </c>
      <c r="F1240" s="74">
        <f t="shared" ca="1" si="263"/>
      </c>
      <c r="G1240" s="74">
        <f t="shared" si="264"/>
      </c>
      <c r="H1240" s="80" t="s">
        <v>272</v>
      </c>
      <c r="I1240" s="74">
        <f t="shared" si="265"/>
      </c>
      <c r="J1240" s="74">
        <f t="shared" si="268"/>
      </c>
      <c r="K1240" s="80" t="s">
        <v>280</v>
      </c>
      <c r="L1240" s="74">
        <f t="shared" si="269"/>
      </c>
      <c r="M1240" s="74">
        <f t="shared" ca="1" si="270"/>
      </c>
      <c r="N1240" s="74">
        <f ca="1">VLOOKUP(B1240,$C$7:$T1238,13,FALSE)</f>
      </c>
      <c r="O1240" s="74">
        <f t="shared" ca="1" si="271"/>
      </c>
      <c r="P1240" s="74">
        <f t="shared" ca="1" si="272"/>
      </c>
      <c r="Q1240" s="74">
        <f t="shared" ca="1" si="273"/>
      </c>
      <c r="R1240" s="74">
        <f t="shared" si="274"/>
      </c>
      <c r="S1240" s="74">
        <f t="shared" ca="1" si="275"/>
      </c>
      <c r="T1240" s="74">
        <f t="shared" si="276"/>
      </c>
    </row>
    <row r="1241" spans="2:20" x14ac:dyDescent="0.3">
      <c r="B1241" s="74">
        <f t="shared" ca="1" si="266"/>
      </c>
      <c r="C1241" s="78">
        <f>Кабельный_журнал!P1207</f>
      </c>
      <c r="D1241" s="74">
        <f t="shared" ca="1" si="267"/>
      </c>
      <c r="E1241" s="80" t="s">
        <v>279</v>
      </c>
      <c r="F1241" s="74">
        <f t="shared" ca="1" si="263"/>
      </c>
      <c r="G1241" s="74">
        <f t="shared" si="264"/>
      </c>
      <c r="H1241" s="80" t="s">
        <v>272</v>
      </c>
      <c r="I1241" s="74">
        <f t="shared" si="265"/>
      </c>
      <c r="J1241" s="74">
        <f t="shared" si="268"/>
      </c>
      <c r="K1241" s="80" t="s">
        <v>280</v>
      </c>
      <c r="L1241" s="74">
        <f t="shared" si="269"/>
      </c>
      <c r="M1241" s="74">
        <f t="shared" ca="1" si="270"/>
      </c>
      <c r="N1241" s="74">
        <f ca="1">VLOOKUP(B1241,$C$7:$T1239,13,FALSE)</f>
      </c>
      <c r="O1241" s="74">
        <f t="shared" ca="1" si="271"/>
      </c>
      <c r="P1241" s="74">
        <f t="shared" ca="1" si="272"/>
      </c>
      <c r="Q1241" s="74">
        <f t="shared" ca="1" si="273"/>
      </c>
      <c r="R1241" s="74">
        <f t="shared" si="274"/>
      </c>
      <c r="S1241" s="74">
        <f t="shared" ca="1" si="275"/>
      </c>
      <c r="T1241" s="74">
        <f t="shared" si="276"/>
      </c>
    </row>
    <row r="1242" spans="2:20" x14ac:dyDescent="0.3">
      <c r="B1242" s="74">
        <f t="shared" ca="1" si="266"/>
      </c>
      <c r="C1242" s="78">
        <f>Кабельный_журнал!P1208</f>
      </c>
      <c r="D1242" s="74">
        <f t="shared" ca="1" si="267"/>
      </c>
      <c r="E1242" s="80" t="s">
        <v>279</v>
      </c>
      <c r="F1242" s="74">
        <f t="shared" ca="1" si="263"/>
      </c>
      <c r="G1242" s="74">
        <f t="shared" si="264"/>
      </c>
      <c r="H1242" s="80" t="s">
        <v>272</v>
      </c>
      <c r="I1242" s="74">
        <f t="shared" si="265"/>
      </c>
      <c r="J1242" s="74">
        <f t="shared" si="268"/>
      </c>
      <c r="K1242" s="80" t="s">
        <v>280</v>
      </c>
      <c r="L1242" s="74">
        <f t="shared" si="269"/>
      </c>
      <c r="M1242" s="74">
        <f t="shared" ca="1" si="270"/>
      </c>
      <c r="N1242" s="74">
        <f ca="1">VLOOKUP(B1242,$C$7:$T1240,13,FALSE)</f>
      </c>
      <c r="O1242" s="74">
        <f t="shared" ca="1" si="271"/>
      </c>
      <c r="P1242" s="74">
        <f t="shared" ca="1" si="272"/>
      </c>
      <c r="Q1242" s="74">
        <f t="shared" ca="1" si="273"/>
      </c>
      <c r="R1242" s="74">
        <f t="shared" si="274"/>
      </c>
      <c r="S1242" s="74">
        <f t="shared" ca="1" si="275"/>
      </c>
      <c r="T1242" s="74">
        <f t="shared" si="276"/>
      </c>
    </row>
    <row r="1243" spans="2:20" x14ac:dyDescent="0.3">
      <c r="B1243" s="74">
        <f t="shared" ca="1" si="266"/>
      </c>
      <c r="C1243" s="78">
        <f>Кабельный_журнал!P1209</f>
      </c>
      <c r="D1243" s="74">
        <f t="shared" ca="1" si="267"/>
      </c>
      <c r="E1243" s="80" t="s">
        <v>279</v>
      </c>
      <c r="F1243" s="74">
        <f t="shared" ca="1" si="263"/>
      </c>
      <c r="G1243" s="74">
        <f t="shared" si="264"/>
      </c>
      <c r="H1243" s="80" t="s">
        <v>272</v>
      </c>
      <c r="I1243" s="74">
        <f t="shared" si="265"/>
      </c>
      <c r="J1243" s="74">
        <f t="shared" si="268"/>
      </c>
      <c r="K1243" s="80" t="s">
        <v>280</v>
      </c>
      <c r="L1243" s="74">
        <f t="shared" si="269"/>
      </c>
      <c r="M1243" s="74">
        <f t="shared" ca="1" si="270"/>
      </c>
      <c r="N1243" s="74">
        <f ca="1">VLOOKUP(B1243,$C$7:$T1241,13,FALSE)</f>
      </c>
      <c r="O1243" s="74">
        <f t="shared" ca="1" si="271"/>
      </c>
      <c r="P1243" s="74">
        <f t="shared" ca="1" si="272"/>
      </c>
      <c r="Q1243" s="74">
        <f t="shared" ca="1" si="273"/>
      </c>
      <c r="R1243" s="74">
        <f t="shared" si="274"/>
      </c>
      <c r="S1243" s="74">
        <f t="shared" ca="1" si="275"/>
      </c>
      <c r="T1243" s="74">
        <f t="shared" si="276"/>
      </c>
    </row>
    <row r="1244" spans="2:20" x14ac:dyDescent="0.3">
      <c r="B1244" s="74">
        <f t="shared" ca="1" si="266"/>
      </c>
      <c r="C1244" s="78">
        <f>Кабельный_журнал!P1210</f>
      </c>
      <c r="D1244" s="74">
        <f t="shared" ca="1" si="267"/>
      </c>
      <c r="E1244" s="80" t="s">
        <v>279</v>
      </c>
      <c r="F1244" s="74">
        <f t="shared" ca="1" si="263"/>
      </c>
      <c r="G1244" s="74">
        <f t="shared" si="264"/>
      </c>
      <c r="H1244" s="80" t="s">
        <v>272</v>
      </c>
      <c r="I1244" s="74">
        <f t="shared" si="265"/>
      </c>
      <c r="J1244" s="74">
        <f t="shared" si="268"/>
      </c>
      <c r="K1244" s="80" t="s">
        <v>280</v>
      </c>
      <c r="L1244" s="74">
        <f t="shared" si="269"/>
      </c>
      <c r="M1244" s="74">
        <f t="shared" ca="1" si="270"/>
      </c>
      <c r="N1244" s="74">
        <f ca="1">VLOOKUP(B1244,$C$7:$T1242,13,FALSE)</f>
      </c>
      <c r="O1244" s="74">
        <f t="shared" ca="1" si="271"/>
      </c>
      <c r="P1244" s="74">
        <f t="shared" ca="1" si="272"/>
      </c>
      <c r="Q1244" s="74">
        <f t="shared" ca="1" si="273"/>
      </c>
      <c r="R1244" s="74">
        <f t="shared" si="274"/>
      </c>
      <c r="S1244" s="74">
        <f t="shared" ca="1" si="275"/>
      </c>
      <c r="T1244" s="74">
        <f t="shared" si="276"/>
      </c>
    </row>
    <row r="1245" spans="2:20" x14ac:dyDescent="0.3">
      <c r="B1245" s="74">
        <f t="shared" ca="1" si="266"/>
      </c>
      <c r="C1245" s="78">
        <f>Кабельный_журнал!P1211</f>
      </c>
      <c r="D1245" s="74">
        <f t="shared" ca="1" si="267"/>
      </c>
      <c r="E1245" s="80" t="s">
        <v>279</v>
      </c>
      <c r="F1245" s="74">
        <f t="shared" ca="1" si="263"/>
      </c>
      <c r="G1245" s="74">
        <f t="shared" si="264"/>
      </c>
      <c r="H1245" s="80" t="s">
        <v>272</v>
      </c>
      <c r="I1245" s="74">
        <f t="shared" si="265"/>
      </c>
      <c r="J1245" s="74">
        <f t="shared" si="268"/>
      </c>
      <c r="K1245" s="80" t="s">
        <v>280</v>
      </c>
      <c r="L1245" s="74">
        <f t="shared" si="269"/>
      </c>
      <c r="M1245" s="74">
        <f t="shared" ca="1" si="270"/>
      </c>
      <c r="N1245" s="74">
        <f ca="1">VLOOKUP(B1245,$C$7:$T1243,13,FALSE)</f>
      </c>
      <c r="O1245" s="74">
        <f t="shared" ca="1" si="271"/>
      </c>
      <c r="P1245" s="74">
        <f t="shared" ca="1" si="272"/>
      </c>
      <c r="Q1245" s="74">
        <f t="shared" ca="1" si="273"/>
      </c>
      <c r="R1245" s="74">
        <f t="shared" si="274"/>
      </c>
      <c r="S1245" s="74">
        <f t="shared" ca="1" si="275"/>
      </c>
      <c r="T1245" s="74">
        <f t="shared" si="276"/>
      </c>
    </row>
    <row r="1246" spans="2:20" x14ac:dyDescent="0.3">
      <c r="B1246" s="74">
        <f t="shared" ca="1" si="266"/>
      </c>
      <c r="C1246" s="78">
        <f>Кабельный_журнал!P1212</f>
      </c>
      <c r="D1246" s="74">
        <f t="shared" ca="1" si="267"/>
      </c>
      <c r="E1246" s="80" t="s">
        <v>279</v>
      </c>
      <c r="F1246" s="74">
        <f t="shared" ca="1" si="263"/>
      </c>
      <c r="G1246" s="74">
        <f t="shared" si="264"/>
      </c>
      <c r="H1246" s="80" t="s">
        <v>272</v>
      </c>
      <c r="I1246" s="74">
        <f t="shared" si="265"/>
      </c>
      <c r="J1246" s="74">
        <f t="shared" si="268"/>
      </c>
      <c r="K1246" s="80" t="s">
        <v>280</v>
      </c>
      <c r="L1246" s="74">
        <f t="shared" si="269"/>
      </c>
      <c r="M1246" s="74">
        <f t="shared" ca="1" si="270"/>
      </c>
      <c r="N1246" s="74">
        <f ca="1">VLOOKUP(B1246,$C$7:$T1244,13,FALSE)</f>
      </c>
      <c r="O1246" s="74">
        <f t="shared" ca="1" si="271"/>
      </c>
      <c r="P1246" s="74">
        <f t="shared" ca="1" si="272"/>
      </c>
      <c r="Q1246" s="74">
        <f t="shared" ca="1" si="273"/>
      </c>
      <c r="R1246" s="74">
        <f t="shared" si="274"/>
      </c>
      <c r="S1246" s="74">
        <f t="shared" ca="1" si="275"/>
      </c>
      <c r="T1246" s="74">
        <f t="shared" si="276"/>
      </c>
    </row>
    <row r="1247" spans="2:20" x14ac:dyDescent="0.3">
      <c r="B1247" s="74">
        <f t="shared" ca="1" si="266"/>
      </c>
      <c r="C1247" s="78">
        <f>Кабельный_журнал!P1213</f>
      </c>
      <c r="D1247" s="74">
        <f t="shared" ca="1" si="267"/>
      </c>
      <c r="E1247" s="80" t="s">
        <v>279</v>
      </c>
      <c r="F1247" s="74">
        <f t="shared" ca="1" si="263"/>
      </c>
      <c r="G1247" s="74">
        <f t="shared" si="264"/>
      </c>
      <c r="H1247" s="80" t="s">
        <v>272</v>
      </c>
      <c r="I1247" s="74">
        <f t="shared" si="265"/>
      </c>
      <c r="J1247" s="74">
        <f t="shared" si="268"/>
      </c>
      <c r="K1247" s="80" t="s">
        <v>280</v>
      </c>
      <c r="L1247" s="74">
        <f t="shared" si="269"/>
      </c>
      <c r="M1247" s="74">
        <f t="shared" ca="1" si="270"/>
      </c>
      <c r="N1247" s="74">
        <f ca="1">VLOOKUP(B1247,$C$7:$T1245,13,FALSE)</f>
      </c>
      <c r="O1247" s="74">
        <f t="shared" ca="1" si="271"/>
      </c>
      <c r="P1247" s="74">
        <f t="shared" ca="1" si="272"/>
      </c>
      <c r="Q1247" s="74">
        <f t="shared" ca="1" si="273"/>
      </c>
      <c r="R1247" s="74">
        <f t="shared" si="274"/>
      </c>
      <c r="S1247" s="74">
        <f t="shared" ca="1" si="275"/>
      </c>
      <c r="T1247" s="74">
        <f t="shared" si="276"/>
      </c>
    </row>
    <row r="1248" spans="2:20" x14ac:dyDescent="0.3">
      <c r="B1248" s="74">
        <f t="shared" ca="1" si="266"/>
      </c>
      <c r="C1248" s="78">
        <f>Кабельный_журнал!P1214</f>
      </c>
      <c r="D1248" s="74">
        <f t="shared" ca="1" si="267"/>
      </c>
      <c r="E1248" s="80" t="s">
        <v>279</v>
      </c>
      <c r="F1248" s="74">
        <f t="shared" ca="1" si="263"/>
      </c>
      <c r="G1248" s="74">
        <f t="shared" si="264"/>
      </c>
      <c r="H1248" s="80" t="s">
        <v>272</v>
      </c>
      <c r="I1248" s="74">
        <f t="shared" si="265"/>
      </c>
      <c r="J1248" s="74">
        <f t="shared" si="268"/>
      </c>
      <c r="K1248" s="80" t="s">
        <v>280</v>
      </c>
      <c r="L1248" s="74">
        <f t="shared" si="269"/>
      </c>
      <c r="M1248" s="74">
        <f t="shared" ca="1" si="270"/>
      </c>
      <c r="N1248" s="74">
        <f ca="1">VLOOKUP(B1248,$C$7:$T1246,13,FALSE)</f>
      </c>
      <c r="O1248" s="74">
        <f t="shared" ca="1" si="271"/>
      </c>
      <c r="P1248" s="74">
        <f t="shared" ca="1" si="272"/>
      </c>
      <c r="Q1248" s="74">
        <f t="shared" ca="1" si="273"/>
      </c>
      <c r="R1248" s="74">
        <f t="shared" si="274"/>
      </c>
      <c r="S1248" s="74">
        <f t="shared" ca="1" si="275"/>
      </c>
      <c r="T1248" s="74">
        <f t="shared" si="276"/>
      </c>
    </row>
    <row r="1249" spans="2:20" x14ac:dyDescent="0.3">
      <c r="B1249" s="74">
        <f t="shared" ca="1" si="266"/>
      </c>
      <c r="C1249" s="78">
        <f>Кабельный_журнал!P1215</f>
      </c>
      <c r="D1249" s="74">
        <f t="shared" ca="1" si="267"/>
      </c>
      <c r="E1249" s="80" t="s">
        <v>279</v>
      </c>
      <c r="F1249" s="74">
        <f t="shared" ca="1" si="263"/>
      </c>
      <c r="G1249" s="74">
        <f t="shared" si="264"/>
      </c>
      <c r="H1249" s="80" t="s">
        <v>272</v>
      </c>
      <c r="I1249" s="74">
        <f t="shared" si="265"/>
      </c>
      <c r="J1249" s="74">
        <f t="shared" si="268"/>
      </c>
      <c r="K1249" s="80" t="s">
        <v>280</v>
      </c>
      <c r="L1249" s="74">
        <f t="shared" si="269"/>
      </c>
      <c r="M1249" s="74">
        <f t="shared" ca="1" si="270"/>
      </c>
      <c r="N1249" s="74">
        <f ca="1">VLOOKUP(B1249,$C$7:$T1247,13,FALSE)</f>
      </c>
      <c r="O1249" s="74">
        <f t="shared" ca="1" si="271"/>
      </c>
      <c r="P1249" s="74">
        <f t="shared" ca="1" si="272"/>
      </c>
      <c r="Q1249" s="74">
        <f t="shared" ca="1" si="273"/>
      </c>
      <c r="R1249" s="74">
        <f t="shared" si="274"/>
      </c>
      <c r="S1249" s="74">
        <f t="shared" ca="1" si="275"/>
      </c>
      <c r="T1249" s="74">
        <f t="shared" si="276"/>
      </c>
    </row>
    <row r="1250" spans="2:20" x14ac:dyDescent="0.3">
      <c r="B1250" s="74">
        <f t="shared" ca="1" si="266"/>
      </c>
      <c r="C1250" s="78">
        <f>Кабельный_журнал!P1216</f>
      </c>
      <c r="D1250" s="74">
        <f t="shared" ca="1" si="267"/>
      </c>
      <c r="E1250" s="80" t="s">
        <v>279</v>
      </c>
      <c r="F1250" s="74">
        <f t="shared" ca="1" si="263"/>
      </c>
      <c r="G1250" s="74">
        <f t="shared" si="264"/>
      </c>
      <c r="H1250" s="80" t="s">
        <v>272</v>
      </c>
      <c r="I1250" s="74">
        <f t="shared" si="265"/>
      </c>
      <c r="J1250" s="74">
        <f t="shared" si="268"/>
      </c>
      <c r="K1250" s="80" t="s">
        <v>280</v>
      </c>
      <c r="L1250" s="74">
        <f t="shared" si="269"/>
      </c>
      <c r="M1250" s="74">
        <f t="shared" ca="1" si="270"/>
      </c>
      <c r="N1250" s="74">
        <f ca="1">VLOOKUP(B1250,$C$7:$T1248,13,FALSE)</f>
      </c>
      <c r="O1250" s="74">
        <f t="shared" ca="1" si="271"/>
      </c>
      <c r="P1250" s="74">
        <f t="shared" ca="1" si="272"/>
      </c>
      <c r="Q1250" s="74">
        <f t="shared" ca="1" si="273"/>
      </c>
      <c r="R1250" s="74">
        <f t="shared" si="274"/>
      </c>
      <c r="S1250" s="74">
        <f t="shared" ca="1" si="275"/>
      </c>
      <c r="T1250" s="74">
        <f t="shared" si="276"/>
      </c>
    </row>
    <row r="1251" spans="2:20" x14ac:dyDescent="0.3">
      <c r="B1251" s="74">
        <f t="shared" ca="1" si="266"/>
      </c>
      <c r="C1251" s="78">
        <f>Кабельный_журнал!P1217</f>
      </c>
      <c r="D1251" s="74">
        <f t="shared" ca="1" si="267"/>
      </c>
      <c r="E1251" s="80" t="s">
        <v>279</v>
      </c>
      <c r="F1251" s="74">
        <f t="shared" ca="1" si="263"/>
      </c>
      <c r="G1251" s="74">
        <f t="shared" si="264"/>
      </c>
      <c r="H1251" s="80" t="s">
        <v>272</v>
      </c>
      <c r="I1251" s="74">
        <f t="shared" si="265"/>
      </c>
      <c r="J1251" s="74">
        <f t="shared" si="268"/>
      </c>
      <c r="K1251" s="80" t="s">
        <v>280</v>
      </c>
      <c r="L1251" s="74">
        <f t="shared" si="269"/>
      </c>
      <c r="M1251" s="74">
        <f t="shared" ca="1" si="270"/>
      </c>
      <c r="N1251" s="74">
        <f ca="1">VLOOKUP(B1251,$C$7:$T1249,13,FALSE)</f>
      </c>
      <c r="O1251" s="74">
        <f t="shared" ca="1" si="271"/>
      </c>
      <c r="P1251" s="74">
        <f t="shared" ca="1" si="272"/>
      </c>
      <c r="Q1251" s="74">
        <f t="shared" ca="1" si="273"/>
      </c>
      <c r="R1251" s="74">
        <f t="shared" si="274"/>
      </c>
      <c r="S1251" s="74">
        <f t="shared" ca="1" si="275"/>
      </c>
      <c r="T1251" s="74">
        <f t="shared" si="276"/>
      </c>
    </row>
    <row r="1252" spans="2:20" x14ac:dyDescent="0.3">
      <c r="B1252" s="74">
        <f t="shared" ca="1" si="266"/>
      </c>
      <c r="C1252" s="78">
        <f>Кабельный_журнал!P1218</f>
      </c>
      <c r="D1252" s="74">
        <f t="shared" ca="1" si="267"/>
      </c>
      <c r="E1252" s="80" t="s">
        <v>279</v>
      </c>
      <c r="F1252" s="74">
        <f t="shared" ca="1" si="263"/>
      </c>
      <c r="G1252" s="74">
        <f t="shared" si="264"/>
      </c>
      <c r="H1252" s="80" t="s">
        <v>272</v>
      </c>
      <c r="I1252" s="74">
        <f t="shared" si="265"/>
      </c>
      <c r="J1252" s="74">
        <f t="shared" si="268"/>
      </c>
      <c r="K1252" s="80" t="s">
        <v>280</v>
      </c>
      <c r="L1252" s="74">
        <f t="shared" si="269"/>
      </c>
      <c r="M1252" s="74">
        <f t="shared" ca="1" si="270"/>
      </c>
      <c r="N1252" s="74">
        <f ca="1">VLOOKUP(B1252,$C$7:$T1250,13,FALSE)</f>
      </c>
      <c r="O1252" s="74">
        <f t="shared" ca="1" si="271"/>
      </c>
      <c r="P1252" s="74">
        <f t="shared" ca="1" si="272"/>
      </c>
      <c r="Q1252" s="74">
        <f t="shared" ca="1" si="273"/>
      </c>
      <c r="R1252" s="74">
        <f t="shared" si="274"/>
      </c>
      <c r="S1252" s="74">
        <f t="shared" ca="1" si="275"/>
      </c>
      <c r="T1252" s="74">
        <f t="shared" si="276"/>
      </c>
    </row>
    <row r="1253" spans="2:20" x14ac:dyDescent="0.3">
      <c r="B1253" s="74">
        <f t="shared" ca="1" si="266"/>
      </c>
      <c r="C1253" s="78">
        <f>Кабельный_журнал!P1219</f>
      </c>
      <c r="D1253" s="74">
        <f t="shared" ca="1" si="267"/>
      </c>
      <c r="E1253" s="80" t="s">
        <v>279</v>
      </c>
      <c r="F1253" s="74">
        <f t="shared" ca="1" si="263"/>
      </c>
      <c r="G1253" s="74">
        <f t="shared" si="264"/>
      </c>
      <c r="H1253" s="80" t="s">
        <v>272</v>
      </c>
      <c r="I1253" s="74">
        <f t="shared" si="265"/>
      </c>
      <c r="J1253" s="74">
        <f t="shared" si="268"/>
      </c>
      <c r="K1253" s="80" t="s">
        <v>280</v>
      </c>
      <c r="L1253" s="74">
        <f t="shared" si="269"/>
      </c>
      <c r="M1253" s="74">
        <f t="shared" ca="1" si="270"/>
      </c>
      <c r="N1253" s="74">
        <f ca="1">VLOOKUP(B1253,$C$7:$T1251,13,FALSE)</f>
      </c>
      <c r="O1253" s="74">
        <f t="shared" ca="1" si="271"/>
      </c>
      <c r="P1253" s="74">
        <f t="shared" ca="1" si="272"/>
      </c>
      <c r="Q1253" s="74">
        <f t="shared" ca="1" si="273"/>
      </c>
      <c r="R1253" s="74">
        <f t="shared" si="274"/>
      </c>
      <c r="S1253" s="74">
        <f t="shared" ca="1" si="275"/>
      </c>
      <c r="T1253" s="74">
        <f t="shared" si="276"/>
      </c>
    </row>
    <row r="1254" spans="2:20" x14ac:dyDescent="0.3">
      <c r="B1254" s="74">
        <f t="shared" ca="1" si="266"/>
      </c>
      <c r="C1254" s="78">
        <f>Кабельный_журнал!P1220</f>
      </c>
      <c r="D1254" s="74">
        <f t="shared" ca="1" si="267"/>
      </c>
      <c r="E1254" s="80" t="s">
        <v>279</v>
      </c>
      <c r="F1254" s="74">
        <f t="shared" ca="1" si="263"/>
      </c>
      <c r="G1254" s="74">
        <f t="shared" si="264"/>
      </c>
      <c r="H1254" s="80" t="s">
        <v>272</v>
      </c>
      <c r="I1254" s="74">
        <f t="shared" si="265"/>
      </c>
      <c r="J1254" s="74">
        <f t="shared" si="268"/>
      </c>
      <c r="K1254" s="80" t="s">
        <v>280</v>
      </c>
      <c r="L1254" s="74">
        <f t="shared" si="269"/>
      </c>
      <c r="M1254" s="74">
        <f t="shared" ca="1" si="270"/>
      </c>
      <c r="N1254" s="74">
        <f ca="1">VLOOKUP(B1254,$C$7:$T1252,13,FALSE)</f>
      </c>
      <c r="O1254" s="74">
        <f t="shared" ca="1" si="271"/>
      </c>
      <c r="P1254" s="74">
        <f t="shared" ca="1" si="272"/>
      </c>
      <c r="Q1254" s="74">
        <f t="shared" ca="1" si="273"/>
      </c>
      <c r="R1254" s="74">
        <f t="shared" si="274"/>
      </c>
      <c r="S1254" s="74">
        <f t="shared" ca="1" si="275"/>
      </c>
      <c r="T1254" s="74">
        <f t="shared" si="276"/>
      </c>
    </row>
    <row r="1255" spans="2:20" x14ac:dyDescent="0.3">
      <c r="B1255" s="74">
        <f t="shared" ca="1" si="266"/>
      </c>
      <c r="C1255" s="78">
        <f>Кабельный_журнал!P1221</f>
      </c>
      <c r="D1255" s="74">
        <f t="shared" ca="1" si="267"/>
      </c>
      <c r="E1255" s="80" t="s">
        <v>279</v>
      </c>
      <c r="F1255" s="74">
        <f t="shared" ref="F1255:F1318" ca="1" si="277">VLOOKUP(C1255,Кабельный_журнал,8,FALSE)</f>
      </c>
      <c r="G1255" s="74">
        <f t="shared" ref="G1255:G1318" si="278">VLOOKUP(C1255,Исходные_данные,21,FALSE)</f>
      </c>
      <c r="H1255" s="80" t="s">
        <v>272</v>
      </c>
      <c r="I1255" s="74">
        <f t="shared" ref="I1255:I1318" si="279">VLOOKUP(C1255,Исходные_данные,22,FALSE)</f>
      </c>
      <c r="J1255" s="74">
        <f t="shared" si="268"/>
      </c>
      <c r="K1255" s="80" t="s">
        <v>280</v>
      </c>
      <c r="L1255" s="74">
        <f t="shared" si="269"/>
      </c>
      <c r="M1255" s="74">
        <f t="shared" ca="1" si="270"/>
      </c>
      <c r="N1255" s="74">
        <f ca="1">VLOOKUP(B1255,$C$7:$T1253,13,FALSE)</f>
      </c>
      <c r="O1255" s="74">
        <f t="shared" ca="1" si="271"/>
      </c>
      <c r="P1255" s="74">
        <f t="shared" ca="1" si="272"/>
      </c>
      <c r="Q1255" s="74">
        <f t="shared" ca="1" si="273"/>
      </c>
      <c r="R1255" s="74">
        <f t="shared" si="274"/>
      </c>
      <c r="S1255" s="74">
        <f t="shared" ca="1" si="275"/>
      </c>
      <c r="T1255" s="74">
        <f t="shared" si="276"/>
      </c>
    </row>
    <row r="1256" spans="2:20" x14ac:dyDescent="0.3">
      <c r="B1256" s="74">
        <f t="shared" ref="B1256:B1319" ca="1" si="280">VLOOKUP(C1256,Кабельный_журнал,2,FALSE)</f>
      </c>
      <c r="C1256" s="78">
        <f>Кабельный_журнал!P1222</f>
      </c>
      <c r="D1256" s="74">
        <f t="shared" ref="D1256:D1319" ca="1" si="281">B1256&amp;"-"&amp;C1256</f>
      </c>
      <c r="E1256" s="80" t="s">
        <v>279</v>
      </c>
      <c r="F1256" s="74">
        <f t="shared" ca="1" si="277"/>
      </c>
      <c r="G1256" s="74">
        <f t="shared" si="278"/>
      </c>
      <c r="H1256" s="80" t="s">
        <v>272</v>
      </c>
      <c r="I1256" s="74">
        <f t="shared" si="279"/>
      </c>
      <c r="J1256" s="74">
        <f t="shared" ref="J1256:J1319" si="282">I1256</f>
      </c>
      <c r="K1256" s="80" t="s">
        <v>280</v>
      </c>
      <c r="L1256" s="74">
        <f t="shared" ref="L1256:L1319" si="283">VLOOKUP(K1256,$K$2:$L$3,2,FALSE)</f>
      </c>
      <c r="M1256" s="74">
        <f t="shared" ref="M1256:M1319" ca="1" si="284">L1256*F1256*(1/I1256+1/J1256)</f>
      </c>
      <c r="N1256" s="74">
        <f ca="1">VLOOKUP(B1256,$C$7:$T1254,13,FALSE)</f>
      </c>
      <c r="O1256" s="74">
        <f t="shared" ref="O1256:O1319" ca="1" si="285">L1256+M1256</f>
      </c>
      <c r="P1256" s="74">
        <f t="shared" ref="P1256:P1319" ca="1" si="286">220/O1256</f>
      </c>
      <c r="Q1256" s="74">
        <f t="shared" ref="Q1256:Q1319" ca="1" si="287">O1256/G1256</f>
      </c>
      <c r="R1256" s="74">
        <f t="shared" ref="R1256:R1319" si="288">VLOOKUP(H1256,$W$2:$Y$12,3,FALSE)</f>
      </c>
      <c r="S1256" s="74">
        <f t="shared" ref="S1256:S1319" ca="1" si="289">_xlfn.IFS(E1256="щит",IF(P1256&gt;R1256,"Увел сеч",IF(T1256&gt;P1256,"Увел сеч","tср&lt;5с")),E1256="потреб",IF(P1256&gt;R1256,"Увел сеч",IF(T1256&gt;P1256,"Увел сеч","tср&lt;0.4с")))</f>
      </c>
      <c r="T1256" s="74">
        <f t="shared" ref="T1256:T1319" si="290">G1256*VLOOKUP(H1256,$W$2:$Y$12,2,FALSE)</f>
      </c>
    </row>
    <row r="1257" spans="2:20" x14ac:dyDescent="0.3">
      <c r="B1257" s="74">
        <f t="shared" ca="1" si="280"/>
      </c>
      <c r="C1257" s="78">
        <f>Кабельный_журнал!P1223</f>
      </c>
      <c r="D1257" s="74">
        <f t="shared" ca="1" si="281"/>
      </c>
      <c r="E1257" s="80" t="s">
        <v>279</v>
      </c>
      <c r="F1257" s="74">
        <f t="shared" ca="1" si="277"/>
      </c>
      <c r="G1257" s="74">
        <f t="shared" si="278"/>
      </c>
      <c r="H1257" s="80" t="s">
        <v>272</v>
      </c>
      <c r="I1257" s="74">
        <f t="shared" si="279"/>
      </c>
      <c r="J1257" s="74">
        <f t="shared" si="282"/>
      </c>
      <c r="K1257" s="80" t="s">
        <v>280</v>
      </c>
      <c r="L1257" s="74">
        <f t="shared" si="283"/>
      </c>
      <c r="M1257" s="74">
        <f t="shared" ca="1" si="284"/>
      </c>
      <c r="N1257" s="74">
        <f ca="1">VLOOKUP(B1257,$C$7:$T1255,13,FALSE)</f>
      </c>
      <c r="O1257" s="74">
        <f t="shared" ca="1" si="285"/>
      </c>
      <c r="P1257" s="74">
        <f t="shared" ca="1" si="286"/>
      </c>
      <c r="Q1257" s="74">
        <f t="shared" ca="1" si="287"/>
      </c>
      <c r="R1257" s="74">
        <f t="shared" si="288"/>
      </c>
      <c r="S1257" s="74">
        <f t="shared" ca="1" si="289"/>
      </c>
      <c r="T1257" s="74">
        <f t="shared" si="290"/>
      </c>
    </row>
    <row r="1258" spans="2:20" x14ac:dyDescent="0.3">
      <c r="B1258" s="74">
        <f t="shared" ca="1" si="280"/>
      </c>
      <c r="C1258" s="78">
        <f>Кабельный_журнал!P1224</f>
      </c>
      <c r="D1258" s="74">
        <f t="shared" ca="1" si="281"/>
      </c>
      <c r="E1258" s="80" t="s">
        <v>279</v>
      </c>
      <c r="F1258" s="74">
        <f t="shared" ca="1" si="277"/>
      </c>
      <c r="G1258" s="74">
        <f t="shared" si="278"/>
      </c>
      <c r="H1258" s="80" t="s">
        <v>272</v>
      </c>
      <c r="I1258" s="74">
        <f t="shared" si="279"/>
      </c>
      <c r="J1258" s="74">
        <f t="shared" si="282"/>
      </c>
      <c r="K1258" s="80" t="s">
        <v>280</v>
      </c>
      <c r="L1258" s="74">
        <f t="shared" si="283"/>
      </c>
      <c r="M1258" s="74">
        <f t="shared" ca="1" si="284"/>
      </c>
      <c r="N1258" s="74">
        <f ca="1">VLOOKUP(B1258,$C$7:$T1256,13,FALSE)</f>
      </c>
      <c r="O1258" s="74">
        <f t="shared" ca="1" si="285"/>
      </c>
      <c r="P1258" s="74">
        <f t="shared" ca="1" si="286"/>
      </c>
      <c r="Q1258" s="74">
        <f t="shared" ca="1" si="287"/>
      </c>
      <c r="R1258" s="74">
        <f t="shared" si="288"/>
      </c>
      <c r="S1258" s="74">
        <f t="shared" ca="1" si="289"/>
      </c>
      <c r="T1258" s="74">
        <f t="shared" si="290"/>
      </c>
    </row>
    <row r="1259" spans="2:20" x14ac:dyDescent="0.3">
      <c r="B1259" s="74">
        <f t="shared" ca="1" si="280"/>
      </c>
      <c r="C1259" s="78">
        <f>Кабельный_журнал!P1225</f>
      </c>
      <c r="D1259" s="74">
        <f t="shared" ca="1" si="281"/>
      </c>
      <c r="E1259" s="80" t="s">
        <v>279</v>
      </c>
      <c r="F1259" s="74">
        <f t="shared" ca="1" si="277"/>
      </c>
      <c r="G1259" s="74">
        <f t="shared" si="278"/>
      </c>
      <c r="H1259" s="80" t="s">
        <v>272</v>
      </c>
      <c r="I1259" s="74">
        <f t="shared" si="279"/>
      </c>
      <c r="J1259" s="74">
        <f t="shared" si="282"/>
      </c>
      <c r="K1259" s="80" t="s">
        <v>280</v>
      </c>
      <c r="L1259" s="74">
        <f t="shared" si="283"/>
      </c>
      <c r="M1259" s="74">
        <f t="shared" ca="1" si="284"/>
      </c>
      <c r="N1259" s="74">
        <f ca="1">VLOOKUP(B1259,$C$7:$T1257,13,FALSE)</f>
      </c>
      <c r="O1259" s="74">
        <f t="shared" ca="1" si="285"/>
      </c>
      <c r="P1259" s="74">
        <f t="shared" ca="1" si="286"/>
      </c>
      <c r="Q1259" s="74">
        <f t="shared" ca="1" si="287"/>
      </c>
      <c r="R1259" s="74">
        <f t="shared" si="288"/>
      </c>
      <c r="S1259" s="74">
        <f t="shared" ca="1" si="289"/>
      </c>
      <c r="T1259" s="74">
        <f t="shared" si="290"/>
      </c>
    </row>
    <row r="1260" spans="2:20" x14ac:dyDescent="0.3">
      <c r="B1260" s="74">
        <f t="shared" ca="1" si="280"/>
      </c>
      <c r="C1260" s="78">
        <f>Кабельный_журнал!P1226</f>
      </c>
      <c r="D1260" s="74">
        <f t="shared" ca="1" si="281"/>
      </c>
      <c r="E1260" s="80" t="s">
        <v>279</v>
      </c>
      <c r="F1260" s="74">
        <f t="shared" ca="1" si="277"/>
      </c>
      <c r="G1260" s="74">
        <f t="shared" si="278"/>
      </c>
      <c r="H1260" s="80" t="s">
        <v>272</v>
      </c>
      <c r="I1260" s="74">
        <f t="shared" si="279"/>
      </c>
      <c r="J1260" s="74">
        <f t="shared" si="282"/>
      </c>
      <c r="K1260" s="80" t="s">
        <v>280</v>
      </c>
      <c r="L1260" s="74">
        <f t="shared" si="283"/>
      </c>
      <c r="M1260" s="74">
        <f t="shared" ca="1" si="284"/>
      </c>
      <c r="N1260" s="74">
        <f ca="1">VLOOKUP(B1260,$C$7:$T1258,13,FALSE)</f>
      </c>
      <c r="O1260" s="74">
        <f t="shared" ca="1" si="285"/>
      </c>
      <c r="P1260" s="74">
        <f t="shared" ca="1" si="286"/>
      </c>
      <c r="Q1260" s="74">
        <f t="shared" ca="1" si="287"/>
      </c>
      <c r="R1260" s="74">
        <f t="shared" si="288"/>
      </c>
      <c r="S1260" s="74">
        <f t="shared" ca="1" si="289"/>
      </c>
      <c r="T1260" s="74">
        <f t="shared" si="290"/>
      </c>
    </row>
    <row r="1261" spans="2:20" x14ac:dyDescent="0.3">
      <c r="B1261" s="74">
        <f t="shared" ca="1" si="280"/>
      </c>
      <c r="C1261" s="78">
        <f>Кабельный_журнал!P1227</f>
      </c>
      <c r="D1261" s="74">
        <f t="shared" ca="1" si="281"/>
      </c>
      <c r="E1261" s="80" t="s">
        <v>279</v>
      </c>
      <c r="F1261" s="74">
        <f t="shared" ca="1" si="277"/>
      </c>
      <c r="G1261" s="74">
        <f t="shared" si="278"/>
      </c>
      <c r="H1261" s="80" t="s">
        <v>272</v>
      </c>
      <c r="I1261" s="74">
        <f t="shared" si="279"/>
      </c>
      <c r="J1261" s="74">
        <f t="shared" si="282"/>
      </c>
      <c r="K1261" s="80" t="s">
        <v>280</v>
      </c>
      <c r="L1261" s="74">
        <f t="shared" si="283"/>
      </c>
      <c r="M1261" s="74">
        <f t="shared" ca="1" si="284"/>
      </c>
      <c r="N1261" s="74">
        <f ca="1">VLOOKUP(B1261,$C$7:$T1259,13,FALSE)</f>
      </c>
      <c r="O1261" s="74">
        <f t="shared" ca="1" si="285"/>
      </c>
      <c r="P1261" s="74">
        <f t="shared" ca="1" si="286"/>
      </c>
      <c r="Q1261" s="74">
        <f t="shared" ca="1" si="287"/>
      </c>
      <c r="R1261" s="74">
        <f t="shared" si="288"/>
      </c>
      <c r="S1261" s="74">
        <f t="shared" ca="1" si="289"/>
      </c>
      <c r="T1261" s="74">
        <f t="shared" si="290"/>
      </c>
    </row>
    <row r="1262" spans="2:20" x14ac:dyDescent="0.3">
      <c r="B1262" s="74">
        <f t="shared" ca="1" si="280"/>
      </c>
      <c r="C1262" s="78">
        <f>Кабельный_журнал!P1228</f>
      </c>
      <c r="D1262" s="74">
        <f t="shared" ca="1" si="281"/>
      </c>
      <c r="E1262" s="80" t="s">
        <v>279</v>
      </c>
      <c r="F1262" s="74">
        <f t="shared" ca="1" si="277"/>
      </c>
      <c r="G1262" s="74">
        <f t="shared" si="278"/>
      </c>
      <c r="H1262" s="80" t="s">
        <v>272</v>
      </c>
      <c r="I1262" s="74">
        <f t="shared" si="279"/>
      </c>
      <c r="J1262" s="74">
        <f t="shared" si="282"/>
      </c>
      <c r="K1262" s="80" t="s">
        <v>280</v>
      </c>
      <c r="L1262" s="74">
        <f t="shared" si="283"/>
      </c>
      <c r="M1262" s="74">
        <f t="shared" ca="1" si="284"/>
      </c>
      <c r="N1262" s="74">
        <f ca="1">VLOOKUP(B1262,$C$7:$T1260,13,FALSE)</f>
      </c>
      <c r="O1262" s="74">
        <f t="shared" ca="1" si="285"/>
      </c>
      <c r="P1262" s="74">
        <f t="shared" ca="1" si="286"/>
      </c>
      <c r="Q1262" s="74">
        <f t="shared" ca="1" si="287"/>
      </c>
      <c r="R1262" s="74">
        <f t="shared" si="288"/>
      </c>
      <c r="S1262" s="74">
        <f t="shared" ca="1" si="289"/>
      </c>
      <c r="T1262" s="74">
        <f t="shared" si="290"/>
      </c>
    </row>
    <row r="1263" spans="2:20" x14ac:dyDescent="0.3">
      <c r="B1263" s="74">
        <f t="shared" ca="1" si="280"/>
      </c>
      <c r="C1263" s="78">
        <f>Кабельный_журнал!P1229</f>
      </c>
      <c r="D1263" s="74">
        <f t="shared" ca="1" si="281"/>
      </c>
      <c r="E1263" s="80" t="s">
        <v>279</v>
      </c>
      <c r="F1263" s="74">
        <f t="shared" ca="1" si="277"/>
      </c>
      <c r="G1263" s="74">
        <f t="shared" si="278"/>
      </c>
      <c r="H1263" s="80" t="s">
        <v>272</v>
      </c>
      <c r="I1263" s="74">
        <f t="shared" si="279"/>
      </c>
      <c r="J1263" s="74">
        <f t="shared" si="282"/>
      </c>
      <c r="K1263" s="80" t="s">
        <v>280</v>
      </c>
      <c r="L1263" s="74">
        <f t="shared" si="283"/>
      </c>
      <c r="M1263" s="74">
        <f t="shared" ca="1" si="284"/>
      </c>
      <c r="N1263" s="74">
        <f ca="1">VLOOKUP(B1263,$C$7:$T1261,13,FALSE)</f>
      </c>
      <c r="O1263" s="74">
        <f t="shared" ca="1" si="285"/>
      </c>
      <c r="P1263" s="74">
        <f t="shared" ca="1" si="286"/>
      </c>
      <c r="Q1263" s="74">
        <f t="shared" ca="1" si="287"/>
      </c>
      <c r="R1263" s="74">
        <f t="shared" si="288"/>
      </c>
      <c r="S1263" s="74">
        <f t="shared" ca="1" si="289"/>
      </c>
      <c r="T1263" s="74">
        <f t="shared" si="290"/>
      </c>
    </row>
    <row r="1264" spans="2:20" x14ac:dyDescent="0.3">
      <c r="B1264" s="74">
        <f t="shared" ca="1" si="280"/>
      </c>
      <c r="C1264" s="78">
        <f>Кабельный_журнал!P1230</f>
      </c>
      <c r="D1264" s="74">
        <f t="shared" ca="1" si="281"/>
      </c>
      <c r="E1264" s="80" t="s">
        <v>279</v>
      </c>
      <c r="F1264" s="74">
        <f t="shared" ca="1" si="277"/>
      </c>
      <c r="G1264" s="74">
        <f t="shared" si="278"/>
      </c>
      <c r="H1264" s="80" t="s">
        <v>272</v>
      </c>
      <c r="I1264" s="74">
        <f t="shared" si="279"/>
      </c>
      <c r="J1264" s="74">
        <f t="shared" si="282"/>
      </c>
      <c r="K1264" s="80" t="s">
        <v>280</v>
      </c>
      <c r="L1264" s="74">
        <f t="shared" si="283"/>
      </c>
      <c r="M1264" s="74">
        <f t="shared" ca="1" si="284"/>
      </c>
      <c r="N1264" s="74">
        <f ca="1">VLOOKUP(B1264,$C$7:$T1262,13,FALSE)</f>
      </c>
      <c r="O1264" s="74">
        <f t="shared" ca="1" si="285"/>
      </c>
      <c r="P1264" s="74">
        <f t="shared" ca="1" si="286"/>
      </c>
      <c r="Q1264" s="74">
        <f t="shared" ca="1" si="287"/>
      </c>
      <c r="R1264" s="74">
        <f t="shared" si="288"/>
      </c>
      <c r="S1264" s="74">
        <f t="shared" ca="1" si="289"/>
      </c>
      <c r="T1264" s="74">
        <f t="shared" si="290"/>
      </c>
    </row>
    <row r="1265" spans="2:20" x14ac:dyDescent="0.3">
      <c r="B1265" s="74">
        <f t="shared" ca="1" si="280"/>
      </c>
      <c r="C1265" s="78">
        <f>Кабельный_журнал!P1231</f>
      </c>
      <c r="D1265" s="74">
        <f t="shared" ca="1" si="281"/>
      </c>
      <c r="E1265" s="80" t="s">
        <v>279</v>
      </c>
      <c r="F1265" s="74">
        <f t="shared" ca="1" si="277"/>
      </c>
      <c r="G1265" s="74">
        <f t="shared" si="278"/>
      </c>
      <c r="H1265" s="80" t="s">
        <v>272</v>
      </c>
      <c r="I1265" s="74">
        <f t="shared" si="279"/>
      </c>
      <c r="J1265" s="74">
        <f t="shared" si="282"/>
      </c>
      <c r="K1265" s="80" t="s">
        <v>280</v>
      </c>
      <c r="L1265" s="74">
        <f t="shared" si="283"/>
      </c>
      <c r="M1265" s="74">
        <f t="shared" ca="1" si="284"/>
      </c>
      <c r="N1265" s="74">
        <f ca="1">VLOOKUP(B1265,$C$7:$T1263,13,FALSE)</f>
      </c>
      <c r="O1265" s="74">
        <f t="shared" ca="1" si="285"/>
      </c>
      <c r="P1265" s="74">
        <f t="shared" ca="1" si="286"/>
      </c>
      <c r="Q1265" s="74">
        <f t="shared" ca="1" si="287"/>
      </c>
      <c r="R1265" s="74">
        <f t="shared" si="288"/>
      </c>
      <c r="S1265" s="74">
        <f t="shared" ca="1" si="289"/>
      </c>
      <c r="T1265" s="74">
        <f t="shared" si="290"/>
      </c>
    </row>
    <row r="1266" spans="2:20" x14ac:dyDescent="0.3">
      <c r="B1266" s="74">
        <f t="shared" ca="1" si="280"/>
      </c>
      <c r="C1266" s="78">
        <f>Кабельный_журнал!P1232</f>
      </c>
      <c r="D1266" s="74">
        <f t="shared" ca="1" si="281"/>
      </c>
      <c r="E1266" s="80" t="s">
        <v>279</v>
      </c>
      <c r="F1266" s="74">
        <f t="shared" ca="1" si="277"/>
      </c>
      <c r="G1266" s="74">
        <f t="shared" si="278"/>
      </c>
      <c r="H1266" s="80" t="s">
        <v>272</v>
      </c>
      <c r="I1266" s="74">
        <f t="shared" si="279"/>
      </c>
      <c r="J1266" s="74">
        <f t="shared" si="282"/>
      </c>
      <c r="K1266" s="80" t="s">
        <v>280</v>
      </c>
      <c r="L1266" s="74">
        <f t="shared" si="283"/>
      </c>
      <c r="M1266" s="74">
        <f t="shared" ca="1" si="284"/>
      </c>
      <c r="N1266" s="74">
        <f ca="1">VLOOKUP(B1266,$C$7:$T1264,13,FALSE)</f>
      </c>
      <c r="O1266" s="74">
        <f t="shared" ca="1" si="285"/>
      </c>
      <c r="P1266" s="74">
        <f t="shared" ca="1" si="286"/>
      </c>
      <c r="Q1266" s="74">
        <f t="shared" ca="1" si="287"/>
      </c>
      <c r="R1266" s="74">
        <f t="shared" si="288"/>
      </c>
      <c r="S1266" s="74">
        <f t="shared" ca="1" si="289"/>
      </c>
      <c r="T1266" s="74">
        <f t="shared" si="290"/>
      </c>
    </row>
    <row r="1267" spans="2:20" x14ac:dyDescent="0.3">
      <c r="B1267" s="74">
        <f t="shared" ca="1" si="280"/>
      </c>
      <c r="C1267" s="78">
        <f>Кабельный_журнал!P1233</f>
      </c>
      <c r="D1267" s="74">
        <f t="shared" ca="1" si="281"/>
      </c>
      <c r="E1267" s="80" t="s">
        <v>279</v>
      </c>
      <c r="F1267" s="74">
        <f t="shared" ca="1" si="277"/>
      </c>
      <c r="G1267" s="74">
        <f t="shared" si="278"/>
      </c>
      <c r="H1267" s="80" t="s">
        <v>272</v>
      </c>
      <c r="I1267" s="74">
        <f t="shared" si="279"/>
      </c>
      <c r="J1267" s="74">
        <f t="shared" si="282"/>
      </c>
      <c r="K1267" s="80" t="s">
        <v>280</v>
      </c>
      <c r="L1267" s="74">
        <f t="shared" si="283"/>
      </c>
      <c r="M1267" s="74">
        <f t="shared" ca="1" si="284"/>
      </c>
      <c r="N1267" s="74">
        <f ca="1">VLOOKUP(B1267,$C$7:$T1265,13,FALSE)</f>
      </c>
      <c r="O1267" s="74">
        <f t="shared" ca="1" si="285"/>
      </c>
      <c r="P1267" s="74">
        <f t="shared" ca="1" si="286"/>
      </c>
      <c r="Q1267" s="74">
        <f t="shared" ca="1" si="287"/>
      </c>
      <c r="R1267" s="74">
        <f t="shared" si="288"/>
      </c>
      <c r="S1267" s="74">
        <f t="shared" ca="1" si="289"/>
      </c>
      <c r="T1267" s="74">
        <f t="shared" si="290"/>
      </c>
    </row>
    <row r="1268" spans="2:20" x14ac:dyDescent="0.3">
      <c r="B1268" s="74">
        <f t="shared" ca="1" si="280"/>
      </c>
      <c r="C1268" s="78">
        <f>Кабельный_журнал!P1234</f>
      </c>
      <c r="D1268" s="74">
        <f t="shared" ca="1" si="281"/>
      </c>
      <c r="E1268" s="80" t="s">
        <v>279</v>
      </c>
      <c r="F1268" s="74">
        <f t="shared" ca="1" si="277"/>
      </c>
      <c r="G1268" s="74">
        <f t="shared" si="278"/>
      </c>
      <c r="H1268" s="80" t="s">
        <v>272</v>
      </c>
      <c r="I1268" s="74">
        <f t="shared" si="279"/>
      </c>
      <c r="J1268" s="74">
        <f t="shared" si="282"/>
      </c>
      <c r="K1268" s="80" t="s">
        <v>280</v>
      </c>
      <c r="L1268" s="74">
        <f t="shared" si="283"/>
      </c>
      <c r="M1268" s="74">
        <f t="shared" ca="1" si="284"/>
      </c>
      <c r="N1268" s="74">
        <f ca="1">VLOOKUP(B1268,$C$7:$T1266,13,FALSE)</f>
      </c>
      <c r="O1268" s="74">
        <f t="shared" ca="1" si="285"/>
      </c>
      <c r="P1268" s="74">
        <f t="shared" ca="1" si="286"/>
      </c>
      <c r="Q1268" s="74">
        <f t="shared" ca="1" si="287"/>
      </c>
      <c r="R1268" s="74">
        <f t="shared" si="288"/>
      </c>
      <c r="S1268" s="74">
        <f t="shared" ca="1" si="289"/>
      </c>
      <c r="T1268" s="74">
        <f t="shared" si="290"/>
      </c>
    </row>
    <row r="1269" spans="2:20" x14ac:dyDescent="0.3">
      <c r="B1269" s="74">
        <f t="shared" ca="1" si="280"/>
      </c>
      <c r="C1269" s="78">
        <f>Кабельный_журнал!P1235</f>
      </c>
      <c r="D1269" s="74">
        <f t="shared" ca="1" si="281"/>
      </c>
      <c r="E1269" s="80" t="s">
        <v>279</v>
      </c>
      <c r="F1269" s="74">
        <f t="shared" ca="1" si="277"/>
      </c>
      <c r="G1269" s="74">
        <f t="shared" si="278"/>
      </c>
      <c r="H1269" s="80" t="s">
        <v>272</v>
      </c>
      <c r="I1269" s="74">
        <f t="shared" si="279"/>
      </c>
      <c r="J1269" s="74">
        <f t="shared" si="282"/>
      </c>
      <c r="K1269" s="80" t="s">
        <v>280</v>
      </c>
      <c r="L1269" s="74">
        <f t="shared" si="283"/>
      </c>
      <c r="M1269" s="74">
        <f t="shared" ca="1" si="284"/>
      </c>
      <c r="N1269" s="74">
        <f ca="1">VLOOKUP(B1269,$C$7:$T1267,13,FALSE)</f>
      </c>
      <c r="O1269" s="74">
        <f t="shared" ca="1" si="285"/>
      </c>
      <c r="P1269" s="74">
        <f t="shared" ca="1" si="286"/>
      </c>
      <c r="Q1269" s="74">
        <f t="shared" ca="1" si="287"/>
      </c>
      <c r="R1269" s="74">
        <f t="shared" si="288"/>
      </c>
      <c r="S1269" s="74">
        <f t="shared" ca="1" si="289"/>
      </c>
      <c r="T1269" s="74">
        <f t="shared" si="290"/>
      </c>
    </row>
    <row r="1270" spans="2:20" x14ac:dyDescent="0.3">
      <c r="B1270" s="74">
        <f t="shared" ca="1" si="280"/>
      </c>
      <c r="C1270" s="78">
        <f>Кабельный_журнал!P1236</f>
      </c>
      <c r="D1270" s="74">
        <f t="shared" ca="1" si="281"/>
      </c>
      <c r="E1270" s="80" t="s">
        <v>279</v>
      </c>
      <c r="F1270" s="74">
        <f t="shared" ca="1" si="277"/>
      </c>
      <c r="G1270" s="74">
        <f t="shared" si="278"/>
      </c>
      <c r="H1270" s="80" t="s">
        <v>272</v>
      </c>
      <c r="I1270" s="74">
        <f t="shared" si="279"/>
      </c>
      <c r="J1270" s="74">
        <f t="shared" si="282"/>
      </c>
      <c r="K1270" s="80" t="s">
        <v>280</v>
      </c>
      <c r="L1270" s="74">
        <f t="shared" si="283"/>
      </c>
      <c r="M1270" s="74">
        <f t="shared" ca="1" si="284"/>
      </c>
      <c r="N1270" s="74">
        <f ca="1">VLOOKUP(B1270,$C$7:$T1268,13,FALSE)</f>
      </c>
      <c r="O1270" s="74">
        <f t="shared" ca="1" si="285"/>
      </c>
      <c r="P1270" s="74">
        <f t="shared" ca="1" si="286"/>
      </c>
      <c r="Q1270" s="74">
        <f t="shared" ca="1" si="287"/>
      </c>
      <c r="R1270" s="74">
        <f t="shared" si="288"/>
      </c>
      <c r="S1270" s="74">
        <f t="shared" ca="1" si="289"/>
      </c>
      <c r="T1270" s="74">
        <f t="shared" si="290"/>
      </c>
    </row>
    <row r="1271" spans="2:20" x14ac:dyDescent="0.3">
      <c r="B1271" s="74">
        <f t="shared" ca="1" si="280"/>
      </c>
      <c r="C1271" s="78">
        <f>Кабельный_журнал!P1237</f>
      </c>
      <c r="D1271" s="74">
        <f t="shared" ca="1" si="281"/>
      </c>
      <c r="E1271" s="80" t="s">
        <v>279</v>
      </c>
      <c r="F1271" s="74">
        <f t="shared" ca="1" si="277"/>
      </c>
      <c r="G1271" s="74">
        <f t="shared" si="278"/>
      </c>
      <c r="H1271" s="80" t="s">
        <v>272</v>
      </c>
      <c r="I1271" s="74">
        <f t="shared" si="279"/>
      </c>
      <c r="J1271" s="74">
        <f t="shared" si="282"/>
      </c>
      <c r="K1271" s="80" t="s">
        <v>280</v>
      </c>
      <c r="L1271" s="74">
        <f t="shared" si="283"/>
      </c>
      <c r="M1271" s="74">
        <f t="shared" ca="1" si="284"/>
      </c>
      <c r="N1271" s="74">
        <f ca="1">VLOOKUP(B1271,$C$7:$T1269,13,FALSE)</f>
      </c>
      <c r="O1271" s="74">
        <f t="shared" ca="1" si="285"/>
      </c>
      <c r="P1271" s="74">
        <f t="shared" ca="1" si="286"/>
      </c>
      <c r="Q1271" s="74">
        <f t="shared" ca="1" si="287"/>
      </c>
      <c r="R1271" s="74">
        <f t="shared" si="288"/>
      </c>
      <c r="S1271" s="74">
        <f t="shared" ca="1" si="289"/>
      </c>
      <c r="T1271" s="74">
        <f t="shared" si="290"/>
      </c>
    </row>
    <row r="1272" spans="2:20" x14ac:dyDescent="0.3">
      <c r="B1272" s="74">
        <f t="shared" ca="1" si="280"/>
      </c>
      <c r="C1272" s="78">
        <f>Кабельный_журнал!P1238</f>
      </c>
      <c r="D1272" s="74">
        <f t="shared" ca="1" si="281"/>
      </c>
      <c r="E1272" s="80" t="s">
        <v>279</v>
      </c>
      <c r="F1272" s="74">
        <f t="shared" ca="1" si="277"/>
      </c>
      <c r="G1272" s="74">
        <f t="shared" si="278"/>
      </c>
      <c r="H1272" s="80" t="s">
        <v>272</v>
      </c>
      <c r="I1272" s="74">
        <f t="shared" si="279"/>
      </c>
      <c r="J1272" s="74">
        <f t="shared" si="282"/>
      </c>
      <c r="K1272" s="80" t="s">
        <v>280</v>
      </c>
      <c r="L1272" s="74">
        <f t="shared" si="283"/>
      </c>
      <c r="M1272" s="74">
        <f t="shared" ca="1" si="284"/>
      </c>
      <c r="N1272" s="74">
        <f ca="1">VLOOKUP(B1272,$C$7:$T1270,13,FALSE)</f>
      </c>
      <c r="O1272" s="74">
        <f t="shared" ca="1" si="285"/>
      </c>
      <c r="P1272" s="74">
        <f t="shared" ca="1" si="286"/>
      </c>
      <c r="Q1272" s="74">
        <f t="shared" ca="1" si="287"/>
      </c>
      <c r="R1272" s="74">
        <f t="shared" si="288"/>
      </c>
      <c r="S1272" s="74">
        <f t="shared" ca="1" si="289"/>
      </c>
      <c r="T1272" s="74">
        <f t="shared" si="290"/>
      </c>
    </row>
    <row r="1273" spans="2:20" x14ac:dyDescent="0.3">
      <c r="B1273" s="74">
        <f t="shared" ca="1" si="280"/>
      </c>
      <c r="C1273" s="78">
        <f>Кабельный_журнал!P1239</f>
      </c>
      <c r="D1273" s="74">
        <f t="shared" ca="1" si="281"/>
      </c>
      <c r="E1273" s="80" t="s">
        <v>279</v>
      </c>
      <c r="F1273" s="74">
        <f t="shared" ca="1" si="277"/>
      </c>
      <c r="G1273" s="74">
        <f t="shared" si="278"/>
      </c>
      <c r="H1273" s="80" t="s">
        <v>272</v>
      </c>
      <c r="I1273" s="74">
        <f t="shared" si="279"/>
      </c>
      <c r="J1273" s="74">
        <f t="shared" si="282"/>
      </c>
      <c r="K1273" s="80" t="s">
        <v>280</v>
      </c>
      <c r="L1273" s="74">
        <f t="shared" si="283"/>
      </c>
      <c r="M1273" s="74">
        <f t="shared" ca="1" si="284"/>
      </c>
      <c r="N1273" s="74">
        <f ca="1">VLOOKUP(B1273,$C$7:$T1271,13,FALSE)</f>
      </c>
      <c r="O1273" s="74">
        <f t="shared" ca="1" si="285"/>
      </c>
      <c r="P1273" s="74">
        <f t="shared" ca="1" si="286"/>
      </c>
      <c r="Q1273" s="74">
        <f t="shared" ca="1" si="287"/>
      </c>
      <c r="R1273" s="74">
        <f t="shared" si="288"/>
      </c>
      <c r="S1273" s="74">
        <f t="shared" ca="1" si="289"/>
      </c>
      <c r="T1273" s="74">
        <f t="shared" si="290"/>
      </c>
    </row>
    <row r="1274" spans="2:20" x14ac:dyDescent="0.3">
      <c r="B1274" s="74">
        <f t="shared" ca="1" si="280"/>
      </c>
      <c r="C1274" s="78">
        <f>Кабельный_журнал!P1240</f>
      </c>
      <c r="D1274" s="74">
        <f t="shared" ca="1" si="281"/>
      </c>
      <c r="E1274" s="80" t="s">
        <v>279</v>
      </c>
      <c r="F1274" s="74">
        <f t="shared" ca="1" si="277"/>
      </c>
      <c r="G1274" s="74">
        <f t="shared" si="278"/>
      </c>
      <c r="H1274" s="80" t="s">
        <v>272</v>
      </c>
      <c r="I1274" s="74">
        <f t="shared" si="279"/>
      </c>
      <c r="J1274" s="74">
        <f t="shared" si="282"/>
      </c>
      <c r="K1274" s="80" t="s">
        <v>280</v>
      </c>
      <c r="L1274" s="74">
        <f t="shared" si="283"/>
      </c>
      <c r="M1274" s="74">
        <f t="shared" ca="1" si="284"/>
      </c>
      <c r="N1274" s="74">
        <f ca="1">VLOOKUP(B1274,$C$7:$T1272,13,FALSE)</f>
      </c>
      <c r="O1274" s="74">
        <f t="shared" ca="1" si="285"/>
      </c>
      <c r="P1274" s="74">
        <f t="shared" ca="1" si="286"/>
      </c>
      <c r="Q1274" s="74">
        <f t="shared" ca="1" si="287"/>
      </c>
      <c r="R1274" s="74">
        <f t="shared" si="288"/>
      </c>
      <c r="S1274" s="74">
        <f t="shared" ca="1" si="289"/>
      </c>
      <c r="T1274" s="74">
        <f t="shared" si="290"/>
      </c>
    </row>
    <row r="1275" spans="2:20" x14ac:dyDescent="0.3">
      <c r="B1275" s="74">
        <f t="shared" ca="1" si="280"/>
      </c>
      <c r="C1275" s="78">
        <f>Кабельный_журнал!P1241</f>
      </c>
      <c r="D1275" s="74">
        <f t="shared" ca="1" si="281"/>
      </c>
      <c r="E1275" s="80" t="s">
        <v>279</v>
      </c>
      <c r="F1275" s="74">
        <f t="shared" ca="1" si="277"/>
      </c>
      <c r="G1275" s="74">
        <f t="shared" si="278"/>
      </c>
      <c r="H1275" s="80" t="s">
        <v>272</v>
      </c>
      <c r="I1275" s="74">
        <f t="shared" si="279"/>
      </c>
      <c r="J1275" s="74">
        <f t="shared" si="282"/>
      </c>
      <c r="K1275" s="80" t="s">
        <v>280</v>
      </c>
      <c r="L1275" s="74">
        <f t="shared" si="283"/>
      </c>
      <c r="M1275" s="74">
        <f t="shared" ca="1" si="284"/>
      </c>
      <c r="N1275" s="74">
        <f ca="1">VLOOKUP(B1275,$C$7:$T1273,13,FALSE)</f>
      </c>
      <c r="O1275" s="74">
        <f t="shared" ca="1" si="285"/>
      </c>
      <c r="P1275" s="74">
        <f t="shared" ca="1" si="286"/>
      </c>
      <c r="Q1275" s="74">
        <f t="shared" ca="1" si="287"/>
      </c>
      <c r="R1275" s="74">
        <f t="shared" si="288"/>
      </c>
      <c r="S1275" s="74">
        <f t="shared" ca="1" si="289"/>
      </c>
      <c r="T1275" s="74">
        <f t="shared" si="290"/>
      </c>
    </row>
    <row r="1276" spans="2:20" x14ac:dyDescent="0.3">
      <c r="B1276" s="74">
        <f t="shared" ca="1" si="280"/>
      </c>
      <c r="C1276" s="78">
        <f>Кабельный_журнал!P1242</f>
      </c>
      <c r="D1276" s="74">
        <f t="shared" ca="1" si="281"/>
      </c>
      <c r="E1276" s="80" t="s">
        <v>279</v>
      </c>
      <c r="F1276" s="74">
        <f t="shared" ca="1" si="277"/>
      </c>
      <c r="G1276" s="74">
        <f t="shared" si="278"/>
      </c>
      <c r="H1276" s="80" t="s">
        <v>272</v>
      </c>
      <c r="I1276" s="74">
        <f t="shared" si="279"/>
      </c>
      <c r="J1276" s="74">
        <f t="shared" si="282"/>
      </c>
      <c r="K1276" s="80" t="s">
        <v>280</v>
      </c>
      <c r="L1276" s="74">
        <f t="shared" si="283"/>
      </c>
      <c r="M1276" s="74">
        <f t="shared" ca="1" si="284"/>
      </c>
      <c r="N1276" s="74">
        <f ca="1">VLOOKUP(B1276,$C$7:$T1274,13,FALSE)</f>
      </c>
      <c r="O1276" s="74">
        <f t="shared" ca="1" si="285"/>
      </c>
      <c r="P1276" s="74">
        <f t="shared" ca="1" si="286"/>
      </c>
      <c r="Q1276" s="74">
        <f t="shared" ca="1" si="287"/>
      </c>
      <c r="R1276" s="74">
        <f t="shared" si="288"/>
      </c>
      <c r="S1276" s="74">
        <f t="shared" ca="1" si="289"/>
      </c>
      <c r="T1276" s="74">
        <f t="shared" si="290"/>
      </c>
    </row>
    <row r="1277" spans="2:20" x14ac:dyDescent="0.3">
      <c r="B1277" s="74">
        <f t="shared" ca="1" si="280"/>
      </c>
      <c r="C1277" s="78">
        <f>Кабельный_журнал!P1243</f>
      </c>
      <c r="D1277" s="74">
        <f t="shared" ca="1" si="281"/>
      </c>
      <c r="E1277" s="80" t="s">
        <v>279</v>
      </c>
      <c r="F1277" s="74">
        <f t="shared" ca="1" si="277"/>
      </c>
      <c r="G1277" s="74">
        <f t="shared" si="278"/>
      </c>
      <c r="H1277" s="80" t="s">
        <v>272</v>
      </c>
      <c r="I1277" s="74">
        <f t="shared" si="279"/>
      </c>
      <c r="J1277" s="74">
        <f t="shared" si="282"/>
      </c>
      <c r="K1277" s="80" t="s">
        <v>280</v>
      </c>
      <c r="L1277" s="74">
        <f t="shared" si="283"/>
      </c>
      <c r="M1277" s="74">
        <f t="shared" ca="1" si="284"/>
      </c>
      <c r="N1277" s="74">
        <f ca="1">VLOOKUP(B1277,$C$7:$T1275,13,FALSE)</f>
      </c>
      <c r="O1277" s="74">
        <f t="shared" ca="1" si="285"/>
      </c>
      <c r="P1277" s="74">
        <f t="shared" ca="1" si="286"/>
      </c>
      <c r="Q1277" s="74">
        <f t="shared" ca="1" si="287"/>
      </c>
      <c r="R1277" s="74">
        <f t="shared" si="288"/>
      </c>
      <c r="S1277" s="74">
        <f t="shared" ca="1" si="289"/>
      </c>
      <c r="T1277" s="74">
        <f t="shared" si="290"/>
      </c>
    </row>
    <row r="1278" spans="2:20" x14ac:dyDescent="0.3">
      <c r="B1278" s="74">
        <f t="shared" ca="1" si="280"/>
      </c>
      <c r="C1278" s="78">
        <f>Кабельный_журнал!P1244</f>
      </c>
      <c r="D1278" s="74">
        <f t="shared" ca="1" si="281"/>
      </c>
      <c r="E1278" s="80" t="s">
        <v>279</v>
      </c>
      <c r="F1278" s="74">
        <f t="shared" ca="1" si="277"/>
      </c>
      <c r="G1278" s="74">
        <f t="shared" si="278"/>
      </c>
      <c r="H1278" s="80" t="s">
        <v>272</v>
      </c>
      <c r="I1278" s="74">
        <f t="shared" si="279"/>
      </c>
      <c r="J1278" s="74">
        <f t="shared" si="282"/>
      </c>
      <c r="K1278" s="80" t="s">
        <v>280</v>
      </c>
      <c r="L1278" s="74">
        <f t="shared" si="283"/>
      </c>
      <c r="M1278" s="74">
        <f t="shared" ca="1" si="284"/>
      </c>
      <c r="N1278" s="74">
        <f ca="1">VLOOKUP(B1278,$C$7:$T1276,13,FALSE)</f>
      </c>
      <c r="O1278" s="74">
        <f t="shared" ca="1" si="285"/>
      </c>
      <c r="P1278" s="74">
        <f t="shared" ca="1" si="286"/>
      </c>
      <c r="Q1278" s="74">
        <f t="shared" ca="1" si="287"/>
      </c>
      <c r="R1278" s="74">
        <f t="shared" si="288"/>
      </c>
      <c r="S1278" s="74">
        <f t="shared" ca="1" si="289"/>
      </c>
      <c r="T1278" s="74">
        <f t="shared" si="290"/>
      </c>
    </row>
    <row r="1279" spans="2:20" x14ac:dyDescent="0.3">
      <c r="B1279" s="74">
        <f t="shared" ca="1" si="280"/>
      </c>
      <c r="C1279" s="78">
        <f>Кабельный_журнал!P1245</f>
      </c>
      <c r="D1279" s="74">
        <f t="shared" ca="1" si="281"/>
      </c>
      <c r="E1279" s="80" t="s">
        <v>279</v>
      </c>
      <c r="F1279" s="74">
        <f t="shared" ca="1" si="277"/>
      </c>
      <c r="G1279" s="74">
        <f t="shared" si="278"/>
      </c>
      <c r="H1279" s="80" t="s">
        <v>272</v>
      </c>
      <c r="I1279" s="74">
        <f t="shared" si="279"/>
      </c>
      <c r="J1279" s="74">
        <f t="shared" si="282"/>
      </c>
      <c r="K1279" s="80" t="s">
        <v>280</v>
      </c>
      <c r="L1279" s="74">
        <f t="shared" si="283"/>
      </c>
      <c r="M1279" s="74">
        <f t="shared" ca="1" si="284"/>
      </c>
      <c r="N1279" s="74">
        <f ca="1">VLOOKUP(B1279,$C$7:$T1277,13,FALSE)</f>
      </c>
      <c r="O1279" s="74">
        <f t="shared" ca="1" si="285"/>
      </c>
      <c r="P1279" s="74">
        <f t="shared" ca="1" si="286"/>
      </c>
      <c r="Q1279" s="74">
        <f t="shared" ca="1" si="287"/>
      </c>
      <c r="R1279" s="74">
        <f t="shared" si="288"/>
      </c>
      <c r="S1279" s="74">
        <f t="shared" ca="1" si="289"/>
      </c>
      <c r="T1279" s="74">
        <f t="shared" si="290"/>
      </c>
    </row>
    <row r="1280" spans="2:20" x14ac:dyDescent="0.3">
      <c r="B1280" s="74">
        <f t="shared" ca="1" si="280"/>
      </c>
      <c r="C1280" s="78">
        <f>Кабельный_журнал!P1246</f>
      </c>
      <c r="D1280" s="74">
        <f t="shared" ca="1" si="281"/>
      </c>
      <c r="E1280" s="80" t="s">
        <v>279</v>
      </c>
      <c r="F1280" s="74">
        <f t="shared" ca="1" si="277"/>
      </c>
      <c r="G1280" s="74">
        <f t="shared" si="278"/>
      </c>
      <c r="H1280" s="80" t="s">
        <v>272</v>
      </c>
      <c r="I1280" s="74">
        <f t="shared" si="279"/>
      </c>
      <c r="J1280" s="74">
        <f t="shared" si="282"/>
      </c>
      <c r="K1280" s="80" t="s">
        <v>280</v>
      </c>
      <c r="L1280" s="74">
        <f t="shared" si="283"/>
      </c>
      <c r="M1280" s="74">
        <f t="shared" ca="1" si="284"/>
      </c>
      <c r="N1280" s="74">
        <f ca="1">VLOOKUP(B1280,$C$7:$T1278,13,FALSE)</f>
      </c>
      <c r="O1280" s="74">
        <f t="shared" ca="1" si="285"/>
      </c>
      <c r="P1280" s="74">
        <f t="shared" ca="1" si="286"/>
      </c>
      <c r="Q1280" s="74">
        <f t="shared" ca="1" si="287"/>
      </c>
      <c r="R1280" s="74">
        <f t="shared" si="288"/>
      </c>
      <c r="S1280" s="74">
        <f t="shared" ca="1" si="289"/>
      </c>
      <c r="T1280" s="74">
        <f t="shared" si="290"/>
      </c>
    </row>
    <row r="1281" spans="2:20" x14ac:dyDescent="0.3">
      <c r="B1281" s="74">
        <f t="shared" ca="1" si="280"/>
      </c>
      <c r="C1281" s="78">
        <f>Кабельный_журнал!P1247</f>
      </c>
      <c r="D1281" s="74">
        <f t="shared" ca="1" si="281"/>
      </c>
      <c r="E1281" s="80" t="s">
        <v>279</v>
      </c>
      <c r="F1281" s="74">
        <f t="shared" ca="1" si="277"/>
      </c>
      <c r="G1281" s="74">
        <f t="shared" si="278"/>
      </c>
      <c r="H1281" s="80" t="s">
        <v>272</v>
      </c>
      <c r="I1281" s="74">
        <f t="shared" si="279"/>
      </c>
      <c r="J1281" s="74">
        <f t="shared" si="282"/>
      </c>
      <c r="K1281" s="80" t="s">
        <v>280</v>
      </c>
      <c r="L1281" s="74">
        <f t="shared" si="283"/>
      </c>
      <c r="M1281" s="74">
        <f t="shared" ca="1" si="284"/>
      </c>
      <c r="N1281" s="74">
        <f ca="1">VLOOKUP(B1281,$C$7:$T1279,13,FALSE)</f>
      </c>
      <c r="O1281" s="74">
        <f t="shared" ca="1" si="285"/>
      </c>
      <c r="P1281" s="74">
        <f t="shared" ca="1" si="286"/>
      </c>
      <c r="Q1281" s="74">
        <f t="shared" ca="1" si="287"/>
      </c>
      <c r="R1281" s="74">
        <f t="shared" si="288"/>
      </c>
      <c r="S1281" s="74">
        <f t="shared" ca="1" si="289"/>
      </c>
      <c r="T1281" s="74">
        <f t="shared" si="290"/>
      </c>
    </row>
    <row r="1282" spans="2:20" x14ac:dyDescent="0.3">
      <c r="B1282" s="74">
        <f t="shared" ca="1" si="280"/>
      </c>
      <c r="C1282" s="78">
        <f>Кабельный_журнал!P1248</f>
      </c>
      <c r="D1282" s="74">
        <f t="shared" ca="1" si="281"/>
      </c>
      <c r="E1282" s="80" t="s">
        <v>279</v>
      </c>
      <c r="F1282" s="74">
        <f t="shared" ca="1" si="277"/>
      </c>
      <c r="G1282" s="74">
        <f t="shared" si="278"/>
      </c>
      <c r="H1282" s="80" t="s">
        <v>272</v>
      </c>
      <c r="I1282" s="74">
        <f t="shared" si="279"/>
      </c>
      <c r="J1282" s="74">
        <f t="shared" si="282"/>
      </c>
      <c r="K1282" s="80" t="s">
        <v>280</v>
      </c>
      <c r="L1282" s="74">
        <f t="shared" si="283"/>
      </c>
      <c r="M1282" s="74">
        <f t="shared" ca="1" si="284"/>
      </c>
      <c r="N1282" s="74">
        <f ca="1">VLOOKUP(B1282,$C$7:$T1280,13,FALSE)</f>
      </c>
      <c r="O1282" s="74">
        <f t="shared" ca="1" si="285"/>
      </c>
      <c r="P1282" s="74">
        <f t="shared" ca="1" si="286"/>
      </c>
      <c r="Q1282" s="74">
        <f t="shared" ca="1" si="287"/>
      </c>
      <c r="R1282" s="74">
        <f t="shared" si="288"/>
      </c>
      <c r="S1282" s="74">
        <f t="shared" ca="1" si="289"/>
      </c>
      <c r="T1282" s="74">
        <f t="shared" si="290"/>
      </c>
    </row>
    <row r="1283" spans="2:20" x14ac:dyDescent="0.3">
      <c r="B1283" s="74">
        <f t="shared" ca="1" si="280"/>
      </c>
      <c r="C1283" s="78">
        <f>Кабельный_журнал!P1249</f>
      </c>
      <c r="D1283" s="74">
        <f t="shared" ca="1" si="281"/>
      </c>
      <c r="E1283" s="80" t="s">
        <v>279</v>
      </c>
      <c r="F1283" s="74">
        <f t="shared" ca="1" si="277"/>
      </c>
      <c r="G1283" s="74">
        <f t="shared" si="278"/>
      </c>
      <c r="H1283" s="80" t="s">
        <v>272</v>
      </c>
      <c r="I1283" s="74">
        <f t="shared" si="279"/>
      </c>
      <c r="J1283" s="74">
        <f t="shared" si="282"/>
      </c>
      <c r="K1283" s="80" t="s">
        <v>280</v>
      </c>
      <c r="L1283" s="74">
        <f t="shared" si="283"/>
      </c>
      <c r="M1283" s="74">
        <f t="shared" ca="1" si="284"/>
      </c>
      <c r="N1283" s="74">
        <f ca="1">VLOOKUP(B1283,$C$7:$T1281,13,FALSE)</f>
      </c>
      <c r="O1283" s="74">
        <f t="shared" ca="1" si="285"/>
      </c>
      <c r="P1283" s="74">
        <f t="shared" ca="1" si="286"/>
      </c>
      <c r="Q1283" s="74">
        <f t="shared" ca="1" si="287"/>
      </c>
      <c r="R1283" s="74">
        <f t="shared" si="288"/>
      </c>
      <c r="S1283" s="74">
        <f t="shared" ca="1" si="289"/>
      </c>
      <c r="T1283" s="74">
        <f t="shared" si="290"/>
      </c>
    </row>
    <row r="1284" spans="2:20" x14ac:dyDescent="0.3">
      <c r="B1284" s="74">
        <f t="shared" ca="1" si="280"/>
      </c>
      <c r="C1284" s="78">
        <f>Кабельный_журнал!P1250</f>
      </c>
      <c r="D1284" s="74">
        <f t="shared" ca="1" si="281"/>
      </c>
      <c r="E1284" s="80" t="s">
        <v>279</v>
      </c>
      <c r="F1284" s="74">
        <f t="shared" ca="1" si="277"/>
      </c>
      <c r="G1284" s="74">
        <f t="shared" si="278"/>
      </c>
      <c r="H1284" s="80" t="s">
        <v>272</v>
      </c>
      <c r="I1284" s="74">
        <f t="shared" si="279"/>
      </c>
      <c r="J1284" s="74">
        <f t="shared" si="282"/>
      </c>
      <c r="K1284" s="80" t="s">
        <v>280</v>
      </c>
      <c r="L1284" s="74">
        <f t="shared" si="283"/>
      </c>
      <c r="M1284" s="74">
        <f t="shared" ca="1" si="284"/>
      </c>
      <c r="N1284" s="74">
        <f ca="1">VLOOKUP(B1284,$C$7:$T1282,13,FALSE)</f>
      </c>
      <c r="O1284" s="74">
        <f t="shared" ca="1" si="285"/>
      </c>
      <c r="P1284" s="74">
        <f t="shared" ca="1" si="286"/>
      </c>
      <c r="Q1284" s="74">
        <f t="shared" ca="1" si="287"/>
      </c>
      <c r="R1284" s="74">
        <f t="shared" si="288"/>
      </c>
      <c r="S1284" s="74">
        <f t="shared" ca="1" si="289"/>
      </c>
      <c r="T1284" s="74">
        <f t="shared" si="290"/>
      </c>
    </row>
    <row r="1285" spans="2:20" x14ac:dyDescent="0.3">
      <c r="B1285" s="74">
        <f t="shared" ca="1" si="280"/>
      </c>
      <c r="C1285" s="78">
        <f>Кабельный_журнал!P1251</f>
      </c>
      <c r="D1285" s="74">
        <f t="shared" ca="1" si="281"/>
      </c>
      <c r="E1285" s="80" t="s">
        <v>279</v>
      </c>
      <c r="F1285" s="74">
        <f t="shared" ca="1" si="277"/>
      </c>
      <c r="G1285" s="74">
        <f t="shared" si="278"/>
      </c>
      <c r="H1285" s="80" t="s">
        <v>272</v>
      </c>
      <c r="I1285" s="74">
        <f t="shared" si="279"/>
      </c>
      <c r="J1285" s="74">
        <f t="shared" si="282"/>
      </c>
      <c r="K1285" s="80" t="s">
        <v>280</v>
      </c>
      <c r="L1285" s="74">
        <f t="shared" si="283"/>
      </c>
      <c r="M1285" s="74">
        <f t="shared" ca="1" si="284"/>
      </c>
      <c r="N1285" s="74">
        <f ca="1">VLOOKUP(B1285,$C$7:$T1283,13,FALSE)</f>
      </c>
      <c r="O1285" s="74">
        <f t="shared" ca="1" si="285"/>
      </c>
      <c r="P1285" s="74">
        <f t="shared" ca="1" si="286"/>
      </c>
      <c r="Q1285" s="74">
        <f t="shared" ca="1" si="287"/>
      </c>
      <c r="R1285" s="74">
        <f t="shared" si="288"/>
      </c>
      <c r="S1285" s="74">
        <f t="shared" ca="1" si="289"/>
      </c>
      <c r="T1285" s="74">
        <f t="shared" si="290"/>
      </c>
    </row>
    <row r="1286" spans="2:20" x14ac:dyDescent="0.3">
      <c r="B1286" s="74">
        <f t="shared" ca="1" si="280"/>
      </c>
      <c r="C1286" s="78">
        <f>Кабельный_журнал!P1252</f>
      </c>
      <c r="D1286" s="74">
        <f t="shared" ca="1" si="281"/>
      </c>
      <c r="E1286" s="80" t="s">
        <v>279</v>
      </c>
      <c r="F1286" s="74">
        <f t="shared" ca="1" si="277"/>
      </c>
      <c r="G1286" s="74">
        <f t="shared" si="278"/>
      </c>
      <c r="H1286" s="80" t="s">
        <v>272</v>
      </c>
      <c r="I1286" s="74">
        <f t="shared" si="279"/>
      </c>
      <c r="J1286" s="74">
        <f t="shared" si="282"/>
      </c>
      <c r="K1286" s="80" t="s">
        <v>280</v>
      </c>
      <c r="L1286" s="74">
        <f t="shared" si="283"/>
      </c>
      <c r="M1286" s="74">
        <f t="shared" ca="1" si="284"/>
      </c>
      <c r="N1286" s="74">
        <f ca="1">VLOOKUP(B1286,$C$7:$T1284,13,FALSE)</f>
      </c>
      <c r="O1286" s="74">
        <f t="shared" ca="1" si="285"/>
      </c>
      <c r="P1286" s="74">
        <f t="shared" ca="1" si="286"/>
      </c>
      <c r="Q1286" s="74">
        <f t="shared" ca="1" si="287"/>
      </c>
      <c r="R1286" s="74">
        <f t="shared" si="288"/>
      </c>
      <c r="S1286" s="74">
        <f t="shared" ca="1" si="289"/>
      </c>
      <c r="T1286" s="74">
        <f t="shared" si="290"/>
      </c>
    </row>
    <row r="1287" spans="2:20" x14ac:dyDescent="0.3">
      <c r="B1287" s="74">
        <f t="shared" ca="1" si="280"/>
      </c>
      <c r="C1287" s="78">
        <f>Кабельный_журнал!P1253</f>
      </c>
      <c r="D1287" s="74">
        <f t="shared" ca="1" si="281"/>
      </c>
      <c r="E1287" s="80" t="s">
        <v>279</v>
      </c>
      <c r="F1287" s="74">
        <f t="shared" ca="1" si="277"/>
      </c>
      <c r="G1287" s="74">
        <f t="shared" si="278"/>
      </c>
      <c r="H1287" s="80" t="s">
        <v>272</v>
      </c>
      <c r="I1287" s="74">
        <f t="shared" si="279"/>
      </c>
      <c r="J1287" s="74">
        <f t="shared" si="282"/>
      </c>
      <c r="K1287" s="80" t="s">
        <v>280</v>
      </c>
      <c r="L1287" s="74">
        <f t="shared" si="283"/>
      </c>
      <c r="M1287" s="74">
        <f t="shared" ca="1" si="284"/>
      </c>
      <c r="N1287" s="74">
        <f ca="1">VLOOKUP(B1287,$C$7:$T1285,13,FALSE)</f>
      </c>
      <c r="O1287" s="74">
        <f t="shared" ca="1" si="285"/>
      </c>
      <c r="P1287" s="74">
        <f t="shared" ca="1" si="286"/>
      </c>
      <c r="Q1287" s="74">
        <f t="shared" ca="1" si="287"/>
      </c>
      <c r="R1287" s="74">
        <f t="shared" si="288"/>
      </c>
      <c r="S1287" s="74">
        <f t="shared" ca="1" si="289"/>
      </c>
      <c r="T1287" s="74">
        <f t="shared" si="290"/>
      </c>
    </row>
    <row r="1288" spans="2:20" x14ac:dyDescent="0.3">
      <c r="B1288" s="74">
        <f t="shared" ca="1" si="280"/>
      </c>
      <c r="C1288" s="78">
        <f>Кабельный_журнал!P1254</f>
      </c>
      <c r="D1288" s="74">
        <f t="shared" ca="1" si="281"/>
      </c>
      <c r="E1288" s="80" t="s">
        <v>279</v>
      </c>
      <c r="F1288" s="74">
        <f t="shared" ca="1" si="277"/>
      </c>
      <c r="G1288" s="74">
        <f t="shared" si="278"/>
      </c>
      <c r="H1288" s="80" t="s">
        <v>272</v>
      </c>
      <c r="I1288" s="74">
        <f t="shared" si="279"/>
      </c>
      <c r="J1288" s="74">
        <f t="shared" si="282"/>
      </c>
      <c r="K1288" s="80" t="s">
        <v>280</v>
      </c>
      <c r="L1288" s="74">
        <f t="shared" si="283"/>
      </c>
      <c r="M1288" s="74">
        <f t="shared" ca="1" si="284"/>
      </c>
      <c r="N1288" s="74">
        <f ca="1">VLOOKUP(B1288,$C$7:$T1286,13,FALSE)</f>
      </c>
      <c r="O1288" s="74">
        <f t="shared" ca="1" si="285"/>
      </c>
      <c r="P1288" s="74">
        <f t="shared" ca="1" si="286"/>
      </c>
      <c r="Q1288" s="74">
        <f t="shared" ca="1" si="287"/>
      </c>
      <c r="R1288" s="74">
        <f t="shared" si="288"/>
      </c>
      <c r="S1288" s="74">
        <f t="shared" ca="1" si="289"/>
      </c>
      <c r="T1288" s="74">
        <f t="shared" si="290"/>
      </c>
    </row>
    <row r="1289" spans="2:20" x14ac:dyDescent="0.3">
      <c r="B1289" s="74">
        <f t="shared" ca="1" si="280"/>
      </c>
      <c r="C1289" s="78">
        <f>Кабельный_журнал!P1255</f>
      </c>
      <c r="D1289" s="74">
        <f t="shared" ca="1" si="281"/>
      </c>
      <c r="E1289" s="80" t="s">
        <v>279</v>
      </c>
      <c r="F1289" s="74">
        <f t="shared" ca="1" si="277"/>
      </c>
      <c r="G1289" s="74">
        <f t="shared" si="278"/>
      </c>
      <c r="H1289" s="80" t="s">
        <v>272</v>
      </c>
      <c r="I1289" s="74">
        <f t="shared" si="279"/>
      </c>
      <c r="J1289" s="74">
        <f t="shared" si="282"/>
      </c>
      <c r="K1289" s="80" t="s">
        <v>280</v>
      </c>
      <c r="L1289" s="74">
        <f t="shared" si="283"/>
      </c>
      <c r="M1289" s="74">
        <f t="shared" ca="1" si="284"/>
      </c>
      <c r="N1289" s="74">
        <f ca="1">VLOOKUP(B1289,$C$7:$T1287,13,FALSE)</f>
      </c>
      <c r="O1289" s="74">
        <f t="shared" ca="1" si="285"/>
      </c>
      <c r="P1289" s="74">
        <f t="shared" ca="1" si="286"/>
      </c>
      <c r="Q1289" s="74">
        <f t="shared" ca="1" si="287"/>
      </c>
      <c r="R1289" s="74">
        <f t="shared" si="288"/>
      </c>
      <c r="S1289" s="74">
        <f t="shared" ca="1" si="289"/>
      </c>
      <c r="T1289" s="74">
        <f t="shared" si="290"/>
      </c>
    </row>
    <row r="1290" spans="2:20" x14ac:dyDescent="0.3">
      <c r="B1290" s="74">
        <f t="shared" ca="1" si="280"/>
      </c>
      <c r="C1290" s="78">
        <f>Кабельный_журнал!P1256</f>
      </c>
      <c r="D1290" s="74">
        <f t="shared" ca="1" si="281"/>
      </c>
      <c r="E1290" s="80" t="s">
        <v>279</v>
      </c>
      <c r="F1290" s="74">
        <f t="shared" ca="1" si="277"/>
      </c>
      <c r="G1290" s="74">
        <f t="shared" si="278"/>
      </c>
      <c r="H1290" s="80" t="s">
        <v>272</v>
      </c>
      <c r="I1290" s="74">
        <f t="shared" si="279"/>
      </c>
      <c r="J1290" s="74">
        <f t="shared" si="282"/>
      </c>
      <c r="K1290" s="80" t="s">
        <v>280</v>
      </c>
      <c r="L1290" s="74">
        <f t="shared" si="283"/>
      </c>
      <c r="M1290" s="74">
        <f t="shared" ca="1" si="284"/>
      </c>
      <c r="N1290" s="74">
        <f ca="1">VLOOKUP(B1290,$C$7:$T1288,13,FALSE)</f>
      </c>
      <c r="O1290" s="74">
        <f t="shared" ca="1" si="285"/>
      </c>
      <c r="P1290" s="74">
        <f t="shared" ca="1" si="286"/>
      </c>
      <c r="Q1290" s="74">
        <f t="shared" ca="1" si="287"/>
      </c>
      <c r="R1290" s="74">
        <f t="shared" si="288"/>
      </c>
      <c r="S1290" s="74">
        <f t="shared" ca="1" si="289"/>
      </c>
      <c r="T1290" s="74">
        <f t="shared" si="290"/>
      </c>
    </row>
    <row r="1291" spans="2:20" x14ac:dyDescent="0.3">
      <c r="B1291" s="74">
        <f t="shared" ca="1" si="280"/>
      </c>
      <c r="C1291" s="78">
        <f>Кабельный_журнал!P1257</f>
      </c>
      <c r="D1291" s="74">
        <f t="shared" ca="1" si="281"/>
      </c>
      <c r="E1291" s="80" t="s">
        <v>279</v>
      </c>
      <c r="F1291" s="74">
        <f t="shared" ca="1" si="277"/>
      </c>
      <c r="G1291" s="74">
        <f t="shared" si="278"/>
      </c>
      <c r="H1291" s="80" t="s">
        <v>272</v>
      </c>
      <c r="I1291" s="74">
        <f t="shared" si="279"/>
      </c>
      <c r="J1291" s="74">
        <f t="shared" si="282"/>
      </c>
      <c r="K1291" s="80" t="s">
        <v>280</v>
      </c>
      <c r="L1291" s="74">
        <f t="shared" si="283"/>
      </c>
      <c r="M1291" s="74">
        <f t="shared" ca="1" si="284"/>
      </c>
      <c r="N1291" s="74">
        <f ca="1">VLOOKUP(B1291,$C$7:$T1289,13,FALSE)</f>
      </c>
      <c r="O1291" s="74">
        <f t="shared" ca="1" si="285"/>
      </c>
      <c r="P1291" s="74">
        <f t="shared" ca="1" si="286"/>
      </c>
      <c r="Q1291" s="74">
        <f t="shared" ca="1" si="287"/>
      </c>
      <c r="R1291" s="74">
        <f t="shared" si="288"/>
      </c>
      <c r="S1291" s="74">
        <f t="shared" ca="1" si="289"/>
      </c>
      <c r="T1291" s="74">
        <f t="shared" si="290"/>
      </c>
    </row>
    <row r="1292" spans="2:20" x14ac:dyDescent="0.3">
      <c r="B1292" s="74">
        <f t="shared" ca="1" si="280"/>
      </c>
      <c r="C1292" s="78">
        <f>Кабельный_журнал!P1258</f>
      </c>
      <c r="D1292" s="74">
        <f t="shared" ca="1" si="281"/>
      </c>
      <c r="E1292" s="80" t="s">
        <v>279</v>
      </c>
      <c r="F1292" s="74">
        <f t="shared" ca="1" si="277"/>
      </c>
      <c r="G1292" s="74">
        <f t="shared" si="278"/>
      </c>
      <c r="H1292" s="80" t="s">
        <v>272</v>
      </c>
      <c r="I1292" s="74">
        <f t="shared" si="279"/>
      </c>
      <c r="J1292" s="74">
        <f t="shared" si="282"/>
      </c>
      <c r="K1292" s="80" t="s">
        <v>280</v>
      </c>
      <c r="L1292" s="74">
        <f t="shared" si="283"/>
      </c>
      <c r="M1292" s="74">
        <f t="shared" ca="1" si="284"/>
      </c>
      <c r="N1292" s="74">
        <f ca="1">VLOOKUP(B1292,$C$7:$T1290,13,FALSE)</f>
      </c>
      <c r="O1292" s="74">
        <f t="shared" ca="1" si="285"/>
      </c>
      <c r="P1292" s="74">
        <f t="shared" ca="1" si="286"/>
      </c>
      <c r="Q1292" s="74">
        <f t="shared" ca="1" si="287"/>
      </c>
      <c r="R1292" s="74">
        <f t="shared" si="288"/>
      </c>
      <c r="S1292" s="74">
        <f t="shared" ca="1" si="289"/>
      </c>
      <c r="T1292" s="74">
        <f t="shared" si="290"/>
      </c>
    </row>
    <row r="1293" spans="2:20" x14ac:dyDescent="0.3">
      <c r="B1293" s="74">
        <f t="shared" ca="1" si="280"/>
      </c>
      <c r="C1293" s="78">
        <f>Кабельный_журнал!P1259</f>
      </c>
      <c r="D1293" s="74">
        <f t="shared" ca="1" si="281"/>
      </c>
      <c r="E1293" s="80" t="s">
        <v>279</v>
      </c>
      <c r="F1293" s="74">
        <f t="shared" ca="1" si="277"/>
      </c>
      <c r="G1293" s="74">
        <f t="shared" si="278"/>
      </c>
      <c r="H1293" s="80" t="s">
        <v>272</v>
      </c>
      <c r="I1293" s="74">
        <f t="shared" si="279"/>
      </c>
      <c r="J1293" s="74">
        <f t="shared" si="282"/>
      </c>
      <c r="K1293" s="80" t="s">
        <v>280</v>
      </c>
      <c r="L1293" s="74">
        <f t="shared" si="283"/>
      </c>
      <c r="M1293" s="74">
        <f t="shared" ca="1" si="284"/>
      </c>
      <c r="N1293" s="74">
        <f ca="1">VLOOKUP(B1293,$C$7:$T1291,13,FALSE)</f>
      </c>
      <c r="O1293" s="74">
        <f t="shared" ca="1" si="285"/>
      </c>
      <c r="P1293" s="74">
        <f t="shared" ca="1" si="286"/>
      </c>
      <c r="Q1293" s="74">
        <f t="shared" ca="1" si="287"/>
      </c>
      <c r="R1293" s="74">
        <f t="shared" si="288"/>
      </c>
      <c r="S1293" s="74">
        <f t="shared" ca="1" si="289"/>
      </c>
      <c r="T1293" s="74">
        <f t="shared" si="290"/>
      </c>
    </row>
    <row r="1294" spans="2:20" x14ac:dyDescent="0.3">
      <c r="B1294" s="74">
        <f t="shared" ca="1" si="280"/>
      </c>
      <c r="C1294" s="78">
        <f>Кабельный_журнал!P1260</f>
      </c>
      <c r="D1294" s="74">
        <f t="shared" ca="1" si="281"/>
      </c>
      <c r="E1294" s="80" t="s">
        <v>279</v>
      </c>
      <c r="F1294" s="74">
        <f t="shared" ca="1" si="277"/>
      </c>
      <c r="G1294" s="74">
        <f t="shared" si="278"/>
      </c>
      <c r="H1294" s="80" t="s">
        <v>272</v>
      </c>
      <c r="I1294" s="74">
        <f t="shared" si="279"/>
      </c>
      <c r="J1294" s="74">
        <f t="shared" si="282"/>
      </c>
      <c r="K1294" s="80" t="s">
        <v>280</v>
      </c>
      <c r="L1294" s="74">
        <f t="shared" si="283"/>
      </c>
      <c r="M1294" s="74">
        <f t="shared" ca="1" si="284"/>
      </c>
      <c r="N1294" s="74">
        <f ca="1">VLOOKUP(B1294,$C$7:$T1292,13,FALSE)</f>
      </c>
      <c r="O1294" s="74">
        <f t="shared" ca="1" si="285"/>
      </c>
      <c r="P1294" s="74">
        <f t="shared" ca="1" si="286"/>
      </c>
      <c r="Q1294" s="74">
        <f t="shared" ca="1" si="287"/>
      </c>
      <c r="R1294" s="74">
        <f t="shared" si="288"/>
      </c>
      <c r="S1294" s="74">
        <f t="shared" ca="1" si="289"/>
      </c>
      <c r="T1294" s="74">
        <f t="shared" si="290"/>
      </c>
    </row>
    <row r="1295" spans="2:20" x14ac:dyDescent="0.3">
      <c r="B1295" s="74">
        <f t="shared" ca="1" si="280"/>
      </c>
      <c r="C1295" s="78">
        <f>Кабельный_журнал!P1261</f>
      </c>
      <c r="D1295" s="74">
        <f t="shared" ca="1" si="281"/>
      </c>
      <c r="E1295" s="80" t="s">
        <v>279</v>
      </c>
      <c r="F1295" s="74">
        <f t="shared" ca="1" si="277"/>
      </c>
      <c r="G1295" s="74">
        <f t="shared" si="278"/>
      </c>
      <c r="H1295" s="80" t="s">
        <v>272</v>
      </c>
      <c r="I1295" s="74">
        <f t="shared" si="279"/>
      </c>
      <c r="J1295" s="74">
        <f t="shared" si="282"/>
      </c>
      <c r="K1295" s="80" t="s">
        <v>280</v>
      </c>
      <c r="L1295" s="74">
        <f t="shared" si="283"/>
      </c>
      <c r="M1295" s="74">
        <f t="shared" ca="1" si="284"/>
      </c>
      <c r="N1295" s="74">
        <f ca="1">VLOOKUP(B1295,$C$7:$T1293,13,FALSE)</f>
      </c>
      <c r="O1295" s="74">
        <f t="shared" ca="1" si="285"/>
      </c>
      <c r="P1295" s="74">
        <f t="shared" ca="1" si="286"/>
      </c>
      <c r="Q1295" s="74">
        <f t="shared" ca="1" si="287"/>
      </c>
      <c r="R1295" s="74">
        <f t="shared" si="288"/>
      </c>
      <c r="S1295" s="74">
        <f t="shared" ca="1" si="289"/>
      </c>
      <c r="T1295" s="74">
        <f t="shared" si="290"/>
      </c>
    </row>
    <row r="1296" spans="2:20" x14ac:dyDescent="0.3">
      <c r="B1296" s="74">
        <f t="shared" ca="1" si="280"/>
      </c>
      <c r="C1296" s="78">
        <f>Кабельный_журнал!P1262</f>
      </c>
      <c r="D1296" s="74">
        <f t="shared" ca="1" si="281"/>
      </c>
      <c r="E1296" s="80" t="s">
        <v>279</v>
      </c>
      <c r="F1296" s="74">
        <f t="shared" ca="1" si="277"/>
      </c>
      <c r="G1296" s="74">
        <f t="shared" si="278"/>
      </c>
      <c r="H1296" s="80" t="s">
        <v>272</v>
      </c>
      <c r="I1296" s="74">
        <f t="shared" si="279"/>
      </c>
      <c r="J1296" s="74">
        <f t="shared" si="282"/>
      </c>
      <c r="K1296" s="80" t="s">
        <v>280</v>
      </c>
      <c r="L1296" s="74">
        <f t="shared" si="283"/>
      </c>
      <c r="M1296" s="74">
        <f t="shared" ca="1" si="284"/>
      </c>
      <c r="N1296" s="74">
        <f ca="1">VLOOKUP(B1296,$C$7:$T1294,13,FALSE)</f>
      </c>
      <c r="O1296" s="74">
        <f t="shared" ca="1" si="285"/>
      </c>
      <c r="P1296" s="74">
        <f t="shared" ca="1" si="286"/>
      </c>
      <c r="Q1296" s="74">
        <f t="shared" ca="1" si="287"/>
      </c>
      <c r="R1296" s="74">
        <f t="shared" si="288"/>
      </c>
      <c r="S1296" s="74">
        <f t="shared" ca="1" si="289"/>
      </c>
      <c r="T1296" s="74">
        <f t="shared" si="290"/>
      </c>
    </row>
    <row r="1297" spans="2:20" x14ac:dyDescent="0.3">
      <c r="B1297" s="74">
        <f t="shared" ca="1" si="280"/>
      </c>
      <c r="C1297" s="78">
        <f>Кабельный_журнал!P1263</f>
      </c>
      <c r="D1297" s="74">
        <f t="shared" ca="1" si="281"/>
      </c>
      <c r="E1297" s="80" t="s">
        <v>279</v>
      </c>
      <c r="F1297" s="74">
        <f t="shared" ca="1" si="277"/>
      </c>
      <c r="G1297" s="74">
        <f t="shared" si="278"/>
      </c>
      <c r="H1297" s="80" t="s">
        <v>272</v>
      </c>
      <c r="I1297" s="74">
        <f t="shared" si="279"/>
      </c>
      <c r="J1297" s="74">
        <f t="shared" si="282"/>
      </c>
      <c r="K1297" s="80" t="s">
        <v>280</v>
      </c>
      <c r="L1297" s="74">
        <f t="shared" si="283"/>
      </c>
      <c r="M1297" s="74">
        <f t="shared" ca="1" si="284"/>
      </c>
      <c r="N1297" s="74">
        <f ca="1">VLOOKUP(B1297,$C$7:$T1295,13,FALSE)</f>
      </c>
      <c r="O1297" s="74">
        <f t="shared" ca="1" si="285"/>
      </c>
      <c r="P1297" s="74">
        <f t="shared" ca="1" si="286"/>
      </c>
      <c r="Q1297" s="74">
        <f t="shared" ca="1" si="287"/>
      </c>
      <c r="R1297" s="74">
        <f t="shared" si="288"/>
      </c>
      <c r="S1297" s="74">
        <f t="shared" ca="1" si="289"/>
      </c>
      <c r="T1297" s="74">
        <f t="shared" si="290"/>
      </c>
    </row>
    <row r="1298" spans="2:20" x14ac:dyDescent="0.3">
      <c r="B1298" s="74">
        <f t="shared" ca="1" si="280"/>
      </c>
      <c r="C1298" s="78">
        <f>Кабельный_журнал!P1264</f>
      </c>
      <c r="D1298" s="74">
        <f t="shared" ca="1" si="281"/>
      </c>
      <c r="E1298" s="80" t="s">
        <v>279</v>
      </c>
      <c r="F1298" s="74">
        <f t="shared" ca="1" si="277"/>
      </c>
      <c r="G1298" s="74">
        <f t="shared" si="278"/>
      </c>
      <c r="H1298" s="80" t="s">
        <v>272</v>
      </c>
      <c r="I1298" s="74">
        <f t="shared" si="279"/>
      </c>
      <c r="J1298" s="74">
        <f t="shared" si="282"/>
      </c>
      <c r="K1298" s="80" t="s">
        <v>280</v>
      </c>
      <c r="L1298" s="74">
        <f t="shared" si="283"/>
      </c>
      <c r="M1298" s="74">
        <f t="shared" ca="1" si="284"/>
      </c>
      <c r="N1298" s="74">
        <f ca="1">VLOOKUP(B1298,$C$7:$T1296,13,FALSE)</f>
      </c>
      <c r="O1298" s="74">
        <f t="shared" ca="1" si="285"/>
      </c>
      <c r="P1298" s="74">
        <f t="shared" ca="1" si="286"/>
      </c>
      <c r="Q1298" s="74">
        <f t="shared" ca="1" si="287"/>
      </c>
      <c r="R1298" s="74">
        <f t="shared" si="288"/>
      </c>
      <c r="S1298" s="74">
        <f t="shared" ca="1" si="289"/>
      </c>
      <c r="T1298" s="74">
        <f t="shared" si="290"/>
      </c>
    </row>
    <row r="1299" spans="2:20" x14ac:dyDescent="0.3">
      <c r="B1299" s="74">
        <f t="shared" ca="1" si="280"/>
      </c>
      <c r="C1299" s="78">
        <f>Кабельный_журнал!P1265</f>
      </c>
      <c r="D1299" s="74">
        <f t="shared" ca="1" si="281"/>
      </c>
      <c r="E1299" s="80" t="s">
        <v>279</v>
      </c>
      <c r="F1299" s="74">
        <f t="shared" ca="1" si="277"/>
      </c>
      <c r="G1299" s="74">
        <f t="shared" si="278"/>
      </c>
      <c r="H1299" s="80" t="s">
        <v>272</v>
      </c>
      <c r="I1299" s="74">
        <f t="shared" si="279"/>
      </c>
      <c r="J1299" s="74">
        <f t="shared" si="282"/>
      </c>
      <c r="K1299" s="80" t="s">
        <v>280</v>
      </c>
      <c r="L1299" s="74">
        <f t="shared" si="283"/>
      </c>
      <c r="M1299" s="74">
        <f t="shared" ca="1" si="284"/>
      </c>
      <c r="N1299" s="74">
        <f ca="1">VLOOKUP(B1299,$C$7:$T1297,13,FALSE)</f>
      </c>
      <c r="O1299" s="74">
        <f t="shared" ca="1" si="285"/>
      </c>
      <c r="P1299" s="74">
        <f t="shared" ca="1" si="286"/>
      </c>
      <c r="Q1299" s="74">
        <f t="shared" ca="1" si="287"/>
      </c>
      <c r="R1299" s="74">
        <f t="shared" si="288"/>
      </c>
      <c r="S1299" s="74">
        <f t="shared" ca="1" si="289"/>
      </c>
      <c r="T1299" s="74">
        <f t="shared" si="290"/>
      </c>
    </row>
    <row r="1300" spans="2:20" x14ac:dyDescent="0.3">
      <c r="B1300" s="74">
        <f t="shared" ca="1" si="280"/>
      </c>
      <c r="C1300" s="78">
        <f>Кабельный_журнал!P1266</f>
      </c>
      <c r="D1300" s="74">
        <f t="shared" ca="1" si="281"/>
      </c>
      <c r="E1300" s="80" t="s">
        <v>279</v>
      </c>
      <c r="F1300" s="74">
        <f t="shared" ca="1" si="277"/>
      </c>
      <c r="G1300" s="74">
        <f t="shared" si="278"/>
      </c>
      <c r="H1300" s="80" t="s">
        <v>272</v>
      </c>
      <c r="I1300" s="74">
        <f t="shared" si="279"/>
      </c>
      <c r="J1300" s="74">
        <f t="shared" si="282"/>
      </c>
      <c r="K1300" s="80" t="s">
        <v>280</v>
      </c>
      <c r="L1300" s="74">
        <f t="shared" si="283"/>
      </c>
      <c r="M1300" s="74">
        <f t="shared" ca="1" si="284"/>
      </c>
      <c r="N1300" s="74">
        <f ca="1">VLOOKUP(B1300,$C$7:$T1298,13,FALSE)</f>
      </c>
      <c r="O1300" s="74">
        <f t="shared" ca="1" si="285"/>
      </c>
      <c r="P1300" s="74">
        <f t="shared" ca="1" si="286"/>
      </c>
      <c r="Q1300" s="74">
        <f t="shared" ca="1" si="287"/>
      </c>
      <c r="R1300" s="74">
        <f t="shared" si="288"/>
      </c>
      <c r="S1300" s="74">
        <f t="shared" ca="1" si="289"/>
      </c>
      <c r="T1300" s="74">
        <f t="shared" si="290"/>
      </c>
    </row>
    <row r="1301" spans="2:20" x14ac:dyDescent="0.3">
      <c r="B1301" s="74">
        <f t="shared" ca="1" si="280"/>
      </c>
      <c r="C1301" s="78">
        <f>Кабельный_журнал!P1267</f>
      </c>
      <c r="D1301" s="74">
        <f t="shared" ca="1" si="281"/>
      </c>
      <c r="E1301" s="80" t="s">
        <v>279</v>
      </c>
      <c r="F1301" s="74">
        <f t="shared" ca="1" si="277"/>
      </c>
      <c r="G1301" s="74">
        <f t="shared" si="278"/>
      </c>
      <c r="H1301" s="80" t="s">
        <v>272</v>
      </c>
      <c r="I1301" s="74">
        <f t="shared" si="279"/>
      </c>
      <c r="J1301" s="74">
        <f t="shared" si="282"/>
      </c>
      <c r="K1301" s="80" t="s">
        <v>280</v>
      </c>
      <c r="L1301" s="74">
        <f t="shared" si="283"/>
      </c>
      <c r="M1301" s="74">
        <f t="shared" ca="1" si="284"/>
      </c>
      <c r="N1301" s="74">
        <f ca="1">VLOOKUP(B1301,$C$7:$T1299,13,FALSE)</f>
      </c>
      <c r="O1301" s="74">
        <f t="shared" ca="1" si="285"/>
      </c>
      <c r="P1301" s="74">
        <f t="shared" ca="1" si="286"/>
      </c>
      <c r="Q1301" s="74">
        <f t="shared" ca="1" si="287"/>
      </c>
      <c r="R1301" s="74">
        <f t="shared" si="288"/>
      </c>
      <c r="S1301" s="74">
        <f t="shared" ca="1" si="289"/>
      </c>
      <c r="T1301" s="74">
        <f t="shared" si="290"/>
      </c>
    </row>
    <row r="1302" spans="2:20" x14ac:dyDescent="0.3">
      <c r="B1302" s="74">
        <f t="shared" ca="1" si="280"/>
      </c>
      <c r="C1302" s="78">
        <f>Кабельный_журнал!P1268</f>
      </c>
      <c r="D1302" s="74">
        <f t="shared" ca="1" si="281"/>
      </c>
      <c r="E1302" s="80" t="s">
        <v>279</v>
      </c>
      <c r="F1302" s="74">
        <f t="shared" ca="1" si="277"/>
      </c>
      <c r="G1302" s="74">
        <f t="shared" si="278"/>
      </c>
      <c r="H1302" s="80" t="s">
        <v>272</v>
      </c>
      <c r="I1302" s="74">
        <f t="shared" si="279"/>
      </c>
      <c r="J1302" s="74">
        <f t="shared" si="282"/>
      </c>
      <c r="K1302" s="80" t="s">
        <v>280</v>
      </c>
      <c r="L1302" s="74">
        <f t="shared" si="283"/>
      </c>
      <c r="M1302" s="74">
        <f t="shared" ca="1" si="284"/>
      </c>
      <c r="N1302" s="74">
        <f ca="1">VLOOKUP(B1302,$C$7:$T1300,13,FALSE)</f>
      </c>
      <c r="O1302" s="74">
        <f t="shared" ca="1" si="285"/>
      </c>
      <c r="P1302" s="74">
        <f t="shared" ca="1" si="286"/>
      </c>
      <c r="Q1302" s="74">
        <f t="shared" ca="1" si="287"/>
      </c>
      <c r="R1302" s="74">
        <f t="shared" si="288"/>
      </c>
      <c r="S1302" s="74">
        <f t="shared" ca="1" si="289"/>
      </c>
      <c r="T1302" s="74">
        <f t="shared" si="290"/>
      </c>
    </row>
    <row r="1303" spans="2:20" x14ac:dyDescent="0.3">
      <c r="B1303" s="74">
        <f t="shared" ca="1" si="280"/>
      </c>
      <c r="C1303" s="78">
        <f>Кабельный_журнал!P1269</f>
      </c>
      <c r="D1303" s="74">
        <f t="shared" ca="1" si="281"/>
      </c>
      <c r="E1303" s="80" t="s">
        <v>279</v>
      </c>
      <c r="F1303" s="74">
        <f t="shared" ca="1" si="277"/>
      </c>
      <c r="G1303" s="74">
        <f t="shared" si="278"/>
      </c>
      <c r="H1303" s="80" t="s">
        <v>272</v>
      </c>
      <c r="I1303" s="74">
        <f t="shared" si="279"/>
      </c>
      <c r="J1303" s="74">
        <f t="shared" si="282"/>
      </c>
      <c r="K1303" s="80" t="s">
        <v>280</v>
      </c>
      <c r="L1303" s="74">
        <f t="shared" si="283"/>
      </c>
      <c r="M1303" s="74">
        <f t="shared" ca="1" si="284"/>
      </c>
      <c r="N1303" s="74">
        <f ca="1">VLOOKUP(B1303,$C$7:$T1301,13,FALSE)</f>
      </c>
      <c r="O1303" s="74">
        <f t="shared" ca="1" si="285"/>
      </c>
      <c r="P1303" s="74">
        <f t="shared" ca="1" si="286"/>
      </c>
      <c r="Q1303" s="74">
        <f t="shared" ca="1" si="287"/>
      </c>
      <c r="R1303" s="74">
        <f t="shared" si="288"/>
      </c>
      <c r="S1303" s="74">
        <f t="shared" ca="1" si="289"/>
      </c>
      <c r="T1303" s="74">
        <f t="shared" si="290"/>
      </c>
    </row>
    <row r="1304" spans="2:20" x14ac:dyDescent="0.3">
      <c r="B1304" s="74">
        <f t="shared" ca="1" si="280"/>
      </c>
      <c r="C1304" s="78">
        <f>Кабельный_журнал!P1270</f>
      </c>
      <c r="D1304" s="74">
        <f t="shared" ca="1" si="281"/>
      </c>
      <c r="E1304" s="80" t="s">
        <v>279</v>
      </c>
      <c r="F1304" s="74">
        <f t="shared" ca="1" si="277"/>
      </c>
      <c r="G1304" s="74">
        <f t="shared" si="278"/>
      </c>
      <c r="H1304" s="80" t="s">
        <v>272</v>
      </c>
      <c r="I1304" s="74">
        <f t="shared" si="279"/>
      </c>
      <c r="J1304" s="74">
        <f t="shared" si="282"/>
      </c>
      <c r="K1304" s="80" t="s">
        <v>280</v>
      </c>
      <c r="L1304" s="74">
        <f t="shared" si="283"/>
      </c>
      <c r="M1304" s="74">
        <f t="shared" ca="1" si="284"/>
      </c>
      <c r="N1304" s="74">
        <f ca="1">VLOOKUP(B1304,$C$7:$T1302,13,FALSE)</f>
      </c>
      <c r="O1304" s="74">
        <f t="shared" ca="1" si="285"/>
      </c>
      <c r="P1304" s="74">
        <f t="shared" ca="1" si="286"/>
      </c>
      <c r="Q1304" s="74">
        <f t="shared" ca="1" si="287"/>
      </c>
      <c r="R1304" s="74">
        <f t="shared" si="288"/>
      </c>
      <c r="S1304" s="74">
        <f t="shared" ca="1" si="289"/>
      </c>
      <c r="T1304" s="74">
        <f t="shared" si="290"/>
      </c>
    </row>
    <row r="1305" spans="2:20" x14ac:dyDescent="0.3">
      <c r="B1305" s="74">
        <f t="shared" ca="1" si="280"/>
      </c>
      <c r="C1305" s="78">
        <f>Кабельный_журнал!P1271</f>
      </c>
      <c r="D1305" s="74">
        <f t="shared" ca="1" si="281"/>
      </c>
      <c r="E1305" s="80" t="s">
        <v>279</v>
      </c>
      <c r="F1305" s="74">
        <f t="shared" ca="1" si="277"/>
      </c>
      <c r="G1305" s="74">
        <f t="shared" si="278"/>
      </c>
      <c r="H1305" s="80" t="s">
        <v>272</v>
      </c>
      <c r="I1305" s="74">
        <f t="shared" si="279"/>
      </c>
      <c r="J1305" s="74">
        <f t="shared" si="282"/>
      </c>
      <c r="K1305" s="80" t="s">
        <v>280</v>
      </c>
      <c r="L1305" s="74">
        <f t="shared" si="283"/>
      </c>
      <c r="M1305" s="74">
        <f t="shared" ca="1" si="284"/>
      </c>
      <c r="N1305" s="74">
        <f ca="1">VLOOKUP(B1305,$C$7:$T1303,13,FALSE)</f>
      </c>
      <c r="O1305" s="74">
        <f t="shared" ca="1" si="285"/>
      </c>
      <c r="P1305" s="74">
        <f t="shared" ca="1" si="286"/>
      </c>
      <c r="Q1305" s="74">
        <f t="shared" ca="1" si="287"/>
      </c>
      <c r="R1305" s="74">
        <f t="shared" si="288"/>
      </c>
      <c r="S1305" s="74">
        <f t="shared" ca="1" si="289"/>
      </c>
      <c r="T1305" s="74">
        <f t="shared" si="290"/>
      </c>
    </row>
    <row r="1306" spans="2:20" x14ac:dyDescent="0.3">
      <c r="B1306" s="74">
        <f t="shared" ca="1" si="280"/>
      </c>
      <c r="C1306" s="78">
        <f>Кабельный_журнал!P1272</f>
      </c>
      <c r="D1306" s="74">
        <f t="shared" ca="1" si="281"/>
      </c>
      <c r="E1306" s="80" t="s">
        <v>279</v>
      </c>
      <c r="F1306" s="74">
        <f t="shared" ca="1" si="277"/>
      </c>
      <c r="G1306" s="74">
        <f t="shared" si="278"/>
      </c>
      <c r="H1306" s="80" t="s">
        <v>272</v>
      </c>
      <c r="I1306" s="74">
        <f t="shared" si="279"/>
      </c>
      <c r="J1306" s="74">
        <f t="shared" si="282"/>
      </c>
      <c r="K1306" s="80" t="s">
        <v>280</v>
      </c>
      <c r="L1306" s="74">
        <f t="shared" si="283"/>
      </c>
      <c r="M1306" s="74">
        <f t="shared" ca="1" si="284"/>
      </c>
      <c r="N1306" s="74">
        <f ca="1">VLOOKUP(B1306,$C$7:$T1304,13,FALSE)</f>
      </c>
      <c r="O1306" s="74">
        <f t="shared" ca="1" si="285"/>
      </c>
      <c r="P1306" s="74">
        <f t="shared" ca="1" si="286"/>
      </c>
      <c r="Q1306" s="74">
        <f t="shared" ca="1" si="287"/>
      </c>
      <c r="R1306" s="74">
        <f t="shared" si="288"/>
      </c>
      <c r="S1306" s="74">
        <f t="shared" ca="1" si="289"/>
      </c>
      <c r="T1306" s="74">
        <f t="shared" si="290"/>
      </c>
    </row>
    <row r="1307" spans="2:20" x14ac:dyDescent="0.3">
      <c r="B1307" s="74">
        <f t="shared" ca="1" si="280"/>
      </c>
      <c r="C1307" s="78">
        <f>Кабельный_журнал!P1273</f>
      </c>
      <c r="D1307" s="74">
        <f t="shared" ca="1" si="281"/>
      </c>
      <c r="E1307" s="80" t="s">
        <v>279</v>
      </c>
      <c r="F1307" s="74">
        <f t="shared" ca="1" si="277"/>
      </c>
      <c r="G1307" s="74">
        <f t="shared" si="278"/>
      </c>
      <c r="H1307" s="80" t="s">
        <v>272</v>
      </c>
      <c r="I1307" s="74">
        <f t="shared" si="279"/>
      </c>
      <c r="J1307" s="74">
        <f t="shared" si="282"/>
      </c>
      <c r="K1307" s="80" t="s">
        <v>280</v>
      </c>
      <c r="L1307" s="74">
        <f t="shared" si="283"/>
      </c>
      <c r="M1307" s="74">
        <f t="shared" ca="1" si="284"/>
      </c>
      <c r="N1307" s="74">
        <f ca="1">VLOOKUP(B1307,$C$7:$T1305,13,FALSE)</f>
      </c>
      <c r="O1307" s="74">
        <f t="shared" ca="1" si="285"/>
      </c>
      <c r="P1307" s="74">
        <f t="shared" ca="1" si="286"/>
      </c>
      <c r="Q1307" s="74">
        <f t="shared" ca="1" si="287"/>
      </c>
      <c r="R1307" s="74">
        <f t="shared" si="288"/>
      </c>
      <c r="S1307" s="74">
        <f t="shared" ca="1" si="289"/>
      </c>
      <c r="T1307" s="74">
        <f t="shared" si="290"/>
      </c>
    </row>
    <row r="1308" spans="2:20" x14ac:dyDescent="0.3">
      <c r="B1308" s="74">
        <f t="shared" ca="1" si="280"/>
      </c>
      <c r="C1308" s="78">
        <f>Кабельный_журнал!P1274</f>
      </c>
      <c r="D1308" s="74">
        <f t="shared" ca="1" si="281"/>
      </c>
      <c r="E1308" s="80" t="s">
        <v>279</v>
      </c>
      <c r="F1308" s="74">
        <f t="shared" ca="1" si="277"/>
      </c>
      <c r="G1308" s="74">
        <f t="shared" si="278"/>
      </c>
      <c r="H1308" s="80" t="s">
        <v>272</v>
      </c>
      <c r="I1308" s="74">
        <f t="shared" si="279"/>
      </c>
      <c r="J1308" s="74">
        <f t="shared" si="282"/>
      </c>
      <c r="K1308" s="80" t="s">
        <v>280</v>
      </c>
      <c r="L1308" s="74">
        <f t="shared" si="283"/>
      </c>
      <c r="M1308" s="74">
        <f t="shared" ca="1" si="284"/>
      </c>
      <c r="N1308" s="74">
        <f ca="1">VLOOKUP(B1308,$C$7:$T1306,13,FALSE)</f>
      </c>
      <c r="O1308" s="74">
        <f t="shared" ca="1" si="285"/>
      </c>
      <c r="P1308" s="74">
        <f t="shared" ca="1" si="286"/>
      </c>
      <c r="Q1308" s="74">
        <f t="shared" ca="1" si="287"/>
      </c>
      <c r="R1308" s="74">
        <f t="shared" si="288"/>
      </c>
      <c r="S1308" s="74">
        <f t="shared" ca="1" si="289"/>
      </c>
      <c r="T1308" s="74">
        <f t="shared" si="290"/>
      </c>
    </row>
    <row r="1309" spans="2:20" x14ac:dyDescent="0.3">
      <c r="B1309" s="74">
        <f t="shared" ca="1" si="280"/>
      </c>
      <c r="C1309" s="78">
        <f>Кабельный_журнал!P1275</f>
      </c>
      <c r="D1309" s="74">
        <f t="shared" ca="1" si="281"/>
      </c>
      <c r="E1309" s="80" t="s">
        <v>279</v>
      </c>
      <c r="F1309" s="74">
        <f t="shared" ca="1" si="277"/>
      </c>
      <c r="G1309" s="74">
        <f t="shared" si="278"/>
      </c>
      <c r="H1309" s="80" t="s">
        <v>272</v>
      </c>
      <c r="I1309" s="74">
        <f t="shared" si="279"/>
      </c>
      <c r="J1309" s="74">
        <f t="shared" si="282"/>
      </c>
      <c r="K1309" s="80" t="s">
        <v>280</v>
      </c>
      <c r="L1309" s="74">
        <f t="shared" si="283"/>
      </c>
      <c r="M1309" s="74">
        <f t="shared" ca="1" si="284"/>
      </c>
      <c r="N1309" s="74">
        <f ca="1">VLOOKUP(B1309,$C$7:$T1307,13,FALSE)</f>
      </c>
      <c r="O1309" s="74">
        <f t="shared" ca="1" si="285"/>
      </c>
      <c r="P1309" s="74">
        <f t="shared" ca="1" si="286"/>
      </c>
      <c r="Q1309" s="74">
        <f t="shared" ca="1" si="287"/>
      </c>
      <c r="R1309" s="74">
        <f t="shared" si="288"/>
      </c>
      <c r="S1309" s="74">
        <f t="shared" ca="1" si="289"/>
      </c>
      <c r="T1309" s="74">
        <f t="shared" si="290"/>
      </c>
    </row>
    <row r="1310" spans="2:20" x14ac:dyDescent="0.3">
      <c r="B1310" s="74">
        <f t="shared" ca="1" si="280"/>
      </c>
      <c r="C1310" s="78">
        <f>Кабельный_журнал!P1276</f>
      </c>
      <c r="D1310" s="74">
        <f t="shared" ca="1" si="281"/>
      </c>
      <c r="E1310" s="80" t="s">
        <v>279</v>
      </c>
      <c r="F1310" s="74">
        <f t="shared" ca="1" si="277"/>
      </c>
      <c r="G1310" s="74">
        <f t="shared" si="278"/>
      </c>
      <c r="H1310" s="80" t="s">
        <v>272</v>
      </c>
      <c r="I1310" s="74">
        <f t="shared" si="279"/>
      </c>
      <c r="J1310" s="74">
        <f t="shared" si="282"/>
      </c>
      <c r="K1310" s="80" t="s">
        <v>280</v>
      </c>
      <c r="L1310" s="74">
        <f t="shared" si="283"/>
      </c>
      <c r="M1310" s="74">
        <f t="shared" ca="1" si="284"/>
      </c>
      <c r="N1310" s="74">
        <f ca="1">VLOOKUP(B1310,$C$7:$T1308,13,FALSE)</f>
      </c>
      <c r="O1310" s="74">
        <f t="shared" ca="1" si="285"/>
      </c>
      <c r="P1310" s="74">
        <f t="shared" ca="1" si="286"/>
      </c>
      <c r="Q1310" s="74">
        <f t="shared" ca="1" si="287"/>
      </c>
      <c r="R1310" s="74">
        <f t="shared" si="288"/>
      </c>
      <c r="S1310" s="74">
        <f t="shared" ca="1" si="289"/>
      </c>
      <c r="T1310" s="74">
        <f t="shared" si="290"/>
      </c>
    </row>
    <row r="1311" spans="2:20" x14ac:dyDescent="0.3">
      <c r="B1311" s="74">
        <f t="shared" ca="1" si="280"/>
      </c>
      <c r="C1311" s="78">
        <f>Кабельный_журнал!P1277</f>
      </c>
      <c r="D1311" s="74">
        <f t="shared" ca="1" si="281"/>
      </c>
      <c r="E1311" s="80" t="s">
        <v>279</v>
      </c>
      <c r="F1311" s="74">
        <f t="shared" ca="1" si="277"/>
      </c>
      <c r="G1311" s="74">
        <f t="shared" si="278"/>
      </c>
      <c r="H1311" s="80" t="s">
        <v>272</v>
      </c>
      <c r="I1311" s="74">
        <f t="shared" si="279"/>
      </c>
      <c r="J1311" s="74">
        <f t="shared" si="282"/>
      </c>
      <c r="K1311" s="80" t="s">
        <v>280</v>
      </c>
      <c r="L1311" s="74">
        <f t="shared" si="283"/>
      </c>
      <c r="M1311" s="74">
        <f t="shared" ca="1" si="284"/>
      </c>
      <c r="N1311" s="74">
        <f ca="1">VLOOKUP(B1311,$C$7:$T1309,13,FALSE)</f>
      </c>
      <c r="O1311" s="74">
        <f t="shared" ca="1" si="285"/>
      </c>
      <c r="P1311" s="74">
        <f t="shared" ca="1" si="286"/>
      </c>
      <c r="Q1311" s="74">
        <f t="shared" ca="1" si="287"/>
      </c>
      <c r="R1311" s="74">
        <f t="shared" si="288"/>
      </c>
      <c r="S1311" s="74">
        <f t="shared" ca="1" si="289"/>
      </c>
      <c r="T1311" s="74">
        <f t="shared" si="290"/>
      </c>
    </row>
    <row r="1312" spans="2:20" x14ac:dyDescent="0.3">
      <c r="B1312" s="74">
        <f t="shared" ca="1" si="280"/>
      </c>
      <c r="C1312" s="78">
        <f>Кабельный_журнал!P1278</f>
      </c>
      <c r="D1312" s="74">
        <f t="shared" ca="1" si="281"/>
      </c>
      <c r="E1312" s="80" t="s">
        <v>279</v>
      </c>
      <c r="F1312" s="74">
        <f t="shared" ca="1" si="277"/>
      </c>
      <c r="G1312" s="74">
        <f t="shared" si="278"/>
      </c>
      <c r="H1312" s="80" t="s">
        <v>272</v>
      </c>
      <c r="I1312" s="74">
        <f t="shared" si="279"/>
      </c>
      <c r="J1312" s="74">
        <f t="shared" si="282"/>
      </c>
      <c r="K1312" s="80" t="s">
        <v>280</v>
      </c>
      <c r="L1312" s="74">
        <f t="shared" si="283"/>
      </c>
      <c r="M1312" s="74">
        <f t="shared" ca="1" si="284"/>
      </c>
      <c r="N1312" s="74">
        <f ca="1">VLOOKUP(B1312,$C$7:$T1310,13,FALSE)</f>
      </c>
      <c r="O1312" s="74">
        <f t="shared" ca="1" si="285"/>
      </c>
      <c r="P1312" s="74">
        <f t="shared" ca="1" si="286"/>
      </c>
      <c r="Q1312" s="74">
        <f t="shared" ca="1" si="287"/>
      </c>
      <c r="R1312" s="74">
        <f t="shared" si="288"/>
      </c>
      <c r="S1312" s="74">
        <f t="shared" ca="1" si="289"/>
      </c>
      <c r="T1312" s="74">
        <f t="shared" si="290"/>
      </c>
    </row>
    <row r="1313" spans="2:20" x14ac:dyDescent="0.3">
      <c r="B1313" s="74">
        <f t="shared" ca="1" si="280"/>
      </c>
      <c r="C1313" s="78">
        <f>Кабельный_журнал!P1279</f>
      </c>
      <c r="D1313" s="74">
        <f t="shared" ca="1" si="281"/>
      </c>
      <c r="E1313" s="80" t="s">
        <v>279</v>
      </c>
      <c r="F1313" s="74">
        <f t="shared" ca="1" si="277"/>
      </c>
      <c r="G1313" s="74">
        <f t="shared" si="278"/>
      </c>
      <c r="H1313" s="80" t="s">
        <v>272</v>
      </c>
      <c r="I1313" s="74">
        <f t="shared" si="279"/>
      </c>
      <c r="J1313" s="74">
        <f t="shared" si="282"/>
      </c>
      <c r="K1313" s="80" t="s">
        <v>280</v>
      </c>
      <c r="L1313" s="74">
        <f t="shared" si="283"/>
      </c>
      <c r="M1313" s="74">
        <f t="shared" ca="1" si="284"/>
      </c>
      <c r="N1313" s="74">
        <f ca="1">VLOOKUP(B1313,$C$7:$T1311,13,FALSE)</f>
      </c>
      <c r="O1313" s="74">
        <f t="shared" ca="1" si="285"/>
      </c>
      <c r="P1313" s="74">
        <f t="shared" ca="1" si="286"/>
      </c>
      <c r="Q1313" s="74">
        <f t="shared" ca="1" si="287"/>
      </c>
      <c r="R1313" s="74">
        <f t="shared" si="288"/>
      </c>
      <c r="S1313" s="74">
        <f t="shared" ca="1" si="289"/>
      </c>
      <c r="T1313" s="74">
        <f t="shared" si="290"/>
      </c>
    </row>
    <row r="1314" spans="2:20" x14ac:dyDescent="0.3">
      <c r="B1314" s="74">
        <f t="shared" ca="1" si="280"/>
      </c>
      <c r="C1314" s="78">
        <f>Кабельный_журнал!P1280</f>
      </c>
      <c r="D1314" s="74">
        <f t="shared" ca="1" si="281"/>
      </c>
      <c r="E1314" s="80" t="s">
        <v>279</v>
      </c>
      <c r="F1314" s="74">
        <f t="shared" ca="1" si="277"/>
      </c>
      <c r="G1314" s="74">
        <f t="shared" si="278"/>
      </c>
      <c r="H1314" s="80" t="s">
        <v>272</v>
      </c>
      <c r="I1314" s="74">
        <f t="shared" si="279"/>
      </c>
      <c r="J1314" s="74">
        <f t="shared" si="282"/>
      </c>
      <c r="K1314" s="80" t="s">
        <v>280</v>
      </c>
      <c r="L1314" s="74">
        <f t="shared" si="283"/>
      </c>
      <c r="M1314" s="74">
        <f t="shared" ca="1" si="284"/>
      </c>
      <c r="N1314" s="74">
        <f ca="1">VLOOKUP(B1314,$C$7:$T1312,13,FALSE)</f>
      </c>
      <c r="O1314" s="74">
        <f t="shared" ca="1" si="285"/>
      </c>
      <c r="P1314" s="74">
        <f t="shared" ca="1" si="286"/>
      </c>
      <c r="Q1314" s="74">
        <f t="shared" ca="1" si="287"/>
      </c>
      <c r="R1314" s="74">
        <f t="shared" si="288"/>
      </c>
      <c r="S1314" s="74">
        <f t="shared" ca="1" si="289"/>
      </c>
      <c r="T1314" s="74">
        <f t="shared" si="290"/>
      </c>
    </row>
    <row r="1315" spans="2:20" x14ac:dyDescent="0.3">
      <c r="B1315" s="74">
        <f t="shared" ca="1" si="280"/>
      </c>
      <c r="C1315" s="78">
        <f>Кабельный_журнал!P1281</f>
      </c>
      <c r="D1315" s="74">
        <f t="shared" ca="1" si="281"/>
      </c>
      <c r="E1315" s="80" t="s">
        <v>279</v>
      </c>
      <c r="F1315" s="74">
        <f t="shared" ca="1" si="277"/>
      </c>
      <c r="G1315" s="74">
        <f t="shared" si="278"/>
      </c>
      <c r="H1315" s="80" t="s">
        <v>272</v>
      </c>
      <c r="I1315" s="74">
        <f t="shared" si="279"/>
      </c>
      <c r="J1315" s="74">
        <f t="shared" si="282"/>
      </c>
      <c r="K1315" s="80" t="s">
        <v>280</v>
      </c>
      <c r="L1315" s="74">
        <f t="shared" si="283"/>
      </c>
      <c r="M1315" s="74">
        <f t="shared" ca="1" si="284"/>
      </c>
      <c r="N1315" s="74">
        <f ca="1">VLOOKUP(B1315,$C$7:$T1313,13,FALSE)</f>
      </c>
      <c r="O1315" s="74">
        <f t="shared" ca="1" si="285"/>
      </c>
      <c r="P1315" s="74">
        <f t="shared" ca="1" si="286"/>
      </c>
      <c r="Q1315" s="74">
        <f t="shared" ca="1" si="287"/>
      </c>
      <c r="R1315" s="74">
        <f t="shared" si="288"/>
      </c>
      <c r="S1315" s="74">
        <f t="shared" ca="1" si="289"/>
      </c>
      <c r="T1315" s="74">
        <f t="shared" si="290"/>
      </c>
    </row>
    <row r="1316" spans="2:20" x14ac:dyDescent="0.3">
      <c r="B1316" s="74">
        <f t="shared" ca="1" si="280"/>
      </c>
      <c r="C1316" s="78">
        <f>Кабельный_журнал!P1282</f>
      </c>
      <c r="D1316" s="74">
        <f t="shared" ca="1" si="281"/>
      </c>
      <c r="E1316" s="80" t="s">
        <v>279</v>
      </c>
      <c r="F1316" s="74">
        <f t="shared" ca="1" si="277"/>
      </c>
      <c r="G1316" s="74">
        <f t="shared" si="278"/>
      </c>
      <c r="H1316" s="80" t="s">
        <v>272</v>
      </c>
      <c r="I1316" s="74">
        <f t="shared" si="279"/>
      </c>
      <c r="J1316" s="74">
        <f t="shared" si="282"/>
      </c>
      <c r="K1316" s="80" t="s">
        <v>280</v>
      </c>
      <c r="L1316" s="74">
        <f t="shared" si="283"/>
      </c>
      <c r="M1316" s="74">
        <f t="shared" ca="1" si="284"/>
      </c>
      <c r="N1316" s="74">
        <f ca="1">VLOOKUP(B1316,$C$7:$T1314,13,FALSE)</f>
      </c>
      <c r="O1316" s="74">
        <f t="shared" ca="1" si="285"/>
      </c>
      <c r="P1316" s="74">
        <f t="shared" ca="1" si="286"/>
      </c>
      <c r="Q1316" s="74">
        <f t="shared" ca="1" si="287"/>
      </c>
      <c r="R1316" s="74">
        <f t="shared" si="288"/>
      </c>
      <c r="S1316" s="74">
        <f t="shared" ca="1" si="289"/>
      </c>
      <c r="T1316" s="74">
        <f t="shared" si="290"/>
      </c>
    </row>
    <row r="1317" spans="2:20" x14ac:dyDescent="0.3">
      <c r="B1317" s="74">
        <f t="shared" ca="1" si="280"/>
      </c>
      <c r="C1317" s="78">
        <f>Кабельный_журнал!P1283</f>
      </c>
      <c r="D1317" s="74">
        <f t="shared" ca="1" si="281"/>
      </c>
      <c r="E1317" s="80" t="s">
        <v>279</v>
      </c>
      <c r="F1317" s="74">
        <f t="shared" ca="1" si="277"/>
      </c>
      <c r="G1317" s="74">
        <f t="shared" si="278"/>
      </c>
      <c r="H1317" s="80" t="s">
        <v>272</v>
      </c>
      <c r="I1317" s="74">
        <f t="shared" si="279"/>
      </c>
      <c r="J1317" s="74">
        <f t="shared" si="282"/>
      </c>
      <c r="K1317" s="80" t="s">
        <v>280</v>
      </c>
      <c r="L1317" s="74">
        <f t="shared" si="283"/>
      </c>
      <c r="M1317" s="74">
        <f t="shared" ca="1" si="284"/>
      </c>
      <c r="N1317" s="74">
        <f ca="1">VLOOKUP(B1317,$C$7:$T1315,13,FALSE)</f>
      </c>
      <c r="O1317" s="74">
        <f t="shared" ca="1" si="285"/>
      </c>
      <c r="P1317" s="74">
        <f t="shared" ca="1" si="286"/>
      </c>
      <c r="Q1317" s="74">
        <f t="shared" ca="1" si="287"/>
      </c>
      <c r="R1317" s="74">
        <f t="shared" si="288"/>
      </c>
      <c r="S1317" s="74">
        <f t="shared" ca="1" si="289"/>
      </c>
      <c r="T1317" s="74">
        <f t="shared" si="290"/>
      </c>
    </row>
    <row r="1318" spans="2:20" x14ac:dyDescent="0.3">
      <c r="B1318" s="74">
        <f t="shared" ca="1" si="280"/>
      </c>
      <c r="C1318" s="78">
        <f>Кабельный_журнал!P1284</f>
      </c>
      <c r="D1318" s="74">
        <f t="shared" ca="1" si="281"/>
      </c>
      <c r="E1318" s="80" t="s">
        <v>279</v>
      </c>
      <c r="F1318" s="74">
        <f t="shared" ca="1" si="277"/>
      </c>
      <c r="G1318" s="74">
        <f t="shared" si="278"/>
      </c>
      <c r="H1318" s="80" t="s">
        <v>272</v>
      </c>
      <c r="I1318" s="74">
        <f t="shared" si="279"/>
      </c>
      <c r="J1318" s="74">
        <f t="shared" si="282"/>
      </c>
      <c r="K1318" s="80" t="s">
        <v>280</v>
      </c>
      <c r="L1318" s="74">
        <f t="shared" si="283"/>
      </c>
      <c r="M1318" s="74">
        <f t="shared" ca="1" si="284"/>
      </c>
      <c r="N1318" s="74">
        <f ca="1">VLOOKUP(B1318,$C$7:$T1316,13,FALSE)</f>
      </c>
      <c r="O1318" s="74">
        <f t="shared" ca="1" si="285"/>
      </c>
      <c r="P1318" s="74">
        <f t="shared" ca="1" si="286"/>
      </c>
      <c r="Q1318" s="74">
        <f t="shared" ca="1" si="287"/>
      </c>
      <c r="R1318" s="74">
        <f t="shared" si="288"/>
      </c>
      <c r="S1318" s="74">
        <f t="shared" ca="1" si="289"/>
      </c>
      <c r="T1318" s="74">
        <f t="shared" si="290"/>
      </c>
    </row>
    <row r="1319" spans="2:20" x14ac:dyDescent="0.3">
      <c r="B1319" s="74">
        <f t="shared" ca="1" si="280"/>
      </c>
      <c r="C1319" s="78">
        <f>Кабельный_журнал!P1285</f>
      </c>
      <c r="D1319" s="74">
        <f t="shared" ca="1" si="281"/>
      </c>
      <c r="E1319" s="80" t="s">
        <v>279</v>
      </c>
      <c r="F1319" s="74">
        <f t="shared" ref="F1319:F1382" ca="1" si="291">VLOOKUP(C1319,Кабельный_журнал,8,FALSE)</f>
      </c>
      <c r="G1319" s="74">
        <f t="shared" ref="G1319:G1382" si="292">VLOOKUP(C1319,Исходные_данные,21,FALSE)</f>
      </c>
      <c r="H1319" s="80" t="s">
        <v>272</v>
      </c>
      <c r="I1319" s="74">
        <f t="shared" ref="I1319:I1382" si="293">VLOOKUP(C1319,Исходные_данные,22,FALSE)</f>
      </c>
      <c r="J1319" s="74">
        <f t="shared" si="282"/>
      </c>
      <c r="K1319" s="80" t="s">
        <v>280</v>
      </c>
      <c r="L1319" s="74">
        <f t="shared" si="283"/>
      </c>
      <c r="M1319" s="74">
        <f t="shared" ca="1" si="284"/>
      </c>
      <c r="N1319" s="74">
        <f ca="1">VLOOKUP(B1319,$C$7:$T1317,13,FALSE)</f>
      </c>
      <c r="O1319" s="74">
        <f t="shared" ca="1" si="285"/>
      </c>
      <c r="P1319" s="74">
        <f t="shared" ca="1" si="286"/>
      </c>
      <c r="Q1319" s="74">
        <f t="shared" ca="1" si="287"/>
      </c>
      <c r="R1319" s="74">
        <f t="shared" si="288"/>
      </c>
      <c r="S1319" s="74">
        <f t="shared" ca="1" si="289"/>
      </c>
      <c r="T1319" s="74">
        <f t="shared" si="290"/>
      </c>
    </row>
    <row r="1320" spans="2:20" x14ac:dyDescent="0.3">
      <c r="B1320" s="74">
        <f t="shared" ref="B1320:B1383" ca="1" si="294">VLOOKUP(C1320,Кабельный_журнал,2,FALSE)</f>
      </c>
      <c r="C1320" s="78">
        <f>Кабельный_журнал!P1286</f>
      </c>
      <c r="D1320" s="74">
        <f t="shared" ref="D1320:D1383" ca="1" si="295">B1320&amp;"-"&amp;C1320</f>
      </c>
      <c r="E1320" s="80" t="s">
        <v>279</v>
      </c>
      <c r="F1320" s="74">
        <f t="shared" ca="1" si="291"/>
      </c>
      <c r="G1320" s="74">
        <f t="shared" si="292"/>
      </c>
      <c r="H1320" s="80" t="s">
        <v>272</v>
      </c>
      <c r="I1320" s="74">
        <f t="shared" si="293"/>
      </c>
      <c r="J1320" s="74">
        <f t="shared" ref="J1320:J1383" si="296">I1320</f>
      </c>
      <c r="K1320" s="80" t="s">
        <v>280</v>
      </c>
      <c r="L1320" s="74">
        <f t="shared" ref="L1320:L1383" si="297">VLOOKUP(K1320,$K$2:$L$3,2,FALSE)</f>
      </c>
      <c r="M1320" s="74">
        <f t="shared" ref="M1320:M1383" ca="1" si="298">L1320*F1320*(1/I1320+1/J1320)</f>
      </c>
      <c r="N1320" s="74">
        <f ca="1">VLOOKUP(B1320,$C$7:$T1318,13,FALSE)</f>
      </c>
      <c r="O1320" s="74">
        <f t="shared" ref="O1320:O1383" ca="1" si="299">L1320+M1320</f>
      </c>
      <c r="P1320" s="74">
        <f t="shared" ref="P1320:P1383" ca="1" si="300">220/O1320</f>
      </c>
      <c r="Q1320" s="74">
        <f t="shared" ref="Q1320:Q1383" ca="1" si="301">O1320/G1320</f>
      </c>
      <c r="R1320" s="74">
        <f t="shared" ref="R1320:R1383" si="302">VLOOKUP(H1320,$W$2:$Y$12,3,FALSE)</f>
      </c>
      <c r="S1320" s="74">
        <f t="shared" ref="S1320:S1383" ca="1" si="303">_xlfn.IFS(E1320="щит",IF(P1320&gt;R1320,"Увел сеч",IF(T1320&gt;P1320,"Увел сеч","tср&lt;5с")),E1320="потреб",IF(P1320&gt;R1320,"Увел сеч",IF(T1320&gt;P1320,"Увел сеч","tср&lt;0.4с")))</f>
      </c>
      <c r="T1320" s="74">
        <f t="shared" ref="T1320:T1383" si="304">G1320*VLOOKUP(H1320,$W$2:$Y$12,2,FALSE)</f>
      </c>
    </row>
    <row r="1321" spans="2:20" x14ac:dyDescent="0.3">
      <c r="B1321" s="74">
        <f t="shared" ca="1" si="294"/>
      </c>
      <c r="C1321" s="78">
        <f>Кабельный_журнал!P1287</f>
      </c>
      <c r="D1321" s="74">
        <f t="shared" ca="1" si="295"/>
      </c>
      <c r="E1321" s="80" t="s">
        <v>279</v>
      </c>
      <c r="F1321" s="74">
        <f t="shared" ca="1" si="291"/>
      </c>
      <c r="G1321" s="74">
        <f t="shared" si="292"/>
      </c>
      <c r="H1321" s="80" t="s">
        <v>272</v>
      </c>
      <c r="I1321" s="74">
        <f t="shared" si="293"/>
      </c>
      <c r="J1321" s="74">
        <f t="shared" si="296"/>
      </c>
      <c r="K1321" s="80" t="s">
        <v>280</v>
      </c>
      <c r="L1321" s="74">
        <f t="shared" si="297"/>
      </c>
      <c r="M1321" s="74">
        <f t="shared" ca="1" si="298"/>
      </c>
      <c r="N1321" s="74">
        <f ca="1">VLOOKUP(B1321,$C$7:$T1319,13,FALSE)</f>
      </c>
      <c r="O1321" s="74">
        <f t="shared" ca="1" si="299"/>
      </c>
      <c r="P1321" s="74">
        <f t="shared" ca="1" si="300"/>
      </c>
      <c r="Q1321" s="74">
        <f t="shared" ca="1" si="301"/>
      </c>
      <c r="R1321" s="74">
        <f t="shared" si="302"/>
      </c>
      <c r="S1321" s="74">
        <f t="shared" ca="1" si="303"/>
      </c>
      <c r="T1321" s="74">
        <f t="shared" si="304"/>
      </c>
    </row>
    <row r="1322" spans="2:20" x14ac:dyDescent="0.3">
      <c r="B1322" s="74">
        <f t="shared" ca="1" si="294"/>
      </c>
      <c r="C1322" s="78">
        <f>Кабельный_журнал!P1288</f>
      </c>
      <c r="D1322" s="74">
        <f t="shared" ca="1" si="295"/>
      </c>
      <c r="E1322" s="80" t="s">
        <v>279</v>
      </c>
      <c r="F1322" s="74">
        <f t="shared" ca="1" si="291"/>
      </c>
      <c r="G1322" s="74">
        <f t="shared" si="292"/>
      </c>
      <c r="H1322" s="80" t="s">
        <v>272</v>
      </c>
      <c r="I1322" s="74">
        <f t="shared" si="293"/>
      </c>
      <c r="J1322" s="74">
        <f t="shared" si="296"/>
      </c>
      <c r="K1322" s="80" t="s">
        <v>280</v>
      </c>
      <c r="L1322" s="74">
        <f t="shared" si="297"/>
      </c>
      <c r="M1322" s="74">
        <f t="shared" ca="1" si="298"/>
      </c>
      <c r="N1322" s="74">
        <f ca="1">VLOOKUP(B1322,$C$7:$T1320,13,FALSE)</f>
      </c>
      <c r="O1322" s="74">
        <f t="shared" ca="1" si="299"/>
      </c>
      <c r="P1322" s="74">
        <f t="shared" ca="1" si="300"/>
      </c>
      <c r="Q1322" s="74">
        <f t="shared" ca="1" si="301"/>
      </c>
      <c r="R1322" s="74">
        <f t="shared" si="302"/>
      </c>
      <c r="S1322" s="74">
        <f t="shared" ca="1" si="303"/>
      </c>
      <c r="T1322" s="74">
        <f t="shared" si="304"/>
      </c>
    </row>
    <row r="1323" spans="2:20" x14ac:dyDescent="0.3">
      <c r="B1323" s="74">
        <f t="shared" ca="1" si="294"/>
      </c>
      <c r="C1323" s="78">
        <f>Кабельный_журнал!P1289</f>
      </c>
      <c r="D1323" s="74">
        <f t="shared" ca="1" si="295"/>
      </c>
      <c r="E1323" s="80" t="s">
        <v>279</v>
      </c>
      <c r="F1323" s="74">
        <f t="shared" ca="1" si="291"/>
      </c>
      <c r="G1323" s="74">
        <f t="shared" si="292"/>
      </c>
      <c r="H1323" s="80" t="s">
        <v>272</v>
      </c>
      <c r="I1323" s="74">
        <f t="shared" si="293"/>
      </c>
      <c r="J1323" s="74">
        <f t="shared" si="296"/>
      </c>
      <c r="K1323" s="80" t="s">
        <v>280</v>
      </c>
      <c r="L1323" s="74">
        <f t="shared" si="297"/>
      </c>
      <c r="M1323" s="74">
        <f t="shared" ca="1" si="298"/>
      </c>
      <c r="N1323" s="74">
        <f ca="1">VLOOKUP(B1323,$C$7:$T1321,13,FALSE)</f>
      </c>
      <c r="O1323" s="74">
        <f t="shared" ca="1" si="299"/>
      </c>
      <c r="P1323" s="74">
        <f t="shared" ca="1" si="300"/>
      </c>
      <c r="Q1323" s="74">
        <f t="shared" ca="1" si="301"/>
      </c>
      <c r="R1323" s="74">
        <f t="shared" si="302"/>
      </c>
      <c r="S1323" s="74">
        <f t="shared" ca="1" si="303"/>
      </c>
      <c r="T1323" s="74">
        <f t="shared" si="304"/>
      </c>
    </row>
    <row r="1324" spans="2:20" x14ac:dyDescent="0.3">
      <c r="B1324" s="74">
        <f t="shared" ca="1" si="294"/>
      </c>
      <c r="C1324" s="78">
        <f>Кабельный_журнал!P1290</f>
      </c>
      <c r="D1324" s="74">
        <f t="shared" ca="1" si="295"/>
      </c>
      <c r="E1324" s="80" t="s">
        <v>279</v>
      </c>
      <c r="F1324" s="74">
        <f t="shared" ca="1" si="291"/>
      </c>
      <c r="G1324" s="74">
        <f t="shared" si="292"/>
      </c>
      <c r="H1324" s="80" t="s">
        <v>272</v>
      </c>
      <c r="I1324" s="74">
        <f t="shared" si="293"/>
      </c>
      <c r="J1324" s="74">
        <f t="shared" si="296"/>
      </c>
      <c r="K1324" s="80" t="s">
        <v>280</v>
      </c>
      <c r="L1324" s="74">
        <f t="shared" si="297"/>
      </c>
      <c r="M1324" s="74">
        <f t="shared" ca="1" si="298"/>
      </c>
      <c r="N1324" s="74">
        <f ca="1">VLOOKUP(B1324,$C$7:$T1322,13,FALSE)</f>
      </c>
      <c r="O1324" s="74">
        <f t="shared" ca="1" si="299"/>
      </c>
      <c r="P1324" s="74">
        <f t="shared" ca="1" si="300"/>
      </c>
      <c r="Q1324" s="74">
        <f t="shared" ca="1" si="301"/>
      </c>
      <c r="R1324" s="74">
        <f t="shared" si="302"/>
      </c>
      <c r="S1324" s="74">
        <f t="shared" ca="1" si="303"/>
      </c>
      <c r="T1324" s="74">
        <f t="shared" si="304"/>
      </c>
    </row>
    <row r="1325" spans="2:20" x14ac:dyDescent="0.3">
      <c r="B1325" s="74">
        <f t="shared" ca="1" si="294"/>
      </c>
      <c r="C1325" s="78">
        <f>Кабельный_журнал!P1291</f>
      </c>
      <c r="D1325" s="74">
        <f t="shared" ca="1" si="295"/>
      </c>
      <c r="E1325" s="80" t="s">
        <v>279</v>
      </c>
      <c r="F1325" s="74">
        <f t="shared" ca="1" si="291"/>
      </c>
      <c r="G1325" s="74">
        <f t="shared" si="292"/>
      </c>
      <c r="H1325" s="80" t="s">
        <v>272</v>
      </c>
      <c r="I1325" s="74">
        <f t="shared" si="293"/>
      </c>
      <c r="J1325" s="74">
        <f t="shared" si="296"/>
      </c>
      <c r="K1325" s="80" t="s">
        <v>280</v>
      </c>
      <c r="L1325" s="74">
        <f t="shared" si="297"/>
      </c>
      <c r="M1325" s="74">
        <f t="shared" ca="1" si="298"/>
      </c>
      <c r="N1325" s="74">
        <f ca="1">VLOOKUP(B1325,$C$7:$T1323,13,FALSE)</f>
      </c>
      <c r="O1325" s="74">
        <f t="shared" ca="1" si="299"/>
      </c>
      <c r="P1325" s="74">
        <f t="shared" ca="1" si="300"/>
      </c>
      <c r="Q1325" s="74">
        <f t="shared" ca="1" si="301"/>
      </c>
      <c r="R1325" s="74">
        <f t="shared" si="302"/>
      </c>
      <c r="S1325" s="74">
        <f t="shared" ca="1" si="303"/>
      </c>
      <c r="T1325" s="74">
        <f t="shared" si="304"/>
      </c>
    </row>
    <row r="1326" spans="2:20" x14ac:dyDescent="0.3">
      <c r="B1326" s="74">
        <f t="shared" ca="1" si="294"/>
      </c>
      <c r="C1326" s="78">
        <f>Кабельный_журнал!P1292</f>
      </c>
      <c r="D1326" s="74">
        <f t="shared" ca="1" si="295"/>
      </c>
      <c r="E1326" s="80" t="s">
        <v>279</v>
      </c>
      <c r="F1326" s="74">
        <f t="shared" ca="1" si="291"/>
      </c>
      <c r="G1326" s="74">
        <f t="shared" si="292"/>
      </c>
      <c r="H1326" s="80" t="s">
        <v>272</v>
      </c>
      <c r="I1326" s="74">
        <f t="shared" si="293"/>
      </c>
      <c r="J1326" s="74">
        <f t="shared" si="296"/>
      </c>
      <c r="K1326" s="80" t="s">
        <v>280</v>
      </c>
      <c r="L1326" s="74">
        <f t="shared" si="297"/>
      </c>
      <c r="M1326" s="74">
        <f t="shared" ca="1" si="298"/>
      </c>
      <c r="N1326" s="74">
        <f ca="1">VLOOKUP(B1326,$C$7:$T1324,13,FALSE)</f>
      </c>
      <c r="O1326" s="74">
        <f t="shared" ca="1" si="299"/>
      </c>
      <c r="P1326" s="74">
        <f t="shared" ca="1" si="300"/>
      </c>
      <c r="Q1326" s="74">
        <f t="shared" ca="1" si="301"/>
      </c>
      <c r="R1326" s="74">
        <f t="shared" si="302"/>
      </c>
      <c r="S1326" s="74">
        <f t="shared" ca="1" si="303"/>
      </c>
      <c r="T1326" s="74">
        <f t="shared" si="304"/>
      </c>
    </row>
    <row r="1327" spans="2:20" x14ac:dyDescent="0.3">
      <c r="B1327" s="74">
        <f t="shared" ca="1" si="294"/>
      </c>
      <c r="C1327" s="78">
        <f>Кабельный_журнал!P1293</f>
      </c>
      <c r="D1327" s="74">
        <f t="shared" ca="1" si="295"/>
      </c>
      <c r="E1327" s="80" t="s">
        <v>279</v>
      </c>
      <c r="F1327" s="74">
        <f t="shared" ca="1" si="291"/>
      </c>
      <c r="G1327" s="74">
        <f t="shared" si="292"/>
      </c>
      <c r="H1327" s="80" t="s">
        <v>272</v>
      </c>
      <c r="I1327" s="74">
        <f t="shared" si="293"/>
      </c>
      <c r="J1327" s="74">
        <f t="shared" si="296"/>
      </c>
      <c r="K1327" s="80" t="s">
        <v>280</v>
      </c>
      <c r="L1327" s="74">
        <f t="shared" si="297"/>
      </c>
      <c r="M1327" s="74">
        <f t="shared" ca="1" si="298"/>
      </c>
      <c r="N1327" s="74">
        <f ca="1">VLOOKUP(B1327,$C$7:$T1325,13,FALSE)</f>
      </c>
      <c r="O1327" s="74">
        <f t="shared" ca="1" si="299"/>
      </c>
      <c r="P1327" s="74">
        <f t="shared" ca="1" si="300"/>
      </c>
      <c r="Q1327" s="74">
        <f t="shared" ca="1" si="301"/>
      </c>
      <c r="R1327" s="74">
        <f t="shared" si="302"/>
      </c>
      <c r="S1327" s="74">
        <f t="shared" ca="1" si="303"/>
      </c>
      <c r="T1327" s="74">
        <f t="shared" si="304"/>
      </c>
    </row>
    <row r="1328" spans="2:20" x14ac:dyDescent="0.3">
      <c r="B1328" s="74">
        <f t="shared" ca="1" si="294"/>
      </c>
      <c r="C1328" s="78">
        <f>Кабельный_журнал!P1294</f>
      </c>
      <c r="D1328" s="74">
        <f t="shared" ca="1" si="295"/>
      </c>
      <c r="E1328" s="80" t="s">
        <v>279</v>
      </c>
      <c r="F1328" s="74">
        <f t="shared" ca="1" si="291"/>
      </c>
      <c r="G1328" s="74">
        <f t="shared" si="292"/>
      </c>
      <c r="H1328" s="80" t="s">
        <v>272</v>
      </c>
      <c r="I1328" s="74">
        <f t="shared" si="293"/>
      </c>
      <c r="J1328" s="74">
        <f t="shared" si="296"/>
      </c>
      <c r="K1328" s="80" t="s">
        <v>280</v>
      </c>
      <c r="L1328" s="74">
        <f t="shared" si="297"/>
      </c>
      <c r="M1328" s="74">
        <f t="shared" ca="1" si="298"/>
      </c>
      <c r="N1328" s="74">
        <f ca="1">VLOOKUP(B1328,$C$7:$T1326,13,FALSE)</f>
      </c>
      <c r="O1328" s="74">
        <f t="shared" ca="1" si="299"/>
      </c>
      <c r="P1328" s="74">
        <f t="shared" ca="1" si="300"/>
      </c>
      <c r="Q1328" s="74">
        <f t="shared" ca="1" si="301"/>
      </c>
      <c r="R1328" s="74">
        <f t="shared" si="302"/>
      </c>
      <c r="S1328" s="74">
        <f t="shared" ca="1" si="303"/>
      </c>
      <c r="T1328" s="74">
        <f t="shared" si="304"/>
      </c>
    </row>
    <row r="1329" spans="2:20" x14ac:dyDescent="0.3">
      <c r="B1329" s="74">
        <f t="shared" ca="1" si="294"/>
      </c>
      <c r="C1329" s="78">
        <f>Кабельный_журнал!P1295</f>
      </c>
      <c r="D1329" s="74">
        <f t="shared" ca="1" si="295"/>
      </c>
      <c r="E1329" s="80" t="s">
        <v>279</v>
      </c>
      <c r="F1329" s="74">
        <f t="shared" ca="1" si="291"/>
      </c>
      <c r="G1329" s="74">
        <f t="shared" si="292"/>
      </c>
      <c r="H1329" s="80" t="s">
        <v>272</v>
      </c>
      <c r="I1329" s="74">
        <f t="shared" si="293"/>
      </c>
      <c r="J1329" s="74">
        <f t="shared" si="296"/>
      </c>
      <c r="K1329" s="80" t="s">
        <v>280</v>
      </c>
      <c r="L1329" s="74">
        <f t="shared" si="297"/>
      </c>
      <c r="M1329" s="74">
        <f t="shared" ca="1" si="298"/>
      </c>
      <c r="N1329" s="74">
        <f ca="1">VLOOKUP(B1329,$C$7:$T1327,13,FALSE)</f>
      </c>
      <c r="O1329" s="74">
        <f t="shared" ca="1" si="299"/>
      </c>
      <c r="P1329" s="74">
        <f t="shared" ca="1" si="300"/>
      </c>
      <c r="Q1329" s="74">
        <f t="shared" ca="1" si="301"/>
      </c>
      <c r="R1329" s="74">
        <f t="shared" si="302"/>
      </c>
      <c r="S1329" s="74">
        <f t="shared" ca="1" si="303"/>
      </c>
      <c r="T1329" s="74">
        <f t="shared" si="304"/>
      </c>
    </row>
    <row r="1330" spans="2:20" x14ac:dyDescent="0.3">
      <c r="B1330" s="74">
        <f t="shared" ca="1" si="294"/>
      </c>
      <c r="C1330" s="78">
        <f>Кабельный_журнал!P1296</f>
      </c>
      <c r="D1330" s="74">
        <f t="shared" ca="1" si="295"/>
      </c>
      <c r="E1330" s="80" t="s">
        <v>279</v>
      </c>
      <c r="F1330" s="74">
        <f t="shared" ca="1" si="291"/>
      </c>
      <c r="G1330" s="74">
        <f t="shared" si="292"/>
      </c>
      <c r="H1330" s="80" t="s">
        <v>272</v>
      </c>
      <c r="I1330" s="74">
        <f t="shared" si="293"/>
      </c>
      <c r="J1330" s="74">
        <f t="shared" si="296"/>
      </c>
      <c r="K1330" s="80" t="s">
        <v>280</v>
      </c>
      <c r="L1330" s="74">
        <f t="shared" si="297"/>
      </c>
      <c r="M1330" s="74">
        <f t="shared" ca="1" si="298"/>
      </c>
      <c r="N1330" s="74">
        <f ca="1">VLOOKUP(B1330,$C$7:$T1328,13,FALSE)</f>
      </c>
      <c r="O1330" s="74">
        <f t="shared" ca="1" si="299"/>
      </c>
      <c r="P1330" s="74">
        <f t="shared" ca="1" si="300"/>
      </c>
      <c r="Q1330" s="74">
        <f t="shared" ca="1" si="301"/>
      </c>
      <c r="R1330" s="74">
        <f t="shared" si="302"/>
      </c>
      <c r="S1330" s="74">
        <f t="shared" ca="1" si="303"/>
      </c>
      <c r="T1330" s="74">
        <f t="shared" si="304"/>
      </c>
    </row>
    <row r="1331" spans="2:20" x14ac:dyDescent="0.3">
      <c r="B1331" s="74">
        <f t="shared" ca="1" si="294"/>
      </c>
      <c r="C1331" s="78">
        <f>Кабельный_журнал!P1297</f>
      </c>
      <c r="D1331" s="74">
        <f t="shared" ca="1" si="295"/>
      </c>
      <c r="E1331" s="80" t="s">
        <v>279</v>
      </c>
      <c r="F1331" s="74">
        <f t="shared" ca="1" si="291"/>
      </c>
      <c r="G1331" s="74">
        <f t="shared" si="292"/>
      </c>
      <c r="H1331" s="80" t="s">
        <v>272</v>
      </c>
      <c r="I1331" s="74">
        <f t="shared" si="293"/>
      </c>
      <c r="J1331" s="74">
        <f t="shared" si="296"/>
      </c>
      <c r="K1331" s="80" t="s">
        <v>280</v>
      </c>
      <c r="L1331" s="74">
        <f t="shared" si="297"/>
      </c>
      <c r="M1331" s="74">
        <f t="shared" ca="1" si="298"/>
      </c>
      <c r="N1331" s="74">
        <f ca="1">VLOOKUP(B1331,$C$7:$T1329,13,FALSE)</f>
      </c>
      <c r="O1331" s="74">
        <f t="shared" ca="1" si="299"/>
      </c>
      <c r="P1331" s="74">
        <f t="shared" ca="1" si="300"/>
      </c>
      <c r="Q1331" s="74">
        <f t="shared" ca="1" si="301"/>
      </c>
      <c r="R1331" s="74">
        <f t="shared" si="302"/>
      </c>
      <c r="S1331" s="74">
        <f t="shared" ca="1" si="303"/>
      </c>
      <c r="T1331" s="74">
        <f t="shared" si="304"/>
      </c>
    </row>
    <row r="1332" spans="2:20" x14ac:dyDescent="0.3">
      <c r="B1332" s="74">
        <f t="shared" ca="1" si="294"/>
      </c>
      <c r="C1332" s="78">
        <f>Кабельный_журнал!P1298</f>
      </c>
      <c r="D1332" s="74">
        <f t="shared" ca="1" si="295"/>
      </c>
      <c r="E1332" s="80" t="s">
        <v>279</v>
      </c>
      <c r="F1332" s="74">
        <f t="shared" ca="1" si="291"/>
      </c>
      <c r="G1332" s="74">
        <f t="shared" si="292"/>
      </c>
      <c r="H1332" s="80" t="s">
        <v>272</v>
      </c>
      <c r="I1332" s="74">
        <f t="shared" si="293"/>
      </c>
      <c r="J1332" s="74">
        <f t="shared" si="296"/>
      </c>
      <c r="K1332" s="80" t="s">
        <v>280</v>
      </c>
      <c r="L1332" s="74">
        <f t="shared" si="297"/>
      </c>
      <c r="M1332" s="74">
        <f t="shared" ca="1" si="298"/>
      </c>
      <c r="N1332" s="74">
        <f ca="1">VLOOKUP(B1332,$C$7:$T1330,13,FALSE)</f>
      </c>
      <c r="O1332" s="74">
        <f t="shared" ca="1" si="299"/>
      </c>
      <c r="P1332" s="74">
        <f t="shared" ca="1" si="300"/>
      </c>
      <c r="Q1332" s="74">
        <f t="shared" ca="1" si="301"/>
      </c>
      <c r="R1332" s="74">
        <f t="shared" si="302"/>
      </c>
      <c r="S1332" s="74">
        <f t="shared" ca="1" si="303"/>
      </c>
      <c r="T1332" s="74">
        <f t="shared" si="304"/>
      </c>
    </row>
    <row r="1333" spans="2:20" x14ac:dyDescent="0.3">
      <c r="B1333" s="74">
        <f t="shared" ca="1" si="294"/>
      </c>
      <c r="C1333" s="78">
        <f>Кабельный_журнал!P1299</f>
      </c>
      <c r="D1333" s="74">
        <f t="shared" ca="1" si="295"/>
      </c>
      <c r="E1333" s="80" t="s">
        <v>279</v>
      </c>
      <c r="F1333" s="74">
        <f t="shared" ca="1" si="291"/>
      </c>
      <c r="G1333" s="74">
        <f t="shared" si="292"/>
      </c>
      <c r="H1333" s="80" t="s">
        <v>272</v>
      </c>
      <c r="I1333" s="74">
        <f t="shared" si="293"/>
      </c>
      <c r="J1333" s="74">
        <f t="shared" si="296"/>
      </c>
      <c r="K1333" s="80" t="s">
        <v>280</v>
      </c>
      <c r="L1333" s="74">
        <f t="shared" si="297"/>
      </c>
      <c r="M1333" s="74">
        <f t="shared" ca="1" si="298"/>
      </c>
      <c r="N1333" s="74">
        <f ca="1">VLOOKUP(B1333,$C$7:$T1331,13,FALSE)</f>
      </c>
      <c r="O1333" s="74">
        <f t="shared" ca="1" si="299"/>
      </c>
      <c r="P1333" s="74">
        <f t="shared" ca="1" si="300"/>
      </c>
      <c r="Q1333" s="74">
        <f t="shared" ca="1" si="301"/>
      </c>
      <c r="R1333" s="74">
        <f t="shared" si="302"/>
      </c>
      <c r="S1333" s="74">
        <f t="shared" ca="1" si="303"/>
      </c>
      <c r="T1333" s="74">
        <f t="shared" si="304"/>
      </c>
    </row>
    <row r="1334" spans="2:20" x14ac:dyDescent="0.3">
      <c r="B1334" s="74">
        <f t="shared" ca="1" si="294"/>
      </c>
      <c r="C1334" s="78">
        <f>Кабельный_журнал!P1300</f>
      </c>
      <c r="D1334" s="74">
        <f t="shared" ca="1" si="295"/>
      </c>
      <c r="E1334" s="80" t="s">
        <v>279</v>
      </c>
      <c r="F1334" s="74">
        <f t="shared" ca="1" si="291"/>
      </c>
      <c r="G1334" s="74">
        <f t="shared" si="292"/>
      </c>
      <c r="H1334" s="80" t="s">
        <v>272</v>
      </c>
      <c r="I1334" s="74">
        <f t="shared" si="293"/>
      </c>
      <c r="J1334" s="74">
        <f t="shared" si="296"/>
      </c>
      <c r="K1334" s="80" t="s">
        <v>280</v>
      </c>
      <c r="L1334" s="74">
        <f t="shared" si="297"/>
      </c>
      <c r="M1334" s="74">
        <f t="shared" ca="1" si="298"/>
      </c>
      <c r="N1334" s="74">
        <f ca="1">VLOOKUP(B1334,$C$7:$T1332,13,FALSE)</f>
      </c>
      <c r="O1334" s="74">
        <f t="shared" ca="1" si="299"/>
      </c>
      <c r="P1334" s="74">
        <f t="shared" ca="1" si="300"/>
      </c>
      <c r="Q1334" s="74">
        <f t="shared" ca="1" si="301"/>
      </c>
      <c r="R1334" s="74">
        <f t="shared" si="302"/>
      </c>
      <c r="S1334" s="74">
        <f t="shared" ca="1" si="303"/>
      </c>
      <c r="T1334" s="74">
        <f t="shared" si="304"/>
      </c>
    </row>
    <row r="1335" spans="2:20" x14ac:dyDescent="0.3">
      <c r="B1335" s="74">
        <f t="shared" ca="1" si="294"/>
      </c>
      <c r="C1335" s="78">
        <f>Кабельный_журнал!P1301</f>
      </c>
      <c r="D1335" s="74">
        <f t="shared" ca="1" si="295"/>
      </c>
      <c r="E1335" s="80" t="s">
        <v>279</v>
      </c>
      <c r="F1335" s="74">
        <f t="shared" ca="1" si="291"/>
      </c>
      <c r="G1335" s="74">
        <f t="shared" si="292"/>
      </c>
      <c r="H1335" s="80" t="s">
        <v>272</v>
      </c>
      <c r="I1335" s="74">
        <f t="shared" si="293"/>
      </c>
      <c r="J1335" s="74">
        <f t="shared" si="296"/>
      </c>
      <c r="K1335" s="80" t="s">
        <v>280</v>
      </c>
      <c r="L1335" s="74">
        <f t="shared" si="297"/>
      </c>
      <c r="M1335" s="74">
        <f t="shared" ca="1" si="298"/>
      </c>
      <c r="N1335" s="74">
        <f ca="1">VLOOKUP(B1335,$C$7:$T1333,13,FALSE)</f>
      </c>
      <c r="O1335" s="74">
        <f t="shared" ca="1" si="299"/>
      </c>
      <c r="P1335" s="74">
        <f t="shared" ca="1" si="300"/>
      </c>
      <c r="Q1335" s="74">
        <f t="shared" ca="1" si="301"/>
      </c>
      <c r="R1335" s="74">
        <f t="shared" si="302"/>
      </c>
      <c r="S1335" s="74">
        <f t="shared" ca="1" si="303"/>
      </c>
      <c r="T1335" s="74">
        <f t="shared" si="304"/>
      </c>
    </row>
    <row r="1336" spans="2:20" x14ac:dyDescent="0.3">
      <c r="B1336" s="74">
        <f t="shared" ca="1" si="294"/>
      </c>
      <c r="C1336" s="78">
        <f>Кабельный_журнал!P1302</f>
      </c>
      <c r="D1336" s="74">
        <f t="shared" ca="1" si="295"/>
      </c>
      <c r="E1336" s="80" t="s">
        <v>279</v>
      </c>
      <c r="F1336" s="74">
        <f t="shared" ca="1" si="291"/>
      </c>
      <c r="G1336" s="74">
        <f t="shared" si="292"/>
      </c>
      <c r="H1336" s="80" t="s">
        <v>272</v>
      </c>
      <c r="I1336" s="74">
        <f t="shared" si="293"/>
      </c>
      <c r="J1336" s="74">
        <f t="shared" si="296"/>
      </c>
      <c r="K1336" s="80" t="s">
        <v>280</v>
      </c>
      <c r="L1336" s="74">
        <f t="shared" si="297"/>
      </c>
      <c r="M1336" s="74">
        <f t="shared" ca="1" si="298"/>
      </c>
      <c r="N1336" s="74">
        <f ca="1">VLOOKUP(B1336,$C$7:$T1334,13,FALSE)</f>
      </c>
      <c r="O1336" s="74">
        <f t="shared" ca="1" si="299"/>
      </c>
      <c r="P1336" s="74">
        <f t="shared" ca="1" si="300"/>
      </c>
      <c r="Q1336" s="74">
        <f t="shared" ca="1" si="301"/>
      </c>
      <c r="R1336" s="74">
        <f t="shared" si="302"/>
      </c>
      <c r="S1336" s="74">
        <f t="shared" ca="1" si="303"/>
      </c>
      <c r="T1336" s="74">
        <f t="shared" si="304"/>
      </c>
    </row>
    <row r="1337" spans="2:20" x14ac:dyDescent="0.3">
      <c r="B1337" s="74">
        <f t="shared" ca="1" si="294"/>
      </c>
      <c r="C1337" s="78">
        <f>Кабельный_журнал!P1303</f>
      </c>
      <c r="D1337" s="74">
        <f t="shared" ca="1" si="295"/>
      </c>
      <c r="E1337" s="80" t="s">
        <v>279</v>
      </c>
      <c r="F1337" s="74">
        <f t="shared" ca="1" si="291"/>
      </c>
      <c r="G1337" s="74">
        <f t="shared" si="292"/>
      </c>
      <c r="H1337" s="80" t="s">
        <v>272</v>
      </c>
      <c r="I1337" s="74">
        <f t="shared" si="293"/>
      </c>
      <c r="J1337" s="74">
        <f t="shared" si="296"/>
      </c>
      <c r="K1337" s="80" t="s">
        <v>280</v>
      </c>
      <c r="L1337" s="74">
        <f t="shared" si="297"/>
      </c>
      <c r="M1337" s="74">
        <f t="shared" ca="1" si="298"/>
      </c>
      <c r="N1337" s="74">
        <f ca="1">VLOOKUP(B1337,$C$7:$T1335,13,FALSE)</f>
      </c>
      <c r="O1337" s="74">
        <f t="shared" ca="1" si="299"/>
      </c>
      <c r="P1337" s="74">
        <f t="shared" ca="1" si="300"/>
      </c>
      <c r="Q1337" s="74">
        <f t="shared" ca="1" si="301"/>
      </c>
      <c r="R1337" s="74">
        <f t="shared" si="302"/>
      </c>
      <c r="S1337" s="74">
        <f t="shared" ca="1" si="303"/>
      </c>
      <c r="T1337" s="74">
        <f t="shared" si="304"/>
      </c>
    </row>
    <row r="1338" spans="2:20" x14ac:dyDescent="0.3">
      <c r="B1338" s="74">
        <f t="shared" ca="1" si="294"/>
      </c>
      <c r="C1338" s="78">
        <f>Кабельный_журнал!P1304</f>
      </c>
      <c r="D1338" s="74">
        <f t="shared" ca="1" si="295"/>
      </c>
      <c r="E1338" s="80" t="s">
        <v>279</v>
      </c>
      <c r="F1338" s="74">
        <f t="shared" ca="1" si="291"/>
      </c>
      <c r="G1338" s="74">
        <f t="shared" si="292"/>
      </c>
      <c r="H1338" s="80" t="s">
        <v>272</v>
      </c>
      <c r="I1338" s="74">
        <f t="shared" si="293"/>
      </c>
      <c r="J1338" s="74">
        <f t="shared" si="296"/>
      </c>
      <c r="K1338" s="80" t="s">
        <v>280</v>
      </c>
      <c r="L1338" s="74">
        <f t="shared" si="297"/>
      </c>
      <c r="M1338" s="74">
        <f t="shared" ca="1" si="298"/>
      </c>
      <c r="N1338" s="74">
        <f ca="1">VLOOKUP(B1338,$C$7:$T1336,13,FALSE)</f>
      </c>
      <c r="O1338" s="74">
        <f t="shared" ca="1" si="299"/>
      </c>
      <c r="P1338" s="74">
        <f t="shared" ca="1" si="300"/>
      </c>
      <c r="Q1338" s="74">
        <f t="shared" ca="1" si="301"/>
      </c>
      <c r="R1338" s="74">
        <f t="shared" si="302"/>
      </c>
      <c r="S1338" s="74">
        <f t="shared" ca="1" si="303"/>
      </c>
      <c r="T1338" s="74">
        <f t="shared" si="304"/>
      </c>
    </row>
    <row r="1339" spans="2:20" x14ac:dyDescent="0.3">
      <c r="B1339" s="74">
        <f t="shared" ca="1" si="294"/>
      </c>
      <c r="C1339" s="78">
        <f>Кабельный_журнал!P1305</f>
      </c>
      <c r="D1339" s="74">
        <f t="shared" ca="1" si="295"/>
      </c>
      <c r="E1339" s="80" t="s">
        <v>279</v>
      </c>
      <c r="F1339" s="74">
        <f t="shared" ca="1" si="291"/>
      </c>
      <c r="G1339" s="74">
        <f t="shared" si="292"/>
      </c>
      <c r="H1339" s="80" t="s">
        <v>272</v>
      </c>
      <c r="I1339" s="74">
        <f t="shared" si="293"/>
      </c>
      <c r="J1339" s="74">
        <f t="shared" si="296"/>
      </c>
      <c r="K1339" s="80" t="s">
        <v>280</v>
      </c>
      <c r="L1339" s="74">
        <f t="shared" si="297"/>
      </c>
      <c r="M1339" s="74">
        <f t="shared" ca="1" si="298"/>
      </c>
      <c r="N1339" s="74">
        <f ca="1">VLOOKUP(B1339,$C$7:$T1337,13,FALSE)</f>
      </c>
      <c r="O1339" s="74">
        <f t="shared" ca="1" si="299"/>
      </c>
      <c r="P1339" s="74">
        <f t="shared" ca="1" si="300"/>
      </c>
      <c r="Q1339" s="74">
        <f t="shared" ca="1" si="301"/>
      </c>
      <c r="R1339" s="74">
        <f t="shared" si="302"/>
      </c>
      <c r="S1339" s="74">
        <f t="shared" ca="1" si="303"/>
      </c>
      <c r="T1339" s="74">
        <f t="shared" si="304"/>
      </c>
    </row>
    <row r="1340" spans="2:20" x14ac:dyDescent="0.3">
      <c r="B1340" s="74">
        <f t="shared" ca="1" si="294"/>
      </c>
      <c r="C1340" s="78">
        <f>Кабельный_журнал!P1306</f>
      </c>
      <c r="D1340" s="74">
        <f t="shared" ca="1" si="295"/>
      </c>
      <c r="E1340" s="80" t="s">
        <v>279</v>
      </c>
      <c r="F1340" s="74">
        <f t="shared" ca="1" si="291"/>
      </c>
      <c r="G1340" s="74">
        <f t="shared" si="292"/>
      </c>
      <c r="H1340" s="80" t="s">
        <v>272</v>
      </c>
      <c r="I1340" s="74">
        <f t="shared" si="293"/>
      </c>
      <c r="J1340" s="74">
        <f t="shared" si="296"/>
      </c>
      <c r="K1340" s="80" t="s">
        <v>280</v>
      </c>
      <c r="L1340" s="74">
        <f t="shared" si="297"/>
      </c>
      <c r="M1340" s="74">
        <f t="shared" ca="1" si="298"/>
      </c>
      <c r="N1340" s="74">
        <f ca="1">VLOOKUP(B1340,$C$7:$T1338,13,FALSE)</f>
      </c>
      <c r="O1340" s="74">
        <f t="shared" ca="1" si="299"/>
      </c>
      <c r="P1340" s="74">
        <f t="shared" ca="1" si="300"/>
      </c>
      <c r="Q1340" s="74">
        <f t="shared" ca="1" si="301"/>
      </c>
      <c r="R1340" s="74">
        <f t="shared" si="302"/>
      </c>
      <c r="S1340" s="74">
        <f t="shared" ca="1" si="303"/>
      </c>
      <c r="T1340" s="74">
        <f t="shared" si="304"/>
      </c>
    </row>
    <row r="1341" spans="2:20" x14ac:dyDescent="0.3">
      <c r="B1341" s="74">
        <f t="shared" ca="1" si="294"/>
      </c>
      <c r="C1341" s="78">
        <f>Кабельный_журнал!P1307</f>
      </c>
      <c r="D1341" s="74">
        <f t="shared" ca="1" si="295"/>
      </c>
      <c r="E1341" s="80" t="s">
        <v>279</v>
      </c>
      <c r="F1341" s="74">
        <f t="shared" ca="1" si="291"/>
      </c>
      <c r="G1341" s="74">
        <f t="shared" si="292"/>
      </c>
      <c r="H1341" s="80" t="s">
        <v>272</v>
      </c>
      <c r="I1341" s="74">
        <f t="shared" si="293"/>
      </c>
      <c r="J1341" s="74">
        <f t="shared" si="296"/>
      </c>
      <c r="K1341" s="80" t="s">
        <v>280</v>
      </c>
      <c r="L1341" s="74">
        <f t="shared" si="297"/>
      </c>
      <c r="M1341" s="74">
        <f t="shared" ca="1" si="298"/>
      </c>
      <c r="N1341" s="74">
        <f ca="1">VLOOKUP(B1341,$C$7:$T1339,13,FALSE)</f>
      </c>
      <c r="O1341" s="74">
        <f t="shared" ca="1" si="299"/>
      </c>
      <c r="P1341" s="74">
        <f t="shared" ca="1" si="300"/>
      </c>
      <c r="Q1341" s="74">
        <f t="shared" ca="1" si="301"/>
      </c>
      <c r="R1341" s="74">
        <f t="shared" si="302"/>
      </c>
      <c r="S1341" s="74">
        <f t="shared" ca="1" si="303"/>
      </c>
      <c r="T1341" s="74">
        <f t="shared" si="304"/>
      </c>
    </row>
    <row r="1342" spans="2:20" x14ac:dyDescent="0.3">
      <c r="B1342" s="74">
        <f t="shared" ca="1" si="294"/>
      </c>
      <c r="C1342" s="78">
        <f>Кабельный_журнал!P1308</f>
      </c>
      <c r="D1342" s="74">
        <f t="shared" ca="1" si="295"/>
      </c>
      <c r="E1342" s="80" t="s">
        <v>279</v>
      </c>
      <c r="F1342" s="74">
        <f t="shared" ca="1" si="291"/>
      </c>
      <c r="G1342" s="74">
        <f t="shared" si="292"/>
      </c>
      <c r="H1342" s="80" t="s">
        <v>272</v>
      </c>
      <c r="I1342" s="74">
        <f t="shared" si="293"/>
      </c>
      <c r="J1342" s="74">
        <f t="shared" si="296"/>
      </c>
      <c r="K1342" s="80" t="s">
        <v>280</v>
      </c>
      <c r="L1342" s="74">
        <f t="shared" si="297"/>
      </c>
      <c r="M1342" s="74">
        <f t="shared" ca="1" si="298"/>
      </c>
      <c r="N1342" s="74">
        <f ca="1">VLOOKUP(B1342,$C$7:$T1340,13,FALSE)</f>
      </c>
      <c r="O1342" s="74">
        <f t="shared" ca="1" si="299"/>
      </c>
      <c r="P1342" s="74">
        <f t="shared" ca="1" si="300"/>
      </c>
      <c r="Q1342" s="74">
        <f t="shared" ca="1" si="301"/>
      </c>
      <c r="R1342" s="74">
        <f t="shared" si="302"/>
      </c>
      <c r="S1342" s="74">
        <f t="shared" ca="1" si="303"/>
      </c>
      <c r="T1342" s="74">
        <f t="shared" si="304"/>
      </c>
    </row>
    <row r="1343" spans="2:20" x14ac:dyDescent="0.3">
      <c r="B1343" s="74">
        <f t="shared" ca="1" si="294"/>
      </c>
      <c r="C1343" s="78">
        <f>Кабельный_журнал!P1309</f>
      </c>
      <c r="D1343" s="74">
        <f t="shared" ca="1" si="295"/>
      </c>
      <c r="E1343" s="80" t="s">
        <v>279</v>
      </c>
      <c r="F1343" s="74">
        <f t="shared" ca="1" si="291"/>
      </c>
      <c r="G1343" s="74">
        <f t="shared" si="292"/>
      </c>
      <c r="H1343" s="80" t="s">
        <v>272</v>
      </c>
      <c r="I1343" s="74">
        <f t="shared" si="293"/>
      </c>
      <c r="J1343" s="74">
        <f t="shared" si="296"/>
      </c>
      <c r="K1343" s="80" t="s">
        <v>280</v>
      </c>
      <c r="L1343" s="74">
        <f t="shared" si="297"/>
      </c>
      <c r="M1343" s="74">
        <f t="shared" ca="1" si="298"/>
      </c>
      <c r="N1343" s="74">
        <f ca="1">VLOOKUP(B1343,$C$7:$T1341,13,FALSE)</f>
      </c>
      <c r="O1343" s="74">
        <f t="shared" ca="1" si="299"/>
      </c>
      <c r="P1343" s="74">
        <f t="shared" ca="1" si="300"/>
      </c>
      <c r="Q1343" s="74">
        <f t="shared" ca="1" si="301"/>
      </c>
      <c r="R1343" s="74">
        <f t="shared" si="302"/>
      </c>
      <c r="S1343" s="74">
        <f t="shared" ca="1" si="303"/>
      </c>
      <c r="T1343" s="74">
        <f t="shared" si="304"/>
      </c>
    </row>
    <row r="1344" spans="2:20" x14ac:dyDescent="0.3">
      <c r="B1344" s="74">
        <f t="shared" ca="1" si="294"/>
      </c>
      <c r="C1344" s="78">
        <f>Кабельный_журнал!P1310</f>
      </c>
      <c r="D1344" s="74">
        <f t="shared" ca="1" si="295"/>
      </c>
      <c r="E1344" s="80" t="s">
        <v>279</v>
      </c>
      <c r="F1344" s="74">
        <f t="shared" ca="1" si="291"/>
      </c>
      <c r="G1344" s="74">
        <f t="shared" si="292"/>
      </c>
      <c r="H1344" s="80" t="s">
        <v>272</v>
      </c>
      <c r="I1344" s="74">
        <f t="shared" si="293"/>
      </c>
      <c r="J1344" s="74">
        <f t="shared" si="296"/>
      </c>
      <c r="K1344" s="80" t="s">
        <v>280</v>
      </c>
      <c r="L1344" s="74">
        <f t="shared" si="297"/>
      </c>
      <c r="M1344" s="74">
        <f t="shared" ca="1" si="298"/>
      </c>
      <c r="N1344" s="74">
        <f ca="1">VLOOKUP(B1344,$C$7:$T1342,13,FALSE)</f>
      </c>
      <c r="O1344" s="74">
        <f t="shared" ca="1" si="299"/>
      </c>
      <c r="P1344" s="74">
        <f t="shared" ca="1" si="300"/>
      </c>
      <c r="Q1344" s="74">
        <f t="shared" ca="1" si="301"/>
      </c>
      <c r="R1344" s="74">
        <f t="shared" si="302"/>
      </c>
      <c r="S1344" s="74">
        <f t="shared" ca="1" si="303"/>
      </c>
      <c r="T1344" s="74">
        <f t="shared" si="304"/>
      </c>
    </row>
    <row r="1345" spans="2:20" x14ac:dyDescent="0.3">
      <c r="B1345" s="74">
        <f t="shared" ca="1" si="294"/>
      </c>
      <c r="C1345" s="78">
        <f>Кабельный_журнал!P1311</f>
      </c>
      <c r="D1345" s="74">
        <f t="shared" ca="1" si="295"/>
      </c>
      <c r="E1345" s="80" t="s">
        <v>279</v>
      </c>
      <c r="F1345" s="74">
        <f t="shared" ca="1" si="291"/>
      </c>
      <c r="G1345" s="74">
        <f t="shared" si="292"/>
      </c>
      <c r="H1345" s="80" t="s">
        <v>272</v>
      </c>
      <c r="I1345" s="74">
        <f t="shared" si="293"/>
      </c>
      <c r="J1345" s="74">
        <f t="shared" si="296"/>
      </c>
      <c r="K1345" s="80" t="s">
        <v>280</v>
      </c>
      <c r="L1345" s="74">
        <f t="shared" si="297"/>
      </c>
      <c r="M1345" s="74">
        <f t="shared" ca="1" si="298"/>
      </c>
      <c r="N1345" s="74">
        <f ca="1">VLOOKUP(B1345,$C$7:$T1343,13,FALSE)</f>
      </c>
      <c r="O1345" s="74">
        <f t="shared" ca="1" si="299"/>
      </c>
      <c r="P1345" s="74">
        <f t="shared" ca="1" si="300"/>
      </c>
      <c r="Q1345" s="74">
        <f t="shared" ca="1" si="301"/>
      </c>
      <c r="R1345" s="74">
        <f t="shared" si="302"/>
      </c>
      <c r="S1345" s="74">
        <f t="shared" ca="1" si="303"/>
      </c>
      <c r="T1345" s="74">
        <f t="shared" si="304"/>
      </c>
    </row>
    <row r="1346" spans="2:20" x14ac:dyDescent="0.3">
      <c r="B1346" s="74">
        <f t="shared" ca="1" si="294"/>
      </c>
      <c r="C1346" s="78">
        <f>Кабельный_журнал!P1312</f>
      </c>
      <c r="D1346" s="74">
        <f t="shared" ca="1" si="295"/>
      </c>
      <c r="E1346" s="80" t="s">
        <v>279</v>
      </c>
      <c r="F1346" s="74">
        <f t="shared" ca="1" si="291"/>
      </c>
      <c r="G1346" s="74">
        <f t="shared" si="292"/>
      </c>
      <c r="H1346" s="80" t="s">
        <v>272</v>
      </c>
      <c r="I1346" s="74">
        <f t="shared" si="293"/>
      </c>
      <c r="J1346" s="74">
        <f t="shared" si="296"/>
      </c>
      <c r="K1346" s="80" t="s">
        <v>280</v>
      </c>
      <c r="L1346" s="74">
        <f t="shared" si="297"/>
      </c>
      <c r="M1346" s="74">
        <f t="shared" ca="1" si="298"/>
      </c>
      <c r="N1346" s="74">
        <f ca="1">VLOOKUP(B1346,$C$7:$T1344,13,FALSE)</f>
      </c>
      <c r="O1346" s="74">
        <f t="shared" ca="1" si="299"/>
      </c>
      <c r="P1346" s="74">
        <f t="shared" ca="1" si="300"/>
      </c>
      <c r="Q1346" s="74">
        <f t="shared" ca="1" si="301"/>
      </c>
      <c r="R1346" s="74">
        <f t="shared" si="302"/>
      </c>
      <c r="S1346" s="74">
        <f t="shared" ca="1" si="303"/>
      </c>
      <c r="T1346" s="74">
        <f t="shared" si="304"/>
      </c>
    </row>
    <row r="1347" spans="2:20" x14ac:dyDescent="0.3">
      <c r="B1347" s="74">
        <f t="shared" ca="1" si="294"/>
      </c>
      <c r="C1347" s="78">
        <f>Кабельный_журнал!P1313</f>
      </c>
      <c r="D1347" s="74">
        <f t="shared" ca="1" si="295"/>
      </c>
      <c r="E1347" s="80" t="s">
        <v>279</v>
      </c>
      <c r="F1347" s="74">
        <f t="shared" ca="1" si="291"/>
      </c>
      <c r="G1347" s="74">
        <f t="shared" si="292"/>
      </c>
      <c r="H1347" s="80" t="s">
        <v>272</v>
      </c>
      <c r="I1347" s="74">
        <f t="shared" si="293"/>
      </c>
      <c r="J1347" s="74">
        <f t="shared" si="296"/>
      </c>
      <c r="K1347" s="80" t="s">
        <v>280</v>
      </c>
      <c r="L1347" s="74">
        <f t="shared" si="297"/>
      </c>
      <c r="M1347" s="74">
        <f t="shared" ca="1" si="298"/>
      </c>
      <c r="N1347" s="74">
        <f ca="1">VLOOKUP(B1347,$C$7:$T1345,13,FALSE)</f>
      </c>
      <c r="O1347" s="74">
        <f t="shared" ca="1" si="299"/>
      </c>
      <c r="P1347" s="74">
        <f t="shared" ca="1" si="300"/>
      </c>
      <c r="Q1347" s="74">
        <f t="shared" ca="1" si="301"/>
      </c>
      <c r="R1347" s="74">
        <f t="shared" si="302"/>
      </c>
      <c r="S1347" s="74">
        <f t="shared" ca="1" si="303"/>
      </c>
      <c r="T1347" s="74">
        <f t="shared" si="304"/>
      </c>
    </row>
    <row r="1348" spans="2:20" x14ac:dyDescent="0.3">
      <c r="B1348" s="74">
        <f t="shared" ca="1" si="294"/>
      </c>
      <c r="C1348" s="78">
        <f>Кабельный_журнал!P1314</f>
      </c>
      <c r="D1348" s="74">
        <f t="shared" ca="1" si="295"/>
      </c>
      <c r="E1348" s="80" t="s">
        <v>279</v>
      </c>
      <c r="F1348" s="74">
        <f t="shared" ca="1" si="291"/>
      </c>
      <c r="G1348" s="74">
        <f t="shared" si="292"/>
      </c>
      <c r="H1348" s="80" t="s">
        <v>272</v>
      </c>
      <c r="I1348" s="74">
        <f t="shared" si="293"/>
      </c>
      <c r="J1348" s="74">
        <f t="shared" si="296"/>
      </c>
      <c r="K1348" s="80" t="s">
        <v>280</v>
      </c>
      <c r="L1348" s="74">
        <f t="shared" si="297"/>
      </c>
      <c r="M1348" s="74">
        <f t="shared" ca="1" si="298"/>
      </c>
      <c r="N1348" s="74">
        <f ca="1">VLOOKUP(B1348,$C$7:$T1346,13,FALSE)</f>
      </c>
      <c r="O1348" s="74">
        <f t="shared" ca="1" si="299"/>
      </c>
      <c r="P1348" s="74">
        <f t="shared" ca="1" si="300"/>
      </c>
      <c r="Q1348" s="74">
        <f t="shared" ca="1" si="301"/>
      </c>
      <c r="R1348" s="74">
        <f t="shared" si="302"/>
      </c>
      <c r="S1348" s="74">
        <f t="shared" ca="1" si="303"/>
      </c>
      <c r="T1348" s="74">
        <f t="shared" si="304"/>
      </c>
    </row>
    <row r="1349" spans="2:20" x14ac:dyDescent="0.3">
      <c r="B1349" s="74">
        <f t="shared" ca="1" si="294"/>
      </c>
      <c r="C1349" s="78">
        <f>Кабельный_журнал!P1315</f>
      </c>
      <c r="D1349" s="74">
        <f t="shared" ca="1" si="295"/>
      </c>
      <c r="E1349" s="80" t="s">
        <v>279</v>
      </c>
      <c r="F1349" s="74">
        <f t="shared" ca="1" si="291"/>
      </c>
      <c r="G1349" s="74">
        <f t="shared" si="292"/>
      </c>
      <c r="H1349" s="80" t="s">
        <v>272</v>
      </c>
      <c r="I1349" s="74">
        <f t="shared" si="293"/>
      </c>
      <c r="J1349" s="74">
        <f t="shared" si="296"/>
      </c>
      <c r="K1349" s="80" t="s">
        <v>280</v>
      </c>
      <c r="L1349" s="74">
        <f t="shared" si="297"/>
      </c>
      <c r="M1349" s="74">
        <f t="shared" ca="1" si="298"/>
      </c>
      <c r="N1349" s="74">
        <f ca="1">VLOOKUP(B1349,$C$7:$T1347,13,FALSE)</f>
      </c>
      <c r="O1349" s="74">
        <f t="shared" ca="1" si="299"/>
      </c>
      <c r="P1349" s="74">
        <f t="shared" ca="1" si="300"/>
      </c>
      <c r="Q1349" s="74">
        <f t="shared" ca="1" si="301"/>
      </c>
      <c r="R1349" s="74">
        <f t="shared" si="302"/>
      </c>
      <c r="S1349" s="74">
        <f t="shared" ca="1" si="303"/>
      </c>
      <c r="T1349" s="74">
        <f t="shared" si="304"/>
      </c>
    </row>
    <row r="1350" spans="2:20" x14ac:dyDescent="0.3">
      <c r="B1350" s="74">
        <f t="shared" ca="1" si="294"/>
      </c>
      <c r="C1350" s="78">
        <f>Кабельный_журнал!P1316</f>
      </c>
      <c r="D1350" s="74">
        <f t="shared" ca="1" si="295"/>
      </c>
      <c r="E1350" s="80" t="s">
        <v>279</v>
      </c>
      <c r="F1350" s="74">
        <f t="shared" ca="1" si="291"/>
      </c>
      <c r="G1350" s="74">
        <f t="shared" si="292"/>
      </c>
      <c r="H1350" s="80" t="s">
        <v>272</v>
      </c>
      <c r="I1350" s="74">
        <f t="shared" si="293"/>
      </c>
      <c r="J1350" s="74">
        <f t="shared" si="296"/>
      </c>
      <c r="K1350" s="80" t="s">
        <v>280</v>
      </c>
      <c r="L1350" s="74">
        <f t="shared" si="297"/>
      </c>
      <c r="M1350" s="74">
        <f t="shared" ca="1" si="298"/>
      </c>
      <c r="N1350" s="74">
        <f ca="1">VLOOKUP(B1350,$C$7:$T1348,13,FALSE)</f>
      </c>
      <c r="O1350" s="74">
        <f t="shared" ca="1" si="299"/>
      </c>
      <c r="P1350" s="74">
        <f t="shared" ca="1" si="300"/>
      </c>
      <c r="Q1350" s="74">
        <f t="shared" ca="1" si="301"/>
      </c>
      <c r="R1350" s="74">
        <f t="shared" si="302"/>
      </c>
      <c r="S1350" s="74">
        <f t="shared" ca="1" si="303"/>
      </c>
      <c r="T1350" s="74">
        <f t="shared" si="304"/>
      </c>
    </row>
    <row r="1351" spans="2:20" x14ac:dyDescent="0.3">
      <c r="B1351" s="74">
        <f t="shared" ca="1" si="294"/>
      </c>
      <c r="C1351" s="78">
        <f>Кабельный_журнал!P1317</f>
      </c>
      <c r="D1351" s="74">
        <f t="shared" ca="1" si="295"/>
      </c>
      <c r="E1351" s="80" t="s">
        <v>279</v>
      </c>
      <c r="F1351" s="74">
        <f t="shared" ca="1" si="291"/>
      </c>
      <c r="G1351" s="74">
        <f t="shared" si="292"/>
      </c>
      <c r="H1351" s="80" t="s">
        <v>272</v>
      </c>
      <c r="I1351" s="74">
        <f t="shared" si="293"/>
      </c>
      <c r="J1351" s="74">
        <f t="shared" si="296"/>
      </c>
      <c r="K1351" s="80" t="s">
        <v>280</v>
      </c>
      <c r="L1351" s="74">
        <f t="shared" si="297"/>
      </c>
      <c r="M1351" s="74">
        <f t="shared" ca="1" si="298"/>
      </c>
      <c r="N1351" s="74">
        <f ca="1">VLOOKUP(B1351,$C$7:$T1349,13,FALSE)</f>
      </c>
      <c r="O1351" s="74">
        <f t="shared" ca="1" si="299"/>
      </c>
      <c r="P1351" s="74">
        <f t="shared" ca="1" si="300"/>
      </c>
      <c r="Q1351" s="74">
        <f t="shared" ca="1" si="301"/>
      </c>
      <c r="R1351" s="74">
        <f t="shared" si="302"/>
      </c>
      <c r="S1351" s="74">
        <f t="shared" ca="1" si="303"/>
      </c>
      <c r="T1351" s="74">
        <f t="shared" si="304"/>
      </c>
    </row>
    <row r="1352" spans="2:20" x14ac:dyDescent="0.3">
      <c r="B1352" s="74">
        <f t="shared" ca="1" si="294"/>
      </c>
      <c r="C1352" s="78">
        <f>Кабельный_журнал!P1318</f>
      </c>
      <c r="D1352" s="74">
        <f t="shared" ca="1" si="295"/>
      </c>
      <c r="E1352" s="80" t="s">
        <v>279</v>
      </c>
      <c r="F1352" s="74">
        <f t="shared" ca="1" si="291"/>
      </c>
      <c r="G1352" s="74">
        <f t="shared" si="292"/>
      </c>
      <c r="H1352" s="80" t="s">
        <v>272</v>
      </c>
      <c r="I1352" s="74">
        <f t="shared" si="293"/>
      </c>
      <c r="J1352" s="74">
        <f t="shared" si="296"/>
      </c>
      <c r="K1352" s="80" t="s">
        <v>280</v>
      </c>
      <c r="L1352" s="74">
        <f t="shared" si="297"/>
      </c>
      <c r="M1352" s="74">
        <f t="shared" ca="1" si="298"/>
      </c>
      <c r="N1352" s="74">
        <f ca="1">VLOOKUP(B1352,$C$7:$T1350,13,FALSE)</f>
      </c>
      <c r="O1352" s="74">
        <f t="shared" ca="1" si="299"/>
      </c>
      <c r="P1352" s="74">
        <f t="shared" ca="1" si="300"/>
      </c>
      <c r="Q1352" s="74">
        <f t="shared" ca="1" si="301"/>
      </c>
      <c r="R1352" s="74">
        <f t="shared" si="302"/>
      </c>
      <c r="S1352" s="74">
        <f t="shared" ca="1" si="303"/>
      </c>
      <c r="T1352" s="74">
        <f t="shared" si="304"/>
      </c>
    </row>
    <row r="1353" spans="2:20" x14ac:dyDescent="0.3">
      <c r="B1353" s="74">
        <f t="shared" ca="1" si="294"/>
      </c>
      <c r="C1353" s="78">
        <f>Кабельный_журнал!P1319</f>
      </c>
      <c r="D1353" s="74">
        <f t="shared" ca="1" si="295"/>
      </c>
      <c r="E1353" s="80" t="s">
        <v>279</v>
      </c>
      <c r="F1353" s="74">
        <f t="shared" ca="1" si="291"/>
      </c>
      <c r="G1353" s="74">
        <f t="shared" si="292"/>
      </c>
      <c r="H1353" s="80" t="s">
        <v>272</v>
      </c>
      <c r="I1353" s="74">
        <f t="shared" si="293"/>
      </c>
      <c r="J1353" s="74">
        <f t="shared" si="296"/>
      </c>
      <c r="K1353" s="80" t="s">
        <v>280</v>
      </c>
      <c r="L1353" s="74">
        <f t="shared" si="297"/>
      </c>
      <c r="M1353" s="74">
        <f t="shared" ca="1" si="298"/>
      </c>
      <c r="N1353" s="74">
        <f ca="1">VLOOKUP(B1353,$C$7:$T1351,13,FALSE)</f>
      </c>
      <c r="O1353" s="74">
        <f t="shared" ca="1" si="299"/>
      </c>
      <c r="P1353" s="74">
        <f t="shared" ca="1" si="300"/>
      </c>
      <c r="Q1353" s="74">
        <f t="shared" ca="1" si="301"/>
      </c>
      <c r="R1353" s="74">
        <f t="shared" si="302"/>
      </c>
      <c r="S1353" s="74">
        <f t="shared" ca="1" si="303"/>
      </c>
      <c r="T1353" s="74">
        <f t="shared" si="304"/>
      </c>
    </row>
    <row r="1354" spans="2:20" x14ac:dyDescent="0.3">
      <c r="B1354" s="74">
        <f t="shared" ca="1" si="294"/>
      </c>
      <c r="C1354" s="78">
        <f>Кабельный_журнал!P1320</f>
      </c>
      <c r="D1354" s="74">
        <f t="shared" ca="1" si="295"/>
      </c>
      <c r="E1354" s="80" t="s">
        <v>279</v>
      </c>
      <c r="F1354" s="74">
        <f t="shared" ca="1" si="291"/>
      </c>
      <c r="G1354" s="74">
        <f t="shared" si="292"/>
      </c>
      <c r="H1354" s="80" t="s">
        <v>272</v>
      </c>
      <c r="I1354" s="74">
        <f t="shared" si="293"/>
      </c>
      <c r="J1354" s="74">
        <f t="shared" si="296"/>
      </c>
      <c r="K1354" s="80" t="s">
        <v>280</v>
      </c>
      <c r="L1354" s="74">
        <f t="shared" si="297"/>
      </c>
      <c r="M1354" s="74">
        <f t="shared" ca="1" si="298"/>
      </c>
      <c r="N1354" s="74">
        <f ca="1">VLOOKUP(B1354,$C$7:$T1352,13,FALSE)</f>
      </c>
      <c r="O1354" s="74">
        <f t="shared" ca="1" si="299"/>
      </c>
      <c r="P1354" s="74">
        <f t="shared" ca="1" si="300"/>
      </c>
      <c r="Q1354" s="74">
        <f t="shared" ca="1" si="301"/>
      </c>
      <c r="R1354" s="74">
        <f t="shared" si="302"/>
      </c>
      <c r="S1354" s="74">
        <f t="shared" ca="1" si="303"/>
      </c>
      <c r="T1354" s="74">
        <f t="shared" si="304"/>
      </c>
    </row>
    <row r="1355" spans="2:20" x14ac:dyDescent="0.3">
      <c r="B1355" s="74">
        <f t="shared" ca="1" si="294"/>
      </c>
      <c r="C1355" s="78">
        <f>Кабельный_журнал!P1321</f>
      </c>
      <c r="D1355" s="74">
        <f t="shared" ca="1" si="295"/>
      </c>
      <c r="E1355" s="80" t="s">
        <v>279</v>
      </c>
      <c r="F1355" s="74">
        <f t="shared" ca="1" si="291"/>
      </c>
      <c r="G1355" s="74">
        <f t="shared" si="292"/>
      </c>
      <c r="H1355" s="80" t="s">
        <v>272</v>
      </c>
      <c r="I1355" s="74">
        <f t="shared" si="293"/>
      </c>
      <c r="J1355" s="74">
        <f t="shared" si="296"/>
      </c>
      <c r="K1355" s="80" t="s">
        <v>280</v>
      </c>
      <c r="L1355" s="74">
        <f t="shared" si="297"/>
      </c>
      <c r="M1355" s="74">
        <f t="shared" ca="1" si="298"/>
      </c>
      <c r="N1355" s="74">
        <f ca="1">VLOOKUP(B1355,$C$7:$T1353,13,FALSE)</f>
      </c>
      <c r="O1355" s="74">
        <f t="shared" ca="1" si="299"/>
      </c>
      <c r="P1355" s="74">
        <f t="shared" ca="1" si="300"/>
      </c>
      <c r="Q1355" s="74">
        <f t="shared" ca="1" si="301"/>
      </c>
      <c r="R1355" s="74">
        <f t="shared" si="302"/>
      </c>
      <c r="S1355" s="74">
        <f t="shared" ca="1" si="303"/>
      </c>
      <c r="T1355" s="74">
        <f t="shared" si="304"/>
      </c>
    </row>
    <row r="1356" spans="2:20" x14ac:dyDescent="0.3">
      <c r="B1356" s="74">
        <f t="shared" ca="1" si="294"/>
      </c>
      <c r="C1356" s="78">
        <f>Кабельный_журнал!P1322</f>
      </c>
      <c r="D1356" s="74">
        <f t="shared" ca="1" si="295"/>
      </c>
      <c r="E1356" s="80" t="s">
        <v>279</v>
      </c>
      <c r="F1356" s="74">
        <f t="shared" ca="1" si="291"/>
      </c>
      <c r="G1356" s="74">
        <f t="shared" si="292"/>
      </c>
      <c r="H1356" s="80" t="s">
        <v>272</v>
      </c>
      <c r="I1356" s="74">
        <f t="shared" si="293"/>
      </c>
      <c r="J1356" s="74">
        <f t="shared" si="296"/>
      </c>
      <c r="K1356" s="80" t="s">
        <v>280</v>
      </c>
      <c r="L1356" s="74">
        <f t="shared" si="297"/>
      </c>
      <c r="M1356" s="74">
        <f t="shared" ca="1" si="298"/>
      </c>
      <c r="N1356" s="74">
        <f ca="1">VLOOKUP(B1356,$C$7:$T1354,13,FALSE)</f>
      </c>
      <c r="O1356" s="74">
        <f t="shared" ca="1" si="299"/>
      </c>
      <c r="P1356" s="74">
        <f t="shared" ca="1" si="300"/>
      </c>
      <c r="Q1356" s="74">
        <f t="shared" ca="1" si="301"/>
      </c>
      <c r="R1356" s="74">
        <f t="shared" si="302"/>
      </c>
      <c r="S1356" s="74">
        <f t="shared" ca="1" si="303"/>
      </c>
      <c r="T1356" s="74">
        <f t="shared" si="304"/>
      </c>
    </row>
    <row r="1357" spans="2:20" x14ac:dyDescent="0.3">
      <c r="B1357" s="74">
        <f t="shared" ca="1" si="294"/>
      </c>
      <c r="C1357" s="78">
        <f>Кабельный_журнал!P1323</f>
      </c>
      <c r="D1357" s="74">
        <f t="shared" ca="1" si="295"/>
      </c>
      <c r="E1357" s="80" t="s">
        <v>279</v>
      </c>
      <c r="F1357" s="74">
        <f t="shared" ca="1" si="291"/>
      </c>
      <c r="G1357" s="74">
        <f t="shared" si="292"/>
      </c>
      <c r="H1357" s="80" t="s">
        <v>272</v>
      </c>
      <c r="I1357" s="74">
        <f t="shared" si="293"/>
      </c>
      <c r="J1357" s="74">
        <f t="shared" si="296"/>
      </c>
      <c r="K1357" s="80" t="s">
        <v>280</v>
      </c>
      <c r="L1357" s="74">
        <f t="shared" si="297"/>
      </c>
      <c r="M1357" s="74">
        <f t="shared" ca="1" si="298"/>
      </c>
      <c r="N1357" s="74">
        <f ca="1">VLOOKUP(B1357,$C$7:$T1355,13,FALSE)</f>
      </c>
      <c r="O1357" s="74">
        <f t="shared" ca="1" si="299"/>
      </c>
      <c r="P1357" s="74">
        <f t="shared" ca="1" si="300"/>
      </c>
      <c r="Q1357" s="74">
        <f t="shared" ca="1" si="301"/>
      </c>
      <c r="R1357" s="74">
        <f t="shared" si="302"/>
      </c>
      <c r="S1357" s="74">
        <f t="shared" ca="1" si="303"/>
      </c>
      <c r="T1357" s="74">
        <f t="shared" si="304"/>
      </c>
    </row>
    <row r="1358" spans="2:20" x14ac:dyDescent="0.3">
      <c r="B1358" s="74">
        <f t="shared" ca="1" si="294"/>
      </c>
      <c r="C1358" s="78">
        <f>Кабельный_журнал!P1324</f>
      </c>
      <c r="D1358" s="74">
        <f t="shared" ca="1" si="295"/>
      </c>
      <c r="E1358" s="80" t="s">
        <v>279</v>
      </c>
      <c r="F1358" s="74">
        <f t="shared" ca="1" si="291"/>
      </c>
      <c r="G1358" s="74">
        <f t="shared" si="292"/>
      </c>
      <c r="H1358" s="80" t="s">
        <v>272</v>
      </c>
      <c r="I1358" s="74">
        <f t="shared" si="293"/>
      </c>
      <c r="J1358" s="74">
        <f t="shared" si="296"/>
      </c>
      <c r="K1358" s="80" t="s">
        <v>280</v>
      </c>
      <c r="L1358" s="74">
        <f t="shared" si="297"/>
      </c>
      <c r="M1358" s="74">
        <f t="shared" ca="1" si="298"/>
      </c>
      <c r="N1358" s="74">
        <f ca="1">VLOOKUP(B1358,$C$7:$T1356,13,FALSE)</f>
      </c>
      <c r="O1358" s="74">
        <f t="shared" ca="1" si="299"/>
      </c>
      <c r="P1358" s="74">
        <f t="shared" ca="1" si="300"/>
      </c>
      <c r="Q1358" s="74">
        <f t="shared" ca="1" si="301"/>
      </c>
      <c r="R1358" s="74">
        <f t="shared" si="302"/>
      </c>
      <c r="S1358" s="74">
        <f t="shared" ca="1" si="303"/>
      </c>
      <c r="T1358" s="74">
        <f t="shared" si="304"/>
      </c>
    </row>
    <row r="1359" spans="2:20" x14ac:dyDescent="0.3">
      <c r="B1359" s="74">
        <f t="shared" ca="1" si="294"/>
      </c>
      <c r="C1359" s="78">
        <f>Кабельный_журнал!P1325</f>
      </c>
      <c r="D1359" s="74">
        <f t="shared" ca="1" si="295"/>
      </c>
      <c r="E1359" s="80" t="s">
        <v>279</v>
      </c>
      <c r="F1359" s="74">
        <f t="shared" ca="1" si="291"/>
      </c>
      <c r="G1359" s="74">
        <f t="shared" si="292"/>
      </c>
      <c r="H1359" s="80" t="s">
        <v>272</v>
      </c>
      <c r="I1359" s="74">
        <f t="shared" si="293"/>
      </c>
      <c r="J1359" s="74">
        <f t="shared" si="296"/>
      </c>
      <c r="K1359" s="80" t="s">
        <v>280</v>
      </c>
      <c r="L1359" s="74">
        <f t="shared" si="297"/>
      </c>
      <c r="M1359" s="74">
        <f t="shared" ca="1" si="298"/>
      </c>
      <c r="N1359" s="74">
        <f ca="1">VLOOKUP(B1359,$C$7:$T1357,13,FALSE)</f>
      </c>
      <c r="O1359" s="74">
        <f t="shared" ca="1" si="299"/>
      </c>
      <c r="P1359" s="74">
        <f t="shared" ca="1" si="300"/>
      </c>
      <c r="Q1359" s="74">
        <f t="shared" ca="1" si="301"/>
      </c>
      <c r="R1359" s="74">
        <f t="shared" si="302"/>
      </c>
      <c r="S1359" s="74">
        <f t="shared" ca="1" si="303"/>
      </c>
      <c r="T1359" s="74">
        <f t="shared" si="304"/>
      </c>
    </row>
    <row r="1360" spans="2:20" x14ac:dyDescent="0.3">
      <c r="B1360" s="74">
        <f t="shared" ca="1" si="294"/>
      </c>
      <c r="C1360" s="78">
        <f>Кабельный_журнал!P1326</f>
      </c>
      <c r="D1360" s="74">
        <f t="shared" ca="1" si="295"/>
      </c>
      <c r="E1360" s="80" t="s">
        <v>279</v>
      </c>
      <c r="F1360" s="74">
        <f t="shared" ca="1" si="291"/>
      </c>
      <c r="G1360" s="74">
        <f t="shared" si="292"/>
      </c>
      <c r="H1360" s="80" t="s">
        <v>272</v>
      </c>
      <c r="I1360" s="74">
        <f t="shared" si="293"/>
      </c>
      <c r="J1360" s="74">
        <f t="shared" si="296"/>
      </c>
      <c r="K1360" s="80" t="s">
        <v>280</v>
      </c>
      <c r="L1360" s="74">
        <f t="shared" si="297"/>
      </c>
      <c r="M1360" s="74">
        <f t="shared" ca="1" si="298"/>
      </c>
      <c r="N1360" s="74">
        <f ca="1">VLOOKUP(B1360,$C$7:$T1358,13,FALSE)</f>
      </c>
      <c r="O1360" s="74">
        <f t="shared" ca="1" si="299"/>
      </c>
      <c r="P1360" s="74">
        <f t="shared" ca="1" si="300"/>
      </c>
      <c r="Q1360" s="74">
        <f t="shared" ca="1" si="301"/>
      </c>
      <c r="R1360" s="74">
        <f t="shared" si="302"/>
      </c>
      <c r="S1360" s="74">
        <f t="shared" ca="1" si="303"/>
      </c>
      <c r="T1360" s="74">
        <f t="shared" si="304"/>
      </c>
    </row>
    <row r="1361" spans="2:20" x14ac:dyDescent="0.3">
      <c r="B1361" s="74">
        <f t="shared" ca="1" si="294"/>
      </c>
      <c r="C1361" s="78">
        <f>Кабельный_журнал!P1327</f>
      </c>
      <c r="D1361" s="74">
        <f t="shared" ca="1" si="295"/>
      </c>
      <c r="E1361" s="80" t="s">
        <v>279</v>
      </c>
      <c r="F1361" s="74">
        <f t="shared" ca="1" si="291"/>
      </c>
      <c r="G1361" s="74">
        <f t="shared" si="292"/>
      </c>
      <c r="H1361" s="80" t="s">
        <v>272</v>
      </c>
      <c r="I1361" s="74">
        <f t="shared" si="293"/>
      </c>
      <c r="J1361" s="74">
        <f t="shared" si="296"/>
      </c>
      <c r="K1361" s="80" t="s">
        <v>280</v>
      </c>
      <c r="L1361" s="74">
        <f t="shared" si="297"/>
      </c>
      <c r="M1361" s="74">
        <f t="shared" ca="1" si="298"/>
      </c>
      <c r="N1361" s="74">
        <f ca="1">VLOOKUP(B1361,$C$7:$T1359,13,FALSE)</f>
      </c>
      <c r="O1361" s="74">
        <f t="shared" ca="1" si="299"/>
      </c>
      <c r="P1361" s="74">
        <f t="shared" ca="1" si="300"/>
      </c>
      <c r="Q1361" s="74">
        <f t="shared" ca="1" si="301"/>
      </c>
      <c r="R1361" s="74">
        <f t="shared" si="302"/>
      </c>
      <c r="S1361" s="74">
        <f t="shared" ca="1" si="303"/>
      </c>
      <c r="T1361" s="74">
        <f t="shared" si="304"/>
      </c>
    </row>
    <row r="1362" spans="2:20" x14ac:dyDescent="0.3">
      <c r="B1362" s="74">
        <f t="shared" ca="1" si="294"/>
      </c>
      <c r="C1362" s="78">
        <f>Кабельный_журнал!P1328</f>
      </c>
      <c r="D1362" s="74">
        <f t="shared" ca="1" si="295"/>
      </c>
      <c r="E1362" s="80" t="s">
        <v>279</v>
      </c>
      <c r="F1362" s="74">
        <f t="shared" ca="1" si="291"/>
      </c>
      <c r="G1362" s="74">
        <f t="shared" si="292"/>
      </c>
      <c r="H1362" s="80" t="s">
        <v>272</v>
      </c>
      <c r="I1362" s="74">
        <f t="shared" si="293"/>
      </c>
      <c r="J1362" s="74">
        <f t="shared" si="296"/>
      </c>
      <c r="K1362" s="80" t="s">
        <v>280</v>
      </c>
      <c r="L1362" s="74">
        <f t="shared" si="297"/>
      </c>
      <c r="M1362" s="74">
        <f t="shared" ca="1" si="298"/>
      </c>
      <c r="N1362" s="74">
        <f ca="1">VLOOKUP(B1362,$C$7:$T1360,13,FALSE)</f>
      </c>
      <c r="O1362" s="74">
        <f t="shared" ca="1" si="299"/>
      </c>
      <c r="P1362" s="74">
        <f t="shared" ca="1" si="300"/>
      </c>
      <c r="Q1362" s="74">
        <f t="shared" ca="1" si="301"/>
      </c>
      <c r="R1362" s="74">
        <f t="shared" si="302"/>
      </c>
      <c r="S1362" s="74">
        <f t="shared" ca="1" si="303"/>
      </c>
      <c r="T1362" s="74">
        <f t="shared" si="304"/>
      </c>
    </row>
    <row r="1363" spans="2:20" x14ac:dyDescent="0.3">
      <c r="B1363" s="74">
        <f t="shared" ca="1" si="294"/>
      </c>
      <c r="C1363" s="78">
        <f>Кабельный_журнал!P1329</f>
      </c>
      <c r="D1363" s="74">
        <f t="shared" ca="1" si="295"/>
      </c>
      <c r="E1363" s="80" t="s">
        <v>279</v>
      </c>
      <c r="F1363" s="74">
        <f t="shared" ca="1" si="291"/>
      </c>
      <c r="G1363" s="74">
        <f t="shared" si="292"/>
      </c>
      <c r="H1363" s="80" t="s">
        <v>272</v>
      </c>
      <c r="I1363" s="74">
        <f t="shared" si="293"/>
      </c>
      <c r="J1363" s="74">
        <f t="shared" si="296"/>
      </c>
      <c r="K1363" s="80" t="s">
        <v>280</v>
      </c>
      <c r="L1363" s="74">
        <f t="shared" si="297"/>
      </c>
      <c r="M1363" s="74">
        <f t="shared" ca="1" si="298"/>
      </c>
      <c r="N1363" s="74">
        <f ca="1">VLOOKUP(B1363,$C$7:$T1361,13,FALSE)</f>
      </c>
      <c r="O1363" s="74">
        <f t="shared" ca="1" si="299"/>
      </c>
      <c r="P1363" s="74">
        <f t="shared" ca="1" si="300"/>
      </c>
      <c r="Q1363" s="74">
        <f t="shared" ca="1" si="301"/>
      </c>
      <c r="R1363" s="74">
        <f t="shared" si="302"/>
      </c>
      <c r="S1363" s="74">
        <f t="shared" ca="1" si="303"/>
      </c>
      <c r="T1363" s="74">
        <f t="shared" si="304"/>
      </c>
    </row>
    <row r="1364" spans="2:20" x14ac:dyDescent="0.3">
      <c r="B1364" s="74">
        <f t="shared" ca="1" si="294"/>
      </c>
      <c r="C1364" s="78">
        <f>Кабельный_журнал!P1330</f>
      </c>
      <c r="D1364" s="74">
        <f t="shared" ca="1" si="295"/>
      </c>
      <c r="E1364" s="80" t="s">
        <v>279</v>
      </c>
      <c r="F1364" s="74">
        <f t="shared" ca="1" si="291"/>
      </c>
      <c r="G1364" s="74">
        <f t="shared" si="292"/>
      </c>
      <c r="H1364" s="80" t="s">
        <v>272</v>
      </c>
      <c r="I1364" s="74">
        <f t="shared" si="293"/>
      </c>
      <c r="J1364" s="74">
        <f t="shared" si="296"/>
      </c>
      <c r="K1364" s="80" t="s">
        <v>280</v>
      </c>
      <c r="L1364" s="74">
        <f t="shared" si="297"/>
      </c>
      <c r="M1364" s="74">
        <f t="shared" ca="1" si="298"/>
      </c>
      <c r="N1364" s="74">
        <f ca="1">VLOOKUP(B1364,$C$7:$T1362,13,FALSE)</f>
      </c>
      <c r="O1364" s="74">
        <f t="shared" ca="1" si="299"/>
      </c>
      <c r="P1364" s="74">
        <f t="shared" ca="1" si="300"/>
      </c>
      <c r="Q1364" s="74">
        <f t="shared" ca="1" si="301"/>
      </c>
      <c r="R1364" s="74">
        <f t="shared" si="302"/>
      </c>
      <c r="S1364" s="74">
        <f t="shared" ca="1" si="303"/>
      </c>
      <c r="T1364" s="74">
        <f t="shared" si="304"/>
      </c>
    </row>
    <row r="1365" spans="2:20" x14ac:dyDescent="0.3">
      <c r="B1365" s="74">
        <f t="shared" ca="1" si="294"/>
      </c>
      <c r="C1365" s="78">
        <f>Кабельный_журнал!P1331</f>
      </c>
      <c r="D1365" s="74">
        <f t="shared" ca="1" si="295"/>
      </c>
      <c r="E1365" s="80" t="s">
        <v>279</v>
      </c>
      <c r="F1365" s="74">
        <f t="shared" ca="1" si="291"/>
      </c>
      <c r="G1365" s="74">
        <f t="shared" si="292"/>
      </c>
      <c r="H1365" s="80" t="s">
        <v>272</v>
      </c>
      <c r="I1365" s="74">
        <f t="shared" si="293"/>
      </c>
      <c r="J1365" s="74">
        <f t="shared" si="296"/>
      </c>
      <c r="K1365" s="80" t="s">
        <v>280</v>
      </c>
      <c r="L1365" s="74">
        <f t="shared" si="297"/>
      </c>
      <c r="M1365" s="74">
        <f t="shared" ca="1" si="298"/>
      </c>
      <c r="N1365" s="74">
        <f ca="1">VLOOKUP(B1365,$C$7:$T1363,13,FALSE)</f>
      </c>
      <c r="O1365" s="74">
        <f t="shared" ca="1" si="299"/>
      </c>
      <c r="P1365" s="74">
        <f t="shared" ca="1" si="300"/>
      </c>
      <c r="Q1365" s="74">
        <f t="shared" ca="1" si="301"/>
      </c>
      <c r="R1365" s="74">
        <f t="shared" si="302"/>
      </c>
      <c r="S1365" s="74">
        <f t="shared" ca="1" si="303"/>
      </c>
      <c r="T1365" s="74">
        <f t="shared" si="304"/>
      </c>
    </row>
    <row r="1366" spans="2:20" x14ac:dyDescent="0.3">
      <c r="B1366" s="74">
        <f t="shared" ca="1" si="294"/>
      </c>
      <c r="C1366" s="78">
        <f>Кабельный_журнал!P1332</f>
      </c>
      <c r="D1366" s="74">
        <f t="shared" ca="1" si="295"/>
      </c>
      <c r="E1366" s="80" t="s">
        <v>279</v>
      </c>
      <c r="F1366" s="74">
        <f t="shared" ca="1" si="291"/>
      </c>
      <c r="G1366" s="74">
        <f t="shared" si="292"/>
      </c>
      <c r="H1366" s="80" t="s">
        <v>272</v>
      </c>
      <c r="I1366" s="74">
        <f t="shared" si="293"/>
      </c>
      <c r="J1366" s="74">
        <f t="shared" si="296"/>
      </c>
      <c r="K1366" s="80" t="s">
        <v>280</v>
      </c>
      <c r="L1366" s="74">
        <f t="shared" si="297"/>
      </c>
      <c r="M1366" s="74">
        <f t="shared" ca="1" si="298"/>
      </c>
      <c r="N1366" s="74">
        <f ca="1">VLOOKUP(B1366,$C$7:$T1364,13,FALSE)</f>
      </c>
      <c r="O1366" s="74">
        <f t="shared" ca="1" si="299"/>
      </c>
      <c r="P1366" s="74">
        <f t="shared" ca="1" si="300"/>
      </c>
      <c r="Q1366" s="74">
        <f t="shared" ca="1" si="301"/>
      </c>
      <c r="R1366" s="74">
        <f t="shared" si="302"/>
      </c>
      <c r="S1366" s="74">
        <f t="shared" ca="1" si="303"/>
      </c>
      <c r="T1366" s="74">
        <f t="shared" si="304"/>
      </c>
    </row>
    <row r="1367" spans="2:20" x14ac:dyDescent="0.3">
      <c r="B1367" s="74">
        <f t="shared" ca="1" si="294"/>
      </c>
      <c r="C1367" s="78">
        <f>Кабельный_журнал!P1333</f>
      </c>
      <c r="D1367" s="74">
        <f t="shared" ca="1" si="295"/>
      </c>
      <c r="E1367" s="80" t="s">
        <v>279</v>
      </c>
      <c r="F1367" s="74">
        <f t="shared" ca="1" si="291"/>
      </c>
      <c r="G1367" s="74">
        <f t="shared" si="292"/>
      </c>
      <c r="H1367" s="80" t="s">
        <v>272</v>
      </c>
      <c r="I1367" s="74">
        <f t="shared" si="293"/>
      </c>
      <c r="J1367" s="74">
        <f t="shared" si="296"/>
      </c>
      <c r="K1367" s="80" t="s">
        <v>280</v>
      </c>
      <c r="L1367" s="74">
        <f t="shared" si="297"/>
      </c>
      <c r="M1367" s="74">
        <f t="shared" ca="1" si="298"/>
      </c>
      <c r="N1367" s="74">
        <f ca="1">VLOOKUP(B1367,$C$7:$T1365,13,FALSE)</f>
      </c>
      <c r="O1367" s="74">
        <f t="shared" ca="1" si="299"/>
      </c>
      <c r="P1367" s="74">
        <f t="shared" ca="1" si="300"/>
      </c>
      <c r="Q1367" s="74">
        <f t="shared" ca="1" si="301"/>
      </c>
      <c r="R1367" s="74">
        <f t="shared" si="302"/>
      </c>
      <c r="S1367" s="74">
        <f t="shared" ca="1" si="303"/>
      </c>
      <c r="T1367" s="74">
        <f t="shared" si="304"/>
      </c>
    </row>
    <row r="1368" spans="2:20" x14ac:dyDescent="0.3">
      <c r="B1368" s="74">
        <f t="shared" ca="1" si="294"/>
      </c>
      <c r="C1368" s="78">
        <f>Кабельный_журнал!P1334</f>
      </c>
      <c r="D1368" s="74">
        <f t="shared" ca="1" si="295"/>
      </c>
      <c r="E1368" s="80" t="s">
        <v>279</v>
      </c>
      <c r="F1368" s="74">
        <f t="shared" ca="1" si="291"/>
      </c>
      <c r="G1368" s="74">
        <f t="shared" si="292"/>
      </c>
      <c r="H1368" s="80" t="s">
        <v>272</v>
      </c>
      <c r="I1368" s="74">
        <f t="shared" si="293"/>
      </c>
      <c r="J1368" s="74">
        <f t="shared" si="296"/>
      </c>
      <c r="K1368" s="80" t="s">
        <v>280</v>
      </c>
      <c r="L1368" s="74">
        <f t="shared" si="297"/>
      </c>
      <c r="M1368" s="74">
        <f t="shared" ca="1" si="298"/>
      </c>
      <c r="N1368" s="74">
        <f ca="1">VLOOKUP(B1368,$C$7:$T1366,13,FALSE)</f>
      </c>
      <c r="O1368" s="74">
        <f t="shared" ca="1" si="299"/>
      </c>
      <c r="P1368" s="74">
        <f t="shared" ca="1" si="300"/>
      </c>
      <c r="Q1368" s="74">
        <f t="shared" ca="1" si="301"/>
      </c>
      <c r="R1368" s="74">
        <f t="shared" si="302"/>
      </c>
      <c r="S1368" s="74">
        <f t="shared" ca="1" si="303"/>
      </c>
      <c r="T1368" s="74">
        <f t="shared" si="304"/>
      </c>
    </row>
    <row r="1369" spans="2:20" x14ac:dyDescent="0.3">
      <c r="B1369" s="74">
        <f t="shared" ca="1" si="294"/>
      </c>
      <c r="C1369" s="78">
        <f>Кабельный_журнал!P1335</f>
      </c>
      <c r="D1369" s="74">
        <f t="shared" ca="1" si="295"/>
      </c>
      <c r="E1369" s="80" t="s">
        <v>279</v>
      </c>
      <c r="F1369" s="74">
        <f t="shared" ca="1" si="291"/>
      </c>
      <c r="G1369" s="74">
        <f t="shared" si="292"/>
      </c>
      <c r="H1369" s="80" t="s">
        <v>272</v>
      </c>
      <c r="I1369" s="74">
        <f t="shared" si="293"/>
      </c>
      <c r="J1369" s="74">
        <f t="shared" si="296"/>
      </c>
      <c r="K1369" s="80" t="s">
        <v>280</v>
      </c>
      <c r="L1369" s="74">
        <f t="shared" si="297"/>
      </c>
      <c r="M1369" s="74">
        <f t="shared" ca="1" si="298"/>
      </c>
      <c r="N1369" s="74">
        <f ca="1">VLOOKUP(B1369,$C$7:$T1367,13,FALSE)</f>
      </c>
      <c r="O1369" s="74">
        <f t="shared" ca="1" si="299"/>
      </c>
      <c r="P1369" s="74">
        <f t="shared" ca="1" si="300"/>
      </c>
      <c r="Q1369" s="74">
        <f t="shared" ca="1" si="301"/>
      </c>
      <c r="R1369" s="74">
        <f t="shared" si="302"/>
      </c>
      <c r="S1369" s="74">
        <f t="shared" ca="1" si="303"/>
      </c>
      <c r="T1369" s="74">
        <f t="shared" si="304"/>
      </c>
    </row>
    <row r="1370" spans="2:20" x14ac:dyDescent="0.3">
      <c r="B1370" s="74">
        <f t="shared" ca="1" si="294"/>
      </c>
      <c r="C1370" s="78">
        <f>Кабельный_журнал!P1336</f>
      </c>
      <c r="D1370" s="74">
        <f t="shared" ca="1" si="295"/>
      </c>
      <c r="E1370" s="80" t="s">
        <v>279</v>
      </c>
      <c r="F1370" s="74">
        <f t="shared" ca="1" si="291"/>
      </c>
      <c r="G1370" s="74">
        <f t="shared" si="292"/>
      </c>
      <c r="H1370" s="80" t="s">
        <v>272</v>
      </c>
      <c r="I1370" s="74">
        <f t="shared" si="293"/>
      </c>
      <c r="J1370" s="74">
        <f t="shared" si="296"/>
      </c>
      <c r="K1370" s="80" t="s">
        <v>280</v>
      </c>
      <c r="L1370" s="74">
        <f t="shared" si="297"/>
      </c>
      <c r="M1370" s="74">
        <f t="shared" ca="1" si="298"/>
      </c>
      <c r="N1370" s="74">
        <f ca="1">VLOOKUP(B1370,$C$7:$T1368,13,FALSE)</f>
      </c>
      <c r="O1370" s="74">
        <f t="shared" ca="1" si="299"/>
      </c>
      <c r="P1370" s="74">
        <f t="shared" ca="1" si="300"/>
      </c>
      <c r="Q1370" s="74">
        <f t="shared" ca="1" si="301"/>
      </c>
      <c r="R1370" s="74">
        <f t="shared" si="302"/>
      </c>
      <c r="S1370" s="74">
        <f t="shared" ca="1" si="303"/>
      </c>
      <c r="T1370" s="74">
        <f t="shared" si="304"/>
      </c>
    </row>
    <row r="1371" spans="2:20" x14ac:dyDescent="0.3">
      <c r="B1371" s="74">
        <f t="shared" ca="1" si="294"/>
      </c>
      <c r="C1371" s="78">
        <f>Кабельный_журнал!P1337</f>
      </c>
      <c r="D1371" s="74">
        <f t="shared" ca="1" si="295"/>
      </c>
      <c r="E1371" s="80" t="s">
        <v>279</v>
      </c>
      <c r="F1371" s="74">
        <f t="shared" ca="1" si="291"/>
      </c>
      <c r="G1371" s="74">
        <f t="shared" si="292"/>
      </c>
      <c r="H1371" s="80" t="s">
        <v>272</v>
      </c>
      <c r="I1371" s="74">
        <f t="shared" si="293"/>
      </c>
      <c r="J1371" s="74">
        <f t="shared" si="296"/>
      </c>
      <c r="K1371" s="80" t="s">
        <v>280</v>
      </c>
      <c r="L1371" s="74">
        <f t="shared" si="297"/>
      </c>
      <c r="M1371" s="74">
        <f t="shared" ca="1" si="298"/>
      </c>
      <c r="N1371" s="74">
        <f ca="1">VLOOKUP(B1371,$C$7:$T1369,13,FALSE)</f>
      </c>
      <c r="O1371" s="74">
        <f t="shared" ca="1" si="299"/>
      </c>
      <c r="P1371" s="74">
        <f t="shared" ca="1" si="300"/>
      </c>
      <c r="Q1371" s="74">
        <f t="shared" ca="1" si="301"/>
      </c>
      <c r="R1371" s="74">
        <f t="shared" si="302"/>
      </c>
      <c r="S1371" s="74">
        <f t="shared" ca="1" si="303"/>
      </c>
      <c r="T1371" s="74">
        <f t="shared" si="304"/>
      </c>
    </row>
    <row r="1372" spans="2:20" x14ac:dyDescent="0.3">
      <c r="B1372" s="74">
        <f t="shared" ca="1" si="294"/>
      </c>
      <c r="C1372" s="78">
        <f>Кабельный_журнал!P1338</f>
      </c>
      <c r="D1372" s="74">
        <f t="shared" ca="1" si="295"/>
      </c>
      <c r="E1372" s="80" t="s">
        <v>279</v>
      </c>
      <c r="F1372" s="74">
        <f t="shared" ca="1" si="291"/>
      </c>
      <c r="G1372" s="74">
        <f t="shared" si="292"/>
      </c>
      <c r="H1372" s="80" t="s">
        <v>272</v>
      </c>
      <c r="I1372" s="74">
        <f t="shared" si="293"/>
      </c>
      <c r="J1372" s="74">
        <f t="shared" si="296"/>
      </c>
      <c r="K1372" s="80" t="s">
        <v>280</v>
      </c>
      <c r="L1372" s="74">
        <f t="shared" si="297"/>
      </c>
      <c r="M1372" s="74">
        <f t="shared" ca="1" si="298"/>
      </c>
      <c r="N1372" s="74">
        <f ca="1">VLOOKUP(B1372,$C$7:$T1370,13,FALSE)</f>
      </c>
      <c r="O1372" s="74">
        <f t="shared" ca="1" si="299"/>
      </c>
      <c r="P1372" s="74">
        <f t="shared" ca="1" si="300"/>
      </c>
      <c r="Q1372" s="74">
        <f t="shared" ca="1" si="301"/>
      </c>
      <c r="R1372" s="74">
        <f t="shared" si="302"/>
      </c>
      <c r="S1372" s="74">
        <f t="shared" ca="1" si="303"/>
      </c>
      <c r="T1372" s="74">
        <f t="shared" si="304"/>
      </c>
    </row>
    <row r="1373" spans="2:20" x14ac:dyDescent="0.3">
      <c r="B1373" s="74">
        <f t="shared" ca="1" si="294"/>
      </c>
      <c r="C1373" s="78">
        <f>Кабельный_журнал!P1339</f>
      </c>
      <c r="D1373" s="74">
        <f t="shared" ca="1" si="295"/>
      </c>
      <c r="E1373" s="80" t="s">
        <v>279</v>
      </c>
      <c r="F1373" s="74">
        <f t="shared" ca="1" si="291"/>
      </c>
      <c r="G1373" s="74">
        <f t="shared" si="292"/>
      </c>
      <c r="H1373" s="80" t="s">
        <v>272</v>
      </c>
      <c r="I1373" s="74">
        <f t="shared" si="293"/>
      </c>
      <c r="J1373" s="74">
        <f t="shared" si="296"/>
      </c>
      <c r="K1373" s="80" t="s">
        <v>280</v>
      </c>
      <c r="L1373" s="74">
        <f t="shared" si="297"/>
      </c>
      <c r="M1373" s="74">
        <f t="shared" ca="1" si="298"/>
      </c>
      <c r="N1373" s="74">
        <f ca="1">VLOOKUP(B1373,$C$7:$T1371,13,FALSE)</f>
      </c>
      <c r="O1373" s="74">
        <f t="shared" ca="1" si="299"/>
      </c>
      <c r="P1373" s="74">
        <f t="shared" ca="1" si="300"/>
      </c>
      <c r="Q1373" s="74">
        <f t="shared" ca="1" si="301"/>
      </c>
      <c r="R1373" s="74">
        <f t="shared" si="302"/>
      </c>
      <c r="S1373" s="74">
        <f t="shared" ca="1" si="303"/>
      </c>
      <c r="T1373" s="74">
        <f t="shared" si="304"/>
      </c>
    </row>
    <row r="1374" spans="2:20" x14ac:dyDescent="0.3">
      <c r="B1374" s="74">
        <f t="shared" ca="1" si="294"/>
      </c>
      <c r="C1374" s="78">
        <f>Кабельный_журнал!P1340</f>
      </c>
      <c r="D1374" s="74">
        <f t="shared" ca="1" si="295"/>
      </c>
      <c r="E1374" s="80" t="s">
        <v>279</v>
      </c>
      <c r="F1374" s="74">
        <f t="shared" ca="1" si="291"/>
      </c>
      <c r="G1374" s="74">
        <f t="shared" si="292"/>
      </c>
      <c r="H1374" s="80" t="s">
        <v>272</v>
      </c>
      <c r="I1374" s="74">
        <f t="shared" si="293"/>
      </c>
      <c r="J1374" s="74">
        <f t="shared" si="296"/>
      </c>
      <c r="K1374" s="80" t="s">
        <v>280</v>
      </c>
      <c r="L1374" s="74">
        <f t="shared" si="297"/>
      </c>
      <c r="M1374" s="74">
        <f t="shared" ca="1" si="298"/>
      </c>
      <c r="N1374" s="74">
        <f ca="1">VLOOKUP(B1374,$C$7:$T1372,13,FALSE)</f>
      </c>
      <c r="O1374" s="74">
        <f t="shared" ca="1" si="299"/>
      </c>
      <c r="P1374" s="74">
        <f t="shared" ca="1" si="300"/>
      </c>
      <c r="Q1374" s="74">
        <f t="shared" ca="1" si="301"/>
      </c>
      <c r="R1374" s="74">
        <f t="shared" si="302"/>
      </c>
      <c r="S1374" s="74">
        <f t="shared" ca="1" si="303"/>
      </c>
      <c r="T1374" s="74">
        <f t="shared" si="304"/>
      </c>
    </row>
    <row r="1375" spans="2:20" x14ac:dyDescent="0.3">
      <c r="B1375" s="74">
        <f t="shared" ca="1" si="294"/>
      </c>
      <c r="C1375" s="78">
        <f>Кабельный_журнал!P1341</f>
      </c>
      <c r="D1375" s="74">
        <f t="shared" ca="1" si="295"/>
      </c>
      <c r="E1375" s="80" t="s">
        <v>279</v>
      </c>
      <c r="F1375" s="74">
        <f t="shared" ca="1" si="291"/>
      </c>
      <c r="G1375" s="74">
        <f t="shared" si="292"/>
      </c>
      <c r="H1375" s="80" t="s">
        <v>272</v>
      </c>
      <c r="I1375" s="74">
        <f t="shared" si="293"/>
      </c>
      <c r="J1375" s="74">
        <f t="shared" si="296"/>
      </c>
      <c r="K1375" s="80" t="s">
        <v>280</v>
      </c>
      <c r="L1375" s="74">
        <f t="shared" si="297"/>
      </c>
      <c r="M1375" s="74">
        <f t="shared" ca="1" si="298"/>
      </c>
      <c r="N1375" s="74">
        <f ca="1">VLOOKUP(B1375,$C$7:$T1373,13,FALSE)</f>
      </c>
      <c r="O1375" s="74">
        <f t="shared" ca="1" si="299"/>
      </c>
      <c r="P1375" s="74">
        <f t="shared" ca="1" si="300"/>
      </c>
      <c r="Q1375" s="74">
        <f t="shared" ca="1" si="301"/>
      </c>
      <c r="R1375" s="74">
        <f t="shared" si="302"/>
      </c>
      <c r="S1375" s="74">
        <f t="shared" ca="1" si="303"/>
      </c>
      <c r="T1375" s="74">
        <f t="shared" si="304"/>
      </c>
    </row>
    <row r="1376" spans="2:20" x14ac:dyDescent="0.3">
      <c r="B1376" s="74">
        <f t="shared" ca="1" si="294"/>
      </c>
      <c r="C1376" s="78">
        <f>Кабельный_журнал!P1342</f>
      </c>
      <c r="D1376" s="74">
        <f t="shared" ca="1" si="295"/>
      </c>
      <c r="E1376" s="80" t="s">
        <v>279</v>
      </c>
      <c r="F1376" s="74">
        <f t="shared" ca="1" si="291"/>
      </c>
      <c r="G1376" s="74">
        <f t="shared" si="292"/>
      </c>
      <c r="H1376" s="80" t="s">
        <v>272</v>
      </c>
      <c r="I1376" s="74">
        <f t="shared" si="293"/>
      </c>
      <c r="J1376" s="74">
        <f t="shared" si="296"/>
      </c>
      <c r="K1376" s="80" t="s">
        <v>280</v>
      </c>
      <c r="L1376" s="74">
        <f t="shared" si="297"/>
      </c>
      <c r="M1376" s="74">
        <f t="shared" ca="1" si="298"/>
      </c>
      <c r="N1376" s="74">
        <f ca="1">VLOOKUP(B1376,$C$7:$T1374,13,FALSE)</f>
      </c>
      <c r="O1376" s="74">
        <f t="shared" ca="1" si="299"/>
      </c>
      <c r="P1376" s="74">
        <f t="shared" ca="1" si="300"/>
      </c>
      <c r="Q1376" s="74">
        <f t="shared" ca="1" si="301"/>
      </c>
      <c r="R1376" s="74">
        <f t="shared" si="302"/>
      </c>
      <c r="S1376" s="74">
        <f t="shared" ca="1" si="303"/>
      </c>
      <c r="T1376" s="74">
        <f t="shared" si="304"/>
      </c>
    </row>
    <row r="1377" spans="2:20" x14ac:dyDescent="0.3">
      <c r="B1377" s="74">
        <f t="shared" ca="1" si="294"/>
      </c>
      <c r="C1377" s="78">
        <f>Кабельный_журнал!P1343</f>
      </c>
      <c r="D1377" s="74">
        <f t="shared" ca="1" si="295"/>
      </c>
      <c r="E1377" s="80" t="s">
        <v>279</v>
      </c>
      <c r="F1377" s="74">
        <f t="shared" ca="1" si="291"/>
      </c>
      <c r="G1377" s="74">
        <f t="shared" si="292"/>
      </c>
      <c r="H1377" s="80" t="s">
        <v>272</v>
      </c>
      <c r="I1377" s="74">
        <f t="shared" si="293"/>
      </c>
      <c r="J1377" s="74">
        <f t="shared" si="296"/>
      </c>
      <c r="K1377" s="80" t="s">
        <v>280</v>
      </c>
      <c r="L1377" s="74">
        <f t="shared" si="297"/>
      </c>
      <c r="M1377" s="74">
        <f t="shared" ca="1" si="298"/>
      </c>
      <c r="N1377" s="74">
        <f ca="1">VLOOKUP(B1377,$C$7:$T1375,13,FALSE)</f>
      </c>
      <c r="O1377" s="74">
        <f t="shared" ca="1" si="299"/>
      </c>
      <c r="P1377" s="74">
        <f t="shared" ca="1" si="300"/>
      </c>
      <c r="Q1377" s="74">
        <f t="shared" ca="1" si="301"/>
      </c>
      <c r="R1377" s="74">
        <f t="shared" si="302"/>
      </c>
      <c r="S1377" s="74">
        <f t="shared" ca="1" si="303"/>
      </c>
      <c r="T1377" s="74">
        <f t="shared" si="304"/>
      </c>
    </row>
    <row r="1378" spans="2:20" x14ac:dyDescent="0.3">
      <c r="B1378" s="74">
        <f t="shared" ca="1" si="294"/>
      </c>
      <c r="C1378" s="78">
        <f>Кабельный_журнал!P1344</f>
      </c>
      <c r="D1378" s="74">
        <f t="shared" ca="1" si="295"/>
      </c>
      <c r="E1378" s="80" t="s">
        <v>279</v>
      </c>
      <c r="F1378" s="74">
        <f t="shared" ca="1" si="291"/>
      </c>
      <c r="G1378" s="74">
        <f t="shared" si="292"/>
      </c>
      <c r="H1378" s="80" t="s">
        <v>272</v>
      </c>
      <c r="I1378" s="74">
        <f t="shared" si="293"/>
      </c>
      <c r="J1378" s="74">
        <f t="shared" si="296"/>
      </c>
      <c r="K1378" s="80" t="s">
        <v>280</v>
      </c>
      <c r="L1378" s="74">
        <f t="shared" si="297"/>
      </c>
      <c r="M1378" s="74">
        <f t="shared" ca="1" si="298"/>
      </c>
      <c r="N1378" s="74">
        <f ca="1">VLOOKUP(B1378,$C$7:$T1376,13,FALSE)</f>
      </c>
      <c r="O1378" s="74">
        <f t="shared" ca="1" si="299"/>
      </c>
      <c r="P1378" s="74">
        <f t="shared" ca="1" si="300"/>
      </c>
      <c r="Q1378" s="74">
        <f t="shared" ca="1" si="301"/>
      </c>
      <c r="R1378" s="74">
        <f t="shared" si="302"/>
      </c>
      <c r="S1378" s="74">
        <f t="shared" ca="1" si="303"/>
      </c>
      <c r="T1378" s="74">
        <f t="shared" si="304"/>
      </c>
    </row>
    <row r="1379" spans="2:20" x14ac:dyDescent="0.3">
      <c r="B1379" s="74">
        <f t="shared" ca="1" si="294"/>
      </c>
      <c r="C1379" s="78">
        <f>Кабельный_журнал!P1345</f>
      </c>
      <c r="D1379" s="74">
        <f t="shared" ca="1" si="295"/>
      </c>
      <c r="E1379" s="80" t="s">
        <v>279</v>
      </c>
      <c r="F1379" s="74">
        <f t="shared" ca="1" si="291"/>
      </c>
      <c r="G1379" s="74">
        <f t="shared" si="292"/>
      </c>
      <c r="H1379" s="80" t="s">
        <v>272</v>
      </c>
      <c r="I1379" s="74">
        <f t="shared" si="293"/>
      </c>
      <c r="J1379" s="74">
        <f t="shared" si="296"/>
      </c>
      <c r="K1379" s="80" t="s">
        <v>280</v>
      </c>
      <c r="L1379" s="74">
        <f t="shared" si="297"/>
      </c>
      <c r="M1379" s="74">
        <f t="shared" ca="1" si="298"/>
      </c>
      <c r="N1379" s="74">
        <f ca="1">VLOOKUP(B1379,$C$7:$T1377,13,FALSE)</f>
      </c>
      <c r="O1379" s="74">
        <f t="shared" ca="1" si="299"/>
      </c>
      <c r="P1379" s="74">
        <f t="shared" ca="1" si="300"/>
      </c>
      <c r="Q1379" s="74">
        <f t="shared" ca="1" si="301"/>
      </c>
      <c r="R1379" s="74">
        <f t="shared" si="302"/>
      </c>
      <c r="S1379" s="74">
        <f t="shared" ca="1" si="303"/>
      </c>
      <c r="T1379" s="74">
        <f t="shared" si="304"/>
      </c>
    </row>
    <row r="1380" spans="2:20" x14ac:dyDescent="0.3">
      <c r="B1380" s="74">
        <f t="shared" ca="1" si="294"/>
      </c>
      <c r="C1380" s="78">
        <f>Кабельный_журнал!P1346</f>
      </c>
      <c r="D1380" s="74">
        <f t="shared" ca="1" si="295"/>
      </c>
      <c r="E1380" s="80" t="s">
        <v>279</v>
      </c>
      <c r="F1380" s="74">
        <f t="shared" ca="1" si="291"/>
      </c>
      <c r="G1380" s="74">
        <f t="shared" si="292"/>
      </c>
      <c r="H1380" s="80" t="s">
        <v>272</v>
      </c>
      <c r="I1380" s="74">
        <f t="shared" si="293"/>
      </c>
      <c r="J1380" s="74">
        <f t="shared" si="296"/>
      </c>
      <c r="K1380" s="80" t="s">
        <v>280</v>
      </c>
      <c r="L1380" s="74">
        <f t="shared" si="297"/>
      </c>
      <c r="M1380" s="74">
        <f t="shared" ca="1" si="298"/>
      </c>
      <c r="N1380" s="74">
        <f ca="1">VLOOKUP(B1380,$C$7:$T1378,13,FALSE)</f>
      </c>
      <c r="O1380" s="74">
        <f t="shared" ca="1" si="299"/>
      </c>
      <c r="P1380" s="74">
        <f t="shared" ca="1" si="300"/>
      </c>
      <c r="Q1380" s="74">
        <f t="shared" ca="1" si="301"/>
      </c>
      <c r="R1380" s="74">
        <f t="shared" si="302"/>
      </c>
      <c r="S1380" s="74">
        <f t="shared" ca="1" si="303"/>
      </c>
      <c r="T1380" s="74">
        <f t="shared" si="304"/>
      </c>
    </row>
    <row r="1381" spans="2:20" x14ac:dyDescent="0.3">
      <c r="B1381" s="74">
        <f t="shared" ca="1" si="294"/>
      </c>
      <c r="C1381" s="78">
        <f>Кабельный_журнал!P1347</f>
      </c>
      <c r="D1381" s="74">
        <f t="shared" ca="1" si="295"/>
      </c>
      <c r="E1381" s="80" t="s">
        <v>279</v>
      </c>
      <c r="F1381" s="74">
        <f t="shared" ca="1" si="291"/>
      </c>
      <c r="G1381" s="74">
        <f t="shared" si="292"/>
      </c>
      <c r="H1381" s="80" t="s">
        <v>272</v>
      </c>
      <c r="I1381" s="74">
        <f t="shared" si="293"/>
      </c>
      <c r="J1381" s="74">
        <f t="shared" si="296"/>
      </c>
      <c r="K1381" s="80" t="s">
        <v>280</v>
      </c>
      <c r="L1381" s="74">
        <f t="shared" si="297"/>
      </c>
      <c r="M1381" s="74">
        <f t="shared" ca="1" si="298"/>
      </c>
      <c r="N1381" s="74">
        <f ca="1">VLOOKUP(B1381,$C$7:$T1379,13,FALSE)</f>
      </c>
      <c r="O1381" s="74">
        <f t="shared" ca="1" si="299"/>
      </c>
      <c r="P1381" s="74">
        <f t="shared" ca="1" si="300"/>
      </c>
      <c r="Q1381" s="74">
        <f t="shared" ca="1" si="301"/>
      </c>
      <c r="R1381" s="74">
        <f t="shared" si="302"/>
      </c>
      <c r="S1381" s="74">
        <f t="shared" ca="1" si="303"/>
      </c>
      <c r="T1381" s="74">
        <f t="shared" si="304"/>
      </c>
    </row>
    <row r="1382" spans="2:20" x14ac:dyDescent="0.3">
      <c r="B1382" s="74">
        <f t="shared" ca="1" si="294"/>
      </c>
      <c r="C1382" s="78">
        <f>Кабельный_журнал!P1348</f>
      </c>
      <c r="D1382" s="74">
        <f t="shared" ca="1" si="295"/>
      </c>
      <c r="E1382" s="80" t="s">
        <v>279</v>
      </c>
      <c r="F1382" s="74">
        <f t="shared" ca="1" si="291"/>
      </c>
      <c r="G1382" s="74">
        <f t="shared" si="292"/>
      </c>
      <c r="H1382" s="80" t="s">
        <v>272</v>
      </c>
      <c r="I1382" s="74">
        <f t="shared" si="293"/>
      </c>
      <c r="J1382" s="74">
        <f t="shared" si="296"/>
      </c>
      <c r="K1382" s="80" t="s">
        <v>280</v>
      </c>
      <c r="L1382" s="74">
        <f t="shared" si="297"/>
      </c>
      <c r="M1382" s="74">
        <f t="shared" ca="1" si="298"/>
      </c>
      <c r="N1382" s="74">
        <f ca="1">VLOOKUP(B1382,$C$7:$T1380,13,FALSE)</f>
      </c>
      <c r="O1382" s="74">
        <f t="shared" ca="1" si="299"/>
      </c>
      <c r="P1382" s="74">
        <f t="shared" ca="1" si="300"/>
      </c>
      <c r="Q1382" s="74">
        <f t="shared" ca="1" si="301"/>
      </c>
      <c r="R1382" s="74">
        <f t="shared" si="302"/>
      </c>
      <c r="S1382" s="74">
        <f t="shared" ca="1" si="303"/>
      </c>
      <c r="T1382" s="74">
        <f t="shared" si="304"/>
      </c>
    </row>
    <row r="1383" spans="2:20" x14ac:dyDescent="0.3">
      <c r="B1383" s="74">
        <f t="shared" ca="1" si="294"/>
      </c>
      <c r="C1383" s="78">
        <f>Кабельный_журнал!P1349</f>
      </c>
      <c r="D1383" s="74">
        <f t="shared" ca="1" si="295"/>
      </c>
      <c r="E1383" s="80" t="s">
        <v>279</v>
      </c>
      <c r="F1383" s="74">
        <f t="shared" ref="F1383:F1446" ca="1" si="305">VLOOKUP(C1383,Кабельный_журнал,8,FALSE)</f>
      </c>
      <c r="G1383" s="74">
        <f t="shared" ref="G1383:G1446" si="306">VLOOKUP(C1383,Исходные_данные,21,FALSE)</f>
      </c>
      <c r="H1383" s="80" t="s">
        <v>272</v>
      </c>
      <c r="I1383" s="74">
        <f t="shared" ref="I1383:I1446" si="307">VLOOKUP(C1383,Исходные_данные,22,FALSE)</f>
      </c>
      <c r="J1383" s="74">
        <f t="shared" si="296"/>
      </c>
      <c r="K1383" s="80" t="s">
        <v>280</v>
      </c>
      <c r="L1383" s="74">
        <f t="shared" si="297"/>
      </c>
      <c r="M1383" s="74">
        <f t="shared" ca="1" si="298"/>
      </c>
      <c r="N1383" s="74">
        <f ca="1">VLOOKUP(B1383,$C$7:$T1381,13,FALSE)</f>
      </c>
      <c r="O1383" s="74">
        <f t="shared" ca="1" si="299"/>
      </c>
      <c r="P1383" s="74">
        <f t="shared" ca="1" si="300"/>
      </c>
      <c r="Q1383" s="74">
        <f t="shared" ca="1" si="301"/>
      </c>
      <c r="R1383" s="74">
        <f t="shared" si="302"/>
      </c>
      <c r="S1383" s="74">
        <f t="shared" ca="1" si="303"/>
      </c>
      <c r="T1383" s="74">
        <f t="shared" si="304"/>
      </c>
    </row>
    <row r="1384" spans="2:20" x14ac:dyDescent="0.3">
      <c r="B1384" s="74">
        <f t="shared" ref="B1384:B1447" ca="1" si="308">VLOOKUP(C1384,Кабельный_журнал,2,FALSE)</f>
      </c>
      <c r="C1384" s="78">
        <f>Кабельный_журнал!P1350</f>
      </c>
      <c r="D1384" s="74">
        <f t="shared" ref="D1384:D1447" ca="1" si="309">B1384&amp;"-"&amp;C1384</f>
      </c>
      <c r="E1384" s="80" t="s">
        <v>279</v>
      </c>
      <c r="F1384" s="74">
        <f t="shared" ca="1" si="305"/>
      </c>
      <c r="G1384" s="74">
        <f t="shared" si="306"/>
      </c>
      <c r="H1384" s="80" t="s">
        <v>272</v>
      </c>
      <c r="I1384" s="74">
        <f t="shared" si="307"/>
      </c>
      <c r="J1384" s="74">
        <f t="shared" ref="J1384:J1447" si="310">I1384</f>
      </c>
      <c r="K1384" s="80" t="s">
        <v>280</v>
      </c>
      <c r="L1384" s="74">
        <f t="shared" ref="L1384:L1447" si="311">VLOOKUP(K1384,$K$2:$L$3,2,FALSE)</f>
      </c>
      <c r="M1384" s="74">
        <f t="shared" ref="M1384:M1447" ca="1" si="312">L1384*F1384*(1/I1384+1/J1384)</f>
      </c>
      <c r="N1384" s="74">
        <f ca="1">VLOOKUP(B1384,$C$7:$T1382,13,FALSE)</f>
      </c>
      <c r="O1384" s="74">
        <f t="shared" ref="O1384:O1447" ca="1" si="313">L1384+M1384</f>
      </c>
      <c r="P1384" s="74">
        <f t="shared" ref="P1384:P1447" ca="1" si="314">220/O1384</f>
      </c>
      <c r="Q1384" s="74">
        <f t="shared" ref="Q1384:Q1447" ca="1" si="315">O1384/G1384</f>
      </c>
      <c r="R1384" s="74">
        <f t="shared" ref="R1384:R1447" si="316">VLOOKUP(H1384,$W$2:$Y$12,3,FALSE)</f>
      </c>
      <c r="S1384" s="74">
        <f t="shared" ref="S1384:S1447" ca="1" si="317">_xlfn.IFS(E1384="щит",IF(P1384&gt;R1384,"Увел сеч",IF(T1384&gt;P1384,"Увел сеч","tср&lt;5с")),E1384="потреб",IF(P1384&gt;R1384,"Увел сеч",IF(T1384&gt;P1384,"Увел сеч","tср&lt;0.4с")))</f>
      </c>
      <c r="T1384" s="74">
        <f t="shared" ref="T1384:T1447" si="318">G1384*VLOOKUP(H1384,$W$2:$Y$12,2,FALSE)</f>
      </c>
    </row>
    <row r="1385" spans="2:20" x14ac:dyDescent="0.3">
      <c r="B1385" s="74">
        <f t="shared" ca="1" si="308"/>
      </c>
      <c r="C1385" s="78">
        <f>Кабельный_журнал!P1351</f>
      </c>
      <c r="D1385" s="74">
        <f t="shared" ca="1" si="309"/>
      </c>
      <c r="E1385" s="80" t="s">
        <v>279</v>
      </c>
      <c r="F1385" s="74">
        <f t="shared" ca="1" si="305"/>
      </c>
      <c r="G1385" s="74">
        <f t="shared" si="306"/>
      </c>
      <c r="H1385" s="80" t="s">
        <v>272</v>
      </c>
      <c r="I1385" s="74">
        <f t="shared" si="307"/>
      </c>
      <c r="J1385" s="74">
        <f t="shared" si="310"/>
      </c>
      <c r="K1385" s="80" t="s">
        <v>280</v>
      </c>
      <c r="L1385" s="74">
        <f t="shared" si="311"/>
      </c>
      <c r="M1385" s="74">
        <f t="shared" ca="1" si="312"/>
      </c>
      <c r="N1385" s="74">
        <f ca="1">VLOOKUP(B1385,$C$7:$T1383,13,FALSE)</f>
      </c>
      <c r="O1385" s="74">
        <f t="shared" ca="1" si="313"/>
      </c>
      <c r="P1385" s="74">
        <f t="shared" ca="1" si="314"/>
      </c>
      <c r="Q1385" s="74">
        <f t="shared" ca="1" si="315"/>
      </c>
      <c r="R1385" s="74">
        <f t="shared" si="316"/>
      </c>
      <c r="S1385" s="74">
        <f t="shared" ca="1" si="317"/>
      </c>
      <c r="T1385" s="74">
        <f t="shared" si="318"/>
      </c>
    </row>
    <row r="1386" spans="2:20" x14ac:dyDescent="0.3">
      <c r="B1386" s="74">
        <f t="shared" ca="1" si="308"/>
      </c>
      <c r="C1386" s="78">
        <f>Кабельный_журнал!P1352</f>
      </c>
      <c r="D1386" s="74">
        <f t="shared" ca="1" si="309"/>
      </c>
      <c r="E1386" s="80" t="s">
        <v>279</v>
      </c>
      <c r="F1386" s="74">
        <f t="shared" ca="1" si="305"/>
      </c>
      <c r="G1386" s="74">
        <f t="shared" si="306"/>
      </c>
      <c r="H1386" s="80" t="s">
        <v>272</v>
      </c>
      <c r="I1386" s="74">
        <f t="shared" si="307"/>
      </c>
      <c r="J1386" s="74">
        <f t="shared" si="310"/>
      </c>
      <c r="K1386" s="80" t="s">
        <v>280</v>
      </c>
      <c r="L1386" s="74">
        <f t="shared" si="311"/>
      </c>
      <c r="M1386" s="74">
        <f t="shared" ca="1" si="312"/>
      </c>
      <c r="N1386" s="74">
        <f ca="1">VLOOKUP(B1386,$C$7:$T1384,13,FALSE)</f>
      </c>
      <c r="O1386" s="74">
        <f t="shared" ca="1" si="313"/>
      </c>
      <c r="P1386" s="74">
        <f t="shared" ca="1" si="314"/>
      </c>
      <c r="Q1386" s="74">
        <f t="shared" ca="1" si="315"/>
      </c>
      <c r="R1386" s="74">
        <f t="shared" si="316"/>
      </c>
      <c r="S1386" s="74">
        <f t="shared" ca="1" si="317"/>
      </c>
      <c r="T1386" s="74">
        <f t="shared" si="318"/>
      </c>
    </row>
    <row r="1387" spans="2:20" x14ac:dyDescent="0.3">
      <c r="B1387" s="74">
        <f t="shared" ca="1" si="308"/>
      </c>
      <c r="C1387" s="78">
        <f>Кабельный_журнал!P1353</f>
      </c>
      <c r="D1387" s="74">
        <f t="shared" ca="1" si="309"/>
      </c>
      <c r="E1387" s="80" t="s">
        <v>279</v>
      </c>
      <c r="F1387" s="74">
        <f t="shared" ca="1" si="305"/>
      </c>
      <c r="G1387" s="74">
        <f t="shared" si="306"/>
      </c>
      <c r="H1387" s="80" t="s">
        <v>272</v>
      </c>
      <c r="I1387" s="74">
        <f t="shared" si="307"/>
      </c>
      <c r="J1387" s="74">
        <f t="shared" si="310"/>
      </c>
      <c r="K1387" s="80" t="s">
        <v>280</v>
      </c>
      <c r="L1387" s="74">
        <f t="shared" si="311"/>
      </c>
      <c r="M1387" s="74">
        <f t="shared" ca="1" si="312"/>
      </c>
      <c r="N1387" s="74">
        <f ca="1">VLOOKUP(B1387,$C$7:$T1385,13,FALSE)</f>
      </c>
      <c r="O1387" s="74">
        <f t="shared" ca="1" si="313"/>
      </c>
      <c r="P1387" s="74">
        <f t="shared" ca="1" si="314"/>
      </c>
      <c r="Q1387" s="74">
        <f t="shared" ca="1" si="315"/>
      </c>
      <c r="R1387" s="74">
        <f t="shared" si="316"/>
      </c>
      <c r="S1387" s="74">
        <f t="shared" ca="1" si="317"/>
      </c>
      <c r="T1387" s="74">
        <f t="shared" si="318"/>
      </c>
    </row>
    <row r="1388" spans="2:20" x14ac:dyDescent="0.3">
      <c r="B1388" s="74">
        <f t="shared" ca="1" si="308"/>
      </c>
      <c r="C1388" s="78">
        <f>Кабельный_журнал!P1354</f>
      </c>
      <c r="D1388" s="74">
        <f t="shared" ca="1" si="309"/>
      </c>
      <c r="E1388" s="80" t="s">
        <v>279</v>
      </c>
      <c r="F1388" s="74">
        <f t="shared" ca="1" si="305"/>
      </c>
      <c r="G1388" s="74">
        <f t="shared" si="306"/>
      </c>
      <c r="H1388" s="80" t="s">
        <v>272</v>
      </c>
      <c r="I1388" s="74">
        <f t="shared" si="307"/>
      </c>
      <c r="J1388" s="74">
        <f t="shared" si="310"/>
      </c>
      <c r="K1388" s="80" t="s">
        <v>280</v>
      </c>
      <c r="L1388" s="74">
        <f t="shared" si="311"/>
      </c>
      <c r="M1388" s="74">
        <f t="shared" ca="1" si="312"/>
      </c>
      <c r="N1388" s="74">
        <f ca="1">VLOOKUP(B1388,$C$7:$T1386,13,FALSE)</f>
      </c>
      <c r="O1388" s="74">
        <f t="shared" ca="1" si="313"/>
      </c>
      <c r="P1388" s="74">
        <f t="shared" ca="1" si="314"/>
      </c>
      <c r="Q1388" s="74">
        <f t="shared" ca="1" si="315"/>
      </c>
      <c r="R1388" s="74">
        <f t="shared" si="316"/>
      </c>
      <c r="S1388" s="74">
        <f t="shared" ca="1" si="317"/>
      </c>
      <c r="T1388" s="74">
        <f t="shared" si="318"/>
      </c>
    </row>
    <row r="1389" spans="2:20" x14ac:dyDescent="0.3">
      <c r="B1389" s="74">
        <f t="shared" ca="1" si="308"/>
      </c>
      <c r="C1389" s="78">
        <f>Кабельный_журнал!P1355</f>
      </c>
      <c r="D1389" s="74">
        <f t="shared" ca="1" si="309"/>
      </c>
      <c r="E1389" s="80" t="s">
        <v>279</v>
      </c>
      <c r="F1389" s="74">
        <f t="shared" ca="1" si="305"/>
      </c>
      <c r="G1389" s="74">
        <f t="shared" si="306"/>
      </c>
      <c r="H1389" s="80" t="s">
        <v>272</v>
      </c>
      <c r="I1389" s="74">
        <f t="shared" si="307"/>
      </c>
      <c r="J1389" s="74">
        <f t="shared" si="310"/>
      </c>
      <c r="K1389" s="80" t="s">
        <v>280</v>
      </c>
      <c r="L1389" s="74">
        <f t="shared" si="311"/>
      </c>
      <c r="M1389" s="74">
        <f t="shared" ca="1" si="312"/>
      </c>
      <c r="N1389" s="74">
        <f ca="1">VLOOKUP(B1389,$C$7:$T1387,13,FALSE)</f>
      </c>
      <c r="O1389" s="74">
        <f t="shared" ca="1" si="313"/>
      </c>
      <c r="P1389" s="74">
        <f t="shared" ca="1" si="314"/>
      </c>
      <c r="Q1389" s="74">
        <f t="shared" ca="1" si="315"/>
      </c>
      <c r="R1389" s="74">
        <f t="shared" si="316"/>
      </c>
      <c r="S1389" s="74">
        <f t="shared" ca="1" si="317"/>
      </c>
      <c r="T1389" s="74">
        <f t="shared" si="318"/>
      </c>
    </row>
    <row r="1390" spans="2:20" x14ac:dyDescent="0.3">
      <c r="B1390" s="74">
        <f t="shared" ca="1" si="308"/>
      </c>
      <c r="C1390" s="78">
        <f>Кабельный_журнал!P1356</f>
      </c>
      <c r="D1390" s="74">
        <f t="shared" ca="1" si="309"/>
      </c>
      <c r="E1390" s="80" t="s">
        <v>279</v>
      </c>
      <c r="F1390" s="74">
        <f t="shared" ca="1" si="305"/>
      </c>
      <c r="G1390" s="74">
        <f t="shared" si="306"/>
      </c>
      <c r="H1390" s="80" t="s">
        <v>272</v>
      </c>
      <c r="I1390" s="74">
        <f t="shared" si="307"/>
      </c>
      <c r="J1390" s="74">
        <f t="shared" si="310"/>
      </c>
      <c r="K1390" s="80" t="s">
        <v>280</v>
      </c>
      <c r="L1390" s="74">
        <f t="shared" si="311"/>
      </c>
      <c r="M1390" s="74">
        <f t="shared" ca="1" si="312"/>
      </c>
      <c r="N1390" s="74">
        <f ca="1">VLOOKUP(B1390,$C$7:$T1388,13,FALSE)</f>
      </c>
      <c r="O1390" s="74">
        <f t="shared" ca="1" si="313"/>
      </c>
      <c r="P1390" s="74">
        <f t="shared" ca="1" si="314"/>
      </c>
      <c r="Q1390" s="74">
        <f t="shared" ca="1" si="315"/>
      </c>
      <c r="R1390" s="74">
        <f t="shared" si="316"/>
      </c>
      <c r="S1390" s="74">
        <f t="shared" ca="1" si="317"/>
      </c>
      <c r="T1390" s="74">
        <f t="shared" si="318"/>
      </c>
    </row>
    <row r="1391" spans="2:20" x14ac:dyDescent="0.3">
      <c r="B1391" s="74">
        <f t="shared" ca="1" si="308"/>
      </c>
      <c r="C1391" s="78">
        <f>Кабельный_журнал!P1357</f>
      </c>
      <c r="D1391" s="74">
        <f t="shared" ca="1" si="309"/>
      </c>
      <c r="E1391" s="80" t="s">
        <v>279</v>
      </c>
      <c r="F1391" s="74">
        <f t="shared" ca="1" si="305"/>
      </c>
      <c r="G1391" s="74">
        <f t="shared" si="306"/>
      </c>
      <c r="H1391" s="80" t="s">
        <v>272</v>
      </c>
      <c r="I1391" s="74">
        <f t="shared" si="307"/>
      </c>
      <c r="J1391" s="74">
        <f t="shared" si="310"/>
      </c>
      <c r="K1391" s="80" t="s">
        <v>280</v>
      </c>
      <c r="L1391" s="74">
        <f t="shared" si="311"/>
      </c>
      <c r="M1391" s="74">
        <f t="shared" ca="1" si="312"/>
      </c>
      <c r="N1391" s="74">
        <f ca="1">VLOOKUP(B1391,$C$7:$T1389,13,FALSE)</f>
      </c>
      <c r="O1391" s="74">
        <f t="shared" ca="1" si="313"/>
      </c>
      <c r="P1391" s="74">
        <f t="shared" ca="1" si="314"/>
      </c>
      <c r="Q1391" s="74">
        <f t="shared" ca="1" si="315"/>
      </c>
      <c r="R1391" s="74">
        <f t="shared" si="316"/>
      </c>
      <c r="S1391" s="74">
        <f t="shared" ca="1" si="317"/>
      </c>
      <c r="T1391" s="74">
        <f t="shared" si="318"/>
      </c>
    </row>
    <row r="1392" spans="2:20" x14ac:dyDescent="0.3">
      <c r="B1392" s="74">
        <f t="shared" ca="1" si="308"/>
      </c>
      <c r="C1392" s="78">
        <f>Кабельный_журнал!P1358</f>
      </c>
      <c r="D1392" s="74">
        <f t="shared" ca="1" si="309"/>
      </c>
      <c r="E1392" s="80" t="s">
        <v>279</v>
      </c>
      <c r="F1392" s="74">
        <f t="shared" ca="1" si="305"/>
      </c>
      <c r="G1392" s="74">
        <f t="shared" si="306"/>
      </c>
      <c r="H1392" s="80" t="s">
        <v>272</v>
      </c>
      <c r="I1392" s="74">
        <f t="shared" si="307"/>
      </c>
      <c r="J1392" s="74">
        <f t="shared" si="310"/>
      </c>
      <c r="K1392" s="80" t="s">
        <v>280</v>
      </c>
      <c r="L1392" s="74">
        <f t="shared" si="311"/>
      </c>
      <c r="M1392" s="74">
        <f t="shared" ca="1" si="312"/>
      </c>
      <c r="N1392" s="74">
        <f ca="1">VLOOKUP(B1392,$C$7:$T1390,13,FALSE)</f>
      </c>
      <c r="O1392" s="74">
        <f t="shared" ca="1" si="313"/>
      </c>
      <c r="P1392" s="74">
        <f t="shared" ca="1" si="314"/>
      </c>
      <c r="Q1392" s="74">
        <f t="shared" ca="1" si="315"/>
      </c>
      <c r="R1392" s="74">
        <f t="shared" si="316"/>
      </c>
      <c r="S1392" s="74">
        <f t="shared" ca="1" si="317"/>
      </c>
      <c r="T1392" s="74">
        <f t="shared" si="318"/>
      </c>
    </row>
    <row r="1393" spans="2:20" x14ac:dyDescent="0.3">
      <c r="B1393" s="74">
        <f t="shared" ca="1" si="308"/>
      </c>
      <c r="C1393" s="78">
        <f>Кабельный_журнал!P1359</f>
      </c>
      <c r="D1393" s="74">
        <f t="shared" ca="1" si="309"/>
      </c>
      <c r="E1393" s="80" t="s">
        <v>279</v>
      </c>
      <c r="F1393" s="74">
        <f t="shared" ca="1" si="305"/>
      </c>
      <c r="G1393" s="74">
        <f t="shared" si="306"/>
      </c>
      <c r="H1393" s="80" t="s">
        <v>272</v>
      </c>
      <c r="I1393" s="74">
        <f t="shared" si="307"/>
      </c>
      <c r="J1393" s="74">
        <f t="shared" si="310"/>
      </c>
      <c r="K1393" s="80" t="s">
        <v>280</v>
      </c>
      <c r="L1393" s="74">
        <f t="shared" si="311"/>
      </c>
      <c r="M1393" s="74">
        <f t="shared" ca="1" si="312"/>
      </c>
      <c r="N1393" s="74">
        <f ca="1">VLOOKUP(B1393,$C$7:$T1391,13,FALSE)</f>
      </c>
      <c r="O1393" s="74">
        <f t="shared" ca="1" si="313"/>
      </c>
      <c r="P1393" s="74">
        <f t="shared" ca="1" si="314"/>
      </c>
      <c r="Q1393" s="74">
        <f t="shared" ca="1" si="315"/>
      </c>
      <c r="R1393" s="74">
        <f t="shared" si="316"/>
      </c>
      <c r="S1393" s="74">
        <f t="shared" ca="1" si="317"/>
      </c>
      <c r="T1393" s="74">
        <f t="shared" si="318"/>
      </c>
    </row>
    <row r="1394" spans="2:20" x14ac:dyDescent="0.3">
      <c r="B1394" s="74">
        <f t="shared" ca="1" si="308"/>
      </c>
      <c r="C1394" s="78">
        <f>Кабельный_журнал!P1360</f>
      </c>
      <c r="D1394" s="74">
        <f t="shared" ca="1" si="309"/>
      </c>
      <c r="E1394" s="80" t="s">
        <v>279</v>
      </c>
      <c r="F1394" s="74">
        <f t="shared" ca="1" si="305"/>
      </c>
      <c r="G1394" s="74">
        <f t="shared" si="306"/>
      </c>
      <c r="H1394" s="80" t="s">
        <v>272</v>
      </c>
      <c r="I1394" s="74">
        <f t="shared" si="307"/>
      </c>
      <c r="J1394" s="74">
        <f t="shared" si="310"/>
      </c>
      <c r="K1394" s="80" t="s">
        <v>280</v>
      </c>
      <c r="L1394" s="74">
        <f t="shared" si="311"/>
      </c>
      <c r="M1394" s="74">
        <f t="shared" ca="1" si="312"/>
      </c>
      <c r="N1394" s="74">
        <f ca="1">VLOOKUP(B1394,$C$7:$T1392,13,FALSE)</f>
      </c>
      <c r="O1394" s="74">
        <f t="shared" ca="1" si="313"/>
      </c>
      <c r="P1394" s="74">
        <f t="shared" ca="1" si="314"/>
      </c>
      <c r="Q1394" s="74">
        <f t="shared" ca="1" si="315"/>
      </c>
      <c r="R1394" s="74">
        <f t="shared" si="316"/>
      </c>
      <c r="S1394" s="74">
        <f t="shared" ca="1" si="317"/>
      </c>
      <c r="T1394" s="74">
        <f t="shared" si="318"/>
      </c>
    </row>
    <row r="1395" spans="2:20" x14ac:dyDescent="0.3">
      <c r="B1395" s="74">
        <f t="shared" ca="1" si="308"/>
      </c>
      <c r="C1395" s="78">
        <f>Кабельный_журнал!P1361</f>
      </c>
      <c r="D1395" s="74">
        <f t="shared" ca="1" si="309"/>
      </c>
      <c r="E1395" s="80" t="s">
        <v>279</v>
      </c>
      <c r="F1395" s="74">
        <f t="shared" ca="1" si="305"/>
      </c>
      <c r="G1395" s="74">
        <f t="shared" si="306"/>
      </c>
      <c r="H1395" s="80" t="s">
        <v>272</v>
      </c>
      <c r="I1395" s="74">
        <f t="shared" si="307"/>
      </c>
      <c r="J1395" s="74">
        <f t="shared" si="310"/>
      </c>
      <c r="K1395" s="80" t="s">
        <v>280</v>
      </c>
      <c r="L1395" s="74">
        <f t="shared" si="311"/>
      </c>
      <c r="M1395" s="74">
        <f t="shared" ca="1" si="312"/>
      </c>
      <c r="N1395" s="74">
        <f ca="1">VLOOKUP(B1395,$C$7:$T1393,13,FALSE)</f>
      </c>
      <c r="O1395" s="74">
        <f t="shared" ca="1" si="313"/>
      </c>
      <c r="P1395" s="74">
        <f t="shared" ca="1" si="314"/>
      </c>
      <c r="Q1395" s="74">
        <f t="shared" ca="1" si="315"/>
      </c>
      <c r="R1395" s="74">
        <f t="shared" si="316"/>
      </c>
      <c r="S1395" s="74">
        <f t="shared" ca="1" si="317"/>
      </c>
      <c r="T1395" s="74">
        <f t="shared" si="318"/>
      </c>
    </row>
    <row r="1396" spans="2:20" x14ac:dyDescent="0.3">
      <c r="B1396" s="74">
        <f t="shared" ca="1" si="308"/>
      </c>
      <c r="C1396" s="78">
        <f>Кабельный_журнал!P1362</f>
      </c>
      <c r="D1396" s="74">
        <f t="shared" ca="1" si="309"/>
      </c>
      <c r="E1396" s="80" t="s">
        <v>279</v>
      </c>
      <c r="F1396" s="74">
        <f t="shared" ca="1" si="305"/>
      </c>
      <c r="G1396" s="74">
        <f t="shared" si="306"/>
      </c>
      <c r="H1396" s="80" t="s">
        <v>272</v>
      </c>
      <c r="I1396" s="74">
        <f t="shared" si="307"/>
      </c>
      <c r="J1396" s="74">
        <f t="shared" si="310"/>
      </c>
      <c r="K1396" s="80" t="s">
        <v>280</v>
      </c>
      <c r="L1396" s="74">
        <f t="shared" si="311"/>
      </c>
      <c r="M1396" s="74">
        <f t="shared" ca="1" si="312"/>
      </c>
      <c r="N1396" s="74">
        <f ca="1">VLOOKUP(B1396,$C$7:$T1394,13,FALSE)</f>
      </c>
      <c r="O1396" s="74">
        <f t="shared" ca="1" si="313"/>
      </c>
      <c r="P1396" s="74">
        <f t="shared" ca="1" si="314"/>
      </c>
      <c r="Q1396" s="74">
        <f t="shared" ca="1" si="315"/>
      </c>
      <c r="R1396" s="74">
        <f t="shared" si="316"/>
      </c>
      <c r="S1396" s="74">
        <f t="shared" ca="1" si="317"/>
      </c>
      <c r="T1396" s="74">
        <f t="shared" si="318"/>
      </c>
    </row>
    <row r="1397" spans="2:20" x14ac:dyDescent="0.3">
      <c r="B1397" s="74">
        <f t="shared" ca="1" si="308"/>
      </c>
      <c r="C1397" s="78">
        <f>Кабельный_журнал!P1363</f>
      </c>
      <c r="D1397" s="74">
        <f t="shared" ca="1" si="309"/>
      </c>
      <c r="E1397" s="80" t="s">
        <v>279</v>
      </c>
      <c r="F1397" s="74">
        <f t="shared" ca="1" si="305"/>
      </c>
      <c r="G1397" s="74">
        <f t="shared" si="306"/>
      </c>
      <c r="H1397" s="80" t="s">
        <v>272</v>
      </c>
      <c r="I1397" s="74">
        <f t="shared" si="307"/>
      </c>
      <c r="J1397" s="74">
        <f t="shared" si="310"/>
      </c>
      <c r="K1397" s="80" t="s">
        <v>280</v>
      </c>
      <c r="L1397" s="74">
        <f t="shared" si="311"/>
      </c>
      <c r="M1397" s="74">
        <f t="shared" ca="1" si="312"/>
      </c>
      <c r="N1397" s="74">
        <f ca="1">VLOOKUP(B1397,$C$7:$T1395,13,FALSE)</f>
      </c>
      <c r="O1397" s="74">
        <f t="shared" ca="1" si="313"/>
      </c>
      <c r="P1397" s="74">
        <f t="shared" ca="1" si="314"/>
      </c>
      <c r="Q1397" s="74">
        <f t="shared" ca="1" si="315"/>
      </c>
      <c r="R1397" s="74">
        <f t="shared" si="316"/>
      </c>
      <c r="S1397" s="74">
        <f t="shared" ca="1" si="317"/>
      </c>
      <c r="T1397" s="74">
        <f t="shared" si="318"/>
      </c>
    </row>
    <row r="1398" spans="2:20" x14ac:dyDescent="0.3">
      <c r="B1398" s="74">
        <f t="shared" ca="1" si="308"/>
      </c>
      <c r="C1398" s="78">
        <f>Кабельный_журнал!P1364</f>
      </c>
      <c r="D1398" s="74">
        <f t="shared" ca="1" si="309"/>
      </c>
      <c r="E1398" s="80" t="s">
        <v>279</v>
      </c>
      <c r="F1398" s="74">
        <f t="shared" ca="1" si="305"/>
      </c>
      <c r="G1398" s="74">
        <f t="shared" si="306"/>
      </c>
      <c r="H1398" s="80" t="s">
        <v>272</v>
      </c>
      <c r="I1398" s="74">
        <f t="shared" si="307"/>
      </c>
      <c r="J1398" s="74">
        <f t="shared" si="310"/>
      </c>
      <c r="K1398" s="80" t="s">
        <v>280</v>
      </c>
      <c r="L1398" s="74">
        <f t="shared" si="311"/>
      </c>
      <c r="M1398" s="74">
        <f t="shared" ca="1" si="312"/>
      </c>
      <c r="N1398" s="74">
        <f ca="1">VLOOKUP(B1398,$C$7:$T1396,13,FALSE)</f>
      </c>
      <c r="O1398" s="74">
        <f t="shared" ca="1" si="313"/>
      </c>
      <c r="P1398" s="74">
        <f t="shared" ca="1" si="314"/>
      </c>
      <c r="Q1398" s="74">
        <f t="shared" ca="1" si="315"/>
      </c>
      <c r="R1398" s="74">
        <f t="shared" si="316"/>
      </c>
      <c r="S1398" s="74">
        <f t="shared" ca="1" si="317"/>
      </c>
      <c r="T1398" s="74">
        <f t="shared" si="318"/>
      </c>
    </row>
    <row r="1399" spans="2:20" x14ac:dyDescent="0.3">
      <c r="B1399" s="74">
        <f t="shared" ca="1" si="308"/>
      </c>
      <c r="C1399" s="78">
        <f>Кабельный_журнал!P1365</f>
      </c>
      <c r="D1399" s="74">
        <f t="shared" ca="1" si="309"/>
      </c>
      <c r="E1399" s="80" t="s">
        <v>279</v>
      </c>
      <c r="F1399" s="74">
        <f t="shared" ca="1" si="305"/>
      </c>
      <c r="G1399" s="74">
        <f t="shared" si="306"/>
      </c>
      <c r="H1399" s="80" t="s">
        <v>272</v>
      </c>
      <c r="I1399" s="74">
        <f t="shared" si="307"/>
      </c>
      <c r="J1399" s="74">
        <f t="shared" si="310"/>
      </c>
      <c r="K1399" s="80" t="s">
        <v>280</v>
      </c>
      <c r="L1399" s="74">
        <f t="shared" si="311"/>
      </c>
      <c r="M1399" s="74">
        <f t="shared" ca="1" si="312"/>
      </c>
      <c r="N1399" s="74">
        <f ca="1">VLOOKUP(B1399,$C$7:$T1397,13,FALSE)</f>
      </c>
      <c r="O1399" s="74">
        <f t="shared" ca="1" si="313"/>
      </c>
      <c r="P1399" s="74">
        <f t="shared" ca="1" si="314"/>
      </c>
      <c r="Q1399" s="74">
        <f t="shared" ca="1" si="315"/>
      </c>
      <c r="R1399" s="74">
        <f t="shared" si="316"/>
      </c>
      <c r="S1399" s="74">
        <f t="shared" ca="1" si="317"/>
      </c>
      <c r="T1399" s="74">
        <f t="shared" si="318"/>
      </c>
    </row>
    <row r="1400" spans="2:20" x14ac:dyDescent="0.3">
      <c r="B1400" s="74">
        <f t="shared" ca="1" si="308"/>
      </c>
      <c r="C1400" s="78">
        <f>Кабельный_журнал!P1366</f>
      </c>
      <c r="D1400" s="74">
        <f t="shared" ca="1" si="309"/>
      </c>
      <c r="E1400" s="80" t="s">
        <v>279</v>
      </c>
      <c r="F1400" s="74">
        <f t="shared" ca="1" si="305"/>
      </c>
      <c r="G1400" s="74">
        <f t="shared" si="306"/>
      </c>
      <c r="H1400" s="80" t="s">
        <v>272</v>
      </c>
      <c r="I1400" s="74">
        <f t="shared" si="307"/>
      </c>
      <c r="J1400" s="74">
        <f t="shared" si="310"/>
      </c>
      <c r="K1400" s="80" t="s">
        <v>280</v>
      </c>
      <c r="L1400" s="74">
        <f t="shared" si="311"/>
      </c>
      <c r="M1400" s="74">
        <f t="shared" ca="1" si="312"/>
      </c>
      <c r="N1400" s="74">
        <f ca="1">VLOOKUP(B1400,$C$7:$T1398,13,FALSE)</f>
      </c>
      <c r="O1400" s="74">
        <f t="shared" ca="1" si="313"/>
      </c>
      <c r="P1400" s="74">
        <f t="shared" ca="1" si="314"/>
      </c>
      <c r="Q1400" s="74">
        <f t="shared" ca="1" si="315"/>
      </c>
      <c r="R1400" s="74">
        <f t="shared" si="316"/>
      </c>
      <c r="S1400" s="74">
        <f t="shared" ca="1" si="317"/>
      </c>
      <c r="T1400" s="74">
        <f t="shared" si="318"/>
      </c>
    </row>
    <row r="1401" spans="2:20" x14ac:dyDescent="0.3">
      <c r="B1401" s="74">
        <f t="shared" ca="1" si="308"/>
      </c>
      <c r="C1401" s="78">
        <f>Кабельный_журнал!P1367</f>
      </c>
      <c r="D1401" s="74">
        <f t="shared" ca="1" si="309"/>
      </c>
      <c r="E1401" s="80" t="s">
        <v>279</v>
      </c>
      <c r="F1401" s="74">
        <f t="shared" ca="1" si="305"/>
      </c>
      <c r="G1401" s="74">
        <f t="shared" si="306"/>
      </c>
      <c r="H1401" s="80" t="s">
        <v>272</v>
      </c>
      <c r="I1401" s="74">
        <f t="shared" si="307"/>
      </c>
      <c r="J1401" s="74">
        <f t="shared" si="310"/>
      </c>
      <c r="K1401" s="80" t="s">
        <v>280</v>
      </c>
      <c r="L1401" s="74">
        <f t="shared" si="311"/>
      </c>
      <c r="M1401" s="74">
        <f t="shared" ca="1" si="312"/>
      </c>
      <c r="N1401" s="74">
        <f ca="1">VLOOKUP(B1401,$C$7:$T1399,13,FALSE)</f>
      </c>
      <c r="O1401" s="74">
        <f t="shared" ca="1" si="313"/>
      </c>
      <c r="P1401" s="74">
        <f t="shared" ca="1" si="314"/>
      </c>
      <c r="Q1401" s="74">
        <f t="shared" ca="1" si="315"/>
      </c>
      <c r="R1401" s="74">
        <f t="shared" si="316"/>
      </c>
      <c r="S1401" s="74">
        <f t="shared" ca="1" si="317"/>
      </c>
      <c r="T1401" s="74">
        <f t="shared" si="318"/>
      </c>
    </row>
    <row r="1402" spans="2:20" x14ac:dyDescent="0.3">
      <c r="B1402" s="74">
        <f t="shared" ca="1" si="308"/>
      </c>
      <c r="C1402" s="78">
        <f>Кабельный_журнал!P1368</f>
      </c>
      <c r="D1402" s="74">
        <f t="shared" ca="1" si="309"/>
      </c>
      <c r="E1402" s="80" t="s">
        <v>279</v>
      </c>
      <c r="F1402" s="74">
        <f t="shared" ca="1" si="305"/>
      </c>
      <c r="G1402" s="74">
        <f t="shared" si="306"/>
      </c>
      <c r="H1402" s="80" t="s">
        <v>272</v>
      </c>
      <c r="I1402" s="74">
        <f t="shared" si="307"/>
      </c>
      <c r="J1402" s="74">
        <f t="shared" si="310"/>
      </c>
      <c r="K1402" s="80" t="s">
        <v>280</v>
      </c>
      <c r="L1402" s="74">
        <f t="shared" si="311"/>
      </c>
      <c r="M1402" s="74">
        <f t="shared" ca="1" si="312"/>
      </c>
      <c r="N1402" s="74">
        <f ca="1">VLOOKUP(B1402,$C$7:$T1400,13,FALSE)</f>
      </c>
      <c r="O1402" s="74">
        <f t="shared" ca="1" si="313"/>
      </c>
      <c r="P1402" s="74">
        <f t="shared" ca="1" si="314"/>
      </c>
      <c r="Q1402" s="74">
        <f t="shared" ca="1" si="315"/>
      </c>
      <c r="R1402" s="74">
        <f t="shared" si="316"/>
      </c>
      <c r="S1402" s="74">
        <f t="shared" ca="1" si="317"/>
      </c>
      <c r="T1402" s="74">
        <f t="shared" si="318"/>
      </c>
    </row>
    <row r="1403" spans="2:20" x14ac:dyDescent="0.3">
      <c r="B1403" s="74">
        <f t="shared" ca="1" si="308"/>
      </c>
      <c r="C1403" s="78">
        <f>Кабельный_журнал!P1369</f>
      </c>
      <c r="D1403" s="74">
        <f t="shared" ca="1" si="309"/>
      </c>
      <c r="E1403" s="80" t="s">
        <v>279</v>
      </c>
      <c r="F1403" s="74">
        <f t="shared" ca="1" si="305"/>
      </c>
      <c r="G1403" s="74">
        <f t="shared" si="306"/>
      </c>
      <c r="H1403" s="80" t="s">
        <v>272</v>
      </c>
      <c r="I1403" s="74">
        <f t="shared" si="307"/>
      </c>
      <c r="J1403" s="74">
        <f t="shared" si="310"/>
      </c>
      <c r="K1403" s="80" t="s">
        <v>280</v>
      </c>
      <c r="L1403" s="74">
        <f t="shared" si="311"/>
      </c>
      <c r="M1403" s="74">
        <f t="shared" ca="1" si="312"/>
      </c>
      <c r="N1403" s="74">
        <f ca="1">VLOOKUP(B1403,$C$7:$T1401,13,FALSE)</f>
      </c>
      <c r="O1403" s="74">
        <f t="shared" ca="1" si="313"/>
      </c>
      <c r="P1403" s="74">
        <f t="shared" ca="1" si="314"/>
      </c>
      <c r="Q1403" s="74">
        <f t="shared" ca="1" si="315"/>
      </c>
      <c r="R1403" s="74">
        <f t="shared" si="316"/>
      </c>
      <c r="S1403" s="74">
        <f t="shared" ca="1" si="317"/>
      </c>
      <c r="T1403" s="74">
        <f t="shared" si="318"/>
      </c>
    </row>
    <row r="1404" spans="2:20" x14ac:dyDescent="0.3">
      <c r="B1404" s="74">
        <f t="shared" ca="1" si="308"/>
      </c>
      <c r="C1404" s="78">
        <f>Кабельный_журнал!P1370</f>
      </c>
      <c r="D1404" s="74">
        <f t="shared" ca="1" si="309"/>
      </c>
      <c r="E1404" s="80" t="s">
        <v>279</v>
      </c>
      <c r="F1404" s="74">
        <f t="shared" ca="1" si="305"/>
      </c>
      <c r="G1404" s="74">
        <f t="shared" si="306"/>
      </c>
      <c r="H1404" s="80" t="s">
        <v>272</v>
      </c>
      <c r="I1404" s="74">
        <f t="shared" si="307"/>
      </c>
      <c r="J1404" s="74">
        <f t="shared" si="310"/>
      </c>
      <c r="K1404" s="80" t="s">
        <v>280</v>
      </c>
      <c r="L1404" s="74">
        <f t="shared" si="311"/>
      </c>
      <c r="M1404" s="74">
        <f t="shared" ca="1" si="312"/>
      </c>
      <c r="N1404" s="74">
        <f ca="1">VLOOKUP(B1404,$C$7:$T1402,13,FALSE)</f>
      </c>
      <c r="O1404" s="74">
        <f t="shared" ca="1" si="313"/>
      </c>
      <c r="P1404" s="74">
        <f t="shared" ca="1" si="314"/>
      </c>
      <c r="Q1404" s="74">
        <f t="shared" ca="1" si="315"/>
      </c>
      <c r="R1404" s="74">
        <f t="shared" si="316"/>
      </c>
      <c r="S1404" s="74">
        <f t="shared" ca="1" si="317"/>
      </c>
      <c r="T1404" s="74">
        <f t="shared" si="318"/>
      </c>
    </row>
    <row r="1405" spans="2:20" x14ac:dyDescent="0.3">
      <c r="B1405" s="74">
        <f t="shared" ca="1" si="308"/>
      </c>
      <c r="C1405" s="78">
        <f>Кабельный_журнал!P1371</f>
      </c>
      <c r="D1405" s="74">
        <f t="shared" ca="1" si="309"/>
      </c>
      <c r="E1405" s="80" t="s">
        <v>279</v>
      </c>
      <c r="F1405" s="74">
        <f t="shared" ca="1" si="305"/>
      </c>
      <c r="G1405" s="74">
        <f t="shared" si="306"/>
      </c>
      <c r="H1405" s="80" t="s">
        <v>272</v>
      </c>
      <c r="I1405" s="74">
        <f t="shared" si="307"/>
      </c>
      <c r="J1405" s="74">
        <f t="shared" si="310"/>
      </c>
      <c r="K1405" s="80" t="s">
        <v>280</v>
      </c>
      <c r="L1405" s="74">
        <f t="shared" si="311"/>
      </c>
      <c r="M1405" s="74">
        <f t="shared" ca="1" si="312"/>
      </c>
      <c r="N1405" s="74">
        <f ca="1">VLOOKUP(B1405,$C$7:$T1403,13,FALSE)</f>
      </c>
      <c r="O1405" s="74">
        <f t="shared" ca="1" si="313"/>
      </c>
      <c r="P1405" s="74">
        <f t="shared" ca="1" si="314"/>
      </c>
      <c r="Q1405" s="74">
        <f t="shared" ca="1" si="315"/>
      </c>
      <c r="R1405" s="74">
        <f t="shared" si="316"/>
      </c>
      <c r="S1405" s="74">
        <f t="shared" ca="1" si="317"/>
      </c>
      <c r="T1405" s="74">
        <f t="shared" si="318"/>
      </c>
    </row>
    <row r="1406" spans="2:20" x14ac:dyDescent="0.3">
      <c r="B1406" s="74">
        <f t="shared" ca="1" si="308"/>
      </c>
      <c r="C1406" s="78">
        <f>Кабельный_журнал!P1372</f>
      </c>
      <c r="D1406" s="74">
        <f t="shared" ca="1" si="309"/>
      </c>
      <c r="E1406" s="80" t="s">
        <v>279</v>
      </c>
      <c r="F1406" s="74">
        <f t="shared" ca="1" si="305"/>
      </c>
      <c r="G1406" s="74">
        <f t="shared" si="306"/>
      </c>
      <c r="H1406" s="80" t="s">
        <v>272</v>
      </c>
      <c r="I1406" s="74">
        <f t="shared" si="307"/>
      </c>
      <c r="J1406" s="74">
        <f t="shared" si="310"/>
      </c>
      <c r="K1406" s="80" t="s">
        <v>280</v>
      </c>
      <c r="L1406" s="74">
        <f t="shared" si="311"/>
      </c>
      <c r="M1406" s="74">
        <f t="shared" ca="1" si="312"/>
      </c>
      <c r="N1406" s="74">
        <f ca="1">VLOOKUP(B1406,$C$7:$T1404,13,FALSE)</f>
      </c>
      <c r="O1406" s="74">
        <f t="shared" ca="1" si="313"/>
      </c>
      <c r="P1406" s="74">
        <f t="shared" ca="1" si="314"/>
      </c>
      <c r="Q1406" s="74">
        <f t="shared" ca="1" si="315"/>
      </c>
      <c r="R1406" s="74">
        <f t="shared" si="316"/>
      </c>
      <c r="S1406" s="74">
        <f t="shared" ca="1" si="317"/>
      </c>
      <c r="T1406" s="74">
        <f t="shared" si="318"/>
      </c>
    </row>
    <row r="1407" spans="2:20" x14ac:dyDescent="0.3">
      <c r="B1407" s="74">
        <f t="shared" ca="1" si="308"/>
      </c>
      <c r="C1407" s="78">
        <f>Кабельный_журнал!P1373</f>
      </c>
      <c r="D1407" s="74">
        <f t="shared" ca="1" si="309"/>
      </c>
      <c r="E1407" s="80" t="s">
        <v>279</v>
      </c>
      <c r="F1407" s="74">
        <f t="shared" ca="1" si="305"/>
      </c>
      <c r="G1407" s="74">
        <f t="shared" si="306"/>
      </c>
      <c r="H1407" s="80" t="s">
        <v>272</v>
      </c>
      <c r="I1407" s="74">
        <f t="shared" si="307"/>
      </c>
      <c r="J1407" s="74">
        <f t="shared" si="310"/>
      </c>
      <c r="K1407" s="80" t="s">
        <v>280</v>
      </c>
      <c r="L1407" s="74">
        <f t="shared" si="311"/>
      </c>
      <c r="M1407" s="74">
        <f t="shared" ca="1" si="312"/>
      </c>
      <c r="N1407" s="74">
        <f ca="1">VLOOKUP(B1407,$C$7:$T1405,13,FALSE)</f>
      </c>
      <c r="O1407" s="74">
        <f t="shared" ca="1" si="313"/>
      </c>
      <c r="P1407" s="74">
        <f t="shared" ca="1" si="314"/>
      </c>
      <c r="Q1407" s="74">
        <f t="shared" ca="1" si="315"/>
      </c>
      <c r="R1407" s="74">
        <f t="shared" si="316"/>
      </c>
      <c r="S1407" s="74">
        <f t="shared" ca="1" si="317"/>
      </c>
      <c r="T1407" s="74">
        <f t="shared" si="318"/>
      </c>
    </row>
    <row r="1408" spans="2:20" x14ac:dyDescent="0.3">
      <c r="B1408" s="74">
        <f t="shared" ca="1" si="308"/>
      </c>
      <c r="C1408" s="78">
        <f>Кабельный_журнал!P1374</f>
      </c>
      <c r="D1408" s="74">
        <f t="shared" ca="1" si="309"/>
      </c>
      <c r="E1408" s="80" t="s">
        <v>279</v>
      </c>
      <c r="F1408" s="74">
        <f t="shared" ca="1" si="305"/>
      </c>
      <c r="G1408" s="74">
        <f t="shared" si="306"/>
      </c>
      <c r="H1408" s="80" t="s">
        <v>272</v>
      </c>
      <c r="I1408" s="74">
        <f t="shared" si="307"/>
      </c>
      <c r="J1408" s="74">
        <f t="shared" si="310"/>
      </c>
      <c r="K1408" s="80" t="s">
        <v>280</v>
      </c>
      <c r="L1408" s="74">
        <f t="shared" si="311"/>
      </c>
      <c r="M1408" s="74">
        <f t="shared" ca="1" si="312"/>
      </c>
      <c r="N1408" s="74">
        <f ca="1">VLOOKUP(B1408,$C$7:$T1406,13,FALSE)</f>
      </c>
      <c r="O1408" s="74">
        <f t="shared" ca="1" si="313"/>
      </c>
      <c r="P1408" s="74">
        <f t="shared" ca="1" si="314"/>
      </c>
      <c r="Q1408" s="74">
        <f t="shared" ca="1" si="315"/>
      </c>
      <c r="R1408" s="74">
        <f t="shared" si="316"/>
      </c>
      <c r="S1408" s="74">
        <f t="shared" ca="1" si="317"/>
      </c>
      <c r="T1408" s="74">
        <f t="shared" si="318"/>
      </c>
    </row>
    <row r="1409" spans="2:20" x14ac:dyDescent="0.3">
      <c r="B1409" s="74">
        <f t="shared" ca="1" si="308"/>
      </c>
      <c r="C1409" s="78">
        <f>Кабельный_журнал!P1375</f>
      </c>
      <c r="D1409" s="74">
        <f t="shared" ca="1" si="309"/>
      </c>
      <c r="E1409" s="80" t="s">
        <v>279</v>
      </c>
      <c r="F1409" s="74">
        <f t="shared" ca="1" si="305"/>
      </c>
      <c r="G1409" s="74">
        <f t="shared" si="306"/>
      </c>
      <c r="H1409" s="80" t="s">
        <v>272</v>
      </c>
      <c r="I1409" s="74">
        <f t="shared" si="307"/>
      </c>
      <c r="J1409" s="74">
        <f t="shared" si="310"/>
      </c>
      <c r="K1409" s="80" t="s">
        <v>280</v>
      </c>
      <c r="L1409" s="74">
        <f t="shared" si="311"/>
      </c>
      <c r="M1409" s="74">
        <f t="shared" ca="1" si="312"/>
      </c>
      <c r="N1409" s="74">
        <f ca="1">VLOOKUP(B1409,$C$7:$T1407,13,FALSE)</f>
      </c>
      <c r="O1409" s="74">
        <f t="shared" ca="1" si="313"/>
      </c>
      <c r="P1409" s="74">
        <f t="shared" ca="1" si="314"/>
      </c>
      <c r="Q1409" s="74">
        <f t="shared" ca="1" si="315"/>
      </c>
      <c r="R1409" s="74">
        <f t="shared" si="316"/>
      </c>
      <c r="S1409" s="74">
        <f t="shared" ca="1" si="317"/>
      </c>
      <c r="T1409" s="74">
        <f t="shared" si="318"/>
      </c>
    </row>
    <row r="1410" spans="2:20" x14ac:dyDescent="0.3">
      <c r="B1410" s="74">
        <f t="shared" ca="1" si="308"/>
      </c>
      <c r="C1410" s="78">
        <f>Кабельный_журнал!P1376</f>
      </c>
      <c r="D1410" s="74">
        <f t="shared" ca="1" si="309"/>
      </c>
      <c r="E1410" s="80" t="s">
        <v>279</v>
      </c>
      <c r="F1410" s="74">
        <f t="shared" ca="1" si="305"/>
      </c>
      <c r="G1410" s="74">
        <f t="shared" si="306"/>
      </c>
      <c r="H1410" s="80" t="s">
        <v>272</v>
      </c>
      <c r="I1410" s="74">
        <f t="shared" si="307"/>
      </c>
      <c r="J1410" s="74">
        <f t="shared" si="310"/>
      </c>
      <c r="K1410" s="80" t="s">
        <v>280</v>
      </c>
      <c r="L1410" s="74">
        <f t="shared" si="311"/>
      </c>
      <c r="M1410" s="74">
        <f t="shared" ca="1" si="312"/>
      </c>
      <c r="N1410" s="74">
        <f ca="1">VLOOKUP(B1410,$C$7:$T1408,13,FALSE)</f>
      </c>
      <c r="O1410" s="74">
        <f t="shared" ca="1" si="313"/>
      </c>
      <c r="P1410" s="74">
        <f t="shared" ca="1" si="314"/>
      </c>
      <c r="Q1410" s="74">
        <f t="shared" ca="1" si="315"/>
      </c>
      <c r="R1410" s="74">
        <f t="shared" si="316"/>
      </c>
      <c r="S1410" s="74">
        <f t="shared" ca="1" si="317"/>
      </c>
      <c r="T1410" s="74">
        <f t="shared" si="318"/>
      </c>
    </row>
    <row r="1411" spans="2:20" x14ac:dyDescent="0.3">
      <c r="B1411" s="74">
        <f t="shared" ca="1" si="308"/>
      </c>
      <c r="C1411" s="78">
        <f>Кабельный_журнал!P1377</f>
      </c>
      <c r="D1411" s="74">
        <f t="shared" ca="1" si="309"/>
      </c>
      <c r="E1411" s="80" t="s">
        <v>279</v>
      </c>
      <c r="F1411" s="74">
        <f t="shared" ca="1" si="305"/>
      </c>
      <c r="G1411" s="74">
        <f t="shared" si="306"/>
      </c>
      <c r="H1411" s="80" t="s">
        <v>272</v>
      </c>
      <c r="I1411" s="74">
        <f t="shared" si="307"/>
      </c>
      <c r="J1411" s="74">
        <f t="shared" si="310"/>
      </c>
      <c r="K1411" s="80" t="s">
        <v>280</v>
      </c>
      <c r="L1411" s="74">
        <f t="shared" si="311"/>
      </c>
      <c r="M1411" s="74">
        <f t="shared" ca="1" si="312"/>
      </c>
      <c r="N1411" s="74">
        <f ca="1">VLOOKUP(B1411,$C$7:$T1409,13,FALSE)</f>
      </c>
      <c r="O1411" s="74">
        <f t="shared" ca="1" si="313"/>
      </c>
      <c r="P1411" s="74">
        <f t="shared" ca="1" si="314"/>
      </c>
      <c r="Q1411" s="74">
        <f t="shared" ca="1" si="315"/>
      </c>
      <c r="R1411" s="74">
        <f t="shared" si="316"/>
      </c>
      <c r="S1411" s="74">
        <f t="shared" ca="1" si="317"/>
      </c>
      <c r="T1411" s="74">
        <f t="shared" si="318"/>
      </c>
    </row>
    <row r="1412" spans="2:20" x14ac:dyDescent="0.3">
      <c r="B1412" s="74">
        <f t="shared" ca="1" si="308"/>
      </c>
      <c r="C1412" s="78">
        <f>Кабельный_журнал!P1378</f>
      </c>
      <c r="D1412" s="74">
        <f t="shared" ca="1" si="309"/>
      </c>
      <c r="E1412" s="80" t="s">
        <v>279</v>
      </c>
      <c r="F1412" s="74">
        <f t="shared" ca="1" si="305"/>
      </c>
      <c r="G1412" s="74">
        <f t="shared" si="306"/>
      </c>
      <c r="H1412" s="80" t="s">
        <v>272</v>
      </c>
      <c r="I1412" s="74">
        <f t="shared" si="307"/>
      </c>
      <c r="J1412" s="74">
        <f t="shared" si="310"/>
      </c>
      <c r="K1412" s="80" t="s">
        <v>280</v>
      </c>
      <c r="L1412" s="74">
        <f t="shared" si="311"/>
      </c>
      <c r="M1412" s="74">
        <f t="shared" ca="1" si="312"/>
      </c>
      <c r="N1412" s="74">
        <f ca="1">VLOOKUP(B1412,$C$7:$T1410,13,FALSE)</f>
      </c>
      <c r="O1412" s="74">
        <f t="shared" ca="1" si="313"/>
      </c>
      <c r="P1412" s="74">
        <f t="shared" ca="1" si="314"/>
      </c>
      <c r="Q1412" s="74">
        <f t="shared" ca="1" si="315"/>
      </c>
      <c r="R1412" s="74">
        <f t="shared" si="316"/>
      </c>
      <c r="S1412" s="74">
        <f t="shared" ca="1" si="317"/>
      </c>
      <c r="T1412" s="74">
        <f t="shared" si="318"/>
      </c>
    </row>
    <row r="1413" spans="2:20" x14ac:dyDescent="0.3">
      <c r="B1413" s="74">
        <f t="shared" ca="1" si="308"/>
      </c>
      <c r="C1413" s="78">
        <f>Кабельный_журнал!P1379</f>
      </c>
      <c r="D1413" s="74">
        <f t="shared" ca="1" si="309"/>
      </c>
      <c r="E1413" s="80" t="s">
        <v>279</v>
      </c>
      <c r="F1413" s="74">
        <f t="shared" ca="1" si="305"/>
      </c>
      <c r="G1413" s="74">
        <f t="shared" si="306"/>
      </c>
      <c r="H1413" s="80" t="s">
        <v>272</v>
      </c>
      <c r="I1413" s="74">
        <f t="shared" si="307"/>
      </c>
      <c r="J1413" s="74">
        <f t="shared" si="310"/>
      </c>
      <c r="K1413" s="80" t="s">
        <v>280</v>
      </c>
      <c r="L1413" s="74">
        <f t="shared" si="311"/>
      </c>
      <c r="M1413" s="74">
        <f t="shared" ca="1" si="312"/>
      </c>
      <c r="N1413" s="74">
        <f ca="1">VLOOKUP(B1413,$C$7:$T1411,13,FALSE)</f>
      </c>
      <c r="O1413" s="74">
        <f t="shared" ca="1" si="313"/>
      </c>
      <c r="P1413" s="74">
        <f t="shared" ca="1" si="314"/>
      </c>
      <c r="Q1413" s="74">
        <f t="shared" ca="1" si="315"/>
      </c>
      <c r="R1413" s="74">
        <f t="shared" si="316"/>
      </c>
      <c r="S1413" s="74">
        <f t="shared" ca="1" si="317"/>
      </c>
      <c r="T1413" s="74">
        <f t="shared" si="318"/>
      </c>
    </row>
    <row r="1414" spans="2:20" x14ac:dyDescent="0.3">
      <c r="B1414" s="74">
        <f t="shared" ca="1" si="308"/>
      </c>
      <c r="C1414" s="78">
        <f>Кабельный_журнал!P1380</f>
      </c>
      <c r="D1414" s="74">
        <f t="shared" ca="1" si="309"/>
      </c>
      <c r="E1414" s="80" t="s">
        <v>279</v>
      </c>
      <c r="F1414" s="74">
        <f t="shared" ca="1" si="305"/>
      </c>
      <c r="G1414" s="74">
        <f t="shared" si="306"/>
      </c>
      <c r="H1414" s="80" t="s">
        <v>272</v>
      </c>
      <c r="I1414" s="74">
        <f t="shared" si="307"/>
      </c>
      <c r="J1414" s="74">
        <f t="shared" si="310"/>
      </c>
      <c r="K1414" s="80" t="s">
        <v>280</v>
      </c>
      <c r="L1414" s="74">
        <f t="shared" si="311"/>
      </c>
      <c r="M1414" s="74">
        <f t="shared" ca="1" si="312"/>
      </c>
      <c r="N1414" s="74">
        <f ca="1">VLOOKUP(B1414,$C$7:$T1412,13,FALSE)</f>
      </c>
      <c r="O1414" s="74">
        <f t="shared" ca="1" si="313"/>
      </c>
      <c r="P1414" s="74">
        <f t="shared" ca="1" si="314"/>
      </c>
      <c r="Q1414" s="74">
        <f t="shared" ca="1" si="315"/>
      </c>
      <c r="R1414" s="74">
        <f t="shared" si="316"/>
      </c>
      <c r="S1414" s="74">
        <f t="shared" ca="1" si="317"/>
      </c>
      <c r="T1414" s="74">
        <f t="shared" si="318"/>
      </c>
    </row>
    <row r="1415" spans="2:20" x14ac:dyDescent="0.3">
      <c r="B1415" s="74">
        <f t="shared" ca="1" si="308"/>
      </c>
      <c r="C1415" s="78">
        <f>Кабельный_журнал!P1381</f>
      </c>
      <c r="D1415" s="74">
        <f t="shared" ca="1" si="309"/>
      </c>
      <c r="E1415" s="80" t="s">
        <v>279</v>
      </c>
      <c r="F1415" s="74">
        <f t="shared" ca="1" si="305"/>
      </c>
      <c r="G1415" s="74">
        <f t="shared" si="306"/>
      </c>
      <c r="H1415" s="80" t="s">
        <v>272</v>
      </c>
      <c r="I1415" s="74">
        <f t="shared" si="307"/>
      </c>
      <c r="J1415" s="74">
        <f t="shared" si="310"/>
      </c>
      <c r="K1415" s="80" t="s">
        <v>280</v>
      </c>
      <c r="L1415" s="74">
        <f t="shared" si="311"/>
      </c>
      <c r="M1415" s="74">
        <f t="shared" ca="1" si="312"/>
      </c>
      <c r="N1415" s="74">
        <f ca="1">VLOOKUP(B1415,$C$7:$T1413,13,FALSE)</f>
      </c>
      <c r="O1415" s="74">
        <f t="shared" ca="1" si="313"/>
      </c>
      <c r="P1415" s="74">
        <f t="shared" ca="1" si="314"/>
      </c>
      <c r="Q1415" s="74">
        <f t="shared" ca="1" si="315"/>
      </c>
      <c r="R1415" s="74">
        <f t="shared" si="316"/>
      </c>
      <c r="S1415" s="74">
        <f t="shared" ca="1" si="317"/>
      </c>
      <c r="T1415" s="74">
        <f t="shared" si="318"/>
      </c>
    </row>
    <row r="1416" spans="2:20" x14ac:dyDescent="0.3">
      <c r="B1416" s="74">
        <f t="shared" ca="1" si="308"/>
      </c>
      <c r="C1416" s="78">
        <f>Кабельный_журнал!P1382</f>
      </c>
      <c r="D1416" s="74">
        <f t="shared" ca="1" si="309"/>
      </c>
      <c r="E1416" s="80" t="s">
        <v>279</v>
      </c>
      <c r="F1416" s="74">
        <f t="shared" ca="1" si="305"/>
      </c>
      <c r="G1416" s="74">
        <f t="shared" si="306"/>
      </c>
      <c r="H1416" s="80" t="s">
        <v>272</v>
      </c>
      <c r="I1416" s="74">
        <f t="shared" si="307"/>
      </c>
      <c r="J1416" s="74">
        <f t="shared" si="310"/>
      </c>
      <c r="K1416" s="80" t="s">
        <v>280</v>
      </c>
      <c r="L1416" s="74">
        <f t="shared" si="311"/>
      </c>
      <c r="M1416" s="74">
        <f t="shared" ca="1" si="312"/>
      </c>
      <c r="N1416" s="74">
        <f ca="1">VLOOKUP(B1416,$C$7:$T1414,13,FALSE)</f>
      </c>
      <c r="O1416" s="74">
        <f t="shared" ca="1" si="313"/>
      </c>
      <c r="P1416" s="74">
        <f t="shared" ca="1" si="314"/>
      </c>
      <c r="Q1416" s="74">
        <f t="shared" ca="1" si="315"/>
      </c>
      <c r="R1416" s="74">
        <f t="shared" si="316"/>
      </c>
      <c r="S1416" s="74">
        <f t="shared" ca="1" si="317"/>
      </c>
      <c r="T1416" s="74">
        <f t="shared" si="318"/>
      </c>
    </row>
    <row r="1417" spans="2:20" x14ac:dyDescent="0.3">
      <c r="B1417" s="74">
        <f t="shared" ca="1" si="308"/>
      </c>
      <c r="C1417" s="78">
        <f>Кабельный_журнал!P1383</f>
      </c>
      <c r="D1417" s="74">
        <f t="shared" ca="1" si="309"/>
      </c>
      <c r="E1417" s="80" t="s">
        <v>279</v>
      </c>
      <c r="F1417" s="74">
        <f t="shared" ca="1" si="305"/>
      </c>
      <c r="G1417" s="74">
        <f t="shared" si="306"/>
      </c>
      <c r="H1417" s="80" t="s">
        <v>272</v>
      </c>
      <c r="I1417" s="74">
        <f t="shared" si="307"/>
      </c>
      <c r="J1417" s="74">
        <f t="shared" si="310"/>
      </c>
      <c r="K1417" s="80" t="s">
        <v>280</v>
      </c>
      <c r="L1417" s="74">
        <f t="shared" si="311"/>
      </c>
      <c r="M1417" s="74">
        <f t="shared" ca="1" si="312"/>
      </c>
      <c r="N1417" s="74">
        <f ca="1">VLOOKUP(B1417,$C$7:$T1415,13,FALSE)</f>
      </c>
      <c r="O1417" s="74">
        <f t="shared" ca="1" si="313"/>
      </c>
      <c r="P1417" s="74">
        <f t="shared" ca="1" si="314"/>
      </c>
      <c r="Q1417" s="74">
        <f t="shared" ca="1" si="315"/>
      </c>
      <c r="R1417" s="74">
        <f t="shared" si="316"/>
      </c>
      <c r="S1417" s="74">
        <f t="shared" ca="1" si="317"/>
      </c>
      <c r="T1417" s="74">
        <f t="shared" si="318"/>
      </c>
    </row>
    <row r="1418" spans="2:20" x14ac:dyDescent="0.3">
      <c r="B1418" s="74">
        <f t="shared" ca="1" si="308"/>
      </c>
      <c r="C1418" s="78">
        <f>Кабельный_журнал!P1384</f>
      </c>
      <c r="D1418" s="74">
        <f t="shared" ca="1" si="309"/>
      </c>
      <c r="E1418" s="80" t="s">
        <v>279</v>
      </c>
      <c r="F1418" s="74">
        <f t="shared" ca="1" si="305"/>
      </c>
      <c r="G1418" s="74">
        <f t="shared" si="306"/>
      </c>
      <c r="H1418" s="80" t="s">
        <v>272</v>
      </c>
      <c r="I1418" s="74">
        <f t="shared" si="307"/>
      </c>
      <c r="J1418" s="74">
        <f t="shared" si="310"/>
      </c>
      <c r="K1418" s="80" t="s">
        <v>280</v>
      </c>
      <c r="L1418" s="74">
        <f t="shared" si="311"/>
      </c>
      <c r="M1418" s="74">
        <f t="shared" ca="1" si="312"/>
      </c>
      <c r="N1418" s="74">
        <f ca="1">VLOOKUP(B1418,$C$7:$T1416,13,FALSE)</f>
      </c>
      <c r="O1418" s="74">
        <f t="shared" ca="1" si="313"/>
      </c>
      <c r="P1418" s="74">
        <f t="shared" ca="1" si="314"/>
      </c>
      <c r="Q1418" s="74">
        <f t="shared" ca="1" si="315"/>
      </c>
      <c r="R1418" s="74">
        <f t="shared" si="316"/>
      </c>
      <c r="S1418" s="74">
        <f t="shared" ca="1" si="317"/>
      </c>
      <c r="T1418" s="74">
        <f t="shared" si="318"/>
      </c>
    </row>
    <row r="1419" spans="2:20" x14ac:dyDescent="0.3">
      <c r="B1419" s="74">
        <f t="shared" ca="1" si="308"/>
      </c>
      <c r="C1419" s="78">
        <f>Кабельный_журнал!P1385</f>
      </c>
      <c r="D1419" s="74">
        <f t="shared" ca="1" si="309"/>
      </c>
      <c r="E1419" s="80" t="s">
        <v>279</v>
      </c>
      <c r="F1419" s="74">
        <f t="shared" ca="1" si="305"/>
      </c>
      <c r="G1419" s="74">
        <f t="shared" si="306"/>
      </c>
      <c r="H1419" s="80" t="s">
        <v>272</v>
      </c>
      <c r="I1419" s="74">
        <f t="shared" si="307"/>
      </c>
      <c r="J1419" s="74">
        <f t="shared" si="310"/>
      </c>
      <c r="K1419" s="80" t="s">
        <v>280</v>
      </c>
      <c r="L1419" s="74">
        <f t="shared" si="311"/>
      </c>
      <c r="M1419" s="74">
        <f t="shared" ca="1" si="312"/>
      </c>
      <c r="N1419" s="74">
        <f ca="1">VLOOKUP(B1419,$C$7:$T1417,13,FALSE)</f>
      </c>
      <c r="O1419" s="74">
        <f t="shared" ca="1" si="313"/>
      </c>
      <c r="P1419" s="74">
        <f t="shared" ca="1" si="314"/>
      </c>
      <c r="Q1419" s="74">
        <f t="shared" ca="1" si="315"/>
      </c>
      <c r="R1419" s="74">
        <f t="shared" si="316"/>
      </c>
      <c r="S1419" s="74">
        <f t="shared" ca="1" si="317"/>
      </c>
      <c r="T1419" s="74">
        <f t="shared" si="318"/>
      </c>
    </row>
    <row r="1420" spans="2:20" x14ac:dyDescent="0.3">
      <c r="B1420" s="74">
        <f t="shared" ca="1" si="308"/>
      </c>
      <c r="C1420" s="78">
        <f>Кабельный_журнал!P1386</f>
      </c>
      <c r="D1420" s="74">
        <f t="shared" ca="1" si="309"/>
      </c>
      <c r="E1420" s="80" t="s">
        <v>279</v>
      </c>
      <c r="F1420" s="74">
        <f t="shared" ca="1" si="305"/>
      </c>
      <c r="G1420" s="74">
        <f t="shared" si="306"/>
      </c>
      <c r="H1420" s="80" t="s">
        <v>272</v>
      </c>
      <c r="I1420" s="74">
        <f t="shared" si="307"/>
      </c>
      <c r="J1420" s="74">
        <f t="shared" si="310"/>
      </c>
      <c r="K1420" s="80" t="s">
        <v>280</v>
      </c>
      <c r="L1420" s="74">
        <f t="shared" si="311"/>
      </c>
      <c r="M1420" s="74">
        <f t="shared" ca="1" si="312"/>
      </c>
      <c r="N1420" s="74">
        <f ca="1">VLOOKUP(B1420,$C$7:$T1418,13,FALSE)</f>
      </c>
      <c r="O1420" s="74">
        <f t="shared" ca="1" si="313"/>
      </c>
      <c r="P1420" s="74">
        <f t="shared" ca="1" si="314"/>
      </c>
      <c r="Q1420" s="74">
        <f t="shared" ca="1" si="315"/>
      </c>
      <c r="R1420" s="74">
        <f t="shared" si="316"/>
      </c>
      <c r="S1420" s="74">
        <f t="shared" ca="1" si="317"/>
      </c>
      <c r="T1420" s="74">
        <f t="shared" si="318"/>
      </c>
    </row>
    <row r="1421" spans="2:20" x14ac:dyDescent="0.3">
      <c r="B1421" s="74">
        <f t="shared" ca="1" si="308"/>
      </c>
      <c r="C1421" s="78">
        <f>Кабельный_журнал!P1387</f>
      </c>
      <c r="D1421" s="74">
        <f t="shared" ca="1" si="309"/>
      </c>
      <c r="E1421" s="80" t="s">
        <v>279</v>
      </c>
      <c r="F1421" s="74">
        <f t="shared" ca="1" si="305"/>
      </c>
      <c r="G1421" s="74">
        <f t="shared" si="306"/>
      </c>
      <c r="H1421" s="80" t="s">
        <v>272</v>
      </c>
      <c r="I1421" s="74">
        <f t="shared" si="307"/>
      </c>
      <c r="J1421" s="74">
        <f t="shared" si="310"/>
      </c>
      <c r="K1421" s="80" t="s">
        <v>280</v>
      </c>
      <c r="L1421" s="74">
        <f t="shared" si="311"/>
      </c>
      <c r="M1421" s="74">
        <f t="shared" ca="1" si="312"/>
      </c>
      <c r="N1421" s="74">
        <f ca="1">VLOOKUP(B1421,$C$7:$T1419,13,FALSE)</f>
      </c>
      <c r="O1421" s="74">
        <f t="shared" ca="1" si="313"/>
      </c>
      <c r="P1421" s="74">
        <f t="shared" ca="1" si="314"/>
      </c>
      <c r="Q1421" s="74">
        <f t="shared" ca="1" si="315"/>
      </c>
      <c r="R1421" s="74">
        <f t="shared" si="316"/>
      </c>
      <c r="S1421" s="74">
        <f t="shared" ca="1" si="317"/>
      </c>
      <c r="T1421" s="74">
        <f t="shared" si="318"/>
      </c>
    </row>
    <row r="1422" spans="2:20" x14ac:dyDescent="0.3">
      <c r="B1422" s="74">
        <f t="shared" ca="1" si="308"/>
      </c>
      <c r="C1422" s="78">
        <f>Кабельный_журнал!P1388</f>
      </c>
      <c r="D1422" s="74">
        <f t="shared" ca="1" si="309"/>
      </c>
      <c r="E1422" s="80" t="s">
        <v>279</v>
      </c>
      <c r="F1422" s="74">
        <f t="shared" ca="1" si="305"/>
      </c>
      <c r="G1422" s="74">
        <f t="shared" si="306"/>
      </c>
      <c r="H1422" s="80" t="s">
        <v>272</v>
      </c>
      <c r="I1422" s="74">
        <f t="shared" si="307"/>
      </c>
      <c r="J1422" s="74">
        <f t="shared" si="310"/>
      </c>
      <c r="K1422" s="80" t="s">
        <v>280</v>
      </c>
      <c r="L1422" s="74">
        <f t="shared" si="311"/>
      </c>
      <c r="M1422" s="74">
        <f t="shared" ca="1" si="312"/>
      </c>
      <c r="N1422" s="74">
        <f ca="1">VLOOKUP(B1422,$C$7:$T1420,13,FALSE)</f>
      </c>
      <c r="O1422" s="74">
        <f t="shared" ca="1" si="313"/>
      </c>
      <c r="P1422" s="74">
        <f t="shared" ca="1" si="314"/>
      </c>
      <c r="Q1422" s="74">
        <f t="shared" ca="1" si="315"/>
      </c>
      <c r="R1422" s="74">
        <f t="shared" si="316"/>
      </c>
      <c r="S1422" s="74">
        <f t="shared" ca="1" si="317"/>
      </c>
      <c r="T1422" s="74">
        <f t="shared" si="318"/>
      </c>
    </row>
    <row r="1423" spans="2:20" x14ac:dyDescent="0.3">
      <c r="B1423" s="74">
        <f t="shared" ca="1" si="308"/>
      </c>
      <c r="C1423" s="78">
        <f>Кабельный_журнал!P1389</f>
      </c>
      <c r="D1423" s="74">
        <f t="shared" ca="1" si="309"/>
      </c>
      <c r="E1423" s="80" t="s">
        <v>279</v>
      </c>
      <c r="F1423" s="74">
        <f t="shared" ca="1" si="305"/>
      </c>
      <c r="G1423" s="74">
        <f t="shared" si="306"/>
      </c>
      <c r="H1423" s="80" t="s">
        <v>272</v>
      </c>
      <c r="I1423" s="74">
        <f t="shared" si="307"/>
      </c>
      <c r="J1423" s="74">
        <f t="shared" si="310"/>
      </c>
      <c r="K1423" s="80" t="s">
        <v>280</v>
      </c>
      <c r="L1423" s="74">
        <f t="shared" si="311"/>
      </c>
      <c r="M1423" s="74">
        <f t="shared" ca="1" si="312"/>
      </c>
      <c r="N1423" s="74">
        <f ca="1">VLOOKUP(B1423,$C$7:$T1421,13,FALSE)</f>
      </c>
      <c r="O1423" s="74">
        <f t="shared" ca="1" si="313"/>
      </c>
      <c r="P1423" s="74">
        <f t="shared" ca="1" si="314"/>
      </c>
      <c r="Q1423" s="74">
        <f t="shared" ca="1" si="315"/>
      </c>
      <c r="R1423" s="74">
        <f t="shared" si="316"/>
      </c>
      <c r="S1423" s="74">
        <f t="shared" ca="1" si="317"/>
      </c>
      <c r="T1423" s="74">
        <f t="shared" si="318"/>
      </c>
    </row>
    <row r="1424" spans="2:20" x14ac:dyDescent="0.3">
      <c r="B1424" s="74">
        <f t="shared" ca="1" si="308"/>
      </c>
      <c r="C1424" s="78">
        <f>Кабельный_журнал!P1390</f>
      </c>
      <c r="D1424" s="74">
        <f t="shared" ca="1" si="309"/>
      </c>
      <c r="E1424" s="80" t="s">
        <v>279</v>
      </c>
      <c r="F1424" s="74">
        <f t="shared" ca="1" si="305"/>
      </c>
      <c r="G1424" s="74">
        <f t="shared" si="306"/>
      </c>
      <c r="H1424" s="80" t="s">
        <v>272</v>
      </c>
      <c r="I1424" s="74">
        <f t="shared" si="307"/>
      </c>
      <c r="J1424" s="74">
        <f t="shared" si="310"/>
      </c>
      <c r="K1424" s="80" t="s">
        <v>280</v>
      </c>
      <c r="L1424" s="74">
        <f t="shared" si="311"/>
      </c>
      <c r="M1424" s="74">
        <f t="shared" ca="1" si="312"/>
      </c>
      <c r="N1424" s="74">
        <f ca="1">VLOOKUP(B1424,$C$7:$T1422,13,FALSE)</f>
      </c>
      <c r="O1424" s="74">
        <f t="shared" ca="1" si="313"/>
      </c>
      <c r="P1424" s="74">
        <f t="shared" ca="1" si="314"/>
      </c>
      <c r="Q1424" s="74">
        <f t="shared" ca="1" si="315"/>
      </c>
      <c r="R1424" s="74">
        <f t="shared" si="316"/>
      </c>
      <c r="S1424" s="74">
        <f t="shared" ca="1" si="317"/>
      </c>
      <c r="T1424" s="74">
        <f t="shared" si="318"/>
      </c>
    </row>
    <row r="1425" spans="2:20" x14ac:dyDescent="0.3">
      <c r="B1425" s="74">
        <f t="shared" ca="1" si="308"/>
      </c>
      <c r="C1425" s="78">
        <f>Кабельный_журнал!P1391</f>
      </c>
      <c r="D1425" s="74">
        <f t="shared" ca="1" si="309"/>
      </c>
      <c r="E1425" s="80" t="s">
        <v>279</v>
      </c>
      <c r="F1425" s="74">
        <f t="shared" ca="1" si="305"/>
      </c>
      <c r="G1425" s="74">
        <f t="shared" si="306"/>
      </c>
      <c r="H1425" s="80" t="s">
        <v>272</v>
      </c>
      <c r="I1425" s="74">
        <f t="shared" si="307"/>
      </c>
      <c r="J1425" s="74">
        <f t="shared" si="310"/>
      </c>
      <c r="K1425" s="80" t="s">
        <v>280</v>
      </c>
      <c r="L1425" s="74">
        <f t="shared" si="311"/>
      </c>
      <c r="M1425" s="74">
        <f t="shared" ca="1" si="312"/>
      </c>
      <c r="N1425" s="74">
        <f ca="1">VLOOKUP(B1425,$C$7:$T1423,13,FALSE)</f>
      </c>
      <c r="O1425" s="74">
        <f t="shared" ca="1" si="313"/>
      </c>
      <c r="P1425" s="74">
        <f t="shared" ca="1" si="314"/>
      </c>
      <c r="Q1425" s="74">
        <f t="shared" ca="1" si="315"/>
      </c>
      <c r="R1425" s="74">
        <f t="shared" si="316"/>
      </c>
      <c r="S1425" s="74">
        <f t="shared" ca="1" si="317"/>
      </c>
      <c r="T1425" s="74">
        <f t="shared" si="318"/>
      </c>
    </row>
    <row r="1426" spans="2:20" x14ac:dyDescent="0.3">
      <c r="B1426" s="74">
        <f t="shared" ca="1" si="308"/>
      </c>
      <c r="C1426" s="78">
        <f>Кабельный_журнал!P1392</f>
      </c>
      <c r="D1426" s="74">
        <f t="shared" ca="1" si="309"/>
      </c>
      <c r="E1426" s="80" t="s">
        <v>279</v>
      </c>
      <c r="F1426" s="74">
        <f t="shared" ca="1" si="305"/>
      </c>
      <c r="G1426" s="74">
        <f t="shared" si="306"/>
      </c>
      <c r="H1426" s="80" t="s">
        <v>272</v>
      </c>
      <c r="I1426" s="74">
        <f t="shared" si="307"/>
      </c>
      <c r="J1426" s="74">
        <f t="shared" si="310"/>
      </c>
      <c r="K1426" s="80" t="s">
        <v>280</v>
      </c>
      <c r="L1426" s="74">
        <f t="shared" si="311"/>
      </c>
      <c r="M1426" s="74">
        <f t="shared" ca="1" si="312"/>
      </c>
      <c r="N1426" s="74">
        <f ca="1">VLOOKUP(B1426,$C$7:$T1424,13,FALSE)</f>
      </c>
      <c r="O1426" s="74">
        <f t="shared" ca="1" si="313"/>
      </c>
      <c r="P1426" s="74">
        <f t="shared" ca="1" si="314"/>
      </c>
      <c r="Q1426" s="74">
        <f t="shared" ca="1" si="315"/>
      </c>
      <c r="R1426" s="74">
        <f t="shared" si="316"/>
      </c>
      <c r="S1426" s="74">
        <f t="shared" ca="1" si="317"/>
      </c>
      <c r="T1426" s="74">
        <f t="shared" si="318"/>
      </c>
    </row>
    <row r="1427" spans="2:20" x14ac:dyDescent="0.3">
      <c r="B1427" s="74">
        <f t="shared" ca="1" si="308"/>
      </c>
      <c r="C1427" s="78">
        <f>Кабельный_журнал!P1393</f>
      </c>
      <c r="D1427" s="74">
        <f t="shared" ca="1" si="309"/>
      </c>
      <c r="E1427" s="80" t="s">
        <v>279</v>
      </c>
      <c r="F1427" s="74">
        <f t="shared" ca="1" si="305"/>
      </c>
      <c r="G1427" s="74">
        <f t="shared" si="306"/>
      </c>
      <c r="H1427" s="80" t="s">
        <v>272</v>
      </c>
      <c r="I1427" s="74">
        <f t="shared" si="307"/>
      </c>
      <c r="J1427" s="74">
        <f t="shared" si="310"/>
      </c>
      <c r="K1427" s="80" t="s">
        <v>280</v>
      </c>
      <c r="L1427" s="74">
        <f t="shared" si="311"/>
      </c>
      <c r="M1427" s="74">
        <f t="shared" ca="1" si="312"/>
      </c>
      <c r="N1427" s="74">
        <f ca="1">VLOOKUP(B1427,$C$7:$T1425,13,FALSE)</f>
      </c>
      <c r="O1427" s="74">
        <f t="shared" ca="1" si="313"/>
      </c>
      <c r="P1427" s="74">
        <f t="shared" ca="1" si="314"/>
      </c>
      <c r="Q1427" s="74">
        <f t="shared" ca="1" si="315"/>
      </c>
      <c r="R1427" s="74">
        <f t="shared" si="316"/>
      </c>
      <c r="S1427" s="74">
        <f t="shared" ca="1" si="317"/>
      </c>
      <c r="T1427" s="74">
        <f t="shared" si="318"/>
      </c>
    </row>
    <row r="1428" spans="2:20" x14ac:dyDescent="0.3">
      <c r="B1428" s="74">
        <f t="shared" ca="1" si="308"/>
      </c>
      <c r="C1428" s="78">
        <f>Кабельный_журнал!P1394</f>
      </c>
      <c r="D1428" s="74">
        <f t="shared" ca="1" si="309"/>
      </c>
      <c r="E1428" s="80" t="s">
        <v>279</v>
      </c>
      <c r="F1428" s="74">
        <f t="shared" ca="1" si="305"/>
      </c>
      <c r="G1428" s="74">
        <f t="shared" si="306"/>
      </c>
      <c r="H1428" s="80" t="s">
        <v>272</v>
      </c>
      <c r="I1428" s="74">
        <f t="shared" si="307"/>
      </c>
      <c r="J1428" s="74">
        <f t="shared" si="310"/>
      </c>
      <c r="K1428" s="80" t="s">
        <v>280</v>
      </c>
      <c r="L1428" s="74">
        <f t="shared" si="311"/>
      </c>
      <c r="M1428" s="74">
        <f t="shared" ca="1" si="312"/>
      </c>
      <c r="N1428" s="74">
        <f ca="1">VLOOKUP(B1428,$C$7:$T1426,13,FALSE)</f>
      </c>
      <c r="O1428" s="74">
        <f t="shared" ca="1" si="313"/>
      </c>
      <c r="P1428" s="74">
        <f t="shared" ca="1" si="314"/>
      </c>
      <c r="Q1428" s="74">
        <f t="shared" ca="1" si="315"/>
      </c>
      <c r="R1428" s="74">
        <f t="shared" si="316"/>
      </c>
      <c r="S1428" s="74">
        <f t="shared" ca="1" si="317"/>
      </c>
      <c r="T1428" s="74">
        <f t="shared" si="318"/>
      </c>
    </row>
    <row r="1429" spans="2:20" x14ac:dyDescent="0.3">
      <c r="B1429" s="74">
        <f t="shared" ca="1" si="308"/>
      </c>
      <c r="C1429" s="78">
        <f>Кабельный_журнал!P1395</f>
      </c>
      <c r="D1429" s="74">
        <f t="shared" ca="1" si="309"/>
      </c>
      <c r="E1429" s="80" t="s">
        <v>279</v>
      </c>
      <c r="F1429" s="74">
        <f t="shared" ca="1" si="305"/>
      </c>
      <c r="G1429" s="74">
        <f t="shared" si="306"/>
      </c>
      <c r="H1429" s="80" t="s">
        <v>272</v>
      </c>
      <c r="I1429" s="74">
        <f t="shared" si="307"/>
      </c>
      <c r="J1429" s="74">
        <f t="shared" si="310"/>
      </c>
      <c r="K1429" s="80" t="s">
        <v>280</v>
      </c>
      <c r="L1429" s="74">
        <f t="shared" si="311"/>
      </c>
      <c r="M1429" s="74">
        <f t="shared" ca="1" si="312"/>
      </c>
      <c r="N1429" s="74">
        <f ca="1">VLOOKUP(B1429,$C$7:$T1427,13,FALSE)</f>
      </c>
      <c r="O1429" s="74">
        <f t="shared" ca="1" si="313"/>
      </c>
      <c r="P1429" s="74">
        <f t="shared" ca="1" si="314"/>
      </c>
      <c r="Q1429" s="74">
        <f t="shared" ca="1" si="315"/>
      </c>
      <c r="R1429" s="74">
        <f t="shared" si="316"/>
      </c>
      <c r="S1429" s="74">
        <f t="shared" ca="1" si="317"/>
      </c>
      <c r="T1429" s="74">
        <f t="shared" si="318"/>
      </c>
    </row>
    <row r="1430" spans="2:20" x14ac:dyDescent="0.3">
      <c r="B1430" s="74">
        <f t="shared" ca="1" si="308"/>
      </c>
      <c r="C1430" s="78">
        <f>Кабельный_журнал!P1396</f>
      </c>
      <c r="D1430" s="74">
        <f t="shared" ca="1" si="309"/>
      </c>
      <c r="E1430" s="80" t="s">
        <v>279</v>
      </c>
      <c r="F1430" s="74">
        <f t="shared" ca="1" si="305"/>
      </c>
      <c r="G1430" s="74">
        <f t="shared" si="306"/>
      </c>
      <c r="H1430" s="80" t="s">
        <v>272</v>
      </c>
      <c r="I1430" s="74">
        <f t="shared" si="307"/>
      </c>
      <c r="J1430" s="74">
        <f t="shared" si="310"/>
      </c>
      <c r="K1430" s="80" t="s">
        <v>280</v>
      </c>
      <c r="L1430" s="74">
        <f t="shared" si="311"/>
      </c>
      <c r="M1430" s="74">
        <f t="shared" ca="1" si="312"/>
      </c>
      <c r="N1430" s="74">
        <f ca="1">VLOOKUP(B1430,$C$7:$T1428,13,FALSE)</f>
      </c>
      <c r="O1430" s="74">
        <f t="shared" ca="1" si="313"/>
      </c>
      <c r="P1430" s="74">
        <f t="shared" ca="1" si="314"/>
      </c>
      <c r="Q1430" s="74">
        <f t="shared" ca="1" si="315"/>
      </c>
      <c r="R1430" s="74">
        <f t="shared" si="316"/>
      </c>
      <c r="S1430" s="74">
        <f t="shared" ca="1" si="317"/>
      </c>
      <c r="T1430" s="74">
        <f t="shared" si="318"/>
      </c>
    </row>
    <row r="1431" spans="2:20" x14ac:dyDescent="0.3">
      <c r="B1431" s="74">
        <f t="shared" ca="1" si="308"/>
      </c>
      <c r="C1431" s="78">
        <f>Кабельный_журнал!P1397</f>
      </c>
      <c r="D1431" s="74">
        <f t="shared" ca="1" si="309"/>
      </c>
      <c r="E1431" s="80" t="s">
        <v>279</v>
      </c>
      <c r="F1431" s="74">
        <f t="shared" ca="1" si="305"/>
      </c>
      <c r="G1431" s="74">
        <f t="shared" si="306"/>
      </c>
      <c r="H1431" s="80" t="s">
        <v>272</v>
      </c>
      <c r="I1431" s="74">
        <f t="shared" si="307"/>
      </c>
      <c r="J1431" s="74">
        <f t="shared" si="310"/>
      </c>
      <c r="K1431" s="80" t="s">
        <v>280</v>
      </c>
      <c r="L1431" s="74">
        <f t="shared" si="311"/>
      </c>
      <c r="M1431" s="74">
        <f t="shared" ca="1" si="312"/>
      </c>
      <c r="N1431" s="74">
        <f ca="1">VLOOKUP(B1431,$C$7:$T1429,13,FALSE)</f>
      </c>
      <c r="O1431" s="74">
        <f t="shared" ca="1" si="313"/>
      </c>
      <c r="P1431" s="74">
        <f t="shared" ca="1" si="314"/>
      </c>
      <c r="Q1431" s="74">
        <f t="shared" ca="1" si="315"/>
      </c>
      <c r="R1431" s="74">
        <f t="shared" si="316"/>
      </c>
      <c r="S1431" s="74">
        <f t="shared" ca="1" si="317"/>
      </c>
      <c r="T1431" s="74">
        <f t="shared" si="318"/>
      </c>
    </row>
    <row r="1432" spans="2:20" x14ac:dyDescent="0.3">
      <c r="B1432" s="74">
        <f t="shared" ca="1" si="308"/>
      </c>
      <c r="C1432" s="78">
        <f>Кабельный_журнал!P1398</f>
      </c>
      <c r="D1432" s="74">
        <f t="shared" ca="1" si="309"/>
      </c>
      <c r="E1432" s="80" t="s">
        <v>279</v>
      </c>
      <c r="F1432" s="74">
        <f t="shared" ca="1" si="305"/>
      </c>
      <c r="G1432" s="74">
        <f t="shared" si="306"/>
      </c>
      <c r="H1432" s="80" t="s">
        <v>272</v>
      </c>
      <c r="I1432" s="74">
        <f t="shared" si="307"/>
      </c>
      <c r="J1432" s="74">
        <f t="shared" si="310"/>
      </c>
      <c r="K1432" s="80" t="s">
        <v>280</v>
      </c>
      <c r="L1432" s="74">
        <f t="shared" si="311"/>
      </c>
      <c r="M1432" s="74">
        <f t="shared" ca="1" si="312"/>
      </c>
      <c r="N1432" s="74">
        <f ca="1">VLOOKUP(B1432,$C$7:$T1430,13,FALSE)</f>
      </c>
      <c r="O1432" s="74">
        <f t="shared" ca="1" si="313"/>
      </c>
      <c r="P1432" s="74">
        <f t="shared" ca="1" si="314"/>
      </c>
      <c r="Q1432" s="74">
        <f t="shared" ca="1" si="315"/>
      </c>
      <c r="R1432" s="74">
        <f t="shared" si="316"/>
      </c>
      <c r="S1432" s="74">
        <f t="shared" ca="1" si="317"/>
      </c>
      <c r="T1432" s="74">
        <f t="shared" si="318"/>
      </c>
    </row>
    <row r="1433" spans="2:20" x14ac:dyDescent="0.3">
      <c r="B1433" s="74">
        <f t="shared" ca="1" si="308"/>
      </c>
      <c r="C1433" s="78">
        <f>Кабельный_журнал!P1399</f>
      </c>
      <c r="D1433" s="74">
        <f t="shared" ca="1" si="309"/>
      </c>
      <c r="E1433" s="80" t="s">
        <v>279</v>
      </c>
      <c r="F1433" s="74">
        <f t="shared" ca="1" si="305"/>
      </c>
      <c r="G1433" s="74">
        <f t="shared" si="306"/>
      </c>
      <c r="H1433" s="80" t="s">
        <v>272</v>
      </c>
      <c r="I1433" s="74">
        <f t="shared" si="307"/>
      </c>
      <c r="J1433" s="74">
        <f t="shared" si="310"/>
      </c>
      <c r="K1433" s="80" t="s">
        <v>280</v>
      </c>
      <c r="L1433" s="74">
        <f t="shared" si="311"/>
      </c>
      <c r="M1433" s="74">
        <f t="shared" ca="1" si="312"/>
      </c>
      <c r="N1433" s="74">
        <f ca="1">VLOOKUP(B1433,$C$7:$T1431,13,FALSE)</f>
      </c>
      <c r="O1433" s="74">
        <f t="shared" ca="1" si="313"/>
      </c>
      <c r="P1433" s="74">
        <f t="shared" ca="1" si="314"/>
      </c>
      <c r="Q1433" s="74">
        <f t="shared" ca="1" si="315"/>
      </c>
      <c r="R1433" s="74">
        <f t="shared" si="316"/>
      </c>
      <c r="S1433" s="74">
        <f t="shared" ca="1" si="317"/>
      </c>
      <c r="T1433" s="74">
        <f t="shared" si="318"/>
      </c>
    </row>
    <row r="1434" spans="2:20" x14ac:dyDescent="0.3">
      <c r="B1434" s="74">
        <f t="shared" ca="1" si="308"/>
      </c>
      <c r="C1434" s="78">
        <f>Кабельный_журнал!P1400</f>
      </c>
      <c r="D1434" s="74">
        <f t="shared" ca="1" si="309"/>
      </c>
      <c r="E1434" s="80" t="s">
        <v>279</v>
      </c>
      <c r="F1434" s="74">
        <f t="shared" ca="1" si="305"/>
      </c>
      <c r="G1434" s="74">
        <f t="shared" si="306"/>
      </c>
      <c r="H1434" s="80" t="s">
        <v>272</v>
      </c>
      <c r="I1434" s="74">
        <f t="shared" si="307"/>
      </c>
      <c r="J1434" s="74">
        <f t="shared" si="310"/>
      </c>
      <c r="K1434" s="80" t="s">
        <v>280</v>
      </c>
      <c r="L1434" s="74">
        <f t="shared" si="311"/>
      </c>
      <c r="M1434" s="74">
        <f t="shared" ca="1" si="312"/>
      </c>
      <c r="N1434" s="74">
        <f ca="1">VLOOKUP(B1434,$C$7:$T1432,13,FALSE)</f>
      </c>
      <c r="O1434" s="74">
        <f t="shared" ca="1" si="313"/>
      </c>
      <c r="P1434" s="74">
        <f t="shared" ca="1" si="314"/>
      </c>
      <c r="Q1434" s="74">
        <f t="shared" ca="1" si="315"/>
      </c>
      <c r="R1434" s="74">
        <f t="shared" si="316"/>
      </c>
      <c r="S1434" s="74">
        <f t="shared" ca="1" si="317"/>
      </c>
      <c r="T1434" s="74">
        <f t="shared" si="318"/>
      </c>
    </row>
    <row r="1435" spans="2:20" x14ac:dyDescent="0.3">
      <c r="B1435" s="74">
        <f t="shared" ca="1" si="308"/>
      </c>
      <c r="C1435" s="78">
        <f>Кабельный_журнал!P1401</f>
      </c>
      <c r="D1435" s="74">
        <f t="shared" ca="1" si="309"/>
      </c>
      <c r="E1435" s="80" t="s">
        <v>279</v>
      </c>
      <c r="F1435" s="74">
        <f t="shared" ca="1" si="305"/>
      </c>
      <c r="G1435" s="74">
        <f t="shared" si="306"/>
      </c>
      <c r="H1435" s="80" t="s">
        <v>272</v>
      </c>
      <c r="I1435" s="74">
        <f t="shared" si="307"/>
      </c>
      <c r="J1435" s="74">
        <f t="shared" si="310"/>
      </c>
      <c r="K1435" s="80" t="s">
        <v>280</v>
      </c>
      <c r="L1435" s="74">
        <f t="shared" si="311"/>
      </c>
      <c r="M1435" s="74">
        <f t="shared" ca="1" si="312"/>
      </c>
      <c r="N1435" s="74">
        <f ca="1">VLOOKUP(B1435,$C$7:$T1433,13,FALSE)</f>
      </c>
      <c r="O1435" s="74">
        <f t="shared" ca="1" si="313"/>
      </c>
      <c r="P1435" s="74">
        <f t="shared" ca="1" si="314"/>
      </c>
      <c r="Q1435" s="74">
        <f t="shared" ca="1" si="315"/>
      </c>
      <c r="R1435" s="74">
        <f t="shared" si="316"/>
      </c>
      <c r="S1435" s="74">
        <f t="shared" ca="1" si="317"/>
      </c>
      <c r="T1435" s="74">
        <f t="shared" si="318"/>
      </c>
    </row>
    <row r="1436" spans="2:20" x14ac:dyDescent="0.3">
      <c r="B1436" s="74">
        <f t="shared" ca="1" si="308"/>
      </c>
      <c r="C1436" s="78">
        <f>Кабельный_журнал!P1402</f>
      </c>
      <c r="D1436" s="74">
        <f t="shared" ca="1" si="309"/>
      </c>
      <c r="E1436" s="80" t="s">
        <v>279</v>
      </c>
      <c r="F1436" s="74">
        <f t="shared" ca="1" si="305"/>
      </c>
      <c r="G1436" s="74">
        <f t="shared" si="306"/>
      </c>
      <c r="H1436" s="80" t="s">
        <v>272</v>
      </c>
      <c r="I1436" s="74">
        <f t="shared" si="307"/>
      </c>
      <c r="J1436" s="74">
        <f t="shared" si="310"/>
      </c>
      <c r="K1436" s="80" t="s">
        <v>280</v>
      </c>
      <c r="L1436" s="74">
        <f t="shared" si="311"/>
      </c>
      <c r="M1436" s="74">
        <f t="shared" ca="1" si="312"/>
      </c>
      <c r="N1436" s="74">
        <f ca="1">VLOOKUP(B1436,$C$7:$T1434,13,FALSE)</f>
      </c>
      <c r="O1436" s="74">
        <f t="shared" ca="1" si="313"/>
      </c>
      <c r="P1436" s="74">
        <f t="shared" ca="1" si="314"/>
      </c>
      <c r="Q1436" s="74">
        <f t="shared" ca="1" si="315"/>
      </c>
      <c r="R1436" s="74">
        <f t="shared" si="316"/>
      </c>
      <c r="S1436" s="74">
        <f t="shared" ca="1" si="317"/>
      </c>
      <c r="T1436" s="74">
        <f t="shared" si="318"/>
      </c>
    </row>
    <row r="1437" spans="2:20" x14ac:dyDescent="0.3">
      <c r="B1437" s="74">
        <f t="shared" ca="1" si="308"/>
      </c>
      <c r="C1437" s="78">
        <f>Кабельный_журнал!P1403</f>
      </c>
      <c r="D1437" s="74">
        <f t="shared" ca="1" si="309"/>
      </c>
      <c r="E1437" s="80" t="s">
        <v>279</v>
      </c>
      <c r="F1437" s="74">
        <f t="shared" ca="1" si="305"/>
      </c>
      <c r="G1437" s="74">
        <f t="shared" si="306"/>
      </c>
      <c r="H1437" s="80" t="s">
        <v>272</v>
      </c>
      <c r="I1437" s="74">
        <f t="shared" si="307"/>
      </c>
      <c r="J1437" s="74">
        <f t="shared" si="310"/>
      </c>
      <c r="K1437" s="80" t="s">
        <v>280</v>
      </c>
      <c r="L1437" s="74">
        <f t="shared" si="311"/>
      </c>
      <c r="M1437" s="74">
        <f t="shared" ca="1" si="312"/>
      </c>
      <c r="N1437" s="74">
        <f ca="1">VLOOKUP(B1437,$C$7:$T1435,13,FALSE)</f>
      </c>
      <c r="O1437" s="74">
        <f t="shared" ca="1" si="313"/>
      </c>
      <c r="P1437" s="74">
        <f t="shared" ca="1" si="314"/>
      </c>
      <c r="Q1437" s="74">
        <f t="shared" ca="1" si="315"/>
      </c>
      <c r="R1437" s="74">
        <f t="shared" si="316"/>
      </c>
      <c r="S1437" s="74">
        <f t="shared" ca="1" si="317"/>
      </c>
      <c r="T1437" s="74">
        <f t="shared" si="318"/>
      </c>
    </row>
    <row r="1438" spans="2:20" x14ac:dyDescent="0.3">
      <c r="B1438" s="74">
        <f t="shared" ca="1" si="308"/>
      </c>
      <c r="C1438" s="78">
        <f>Кабельный_журнал!P1404</f>
      </c>
      <c r="D1438" s="74">
        <f t="shared" ca="1" si="309"/>
      </c>
      <c r="E1438" s="80" t="s">
        <v>279</v>
      </c>
      <c r="F1438" s="74">
        <f t="shared" ca="1" si="305"/>
      </c>
      <c r="G1438" s="74">
        <f t="shared" si="306"/>
      </c>
      <c r="H1438" s="80" t="s">
        <v>272</v>
      </c>
      <c r="I1438" s="74">
        <f t="shared" si="307"/>
      </c>
      <c r="J1438" s="74">
        <f t="shared" si="310"/>
      </c>
      <c r="K1438" s="80" t="s">
        <v>280</v>
      </c>
      <c r="L1438" s="74">
        <f t="shared" si="311"/>
      </c>
      <c r="M1438" s="74">
        <f t="shared" ca="1" si="312"/>
      </c>
      <c r="N1438" s="74">
        <f ca="1">VLOOKUP(B1438,$C$7:$T1436,13,FALSE)</f>
      </c>
      <c r="O1438" s="74">
        <f t="shared" ca="1" si="313"/>
      </c>
      <c r="P1438" s="74">
        <f t="shared" ca="1" si="314"/>
      </c>
      <c r="Q1438" s="74">
        <f t="shared" ca="1" si="315"/>
      </c>
      <c r="R1438" s="74">
        <f t="shared" si="316"/>
      </c>
      <c r="S1438" s="74">
        <f t="shared" ca="1" si="317"/>
      </c>
      <c r="T1438" s="74">
        <f t="shared" si="318"/>
      </c>
    </row>
    <row r="1439" spans="2:20" x14ac:dyDescent="0.3">
      <c r="B1439" s="74">
        <f t="shared" ca="1" si="308"/>
      </c>
      <c r="C1439" s="78">
        <f>Кабельный_журнал!P1405</f>
      </c>
      <c r="D1439" s="74">
        <f t="shared" ca="1" si="309"/>
      </c>
      <c r="E1439" s="80" t="s">
        <v>279</v>
      </c>
      <c r="F1439" s="74">
        <f t="shared" ca="1" si="305"/>
      </c>
      <c r="G1439" s="74">
        <f t="shared" si="306"/>
      </c>
      <c r="H1439" s="80" t="s">
        <v>272</v>
      </c>
      <c r="I1439" s="74">
        <f t="shared" si="307"/>
      </c>
      <c r="J1439" s="74">
        <f t="shared" si="310"/>
      </c>
      <c r="K1439" s="80" t="s">
        <v>280</v>
      </c>
      <c r="L1439" s="74">
        <f t="shared" si="311"/>
      </c>
      <c r="M1439" s="74">
        <f t="shared" ca="1" si="312"/>
      </c>
      <c r="N1439" s="74">
        <f ca="1">VLOOKUP(B1439,$C$7:$T1437,13,FALSE)</f>
      </c>
      <c r="O1439" s="74">
        <f t="shared" ca="1" si="313"/>
      </c>
      <c r="P1439" s="74">
        <f t="shared" ca="1" si="314"/>
      </c>
      <c r="Q1439" s="74">
        <f t="shared" ca="1" si="315"/>
      </c>
      <c r="R1439" s="74">
        <f t="shared" si="316"/>
      </c>
      <c r="S1439" s="74">
        <f t="shared" ca="1" si="317"/>
      </c>
      <c r="T1439" s="74">
        <f t="shared" si="318"/>
      </c>
    </row>
    <row r="1440" spans="2:20" x14ac:dyDescent="0.3">
      <c r="B1440" s="74">
        <f t="shared" ca="1" si="308"/>
      </c>
      <c r="C1440" s="78">
        <f>Кабельный_журнал!P1406</f>
      </c>
      <c r="D1440" s="74">
        <f t="shared" ca="1" si="309"/>
      </c>
      <c r="E1440" s="80" t="s">
        <v>279</v>
      </c>
      <c r="F1440" s="74">
        <f t="shared" ca="1" si="305"/>
      </c>
      <c r="G1440" s="74">
        <f t="shared" si="306"/>
      </c>
      <c r="H1440" s="80" t="s">
        <v>272</v>
      </c>
      <c r="I1440" s="74">
        <f t="shared" si="307"/>
      </c>
      <c r="J1440" s="74">
        <f t="shared" si="310"/>
      </c>
      <c r="K1440" s="80" t="s">
        <v>280</v>
      </c>
      <c r="L1440" s="74">
        <f t="shared" si="311"/>
      </c>
      <c r="M1440" s="74">
        <f t="shared" ca="1" si="312"/>
      </c>
      <c r="N1440" s="74">
        <f ca="1">VLOOKUP(B1440,$C$7:$T1438,13,FALSE)</f>
      </c>
      <c r="O1440" s="74">
        <f t="shared" ca="1" si="313"/>
      </c>
      <c r="P1440" s="74">
        <f t="shared" ca="1" si="314"/>
      </c>
      <c r="Q1440" s="74">
        <f t="shared" ca="1" si="315"/>
      </c>
      <c r="R1440" s="74">
        <f t="shared" si="316"/>
      </c>
      <c r="S1440" s="74">
        <f t="shared" ca="1" si="317"/>
      </c>
      <c r="T1440" s="74">
        <f t="shared" si="318"/>
      </c>
    </row>
    <row r="1441" spans="2:20" x14ac:dyDescent="0.3">
      <c r="B1441" s="74">
        <f t="shared" ca="1" si="308"/>
      </c>
      <c r="C1441" s="78">
        <f>Кабельный_журнал!P1407</f>
      </c>
      <c r="D1441" s="74">
        <f t="shared" ca="1" si="309"/>
      </c>
      <c r="E1441" s="80" t="s">
        <v>279</v>
      </c>
      <c r="F1441" s="74">
        <f t="shared" ca="1" si="305"/>
      </c>
      <c r="G1441" s="74">
        <f t="shared" si="306"/>
      </c>
      <c r="H1441" s="80" t="s">
        <v>272</v>
      </c>
      <c r="I1441" s="74">
        <f t="shared" si="307"/>
      </c>
      <c r="J1441" s="74">
        <f t="shared" si="310"/>
      </c>
      <c r="K1441" s="80" t="s">
        <v>280</v>
      </c>
      <c r="L1441" s="74">
        <f t="shared" si="311"/>
      </c>
      <c r="M1441" s="74">
        <f t="shared" ca="1" si="312"/>
      </c>
      <c r="N1441" s="74">
        <f ca="1">VLOOKUP(B1441,$C$7:$T1439,13,FALSE)</f>
      </c>
      <c r="O1441" s="74">
        <f t="shared" ca="1" si="313"/>
      </c>
      <c r="P1441" s="74">
        <f t="shared" ca="1" si="314"/>
      </c>
      <c r="Q1441" s="74">
        <f t="shared" ca="1" si="315"/>
      </c>
      <c r="R1441" s="74">
        <f t="shared" si="316"/>
      </c>
      <c r="S1441" s="74">
        <f t="shared" ca="1" si="317"/>
      </c>
      <c r="T1441" s="74">
        <f t="shared" si="318"/>
      </c>
    </row>
    <row r="1442" spans="2:20" x14ac:dyDescent="0.3">
      <c r="B1442" s="74">
        <f t="shared" ca="1" si="308"/>
      </c>
      <c r="C1442" s="78">
        <f>Кабельный_журнал!P1408</f>
      </c>
      <c r="D1442" s="74">
        <f t="shared" ca="1" si="309"/>
      </c>
      <c r="E1442" s="80" t="s">
        <v>279</v>
      </c>
      <c r="F1442" s="74">
        <f t="shared" ca="1" si="305"/>
      </c>
      <c r="G1442" s="74">
        <f t="shared" si="306"/>
      </c>
      <c r="H1442" s="80" t="s">
        <v>272</v>
      </c>
      <c r="I1442" s="74">
        <f t="shared" si="307"/>
      </c>
      <c r="J1442" s="74">
        <f t="shared" si="310"/>
      </c>
      <c r="K1442" s="80" t="s">
        <v>280</v>
      </c>
      <c r="L1442" s="74">
        <f t="shared" si="311"/>
      </c>
      <c r="M1442" s="74">
        <f t="shared" ca="1" si="312"/>
      </c>
      <c r="N1442" s="74">
        <f ca="1">VLOOKUP(B1442,$C$7:$T1440,13,FALSE)</f>
      </c>
      <c r="O1442" s="74">
        <f t="shared" ca="1" si="313"/>
      </c>
      <c r="P1442" s="74">
        <f t="shared" ca="1" si="314"/>
      </c>
      <c r="Q1442" s="74">
        <f t="shared" ca="1" si="315"/>
      </c>
      <c r="R1442" s="74">
        <f t="shared" si="316"/>
      </c>
      <c r="S1442" s="74">
        <f t="shared" ca="1" si="317"/>
      </c>
      <c r="T1442" s="74">
        <f t="shared" si="318"/>
      </c>
    </row>
    <row r="1443" spans="2:20" x14ac:dyDescent="0.3">
      <c r="B1443" s="74">
        <f t="shared" ca="1" si="308"/>
      </c>
      <c r="C1443" s="78">
        <f>Кабельный_журнал!P1409</f>
      </c>
      <c r="D1443" s="74">
        <f t="shared" ca="1" si="309"/>
      </c>
      <c r="E1443" s="80" t="s">
        <v>279</v>
      </c>
      <c r="F1443" s="74">
        <f t="shared" ca="1" si="305"/>
      </c>
      <c r="G1443" s="74">
        <f t="shared" si="306"/>
      </c>
      <c r="H1443" s="80" t="s">
        <v>272</v>
      </c>
      <c r="I1443" s="74">
        <f t="shared" si="307"/>
      </c>
      <c r="J1443" s="74">
        <f t="shared" si="310"/>
      </c>
      <c r="K1443" s="80" t="s">
        <v>280</v>
      </c>
      <c r="L1443" s="74">
        <f t="shared" si="311"/>
      </c>
      <c r="M1443" s="74">
        <f t="shared" ca="1" si="312"/>
      </c>
      <c r="N1443" s="74">
        <f ca="1">VLOOKUP(B1443,$C$7:$T1441,13,FALSE)</f>
      </c>
      <c r="O1443" s="74">
        <f t="shared" ca="1" si="313"/>
      </c>
      <c r="P1443" s="74">
        <f t="shared" ca="1" si="314"/>
      </c>
      <c r="Q1443" s="74">
        <f t="shared" ca="1" si="315"/>
      </c>
      <c r="R1443" s="74">
        <f t="shared" si="316"/>
      </c>
      <c r="S1443" s="74">
        <f t="shared" ca="1" si="317"/>
      </c>
      <c r="T1443" s="74">
        <f t="shared" si="318"/>
      </c>
    </row>
    <row r="1444" spans="2:20" x14ac:dyDescent="0.3">
      <c r="B1444" s="74">
        <f t="shared" ca="1" si="308"/>
      </c>
      <c r="C1444" s="78">
        <f>Кабельный_журнал!P1410</f>
      </c>
      <c r="D1444" s="74">
        <f t="shared" ca="1" si="309"/>
      </c>
      <c r="E1444" s="80" t="s">
        <v>279</v>
      </c>
      <c r="F1444" s="74">
        <f t="shared" ca="1" si="305"/>
      </c>
      <c r="G1444" s="74">
        <f t="shared" si="306"/>
      </c>
      <c r="H1444" s="80" t="s">
        <v>272</v>
      </c>
      <c r="I1444" s="74">
        <f t="shared" si="307"/>
      </c>
      <c r="J1444" s="74">
        <f t="shared" si="310"/>
      </c>
      <c r="K1444" s="80" t="s">
        <v>280</v>
      </c>
      <c r="L1444" s="74">
        <f t="shared" si="311"/>
      </c>
      <c r="M1444" s="74">
        <f t="shared" ca="1" si="312"/>
      </c>
      <c r="N1444" s="74">
        <f ca="1">VLOOKUP(B1444,$C$7:$T1442,13,FALSE)</f>
      </c>
      <c r="O1444" s="74">
        <f t="shared" ca="1" si="313"/>
      </c>
      <c r="P1444" s="74">
        <f t="shared" ca="1" si="314"/>
      </c>
      <c r="Q1444" s="74">
        <f t="shared" ca="1" si="315"/>
      </c>
      <c r="R1444" s="74">
        <f t="shared" si="316"/>
      </c>
      <c r="S1444" s="74">
        <f t="shared" ca="1" si="317"/>
      </c>
      <c r="T1444" s="74">
        <f t="shared" si="318"/>
      </c>
    </row>
    <row r="1445" spans="2:20" x14ac:dyDescent="0.3">
      <c r="B1445" s="74">
        <f t="shared" ca="1" si="308"/>
      </c>
      <c r="C1445" s="78">
        <f>Кабельный_журнал!P1411</f>
      </c>
      <c r="D1445" s="74">
        <f t="shared" ca="1" si="309"/>
      </c>
      <c r="E1445" s="80" t="s">
        <v>279</v>
      </c>
      <c r="F1445" s="74">
        <f t="shared" ca="1" si="305"/>
      </c>
      <c r="G1445" s="74">
        <f t="shared" si="306"/>
      </c>
      <c r="H1445" s="80" t="s">
        <v>272</v>
      </c>
      <c r="I1445" s="74">
        <f t="shared" si="307"/>
      </c>
      <c r="J1445" s="74">
        <f t="shared" si="310"/>
      </c>
      <c r="K1445" s="80" t="s">
        <v>280</v>
      </c>
      <c r="L1445" s="74">
        <f t="shared" si="311"/>
      </c>
      <c r="M1445" s="74">
        <f t="shared" ca="1" si="312"/>
      </c>
      <c r="N1445" s="74">
        <f ca="1">VLOOKUP(B1445,$C$7:$T1443,13,FALSE)</f>
      </c>
      <c r="O1445" s="74">
        <f t="shared" ca="1" si="313"/>
      </c>
      <c r="P1445" s="74">
        <f t="shared" ca="1" si="314"/>
      </c>
      <c r="Q1445" s="74">
        <f t="shared" ca="1" si="315"/>
      </c>
      <c r="R1445" s="74">
        <f t="shared" si="316"/>
      </c>
      <c r="S1445" s="74">
        <f t="shared" ca="1" si="317"/>
      </c>
      <c r="T1445" s="74">
        <f t="shared" si="318"/>
      </c>
    </row>
    <row r="1446" spans="2:20" x14ac:dyDescent="0.3">
      <c r="B1446" s="74">
        <f t="shared" ca="1" si="308"/>
      </c>
      <c r="C1446" s="78">
        <f>Кабельный_журнал!P1412</f>
      </c>
      <c r="D1446" s="74">
        <f t="shared" ca="1" si="309"/>
      </c>
      <c r="E1446" s="80" t="s">
        <v>279</v>
      </c>
      <c r="F1446" s="74">
        <f t="shared" ca="1" si="305"/>
      </c>
      <c r="G1446" s="74">
        <f t="shared" si="306"/>
      </c>
      <c r="H1446" s="80" t="s">
        <v>272</v>
      </c>
      <c r="I1446" s="74">
        <f t="shared" si="307"/>
      </c>
      <c r="J1446" s="74">
        <f t="shared" si="310"/>
      </c>
      <c r="K1446" s="80" t="s">
        <v>280</v>
      </c>
      <c r="L1446" s="74">
        <f t="shared" si="311"/>
      </c>
      <c r="M1446" s="74">
        <f t="shared" ca="1" si="312"/>
      </c>
      <c r="N1446" s="74">
        <f ca="1">VLOOKUP(B1446,$C$7:$T1444,13,FALSE)</f>
      </c>
      <c r="O1446" s="74">
        <f t="shared" ca="1" si="313"/>
      </c>
      <c r="P1446" s="74">
        <f t="shared" ca="1" si="314"/>
      </c>
      <c r="Q1446" s="74">
        <f t="shared" ca="1" si="315"/>
      </c>
      <c r="R1446" s="74">
        <f t="shared" si="316"/>
      </c>
      <c r="S1446" s="74">
        <f t="shared" ca="1" si="317"/>
      </c>
      <c r="T1446" s="74">
        <f t="shared" si="318"/>
      </c>
    </row>
    <row r="1447" spans="2:20" x14ac:dyDescent="0.3">
      <c r="B1447" s="74">
        <f t="shared" ca="1" si="308"/>
      </c>
      <c r="C1447" s="78">
        <f>Кабельный_журнал!P1413</f>
      </c>
      <c r="D1447" s="74">
        <f t="shared" ca="1" si="309"/>
      </c>
      <c r="E1447" s="80" t="s">
        <v>279</v>
      </c>
      <c r="F1447" s="74">
        <f t="shared" ref="F1447:F1510" ca="1" si="319">VLOOKUP(C1447,Кабельный_журнал,8,FALSE)</f>
      </c>
      <c r="G1447" s="74">
        <f t="shared" ref="G1447:G1510" si="320">VLOOKUP(C1447,Исходные_данные,21,FALSE)</f>
      </c>
      <c r="H1447" s="80" t="s">
        <v>272</v>
      </c>
      <c r="I1447" s="74">
        <f t="shared" ref="I1447:I1510" si="321">VLOOKUP(C1447,Исходные_данные,22,FALSE)</f>
      </c>
      <c r="J1447" s="74">
        <f t="shared" si="310"/>
      </c>
      <c r="K1447" s="80" t="s">
        <v>280</v>
      </c>
      <c r="L1447" s="74">
        <f t="shared" si="311"/>
      </c>
      <c r="M1447" s="74">
        <f t="shared" ca="1" si="312"/>
      </c>
      <c r="N1447" s="74">
        <f ca="1">VLOOKUP(B1447,$C$7:$T1445,13,FALSE)</f>
      </c>
      <c r="O1447" s="74">
        <f t="shared" ca="1" si="313"/>
      </c>
      <c r="P1447" s="74">
        <f t="shared" ca="1" si="314"/>
      </c>
      <c r="Q1447" s="74">
        <f t="shared" ca="1" si="315"/>
      </c>
      <c r="R1447" s="74">
        <f t="shared" si="316"/>
      </c>
      <c r="S1447" s="74">
        <f t="shared" ca="1" si="317"/>
      </c>
      <c r="T1447" s="74">
        <f t="shared" si="318"/>
      </c>
    </row>
    <row r="1448" spans="2:20" x14ac:dyDescent="0.3">
      <c r="B1448" s="74">
        <f t="shared" ref="B1448:B1511" ca="1" si="322">VLOOKUP(C1448,Кабельный_журнал,2,FALSE)</f>
      </c>
      <c r="C1448" s="78">
        <f>Кабельный_журнал!P1414</f>
      </c>
      <c r="D1448" s="74">
        <f t="shared" ref="D1448:D1511" ca="1" si="323">B1448&amp;"-"&amp;C1448</f>
      </c>
      <c r="E1448" s="80" t="s">
        <v>279</v>
      </c>
      <c r="F1448" s="74">
        <f t="shared" ca="1" si="319"/>
      </c>
      <c r="G1448" s="74">
        <f t="shared" si="320"/>
      </c>
      <c r="H1448" s="80" t="s">
        <v>272</v>
      </c>
      <c r="I1448" s="74">
        <f t="shared" si="321"/>
      </c>
      <c r="J1448" s="74">
        <f t="shared" ref="J1448:J1511" si="324">I1448</f>
      </c>
      <c r="K1448" s="80" t="s">
        <v>280</v>
      </c>
      <c r="L1448" s="74">
        <f t="shared" ref="L1448:L1511" si="325">VLOOKUP(K1448,$K$2:$L$3,2,FALSE)</f>
      </c>
      <c r="M1448" s="74">
        <f t="shared" ref="M1448:M1511" ca="1" si="326">L1448*F1448*(1/I1448+1/J1448)</f>
      </c>
      <c r="N1448" s="74">
        <f ca="1">VLOOKUP(B1448,$C$7:$T1446,13,FALSE)</f>
      </c>
      <c r="O1448" s="74">
        <f t="shared" ref="O1448:O1511" ca="1" si="327">L1448+M1448</f>
      </c>
      <c r="P1448" s="74">
        <f t="shared" ref="P1448:P1511" ca="1" si="328">220/O1448</f>
      </c>
      <c r="Q1448" s="74">
        <f t="shared" ref="Q1448:Q1511" ca="1" si="329">O1448/G1448</f>
      </c>
      <c r="R1448" s="74">
        <f t="shared" ref="R1448:R1511" si="330">VLOOKUP(H1448,$W$2:$Y$12,3,FALSE)</f>
      </c>
      <c r="S1448" s="74">
        <f t="shared" ref="S1448:S1511" ca="1" si="331">_xlfn.IFS(E1448="щит",IF(P1448&gt;R1448,"Увел сеч",IF(T1448&gt;P1448,"Увел сеч","tср&lt;5с")),E1448="потреб",IF(P1448&gt;R1448,"Увел сеч",IF(T1448&gt;P1448,"Увел сеч","tср&lt;0.4с")))</f>
      </c>
      <c r="T1448" s="74">
        <f t="shared" ref="T1448:T1511" si="332">G1448*VLOOKUP(H1448,$W$2:$Y$12,2,FALSE)</f>
      </c>
    </row>
    <row r="1449" spans="2:20" x14ac:dyDescent="0.3">
      <c r="B1449" s="74">
        <f t="shared" ca="1" si="322"/>
      </c>
      <c r="C1449" s="78">
        <f>Кабельный_журнал!P1415</f>
      </c>
      <c r="D1449" s="74">
        <f t="shared" ca="1" si="323"/>
      </c>
      <c r="E1449" s="80" t="s">
        <v>279</v>
      </c>
      <c r="F1449" s="74">
        <f t="shared" ca="1" si="319"/>
      </c>
      <c r="G1449" s="74">
        <f t="shared" si="320"/>
      </c>
      <c r="H1449" s="80" t="s">
        <v>272</v>
      </c>
      <c r="I1449" s="74">
        <f t="shared" si="321"/>
      </c>
      <c r="J1449" s="74">
        <f t="shared" si="324"/>
      </c>
      <c r="K1449" s="80" t="s">
        <v>280</v>
      </c>
      <c r="L1449" s="74">
        <f t="shared" si="325"/>
      </c>
      <c r="M1449" s="74">
        <f t="shared" ca="1" si="326"/>
      </c>
      <c r="N1449" s="74">
        <f ca="1">VLOOKUP(B1449,$C$7:$T1447,13,FALSE)</f>
      </c>
      <c r="O1449" s="74">
        <f t="shared" ca="1" si="327"/>
      </c>
      <c r="P1449" s="74">
        <f t="shared" ca="1" si="328"/>
      </c>
      <c r="Q1449" s="74">
        <f t="shared" ca="1" si="329"/>
      </c>
      <c r="R1449" s="74">
        <f t="shared" si="330"/>
      </c>
      <c r="S1449" s="74">
        <f t="shared" ca="1" si="331"/>
      </c>
      <c r="T1449" s="74">
        <f t="shared" si="332"/>
      </c>
    </row>
    <row r="1450" spans="2:20" x14ac:dyDescent="0.3">
      <c r="B1450" s="74">
        <f t="shared" ca="1" si="322"/>
      </c>
      <c r="C1450" s="78">
        <f>Кабельный_журнал!P1416</f>
      </c>
      <c r="D1450" s="74">
        <f t="shared" ca="1" si="323"/>
      </c>
      <c r="E1450" s="80" t="s">
        <v>279</v>
      </c>
      <c r="F1450" s="74">
        <f t="shared" ca="1" si="319"/>
      </c>
      <c r="G1450" s="74">
        <f t="shared" si="320"/>
      </c>
      <c r="H1450" s="80" t="s">
        <v>272</v>
      </c>
      <c r="I1450" s="74">
        <f t="shared" si="321"/>
      </c>
      <c r="J1450" s="74">
        <f t="shared" si="324"/>
      </c>
      <c r="K1450" s="80" t="s">
        <v>280</v>
      </c>
      <c r="L1450" s="74">
        <f t="shared" si="325"/>
      </c>
      <c r="M1450" s="74">
        <f t="shared" ca="1" si="326"/>
      </c>
      <c r="N1450" s="74">
        <f ca="1">VLOOKUP(B1450,$C$7:$T1448,13,FALSE)</f>
      </c>
      <c r="O1450" s="74">
        <f t="shared" ca="1" si="327"/>
      </c>
      <c r="P1450" s="74">
        <f t="shared" ca="1" si="328"/>
      </c>
      <c r="Q1450" s="74">
        <f t="shared" ca="1" si="329"/>
      </c>
      <c r="R1450" s="74">
        <f t="shared" si="330"/>
      </c>
      <c r="S1450" s="74">
        <f t="shared" ca="1" si="331"/>
      </c>
      <c r="T1450" s="74">
        <f t="shared" si="332"/>
      </c>
    </row>
    <row r="1451" spans="2:20" x14ac:dyDescent="0.3">
      <c r="B1451" s="74">
        <f t="shared" ca="1" si="322"/>
      </c>
      <c r="C1451" s="78">
        <f>Кабельный_журнал!P1417</f>
      </c>
      <c r="D1451" s="74">
        <f t="shared" ca="1" si="323"/>
      </c>
      <c r="E1451" s="80" t="s">
        <v>279</v>
      </c>
      <c r="F1451" s="74">
        <f t="shared" ca="1" si="319"/>
      </c>
      <c r="G1451" s="74">
        <f t="shared" si="320"/>
      </c>
      <c r="H1451" s="80" t="s">
        <v>272</v>
      </c>
      <c r="I1451" s="74">
        <f t="shared" si="321"/>
      </c>
      <c r="J1451" s="74">
        <f t="shared" si="324"/>
      </c>
      <c r="K1451" s="80" t="s">
        <v>280</v>
      </c>
      <c r="L1451" s="74">
        <f t="shared" si="325"/>
      </c>
      <c r="M1451" s="74">
        <f t="shared" ca="1" si="326"/>
      </c>
      <c r="N1451" s="74">
        <f ca="1">VLOOKUP(B1451,$C$7:$T1449,13,FALSE)</f>
      </c>
      <c r="O1451" s="74">
        <f t="shared" ca="1" si="327"/>
      </c>
      <c r="P1451" s="74">
        <f t="shared" ca="1" si="328"/>
      </c>
      <c r="Q1451" s="74">
        <f t="shared" ca="1" si="329"/>
      </c>
      <c r="R1451" s="74">
        <f t="shared" si="330"/>
      </c>
      <c r="S1451" s="74">
        <f t="shared" ca="1" si="331"/>
      </c>
      <c r="T1451" s="74">
        <f t="shared" si="332"/>
      </c>
    </row>
    <row r="1452" spans="2:20" x14ac:dyDescent="0.3">
      <c r="B1452" s="74">
        <f t="shared" ca="1" si="322"/>
      </c>
      <c r="C1452" s="78">
        <f>Кабельный_журнал!P1418</f>
      </c>
      <c r="D1452" s="74">
        <f t="shared" ca="1" si="323"/>
      </c>
      <c r="E1452" s="80" t="s">
        <v>279</v>
      </c>
      <c r="F1452" s="74">
        <f t="shared" ca="1" si="319"/>
      </c>
      <c r="G1452" s="74">
        <f t="shared" si="320"/>
      </c>
      <c r="H1452" s="80" t="s">
        <v>272</v>
      </c>
      <c r="I1452" s="74">
        <f t="shared" si="321"/>
      </c>
      <c r="J1452" s="74">
        <f t="shared" si="324"/>
      </c>
      <c r="K1452" s="80" t="s">
        <v>280</v>
      </c>
      <c r="L1452" s="74">
        <f t="shared" si="325"/>
      </c>
      <c r="M1452" s="74">
        <f t="shared" ca="1" si="326"/>
      </c>
      <c r="N1452" s="74">
        <f ca="1">VLOOKUP(B1452,$C$7:$T1450,13,FALSE)</f>
      </c>
      <c r="O1452" s="74">
        <f t="shared" ca="1" si="327"/>
      </c>
      <c r="P1452" s="74">
        <f t="shared" ca="1" si="328"/>
      </c>
      <c r="Q1452" s="74">
        <f t="shared" ca="1" si="329"/>
      </c>
      <c r="R1452" s="74">
        <f t="shared" si="330"/>
      </c>
      <c r="S1452" s="74">
        <f t="shared" ca="1" si="331"/>
      </c>
      <c r="T1452" s="74">
        <f t="shared" si="332"/>
      </c>
    </row>
    <row r="1453" spans="2:20" x14ac:dyDescent="0.3">
      <c r="B1453" s="74">
        <f t="shared" ca="1" si="322"/>
      </c>
      <c r="C1453" s="78">
        <f>Кабельный_журнал!P1419</f>
      </c>
      <c r="D1453" s="74">
        <f t="shared" ca="1" si="323"/>
      </c>
      <c r="E1453" s="80" t="s">
        <v>279</v>
      </c>
      <c r="F1453" s="74">
        <f t="shared" ca="1" si="319"/>
      </c>
      <c r="G1453" s="74">
        <f t="shared" si="320"/>
      </c>
      <c r="H1453" s="80" t="s">
        <v>272</v>
      </c>
      <c r="I1453" s="74">
        <f t="shared" si="321"/>
      </c>
      <c r="J1453" s="74">
        <f t="shared" si="324"/>
      </c>
      <c r="K1453" s="80" t="s">
        <v>280</v>
      </c>
      <c r="L1453" s="74">
        <f t="shared" si="325"/>
      </c>
      <c r="M1453" s="74">
        <f t="shared" ca="1" si="326"/>
      </c>
      <c r="N1453" s="74">
        <f ca="1">VLOOKUP(B1453,$C$7:$T1451,13,FALSE)</f>
      </c>
      <c r="O1453" s="74">
        <f t="shared" ca="1" si="327"/>
      </c>
      <c r="P1453" s="74">
        <f t="shared" ca="1" si="328"/>
      </c>
      <c r="Q1453" s="74">
        <f t="shared" ca="1" si="329"/>
      </c>
      <c r="R1453" s="74">
        <f t="shared" si="330"/>
      </c>
      <c r="S1453" s="74">
        <f t="shared" ca="1" si="331"/>
      </c>
      <c r="T1453" s="74">
        <f t="shared" si="332"/>
      </c>
    </row>
    <row r="1454" spans="2:20" x14ac:dyDescent="0.3">
      <c r="B1454" s="74">
        <f t="shared" ca="1" si="322"/>
      </c>
      <c r="C1454" s="78">
        <f>Кабельный_журнал!P1420</f>
      </c>
      <c r="D1454" s="74">
        <f t="shared" ca="1" si="323"/>
      </c>
      <c r="E1454" s="80" t="s">
        <v>279</v>
      </c>
      <c r="F1454" s="74">
        <f t="shared" ca="1" si="319"/>
      </c>
      <c r="G1454" s="74">
        <f t="shared" si="320"/>
      </c>
      <c r="H1454" s="80" t="s">
        <v>272</v>
      </c>
      <c r="I1454" s="74">
        <f t="shared" si="321"/>
      </c>
      <c r="J1454" s="74">
        <f t="shared" si="324"/>
      </c>
      <c r="K1454" s="80" t="s">
        <v>280</v>
      </c>
      <c r="L1454" s="74">
        <f t="shared" si="325"/>
      </c>
      <c r="M1454" s="74">
        <f t="shared" ca="1" si="326"/>
      </c>
      <c r="N1454" s="74">
        <f ca="1">VLOOKUP(B1454,$C$7:$T1452,13,FALSE)</f>
      </c>
      <c r="O1454" s="74">
        <f t="shared" ca="1" si="327"/>
      </c>
      <c r="P1454" s="74">
        <f t="shared" ca="1" si="328"/>
      </c>
      <c r="Q1454" s="74">
        <f t="shared" ca="1" si="329"/>
      </c>
      <c r="R1454" s="74">
        <f t="shared" si="330"/>
      </c>
      <c r="S1454" s="74">
        <f t="shared" ca="1" si="331"/>
      </c>
      <c r="T1454" s="74">
        <f t="shared" si="332"/>
      </c>
    </row>
    <row r="1455" spans="2:20" x14ac:dyDescent="0.3">
      <c r="B1455" s="74">
        <f t="shared" ca="1" si="322"/>
      </c>
      <c r="C1455" s="78">
        <f>Кабельный_журнал!P1421</f>
      </c>
      <c r="D1455" s="74">
        <f t="shared" ca="1" si="323"/>
      </c>
      <c r="E1455" s="80" t="s">
        <v>279</v>
      </c>
      <c r="F1455" s="74">
        <f t="shared" ca="1" si="319"/>
      </c>
      <c r="G1455" s="74">
        <f t="shared" si="320"/>
      </c>
      <c r="H1455" s="80" t="s">
        <v>272</v>
      </c>
      <c r="I1455" s="74">
        <f t="shared" si="321"/>
      </c>
      <c r="J1455" s="74">
        <f t="shared" si="324"/>
      </c>
      <c r="K1455" s="80" t="s">
        <v>280</v>
      </c>
      <c r="L1455" s="74">
        <f t="shared" si="325"/>
      </c>
      <c r="M1455" s="74">
        <f t="shared" ca="1" si="326"/>
      </c>
      <c r="N1455" s="74">
        <f ca="1">VLOOKUP(B1455,$C$7:$T1453,13,FALSE)</f>
      </c>
      <c r="O1455" s="74">
        <f t="shared" ca="1" si="327"/>
      </c>
      <c r="P1455" s="74">
        <f t="shared" ca="1" si="328"/>
      </c>
      <c r="Q1455" s="74">
        <f t="shared" ca="1" si="329"/>
      </c>
      <c r="R1455" s="74">
        <f t="shared" si="330"/>
      </c>
      <c r="S1455" s="74">
        <f t="shared" ca="1" si="331"/>
      </c>
      <c r="T1455" s="74">
        <f t="shared" si="332"/>
      </c>
    </row>
    <row r="1456" spans="2:20" x14ac:dyDescent="0.3">
      <c r="B1456" s="74">
        <f t="shared" ca="1" si="322"/>
      </c>
      <c r="C1456" s="78">
        <f>Кабельный_журнал!P1422</f>
      </c>
      <c r="D1456" s="74">
        <f t="shared" ca="1" si="323"/>
      </c>
      <c r="E1456" s="80" t="s">
        <v>279</v>
      </c>
      <c r="F1456" s="74">
        <f t="shared" ca="1" si="319"/>
      </c>
      <c r="G1456" s="74">
        <f t="shared" si="320"/>
      </c>
      <c r="H1456" s="80" t="s">
        <v>272</v>
      </c>
      <c r="I1456" s="74">
        <f t="shared" si="321"/>
      </c>
      <c r="J1456" s="74">
        <f t="shared" si="324"/>
      </c>
      <c r="K1456" s="80" t="s">
        <v>280</v>
      </c>
      <c r="L1456" s="74">
        <f t="shared" si="325"/>
      </c>
      <c r="M1456" s="74">
        <f t="shared" ca="1" si="326"/>
      </c>
      <c r="N1456" s="74">
        <f ca="1">VLOOKUP(B1456,$C$7:$T1454,13,FALSE)</f>
      </c>
      <c r="O1456" s="74">
        <f t="shared" ca="1" si="327"/>
      </c>
      <c r="P1456" s="74">
        <f t="shared" ca="1" si="328"/>
      </c>
      <c r="Q1456" s="74">
        <f t="shared" ca="1" si="329"/>
      </c>
      <c r="R1456" s="74">
        <f t="shared" si="330"/>
      </c>
      <c r="S1456" s="74">
        <f t="shared" ca="1" si="331"/>
      </c>
      <c r="T1456" s="74">
        <f t="shared" si="332"/>
      </c>
    </row>
    <row r="1457" spans="2:20" x14ac:dyDescent="0.3">
      <c r="B1457" s="74">
        <f t="shared" ca="1" si="322"/>
      </c>
      <c r="C1457" s="78">
        <f>Кабельный_журнал!P1423</f>
      </c>
      <c r="D1457" s="74">
        <f t="shared" ca="1" si="323"/>
      </c>
      <c r="E1457" s="80" t="s">
        <v>279</v>
      </c>
      <c r="F1457" s="74">
        <f t="shared" ca="1" si="319"/>
      </c>
      <c r="G1457" s="74">
        <f t="shared" si="320"/>
      </c>
      <c r="H1457" s="80" t="s">
        <v>272</v>
      </c>
      <c r="I1457" s="74">
        <f t="shared" si="321"/>
      </c>
      <c r="J1457" s="74">
        <f t="shared" si="324"/>
      </c>
      <c r="K1457" s="80" t="s">
        <v>280</v>
      </c>
      <c r="L1457" s="74">
        <f t="shared" si="325"/>
      </c>
      <c r="M1457" s="74">
        <f t="shared" ca="1" si="326"/>
      </c>
      <c r="N1457" s="74">
        <f ca="1">VLOOKUP(B1457,$C$7:$T1455,13,FALSE)</f>
      </c>
      <c r="O1457" s="74">
        <f t="shared" ca="1" si="327"/>
      </c>
      <c r="P1457" s="74">
        <f t="shared" ca="1" si="328"/>
      </c>
      <c r="Q1457" s="74">
        <f t="shared" ca="1" si="329"/>
      </c>
      <c r="R1457" s="74">
        <f t="shared" si="330"/>
      </c>
      <c r="S1457" s="74">
        <f t="shared" ca="1" si="331"/>
      </c>
      <c r="T1457" s="74">
        <f t="shared" si="332"/>
      </c>
    </row>
    <row r="1458" spans="2:20" x14ac:dyDescent="0.3">
      <c r="B1458" s="74">
        <f t="shared" ca="1" si="322"/>
      </c>
      <c r="C1458" s="78">
        <f>Кабельный_журнал!P1424</f>
      </c>
      <c r="D1458" s="74">
        <f t="shared" ca="1" si="323"/>
      </c>
      <c r="E1458" s="80" t="s">
        <v>279</v>
      </c>
      <c r="F1458" s="74">
        <f t="shared" ca="1" si="319"/>
      </c>
      <c r="G1458" s="74">
        <f t="shared" si="320"/>
      </c>
      <c r="H1458" s="80" t="s">
        <v>272</v>
      </c>
      <c r="I1458" s="74">
        <f t="shared" si="321"/>
      </c>
      <c r="J1458" s="74">
        <f t="shared" si="324"/>
      </c>
      <c r="K1458" s="80" t="s">
        <v>280</v>
      </c>
      <c r="L1458" s="74">
        <f t="shared" si="325"/>
      </c>
      <c r="M1458" s="74">
        <f t="shared" ca="1" si="326"/>
      </c>
      <c r="N1458" s="74">
        <f ca="1">VLOOKUP(B1458,$C$7:$T1456,13,FALSE)</f>
      </c>
      <c r="O1458" s="74">
        <f t="shared" ca="1" si="327"/>
      </c>
      <c r="P1458" s="74">
        <f t="shared" ca="1" si="328"/>
      </c>
      <c r="Q1458" s="74">
        <f t="shared" ca="1" si="329"/>
      </c>
      <c r="R1458" s="74">
        <f t="shared" si="330"/>
      </c>
      <c r="S1458" s="74">
        <f t="shared" ca="1" si="331"/>
      </c>
      <c r="T1458" s="74">
        <f t="shared" si="332"/>
      </c>
    </row>
    <row r="1459" spans="2:20" x14ac:dyDescent="0.3">
      <c r="B1459" s="74">
        <f t="shared" ca="1" si="322"/>
      </c>
      <c r="C1459" s="78">
        <f>Кабельный_журнал!P1425</f>
      </c>
      <c r="D1459" s="74">
        <f t="shared" ca="1" si="323"/>
      </c>
      <c r="E1459" s="80" t="s">
        <v>279</v>
      </c>
      <c r="F1459" s="74">
        <f t="shared" ca="1" si="319"/>
      </c>
      <c r="G1459" s="74">
        <f t="shared" si="320"/>
      </c>
      <c r="H1459" s="80" t="s">
        <v>272</v>
      </c>
      <c r="I1459" s="74">
        <f t="shared" si="321"/>
      </c>
      <c r="J1459" s="74">
        <f t="shared" si="324"/>
      </c>
      <c r="K1459" s="80" t="s">
        <v>280</v>
      </c>
      <c r="L1459" s="74">
        <f t="shared" si="325"/>
      </c>
      <c r="M1459" s="74">
        <f t="shared" ca="1" si="326"/>
      </c>
      <c r="N1459" s="74">
        <f ca="1">VLOOKUP(B1459,$C$7:$T1457,13,FALSE)</f>
      </c>
      <c r="O1459" s="74">
        <f t="shared" ca="1" si="327"/>
      </c>
      <c r="P1459" s="74">
        <f t="shared" ca="1" si="328"/>
      </c>
      <c r="Q1459" s="74">
        <f t="shared" ca="1" si="329"/>
      </c>
      <c r="R1459" s="74">
        <f t="shared" si="330"/>
      </c>
      <c r="S1459" s="74">
        <f t="shared" ca="1" si="331"/>
      </c>
      <c r="T1459" s="74">
        <f t="shared" si="332"/>
      </c>
    </row>
    <row r="1460" spans="2:20" x14ac:dyDescent="0.3">
      <c r="B1460" s="74">
        <f t="shared" ca="1" si="322"/>
      </c>
      <c r="C1460" s="78">
        <f>Кабельный_журнал!P1426</f>
      </c>
      <c r="D1460" s="74">
        <f t="shared" ca="1" si="323"/>
      </c>
      <c r="E1460" s="80" t="s">
        <v>279</v>
      </c>
      <c r="F1460" s="74">
        <f t="shared" ca="1" si="319"/>
      </c>
      <c r="G1460" s="74">
        <f t="shared" si="320"/>
      </c>
      <c r="H1460" s="80" t="s">
        <v>272</v>
      </c>
      <c r="I1460" s="74">
        <f t="shared" si="321"/>
      </c>
      <c r="J1460" s="74">
        <f t="shared" si="324"/>
      </c>
      <c r="K1460" s="80" t="s">
        <v>280</v>
      </c>
      <c r="L1460" s="74">
        <f t="shared" si="325"/>
      </c>
      <c r="M1460" s="74">
        <f t="shared" ca="1" si="326"/>
      </c>
      <c r="N1460" s="74">
        <f ca="1">VLOOKUP(B1460,$C$7:$T1458,13,FALSE)</f>
      </c>
      <c r="O1460" s="74">
        <f t="shared" ca="1" si="327"/>
      </c>
      <c r="P1460" s="74">
        <f t="shared" ca="1" si="328"/>
      </c>
      <c r="Q1460" s="74">
        <f t="shared" ca="1" si="329"/>
      </c>
      <c r="R1460" s="74">
        <f t="shared" si="330"/>
      </c>
      <c r="S1460" s="74">
        <f t="shared" ca="1" si="331"/>
      </c>
      <c r="T1460" s="74">
        <f t="shared" si="332"/>
      </c>
    </row>
    <row r="1461" spans="2:20" x14ac:dyDescent="0.3">
      <c r="B1461" s="74">
        <f t="shared" ca="1" si="322"/>
      </c>
      <c r="C1461" s="78">
        <f>Кабельный_журнал!P1427</f>
      </c>
      <c r="D1461" s="74">
        <f t="shared" ca="1" si="323"/>
      </c>
      <c r="E1461" s="80" t="s">
        <v>279</v>
      </c>
      <c r="F1461" s="74">
        <f t="shared" ca="1" si="319"/>
      </c>
      <c r="G1461" s="74">
        <f t="shared" si="320"/>
      </c>
      <c r="H1461" s="80" t="s">
        <v>272</v>
      </c>
      <c r="I1461" s="74">
        <f t="shared" si="321"/>
      </c>
      <c r="J1461" s="74">
        <f t="shared" si="324"/>
      </c>
      <c r="K1461" s="80" t="s">
        <v>280</v>
      </c>
      <c r="L1461" s="74">
        <f t="shared" si="325"/>
      </c>
      <c r="M1461" s="74">
        <f t="shared" ca="1" si="326"/>
      </c>
      <c r="N1461" s="74">
        <f ca="1">VLOOKUP(B1461,$C$7:$T1459,13,FALSE)</f>
      </c>
      <c r="O1461" s="74">
        <f t="shared" ca="1" si="327"/>
      </c>
      <c r="P1461" s="74">
        <f t="shared" ca="1" si="328"/>
      </c>
      <c r="Q1461" s="74">
        <f t="shared" ca="1" si="329"/>
      </c>
      <c r="R1461" s="74">
        <f t="shared" si="330"/>
      </c>
      <c r="S1461" s="74">
        <f t="shared" ca="1" si="331"/>
      </c>
      <c r="T1461" s="74">
        <f t="shared" si="332"/>
      </c>
    </row>
    <row r="1462" spans="2:20" x14ac:dyDescent="0.3">
      <c r="B1462" s="74">
        <f t="shared" ca="1" si="322"/>
      </c>
      <c r="C1462" s="78">
        <f>Кабельный_журнал!P1428</f>
      </c>
      <c r="D1462" s="74">
        <f t="shared" ca="1" si="323"/>
      </c>
      <c r="E1462" s="80" t="s">
        <v>279</v>
      </c>
      <c r="F1462" s="74">
        <f t="shared" ca="1" si="319"/>
      </c>
      <c r="G1462" s="74">
        <f t="shared" si="320"/>
      </c>
      <c r="H1462" s="80" t="s">
        <v>272</v>
      </c>
      <c r="I1462" s="74">
        <f t="shared" si="321"/>
      </c>
      <c r="J1462" s="74">
        <f t="shared" si="324"/>
      </c>
      <c r="K1462" s="80" t="s">
        <v>280</v>
      </c>
      <c r="L1462" s="74">
        <f t="shared" si="325"/>
      </c>
      <c r="M1462" s="74">
        <f t="shared" ca="1" si="326"/>
      </c>
      <c r="N1462" s="74">
        <f ca="1">VLOOKUP(B1462,$C$7:$T1460,13,FALSE)</f>
      </c>
      <c r="O1462" s="74">
        <f t="shared" ca="1" si="327"/>
      </c>
      <c r="P1462" s="74">
        <f t="shared" ca="1" si="328"/>
      </c>
      <c r="Q1462" s="74">
        <f t="shared" ca="1" si="329"/>
      </c>
      <c r="R1462" s="74">
        <f t="shared" si="330"/>
      </c>
      <c r="S1462" s="74">
        <f t="shared" ca="1" si="331"/>
      </c>
      <c r="T1462" s="74">
        <f t="shared" si="332"/>
      </c>
    </row>
    <row r="1463" spans="2:20" x14ac:dyDescent="0.3">
      <c r="B1463" s="74">
        <f t="shared" ca="1" si="322"/>
      </c>
      <c r="C1463" s="78">
        <f>Кабельный_журнал!P1429</f>
      </c>
      <c r="D1463" s="74">
        <f t="shared" ca="1" si="323"/>
      </c>
      <c r="E1463" s="80" t="s">
        <v>279</v>
      </c>
      <c r="F1463" s="74">
        <f t="shared" ca="1" si="319"/>
      </c>
      <c r="G1463" s="74">
        <f t="shared" si="320"/>
      </c>
      <c r="H1463" s="80" t="s">
        <v>272</v>
      </c>
      <c r="I1463" s="74">
        <f t="shared" si="321"/>
      </c>
      <c r="J1463" s="74">
        <f t="shared" si="324"/>
      </c>
      <c r="K1463" s="80" t="s">
        <v>280</v>
      </c>
      <c r="L1463" s="74">
        <f t="shared" si="325"/>
      </c>
      <c r="M1463" s="74">
        <f t="shared" ca="1" si="326"/>
      </c>
      <c r="N1463" s="74">
        <f ca="1">VLOOKUP(B1463,$C$7:$T1461,13,FALSE)</f>
      </c>
      <c r="O1463" s="74">
        <f t="shared" ca="1" si="327"/>
      </c>
      <c r="P1463" s="74">
        <f t="shared" ca="1" si="328"/>
      </c>
      <c r="Q1463" s="74">
        <f t="shared" ca="1" si="329"/>
      </c>
      <c r="R1463" s="74">
        <f t="shared" si="330"/>
      </c>
      <c r="S1463" s="74">
        <f t="shared" ca="1" si="331"/>
      </c>
      <c r="T1463" s="74">
        <f t="shared" si="332"/>
      </c>
    </row>
    <row r="1464" spans="2:20" x14ac:dyDescent="0.3">
      <c r="B1464" s="74">
        <f t="shared" ca="1" si="322"/>
      </c>
      <c r="C1464" s="78">
        <f>Кабельный_журнал!P1430</f>
      </c>
      <c r="D1464" s="74">
        <f t="shared" ca="1" si="323"/>
      </c>
      <c r="E1464" s="80" t="s">
        <v>279</v>
      </c>
      <c r="F1464" s="74">
        <f t="shared" ca="1" si="319"/>
      </c>
      <c r="G1464" s="74">
        <f t="shared" si="320"/>
      </c>
      <c r="H1464" s="80" t="s">
        <v>272</v>
      </c>
      <c r="I1464" s="74">
        <f t="shared" si="321"/>
      </c>
      <c r="J1464" s="74">
        <f t="shared" si="324"/>
      </c>
      <c r="K1464" s="80" t="s">
        <v>280</v>
      </c>
      <c r="L1464" s="74">
        <f t="shared" si="325"/>
      </c>
      <c r="M1464" s="74">
        <f t="shared" ca="1" si="326"/>
      </c>
      <c r="N1464" s="74">
        <f ca="1">VLOOKUP(B1464,$C$7:$T1462,13,FALSE)</f>
      </c>
      <c r="O1464" s="74">
        <f t="shared" ca="1" si="327"/>
      </c>
      <c r="P1464" s="74">
        <f t="shared" ca="1" si="328"/>
      </c>
      <c r="Q1464" s="74">
        <f t="shared" ca="1" si="329"/>
      </c>
      <c r="R1464" s="74">
        <f t="shared" si="330"/>
      </c>
      <c r="S1464" s="74">
        <f t="shared" ca="1" si="331"/>
      </c>
      <c r="T1464" s="74">
        <f t="shared" si="332"/>
      </c>
    </row>
    <row r="1465" spans="2:20" x14ac:dyDescent="0.3">
      <c r="B1465" s="74">
        <f t="shared" ca="1" si="322"/>
      </c>
      <c r="C1465" s="78">
        <f>Кабельный_журнал!P1431</f>
      </c>
      <c r="D1465" s="74">
        <f t="shared" ca="1" si="323"/>
      </c>
      <c r="E1465" s="80" t="s">
        <v>279</v>
      </c>
      <c r="F1465" s="74">
        <f t="shared" ca="1" si="319"/>
      </c>
      <c r="G1465" s="74">
        <f t="shared" si="320"/>
      </c>
      <c r="H1465" s="80" t="s">
        <v>272</v>
      </c>
      <c r="I1465" s="74">
        <f t="shared" si="321"/>
      </c>
      <c r="J1465" s="74">
        <f t="shared" si="324"/>
      </c>
      <c r="K1465" s="80" t="s">
        <v>280</v>
      </c>
      <c r="L1465" s="74">
        <f t="shared" si="325"/>
      </c>
      <c r="M1465" s="74">
        <f t="shared" ca="1" si="326"/>
      </c>
      <c r="N1465" s="74">
        <f ca="1">VLOOKUP(B1465,$C$7:$T1463,13,FALSE)</f>
      </c>
      <c r="O1465" s="74">
        <f t="shared" ca="1" si="327"/>
      </c>
      <c r="P1465" s="74">
        <f t="shared" ca="1" si="328"/>
      </c>
      <c r="Q1465" s="74">
        <f t="shared" ca="1" si="329"/>
      </c>
      <c r="R1465" s="74">
        <f t="shared" si="330"/>
      </c>
      <c r="S1465" s="74">
        <f t="shared" ca="1" si="331"/>
      </c>
      <c r="T1465" s="74">
        <f t="shared" si="332"/>
      </c>
    </row>
    <row r="1466" spans="2:20" x14ac:dyDescent="0.3">
      <c r="B1466" s="74">
        <f t="shared" ca="1" si="322"/>
      </c>
      <c r="C1466" s="78">
        <f>Кабельный_журнал!P1432</f>
      </c>
      <c r="D1466" s="74">
        <f t="shared" ca="1" si="323"/>
      </c>
      <c r="E1466" s="80" t="s">
        <v>279</v>
      </c>
      <c r="F1466" s="74">
        <f t="shared" ca="1" si="319"/>
      </c>
      <c r="G1466" s="74">
        <f t="shared" si="320"/>
      </c>
      <c r="H1466" s="80" t="s">
        <v>272</v>
      </c>
      <c r="I1466" s="74">
        <f t="shared" si="321"/>
      </c>
      <c r="J1466" s="74">
        <f t="shared" si="324"/>
      </c>
      <c r="K1466" s="80" t="s">
        <v>280</v>
      </c>
      <c r="L1466" s="74">
        <f t="shared" si="325"/>
      </c>
      <c r="M1466" s="74">
        <f t="shared" ca="1" si="326"/>
      </c>
      <c r="N1466" s="74">
        <f ca="1">VLOOKUP(B1466,$C$7:$T1464,13,FALSE)</f>
      </c>
      <c r="O1466" s="74">
        <f t="shared" ca="1" si="327"/>
      </c>
      <c r="P1466" s="74">
        <f t="shared" ca="1" si="328"/>
      </c>
      <c r="Q1466" s="74">
        <f t="shared" ca="1" si="329"/>
      </c>
      <c r="R1466" s="74">
        <f t="shared" si="330"/>
      </c>
      <c r="S1466" s="74">
        <f t="shared" ca="1" si="331"/>
      </c>
      <c r="T1466" s="74">
        <f t="shared" si="332"/>
      </c>
    </row>
    <row r="1467" spans="2:20" x14ac:dyDescent="0.3">
      <c r="B1467" s="74">
        <f t="shared" ca="1" si="322"/>
      </c>
      <c r="C1467" s="78">
        <f>Кабельный_журнал!P1433</f>
      </c>
      <c r="D1467" s="74">
        <f t="shared" ca="1" si="323"/>
      </c>
      <c r="E1467" s="80" t="s">
        <v>279</v>
      </c>
      <c r="F1467" s="74">
        <f t="shared" ca="1" si="319"/>
      </c>
      <c r="G1467" s="74">
        <f t="shared" si="320"/>
      </c>
      <c r="H1467" s="80" t="s">
        <v>272</v>
      </c>
      <c r="I1467" s="74">
        <f t="shared" si="321"/>
      </c>
      <c r="J1467" s="74">
        <f t="shared" si="324"/>
      </c>
      <c r="K1467" s="80" t="s">
        <v>280</v>
      </c>
      <c r="L1467" s="74">
        <f t="shared" si="325"/>
      </c>
      <c r="M1467" s="74">
        <f t="shared" ca="1" si="326"/>
      </c>
      <c r="N1467" s="74">
        <f ca="1">VLOOKUP(B1467,$C$7:$T1465,13,FALSE)</f>
      </c>
      <c r="O1467" s="74">
        <f t="shared" ca="1" si="327"/>
      </c>
      <c r="P1467" s="74">
        <f t="shared" ca="1" si="328"/>
      </c>
      <c r="Q1467" s="74">
        <f t="shared" ca="1" si="329"/>
      </c>
      <c r="R1467" s="74">
        <f t="shared" si="330"/>
      </c>
      <c r="S1467" s="74">
        <f t="shared" ca="1" si="331"/>
      </c>
      <c r="T1467" s="74">
        <f t="shared" si="332"/>
      </c>
    </row>
    <row r="1468" spans="2:20" x14ac:dyDescent="0.3">
      <c r="B1468" s="74">
        <f t="shared" ca="1" si="322"/>
      </c>
      <c r="C1468" s="78">
        <f>Кабельный_журнал!P1434</f>
      </c>
      <c r="D1468" s="74">
        <f t="shared" ca="1" si="323"/>
      </c>
      <c r="E1468" s="80" t="s">
        <v>279</v>
      </c>
      <c r="F1468" s="74">
        <f t="shared" ca="1" si="319"/>
      </c>
      <c r="G1468" s="74">
        <f t="shared" si="320"/>
      </c>
      <c r="H1468" s="80" t="s">
        <v>272</v>
      </c>
      <c r="I1468" s="74">
        <f t="shared" si="321"/>
      </c>
      <c r="J1468" s="74">
        <f t="shared" si="324"/>
      </c>
      <c r="K1468" s="80" t="s">
        <v>280</v>
      </c>
      <c r="L1468" s="74">
        <f t="shared" si="325"/>
      </c>
      <c r="M1468" s="74">
        <f t="shared" ca="1" si="326"/>
      </c>
      <c r="N1468" s="74">
        <f ca="1">VLOOKUP(B1468,$C$7:$T1466,13,FALSE)</f>
      </c>
      <c r="O1468" s="74">
        <f t="shared" ca="1" si="327"/>
      </c>
      <c r="P1468" s="74">
        <f t="shared" ca="1" si="328"/>
      </c>
      <c r="Q1468" s="74">
        <f t="shared" ca="1" si="329"/>
      </c>
      <c r="R1468" s="74">
        <f t="shared" si="330"/>
      </c>
      <c r="S1468" s="74">
        <f t="shared" ca="1" si="331"/>
      </c>
      <c r="T1468" s="74">
        <f t="shared" si="332"/>
      </c>
    </row>
    <row r="1469" spans="2:20" x14ac:dyDescent="0.3">
      <c r="B1469" s="74">
        <f t="shared" ca="1" si="322"/>
      </c>
      <c r="C1469" s="78">
        <f>Кабельный_журнал!P1435</f>
      </c>
      <c r="D1469" s="74">
        <f t="shared" ca="1" si="323"/>
      </c>
      <c r="E1469" s="80" t="s">
        <v>279</v>
      </c>
      <c r="F1469" s="74">
        <f t="shared" ca="1" si="319"/>
      </c>
      <c r="G1469" s="74">
        <f t="shared" si="320"/>
      </c>
      <c r="H1469" s="80" t="s">
        <v>272</v>
      </c>
      <c r="I1469" s="74">
        <f t="shared" si="321"/>
      </c>
      <c r="J1469" s="74">
        <f t="shared" si="324"/>
      </c>
      <c r="K1469" s="80" t="s">
        <v>280</v>
      </c>
      <c r="L1469" s="74">
        <f t="shared" si="325"/>
      </c>
      <c r="M1469" s="74">
        <f t="shared" ca="1" si="326"/>
      </c>
      <c r="N1469" s="74">
        <f ca="1">VLOOKUP(B1469,$C$7:$T1467,13,FALSE)</f>
      </c>
      <c r="O1469" s="74">
        <f t="shared" ca="1" si="327"/>
      </c>
      <c r="P1469" s="74">
        <f t="shared" ca="1" si="328"/>
      </c>
      <c r="Q1469" s="74">
        <f t="shared" ca="1" si="329"/>
      </c>
      <c r="R1469" s="74">
        <f t="shared" si="330"/>
      </c>
      <c r="S1469" s="74">
        <f t="shared" ca="1" si="331"/>
      </c>
      <c r="T1469" s="74">
        <f t="shared" si="332"/>
      </c>
    </row>
    <row r="1470" spans="2:20" x14ac:dyDescent="0.3">
      <c r="B1470" s="74">
        <f t="shared" ca="1" si="322"/>
      </c>
      <c r="C1470" s="78">
        <f>Кабельный_журнал!P1436</f>
      </c>
      <c r="D1470" s="74">
        <f t="shared" ca="1" si="323"/>
      </c>
      <c r="E1470" s="80" t="s">
        <v>279</v>
      </c>
      <c r="F1470" s="74">
        <f t="shared" ca="1" si="319"/>
      </c>
      <c r="G1470" s="74">
        <f t="shared" si="320"/>
      </c>
      <c r="H1470" s="80" t="s">
        <v>272</v>
      </c>
      <c r="I1470" s="74">
        <f t="shared" si="321"/>
      </c>
      <c r="J1470" s="74">
        <f t="shared" si="324"/>
      </c>
      <c r="K1470" s="80" t="s">
        <v>280</v>
      </c>
      <c r="L1470" s="74">
        <f t="shared" si="325"/>
      </c>
      <c r="M1470" s="74">
        <f t="shared" ca="1" si="326"/>
      </c>
      <c r="N1470" s="74">
        <f ca="1">VLOOKUP(B1470,$C$7:$T1468,13,FALSE)</f>
      </c>
      <c r="O1470" s="74">
        <f t="shared" ca="1" si="327"/>
      </c>
      <c r="P1470" s="74">
        <f t="shared" ca="1" si="328"/>
      </c>
      <c r="Q1470" s="74">
        <f t="shared" ca="1" si="329"/>
      </c>
      <c r="R1470" s="74">
        <f t="shared" si="330"/>
      </c>
      <c r="S1470" s="74">
        <f t="shared" ca="1" si="331"/>
      </c>
      <c r="T1470" s="74">
        <f t="shared" si="332"/>
      </c>
    </row>
    <row r="1471" spans="2:20" x14ac:dyDescent="0.3">
      <c r="B1471" s="74">
        <f t="shared" ca="1" si="322"/>
      </c>
      <c r="C1471" s="78">
        <f>Кабельный_журнал!P1437</f>
      </c>
      <c r="D1471" s="74">
        <f t="shared" ca="1" si="323"/>
      </c>
      <c r="E1471" s="80" t="s">
        <v>279</v>
      </c>
      <c r="F1471" s="74">
        <f t="shared" ca="1" si="319"/>
      </c>
      <c r="G1471" s="74">
        <f t="shared" si="320"/>
      </c>
      <c r="H1471" s="80" t="s">
        <v>272</v>
      </c>
      <c r="I1471" s="74">
        <f t="shared" si="321"/>
      </c>
      <c r="J1471" s="74">
        <f t="shared" si="324"/>
      </c>
      <c r="K1471" s="80" t="s">
        <v>280</v>
      </c>
      <c r="L1471" s="74">
        <f t="shared" si="325"/>
      </c>
      <c r="M1471" s="74">
        <f t="shared" ca="1" si="326"/>
      </c>
      <c r="N1471" s="74">
        <f ca="1">VLOOKUP(B1471,$C$7:$T1469,13,FALSE)</f>
      </c>
      <c r="O1471" s="74">
        <f t="shared" ca="1" si="327"/>
      </c>
      <c r="P1471" s="74">
        <f t="shared" ca="1" si="328"/>
      </c>
      <c r="Q1471" s="74">
        <f t="shared" ca="1" si="329"/>
      </c>
      <c r="R1471" s="74">
        <f t="shared" si="330"/>
      </c>
      <c r="S1471" s="74">
        <f t="shared" ca="1" si="331"/>
      </c>
      <c r="T1471" s="74">
        <f t="shared" si="332"/>
      </c>
    </row>
    <row r="1472" spans="2:20" x14ac:dyDescent="0.3">
      <c r="B1472" s="74">
        <f t="shared" ca="1" si="322"/>
      </c>
      <c r="C1472" s="78">
        <f>Кабельный_журнал!P1438</f>
      </c>
      <c r="D1472" s="74">
        <f t="shared" ca="1" si="323"/>
      </c>
      <c r="E1472" s="80" t="s">
        <v>279</v>
      </c>
      <c r="F1472" s="74">
        <f t="shared" ca="1" si="319"/>
      </c>
      <c r="G1472" s="74">
        <f t="shared" si="320"/>
      </c>
      <c r="H1472" s="80" t="s">
        <v>272</v>
      </c>
      <c r="I1472" s="74">
        <f t="shared" si="321"/>
      </c>
      <c r="J1472" s="74">
        <f t="shared" si="324"/>
      </c>
      <c r="K1472" s="80" t="s">
        <v>280</v>
      </c>
      <c r="L1472" s="74">
        <f t="shared" si="325"/>
      </c>
      <c r="M1472" s="74">
        <f t="shared" ca="1" si="326"/>
      </c>
      <c r="N1472" s="74">
        <f ca="1">VLOOKUP(B1472,$C$7:$T1470,13,FALSE)</f>
      </c>
      <c r="O1472" s="74">
        <f t="shared" ca="1" si="327"/>
      </c>
      <c r="P1472" s="74">
        <f t="shared" ca="1" si="328"/>
      </c>
      <c r="Q1472" s="74">
        <f t="shared" ca="1" si="329"/>
      </c>
      <c r="R1472" s="74">
        <f t="shared" si="330"/>
      </c>
      <c r="S1472" s="74">
        <f t="shared" ca="1" si="331"/>
      </c>
      <c r="T1472" s="74">
        <f t="shared" si="332"/>
      </c>
    </row>
    <row r="1473" spans="2:20" x14ac:dyDescent="0.3">
      <c r="B1473" s="74">
        <f t="shared" ca="1" si="322"/>
      </c>
      <c r="C1473" s="78">
        <f>Кабельный_журнал!P1439</f>
      </c>
      <c r="D1473" s="74">
        <f t="shared" ca="1" si="323"/>
      </c>
      <c r="E1473" s="80" t="s">
        <v>279</v>
      </c>
      <c r="F1473" s="74">
        <f t="shared" ca="1" si="319"/>
      </c>
      <c r="G1473" s="74">
        <f t="shared" si="320"/>
      </c>
      <c r="H1473" s="80" t="s">
        <v>272</v>
      </c>
      <c r="I1473" s="74">
        <f t="shared" si="321"/>
      </c>
      <c r="J1473" s="74">
        <f t="shared" si="324"/>
      </c>
      <c r="K1473" s="80" t="s">
        <v>280</v>
      </c>
      <c r="L1473" s="74">
        <f t="shared" si="325"/>
      </c>
      <c r="M1473" s="74">
        <f t="shared" ca="1" si="326"/>
      </c>
      <c r="N1473" s="74">
        <f ca="1">VLOOKUP(B1473,$C$7:$T1471,13,FALSE)</f>
      </c>
      <c r="O1473" s="74">
        <f t="shared" ca="1" si="327"/>
      </c>
      <c r="P1473" s="74">
        <f t="shared" ca="1" si="328"/>
      </c>
      <c r="Q1473" s="74">
        <f t="shared" ca="1" si="329"/>
      </c>
      <c r="R1473" s="74">
        <f t="shared" si="330"/>
      </c>
      <c r="S1473" s="74">
        <f t="shared" ca="1" si="331"/>
      </c>
      <c r="T1473" s="74">
        <f t="shared" si="332"/>
      </c>
    </row>
    <row r="1474" spans="2:20" x14ac:dyDescent="0.3">
      <c r="B1474" s="74">
        <f t="shared" ca="1" si="322"/>
      </c>
      <c r="C1474" s="78">
        <f>Кабельный_журнал!P1440</f>
      </c>
      <c r="D1474" s="74">
        <f t="shared" ca="1" si="323"/>
      </c>
      <c r="E1474" s="80" t="s">
        <v>279</v>
      </c>
      <c r="F1474" s="74">
        <f t="shared" ca="1" si="319"/>
      </c>
      <c r="G1474" s="74">
        <f t="shared" si="320"/>
      </c>
      <c r="H1474" s="80" t="s">
        <v>272</v>
      </c>
      <c r="I1474" s="74">
        <f t="shared" si="321"/>
      </c>
      <c r="J1474" s="74">
        <f t="shared" si="324"/>
      </c>
      <c r="K1474" s="80" t="s">
        <v>280</v>
      </c>
      <c r="L1474" s="74">
        <f t="shared" si="325"/>
      </c>
      <c r="M1474" s="74">
        <f t="shared" ca="1" si="326"/>
      </c>
      <c r="N1474" s="74">
        <f ca="1">VLOOKUP(B1474,$C$7:$T1472,13,FALSE)</f>
      </c>
      <c r="O1474" s="74">
        <f t="shared" ca="1" si="327"/>
      </c>
      <c r="P1474" s="74">
        <f t="shared" ca="1" si="328"/>
      </c>
      <c r="Q1474" s="74">
        <f t="shared" ca="1" si="329"/>
      </c>
      <c r="R1474" s="74">
        <f t="shared" si="330"/>
      </c>
      <c r="S1474" s="74">
        <f t="shared" ca="1" si="331"/>
      </c>
      <c r="T1474" s="74">
        <f t="shared" si="332"/>
      </c>
    </row>
    <row r="1475" spans="2:20" x14ac:dyDescent="0.3">
      <c r="B1475" s="74">
        <f t="shared" ca="1" si="322"/>
      </c>
      <c r="C1475" s="78">
        <f>Кабельный_журнал!P1441</f>
      </c>
      <c r="D1475" s="74">
        <f t="shared" ca="1" si="323"/>
      </c>
      <c r="E1475" s="80" t="s">
        <v>279</v>
      </c>
      <c r="F1475" s="74">
        <f t="shared" ca="1" si="319"/>
      </c>
      <c r="G1475" s="74">
        <f t="shared" si="320"/>
      </c>
      <c r="H1475" s="80" t="s">
        <v>272</v>
      </c>
      <c r="I1475" s="74">
        <f t="shared" si="321"/>
      </c>
      <c r="J1475" s="74">
        <f t="shared" si="324"/>
      </c>
      <c r="K1475" s="80" t="s">
        <v>280</v>
      </c>
      <c r="L1475" s="74">
        <f t="shared" si="325"/>
      </c>
      <c r="M1475" s="74">
        <f t="shared" ca="1" si="326"/>
      </c>
      <c r="N1475" s="74">
        <f ca="1">VLOOKUP(B1475,$C$7:$T1473,13,FALSE)</f>
      </c>
      <c r="O1475" s="74">
        <f t="shared" ca="1" si="327"/>
      </c>
      <c r="P1475" s="74">
        <f t="shared" ca="1" si="328"/>
      </c>
      <c r="Q1475" s="74">
        <f t="shared" ca="1" si="329"/>
      </c>
      <c r="R1475" s="74">
        <f t="shared" si="330"/>
      </c>
      <c r="S1475" s="74">
        <f t="shared" ca="1" si="331"/>
      </c>
      <c r="T1475" s="74">
        <f t="shared" si="332"/>
      </c>
    </row>
    <row r="1476" spans="2:20" x14ac:dyDescent="0.3">
      <c r="B1476" s="74">
        <f t="shared" ca="1" si="322"/>
      </c>
      <c r="C1476" s="78">
        <f>Кабельный_журнал!P1442</f>
      </c>
      <c r="D1476" s="74">
        <f t="shared" ca="1" si="323"/>
      </c>
      <c r="E1476" s="80" t="s">
        <v>279</v>
      </c>
      <c r="F1476" s="74">
        <f t="shared" ca="1" si="319"/>
      </c>
      <c r="G1476" s="74">
        <f t="shared" si="320"/>
      </c>
      <c r="H1476" s="80" t="s">
        <v>272</v>
      </c>
      <c r="I1476" s="74">
        <f t="shared" si="321"/>
      </c>
      <c r="J1476" s="74">
        <f t="shared" si="324"/>
      </c>
      <c r="K1476" s="80" t="s">
        <v>280</v>
      </c>
      <c r="L1476" s="74">
        <f t="shared" si="325"/>
      </c>
      <c r="M1476" s="74">
        <f t="shared" ca="1" si="326"/>
      </c>
      <c r="N1476" s="74">
        <f ca="1">VLOOKUP(B1476,$C$7:$T1474,13,FALSE)</f>
      </c>
      <c r="O1476" s="74">
        <f t="shared" ca="1" si="327"/>
      </c>
      <c r="P1476" s="74">
        <f t="shared" ca="1" si="328"/>
      </c>
      <c r="Q1476" s="74">
        <f t="shared" ca="1" si="329"/>
      </c>
      <c r="R1476" s="74">
        <f t="shared" si="330"/>
      </c>
      <c r="S1476" s="74">
        <f t="shared" ca="1" si="331"/>
      </c>
      <c r="T1476" s="74">
        <f t="shared" si="332"/>
      </c>
    </row>
    <row r="1477" spans="2:20" x14ac:dyDescent="0.3">
      <c r="B1477" s="74">
        <f t="shared" ca="1" si="322"/>
      </c>
      <c r="C1477" s="78">
        <f>Кабельный_журнал!P1443</f>
      </c>
      <c r="D1477" s="74">
        <f t="shared" ca="1" si="323"/>
      </c>
      <c r="E1477" s="80" t="s">
        <v>279</v>
      </c>
      <c r="F1477" s="74">
        <f t="shared" ca="1" si="319"/>
      </c>
      <c r="G1477" s="74">
        <f t="shared" si="320"/>
      </c>
      <c r="H1477" s="80" t="s">
        <v>272</v>
      </c>
      <c r="I1477" s="74">
        <f t="shared" si="321"/>
      </c>
      <c r="J1477" s="74">
        <f t="shared" si="324"/>
      </c>
      <c r="K1477" s="80" t="s">
        <v>280</v>
      </c>
      <c r="L1477" s="74">
        <f t="shared" si="325"/>
      </c>
      <c r="M1477" s="74">
        <f t="shared" ca="1" si="326"/>
      </c>
      <c r="N1477" s="74">
        <f ca="1">VLOOKUP(B1477,$C$7:$T1475,13,FALSE)</f>
      </c>
      <c r="O1477" s="74">
        <f t="shared" ca="1" si="327"/>
      </c>
      <c r="P1477" s="74">
        <f t="shared" ca="1" si="328"/>
      </c>
      <c r="Q1477" s="74">
        <f t="shared" ca="1" si="329"/>
      </c>
      <c r="R1477" s="74">
        <f t="shared" si="330"/>
      </c>
      <c r="S1477" s="74">
        <f t="shared" ca="1" si="331"/>
      </c>
      <c r="T1477" s="74">
        <f t="shared" si="332"/>
      </c>
    </row>
    <row r="1478" spans="2:20" x14ac:dyDescent="0.3">
      <c r="B1478" s="74">
        <f t="shared" ca="1" si="322"/>
      </c>
      <c r="C1478" s="78">
        <f>Кабельный_журнал!P1444</f>
      </c>
      <c r="D1478" s="74">
        <f t="shared" ca="1" si="323"/>
      </c>
      <c r="E1478" s="80" t="s">
        <v>279</v>
      </c>
      <c r="F1478" s="74">
        <f t="shared" ca="1" si="319"/>
      </c>
      <c r="G1478" s="74">
        <f t="shared" si="320"/>
      </c>
      <c r="H1478" s="80" t="s">
        <v>272</v>
      </c>
      <c r="I1478" s="74">
        <f t="shared" si="321"/>
      </c>
      <c r="J1478" s="74">
        <f t="shared" si="324"/>
      </c>
      <c r="K1478" s="80" t="s">
        <v>280</v>
      </c>
      <c r="L1478" s="74">
        <f t="shared" si="325"/>
      </c>
      <c r="M1478" s="74">
        <f t="shared" ca="1" si="326"/>
      </c>
      <c r="N1478" s="74">
        <f ca="1">VLOOKUP(B1478,$C$7:$T1476,13,FALSE)</f>
      </c>
      <c r="O1478" s="74">
        <f t="shared" ca="1" si="327"/>
      </c>
      <c r="P1478" s="74">
        <f t="shared" ca="1" si="328"/>
      </c>
      <c r="Q1478" s="74">
        <f t="shared" ca="1" si="329"/>
      </c>
      <c r="R1478" s="74">
        <f t="shared" si="330"/>
      </c>
      <c r="S1478" s="74">
        <f t="shared" ca="1" si="331"/>
      </c>
      <c r="T1478" s="74">
        <f t="shared" si="332"/>
      </c>
    </row>
    <row r="1479" spans="2:20" x14ac:dyDescent="0.3">
      <c r="B1479" s="74">
        <f t="shared" ca="1" si="322"/>
      </c>
      <c r="C1479" s="78">
        <f>Кабельный_журнал!P1445</f>
      </c>
      <c r="D1479" s="74">
        <f t="shared" ca="1" si="323"/>
      </c>
      <c r="E1479" s="80" t="s">
        <v>279</v>
      </c>
      <c r="F1479" s="74">
        <f t="shared" ca="1" si="319"/>
      </c>
      <c r="G1479" s="74">
        <f t="shared" si="320"/>
      </c>
      <c r="H1479" s="80" t="s">
        <v>272</v>
      </c>
      <c r="I1479" s="74">
        <f t="shared" si="321"/>
      </c>
      <c r="J1479" s="74">
        <f t="shared" si="324"/>
      </c>
      <c r="K1479" s="80" t="s">
        <v>280</v>
      </c>
      <c r="L1479" s="74">
        <f t="shared" si="325"/>
      </c>
      <c r="M1479" s="74">
        <f t="shared" ca="1" si="326"/>
      </c>
      <c r="N1479" s="74">
        <f ca="1">VLOOKUP(B1479,$C$7:$T1477,13,FALSE)</f>
      </c>
      <c r="O1479" s="74">
        <f t="shared" ca="1" si="327"/>
      </c>
      <c r="P1479" s="74">
        <f t="shared" ca="1" si="328"/>
      </c>
      <c r="Q1479" s="74">
        <f t="shared" ca="1" si="329"/>
      </c>
      <c r="R1479" s="74">
        <f t="shared" si="330"/>
      </c>
      <c r="S1479" s="74">
        <f t="shared" ca="1" si="331"/>
      </c>
      <c r="T1479" s="74">
        <f t="shared" si="332"/>
      </c>
    </row>
    <row r="1480" spans="2:20" x14ac:dyDescent="0.3">
      <c r="B1480" s="74">
        <f t="shared" ca="1" si="322"/>
      </c>
      <c r="C1480" s="78">
        <f>Кабельный_журнал!P1446</f>
      </c>
      <c r="D1480" s="74">
        <f t="shared" ca="1" si="323"/>
      </c>
      <c r="E1480" s="80" t="s">
        <v>279</v>
      </c>
      <c r="F1480" s="74">
        <f t="shared" ca="1" si="319"/>
      </c>
      <c r="G1480" s="74">
        <f t="shared" si="320"/>
      </c>
      <c r="H1480" s="80" t="s">
        <v>272</v>
      </c>
      <c r="I1480" s="74">
        <f t="shared" si="321"/>
      </c>
      <c r="J1480" s="74">
        <f t="shared" si="324"/>
      </c>
      <c r="K1480" s="80" t="s">
        <v>280</v>
      </c>
      <c r="L1480" s="74">
        <f t="shared" si="325"/>
      </c>
      <c r="M1480" s="74">
        <f t="shared" ca="1" si="326"/>
      </c>
      <c r="N1480" s="74">
        <f ca="1">VLOOKUP(B1480,$C$7:$T1478,13,FALSE)</f>
      </c>
      <c r="O1480" s="74">
        <f t="shared" ca="1" si="327"/>
      </c>
      <c r="P1480" s="74">
        <f t="shared" ca="1" si="328"/>
      </c>
      <c r="Q1480" s="74">
        <f t="shared" ca="1" si="329"/>
      </c>
      <c r="R1480" s="74">
        <f t="shared" si="330"/>
      </c>
      <c r="S1480" s="74">
        <f t="shared" ca="1" si="331"/>
      </c>
      <c r="T1480" s="74">
        <f t="shared" si="332"/>
      </c>
    </row>
    <row r="1481" spans="2:20" x14ac:dyDescent="0.3">
      <c r="B1481" s="74">
        <f t="shared" ca="1" si="322"/>
      </c>
      <c r="C1481" s="78">
        <f>Кабельный_журнал!P1447</f>
      </c>
      <c r="D1481" s="74">
        <f t="shared" ca="1" si="323"/>
      </c>
      <c r="E1481" s="80" t="s">
        <v>279</v>
      </c>
      <c r="F1481" s="74">
        <f t="shared" ca="1" si="319"/>
      </c>
      <c r="G1481" s="74">
        <f t="shared" si="320"/>
      </c>
      <c r="H1481" s="80" t="s">
        <v>272</v>
      </c>
      <c r="I1481" s="74">
        <f t="shared" si="321"/>
      </c>
      <c r="J1481" s="74">
        <f t="shared" si="324"/>
      </c>
      <c r="K1481" s="80" t="s">
        <v>280</v>
      </c>
      <c r="L1481" s="74">
        <f t="shared" si="325"/>
      </c>
      <c r="M1481" s="74">
        <f t="shared" ca="1" si="326"/>
      </c>
      <c r="N1481" s="74">
        <f ca="1">VLOOKUP(B1481,$C$7:$T1479,13,FALSE)</f>
      </c>
      <c r="O1481" s="74">
        <f t="shared" ca="1" si="327"/>
      </c>
      <c r="P1481" s="74">
        <f t="shared" ca="1" si="328"/>
      </c>
      <c r="Q1481" s="74">
        <f t="shared" ca="1" si="329"/>
      </c>
      <c r="R1481" s="74">
        <f t="shared" si="330"/>
      </c>
      <c r="S1481" s="74">
        <f t="shared" ca="1" si="331"/>
      </c>
      <c r="T1481" s="74">
        <f t="shared" si="332"/>
      </c>
    </row>
    <row r="1482" spans="2:20" x14ac:dyDescent="0.3">
      <c r="B1482" s="74">
        <f t="shared" ca="1" si="322"/>
      </c>
      <c r="C1482" s="78">
        <f>Кабельный_журнал!P1448</f>
      </c>
      <c r="D1482" s="74">
        <f t="shared" ca="1" si="323"/>
      </c>
      <c r="E1482" s="80" t="s">
        <v>279</v>
      </c>
      <c r="F1482" s="74">
        <f t="shared" ca="1" si="319"/>
      </c>
      <c r="G1482" s="74">
        <f t="shared" si="320"/>
      </c>
      <c r="H1482" s="80" t="s">
        <v>272</v>
      </c>
      <c r="I1482" s="74">
        <f t="shared" si="321"/>
      </c>
      <c r="J1482" s="74">
        <f t="shared" si="324"/>
      </c>
      <c r="K1482" s="80" t="s">
        <v>280</v>
      </c>
      <c r="L1482" s="74">
        <f t="shared" si="325"/>
      </c>
      <c r="M1482" s="74">
        <f t="shared" ca="1" si="326"/>
      </c>
      <c r="N1482" s="74">
        <f ca="1">VLOOKUP(B1482,$C$7:$T1480,13,FALSE)</f>
      </c>
      <c r="O1482" s="74">
        <f t="shared" ca="1" si="327"/>
      </c>
      <c r="P1482" s="74">
        <f t="shared" ca="1" si="328"/>
      </c>
      <c r="Q1482" s="74">
        <f t="shared" ca="1" si="329"/>
      </c>
      <c r="R1482" s="74">
        <f t="shared" si="330"/>
      </c>
      <c r="S1482" s="74">
        <f t="shared" ca="1" si="331"/>
      </c>
      <c r="T1482" s="74">
        <f t="shared" si="332"/>
      </c>
    </row>
    <row r="1483" spans="2:20" x14ac:dyDescent="0.3">
      <c r="B1483" s="74">
        <f t="shared" ca="1" si="322"/>
      </c>
      <c r="C1483" s="78">
        <f>Кабельный_журнал!P1449</f>
      </c>
      <c r="D1483" s="74">
        <f t="shared" ca="1" si="323"/>
      </c>
      <c r="E1483" s="80" t="s">
        <v>279</v>
      </c>
      <c r="F1483" s="74">
        <f t="shared" ca="1" si="319"/>
      </c>
      <c r="G1483" s="74">
        <f t="shared" si="320"/>
      </c>
      <c r="H1483" s="80" t="s">
        <v>272</v>
      </c>
      <c r="I1483" s="74">
        <f t="shared" si="321"/>
      </c>
      <c r="J1483" s="74">
        <f t="shared" si="324"/>
      </c>
      <c r="K1483" s="80" t="s">
        <v>280</v>
      </c>
      <c r="L1483" s="74">
        <f t="shared" si="325"/>
      </c>
      <c r="M1483" s="74">
        <f t="shared" ca="1" si="326"/>
      </c>
      <c r="N1483" s="74">
        <f ca="1">VLOOKUP(B1483,$C$7:$T1481,13,FALSE)</f>
      </c>
      <c r="O1483" s="74">
        <f t="shared" ca="1" si="327"/>
      </c>
      <c r="P1483" s="74">
        <f t="shared" ca="1" si="328"/>
      </c>
      <c r="Q1483" s="74">
        <f t="shared" ca="1" si="329"/>
      </c>
      <c r="R1483" s="74">
        <f t="shared" si="330"/>
      </c>
      <c r="S1483" s="74">
        <f t="shared" ca="1" si="331"/>
      </c>
      <c r="T1483" s="74">
        <f t="shared" si="332"/>
      </c>
    </row>
    <row r="1484" spans="2:20" x14ac:dyDescent="0.3">
      <c r="B1484" s="74">
        <f t="shared" ca="1" si="322"/>
      </c>
      <c r="C1484" s="78">
        <f>Кабельный_журнал!P1450</f>
      </c>
      <c r="D1484" s="74">
        <f t="shared" ca="1" si="323"/>
      </c>
      <c r="E1484" s="80" t="s">
        <v>279</v>
      </c>
      <c r="F1484" s="74">
        <f t="shared" ca="1" si="319"/>
      </c>
      <c r="G1484" s="74">
        <f t="shared" si="320"/>
      </c>
      <c r="H1484" s="80" t="s">
        <v>272</v>
      </c>
      <c r="I1484" s="74">
        <f t="shared" si="321"/>
      </c>
      <c r="J1484" s="74">
        <f t="shared" si="324"/>
      </c>
      <c r="K1484" s="80" t="s">
        <v>280</v>
      </c>
      <c r="L1484" s="74">
        <f t="shared" si="325"/>
      </c>
      <c r="M1484" s="74">
        <f t="shared" ca="1" si="326"/>
      </c>
      <c r="N1484" s="74">
        <f ca="1">VLOOKUP(B1484,$C$7:$T1482,13,FALSE)</f>
      </c>
      <c r="O1484" s="74">
        <f t="shared" ca="1" si="327"/>
      </c>
      <c r="P1484" s="74">
        <f t="shared" ca="1" si="328"/>
      </c>
      <c r="Q1484" s="74">
        <f t="shared" ca="1" si="329"/>
      </c>
      <c r="R1484" s="74">
        <f t="shared" si="330"/>
      </c>
      <c r="S1484" s="74">
        <f t="shared" ca="1" si="331"/>
      </c>
      <c r="T1484" s="74">
        <f t="shared" si="332"/>
      </c>
    </row>
    <row r="1485" spans="2:20" x14ac:dyDescent="0.3">
      <c r="B1485" s="74">
        <f t="shared" ca="1" si="322"/>
      </c>
      <c r="C1485" s="78">
        <f>Кабельный_журнал!P1451</f>
      </c>
      <c r="D1485" s="74">
        <f t="shared" ca="1" si="323"/>
      </c>
      <c r="E1485" s="80" t="s">
        <v>279</v>
      </c>
      <c r="F1485" s="74">
        <f t="shared" ca="1" si="319"/>
      </c>
      <c r="G1485" s="74">
        <f t="shared" si="320"/>
      </c>
      <c r="H1485" s="80" t="s">
        <v>272</v>
      </c>
      <c r="I1485" s="74">
        <f t="shared" si="321"/>
      </c>
      <c r="J1485" s="74">
        <f t="shared" si="324"/>
      </c>
      <c r="K1485" s="80" t="s">
        <v>280</v>
      </c>
      <c r="L1485" s="74">
        <f t="shared" si="325"/>
      </c>
      <c r="M1485" s="74">
        <f t="shared" ca="1" si="326"/>
      </c>
      <c r="N1485" s="74">
        <f ca="1">VLOOKUP(B1485,$C$7:$T1483,13,FALSE)</f>
      </c>
      <c r="O1485" s="74">
        <f t="shared" ca="1" si="327"/>
      </c>
      <c r="P1485" s="74">
        <f t="shared" ca="1" si="328"/>
      </c>
      <c r="Q1485" s="74">
        <f t="shared" ca="1" si="329"/>
      </c>
      <c r="R1485" s="74">
        <f t="shared" si="330"/>
      </c>
      <c r="S1485" s="74">
        <f t="shared" ca="1" si="331"/>
      </c>
      <c r="T1485" s="74">
        <f t="shared" si="332"/>
      </c>
    </row>
    <row r="1486" spans="2:20" x14ac:dyDescent="0.3">
      <c r="B1486" s="74">
        <f t="shared" ca="1" si="322"/>
      </c>
      <c r="C1486" s="78">
        <f>Кабельный_журнал!P1452</f>
      </c>
      <c r="D1486" s="74">
        <f t="shared" ca="1" si="323"/>
      </c>
      <c r="E1486" s="80" t="s">
        <v>279</v>
      </c>
      <c r="F1486" s="74">
        <f t="shared" ca="1" si="319"/>
      </c>
      <c r="G1486" s="74">
        <f t="shared" si="320"/>
      </c>
      <c r="H1486" s="80" t="s">
        <v>272</v>
      </c>
      <c r="I1486" s="74">
        <f t="shared" si="321"/>
      </c>
      <c r="J1486" s="74">
        <f t="shared" si="324"/>
      </c>
      <c r="K1486" s="80" t="s">
        <v>280</v>
      </c>
      <c r="L1486" s="74">
        <f t="shared" si="325"/>
      </c>
      <c r="M1486" s="74">
        <f t="shared" ca="1" si="326"/>
      </c>
      <c r="N1486" s="74">
        <f ca="1">VLOOKUP(B1486,$C$7:$T1484,13,FALSE)</f>
      </c>
      <c r="O1486" s="74">
        <f t="shared" ca="1" si="327"/>
      </c>
      <c r="P1486" s="74">
        <f t="shared" ca="1" si="328"/>
      </c>
      <c r="Q1486" s="74">
        <f t="shared" ca="1" si="329"/>
      </c>
      <c r="R1486" s="74">
        <f t="shared" si="330"/>
      </c>
      <c r="S1486" s="74">
        <f t="shared" ca="1" si="331"/>
      </c>
      <c r="T1486" s="74">
        <f t="shared" si="332"/>
      </c>
    </row>
    <row r="1487" spans="2:20" x14ac:dyDescent="0.3">
      <c r="B1487" s="74">
        <f t="shared" ca="1" si="322"/>
      </c>
      <c r="C1487" s="78">
        <f>Кабельный_журнал!P1453</f>
      </c>
      <c r="D1487" s="74">
        <f t="shared" ca="1" si="323"/>
      </c>
      <c r="E1487" s="80" t="s">
        <v>279</v>
      </c>
      <c r="F1487" s="74">
        <f t="shared" ca="1" si="319"/>
      </c>
      <c r="G1487" s="74">
        <f t="shared" si="320"/>
      </c>
      <c r="H1487" s="80" t="s">
        <v>272</v>
      </c>
      <c r="I1487" s="74">
        <f t="shared" si="321"/>
      </c>
      <c r="J1487" s="74">
        <f t="shared" si="324"/>
      </c>
      <c r="K1487" s="80" t="s">
        <v>280</v>
      </c>
      <c r="L1487" s="74">
        <f t="shared" si="325"/>
      </c>
      <c r="M1487" s="74">
        <f t="shared" ca="1" si="326"/>
      </c>
      <c r="N1487" s="74">
        <f ca="1">VLOOKUP(B1487,$C$7:$T1485,13,FALSE)</f>
      </c>
      <c r="O1487" s="74">
        <f t="shared" ca="1" si="327"/>
      </c>
      <c r="P1487" s="74">
        <f t="shared" ca="1" si="328"/>
      </c>
      <c r="Q1487" s="74">
        <f t="shared" ca="1" si="329"/>
      </c>
      <c r="R1487" s="74">
        <f t="shared" si="330"/>
      </c>
      <c r="S1487" s="74">
        <f t="shared" ca="1" si="331"/>
      </c>
      <c r="T1487" s="74">
        <f t="shared" si="332"/>
      </c>
    </row>
    <row r="1488" spans="2:20" x14ac:dyDescent="0.3">
      <c r="B1488" s="74">
        <f t="shared" ca="1" si="322"/>
      </c>
      <c r="C1488" s="78">
        <f>Кабельный_журнал!P1454</f>
      </c>
      <c r="D1488" s="74">
        <f t="shared" ca="1" si="323"/>
      </c>
      <c r="E1488" s="80" t="s">
        <v>279</v>
      </c>
      <c r="F1488" s="74">
        <f t="shared" ca="1" si="319"/>
      </c>
      <c r="G1488" s="74">
        <f t="shared" si="320"/>
      </c>
      <c r="H1488" s="80" t="s">
        <v>272</v>
      </c>
      <c r="I1488" s="74">
        <f t="shared" si="321"/>
      </c>
      <c r="J1488" s="74">
        <f t="shared" si="324"/>
      </c>
      <c r="K1488" s="80" t="s">
        <v>280</v>
      </c>
      <c r="L1488" s="74">
        <f t="shared" si="325"/>
      </c>
      <c r="M1488" s="74">
        <f t="shared" ca="1" si="326"/>
      </c>
      <c r="N1488" s="74">
        <f ca="1">VLOOKUP(B1488,$C$7:$T1486,13,FALSE)</f>
      </c>
      <c r="O1488" s="74">
        <f t="shared" ca="1" si="327"/>
      </c>
      <c r="P1488" s="74">
        <f t="shared" ca="1" si="328"/>
      </c>
      <c r="Q1488" s="74">
        <f t="shared" ca="1" si="329"/>
      </c>
      <c r="R1488" s="74">
        <f t="shared" si="330"/>
      </c>
      <c r="S1488" s="74">
        <f t="shared" ca="1" si="331"/>
      </c>
      <c r="T1488" s="74">
        <f t="shared" si="332"/>
      </c>
    </row>
    <row r="1489" spans="2:20" x14ac:dyDescent="0.3">
      <c r="B1489" s="74">
        <f t="shared" ca="1" si="322"/>
      </c>
      <c r="C1489" s="78">
        <f>Кабельный_журнал!P1455</f>
      </c>
      <c r="D1489" s="74">
        <f t="shared" ca="1" si="323"/>
      </c>
      <c r="E1489" s="80" t="s">
        <v>279</v>
      </c>
      <c r="F1489" s="74">
        <f t="shared" ca="1" si="319"/>
      </c>
      <c r="G1489" s="74">
        <f t="shared" si="320"/>
      </c>
      <c r="H1489" s="80" t="s">
        <v>272</v>
      </c>
      <c r="I1489" s="74">
        <f t="shared" si="321"/>
      </c>
      <c r="J1489" s="74">
        <f t="shared" si="324"/>
      </c>
      <c r="K1489" s="80" t="s">
        <v>280</v>
      </c>
      <c r="L1489" s="74">
        <f t="shared" si="325"/>
      </c>
      <c r="M1489" s="74">
        <f t="shared" ca="1" si="326"/>
      </c>
      <c r="N1489" s="74">
        <f ca="1">VLOOKUP(B1489,$C$7:$T1487,13,FALSE)</f>
      </c>
      <c r="O1489" s="74">
        <f t="shared" ca="1" si="327"/>
      </c>
      <c r="P1489" s="74">
        <f t="shared" ca="1" si="328"/>
      </c>
      <c r="Q1489" s="74">
        <f t="shared" ca="1" si="329"/>
      </c>
      <c r="R1489" s="74">
        <f t="shared" si="330"/>
      </c>
      <c r="S1489" s="74">
        <f t="shared" ca="1" si="331"/>
      </c>
      <c r="T1489" s="74">
        <f t="shared" si="332"/>
      </c>
    </row>
    <row r="1490" spans="2:20" x14ac:dyDescent="0.3">
      <c r="B1490" s="74">
        <f t="shared" ca="1" si="322"/>
      </c>
      <c r="C1490" s="78">
        <f>Кабельный_журнал!P1456</f>
      </c>
      <c r="D1490" s="74">
        <f t="shared" ca="1" si="323"/>
      </c>
      <c r="E1490" s="80" t="s">
        <v>279</v>
      </c>
      <c r="F1490" s="74">
        <f t="shared" ca="1" si="319"/>
      </c>
      <c r="G1490" s="74">
        <f t="shared" si="320"/>
      </c>
      <c r="H1490" s="80" t="s">
        <v>272</v>
      </c>
      <c r="I1490" s="74">
        <f t="shared" si="321"/>
      </c>
      <c r="J1490" s="74">
        <f t="shared" si="324"/>
      </c>
      <c r="K1490" s="80" t="s">
        <v>280</v>
      </c>
      <c r="L1490" s="74">
        <f t="shared" si="325"/>
      </c>
      <c r="M1490" s="74">
        <f t="shared" ca="1" si="326"/>
      </c>
      <c r="N1490" s="74">
        <f ca="1">VLOOKUP(B1490,$C$7:$T1488,13,FALSE)</f>
      </c>
      <c r="O1490" s="74">
        <f t="shared" ca="1" si="327"/>
      </c>
      <c r="P1490" s="74">
        <f t="shared" ca="1" si="328"/>
      </c>
      <c r="Q1490" s="74">
        <f t="shared" ca="1" si="329"/>
      </c>
      <c r="R1490" s="74">
        <f t="shared" si="330"/>
      </c>
      <c r="S1490" s="74">
        <f t="shared" ca="1" si="331"/>
      </c>
      <c r="T1490" s="74">
        <f t="shared" si="332"/>
      </c>
    </row>
    <row r="1491" spans="2:20" x14ac:dyDescent="0.3">
      <c r="B1491" s="74">
        <f t="shared" ca="1" si="322"/>
      </c>
      <c r="C1491" s="78">
        <f>Кабельный_журнал!P1457</f>
      </c>
      <c r="D1491" s="74">
        <f t="shared" ca="1" si="323"/>
      </c>
      <c r="E1491" s="80" t="s">
        <v>279</v>
      </c>
      <c r="F1491" s="74">
        <f t="shared" ca="1" si="319"/>
      </c>
      <c r="G1491" s="74">
        <f t="shared" si="320"/>
      </c>
      <c r="H1491" s="80" t="s">
        <v>272</v>
      </c>
      <c r="I1491" s="74">
        <f t="shared" si="321"/>
      </c>
      <c r="J1491" s="74">
        <f t="shared" si="324"/>
      </c>
      <c r="K1491" s="80" t="s">
        <v>280</v>
      </c>
      <c r="L1491" s="74">
        <f t="shared" si="325"/>
      </c>
      <c r="M1491" s="74">
        <f t="shared" ca="1" si="326"/>
      </c>
      <c r="N1491" s="74">
        <f ca="1">VLOOKUP(B1491,$C$7:$T1489,13,FALSE)</f>
      </c>
      <c r="O1491" s="74">
        <f t="shared" ca="1" si="327"/>
      </c>
      <c r="P1491" s="74">
        <f t="shared" ca="1" si="328"/>
      </c>
      <c r="Q1491" s="74">
        <f t="shared" ca="1" si="329"/>
      </c>
      <c r="R1491" s="74">
        <f t="shared" si="330"/>
      </c>
      <c r="S1491" s="74">
        <f t="shared" ca="1" si="331"/>
      </c>
      <c r="T1491" s="74">
        <f t="shared" si="332"/>
      </c>
    </row>
    <row r="1492" spans="2:20" x14ac:dyDescent="0.3">
      <c r="B1492" s="74">
        <f t="shared" ca="1" si="322"/>
      </c>
      <c r="C1492" s="78">
        <f>Кабельный_журнал!P1458</f>
      </c>
      <c r="D1492" s="74">
        <f t="shared" ca="1" si="323"/>
      </c>
      <c r="E1492" s="80" t="s">
        <v>279</v>
      </c>
      <c r="F1492" s="74">
        <f t="shared" ca="1" si="319"/>
      </c>
      <c r="G1492" s="74">
        <f t="shared" si="320"/>
      </c>
      <c r="H1492" s="80" t="s">
        <v>272</v>
      </c>
      <c r="I1492" s="74">
        <f t="shared" si="321"/>
      </c>
      <c r="J1492" s="74">
        <f t="shared" si="324"/>
      </c>
      <c r="K1492" s="80" t="s">
        <v>280</v>
      </c>
      <c r="L1492" s="74">
        <f t="shared" si="325"/>
      </c>
      <c r="M1492" s="74">
        <f t="shared" ca="1" si="326"/>
      </c>
      <c r="N1492" s="74">
        <f ca="1">VLOOKUP(B1492,$C$7:$T1490,13,FALSE)</f>
      </c>
      <c r="O1492" s="74">
        <f t="shared" ca="1" si="327"/>
      </c>
      <c r="P1492" s="74">
        <f t="shared" ca="1" si="328"/>
      </c>
      <c r="Q1492" s="74">
        <f t="shared" ca="1" si="329"/>
      </c>
      <c r="R1492" s="74">
        <f t="shared" si="330"/>
      </c>
      <c r="S1492" s="74">
        <f t="shared" ca="1" si="331"/>
      </c>
      <c r="T1492" s="74">
        <f t="shared" si="332"/>
      </c>
    </row>
    <row r="1493" spans="2:20" x14ac:dyDescent="0.3">
      <c r="B1493" s="74">
        <f t="shared" ca="1" si="322"/>
      </c>
      <c r="C1493" s="78">
        <f>Кабельный_журнал!P1459</f>
      </c>
      <c r="D1493" s="74">
        <f t="shared" ca="1" si="323"/>
      </c>
      <c r="E1493" s="80" t="s">
        <v>279</v>
      </c>
      <c r="F1493" s="74">
        <f t="shared" ca="1" si="319"/>
      </c>
      <c r="G1493" s="74">
        <f t="shared" si="320"/>
      </c>
      <c r="H1493" s="80" t="s">
        <v>272</v>
      </c>
      <c r="I1493" s="74">
        <f t="shared" si="321"/>
      </c>
      <c r="J1493" s="74">
        <f t="shared" si="324"/>
      </c>
      <c r="K1493" s="80" t="s">
        <v>280</v>
      </c>
      <c r="L1493" s="74">
        <f t="shared" si="325"/>
      </c>
      <c r="M1493" s="74">
        <f t="shared" ca="1" si="326"/>
      </c>
      <c r="N1493" s="74">
        <f ca="1">VLOOKUP(B1493,$C$7:$T1491,13,FALSE)</f>
      </c>
      <c r="O1493" s="74">
        <f t="shared" ca="1" si="327"/>
      </c>
      <c r="P1493" s="74">
        <f t="shared" ca="1" si="328"/>
      </c>
      <c r="Q1493" s="74">
        <f t="shared" ca="1" si="329"/>
      </c>
      <c r="R1493" s="74">
        <f t="shared" si="330"/>
      </c>
      <c r="S1493" s="74">
        <f t="shared" ca="1" si="331"/>
      </c>
      <c r="T1493" s="74">
        <f t="shared" si="332"/>
      </c>
    </row>
    <row r="1494" spans="2:20" x14ac:dyDescent="0.3">
      <c r="B1494" s="74">
        <f t="shared" ca="1" si="322"/>
      </c>
      <c r="C1494" s="78">
        <f>Кабельный_журнал!P1460</f>
      </c>
      <c r="D1494" s="74">
        <f t="shared" ca="1" si="323"/>
      </c>
      <c r="E1494" s="80" t="s">
        <v>279</v>
      </c>
      <c r="F1494" s="74">
        <f t="shared" ca="1" si="319"/>
      </c>
      <c r="G1494" s="74">
        <f t="shared" si="320"/>
      </c>
      <c r="H1494" s="80" t="s">
        <v>272</v>
      </c>
      <c r="I1494" s="74">
        <f t="shared" si="321"/>
      </c>
      <c r="J1494" s="74">
        <f t="shared" si="324"/>
      </c>
      <c r="K1494" s="80" t="s">
        <v>280</v>
      </c>
      <c r="L1494" s="74">
        <f t="shared" si="325"/>
      </c>
      <c r="M1494" s="74">
        <f t="shared" ca="1" si="326"/>
      </c>
      <c r="N1494" s="74">
        <f ca="1">VLOOKUP(B1494,$C$7:$T1492,13,FALSE)</f>
      </c>
      <c r="O1494" s="74">
        <f t="shared" ca="1" si="327"/>
      </c>
      <c r="P1494" s="74">
        <f t="shared" ca="1" si="328"/>
      </c>
      <c r="Q1494" s="74">
        <f t="shared" ca="1" si="329"/>
      </c>
      <c r="R1494" s="74">
        <f t="shared" si="330"/>
      </c>
      <c r="S1494" s="74">
        <f t="shared" ca="1" si="331"/>
      </c>
      <c r="T1494" s="74">
        <f t="shared" si="332"/>
      </c>
    </row>
    <row r="1495" spans="2:20" x14ac:dyDescent="0.3">
      <c r="B1495" s="74">
        <f t="shared" ca="1" si="322"/>
      </c>
      <c r="C1495" s="78">
        <f>Кабельный_журнал!P1461</f>
      </c>
      <c r="D1495" s="74">
        <f t="shared" ca="1" si="323"/>
      </c>
      <c r="E1495" s="80" t="s">
        <v>279</v>
      </c>
      <c r="F1495" s="74">
        <f t="shared" ca="1" si="319"/>
      </c>
      <c r="G1495" s="74">
        <f t="shared" si="320"/>
      </c>
      <c r="H1495" s="80" t="s">
        <v>272</v>
      </c>
      <c r="I1495" s="74">
        <f t="shared" si="321"/>
      </c>
      <c r="J1495" s="74">
        <f t="shared" si="324"/>
      </c>
      <c r="K1495" s="80" t="s">
        <v>280</v>
      </c>
      <c r="L1495" s="74">
        <f t="shared" si="325"/>
      </c>
      <c r="M1495" s="74">
        <f t="shared" ca="1" si="326"/>
      </c>
      <c r="N1495" s="74">
        <f ca="1">VLOOKUP(B1495,$C$7:$T1493,13,FALSE)</f>
      </c>
      <c r="O1495" s="74">
        <f t="shared" ca="1" si="327"/>
      </c>
      <c r="P1495" s="74">
        <f t="shared" ca="1" si="328"/>
      </c>
      <c r="Q1495" s="74">
        <f t="shared" ca="1" si="329"/>
      </c>
      <c r="R1495" s="74">
        <f t="shared" si="330"/>
      </c>
      <c r="S1495" s="74">
        <f t="shared" ca="1" si="331"/>
      </c>
      <c r="T1495" s="74">
        <f t="shared" si="332"/>
      </c>
    </row>
    <row r="1496" spans="2:20" x14ac:dyDescent="0.3">
      <c r="B1496" s="74">
        <f t="shared" ca="1" si="322"/>
      </c>
      <c r="C1496" s="78">
        <f>Кабельный_журнал!P1462</f>
      </c>
      <c r="D1496" s="74">
        <f t="shared" ca="1" si="323"/>
      </c>
      <c r="E1496" s="80" t="s">
        <v>279</v>
      </c>
      <c r="F1496" s="74">
        <f t="shared" ca="1" si="319"/>
      </c>
      <c r="G1496" s="74">
        <f t="shared" si="320"/>
      </c>
      <c r="H1496" s="80" t="s">
        <v>272</v>
      </c>
      <c r="I1496" s="74">
        <f t="shared" si="321"/>
      </c>
      <c r="J1496" s="74">
        <f t="shared" si="324"/>
      </c>
      <c r="K1496" s="80" t="s">
        <v>280</v>
      </c>
      <c r="L1496" s="74">
        <f t="shared" si="325"/>
      </c>
      <c r="M1496" s="74">
        <f t="shared" ca="1" si="326"/>
      </c>
      <c r="N1496" s="74">
        <f ca="1">VLOOKUP(B1496,$C$7:$T1494,13,FALSE)</f>
      </c>
      <c r="O1496" s="74">
        <f t="shared" ca="1" si="327"/>
      </c>
      <c r="P1496" s="74">
        <f t="shared" ca="1" si="328"/>
      </c>
      <c r="Q1496" s="74">
        <f t="shared" ca="1" si="329"/>
      </c>
      <c r="R1496" s="74">
        <f t="shared" si="330"/>
      </c>
      <c r="S1496" s="74">
        <f t="shared" ca="1" si="331"/>
      </c>
      <c r="T1496" s="74">
        <f t="shared" si="332"/>
      </c>
    </row>
    <row r="1497" spans="2:20" x14ac:dyDescent="0.3">
      <c r="B1497" s="74">
        <f t="shared" ca="1" si="322"/>
      </c>
      <c r="C1497" s="78">
        <f>Кабельный_журнал!P1463</f>
      </c>
      <c r="D1497" s="74">
        <f t="shared" ca="1" si="323"/>
      </c>
      <c r="E1497" s="80" t="s">
        <v>279</v>
      </c>
      <c r="F1497" s="74">
        <f t="shared" ca="1" si="319"/>
      </c>
      <c r="G1497" s="74">
        <f t="shared" si="320"/>
      </c>
      <c r="H1497" s="80" t="s">
        <v>272</v>
      </c>
      <c r="I1497" s="74">
        <f t="shared" si="321"/>
      </c>
      <c r="J1497" s="74">
        <f t="shared" si="324"/>
      </c>
      <c r="K1497" s="80" t="s">
        <v>280</v>
      </c>
      <c r="L1497" s="74">
        <f t="shared" si="325"/>
      </c>
      <c r="M1497" s="74">
        <f t="shared" ca="1" si="326"/>
      </c>
      <c r="N1497" s="74">
        <f ca="1">VLOOKUP(B1497,$C$7:$T1495,13,FALSE)</f>
      </c>
      <c r="O1497" s="74">
        <f t="shared" ca="1" si="327"/>
      </c>
      <c r="P1497" s="74">
        <f t="shared" ca="1" si="328"/>
      </c>
      <c r="Q1497" s="74">
        <f t="shared" ca="1" si="329"/>
      </c>
      <c r="R1497" s="74">
        <f t="shared" si="330"/>
      </c>
      <c r="S1497" s="74">
        <f t="shared" ca="1" si="331"/>
      </c>
      <c r="T1497" s="74">
        <f t="shared" si="332"/>
      </c>
    </row>
    <row r="1498" spans="2:20" x14ac:dyDescent="0.3">
      <c r="B1498" s="74">
        <f t="shared" ca="1" si="322"/>
      </c>
      <c r="C1498" s="78">
        <f>Кабельный_журнал!P1464</f>
      </c>
      <c r="D1498" s="74">
        <f t="shared" ca="1" si="323"/>
      </c>
      <c r="E1498" s="80" t="s">
        <v>279</v>
      </c>
      <c r="F1498" s="74">
        <f t="shared" ca="1" si="319"/>
      </c>
      <c r="G1498" s="74">
        <f t="shared" si="320"/>
      </c>
      <c r="H1498" s="80" t="s">
        <v>272</v>
      </c>
      <c r="I1498" s="74">
        <f t="shared" si="321"/>
      </c>
      <c r="J1498" s="74">
        <f t="shared" si="324"/>
      </c>
      <c r="K1498" s="80" t="s">
        <v>280</v>
      </c>
      <c r="L1498" s="74">
        <f t="shared" si="325"/>
      </c>
      <c r="M1498" s="74">
        <f t="shared" ca="1" si="326"/>
      </c>
      <c r="N1498" s="74">
        <f ca="1">VLOOKUP(B1498,$C$7:$T1496,13,FALSE)</f>
      </c>
      <c r="O1498" s="74">
        <f t="shared" ca="1" si="327"/>
      </c>
      <c r="P1498" s="74">
        <f t="shared" ca="1" si="328"/>
      </c>
      <c r="Q1498" s="74">
        <f t="shared" ca="1" si="329"/>
      </c>
      <c r="R1498" s="74">
        <f t="shared" si="330"/>
      </c>
      <c r="S1498" s="74">
        <f t="shared" ca="1" si="331"/>
      </c>
      <c r="T1498" s="74">
        <f t="shared" si="332"/>
      </c>
    </row>
    <row r="1499" spans="2:20" x14ac:dyDescent="0.3">
      <c r="B1499" s="74">
        <f t="shared" ca="1" si="322"/>
      </c>
      <c r="C1499" s="78">
        <f>Кабельный_журнал!P1465</f>
      </c>
      <c r="D1499" s="74">
        <f t="shared" ca="1" si="323"/>
      </c>
      <c r="E1499" s="80" t="s">
        <v>279</v>
      </c>
      <c r="F1499" s="74">
        <f t="shared" ca="1" si="319"/>
      </c>
      <c r="G1499" s="74">
        <f t="shared" si="320"/>
      </c>
      <c r="H1499" s="80" t="s">
        <v>272</v>
      </c>
      <c r="I1499" s="74">
        <f t="shared" si="321"/>
      </c>
      <c r="J1499" s="74">
        <f t="shared" si="324"/>
      </c>
      <c r="K1499" s="80" t="s">
        <v>280</v>
      </c>
      <c r="L1499" s="74">
        <f t="shared" si="325"/>
      </c>
      <c r="M1499" s="74">
        <f t="shared" ca="1" si="326"/>
      </c>
      <c r="N1499" s="74">
        <f ca="1">VLOOKUP(B1499,$C$7:$T1497,13,FALSE)</f>
      </c>
      <c r="O1499" s="74">
        <f t="shared" ca="1" si="327"/>
      </c>
      <c r="P1499" s="74">
        <f t="shared" ca="1" si="328"/>
      </c>
      <c r="Q1499" s="74">
        <f t="shared" ca="1" si="329"/>
      </c>
      <c r="R1499" s="74">
        <f t="shared" si="330"/>
      </c>
      <c r="S1499" s="74">
        <f t="shared" ca="1" si="331"/>
      </c>
      <c r="T1499" s="74">
        <f t="shared" si="332"/>
      </c>
    </row>
    <row r="1500" spans="2:20" x14ac:dyDescent="0.3">
      <c r="B1500" s="74">
        <f t="shared" ca="1" si="322"/>
      </c>
      <c r="C1500" s="78">
        <f>Кабельный_журнал!P1466</f>
      </c>
      <c r="D1500" s="74">
        <f t="shared" ca="1" si="323"/>
      </c>
      <c r="E1500" s="80" t="s">
        <v>279</v>
      </c>
      <c r="F1500" s="74">
        <f t="shared" ca="1" si="319"/>
      </c>
      <c r="G1500" s="74">
        <f t="shared" si="320"/>
      </c>
      <c r="H1500" s="80" t="s">
        <v>272</v>
      </c>
      <c r="I1500" s="74">
        <f t="shared" si="321"/>
      </c>
      <c r="J1500" s="74">
        <f t="shared" si="324"/>
      </c>
      <c r="K1500" s="80" t="s">
        <v>280</v>
      </c>
      <c r="L1500" s="74">
        <f t="shared" si="325"/>
      </c>
      <c r="M1500" s="74">
        <f t="shared" ca="1" si="326"/>
      </c>
      <c r="N1500" s="74">
        <f ca="1">VLOOKUP(B1500,$C$7:$T1498,13,FALSE)</f>
      </c>
      <c r="O1500" s="74">
        <f t="shared" ca="1" si="327"/>
      </c>
      <c r="P1500" s="74">
        <f t="shared" ca="1" si="328"/>
      </c>
      <c r="Q1500" s="74">
        <f t="shared" ca="1" si="329"/>
      </c>
      <c r="R1500" s="74">
        <f t="shared" si="330"/>
      </c>
      <c r="S1500" s="74">
        <f t="shared" ca="1" si="331"/>
      </c>
      <c r="T1500" s="74">
        <f t="shared" si="332"/>
      </c>
    </row>
    <row r="1501" spans="2:20" x14ac:dyDescent="0.3">
      <c r="B1501" s="74">
        <f t="shared" ca="1" si="322"/>
      </c>
      <c r="C1501" s="78">
        <f>Кабельный_журнал!P1467</f>
      </c>
      <c r="D1501" s="74">
        <f t="shared" ca="1" si="323"/>
      </c>
      <c r="E1501" s="80" t="s">
        <v>279</v>
      </c>
      <c r="F1501" s="74">
        <f t="shared" ca="1" si="319"/>
      </c>
      <c r="G1501" s="74">
        <f t="shared" si="320"/>
      </c>
      <c r="H1501" s="80" t="s">
        <v>272</v>
      </c>
      <c r="I1501" s="74">
        <f t="shared" si="321"/>
      </c>
      <c r="J1501" s="74">
        <f t="shared" si="324"/>
      </c>
      <c r="K1501" s="80" t="s">
        <v>280</v>
      </c>
      <c r="L1501" s="74">
        <f t="shared" si="325"/>
      </c>
      <c r="M1501" s="74">
        <f t="shared" ca="1" si="326"/>
      </c>
      <c r="N1501" s="74">
        <f ca="1">VLOOKUP(B1501,$C$7:$T1499,13,FALSE)</f>
      </c>
      <c r="O1501" s="74">
        <f t="shared" ca="1" si="327"/>
      </c>
      <c r="P1501" s="74">
        <f t="shared" ca="1" si="328"/>
      </c>
      <c r="Q1501" s="74">
        <f t="shared" ca="1" si="329"/>
      </c>
      <c r="R1501" s="74">
        <f t="shared" si="330"/>
      </c>
      <c r="S1501" s="74">
        <f t="shared" ca="1" si="331"/>
      </c>
      <c r="T1501" s="74">
        <f t="shared" si="332"/>
      </c>
    </row>
    <row r="1502" spans="2:20" x14ac:dyDescent="0.3">
      <c r="B1502" s="74">
        <f t="shared" ca="1" si="322"/>
      </c>
      <c r="C1502" s="78">
        <f>Кабельный_журнал!P1468</f>
      </c>
      <c r="D1502" s="74">
        <f t="shared" ca="1" si="323"/>
      </c>
      <c r="E1502" s="80" t="s">
        <v>279</v>
      </c>
      <c r="F1502" s="74">
        <f t="shared" ca="1" si="319"/>
      </c>
      <c r="G1502" s="74">
        <f t="shared" si="320"/>
      </c>
      <c r="H1502" s="80" t="s">
        <v>272</v>
      </c>
      <c r="I1502" s="74">
        <f t="shared" si="321"/>
      </c>
      <c r="J1502" s="74">
        <f t="shared" si="324"/>
      </c>
      <c r="K1502" s="80" t="s">
        <v>280</v>
      </c>
      <c r="L1502" s="74">
        <f t="shared" si="325"/>
      </c>
      <c r="M1502" s="74">
        <f t="shared" ca="1" si="326"/>
      </c>
      <c r="N1502" s="74">
        <f ca="1">VLOOKUP(B1502,$C$7:$T1500,13,FALSE)</f>
      </c>
      <c r="O1502" s="74">
        <f t="shared" ca="1" si="327"/>
      </c>
      <c r="P1502" s="74">
        <f t="shared" ca="1" si="328"/>
      </c>
      <c r="Q1502" s="74">
        <f t="shared" ca="1" si="329"/>
      </c>
      <c r="R1502" s="74">
        <f t="shared" si="330"/>
      </c>
      <c r="S1502" s="74">
        <f t="shared" ca="1" si="331"/>
      </c>
      <c r="T1502" s="74">
        <f t="shared" si="332"/>
      </c>
    </row>
    <row r="1503" spans="2:20" x14ac:dyDescent="0.3">
      <c r="B1503" s="74">
        <f t="shared" ca="1" si="322"/>
      </c>
      <c r="C1503" s="78">
        <f>Кабельный_журнал!P1469</f>
      </c>
      <c r="D1503" s="74">
        <f t="shared" ca="1" si="323"/>
      </c>
      <c r="E1503" s="80" t="s">
        <v>279</v>
      </c>
      <c r="F1503" s="74">
        <f t="shared" ca="1" si="319"/>
      </c>
      <c r="G1503" s="74">
        <f t="shared" si="320"/>
      </c>
      <c r="H1503" s="80" t="s">
        <v>272</v>
      </c>
      <c r="I1503" s="74">
        <f t="shared" si="321"/>
      </c>
      <c r="J1503" s="74">
        <f t="shared" si="324"/>
      </c>
      <c r="K1503" s="80" t="s">
        <v>280</v>
      </c>
      <c r="L1503" s="74">
        <f t="shared" si="325"/>
      </c>
      <c r="M1503" s="74">
        <f t="shared" ca="1" si="326"/>
      </c>
      <c r="N1503" s="74">
        <f ca="1">VLOOKUP(B1503,$C$7:$T1501,13,FALSE)</f>
      </c>
      <c r="O1503" s="74">
        <f t="shared" ca="1" si="327"/>
      </c>
      <c r="P1503" s="74">
        <f t="shared" ca="1" si="328"/>
      </c>
      <c r="Q1503" s="74">
        <f t="shared" ca="1" si="329"/>
      </c>
      <c r="R1503" s="74">
        <f t="shared" si="330"/>
      </c>
      <c r="S1503" s="74">
        <f t="shared" ca="1" si="331"/>
      </c>
      <c r="T1503" s="74">
        <f t="shared" si="332"/>
      </c>
    </row>
    <row r="1504" spans="2:20" x14ac:dyDescent="0.3">
      <c r="B1504" s="74">
        <f t="shared" ca="1" si="322"/>
      </c>
      <c r="C1504" s="78">
        <f>Кабельный_журнал!P1470</f>
      </c>
      <c r="D1504" s="74">
        <f t="shared" ca="1" si="323"/>
      </c>
      <c r="E1504" s="80" t="s">
        <v>279</v>
      </c>
      <c r="F1504" s="74">
        <f t="shared" ca="1" si="319"/>
      </c>
      <c r="G1504" s="74">
        <f t="shared" si="320"/>
      </c>
      <c r="H1504" s="80" t="s">
        <v>272</v>
      </c>
      <c r="I1504" s="74">
        <f t="shared" si="321"/>
      </c>
      <c r="J1504" s="74">
        <f t="shared" si="324"/>
      </c>
      <c r="K1504" s="80" t="s">
        <v>280</v>
      </c>
      <c r="L1504" s="74">
        <f t="shared" si="325"/>
      </c>
      <c r="M1504" s="74">
        <f t="shared" ca="1" si="326"/>
      </c>
      <c r="N1504" s="74">
        <f ca="1">VLOOKUP(B1504,$C$7:$T1502,13,FALSE)</f>
      </c>
      <c r="O1504" s="74">
        <f t="shared" ca="1" si="327"/>
      </c>
      <c r="P1504" s="74">
        <f t="shared" ca="1" si="328"/>
      </c>
      <c r="Q1504" s="74">
        <f t="shared" ca="1" si="329"/>
      </c>
      <c r="R1504" s="74">
        <f t="shared" si="330"/>
      </c>
      <c r="S1504" s="74">
        <f t="shared" ca="1" si="331"/>
      </c>
      <c r="T1504" s="74">
        <f t="shared" si="332"/>
      </c>
    </row>
    <row r="1505" spans="2:20" x14ac:dyDescent="0.3">
      <c r="B1505" s="74">
        <f t="shared" ca="1" si="322"/>
      </c>
      <c r="C1505" s="78">
        <f>Кабельный_журнал!P1471</f>
      </c>
      <c r="D1505" s="74">
        <f t="shared" ca="1" si="323"/>
      </c>
      <c r="E1505" s="80" t="s">
        <v>279</v>
      </c>
      <c r="F1505" s="74">
        <f t="shared" ca="1" si="319"/>
      </c>
      <c r="G1505" s="74">
        <f t="shared" si="320"/>
      </c>
      <c r="H1505" s="80" t="s">
        <v>272</v>
      </c>
      <c r="I1505" s="74">
        <f t="shared" si="321"/>
      </c>
      <c r="J1505" s="74">
        <f t="shared" si="324"/>
      </c>
      <c r="K1505" s="80" t="s">
        <v>280</v>
      </c>
      <c r="L1505" s="74">
        <f t="shared" si="325"/>
      </c>
      <c r="M1505" s="74">
        <f t="shared" ca="1" si="326"/>
      </c>
      <c r="N1505" s="74">
        <f ca="1">VLOOKUP(B1505,$C$7:$T1503,13,FALSE)</f>
      </c>
      <c r="O1505" s="74">
        <f t="shared" ca="1" si="327"/>
      </c>
      <c r="P1505" s="74">
        <f t="shared" ca="1" si="328"/>
      </c>
      <c r="Q1505" s="74">
        <f t="shared" ca="1" si="329"/>
      </c>
      <c r="R1505" s="74">
        <f t="shared" si="330"/>
      </c>
      <c r="S1505" s="74">
        <f t="shared" ca="1" si="331"/>
      </c>
      <c r="T1505" s="74">
        <f t="shared" si="332"/>
      </c>
    </row>
    <row r="1506" spans="2:20" x14ac:dyDescent="0.3">
      <c r="B1506" s="74">
        <f t="shared" ca="1" si="322"/>
      </c>
      <c r="C1506" s="78">
        <f>Кабельный_журнал!P1472</f>
      </c>
      <c r="D1506" s="74">
        <f t="shared" ca="1" si="323"/>
      </c>
      <c r="E1506" s="80" t="s">
        <v>279</v>
      </c>
      <c r="F1506" s="74">
        <f t="shared" ca="1" si="319"/>
      </c>
      <c r="G1506" s="74">
        <f t="shared" si="320"/>
      </c>
      <c r="H1506" s="80" t="s">
        <v>272</v>
      </c>
      <c r="I1506" s="74">
        <f t="shared" si="321"/>
      </c>
      <c r="J1506" s="74">
        <f t="shared" si="324"/>
      </c>
      <c r="K1506" s="80" t="s">
        <v>280</v>
      </c>
      <c r="L1506" s="74">
        <f t="shared" si="325"/>
      </c>
      <c r="M1506" s="74">
        <f t="shared" ca="1" si="326"/>
      </c>
      <c r="N1506" s="74">
        <f ca="1">VLOOKUP(B1506,$C$7:$T1504,13,FALSE)</f>
      </c>
      <c r="O1506" s="74">
        <f t="shared" ca="1" si="327"/>
      </c>
      <c r="P1506" s="74">
        <f t="shared" ca="1" si="328"/>
      </c>
      <c r="Q1506" s="74">
        <f t="shared" ca="1" si="329"/>
      </c>
      <c r="R1506" s="74">
        <f t="shared" si="330"/>
      </c>
      <c r="S1506" s="74">
        <f t="shared" ca="1" si="331"/>
      </c>
      <c r="T1506" s="74">
        <f t="shared" si="332"/>
      </c>
    </row>
    <row r="1507" spans="2:20" x14ac:dyDescent="0.3">
      <c r="B1507" s="74">
        <f t="shared" ca="1" si="322"/>
      </c>
      <c r="C1507" s="78">
        <f>Кабельный_журнал!P1473</f>
      </c>
      <c r="D1507" s="74">
        <f t="shared" ca="1" si="323"/>
      </c>
      <c r="E1507" s="80" t="s">
        <v>279</v>
      </c>
      <c r="F1507" s="74">
        <f t="shared" ca="1" si="319"/>
      </c>
      <c r="G1507" s="74">
        <f t="shared" si="320"/>
      </c>
      <c r="H1507" s="80" t="s">
        <v>272</v>
      </c>
      <c r="I1507" s="74">
        <f t="shared" si="321"/>
      </c>
      <c r="J1507" s="74">
        <f t="shared" si="324"/>
      </c>
      <c r="K1507" s="80" t="s">
        <v>280</v>
      </c>
      <c r="L1507" s="74">
        <f t="shared" si="325"/>
      </c>
      <c r="M1507" s="74">
        <f t="shared" ca="1" si="326"/>
      </c>
      <c r="N1507" s="74">
        <f ca="1">VLOOKUP(B1507,$C$7:$T1505,13,FALSE)</f>
      </c>
      <c r="O1507" s="74">
        <f t="shared" ca="1" si="327"/>
      </c>
      <c r="P1507" s="74">
        <f t="shared" ca="1" si="328"/>
      </c>
      <c r="Q1507" s="74">
        <f t="shared" ca="1" si="329"/>
      </c>
      <c r="R1507" s="74">
        <f t="shared" si="330"/>
      </c>
      <c r="S1507" s="74">
        <f t="shared" ca="1" si="331"/>
      </c>
      <c r="T1507" s="74">
        <f t="shared" si="332"/>
      </c>
    </row>
    <row r="1508" spans="2:20" x14ac:dyDescent="0.3">
      <c r="B1508" s="74">
        <f t="shared" ca="1" si="322"/>
      </c>
      <c r="C1508" s="78">
        <f>Кабельный_журнал!P1474</f>
      </c>
      <c r="D1508" s="74">
        <f t="shared" ca="1" si="323"/>
      </c>
      <c r="E1508" s="80" t="s">
        <v>279</v>
      </c>
      <c r="F1508" s="74">
        <f t="shared" ca="1" si="319"/>
      </c>
      <c r="G1508" s="74">
        <f t="shared" si="320"/>
      </c>
      <c r="H1508" s="80" t="s">
        <v>272</v>
      </c>
      <c r="I1508" s="74">
        <f t="shared" si="321"/>
      </c>
      <c r="J1508" s="74">
        <f t="shared" si="324"/>
      </c>
      <c r="K1508" s="80" t="s">
        <v>280</v>
      </c>
      <c r="L1508" s="74">
        <f t="shared" si="325"/>
      </c>
      <c r="M1508" s="74">
        <f t="shared" ca="1" si="326"/>
      </c>
      <c r="N1508" s="74">
        <f ca="1">VLOOKUP(B1508,$C$7:$T1506,13,FALSE)</f>
      </c>
      <c r="O1508" s="74">
        <f t="shared" ca="1" si="327"/>
      </c>
      <c r="P1508" s="74">
        <f t="shared" ca="1" si="328"/>
      </c>
      <c r="Q1508" s="74">
        <f t="shared" ca="1" si="329"/>
      </c>
      <c r="R1508" s="74">
        <f t="shared" si="330"/>
      </c>
      <c r="S1508" s="74">
        <f t="shared" ca="1" si="331"/>
      </c>
      <c r="T1508" s="74">
        <f t="shared" si="332"/>
      </c>
    </row>
    <row r="1509" spans="2:20" x14ac:dyDescent="0.3">
      <c r="B1509" s="74">
        <f t="shared" ca="1" si="322"/>
      </c>
      <c r="C1509" s="78">
        <f>Кабельный_журнал!P1475</f>
      </c>
      <c r="D1509" s="74">
        <f t="shared" ca="1" si="323"/>
      </c>
      <c r="E1509" s="80" t="s">
        <v>279</v>
      </c>
      <c r="F1509" s="74">
        <f t="shared" ca="1" si="319"/>
      </c>
      <c r="G1509" s="74">
        <f t="shared" si="320"/>
      </c>
      <c r="H1509" s="80" t="s">
        <v>272</v>
      </c>
      <c r="I1509" s="74">
        <f t="shared" si="321"/>
      </c>
      <c r="J1509" s="74">
        <f t="shared" si="324"/>
      </c>
      <c r="K1509" s="80" t="s">
        <v>280</v>
      </c>
      <c r="L1509" s="74">
        <f t="shared" si="325"/>
      </c>
      <c r="M1509" s="74">
        <f t="shared" ca="1" si="326"/>
      </c>
      <c r="N1509" s="74">
        <f ca="1">VLOOKUP(B1509,$C$7:$T1507,13,FALSE)</f>
      </c>
      <c r="O1509" s="74">
        <f t="shared" ca="1" si="327"/>
      </c>
      <c r="P1509" s="74">
        <f t="shared" ca="1" si="328"/>
      </c>
      <c r="Q1509" s="74">
        <f t="shared" ca="1" si="329"/>
      </c>
      <c r="R1509" s="74">
        <f t="shared" si="330"/>
      </c>
      <c r="S1509" s="74">
        <f t="shared" ca="1" si="331"/>
      </c>
      <c r="T1509" s="74">
        <f t="shared" si="332"/>
      </c>
    </row>
    <row r="1510" spans="2:20" x14ac:dyDescent="0.3">
      <c r="B1510" s="74">
        <f t="shared" ca="1" si="322"/>
      </c>
      <c r="C1510" s="78">
        <f>Кабельный_журнал!P1476</f>
      </c>
      <c r="D1510" s="74">
        <f t="shared" ca="1" si="323"/>
      </c>
      <c r="E1510" s="80" t="s">
        <v>279</v>
      </c>
      <c r="F1510" s="74">
        <f t="shared" ca="1" si="319"/>
      </c>
      <c r="G1510" s="74">
        <f t="shared" si="320"/>
      </c>
      <c r="H1510" s="80" t="s">
        <v>272</v>
      </c>
      <c r="I1510" s="74">
        <f t="shared" si="321"/>
      </c>
      <c r="J1510" s="74">
        <f t="shared" si="324"/>
      </c>
      <c r="K1510" s="80" t="s">
        <v>280</v>
      </c>
      <c r="L1510" s="74">
        <f t="shared" si="325"/>
      </c>
      <c r="M1510" s="74">
        <f t="shared" ca="1" si="326"/>
      </c>
      <c r="N1510" s="74">
        <f ca="1">VLOOKUP(B1510,$C$7:$T1508,13,FALSE)</f>
      </c>
      <c r="O1510" s="74">
        <f t="shared" ca="1" si="327"/>
      </c>
      <c r="P1510" s="74">
        <f t="shared" ca="1" si="328"/>
      </c>
      <c r="Q1510" s="74">
        <f t="shared" ca="1" si="329"/>
      </c>
      <c r="R1510" s="74">
        <f t="shared" si="330"/>
      </c>
      <c r="S1510" s="74">
        <f t="shared" ca="1" si="331"/>
      </c>
      <c r="T1510" s="74">
        <f t="shared" si="332"/>
      </c>
    </row>
    <row r="1511" spans="2:20" x14ac:dyDescent="0.3">
      <c r="B1511" s="74">
        <f t="shared" ca="1" si="322"/>
      </c>
      <c r="C1511" s="78">
        <f>Кабельный_журнал!P1477</f>
      </c>
      <c r="D1511" s="74">
        <f t="shared" ca="1" si="323"/>
      </c>
      <c r="E1511" s="80" t="s">
        <v>279</v>
      </c>
      <c r="F1511" s="74">
        <f t="shared" ref="F1511:F1574" ca="1" si="333">VLOOKUP(C1511,Кабельный_журнал,8,FALSE)</f>
      </c>
      <c r="G1511" s="74">
        <f t="shared" ref="G1511:G1574" si="334">VLOOKUP(C1511,Исходные_данные,21,FALSE)</f>
      </c>
      <c r="H1511" s="80" t="s">
        <v>272</v>
      </c>
      <c r="I1511" s="74">
        <f t="shared" ref="I1511:I1574" si="335">VLOOKUP(C1511,Исходные_данные,22,FALSE)</f>
      </c>
      <c r="J1511" s="74">
        <f t="shared" si="324"/>
      </c>
      <c r="K1511" s="80" t="s">
        <v>280</v>
      </c>
      <c r="L1511" s="74">
        <f t="shared" si="325"/>
      </c>
      <c r="M1511" s="74">
        <f t="shared" ca="1" si="326"/>
      </c>
      <c r="N1511" s="74">
        <f ca="1">VLOOKUP(B1511,$C$7:$T1509,13,FALSE)</f>
      </c>
      <c r="O1511" s="74">
        <f t="shared" ca="1" si="327"/>
      </c>
      <c r="P1511" s="74">
        <f t="shared" ca="1" si="328"/>
      </c>
      <c r="Q1511" s="74">
        <f t="shared" ca="1" si="329"/>
      </c>
      <c r="R1511" s="74">
        <f t="shared" si="330"/>
      </c>
      <c r="S1511" s="74">
        <f t="shared" ca="1" si="331"/>
      </c>
      <c r="T1511" s="74">
        <f t="shared" si="332"/>
      </c>
    </row>
    <row r="1512" spans="2:20" x14ac:dyDescent="0.3">
      <c r="B1512" s="74">
        <f t="shared" ref="B1512:B1575" ca="1" si="336">VLOOKUP(C1512,Кабельный_журнал,2,FALSE)</f>
      </c>
      <c r="C1512" s="78">
        <f>Кабельный_журнал!P1478</f>
      </c>
      <c r="D1512" s="74">
        <f t="shared" ref="D1512:D1575" ca="1" si="337">B1512&amp;"-"&amp;C1512</f>
      </c>
      <c r="E1512" s="80" t="s">
        <v>279</v>
      </c>
      <c r="F1512" s="74">
        <f t="shared" ca="1" si="333"/>
      </c>
      <c r="G1512" s="74">
        <f t="shared" si="334"/>
      </c>
      <c r="H1512" s="80" t="s">
        <v>272</v>
      </c>
      <c r="I1512" s="74">
        <f t="shared" si="335"/>
      </c>
      <c r="J1512" s="74">
        <f t="shared" ref="J1512:J1575" si="338">I1512</f>
      </c>
      <c r="K1512" s="80" t="s">
        <v>280</v>
      </c>
      <c r="L1512" s="74">
        <f t="shared" ref="L1512:L1575" si="339">VLOOKUP(K1512,$K$2:$L$3,2,FALSE)</f>
      </c>
      <c r="M1512" s="74">
        <f t="shared" ref="M1512:M1575" ca="1" si="340">L1512*F1512*(1/I1512+1/J1512)</f>
      </c>
      <c r="N1512" s="74">
        <f ca="1">VLOOKUP(B1512,$C$7:$T1510,13,FALSE)</f>
      </c>
      <c r="O1512" s="74">
        <f t="shared" ref="O1512:O1575" ca="1" si="341">L1512+M1512</f>
      </c>
      <c r="P1512" s="74">
        <f t="shared" ref="P1512:P1575" ca="1" si="342">220/O1512</f>
      </c>
      <c r="Q1512" s="74">
        <f t="shared" ref="Q1512:Q1575" ca="1" si="343">O1512/G1512</f>
      </c>
      <c r="R1512" s="74">
        <f t="shared" ref="R1512:R1575" si="344">VLOOKUP(H1512,$W$2:$Y$12,3,FALSE)</f>
      </c>
      <c r="S1512" s="74">
        <f t="shared" ref="S1512:S1575" ca="1" si="345">_xlfn.IFS(E1512="щит",IF(P1512&gt;R1512,"Увел сеч",IF(T1512&gt;P1512,"Увел сеч","tср&lt;5с")),E1512="потреб",IF(P1512&gt;R1512,"Увел сеч",IF(T1512&gt;P1512,"Увел сеч","tср&lt;0.4с")))</f>
      </c>
      <c r="T1512" s="74">
        <f t="shared" ref="T1512:T1575" si="346">G1512*VLOOKUP(H1512,$W$2:$Y$12,2,FALSE)</f>
      </c>
    </row>
    <row r="1513" spans="2:20" x14ac:dyDescent="0.3">
      <c r="B1513" s="74">
        <f t="shared" ca="1" si="336"/>
      </c>
      <c r="C1513" s="78">
        <f>Кабельный_журнал!P1479</f>
      </c>
      <c r="D1513" s="74">
        <f t="shared" ca="1" si="337"/>
      </c>
      <c r="E1513" s="80" t="s">
        <v>279</v>
      </c>
      <c r="F1513" s="74">
        <f t="shared" ca="1" si="333"/>
      </c>
      <c r="G1513" s="74">
        <f t="shared" si="334"/>
      </c>
      <c r="H1513" s="80" t="s">
        <v>272</v>
      </c>
      <c r="I1513" s="74">
        <f t="shared" si="335"/>
      </c>
      <c r="J1513" s="74">
        <f t="shared" si="338"/>
      </c>
      <c r="K1513" s="80" t="s">
        <v>280</v>
      </c>
      <c r="L1513" s="74">
        <f t="shared" si="339"/>
      </c>
      <c r="M1513" s="74">
        <f t="shared" ca="1" si="340"/>
      </c>
      <c r="N1513" s="74">
        <f ca="1">VLOOKUP(B1513,$C$7:$T1511,13,FALSE)</f>
      </c>
      <c r="O1513" s="74">
        <f t="shared" ca="1" si="341"/>
      </c>
      <c r="P1513" s="74">
        <f t="shared" ca="1" si="342"/>
      </c>
      <c r="Q1513" s="74">
        <f t="shared" ca="1" si="343"/>
      </c>
      <c r="R1513" s="74">
        <f t="shared" si="344"/>
      </c>
      <c r="S1513" s="74">
        <f t="shared" ca="1" si="345"/>
      </c>
      <c r="T1513" s="74">
        <f t="shared" si="346"/>
      </c>
    </row>
    <row r="1514" spans="2:20" x14ac:dyDescent="0.3">
      <c r="B1514" s="74">
        <f t="shared" ca="1" si="336"/>
      </c>
      <c r="C1514" s="78">
        <f>Кабельный_журнал!P1480</f>
      </c>
      <c r="D1514" s="74">
        <f t="shared" ca="1" si="337"/>
      </c>
      <c r="E1514" s="80" t="s">
        <v>279</v>
      </c>
      <c r="F1514" s="74">
        <f t="shared" ca="1" si="333"/>
      </c>
      <c r="G1514" s="74">
        <f t="shared" si="334"/>
      </c>
      <c r="H1514" s="80" t="s">
        <v>272</v>
      </c>
      <c r="I1514" s="74">
        <f t="shared" si="335"/>
      </c>
      <c r="J1514" s="74">
        <f t="shared" si="338"/>
      </c>
      <c r="K1514" s="80" t="s">
        <v>280</v>
      </c>
      <c r="L1514" s="74">
        <f t="shared" si="339"/>
      </c>
      <c r="M1514" s="74">
        <f t="shared" ca="1" si="340"/>
      </c>
      <c r="N1514" s="74">
        <f ca="1">VLOOKUP(B1514,$C$7:$T1512,13,FALSE)</f>
      </c>
      <c r="O1514" s="74">
        <f t="shared" ca="1" si="341"/>
      </c>
      <c r="P1514" s="74">
        <f t="shared" ca="1" si="342"/>
      </c>
      <c r="Q1514" s="74">
        <f t="shared" ca="1" si="343"/>
      </c>
      <c r="R1514" s="74">
        <f t="shared" si="344"/>
      </c>
      <c r="S1514" s="74">
        <f t="shared" ca="1" si="345"/>
      </c>
      <c r="T1514" s="74">
        <f t="shared" si="346"/>
      </c>
    </row>
    <row r="1515" spans="2:20" x14ac:dyDescent="0.3">
      <c r="B1515" s="74">
        <f t="shared" ca="1" si="336"/>
      </c>
      <c r="C1515" s="78">
        <f>Кабельный_журнал!P1481</f>
      </c>
      <c r="D1515" s="74">
        <f t="shared" ca="1" si="337"/>
      </c>
      <c r="E1515" s="80" t="s">
        <v>279</v>
      </c>
      <c r="F1515" s="74">
        <f t="shared" ca="1" si="333"/>
      </c>
      <c r="G1515" s="74">
        <f t="shared" si="334"/>
      </c>
      <c r="H1515" s="80" t="s">
        <v>272</v>
      </c>
      <c r="I1515" s="74">
        <f t="shared" si="335"/>
      </c>
      <c r="J1515" s="74">
        <f t="shared" si="338"/>
      </c>
      <c r="K1515" s="80" t="s">
        <v>280</v>
      </c>
      <c r="L1515" s="74">
        <f t="shared" si="339"/>
      </c>
      <c r="M1515" s="74">
        <f t="shared" ca="1" si="340"/>
      </c>
      <c r="N1515" s="74">
        <f ca="1">VLOOKUP(B1515,$C$7:$T1513,13,FALSE)</f>
      </c>
      <c r="O1515" s="74">
        <f t="shared" ca="1" si="341"/>
      </c>
      <c r="P1515" s="74">
        <f t="shared" ca="1" si="342"/>
      </c>
      <c r="Q1515" s="74">
        <f t="shared" ca="1" si="343"/>
      </c>
      <c r="R1515" s="74">
        <f t="shared" si="344"/>
      </c>
      <c r="S1515" s="74">
        <f t="shared" ca="1" si="345"/>
      </c>
      <c r="T1515" s="74">
        <f t="shared" si="346"/>
      </c>
    </row>
    <row r="1516" spans="2:20" x14ac:dyDescent="0.3">
      <c r="B1516" s="74">
        <f t="shared" ca="1" si="336"/>
      </c>
      <c r="C1516" s="78">
        <f>Кабельный_журнал!P1482</f>
      </c>
      <c r="D1516" s="74">
        <f t="shared" ca="1" si="337"/>
      </c>
      <c r="E1516" s="80" t="s">
        <v>279</v>
      </c>
      <c r="F1516" s="74">
        <f t="shared" ca="1" si="333"/>
      </c>
      <c r="G1516" s="74">
        <f t="shared" si="334"/>
      </c>
      <c r="H1516" s="80" t="s">
        <v>272</v>
      </c>
      <c r="I1516" s="74">
        <f t="shared" si="335"/>
      </c>
      <c r="J1516" s="74">
        <f t="shared" si="338"/>
      </c>
      <c r="K1516" s="80" t="s">
        <v>280</v>
      </c>
      <c r="L1516" s="74">
        <f t="shared" si="339"/>
      </c>
      <c r="M1516" s="74">
        <f t="shared" ca="1" si="340"/>
      </c>
      <c r="N1516" s="74">
        <f ca="1">VLOOKUP(B1516,$C$7:$T1514,13,FALSE)</f>
      </c>
      <c r="O1516" s="74">
        <f t="shared" ca="1" si="341"/>
      </c>
      <c r="P1516" s="74">
        <f t="shared" ca="1" si="342"/>
      </c>
      <c r="Q1516" s="74">
        <f t="shared" ca="1" si="343"/>
      </c>
      <c r="R1516" s="74">
        <f t="shared" si="344"/>
      </c>
      <c r="S1516" s="74">
        <f t="shared" ca="1" si="345"/>
      </c>
      <c r="T1516" s="74">
        <f t="shared" si="346"/>
      </c>
    </row>
    <row r="1517" spans="2:20" x14ac:dyDescent="0.3">
      <c r="B1517" s="74">
        <f t="shared" ca="1" si="336"/>
      </c>
      <c r="C1517" s="78">
        <f>Кабельный_журнал!P1483</f>
      </c>
      <c r="D1517" s="74">
        <f t="shared" ca="1" si="337"/>
      </c>
      <c r="E1517" s="80" t="s">
        <v>279</v>
      </c>
      <c r="F1517" s="74">
        <f t="shared" ca="1" si="333"/>
      </c>
      <c r="G1517" s="74">
        <f t="shared" si="334"/>
      </c>
      <c r="H1517" s="80" t="s">
        <v>272</v>
      </c>
      <c r="I1517" s="74">
        <f t="shared" si="335"/>
      </c>
      <c r="J1517" s="74">
        <f t="shared" si="338"/>
      </c>
      <c r="K1517" s="80" t="s">
        <v>280</v>
      </c>
      <c r="L1517" s="74">
        <f t="shared" si="339"/>
      </c>
      <c r="M1517" s="74">
        <f t="shared" ca="1" si="340"/>
      </c>
      <c r="N1517" s="74">
        <f ca="1">VLOOKUP(B1517,$C$7:$T1515,13,FALSE)</f>
      </c>
      <c r="O1517" s="74">
        <f t="shared" ca="1" si="341"/>
      </c>
      <c r="P1517" s="74">
        <f t="shared" ca="1" si="342"/>
      </c>
      <c r="Q1517" s="74">
        <f t="shared" ca="1" si="343"/>
      </c>
      <c r="R1517" s="74">
        <f t="shared" si="344"/>
      </c>
      <c r="S1517" s="74">
        <f t="shared" ca="1" si="345"/>
      </c>
      <c r="T1517" s="74">
        <f t="shared" si="346"/>
      </c>
    </row>
    <row r="1518" spans="2:20" x14ac:dyDescent="0.3">
      <c r="B1518" s="74">
        <f t="shared" ca="1" si="336"/>
      </c>
      <c r="C1518" s="78">
        <f>Кабельный_журнал!P1484</f>
      </c>
      <c r="D1518" s="74">
        <f t="shared" ca="1" si="337"/>
      </c>
      <c r="E1518" s="80" t="s">
        <v>279</v>
      </c>
      <c r="F1518" s="74">
        <f t="shared" ca="1" si="333"/>
      </c>
      <c r="G1518" s="74">
        <f t="shared" si="334"/>
      </c>
      <c r="H1518" s="80" t="s">
        <v>272</v>
      </c>
      <c r="I1518" s="74">
        <f t="shared" si="335"/>
      </c>
      <c r="J1518" s="74">
        <f t="shared" si="338"/>
      </c>
      <c r="K1518" s="80" t="s">
        <v>280</v>
      </c>
      <c r="L1518" s="74">
        <f t="shared" si="339"/>
      </c>
      <c r="M1518" s="74">
        <f t="shared" ca="1" si="340"/>
      </c>
      <c r="N1518" s="74">
        <f ca="1">VLOOKUP(B1518,$C$7:$T1516,13,FALSE)</f>
      </c>
      <c r="O1518" s="74">
        <f t="shared" ca="1" si="341"/>
      </c>
      <c r="P1518" s="74">
        <f t="shared" ca="1" si="342"/>
      </c>
      <c r="Q1518" s="74">
        <f t="shared" ca="1" si="343"/>
      </c>
      <c r="R1518" s="74">
        <f t="shared" si="344"/>
      </c>
      <c r="S1518" s="74">
        <f t="shared" ca="1" si="345"/>
      </c>
      <c r="T1518" s="74">
        <f t="shared" si="346"/>
      </c>
    </row>
    <row r="1519" spans="2:20" x14ac:dyDescent="0.3">
      <c r="B1519" s="74">
        <f t="shared" ca="1" si="336"/>
      </c>
      <c r="C1519" s="78">
        <f>Кабельный_журнал!P1485</f>
      </c>
      <c r="D1519" s="74">
        <f t="shared" ca="1" si="337"/>
      </c>
      <c r="E1519" s="80" t="s">
        <v>279</v>
      </c>
      <c r="F1519" s="74">
        <f t="shared" ca="1" si="333"/>
      </c>
      <c r="G1519" s="74">
        <f t="shared" si="334"/>
      </c>
      <c r="H1519" s="80" t="s">
        <v>272</v>
      </c>
      <c r="I1519" s="74">
        <f t="shared" si="335"/>
      </c>
      <c r="J1519" s="74">
        <f t="shared" si="338"/>
      </c>
      <c r="K1519" s="80" t="s">
        <v>280</v>
      </c>
      <c r="L1519" s="74">
        <f t="shared" si="339"/>
      </c>
      <c r="M1519" s="74">
        <f t="shared" ca="1" si="340"/>
      </c>
      <c r="N1519" s="74">
        <f ca="1">VLOOKUP(B1519,$C$7:$T1517,13,FALSE)</f>
      </c>
      <c r="O1519" s="74">
        <f t="shared" ca="1" si="341"/>
      </c>
      <c r="P1519" s="74">
        <f t="shared" ca="1" si="342"/>
      </c>
      <c r="Q1519" s="74">
        <f t="shared" ca="1" si="343"/>
      </c>
      <c r="R1519" s="74">
        <f t="shared" si="344"/>
      </c>
      <c r="S1519" s="74">
        <f t="shared" ca="1" si="345"/>
      </c>
      <c r="T1519" s="74">
        <f t="shared" si="346"/>
      </c>
    </row>
    <row r="1520" spans="2:20" x14ac:dyDescent="0.3">
      <c r="B1520" s="74">
        <f t="shared" ca="1" si="336"/>
      </c>
      <c r="C1520" s="78">
        <f>Кабельный_журнал!P1486</f>
      </c>
      <c r="D1520" s="74">
        <f t="shared" ca="1" si="337"/>
      </c>
      <c r="E1520" s="80" t="s">
        <v>279</v>
      </c>
      <c r="F1520" s="74">
        <f t="shared" ca="1" si="333"/>
      </c>
      <c r="G1520" s="74">
        <f t="shared" si="334"/>
      </c>
      <c r="H1520" s="80" t="s">
        <v>272</v>
      </c>
      <c r="I1520" s="74">
        <f t="shared" si="335"/>
      </c>
      <c r="J1520" s="74">
        <f t="shared" si="338"/>
      </c>
      <c r="K1520" s="80" t="s">
        <v>280</v>
      </c>
      <c r="L1520" s="74">
        <f t="shared" si="339"/>
      </c>
      <c r="M1520" s="74">
        <f t="shared" ca="1" si="340"/>
      </c>
      <c r="N1520" s="74">
        <f ca="1">VLOOKUP(B1520,$C$7:$T1518,13,FALSE)</f>
      </c>
      <c r="O1520" s="74">
        <f t="shared" ca="1" si="341"/>
      </c>
      <c r="P1520" s="74">
        <f t="shared" ca="1" si="342"/>
      </c>
      <c r="Q1520" s="74">
        <f t="shared" ca="1" si="343"/>
      </c>
      <c r="R1520" s="74">
        <f t="shared" si="344"/>
      </c>
      <c r="S1520" s="74">
        <f t="shared" ca="1" si="345"/>
      </c>
      <c r="T1520" s="74">
        <f t="shared" si="346"/>
      </c>
    </row>
    <row r="1521" spans="2:20" x14ac:dyDescent="0.3">
      <c r="B1521" s="74">
        <f t="shared" ca="1" si="336"/>
      </c>
      <c r="C1521" s="78">
        <f>Кабельный_журнал!P1487</f>
      </c>
      <c r="D1521" s="74">
        <f t="shared" ca="1" si="337"/>
      </c>
      <c r="E1521" s="80" t="s">
        <v>279</v>
      </c>
      <c r="F1521" s="74">
        <f t="shared" ca="1" si="333"/>
      </c>
      <c r="G1521" s="74">
        <f t="shared" si="334"/>
      </c>
      <c r="H1521" s="80" t="s">
        <v>272</v>
      </c>
      <c r="I1521" s="74">
        <f t="shared" si="335"/>
      </c>
      <c r="J1521" s="74">
        <f t="shared" si="338"/>
      </c>
      <c r="K1521" s="80" t="s">
        <v>280</v>
      </c>
      <c r="L1521" s="74">
        <f t="shared" si="339"/>
      </c>
      <c r="M1521" s="74">
        <f t="shared" ca="1" si="340"/>
      </c>
      <c r="N1521" s="74">
        <f ca="1">VLOOKUP(B1521,$C$7:$T1519,13,FALSE)</f>
      </c>
      <c r="O1521" s="74">
        <f t="shared" ca="1" si="341"/>
      </c>
      <c r="P1521" s="74">
        <f t="shared" ca="1" si="342"/>
      </c>
      <c r="Q1521" s="74">
        <f t="shared" ca="1" si="343"/>
      </c>
      <c r="R1521" s="74">
        <f t="shared" si="344"/>
      </c>
      <c r="S1521" s="74">
        <f t="shared" ca="1" si="345"/>
      </c>
      <c r="T1521" s="74">
        <f t="shared" si="346"/>
      </c>
    </row>
    <row r="1522" spans="2:20" x14ac:dyDescent="0.3">
      <c r="B1522" s="74">
        <f t="shared" ca="1" si="336"/>
      </c>
      <c r="C1522" s="78">
        <f>Кабельный_журнал!P1488</f>
      </c>
      <c r="D1522" s="74">
        <f t="shared" ca="1" si="337"/>
      </c>
      <c r="E1522" s="80" t="s">
        <v>279</v>
      </c>
      <c r="F1522" s="74">
        <f t="shared" ca="1" si="333"/>
      </c>
      <c r="G1522" s="74">
        <f t="shared" si="334"/>
      </c>
      <c r="H1522" s="80" t="s">
        <v>272</v>
      </c>
      <c r="I1522" s="74">
        <f t="shared" si="335"/>
      </c>
      <c r="J1522" s="74">
        <f t="shared" si="338"/>
      </c>
      <c r="K1522" s="80" t="s">
        <v>280</v>
      </c>
      <c r="L1522" s="74">
        <f t="shared" si="339"/>
      </c>
      <c r="M1522" s="74">
        <f t="shared" ca="1" si="340"/>
      </c>
      <c r="N1522" s="74">
        <f ca="1">VLOOKUP(B1522,$C$7:$T1520,13,FALSE)</f>
      </c>
      <c r="O1522" s="74">
        <f t="shared" ca="1" si="341"/>
      </c>
      <c r="P1522" s="74">
        <f t="shared" ca="1" si="342"/>
      </c>
      <c r="Q1522" s="74">
        <f t="shared" ca="1" si="343"/>
      </c>
      <c r="R1522" s="74">
        <f t="shared" si="344"/>
      </c>
      <c r="S1522" s="74">
        <f t="shared" ca="1" si="345"/>
      </c>
      <c r="T1522" s="74">
        <f t="shared" si="346"/>
      </c>
    </row>
    <row r="1523" spans="2:20" x14ac:dyDescent="0.3">
      <c r="B1523" s="74">
        <f t="shared" ca="1" si="336"/>
      </c>
      <c r="C1523" s="78">
        <f>Кабельный_журнал!P1489</f>
      </c>
      <c r="D1523" s="74">
        <f t="shared" ca="1" si="337"/>
      </c>
      <c r="E1523" s="80" t="s">
        <v>279</v>
      </c>
      <c r="F1523" s="74">
        <f t="shared" ca="1" si="333"/>
      </c>
      <c r="G1523" s="74">
        <f t="shared" si="334"/>
      </c>
      <c r="H1523" s="80" t="s">
        <v>272</v>
      </c>
      <c r="I1523" s="74">
        <f t="shared" si="335"/>
      </c>
      <c r="J1523" s="74">
        <f t="shared" si="338"/>
      </c>
      <c r="K1523" s="80" t="s">
        <v>280</v>
      </c>
      <c r="L1523" s="74">
        <f t="shared" si="339"/>
      </c>
      <c r="M1523" s="74">
        <f t="shared" ca="1" si="340"/>
      </c>
      <c r="N1523" s="74">
        <f ca="1">VLOOKUP(B1523,$C$7:$T1521,13,FALSE)</f>
      </c>
      <c r="O1523" s="74">
        <f t="shared" ca="1" si="341"/>
      </c>
      <c r="P1523" s="74">
        <f t="shared" ca="1" si="342"/>
      </c>
      <c r="Q1523" s="74">
        <f t="shared" ca="1" si="343"/>
      </c>
      <c r="R1523" s="74">
        <f t="shared" si="344"/>
      </c>
      <c r="S1523" s="74">
        <f t="shared" ca="1" si="345"/>
      </c>
      <c r="T1523" s="74">
        <f t="shared" si="346"/>
      </c>
    </row>
    <row r="1524" spans="2:20" x14ac:dyDescent="0.3">
      <c r="B1524" s="74">
        <f t="shared" ca="1" si="336"/>
      </c>
      <c r="C1524" s="78">
        <f>Кабельный_журнал!P1490</f>
      </c>
      <c r="D1524" s="74">
        <f t="shared" ca="1" si="337"/>
      </c>
      <c r="E1524" s="80" t="s">
        <v>279</v>
      </c>
      <c r="F1524" s="74">
        <f t="shared" ca="1" si="333"/>
      </c>
      <c r="G1524" s="74">
        <f t="shared" si="334"/>
      </c>
      <c r="H1524" s="80" t="s">
        <v>272</v>
      </c>
      <c r="I1524" s="74">
        <f t="shared" si="335"/>
      </c>
      <c r="J1524" s="74">
        <f t="shared" si="338"/>
      </c>
      <c r="K1524" s="80" t="s">
        <v>280</v>
      </c>
      <c r="L1524" s="74">
        <f t="shared" si="339"/>
      </c>
      <c r="M1524" s="74">
        <f t="shared" ca="1" si="340"/>
      </c>
      <c r="N1524" s="74">
        <f ca="1">VLOOKUP(B1524,$C$7:$T1522,13,FALSE)</f>
      </c>
      <c r="O1524" s="74">
        <f t="shared" ca="1" si="341"/>
      </c>
      <c r="P1524" s="74">
        <f t="shared" ca="1" si="342"/>
      </c>
      <c r="Q1524" s="74">
        <f t="shared" ca="1" si="343"/>
      </c>
      <c r="R1524" s="74">
        <f t="shared" si="344"/>
      </c>
      <c r="S1524" s="74">
        <f t="shared" ca="1" si="345"/>
      </c>
      <c r="T1524" s="74">
        <f t="shared" si="346"/>
      </c>
    </row>
    <row r="1525" spans="2:20" x14ac:dyDescent="0.3">
      <c r="B1525" s="74">
        <f t="shared" ca="1" si="336"/>
      </c>
      <c r="C1525" s="78">
        <f>Кабельный_журнал!P1491</f>
      </c>
      <c r="D1525" s="74">
        <f t="shared" ca="1" si="337"/>
      </c>
      <c r="E1525" s="80" t="s">
        <v>279</v>
      </c>
      <c r="F1525" s="74">
        <f t="shared" ca="1" si="333"/>
      </c>
      <c r="G1525" s="74">
        <f t="shared" si="334"/>
      </c>
      <c r="H1525" s="80" t="s">
        <v>272</v>
      </c>
      <c r="I1525" s="74">
        <f t="shared" si="335"/>
      </c>
      <c r="J1525" s="74">
        <f t="shared" si="338"/>
      </c>
      <c r="K1525" s="80" t="s">
        <v>280</v>
      </c>
      <c r="L1525" s="74">
        <f t="shared" si="339"/>
      </c>
      <c r="M1525" s="74">
        <f t="shared" ca="1" si="340"/>
      </c>
      <c r="N1525" s="74">
        <f ca="1">VLOOKUP(B1525,$C$7:$T1523,13,FALSE)</f>
      </c>
      <c r="O1525" s="74">
        <f t="shared" ca="1" si="341"/>
      </c>
      <c r="P1525" s="74">
        <f t="shared" ca="1" si="342"/>
      </c>
      <c r="Q1525" s="74">
        <f t="shared" ca="1" si="343"/>
      </c>
      <c r="R1525" s="74">
        <f t="shared" si="344"/>
      </c>
      <c r="S1525" s="74">
        <f t="shared" ca="1" si="345"/>
      </c>
      <c r="T1525" s="74">
        <f t="shared" si="346"/>
      </c>
    </row>
    <row r="1526" spans="2:20" x14ac:dyDescent="0.3">
      <c r="B1526" s="74">
        <f t="shared" ca="1" si="336"/>
      </c>
      <c r="C1526" s="78">
        <f>Кабельный_журнал!P1492</f>
      </c>
      <c r="D1526" s="74">
        <f t="shared" ca="1" si="337"/>
      </c>
      <c r="E1526" s="80" t="s">
        <v>279</v>
      </c>
      <c r="F1526" s="74">
        <f t="shared" ca="1" si="333"/>
      </c>
      <c r="G1526" s="74">
        <f t="shared" si="334"/>
      </c>
      <c r="H1526" s="80" t="s">
        <v>272</v>
      </c>
      <c r="I1526" s="74">
        <f t="shared" si="335"/>
      </c>
      <c r="J1526" s="74">
        <f t="shared" si="338"/>
      </c>
      <c r="K1526" s="80" t="s">
        <v>280</v>
      </c>
      <c r="L1526" s="74">
        <f t="shared" si="339"/>
      </c>
      <c r="M1526" s="74">
        <f t="shared" ca="1" si="340"/>
      </c>
      <c r="N1526" s="74">
        <f ca="1">VLOOKUP(B1526,$C$7:$T1524,13,FALSE)</f>
      </c>
      <c r="O1526" s="74">
        <f t="shared" ca="1" si="341"/>
      </c>
      <c r="P1526" s="74">
        <f t="shared" ca="1" si="342"/>
      </c>
      <c r="Q1526" s="74">
        <f t="shared" ca="1" si="343"/>
      </c>
      <c r="R1526" s="74">
        <f t="shared" si="344"/>
      </c>
      <c r="S1526" s="74">
        <f t="shared" ca="1" si="345"/>
      </c>
      <c r="T1526" s="74">
        <f t="shared" si="346"/>
      </c>
    </row>
    <row r="1527" spans="2:20" x14ac:dyDescent="0.3">
      <c r="B1527" s="74">
        <f t="shared" ca="1" si="336"/>
      </c>
      <c r="C1527" s="78">
        <f>Кабельный_журнал!P1493</f>
      </c>
      <c r="D1527" s="74">
        <f t="shared" ca="1" si="337"/>
      </c>
      <c r="E1527" s="80" t="s">
        <v>279</v>
      </c>
      <c r="F1527" s="74">
        <f t="shared" ca="1" si="333"/>
      </c>
      <c r="G1527" s="74">
        <f t="shared" si="334"/>
      </c>
      <c r="H1527" s="80" t="s">
        <v>272</v>
      </c>
      <c r="I1527" s="74">
        <f t="shared" si="335"/>
      </c>
      <c r="J1527" s="74">
        <f t="shared" si="338"/>
      </c>
      <c r="K1527" s="80" t="s">
        <v>280</v>
      </c>
      <c r="L1527" s="74">
        <f t="shared" si="339"/>
      </c>
      <c r="M1527" s="74">
        <f t="shared" ca="1" si="340"/>
      </c>
      <c r="N1527" s="74">
        <f ca="1">VLOOKUP(B1527,$C$7:$T1525,13,FALSE)</f>
      </c>
      <c r="O1527" s="74">
        <f t="shared" ca="1" si="341"/>
      </c>
      <c r="P1527" s="74">
        <f t="shared" ca="1" si="342"/>
      </c>
      <c r="Q1527" s="74">
        <f t="shared" ca="1" si="343"/>
      </c>
      <c r="R1527" s="74">
        <f t="shared" si="344"/>
      </c>
      <c r="S1527" s="74">
        <f t="shared" ca="1" si="345"/>
      </c>
      <c r="T1527" s="74">
        <f t="shared" si="346"/>
      </c>
    </row>
    <row r="1528" spans="2:20" x14ac:dyDescent="0.3">
      <c r="B1528" s="74">
        <f t="shared" ca="1" si="336"/>
      </c>
      <c r="C1528" s="78">
        <f>Кабельный_журнал!P1494</f>
      </c>
      <c r="D1528" s="74">
        <f t="shared" ca="1" si="337"/>
      </c>
      <c r="E1528" s="80" t="s">
        <v>279</v>
      </c>
      <c r="F1528" s="74">
        <f t="shared" ca="1" si="333"/>
      </c>
      <c r="G1528" s="74">
        <f t="shared" si="334"/>
      </c>
      <c r="H1528" s="80" t="s">
        <v>272</v>
      </c>
      <c r="I1528" s="74">
        <f t="shared" si="335"/>
      </c>
      <c r="J1528" s="74">
        <f t="shared" si="338"/>
      </c>
      <c r="K1528" s="80" t="s">
        <v>280</v>
      </c>
      <c r="L1528" s="74">
        <f t="shared" si="339"/>
      </c>
      <c r="M1528" s="74">
        <f t="shared" ca="1" si="340"/>
      </c>
      <c r="N1528" s="74">
        <f ca="1">VLOOKUP(B1528,$C$7:$T1526,13,FALSE)</f>
      </c>
      <c r="O1528" s="74">
        <f t="shared" ca="1" si="341"/>
      </c>
      <c r="P1528" s="74">
        <f t="shared" ca="1" si="342"/>
      </c>
      <c r="Q1528" s="74">
        <f t="shared" ca="1" si="343"/>
      </c>
      <c r="R1528" s="74">
        <f t="shared" si="344"/>
      </c>
      <c r="S1528" s="74">
        <f t="shared" ca="1" si="345"/>
      </c>
      <c r="T1528" s="74">
        <f t="shared" si="346"/>
      </c>
    </row>
    <row r="1529" spans="2:20" x14ac:dyDescent="0.3">
      <c r="B1529" s="74">
        <f t="shared" ca="1" si="336"/>
      </c>
      <c r="C1529" s="78">
        <f>Кабельный_журнал!P1495</f>
      </c>
      <c r="D1529" s="74">
        <f t="shared" ca="1" si="337"/>
      </c>
      <c r="E1529" s="80" t="s">
        <v>279</v>
      </c>
      <c r="F1529" s="74">
        <f t="shared" ca="1" si="333"/>
      </c>
      <c r="G1529" s="74">
        <f t="shared" si="334"/>
      </c>
      <c r="H1529" s="80" t="s">
        <v>272</v>
      </c>
      <c r="I1529" s="74">
        <f t="shared" si="335"/>
      </c>
      <c r="J1529" s="74">
        <f t="shared" si="338"/>
      </c>
      <c r="K1529" s="80" t="s">
        <v>280</v>
      </c>
      <c r="L1529" s="74">
        <f t="shared" si="339"/>
      </c>
      <c r="M1529" s="74">
        <f t="shared" ca="1" si="340"/>
      </c>
      <c r="N1529" s="74">
        <f ca="1">VLOOKUP(B1529,$C$7:$T1527,13,FALSE)</f>
      </c>
      <c r="O1529" s="74">
        <f t="shared" ca="1" si="341"/>
      </c>
      <c r="P1529" s="74">
        <f t="shared" ca="1" si="342"/>
      </c>
      <c r="Q1529" s="74">
        <f t="shared" ca="1" si="343"/>
      </c>
      <c r="R1529" s="74">
        <f t="shared" si="344"/>
      </c>
      <c r="S1529" s="74">
        <f t="shared" ca="1" si="345"/>
      </c>
      <c r="T1529" s="74">
        <f t="shared" si="346"/>
      </c>
    </row>
    <row r="1530" spans="2:20" x14ac:dyDescent="0.3">
      <c r="B1530" s="74">
        <f t="shared" ca="1" si="336"/>
      </c>
      <c r="C1530" s="78">
        <f>Кабельный_журнал!P1496</f>
      </c>
      <c r="D1530" s="74">
        <f t="shared" ca="1" si="337"/>
      </c>
      <c r="E1530" s="80" t="s">
        <v>279</v>
      </c>
      <c r="F1530" s="74">
        <f t="shared" ca="1" si="333"/>
      </c>
      <c r="G1530" s="74">
        <f t="shared" si="334"/>
      </c>
      <c r="H1530" s="80" t="s">
        <v>272</v>
      </c>
      <c r="I1530" s="74">
        <f t="shared" si="335"/>
      </c>
      <c r="J1530" s="74">
        <f t="shared" si="338"/>
      </c>
      <c r="K1530" s="80" t="s">
        <v>280</v>
      </c>
      <c r="L1530" s="74">
        <f t="shared" si="339"/>
      </c>
      <c r="M1530" s="74">
        <f t="shared" ca="1" si="340"/>
      </c>
      <c r="N1530" s="74">
        <f ca="1">VLOOKUP(B1530,$C$7:$T1528,13,FALSE)</f>
      </c>
      <c r="O1530" s="74">
        <f t="shared" ca="1" si="341"/>
      </c>
      <c r="P1530" s="74">
        <f t="shared" ca="1" si="342"/>
      </c>
      <c r="Q1530" s="74">
        <f t="shared" ca="1" si="343"/>
      </c>
      <c r="R1530" s="74">
        <f t="shared" si="344"/>
      </c>
      <c r="S1530" s="74">
        <f t="shared" ca="1" si="345"/>
      </c>
      <c r="T1530" s="74">
        <f t="shared" si="346"/>
      </c>
    </row>
    <row r="1531" spans="2:20" x14ac:dyDescent="0.3">
      <c r="B1531" s="74">
        <f t="shared" ca="1" si="336"/>
      </c>
      <c r="C1531" s="78">
        <f>Кабельный_журнал!P1497</f>
      </c>
      <c r="D1531" s="74">
        <f t="shared" ca="1" si="337"/>
      </c>
      <c r="E1531" s="80" t="s">
        <v>279</v>
      </c>
      <c r="F1531" s="74">
        <f t="shared" ca="1" si="333"/>
      </c>
      <c r="G1531" s="74">
        <f t="shared" si="334"/>
      </c>
      <c r="H1531" s="80" t="s">
        <v>272</v>
      </c>
      <c r="I1531" s="74">
        <f t="shared" si="335"/>
      </c>
      <c r="J1531" s="74">
        <f t="shared" si="338"/>
      </c>
      <c r="K1531" s="80" t="s">
        <v>280</v>
      </c>
      <c r="L1531" s="74">
        <f t="shared" si="339"/>
      </c>
      <c r="M1531" s="74">
        <f t="shared" ca="1" si="340"/>
      </c>
      <c r="N1531" s="74">
        <f ca="1">VLOOKUP(B1531,$C$7:$T1529,13,FALSE)</f>
      </c>
      <c r="O1531" s="74">
        <f t="shared" ca="1" si="341"/>
      </c>
      <c r="P1531" s="74">
        <f t="shared" ca="1" si="342"/>
      </c>
      <c r="Q1531" s="74">
        <f t="shared" ca="1" si="343"/>
      </c>
      <c r="R1531" s="74">
        <f t="shared" si="344"/>
      </c>
      <c r="S1531" s="74">
        <f t="shared" ca="1" si="345"/>
      </c>
      <c r="T1531" s="74">
        <f t="shared" si="346"/>
      </c>
    </row>
    <row r="1532" spans="2:20" x14ac:dyDescent="0.3">
      <c r="B1532" s="74">
        <f t="shared" ca="1" si="336"/>
      </c>
      <c r="C1532" s="78">
        <f>Кабельный_журнал!P1498</f>
      </c>
      <c r="D1532" s="74">
        <f t="shared" ca="1" si="337"/>
      </c>
      <c r="E1532" s="80" t="s">
        <v>279</v>
      </c>
      <c r="F1532" s="74">
        <f t="shared" ca="1" si="333"/>
      </c>
      <c r="G1532" s="74">
        <f t="shared" si="334"/>
      </c>
      <c r="H1532" s="80" t="s">
        <v>272</v>
      </c>
      <c r="I1532" s="74">
        <f t="shared" si="335"/>
      </c>
      <c r="J1532" s="74">
        <f t="shared" si="338"/>
      </c>
      <c r="K1532" s="80" t="s">
        <v>280</v>
      </c>
      <c r="L1532" s="74">
        <f t="shared" si="339"/>
      </c>
      <c r="M1532" s="74">
        <f t="shared" ca="1" si="340"/>
      </c>
      <c r="N1532" s="74">
        <f ca="1">VLOOKUP(B1532,$C$7:$T1530,13,FALSE)</f>
      </c>
      <c r="O1532" s="74">
        <f t="shared" ca="1" si="341"/>
      </c>
      <c r="P1532" s="74">
        <f t="shared" ca="1" si="342"/>
      </c>
      <c r="Q1532" s="74">
        <f t="shared" ca="1" si="343"/>
      </c>
      <c r="R1532" s="74">
        <f t="shared" si="344"/>
      </c>
      <c r="S1532" s="74">
        <f t="shared" ca="1" si="345"/>
      </c>
      <c r="T1532" s="74">
        <f t="shared" si="346"/>
      </c>
    </row>
    <row r="1533" spans="2:20" x14ac:dyDescent="0.3">
      <c r="B1533" s="74">
        <f t="shared" ca="1" si="336"/>
      </c>
      <c r="C1533" s="78">
        <f>Кабельный_журнал!P1499</f>
      </c>
      <c r="D1533" s="74">
        <f t="shared" ca="1" si="337"/>
      </c>
      <c r="E1533" s="80" t="s">
        <v>279</v>
      </c>
      <c r="F1533" s="74">
        <f t="shared" ca="1" si="333"/>
      </c>
      <c r="G1533" s="74">
        <f t="shared" si="334"/>
      </c>
      <c r="H1533" s="80" t="s">
        <v>272</v>
      </c>
      <c r="I1533" s="74">
        <f t="shared" si="335"/>
      </c>
      <c r="J1533" s="74">
        <f t="shared" si="338"/>
      </c>
      <c r="K1533" s="80" t="s">
        <v>280</v>
      </c>
      <c r="L1533" s="74">
        <f t="shared" si="339"/>
      </c>
      <c r="M1533" s="74">
        <f t="shared" ca="1" si="340"/>
      </c>
      <c r="N1533" s="74">
        <f ca="1">VLOOKUP(B1533,$C$7:$T1531,13,FALSE)</f>
      </c>
      <c r="O1533" s="74">
        <f t="shared" ca="1" si="341"/>
      </c>
      <c r="P1533" s="74">
        <f t="shared" ca="1" si="342"/>
      </c>
      <c r="Q1533" s="74">
        <f t="shared" ca="1" si="343"/>
      </c>
      <c r="R1533" s="74">
        <f t="shared" si="344"/>
      </c>
      <c r="S1533" s="74">
        <f t="shared" ca="1" si="345"/>
      </c>
      <c r="T1533" s="74">
        <f t="shared" si="346"/>
      </c>
    </row>
    <row r="1534" spans="2:20" x14ac:dyDescent="0.3">
      <c r="B1534" s="74">
        <f t="shared" ca="1" si="336"/>
      </c>
      <c r="C1534" s="78">
        <f>Кабельный_журнал!P1500</f>
      </c>
      <c r="D1534" s="74">
        <f t="shared" ca="1" si="337"/>
      </c>
      <c r="E1534" s="80" t="s">
        <v>279</v>
      </c>
      <c r="F1534" s="74">
        <f t="shared" ca="1" si="333"/>
      </c>
      <c r="G1534" s="74">
        <f t="shared" si="334"/>
      </c>
      <c r="H1534" s="80" t="s">
        <v>272</v>
      </c>
      <c r="I1534" s="74">
        <f t="shared" si="335"/>
      </c>
      <c r="J1534" s="74">
        <f t="shared" si="338"/>
      </c>
      <c r="K1534" s="80" t="s">
        <v>280</v>
      </c>
      <c r="L1534" s="74">
        <f t="shared" si="339"/>
      </c>
      <c r="M1534" s="74">
        <f t="shared" ca="1" si="340"/>
      </c>
      <c r="N1534" s="74">
        <f ca="1">VLOOKUP(B1534,$C$7:$T1532,13,FALSE)</f>
      </c>
      <c r="O1534" s="74">
        <f t="shared" ca="1" si="341"/>
      </c>
      <c r="P1534" s="74">
        <f t="shared" ca="1" si="342"/>
      </c>
      <c r="Q1534" s="74">
        <f t="shared" ca="1" si="343"/>
      </c>
      <c r="R1534" s="74">
        <f t="shared" si="344"/>
      </c>
      <c r="S1534" s="74">
        <f t="shared" ca="1" si="345"/>
      </c>
      <c r="T1534" s="74">
        <f t="shared" si="346"/>
      </c>
    </row>
    <row r="1535" spans="2:20" x14ac:dyDescent="0.3">
      <c r="B1535" s="74">
        <f t="shared" ca="1" si="336"/>
      </c>
      <c r="C1535" s="78">
        <f>Кабельный_журнал!P1501</f>
      </c>
      <c r="D1535" s="74">
        <f t="shared" ca="1" si="337"/>
      </c>
      <c r="E1535" s="80" t="s">
        <v>279</v>
      </c>
      <c r="F1535" s="74">
        <f t="shared" ca="1" si="333"/>
      </c>
      <c r="G1535" s="74">
        <f t="shared" si="334"/>
      </c>
      <c r="H1535" s="80" t="s">
        <v>272</v>
      </c>
      <c r="I1535" s="74">
        <f t="shared" si="335"/>
      </c>
      <c r="J1535" s="74">
        <f t="shared" si="338"/>
      </c>
      <c r="K1535" s="80" t="s">
        <v>280</v>
      </c>
      <c r="L1535" s="74">
        <f t="shared" si="339"/>
      </c>
      <c r="M1535" s="74">
        <f t="shared" ca="1" si="340"/>
      </c>
      <c r="N1535" s="74">
        <f ca="1">VLOOKUP(B1535,$C$7:$T1533,13,FALSE)</f>
      </c>
      <c r="O1535" s="74">
        <f t="shared" ca="1" si="341"/>
      </c>
      <c r="P1535" s="74">
        <f t="shared" ca="1" si="342"/>
      </c>
      <c r="Q1535" s="74">
        <f t="shared" ca="1" si="343"/>
      </c>
      <c r="R1535" s="74">
        <f t="shared" si="344"/>
      </c>
      <c r="S1535" s="74">
        <f t="shared" ca="1" si="345"/>
      </c>
      <c r="T1535" s="74">
        <f t="shared" si="346"/>
      </c>
    </row>
    <row r="1536" spans="2:20" x14ac:dyDescent="0.3">
      <c r="B1536" s="74">
        <f t="shared" ca="1" si="336"/>
      </c>
      <c r="C1536" s="78">
        <f>Кабельный_журнал!P1502</f>
      </c>
      <c r="D1536" s="74">
        <f t="shared" ca="1" si="337"/>
      </c>
      <c r="E1536" s="80" t="s">
        <v>279</v>
      </c>
      <c r="F1536" s="74">
        <f t="shared" ca="1" si="333"/>
      </c>
      <c r="G1536" s="74">
        <f t="shared" si="334"/>
      </c>
      <c r="H1536" s="80" t="s">
        <v>272</v>
      </c>
      <c r="I1536" s="74">
        <f t="shared" si="335"/>
      </c>
      <c r="J1536" s="74">
        <f t="shared" si="338"/>
      </c>
      <c r="K1536" s="80" t="s">
        <v>280</v>
      </c>
      <c r="L1536" s="74">
        <f t="shared" si="339"/>
      </c>
      <c r="M1536" s="74">
        <f t="shared" ca="1" si="340"/>
      </c>
      <c r="N1536" s="74">
        <f ca="1">VLOOKUP(B1536,$C$7:$T1534,13,FALSE)</f>
      </c>
      <c r="O1536" s="74">
        <f t="shared" ca="1" si="341"/>
      </c>
      <c r="P1536" s="74">
        <f t="shared" ca="1" si="342"/>
      </c>
      <c r="Q1536" s="74">
        <f t="shared" ca="1" si="343"/>
      </c>
      <c r="R1536" s="74">
        <f t="shared" si="344"/>
      </c>
      <c r="S1536" s="74">
        <f t="shared" ca="1" si="345"/>
      </c>
      <c r="T1536" s="74">
        <f t="shared" si="346"/>
      </c>
    </row>
    <row r="1537" spans="2:20" x14ac:dyDescent="0.3">
      <c r="B1537" s="74">
        <f t="shared" ca="1" si="336"/>
      </c>
      <c r="C1537" s="78">
        <f>Кабельный_журнал!P1503</f>
      </c>
      <c r="D1537" s="74">
        <f t="shared" ca="1" si="337"/>
      </c>
      <c r="E1537" s="80" t="s">
        <v>279</v>
      </c>
      <c r="F1537" s="74">
        <f t="shared" ca="1" si="333"/>
      </c>
      <c r="G1537" s="74">
        <f t="shared" si="334"/>
      </c>
      <c r="H1537" s="80" t="s">
        <v>272</v>
      </c>
      <c r="I1537" s="74">
        <f t="shared" si="335"/>
      </c>
      <c r="J1537" s="74">
        <f t="shared" si="338"/>
      </c>
      <c r="K1537" s="80" t="s">
        <v>280</v>
      </c>
      <c r="L1537" s="74">
        <f t="shared" si="339"/>
      </c>
      <c r="M1537" s="74">
        <f t="shared" ca="1" si="340"/>
      </c>
      <c r="N1537" s="74">
        <f ca="1">VLOOKUP(B1537,$C$7:$T1535,13,FALSE)</f>
      </c>
      <c r="O1537" s="74">
        <f t="shared" ca="1" si="341"/>
      </c>
      <c r="P1537" s="74">
        <f t="shared" ca="1" si="342"/>
      </c>
      <c r="Q1537" s="74">
        <f t="shared" ca="1" si="343"/>
      </c>
      <c r="R1537" s="74">
        <f t="shared" si="344"/>
      </c>
      <c r="S1537" s="74">
        <f t="shared" ca="1" si="345"/>
      </c>
      <c r="T1537" s="74">
        <f t="shared" si="346"/>
      </c>
    </row>
    <row r="1538" spans="2:20" x14ac:dyDescent="0.3">
      <c r="B1538" s="74">
        <f t="shared" ca="1" si="336"/>
      </c>
      <c r="C1538" s="78">
        <f>Кабельный_журнал!P1504</f>
      </c>
      <c r="D1538" s="74">
        <f t="shared" ca="1" si="337"/>
      </c>
      <c r="E1538" s="80" t="s">
        <v>279</v>
      </c>
      <c r="F1538" s="74">
        <f t="shared" ca="1" si="333"/>
      </c>
      <c r="G1538" s="74">
        <f t="shared" si="334"/>
      </c>
      <c r="H1538" s="80" t="s">
        <v>272</v>
      </c>
      <c r="I1538" s="74">
        <f t="shared" si="335"/>
      </c>
      <c r="J1538" s="74">
        <f t="shared" si="338"/>
      </c>
      <c r="K1538" s="80" t="s">
        <v>280</v>
      </c>
      <c r="L1538" s="74">
        <f t="shared" si="339"/>
      </c>
      <c r="M1538" s="74">
        <f t="shared" ca="1" si="340"/>
      </c>
      <c r="N1538" s="74">
        <f ca="1">VLOOKUP(B1538,$C$7:$T1536,13,FALSE)</f>
      </c>
      <c r="O1538" s="74">
        <f t="shared" ca="1" si="341"/>
      </c>
      <c r="P1538" s="74">
        <f t="shared" ca="1" si="342"/>
      </c>
      <c r="Q1538" s="74">
        <f t="shared" ca="1" si="343"/>
      </c>
      <c r="R1538" s="74">
        <f t="shared" si="344"/>
      </c>
      <c r="S1538" s="74">
        <f t="shared" ca="1" si="345"/>
      </c>
      <c r="T1538" s="74">
        <f t="shared" si="346"/>
      </c>
    </row>
    <row r="1539" spans="2:20" x14ac:dyDescent="0.3">
      <c r="B1539" s="74">
        <f t="shared" ca="1" si="336"/>
      </c>
      <c r="C1539" s="78">
        <f>Кабельный_журнал!P1505</f>
      </c>
      <c r="D1539" s="74">
        <f t="shared" ca="1" si="337"/>
      </c>
      <c r="E1539" s="80" t="s">
        <v>279</v>
      </c>
      <c r="F1539" s="74">
        <f t="shared" ca="1" si="333"/>
      </c>
      <c r="G1539" s="74">
        <f t="shared" si="334"/>
      </c>
      <c r="H1539" s="80" t="s">
        <v>272</v>
      </c>
      <c r="I1539" s="74">
        <f t="shared" si="335"/>
      </c>
      <c r="J1539" s="74">
        <f t="shared" si="338"/>
      </c>
      <c r="K1539" s="80" t="s">
        <v>280</v>
      </c>
      <c r="L1539" s="74">
        <f t="shared" si="339"/>
      </c>
      <c r="M1539" s="74">
        <f t="shared" ca="1" si="340"/>
      </c>
      <c r="N1539" s="74">
        <f ca="1">VLOOKUP(B1539,$C$7:$T1537,13,FALSE)</f>
      </c>
      <c r="O1539" s="74">
        <f t="shared" ca="1" si="341"/>
      </c>
      <c r="P1539" s="74">
        <f t="shared" ca="1" si="342"/>
      </c>
      <c r="Q1539" s="74">
        <f t="shared" ca="1" si="343"/>
      </c>
      <c r="R1539" s="74">
        <f t="shared" si="344"/>
      </c>
      <c r="S1539" s="74">
        <f t="shared" ca="1" si="345"/>
      </c>
      <c r="T1539" s="74">
        <f t="shared" si="346"/>
      </c>
    </row>
    <row r="1540" spans="2:20" x14ac:dyDescent="0.3">
      <c r="B1540" s="74">
        <f t="shared" ca="1" si="336"/>
      </c>
      <c r="C1540" s="78">
        <f>Кабельный_журнал!P1506</f>
      </c>
      <c r="D1540" s="74">
        <f t="shared" ca="1" si="337"/>
      </c>
      <c r="E1540" s="80" t="s">
        <v>279</v>
      </c>
      <c r="F1540" s="74">
        <f t="shared" ca="1" si="333"/>
      </c>
      <c r="G1540" s="74">
        <f t="shared" si="334"/>
      </c>
      <c r="H1540" s="80" t="s">
        <v>272</v>
      </c>
      <c r="I1540" s="74">
        <f t="shared" si="335"/>
      </c>
      <c r="J1540" s="74">
        <f t="shared" si="338"/>
      </c>
      <c r="K1540" s="80" t="s">
        <v>280</v>
      </c>
      <c r="L1540" s="74">
        <f t="shared" si="339"/>
      </c>
      <c r="M1540" s="74">
        <f t="shared" ca="1" si="340"/>
      </c>
      <c r="N1540" s="74">
        <f ca="1">VLOOKUP(B1540,$C$7:$T1538,13,FALSE)</f>
      </c>
      <c r="O1540" s="74">
        <f t="shared" ca="1" si="341"/>
      </c>
      <c r="P1540" s="74">
        <f t="shared" ca="1" si="342"/>
      </c>
      <c r="Q1540" s="74">
        <f t="shared" ca="1" si="343"/>
      </c>
      <c r="R1540" s="74">
        <f t="shared" si="344"/>
      </c>
      <c r="S1540" s="74">
        <f t="shared" ca="1" si="345"/>
      </c>
      <c r="T1540" s="74">
        <f t="shared" si="346"/>
      </c>
    </row>
    <row r="1541" spans="2:20" x14ac:dyDescent="0.3">
      <c r="B1541" s="74">
        <f t="shared" ca="1" si="336"/>
      </c>
      <c r="C1541" s="78">
        <f>Кабельный_журнал!P1507</f>
      </c>
      <c r="D1541" s="74">
        <f t="shared" ca="1" si="337"/>
      </c>
      <c r="E1541" s="80" t="s">
        <v>279</v>
      </c>
      <c r="F1541" s="74">
        <f t="shared" ca="1" si="333"/>
      </c>
      <c r="G1541" s="74">
        <f t="shared" si="334"/>
      </c>
      <c r="H1541" s="80" t="s">
        <v>272</v>
      </c>
      <c r="I1541" s="74">
        <f t="shared" si="335"/>
      </c>
      <c r="J1541" s="74">
        <f t="shared" si="338"/>
      </c>
      <c r="K1541" s="80" t="s">
        <v>280</v>
      </c>
      <c r="L1541" s="74">
        <f t="shared" si="339"/>
      </c>
      <c r="M1541" s="74">
        <f t="shared" ca="1" si="340"/>
      </c>
      <c r="N1541" s="74">
        <f ca="1">VLOOKUP(B1541,$C$7:$T1539,13,FALSE)</f>
      </c>
      <c r="O1541" s="74">
        <f t="shared" ca="1" si="341"/>
      </c>
      <c r="P1541" s="74">
        <f t="shared" ca="1" si="342"/>
      </c>
      <c r="Q1541" s="74">
        <f t="shared" ca="1" si="343"/>
      </c>
      <c r="R1541" s="74">
        <f t="shared" si="344"/>
      </c>
      <c r="S1541" s="74">
        <f t="shared" ca="1" si="345"/>
      </c>
      <c r="T1541" s="74">
        <f t="shared" si="346"/>
      </c>
    </row>
    <row r="1542" spans="2:20" x14ac:dyDescent="0.3">
      <c r="B1542" s="74">
        <f t="shared" ca="1" si="336"/>
      </c>
      <c r="C1542" s="78">
        <f>Кабельный_журнал!P1508</f>
      </c>
      <c r="D1542" s="74">
        <f t="shared" ca="1" si="337"/>
      </c>
      <c r="E1542" s="80" t="s">
        <v>279</v>
      </c>
      <c r="F1542" s="74">
        <f t="shared" ca="1" si="333"/>
      </c>
      <c r="G1542" s="74">
        <f t="shared" si="334"/>
      </c>
      <c r="H1542" s="80" t="s">
        <v>272</v>
      </c>
      <c r="I1542" s="74">
        <f t="shared" si="335"/>
      </c>
      <c r="J1542" s="74">
        <f t="shared" si="338"/>
      </c>
      <c r="K1542" s="80" t="s">
        <v>280</v>
      </c>
      <c r="L1542" s="74">
        <f t="shared" si="339"/>
      </c>
      <c r="M1542" s="74">
        <f t="shared" ca="1" si="340"/>
      </c>
      <c r="N1542" s="74">
        <f ca="1">VLOOKUP(B1542,$C$7:$T1540,13,FALSE)</f>
      </c>
      <c r="O1542" s="74">
        <f t="shared" ca="1" si="341"/>
      </c>
      <c r="P1542" s="74">
        <f t="shared" ca="1" si="342"/>
      </c>
      <c r="Q1542" s="74">
        <f t="shared" ca="1" si="343"/>
      </c>
      <c r="R1542" s="74">
        <f t="shared" si="344"/>
      </c>
      <c r="S1542" s="74">
        <f t="shared" ca="1" si="345"/>
      </c>
      <c r="T1542" s="74">
        <f t="shared" si="346"/>
      </c>
    </row>
    <row r="1543" spans="2:20" x14ac:dyDescent="0.3">
      <c r="B1543" s="74">
        <f t="shared" ca="1" si="336"/>
      </c>
      <c r="C1543" s="78">
        <f>Кабельный_журнал!P1509</f>
      </c>
      <c r="D1543" s="74">
        <f t="shared" ca="1" si="337"/>
      </c>
      <c r="E1543" s="80" t="s">
        <v>279</v>
      </c>
      <c r="F1543" s="74">
        <f t="shared" ca="1" si="333"/>
      </c>
      <c r="G1543" s="74">
        <f t="shared" si="334"/>
      </c>
      <c r="H1543" s="80" t="s">
        <v>272</v>
      </c>
      <c r="I1543" s="74">
        <f t="shared" si="335"/>
      </c>
      <c r="J1543" s="74">
        <f t="shared" si="338"/>
      </c>
      <c r="K1543" s="80" t="s">
        <v>280</v>
      </c>
      <c r="L1543" s="74">
        <f t="shared" si="339"/>
      </c>
      <c r="M1543" s="74">
        <f t="shared" ca="1" si="340"/>
      </c>
      <c r="N1543" s="74">
        <f ca="1">VLOOKUP(B1543,$C$7:$T1541,13,FALSE)</f>
      </c>
      <c r="O1543" s="74">
        <f t="shared" ca="1" si="341"/>
      </c>
      <c r="P1543" s="74">
        <f t="shared" ca="1" si="342"/>
      </c>
      <c r="Q1543" s="74">
        <f t="shared" ca="1" si="343"/>
      </c>
      <c r="R1543" s="74">
        <f t="shared" si="344"/>
      </c>
      <c r="S1543" s="74">
        <f t="shared" ca="1" si="345"/>
      </c>
      <c r="T1543" s="74">
        <f t="shared" si="346"/>
      </c>
    </row>
    <row r="1544" spans="2:20" x14ac:dyDescent="0.3">
      <c r="B1544" s="74">
        <f t="shared" ca="1" si="336"/>
      </c>
      <c r="C1544" s="78">
        <f>Кабельный_журнал!P1510</f>
      </c>
      <c r="D1544" s="74">
        <f t="shared" ca="1" si="337"/>
      </c>
      <c r="E1544" s="80" t="s">
        <v>279</v>
      </c>
      <c r="F1544" s="74">
        <f t="shared" ca="1" si="333"/>
      </c>
      <c r="G1544" s="74">
        <f t="shared" si="334"/>
      </c>
      <c r="H1544" s="80" t="s">
        <v>272</v>
      </c>
      <c r="I1544" s="74">
        <f t="shared" si="335"/>
      </c>
      <c r="J1544" s="74">
        <f t="shared" si="338"/>
      </c>
      <c r="K1544" s="80" t="s">
        <v>280</v>
      </c>
      <c r="L1544" s="74">
        <f t="shared" si="339"/>
      </c>
      <c r="M1544" s="74">
        <f t="shared" ca="1" si="340"/>
      </c>
      <c r="N1544" s="74">
        <f ca="1">VLOOKUP(B1544,$C$7:$T1542,13,FALSE)</f>
      </c>
      <c r="O1544" s="74">
        <f t="shared" ca="1" si="341"/>
      </c>
      <c r="P1544" s="74">
        <f t="shared" ca="1" si="342"/>
      </c>
      <c r="Q1544" s="74">
        <f t="shared" ca="1" si="343"/>
      </c>
      <c r="R1544" s="74">
        <f t="shared" si="344"/>
      </c>
      <c r="S1544" s="74">
        <f t="shared" ca="1" si="345"/>
      </c>
      <c r="T1544" s="74">
        <f t="shared" si="346"/>
      </c>
    </row>
    <row r="1545" spans="2:20" x14ac:dyDescent="0.3">
      <c r="B1545" s="74">
        <f t="shared" ca="1" si="336"/>
      </c>
      <c r="C1545" s="78">
        <f>Кабельный_журнал!P1511</f>
      </c>
      <c r="D1545" s="74">
        <f t="shared" ca="1" si="337"/>
      </c>
      <c r="E1545" s="80" t="s">
        <v>279</v>
      </c>
      <c r="F1545" s="74">
        <f t="shared" ca="1" si="333"/>
      </c>
      <c r="G1545" s="74">
        <f t="shared" si="334"/>
      </c>
      <c r="H1545" s="80" t="s">
        <v>272</v>
      </c>
      <c r="I1545" s="74">
        <f t="shared" si="335"/>
      </c>
      <c r="J1545" s="74">
        <f t="shared" si="338"/>
      </c>
      <c r="K1545" s="80" t="s">
        <v>280</v>
      </c>
      <c r="L1545" s="74">
        <f t="shared" si="339"/>
      </c>
      <c r="M1545" s="74">
        <f t="shared" ca="1" si="340"/>
      </c>
      <c r="N1545" s="74">
        <f ca="1">VLOOKUP(B1545,$C$7:$T1543,13,FALSE)</f>
      </c>
      <c r="O1545" s="74">
        <f t="shared" ca="1" si="341"/>
      </c>
      <c r="P1545" s="74">
        <f t="shared" ca="1" si="342"/>
      </c>
      <c r="Q1545" s="74">
        <f t="shared" ca="1" si="343"/>
      </c>
      <c r="R1545" s="74">
        <f t="shared" si="344"/>
      </c>
      <c r="S1545" s="74">
        <f t="shared" ca="1" si="345"/>
      </c>
      <c r="T1545" s="74">
        <f t="shared" si="346"/>
      </c>
    </row>
    <row r="1546" spans="2:20" x14ac:dyDescent="0.3">
      <c r="B1546" s="74">
        <f t="shared" ca="1" si="336"/>
      </c>
      <c r="C1546" s="78">
        <f>Кабельный_журнал!P1512</f>
      </c>
      <c r="D1546" s="74">
        <f t="shared" ca="1" si="337"/>
      </c>
      <c r="E1546" s="80" t="s">
        <v>279</v>
      </c>
      <c r="F1546" s="74">
        <f t="shared" ca="1" si="333"/>
      </c>
      <c r="G1546" s="74">
        <f t="shared" si="334"/>
      </c>
      <c r="H1546" s="80" t="s">
        <v>272</v>
      </c>
      <c r="I1546" s="74">
        <f t="shared" si="335"/>
      </c>
      <c r="J1546" s="74">
        <f t="shared" si="338"/>
      </c>
      <c r="K1546" s="80" t="s">
        <v>280</v>
      </c>
      <c r="L1546" s="74">
        <f t="shared" si="339"/>
      </c>
      <c r="M1546" s="74">
        <f t="shared" ca="1" si="340"/>
      </c>
      <c r="N1546" s="74">
        <f ca="1">VLOOKUP(B1546,$C$7:$T1544,13,FALSE)</f>
      </c>
      <c r="O1546" s="74">
        <f t="shared" ca="1" si="341"/>
      </c>
      <c r="P1546" s="74">
        <f t="shared" ca="1" si="342"/>
      </c>
      <c r="Q1546" s="74">
        <f t="shared" ca="1" si="343"/>
      </c>
      <c r="R1546" s="74">
        <f t="shared" si="344"/>
      </c>
      <c r="S1546" s="74">
        <f t="shared" ca="1" si="345"/>
      </c>
      <c r="T1546" s="74">
        <f t="shared" si="346"/>
      </c>
    </row>
    <row r="1547" spans="2:20" x14ac:dyDescent="0.3">
      <c r="B1547" s="74">
        <f t="shared" ca="1" si="336"/>
      </c>
      <c r="C1547" s="78">
        <f>Кабельный_журнал!P1513</f>
      </c>
      <c r="D1547" s="74">
        <f t="shared" ca="1" si="337"/>
      </c>
      <c r="E1547" s="80" t="s">
        <v>279</v>
      </c>
      <c r="F1547" s="74">
        <f t="shared" ca="1" si="333"/>
      </c>
      <c r="G1547" s="74">
        <f t="shared" si="334"/>
      </c>
      <c r="H1547" s="80" t="s">
        <v>272</v>
      </c>
      <c r="I1547" s="74">
        <f t="shared" si="335"/>
      </c>
      <c r="J1547" s="74">
        <f t="shared" si="338"/>
      </c>
      <c r="K1547" s="80" t="s">
        <v>280</v>
      </c>
      <c r="L1547" s="74">
        <f t="shared" si="339"/>
      </c>
      <c r="M1547" s="74">
        <f t="shared" ca="1" si="340"/>
      </c>
      <c r="N1547" s="74">
        <f ca="1">VLOOKUP(B1547,$C$7:$T1545,13,FALSE)</f>
      </c>
      <c r="O1547" s="74">
        <f t="shared" ca="1" si="341"/>
      </c>
      <c r="P1547" s="74">
        <f t="shared" ca="1" si="342"/>
      </c>
      <c r="Q1547" s="74">
        <f t="shared" ca="1" si="343"/>
      </c>
      <c r="R1547" s="74">
        <f t="shared" si="344"/>
      </c>
      <c r="S1547" s="74">
        <f t="shared" ca="1" si="345"/>
      </c>
      <c r="T1547" s="74">
        <f t="shared" si="346"/>
      </c>
    </row>
    <row r="1548" spans="2:20" x14ac:dyDescent="0.3">
      <c r="B1548" s="74">
        <f t="shared" ca="1" si="336"/>
      </c>
      <c r="C1548" s="78">
        <f>Кабельный_журнал!P1514</f>
      </c>
      <c r="D1548" s="74">
        <f t="shared" ca="1" si="337"/>
      </c>
      <c r="E1548" s="80" t="s">
        <v>279</v>
      </c>
      <c r="F1548" s="74">
        <f t="shared" ca="1" si="333"/>
      </c>
      <c r="G1548" s="74">
        <f t="shared" si="334"/>
      </c>
      <c r="H1548" s="80" t="s">
        <v>272</v>
      </c>
      <c r="I1548" s="74">
        <f t="shared" si="335"/>
      </c>
      <c r="J1548" s="74">
        <f t="shared" si="338"/>
      </c>
      <c r="K1548" s="80" t="s">
        <v>280</v>
      </c>
      <c r="L1548" s="74">
        <f t="shared" si="339"/>
      </c>
      <c r="M1548" s="74">
        <f t="shared" ca="1" si="340"/>
      </c>
      <c r="N1548" s="74">
        <f ca="1">VLOOKUP(B1548,$C$7:$T1546,13,FALSE)</f>
      </c>
      <c r="O1548" s="74">
        <f t="shared" ca="1" si="341"/>
      </c>
      <c r="P1548" s="74">
        <f t="shared" ca="1" si="342"/>
      </c>
      <c r="Q1548" s="74">
        <f t="shared" ca="1" si="343"/>
      </c>
      <c r="R1548" s="74">
        <f t="shared" si="344"/>
      </c>
      <c r="S1548" s="74">
        <f t="shared" ca="1" si="345"/>
      </c>
      <c r="T1548" s="74">
        <f t="shared" si="346"/>
      </c>
    </row>
    <row r="1549" spans="2:20" x14ac:dyDescent="0.3">
      <c r="B1549" s="74">
        <f t="shared" ca="1" si="336"/>
      </c>
      <c r="C1549" s="78">
        <f>Кабельный_журнал!P1515</f>
      </c>
      <c r="D1549" s="74">
        <f t="shared" ca="1" si="337"/>
      </c>
      <c r="E1549" s="80" t="s">
        <v>279</v>
      </c>
      <c r="F1549" s="74">
        <f t="shared" ca="1" si="333"/>
      </c>
      <c r="G1549" s="74">
        <f t="shared" si="334"/>
      </c>
      <c r="H1549" s="80" t="s">
        <v>272</v>
      </c>
      <c r="I1549" s="74">
        <f t="shared" si="335"/>
      </c>
      <c r="J1549" s="74">
        <f t="shared" si="338"/>
      </c>
      <c r="K1549" s="80" t="s">
        <v>280</v>
      </c>
      <c r="L1549" s="74">
        <f t="shared" si="339"/>
      </c>
      <c r="M1549" s="74">
        <f t="shared" ca="1" si="340"/>
      </c>
      <c r="N1549" s="74">
        <f ca="1">VLOOKUP(B1549,$C$7:$T1547,13,FALSE)</f>
      </c>
      <c r="O1549" s="74">
        <f t="shared" ca="1" si="341"/>
      </c>
      <c r="P1549" s="74">
        <f t="shared" ca="1" si="342"/>
      </c>
      <c r="Q1549" s="74">
        <f t="shared" ca="1" si="343"/>
      </c>
      <c r="R1549" s="74">
        <f t="shared" si="344"/>
      </c>
      <c r="S1549" s="74">
        <f t="shared" ca="1" si="345"/>
      </c>
      <c r="T1549" s="74">
        <f t="shared" si="346"/>
      </c>
    </row>
    <row r="1550" spans="2:20" x14ac:dyDescent="0.3">
      <c r="B1550" s="74">
        <f t="shared" ca="1" si="336"/>
      </c>
      <c r="C1550" s="78">
        <f>Кабельный_журнал!P1516</f>
      </c>
      <c r="D1550" s="74">
        <f t="shared" ca="1" si="337"/>
      </c>
      <c r="E1550" s="80" t="s">
        <v>279</v>
      </c>
      <c r="F1550" s="74">
        <f t="shared" ca="1" si="333"/>
      </c>
      <c r="G1550" s="74">
        <f t="shared" si="334"/>
      </c>
      <c r="H1550" s="80" t="s">
        <v>272</v>
      </c>
      <c r="I1550" s="74">
        <f t="shared" si="335"/>
      </c>
      <c r="J1550" s="74">
        <f t="shared" si="338"/>
      </c>
      <c r="K1550" s="80" t="s">
        <v>280</v>
      </c>
      <c r="L1550" s="74">
        <f t="shared" si="339"/>
      </c>
      <c r="M1550" s="74">
        <f t="shared" ca="1" si="340"/>
      </c>
      <c r="N1550" s="74">
        <f ca="1">VLOOKUP(B1550,$C$7:$T1548,13,FALSE)</f>
      </c>
      <c r="O1550" s="74">
        <f t="shared" ca="1" si="341"/>
      </c>
      <c r="P1550" s="74">
        <f t="shared" ca="1" si="342"/>
      </c>
      <c r="Q1550" s="74">
        <f t="shared" ca="1" si="343"/>
      </c>
      <c r="R1550" s="74">
        <f t="shared" si="344"/>
      </c>
      <c r="S1550" s="74">
        <f t="shared" ca="1" si="345"/>
      </c>
      <c r="T1550" s="74">
        <f t="shared" si="346"/>
      </c>
    </row>
    <row r="1551" spans="2:20" x14ac:dyDescent="0.3">
      <c r="B1551" s="74">
        <f t="shared" ca="1" si="336"/>
      </c>
      <c r="C1551" s="78">
        <f>Кабельный_журнал!P1517</f>
      </c>
      <c r="D1551" s="74">
        <f t="shared" ca="1" si="337"/>
      </c>
      <c r="E1551" s="80" t="s">
        <v>279</v>
      </c>
      <c r="F1551" s="74">
        <f t="shared" ca="1" si="333"/>
      </c>
      <c r="G1551" s="74">
        <f t="shared" si="334"/>
      </c>
      <c r="H1551" s="80" t="s">
        <v>272</v>
      </c>
      <c r="I1551" s="74">
        <f t="shared" si="335"/>
      </c>
      <c r="J1551" s="74">
        <f t="shared" si="338"/>
      </c>
      <c r="K1551" s="80" t="s">
        <v>280</v>
      </c>
      <c r="L1551" s="74">
        <f t="shared" si="339"/>
      </c>
      <c r="M1551" s="74">
        <f t="shared" ca="1" si="340"/>
      </c>
      <c r="N1551" s="74">
        <f ca="1">VLOOKUP(B1551,$C$7:$T1549,13,FALSE)</f>
      </c>
      <c r="O1551" s="74">
        <f t="shared" ca="1" si="341"/>
      </c>
      <c r="P1551" s="74">
        <f t="shared" ca="1" si="342"/>
      </c>
      <c r="Q1551" s="74">
        <f t="shared" ca="1" si="343"/>
      </c>
      <c r="R1551" s="74">
        <f t="shared" si="344"/>
      </c>
      <c r="S1551" s="74">
        <f t="shared" ca="1" si="345"/>
      </c>
      <c r="T1551" s="74">
        <f t="shared" si="346"/>
      </c>
    </row>
    <row r="1552" spans="2:20" x14ac:dyDescent="0.3">
      <c r="B1552" s="74">
        <f t="shared" ca="1" si="336"/>
      </c>
      <c r="C1552" s="78">
        <f>Кабельный_журнал!P1518</f>
      </c>
      <c r="D1552" s="74">
        <f t="shared" ca="1" si="337"/>
      </c>
      <c r="E1552" s="80" t="s">
        <v>279</v>
      </c>
      <c r="F1552" s="74">
        <f t="shared" ca="1" si="333"/>
      </c>
      <c r="G1552" s="74">
        <f t="shared" si="334"/>
      </c>
      <c r="H1552" s="80" t="s">
        <v>272</v>
      </c>
      <c r="I1552" s="74">
        <f t="shared" si="335"/>
      </c>
      <c r="J1552" s="74">
        <f t="shared" si="338"/>
      </c>
      <c r="K1552" s="80" t="s">
        <v>280</v>
      </c>
      <c r="L1552" s="74">
        <f t="shared" si="339"/>
      </c>
      <c r="M1552" s="74">
        <f t="shared" ca="1" si="340"/>
      </c>
      <c r="N1552" s="74">
        <f ca="1">VLOOKUP(B1552,$C$7:$T1550,13,FALSE)</f>
      </c>
      <c r="O1552" s="74">
        <f t="shared" ca="1" si="341"/>
      </c>
      <c r="P1552" s="74">
        <f t="shared" ca="1" si="342"/>
      </c>
      <c r="Q1552" s="74">
        <f t="shared" ca="1" si="343"/>
      </c>
      <c r="R1552" s="74">
        <f t="shared" si="344"/>
      </c>
      <c r="S1552" s="74">
        <f t="shared" ca="1" si="345"/>
      </c>
      <c r="T1552" s="74">
        <f t="shared" si="346"/>
      </c>
    </row>
    <row r="1553" spans="2:20" x14ac:dyDescent="0.3">
      <c r="B1553" s="74">
        <f t="shared" ca="1" si="336"/>
      </c>
      <c r="C1553" s="78">
        <f>Кабельный_журнал!P1519</f>
      </c>
      <c r="D1553" s="74">
        <f t="shared" ca="1" si="337"/>
      </c>
      <c r="E1553" s="80" t="s">
        <v>279</v>
      </c>
      <c r="F1553" s="74">
        <f t="shared" ca="1" si="333"/>
      </c>
      <c r="G1553" s="74">
        <f t="shared" si="334"/>
      </c>
      <c r="H1553" s="80" t="s">
        <v>272</v>
      </c>
      <c r="I1553" s="74">
        <f t="shared" si="335"/>
      </c>
      <c r="J1553" s="74">
        <f t="shared" si="338"/>
      </c>
      <c r="K1553" s="80" t="s">
        <v>280</v>
      </c>
      <c r="L1553" s="74">
        <f t="shared" si="339"/>
      </c>
      <c r="M1553" s="74">
        <f t="shared" ca="1" si="340"/>
      </c>
      <c r="N1553" s="74">
        <f ca="1">VLOOKUP(B1553,$C$7:$T1551,13,FALSE)</f>
      </c>
      <c r="O1553" s="74">
        <f t="shared" ca="1" si="341"/>
      </c>
      <c r="P1553" s="74">
        <f t="shared" ca="1" si="342"/>
      </c>
      <c r="Q1553" s="74">
        <f t="shared" ca="1" si="343"/>
      </c>
      <c r="R1553" s="74">
        <f t="shared" si="344"/>
      </c>
      <c r="S1553" s="74">
        <f t="shared" ca="1" si="345"/>
      </c>
      <c r="T1553" s="74">
        <f t="shared" si="346"/>
      </c>
    </row>
    <row r="1554" spans="2:20" x14ac:dyDescent="0.3">
      <c r="B1554" s="74">
        <f t="shared" ca="1" si="336"/>
      </c>
      <c r="C1554" s="78">
        <f>Кабельный_журнал!P1520</f>
      </c>
      <c r="D1554" s="74">
        <f t="shared" ca="1" si="337"/>
      </c>
      <c r="E1554" s="80" t="s">
        <v>279</v>
      </c>
      <c r="F1554" s="74">
        <f t="shared" ca="1" si="333"/>
      </c>
      <c r="G1554" s="74">
        <f t="shared" si="334"/>
      </c>
      <c r="H1554" s="80" t="s">
        <v>272</v>
      </c>
      <c r="I1554" s="74">
        <f t="shared" si="335"/>
      </c>
      <c r="J1554" s="74">
        <f t="shared" si="338"/>
      </c>
      <c r="K1554" s="80" t="s">
        <v>280</v>
      </c>
      <c r="L1554" s="74">
        <f t="shared" si="339"/>
      </c>
      <c r="M1554" s="74">
        <f t="shared" ca="1" si="340"/>
      </c>
      <c r="N1554" s="74">
        <f ca="1">VLOOKUP(B1554,$C$7:$T1552,13,FALSE)</f>
      </c>
      <c r="O1554" s="74">
        <f t="shared" ca="1" si="341"/>
      </c>
      <c r="P1554" s="74">
        <f t="shared" ca="1" si="342"/>
      </c>
      <c r="Q1554" s="74">
        <f t="shared" ca="1" si="343"/>
      </c>
      <c r="R1554" s="74">
        <f t="shared" si="344"/>
      </c>
      <c r="S1554" s="74">
        <f t="shared" ca="1" si="345"/>
      </c>
      <c r="T1554" s="74">
        <f t="shared" si="346"/>
      </c>
    </row>
    <row r="1555" spans="2:20" x14ac:dyDescent="0.3">
      <c r="B1555" s="74">
        <f t="shared" ca="1" si="336"/>
      </c>
      <c r="C1555" s="78">
        <f>Кабельный_журнал!P1521</f>
      </c>
      <c r="D1555" s="74">
        <f t="shared" ca="1" si="337"/>
      </c>
      <c r="E1555" s="80" t="s">
        <v>279</v>
      </c>
      <c r="F1555" s="74">
        <f t="shared" ca="1" si="333"/>
      </c>
      <c r="G1555" s="74">
        <f t="shared" si="334"/>
      </c>
      <c r="H1555" s="80" t="s">
        <v>272</v>
      </c>
      <c r="I1555" s="74">
        <f t="shared" si="335"/>
      </c>
      <c r="J1555" s="74">
        <f t="shared" si="338"/>
      </c>
      <c r="K1555" s="80" t="s">
        <v>280</v>
      </c>
      <c r="L1555" s="74">
        <f t="shared" si="339"/>
      </c>
      <c r="M1555" s="74">
        <f t="shared" ca="1" si="340"/>
      </c>
      <c r="N1555" s="74">
        <f ca="1">VLOOKUP(B1555,$C$7:$T1553,13,FALSE)</f>
      </c>
      <c r="O1555" s="74">
        <f t="shared" ca="1" si="341"/>
      </c>
      <c r="P1555" s="74">
        <f t="shared" ca="1" si="342"/>
      </c>
      <c r="Q1555" s="74">
        <f t="shared" ca="1" si="343"/>
      </c>
      <c r="R1555" s="74">
        <f t="shared" si="344"/>
      </c>
      <c r="S1555" s="74">
        <f t="shared" ca="1" si="345"/>
      </c>
      <c r="T1555" s="74">
        <f t="shared" si="346"/>
      </c>
    </row>
    <row r="1556" spans="2:20" x14ac:dyDescent="0.3">
      <c r="B1556" s="74">
        <f t="shared" ca="1" si="336"/>
      </c>
      <c r="C1556" s="78">
        <f>Кабельный_журнал!P1522</f>
      </c>
      <c r="D1556" s="74">
        <f t="shared" ca="1" si="337"/>
      </c>
      <c r="E1556" s="80" t="s">
        <v>279</v>
      </c>
      <c r="F1556" s="74">
        <f t="shared" ca="1" si="333"/>
      </c>
      <c r="G1556" s="74">
        <f t="shared" si="334"/>
      </c>
      <c r="H1556" s="80" t="s">
        <v>272</v>
      </c>
      <c r="I1556" s="74">
        <f t="shared" si="335"/>
      </c>
      <c r="J1556" s="74">
        <f t="shared" si="338"/>
      </c>
      <c r="K1556" s="80" t="s">
        <v>280</v>
      </c>
      <c r="L1556" s="74">
        <f t="shared" si="339"/>
      </c>
      <c r="M1556" s="74">
        <f t="shared" ca="1" si="340"/>
      </c>
      <c r="N1556" s="74">
        <f ca="1">VLOOKUP(B1556,$C$7:$T1554,13,FALSE)</f>
      </c>
      <c r="O1556" s="74">
        <f t="shared" ca="1" si="341"/>
      </c>
      <c r="P1556" s="74">
        <f t="shared" ca="1" si="342"/>
      </c>
      <c r="Q1556" s="74">
        <f t="shared" ca="1" si="343"/>
      </c>
      <c r="R1556" s="74">
        <f t="shared" si="344"/>
      </c>
      <c r="S1556" s="74">
        <f t="shared" ca="1" si="345"/>
      </c>
      <c r="T1556" s="74">
        <f t="shared" si="346"/>
      </c>
    </row>
    <row r="1557" spans="2:20" x14ac:dyDescent="0.3">
      <c r="B1557" s="74">
        <f t="shared" ca="1" si="336"/>
      </c>
      <c r="C1557" s="78">
        <f>Кабельный_журнал!P1523</f>
      </c>
      <c r="D1557" s="74">
        <f t="shared" ca="1" si="337"/>
      </c>
      <c r="E1557" s="80" t="s">
        <v>279</v>
      </c>
      <c r="F1557" s="74">
        <f t="shared" ca="1" si="333"/>
      </c>
      <c r="G1557" s="74">
        <f t="shared" si="334"/>
      </c>
      <c r="H1557" s="80" t="s">
        <v>272</v>
      </c>
      <c r="I1557" s="74">
        <f t="shared" si="335"/>
      </c>
      <c r="J1557" s="74">
        <f t="shared" si="338"/>
      </c>
      <c r="K1557" s="80" t="s">
        <v>280</v>
      </c>
      <c r="L1557" s="74">
        <f t="shared" si="339"/>
      </c>
      <c r="M1557" s="74">
        <f t="shared" ca="1" si="340"/>
      </c>
      <c r="N1557" s="74">
        <f ca="1">VLOOKUP(B1557,$C$7:$T1555,13,FALSE)</f>
      </c>
      <c r="O1557" s="74">
        <f t="shared" ca="1" si="341"/>
      </c>
      <c r="P1557" s="74">
        <f t="shared" ca="1" si="342"/>
      </c>
      <c r="Q1557" s="74">
        <f t="shared" ca="1" si="343"/>
      </c>
      <c r="R1557" s="74">
        <f t="shared" si="344"/>
      </c>
      <c r="S1557" s="74">
        <f t="shared" ca="1" si="345"/>
      </c>
      <c r="T1557" s="74">
        <f t="shared" si="346"/>
      </c>
    </row>
    <row r="1558" spans="2:20" x14ac:dyDescent="0.3">
      <c r="B1558" s="74">
        <f t="shared" ca="1" si="336"/>
      </c>
      <c r="C1558" s="78">
        <f>Кабельный_журнал!P1524</f>
      </c>
      <c r="D1558" s="74">
        <f t="shared" ca="1" si="337"/>
      </c>
      <c r="E1558" s="80" t="s">
        <v>279</v>
      </c>
      <c r="F1558" s="74">
        <f t="shared" ca="1" si="333"/>
      </c>
      <c r="G1558" s="74">
        <f t="shared" si="334"/>
      </c>
      <c r="H1558" s="80" t="s">
        <v>272</v>
      </c>
      <c r="I1558" s="74">
        <f t="shared" si="335"/>
      </c>
      <c r="J1558" s="74">
        <f t="shared" si="338"/>
      </c>
      <c r="K1558" s="80" t="s">
        <v>280</v>
      </c>
      <c r="L1558" s="74">
        <f t="shared" si="339"/>
      </c>
      <c r="M1558" s="74">
        <f t="shared" ca="1" si="340"/>
      </c>
      <c r="N1558" s="74">
        <f ca="1">VLOOKUP(B1558,$C$7:$T1556,13,FALSE)</f>
      </c>
      <c r="O1558" s="74">
        <f t="shared" ca="1" si="341"/>
      </c>
      <c r="P1558" s="74">
        <f t="shared" ca="1" si="342"/>
      </c>
      <c r="Q1558" s="74">
        <f t="shared" ca="1" si="343"/>
      </c>
      <c r="R1558" s="74">
        <f t="shared" si="344"/>
      </c>
      <c r="S1558" s="74">
        <f t="shared" ca="1" si="345"/>
      </c>
      <c r="T1558" s="74">
        <f t="shared" si="346"/>
      </c>
    </row>
    <row r="1559" spans="2:20" x14ac:dyDescent="0.3">
      <c r="B1559" s="74">
        <f t="shared" ca="1" si="336"/>
      </c>
      <c r="C1559" s="78">
        <f>Кабельный_журнал!P1525</f>
      </c>
      <c r="D1559" s="74">
        <f t="shared" ca="1" si="337"/>
      </c>
      <c r="E1559" s="80" t="s">
        <v>279</v>
      </c>
      <c r="F1559" s="74">
        <f t="shared" ca="1" si="333"/>
      </c>
      <c r="G1559" s="74">
        <f t="shared" si="334"/>
      </c>
      <c r="H1559" s="80" t="s">
        <v>272</v>
      </c>
      <c r="I1559" s="74">
        <f t="shared" si="335"/>
      </c>
      <c r="J1559" s="74">
        <f t="shared" si="338"/>
      </c>
      <c r="K1559" s="80" t="s">
        <v>280</v>
      </c>
      <c r="L1559" s="74">
        <f t="shared" si="339"/>
      </c>
      <c r="M1559" s="74">
        <f t="shared" ca="1" si="340"/>
      </c>
      <c r="N1559" s="74">
        <f ca="1">VLOOKUP(B1559,$C$7:$T1557,13,FALSE)</f>
      </c>
      <c r="O1559" s="74">
        <f t="shared" ca="1" si="341"/>
      </c>
      <c r="P1559" s="74">
        <f t="shared" ca="1" si="342"/>
      </c>
      <c r="Q1559" s="74">
        <f t="shared" ca="1" si="343"/>
      </c>
      <c r="R1559" s="74">
        <f t="shared" si="344"/>
      </c>
      <c r="S1559" s="74">
        <f t="shared" ca="1" si="345"/>
      </c>
      <c r="T1559" s="74">
        <f t="shared" si="346"/>
      </c>
    </row>
    <row r="1560" spans="2:20" x14ac:dyDescent="0.3">
      <c r="B1560" s="74">
        <f t="shared" ca="1" si="336"/>
      </c>
      <c r="C1560" s="78">
        <f>Кабельный_журнал!P1526</f>
      </c>
      <c r="D1560" s="74">
        <f t="shared" ca="1" si="337"/>
      </c>
      <c r="E1560" s="80" t="s">
        <v>279</v>
      </c>
      <c r="F1560" s="74">
        <f t="shared" ca="1" si="333"/>
      </c>
      <c r="G1560" s="74">
        <f t="shared" si="334"/>
      </c>
      <c r="H1560" s="80" t="s">
        <v>272</v>
      </c>
      <c r="I1560" s="74">
        <f t="shared" si="335"/>
      </c>
      <c r="J1560" s="74">
        <f t="shared" si="338"/>
      </c>
      <c r="K1560" s="80" t="s">
        <v>280</v>
      </c>
      <c r="L1560" s="74">
        <f t="shared" si="339"/>
      </c>
      <c r="M1560" s="74">
        <f t="shared" ca="1" si="340"/>
      </c>
      <c r="N1560" s="74">
        <f ca="1">VLOOKUP(B1560,$C$7:$T1558,13,FALSE)</f>
      </c>
      <c r="O1560" s="74">
        <f t="shared" ca="1" si="341"/>
      </c>
      <c r="P1560" s="74">
        <f t="shared" ca="1" si="342"/>
      </c>
      <c r="Q1560" s="74">
        <f t="shared" ca="1" si="343"/>
      </c>
      <c r="R1560" s="74">
        <f t="shared" si="344"/>
      </c>
      <c r="S1560" s="74">
        <f t="shared" ca="1" si="345"/>
      </c>
      <c r="T1560" s="74">
        <f t="shared" si="346"/>
      </c>
    </row>
    <row r="1561" spans="2:20" x14ac:dyDescent="0.3">
      <c r="B1561" s="74">
        <f t="shared" ca="1" si="336"/>
      </c>
      <c r="C1561" s="78">
        <f>Кабельный_журнал!P1527</f>
      </c>
      <c r="D1561" s="74">
        <f t="shared" ca="1" si="337"/>
      </c>
      <c r="E1561" s="80" t="s">
        <v>279</v>
      </c>
      <c r="F1561" s="74">
        <f t="shared" ca="1" si="333"/>
      </c>
      <c r="G1561" s="74">
        <f t="shared" si="334"/>
      </c>
      <c r="H1561" s="80" t="s">
        <v>272</v>
      </c>
      <c r="I1561" s="74">
        <f t="shared" si="335"/>
      </c>
      <c r="J1561" s="74">
        <f t="shared" si="338"/>
      </c>
      <c r="K1561" s="80" t="s">
        <v>280</v>
      </c>
      <c r="L1561" s="74">
        <f t="shared" si="339"/>
      </c>
      <c r="M1561" s="74">
        <f t="shared" ca="1" si="340"/>
      </c>
      <c r="N1561" s="74">
        <f ca="1">VLOOKUP(B1561,$C$7:$T1559,13,FALSE)</f>
      </c>
      <c r="O1561" s="74">
        <f t="shared" ca="1" si="341"/>
      </c>
      <c r="P1561" s="74">
        <f t="shared" ca="1" si="342"/>
      </c>
      <c r="Q1561" s="74">
        <f t="shared" ca="1" si="343"/>
      </c>
      <c r="R1561" s="74">
        <f t="shared" si="344"/>
      </c>
      <c r="S1561" s="74">
        <f t="shared" ca="1" si="345"/>
      </c>
      <c r="T1561" s="74">
        <f t="shared" si="346"/>
      </c>
    </row>
    <row r="1562" spans="2:20" x14ac:dyDescent="0.3">
      <c r="B1562" s="74">
        <f t="shared" ca="1" si="336"/>
      </c>
      <c r="C1562" s="78">
        <f>Кабельный_журнал!P1528</f>
      </c>
      <c r="D1562" s="74">
        <f t="shared" ca="1" si="337"/>
      </c>
      <c r="E1562" s="80" t="s">
        <v>279</v>
      </c>
      <c r="F1562" s="74">
        <f t="shared" ca="1" si="333"/>
      </c>
      <c r="G1562" s="74">
        <f t="shared" si="334"/>
      </c>
      <c r="H1562" s="80" t="s">
        <v>272</v>
      </c>
      <c r="I1562" s="74">
        <f t="shared" si="335"/>
      </c>
      <c r="J1562" s="74">
        <f t="shared" si="338"/>
      </c>
      <c r="K1562" s="80" t="s">
        <v>280</v>
      </c>
      <c r="L1562" s="74">
        <f t="shared" si="339"/>
      </c>
      <c r="M1562" s="74">
        <f t="shared" ca="1" si="340"/>
      </c>
      <c r="N1562" s="74">
        <f ca="1">VLOOKUP(B1562,$C$7:$T1560,13,FALSE)</f>
      </c>
      <c r="O1562" s="74">
        <f t="shared" ca="1" si="341"/>
      </c>
      <c r="P1562" s="74">
        <f t="shared" ca="1" si="342"/>
      </c>
      <c r="Q1562" s="74">
        <f t="shared" ca="1" si="343"/>
      </c>
      <c r="R1562" s="74">
        <f t="shared" si="344"/>
      </c>
      <c r="S1562" s="74">
        <f t="shared" ca="1" si="345"/>
      </c>
      <c r="T1562" s="74">
        <f t="shared" si="346"/>
      </c>
    </row>
    <row r="1563" spans="2:20" x14ac:dyDescent="0.3">
      <c r="B1563" s="74">
        <f t="shared" ca="1" si="336"/>
      </c>
      <c r="C1563" s="78">
        <f>Кабельный_журнал!P1529</f>
      </c>
      <c r="D1563" s="74">
        <f t="shared" ca="1" si="337"/>
      </c>
      <c r="E1563" s="80" t="s">
        <v>279</v>
      </c>
      <c r="F1563" s="74">
        <f t="shared" ca="1" si="333"/>
      </c>
      <c r="G1563" s="74">
        <f t="shared" si="334"/>
      </c>
      <c r="H1563" s="80" t="s">
        <v>272</v>
      </c>
      <c r="I1563" s="74">
        <f t="shared" si="335"/>
      </c>
      <c r="J1563" s="74">
        <f t="shared" si="338"/>
      </c>
      <c r="K1563" s="80" t="s">
        <v>280</v>
      </c>
      <c r="L1563" s="74">
        <f t="shared" si="339"/>
      </c>
      <c r="M1563" s="74">
        <f t="shared" ca="1" si="340"/>
      </c>
      <c r="N1563" s="74">
        <f ca="1">VLOOKUP(B1563,$C$7:$T1561,13,FALSE)</f>
      </c>
      <c r="O1563" s="74">
        <f t="shared" ca="1" si="341"/>
      </c>
      <c r="P1563" s="74">
        <f t="shared" ca="1" si="342"/>
      </c>
      <c r="Q1563" s="74">
        <f t="shared" ca="1" si="343"/>
      </c>
      <c r="R1563" s="74">
        <f t="shared" si="344"/>
      </c>
      <c r="S1563" s="74">
        <f t="shared" ca="1" si="345"/>
      </c>
      <c r="T1563" s="74">
        <f t="shared" si="346"/>
      </c>
    </row>
    <row r="1564" spans="2:20" x14ac:dyDescent="0.3">
      <c r="B1564" s="74">
        <f t="shared" ca="1" si="336"/>
      </c>
      <c r="C1564" s="78">
        <f>Кабельный_журнал!P1530</f>
      </c>
      <c r="D1564" s="74">
        <f t="shared" ca="1" si="337"/>
      </c>
      <c r="E1564" s="80" t="s">
        <v>279</v>
      </c>
      <c r="F1564" s="74">
        <f t="shared" ca="1" si="333"/>
      </c>
      <c r="G1564" s="74">
        <f t="shared" si="334"/>
      </c>
      <c r="H1564" s="80" t="s">
        <v>272</v>
      </c>
      <c r="I1564" s="74">
        <f t="shared" si="335"/>
      </c>
      <c r="J1564" s="74">
        <f t="shared" si="338"/>
      </c>
      <c r="K1564" s="80" t="s">
        <v>280</v>
      </c>
      <c r="L1564" s="74">
        <f t="shared" si="339"/>
      </c>
      <c r="M1564" s="74">
        <f t="shared" ca="1" si="340"/>
      </c>
      <c r="N1564" s="74">
        <f ca="1">VLOOKUP(B1564,$C$7:$T1562,13,FALSE)</f>
      </c>
      <c r="O1564" s="74">
        <f t="shared" ca="1" si="341"/>
      </c>
      <c r="P1564" s="74">
        <f t="shared" ca="1" si="342"/>
      </c>
      <c r="Q1564" s="74">
        <f t="shared" ca="1" si="343"/>
      </c>
      <c r="R1564" s="74">
        <f t="shared" si="344"/>
      </c>
      <c r="S1564" s="74">
        <f t="shared" ca="1" si="345"/>
      </c>
      <c r="T1564" s="74">
        <f t="shared" si="346"/>
      </c>
    </row>
    <row r="1565" spans="2:20" x14ac:dyDescent="0.3">
      <c r="B1565" s="74">
        <f t="shared" ca="1" si="336"/>
      </c>
      <c r="C1565" s="78">
        <f>Кабельный_журнал!P1531</f>
      </c>
      <c r="D1565" s="74">
        <f t="shared" ca="1" si="337"/>
      </c>
      <c r="E1565" s="80" t="s">
        <v>279</v>
      </c>
      <c r="F1565" s="74">
        <f t="shared" ca="1" si="333"/>
      </c>
      <c r="G1565" s="74">
        <f t="shared" si="334"/>
      </c>
      <c r="H1565" s="80" t="s">
        <v>272</v>
      </c>
      <c r="I1565" s="74">
        <f t="shared" si="335"/>
      </c>
      <c r="J1565" s="74">
        <f t="shared" si="338"/>
      </c>
      <c r="K1565" s="80" t="s">
        <v>280</v>
      </c>
      <c r="L1565" s="74">
        <f t="shared" si="339"/>
      </c>
      <c r="M1565" s="74">
        <f t="shared" ca="1" si="340"/>
      </c>
      <c r="N1565" s="74">
        <f ca="1">VLOOKUP(B1565,$C$7:$T1563,13,FALSE)</f>
      </c>
      <c r="O1565" s="74">
        <f t="shared" ca="1" si="341"/>
      </c>
      <c r="P1565" s="74">
        <f t="shared" ca="1" si="342"/>
      </c>
      <c r="Q1565" s="74">
        <f t="shared" ca="1" si="343"/>
      </c>
      <c r="R1565" s="74">
        <f t="shared" si="344"/>
      </c>
      <c r="S1565" s="74">
        <f t="shared" ca="1" si="345"/>
      </c>
      <c r="T1565" s="74">
        <f t="shared" si="346"/>
      </c>
    </row>
    <row r="1566" spans="2:20" x14ac:dyDescent="0.3">
      <c r="B1566" s="74">
        <f t="shared" ca="1" si="336"/>
      </c>
      <c r="C1566" s="78">
        <f>Кабельный_журнал!P1532</f>
      </c>
      <c r="D1566" s="74">
        <f t="shared" ca="1" si="337"/>
      </c>
      <c r="E1566" s="80" t="s">
        <v>279</v>
      </c>
      <c r="F1566" s="74">
        <f t="shared" ca="1" si="333"/>
      </c>
      <c r="G1566" s="74">
        <f t="shared" si="334"/>
      </c>
      <c r="H1566" s="80" t="s">
        <v>272</v>
      </c>
      <c r="I1566" s="74">
        <f t="shared" si="335"/>
      </c>
      <c r="J1566" s="74">
        <f t="shared" si="338"/>
      </c>
      <c r="K1566" s="80" t="s">
        <v>280</v>
      </c>
      <c r="L1566" s="74">
        <f t="shared" si="339"/>
      </c>
      <c r="M1566" s="74">
        <f t="shared" ca="1" si="340"/>
      </c>
      <c r="N1566" s="74">
        <f ca="1">VLOOKUP(B1566,$C$7:$T1564,13,FALSE)</f>
      </c>
      <c r="O1566" s="74">
        <f t="shared" ca="1" si="341"/>
      </c>
      <c r="P1566" s="74">
        <f t="shared" ca="1" si="342"/>
      </c>
      <c r="Q1566" s="74">
        <f t="shared" ca="1" si="343"/>
      </c>
      <c r="R1566" s="74">
        <f t="shared" si="344"/>
      </c>
      <c r="S1566" s="74">
        <f t="shared" ca="1" si="345"/>
      </c>
      <c r="T1566" s="74">
        <f t="shared" si="346"/>
      </c>
    </row>
    <row r="1567" spans="2:20" x14ac:dyDescent="0.3">
      <c r="B1567" s="74">
        <f t="shared" ca="1" si="336"/>
      </c>
      <c r="C1567" s="78">
        <f>Кабельный_журнал!P1533</f>
      </c>
      <c r="D1567" s="74">
        <f t="shared" ca="1" si="337"/>
      </c>
      <c r="E1567" s="80" t="s">
        <v>279</v>
      </c>
      <c r="F1567" s="74">
        <f t="shared" ca="1" si="333"/>
      </c>
      <c r="G1567" s="74">
        <f t="shared" si="334"/>
      </c>
      <c r="H1567" s="80" t="s">
        <v>272</v>
      </c>
      <c r="I1567" s="74">
        <f t="shared" si="335"/>
      </c>
      <c r="J1567" s="74">
        <f t="shared" si="338"/>
      </c>
      <c r="K1567" s="80" t="s">
        <v>280</v>
      </c>
      <c r="L1567" s="74">
        <f t="shared" si="339"/>
      </c>
      <c r="M1567" s="74">
        <f t="shared" ca="1" si="340"/>
      </c>
      <c r="N1567" s="74">
        <f ca="1">VLOOKUP(B1567,$C$7:$T1565,13,FALSE)</f>
      </c>
      <c r="O1567" s="74">
        <f t="shared" ca="1" si="341"/>
      </c>
      <c r="P1567" s="74">
        <f t="shared" ca="1" si="342"/>
      </c>
      <c r="Q1567" s="74">
        <f t="shared" ca="1" si="343"/>
      </c>
      <c r="R1567" s="74">
        <f t="shared" si="344"/>
      </c>
      <c r="S1567" s="74">
        <f t="shared" ca="1" si="345"/>
      </c>
      <c r="T1567" s="74">
        <f t="shared" si="346"/>
      </c>
    </row>
    <row r="1568" spans="2:20" x14ac:dyDescent="0.3">
      <c r="B1568" s="74">
        <f t="shared" ca="1" si="336"/>
      </c>
      <c r="C1568" s="78">
        <f>Кабельный_журнал!P1534</f>
      </c>
      <c r="D1568" s="74">
        <f t="shared" ca="1" si="337"/>
      </c>
      <c r="E1568" s="80" t="s">
        <v>279</v>
      </c>
      <c r="F1568" s="74">
        <f t="shared" ca="1" si="333"/>
      </c>
      <c r="G1568" s="74">
        <f t="shared" si="334"/>
      </c>
      <c r="H1568" s="80" t="s">
        <v>272</v>
      </c>
      <c r="I1568" s="74">
        <f t="shared" si="335"/>
      </c>
      <c r="J1568" s="74">
        <f t="shared" si="338"/>
      </c>
      <c r="K1568" s="80" t="s">
        <v>280</v>
      </c>
      <c r="L1568" s="74">
        <f t="shared" si="339"/>
      </c>
      <c r="M1568" s="74">
        <f t="shared" ca="1" si="340"/>
      </c>
      <c r="N1568" s="74">
        <f ca="1">VLOOKUP(B1568,$C$7:$T1566,13,FALSE)</f>
      </c>
      <c r="O1568" s="74">
        <f t="shared" ca="1" si="341"/>
      </c>
      <c r="P1568" s="74">
        <f t="shared" ca="1" si="342"/>
      </c>
      <c r="Q1568" s="74">
        <f t="shared" ca="1" si="343"/>
      </c>
      <c r="R1568" s="74">
        <f t="shared" si="344"/>
      </c>
      <c r="S1568" s="74">
        <f t="shared" ca="1" si="345"/>
      </c>
      <c r="T1568" s="74">
        <f t="shared" si="346"/>
      </c>
    </row>
    <row r="1569" spans="2:20" x14ac:dyDescent="0.3">
      <c r="B1569" s="74">
        <f t="shared" ca="1" si="336"/>
      </c>
      <c r="C1569" s="78">
        <f>Кабельный_журнал!P1535</f>
      </c>
      <c r="D1569" s="74">
        <f t="shared" ca="1" si="337"/>
      </c>
      <c r="E1569" s="80" t="s">
        <v>279</v>
      </c>
      <c r="F1569" s="74">
        <f t="shared" ca="1" si="333"/>
      </c>
      <c r="G1569" s="74">
        <f t="shared" si="334"/>
      </c>
      <c r="H1569" s="80" t="s">
        <v>272</v>
      </c>
      <c r="I1569" s="74">
        <f t="shared" si="335"/>
      </c>
      <c r="J1569" s="74">
        <f t="shared" si="338"/>
      </c>
      <c r="K1569" s="80" t="s">
        <v>280</v>
      </c>
      <c r="L1569" s="74">
        <f t="shared" si="339"/>
      </c>
      <c r="M1569" s="74">
        <f t="shared" ca="1" si="340"/>
      </c>
      <c r="N1569" s="74">
        <f ca="1">VLOOKUP(B1569,$C$7:$T1567,13,FALSE)</f>
      </c>
      <c r="O1569" s="74">
        <f t="shared" ca="1" si="341"/>
      </c>
      <c r="P1569" s="74">
        <f t="shared" ca="1" si="342"/>
      </c>
      <c r="Q1569" s="74">
        <f t="shared" ca="1" si="343"/>
      </c>
      <c r="R1569" s="74">
        <f t="shared" si="344"/>
      </c>
      <c r="S1569" s="74">
        <f t="shared" ca="1" si="345"/>
      </c>
      <c r="T1569" s="74">
        <f t="shared" si="346"/>
      </c>
    </row>
    <row r="1570" spans="2:20" x14ac:dyDescent="0.3">
      <c r="B1570" s="74">
        <f t="shared" ca="1" si="336"/>
      </c>
      <c r="C1570" s="78">
        <f>Кабельный_журнал!P1536</f>
      </c>
      <c r="D1570" s="74">
        <f t="shared" ca="1" si="337"/>
      </c>
      <c r="E1570" s="80" t="s">
        <v>279</v>
      </c>
      <c r="F1570" s="74">
        <f t="shared" ca="1" si="333"/>
      </c>
      <c r="G1570" s="74">
        <f t="shared" si="334"/>
      </c>
      <c r="H1570" s="80" t="s">
        <v>272</v>
      </c>
      <c r="I1570" s="74">
        <f t="shared" si="335"/>
      </c>
      <c r="J1570" s="74">
        <f t="shared" si="338"/>
      </c>
      <c r="K1570" s="80" t="s">
        <v>280</v>
      </c>
      <c r="L1570" s="74">
        <f t="shared" si="339"/>
      </c>
      <c r="M1570" s="74">
        <f t="shared" ca="1" si="340"/>
      </c>
      <c r="N1570" s="74">
        <f ca="1">VLOOKUP(B1570,$C$7:$T1568,13,FALSE)</f>
      </c>
      <c r="O1570" s="74">
        <f t="shared" ca="1" si="341"/>
      </c>
      <c r="P1570" s="74">
        <f t="shared" ca="1" si="342"/>
      </c>
      <c r="Q1570" s="74">
        <f t="shared" ca="1" si="343"/>
      </c>
      <c r="R1570" s="74">
        <f t="shared" si="344"/>
      </c>
      <c r="S1570" s="74">
        <f t="shared" ca="1" si="345"/>
      </c>
      <c r="T1570" s="74">
        <f t="shared" si="346"/>
      </c>
    </row>
    <row r="1571" spans="2:20" x14ac:dyDescent="0.3">
      <c r="B1571" s="74">
        <f t="shared" ca="1" si="336"/>
      </c>
      <c r="C1571" s="78">
        <f>Кабельный_журнал!P1537</f>
      </c>
      <c r="D1571" s="74">
        <f t="shared" ca="1" si="337"/>
      </c>
      <c r="E1571" s="80" t="s">
        <v>279</v>
      </c>
      <c r="F1571" s="74">
        <f t="shared" ca="1" si="333"/>
      </c>
      <c r="G1571" s="74">
        <f t="shared" si="334"/>
      </c>
      <c r="H1571" s="80" t="s">
        <v>272</v>
      </c>
      <c r="I1571" s="74">
        <f t="shared" si="335"/>
      </c>
      <c r="J1571" s="74">
        <f t="shared" si="338"/>
      </c>
      <c r="K1571" s="80" t="s">
        <v>280</v>
      </c>
      <c r="L1571" s="74">
        <f t="shared" si="339"/>
      </c>
      <c r="M1571" s="74">
        <f t="shared" ca="1" si="340"/>
      </c>
      <c r="N1571" s="74">
        <f ca="1">VLOOKUP(B1571,$C$7:$T1569,13,FALSE)</f>
      </c>
      <c r="O1571" s="74">
        <f t="shared" ca="1" si="341"/>
      </c>
      <c r="P1571" s="74">
        <f t="shared" ca="1" si="342"/>
      </c>
      <c r="Q1571" s="74">
        <f t="shared" ca="1" si="343"/>
      </c>
      <c r="R1571" s="74">
        <f t="shared" si="344"/>
      </c>
      <c r="S1571" s="74">
        <f t="shared" ca="1" si="345"/>
      </c>
      <c r="T1571" s="74">
        <f t="shared" si="346"/>
      </c>
    </row>
    <row r="1572" spans="2:20" x14ac:dyDescent="0.3">
      <c r="B1572" s="74">
        <f t="shared" ca="1" si="336"/>
      </c>
      <c r="C1572" s="78">
        <f>Кабельный_журнал!P1538</f>
      </c>
      <c r="D1572" s="74">
        <f t="shared" ca="1" si="337"/>
      </c>
      <c r="E1572" s="80" t="s">
        <v>279</v>
      </c>
      <c r="F1572" s="74">
        <f t="shared" ca="1" si="333"/>
      </c>
      <c r="G1572" s="74">
        <f t="shared" si="334"/>
      </c>
      <c r="H1572" s="80" t="s">
        <v>272</v>
      </c>
      <c r="I1572" s="74">
        <f t="shared" si="335"/>
      </c>
      <c r="J1572" s="74">
        <f t="shared" si="338"/>
      </c>
      <c r="K1572" s="80" t="s">
        <v>280</v>
      </c>
      <c r="L1572" s="74">
        <f t="shared" si="339"/>
      </c>
      <c r="M1572" s="74">
        <f t="shared" ca="1" si="340"/>
      </c>
      <c r="N1572" s="74">
        <f ca="1">VLOOKUP(B1572,$C$7:$T1570,13,FALSE)</f>
      </c>
      <c r="O1572" s="74">
        <f t="shared" ca="1" si="341"/>
      </c>
      <c r="P1572" s="74">
        <f t="shared" ca="1" si="342"/>
      </c>
      <c r="Q1572" s="74">
        <f t="shared" ca="1" si="343"/>
      </c>
      <c r="R1572" s="74">
        <f t="shared" si="344"/>
      </c>
      <c r="S1572" s="74">
        <f t="shared" ca="1" si="345"/>
      </c>
      <c r="T1572" s="74">
        <f t="shared" si="346"/>
      </c>
    </row>
    <row r="1573" spans="2:20" x14ac:dyDescent="0.3">
      <c r="B1573" s="74">
        <f t="shared" ca="1" si="336"/>
      </c>
      <c r="C1573" s="78">
        <f>Кабельный_журнал!P1539</f>
      </c>
      <c r="D1573" s="74">
        <f t="shared" ca="1" si="337"/>
      </c>
      <c r="E1573" s="80" t="s">
        <v>279</v>
      </c>
      <c r="F1573" s="74">
        <f t="shared" ca="1" si="333"/>
      </c>
      <c r="G1573" s="74">
        <f t="shared" si="334"/>
      </c>
      <c r="H1573" s="80" t="s">
        <v>272</v>
      </c>
      <c r="I1573" s="74">
        <f t="shared" si="335"/>
      </c>
      <c r="J1573" s="74">
        <f t="shared" si="338"/>
      </c>
      <c r="K1573" s="80" t="s">
        <v>280</v>
      </c>
      <c r="L1573" s="74">
        <f t="shared" si="339"/>
      </c>
      <c r="M1573" s="74">
        <f t="shared" ca="1" si="340"/>
      </c>
      <c r="N1573" s="74">
        <f ca="1">VLOOKUP(B1573,$C$7:$T1571,13,FALSE)</f>
      </c>
      <c r="O1573" s="74">
        <f t="shared" ca="1" si="341"/>
      </c>
      <c r="P1573" s="74">
        <f t="shared" ca="1" si="342"/>
      </c>
      <c r="Q1573" s="74">
        <f t="shared" ca="1" si="343"/>
      </c>
      <c r="R1573" s="74">
        <f t="shared" si="344"/>
      </c>
      <c r="S1573" s="74">
        <f t="shared" ca="1" si="345"/>
      </c>
      <c r="T1573" s="74">
        <f t="shared" si="346"/>
      </c>
    </row>
    <row r="1574" spans="2:20" x14ac:dyDescent="0.3">
      <c r="B1574" s="74">
        <f t="shared" ca="1" si="336"/>
      </c>
      <c r="C1574" s="78">
        <f>Кабельный_журнал!P1540</f>
      </c>
      <c r="D1574" s="74">
        <f t="shared" ca="1" si="337"/>
      </c>
      <c r="E1574" s="80" t="s">
        <v>279</v>
      </c>
      <c r="F1574" s="74">
        <f t="shared" ca="1" si="333"/>
      </c>
      <c r="G1574" s="74">
        <f t="shared" si="334"/>
      </c>
      <c r="H1574" s="80" t="s">
        <v>272</v>
      </c>
      <c r="I1574" s="74">
        <f t="shared" si="335"/>
      </c>
      <c r="J1574" s="74">
        <f t="shared" si="338"/>
      </c>
      <c r="K1574" s="80" t="s">
        <v>280</v>
      </c>
      <c r="L1574" s="74">
        <f t="shared" si="339"/>
      </c>
      <c r="M1574" s="74">
        <f t="shared" ca="1" si="340"/>
      </c>
      <c r="N1574" s="74">
        <f ca="1">VLOOKUP(B1574,$C$7:$T1572,13,FALSE)</f>
      </c>
      <c r="O1574" s="74">
        <f t="shared" ca="1" si="341"/>
      </c>
      <c r="P1574" s="74">
        <f t="shared" ca="1" si="342"/>
      </c>
      <c r="Q1574" s="74">
        <f t="shared" ca="1" si="343"/>
      </c>
      <c r="R1574" s="74">
        <f t="shared" si="344"/>
      </c>
      <c r="S1574" s="74">
        <f t="shared" ca="1" si="345"/>
      </c>
      <c r="T1574" s="74">
        <f t="shared" si="346"/>
      </c>
    </row>
    <row r="1575" spans="2:20" x14ac:dyDescent="0.3">
      <c r="B1575" s="74">
        <f t="shared" ca="1" si="336"/>
      </c>
      <c r="C1575" s="78">
        <f>Кабельный_журнал!P1541</f>
      </c>
      <c r="D1575" s="74">
        <f t="shared" ca="1" si="337"/>
      </c>
      <c r="E1575" s="80" t="s">
        <v>279</v>
      </c>
      <c r="F1575" s="74">
        <f t="shared" ref="F1575:F1638" ca="1" si="347">VLOOKUP(C1575,Кабельный_журнал,8,FALSE)</f>
      </c>
      <c r="G1575" s="74">
        <f t="shared" ref="G1575:G1638" si="348">VLOOKUP(C1575,Исходные_данные,21,FALSE)</f>
      </c>
      <c r="H1575" s="80" t="s">
        <v>272</v>
      </c>
      <c r="I1575" s="74">
        <f t="shared" ref="I1575:I1638" si="349">VLOOKUP(C1575,Исходные_данные,22,FALSE)</f>
      </c>
      <c r="J1575" s="74">
        <f t="shared" si="338"/>
      </c>
      <c r="K1575" s="80" t="s">
        <v>280</v>
      </c>
      <c r="L1575" s="74">
        <f t="shared" si="339"/>
      </c>
      <c r="M1575" s="74">
        <f t="shared" ca="1" si="340"/>
      </c>
      <c r="N1575" s="74">
        <f ca="1">VLOOKUP(B1575,$C$7:$T1573,13,FALSE)</f>
      </c>
      <c r="O1575" s="74">
        <f t="shared" ca="1" si="341"/>
      </c>
      <c r="P1575" s="74">
        <f t="shared" ca="1" si="342"/>
      </c>
      <c r="Q1575" s="74">
        <f t="shared" ca="1" si="343"/>
      </c>
      <c r="R1575" s="74">
        <f t="shared" si="344"/>
      </c>
      <c r="S1575" s="74">
        <f t="shared" ca="1" si="345"/>
      </c>
      <c r="T1575" s="74">
        <f t="shared" si="346"/>
      </c>
    </row>
    <row r="1576" spans="2:20" x14ac:dyDescent="0.3">
      <c r="B1576" s="74">
        <f t="shared" ref="B1576:B1639" ca="1" si="350">VLOOKUP(C1576,Кабельный_журнал,2,FALSE)</f>
      </c>
      <c r="C1576" s="78">
        <f>Кабельный_журнал!P1542</f>
      </c>
      <c r="D1576" s="74">
        <f t="shared" ref="D1576:D1639" ca="1" si="351">B1576&amp;"-"&amp;C1576</f>
      </c>
      <c r="E1576" s="80" t="s">
        <v>279</v>
      </c>
      <c r="F1576" s="74">
        <f t="shared" ca="1" si="347"/>
      </c>
      <c r="G1576" s="74">
        <f t="shared" si="348"/>
      </c>
      <c r="H1576" s="80" t="s">
        <v>272</v>
      </c>
      <c r="I1576" s="74">
        <f t="shared" si="349"/>
      </c>
      <c r="J1576" s="74">
        <f t="shared" ref="J1576:J1639" si="352">I1576</f>
      </c>
      <c r="K1576" s="80" t="s">
        <v>280</v>
      </c>
      <c r="L1576" s="74">
        <f t="shared" ref="L1576:L1639" si="353">VLOOKUP(K1576,$K$2:$L$3,2,FALSE)</f>
      </c>
      <c r="M1576" s="74">
        <f t="shared" ref="M1576:M1639" ca="1" si="354">L1576*F1576*(1/I1576+1/J1576)</f>
      </c>
      <c r="N1576" s="74">
        <f ca="1">VLOOKUP(B1576,$C$7:$T1574,13,FALSE)</f>
      </c>
      <c r="O1576" s="74">
        <f t="shared" ref="O1576:O1639" ca="1" si="355">L1576+M1576</f>
      </c>
      <c r="P1576" s="74">
        <f t="shared" ref="P1576:P1639" ca="1" si="356">220/O1576</f>
      </c>
      <c r="Q1576" s="74">
        <f t="shared" ref="Q1576:Q1639" ca="1" si="357">O1576/G1576</f>
      </c>
      <c r="R1576" s="74">
        <f t="shared" ref="R1576:R1639" si="358">VLOOKUP(H1576,$W$2:$Y$12,3,FALSE)</f>
      </c>
      <c r="S1576" s="74">
        <f t="shared" ref="S1576:S1639" ca="1" si="359">_xlfn.IFS(E1576="щит",IF(P1576&gt;R1576,"Увел сеч",IF(T1576&gt;P1576,"Увел сеч","tср&lt;5с")),E1576="потреб",IF(P1576&gt;R1576,"Увел сеч",IF(T1576&gt;P1576,"Увел сеч","tср&lt;0.4с")))</f>
      </c>
      <c r="T1576" s="74">
        <f t="shared" ref="T1576:T1639" si="360">G1576*VLOOKUP(H1576,$W$2:$Y$12,2,FALSE)</f>
      </c>
    </row>
    <row r="1577" spans="2:20" x14ac:dyDescent="0.3">
      <c r="B1577" s="74">
        <f t="shared" ca="1" si="350"/>
      </c>
      <c r="C1577" s="78">
        <f>Кабельный_журнал!P1543</f>
      </c>
      <c r="D1577" s="74">
        <f t="shared" ca="1" si="351"/>
      </c>
      <c r="E1577" s="80" t="s">
        <v>279</v>
      </c>
      <c r="F1577" s="74">
        <f t="shared" ca="1" si="347"/>
      </c>
      <c r="G1577" s="74">
        <f t="shared" si="348"/>
      </c>
      <c r="H1577" s="80" t="s">
        <v>272</v>
      </c>
      <c r="I1577" s="74">
        <f t="shared" si="349"/>
      </c>
      <c r="J1577" s="74">
        <f t="shared" si="352"/>
      </c>
      <c r="K1577" s="80" t="s">
        <v>280</v>
      </c>
      <c r="L1577" s="74">
        <f t="shared" si="353"/>
      </c>
      <c r="M1577" s="74">
        <f t="shared" ca="1" si="354"/>
      </c>
      <c r="N1577" s="74">
        <f ca="1">VLOOKUP(B1577,$C$7:$T1575,13,FALSE)</f>
      </c>
      <c r="O1577" s="74">
        <f t="shared" ca="1" si="355"/>
      </c>
      <c r="P1577" s="74">
        <f t="shared" ca="1" si="356"/>
      </c>
      <c r="Q1577" s="74">
        <f t="shared" ca="1" si="357"/>
      </c>
      <c r="R1577" s="74">
        <f t="shared" si="358"/>
      </c>
      <c r="S1577" s="74">
        <f t="shared" ca="1" si="359"/>
      </c>
      <c r="T1577" s="74">
        <f t="shared" si="360"/>
      </c>
    </row>
    <row r="1578" spans="2:20" x14ac:dyDescent="0.3">
      <c r="B1578" s="74">
        <f t="shared" ca="1" si="350"/>
      </c>
      <c r="C1578" s="78">
        <f>Кабельный_журнал!P1544</f>
      </c>
      <c r="D1578" s="74">
        <f t="shared" ca="1" si="351"/>
      </c>
      <c r="E1578" s="80" t="s">
        <v>279</v>
      </c>
      <c r="F1578" s="74">
        <f t="shared" ca="1" si="347"/>
      </c>
      <c r="G1578" s="74">
        <f t="shared" si="348"/>
      </c>
      <c r="H1578" s="80" t="s">
        <v>272</v>
      </c>
      <c r="I1578" s="74">
        <f t="shared" si="349"/>
      </c>
      <c r="J1578" s="74">
        <f t="shared" si="352"/>
      </c>
      <c r="K1578" s="80" t="s">
        <v>280</v>
      </c>
      <c r="L1578" s="74">
        <f t="shared" si="353"/>
      </c>
      <c r="M1578" s="74">
        <f t="shared" ca="1" si="354"/>
      </c>
      <c r="N1578" s="74">
        <f ca="1">VLOOKUP(B1578,$C$7:$T1576,13,FALSE)</f>
      </c>
      <c r="O1578" s="74">
        <f t="shared" ca="1" si="355"/>
      </c>
      <c r="P1578" s="74">
        <f t="shared" ca="1" si="356"/>
      </c>
      <c r="Q1578" s="74">
        <f t="shared" ca="1" si="357"/>
      </c>
      <c r="R1578" s="74">
        <f t="shared" si="358"/>
      </c>
      <c r="S1578" s="74">
        <f t="shared" ca="1" si="359"/>
      </c>
      <c r="T1578" s="74">
        <f t="shared" si="360"/>
      </c>
    </row>
    <row r="1579" spans="2:20" x14ac:dyDescent="0.3">
      <c r="B1579" s="74">
        <f t="shared" ca="1" si="350"/>
      </c>
      <c r="C1579" s="78">
        <f>Кабельный_журнал!P1545</f>
      </c>
      <c r="D1579" s="74">
        <f t="shared" ca="1" si="351"/>
      </c>
      <c r="E1579" s="80" t="s">
        <v>279</v>
      </c>
      <c r="F1579" s="74">
        <f t="shared" ca="1" si="347"/>
      </c>
      <c r="G1579" s="74">
        <f t="shared" si="348"/>
      </c>
      <c r="H1579" s="80" t="s">
        <v>272</v>
      </c>
      <c r="I1579" s="74">
        <f t="shared" si="349"/>
      </c>
      <c r="J1579" s="74">
        <f t="shared" si="352"/>
      </c>
      <c r="K1579" s="80" t="s">
        <v>280</v>
      </c>
      <c r="L1579" s="74">
        <f t="shared" si="353"/>
      </c>
      <c r="M1579" s="74">
        <f t="shared" ca="1" si="354"/>
      </c>
      <c r="N1579" s="74">
        <f ca="1">VLOOKUP(B1579,$C$7:$T1577,13,FALSE)</f>
      </c>
      <c r="O1579" s="74">
        <f t="shared" ca="1" si="355"/>
      </c>
      <c r="P1579" s="74">
        <f t="shared" ca="1" si="356"/>
      </c>
      <c r="Q1579" s="74">
        <f t="shared" ca="1" si="357"/>
      </c>
      <c r="R1579" s="74">
        <f t="shared" si="358"/>
      </c>
      <c r="S1579" s="74">
        <f t="shared" ca="1" si="359"/>
      </c>
      <c r="T1579" s="74">
        <f t="shared" si="360"/>
      </c>
    </row>
    <row r="1580" spans="2:20" x14ac:dyDescent="0.3">
      <c r="B1580" s="74">
        <f t="shared" ca="1" si="350"/>
      </c>
      <c r="C1580" s="78">
        <f>Кабельный_журнал!P1546</f>
      </c>
      <c r="D1580" s="74">
        <f t="shared" ca="1" si="351"/>
      </c>
      <c r="E1580" s="80" t="s">
        <v>279</v>
      </c>
      <c r="F1580" s="74">
        <f t="shared" ca="1" si="347"/>
      </c>
      <c r="G1580" s="74">
        <f t="shared" si="348"/>
      </c>
      <c r="H1580" s="80" t="s">
        <v>272</v>
      </c>
      <c r="I1580" s="74">
        <f t="shared" si="349"/>
      </c>
      <c r="J1580" s="74">
        <f t="shared" si="352"/>
      </c>
      <c r="K1580" s="80" t="s">
        <v>280</v>
      </c>
      <c r="L1580" s="74">
        <f t="shared" si="353"/>
      </c>
      <c r="M1580" s="74">
        <f t="shared" ca="1" si="354"/>
      </c>
      <c r="N1580" s="74">
        <f ca="1">VLOOKUP(B1580,$C$7:$T1578,13,FALSE)</f>
      </c>
      <c r="O1580" s="74">
        <f t="shared" ca="1" si="355"/>
      </c>
      <c r="P1580" s="74">
        <f t="shared" ca="1" si="356"/>
      </c>
      <c r="Q1580" s="74">
        <f t="shared" ca="1" si="357"/>
      </c>
      <c r="R1580" s="74">
        <f t="shared" si="358"/>
      </c>
      <c r="S1580" s="74">
        <f t="shared" ca="1" si="359"/>
      </c>
      <c r="T1580" s="74">
        <f t="shared" si="360"/>
      </c>
    </row>
    <row r="1581" spans="2:20" x14ac:dyDescent="0.3">
      <c r="B1581" s="74">
        <f t="shared" ca="1" si="350"/>
      </c>
      <c r="C1581" s="78">
        <f>Кабельный_журнал!P1547</f>
      </c>
      <c r="D1581" s="74">
        <f t="shared" ca="1" si="351"/>
      </c>
      <c r="E1581" s="80" t="s">
        <v>279</v>
      </c>
      <c r="F1581" s="74">
        <f t="shared" ca="1" si="347"/>
      </c>
      <c r="G1581" s="74">
        <f t="shared" si="348"/>
      </c>
      <c r="H1581" s="80" t="s">
        <v>272</v>
      </c>
      <c r="I1581" s="74">
        <f t="shared" si="349"/>
      </c>
      <c r="J1581" s="74">
        <f t="shared" si="352"/>
      </c>
      <c r="K1581" s="80" t="s">
        <v>280</v>
      </c>
      <c r="L1581" s="74">
        <f t="shared" si="353"/>
      </c>
      <c r="M1581" s="74">
        <f t="shared" ca="1" si="354"/>
      </c>
      <c r="N1581" s="74">
        <f ca="1">VLOOKUP(B1581,$C$7:$T1579,13,FALSE)</f>
      </c>
      <c r="O1581" s="74">
        <f t="shared" ca="1" si="355"/>
      </c>
      <c r="P1581" s="74">
        <f t="shared" ca="1" si="356"/>
      </c>
      <c r="Q1581" s="74">
        <f t="shared" ca="1" si="357"/>
      </c>
      <c r="R1581" s="74">
        <f t="shared" si="358"/>
      </c>
      <c r="S1581" s="74">
        <f t="shared" ca="1" si="359"/>
      </c>
      <c r="T1581" s="74">
        <f t="shared" si="360"/>
      </c>
    </row>
    <row r="1582" spans="2:20" x14ac:dyDescent="0.3">
      <c r="B1582" s="74">
        <f t="shared" ca="1" si="350"/>
      </c>
      <c r="C1582" s="78">
        <f>Кабельный_журнал!P1548</f>
      </c>
      <c r="D1582" s="74">
        <f t="shared" ca="1" si="351"/>
      </c>
      <c r="E1582" s="80" t="s">
        <v>279</v>
      </c>
      <c r="F1582" s="74">
        <f t="shared" ca="1" si="347"/>
      </c>
      <c r="G1582" s="74">
        <f t="shared" si="348"/>
      </c>
      <c r="H1582" s="80" t="s">
        <v>272</v>
      </c>
      <c r="I1582" s="74">
        <f t="shared" si="349"/>
      </c>
      <c r="J1582" s="74">
        <f t="shared" si="352"/>
      </c>
      <c r="K1582" s="80" t="s">
        <v>280</v>
      </c>
      <c r="L1582" s="74">
        <f t="shared" si="353"/>
      </c>
      <c r="M1582" s="74">
        <f t="shared" ca="1" si="354"/>
      </c>
      <c r="N1582" s="74">
        <f ca="1">VLOOKUP(B1582,$C$7:$T1580,13,FALSE)</f>
      </c>
      <c r="O1582" s="74">
        <f t="shared" ca="1" si="355"/>
      </c>
      <c r="P1582" s="74">
        <f t="shared" ca="1" si="356"/>
      </c>
      <c r="Q1582" s="74">
        <f t="shared" ca="1" si="357"/>
      </c>
      <c r="R1582" s="74">
        <f t="shared" si="358"/>
      </c>
      <c r="S1582" s="74">
        <f t="shared" ca="1" si="359"/>
      </c>
      <c r="T1582" s="74">
        <f t="shared" si="360"/>
      </c>
    </row>
    <row r="1583" spans="2:20" x14ac:dyDescent="0.3">
      <c r="B1583" s="74">
        <f t="shared" ca="1" si="350"/>
      </c>
      <c r="C1583" s="78">
        <f>Кабельный_журнал!P1549</f>
      </c>
      <c r="D1583" s="74">
        <f t="shared" ca="1" si="351"/>
      </c>
      <c r="E1583" s="80" t="s">
        <v>279</v>
      </c>
      <c r="F1583" s="74">
        <f t="shared" ca="1" si="347"/>
      </c>
      <c r="G1583" s="74">
        <f t="shared" si="348"/>
      </c>
      <c r="H1583" s="80" t="s">
        <v>272</v>
      </c>
      <c r="I1583" s="74">
        <f t="shared" si="349"/>
      </c>
      <c r="J1583" s="74">
        <f t="shared" si="352"/>
      </c>
      <c r="K1583" s="80" t="s">
        <v>280</v>
      </c>
      <c r="L1583" s="74">
        <f t="shared" si="353"/>
      </c>
      <c r="M1583" s="74">
        <f t="shared" ca="1" si="354"/>
      </c>
      <c r="N1583" s="74">
        <f ca="1">VLOOKUP(B1583,$C$7:$T1581,13,FALSE)</f>
      </c>
      <c r="O1583" s="74">
        <f t="shared" ca="1" si="355"/>
      </c>
      <c r="P1583" s="74">
        <f t="shared" ca="1" si="356"/>
      </c>
      <c r="Q1583" s="74">
        <f t="shared" ca="1" si="357"/>
      </c>
      <c r="R1583" s="74">
        <f t="shared" si="358"/>
      </c>
      <c r="S1583" s="74">
        <f t="shared" ca="1" si="359"/>
      </c>
      <c r="T1583" s="74">
        <f t="shared" si="360"/>
      </c>
    </row>
    <row r="1584" spans="2:20" x14ac:dyDescent="0.3">
      <c r="B1584" s="74">
        <f t="shared" ca="1" si="350"/>
      </c>
      <c r="C1584" s="78">
        <f>Кабельный_журнал!P1550</f>
      </c>
      <c r="D1584" s="74">
        <f t="shared" ca="1" si="351"/>
      </c>
      <c r="E1584" s="80" t="s">
        <v>279</v>
      </c>
      <c r="F1584" s="74">
        <f t="shared" ca="1" si="347"/>
      </c>
      <c r="G1584" s="74">
        <f t="shared" si="348"/>
      </c>
      <c r="H1584" s="80" t="s">
        <v>272</v>
      </c>
      <c r="I1584" s="74">
        <f t="shared" si="349"/>
      </c>
      <c r="J1584" s="74">
        <f t="shared" si="352"/>
      </c>
      <c r="K1584" s="80" t="s">
        <v>280</v>
      </c>
      <c r="L1584" s="74">
        <f t="shared" si="353"/>
      </c>
      <c r="M1584" s="74">
        <f t="shared" ca="1" si="354"/>
      </c>
      <c r="N1584" s="74">
        <f ca="1">VLOOKUP(B1584,$C$7:$T1582,13,FALSE)</f>
      </c>
      <c r="O1584" s="74">
        <f t="shared" ca="1" si="355"/>
      </c>
      <c r="P1584" s="74">
        <f t="shared" ca="1" si="356"/>
      </c>
      <c r="Q1584" s="74">
        <f t="shared" ca="1" si="357"/>
      </c>
      <c r="R1584" s="74">
        <f t="shared" si="358"/>
      </c>
      <c r="S1584" s="74">
        <f t="shared" ca="1" si="359"/>
      </c>
      <c r="T1584" s="74">
        <f t="shared" si="360"/>
      </c>
    </row>
    <row r="1585" spans="2:20" x14ac:dyDescent="0.3">
      <c r="B1585" s="74">
        <f t="shared" ca="1" si="350"/>
      </c>
      <c r="C1585" s="78">
        <f>Кабельный_журнал!P1551</f>
      </c>
      <c r="D1585" s="74">
        <f t="shared" ca="1" si="351"/>
      </c>
      <c r="E1585" s="80" t="s">
        <v>279</v>
      </c>
      <c r="F1585" s="74">
        <f t="shared" ca="1" si="347"/>
      </c>
      <c r="G1585" s="74">
        <f t="shared" si="348"/>
      </c>
      <c r="H1585" s="80" t="s">
        <v>272</v>
      </c>
      <c r="I1585" s="74">
        <f t="shared" si="349"/>
      </c>
      <c r="J1585" s="74">
        <f t="shared" si="352"/>
      </c>
      <c r="K1585" s="80" t="s">
        <v>280</v>
      </c>
      <c r="L1585" s="74">
        <f t="shared" si="353"/>
      </c>
      <c r="M1585" s="74">
        <f t="shared" ca="1" si="354"/>
      </c>
      <c r="N1585" s="74">
        <f ca="1">VLOOKUP(B1585,$C$7:$T1583,13,FALSE)</f>
      </c>
      <c r="O1585" s="74">
        <f t="shared" ca="1" si="355"/>
      </c>
      <c r="P1585" s="74">
        <f t="shared" ca="1" si="356"/>
      </c>
      <c r="Q1585" s="74">
        <f t="shared" ca="1" si="357"/>
      </c>
      <c r="R1585" s="74">
        <f t="shared" si="358"/>
      </c>
      <c r="S1585" s="74">
        <f t="shared" ca="1" si="359"/>
      </c>
      <c r="T1585" s="74">
        <f t="shared" si="360"/>
      </c>
    </row>
    <row r="1586" spans="2:20" x14ac:dyDescent="0.3">
      <c r="B1586" s="74">
        <f t="shared" ca="1" si="350"/>
      </c>
      <c r="C1586" s="78">
        <f>Кабельный_журнал!P1552</f>
      </c>
      <c r="D1586" s="74">
        <f t="shared" ca="1" si="351"/>
      </c>
      <c r="E1586" s="80" t="s">
        <v>279</v>
      </c>
      <c r="F1586" s="74">
        <f t="shared" ca="1" si="347"/>
      </c>
      <c r="G1586" s="74">
        <f t="shared" si="348"/>
      </c>
      <c r="H1586" s="80" t="s">
        <v>272</v>
      </c>
      <c r="I1586" s="74">
        <f t="shared" si="349"/>
      </c>
      <c r="J1586" s="74">
        <f t="shared" si="352"/>
      </c>
      <c r="K1586" s="80" t="s">
        <v>280</v>
      </c>
      <c r="L1586" s="74">
        <f t="shared" si="353"/>
      </c>
      <c r="M1586" s="74">
        <f t="shared" ca="1" si="354"/>
      </c>
      <c r="N1586" s="74">
        <f ca="1">VLOOKUP(B1586,$C$7:$T1584,13,FALSE)</f>
      </c>
      <c r="O1586" s="74">
        <f t="shared" ca="1" si="355"/>
      </c>
      <c r="P1586" s="74">
        <f t="shared" ca="1" si="356"/>
      </c>
      <c r="Q1586" s="74">
        <f t="shared" ca="1" si="357"/>
      </c>
      <c r="R1586" s="74">
        <f t="shared" si="358"/>
      </c>
      <c r="S1586" s="74">
        <f t="shared" ca="1" si="359"/>
      </c>
      <c r="T1586" s="74">
        <f t="shared" si="360"/>
      </c>
    </row>
    <row r="1587" spans="2:20" x14ac:dyDescent="0.3">
      <c r="B1587" s="74">
        <f t="shared" ca="1" si="350"/>
      </c>
      <c r="C1587" s="78">
        <f>Кабельный_журнал!P1553</f>
      </c>
      <c r="D1587" s="74">
        <f t="shared" ca="1" si="351"/>
      </c>
      <c r="E1587" s="80" t="s">
        <v>279</v>
      </c>
      <c r="F1587" s="74">
        <f t="shared" ca="1" si="347"/>
      </c>
      <c r="G1587" s="74">
        <f t="shared" si="348"/>
      </c>
      <c r="H1587" s="80" t="s">
        <v>272</v>
      </c>
      <c r="I1587" s="74">
        <f t="shared" si="349"/>
      </c>
      <c r="J1587" s="74">
        <f t="shared" si="352"/>
      </c>
      <c r="K1587" s="80" t="s">
        <v>280</v>
      </c>
      <c r="L1587" s="74">
        <f t="shared" si="353"/>
      </c>
      <c r="M1587" s="74">
        <f t="shared" ca="1" si="354"/>
      </c>
      <c r="N1587" s="74">
        <f ca="1">VLOOKUP(B1587,$C$7:$T1585,13,FALSE)</f>
      </c>
      <c r="O1587" s="74">
        <f t="shared" ca="1" si="355"/>
      </c>
      <c r="P1587" s="74">
        <f t="shared" ca="1" si="356"/>
      </c>
      <c r="Q1587" s="74">
        <f t="shared" ca="1" si="357"/>
      </c>
      <c r="R1587" s="74">
        <f t="shared" si="358"/>
      </c>
      <c r="S1587" s="74">
        <f t="shared" ca="1" si="359"/>
      </c>
      <c r="T1587" s="74">
        <f t="shared" si="360"/>
      </c>
    </row>
    <row r="1588" spans="2:20" x14ac:dyDescent="0.3">
      <c r="B1588" s="74">
        <f t="shared" ca="1" si="350"/>
      </c>
      <c r="C1588" s="78">
        <f>Кабельный_журнал!P1554</f>
      </c>
      <c r="D1588" s="74">
        <f t="shared" ca="1" si="351"/>
      </c>
      <c r="E1588" s="80" t="s">
        <v>279</v>
      </c>
      <c r="F1588" s="74">
        <f t="shared" ca="1" si="347"/>
      </c>
      <c r="G1588" s="74">
        <f t="shared" si="348"/>
      </c>
      <c r="H1588" s="80" t="s">
        <v>272</v>
      </c>
      <c r="I1588" s="74">
        <f t="shared" si="349"/>
      </c>
      <c r="J1588" s="74">
        <f t="shared" si="352"/>
      </c>
      <c r="K1588" s="80" t="s">
        <v>280</v>
      </c>
      <c r="L1588" s="74">
        <f t="shared" si="353"/>
      </c>
      <c r="M1588" s="74">
        <f t="shared" ca="1" si="354"/>
      </c>
      <c r="N1588" s="74">
        <f ca="1">VLOOKUP(B1588,$C$7:$T1586,13,FALSE)</f>
      </c>
      <c r="O1588" s="74">
        <f t="shared" ca="1" si="355"/>
      </c>
      <c r="P1588" s="74">
        <f t="shared" ca="1" si="356"/>
      </c>
      <c r="Q1588" s="74">
        <f t="shared" ca="1" si="357"/>
      </c>
      <c r="R1588" s="74">
        <f t="shared" si="358"/>
      </c>
      <c r="S1588" s="74">
        <f t="shared" ca="1" si="359"/>
      </c>
      <c r="T1588" s="74">
        <f t="shared" si="360"/>
      </c>
    </row>
    <row r="1589" spans="2:20" x14ac:dyDescent="0.3">
      <c r="B1589" s="74">
        <f t="shared" ca="1" si="350"/>
      </c>
      <c r="C1589" s="78">
        <f>Кабельный_журнал!P1555</f>
      </c>
      <c r="D1589" s="74">
        <f t="shared" ca="1" si="351"/>
      </c>
      <c r="E1589" s="80" t="s">
        <v>279</v>
      </c>
      <c r="F1589" s="74">
        <f t="shared" ca="1" si="347"/>
      </c>
      <c r="G1589" s="74">
        <f t="shared" si="348"/>
      </c>
      <c r="H1589" s="80" t="s">
        <v>272</v>
      </c>
      <c r="I1589" s="74">
        <f t="shared" si="349"/>
      </c>
      <c r="J1589" s="74">
        <f t="shared" si="352"/>
      </c>
      <c r="K1589" s="80" t="s">
        <v>280</v>
      </c>
      <c r="L1589" s="74">
        <f t="shared" si="353"/>
      </c>
      <c r="M1589" s="74">
        <f t="shared" ca="1" si="354"/>
      </c>
      <c r="N1589" s="74">
        <f ca="1">VLOOKUP(B1589,$C$7:$T1587,13,FALSE)</f>
      </c>
      <c r="O1589" s="74">
        <f t="shared" ca="1" si="355"/>
      </c>
      <c r="P1589" s="74">
        <f t="shared" ca="1" si="356"/>
      </c>
      <c r="Q1589" s="74">
        <f t="shared" ca="1" si="357"/>
      </c>
      <c r="R1589" s="74">
        <f t="shared" si="358"/>
      </c>
      <c r="S1589" s="74">
        <f t="shared" ca="1" si="359"/>
      </c>
      <c r="T1589" s="74">
        <f t="shared" si="360"/>
      </c>
    </row>
    <row r="1590" spans="2:20" x14ac:dyDescent="0.3">
      <c r="B1590" s="74">
        <f t="shared" ca="1" si="350"/>
      </c>
      <c r="C1590" s="78">
        <f>Кабельный_журнал!P1556</f>
      </c>
      <c r="D1590" s="74">
        <f t="shared" ca="1" si="351"/>
      </c>
      <c r="E1590" s="80" t="s">
        <v>279</v>
      </c>
      <c r="F1590" s="74">
        <f t="shared" ca="1" si="347"/>
      </c>
      <c r="G1590" s="74">
        <f t="shared" si="348"/>
      </c>
      <c r="H1590" s="80" t="s">
        <v>272</v>
      </c>
      <c r="I1590" s="74">
        <f t="shared" si="349"/>
      </c>
      <c r="J1590" s="74">
        <f t="shared" si="352"/>
      </c>
      <c r="K1590" s="80" t="s">
        <v>280</v>
      </c>
      <c r="L1590" s="74">
        <f t="shared" si="353"/>
      </c>
      <c r="M1590" s="74">
        <f t="shared" ca="1" si="354"/>
      </c>
      <c r="N1590" s="74">
        <f ca="1">VLOOKUP(B1590,$C$7:$T1588,13,FALSE)</f>
      </c>
      <c r="O1590" s="74">
        <f t="shared" ca="1" si="355"/>
      </c>
      <c r="P1590" s="74">
        <f t="shared" ca="1" si="356"/>
      </c>
      <c r="Q1590" s="74">
        <f t="shared" ca="1" si="357"/>
      </c>
      <c r="R1590" s="74">
        <f t="shared" si="358"/>
      </c>
      <c r="S1590" s="74">
        <f t="shared" ca="1" si="359"/>
      </c>
      <c r="T1590" s="74">
        <f t="shared" si="360"/>
      </c>
    </row>
    <row r="1591" spans="2:20" x14ac:dyDescent="0.3">
      <c r="B1591" s="74">
        <f t="shared" ca="1" si="350"/>
      </c>
      <c r="C1591" s="78">
        <f>Кабельный_журнал!P1557</f>
      </c>
      <c r="D1591" s="74">
        <f t="shared" ca="1" si="351"/>
      </c>
      <c r="E1591" s="80" t="s">
        <v>279</v>
      </c>
      <c r="F1591" s="74">
        <f t="shared" ca="1" si="347"/>
      </c>
      <c r="G1591" s="74">
        <f t="shared" si="348"/>
      </c>
      <c r="H1591" s="80" t="s">
        <v>272</v>
      </c>
      <c r="I1591" s="74">
        <f t="shared" si="349"/>
      </c>
      <c r="J1591" s="74">
        <f t="shared" si="352"/>
      </c>
      <c r="K1591" s="80" t="s">
        <v>280</v>
      </c>
      <c r="L1591" s="74">
        <f t="shared" si="353"/>
      </c>
      <c r="M1591" s="74">
        <f t="shared" ca="1" si="354"/>
      </c>
      <c r="N1591" s="74">
        <f ca="1">VLOOKUP(B1591,$C$7:$T1589,13,FALSE)</f>
      </c>
      <c r="O1591" s="74">
        <f t="shared" ca="1" si="355"/>
      </c>
      <c r="P1591" s="74">
        <f t="shared" ca="1" si="356"/>
      </c>
      <c r="Q1591" s="74">
        <f t="shared" ca="1" si="357"/>
      </c>
      <c r="R1591" s="74">
        <f t="shared" si="358"/>
      </c>
      <c r="S1591" s="74">
        <f t="shared" ca="1" si="359"/>
      </c>
      <c r="T1591" s="74">
        <f t="shared" si="360"/>
      </c>
    </row>
    <row r="1592" spans="2:20" x14ac:dyDescent="0.3">
      <c r="B1592" s="74">
        <f t="shared" ca="1" si="350"/>
      </c>
      <c r="C1592" s="78">
        <f>Кабельный_журнал!P1558</f>
      </c>
      <c r="D1592" s="74">
        <f t="shared" ca="1" si="351"/>
      </c>
      <c r="E1592" s="80" t="s">
        <v>279</v>
      </c>
      <c r="F1592" s="74">
        <f t="shared" ca="1" si="347"/>
      </c>
      <c r="G1592" s="74">
        <f t="shared" si="348"/>
      </c>
      <c r="H1592" s="80" t="s">
        <v>272</v>
      </c>
      <c r="I1592" s="74">
        <f t="shared" si="349"/>
      </c>
      <c r="J1592" s="74">
        <f t="shared" si="352"/>
      </c>
      <c r="K1592" s="80" t="s">
        <v>280</v>
      </c>
      <c r="L1592" s="74">
        <f t="shared" si="353"/>
      </c>
      <c r="M1592" s="74">
        <f t="shared" ca="1" si="354"/>
      </c>
      <c r="N1592" s="74">
        <f ca="1">VLOOKUP(B1592,$C$7:$T1590,13,FALSE)</f>
      </c>
      <c r="O1592" s="74">
        <f t="shared" ca="1" si="355"/>
      </c>
      <c r="P1592" s="74">
        <f t="shared" ca="1" si="356"/>
      </c>
      <c r="Q1592" s="74">
        <f t="shared" ca="1" si="357"/>
      </c>
      <c r="R1592" s="74">
        <f t="shared" si="358"/>
      </c>
      <c r="S1592" s="74">
        <f t="shared" ca="1" si="359"/>
      </c>
      <c r="T1592" s="74">
        <f t="shared" si="360"/>
      </c>
    </row>
    <row r="1593" spans="2:20" x14ac:dyDescent="0.3">
      <c r="B1593" s="74">
        <f t="shared" ca="1" si="350"/>
      </c>
      <c r="C1593" s="78">
        <f>Кабельный_журнал!P1559</f>
      </c>
      <c r="D1593" s="74">
        <f t="shared" ca="1" si="351"/>
      </c>
      <c r="E1593" s="80" t="s">
        <v>279</v>
      </c>
      <c r="F1593" s="74">
        <f t="shared" ca="1" si="347"/>
      </c>
      <c r="G1593" s="74">
        <f t="shared" si="348"/>
      </c>
      <c r="H1593" s="80" t="s">
        <v>272</v>
      </c>
      <c r="I1593" s="74">
        <f t="shared" si="349"/>
      </c>
      <c r="J1593" s="74">
        <f t="shared" si="352"/>
      </c>
      <c r="K1593" s="80" t="s">
        <v>280</v>
      </c>
      <c r="L1593" s="74">
        <f t="shared" si="353"/>
      </c>
      <c r="M1593" s="74">
        <f t="shared" ca="1" si="354"/>
      </c>
      <c r="N1593" s="74">
        <f ca="1">VLOOKUP(B1593,$C$7:$T1591,13,FALSE)</f>
      </c>
      <c r="O1593" s="74">
        <f t="shared" ca="1" si="355"/>
      </c>
      <c r="P1593" s="74">
        <f t="shared" ca="1" si="356"/>
      </c>
      <c r="Q1593" s="74">
        <f t="shared" ca="1" si="357"/>
      </c>
      <c r="R1593" s="74">
        <f t="shared" si="358"/>
      </c>
      <c r="S1593" s="74">
        <f t="shared" ca="1" si="359"/>
      </c>
      <c r="T1593" s="74">
        <f t="shared" si="360"/>
      </c>
    </row>
    <row r="1594" spans="2:20" x14ac:dyDescent="0.3">
      <c r="B1594" s="74">
        <f t="shared" ca="1" si="350"/>
      </c>
      <c r="C1594" s="78">
        <f>Кабельный_журнал!P1560</f>
      </c>
      <c r="D1594" s="74">
        <f t="shared" ca="1" si="351"/>
      </c>
      <c r="E1594" s="80" t="s">
        <v>279</v>
      </c>
      <c r="F1594" s="74">
        <f t="shared" ca="1" si="347"/>
      </c>
      <c r="G1594" s="74">
        <f t="shared" si="348"/>
      </c>
      <c r="H1594" s="80" t="s">
        <v>272</v>
      </c>
      <c r="I1594" s="74">
        <f t="shared" si="349"/>
      </c>
      <c r="J1594" s="74">
        <f t="shared" si="352"/>
      </c>
      <c r="K1594" s="80" t="s">
        <v>280</v>
      </c>
      <c r="L1594" s="74">
        <f t="shared" si="353"/>
      </c>
      <c r="M1594" s="74">
        <f t="shared" ca="1" si="354"/>
      </c>
      <c r="N1594" s="74">
        <f ca="1">VLOOKUP(B1594,$C$7:$T1592,13,FALSE)</f>
      </c>
      <c r="O1594" s="74">
        <f t="shared" ca="1" si="355"/>
      </c>
      <c r="P1594" s="74">
        <f t="shared" ca="1" si="356"/>
      </c>
      <c r="Q1594" s="74">
        <f t="shared" ca="1" si="357"/>
      </c>
      <c r="R1594" s="74">
        <f t="shared" si="358"/>
      </c>
      <c r="S1594" s="74">
        <f t="shared" ca="1" si="359"/>
      </c>
      <c r="T1594" s="74">
        <f t="shared" si="360"/>
      </c>
    </row>
    <row r="1595" spans="2:20" x14ac:dyDescent="0.3">
      <c r="B1595" s="74">
        <f t="shared" ca="1" si="350"/>
      </c>
      <c r="C1595" s="78">
        <f>Кабельный_журнал!P1561</f>
      </c>
      <c r="D1595" s="74">
        <f t="shared" ca="1" si="351"/>
      </c>
      <c r="E1595" s="80" t="s">
        <v>279</v>
      </c>
      <c r="F1595" s="74">
        <f t="shared" ca="1" si="347"/>
      </c>
      <c r="G1595" s="74">
        <f t="shared" si="348"/>
      </c>
      <c r="H1595" s="80" t="s">
        <v>272</v>
      </c>
      <c r="I1595" s="74">
        <f t="shared" si="349"/>
      </c>
      <c r="J1595" s="74">
        <f t="shared" si="352"/>
      </c>
      <c r="K1595" s="80" t="s">
        <v>280</v>
      </c>
      <c r="L1595" s="74">
        <f t="shared" si="353"/>
      </c>
      <c r="M1595" s="74">
        <f t="shared" ca="1" si="354"/>
      </c>
      <c r="N1595" s="74">
        <f ca="1">VLOOKUP(B1595,$C$7:$T1593,13,FALSE)</f>
      </c>
      <c r="O1595" s="74">
        <f t="shared" ca="1" si="355"/>
      </c>
      <c r="P1595" s="74">
        <f t="shared" ca="1" si="356"/>
      </c>
      <c r="Q1595" s="74">
        <f t="shared" ca="1" si="357"/>
      </c>
      <c r="R1595" s="74">
        <f t="shared" si="358"/>
      </c>
      <c r="S1595" s="74">
        <f t="shared" ca="1" si="359"/>
      </c>
      <c r="T1595" s="74">
        <f t="shared" si="360"/>
      </c>
    </row>
    <row r="1596" spans="2:20" x14ac:dyDescent="0.3">
      <c r="B1596" s="74">
        <f t="shared" ca="1" si="350"/>
      </c>
      <c r="C1596" s="78">
        <f>Кабельный_журнал!P1562</f>
      </c>
      <c r="D1596" s="74">
        <f t="shared" ca="1" si="351"/>
      </c>
      <c r="E1596" s="80" t="s">
        <v>279</v>
      </c>
      <c r="F1596" s="74">
        <f t="shared" ca="1" si="347"/>
      </c>
      <c r="G1596" s="74">
        <f t="shared" si="348"/>
      </c>
      <c r="H1596" s="80" t="s">
        <v>272</v>
      </c>
      <c r="I1596" s="74">
        <f t="shared" si="349"/>
      </c>
      <c r="J1596" s="74">
        <f t="shared" si="352"/>
      </c>
      <c r="K1596" s="80" t="s">
        <v>280</v>
      </c>
      <c r="L1596" s="74">
        <f t="shared" si="353"/>
      </c>
      <c r="M1596" s="74">
        <f t="shared" ca="1" si="354"/>
      </c>
      <c r="N1596" s="74">
        <f ca="1">VLOOKUP(B1596,$C$7:$T1594,13,FALSE)</f>
      </c>
      <c r="O1596" s="74">
        <f t="shared" ca="1" si="355"/>
      </c>
      <c r="P1596" s="74">
        <f t="shared" ca="1" si="356"/>
      </c>
      <c r="Q1596" s="74">
        <f t="shared" ca="1" si="357"/>
      </c>
      <c r="R1596" s="74">
        <f t="shared" si="358"/>
      </c>
      <c r="S1596" s="74">
        <f t="shared" ca="1" si="359"/>
      </c>
      <c r="T1596" s="74">
        <f t="shared" si="360"/>
      </c>
    </row>
    <row r="1597" spans="2:20" x14ac:dyDescent="0.3">
      <c r="B1597" s="74">
        <f t="shared" ca="1" si="350"/>
      </c>
      <c r="C1597" s="78">
        <f>Кабельный_журнал!P1563</f>
      </c>
      <c r="D1597" s="74">
        <f t="shared" ca="1" si="351"/>
      </c>
      <c r="E1597" s="80" t="s">
        <v>279</v>
      </c>
      <c r="F1597" s="74">
        <f t="shared" ca="1" si="347"/>
      </c>
      <c r="G1597" s="74">
        <f t="shared" si="348"/>
      </c>
      <c r="H1597" s="80" t="s">
        <v>272</v>
      </c>
      <c r="I1597" s="74">
        <f t="shared" si="349"/>
      </c>
      <c r="J1597" s="74">
        <f t="shared" si="352"/>
      </c>
      <c r="K1597" s="80" t="s">
        <v>280</v>
      </c>
      <c r="L1597" s="74">
        <f t="shared" si="353"/>
      </c>
      <c r="M1597" s="74">
        <f t="shared" ca="1" si="354"/>
      </c>
      <c r="N1597" s="74">
        <f ca="1">VLOOKUP(B1597,$C$7:$T1595,13,FALSE)</f>
      </c>
      <c r="O1597" s="74">
        <f t="shared" ca="1" si="355"/>
      </c>
      <c r="P1597" s="74">
        <f t="shared" ca="1" si="356"/>
      </c>
      <c r="Q1597" s="74">
        <f t="shared" ca="1" si="357"/>
      </c>
      <c r="R1597" s="74">
        <f t="shared" si="358"/>
      </c>
      <c r="S1597" s="74">
        <f t="shared" ca="1" si="359"/>
      </c>
      <c r="T1597" s="74">
        <f t="shared" si="360"/>
      </c>
    </row>
    <row r="1598" spans="2:20" x14ac:dyDescent="0.3">
      <c r="B1598" s="74">
        <f t="shared" ca="1" si="350"/>
      </c>
      <c r="C1598" s="78">
        <f>Кабельный_журнал!P1564</f>
      </c>
      <c r="D1598" s="74">
        <f t="shared" ca="1" si="351"/>
      </c>
      <c r="E1598" s="80" t="s">
        <v>279</v>
      </c>
      <c r="F1598" s="74">
        <f t="shared" ca="1" si="347"/>
      </c>
      <c r="G1598" s="74">
        <f t="shared" si="348"/>
      </c>
      <c r="H1598" s="80" t="s">
        <v>272</v>
      </c>
      <c r="I1598" s="74">
        <f t="shared" si="349"/>
      </c>
      <c r="J1598" s="74">
        <f t="shared" si="352"/>
      </c>
      <c r="K1598" s="80" t="s">
        <v>280</v>
      </c>
      <c r="L1598" s="74">
        <f t="shared" si="353"/>
      </c>
      <c r="M1598" s="74">
        <f t="shared" ca="1" si="354"/>
      </c>
      <c r="N1598" s="74">
        <f ca="1">VLOOKUP(B1598,$C$7:$T1596,13,FALSE)</f>
      </c>
      <c r="O1598" s="74">
        <f t="shared" ca="1" si="355"/>
      </c>
      <c r="P1598" s="74">
        <f t="shared" ca="1" si="356"/>
      </c>
      <c r="Q1598" s="74">
        <f t="shared" ca="1" si="357"/>
      </c>
      <c r="R1598" s="74">
        <f t="shared" si="358"/>
      </c>
      <c r="S1598" s="74">
        <f t="shared" ca="1" si="359"/>
      </c>
      <c r="T1598" s="74">
        <f t="shared" si="360"/>
      </c>
    </row>
    <row r="1599" spans="2:20" x14ac:dyDescent="0.3">
      <c r="B1599" s="74">
        <f t="shared" ca="1" si="350"/>
      </c>
      <c r="C1599" s="78">
        <f>Кабельный_журнал!P1565</f>
      </c>
      <c r="D1599" s="74">
        <f t="shared" ca="1" si="351"/>
      </c>
      <c r="E1599" s="80" t="s">
        <v>279</v>
      </c>
      <c r="F1599" s="74">
        <f t="shared" ca="1" si="347"/>
      </c>
      <c r="G1599" s="74">
        <f t="shared" si="348"/>
      </c>
      <c r="H1599" s="80" t="s">
        <v>272</v>
      </c>
      <c r="I1599" s="74">
        <f t="shared" si="349"/>
      </c>
      <c r="J1599" s="74">
        <f t="shared" si="352"/>
      </c>
      <c r="K1599" s="80" t="s">
        <v>280</v>
      </c>
      <c r="L1599" s="74">
        <f t="shared" si="353"/>
      </c>
      <c r="M1599" s="74">
        <f t="shared" ca="1" si="354"/>
      </c>
      <c r="N1599" s="74">
        <f ca="1">VLOOKUP(B1599,$C$7:$T1597,13,FALSE)</f>
      </c>
      <c r="O1599" s="74">
        <f t="shared" ca="1" si="355"/>
      </c>
      <c r="P1599" s="74">
        <f t="shared" ca="1" si="356"/>
      </c>
      <c r="Q1599" s="74">
        <f t="shared" ca="1" si="357"/>
      </c>
      <c r="R1599" s="74">
        <f t="shared" si="358"/>
      </c>
      <c r="S1599" s="74">
        <f t="shared" ca="1" si="359"/>
      </c>
      <c r="T1599" s="74">
        <f t="shared" si="360"/>
      </c>
    </row>
    <row r="1600" spans="2:20" x14ac:dyDescent="0.3">
      <c r="B1600" s="74">
        <f t="shared" ca="1" si="350"/>
      </c>
      <c r="C1600" s="78">
        <f>Кабельный_журнал!P1566</f>
      </c>
      <c r="D1600" s="74">
        <f t="shared" ca="1" si="351"/>
      </c>
      <c r="E1600" s="80" t="s">
        <v>279</v>
      </c>
      <c r="F1600" s="74">
        <f t="shared" ca="1" si="347"/>
      </c>
      <c r="G1600" s="74">
        <f t="shared" si="348"/>
      </c>
      <c r="H1600" s="80" t="s">
        <v>272</v>
      </c>
      <c r="I1600" s="74">
        <f t="shared" si="349"/>
      </c>
      <c r="J1600" s="74">
        <f t="shared" si="352"/>
      </c>
      <c r="K1600" s="80" t="s">
        <v>280</v>
      </c>
      <c r="L1600" s="74">
        <f t="shared" si="353"/>
      </c>
      <c r="M1600" s="74">
        <f t="shared" ca="1" si="354"/>
      </c>
      <c r="N1600" s="74">
        <f ca="1">VLOOKUP(B1600,$C$7:$T1598,13,FALSE)</f>
      </c>
      <c r="O1600" s="74">
        <f t="shared" ca="1" si="355"/>
      </c>
      <c r="P1600" s="74">
        <f t="shared" ca="1" si="356"/>
      </c>
      <c r="Q1600" s="74">
        <f t="shared" ca="1" si="357"/>
      </c>
      <c r="R1600" s="74">
        <f t="shared" si="358"/>
      </c>
      <c r="S1600" s="74">
        <f t="shared" ca="1" si="359"/>
      </c>
      <c r="T1600" s="74">
        <f t="shared" si="360"/>
      </c>
    </row>
    <row r="1601" spans="2:20" x14ac:dyDescent="0.3">
      <c r="B1601" s="74">
        <f t="shared" ca="1" si="350"/>
      </c>
      <c r="C1601" s="78">
        <f>Кабельный_журнал!P1567</f>
      </c>
      <c r="D1601" s="74">
        <f t="shared" ca="1" si="351"/>
      </c>
      <c r="E1601" s="80" t="s">
        <v>279</v>
      </c>
      <c r="F1601" s="74">
        <f t="shared" ca="1" si="347"/>
      </c>
      <c r="G1601" s="74">
        <f t="shared" si="348"/>
      </c>
      <c r="H1601" s="80" t="s">
        <v>272</v>
      </c>
      <c r="I1601" s="74">
        <f t="shared" si="349"/>
      </c>
      <c r="J1601" s="74">
        <f t="shared" si="352"/>
      </c>
      <c r="K1601" s="80" t="s">
        <v>280</v>
      </c>
      <c r="L1601" s="74">
        <f t="shared" si="353"/>
      </c>
      <c r="M1601" s="74">
        <f t="shared" ca="1" si="354"/>
      </c>
      <c r="N1601" s="74">
        <f ca="1">VLOOKUP(B1601,$C$7:$T1599,13,FALSE)</f>
      </c>
      <c r="O1601" s="74">
        <f t="shared" ca="1" si="355"/>
      </c>
      <c r="P1601" s="74">
        <f t="shared" ca="1" si="356"/>
      </c>
      <c r="Q1601" s="74">
        <f t="shared" ca="1" si="357"/>
      </c>
      <c r="R1601" s="74">
        <f t="shared" si="358"/>
      </c>
      <c r="S1601" s="74">
        <f t="shared" ca="1" si="359"/>
      </c>
      <c r="T1601" s="74">
        <f t="shared" si="360"/>
      </c>
    </row>
    <row r="1602" spans="2:20" x14ac:dyDescent="0.3">
      <c r="B1602" s="74">
        <f t="shared" ca="1" si="350"/>
      </c>
      <c r="C1602" s="78">
        <f>Кабельный_журнал!P1568</f>
      </c>
      <c r="D1602" s="74">
        <f t="shared" ca="1" si="351"/>
      </c>
      <c r="E1602" s="80" t="s">
        <v>279</v>
      </c>
      <c r="F1602" s="74">
        <f t="shared" ca="1" si="347"/>
      </c>
      <c r="G1602" s="74">
        <f t="shared" si="348"/>
      </c>
      <c r="H1602" s="80" t="s">
        <v>272</v>
      </c>
      <c r="I1602" s="74">
        <f t="shared" si="349"/>
      </c>
      <c r="J1602" s="74">
        <f t="shared" si="352"/>
      </c>
      <c r="K1602" s="80" t="s">
        <v>280</v>
      </c>
      <c r="L1602" s="74">
        <f t="shared" si="353"/>
      </c>
      <c r="M1602" s="74">
        <f t="shared" ca="1" si="354"/>
      </c>
      <c r="N1602" s="74">
        <f ca="1">VLOOKUP(B1602,$C$7:$T1600,13,FALSE)</f>
      </c>
      <c r="O1602" s="74">
        <f t="shared" ca="1" si="355"/>
      </c>
      <c r="P1602" s="74">
        <f t="shared" ca="1" si="356"/>
      </c>
      <c r="Q1602" s="74">
        <f t="shared" ca="1" si="357"/>
      </c>
      <c r="R1602" s="74">
        <f t="shared" si="358"/>
      </c>
      <c r="S1602" s="74">
        <f t="shared" ca="1" si="359"/>
      </c>
      <c r="T1602" s="74">
        <f t="shared" si="360"/>
      </c>
    </row>
    <row r="1603" spans="2:20" x14ac:dyDescent="0.3">
      <c r="B1603" s="74">
        <f t="shared" ca="1" si="350"/>
      </c>
      <c r="C1603" s="78">
        <f>Кабельный_журнал!P1569</f>
      </c>
      <c r="D1603" s="74">
        <f t="shared" ca="1" si="351"/>
      </c>
      <c r="E1603" s="80" t="s">
        <v>279</v>
      </c>
      <c r="F1603" s="74">
        <f t="shared" ca="1" si="347"/>
      </c>
      <c r="G1603" s="74">
        <f t="shared" si="348"/>
      </c>
      <c r="H1603" s="80" t="s">
        <v>272</v>
      </c>
      <c r="I1603" s="74">
        <f t="shared" si="349"/>
      </c>
      <c r="J1603" s="74">
        <f t="shared" si="352"/>
      </c>
      <c r="K1603" s="80" t="s">
        <v>280</v>
      </c>
      <c r="L1603" s="74">
        <f t="shared" si="353"/>
      </c>
      <c r="M1603" s="74">
        <f t="shared" ca="1" si="354"/>
      </c>
      <c r="N1603" s="74">
        <f ca="1">VLOOKUP(B1603,$C$7:$T1601,13,FALSE)</f>
      </c>
      <c r="O1603" s="74">
        <f t="shared" ca="1" si="355"/>
      </c>
      <c r="P1603" s="74">
        <f t="shared" ca="1" si="356"/>
      </c>
      <c r="Q1603" s="74">
        <f t="shared" ca="1" si="357"/>
      </c>
      <c r="R1603" s="74">
        <f t="shared" si="358"/>
      </c>
      <c r="S1603" s="74">
        <f t="shared" ca="1" si="359"/>
      </c>
      <c r="T1603" s="74">
        <f t="shared" si="360"/>
      </c>
    </row>
    <row r="1604" spans="2:20" x14ac:dyDescent="0.3">
      <c r="B1604" s="74">
        <f t="shared" ca="1" si="350"/>
      </c>
      <c r="C1604" s="78">
        <f>Кабельный_журнал!P1570</f>
      </c>
      <c r="D1604" s="74">
        <f t="shared" ca="1" si="351"/>
      </c>
      <c r="E1604" s="80" t="s">
        <v>279</v>
      </c>
      <c r="F1604" s="74">
        <f t="shared" ca="1" si="347"/>
      </c>
      <c r="G1604" s="74">
        <f t="shared" si="348"/>
      </c>
      <c r="H1604" s="80" t="s">
        <v>272</v>
      </c>
      <c r="I1604" s="74">
        <f t="shared" si="349"/>
      </c>
      <c r="J1604" s="74">
        <f t="shared" si="352"/>
      </c>
      <c r="K1604" s="80" t="s">
        <v>280</v>
      </c>
      <c r="L1604" s="74">
        <f t="shared" si="353"/>
      </c>
      <c r="M1604" s="74">
        <f t="shared" ca="1" si="354"/>
      </c>
      <c r="N1604" s="74">
        <f ca="1">VLOOKUP(B1604,$C$7:$T1602,13,FALSE)</f>
      </c>
      <c r="O1604" s="74">
        <f t="shared" ca="1" si="355"/>
      </c>
      <c r="P1604" s="74">
        <f t="shared" ca="1" si="356"/>
      </c>
      <c r="Q1604" s="74">
        <f t="shared" ca="1" si="357"/>
      </c>
      <c r="R1604" s="74">
        <f t="shared" si="358"/>
      </c>
      <c r="S1604" s="74">
        <f t="shared" ca="1" si="359"/>
      </c>
      <c r="T1604" s="74">
        <f t="shared" si="360"/>
      </c>
    </row>
    <row r="1605" spans="2:20" x14ac:dyDescent="0.3">
      <c r="B1605" s="74">
        <f t="shared" ca="1" si="350"/>
      </c>
      <c r="C1605" s="78">
        <f>Кабельный_журнал!P1571</f>
      </c>
      <c r="D1605" s="74">
        <f t="shared" ca="1" si="351"/>
      </c>
      <c r="E1605" s="80" t="s">
        <v>279</v>
      </c>
      <c r="F1605" s="74">
        <f t="shared" ca="1" si="347"/>
      </c>
      <c r="G1605" s="74">
        <f t="shared" si="348"/>
      </c>
      <c r="H1605" s="80" t="s">
        <v>272</v>
      </c>
      <c r="I1605" s="74">
        <f t="shared" si="349"/>
      </c>
      <c r="J1605" s="74">
        <f t="shared" si="352"/>
      </c>
      <c r="K1605" s="80" t="s">
        <v>280</v>
      </c>
      <c r="L1605" s="74">
        <f t="shared" si="353"/>
      </c>
      <c r="M1605" s="74">
        <f t="shared" ca="1" si="354"/>
      </c>
      <c r="N1605" s="74">
        <f ca="1">VLOOKUP(B1605,$C$7:$T1603,13,FALSE)</f>
      </c>
      <c r="O1605" s="74">
        <f t="shared" ca="1" si="355"/>
      </c>
      <c r="P1605" s="74">
        <f t="shared" ca="1" si="356"/>
      </c>
      <c r="Q1605" s="74">
        <f t="shared" ca="1" si="357"/>
      </c>
      <c r="R1605" s="74">
        <f t="shared" si="358"/>
      </c>
      <c r="S1605" s="74">
        <f t="shared" ca="1" si="359"/>
      </c>
      <c r="T1605" s="74">
        <f t="shared" si="360"/>
      </c>
    </row>
    <row r="1606" spans="2:20" x14ac:dyDescent="0.3">
      <c r="B1606" s="74">
        <f t="shared" ca="1" si="350"/>
      </c>
      <c r="C1606" s="78">
        <f>Кабельный_журнал!P1572</f>
      </c>
      <c r="D1606" s="74">
        <f t="shared" ca="1" si="351"/>
      </c>
      <c r="E1606" s="80" t="s">
        <v>279</v>
      </c>
      <c r="F1606" s="74">
        <f t="shared" ca="1" si="347"/>
      </c>
      <c r="G1606" s="74">
        <f t="shared" si="348"/>
      </c>
      <c r="H1606" s="80" t="s">
        <v>272</v>
      </c>
      <c r="I1606" s="74">
        <f t="shared" si="349"/>
      </c>
      <c r="J1606" s="74">
        <f t="shared" si="352"/>
      </c>
      <c r="K1606" s="80" t="s">
        <v>280</v>
      </c>
      <c r="L1606" s="74">
        <f t="shared" si="353"/>
      </c>
      <c r="M1606" s="74">
        <f t="shared" ca="1" si="354"/>
      </c>
      <c r="N1606" s="74">
        <f ca="1">VLOOKUP(B1606,$C$7:$T1604,13,FALSE)</f>
      </c>
      <c r="O1606" s="74">
        <f t="shared" ca="1" si="355"/>
      </c>
      <c r="P1606" s="74">
        <f t="shared" ca="1" si="356"/>
      </c>
      <c r="Q1606" s="74">
        <f t="shared" ca="1" si="357"/>
      </c>
      <c r="R1606" s="74">
        <f t="shared" si="358"/>
      </c>
      <c r="S1606" s="74">
        <f t="shared" ca="1" si="359"/>
      </c>
      <c r="T1606" s="74">
        <f t="shared" si="360"/>
      </c>
    </row>
    <row r="1607" spans="2:20" x14ac:dyDescent="0.3">
      <c r="B1607" s="74">
        <f t="shared" ca="1" si="350"/>
      </c>
      <c r="C1607" s="78">
        <f>Кабельный_журнал!P1573</f>
      </c>
      <c r="D1607" s="74">
        <f t="shared" ca="1" si="351"/>
      </c>
      <c r="E1607" s="80" t="s">
        <v>279</v>
      </c>
      <c r="F1607" s="74">
        <f t="shared" ca="1" si="347"/>
      </c>
      <c r="G1607" s="74">
        <f t="shared" si="348"/>
      </c>
      <c r="H1607" s="80" t="s">
        <v>272</v>
      </c>
      <c r="I1607" s="74">
        <f t="shared" si="349"/>
      </c>
      <c r="J1607" s="74">
        <f t="shared" si="352"/>
      </c>
      <c r="K1607" s="80" t="s">
        <v>280</v>
      </c>
      <c r="L1607" s="74">
        <f t="shared" si="353"/>
      </c>
      <c r="M1607" s="74">
        <f t="shared" ca="1" si="354"/>
      </c>
      <c r="N1607" s="74">
        <f ca="1">VLOOKUP(B1607,$C$7:$T1605,13,FALSE)</f>
      </c>
      <c r="O1607" s="74">
        <f t="shared" ca="1" si="355"/>
      </c>
      <c r="P1607" s="74">
        <f t="shared" ca="1" si="356"/>
      </c>
      <c r="Q1607" s="74">
        <f t="shared" ca="1" si="357"/>
      </c>
      <c r="R1607" s="74">
        <f t="shared" si="358"/>
      </c>
      <c r="S1607" s="74">
        <f t="shared" ca="1" si="359"/>
      </c>
      <c r="T1607" s="74">
        <f t="shared" si="360"/>
      </c>
    </row>
    <row r="1608" spans="2:20" x14ac:dyDescent="0.3">
      <c r="B1608" s="74">
        <f t="shared" ca="1" si="350"/>
      </c>
      <c r="C1608" s="78">
        <f>Кабельный_журнал!P1574</f>
      </c>
      <c r="D1608" s="74">
        <f t="shared" ca="1" si="351"/>
      </c>
      <c r="E1608" s="80" t="s">
        <v>279</v>
      </c>
      <c r="F1608" s="74">
        <f t="shared" ca="1" si="347"/>
      </c>
      <c r="G1608" s="74">
        <f t="shared" si="348"/>
      </c>
      <c r="H1608" s="80" t="s">
        <v>272</v>
      </c>
      <c r="I1608" s="74">
        <f t="shared" si="349"/>
      </c>
      <c r="J1608" s="74">
        <f t="shared" si="352"/>
      </c>
      <c r="K1608" s="80" t="s">
        <v>280</v>
      </c>
      <c r="L1608" s="74">
        <f t="shared" si="353"/>
      </c>
      <c r="M1608" s="74">
        <f t="shared" ca="1" si="354"/>
      </c>
      <c r="N1608" s="74">
        <f ca="1">VLOOKUP(B1608,$C$7:$T1606,13,FALSE)</f>
      </c>
      <c r="O1608" s="74">
        <f t="shared" ca="1" si="355"/>
      </c>
      <c r="P1608" s="74">
        <f t="shared" ca="1" si="356"/>
      </c>
      <c r="Q1608" s="74">
        <f t="shared" ca="1" si="357"/>
      </c>
      <c r="R1608" s="74">
        <f t="shared" si="358"/>
      </c>
      <c r="S1608" s="74">
        <f t="shared" ca="1" si="359"/>
      </c>
      <c r="T1608" s="74">
        <f t="shared" si="360"/>
      </c>
    </row>
    <row r="1609" spans="2:20" x14ac:dyDescent="0.3">
      <c r="B1609" s="74">
        <f t="shared" ca="1" si="350"/>
      </c>
      <c r="C1609" s="78">
        <f>Кабельный_журнал!P1575</f>
      </c>
      <c r="D1609" s="74">
        <f t="shared" ca="1" si="351"/>
      </c>
      <c r="E1609" s="80" t="s">
        <v>279</v>
      </c>
      <c r="F1609" s="74">
        <f t="shared" ca="1" si="347"/>
      </c>
      <c r="G1609" s="74">
        <f t="shared" si="348"/>
      </c>
      <c r="H1609" s="80" t="s">
        <v>272</v>
      </c>
      <c r="I1609" s="74">
        <f t="shared" si="349"/>
      </c>
      <c r="J1609" s="74">
        <f t="shared" si="352"/>
      </c>
      <c r="K1609" s="80" t="s">
        <v>280</v>
      </c>
      <c r="L1609" s="74">
        <f t="shared" si="353"/>
      </c>
      <c r="M1609" s="74">
        <f t="shared" ca="1" si="354"/>
      </c>
      <c r="N1609" s="74">
        <f ca="1">VLOOKUP(B1609,$C$7:$T1607,13,FALSE)</f>
      </c>
      <c r="O1609" s="74">
        <f t="shared" ca="1" si="355"/>
      </c>
      <c r="P1609" s="74">
        <f t="shared" ca="1" si="356"/>
      </c>
      <c r="Q1609" s="74">
        <f t="shared" ca="1" si="357"/>
      </c>
      <c r="R1609" s="74">
        <f t="shared" si="358"/>
      </c>
      <c r="S1609" s="74">
        <f t="shared" ca="1" si="359"/>
      </c>
      <c r="T1609" s="74">
        <f t="shared" si="360"/>
      </c>
    </row>
    <row r="1610" spans="2:20" x14ac:dyDescent="0.3">
      <c r="B1610" s="74">
        <f t="shared" ca="1" si="350"/>
      </c>
      <c r="C1610" s="78">
        <f>Кабельный_журнал!P1576</f>
      </c>
      <c r="D1610" s="74">
        <f t="shared" ca="1" si="351"/>
      </c>
      <c r="E1610" s="80" t="s">
        <v>279</v>
      </c>
      <c r="F1610" s="74">
        <f t="shared" ca="1" si="347"/>
      </c>
      <c r="G1610" s="74">
        <f t="shared" si="348"/>
      </c>
      <c r="H1610" s="80" t="s">
        <v>272</v>
      </c>
      <c r="I1610" s="74">
        <f t="shared" si="349"/>
      </c>
      <c r="J1610" s="74">
        <f t="shared" si="352"/>
      </c>
      <c r="K1610" s="80" t="s">
        <v>280</v>
      </c>
      <c r="L1610" s="74">
        <f t="shared" si="353"/>
      </c>
      <c r="M1610" s="74">
        <f t="shared" ca="1" si="354"/>
      </c>
      <c r="N1610" s="74">
        <f ca="1">VLOOKUP(B1610,$C$7:$T1608,13,FALSE)</f>
      </c>
      <c r="O1610" s="74">
        <f t="shared" ca="1" si="355"/>
      </c>
      <c r="P1610" s="74">
        <f t="shared" ca="1" si="356"/>
      </c>
      <c r="Q1610" s="74">
        <f t="shared" ca="1" si="357"/>
      </c>
      <c r="R1610" s="74">
        <f t="shared" si="358"/>
      </c>
      <c r="S1610" s="74">
        <f t="shared" ca="1" si="359"/>
      </c>
      <c r="T1610" s="74">
        <f t="shared" si="360"/>
      </c>
    </row>
    <row r="1611" spans="2:20" x14ac:dyDescent="0.3">
      <c r="B1611" s="74">
        <f t="shared" ca="1" si="350"/>
      </c>
      <c r="C1611" s="78">
        <f>Кабельный_журнал!P1577</f>
      </c>
      <c r="D1611" s="74">
        <f t="shared" ca="1" si="351"/>
      </c>
      <c r="E1611" s="80" t="s">
        <v>279</v>
      </c>
      <c r="F1611" s="74">
        <f t="shared" ca="1" si="347"/>
      </c>
      <c r="G1611" s="74">
        <f t="shared" si="348"/>
      </c>
      <c r="H1611" s="80" t="s">
        <v>272</v>
      </c>
      <c r="I1611" s="74">
        <f t="shared" si="349"/>
      </c>
      <c r="J1611" s="74">
        <f t="shared" si="352"/>
      </c>
      <c r="K1611" s="80" t="s">
        <v>280</v>
      </c>
      <c r="L1611" s="74">
        <f t="shared" si="353"/>
      </c>
      <c r="M1611" s="74">
        <f t="shared" ca="1" si="354"/>
      </c>
      <c r="N1611" s="74">
        <f ca="1">VLOOKUP(B1611,$C$7:$T1609,13,FALSE)</f>
      </c>
      <c r="O1611" s="74">
        <f t="shared" ca="1" si="355"/>
      </c>
      <c r="P1611" s="74">
        <f t="shared" ca="1" si="356"/>
      </c>
      <c r="Q1611" s="74">
        <f t="shared" ca="1" si="357"/>
      </c>
      <c r="R1611" s="74">
        <f t="shared" si="358"/>
      </c>
      <c r="S1611" s="74">
        <f t="shared" ca="1" si="359"/>
      </c>
      <c r="T1611" s="74">
        <f t="shared" si="360"/>
      </c>
    </row>
    <row r="1612" spans="2:20" x14ac:dyDescent="0.3">
      <c r="B1612" s="74">
        <f t="shared" ca="1" si="350"/>
      </c>
      <c r="C1612" s="78">
        <f>Кабельный_журнал!P1578</f>
      </c>
      <c r="D1612" s="74">
        <f t="shared" ca="1" si="351"/>
      </c>
      <c r="E1612" s="80" t="s">
        <v>279</v>
      </c>
      <c r="F1612" s="74">
        <f t="shared" ca="1" si="347"/>
      </c>
      <c r="G1612" s="74">
        <f t="shared" si="348"/>
      </c>
      <c r="H1612" s="80" t="s">
        <v>272</v>
      </c>
      <c r="I1612" s="74">
        <f t="shared" si="349"/>
      </c>
      <c r="J1612" s="74">
        <f t="shared" si="352"/>
      </c>
      <c r="K1612" s="80" t="s">
        <v>280</v>
      </c>
      <c r="L1612" s="74">
        <f t="shared" si="353"/>
      </c>
      <c r="M1612" s="74">
        <f t="shared" ca="1" si="354"/>
      </c>
      <c r="N1612" s="74">
        <f ca="1">VLOOKUP(B1612,$C$7:$T1610,13,FALSE)</f>
      </c>
      <c r="O1612" s="74">
        <f t="shared" ca="1" si="355"/>
      </c>
      <c r="P1612" s="74">
        <f t="shared" ca="1" si="356"/>
      </c>
      <c r="Q1612" s="74">
        <f t="shared" ca="1" si="357"/>
      </c>
      <c r="R1612" s="74">
        <f t="shared" si="358"/>
      </c>
      <c r="S1612" s="74">
        <f t="shared" ca="1" si="359"/>
      </c>
      <c r="T1612" s="74">
        <f t="shared" si="360"/>
      </c>
    </row>
    <row r="1613" spans="2:20" x14ac:dyDescent="0.3">
      <c r="B1613" s="74">
        <f t="shared" ca="1" si="350"/>
      </c>
      <c r="C1613" s="78">
        <f>Кабельный_журнал!P1579</f>
      </c>
      <c r="D1613" s="74">
        <f t="shared" ca="1" si="351"/>
      </c>
      <c r="E1613" s="80" t="s">
        <v>279</v>
      </c>
      <c r="F1613" s="74">
        <f t="shared" ca="1" si="347"/>
      </c>
      <c r="G1613" s="74">
        <f t="shared" si="348"/>
      </c>
      <c r="H1613" s="80" t="s">
        <v>272</v>
      </c>
      <c r="I1613" s="74">
        <f t="shared" si="349"/>
      </c>
      <c r="J1613" s="74">
        <f t="shared" si="352"/>
      </c>
      <c r="K1613" s="80" t="s">
        <v>280</v>
      </c>
      <c r="L1613" s="74">
        <f t="shared" si="353"/>
      </c>
      <c r="M1613" s="74">
        <f t="shared" ca="1" si="354"/>
      </c>
      <c r="N1613" s="74">
        <f ca="1">VLOOKUP(B1613,$C$7:$T1611,13,FALSE)</f>
      </c>
      <c r="O1613" s="74">
        <f t="shared" ca="1" si="355"/>
      </c>
      <c r="P1613" s="74">
        <f t="shared" ca="1" si="356"/>
      </c>
      <c r="Q1613" s="74">
        <f t="shared" ca="1" si="357"/>
      </c>
      <c r="R1613" s="74">
        <f t="shared" si="358"/>
      </c>
      <c r="S1613" s="74">
        <f t="shared" ca="1" si="359"/>
      </c>
      <c r="T1613" s="74">
        <f t="shared" si="360"/>
      </c>
    </row>
    <row r="1614" spans="2:20" x14ac:dyDescent="0.3">
      <c r="B1614" s="74">
        <f t="shared" ca="1" si="350"/>
      </c>
      <c r="C1614" s="78">
        <f>Кабельный_журнал!P1580</f>
      </c>
      <c r="D1614" s="74">
        <f t="shared" ca="1" si="351"/>
      </c>
      <c r="E1614" s="80" t="s">
        <v>279</v>
      </c>
      <c r="F1614" s="74">
        <f t="shared" ca="1" si="347"/>
      </c>
      <c r="G1614" s="74">
        <f t="shared" si="348"/>
      </c>
      <c r="H1614" s="80" t="s">
        <v>272</v>
      </c>
      <c r="I1614" s="74">
        <f t="shared" si="349"/>
      </c>
      <c r="J1614" s="74">
        <f t="shared" si="352"/>
      </c>
      <c r="K1614" s="80" t="s">
        <v>280</v>
      </c>
      <c r="L1614" s="74">
        <f t="shared" si="353"/>
      </c>
      <c r="M1614" s="74">
        <f t="shared" ca="1" si="354"/>
      </c>
      <c r="N1614" s="74">
        <f ca="1">VLOOKUP(B1614,$C$7:$T1612,13,FALSE)</f>
      </c>
      <c r="O1614" s="74">
        <f t="shared" ca="1" si="355"/>
      </c>
      <c r="P1614" s="74">
        <f t="shared" ca="1" si="356"/>
      </c>
      <c r="Q1614" s="74">
        <f t="shared" ca="1" si="357"/>
      </c>
      <c r="R1614" s="74">
        <f t="shared" si="358"/>
      </c>
      <c r="S1614" s="74">
        <f t="shared" ca="1" si="359"/>
      </c>
      <c r="T1614" s="74">
        <f t="shared" si="360"/>
      </c>
    </row>
    <row r="1615" spans="2:20" x14ac:dyDescent="0.3">
      <c r="B1615" s="74">
        <f t="shared" ca="1" si="350"/>
      </c>
      <c r="C1615" s="78">
        <f>Кабельный_журнал!P1581</f>
      </c>
      <c r="D1615" s="74">
        <f t="shared" ca="1" si="351"/>
      </c>
      <c r="E1615" s="80" t="s">
        <v>279</v>
      </c>
      <c r="F1615" s="74">
        <f t="shared" ca="1" si="347"/>
      </c>
      <c r="G1615" s="74">
        <f t="shared" si="348"/>
      </c>
      <c r="H1615" s="80" t="s">
        <v>272</v>
      </c>
      <c r="I1615" s="74">
        <f t="shared" si="349"/>
      </c>
      <c r="J1615" s="74">
        <f t="shared" si="352"/>
      </c>
      <c r="K1615" s="80" t="s">
        <v>280</v>
      </c>
      <c r="L1615" s="74">
        <f t="shared" si="353"/>
      </c>
      <c r="M1615" s="74">
        <f t="shared" ca="1" si="354"/>
      </c>
      <c r="N1615" s="74">
        <f ca="1">VLOOKUP(B1615,$C$7:$T1613,13,FALSE)</f>
      </c>
      <c r="O1615" s="74">
        <f t="shared" ca="1" si="355"/>
      </c>
      <c r="P1615" s="74">
        <f t="shared" ca="1" si="356"/>
      </c>
      <c r="Q1615" s="74">
        <f t="shared" ca="1" si="357"/>
      </c>
      <c r="R1615" s="74">
        <f t="shared" si="358"/>
      </c>
      <c r="S1615" s="74">
        <f t="shared" ca="1" si="359"/>
      </c>
      <c r="T1615" s="74">
        <f t="shared" si="360"/>
      </c>
    </row>
    <row r="1616" spans="2:20" x14ac:dyDescent="0.3">
      <c r="B1616" s="74">
        <f t="shared" ca="1" si="350"/>
      </c>
      <c r="C1616" s="78">
        <f>Кабельный_журнал!P1582</f>
      </c>
      <c r="D1616" s="74">
        <f t="shared" ca="1" si="351"/>
      </c>
      <c r="E1616" s="80" t="s">
        <v>279</v>
      </c>
      <c r="F1616" s="74">
        <f t="shared" ca="1" si="347"/>
      </c>
      <c r="G1616" s="74">
        <f t="shared" si="348"/>
      </c>
      <c r="H1616" s="80" t="s">
        <v>272</v>
      </c>
      <c r="I1616" s="74">
        <f t="shared" si="349"/>
      </c>
      <c r="J1616" s="74">
        <f t="shared" si="352"/>
      </c>
      <c r="K1616" s="80" t="s">
        <v>280</v>
      </c>
      <c r="L1616" s="74">
        <f t="shared" si="353"/>
      </c>
      <c r="M1616" s="74">
        <f t="shared" ca="1" si="354"/>
      </c>
      <c r="N1616" s="74">
        <f ca="1">VLOOKUP(B1616,$C$7:$T1614,13,FALSE)</f>
      </c>
      <c r="O1616" s="74">
        <f t="shared" ca="1" si="355"/>
      </c>
      <c r="P1616" s="74">
        <f t="shared" ca="1" si="356"/>
      </c>
      <c r="Q1616" s="74">
        <f t="shared" ca="1" si="357"/>
      </c>
      <c r="R1616" s="74">
        <f t="shared" si="358"/>
      </c>
      <c r="S1616" s="74">
        <f t="shared" ca="1" si="359"/>
      </c>
      <c r="T1616" s="74">
        <f t="shared" si="360"/>
      </c>
    </row>
    <row r="1617" spans="2:20" x14ac:dyDescent="0.3">
      <c r="B1617" s="74">
        <f t="shared" ca="1" si="350"/>
      </c>
      <c r="C1617" s="78">
        <f>Кабельный_журнал!P1583</f>
      </c>
      <c r="D1617" s="74">
        <f t="shared" ca="1" si="351"/>
      </c>
      <c r="E1617" s="80" t="s">
        <v>279</v>
      </c>
      <c r="F1617" s="74">
        <f t="shared" ca="1" si="347"/>
      </c>
      <c r="G1617" s="74">
        <f t="shared" si="348"/>
      </c>
      <c r="H1617" s="80" t="s">
        <v>272</v>
      </c>
      <c r="I1617" s="74">
        <f t="shared" si="349"/>
      </c>
      <c r="J1617" s="74">
        <f t="shared" si="352"/>
      </c>
      <c r="K1617" s="80" t="s">
        <v>280</v>
      </c>
      <c r="L1617" s="74">
        <f t="shared" si="353"/>
      </c>
      <c r="M1617" s="74">
        <f t="shared" ca="1" si="354"/>
      </c>
      <c r="N1617" s="74">
        <f ca="1">VLOOKUP(B1617,$C$7:$T1615,13,FALSE)</f>
      </c>
      <c r="O1617" s="74">
        <f t="shared" ca="1" si="355"/>
      </c>
      <c r="P1617" s="74">
        <f t="shared" ca="1" si="356"/>
      </c>
      <c r="Q1617" s="74">
        <f t="shared" ca="1" si="357"/>
      </c>
      <c r="R1617" s="74">
        <f t="shared" si="358"/>
      </c>
      <c r="S1617" s="74">
        <f t="shared" ca="1" si="359"/>
      </c>
      <c r="T1617" s="74">
        <f t="shared" si="360"/>
      </c>
    </row>
    <row r="1618" spans="2:20" x14ac:dyDescent="0.3">
      <c r="B1618" s="74">
        <f t="shared" ca="1" si="350"/>
      </c>
      <c r="C1618" s="78">
        <f>Кабельный_журнал!P1584</f>
      </c>
      <c r="D1618" s="74">
        <f t="shared" ca="1" si="351"/>
      </c>
      <c r="E1618" s="80" t="s">
        <v>279</v>
      </c>
      <c r="F1618" s="74">
        <f t="shared" ca="1" si="347"/>
      </c>
      <c r="G1618" s="74">
        <f t="shared" si="348"/>
      </c>
      <c r="H1618" s="80" t="s">
        <v>272</v>
      </c>
      <c r="I1618" s="74">
        <f t="shared" si="349"/>
      </c>
      <c r="J1618" s="74">
        <f t="shared" si="352"/>
      </c>
      <c r="K1618" s="80" t="s">
        <v>280</v>
      </c>
      <c r="L1618" s="74">
        <f t="shared" si="353"/>
      </c>
      <c r="M1618" s="74">
        <f t="shared" ca="1" si="354"/>
      </c>
      <c r="N1618" s="74">
        <f ca="1">VLOOKUP(B1618,$C$7:$T1616,13,FALSE)</f>
      </c>
      <c r="O1618" s="74">
        <f t="shared" ca="1" si="355"/>
      </c>
      <c r="P1618" s="74">
        <f t="shared" ca="1" si="356"/>
      </c>
      <c r="Q1618" s="74">
        <f t="shared" ca="1" si="357"/>
      </c>
      <c r="R1618" s="74">
        <f t="shared" si="358"/>
      </c>
      <c r="S1618" s="74">
        <f t="shared" ca="1" si="359"/>
      </c>
      <c r="T1618" s="74">
        <f t="shared" si="360"/>
      </c>
    </row>
    <row r="1619" spans="2:20" x14ac:dyDescent="0.3">
      <c r="B1619" s="74">
        <f t="shared" ca="1" si="350"/>
      </c>
      <c r="C1619" s="78">
        <f>Кабельный_журнал!P1585</f>
      </c>
      <c r="D1619" s="74">
        <f t="shared" ca="1" si="351"/>
      </c>
      <c r="E1619" s="80" t="s">
        <v>279</v>
      </c>
      <c r="F1619" s="74">
        <f t="shared" ca="1" si="347"/>
      </c>
      <c r="G1619" s="74">
        <f t="shared" si="348"/>
      </c>
      <c r="H1619" s="80" t="s">
        <v>272</v>
      </c>
      <c r="I1619" s="74">
        <f t="shared" si="349"/>
      </c>
      <c r="J1619" s="74">
        <f t="shared" si="352"/>
      </c>
      <c r="K1619" s="80" t="s">
        <v>280</v>
      </c>
      <c r="L1619" s="74">
        <f t="shared" si="353"/>
      </c>
      <c r="M1619" s="74">
        <f t="shared" ca="1" si="354"/>
      </c>
      <c r="N1619" s="74">
        <f ca="1">VLOOKUP(B1619,$C$7:$T1617,13,FALSE)</f>
      </c>
      <c r="O1619" s="74">
        <f t="shared" ca="1" si="355"/>
      </c>
      <c r="P1619" s="74">
        <f t="shared" ca="1" si="356"/>
      </c>
      <c r="Q1619" s="74">
        <f t="shared" ca="1" si="357"/>
      </c>
      <c r="R1619" s="74">
        <f t="shared" si="358"/>
      </c>
      <c r="S1619" s="74">
        <f t="shared" ca="1" si="359"/>
      </c>
      <c r="T1619" s="74">
        <f t="shared" si="360"/>
      </c>
    </row>
    <row r="1620" spans="2:20" x14ac:dyDescent="0.3">
      <c r="B1620" s="74">
        <f t="shared" ca="1" si="350"/>
      </c>
      <c r="C1620" s="78">
        <f>Кабельный_журнал!P1586</f>
      </c>
      <c r="D1620" s="74">
        <f t="shared" ca="1" si="351"/>
      </c>
      <c r="E1620" s="80" t="s">
        <v>279</v>
      </c>
      <c r="F1620" s="74">
        <f t="shared" ca="1" si="347"/>
      </c>
      <c r="G1620" s="74">
        <f t="shared" si="348"/>
      </c>
      <c r="H1620" s="80" t="s">
        <v>272</v>
      </c>
      <c r="I1620" s="74">
        <f t="shared" si="349"/>
      </c>
      <c r="J1620" s="74">
        <f t="shared" si="352"/>
      </c>
      <c r="K1620" s="80" t="s">
        <v>280</v>
      </c>
      <c r="L1620" s="74">
        <f t="shared" si="353"/>
      </c>
      <c r="M1620" s="74">
        <f t="shared" ca="1" si="354"/>
      </c>
      <c r="N1620" s="74">
        <f ca="1">VLOOKUP(B1620,$C$7:$T1618,13,FALSE)</f>
      </c>
      <c r="O1620" s="74">
        <f t="shared" ca="1" si="355"/>
      </c>
      <c r="P1620" s="74">
        <f t="shared" ca="1" si="356"/>
      </c>
      <c r="Q1620" s="74">
        <f t="shared" ca="1" si="357"/>
      </c>
      <c r="R1620" s="74">
        <f t="shared" si="358"/>
      </c>
      <c r="S1620" s="74">
        <f t="shared" ca="1" si="359"/>
      </c>
      <c r="T1620" s="74">
        <f t="shared" si="360"/>
      </c>
    </row>
    <row r="1621" spans="2:20" x14ac:dyDescent="0.3">
      <c r="B1621" s="74">
        <f t="shared" ca="1" si="350"/>
      </c>
      <c r="C1621" s="78">
        <f>Кабельный_журнал!P1587</f>
      </c>
      <c r="D1621" s="74">
        <f t="shared" ca="1" si="351"/>
      </c>
      <c r="E1621" s="80" t="s">
        <v>279</v>
      </c>
      <c r="F1621" s="74">
        <f t="shared" ca="1" si="347"/>
      </c>
      <c r="G1621" s="74">
        <f t="shared" si="348"/>
      </c>
      <c r="H1621" s="80" t="s">
        <v>272</v>
      </c>
      <c r="I1621" s="74">
        <f t="shared" si="349"/>
      </c>
      <c r="J1621" s="74">
        <f t="shared" si="352"/>
      </c>
      <c r="K1621" s="80" t="s">
        <v>280</v>
      </c>
      <c r="L1621" s="74">
        <f t="shared" si="353"/>
      </c>
      <c r="M1621" s="74">
        <f t="shared" ca="1" si="354"/>
      </c>
      <c r="N1621" s="74">
        <f ca="1">VLOOKUP(B1621,$C$7:$T1619,13,FALSE)</f>
      </c>
      <c r="O1621" s="74">
        <f t="shared" ca="1" si="355"/>
      </c>
      <c r="P1621" s="74">
        <f t="shared" ca="1" si="356"/>
      </c>
      <c r="Q1621" s="74">
        <f t="shared" ca="1" si="357"/>
      </c>
      <c r="R1621" s="74">
        <f t="shared" si="358"/>
      </c>
      <c r="S1621" s="74">
        <f t="shared" ca="1" si="359"/>
      </c>
      <c r="T1621" s="74">
        <f t="shared" si="360"/>
      </c>
    </row>
    <row r="1622" spans="2:20" x14ac:dyDescent="0.3">
      <c r="B1622" s="74">
        <f t="shared" ca="1" si="350"/>
      </c>
      <c r="C1622" s="78">
        <f>Кабельный_журнал!P1588</f>
      </c>
      <c r="D1622" s="74">
        <f t="shared" ca="1" si="351"/>
      </c>
      <c r="E1622" s="80" t="s">
        <v>279</v>
      </c>
      <c r="F1622" s="74">
        <f t="shared" ca="1" si="347"/>
      </c>
      <c r="G1622" s="74">
        <f t="shared" si="348"/>
      </c>
      <c r="H1622" s="80" t="s">
        <v>272</v>
      </c>
      <c r="I1622" s="74">
        <f t="shared" si="349"/>
      </c>
      <c r="J1622" s="74">
        <f t="shared" si="352"/>
      </c>
      <c r="K1622" s="80" t="s">
        <v>280</v>
      </c>
      <c r="L1622" s="74">
        <f t="shared" si="353"/>
      </c>
      <c r="M1622" s="74">
        <f t="shared" ca="1" si="354"/>
      </c>
      <c r="N1622" s="74">
        <f ca="1">VLOOKUP(B1622,$C$7:$T1620,13,FALSE)</f>
      </c>
      <c r="O1622" s="74">
        <f t="shared" ca="1" si="355"/>
      </c>
      <c r="P1622" s="74">
        <f t="shared" ca="1" si="356"/>
      </c>
      <c r="Q1622" s="74">
        <f t="shared" ca="1" si="357"/>
      </c>
      <c r="R1622" s="74">
        <f t="shared" si="358"/>
      </c>
      <c r="S1622" s="74">
        <f t="shared" ca="1" si="359"/>
      </c>
      <c r="T1622" s="74">
        <f t="shared" si="360"/>
      </c>
    </row>
    <row r="1623" spans="2:20" x14ac:dyDescent="0.3">
      <c r="B1623" s="74">
        <f t="shared" ca="1" si="350"/>
      </c>
      <c r="C1623" s="78">
        <f>Кабельный_журнал!P1589</f>
      </c>
      <c r="D1623" s="74">
        <f t="shared" ca="1" si="351"/>
      </c>
      <c r="E1623" s="80" t="s">
        <v>279</v>
      </c>
      <c r="F1623" s="74">
        <f t="shared" ca="1" si="347"/>
      </c>
      <c r="G1623" s="74">
        <f t="shared" si="348"/>
      </c>
      <c r="H1623" s="80" t="s">
        <v>272</v>
      </c>
      <c r="I1623" s="74">
        <f t="shared" si="349"/>
      </c>
      <c r="J1623" s="74">
        <f t="shared" si="352"/>
      </c>
      <c r="K1623" s="80" t="s">
        <v>280</v>
      </c>
      <c r="L1623" s="74">
        <f t="shared" si="353"/>
      </c>
      <c r="M1623" s="74">
        <f t="shared" ca="1" si="354"/>
      </c>
      <c r="N1623" s="74">
        <f ca="1">VLOOKUP(B1623,$C$7:$T1621,13,FALSE)</f>
      </c>
      <c r="O1623" s="74">
        <f t="shared" ca="1" si="355"/>
      </c>
      <c r="P1623" s="74">
        <f t="shared" ca="1" si="356"/>
      </c>
      <c r="Q1623" s="74">
        <f t="shared" ca="1" si="357"/>
      </c>
      <c r="R1623" s="74">
        <f t="shared" si="358"/>
      </c>
      <c r="S1623" s="74">
        <f t="shared" ca="1" si="359"/>
      </c>
      <c r="T1623" s="74">
        <f t="shared" si="360"/>
      </c>
    </row>
    <row r="1624" spans="2:20" x14ac:dyDescent="0.3">
      <c r="B1624" s="74">
        <f t="shared" ca="1" si="350"/>
      </c>
      <c r="C1624" s="78">
        <f>Кабельный_журнал!P1590</f>
      </c>
      <c r="D1624" s="74">
        <f t="shared" ca="1" si="351"/>
      </c>
      <c r="E1624" s="80" t="s">
        <v>279</v>
      </c>
      <c r="F1624" s="74">
        <f t="shared" ca="1" si="347"/>
      </c>
      <c r="G1624" s="74">
        <f t="shared" si="348"/>
      </c>
      <c r="H1624" s="80" t="s">
        <v>272</v>
      </c>
      <c r="I1624" s="74">
        <f t="shared" si="349"/>
      </c>
      <c r="J1624" s="74">
        <f t="shared" si="352"/>
      </c>
      <c r="K1624" s="80" t="s">
        <v>280</v>
      </c>
      <c r="L1624" s="74">
        <f t="shared" si="353"/>
      </c>
      <c r="M1624" s="74">
        <f t="shared" ca="1" si="354"/>
      </c>
      <c r="N1624" s="74">
        <f ca="1">VLOOKUP(B1624,$C$7:$T1622,13,FALSE)</f>
      </c>
      <c r="O1624" s="74">
        <f t="shared" ca="1" si="355"/>
      </c>
      <c r="P1624" s="74">
        <f t="shared" ca="1" si="356"/>
      </c>
      <c r="Q1624" s="74">
        <f t="shared" ca="1" si="357"/>
      </c>
      <c r="R1624" s="74">
        <f t="shared" si="358"/>
      </c>
      <c r="S1624" s="74">
        <f t="shared" ca="1" si="359"/>
      </c>
      <c r="T1624" s="74">
        <f t="shared" si="360"/>
      </c>
    </row>
    <row r="1625" spans="2:20" x14ac:dyDescent="0.3">
      <c r="B1625" s="74">
        <f t="shared" ca="1" si="350"/>
      </c>
      <c r="C1625" s="78">
        <f>Кабельный_журнал!P1591</f>
      </c>
      <c r="D1625" s="74">
        <f t="shared" ca="1" si="351"/>
      </c>
      <c r="E1625" s="80" t="s">
        <v>279</v>
      </c>
      <c r="F1625" s="74">
        <f t="shared" ca="1" si="347"/>
      </c>
      <c r="G1625" s="74">
        <f t="shared" si="348"/>
      </c>
      <c r="H1625" s="80" t="s">
        <v>272</v>
      </c>
      <c r="I1625" s="74">
        <f t="shared" si="349"/>
      </c>
      <c r="J1625" s="74">
        <f t="shared" si="352"/>
      </c>
      <c r="K1625" s="80" t="s">
        <v>280</v>
      </c>
      <c r="L1625" s="74">
        <f t="shared" si="353"/>
      </c>
      <c r="M1625" s="74">
        <f t="shared" ca="1" si="354"/>
      </c>
      <c r="N1625" s="74">
        <f ca="1">VLOOKUP(B1625,$C$7:$T1623,13,FALSE)</f>
      </c>
      <c r="O1625" s="74">
        <f t="shared" ca="1" si="355"/>
      </c>
      <c r="P1625" s="74">
        <f t="shared" ca="1" si="356"/>
      </c>
      <c r="Q1625" s="74">
        <f t="shared" ca="1" si="357"/>
      </c>
      <c r="R1625" s="74">
        <f t="shared" si="358"/>
      </c>
      <c r="S1625" s="74">
        <f t="shared" ca="1" si="359"/>
      </c>
      <c r="T1625" s="74">
        <f t="shared" si="360"/>
      </c>
    </row>
    <row r="1626" spans="2:20" x14ac:dyDescent="0.3">
      <c r="B1626" s="74">
        <f t="shared" ca="1" si="350"/>
      </c>
      <c r="C1626" s="78">
        <f>Кабельный_журнал!P1592</f>
      </c>
      <c r="D1626" s="74">
        <f t="shared" ca="1" si="351"/>
      </c>
      <c r="E1626" s="80" t="s">
        <v>279</v>
      </c>
      <c r="F1626" s="74">
        <f t="shared" ca="1" si="347"/>
      </c>
      <c r="G1626" s="74">
        <f t="shared" si="348"/>
      </c>
      <c r="H1626" s="80" t="s">
        <v>272</v>
      </c>
      <c r="I1626" s="74">
        <f t="shared" si="349"/>
      </c>
      <c r="J1626" s="74">
        <f t="shared" si="352"/>
      </c>
      <c r="K1626" s="80" t="s">
        <v>280</v>
      </c>
      <c r="L1626" s="74">
        <f t="shared" si="353"/>
      </c>
      <c r="M1626" s="74">
        <f t="shared" ca="1" si="354"/>
      </c>
      <c r="N1626" s="74">
        <f ca="1">VLOOKUP(B1626,$C$7:$T1624,13,FALSE)</f>
      </c>
      <c r="O1626" s="74">
        <f t="shared" ca="1" si="355"/>
      </c>
      <c r="P1626" s="74">
        <f t="shared" ca="1" si="356"/>
      </c>
      <c r="Q1626" s="74">
        <f t="shared" ca="1" si="357"/>
      </c>
      <c r="R1626" s="74">
        <f t="shared" si="358"/>
      </c>
      <c r="S1626" s="74">
        <f t="shared" ca="1" si="359"/>
      </c>
      <c r="T1626" s="74">
        <f t="shared" si="360"/>
      </c>
    </row>
    <row r="1627" spans="2:20" x14ac:dyDescent="0.3">
      <c r="B1627" s="74">
        <f t="shared" ca="1" si="350"/>
      </c>
      <c r="C1627" s="78">
        <f>Кабельный_журнал!P1593</f>
      </c>
      <c r="D1627" s="74">
        <f t="shared" ca="1" si="351"/>
      </c>
      <c r="E1627" s="80" t="s">
        <v>279</v>
      </c>
      <c r="F1627" s="74">
        <f t="shared" ca="1" si="347"/>
      </c>
      <c r="G1627" s="74">
        <f t="shared" si="348"/>
      </c>
      <c r="H1627" s="80" t="s">
        <v>272</v>
      </c>
      <c r="I1627" s="74">
        <f t="shared" si="349"/>
      </c>
      <c r="J1627" s="74">
        <f t="shared" si="352"/>
      </c>
      <c r="K1627" s="80" t="s">
        <v>280</v>
      </c>
      <c r="L1627" s="74">
        <f t="shared" si="353"/>
      </c>
      <c r="M1627" s="74">
        <f t="shared" ca="1" si="354"/>
      </c>
      <c r="N1627" s="74">
        <f ca="1">VLOOKUP(B1627,$C$7:$T1625,13,FALSE)</f>
      </c>
      <c r="O1627" s="74">
        <f t="shared" ca="1" si="355"/>
      </c>
      <c r="P1627" s="74">
        <f t="shared" ca="1" si="356"/>
      </c>
      <c r="Q1627" s="74">
        <f t="shared" ca="1" si="357"/>
      </c>
      <c r="R1627" s="74">
        <f t="shared" si="358"/>
      </c>
      <c r="S1627" s="74">
        <f t="shared" ca="1" si="359"/>
      </c>
      <c r="T1627" s="74">
        <f t="shared" si="360"/>
      </c>
    </row>
    <row r="1628" spans="2:20" x14ac:dyDescent="0.3">
      <c r="B1628" s="74">
        <f t="shared" ca="1" si="350"/>
      </c>
      <c r="C1628" s="78">
        <f>Кабельный_журнал!P1594</f>
      </c>
      <c r="D1628" s="74">
        <f t="shared" ca="1" si="351"/>
      </c>
      <c r="E1628" s="80" t="s">
        <v>279</v>
      </c>
      <c r="F1628" s="74">
        <f t="shared" ca="1" si="347"/>
      </c>
      <c r="G1628" s="74">
        <f t="shared" si="348"/>
      </c>
      <c r="H1628" s="80" t="s">
        <v>272</v>
      </c>
      <c r="I1628" s="74">
        <f t="shared" si="349"/>
      </c>
      <c r="J1628" s="74">
        <f t="shared" si="352"/>
      </c>
      <c r="K1628" s="80" t="s">
        <v>280</v>
      </c>
      <c r="L1628" s="74">
        <f t="shared" si="353"/>
      </c>
      <c r="M1628" s="74">
        <f t="shared" ca="1" si="354"/>
      </c>
      <c r="N1628" s="74">
        <f ca="1">VLOOKUP(B1628,$C$7:$T1626,13,FALSE)</f>
      </c>
      <c r="O1628" s="74">
        <f t="shared" ca="1" si="355"/>
      </c>
      <c r="P1628" s="74">
        <f t="shared" ca="1" si="356"/>
      </c>
      <c r="Q1628" s="74">
        <f t="shared" ca="1" si="357"/>
      </c>
      <c r="R1628" s="74">
        <f t="shared" si="358"/>
      </c>
      <c r="S1628" s="74">
        <f t="shared" ca="1" si="359"/>
      </c>
      <c r="T1628" s="74">
        <f t="shared" si="360"/>
      </c>
    </row>
    <row r="1629" spans="2:20" x14ac:dyDescent="0.3">
      <c r="B1629" s="74">
        <f t="shared" ca="1" si="350"/>
      </c>
      <c r="C1629" s="78">
        <f>Кабельный_журнал!P1595</f>
      </c>
      <c r="D1629" s="74">
        <f t="shared" ca="1" si="351"/>
      </c>
      <c r="E1629" s="80" t="s">
        <v>279</v>
      </c>
      <c r="F1629" s="74">
        <f t="shared" ca="1" si="347"/>
      </c>
      <c r="G1629" s="74">
        <f t="shared" si="348"/>
      </c>
      <c r="H1629" s="80" t="s">
        <v>272</v>
      </c>
      <c r="I1629" s="74">
        <f t="shared" si="349"/>
      </c>
      <c r="J1629" s="74">
        <f t="shared" si="352"/>
      </c>
      <c r="K1629" s="80" t="s">
        <v>280</v>
      </c>
      <c r="L1629" s="74">
        <f t="shared" si="353"/>
      </c>
      <c r="M1629" s="74">
        <f t="shared" ca="1" si="354"/>
      </c>
      <c r="N1629" s="74">
        <f ca="1">VLOOKUP(B1629,$C$7:$T1627,13,FALSE)</f>
      </c>
      <c r="O1629" s="74">
        <f t="shared" ca="1" si="355"/>
      </c>
      <c r="P1629" s="74">
        <f t="shared" ca="1" si="356"/>
      </c>
      <c r="Q1629" s="74">
        <f t="shared" ca="1" si="357"/>
      </c>
      <c r="R1629" s="74">
        <f t="shared" si="358"/>
      </c>
      <c r="S1629" s="74">
        <f t="shared" ca="1" si="359"/>
      </c>
      <c r="T1629" s="74">
        <f t="shared" si="360"/>
      </c>
    </row>
    <row r="1630" spans="2:20" x14ac:dyDescent="0.3">
      <c r="B1630" s="74">
        <f t="shared" ca="1" si="350"/>
      </c>
      <c r="C1630" s="78">
        <f>Кабельный_журнал!P1596</f>
      </c>
      <c r="D1630" s="74">
        <f t="shared" ca="1" si="351"/>
      </c>
      <c r="E1630" s="80" t="s">
        <v>279</v>
      </c>
      <c r="F1630" s="74">
        <f t="shared" ca="1" si="347"/>
      </c>
      <c r="G1630" s="74">
        <f t="shared" si="348"/>
      </c>
      <c r="H1630" s="80" t="s">
        <v>272</v>
      </c>
      <c r="I1630" s="74">
        <f t="shared" si="349"/>
      </c>
      <c r="J1630" s="74">
        <f t="shared" si="352"/>
      </c>
      <c r="K1630" s="80" t="s">
        <v>280</v>
      </c>
      <c r="L1630" s="74">
        <f t="shared" si="353"/>
      </c>
      <c r="M1630" s="74">
        <f t="shared" ca="1" si="354"/>
      </c>
      <c r="N1630" s="74">
        <f ca="1">VLOOKUP(B1630,$C$7:$T1628,13,FALSE)</f>
      </c>
      <c r="O1630" s="74">
        <f t="shared" ca="1" si="355"/>
      </c>
      <c r="P1630" s="74">
        <f t="shared" ca="1" si="356"/>
      </c>
      <c r="Q1630" s="74">
        <f t="shared" ca="1" si="357"/>
      </c>
      <c r="R1630" s="74">
        <f t="shared" si="358"/>
      </c>
      <c r="S1630" s="74">
        <f t="shared" ca="1" si="359"/>
      </c>
      <c r="T1630" s="74">
        <f t="shared" si="360"/>
      </c>
    </row>
    <row r="1631" spans="2:20" x14ac:dyDescent="0.3">
      <c r="B1631" s="74">
        <f t="shared" ca="1" si="350"/>
      </c>
      <c r="C1631" s="78">
        <f>Кабельный_журнал!P1597</f>
      </c>
      <c r="D1631" s="74">
        <f t="shared" ca="1" si="351"/>
      </c>
      <c r="E1631" s="80" t="s">
        <v>279</v>
      </c>
      <c r="F1631" s="74">
        <f t="shared" ca="1" si="347"/>
      </c>
      <c r="G1631" s="74">
        <f t="shared" si="348"/>
      </c>
      <c r="H1631" s="80" t="s">
        <v>272</v>
      </c>
      <c r="I1631" s="74">
        <f t="shared" si="349"/>
      </c>
      <c r="J1631" s="74">
        <f t="shared" si="352"/>
      </c>
      <c r="K1631" s="80" t="s">
        <v>280</v>
      </c>
      <c r="L1631" s="74">
        <f t="shared" si="353"/>
      </c>
      <c r="M1631" s="74">
        <f t="shared" ca="1" si="354"/>
      </c>
      <c r="N1631" s="74">
        <f ca="1">VLOOKUP(B1631,$C$7:$T1629,13,FALSE)</f>
      </c>
      <c r="O1631" s="74">
        <f t="shared" ca="1" si="355"/>
      </c>
      <c r="P1631" s="74">
        <f t="shared" ca="1" si="356"/>
      </c>
      <c r="Q1631" s="74">
        <f t="shared" ca="1" si="357"/>
      </c>
      <c r="R1631" s="74">
        <f t="shared" si="358"/>
      </c>
      <c r="S1631" s="74">
        <f t="shared" ca="1" si="359"/>
      </c>
      <c r="T1631" s="74">
        <f t="shared" si="360"/>
      </c>
    </row>
    <row r="1632" spans="2:20" x14ac:dyDescent="0.3">
      <c r="B1632" s="74">
        <f t="shared" ca="1" si="350"/>
      </c>
      <c r="C1632" s="78">
        <f>Кабельный_журнал!P1598</f>
      </c>
      <c r="D1632" s="74">
        <f t="shared" ca="1" si="351"/>
      </c>
      <c r="E1632" s="80" t="s">
        <v>279</v>
      </c>
      <c r="F1632" s="74">
        <f t="shared" ca="1" si="347"/>
      </c>
      <c r="G1632" s="74">
        <f t="shared" si="348"/>
      </c>
      <c r="H1632" s="80" t="s">
        <v>272</v>
      </c>
      <c r="I1632" s="74">
        <f t="shared" si="349"/>
      </c>
      <c r="J1632" s="74">
        <f t="shared" si="352"/>
      </c>
      <c r="K1632" s="80" t="s">
        <v>280</v>
      </c>
      <c r="L1632" s="74">
        <f t="shared" si="353"/>
      </c>
      <c r="M1632" s="74">
        <f t="shared" ca="1" si="354"/>
      </c>
      <c r="N1632" s="74">
        <f ca="1">VLOOKUP(B1632,$C$7:$T1630,13,FALSE)</f>
      </c>
      <c r="O1632" s="74">
        <f t="shared" ca="1" si="355"/>
      </c>
      <c r="P1632" s="74">
        <f t="shared" ca="1" si="356"/>
      </c>
      <c r="Q1632" s="74">
        <f t="shared" ca="1" si="357"/>
      </c>
      <c r="R1632" s="74">
        <f t="shared" si="358"/>
      </c>
      <c r="S1632" s="74">
        <f t="shared" ca="1" si="359"/>
      </c>
      <c r="T1632" s="74">
        <f t="shared" si="360"/>
      </c>
    </row>
    <row r="1633" spans="2:20" x14ac:dyDescent="0.3">
      <c r="B1633" s="74">
        <f t="shared" ca="1" si="350"/>
      </c>
      <c r="C1633" s="78">
        <f>Кабельный_журнал!P1599</f>
      </c>
      <c r="D1633" s="74">
        <f t="shared" ca="1" si="351"/>
      </c>
      <c r="E1633" s="80" t="s">
        <v>279</v>
      </c>
      <c r="F1633" s="74">
        <f t="shared" ca="1" si="347"/>
      </c>
      <c r="G1633" s="74">
        <f t="shared" si="348"/>
      </c>
      <c r="H1633" s="80" t="s">
        <v>272</v>
      </c>
      <c r="I1633" s="74">
        <f t="shared" si="349"/>
      </c>
      <c r="J1633" s="74">
        <f t="shared" si="352"/>
      </c>
      <c r="K1633" s="80" t="s">
        <v>280</v>
      </c>
      <c r="L1633" s="74">
        <f t="shared" si="353"/>
      </c>
      <c r="M1633" s="74">
        <f t="shared" ca="1" si="354"/>
      </c>
      <c r="N1633" s="74">
        <f ca="1">VLOOKUP(B1633,$C$7:$T1631,13,FALSE)</f>
      </c>
      <c r="O1633" s="74">
        <f t="shared" ca="1" si="355"/>
      </c>
      <c r="P1633" s="74">
        <f t="shared" ca="1" si="356"/>
      </c>
      <c r="Q1633" s="74">
        <f t="shared" ca="1" si="357"/>
      </c>
      <c r="R1633" s="74">
        <f t="shared" si="358"/>
      </c>
      <c r="S1633" s="74">
        <f t="shared" ca="1" si="359"/>
      </c>
      <c r="T1633" s="74">
        <f t="shared" si="360"/>
      </c>
    </row>
    <row r="1634" spans="2:20" x14ac:dyDescent="0.3">
      <c r="B1634" s="74">
        <f t="shared" ca="1" si="350"/>
      </c>
      <c r="C1634" s="78">
        <f>Кабельный_журнал!P1600</f>
      </c>
      <c r="D1634" s="74">
        <f t="shared" ca="1" si="351"/>
      </c>
      <c r="E1634" s="80" t="s">
        <v>279</v>
      </c>
      <c r="F1634" s="74">
        <f t="shared" ca="1" si="347"/>
      </c>
      <c r="G1634" s="74">
        <f t="shared" si="348"/>
      </c>
      <c r="H1634" s="80" t="s">
        <v>272</v>
      </c>
      <c r="I1634" s="74">
        <f t="shared" si="349"/>
      </c>
      <c r="J1634" s="74">
        <f t="shared" si="352"/>
      </c>
      <c r="K1634" s="80" t="s">
        <v>280</v>
      </c>
      <c r="L1634" s="74">
        <f t="shared" si="353"/>
      </c>
      <c r="M1634" s="74">
        <f t="shared" ca="1" si="354"/>
      </c>
      <c r="N1634" s="74">
        <f ca="1">VLOOKUP(B1634,$C$7:$T1632,13,FALSE)</f>
      </c>
      <c r="O1634" s="74">
        <f t="shared" ca="1" si="355"/>
      </c>
      <c r="P1634" s="74">
        <f t="shared" ca="1" si="356"/>
      </c>
      <c r="Q1634" s="74">
        <f t="shared" ca="1" si="357"/>
      </c>
      <c r="R1634" s="74">
        <f t="shared" si="358"/>
      </c>
      <c r="S1634" s="74">
        <f t="shared" ca="1" si="359"/>
      </c>
      <c r="T1634" s="74">
        <f t="shared" si="360"/>
      </c>
    </row>
    <row r="1635" spans="2:20" x14ac:dyDescent="0.3">
      <c r="B1635" s="74">
        <f t="shared" ca="1" si="350"/>
      </c>
      <c r="C1635" s="78">
        <f>Кабельный_журнал!P1601</f>
      </c>
      <c r="D1635" s="74">
        <f t="shared" ca="1" si="351"/>
      </c>
      <c r="E1635" s="80" t="s">
        <v>279</v>
      </c>
      <c r="F1635" s="74">
        <f t="shared" ca="1" si="347"/>
      </c>
      <c r="G1635" s="74">
        <f t="shared" si="348"/>
      </c>
      <c r="H1635" s="80" t="s">
        <v>272</v>
      </c>
      <c r="I1635" s="74">
        <f t="shared" si="349"/>
      </c>
      <c r="J1635" s="74">
        <f t="shared" si="352"/>
      </c>
      <c r="K1635" s="80" t="s">
        <v>280</v>
      </c>
      <c r="L1635" s="74">
        <f t="shared" si="353"/>
      </c>
      <c r="M1635" s="74">
        <f t="shared" ca="1" si="354"/>
      </c>
      <c r="N1635" s="74">
        <f ca="1">VLOOKUP(B1635,$C$7:$T1633,13,FALSE)</f>
      </c>
      <c r="O1635" s="74">
        <f t="shared" ca="1" si="355"/>
      </c>
      <c r="P1635" s="74">
        <f t="shared" ca="1" si="356"/>
      </c>
      <c r="Q1635" s="74">
        <f t="shared" ca="1" si="357"/>
      </c>
      <c r="R1635" s="74">
        <f t="shared" si="358"/>
      </c>
      <c r="S1635" s="74">
        <f t="shared" ca="1" si="359"/>
      </c>
      <c r="T1635" s="74">
        <f t="shared" si="360"/>
      </c>
    </row>
    <row r="1636" spans="2:20" x14ac:dyDescent="0.3">
      <c r="B1636" s="74">
        <f t="shared" ca="1" si="350"/>
      </c>
      <c r="C1636" s="78">
        <f>Кабельный_журнал!P1602</f>
      </c>
      <c r="D1636" s="74">
        <f t="shared" ca="1" si="351"/>
      </c>
      <c r="E1636" s="80" t="s">
        <v>279</v>
      </c>
      <c r="F1636" s="74">
        <f t="shared" ca="1" si="347"/>
      </c>
      <c r="G1636" s="74">
        <f t="shared" si="348"/>
      </c>
      <c r="H1636" s="80" t="s">
        <v>272</v>
      </c>
      <c r="I1636" s="74">
        <f t="shared" si="349"/>
      </c>
      <c r="J1636" s="74">
        <f t="shared" si="352"/>
      </c>
      <c r="K1636" s="80" t="s">
        <v>280</v>
      </c>
      <c r="L1636" s="74">
        <f t="shared" si="353"/>
      </c>
      <c r="M1636" s="74">
        <f t="shared" ca="1" si="354"/>
      </c>
      <c r="N1636" s="74">
        <f ca="1">VLOOKUP(B1636,$C$7:$T1634,13,FALSE)</f>
      </c>
      <c r="O1636" s="74">
        <f t="shared" ca="1" si="355"/>
      </c>
      <c r="P1636" s="74">
        <f t="shared" ca="1" si="356"/>
      </c>
      <c r="Q1636" s="74">
        <f t="shared" ca="1" si="357"/>
      </c>
      <c r="R1636" s="74">
        <f t="shared" si="358"/>
      </c>
      <c r="S1636" s="74">
        <f t="shared" ca="1" si="359"/>
      </c>
      <c r="T1636" s="74">
        <f t="shared" si="360"/>
      </c>
    </row>
    <row r="1637" spans="2:20" x14ac:dyDescent="0.3">
      <c r="B1637" s="74">
        <f t="shared" ca="1" si="350"/>
      </c>
      <c r="C1637" s="78">
        <f>Кабельный_журнал!P1603</f>
      </c>
      <c r="D1637" s="74">
        <f t="shared" ca="1" si="351"/>
      </c>
      <c r="E1637" s="80" t="s">
        <v>279</v>
      </c>
      <c r="F1637" s="74">
        <f t="shared" ca="1" si="347"/>
      </c>
      <c r="G1637" s="74">
        <f t="shared" si="348"/>
      </c>
      <c r="H1637" s="80" t="s">
        <v>272</v>
      </c>
      <c r="I1637" s="74">
        <f t="shared" si="349"/>
      </c>
      <c r="J1637" s="74">
        <f t="shared" si="352"/>
      </c>
      <c r="K1637" s="80" t="s">
        <v>280</v>
      </c>
      <c r="L1637" s="74">
        <f t="shared" si="353"/>
      </c>
      <c r="M1637" s="74">
        <f t="shared" ca="1" si="354"/>
      </c>
      <c r="N1637" s="74">
        <f ca="1">VLOOKUP(B1637,$C$7:$T1635,13,FALSE)</f>
      </c>
      <c r="O1637" s="74">
        <f t="shared" ca="1" si="355"/>
      </c>
      <c r="P1637" s="74">
        <f t="shared" ca="1" si="356"/>
      </c>
      <c r="Q1637" s="74">
        <f t="shared" ca="1" si="357"/>
      </c>
      <c r="R1637" s="74">
        <f t="shared" si="358"/>
      </c>
      <c r="S1637" s="74">
        <f t="shared" ca="1" si="359"/>
      </c>
      <c r="T1637" s="74">
        <f t="shared" si="360"/>
      </c>
    </row>
    <row r="1638" spans="2:20" x14ac:dyDescent="0.3">
      <c r="B1638" s="74">
        <f t="shared" ca="1" si="350"/>
      </c>
      <c r="C1638" s="78">
        <f>Кабельный_журнал!P1604</f>
      </c>
      <c r="D1638" s="74">
        <f t="shared" ca="1" si="351"/>
      </c>
      <c r="E1638" s="80" t="s">
        <v>279</v>
      </c>
      <c r="F1638" s="74">
        <f t="shared" ca="1" si="347"/>
      </c>
      <c r="G1638" s="74">
        <f t="shared" si="348"/>
      </c>
      <c r="H1638" s="80" t="s">
        <v>272</v>
      </c>
      <c r="I1638" s="74">
        <f t="shared" si="349"/>
      </c>
      <c r="J1638" s="74">
        <f t="shared" si="352"/>
      </c>
      <c r="K1638" s="80" t="s">
        <v>280</v>
      </c>
      <c r="L1638" s="74">
        <f t="shared" si="353"/>
      </c>
      <c r="M1638" s="74">
        <f t="shared" ca="1" si="354"/>
      </c>
      <c r="N1638" s="74">
        <f ca="1">VLOOKUP(B1638,$C$7:$T1636,13,FALSE)</f>
      </c>
      <c r="O1638" s="74">
        <f t="shared" ca="1" si="355"/>
      </c>
      <c r="P1638" s="74">
        <f t="shared" ca="1" si="356"/>
      </c>
      <c r="Q1638" s="74">
        <f t="shared" ca="1" si="357"/>
      </c>
      <c r="R1638" s="74">
        <f t="shared" si="358"/>
      </c>
      <c r="S1638" s="74">
        <f t="shared" ca="1" si="359"/>
      </c>
      <c r="T1638" s="74">
        <f t="shared" si="360"/>
      </c>
    </row>
    <row r="1639" spans="2:20" x14ac:dyDescent="0.3">
      <c r="B1639" s="74">
        <f t="shared" ca="1" si="350"/>
      </c>
      <c r="C1639" s="78">
        <f>Кабельный_журнал!P1605</f>
      </c>
      <c r="D1639" s="74">
        <f t="shared" ca="1" si="351"/>
      </c>
      <c r="E1639" s="80" t="s">
        <v>279</v>
      </c>
      <c r="F1639" s="74">
        <f t="shared" ref="F1639:F1702" ca="1" si="361">VLOOKUP(C1639,Кабельный_журнал,8,FALSE)</f>
      </c>
      <c r="G1639" s="74">
        <f t="shared" ref="G1639:G1702" si="362">VLOOKUP(C1639,Исходные_данные,21,FALSE)</f>
      </c>
      <c r="H1639" s="80" t="s">
        <v>272</v>
      </c>
      <c r="I1639" s="74">
        <f t="shared" ref="I1639:I1702" si="363">VLOOKUP(C1639,Исходные_данные,22,FALSE)</f>
      </c>
      <c r="J1639" s="74">
        <f t="shared" si="352"/>
      </c>
      <c r="K1639" s="80" t="s">
        <v>280</v>
      </c>
      <c r="L1639" s="74">
        <f t="shared" si="353"/>
      </c>
      <c r="M1639" s="74">
        <f t="shared" ca="1" si="354"/>
      </c>
      <c r="N1639" s="74">
        <f ca="1">VLOOKUP(B1639,$C$7:$T1637,13,FALSE)</f>
      </c>
      <c r="O1639" s="74">
        <f t="shared" ca="1" si="355"/>
      </c>
      <c r="P1639" s="74">
        <f t="shared" ca="1" si="356"/>
      </c>
      <c r="Q1639" s="74">
        <f t="shared" ca="1" si="357"/>
      </c>
      <c r="R1639" s="74">
        <f t="shared" si="358"/>
      </c>
      <c r="S1639" s="74">
        <f t="shared" ca="1" si="359"/>
      </c>
      <c r="T1639" s="74">
        <f t="shared" si="360"/>
      </c>
    </row>
    <row r="1640" spans="2:20" x14ac:dyDescent="0.3">
      <c r="B1640" s="74">
        <f t="shared" ref="B1640:B1703" ca="1" si="364">VLOOKUP(C1640,Кабельный_журнал,2,FALSE)</f>
      </c>
      <c r="C1640" s="78">
        <f>Кабельный_журнал!P1606</f>
      </c>
      <c r="D1640" s="74">
        <f t="shared" ref="D1640:D1703" ca="1" si="365">B1640&amp;"-"&amp;C1640</f>
      </c>
      <c r="E1640" s="80" t="s">
        <v>279</v>
      </c>
      <c r="F1640" s="74">
        <f t="shared" ca="1" si="361"/>
      </c>
      <c r="G1640" s="74">
        <f t="shared" si="362"/>
      </c>
      <c r="H1640" s="80" t="s">
        <v>272</v>
      </c>
      <c r="I1640" s="74">
        <f t="shared" si="363"/>
      </c>
      <c r="J1640" s="74">
        <f t="shared" ref="J1640:J1703" si="366">I1640</f>
      </c>
      <c r="K1640" s="80" t="s">
        <v>280</v>
      </c>
      <c r="L1640" s="74">
        <f t="shared" ref="L1640:L1703" si="367">VLOOKUP(K1640,$K$2:$L$3,2,FALSE)</f>
      </c>
      <c r="M1640" s="74">
        <f t="shared" ref="M1640:M1703" ca="1" si="368">L1640*F1640*(1/I1640+1/J1640)</f>
      </c>
      <c r="N1640" s="74">
        <f ca="1">VLOOKUP(B1640,$C$7:$T1638,13,FALSE)</f>
      </c>
      <c r="O1640" s="74">
        <f t="shared" ref="O1640:O1703" ca="1" si="369">L1640+M1640</f>
      </c>
      <c r="P1640" s="74">
        <f t="shared" ref="P1640:P1703" ca="1" si="370">220/O1640</f>
      </c>
      <c r="Q1640" s="74">
        <f t="shared" ref="Q1640:Q1703" ca="1" si="371">O1640/G1640</f>
      </c>
      <c r="R1640" s="74">
        <f t="shared" ref="R1640:R1703" si="372">VLOOKUP(H1640,$W$2:$Y$12,3,FALSE)</f>
      </c>
      <c r="S1640" s="74">
        <f t="shared" ref="S1640:S1703" ca="1" si="373">_xlfn.IFS(E1640="щит",IF(P1640&gt;R1640,"Увел сеч",IF(T1640&gt;P1640,"Увел сеч","tср&lt;5с")),E1640="потреб",IF(P1640&gt;R1640,"Увел сеч",IF(T1640&gt;P1640,"Увел сеч","tср&lt;0.4с")))</f>
      </c>
      <c r="T1640" s="74">
        <f t="shared" ref="T1640:T1703" si="374">G1640*VLOOKUP(H1640,$W$2:$Y$12,2,FALSE)</f>
      </c>
    </row>
    <row r="1641" spans="2:20" x14ac:dyDescent="0.3">
      <c r="B1641" s="74">
        <f t="shared" ca="1" si="364"/>
      </c>
      <c r="C1641" s="78">
        <f>Кабельный_журнал!P1607</f>
      </c>
      <c r="D1641" s="74">
        <f t="shared" ca="1" si="365"/>
      </c>
      <c r="E1641" s="80" t="s">
        <v>279</v>
      </c>
      <c r="F1641" s="74">
        <f t="shared" ca="1" si="361"/>
      </c>
      <c r="G1641" s="74">
        <f t="shared" si="362"/>
      </c>
      <c r="H1641" s="80" t="s">
        <v>272</v>
      </c>
      <c r="I1641" s="74">
        <f t="shared" si="363"/>
      </c>
      <c r="J1641" s="74">
        <f t="shared" si="366"/>
      </c>
      <c r="K1641" s="80" t="s">
        <v>280</v>
      </c>
      <c r="L1641" s="74">
        <f t="shared" si="367"/>
      </c>
      <c r="M1641" s="74">
        <f t="shared" ca="1" si="368"/>
      </c>
      <c r="N1641" s="74">
        <f ca="1">VLOOKUP(B1641,$C$7:$T1639,13,FALSE)</f>
      </c>
      <c r="O1641" s="74">
        <f t="shared" ca="1" si="369"/>
      </c>
      <c r="P1641" s="74">
        <f t="shared" ca="1" si="370"/>
      </c>
      <c r="Q1641" s="74">
        <f t="shared" ca="1" si="371"/>
      </c>
      <c r="R1641" s="74">
        <f t="shared" si="372"/>
      </c>
      <c r="S1641" s="74">
        <f t="shared" ca="1" si="373"/>
      </c>
      <c r="T1641" s="74">
        <f t="shared" si="374"/>
      </c>
    </row>
    <row r="1642" spans="2:20" x14ac:dyDescent="0.3">
      <c r="B1642" s="74">
        <f t="shared" ca="1" si="364"/>
      </c>
      <c r="C1642" s="78">
        <f>Кабельный_журнал!P1608</f>
      </c>
      <c r="D1642" s="74">
        <f t="shared" ca="1" si="365"/>
      </c>
      <c r="E1642" s="80" t="s">
        <v>279</v>
      </c>
      <c r="F1642" s="74">
        <f t="shared" ca="1" si="361"/>
      </c>
      <c r="G1642" s="74">
        <f t="shared" si="362"/>
      </c>
      <c r="H1642" s="80" t="s">
        <v>272</v>
      </c>
      <c r="I1642" s="74">
        <f t="shared" si="363"/>
      </c>
      <c r="J1642" s="74">
        <f t="shared" si="366"/>
      </c>
      <c r="K1642" s="80" t="s">
        <v>280</v>
      </c>
      <c r="L1642" s="74">
        <f t="shared" si="367"/>
      </c>
      <c r="M1642" s="74">
        <f t="shared" ca="1" si="368"/>
      </c>
      <c r="N1642" s="74">
        <f ca="1">VLOOKUP(B1642,$C$7:$T1640,13,FALSE)</f>
      </c>
      <c r="O1642" s="74">
        <f t="shared" ca="1" si="369"/>
      </c>
      <c r="P1642" s="74">
        <f t="shared" ca="1" si="370"/>
      </c>
      <c r="Q1642" s="74">
        <f t="shared" ca="1" si="371"/>
      </c>
      <c r="R1642" s="74">
        <f t="shared" si="372"/>
      </c>
      <c r="S1642" s="74">
        <f t="shared" ca="1" si="373"/>
      </c>
      <c r="T1642" s="74">
        <f t="shared" si="374"/>
      </c>
    </row>
    <row r="1643" spans="2:20" x14ac:dyDescent="0.3">
      <c r="B1643" s="74">
        <f t="shared" ca="1" si="364"/>
      </c>
      <c r="C1643" s="78">
        <f>Кабельный_журнал!P1609</f>
      </c>
      <c r="D1643" s="74">
        <f t="shared" ca="1" si="365"/>
      </c>
      <c r="E1643" s="80" t="s">
        <v>279</v>
      </c>
      <c r="F1643" s="74">
        <f t="shared" ca="1" si="361"/>
      </c>
      <c r="G1643" s="74">
        <f t="shared" si="362"/>
      </c>
      <c r="H1643" s="80" t="s">
        <v>272</v>
      </c>
      <c r="I1643" s="74">
        <f t="shared" si="363"/>
      </c>
      <c r="J1643" s="74">
        <f t="shared" si="366"/>
      </c>
      <c r="K1643" s="80" t="s">
        <v>280</v>
      </c>
      <c r="L1643" s="74">
        <f t="shared" si="367"/>
      </c>
      <c r="M1643" s="74">
        <f t="shared" ca="1" si="368"/>
      </c>
      <c r="N1643" s="74">
        <f ca="1">VLOOKUP(B1643,$C$7:$T1641,13,FALSE)</f>
      </c>
      <c r="O1643" s="74">
        <f t="shared" ca="1" si="369"/>
      </c>
      <c r="P1643" s="74">
        <f t="shared" ca="1" si="370"/>
      </c>
      <c r="Q1643" s="74">
        <f t="shared" ca="1" si="371"/>
      </c>
      <c r="R1643" s="74">
        <f t="shared" si="372"/>
      </c>
      <c r="S1643" s="74">
        <f t="shared" ca="1" si="373"/>
      </c>
      <c r="T1643" s="74">
        <f t="shared" si="374"/>
      </c>
    </row>
    <row r="1644" spans="2:20" x14ac:dyDescent="0.3">
      <c r="B1644" s="74">
        <f t="shared" ca="1" si="364"/>
      </c>
      <c r="C1644" s="78">
        <f>Кабельный_журнал!P1610</f>
      </c>
      <c r="D1644" s="74">
        <f t="shared" ca="1" si="365"/>
      </c>
      <c r="E1644" s="80" t="s">
        <v>279</v>
      </c>
      <c r="F1644" s="74">
        <f t="shared" ca="1" si="361"/>
      </c>
      <c r="G1644" s="74">
        <f t="shared" si="362"/>
      </c>
      <c r="H1644" s="80" t="s">
        <v>272</v>
      </c>
      <c r="I1644" s="74">
        <f t="shared" si="363"/>
      </c>
      <c r="J1644" s="74">
        <f t="shared" si="366"/>
      </c>
      <c r="K1644" s="80" t="s">
        <v>280</v>
      </c>
      <c r="L1644" s="74">
        <f t="shared" si="367"/>
      </c>
      <c r="M1644" s="74">
        <f t="shared" ca="1" si="368"/>
      </c>
      <c r="N1644" s="74">
        <f ca="1">VLOOKUP(B1644,$C$7:$T1642,13,FALSE)</f>
      </c>
      <c r="O1644" s="74">
        <f t="shared" ca="1" si="369"/>
      </c>
      <c r="P1644" s="74">
        <f t="shared" ca="1" si="370"/>
      </c>
      <c r="Q1644" s="74">
        <f t="shared" ca="1" si="371"/>
      </c>
      <c r="R1644" s="74">
        <f t="shared" si="372"/>
      </c>
      <c r="S1644" s="74">
        <f t="shared" ca="1" si="373"/>
      </c>
      <c r="T1644" s="74">
        <f t="shared" si="374"/>
      </c>
    </row>
    <row r="1645" spans="2:20" x14ac:dyDescent="0.3">
      <c r="B1645" s="74">
        <f t="shared" ca="1" si="364"/>
      </c>
      <c r="C1645" s="78">
        <f>Кабельный_журнал!P1611</f>
      </c>
      <c r="D1645" s="74">
        <f t="shared" ca="1" si="365"/>
      </c>
      <c r="E1645" s="80" t="s">
        <v>279</v>
      </c>
      <c r="F1645" s="74">
        <f t="shared" ca="1" si="361"/>
      </c>
      <c r="G1645" s="74">
        <f t="shared" si="362"/>
      </c>
      <c r="H1645" s="80" t="s">
        <v>272</v>
      </c>
      <c r="I1645" s="74">
        <f t="shared" si="363"/>
      </c>
      <c r="J1645" s="74">
        <f t="shared" si="366"/>
      </c>
      <c r="K1645" s="80" t="s">
        <v>280</v>
      </c>
      <c r="L1645" s="74">
        <f t="shared" si="367"/>
      </c>
      <c r="M1645" s="74">
        <f t="shared" ca="1" si="368"/>
      </c>
      <c r="N1645" s="74">
        <f ca="1">VLOOKUP(B1645,$C$7:$T1643,13,FALSE)</f>
      </c>
      <c r="O1645" s="74">
        <f t="shared" ca="1" si="369"/>
      </c>
      <c r="P1645" s="74">
        <f t="shared" ca="1" si="370"/>
      </c>
      <c r="Q1645" s="74">
        <f t="shared" ca="1" si="371"/>
      </c>
      <c r="R1645" s="74">
        <f t="shared" si="372"/>
      </c>
      <c r="S1645" s="74">
        <f t="shared" ca="1" si="373"/>
      </c>
      <c r="T1645" s="74">
        <f t="shared" si="374"/>
      </c>
    </row>
    <row r="1646" spans="2:20" x14ac:dyDescent="0.3">
      <c r="B1646" s="74">
        <f t="shared" ca="1" si="364"/>
      </c>
      <c r="C1646" s="78">
        <f>Кабельный_журнал!P1612</f>
      </c>
      <c r="D1646" s="74">
        <f t="shared" ca="1" si="365"/>
      </c>
      <c r="E1646" s="80" t="s">
        <v>279</v>
      </c>
      <c r="F1646" s="74">
        <f t="shared" ca="1" si="361"/>
      </c>
      <c r="G1646" s="74">
        <f t="shared" si="362"/>
      </c>
      <c r="H1646" s="80" t="s">
        <v>272</v>
      </c>
      <c r="I1646" s="74">
        <f t="shared" si="363"/>
      </c>
      <c r="J1646" s="74">
        <f t="shared" si="366"/>
      </c>
      <c r="K1646" s="80" t="s">
        <v>280</v>
      </c>
      <c r="L1646" s="74">
        <f t="shared" si="367"/>
      </c>
      <c r="M1646" s="74">
        <f t="shared" ca="1" si="368"/>
      </c>
      <c r="N1646" s="74">
        <f ca="1">VLOOKUP(B1646,$C$7:$T1644,13,FALSE)</f>
      </c>
      <c r="O1646" s="74">
        <f t="shared" ca="1" si="369"/>
      </c>
      <c r="P1646" s="74">
        <f t="shared" ca="1" si="370"/>
      </c>
      <c r="Q1646" s="74">
        <f t="shared" ca="1" si="371"/>
      </c>
      <c r="R1646" s="74">
        <f t="shared" si="372"/>
      </c>
      <c r="S1646" s="74">
        <f t="shared" ca="1" si="373"/>
      </c>
      <c r="T1646" s="74">
        <f t="shared" si="374"/>
      </c>
    </row>
    <row r="1647" spans="2:20" x14ac:dyDescent="0.3">
      <c r="B1647" s="74">
        <f t="shared" ca="1" si="364"/>
      </c>
      <c r="C1647" s="78">
        <f>Кабельный_журнал!P1613</f>
      </c>
      <c r="D1647" s="74">
        <f t="shared" ca="1" si="365"/>
      </c>
      <c r="E1647" s="80" t="s">
        <v>279</v>
      </c>
      <c r="F1647" s="74">
        <f t="shared" ca="1" si="361"/>
      </c>
      <c r="G1647" s="74">
        <f t="shared" si="362"/>
      </c>
      <c r="H1647" s="80" t="s">
        <v>272</v>
      </c>
      <c r="I1647" s="74">
        <f t="shared" si="363"/>
      </c>
      <c r="J1647" s="74">
        <f t="shared" si="366"/>
      </c>
      <c r="K1647" s="80" t="s">
        <v>280</v>
      </c>
      <c r="L1647" s="74">
        <f t="shared" si="367"/>
      </c>
      <c r="M1647" s="74">
        <f t="shared" ca="1" si="368"/>
      </c>
      <c r="N1647" s="74">
        <f ca="1">VLOOKUP(B1647,$C$7:$T1645,13,FALSE)</f>
      </c>
      <c r="O1647" s="74">
        <f t="shared" ca="1" si="369"/>
      </c>
      <c r="P1647" s="74">
        <f t="shared" ca="1" si="370"/>
      </c>
      <c r="Q1647" s="74">
        <f t="shared" ca="1" si="371"/>
      </c>
      <c r="R1647" s="74">
        <f t="shared" si="372"/>
      </c>
      <c r="S1647" s="74">
        <f t="shared" ca="1" si="373"/>
      </c>
      <c r="T1647" s="74">
        <f t="shared" si="374"/>
      </c>
    </row>
    <row r="1648" spans="2:20" x14ac:dyDescent="0.3">
      <c r="B1648" s="74">
        <f t="shared" ca="1" si="364"/>
      </c>
      <c r="C1648" s="78">
        <f>Кабельный_журнал!P1614</f>
      </c>
      <c r="D1648" s="74">
        <f t="shared" ca="1" si="365"/>
      </c>
      <c r="E1648" s="80" t="s">
        <v>279</v>
      </c>
      <c r="F1648" s="74">
        <f t="shared" ca="1" si="361"/>
      </c>
      <c r="G1648" s="74">
        <f t="shared" si="362"/>
      </c>
      <c r="H1648" s="80" t="s">
        <v>272</v>
      </c>
      <c r="I1648" s="74">
        <f t="shared" si="363"/>
      </c>
      <c r="J1648" s="74">
        <f t="shared" si="366"/>
      </c>
      <c r="K1648" s="80" t="s">
        <v>280</v>
      </c>
      <c r="L1648" s="74">
        <f t="shared" si="367"/>
      </c>
      <c r="M1648" s="74">
        <f t="shared" ca="1" si="368"/>
      </c>
      <c r="N1648" s="74">
        <f ca="1">VLOOKUP(B1648,$C$7:$T1646,13,FALSE)</f>
      </c>
      <c r="O1648" s="74">
        <f t="shared" ca="1" si="369"/>
      </c>
      <c r="P1648" s="74">
        <f t="shared" ca="1" si="370"/>
      </c>
      <c r="Q1648" s="74">
        <f t="shared" ca="1" si="371"/>
      </c>
      <c r="R1648" s="74">
        <f t="shared" si="372"/>
      </c>
      <c r="S1648" s="74">
        <f t="shared" ca="1" si="373"/>
      </c>
      <c r="T1648" s="74">
        <f t="shared" si="374"/>
      </c>
    </row>
    <row r="1649" spans="2:20" x14ac:dyDescent="0.3">
      <c r="B1649" s="74">
        <f t="shared" ca="1" si="364"/>
      </c>
      <c r="C1649" s="78">
        <f>Кабельный_журнал!P1615</f>
      </c>
      <c r="D1649" s="74">
        <f t="shared" ca="1" si="365"/>
      </c>
      <c r="E1649" s="80" t="s">
        <v>279</v>
      </c>
      <c r="F1649" s="74">
        <f t="shared" ca="1" si="361"/>
      </c>
      <c r="G1649" s="74">
        <f t="shared" si="362"/>
      </c>
      <c r="H1649" s="80" t="s">
        <v>272</v>
      </c>
      <c r="I1649" s="74">
        <f t="shared" si="363"/>
      </c>
      <c r="J1649" s="74">
        <f t="shared" si="366"/>
      </c>
      <c r="K1649" s="80" t="s">
        <v>280</v>
      </c>
      <c r="L1649" s="74">
        <f t="shared" si="367"/>
      </c>
      <c r="M1649" s="74">
        <f t="shared" ca="1" si="368"/>
      </c>
      <c r="N1649" s="74">
        <f ca="1">VLOOKUP(B1649,$C$7:$T1647,13,FALSE)</f>
      </c>
      <c r="O1649" s="74">
        <f t="shared" ca="1" si="369"/>
      </c>
      <c r="P1649" s="74">
        <f t="shared" ca="1" si="370"/>
      </c>
      <c r="Q1649" s="74">
        <f t="shared" ca="1" si="371"/>
      </c>
      <c r="R1649" s="74">
        <f t="shared" si="372"/>
      </c>
      <c r="S1649" s="74">
        <f t="shared" ca="1" si="373"/>
      </c>
      <c r="T1649" s="74">
        <f t="shared" si="374"/>
      </c>
    </row>
    <row r="1650" spans="2:20" x14ac:dyDescent="0.3">
      <c r="B1650" s="74">
        <f t="shared" ca="1" si="364"/>
      </c>
      <c r="C1650" s="78">
        <f>Кабельный_журнал!P1616</f>
      </c>
      <c r="D1650" s="74">
        <f t="shared" ca="1" si="365"/>
      </c>
      <c r="E1650" s="80" t="s">
        <v>279</v>
      </c>
      <c r="F1650" s="74">
        <f t="shared" ca="1" si="361"/>
      </c>
      <c r="G1650" s="74">
        <f t="shared" si="362"/>
      </c>
      <c r="H1650" s="80" t="s">
        <v>272</v>
      </c>
      <c r="I1650" s="74">
        <f t="shared" si="363"/>
      </c>
      <c r="J1650" s="74">
        <f t="shared" si="366"/>
      </c>
      <c r="K1650" s="80" t="s">
        <v>280</v>
      </c>
      <c r="L1650" s="74">
        <f t="shared" si="367"/>
      </c>
      <c r="M1650" s="74">
        <f t="shared" ca="1" si="368"/>
      </c>
      <c r="N1650" s="74">
        <f ca="1">VLOOKUP(B1650,$C$7:$T1648,13,FALSE)</f>
      </c>
      <c r="O1650" s="74">
        <f t="shared" ca="1" si="369"/>
      </c>
      <c r="P1650" s="74">
        <f t="shared" ca="1" si="370"/>
      </c>
      <c r="Q1650" s="74">
        <f t="shared" ca="1" si="371"/>
      </c>
      <c r="R1650" s="74">
        <f t="shared" si="372"/>
      </c>
      <c r="S1650" s="74">
        <f t="shared" ca="1" si="373"/>
      </c>
      <c r="T1650" s="74">
        <f t="shared" si="374"/>
      </c>
    </row>
    <row r="1651" spans="2:20" x14ac:dyDescent="0.3">
      <c r="B1651" s="74">
        <f t="shared" ca="1" si="364"/>
      </c>
      <c r="C1651" s="78">
        <f>Кабельный_журнал!P1617</f>
      </c>
      <c r="D1651" s="74">
        <f t="shared" ca="1" si="365"/>
      </c>
      <c r="E1651" s="80" t="s">
        <v>279</v>
      </c>
      <c r="F1651" s="74">
        <f t="shared" ca="1" si="361"/>
      </c>
      <c r="G1651" s="74">
        <f t="shared" si="362"/>
      </c>
      <c r="H1651" s="80" t="s">
        <v>272</v>
      </c>
      <c r="I1651" s="74">
        <f t="shared" si="363"/>
      </c>
      <c r="J1651" s="74">
        <f t="shared" si="366"/>
      </c>
      <c r="K1651" s="80" t="s">
        <v>280</v>
      </c>
      <c r="L1651" s="74">
        <f t="shared" si="367"/>
      </c>
      <c r="M1651" s="74">
        <f t="shared" ca="1" si="368"/>
      </c>
      <c r="N1651" s="74">
        <f ca="1">VLOOKUP(B1651,$C$7:$T1649,13,FALSE)</f>
      </c>
      <c r="O1651" s="74">
        <f t="shared" ca="1" si="369"/>
      </c>
      <c r="P1651" s="74">
        <f t="shared" ca="1" si="370"/>
      </c>
      <c r="Q1651" s="74">
        <f t="shared" ca="1" si="371"/>
      </c>
      <c r="R1651" s="74">
        <f t="shared" si="372"/>
      </c>
      <c r="S1651" s="74">
        <f t="shared" ca="1" si="373"/>
      </c>
      <c r="T1651" s="74">
        <f t="shared" si="374"/>
      </c>
    </row>
    <row r="1652" spans="2:20" x14ac:dyDescent="0.3">
      <c r="B1652" s="74">
        <f t="shared" ca="1" si="364"/>
      </c>
      <c r="C1652" s="78">
        <f>Кабельный_журнал!P1618</f>
      </c>
      <c r="D1652" s="74">
        <f t="shared" ca="1" si="365"/>
      </c>
      <c r="E1652" s="80" t="s">
        <v>279</v>
      </c>
      <c r="F1652" s="74">
        <f t="shared" ca="1" si="361"/>
      </c>
      <c r="G1652" s="74">
        <f t="shared" si="362"/>
      </c>
      <c r="H1652" s="80" t="s">
        <v>272</v>
      </c>
      <c r="I1652" s="74">
        <f t="shared" si="363"/>
      </c>
      <c r="J1652" s="74">
        <f t="shared" si="366"/>
      </c>
      <c r="K1652" s="80" t="s">
        <v>280</v>
      </c>
      <c r="L1652" s="74">
        <f t="shared" si="367"/>
      </c>
      <c r="M1652" s="74">
        <f t="shared" ca="1" si="368"/>
      </c>
      <c r="N1652" s="74">
        <f ca="1">VLOOKUP(B1652,$C$7:$T1650,13,FALSE)</f>
      </c>
      <c r="O1652" s="74">
        <f t="shared" ca="1" si="369"/>
      </c>
      <c r="P1652" s="74">
        <f t="shared" ca="1" si="370"/>
      </c>
      <c r="Q1652" s="74">
        <f t="shared" ca="1" si="371"/>
      </c>
      <c r="R1652" s="74">
        <f t="shared" si="372"/>
      </c>
      <c r="S1652" s="74">
        <f t="shared" ca="1" si="373"/>
      </c>
      <c r="T1652" s="74">
        <f t="shared" si="374"/>
      </c>
    </row>
    <row r="1653" spans="2:20" x14ac:dyDescent="0.3">
      <c r="B1653" s="74">
        <f t="shared" ca="1" si="364"/>
      </c>
      <c r="C1653" s="78">
        <f>Кабельный_журнал!P1619</f>
      </c>
      <c r="D1653" s="74">
        <f t="shared" ca="1" si="365"/>
      </c>
      <c r="E1653" s="80" t="s">
        <v>279</v>
      </c>
      <c r="F1653" s="74">
        <f t="shared" ca="1" si="361"/>
      </c>
      <c r="G1653" s="74">
        <f t="shared" si="362"/>
      </c>
      <c r="H1653" s="80" t="s">
        <v>272</v>
      </c>
      <c r="I1653" s="74">
        <f t="shared" si="363"/>
      </c>
      <c r="J1653" s="74">
        <f t="shared" si="366"/>
      </c>
      <c r="K1653" s="80" t="s">
        <v>280</v>
      </c>
      <c r="L1653" s="74">
        <f t="shared" si="367"/>
      </c>
      <c r="M1653" s="74">
        <f t="shared" ca="1" si="368"/>
      </c>
      <c r="N1653" s="74">
        <f ca="1">VLOOKUP(B1653,$C$7:$T1651,13,FALSE)</f>
      </c>
      <c r="O1653" s="74">
        <f t="shared" ca="1" si="369"/>
      </c>
      <c r="P1653" s="74">
        <f t="shared" ca="1" si="370"/>
      </c>
      <c r="Q1653" s="74">
        <f t="shared" ca="1" si="371"/>
      </c>
      <c r="R1653" s="74">
        <f t="shared" si="372"/>
      </c>
      <c r="S1653" s="74">
        <f t="shared" ca="1" si="373"/>
      </c>
      <c r="T1653" s="74">
        <f t="shared" si="374"/>
      </c>
    </row>
    <row r="1654" spans="2:20" x14ac:dyDescent="0.3">
      <c r="B1654" s="74">
        <f t="shared" ca="1" si="364"/>
      </c>
      <c r="C1654" s="78">
        <f>Кабельный_журнал!P1620</f>
      </c>
      <c r="D1654" s="74">
        <f t="shared" ca="1" si="365"/>
      </c>
      <c r="E1654" s="80" t="s">
        <v>279</v>
      </c>
      <c r="F1654" s="74">
        <f t="shared" ca="1" si="361"/>
      </c>
      <c r="G1654" s="74">
        <f t="shared" si="362"/>
      </c>
      <c r="H1654" s="80" t="s">
        <v>272</v>
      </c>
      <c r="I1654" s="74">
        <f t="shared" si="363"/>
      </c>
      <c r="J1654" s="74">
        <f t="shared" si="366"/>
      </c>
      <c r="K1654" s="80" t="s">
        <v>280</v>
      </c>
      <c r="L1654" s="74">
        <f t="shared" si="367"/>
      </c>
      <c r="M1654" s="74">
        <f t="shared" ca="1" si="368"/>
      </c>
      <c r="N1654" s="74">
        <f ca="1">VLOOKUP(B1654,$C$7:$T1652,13,FALSE)</f>
      </c>
      <c r="O1654" s="74">
        <f t="shared" ca="1" si="369"/>
      </c>
      <c r="P1654" s="74">
        <f t="shared" ca="1" si="370"/>
      </c>
      <c r="Q1654" s="74">
        <f t="shared" ca="1" si="371"/>
      </c>
      <c r="R1654" s="74">
        <f t="shared" si="372"/>
      </c>
      <c r="S1654" s="74">
        <f t="shared" ca="1" si="373"/>
      </c>
      <c r="T1654" s="74">
        <f t="shared" si="374"/>
      </c>
    </row>
    <row r="1655" spans="2:20" x14ac:dyDescent="0.3">
      <c r="B1655" s="74">
        <f t="shared" ca="1" si="364"/>
      </c>
      <c r="C1655" s="78">
        <f>Кабельный_журнал!P1621</f>
      </c>
      <c r="D1655" s="74">
        <f t="shared" ca="1" si="365"/>
      </c>
      <c r="E1655" s="80" t="s">
        <v>279</v>
      </c>
      <c r="F1655" s="74">
        <f t="shared" ca="1" si="361"/>
      </c>
      <c r="G1655" s="74">
        <f t="shared" si="362"/>
      </c>
      <c r="H1655" s="80" t="s">
        <v>272</v>
      </c>
      <c r="I1655" s="74">
        <f t="shared" si="363"/>
      </c>
      <c r="J1655" s="74">
        <f t="shared" si="366"/>
      </c>
      <c r="K1655" s="80" t="s">
        <v>280</v>
      </c>
      <c r="L1655" s="74">
        <f t="shared" si="367"/>
      </c>
      <c r="M1655" s="74">
        <f t="shared" ca="1" si="368"/>
      </c>
      <c r="N1655" s="74">
        <f ca="1">VLOOKUP(B1655,$C$7:$T1653,13,FALSE)</f>
      </c>
      <c r="O1655" s="74">
        <f t="shared" ca="1" si="369"/>
      </c>
      <c r="P1655" s="74">
        <f t="shared" ca="1" si="370"/>
      </c>
      <c r="Q1655" s="74">
        <f t="shared" ca="1" si="371"/>
      </c>
      <c r="R1655" s="74">
        <f t="shared" si="372"/>
      </c>
      <c r="S1655" s="74">
        <f t="shared" ca="1" si="373"/>
      </c>
      <c r="T1655" s="74">
        <f t="shared" si="374"/>
      </c>
    </row>
    <row r="1656" spans="2:20" x14ac:dyDescent="0.3">
      <c r="B1656" s="74">
        <f t="shared" ca="1" si="364"/>
      </c>
      <c r="C1656" s="78">
        <f>Кабельный_журнал!P1622</f>
      </c>
      <c r="D1656" s="74">
        <f t="shared" ca="1" si="365"/>
      </c>
      <c r="E1656" s="80" t="s">
        <v>279</v>
      </c>
      <c r="F1656" s="74">
        <f t="shared" ca="1" si="361"/>
      </c>
      <c r="G1656" s="74">
        <f t="shared" si="362"/>
      </c>
      <c r="H1656" s="80" t="s">
        <v>272</v>
      </c>
      <c r="I1656" s="74">
        <f t="shared" si="363"/>
      </c>
      <c r="J1656" s="74">
        <f t="shared" si="366"/>
      </c>
      <c r="K1656" s="80" t="s">
        <v>280</v>
      </c>
      <c r="L1656" s="74">
        <f t="shared" si="367"/>
      </c>
      <c r="M1656" s="74">
        <f t="shared" ca="1" si="368"/>
      </c>
      <c r="N1656" s="74">
        <f ca="1">VLOOKUP(B1656,$C$7:$T1654,13,FALSE)</f>
      </c>
      <c r="O1656" s="74">
        <f t="shared" ca="1" si="369"/>
      </c>
      <c r="P1656" s="74">
        <f t="shared" ca="1" si="370"/>
      </c>
      <c r="Q1656" s="74">
        <f t="shared" ca="1" si="371"/>
      </c>
      <c r="R1656" s="74">
        <f t="shared" si="372"/>
      </c>
      <c r="S1656" s="74">
        <f t="shared" ca="1" si="373"/>
      </c>
      <c r="T1656" s="74">
        <f t="shared" si="374"/>
      </c>
    </row>
    <row r="1657" spans="2:20" x14ac:dyDescent="0.3">
      <c r="B1657" s="74">
        <f t="shared" ca="1" si="364"/>
      </c>
      <c r="C1657" s="78">
        <f>Кабельный_журнал!P1623</f>
      </c>
      <c r="D1657" s="74">
        <f t="shared" ca="1" si="365"/>
      </c>
      <c r="E1657" s="80" t="s">
        <v>279</v>
      </c>
      <c r="F1657" s="74">
        <f t="shared" ca="1" si="361"/>
      </c>
      <c r="G1657" s="74">
        <f t="shared" si="362"/>
      </c>
      <c r="H1657" s="80" t="s">
        <v>272</v>
      </c>
      <c r="I1657" s="74">
        <f t="shared" si="363"/>
      </c>
      <c r="J1657" s="74">
        <f t="shared" si="366"/>
      </c>
      <c r="K1657" s="80" t="s">
        <v>280</v>
      </c>
      <c r="L1657" s="74">
        <f t="shared" si="367"/>
      </c>
      <c r="M1657" s="74">
        <f t="shared" ca="1" si="368"/>
      </c>
      <c r="N1657" s="74">
        <f ca="1">VLOOKUP(B1657,$C$7:$T1655,13,FALSE)</f>
      </c>
      <c r="O1657" s="74">
        <f t="shared" ca="1" si="369"/>
      </c>
      <c r="P1657" s="74">
        <f t="shared" ca="1" si="370"/>
      </c>
      <c r="Q1657" s="74">
        <f t="shared" ca="1" si="371"/>
      </c>
      <c r="R1657" s="74">
        <f t="shared" si="372"/>
      </c>
      <c r="S1657" s="74">
        <f t="shared" ca="1" si="373"/>
      </c>
      <c r="T1657" s="74">
        <f t="shared" si="374"/>
      </c>
    </row>
    <row r="1658" spans="2:20" x14ac:dyDescent="0.3">
      <c r="B1658" s="74">
        <f t="shared" ca="1" si="364"/>
      </c>
      <c r="C1658" s="78">
        <f>Кабельный_журнал!P1624</f>
      </c>
      <c r="D1658" s="74">
        <f t="shared" ca="1" si="365"/>
      </c>
      <c r="E1658" s="80" t="s">
        <v>279</v>
      </c>
      <c r="F1658" s="74">
        <f t="shared" ca="1" si="361"/>
      </c>
      <c r="G1658" s="74">
        <f t="shared" si="362"/>
      </c>
      <c r="H1658" s="80" t="s">
        <v>272</v>
      </c>
      <c r="I1658" s="74">
        <f t="shared" si="363"/>
      </c>
      <c r="J1658" s="74">
        <f t="shared" si="366"/>
      </c>
      <c r="K1658" s="80" t="s">
        <v>280</v>
      </c>
      <c r="L1658" s="74">
        <f t="shared" si="367"/>
      </c>
      <c r="M1658" s="74">
        <f t="shared" ca="1" si="368"/>
      </c>
      <c r="N1658" s="74">
        <f ca="1">VLOOKUP(B1658,$C$7:$T1656,13,FALSE)</f>
      </c>
      <c r="O1658" s="74">
        <f t="shared" ca="1" si="369"/>
      </c>
      <c r="P1658" s="74">
        <f t="shared" ca="1" si="370"/>
      </c>
      <c r="Q1658" s="74">
        <f t="shared" ca="1" si="371"/>
      </c>
      <c r="R1658" s="74">
        <f t="shared" si="372"/>
      </c>
      <c r="S1658" s="74">
        <f t="shared" ca="1" si="373"/>
      </c>
      <c r="T1658" s="74">
        <f t="shared" si="374"/>
      </c>
    </row>
    <row r="1659" spans="2:20" x14ac:dyDescent="0.3">
      <c r="B1659" s="74">
        <f t="shared" ca="1" si="364"/>
      </c>
      <c r="C1659" s="78">
        <f>Кабельный_журнал!P1625</f>
      </c>
      <c r="D1659" s="74">
        <f t="shared" ca="1" si="365"/>
      </c>
      <c r="E1659" s="80" t="s">
        <v>279</v>
      </c>
      <c r="F1659" s="74">
        <f t="shared" ca="1" si="361"/>
      </c>
      <c r="G1659" s="74">
        <f t="shared" si="362"/>
      </c>
      <c r="H1659" s="80" t="s">
        <v>272</v>
      </c>
      <c r="I1659" s="74">
        <f t="shared" si="363"/>
      </c>
      <c r="J1659" s="74">
        <f t="shared" si="366"/>
      </c>
      <c r="K1659" s="80" t="s">
        <v>280</v>
      </c>
      <c r="L1659" s="74">
        <f t="shared" si="367"/>
      </c>
      <c r="M1659" s="74">
        <f t="shared" ca="1" si="368"/>
      </c>
      <c r="N1659" s="74">
        <f ca="1">VLOOKUP(B1659,$C$7:$T1657,13,FALSE)</f>
      </c>
      <c r="O1659" s="74">
        <f t="shared" ca="1" si="369"/>
      </c>
      <c r="P1659" s="74">
        <f t="shared" ca="1" si="370"/>
      </c>
      <c r="Q1659" s="74">
        <f t="shared" ca="1" si="371"/>
      </c>
      <c r="R1659" s="74">
        <f t="shared" si="372"/>
      </c>
      <c r="S1659" s="74">
        <f t="shared" ca="1" si="373"/>
      </c>
      <c r="T1659" s="74">
        <f t="shared" si="374"/>
      </c>
    </row>
    <row r="1660" spans="2:20" x14ac:dyDescent="0.3">
      <c r="B1660" s="74">
        <f t="shared" ca="1" si="364"/>
      </c>
      <c r="C1660" s="78">
        <f>Кабельный_журнал!P1626</f>
      </c>
      <c r="D1660" s="74">
        <f t="shared" ca="1" si="365"/>
      </c>
      <c r="E1660" s="80" t="s">
        <v>279</v>
      </c>
      <c r="F1660" s="74">
        <f t="shared" ca="1" si="361"/>
      </c>
      <c r="G1660" s="74">
        <f t="shared" si="362"/>
      </c>
      <c r="H1660" s="80" t="s">
        <v>272</v>
      </c>
      <c r="I1660" s="74">
        <f t="shared" si="363"/>
      </c>
      <c r="J1660" s="74">
        <f t="shared" si="366"/>
      </c>
      <c r="K1660" s="80" t="s">
        <v>280</v>
      </c>
      <c r="L1660" s="74">
        <f t="shared" si="367"/>
      </c>
      <c r="M1660" s="74">
        <f t="shared" ca="1" si="368"/>
      </c>
      <c r="N1660" s="74">
        <f ca="1">VLOOKUP(B1660,$C$7:$T1658,13,FALSE)</f>
      </c>
      <c r="O1660" s="74">
        <f t="shared" ca="1" si="369"/>
      </c>
      <c r="P1660" s="74">
        <f t="shared" ca="1" si="370"/>
      </c>
      <c r="Q1660" s="74">
        <f t="shared" ca="1" si="371"/>
      </c>
      <c r="R1660" s="74">
        <f t="shared" si="372"/>
      </c>
      <c r="S1660" s="74">
        <f t="shared" ca="1" si="373"/>
      </c>
      <c r="T1660" s="74">
        <f t="shared" si="374"/>
      </c>
    </row>
    <row r="1661" spans="2:20" x14ac:dyDescent="0.3">
      <c r="B1661" s="74">
        <f t="shared" ca="1" si="364"/>
      </c>
      <c r="C1661" s="78">
        <f>Кабельный_журнал!P1627</f>
      </c>
      <c r="D1661" s="74">
        <f t="shared" ca="1" si="365"/>
      </c>
      <c r="E1661" s="80" t="s">
        <v>279</v>
      </c>
      <c r="F1661" s="74">
        <f t="shared" ca="1" si="361"/>
      </c>
      <c r="G1661" s="74">
        <f t="shared" si="362"/>
      </c>
      <c r="H1661" s="80" t="s">
        <v>272</v>
      </c>
      <c r="I1661" s="74">
        <f t="shared" si="363"/>
      </c>
      <c r="J1661" s="74">
        <f t="shared" si="366"/>
      </c>
      <c r="K1661" s="80" t="s">
        <v>280</v>
      </c>
      <c r="L1661" s="74">
        <f t="shared" si="367"/>
      </c>
      <c r="M1661" s="74">
        <f t="shared" ca="1" si="368"/>
      </c>
      <c r="N1661" s="74">
        <f ca="1">VLOOKUP(B1661,$C$7:$T1659,13,FALSE)</f>
      </c>
      <c r="O1661" s="74">
        <f t="shared" ca="1" si="369"/>
      </c>
      <c r="P1661" s="74">
        <f t="shared" ca="1" si="370"/>
      </c>
      <c r="Q1661" s="74">
        <f t="shared" ca="1" si="371"/>
      </c>
      <c r="R1661" s="74">
        <f t="shared" si="372"/>
      </c>
      <c r="S1661" s="74">
        <f t="shared" ca="1" si="373"/>
      </c>
      <c r="T1661" s="74">
        <f t="shared" si="374"/>
      </c>
    </row>
    <row r="1662" spans="2:20" x14ac:dyDescent="0.3">
      <c r="B1662" s="74">
        <f t="shared" ca="1" si="364"/>
      </c>
      <c r="C1662" s="78">
        <f>Кабельный_журнал!P1628</f>
      </c>
      <c r="D1662" s="74">
        <f t="shared" ca="1" si="365"/>
      </c>
      <c r="E1662" s="80" t="s">
        <v>279</v>
      </c>
      <c r="F1662" s="74">
        <f t="shared" ca="1" si="361"/>
      </c>
      <c r="G1662" s="74">
        <f t="shared" si="362"/>
      </c>
      <c r="H1662" s="80" t="s">
        <v>272</v>
      </c>
      <c r="I1662" s="74">
        <f t="shared" si="363"/>
      </c>
      <c r="J1662" s="74">
        <f t="shared" si="366"/>
      </c>
      <c r="K1662" s="80" t="s">
        <v>280</v>
      </c>
      <c r="L1662" s="74">
        <f t="shared" si="367"/>
      </c>
      <c r="M1662" s="74">
        <f t="shared" ca="1" si="368"/>
      </c>
      <c r="N1662" s="74">
        <f ca="1">VLOOKUP(B1662,$C$7:$T1660,13,FALSE)</f>
      </c>
      <c r="O1662" s="74">
        <f t="shared" ca="1" si="369"/>
      </c>
      <c r="P1662" s="74">
        <f t="shared" ca="1" si="370"/>
      </c>
      <c r="Q1662" s="74">
        <f t="shared" ca="1" si="371"/>
      </c>
      <c r="R1662" s="74">
        <f t="shared" si="372"/>
      </c>
      <c r="S1662" s="74">
        <f t="shared" ca="1" si="373"/>
      </c>
      <c r="T1662" s="74">
        <f t="shared" si="374"/>
      </c>
    </row>
    <row r="1663" spans="2:20" x14ac:dyDescent="0.3">
      <c r="B1663" s="74">
        <f t="shared" ca="1" si="364"/>
      </c>
      <c r="C1663" s="78">
        <f>Кабельный_журнал!P1629</f>
      </c>
      <c r="D1663" s="74">
        <f t="shared" ca="1" si="365"/>
      </c>
      <c r="E1663" s="80" t="s">
        <v>279</v>
      </c>
      <c r="F1663" s="74">
        <f t="shared" ca="1" si="361"/>
      </c>
      <c r="G1663" s="74">
        <f t="shared" si="362"/>
      </c>
      <c r="H1663" s="80" t="s">
        <v>272</v>
      </c>
      <c r="I1663" s="74">
        <f t="shared" si="363"/>
      </c>
      <c r="J1663" s="74">
        <f t="shared" si="366"/>
      </c>
      <c r="K1663" s="80" t="s">
        <v>280</v>
      </c>
      <c r="L1663" s="74">
        <f t="shared" si="367"/>
      </c>
      <c r="M1663" s="74">
        <f t="shared" ca="1" si="368"/>
      </c>
      <c r="N1663" s="74">
        <f ca="1">VLOOKUP(B1663,$C$7:$T1661,13,FALSE)</f>
      </c>
      <c r="O1663" s="74">
        <f t="shared" ca="1" si="369"/>
      </c>
      <c r="P1663" s="74">
        <f t="shared" ca="1" si="370"/>
      </c>
      <c r="Q1663" s="74">
        <f t="shared" ca="1" si="371"/>
      </c>
      <c r="R1663" s="74">
        <f t="shared" si="372"/>
      </c>
      <c r="S1663" s="74">
        <f t="shared" ca="1" si="373"/>
      </c>
      <c r="T1663" s="74">
        <f t="shared" si="374"/>
      </c>
    </row>
    <row r="1664" spans="2:20" x14ac:dyDescent="0.3">
      <c r="B1664" s="74">
        <f t="shared" ca="1" si="364"/>
      </c>
      <c r="C1664" s="78">
        <f>Кабельный_журнал!P1630</f>
      </c>
      <c r="D1664" s="74">
        <f t="shared" ca="1" si="365"/>
      </c>
      <c r="E1664" s="80" t="s">
        <v>279</v>
      </c>
      <c r="F1664" s="74">
        <f t="shared" ca="1" si="361"/>
      </c>
      <c r="G1664" s="74">
        <f t="shared" si="362"/>
      </c>
      <c r="H1664" s="80" t="s">
        <v>272</v>
      </c>
      <c r="I1664" s="74">
        <f t="shared" si="363"/>
      </c>
      <c r="J1664" s="74">
        <f t="shared" si="366"/>
      </c>
      <c r="K1664" s="80" t="s">
        <v>280</v>
      </c>
      <c r="L1664" s="74">
        <f t="shared" si="367"/>
      </c>
      <c r="M1664" s="74">
        <f t="shared" ca="1" si="368"/>
      </c>
      <c r="N1664" s="74">
        <f ca="1">VLOOKUP(B1664,$C$7:$T1662,13,FALSE)</f>
      </c>
      <c r="O1664" s="74">
        <f t="shared" ca="1" si="369"/>
      </c>
      <c r="P1664" s="74">
        <f t="shared" ca="1" si="370"/>
      </c>
      <c r="Q1664" s="74">
        <f t="shared" ca="1" si="371"/>
      </c>
      <c r="R1664" s="74">
        <f t="shared" si="372"/>
      </c>
      <c r="S1664" s="74">
        <f t="shared" ca="1" si="373"/>
      </c>
      <c r="T1664" s="74">
        <f t="shared" si="374"/>
      </c>
    </row>
    <row r="1665" spans="2:20" x14ac:dyDescent="0.3">
      <c r="B1665" s="74">
        <f t="shared" ca="1" si="364"/>
      </c>
      <c r="C1665" s="78">
        <f>Кабельный_журнал!P1631</f>
      </c>
      <c r="D1665" s="74">
        <f t="shared" ca="1" si="365"/>
      </c>
      <c r="E1665" s="80" t="s">
        <v>279</v>
      </c>
      <c r="F1665" s="74">
        <f t="shared" ca="1" si="361"/>
      </c>
      <c r="G1665" s="74">
        <f t="shared" si="362"/>
      </c>
      <c r="H1665" s="80" t="s">
        <v>272</v>
      </c>
      <c r="I1665" s="74">
        <f t="shared" si="363"/>
      </c>
      <c r="J1665" s="74">
        <f t="shared" si="366"/>
      </c>
      <c r="K1665" s="80" t="s">
        <v>280</v>
      </c>
      <c r="L1665" s="74">
        <f t="shared" si="367"/>
      </c>
      <c r="M1665" s="74">
        <f t="shared" ca="1" si="368"/>
      </c>
      <c r="N1665" s="74">
        <f ca="1">VLOOKUP(B1665,$C$7:$T1663,13,FALSE)</f>
      </c>
      <c r="O1665" s="74">
        <f t="shared" ca="1" si="369"/>
      </c>
      <c r="P1665" s="74">
        <f t="shared" ca="1" si="370"/>
      </c>
      <c r="Q1665" s="74">
        <f t="shared" ca="1" si="371"/>
      </c>
      <c r="R1665" s="74">
        <f t="shared" si="372"/>
      </c>
      <c r="S1665" s="74">
        <f t="shared" ca="1" si="373"/>
      </c>
      <c r="T1665" s="74">
        <f t="shared" si="374"/>
      </c>
    </row>
    <row r="1666" spans="2:20" x14ac:dyDescent="0.3">
      <c r="B1666" s="74">
        <f t="shared" ca="1" si="364"/>
      </c>
      <c r="C1666" s="78">
        <f>Кабельный_журнал!P1632</f>
      </c>
      <c r="D1666" s="74">
        <f t="shared" ca="1" si="365"/>
      </c>
      <c r="E1666" s="80" t="s">
        <v>279</v>
      </c>
      <c r="F1666" s="74">
        <f t="shared" ca="1" si="361"/>
      </c>
      <c r="G1666" s="74">
        <f t="shared" si="362"/>
      </c>
      <c r="H1666" s="80" t="s">
        <v>272</v>
      </c>
      <c r="I1666" s="74">
        <f t="shared" si="363"/>
      </c>
      <c r="J1666" s="74">
        <f t="shared" si="366"/>
      </c>
      <c r="K1666" s="80" t="s">
        <v>280</v>
      </c>
      <c r="L1666" s="74">
        <f t="shared" si="367"/>
      </c>
      <c r="M1666" s="74">
        <f t="shared" ca="1" si="368"/>
      </c>
      <c r="N1666" s="74">
        <f ca="1">VLOOKUP(B1666,$C$7:$T1664,13,FALSE)</f>
      </c>
      <c r="O1666" s="74">
        <f t="shared" ca="1" si="369"/>
      </c>
      <c r="P1666" s="74">
        <f t="shared" ca="1" si="370"/>
      </c>
      <c r="Q1666" s="74">
        <f t="shared" ca="1" si="371"/>
      </c>
      <c r="R1666" s="74">
        <f t="shared" si="372"/>
      </c>
      <c r="S1666" s="74">
        <f t="shared" ca="1" si="373"/>
      </c>
      <c r="T1666" s="74">
        <f t="shared" si="374"/>
      </c>
    </row>
    <row r="1667" spans="2:20" x14ac:dyDescent="0.3">
      <c r="B1667" s="74">
        <f t="shared" ca="1" si="364"/>
      </c>
      <c r="C1667" s="78">
        <f>Кабельный_журнал!P1633</f>
      </c>
      <c r="D1667" s="74">
        <f t="shared" ca="1" si="365"/>
      </c>
      <c r="E1667" s="80" t="s">
        <v>279</v>
      </c>
      <c r="F1667" s="74">
        <f t="shared" ca="1" si="361"/>
      </c>
      <c r="G1667" s="74">
        <f t="shared" si="362"/>
      </c>
      <c r="H1667" s="80" t="s">
        <v>272</v>
      </c>
      <c r="I1667" s="74">
        <f t="shared" si="363"/>
      </c>
      <c r="J1667" s="74">
        <f t="shared" si="366"/>
      </c>
      <c r="K1667" s="80" t="s">
        <v>280</v>
      </c>
      <c r="L1667" s="74">
        <f t="shared" si="367"/>
      </c>
      <c r="M1667" s="74">
        <f t="shared" ca="1" si="368"/>
      </c>
      <c r="N1667" s="74">
        <f ca="1">VLOOKUP(B1667,$C$7:$T1665,13,FALSE)</f>
      </c>
      <c r="O1667" s="74">
        <f t="shared" ca="1" si="369"/>
      </c>
      <c r="P1667" s="74">
        <f t="shared" ca="1" si="370"/>
      </c>
      <c r="Q1667" s="74">
        <f t="shared" ca="1" si="371"/>
      </c>
      <c r="R1667" s="74">
        <f t="shared" si="372"/>
      </c>
      <c r="S1667" s="74">
        <f t="shared" ca="1" si="373"/>
      </c>
      <c r="T1667" s="74">
        <f t="shared" si="374"/>
      </c>
    </row>
    <row r="1668" spans="2:20" x14ac:dyDescent="0.3">
      <c r="B1668" s="74">
        <f t="shared" ca="1" si="364"/>
      </c>
      <c r="C1668" s="78">
        <f>Кабельный_журнал!P1634</f>
      </c>
      <c r="D1668" s="74">
        <f t="shared" ca="1" si="365"/>
      </c>
      <c r="E1668" s="80" t="s">
        <v>279</v>
      </c>
      <c r="F1668" s="74">
        <f t="shared" ca="1" si="361"/>
      </c>
      <c r="G1668" s="74">
        <f t="shared" si="362"/>
      </c>
      <c r="H1668" s="80" t="s">
        <v>272</v>
      </c>
      <c r="I1668" s="74">
        <f t="shared" si="363"/>
      </c>
      <c r="J1668" s="74">
        <f t="shared" si="366"/>
      </c>
      <c r="K1668" s="80" t="s">
        <v>280</v>
      </c>
      <c r="L1668" s="74">
        <f t="shared" si="367"/>
      </c>
      <c r="M1668" s="74">
        <f t="shared" ca="1" si="368"/>
      </c>
      <c r="N1668" s="74">
        <f ca="1">VLOOKUP(B1668,$C$7:$T1666,13,FALSE)</f>
      </c>
      <c r="O1668" s="74">
        <f t="shared" ca="1" si="369"/>
      </c>
      <c r="P1668" s="74">
        <f t="shared" ca="1" si="370"/>
      </c>
      <c r="Q1668" s="74">
        <f t="shared" ca="1" si="371"/>
      </c>
      <c r="R1668" s="74">
        <f t="shared" si="372"/>
      </c>
      <c r="S1668" s="74">
        <f t="shared" ca="1" si="373"/>
      </c>
      <c r="T1668" s="74">
        <f t="shared" si="374"/>
      </c>
    </row>
    <row r="1669" spans="2:20" x14ac:dyDescent="0.3">
      <c r="B1669" s="74">
        <f t="shared" ca="1" si="364"/>
      </c>
      <c r="C1669" s="78">
        <f>Кабельный_журнал!P1635</f>
      </c>
      <c r="D1669" s="74">
        <f t="shared" ca="1" si="365"/>
      </c>
      <c r="E1669" s="80" t="s">
        <v>279</v>
      </c>
      <c r="F1669" s="74">
        <f t="shared" ca="1" si="361"/>
      </c>
      <c r="G1669" s="74">
        <f t="shared" si="362"/>
      </c>
      <c r="H1669" s="80" t="s">
        <v>272</v>
      </c>
      <c r="I1669" s="74">
        <f t="shared" si="363"/>
      </c>
      <c r="J1669" s="74">
        <f t="shared" si="366"/>
      </c>
      <c r="K1669" s="80" t="s">
        <v>280</v>
      </c>
      <c r="L1669" s="74">
        <f t="shared" si="367"/>
      </c>
      <c r="M1669" s="74">
        <f t="shared" ca="1" si="368"/>
      </c>
      <c r="N1669" s="74">
        <f ca="1">VLOOKUP(B1669,$C$7:$T1667,13,FALSE)</f>
      </c>
      <c r="O1669" s="74">
        <f t="shared" ca="1" si="369"/>
      </c>
      <c r="P1669" s="74">
        <f t="shared" ca="1" si="370"/>
      </c>
      <c r="Q1669" s="74">
        <f t="shared" ca="1" si="371"/>
      </c>
      <c r="R1669" s="74">
        <f t="shared" si="372"/>
      </c>
      <c r="S1669" s="74">
        <f t="shared" ca="1" si="373"/>
      </c>
      <c r="T1669" s="74">
        <f t="shared" si="374"/>
      </c>
    </row>
    <row r="1670" spans="2:20" x14ac:dyDescent="0.3">
      <c r="B1670" s="74">
        <f t="shared" ca="1" si="364"/>
      </c>
      <c r="C1670" s="78">
        <f>Кабельный_журнал!P1636</f>
      </c>
      <c r="D1670" s="74">
        <f t="shared" ca="1" si="365"/>
      </c>
      <c r="E1670" s="80" t="s">
        <v>279</v>
      </c>
      <c r="F1670" s="74">
        <f t="shared" ca="1" si="361"/>
      </c>
      <c r="G1670" s="74">
        <f t="shared" si="362"/>
      </c>
      <c r="H1670" s="80" t="s">
        <v>272</v>
      </c>
      <c r="I1670" s="74">
        <f t="shared" si="363"/>
      </c>
      <c r="J1670" s="74">
        <f t="shared" si="366"/>
      </c>
      <c r="K1670" s="80" t="s">
        <v>280</v>
      </c>
      <c r="L1670" s="74">
        <f t="shared" si="367"/>
      </c>
      <c r="M1670" s="74">
        <f t="shared" ca="1" si="368"/>
      </c>
      <c r="N1670" s="74">
        <f ca="1">VLOOKUP(B1670,$C$7:$T1668,13,FALSE)</f>
      </c>
      <c r="O1670" s="74">
        <f t="shared" ca="1" si="369"/>
      </c>
      <c r="P1670" s="74">
        <f t="shared" ca="1" si="370"/>
      </c>
      <c r="Q1670" s="74">
        <f t="shared" ca="1" si="371"/>
      </c>
      <c r="R1670" s="74">
        <f t="shared" si="372"/>
      </c>
      <c r="S1670" s="74">
        <f t="shared" ca="1" si="373"/>
      </c>
      <c r="T1670" s="74">
        <f t="shared" si="374"/>
      </c>
    </row>
    <row r="1671" spans="2:20" x14ac:dyDescent="0.3">
      <c r="B1671" s="74">
        <f t="shared" ca="1" si="364"/>
      </c>
      <c r="C1671" s="78">
        <f>Кабельный_журнал!P1637</f>
      </c>
      <c r="D1671" s="74">
        <f t="shared" ca="1" si="365"/>
      </c>
      <c r="E1671" s="80" t="s">
        <v>279</v>
      </c>
      <c r="F1671" s="74">
        <f t="shared" ca="1" si="361"/>
      </c>
      <c r="G1671" s="74">
        <f t="shared" si="362"/>
      </c>
      <c r="H1671" s="80" t="s">
        <v>272</v>
      </c>
      <c r="I1671" s="74">
        <f t="shared" si="363"/>
      </c>
      <c r="J1671" s="74">
        <f t="shared" si="366"/>
      </c>
      <c r="K1671" s="80" t="s">
        <v>280</v>
      </c>
      <c r="L1671" s="74">
        <f t="shared" si="367"/>
      </c>
      <c r="M1671" s="74">
        <f t="shared" ca="1" si="368"/>
      </c>
      <c r="N1671" s="74">
        <f ca="1">VLOOKUP(B1671,$C$7:$T1669,13,FALSE)</f>
      </c>
      <c r="O1671" s="74">
        <f t="shared" ca="1" si="369"/>
      </c>
      <c r="P1671" s="74">
        <f t="shared" ca="1" si="370"/>
      </c>
      <c r="Q1671" s="74">
        <f t="shared" ca="1" si="371"/>
      </c>
      <c r="R1671" s="74">
        <f t="shared" si="372"/>
      </c>
      <c r="S1671" s="74">
        <f t="shared" ca="1" si="373"/>
      </c>
      <c r="T1671" s="74">
        <f t="shared" si="374"/>
      </c>
    </row>
    <row r="1672" spans="2:20" x14ac:dyDescent="0.3">
      <c r="B1672" s="74">
        <f t="shared" ca="1" si="364"/>
      </c>
      <c r="C1672" s="78">
        <f>Кабельный_журнал!P1638</f>
      </c>
      <c r="D1672" s="74">
        <f t="shared" ca="1" si="365"/>
      </c>
      <c r="E1672" s="80" t="s">
        <v>279</v>
      </c>
      <c r="F1672" s="74">
        <f t="shared" ca="1" si="361"/>
      </c>
      <c r="G1672" s="74">
        <f t="shared" si="362"/>
      </c>
      <c r="H1672" s="80" t="s">
        <v>272</v>
      </c>
      <c r="I1672" s="74">
        <f t="shared" si="363"/>
      </c>
      <c r="J1672" s="74">
        <f t="shared" si="366"/>
      </c>
      <c r="K1672" s="80" t="s">
        <v>280</v>
      </c>
      <c r="L1672" s="74">
        <f t="shared" si="367"/>
      </c>
      <c r="M1672" s="74">
        <f t="shared" ca="1" si="368"/>
      </c>
      <c r="N1672" s="74">
        <f ca="1">VLOOKUP(B1672,$C$7:$T1670,13,FALSE)</f>
      </c>
      <c r="O1672" s="74">
        <f t="shared" ca="1" si="369"/>
      </c>
      <c r="P1672" s="74">
        <f t="shared" ca="1" si="370"/>
      </c>
      <c r="Q1672" s="74">
        <f t="shared" ca="1" si="371"/>
      </c>
      <c r="R1672" s="74">
        <f t="shared" si="372"/>
      </c>
      <c r="S1672" s="74">
        <f t="shared" ca="1" si="373"/>
      </c>
      <c r="T1672" s="74">
        <f t="shared" si="374"/>
      </c>
    </row>
    <row r="1673" spans="2:20" x14ac:dyDescent="0.3">
      <c r="B1673" s="74">
        <f t="shared" ca="1" si="364"/>
      </c>
      <c r="C1673" s="78">
        <f>Кабельный_журнал!P1639</f>
      </c>
      <c r="D1673" s="74">
        <f t="shared" ca="1" si="365"/>
      </c>
      <c r="E1673" s="80" t="s">
        <v>279</v>
      </c>
      <c r="F1673" s="74">
        <f t="shared" ca="1" si="361"/>
      </c>
      <c r="G1673" s="74">
        <f t="shared" si="362"/>
      </c>
      <c r="H1673" s="80" t="s">
        <v>272</v>
      </c>
      <c r="I1673" s="74">
        <f t="shared" si="363"/>
      </c>
      <c r="J1673" s="74">
        <f t="shared" si="366"/>
      </c>
      <c r="K1673" s="80" t="s">
        <v>280</v>
      </c>
      <c r="L1673" s="74">
        <f t="shared" si="367"/>
      </c>
      <c r="M1673" s="74">
        <f t="shared" ca="1" si="368"/>
      </c>
      <c r="N1673" s="74">
        <f ca="1">VLOOKUP(B1673,$C$7:$T1671,13,FALSE)</f>
      </c>
      <c r="O1673" s="74">
        <f t="shared" ca="1" si="369"/>
      </c>
      <c r="P1673" s="74">
        <f t="shared" ca="1" si="370"/>
      </c>
      <c r="Q1673" s="74">
        <f t="shared" ca="1" si="371"/>
      </c>
      <c r="R1673" s="74">
        <f t="shared" si="372"/>
      </c>
      <c r="S1673" s="74">
        <f t="shared" ca="1" si="373"/>
      </c>
      <c r="T1673" s="74">
        <f t="shared" si="374"/>
      </c>
    </row>
    <row r="1674" spans="2:20" x14ac:dyDescent="0.3">
      <c r="B1674" s="74">
        <f t="shared" ca="1" si="364"/>
      </c>
      <c r="C1674" s="78">
        <f>Кабельный_журнал!P1640</f>
      </c>
      <c r="D1674" s="74">
        <f t="shared" ca="1" si="365"/>
      </c>
      <c r="E1674" s="80" t="s">
        <v>279</v>
      </c>
      <c r="F1674" s="74">
        <f t="shared" ca="1" si="361"/>
      </c>
      <c r="G1674" s="74">
        <f t="shared" si="362"/>
      </c>
      <c r="H1674" s="80" t="s">
        <v>272</v>
      </c>
      <c r="I1674" s="74">
        <f t="shared" si="363"/>
      </c>
      <c r="J1674" s="74">
        <f t="shared" si="366"/>
      </c>
      <c r="K1674" s="80" t="s">
        <v>280</v>
      </c>
      <c r="L1674" s="74">
        <f t="shared" si="367"/>
      </c>
      <c r="M1674" s="74">
        <f t="shared" ca="1" si="368"/>
      </c>
      <c r="N1674" s="74">
        <f ca="1">VLOOKUP(B1674,$C$7:$T1672,13,FALSE)</f>
      </c>
      <c r="O1674" s="74">
        <f t="shared" ca="1" si="369"/>
      </c>
      <c r="P1674" s="74">
        <f t="shared" ca="1" si="370"/>
      </c>
      <c r="Q1674" s="74">
        <f t="shared" ca="1" si="371"/>
      </c>
      <c r="R1674" s="74">
        <f t="shared" si="372"/>
      </c>
      <c r="S1674" s="74">
        <f t="shared" ca="1" si="373"/>
      </c>
      <c r="T1674" s="74">
        <f t="shared" si="374"/>
      </c>
    </row>
    <row r="1675" spans="2:20" x14ac:dyDescent="0.3">
      <c r="B1675" s="74">
        <f t="shared" ca="1" si="364"/>
      </c>
      <c r="C1675" s="78">
        <f>Кабельный_журнал!P1641</f>
      </c>
      <c r="D1675" s="74">
        <f t="shared" ca="1" si="365"/>
      </c>
      <c r="E1675" s="80" t="s">
        <v>279</v>
      </c>
      <c r="F1675" s="74">
        <f t="shared" ca="1" si="361"/>
      </c>
      <c r="G1675" s="74">
        <f t="shared" si="362"/>
      </c>
      <c r="H1675" s="80" t="s">
        <v>272</v>
      </c>
      <c r="I1675" s="74">
        <f t="shared" si="363"/>
      </c>
      <c r="J1675" s="74">
        <f t="shared" si="366"/>
      </c>
      <c r="K1675" s="80" t="s">
        <v>280</v>
      </c>
      <c r="L1675" s="74">
        <f t="shared" si="367"/>
      </c>
      <c r="M1675" s="74">
        <f t="shared" ca="1" si="368"/>
      </c>
      <c r="N1675" s="74">
        <f ca="1">VLOOKUP(B1675,$C$7:$T1673,13,FALSE)</f>
      </c>
      <c r="O1675" s="74">
        <f t="shared" ca="1" si="369"/>
      </c>
      <c r="P1675" s="74">
        <f t="shared" ca="1" si="370"/>
      </c>
      <c r="Q1675" s="74">
        <f t="shared" ca="1" si="371"/>
      </c>
      <c r="R1675" s="74">
        <f t="shared" si="372"/>
      </c>
      <c r="S1675" s="74">
        <f t="shared" ca="1" si="373"/>
      </c>
      <c r="T1675" s="74">
        <f t="shared" si="374"/>
      </c>
    </row>
    <row r="1676" spans="2:20" x14ac:dyDescent="0.3">
      <c r="B1676" s="74">
        <f t="shared" ca="1" si="364"/>
      </c>
      <c r="C1676" s="78">
        <f>Кабельный_журнал!P1642</f>
      </c>
      <c r="D1676" s="74">
        <f t="shared" ca="1" si="365"/>
      </c>
      <c r="E1676" s="80" t="s">
        <v>279</v>
      </c>
      <c r="F1676" s="74">
        <f t="shared" ca="1" si="361"/>
      </c>
      <c r="G1676" s="74">
        <f t="shared" si="362"/>
      </c>
      <c r="H1676" s="80" t="s">
        <v>272</v>
      </c>
      <c r="I1676" s="74">
        <f t="shared" si="363"/>
      </c>
      <c r="J1676" s="74">
        <f t="shared" si="366"/>
      </c>
      <c r="K1676" s="80" t="s">
        <v>280</v>
      </c>
      <c r="L1676" s="74">
        <f t="shared" si="367"/>
      </c>
      <c r="M1676" s="74">
        <f t="shared" ca="1" si="368"/>
      </c>
      <c r="N1676" s="74">
        <f ca="1">VLOOKUP(B1676,$C$7:$T1674,13,FALSE)</f>
      </c>
      <c r="O1676" s="74">
        <f t="shared" ca="1" si="369"/>
      </c>
      <c r="P1676" s="74">
        <f t="shared" ca="1" si="370"/>
      </c>
      <c r="Q1676" s="74">
        <f t="shared" ca="1" si="371"/>
      </c>
      <c r="R1676" s="74">
        <f t="shared" si="372"/>
      </c>
      <c r="S1676" s="74">
        <f t="shared" ca="1" si="373"/>
      </c>
      <c r="T1676" s="74">
        <f t="shared" si="374"/>
      </c>
    </row>
    <row r="1677" spans="2:20" x14ac:dyDescent="0.3">
      <c r="B1677" s="74">
        <f t="shared" ca="1" si="364"/>
      </c>
      <c r="C1677" s="78">
        <f>Кабельный_журнал!P1643</f>
      </c>
      <c r="D1677" s="74">
        <f t="shared" ca="1" si="365"/>
      </c>
      <c r="E1677" s="80" t="s">
        <v>279</v>
      </c>
      <c r="F1677" s="74">
        <f t="shared" ca="1" si="361"/>
      </c>
      <c r="G1677" s="74">
        <f t="shared" si="362"/>
      </c>
      <c r="H1677" s="80" t="s">
        <v>272</v>
      </c>
      <c r="I1677" s="74">
        <f t="shared" si="363"/>
      </c>
      <c r="J1677" s="74">
        <f t="shared" si="366"/>
      </c>
      <c r="K1677" s="80" t="s">
        <v>280</v>
      </c>
      <c r="L1677" s="74">
        <f t="shared" si="367"/>
      </c>
      <c r="M1677" s="74">
        <f t="shared" ca="1" si="368"/>
      </c>
      <c r="N1677" s="74">
        <f ca="1">VLOOKUP(B1677,$C$7:$T1675,13,FALSE)</f>
      </c>
      <c r="O1677" s="74">
        <f t="shared" ca="1" si="369"/>
      </c>
      <c r="P1677" s="74">
        <f t="shared" ca="1" si="370"/>
      </c>
      <c r="Q1677" s="74">
        <f t="shared" ca="1" si="371"/>
      </c>
      <c r="R1677" s="74">
        <f t="shared" si="372"/>
      </c>
      <c r="S1677" s="74">
        <f t="shared" ca="1" si="373"/>
      </c>
      <c r="T1677" s="74">
        <f t="shared" si="374"/>
      </c>
    </row>
    <row r="1678" spans="2:20" x14ac:dyDescent="0.3">
      <c r="B1678" s="74">
        <f t="shared" ca="1" si="364"/>
      </c>
      <c r="C1678" s="78">
        <f>Кабельный_журнал!P1644</f>
      </c>
      <c r="D1678" s="74">
        <f t="shared" ca="1" si="365"/>
      </c>
      <c r="E1678" s="80" t="s">
        <v>279</v>
      </c>
      <c r="F1678" s="74">
        <f t="shared" ca="1" si="361"/>
      </c>
      <c r="G1678" s="74">
        <f t="shared" si="362"/>
      </c>
      <c r="H1678" s="80" t="s">
        <v>272</v>
      </c>
      <c r="I1678" s="74">
        <f t="shared" si="363"/>
      </c>
      <c r="J1678" s="74">
        <f t="shared" si="366"/>
      </c>
      <c r="K1678" s="80" t="s">
        <v>280</v>
      </c>
      <c r="L1678" s="74">
        <f t="shared" si="367"/>
      </c>
      <c r="M1678" s="74">
        <f t="shared" ca="1" si="368"/>
      </c>
      <c r="N1678" s="74">
        <f ca="1">VLOOKUP(B1678,$C$7:$T1676,13,FALSE)</f>
      </c>
      <c r="O1678" s="74">
        <f t="shared" ca="1" si="369"/>
      </c>
      <c r="P1678" s="74">
        <f t="shared" ca="1" si="370"/>
      </c>
      <c r="Q1678" s="74">
        <f t="shared" ca="1" si="371"/>
      </c>
      <c r="R1678" s="74">
        <f t="shared" si="372"/>
      </c>
      <c r="S1678" s="74">
        <f t="shared" ca="1" si="373"/>
      </c>
      <c r="T1678" s="74">
        <f t="shared" si="374"/>
      </c>
    </row>
    <row r="1679" spans="2:20" x14ac:dyDescent="0.3">
      <c r="B1679" s="74">
        <f t="shared" ca="1" si="364"/>
      </c>
      <c r="C1679" s="78">
        <f>Кабельный_журнал!P1645</f>
      </c>
      <c r="D1679" s="74">
        <f t="shared" ca="1" si="365"/>
      </c>
      <c r="E1679" s="80" t="s">
        <v>279</v>
      </c>
      <c r="F1679" s="74">
        <f t="shared" ca="1" si="361"/>
      </c>
      <c r="G1679" s="74">
        <f t="shared" si="362"/>
      </c>
      <c r="H1679" s="80" t="s">
        <v>272</v>
      </c>
      <c r="I1679" s="74">
        <f t="shared" si="363"/>
      </c>
      <c r="J1679" s="74">
        <f t="shared" si="366"/>
      </c>
      <c r="K1679" s="80" t="s">
        <v>280</v>
      </c>
      <c r="L1679" s="74">
        <f t="shared" si="367"/>
      </c>
      <c r="M1679" s="74">
        <f t="shared" ca="1" si="368"/>
      </c>
      <c r="N1679" s="74">
        <f ca="1">VLOOKUP(B1679,$C$7:$T1677,13,FALSE)</f>
      </c>
      <c r="O1679" s="74">
        <f t="shared" ca="1" si="369"/>
      </c>
      <c r="P1679" s="74">
        <f t="shared" ca="1" si="370"/>
      </c>
      <c r="Q1679" s="74">
        <f t="shared" ca="1" si="371"/>
      </c>
      <c r="R1679" s="74">
        <f t="shared" si="372"/>
      </c>
      <c r="S1679" s="74">
        <f t="shared" ca="1" si="373"/>
      </c>
      <c r="T1679" s="74">
        <f t="shared" si="374"/>
      </c>
    </row>
    <row r="1680" spans="2:20" x14ac:dyDescent="0.3">
      <c r="B1680" s="74">
        <f t="shared" ca="1" si="364"/>
      </c>
      <c r="C1680" s="78">
        <f>Кабельный_журнал!P1646</f>
      </c>
      <c r="D1680" s="74">
        <f t="shared" ca="1" si="365"/>
      </c>
      <c r="E1680" s="80" t="s">
        <v>279</v>
      </c>
      <c r="F1680" s="74">
        <f t="shared" ca="1" si="361"/>
      </c>
      <c r="G1680" s="74">
        <f t="shared" si="362"/>
      </c>
      <c r="H1680" s="80" t="s">
        <v>272</v>
      </c>
      <c r="I1680" s="74">
        <f t="shared" si="363"/>
      </c>
      <c r="J1680" s="74">
        <f t="shared" si="366"/>
      </c>
      <c r="K1680" s="80" t="s">
        <v>280</v>
      </c>
      <c r="L1680" s="74">
        <f t="shared" si="367"/>
      </c>
      <c r="M1680" s="74">
        <f t="shared" ca="1" si="368"/>
      </c>
      <c r="N1680" s="74">
        <f ca="1">VLOOKUP(B1680,$C$7:$T1678,13,FALSE)</f>
      </c>
      <c r="O1680" s="74">
        <f t="shared" ca="1" si="369"/>
      </c>
      <c r="P1680" s="74">
        <f t="shared" ca="1" si="370"/>
      </c>
      <c r="Q1680" s="74">
        <f t="shared" ca="1" si="371"/>
      </c>
      <c r="R1680" s="74">
        <f t="shared" si="372"/>
      </c>
      <c r="S1680" s="74">
        <f t="shared" ca="1" si="373"/>
      </c>
      <c r="T1680" s="74">
        <f t="shared" si="374"/>
      </c>
    </row>
    <row r="1681" spans="2:20" x14ac:dyDescent="0.3">
      <c r="B1681" s="74">
        <f t="shared" ca="1" si="364"/>
      </c>
      <c r="C1681" s="78">
        <f>Кабельный_журнал!P1647</f>
      </c>
      <c r="D1681" s="74">
        <f t="shared" ca="1" si="365"/>
      </c>
      <c r="E1681" s="80" t="s">
        <v>279</v>
      </c>
      <c r="F1681" s="74">
        <f t="shared" ca="1" si="361"/>
      </c>
      <c r="G1681" s="74">
        <f t="shared" si="362"/>
      </c>
      <c r="H1681" s="80" t="s">
        <v>272</v>
      </c>
      <c r="I1681" s="74">
        <f t="shared" si="363"/>
      </c>
      <c r="J1681" s="74">
        <f t="shared" si="366"/>
      </c>
      <c r="K1681" s="80" t="s">
        <v>280</v>
      </c>
      <c r="L1681" s="74">
        <f t="shared" si="367"/>
      </c>
      <c r="M1681" s="74">
        <f t="shared" ca="1" si="368"/>
      </c>
      <c r="N1681" s="74">
        <f ca="1">VLOOKUP(B1681,$C$7:$T1679,13,FALSE)</f>
      </c>
      <c r="O1681" s="74">
        <f t="shared" ca="1" si="369"/>
      </c>
      <c r="P1681" s="74">
        <f t="shared" ca="1" si="370"/>
      </c>
      <c r="Q1681" s="74">
        <f t="shared" ca="1" si="371"/>
      </c>
      <c r="R1681" s="74">
        <f t="shared" si="372"/>
      </c>
      <c r="S1681" s="74">
        <f t="shared" ca="1" si="373"/>
      </c>
      <c r="T1681" s="74">
        <f t="shared" si="374"/>
      </c>
    </row>
    <row r="1682" spans="2:20" x14ac:dyDescent="0.3">
      <c r="B1682" s="74">
        <f t="shared" ca="1" si="364"/>
      </c>
      <c r="C1682" s="78">
        <f>Кабельный_журнал!P1648</f>
      </c>
      <c r="D1682" s="74">
        <f t="shared" ca="1" si="365"/>
      </c>
      <c r="E1682" s="80" t="s">
        <v>279</v>
      </c>
      <c r="F1682" s="74">
        <f t="shared" ca="1" si="361"/>
      </c>
      <c r="G1682" s="74">
        <f t="shared" si="362"/>
      </c>
      <c r="H1682" s="80" t="s">
        <v>272</v>
      </c>
      <c r="I1682" s="74">
        <f t="shared" si="363"/>
      </c>
      <c r="J1682" s="74">
        <f t="shared" si="366"/>
      </c>
      <c r="K1682" s="80" t="s">
        <v>280</v>
      </c>
      <c r="L1682" s="74">
        <f t="shared" si="367"/>
      </c>
      <c r="M1682" s="74">
        <f t="shared" ca="1" si="368"/>
      </c>
      <c r="N1682" s="74">
        <f ca="1">VLOOKUP(B1682,$C$7:$T1680,13,FALSE)</f>
      </c>
      <c r="O1682" s="74">
        <f t="shared" ca="1" si="369"/>
      </c>
      <c r="P1682" s="74">
        <f t="shared" ca="1" si="370"/>
      </c>
      <c r="Q1682" s="74">
        <f t="shared" ca="1" si="371"/>
      </c>
      <c r="R1682" s="74">
        <f t="shared" si="372"/>
      </c>
      <c r="S1682" s="74">
        <f t="shared" ca="1" si="373"/>
      </c>
      <c r="T1682" s="74">
        <f t="shared" si="374"/>
      </c>
    </row>
    <row r="1683" spans="2:20" x14ac:dyDescent="0.3">
      <c r="B1683" s="74">
        <f t="shared" ca="1" si="364"/>
      </c>
      <c r="C1683" s="78">
        <f>Кабельный_журнал!P1649</f>
      </c>
      <c r="D1683" s="74">
        <f t="shared" ca="1" si="365"/>
      </c>
      <c r="E1683" s="80" t="s">
        <v>279</v>
      </c>
      <c r="F1683" s="74">
        <f t="shared" ca="1" si="361"/>
      </c>
      <c r="G1683" s="74">
        <f t="shared" si="362"/>
      </c>
      <c r="H1683" s="80" t="s">
        <v>272</v>
      </c>
      <c r="I1683" s="74">
        <f t="shared" si="363"/>
      </c>
      <c r="J1683" s="74">
        <f t="shared" si="366"/>
      </c>
      <c r="K1683" s="80" t="s">
        <v>280</v>
      </c>
      <c r="L1683" s="74">
        <f t="shared" si="367"/>
      </c>
      <c r="M1683" s="74">
        <f t="shared" ca="1" si="368"/>
      </c>
      <c r="N1683" s="74">
        <f ca="1">VLOOKUP(B1683,$C$7:$T1681,13,FALSE)</f>
      </c>
      <c r="O1683" s="74">
        <f t="shared" ca="1" si="369"/>
      </c>
      <c r="P1683" s="74">
        <f t="shared" ca="1" si="370"/>
      </c>
      <c r="Q1683" s="74">
        <f t="shared" ca="1" si="371"/>
      </c>
      <c r="R1683" s="74">
        <f t="shared" si="372"/>
      </c>
      <c r="S1683" s="74">
        <f t="shared" ca="1" si="373"/>
      </c>
      <c r="T1683" s="74">
        <f t="shared" si="374"/>
      </c>
    </row>
    <row r="1684" spans="2:20" x14ac:dyDescent="0.3">
      <c r="B1684" s="74">
        <f t="shared" ca="1" si="364"/>
      </c>
      <c r="C1684" s="78">
        <f>Кабельный_журнал!P1650</f>
      </c>
      <c r="D1684" s="74">
        <f t="shared" ca="1" si="365"/>
      </c>
      <c r="E1684" s="80" t="s">
        <v>279</v>
      </c>
      <c r="F1684" s="74">
        <f t="shared" ca="1" si="361"/>
      </c>
      <c r="G1684" s="74">
        <f t="shared" si="362"/>
      </c>
      <c r="H1684" s="80" t="s">
        <v>272</v>
      </c>
      <c r="I1684" s="74">
        <f t="shared" si="363"/>
      </c>
      <c r="J1684" s="74">
        <f t="shared" si="366"/>
      </c>
      <c r="K1684" s="80" t="s">
        <v>280</v>
      </c>
      <c r="L1684" s="74">
        <f t="shared" si="367"/>
      </c>
      <c r="M1684" s="74">
        <f t="shared" ca="1" si="368"/>
      </c>
      <c r="N1684" s="74">
        <f ca="1">VLOOKUP(B1684,$C$7:$T1682,13,FALSE)</f>
      </c>
      <c r="O1684" s="74">
        <f t="shared" ca="1" si="369"/>
      </c>
      <c r="P1684" s="74">
        <f t="shared" ca="1" si="370"/>
      </c>
      <c r="Q1684" s="74">
        <f t="shared" ca="1" si="371"/>
      </c>
      <c r="R1684" s="74">
        <f t="shared" si="372"/>
      </c>
      <c r="S1684" s="74">
        <f t="shared" ca="1" si="373"/>
      </c>
      <c r="T1684" s="74">
        <f t="shared" si="374"/>
      </c>
    </row>
    <row r="1685" spans="2:20" x14ac:dyDescent="0.3">
      <c r="B1685" s="74">
        <f t="shared" ca="1" si="364"/>
      </c>
      <c r="C1685" s="78">
        <f>Кабельный_журнал!P1651</f>
      </c>
      <c r="D1685" s="74">
        <f t="shared" ca="1" si="365"/>
      </c>
      <c r="E1685" s="80" t="s">
        <v>279</v>
      </c>
      <c r="F1685" s="74">
        <f t="shared" ca="1" si="361"/>
      </c>
      <c r="G1685" s="74">
        <f t="shared" si="362"/>
      </c>
      <c r="H1685" s="80" t="s">
        <v>272</v>
      </c>
      <c r="I1685" s="74">
        <f t="shared" si="363"/>
      </c>
      <c r="J1685" s="74">
        <f t="shared" si="366"/>
      </c>
      <c r="K1685" s="80" t="s">
        <v>280</v>
      </c>
      <c r="L1685" s="74">
        <f t="shared" si="367"/>
      </c>
      <c r="M1685" s="74">
        <f t="shared" ca="1" si="368"/>
      </c>
      <c r="N1685" s="74">
        <f ca="1">VLOOKUP(B1685,$C$7:$T1683,13,FALSE)</f>
      </c>
      <c r="O1685" s="74">
        <f t="shared" ca="1" si="369"/>
      </c>
      <c r="P1685" s="74">
        <f t="shared" ca="1" si="370"/>
      </c>
      <c r="Q1685" s="74">
        <f t="shared" ca="1" si="371"/>
      </c>
      <c r="R1685" s="74">
        <f t="shared" si="372"/>
      </c>
      <c r="S1685" s="74">
        <f t="shared" ca="1" si="373"/>
      </c>
      <c r="T1685" s="74">
        <f t="shared" si="374"/>
      </c>
    </row>
    <row r="1686" spans="2:20" x14ac:dyDescent="0.3">
      <c r="B1686" s="74">
        <f t="shared" ca="1" si="364"/>
      </c>
      <c r="C1686" s="78">
        <f>Кабельный_журнал!P1652</f>
      </c>
      <c r="D1686" s="74">
        <f t="shared" ca="1" si="365"/>
      </c>
      <c r="E1686" s="80" t="s">
        <v>279</v>
      </c>
      <c r="F1686" s="74">
        <f t="shared" ca="1" si="361"/>
      </c>
      <c r="G1686" s="74">
        <f t="shared" si="362"/>
      </c>
      <c r="H1686" s="80" t="s">
        <v>272</v>
      </c>
      <c r="I1686" s="74">
        <f t="shared" si="363"/>
      </c>
      <c r="J1686" s="74">
        <f t="shared" si="366"/>
      </c>
      <c r="K1686" s="80" t="s">
        <v>280</v>
      </c>
      <c r="L1686" s="74">
        <f t="shared" si="367"/>
      </c>
      <c r="M1686" s="74">
        <f t="shared" ca="1" si="368"/>
      </c>
      <c r="N1686" s="74">
        <f ca="1">VLOOKUP(B1686,$C$7:$T1684,13,FALSE)</f>
      </c>
      <c r="O1686" s="74">
        <f t="shared" ca="1" si="369"/>
      </c>
      <c r="P1686" s="74">
        <f t="shared" ca="1" si="370"/>
      </c>
      <c r="Q1686" s="74">
        <f t="shared" ca="1" si="371"/>
      </c>
      <c r="R1686" s="74">
        <f t="shared" si="372"/>
      </c>
      <c r="S1686" s="74">
        <f t="shared" ca="1" si="373"/>
      </c>
      <c r="T1686" s="74">
        <f t="shared" si="374"/>
      </c>
    </row>
    <row r="1687" spans="2:20" x14ac:dyDescent="0.3">
      <c r="B1687" s="74">
        <f t="shared" ca="1" si="364"/>
      </c>
      <c r="C1687" s="78">
        <f>Кабельный_журнал!P1653</f>
      </c>
      <c r="D1687" s="74">
        <f t="shared" ca="1" si="365"/>
      </c>
      <c r="E1687" s="80" t="s">
        <v>279</v>
      </c>
      <c r="F1687" s="74">
        <f t="shared" ca="1" si="361"/>
      </c>
      <c r="G1687" s="74">
        <f t="shared" si="362"/>
      </c>
      <c r="H1687" s="80" t="s">
        <v>272</v>
      </c>
      <c r="I1687" s="74">
        <f t="shared" si="363"/>
      </c>
      <c r="J1687" s="74">
        <f t="shared" si="366"/>
      </c>
      <c r="K1687" s="80" t="s">
        <v>280</v>
      </c>
      <c r="L1687" s="74">
        <f t="shared" si="367"/>
      </c>
      <c r="M1687" s="74">
        <f t="shared" ca="1" si="368"/>
      </c>
      <c r="N1687" s="74">
        <f ca="1">VLOOKUP(B1687,$C$7:$T1685,13,FALSE)</f>
      </c>
      <c r="O1687" s="74">
        <f t="shared" ca="1" si="369"/>
      </c>
      <c r="P1687" s="74">
        <f t="shared" ca="1" si="370"/>
      </c>
      <c r="Q1687" s="74">
        <f t="shared" ca="1" si="371"/>
      </c>
      <c r="R1687" s="74">
        <f t="shared" si="372"/>
      </c>
      <c r="S1687" s="74">
        <f t="shared" ca="1" si="373"/>
      </c>
      <c r="T1687" s="74">
        <f t="shared" si="374"/>
      </c>
    </row>
    <row r="1688" spans="2:20" x14ac:dyDescent="0.3">
      <c r="B1688" s="74">
        <f t="shared" ca="1" si="364"/>
      </c>
      <c r="C1688" s="78">
        <f>Кабельный_журнал!P1654</f>
      </c>
      <c r="D1688" s="74">
        <f t="shared" ca="1" si="365"/>
      </c>
      <c r="E1688" s="80" t="s">
        <v>279</v>
      </c>
      <c r="F1688" s="74">
        <f t="shared" ca="1" si="361"/>
      </c>
      <c r="G1688" s="74">
        <f t="shared" si="362"/>
      </c>
      <c r="H1688" s="80" t="s">
        <v>272</v>
      </c>
      <c r="I1688" s="74">
        <f t="shared" si="363"/>
      </c>
      <c r="J1688" s="74">
        <f t="shared" si="366"/>
      </c>
      <c r="K1688" s="80" t="s">
        <v>280</v>
      </c>
      <c r="L1688" s="74">
        <f t="shared" si="367"/>
      </c>
      <c r="M1688" s="74">
        <f t="shared" ca="1" si="368"/>
      </c>
      <c r="N1688" s="74">
        <f ca="1">VLOOKUP(B1688,$C$7:$T1686,13,FALSE)</f>
      </c>
      <c r="O1688" s="74">
        <f t="shared" ca="1" si="369"/>
      </c>
      <c r="P1688" s="74">
        <f t="shared" ca="1" si="370"/>
      </c>
      <c r="Q1688" s="74">
        <f t="shared" ca="1" si="371"/>
      </c>
      <c r="R1688" s="74">
        <f t="shared" si="372"/>
      </c>
      <c r="S1688" s="74">
        <f t="shared" ca="1" si="373"/>
      </c>
      <c r="T1688" s="74">
        <f t="shared" si="374"/>
      </c>
    </row>
    <row r="1689" spans="2:20" x14ac:dyDescent="0.3">
      <c r="B1689" s="74">
        <f t="shared" ca="1" si="364"/>
      </c>
      <c r="C1689" s="78">
        <f>Кабельный_журнал!P1655</f>
      </c>
      <c r="D1689" s="74">
        <f t="shared" ca="1" si="365"/>
      </c>
      <c r="E1689" s="80" t="s">
        <v>279</v>
      </c>
      <c r="F1689" s="74">
        <f t="shared" ca="1" si="361"/>
      </c>
      <c r="G1689" s="74">
        <f t="shared" si="362"/>
      </c>
      <c r="H1689" s="80" t="s">
        <v>272</v>
      </c>
      <c r="I1689" s="74">
        <f t="shared" si="363"/>
      </c>
      <c r="J1689" s="74">
        <f t="shared" si="366"/>
      </c>
      <c r="K1689" s="80" t="s">
        <v>280</v>
      </c>
      <c r="L1689" s="74">
        <f t="shared" si="367"/>
      </c>
      <c r="M1689" s="74">
        <f t="shared" ca="1" si="368"/>
      </c>
      <c r="N1689" s="74">
        <f ca="1">VLOOKUP(B1689,$C$7:$T1687,13,FALSE)</f>
      </c>
      <c r="O1689" s="74">
        <f t="shared" ca="1" si="369"/>
      </c>
      <c r="P1689" s="74">
        <f t="shared" ca="1" si="370"/>
      </c>
      <c r="Q1689" s="74">
        <f t="shared" ca="1" si="371"/>
      </c>
      <c r="R1689" s="74">
        <f t="shared" si="372"/>
      </c>
      <c r="S1689" s="74">
        <f t="shared" ca="1" si="373"/>
      </c>
      <c r="T1689" s="74">
        <f t="shared" si="374"/>
      </c>
    </row>
    <row r="1690" spans="2:20" x14ac:dyDescent="0.3">
      <c r="B1690" s="74">
        <f t="shared" ca="1" si="364"/>
      </c>
      <c r="C1690" s="78">
        <f>Кабельный_журнал!P1656</f>
      </c>
      <c r="D1690" s="74">
        <f t="shared" ca="1" si="365"/>
      </c>
      <c r="E1690" s="80" t="s">
        <v>279</v>
      </c>
      <c r="F1690" s="74">
        <f t="shared" ca="1" si="361"/>
      </c>
      <c r="G1690" s="74">
        <f t="shared" si="362"/>
      </c>
      <c r="H1690" s="80" t="s">
        <v>272</v>
      </c>
      <c r="I1690" s="74">
        <f t="shared" si="363"/>
      </c>
      <c r="J1690" s="74">
        <f t="shared" si="366"/>
      </c>
      <c r="K1690" s="80" t="s">
        <v>280</v>
      </c>
      <c r="L1690" s="74">
        <f t="shared" si="367"/>
      </c>
      <c r="M1690" s="74">
        <f t="shared" ca="1" si="368"/>
      </c>
      <c r="N1690" s="74">
        <f ca="1">VLOOKUP(B1690,$C$7:$T1688,13,FALSE)</f>
      </c>
      <c r="O1690" s="74">
        <f t="shared" ca="1" si="369"/>
      </c>
      <c r="P1690" s="74">
        <f t="shared" ca="1" si="370"/>
      </c>
      <c r="Q1690" s="74">
        <f t="shared" ca="1" si="371"/>
      </c>
      <c r="R1690" s="74">
        <f t="shared" si="372"/>
      </c>
      <c r="S1690" s="74">
        <f t="shared" ca="1" si="373"/>
      </c>
      <c r="T1690" s="74">
        <f t="shared" si="374"/>
      </c>
    </row>
    <row r="1691" spans="2:20" x14ac:dyDescent="0.3">
      <c r="B1691" s="74">
        <f t="shared" ca="1" si="364"/>
      </c>
      <c r="C1691" s="78">
        <f>Кабельный_журнал!P1657</f>
      </c>
      <c r="D1691" s="74">
        <f t="shared" ca="1" si="365"/>
      </c>
      <c r="E1691" s="80" t="s">
        <v>279</v>
      </c>
      <c r="F1691" s="74">
        <f t="shared" ca="1" si="361"/>
      </c>
      <c r="G1691" s="74">
        <f t="shared" si="362"/>
      </c>
      <c r="H1691" s="80" t="s">
        <v>272</v>
      </c>
      <c r="I1691" s="74">
        <f t="shared" si="363"/>
      </c>
      <c r="J1691" s="74">
        <f t="shared" si="366"/>
      </c>
      <c r="K1691" s="80" t="s">
        <v>280</v>
      </c>
      <c r="L1691" s="74">
        <f t="shared" si="367"/>
      </c>
      <c r="M1691" s="74">
        <f t="shared" ca="1" si="368"/>
      </c>
      <c r="N1691" s="74">
        <f ca="1">VLOOKUP(B1691,$C$7:$T1689,13,FALSE)</f>
      </c>
      <c r="O1691" s="74">
        <f t="shared" ca="1" si="369"/>
      </c>
      <c r="P1691" s="74">
        <f t="shared" ca="1" si="370"/>
      </c>
      <c r="Q1691" s="74">
        <f t="shared" ca="1" si="371"/>
      </c>
      <c r="R1691" s="74">
        <f t="shared" si="372"/>
      </c>
      <c r="S1691" s="74">
        <f t="shared" ca="1" si="373"/>
      </c>
      <c r="T1691" s="74">
        <f t="shared" si="374"/>
      </c>
    </row>
    <row r="1692" spans="2:20" x14ac:dyDescent="0.3">
      <c r="B1692" s="74">
        <f t="shared" ca="1" si="364"/>
      </c>
      <c r="C1692" s="78">
        <f>Кабельный_журнал!P1658</f>
      </c>
      <c r="D1692" s="74">
        <f t="shared" ca="1" si="365"/>
      </c>
      <c r="E1692" s="80" t="s">
        <v>279</v>
      </c>
      <c r="F1692" s="74">
        <f t="shared" ca="1" si="361"/>
      </c>
      <c r="G1692" s="74">
        <f t="shared" si="362"/>
      </c>
      <c r="H1692" s="80" t="s">
        <v>272</v>
      </c>
      <c r="I1692" s="74">
        <f t="shared" si="363"/>
      </c>
      <c r="J1692" s="74">
        <f t="shared" si="366"/>
      </c>
      <c r="K1692" s="80" t="s">
        <v>280</v>
      </c>
      <c r="L1692" s="74">
        <f t="shared" si="367"/>
      </c>
      <c r="M1692" s="74">
        <f t="shared" ca="1" si="368"/>
      </c>
      <c r="N1692" s="74">
        <f ca="1">VLOOKUP(B1692,$C$7:$T1690,13,FALSE)</f>
      </c>
      <c r="O1692" s="74">
        <f t="shared" ca="1" si="369"/>
      </c>
      <c r="P1692" s="74">
        <f t="shared" ca="1" si="370"/>
      </c>
      <c r="Q1692" s="74">
        <f t="shared" ca="1" si="371"/>
      </c>
      <c r="R1692" s="74">
        <f t="shared" si="372"/>
      </c>
      <c r="S1692" s="74">
        <f t="shared" ca="1" si="373"/>
      </c>
      <c r="T1692" s="74">
        <f t="shared" si="374"/>
      </c>
    </row>
    <row r="1693" spans="2:20" x14ac:dyDescent="0.3">
      <c r="B1693" s="74">
        <f t="shared" ca="1" si="364"/>
      </c>
      <c r="C1693" s="78">
        <f>Кабельный_журнал!P1659</f>
      </c>
      <c r="D1693" s="74">
        <f t="shared" ca="1" si="365"/>
      </c>
      <c r="E1693" s="80" t="s">
        <v>279</v>
      </c>
      <c r="F1693" s="74">
        <f t="shared" ca="1" si="361"/>
      </c>
      <c r="G1693" s="74">
        <f t="shared" si="362"/>
      </c>
      <c r="H1693" s="80" t="s">
        <v>272</v>
      </c>
      <c r="I1693" s="74">
        <f t="shared" si="363"/>
      </c>
      <c r="J1693" s="74">
        <f t="shared" si="366"/>
      </c>
      <c r="K1693" s="80" t="s">
        <v>280</v>
      </c>
      <c r="L1693" s="74">
        <f t="shared" si="367"/>
      </c>
      <c r="M1693" s="74">
        <f t="shared" ca="1" si="368"/>
      </c>
      <c r="N1693" s="74">
        <f ca="1">VLOOKUP(B1693,$C$7:$T1691,13,FALSE)</f>
      </c>
      <c r="O1693" s="74">
        <f t="shared" ca="1" si="369"/>
      </c>
      <c r="P1693" s="74">
        <f t="shared" ca="1" si="370"/>
      </c>
      <c r="Q1693" s="74">
        <f t="shared" ca="1" si="371"/>
      </c>
      <c r="R1693" s="74">
        <f t="shared" si="372"/>
      </c>
      <c r="S1693" s="74">
        <f t="shared" ca="1" si="373"/>
      </c>
      <c r="T1693" s="74">
        <f t="shared" si="374"/>
      </c>
    </row>
    <row r="1694" spans="2:20" x14ac:dyDescent="0.3">
      <c r="B1694" s="74">
        <f t="shared" ca="1" si="364"/>
      </c>
      <c r="C1694" s="78">
        <f>Кабельный_журнал!P1660</f>
      </c>
      <c r="D1694" s="74">
        <f t="shared" ca="1" si="365"/>
      </c>
      <c r="E1694" s="80" t="s">
        <v>279</v>
      </c>
      <c r="F1694" s="74">
        <f t="shared" ca="1" si="361"/>
      </c>
      <c r="G1694" s="74">
        <f t="shared" si="362"/>
      </c>
      <c r="H1694" s="80" t="s">
        <v>272</v>
      </c>
      <c r="I1694" s="74">
        <f t="shared" si="363"/>
      </c>
      <c r="J1694" s="74">
        <f t="shared" si="366"/>
      </c>
      <c r="K1694" s="80" t="s">
        <v>280</v>
      </c>
      <c r="L1694" s="74">
        <f t="shared" si="367"/>
      </c>
      <c r="M1694" s="74">
        <f t="shared" ca="1" si="368"/>
      </c>
      <c r="N1694" s="74">
        <f ca="1">VLOOKUP(B1694,$C$7:$T1692,13,FALSE)</f>
      </c>
      <c r="O1694" s="74">
        <f t="shared" ca="1" si="369"/>
      </c>
      <c r="P1694" s="74">
        <f t="shared" ca="1" si="370"/>
      </c>
      <c r="Q1694" s="74">
        <f t="shared" ca="1" si="371"/>
      </c>
      <c r="R1694" s="74">
        <f t="shared" si="372"/>
      </c>
      <c r="S1694" s="74">
        <f t="shared" ca="1" si="373"/>
      </c>
      <c r="T1694" s="74">
        <f t="shared" si="374"/>
      </c>
    </row>
    <row r="1695" spans="2:20" x14ac:dyDescent="0.3">
      <c r="B1695" s="74">
        <f t="shared" ca="1" si="364"/>
      </c>
      <c r="C1695" s="78">
        <f>Кабельный_журнал!P1661</f>
      </c>
      <c r="D1695" s="74">
        <f t="shared" ca="1" si="365"/>
      </c>
      <c r="E1695" s="80" t="s">
        <v>279</v>
      </c>
      <c r="F1695" s="74">
        <f t="shared" ca="1" si="361"/>
      </c>
      <c r="G1695" s="74">
        <f t="shared" si="362"/>
      </c>
      <c r="H1695" s="80" t="s">
        <v>272</v>
      </c>
      <c r="I1695" s="74">
        <f t="shared" si="363"/>
      </c>
      <c r="J1695" s="74">
        <f t="shared" si="366"/>
      </c>
      <c r="K1695" s="80" t="s">
        <v>280</v>
      </c>
      <c r="L1695" s="74">
        <f t="shared" si="367"/>
      </c>
      <c r="M1695" s="74">
        <f t="shared" ca="1" si="368"/>
      </c>
      <c r="N1695" s="74">
        <f ca="1">VLOOKUP(B1695,$C$7:$T1693,13,FALSE)</f>
      </c>
      <c r="O1695" s="74">
        <f t="shared" ca="1" si="369"/>
      </c>
      <c r="P1695" s="74">
        <f t="shared" ca="1" si="370"/>
      </c>
      <c r="Q1695" s="74">
        <f t="shared" ca="1" si="371"/>
      </c>
      <c r="R1695" s="74">
        <f t="shared" si="372"/>
      </c>
      <c r="S1695" s="74">
        <f t="shared" ca="1" si="373"/>
      </c>
      <c r="T1695" s="74">
        <f t="shared" si="374"/>
      </c>
    </row>
    <row r="1696" spans="2:20" x14ac:dyDescent="0.3">
      <c r="B1696" s="74">
        <f t="shared" ca="1" si="364"/>
      </c>
      <c r="C1696" s="78">
        <f>Кабельный_журнал!P1662</f>
      </c>
      <c r="D1696" s="74">
        <f t="shared" ca="1" si="365"/>
      </c>
      <c r="E1696" s="80" t="s">
        <v>279</v>
      </c>
      <c r="F1696" s="74">
        <f t="shared" ca="1" si="361"/>
      </c>
      <c r="G1696" s="74">
        <f t="shared" si="362"/>
      </c>
      <c r="H1696" s="80" t="s">
        <v>272</v>
      </c>
      <c r="I1696" s="74">
        <f t="shared" si="363"/>
      </c>
      <c r="J1696" s="74">
        <f t="shared" si="366"/>
      </c>
      <c r="K1696" s="80" t="s">
        <v>280</v>
      </c>
      <c r="L1696" s="74">
        <f t="shared" si="367"/>
      </c>
      <c r="M1696" s="74">
        <f t="shared" ca="1" si="368"/>
      </c>
      <c r="N1696" s="74">
        <f ca="1">VLOOKUP(B1696,$C$7:$T1694,13,FALSE)</f>
      </c>
      <c r="O1696" s="74">
        <f t="shared" ca="1" si="369"/>
      </c>
      <c r="P1696" s="74">
        <f t="shared" ca="1" si="370"/>
      </c>
      <c r="Q1696" s="74">
        <f t="shared" ca="1" si="371"/>
      </c>
      <c r="R1696" s="74">
        <f t="shared" si="372"/>
      </c>
      <c r="S1696" s="74">
        <f t="shared" ca="1" si="373"/>
      </c>
      <c r="T1696" s="74">
        <f t="shared" si="374"/>
      </c>
    </row>
    <row r="1697" spans="2:20" x14ac:dyDescent="0.3">
      <c r="B1697" s="74">
        <f t="shared" ca="1" si="364"/>
      </c>
      <c r="C1697" s="78">
        <f>Кабельный_журнал!P1663</f>
      </c>
      <c r="D1697" s="74">
        <f t="shared" ca="1" si="365"/>
      </c>
      <c r="E1697" s="80" t="s">
        <v>279</v>
      </c>
      <c r="F1697" s="74">
        <f t="shared" ca="1" si="361"/>
      </c>
      <c r="G1697" s="74">
        <f t="shared" si="362"/>
      </c>
      <c r="H1697" s="80" t="s">
        <v>272</v>
      </c>
      <c r="I1697" s="74">
        <f t="shared" si="363"/>
      </c>
      <c r="J1697" s="74">
        <f t="shared" si="366"/>
      </c>
      <c r="K1697" s="80" t="s">
        <v>280</v>
      </c>
      <c r="L1697" s="74">
        <f t="shared" si="367"/>
      </c>
      <c r="M1697" s="74">
        <f t="shared" ca="1" si="368"/>
      </c>
      <c r="N1697" s="74">
        <f ca="1">VLOOKUP(B1697,$C$7:$T1695,13,FALSE)</f>
      </c>
      <c r="O1697" s="74">
        <f t="shared" ca="1" si="369"/>
      </c>
      <c r="P1697" s="74">
        <f t="shared" ca="1" si="370"/>
      </c>
      <c r="Q1697" s="74">
        <f t="shared" ca="1" si="371"/>
      </c>
      <c r="R1697" s="74">
        <f t="shared" si="372"/>
      </c>
      <c r="S1697" s="74">
        <f t="shared" ca="1" si="373"/>
      </c>
      <c r="T1697" s="74">
        <f t="shared" si="374"/>
      </c>
    </row>
    <row r="1698" spans="2:20" x14ac:dyDescent="0.3">
      <c r="B1698" s="74">
        <f t="shared" ca="1" si="364"/>
      </c>
      <c r="C1698" s="78">
        <f>Кабельный_журнал!P1664</f>
      </c>
      <c r="D1698" s="74">
        <f t="shared" ca="1" si="365"/>
      </c>
      <c r="E1698" s="80" t="s">
        <v>279</v>
      </c>
      <c r="F1698" s="74">
        <f t="shared" ca="1" si="361"/>
      </c>
      <c r="G1698" s="74">
        <f t="shared" si="362"/>
      </c>
      <c r="H1698" s="80" t="s">
        <v>272</v>
      </c>
      <c r="I1698" s="74">
        <f t="shared" si="363"/>
      </c>
      <c r="J1698" s="74">
        <f t="shared" si="366"/>
      </c>
      <c r="K1698" s="80" t="s">
        <v>280</v>
      </c>
      <c r="L1698" s="74">
        <f t="shared" si="367"/>
      </c>
      <c r="M1698" s="74">
        <f t="shared" ca="1" si="368"/>
      </c>
      <c r="N1698" s="74">
        <f ca="1">VLOOKUP(B1698,$C$7:$T1696,13,FALSE)</f>
      </c>
      <c r="O1698" s="74">
        <f t="shared" ca="1" si="369"/>
      </c>
      <c r="P1698" s="74">
        <f t="shared" ca="1" si="370"/>
      </c>
      <c r="Q1698" s="74">
        <f t="shared" ca="1" si="371"/>
      </c>
      <c r="R1698" s="74">
        <f t="shared" si="372"/>
      </c>
      <c r="S1698" s="74">
        <f t="shared" ca="1" si="373"/>
      </c>
      <c r="T1698" s="74">
        <f t="shared" si="374"/>
      </c>
    </row>
    <row r="1699" spans="2:20" x14ac:dyDescent="0.3">
      <c r="B1699" s="74">
        <f t="shared" ca="1" si="364"/>
      </c>
      <c r="C1699" s="78">
        <f>Кабельный_журнал!P1665</f>
      </c>
      <c r="D1699" s="74">
        <f t="shared" ca="1" si="365"/>
      </c>
      <c r="E1699" s="80" t="s">
        <v>279</v>
      </c>
      <c r="F1699" s="74">
        <f t="shared" ca="1" si="361"/>
      </c>
      <c r="G1699" s="74">
        <f t="shared" si="362"/>
      </c>
      <c r="H1699" s="80" t="s">
        <v>272</v>
      </c>
      <c r="I1699" s="74">
        <f t="shared" si="363"/>
      </c>
      <c r="J1699" s="74">
        <f t="shared" si="366"/>
      </c>
      <c r="K1699" s="80" t="s">
        <v>280</v>
      </c>
      <c r="L1699" s="74">
        <f t="shared" si="367"/>
      </c>
      <c r="M1699" s="74">
        <f t="shared" ca="1" si="368"/>
      </c>
      <c r="N1699" s="74">
        <f ca="1">VLOOKUP(B1699,$C$7:$T1697,13,FALSE)</f>
      </c>
      <c r="O1699" s="74">
        <f t="shared" ca="1" si="369"/>
      </c>
      <c r="P1699" s="74">
        <f t="shared" ca="1" si="370"/>
      </c>
      <c r="Q1699" s="74">
        <f t="shared" ca="1" si="371"/>
      </c>
      <c r="R1699" s="74">
        <f t="shared" si="372"/>
      </c>
      <c r="S1699" s="74">
        <f t="shared" ca="1" si="373"/>
      </c>
      <c r="T1699" s="74">
        <f t="shared" si="374"/>
      </c>
    </row>
    <row r="1700" spans="2:20" x14ac:dyDescent="0.3">
      <c r="B1700" s="74">
        <f t="shared" ca="1" si="364"/>
      </c>
      <c r="C1700" s="78">
        <f>Кабельный_журнал!P1666</f>
      </c>
      <c r="D1700" s="74">
        <f t="shared" ca="1" si="365"/>
      </c>
      <c r="E1700" s="80" t="s">
        <v>279</v>
      </c>
      <c r="F1700" s="74">
        <f t="shared" ca="1" si="361"/>
      </c>
      <c r="G1700" s="74">
        <f t="shared" si="362"/>
      </c>
      <c r="H1700" s="80" t="s">
        <v>272</v>
      </c>
      <c r="I1700" s="74">
        <f t="shared" si="363"/>
      </c>
      <c r="J1700" s="74">
        <f t="shared" si="366"/>
      </c>
      <c r="K1700" s="80" t="s">
        <v>280</v>
      </c>
      <c r="L1700" s="74">
        <f t="shared" si="367"/>
      </c>
      <c r="M1700" s="74">
        <f t="shared" ca="1" si="368"/>
      </c>
      <c r="N1700" s="74">
        <f ca="1">VLOOKUP(B1700,$C$7:$T1698,13,FALSE)</f>
      </c>
      <c r="O1700" s="74">
        <f t="shared" ca="1" si="369"/>
      </c>
      <c r="P1700" s="74">
        <f t="shared" ca="1" si="370"/>
      </c>
      <c r="Q1700" s="74">
        <f t="shared" ca="1" si="371"/>
      </c>
      <c r="R1700" s="74">
        <f t="shared" si="372"/>
      </c>
      <c r="S1700" s="74">
        <f t="shared" ca="1" si="373"/>
      </c>
      <c r="T1700" s="74">
        <f t="shared" si="374"/>
      </c>
    </row>
    <row r="1701" spans="2:20" x14ac:dyDescent="0.3">
      <c r="B1701" s="74">
        <f t="shared" ca="1" si="364"/>
      </c>
      <c r="C1701" s="78">
        <f>Кабельный_журнал!P1667</f>
      </c>
      <c r="D1701" s="74">
        <f t="shared" ca="1" si="365"/>
      </c>
      <c r="E1701" s="80" t="s">
        <v>279</v>
      </c>
      <c r="F1701" s="74">
        <f t="shared" ca="1" si="361"/>
      </c>
      <c r="G1701" s="74">
        <f t="shared" si="362"/>
      </c>
      <c r="H1701" s="80" t="s">
        <v>272</v>
      </c>
      <c r="I1701" s="74">
        <f t="shared" si="363"/>
      </c>
      <c r="J1701" s="74">
        <f t="shared" si="366"/>
      </c>
      <c r="K1701" s="80" t="s">
        <v>280</v>
      </c>
      <c r="L1701" s="74">
        <f t="shared" si="367"/>
      </c>
      <c r="M1701" s="74">
        <f t="shared" ca="1" si="368"/>
      </c>
      <c r="N1701" s="74">
        <f ca="1">VLOOKUP(B1701,$C$7:$T1699,13,FALSE)</f>
      </c>
      <c r="O1701" s="74">
        <f t="shared" ca="1" si="369"/>
      </c>
      <c r="P1701" s="74">
        <f t="shared" ca="1" si="370"/>
      </c>
      <c r="Q1701" s="74">
        <f t="shared" ca="1" si="371"/>
      </c>
      <c r="R1701" s="74">
        <f t="shared" si="372"/>
      </c>
      <c r="S1701" s="74">
        <f t="shared" ca="1" si="373"/>
      </c>
      <c r="T1701" s="74">
        <f t="shared" si="374"/>
      </c>
    </row>
    <row r="1702" spans="2:20" x14ac:dyDescent="0.3">
      <c r="B1702" s="74">
        <f t="shared" ca="1" si="364"/>
      </c>
      <c r="C1702" s="78">
        <f>Кабельный_журнал!P1668</f>
      </c>
      <c r="D1702" s="74">
        <f t="shared" ca="1" si="365"/>
      </c>
      <c r="E1702" s="80" t="s">
        <v>279</v>
      </c>
      <c r="F1702" s="74">
        <f t="shared" ca="1" si="361"/>
      </c>
      <c r="G1702" s="74">
        <f t="shared" si="362"/>
      </c>
      <c r="H1702" s="80" t="s">
        <v>272</v>
      </c>
      <c r="I1702" s="74">
        <f t="shared" si="363"/>
      </c>
      <c r="J1702" s="74">
        <f t="shared" si="366"/>
      </c>
      <c r="K1702" s="80" t="s">
        <v>280</v>
      </c>
      <c r="L1702" s="74">
        <f t="shared" si="367"/>
      </c>
      <c r="M1702" s="74">
        <f t="shared" ca="1" si="368"/>
      </c>
      <c r="N1702" s="74">
        <f ca="1">VLOOKUP(B1702,$C$7:$T1700,13,FALSE)</f>
      </c>
      <c r="O1702" s="74">
        <f t="shared" ca="1" si="369"/>
      </c>
      <c r="P1702" s="74">
        <f t="shared" ca="1" si="370"/>
      </c>
      <c r="Q1702" s="74">
        <f t="shared" ca="1" si="371"/>
      </c>
      <c r="R1702" s="74">
        <f t="shared" si="372"/>
      </c>
      <c r="S1702" s="74">
        <f t="shared" ca="1" si="373"/>
      </c>
      <c r="T1702" s="74">
        <f t="shared" si="374"/>
      </c>
    </row>
    <row r="1703" spans="2:20" x14ac:dyDescent="0.3">
      <c r="B1703" s="74">
        <f t="shared" ca="1" si="364"/>
      </c>
      <c r="C1703" s="78">
        <f>Кабельный_журнал!P1669</f>
      </c>
      <c r="D1703" s="74">
        <f t="shared" ca="1" si="365"/>
      </c>
      <c r="E1703" s="80" t="s">
        <v>279</v>
      </c>
      <c r="F1703" s="74">
        <f t="shared" ref="F1703:F1766" ca="1" si="375">VLOOKUP(C1703,Кабельный_журнал,8,FALSE)</f>
      </c>
      <c r="G1703" s="74">
        <f t="shared" ref="G1703:G1766" si="376">VLOOKUP(C1703,Исходные_данные,21,FALSE)</f>
      </c>
      <c r="H1703" s="80" t="s">
        <v>272</v>
      </c>
      <c r="I1703" s="74">
        <f t="shared" ref="I1703:I1766" si="377">VLOOKUP(C1703,Исходные_данные,22,FALSE)</f>
      </c>
      <c r="J1703" s="74">
        <f t="shared" si="366"/>
      </c>
      <c r="K1703" s="80" t="s">
        <v>280</v>
      </c>
      <c r="L1703" s="74">
        <f t="shared" si="367"/>
      </c>
      <c r="M1703" s="74">
        <f t="shared" ca="1" si="368"/>
      </c>
      <c r="N1703" s="74">
        <f ca="1">VLOOKUP(B1703,$C$7:$T1701,13,FALSE)</f>
      </c>
      <c r="O1703" s="74">
        <f t="shared" ca="1" si="369"/>
      </c>
      <c r="P1703" s="74">
        <f t="shared" ca="1" si="370"/>
      </c>
      <c r="Q1703" s="74">
        <f t="shared" ca="1" si="371"/>
      </c>
      <c r="R1703" s="74">
        <f t="shared" si="372"/>
      </c>
      <c r="S1703" s="74">
        <f t="shared" ca="1" si="373"/>
      </c>
      <c r="T1703" s="74">
        <f t="shared" si="374"/>
      </c>
    </row>
    <row r="1704" spans="2:20" x14ac:dyDescent="0.3">
      <c r="B1704" s="74">
        <f t="shared" ref="B1704:B1767" ca="1" si="378">VLOOKUP(C1704,Кабельный_журнал,2,FALSE)</f>
      </c>
      <c r="C1704" s="78">
        <f>Кабельный_журнал!P1670</f>
      </c>
      <c r="D1704" s="74">
        <f t="shared" ref="D1704:D1767" ca="1" si="379">B1704&amp;"-"&amp;C1704</f>
      </c>
      <c r="E1704" s="80" t="s">
        <v>279</v>
      </c>
      <c r="F1704" s="74">
        <f t="shared" ca="1" si="375"/>
      </c>
      <c r="G1704" s="74">
        <f t="shared" si="376"/>
      </c>
      <c r="H1704" s="80" t="s">
        <v>272</v>
      </c>
      <c r="I1704" s="74">
        <f t="shared" si="377"/>
      </c>
      <c r="J1704" s="74">
        <f t="shared" ref="J1704:J1767" si="380">I1704</f>
      </c>
      <c r="K1704" s="80" t="s">
        <v>280</v>
      </c>
      <c r="L1704" s="74">
        <f t="shared" ref="L1704:L1767" si="381">VLOOKUP(K1704,$K$2:$L$3,2,FALSE)</f>
      </c>
      <c r="M1704" s="74">
        <f t="shared" ref="M1704:M1767" ca="1" si="382">L1704*F1704*(1/I1704+1/J1704)</f>
      </c>
      <c r="N1704" s="74">
        <f ca="1">VLOOKUP(B1704,$C$7:$T1702,13,FALSE)</f>
      </c>
      <c r="O1704" s="74">
        <f t="shared" ref="O1704:O1767" ca="1" si="383">L1704+M1704</f>
      </c>
      <c r="P1704" s="74">
        <f t="shared" ref="P1704:P1767" ca="1" si="384">220/O1704</f>
      </c>
      <c r="Q1704" s="74">
        <f t="shared" ref="Q1704:Q1767" ca="1" si="385">O1704/G1704</f>
      </c>
      <c r="R1704" s="74">
        <f t="shared" ref="R1704:R1767" si="386">VLOOKUP(H1704,$W$2:$Y$12,3,FALSE)</f>
      </c>
      <c r="S1704" s="74">
        <f t="shared" ref="S1704:S1767" ca="1" si="387">_xlfn.IFS(E1704="щит",IF(P1704&gt;R1704,"Увел сеч",IF(T1704&gt;P1704,"Увел сеч","tср&lt;5с")),E1704="потреб",IF(P1704&gt;R1704,"Увел сеч",IF(T1704&gt;P1704,"Увел сеч","tср&lt;0.4с")))</f>
      </c>
      <c r="T1704" s="74">
        <f t="shared" ref="T1704:T1767" si="388">G1704*VLOOKUP(H1704,$W$2:$Y$12,2,FALSE)</f>
      </c>
    </row>
    <row r="1705" spans="2:20" x14ac:dyDescent="0.3">
      <c r="B1705" s="74">
        <f t="shared" ca="1" si="378"/>
      </c>
      <c r="C1705" s="78">
        <f>Кабельный_журнал!P1671</f>
      </c>
      <c r="D1705" s="74">
        <f t="shared" ca="1" si="379"/>
      </c>
      <c r="E1705" s="80" t="s">
        <v>279</v>
      </c>
      <c r="F1705" s="74">
        <f t="shared" ca="1" si="375"/>
      </c>
      <c r="G1705" s="74">
        <f t="shared" si="376"/>
      </c>
      <c r="H1705" s="80" t="s">
        <v>272</v>
      </c>
      <c r="I1705" s="74">
        <f t="shared" si="377"/>
      </c>
      <c r="J1705" s="74">
        <f t="shared" si="380"/>
      </c>
      <c r="K1705" s="80" t="s">
        <v>280</v>
      </c>
      <c r="L1705" s="74">
        <f t="shared" si="381"/>
      </c>
      <c r="M1705" s="74">
        <f t="shared" ca="1" si="382"/>
      </c>
      <c r="N1705" s="74">
        <f ca="1">VLOOKUP(B1705,$C$7:$T1703,13,FALSE)</f>
      </c>
      <c r="O1705" s="74">
        <f t="shared" ca="1" si="383"/>
      </c>
      <c r="P1705" s="74">
        <f t="shared" ca="1" si="384"/>
      </c>
      <c r="Q1705" s="74">
        <f t="shared" ca="1" si="385"/>
      </c>
      <c r="R1705" s="74">
        <f t="shared" si="386"/>
      </c>
      <c r="S1705" s="74">
        <f t="shared" ca="1" si="387"/>
      </c>
      <c r="T1705" s="74">
        <f t="shared" si="388"/>
      </c>
    </row>
    <row r="1706" spans="2:20" x14ac:dyDescent="0.3">
      <c r="B1706" s="74">
        <f t="shared" ca="1" si="378"/>
      </c>
      <c r="C1706" s="78">
        <f>Кабельный_журнал!P1672</f>
      </c>
      <c r="D1706" s="74">
        <f t="shared" ca="1" si="379"/>
      </c>
      <c r="E1706" s="80" t="s">
        <v>279</v>
      </c>
      <c r="F1706" s="74">
        <f t="shared" ca="1" si="375"/>
      </c>
      <c r="G1706" s="74">
        <f t="shared" si="376"/>
      </c>
      <c r="H1706" s="80" t="s">
        <v>272</v>
      </c>
      <c r="I1706" s="74">
        <f t="shared" si="377"/>
      </c>
      <c r="J1706" s="74">
        <f t="shared" si="380"/>
      </c>
      <c r="K1706" s="80" t="s">
        <v>280</v>
      </c>
      <c r="L1706" s="74">
        <f t="shared" si="381"/>
      </c>
      <c r="M1706" s="74">
        <f t="shared" ca="1" si="382"/>
      </c>
      <c r="N1706" s="74">
        <f ca="1">VLOOKUP(B1706,$C$7:$T1704,13,FALSE)</f>
      </c>
      <c r="O1706" s="74">
        <f t="shared" ca="1" si="383"/>
      </c>
      <c r="P1706" s="74">
        <f t="shared" ca="1" si="384"/>
      </c>
      <c r="Q1706" s="74">
        <f t="shared" ca="1" si="385"/>
      </c>
      <c r="R1706" s="74">
        <f t="shared" si="386"/>
      </c>
      <c r="S1706" s="74">
        <f t="shared" ca="1" si="387"/>
      </c>
      <c r="T1706" s="74">
        <f t="shared" si="388"/>
      </c>
    </row>
    <row r="1707" spans="2:20" x14ac:dyDescent="0.3">
      <c r="B1707" s="74">
        <f t="shared" ca="1" si="378"/>
      </c>
      <c r="C1707" s="78">
        <f>Кабельный_журнал!P1673</f>
      </c>
      <c r="D1707" s="74">
        <f t="shared" ca="1" si="379"/>
      </c>
      <c r="E1707" s="80" t="s">
        <v>279</v>
      </c>
      <c r="F1707" s="74">
        <f t="shared" ca="1" si="375"/>
      </c>
      <c r="G1707" s="74">
        <f t="shared" si="376"/>
      </c>
      <c r="H1707" s="80" t="s">
        <v>272</v>
      </c>
      <c r="I1707" s="74">
        <f t="shared" si="377"/>
      </c>
      <c r="J1707" s="74">
        <f t="shared" si="380"/>
      </c>
      <c r="K1707" s="80" t="s">
        <v>280</v>
      </c>
      <c r="L1707" s="74">
        <f t="shared" si="381"/>
      </c>
      <c r="M1707" s="74">
        <f t="shared" ca="1" si="382"/>
      </c>
      <c r="N1707" s="74">
        <f ca="1">VLOOKUP(B1707,$C$7:$T1705,13,FALSE)</f>
      </c>
      <c r="O1707" s="74">
        <f t="shared" ca="1" si="383"/>
      </c>
      <c r="P1707" s="74">
        <f t="shared" ca="1" si="384"/>
      </c>
      <c r="Q1707" s="74">
        <f t="shared" ca="1" si="385"/>
      </c>
      <c r="R1707" s="74">
        <f t="shared" si="386"/>
      </c>
      <c r="S1707" s="74">
        <f t="shared" ca="1" si="387"/>
      </c>
      <c r="T1707" s="74">
        <f t="shared" si="388"/>
      </c>
    </row>
    <row r="1708" spans="2:20" x14ac:dyDescent="0.3">
      <c r="B1708" s="74">
        <f t="shared" ca="1" si="378"/>
      </c>
      <c r="C1708" s="78">
        <f>Кабельный_журнал!P1674</f>
      </c>
      <c r="D1708" s="74">
        <f t="shared" ca="1" si="379"/>
      </c>
      <c r="E1708" s="80" t="s">
        <v>279</v>
      </c>
      <c r="F1708" s="74">
        <f t="shared" ca="1" si="375"/>
      </c>
      <c r="G1708" s="74">
        <f t="shared" si="376"/>
      </c>
      <c r="H1708" s="80" t="s">
        <v>272</v>
      </c>
      <c r="I1708" s="74">
        <f t="shared" si="377"/>
      </c>
      <c r="J1708" s="74">
        <f t="shared" si="380"/>
      </c>
      <c r="K1708" s="80" t="s">
        <v>280</v>
      </c>
      <c r="L1708" s="74">
        <f t="shared" si="381"/>
      </c>
      <c r="M1708" s="74">
        <f t="shared" ca="1" si="382"/>
      </c>
      <c r="N1708" s="74">
        <f ca="1">VLOOKUP(B1708,$C$7:$T1706,13,FALSE)</f>
      </c>
      <c r="O1708" s="74">
        <f t="shared" ca="1" si="383"/>
      </c>
      <c r="P1708" s="74">
        <f t="shared" ca="1" si="384"/>
      </c>
      <c r="Q1708" s="74">
        <f t="shared" ca="1" si="385"/>
      </c>
      <c r="R1708" s="74">
        <f t="shared" si="386"/>
      </c>
      <c r="S1708" s="74">
        <f t="shared" ca="1" si="387"/>
      </c>
      <c r="T1708" s="74">
        <f t="shared" si="388"/>
      </c>
    </row>
    <row r="1709" spans="2:20" x14ac:dyDescent="0.3">
      <c r="B1709" s="74">
        <f t="shared" ca="1" si="378"/>
      </c>
      <c r="C1709" s="78">
        <f>Кабельный_журнал!P1675</f>
      </c>
      <c r="D1709" s="74">
        <f t="shared" ca="1" si="379"/>
      </c>
      <c r="E1709" s="80" t="s">
        <v>279</v>
      </c>
      <c r="F1709" s="74">
        <f t="shared" ca="1" si="375"/>
      </c>
      <c r="G1709" s="74">
        <f t="shared" si="376"/>
      </c>
      <c r="H1709" s="80" t="s">
        <v>272</v>
      </c>
      <c r="I1709" s="74">
        <f t="shared" si="377"/>
      </c>
      <c r="J1709" s="74">
        <f t="shared" si="380"/>
      </c>
      <c r="K1709" s="80" t="s">
        <v>280</v>
      </c>
      <c r="L1709" s="74">
        <f t="shared" si="381"/>
      </c>
      <c r="M1709" s="74">
        <f t="shared" ca="1" si="382"/>
      </c>
      <c r="N1709" s="74">
        <f ca="1">VLOOKUP(B1709,$C$7:$T1707,13,FALSE)</f>
      </c>
      <c r="O1709" s="74">
        <f t="shared" ca="1" si="383"/>
      </c>
      <c r="P1709" s="74">
        <f t="shared" ca="1" si="384"/>
      </c>
      <c r="Q1709" s="74">
        <f t="shared" ca="1" si="385"/>
      </c>
      <c r="R1709" s="74">
        <f t="shared" si="386"/>
      </c>
      <c r="S1709" s="74">
        <f t="shared" ca="1" si="387"/>
      </c>
      <c r="T1709" s="74">
        <f t="shared" si="388"/>
      </c>
    </row>
    <row r="1710" spans="2:20" x14ac:dyDescent="0.3">
      <c r="B1710" s="74">
        <f t="shared" ca="1" si="378"/>
      </c>
      <c r="C1710" s="78">
        <f>Кабельный_журнал!P1676</f>
      </c>
      <c r="D1710" s="74">
        <f t="shared" ca="1" si="379"/>
      </c>
      <c r="E1710" s="80" t="s">
        <v>279</v>
      </c>
      <c r="F1710" s="74">
        <f t="shared" ca="1" si="375"/>
      </c>
      <c r="G1710" s="74">
        <f t="shared" si="376"/>
      </c>
      <c r="H1710" s="80" t="s">
        <v>272</v>
      </c>
      <c r="I1710" s="74">
        <f t="shared" si="377"/>
      </c>
      <c r="J1710" s="74">
        <f t="shared" si="380"/>
      </c>
      <c r="K1710" s="80" t="s">
        <v>280</v>
      </c>
      <c r="L1710" s="74">
        <f t="shared" si="381"/>
      </c>
      <c r="M1710" s="74">
        <f t="shared" ca="1" si="382"/>
      </c>
      <c r="N1710" s="74">
        <f ca="1">VLOOKUP(B1710,$C$7:$T1708,13,FALSE)</f>
      </c>
      <c r="O1710" s="74">
        <f t="shared" ca="1" si="383"/>
      </c>
      <c r="P1710" s="74">
        <f t="shared" ca="1" si="384"/>
      </c>
      <c r="Q1710" s="74">
        <f t="shared" ca="1" si="385"/>
      </c>
      <c r="R1710" s="74">
        <f t="shared" si="386"/>
      </c>
      <c r="S1710" s="74">
        <f t="shared" ca="1" si="387"/>
      </c>
      <c r="T1710" s="74">
        <f t="shared" si="388"/>
      </c>
    </row>
    <row r="1711" spans="2:20" x14ac:dyDescent="0.3">
      <c r="B1711" s="74">
        <f t="shared" ca="1" si="378"/>
      </c>
      <c r="C1711" s="78">
        <f>Кабельный_журнал!P1677</f>
      </c>
      <c r="D1711" s="74">
        <f t="shared" ca="1" si="379"/>
      </c>
      <c r="E1711" s="80" t="s">
        <v>279</v>
      </c>
      <c r="F1711" s="74">
        <f t="shared" ca="1" si="375"/>
      </c>
      <c r="G1711" s="74">
        <f t="shared" si="376"/>
      </c>
      <c r="H1711" s="80" t="s">
        <v>272</v>
      </c>
      <c r="I1711" s="74">
        <f t="shared" si="377"/>
      </c>
      <c r="J1711" s="74">
        <f t="shared" si="380"/>
      </c>
      <c r="K1711" s="80" t="s">
        <v>280</v>
      </c>
      <c r="L1711" s="74">
        <f t="shared" si="381"/>
      </c>
      <c r="M1711" s="74">
        <f t="shared" ca="1" si="382"/>
      </c>
      <c r="N1711" s="74">
        <f ca="1">VLOOKUP(B1711,$C$7:$T1709,13,FALSE)</f>
      </c>
      <c r="O1711" s="74">
        <f t="shared" ca="1" si="383"/>
      </c>
      <c r="P1711" s="74">
        <f t="shared" ca="1" si="384"/>
      </c>
      <c r="Q1711" s="74">
        <f t="shared" ca="1" si="385"/>
      </c>
      <c r="R1711" s="74">
        <f t="shared" si="386"/>
      </c>
      <c r="S1711" s="74">
        <f t="shared" ca="1" si="387"/>
      </c>
      <c r="T1711" s="74">
        <f t="shared" si="388"/>
      </c>
    </row>
    <row r="1712" spans="2:20" x14ac:dyDescent="0.3">
      <c r="B1712" s="74">
        <f t="shared" ca="1" si="378"/>
      </c>
      <c r="C1712" s="78">
        <f>Кабельный_журнал!P1678</f>
      </c>
      <c r="D1712" s="74">
        <f t="shared" ca="1" si="379"/>
      </c>
      <c r="E1712" s="80" t="s">
        <v>279</v>
      </c>
      <c r="F1712" s="74">
        <f t="shared" ca="1" si="375"/>
      </c>
      <c r="G1712" s="74">
        <f t="shared" si="376"/>
      </c>
      <c r="H1712" s="80" t="s">
        <v>272</v>
      </c>
      <c r="I1712" s="74">
        <f t="shared" si="377"/>
      </c>
      <c r="J1712" s="74">
        <f t="shared" si="380"/>
      </c>
      <c r="K1712" s="80" t="s">
        <v>280</v>
      </c>
      <c r="L1712" s="74">
        <f t="shared" si="381"/>
      </c>
      <c r="M1712" s="74">
        <f t="shared" ca="1" si="382"/>
      </c>
      <c r="N1712" s="74">
        <f ca="1">VLOOKUP(B1712,$C$7:$T1710,13,FALSE)</f>
      </c>
      <c r="O1712" s="74">
        <f t="shared" ca="1" si="383"/>
      </c>
      <c r="P1712" s="74">
        <f t="shared" ca="1" si="384"/>
      </c>
      <c r="Q1712" s="74">
        <f t="shared" ca="1" si="385"/>
      </c>
      <c r="R1712" s="74">
        <f t="shared" si="386"/>
      </c>
      <c r="S1712" s="74">
        <f t="shared" ca="1" si="387"/>
      </c>
      <c r="T1712" s="74">
        <f t="shared" si="388"/>
      </c>
    </row>
    <row r="1713" spans="2:20" x14ac:dyDescent="0.3">
      <c r="B1713" s="74">
        <f t="shared" ca="1" si="378"/>
      </c>
      <c r="C1713" s="78">
        <f>Кабельный_журнал!P1679</f>
      </c>
      <c r="D1713" s="74">
        <f t="shared" ca="1" si="379"/>
      </c>
      <c r="E1713" s="80" t="s">
        <v>279</v>
      </c>
      <c r="F1713" s="74">
        <f t="shared" ca="1" si="375"/>
      </c>
      <c r="G1713" s="74">
        <f t="shared" si="376"/>
      </c>
      <c r="H1713" s="80" t="s">
        <v>272</v>
      </c>
      <c r="I1713" s="74">
        <f t="shared" si="377"/>
      </c>
      <c r="J1713" s="74">
        <f t="shared" si="380"/>
      </c>
      <c r="K1713" s="80" t="s">
        <v>280</v>
      </c>
      <c r="L1713" s="74">
        <f t="shared" si="381"/>
      </c>
      <c r="M1713" s="74">
        <f t="shared" ca="1" si="382"/>
      </c>
      <c r="N1713" s="74">
        <f ca="1">VLOOKUP(B1713,$C$7:$T1711,13,FALSE)</f>
      </c>
      <c r="O1713" s="74">
        <f t="shared" ca="1" si="383"/>
      </c>
      <c r="P1713" s="74">
        <f t="shared" ca="1" si="384"/>
      </c>
      <c r="Q1713" s="74">
        <f t="shared" ca="1" si="385"/>
      </c>
      <c r="R1713" s="74">
        <f t="shared" si="386"/>
      </c>
      <c r="S1713" s="74">
        <f t="shared" ca="1" si="387"/>
      </c>
      <c r="T1713" s="74">
        <f t="shared" si="388"/>
      </c>
    </row>
    <row r="1714" spans="2:20" x14ac:dyDescent="0.3">
      <c r="B1714" s="74">
        <f t="shared" ca="1" si="378"/>
      </c>
      <c r="C1714" s="78">
        <f>Кабельный_журнал!P1680</f>
      </c>
      <c r="D1714" s="74">
        <f t="shared" ca="1" si="379"/>
      </c>
      <c r="E1714" s="80" t="s">
        <v>279</v>
      </c>
      <c r="F1714" s="74">
        <f t="shared" ca="1" si="375"/>
      </c>
      <c r="G1714" s="74">
        <f t="shared" si="376"/>
      </c>
      <c r="H1714" s="80" t="s">
        <v>272</v>
      </c>
      <c r="I1714" s="74">
        <f t="shared" si="377"/>
      </c>
      <c r="J1714" s="74">
        <f t="shared" si="380"/>
      </c>
      <c r="K1714" s="80" t="s">
        <v>280</v>
      </c>
      <c r="L1714" s="74">
        <f t="shared" si="381"/>
      </c>
      <c r="M1714" s="74">
        <f t="shared" ca="1" si="382"/>
      </c>
      <c r="N1714" s="74">
        <f ca="1">VLOOKUP(B1714,$C$7:$T1712,13,FALSE)</f>
      </c>
      <c r="O1714" s="74">
        <f t="shared" ca="1" si="383"/>
      </c>
      <c r="P1714" s="74">
        <f t="shared" ca="1" si="384"/>
      </c>
      <c r="Q1714" s="74">
        <f t="shared" ca="1" si="385"/>
      </c>
      <c r="R1714" s="74">
        <f t="shared" si="386"/>
      </c>
      <c r="S1714" s="74">
        <f t="shared" ca="1" si="387"/>
      </c>
      <c r="T1714" s="74">
        <f t="shared" si="388"/>
      </c>
    </row>
    <row r="1715" spans="2:20" x14ac:dyDescent="0.3">
      <c r="B1715" s="74">
        <f t="shared" ca="1" si="378"/>
      </c>
      <c r="C1715" s="78">
        <f>Кабельный_журнал!P1681</f>
      </c>
      <c r="D1715" s="74">
        <f t="shared" ca="1" si="379"/>
      </c>
      <c r="E1715" s="80" t="s">
        <v>279</v>
      </c>
      <c r="F1715" s="74">
        <f t="shared" ca="1" si="375"/>
      </c>
      <c r="G1715" s="74">
        <f t="shared" si="376"/>
      </c>
      <c r="H1715" s="80" t="s">
        <v>272</v>
      </c>
      <c r="I1715" s="74">
        <f t="shared" si="377"/>
      </c>
      <c r="J1715" s="74">
        <f t="shared" si="380"/>
      </c>
      <c r="K1715" s="80" t="s">
        <v>280</v>
      </c>
      <c r="L1715" s="74">
        <f t="shared" si="381"/>
      </c>
      <c r="M1715" s="74">
        <f t="shared" ca="1" si="382"/>
      </c>
      <c r="N1715" s="74">
        <f ca="1">VLOOKUP(B1715,$C$7:$T1713,13,FALSE)</f>
      </c>
      <c r="O1715" s="74">
        <f t="shared" ca="1" si="383"/>
      </c>
      <c r="P1715" s="74">
        <f t="shared" ca="1" si="384"/>
      </c>
      <c r="Q1715" s="74">
        <f t="shared" ca="1" si="385"/>
      </c>
      <c r="R1715" s="74">
        <f t="shared" si="386"/>
      </c>
      <c r="S1715" s="74">
        <f t="shared" ca="1" si="387"/>
      </c>
      <c r="T1715" s="74">
        <f t="shared" si="388"/>
      </c>
    </row>
    <row r="1716" spans="2:20" x14ac:dyDescent="0.3">
      <c r="B1716" s="74">
        <f t="shared" ca="1" si="378"/>
      </c>
      <c r="C1716" s="78">
        <f>Кабельный_журнал!P1682</f>
      </c>
      <c r="D1716" s="74">
        <f t="shared" ca="1" si="379"/>
      </c>
      <c r="E1716" s="80" t="s">
        <v>279</v>
      </c>
      <c r="F1716" s="74">
        <f t="shared" ca="1" si="375"/>
      </c>
      <c r="G1716" s="74">
        <f t="shared" si="376"/>
      </c>
      <c r="H1716" s="80" t="s">
        <v>272</v>
      </c>
      <c r="I1716" s="74">
        <f t="shared" si="377"/>
      </c>
      <c r="J1716" s="74">
        <f t="shared" si="380"/>
      </c>
      <c r="K1716" s="80" t="s">
        <v>280</v>
      </c>
      <c r="L1716" s="74">
        <f t="shared" si="381"/>
      </c>
      <c r="M1716" s="74">
        <f t="shared" ca="1" si="382"/>
      </c>
      <c r="N1716" s="74">
        <f ca="1">VLOOKUP(B1716,$C$7:$T1714,13,FALSE)</f>
      </c>
      <c r="O1716" s="74">
        <f t="shared" ca="1" si="383"/>
      </c>
      <c r="P1716" s="74">
        <f t="shared" ca="1" si="384"/>
      </c>
      <c r="Q1716" s="74">
        <f t="shared" ca="1" si="385"/>
      </c>
      <c r="R1716" s="74">
        <f t="shared" si="386"/>
      </c>
      <c r="S1716" s="74">
        <f t="shared" ca="1" si="387"/>
      </c>
      <c r="T1716" s="74">
        <f t="shared" si="388"/>
      </c>
    </row>
    <row r="1717" spans="2:20" x14ac:dyDescent="0.3">
      <c r="B1717" s="74">
        <f t="shared" ca="1" si="378"/>
      </c>
      <c r="C1717" s="78">
        <f>Кабельный_журнал!P1683</f>
      </c>
      <c r="D1717" s="74">
        <f t="shared" ca="1" si="379"/>
      </c>
      <c r="E1717" s="80" t="s">
        <v>279</v>
      </c>
      <c r="F1717" s="74">
        <f t="shared" ca="1" si="375"/>
      </c>
      <c r="G1717" s="74">
        <f t="shared" si="376"/>
      </c>
      <c r="H1717" s="80" t="s">
        <v>272</v>
      </c>
      <c r="I1717" s="74">
        <f t="shared" si="377"/>
      </c>
      <c r="J1717" s="74">
        <f t="shared" si="380"/>
      </c>
      <c r="K1717" s="80" t="s">
        <v>280</v>
      </c>
      <c r="L1717" s="74">
        <f t="shared" si="381"/>
      </c>
      <c r="M1717" s="74">
        <f t="shared" ca="1" si="382"/>
      </c>
      <c r="N1717" s="74">
        <f ca="1">VLOOKUP(B1717,$C$7:$T1715,13,FALSE)</f>
      </c>
      <c r="O1717" s="74">
        <f t="shared" ca="1" si="383"/>
      </c>
      <c r="P1717" s="74">
        <f t="shared" ca="1" si="384"/>
      </c>
      <c r="Q1717" s="74">
        <f t="shared" ca="1" si="385"/>
      </c>
      <c r="R1717" s="74">
        <f t="shared" si="386"/>
      </c>
      <c r="S1717" s="74">
        <f t="shared" ca="1" si="387"/>
      </c>
      <c r="T1717" s="74">
        <f t="shared" si="388"/>
      </c>
    </row>
    <row r="1718" spans="2:20" x14ac:dyDescent="0.3">
      <c r="B1718" s="74">
        <f t="shared" ca="1" si="378"/>
      </c>
      <c r="C1718" s="78">
        <f>Кабельный_журнал!P1684</f>
      </c>
      <c r="D1718" s="74">
        <f t="shared" ca="1" si="379"/>
      </c>
      <c r="E1718" s="80" t="s">
        <v>279</v>
      </c>
      <c r="F1718" s="74">
        <f t="shared" ca="1" si="375"/>
      </c>
      <c r="G1718" s="74">
        <f t="shared" si="376"/>
      </c>
      <c r="H1718" s="80" t="s">
        <v>272</v>
      </c>
      <c r="I1718" s="74">
        <f t="shared" si="377"/>
      </c>
      <c r="J1718" s="74">
        <f t="shared" si="380"/>
      </c>
      <c r="K1718" s="80" t="s">
        <v>280</v>
      </c>
      <c r="L1718" s="74">
        <f t="shared" si="381"/>
      </c>
      <c r="M1718" s="74">
        <f t="shared" ca="1" si="382"/>
      </c>
      <c r="N1718" s="74">
        <f ca="1">VLOOKUP(B1718,$C$7:$T1716,13,FALSE)</f>
      </c>
      <c r="O1718" s="74">
        <f t="shared" ca="1" si="383"/>
      </c>
      <c r="P1718" s="74">
        <f t="shared" ca="1" si="384"/>
      </c>
      <c r="Q1718" s="74">
        <f t="shared" ca="1" si="385"/>
      </c>
      <c r="R1718" s="74">
        <f t="shared" si="386"/>
      </c>
      <c r="S1718" s="74">
        <f t="shared" ca="1" si="387"/>
      </c>
      <c r="T1718" s="74">
        <f t="shared" si="388"/>
      </c>
    </row>
    <row r="1719" spans="2:20" x14ac:dyDescent="0.3">
      <c r="B1719" s="74">
        <f t="shared" ca="1" si="378"/>
      </c>
      <c r="C1719" s="78">
        <f>Кабельный_журнал!P1685</f>
      </c>
      <c r="D1719" s="74">
        <f t="shared" ca="1" si="379"/>
      </c>
      <c r="E1719" s="80" t="s">
        <v>279</v>
      </c>
      <c r="F1719" s="74">
        <f t="shared" ca="1" si="375"/>
      </c>
      <c r="G1719" s="74">
        <f t="shared" si="376"/>
      </c>
      <c r="H1719" s="80" t="s">
        <v>272</v>
      </c>
      <c r="I1719" s="74">
        <f t="shared" si="377"/>
      </c>
      <c r="J1719" s="74">
        <f t="shared" si="380"/>
      </c>
      <c r="K1719" s="80" t="s">
        <v>280</v>
      </c>
      <c r="L1719" s="74">
        <f t="shared" si="381"/>
      </c>
      <c r="M1719" s="74">
        <f t="shared" ca="1" si="382"/>
      </c>
      <c r="N1719" s="74">
        <f ca="1">VLOOKUP(B1719,$C$7:$T1717,13,FALSE)</f>
      </c>
      <c r="O1719" s="74">
        <f t="shared" ca="1" si="383"/>
      </c>
      <c r="P1719" s="74">
        <f t="shared" ca="1" si="384"/>
      </c>
      <c r="Q1719" s="74">
        <f t="shared" ca="1" si="385"/>
      </c>
      <c r="R1719" s="74">
        <f t="shared" si="386"/>
      </c>
      <c r="S1719" s="74">
        <f t="shared" ca="1" si="387"/>
      </c>
      <c r="T1719" s="74">
        <f t="shared" si="388"/>
      </c>
    </row>
    <row r="1720" spans="2:20" x14ac:dyDescent="0.3">
      <c r="B1720" s="74">
        <f t="shared" ca="1" si="378"/>
      </c>
      <c r="C1720" s="78">
        <f>Кабельный_журнал!P1686</f>
      </c>
      <c r="D1720" s="74">
        <f t="shared" ca="1" si="379"/>
      </c>
      <c r="E1720" s="80" t="s">
        <v>279</v>
      </c>
      <c r="F1720" s="74">
        <f t="shared" ca="1" si="375"/>
      </c>
      <c r="G1720" s="74">
        <f t="shared" si="376"/>
      </c>
      <c r="H1720" s="80" t="s">
        <v>272</v>
      </c>
      <c r="I1720" s="74">
        <f t="shared" si="377"/>
      </c>
      <c r="J1720" s="74">
        <f t="shared" si="380"/>
      </c>
      <c r="K1720" s="80" t="s">
        <v>280</v>
      </c>
      <c r="L1720" s="74">
        <f t="shared" si="381"/>
      </c>
      <c r="M1720" s="74">
        <f t="shared" ca="1" si="382"/>
      </c>
      <c r="N1720" s="74">
        <f ca="1">VLOOKUP(B1720,$C$7:$T1718,13,FALSE)</f>
      </c>
      <c r="O1720" s="74">
        <f t="shared" ca="1" si="383"/>
      </c>
      <c r="P1720" s="74">
        <f t="shared" ca="1" si="384"/>
      </c>
      <c r="Q1720" s="74">
        <f t="shared" ca="1" si="385"/>
      </c>
      <c r="R1720" s="74">
        <f t="shared" si="386"/>
      </c>
      <c r="S1720" s="74">
        <f t="shared" ca="1" si="387"/>
      </c>
      <c r="T1720" s="74">
        <f t="shared" si="388"/>
      </c>
    </row>
    <row r="1721" spans="2:20" x14ac:dyDescent="0.3">
      <c r="B1721" s="74">
        <f t="shared" ca="1" si="378"/>
      </c>
      <c r="C1721" s="78">
        <f>Кабельный_журнал!P1687</f>
      </c>
      <c r="D1721" s="74">
        <f t="shared" ca="1" si="379"/>
      </c>
      <c r="E1721" s="80" t="s">
        <v>279</v>
      </c>
      <c r="F1721" s="74">
        <f t="shared" ca="1" si="375"/>
      </c>
      <c r="G1721" s="74">
        <f t="shared" si="376"/>
      </c>
      <c r="H1721" s="80" t="s">
        <v>272</v>
      </c>
      <c r="I1721" s="74">
        <f t="shared" si="377"/>
      </c>
      <c r="J1721" s="74">
        <f t="shared" si="380"/>
      </c>
      <c r="K1721" s="80" t="s">
        <v>280</v>
      </c>
      <c r="L1721" s="74">
        <f t="shared" si="381"/>
      </c>
      <c r="M1721" s="74">
        <f t="shared" ca="1" si="382"/>
      </c>
      <c r="N1721" s="74">
        <f ca="1">VLOOKUP(B1721,$C$7:$T1719,13,FALSE)</f>
      </c>
      <c r="O1721" s="74">
        <f t="shared" ca="1" si="383"/>
      </c>
      <c r="P1721" s="74">
        <f t="shared" ca="1" si="384"/>
      </c>
      <c r="Q1721" s="74">
        <f t="shared" ca="1" si="385"/>
      </c>
      <c r="R1721" s="74">
        <f t="shared" si="386"/>
      </c>
      <c r="S1721" s="74">
        <f t="shared" ca="1" si="387"/>
      </c>
      <c r="T1721" s="74">
        <f t="shared" si="388"/>
      </c>
    </row>
    <row r="1722" spans="2:20" x14ac:dyDescent="0.3">
      <c r="B1722" s="74">
        <f t="shared" ca="1" si="378"/>
      </c>
      <c r="C1722" s="78">
        <f>Кабельный_журнал!P1688</f>
      </c>
      <c r="D1722" s="74">
        <f t="shared" ca="1" si="379"/>
      </c>
      <c r="E1722" s="80" t="s">
        <v>279</v>
      </c>
      <c r="F1722" s="74">
        <f t="shared" ca="1" si="375"/>
      </c>
      <c r="G1722" s="74">
        <f t="shared" si="376"/>
      </c>
      <c r="H1722" s="80" t="s">
        <v>272</v>
      </c>
      <c r="I1722" s="74">
        <f t="shared" si="377"/>
      </c>
      <c r="J1722" s="74">
        <f t="shared" si="380"/>
      </c>
      <c r="K1722" s="80" t="s">
        <v>280</v>
      </c>
      <c r="L1722" s="74">
        <f t="shared" si="381"/>
      </c>
      <c r="M1722" s="74">
        <f t="shared" ca="1" si="382"/>
      </c>
      <c r="N1722" s="74">
        <f ca="1">VLOOKUP(B1722,$C$7:$T1720,13,FALSE)</f>
      </c>
      <c r="O1722" s="74">
        <f t="shared" ca="1" si="383"/>
      </c>
      <c r="P1722" s="74">
        <f t="shared" ca="1" si="384"/>
      </c>
      <c r="Q1722" s="74">
        <f t="shared" ca="1" si="385"/>
      </c>
      <c r="R1722" s="74">
        <f t="shared" si="386"/>
      </c>
      <c r="S1722" s="74">
        <f t="shared" ca="1" si="387"/>
      </c>
      <c r="T1722" s="74">
        <f t="shared" si="388"/>
      </c>
    </row>
    <row r="1723" spans="2:20" x14ac:dyDescent="0.3">
      <c r="B1723" s="74">
        <f t="shared" ca="1" si="378"/>
      </c>
      <c r="C1723" s="78">
        <f>Кабельный_журнал!P1689</f>
      </c>
      <c r="D1723" s="74">
        <f t="shared" ca="1" si="379"/>
      </c>
      <c r="E1723" s="80" t="s">
        <v>279</v>
      </c>
      <c r="F1723" s="74">
        <f t="shared" ca="1" si="375"/>
      </c>
      <c r="G1723" s="74">
        <f t="shared" si="376"/>
      </c>
      <c r="H1723" s="80" t="s">
        <v>272</v>
      </c>
      <c r="I1723" s="74">
        <f t="shared" si="377"/>
      </c>
      <c r="J1723" s="74">
        <f t="shared" si="380"/>
      </c>
      <c r="K1723" s="80" t="s">
        <v>280</v>
      </c>
      <c r="L1723" s="74">
        <f t="shared" si="381"/>
      </c>
      <c r="M1723" s="74">
        <f t="shared" ca="1" si="382"/>
      </c>
      <c r="N1723" s="74">
        <f ca="1">VLOOKUP(B1723,$C$7:$T1721,13,FALSE)</f>
      </c>
      <c r="O1723" s="74">
        <f t="shared" ca="1" si="383"/>
      </c>
      <c r="P1723" s="74">
        <f t="shared" ca="1" si="384"/>
      </c>
      <c r="Q1723" s="74">
        <f t="shared" ca="1" si="385"/>
      </c>
      <c r="R1723" s="74">
        <f t="shared" si="386"/>
      </c>
      <c r="S1723" s="74">
        <f t="shared" ca="1" si="387"/>
      </c>
      <c r="T1723" s="74">
        <f t="shared" si="388"/>
      </c>
    </row>
    <row r="1724" spans="2:20" x14ac:dyDescent="0.3">
      <c r="B1724" s="74">
        <f t="shared" ca="1" si="378"/>
      </c>
      <c r="C1724" s="78">
        <f>Кабельный_журнал!P1690</f>
      </c>
      <c r="D1724" s="74">
        <f t="shared" ca="1" si="379"/>
      </c>
      <c r="E1724" s="80" t="s">
        <v>279</v>
      </c>
      <c r="F1724" s="74">
        <f t="shared" ca="1" si="375"/>
      </c>
      <c r="G1724" s="74">
        <f t="shared" si="376"/>
      </c>
      <c r="H1724" s="80" t="s">
        <v>272</v>
      </c>
      <c r="I1724" s="74">
        <f t="shared" si="377"/>
      </c>
      <c r="J1724" s="74">
        <f t="shared" si="380"/>
      </c>
      <c r="K1724" s="80" t="s">
        <v>280</v>
      </c>
      <c r="L1724" s="74">
        <f t="shared" si="381"/>
      </c>
      <c r="M1724" s="74">
        <f t="shared" ca="1" si="382"/>
      </c>
      <c r="N1724" s="74">
        <f ca="1">VLOOKUP(B1724,$C$7:$T1722,13,FALSE)</f>
      </c>
      <c r="O1724" s="74">
        <f t="shared" ca="1" si="383"/>
      </c>
      <c r="P1724" s="74">
        <f t="shared" ca="1" si="384"/>
      </c>
      <c r="Q1724" s="74">
        <f t="shared" ca="1" si="385"/>
      </c>
      <c r="R1724" s="74">
        <f t="shared" si="386"/>
      </c>
      <c r="S1724" s="74">
        <f t="shared" ca="1" si="387"/>
      </c>
      <c r="T1724" s="74">
        <f t="shared" si="388"/>
      </c>
    </row>
    <row r="1725" spans="2:20" x14ac:dyDescent="0.3">
      <c r="B1725" s="74">
        <f t="shared" ca="1" si="378"/>
      </c>
      <c r="C1725" s="78">
        <f>Кабельный_журнал!P1691</f>
      </c>
      <c r="D1725" s="74">
        <f t="shared" ca="1" si="379"/>
      </c>
      <c r="E1725" s="80" t="s">
        <v>279</v>
      </c>
      <c r="F1725" s="74">
        <f t="shared" ca="1" si="375"/>
      </c>
      <c r="G1725" s="74">
        <f t="shared" si="376"/>
      </c>
      <c r="H1725" s="80" t="s">
        <v>272</v>
      </c>
      <c r="I1725" s="74">
        <f t="shared" si="377"/>
      </c>
      <c r="J1725" s="74">
        <f t="shared" si="380"/>
      </c>
      <c r="K1725" s="80" t="s">
        <v>280</v>
      </c>
      <c r="L1725" s="74">
        <f t="shared" si="381"/>
      </c>
      <c r="M1725" s="74">
        <f t="shared" ca="1" si="382"/>
      </c>
      <c r="N1725" s="74">
        <f ca="1">VLOOKUP(B1725,$C$7:$T1723,13,FALSE)</f>
      </c>
      <c r="O1725" s="74">
        <f t="shared" ca="1" si="383"/>
      </c>
      <c r="P1725" s="74">
        <f t="shared" ca="1" si="384"/>
      </c>
      <c r="Q1725" s="74">
        <f t="shared" ca="1" si="385"/>
      </c>
      <c r="R1725" s="74">
        <f t="shared" si="386"/>
      </c>
      <c r="S1725" s="74">
        <f t="shared" ca="1" si="387"/>
      </c>
      <c r="T1725" s="74">
        <f t="shared" si="388"/>
      </c>
    </row>
    <row r="1726" spans="2:20" x14ac:dyDescent="0.3">
      <c r="B1726" s="74">
        <f t="shared" ca="1" si="378"/>
      </c>
      <c r="C1726" s="78">
        <f>Кабельный_журнал!P1692</f>
      </c>
      <c r="D1726" s="74">
        <f t="shared" ca="1" si="379"/>
      </c>
      <c r="E1726" s="80" t="s">
        <v>279</v>
      </c>
      <c r="F1726" s="74">
        <f t="shared" ca="1" si="375"/>
      </c>
      <c r="G1726" s="74">
        <f t="shared" si="376"/>
      </c>
      <c r="H1726" s="80" t="s">
        <v>272</v>
      </c>
      <c r="I1726" s="74">
        <f t="shared" si="377"/>
      </c>
      <c r="J1726" s="74">
        <f t="shared" si="380"/>
      </c>
      <c r="K1726" s="80" t="s">
        <v>280</v>
      </c>
      <c r="L1726" s="74">
        <f t="shared" si="381"/>
      </c>
      <c r="M1726" s="74">
        <f t="shared" ca="1" si="382"/>
      </c>
      <c r="N1726" s="74">
        <f ca="1">VLOOKUP(B1726,$C$7:$T1724,13,FALSE)</f>
      </c>
      <c r="O1726" s="74">
        <f t="shared" ca="1" si="383"/>
      </c>
      <c r="P1726" s="74">
        <f t="shared" ca="1" si="384"/>
      </c>
      <c r="Q1726" s="74">
        <f t="shared" ca="1" si="385"/>
      </c>
      <c r="R1726" s="74">
        <f t="shared" si="386"/>
      </c>
      <c r="S1726" s="74">
        <f t="shared" ca="1" si="387"/>
      </c>
      <c r="T1726" s="74">
        <f t="shared" si="388"/>
      </c>
    </row>
    <row r="1727" spans="2:20" x14ac:dyDescent="0.3">
      <c r="B1727" s="74">
        <f t="shared" ca="1" si="378"/>
      </c>
      <c r="C1727" s="78">
        <f>Кабельный_журнал!P1693</f>
      </c>
      <c r="D1727" s="74">
        <f t="shared" ca="1" si="379"/>
      </c>
      <c r="E1727" s="80" t="s">
        <v>279</v>
      </c>
      <c r="F1727" s="74">
        <f t="shared" ca="1" si="375"/>
      </c>
      <c r="G1727" s="74">
        <f t="shared" si="376"/>
      </c>
      <c r="H1727" s="80" t="s">
        <v>272</v>
      </c>
      <c r="I1727" s="74">
        <f t="shared" si="377"/>
      </c>
      <c r="J1727" s="74">
        <f t="shared" si="380"/>
      </c>
      <c r="K1727" s="80" t="s">
        <v>280</v>
      </c>
      <c r="L1727" s="74">
        <f t="shared" si="381"/>
      </c>
      <c r="M1727" s="74">
        <f t="shared" ca="1" si="382"/>
      </c>
      <c r="N1727" s="74">
        <f ca="1">VLOOKUP(B1727,$C$7:$T1725,13,FALSE)</f>
      </c>
      <c r="O1727" s="74">
        <f t="shared" ca="1" si="383"/>
      </c>
      <c r="P1727" s="74">
        <f t="shared" ca="1" si="384"/>
      </c>
      <c r="Q1727" s="74">
        <f t="shared" ca="1" si="385"/>
      </c>
      <c r="R1727" s="74">
        <f t="shared" si="386"/>
      </c>
      <c r="S1727" s="74">
        <f t="shared" ca="1" si="387"/>
      </c>
      <c r="T1727" s="74">
        <f t="shared" si="388"/>
      </c>
    </row>
    <row r="1728" spans="2:20" x14ac:dyDescent="0.3">
      <c r="B1728" s="74">
        <f t="shared" ca="1" si="378"/>
      </c>
      <c r="C1728" s="78">
        <f>Кабельный_журнал!P1694</f>
      </c>
      <c r="D1728" s="74">
        <f t="shared" ca="1" si="379"/>
      </c>
      <c r="E1728" s="80" t="s">
        <v>279</v>
      </c>
      <c r="F1728" s="74">
        <f t="shared" ca="1" si="375"/>
      </c>
      <c r="G1728" s="74">
        <f t="shared" si="376"/>
      </c>
      <c r="H1728" s="80" t="s">
        <v>272</v>
      </c>
      <c r="I1728" s="74">
        <f t="shared" si="377"/>
      </c>
      <c r="J1728" s="74">
        <f t="shared" si="380"/>
      </c>
      <c r="K1728" s="80" t="s">
        <v>280</v>
      </c>
      <c r="L1728" s="74">
        <f t="shared" si="381"/>
      </c>
      <c r="M1728" s="74">
        <f t="shared" ca="1" si="382"/>
      </c>
      <c r="N1728" s="74">
        <f ca="1">VLOOKUP(B1728,$C$7:$T1726,13,FALSE)</f>
      </c>
      <c r="O1728" s="74">
        <f t="shared" ca="1" si="383"/>
      </c>
      <c r="P1728" s="74">
        <f t="shared" ca="1" si="384"/>
      </c>
      <c r="Q1728" s="74">
        <f t="shared" ca="1" si="385"/>
      </c>
      <c r="R1728" s="74">
        <f t="shared" si="386"/>
      </c>
      <c r="S1728" s="74">
        <f t="shared" ca="1" si="387"/>
      </c>
      <c r="T1728" s="74">
        <f t="shared" si="388"/>
      </c>
    </row>
    <row r="1729" spans="2:20" x14ac:dyDescent="0.3">
      <c r="B1729" s="74">
        <f t="shared" ca="1" si="378"/>
      </c>
      <c r="C1729" s="78">
        <f>Кабельный_журнал!P1695</f>
      </c>
      <c r="D1729" s="74">
        <f t="shared" ca="1" si="379"/>
      </c>
      <c r="E1729" s="80" t="s">
        <v>279</v>
      </c>
      <c r="F1729" s="74">
        <f t="shared" ca="1" si="375"/>
      </c>
      <c r="G1729" s="74">
        <f t="shared" si="376"/>
      </c>
      <c r="H1729" s="80" t="s">
        <v>272</v>
      </c>
      <c r="I1729" s="74">
        <f t="shared" si="377"/>
      </c>
      <c r="J1729" s="74">
        <f t="shared" si="380"/>
      </c>
      <c r="K1729" s="80" t="s">
        <v>280</v>
      </c>
      <c r="L1729" s="74">
        <f t="shared" si="381"/>
      </c>
      <c r="M1729" s="74">
        <f t="shared" ca="1" si="382"/>
      </c>
      <c r="N1729" s="74">
        <f ca="1">VLOOKUP(B1729,$C$7:$T1727,13,FALSE)</f>
      </c>
      <c r="O1729" s="74">
        <f t="shared" ca="1" si="383"/>
      </c>
      <c r="P1729" s="74">
        <f t="shared" ca="1" si="384"/>
      </c>
      <c r="Q1729" s="74">
        <f t="shared" ca="1" si="385"/>
      </c>
      <c r="R1729" s="74">
        <f t="shared" si="386"/>
      </c>
      <c r="S1729" s="74">
        <f t="shared" ca="1" si="387"/>
      </c>
      <c r="T1729" s="74">
        <f t="shared" si="388"/>
      </c>
    </row>
    <row r="1730" spans="2:20" x14ac:dyDescent="0.3">
      <c r="B1730" s="74">
        <f t="shared" ca="1" si="378"/>
      </c>
      <c r="C1730" s="78">
        <f>Кабельный_журнал!P1696</f>
      </c>
      <c r="D1730" s="74">
        <f t="shared" ca="1" si="379"/>
      </c>
      <c r="E1730" s="80" t="s">
        <v>279</v>
      </c>
      <c r="F1730" s="74">
        <f t="shared" ca="1" si="375"/>
      </c>
      <c r="G1730" s="74">
        <f t="shared" si="376"/>
      </c>
      <c r="H1730" s="80" t="s">
        <v>272</v>
      </c>
      <c r="I1730" s="74">
        <f t="shared" si="377"/>
      </c>
      <c r="J1730" s="74">
        <f t="shared" si="380"/>
      </c>
      <c r="K1730" s="80" t="s">
        <v>280</v>
      </c>
      <c r="L1730" s="74">
        <f t="shared" si="381"/>
      </c>
      <c r="M1730" s="74">
        <f t="shared" ca="1" si="382"/>
      </c>
      <c r="N1730" s="74">
        <f ca="1">VLOOKUP(B1730,$C$7:$T1728,13,FALSE)</f>
      </c>
      <c r="O1730" s="74">
        <f t="shared" ca="1" si="383"/>
      </c>
      <c r="P1730" s="74">
        <f t="shared" ca="1" si="384"/>
      </c>
      <c r="Q1730" s="74">
        <f t="shared" ca="1" si="385"/>
      </c>
      <c r="R1730" s="74">
        <f t="shared" si="386"/>
      </c>
      <c r="S1730" s="74">
        <f t="shared" ca="1" si="387"/>
      </c>
      <c r="T1730" s="74">
        <f t="shared" si="388"/>
      </c>
    </row>
    <row r="1731" spans="2:20" x14ac:dyDescent="0.3">
      <c r="B1731" s="74">
        <f t="shared" ca="1" si="378"/>
      </c>
      <c r="C1731" s="78">
        <f>Кабельный_журнал!P1697</f>
      </c>
      <c r="D1731" s="74">
        <f t="shared" ca="1" si="379"/>
      </c>
      <c r="E1731" s="80" t="s">
        <v>279</v>
      </c>
      <c r="F1731" s="74">
        <f t="shared" ca="1" si="375"/>
      </c>
      <c r="G1731" s="74">
        <f t="shared" si="376"/>
      </c>
      <c r="H1731" s="80" t="s">
        <v>272</v>
      </c>
      <c r="I1731" s="74">
        <f t="shared" si="377"/>
      </c>
      <c r="J1731" s="74">
        <f t="shared" si="380"/>
      </c>
      <c r="K1731" s="80" t="s">
        <v>280</v>
      </c>
      <c r="L1731" s="74">
        <f t="shared" si="381"/>
      </c>
      <c r="M1731" s="74">
        <f t="shared" ca="1" si="382"/>
      </c>
      <c r="N1731" s="74">
        <f ca="1">VLOOKUP(B1731,$C$7:$T1729,13,FALSE)</f>
      </c>
      <c r="O1731" s="74">
        <f t="shared" ca="1" si="383"/>
      </c>
      <c r="P1731" s="74">
        <f t="shared" ca="1" si="384"/>
      </c>
      <c r="Q1731" s="74">
        <f t="shared" ca="1" si="385"/>
      </c>
      <c r="R1731" s="74">
        <f t="shared" si="386"/>
      </c>
      <c r="S1731" s="74">
        <f t="shared" ca="1" si="387"/>
      </c>
      <c r="T1731" s="74">
        <f t="shared" si="388"/>
      </c>
    </row>
    <row r="1732" spans="2:20" x14ac:dyDescent="0.3">
      <c r="B1732" s="74">
        <f t="shared" ca="1" si="378"/>
      </c>
      <c r="C1732" s="78">
        <f>Кабельный_журнал!P1698</f>
      </c>
      <c r="D1732" s="74">
        <f t="shared" ca="1" si="379"/>
      </c>
      <c r="E1732" s="80" t="s">
        <v>279</v>
      </c>
      <c r="F1732" s="74">
        <f t="shared" ca="1" si="375"/>
      </c>
      <c r="G1732" s="74">
        <f t="shared" si="376"/>
      </c>
      <c r="H1732" s="80" t="s">
        <v>272</v>
      </c>
      <c r="I1732" s="74">
        <f t="shared" si="377"/>
      </c>
      <c r="J1732" s="74">
        <f t="shared" si="380"/>
      </c>
      <c r="K1732" s="80" t="s">
        <v>280</v>
      </c>
      <c r="L1732" s="74">
        <f t="shared" si="381"/>
      </c>
      <c r="M1732" s="74">
        <f t="shared" ca="1" si="382"/>
      </c>
      <c r="N1732" s="74">
        <f ca="1">VLOOKUP(B1732,$C$7:$T1730,13,FALSE)</f>
      </c>
      <c r="O1732" s="74">
        <f t="shared" ca="1" si="383"/>
      </c>
      <c r="P1732" s="74">
        <f t="shared" ca="1" si="384"/>
      </c>
      <c r="Q1732" s="74">
        <f t="shared" ca="1" si="385"/>
      </c>
      <c r="R1732" s="74">
        <f t="shared" si="386"/>
      </c>
      <c r="S1732" s="74">
        <f t="shared" ca="1" si="387"/>
      </c>
      <c r="T1732" s="74">
        <f t="shared" si="388"/>
      </c>
    </row>
    <row r="1733" spans="2:20" x14ac:dyDescent="0.3">
      <c r="B1733" s="74">
        <f t="shared" ca="1" si="378"/>
      </c>
      <c r="C1733" s="78">
        <f>Кабельный_журнал!P1699</f>
      </c>
      <c r="D1733" s="74">
        <f t="shared" ca="1" si="379"/>
      </c>
      <c r="E1733" s="80" t="s">
        <v>279</v>
      </c>
      <c r="F1733" s="74">
        <f t="shared" ca="1" si="375"/>
      </c>
      <c r="G1733" s="74">
        <f t="shared" si="376"/>
      </c>
      <c r="H1733" s="80" t="s">
        <v>272</v>
      </c>
      <c r="I1733" s="74">
        <f t="shared" si="377"/>
      </c>
      <c r="J1733" s="74">
        <f t="shared" si="380"/>
      </c>
      <c r="K1733" s="80" t="s">
        <v>280</v>
      </c>
      <c r="L1733" s="74">
        <f t="shared" si="381"/>
      </c>
      <c r="M1733" s="74">
        <f t="shared" ca="1" si="382"/>
      </c>
      <c r="N1733" s="74">
        <f ca="1">VLOOKUP(B1733,$C$7:$T1731,13,FALSE)</f>
      </c>
      <c r="O1733" s="74">
        <f t="shared" ca="1" si="383"/>
      </c>
      <c r="P1733" s="74">
        <f t="shared" ca="1" si="384"/>
      </c>
      <c r="Q1733" s="74">
        <f t="shared" ca="1" si="385"/>
      </c>
      <c r="R1733" s="74">
        <f t="shared" si="386"/>
      </c>
      <c r="S1733" s="74">
        <f t="shared" ca="1" si="387"/>
      </c>
      <c r="T1733" s="74">
        <f t="shared" si="388"/>
      </c>
    </row>
    <row r="1734" spans="2:20" x14ac:dyDescent="0.3">
      <c r="B1734" s="74">
        <f t="shared" ca="1" si="378"/>
      </c>
      <c r="C1734" s="78">
        <f>Кабельный_журнал!P1700</f>
      </c>
      <c r="D1734" s="74">
        <f t="shared" ca="1" si="379"/>
      </c>
      <c r="E1734" s="80" t="s">
        <v>279</v>
      </c>
      <c r="F1734" s="74">
        <f t="shared" ca="1" si="375"/>
      </c>
      <c r="G1734" s="74">
        <f t="shared" si="376"/>
      </c>
      <c r="H1734" s="80" t="s">
        <v>272</v>
      </c>
      <c r="I1734" s="74">
        <f t="shared" si="377"/>
      </c>
      <c r="J1734" s="74">
        <f t="shared" si="380"/>
      </c>
      <c r="K1734" s="80" t="s">
        <v>280</v>
      </c>
      <c r="L1734" s="74">
        <f t="shared" si="381"/>
      </c>
      <c r="M1734" s="74">
        <f t="shared" ca="1" si="382"/>
      </c>
      <c r="N1734" s="74">
        <f ca="1">VLOOKUP(B1734,$C$7:$T1732,13,FALSE)</f>
      </c>
      <c r="O1734" s="74">
        <f t="shared" ca="1" si="383"/>
      </c>
      <c r="P1734" s="74">
        <f t="shared" ca="1" si="384"/>
      </c>
      <c r="Q1734" s="74">
        <f t="shared" ca="1" si="385"/>
      </c>
      <c r="R1734" s="74">
        <f t="shared" si="386"/>
      </c>
      <c r="S1734" s="74">
        <f t="shared" ca="1" si="387"/>
      </c>
      <c r="T1734" s="74">
        <f t="shared" si="388"/>
      </c>
    </row>
    <row r="1735" spans="2:20" x14ac:dyDescent="0.3">
      <c r="B1735" s="74">
        <f t="shared" ca="1" si="378"/>
      </c>
      <c r="C1735" s="78">
        <f>Кабельный_журнал!P1701</f>
      </c>
      <c r="D1735" s="74">
        <f t="shared" ca="1" si="379"/>
      </c>
      <c r="E1735" s="80" t="s">
        <v>279</v>
      </c>
      <c r="F1735" s="74">
        <f t="shared" ca="1" si="375"/>
      </c>
      <c r="G1735" s="74">
        <f t="shared" si="376"/>
      </c>
      <c r="H1735" s="80" t="s">
        <v>272</v>
      </c>
      <c r="I1735" s="74">
        <f t="shared" si="377"/>
      </c>
      <c r="J1735" s="74">
        <f t="shared" si="380"/>
      </c>
      <c r="K1735" s="80" t="s">
        <v>280</v>
      </c>
      <c r="L1735" s="74">
        <f t="shared" si="381"/>
      </c>
      <c r="M1735" s="74">
        <f t="shared" ca="1" si="382"/>
      </c>
      <c r="N1735" s="74">
        <f ca="1">VLOOKUP(B1735,$C$7:$T1733,13,FALSE)</f>
      </c>
      <c r="O1735" s="74">
        <f t="shared" ca="1" si="383"/>
      </c>
      <c r="P1735" s="74">
        <f t="shared" ca="1" si="384"/>
      </c>
      <c r="Q1735" s="74">
        <f t="shared" ca="1" si="385"/>
      </c>
      <c r="R1735" s="74">
        <f t="shared" si="386"/>
      </c>
      <c r="S1735" s="74">
        <f t="shared" ca="1" si="387"/>
      </c>
      <c r="T1735" s="74">
        <f t="shared" si="388"/>
      </c>
    </row>
    <row r="1736" spans="2:20" x14ac:dyDescent="0.3">
      <c r="B1736" s="74">
        <f t="shared" ca="1" si="378"/>
      </c>
      <c r="C1736" s="78">
        <f>Кабельный_журнал!P1702</f>
      </c>
      <c r="D1736" s="74">
        <f t="shared" ca="1" si="379"/>
      </c>
      <c r="E1736" s="80" t="s">
        <v>279</v>
      </c>
      <c r="F1736" s="74">
        <f t="shared" ca="1" si="375"/>
      </c>
      <c r="G1736" s="74">
        <f t="shared" si="376"/>
      </c>
      <c r="H1736" s="80" t="s">
        <v>272</v>
      </c>
      <c r="I1736" s="74">
        <f t="shared" si="377"/>
      </c>
      <c r="J1736" s="74">
        <f t="shared" si="380"/>
      </c>
      <c r="K1736" s="80" t="s">
        <v>280</v>
      </c>
      <c r="L1736" s="74">
        <f t="shared" si="381"/>
      </c>
      <c r="M1736" s="74">
        <f t="shared" ca="1" si="382"/>
      </c>
      <c r="N1736" s="74">
        <f ca="1">VLOOKUP(B1736,$C$7:$T1734,13,FALSE)</f>
      </c>
      <c r="O1736" s="74">
        <f t="shared" ca="1" si="383"/>
      </c>
      <c r="P1736" s="74">
        <f t="shared" ca="1" si="384"/>
      </c>
      <c r="Q1736" s="74">
        <f t="shared" ca="1" si="385"/>
      </c>
      <c r="R1736" s="74">
        <f t="shared" si="386"/>
      </c>
      <c r="S1736" s="74">
        <f t="shared" ca="1" si="387"/>
      </c>
      <c r="T1736" s="74">
        <f t="shared" si="388"/>
      </c>
    </row>
    <row r="1737" spans="2:20" x14ac:dyDescent="0.3">
      <c r="B1737" s="74">
        <f t="shared" ca="1" si="378"/>
      </c>
      <c r="C1737" s="78">
        <f>Кабельный_журнал!P1703</f>
      </c>
      <c r="D1737" s="74">
        <f t="shared" ca="1" si="379"/>
      </c>
      <c r="E1737" s="80" t="s">
        <v>279</v>
      </c>
      <c r="F1737" s="74">
        <f t="shared" ca="1" si="375"/>
      </c>
      <c r="G1737" s="74">
        <f t="shared" si="376"/>
      </c>
      <c r="H1737" s="80" t="s">
        <v>272</v>
      </c>
      <c r="I1737" s="74">
        <f t="shared" si="377"/>
      </c>
      <c r="J1737" s="74">
        <f t="shared" si="380"/>
      </c>
      <c r="K1737" s="80" t="s">
        <v>280</v>
      </c>
      <c r="L1737" s="74">
        <f t="shared" si="381"/>
      </c>
      <c r="M1737" s="74">
        <f t="shared" ca="1" si="382"/>
      </c>
      <c r="N1737" s="74">
        <f ca="1">VLOOKUP(B1737,$C$7:$T1735,13,FALSE)</f>
      </c>
      <c r="O1737" s="74">
        <f t="shared" ca="1" si="383"/>
      </c>
      <c r="P1737" s="74">
        <f t="shared" ca="1" si="384"/>
      </c>
      <c r="Q1737" s="74">
        <f t="shared" ca="1" si="385"/>
      </c>
      <c r="R1737" s="74">
        <f t="shared" si="386"/>
      </c>
      <c r="S1737" s="74">
        <f t="shared" ca="1" si="387"/>
      </c>
      <c r="T1737" s="74">
        <f t="shared" si="388"/>
      </c>
    </row>
    <row r="1738" spans="2:20" x14ac:dyDescent="0.3">
      <c r="B1738" s="74">
        <f t="shared" ca="1" si="378"/>
      </c>
      <c r="C1738" s="78">
        <f>Кабельный_журнал!P1704</f>
      </c>
      <c r="D1738" s="74">
        <f t="shared" ca="1" si="379"/>
      </c>
      <c r="E1738" s="80" t="s">
        <v>279</v>
      </c>
      <c r="F1738" s="74">
        <f t="shared" ca="1" si="375"/>
      </c>
      <c r="G1738" s="74">
        <f t="shared" si="376"/>
      </c>
      <c r="H1738" s="80" t="s">
        <v>272</v>
      </c>
      <c r="I1738" s="74">
        <f t="shared" si="377"/>
      </c>
      <c r="J1738" s="74">
        <f t="shared" si="380"/>
      </c>
      <c r="K1738" s="80" t="s">
        <v>280</v>
      </c>
      <c r="L1738" s="74">
        <f t="shared" si="381"/>
      </c>
      <c r="M1738" s="74">
        <f t="shared" ca="1" si="382"/>
      </c>
      <c r="N1738" s="74">
        <f ca="1">VLOOKUP(B1738,$C$7:$T1736,13,FALSE)</f>
      </c>
      <c r="O1738" s="74">
        <f t="shared" ca="1" si="383"/>
      </c>
      <c r="P1738" s="74">
        <f t="shared" ca="1" si="384"/>
      </c>
      <c r="Q1738" s="74">
        <f t="shared" ca="1" si="385"/>
      </c>
      <c r="R1738" s="74">
        <f t="shared" si="386"/>
      </c>
      <c r="S1738" s="74">
        <f t="shared" ca="1" si="387"/>
      </c>
      <c r="T1738" s="74">
        <f t="shared" si="388"/>
      </c>
    </row>
    <row r="1739" spans="2:20" x14ac:dyDescent="0.3">
      <c r="B1739" s="74">
        <f t="shared" ca="1" si="378"/>
      </c>
      <c r="C1739" s="78">
        <f>Кабельный_журнал!P1705</f>
      </c>
      <c r="D1739" s="74">
        <f t="shared" ca="1" si="379"/>
      </c>
      <c r="E1739" s="80" t="s">
        <v>279</v>
      </c>
      <c r="F1739" s="74">
        <f t="shared" ca="1" si="375"/>
      </c>
      <c r="G1739" s="74">
        <f t="shared" si="376"/>
      </c>
      <c r="H1739" s="80" t="s">
        <v>272</v>
      </c>
      <c r="I1739" s="74">
        <f t="shared" si="377"/>
      </c>
      <c r="J1739" s="74">
        <f t="shared" si="380"/>
      </c>
      <c r="K1739" s="80" t="s">
        <v>280</v>
      </c>
      <c r="L1739" s="74">
        <f t="shared" si="381"/>
      </c>
      <c r="M1739" s="74">
        <f t="shared" ca="1" si="382"/>
      </c>
      <c r="N1739" s="74">
        <f ca="1">VLOOKUP(B1739,$C$7:$T1737,13,FALSE)</f>
      </c>
      <c r="O1739" s="74">
        <f t="shared" ca="1" si="383"/>
      </c>
      <c r="P1739" s="74">
        <f t="shared" ca="1" si="384"/>
      </c>
      <c r="Q1739" s="74">
        <f t="shared" ca="1" si="385"/>
      </c>
      <c r="R1739" s="74">
        <f t="shared" si="386"/>
      </c>
      <c r="S1739" s="74">
        <f t="shared" ca="1" si="387"/>
      </c>
      <c r="T1739" s="74">
        <f t="shared" si="388"/>
      </c>
    </row>
    <row r="1740" spans="2:20" x14ac:dyDescent="0.3">
      <c r="B1740" s="74">
        <f t="shared" ca="1" si="378"/>
      </c>
      <c r="C1740" s="78">
        <f>Кабельный_журнал!P1706</f>
      </c>
      <c r="D1740" s="74">
        <f t="shared" ca="1" si="379"/>
      </c>
      <c r="E1740" s="80" t="s">
        <v>279</v>
      </c>
      <c r="F1740" s="74">
        <f t="shared" ca="1" si="375"/>
      </c>
      <c r="G1740" s="74">
        <f t="shared" si="376"/>
      </c>
      <c r="H1740" s="80" t="s">
        <v>272</v>
      </c>
      <c r="I1740" s="74">
        <f t="shared" si="377"/>
      </c>
      <c r="J1740" s="74">
        <f t="shared" si="380"/>
      </c>
      <c r="K1740" s="80" t="s">
        <v>280</v>
      </c>
      <c r="L1740" s="74">
        <f t="shared" si="381"/>
      </c>
      <c r="M1740" s="74">
        <f t="shared" ca="1" si="382"/>
      </c>
      <c r="N1740" s="74">
        <f ca="1">VLOOKUP(B1740,$C$7:$T1738,13,FALSE)</f>
      </c>
      <c r="O1740" s="74">
        <f t="shared" ca="1" si="383"/>
      </c>
      <c r="P1740" s="74">
        <f t="shared" ca="1" si="384"/>
      </c>
      <c r="Q1740" s="74">
        <f t="shared" ca="1" si="385"/>
      </c>
      <c r="R1740" s="74">
        <f t="shared" si="386"/>
      </c>
      <c r="S1740" s="74">
        <f t="shared" ca="1" si="387"/>
      </c>
      <c r="T1740" s="74">
        <f t="shared" si="388"/>
      </c>
    </row>
    <row r="1741" spans="2:20" x14ac:dyDescent="0.3">
      <c r="B1741" s="74">
        <f t="shared" ca="1" si="378"/>
      </c>
      <c r="C1741" s="78">
        <f>Кабельный_журнал!P1707</f>
      </c>
      <c r="D1741" s="74">
        <f t="shared" ca="1" si="379"/>
      </c>
      <c r="E1741" s="80" t="s">
        <v>279</v>
      </c>
      <c r="F1741" s="74">
        <f t="shared" ca="1" si="375"/>
      </c>
      <c r="G1741" s="74">
        <f t="shared" si="376"/>
      </c>
      <c r="H1741" s="80" t="s">
        <v>272</v>
      </c>
      <c r="I1741" s="74">
        <f t="shared" si="377"/>
      </c>
      <c r="J1741" s="74">
        <f t="shared" si="380"/>
      </c>
      <c r="K1741" s="80" t="s">
        <v>280</v>
      </c>
      <c r="L1741" s="74">
        <f t="shared" si="381"/>
      </c>
      <c r="M1741" s="74">
        <f t="shared" ca="1" si="382"/>
      </c>
      <c r="N1741" s="74">
        <f ca="1">VLOOKUP(B1741,$C$7:$T1739,13,FALSE)</f>
      </c>
      <c r="O1741" s="74">
        <f t="shared" ca="1" si="383"/>
      </c>
      <c r="P1741" s="74">
        <f t="shared" ca="1" si="384"/>
      </c>
      <c r="Q1741" s="74">
        <f t="shared" ca="1" si="385"/>
      </c>
      <c r="R1741" s="74">
        <f t="shared" si="386"/>
      </c>
      <c r="S1741" s="74">
        <f t="shared" ca="1" si="387"/>
      </c>
      <c r="T1741" s="74">
        <f t="shared" si="388"/>
      </c>
    </row>
    <row r="1742" spans="2:20" x14ac:dyDescent="0.3">
      <c r="B1742" s="74">
        <f t="shared" ca="1" si="378"/>
      </c>
      <c r="C1742" s="78">
        <f>Кабельный_журнал!P1708</f>
      </c>
      <c r="D1742" s="74">
        <f t="shared" ca="1" si="379"/>
      </c>
      <c r="E1742" s="80" t="s">
        <v>279</v>
      </c>
      <c r="F1742" s="74">
        <f t="shared" ca="1" si="375"/>
      </c>
      <c r="G1742" s="74">
        <f t="shared" si="376"/>
      </c>
      <c r="H1742" s="80" t="s">
        <v>272</v>
      </c>
      <c r="I1742" s="74">
        <f t="shared" si="377"/>
      </c>
      <c r="J1742" s="74">
        <f t="shared" si="380"/>
      </c>
      <c r="K1742" s="80" t="s">
        <v>280</v>
      </c>
      <c r="L1742" s="74">
        <f t="shared" si="381"/>
      </c>
      <c r="M1742" s="74">
        <f t="shared" ca="1" si="382"/>
      </c>
      <c r="N1742" s="74">
        <f ca="1">VLOOKUP(B1742,$C$7:$T1740,13,FALSE)</f>
      </c>
      <c r="O1742" s="74">
        <f t="shared" ca="1" si="383"/>
      </c>
      <c r="P1742" s="74">
        <f t="shared" ca="1" si="384"/>
      </c>
      <c r="Q1742" s="74">
        <f t="shared" ca="1" si="385"/>
      </c>
      <c r="R1742" s="74">
        <f t="shared" si="386"/>
      </c>
      <c r="S1742" s="74">
        <f t="shared" ca="1" si="387"/>
      </c>
      <c r="T1742" s="74">
        <f t="shared" si="388"/>
      </c>
    </row>
    <row r="1743" spans="2:20" x14ac:dyDescent="0.3">
      <c r="B1743" s="74">
        <f t="shared" ca="1" si="378"/>
      </c>
      <c r="C1743" s="78">
        <f>Кабельный_журнал!P1709</f>
      </c>
      <c r="D1743" s="74">
        <f t="shared" ca="1" si="379"/>
      </c>
      <c r="E1743" s="80" t="s">
        <v>279</v>
      </c>
      <c r="F1743" s="74">
        <f t="shared" ca="1" si="375"/>
      </c>
      <c r="G1743" s="74">
        <f t="shared" si="376"/>
      </c>
      <c r="H1743" s="80" t="s">
        <v>272</v>
      </c>
      <c r="I1743" s="74">
        <f t="shared" si="377"/>
      </c>
      <c r="J1743" s="74">
        <f t="shared" si="380"/>
      </c>
      <c r="K1743" s="80" t="s">
        <v>280</v>
      </c>
      <c r="L1743" s="74">
        <f t="shared" si="381"/>
      </c>
      <c r="M1743" s="74">
        <f t="shared" ca="1" si="382"/>
      </c>
      <c r="N1743" s="74">
        <f ca="1">VLOOKUP(B1743,$C$7:$T1741,13,FALSE)</f>
      </c>
      <c r="O1743" s="74">
        <f t="shared" ca="1" si="383"/>
      </c>
      <c r="P1743" s="74">
        <f t="shared" ca="1" si="384"/>
      </c>
      <c r="Q1743" s="74">
        <f t="shared" ca="1" si="385"/>
      </c>
      <c r="R1743" s="74">
        <f t="shared" si="386"/>
      </c>
      <c r="S1743" s="74">
        <f t="shared" ca="1" si="387"/>
      </c>
      <c r="T1743" s="74">
        <f t="shared" si="388"/>
      </c>
    </row>
    <row r="1744" spans="2:20" x14ac:dyDescent="0.3">
      <c r="B1744" s="74">
        <f t="shared" ca="1" si="378"/>
      </c>
      <c r="C1744" s="78">
        <f>Кабельный_журнал!P1710</f>
      </c>
      <c r="D1744" s="74">
        <f t="shared" ca="1" si="379"/>
      </c>
      <c r="E1744" s="80" t="s">
        <v>279</v>
      </c>
      <c r="F1744" s="74">
        <f t="shared" ca="1" si="375"/>
      </c>
      <c r="G1744" s="74">
        <f t="shared" si="376"/>
      </c>
      <c r="H1744" s="80" t="s">
        <v>272</v>
      </c>
      <c r="I1744" s="74">
        <f t="shared" si="377"/>
      </c>
      <c r="J1744" s="74">
        <f t="shared" si="380"/>
      </c>
      <c r="K1744" s="80" t="s">
        <v>280</v>
      </c>
      <c r="L1744" s="74">
        <f t="shared" si="381"/>
      </c>
      <c r="M1744" s="74">
        <f t="shared" ca="1" si="382"/>
      </c>
      <c r="N1744" s="74">
        <f ca="1">VLOOKUP(B1744,$C$7:$T1742,13,FALSE)</f>
      </c>
      <c r="O1744" s="74">
        <f t="shared" ca="1" si="383"/>
      </c>
      <c r="P1744" s="74">
        <f t="shared" ca="1" si="384"/>
      </c>
      <c r="Q1744" s="74">
        <f t="shared" ca="1" si="385"/>
      </c>
      <c r="R1744" s="74">
        <f t="shared" si="386"/>
      </c>
      <c r="S1744" s="74">
        <f t="shared" ca="1" si="387"/>
      </c>
      <c r="T1744" s="74">
        <f t="shared" si="388"/>
      </c>
    </row>
    <row r="1745" spans="2:20" x14ac:dyDescent="0.3">
      <c r="B1745" s="74">
        <f t="shared" ca="1" si="378"/>
      </c>
      <c r="C1745" s="78">
        <f>Кабельный_журнал!P1711</f>
      </c>
      <c r="D1745" s="74">
        <f t="shared" ca="1" si="379"/>
      </c>
      <c r="E1745" s="80" t="s">
        <v>279</v>
      </c>
      <c r="F1745" s="74">
        <f t="shared" ca="1" si="375"/>
      </c>
      <c r="G1745" s="74">
        <f t="shared" si="376"/>
      </c>
      <c r="H1745" s="80" t="s">
        <v>272</v>
      </c>
      <c r="I1745" s="74">
        <f t="shared" si="377"/>
      </c>
      <c r="J1745" s="74">
        <f t="shared" si="380"/>
      </c>
      <c r="K1745" s="80" t="s">
        <v>280</v>
      </c>
      <c r="L1745" s="74">
        <f t="shared" si="381"/>
      </c>
      <c r="M1745" s="74">
        <f t="shared" ca="1" si="382"/>
      </c>
      <c r="N1745" s="74">
        <f ca="1">VLOOKUP(B1745,$C$7:$T1743,13,FALSE)</f>
      </c>
      <c r="O1745" s="74">
        <f t="shared" ca="1" si="383"/>
      </c>
      <c r="P1745" s="74">
        <f t="shared" ca="1" si="384"/>
      </c>
      <c r="Q1745" s="74">
        <f t="shared" ca="1" si="385"/>
      </c>
      <c r="R1745" s="74">
        <f t="shared" si="386"/>
      </c>
      <c r="S1745" s="74">
        <f t="shared" ca="1" si="387"/>
      </c>
      <c r="T1745" s="74">
        <f t="shared" si="388"/>
      </c>
    </row>
    <row r="1746" spans="2:20" x14ac:dyDescent="0.3">
      <c r="B1746" s="74">
        <f t="shared" ca="1" si="378"/>
      </c>
      <c r="C1746" s="78">
        <f>Кабельный_журнал!P1712</f>
      </c>
      <c r="D1746" s="74">
        <f t="shared" ca="1" si="379"/>
      </c>
      <c r="E1746" s="80" t="s">
        <v>279</v>
      </c>
      <c r="F1746" s="74">
        <f t="shared" ca="1" si="375"/>
      </c>
      <c r="G1746" s="74">
        <f t="shared" si="376"/>
      </c>
      <c r="H1746" s="80" t="s">
        <v>272</v>
      </c>
      <c r="I1746" s="74">
        <f t="shared" si="377"/>
      </c>
      <c r="J1746" s="74">
        <f t="shared" si="380"/>
      </c>
      <c r="K1746" s="80" t="s">
        <v>280</v>
      </c>
      <c r="L1746" s="74">
        <f t="shared" si="381"/>
      </c>
      <c r="M1746" s="74">
        <f t="shared" ca="1" si="382"/>
      </c>
      <c r="N1746" s="74">
        <f ca="1">VLOOKUP(B1746,$C$7:$T1744,13,FALSE)</f>
      </c>
      <c r="O1746" s="74">
        <f t="shared" ca="1" si="383"/>
      </c>
      <c r="P1746" s="74">
        <f t="shared" ca="1" si="384"/>
      </c>
      <c r="Q1746" s="74">
        <f t="shared" ca="1" si="385"/>
      </c>
      <c r="R1746" s="74">
        <f t="shared" si="386"/>
      </c>
      <c r="S1746" s="74">
        <f t="shared" ca="1" si="387"/>
      </c>
      <c r="T1746" s="74">
        <f t="shared" si="388"/>
      </c>
    </row>
    <row r="1747" spans="2:20" x14ac:dyDescent="0.3">
      <c r="B1747" s="74">
        <f t="shared" ca="1" si="378"/>
      </c>
      <c r="C1747" s="78">
        <f>Кабельный_журнал!P1713</f>
      </c>
      <c r="D1747" s="74">
        <f t="shared" ca="1" si="379"/>
      </c>
      <c r="E1747" s="80" t="s">
        <v>279</v>
      </c>
      <c r="F1747" s="74">
        <f t="shared" ca="1" si="375"/>
      </c>
      <c r="G1747" s="74">
        <f t="shared" si="376"/>
      </c>
      <c r="H1747" s="80" t="s">
        <v>272</v>
      </c>
      <c r="I1747" s="74">
        <f t="shared" si="377"/>
      </c>
      <c r="J1747" s="74">
        <f t="shared" si="380"/>
      </c>
      <c r="K1747" s="80" t="s">
        <v>280</v>
      </c>
      <c r="L1747" s="74">
        <f t="shared" si="381"/>
      </c>
      <c r="M1747" s="74">
        <f t="shared" ca="1" si="382"/>
      </c>
      <c r="N1747" s="74">
        <f ca="1">VLOOKUP(B1747,$C$7:$T1745,13,FALSE)</f>
      </c>
      <c r="O1747" s="74">
        <f t="shared" ca="1" si="383"/>
      </c>
      <c r="P1747" s="74">
        <f t="shared" ca="1" si="384"/>
      </c>
      <c r="Q1747" s="74">
        <f t="shared" ca="1" si="385"/>
      </c>
      <c r="R1747" s="74">
        <f t="shared" si="386"/>
      </c>
      <c r="S1747" s="74">
        <f t="shared" ca="1" si="387"/>
      </c>
      <c r="T1747" s="74">
        <f t="shared" si="388"/>
      </c>
    </row>
    <row r="1748" spans="2:20" x14ac:dyDescent="0.3">
      <c r="B1748" s="74">
        <f t="shared" ca="1" si="378"/>
      </c>
      <c r="C1748" s="78">
        <f>Кабельный_журнал!P1714</f>
      </c>
      <c r="D1748" s="74">
        <f t="shared" ca="1" si="379"/>
      </c>
      <c r="E1748" s="80" t="s">
        <v>279</v>
      </c>
      <c r="F1748" s="74">
        <f t="shared" ca="1" si="375"/>
      </c>
      <c r="G1748" s="74">
        <f t="shared" si="376"/>
      </c>
      <c r="H1748" s="80" t="s">
        <v>272</v>
      </c>
      <c r="I1748" s="74">
        <f t="shared" si="377"/>
      </c>
      <c r="J1748" s="74">
        <f t="shared" si="380"/>
      </c>
      <c r="K1748" s="80" t="s">
        <v>280</v>
      </c>
      <c r="L1748" s="74">
        <f t="shared" si="381"/>
      </c>
      <c r="M1748" s="74">
        <f t="shared" ca="1" si="382"/>
      </c>
      <c r="N1748" s="74">
        <f ca="1">VLOOKUP(B1748,$C$7:$T1746,13,FALSE)</f>
      </c>
      <c r="O1748" s="74">
        <f t="shared" ca="1" si="383"/>
      </c>
      <c r="P1748" s="74">
        <f t="shared" ca="1" si="384"/>
      </c>
      <c r="Q1748" s="74">
        <f t="shared" ca="1" si="385"/>
      </c>
      <c r="R1748" s="74">
        <f t="shared" si="386"/>
      </c>
      <c r="S1748" s="74">
        <f t="shared" ca="1" si="387"/>
      </c>
      <c r="T1748" s="74">
        <f t="shared" si="388"/>
      </c>
    </row>
    <row r="1749" spans="2:20" x14ac:dyDescent="0.3">
      <c r="B1749" s="74">
        <f t="shared" ca="1" si="378"/>
      </c>
      <c r="C1749" s="78">
        <f>Кабельный_журнал!P1715</f>
      </c>
      <c r="D1749" s="74">
        <f t="shared" ca="1" si="379"/>
      </c>
      <c r="E1749" s="80" t="s">
        <v>279</v>
      </c>
      <c r="F1749" s="74">
        <f t="shared" ca="1" si="375"/>
      </c>
      <c r="G1749" s="74">
        <f t="shared" si="376"/>
      </c>
      <c r="H1749" s="80" t="s">
        <v>272</v>
      </c>
      <c r="I1749" s="74">
        <f t="shared" si="377"/>
      </c>
      <c r="J1749" s="74">
        <f t="shared" si="380"/>
      </c>
      <c r="K1749" s="80" t="s">
        <v>280</v>
      </c>
      <c r="L1749" s="74">
        <f t="shared" si="381"/>
      </c>
      <c r="M1749" s="74">
        <f t="shared" ca="1" si="382"/>
      </c>
      <c r="N1749" s="74">
        <f ca="1">VLOOKUP(B1749,$C$7:$T1747,13,FALSE)</f>
      </c>
      <c r="O1749" s="74">
        <f t="shared" ca="1" si="383"/>
      </c>
      <c r="P1749" s="74">
        <f t="shared" ca="1" si="384"/>
      </c>
      <c r="Q1749" s="74">
        <f t="shared" ca="1" si="385"/>
      </c>
      <c r="R1749" s="74">
        <f t="shared" si="386"/>
      </c>
      <c r="S1749" s="74">
        <f t="shared" ca="1" si="387"/>
      </c>
      <c r="T1749" s="74">
        <f t="shared" si="388"/>
      </c>
    </row>
    <row r="1750" spans="2:20" x14ac:dyDescent="0.3">
      <c r="B1750" s="74">
        <f t="shared" ca="1" si="378"/>
      </c>
      <c r="C1750" s="78">
        <f>Кабельный_журнал!P1716</f>
      </c>
      <c r="D1750" s="74">
        <f t="shared" ca="1" si="379"/>
      </c>
      <c r="E1750" s="80" t="s">
        <v>279</v>
      </c>
      <c r="F1750" s="74">
        <f t="shared" ca="1" si="375"/>
      </c>
      <c r="G1750" s="74">
        <f t="shared" si="376"/>
      </c>
      <c r="H1750" s="80" t="s">
        <v>272</v>
      </c>
      <c r="I1750" s="74">
        <f t="shared" si="377"/>
      </c>
      <c r="J1750" s="74">
        <f t="shared" si="380"/>
      </c>
      <c r="K1750" s="80" t="s">
        <v>280</v>
      </c>
      <c r="L1750" s="74">
        <f t="shared" si="381"/>
      </c>
      <c r="M1750" s="74">
        <f t="shared" ca="1" si="382"/>
      </c>
      <c r="N1750" s="74">
        <f ca="1">VLOOKUP(B1750,$C$7:$T1748,13,FALSE)</f>
      </c>
      <c r="O1750" s="74">
        <f t="shared" ca="1" si="383"/>
      </c>
      <c r="P1750" s="74">
        <f t="shared" ca="1" si="384"/>
      </c>
      <c r="Q1750" s="74">
        <f t="shared" ca="1" si="385"/>
      </c>
      <c r="R1750" s="74">
        <f t="shared" si="386"/>
      </c>
      <c r="S1750" s="74">
        <f t="shared" ca="1" si="387"/>
      </c>
      <c r="T1750" s="74">
        <f t="shared" si="388"/>
      </c>
    </row>
    <row r="1751" spans="2:20" x14ac:dyDescent="0.3">
      <c r="B1751" s="74">
        <f t="shared" ca="1" si="378"/>
      </c>
      <c r="C1751" s="78">
        <f>Кабельный_журнал!P1717</f>
      </c>
      <c r="D1751" s="74">
        <f t="shared" ca="1" si="379"/>
      </c>
      <c r="E1751" s="80" t="s">
        <v>279</v>
      </c>
      <c r="F1751" s="74">
        <f t="shared" ca="1" si="375"/>
      </c>
      <c r="G1751" s="74">
        <f t="shared" si="376"/>
      </c>
      <c r="H1751" s="80" t="s">
        <v>272</v>
      </c>
      <c r="I1751" s="74">
        <f t="shared" si="377"/>
      </c>
      <c r="J1751" s="74">
        <f t="shared" si="380"/>
      </c>
      <c r="K1751" s="80" t="s">
        <v>280</v>
      </c>
      <c r="L1751" s="74">
        <f t="shared" si="381"/>
      </c>
      <c r="M1751" s="74">
        <f t="shared" ca="1" si="382"/>
      </c>
      <c r="N1751" s="74">
        <f ca="1">VLOOKUP(B1751,$C$7:$T1749,13,FALSE)</f>
      </c>
      <c r="O1751" s="74">
        <f t="shared" ca="1" si="383"/>
      </c>
      <c r="P1751" s="74">
        <f t="shared" ca="1" si="384"/>
      </c>
      <c r="Q1751" s="74">
        <f t="shared" ca="1" si="385"/>
      </c>
      <c r="R1751" s="74">
        <f t="shared" si="386"/>
      </c>
      <c r="S1751" s="74">
        <f t="shared" ca="1" si="387"/>
      </c>
      <c r="T1751" s="74">
        <f t="shared" si="388"/>
      </c>
    </row>
    <row r="1752" spans="2:20" x14ac:dyDescent="0.3">
      <c r="B1752" s="74">
        <f t="shared" ca="1" si="378"/>
      </c>
      <c r="C1752" s="78">
        <f>Кабельный_журнал!P1718</f>
      </c>
      <c r="D1752" s="74">
        <f t="shared" ca="1" si="379"/>
      </c>
      <c r="E1752" s="80" t="s">
        <v>279</v>
      </c>
      <c r="F1752" s="74">
        <f t="shared" ca="1" si="375"/>
      </c>
      <c r="G1752" s="74">
        <f t="shared" si="376"/>
      </c>
      <c r="H1752" s="80" t="s">
        <v>272</v>
      </c>
      <c r="I1752" s="74">
        <f t="shared" si="377"/>
      </c>
      <c r="J1752" s="74">
        <f t="shared" si="380"/>
      </c>
      <c r="K1752" s="80" t="s">
        <v>280</v>
      </c>
      <c r="L1752" s="74">
        <f t="shared" si="381"/>
      </c>
      <c r="M1752" s="74">
        <f t="shared" ca="1" si="382"/>
      </c>
      <c r="N1752" s="74">
        <f ca="1">VLOOKUP(B1752,$C$7:$T1750,13,FALSE)</f>
      </c>
      <c r="O1752" s="74">
        <f t="shared" ca="1" si="383"/>
      </c>
      <c r="P1752" s="74">
        <f t="shared" ca="1" si="384"/>
      </c>
      <c r="Q1752" s="74">
        <f t="shared" ca="1" si="385"/>
      </c>
      <c r="R1752" s="74">
        <f t="shared" si="386"/>
      </c>
      <c r="S1752" s="74">
        <f t="shared" ca="1" si="387"/>
      </c>
      <c r="T1752" s="74">
        <f t="shared" si="388"/>
      </c>
    </row>
    <row r="1753" spans="2:20" x14ac:dyDescent="0.3">
      <c r="B1753" s="74">
        <f t="shared" ca="1" si="378"/>
      </c>
      <c r="C1753" s="78">
        <f>Кабельный_журнал!P1719</f>
      </c>
      <c r="D1753" s="74">
        <f t="shared" ca="1" si="379"/>
      </c>
      <c r="E1753" s="80" t="s">
        <v>279</v>
      </c>
      <c r="F1753" s="74">
        <f t="shared" ca="1" si="375"/>
      </c>
      <c r="G1753" s="74">
        <f t="shared" si="376"/>
      </c>
      <c r="H1753" s="80" t="s">
        <v>272</v>
      </c>
      <c r="I1753" s="74">
        <f t="shared" si="377"/>
      </c>
      <c r="J1753" s="74">
        <f t="shared" si="380"/>
      </c>
      <c r="K1753" s="80" t="s">
        <v>280</v>
      </c>
      <c r="L1753" s="74">
        <f t="shared" si="381"/>
      </c>
      <c r="M1753" s="74">
        <f t="shared" ca="1" si="382"/>
      </c>
      <c r="N1753" s="74">
        <f ca="1">VLOOKUP(B1753,$C$7:$T1751,13,FALSE)</f>
      </c>
      <c r="O1753" s="74">
        <f t="shared" ca="1" si="383"/>
      </c>
      <c r="P1753" s="74">
        <f t="shared" ca="1" si="384"/>
      </c>
      <c r="Q1753" s="74">
        <f t="shared" ca="1" si="385"/>
      </c>
      <c r="R1753" s="74">
        <f t="shared" si="386"/>
      </c>
      <c r="S1753" s="74">
        <f t="shared" ca="1" si="387"/>
      </c>
      <c r="T1753" s="74">
        <f t="shared" si="388"/>
      </c>
    </row>
    <row r="1754" spans="2:20" x14ac:dyDescent="0.3">
      <c r="B1754" s="74">
        <f t="shared" ca="1" si="378"/>
      </c>
      <c r="C1754" s="78">
        <f>Кабельный_журнал!P1720</f>
      </c>
      <c r="D1754" s="74">
        <f t="shared" ca="1" si="379"/>
      </c>
      <c r="E1754" s="80" t="s">
        <v>279</v>
      </c>
      <c r="F1754" s="74">
        <f t="shared" ca="1" si="375"/>
      </c>
      <c r="G1754" s="74">
        <f t="shared" si="376"/>
      </c>
      <c r="H1754" s="80" t="s">
        <v>272</v>
      </c>
      <c r="I1754" s="74">
        <f t="shared" si="377"/>
      </c>
      <c r="J1754" s="74">
        <f t="shared" si="380"/>
      </c>
      <c r="K1754" s="80" t="s">
        <v>280</v>
      </c>
      <c r="L1754" s="74">
        <f t="shared" si="381"/>
      </c>
      <c r="M1754" s="74">
        <f t="shared" ca="1" si="382"/>
      </c>
      <c r="N1754" s="74">
        <f ca="1">VLOOKUP(B1754,$C$7:$T1752,13,FALSE)</f>
      </c>
      <c r="O1754" s="74">
        <f t="shared" ca="1" si="383"/>
      </c>
      <c r="P1754" s="74">
        <f t="shared" ca="1" si="384"/>
      </c>
      <c r="Q1754" s="74">
        <f t="shared" ca="1" si="385"/>
      </c>
      <c r="R1754" s="74">
        <f t="shared" si="386"/>
      </c>
      <c r="S1754" s="74">
        <f t="shared" ca="1" si="387"/>
      </c>
      <c r="T1754" s="74">
        <f t="shared" si="388"/>
      </c>
    </row>
    <row r="1755" spans="2:20" x14ac:dyDescent="0.3">
      <c r="B1755" s="74">
        <f t="shared" ca="1" si="378"/>
      </c>
      <c r="C1755" s="78">
        <f>Кабельный_журнал!P1721</f>
      </c>
      <c r="D1755" s="74">
        <f t="shared" ca="1" si="379"/>
      </c>
      <c r="E1755" s="80" t="s">
        <v>279</v>
      </c>
      <c r="F1755" s="74">
        <f t="shared" ca="1" si="375"/>
      </c>
      <c r="G1755" s="74">
        <f t="shared" si="376"/>
      </c>
      <c r="H1755" s="80" t="s">
        <v>272</v>
      </c>
      <c r="I1755" s="74">
        <f t="shared" si="377"/>
      </c>
      <c r="J1755" s="74">
        <f t="shared" si="380"/>
      </c>
      <c r="K1755" s="80" t="s">
        <v>280</v>
      </c>
      <c r="L1755" s="74">
        <f t="shared" si="381"/>
      </c>
      <c r="M1755" s="74">
        <f t="shared" ca="1" si="382"/>
      </c>
      <c r="N1755" s="74">
        <f ca="1">VLOOKUP(B1755,$C$7:$T1753,13,FALSE)</f>
      </c>
      <c r="O1755" s="74">
        <f t="shared" ca="1" si="383"/>
      </c>
      <c r="P1755" s="74">
        <f t="shared" ca="1" si="384"/>
      </c>
      <c r="Q1755" s="74">
        <f t="shared" ca="1" si="385"/>
      </c>
      <c r="R1755" s="74">
        <f t="shared" si="386"/>
      </c>
      <c r="S1755" s="74">
        <f t="shared" ca="1" si="387"/>
      </c>
      <c r="T1755" s="74">
        <f t="shared" si="388"/>
      </c>
    </row>
    <row r="1756" spans="2:20" x14ac:dyDescent="0.3">
      <c r="B1756" s="74">
        <f t="shared" ca="1" si="378"/>
      </c>
      <c r="C1756" s="78">
        <f>Кабельный_журнал!P1722</f>
      </c>
      <c r="D1756" s="74">
        <f t="shared" ca="1" si="379"/>
      </c>
      <c r="E1756" s="80" t="s">
        <v>279</v>
      </c>
      <c r="F1756" s="74">
        <f t="shared" ca="1" si="375"/>
      </c>
      <c r="G1756" s="74">
        <f t="shared" si="376"/>
      </c>
      <c r="H1756" s="80" t="s">
        <v>272</v>
      </c>
      <c r="I1756" s="74">
        <f t="shared" si="377"/>
      </c>
      <c r="J1756" s="74">
        <f t="shared" si="380"/>
      </c>
      <c r="K1756" s="80" t="s">
        <v>280</v>
      </c>
      <c r="L1756" s="74">
        <f t="shared" si="381"/>
      </c>
      <c r="M1756" s="74">
        <f t="shared" ca="1" si="382"/>
      </c>
      <c r="N1756" s="74">
        <f ca="1">VLOOKUP(B1756,$C$7:$T1754,13,FALSE)</f>
      </c>
      <c r="O1756" s="74">
        <f t="shared" ca="1" si="383"/>
      </c>
      <c r="P1756" s="74">
        <f t="shared" ca="1" si="384"/>
      </c>
      <c r="Q1756" s="74">
        <f t="shared" ca="1" si="385"/>
      </c>
      <c r="R1756" s="74">
        <f t="shared" si="386"/>
      </c>
      <c r="S1756" s="74">
        <f t="shared" ca="1" si="387"/>
      </c>
      <c r="T1756" s="74">
        <f t="shared" si="388"/>
      </c>
    </row>
    <row r="1757" spans="2:20" x14ac:dyDescent="0.3">
      <c r="B1757" s="74">
        <f t="shared" ca="1" si="378"/>
      </c>
      <c r="C1757" s="78">
        <f>Кабельный_журнал!P1723</f>
      </c>
      <c r="D1757" s="74">
        <f t="shared" ca="1" si="379"/>
      </c>
      <c r="E1757" s="80" t="s">
        <v>279</v>
      </c>
      <c r="F1757" s="74">
        <f t="shared" ca="1" si="375"/>
      </c>
      <c r="G1757" s="74">
        <f t="shared" si="376"/>
      </c>
      <c r="H1757" s="80" t="s">
        <v>272</v>
      </c>
      <c r="I1757" s="74">
        <f t="shared" si="377"/>
      </c>
      <c r="J1757" s="74">
        <f t="shared" si="380"/>
      </c>
      <c r="K1757" s="80" t="s">
        <v>280</v>
      </c>
      <c r="L1757" s="74">
        <f t="shared" si="381"/>
      </c>
      <c r="M1757" s="74">
        <f t="shared" ca="1" si="382"/>
      </c>
      <c r="N1757" s="74">
        <f ca="1">VLOOKUP(B1757,$C$7:$T1755,13,FALSE)</f>
      </c>
      <c r="O1757" s="74">
        <f t="shared" ca="1" si="383"/>
      </c>
      <c r="P1757" s="74">
        <f t="shared" ca="1" si="384"/>
      </c>
      <c r="Q1757" s="74">
        <f t="shared" ca="1" si="385"/>
      </c>
      <c r="R1757" s="74">
        <f t="shared" si="386"/>
      </c>
      <c r="S1757" s="74">
        <f t="shared" ca="1" si="387"/>
      </c>
      <c r="T1757" s="74">
        <f t="shared" si="388"/>
      </c>
    </row>
    <row r="1758" spans="2:20" x14ac:dyDescent="0.3">
      <c r="B1758" s="74">
        <f t="shared" ca="1" si="378"/>
      </c>
      <c r="C1758" s="78">
        <f>Кабельный_журнал!P1724</f>
      </c>
      <c r="D1758" s="74">
        <f t="shared" ca="1" si="379"/>
      </c>
      <c r="E1758" s="80" t="s">
        <v>279</v>
      </c>
      <c r="F1758" s="74">
        <f t="shared" ca="1" si="375"/>
      </c>
      <c r="G1758" s="74">
        <f t="shared" si="376"/>
      </c>
      <c r="H1758" s="80" t="s">
        <v>272</v>
      </c>
      <c r="I1758" s="74">
        <f t="shared" si="377"/>
      </c>
      <c r="J1758" s="74">
        <f t="shared" si="380"/>
      </c>
      <c r="K1758" s="80" t="s">
        <v>280</v>
      </c>
      <c r="L1758" s="74">
        <f t="shared" si="381"/>
      </c>
      <c r="M1758" s="74">
        <f t="shared" ca="1" si="382"/>
      </c>
      <c r="N1758" s="74">
        <f ca="1">VLOOKUP(B1758,$C$7:$T1756,13,FALSE)</f>
      </c>
      <c r="O1758" s="74">
        <f t="shared" ca="1" si="383"/>
      </c>
      <c r="P1758" s="74">
        <f t="shared" ca="1" si="384"/>
      </c>
      <c r="Q1758" s="74">
        <f t="shared" ca="1" si="385"/>
      </c>
      <c r="R1758" s="74">
        <f t="shared" si="386"/>
      </c>
      <c r="S1758" s="74">
        <f t="shared" ca="1" si="387"/>
      </c>
      <c r="T1758" s="74">
        <f t="shared" si="388"/>
      </c>
    </row>
    <row r="1759" spans="2:20" x14ac:dyDescent="0.3">
      <c r="B1759" s="74">
        <f t="shared" ca="1" si="378"/>
      </c>
      <c r="C1759" s="78">
        <f>Кабельный_журнал!P1725</f>
      </c>
      <c r="D1759" s="74">
        <f t="shared" ca="1" si="379"/>
      </c>
      <c r="E1759" s="80" t="s">
        <v>279</v>
      </c>
      <c r="F1759" s="74">
        <f t="shared" ca="1" si="375"/>
      </c>
      <c r="G1759" s="74">
        <f t="shared" si="376"/>
      </c>
      <c r="H1759" s="80" t="s">
        <v>272</v>
      </c>
      <c r="I1759" s="74">
        <f t="shared" si="377"/>
      </c>
      <c r="J1759" s="74">
        <f t="shared" si="380"/>
      </c>
      <c r="K1759" s="80" t="s">
        <v>280</v>
      </c>
      <c r="L1759" s="74">
        <f t="shared" si="381"/>
      </c>
      <c r="M1759" s="74">
        <f t="shared" ca="1" si="382"/>
      </c>
      <c r="N1759" s="74">
        <f ca="1">VLOOKUP(B1759,$C$7:$T1757,13,FALSE)</f>
      </c>
      <c r="O1759" s="74">
        <f t="shared" ca="1" si="383"/>
      </c>
      <c r="P1759" s="74">
        <f t="shared" ca="1" si="384"/>
      </c>
      <c r="Q1759" s="74">
        <f t="shared" ca="1" si="385"/>
      </c>
      <c r="R1759" s="74">
        <f t="shared" si="386"/>
      </c>
      <c r="S1759" s="74">
        <f t="shared" ca="1" si="387"/>
      </c>
      <c r="T1759" s="74">
        <f t="shared" si="388"/>
      </c>
    </row>
    <row r="1760" spans="2:20" x14ac:dyDescent="0.3">
      <c r="B1760" s="74">
        <f t="shared" ca="1" si="378"/>
      </c>
      <c r="C1760" s="78">
        <f>Кабельный_журнал!P1726</f>
      </c>
      <c r="D1760" s="74">
        <f t="shared" ca="1" si="379"/>
      </c>
      <c r="E1760" s="80" t="s">
        <v>279</v>
      </c>
      <c r="F1760" s="74">
        <f t="shared" ca="1" si="375"/>
      </c>
      <c r="G1760" s="74">
        <f t="shared" si="376"/>
      </c>
      <c r="H1760" s="80" t="s">
        <v>272</v>
      </c>
      <c r="I1760" s="74">
        <f t="shared" si="377"/>
      </c>
      <c r="J1760" s="74">
        <f t="shared" si="380"/>
      </c>
      <c r="K1760" s="80" t="s">
        <v>280</v>
      </c>
      <c r="L1760" s="74">
        <f t="shared" si="381"/>
      </c>
      <c r="M1760" s="74">
        <f t="shared" ca="1" si="382"/>
      </c>
      <c r="N1760" s="74">
        <f ca="1">VLOOKUP(B1760,$C$7:$T1758,13,FALSE)</f>
      </c>
      <c r="O1760" s="74">
        <f t="shared" ca="1" si="383"/>
      </c>
      <c r="P1760" s="74">
        <f t="shared" ca="1" si="384"/>
      </c>
      <c r="Q1760" s="74">
        <f t="shared" ca="1" si="385"/>
      </c>
      <c r="R1760" s="74">
        <f t="shared" si="386"/>
      </c>
      <c r="S1760" s="74">
        <f t="shared" ca="1" si="387"/>
      </c>
      <c r="T1760" s="74">
        <f t="shared" si="388"/>
      </c>
    </row>
    <row r="1761" spans="2:20" x14ac:dyDescent="0.3">
      <c r="B1761" s="74">
        <f t="shared" ca="1" si="378"/>
      </c>
      <c r="C1761" s="78">
        <f>Кабельный_журнал!P1727</f>
      </c>
      <c r="D1761" s="74">
        <f t="shared" ca="1" si="379"/>
      </c>
      <c r="E1761" s="80" t="s">
        <v>279</v>
      </c>
      <c r="F1761" s="74">
        <f t="shared" ca="1" si="375"/>
      </c>
      <c r="G1761" s="74">
        <f t="shared" si="376"/>
      </c>
      <c r="H1761" s="80" t="s">
        <v>272</v>
      </c>
      <c r="I1761" s="74">
        <f t="shared" si="377"/>
      </c>
      <c r="J1761" s="74">
        <f t="shared" si="380"/>
      </c>
      <c r="K1761" s="80" t="s">
        <v>280</v>
      </c>
      <c r="L1761" s="74">
        <f t="shared" si="381"/>
      </c>
      <c r="M1761" s="74">
        <f t="shared" ca="1" si="382"/>
      </c>
      <c r="N1761" s="74">
        <f ca="1">VLOOKUP(B1761,$C$7:$T1759,13,FALSE)</f>
      </c>
      <c r="O1761" s="74">
        <f t="shared" ca="1" si="383"/>
      </c>
      <c r="P1761" s="74">
        <f t="shared" ca="1" si="384"/>
      </c>
      <c r="Q1761" s="74">
        <f t="shared" ca="1" si="385"/>
      </c>
      <c r="R1761" s="74">
        <f t="shared" si="386"/>
      </c>
      <c r="S1761" s="74">
        <f t="shared" ca="1" si="387"/>
      </c>
      <c r="T1761" s="74">
        <f t="shared" si="388"/>
      </c>
    </row>
    <row r="1762" spans="2:20" x14ac:dyDescent="0.3">
      <c r="B1762" s="74">
        <f t="shared" ca="1" si="378"/>
      </c>
      <c r="C1762" s="78">
        <f>Кабельный_журнал!P1728</f>
      </c>
      <c r="D1762" s="74">
        <f t="shared" ca="1" si="379"/>
      </c>
      <c r="E1762" s="80" t="s">
        <v>279</v>
      </c>
      <c r="F1762" s="74">
        <f t="shared" ca="1" si="375"/>
      </c>
      <c r="G1762" s="74">
        <f t="shared" si="376"/>
      </c>
      <c r="H1762" s="80" t="s">
        <v>272</v>
      </c>
      <c r="I1762" s="74">
        <f t="shared" si="377"/>
      </c>
      <c r="J1762" s="74">
        <f t="shared" si="380"/>
      </c>
      <c r="K1762" s="80" t="s">
        <v>280</v>
      </c>
      <c r="L1762" s="74">
        <f t="shared" si="381"/>
      </c>
      <c r="M1762" s="74">
        <f t="shared" ca="1" si="382"/>
      </c>
      <c r="N1762" s="74">
        <f ca="1">VLOOKUP(B1762,$C$7:$T1760,13,FALSE)</f>
      </c>
      <c r="O1762" s="74">
        <f t="shared" ca="1" si="383"/>
      </c>
      <c r="P1762" s="74">
        <f t="shared" ca="1" si="384"/>
      </c>
      <c r="Q1762" s="74">
        <f t="shared" ca="1" si="385"/>
      </c>
      <c r="R1762" s="74">
        <f t="shared" si="386"/>
      </c>
      <c r="S1762" s="74">
        <f t="shared" ca="1" si="387"/>
      </c>
      <c r="T1762" s="74">
        <f t="shared" si="388"/>
      </c>
    </row>
    <row r="1763" spans="2:20" x14ac:dyDescent="0.3">
      <c r="B1763" s="74">
        <f t="shared" ca="1" si="378"/>
      </c>
      <c r="C1763" s="78">
        <f>Кабельный_журнал!P1729</f>
      </c>
      <c r="D1763" s="74">
        <f t="shared" ca="1" si="379"/>
      </c>
      <c r="E1763" s="80" t="s">
        <v>279</v>
      </c>
      <c r="F1763" s="74">
        <f t="shared" ca="1" si="375"/>
      </c>
      <c r="G1763" s="74">
        <f t="shared" si="376"/>
      </c>
      <c r="H1763" s="80" t="s">
        <v>272</v>
      </c>
      <c r="I1763" s="74">
        <f t="shared" si="377"/>
      </c>
      <c r="J1763" s="74">
        <f t="shared" si="380"/>
      </c>
      <c r="K1763" s="80" t="s">
        <v>280</v>
      </c>
      <c r="L1763" s="74">
        <f t="shared" si="381"/>
      </c>
      <c r="M1763" s="74">
        <f t="shared" ca="1" si="382"/>
      </c>
      <c r="N1763" s="74">
        <f ca="1">VLOOKUP(B1763,$C$7:$T1761,13,FALSE)</f>
      </c>
      <c r="O1763" s="74">
        <f t="shared" ca="1" si="383"/>
      </c>
      <c r="P1763" s="74">
        <f t="shared" ca="1" si="384"/>
      </c>
      <c r="Q1763" s="74">
        <f t="shared" ca="1" si="385"/>
      </c>
      <c r="R1763" s="74">
        <f t="shared" si="386"/>
      </c>
      <c r="S1763" s="74">
        <f t="shared" ca="1" si="387"/>
      </c>
      <c r="T1763" s="74">
        <f t="shared" si="388"/>
      </c>
    </row>
    <row r="1764" spans="2:20" x14ac:dyDescent="0.3">
      <c r="B1764" s="74">
        <f t="shared" ca="1" si="378"/>
      </c>
      <c r="C1764" s="78">
        <f>Кабельный_журнал!P1730</f>
      </c>
      <c r="D1764" s="74">
        <f t="shared" ca="1" si="379"/>
      </c>
      <c r="E1764" s="80" t="s">
        <v>279</v>
      </c>
      <c r="F1764" s="74">
        <f t="shared" ca="1" si="375"/>
      </c>
      <c r="G1764" s="74">
        <f t="shared" si="376"/>
      </c>
      <c r="H1764" s="80" t="s">
        <v>272</v>
      </c>
      <c r="I1764" s="74">
        <f t="shared" si="377"/>
      </c>
      <c r="J1764" s="74">
        <f t="shared" si="380"/>
      </c>
      <c r="K1764" s="80" t="s">
        <v>280</v>
      </c>
      <c r="L1764" s="74">
        <f t="shared" si="381"/>
      </c>
      <c r="M1764" s="74">
        <f t="shared" ca="1" si="382"/>
      </c>
      <c r="N1764" s="74">
        <f ca="1">VLOOKUP(B1764,$C$7:$T1762,13,FALSE)</f>
      </c>
      <c r="O1764" s="74">
        <f t="shared" ca="1" si="383"/>
      </c>
      <c r="P1764" s="74">
        <f t="shared" ca="1" si="384"/>
      </c>
      <c r="Q1764" s="74">
        <f t="shared" ca="1" si="385"/>
      </c>
      <c r="R1764" s="74">
        <f t="shared" si="386"/>
      </c>
      <c r="S1764" s="74">
        <f t="shared" ca="1" si="387"/>
      </c>
      <c r="T1764" s="74">
        <f t="shared" si="388"/>
      </c>
    </row>
    <row r="1765" spans="2:20" x14ac:dyDescent="0.3">
      <c r="B1765" s="74">
        <f t="shared" ca="1" si="378"/>
      </c>
      <c r="C1765" s="78">
        <f>Кабельный_журнал!P1731</f>
      </c>
      <c r="D1765" s="74">
        <f t="shared" ca="1" si="379"/>
      </c>
      <c r="E1765" s="80" t="s">
        <v>279</v>
      </c>
      <c r="F1765" s="74">
        <f t="shared" ca="1" si="375"/>
      </c>
      <c r="G1765" s="74">
        <f t="shared" si="376"/>
      </c>
      <c r="H1765" s="80" t="s">
        <v>272</v>
      </c>
      <c r="I1765" s="74">
        <f t="shared" si="377"/>
      </c>
      <c r="J1765" s="74">
        <f t="shared" si="380"/>
      </c>
      <c r="K1765" s="80" t="s">
        <v>280</v>
      </c>
      <c r="L1765" s="74">
        <f t="shared" si="381"/>
      </c>
      <c r="M1765" s="74">
        <f t="shared" ca="1" si="382"/>
      </c>
      <c r="N1765" s="74">
        <f ca="1">VLOOKUP(B1765,$C$7:$T1763,13,FALSE)</f>
      </c>
      <c r="O1765" s="74">
        <f t="shared" ca="1" si="383"/>
      </c>
      <c r="P1765" s="74">
        <f t="shared" ca="1" si="384"/>
      </c>
      <c r="Q1765" s="74">
        <f t="shared" ca="1" si="385"/>
      </c>
      <c r="R1765" s="74">
        <f t="shared" si="386"/>
      </c>
      <c r="S1765" s="74">
        <f t="shared" ca="1" si="387"/>
      </c>
      <c r="T1765" s="74">
        <f t="shared" si="388"/>
      </c>
    </row>
    <row r="1766" spans="2:20" x14ac:dyDescent="0.3">
      <c r="B1766" s="74">
        <f t="shared" ca="1" si="378"/>
      </c>
      <c r="C1766" s="78">
        <f>Кабельный_журнал!P1732</f>
      </c>
      <c r="D1766" s="74">
        <f t="shared" ca="1" si="379"/>
      </c>
      <c r="E1766" s="80" t="s">
        <v>279</v>
      </c>
      <c r="F1766" s="74">
        <f t="shared" ca="1" si="375"/>
      </c>
      <c r="G1766" s="74">
        <f t="shared" si="376"/>
      </c>
      <c r="H1766" s="80" t="s">
        <v>272</v>
      </c>
      <c r="I1766" s="74">
        <f t="shared" si="377"/>
      </c>
      <c r="J1766" s="74">
        <f t="shared" si="380"/>
      </c>
      <c r="K1766" s="80" t="s">
        <v>280</v>
      </c>
      <c r="L1766" s="74">
        <f t="shared" si="381"/>
      </c>
      <c r="M1766" s="74">
        <f t="shared" ca="1" si="382"/>
      </c>
      <c r="N1766" s="74">
        <f ca="1">VLOOKUP(B1766,$C$7:$T1764,13,FALSE)</f>
      </c>
      <c r="O1766" s="74">
        <f t="shared" ca="1" si="383"/>
      </c>
      <c r="P1766" s="74">
        <f t="shared" ca="1" si="384"/>
      </c>
      <c r="Q1766" s="74">
        <f t="shared" ca="1" si="385"/>
      </c>
      <c r="R1766" s="74">
        <f t="shared" si="386"/>
      </c>
      <c r="S1766" s="74">
        <f t="shared" ca="1" si="387"/>
      </c>
      <c r="T1766" s="74">
        <f t="shared" si="388"/>
      </c>
    </row>
    <row r="1767" spans="2:20" x14ac:dyDescent="0.3">
      <c r="B1767" s="74">
        <f t="shared" ca="1" si="378"/>
      </c>
      <c r="C1767" s="78">
        <f>Кабельный_журнал!P1733</f>
      </c>
      <c r="D1767" s="74">
        <f t="shared" ca="1" si="379"/>
      </c>
      <c r="E1767" s="80" t="s">
        <v>279</v>
      </c>
      <c r="F1767" s="74">
        <f t="shared" ref="F1767:F1830" ca="1" si="389">VLOOKUP(C1767,Кабельный_журнал,8,FALSE)</f>
      </c>
      <c r="G1767" s="74">
        <f t="shared" ref="G1767:G1830" si="390">VLOOKUP(C1767,Исходные_данные,21,FALSE)</f>
      </c>
      <c r="H1767" s="80" t="s">
        <v>272</v>
      </c>
      <c r="I1767" s="74">
        <f t="shared" ref="I1767:I1830" si="391">VLOOKUP(C1767,Исходные_данные,22,FALSE)</f>
      </c>
      <c r="J1767" s="74">
        <f t="shared" si="380"/>
      </c>
      <c r="K1767" s="80" t="s">
        <v>280</v>
      </c>
      <c r="L1767" s="74">
        <f t="shared" si="381"/>
      </c>
      <c r="M1767" s="74">
        <f t="shared" ca="1" si="382"/>
      </c>
      <c r="N1767" s="74">
        <f ca="1">VLOOKUP(B1767,$C$7:$T1765,13,FALSE)</f>
      </c>
      <c r="O1767" s="74">
        <f t="shared" ca="1" si="383"/>
      </c>
      <c r="P1767" s="74">
        <f t="shared" ca="1" si="384"/>
      </c>
      <c r="Q1767" s="74">
        <f t="shared" ca="1" si="385"/>
      </c>
      <c r="R1767" s="74">
        <f t="shared" si="386"/>
      </c>
      <c r="S1767" s="74">
        <f t="shared" ca="1" si="387"/>
      </c>
      <c r="T1767" s="74">
        <f t="shared" si="388"/>
      </c>
    </row>
    <row r="1768" spans="2:20" x14ac:dyDescent="0.3">
      <c r="B1768" s="74">
        <f t="shared" ref="B1768:B1831" ca="1" si="392">VLOOKUP(C1768,Кабельный_журнал,2,FALSE)</f>
      </c>
      <c r="C1768" s="78">
        <f>Кабельный_журнал!P1734</f>
      </c>
      <c r="D1768" s="74">
        <f t="shared" ref="D1768:D1831" ca="1" si="393">B1768&amp;"-"&amp;C1768</f>
      </c>
      <c r="E1768" s="80" t="s">
        <v>279</v>
      </c>
      <c r="F1768" s="74">
        <f t="shared" ca="1" si="389"/>
      </c>
      <c r="G1768" s="74">
        <f t="shared" si="390"/>
      </c>
      <c r="H1768" s="80" t="s">
        <v>272</v>
      </c>
      <c r="I1768" s="74">
        <f t="shared" si="391"/>
      </c>
      <c r="J1768" s="74">
        <f t="shared" ref="J1768:J1831" si="394">I1768</f>
      </c>
      <c r="K1768" s="80" t="s">
        <v>280</v>
      </c>
      <c r="L1768" s="74">
        <f t="shared" ref="L1768:L1831" si="395">VLOOKUP(K1768,$K$2:$L$3,2,FALSE)</f>
      </c>
      <c r="M1768" s="74">
        <f t="shared" ref="M1768:M1831" ca="1" si="396">L1768*F1768*(1/I1768+1/J1768)</f>
      </c>
      <c r="N1768" s="74">
        <f ca="1">VLOOKUP(B1768,$C$7:$T1766,13,FALSE)</f>
      </c>
      <c r="O1768" s="74">
        <f t="shared" ref="O1768:O1831" ca="1" si="397">L1768+M1768</f>
      </c>
      <c r="P1768" s="74">
        <f t="shared" ref="P1768:P1831" ca="1" si="398">220/O1768</f>
      </c>
      <c r="Q1768" s="74">
        <f t="shared" ref="Q1768:Q1831" ca="1" si="399">O1768/G1768</f>
      </c>
      <c r="R1768" s="74">
        <f t="shared" ref="R1768:R1831" si="400">VLOOKUP(H1768,$W$2:$Y$12,3,FALSE)</f>
      </c>
      <c r="S1768" s="74">
        <f t="shared" ref="S1768:S1831" ca="1" si="401">_xlfn.IFS(E1768="щит",IF(P1768&gt;R1768,"Увел сеч",IF(T1768&gt;P1768,"Увел сеч","tср&lt;5с")),E1768="потреб",IF(P1768&gt;R1768,"Увел сеч",IF(T1768&gt;P1768,"Увел сеч","tср&lt;0.4с")))</f>
      </c>
      <c r="T1768" s="74">
        <f t="shared" ref="T1768:T1831" si="402">G1768*VLOOKUP(H1768,$W$2:$Y$12,2,FALSE)</f>
      </c>
    </row>
    <row r="1769" spans="2:20" x14ac:dyDescent="0.3">
      <c r="B1769" s="74">
        <f t="shared" ca="1" si="392"/>
      </c>
      <c r="C1769" s="78">
        <f>Кабельный_журнал!P1735</f>
      </c>
      <c r="D1769" s="74">
        <f t="shared" ca="1" si="393"/>
      </c>
      <c r="E1769" s="80" t="s">
        <v>279</v>
      </c>
      <c r="F1769" s="74">
        <f t="shared" ca="1" si="389"/>
      </c>
      <c r="G1769" s="74">
        <f t="shared" si="390"/>
      </c>
      <c r="H1769" s="80" t="s">
        <v>272</v>
      </c>
      <c r="I1769" s="74">
        <f t="shared" si="391"/>
      </c>
      <c r="J1769" s="74">
        <f t="shared" si="394"/>
      </c>
      <c r="K1769" s="80" t="s">
        <v>280</v>
      </c>
      <c r="L1769" s="74">
        <f t="shared" si="395"/>
      </c>
      <c r="M1769" s="74">
        <f t="shared" ca="1" si="396"/>
      </c>
      <c r="N1769" s="74">
        <f ca="1">VLOOKUP(B1769,$C$7:$T1767,13,FALSE)</f>
      </c>
      <c r="O1769" s="74">
        <f t="shared" ca="1" si="397"/>
      </c>
      <c r="P1769" s="74">
        <f t="shared" ca="1" si="398"/>
      </c>
      <c r="Q1769" s="74">
        <f t="shared" ca="1" si="399"/>
      </c>
      <c r="R1769" s="74">
        <f t="shared" si="400"/>
      </c>
      <c r="S1769" s="74">
        <f t="shared" ca="1" si="401"/>
      </c>
      <c r="T1769" s="74">
        <f t="shared" si="402"/>
      </c>
    </row>
    <row r="1770" spans="2:20" x14ac:dyDescent="0.3">
      <c r="B1770" s="74">
        <f t="shared" ca="1" si="392"/>
      </c>
      <c r="C1770" s="78">
        <f>Кабельный_журнал!P1736</f>
      </c>
      <c r="D1770" s="74">
        <f t="shared" ca="1" si="393"/>
      </c>
      <c r="E1770" s="80" t="s">
        <v>279</v>
      </c>
      <c r="F1770" s="74">
        <f t="shared" ca="1" si="389"/>
      </c>
      <c r="G1770" s="74">
        <f t="shared" si="390"/>
      </c>
      <c r="H1770" s="80" t="s">
        <v>272</v>
      </c>
      <c r="I1770" s="74">
        <f t="shared" si="391"/>
      </c>
      <c r="J1770" s="74">
        <f t="shared" si="394"/>
      </c>
      <c r="K1770" s="80" t="s">
        <v>280</v>
      </c>
      <c r="L1770" s="74">
        <f t="shared" si="395"/>
      </c>
      <c r="M1770" s="74">
        <f t="shared" ca="1" si="396"/>
      </c>
      <c r="N1770" s="74">
        <f ca="1">VLOOKUP(B1770,$C$7:$T1768,13,FALSE)</f>
      </c>
      <c r="O1770" s="74">
        <f t="shared" ca="1" si="397"/>
      </c>
      <c r="P1770" s="74">
        <f t="shared" ca="1" si="398"/>
      </c>
      <c r="Q1770" s="74">
        <f t="shared" ca="1" si="399"/>
      </c>
      <c r="R1770" s="74">
        <f t="shared" si="400"/>
      </c>
      <c r="S1770" s="74">
        <f t="shared" ca="1" si="401"/>
      </c>
      <c r="T1770" s="74">
        <f t="shared" si="402"/>
      </c>
    </row>
    <row r="1771" spans="2:20" x14ac:dyDescent="0.3">
      <c r="B1771" s="74">
        <f t="shared" ca="1" si="392"/>
      </c>
      <c r="C1771" s="78">
        <f>Кабельный_журнал!P1737</f>
      </c>
      <c r="D1771" s="74">
        <f t="shared" ca="1" si="393"/>
      </c>
      <c r="E1771" s="80" t="s">
        <v>279</v>
      </c>
      <c r="F1771" s="74">
        <f t="shared" ca="1" si="389"/>
      </c>
      <c r="G1771" s="74">
        <f t="shared" si="390"/>
      </c>
      <c r="H1771" s="80" t="s">
        <v>272</v>
      </c>
      <c r="I1771" s="74">
        <f t="shared" si="391"/>
      </c>
      <c r="J1771" s="74">
        <f t="shared" si="394"/>
      </c>
      <c r="K1771" s="80" t="s">
        <v>280</v>
      </c>
      <c r="L1771" s="74">
        <f t="shared" si="395"/>
      </c>
      <c r="M1771" s="74">
        <f t="shared" ca="1" si="396"/>
      </c>
      <c r="N1771" s="74">
        <f ca="1">VLOOKUP(B1771,$C$7:$T1769,13,FALSE)</f>
      </c>
      <c r="O1771" s="74">
        <f t="shared" ca="1" si="397"/>
      </c>
      <c r="P1771" s="74">
        <f t="shared" ca="1" si="398"/>
      </c>
      <c r="Q1771" s="74">
        <f t="shared" ca="1" si="399"/>
      </c>
      <c r="R1771" s="74">
        <f t="shared" si="400"/>
      </c>
      <c r="S1771" s="74">
        <f t="shared" ca="1" si="401"/>
      </c>
      <c r="T1771" s="74">
        <f t="shared" si="402"/>
      </c>
    </row>
    <row r="1772" spans="2:20" x14ac:dyDescent="0.3">
      <c r="B1772" s="74">
        <f t="shared" ca="1" si="392"/>
      </c>
      <c r="C1772" s="78">
        <f>Кабельный_журнал!P1738</f>
      </c>
      <c r="D1772" s="74">
        <f t="shared" ca="1" si="393"/>
      </c>
      <c r="E1772" s="80" t="s">
        <v>279</v>
      </c>
      <c r="F1772" s="74">
        <f t="shared" ca="1" si="389"/>
      </c>
      <c r="G1772" s="74">
        <f t="shared" si="390"/>
      </c>
      <c r="H1772" s="80" t="s">
        <v>272</v>
      </c>
      <c r="I1772" s="74">
        <f t="shared" si="391"/>
      </c>
      <c r="J1772" s="74">
        <f t="shared" si="394"/>
      </c>
      <c r="K1772" s="80" t="s">
        <v>280</v>
      </c>
      <c r="L1772" s="74">
        <f t="shared" si="395"/>
      </c>
      <c r="M1772" s="74">
        <f t="shared" ca="1" si="396"/>
      </c>
      <c r="N1772" s="74">
        <f ca="1">VLOOKUP(B1772,$C$7:$T1770,13,FALSE)</f>
      </c>
      <c r="O1772" s="74">
        <f t="shared" ca="1" si="397"/>
      </c>
      <c r="P1772" s="74">
        <f t="shared" ca="1" si="398"/>
      </c>
      <c r="Q1772" s="74">
        <f t="shared" ca="1" si="399"/>
      </c>
      <c r="R1772" s="74">
        <f t="shared" si="400"/>
      </c>
      <c r="S1772" s="74">
        <f t="shared" ca="1" si="401"/>
      </c>
      <c r="T1772" s="74">
        <f t="shared" si="402"/>
      </c>
    </row>
    <row r="1773" spans="2:20" x14ac:dyDescent="0.3">
      <c r="B1773" s="74">
        <f t="shared" ca="1" si="392"/>
      </c>
      <c r="C1773" s="78">
        <f>Кабельный_журнал!P1739</f>
      </c>
      <c r="D1773" s="74">
        <f t="shared" ca="1" si="393"/>
      </c>
      <c r="E1773" s="80" t="s">
        <v>279</v>
      </c>
      <c r="F1773" s="74">
        <f t="shared" ca="1" si="389"/>
      </c>
      <c r="G1773" s="74">
        <f t="shared" si="390"/>
      </c>
      <c r="H1773" s="80" t="s">
        <v>272</v>
      </c>
      <c r="I1773" s="74">
        <f t="shared" si="391"/>
      </c>
      <c r="J1773" s="74">
        <f t="shared" si="394"/>
      </c>
      <c r="K1773" s="80" t="s">
        <v>280</v>
      </c>
      <c r="L1773" s="74">
        <f t="shared" si="395"/>
      </c>
      <c r="M1773" s="74">
        <f t="shared" ca="1" si="396"/>
      </c>
      <c r="N1773" s="74">
        <f ca="1">VLOOKUP(B1773,$C$7:$T1771,13,FALSE)</f>
      </c>
      <c r="O1773" s="74">
        <f t="shared" ca="1" si="397"/>
      </c>
      <c r="P1773" s="74">
        <f t="shared" ca="1" si="398"/>
      </c>
      <c r="Q1773" s="74">
        <f t="shared" ca="1" si="399"/>
      </c>
      <c r="R1773" s="74">
        <f t="shared" si="400"/>
      </c>
      <c r="S1773" s="74">
        <f t="shared" ca="1" si="401"/>
      </c>
      <c r="T1773" s="74">
        <f t="shared" si="402"/>
      </c>
    </row>
    <row r="1774" spans="2:20" x14ac:dyDescent="0.3">
      <c r="B1774" s="74">
        <f t="shared" ca="1" si="392"/>
      </c>
      <c r="C1774" s="78">
        <f>Кабельный_журнал!P1740</f>
      </c>
      <c r="D1774" s="74">
        <f t="shared" ca="1" si="393"/>
      </c>
      <c r="E1774" s="80" t="s">
        <v>279</v>
      </c>
      <c r="F1774" s="74">
        <f t="shared" ca="1" si="389"/>
      </c>
      <c r="G1774" s="74">
        <f t="shared" si="390"/>
      </c>
      <c r="H1774" s="80" t="s">
        <v>272</v>
      </c>
      <c r="I1774" s="74">
        <f t="shared" si="391"/>
      </c>
      <c r="J1774" s="74">
        <f t="shared" si="394"/>
      </c>
      <c r="K1774" s="80" t="s">
        <v>280</v>
      </c>
      <c r="L1774" s="74">
        <f t="shared" si="395"/>
      </c>
      <c r="M1774" s="74">
        <f t="shared" ca="1" si="396"/>
      </c>
      <c r="N1774" s="74">
        <f ca="1">VLOOKUP(B1774,$C$7:$T1772,13,FALSE)</f>
      </c>
      <c r="O1774" s="74">
        <f t="shared" ca="1" si="397"/>
      </c>
      <c r="P1774" s="74">
        <f t="shared" ca="1" si="398"/>
      </c>
      <c r="Q1774" s="74">
        <f t="shared" ca="1" si="399"/>
      </c>
      <c r="R1774" s="74">
        <f t="shared" si="400"/>
      </c>
      <c r="S1774" s="74">
        <f t="shared" ca="1" si="401"/>
      </c>
      <c r="T1774" s="74">
        <f t="shared" si="402"/>
      </c>
    </row>
    <row r="1775" spans="2:20" x14ac:dyDescent="0.3">
      <c r="B1775" s="74">
        <f t="shared" ca="1" si="392"/>
      </c>
      <c r="C1775" s="78">
        <f>Кабельный_журнал!P1741</f>
      </c>
      <c r="D1775" s="74">
        <f t="shared" ca="1" si="393"/>
      </c>
      <c r="E1775" s="80" t="s">
        <v>279</v>
      </c>
      <c r="F1775" s="74">
        <f t="shared" ca="1" si="389"/>
      </c>
      <c r="G1775" s="74">
        <f t="shared" si="390"/>
      </c>
      <c r="H1775" s="80" t="s">
        <v>272</v>
      </c>
      <c r="I1775" s="74">
        <f t="shared" si="391"/>
      </c>
      <c r="J1775" s="74">
        <f t="shared" si="394"/>
      </c>
      <c r="K1775" s="80" t="s">
        <v>280</v>
      </c>
      <c r="L1775" s="74">
        <f t="shared" si="395"/>
      </c>
      <c r="M1775" s="74">
        <f t="shared" ca="1" si="396"/>
      </c>
      <c r="N1775" s="74">
        <f ca="1">VLOOKUP(B1775,$C$7:$T1773,13,FALSE)</f>
      </c>
      <c r="O1775" s="74">
        <f t="shared" ca="1" si="397"/>
      </c>
      <c r="P1775" s="74">
        <f t="shared" ca="1" si="398"/>
      </c>
      <c r="Q1775" s="74">
        <f t="shared" ca="1" si="399"/>
      </c>
      <c r="R1775" s="74">
        <f t="shared" si="400"/>
      </c>
      <c r="S1775" s="74">
        <f t="shared" ca="1" si="401"/>
      </c>
      <c r="T1775" s="74">
        <f t="shared" si="402"/>
      </c>
    </row>
    <row r="1776" spans="2:20" x14ac:dyDescent="0.3">
      <c r="B1776" s="74">
        <f t="shared" ca="1" si="392"/>
      </c>
      <c r="C1776" s="78">
        <f>Кабельный_журнал!P1742</f>
      </c>
      <c r="D1776" s="74">
        <f t="shared" ca="1" si="393"/>
      </c>
      <c r="E1776" s="80" t="s">
        <v>279</v>
      </c>
      <c r="F1776" s="74">
        <f t="shared" ca="1" si="389"/>
      </c>
      <c r="G1776" s="74">
        <f t="shared" si="390"/>
      </c>
      <c r="H1776" s="80" t="s">
        <v>272</v>
      </c>
      <c r="I1776" s="74">
        <f t="shared" si="391"/>
      </c>
      <c r="J1776" s="74">
        <f t="shared" si="394"/>
      </c>
      <c r="K1776" s="80" t="s">
        <v>280</v>
      </c>
      <c r="L1776" s="74">
        <f t="shared" si="395"/>
      </c>
      <c r="M1776" s="74">
        <f t="shared" ca="1" si="396"/>
      </c>
      <c r="N1776" s="74">
        <f ca="1">VLOOKUP(B1776,$C$7:$T1774,13,FALSE)</f>
      </c>
      <c r="O1776" s="74">
        <f t="shared" ca="1" si="397"/>
      </c>
      <c r="P1776" s="74">
        <f t="shared" ca="1" si="398"/>
      </c>
      <c r="Q1776" s="74">
        <f t="shared" ca="1" si="399"/>
      </c>
      <c r="R1776" s="74">
        <f t="shared" si="400"/>
      </c>
      <c r="S1776" s="74">
        <f t="shared" ca="1" si="401"/>
      </c>
      <c r="T1776" s="74">
        <f t="shared" si="402"/>
      </c>
    </row>
    <row r="1777" spans="2:20" x14ac:dyDescent="0.3">
      <c r="B1777" s="74">
        <f t="shared" ca="1" si="392"/>
      </c>
      <c r="C1777" s="78">
        <f>Кабельный_журнал!P1743</f>
      </c>
      <c r="D1777" s="74">
        <f t="shared" ca="1" si="393"/>
      </c>
      <c r="E1777" s="80" t="s">
        <v>279</v>
      </c>
      <c r="F1777" s="74">
        <f t="shared" ca="1" si="389"/>
      </c>
      <c r="G1777" s="74">
        <f t="shared" si="390"/>
      </c>
      <c r="H1777" s="80" t="s">
        <v>272</v>
      </c>
      <c r="I1777" s="74">
        <f t="shared" si="391"/>
      </c>
      <c r="J1777" s="74">
        <f t="shared" si="394"/>
      </c>
      <c r="K1777" s="80" t="s">
        <v>280</v>
      </c>
      <c r="L1777" s="74">
        <f t="shared" si="395"/>
      </c>
      <c r="M1777" s="74">
        <f t="shared" ca="1" si="396"/>
      </c>
      <c r="N1777" s="74">
        <f ca="1">VLOOKUP(B1777,$C$7:$T1775,13,FALSE)</f>
      </c>
      <c r="O1777" s="74">
        <f t="shared" ca="1" si="397"/>
      </c>
      <c r="P1777" s="74">
        <f t="shared" ca="1" si="398"/>
      </c>
      <c r="Q1777" s="74">
        <f t="shared" ca="1" si="399"/>
      </c>
      <c r="R1777" s="74">
        <f t="shared" si="400"/>
      </c>
      <c r="S1777" s="74">
        <f t="shared" ca="1" si="401"/>
      </c>
      <c r="T1777" s="74">
        <f t="shared" si="402"/>
      </c>
    </row>
    <row r="1778" spans="2:20" x14ac:dyDescent="0.3">
      <c r="B1778" s="74">
        <f t="shared" ca="1" si="392"/>
      </c>
      <c r="C1778" s="78">
        <f>Кабельный_журнал!P1744</f>
      </c>
      <c r="D1778" s="74">
        <f t="shared" ca="1" si="393"/>
      </c>
      <c r="E1778" s="80" t="s">
        <v>279</v>
      </c>
      <c r="F1778" s="74">
        <f t="shared" ca="1" si="389"/>
      </c>
      <c r="G1778" s="74">
        <f t="shared" si="390"/>
      </c>
      <c r="H1778" s="80" t="s">
        <v>272</v>
      </c>
      <c r="I1778" s="74">
        <f t="shared" si="391"/>
      </c>
      <c r="J1778" s="74">
        <f t="shared" si="394"/>
      </c>
      <c r="K1778" s="80" t="s">
        <v>280</v>
      </c>
      <c r="L1778" s="74">
        <f t="shared" si="395"/>
      </c>
      <c r="M1778" s="74">
        <f t="shared" ca="1" si="396"/>
      </c>
      <c r="N1778" s="74">
        <f ca="1">VLOOKUP(B1778,$C$7:$T1776,13,FALSE)</f>
      </c>
      <c r="O1778" s="74">
        <f t="shared" ca="1" si="397"/>
      </c>
      <c r="P1778" s="74">
        <f t="shared" ca="1" si="398"/>
      </c>
      <c r="Q1778" s="74">
        <f t="shared" ca="1" si="399"/>
      </c>
      <c r="R1778" s="74">
        <f t="shared" si="400"/>
      </c>
      <c r="S1778" s="74">
        <f t="shared" ca="1" si="401"/>
      </c>
      <c r="T1778" s="74">
        <f t="shared" si="402"/>
      </c>
    </row>
    <row r="1779" spans="2:20" x14ac:dyDescent="0.3">
      <c r="B1779" s="74">
        <f t="shared" ca="1" si="392"/>
      </c>
      <c r="C1779" s="78">
        <f>Кабельный_журнал!P1745</f>
      </c>
      <c r="D1779" s="74">
        <f t="shared" ca="1" si="393"/>
      </c>
      <c r="E1779" s="80" t="s">
        <v>279</v>
      </c>
      <c r="F1779" s="74">
        <f t="shared" ca="1" si="389"/>
      </c>
      <c r="G1779" s="74">
        <f t="shared" si="390"/>
      </c>
      <c r="H1779" s="80" t="s">
        <v>272</v>
      </c>
      <c r="I1779" s="74">
        <f t="shared" si="391"/>
      </c>
      <c r="J1779" s="74">
        <f t="shared" si="394"/>
      </c>
      <c r="K1779" s="80" t="s">
        <v>280</v>
      </c>
      <c r="L1779" s="74">
        <f t="shared" si="395"/>
      </c>
      <c r="M1779" s="74">
        <f t="shared" ca="1" si="396"/>
      </c>
      <c r="N1779" s="74">
        <f ca="1">VLOOKUP(B1779,$C$7:$T1777,13,FALSE)</f>
      </c>
      <c r="O1779" s="74">
        <f t="shared" ca="1" si="397"/>
      </c>
      <c r="P1779" s="74">
        <f t="shared" ca="1" si="398"/>
      </c>
      <c r="Q1779" s="74">
        <f t="shared" ca="1" si="399"/>
      </c>
      <c r="R1779" s="74">
        <f t="shared" si="400"/>
      </c>
      <c r="S1779" s="74">
        <f t="shared" ca="1" si="401"/>
      </c>
      <c r="T1779" s="74">
        <f t="shared" si="402"/>
      </c>
    </row>
    <row r="1780" spans="2:20" x14ac:dyDescent="0.3">
      <c r="B1780" s="74">
        <f t="shared" ca="1" si="392"/>
      </c>
      <c r="C1780" s="78">
        <f>Кабельный_журнал!P1746</f>
      </c>
      <c r="D1780" s="74">
        <f t="shared" ca="1" si="393"/>
      </c>
      <c r="E1780" s="80" t="s">
        <v>279</v>
      </c>
      <c r="F1780" s="74">
        <f t="shared" ca="1" si="389"/>
      </c>
      <c r="G1780" s="74">
        <f t="shared" si="390"/>
      </c>
      <c r="H1780" s="80" t="s">
        <v>272</v>
      </c>
      <c r="I1780" s="74">
        <f t="shared" si="391"/>
      </c>
      <c r="J1780" s="74">
        <f t="shared" si="394"/>
      </c>
      <c r="K1780" s="80" t="s">
        <v>280</v>
      </c>
      <c r="L1780" s="74">
        <f t="shared" si="395"/>
      </c>
      <c r="M1780" s="74">
        <f t="shared" ca="1" si="396"/>
      </c>
      <c r="N1780" s="74">
        <f ca="1">VLOOKUP(B1780,$C$7:$T1778,13,FALSE)</f>
      </c>
      <c r="O1780" s="74">
        <f t="shared" ca="1" si="397"/>
      </c>
      <c r="P1780" s="74">
        <f t="shared" ca="1" si="398"/>
      </c>
      <c r="Q1780" s="74">
        <f t="shared" ca="1" si="399"/>
      </c>
      <c r="R1780" s="74">
        <f t="shared" si="400"/>
      </c>
      <c r="S1780" s="74">
        <f t="shared" ca="1" si="401"/>
      </c>
      <c r="T1780" s="74">
        <f t="shared" si="402"/>
      </c>
    </row>
    <row r="1781" spans="2:20" x14ac:dyDescent="0.3">
      <c r="B1781" s="74">
        <f t="shared" ca="1" si="392"/>
      </c>
      <c r="C1781" s="78">
        <f>Кабельный_журнал!P1747</f>
      </c>
      <c r="D1781" s="74">
        <f t="shared" ca="1" si="393"/>
      </c>
      <c r="E1781" s="80" t="s">
        <v>279</v>
      </c>
      <c r="F1781" s="74">
        <f t="shared" ca="1" si="389"/>
      </c>
      <c r="G1781" s="74">
        <f t="shared" si="390"/>
      </c>
      <c r="H1781" s="80" t="s">
        <v>272</v>
      </c>
      <c r="I1781" s="74">
        <f t="shared" si="391"/>
      </c>
      <c r="J1781" s="74">
        <f t="shared" si="394"/>
      </c>
      <c r="K1781" s="80" t="s">
        <v>280</v>
      </c>
      <c r="L1781" s="74">
        <f t="shared" si="395"/>
      </c>
      <c r="M1781" s="74">
        <f t="shared" ca="1" si="396"/>
      </c>
      <c r="N1781" s="74">
        <f ca="1">VLOOKUP(B1781,$C$7:$T1779,13,FALSE)</f>
      </c>
      <c r="O1781" s="74">
        <f t="shared" ca="1" si="397"/>
      </c>
      <c r="P1781" s="74">
        <f t="shared" ca="1" si="398"/>
      </c>
      <c r="Q1781" s="74">
        <f t="shared" ca="1" si="399"/>
      </c>
      <c r="R1781" s="74">
        <f t="shared" si="400"/>
      </c>
      <c r="S1781" s="74">
        <f t="shared" ca="1" si="401"/>
      </c>
      <c r="T1781" s="74">
        <f t="shared" si="402"/>
      </c>
    </row>
    <row r="1782" spans="2:20" x14ac:dyDescent="0.3">
      <c r="B1782" s="74">
        <f t="shared" ca="1" si="392"/>
      </c>
      <c r="C1782" s="78">
        <f>Кабельный_журнал!P1748</f>
      </c>
      <c r="D1782" s="74">
        <f t="shared" ca="1" si="393"/>
      </c>
      <c r="E1782" s="80" t="s">
        <v>279</v>
      </c>
      <c r="F1782" s="74">
        <f t="shared" ca="1" si="389"/>
      </c>
      <c r="G1782" s="74">
        <f t="shared" si="390"/>
      </c>
      <c r="H1782" s="80" t="s">
        <v>272</v>
      </c>
      <c r="I1782" s="74">
        <f t="shared" si="391"/>
      </c>
      <c r="J1782" s="74">
        <f t="shared" si="394"/>
      </c>
      <c r="K1782" s="80" t="s">
        <v>280</v>
      </c>
      <c r="L1782" s="74">
        <f t="shared" si="395"/>
      </c>
      <c r="M1782" s="74">
        <f t="shared" ca="1" si="396"/>
      </c>
      <c r="N1782" s="74">
        <f ca="1">VLOOKUP(B1782,$C$7:$T1780,13,FALSE)</f>
      </c>
      <c r="O1782" s="74">
        <f t="shared" ca="1" si="397"/>
      </c>
      <c r="P1782" s="74">
        <f t="shared" ca="1" si="398"/>
      </c>
      <c r="Q1782" s="74">
        <f t="shared" ca="1" si="399"/>
      </c>
      <c r="R1782" s="74">
        <f t="shared" si="400"/>
      </c>
      <c r="S1782" s="74">
        <f t="shared" ca="1" si="401"/>
      </c>
      <c r="T1782" s="74">
        <f t="shared" si="402"/>
      </c>
    </row>
    <row r="1783" spans="2:20" x14ac:dyDescent="0.3">
      <c r="B1783" s="74">
        <f t="shared" ca="1" si="392"/>
      </c>
      <c r="C1783" s="78">
        <f>Кабельный_журнал!P1749</f>
      </c>
      <c r="D1783" s="74">
        <f t="shared" ca="1" si="393"/>
      </c>
      <c r="E1783" s="80" t="s">
        <v>279</v>
      </c>
      <c r="F1783" s="74">
        <f t="shared" ca="1" si="389"/>
      </c>
      <c r="G1783" s="74">
        <f t="shared" si="390"/>
      </c>
      <c r="H1783" s="80" t="s">
        <v>272</v>
      </c>
      <c r="I1783" s="74">
        <f t="shared" si="391"/>
      </c>
      <c r="J1783" s="74">
        <f t="shared" si="394"/>
      </c>
      <c r="K1783" s="80" t="s">
        <v>280</v>
      </c>
      <c r="L1783" s="74">
        <f t="shared" si="395"/>
      </c>
      <c r="M1783" s="74">
        <f t="shared" ca="1" si="396"/>
      </c>
      <c r="N1783" s="74">
        <f ca="1">VLOOKUP(B1783,$C$7:$T1781,13,FALSE)</f>
      </c>
      <c r="O1783" s="74">
        <f t="shared" ca="1" si="397"/>
      </c>
      <c r="P1783" s="74">
        <f t="shared" ca="1" si="398"/>
      </c>
      <c r="Q1783" s="74">
        <f t="shared" ca="1" si="399"/>
      </c>
      <c r="R1783" s="74">
        <f t="shared" si="400"/>
      </c>
      <c r="S1783" s="74">
        <f t="shared" ca="1" si="401"/>
      </c>
      <c r="T1783" s="74">
        <f t="shared" si="402"/>
      </c>
    </row>
    <row r="1784" spans="2:20" x14ac:dyDescent="0.3">
      <c r="B1784" s="74">
        <f t="shared" ca="1" si="392"/>
      </c>
      <c r="C1784" s="78">
        <f>Кабельный_журнал!P1750</f>
      </c>
      <c r="D1784" s="74">
        <f t="shared" ca="1" si="393"/>
      </c>
      <c r="E1784" s="80" t="s">
        <v>279</v>
      </c>
      <c r="F1784" s="74">
        <f t="shared" ca="1" si="389"/>
      </c>
      <c r="G1784" s="74">
        <f t="shared" si="390"/>
      </c>
      <c r="H1784" s="80" t="s">
        <v>272</v>
      </c>
      <c r="I1784" s="74">
        <f t="shared" si="391"/>
      </c>
      <c r="J1784" s="74">
        <f t="shared" si="394"/>
      </c>
      <c r="K1784" s="80" t="s">
        <v>280</v>
      </c>
      <c r="L1784" s="74">
        <f t="shared" si="395"/>
      </c>
      <c r="M1784" s="74">
        <f t="shared" ca="1" si="396"/>
      </c>
      <c r="N1784" s="74">
        <f ca="1">VLOOKUP(B1784,$C$7:$T1782,13,FALSE)</f>
      </c>
      <c r="O1784" s="74">
        <f t="shared" ca="1" si="397"/>
      </c>
      <c r="P1784" s="74">
        <f t="shared" ca="1" si="398"/>
      </c>
      <c r="Q1784" s="74">
        <f t="shared" ca="1" si="399"/>
      </c>
      <c r="R1784" s="74">
        <f t="shared" si="400"/>
      </c>
      <c r="S1784" s="74">
        <f t="shared" ca="1" si="401"/>
      </c>
      <c r="T1784" s="74">
        <f t="shared" si="402"/>
      </c>
    </row>
    <row r="1785" spans="2:20" x14ac:dyDescent="0.3">
      <c r="B1785" s="74">
        <f t="shared" ca="1" si="392"/>
      </c>
      <c r="C1785" s="78">
        <f>Кабельный_журнал!P1751</f>
      </c>
      <c r="D1785" s="74">
        <f t="shared" ca="1" si="393"/>
      </c>
      <c r="E1785" s="80" t="s">
        <v>279</v>
      </c>
      <c r="F1785" s="74">
        <f t="shared" ca="1" si="389"/>
      </c>
      <c r="G1785" s="74">
        <f t="shared" si="390"/>
      </c>
      <c r="H1785" s="80" t="s">
        <v>272</v>
      </c>
      <c r="I1785" s="74">
        <f t="shared" si="391"/>
      </c>
      <c r="J1785" s="74">
        <f t="shared" si="394"/>
      </c>
      <c r="K1785" s="80" t="s">
        <v>280</v>
      </c>
      <c r="L1785" s="74">
        <f t="shared" si="395"/>
      </c>
      <c r="M1785" s="74">
        <f t="shared" ca="1" si="396"/>
      </c>
      <c r="N1785" s="74">
        <f ca="1">VLOOKUP(B1785,$C$7:$T1783,13,FALSE)</f>
      </c>
      <c r="O1785" s="74">
        <f t="shared" ca="1" si="397"/>
      </c>
      <c r="P1785" s="74">
        <f t="shared" ca="1" si="398"/>
      </c>
      <c r="Q1785" s="74">
        <f t="shared" ca="1" si="399"/>
      </c>
      <c r="R1785" s="74">
        <f t="shared" si="400"/>
      </c>
      <c r="S1785" s="74">
        <f t="shared" ca="1" si="401"/>
      </c>
      <c r="T1785" s="74">
        <f t="shared" si="402"/>
      </c>
    </row>
    <row r="1786" spans="2:20" x14ac:dyDescent="0.3">
      <c r="B1786" s="74">
        <f t="shared" ca="1" si="392"/>
      </c>
      <c r="C1786" s="78">
        <f>Кабельный_журнал!P1752</f>
      </c>
      <c r="D1786" s="74">
        <f t="shared" ca="1" si="393"/>
      </c>
      <c r="E1786" s="80" t="s">
        <v>279</v>
      </c>
      <c r="F1786" s="74">
        <f t="shared" ca="1" si="389"/>
      </c>
      <c r="G1786" s="74">
        <f t="shared" si="390"/>
      </c>
      <c r="H1786" s="80" t="s">
        <v>272</v>
      </c>
      <c r="I1786" s="74">
        <f t="shared" si="391"/>
      </c>
      <c r="J1786" s="74">
        <f t="shared" si="394"/>
      </c>
      <c r="K1786" s="80" t="s">
        <v>280</v>
      </c>
      <c r="L1786" s="74">
        <f t="shared" si="395"/>
      </c>
      <c r="M1786" s="74">
        <f t="shared" ca="1" si="396"/>
      </c>
      <c r="N1786" s="74">
        <f ca="1">VLOOKUP(B1786,$C$7:$T1784,13,FALSE)</f>
      </c>
      <c r="O1786" s="74">
        <f t="shared" ca="1" si="397"/>
      </c>
      <c r="P1786" s="74">
        <f t="shared" ca="1" si="398"/>
      </c>
      <c r="Q1786" s="74">
        <f t="shared" ca="1" si="399"/>
      </c>
      <c r="R1786" s="74">
        <f t="shared" si="400"/>
      </c>
      <c r="S1786" s="74">
        <f t="shared" ca="1" si="401"/>
      </c>
      <c r="T1786" s="74">
        <f t="shared" si="402"/>
      </c>
    </row>
    <row r="1787" spans="2:20" x14ac:dyDescent="0.3">
      <c r="B1787" s="74">
        <f t="shared" ca="1" si="392"/>
      </c>
      <c r="C1787" s="78">
        <f>Кабельный_журнал!P1753</f>
      </c>
      <c r="D1787" s="74">
        <f t="shared" ca="1" si="393"/>
      </c>
      <c r="E1787" s="80" t="s">
        <v>279</v>
      </c>
      <c r="F1787" s="74">
        <f t="shared" ca="1" si="389"/>
      </c>
      <c r="G1787" s="74">
        <f t="shared" si="390"/>
      </c>
      <c r="H1787" s="80" t="s">
        <v>272</v>
      </c>
      <c r="I1787" s="74">
        <f t="shared" si="391"/>
      </c>
      <c r="J1787" s="74">
        <f t="shared" si="394"/>
      </c>
      <c r="K1787" s="80" t="s">
        <v>280</v>
      </c>
      <c r="L1787" s="74">
        <f t="shared" si="395"/>
      </c>
      <c r="M1787" s="74">
        <f t="shared" ca="1" si="396"/>
      </c>
      <c r="N1787" s="74">
        <f ca="1">VLOOKUP(B1787,$C$7:$T1785,13,FALSE)</f>
      </c>
      <c r="O1787" s="74">
        <f t="shared" ca="1" si="397"/>
      </c>
      <c r="P1787" s="74">
        <f t="shared" ca="1" si="398"/>
      </c>
      <c r="Q1787" s="74">
        <f t="shared" ca="1" si="399"/>
      </c>
      <c r="R1787" s="74">
        <f t="shared" si="400"/>
      </c>
      <c r="S1787" s="74">
        <f t="shared" ca="1" si="401"/>
      </c>
      <c r="T1787" s="74">
        <f t="shared" si="402"/>
      </c>
    </row>
    <row r="1788" spans="2:20" x14ac:dyDescent="0.3">
      <c r="B1788" s="74">
        <f t="shared" ca="1" si="392"/>
      </c>
      <c r="C1788" s="78">
        <f>Кабельный_журнал!P1754</f>
      </c>
      <c r="D1788" s="74">
        <f t="shared" ca="1" si="393"/>
      </c>
      <c r="E1788" s="80" t="s">
        <v>279</v>
      </c>
      <c r="F1788" s="74">
        <f t="shared" ca="1" si="389"/>
      </c>
      <c r="G1788" s="74">
        <f t="shared" si="390"/>
      </c>
      <c r="H1788" s="80" t="s">
        <v>272</v>
      </c>
      <c r="I1788" s="74">
        <f t="shared" si="391"/>
      </c>
      <c r="J1788" s="74">
        <f t="shared" si="394"/>
      </c>
      <c r="K1788" s="80" t="s">
        <v>280</v>
      </c>
      <c r="L1788" s="74">
        <f t="shared" si="395"/>
      </c>
      <c r="M1788" s="74">
        <f t="shared" ca="1" si="396"/>
      </c>
      <c r="N1788" s="74">
        <f ca="1">VLOOKUP(B1788,$C$7:$T1786,13,FALSE)</f>
      </c>
      <c r="O1788" s="74">
        <f t="shared" ca="1" si="397"/>
      </c>
      <c r="P1788" s="74">
        <f t="shared" ca="1" si="398"/>
      </c>
      <c r="Q1788" s="74">
        <f t="shared" ca="1" si="399"/>
      </c>
      <c r="R1788" s="74">
        <f t="shared" si="400"/>
      </c>
      <c r="S1788" s="74">
        <f t="shared" ca="1" si="401"/>
      </c>
      <c r="T1788" s="74">
        <f t="shared" si="402"/>
      </c>
    </row>
    <row r="1789" spans="2:20" x14ac:dyDescent="0.3">
      <c r="B1789" s="74">
        <f t="shared" ca="1" si="392"/>
      </c>
      <c r="C1789" s="78">
        <f>Кабельный_журнал!P1755</f>
      </c>
      <c r="D1789" s="74">
        <f t="shared" ca="1" si="393"/>
      </c>
      <c r="E1789" s="80" t="s">
        <v>279</v>
      </c>
      <c r="F1789" s="74">
        <f t="shared" ca="1" si="389"/>
      </c>
      <c r="G1789" s="74">
        <f t="shared" si="390"/>
      </c>
      <c r="H1789" s="80" t="s">
        <v>272</v>
      </c>
      <c r="I1789" s="74">
        <f t="shared" si="391"/>
      </c>
      <c r="J1789" s="74">
        <f t="shared" si="394"/>
      </c>
      <c r="K1789" s="80" t="s">
        <v>280</v>
      </c>
      <c r="L1789" s="74">
        <f t="shared" si="395"/>
      </c>
      <c r="M1789" s="74">
        <f t="shared" ca="1" si="396"/>
      </c>
      <c r="N1789" s="74">
        <f ca="1">VLOOKUP(B1789,$C$7:$T1787,13,FALSE)</f>
      </c>
      <c r="O1789" s="74">
        <f t="shared" ca="1" si="397"/>
      </c>
      <c r="P1789" s="74">
        <f t="shared" ca="1" si="398"/>
      </c>
      <c r="Q1789" s="74">
        <f t="shared" ca="1" si="399"/>
      </c>
      <c r="R1789" s="74">
        <f t="shared" si="400"/>
      </c>
      <c r="S1789" s="74">
        <f t="shared" ca="1" si="401"/>
      </c>
      <c r="T1789" s="74">
        <f t="shared" si="402"/>
      </c>
    </row>
    <row r="1790" spans="2:20" x14ac:dyDescent="0.3">
      <c r="B1790" s="74">
        <f t="shared" ca="1" si="392"/>
      </c>
      <c r="C1790" s="78">
        <f>Кабельный_журнал!P1756</f>
      </c>
      <c r="D1790" s="74">
        <f t="shared" ca="1" si="393"/>
      </c>
      <c r="E1790" s="80" t="s">
        <v>279</v>
      </c>
      <c r="F1790" s="74">
        <f t="shared" ca="1" si="389"/>
      </c>
      <c r="G1790" s="74">
        <f t="shared" si="390"/>
      </c>
      <c r="H1790" s="80" t="s">
        <v>272</v>
      </c>
      <c r="I1790" s="74">
        <f t="shared" si="391"/>
      </c>
      <c r="J1790" s="74">
        <f t="shared" si="394"/>
      </c>
      <c r="K1790" s="80" t="s">
        <v>280</v>
      </c>
      <c r="L1790" s="74">
        <f t="shared" si="395"/>
      </c>
      <c r="M1790" s="74">
        <f t="shared" ca="1" si="396"/>
      </c>
      <c r="N1790" s="74">
        <f ca="1">VLOOKUP(B1790,$C$7:$T1788,13,FALSE)</f>
      </c>
      <c r="O1790" s="74">
        <f t="shared" ca="1" si="397"/>
      </c>
      <c r="P1790" s="74">
        <f t="shared" ca="1" si="398"/>
      </c>
      <c r="Q1790" s="74">
        <f t="shared" ca="1" si="399"/>
      </c>
      <c r="R1790" s="74">
        <f t="shared" si="400"/>
      </c>
      <c r="S1790" s="74">
        <f t="shared" ca="1" si="401"/>
      </c>
      <c r="T1790" s="74">
        <f t="shared" si="402"/>
      </c>
    </row>
    <row r="1791" spans="2:20" x14ac:dyDescent="0.3">
      <c r="B1791" s="74">
        <f t="shared" ca="1" si="392"/>
      </c>
      <c r="C1791" s="78">
        <f>Кабельный_журнал!P1757</f>
      </c>
      <c r="D1791" s="74">
        <f t="shared" ca="1" si="393"/>
      </c>
      <c r="E1791" s="80" t="s">
        <v>279</v>
      </c>
      <c r="F1791" s="74">
        <f t="shared" ca="1" si="389"/>
      </c>
      <c r="G1791" s="74">
        <f t="shared" si="390"/>
      </c>
      <c r="H1791" s="80" t="s">
        <v>272</v>
      </c>
      <c r="I1791" s="74">
        <f t="shared" si="391"/>
      </c>
      <c r="J1791" s="74">
        <f t="shared" si="394"/>
      </c>
      <c r="K1791" s="80" t="s">
        <v>280</v>
      </c>
      <c r="L1791" s="74">
        <f t="shared" si="395"/>
      </c>
      <c r="M1791" s="74">
        <f t="shared" ca="1" si="396"/>
      </c>
      <c r="N1791" s="74">
        <f ca="1">VLOOKUP(B1791,$C$7:$T1789,13,FALSE)</f>
      </c>
      <c r="O1791" s="74">
        <f t="shared" ca="1" si="397"/>
      </c>
      <c r="P1791" s="74">
        <f t="shared" ca="1" si="398"/>
      </c>
      <c r="Q1791" s="74">
        <f t="shared" ca="1" si="399"/>
      </c>
      <c r="R1791" s="74">
        <f t="shared" si="400"/>
      </c>
      <c r="S1791" s="74">
        <f t="shared" ca="1" si="401"/>
      </c>
      <c r="T1791" s="74">
        <f t="shared" si="402"/>
      </c>
    </row>
    <row r="1792" spans="2:20" x14ac:dyDescent="0.3">
      <c r="B1792" s="74">
        <f t="shared" ca="1" si="392"/>
      </c>
      <c r="C1792" s="78">
        <f>Кабельный_журнал!P1758</f>
      </c>
      <c r="D1792" s="74">
        <f t="shared" ca="1" si="393"/>
      </c>
      <c r="E1792" s="80" t="s">
        <v>279</v>
      </c>
      <c r="F1792" s="74">
        <f t="shared" ca="1" si="389"/>
      </c>
      <c r="G1792" s="74">
        <f t="shared" si="390"/>
      </c>
      <c r="H1792" s="80" t="s">
        <v>272</v>
      </c>
      <c r="I1792" s="74">
        <f t="shared" si="391"/>
      </c>
      <c r="J1792" s="74">
        <f t="shared" si="394"/>
      </c>
      <c r="K1792" s="80" t="s">
        <v>280</v>
      </c>
      <c r="L1792" s="74">
        <f t="shared" si="395"/>
      </c>
      <c r="M1792" s="74">
        <f t="shared" ca="1" si="396"/>
      </c>
      <c r="N1792" s="74">
        <f ca="1">VLOOKUP(B1792,$C$7:$T1790,13,FALSE)</f>
      </c>
      <c r="O1792" s="74">
        <f t="shared" ca="1" si="397"/>
      </c>
      <c r="P1792" s="74">
        <f t="shared" ca="1" si="398"/>
      </c>
      <c r="Q1792" s="74">
        <f t="shared" ca="1" si="399"/>
      </c>
      <c r="R1792" s="74">
        <f t="shared" si="400"/>
      </c>
      <c r="S1792" s="74">
        <f t="shared" ca="1" si="401"/>
      </c>
      <c r="T1792" s="74">
        <f t="shared" si="402"/>
      </c>
    </row>
    <row r="1793" spans="2:20" x14ac:dyDescent="0.3">
      <c r="B1793" s="74">
        <f t="shared" ca="1" si="392"/>
      </c>
      <c r="C1793" s="78">
        <f>Кабельный_журнал!P1759</f>
      </c>
      <c r="D1793" s="74">
        <f t="shared" ca="1" si="393"/>
      </c>
      <c r="E1793" s="80" t="s">
        <v>279</v>
      </c>
      <c r="F1793" s="74">
        <f t="shared" ca="1" si="389"/>
      </c>
      <c r="G1793" s="74">
        <f t="shared" si="390"/>
      </c>
      <c r="H1793" s="80" t="s">
        <v>272</v>
      </c>
      <c r="I1793" s="74">
        <f t="shared" si="391"/>
      </c>
      <c r="J1793" s="74">
        <f t="shared" si="394"/>
      </c>
      <c r="K1793" s="80" t="s">
        <v>280</v>
      </c>
      <c r="L1793" s="74">
        <f t="shared" si="395"/>
      </c>
      <c r="M1793" s="74">
        <f t="shared" ca="1" si="396"/>
      </c>
      <c r="N1793" s="74">
        <f ca="1">VLOOKUP(B1793,$C$7:$T1791,13,FALSE)</f>
      </c>
      <c r="O1793" s="74">
        <f t="shared" ca="1" si="397"/>
      </c>
      <c r="P1793" s="74">
        <f t="shared" ca="1" si="398"/>
      </c>
      <c r="Q1793" s="74">
        <f t="shared" ca="1" si="399"/>
      </c>
      <c r="R1793" s="74">
        <f t="shared" si="400"/>
      </c>
      <c r="S1793" s="74">
        <f t="shared" ca="1" si="401"/>
      </c>
      <c r="T1793" s="74">
        <f t="shared" si="402"/>
      </c>
    </row>
    <row r="1794" spans="2:20" x14ac:dyDescent="0.3">
      <c r="B1794" s="74">
        <f t="shared" ca="1" si="392"/>
      </c>
      <c r="C1794" s="78">
        <f>Кабельный_журнал!P1760</f>
      </c>
      <c r="D1794" s="74">
        <f t="shared" ca="1" si="393"/>
      </c>
      <c r="E1794" s="80" t="s">
        <v>279</v>
      </c>
      <c r="F1794" s="74">
        <f t="shared" ca="1" si="389"/>
      </c>
      <c r="G1794" s="74">
        <f t="shared" si="390"/>
      </c>
      <c r="H1794" s="80" t="s">
        <v>272</v>
      </c>
      <c r="I1794" s="74">
        <f t="shared" si="391"/>
      </c>
      <c r="J1794" s="74">
        <f t="shared" si="394"/>
      </c>
      <c r="K1794" s="80" t="s">
        <v>280</v>
      </c>
      <c r="L1794" s="74">
        <f t="shared" si="395"/>
      </c>
      <c r="M1794" s="74">
        <f t="shared" ca="1" si="396"/>
      </c>
      <c r="N1794" s="74">
        <f ca="1">VLOOKUP(B1794,$C$7:$T1792,13,FALSE)</f>
      </c>
      <c r="O1794" s="74">
        <f t="shared" ca="1" si="397"/>
      </c>
      <c r="P1794" s="74">
        <f t="shared" ca="1" si="398"/>
      </c>
      <c r="Q1794" s="74">
        <f t="shared" ca="1" si="399"/>
      </c>
      <c r="R1794" s="74">
        <f t="shared" si="400"/>
      </c>
      <c r="S1794" s="74">
        <f t="shared" ca="1" si="401"/>
      </c>
      <c r="T1794" s="74">
        <f t="shared" si="402"/>
      </c>
    </row>
    <row r="1795" spans="2:20" x14ac:dyDescent="0.3">
      <c r="B1795" s="74">
        <f t="shared" ca="1" si="392"/>
      </c>
      <c r="C1795" s="78">
        <f>Кабельный_журнал!P1761</f>
      </c>
      <c r="D1795" s="74">
        <f t="shared" ca="1" si="393"/>
      </c>
      <c r="E1795" s="80" t="s">
        <v>279</v>
      </c>
      <c r="F1795" s="74">
        <f t="shared" ca="1" si="389"/>
      </c>
      <c r="G1795" s="74">
        <f t="shared" si="390"/>
      </c>
      <c r="H1795" s="80" t="s">
        <v>272</v>
      </c>
      <c r="I1795" s="74">
        <f t="shared" si="391"/>
      </c>
      <c r="J1795" s="74">
        <f t="shared" si="394"/>
      </c>
      <c r="K1795" s="80" t="s">
        <v>280</v>
      </c>
      <c r="L1795" s="74">
        <f t="shared" si="395"/>
      </c>
      <c r="M1795" s="74">
        <f t="shared" ca="1" si="396"/>
      </c>
      <c r="N1795" s="74">
        <f ca="1">VLOOKUP(B1795,$C$7:$T1793,13,FALSE)</f>
      </c>
      <c r="O1795" s="74">
        <f t="shared" ca="1" si="397"/>
      </c>
      <c r="P1795" s="74">
        <f t="shared" ca="1" si="398"/>
      </c>
      <c r="Q1795" s="74">
        <f t="shared" ca="1" si="399"/>
      </c>
      <c r="R1795" s="74">
        <f t="shared" si="400"/>
      </c>
      <c r="S1795" s="74">
        <f t="shared" ca="1" si="401"/>
      </c>
      <c r="T1795" s="74">
        <f t="shared" si="402"/>
      </c>
    </row>
    <row r="1796" spans="2:20" x14ac:dyDescent="0.3">
      <c r="B1796" s="74">
        <f t="shared" ca="1" si="392"/>
      </c>
      <c r="C1796" s="78">
        <f>Кабельный_журнал!P1762</f>
      </c>
      <c r="D1796" s="74">
        <f t="shared" ca="1" si="393"/>
      </c>
      <c r="E1796" s="80" t="s">
        <v>279</v>
      </c>
      <c r="F1796" s="74">
        <f t="shared" ca="1" si="389"/>
      </c>
      <c r="G1796" s="74">
        <f t="shared" si="390"/>
      </c>
      <c r="H1796" s="80" t="s">
        <v>272</v>
      </c>
      <c r="I1796" s="74">
        <f t="shared" si="391"/>
      </c>
      <c r="J1796" s="74">
        <f t="shared" si="394"/>
      </c>
      <c r="K1796" s="80" t="s">
        <v>280</v>
      </c>
      <c r="L1796" s="74">
        <f t="shared" si="395"/>
      </c>
      <c r="M1796" s="74">
        <f t="shared" ca="1" si="396"/>
      </c>
      <c r="N1796" s="74">
        <f ca="1">VLOOKUP(B1796,$C$7:$T1794,13,FALSE)</f>
      </c>
      <c r="O1796" s="74">
        <f t="shared" ca="1" si="397"/>
      </c>
      <c r="P1796" s="74">
        <f t="shared" ca="1" si="398"/>
      </c>
      <c r="Q1796" s="74">
        <f t="shared" ca="1" si="399"/>
      </c>
      <c r="R1796" s="74">
        <f t="shared" si="400"/>
      </c>
      <c r="S1796" s="74">
        <f t="shared" ca="1" si="401"/>
      </c>
      <c r="T1796" s="74">
        <f t="shared" si="402"/>
      </c>
    </row>
    <row r="1797" spans="2:20" x14ac:dyDescent="0.3">
      <c r="B1797" s="74">
        <f t="shared" ca="1" si="392"/>
      </c>
      <c r="C1797" s="78">
        <f>Кабельный_журнал!P1763</f>
      </c>
      <c r="D1797" s="74">
        <f t="shared" ca="1" si="393"/>
      </c>
      <c r="E1797" s="80" t="s">
        <v>279</v>
      </c>
      <c r="F1797" s="74">
        <f t="shared" ca="1" si="389"/>
      </c>
      <c r="G1797" s="74">
        <f t="shared" si="390"/>
      </c>
      <c r="H1797" s="80" t="s">
        <v>272</v>
      </c>
      <c r="I1797" s="74">
        <f t="shared" si="391"/>
      </c>
      <c r="J1797" s="74">
        <f t="shared" si="394"/>
      </c>
      <c r="K1797" s="80" t="s">
        <v>280</v>
      </c>
      <c r="L1797" s="74">
        <f t="shared" si="395"/>
      </c>
      <c r="M1797" s="74">
        <f t="shared" ca="1" si="396"/>
      </c>
      <c r="N1797" s="74">
        <f ca="1">VLOOKUP(B1797,$C$7:$T1795,13,FALSE)</f>
      </c>
      <c r="O1797" s="74">
        <f t="shared" ca="1" si="397"/>
      </c>
      <c r="P1797" s="74">
        <f t="shared" ca="1" si="398"/>
      </c>
      <c r="Q1797" s="74">
        <f t="shared" ca="1" si="399"/>
      </c>
      <c r="R1797" s="74">
        <f t="shared" si="400"/>
      </c>
      <c r="S1797" s="74">
        <f t="shared" ca="1" si="401"/>
      </c>
      <c r="T1797" s="74">
        <f t="shared" si="402"/>
      </c>
    </row>
    <row r="1798" spans="2:20" x14ac:dyDescent="0.3">
      <c r="B1798" s="74">
        <f t="shared" ca="1" si="392"/>
      </c>
      <c r="C1798" s="78">
        <f>Кабельный_журнал!P1764</f>
      </c>
      <c r="D1798" s="74">
        <f t="shared" ca="1" si="393"/>
      </c>
      <c r="E1798" s="80" t="s">
        <v>279</v>
      </c>
      <c r="F1798" s="74">
        <f t="shared" ca="1" si="389"/>
      </c>
      <c r="G1798" s="74">
        <f t="shared" si="390"/>
      </c>
      <c r="H1798" s="80" t="s">
        <v>272</v>
      </c>
      <c r="I1798" s="74">
        <f t="shared" si="391"/>
      </c>
      <c r="J1798" s="74">
        <f t="shared" si="394"/>
      </c>
      <c r="K1798" s="80" t="s">
        <v>280</v>
      </c>
      <c r="L1798" s="74">
        <f t="shared" si="395"/>
      </c>
      <c r="M1798" s="74">
        <f t="shared" ca="1" si="396"/>
      </c>
      <c r="N1798" s="74">
        <f ca="1">VLOOKUP(B1798,$C$7:$T1796,13,FALSE)</f>
      </c>
      <c r="O1798" s="74">
        <f t="shared" ca="1" si="397"/>
      </c>
      <c r="P1798" s="74">
        <f t="shared" ca="1" si="398"/>
      </c>
      <c r="Q1798" s="74">
        <f t="shared" ca="1" si="399"/>
      </c>
      <c r="R1798" s="74">
        <f t="shared" si="400"/>
      </c>
      <c r="S1798" s="74">
        <f t="shared" ca="1" si="401"/>
      </c>
      <c r="T1798" s="74">
        <f t="shared" si="402"/>
      </c>
    </row>
    <row r="1799" spans="2:20" x14ac:dyDescent="0.3">
      <c r="B1799" s="74">
        <f t="shared" ca="1" si="392"/>
      </c>
      <c r="C1799" s="78">
        <f>Кабельный_журнал!P1765</f>
      </c>
      <c r="D1799" s="74">
        <f t="shared" ca="1" si="393"/>
      </c>
      <c r="E1799" s="80" t="s">
        <v>279</v>
      </c>
      <c r="F1799" s="74">
        <f t="shared" ca="1" si="389"/>
      </c>
      <c r="G1799" s="74">
        <f t="shared" si="390"/>
      </c>
      <c r="H1799" s="80" t="s">
        <v>272</v>
      </c>
      <c r="I1799" s="74">
        <f t="shared" si="391"/>
      </c>
      <c r="J1799" s="74">
        <f t="shared" si="394"/>
      </c>
      <c r="K1799" s="80" t="s">
        <v>280</v>
      </c>
      <c r="L1799" s="74">
        <f t="shared" si="395"/>
      </c>
      <c r="M1799" s="74">
        <f t="shared" ca="1" si="396"/>
      </c>
      <c r="N1799" s="74">
        <f ca="1">VLOOKUP(B1799,$C$7:$T1797,13,FALSE)</f>
      </c>
      <c r="O1799" s="74">
        <f t="shared" ca="1" si="397"/>
      </c>
      <c r="P1799" s="74">
        <f t="shared" ca="1" si="398"/>
      </c>
      <c r="Q1799" s="74">
        <f t="shared" ca="1" si="399"/>
      </c>
      <c r="R1799" s="74">
        <f t="shared" si="400"/>
      </c>
      <c r="S1799" s="74">
        <f t="shared" ca="1" si="401"/>
      </c>
      <c r="T1799" s="74">
        <f t="shared" si="402"/>
      </c>
    </row>
    <row r="1800" spans="2:20" x14ac:dyDescent="0.3">
      <c r="B1800" s="74">
        <f t="shared" ca="1" si="392"/>
      </c>
      <c r="C1800" s="78">
        <f>Кабельный_журнал!P1766</f>
      </c>
      <c r="D1800" s="74">
        <f t="shared" ca="1" si="393"/>
      </c>
      <c r="E1800" s="80" t="s">
        <v>279</v>
      </c>
      <c r="F1800" s="74">
        <f t="shared" ca="1" si="389"/>
      </c>
      <c r="G1800" s="74">
        <f t="shared" si="390"/>
      </c>
      <c r="H1800" s="80" t="s">
        <v>272</v>
      </c>
      <c r="I1800" s="74">
        <f t="shared" si="391"/>
      </c>
      <c r="J1800" s="74">
        <f t="shared" si="394"/>
      </c>
      <c r="K1800" s="80" t="s">
        <v>280</v>
      </c>
      <c r="L1800" s="74">
        <f t="shared" si="395"/>
      </c>
      <c r="M1800" s="74">
        <f t="shared" ca="1" si="396"/>
      </c>
      <c r="N1800" s="74">
        <f ca="1">VLOOKUP(B1800,$C$7:$T1798,13,FALSE)</f>
      </c>
      <c r="O1800" s="74">
        <f t="shared" ca="1" si="397"/>
      </c>
      <c r="P1800" s="74">
        <f t="shared" ca="1" si="398"/>
      </c>
      <c r="Q1800" s="74">
        <f t="shared" ca="1" si="399"/>
      </c>
      <c r="R1800" s="74">
        <f t="shared" si="400"/>
      </c>
      <c r="S1800" s="74">
        <f t="shared" ca="1" si="401"/>
      </c>
      <c r="T1800" s="74">
        <f t="shared" si="402"/>
      </c>
    </row>
    <row r="1801" spans="2:20" x14ac:dyDescent="0.3">
      <c r="B1801" s="74">
        <f t="shared" ca="1" si="392"/>
      </c>
      <c r="C1801" s="78">
        <f>Кабельный_журнал!P1767</f>
      </c>
      <c r="D1801" s="74">
        <f t="shared" ca="1" si="393"/>
      </c>
      <c r="E1801" s="80" t="s">
        <v>279</v>
      </c>
      <c r="F1801" s="74">
        <f t="shared" ca="1" si="389"/>
      </c>
      <c r="G1801" s="74">
        <f t="shared" si="390"/>
      </c>
      <c r="H1801" s="80" t="s">
        <v>272</v>
      </c>
      <c r="I1801" s="74">
        <f t="shared" si="391"/>
      </c>
      <c r="J1801" s="74">
        <f t="shared" si="394"/>
      </c>
      <c r="K1801" s="80" t="s">
        <v>280</v>
      </c>
      <c r="L1801" s="74">
        <f t="shared" si="395"/>
      </c>
      <c r="M1801" s="74">
        <f t="shared" ca="1" si="396"/>
      </c>
      <c r="N1801" s="74">
        <f ca="1">VLOOKUP(B1801,$C$7:$T1799,13,FALSE)</f>
      </c>
      <c r="O1801" s="74">
        <f t="shared" ca="1" si="397"/>
      </c>
      <c r="P1801" s="74">
        <f t="shared" ca="1" si="398"/>
      </c>
      <c r="Q1801" s="74">
        <f t="shared" ca="1" si="399"/>
      </c>
      <c r="R1801" s="74">
        <f t="shared" si="400"/>
      </c>
      <c r="S1801" s="74">
        <f t="shared" ca="1" si="401"/>
      </c>
      <c r="T1801" s="74">
        <f t="shared" si="402"/>
      </c>
    </row>
    <row r="1802" spans="2:20" x14ac:dyDescent="0.3">
      <c r="B1802" s="74">
        <f t="shared" ca="1" si="392"/>
      </c>
      <c r="C1802" s="78">
        <f>Кабельный_журнал!P1768</f>
      </c>
      <c r="D1802" s="74">
        <f t="shared" ca="1" si="393"/>
      </c>
      <c r="E1802" s="80" t="s">
        <v>279</v>
      </c>
      <c r="F1802" s="74">
        <f t="shared" ca="1" si="389"/>
      </c>
      <c r="G1802" s="74">
        <f t="shared" si="390"/>
      </c>
      <c r="H1802" s="80" t="s">
        <v>272</v>
      </c>
      <c r="I1802" s="74">
        <f t="shared" si="391"/>
      </c>
      <c r="J1802" s="74">
        <f t="shared" si="394"/>
      </c>
      <c r="K1802" s="80" t="s">
        <v>280</v>
      </c>
      <c r="L1802" s="74">
        <f t="shared" si="395"/>
      </c>
      <c r="M1802" s="74">
        <f t="shared" ca="1" si="396"/>
      </c>
      <c r="N1802" s="74">
        <f ca="1">VLOOKUP(B1802,$C$7:$T1800,13,FALSE)</f>
      </c>
      <c r="O1802" s="74">
        <f t="shared" ca="1" si="397"/>
      </c>
      <c r="P1802" s="74">
        <f t="shared" ca="1" si="398"/>
      </c>
      <c r="Q1802" s="74">
        <f t="shared" ca="1" si="399"/>
      </c>
      <c r="R1802" s="74">
        <f t="shared" si="400"/>
      </c>
      <c r="S1802" s="74">
        <f t="shared" ca="1" si="401"/>
      </c>
      <c r="T1802" s="74">
        <f t="shared" si="402"/>
      </c>
    </row>
    <row r="1803" spans="2:20" x14ac:dyDescent="0.3">
      <c r="B1803" s="74">
        <f t="shared" ca="1" si="392"/>
      </c>
      <c r="C1803" s="78">
        <f>Кабельный_журнал!P1769</f>
      </c>
      <c r="D1803" s="74">
        <f t="shared" ca="1" si="393"/>
      </c>
      <c r="E1803" s="80" t="s">
        <v>279</v>
      </c>
      <c r="F1803" s="74">
        <f t="shared" ca="1" si="389"/>
      </c>
      <c r="G1803" s="74">
        <f t="shared" si="390"/>
      </c>
      <c r="H1803" s="80" t="s">
        <v>272</v>
      </c>
      <c r="I1803" s="74">
        <f t="shared" si="391"/>
      </c>
      <c r="J1803" s="74">
        <f t="shared" si="394"/>
      </c>
      <c r="K1803" s="80" t="s">
        <v>280</v>
      </c>
      <c r="L1803" s="74">
        <f t="shared" si="395"/>
      </c>
      <c r="M1803" s="74">
        <f t="shared" ca="1" si="396"/>
      </c>
      <c r="N1803" s="74">
        <f ca="1">VLOOKUP(B1803,$C$7:$T1801,13,FALSE)</f>
      </c>
      <c r="O1803" s="74">
        <f t="shared" ca="1" si="397"/>
      </c>
      <c r="P1803" s="74">
        <f t="shared" ca="1" si="398"/>
      </c>
      <c r="Q1803" s="74">
        <f t="shared" ca="1" si="399"/>
      </c>
      <c r="R1803" s="74">
        <f t="shared" si="400"/>
      </c>
      <c r="S1803" s="74">
        <f t="shared" ca="1" si="401"/>
      </c>
      <c r="T1803" s="74">
        <f t="shared" si="402"/>
      </c>
    </row>
    <row r="1804" spans="2:20" x14ac:dyDescent="0.3">
      <c r="B1804" s="74">
        <f t="shared" ca="1" si="392"/>
      </c>
      <c r="C1804" s="78">
        <f>Кабельный_журнал!P1770</f>
      </c>
      <c r="D1804" s="74">
        <f t="shared" ca="1" si="393"/>
      </c>
      <c r="E1804" s="80" t="s">
        <v>279</v>
      </c>
      <c r="F1804" s="74">
        <f t="shared" ca="1" si="389"/>
      </c>
      <c r="G1804" s="74">
        <f t="shared" si="390"/>
      </c>
      <c r="H1804" s="80" t="s">
        <v>272</v>
      </c>
      <c r="I1804" s="74">
        <f t="shared" si="391"/>
      </c>
      <c r="J1804" s="74">
        <f t="shared" si="394"/>
      </c>
      <c r="K1804" s="80" t="s">
        <v>280</v>
      </c>
      <c r="L1804" s="74">
        <f t="shared" si="395"/>
      </c>
      <c r="M1804" s="74">
        <f t="shared" ca="1" si="396"/>
      </c>
      <c r="N1804" s="74">
        <f ca="1">VLOOKUP(B1804,$C$7:$T1802,13,FALSE)</f>
      </c>
      <c r="O1804" s="74">
        <f t="shared" ca="1" si="397"/>
      </c>
      <c r="P1804" s="74">
        <f t="shared" ca="1" si="398"/>
      </c>
      <c r="Q1804" s="74">
        <f t="shared" ca="1" si="399"/>
      </c>
      <c r="R1804" s="74">
        <f t="shared" si="400"/>
      </c>
      <c r="S1804" s="74">
        <f t="shared" ca="1" si="401"/>
      </c>
      <c r="T1804" s="74">
        <f t="shared" si="402"/>
      </c>
    </row>
    <row r="1805" spans="2:20" x14ac:dyDescent="0.3">
      <c r="B1805" s="74">
        <f t="shared" ca="1" si="392"/>
      </c>
      <c r="C1805" s="78">
        <f>Кабельный_журнал!P1771</f>
      </c>
      <c r="D1805" s="74">
        <f t="shared" ca="1" si="393"/>
      </c>
      <c r="E1805" s="80" t="s">
        <v>279</v>
      </c>
      <c r="F1805" s="74">
        <f t="shared" ca="1" si="389"/>
      </c>
      <c r="G1805" s="74">
        <f t="shared" si="390"/>
      </c>
      <c r="H1805" s="80" t="s">
        <v>272</v>
      </c>
      <c r="I1805" s="74">
        <f t="shared" si="391"/>
      </c>
      <c r="J1805" s="74">
        <f t="shared" si="394"/>
      </c>
      <c r="K1805" s="80" t="s">
        <v>280</v>
      </c>
      <c r="L1805" s="74">
        <f t="shared" si="395"/>
      </c>
      <c r="M1805" s="74">
        <f t="shared" ca="1" si="396"/>
      </c>
      <c r="N1805" s="74">
        <f ca="1">VLOOKUP(B1805,$C$7:$T1803,13,FALSE)</f>
      </c>
      <c r="O1805" s="74">
        <f t="shared" ca="1" si="397"/>
      </c>
      <c r="P1805" s="74">
        <f t="shared" ca="1" si="398"/>
      </c>
      <c r="Q1805" s="74">
        <f t="shared" ca="1" si="399"/>
      </c>
      <c r="R1805" s="74">
        <f t="shared" si="400"/>
      </c>
      <c r="S1805" s="74">
        <f t="shared" ca="1" si="401"/>
      </c>
      <c r="T1805" s="74">
        <f t="shared" si="402"/>
      </c>
    </row>
    <row r="1806" spans="2:20" x14ac:dyDescent="0.3">
      <c r="B1806" s="74">
        <f t="shared" ca="1" si="392"/>
      </c>
      <c r="C1806" s="78">
        <f>Кабельный_журнал!P1772</f>
      </c>
      <c r="D1806" s="74">
        <f t="shared" ca="1" si="393"/>
      </c>
      <c r="E1806" s="80" t="s">
        <v>279</v>
      </c>
      <c r="F1806" s="74">
        <f t="shared" ca="1" si="389"/>
      </c>
      <c r="G1806" s="74">
        <f t="shared" si="390"/>
      </c>
      <c r="H1806" s="80" t="s">
        <v>272</v>
      </c>
      <c r="I1806" s="74">
        <f t="shared" si="391"/>
      </c>
      <c r="J1806" s="74">
        <f t="shared" si="394"/>
      </c>
      <c r="K1806" s="80" t="s">
        <v>280</v>
      </c>
      <c r="L1806" s="74">
        <f t="shared" si="395"/>
      </c>
      <c r="M1806" s="74">
        <f t="shared" ca="1" si="396"/>
      </c>
      <c r="N1806" s="74">
        <f ca="1">VLOOKUP(B1806,$C$7:$T1804,13,FALSE)</f>
      </c>
      <c r="O1806" s="74">
        <f t="shared" ca="1" si="397"/>
      </c>
      <c r="P1806" s="74">
        <f t="shared" ca="1" si="398"/>
      </c>
      <c r="Q1806" s="74">
        <f t="shared" ca="1" si="399"/>
      </c>
      <c r="R1806" s="74">
        <f t="shared" si="400"/>
      </c>
      <c r="S1806" s="74">
        <f t="shared" ca="1" si="401"/>
      </c>
      <c r="T1806" s="74">
        <f t="shared" si="402"/>
      </c>
    </row>
    <row r="1807" spans="2:20" x14ac:dyDescent="0.3">
      <c r="B1807" s="74">
        <f t="shared" ca="1" si="392"/>
      </c>
      <c r="C1807" s="78">
        <f>Кабельный_журнал!P1773</f>
      </c>
      <c r="D1807" s="74">
        <f t="shared" ca="1" si="393"/>
      </c>
      <c r="E1807" s="80" t="s">
        <v>279</v>
      </c>
      <c r="F1807" s="74">
        <f t="shared" ca="1" si="389"/>
      </c>
      <c r="G1807" s="74">
        <f t="shared" si="390"/>
      </c>
      <c r="H1807" s="80" t="s">
        <v>272</v>
      </c>
      <c r="I1807" s="74">
        <f t="shared" si="391"/>
      </c>
      <c r="J1807" s="74">
        <f t="shared" si="394"/>
      </c>
      <c r="K1807" s="80" t="s">
        <v>280</v>
      </c>
      <c r="L1807" s="74">
        <f t="shared" si="395"/>
      </c>
      <c r="M1807" s="74">
        <f t="shared" ca="1" si="396"/>
      </c>
      <c r="N1807" s="74">
        <f ca="1">VLOOKUP(B1807,$C$7:$T1805,13,FALSE)</f>
      </c>
      <c r="O1807" s="74">
        <f t="shared" ca="1" si="397"/>
      </c>
      <c r="P1807" s="74">
        <f t="shared" ca="1" si="398"/>
      </c>
      <c r="Q1807" s="74">
        <f t="shared" ca="1" si="399"/>
      </c>
      <c r="R1807" s="74">
        <f t="shared" si="400"/>
      </c>
      <c r="S1807" s="74">
        <f t="shared" ca="1" si="401"/>
      </c>
      <c r="T1807" s="74">
        <f t="shared" si="402"/>
      </c>
    </row>
    <row r="1808" spans="2:20" x14ac:dyDescent="0.3">
      <c r="B1808" s="74">
        <f t="shared" ca="1" si="392"/>
      </c>
      <c r="C1808" s="78">
        <f>Кабельный_журнал!P1774</f>
      </c>
      <c r="D1808" s="74">
        <f t="shared" ca="1" si="393"/>
      </c>
      <c r="E1808" s="80" t="s">
        <v>279</v>
      </c>
      <c r="F1808" s="74">
        <f t="shared" ca="1" si="389"/>
      </c>
      <c r="G1808" s="74">
        <f t="shared" si="390"/>
      </c>
      <c r="H1808" s="80" t="s">
        <v>272</v>
      </c>
      <c r="I1808" s="74">
        <f t="shared" si="391"/>
      </c>
      <c r="J1808" s="74">
        <f t="shared" si="394"/>
      </c>
      <c r="K1808" s="80" t="s">
        <v>280</v>
      </c>
      <c r="L1808" s="74">
        <f t="shared" si="395"/>
      </c>
      <c r="M1808" s="74">
        <f t="shared" ca="1" si="396"/>
      </c>
      <c r="N1808" s="74">
        <f ca="1">VLOOKUP(B1808,$C$7:$T1806,13,FALSE)</f>
      </c>
      <c r="O1808" s="74">
        <f t="shared" ca="1" si="397"/>
      </c>
      <c r="P1808" s="74">
        <f t="shared" ca="1" si="398"/>
      </c>
      <c r="Q1808" s="74">
        <f t="shared" ca="1" si="399"/>
      </c>
      <c r="R1808" s="74">
        <f t="shared" si="400"/>
      </c>
      <c r="S1808" s="74">
        <f t="shared" ca="1" si="401"/>
      </c>
      <c r="T1808" s="74">
        <f t="shared" si="402"/>
      </c>
    </row>
    <row r="1809" spans="2:20" x14ac:dyDescent="0.3">
      <c r="B1809" s="74">
        <f t="shared" ca="1" si="392"/>
      </c>
      <c r="C1809" s="78">
        <f>Кабельный_журнал!P1775</f>
      </c>
      <c r="D1809" s="74">
        <f t="shared" ca="1" si="393"/>
      </c>
      <c r="E1809" s="80" t="s">
        <v>279</v>
      </c>
      <c r="F1809" s="74">
        <f t="shared" ca="1" si="389"/>
      </c>
      <c r="G1809" s="74">
        <f t="shared" si="390"/>
      </c>
      <c r="H1809" s="80" t="s">
        <v>272</v>
      </c>
      <c r="I1809" s="74">
        <f t="shared" si="391"/>
      </c>
      <c r="J1809" s="74">
        <f t="shared" si="394"/>
      </c>
      <c r="K1809" s="80" t="s">
        <v>280</v>
      </c>
      <c r="L1809" s="74">
        <f t="shared" si="395"/>
      </c>
      <c r="M1809" s="74">
        <f t="shared" ca="1" si="396"/>
      </c>
      <c r="N1809" s="74">
        <f ca="1">VLOOKUP(B1809,$C$7:$T1807,13,FALSE)</f>
      </c>
      <c r="O1809" s="74">
        <f t="shared" ca="1" si="397"/>
      </c>
      <c r="P1809" s="74">
        <f t="shared" ca="1" si="398"/>
      </c>
      <c r="Q1809" s="74">
        <f t="shared" ca="1" si="399"/>
      </c>
      <c r="R1809" s="74">
        <f t="shared" si="400"/>
      </c>
      <c r="S1809" s="74">
        <f t="shared" ca="1" si="401"/>
      </c>
      <c r="T1809" s="74">
        <f t="shared" si="402"/>
      </c>
    </row>
    <row r="1810" spans="2:20" x14ac:dyDescent="0.3">
      <c r="B1810" s="74">
        <f t="shared" ca="1" si="392"/>
      </c>
      <c r="C1810" s="78">
        <f>Кабельный_журнал!P1776</f>
      </c>
      <c r="D1810" s="74">
        <f t="shared" ca="1" si="393"/>
      </c>
      <c r="E1810" s="80" t="s">
        <v>279</v>
      </c>
      <c r="F1810" s="74">
        <f t="shared" ca="1" si="389"/>
      </c>
      <c r="G1810" s="74">
        <f t="shared" si="390"/>
      </c>
      <c r="H1810" s="80" t="s">
        <v>272</v>
      </c>
      <c r="I1810" s="74">
        <f t="shared" si="391"/>
      </c>
      <c r="J1810" s="74">
        <f t="shared" si="394"/>
      </c>
      <c r="K1810" s="80" t="s">
        <v>280</v>
      </c>
      <c r="L1810" s="74">
        <f t="shared" si="395"/>
      </c>
      <c r="M1810" s="74">
        <f t="shared" ca="1" si="396"/>
      </c>
      <c r="N1810" s="74">
        <f ca="1">VLOOKUP(B1810,$C$7:$T1808,13,FALSE)</f>
      </c>
      <c r="O1810" s="74">
        <f t="shared" ca="1" si="397"/>
      </c>
      <c r="P1810" s="74">
        <f t="shared" ca="1" si="398"/>
      </c>
      <c r="Q1810" s="74">
        <f t="shared" ca="1" si="399"/>
      </c>
      <c r="R1810" s="74">
        <f t="shared" si="400"/>
      </c>
      <c r="S1810" s="74">
        <f t="shared" ca="1" si="401"/>
      </c>
      <c r="T1810" s="74">
        <f t="shared" si="402"/>
      </c>
    </row>
    <row r="1811" spans="2:20" x14ac:dyDescent="0.3">
      <c r="B1811" s="74">
        <f t="shared" ca="1" si="392"/>
      </c>
      <c r="C1811" s="78">
        <f>Кабельный_журнал!P1777</f>
      </c>
      <c r="D1811" s="74">
        <f t="shared" ca="1" si="393"/>
      </c>
      <c r="E1811" s="80" t="s">
        <v>279</v>
      </c>
      <c r="F1811" s="74">
        <f t="shared" ca="1" si="389"/>
      </c>
      <c r="G1811" s="74">
        <f t="shared" si="390"/>
      </c>
      <c r="H1811" s="80" t="s">
        <v>272</v>
      </c>
      <c r="I1811" s="74">
        <f t="shared" si="391"/>
      </c>
      <c r="J1811" s="74">
        <f t="shared" si="394"/>
      </c>
      <c r="K1811" s="80" t="s">
        <v>280</v>
      </c>
      <c r="L1811" s="74">
        <f t="shared" si="395"/>
      </c>
      <c r="M1811" s="74">
        <f t="shared" ca="1" si="396"/>
      </c>
      <c r="N1811" s="74">
        <f ca="1">VLOOKUP(B1811,$C$7:$T1809,13,FALSE)</f>
      </c>
      <c r="O1811" s="74">
        <f t="shared" ca="1" si="397"/>
      </c>
      <c r="P1811" s="74">
        <f t="shared" ca="1" si="398"/>
      </c>
      <c r="Q1811" s="74">
        <f t="shared" ca="1" si="399"/>
      </c>
      <c r="R1811" s="74">
        <f t="shared" si="400"/>
      </c>
      <c r="S1811" s="74">
        <f t="shared" ca="1" si="401"/>
      </c>
      <c r="T1811" s="74">
        <f t="shared" si="402"/>
      </c>
    </row>
    <row r="1812" spans="2:20" x14ac:dyDescent="0.3">
      <c r="B1812" s="74">
        <f t="shared" ca="1" si="392"/>
      </c>
      <c r="C1812" s="78">
        <f>Кабельный_журнал!P1778</f>
      </c>
      <c r="D1812" s="74">
        <f t="shared" ca="1" si="393"/>
      </c>
      <c r="E1812" s="80" t="s">
        <v>279</v>
      </c>
      <c r="F1812" s="74">
        <f t="shared" ca="1" si="389"/>
      </c>
      <c r="G1812" s="74">
        <f t="shared" si="390"/>
      </c>
      <c r="H1812" s="80" t="s">
        <v>272</v>
      </c>
      <c r="I1812" s="74">
        <f t="shared" si="391"/>
      </c>
      <c r="J1812" s="74">
        <f t="shared" si="394"/>
      </c>
      <c r="K1812" s="80" t="s">
        <v>280</v>
      </c>
      <c r="L1812" s="74">
        <f t="shared" si="395"/>
      </c>
      <c r="M1812" s="74">
        <f t="shared" ca="1" si="396"/>
      </c>
      <c r="N1812" s="74">
        <f ca="1">VLOOKUP(B1812,$C$7:$T1810,13,FALSE)</f>
      </c>
      <c r="O1812" s="74">
        <f t="shared" ca="1" si="397"/>
      </c>
      <c r="P1812" s="74">
        <f t="shared" ca="1" si="398"/>
      </c>
      <c r="Q1812" s="74">
        <f t="shared" ca="1" si="399"/>
      </c>
      <c r="R1812" s="74">
        <f t="shared" si="400"/>
      </c>
      <c r="S1812" s="74">
        <f t="shared" ca="1" si="401"/>
      </c>
      <c r="T1812" s="74">
        <f t="shared" si="402"/>
      </c>
    </row>
    <row r="1813" spans="2:20" x14ac:dyDescent="0.3">
      <c r="B1813" s="74">
        <f t="shared" ca="1" si="392"/>
      </c>
      <c r="C1813" s="78">
        <f>Кабельный_журнал!P1779</f>
      </c>
      <c r="D1813" s="74">
        <f t="shared" ca="1" si="393"/>
      </c>
      <c r="E1813" s="80" t="s">
        <v>279</v>
      </c>
      <c r="F1813" s="74">
        <f t="shared" ca="1" si="389"/>
      </c>
      <c r="G1813" s="74">
        <f t="shared" si="390"/>
      </c>
      <c r="H1813" s="80" t="s">
        <v>272</v>
      </c>
      <c r="I1813" s="74">
        <f t="shared" si="391"/>
      </c>
      <c r="J1813" s="74">
        <f t="shared" si="394"/>
      </c>
      <c r="K1813" s="80" t="s">
        <v>280</v>
      </c>
      <c r="L1813" s="74">
        <f t="shared" si="395"/>
      </c>
      <c r="M1813" s="74">
        <f t="shared" ca="1" si="396"/>
      </c>
      <c r="N1813" s="74">
        <f ca="1">VLOOKUP(B1813,$C$7:$T1811,13,FALSE)</f>
      </c>
      <c r="O1813" s="74">
        <f t="shared" ca="1" si="397"/>
      </c>
      <c r="P1813" s="74">
        <f t="shared" ca="1" si="398"/>
      </c>
      <c r="Q1813" s="74">
        <f t="shared" ca="1" si="399"/>
      </c>
      <c r="R1813" s="74">
        <f t="shared" si="400"/>
      </c>
      <c r="S1813" s="74">
        <f t="shared" ca="1" si="401"/>
      </c>
      <c r="T1813" s="74">
        <f t="shared" si="402"/>
      </c>
    </row>
    <row r="1814" spans="2:20" x14ac:dyDescent="0.3">
      <c r="B1814" s="74">
        <f t="shared" ca="1" si="392"/>
      </c>
      <c r="C1814" s="78">
        <f>Кабельный_журнал!P1780</f>
      </c>
      <c r="D1814" s="74">
        <f t="shared" ca="1" si="393"/>
      </c>
      <c r="E1814" s="80" t="s">
        <v>279</v>
      </c>
      <c r="F1814" s="74">
        <f t="shared" ca="1" si="389"/>
      </c>
      <c r="G1814" s="74">
        <f t="shared" si="390"/>
      </c>
      <c r="H1814" s="80" t="s">
        <v>272</v>
      </c>
      <c r="I1814" s="74">
        <f t="shared" si="391"/>
      </c>
      <c r="J1814" s="74">
        <f t="shared" si="394"/>
      </c>
      <c r="K1814" s="80" t="s">
        <v>280</v>
      </c>
      <c r="L1814" s="74">
        <f t="shared" si="395"/>
      </c>
      <c r="M1814" s="74">
        <f t="shared" ca="1" si="396"/>
      </c>
      <c r="N1814" s="74">
        <f ca="1">VLOOKUP(B1814,$C$7:$T1812,13,FALSE)</f>
      </c>
      <c r="O1814" s="74">
        <f t="shared" ca="1" si="397"/>
      </c>
      <c r="P1814" s="74">
        <f t="shared" ca="1" si="398"/>
      </c>
      <c r="Q1814" s="74">
        <f t="shared" ca="1" si="399"/>
      </c>
      <c r="R1814" s="74">
        <f t="shared" si="400"/>
      </c>
      <c r="S1814" s="74">
        <f t="shared" ca="1" si="401"/>
      </c>
      <c r="T1814" s="74">
        <f t="shared" si="402"/>
      </c>
    </row>
    <row r="1815" spans="2:20" x14ac:dyDescent="0.3">
      <c r="B1815" s="74">
        <f t="shared" ca="1" si="392"/>
      </c>
      <c r="C1815" s="78">
        <f>Кабельный_журнал!P1781</f>
      </c>
      <c r="D1815" s="74">
        <f t="shared" ca="1" si="393"/>
      </c>
      <c r="E1815" s="80" t="s">
        <v>279</v>
      </c>
      <c r="F1815" s="74">
        <f t="shared" ca="1" si="389"/>
      </c>
      <c r="G1815" s="74">
        <f t="shared" si="390"/>
      </c>
      <c r="H1815" s="80" t="s">
        <v>272</v>
      </c>
      <c r="I1815" s="74">
        <f t="shared" si="391"/>
      </c>
      <c r="J1815" s="74">
        <f t="shared" si="394"/>
      </c>
      <c r="K1815" s="80" t="s">
        <v>280</v>
      </c>
      <c r="L1815" s="74">
        <f t="shared" si="395"/>
      </c>
      <c r="M1815" s="74">
        <f t="shared" ca="1" si="396"/>
      </c>
      <c r="N1815" s="74">
        <f ca="1">VLOOKUP(B1815,$C$7:$T1813,13,FALSE)</f>
      </c>
      <c r="O1815" s="74">
        <f t="shared" ca="1" si="397"/>
      </c>
      <c r="P1815" s="74">
        <f t="shared" ca="1" si="398"/>
      </c>
      <c r="Q1815" s="74">
        <f t="shared" ca="1" si="399"/>
      </c>
      <c r="R1815" s="74">
        <f t="shared" si="400"/>
      </c>
      <c r="S1815" s="74">
        <f t="shared" ca="1" si="401"/>
      </c>
      <c r="T1815" s="74">
        <f t="shared" si="402"/>
      </c>
    </row>
    <row r="1816" spans="2:20" x14ac:dyDescent="0.3">
      <c r="B1816" s="74">
        <f t="shared" ca="1" si="392"/>
      </c>
      <c r="C1816" s="78">
        <f>Кабельный_журнал!P1782</f>
      </c>
      <c r="D1816" s="74">
        <f t="shared" ca="1" si="393"/>
      </c>
      <c r="E1816" s="80" t="s">
        <v>279</v>
      </c>
      <c r="F1816" s="74">
        <f t="shared" ca="1" si="389"/>
      </c>
      <c r="G1816" s="74">
        <f t="shared" si="390"/>
      </c>
      <c r="H1816" s="80" t="s">
        <v>272</v>
      </c>
      <c r="I1816" s="74">
        <f t="shared" si="391"/>
      </c>
      <c r="J1816" s="74">
        <f t="shared" si="394"/>
      </c>
      <c r="K1816" s="80" t="s">
        <v>280</v>
      </c>
      <c r="L1816" s="74">
        <f t="shared" si="395"/>
      </c>
      <c r="M1816" s="74">
        <f t="shared" ca="1" si="396"/>
      </c>
      <c r="N1816" s="74">
        <f ca="1">VLOOKUP(B1816,$C$7:$T1814,13,FALSE)</f>
      </c>
      <c r="O1816" s="74">
        <f t="shared" ca="1" si="397"/>
      </c>
      <c r="P1816" s="74">
        <f t="shared" ca="1" si="398"/>
      </c>
      <c r="Q1816" s="74">
        <f t="shared" ca="1" si="399"/>
      </c>
      <c r="R1816" s="74">
        <f t="shared" si="400"/>
      </c>
      <c r="S1816" s="74">
        <f t="shared" ca="1" si="401"/>
      </c>
      <c r="T1816" s="74">
        <f t="shared" si="402"/>
      </c>
    </row>
    <row r="1817" spans="2:20" x14ac:dyDescent="0.3">
      <c r="B1817" s="74">
        <f t="shared" ca="1" si="392"/>
      </c>
      <c r="C1817" s="78">
        <f>Кабельный_журнал!P1783</f>
      </c>
      <c r="D1817" s="74">
        <f t="shared" ca="1" si="393"/>
      </c>
      <c r="E1817" s="80" t="s">
        <v>279</v>
      </c>
      <c r="F1817" s="74">
        <f t="shared" ca="1" si="389"/>
      </c>
      <c r="G1817" s="74">
        <f t="shared" si="390"/>
      </c>
      <c r="H1817" s="80" t="s">
        <v>272</v>
      </c>
      <c r="I1817" s="74">
        <f t="shared" si="391"/>
      </c>
      <c r="J1817" s="74">
        <f t="shared" si="394"/>
      </c>
      <c r="K1817" s="80" t="s">
        <v>280</v>
      </c>
      <c r="L1817" s="74">
        <f t="shared" si="395"/>
      </c>
      <c r="M1817" s="74">
        <f t="shared" ca="1" si="396"/>
      </c>
      <c r="N1817" s="74">
        <f ca="1">VLOOKUP(B1817,$C$7:$T1815,13,FALSE)</f>
      </c>
      <c r="O1817" s="74">
        <f t="shared" ca="1" si="397"/>
      </c>
      <c r="P1817" s="74">
        <f t="shared" ca="1" si="398"/>
      </c>
      <c r="Q1817" s="74">
        <f t="shared" ca="1" si="399"/>
      </c>
      <c r="R1817" s="74">
        <f t="shared" si="400"/>
      </c>
      <c r="S1817" s="74">
        <f t="shared" ca="1" si="401"/>
      </c>
      <c r="T1817" s="74">
        <f t="shared" si="402"/>
      </c>
    </row>
    <row r="1818" spans="2:20" x14ac:dyDescent="0.3">
      <c r="B1818" s="74">
        <f t="shared" ca="1" si="392"/>
      </c>
      <c r="C1818" s="78">
        <f>Кабельный_журнал!P1784</f>
      </c>
      <c r="D1818" s="74">
        <f t="shared" ca="1" si="393"/>
      </c>
      <c r="E1818" s="80" t="s">
        <v>279</v>
      </c>
      <c r="F1818" s="74">
        <f t="shared" ca="1" si="389"/>
      </c>
      <c r="G1818" s="74">
        <f t="shared" si="390"/>
      </c>
      <c r="H1818" s="80" t="s">
        <v>272</v>
      </c>
      <c r="I1818" s="74">
        <f t="shared" si="391"/>
      </c>
      <c r="J1818" s="74">
        <f t="shared" si="394"/>
      </c>
      <c r="K1818" s="80" t="s">
        <v>280</v>
      </c>
      <c r="L1818" s="74">
        <f t="shared" si="395"/>
      </c>
      <c r="M1818" s="74">
        <f t="shared" ca="1" si="396"/>
      </c>
      <c r="N1818" s="74">
        <f ca="1">VLOOKUP(B1818,$C$7:$T1816,13,FALSE)</f>
      </c>
      <c r="O1818" s="74">
        <f t="shared" ca="1" si="397"/>
      </c>
      <c r="P1818" s="74">
        <f t="shared" ca="1" si="398"/>
      </c>
      <c r="Q1818" s="74">
        <f t="shared" ca="1" si="399"/>
      </c>
      <c r="R1818" s="74">
        <f t="shared" si="400"/>
      </c>
      <c r="S1818" s="74">
        <f t="shared" ca="1" si="401"/>
      </c>
      <c r="T1818" s="74">
        <f t="shared" si="402"/>
      </c>
    </row>
    <row r="1819" spans="2:20" x14ac:dyDescent="0.3">
      <c r="B1819" s="74">
        <f t="shared" ca="1" si="392"/>
      </c>
      <c r="C1819" s="78">
        <f>Кабельный_журнал!P1785</f>
      </c>
      <c r="D1819" s="74">
        <f t="shared" ca="1" si="393"/>
      </c>
      <c r="E1819" s="80" t="s">
        <v>279</v>
      </c>
      <c r="F1819" s="74">
        <f t="shared" ca="1" si="389"/>
      </c>
      <c r="G1819" s="74">
        <f t="shared" si="390"/>
      </c>
      <c r="H1819" s="80" t="s">
        <v>272</v>
      </c>
      <c r="I1819" s="74">
        <f t="shared" si="391"/>
      </c>
      <c r="J1819" s="74">
        <f t="shared" si="394"/>
      </c>
      <c r="K1819" s="80" t="s">
        <v>280</v>
      </c>
      <c r="L1819" s="74">
        <f t="shared" si="395"/>
      </c>
      <c r="M1819" s="74">
        <f t="shared" ca="1" si="396"/>
      </c>
      <c r="N1819" s="74">
        <f ca="1">VLOOKUP(B1819,$C$7:$T1817,13,FALSE)</f>
      </c>
      <c r="O1819" s="74">
        <f t="shared" ca="1" si="397"/>
      </c>
      <c r="P1819" s="74">
        <f t="shared" ca="1" si="398"/>
      </c>
      <c r="Q1819" s="74">
        <f t="shared" ca="1" si="399"/>
      </c>
      <c r="R1819" s="74">
        <f t="shared" si="400"/>
      </c>
      <c r="S1819" s="74">
        <f t="shared" ca="1" si="401"/>
      </c>
      <c r="T1819" s="74">
        <f t="shared" si="402"/>
      </c>
    </row>
    <row r="1820" spans="2:20" x14ac:dyDescent="0.3">
      <c r="B1820" s="74">
        <f t="shared" ca="1" si="392"/>
      </c>
      <c r="C1820" s="78">
        <f>Кабельный_журнал!P1786</f>
      </c>
      <c r="D1820" s="74">
        <f t="shared" ca="1" si="393"/>
      </c>
      <c r="E1820" s="80" t="s">
        <v>279</v>
      </c>
      <c r="F1820" s="74">
        <f t="shared" ca="1" si="389"/>
      </c>
      <c r="G1820" s="74">
        <f t="shared" si="390"/>
      </c>
      <c r="H1820" s="80" t="s">
        <v>272</v>
      </c>
      <c r="I1820" s="74">
        <f t="shared" si="391"/>
      </c>
      <c r="J1820" s="74">
        <f t="shared" si="394"/>
      </c>
      <c r="K1820" s="80" t="s">
        <v>280</v>
      </c>
      <c r="L1820" s="74">
        <f t="shared" si="395"/>
      </c>
      <c r="M1820" s="74">
        <f t="shared" ca="1" si="396"/>
      </c>
      <c r="N1820" s="74">
        <f ca="1">VLOOKUP(B1820,$C$7:$T1818,13,FALSE)</f>
      </c>
      <c r="O1820" s="74">
        <f t="shared" ca="1" si="397"/>
      </c>
      <c r="P1820" s="74">
        <f t="shared" ca="1" si="398"/>
      </c>
      <c r="Q1820" s="74">
        <f t="shared" ca="1" si="399"/>
      </c>
      <c r="R1820" s="74">
        <f t="shared" si="400"/>
      </c>
      <c r="S1820" s="74">
        <f t="shared" ca="1" si="401"/>
      </c>
      <c r="T1820" s="74">
        <f t="shared" si="402"/>
      </c>
    </row>
    <row r="1821" spans="2:20" x14ac:dyDescent="0.3">
      <c r="B1821" s="74">
        <f t="shared" ca="1" si="392"/>
      </c>
      <c r="C1821" s="78">
        <f>Кабельный_журнал!P1787</f>
      </c>
      <c r="D1821" s="74">
        <f t="shared" ca="1" si="393"/>
      </c>
      <c r="E1821" s="80" t="s">
        <v>279</v>
      </c>
      <c r="F1821" s="74">
        <f t="shared" ca="1" si="389"/>
      </c>
      <c r="G1821" s="74">
        <f t="shared" si="390"/>
      </c>
      <c r="H1821" s="80" t="s">
        <v>272</v>
      </c>
      <c r="I1821" s="74">
        <f t="shared" si="391"/>
      </c>
      <c r="J1821" s="74">
        <f t="shared" si="394"/>
      </c>
      <c r="K1821" s="80" t="s">
        <v>280</v>
      </c>
      <c r="L1821" s="74">
        <f t="shared" si="395"/>
      </c>
      <c r="M1821" s="74">
        <f t="shared" ca="1" si="396"/>
      </c>
      <c r="N1821" s="74">
        <f ca="1">VLOOKUP(B1821,$C$7:$T1819,13,FALSE)</f>
      </c>
      <c r="O1821" s="74">
        <f t="shared" ca="1" si="397"/>
      </c>
      <c r="P1821" s="74">
        <f t="shared" ca="1" si="398"/>
      </c>
      <c r="Q1821" s="74">
        <f t="shared" ca="1" si="399"/>
      </c>
      <c r="R1821" s="74">
        <f t="shared" si="400"/>
      </c>
      <c r="S1821" s="74">
        <f t="shared" ca="1" si="401"/>
      </c>
      <c r="T1821" s="74">
        <f t="shared" si="402"/>
      </c>
    </row>
    <row r="1822" spans="2:20" x14ac:dyDescent="0.3">
      <c r="B1822" s="74">
        <f t="shared" ca="1" si="392"/>
      </c>
      <c r="C1822" s="78">
        <f>Кабельный_журнал!P1788</f>
      </c>
      <c r="D1822" s="74">
        <f t="shared" ca="1" si="393"/>
      </c>
      <c r="E1822" s="80" t="s">
        <v>279</v>
      </c>
      <c r="F1822" s="74">
        <f t="shared" ca="1" si="389"/>
      </c>
      <c r="G1822" s="74">
        <f t="shared" si="390"/>
      </c>
      <c r="H1822" s="80" t="s">
        <v>272</v>
      </c>
      <c r="I1822" s="74">
        <f t="shared" si="391"/>
      </c>
      <c r="J1822" s="74">
        <f t="shared" si="394"/>
      </c>
      <c r="K1822" s="80" t="s">
        <v>280</v>
      </c>
      <c r="L1822" s="74">
        <f t="shared" si="395"/>
      </c>
      <c r="M1822" s="74">
        <f t="shared" ca="1" si="396"/>
      </c>
      <c r="N1822" s="74">
        <f ca="1">VLOOKUP(B1822,$C$7:$T1820,13,FALSE)</f>
      </c>
      <c r="O1822" s="74">
        <f t="shared" ca="1" si="397"/>
      </c>
      <c r="P1822" s="74">
        <f t="shared" ca="1" si="398"/>
      </c>
      <c r="Q1822" s="74">
        <f t="shared" ca="1" si="399"/>
      </c>
      <c r="R1822" s="74">
        <f t="shared" si="400"/>
      </c>
      <c r="S1822" s="74">
        <f t="shared" ca="1" si="401"/>
      </c>
      <c r="T1822" s="74">
        <f t="shared" si="402"/>
      </c>
    </row>
    <row r="1823" spans="2:20" x14ac:dyDescent="0.3">
      <c r="B1823" s="74">
        <f t="shared" ca="1" si="392"/>
      </c>
      <c r="C1823" s="78">
        <f>Кабельный_журнал!P1789</f>
      </c>
      <c r="D1823" s="74">
        <f t="shared" ca="1" si="393"/>
      </c>
      <c r="E1823" s="80" t="s">
        <v>279</v>
      </c>
      <c r="F1823" s="74">
        <f t="shared" ca="1" si="389"/>
      </c>
      <c r="G1823" s="74">
        <f t="shared" si="390"/>
      </c>
      <c r="H1823" s="80" t="s">
        <v>272</v>
      </c>
      <c r="I1823" s="74">
        <f t="shared" si="391"/>
      </c>
      <c r="J1823" s="74">
        <f t="shared" si="394"/>
      </c>
      <c r="K1823" s="80" t="s">
        <v>280</v>
      </c>
      <c r="L1823" s="74">
        <f t="shared" si="395"/>
      </c>
      <c r="M1823" s="74">
        <f t="shared" ca="1" si="396"/>
      </c>
      <c r="N1823" s="74">
        <f ca="1">VLOOKUP(B1823,$C$7:$T1821,13,FALSE)</f>
      </c>
      <c r="O1823" s="74">
        <f t="shared" ca="1" si="397"/>
      </c>
      <c r="P1823" s="74">
        <f t="shared" ca="1" si="398"/>
      </c>
      <c r="Q1823" s="74">
        <f t="shared" ca="1" si="399"/>
      </c>
      <c r="R1823" s="74">
        <f t="shared" si="400"/>
      </c>
      <c r="S1823" s="74">
        <f t="shared" ca="1" si="401"/>
      </c>
      <c r="T1823" s="74">
        <f t="shared" si="402"/>
      </c>
    </row>
    <row r="1824" spans="2:20" x14ac:dyDescent="0.3">
      <c r="B1824" s="74">
        <f t="shared" ca="1" si="392"/>
      </c>
      <c r="C1824" s="78">
        <f>Кабельный_журнал!P1790</f>
      </c>
      <c r="D1824" s="74">
        <f t="shared" ca="1" si="393"/>
      </c>
      <c r="E1824" s="80" t="s">
        <v>279</v>
      </c>
      <c r="F1824" s="74">
        <f t="shared" ca="1" si="389"/>
      </c>
      <c r="G1824" s="74">
        <f t="shared" si="390"/>
      </c>
      <c r="H1824" s="80" t="s">
        <v>272</v>
      </c>
      <c r="I1824" s="74">
        <f t="shared" si="391"/>
      </c>
      <c r="J1824" s="74">
        <f t="shared" si="394"/>
      </c>
      <c r="K1824" s="80" t="s">
        <v>280</v>
      </c>
      <c r="L1824" s="74">
        <f t="shared" si="395"/>
      </c>
      <c r="M1824" s="74">
        <f t="shared" ca="1" si="396"/>
      </c>
      <c r="N1824" s="74">
        <f ca="1">VLOOKUP(B1824,$C$7:$T1822,13,FALSE)</f>
      </c>
      <c r="O1824" s="74">
        <f t="shared" ca="1" si="397"/>
      </c>
      <c r="P1824" s="74">
        <f t="shared" ca="1" si="398"/>
      </c>
      <c r="Q1824" s="74">
        <f t="shared" ca="1" si="399"/>
      </c>
      <c r="R1824" s="74">
        <f t="shared" si="400"/>
      </c>
      <c r="S1824" s="74">
        <f t="shared" ca="1" si="401"/>
      </c>
      <c r="T1824" s="74">
        <f t="shared" si="402"/>
      </c>
    </row>
    <row r="1825" spans="2:20" x14ac:dyDescent="0.3">
      <c r="B1825" s="74">
        <f t="shared" ca="1" si="392"/>
      </c>
      <c r="C1825" s="78">
        <f>Кабельный_журнал!P1791</f>
      </c>
      <c r="D1825" s="74">
        <f t="shared" ca="1" si="393"/>
      </c>
      <c r="E1825" s="80" t="s">
        <v>279</v>
      </c>
      <c r="F1825" s="74">
        <f t="shared" ca="1" si="389"/>
      </c>
      <c r="G1825" s="74">
        <f t="shared" si="390"/>
      </c>
      <c r="H1825" s="80" t="s">
        <v>272</v>
      </c>
      <c r="I1825" s="74">
        <f t="shared" si="391"/>
      </c>
      <c r="J1825" s="74">
        <f t="shared" si="394"/>
      </c>
      <c r="K1825" s="80" t="s">
        <v>280</v>
      </c>
      <c r="L1825" s="74">
        <f t="shared" si="395"/>
      </c>
      <c r="M1825" s="74">
        <f t="shared" ca="1" si="396"/>
      </c>
      <c r="N1825" s="74">
        <f ca="1">VLOOKUP(B1825,$C$7:$T1823,13,FALSE)</f>
      </c>
      <c r="O1825" s="74">
        <f t="shared" ca="1" si="397"/>
      </c>
      <c r="P1825" s="74">
        <f t="shared" ca="1" si="398"/>
      </c>
      <c r="Q1825" s="74">
        <f t="shared" ca="1" si="399"/>
      </c>
      <c r="R1825" s="74">
        <f t="shared" si="400"/>
      </c>
      <c r="S1825" s="74">
        <f t="shared" ca="1" si="401"/>
      </c>
      <c r="T1825" s="74">
        <f t="shared" si="402"/>
      </c>
    </row>
    <row r="1826" spans="2:20" x14ac:dyDescent="0.3">
      <c r="B1826" s="74">
        <f t="shared" ca="1" si="392"/>
      </c>
      <c r="C1826" s="78">
        <f>Кабельный_журнал!P1792</f>
      </c>
      <c r="D1826" s="74">
        <f t="shared" ca="1" si="393"/>
      </c>
      <c r="E1826" s="80" t="s">
        <v>279</v>
      </c>
      <c r="F1826" s="74">
        <f t="shared" ca="1" si="389"/>
      </c>
      <c r="G1826" s="74">
        <f t="shared" si="390"/>
      </c>
      <c r="H1826" s="80" t="s">
        <v>272</v>
      </c>
      <c r="I1826" s="74">
        <f t="shared" si="391"/>
      </c>
      <c r="J1826" s="74">
        <f t="shared" si="394"/>
      </c>
      <c r="K1826" s="80" t="s">
        <v>280</v>
      </c>
      <c r="L1826" s="74">
        <f t="shared" si="395"/>
      </c>
      <c r="M1826" s="74">
        <f t="shared" ca="1" si="396"/>
      </c>
      <c r="N1826" s="74">
        <f ca="1">VLOOKUP(B1826,$C$7:$T1824,13,FALSE)</f>
      </c>
      <c r="O1826" s="74">
        <f t="shared" ca="1" si="397"/>
      </c>
      <c r="P1826" s="74">
        <f t="shared" ca="1" si="398"/>
      </c>
      <c r="Q1826" s="74">
        <f t="shared" ca="1" si="399"/>
      </c>
      <c r="R1826" s="74">
        <f t="shared" si="400"/>
      </c>
      <c r="S1826" s="74">
        <f t="shared" ca="1" si="401"/>
      </c>
      <c r="T1826" s="74">
        <f t="shared" si="402"/>
      </c>
    </row>
    <row r="1827" spans="2:20" x14ac:dyDescent="0.3">
      <c r="B1827" s="74">
        <f t="shared" ca="1" si="392"/>
      </c>
      <c r="C1827" s="78">
        <f>Кабельный_журнал!P1793</f>
      </c>
      <c r="D1827" s="74">
        <f t="shared" ca="1" si="393"/>
      </c>
      <c r="E1827" s="80" t="s">
        <v>279</v>
      </c>
      <c r="F1827" s="74">
        <f t="shared" ca="1" si="389"/>
      </c>
      <c r="G1827" s="74">
        <f t="shared" si="390"/>
      </c>
      <c r="H1827" s="80" t="s">
        <v>272</v>
      </c>
      <c r="I1827" s="74">
        <f t="shared" si="391"/>
      </c>
      <c r="J1827" s="74">
        <f t="shared" si="394"/>
      </c>
      <c r="K1827" s="80" t="s">
        <v>280</v>
      </c>
      <c r="L1827" s="74">
        <f t="shared" si="395"/>
      </c>
      <c r="M1827" s="74">
        <f t="shared" ca="1" si="396"/>
      </c>
      <c r="N1827" s="74">
        <f ca="1">VLOOKUP(B1827,$C$7:$T1825,13,FALSE)</f>
      </c>
      <c r="O1827" s="74">
        <f t="shared" ca="1" si="397"/>
      </c>
      <c r="P1827" s="74">
        <f t="shared" ca="1" si="398"/>
      </c>
      <c r="Q1827" s="74">
        <f t="shared" ca="1" si="399"/>
      </c>
      <c r="R1827" s="74">
        <f t="shared" si="400"/>
      </c>
      <c r="S1827" s="74">
        <f t="shared" ca="1" si="401"/>
      </c>
      <c r="T1827" s="74">
        <f t="shared" si="402"/>
      </c>
    </row>
    <row r="1828" spans="2:20" x14ac:dyDescent="0.3">
      <c r="B1828" s="74">
        <f t="shared" ca="1" si="392"/>
      </c>
      <c r="C1828" s="78">
        <f>Кабельный_журнал!P1794</f>
      </c>
      <c r="D1828" s="74">
        <f t="shared" ca="1" si="393"/>
      </c>
      <c r="E1828" s="80" t="s">
        <v>279</v>
      </c>
      <c r="F1828" s="74">
        <f t="shared" ca="1" si="389"/>
      </c>
      <c r="G1828" s="74">
        <f t="shared" si="390"/>
      </c>
      <c r="H1828" s="80" t="s">
        <v>272</v>
      </c>
      <c r="I1828" s="74">
        <f t="shared" si="391"/>
      </c>
      <c r="J1828" s="74">
        <f t="shared" si="394"/>
      </c>
      <c r="K1828" s="80" t="s">
        <v>280</v>
      </c>
      <c r="L1828" s="74">
        <f t="shared" si="395"/>
      </c>
      <c r="M1828" s="74">
        <f t="shared" ca="1" si="396"/>
      </c>
      <c r="N1828" s="74">
        <f ca="1">VLOOKUP(B1828,$C$7:$T1826,13,FALSE)</f>
      </c>
      <c r="O1828" s="74">
        <f t="shared" ca="1" si="397"/>
      </c>
      <c r="P1828" s="74">
        <f t="shared" ca="1" si="398"/>
      </c>
      <c r="Q1828" s="74">
        <f t="shared" ca="1" si="399"/>
      </c>
      <c r="R1828" s="74">
        <f t="shared" si="400"/>
      </c>
      <c r="S1828" s="74">
        <f t="shared" ca="1" si="401"/>
      </c>
      <c r="T1828" s="74">
        <f t="shared" si="402"/>
      </c>
    </row>
    <row r="1829" spans="2:20" x14ac:dyDescent="0.3">
      <c r="B1829" s="74">
        <f t="shared" ca="1" si="392"/>
      </c>
      <c r="C1829" s="78">
        <f>Кабельный_журнал!P1795</f>
      </c>
      <c r="D1829" s="74">
        <f t="shared" ca="1" si="393"/>
      </c>
      <c r="E1829" s="80" t="s">
        <v>279</v>
      </c>
      <c r="F1829" s="74">
        <f t="shared" ca="1" si="389"/>
      </c>
      <c r="G1829" s="74">
        <f t="shared" si="390"/>
      </c>
      <c r="H1829" s="80" t="s">
        <v>272</v>
      </c>
      <c r="I1829" s="74">
        <f t="shared" si="391"/>
      </c>
      <c r="J1829" s="74">
        <f t="shared" si="394"/>
      </c>
      <c r="K1829" s="80" t="s">
        <v>280</v>
      </c>
      <c r="L1829" s="74">
        <f t="shared" si="395"/>
      </c>
      <c r="M1829" s="74">
        <f t="shared" ca="1" si="396"/>
      </c>
      <c r="N1829" s="74">
        <f ca="1">VLOOKUP(B1829,$C$7:$T1827,13,FALSE)</f>
      </c>
      <c r="O1829" s="74">
        <f t="shared" ca="1" si="397"/>
      </c>
      <c r="P1829" s="74">
        <f t="shared" ca="1" si="398"/>
      </c>
      <c r="Q1829" s="74">
        <f t="shared" ca="1" si="399"/>
      </c>
      <c r="R1829" s="74">
        <f t="shared" si="400"/>
      </c>
      <c r="S1829" s="74">
        <f t="shared" ca="1" si="401"/>
      </c>
      <c r="T1829" s="74">
        <f t="shared" si="402"/>
      </c>
    </row>
    <row r="1830" spans="2:20" x14ac:dyDescent="0.3">
      <c r="B1830" s="74">
        <f t="shared" ca="1" si="392"/>
      </c>
      <c r="C1830" s="78">
        <f>Кабельный_журнал!P1796</f>
      </c>
      <c r="D1830" s="74">
        <f t="shared" ca="1" si="393"/>
      </c>
      <c r="E1830" s="80" t="s">
        <v>279</v>
      </c>
      <c r="F1830" s="74">
        <f t="shared" ca="1" si="389"/>
      </c>
      <c r="G1830" s="74">
        <f t="shared" si="390"/>
      </c>
      <c r="H1830" s="80" t="s">
        <v>272</v>
      </c>
      <c r="I1830" s="74">
        <f t="shared" si="391"/>
      </c>
      <c r="J1830" s="74">
        <f t="shared" si="394"/>
      </c>
      <c r="K1830" s="80" t="s">
        <v>280</v>
      </c>
      <c r="L1830" s="74">
        <f t="shared" si="395"/>
      </c>
      <c r="M1830" s="74">
        <f t="shared" ca="1" si="396"/>
      </c>
      <c r="N1830" s="74">
        <f ca="1">VLOOKUP(B1830,$C$7:$T1828,13,FALSE)</f>
      </c>
      <c r="O1830" s="74">
        <f t="shared" ca="1" si="397"/>
      </c>
      <c r="P1830" s="74">
        <f t="shared" ca="1" si="398"/>
      </c>
      <c r="Q1830" s="74">
        <f t="shared" ca="1" si="399"/>
      </c>
      <c r="R1830" s="74">
        <f t="shared" si="400"/>
      </c>
      <c r="S1830" s="74">
        <f t="shared" ca="1" si="401"/>
      </c>
      <c r="T1830" s="74">
        <f t="shared" si="402"/>
      </c>
    </row>
    <row r="1831" spans="2:20" x14ac:dyDescent="0.3">
      <c r="B1831" s="74">
        <f t="shared" ca="1" si="392"/>
      </c>
      <c r="C1831" s="78">
        <f>Кабельный_журнал!P1797</f>
      </c>
      <c r="D1831" s="74">
        <f t="shared" ca="1" si="393"/>
      </c>
      <c r="E1831" s="80" t="s">
        <v>279</v>
      </c>
      <c r="F1831" s="74">
        <f t="shared" ref="F1831:F1894" ca="1" si="403">VLOOKUP(C1831,Кабельный_журнал,8,FALSE)</f>
      </c>
      <c r="G1831" s="74">
        <f t="shared" ref="G1831:G1894" si="404">VLOOKUP(C1831,Исходные_данные,21,FALSE)</f>
      </c>
      <c r="H1831" s="80" t="s">
        <v>272</v>
      </c>
      <c r="I1831" s="74">
        <f t="shared" ref="I1831:I1894" si="405">VLOOKUP(C1831,Исходные_данные,22,FALSE)</f>
      </c>
      <c r="J1831" s="74">
        <f t="shared" si="394"/>
      </c>
      <c r="K1831" s="80" t="s">
        <v>280</v>
      </c>
      <c r="L1831" s="74">
        <f t="shared" si="395"/>
      </c>
      <c r="M1831" s="74">
        <f t="shared" ca="1" si="396"/>
      </c>
      <c r="N1831" s="74">
        <f ca="1">VLOOKUP(B1831,$C$7:$T1829,13,FALSE)</f>
      </c>
      <c r="O1831" s="74">
        <f t="shared" ca="1" si="397"/>
      </c>
      <c r="P1831" s="74">
        <f t="shared" ca="1" si="398"/>
      </c>
      <c r="Q1831" s="74">
        <f t="shared" ca="1" si="399"/>
      </c>
      <c r="R1831" s="74">
        <f t="shared" si="400"/>
      </c>
      <c r="S1831" s="74">
        <f t="shared" ca="1" si="401"/>
      </c>
      <c r="T1831" s="74">
        <f t="shared" si="402"/>
      </c>
    </row>
    <row r="1832" spans="2:20" x14ac:dyDescent="0.3">
      <c r="B1832" s="74">
        <f t="shared" ref="B1832:B1895" ca="1" si="406">VLOOKUP(C1832,Кабельный_журнал,2,FALSE)</f>
      </c>
      <c r="C1832" s="78">
        <f>Кабельный_журнал!P1798</f>
      </c>
      <c r="D1832" s="74">
        <f t="shared" ref="D1832:D1895" ca="1" si="407">B1832&amp;"-"&amp;C1832</f>
      </c>
      <c r="E1832" s="80" t="s">
        <v>279</v>
      </c>
      <c r="F1832" s="74">
        <f t="shared" ca="1" si="403"/>
      </c>
      <c r="G1832" s="74">
        <f t="shared" si="404"/>
      </c>
      <c r="H1832" s="80" t="s">
        <v>272</v>
      </c>
      <c r="I1832" s="74">
        <f t="shared" si="405"/>
      </c>
      <c r="J1832" s="74">
        <f t="shared" ref="J1832:J1895" si="408">I1832</f>
      </c>
      <c r="K1832" s="80" t="s">
        <v>280</v>
      </c>
      <c r="L1832" s="74">
        <f t="shared" ref="L1832:L1895" si="409">VLOOKUP(K1832,$K$2:$L$3,2,FALSE)</f>
      </c>
      <c r="M1832" s="74">
        <f t="shared" ref="M1832:M1895" ca="1" si="410">L1832*F1832*(1/I1832+1/J1832)</f>
      </c>
      <c r="N1832" s="74">
        <f ca="1">VLOOKUP(B1832,$C$7:$T1830,13,FALSE)</f>
      </c>
      <c r="O1832" s="74">
        <f t="shared" ref="O1832:O1895" ca="1" si="411">L1832+M1832</f>
      </c>
      <c r="P1832" s="74">
        <f t="shared" ref="P1832:P1895" ca="1" si="412">220/O1832</f>
      </c>
      <c r="Q1832" s="74">
        <f t="shared" ref="Q1832:Q1895" ca="1" si="413">O1832/G1832</f>
      </c>
      <c r="R1832" s="74">
        <f t="shared" ref="R1832:R1895" si="414">VLOOKUP(H1832,$W$2:$Y$12,3,FALSE)</f>
      </c>
      <c r="S1832" s="74">
        <f t="shared" ref="S1832:S1895" ca="1" si="415">_xlfn.IFS(E1832="щит",IF(P1832&gt;R1832,"Увел сеч",IF(T1832&gt;P1832,"Увел сеч","tср&lt;5с")),E1832="потреб",IF(P1832&gt;R1832,"Увел сеч",IF(T1832&gt;P1832,"Увел сеч","tср&lt;0.4с")))</f>
      </c>
      <c r="T1832" s="74">
        <f t="shared" ref="T1832:T1895" si="416">G1832*VLOOKUP(H1832,$W$2:$Y$12,2,FALSE)</f>
      </c>
    </row>
    <row r="1833" spans="2:20" x14ac:dyDescent="0.3">
      <c r="B1833" s="74">
        <f t="shared" ca="1" si="406"/>
      </c>
      <c r="C1833" s="78">
        <f>Кабельный_журнал!P1799</f>
      </c>
      <c r="D1833" s="74">
        <f t="shared" ca="1" si="407"/>
      </c>
      <c r="E1833" s="80" t="s">
        <v>279</v>
      </c>
      <c r="F1833" s="74">
        <f t="shared" ca="1" si="403"/>
      </c>
      <c r="G1833" s="74">
        <f t="shared" si="404"/>
      </c>
      <c r="H1833" s="80" t="s">
        <v>272</v>
      </c>
      <c r="I1833" s="74">
        <f t="shared" si="405"/>
      </c>
      <c r="J1833" s="74">
        <f t="shared" si="408"/>
      </c>
      <c r="K1833" s="80" t="s">
        <v>280</v>
      </c>
      <c r="L1833" s="74">
        <f t="shared" si="409"/>
      </c>
      <c r="M1833" s="74">
        <f t="shared" ca="1" si="410"/>
      </c>
      <c r="N1833" s="74">
        <f ca="1">VLOOKUP(B1833,$C$7:$T1831,13,FALSE)</f>
      </c>
      <c r="O1833" s="74">
        <f t="shared" ca="1" si="411"/>
      </c>
      <c r="P1833" s="74">
        <f t="shared" ca="1" si="412"/>
      </c>
      <c r="Q1833" s="74">
        <f t="shared" ca="1" si="413"/>
      </c>
      <c r="R1833" s="74">
        <f t="shared" si="414"/>
      </c>
      <c r="S1833" s="74">
        <f t="shared" ca="1" si="415"/>
      </c>
      <c r="T1833" s="74">
        <f t="shared" si="416"/>
      </c>
    </row>
    <row r="1834" spans="2:20" x14ac:dyDescent="0.3">
      <c r="B1834" s="74">
        <f t="shared" ca="1" si="406"/>
      </c>
      <c r="C1834" s="78">
        <f>Кабельный_журнал!P1800</f>
      </c>
      <c r="D1834" s="74">
        <f t="shared" ca="1" si="407"/>
      </c>
      <c r="E1834" s="80" t="s">
        <v>279</v>
      </c>
      <c r="F1834" s="74">
        <f t="shared" ca="1" si="403"/>
      </c>
      <c r="G1834" s="74">
        <f t="shared" si="404"/>
      </c>
      <c r="H1834" s="80" t="s">
        <v>272</v>
      </c>
      <c r="I1834" s="74">
        <f t="shared" si="405"/>
      </c>
      <c r="J1834" s="74">
        <f t="shared" si="408"/>
      </c>
      <c r="K1834" s="80" t="s">
        <v>280</v>
      </c>
      <c r="L1834" s="74">
        <f t="shared" si="409"/>
      </c>
      <c r="M1834" s="74">
        <f t="shared" ca="1" si="410"/>
      </c>
      <c r="N1834" s="74">
        <f ca="1">VLOOKUP(B1834,$C$7:$T1832,13,FALSE)</f>
      </c>
      <c r="O1834" s="74">
        <f t="shared" ca="1" si="411"/>
      </c>
      <c r="P1834" s="74">
        <f t="shared" ca="1" si="412"/>
      </c>
      <c r="Q1834" s="74">
        <f t="shared" ca="1" si="413"/>
      </c>
      <c r="R1834" s="74">
        <f t="shared" si="414"/>
      </c>
      <c r="S1834" s="74">
        <f t="shared" ca="1" si="415"/>
      </c>
      <c r="T1834" s="74">
        <f t="shared" si="416"/>
      </c>
    </row>
    <row r="1835" spans="2:20" x14ac:dyDescent="0.3">
      <c r="B1835" s="74">
        <f t="shared" ca="1" si="406"/>
      </c>
      <c r="C1835" s="78">
        <f>Кабельный_журнал!P1801</f>
      </c>
      <c r="D1835" s="74">
        <f t="shared" ca="1" si="407"/>
      </c>
      <c r="E1835" s="80" t="s">
        <v>279</v>
      </c>
      <c r="F1835" s="74">
        <f t="shared" ca="1" si="403"/>
      </c>
      <c r="G1835" s="74">
        <f t="shared" si="404"/>
      </c>
      <c r="H1835" s="80" t="s">
        <v>272</v>
      </c>
      <c r="I1835" s="74">
        <f t="shared" si="405"/>
      </c>
      <c r="J1835" s="74">
        <f t="shared" si="408"/>
      </c>
      <c r="K1835" s="80" t="s">
        <v>280</v>
      </c>
      <c r="L1835" s="74">
        <f t="shared" si="409"/>
      </c>
      <c r="M1835" s="74">
        <f t="shared" ca="1" si="410"/>
      </c>
      <c r="N1835" s="74">
        <f ca="1">VLOOKUP(B1835,$C$7:$T1833,13,FALSE)</f>
      </c>
      <c r="O1835" s="74">
        <f t="shared" ca="1" si="411"/>
      </c>
      <c r="P1835" s="74">
        <f t="shared" ca="1" si="412"/>
      </c>
      <c r="Q1835" s="74">
        <f t="shared" ca="1" si="413"/>
      </c>
      <c r="R1835" s="74">
        <f t="shared" si="414"/>
      </c>
      <c r="S1835" s="74">
        <f t="shared" ca="1" si="415"/>
      </c>
      <c r="T1835" s="74">
        <f t="shared" si="416"/>
      </c>
    </row>
    <row r="1836" spans="2:20" x14ac:dyDescent="0.3">
      <c r="B1836" s="74">
        <f t="shared" ca="1" si="406"/>
      </c>
      <c r="C1836" s="78">
        <f>Кабельный_журнал!P1802</f>
      </c>
      <c r="D1836" s="74">
        <f t="shared" ca="1" si="407"/>
      </c>
      <c r="E1836" s="80" t="s">
        <v>279</v>
      </c>
      <c r="F1836" s="74">
        <f t="shared" ca="1" si="403"/>
      </c>
      <c r="G1836" s="74">
        <f t="shared" si="404"/>
      </c>
      <c r="H1836" s="80" t="s">
        <v>272</v>
      </c>
      <c r="I1836" s="74">
        <f t="shared" si="405"/>
      </c>
      <c r="J1836" s="74">
        <f t="shared" si="408"/>
      </c>
      <c r="K1836" s="80" t="s">
        <v>280</v>
      </c>
      <c r="L1836" s="74">
        <f t="shared" si="409"/>
      </c>
      <c r="M1836" s="74">
        <f t="shared" ca="1" si="410"/>
      </c>
      <c r="N1836" s="74">
        <f ca="1">VLOOKUP(B1836,$C$7:$T1834,13,FALSE)</f>
      </c>
      <c r="O1836" s="74">
        <f t="shared" ca="1" si="411"/>
      </c>
      <c r="P1836" s="74">
        <f t="shared" ca="1" si="412"/>
      </c>
      <c r="Q1836" s="74">
        <f t="shared" ca="1" si="413"/>
      </c>
      <c r="R1836" s="74">
        <f t="shared" si="414"/>
      </c>
      <c r="S1836" s="74">
        <f t="shared" ca="1" si="415"/>
      </c>
      <c r="T1836" s="74">
        <f t="shared" si="416"/>
      </c>
    </row>
    <row r="1837" spans="2:20" x14ac:dyDescent="0.3">
      <c r="B1837" s="74">
        <f t="shared" ca="1" si="406"/>
      </c>
      <c r="C1837" s="78">
        <f>Кабельный_журнал!P1803</f>
      </c>
      <c r="D1837" s="74">
        <f t="shared" ca="1" si="407"/>
      </c>
      <c r="E1837" s="80" t="s">
        <v>279</v>
      </c>
      <c r="F1837" s="74">
        <f t="shared" ca="1" si="403"/>
      </c>
      <c r="G1837" s="74">
        <f t="shared" si="404"/>
      </c>
      <c r="H1837" s="80" t="s">
        <v>272</v>
      </c>
      <c r="I1837" s="74">
        <f t="shared" si="405"/>
      </c>
      <c r="J1837" s="74">
        <f t="shared" si="408"/>
      </c>
      <c r="K1837" s="80" t="s">
        <v>280</v>
      </c>
      <c r="L1837" s="74">
        <f t="shared" si="409"/>
      </c>
      <c r="M1837" s="74">
        <f t="shared" ca="1" si="410"/>
      </c>
      <c r="N1837" s="74">
        <f ca="1">VLOOKUP(B1837,$C$7:$T1835,13,FALSE)</f>
      </c>
      <c r="O1837" s="74">
        <f t="shared" ca="1" si="411"/>
      </c>
      <c r="P1837" s="74">
        <f t="shared" ca="1" si="412"/>
      </c>
      <c r="Q1837" s="74">
        <f t="shared" ca="1" si="413"/>
      </c>
      <c r="R1837" s="74">
        <f t="shared" si="414"/>
      </c>
      <c r="S1837" s="74">
        <f t="shared" ca="1" si="415"/>
      </c>
      <c r="T1837" s="74">
        <f t="shared" si="416"/>
      </c>
    </row>
    <row r="1838" spans="2:20" x14ac:dyDescent="0.3">
      <c r="B1838" s="74">
        <f t="shared" ca="1" si="406"/>
      </c>
      <c r="C1838" s="78">
        <f>Кабельный_журнал!P1804</f>
      </c>
      <c r="D1838" s="74">
        <f t="shared" ca="1" si="407"/>
      </c>
      <c r="E1838" s="80" t="s">
        <v>279</v>
      </c>
      <c r="F1838" s="74">
        <f t="shared" ca="1" si="403"/>
      </c>
      <c r="G1838" s="74">
        <f t="shared" si="404"/>
      </c>
      <c r="H1838" s="80" t="s">
        <v>272</v>
      </c>
      <c r="I1838" s="74">
        <f t="shared" si="405"/>
      </c>
      <c r="J1838" s="74">
        <f t="shared" si="408"/>
      </c>
      <c r="K1838" s="80" t="s">
        <v>280</v>
      </c>
      <c r="L1838" s="74">
        <f t="shared" si="409"/>
      </c>
      <c r="M1838" s="74">
        <f t="shared" ca="1" si="410"/>
      </c>
      <c r="N1838" s="74">
        <f ca="1">VLOOKUP(B1838,$C$7:$T1836,13,FALSE)</f>
      </c>
      <c r="O1838" s="74">
        <f t="shared" ca="1" si="411"/>
      </c>
      <c r="P1838" s="74">
        <f t="shared" ca="1" si="412"/>
      </c>
      <c r="Q1838" s="74">
        <f t="shared" ca="1" si="413"/>
      </c>
      <c r="R1838" s="74">
        <f t="shared" si="414"/>
      </c>
      <c r="S1838" s="74">
        <f t="shared" ca="1" si="415"/>
      </c>
      <c r="T1838" s="74">
        <f t="shared" si="416"/>
      </c>
    </row>
    <row r="1839" spans="2:20" x14ac:dyDescent="0.3">
      <c r="B1839" s="74">
        <f t="shared" ca="1" si="406"/>
      </c>
      <c r="C1839" s="78">
        <f>Кабельный_журнал!P1805</f>
      </c>
      <c r="D1839" s="74">
        <f t="shared" ca="1" si="407"/>
      </c>
      <c r="E1839" s="80" t="s">
        <v>279</v>
      </c>
      <c r="F1839" s="74">
        <f t="shared" ca="1" si="403"/>
      </c>
      <c r="G1839" s="74">
        <f t="shared" si="404"/>
      </c>
      <c r="H1839" s="80" t="s">
        <v>272</v>
      </c>
      <c r="I1839" s="74">
        <f t="shared" si="405"/>
      </c>
      <c r="J1839" s="74">
        <f t="shared" si="408"/>
      </c>
      <c r="K1839" s="80" t="s">
        <v>280</v>
      </c>
      <c r="L1839" s="74">
        <f t="shared" si="409"/>
      </c>
      <c r="M1839" s="74">
        <f t="shared" ca="1" si="410"/>
      </c>
      <c r="N1839" s="74">
        <f ca="1">VLOOKUP(B1839,$C$7:$T1837,13,FALSE)</f>
      </c>
      <c r="O1839" s="74">
        <f t="shared" ca="1" si="411"/>
      </c>
      <c r="P1839" s="74">
        <f t="shared" ca="1" si="412"/>
      </c>
      <c r="Q1839" s="74">
        <f t="shared" ca="1" si="413"/>
      </c>
      <c r="R1839" s="74">
        <f t="shared" si="414"/>
      </c>
      <c r="S1839" s="74">
        <f t="shared" ca="1" si="415"/>
      </c>
      <c r="T1839" s="74">
        <f t="shared" si="416"/>
      </c>
    </row>
    <row r="1840" spans="2:20" x14ac:dyDescent="0.3">
      <c r="B1840" s="74">
        <f t="shared" ca="1" si="406"/>
      </c>
      <c r="C1840" s="78">
        <f>Кабельный_журнал!P1806</f>
      </c>
      <c r="D1840" s="74">
        <f t="shared" ca="1" si="407"/>
      </c>
      <c r="E1840" s="80" t="s">
        <v>279</v>
      </c>
      <c r="F1840" s="74">
        <f t="shared" ca="1" si="403"/>
      </c>
      <c r="G1840" s="74">
        <f t="shared" si="404"/>
      </c>
      <c r="H1840" s="80" t="s">
        <v>272</v>
      </c>
      <c r="I1840" s="74">
        <f t="shared" si="405"/>
      </c>
      <c r="J1840" s="74">
        <f t="shared" si="408"/>
      </c>
      <c r="K1840" s="80" t="s">
        <v>280</v>
      </c>
      <c r="L1840" s="74">
        <f t="shared" si="409"/>
      </c>
      <c r="M1840" s="74">
        <f t="shared" ca="1" si="410"/>
      </c>
      <c r="N1840" s="74">
        <f ca="1">VLOOKUP(B1840,$C$7:$T1838,13,FALSE)</f>
      </c>
      <c r="O1840" s="74">
        <f t="shared" ca="1" si="411"/>
      </c>
      <c r="P1840" s="74">
        <f t="shared" ca="1" si="412"/>
      </c>
      <c r="Q1840" s="74">
        <f t="shared" ca="1" si="413"/>
      </c>
      <c r="R1840" s="74">
        <f t="shared" si="414"/>
      </c>
      <c r="S1840" s="74">
        <f t="shared" ca="1" si="415"/>
      </c>
      <c r="T1840" s="74">
        <f t="shared" si="416"/>
      </c>
    </row>
    <row r="1841" spans="2:20" x14ac:dyDescent="0.3">
      <c r="B1841" s="74">
        <f t="shared" ca="1" si="406"/>
      </c>
      <c r="C1841" s="78">
        <f>Кабельный_журнал!P1807</f>
      </c>
      <c r="D1841" s="74">
        <f t="shared" ca="1" si="407"/>
      </c>
      <c r="E1841" s="80" t="s">
        <v>279</v>
      </c>
      <c r="F1841" s="74">
        <f t="shared" ca="1" si="403"/>
      </c>
      <c r="G1841" s="74">
        <f t="shared" si="404"/>
      </c>
      <c r="H1841" s="80" t="s">
        <v>272</v>
      </c>
      <c r="I1841" s="74">
        <f t="shared" si="405"/>
      </c>
      <c r="J1841" s="74">
        <f t="shared" si="408"/>
      </c>
      <c r="K1841" s="80" t="s">
        <v>280</v>
      </c>
      <c r="L1841" s="74">
        <f t="shared" si="409"/>
      </c>
      <c r="M1841" s="74">
        <f t="shared" ca="1" si="410"/>
      </c>
      <c r="N1841" s="74">
        <f ca="1">VLOOKUP(B1841,$C$7:$T1839,13,FALSE)</f>
      </c>
      <c r="O1841" s="74">
        <f t="shared" ca="1" si="411"/>
      </c>
      <c r="P1841" s="74">
        <f t="shared" ca="1" si="412"/>
      </c>
      <c r="Q1841" s="74">
        <f t="shared" ca="1" si="413"/>
      </c>
      <c r="R1841" s="74">
        <f t="shared" si="414"/>
      </c>
      <c r="S1841" s="74">
        <f t="shared" ca="1" si="415"/>
      </c>
      <c r="T1841" s="74">
        <f t="shared" si="416"/>
      </c>
    </row>
    <row r="1842" spans="2:20" x14ac:dyDescent="0.3">
      <c r="B1842" s="74">
        <f t="shared" ca="1" si="406"/>
      </c>
      <c r="C1842" s="78">
        <f>Кабельный_журнал!P1808</f>
      </c>
      <c r="D1842" s="74">
        <f t="shared" ca="1" si="407"/>
      </c>
      <c r="E1842" s="80" t="s">
        <v>279</v>
      </c>
      <c r="F1842" s="74">
        <f t="shared" ca="1" si="403"/>
      </c>
      <c r="G1842" s="74">
        <f t="shared" si="404"/>
      </c>
      <c r="H1842" s="80" t="s">
        <v>272</v>
      </c>
      <c r="I1842" s="74">
        <f t="shared" si="405"/>
      </c>
      <c r="J1842" s="74">
        <f t="shared" si="408"/>
      </c>
      <c r="K1842" s="80" t="s">
        <v>280</v>
      </c>
      <c r="L1842" s="74">
        <f t="shared" si="409"/>
      </c>
      <c r="M1842" s="74">
        <f t="shared" ca="1" si="410"/>
      </c>
      <c r="N1842" s="74">
        <f ca="1">VLOOKUP(B1842,$C$7:$T1840,13,FALSE)</f>
      </c>
      <c r="O1842" s="74">
        <f t="shared" ca="1" si="411"/>
      </c>
      <c r="P1842" s="74">
        <f t="shared" ca="1" si="412"/>
      </c>
      <c r="Q1842" s="74">
        <f t="shared" ca="1" si="413"/>
      </c>
      <c r="R1842" s="74">
        <f t="shared" si="414"/>
      </c>
      <c r="S1842" s="74">
        <f t="shared" ca="1" si="415"/>
      </c>
      <c r="T1842" s="74">
        <f t="shared" si="416"/>
      </c>
    </row>
    <row r="1843" spans="2:20" x14ac:dyDescent="0.3">
      <c r="B1843" s="74">
        <f t="shared" ca="1" si="406"/>
      </c>
      <c r="C1843" s="78">
        <f>Кабельный_журнал!P1809</f>
      </c>
      <c r="D1843" s="74">
        <f t="shared" ca="1" si="407"/>
      </c>
      <c r="E1843" s="80" t="s">
        <v>279</v>
      </c>
      <c r="F1843" s="74">
        <f t="shared" ca="1" si="403"/>
      </c>
      <c r="G1843" s="74">
        <f t="shared" si="404"/>
      </c>
      <c r="H1843" s="80" t="s">
        <v>272</v>
      </c>
      <c r="I1843" s="74">
        <f t="shared" si="405"/>
      </c>
      <c r="J1843" s="74">
        <f t="shared" si="408"/>
      </c>
      <c r="K1843" s="80" t="s">
        <v>280</v>
      </c>
      <c r="L1843" s="74">
        <f t="shared" si="409"/>
      </c>
      <c r="M1843" s="74">
        <f t="shared" ca="1" si="410"/>
      </c>
      <c r="N1843" s="74">
        <f ca="1">VLOOKUP(B1843,$C$7:$T1841,13,FALSE)</f>
      </c>
      <c r="O1843" s="74">
        <f t="shared" ca="1" si="411"/>
      </c>
      <c r="P1843" s="74">
        <f t="shared" ca="1" si="412"/>
      </c>
      <c r="Q1843" s="74">
        <f t="shared" ca="1" si="413"/>
      </c>
      <c r="R1843" s="74">
        <f t="shared" si="414"/>
      </c>
      <c r="S1843" s="74">
        <f t="shared" ca="1" si="415"/>
      </c>
      <c r="T1843" s="74">
        <f t="shared" si="416"/>
      </c>
    </row>
    <row r="1844" spans="2:20" x14ac:dyDescent="0.3">
      <c r="B1844" s="74">
        <f t="shared" ca="1" si="406"/>
      </c>
      <c r="C1844" s="78">
        <f>Кабельный_журнал!P1810</f>
      </c>
      <c r="D1844" s="74">
        <f t="shared" ca="1" si="407"/>
      </c>
      <c r="E1844" s="80" t="s">
        <v>279</v>
      </c>
      <c r="F1844" s="74">
        <f t="shared" ca="1" si="403"/>
      </c>
      <c r="G1844" s="74">
        <f t="shared" si="404"/>
      </c>
      <c r="H1844" s="80" t="s">
        <v>272</v>
      </c>
      <c r="I1844" s="74">
        <f t="shared" si="405"/>
      </c>
      <c r="J1844" s="74">
        <f t="shared" si="408"/>
      </c>
      <c r="K1844" s="80" t="s">
        <v>280</v>
      </c>
      <c r="L1844" s="74">
        <f t="shared" si="409"/>
      </c>
      <c r="M1844" s="74">
        <f t="shared" ca="1" si="410"/>
      </c>
      <c r="N1844" s="74">
        <f ca="1">VLOOKUP(B1844,$C$7:$T1842,13,FALSE)</f>
      </c>
      <c r="O1844" s="74">
        <f t="shared" ca="1" si="411"/>
      </c>
      <c r="P1844" s="74">
        <f t="shared" ca="1" si="412"/>
      </c>
      <c r="Q1844" s="74">
        <f t="shared" ca="1" si="413"/>
      </c>
      <c r="R1844" s="74">
        <f t="shared" si="414"/>
      </c>
      <c r="S1844" s="74">
        <f t="shared" ca="1" si="415"/>
      </c>
      <c r="T1844" s="74">
        <f t="shared" si="416"/>
      </c>
    </row>
    <row r="1845" spans="2:20" x14ac:dyDescent="0.3">
      <c r="B1845" s="74">
        <f t="shared" ca="1" si="406"/>
      </c>
      <c r="C1845" s="78">
        <f>Кабельный_журнал!P1811</f>
      </c>
      <c r="D1845" s="74">
        <f t="shared" ca="1" si="407"/>
      </c>
      <c r="E1845" s="80" t="s">
        <v>279</v>
      </c>
      <c r="F1845" s="74">
        <f t="shared" ca="1" si="403"/>
      </c>
      <c r="G1845" s="74">
        <f t="shared" si="404"/>
      </c>
      <c r="H1845" s="80" t="s">
        <v>272</v>
      </c>
      <c r="I1845" s="74">
        <f t="shared" si="405"/>
      </c>
      <c r="J1845" s="74">
        <f t="shared" si="408"/>
      </c>
      <c r="K1845" s="80" t="s">
        <v>280</v>
      </c>
      <c r="L1845" s="74">
        <f t="shared" si="409"/>
      </c>
      <c r="M1845" s="74">
        <f t="shared" ca="1" si="410"/>
      </c>
      <c r="N1845" s="74">
        <f ca="1">VLOOKUP(B1845,$C$7:$T1843,13,FALSE)</f>
      </c>
      <c r="O1845" s="74">
        <f t="shared" ca="1" si="411"/>
      </c>
      <c r="P1845" s="74">
        <f t="shared" ca="1" si="412"/>
      </c>
      <c r="Q1845" s="74">
        <f t="shared" ca="1" si="413"/>
      </c>
      <c r="R1845" s="74">
        <f t="shared" si="414"/>
      </c>
      <c r="S1845" s="74">
        <f t="shared" ca="1" si="415"/>
      </c>
      <c r="T1845" s="74">
        <f t="shared" si="416"/>
      </c>
    </row>
    <row r="1846" spans="2:20" x14ac:dyDescent="0.3">
      <c r="B1846" s="74">
        <f t="shared" ca="1" si="406"/>
      </c>
      <c r="C1846" s="78">
        <f>Кабельный_журнал!P1812</f>
      </c>
      <c r="D1846" s="74">
        <f t="shared" ca="1" si="407"/>
      </c>
      <c r="E1846" s="80" t="s">
        <v>279</v>
      </c>
      <c r="F1846" s="74">
        <f t="shared" ca="1" si="403"/>
      </c>
      <c r="G1846" s="74">
        <f t="shared" si="404"/>
      </c>
      <c r="H1846" s="80" t="s">
        <v>272</v>
      </c>
      <c r="I1846" s="74">
        <f t="shared" si="405"/>
      </c>
      <c r="J1846" s="74">
        <f t="shared" si="408"/>
      </c>
      <c r="K1846" s="80" t="s">
        <v>280</v>
      </c>
      <c r="L1846" s="74">
        <f t="shared" si="409"/>
      </c>
      <c r="M1846" s="74">
        <f t="shared" ca="1" si="410"/>
      </c>
      <c r="N1846" s="74">
        <f ca="1">VLOOKUP(B1846,$C$7:$T1844,13,FALSE)</f>
      </c>
      <c r="O1846" s="74">
        <f t="shared" ca="1" si="411"/>
      </c>
      <c r="P1846" s="74">
        <f t="shared" ca="1" si="412"/>
      </c>
      <c r="Q1846" s="74">
        <f t="shared" ca="1" si="413"/>
      </c>
      <c r="R1846" s="74">
        <f t="shared" si="414"/>
      </c>
      <c r="S1846" s="74">
        <f t="shared" ca="1" si="415"/>
      </c>
      <c r="T1846" s="74">
        <f t="shared" si="416"/>
      </c>
    </row>
    <row r="1847" spans="2:20" x14ac:dyDescent="0.3">
      <c r="B1847" s="74">
        <f t="shared" ca="1" si="406"/>
      </c>
      <c r="C1847" s="78">
        <f>Кабельный_журнал!P1813</f>
      </c>
      <c r="D1847" s="74">
        <f t="shared" ca="1" si="407"/>
      </c>
      <c r="E1847" s="80" t="s">
        <v>279</v>
      </c>
      <c r="F1847" s="74">
        <f t="shared" ca="1" si="403"/>
      </c>
      <c r="G1847" s="74">
        <f t="shared" si="404"/>
      </c>
      <c r="H1847" s="80" t="s">
        <v>272</v>
      </c>
      <c r="I1847" s="74">
        <f t="shared" si="405"/>
      </c>
      <c r="J1847" s="74">
        <f t="shared" si="408"/>
      </c>
      <c r="K1847" s="80" t="s">
        <v>280</v>
      </c>
      <c r="L1847" s="74">
        <f t="shared" si="409"/>
      </c>
      <c r="M1847" s="74">
        <f t="shared" ca="1" si="410"/>
      </c>
      <c r="N1847" s="74">
        <f ca="1">VLOOKUP(B1847,$C$7:$T1845,13,FALSE)</f>
      </c>
      <c r="O1847" s="74">
        <f t="shared" ca="1" si="411"/>
      </c>
      <c r="P1847" s="74">
        <f t="shared" ca="1" si="412"/>
      </c>
      <c r="Q1847" s="74">
        <f t="shared" ca="1" si="413"/>
      </c>
      <c r="R1847" s="74">
        <f t="shared" si="414"/>
      </c>
      <c r="S1847" s="74">
        <f t="shared" ca="1" si="415"/>
      </c>
      <c r="T1847" s="74">
        <f t="shared" si="416"/>
      </c>
    </row>
    <row r="1848" spans="2:20" x14ac:dyDescent="0.3">
      <c r="B1848" s="74">
        <f t="shared" ca="1" si="406"/>
      </c>
      <c r="C1848" s="78">
        <f>Кабельный_журнал!P1814</f>
      </c>
      <c r="D1848" s="74">
        <f t="shared" ca="1" si="407"/>
      </c>
      <c r="E1848" s="80" t="s">
        <v>279</v>
      </c>
      <c r="F1848" s="74">
        <f t="shared" ca="1" si="403"/>
      </c>
      <c r="G1848" s="74">
        <f t="shared" si="404"/>
      </c>
      <c r="H1848" s="80" t="s">
        <v>272</v>
      </c>
      <c r="I1848" s="74">
        <f t="shared" si="405"/>
      </c>
      <c r="J1848" s="74">
        <f t="shared" si="408"/>
      </c>
      <c r="K1848" s="80" t="s">
        <v>280</v>
      </c>
      <c r="L1848" s="74">
        <f t="shared" si="409"/>
      </c>
      <c r="M1848" s="74">
        <f t="shared" ca="1" si="410"/>
      </c>
      <c r="N1848" s="74">
        <f ca="1">VLOOKUP(B1848,$C$7:$T1846,13,FALSE)</f>
      </c>
      <c r="O1848" s="74">
        <f t="shared" ca="1" si="411"/>
      </c>
      <c r="P1848" s="74">
        <f t="shared" ca="1" si="412"/>
      </c>
      <c r="Q1848" s="74">
        <f t="shared" ca="1" si="413"/>
      </c>
      <c r="R1848" s="74">
        <f t="shared" si="414"/>
      </c>
      <c r="S1848" s="74">
        <f t="shared" ca="1" si="415"/>
      </c>
      <c r="T1848" s="74">
        <f t="shared" si="416"/>
      </c>
    </row>
    <row r="1849" spans="2:20" x14ac:dyDescent="0.3">
      <c r="B1849" s="74">
        <f t="shared" ca="1" si="406"/>
      </c>
      <c r="C1849" s="78">
        <f>Кабельный_журнал!P1815</f>
      </c>
      <c r="D1849" s="74">
        <f t="shared" ca="1" si="407"/>
      </c>
      <c r="E1849" s="80" t="s">
        <v>279</v>
      </c>
      <c r="F1849" s="74">
        <f t="shared" ca="1" si="403"/>
      </c>
      <c r="G1849" s="74">
        <f t="shared" si="404"/>
      </c>
      <c r="H1849" s="80" t="s">
        <v>272</v>
      </c>
      <c r="I1849" s="74">
        <f t="shared" si="405"/>
      </c>
      <c r="J1849" s="74">
        <f t="shared" si="408"/>
      </c>
      <c r="K1849" s="80" t="s">
        <v>280</v>
      </c>
      <c r="L1849" s="74">
        <f t="shared" si="409"/>
      </c>
      <c r="M1849" s="74">
        <f t="shared" ca="1" si="410"/>
      </c>
      <c r="N1849" s="74">
        <f ca="1">VLOOKUP(B1849,$C$7:$T1847,13,FALSE)</f>
      </c>
      <c r="O1849" s="74">
        <f t="shared" ca="1" si="411"/>
      </c>
      <c r="P1849" s="74">
        <f t="shared" ca="1" si="412"/>
      </c>
      <c r="Q1849" s="74">
        <f t="shared" ca="1" si="413"/>
      </c>
      <c r="R1849" s="74">
        <f t="shared" si="414"/>
      </c>
      <c r="S1849" s="74">
        <f t="shared" ca="1" si="415"/>
      </c>
      <c r="T1849" s="74">
        <f t="shared" si="416"/>
      </c>
    </row>
    <row r="1850" spans="2:20" x14ac:dyDescent="0.3">
      <c r="B1850" s="74">
        <f t="shared" ca="1" si="406"/>
      </c>
      <c r="C1850" s="78">
        <f>Кабельный_журнал!P1816</f>
      </c>
      <c r="D1850" s="74">
        <f t="shared" ca="1" si="407"/>
      </c>
      <c r="E1850" s="80" t="s">
        <v>279</v>
      </c>
      <c r="F1850" s="74">
        <f t="shared" ca="1" si="403"/>
      </c>
      <c r="G1850" s="74">
        <f t="shared" si="404"/>
      </c>
      <c r="H1850" s="80" t="s">
        <v>272</v>
      </c>
      <c r="I1850" s="74">
        <f t="shared" si="405"/>
      </c>
      <c r="J1850" s="74">
        <f t="shared" si="408"/>
      </c>
      <c r="K1850" s="80" t="s">
        <v>280</v>
      </c>
      <c r="L1850" s="74">
        <f t="shared" si="409"/>
      </c>
      <c r="M1850" s="74">
        <f t="shared" ca="1" si="410"/>
      </c>
      <c r="N1850" s="74">
        <f ca="1">VLOOKUP(B1850,$C$7:$T1848,13,FALSE)</f>
      </c>
      <c r="O1850" s="74">
        <f t="shared" ca="1" si="411"/>
      </c>
      <c r="P1850" s="74">
        <f t="shared" ca="1" si="412"/>
      </c>
      <c r="Q1850" s="74">
        <f t="shared" ca="1" si="413"/>
      </c>
      <c r="R1850" s="74">
        <f t="shared" si="414"/>
      </c>
      <c r="S1850" s="74">
        <f t="shared" ca="1" si="415"/>
      </c>
      <c r="T1850" s="74">
        <f t="shared" si="416"/>
      </c>
    </row>
    <row r="1851" spans="2:20" x14ac:dyDescent="0.3">
      <c r="B1851" s="74">
        <f t="shared" ca="1" si="406"/>
      </c>
      <c r="C1851" s="78">
        <f>Кабельный_журнал!P1817</f>
      </c>
      <c r="D1851" s="74">
        <f t="shared" ca="1" si="407"/>
      </c>
      <c r="E1851" s="80" t="s">
        <v>279</v>
      </c>
      <c r="F1851" s="74">
        <f t="shared" ca="1" si="403"/>
      </c>
      <c r="G1851" s="74">
        <f t="shared" si="404"/>
      </c>
      <c r="H1851" s="80" t="s">
        <v>272</v>
      </c>
      <c r="I1851" s="74">
        <f t="shared" si="405"/>
      </c>
      <c r="J1851" s="74">
        <f t="shared" si="408"/>
      </c>
      <c r="K1851" s="80" t="s">
        <v>280</v>
      </c>
      <c r="L1851" s="74">
        <f t="shared" si="409"/>
      </c>
      <c r="M1851" s="74">
        <f t="shared" ca="1" si="410"/>
      </c>
      <c r="N1851" s="74">
        <f ca="1">VLOOKUP(B1851,$C$7:$T1849,13,FALSE)</f>
      </c>
      <c r="O1851" s="74">
        <f t="shared" ca="1" si="411"/>
      </c>
      <c r="P1851" s="74">
        <f t="shared" ca="1" si="412"/>
      </c>
      <c r="Q1851" s="74">
        <f t="shared" ca="1" si="413"/>
      </c>
      <c r="R1851" s="74">
        <f t="shared" si="414"/>
      </c>
      <c r="S1851" s="74">
        <f t="shared" ca="1" si="415"/>
      </c>
      <c r="T1851" s="74">
        <f t="shared" si="416"/>
      </c>
    </row>
    <row r="1852" spans="2:20" x14ac:dyDescent="0.3">
      <c r="B1852" s="74">
        <f t="shared" ca="1" si="406"/>
      </c>
      <c r="C1852" s="78">
        <f>Кабельный_журнал!P1818</f>
      </c>
      <c r="D1852" s="74">
        <f t="shared" ca="1" si="407"/>
      </c>
      <c r="E1852" s="80" t="s">
        <v>279</v>
      </c>
      <c r="F1852" s="74">
        <f t="shared" ca="1" si="403"/>
      </c>
      <c r="G1852" s="74">
        <f t="shared" si="404"/>
      </c>
      <c r="H1852" s="80" t="s">
        <v>272</v>
      </c>
      <c r="I1852" s="74">
        <f t="shared" si="405"/>
      </c>
      <c r="J1852" s="74">
        <f t="shared" si="408"/>
      </c>
      <c r="K1852" s="80" t="s">
        <v>280</v>
      </c>
      <c r="L1852" s="74">
        <f t="shared" si="409"/>
      </c>
      <c r="M1852" s="74">
        <f t="shared" ca="1" si="410"/>
      </c>
      <c r="N1852" s="74">
        <f ca="1">VLOOKUP(B1852,$C$7:$T1850,13,FALSE)</f>
      </c>
      <c r="O1852" s="74">
        <f t="shared" ca="1" si="411"/>
      </c>
      <c r="P1852" s="74">
        <f t="shared" ca="1" si="412"/>
      </c>
      <c r="Q1852" s="74">
        <f t="shared" ca="1" si="413"/>
      </c>
      <c r="R1852" s="74">
        <f t="shared" si="414"/>
      </c>
      <c r="S1852" s="74">
        <f t="shared" ca="1" si="415"/>
      </c>
      <c r="T1852" s="74">
        <f t="shared" si="416"/>
      </c>
    </row>
    <row r="1853" spans="2:20" x14ac:dyDescent="0.3">
      <c r="B1853" s="74">
        <f t="shared" ca="1" si="406"/>
      </c>
      <c r="C1853" s="78">
        <f>Кабельный_журнал!P1819</f>
      </c>
      <c r="D1853" s="74">
        <f t="shared" ca="1" si="407"/>
      </c>
      <c r="E1853" s="80" t="s">
        <v>279</v>
      </c>
      <c r="F1853" s="74">
        <f t="shared" ca="1" si="403"/>
      </c>
      <c r="G1853" s="74">
        <f t="shared" si="404"/>
      </c>
      <c r="H1853" s="80" t="s">
        <v>272</v>
      </c>
      <c r="I1853" s="74">
        <f t="shared" si="405"/>
      </c>
      <c r="J1853" s="74">
        <f t="shared" si="408"/>
      </c>
      <c r="K1853" s="80" t="s">
        <v>280</v>
      </c>
      <c r="L1853" s="74">
        <f t="shared" si="409"/>
      </c>
      <c r="M1853" s="74">
        <f t="shared" ca="1" si="410"/>
      </c>
      <c r="N1853" s="74">
        <f ca="1">VLOOKUP(B1853,$C$7:$T1851,13,FALSE)</f>
      </c>
      <c r="O1853" s="74">
        <f t="shared" ca="1" si="411"/>
      </c>
      <c r="P1853" s="74">
        <f t="shared" ca="1" si="412"/>
      </c>
      <c r="Q1853" s="74">
        <f t="shared" ca="1" si="413"/>
      </c>
      <c r="R1853" s="74">
        <f t="shared" si="414"/>
      </c>
      <c r="S1853" s="74">
        <f t="shared" ca="1" si="415"/>
      </c>
      <c r="T1853" s="74">
        <f t="shared" si="416"/>
      </c>
    </row>
    <row r="1854" spans="2:20" x14ac:dyDescent="0.3">
      <c r="B1854" s="74">
        <f t="shared" ca="1" si="406"/>
      </c>
      <c r="C1854" s="78">
        <f>Кабельный_журнал!P1820</f>
      </c>
      <c r="D1854" s="74">
        <f t="shared" ca="1" si="407"/>
      </c>
      <c r="E1854" s="80" t="s">
        <v>279</v>
      </c>
      <c r="F1854" s="74">
        <f t="shared" ca="1" si="403"/>
      </c>
      <c r="G1854" s="74">
        <f t="shared" si="404"/>
      </c>
      <c r="H1854" s="80" t="s">
        <v>272</v>
      </c>
      <c r="I1854" s="74">
        <f t="shared" si="405"/>
      </c>
      <c r="J1854" s="74">
        <f t="shared" si="408"/>
      </c>
      <c r="K1854" s="80" t="s">
        <v>280</v>
      </c>
      <c r="L1854" s="74">
        <f t="shared" si="409"/>
      </c>
      <c r="M1854" s="74">
        <f t="shared" ca="1" si="410"/>
      </c>
      <c r="N1854" s="74">
        <f ca="1">VLOOKUP(B1854,$C$7:$T1852,13,FALSE)</f>
      </c>
      <c r="O1854" s="74">
        <f t="shared" ca="1" si="411"/>
      </c>
      <c r="P1854" s="74">
        <f t="shared" ca="1" si="412"/>
      </c>
      <c r="Q1854" s="74">
        <f t="shared" ca="1" si="413"/>
      </c>
      <c r="R1854" s="74">
        <f t="shared" si="414"/>
      </c>
      <c r="S1854" s="74">
        <f t="shared" ca="1" si="415"/>
      </c>
      <c r="T1854" s="74">
        <f t="shared" si="416"/>
      </c>
    </row>
    <row r="1855" spans="2:20" x14ac:dyDescent="0.3">
      <c r="B1855" s="74">
        <f t="shared" ca="1" si="406"/>
      </c>
      <c r="C1855" s="78">
        <f>Кабельный_журнал!P1821</f>
      </c>
      <c r="D1855" s="74">
        <f t="shared" ca="1" si="407"/>
      </c>
      <c r="E1855" s="80" t="s">
        <v>279</v>
      </c>
      <c r="F1855" s="74">
        <f t="shared" ca="1" si="403"/>
      </c>
      <c r="G1855" s="74">
        <f t="shared" si="404"/>
      </c>
      <c r="H1855" s="80" t="s">
        <v>272</v>
      </c>
      <c r="I1855" s="74">
        <f t="shared" si="405"/>
      </c>
      <c r="J1855" s="74">
        <f t="shared" si="408"/>
      </c>
      <c r="K1855" s="80" t="s">
        <v>280</v>
      </c>
      <c r="L1855" s="74">
        <f t="shared" si="409"/>
      </c>
      <c r="M1855" s="74">
        <f t="shared" ca="1" si="410"/>
      </c>
      <c r="N1855" s="74">
        <f ca="1">VLOOKUP(B1855,$C$7:$T1853,13,FALSE)</f>
      </c>
      <c r="O1855" s="74">
        <f t="shared" ca="1" si="411"/>
      </c>
      <c r="P1855" s="74">
        <f t="shared" ca="1" si="412"/>
      </c>
      <c r="Q1855" s="74">
        <f t="shared" ca="1" si="413"/>
      </c>
      <c r="R1855" s="74">
        <f t="shared" si="414"/>
      </c>
      <c r="S1855" s="74">
        <f t="shared" ca="1" si="415"/>
      </c>
      <c r="T1855" s="74">
        <f t="shared" si="416"/>
      </c>
    </row>
    <row r="1856" spans="2:20" x14ac:dyDescent="0.3">
      <c r="B1856" s="74">
        <f t="shared" ca="1" si="406"/>
      </c>
      <c r="C1856" s="78">
        <f>Кабельный_журнал!P1822</f>
      </c>
      <c r="D1856" s="74">
        <f t="shared" ca="1" si="407"/>
      </c>
      <c r="E1856" s="80" t="s">
        <v>279</v>
      </c>
      <c r="F1856" s="74">
        <f t="shared" ca="1" si="403"/>
      </c>
      <c r="G1856" s="74">
        <f t="shared" si="404"/>
      </c>
      <c r="H1856" s="80" t="s">
        <v>272</v>
      </c>
      <c r="I1856" s="74">
        <f t="shared" si="405"/>
      </c>
      <c r="J1856" s="74">
        <f t="shared" si="408"/>
      </c>
      <c r="K1856" s="80" t="s">
        <v>280</v>
      </c>
      <c r="L1856" s="74">
        <f t="shared" si="409"/>
      </c>
      <c r="M1856" s="74">
        <f t="shared" ca="1" si="410"/>
      </c>
      <c r="N1856" s="74">
        <f ca="1">VLOOKUP(B1856,$C$7:$T1854,13,FALSE)</f>
      </c>
      <c r="O1856" s="74">
        <f t="shared" ca="1" si="411"/>
      </c>
      <c r="P1856" s="74">
        <f t="shared" ca="1" si="412"/>
      </c>
      <c r="Q1856" s="74">
        <f t="shared" ca="1" si="413"/>
      </c>
      <c r="R1856" s="74">
        <f t="shared" si="414"/>
      </c>
      <c r="S1856" s="74">
        <f t="shared" ca="1" si="415"/>
      </c>
      <c r="T1856" s="74">
        <f t="shared" si="416"/>
      </c>
    </row>
    <row r="1857" spans="2:20" x14ac:dyDescent="0.3">
      <c r="B1857" s="74">
        <f t="shared" ca="1" si="406"/>
      </c>
      <c r="C1857" s="78">
        <f>Кабельный_журнал!P1823</f>
      </c>
      <c r="D1857" s="74">
        <f t="shared" ca="1" si="407"/>
      </c>
      <c r="E1857" s="80" t="s">
        <v>279</v>
      </c>
      <c r="F1857" s="74">
        <f t="shared" ca="1" si="403"/>
      </c>
      <c r="G1857" s="74">
        <f t="shared" si="404"/>
      </c>
      <c r="H1857" s="80" t="s">
        <v>272</v>
      </c>
      <c r="I1857" s="74">
        <f t="shared" si="405"/>
      </c>
      <c r="J1857" s="74">
        <f t="shared" si="408"/>
      </c>
      <c r="K1857" s="80" t="s">
        <v>280</v>
      </c>
      <c r="L1857" s="74">
        <f t="shared" si="409"/>
      </c>
      <c r="M1857" s="74">
        <f t="shared" ca="1" si="410"/>
      </c>
      <c r="N1857" s="74">
        <f ca="1">VLOOKUP(B1857,$C$7:$T1855,13,FALSE)</f>
      </c>
      <c r="O1857" s="74">
        <f t="shared" ca="1" si="411"/>
      </c>
      <c r="P1857" s="74">
        <f t="shared" ca="1" si="412"/>
      </c>
      <c r="Q1857" s="74">
        <f t="shared" ca="1" si="413"/>
      </c>
      <c r="R1857" s="74">
        <f t="shared" si="414"/>
      </c>
      <c r="S1857" s="74">
        <f t="shared" ca="1" si="415"/>
      </c>
      <c r="T1857" s="74">
        <f t="shared" si="416"/>
      </c>
    </row>
    <row r="1858" spans="2:20" x14ac:dyDescent="0.3">
      <c r="B1858" s="74">
        <f t="shared" ca="1" si="406"/>
      </c>
      <c r="C1858" s="78">
        <f>Кабельный_журнал!P1824</f>
      </c>
      <c r="D1858" s="74">
        <f t="shared" ca="1" si="407"/>
      </c>
      <c r="E1858" s="80" t="s">
        <v>279</v>
      </c>
      <c r="F1858" s="74">
        <f t="shared" ca="1" si="403"/>
      </c>
      <c r="G1858" s="74">
        <f t="shared" si="404"/>
      </c>
      <c r="H1858" s="80" t="s">
        <v>272</v>
      </c>
      <c r="I1858" s="74">
        <f t="shared" si="405"/>
      </c>
      <c r="J1858" s="74">
        <f t="shared" si="408"/>
      </c>
      <c r="K1858" s="80" t="s">
        <v>280</v>
      </c>
      <c r="L1858" s="74">
        <f t="shared" si="409"/>
      </c>
      <c r="M1858" s="74">
        <f t="shared" ca="1" si="410"/>
      </c>
      <c r="N1858" s="74">
        <f ca="1">VLOOKUP(B1858,$C$7:$T1856,13,FALSE)</f>
      </c>
      <c r="O1858" s="74">
        <f t="shared" ca="1" si="411"/>
      </c>
      <c r="P1858" s="74">
        <f t="shared" ca="1" si="412"/>
      </c>
      <c r="Q1858" s="74">
        <f t="shared" ca="1" si="413"/>
      </c>
      <c r="R1858" s="74">
        <f t="shared" si="414"/>
      </c>
      <c r="S1858" s="74">
        <f t="shared" ca="1" si="415"/>
      </c>
      <c r="T1858" s="74">
        <f t="shared" si="416"/>
      </c>
    </row>
    <row r="1859" spans="2:20" x14ac:dyDescent="0.3">
      <c r="B1859" s="74">
        <f t="shared" ca="1" si="406"/>
      </c>
      <c r="C1859" s="78">
        <f>Кабельный_журнал!P1825</f>
      </c>
      <c r="D1859" s="74">
        <f t="shared" ca="1" si="407"/>
      </c>
      <c r="E1859" s="80" t="s">
        <v>279</v>
      </c>
      <c r="F1859" s="74">
        <f t="shared" ca="1" si="403"/>
      </c>
      <c r="G1859" s="74">
        <f t="shared" si="404"/>
      </c>
      <c r="H1859" s="80" t="s">
        <v>272</v>
      </c>
      <c r="I1859" s="74">
        <f t="shared" si="405"/>
      </c>
      <c r="J1859" s="74">
        <f t="shared" si="408"/>
      </c>
      <c r="K1859" s="80" t="s">
        <v>280</v>
      </c>
      <c r="L1859" s="74">
        <f t="shared" si="409"/>
      </c>
      <c r="M1859" s="74">
        <f t="shared" ca="1" si="410"/>
      </c>
      <c r="N1859" s="74">
        <f ca="1">VLOOKUP(B1859,$C$7:$T1857,13,FALSE)</f>
      </c>
      <c r="O1859" s="74">
        <f t="shared" ca="1" si="411"/>
      </c>
      <c r="P1859" s="74">
        <f t="shared" ca="1" si="412"/>
      </c>
      <c r="Q1859" s="74">
        <f t="shared" ca="1" si="413"/>
      </c>
      <c r="R1859" s="74">
        <f t="shared" si="414"/>
      </c>
      <c r="S1859" s="74">
        <f t="shared" ca="1" si="415"/>
      </c>
      <c r="T1859" s="74">
        <f t="shared" si="416"/>
      </c>
    </row>
    <row r="1860" spans="2:20" x14ac:dyDescent="0.3">
      <c r="B1860" s="74">
        <f t="shared" ca="1" si="406"/>
      </c>
      <c r="C1860" s="78">
        <f>Кабельный_журнал!P1826</f>
      </c>
      <c r="D1860" s="74">
        <f t="shared" ca="1" si="407"/>
      </c>
      <c r="E1860" s="80" t="s">
        <v>279</v>
      </c>
      <c r="F1860" s="74">
        <f t="shared" ca="1" si="403"/>
      </c>
      <c r="G1860" s="74">
        <f t="shared" si="404"/>
      </c>
      <c r="H1860" s="80" t="s">
        <v>272</v>
      </c>
      <c r="I1860" s="74">
        <f t="shared" si="405"/>
      </c>
      <c r="J1860" s="74">
        <f t="shared" si="408"/>
      </c>
      <c r="K1860" s="80" t="s">
        <v>280</v>
      </c>
      <c r="L1860" s="74">
        <f t="shared" si="409"/>
      </c>
      <c r="M1860" s="74">
        <f t="shared" ca="1" si="410"/>
      </c>
      <c r="N1860" s="74">
        <f ca="1">VLOOKUP(B1860,$C$7:$T1858,13,FALSE)</f>
      </c>
      <c r="O1860" s="74">
        <f t="shared" ca="1" si="411"/>
      </c>
      <c r="P1860" s="74">
        <f t="shared" ca="1" si="412"/>
      </c>
      <c r="Q1860" s="74">
        <f t="shared" ca="1" si="413"/>
      </c>
      <c r="R1860" s="74">
        <f t="shared" si="414"/>
      </c>
      <c r="S1860" s="74">
        <f t="shared" ca="1" si="415"/>
      </c>
      <c r="T1860" s="74">
        <f t="shared" si="416"/>
      </c>
    </row>
    <row r="1861" spans="2:20" x14ac:dyDescent="0.3">
      <c r="B1861" s="74">
        <f t="shared" ca="1" si="406"/>
      </c>
      <c r="C1861" s="78">
        <f>Кабельный_журнал!P1827</f>
      </c>
      <c r="D1861" s="74">
        <f t="shared" ca="1" si="407"/>
      </c>
      <c r="E1861" s="80" t="s">
        <v>279</v>
      </c>
      <c r="F1861" s="74">
        <f t="shared" ca="1" si="403"/>
      </c>
      <c r="G1861" s="74">
        <f t="shared" si="404"/>
      </c>
      <c r="H1861" s="80" t="s">
        <v>272</v>
      </c>
      <c r="I1861" s="74">
        <f t="shared" si="405"/>
      </c>
      <c r="J1861" s="74">
        <f t="shared" si="408"/>
      </c>
      <c r="K1861" s="80" t="s">
        <v>280</v>
      </c>
      <c r="L1861" s="74">
        <f t="shared" si="409"/>
      </c>
      <c r="M1861" s="74">
        <f t="shared" ca="1" si="410"/>
      </c>
      <c r="N1861" s="74">
        <f ca="1">VLOOKUP(B1861,$C$7:$T1859,13,FALSE)</f>
      </c>
      <c r="O1861" s="74">
        <f t="shared" ca="1" si="411"/>
      </c>
      <c r="P1861" s="74">
        <f t="shared" ca="1" si="412"/>
      </c>
      <c r="Q1861" s="74">
        <f t="shared" ca="1" si="413"/>
      </c>
      <c r="R1861" s="74">
        <f t="shared" si="414"/>
      </c>
      <c r="S1861" s="74">
        <f t="shared" ca="1" si="415"/>
      </c>
      <c r="T1861" s="74">
        <f t="shared" si="416"/>
      </c>
    </row>
    <row r="1862" spans="2:20" x14ac:dyDescent="0.3">
      <c r="B1862" s="74">
        <f t="shared" ca="1" si="406"/>
      </c>
      <c r="C1862" s="78">
        <f>Кабельный_журнал!P1828</f>
      </c>
      <c r="D1862" s="74">
        <f t="shared" ca="1" si="407"/>
      </c>
      <c r="E1862" s="80" t="s">
        <v>279</v>
      </c>
      <c r="F1862" s="74">
        <f t="shared" ca="1" si="403"/>
      </c>
      <c r="G1862" s="74">
        <f t="shared" si="404"/>
      </c>
      <c r="H1862" s="80" t="s">
        <v>272</v>
      </c>
      <c r="I1862" s="74">
        <f t="shared" si="405"/>
      </c>
      <c r="J1862" s="74">
        <f t="shared" si="408"/>
      </c>
      <c r="K1862" s="80" t="s">
        <v>280</v>
      </c>
      <c r="L1862" s="74">
        <f t="shared" si="409"/>
      </c>
      <c r="M1862" s="74">
        <f t="shared" ca="1" si="410"/>
      </c>
      <c r="N1862" s="74">
        <f ca="1">VLOOKUP(B1862,$C$7:$T1860,13,FALSE)</f>
      </c>
      <c r="O1862" s="74">
        <f t="shared" ca="1" si="411"/>
      </c>
      <c r="P1862" s="74">
        <f t="shared" ca="1" si="412"/>
      </c>
      <c r="Q1862" s="74">
        <f t="shared" ca="1" si="413"/>
      </c>
      <c r="R1862" s="74">
        <f t="shared" si="414"/>
      </c>
      <c r="S1862" s="74">
        <f t="shared" ca="1" si="415"/>
      </c>
      <c r="T1862" s="74">
        <f t="shared" si="416"/>
      </c>
    </row>
    <row r="1863" spans="2:20" x14ac:dyDescent="0.3">
      <c r="B1863" s="74">
        <f t="shared" ca="1" si="406"/>
      </c>
      <c r="C1863" s="78">
        <f>Кабельный_журнал!P1829</f>
      </c>
      <c r="D1863" s="74">
        <f t="shared" ca="1" si="407"/>
      </c>
      <c r="E1863" s="80" t="s">
        <v>279</v>
      </c>
      <c r="F1863" s="74">
        <f t="shared" ca="1" si="403"/>
      </c>
      <c r="G1863" s="74">
        <f t="shared" si="404"/>
      </c>
      <c r="H1863" s="80" t="s">
        <v>272</v>
      </c>
      <c r="I1863" s="74">
        <f t="shared" si="405"/>
      </c>
      <c r="J1863" s="74">
        <f t="shared" si="408"/>
      </c>
      <c r="K1863" s="80" t="s">
        <v>280</v>
      </c>
      <c r="L1863" s="74">
        <f t="shared" si="409"/>
      </c>
      <c r="M1863" s="74">
        <f t="shared" ca="1" si="410"/>
      </c>
      <c r="N1863" s="74">
        <f ca="1">VLOOKUP(B1863,$C$7:$T1861,13,FALSE)</f>
      </c>
      <c r="O1863" s="74">
        <f t="shared" ca="1" si="411"/>
      </c>
      <c r="P1863" s="74">
        <f t="shared" ca="1" si="412"/>
      </c>
      <c r="Q1863" s="74">
        <f t="shared" ca="1" si="413"/>
      </c>
      <c r="R1863" s="74">
        <f t="shared" si="414"/>
      </c>
      <c r="S1863" s="74">
        <f t="shared" ca="1" si="415"/>
      </c>
      <c r="T1863" s="74">
        <f t="shared" si="416"/>
      </c>
    </row>
    <row r="1864" spans="2:20" x14ac:dyDescent="0.3">
      <c r="B1864" s="74">
        <f t="shared" ca="1" si="406"/>
      </c>
      <c r="C1864" s="78">
        <f>Кабельный_журнал!P1830</f>
      </c>
      <c r="D1864" s="74">
        <f t="shared" ca="1" si="407"/>
      </c>
      <c r="E1864" s="80" t="s">
        <v>279</v>
      </c>
      <c r="F1864" s="74">
        <f t="shared" ca="1" si="403"/>
      </c>
      <c r="G1864" s="74">
        <f t="shared" si="404"/>
      </c>
      <c r="H1864" s="80" t="s">
        <v>272</v>
      </c>
      <c r="I1864" s="74">
        <f t="shared" si="405"/>
      </c>
      <c r="J1864" s="74">
        <f t="shared" si="408"/>
      </c>
      <c r="K1864" s="80" t="s">
        <v>280</v>
      </c>
      <c r="L1864" s="74">
        <f t="shared" si="409"/>
      </c>
      <c r="M1864" s="74">
        <f t="shared" ca="1" si="410"/>
      </c>
      <c r="N1864" s="74">
        <f ca="1">VLOOKUP(B1864,$C$7:$T1862,13,FALSE)</f>
      </c>
      <c r="O1864" s="74">
        <f t="shared" ca="1" si="411"/>
      </c>
      <c r="P1864" s="74">
        <f t="shared" ca="1" si="412"/>
      </c>
      <c r="Q1864" s="74">
        <f t="shared" ca="1" si="413"/>
      </c>
      <c r="R1864" s="74">
        <f t="shared" si="414"/>
      </c>
      <c r="S1864" s="74">
        <f t="shared" ca="1" si="415"/>
      </c>
      <c r="T1864" s="74">
        <f t="shared" si="416"/>
      </c>
    </row>
    <row r="1865" spans="2:20" x14ac:dyDescent="0.3">
      <c r="B1865" s="74">
        <f t="shared" ca="1" si="406"/>
      </c>
      <c r="C1865" s="78">
        <f>Кабельный_журнал!P1831</f>
      </c>
      <c r="D1865" s="74">
        <f t="shared" ca="1" si="407"/>
      </c>
      <c r="E1865" s="80" t="s">
        <v>279</v>
      </c>
      <c r="F1865" s="74">
        <f t="shared" ca="1" si="403"/>
      </c>
      <c r="G1865" s="74">
        <f t="shared" si="404"/>
      </c>
      <c r="H1865" s="80" t="s">
        <v>272</v>
      </c>
      <c r="I1865" s="74">
        <f t="shared" si="405"/>
      </c>
      <c r="J1865" s="74">
        <f t="shared" si="408"/>
      </c>
      <c r="K1865" s="80" t="s">
        <v>280</v>
      </c>
      <c r="L1865" s="74">
        <f t="shared" si="409"/>
      </c>
      <c r="M1865" s="74">
        <f t="shared" ca="1" si="410"/>
      </c>
      <c r="N1865" s="74">
        <f ca="1">VLOOKUP(B1865,$C$7:$T1863,13,FALSE)</f>
      </c>
      <c r="O1865" s="74">
        <f t="shared" ca="1" si="411"/>
      </c>
      <c r="P1865" s="74">
        <f t="shared" ca="1" si="412"/>
      </c>
      <c r="Q1865" s="74">
        <f t="shared" ca="1" si="413"/>
      </c>
      <c r="R1865" s="74">
        <f t="shared" si="414"/>
      </c>
      <c r="S1865" s="74">
        <f t="shared" ca="1" si="415"/>
      </c>
      <c r="T1865" s="74">
        <f t="shared" si="416"/>
      </c>
    </row>
    <row r="1866" spans="2:20" x14ac:dyDescent="0.3">
      <c r="B1866" s="74">
        <f t="shared" ca="1" si="406"/>
      </c>
      <c r="C1866" s="78">
        <f>Кабельный_журнал!P1832</f>
      </c>
      <c r="D1866" s="74">
        <f t="shared" ca="1" si="407"/>
      </c>
      <c r="E1866" s="80" t="s">
        <v>279</v>
      </c>
      <c r="F1866" s="74">
        <f t="shared" ca="1" si="403"/>
      </c>
      <c r="G1866" s="74">
        <f t="shared" si="404"/>
      </c>
      <c r="H1866" s="80" t="s">
        <v>272</v>
      </c>
      <c r="I1866" s="74">
        <f t="shared" si="405"/>
      </c>
      <c r="J1866" s="74">
        <f t="shared" si="408"/>
      </c>
      <c r="K1866" s="80" t="s">
        <v>280</v>
      </c>
      <c r="L1866" s="74">
        <f t="shared" si="409"/>
      </c>
      <c r="M1866" s="74">
        <f t="shared" ca="1" si="410"/>
      </c>
      <c r="N1866" s="74">
        <f ca="1">VLOOKUP(B1866,$C$7:$T1864,13,FALSE)</f>
      </c>
      <c r="O1866" s="74">
        <f t="shared" ca="1" si="411"/>
      </c>
      <c r="P1866" s="74">
        <f t="shared" ca="1" si="412"/>
      </c>
      <c r="Q1866" s="74">
        <f t="shared" ca="1" si="413"/>
      </c>
      <c r="R1866" s="74">
        <f t="shared" si="414"/>
      </c>
      <c r="S1866" s="74">
        <f t="shared" ca="1" si="415"/>
      </c>
      <c r="T1866" s="74">
        <f t="shared" si="416"/>
      </c>
    </row>
    <row r="1867" spans="2:20" x14ac:dyDescent="0.3">
      <c r="B1867" s="74">
        <f t="shared" ca="1" si="406"/>
      </c>
      <c r="C1867" s="78">
        <f>Кабельный_журнал!P1833</f>
      </c>
      <c r="D1867" s="74">
        <f t="shared" ca="1" si="407"/>
      </c>
      <c r="E1867" s="80" t="s">
        <v>279</v>
      </c>
      <c r="F1867" s="74">
        <f t="shared" ca="1" si="403"/>
      </c>
      <c r="G1867" s="74">
        <f t="shared" si="404"/>
      </c>
      <c r="H1867" s="80" t="s">
        <v>272</v>
      </c>
      <c r="I1867" s="74">
        <f t="shared" si="405"/>
      </c>
      <c r="J1867" s="74">
        <f t="shared" si="408"/>
      </c>
      <c r="K1867" s="80" t="s">
        <v>280</v>
      </c>
      <c r="L1867" s="74">
        <f t="shared" si="409"/>
      </c>
      <c r="M1867" s="74">
        <f t="shared" ca="1" si="410"/>
      </c>
      <c r="N1867" s="74">
        <f ca="1">VLOOKUP(B1867,$C$7:$T1865,13,FALSE)</f>
      </c>
      <c r="O1867" s="74">
        <f t="shared" ca="1" si="411"/>
      </c>
      <c r="P1867" s="74">
        <f t="shared" ca="1" si="412"/>
      </c>
      <c r="Q1867" s="74">
        <f t="shared" ca="1" si="413"/>
      </c>
      <c r="R1867" s="74">
        <f t="shared" si="414"/>
      </c>
      <c r="S1867" s="74">
        <f t="shared" ca="1" si="415"/>
      </c>
      <c r="T1867" s="74">
        <f t="shared" si="416"/>
      </c>
    </row>
    <row r="1868" spans="2:20" x14ac:dyDescent="0.3">
      <c r="B1868" s="74">
        <f t="shared" ca="1" si="406"/>
      </c>
      <c r="C1868" s="78">
        <f>Кабельный_журнал!P1834</f>
      </c>
      <c r="D1868" s="74">
        <f t="shared" ca="1" si="407"/>
      </c>
      <c r="E1868" s="80" t="s">
        <v>279</v>
      </c>
      <c r="F1868" s="74">
        <f t="shared" ca="1" si="403"/>
      </c>
      <c r="G1868" s="74">
        <f t="shared" si="404"/>
      </c>
      <c r="H1868" s="80" t="s">
        <v>272</v>
      </c>
      <c r="I1868" s="74">
        <f t="shared" si="405"/>
      </c>
      <c r="J1868" s="74">
        <f t="shared" si="408"/>
      </c>
      <c r="K1868" s="80" t="s">
        <v>280</v>
      </c>
      <c r="L1868" s="74">
        <f t="shared" si="409"/>
      </c>
      <c r="M1868" s="74">
        <f t="shared" ca="1" si="410"/>
      </c>
      <c r="N1868" s="74">
        <f ca="1">VLOOKUP(B1868,$C$7:$T1866,13,FALSE)</f>
      </c>
      <c r="O1868" s="74">
        <f t="shared" ca="1" si="411"/>
      </c>
      <c r="P1868" s="74">
        <f t="shared" ca="1" si="412"/>
      </c>
      <c r="Q1868" s="74">
        <f t="shared" ca="1" si="413"/>
      </c>
      <c r="R1868" s="74">
        <f t="shared" si="414"/>
      </c>
      <c r="S1868" s="74">
        <f t="shared" ca="1" si="415"/>
      </c>
      <c r="T1868" s="74">
        <f t="shared" si="416"/>
      </c>
    </row>
    <row r="1869" spans="2:20" x14ac:dyDescent="0.3">
      <c r="B1869" s="74">
        <f t="shared" ca="1" si="406"/>
      </c>
      <c r="C1869" s="78">
        <f>Кабельный_журнал!P1835</f>
      </c>
      <c r="D1869" s="74">
        <f t="shared" ca="1" si="407"/>
      </c>
      <c r="E1869" s="80" t="s">
        <v>279</v>
      </c>
      <c r="F1869" s="74">
        <f t="shared" ca="1" si="403"/>
      </c>
      <c r="G1869" s="74">
        <f t="shared" si="404"/>
      </c>
      <c r="H1869" s="80" t="s">
        <v>272</v>
      </c>
      <c r="I1869" s="74">
        <f t="shared" si="405"/>
      </c>
      <c r="J1869" s="74">
        <f t="shared" si="408"/>
      </c>
      <c r="K1869" s="80" t="s">
        <v>280</v>
      </c>
      <c r="L1869" s="74">
        <f t="shared" si="409"/>
      </c>
      <c r="M1869" s="74">
        <f t="shared" ca="1" si="410"/>
      </c>
      <c r="N1869" s="74">
        <f ca="1">VLOOKUP(B1869,$C$7:$T1867,13,FALSE)</f>
      </c>
      <c r="O1869" s="74">
        <f t="shared" ca="1" si="411"/>
      </c>
      <c r="P1869" s="74">
        <f t="shared" ca="1" si="412"/>
      </c>
      <c r="Q1869" s="74">
        <f t="shared" ca="1" si="413"/>
      </c>
      <c r="R1869" s="74">
        <f t="shared" si="414"/>
      </c>
      <c r="S1869" s="74">
        <f t="shared" ca="1" si="415"/>
      </c>
      <c r="T1869" s="74">
        <f t="shared" si="416"/>
      </c>
    </row>
    <row r="1870" spans="2:20" x14ac:dyDescent="0.3">
      <c r="B1870" s="74">
        <f t="shared" ca="1" si="406"/>
      </c>
      <c r="C1870" s="78">
        <f>Кабельный_журнал!P1836</f>
      </c>
      <c r="D1870" s="74">
        <f t="shared" ca="1" si="407"/>
      </c>
      <c r="E1870" s="80" t="s">
        <v>279</v>
      </c>
      <c r="F1870" s="74">
        <f t="shared" ca="1" si="403"/>
      </c>
      <c r="G1870" s="74">
        <f t="shared" si="404"/>
      </c>
      <c r="H1870" s="80" t="s">
        <v>272</v>
      </c>
      <c r="I1870" s="74">
        <f t="shared" si="405"/>
      </c>
      <c r="J1870" s="74">
        <f t="shared" si="408"/>
      </c>
      <c r="K1870" s="80" t="s">
        <v>280</v>
      </c>
      <c r="L1870" s="74">
        <f t="shared" si="409"/>
      </c>
      <c r="M1870" s="74">
        <f t="shared" ca="1" si="410"/>
      </c>
      <c r="N1870" s="74">
        <f ca="1">VLOOKUP(B1870,$C$7:$T1868,13,FALSE)</f>
      </c>
      <c r="O1870" s="74">
        <f t="shared" ca="1" si="411"/>
      </c>
      <c r="P1870" s="74">
        <f t="shared" ca="1" si="412"/>
      </c>
      <c r="Q1870" s="74">
        <f t="shared" ca="1" si="413"/>
      </c>
      <c r="R1870" s="74">
        <f t="shared" si="414"/>
      </c>
      <c r="S1870" s="74">
        <f t="shared" ca="1" si="415"/>
      </c>
      <c r="T1870" s="74">
        <f t="shared" si="416"/>
      </c>
    </row>
    <row r="1871" spans="2:20" x14ac:dyDescent="0.3">
      <c r="B1871" s="74">
        <f t="shared" ca="1" si="406"/>
      </c>
      <c r="C1871" s="78">
        <f>Кабельный_журнал!P1837</f>
      </c>
      <c r="D1871" s="74">
        <f t="shared" ca="1" si="407"/>
      </c>
      <c r="E1871" s="80" t="s">
        <v>279</v>
      </c>
      <c r="F1871" s="74">
        <f t="shared" ca="1" si="403"/>
      </c>
      <c r="G1871" s="74">
        <f t="shared" si="404"/>
      </c>
      <c r="H1871" s="80" t="s">
        <v>272</v>
      </c>
      <c r="I1871" s="74">
        <f t="shared" si="405"/>
      </c>
      <c r="J1871" s="74">
        <f t="shared" si="408"/>
      </c>
      <c r="K1871" s="80" t="s">
        <v>280</v>
      </c>
      <c r="L1871" s="74">
        <f t="shared" si="409"/>
      </c>
      <c r="M1871" s="74">
        <f t="shared" ca="1" si="410"/>
      </c>
      <c r="N1871" s="74">
        <f ca="1">VLOOKUP(B1871,$C$7:$T1869,13,FALSE)</f>
      </c>
      <c r="O1871" s="74">
        <f t="shared" ca="1" si="411"/>
      </c>
      <c r="P1871" s="74">
        <f t="shared" ca="1" si="412"/>
      </c>
      <c r="Q1871" s="74">
        <f t="shared" ca="1" si="413"/>
      </c>
      <c r="R1871" s="74">
        <f t="shared" si="414"/>
      </c>
      <c r="S1871" s="74">
        <f t="shared" ca="1" si="415"/>
      </c>
      <c r="T1871" s="74">
        <f t="shared" si="416"/>
      </c>
    </row>
    <row r="1872" spans="2:20" x14ac:dyDescent="0.3">
      <c r="B1872" s="74">
        <f t="shared" ca="1" si="406"/>
      </c>
      <c r="C1872" s="78">
        <f>Кабельный_журнал!P1838</f>
      </c>
      <c r="D1872" s="74">
        <f t="shared" ca="1" si="407"/>
      </c>
      <c r="E1872" s="80" t="s">
        <v>279</v>
      </c>
      <c r="F1872" s="74">
        <f t="shared" ca="1" si="403"/>
      </c>
      <c r="G1872" s="74">
        <f t="shared" si="404"/>
      </c>
      <c r="H1872" s="80" t="s">
        <v>272</v>
      </c>
      <c r="I1872" s="74">
        <f t="shared" si="405"/>
      </c>
      <c r="J1872" s="74">
        <f t="shared" si="408"/>
      </c>
      <c r="K1872" s="80" t="s">
        <v>280</v>
      </c>
      <c r="L1872" s="74">
        <f t="shared" si="409"/>
      </c>
      <c r="M1872" s="74">
        <f t="shared" ca="1" si="410"/>
      </c>
      <c r="N1872" s="74">
        <f ca="1">VLOOKUP(B1872,$C$7:$T1870,13,FALSE)</f>
      </c>
      <c r="O1872" s="74">
        <f t="shared" ca="1" si="411"/>
      </c>
      <c r="P1872" s="74">
        <f t="shared" ca="1" si="412"/>
      </c>
      <c r="Q1872" s="74">
        <f t="shared" ca="1" si="413"/>
      </c>
      <c r="R1872" s="74">
        <f t="shared" si="414"/>
      </c>
      <c r="S1872" s="74">
        <f t="shared" ca="1" si="415"/>
      </c>
      <c r="T1872" s="74">
        <f t="shared" si="416"/>
      </c>
    </row>
    <row r="1873" spans="2:20" x14ac:dyDescent="0.3">
      <c r="B1873" s="74">
        <f t="shared" ca="1" si="406"/>
      </c>
      <c r="C1873" s="78">
        <f>Кабельный_журнал!P1839</f>
      </c>
      <c r="D1873" s="74">
        <f t="shared" ca="1" si="407"/>
      </c>
      <c r="E1873" s="80" t="s">
        <v>279</v>
      </c>
      <c r="F1873" s="74">
        <f t="shared" ca="1" si="403"/>
      </c>
      <c r="G1873" s="74">
        <f t="shared" si="404"/>
      </c>
      <c r="H1873" s="80" t="s">
        <v>272</v>
      </c>
      <c r="I1873" s="74">
        <f t="shared" si="405"/>
      </c>
      <c r="J1873" s="74">
        <f t="shared" si="408"/>
      </c>
      <c r="K1873" s="80" t="s">
        <v>280</v>
      </c>
      <c r="L1873" s="74">
        <f t="shared" si="409"/>
      </c>
      <c r="M1873" s="74">
        <f t="shared" ca="1" si="410"/>
      </c>
      <c r="N1873" s="74">
        <f ca="1">VLOOKUP(B1873,$C$7:$T1871,13,FALSE)</f>
      </c>
      <c r="O1873" s="74">
        <f t="shared" ca="1" si="411"/>
      </c>
      <c r="P1873" s="74">
        <f t="shared" ca="1" si="412"/>
      </c>
      <c r="Q1873" s="74">
        <f t="shared" ca="1" si="413"/>
      </c>
      <c r="R1873" s="74">
        <f t="shared" si="414"/>
      </c>
      <c r="S1873" s="74">
        <f t="shared" ca="1" si="415"/>
      </c>
      <c r="T1873" s="74">
        <f t="shared" si="416"/>
      </c>
    </row>
    <row r="1874" spans="2:20" x14ac:dyDescent="0.3">
      <c r="B1874" s="74">
        <f t="shared" ca="1" si="406"/>
      </c>
      <c r="C1874" s="78">
        <f>Кабельный_журнал!P1840</f>
      </c>
      <c r="D1874" s="74">
        <f t="shared" ca="1" si="407"/>
      </c>
      <c r="E1874" s="80" t="s">
        <v>279</v>
      </c>
      <c r="F1874" s="74">
        <f t="shared" ca="1" si="403"/>
      </c>
      <c r="G1874" s="74">
        <f t="shared" si="404"/>
      </c>
      <c r="H1874" s="80" t="s">
        <v>272</v>
      </c>
      <c r="I1874" s="74">
        <f t="shared" si="405"/>
      </c>
      <c r="J1874" s="74">
        <f t="shared" si="408"/>
      </c>
      <c r="K1874" s="80" t="s">
        <v>280</v>
      </c>
      <c r="L1874" s="74">
        <f t="shared" si="409"/>
      </c>
      <c r="M1874" s="74">
        <f t="shared" ca="1" si="410"/>
      </c>
      <c r="N1874" s="74">
        <f ca="1">VLOOKUP(B1874,$C$7:$T1872,13,FALSE)</f>
      </c>
      <c r="O1874" s="74">
        <f t="shared" ca="1" si="411"/>
      </c>
      <c r="P1874" s="74">
        <f t="shared" ca="1" si="412"/>
      </c>
      <c r="Q1874" s="74">
        <f t="shared" ca="1" si="413"/>
      </c>
      <c r="R1874" s="74">
        <f t="shared" si="414"/>
      </c>
      <c r="S1874" s="74">
        <f t="shared" ca="1" si="415"/>
      </c>
      <c r="T1874" s="74">
        <f t="shared" si="416"/>
      </c>
    </row>
    <row r="1875" spans="2:20" x14ac:dyDescent="0.3">
      <c r="B1875" s="74">
        <f t="shared" ca="1" si="406"/>
      </c>
      <c r="C1875" s="78">
        <f>Кабельный_журнал!P1841</f>
      </c>
      <c r="D1875" s="74">
        <f t="shared" ca="1" si="407"/>
      </c>
      <c r="E1875" s="80" t="s">
        <v>279</v>
      </c>
      <c r="F1875" s="74">
        <f t="shared" ca="1" si="403"/>
      </c>
      <c r="G1875" s="74">
        <f t="shared" si="404"/>
      </c>
      <c r="H1875" s="80" t="s">
        <v>272</v>
      </c>
      <c r="I1875" s="74">
        <f t="shared" si="405"/>
      </c>
      <c r="J1875" s="74">
        <f t="shared" si="408"/>
      </c>
      <c r="K1875" s="80" t="s">
        <v>280</v>
      </c>
      <c r="L1875" s="74">
        <f t="shared" si="409"/>
      </c>
      <c r="M1875" s="74">
        <f t="shared" ca="1" si="410"/>
      </c>
      <c r="N1875" s="74">
        <f ca="1">VLOOKUP(B1875,$C$7:$T1873,13,FALSE)</f>
      </c>
      <c r="O1875" s="74">
        <f t="shared" ca="1" si="411"/>
      </c>
      <c r="P1875" s="74">
        <f t="shared" ca="1" si="412"/>
      </c>
      <c r="Q1875" s="74">
        <f t="shared" ca="1" si="413"/>
      </c>
      <c r="R1875" s="74">
        <f t="shared" si="414"/>
      </c>
      <c r="S1875" s="74">
        <f t="shared" ca="1" si="415"/>
      </c>
      <c r="T1875" s="74">
        <f t="shared" si="416"/>
      </c>
    </row>
    <row r="1876" spans="2:20" x14ac:dyDescent="0.3">
      <c r="B1876" s="74">
        <f t="shared" ca="1" si="406"/>
      </c>
      <c r="C1876" s="78">
        <f>Кабельный_журнал!P1842</f>
      </c>
      <c r="D1876" s="74">
        <f t="shared" ca="1" si="407"/>
      </c>
      <c r="E1876" s="80" t="s">
        <v>279</v>
      </c>
      <c r="F1876" s="74">
        <f t="shared" ca="1" si="403"/>
      </c>
      <c r="G1876" s="74">
        <f t="shared" si="404"/>
      </c>
      <c r="H1876" s="80" t="s">
        <v>272</v>
      </c>
      <c r="I1876" s="74">
        <f t="shared" si="405"/>
      </c>
      <c r="J1876" s="74">
        <f t="shared" si="408"/>
      </c>
      <c r="K1876" s="80" t="s">
        <v>280</v>
      </c>
      <c r="L1876" s="74">
        <f t="shared" si="409"/>
      </c>
      <c r="M1876" s="74">
        <f t="shared" ca="1" si="410"/>
      </c>
      <c r="N1876" s="74">
        <f ca="1">VLOOKUP(B1876,$C$7:$T1874,13,FALSE)</f>
      </c>
      <c r="O1876" s="74">
        <f t="shared" ca="1" si="411"/>
      </c>
      <c r="P1876" s="74">
        <f t="shared" ca="1" si="412"/>
      </c>
      <c r="Q1876" s="74">
        <f t="shared" ca="1" si="413"/>
      </c>
      <c r="R1876" s="74">
        <f t="shared" si="414"/>
      </c>
      <c r="S1876" s="74">
        <f t="shared" ca="1" si="415"/>
      </c>
      <c r="T1876" s="74">
        <f t="shared" si="416"/>
      </c>
    </row>
    <row r="1877" spans="2:20" x14ac:dyDescent="0.3">
      <c r="B1877" s="74">
        <f t="shared" ca="1" si="406"/>
      </c>
      <c r="C1877" s="78">
        <f>Кабельный_журнал!P1843</f>
      </c>
      <c r="D1877" s="74">
        <f t="shared" ca="1" si="407"/>
      </c>
      <c r="E1877" s="80" t="s">
        <v>279</v>
      </c>
      <c r="F1877" s="74">
        <f t="shared" ca="1" si="403"/>
      </c>
      <c r="G1877" s="74">
        <f t="shared" si="404"/>
      </c>
      <c r="H1877" s="80" t="s">
        <v>272</v>
      </c>
      <c r="I1877" s="74">
        <f t="shared" si="405"/>
      </c>
      <c r="J1877" s="74">
        <f t="shared" si="408"/>
      </c>
      <c r="K1877" s="80" t="s">
        <v>280</v>
      </c>
      <c r="L1877" s="74">
        <f t="shared" si="409"/>
      </c>
      <c r="M1877" s="74">
        <f t="shared" ca="1" si="410"/>
      </c>
      <c r="N1877" s="74">
        <f ca="1">VLOOKUP(B1877,$C$7:$T1875,13,FALSE)</f>
      </c>
      <c r="O1877" s="74">
        <f t="shared" ca="1" si="411"/>
      </c>
      <c r="P1877" s="74">
        <f t="shared" ca="1" si="412"/>
      </c>
      <c r="Q1877" s="74">
        <f t="shared" ca="1" si="413"/>
      </c>
      <c r="R1877" s="74">
        <f t="shared" si="414"/>
      </c>
      <c r="S1877" s="74">
        <f t="shared" ca="1" si="415"/>
      </c>
      <c r="T1877" s="74">
        <f t="shared" si="416"/>
      </c>
    </row>
    <row r="1878" spans="2:20" x14ac:dyDescent="0.3">
      <c r="B1878" s="74">
        <f t="shared" ca="1" si="406"/>
      </c>
      <c r="C1878" s="78">
        <f>Кабельный_журнал!P1844</f>
      </c>
      <c r="D1878" s="74">
        <f t="shared" ca="1" si="407"/>
      </c>
      <c r="E1878" s="80" t="s">
        <v>279</v>
      </c>
      <c r="F1878" s="74">
        <f t="shared" ca="1" si="403"/>
      </c>
      <c r="G1878" s="74">
        <f t="shared" si="404"/>
      </c>
      <c r="H1878" s="80" t="s">
        <v>272</v>
      </c>
      <c r="I1878" s="74">
        <f t="shared" si="405"/>
      </c>
      <c r="J1878" s="74">
        <f t="shared" si="408"/>
      </c>
      <c r="K1878" s="80" t="s">
        <v>280</v>
      </c>
      <c r="L1878" s="74">
        <f t="shared" si="409"/>
      </c>
      <c r="M1878" s="74">
        <f t="shared" ca="1" si="410"/>
      </c>
      <c r="N1878" s="74">
        <f ca="1">VLOOKUP(B1878,$C$7:$T1876,13,FALSE)</f>
      </c>
      <c r="O1878" s="74">
        <f t="shared" ca="1" si="411"/>
      </c>
      <c r="P1878" s="74">
        <f t="shared" ca="1" si="412"/>
      </c>
      <c r="Q1878" s="74">
        <f t="shared" ca="1" si="413"/>
      </c>
      <c r="R1878" s="74">
        <f t="shared" si="414"/>
      </c>
      <c r="S1878" s="74">
        <f t="shared" ca="1" si="415"/>
      </c>
      <c r="T1878" s="74">
        <f t="shared" si="416"/>
      </c>
    </row>
    <row r="1879" spans="2:20" x14ac:dyDescent="0.3">
      <c r="B1879" s="74">
        <f t="shared" ca="1" si="406"/>
      </c>
      <c r="C1879" s="78">
        <f>Кабельный_журнал!P1845</f>
      </c>
      <c r="D1879" s="74">
        <f t="shared" ca="1" si="407"/>
      </c>
      <c r="E1879" s="80" t="s">
        <v>279</v>
      </c>
      <c r="F1879" s="74">
        <f t="shared" ca="1" si="403"/>
      </c>
      <c r="G1879" s="74">
        <f t="shared" si="404"/>
      </c>
      <c r="H1879" s="80" t="s">
        <v>272</v>
      </c>
      <c r="I1879" s="74">
        <f t="shared" si="405"/>
      </c>
      <c r="J1879" s="74">
        <f t="shared" si="408"/>
      </c>
      <c r="K1879" s="80" t="s">
        <v>280</v>
      </c>
      <c r="L1879" s="74">
        <f t="shared" si="409"/>
      </c>
      <c r="M1879" s="74">
        <f t="shared" ca="1" si="410"/>
      </c>
      <c r="N1879" s="74">
        <f ca="1">VLOOKUP(B1879,$C$7:$T1877,13,FALSE)</f>
      </c>
      <c r="O1879" s="74">
        <f t="shared" ca="1" si="411"/>
      </c>
      <c r="P1879" s="74">
        <f t="shared" ca="1" si="412"/>
      </c>
      <c r="Q1879" s="74">
        <f t="shared" ca="1" si="413"/>
      </c>
      <c r="R1879" s="74">
        <f t="shared" si="414"/>
      </c>
      <c r="S1879" s="74">
        <f t="shared" ca="1" si="415"/>
      </c>
      <c r="T1879" s="74">
        <f t="shared" si="416"/>
      </c>
    </row>
    <row r="1880" spans="2:20" x14ac:dyDescent="0.3">
      <c r="B1880" s="74">
        <f t="shared" ca="1" si="406"/>
      </c>
      <c r="C1880" s="78">
        <f>Кабельный_журнал!P1846</f>
      </c>
      <c r="D1880" s="74">
        <f t="shared" ca="1" si="407"/>
      </c>
      <c r="E1880" s="80" t="s">
        <v>279</v>
      </c>
      <c r="F1880" s="74">
        <f t="shared" ca="1" si="403"/>
      </c>
      <c r="G1880" s="74">
        <f t="shared" si="404"/>
      </c>
      <c r="H1880" s="80" t="s">
        <v>272</v>
      </c>
      <c r="I1880" s="74">
        <f t="shared" si="405"/>
      </c>
      <c r="J1880" s="74">
        <f t="shared" si="408"/>
      </c>
      <c r="K1880" s="80" t="s">
        <v>280</v>
      </c>
      <c r="L1880" s="74">
        <f t="shared" si="409"/>
      </c>
      <c r="M1880" s="74">
        <f t="shared" ca="1" si="410"/>
      </c>
      <c r="N1880" s="74">
        <f ca="1">VLOOKUP(B1880,$C$7:$T1878,13,FALSE)</f>
      </c>
      <c r="O1880" s="74">
        <f t="shared" ca="1" si="411"/>
      </c>
      <c r="P1880" s="74">
        <f t="shared" ca="1" si="412"/>
      </c>
      <c r="Q1880" s="74">
        <f t="shared" ca="1" si="413"/>
      </c>
      <c r="R1880" s="74">
        <f t="shared" si="414"/>
      </c>
      <c r="S1880" s="74">
        <f t="shared" ca="1" si="415"/>
      </c>
      <c r="T1880" s="74">
        <f t="shared" si="416"/>
      </c>
    </row>
    <row r="1881" spans="2:20" x14ac:dyDescent="0.3">
      <c r="B1881" s="74">
        <f t="shared" ca="1" si="406"/>
      </c>
      <c r="C1881" s="78">
        <f>Кабельный_журнал!P1847</f>
      </c>
      <c r="D1881" s="74">
        <f t="shared" ca="1" si="407"/>
      </c>
      <c r="E1881" s="80" t="s">
        <v>279</v>
      </c>
      <c r="F1881" s="74">
        <f t="shared" ca="1" si="403"/>
      </c>
      <c r="G1881" s="74">
        <f t="shared" si="404"/>
      </c>
      <c r="H1881" s="80" t="s">
        <v>272</v>
      </c>
      <c r="I1881" s="74">
        <f t="shared" si="405"/>
      </c>
      <c r="J1881" s="74">
        <f t="shared" si="408"/>
      </c>
      <c r="K1881" s="80" t="s">
        <v>280</v>
      </c>
      <c r="L1881" s="74">
        <f t="shared" si="409"/>
      </c>
      <c r="M1881" s="74">
        <f t="shared" ca="1" si="410"/>
      </c>
      <c r="N1881" s="74">
        <f ca="1">VLOOKUP(B1881,$C$7:$T1879,13,FALSE)</f>
      </c>
      <c r="O1881" s="74">
        <f t="shared" ca="1" si="411"/>
      </c>
      <c r="P1881" s="74">
        <f t="shared" ca="1" si="412"/>
      </c>
      <c r="Q1881" s="74">
        <f t="shared" ca="1" si="413"/>
      </c>
      <c r="R1881" s="74">
        <f t="shared" si="414"/>
      </c>
      <c r="S1881" s="74">
        <f t="shared" ca="1" si="415"/>
      </c>
      <c r="T1881" s="74">
        <f t="shared" si="416"/>
      </c>
    </row>
    <row r="1882" spans="2:20" x14ac:dyDescent="0.3">
      <c r="B1882" s="74">
        <f t="shared" ca="1" si="406"/>
      </c>
      <c r="C1882" s="78">
        <f>Кабельный_журнал!P1848</f>
      </c>
      <c r="D1882" s="74">
        <f t="shared" ca="1" si="407"/>
      </c>
      <c r="E1882" s="80" t="s">
        <v>279</v>
      </c>
      <c r="F1882" s="74">
        <f t="shared" ca="1" si="403"/>
      </c>
      <c r="G1882" s="74">
        <f t="shared" si="404"/>
      </c>
      <c r="H1882" s="80" t="s">
        <v>272</v>
      </c>
      <c r="I1882" s="74">
        <f t="shared" si="405"/>
      </c>
      <c r="J1882" s="74">
        <f t="shared" si="408"/>
      </c>
      <c r="K1882" s="80" t="s">
        <v>280</v>
      </c>
      <c r="L1882" s="74">
        <f t="shared" si="409"/>
      </c>
      <c r="M1882" s="74">
        <f t="shared" ca="1" si="410"/>
      </c>
      <c r="N1882" s="74">
        <f ca="1">VLOOKUP(B1882,$C$7:$T1880,13,FALSE)</f>
      </c>
      <c r="O1882" s="74">
        <f t="shared" ca="1" si="411"/>
      </c>
      <c r="P1882" s="74">
        <f t="shared" ca="1" si="412"/>
      </c>
      <c r="Q1882" s="74">
        <f t="shared" ca="1" si="413"/>
      </c>
      <c r="R1882" s="74">
        <f t="shared" si="414"/>
      </c>
      <c r="S1882" s="74">
        <f t="shared" ca="1" si="415"/>
      </c>
      <c r="T1882" s="74">
        <f t="shared" si="416"/>
      </c>
    </row>
    <row r="1883" spans="2:20" x14ac:dyDescent="0.3">
      <c r="B1883" s="74">
        <f t="shared" ca="1" si="406"/>
      </c>
      <c r="C1883" s="78">
        <f>Кабельный_журнал!P1849</f>
      </c>
      <c r="D1883" s="74">
        <f t="shared" ca="1" si="407"/>
      </c>
      <c r="E1883" s="80" t="s">
        <v>279</v>
      </c>
      <c r="F1883" s="74">
        <f t="shared" ca="1" si="403"/>
      </c>
      <c r="G1883" s="74">
        <f t="shared" si="404"/>
      </c>
      <c r="H1883" s="80" t="s">
        <v>272</v>
      </c>
      <c r="I1883" s="74">
        <f t="shared" si="405"/>
      </c>
      <c r="J1883" s="74">
        <f t="shared" si="408"/>
      </c>
      <c r="K1883" s="80" t="s">
        <v>280</v>
      </c>
      <c r="L1883" s="74">
        <f t="shared" si="409"/>
      </c>
      <c r="M1883" s="74">
        <f t="shared" ca="1" si="410"/>
      </c>
      <c r="N1883" s="74">
        <f ca="1">VLOOKUP(B1883,$C$7:$T1881,13,FALSE)</f>
      </c>
      <c r="O1883" s="74">
        <f t="shared" ca="1" si="411"/>
      </c>
      <c r="P1883" s="74">
        <f t="shared" ca="1" si="412"/>
      </c>
      <c r="Q1883" s="74">
        <f t="shared" ca="1" si="413"/>
      </c>
      <c r="R1883" s="74">
        <f t="shared" si="414"/>
      </c>
      <c r="S1883" s="74">
        <f t="shared" ca="1" si="415"/>
      </c>
      <c r="T1883" s="74">
        <f t="shared" si="416"/>
      </c>
    </row>
    <row r="1884" spans="2:20" x14ac:dyDescent="0.3">
      <c r="B1884" s="74">
        <f t="shared" ca="1" si="406"/>
      </c>
      <c r="C1884" s="78">
        <f>Кабельный_журнал!P1850</f>
      </c>
      <c r="D1884" s="74">
        <f t="shared" ca="1" si="407"/>
      </c>
      <c r="E1884" s="80" t="s">
        <v>279</v>
      </c>
      <c r="F1884" s="74">
        <f t="shared" ca="1" si="403"/>
      </c>
      <c r="G1884" s="74">
        <f t="shared" si="404"/>
      </c>
      <c r="H1884" s="80" t="s">
        <v>272</v>
      </c>
      <c r="I1884" s="74">
        <f t="shared" si="405"/>
      </c>
      <c r="J1884" s="74">
        <f t="shared" si="408"/>
      </c>
      <c r="K1884" s="80" t="s">
        <v>280</v>
      </c>
      <c r="L1884" s="74">
        <f t="shared" si="409"/>
      </c>
      <c r="M1884" s="74">
        <f t="shared" ca="1" si="410"/>
      </c>
      <c r="N1884" s="74">
        <f ca="1">VLOOKUP(B1884,$C$7:$T1882,13,FALSE)</f>
      </c>
      <c r="O1884" s="74">
        <f t="shared" ca="1" si="411"/>
      </c>
      <c r="P1884" s="74">
        <f t="shared" ca="1" si="412"/>
      </c>
      <c r="Q1884" s="74">
        <f t="shared" ca="1" si="413"/>
      </c>
      <c r="R1884" s="74">
        <f t="shared" si="414"/>
      </c>
      <c r="S1884" s="74">
        <f t="shared" ca="1" si="415"/>
      </c>
      <c r="T1884" s="74">
        <f t="shared" si="416"/>
      </c>
    </row>
    <row r="1885" spans="2:20" x14ac:dyDescent="0.3">
      <c r="B1885" s="74">
        <f t="shared" ca="1" si="406"/>
      </c>
      <c r="C1885" s="78">
        <f>Кабельный_журнал!P1851</f>
      </c>
      <c r="D1885" s="74">
        <f t="shared" ca="1" si="407"/>
      </c>
      <c r="E1885" s="80" t="s">
        <v>279</v>
      </c>
      <c r="F1885" s="74">
        <f t="shared" ca="1" si="403"/>
      </c>
      <c r="G1885" s="74">
        <f t="shared" si="404"/>
      </c>
      <c r="H1885" s="80" t="s">
        <v>272</v>
      </c>
      <c r="I1885" s="74">
        <f t="shared" si="405"/>
      </c>
      <c r="J1885" s="74">
        <f t="shared" si="408"/>
      </c>
      <c r="K1885" s="80" t="s">
        <v>280</v>
      </c>
      <c r="L1885" s="74">
        <f t="shared" si="409"/>
      </c>
      <c r="M1885" s="74">
        <f t="shared" ca="1" si="410"/>
      </c>
      <c r="N1885" s="74">
        <f ca="1">VLOOKUP(B1885,$C$7:$T1883,13,FALSE)</f>
      </c>
      <c r="O1885" s="74">
        <f t="shared" ca="1" si="411"/>
      </c>
      <c r="P1885" s="74">
        <f t="shared" ca="1" si="412"/>
      </c>
      <c r="Q1885" s="74">
        <f t="shared" ca="1" si="413"/>
      </c>
      <c r="R1885" s="74">
        <f t="shared" si="414"/>
      </c>
      <c r="S1885" s="74">
        <f t="shared" ca="1" si="415"/>
      </c>
      <c r="T1885" s="74">
        <f t="shared" si="416"/>
      </c>
    </row>
    <row r="1886" spans="2:20" x14ac:dyDescent="0.3">
      <c r="B1886" s="74">
        <f t="shared" ca="1" si="406"/>
      </c>
      <c r="C1886" s="78">
        <f>Кабельный_журнал!P1852</f>
      </c>
      <c r="D1886" s="74">
        <f t="shared" ca="1" si="407"/>
      </c>
      <c r="E1886" s="80" t="s">
        <v>279</v>
      </c>
      <c r="F1886" s="74">
        <f t="shared" ca="1" si="403"/>
      </c>
      <c r="G1886" s="74">
        <f t="shared" si="404"/>
      </c>
      <c r="H1886" s="80" t="s">
        <v>272</v>
      </c>
      <c r="I1886" s="74">
        <f t="shared" si="405"/>
      </c>
      <c r="J1886" s="74">
        <f t="shared" si="408"/>
      </c>
      <c r="K1886" s="80" t="s">
        <v>280</v>
      </c>
      <c r="L1886" s="74">
        <f t="shared" si="409"/>
      </c>
      <c r="M1886" s="74">
        <f t="shared" ca="1" si="410"/>
      </c>
      <c r="N1886" s="74">
        <f ca="1">VLOOKUP(B1886,$C$7:$T1884,13,FALSE)</f>
      </c>
      <c r="O1886" s="74">
        <f t="shared" ca="1" si="411"/>
      </c>
      <c r="P1886" s="74">
        <f t="shared" ca="1" si="412"/>
      </c>
      <c r="Q1886" s="74">
        <f t="shared" ca="1" si="413"/>
      </c>
      <c r="R1886" s="74">
        <f t="shared" si="414"/>
      </c>
      <c r="S1886" s="74">
        <f t="shared" ca="1" si="415"/>
      </c>
      <c r="T1886" s="74">
        <f t="shared" si="416"/>
      </c>
    </row>
    <row r="1887" spans="2:20" x14ac:dyDescent="0.3">
      <c r="B1887" s="74">
        <f t="shared" ca="1" si="406"/>
      </c>
      <c r="C1887" s="78">
        <f>Кабельный_журнал!P1853</f>
      </c>
      <c r="D1887" s="74">
        <f t="shared" ca="1" si="407"/>
      </c>
      <c r="E1887" s="80" t="s">
        <v>279</v>
      </c>
      <c r="F1887" s="74">
        <f t="shared" ca="1" si="403"/>
      </c>
      <c r="G1887" s="74">
        <f t="shared" si="404"/>
      </c>
      <c r="H1887" s="80" t="s">
        <v>272</v>
      </c>
      <c r="I1887" s="74">
        <f t="shared" si="405"/>
      </c>
      <c r="J1887" s="74">
        <f t="shared" si="408"/>
      </c>
      <c r="K1887" s="80" t="s">
        <v>280</v>
      </c>
      <c r="L1887" s="74">
        <f t="shared" si="409"/>
      </c>
      <c r="M1887" s="74">
        <f t="shared" ca="1" si="410"/>
      </c>
      <c r="N1887" s="74">
        <f ca="1">VLOOKUP(B1887,$C$7:$T1885,13,FALSE)</f>
      </c>
      <c r="O1887" s="74">
        <f t="shared" ca="1" si="411"/>
      </c>
      <c r="P1887" s="74">
        <f t="shared" ca="1" si="412"/>
      </c>
      <c r="Q1887" s="74">
        <f t="shared" ca="1" si="413"/>
      </c>
      <c r="R1887" s="74">
        <f t="shared" si="414"/>
      </c>
      <c r="S1887" s="74">
        <f t="shared" ca="1" si="415"/>
      </c>
      <c r="T1887" s="74">
        <f t="shared" si="416"/>
      </c>
    </row>
    <row r="1888" spans="2:20" x14ac:dyDescent="0.3">
      <c r="B1888" s="74">
        <f t="shared" ca="1" si="406"/>
      </c>
      <c r="C1888" s="78">
        <f>Кабельный_журнал!P1854</f>
      </c>
      <c r="D1888" s="74">
        <f t="shared" ca="1" si="407"/>
      </c>
      <c r="E1888" s="80" t="s">
        <v>279</v>
      </c>
      <c r="F1888" s="74">
        <f t="shared" ca="1" si="403"/>
      </c>
      <c r="G1888" s="74">
        <f t="shared" si="404"/>
      </c>
      <c r="H1888" s="80" t="s">
        <v>272</v>
      </c>
      <c r="I1888" s="74">
        <f t="shared" si="405"/>
      </c>
      <c r="J1888" s="74">
        <f t="shared" si="408"/>
      </c>
      <c r="K1888" s="80" t="s">
        <v>280</v>
      </c>
      <c r="L1888" s="74">
        <f t="shared" si="409"/>
      </c>
      <c r="M1888" s="74">
        <f t="shared" ca="1" si="410"/>
      </c>
      <c r="N1888" s="74">
        <f ca="1">VLOOKUP(B1888,$C$7:$T1886,13,FALSE)</f>
      </c>
      <c r="O1888" s="74">
        <f t="shared" ca="1" si="411"/>
      </c>
      <c r="P1888" s="74">
        <f t="shared" ca="1" si="412"/>
      </c>
      <c r="Q1888" s="74">
        <f t="shared" ca="1" si="413"/>
      </c>
      <c r="R1888" s="74">
        <f t="shared" si="414"/>
      </c>
      <c r="S1888" s="74">
        <f t="shared" ca="1" si="415"/>
      </c>
      <c r="T1888" s="74">
        <f t="shared" si="416"/>
      </c>
    </row>
    <row r="1889" spans="2:20" x14ac:dyDescent="0.3">
      <c r="B1889" s="74">
        <f t="shared" ca="1" si="406"/>
      </c>
      <c r="C1889" s="78">
        <f>Кабельный_журнал!P1855</f>
      </c>
      <c r="D1889" s="74">
        <f t="shared" ca="1" si="407"/>
      </c>
      <c r="E1889" s="80" t="s">
        <v>279</v>
      </c>
      <c r="F1889" s="74">
        <f t="shared" ca="1" si="403"/>
      </c>
      <c r="G1889" s="74">
        <f t="shared" si="404"/>
      </c>
      <c r="H1889" s="80" t="s">
        <v>272</v>
      </c>
      <c r="I1889" s="74">
        <f t="shared" si="405"/>
      </c>
      <c r="J1889" s="74">
        <f t="shared" si="408"/>
      </c>
      <c r="K1889" s="80" t="s">
        <v>280</v>
      </c>
      <c r="L1889" s="74">
        <f t="shared" si="409"/>
      </c>
      <c r="M1889" s="74">
        <f t="shared" ca="1" si="410"/>
      </c>
      <c r="N1889" s="74">
        <f ca="1">VLOOKUP(B1889,$C$7:$T1887,13,FALSE)</f>
      </c>
      <c r="O1889" s="74">
        <f t="shared" ca="1" si="411"/>
      </c>
      <c r="P1889" s="74">
        <f t="shared" ca="1" si="412"/>
      </c>
      <c r="Q1889" s="74">
        <f t="shared" ca="1" si="413"/>
      </c>
      <c r="R1889" s="74">
        <f t="shared" si="414"/>
      </c>
      <c r="S1889" s="74">
        <f t="shared" ca="1" si="415"/>
      </c>
      <c r="T1889" s="74">
        <f t="shared" si="416"/>
      </c>
    </row>
    <row r="1890" spans="2:20" x14ac:dyDescent="0.3">
      <c r="B1890" s="74">
        <f t="shared" ca="1" si="406"/>
      </c>
      <c r="C1890" s="78">
        <f>Кабельный_журнал!P1856</f>
      </c>
      <c r="D1890" s="74">
        <f t="shared" ca="1" si="407"/>
      </c>
      <c r="E1890" s="80" t="s">
        <v>279</v>
      </c>
      <c r="F1890" s="74">
        <f t="shared" ca="1" si="403"/>
      </c>
      <c r="G1890" s="74">
        <f t="shared" si="404"/>
      </c>
      <c r="H1890" s="80" t="s">
        <v>272</v>
      </c>
      <c r="I1890" s="74">
        <f t="shared" si="405"/>
      </c>
      <c r="J1890" s="74">
        <f t="shared" si="408"/>
      </c>
      <c r="K1890" s="80" t="s">
        <v>280</v>
      </c>
      <c r="L1890" s="74">
        <f t="shared" si="409"/>
      </c>
      <c r="M1890" s="74">
        <f t="shared" ca="1" si="410"/>
      </c>
      <c r="N1890" s="74">
        <f ca="1">VLOOKUP(B1890,$C$7:$T1888,13,FALSE)</f>
      </c>
      <c r="O1890" s="74">
        <f t="shared" ca="1" si="411"/>
      </c>
      <c r="P1890" s="74">
        <f t="shared" ca="1" si="412"/>
      </c>
      <c r="Q1890" s="74">
        <f t="shared" ca="1" si="413"/>
      </c>
      <c r="R1890" s="74">
        <f t="shared" si="414"/>
      </c>
      <c r="S1890" s="74">
        <f t="shared" ca="1" si="415"/>
      </c>
      <c r="T1890" s="74">
        <f t="shared" si="416"/>
      </c>
    </row>
    <row r="1891" spans="2:20" x14ac:dyDescent="0.3">
      <c r="B1891" s="74">
        <f t="shared" ca="1" si="406"/>
      </c>
      <c r="C1891" s="78">
        <f>Кабельный_журнал!P1857</f>
      </c>
      <c r="D1891" s="74">
        <f t="shared" ca="1" si="407"/>
      </c>
      <c r="E1891" s="80" t="s">
        <v>279</v>
      </c>
      <c r="F1891" s="74">
        <f t="shared" ca="1" si="403"/>
      </c>
      <c r="G1891" s="74">
        <f t="shared" si="404"/>
      </c>
      <c r="H1891" s="80" t="s">
        <v>272</v>
      </c>
      <c r="I1891" s="74">
        <f t="shared" si="405"/>
      </c>
      <c r="J1891" s="74">
        <f t="shared" si="408"/>
      </c>
      <c r="K1891" s="80" t="s">
        <v>280</v>
      </c>
      <c r="L1891" s="74">
        <f t="shared" si="409"/>
      </c>
      <c r="M1891" s="74">
        <f t="shared" ca="1" si="410"/>
      </c>
      <c r="N1891" s="74">
        <f ca="1">VLOOKUP(B1891,$C$7:$T1889,13,FALSE)</f>
      </c>
      <c r="O1891" s="74">
        <f t="shared" ca="1" si="411"/>
      </c>
      <c r="P1891" s="74">
        <f t="shared" ca="1" si="412"/>
      </c>
      <c r="Q1891" s="74">
        <f t="shared" ca="1" si="413"/>
      </c>
      <c r="R1891" s="74">
        <f t="shared" si="414"/>
      </c>
      <c r="S1891" s="74">
        <f t="shared" ca="1" si="415"/>
      </c>
      <c r="T1891" s="74">
        <f t="shared" si="416"/>
      </c>
    </row>
    <row r="1892" spans="2:20" x14ac:dyDescent="0.3">
      <c r="B1892" s="74">
        <f t="shared" ca="1" si="406"/>
      </c>
      <c r="C1892" s="78">
        <f>Кабельный_журнал!P1858</f>
      </c>
      <c r="D1892" s="74">
        <f t="shared" ca="1" si="407"/>
      </c>
      <c r="E1892" s="80" t="s">
        <v>279</v>
      </c>
      <c r="F1892" s="74">
        <f t="shared" ca="1" si="403"/>
      </c>
      <c r="G1892" s="74">
        <f t="shared" si="404"/>
      </c>
      <c r="H1892" s="80" t="s">
        <v>272</v>
      </c>
      <c r="I1892" s="74">
        <f t="shared" si="405"/>
      </c>
      <c r="J1892" s="74">
        <f t="shared" si="408"/>
      </c>
      <c r="K1892" s="80" t="s">
        <v>280</v>
      </c>
      <c r="L1892" s="74">
        <f t="shared" si="409"/>
      </c>
      <c r="M1892" s="74">
        <f t="shared" ca="1" si="410"/>
      </c>
      <c r="N1892" s="74">
        <f ca="1">VLOOKUP(B1892,$C$7:$T1890,13,FALSE)</f>
      </c>
      <c r="O1892" s="74">
        <f t="shared" ca="1" si="411"/>
      </c>
      <c r="P1892" s="74">
        <f t="shared" ca="1" si="412"/>
      </c>
      <c r="Q1892" s="74">
        <f t="shared" ca="1" si="413"/>
      </c>
      <c r="R1892" s="74">
        <f t="shared" si="414"/>
      </c>
      <c r="S1892" s="74">
        <f t="shared" ca="1" si="415"/>
      </c>
      <c r="T1892" s="74">
        <f t="shared" si="416"/>
      </c>
    </row>
    <row r="1893" spans="2:20" x14ac:dyDescent="0.3">
      <c r="B1893" s="74">
        <f t="shared" ca="1" si="406"/>
      </c>
      <c r="C1893" s="78">
        <f>Кабельный_журнал!P1859</f>
      </c>
      <c r="D1893" s="74">
        <f t="shared" ca="1" si="407"/>
      </c>
      <c r="E1893" s="80" t="s">
        <v>279</v>
      </c>
      <c r="F1893" s="74">
        <f t="shared" ca="1" si="403"/>
      </c>
      <c r="G1893" s="74">
        <f t="shared" si="404"/>
      </c>
      <c r="H1893" s="80" t="s">
        <v>272</v>
      </c>
      <c r="I1893" s="74">
        <f t="shared" si="405"/>
      </c>
      <c r="J1893" s="74">
        <f t="shared" si="408"/>
      </c>
      <c r="K1893" s="80" t="s">
        <v>280</v>
      </c>
      <c r="L1893" s="74">
        <f t="shared" si="409"/>
      </c>
      <c r="M1893" s="74">
        <f t="shared" ca="1" si="410"/>
      </c>
      <c r="N1893" s="74">
        <f ca="1">VLOOKUP(B1893,$C$7:$T1891,13,FALSE)</f>
      </c>
      <c r="O1893" s="74">
        <f t="shared" ca="1" si="411"/>
      </c>
      <c r="P1893" s="74">
        <f t="shared" ca="1" si="412"/>
      </c>
      <c r="Q1893" s="74">
        <f t="shared" ca="1" si="413"/>
      </c>
      <c r="R1893" s="74">
        <f t="shared" si="414"/>
      </c>
      <c r="S1893" s="74">
        <f t="shared" ca="1" si="415"/>
      </c>
      <c r="T1893" s="74">
        <f t="shared" si="416"/>
      </c>
    </row>
    <row r="1894" spans="2:20" x14ac:dyDescent="0.3">
      <c r="B1894" s="74">
        <f t="shared" ca="1" si="406"/>
      </c>
      <c r="C1894" s="78">
        <f>Кабельный_журнал!P1860</f>
      </c>
      <c r="D1894" s="74">
        <f t="shared" ca="1" si="407"/>
      </c>
      <c r="E1894" s="80" t="s">
        <v>279</v>
      </c>
      <c r="F1894" s="74">
        <f t="shared" ca="1" si="403"/>
      </c>
      <c r="G1894" s="74">
        <f t="shared" si="404"/>
      </c>
      <c r="H1894" s="80" t="s">
        <v>272</v>
      </c>
      <c r="I1894" s="74">
        <f t="shared" si="405"/>
      </c>
      <c r="J1894" s="74">
        <f t="shared" si="408"/>
      </c>
      <c r="K1894" s="80" t="s">
        <v>280</v>
      </c>
      <c r="L1894" s="74">
        <f t="shared" si="409"/>
      </c>
      <c r="M1894" s="74">
        <f t="shared" ca="1" si="410"/>
      </c>
      <c r="N1894" s="74">
        <f ca="1">VLOOKUP(B1894,$C$7:$T1892,13,FALSE)</f>
      </c>
      <c r="O1894" s="74">
        <f t="shared" ca="1" si="411"/>
      </c>
      <c r="P1894" s="74">
        <f t="shared" ca="1" si="412"/>
      </c>
      <c r="Q1894" s="74">
        <f t="shared" ca="1" si="413"/>
      </c>
      <c r="R1894" s="74">
        <f t="shared" si="414"/>
      </c>
      <c r="S1894" s="74">
        <f t="shared" ca="1" si="415"/>
      </c>
      <c r="T1894" s="74">
        <f t="shared" si="416"/>
      </c>
    </row>
    <row r="1895" spans="2:20" x14ac:dyDescent="0.3">
      <c r="B1895" s="74">
        <f t="shared" ca="1" si="406"/>
      </c>
      <c r="C1895" s="78">
        <f>Кабельный_журнал!P1861</f>
      </c>
      <c r="D1895" s="74">
        <f t="shared" ca="1" si="407"/>
      </c>
      <c r="E1895" s="80" t="s">
        <v>279</v>
      </c>
      <c r="F1895" s="74">
        <f t="shared" ref="F1895:F1958" ca="1" si="417">VLOOKUP(C1895,Кабельный_журнал,8,FALSE)</f>
      </c>
      <c r="G1895" s="74">
        <f t="shared" ref="G1895:G1958" si="418">VLOOKUP(C1895,Исходные_данные,21,FALSE)</f>
      </c>
      <c r="H1895" s="80" t="s">
        <v>272</v>
      </c>
      <c r="I1895" s="74">
        <f t="shared" ref="I1895:I1958" si="419">VLOOKUP(C1895,Исходные_данные,22,FALSE)</f>
      </c>
      <c r="J1895" s="74">
        <f t="shared" si="408"/>
      </c>
      <c r="K1895" s="80" t="s">
        <v>280</v>
      </c>
      <c r="L1895" s="74">
        <f t="shared" si="409"/>
      </c>
      <c r="M1895" s="74">
        <f t="shared" ca="1" si="410"/>
      </c>
      <c r="N1895" s="74">
        <f ca="1">VLOOKUP(B1895,$C$7:$T1893,13,FALSE)</f>
      </c>
      <c r="O1895" s="74">
        <f t="shared" ca="1" si="411"/>
      </c>
      <c r="P1895" s="74">
        <f t="shared" ca="1" si="412"/>
      </c>
      <c r="Q1895" s="74">
        <f t="shared" ca="1" si="413"/>
      </c>
      <c r="R1895" s="74">
        <f t="shared" si="414"/>
      </c>
      <c r="S1895" s="74">
        <f t="shared" ca="1" si="415"/>
      </c>
      <c r="T1895" s="74">
        <f t="shared" si="416"/>
      </c>
    </row>
    <row r="1896" spans="2:20" x14ac:dyDescent="0.3">
      <c r="B1896" s="74">
        <f t="shared" ref="B1896:B1959" ca="1" si="420">VLOOKUP(C1896,Кабельный_журнал,2,FALSE)</f>
      </c>
      <c r="C1896" s="78">
        <f>Кабельный_журнал!P1862</f>
      </c>
      <c r="D1896" s="74">
        <f t="shared" ref="D1896:D1959" ca="1" si="421">B1896&amp;"-"&amp;C1896</f>
      </c>
      <c r="E1896" s="80" t="s">
        <v>279</v>
      </c>
      <c r="F1896" s="74">
        <f t="shared" ca="1" si="417"/>
      </c>
      <c r="G1896" s="74">
        <f t="shared" si="418"/>
      </c>
      <c r="H1896" s="80" t="s">
        <v>272</v>
      </c>
      <c r="I1896" s="74">
        <f t="shared" si="419"/>
      </c>
      <c r="J1896" s="74">
        <f t="shared" ref="J1896:J1959" si="422">I1896</f>
      </c>
      <c r="K1896" s="80" t="s">
        <v>280</v>
      </c>
      <c r="L1896" s="74">
        <f t="shared" ref="L1896:L1959" si="423">VLOOKUP(K1896,$K$2:$L$3,2,FALSE)</f>
      </c>
      <c r="M1896" s="74">
        <f t="shared" ref="M1896:M1959" ca="1" si="424">L1896*F1896*(1/I1896+1/J1896)</f>
      </c>
      <c r="N1896" s="74">
        <f ca="1">VLOOKUP(B1896,$C$7:$T1894,13,FALSE)</f>
      </c>
      <c r="O1896" s="74">
        <f t="shared" ref="O1896:O1959" ca="1" si="425">L1896+M1896</f>
      </c>
      <c r="P1896" s="74">
        <f t="shared" ref="P1896:P1959" ca="1" si="426">220/O1896</f>
      </c>
      <c r="Q1896" s="74">
        <f t="shared" ref="Q1896:Q1959" ca="1" si="427">O1896/G1896</f>
      </c>
      <c r="R1896" s="74">
        <f t="shared" ref="R1896:R1959" si="428">VLOOKUP(H1896,$W$2:$Y$12,3,FALSE)</f>
      </c>
      <c r="S1896" s="74">
        <f t="shared" ref="S1896:S1959" ca="1" si="429">_xlfn.IFS(E1896="щит",IF(P1896&gt;R1896,"Увел сеч",IF(T1896&gt;P1896,"Увел сеч","tср&lt;5с")),E1896="потреб",IF(P1896&gt;R1896,"Увел сеч",IF(T1896&gt;P1896,"Увел сеч","tср&lt;0.4с")))</f>
      </c>
      <c r="T1896" s="74">
        <f t="shared" ref="T1896:T1959" si="430">G1896*VLOOKUP(H1896,$W$2:$Y$12,2,FALSE)</f>
      </c>
    </row>
    <row r="1897" spans="2:20" x14ac:dyDescent="0.3">
      <c r="B1897" s="74">
        <f t="shared" ca="1" si="420"/>
      </c>
      <c r="C1897" s="78">
        <f>Кабельный_журнал!P1863</f>
      </c>
      <c r="D1897" s="74">
        <f t="shared" ca="1" si="421"/>
      </c>
      <c r="E1897" s="80" t="s">
        <v>279</v>
      </c>
      <c r="F1897" s="74">
        <f t="shared" ca="1" si="417"/>
      </c>
      <c r="G1897" s="74">
        <f t="shared" si="418"/>
      </c>
      <c r="H1897" s="80" t="s">
        <v>272</v>
      </c>
      <c r="I1897" s="74">
        <f t="shared" si="419"/>
      </c>
      <c r="J1897" s="74">
        <f t="shared" si="422"/>
      </c>
      <c r="K1897" s="80" t="s">
        <v>280</v>
      </c>
      <c r="L1897" s="74">
        <f t="shared" si="423"/>
      </c>
      <c r="M1897" s="74">
        <f t="shared" ca="1" si="424"/>
      </c>
      <c r="N1897" s="74">
        <f ca="1">VLOOKUP(B1897,$C$7:$T1895,13,FALSE)</f>
      </c>
      <c r="O1897" s="74">
        <f t="shared" ca="1" si="425"/>
      </c>
      <c r="P1897" s="74">
        <f t="shared" ca="1" si="426"/>
      </c>
      <c r="Q1897" s="74">
        <f t="shared" ca="1" si="427"/>
      </c>
      <c r="R1897" s="74">
        <f t="shared" si="428"/>
      </c>
      <c r="S1897" s="74">
        <f t="shared" ca="1" si="429"/>
      </c>
      <c r="T1897" s="74">
        <f t="shared" si="430"/>
      </c>
    </row>
    <row r="1898" spans="2:20" x14ac:dyDescent="0.3">
      <c r="B1898" s="74">
        <f t="shared" ca="1" si="420"/>
      </c>
      <c r="C1898" s="78">
        <f>Кабельный_журнал!P1864</f>
      </c>
      <c r="D1898" s="74">
        <f t="shared" ca="1" si="421"/>
      </c>
      <c r="E1898" s="80" t="s">
        <v>279</v>
      </c>
      <c r="F1898" s="74">
        <f t="shared" ca="1" si="417"/>
      </c>
      <c r="G1898" s="74">
        <f t="shared" si="418"/>
      </c>
      <c r="H1898" s="80" t="s">
        <v>272</v>
      </c>
      <c r="I1898" s="74">
        <f t="shared" si="419"/>
      </c>
      <c r="J1898" s="74">
        <f t="shared" si="422"/>
      </c>
      <c r="K1898" s="80" t="s">
        <v>280</v>
      </c>
      <c r="L1898" s="74">
        <f t="shared" si="423"/>
      </c>
      <c r="M1898" s="74">
        <f t="shared" ca="1" si="424"/>
      </c>
      <c r="N1898" s="74">
        <f ca="1">VLOOKUP(B1898,$C$7:$T1896,13,FALSE)</f>
      </c>
      <c r="O1898" s="74">
        <f t="shared" ca="1" si="425"/>
      </c>
      <c r="P1898" s="74">
        <f t="shared" ca="1" si="426"/>
      </c>
      <c r="Q1898" s="74">
        <f t="shared" ca="1" si="427"/>
      </c>
      <c r="R1898" s="74">
        <f t="shared" si="428"/>
      </c>
      <c r="S1898" s="74">
        <f t="shared" ca="1" si="429"/>
      </c>
      <c r="T1898" s="74">
        <f t="shared" si="430"/>
      </c>
    </row>
    <row r="1899" spans="2:20" x14ac:dyDescent="0.3">
      <c r="B1899" s="74">
        <f t="shared" ca="1" si="420"/>
      </c>
      <c r="C1899" s="78">
        <f>Кабельный_журнал!P1865</f>
      </c>
      <c r="D1899" s="74">
        <f t="shared" ca="1" si="421"/>
      </c>
      <c r="E1899" s="80" t="s">
        <v>279</v>
      </c>
      <c r="F1899" s="74">
        <f t="shared" ca="1" si="417"/>
      </c>
      <c r="G1899" s="74">
        <f t="shared" si="418"/>
      </c>
      <c r="H1899" s="80" t="s">
        <v>272</v>
      </c>
      <c r="I1899" s="74">
        <f t="shared" si="419"/>
      </c>
      <c r="J1899" s="74">
        <f t="shared" si="422"/>
      </c>
      <c r="K1899" s="80" t="s">
        <v>280</v>
      </c>
      <c r="L1899" s="74">
        <f t="shared" si="423"/>
      </c>
      <c r="M1899" s="74">
        <f t="shared" ca="1" si="424"/>
      </c>
      <c r="N1899" s="74">
        <f ca="1">VLOOKUP(B1899,$C$7:$T1897,13,FALSE)</f>
      </c>
      <c r="O1899" s="74">
        <f t="shared" ca="1" si="425"/>
      </c>
      <c r="P1899" s="74">
        <f t="shared" ca="1" si="426"/>
      </c>
      <c r="Q1899" s="74">
        <f t="shared" ca="1" si="427"/>
      </c>
      <c r="R1899" s="74">
        <f t="shared" si="428"/>
      </c>
      <c r="S1899" s="74">
        <f t="shared" ca="1" si="429"/>
      </c>
      <c r="T1899" s="74">
        <f t="shared" si="430"/>
      </c>
    </row>
    <row r="1900" spans="2:20" x14ac:dyDescent="0.3">
      <c r="B1900" s="74">
        <f t="shared" ca="1" si="420"/>
      </c>
      <c r="C1900" s="78">
        <f>Кабельный_журнал!P1866</f>
      </c>
      <c r="D1900" s="74">
        <f t="shared" ca="1" si="421"/>
      </c>
      <c r="E1900" s="80" t="s">
        <v>279</v>
      </c>
      <c r="F1900" s="74">
        <f t="shared" ca="1" si="417"/>
      </c>
      <c r="G1900" s="74">
        <f t="shared" si="418"/>
      </c>
      <c r="H1900" s="80" t="s">
        <v>272</v>
      </c>
      <c r="I1900" s="74">
        <f t="shared" si="419"/>
      </c>
      <c r="J1900" s="74">
        <f t="shared" si="422"/>
      </c>
      <c r="K1900" s="80" t="s">
        <v>280</v>
      </c>
      <c r="L1900" s="74">
        <f t="shared" si="423"/>
      </c>
      <c r="M1900" s="74">
        <f t="shared" ca="1" si="424"/>
      </c>
      <c r="N1900" s="74">
        <f ca="1">VLOOKUP(B1900,$C$7:$T1898,13,FALSE)</f>
      </c>
      <c r="O1900" s="74">
        <f t="shared" ca="1" si="425"/>
      </c>
      <c r="P1900" s="74">
        <f t="shared" ca="1" si="426"/>
      </c>
      <c r="Q1900" s="74">
        <f t="shared" ca="1" si="427"/>
      </c>
      <c r="R1900" s="74">
        <f t="shared" si="428"/>
      </c>
      <c r="S1900" s="74">
        <f t="shared" ca="1" si="429"/>
      </c>
      <c r="T1900" s="74">
        <f t="shared" si="430"/>
      </c>
    </row>
    <row r="1901" spans="2:20" x14ac:dyDescent="0.3">
      <c r="B1901" s="74">
        <f t="shared" ca="1" si="420"/>
      </c>
      <c r="C1901" s="78">
        <f>Кабельный_журнал!P1867</f>
      </c>
      <c r="D1901" s="74">
        <f t="shared" ca="1" si="421"/>
      </c>
      <c r="E1901" s="80" t="s">
        <v>279</v>
      </c>
      <c r="F1901" s="74">
        <f t="shared" ca="1" si="417"/>
      </c>
      <c r="G1901" s="74">
        <f t="shared" si="418"/>
      </c>
      <c r="H1901" s="80" t="s">
        <v>272</v>
      </c>
      <c r="I1901" s="74">
        <f t="shared" si="419"/>
      </c>
      <c r="J1901" s="74">
        <f t="shared" si="422"/>
      </c>
      <c r="K1901" s="80" t="s">
        <v>280</v>
      </c>
      <c r="L1901" s="74">
        <f t="shared" si="423"/>
      </c>
      <c r="M1901" s="74">
        <f t="shared" ca="1" si="424"/>
      </c>
      <c r="N1901" s="74">
        <f ca="1">VLOOKUP(B1901,$C$7:$T1899,13,FALSE)</f>
      </c>
      <c r="O1901" s="74">
        <f t="shared" ca="1" si="425"/>
      </c>
      <c r="P1901" s="74">
        <f t="shared" ca="1" si="426"/>
      </c>
      <c r="Q1901" s="74">
        <f t="shared" ca="1" si="427"/>
      </c>
      <c r="R1901" s="74">
        <f t="shared" si="428"/>
      </c>
      <c r="S1901" s="74">
        <f t="shared" ca="1" si="429"/>
      </c>
      <c r="T1901" s="74">
        <f t="shared" si="430"/>
      </c>
    </row>
    <row r="1902" spans="2:20" x14ac:dyDescent="0.3">
      <c r="B1902" s="74">
        <f t="shared" ca="1" si="420"/>
      </c>
      <c r="C1902" s="78">
        <f>Кабельный_журнал!P1868</f>
      </c>
      <c r="D1902" s="74">
        <f t="shared" ca="1" si="421"/>
      </c>
      <c r="E1902" s="80" t="s">
        <v>279</v>
      </c>
      <c r="F1902" s="74">
        <f t="shared" ca="1" si="417"/>
      </c>
      <c r="G1902" s="74">
        <f t="shared" si="418"/>
      </c>
      <c r="H1902" s="80" t="s">
        <v>272</v>
      </c>
      <c r="I1902" s="74">
        <f t="shared" si="419"/>
      </c>
      <c r="J1902" s="74">
        <f t="shared" si="422"/>
      </c>
      <c r="K1902" s="80" t="s">
        <v>280</v>
      </c>
      <c r="L1902" s="74">
        <f t="shared" si="423"/>
      </c>
      <c r="M1902" s="74">
        <f t="shared" ca="1" si="424"/>
      </c>
      <c r="N1902" s="74">
        <f ca="1">VLOOKUP(B1902,$C$7:$T1900,13,FALSE)</f>
      </c>
      <c r="O1902" s="74">
        <f t="shared" ca="1" si="425"/>
      </c>
      <c r="P1902" s="74">
        <f t="shared" ca="1" si="426"/>
      </c>
      <c r="Q1902" s="74">
        <f t="shared" ca="1" si="427"/>
      </c>
      <c r="R1902" s="74">
        <f t="shared" si="428"/>
      </c>
      <c r="S1902" s="74">
        <f t="shared" ca="1" si="429"/>
      </c>
      <c r="T1902" s="74">
        <f t="shared" si="430"/>
      </c>
    </row>
    <row r="1903" spans="2:20" x14ac:dyDescent="0.3">
      <c r="B1903" s="74">
        <f t="shared" ca="1" si="420"/>
      </c>
      <c r="C1903" s="78">
        <f>Кабельный_журнал!P1869</f>
      </c>
      <c r="D1903" s="74">
        <f t="shared" ca="1" si="421"/>
      </c>
      <c r="E1903" s="80" t="s">
        <v>279</v>
      </c>
      <c r="F1903" s="74">
        <f t="shared" ca="1" si="417"/>
      </c>
      <c r="G1903" s="74">
        <f t="shared" si="418"/>
      </c>
      <c r="H1903" s="80" t="s">
        <v>272</v>
      </c>
      <c r="I1903" s="74">
        <f t="shared" si="419"/>
      </c>
      <c r="J1903" s="74">
        <f t="shared" si="422"/>
      </c>
      <c r="K1903" s="80" t="s">
        <v>280</v>
      </c>
      <c r="L1903" s="74">
        <f t="shared" si="423"/>
      </c>
      <c r="M1903" s="74">
        <f t="shared" ca="1" si="424"/>
      </c>
      <c r="N1903" s="74">
        <f ca="1">VLOOKUP(B1903,$C$7:$T1901,13,FALSE)</f>
      </c>
      <c r="O1903" s="74">
        <f t="shared" ca="1" si="425"/>
      </c>
      <c r="P1903" s="74">
        <f t="shared" ca="1" si="426"/>
      </c>
      <c r="Q1903" s="74">
        <f t="shared" ca="1" si="427"/>
      </c>
      <c r="R1903" s="74">
        <f t="shared" si="428"/>
      </c>
      <c r="S1903" s="74">
        <f t="shared" ca="1" si="429"/>
      </c>
      <c r="T1903" s="74">
        <f t="shared" si="430"/>
      </c>
    </row>
    <row r="1904" spans="2:20" x14ac:dyDescent="0.3">
      <c r="B1904" s="74">
        <f t="shared" ca="1" si="420"/>
      </c>
      <c r="C1904" s="78">
        <f>Кабельный_журнал!P1870</f>
      </c>
      <c r="D1904" s="74">
        <f t="shared" ca="1" si="421"/>
      </c>
      <c r="E1904" s="80" t="s">
        <v>279</v>
      </c>
      <c r="F1904" s="74">
        <f t="shared" ca="1" si="417"/>
      </c>
      <c r="G1904" s="74">
        <f t="shared" si="418"/>
      </c>
      <c r="H1904" s="80" t="s">
        <v>272</v>
      </c>
      <c r="I1904" s="74">
        <f t="shared" si="419"/>
      </c>
      <c r="J1904" s="74">
        <f t="shared" si="422"/>
      </c>
      <c r="K1904" s="80" t="s">
        <v>280</v>
      </c>
      <c r="L1904" s="74">
        <f t="shared" si="423"/>
      </c>
      <c r="M1904" s="74">
        <f t="shared" ca="1" si="424"/>
      </c>
      <c r="N1904" s="74">
        <f ca="1">VLOOKUP(B1904,$C$7:$T1902,13,FALSE)</f>
      </c>
      <c r="O1904" s="74">
        <f t="shared" ca="1" si="425"/>
      </c>
      <c r="P1904" s="74">
        <f t="shared" ca="1" si="426"/>
      </c>
      <c r="Q1904" s="74">
        <f t="shared" ca="1" si="427"/>
      </c>
      <c r="R1904" s="74">
        <f t="shared" si="428"/>
      </c>
      <c r="S1904" s="74">
        <f t="shared" ca="1" si="429"/>
      </c>
      <c r="T1904" s="74">
        <f t="shared" si="430"/>
      </c>
    </row>
    <row r="1905" spans="2:20" x14ac:dyDescent="0.3">
      <c r="B1905" s="74">
        <f t="shared" ca="1" si="420"/>
      </c>
      <c r="C1905" s="78">
        <f>Кабельный_журнал!P1871</f>
      </c>
      <c r="D1905" s="74">
        <f t="shared" ca="1" si="421"/>
      </c>
      <c r="E1905" s="80" t="s">
        <v>279</v>
      </c>
      <c r="F1905" s="74">
        <f t="shared" ca="1" si="417"/>
      </c>
      <c r="G1905" s="74">
        <f t="shared" si="418"/>
      </c>
      <c r="H1905" s="80" t="s">
        <v>272</v>
      </c>
      <c r="I1905" s="74">
        <f t="shared" si="419"/>
      </c>
      <c r="J1905" s="74">
        <f t="shared" si="422"/>
      </c>
      <c r="K1905" s="80" t="s">
        <v>280</v>
      </c>
      <c r="L1905" s="74">
        <f t="shared" si="423"/>
      </c>
      <c r="M1905" s="74">
        <f t="shared" ca="1" si="424"/>
      </c>
      <c r="N1905" s="74">
        <f ca="1">VLOOKUP(B1905,$C$7:$T1903,13,FALSE)</f>
      </c>
      <c r="O1905" s="74">
        <f t="shared" ca="1" si="425"/>
      </c>
      <c r="P1905" s="74">
        <f t="shared" ca="1" si="426"/>
      </c>
      <c r="Q1905" s="74">
        <f t="shared" ca="1" si="427"/>
      </c>
      <c r="R1905" s="74">
        <f t="shared" si="428"/>
      </c>
      <c r="S1905" s="74">
        <f t="shared" ca="1" si="429"/>
      </c>
      <c r="T1905" s="74">
        <f t="shared" si="430"/>
      </c>
    </row>
    <row r="1906" spans="2:20" x14ac:dyDescent="0.3">
      <c r="B1906" s="74">
        <f t="shared" ca="1" si="420"/>
      </c>
      <c r="C1906" s="78">
        <f>Кабельный_журнал!P1872</f>
      </c>
      <c r="D1906" s="74">
        <f t="shared" ca="1" si="421"/>
      </c>
      <c r="E1906" s="80" t="s">
        <v>279</v>
      </c>
      <c r="F1906" s="74">
        <f t="shared" ca="1" si="417"/>
      </c>
      <c r="G1906" s="74">
        <f t="shared" si="418"/>
      </c>
      <c r="H1906" s="80" t="s">
        <v>272</v>
      </c>
      <c r="I1906" s="74">
        <f t="shared" si="419"/>
      </c>
      <c r="J1906" s="74">
        <f t="shared" si="422"/>
      </c>
      <c r="K1906" s="80" t="s">
        <v>280</v>
      </c>
      <c r="L1906" s="74">
        <f t="shared" si="423"/>
      </c>
      <c r="M1906" s="74">
        <f t="shared" ca="1" si="424"/>
      </c>
      <c r="N1906" s="74">
        <f ca="1">VLOOKUP(B1906,$C$7:$T1904,13,FALSE)</f>
      </c>
      <c r="O1906" s="74">
        <f t="shared" ca="1" si="425"/>
      </c>
      <c r="P1906" s="74">
        <f t="shared" ca="1" si="426"/>
      </c>
      <c r="Q1906" s="74">
        <f t="shared" ca="1" si="427"/>
      </c>
      <c r="R1906" s="74">
        <f t="shared" si="428"/>
      </c>
      <c r="S1906" s="74">
        <f t="shared" ca="1" si="429"/>
      </c>
      <c r="T1906" s="74">
        <f t="shared" si="430"/>
      </c>
    </row>
    <row r="1907" spans="2:20" x14ac:dyDescent="0.3">
      <c r="B1907" s="74">
        <f t="shared" ca="1" si="420"/>
      </c>
      <c r="C1907" s="78">
        <f>Кабельный_журнал!P1873</f>
      </c>
      <c r="D1907" s="74">
        <f t="shared" ca="1" si="421"/>
      </c>
      <c r="E1907" s="80" t="s">
        <v>279</v>
      </c>
      <c r="F1907" s="74">
        <f t="shared" ca="1" si="417"/>
      </c>
      <c r="G1907" s="74">
        <f t="shared" si="418"/>
      </c>
      <c r="H1907" s="80" t="s">
        <v>272</v>
      </c>
      <c r="I1907" s="74">
        <f t="shared" si="419"/>
      </c>
      <c r="J1907" s="74">
        <f t="shared" si="422"/>
      </c>
      <c r="K1907" s="80" t="s">
        <v>280</v>
      </c>
      <c r="L1907" s="74">
        <f t="shared" si="423"/>
      </c>
      <c r="M1907" s="74">
        <f t="shared" ca="1" si="424"/>
      </c>
      <c r="N1907" s="74">
        <f ca="1">VLOOKUP(B1907,$C$7:$T1905,13,FALSE)</f>
      </c>
      <c r="O1907" s="74">
        <f t="shared" ca="1" si="425"/>
      </c>
      <c r="P1907" s="74">
        <f t="shared" ca="1" si="426"/>
      </c>
      <c r="Q1907" s="74">
        <f t="shared" ca="1" si="427"/>
      </c>
      <c r="R1907" s="74">
        <f t="shared" si="428"/>
      </c>
      <c r="S1907" s="74">
        <f t="shared" ca="1" si="429"/>
      </c>
      <c r="T1907" s="74">
        <f t="shared" si="430"/>
      </c>
    </row>
    <row r="1908" spans="2:20" x14ac:dyDescent="0.3">
      <c r="B1908" s="74">
        <f t="shared" ca="1" si="420"/>
      </c>
      <c r="C1908" s="78">
        <f>Кабельный_журнал!P1874</f>
      </c>
      <c r="D1908" s="74">
        <f t="shared" ca="1" si="421"/>
      </c>
      <c r="E1908" s="80" t="s">
        <v>279</v>
      </c>
      <c r="F1908" s="74">
        <f t="shared" ca="1" si="417"/>
      </c>
      <c r="G1908" s="74">
        <f t="shared" si="418"/>
      </c>
      <c r="H1908" s="80" t="s">
        <v>272</v>
      </c>
      <c r="I1908" s="74">
        <f t="shared" si="419"/>
      </c>
      <c r="J1908" s="74">
        <f t="shared" si="422"/>
      </c>
      <c r="K1908" s="80" t="s">
        <v>280</v>
      </c>
      <c r="L1908" s="74">
        <f t="shared" si="423"/>
      </c>
      <c r="M1908" s="74">
        <f t="shared" ca="1" si="424"/>
      </c>
      <c r="N1908" s="74">
        <f ca="1">VLOOKUP(B1908,$C$7:$T1906,13,FALSE)</f>
      </c>
      <c r="O1908" s="74">
        <f t="shared" ca="1" si="425"/>
      </c>
      <c r="P1908" s="74">
        <f t="shared" ca="1" si="426"/>
      </c>
      <c r="Q1908" s="74">
        <f t="shared" ca="1" si="427"/>
      </c>
      <c r="R1908" s="74">
        <f t="shared" si="428"/>
      </c>
      <c r="S1908" s="74">
        <f t="shared" ca="1" si="429"/>
      </c>
      <c r="T1908" s="74">
        <f t="shared" si="430"/>
      </c>
    </row>
    <row r="1909" spans="2:20" x14ac:dyDescent="0.3">
      <c r="B1909" s="74">
        <f t="shared" ca="1" si="420"/>
      </c>
      <c r="C1909" s="78">
        <f>Кабельный_журнал!P1875</f>
      </c>
      <c r="D1909" s="74">
        <f t="shared" ca="1" si="421"/>
      </c>
      <c r="E1909" s="80" t="s">
        <v>279</v>
      </c>
      <c r="F1909" s="74">
        <f t="shared" ca="1" si="417"/>
      </c>
      <c r="G1909" s="74">
        <f t="shared" si="418"/>
      </c>
      <c r="H1909" s="80" t="s">
        <v>272</v>
      </c>
      <c r="I1909" s="74">
        <f t="shared" si="419"/>
      </c>
      <c r="J1909" s="74">
        <f t="shared" si="422"/>
      </c>
      <c r="K1909" s="80" t="s">
        <v>280</v>
      </c>
      <c r="L1909" s="74">
        <f t="shared" si="423"/>
      </c>
      <c r="M1909" s="74">
        <f t="shared" ca="1" si="424"/>
      </c>
      <c r="N1909" s="74">
        <f ca="1">VLOOKUP(B1909,$C$7:$T1907,13,FALSE)</f>
      </c>
      <c r="O1909" s="74">
        <f t="shared" ca="1" si="425"/>
      </c>
      <c r="P1909" s="74">
        <f t="shared" ca="1" si="426"/>
      </c>
      <c r="Q1909" s="74">
        <f t="shared" ca="1" si="427"/>
      </c>
      <c r="R1909" s="74">
        <f t="shared" si="428"/>
      </c>
      <c r="S1909" s="74">
        <f t="shared" ca="1" si="429"/>
      </c>
      <c r="T1909" s="74">
        <f t="shared" si="430"/>
      </c>
    </row>
    <row r="1910" spans="2:20" x14ac:dyDescent="0.3">
      <c r="B1910" s="74">
        <f t="shared" ca="1" si="420"/>
      </c>
      <c r="C1910" s="78">
        <f>Кабельный_журнал!P1876</f>
      </c>
      <c r="D1910" s="74">
        <f t="shared" ca="1" si="421"/>
      </c>
      <c r="E1910" s="80" t="s">
        <v>279</v>
      </c>
      <c r="F1910" s="74">
        <f t="shared" ca="1" si="417"/>
      </c>
      <c r="G1910" s="74">
        <f t="shared" si="418"/>
      </c>
      <c r="H1910" s="80" t="s">
        <v>272</v>
      </c>
      <c r="I1910" s="74">
        <f t="shared" si="419"/>
      </c>
      <c r="J1910" s="74">
        <f t="shared" si="422"/>
      </c>
      <c r="K1910" s="80" t="s">
        <v>280</v>
      </c>
      <c r="L1910" s="74">
        <f t="shared" si="423"/>
      </c>
      <c r="M1910" s="74">
        <f t="shared" ca="1" si="424"/>
      </c>
      <c r="N1910" s="74">
        <f ca="1">VLOOKUP(B1910,$C$7:$T1908,13,FALSE)</f>
      </c>
      <c r="O1910" s="74">
        <f t="shared" ca="1" si="425"/>
      </c>
      <c r="P1910" s="74">
        <f t="shared" ca="1" si="426"/>
      </c>
      <c r="Q1910" s="74">
        <f t="shared" ca="1" si="427"/>
      </c>
      <c r="R1910" s="74">
        <f t="shared" si="428"/>
      </c>
      <c r="S1910" s="74">
        <f t="shared" ca="1" si="429"/>
      </c>
      <c r="T1910" s="74">
        <f t="shared" si="430"/>
      </c>
    </row>
    <row r="1911" spans="2:20" x14ac:dyDescent="0.3">
      <c r="B1911" s="74">
        <f t="shared" ca="1" si="420"/>
      </c>
      <c r="C1911" s="78">
        <f>Кабельный_журнал!P1877</f>
      </c>
      <c r="D1911" s="74">
        <f t="shared" ca="1" si="421"/>
      </c>
      <c r="E1911" s="80" t="s">
        <v>279</v>
      </c>
      <c r="F1911" s="74">
        <f t="shared" ca="1" si="417"/>
      </c>
      <c r="G1911" s="74">
        <f t="shared" si="418"/>
      </c>
      <c r="H1911" s="80" t="s">
        <v>272</v>
      </c>
      <c r="I1911" s="74">
        <f t="shared" si="419"/>
      </c>
      <c r="J1911" s="74">
        <f t="shared" si="422"/>
      </c>
      <c r="K1911" s="80" t="s">
        <v>280</v>
      </c>
      <c r="L1911" s="74">
        <f t="shared" si="423"/>
      </c>
      <c r="M1911" s="74">
        <f t="shared" ca="1" si="424"/>
      </c>
      <c r="N1911" s="74">
        <f ca="1">VLOOKUP(B1911,$C$7:$T1909,13,FALSE)</f>
      </c>
      <c r="O1911" s="74">
        <f t="shared" ca="1" si="425"/>
      </c>
      <c r="P1911" s="74">
        <f t="shared" ca="1" si="426"/>
      </c>
      <c r="Q1911" s="74">
        <f t="shared" ca="1" si="427"/>
      </c>
      <c r="R1911" s="74">
        <f t="shared" si="428"/>
      </c>
      <c r="S1911" s="74">
        <f t="shared" ca="1" si="429"/>
      </c>
      <c r="T1911" s="74">
        <f t="shared" si="430"/>
      </c>
    </row>
    <row r="1912" spans="2:20" x14ac:dyDescent="0.3">
      <c r="B1912" s="74">
        <f t="shared" ca="1" si="420"/>
      </c>
      <c r="C1912" s="78">
        <f>Кабельный_журнал!P1878</f>
      </c>
      <c r="D1912" s="74">
        <f t="shared" ca="1" si="421"/>
      </c>
      <c r="E1912" s="80" t="s">
        <v>279</v>
      </c>
      <c r="F1912" s="74">
        <f t="shared" ca="1" si="417"/>
      </c>
      <c r="G1912" s="74">
        <f t="shared" si="418"/>
      </c>
      <c r="H1912" s="80" t="s">
        <v>272</v>
      </c>
      <c r="I1912" s="74">
        <f t="shared" si="419"/>
      </c>
      <c r="J1912" s="74">
        <f t="shared" si="422"/>
      </c>
      <c r="K1912" s="80" t="s">
        <v>280</v>
      </c>
      <c r="L1912" s="74">
        <f t="shared" si="423"/>
      </c>
      <c r="M1912" s="74">
        <f t="shared" ca="1" si="424"/>
      </c>
      <c r="N1912" s="74">
        <f ca="1">VLOOKUP(B1912,$C$7:$T1910,13,FALSE)</f>
      </c>
      <c r="O1912" s="74">
        <f t="shared" ca="1" si="425"/>
      </c>
      <c r="P1912" s="74">
        <f t="shared" ca="1" si="426"/>
      </c>
      <c r="Q1912" s="74">
        <f t="shared" ca="1" si="427"/>
      </c>
      <c r="R1912" s="74">
        <f t="shared" si="428"/>
      </c>
      <c r="S1912" s="74">
        <f t="shared" ca="1" si="429"/>
      </c>
      <c r="T1912" s="74">
        <f t="shared" si="430"/>
      </c>
    </row>
    <row r="1913" spans="2:20" x14ac:dyDescent="0.3">
      <c r="B1913" s="74">
        <f t="shared" ca="1" si="420"/>
      </c>
      <c r="C1913" s="78">
        <f>Кабельный_журнал!P1879</f>
      </c>
      <c r="D1913" s="74">
        <f t="shared" ca="1" si="421"/>
      </c>
      <c r="E1913" s="80" t="s">
        <v>279</v>
      </c>
      <c r="F1913" s="74">
        <f t="shared" ca="1" si="417"/>
      </c>
      <c r="G1913" s="74">
        <f t="shared" si="418"/>
      </c>
      <c r="H1913" s="80" t="s">
        <v>272</v>
      </c>
      <c r="I1913" s="74">
        <f t="shared" si="419"/>
      </c>
      <c r="J1913" s="74">
        <f t="shared" si="422"/>
      </c>
      <c r="K1913" s="80" t="s">
        <v>280</v>
      </c>
      <c r="L1913" s="74">
        <f t="shared" si="423"/>
      </c>
      <c r="M1913" s="74">
        <f t="shared" ca="1" si="424"/>
      </c>
      <c r="N1913" s="74">
        <f ca="1">VLOOKUP(B1913,$C$7:$T1911,13,FALSE)</f>
      </c>
      <c r="O1913" s="74">
        <f t="shared" ca="1" si="425"/>
      </c>
      <c r="P1913" s="74">
        <f t="shared" ca="1" si="426"/>
      </c>
      <c r="Q1913" s="74">
        <f t="shared" ca="1" si="427"/>
      </c>
      <c r="R1913" s="74">
        <f t="shared" si="428"/>
      </c>
      <c r="S1913" s="74">
        <f t="shared" ca="1" si="429"/>
      </c>
      <c r="T1913" s="74">
        <f t="shared" si="430"/>
      </c>
    </row>
    <row r="1914" spans="2:20" x14ac:dyDescent="0.3">
      <c r="B1914" s="74">
        <f t="shared" ca="1" si="420"/>
      </c>
      <c r="C1914" s="78">
        <f>Кабельный_журнал!P1880</f>
      </c>
      <c r="D1914" s="74">
        <f t="shared" ca="1" si="421"/>
      </c>
      <c r="E1914" s="80" t="s">
        <v>279</v>
      </c>
      <c r="F1914" s="74">
        <f t="shared" ca="1" si="417"/>
      </c>
      <c r="G1914" s="74">
        <f t="shared" si="418"/>
      </c>
      <c r="H1914" s="80" t="s">
        <v>272</v>
      </c>
      <c r="I1914" s="74">
        <f t="shared" si="419"/>
      </c>
      <c r="J1914" s="74">
        <f t="shared" si="422"/>
      </c>
      <c r="K1914" s="80" t="s">
        <v>280</v>
      </c>
      <c r="L1914" s="74">
        <f t="shared" si="423"/>
      </c>
      <c r="M1914" s="74">
        <f t="shared" ca="1" si="424"/>
      </c>
      <c r="N1914" s="74">
        <f ca="1">VLOOKUP(B1914,$C$7:$T1912,13,FALSE)</f>
      </c>
      <c r="O1914" s="74">
        <f t="shared" ca="1" si="425"/>
      </c>
      <c r="P1914" s="74">
        <f t="shared" ca="1" si="426"/>
      </c>
      <c r="Q1914" s="74">
        <f t="shared" ca="1" si="427"/>
      </c>
      <c r="R1914" s="74">
        <f t="shared" si="428"/>
      </c>
      <c r="S1914" s="74">
        <f t="shared" ca="1" si="429"/>
      </c>
      <c r="T1914" s="74">
        <f t="shared" si="430"/>
      </c>
    </row>
    <row r="1915" spans="2:20" x14ac:dyDescent="0.3">
      <c r="B1915" s="74">
        <f t="shared" ca="1" si="420"/>
      </c>
      <c r="C1915" s="78">
        <f>Кабельный_журнал!P1881</f>
      </c>
      <c r="D1915" s="74">
        <f t="shared" ca="1" si="421"/>
      </c>
      <c r="E1915" s="80" t="s">
        <v>279</v>
      </c>
      <c r="F1915" s="74">
        <f t="shared" ca="1" si="417"/>
      </c>
      <c r="G1915" s="74">
        <f t="shared" si="418"/>
      </c>
      <c r="H1915" s="80" t="s">
        <v>272</v>
      </c>
      <c r="I1915" s="74">
        <f t="shared" si="419"/>
      </c>
      <c r="J1915" s="74">
        <f t="shared" si="422"/>
      </c>
      <c r="K1915" s="80" t="s">
        <v>280</v>
      </c>
      <c r="L1915" s="74">
        <f t="shared" si="423"/>
      </c>
      <c r="M1915" s="74">
        <f t="shared" ca="1" si="424"/>
      </c>
      <c r="N1915" s="74">
        <f ca="1">VLOOKUP(B1915,$C$7:$T1913,13,FALSE)</f>
      </c>
      <c r="O1915" s="74">
        <f t="shared" ca="1" si="425"/>
      </c>
      <c r="P1915" s="74">
        <f t="shared" ca="1" si="426"/>
      </c>
      <c r="Q1915" s="74">
        <f t="shared" ca="1" si="427"/>
      </c>
      <c r="R1915" s="74">
        <f t="shared" si="428"/>
      </c>
      <c r="S1915" s="74">
        <f t="shared" ca="1" si="429"/>
      </c>
      <c r="T1915" s="74">
        <f t="shared" si="430"/>
      </c>
    </row>
    <row r="1916" spans="2:20" x14ac:dyDescent="0.3">
      <c r="B1916" s="74">
        <f t="shared" ca="1" si="420"/>
      </c>
      <c r="C1916" s="78">
        <f>Кабельный_журнал!P1882</f>
      </c>
      <c r="D1916" s="74">
        <f t="shared" ca="1" si="421"/>
      </c>
      <c r="E1916" s="80" t="s">
        <v>279</v>
      </c>
      <c r="F1916" s="74">
        <f t="shared" ca="1" si="417"/>
      </c>
      <c r="G1916" s="74">
        <f t="shared" si="418"/>
      </c>
      <c r="H1916" s="80" t="s">
        <v>272</v>
      </c>
      <c r="I1916" s="74">
        <f t="shared" si="419"/>
      </c>
      <c r="J1916" s="74">
        <f t="shared" si="422"/>
      </c>
      <c r="K1916" s="80" t="s">
        <v>280</v>
      </c>
      <c r="L1916" s="74">
        <f t="shared" si="423"/>
      </c>
      <c r="M1916" s="74">
        <f t="shared" ca="1" si="424"/>
      </c>
      <c r="N1916" s="74">
        <f ca="1">VLOOKUP(B1916,$C$7:$T1914,13,FALSE)</f>
      </c>
      <c r="O1916" s="74">
        <f t="shared" ca="1" si="425"/>
      </c>
      <c r="P1916" s="74">
        <f t="shared" ca="1" si="426"/>
      </c>
      <c r="Q1916" s="74">
        <f t="shared" ca="1" si="427"/>
      </c>
      <c r="R1916" s="74">
        <f t="shared" si="428"/>
      </c>
      <c r="S1916" s="74">
        <f t="shared" ca="1" si="429"/>
      </c>
      <c r="T1916" s="74">
        <f t="shared" si="430"/>
      </c>
    </row>
    <row r="1917" spans="2:20" x14ac:dyDescent="0.3">
      <c r="B1917" s="74">
        <f t="shared" ca="1" si="420"/>
      </c>
      <c r="C1917" s="78">
        <f>Кабельный_журнал!P1883</f>
      </c>
      <c r="D1917" s="74">
        <f t="shared" ca="1" si="421"/>
      </c>
      <c r="E1917" s="80" t="s">
        <v>279</v>
      </c>
      <c r="F1917" s="74">
        <f t="shared" ca="1" si="417"/>
      </c>
      <c r="G1917" s="74">
        <f t="shared" si="418"/>
      </c>
      <c r="H1917" s="80" t="s">
        <v>272</v>
      </c>
      <c r="I1917" s="74">
        <f t="shared" si="419"/>
      </c>
      <c r="J1917" s="74">
        <f t="shared" si="422"/>
      </c>
      <c r="K1917" s="80" t="s">
        <v>280</v>
      </c>
      <c r="L1917" s="74">
        <f t="shared" si="423"/>
      </c>
      <c r="M1917" s="74">
        <f t="shared" ca="1" si="424"/>
      </c>
      <c r="N1917" s="74">
        <f ca="1">VLOOKUP(B1917,$C$7:$T1915,13,FALSE)</f>
      </c>
      <c r="O1917" s="74">
        <f t="shared" ca="1" si="425"/>
      </c>
      <c r="P1917" s="74">
        <f t="shared" ca="1" si="426"/>
      </c>
      <c r="Q1917" s="74">
        <f t="shared" ca="1" si="427"/>
      </c>
      <c r="R1917" s="74">
        <f t="shared" si="428"/>
      </c>
      <c r="S1917" s="74">
        <f t="shared" ca="1" si="429"/>
      </c>
      <c r="T1917" s="74">
        <f t="shared" si="430"/>
      </c>
    </row>
    <row r="1918" spans="2:20" x14ac:dyDescent="0.3">
      <c r="B1918" s="74">
        <f t="shared" ca="1" si="420"/>
      </c>
      <c r="C1918" s="78">
        <f>Кабельный_журнал!P1884</f>
      </c>
      <c r="D1918" s="74">
        <f t="shared" ca="1" si="421"/>
      </c>
      <c r="E1918" s="80" t="s">
        <v>279</v>
      </c>
      <c r="F1918" s="74">
        <f t="shared" ca="1" si="417"/>
      </c>
      <c r="G1918" s="74">
        <f t="shared" si="418"/>
      </c>
      <c r="H1918" s="80" t="s">
        <v>272</v>
      </c>
      <c r="I1918" s="74">
        <f t="shared" si="419"/>
      </c>
      <c r="J1918" s="74">
        <f t="shared" si="422"/>
      </c>
      <c r="K1918" s="80" t="s">
        <v>280</v>
      </c>
      <c r="L1918" s="74">
        <f t="shared" si="423"/>
      </c>
      <c r="M1918" s="74">
        <f t="shared" ca="1" si="424"/>
      </c>
      <c r="N1918" s="74">
        <f ca="1">VLOOKUP(B1918,$C$7:$T1916,13,FALSE)</f>
      </c>
      <c r="O1918" s="74">
        <f t="shared" ca="1" si="425"/>
      </c>
      <c r="P1918" s="74">
        <f t="shared" ca="1" si="426"/>
      </c>
      <c r="Q1918" s="74">
        <f t="shared" ca="1" si="427"/>
      </c>
      <c r="R1918" s="74">
        <f t="shared" si="428"/>
      </c>
      <c r="S1918" s="74">
        <f t="shared" ca="1" si="429"/>
      </c>
      <c r="T1918" s="74">
        <f t="shared" si="430"/>
      </c>
    </row>
    <row r="1919" spans="2:20" x14ac:dyDescent="0.3">
      <c r="B1919" s="74">
        <f t="shared" ca="1" si="420"/>
      </c>
      <c r="C1919" s="78">
        <f>Кабельный_журнал!P1885</f>
      </c>
      <c r="D1919" s="74">
        <f t="shared" ca="1" si="421"/>
      </c>
      <c r="E1919" s="80" t="s">
        <v>279</v>
      </c>
      <c r="F1919" s="74">
        <f t="shared" ca="1" si="417"/>
      </c>
      <c r="G1919" s="74">
        <f t="shared" si="418"/>
      </c>
      <c r="H1919" s="80" t="s">
        <v>272</v>
      </c>
      <c r="I1919" s="74">
        <f t="shared" si="419"/>
      </c>
      <c r="J1919" s="74">
        <f t="shared" si="422"/>
      </c>
      <c r="K1919" s="80" t="s">
        <v>280</v>
      </c>
      <c r="L1919" s="74">
        <f t="shared" si="423"/>
      </c>
      <c r="M1919" s="74">
        <f t="shared" ca="1" si="424"/>
      </c>
      <c r="N1919" s="74">
        <f ca="1">VLOOKUP(B1919,$C$7:$T1917,13,FALSE)</f>
      </c>
      <c r="O1919" s="74">
        <f t="shared" ca="1" si="425"/>
      </c>
      <c r="P1919" s="74">
        <f t="shared" ca="1" si="426"/>
      </c>
      <c r="Q1919" s="74">
        <f t="shared" ca="1" si="427"/>
      </c>
      <c r="R1919" s="74">
        <f t="shared" si="428"/>
      </c>
      <c r="S1919" s="74">
        <f t="shared" ca="1" si="429"/>
      </c>
      <c r="T1919" s="74">
        <f t="shared" si="430"/>
      </c>
    </row>
    <row r="1920" spans="2:20" x14ac:dyDescent="0.3">
      <c r="B1920" s="74">
        <f t="shared" ca="1" si="420"/>
      </c>
      <c r="C1920" s="78">
        <f>Кабельный_журнал!P1886</f>
      </c>
      <c r="D1920" s="74">
        <f t="shared" ca="1" si="421"/>
      </c>
      <c r="E1920" s="80" t="s">
        <v>279</v>
      </c>
      <c r="F1920" s="74">
        <f t="shared" ca="1" si="417"/>
      </c>
      <c r="G1920" s="74">
        <f t="shared" si="418"/>
      </c>
      <c r="H1920" s="80" t="s">
        <v>272</v>
      </c>
      <c r="I1920" s="74">
        <f t="shared" si="419"/>
      </c>
      <c r="J1920" s="74">
        <f t="shared" si="422"/>
      </c>
      <c r="K1920" s="80" t="s">
        <v>280</v>
      </c>
      <c r="L1920" s="74">
        <f t="shared" si="423"/>
      </c>
      <c r="M1920" s="74">
        <f t="shared" ca="1" si="424"/>
      </c>
      <c r="N1920" s="74">
        <f ca="1">VLOOKUP(B1920,$C$7:$T1918,13,FALSE)</f>
      </c>
      <c r="O1920" s="74">
        <f t="shared" ca="1" si="425"/>
      </c>
      <c r="P1920" s="74">
        <f t="shared" ca="1" si="426"/>
      </c>
      <c r="Q1920" s="74">
        <f t="shared" ca="1" si="427"/>
      </c>
      <c r="R1920" s="74">
        <f t="shared" si="428"/>
      </c>
      <c r="S1920" s="74">
        <f t="shared" ca="1" si="429"/>
      </c>
      <c r="T1920" s="74">
        <f t="shared" si="430"/>
      </c>
    </row>
    <row r="1921" spans="2:20" x14ac:dyDescent="0.3">
      <c r="B1921" s="74">
        <f t="shared" ca="1" si="420"/>
      </c>
      <c r="C1921" s="78">
        <f>Кабельный_журнал!P1887</f>
      </c>
      <c r="D1921" s="74">
        <f t="shared" ca="1" si="421"/>
      </c>
      <c r="E1921" s="80" t="s">
        <v>279</v>
      </c>
      <c r="F1921" s="74">
        <f t="shared" ca="1" si="417"/>
      </c>
      <c r="G1921" s="74">
        <f t="shared" si="418"/>
      </c>
      <c r="H1921" s="80" t="s">
        <v>272</v>
      </c>
      <c r="I1921" s="74">
        <f t="shared" si="419"/>
      </c>
      <c r="J1921" s="74">
        <f t="shared" si="422"/>
      </c>
      <c r="K1921" s="80" t="s">
        <v>280</v>
      </c>
      <c r="L1921" s="74">
        <f t="shared" si="423"/>
      </c>
      <c r="M1921" s="74">
        <f t="shared" ca="1" si="424"/>
      </c>
      <c r="N1921" s="74">
        <f ca="1">VLOOKUP(B1921,$C$7:$T1919,13,FALSE)</f>
      </c>
      <c r="O1921" s="74">
        <f t="shared" ca="1" si="425"/>
      </c>
      <c r="P1921" s="74">
        <f t="shared" ca="1" si="426"/>
      </c>
      <c r="Q1921" s="74">
        <f t="shared" ca="1" si="427"/>
      </c>
      <c r="R1921" s="74">
        <f t="shared" si="428"/>
      </c>
      <c r="S1921" s="74">
        <f t="shared" ca="1" si="429"/>
      </c>
      <c r="T1921" s="74">
        <f t="shared" si="430"/>
      </c>
    </row>
    <row r="1922" spans="2:20" x14ac:dyDescent="0.3">
      <c r="B1922" s="74">
        <f t="shared" ca="1" si="420"/>
      </c>
      <c r="C1922" s="78">
        <f>Кабельный_журнал!P1888</f>
      </c>
      <c r="D1922" s="74">
        <f t="shared" ca="1" si="421"/>
      </c>
      <c r="E1922" s="80" t="s">
        <v>279</v>
      </c>
      <c r="F1922" s="74">
        <f t="shared" ca="1" si="417"/>
      </c>
      <c r="G1922" s="74">
        <f t="shared" si="418"/>
      </c>
      <c r="H1922" s="80" t="s">
        <v>272</v>
      </c>
      <c r="I1922" s="74">
        <f t="shared" si="419"/>
      </c>
      <c r="J1922" s="74">
        <f t="shared" si="422"/>
      </c>
      <c r="K1922" s="80" t="s">
        <v>280</v>
      </c>
      <c r="L1922" s="74">
        <f t="shared" si="423"/>
      </c>
      <c r="M1922" s="74">
        <f t="shared" ca="1" si="424"/>
      </c>
      <c r="N1922" s="74">
        <f ca="1">VLOOKUP(B1922,$C$7:$T1920,13,FALSE)</f>
      </c>
      <c r="O1922" s="74">
        <f t="shared" ca="1" si="425"/>
      </c>
      <c r="P1922" s="74">
        <f t="shared" ca="1" si="426"/>
      </c>
      <c r="Q1922" s="74">
        <f t="shared" ca="1" si="427"/>
      </c>
      <c r="R1922" s="74">
        <f t="shared" si="428"/>
      </c>
      <c r="S1922" s="74">
        <f t="shared" ca="1" si="429"/>
      </c>
      <c r="T1922" s="74">
        <f t="shared" si="430"/>
      </c>
    </row>
    <row r="1923" spans="2:20" x14ac:dyDescent="0.3">
      <c r="B1923" s="74">
        <f t="shared" ca="1" si="420"/>
      </c>
      <c r="C1923" s="78">
        <f>Кабельный_журнал!P1889</f>
      </c>
      <c r="D1923" s="74">
        <f t="shared" ca="1" si="421"/>
      </c>
      <c r="E1923" s="80" t="s">
        <v>279</v>
      </c>
      <c r="F1923" s="74">
        <f t="shared" ca="1" si="417"/>
      </c>
      <c r="G1923" s="74">
        <f t="shared" si="418"/>
      </c>
      <c r="H1923" s="80" t="s">
        <v>272</v>
      </c>
      <c r="I1923" s="74">
        <f t="shared" si="419"/>
      </c>
      <c r="J1923" s="74">
        <f t="shared" si="422"/>
      </c>
      <c r="K1923" s="80" t="s">
        <v>280</v>
      </c>
      <c r="L1923" s="74">
        <f t="shared" si="423"/>
      </c>
      <c r="M1923" s="74">
        <f t="shared" ca="1" si="424"/>
      </c>
      <c r="N1923" s="74">
        <f ca="1">VLOOKUP(B1923,$C$7:$T1921,13,FALSE)</f>
      </c>
      <c r="O1923" s="74">
        <f t="shared" ca="1" si="425"/>
      </c>
      <c r="P1923" s="74">
        <f t="shared" ca="1" si="426"/>
      </c>
      <c r="Q1923" s="74">
        <f t="shared" ca="1" si="427"/>
      </c>
      <c r="R1923" s="74">
        <f t="shared" si="428"/>
      </c>
      <c r="S1923" s="74">
        <f t="shared" ca="1" si="429"/>
      </c>
      <c r="T1923" s="74">
        <f t="shared" si="430"/>
      </c>
    </row>
    <row r="1924" spans="2:20" x14ac:dyDescent="0.3">
      <c r="B1924" s="74">
        <f t="shared" ca="1" si="420"/>
      </c>
      <c r="C1924" s="78">
        <f>Кабельный_журнал!P1890</f>
      </c>
      <c r="D1924" s="74">
        <f t="shared" ca="1" si="421"/>
      </c>
      <c r="E1924" s="80" t="s">
        <v>279</v>
      </c>
      <c r="F1924" s="74">
        <f t="shared" ca="1" si="417"/>
      </c>
      <c r="G1924" s="74">
        <f t="shared" si="418"/>
      </c>
      <c r="H1924" s="80" t="s">
        <v>272</v>
      </c>
      <c r="I1924" s="74">
        <f t="shared" si="419"/>
      </c>
      <c r="J1924" s="74">
        <f t="shared" si="422"/>
      </c>
      <c r="K1924" s="80" t="s">
        <v>280</v>
      </c>
      <c r="L1924" s="74">
        <f t="shared" si="423"/>
      </c>
      <c r="M1924" s="74">
        <f t="shared" ca="1" si="424"/>
      </c>
      <c r="N1924" s="74">
        <f ca="1">VLOOKUP(B1924,$C$7:$T1922,13,FALSE)</f>
      </c>
      <c r="O1924" s="74">
        <f t="shared" ca="1" si="425"/>
      </c>
      <c r="P1924" s="74">
        <f t="shared" ca="1" si="426"/>
      </c>
      <c r="Q1924" s="74">
        <f t="shared" ca="1" si="427"/>
      </c>
      <c r="R1924" s="74">
        <f t="shared" si="428"/>
      </c>
      <c r="S1924" s="74">
        <f t="shared" ca="1" si="429"/>
      </c>
      <c r="T1924" s="74">
        <f t="shared" si="430"/>
      </c>
    </row>
    <row r="1925" spans="2:20" x14ac:dyDescent="0.3">
      <c r="B1925" s="74">
        <f t="shared" ca="1" si="420"/>
      </c>
      <c r="C1925" s="78">
        <f>Кабельный_журнал!P1891</f>
      </c>
      <c r="D1925" s="74">
        <f t="shared" ca="1" si="421"/>
      </c>
      <c r="E1925" s="80" t="s">
        <v>279</v>
      </c>
      <c r="F1925" s="74">
        <f t="shared" ca="1" si="417"/>
      </c>
      <c r="G1925" s="74">
        <f t="shared" si="418"/>
      </c>
      <c r="H1925" s="80" t="s">
        <v>272</v>
      </c>
      <c r="I1925" s="74">
        <f t="shared" si="419"/>
      </c>
      <c r="J1925" s="74">
        <f t="shared" si="422"/>
      </c>
      <c r="K1925" s="80" t="s">
        <v>280</v>
      </c>
      <c r="L1925" s="74">
        <f t="shared" si="423"/>
      </c>
      <c r="M1925" s="74">
        <f t="shared" ca="1" si="424"/>
      </c>
      <c r="N1925" s="74">
        <f ca="1">VLOOKUP(B1925,$C$7:$T1923,13,FALSE)</f>
      </c>
      <c r="O1925" s="74">
        <f t="shared" ca="1" si="425"/>
      </c>
      <c r="P1925" s="74">
        <f t="shared" ca="1" si="426"/>
      </c>
      <c r="Q1925" s="74">
        <f t="shared" ca="1" si="427"/>
      </c>
      <c r="R1925" s="74">
        <f t="shared" si="428"/>
      </c>
      <c r="S1925" s="74">
        <f t="shared" ca="1" si="429"/>
      </c>
      <c r="T1925" s="74">
        <f t="shared" si="430"/>
      </c>
    </row>
    <row r="1926" spans="2:20" x14ac:dyDescent="0.3">
      <c r="B1926" s="74">
        <f t="shared" ca="1" si="420"/>
      </c>
      <c r="C1926" s="78">
        <f>Кабельный_журнал!P1892</f>
      </c>
      <c r="D1926" s="74">
        <f t="shared" ca="1" si="421"/>
      </c>
      <c r="E1926" s="80" t="s">
        <v>279</v>
      </c>
      <c r="F1926" s="74">
        <f t="shared" ca="1" si="417"/>
      </c>
      <c r="G1926" s="74">
        <f t="shared" si="418"/>
      </c>
      <c r="H1926" s="80" t="s">
        <v>272</v>
      </c>
      <c r="I1926" s="74">
        <f t="shared" si="419"/>
      </c>
      <c r="J1926" s="74">
        <f t="shared" si="422"/>
      </c>
      <c r="K1926" s="80" t="s">
        <v>280</v>
      </c>
      <c r="L1926" s="74">
        <f t="shared" si="423"/>
      </c>
      <c r="M1926" s="74">
        <f t="shared" ca="1" si="424"/>
      </c>
      <c r="N1926" s="74">
        <f ca="1">VLOOKUP(B1926,$C$7:$T1924,13,FALSE)</f>
      </c>
      <c r="O1926" s="74">
        <f t="shared" ca="1" si="425"/>
      </c>
      <c r="P1926" s="74">
        <f t="shared" ca="1" si="426"/>
      </c>
      <c r="Q1926" s="74">
        <f t="shared" ca="1" si="427"/>
      </c>
      <c r="R1926" s="74">
        <f t="shared" si="428"/>
      </c>
      <c r="S1926" s="74">
        <f t="shared" ca="1" si="429"/>
      </c>
      <c r="T1926" s="74">
        <f t="shared" si="430"/>
      </c>
    </row>
    <row r="1927" spans="2:20" x14ac:dyDescent="0.3">
      <c r="B1927" s="74">
        <f t="shared" ca="1" si="420"/>
      </c>
      <c r="C1927" s="78">
        <f>Кабельный_журнал!P1893</f>
      </c>
      <c r="D1927" s="74">
        <f t="shared" ca="1" si="421"/>
      </c>
      <c r="E1927" s="80" t="s">
        <v>279</v>
      </c>
      <c r="F1927" s="74">
        <f t="shared" ca="1" si="417"/>
      </c>
      <c r="G1927" s="74">
        <f t="shared" si="418"/>
      </c>
      <c r="H1927" s="80" t="s">
        <v>272</v>
      </c>
      <c r="I1927" s="74">
        <f t="shared" si="419"/>
      </c>
      <c r="J1927" s="74">
        <f t="shared" si="422"/>
      </c>
      <c r="K1927" s="80" t="s">
        <v>280</v>
      </c>
      <c r="L1927" s="74">
        <f t="shared" si="423"/>
      </c>
      <c r="M1927" s="74">
        <f t="shared" ca="1" si="424"/>
      </c>
      <c r="N1927" s="74">
        <f ca="1">VLOOKUP(B1927,$C$7:$T1925,13,FALSE)</f>
      </c>
      <c r="O1927" s="74">
        <f t="shared" ca="1" si="425"/>
      </c>
      <c r="P1927" s="74">
        <f t="shared" ca="1" si="426"/>
      </c>
      <c r="Q1927" s="74">
        <f t="shared" ca="1" si="427"/>
      </c>
      <c r="R1927" s="74">
        <f t="shared" si="428"/>
      </c>
      <c r="S1927" s="74">
        <f t="shared" ca="1" si="429"/>
      </c>
      <c r="T1927" s="74">
        <f t="shared" si="430"/>
      </c>
    </row>
    <row r="1928" spans="2:20" x14ac:dyDescent="0.3">
      <c r="B1928" s="74">
        <f t="shared" ca="1" si="420"/>
      </c>
      <c r="C1928" s="78">
        <f>Кабельный_журнал!P1894</f>
      </c>
      <c r="D1928" s="74">
        <f t="shared" ca="1" si="421"/>
      </c>
      <c r="E1928" s="80" t="s">
        <v>279</v>
      </c>
      <c r="F1928" s="74">
        <f t="shared" ca="1" si="417"/>
      </c>
      <c r="G1928" s="74">
        <f t="shared" si="418"/>
      </c>
      <c r="H1928" s="80" t="s">
        <v>272</v>
      </c>
      <c r="I1928" s="74">
        <f t="shared" si="419"/>
      </c>
      <c r="J1928" s="74">
        <f t="shared" si="422"/>
      </c>
      <c r="K1928" s="80" t="s">
        <v>280</v>
      </c>
      <c r="L1928" s="74">
        <f t="shared" si="423"/>
      </c>
      <c r="M1928" s="74">
        <f t="shared" ca="1" si="424"/>
      </c>
      <c r="N1928" s="74">
        <f ca="1">VLOOKUP(B1928,$C$7:$T1926,13,FALSE)</f>
      </c>
      <c r="O1928" s="74">
        <f t="shared" ca="1" si="425"/>
      </c>
      <c r="P1928" s="74">
        <f t="shared" ca="1" si="426"/>
      </c>
      <c r="Q1928" s="74">
        <f t="shared" ca="1" si="427"/>
      </c>
      <c r="R1928" s="74">
        <f t="shared" si="428"/>
      </c>
      <c r="S1928" s="74">
        <f t="shared" ca="1" si="429"/>
      </c>
      <c r="T1928" s="74">
        <f t="shared" si="430"/>
      </c>
    </row>
    <row r="1929" spans="2:20" x14ac:dyDescent="0.3">
      <c r="B1929" s="74">
        <f t="shared" ca="1" si="420"/>
      </c>
      <c r="C1929" s="78">
        <f>Кабельный_журнал!P1895</f>
      </c>
      <c r="D1929" s="74">
        <f t="shared" ca="1" si="421"/>
      </c>
      <c r="E1929" s="80" t="s">
        <v>279</v>
      </c>
      <c r="F1929" s="74">
        <f t="shared" ca="1" si="417"/>
      </c>
      <c r="G1929" s="74">
        <f t="shared" si="418"/>
      </c>
      <c r="H1929" s="80" t="s">
        <v>272</v>
      </c>
      <c r="I1929" s="74">
        <f t="shared" si="419"/>
      </c>
      <c r="J1929" s="74">
        <f t="shared" si="422"/>
      </c>
      <c r="K1929" s="80" t="s">
        <v>280</v>
      </c>
      <c r="L1929" s="74">
        <f t="shared" si="423"/>
      </c>
      <c r="M1929" s="74">
        <f t="shared" ca="1" si="424"/>
      </c>
      <c r="N1929" s="74">
        <f ca="1">VLOOKUP(B1929,$C$7:$T1927,13,FALSE)</f>
      </c>
      <c r="O1929" s="74">
        <f t="shared" ca="1" si="425"/>
      </c>
      <c r="P1929" s="74">
        <f t="shared" ca="1" si="426"/>
      </c>
      <c r="Q1929" s="74">
        <f t="shared" ca="1" si="427"/>
      </c>
      <c r="R1929" s="74">
        <f t="shared" si="428"/>
      </c>
      <c r="S1929" s="74">
        <f t="shared" ca="1" si="429"/>
      </c>
      <c r="T1929" s="74">
        <f t="shared" si="430"/>
      </c>
    </row>
    <row r="1930" spans="2:20" x14ac:dyDescent="0.3">
      <c r="B1930" s="74">
        <f t="shared" ca="1" si="420"/>
      </c>
      <c r="C1930" s="78">
        <f>Кабельный_журнал!P1896</f>
      </c>
      <c r="D1930" s="74">
        <f t="shared" ca="1" si="421"/>
      </c>
      <c r="E1930" s="80" t="s">
        <v>279</v>
      </c>
      <c r="F1930" s="74">
        <f t="shared" ca="1" si="417"/>
      </c>
      <c r="G1930" s="74">
        <f t="shared" si="418"/>
      </c>
      <c r="H1930" s="80" t="s">
        <v>272</v>
      </c>
      <c r="I1930" s="74">
        <f t="shared" si="419"/>
      </c>
      <c r="J1930" s="74">
        <f t="shared" si="422"/>
      </c>
      <c r="K1930" s="80" t="s">
        <v>280</v>
      </c>
      <c r="L1930" s="74">
        <f t="shared" si="423"/>
      </c>
      <c r="M1930" s="74">
        <f t="shared" ca="1" si="424"/>
      </c>
      <c r="N1930" s="74">
        <f ca="1">VLOOKUP(B1930,$C$7:$T1928,13,FALSE)</f>
      </c>
      <c r="O1930" s="74">
        <f t="shared" ca="1" si="425"/>
      </c>
      <c r="P1930" s="74">
        <f t="shared" ca="1" si="426"/>
      </c>
      <c r="Q1930" s="74">
        <f t="shared" ca="1" si="427"/>
      </c>
      <c r="R1930" s="74">
        <f t="shared" si="428"/>
      </c>
      <c r="S1930" s="74">
        <f t="shared" ca="1" si="429"/>
      </c>
      <c r="T1930" s="74">
        <f t="shared" si="430"/>
      </c>
    </row>
    <row r="1931" spans="2:20" x14ac:dyDescent="0.3">
      <c r="B1931" s="74">
        <f t="shared" ca="1" si="420"/>
      </c>
      <c r="C1931" s="78">
        <f>Кабельный_журнал!P1897</f>
      </c>
      <c r="D1931" s="74">
        <f t="shared" ca="1" si="421"/>
      </c>
      <c r="E1931" s="80" t="s">
        <v>279</v>
      </c>
      <c r="F1931" s="74">
        <f t="shared" ca="1" si="417"/>
      </c>
      <c r="G1931" s="74">
        <f t="shared" si="418"/>
      </c>
      <c r="H1931" s="80" t="s">
        <v>272</v>
      </c>
      <c r="I1931" s="74">
        <f t="shared" si="419"/>
      </c>
      <c r="J1931" s="74">
        <f t="shared" si="422"/>
      </c>
      <c r="K1931" s="80" t="s">
        <v>280</v>
      </c>
      <c r="L1931" s="74">
        <f t="shared" si="423"/>
      </c>
      <c r="M1931" s="74">
        <f t="shared" ca="1" si="424"/>
      </c>
      <c r="N1931" s="74">
        <f ca="1">VLOOKUP(B1931,$C$7:$T1929,13,FALSE)</f>
      </c>
      <c r="O1931" s="74">
        <f t="shared" ca="1" si="425"/>
      </c>
      <c r="P1931" s="74">
        <f t="shared" ca="1" si="426"/>
      </c>
      <c r="Q1931" s="74">
        <f t="shared" ca="1" si="427"/>
      </c>
      <c r="R1931" s="74">
        <f t="shared" si="428"/>
      </c>
      <c r="S1931" s="74">
        <f t="shared" ca="1" si="429"/>
      </c>
      <c r="T1931" s="74">
        <f t="shared" si="430"/>
      </c>
    </row>
    <row r="1932" spans="2:20" x14ac:dyDescent="0.3">
      <c r="B1932" s="74">
        <f t="shared" ca="1" si="420"/>
      </c>
      <c r="C1932" s="78">
        <f>Кабельный_журнал!P1898</f>
      </c>
      <c r="D1932" s="74">
        <f t="shared" ca="1" si="421"/>
      </c>
      <c r="E1932" s="80" t="s">
        <v>279</v>
      </c>
      <c r="F1932" s="74">
        <f t="shared" ca="1" si="417"/>
      </c>
      <c r="G1932" s="74">
        <f t="shared" si="418"/>
      </c>
      <c r="H1932" s="80" t="s">
        <v>272</v>
      </c>
      <c r="I1932" s="74">
        <f t="shared" si="419"/>
      </c>
      <c r="J1932" s="74">
        <f t="shared" si="422"/>
      </c>
      <c r="K1932" s="80" t="s">
        <v>280</v>
      </c>
      <c r="L1932" s="74">
        <f t="shared" si="423"/>
      </c>
      <c r="M1932" s="74">
        <f t="shared" ca="1" si="424"/>
      </c>
      <c r="N1932" s="74">
        <f ca="1">VLOOKUP(B1932,$C$7:$T1930,13,FALSE)</f>
      </c>
      <c r="O1932" s="74">
        <f t="shared" ca="1" si="425"/>
      </c>
      <c r="P1932" s="74">
        <f t="shared" ca="1" si="426"/>
      </c>
      <c r="Q1932" s="74">
        <f t="shared" ca="1" si="427"/>
      </c>
      <c r="R1932" s="74">
        <f t="shared" si="428"/>
      </c>
      <c r="S1932" s="74">
        <f t="shared" ca="1" si="429"/>
      </c>
      <c r="T1932" s="74">
        <f t="shared" si="430"/>
      </c>
    </row>
    <row r="1933" spans="2:20" x14ac:dyDescent="0.3">
      <c r="B1933" s="74">
        <f t="shared" ca="1" si="420"/>
      </c>
      <c r="C1933" s="78">
        <f>Кабельный_журнал!P1899</f>
      </c>
      <c r="D1933" s="74">
        <f t="shared" ca="1" si="421"/>
      </c>
      <c r="E1933" s="80" t="s">
        <v>279</v>
      </c>
      <c r="F1933" s="74">
        <f t="shared" ca="1" si="417"/>
      </c>
      <c r="G1933" s="74">
        <f t="shared" si="418"/>
      </c>
      <c r="H1933" s="80" t="s">
        <v>272</v>
      </c>
      <c r="I1933" s="74">
        <f t="shared" si="419"/>
      </c>
      <c r="J1933" s="74">
        <f t="shared" si="422"/>
      </c>
      <c r="K1933" s="80" t="s">
        <v>280</v>
      </c>
      <c r="L1933" s="74">
        <f t="shared" si="423"/>
      </c>
      <c r="M1933" s="74">
        <f t="shared" ca="1" si="424"/>
      </c>
      <c r="N1933" s="74">
        <f ca="1">VLOOKUP(B1933,$C$7:$T1931,13,FALSE)</f>
      </c>
      <c r="O1933" s="74">
        <f t="shared" ca="1" si="425"/>
      </c>
      <c r="P1933" s="74">
        <f t="shared" ca="1" si="426"/>
      </c>
      <c r="Q1933" s="74">
        <f t="shared" ca="1" si="427"/>
      </c>
      <c r="R1933" s="74">
        <f t="shared" si="428"/>
      </c>
      <c r="S1933" s="74">
        <f t="shared" ca="1" si="429"/>
      </c>
      <c r="T1933" s="74">
        <f t="shared" si="430"/>
      </c>
    </row>
    <row r="1934" spans="2:20" x14ac:dyDescent="0.3">
      <c r="B1934" s="74">
        <f t="shared" ca="1" si="420"/>
      </c>
      <c r="C1934" s="78">
        <f>Кабельный_журнал!P1900</f>
      </c>
      <c r="D1934" s="74">
        <f t="shared" ca="1" si="421"/>
      </c>
      <c r="E1934" s="80" t="s">
        <v>279</v>
      </c>
      <c r="F1934" s="74">
        <f t="shared" ca="1" si="417"/>
      </c>
      <c r="G1934" s="74">
        <f t="shared" si="418"/>
      </c>
      <c r="H1934" s="80" t="s">
        <v>272</v>
      </c>
      <c r="I1934" s="74">
        <f t="shared" si="419"/>
      </c>
      <c r="J1934" s="74">
        <f t="shared" si="422"/>
      </c>
      <c r="K1934" s="80" t="s">
        <v>280</v>
      </c>
      <c r="L1934" s="74">
        <f t="shared" si="423"/>
      </c>
      <c r="M1934" s="74">
        <f t="shared" ca="1" si="424"/>
      </c>
      <c r="N1934" s="74">
        <f ca="1">VLOOKUP(B1934,$C$7:$T1932,13,FALSE)</f>
      </c>
      <c r="O1934" s="74">
        <f t="shared" ca="1" si="425"/>
      </c>
      <c r="P1934" s="74">
        <f t="shared" ca="1" si="426"/>
      </c>
      <c r="Q1934" s="74">
        <f t="shared" ca="1" si="427"/>
      </c>
      <c r="R1934" s="74">
        <f t="shared" si="428"/>
      </c>
      <c r="S1934" s="74">
        <f t="shared" ca="1" si="429"/>
      </c>
      <c r="T1934" s="74">
        <f t="shared" si="430"/>
      </c>
    </row>
    <row r="1935" spans="2:20" x14ac:dyDescent="0.3">
      <c r="B1935" s="74">
        <f t="shared" ca="1" si="420"/>
      </c>
      <c r="C1935" s="78">
        <f>Кабельный_журнал!P1901</f>
      </c>
      <c r="D1935" s="74">
        <f t="shared" ca="1" si="421"/>
      </c>
      <c r="E1935" s="80" t="s">
        <v>279</v>
      </c>
      <c r="F1935" s="74">
        <f t="shared" ca="1" si="417"/>
      </c>
      <c r="G1935" s="74">
        <f t="shared" si="418"/>
      </c>
      <c r="H1935" s="80" t="s">
        <v>272</v>
      </c>
      <c r="I1935" s="74">
        <f t="shared" si="419"/>
      </c>
      <c r="J1935" s="74">
        <f t="shared" si="422"/>
      </c>
      <c r="K1935" s="80" t="s">
        <v>280</v>
      </c>
      <c r="L1935" s="74">
        <f t="shared" si="423"/>
      </c>
      <c r="M1935" s="74">
        <f t="shared" ca="1" si="424"/>
      </c>
      <c r="N1935" s="74">
        <f ca="1">VLOOKUP(B1935,$C$7:$T1933,13,FALSE)</f>
      </c>
      <c r="O1935" s="74">
        <f t="shared" ca="1" si="425"/>
      </c>
      <c r="P1935" s="74">
        <f t="shared" ca="1" si="426"/>
      </c>
      <c r="Q1935" s="74">
        <f t="shared" ca="1" si="427"/>
      </c>
      <c r="R1935" s="74">
        <f t="shared" si="428"/>
      </c>
      <c r="S1935" s="74">
        <f t="shared" ca="1" si="429"/>
      </c>
      <c r="T1935" s="74">
        <f t="shared" si="430"/>
      </c>
    </row>
    <row r="1936" spans="2:20" x14ac:dyDescent="0.3">
      <c r="B1936" s="74">
        <f t="shared" ca="1" si="420"/>
      </c>
      <c r="C1936" s="78">
        <f>Кабельный_журнал!P1902</f>
      </c>
      <c r="D1936" s="74">
        <f t="shared" ca="1" si="421"/>
      </c>
      <c r="E1936" s="80" t="s">
        <v>279</v>
      </c>
      <c r="F1936" s="74">
        <f t="shared" ca="1" si="417"/>
      </c>
      <c r="G1936" s="74">
        <f t="shared" si="418"/>
      </c>
      <c r="H1936" s="80" t="s">
        <v>272</v>
      </c>
      <c r="I1936" s="74">
        <f t="shared" si="419"/>
      </c>
      <c r="J1936" s="74">
        <f t="shared" si="422"/>
      </c>
      <c r="K1936" s="80" t="s">
        <v>280</v>
      </c>
      <c r="L1936" s="74">
        <f t="shared" si="423"/>
      </c>
      <c r="M1936" s="74">
        <f t="shared" ca="1" si="424"/>
      </c>
      <c r="N1936" s="74">
        <f ca="1">VLOOKUP(B1936,$C$7:$T1934,13,FALSE)</f>
      </c>
      <c r="O1936" s="74">
        <f t="shared" ca="1" si="425"/>
      </c>
      <c r="P1936" s="74">
        <f t="shared" ca="1" si="426"/>
      </c>
      <c r="Q1936" s="74">
        <f t="shared" ca="1" si="427"/>
      </c>
      <c r="R1936" s="74">
        <f t="shared" si="428"/>
      </c>
      <c r="S1936" s="74">
        <f t="shared" ca="1" si="429"/>
      </c>
      <c r="T1936" s="74">
        <f t="shared" si="430"/>
      </c>
    </row>
    <row r="1937" spans="2:20" x14ac:dyDescent="0.3">
      <c r="B1937" s="74">
        <f t="shared" ca="1" si="420"/>
      </c>
      <c r="C1937" s="78">
        <f>Кабельный_журнал!P1903</f>
      </c>
      <c r="D1937" s="74">
        <f t="shared" ca="1" si="421"/>
      </c>
      <c r="E1937" s="80" t="s">
        <v>279</v>
      </c>
      <c r="F1937" s="74">
        <f t="shared" ca="1" si="417"/>
      </c>
      <c r="G1937" s="74">
        <f t="shared" si="418"/>
      </c>
      <c r="H1937" s="80" t="s">
        <v>272</v>
      </c>
      <c r="I1937" s="74">
        <f t="shared" si="419"/>
      </c>
      <c r="J1937" s="74">
        <f t="shared" si="422"/>
      </c>
      <c r="K1937" s="80" t="s">
        <v>280</v>
      </c>
      <c r="L1937" s="74">
        <f t="shared" si="423"/>
      </c>
      <c r="M1937" s="74">
        <f t="shared" ca="1" si="424"/>
      </c>
      <c r="N1937" s="74">
        <f ca="1">VLOOKUP(B1937,$C$7:$T1935,13,FALSE)</f>
      </c>
      <c r="O1937" s="74">
        <f t="shared" ca="1" si="425"/>
      </c>
      <c r="P1937" s="74">
        <f t="shared" ca="1" si="426"/>
      </c>
      <c r="Q1937" s="74">
        <f t="shared" ca="1" si="427"/>
      </c>
      <c r="R1937" s="74">
        <f t="shared" si="428"/>
      </c>
      <c r="S1937" s="74">
        <f t="shared" ca="1" si="429"/>
      </c>
      <c r="T1937" s="74">
        <f t="shared" si="430"/>
      </c>
    </row>
    <row r="1938" spans="2:20" x14ac:dyDescent="0.3">
      <c r="B1938" s="74">
        <f t="shared" ca="1" si="420"/>
      </c>
      <c r="C1938" s="78">
        <f>Кабельный_журнал!P1904</f>
      </c>
      <c r="D1938" s="74">
        <f t="shared" ca="1" si="421"/>
      </c>
      <c r="E1938" s="80" t="s">
        <v>279</v>
      </c>
      <c r="F1938" s="74">
        <f t="shared" ca="1" si="417"/>
      </c>
      <c r="G1938" s="74">
        <f t="shared" si="418"/>
      </c>
      <c r="H1938" s="80" t="s">
        <v>272</v>
      </c>
      <c r="I1938" s="74">
        <f t="shared" si="419"/>
      </c>
      <c r="J1938" s="74">
        <f t="shared" si="422"/>
      </c>
      <c r="K1938" s="80" t="s">
        <v>280</v>
      </c>
      <c r="L1938" s="74">
        <f t="shared" si="423"/>
      </c>
      <c r="M1938" s="74">
        <f t="shared" ca="1" si="424"/>
      </c>
      <c r="N1938" s="74">
        <f ca="1">VLOOKUP(B1938,$C$7:$T1936,13,FALSE)</f>
      </c>
      <c r="O1938" s="74">
        <f t="shared" ca="1" si="425"/>
      </c>
      <c r="P1938" s="74">
        <f t="shared" ca="1" si="426"/>
      </c>
      <c r="Q1938" s="74">
        <f t="shared" ca="1" si="427"/>
      </c>
      <c r="R1938" s="74">
        <f t="shared" si="428"/>
      </c>
      <c r="S1938" s="74">
        <f t="shared" ca="1" si="429"/>
      </c>
      <c r="T1938" s="74">
        <f t="shared" si="430"/>
      </c>
    </row>
    <row r="1939" spans="2:20" x14ac:dyDescent="0.3">
      <c r="B1939" s="74">
        <f t="shared" ca="1" si="420"/>
      </c>
      <c r="C1939" s="78">
        <f>Кабельный_журнал!P1905</f>
      </c>
      <c r="D1939" s="74">
        <f t="shared" ca="1" si="421"/>
      </c>
      <c r="E1939" s="80" t="s">
        <v>279</v>
      </c>
      <c r="F1939" s="74">
        <f t="shared" ca="1" si="417"/>
      </c>
      <c r="G1939" s="74">
        <f t="shared" si="418"/>
      </c>
      <c r="H1939" s="80" t="s">
        <v>272</v>
      </c>
      <c r="I1939" s="74">
        <f t="shared" si="419"/>
      </c>
      <c r="J1939" s="74">
        <f t="shared" si="422"/>
      </c>
      <c r="K1939" s="80" t="s">
        <v>280</v>
      </c>
      <c r="L1939" s="74">
        <f t="shared" si="423"/>
      </c>
      <c r="M1939" s="74">
        <f t="shared" ca="1" si="424"/>
      </c>
      <c r="N1939" s="74">
        <f ca="1">VLOOKUP(B1939,$C$7:$T1937,13,FALSE)</f>
      </c>
      <c r="O1939" s="74">
        <f t="shared" ca="1" si="425"/>
      </c>
      <c r="P1939" s="74">
        <f t="shared" ca="1" si="426"/>
      </c>
      <c r="Q1939" s="74">
        <f t="shared" ca="1" si="427"/>
      </c>
      <c r="R1939" s="74">
        <f t="shared" si="428"/>
      </c>
      <c r="S1939" s="74">
        <f t="shared" ca="1" si="429"/>
      </c>
      <c r="T1939" s="74">
        <f t="shared" si="430"/>
      </c>
    </row>
    <row r="1940" spans="2:20" x14ac:dyDescent="0.3">
      <c r="B1940" s="74">
        <f t="shared" ca="1" si="420"/>
      </c>
      <c r="C1940" s="78">
        <f>Кабельный_журнал!P1906</f>
      </c>
      <c r="D1940" s="74">
        <f t="shared" ca="1" si="421"/>
      </c>
      <c r="E1940" s="80" t="s">
        <v>279</v>
      </c>
      <c r="F1940" s="74">
        <f t="shared" ca="1" si="417"/>
      </c>
      <c r="G1940" s="74">
        <f t="shared" si="418"/>
      </c>
      <c r="H1940" s="80" t="s">
        <v>272</v>
      </c>
      <c r="I1940" s="74">
        <f t="shared" si="419"/>
      </c>
      <c r="J1940" s="74">
        <f t="shared" si="422"/>
      </c>
      <c r="K1940" s="80" t="s">
        <v>280</v>
      </c>
      <c r="L1940" s="74">
        <f t="shared" si="423"/>
      </c>
      <c r="M1940" s="74">
        <f t="shared" ca="1" si="424"/>
      </c>
      <c r="N1940" s="74">
        <f ca="1">VLOOKUP(B1940,$C$7:$T1938,13,FALSE)</f>
      </c>
      <c r="O1940" s="74">
        <f t="shared" ca="1" si="425"/>
      </c>
      <c r="P1940" s="74">
        <f t="shared" ca="1" si="426"/>
      </c>
      <c r="Q1940" s="74">
        <f t="shared" ca="1" si="427"/>
      </c>
      <c r="R1940" s="74">
        <f t="shared" si="428"/>
      </c>
      <c r="S1940" s="74">
        <f t="shared" ca="1" si="429"/>
      </c>
      <c r="T1940" s="74">
        <f t="shared" si="430"/>
      </c>
    </row>
    <row r="1941" spans="2:20" x14ac:dyDescent="0.3">
      <c r="B1941" s="74">
        <f t="shared" ca="1" si="420"/>
      </c>
      <c r="C1941" s="78">
        <f>Кабельный_журнал!P1907</f>
      </c>
      <c r="D1941" s="74">
        <f t="shared" ca="1" si="421"/>
      </c>
      <c r="E1941" s="80" t="s">
        <v>279</v>
      </c>
      <c r="F1941" s="74">
        <f t="shared" ca="1" si="417"/>
      </c>
      <c r="G1941" s="74">
        <f t="shared" si="418"/>
      </c>
      <c r="H1941" s="80" t="s">
        <v>272</v>
      </c>
      <c r="I1941" s="74">
        <f t="shared" si="419"/>
      </c>
      <c r="J1941" s="74">
        <f t="shared" si="422"/>
      </c>
      <c r="K1941" s="80" t="s">
        <v>280</v>
      </c>
      <c r="L1941" s="74">
        <f t="shared" si="423"/>
      </c>
      <c r="M1941" s="74">
        <f t="shared" ca="1" si="424"/>
      </c>
      <c r="N1941" s="74">
        <f ca="1">VLOOKUP(B1941,$C$7:$T1939,13,FALSE)</f>
      </c>
      <c r="O1941" s="74">
        <f t="shared" ca="1" si="425"/>
      </c>
      <c r="P1941" s="74">
        <f t="shared" ca="1" si="426"/>
      </c>
      <c r="Q1941" s="74">
        <f t="shared" ca="1" si="427"/>
      </c>
      <c r="R1941" s="74">
        <f t="shared" si="428"/>
      </c>
      <c r="S1941" s="74">
        <f t="shared" ca="1" si="429"/>
      </c>
      <c r="T1941" s="74">
        <f t="shared" si="430"/>
      </c>
    </row>
    <row r="1942" spans="2:20" x14ac:dyDescent="0.3">
      <c r="B1942" s="74">
        <f t="shared" ca="1" si="420"/>
      </c>
      <c r="C1942" s="78">
        <f>Кабельный_журнал!P1908</f>
      </c>
      <c r="D1942" s="74">
        <f t="shared" ca="1" si="421"/>
      </c>
      <c r="E1942" s="80" t="s">
        <v>279</v>
      </c>
      <c r="F1942" s="74">
        <f t="shared" ca="1" si="417"/>
      </c>
      <c r="G1942" s="74">
        <f t="shared" si="418"/>
      </c>
      <c r="H1942" s="80" t="s">
        <v>272</v>
      </c>
      <c r="I1942" s="74">
        <f t="shared" si="419"/>
      </c>
      <c r="J1942" s="74">
        <f t="shared" si="422"/>
      </c>
      <c r="K1942" s="80" t="s">
        <v>280</v>
      </c>
      <c r="L1942" s="74">
        <f t="shared" si="423"/>
      </c>
      <c r="M1942" s="74">
        <f t="shared" ca="1" si="424"/>
      </c>
      <c r="N1942" s="74">
        <f ca="1">VLOOKUP(B1942,$C$7:$T1940,13,FALSE)</f>
      </c>
      <c r="O1942" s="74">
        <f t="shared" ca="1" si="425"/>
      </c>
      <c r="P1942" s="74">
        <f t="shared" ca="1" si="426"/>
      </c>
      <c r="Q1942" s="74">
        <f t="shared" ca="1" si="427"/>
      </c>
      <c r="R1942" s="74">
        <f t="shared" si="428"/>
      </c>
      <c r="S1942" s="74">
        <f t="shared" ca="1" si="429"/>
      </c>
      <c r="T1942" s="74">
        <f t="shared" si="430"/>
      </c>
    </row>
    <row r="1943" spans="2:20" x14ac:dyDescent="0.3">
      <c r="B1943" s="74">
        <f t="shared" ca="1" si="420"/>
      </c>
      <c r="C1943" s="78">
        <f>Кабельный_журнал!P1909</f>
      </c>
      <c r="D1943" s="74">
        <f t="shared" ca="1" si="421"/>
      </c>
      <c r="E1943" s="80" t="s">
        <v>279</v>
      </c>
      <c r="F1943" s="74">
        <f t="shared" ca="1" si="417"/>
      </c>
      <c r="G1943" s="74">
        <f t="shared" si="418"/>
      </c>
      <c r="H1943" s="80" t="s">
        <v>272</v>
      </c>
      <c r="I1943" s="74">
        <f t="shared" si="419"/>
      </c>
      <c r="J1943" s="74">
        <f t="shared" si="422"/>
      </c>
      <c r="K1943" s="80" t="s">
        <v>280</v>
      </c>
      <c r="L1943" s="74">
        <f t="shared" si="423"/>
      </c>
      <c r="M1943" s="74">
        <f t="shared" ca="1" si="424"/>
      </c>
      <c r="N1943" s="74">
        <f ca="1">VLOOKUP(B1943,$C$7:$T1941,13,FALSE)</f>
      </c>
      <c r="O1943" s="74">
        <f t="shared" ca="1" si="425"/>
      </c>
      <c r="P1943" s="74">
        <f t="shared" ca="1" si="426"/>
      </c>
      <c r="Q1943" s="74">
        <f t="shared" ca="1" si="427"/>
      </c>
      <c r="R1943" s="74">
        <f t="shared" si="428"/>
      </c>
      <c r="S1943" s="74">
        <f t="shared" ca="1" si="429"/>
      </c>
      <c r="T1943" s="74">
        <f t="shared" si="430"/>
      </c>
    </row>
    <row r="1944" spans="2:20" x14ac:dyDescent="0.3">
      <c r="B1944" s="74">
        <f t="shared" ca="1" si="420"/>
      </c>
      <c r="C1944" s="78">
        <f>Кабельный_журнал!P1910</f>
      </c>
      <c r="D1944" s="74">
        <f t="shared" ca="1" si="421"/>
      </c>
      <c r="E1944" s="80" t="s">
        <v>279</v>
      </c>
      <c r="F1944" s="74">
        <f t="shared" ca="1" si="417"/>
      </c>
      <c r="G1944" s="74">
        <f t="shared" si="418"/>
      </c>
      <c r="H1944" s="80" t="s">
        <v>272</v>
      </c>
      <c r="I1944" s="74">
        <f t="shared" si="419"/>
      </c>
      <c r="J1944" s="74">
        <f t="shared" si="422"/>
      </c>
      <c r="K1944" s="80" t="s">
        <v>280</v>
      </c>
      <c r="L1944" s="74">
        <f t="shared" si="423"/>
      </c>
      <c r="M1944" s="74">
        <f t="shared" ca="1" si="424"/>
      </c>
      <c r="N1944" s="74">
        <f ca="1">VLOOKUP(B1944,$C$7:$T1942,13,FALSE)</f>
      </c>
      <c r="O1944" s="74">
        <f t="shared" ca="1" si="425"/>
      </c>
      <c r="P1944" s="74">
        <f t="shared" ca="1" si="426"/>
      </c>
      <c r="Q1944" s="74">
        <f t="shared" ca="1" si="427"/>
      </c>
      <c r="R1944" s="74">
        <f t="shared" si="428"/>
      </c>
      <c r="S1944" s="74">
        <f t="shared" ca="1" si="429"/>
      </c>
      <c r="T1944" s="74">
        <f t="shared" si="430"/>
      </c>
    </row>
    <row r="1945" spans="2:20" x14ac:dyDescent="0.3">
      <c r="B1945" s="74">
        <f t="shared" ca="1" si="420"/>
      </c>
      <c r="C1945" s="78">
        <f>Кабельный_журнал!P1911</f>
      </c>
      <c r="D1945" s="74">
        <f t="shared" ca="1" si="421"/>
      </c>
      <c r="E1945" s="80" t="s">
        <v>279</v>
      </c>
      <c r="F1945" s="74">
        <f t="shared" ca="1" si="417"/>
      </c>
      <c r="G1945" s="74">
        <f t="shared" si="418"/>
      </c>
      <c r="H1945" s="80" t="s">
        <v>272</v>
      </c>
      <c r="I1945" s="74">
        <f t="shared" si="419"/>
      </c>
      <c r="J1945" s="74">
        <f t="shared" si="422"/>
      </c>
      <c r="K1945" s="80" t="s">
        <v>280</v>
      </c>
      <c r="L1945" s="74">
        <f t="shared" si="423"/>
      </c>
      <c r="M1945" s="74">
        <f t="shared" ca="1" si="424"/>
      </c>
      <c r="N1945" s="74">
        <f ca="1">VLOOKUP(B1945,$C$7:$T1943,13,FALSE)</f>
      </c>
      <c r="O1945" s="74">
        <f t="shared" ca="1" si="425"/>
      </c>
      <c r="P1945" s="74">
        <f t="shared" ca="1" si="426"/>
      </c>
      <c r="Q1945" s="74">
        <f t="shared" ca="1" si="427"/>
      </c>
      <c r="R1945" s="74">
        <f t="shared" si="428"/>
      </c>
      <c r="S1945" s="74">
        <f t="shared" ca="1" si="429"/>
      </c>
      <c r="T1945" s="74">
        <f t="shared" si="430"/>
      </c>
    </row>
    <row r="1946" spans="2:20" x14ac:dyDescent="0.3">
      <c r="B1946" s="74">
        <f t="shared" ca="1" si="420"/>
      </c>
      <c r="C1946" s="78">
        <f>Кабельный_журнал!P1912</f>
      </c>
      <c r="D1946" s="74">
        <f t="shared" ca="1" si="421"/>
      </c>
      <c r="E1946" s="80" t="s">
        <v>279</v>
      </c>
      <c r="F1946" s="74">
        <f t="shared" ca="1" si="417"/>
      </c>
      <c r="G1946" s="74">
        <f t="shared" si="418"/>
      </c>
      <c r="H1946" s="80" t="s">
        <v>272</v>
      </c>
      <c r="I1946" s="74">
        <f t="shared" si="419"/>
      </c>
      <c r="J1946" s="74">
        <f t="shared" si="422"/>
      </c>
      <c r="K1946" s="80" t="s">
        <v>280</v>
      </c>
      <c r="L1946" s="74">
        <f t="shared" si="423"/>
      </c>
      <c r="M1946" s="74">
        <f t="shared" ca="1" si="424"/>
      </c>
      <c r="N1946" s="74">
        <f ca="1">VLOOKUP(B1946,$C$7:$T1944,13,FALSE)</f>
      </c>
      <c r="O1946" s="74">
        <f t="shared" ca="1" si="425"/>
      </c>
      <c r="P1946" s="74">
        <f t="shared" ca="1" si="426"/>
      </c>
      <c r="Q1946" s="74">
        <f t="shared" ca="1" si="427"/>
      </c>
      <c r="R1946" s="74">
        <f t="shared" si="428"/>
      </c>
      <c r="S1946" s="74">
        <f t="shared" ca="1" si="429"/>
      </c>
      <c r="T1946" s="74">
        <f t="shared" si="430"/>
      </c>
    </row>
    <row r="1947" spans="2:20" x14ac:dyDescent="0.3">
      <c r="B1947" s="74">
        <f t="shared" ca="1" si="420"/>
      </c>
      <c r="C1947" s="78">
        <f>Кабельный_журнал!P1913</f>
      </c>
      <c r="D1947" s="74">
        <f t="shared" ca="1" si="421"/>
      </c>
      <c r="E1947" s="80" t="s">
        <v>279</v>
      </c>
      <c r="F1947" s="74">
        <f t="shared" ca="1" si="417"/>
      </c>
      <c r="G1947" s="74">
        <f t="shared" si="418"/>
      </c>
      <c r="H1947" s="80" t="s">
        <v>272</v>
      </c>
      <c r="I1947" s="74">
        <f t="shared" si="419"/>
      </c>
      <c r="J1947" s="74">
        <f t="shared" si="422"/>
      </c>
      <c r="K1947" s="80" t="s">
        <v>280</v>
      </c>
      <c r="L1947" s="74">
        <f t="shared" si="423"/>
      </c>
      <c r="M1947" s="74">
        <f t="shared" ca="1" si="424"/>
      </c>
      <c r="N1947" s="74">
        <f ca="1">VLOOKUP(B1947,$C$7:$T1945,13,FALSE)</f>
      </c>
      <c r="O1947" s="74">
        <f t="shared" ca="1" si="425"/>
      </c>
      <c r="P1947" s="74">
        <f t="shared" ca="1" si="426"/>
      </c>
      <c r="Q1947" s="74">
        <f t="shared" ca="1" si="427"/>
      </c>
      <c r="R1947" s="74">
        <f t="shared" si="428"/>
      </c>
      <c r="S1947" s="74">
        <f t="shared" ca="1" si="429"/>
      </c>
      <c r="T1947" s="74">
        <f t="shared" si="430"/>
      </c>
    </row>
    <row r="1948" spans="2:20" x14ac:dyDescent="0.3">
      <c r="B1948" s="74">
        <f t="shared" ca="1" si="420"/>
      </c>
      <c r="C1948" s="78">
        <f>Кабельный_журнал!P1914</f>
      </c>
      <c r="D1948" s="74">
        <f t="shared" ca="1" si="421"/>
      </c>
      <c r="E1948" s="80" t="s">
        <v>279</v>
      </c>
      <c r="F1948" s="74">
        <f t="shared" ca="1" si="417"/>
      </c>
      <c r="G1948" s="74">
        <f t="shared" si="418"/>
      </c>
      <c r="H1948" s="80" t="s">
        <v>272</v>
      </c>
      <c r="I1948" s="74">
        <f t="shared" si="419"/>
      </c>
      <c r="J1948" s="74">
        <f t="shared" si="422"/>
      </c>
      <c r="K1948" s="80" t="s">
        <v>280</v>
      </c>
      <c r="L1948" s="74">
        <f t="shared" si="423"/>
      </c>
      <c r="M1948" s="74">
        <f t="shared" ca="1" si="424"/>
      </c>
      <c r="N1948" s="74">
        <f ca="1">VLOOKUP(B1948,$C$7:$T1946,13,FALSE)</f>
      </c>
      <c r="O1948" s="74">
        <f t="shared" ca="1" si="425"/>
      </c>
      <c r="P1948" s="74">
        <f t="shared" ca="1" si="426"/>
      </c>
      <c r="Q1948" s="74">
        <f t="shared" ca="1" si="427"/>
      </c>
      <c r="R1948" s="74">
        <f t="shared" si="428"/>
      </c>
      <c r="S1948" s="74">
        <f t="shared" ca="1" si="429"/>
      </c>
      <c r="T1948" s="74">
        <f t="shared" si="430"/>
      </c>
    </row>
    <row r="1949" spans="2:20" x14ac:dyDescent="0.3">
      <c r="B1949" s="74">
        <f t="shared" ca="1" si="420"/>
      </c>
      <c r="C1949" s="78">
        <f>Кабельный_журнал!P1915</f>
      </c>
      <c r="D1949" s="74">
        <f t="shared" ca="1" si="421"/>
      </c>
      <c r="E1949" s="80" t="s">
        <v>279</v>
      </c>
      <c r="F1949" s="74">
        <f t="shared" ca="1" si="417"/>
      </c>
      <c r="G1949" s="74">
        <f t="shared" si="418"/>
      </c>
      <c r="H1949" s="80" t="s">
        <v>272</v>
      </c>
      <c r="I1949" s="74">
        <f t="shared" si="419"/>
      </c>
      <c r="J1949" s="74">
        <f t="shared" si="422"/>
      </c>
      <c r="K1949" s="80" t="s">
        <v>280</v>
      </c>
      <c r="L1949" s="74">
        <f t="shared" si="423"/>
      </c>
      <c r="M1949" s="74">
        <f t="shared" ca="1" si="424"/>
      </c>
      <c r="N1949" s="74">
        <f ca="1">VLOOKUP(B1949,$C$7:$T1947,13,FALSE)</f>
      </c>
      <c r="O1949" s="74">
        <f t="shared" ca="1" si="425"/>
      </c>
      <c r="P1949" s="74">
        <f t="shared" ca="1" si="426"/>
      </c>
      <c r="Q1949" s="74">
        <f t="shared" ca="1" si="427"/>
      </c>
      <c r="R1949" s="74">
        <f t="shared" si="428"/>
      </c>
      <c r="S1949" s="74">
        <f t="shared" ca="1" si="429"/>
      </c>
      <c r="T1949" s="74">
        <f t="shared" si="430"/>
      </c>
    </row>
    <row r="1950" spans="2:20" x14ac:dyDescent="0.3">
      <c r="B1950" s="74">
        <f t="shared" ca="1" si="420"/>
      </c>
      <c r="C1950" s="78">
        <f>Кабельный_журнал!P1916</f>
      </c>
      <c r="D1950" s="74">
        <f t="shared" ca="1" si="421"/>
      </c>
      <c r="E1950" s="80" t="s">
        <v>279</v>
      </c>
      <c r="F1950" s="74">
        <f t="shared" ca="1" si="417"/>
      </c>
      <c r="G1950" s="74">
        <f t="shared" si="418"/>
      </c>
      <c r="H1950" s="80" t="s">
        <v>272</v>
      </c>
      <c r="I1950" s="74">
        <f t="shared" si="419"/>
      </c>
      <c r="J1950" s="74">
        <f t="shared" si="422"/>
      </c>
      <c r="K1950" s="80" t="s">
        <v>280</v>
      </c>
      <c r="L1950" s="74">
        <f t="shared" si="423"/>
      </c>
      <c r="M1950" s="74">
        <f t="shared" ca="1" si="424"/>
      </c>
      <c r="N1950" s="74">
        <f ca="1">VLOOKUP(B1950,$C$7:$T1948,13,FALSE)</f>
      </c>
      <c r="O1950" s="74">
        <f t="shared" ca="1" si="425"/>
      </c>
      <c r="P1950" s="74">
        <f t="shared" ca="1" si="426"/>
      </c>
      <c r="Q1950" s="74">
        <f t="shared" ca="1" si="427"/>
      </c>
      <c r="R1950" s="74">
        <f t="shared" si="428"/>
      </c>
      <c r="S1950" s="74">
        <f t="shared" ca="1" si="429"/>
      </c>
      <c r="T1950" s="74">
        <f t="shared" si="430"/>
      </c>
    </row>
    <row r="1951" spans="2:20" x14ac:dyDescent="0.3">
      <c r="B1951" s="74">
        <f t="shared" ca="1" si="420"/>
      </c>
      <c r="C1951" s="78">
        <f>Кабельный_журнал!P1917</f>
      </c>
      <c r="D1951" s="74">
        <f t="shared" ca="1" si="421"/>
      </c>
      <c r="E1951" s="80" t="s">
        <v>279</v>
      </c>
      <c r="F1951" s="74">
        <f t="shared" ca="1" si="417"/>
      </c>
      <c r="G1951" s="74">
        <f t="shared" si="418"/>
      </c>
      <c r="H1951" s="80" t="s">
        <v>272</v>
      </c>
      <c r="I1951" s="74">
        <f t="shared" si="419"/>
      </c>
      <c r="J1951" s="74">
        <f t="shared" si="422"/>
      </c>
      <c r="K1951" s="80" t="s">
        <v>280</v>
      </c>
      <c r="L1951" s="74">
        <f t="shared" si="423"/>
      </c>
      <c r="M1951" s="74">
        <f t="shared" ca="1" si="424"/>
      </c>
      <c r="N1951" s="74">
        <f ca="1">VLOOKUP(B1951,$C$7:$T1949,13,FALSE)</f>
      </c>
      <c r="O1951" s="74">
        <f t="shared" ca="1" si="425"/>
      </c>
      <c r="P1951" s="74">
        <f t="shared" ca="1" si="426"/>
      </c>
      <c r="Q1951" s="74">
        <f t="shared" ca="1" si="427"/>
      </c>
      <c r="R1951" s="74">
        <f t="shared" si="428"/>
      </c>
      <c r="S1951" s="74">
        <f t="shared" ca="1" si="429"/>
      </c>
      <c r="T1951" s="74">
        <f t="shared" si="430"/>
      </c>
    </row>
    <row r="1952" spans="2:20" x14ac:dyDescent="0.3">
      <c r="B1952" s="74">
        <f t="shared" ca="1" si="420"/>
      </c>
      <c r="C1952" s="78">
        <f>Кабельный_журнал!P1918</f>
      </c>
      <c r="D1952" s="74">
        <f t="shared" ca="1" si="421"/>
      </c>
      <c r="E1952" s="80" t="s">
        <v>279</v>
      </c>
      <c r="F1952" s="74">
        <f t="shared" ca="1" si="417"/>
      </c>
      <c r="G1952" s="74">
        <f t="shared" si="418"/>
      </c>
      <c r="H1952" s="80" t="s">
        <v>272</v>
      </c>
      <c r="I1952" s="74">
        <f t="shared" si="419"/>
      </c>
      <c r="J1952" s="74">
        <f t="shared" si="422"/>
      </c>
      <c r="K1952" s="80" t="s">
        <v>280</v>
      </c>
      <c r="L1952" s="74">
        <f t="shared" si="423"/>
      </c>
      <c r="M1952" s="74">
        <f t="shared" ca="1" si="424"/>
      </c>
      <c r="N1952" s="74">
        <f ca="1">VLOOKUP(B1952,$C$7:$T1950,13,FALSE)</f>
      </c>
      <c r="O1952" s="74">
        <f t="shared" ca="1" si="425"/>
      </c>
      <c r="P1952" s="74">
        <f t="shared" ca="1" si="426"/>
      </c>
      <c r="Q1952" s="74">
        <f t="shared" ca="1" si="427"/>
      </c>
      <c r="R1952" s="74">
        <f t="shared" si="428"/>
      </c>
      <c r="S1952" s="74">
        <f t="shared" ca="1" si="429"/>
      </c>
      <c r="T1952" s="74">
        <f t="shared" si="430"/>
      </c>
    </row>
    <row r="1953" spans="2:20" x14ac:dyDescent="0.3">
      <c r="B1953" s="74">
        <f t="shared" ca="1" si="420"/>
      </c>
      <c r="C1953" s="78">
        <f>Кабельный_журнал!P1919</f>
      </c>
      <c r="D1953" s="74">
        <f t="shared" ca="1" si="421"/>
      </c>
      <c r="E1953" s="80" t="s">
        <v>279</v>
      </c>
      <c r="F1953" s="74">
        <f t="shared" ca="1" si="417"/>
      </c>
      <c r="G1953" s="74">
        <f t="shared" si="418"/>
      </c>
      <c r="H1953" s="80" t="s">
        <v>272</v>
      </c>
      <c r="I1953" s="74">
        <f t="shared" si="419"/>
      </c>
      <c r="J1953" s="74">
        <f t="shared" si="422"/>
      </c>
      <c r="K1953" s="80" t="s">
        <v>280</v>
      </c>
      <c r="L1953" s="74">
        <f t="shared" si="423"/>
      </c>
      <c r="M1953" s="74">
        <f t="shared" ca="1" si="424"/>
      </c>
      <c r="N1953" s="74">
        <f ca="1">VLOOKUP(B1953,$C$7:$T1951,13,FALSE)</f>
      </c>
      <c r="O1953" s="74">
        <f t="shared" ca="1" si="425"/>
      </c>
      <c r="P1953" s="74">
        <f t="shared" ca="1" si="426"/>
      </c>
      <c r="Q1953" s="74">
        <f t="shared" ca="1" si="427"/>
      </c>
      <c r="R1953" s="74">
        <f t="shared" si="428"/>
      </c>
      <c r="S1953" s="74">
        <f t="shared" ca="1" si="429"/>
      </c>
      <c r="T1953" s="74">
        <f t="shared" si="430"/>
      </c>
    </row>
    <row r="1954" spans="2:20" x14ac:dyDescent="0.3">
      <c r="B1954" s="74">
        <f t="shared" ca="1" si="420"/>
      </c>
      <c r="C1954" s="78">
        <f>Кабельный_журнал!P1920</f>
      </c>
      <c r="D1954" s="74">
        <f t="shared" ca="1" si="421"/>
      </c>
      <c r="E1954" s="80" t="s">
        <v>279</v>
      </c>
      <c r="F1954" s="74">
        <f t="shared" ca="1" si="417"/>
      </c>
      <c r="G1954" s="74">
        <f t="shared" si="418"/>
      </c>
      <c r="H1954" s="80" t="s">
        <v>272</v>
      </c>
      <c r="I1954" s="74">
        <f t="shared" si="419"/>
      </c>
      <c r="J1954" s="74">
        <f t="shared" si="422"/>
      </c>
      <c r="K1954" s="80" t="s">
        <v>280</v>
      </c>
      <c r="L1954" s="74">
        <f t="shared" si="423"/>
      </c>
      <c r="M1954" s="74">
        <f t="shared" ca="1" si="424"/>
      </c>
      <c r="N1954" s="74">
        <f ca="1">VLOOKUP(B1954,$C$7:$T1952,13,FALSE)</f>
      </c>
      <c r="O1954" s="74">
        <f t="shared" ca="1" si="425"/>
      </c>
      <c r="P1954" s="74">
        <f t="shared" ca="1" si="426"/>
      </c>
      <c r="Q1954" s="74">
        <f t="shared" ca="1" si="427"/>
      </c>
      <c r="R1954" s="74">
        <f t="shared" si="428"/>
      </c>
      <c r="S1954" s="74">
        <f t="shared" ca="1" si="429"/>
      </c>
      <c r="T1954" s="74">
        <f t="shared" si="430"/>
      </c>
    </row>
    <row r="1955" spans="2:20" x14ac:dyDescent="0.3">
      <c r="B1955" s="74">
        <f t="shared" ca="1" si="420"/>
      </c>
      <c r="C1955" s="78">
        <f>Кабельный_журнал!P1921</f>
      </c>
      <c r="D1955" s="74">
        <f t="shared" ca="1" si="421"/>
      </c>
      <c r="E1955" s="80" t="s">
        <v>279</v>
      </c>
      <c r="F1955" s="74">
        <f t="shared" ca="1" si="417"/>
      </c>
      <c r="G1955" s="74">
        <f t="shared" si="418"/>
      </c>
      <c r="H1955" s="80" t="s">
        <v>272</v>
      </c>
      <c r="I1955" s="74">
        <f t="shared" si="419"/>
      </c>
      <c r="J1955" s="74">
        <f t="shared" si="422"/>
      </c>
      <c r="K1955" s="80" t="s">
        <v>280</v>
      </c>
      <c r="L1955" s="74">
        <f t="shared" si="423"/>
      </c>
      <c r="M1955" s="74">
        <f t="shared" ca="1" si="424"/>
      </c>
      <c r="N1955" s="74">
        <f ca="1">VLOOKUP(B1955,$C$7:$T1953,13,FALSE)</f>
      </c>
      <c r="O1955" s="74">
        <f t="shared" ca="1" si="425"/>
      </c>
      <c r="P1955" s="74">
        <f t="shared" ca="1" si="426"/>
      </c>
      <c r="Q1955" s="74">
        <f t="shared" ca="1" si="427"/>
      </c>
      <c r="R1955" s="74">
        <f t="shared" si="428"/>
      </c>
      <c r="S1955" s="74">
        <f t="shared" ca="1" si="429"/>
      </c>
      <c r="T1955" s="74">
        <f t="shared" si="430"/>
      </c>
    </row>
    <row r="1956" spans="2:20" x14ac:dyDescent="0.3">
      <c r="B1956" s="74">
        <f t="shared" ca="1" si="420"/>
      </c>
      <c r="C1956" s="78">
        <f>Кабельный_журнал!P1922</f>
      </c>
      <c r="D1956" s="74">
        <f t="shared" ca="1" si="421"/>
      </c>
      <c r="E1956" s="80" t="s">
        <v>279</v>
      </c>
      <c r="F1956" s="74">
        <f t="shared" ca="1" si="417"/>
      </c>
      <c r="G1956" s="74">
        <f t="shared" si="418"/>
      </c>
      <c r="H1956" s="80" t="s">
        <v>272</v>
      </c>
      <c r="I1956" s="74">
        <f t="shared" si="419"/>
      </c>
      <c r="J1956" s="74">
        <f t="shared" si="422"/>
      </c>
      <c r="K1956" s="80" t="s">
        <v>280</v>
      </c>
      <c r="L1956" s="74">
        <f t="shared" si="423"/>
      </c>
      <c r="M1956" s="74">
        <f t="shared" ca="1" si="424"/>
      </c>
      <c r="N1956" s="74">
        <f ca="1">VLOOKUP(B1956,$C$7:$T1954,13,FALSE)</f>
      </c>
      <c r="O1956" s="74">
        <f t="shared" ca="1" si="425"/>
      </c>
      <c r="P1956" s="74">
        <f t="shared" ca="1" si="426"/>
      </c>
      <c r="Q1956" s="74">
        <f t="shared" ca="1" si="427"/>
      </c>
      <c r="R1956" s="74">
        <f t="shared" si="428"/>
      </c>
      <c r="S1956" s="74">
        <f t="shared" ca="1" si="429"/>
      </c>
      <c r="T1956" s="74">
        <f t="shared" si="430"/>
      </c>
    </row>
    <row r="1957" spans="2:20" x14ac:dyDescent="0.3">
      <c r="B1957" s="74">
        <f t="shared" ca="1" si="420"/>
      </c>
      <c r="C1957" s="78">
        <f>Кабельный_журнал!P1923</f>
      </c>
      <c r="D1957" s="74">
        <f t="shared" ca="1" si="421"/>
      </c>
      <c r="E1957" s="80" t="s">
        <v>279</v>
      </c>
      <c r="F1957" s="74">
        <f t="shared" ca="1" si="417"/>
      </c>
      <c r="G1957" s="74">
        <f t="shared" si="418"/>
      </c>
      <c r="H1957" s="80" t="s">
        <v>272</v>
      </c>
      <c r="I1957" s="74">
        <f t="shared" si="419"/>
      </c>
      <c r="J1957" s="74">
        <f t="shared" si="422"/>
      </c>
      <c r="K1957" s="80" t="s">
        <v>280</v>
      </c>
      <c r="L1957" s="74">
        <f t="shared" si="423"/>
      </c>
      <c r="M1957" s="74">
        <f t="shared" ca="1" si="424"/>
      </c>
      <c r="N1957" s="74">
        <f ca="1">VLOOKUP(B1957,$C$7:$T1955,13,FALSE)</f>
      </c>
      <c r="O1957" s="74">
        <f t="shared" ca="1" si="425"/>
      </c>
      <c r="P1957" s="74">
        <f t="shared" ca="1" si="426"/>
      </c>
      <c r="Q1957" s="74">
        <f t="shared" ca="1" si="427"/>
      </c>
      <c r="R1957" s="74">
        <f t="shared" si="428"/>
      </c>
      <c r="S1957" s="74">
        <f t="shared" ca="1" si="429"/>
      </c>
      <c r="T1957" s="74">
        <f t="shared" si="430"/>
      </c>
    </row>
    <row r="1958" spans="2:20" x14ac:dyDescent="0.3">
      <c r="B1958" s="74">
        <f t="shared" ca="1" si="420"/>
      </c>
      <c r="C1958" s="78">
        <f>Кабельный_журнал!P1924</f>
      </c>
      <c r="D1958" s="74">
        <f t="shared" ca="1" si="421"/>
      </c>
      <c r="E1958" s="80" t="s">
        <v>279</v>
      </c>
      <c r="F1958" s="74">
        <f t="shared" ca="1" si="417"/>
      </c>
      <c r="G1958" s="74">
        <f t="shared" si="418"/>
      </c>
      <c r="H1958" s="80" t="s">
        <v>272</v>
      </c>
      <c r="I1958" s="74">
        <f t="shared" si="419"/>
      </c>
      <c r="J1958" s="74">
        <f t="shared" si="422"/>
      </c>
      <c r="K1958" s="80" t="s">
        <v>280</v>
      </c>
      <c r="L1958" s="74">
        <f t="shared" si="423"/>
      </c>
      <c r="M1958" s="74">
        <f t="shared" ca="1" si="424"/>
      </c>
      <c r="N1958" s="74">
        <f ca="1">VLOOKUP(B1958,$C$7:$T1956,13,FALSE)</f>
      </c>
      <c r="O1958" s="74">
        <f t="shared" ca="1" si="425"/>
      </c>
      <c r="P1958" s="74">
        <f t="shared" ca="1" si="426"/>
      </c>
      <c r="Q1958" s="74">
        <f t="shared" ca="1" si="427"/>
      </c>
      <c r="R1958" s="74">
        <f t="shared" si="428"/>
      </c>
      <c r="S1958" s="74">
        <f t="shared" ca="1" si="429"/>
      </c>
      <c r="T1958" s="74">
        <f t="shared" si="430"/>
      </c>
    </row>
    <row r="1959" spans="2:20" x14ac:dyDescent="0.3">
      <c r="B1959" s="74">
        <f t="shared" ca="1" si="420"/>
      </c>
      <c r="C1959" s="78">
        <f>Кабельный_журнал!P1925</f>
      </c>
      <c r="D1959" s="74">
        <f t="shared" ca="1" si="421"/>
      </c>
      <c r="E1959" s="80" t="s">
        <v>279</v>
      </c>
      <c r="F1959" s="74">
        <f t="shared" ref="F1959:F2000" ca="1" si="431">VLOOKUP(C1959,Кабельный_журнал,8,FALSE)</f>
      </c>
      <c r="G1959" s="74">
        <f t="shared" ref="G1959:G2000" si="432">VLOOKUP(C1959,Исходные_данные,21,FALSE)</f>
      </c>
      <c r="H1959" s="80" t="s">
        <v>272</v>
      </c>
      <c r="I1959" s="74">
        <f t="shared" ref="I1959:I2000" si="433">VLOOKUP(C1959,Исходные_данные,22,FALSE)</f>
      </c>
      <c r="J1959" s="74">
        <f t="shared" si="422"/>
      </c>
      <c r="K1959" s="80" t="s">
        <v>280</v>
      </c>
      <c r="L1959" s="74">
        <f t="shared" si="423"/>
      </c>
      <c r="M1959" s="74">
        <f t="shared" ca="1" si="424"/>
      </c>
      <c r="N1959" s="74">
        <f ca="1">VLOOKUP(B1959,$C$7:$T1957,13,FALSE)</f>
      </c>
      <c r="O1959" s="74">
        <f t="shared" ca="1" si="425"/>
      </c>
      <c r="P1959" s="74">
        <f t="shared" ca="1" si="426"/>
      </c>
      <c r="Q1959" s="74">
        <f t="shared" ca="1" si="427"/>
      </c>
      <c r="R1959" s="74">
        <f t="shared" si="428"/>
      </c>
      <c r="S1959" s="74">
        <f t="shared" ca="1" si="429"/>
      </c>
      <c r="T1959" s="74">
        <f t="shared" si="430"/>
      </c>
    </row>
    <row r="1960" spans="2:20" x14ac:dyDescent="0.3">
      <c r="B1960" s="74">
        <f t="shared" ref="B1960:B2000" ca="1" si="434">VLOOKUP(C1960,Кабельный_журнал,2,FALSE)</f>
      </c>
      <c r="C1960" s="78">
        <f>Кабельный_журнал!P1926</f>
      </c>
      <c r="D1960" s="74">
        <f t="shared" ref="D1960:D2000" ca="1" si="435">B1960&amp;"-"&amp;C1960</f>
      </c>
      <c r="E1960" s="80" t="s">
        <v>279</v>
      </c>
      <c r="F1960" s="74">
        <f t="shared" ca="1" si="431"/>
      </c>
      <c r="G1960" s="74">
        <f t="shared" si="432"/>
      </c>
      <c r="H1960" s="80" t="s">
        <v>272</v>
      </c>
      <c r="I1960" s="74">
        <f t="shared" si="433"/>
      </c>
      <c r="J1960" s="74">
        <f t="shared" ref="J1960:J2000" si="436">I1960</f>
      </c>
      <c r="K1960" s="80" t="s">
        <v>280</v>
      </c>
      <c r="L1960" s="74">
        <f t="shared" ref="L1960:L2000" si="437">VLOOKUP(K1960,$K$2:$L$3,2,FALSE)</f>
      </c>
      <c r="M1960" s="74">
        <f t="shared" ref="M1960:M2000" ca="1" si="438">L1960*F1960*(1/I1960+1/J1960)</f>
      </c>
      <c r="N1960" s="74">
        <f ca="1">VLOOKUP(B1960,$C$7:$T1958,13,FALSE)</f>
      </c>
      <c r="O1960" s="74">
        <f t="shared" ref="O1960:O2000" ca="1" si="439">L1960+M1960</f>
      </c>
      <c r="P1960" s="74">
        <f t="shared" ref="P1960:P2000" ca="1" si="440">220/O1960</f>
      </c>
      <c r="Q1960" s="74">
        <f t="shared" ref="Q1960:Q2000" ca="1" si="441">O1960/G1960</f>
      </c>
      <c r="R1960" s="74">
        <f t="shared" ref="R1960:R2000" si="442">VLOOKUP(H1960,$W$2:$Y$12,3,FALSE)</f>
      </c>
      <c r="S1960" s="74">
        <f t="shared" ref="S1960:S2000" ca="1" si="443">_xlfn.IFS(E1960="щит",IF(P1960&gt;R1960,"Увел сеч",IF(T1960&gt;P1960,"Увел сеч","tср&lt;5с")),E1960="потреб",IF(P1960&gt;R1960,"Увел сеч",IF(T1960&gt;P1960,"Увел сеч","tср&lt;0.4с")))</f>
      </c>
      <c r="T1960" s="74">
        <f t="shared" ref="T1960:T2000" si="444">G1960*VLOOKUP(H1960,$W$2:$Y$12,2,FALSE)</f>
      </c>
    </row>
    <row r="1961" spans="2:20" x14ac:dyDescent="0.3">
      <c r="B1961" s="74">
        <f t="shared" ca="1" si="434"/>
      </c>
      <c r="C1961" s="78">
        <f>Кабельный_журнал!P1927</f>
      </c>
      <c r="D1961" s="74">
        <f t="shared" ca="1" si="435"/>
      </c>
      <c r="E1961" s="80" t="s">
        <v>279</v>
      </c>
      <c r="F1961" s="74">
        <f t="shared" ca="1" si="431"/>
      </c>
      <c r="G1961" s="74">
        <f t="shared" si="432"/>
      </c>
      <c r="H1961" s="80" t="s">
        <v>272</v>
      </c>
      <c r="I1961" s="74">
        <f t="shared" si="433"/>
      </c>
      <c r="J1961" s="74">
        <f t="shared" si="436"/>
      </c>
      <c r="K1961" s="80" t="s">
        <v>280</v>
      </c>
      <c r="L1961" s="74">
        <f t="shared" si="437"/>
      </c>
      <c r="M1961" s="74">
        <f t="shared" ca="1" si="438"/>
      </c>
      <c r="N1961" s="74">
        <f ca="1">VLOOKUP(B1961,$C$7:$T1959,13,FALSE)</f>
      </c>
      <c r="O1961" s="74">
        <f t="shared" ca="1" si="439"/>
      </c>
      <c r="P1961" s="74">
        <f t="shared" ca="1" si="440"/>
      </c>
      <c r="Q1961" s="74">
        <f t="shared" ca="1" si="441"/>
      </c>
      <c r="R1961" s="74">
        <f t="shared" si="442"/>
      </c>
      <c r="S1961" s="74">
        <f t="shared" ca="1" si="443"/>
      </c>
      <c r="T1961" s="74">
        <f t="shared" si="444"/>
      </c>
    </row>
    <row r="1962" spans="2:20" x14ac:dyDescent="0.3">
      <c r="B1962" s="74">
        <f t="shared" ca="1" si="434"/>
      </c>
      <c r="C1962" s="78">
        <f>Кабельный_журнал!P1928</f>
      </c>
      <c r="D1962" s="74">
        <f t="shared" ca="1" si="435"/>
      </c>
      <c r="E1962" s="80" t="s">
        <v>279</v>
      </c>
      <c r="F1962" s="74">
        <f t="shared" ca="1" si="431"/>
      </c>
      <c r="G1962" s="74">
        <f t="shared" si="432"/>
      </c>
      <c r="H1962" s="80" t="s">
        <v>272</v>
      </c>
      <c r="I1962" s="74">
        <f t="shared" si="433"/>
      </c>
      <c r="J1962" s="74">
        <f t="shared" si="436"/>
      </c>
      <c r="K1962" s="80" t="s">
        <v>280</v>
      </c>
      <c r="L1962" s="74">
        <f t="shared" si="437"/>
      </c>
      <c r="M1962" s="74">
        <f t="shared" ca="1" si="438"/>
      </c>
      <c r="N1962" s="74">
        <f ca="1">VLOOKUP(B1962,$C$7:$T1960,13,FALSE)</f>
      </c>
      <c r="O1962" s="74">
        <f t="shared" ca="1" si="439"/>
      </c>
      <c r="P1962" s="74">
        <f t="shared" ca="1" si="440"/>
      </c>
      <c r="Q1962" s="74">
        <f t="shared" ca="1" si="441"/>
      </c>
      <c r="R1962" s="74">
        <f t="shared" si="442"/>
      </c>
      <c r="S1962" s="74">
        <f t="shared" ca="1" si="443"/>
      </c>
      <c r="T1962" s="74">
        <f t="shared" si="444"/>
      </c>
    </row>
    <row r="1963" spans="2:20" x14ac:dyDescent="0.3">
      <c r="B1963" s="74">
        <f t="shared" ca="1" si="434"/>
      </c>
      <c r="C1963" s="78">
        <f>Кабельный_журнал!P1929</f>
      </c>
      <c r="D1963" s="74">
        <f t="shared" ca="1" si="435"/>
      </c>
      <c r="E1963" s="80" t="s">
        <v>279</v>
      </c>
      <c r="F1963" s="74">
        <f t="shared" ca="1" si="431"/>
      </c>
      <c r="G1963" s="74">
        <f t="shared" si="432"/>
      </c>
      <c r="H1963" s="80" t="s">
        <v>272</v>
      </c>
      <c r="I1963" s="74">
        <f t="shared" si="433"/>
      </c>
      <c r="J1963" s="74">
        <f t="shared" si="436"/>
      </c>
      <c r="K1963" s="80" t="s">
        <v>280</v>
      </c>
      <c r="L1963" s="74">
        <f t="shared" si="437"/>
      </c>
      <c r="M1963" s="74">
        <f t="shared" ca="1" si="438"/>
      </c>
      <c r="N1963" s="74">
        <f ca="1">VLOOKUP(B1963,$C$7:$T1961,13,FALSE)</f>
      </c>
      <c r="O1963" s="74">
        <f t="shared" ca="1" si="439"/>
      </c>
      <c r="P1963" s="74">
        <f t="shared" ca="1" si="440"/>
      </c>
      <c r="Q1963" s="74">
        <f t="shared" ca="1" si="441"/>
      </c>
      <c r="R1963" s="74">
        <f t="shared" si="442"/>
      </c>
      <c r="S1963" s="74">
        <f t="shared" ca="1" si="443"/>
      </c>
      <c r="T1963" s="74">
        <f t="shared" si="444"/>
      </c>
    </row>
    <row r="1964" spans="2:20" x14ac:dyDescent="0.3">
      <c r="B1964" s="74">
        <f t="shared" ca="1" si="434"/>
      </c>
      <c r="C1964" s="78">
        <f>Кабельный_журнал!P1930</f>
      </c>
      <c r="D1964" s="74">
        <f t="shared" ca="1" si="435"/>
      </c>
      <c r="E1964" s="80" t="s">
        <v>279</v>
      </c>
      <c r="F1964" s="74">
        <f t="shared" ca="1" si="431"/>
      </c>
      <c r="G1964" s="74">
        <f t="shared" si="432"/>
      </c>
      <c r="H1964" s="80" t="s">
        <v>272</v>
      </c>
      <c r="I1964" s="74">
        <f t="shared" si="433"/>
      </c>
      <c r="J1964" s="74">
        <f t="shared" si="436"/>
      </c>
      <c r="K1964" s="80" t="s">
        <v>280</v>
      </c>
      <c r="L1964" s="74">
        <f t="shared" si="437"/>
      </c>
      <c r="M1964" s="74">
        <f t="shared" ca="1" si="438"/>
      </c>
      <c r="N1964" s="74">
        <f ca="1">VLOOKUP(B1964,$C$7:$T1962,13,FALSE)</f>
      </c>
      <c r="O1964" s="74">
        <f t="shared" ca="1" si="439"/>
      </c>
      <c r="P1964" s="74">
        <f t="shared" ca="1" si="440"/>
      </c>
      <c r="Q1964" s="74">
        <f t="shared" ca="1" si="441"/>
      </c>
      <c r="R1964" s="74">
        <f t="shared" si="442"/>
      </c>
      <c r="S1964" s="74">
        <f t="shared" ca="1" si="443"/>
      </c>
      <c r="T1964" s="74">
        <f t="shared" si="444"/>
      </c>
    </row>
    <row r="1965" spans="2:20" x14ac:dyDescent="0.3">
      <c r="B1965" s="74">
        <f t="shared" ca="1" si="434"/>
      </c>
      <c r="C1965" s="78">
        <f>Кабельный_журнал!P1931</f>
      </c>
      <c r="D1965" s="74">
        <f t="shared" ca="1" si="435"/>
      </c>
      <c r="E1965" s="80" t="s">
        <v>279</v>
      </c>
      <c r="F1965" s="74">
        <f t="shared" ca="1" si="431"/>
      </c>
      <c r="G1965" s="74">
        <f t="shared" si="432"/>
      </c>
      <c r="H1965" s="80" t="s">
        <v>272</v>
      </c>
      <c r="I1965" s="74">
        <f t="shared" si="433"/>
      </c>
      <c r="J1965" s="74">
        <f t="shared" si="436"/>
      </c>
      <c r="K1965" s="80" t="s">
        <v>280</v>
      </c>
      <c r="L1965" s="74">
        <f t="shared" si="437"/>
      </c>
      <c r="M1965" s="74">
        <f t="shared" ca="1" si="438"/>
      </c>
      <c r="N1965" s="74">
        <f ca="1">VLOOKUP(B1965,$C$7:$T1963,13,FALSE)</f>
      </c>
      <c r="O1965" s="74">
        <f t="shared" ca="1" si="439"/>
      </c>
      <c r="P1965" s="74">
        <f t="shared" ca="1" si="440"/>
      </c>
      <c r="Q1965" s="74">
        <f t="shared" ca="1" si="441"/>
      </c>
      <c r="R1965" s="74">
        <f t="shared" si="442"/>
      </c>
      <c r="S1965" s="74">
        <f t="shared" ca="1" si="443"/>
      </c>
      <c r="T1965" s="74">
        <f t="shared" si="444"/>
      </c>
    </row>
    <row r="1966" spans="2:20" x14ac:dyDescent="0.3">
      <c r="B1966" s="74">
        <f t="shared" ca="1" si="434"/>
      </c>
      <c r="C1966" s="78">
        <f>Кабельный_журнал!P1932</f>
      </c>
      <c r="D1966" s="74">
        <f t="shared" ca="1" si="435"/>
      </c>
      <c r="E1966" s="80" t="s">
        <v>279</v>
      </c>
      <c r="F1966" s="74">
        <f t="shared" ca="1" si="431"/>
      </c>
      <c r="G1966" s="74">
        <f t="shared" si="432"/>
      </c>
      <c r="H1966" s="80" t="s">
        <v>272</v>
      </c>
      <c r="I1966" s="74">
        <f t="shared" si="433"/>
      </c>
      <c r="J1966" s="74">
        <f t="shared" si="436"/>
      </c>
      <c r="K1966" s="80" t="s">
        <v>280</v>
      </c>
      <c r="L1966" s="74">
        <f t="shared" si="437"/>
      </c>
      <c r="M1966" s="74">
        <f t="shared" ca="1" si="438"/>
      </c>
      <c r="N1966" s="74">
        <f ca="1">VLOOKUP(B1966,$C$7:$T1964,13,FALSE)</f>
      </c>
      <c r="O1966" s="74">
        <f t="shared" ca="1" si="439"/>
      </c>
      <c r="P1966" s="74">
        <f t="shared" ca="1" si="440"/>
      </c>
      <c r="Q1966" s="74">
        <f t="shared" ca="1" si="441"/>
      </c>
      <c r="R1966" s="74">
        <f t="shared" si="442"/>
      </c>
      <c r="S1966" s="74">
        <f t="shared" ca="1" si="443"/>
      </c>
      <c r="T1966" s="74">
        <f t="shared" si="444"/>
      </c>
    </row>
    <row r="1967" spans="2:20" x14ac:dyDescent="0.3">
      <c r="B1967" s="74">
        <f t="shared" ca="1" si="434"/>
      </c>
      <c r="C1967" s="78">
        <f>Кабельный_журнал!P1933</f>
      </c>
      <c r="D1967" s="74">
        <f t="shared" ca="1" si="435"/>
      </c>
      <c r="E1967" s="80" t="s">
        <v>279</v>
      </c>
      <c r="F1967" s="74">
        <f t="shared" ca="1" si="431"/>
      </c>
      <c r="G1967" s="74">
        <f t="shared" si="432"/>
      </c>
      <c r="H1967" s="80" t="s">
        <v>272</v>
      </c>
      <c r="I1967" s="74">
        <f t="shared" si="433"/>
      </c>
      <c r="J1967" s="74">
        <f t="shared" si="436"/>
      </c>
      <c r="K1967" s="80" t="s">
        <v>280</v>
      </c>
      <c r="L1967" s="74">
        <f t="shared" si="437"/>
      </c>
      <c r="M1967" s="74">
        <f t="shared" ca="1" si="438"/>
      </c>
      <c r="N1967" s="74">
        <f ca="1">VLOOKUP(B1967,$C$7:$T1965,13,FALSE)</f>
      </c>
      <c r="O1967" s="74">
        <f t="shared" ca="1" si="439"/>
      </c>
      <c r="P1967" s="74">
        <f t="shared" ca="1" si="440"/>
      </c>
      <c r="Q1967" s="74">
        <f t="shared" ca="1" si="441"/>
      </c>
      <c r="R1967" s="74">
        <f t="shared" si="442"/>
      </c>
      <c r="S1967" s="74">
        <f t="shared" ca="1" si="443"/>
      </c>
      <c r="T1967" s="74">
        <f t="shared" si="444"/>
      </c>
    </row>
    <row r="1968" spans="2:20" x14ac:dyDescent="0.3">
      <c r="B1968" s="74">
        <f t="shared" ca="1" si="434"/>
      </c>
      <c r="C1968" s="78">
        <f>Кабельный_журнал!P1934</f>
      </c>
      <c r="D1968" s="74">
        <f t="shared" ca="1" si="435"/>
      </c>
      <c r="E1968" s="80" t="s">
        <v>279</v>
      </c>
      <c r="F1968" s="74">
        <f t="shared" ca="1" si="431"/>
      </c>
      <c r="G1968" s="74">
        <f t="shared" si="432"/>
      </c>
      <c r="H1968" s="80" t="s">
        <v>272</v>
      </c>
      <c r="I1968" s="74">
        <f t="shared" si="433"/>
      </c>
      <c r="J1968" s="74">
        <f t="shared" si="436"/>
      </c>
      <c r="K1968" s="80" t="s">
        <v>280</v>
      </c>
      <c r="L1968" s="74">
        <f t="shared" si="437"/>
      </c>
      <c r="M1968" s="74">
        <f t="shared" ca="1" si="438"/>
      </c>
      <c r="N1968" s="74">
        <f ca="1">VLOOKUP(B1968,$C$7:$T1966,13,FALSE)</f>
      </c>
      <c r="O1968" s="74">
        <f t="shared" ca="1" si="439"/>
      </c>
      <c r="P1968" s="74">
        <f t="shared" ca="1" si="440"/>
      </c>
      <c r="Q1968" s="74">
        <f t="shared" ca="1" si="441"/>
      </c>
      <c r="R1968" s="74">
        <f t="shared" si="442"/>
      </c>
      <c r="S1968" s="74">
        <f t="shared" ca="1" si="443"/>
      </c>
      <c r="T1968" s="74">
        <f t="shared" si="444"/>
      </c>
    </row>
    <row r="1969" spans="2:20" x14ac:dyDescent="0.3">
      <c r="B1969" s="74">
        <f t="shared" ca="1" si="434"/>
      </c>
      <c r="C1969" s="78">
        <f>Кабельный_журнал!P1935</f>
      </c>
      <c r="D1969" s="74">
        <f t="shared" ca="1" si="435"/>
      </c>
      <c r="E1969" s="80" t="s">
        <v>279</v>
      </c>
      <c r="F1969" s="74">
        <f t="shared" ca="1" si="431"/>
      </c>
      <c r="G1969" s="74">
        <f t="shared" si="432"/>
      </c>
      <c r="H1969" s="80" t="s">
        <v>272</v>
      </c>
      <c r="I1969" s="74">
        <f t="shared" si="433"/>
      </c>
      <c r="J1969" s="74">
        <f t="shared" si="436"/>
      </c>
      <c r="K1969" s="80" t="s">
        <v>280</v>
      </c>
      <c r="L1969" s="74">
        <f t="shared" si="437"/>
      </c>
      <c r="M1969" s="74">
        <f t="shared" ca="1" si="438"/>
      </c>
      <c r="N1969" s="74">
        <f ca="1">VLOOKUP(B1969,$C$7:$T1967,13,FALSE)</f>
      </c>
      <c r="O1969" s="74">
        <f t="shared" ca="1" si="439"/>
      </c>
      <c r="P1969" s="74">
        <f t="shared" ca="1" si="440"/>
      </c>
      <c r="Q1969" s="74">
        <f t="shared" ca="1" si="441"/>
      </c>
      <c r="R1969" s="74">
        <f t="shared" si="442"/>
      </c>
      <c r="S1969" s="74">
        <f t="shared" ca="1" si="443"/>
      </c>
      <c r="T1969" s="74">
        <f t="shared" si="444"/>
      </c>
    </row>
    <row r="1970" spans="2:20" x14ac:dyDescent="0.3">
      <c r="B1970" s="74">
        <f t="shared" ca="1" si="434"/>
      </c>
      <c r="C1970" s="78">
        <f>Кабельный_журнал!P1936</f>
      </c>
      <c r="D1970" s="74">
        <f t="shared" ca="1" si="435"/>
      </c>
      <c r="E1970" s="80" t="s">
        <v>279</v>
      </c>
      <c r="F1970" s="74">
        <f t="shared" ca="1" si="431"/>
      </c>
      <c r="G1970" s="74">
        <f t="shared" si="432"/>
      </c>
      <c r="H1970" s="80" t="s">
        <v>272</v>
      </c>
      <c r="I1970" s="74">
        <f t="shared" si="433"/>
      </c>
      <c r="J1970" s="74">
        <f t="shared" si="436"/>
      </c>
      <c r="K1970" s="80" t="s">
        <v>280</v>
      </c>
      <c r="L1970" s="74">
        <f t="shared" si="437"/>
      </c>
      <c r="M1970" s="74">
        <f t="shared" ca="1" si="438"/>
      </c>
      <c r="N1970" s="74">
        <f ca="1">VLOOKUP(B1970,$C$7:$T1968,13,FALSE)</f>
      </c>
      <c r="O1970" s="74">
        <f t="shared" ca="1" si="439"/>
      </c>
      <c r="P1970" s="74">
        <f t="shared" ca="1" si="440"/>
      </c>
      <c r="Q1970" s="74">
        <f t="shared" ca="1" si="441"/>
      </c>
      <c r="R1970" s="74">
        <f t="shared" si="442"/>
      </c>
      <c r="S1970" s="74">
        <f t="shared" ca="1" si="443"/>
      </c>
      <c r="T1970" s="74">
        <f t="shared" si="444"/>
      </c>
    </row>
    <row r="1971" spans="2:20" x14ac:dyDescent="0.3">
      <c r="B1971" s="74">
        <f t="shared" ca="1" si="434"/>
      </c>
      <c r="C1971" s="78">
        <f>Кабельный_журнал!P1937</f>
      </c>
      <c r="D1971" s="74">
        <f t="shared" ca="1" si="435"/>
      </c>
      <c r="E1971" s="80" t="s">
        <v>279</v>
      </c>
      <c r="F1971" s="74">
        <f t="shared" ca="1" si="431"/>
      </c>
      <c r="G1971" s="74">
        <f t="shared" si="432"/>
      </c>
      <c r="H1971" s="80" t="s">
        <v>272</v>
      </c>
      <c r="I1971" s="74">
        <f t="shared" si="433"/>
      </c>
      <c r="J1971" s="74">
        <f t="shared" si="436"/>
      </c>
      <c r="K1971" s="80" t="s">
        <v>280</v>
      </c>
      <c r="L1971" s="74">
        <f t="shared" si="437"/>
      </c>
      <c r="M1971" s="74">
        <f t="shared" ca="1" si="438"/>
      </c>
      <c r="N1971" s="74">
        <f ca="1">VLOOKUP(B1971,$C$7:$T1969,13,FALSE)</f>
      </c>
      <c r="O1971" s="74">
        <f t="shared" ca="1" si="439"/>
      </c>
      <c r="P1971" s="74">
        <f t="shared" ca="1" si="440"/>
      </c>
      <c r="Q1971" s="74">
        <f t="shared" ca="1" si="441"/>
      </c>
      <c r="R1971" s="74">
        <f t="shared" si="442"/>
      </c>
      <c r="S1971" s="74">
        <f t="shared" ca="1" si="443"/>
      </c>
      <c r="T1971" s="74">
        <f t="shared" si="444"/>
      </c>
    </row>
    <row r="1972" spans="2:20" x14ac:dyDescent="0.3">
      <c r="B1972" s="74">
        <f t="shared" ca="1" si="434"/>
      </c>
      <c r="C1972" s="78">
        <f>Кабельный_журнал!P1938</f>
      </c>
      <c r="D1972" s="74">
        <f t="shared" ca="1" si="435"/>
      </c>
      <c r="E1972" s="80" t="s">
        <v>279</v>
      </c>
      <c r="F1972" s="74">
        <f t="shared" ca="1" si="431"/>
      </c>
      <c r="G1972" s="74">
        <f t="shared" si="432"/>
      </c>
      <c r="H1972" s="80" t="s">
        <v>272</v>
      </c>
      <c r="I1972" s="74">
        <f t="shared" si="433"/>
      </c>
      <c r="J1972" s="74">
        <f t="shared" si="436"/>
      </c>
      <c r="K1972" s="80" t="s">
        <v>280</v>
      </c>
      <c r="L1972" s="74">
        <f t="shared" si="437"/>
      </c>
      <c r="M1972" s="74">
        <f t="shared" ca="1" si="438"/>
      </c>
      <c r="N1972" s="74">
        <f ca="1">VLOOKUP(B1972,$C$7:$T1970,13,FALSE)</f>
      </c>
      <c r="O1972" s="74">
        <f t="shared" ca="1" si="439"/>
      </c>
      <c r="P1972" s="74">
        <f t="shared" ca="1" si="440"/>
      </c>
      <c r="Q1972" s="74">
        <f t="shared" ca="1" si="441"/>
      </c>
      <c r="R1972" s="74">
        <f t="shared" si="442"/>
      </c>
      <c r="S1972" s="74">
        <f t="shared" ca="1" si="443"/>
      </c>
      <c r="T1972" s="74">
        <f t="shared" si="444"/>
      </c>
    </row>
    <row r="1973" spans="2:20" x14ac:dyDescent="0.3">
      <c r="B1973" s="74">
        <f t="shared" ca="1" si="434"/>
      </c>
      <c r="C1973" s="78">
        <f>Кабельный_журнал!P1939</f>
      </c>
      <c r="D1973" s="74">
        <f t="shared" ca="1" si="435"/>
      </c>
      <c r="E1973" s="80" t="s">
        <v>279</v>
      </c>
      <c r="F1973" s="74">
        <f t="shared" ca="1" si="431"/>
      </c>
      <c r="G1973" s="74">
        <f t="shared" si="432"/>
      </c>
      <c r="H1973" s="80" t="s">
        <v>272</v>
      </c>
      <c r="I1973" s="74">
        <f t="shared" si="433"/>
      </c>
      <c r="J1973" s="74">
        <f t="shared" si="436"/>
      </c>
      <c r="K1973" s="80" t="s">
        <v>280</v>
      </c>
      <c r="L1973" s="74">
        <f t="shared" si="437"/>
      </c>
      <c r="M1973" s="74">
        <f t="shared" ca="1" si="438"/>
      </c>
      <c r="N1973" s="74">
        <f ca="1">VLOOKUP(B1973,$C$7:$T1971,13,FALSE)</f>
      </c>
      <c r="O1973" s="74">
        <f t="shared" ca="1" si="439"/>
      </c>
      <c r="P1973" s="74">
        <f t="shared" ca="1" si="440"/>
      </c>
      <c r="Q1973" s="74">
        <f t="shared" ca="1" si="441"/>
      </c>
      <c r="R1973" s="74">
        <f t="shared" si="442"/>
      </c>
      <c r="S1973" s="74">
        <f t="shared" ca="1" si="443"/>
      </c>
      <c r="T1973" s="74">
        <f t="shared" si="444"/>
      </c>
    </row>
    <row r="1974" spans="2:20" x14ac:dyDescent="0.3">
      <c r="B1974" s="74">
        <f t="shared" ca="1" si="434"/>
      </c>
      <c r="C1974" s="78">
        <f>Кабельный_журнал!P1940</f>
      </c>
      <c r="D1974" s="74">
        <f t="shared" ca="1" si="435"/>
      </c>
      <c r="E1974" s="80" t="s">
        <v>279</v>
      </c>
      <c r="F1974" s="74">
        <f t="shared" ca="1" si="431"/>
      </c>
      <c r="G1974" s="74">
        <f t="shared" si="432"/>
      </c>
      <c r="H1974" s="80" t="s">
        <v>272</v>
      </c>
      <c r="I1974" s="74">
        <f t="shared" si="433"/>
      </c>
      <c r="J1974" s="74">
        <f t="shared" si="436"/>
      </c>
      <c r="K1974" s="80" t="s">
        <v>280</v>
      </c>
      <c r="L1974" s="74">
        <f t="shared" si="437"/>
      </c>
      <c r="M1974" s="74">
        <f t="shared" ca="1" si="438"/>
      </c>
      <c r="N1974" s="74">
        <f ca="1">VLOOKUP(B1974,$C$7:$T1972,13,FALSE)</f>
      </c>
      <c r="O1974" s="74">
        <f t="shared" ca="1" si="439"/>
      </c>
      <c r="P1974" s="74">
        <f t="shared" ca="1" si="440"/>
      </c>
      <c r="Q1974" s="74">
        <f t="shared" ca="1" si="441"/>
      </c>
      <c r="R1974" s="74">
        <f t="shared" si="442"/>
      </c>
      <c r="S1974" s="74">
        <f t="shared" ca="1" si="443"/>
      </c>
      <c r="T1974" s="74">
        <f t="shared" si="444"/>
      </c>
    </row>
    <row r="1975" spans="2:20" x14ac:dyDescent="0.3">
      <c r="B1975" s="74">
        <f t="shared" ca="1" si="434"/>
      </c>
      <c r="C1975" s="78">
        <f>Кабельный_журнал!P1941</f>
      </c>
      <c r="D1975" s="74">
        <f t="shared" ca="1" si="435"/>
      </c>
      <c r="E1975" s="80" t="s">
        <v>279</v>
      </c>
      <c r="F1975" s="74">
        <f t="shared" ca="1" si="431"/>
      </c>
      <c r="G1975" s="74">
        <f t="shared" si="432"/>
      </c>
      <c r="H1975" s="80" t="s">
        <v>272</v>
      </c>
      <c r="I1975" s="74">
        <f t="shared" si="433"/>
      </c>
      <c r="J1975" s="74">
        <f t="shared" si="436"/>
      </c>
      <c r="K1975" s="80" t="s">
        <v>280</v>
      </c>
      <c r="L1975" s="74">
        <f t="shared" si="437"/>
      </c>
      <c r="M1975" s="74">
        <f t="shared" ca="1" si="438"/>
      </c>
      <c r="N1975" s="74">
        <f ca="1">VLOOKUP(B1975,$C$7:$T1973,13,FALSE)</f>
      </c>
      <c r="O1975" s="74">
        <f t="shared" ca="1" si="439"/>
      </c>
      <c r="P1975" s="74">
        <f t="shared" ca="1" si="440"/>
      </c>
      <c r="Q1975" s="74">
        <f t="shared" ca="1" si="441"/>
      </c>
      <c r="R1975" s="74">
        <f t="shared" si="442"/>
      </c>
      <c r="S1975" s="74">
        <f t="shared" ca="1" si="443"/>
      </c>
      <c r="T1975" s="74">
        <f t="shared" si="444"/>
      </c>
    </row>
    <row r="1976" spans="2:20" x14ac:dyDescent="0.3">
      <c r="B1976" s="74">
        <f t="shared" ca="1" si="434"/>
      </c>
      <c r="C1976" s="78">
        <f>Кабельный_журнал!P1942</f>
      </c>
      <c r="D1976" s="74">
        <f t="shared" ca="1" si="435"/>
      </c>
      <c r="E1976" s="80" t="s">
        <v>279</v>
      </c>
      <c r="F1976" s="74">
        <f t="shared" ca="1" si="431"/>
      </c>
      <c r="G1976" s="74">
        <f t="shared" si="432"/>
      </c>
      <c r="H1976" s="80" t="s">
        <v>272</v>
      </c>
      <c r="I1976" s="74">
        <f t="shared" si="433"/>
      </c>
      <c r="J1976" s="74">
        <f t="shared" si="436"/>
      </c>
      <c r="K1976" s="80" t="s">
        <v>280</v>
      </c>
      <c r="L1976" s="74">
        <f t="shared" si="437"/>
      </c>
      <c r="M1976" s="74">
        <f t="shared" ca="1" si="438"/>
      </c>
      <c r="N1976" s="74">
        <f ca="1">VLOOKUP(B1976,$C$7:$T1974,13,FALSE)</f>
      </c>
      <c r="O1976" s="74">
        <f t="shared" ca="1" si="439"/>
      </c>
      <c r="P1976" s="74">
        <f t="shared" ca="1" si="440"/>
      </c>
      <c r="Q1976" s="74">
        <f t="shared" ca="1" si="441"/>
      </c>
      <c r="R1976" s="74">
        <f t="shared" si="442"/>
      </c>
      <c r="S1976" s="74">
        <f t="shared" ca="1" si="443"/>
      </c>
      <c r="T1976" s="74">
        <f t="shared" si="444"/>
      </c>
    </row>
    <row r="1977" spans="2:20" x14ac:dyDescent="0.3">
      <c r="B1977" s="74">
        <f t="shared" ca="1" si="434"/>
      </c>
      <c r="C1977" s="78">
        <f>Кабельный_журнал!P1943</f>
      </c>
      <c r="D1977" s="74">
        <f t="shared" ca="1" si="435"/>
      </c>
      <c r="E1977" s="80" t="s">
        <v>279</v>
      </c>
      <c r="F1977" s="74">
        <f t="shared" ca="1" si="431"/>
      </c>
      <c r="G1977" s="74">
        <f t="shared" si="432"/>
      </c>
      <c r="H1977" s="80" t="s">
        <v>272</v>
      </c>
      <c r="I1977" s="74">
        <f t="shared" si="433"/>
      </c>
      <c r="J1977" s="74">
        <f t="shared" si="436"/>
      </c>
      <c r="K1977" s="80" t="s">
        <v>280</v>
      </c>
      <c r="L1977" s="74">
        <f t="shared" si="437"/>
      </c>
      <c r="M1977" s="74">
        <f t="shared" ca="1" si="438"/>
      </c>
      <c r="N1977" s="74">
        <f ca="1">VLOOKUP(B1977,$C$7:$T1975,13,FALSE)</f>
      </c>
      <c r="O1977" s="74">
        <f t="shared" ca="1" si="439"/>
      </c>
      <c r="P1977" s="74">
        <f t="shared" ca="1" si="440"/>
      </c>
      <c r="Q1977" s="74">
        <f t="shared" ca="1" si="441"/>
      </c>
      <c r="R1977" s="74">
        <f t="shared" si="442"/>
      </c>
      <c r="S1977" s="74">
        <f t="shared" ca="1" si="443"/>
      </c>
      <c r="T1977" s="74">
        <f t="shared" si="444"/>
      </c>
    </row>
    <row r="1978" spans="2:20" x14ac:dyDescent="0.3">
      <c r="B1978" s="74">
        <f t="shared" ca="1" si="434"/>
      </c>
      <c r="C1978" s="78">
        <f>Кабельный_журнал!P1944</f>
      </c>
      <c r="D1978" s="74">
        <f t="shared" ca="1" si="435"/>
      </c>
      <c r="E1978" s="80" t="s">
        <v>279</v>
      </c>
      <c r="F1978" s="74">
        <f t="shared" ca="1" si="431"/>
      </c>
      <c r="G1978" s="74">
        <f t="shared" si="432"/>
      </c>
      <c r="H1978" s="80" t="s">
        <v>272</v>
      </c>
      <c r="I1978" s="74">
        <f t="shared" si="433"/>
      </c>
      <c r="J1978" s="74">
        <f t="shared" si="436"/>
      </c>
      <c r="K1978" s="80" t="s">
        <v>280</v>
      </c>
      <c r="L1978" s="74">
        <f t="shared" si="437"/>
      </c>
      <c r="M1978" s="74">
        <f t="shared" ca="1" si="438"/>
      </c>
      <c r="N1978" s="74">
        <f ca="1">VLOOKUP(B1978,$C$7:$T1976,13,FALSE)</f>
      </c>
      <c r="O1978" s="74">
        <f t="shared" ca="1" si="439"/>
      </c>
      <c r="P1978" s="74">
        <f t="shared" ca="1" si="440"/>
      </c>
      <c r="Q1978" s="74">
        <f t="shared" ca="1" si="441"/>
      </c>
      <c r="R1978" s="74">
        <f t="shared" si="442"/>
      </c>
      <c r="S1978" s="74">
        <f t="shared" ca="1" si="443"/>
      </c>
      <c r="T1978" s="74">
        <f t="shared" si="444"/>
      </c>
    </row>
    <row r="1979" spans="2:20" x14ac:dyDescent="0.3">
      <c r="B1979" s="74">
        <f t="shared" ca="1" si="434"/>
      </c>
      <c r="C1979" s="78">
        <f>Кабельный_журнал!P1945</f>
      </c>
      <c r="D1979" s="74">
        <f t="shared" ca="1" si="435"/>
      </c>
      <c r="E1979" s="80" t="s">
        <v>279</v>
      </c>
      <c r="F1979" s="74">
        <f t="shared" ca="1" si="431"/>
      </c>
      <c r="G1979" s="74">
        <f t="shared" si="432"/>
      </c>
      <c r="H1979" s="80" t="s">
        <v>272</v>
      </c>
      <c r="I1979" s="74">
        <f t="shared" si="433"/>
      </c>
      <c r="J1979" s="74">
        <f t="shared" si="436"/>
      </c>
      <c r="K1979" s="80" t="s">
        <v>280</v>
      </c>
      <c r="L1979" s="74">
        <f t="shared" si="437"/>
      </c>
      <c r="M1979" s="74">
        <f t="shared" ca="1" si="438"/>
      </c>
      <c r="N1979" s="74">
        <f ca="1">VLOOKUP(B1979,$C$7:$T1977,13,FALSE)</f>
      </c>
      <c r="O1979" s="74">
        <f t="shared" ca="1" si="439"/>
      </c>
      <c r="P1979" s="74">
        <f t="shared" ca="1" si="440"/>
      </c>
      <c r="Q1979" s="74">
        <f t="shared" ca="1" si="441"/>
      </c>
      <c r="R1979" s="74">
        <f t="shared" si="442"/>
      </c>
      <c r="S1979" s="74">
        <f t="shared" ca="1" si="443"/>
      </c>
      <c r="T1979" s="74">
        <f t="shared" si="444"/>
      </c>
    </row>
    <row r="1980" spans="2:20" x14ac:dyDescent="0.3">
      <c r="B1980" s="74">
        <f t="shared" ca="1" si="434"/>
      </c>
      <c r="C1980" s="78">
        <f>Кабельный_журнал!P1946</f>
      </c>
      <c r="D1980" s="74">
        <f t="shared" ca="1" si="435"/>
      </c>
      <c r="E1980" s="80" t="s">
        <v>279</v>
      </c>
      <c r="F1980" s="74">
        <f t="shared" ca="1" si="431"/>
      </c>
      <c r="G1980" s="74">
        <f t="shared" si="432"/>
      </c>
      <c r="H1980" s="80" t="s">
        <v>272</v>
      </c>
      <c r="I1980" s="74">
        <f t="shared" si="433"/>
      </c>
      <c r="J1980" s="74">
        <f t="shared" si="436"/>
      </c>
      <c r="K1980" s="80" t="s">
        <v>280</v>
      </c>
      <c r="L1980" s="74">
        <f t="shared" si="437"/>
      </c>
      <c r="M1980" s="74">
        <f t="shared" ca="1" si="438"/>
      </c>
      <c r="N1980" s="74">
        <f ca="1">VLOOKUP(B1980,$C$7:$T1978,13,FALSE)</f>
      </c>
      <c r="O1980" s="74">
        <f t="shared" ca="1" si="439"/>
      </c>
      <c r="P1980" s="74">
        <f t="shared" ca="1" si="440"/>
      </c>
      <c r="Q1980" s="74">
        <f t="shared" ca="1" si="441"/>
      </c>
      <c r="R1980" s="74">
        <f t="shared" si="442"/>
      </c>
      <c r="S1980" s="74">
        <f t="shared" ca="1" si="443"/>
      </c>
      <c r="T1980" s="74">
        <f t="shared" si="444"/>
      </c>
    </row>
    <row r="1981" spans="2:20" x14ac:dyDescent="0.3">
      <c r="B1981" s="74">
        <f t="shared" ca="1" si="434"/>
      </c>
      <c r="C1981" s="78">
        <f>Кабельный_журнал!P1947</f>
      </c>
      <c r="D1981" s="74">
        <f t="shared" ca="1" si="435"/>
      </c>
      <c r="E1981" s="80" t="s">
        <v>279</v>
      </c>
      <c r="F1981" s="74">
        <f t="shared" ca="1" si="431"/>
      </c>
      <c r="G1981" s="74">
        <f t="shared" si="432"/>
      </c>
      <c r="H1981" s="80" t="s">
        <v>272</v>
      </c>
      <c r="I1981" s="74">
        <f t="shared" si="433"/>
      </c>
      <c r="J1981" s="74">
        <f t="shared" si="436"/>
      </c>
      <c r="K1981" s="80" t="s">
        <v>280</v>
      </c>
      <c r="L1981" s="74">
        <f t="shared" si="437"/>
      </c>
      <c r="M1981" s="74">
        <f t="shared" ca="1" si="438"/>
      </c>
      <c r="N1981" s="74">
        <f ca="1">VLOOKUP(B1981,$C$7:$T1979,13,FALSE)</f>
      </c>
      <c r="O1981" s="74">
        <f t="shared" ca="1" si="439"/>
      </c>
      <c r="P1981" s="74">
        <f t="shared" ca="1" si="440"/>
      </c>
      <c r="Q1981" s="74">
        <f t="shared" ca="1" si="441"/>
      </c>
      <c r="R1981" s="74">
        <f t="shared" si="442"/>
      </c>
      <c r="S1981" s="74">
        <f t="shared" ca="1" si="443"/>
      </c>
      <c r="T1981" s="74">
        <f t="shared" si="444"/>
      </c>
    </row>
    <row r="1982" spans="2:20" x14ac:dyDescent="0.3">
      <c r="B1982" s="74">
        <f t="shared" ca="1" si="434"/>
      </c>
      <c r="C1982" s="78">
        <f>Кабельный_журнал!P1948</f>
      </c>
      <c r="D1982" s="74">
        <f t="shared" ca="1" si="435"/>
      </c>
      <c r="E1982" s="80" t="s">
        <v>279</v>
      </c>
      <c r="F1982" s="74">
        <f t="shared" ca="1" si="431"/>
      </c>
      <c r="G1982" s="74">
        <f t="shared" si="432"/>
      </c>
      <c r="H1982" s="80" t="s">
        <v>272</v>
      </c>
      <c r="I1982" s="74">
        <f t="shared" si="433"/>
      </c>
      <c r="J1982" s="74">
        <f t="shared" si="436"/>
      </c>
      <c r="K1982" s="80" t="s">
        <v>280</v>
      </c>
      <c r="L1982" s="74">
        <f t="shared" si="437"/>
      </c>
      <c r="M1982" s="74">
        <f t="shared" ca="1" si="438"/>
      </c>
      <c r="N1982" s="74">
        <f ca="1">VLOOKUP(B1982,$C$7:$T1980,13,FALSE)</f>
      </c>
      <c r="O1982" s="74">
        <f t="shared" ca="1" si="439"/>
      </c>
      <c r="P1982" s="74">
        <f t="shared" ca="1" si="440"/>
      </c>
      <c r="Q1982" s="74">
        <f t="shared" ca="1" si="441"/>
      </c>
      <c r="R1982" s="74">
        <f t="shared" si="442"/>
      </c>
      <c r="S1982" s="74">
        <f t="shared" ca="1" si="443"/>
      </c>
      <c r="T1982" s="74">
        <f t="shared" si="444"/>
      </c>
    </row>
    <row r="1983" spans="2:20" x14ac:dyDescent="0.3">
      <c r="B1983" s="74">
        <f t="shared" ca="1" si="434"/>
      </c>
      <c r="C1983" s="78">
        <f>Кабельный_журнал!P1949</f>
      </c>
      <c r="D1983" s="74">
        <f t="shared" ca="1" si="435"/>
      </c>
      <c r="E1983" s="80" t="s">
        <v>279</v>
      </c>
      <c r="F1983" s="74">
        <f t="shared" ca="1" si="431"/>
      </c>
      <c r="G1983" s="74">
        <f t="shared" si="432"/>
      </c>
      <c r="H1983" s="80" t="s">
        <v>272</v>
      </c>
      <c r="I1983" s="74">
        <f t="shared" si="433"/>
      </c>
      <c r="J1983" s="74">
        <f t="shared" si="436"/>
      </c>
      <c r="K1983" s="80" t="s">
        <v>280</v>
      </c>
      <c r="L1983" s="74">
        <f t="shared" si="437"/>
      </c>
      <c r="M1983" s="74">
        <f t="shared" ca="1" si="438"/>
      </c>
      <c r="N1983" s="74">
        <f ca="1">VLOOKUP(B1983,$C$7:$T1981,13,FALSE)</f>
      </c>
      <c r="O1983" s="74">
        <f t="shared" ca="1" si="439"/>
      </c>
      <c r="P1983" s="74">
        <f t="shared" ca="1" si="440"/>
      </c>
      <c r="Q1983" s="74">
        <f t="shared" ca="1" si="441"/>
      </c>
      <c r="R1983" s="74">
        <f t="shared" si="442"/>
      </c>
      <c r="S1983" s="74">
        <f t="shared" ca="1" si="443"/>
      </c>
      <c r="T1983" s="74">
        <f t="shared" si="444"/>
      </c>
    </row>
    <row r="1984" spans="2:20" x14ac:dyDescent="0.3">
      <c r="B1984" s="74">
        <f t="shared" ca="1" si="434"/>
      </c>
      <c r="C1984" s="78">
        <f>Кабельный_журнал!P1950</f>
      </c>
      <c r="D1984" s="74">
        <f t="shared" ca="1" si="435"/>
      </c>
      <c r="E1984" s="80" t="s">
        <v>279</v>
      </c>
      <c r="F1984" s="74">
        <f t="shared" ca="1" si="431"/>
      </c>
      <c r="G1984" s="74">
        <f t="shared" si="432"/>
      </c>
      <c r="H1984" s="80" t="s">
        <v>272</v>
      </c>
      <c r="I1984" s="74">
        <f t="shared" si="433"/>
      </c>
      <c r="J1984" s="74">
        <f t="shared" si="436"/>
      </c>
      <c r="K1984" s="80" t="s">
        <v>280</v>
      </c>
      <c r="L1984" s="74">
        <f t="shared" si="437"/>
      </c>
      <c r="M1984" s="74">
        <f t="shared" ca="1" si="438"/>
      </c>
      <c r="N1984" s="74">
        <f ca="1">VLOOKUP(B1984,$C$7:$T1982,13,FALSE)</f>
      </c>
      <c r="O1984" s="74">
        <f t="shared" ca="1" si="439"/>
      </c>
      <c r="P1984" s="74">
        <f t="shared" ca="1" si="440"/>
      </c>
      <c r="Q1984" s="74">
        <f t="shared" ca="1" si="441"/>
      </c>
      <c r="R1984" s="74">
        <f t="shared" si="442"/>
      </c>
      <c r="S1984" s="74">
        <f t="shared" ca="1" si="443"/>
      </c>
      <c r="T1984" s="74">
        <f t="shared" si="444"/>
      </c>
    </row>
    <row r="1985" spans="2:20" x14ac:dyDescent="0.3">
      <c r="B1985" s="74">
        <f t="shared" ca="1" si="434"/>
      </c>
      <c r="C1985" s="78">
        <f>Кабельный_журнал!P1951</f>
      </c>
      <c r="D1985" s="74">
        <f t="shared" ca="1" si="435"/>
      </c>
      <c r="E1985" s="80" t="s">
        <v>279</v>
      </c>
      <c r="F1985" s="74">
        <f t="shared" ca="1" si="431"/>
      </c>
      <c r="G1985" s="74">
        <f t="shared" si="432"/>
      </c>
      <c r="H1985" s="80" t="s">
        <v>272</v>
      </c>
      <c r="I1985" s="74">
        <f t="shared" si="433"/>
      </c>
      <c r="J1985" s="74">
        <f t="shared" si="436"/>
      </c>
      <c r="K1985" s="80" t="s">
        <v>280</v>
      </c>
      <c r="L1985" s="74">
        <f t="shared" si="437"/>
      </c>
      <c r="M1985" s="74">
        <f t="shared" ca="1" si="438"/>
      </c>
      <c r="N1985" s="74">
        <f ca="1">VLOOKUP(B1985,$C$7:$T1983,13,FALSE)</f>
      </c>
      <c r="O1985" s="74">
        <f t="shared" ca="1" si="439"/>
      </c>
      <c r="P1985" s="74">
        <f t="shared" ca="1" si="440"/>
      </c>
      <c r="Q1985" s="74">
        <f t="shared" ca="1" si="441"/>
      </c>
      <c r="R1985" s="74">
        <f t="shared" si="442"/>
      </c>
      <c r="S1985" s="74">
        <f t="shared" ca="1" si="443"/>
      </c>
      <c r="T1985" s="74">
        <f t="shared" si="444"/>
      </c>
    </row>
    <row r="1986" spans="2:20" x14ac:dyDescent="0.3">
      <c r="B1986" s="74">
        <f t="shared" ca="1" si="434"/>
      </c>
      <c r="C1986" s="78">
        <f>Кабельный_журнал!P1952</f>
      </c>
      <c r="D1986" s="74">
        <f t="shared" ca="1" si="435"/>
      </c>
      <c r="E1986" s="80" t="s">
        <v>279</v>
      </c>
      <c r="F1986" s="74">
        <f t="shared" ca="1" si="431"/>
      </c>
      <c r="G1986" s="74">
        <f t="shared" si="432"/>
      </c>
      <c r="H1986" s="80" t="s">
        <v>272</v>
      </c>
      <c r="I1986" s="74">
        <f t="shared" si="433"/>
      </c>
      <c r="J1986" s="74">
        <f t="shared" si="436"/>
      </c>
      <c r="K1986" s="80" t="s">
        <v>280</v>
      </c>
      <c r="L1986" s="74">
        <f t="shared" si="437"/>
      </c>
      <c r="M1986" s="74">
        <f t="shared" ca="1" si="438"/>
      </c>
      <c r="N1986" s="74">
        <f ca="1">VLOOKUP(B1986,$C$7:$T1984,13,FALSE)</f>
      </c>
      <c r="O1986" s="74">
        <f t="shared" ca="1" si="439"/>
      </c>
      <c r="P1986" s="74">
        <f t="shared" ca="1" si="440"/>
      </c>
      <c r="Q1986" s="74">
        <f t="shared" ca="1" si="441"/>
      </c>
      <c r="R1986" s="74">
        <f t="shared" si="442"/>
      </c>
      <c r="S1986" s="74">
        <f t="shared" ca="1" si="443"/>
      </c>
      <c r="T1986" s="74">
        <f t="shared" si="444"/>
      </c>
    </row>
    <row r="1987" spans="2:20" x14ac:dyDescent="0.3">
      <c r="B1987" s="74">
        <f t="shared" ca="1" si="434"/>
      </c>
      <c r="C1987" s="78">
        <f>Кабельный_журнал!P1953</f>
      </c>
      <c r="D1987" s="74">
        <f t="shared" ca="1" si="435"/>
      </c>
      <c r="E1987" s="80" t="s">
        <v>279</v>
      </c>
      <c r="F1987" s="74">
        <f t="shared" ca="1" si="431"/>
      </c>
      <c r="G1987" s="74">
        <f t="shared" si="432"/>
      </c>
      <c r="H1987" s="80" t="s">
        <v>272</v>
      </c>
      <c r="I1987" s="74">
        <f t="shared" si="433"/>
      </c>
      <c r="J1987" s="74">
        <f t="shared" si="436"/>
      </c>
      <c r="K1987" s="80" t="s">
        <v>280</v>
      </c>
      <c r="L1987" s="74">
        <f t="shared" si="437"/>
      </c>
      <c r="M1987" s="74">
        <f t="shared" ca="1" si="438"/>
      </c>
      <c r="N1987" s="74">
        <f ca="1">VLOOKUP(B1987,$C$7:$T1985,13,FALSE)</f>
      </c>
      <c r="O1987" s="74">
        <f t="shared" ca="1" si="439"/>
      </c>
      <c r="P1987" s="74">
        <f t="shared" ca="1" si="440"/>
      </c>
      <c r="Q1987" s="74">
        <f t="shared" ca="1" si="441"/>
      </c>
      <c r="R1987" s="74">
        <f t="shared" si="442"/>
      </c>
      <c r="S1987" s="74">
        <f t="shared" ca="1" si="443"/>
      </c>
      <c r="T1987" s="74">
        <f t="shared" si="444"/>
      </c>
    </row>
    <row r="1988" spans="2:20" x14ac:dyDescent="0.3">
      <c r="B1988" s="74">
        <f t="shared" ca="1" si="434"/>
      </c>
      <c r="C1988" s="78">
        <f>Кабельный_журнал!P1954</f>
      </c>
      <c r="D1988" s="74">
        <f t="shared" ca="1" si="435"/>
      </c>
      <c r="E1988" s="80" t="s">
        <v>279</v>
      </c>
      <c r="F1988" s="74">
        <f t="shared" ca="1" si="431"/>
      </c>
      <c r="G1988" s="74">
        <f t="shared" si="432"/>
      </c>
      <c r="H1988" s="80" t="s">
        <v>272</v>
      </c>
      <c r="I1988" s="74">
        <f t="shared" si="433"/>
      </c>
      <c r="J1988" s="74">
        <f t="shared" si="436"/>
      </c>
      <c r="K1988" s="80" t="s">
        <v>280</v>
      </c>
      <c r="L1988" s="74">
        <f t="shared" si="437"/>
      </c>
      <c r="M1988" s="74">
        <f t="shared" ca="1" si="438"/>
      </c>
      <c r="N1988" s="74">
        <f ca="1">VLOOKUP(B1988,$C$7:$T1986,13,FALSE)</f>
      </c>
      <c r="O1988" s="74">
        <f t="shared" ca="1" si="439"/>
      </c>
      <c r="P1988" s="74">
        <f t="shared" ca="1" si="440"/>
      </c>
      <c r="Q1988" s="74">
        <f t="shared" ca="1" si="441"/>
      </c>
      <c r="R1988" s="74">
        <f t="shared" si="442"/>
      </c>
      <c r="S1988" s="74">
        <f t="shared" ca="1" si="443"/>
      </c>
      <c r="T1988" s="74">
        <f t="shared" si="444"/>
      </c>
    </row>
    <row r="1989" spans="2:20" x14ac:dyDescent="0.3">
      <c r="B1989" s="74">
        <f t="shared" ca="1" si="434"/>
      </c>
      <c r="C1989" s="78">
        <f>Кабельный_журнал!P1955</f>
      </c>
      <c r="D1989" s="74">
        <f t="shared" ca="1" si="435"/>
      </c>
      <c r="E1989" s="80" t="s">
        <v>279</v>
      </c>
      <c r="F1989" s="74">
        <f t="shared" ca="1" si="431"/>
      </c>
      <c r="G1989" s="74">
        <f t="shared" si="432"/>
      </c>
      <c r="H1989" s="80" t="s">
        <v>272</v>
      </c>
      <c r="I1989" s="74">
        <f t="shared" si="433"/>
      </c>
      <c r="J1989" s="74">
        <f t="shared" si="436"/>
      </c>
      <c r="K1989" s="80" t="s">
        <v>280</v>
      </c>
      <c r="L1989" s="74">
        <f t="shared" si="437"/>
      </c>
      <c r="M1989" s="74">
        <f t="shared" ca="1" si="438"/>
      </c>
      <c r="N1989" s="74">
        <f ca="1">VLOOKUP(B1989,$C$7:$T1987,13,FALSE)</f>
      </c>
      <c r="O1989" s="74">
        <f t="shared" ca="1" si="439"/>
      </c>
      <c r="P1989" s="74">
        <f t="shared" ca="1" si="440"/>
      </c>
      <c r="Q1989" s="74">
        <f t="shared" ca="1" si="441"/>
      </c>
      <c r="R1989" s="74">
        <f t="shared" si="442"/>
      </c>
      <c r="S1989" s="74">
        <f t="shared" ca="1" si="443"/>
      </c>
      <c r="T1989" s="74">
        <f t="shared" si="444"/>
      </c>
    </row>
    <row r="1990" spans="2:20" x14ac:dyDescent="0.3">
      <c r="B1990" s="74">
        <f t="shared" ca="1" si="434"/>
      </c>
      <c r="C1990" s="78">
        <f>Кабельный_журнал!P1956</f>
      </c>
      <c r="D1990" s="74">
        <f t="shared" ca="1" si="435"/>
      </c>
      <c r="E1990" s="80" t="s">
        <v>279</v>
      </c>
      <c r="F1990" s="74">
        <f t="shared" ca="1" si="431"/>
      </c>
      <c r="G1990" s="74">
        <f t="shared" si="432"/>
      </c>
      <c r="H1990" s="80" t="s">
        <v>272</v>
      </c>
      <c r="I1990" s="74">
        <f t="shared" si="433"/>
      </c>
      <c r="J1990" s="74">
        <f t="shared" si="436"/>
      </c>
      <c r="K1990" s="80" t="s">
        <v>280</v>
      </c>
      <c r="L1990" s="74">
        <f t="shared" si="437"/>
      </c>
      <c r="M1990" s="74">
        <f t="shared" ca="1" si="438"/>
      </c>
      <c r="N1990" s="74">
        <f ca="1">VLOOKUP(B1990,$C$7:$T1988,13,FALSE)</f>
      </c>
      <c r="O1990" s="74">
        <f t="shared" ca="1" si="439"/>
      </c>
      <c r="P1990" s="74">
        <f t="shared" ca="1" si="440"/>
      </c>
      <c r="Q1990" s="74">
        <f t="shared" ca="1" si="441"/>
      </c>
      <c r="R1990" s="74">
        <f t="shared" si="442"/>
      </c>
      <c r="S1990" s="74">
        <f t="shared" ca="1" si="443"/>
      </c>
      <c r="T1990" s="74">
        <f t="shared" si="444"/>
      </c>
    </row>
    <row r="1991" spans="2:20" x14ac:dyDescent="0.3">
      <c r="B1991" s="74">
        <f t="shared" ca="1" si="434"/>
      </c>
      <c r="C1991" s="78">
        <f>Кабельный_журнал!P1957</f>
      </c>
      <c r="D1991" s="74">
        <f t="shared" ca="1" si="435"/>
      </c>
      <c r="E1991" s="80" t="s">
        <v>279</v>
      </c>
      <c r="F1991" s="74">
        <f t="shared" ca="1" si="431"/>
      </c>
      <c r="G1991" s="74">
        <f t="shared" si="432"/>
      </c>
      <c r="H1991" s="80" t="s">
        <v>272</v>
      </c>
      <c r="I1991" s="74">
        <f t="shared" si="433"/>
      </c>
      <c r="J1991" s="74">
        <f t="shared" si="436"/>
      </c>
      <c r="K1991" s="80" t="s">
        <v>280</v>
      </c>
      <c r="L1991" s="74">
        <f t="shared" si="437"/>
      </c>
      <c r="M1991" s="74">
        <f t="shared" ca="1" si="438"/>
      </c>
      <c r="N1991" s="74">
        <f ca="1">VLOOKUP(B1991,$C$7:$T1989,13,FALSE)</f>
      </c>
      <c r="O1991" s="74">
        <f t="shared" ca="1" si="439"/>
      </c>
      <c r="P1991" s="74">
        <f t="shared" ca="1" si="440"/>
      </c>
      <c r="Q1991" s="74">
        <f t="shared" ca="1" si="441"/>
      </c>
      <c r="R1991" s="74">
        <f t="shared" si="442"/>
      </c>
      <c r="S1991" s="74">
        <f t="shared" ca="1" si="443"/>
      </c>
      <c r="T1991" s="74">
        <f t="shared" si="444"/>
      </c>
    </row>
    <row r="1992" spans="2:20" x14ac:dyDescent="0.3">
      <c r="B1992" s="74">
        <f t="shared" ca="1" si="434"/>
      </c>
      <c r="C1992" s="78">
        <f>Кабельный_журнал!P1958</f>
      </c>
      <c r="D1992" s="74">
        <f t="shared" ca="1" si="435"/>
      </c>
      <c r="E1992" s="80" t="s">
        <v>279</v>
      </c>
      <c r="F1992" s="74">
        <f t="shared" ca="1" si="431"/>
      </c>
      <c r="G1992" s="74">
        <f t="shared" si="432"/>
      </c>
      <c r="H1992" s="80" t="s">
        <v>272</v>
      </c>
      <c r="I1992" s="74">
        <f t="shared" si="433"/>
      </c>
      <c r="J1992" s="74">
        <f t="shared" si="436"/>
      </c>
      <c r="K1992" s="80" t="s">
        <v>280</v>
      </c>
      <c r="L1992" s="74">
        <f t="shared" si="437"/>
      </c>
      <c r="M1992" s="74">
        <f t="shared" ca="1" si="438"/>
      </c>
      <c r="N1992" s="74">
        <f ca="1">VLOOKUP(B1992,$C$7:$T1990,13,FALSE)</f>
      </c>
      <c r="O1992" s="74">
        <f t="shared" ca="1" si="439"/>
      </c>
      <c r="P1992" s="74">
        <f t="shared" ca="1" si="440"/>
      </c>
      <c r="Q1992" s="74">
        <f t="shared" ca="1" si="441"/>
      </c>
      <c r="R1992" s="74">
        <f t="shared" si="442"/>
      </c>
      <c r="S1992" s="74">
        <f t="shared" ca="1" si="443"/>
      </c>
      <c r="T1992" s="74">
        <f t="shared" si="444"/>
      </c>
    </row>
    <row r="1993" spans="2:20" x14ac:dyDescent="0.3">
      <c r="B1993" s="74">
        <f t="shared" ca="1" si="434"/>
      </c>
      <c r="C1993" s="78">
        <f>Кабельный_журнал!P1959</f>
      </c>
      <c r="D1993" s="74">
        <f t="shared" ca="1" si="435"/>
      </c>
      <c r="E1993" s="80" t="s">
        <v>279</v>
      </c>
      <c r="F1993" s="74">
        <f t="shared" ca="1" si="431"/>
      </c>
      <c r="G1993" s="74">
        <f t="shared" si="432"/>
      </c>
      <c r="H1993" s="80" t="s">
        <v>272</v>
      </c>
      <c r="I1993" s="74">
        <f t="shared" si="433"/>
      </c>
      <c r="J1993" s="74">
        <f t="shared" si="436"/>
      </c>
      <c r="K1993" s="80" t="s">
        <v>280</v>
      </c>
      <c r="L1993" s="74">
        <f t="shared" si="437"/>
      </c>
      <c r="M1993" s="74">
        <f t="shared" ca="1" si="438"/>
      </c>
      <c r="N1993" s="74">
        <f ca="1">VLOOKUP(B1993,$C$7:$T1991,13,FALSE)</f>
      </c>
      <c r="O1993" s="74">
        <f t="shared" ca="1" si="439"/>
      </c>
      <c r="P1993" s="74">
        <f t="shared" ca="1" si="440"/>
      </c>
      <c r="Q1993" s="74">
        <f t="shared" ca="1" si="441"/>
      </c>
      <c r="R1993" s="74">
        <f t="shared" si="442"/>
      </c>
      <c r="S1993" s="74">
        <f t="shared" ca="1" si="443"/>
      </c>
      <c r="T1993" s="74">
        <f t="shared" si="444"/>
      </c>
    </row>
    <row r="1994" spans="2:20" x14ac:dyDescent="0.3">
      <c r="B1994" s="74">
        <f t="shared" ca="1" si="434"/>
      </c>
      <c r="C1994" s="78">
        <f>Кабельный_журнал!P1960</f>
      </c>
      <c r="D1994" s="74">
        <f t="shared" ca="1" si="435"/>
      </c>
      <c r="E1994" s="80" t="s">
        <v>279</v>
      </c>
      <c r="F1994" s="74">
        <f t="shared" ca="1" si="431"/>
      </c>
      <c r="G1994" s="74">
        <f t="shared" si="432"/>
      </c>
      <c r="H1994" s="80" t="s">
        <v>272</v>
      </c>
      <c r="I1994" s="74">
        <f t="shared" si="433"/>
      </c>
      <c r="J1994" s="74">
        <f t="shared" si="436"/>
      </c>
      <c r="K1994" s="80" t="s">
        <v>280</v>
      </c>
      <c r="L1994" s="74">
        <f t="shared" si="437"/>
      </c>
      <c r="M1994" s="74">
        <f t="shared" ca="1" si="438"/>
      </c>
      <c r="N1994" s="74">
        <f ca="1">VLOOKUP(B1994,$C$7:$T1992,13,FALSE)</f>
      </c>
      <c r="O1994" s="74">
        <f t="shared" ca="1" si="439"/>
      </c>
      <c r="P1994" s="74">
        <f t="shared" ca="1" si="440"/>
      </c>
      <c r="Q1994" s="74">
        <f t="shared" ca="1" si="441"/>
      </c>
      <c r="R1994" s="74">
        <f t="shared" si="442"/>
      </c>
      <c r="S1994" s="74">
        <f t="shared" ca="1" si="443"/>
      </c>
      <c r="T1994" s="74">
        <f t="shared" si="444"/>
      </c>
    </row>
    <row r="1995" spans="2:20" x14ac:dyDescent="0.3">
      <c r="B1995" s="74">
        <f t="shared" ca="1" si="434"/>
      </c>
      <c r="C1995" s="78">
        <f>Кабельный_журнал!P1961</f>
      </c>
      <c r="D1995" s="74">
        <f t="shared" ca="1" si="435"/>
      </c>
      <c r="E1995" s="80" t="s">
        <v>279</v>
      </c>
      <c r="F1995" s="74">
        <f t="shared" ca="1" si="431"/>
      </c>
      <c r="G1995" s="74">
        <f t="shared" si="432"/>
      </c>
      <c r="H1995" s="80" t="s">
        <v>272</v>
      </c>
      <c r="I1995" s="74">
        <f t="shared" si="433"/>
      </c>
      <c r="J1995" s="74">
        <f t="shared" si="436"/>
      </c>
      <c r="K1995" s="80" t="s">
        <v>280</v>
      </c>
      <c r="L1995" s="74">
        <f t="shared" si="437"/>
      </c>
      <c r="M1995" s="74">
        <f t="shared" ca="1" si="438"/>
      </c>
      <c r="N1995" s="74">
        <f ca="1">VLOOKUP(B1995,$C$7:$T1993,13,FALSE)</f>
      </c>
      <c r="O1995" s="74">
        <f t="shared" ca="1" si="439"/>
      </c>
      <c r="P1995" s="74">
        <f t="shared" ca="1" si="440"/>
      </c>
      <c r="Q1995" s="74">
        <f t="shared" ca="1" si="441"/>
      </c>
      <c r="R1995" s="74">
        <f t="shared" si="442"/>
      </c>
      <c r="S1995" s="74">
        <f t="shared" ca="1" si="443"/>
      </c>
      <c r="T1995" s="74">
        <f t="shared" si="444"/>
      </c>
    </row>
    <row r="1996" spans="2:20" x14ac:dyDescent="0.3">
      <c r="B1996" s="74">
        <f t="shared" ca="1" si="434"/>
      </c>
      <c r="C1996" s="78">
        <f>Кабельный_журнал!P1962</f>
      </c>
      <c r="D1996" s="74">
        <f t="shared" ca="1" si="435"/>
      </c>
      <c r="E1996" s="80" t="s">
        <v>279</v>
      </c>
      <c r="F1996" s="74">
        <f t="shared" ca="1" si="431"/>
      </c>
      <c r="G1996" s="74">
        <f t="shared" si="432"/>
      </c>
      <c r="H1996" s="80" t="s">
        <v>272</v>
      </c>
      <c r="I1996" s="74">
        <f t="shared" si="433"/>
      </c>
      <c r="J1996" s="74">
        <f t="shared" si="436"/>
      </c>
      <c r="K1996" s="80" t="s">
        <v>280</v>
      </c>
      <c r="L1996" s="74">
        <f t="shared" si="437"/>
      </c>
      <c r="M1996" s="74">
        <f t="shared" ca="1" si="438"/>
      </c>
      <c r="N1996" s="74">
        <f ca="1">VLOOKUP(B1996,$C$7:$T1994,13,FALSE)</f>
      </c>
      <c r="O1996" s="74">
        <f t="shared" ca="1" si="439"/>
      </c>
      <c r="P1996" s="74">
        <f t="shared" ca="1" si="440"/>
      </c>
      <c r="Q1996" s="74">
        <f t="shared" ca="1" si="441"/>
      </c>
      <c r="R1996" s="74">
        <f t="shared" si="442"/>
      </c>
      <c r="S1996" s="74">
        <f t="shared" ca="1" si="443"/>
      </c>
      <c r="T1996" s="74">
        <f t="shared" si="444"/>
      </c>
    </row>
    <row r="1997" spans="2:20" x14ac:dyDescent="0.3">
      <c r="B1997" s="74">
        <f t="shared" ca="1" si="434"/>
      </c>
      <c r="C1997" s="78">
        <f>Кабельный_журнал!P1963</f>
      </c>
      <c r="D1997" s="74">
        <f t="shared" ca="1" si="435"/>
      </c>
      <c r="E1997" s="80" t="s">
        <v>279</v>
      </c>
      <c r="F1997" s="74">
        <f t="shared" ca="1" si="431"/>
      </c>
      <c r="G1997" s="74">
        <f t="shared" si="432"/>
      </c>
      <c r="H1997" s="80" t="s">
        <v>272</v>
      </c>
      <c r="I1997" s="74">
        <f t="shared" si="433"/>
      </c>
      <c r="J1997" s="74">
        <f t="shared" si="436"/>
      </c>
      <c r="K1997" s="80" t="s">
        <v>280</v>
      </c>
      <c r="L1997" s="74">
        <f t="shared" si="437"/>
      </c>
      <c r="M1997" s="74">
        <f t="shared" ca="1" si="438"/>
      </c>
      <c r="N1997" s="74">
        <f ca="1">VLOOKUP(B1997,$C$7:$T1995,13,FALSE)</f>
      </c>
      <c r="O1997" s="74">
        <f t="shared" ca="1" si="439"/>
      </c>
      <c r="P1997" s="74">
        <f t="shared" ca="1" si="440"/>
      </c>
      <c r="Q1997" s="74">
        <f t="shared" ca="1" si="441"/>
      </c>
      <c r="R1997" s="74">
        <f t="shared" si="442"/>
      </c>
      <c r="S1997" s="74">
        <f t="shared" ca="1" si="443"/>
      </c>
      <c r="T1997" s="74">
        <f t="shared" si="444"/>
      </c>
    </row>
    <row r="1998" spans="2:20" x14ac:dyDescent="0.3">
      <c r="B1998" s="74">
        <f t="shared" ca="1" si="434"/>
      </c>
      <c r="C1998" s="78">
        <f>Кабельный_журнал!P1964</f>
      </c>
      <c r="D1998" s="74">
        <f t="shared" ca="1" si="435"/>
      </c>
      <c r="E1998" s="80" t="s">
        <v>279</v>
      </c>
      <c r="F1998" s="74">
        <f t="shared" ca="1" si="431"/>
      </c>
      <c r="G1998" s="74">
        <f t="shared" si="432"/>
      </c>
      <c r="H1998" s="80" t="s">
        <v>272</v>
      </c>
      <c r="I1998" s="74">
        <f t="shared" si="433"/>
      </c>
      <c r="J1998" s="74">
        <f t="shared" si="436"/>
      </c>
      <c r="K1998" s="80" t="s">
        <v>280</v>
      </c>
      <c r="L1998" s="74">
        <f t="shared" si="437"/>
      </c>
      <c r="M1998" s="74">
        <f t="shared" ca="1" si="438"/>
      </c>
      <c r="N1998" s="74">
        <f ca="1">VLOOKUP(B1998,$C$7:$T1996,13,FALSE)</f>
      </c>
      <c r="O1998" s="74">
        <f t="shared" ca="1" si="439"/>
      </c>
      <c r="P1998" s="74">
        <f t="shared" ca="1" si="440"/>
      </c>
      <c r="Q1998" s="74">
        <f t="shared" ca="1" si="441"/>
      </c>
      <c r="R1998" s="74">
        <f t="shared" si="442"/>
      </c>
      <c r="S1998" s="74">
        <f t="shared" ca="1" si="443"/>
      </c>
      <c r="T1998" s="74">
        <f t="shared" si="444"/>
      </c>
    </row>
    <row r="1999" spans="2:20" x14ac:dyDescent="0.3">
      <c r="B1999" s="74">
        <f t="shared" ca="1" si="434"/>
      </c>
      <c r="C1999" s="78">
        <f>Кабельный_журнал!P1965</f>
      </c>
      <c r="D1999" s="74">
        <f t="shared" ca="1" si="435"/>
      </c>
      <c r="E1999" s="80" t="s">
        <v>279</v>
      </c>
      <c r="F1999" s="74">
        <f t="shared" ca="1" si="431"/>
      </c>
      <c r="G1999" s="74">
        <f t="shared" si="432"/>
      </c>
      <c r="H1999" s="80" t="s">
        <v>272</v>
      </c>
      <c r="I1999" s="74">
        <f t="shared" si="433"/>
      </c>
      <c r="J1999" s="74">
        <f t="shared" si="436"/>
      </c>
      <c r="K1999" s="80" t="s">
        <v>280</v>
      </c>
      <c r="L1999" s="74">
        <f t="shared" si="437"/>
      </c>
      <c r="M1999" s="74">
        <f t="shared" ca="1" si="438"/>
      </c>
      <c r="N1999" s="74">
        <f ca="1">VLOOKUP(B1999,$C$7:$T1997,13,FALSE)</f>
      </c>
      <c r="O1999" s="74">
        <f t="shared" ca="1" si="439"/>
      </c>
      <c r="P1999" s="74">
        <f t="shared" ca="1" si="440"/>
      </c>
      <c r="Q1999" s="74">
        <f t="shared" ca="1" si="441"/>
      </c>
      <c r="R1999" s="74">
        <f t="shared" si="442"/>
      </c>
      <c r="S1999" s="74">
        <f t="shared" ca="1" si="443"/>
      </c>
      <c r="T1999" s="74">
        <f t="shared" si="444"/>
      </c>
    </row>
    <row r="2000" spans="2:20" x14ac:dyDescent="0.3">
      <c r="B2000" s="74">
        <f t="shared" ca="1" si="434"/>
      </c>
      <c r="C2000" s="78">
        <f>Кабельный_журнал!P1966</f>
      </c>
      <c r="D2000" s="74">
        <f t="shared" ca="1" si="435"/>
      </c>
      <c r="E2000" s="80" t="s">
        <v>279</v>
      </c>
      <c r="F2000" s="74">
        <f t="shared" ca="1" si="431"/>
      </c>
      <c r="G2000" s="74">
        <f t="shared" si="432"/>
      </c>
      <c r="H2000" s="80" t="s">
        <v>272</v>
      </c>
      <c r="I2000" s="74">
        <f t="shared" si="433"/>
      </c>
      <c r="J2000" s="74">
        <f t="shared" si="436"/>
      </c>
      <c r="K2000" s="80" t="s">
        <v>280</v>
      </c>
      <c r="L2000" s="74">
        <f t="shared" si="437"/>
      </c>
      <c r="M2000" s="74">
        <f t="shared" ca="1" si="438"/>
      </c>
      <c r="N2000" s="74">
        <f ca="1">VLOOKUP(B2000,$C$7:$T1998,13,FALSE)</f>
      </c>
      <c r="O2000" s="74">
        <f t="shared" ca="1" si="439"/>
      </c>
      <c r="P2000" s="74">
        <f t="shared" ca="1" si="440"/>
      </c>
      <c r="Q2000" s="74">
        <f t="shared" ca="1" si="441"/>
      </c>
      <c r="R2000" s="74">
        <f t="shared" si="442"/>
      </c>
      <c r="S2000" s="74">
        <f t="shared" ca="1" si="443"/>
      </c>
      <c r="T2000" s="74">
        <f t="shared" si="444"/>
      </c>
    </row>
  </sheetData>
  <mergeCells count="18">
    <mergeCell ref="B5:B6"/>
    <mergeCell ref="G5:G6"/>
    <mergeCell ref="C5:C6"/>
    <mergeCell ref="M5:O5"/>
    <mergeCell ref="P5:Q5"/>
    <mergeCell ref="K5:K6"/>
    <mergeCell ref="H5:H6"/>
    <mergeCell ref="E5:E6"/>
    <mergeCell ref="D5:D6"/>
    <mergeCell ref="F5:F6"/>
    <mergeCell ref="I5:J5"/>
    <mergeCell ref="L5:L6"/>
    <mergeCell ref="V2:V4"/>
    <mergeCell ref="V8:V12"/>
    <mergeCell ref="R5:R6"/>
    <mergeCell ref="V5:V7"/>
    <mergeCell ref="T5:T6"/>
    <mergeCell ref="S5:S6"/>
  </mergeCells>
  <phoneticPr fontId="3" type="noConversion"/>
  <conditionalFormatting sqref="B7:T2000">
    <cfRule type="expression" dxfId="9768" priority="6">
      <formula>_xlfn.ISFORMULA(B7)=TRUE</formula>
    </cfRule>
  </conditionalFormatting>
  <conditionalFormatting sqref="S5:S6">
    <cfRule type="expression" dxfId="9767" priority="4">
      <formula>IF(VLOOKUP("Увел сеч",$S$7:$S$2000,1,FALSE)="#Н/Д","ЛОЖЬ","Истина")</formula>
    </cfRule>
  </conditionalFormatting>
  <conditionalFormatting sqref="S7:S2000">
    <cfRule type="expression" dxfId="9766" priority="1">
      <formula>IF($S7="Увел сеч","ИСТИНА","ЛОЖЬ")</formula>
    </cfRule>
  </conditionalFormatting>
  <conditionalFormatting sqref="S98">
    <cfRule type="expression" dxfId="9765" priority="2">
      <formula>IF($S$7="Увел сеч","ИСТИНА","ЛОЖЬ")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4AB53-39B8-42F9-A3BB-E53E025B4A51}">
  <sheetPr>
    <tabColor rgb="FFA6A6A6"/>
  </sheetPr>
  <dimension ref="A1:S160"/>
  <sheetViews>
    <sheetView topLeftCell="A52" workbookViewId="0">
      <selection activeCell="C11" sqref="C11"/>
    </sheetView>
  </sheetViews>
  <sheetFormatPr defaultRowHeight="14.4" x14ac:dyDescent="0.3"/>
  <cols>
    <col min="1" max="1" width="4" hidden="1" customWidth="1"/>
    <col min="2" max="2" width="9.6640625" customWidth="1"/>
    <col min="3" max="3" width="115.88671875" customWidth="1"/>
    <col min="4" max="6" width="20.6640625" customWidth="1"/>
    <col min="7" max="9" width="9.6640625" customWidth="1"/>
    <col min="10" max="10" width="20.6640625" customWidth="1"/>
    <col min="11" max="11" width="3" customWidth="1"/>
    <col min="12" max="12" width="40" hidden="1" outlineLevel="1" customWidth="1"/>
    <col min="13" max="19" width="11" hidden="1" outlineLevel="1" customWidth="1"/>
  </cols>
  <sheetData>
    <row r="1" spans="2:10" ht="15" thickBot="1" x14ac:dyDescent="0.35">
      <c r="C1" s="121">
        <f>IF(Каталог!$R$28="","ЧЕРНОВИК — считается сам, не править. Перенос в «Спецификацию»: выделите B4:J160 → Копировать → лист «Спецификация», ячейка B4 → Вставить → Значения (или кнопка/макрос «ОбновитьСпецификацию»).","ВНИМАНИЕ: в однолинейке есть позиции, которых нет в Каталоге: "&amp;Каталог!$R$28&amp;IF(Каталог!$R$29="","",", "&amp;Каталог!$R$29)&amp;IF(Каталог!$R$30="","",", "&amp;Каталог!$R$30)&amp;" — добавьте их в Каталог.")</f>
      </c>
    </row>
    <row r="2" spans="2:10" ht="43.8" thickBot="1" x14ac:dyDescent="0.35">
      <c r="B2" s="28" t="s">
        <v>101</v>
      </c>
      <c r="C2" s="2" t="s">
        <v>102</v>
      </c>
      <c r="D2" s="2" t="s">
        <v>103</v>
      </c>
      <c r="E2" s="2" t="s">
        <v>104</v>
      </c>
      <c r="F2" s="2" t="s">
        <v>105</v>
      </c>
      <c r="G2" s="2" t="s">
        <v>109</v>
      </c>
      <c r="H2" s="2" t="s">
        <v>106</v>
      </c>
      <c r="I2" s="2" t="s">
        <v>107</v>
      </c>
      <c r="J2" s="29" t="s">
        <v>108</v>
      </c>
      <c r="L2" s="2" t="inlineStr">
        <is>
          <t xml:space="preserve">ПОДСЧЁТ ПО ЛИСТУ «ОДНОЛИНЕЙКА» (считается сам)</t>
        </is>
      </c>
      <c r="M2" s="2" t="inlineStr">
        <is>
          <t xml:space="preserve">Кол-во</t>
        </is>
      </c>
      <c r="N2" s="2" t="inlineStr">
        <is>
          <t xml:space="preserve">Трёхуровн.</t>
        </is>
      </c>
      <c r="O2" s="2" t="inlineStr">
        <is>
          <t xml:space="preserve">Доп. проходных</t>
        </is>
      </c>
    </row>
    <row r="3" spans="2:10" x14ac:dyDescent="0.3">
      <c r="B3" s="111" t="s">
        <v>89</v>
      </c>
      <c r="C3" s="109" t="s">
        <v>427</v>
      </c>
      <c r="D3" s="27"/>
      <c r="E3" s="27"/>
      <c r="F3" s="27"/>
      <c r="G3" s="27"/>
      <c r="H3" s="27"/>
      <c r="I3" s="27"/>
      <c r="J3" s="27"/>
      <c r="L3" s="2" t="inlineStr">
        <is>
          <t xml:space="preserve">Автоматы и дифавтоматы (полюса, номинал, 30 мА)</t>
        </is>
      </c>
    </row>
    <row r="4" spans="2:10" x14ac:dyDescent="0.3">
      <c r="A4" s="112">
        <f>IFERROR(MATCH(ROW()-3,Каталог!$AF$4:$AF$500,0),"")</f>
      </c>
      <c r="B4" s="112">
        <f>IF($A4="","",$B$3&amp;"."&amp;(ROW()-3))</f>
      </c>
      <c r="C4" s="121">
        <f>IF($A4="","",INDEX(Каталог!$G$4:$G$500,$A4)&amp;"")</f>
      </c>
      <c r="D4" s="124"/>
      <c r="E4" s="122">
        <f>IF($A4="","",INDEX(Каталог!$H$4:$H$500,$A4)&amp;"")</f>
      </c>
      <c r="F4" s="123">
        <f>IF($A4="","",INDEX(Каталог!$B$4:$B$500,$A4)&amp;"")</f>
      </c>
      <c r="G4" s="123">
        <f>IF($A4="","",INDEX(Каталог!$M$4:$M$500,$A4)&amp;"")</f>
      </c>
      <c r="H4" s="123">
        <f>IF($A4="","",INDEX(Каталог!$P$4:$P$500,$A4))</f>
      </c>
      <c r="I4" s="10"/>
      <c r="J4" s="10"/>
      <c r="L4" s="121">
        <f>IFERROR(INDEX(Однолинейка!$H$3:$H$1000,MATCH(1,Однолинейка!$BM$3:$BM$1000,0)),"")</f>
      </c>
      <c r="M4" s="123">
        <f>IF(L4="","",COUNTIF(Однолинейка!$H$3:$H$1000,L4))</f>
      </c>
    </row>
    <row r="5" spans="2:10" x14ac:dyDescent="0.3">
      <c r="A5" s="112">
        <f>IFERROR(MATCH(ROW()-3,Каталог!$AF$4:$AF$500,0),"")</f>
      </c>
      <c r="B5" s="112">
        <f>IF($A5="","",$B$3&amp;"."&amp;(ROW()-3))</f>
      </c>
      <c r="C5" s="121">
        <f>IF($A5="","",INDEX(Каталог!$G$4:$G$500,$A5)&amp;"")</f>
      </c>
      <c r="D5" s="124"/>
      <c r="E5" s="122">
        <f>IF($A5="","",INDEX(Каталог!$H$4:$H$500,$A5)&amp;"")</f>
      </c>
      <c r="F5" s="123">
        <f>IF($A5="","",INDEX(Каталог!$B$4:$B$500,$A5)&amp;"")</f>
      </c>
      <c r="G5" s="123">
        <f>IF($A5="","",INDEX(Каталог!$M$4:$M$500,$A5)&amp;"")</f>
      </c>
      <c r="H5" s="123">
        <f>IF($A5="","",INDEX(Каталог!$P$4:$P$500,$A5))</f>
      </c>
      <c r="I5" s="10"/>
      <c r="J5" s="10"/>
      <c r="L5" s="121">
        <f>IFERROR(INDEX(Однолинейка!$H$3:$H$1000,MATCH(2,Однолинейка!$BM$3:$BM$1000,0)),"")</f>
      </c>
      <c r="M5" s="123">
        <f>IF(L5="","",COUNTIF(Однолинейка!$H$3:$H$1000,L5))</f>
      </c>
    </row>
    <row r="6" spans="2:10" x14ac:dyDescent="0.3">
      <c r="A6" s="112">
        <f>IFERROR(MATCH(ROW()-3,Каталог!$AF$4:$AF$500,0),"")</f>
      </c>
      <c r="B6" s="112">
        <f>IF($A6="","",$B$3&amp;"."&amp;(ROW()-3))</f>
      </c>
      <c r="C6" s="121">
        <f>IF($A6="","",INDEX(Каталог!$G$4:$G$500,$A6)&amp;"")</f>
      </c>
      <c r="D6" s="124"/>
      <c r="E6" s="122">
        <f>IF($A6="","",INDEX(Каталог!$H$4:$H$500,$A6)&amp;"")</f>
      </c>
      <c r="F6" s="123">
        <f>IF($A6="","",INDEX(Каталог!$B$4:$B$500,$A6)&amp;"")</f>
      </c>
      <c r="G6" s="123">
        <f>IF($A6="","",INDEX(Каталог!$M$4:$M$500,$A6)&amp;"")</f>
      </c>
      <c r="H6" s="123">
        <f>IF($A6="","",INDEX(Каталог!$P$4:$P$500,$A6))</f>
      </c>
      <c r="I6" s="10"/>
      <c r="J6" s="10"/>
      <c r="L6" s="121">
        <f>IFERROR(INDEX(Однолинейка!$H$3:$H$1000,MATCH(3,Однолинейка!$BM$3:$BM$1000,0)),"")</f>
      </c>
      <c r="M6" s="123">
        <f>IF(L6="","",COUNTIF(Однолинейка!$H$3:$H$1000,L6))</f>
      </c>
    </row>
    <row r="7" spans="2:10" x14ac:dyDescent="0.3">
      <c r="A7" s="112">
        <f>IFERROR(MATCH(ROW()-3,Каталог!$AF$4:$AF$500,0),"")</f>
      </c>
      <c r="B7" s="112">
        <f>IF($A7="","",$B$3&amp;"."&amp;(ROW()-3))</f>
      </c>
      <c r="C7" s="121">
        <f>IF($A7="","",INDEX(Каталог!$G$4:$G$500,$A7)&amp;"")</f>
      </c>
      <c r="D7" s="124"/>
      <c r="E7" s="122">
        <f>IF($A7="","",INDEX(Каталог!$H$4:$H$500,$A7)&amp;"")</f>
      </c>
      <c r="F7" s="123">
        <f>IF($A7="","",INDEX(Каталог!$B$4:$B$500,$A7)&amp;"")</f>
      </c>
      <c r="G7" s="123">
        <f>IF($A7="","",INDEX(Каталог!$M$4:$M$500,$A7)&amp;"")</f>
      </c>
      <c r="H7" s="123">
        <f>IF($A7="","",INDEX(Каталог!$P$4:$P$500,$A7))</f>
      </c>
      <c r="I7" s="10"/>
      <c r="J7" s="10"/>
      <c r="L7" s="121">
        <f>IFERROR(INDEX(Однолинейка!$H$3:$H$1000,MATCH(4,Однолинейка!$BM$3:$BM$1000,0)),"")</f>
      </c>
      <c r="M7" s="123">
        <f>IF(L7="","",COUNTIF(Однолинейка!$H$3:$H$1000,L7))</f>
      </c>
    </row>
    <row r="8" spans="2:10" x14ac:dyDescent="0.3">
      <c r="A8" s="112">
        <f>IFERROR(MATCH(ROW()-3,Каталог!$AF$4:$AF$500,0),"")</f>
      </c>
      <c r="B8" s="112">
        <f>IF($A8="","",$B$3&amp;"."&amp;(ROW()-3))</f>
      </c>
      <c r="C8" s="121">
        <f>IF($A8="","",INDEX(Каталог!$G$4:$G$500,$A8)&amp;"")</f>
      </c>
      <c r="D8" s="124"/>
      <c r="E8" s="122">
        <f>IF($A8="","",INDEX(Каталог!$H$4:$H$500,$A8)&amp;"")</f>
      </c>
      <c r="F8" s="123">
        <f>IF($A8="","",INDEX(Каталог!$B$4:$B$500,$A8)&amp;"")</f>
      </c>
      <c r="G8" s="123">
        <f>IF($A8="","",INDEX(Каталог!$M$4:$M$500,$A8)&amp;"")</f>
      </c>
      <c r="H8" s="123">
        <f>IF($A8="","",INDEX(Каталог!$P$4:$P$500,$A8))</f>
      </c>
      <c r="I8" s="10"/>
      <c r="J8" s="10"/>
      <c r="L8" s="121">
        <f>IFERROR(INDEX(Однолинейка!$H$3:$H$1000,MATCH(5,Однолинейка!$BM$3:$BM$1000,0)),"")</f>
      </c>
      <c r="M8" s="123">
        <f>IF(L8="","",COUNTIF(Однолинейка!$H$3:$H$1000,L8))</f>
      </c>
    </row>
    <row r="9" spans="2:10" x14ac:dyDescent="0.3">
      <c r="A9" s="112">
        <f>IFERROR(MATCH(ROW()-3,Каталог!$AF$4:$AF$500,0),"")</f>
      </c>
      <c r="B9" s="112">
        <f>IF($A9="","",$B$3&amp;"."&amp;(ROW()-3))</f>
      </c>
      <c r="C9" s="121">
        <f>IF($A9="","",INDEX(Каталог!$G$4:$G$500,$A9)&amp;"")</f>
      </c>
      <c r="D9" s="124"/>
      <c r="E9" s="122">
        <f>IF($A9="","",INDEX(Каталог!$H$4:$H$500,$A9)&amp;"")</f>
      </c>
      <c r="F9" s="123">
        <f>IF($A9="","",INDEX(Каталог!$B$4:$B$500,$A9)&amp;"")</f>
      </c>
      <c r="G9" s="123">
        <f>IF($A9="","",INDEX(Каталог!$M$4:$M$500,$A9)&amp;"")</f>
      </c>
      <c r="H9" s="123">
        <f>IF($A9="","",INDEX(Каталог!$P$4:$P$500,$A9))</f>
      </c>
      <c r="I9" s="10"/>
      <c r="J9" s="10"/>
      <c r="L9" s="121">
        <f>IFERROR(INDEX(Однолинейка!$H$3:$H$1000,MATCH(6,Однолинейка!$BM$3:$BM$1000,0)),"")</f>
      </c>
      <c r="M9" s="123">
        <f>IF(L9="","",COUNTIF(Однолинейка!$H$3:$H$1000,L9))</f>
      </c>
    </row>
    <row r="10" spans="2:10" x14ac:dyDescent="0.3">
      <c r="A10" s="112">
        <f>IFERROR(MATCH(ROW()-3,Каталог!$AF$4:$AF$500,0),"")</f>
      </c>
      <c r="B10" s="112">
        <f>IF($A10="","",$B$3&amp;"."&amp;(ROW()-3))</f>
      </c>
      <c r="C10" s="121">
        <f>IF($A10="","",INDEX(Каталог!$G$4:$G$500,$A10)&amp;"")</f>
      </c>
      <c r="D10" s="124"/>
      <c r="E10" s="122">
        <f>IF($A10="","",INDEX(Каталог!$H$4:$H$500,$A10)&amp;"")</f>
      </c>
      <c r="F10" s="123">
        <f>IF($A10="","",INDEX(Каталог!$B$4:$B$500,$A10)&amp;"")</f>
      </c>
      <c r="G10" s="123">
        <f>IF($A10="","",INDEX(Каталог!$M$4:$M$500,$A10)&amp;"")</f>
      </c>
      <c r="H10" s="123">
        <f>IF($A10="","",INDEX(Каталог!$P$4:$P$500,$A10))</f>
      </c>
      <c r="I10" s="10"/>
      <c r="J10" s="10"/>
      <c r="L10" s="121">
        <f>IFERROR(INDEX(Однолинейка!$H$3:$H$1000,MATCH(7,Однолинейка!$BM$3:$BM$1000,0)),"")</f>
      </c>
      <c r="M10" s="123">
        <f>IF(L10="","",COUNTIF(Однолинейка!$H$3:$H$1000,L10))</f>
      </c>
    </row>
    <row r="11" spans="2:10" x14ac:dyDescent="0.3">
      <c r="A11" s="112">
        <f>IFERROR(MATCH(ROW()-3,Каталог!$AF$4:$AF$500,0),"")</f>
      </c>
      <c r="B11" s="112">
        <f>IF($A11="","",$B$3&amp;"."&amp;(ROW()-3))</f>
      </c>
      <c r="C11" s="121">
        <f>IF($A11="","",INDEX(Каталог!$G$4:$G$500,$A11)&amp;"")</f>
      </c>
      <c r="D11" s="124"/>
      <c r="E11" s="122">
        <f>IF($A11="","",INDEX(Каталог!$H$4:$H$500,$A11)&amp;"")</f>
      </c>
      <c r="F11" s="123">
        <f>IF($A11="","",INDEX(Каталог!$B$4:$B$500,$A11)&amp;"")</f>
      </c>
      <c r="G11" s="123">
        <f>IF($A11="","",INDEX(Каталог!$M$4:$M$500,$A11)&amp;"")</f>
      </c>
      <c r="H11" s="123">
        <f>IF($A11="","",INDEX(Каталог!$P$4:$P$500,$A11))</f>
      </c>
      <c r="I11" s="10"/>
      <c r="J11" s="10"/>
      <c r="L11" s="121">
        <f>IFERROR(INDEX(Однолинейка!$H$3:$H$1000,MATCH(8,Однолинейка!$BM$3:$BM$1000,0)),"")</f>
      </c>
      <c r="M11" s="123">
        <f>IF(L11="","",COUNTIF(Однолинейка!$H$3:$H$1000,L11))</f>
      </c>
    </row>
    <row r="12" spans="2:10" x14ac:dyDescent="0.3">
      <c r="A12" s="112">
        <f>IFERROR(MATCH(ROW()-3,Каталог!$AF$4:$AF$500,0),"")</f>
      </c>
      <c r="B12" s="112">
        <f>IF($A12="","",$B$3&amp;"."&amp;(ROW()-3))</f>
      </c>
      <c r="C12" s="121">
        <f>IF($A12="","",INDEX(Каталог!$G$4:$G$500,$A12)&amp;"")</f>
      </c>
      <c r="D12" s="124"/>
      <c r="E12" s="122">
        <f>IF($A12="","",INDEX(Каталог!$H$4:$H$500,$A12)&amp;"")</f>
      </c>
      <c r="F12" s="123">
        <f>IF($A12="","",INDEX(Каталог!$B$4:$B$500,$A12)&amp;"")</f>
      </c>
      <c r="G12" s="123">
        <f>IF($A12="","",INDEX(Каталог!$M$4:$M$500,$A12)&amp;"")</f>
      </c>
      <c r="H12" s="123">
        <f>IF($A12="","",INDEX(Каталог!$P$4:$P$500,$A12))</f>
      </c>
      <c r="I12" s="10"/>
      <c r="J12" s="10"/>
      <c r="L12" s="121">
        <f>IFERROR(INDEX(Однолинейка!$H$3:$H$1000,MATCH(9,Однолинейка!$BM$3:$BM$1000,0)),"")</f>
      </c>
      <c r="M12" s="123">
        <f>IF(L12="","",COUNTIF(Однолинейка!$H$3:$H$1000,L12))</f>
      </c>
    </row>
    <row r="13" spans="2:10" x14ac:dyDescent="0.3">
      <c r="A13" s="112">
        <f>IFERROR(MATCH(ROW()-3,Каталог!$AF$4:$AF$500,0),"")</f>
      </c>
      <c r="B13" s="112">
        <f>IF($A13="","",$B$3&amp;"."&amp;(ROW()-3))</f>
      </c>
      <c r="C13" s="121">
        <f>IF($A13="","",INDEX(Каталог!$G$4:$G$500,$A13)&amp;"")</f>
      </c>
      <c r="D13" s="124"/>
      <c r="E13" s="122">
        <f>IF($A13="","",INDEX(Каталог!$H$4:$H$500,$A13)&amp;"")</f>
      </c>
      <c r="F13" s="123">
        <f>IF($A13="","",INDEX(Каталог!$B$4:$B$500,$A13)&amp;"")</f>
      </c>
      <c r="G13" s="123">
        <f>IF($A13="","",INDEX(Каталог!$M$4:$M$500,$A13)&amp;"")</f>
      </c>
      <c r="H13" s="123">
        <f>IF($A13="","",INDEX(Каталог!$P$4:$P$500,$A13))</f>
      </c>
      <c r="I13" s="10"/>
      <c r="J13" s="10"/>
      <c r="L13" s="121">
        <f>IFERROR(INDEX(Однолинейка!$H$3:$H$1000,MATCH(10,Однолинейка!$BM$3:$BM$1000,0)),"")</f>
      </c>
      <c r="M13" s="123">
        <f>IF(L13="","",COUNTIF(Однолинейка!$H$3:$H$1000,L13))</f>
      </c>
    </row>
    <row r="14" spans="2:10" x14ac:dyDescent="0.3">
      <c r="A14" s="112">
        <f>IFERROR(MATCH(ROW()-3,Каталог!$AF$4:$AF$500,0),"")</f>
      </c>
      <c r="B14" s="112">
        <f>IF($A14="","",$B$3&amp;"."&amp;(ROW()-3))</f>
      </c>
      <c r="C14" s="121">
        <f>IF($A14="","",INDEX(Каталог!$G$4:$G$500,$A14)&amp;"")</f>
      </c>
      <c r="D14" s="124"/>
      <c r="E14" s="122">
        <f>IF($A14="","",INDEX(Каталог!$H$4:$H$500,$A14)&amp;"")</f>
      </c>
      <c r="F14" s="123">
        <f>IF($A14="","",INDEX(Каталог!$B$4:$B$500,$A14)&amp;"")</f>
      </c>
      <c r="G14" s="123">
        <f>IF($A14="","",INDEX(Каталог!$M$4:$M$500,$A14)&amp;"")</f>
      </c>
      <c r="H14" s="123">
        <f>IF($A14="","",INDEX(Каталог!$P$4:$P$500,$A14))</f>
      </c>
      <c r="I14" s="10"/>
      <c r="J14" s="10"/>
      <c r="L14" s="121">
        <f>IFERROR(INDEX(Однолинейка!$H$3:$H$1000,MATCH(11,Однолинейка!$BM$3:$BM$1000,0)),"")</f>
      </c>
      <c r="M14" s="123">
        <f>IF(L14="","",COUNTIF(Однолинейка!$H$3:$H$1000,L14))</f>
      </c>
    </row>
    <row r="15" spans="2:10" x14ac:dyDescent="0.3">
      <c r="A15" s="112">
        <f>IFERROR(MATCH(ROW()-3,Каталог!$AF$4:$AF$500,0),"")</f>
      </c>
      <c r="B15" s="112">
        <f>IF($A15="","",$B$3&amp;"."&amp;(ROW()-3))</f>
      </c>
      <c r="C15" s="121">
        <f>IF($A15="","",INDEX(Каталог!$G$4:$G$500,$A15)&amp;"")</f>
      </c>
      <c r="D15" s="124"/>
      <c r="E15" s="122">
        <f>IF($A15="","",INDEX(Каталог!$H$4:$H$500,$A15)&amp;"")</f>
      </c>
      <c r="F15" s="123">
        <f>IF($A15="","",INDEX(Каталог!$B$4:$B$500,$A15)&amp;"")</f>
      </c>
      <c r="G15" s="123">
        <f>IF($A15="","",INDEX(Каталог!$M$4:$M$500,$A15)&amp;"")</f>
      </c>
      <c r="H15" s="123">
        <f>IF($A15="","",INDEX(Каталог!$P$4:$P$500,$A15))</f>
      </c>
      <c r="I15" s="10"/>
      <c r="J15" s="10"/>
      <c r="L15" s="121">
        <f>IFERROR(INDEX(Однолинейка!$H$3:$H$1000,MATCH(12,Однолинейка!$BM$3:$BM$1000,0)),"")</f>
      </c>
      <c r="M15" s="123">
        <f>IF(L15="","",COUNTIF(Однолинейка!$H$3:$H$1000,L15))</f>
      </c>
    </row>
    <row r="16" spans="2:10" ht="18" customHeight="1" x14ac:dyDescent="0.3">
      <c r="A16" s="112">
        <f>IFERROR(MATCH(ROW()-3,Каталог!$AF$4:$AF$500,0),"")</f>
      </c>
      <c r="B16" s="112">
        <f>IF($A16="","",$B$3&amp;"."&amp;(ROW()-3))</f>
      </c>
      <c r="C16" s="121">
        <f>IF($A16="","",INDEX(Каталог!$G$4:$G$500,$A16)&amp;"")</f>
      </c>
      <c r="D16" s="124"/>
      <c r="E16" s="122">
        <f>IF($A16="","",INDEX(Каталог!$H$4:$H$500,$A16)&amp;"")</f>
      </c>
      <c r="F16" s="123">
        <f>IF($A16="","",INDEX(Каталог!$B$4:$B$500,$A16)&amp;"")</f>
      </c>
      <c r="G16" s="123">
        <f>IF($A16="","",INDEX(Каталог!$M$4:$M$500,$A16)&amp;"")</f>
      </c>
      <c r="H16" s="123">
        <f>IF($A16="","",INDEX(Каталог!$P$4:$P$500,$A16))</f>
      </c>
      <c r="I16" s="10"/>
      <c r="J16" s="10"/>
      <c r="L16" s="121">
        <f>IFERROR(INDEX(Однолинейка!$H$3:$H$1000,MATCH(13,Однолинейка!$BM$3:$BM$1000,0)),"")</f>
      </c>
      <c r="M16" s="123">
        <f>IF(L16="","",COUNTIF(Однолинейка!$H$3:$H$1000,L16))</f>
      </c>
    </row>
    <row r="17" spans="2:10" x14ac:dyDescent="0.3">
      <c r="A17" s="112">
        <f>IFERROR(MATCH(ROW()-3,Каталог!$AF$4:$AF$500,0),"")</f>
      </c>
      <c r="B17" s="112">
        <f>IF($A17="","",$B$3&amp;"."&amp;(ROW()-3))</f>
      </c>
      <c r="C17" s="121">
        <f>IF($A17="","",INDEX(Каталог!$G$4:$G$500,$A17)&amp;"")</f>
      </c>
      <c r="D17" s="124"/>
      <c r="E17" s="122">
        <f>IF($A17="","",INDEX(Каталог!$H$4:$H$500,$A17)&amp;"")</f>
      </c>
      <c r="F17" s="123">
        <f>IF($A17="","",INDEX(Каталог!$B$4:$B$500,$A17)&amp;"")</f>
      </c>
      <c r="G17" s="123">
        <f>IF($A17="","",INDEX(Каталог!$M$4:$M$500,$A17)&amp;"")</f>
      </c>
      <c r="H17" s="123">
        <f>IF($A17="","",INDEX(Каталог!$P$4:$P$500,$A17))</f>
      </c>
      <c r="I17" s="10"/>
      <c r="J17" s="10"/>
      <c r="L17" s="121">
        <f>IFERROR(INDEX(Однолинейка!$H$3:$H$1000,MATCH(14,Однолинейка!$BM$3:$BM$1000,0)),"")</f>
      </c>
      <c r="M17" s="123">
        <f>IF(L17="","",COUNTIF(Однолинейка!$H$3:$H$1000,L17))</f>
      </c>
    </row>
    <row r="18" spans="2:10" x14ac:dyDescent="0.3">
      <c r="A18" s="112">
        <f>IFERROR(MATCH(ROW()-3,Каталог!$AF$4:$AF$500,0),"")</f>
      </c>
      <c r="B18" s="112">
        <f>IF($A18="","",$B$3&amp;"."&amp;(ROW()-3))</f>
      </c>
      <c r="C18" s="121">
        <f>IF($A18="","",INDEX(Каталог!$G$4:$G$500,$A18)&amp;"")</f>
      </c>
      <c r="D18" s="124"/>
      <c r="E18" s="122">
        <f>IF($A18="","",INDEX(Каталог!$H$4:$H$500,$A18)&amp;"")</f>
      </c>
      <c r="F18" s="123">
        <f>IF($A18="","",INDEX(Каталог!$B$4:$B$500,$A18)&amp;"")</f>
      </c>
      <c r="G18" s="123">
        <f>IF($A18="","",INDEX(Каталог!$M$4:$M$500,$A18)&amp;"")</f>
      </c>
      <c r="H18" s="123">
        <f>IF($A18="","",INDEX(Каталог!$P$4:$P$500,$A18))</f>
      </c>
      <c r="I18" s="10"/>
      <c r="J18" s="10"/>
      <c r="L18" s="121">
        <f>IFERROR(INDEX(Однолинейка!$H$3:$H$1000,MATCH(15,Однолинейка!$BM$3:$BM$1000,0)),"")</f>
      </c>
      <c r="M18" s="123">
        <f>IF(L18="","",COUNTIF(Однолинейка!$H$3:$H$1000,L18))</f>
      </c>
    </row>
    <row r="19" spans="2:10" x14ac:dyDescent="0.3">
      <c r="A19" s="112">
        <f>IFERROR(MATCH(ROW()-3,Каталог!$AF$4:$AF$500,0),"")</f>
      </c>
      <c r="B19" s="112">
        <f>IF($A19="","",$B$3&amp;"."&amp;(ROW()-3))</f>
      </c>
      <c r="C19" s="121">
        <f>IF($A19="","",INDEX(Каталог!$G$4:$G$500,$A19)&amp;"")</f>
      </c>
      <c r="D19" s="124"/>
      <c r="E19" s="122">
        <f>IF($A19="","",INDEX(Каталог!$H$4:$H$500,$A19)&amp;"")</f>
      </c>
      <c r="F19" s="123">
        <f>IF($A19="","",INDEX(Каталог!$B$4:$B$500,$A19)&amp;"")</f>
      </c>
      <c r="G19" s="123">
        <f>IF($A19="","",INDEX(Каталог!$M$4:$M$500,$A19)&amp;"")</f>
      </c>
      <c r="H19" s="123">
        <f>IF($A19="","",INDEX(Каталог!$P$4:$P$500,$A19))</f>
      </c>
      <c r="I19" s="10"/>
      <c r="J19" s="10"/>
      <c r="L19" s="121">
        <f>IFERROR(INDEX(Однолинейка!$H$3:$H$1000,MATCH(16,Однолинейка!$BM$3:$BM$1000,0)),"")</f>
      </c>
      <c r="M19" s="123">
        <f>IF(L19="","",COUNTIF(Однолинейка!$H$3:$H$1000,L19))</f>
      </c>
    </row>
    <row r="20" spans="2:10" x14ac:dyDescent="0.3">
      <c r="A20" s="112">
        <f>IFERROR(MATCH(ROW()-3,Каталог!$AF$4:$AF$500,0),"")</f>
      </c>
      <c r="B20" s="112">
        <f>IF($A20="","",$B$3&amp;"."&amp;(ROW()-3))</f>
      </c>
      <c r="C20" s="121">
        <f>IF($A20="","",INDEX(Каталог!$G$4:$G$500,$A20)&amp;"")</f>
      </c>
      <c r="D20" s="124"/>
      <c r="E20" s="122">
        <f>IF($A20="","",INDEX(Каталог!$H$4:$H$500,$A20)&amp;"")</f>
      </c>
      <c r="F20" s="123">
        <f>IF($A20="","",INDEX(Каталог!$B$4:$B$500,$A20)&amp;"")</f>
      </c>
      <c r="G20" s="123">
        <f>IF($A20="","",INDEX(Каталог!$M$4:$M$500,$A20)&amp;"")</f>
      </c>
      <c r="H20" s="123">
        <f>IF($A20="","",INDEX(Каталог!$P$4:$P$500,$A20))</f>
      </c>
      <c r="I20" s="10"/>
      <c r="J20" s="10"/>
      <c r="L20" s="121">
        <f>IFERROR(INDEX(Однолинейка!$H$3:$H$1000,MATCH(17,Однолинейка!$BM$3:$BM$1000,0)),"")</f>
      </c>
      <c r="M20" s="123">
        <f>IF(L20="","",COUNTIF(Однолинейка!$H$3:$H$1000,L20))</f>
      </c>
    </row>
    <row r="21" spans="2:10" x14ac:dyDescent="0.3">
      <c r="A21" s="112">
        <f>IFERROR(MATCH(ROW()-3,Каталог!$AF$4:$AF$500,0),"")</f>
      </c>
      <c r="B21" s="112">
        <f>IF($A21="","",$B$3&amp;"."&amp;(ROW()-3))</f>
      </c>
      <c r="C21" s="121">
        <f>IF($A21="","",INDEX(Каталог!$G$4:$G$500,$A21)&amp;"")</f>
      </c>
      <c r="D21" s="124"/>
      <c r="E21" s="122">
        <f>IF($A21="","",INDEX(Каталог!$H$4:$H$500,$A21)&amp;"")</f>
      </c>
      <c r="F21" s="123">
        <f>IF($A21="","",INDEX(Каталог!$B$4:$B$500,$A21)&amp;"")</f>
      </c>
      <c r="G21" s="123">
        <f>IF($A21="","",INDEX(Каталог!$M$4:$M$500,$A21)&amp;"")</f>
      </c>
      <c r="H21" s="123">
        <f>IF($A21="","",INDEX(Каталог!$P$4:$P$500,$A21))</f>
      </c>
      <c r="I21" s="10"/>
      <c r="J21" s="10"/>
      <c r="L21" s="121">
        <f>IFERROR(INDEX(Однолинейка!$H$3:$H$1000,MATCH(18,Однолинейка!$BM$3:$BM$1000,0)),"")</f>
      </c>
      <c r="M21" s="123">
        <f>IF(L21="","",COUNTIF(Однолинейка!$H$3:$H$1000,L21))</f>
      </c>
    </row>
    <row r="22" spans="2:10" x14ac:dyDescent="0.3">
      <c r="A22" s="112">
        <f>IFERROR(MATCH(ROW()-3,Каталог!$AF$4:$AF$500,0),"")</f>
      </c>
      <c r="B22" s="112">
        <f>IF($A22="","",$B$3&amp;"."&amp;(ROW()-3))</f>
      </c>
      <c r="C22" s="121">
        <f>IF($A22="","",INDEX(Каталог!$G$4:$G$500,$A22)&amp;"")</f>
      </c>
      <c r="D22" s="124"/>
      <c r="E22" s="122">
        <f>IF($A22="","",INDEX(Каталог!$H$4:$H$500,$A22)&amp;"")</f>
      </c>
      <c r="F22" s="123">
        <f>IF($A22="","",INDEX(Каталог!$B$4:$B$500,$A22)&amp;"")</f>
      </c>
      <c r="G22" s="123">
        <f>IF($A22="","",INDEX(Каталог!$M$4:$M$500,$A22)&amp;"")</f>
      </c>
      <c r="H22" s="123">
        <f>IF($A22="","",INDEX(Каталог!$P$4:$P$500,$A22))</f>
      </c>
      <c r="I22" s="10"/>
      <c r="J22" s="10"/>
      <c r="L22" s="121">
        <f>IFERROR(INDEX(Однолинейка!$H$3:$H$1000,MATCH(19,Однолинейка!$BM$3:$BM$1000,0)),"")</f>
      </c>
      <c r="M22" s="123">
        <f>IF(L22="","",COUNTIF(Однолинейка!$H$3:$H$1000,L22))</f>
      </c>
    </row>
    <row r="23" spans="2:10" x14ac:dyDescent="0.3">
      <c r="A23" s="112">
        <f>IFERROR(MATCH(ROW()-3,Каталог!$AF$4:$AF$500,0),"")</f>
      </c>
      <c r="B23" s="112">
        <f>IF($A23="","",$B$3&amp;"."&amp;(ROW()-3))</f>
      </c>
      <c r="C23" s="121">
        <f>IF($A23="","",INDEX(Каталог!$G$4:$G$500,$A23)&amp;"")</f>
      </c>
      <c r="D23" s="124"/>
      <c r="E23" s="122">
        <f>IF($A23="","",INDEX(Каталог!$H$4:$H$500,$A23)&amp;"")</f>
      </c>
      <c r="F23" s="123">
        <f>IF($A23="","",INDEX(Каталог!$B$4:$B$500,$A23)&amp;"")</f>
      </c>
      <c r="G23" s="123">
        <f>IF($A23="","",INDEX(Каталог!$M$4:$M$500,$A23)&amp;"")</f>
      </c>
      <c r="H23" s="123">
        <f>IF($A23="","",INDEX(Каталог!$P$4:$P$500,$A23))</f>
      </c>
      <c r="I23" s="10"/>
      <c r="J23" s="10"/>
      <c r="L23" s="121">
        <f>IFERROR(INDEX(Однолинейка!$H$3:$H$1000,MATCH(20,Однолинейка!$BM$3:$BM$1000,0)),"")</f>
      </c>
      <c r="M23" s="123">
        <f>IF(L23="","",COUNTIF(Однолинейка!$H$3:$H$1000,L23))</f>
      </c>
    </row>
    <row r="24" spans="2:10" x14ac:dyDescent="0.3">
      <c r="A24" s="112">
        <f>IFERROR(MATCH(ROW()-3,Каталог!$AF$4:$AF$500,0),"")</f>
      </c>
      <c r="B24" s="112">
        <f>IF($A24="","",$B$3&amp;"."&amp;(ROW()-3))</f>
      </c>
      <c r="C24" s="121">
        <f>IF($A24="","",INDEX(Каталог!$G$4:$G$500,$A24)&amp;"")</f>
      </c>
      <c r="D24" s="124"/>
      <c r="E24" s="122">
        <f>IF($A24="","",INDEX(Каталог!$H$4:$H$500,$A24)&amp;"")</f>
      </c>
      <c r="F24" s="123">
        <f>IF($A24="","",INDEX(Каталог!$B$4:$B$500,$A24)&amp;"")</f>
      </c>
      <c r="G24" s="123">
        <f>IF($A24="","",INDEX(Каталог!$M$4:$M$500,$A24)&amp;"")</f>
      </c>
      <c r="H24" s="123">
        <f>IF($A24="","",INDEX(Каталог!$P$4:$P$500,$A24))</f>
      </c>
      <c r="I24" s="10"/>
      <c r="J24" s="10"/>
      <c r="L24" s="121" t="inlineStr">
        <is>
          <t xml:space="preserve">  всего автоматов</t>
        </is>
      </c>
      <c r="M24" s="123">
        <f>COUNTIF(Однолинейка!$H$3:$H$1000,"?*")</f>
      </c>
    </row>
    <row r="25" spans="2:10" x14ac:dyDescent="0.3">
      <c r="A25" s="112">
        <f>IFERROR(MATCH(ROW()-3,Каталог!$AF$4:$AF$500,0),"")</f>
      </c>
      <c r="B25" s="112">
        <f>IF($A25="","",$B$3&amp;"."&amp;(ROW()-3))</f>
      </c>
      <c r="C25" s="121">
        <f>IF($A25="","",INDEX(Каталог!$G$4:$G$500,$A25)&amp;"")</f>
      </c>
      <c r="D25" s="124"/>
      <c r="E25" s="122">
        <f>IF($A25="","",INDEX(Каталог!$H$4:$H$500,$A25)&amp;"")</f>
      </c>
      <c r="F25" s="123">
        <f>IF($A25="","",INDEX(Каталог!$B$4:$B$500,$A25)&amp;"")</f>
      </c>
      <c r="G25" s="123">
        <f>IF($A25="","",INDEX(Каталог!$M$4:$M$500,$A25)&amp;"")</f>
      </c>
      <c r="H25" s="123">
        <f>IF($A25="","",INDEX(Каталог!$P$4:$P$500,$A25))</f>
      </c>
      <c r="I25" s="10"/>
      <c r="J25" s="10"/>
    </row>
    <row r="26" spans="2:10" x14ac:dyDescent="0.3">
      <c r="A26" s="112">
        <f>IFERROR(MATCH(ROW()-3,Каталог!$AF$4:$AF$500,0),"")</f>
      </c>
      <c r="B26" s="112">
        <f>IF($A26="","",$B$3&amp;"."&amp;(ROW()-3))</f>
      </c>
      <c r="C26" s="121">
        <f>IF($A26="","",INDEX(Каталог!$G$4:$G$500,$A26)&amp;"")</f>
      </c>
      <c r="D26" s="124"/>
      <c r="E26" s="122">
        <f>IF($A26="","",INDEX(Каталог!$H$4:$H$500,$A26)&amp;"")</f>
      </c>
      <c r="F26" s="123">
        <f>IF($A26="","",INDEX(Каталог!$B$4:$B$500,$A26)&amp;"")</f>
      </c>
      <c r="G26" s="123">
        <f>IF($A26="","",INDEX(Каталог!$M$4:$M$500,$A26)&amp;"")</f>
      </c>
      <c r="H26" s="123">
        <f>IF($A26="","",INDEX(Каталог!$P$4:$P$500,$A26))</f>
      </c>
      <c r="I26" s="10"/>
      <c r="J26" s="10"/>
      <c r="L26" s="2" t="inlineStr">
        <is>
          <t xml:space="preserve">Аппараты после автоматов (трансформаторы, БП, МК, КМ)</t>
        </is>
      </c>
    </row>
    <row r="27" spans="2:10" x14ac:dyDescent="0.3">
      <c r="A27" s="112">
        <f>IFERROR(MATCH(ROW()-3,Каталог!$AF$4:$AF$500,0),"")</f>
      </c>
      <c r="B27" s="112">
        <f>IF($A27="","",$B$3&amp;"."&amp;(ROW()-3))</f>
      </c>
      <c r="C27" s="121">
        <f>IF($A27="","",INDEX(Каталог!$G$4:$G$500,$A27)&amp;"")</f>
      </c>
      <c r="D27" s="124"/>
      <c r="E27" s="122">
        <f>IF($A27="","",INDEX(Каталог!$H$4:$H$500,$A27)&amp;"")</f>
      </c>
      <c r="F27" s="123">
        <f>IF($A27="","",INDEX(Каталог!$B$4:$B$500,$A27)&amp;"")</f>
      </c>
      <c r="G27" s="123">
        <f>IF($A27="","",INDEX(Каталог!$M$4:$M$500,$A27)&amp;"")</f>
      </c>
      <c r="H27" s="123">
        <f>IF($A27="","",INDEX(Каталог!$P$4:$P$500,$A27))</f>
      </c>
      <c r="I27" s="10"/>
      <c r="J27" s="10"/>
      <c r="L27" s="121">
        <f>IFERROR(INDEX(Однолинейка!$I$3:$I$1000,MATCH(1,Однолинейка!$BN$3:$BN$1000,0)),IFERROR(INDEX(Однолинейка!$J$3:$J$1000,MATCH(1,Однолинейка!$BO$3:$BO$1000,0)),IFERROR(INDEX(Однолинейка!$K$3:$K$1000,MATCH(1,Однолинейка!$BP$3:$BP$1000,0)),"")))</f>
      </c>
      <c r="M27" s="123">
        <f>IF(L27="","",COUNTIF(Однолинейка!$I$3:$I$1000,L27)+COUNTIF(Однолинейка!$J$3:$J$1000,L27)+COUNTIF(Однолинейка!$K$3:$K$1000,L27))</f>
      </c>
    </row>
    <row r="28" spans="2:10" x14ac:dyDescent="0.3">
      <c r="A28" s="112">
        <f>IFERROR(MATCH(ROW()-3,Каталог!$AF$4:$AF$500,0),"")</f>
      </c>
      <c r="B28" s="112">
        <f>IF($A28="","",$B$3&amp;"."&amp;(ROW()-3))</f>
      </c>
      <c r="C28" s="121">
        <f>IF($A28="","",INDEX(Каталог!$G$4:$G$500,$A28)&amp;"")</f>
      </c>
      <c r="D28" s="124"/>
      <c r="E28" s="122">
        <f>IF($A28="","",INDEX(Каталог!$H$4:$H$500,$A28)&amp;"")</f>
      </c>
      <c r="F28" s="123">
        <f>IF($A28="","",INDEX(Каталог!$B$4:$B$500,$A28)&amp;"")</f>
      </c>
      <c r="G28" s="123">
        <f>IF($A28="","",INDEX(Каталог!$M$4:$M$500,$A28)&amp;"")</f>
      </c>
      <c r="H28" s="123">
        <f>IF($A28="","",INDEX(Каталог!$P$4:$P$500,$A28))</f>
      </c>
      <c r="I28" s="10"/>
      <c r="J28" s="10"/>
      <c r="L28" s="121">
        <f>IFERROR(INDEX(Однолинейка!$I$3:$I$1000,MATCH(2,Однолинейка!$BN$3:$BN$1000,0)),IFERROR(INDEX(Однолинейка!$J$3:$J$1000,MATCH(2,Однолинейка!$BO$3:$BO$1000,0)),IFERROR(INDEX(Однолинейка!$K$3:$K$1000,MATCH(2,Однолинейка!$BP$3:$BP$1000,0)),"")))</f>
      </c>
      <c r="M28" s="123">
        <f>IF(L28="","",COUNTIF(Однолинейка!$I$3:$I$1000,L28)+COUNTIF(Однолинейка!$J$3:$J$1000,L28)+COUNTIF(Однолинейка!$K$3:$K$1000,L28))</f>
      </c>
    </row>
    <row r="29" spans="2:10" x14ac:dyDescent="0.3">
      <c r="A29" s="112">
        <f>IFERROR(MATCH(ROW()-3,Каталог!$AF$4:$AF$500,0),"")</f>
      </c>
      <c r="B29" s="112">
        <f>IF($A29="","",$B$3&amp;"."&amp;(ROW()-3))</f>
      </c>
      <c r="C29" s="121">
        <f>IF($A29="","",INDEX(Каталог!$G$4:$G$500,$A29)&amp;"")</f>
      </c>
      <c r="D29" s="124"/>
      <c r="E29" s="122">
        <f>IF($A29="","",INDEX(Каталог!$H$4:$H$500,$A29)&amp;"")</f>
      </c>
      <c r="F29" s="123">
        <f>IF($A29="","",INDEX(Каталог!$B$4:$B$500,$A29)&amp;"")</f>
      </c>
      <c r="G29" s="123">
        <f>IF($A29="","",INDEX(Каталог!$M$4:$M$500,$A29)&amp;"")</f>
      </c>
      <c r="H29" s="123">
        <f>IF($A29="","",INDEX(Каталог!$P$4:$P$500,$A29))</f>
      </c>
      <c r="I29" s="10"/>
      <c r="J29" s="10"/>
      <c r="L29" s="121">
        <f>IFERROR(INDEX(Однолинейка!$I$3:$I$1000,MATCH(3,Однолинейка!$BN$3:$BN$1000,0)),IFERROR(INDEX(Однолинейка!$J$3:$J$1000,MATCH(3,Однолинейка!$BO$3:$BO$1000,0)),IFERROR(INDEX(Однолинейка!$K$3:$K$1000,MATCH(3,Однолинейка!$BP$3:$BP$1000,0)),"")))</f>
      </c>
      <c r="M29" s="123">
        <f>IF(L29="","",COUNTIF(Однолинейка!$I$3:$I$1000,L29)+COUNTIF(Однолинейка!$J$3:$J$1000,L29)+COUNTIF(Однолинейка!$K$3:$K$1000,L29))</f>
      </c>
    </row>
    <row r="30" spans="2:10" x14ac:dyDescent="0.3">
      <c r="A30" s="112">
        <f>IFERROR(MATCH(ROW()-3,Каталог!$AF$4:$AF$500,0),"")</f>
      </c>
      <c r="B30" s="112">
        <f>IF($A30="","",$B$3&amp;"."&amp;(ROW()-3))</f>
      </c>
      <c r="C30" s="121">
        <f>IF($A30="","",INDEX(Каталог!$G$4:$G$500,$A30)&amp;"")</f>
      </c>
      <c r="D30" s="124"/>
      <c r="E30" s="122">
        <f>IF($A30="","",INDEX(Каталог!$H$4:$H$500,$A30)&amp;"")</f>
      </c>
      <c r="F30" s="123">
        <f>IF($A30="","",INDEX(Каталог!$B$4:$B$500,$A30)&amp;"")</f>
      </c>
      <c r="G30" s="123">
        <f>IF($A30="","",INDEX(Каталог!$M$4:$M$500,$A30)&amp;"")</f>
      </c>
      <c r="H30" s="123">
        <f>IF($A30="","",INDEX(Каталог!$P$4:$P$500,$A30))</f>
      </c>
      <c r="I30" s="10"/>
      <c r="J30" s="10"/>
      <c r="L30" s="121">
        <f>IFERROR(INDEX(Однолинейка!$I$3:$I$1000,MATCH(4,Однолинейка!$BN$3:$BN$1000,0)),IFERROR(INDEX(Однолинейка!$J$3:$J$1000,MATCH(4,Однолинейка!$BO$3:$BO$1000,0)),IFERROR(INDEX(Однолинейка!$K$3:$K$1000,MATCH(4,Однолинейка!$BP$3:$BP$1000,0)),"")))</f>
      </c>
      <c r="M30" s="123">
        <f>IF(L30="","",COUNTIF(Однолинейка!$I$3:$I$1000,L30)+COUNTIF(Однолинейка!$J$3:$J$1000,L30)+COUNTIF(Однолинейка!$K$3:$K$1000,L30))</f>
      </c>
    </row>
    <row r="31" spans="2:10" x14ac:dyDescent="0.3">
      <c r="A31" s="112">
        <f>IFERROR(MATCH(ROW()-3,Каталог!$AF$4:$AF$500,0),"")</f>
      </c>
      <c r="B31" s="112">
        <f>IF($A31="","",$B$3&amp;"."&amp;(ROW()-3))</f>
      </c>
      <c r="C31" s="121">
        <f>IF($A31="","",INDEX(Каталог!$G$4:$G$500,$A31)&amp;"")</f>
      </c>
      <c r="D31" s="124"/>
      <c r="E31" s="122">
        <f>IF($A31="","",INDEX(Каталог!$H$4:$H$500,$A31)&amp;"")</f>
      </c>
      <c r="F31" s="123">
        <f>IF($A31="","",INDEX(Каталог!$B$4:$B$500,$A31)&amp;"")</f>
      </c>
      <c r="G31" s="123">
        <f>IF($A31="","",INDEX(Каталог!$M$4:$M$500,$A31)&amp;"")</f>
      </c>
      <c r="H31" s="123">
        <f>IF($A31="","",INDEX(Каталог!$P$4:$P$500,$A31))</f>
      </c>
      <c r="I31" s="10"/>
      <c r="J31" s="10"/>
      <c r="L31" s="121">
        <f>IFERROR(INDEX(Однолинейка!$I$3:$I$1000,MATCH(5,Однолинейка!$BN$3:$BN$1000,0)),IFERROR(INDEX(Однолинейка!$J$3:$J$1000,MATCH(5,Однолинейка!$BO$3:$BO$1000,0)),IFERROR(INDEX(Однолинейка!$K$3:$K$1000,MATCH(5,Однолинейка!$BP$3:$BP$1000,0)),"")))</f>
      </c>
      <c r="M31" s="123">
        <f>IF(L31="","",COUNTIF(Однолинейка!$I$3:$I$1000,L31)+COUNTIF(Однолинейка!$J$3:$J$1000,L31)+COUNTIF(Однолинейка!$K$3:$K$1000,L31))</f>
      </c>
    </row>
    <row r="32" spans="2:10" x14ac:dyDescent="0.3">
      <c r="A32" s="112">
        <f>IFERROR(MATCH(ROW()-3,Каталог!$AF$4:$AF$500,0),"")</f>
      </c>
      <c r="B32" s="112">
        <f>IF($A32="","",$B$3&amp;"."&amp;(ROW()-3))</f>
      </c>
      <c r="C32" s="121">
        <f>IF($A32="","",INDEX(Каталог!$G$4:$G$500,$A32)&amp;"")</f>
      </c>
      <c r="D32" s="124"/>
      <c r="E32" s="122">
        <f>IF($A32="","",INDEX(Каталог!$H$4:$H$500,$A32)&amp;"")</f>
      </c>
      <c r="F32" s="123">
        <f>IF($A32="","",INDEX(Каталог!$B$4:$B$500,$A32)&amp;"")</f>
      </c>
      <c r="G32" s="123">
        <f>IF($A32="","",INDEX(Каталог!$M$4:$M$500,$A32)&amp;"")</f>
      </c>
      <c r="H32" s="123">
        <f>IF($A32="","",INDEX(Каталог!$P$4:$P$500,$A32))</f>
      </c>
      <c r="I32" s="10"/>
      <c r="J32" s="10"/>
      <c r="L32" s="121">
        <f>IFERROR(INDEX(Однолинейка!$I$3:$I$1000,MATCH(6,Однолинейка!$BN$3:$BN$1000,0)),IFERROR(INDEX(Однолинейка!$J$3:$J$1000,MATCH(6,Однолинейка!$BO$3:$BO$1000,0)),IFERROR(INDEX(Однолинейка!$K$3:$K$1000,MATCH(6,Однолинейка!$BP$3:$BP$1000,0)),"")))</f>
      </c>
      <c r="M32" s="123">
        <f>IF(L32="","",COUNTIF(Однолинейка!$I$3:$I$1000,L32)+COUNTIF(Однолинейка!$J$3:$J$1000,L32)+COUNTIF(Однолинейка!$K$3:$K$1000,L32))</f>
      </c>
    </row>
    <row r="33" spans="2:10" x14ac:dyDescent="0.3">
      <c r="A33" s="112">
        <f>IFERROR(MATCH(ROW()-3,Каталог!$AF$4:$AF$500,0),"")</f>
      </c>
      <c r="B33" s="112">
        <f>IF($A33="","",$B$3&amp;"."&amp;(ROW()-3))</f>
      </c>
      <c r="C33" s="121">
        <f>IF($A33="","",INDEX(Каталог!$G$4:$G$500,$A33)&amp;"")</f>
      </c>
      <c r="D33" s="124"/>
      <c r="E33" s="122">
        <f>IF($A33="","",INDEX(Каталог!$H$4:$H$500,$A33)&amp;"")</f>
      </c>
      <c r="F33" s="123">
        <f>IF($A33="","",INDEX(Каталог!$B$4:$B$500,$A33)&amp;"")</f>
      </c>
      <c r="G33" s="123">
        <f>IF($A33="","",INDEX(Каталог!$M$4:$M$500,$A33)&amp;"")</f>
      </c>
      <c r="H33" s="123">
        <f>IF($A33="","",INDEX(Каталог!$P$4:$P$500,$A33))</f>
      </c>
      <c r="I33" s="10"/>
      <c r="J33" s="10"/>
      <c r="L33" s="121">
        <f>IFERROR(INDEX(Однолинейка!$I$3:$I$1000,MATCH(7,Однолинейка!$BN$3:$BN$1000,0)),IFERROR(INDEX(Однолинейка!$J$3:$J$1000,MATCH(7,Однолинейка!$BO$3:$BO$1000,0)),IFERROR(INDEX(Однолинейка!$K$3:$K$1000,MATCH(7,Однолинейка!$BP$3:$BP$1000,0)),"")))</f>
      </c>
      <c r="M33" s="123">
        <f>IF(L33="","",COUNTIF(Однолинейка!$I$3:$I$1000,L33)+COUNTIF(Однолинейка!$J$3:$J$1000,L33)+COUNTIF(Однолинейка!$K$3:$K$1000,L33))</f>
      </c>
    </row>
    <row r="34" spans="2:10" x14ac:dyDescent="0.3">
      <c r="A34" s="112">
        <f>IFERROR(MATCH(ROW()-3,Каталог!$AF$4:$AF$500,0),"")</f>
      </c>
      <c r="B34" s="112">
        <f>IF($A34="","",$B$3&amp;"."&amp;(ROW()-3))</f>
      </c>
      <c r="C34" s="121">
        <f>IF($A34="","",INDEX(Каталог!$G$4:$G$500,$A34)&amp;"")</f>
      </c>
      <c r="D34" s="124"/>
      <c r="E34" s="122">
        <f>IF($A34="","",INDEX(Каталог!$H$4:$H$500,$A34)&amp;"")</f>
      </c>
      <c r="F34" s="123">
        <f>IF($A34="","",INDEX(Каталог!$B$4:$B$500,$A34)&amp;"")</f>
      </c>
      <c r="G34" s="123">
        <f>IF($A34="","",INDEX(Каталог!$M$4:$M$500,$A34)&amp;"")</f>
      </c>
      <c r="H34" s="123">
        <f>IF($A34="","",INDEX(Каталог!$P$4:$P$500,$A34))</f>
      </c>
      <c r="I34" s="10"/>
      <c r="J34" s="10"/>
      <c r="L34" s="121">
        <f>IFERROR(INDEX(Однолинейка!$I$3:$I$1000,MATCH(8,Однолинейка!$BN$3:$BN$1000,0)),IFERROR(INDEX(Однолинейка!$J$3:$J$1000,MATCH(8,Однолинейка!$BO$3:$BO$1000,0)),IFERROR(INDEX(Однолинейка!$K$3:$K$1000,MATCH(8,Однолинейка!$BP$3:$BP$1000,0)),"")))</f>
      </c>
      <c r="M34" s="123">
        <f>IF(L34="","",COUNTIF(Однолинейка!$I$3:$I$1000,L34)+COUNTIF(Однолинейка!$J$3:$J$1000,L34)+COUNTIF(Однолинейка!$K$3:$K$1000,L34))</f>
      </c>
    </row>
    <row r="35" spans="2:10" x14ac:dyDescent="0.3">
      <c r="A35" s="112">
        <f>IFERROR(MATCH(ROW()-3,Каталог!$AF$4:$AF$500,0),"")</f>
      </c>
      <c r="B35" s="112">
        <f>IF($A35="","",$B$3&amp;"."&amp;(ROW()-3))</f>
      </c>
      <c r="C35" s="121">
        <f>IF($A35="","",INDEX(Каталог!$G$4:$G$500,$A35)&amp;"")</f>
      </c>
      <c r="D35" s="124"/>
      <c r="E35" s="122">
        <f>IF($A35="","",INDEX(Каталог!$H$4:$H$500,$A35)&amp;"")</f>
      </c>
      <c r="F35" s="123">
        <f>IF($A35="","",INDEX(Каталог!$B$4:$B$500,$A35)&amp;"")</f>
      </c>
      <c r="G35" s="123">
        <f>IF($A35="","",INDEX(Каталог!$M$4:$M$500,$A35)&amp;"")</f>
      </c>
      <c r="H35" s="123">
        <f>IF($A35="","",INDEX(Каталог!$P$4:$P$500,$A35))</f>
      </c>
      <c r="I35" s="10"/>
      <c r="J35" s="10"/>
      <c r="L35" s="121">
        <f>IFERROR(INDEX(Однолинейка!$I$3:$I$1000,MATCH(9,Однолинейка!$BN$3:$BN$1000,0)),IFERROR(INDEX(Однолинейка!$J$3:$J$1000,MATCH(9,Однолинейка!$BO$3:$BO$1000,0)),IFERROR(INDEX(Однолинейка!$K$3:$K$1000,MATCH(9,Однолинейка!$BP$3:$BP$1000,0)),"")))</f>
      </c>
      <c r="M35" s="123">
        <f>IF(L35="","",COUNTIF(Однолинейка!$I$3:$I$1000,L35)+COUNTIF(Однолинейка!$J$3:$J$1000,L35)+COUNTIF(Однолинейка!$K$3:$K$1000,L35))</f>
      </c>
    </row>
    <row r="36" spans="2:10" x14ac:dyDescent="0.3">
      <c r="A36" s="112">
        <f>IFERROR(MATCH(ROW()-3,Каталог!$AF$4:$AF$500,0),"")</f>
      </c>
      <c r="B36" s="112">
        <f>IF($A36="","",$B$3&amp;"."&amp;(ROW()-3))</f>
      </c>
      <c r="C36" s="121">
        <f>IF($A36="","",INDEX(Каталог!$G$4:$G$500,$A36)&amp;"")</f>
      </c>
      <c r="D36" s="124"/>
      <c r="E36" s="122">
        <f>IF($A36="","",INDEX(Каталог!$H$4:$H$500,$A36)&amp;"")</f>
      </c>
      <c r="F36" s="123">
        <f>IF($A36="","",INDEX(Каталог!$B$4:$B$500,$A36)&amp;"")</f>
      </c>
      <c r="G36" s="123">
        <f>IF($A36="","",INDEX(Каталог!$M$4:$M$500,$A36)&amp;"")</f>
      </c>
      <c r="H36" s="123">
        <f>IF($A36="","",INDEX(Каталог!$P$4:$P$500,$A36))</f>
      </c>
      <c r="I36" s="10"/>
      <c r="J36" s="10"/>
      <c r="L36" s="121">
        <f>IFERROR(INDEX(Однолинейка!$I$3:$I$1000,MATCH(10,Однолинейка!$BN$3:$BN$1000,0)),IFERROR(INDEX(Однолинейка!$J$3:$J$1000,MATCH(10,Однолинейка!$BO$3:$BO$1000,0)),IFERROR(INDEX(Однолинейка!$K$3:$K$1000,MATCH(10,Однолинейка!$BP$3:$BP$1000,0)),"")))</f>
      </c>
      <c r="M36" s="123">
        <f>IF(L36="","",COUNTIF(Однолинейка!$I$3:$I$1000,L36)+COUNTIF(Однолинейка!$J$3:$J$1000,L36)+COUNTIF(Однолинейка!$K$3:$K$1000,L36))</f>
      </c>
    </row>
    <row r="37" spans="2:10" x14ac:dyDescent="0.3">
      <c r="A37" s="112">
        <f>IFERROR(MATCH(ROW()-3,Каталог!$AF$4:$AF$500,0),"")</f>
      </c>
      <c r="B37" s="112">
        <f>IF($A37="","",$B$3&amp;"."&amp;(ROW()-3))</f>
      </c>
      <c r="C37" s="121">
        <f>IF($A37="","",INDEX(Каталог!$G$4:$G$500,$A37)&amp;"")</f>
      </c>
      <c r="D37" s="124"/>
      <c r="E37" s="122">
        <f>IF($A37="","",INDEX(Каталог!$H$4:$H$500,$A37)&amp;"")</f>
      </c>
      <c r="F37" s="123">
        <f>IF($A37="","",INDEX(Каталог!$B$4:$B$500,$A37)&amp;"")</f>
      </c>
      <c r="G37" s="123">
        <f>IF($A37="","",INDEX(Каталог!$M$4:$M$500,$A37)&amp;"")</f>
      </c>
      <c r="H37" s="123">
        <f>IF($A37="","",INDEX(Каталог!$P$4:$P$500,$A37))</f>
      </c>
      <c r="I37" s="10"/>
      <c r="J37" s="10"/>
    </row>
    <row r="38" spans="2:10" x14ac:dyDescent="0.3">
      <c r="A38" s="112">
        <f>IFERROR(MATCH(ROW()-3,Каталог!$AF$4:$AF$500,0),"")</f>
      </c>
      <c r="B38" s="112">
        <f>IF($A38="","",$B$3&amp;"."&amp;(ROW()-3))</f>
      </c>
      <c r="C38" s="121">
        <f>IF($A38="","",INDEX(Каталог!$G$4:$G$500,$A38)&amp;"")</f>
      </c>
      <c r="D38" s="124"/>
      <c r="E38" s="122">
        <f>IF($A38="","",INDEX(Каталог!$H$4:$H$500,$A38)&amp;"")</f>
      </c>
      <c r="F38" s="123">
        <f>IF($A38="","",INDEX(Каталог!$B$4:$B$500,$A38)&amp;"")</f>
      </c>
      <c r="G38" s="123">
        <f>IF($A38="","",INDEX(Каталог!$M$4:$M$500,$A38)&amp;"")</f>
      </c>
      <c r="H38" s="123">
        <f>IF($A38="","",INDEX(Каталог!$P$4:$P$500,$A38))</f>
      </c>
      <c r="I38" s="10"/>
      <c r="J38" s="10"/>
      <c r="L38" s="2" t="inlineStr">
        <is>
          <t xml:space="preserve">Модули умного дома (по модели)</t>
        </is>
      </c>
    </row>
    <row r="39" spans="2:10" x14ac:dyDescent="0.3">
      <c r="A39" s="112">
        <f>IFERROR(MATCH(ROW()-3,Каталог!$AF$4:$AF$500,0),"")</f>
      </c>
      <c r="B39" s="112">
        <f>IF($A39="","",$B$3&amp;"."&amp;(ROW()-3))</f>
      </c>
      <c r="C39" s="121">
        <f>IF($A39="","",INDEX(Каталог!$G$4:$G$500,$A39)&amp;"")</f>
      </c>
      <c r="D39" s="124"/>
      <c r="E39" s="122">
        <f>IF($A39="","",INDEX(Каталог!$H$4:$H$500,$A39)&amp;"")</f>
      </c>
      <c r="F39" s="123">
        <f>IF($A39="","",INDEX(Каталог!$B$4:$B$500,$A39)&amp;"")</f>
      </c>
      <c r="G39" s="123">
        <f>IF($A39="","",INDEX(Каталог!$M$4:$M$500,$A39)&amp;"")</f>
      </c>
      <c r="H39" s="123">
        <f>IF($A39="","",INDEX(Каталог!$P$4:$P$500,$A39))</f>
      </c>
      <c r="I39" s="10"/>
      <c r="J39" s="10"/>
      <c r="L39" s="121">
        <f>IFERROR(INDEX(Однолинейка!$AI$3:$AI$1000,MATCH(1,Однолинейка!$BT$3:$BT$1000,0)),"")</f>
      </c>
      <c r="M39" s="123">
        <f>IF(L39="","",COUNTIFS(Однолинейка!$AW$3:$AW$1000,"?*",Однолинейка!$AI$3:$AI$1000,L39))</f>
      </c>
    </row>
    <row r="40" spans="2:10" x14ac:dyDescent="0.3">
      <c r="A40" s="112">
        <f>IFERROR(MATCH(ROW()-3,Каталог!$AF$4:$AF$500,0),"")</f>
      </c>
      <c r="B40" s="112">
        <f>IF($A40="","",$B$3&amp;"."&amp;(ROW()-3))</f>
      </c>
      <c r="C40" s="121">
        <f>IF($A40="","",INDEX(Каталог!$G$4:$G$500,$A40)&amp;"")</f>
      </c>
      <c r="D40" s="124"/>
      <c r="E40" s="122">
        <f>IF($A40="","",INDEX(Каталог!$H$4:$H$500,$A40)&amp;"")</f>
      </c>
      <c r="F40" s="123">
        <f>IF($A40="","",INDEX(Каталог!$B$4:$B$500,$A40)&amp;"")</f>
      </c>
      <c r="G40" s="123">
        <f>IF($A40="","",INDEX(Каталог!$M$4:$M$500,$A40)&amp;"")</f>
      </c>
      <c r="H40" s="123">
        <f>IF($A40="","",INDEX(Каталог!$P$4:$P$500,$A40))</f>
      </c>
      <c r="I40" s="10"/>
      <c r="J40" s="10"/>
      <c r="L40" s="121">
        <f>IFERROR(INDEX(Однолинейка!$AI$3:$AI$1000,MATCH(2,Однолинейка!$BT$3:$BT$1000,0)),"")</f>
      </c>
      <c r="M40" s="123">
        <f>IF(L40="","",COUNTIFS(Однолинейка!$AW$3:$AW$1000,"?*",Однолинейка!$AI$3:$AI$1000,L40))</f>
      </c>
    </row>
    <row r="41" spans="2:10" x14ac:dyDescent="0.3">
      <c r="A41" s="112">
        <f>IFERROR(MATCH(ROW()-3,Каталог!$AF$4:$AF$500,0),"")</f>
      </c>
      <c r="B41" s="112">
        <f>IF($A41="","",$B$3&amp;"."&amp;(ROW()-3))</f>
      </c>
      <c r="C41" s="121">
        <f>IF($A41="","",INDEX(Каталог!$G$4:$G$500,$A41)&amp;"")</f>
      </c>
      <c r="D41" s="124"/>
      <c r="E41" s="122">
        <f>IF($A41="","",INDEX(Каталог!$H$4:$H$500,$A41)&amp;"")</f>
      </c>
      <c r="F41" s="123">
        <f>IF($A41="","",INDEX(Каталог!$B$4:$B$500,$A41)&amp;"")</f>
      </c>
      <c r="G41" s="123">
        <f>IF($A41="","",INDEX(Каталог!$M$4:$M$500,$A41)&amp;"")</f>
      </c>
      <c r="H41" s="123">
        <f>IF($A41="","",INDEX(Каталог!$P$4:$P$500,$A41))</f>
      </c>
      <c r="I41" s="10"/>
      <c r="J41" s="10"/>
      <c r="L41" s="121">
        <f>IFERROR(INDEX(Однолинейка!$AI$3:$AI$1000,MATCH(3,Однолинейка!$BT$3:$BT$1000,0)),"")</f>
      </c>
      <c r="M41" s="123">
        <f>IF(L41="","",COUNTIFS(Однолинейка!$AW$3:$AW$1000,"?*",Однолинейка!$AI$3:$AI$1000,L41))</f>
      </c>
    </row>
    <row r="42" spans="2:10" x14ac:dyDescent="0.3">
      <c r="A42" s="112">
        <f>IFERROR(MATCH(ROW()-3,Каталог!$AF$4:$AF$500,0),"")</f>
      </c>
      <c r="B42" s="112">
        <f>IF($A42="","",$B$3&amp;"."&amp;(ROW()-3))</f>
      </c>
      <c r="C42" s="121">
        <f>IF($A42="","",INDEX(Каталог!$G$4:$G$500,$A42)&amp;"")</f>
      </c>
      <c r="D42" s="124"/>
      <c r="E42" s="122">
        <f>IF($A42="","",INDEX(Каталог!$H$4:$H$500,$A42)&amp;"")</f>
      </c>
      <c r="F42" s="123">
        <f>IF($A42="","",INDEX(Каталог!$B$4:$B$500,$A42)&amp;"")</f>
      </c>
      <c r="G42" s="123">
        <f>IF($A42="","",INDEX(Каталог!$M$4:$M$500,$A42)&amp;"")</f>
      </c>
      <c r="H42" s="123">
        <f>IF($A42="","",INDEX(Каталог!$P$4:$P$500,$A42))</f>
      </c>
      <c r="I42" s="10"/>
      <c r="J42" s="10"/>
      <c r="L42" s="121">
        <f>IFERROR(INDEX(Однолинейка!$AI$3:$AI$1000,MATCH(4,Однолинейка!$BT$3:$BT$1000,0)),"")</f>
      </c>
      <c r="M42" s="123">
        <f>IF(L42="","",COUNTIFS(Однолинейка!$AW$3:$AW$1000,"?*",Однолинейка!$AI$3:$AI$1000,L42))</f>
      </c>
    </row>
    <row r="43" spans="2:10" x14ac:dyDescent="0.3">
      <c r="A43" s="112">
        <f>IFERROR(MATCH(ROW()-3,Каталог!$AF$4:$AF$500,0),"")</f>
      </c>
      <c r="B43" s="112">
        <f>IF($A43="","",$B$3&amp;"."&amp;(ROW()-3))</f>
      </c>
      <c r="C43" s="121">
        <f>IF($A43="","",INDEX(Каталог!$G$4:$G$500,$A43)&amp;"")</f>
      </c>
      <c r="D43" s="124"/>
      <c r="E43" s="122">
        <f>IF($A43="","",INDEX(Каталог!$H$4:$H$500,$A43)&amp;"")</f>
      </c>
      <c r="F43" s="123">
        <f>IF($A43="","",INDEX(Каталог!$B$4:$B$500,$A43)&amp;"")</f>
      </c>
      <c r="G43" s="123">
        <f>IF($A43="","",INDEX(Каталог!$M$4:$M$500,$A43)&amp;"")</f>
      </c>
      <c r="H43" s="123">
        <f>IF($A43="","",INDEX(Каталог!$P$4:$P$500,$A43))</f>
      </c>
      <c r="I43" s="10"/>
      <c r="J43" s="10"/>
      <c r="L43" s="121">
        <f>IFERROR(INDEX(Однолинейка!$AI$3:$AI$1000,MATCH(5,Однолинейка!$BT$3:$BT$1000,0)),"")</f>
      </c>
      <c r="M43" s="123">
        <f>IF(L43="","",COUNTIFS(Однолинейка!$AW$3:$AW$1000,"?*",Однолинейка!$AI$3:$AI$1000,L43))</f>
      </c>
    </row>
    <row r="44" spans="2:10" x14ac:dyDescent="0.3">
      <c r="A44" s="112">
        <f>IFERROR(MATCH(ROW()-3,Каталог!$AF$4:$AF$500,0),"")</f>
      </c>
      <c r="B44" s="112">
        <f>IF($A44="","",$B$3&amp;"."&amp;(ROW()-3))</f>
      </c>
      <c r="C44" s="121">
        <f>IF($A44="","",INDEX(Каталог!$G$4:$G$500,$A44)&amp;"")</f>
      </c>
      <c r="D44" s="124"/>
      <c r="E44" s="122">
        <f>IF($A44="","",INDEX(Каталог!$H$4:$H$500,$A44)&amp;"")</f>
      </c>
      <c r="F44" s="123">
        <f>IF($A44="","",INDEX(Каталог!$B$4:$B$500,$A44)&amp;"")</f>
      </c>
      <c r="G44" s="123">
        <f>IF($A44="","",INDEX(Каталог!$M$4:$M$500,$A44)&amp;"")</f>
      </c>
      <c r="H44" s="123">
        <f>IF($A44="","",INDEX(Каталог!$P$4:$P$500,$A44))</f>
      </c>
      <c r="I44" s="10"/>
      <c r="J44" s="10"/>
      <c r="L44" s="121">
        <f>IFERROR(INDEX(Однолинейка!$AI$3:$AI$1000,MATCH(6,Однолинейка!$BT$3:$BT$1000,0)),"")</f>
      </c>
      <c r="M44" s="123">
        <f>IF(L44="","",COUNTIFS(Однолинейка!$AW$3:$AW$1000,"?*",Однолинейка!$AI$3:$AI$1000,L44))</f>
      </c>
    </row>
    <row r="45" spans="2:10" x14ac:dyDescent="0.3">
      <c r="A45" s="112">
        <f>IFERROR(MATCH(ROW()-3,Каталог!$AF$4:$AF$500,0),"")</f>
      </c>
      <c r="B45" s="112">
        <f>IF($A45="","",$B$3&amp;"."&amp;(ROW()-3))</f>
      </c>
      <c r="C45" s="121">
        <f>IF($A45="","",INDEX(Каталог!$G$4:$G$500,$A45)&amp;"")</f>
      </c>
      <c r="D45" s="124"/>
      <c r="E45" s="122">
        <f>IF($A45="","",INDEX(Каталог!$H$4:$H$500,$A45)&amp;"")</f>
      </c>
      <c r="F45" s="123">
        <f>IF($A45="","",INDEX(Каталог!$B$4:$B$500,$A45)&amp;"")</f>
      </c>
      <c r="G45" s="123">
        <f>IF($A45="","",INDEX(Каталог!$M$4:$M$500,$A45)&amp;"")</f>
      </c>
      <c r="H45" s="123">
        <f>IF($A45="","",INDEX(Каталог!$P$4:$P$500,$A45))</f>
      </c>
      <c r="I45" s="10"/>
      <c r="J45" s="10"/>
      <c r="L45" s="121">
        <f>IFERROR(INDEX(Однолинейка!$AI$3:$AI$1000,MATCH(7,Однолинейка!$BT$3:$BT$1000,0)),"")</f>
      </c>
      <c r="M45" s="123">
        <f>IF(L45="","",COUNTIFS(Однолинейка!$AW$3:$AW$1000,"?*",Однолинейка!$AI$3:$AI$1000,L45))</f>
      </c>
    </row>
    <row r="46" spans="2:10" x14ac:dyDescent="0.3">
      <c r="A46" s="112">
        <f>IFERROR(MATCH(ROW()-3,Каталог!$AF$4:$AF$500,0),"")</f>
      </c>
      <c r="B46" s="112">
        <f>IF($A46="","",$B$3&amp;"."&amp;(ROW()-3))</f>
      </c>
      <c r="C46" s="121">
        <f>IF($A46="","",INDEX(Каталог!$G$4:$G$500,$A46)&amp;"")</f>
      </c>
      <c r="D46" s="124"/>
      <c r="E46" s="122">
        <f>IF($A46="","",INDEX(Каталог!$H$4:$H$500,$A46)&amp;"")</f>
      </c>
      <c r="F46" s="123">
        <f>IF($A46="","",INDEX(Каталог!$B$4:$B$500,$A46)&amp;"")</f>
      </c>
      <c r="G46" s="123">
        <f>IF($A46="","",INDEX(Каталог!$M$4:$M$500,$A46)&amp;"")</f>
      </c>
      <c r="H46" s="123">
        <f>IF($A46="","",INDEX(Каталог!$P$4:$P$500,$A46))</f>
      </c>
      <c r="I46" s="10"/>
      <c r="J46" s="10"/>
      <c r="L46" s="121">
        <f>IFERROR(INDEX(Однолинейка!$AI$3:$AI$1000,MATCH(8,Однолинейка!$BT$3:$BT$1000,0)),"")</f>
      </c>
      <c r="M46" s="123">
        <f>IF(L46="","",COUNTIFS(Однолинейка!$AW$3:$AW$1000,"?*",Однолинейка!$AI$3:$AI$1000,L46))</f>
      </c>
    </row>
    <row r="47" spans="2:10" x14ac:dyDescent="0.3">
      <c r="A47" s="112">
        <f>IFERROR(MATCH(ROW()-3,Каталог!$AF$4:$AF$500,0),"")</f>
      </c>
      <c r="B47" s="112">
        <f>IF($A47="","",$B$3&amp;"."&amp;(ROW()-3))</f>
      </c>
      <c r="C47" s="121">
        <f>IF($A47="","",INDEX(Каталог!$G$4:$G$500,$A47)&amp;"")</f>
      </c>
      <c r="D47" s="124"/>
      <c r="E47" s="122">
        <f>IF($A47="","",INDEX(Каталог!$H$4:$H$500,$A47)&amp;"")</f>
      </c>
      <c r="F47" s="123">
        <f>IF($A47="","",INDEX(Каталог!$B$4:$B$500,$A47)&amp;"")</f>
      </c>
      <c r="G47" s="123">
        <f>IF($A47="","",INDEX(Каталог!$M$4:$M$500,$A47)&amp;"")</f>
      </c>
      <c r="H47" s="123">
        <f>IF($A47="","",INDEX(Каталог!$P$4:$P$500,$A47))</f>
      </c>
      <c r="I47" s="10"/>
      <c r="J47" s="10"/>
      <c r="L47" s="121">
        <f>IFERROR(INDEX(Однолинейка!$AI$3:$AI$1000,MATCH(9,Однолинейка!$BT$3:$BT$1000,0)),"")</f>
      </c>
      <c r="M47" s="123">
        <f>IF(L47="","",COUNTIFS(Однолинейка!$AW$3:$AW$1000,"?*",Однолинейка!$AI$3:$AI$1000,L47))</f>
      </c>
    </row>
    <row r="48" spans="2:10" x14ac:dyDescent="0.3">
      <c r="A48" s="112">
        <f>IFERROR(MATCH(ROW()-3,Каталог!$AF$4:$AF$500,0),"")</f>
      </c>
      <c r="B48" s="112">
        <f>IF($A48="","",$B$3&amp;"."&amp;(ROW()-3))</f>
      </c>
      <c r="C48" s="121">
        <f>IF($A48="","",INDEX(Каталог!$G$4:$G$500,$A48)&amp;"")</f>
      </c>
      <c r="D48" s="124"/>
      <c r="E48" s="122">
        <f>IF($A48="","",INDEX(Каталог!$H$4:$H$500,$A48)&amp;"")</f>
      </c>
      <c r="F48" s="123">
        <f>IF($A48="","",INDEX(Каталог!$B$4:$B$500,$A48)&amp;"")</f>
      </c>
      <c r="G48" s="123">
        <f>IF($A48="","",INDEX(Каталог!$M$4:$M$500,$A48)&amp;"")</f>
      </c>
      <c r="H48" s="123">
        <f>IF($A48="","",INDEX(Каталог!$P$4:$P$500,$A48))</f>
      </c>
      <c r="I48" s="10"/>
      <c r="J48" s="10"/>
      <c r="L48" s="121">
        <f>IFERROR(INDEX(Однолинейка!$AI$3:$AI$1000,MATCH(10,Однолинейка!$BT$3:$BT$1000,0)),"")</f>
      </c>
      <c r="M48" s="123">
        <f>IF(L48="","",COUNTIFS(Однолинейка!$AW$3:$AW$1000,"?*",Однолинейка!$AI$3:$AI$1000,L48))</f>
      </c>
    </row>
    <row r="49" spans="2:10" x14ac:dyDescent="0.3">
      <c r="A49" s="112">
        <f>IFERROR(MATCH(ROW()-3,Каталог!$AF$4:$AF$500,0),"")</f>
      </c>
      <c r="B49" s="112">
        <f>IF($A49="","",$B$3&amp;"."&amp;(ROW()-3))</f>
      </c>
      <c r="C49" s="121">
        <f>IF($A49="","",INDEX(Каталог!$G$4:$G$500,$A49)&amp;"")</f>
      </c>
      <c r="D49" s="124"/>
      <c r="E49" s="122">
        <f>IF($A49="","",INDEX(Каталог!$H$4:$H$500,$A49)&amp;"")</f>
      </c>
      <c r="F49" s="123">
        <f>IF($A49="","",INDEX(Каталог!$B$4:$B$500,$A49)&amp;"")</f>
      </c>
      <c r="G49" s="123">
        <f>IF($A49="","",INDEX(Каталог!$M$4:$M$500,$A49)&amp;"")</f>
      </c>
      <c r="H49" s="123">
        <f>IF($A49="","",INDEX(Каталог!$P$4:$P$500,$A49))</f>
      </c>
      <c r="I49" s="10"/>
      <c r="J49" s="10"/>
    </row>
    <row r="50" spans="2:10" x14ac:dyDescent="0.3">
      <c r="A50" s="112">
        <f>IFERROR(MATCH(ROW()-3,Каталог!$AF$4:$AF$500,0),"")</f>
      </c>
      <c r="B50" s="112">
        <f>IF($A50="","",$B$3&amp;"."&amp;(ROW()-3))</f>
      </c>
      <c r="C50" s="121">
        <f>IF($A50="","",INDEX(Каталог!$G$4:$G$500,$A50)&amp;"")</f>
      </c>
      <c r="D50" s="124"/>
      <c r="E50" s="122">
        <f>IF($A50="","",INDEX(Каталог!$H$4:$H$500,$A50)&amp;"")</f>
      </c>
      <c r="F50" s="123">
        <f>IF($A50="","",INDEX(Каталог!$B$4:$B$500,$A50)&amp;"")</f>
      </c>
      <c r="G50" s="123">
        <f>IF($A50="","",INDEX(Каталог!$M$4:$M$500,$A50)&amp;"")</f>
      </c>
      <c r="H50" s="123">
        <f>IF($A50="","",INDEX(Каталог!$P$4:$P$500,$A50))</f>
      </c>
      <c r="I50" s="10"/>
      <c r="J50" s="10"/>
      <c r="L50" s="2" t="inlineStr">
        <is>
          <t xml:space="preserve">Клеммы XT по кабелю линии (жилы × сечение)</t>
        </is>
      </c>
    </row>
    <row r="51" spans="2:10" x14ac:dyDescent="0.3">
      <c r="A51" s="112">
        <f>IFERROR(MATCH(ROW()-3,Каталог!$AF$4:$AF$500,0),"")</f>
      </c>
      <c r="B51" s="112">
        <f>IF($A51="","",$B$3&amp;"."&amp;(ROW()-3))</f>
      </c>
      <c r="C51" s="121">
        <f>IF($A51="","",INDEX(Каталог!$G$4:$G$500,$A51)&amp;"")</f>
      </c>
      <c r="D51" s="124"/>
      <c r="E51" s="122">
        <f>IF($A51="","",INDEX(Каталог!$H$4:$H$500,$A51)&amp;"")</f>
      </c>
      <c r="F51" s="123">
        <f>IF($A51="","",INDEX(Каталог!$B$4:$B$500,$A51)&amp;"")</f>
      </c>
      <c r="G51" s="123">
        <f>IF($A51="","",INDEX(Каталог!$M$4:$M$500,$A51)&amp;"")</f>
      </c>
      <c r="H51" s="123">
        <f>IF($A51="","",INDEX(Каталог!$P$4:$P$500,$A51))</f>
      </c>
      <c r="I51" s="10"/>
      <c r="J51" s="10"/>
      <c r="L51" s="121">
        <f>IFERROR(INDEX(Однолинейка!$BQ$3:$BQ$1000,MATCH(1,Однолинейка!$BR$3:$BR$1000,0)),"")</f>
      </c>
      <c r="M51" s="123">
        <f>IF(L51="","",COUNTIF(Однолинейка!$BQ$3:$BQ$1000,L51))</f>
      </c>
      <c r="N51" s="123">
        <f>IF(L51="","",SUMIF(Однолинейка!$BQ$3:$BQ$1000,L51,Однолинейка!$BW$3:$BW$1000))</f>
      </c>
      <c r="O51" s="123">
        <f>IF(L51="","",SUMIF(Однолинейка!$BQ$3:$BQ$1000,L51,Однолинейка!$BX$3:$BX$1000))</f>
      </c>
    </row>
    <row r="52" spans="2:10" x14ac:dyDescent="0.3">
      <c r="A52" s="112">
        <f>IFERROR(MATCH(ROW()-3,Каталог!$AF$4:$AF$500,0),"")</f>
      </c>
      <c r="B52" s="112">
        <f>IF($A52="","",$B$3&amp;"."&amp;(ROW()-3))</f>
      </c>
      <c r="C52" s="121">
        <f>IF($A52="","",INDEX(Каталог!$G$4:$G$500,$A52)&amp;"")</f>
      </c>
      <c r="D52" s="124"/>
      <c r="E52" s="122">
        <f>IF($A52="","",INDEX(Каталог!$H$4:$H$500,$A52)&amp;"")</f>
      </c>
      <c r="F52" s="123">
        <f>IF($A52="","",INDEX(Каталог!$B$4:$B$500,$A52)&amp;"")</f>
      </c>
      <c r="G52" s="123">
        <f>IF($A52="","",INDEX(Каталог!$M$4:$M$500,$A52)&amp;"")</f>
      </c>
      <c r="H52" s="123">
        <f>IF($A52="","",INDEX(Каталог!$P$4:$P$500,$A52))</f>
      </c>
      <c r="I52" s="10"/>
      <c r="J52" s="10"/>
      <c r="L52" s="121">
        <f>IFERROR(INDEX(Однолинейка!$BQ$3:$BQ$1000,MATCH(2,Однолинейка!$BR$3:$BR$1000,0)),"")</f>
      </c>
      <c r="M52" s="123">
        <f>IF(L52="","",COUNTIF(Однолинейка!$BQ$3:$BQ$1000,L52))</f>
      </c>
      <c r="N52" s="123">
        <f>IF(L52="","",SUMIF(Однолинейка!$BQ$3:$BQ$1000,L52,Однолинейка!$BW$3:$BW$1000))</f>
      </c>
      <c r="O52" s="123">
        <f>IF(L52="","",SUMIF(Однолинейка!$BQ$3:$BQ$1000,L52,Однолинейка!$BX$3:$BX$1000))</f>
      </c>
    </row>
    <row r="53" spans="2:10" x14ac:dyDescent="0.3">
      <c r="A53" s="112">
        <f>IFERROR(MATCH(ROW()-3,Каталог!$AF$4:$AF$500,0),"")</f>
      </c>
      <c r="B53" s="112">
        <f>IF($A53="","",$B$3&amp;"."&amp;(ROW()-3))</f>
      </c>
      <c r="C53" s="121">
        <f>IF($A53="","",INDEX(Каталог!$G$4:$G$500,$A53)&amp;"")</f>
      </c>
      <c r="D53" s="124"/>
      <c r="E53" s="122">
        <f>IF($A53="","",INDEX(Каталог!$H$4:$H$500,$A53)&amp;"")</f>
      </c>
      <c r="F53" s="123">
        <f>IF($A53="","",INDEX(Каталог!$B$4:$B$500,$A53)&amp;"")</f>
      </c>
      <c r="G53" s="123">
        <f>IF($A53="","",INDEX(Каталог!$M$4:$M$500,$A53)&amp;"")</f>
      </c>
      <c r="H53" s="123">
        <f>IF($A53="","",INDEX(Каталог!$P$4:$P$500,$A53))</f>
      </c>
      <c r="I53" s="10"/>
      <c r="J53" s="10"/>
      <c r="L53" s="121">
        <f>IFERROR(INDEX(Однолинейка!$BQ$3:$BQ$1000,MATCH(3,Однолинейка!$BR$3:$BR$1000,0)),"")</f>
      </c>
      <c r="M53" s="123">
        <f>IF(L53="","",COUNTIF(Однолинейка!$BQ$3:$BQ$1000,L53))</f>
      </c>
      <c r="N53" s="123">
        <f>IF(L53="","",SUMIF(Однолинейка!$BQ$3:$BQ$1000,L53,Однолинейка!$BW$3:$BW$1000))</f>
      </c>
      <c r="O53" s="123">
        <f>IF(L53="","",SUMIF(Однолинейка!$BQ$3:$BQ$1000,L53,Однолинейка!$BX$3:$BX$1000))</f>
      </c>
    </row>
    <row r="54" spans="2:10" x14ac:dyDescent="0.3">
      <c r="A54" s="112">
        <f>IFERROR(MATCH(ROW()-3,Каталог!$AF$4:$AF$500,0),"")</f>
      </c>
      <c r="B54" s="112">
        <f>IF($A54="","",$B$3&amp;"."&amp;(ROW()-3))</f>
      </c>
      <c r="C54" s="121">
        <f>IF($A54="","",INDEX(Каталог!$G$4:$G$500,$A54)&amp;"")</f>
      </c>
      <c r="D54" s="124"/>
      <c r="E54" s="122">
        <f>IF($A54="","",INDEX(Каталог!$H$4:$H$500,$A54)&amp;"")</f>
      </c>
      <c r="F54" s="123">
        <f>IF($A54="","",INDEX(Каталог!$B$4:$B$500,$A54)&amp;"")</f>
      </c>
      <c r="G54" s="123">
        <f>IF($A54="","",INDEX(Каталог!$M$4:$M$500,$A54)&amp;"")</f>
      </c>
      <c r="H54" s="123">
        <f>IF($A54="","",INDEX(Каталог!$P$4:$P$500,$A54))</f>
      </c>
      <c r="I54" s="10"/>
      <c r="J54" s="10"/>
      <c r="L54" s="121">
        <f>IFERROR(INDEX(Однолинейка!$BQ$3:$BQ$1000,MATCH(4,Однолинейка!$BR$3:$BR$1000,0)),"")</f>
      </c>
      <c r="M54" s="123">
        <f>IF(L54="","",COUNTIF(Однолинейка!$BQ$3:$BQ$1000,L54))</f>
      </c>
      <c r="N54" s="123">
        <f>IF(L54="","",SUMIF(Однолинейка!$BQ$3:$BQ$1000,L54,Однолинейка!$BW$3:$BW$1000))</f>
      </c>
      <c r="O54" s="123">
        <f>IF(L54="","",SUMIF(Однолинейка!$BQ$3:$BQ$1000,L54,Однолинейка!$BX$3:$BX$1000))</f>
      </c>
    </row>
    <row r="55" spans="2:10" x14ac:dyDescent="0.3">
      <c r="A55" s="112">
        <f>IFERROR(MATCH(ROW()-3,Каталог!$AF$4:$AF$500,0),"")</f>
      </c>
      <c r="B55" s="112">
        <f>IF($A55="","",$B$3&amp;"."&amp;(ROW()-3))</f>
      </c>
      <c r="C55" s="121">
        <f>IF($A55="","",INDEX(Каталог!$G$4:$G$500,$A55)&amp;"")</f>
      </c>
      <c r="D55" s="124"/>
      <c r="E55" s="122">
        <f>IF($A55="","",INDEX(Каталог!$H$4:$H$500,$A55)&amp;"")</f>
      </c>
      <c r="F55" s="123">
        <f>IF($A55="","",INDEX(Каталог!$B$4:$B$500,$A55)&amp;"")</f>
      </c>
      <c r="G55" s="123">
        <f>IF($A55="","",INDEX(Каталог!$M$4:$M$500,$A55)&amp;"")</f>
      </c>
      <c r="H55" s="123">
        <f>IF($A55="","",INDEX(Каталог!$P$4:$P$500,$A55))</f>
      </c>
      <c r="I55" s="10"/>
      <c r="J55" s="10"/>
      <c r="L55" s="121">
        <f>IFERROR(INDEX(Однолинейка!$BQ$3:$BQ$1000,MATCH(5,Однолинейка!$BR$3:$BR$1000,0)),"")</f>
      </c>
      <c r="M55" s="123">
        <f>IF(L55="","",COUNTIF(Однолинейка!$BQ$3:$BQ$1000,L55))</f>
      </c>
      <c r="N55" s="123">
        <f>IF(L55="","",SUMIF(Однолинейка!$BQ$3:$BQ$1000,L55,Однолинейка!$BW$3:$BW$1000))</f>
      </c>
      <c r="O55" s="123">
        <f>IF(L55="","",SUMIF(Однолинейка!$BQ$3:$BQ$1000,L55,Однолинейка!$BX$3:$BX$1000))</f>
      </c>
    </row>
    <row r="56" spans="2:10" x14ac:dyDescent="0.3">
      <c r="A56" s="112">
        <f>IFERROR(MATCH(ROW()-3,Каталог!$AF$4:$AF$500,0),"")</f>
      </c>
      <c r="B56" s="112">
        <f>IF($A56="","",$B$3&amp;"."&amp;(ROW()-3))</f>
      </c>
      <c r="C56" s="121">
        <f>IF($A56="","",INDEX(Каталог!$G$4:$G$500,$A56)&amp;"")</f>
      </c>
      <c r="D56" s="124"/>
      <c r="E56" s="122">
        <f>IF($A56="","",INDEX(Каталог!$H$4:$H$500,$A56)&amp;"")</f>
      </c>
      <c r="F56" s="123">
        <f>IF($A56="","",INDEX(Каталог!$B$4:$B$500,$A56)&amp;"")</f>
      </c>
      <c r="G56" s="123">
        <f>IF($A56="","",INDEX(Каталог!$M$4:$M$500,$A56)&amp;"")</f>
      </c>
      <c r="H56" s="123">
        <f>IF($A56="","",INDEX(Каталог!$P$4:$P$500,$A56))</f>
      </c>
      <c r="I56" s="10"/>
      <c r="J56" s="10"/>
      <c r="L56" s="121">
        <f>IFERROR(INDEX(Однолинейка!$BQ$3:$BQ$1000,MATCH(6,Однолинейка!$BR$3:$BR$1000,0)),"")</f>
      </c>
      <c r="M56" s="123">
        <f>IF(L56="","",COUNTIF(Однолинейка!$BQ$3:$BQ$1000,L56))</f>
      </c>
      <c r="N56" s="123">
        <f>IF(L56="","",SUMIF(Однолинейка!$BQ$3:$BQ$1000,L56,Однолинейка!$BW$3:$BW$1000))</f>
      </c>
      <c r="O56" s="123">
        <f>IF(L56="","",SUMIF(Однолинейка!$BQ$3:$BQ$1000,L56,Однолинейка!$BX$3:$BX$1000))</f>
      </c>
    </row>
    <row r="57" spans="2:10" x14ac:dyDescent="0.3">
      <c r="A57" s="112">
        <f>IFERROR(MATCH(ROW()-3,Каталог!$AF$4:$AF$500,0),"")</f>
      </c>
      <c r="B57" s="112">
        <f>IF($A57="","",$B$3&amp;"."&amp;(ROW()-3))</f>
      </c>
      <c r="C57" s="121">
        <f>IF($A57="","",INDEX(Каталог!$G$4:$G$500,$A57)&amp;"")</f>
      </c>
      <c r="D57" s="124"/>
      <c r="E57" s="122">
        <f>IF($A57="","",INDEX(Каталог!$H$4:$H$500,$A57)&amp;"")</f>
      </c>
      <c r="F57" s="123">
        <f>IF($A57="","",INDEX(Каталог!$B$4:$B$500,$A57)&amp;"")</f>
      </c>
      <c r="G57" s="123">
        <f>IF($A57="","",INDEX(Каталог!$M$4:$M$500,$A57)&amp;"")</f>
      </c>
      <c r="H57" s="123">
        <f>IF($A57="","",INDEX(Каталог!$P$4:$P$500,$A57))</f>
      </c>
      <c r="I57" s="10"/>
      <c r="J57" s="10"/>
      <c r="L57" s="121">
        <f>IFERROR(INDEX(Однолинейка!$BQ$3:$BQ$1000,MATCH(7,Однолинейка!$BR$3:$BR$1000,0)),"")</f>
      </c>
      <c r="M57" s="123">
        <f>IF(L57="","",COUNTIF(Однолинейка!$BQ$3:$BQ$1000,L57))</f>
      </c>
      <c r="N57" s="123">
        <f>IF(L57="","",SUMIF(Однолинейка!$BQ$3:$BQ$1000,L57,Однолинейка!$BW$3:$BW$1000))</f>
      </c>
      <c r="O57" s="123">
        <f>IF(L57="","",SUMIF(Однолинейка!$BQ$3:$BQ$1000,L57,Однолинейка!$BX$3:$BX$1000))</f>
      </c>
    </row>
    <row r="58" spans="2:10" x14ac:dyDescent="0.3">
      <c r="A58" s="112">
        <f>IFERROR(MATCH(ROW()-3,Каталог!$AF$4:$AF$500,0),"")</f>
      </c>
      <c r="B58" s="112">
        <f>IF($A58="","",$B$3&amp;"."&amp;(ROW()-3))</f>
      </c>
      <c r="C58" s="121">
        <f>IF($A58="","",INDEX(Каталог!$G$4:$G$500,$A58)&amp;"")</f>
      </c>
      <c r="D58" s="124"/>
      <c r="E58" s="122">
        <f>IF($A58="","",INDEX(Каталог!$H$4:$H$500,$A58)&amp;"")</f>
      </c>
      <c r="F58" s="123">
        <f>IF($A58="","",INDEX(Каталог!$B$4:$B$500,$A58)&amp;"")</f>
      </c>
      <c r="G58" s="123">
        <f>IF($A58="","",INDEX(Каталог!$M$4:$M$500,$A58)&amp;"")</f>
      </c>
      <c r="H58" s="123">
        <f>IF($A58="","",INDEX(Каталог!$P$4:$P$500,$A58))</f>
      </c>
      <c r="I58" s="10"/>
      <c r="J58" s="10"/>
      <c r="L58" s="121">
        <f>IFERROR(INDEX(Однолинейка!$BQ$3:$BQ$1000,MATCH(8,Однолинейка!$BR$3:$BR$1000,0)),"")</f>
      </c>
      <c r="M58" s="123">
        <f>IF(L58="","",COUNTIF(Однолинейка!$BQ$3:$BQ$1000,L58))</f>
      </c>
      <c r="N58" s="123">
        <f>IF(L58="","",SUMIF(Однолинейка!$BQ$3:$BQ$1000,L58,Однолинейка!$BW$3:$BW$1000))</f>
      </c>
      <c r="O58" s="123">
        <f>IF(L58="","",SUMIF(Однолинейка!$BQ$3:$BQ$1000,L58,Однолинейка!$BX$3:$BX$1000))</f>
      </c>
    </row>
    <row r="59" spans="2:10" x14ac:dyDescent="0.3">
      <c r="A59" s="112">
        <f>IFERROR(MATCH(ROW()-3,Каталог!$AF$4:$AF$500,0),"")</f>
      </c>
      <c r="B59" s="112">
        <f>IF($A59="","",$B$3&amp;"."&amp;(ROW()-3))</f>
      </c>
      <c r="C59" s="121">
        <f>IF($A59="","",INDEX(Каталог!$G$4:$G$500,$A59)&amp;"")</f>
      </c>
      <c r="D59" s="124"/>
      <c r="E59" s="122">
        <f>IF($A59="","",INDEX(Каталог!$H$4:$H$500,$A59)&amp;"")</f>
      </c>
      <c r="F59" s="123">
        <f>IF($A59="","",INDEX(Каталог!$B$4:$B$500,$A59)&amp;"")</f>
      </c>
      <c r="G59" s="123">
        <f>IF($A59="","",INDEX(Каталог!$M$4:$M$500,$A59)&amp;"")</f>
      </c>
      <c r="H59" s="123">
        <f>IF($A59="","",INDEX(Каталог!$P$4:$P$500,$A59))</f>
      </c>
      <c r="I59" s="10"/>
      <c r="J59" s="10"/>
      <c r="L59" s="121">
        <f>IFERROR(INDEX(Однолинейка!$BQ$3:$BQ$1000,MATCH(9,Однолинейка!$BR$3:$BR$1000,0)),"")</f>
      </c>
      <c r="M59" s="123">
        <f>IF(L59="","",COUNTIF(Однолинейка!$BQ$3:$BQ$1000,L59))</f>
      </c>
      <c r="N59" s="123">
        <f>IF(L59="","",SUMIF(Однолинейка!$BQ$3:$BQ$1000,L59,Однолинейка!$BW$3:$BW$1000))</f>
      </c>
      <c r="O59" s="123">
        <f>IF(L59="","",SUMIF(Однолинейка!$BQ$3:$BQ$1000,L59,Однолинейка!$BX$3:$BX$1000))</f>
      </c>
    </row>
    <row r="60" spans="2:10" x14ac:dyDescent="0.3">
      <c r="A60" s="112">
        <f>IFERROR(MATCH(ROW()-3,Каталог!$AF$4:$AF$500,0),"")</f>
      </c>
      <c r="B60" s="112">
        <f>IF($A60="","",$B$3&amp;"."&amp;(ROW()-3))</f>
      </c>
      <c r="C60" s="121">
        <f>IF($A60="","",INDEX(Каталог!$G$4:$G$500,$A60)&amp;"")</f>
      </c>
      <c r="D60" s="124"/>
      <c r="E60" s="122">
        <f>IF($A60="","",INDEX(Каталог!$H$4:$H$500,$A60)&amp;"")</f>
      </c>
      <c r="F60" s="123">
        <f>IF($A60="","",INDEX(Каталог!$B$4:$B$500,$A60)&amp;"")</f>
      </c>
      <c r="G60" s="123">
        <f>IF($A60="","",INDEX(Каталог!$M$4:$M$500,$A60)&amp;"")</f>
      </c>
      <c r="H60" s="123">
        <f>IF($A60="","",INDEX(Каталог!$P$4:$P$500,$A60))</f>
      </c>
      <c r="I60" s="10"/>
      <c r="J60" s="10"/>
      <c r="L60" s="121">
        <f>IFERROR(INDEX(Однолинейка!$BQ$3:$BQ$1000,MATCH(10,Однолинейка!$BR$3:$BR$1000,0)),"")</f>
      </c>
      <c r="M60" s="123">
        <f>IF(L60="","",COUNTIF(Однолинейка!$BQ$3:$BQ$1000,L60))</f>
      </c>
      <c r="N60" s="123">
        <f>IF(L60="","",SUMIF(Однолинейка!$BQ$3:$BQ$1000,L60,Однолинейка!$BW$3:$BW$1000))</f>
      </c>
      <c r="O60" s="123">
        <f>IF(L60="","",SUMIF(Однолинейка!$BQ$3:$BQ$1000,L60,Однолинейка!$BX$3:$BX$1000))</f>
      </c>
    </row>
    <row r="61" spans="2:10" x14ac:dyDescent="0.3">
      <c r="A61" s="112">
        <f>IFERROR(MATCH(ROW()-3,Каталог!$AF$4:$AF$500,0),"")</f>
      </c>
      <c r="B61" s="112">
        <f>IF($A61="","",$B$3&amp;"."&amp;(ROW()-3))</f>
      </c>
      <c r="C61" s="121">
        <f>IF($A61="","",INDEX(Каталог!$G$4:$G$500,$A61)&amp;"")</f>
      </c>
      <c r="D61" s="124"/>
      <c r="E61" s="122">
        <f>IF($A61="","",INDEX(Каталог!$H$4:$H$500,$A61)&amp;"")</f>
      </c>
      <c r="F61" s="123">
        <f>IF($A61="","",INDEX(Каталог!$B$4:$B$500,$A61)&amp;"")</f>
      </c>
      <c r="G61" s="123">
        <f>IF($A61="","",INDEX(Каталог!$M$4:$M$500,$A61)&amp;"")</f>
      </c>
      <c r="H61" s="123">
        <f>IF($A61="","",INDEX(Каталог!$P$4:$P$500,$A61))</f>
      </c>
      <c r="I61" s="10"/>
      <c r="J61" s="10"/>
      <c r="L61" s="121" t="inlineStr">
        <is>
          <t xml:space="preserve">  всего клемм XT</t>
        </is>
      </c>
      <c r="M61" s="123">
        <f>COUNTIF(Однолинейка!$AY$3:$AY$1000,1)</f>
      </c>
    </row>
    <row r="62" spans="2:10" x14ac:dyDescent="0.3">
      <c r="A62" s="112">
        <f>IFERROR(MATCH(ROW()-3,Каталог!$AF$4:$AF$500,0),"")</f>
      </c>
      <c r="B62" s="112">
        <f>IF($A62="","",$B$3&amp;"."&amp;(ROW()-3))</f>
      </c>
      <c r="C62" s="121">
        <f>IF($A62="","",INDEX(Каталог!$G$4:$G$500,$A62)&amp;"")</f>
      </c>
      <c r="D62" s="124"/>
      <c r="E62" s="122">
        <f>IF($A62="","",INDEX(Каталог!$H$4:$H$500,$A62)&amp;"")</f>
      </c>
      <c r="F62" s="123">
        <f>IF($A62="","",INDEX(Каталог!$B$4:$B$500,$A62)&amp;"")</f>
      </c>
      <c r="G62" s="123">
        <f>IF($A62="","",INDEX(Каталог!$M$4:$M$500,$A62)&amp;"")</f>
      </c>
      <c r="H62" s="123">
        <f>IF($A62="","",INDEX(Каталог!$P$4:$P$500,$A62))</f>
      </c>
      <c r="I62" s="10"/>
      <c r="J62" s="10"/>
      <c r="L62" s="121" t="inlineStr">
        <is>
          <t xml:space="preserve">Клемма трёхуровневая (по настройке Каталога)</t>
        </is>
      </c>
      <c r="M62" s="123">
        <f>SUM(Однолинейка!$BW$3:$BW$1000)</f>
      </c>
    </row>
    <row r="63" spans="2:10" x14ac:dyDescent="0.3">
      <c r="A63" s="112">
        <f>IFERROR(MATCH(ROW()-3,Каталог!$AF$4:$AF$500,0),"")</f>
      </c>
      <c r="B63" s="112">
        <f>IF($A63="","",$B$3&amp;"."&amp;(ROW()-3))</f>
      </c>
      <c r="C63" s="121">
        <f>IF($A63="","",INDEX(Каталог!$G$4:$G$500,$A63)&amp;"")</f>
      </c>
      <c r="D63" s="124"/>
      <c r="E63" s="122">
        <f>IF($A63="","",INDEX(Каталог!$H$4:$H$500,$A63)&amp;"")</f>
      </c>
      <c r="F63" s="123">
        <f>IF($A63="","",INDEX(Каталог!$B$4:$B$500,$A63)&amp;"")</f>
      </c>
      <c r="G63" s="123">
        <f>IF($A63="","",INDEX(Каталог!$M$4:$M$500,$A63)&amp;"")</f>
      </c>
      <c r="H63" s="123">
        <f>IF($A63="","",INDEX(Каталог!$P$4:$P$500,$A63))</f>
      </c>
      <c r="I63" s="10"/>
      <c r="J63" s="10"/>
      <c r="L63" s="121" t="inlineStr">
        <is>
          <t xml:space="preserve">Клемма проходная доп. (по настройке Каталога)</t>
        </is>
      </c>
      <c r="M63" s="123">
        <f>SUM(Однолинейка!$BX$3:$BX$1000)</f>
      </c>
    </row>
    <row r="64" spans="2:10" x14ac:dyDescent="0.3">
      <c r="A64" s="112">
        <f>IFERROR(MATCH(ROW()-3,Каталог!$AF$4:$AF$500,0),"")</f>
      </c>
      <c r="B64" s="112">
        <f>IF($A64="","",$B$3&amp;"."&amp;(ROW()-3))</f>
      </c>
      <c r="C64" s="121">
        <f>IF($A64="","",INDEX(Каталог!$G$4:$G$500,$A64)&amp;"")</f>
      </c>
      <c r="D64" s="124"/>
      <c r="E64" s="122">
        <f>IF($A64="","",INDEX(Каталог!$H$4:$H$500,$A64)&amp;"")</f>
      </c>
      <c r="F64" s="123">
        <f>IF($A64="","",INDEX(Каталог!$B$4:$B$500,$A64)&amp;"")</f>
      </c>
      <c r="G64" s="123">
        <f>IF($A64="","",INDEX(Каталог!$M$4:$M$500,$A64)&amp;"")</f>
      </c>
      <c r="H64" s="123">
        <f>IF($A64="","",INDEX(Каталог!$P$4:$P$500,$A64))</f>
      </c>
      <c r="I64" s="10"/>
      <c r="J64" s="10"/>
      <c r="L64" s="121" t="inlineStr">
        <is>
          <t xml:space="preserve">Трёхуровневая = L/N/PE одной линии; у 5-жильных ещё 2 проходные на доп. жилы.</t>
        </is>
      </c>
    </row>
    <row r="65" spans="2:10" x14ac:dyDescent="0.3">
      <c r="A65" s="112">
        <f>IFERROR(MATCH(ROW()-3,Каталог!$AF$4:$AF$500,0),"")</f>
      </c>
      <c r="B65" s="112">
        <f>IF($A65="","",$B$3&amp;"."&amp;(ROW()-3))</f>
      </c>
      <c r="C65" s="121">
        <f>IF($A65="","",INDEX(Каталог!$G$4:$G$500,$A65)&amp;"")</f>
      </c>
      <c r="D65" s="124"/>
      <c r="E65" s="122">
        <f>IF($A65="","",INDEX(Каталог!$H$4:$H$500,$A65)&amp;"")</f>
      </c>
      <c r="F65" s="123">
        <f>IF($A65="","",INDEX(Каталог!$B$4:$B$500,$A65)&amp;"")</f>
      </c>
      <c r="G65" s="123">
        <f>IF($A65="","",INDEX(Каталог!$M$4:$M$500,$A65)&amp;"")</f>
      </c>
      <c r="H65" s="123">
        <f>IF($A65="","",INDEX(Каталог!$P$4:$P$500,$A65))</f>
      </c>
      <c r="I65" s="10"/>
      <c r="J65" s="10"/>
      <c r="L65" s="121"/>
    </row>
    <row r="66" spans="2:10" x14ac:dyDescent="0.3">
      <c r="A66" s="112">
        <f>IFERROR(MATCH(ROW()-3,Каталог!$AF$4:$AF$500,0),"")</f>
      </c>
      <c r="B66" s="112">
        <f>IF($A66="","",$B$3&amp;"."&amp;(ROW()-3))</f>
      </c>
      <c r="C66" s="121">
        <f>IF($A66="","",INDEX(Каталог!$G$4:$G$500,$A66)&amp;"")</f>
      </c>
      <c r="D66" s="124"/>
      <c r="E66" s="122">
        <f>IF($A66="","",INDEX(Каталог!$H$4:$H$500,$A66)&amp;"")</f>
      </c>
      <c r="F66" s="123">
        <f>IF($A66="","",INDEX(Каталог!$B$4:$B$500,$A66)&amp;"")</f>
      </c>
      <c r="G66" s="123">
        <f>IF($A66="","",INDEX(Каталог!$M$4:$M$500,$A66)&amp;"")</f>
      </c>
      <c r="H66" s="123">
        <f>IF($A66="","",INDEX(Каталог!$P$4:$P$500,$A66))</f>
      </c>
      <c r="I66" s="10"/>
      <c r="J66" s="10"/>
      <c r="L66" s="121"/>
    </row>
    <row r="67" spans="2:10" x14ac:dyDescent="0.3">
      <c r="A67" s="112">
        <f>IFERROR(MATCH(ROW()-3,Каталог!$AF$4:$AF$500,0),"")</f>
      </c>
      <c r="B67" s="112">
        <f>IF($A67="","",$B$3&amp;"."&amp;(ROW()-3))</f>
      </c>
      <c r="C67" s="121">
        <f>IF($A67="","",INDEX(Каталог!$G$4:$G$500,$A67)&amp;"")</f>
      </c>
      <c r="D67" s="124"/>
      <c r="E67" s="122">
        <f>IF($A67="","",INDEX(Каталог!$H$4:$H$500,$A67)&amp;"")</f>
      </c>
      <c r="F67" s="123">
        <f>IF($A67="","",INDEX(Каталог!$B$4:$B$500,$A67)&amp;"")</f>
      </c>
      <c r="G67" s="123">
        <f>IF($A67="","",INDEX(Каталог!$M$4:$M$500,$A67)&amp;"")</f>
      </c>
      <c r="H67" s="123">
        <f>IF($A67="","",INDEX(Каталог!$P$4:$P$500,$A67))</f>
      </c>
      <c r="I67" s="10"/>
      <c r="J67" s="10"/>
    </row>
    <row r="68" spans="2:10" x14ac:dyDescent="0.3">
      <c r="A68" s="112">
        <f>IFERROR(MATCH(ROW()-3,Каталог!$AF$4:$AF$500,0),"")</f>
      </c>
      <c r="B68" s="112">
        <f>IF($A68="","",$B$3&amp;"."&amp;(ROW()-3))</f>
      </c>
      <c r="C68" s="121">
        <f>IF($A68="","",INDEX(Каталог!$G$4:$G$500,$A68)&amp;"")</f>
      </c>
      <c r="D68" s="124"/>
      <c r="E68" s="122">
        <f>IF($A68="","",INDEX(Каталог!$H$4:$H$500,$A68)&amp;"")</f>
      </c>
      <c r="F68" s="123">
        <f>IF($A68="","",INDEX(Каталог!$B$4:$B$500,$A68)&amp;"")</f>
      </c>
      <c r="G68" s="123">
        <f>IF($A68="","",INDEX(Каталог!$M$4:$M$500,$A68)&amp;"")</f>
      </c>
      <c r="H68" s="123">
        <f>IF($A68="","",INDEX(Каталог!$P$4:$P$500,$A68))</f>
      </c>
      <c r="I68" s="10"/>
      <c r="J68" s="10"/>
    </row>
    <row r="69" spans="2:10" x14ac:dyDescent="0.3">
      <c r="A69" s="112">
        <f>IFERROR(MATCH(ROW()-3,Каталог!$AF$4:$AF$500,0),"")</f>
      </c>
      <c r="B69" s="112">
        <f>IF($A69="","",$B$3&amp;"."&amp;(ROW()-3))</f>
      </c>
      <c r="C69" s="121">
        <f>IF($A69="","",INDEX(Каталог!$G$4:$G$500,$A69)&amp;"")</f>
      </c>
      <c r="D69" s="124"/>
      <c r="E69" s="122">
        <f>IF($A69="","",INDEX(Каталог!$H$4:$H$500,$A69)&amp;"")</f>
      </c>
      <c r="F69" s="123">
        <f>IF($A69="","",INDEX(Каталог!$B$4:$B$500,$A69)&amp;"")</f>
      </c>
      <c r="G69" s="123">
        <f>IF($A69="","",INDEX(Каталог!$M$4:$M$500,$A69)&amp;"")</f>
      </c>
      <c r="H69" s="123">
        <f>IF($A69="","",INDEX(Каталог!$P$4:$P$500,$A69))</f>
      </c>
      <c r="I69" s="10"/>
      <c r="J69" s="10"/>
    </row>
    <row r="70" spans="2:10" x14ac:dyDescent="0.3">
      <c r="A70" s="112">
        <f>IFERROR(MATCH(ROW()-3,Каталог!$AF$4:$AF$500,0),"")</f>
      </c>
      <c r="B70" s="112">
        <f>IF($A70="","",$B$3&amp;"."&amp;(ROW()-3))</f>
      </c>
      <c r="C70" s="121">
        <f>IF($A70="","",INDEX(Каталог!$G$4:$G$500,$A70)&amp;"")</f>
      </c>
      <c r="D70" s="124"/>
      <c r="E70" s="122">
        <f>IF($A70="","",INDEX(Каталог!$H$4:$H$500,$A70)&amp;"")</f>
      </c>
      <c r="F70" s="123">
        <f>IF($A70="","",INDEX(Каталог!$B$4:$B$500,$A70)&amp;"")</f>
      </c>
      <c r="G70" s="123">
        <f>IF($A70="","",INDEX(Каталог!$M$4:$M$500,$A70)&amp;"")</f>
      </c>
      <c r="H70" s="123">
        <f>IF($A70="","",INDEX(Каталог!$P$4:$P$500,$A70))</f>
      </c>
      <c r="I70" s="10"/>
      <c r="J70" s="10"/>
    </row>
    <row r="71" spans="2:10" x14ac:dyDescent="0.3">
      <c r="A71" s="112">
        <f>IFERROR(MATCH(ROW()-3,Каталог!$AF$4:$AF$500,0),"")</f>
      </c>
      <c r="B71" s="112">
        <f>IF($A71="","",$B$3&amp;"."&amp;(ROW()-3))</f>
      </c>
      <c r="C71" s="121">
        <f>IF($A71="","",INDEX(Каталог!$G$4:$G$500,$A71)&amp;"")</f>
      </c>
      <c r="D71" s="124"/>
      <c r="E71" s="122">
        <f>IF($A71="","",INDEX(Каталог!$H$4:$H$500,$A71)&amp;"")</f>
      </c>
      <c r="F71" s="123">
        <f>IF($A71="","",INDEX(Каталог!$B$4:$B$500,$A71)&amp;"")</f>
      </c>
      <c r="G71" s="123">
        <f>IF($A71="","",INDEX(Каталог!$M$4:$M$500,$A71)&amp;"")</f>
      </c>
      <c r="H71" s="123">
        <f>IF($A71="","",INDEX(Каталог!$P$4:$P$500,$A71))</f>
      </c>
      <c r="I71" s="10"/>
      <c r="J71" s="10"/>
    </row>
    <row r="72" spans="2:10" x14ac:dyDescent="0.3">
      <c r="A72" s="112">
        <f>IFERROR(MATCH(ROW()-3,Каталог!$AF$4:$AF$500,0),"")</f>
      </c>
      <c r="B72" s="112">
        <f>IF($A72="","",$B$3&amp;"."&amp;(ROW()-3))</f>
      </c>
      <c r="C72" s="121">
        <f>IF($A72="","",INDEX(Каталог!$G$4:$G$500,$A72)&amp;"")</f>
      </c>
      <c r="D72" s="124"/>
      <c r="E72" s="122">
        <f>IF($A72="","",INDEX(Каталог!$H$4:$H$500,$A72)&amp;"")</f>
      </c>
      <c r="F72" s="123">
        <f>IF($A72="","",INDEX(Каталог!$B$4:$B$500,$A72)&amp;"")</f>
      </c>
      <c r="G72" s="123">
        <f>IF($A72="","",INDEX(Каталог!$M$4:$M$500,$A72)&amp;"")</f>
      </c>
      <c r="H72" s="123">
        <f>IF($A72="","",INDEX(Каталог!$P$4:$P$500,$A72))</f>
      </c>
      <c r="I72" s="10"/>
      <c r="J72" s="10"/>
    </row>
    <row r="73" spans="2:10" x14ac:dyDescent="0.3">
      <c r="A73" s="112">
        <f>IFERROR(MATCH(ROW()-3,Каталог!$AF$4:$AF$500,0),"")</f>
      </c>
      <c r="B73" s="112">
        <f>IF($A73="","",$B$3&amp;"."&amp;(ROW()-3))</f>
      </c>
      <c r="C73" s="121">
        <f>IF($A73="","",INDEX(Каталог!$G$4:$G$500,$A73)&amp;"")</f>
      </c>
      <c r="D73" s="124"/>
      <c r="E73" s="122">
        <f>IF($A73="","",INDEX(Каталог!$H$4:$H$500,$A73)&amp;"")</f>
      </c>
      <c r="F73" s="123">
        <f>IF($A73="","",INDEX(Каталог!$B$4:$B$500,$A73)&amp;"")</f>
      </c>
      <c r="G73" s="123">
        <f>IF($A73="","",INDEX(Каталог!$M$4:$M$500,$A73)&amp;"")</f>
      </c>
      <c r="H73" s="123">
        <f>IF($A73="","",INDEX(Каталог!$P$4:$P$500,$A73))</f>
      </c>
      <c r="I73" s="10"/>
      <c r="J73" s="10"/>
    </row>
    <row r="74" spans="2:10" x14ac:dyDescent="0.3">
      <c r="A74" s="112">
        <f>IFERROR(MATCH(ROW()-3,Каталог!$AF$4:$AF$500,0),"")</f>
      </c>
      <c r="B74" s="112">
        <f>IF($A74="","",$B$3&amp;"."&amp;(ROW()-3))</f>
      </c>
      <c r="C74" s="121">
        <f>IF($A74="","",INDEX(Каталог!$G$4:$G$500,$A74)&amp;"")</f>
      </c>
      <c r="D74" s="124"/>
      <c r="E74" s="122">
        <f>IF($A74="","",INDEX(Каталог!$H$4:$H$500,$A74)&amp;"")</f>
      </c>
      <c r="F74" s="123">
        <f>IF($A74="","",INDEX(Каталог!$B$4:$B$500,$A74)&amp;"")</f>
      </c>
      <c r="G74" s="123">
        <f>IF($A74="","",INDEX(Каталог!$M$4:$M$500,$A74)&amp;"")</f>
      </c>
      <c r="H74" s="123">
        <f>IF($A74="","",INDEX(Каталог!$P$4:$P$500,$A74))</f>
      </c>
      <c r="I74" s="10"/>
      <c r="J74" s="10"/>
    </row>
    <row r="75" spans="2:10" x14ac:dyDescent="0.3">
      <c r="A75" s="112">
        <f>IFERROR(MATCH(ROW()-3,Каталог!$AF$4:$AF$500,0),"")</f>
      </c>
      <c r="B75" s="112">
        <f>IF($A75="","",$B$3&amp;"."&amp;(ROW()-3))</f>
      </c>
      <c r="C75" s="121">
        <f>IF($A75="","",INDEX(Каталог!$G$4:$G$500,$A75)&amp;"")</f>
      </c>
      <c r="D75" s="124"/>
      <c r="E75" s="122">
        <f>IF($A75="","",INDEX(Каталог!$H$4:$H$500,$A75)&amp;"")</f>
      </c>
      <c r="F75" s="123">
        <f>IF($A75="","",INDEX(Каталог!$B$4:$B$500,$A75)&amp;"")</f>
      </c>
      <c r="G75" s="123">
        <f>IF($A75="","",INDEX(Каталог!$M$4:$M$500,$A75)&amp;"")</f>
      </c>
      <c r="H75" s="123">
        <f>IF($A75="","",INDEX(Каталог!$P$4:$P$500,$A75))</f>
      </c>
      <c r="I75" s="10"/>
      <c r="J75" s="10"/>
    </row>
    <row r="76" spans="2:10" x14ac:dyDescent="0.3">
      <c r="A76" s="112">
        <f>IFERROR(MATCH(ROW()-3,Каталог!$AF$4:$AF$500,0),"")</f>
      </c>
      <c r="B76" s="112">
        <f>IF($A76="","",$B$3&amp;"."&amp;(ROW()-3))</f>
      </c>
      <c r="C76" s="121">
        <f>IF($A76="","",INDEX(Каталог!$G$4:$G$500,$A76)&amp;"")</f>
      </c>
      <c r="D76" s="124"/>
      <c r="E76" s="122">
        <f>IF($A76="","",INDEX(Каталог!$H$4:$H$500,$A76)&amp;"")</f>
      </c>
      <c r="F76" s="123">
        <f>IF($A76="","",INDEX(Каталог!$B$4:$B$500,$A76)&amp;"")</f>
      </c>
      <c r="G76" s="123">
        <f>IF($A76="","",INDEX(Каталог!$M$4:$M$500,$A76)&amp;"")</f>
      </c>
      <c r="H76" s="123">
        <f>IF($A76="","",INDEX(Каталог!$P$4:$P$500,$A76))</f>
      </c>
      <c r="I76" s="10"/>
      <c r="J76" s="10"/>
    </row>
    <row r="77" spans="2:10" x14ac:dyDescent="0.3">
      <c r="A77" s="112">
        <f>IFERROR(MATCH(ROW()-3,Каталог!$AF$4:$AF$500,0),"")</f>
      </c>
      <c r="B77" s="112">
        <f>IF($A77="","",$B$3&amp;"."&amp;(ROW()-3))</f>
      </c>
      <c r="C77" s="121">
        <f>IF($A77="","",INDEX(Каталог!$G$4:$G$500,$A77)&amp;"")</f>
      </c>
      <c r="D77" s="124"/>
      <c r="E77" s="122">
        <f>IF($A77="","",INDEX(Каталог!$H$4:$H$500,$A77)&amp;"")</f>
      </c>
      <c r="F77" s="123">
        <f>IF($A77="","",INDEX(Каталог!$B$4:$B$500,$A77)&amp;"")</f>
      </c>
      <c r="G77" s="123">
        <f>IF($A77="","",INDEX(Каталог!$M$4:$M$500,$A77)&amp;"")</f>
      </c>
      <c r="H77" s="123">
        <f>IF($A77="","",INDEX(Каталог!$P$4:$P$500,$A77))</f>
      </c>
      <c r="I77" s="10"/>
      <c r="J77" s="10"/>
    </row>
    <row r="78" spans="2:10" x14ac:dyDescent="0.3">
      <c r="A78" s="112">
        <f>IFERROR(MATCH(ROW()-3,Каталог!$AF$4:$AF$500,0),"")</f>
      </c>
      <c r="B78" s="112">
        <f>IF($A78="","",$B$3&amp;"."&amp;(ROW()-3))</f>
      </c>
      <c r="C78" s="121">
        <f>IF($A78="","",INDEX(Каталог!$G$4:$G$500,$A78)&amp;"")</f>
      </c>
      <c r="D78" s="124"/>
      <c r="E78" s="122">
        <f>IF($A78="","",INDEX(Каталог!$H$4:$H$500,$A78)&amp;"")</f>
      </c>
      <c r="F78" s="123">
        <f>IF($A78="","",INDEX(Каталог!$B$4:$B$500,$A78)&amp;"")</f>
      </c>
      <c r="G78" s="123">
        <f>IF($A78="","",INDEX(Каталог!$M$4:$M$500,$A78)&amp;"")</f>
      </c>
      <c r="H78" s="123">
        <f>IF($A78="","",INDEX(Каталог!$P$4:$P$500,$A78))</f>
      </c>
      <c r="I78" s="10"/>
      <c r="J78" s="10"/>
    </row>
    <row r="79" spans="2:10" x14ac:dyDescent="0.3">
      <c r="A79" s="112">
        <f>IFERROR(MATCH(ROW()-3,Каталог!$AF$4:$AF$500,0),"")</f>
      </c>
      <c r="B79" s="112">
        <f>IF($A79="","",$B$3&amp;"."&amp;(ROW()-3))</f>
      </c>
      <c r="C79" s="121">
        <f>IF($A79="","",INDEX(Каталог!$G$4:$G$500,$A79)&amp;"")</f>
      </c>
      <c r="D79" s="124"/>
      <c r="E79" s="122">
        <f>IF($A79="","",INDEX(Каталог!$H$4:$H$500,$A79)&amp;"")</f>
      </c>
      <c r="F79" s="123">
        <f>IF($A79="","",INDEX(Каталог!$B$4:$B$500,$A79)&amp;"")</f>
      </c>
      <c r="G79" s="123">
        <f>IF($A79="","",INDEX(Каталог!$M$4:$M$500,$A79)&amp;"")</f>
      </c>
      <c r="H79" s="123">
        <f>IF($A79="","",INDEX(Каталог!$P$4:$P$500,$A79))</f>
      </c>
      <c r="I79" s="10"/>
      <c r="J79" s="10"/>
    </row>
    <row r="80" spans="2:10" x14ac:dyDescent="0.3">
      <c r="A80" s="112">
        <f>IFERROR(MATCH(ROW()-3,Каталог!$AF$4:$AF$500,0),"")</f>
      </c>
      <c r="B80" s="112">
        <f>IF($A80="","",$B$3&amp;"."&amp;(ROW()-3))</f>
      </c>
      <c r="C80" s="121">
        <f>IF($A80="","",INDEX(Каталог!$G$4:$G$500,$A80)&amp;"")</f>
      </c>
      <c r="D80" s="124"/>
      <c r="E80" s="122">
        <f>IF($A80="","",INDEX(Каталог!$H$4:$H$500,$A80)&amp;"")</f>
      </c>
      <c r="F80" s="123">
        <f>IF($A80="","",INDEX(Каталог!$B$4:$B$500,$A80)&amp;"")</f>
      </c>
      <c r="G80" s="123">
        <f>IF($A80="","",INDEX(Каталог!$M$4:$M$500,$A80)&amp;"")</f>
      </c>
      <c r="H80" s="123">
        <f>IF($A80="","",INDEX(Каталог!$P$4:$P$500,$A80))</f>
      </c>
      <c r="I80" s="10"/>
      <c r="J80" s="10"/>
    </row>
    <row r="81" spans="2:10" x14ac:dyDescent="0.3">
      <c r="A81" s="112">
        <f>IFERROR(MATCH(ROW()-3,Каталог!$AF$4:$AF$500,0),"")</f>
      </c>
      <c r="B81" s="112">
        <f>IF($A81="","",$B$3&amp;"."&amp;(ROW()-3))</f>
      </c>
      <c r="C81" s="121">
        <f>IF($A81="","",INDEX(Каталог!$G$4:$G$500,$A81)&amp;"")</f>
      </c>
      <c r="D81" s="124"/>
      <c r="E81" s="122">
        <f>IF($A81="","",INDEX(Каталог!$H$4:$H$500,$A81)&amp;"")</f>
      </c>
      <c r="F81" s="123">
        <f>IF($A81="","",INDEX(Каталог!$B$4:$B$500,$A81)&amp;"")</f>
      </c>
      <c r="G81" s="123">
        <f>IF($A81="","",INDEX(Каталог!$M$4:$M$500,$A81)&amp;"")</f>
      </c>
      <c r="H81" s="123">
        <f>IF($A81="","",INDEX(Каталог!$P$4:$P$500,$A81))</f>
      </c>
      <c r="I81" s="10"/>
      <c r="J81" s="10"/>
    </row>
    <row r="82" spans="2:10" x14ac:dyDescent="0.3">
      <c r="A82" s="112">
        <f>IFERROR(MATCH(ROW()-3,Каталог!$AF$4:$AF$500,0),"")</f>
      </c>
      <c r="B82" s="112">
        <f>IF($A82="","",$B$3&amp;"."&amp;(ROW()-3))</f>
      </c>
      <c r="C82" s="121">
        <f>IF($A82="","",INDEX(Каталог!$G$4:$G$500,$A82)&amp;"")</f>
      </c>
      <c r="D82" s="124"/>
      <c r="E82" s="122">
        <f>IF($A82="","",INDEX(Каталог!$H$4:$H$500,$A82)&amp;"")</f>
      </c>
      <c r="F82" s="123">
        <f>IF($A82="","",INDEX(Каталог!$B$4:$B$500,$A82)&amp;"")</f>
      </c>
      <c r="G82" s="123">
        <f>IF($A82="","",INDEX(Каталог!$M$4:$M$500,$A82)&amp;"")</f>
      </c>
      <c r="H82" s="123">
        <f>IF($A82="","",INDEX(Каталог!$P$4:$P$500,$A82))</f>
      </c>
      <c r="I82" s="10"/>
      <c r="J82" s="10"/>
    </row>
    <row r="83" spans="2:10" x14ac:dyDescent="0.3">
      <c r="A83" s="112">
        <f>IFERROR(MATCH(ROW()-3,Каталог!$AF$4:$AF$500,0),"")</f>
      </c>
      <c r="B83" s="112">
        <f>IF($A83="","",$B$3&amp;"."&amp;(ROW()-3))</f>
      </c>
      <c r="C83" s="121">
        <f>IF($A83="","",INDEX(Каталог!$G$4:$G$500,$A83)&amp;"")</f>
      </c>
      <c r="D83" s="124"/>
      <c r="E83" s="122">
        <f>IF($A83="","",INDEX(Каталог!$H$4:$H$500,$A83)&amp;"")</f>
      </c>
      <c r="F83" s="123">
        <f>IF($A83="","",INDEX(Каталог!$B$4:$B$500,$A83)&amp;"")</f>
      </c>
      <c r="G83" s="123">
        <f>IF($A83="","",INDEX(Каталог!$M$4:$M$500,$A83)&amp;"")</f>
      </c>
      <c r="H83" s="123">
        <f>IF($A83="","",INDEX(Каталог!$P$4:$P$500,$A83))</f>
      </c>
      <c r="I83" s="10"/>
      <c r="J83" s="10"/>
    </row>
    <row r="84" spans="2:10" x14ac:dyDescent="0.3">
      <c r="A84" s="112">
        <f>IFERROR(MATCH(ROW()-3,Каталог!$AF$4:$AF$500,0),"")</f>
      </c>
      <c r="B84" s="112">
        <f>IF($A84="","",$B$3&amp;"."&amp;(ROW()-3))</f>
      </c>
      <c r="C84" s="121">
        <f>IF($A84="","",INDEX(Каталог!$G$4:$G$500,$A84)&amp;"")</f>
      </c>
      <c r="D84" s="124"/>
      <c r="E84" s="122">
        <f>IF($A84="","",INDEX(Каталог!$H$4:$H$500,$A84)&amp;"")</f>
      </c>
      <c r="F84" s="123">
        <f>IF($A84="","",INDEX(Каталог!$B$4:$B$500,$A84)&amp;"")</f>
      </c>
      <c r="G84" s="123">
        <f>IF($A84="","",INDEX(Каталог!$M$4:$M$500,$A84)&amp;"")</f>
      </c>
      <c r="H84" s="123">
        <f>IF($A84="","",INDEX(Каталог!$P$4:$P$500,$A84))</f>
      </c>
      <c r="I84" s="10"/>
      <c r="J84" s="10"/>
    </row>
    <row r="85" spans="2:10" x14ac:dyDescent="0.3">
      <c r="A85" s="112">
        <f>IFERROR(MATCH(ROW()-3,Каталог!$AF$4:$AF$500,0),"")</f>
      </c>
      <c r="B85" s="112">
        <f>IF($A85="","",$B$3&amp;"."&amp;(ROW()-3))</f>
      </c>
      <c r="C85" s="121">
        <f>IF($A85="","",INDEX(Каталог!$G$4:$G$500,$A85)&amp;"")</f>
      </c>
      <c r="D85" s="124"/>
      <c r="E85" s="122">
        <f>IF($A85="","",INDEX(Каталог!$H$4:$H$500,$A85)&amp;"")</f>
      </c>
      <c r="F85" s="123">
        <f>IF($A85="","",INDEX(Каталог!$B$4:$B$500,$A85)&amp;"")</f>
      </c>
      <c r="G85" s="123">
        <f>IF($A85="","",INDEX(Каталог!$M$4:$M$500,$A85)&amp;"")</f>
      </c>
      <c r="H85" s="123">
        <f>IF($A85="","",INDEX(Каталог!$P$4:$P$500,$A85))</f>
      </c>
      <c r="I85" s="10"/>
      <c r="J85" s="10"/>
    </row>
    <row r="86" spans="2:10" x14ac:dyDescent="0.3">
      <c r="A86" s="112">
        <f>IFERROR(MATCH(ROW()-3,Каталог!$AF$4:$AF$500,0),"")</f>
      </c>
      <c r="B86" s="112">
        <f>IF($A86="","",$B$3&amp;"."&amp;(ROW()-3))</f>
      </c>
      <c r="C86" s="121">
        <f>IF($A86="","",INDEX(Каталог!$G$4:$G$500,$A86)&amp;"")</f>
      </c>
      <c r="D86" s="124"/>
      <c r="E86" s="122">
        <f>IF($A86="","",INDEX(Каталог!$H$4:$H$500,$A86)&amp;"")</f>
      </c>
      <c r="F86" s="123">
        <f>IF($A86="","",INDEX(Каталог!$B$4:$B$500,$A86)&amp;"")</f>
      </c>
      <c r="G86" s="123">
        <f>IF($A86="","",INDEX(Каталог!$M$4:$M$500,$A86)&amp;"")</f>
      </c>
      <c r="H86" s="123">
        <f>IF($A86="","",INDEX(Каталог!$P$4:$P$500,$A86))</f>
      </c>
      <c r="I86" s="10"/>
      <c r="J86" s="10"/>
    </row>
    <row r="87" spans="2:10" x14ac:dyDescent="0.3">
      <c r="A87" s="112">
        <f>IFERROR(MATCH(ROW()-3,Каталог!$AF$4:$AF$500,0),"")</f>
      </c>
      <c r="B87" s="112">
        <f>IF($A87="","",$B$3&amp;"."&amp;(ROW()-3))</f>
      </c>
      <c r="C87" s="121">
        <f>IF($A87="","",INDEX(Каталог!$G$4:$G$500,$A87)&amp;"")</f>
      </c>
      <c r="D87" s="124"/>
      <c r="E87" s="122">
        <f>IF($A87="","",INDEX(Каталог!$H$4:$H$500,$A87)&amp;"")</f>
      </c>
      <c r="F87" s="123">
        <f>IF($A87="","",INDEX(Каталог!$B$4:$B$500,$A87)&amp;"")</f>
      </c>
      <c r="G87" s="123">
        <f>IF($A87="","",INDEX(Каталог!$M$4:$M$500,$A87)&amp;"")</f>
      </c>
      <c r="H87" s="123">
        <f>IF($A87="","",INDEX(Каталог!$P$4:$P$500,$A87))</f>
      </c>
      <c r="I87" s="10"/>
      <c r="J87" s="10"/>
    </row>
    <row r="88" spans="2:10" x14ac:dyDescent="0.3">
      <c r="A88" s="112">
        <f>IFERROR(MATCH(ROW()-3,Каталог!$AF$4:$AF$500,0),"")</f>
      </c>
      <c r="B88" s="112">
        <f>IF($A88="","",$B$3&amp;"."&amp;(ROW()-3))</f>
      </c>
      <c r="C88" s="121">
        <f>IF($A88="","",INDEX(Каталог!$G$4:$G$500,$A88)&amp;"")</f>
      </c>
      <c r="D88" s="124"/>
      <c r="E88" s="122">
        <f>IF($A88="","",INDEX(Каталог!$H$4:$H$500,$A88)&amp;"")</f>
      </c>
      <c r="F88" s="123">
        <f>IF($A88="","",INDEX(Каталог!$B$4:$B$500,$A88)&amp;"")</f>
      </c>
      <c r="G88" s="123">
        <f>IF($A88="","",INDEX(Каталог!$M$4:$M$500,$A88)&amp;"")</f>
      </c>
      <c r="H88" s="123">
        <f>IF($A88="","",INDEX(Каталог!$P$4:$P$500,$A88))</f>
      </c>
      <c r="I88" s="10"/>
      <c r="J88" s="10"/>
    </row>
    <row r="89" spans="2:10" x14ac:dyDescent="0.3">
      <c r="A89" s="112">
        <f>IFERROR(MATCH(ROW()-3,Каталог!$AF$4:$AF$500,0),"")</f>
      </c>
      <c r="B89" s="112">
        <f>IF($A89="","",$B$3&amp;"."&amp;(ROW()-3))</f>
      </c>
      <c r="C89" s="121">
        <f>IF($A89="","",INDEX(Каталог!$G$4:$G$500,$A89)&amp;"")</f>
      </c>
      <c r="D89" s="124"/>
      <c r="E89" s="122">
        <f>IF($A89="","",INDEX(Каталог!$H$4:$H$500,$A89)&amp;"")</f>
      </c>
      <c r="F89" s="123">
        <f>IF($A89="","",INDEX(Каталог!$B$4:$B$500,$A89)&amp;"")</f>
      </c>
      <c r="G89" s="123">
        <f>IF($A89="","",INDEX(Каталог!$M$4:$M$500,$A89)&amp;"")</f>
      </c>
      <c r="H89" s="123">
        <f>IF($A89="","",INDEX(Каталог!$P$4:$P$500,$A89))</f>
      </c>
      <c r="I89" s="10"/>
      <c r="J89" s="10"/>
    </row>
    <row r="90" spans="2:10" x14ac:dyDescent="0.3">
      <c r="A90" s="112">
        <f>IFERROR(MATCH(ROW()-3,Каталог!$AF$4:$AF$500,0),"")</f>
      </c>
      <c r="B90" s="112">
        <f>IF($A90="","",$B$3&amp;"."&amp;(ROW()-3))</f>
      </c>
      <c r="C90" s="121">
        <f>IF($A90="","",INDEX(Каталог!$G$4:$G$500,$A90)&amp;"")</f>
      </c>
      <c r="D90" s="124"/>
      <c r="E90" s="122">
        <f>IF($A90="","",INDEX(Каталог!$H$4:$H$500,$A90)&amp;"")</f>
      </c>
      <c r="F90" s="123">
        <f>IF($A90="","",INDEX(Каталог!$B$4:$B$500,$A90)&amp;"")</f>
      </c>
      <c r="G90" s="123">
        <f>IF($A90="","",INDEX(Каталог!$M$4:$M$500,$A90)&amp;"")</f>
      </c>
      <c r="H90" s="123">
        <f>IF($A90="","",INDEX(Каталог!$P$4:$P$500,$A90))</f>
      </c>
      <c r="I90" s="10"/>
      <c r="J90" s="10"/>
    </row>
    <row r="91" spans="2:10" x14ac:dyDescent="0.3">
      <c r="A91" s="112">
        <f>IFERROR(MATCH(ROW()-3,Каталог!$AF$4:$AF$500,0),"")</f>
      </c>
      <c r="B91" s="112">
        <f>IF($A91="","",$B$3&amp;"."&amp;(ROW()-3))</f>
      </c>
      <c r="C91" s="121">
        <f>IF($A91="","",INDEX(Каталог!$G$4:$G$500,$A91)&amp;"")</f>
      </c>
      <c r="D91" s="124"/>
      <c r="E91" s="122">
        <f>IF($A91="","",INDEX(Каталог!$H$4:$H$500,$A91)&amp;"")</f>
      </c>
      <c r="F91" s="123">
        <f>IF($A91="","",INDEX(Каталог!$B$4:$B$500,$A91)&amp;"")</f>
      </c>
      <c r="G91" s="123">
        <f>IF($A91="","",INDEX(Каталог!$M$4:$M$500,$A91)&amp;"")</f>
      </c>
      <c r="H91" s="123">
        <f>IF($A91="","",INDEX(Каталог!$P$4:$P$500,$A91))</f>
      </c>
      <c r="I91" s="10"/>
      <c r="J91" s="10"/>
    </row>
    <row r="92" spans="2:10" x14ac:dyDescent="0.3">
      <c r="A92" s="112">
        <f>IFERROR(MATCH(ROW()-3,Каталог!$AF$4:$AF$500,0),"")</f>
      </c>
      <c r="B92" s="112">
        <f>IF($A92="","",$B$3&amp;"."&amp;(ROW()-3))</f>
      </c>
      <c r="C92" s="121">
        <f>IF($A92="","",INDEX(Каталог!$G$4:$G$500,$A92)&amp;"")</f>
      </c>
      <c r="D92" s="124"/>
      <c r="E92" s="122">
        <f>IF($A92="","",INDEX(Каталог!$H$4:$H$500,$A92)&amp;"")</f>
      </c>
      <c r="F92" s="123">
        <f>IF($A92="","",INDEX(Каталог!$B$4:$B$500,$A92)&amp;"")</f>
      </c>
      <c r="G92" s="123">
        <f>IF($A92="","",INDEX(Каталог!$M$4:$M$500,$A92)&amp;"")</f>
      </c>
      <c r="H92" s="123">
        <f>IF($A92="","",INDEX(Каталог!$P$4:$P$500,$A92))</f>
      </c>
      <c r="I92" s="10"/>
      <c r="J92" s="10"/>
    </row>
    <row r="93" spans="2:10" x14ac:dyDescent="0.3">
      <c r="A93" s="112">
        <f>IFERROR(MATCH(ROW()-3,Каталог!$AF$4:$AF$500,0),"")</f>
      </c>
      <c r="B93" s="112">
        <f>IF($A93="","",$B$3&amp;"."&amp;(ROW()-3))</f>
      </c>
      <c r="C93" s="121">
        <f>IF($A93="","",INDEX(Каталог!$G$4:$G$500,$A93)&amp;"")</f>
      </c>
      <c r="D93" s="124"/>
      <c r="E93" s="122">
        <f>IF($A93="","",INDEX(Каталог!$H$4:$H$500,$A93)&amp;"")</f>
      </c>
      <c r="F93" s="123">
        <f>IF($A93="","",INDEX(Каталог!$B$4:$B$500,$A93)&amp;"")</f>
      </c>
      <c r="G93" s="123">
        <f>IF($A93="","",INDEX(Каталог!$M$4:$M$500,$A93)&amp;"")</f>
      </c>
      <c r="H93" s="123">
        <f>IF($A93="","",INDEX(Каталог!$P$4:$P$500,$A93))</f>
      </c>
      <c r="I93" s="10"/>
      <c r="J93" s="10"/>
    </row>
    <row r="94" spans="2:10" x14ac:dyDescent="0.3">
      <c r="A94" s="112">
        <f>IFERROR(MATCH(ROW()-3,Каталог!$AF$4:$AF$500,0),"")</f>
      </c>
      <c r="B94" s="112">
        <f>IF($A94="","",$B$3&amp;"."&amp;(ROW()-3))</f>
      </c>
      <c r="C94" s="121">
        <f>IF($A94="","",INDEX(Каталог!$G$4:$G$500,$A94)&amp;"")</f>
      </c>
      <c r="D94" s="124"/>
      <c r="E94" s="122">
        <f>IF($A94="","",INDEX(Каталог!$H$4:$H$500,$A94)&amp;"")</f>
      </c>
      <c r="F94" s="123">
        <f>IF($A94="","",INDEX(Каталог!$B$4:$B$500,$A94)&amp;"")</f>
      </c>
      <c r="G94" s="123">
        <f>IF($A94="","",INDEX(Каталог!$M$4:$M$500,$A94)&amp;"")</f>
      </c>
      <c r="H94" s="123">
        <f>IF($A94="","",INDEX(Каталог!$P$4:$P$500,$A94))</f>
      </c>
      <c r="I94" s="10"/>
      <c r="J94" s="10"/>
    </row>
    <row r="95">
      <c r="A95" s="112">
        <f>IFERROR(MATCH(ROW()-3,Каталог!$AF$4:$AF$500,0),"")</f>
      </c>
      <c r="B95" s="112">
        <f>IF($A95="","",$B$3&amp;"."&amp;(ROW()-3))</f>
      </c>
      <c r="C95" s="121">
        <f>IF($A95="","",INDEX(Каталог!$G$4:$G$500,$A95)&amp;"")</f>
      </c>
      <c r="D95" s="124"/>
      <c r="E95" s="122">
        <f>IF($A95="","",INDEX(Каталог!$H$4:$H$500,$A95)&amp;"")</f>
      </c>
      <c r="F95" s="123">
        <f>IF($A95="","",INDEX(Каталог!$B$4:$B$500,$A95)&amp;"")</f>
      </c>
      <c r="G95" s="123">
        <f>IF($A95="","",INDEX(Каталог!$M$4:$M$500,$A95)&amp;"")</f>
      </c>
      <c r="H95" s="123">
        <f>IF($A95="","",INDEX(Каталог!$P$4:$P$500,$A95))</f>
      </c>
      <c r="I95" s="10"/>
      <c r="J95" s="10"/>
    </row>
    <row r="96">
      <c r="A96" s="112">
        <f>IFERROR(MATCH(ROW()-3,Каталог!$AF$4:$AF$500,0),"")</f>
      </c>
      <c r="B96" s="112">
        <f>IF($A96="","",$B$3&amp;"."&amp;(ROW()-3))</f>
      </c>
      <c r="C96" s="121">
        <f>IF($A96="","",INDEX(Каталог!$G$4:$G$500,$A96)&amp;"")</f>
      </c>
      <c r="D96" s="124"/>
      <c r="E96" s="122">
        <f>IF($A96="","",INDEX(Каталог!$H$4:$H$500,$A96)&amp;"")</f>
      </c>
      <c r="F96" s="123">
        <f>IF($A96="","",INDEX(Каталог!$B$4:$B$500,$A96)&amp;"")</f>
      </c>
      <c r="G96" s="123">
        <f>IF($A96="","",INDEX(Каталог!$M$4:$M$500,$A96)&amp;"")</f>
      </c>
      <c r="H96" s="123">
        <f>IF($A96="","",INDEX(Каталог!$P$4:$P$500,$A96))</f>
      </c>
      <c r="I96" s="10"/>
      <c r="J96" s="10"/>
    </row>
    <row r="97">
      <c r="A97" s="112">
        <f>IFERROR(MATCH(ROW()-3,Каталог!$AF$4:$AF$500,0),"")</f>
      </c>
      <c r="B97" s="112">
        <f>IF($A97="","",$B$3&amp;"."&amp;(ROW()-3))</f>
      </c>
      <c r="C97" s="121">
        <f>IF($A97="","",INDEX(Каталог!$G$4:$G$500,$A97)&amp;"")</f>
      </c>
      <c r="D97" s="124"/>
      <c r="E97" s="122">
        <f>IF($A97="","",INDEX(Каталог!$H$4:$H$500,$A97)&amp;"")</f>
      </c>
      <c r="F97" s="123">
        <f>IF($A97="","",INDEX(Каталог!$B$4:$B$500,$A97)&amp;"")</f>
      </c>
      <c r="G97" s="123">
        <f>IF($A97="","",INDEX(Каталог!$M$4:$M$500,$A97)&amp;"")</f>
      </c>
      <c r="H97" s="123">
        <f>IF($A97="","",INDEX(Каталог!$P$4:$P$500,$A97))</f>
      </c>
      <c r="I97" s="10"/>
      <c r="J97" s="10"/>
    </row>
    <row r="98">
      <c r="A98" s="112">
        <f>IFERROR(MATCH(ROW()-3,Каталог!$AF$4:$AF$500,0),"")</f>
      </c>
      <c r="B98" s="112">
        <f>IF($A98="","",$B$3&amp;"."&amp;(ROW()-3))</f>
      </c>
      <c r="C98" s="121">
        <f>IF($A98="","",INDEX(Каталог!$G$4:$G$500,$A98)&amp;"")</f>
      </c>
      <c r="D98" s="124"/>
      <c r="E98" s="122">
        <f>IF($A98="","",INDEX(Каталог!$H$4:$H$500,$A98)&amp;"")</f>
      </c>
      <c r="F98" s="123">
        <f>IF($A98="","",INDEX(Каталог!$B$4:$B$500,$A98)&amp;"")</f>
      </c>
      <c r="G98" s="123">
        <f>IF($A98="","",INDEX(Каталог!$M$4:$M$500,$A98)&amp;"")</f>
      </c>
      <c r="H98" s="123">
        <f>IF($A98="","",INDEX(Каталог!$P$4:$P$500,$A98))</f>
      </c>
      <c r="I98" s="10"/>
      <c r="J98" s="10"/>
    </row>
    <row r="99">
      <c r="A99" s="112">
        <f>IFERROR(MATCH(ROW()-3,Каталог!$AF$4:$AF$500,0),"")</f>
      </c>
      <c r="B99" s="112">
        <f>IF($A99="","",$B$3&amp;"."&amp;(ROW()-3))</f>
      </c>
      <c r="C99" s="121">
        <f>IF($A99="","",INDEX(Каталог!$G$4:$G$500,$A99)&amp;"")</f>
      </c>
      <c r="D99" s="124"/>
      <c r="E99" s="122">
        <f>IF($A99="","",INDEX(Каталог!$H$4:$H$500,$A99)&amp;"")</f>
      </c>
      <c r="F99" s="123">
        <f>IF($A99="","",INDEX(Каталог!$B$4:$B$500,$A99)&amp;"")</f>
      </c>
      <c r="G99" s="123">
        <f>IF($A99="","",INDEX(Каталог!$M$4:$M$500,$A99)&amp;"")</f>
      </c>
      <c r="H99" s="123">
        <f>IF($A99="","",INDEX(Каталог!$P$4:$P$500,$A99))</f>
      </c>
      <c r="I99" s="10"/>
      <c r="J99" s="10"/>
    </row>
    <row r="100">
      <c r="A100" s="112">
        <f>IFERROR(MATCH(ROW()-3,Каталог!$AF$4:$AF$500,0),"")</f>
      </c>
      <c r="B100" s="112">
        <f>IF($A100="","",$B$3&amp;"."&amp;(ROW()-3))</f>
      </c>
      <c r="C100" s="121">
        <f>IF($A100="","",INDEX(Каталог!$G$4:$G$500,$A100)&amp;"")</f>
      </c>
      <c r="D100" s="124"/>
      <c r="E100" s="122">
        <f>IF($A100="","",INDEX(Каталог!$H$4:$H$500,$A100)&amp;"")</f>
      </c>
      <c r="F100" s="123">
        <f>IF($A100="","",INDEX(Каталог!$B$4:$B$500,$A100)&amp;"")</f>
      </c>
      <c r="G100" s="123">
        <f>IF($A100="","",INDEX(Каталог!$M$4:$M$500,$A100)&amp;"")</f>
      </c>
      <c r="H100" s="123">
        <f>IF($A100="","",INDEX(Каталог!$P$4:$P$500,$A100))</f>
      </c>
      <c r="I100" s="10"/>
      <c r="J100" s="10"/>
    </row>
    <row r="101">
      <c r="A101" s="112">
        <f>IFERROR(MATCH(ROW()-3,Каталог!$AF$4:$AF$500,0),"")</f>
      </c>
      <c r="B101" s="112">
        <f>IF($A101="","",$B$3&amp;"."&amp;(ROW()-3))</f>
      </c>
      <c r="C101" s="121">
        <f>IF($A101="","",INDEX(Каталог!$G$4:$G$500,$A101)&amp;"")</f>
      </c>
      <c r="D101" s="124"/>
      <c r="E101" s="122">
        <f>IF($A101="","",INDEX(Каталог!$H$4:$H$500,$A101)&amp;"")</f>
      </c>
      <c r="F101" s="123">
        <f>IF($A101="","",INDEX(Каталог!$B$4:$B$500,$A101)&amp;"")</f>
      </c>
      <c r="G101" s="123">
        <f>IF($A101="","",INDEX(Каталог!$M$4:$M$500,$A101)&amp;"")</f>
      </c>
      <c r="H101" s="123">
        <f>IF($A101="","",INDEX(Каталог!$P$4:$P$500,$A101))</f>
      </c>
      <c r="I101" s="10"/>
      <c r="J101" s="10"/>
    </row>
    <row r="102">
      <c r="A102" s="112">
        <f>IFERROR(MATCH(ROW()-3,Каталог!$AF$4:$AF$500,0),"")</f>
      </c>
      <c r="B102" s="112">
        <f>IF($A102="","",$B$3&amp;"."&amp;(ROW()-3))</f>
      </c>
      <c r="C102" s="121">
        <f>IF($A102="","",INDEX(Каталог!$G$4:$G$500,$A102)&amp;"")</f>
      </c>
      <c r="D102" s="124"/>
      <c r="E102" s="122">
        <f>IF($A102="","",INDEX(Каталог!$H$4:$H$500,$A102)&amp;"")</f>
      </c>
      <c r="F102" s="123">
        <f>IF($A102="","",INDEX(Каталог!$B$4:$B$500,$A102)&amp;"")</f>
      </c>
      <c r="G102" s="123">
        <f>IF($A102="","",INDEX(Каталог!$M$4:$M$500,$A102)&amp;"")</f>
      </c>
      <c r="H102" s="123">
        <f>IF($A102="","",INDEX(Каталог!$P$4:$P$500,$A102))</f>
      </c>
      <c r="I102" s="10"/>
      <c r="J102" s="10"/>
    </row>
    <row r="103">
      <c r="A103" s="112">
        <f>IFERROR(MATCH(ROW()-3,Каталог!$AF$4:$AF$500,0),"")</f>
      </c>
      <c r="B103" s="112">
        <f>IF($A103="","",$B$3&amp;"."&amp;(ROW()-3))</f>
      </c>
      <c r="C103" s="121">
        <f>IF($A103="","",INDEX(Каталог!$G$4:$G$500,$A103)&amp;"")</f>
      </c>
      <c r="D103" s="124"/>
      <c r="E103" s="122">
        <f>IF($A103="","",INDEX(Каталог!$H$4:$H$500,$A103)&amp;"")</f>
      </c>
      <c r="F103" s="123">
        <f>IF($A103="","",INDEX(Каталог!$B$4:$B$500,$A103)&amp;"")</f>
      </c>
      <c r="G103" s="123">
        <f>IF($A103="","",INDEX(Каталог!$M$4:$M$500,$A103)&amp;"")</f>
      </c>
      <c r="H103" s="123">
        <f>IF($A103="","",INDEX(Каталог!$P$4:$P$500,$A103))</f>
      </c>
      <c r="I103" s="10"/>
      <c r="J103" s="10"/>
    </row>
    <row r="104">
      <c r="A104" s="112">
        <f>IFERROR(MATCH(ROW()-3,Каталог!$AF$4:$AF$500,0),"")</f>
      </c>
      <c r="B104" s="112">
        <f>IF($A104="","",$B$3&amp;"."&amp;(ROW()-3))</f>
      </c>
      <c r="C104" s="121">
        <f>IF($A104="","",INDEX(Каталог!$G$4:$G$500,$A104)&amp;"")</f>
      </c>
      <c r="D104" s="124"/>
      <c r="E104" s="122">
        <f>IF($A104="","",INDEX(Каталог!$H$4:$H$500,$A104)&amp;"")</f>
      </c>
      <c r="F104" s="123">
        <f>IF($A104="","",INDEX(Каталог!$B$4:$B$500,$A104)&amp;"")</f>
      </c>
      <c r="G104" s="123">
        <f>IF($A104="","",INDEX(Каталог!$M$4:$M$500,$A104)&amp;"")</f>
      </c>
      <c r="H104" s="123">
        <f>IF($A104="","",INDEX(Каталог!$P$4:$P$500,$A104))</f>
      </c>
      <c r="I104" s="10"/>
      <c r="J104" s="10"/>
    </row>
    <row r="105">
      <c r="A105" s="112">
        <f>IFERROR(MATCH(ROW()-3,Каталог!$AF$4:$AF$500,0),"")</f>
      </c>
      <c r="B105" s="112">
        <f>IF($A105="","",$B$3&amp;"."&amp;(ROW()-3))</f>
      </c>
      <c r="C105" s="121">
        <f>IF($A105="","",INDEX(Каталог!$G$4:$G$500,$A105)&amp;"")</f>
      </c>
      <c r="D105" s="124"/>
      <c r="E105" s="122">
        <f>IF($A105="","",INDEX(Каталог!$H$4:$H$500,$A105)&amp;"")</f>
      </c>
      <c r="F105" s="123">
        <f>IF($A105="","",INDEX(Каталог!$B$4:$B$500,$A105)&amp;"")</f>
      </c>
      <c r="G105" s="123">
        <f>IF($A105="","",INDEX(Каталог!$M$4:$M$500,$A105)&amp;"")</f>
      </c>
      <c r="H105" s="123">
        <f>IF($A105="","",INDEX(Каталог!$P$4:$P$500,$A105))</f>
      </c>
      <c r="I105" s="10"/>
      <c r="J105" s="10"/>
    </row>
    <row r="106">
      <c r="A106" s="112">
        <f>IFERROR(MATCH(ROW()-3,Каталог!$AF$4:$AF$500,0),"")</f>
      </c>
      <c r="B106" s="112">
        <f>IF($A106="","",$B$3&amp;"."&amp;(ROW()-3))</f>
      </c>
      <c r="C106" s="121">
        <f>IF($A106="","",INDEX(Каталог!$G$4:$G$500,$A106)&amp;"")</f>
      </c>
      <c r="D106" s="124"/>
      <c r="E106" s="122">
        <f>IF($A106="","",INDEX(Каталог!$H$4:$H$500,$A106)&amp;"")</f>
      </c>
      <c r="F106" s="123">
        <f>IF($A106="","",INDEX(Каталог!$B$4:$B$500,$A106)&amp;"")</f>
      </c>
      <c r="G106" s="123">
        <f>IF($A106="","",INDEX(Каталог!$M$4:$M$500,$A106)&amp;"")</f>
      </c>
      <c r="H106" s="123">
        <f>IF($A106="","",INDEX(Каталог!$P$4:$P$500,$A106))</f>
      </c>
      <c r="I106" s="10"/>
      <c r="J106" s="10"/>
    </row>
    <row r="107">
      <c r="A107" s="112">
        <f>IFERROR(MATCH(ROW()-3,Каталог!$AF$4:$AF$500,0),"")</f>
      </c>
      <c r="B107" s="112">
        <f>IF($A107="","",$B$3&amp;"."&amp;(ROW()-3))</f>
      </c>
      <c r="C107" s="121">
        <f>IF($A107="","",INDEX(Каталог!$G$4:$G$500,$A107)&amp;"")</f>
      </c>
      <c r="D107" s="124"/>
      <c r="E107" s="122">
        <f>IF($A107="","",INDEX(Каталог!$H$4:$H$500,$A107)&amp;"")</f>
      </c>
      <c r="F107" s="123">
        <f>IF($A107="","",INDEX(Каталог!$B$4:$B$500,$A107)&amp;"")</f>
      </c>
      <c r="G107" s="123">
        <f>IF($A107="","",INDEX(Каталог!$M$4:$M$500,$A107)&amp;"")</f>
      </c>
      <c r="H107" s="123">
        <f>IF($A107="","",INDEX(Каталог!$P$4:$P$500,$A107))</f>
      </c>
      <c r="I107" s="10"/>
      <c r="J107" s="10"/>
    </row>
    <row r="108">
      <c r="A108" s="112">
        <f>IFERROR(MATCH(ROW()-3,Каталог!$AF$4:$AF$500,0),"")</f>
      </c>
      <c r="B108" s="112">
        <f>IF($A108="","",$B$3&amp;"."&amp;(ROW()-3))</f>
      </c>
      <c r="C108" s="121">
        <f>IF($A108="","",INDEX(Каталог!$G$4:$G$500,$A108)&amp;"")</f>
      </c>
      <c r="D108" s="124"/>
      <c r="E108" s="122">
        <f>IF($A108="","",INDEX(Каталог!$H$4:$H$500,$A108)&amp;"")</f>
      </c>
      <c r="F108" s="123">
        <f>IF($A108="","",INDEX(Каталог!$B$4:$B$500,$A108)&amp;"")</f>
      </c>
      <c r="G108" s="123">
        <f>IF($A108="","",INDEX(Каталог!$M$4:$M$500,$A108)&amp;"")</f>
      </c>
      <c r="H108" s="123">
        <f>IF($A108="","",INDEX(Каталог!$P$4:$P$500,$A108))</f>
      </c>
      <c r="I108" s="10"/>
      <c r="J108" s="10"/>
    </row>
    <row r="109">
      <c r="A109" s="112">
        <f>IFERROR(MATCH(ROW()-3,Каталог!$AF$4:$AF$500,0),"")</f>
      </c>
      <c r="B109" s="112">
        <f>IF($A109="","",$B$3&amp;"."&amp;(ROW()-3))</f>
      </c>
      <c r="C109" s="121">
        <f>IF($A109="","",INDEX(Каталог!$G$4:$G$500,$A109)&amp;"")</f>
      </c>
      <c r="D109" s="124"/>
      <c r="E109" s="122">
        <f>IF($A109="","",INDEX(Каталог!$H$4:$H$500,$A109)&amp;"")</f>
      </c>
      <c r="F109" s="123">
        <f>IF($A109="","",INDEX(Каталог!$B$4:$B$500,$A109)&amp;"")</f>
      </c>
      <c r="G109" s="123">
        <f>IF($A109="","",INDEX(Каталог!$M$4:$M$500,$A109)&amp;"")</f>
      </c>
      <c r="H109" s="123">
        <f>IF($A109="","",INDEX(Каталог!$P$4:$P$500,$A109))</f>
      </c>
      <c r="I109" s="10"/>
      <c r="J109" s="10"/>
    </row>
    <row r="110">
      <c r="A110" s="112">
        <f>IFERROR(MATCH(ROW()-3,Каталог!$AF$4:$AF$500,0),"")</f>
      </c>
      <c r="B110" s="112">
        <f>IF($A110="","",$B$3&amp;"."&amp;(ROW()-3))</f>
      </c>
      <c r="C110" s="121">
        <f>IF($A110="","",INDEX(Каталог!$G$4:$G$500,$A110)&amp;"")</f>
      </c>
      <c r="D110" s="124"/>
      <c r="E110" s="122">
        <f>IF($A110="","",INDEX(Каталог!$H$4:$H$500,$A110)&amp;"")</f>
      </c>
      <c r="F110" s="123">
        <f>IF($A110="","",INDEX(Каталог!$B$4:$B$500,$A110)&amp;"")</f>
      </c>
      <c r="G110" s="123">
        <f>IF($A110="","",INDEX(Каталог!$M$4:$M$500,$A110)&amp;"")</f>
      </c>
      <c r="H110" s="123">
        <f>IF($A110="","",INDEX(Каталог!$P$4:$P$500,$A110))</f>
      </c>
      <c r="I110" s="10"/>
      <c r="J110" s="10"/>
    </row>
    <row r="111">
      <c r="A111" s="112">
        <f>IFERROR(MATCH(ROW()-3,Каталог!$AF$4:$AF$500,0),"")</f>
      </c>
      <c r="B111" s="112">
        <f>IF($A111="","",$B$3&amp;"."&amp;(ROW()-3))</f>
      </c>
      <c r="C111" s="121">
        <f>IF($A111="","",INDEX(Каталог!$G$4:$G$500,$A111)&amp;"")</f>
      </c>
      <c r="D111" s="124"/>
      <c r="E111" s="122">
        <f>IF($A111="","",INDEX(Каталог!$H$4:$H$500,$A111)&amp;"")</f>
      </c>
      <c r="F111" s="123">
        <f>IF($A111="","",INDEX(Каталог!$B$4:$B$500,$A111)&amp;"")</f>
      </c>
      <c r="G111" s="123">
        <f>IF($A111="","",INDEX(Каталог!$M$4:$M$500,$A111)&amp;"")</f>
      </c>
      <c r="H111" s="123">
        <f>IF($A111="","",INDEX(Каталог!$P$4:$P$500,$A111))</f>
      </c>
      <c r="I111" s="10"/>
      <c r="J111" s="10"/>
    </row>
    <row r="112">
      <c r="A112" s="112">
        <f>IFERROR(MATCH(ROW()-3,Каталог!$AF$4:$AF$500,0),"")</f>
      </c>
      <c r="B112" s="112">
        <f>IF($A112="","",$B$3&amp;"."&amp;(ROW()-3))</f>
      </c>
      <c r="C112" s="121">
        <f>IF($A112="","",INDEX(Каталог!$G$4:$G$500,$A112)&amp;"")</f>
      </c>
      <c r="D112" s="124"/>
      <c r="E112" s="122">
        <f>IF($A112="","",INDEX(Каталог!$H$4:$H$500,$A112)&amp;"")</f>
      </c>
      <c r="F112" s="123">
        <f>IF($A112="","",INDEX(Каталог!$B$4:$B$500,$A112)&amp;"")</f>
      </c>
      <c r="G112" s="123">
        <f>IF($A112="","",INDEX(Каталог!$M$4:$M$500,$A112)&amp;"")</f>
      </c>
      <c r="H112" s="123">
        <f>IF($A112="","",INDEX(Каталог!$P$4:$P$500,$A112))</f>
      </c>
      <c r="I112" s="10"/>
      <c r="J112" s="10"/>
    </row>
    <row r="113">
      <c r="A113" s="112">
        <f>IFERROR(MATCH(ROW()-3,Каталог!$AF$4:$AF$500,0),"")</f>
      </c>
      <c r="B113" s="112">
        <f>IF($A113="","",$B$3&amp;"."&amp;(ROW()-3))</f>
      </c>
      <c r="C113" s="121">
        <f>IF($A113="","",INDEX(Каталог!$G$4:$G$500,$A113)&amp;"")</f>
      </c>
      <c r="D113" s="124"/>
      <c r="E113" s="122">
        <f>IF($A113="","",INDEX(Каталог!$H$4:$H$500,$A113)&amp;"")</f>
      </c>
      <c r="F113" s="123">
        <f>IF($A113="","",INDEX(Каталог!$B$4:$B$500,$A113)&amp;"")</f>
      </c>
      <c r="G113" s="123">
        <f>IF($A113="","",INDEX(Каталог!$M$4:$M$500,$A113)&amp;"")</f>
      </c>
      <c r="H113" s="123">
        <f>IF($A113="","",INDEX(Каталог!$P$4:$P$500,$A113))</f>
      </c>
      <c r="I113" s="10"/>
      <c r="J113" s="10"/>
    </row>
    <row r="114">
      <c r="A114" s="112">
        <f>IFERROR(MATCH(ROW()-3,Каталог!$AF$4:$AF$500,0),"")</f>
      </c>
      <c r="B114" s="112">
        <f>IF($A114="","",$B$3&amp;"."&amp;(ROW()-3))</f>
      </c>
      <c r="C114" s="121">
        <f>IF($A114="","",INDEX(Каталог!$G$4:$G$500,$A114)&amp;"")</f>
      </c>
      <c r="D114" s="124"/>
      <c r="E114" s="122">
        <f>IF($A114="","",INDEX(Каталог!$H$4:$H$500,$A114)&amp;"")</f>
      </c>
      <c r="F114" s="123">
        <f>IF($A114="","",INDEX(Каталог!$B$4:$B$500,$A114)&amp;"")</f>
      </c>
      <c r="G114" s="123">
        <f>IF($A114="","",INDEX(Каталог!$M$4:$M$500,$A114)&amp;"")</f>
      </c>
      <c r="H114" s="123">
        <f>IF($A114="","",INDEX(Каталог!$P$4:$P$500,$A114))</f>
      </c>
      <c r="I114" s="10"/>
      <c r="J114" s="10"/>
    </row>
    <row r="115">
      <c r="A115" s="112">
        <f>IFERROR(MATCH(ROW()-3,Каталог!$AF$4:$AF$500,0),"")</f>
      </c>
      <c r="B115" s="112">
        <f>IF($A115="","",$B$3&amp;"."&amp;(ROW()-3))</f>
      </c>
      <c r="C115" s="121">
        <f>IF($A115="","",INDEX(Каталог!$G$4:$G$500,$A115)&amp;"")</f>
      </c>
      <c r="D115" s="124"/>
      <c r="E115" s="122">
        <f>IF($A115="","",INDEX(Каталог!$H$4:$H$500,$A115)&amp;"")</f>
      </c>
      <c r="F115" s="123">
        <f>IF($A115="","",INDEX(Каталог!$B$4:$B$500,$A115)&amp;"")</f>
      </c>
      <c r="G115" s="123">
        <f>IF($A115="","",INDEX(Каталог!$M$4:$M$500,$A115)&amp;"")</f>
      </c>
      <c r="H115" s="123">
        <f>IF($A115="","",INDEX(Каталог!$P$4:$P$500,$A115))</f>
      </c>
      <c r="I115" s="10"/>
      <c r="J115" s="10"/>
    </row>
    <row r="116">
      <c r="A116" s="112">
        <f>IFERROR(MATCH(ROW()-3,Каталог!$AF$4:$AF$500,0),"")</f>
      </c>
      <c r="B116" s="112">
        <f>IF($A116="","",$B$3&amp;"."&amp;(ROW()-3))</f>
      </c>
      <c r="C116" s="121">
        <f>IF($A116="","",INDEX(Каталог!$G$4:$G$500,$A116)&amp;"")</f>
      </c>
      <c r="D116" s="124"/>
      <c r="E116" s="122">
        <f>IF($A116="","",INDEX(Каталог!$H$4:$H$500,$A116)&amp;"")</f>
      </c>
      <c r="F116" s="123">
        <f>IF($A116="","",INDEX(Каталог!$B$4:$B$500,$A116)&amp;"")</f>
      </c>
      <c r="G116" s="123">
        <f>IF($A116="","",INDEX(Каталог!$M$4:$M$500,$A116)&amp;"")</f>
      </c>
      <c r="H116" s="123">
        <f>IF($A116="","",INDEX(Каталог!$P$4:$P$500,$A116))</f>
      </c>
      <c r="I116" s="10"/>
      <c r="J116" s="10"/>
    </row>
    <row r="117">
      <c r="A117" s="112">
        <f>IFERROR(MATCH(ROW()-3,Каталог!$AF$4:$AF$500,0),"")</f>
      </c>
      <c r="B117" s="112">
        <f>IF($A117="","",$B$3&amp;"."&amp;(ROW()-3))</f>
      </c>
      <c r="C117" s="121">
        <f>IF($A117="","",INDEX(Каталог!$G$4:$G$500,$A117)&amp;"")</f>
      </c>
      <c r="D117" s="124"/>
      <c r="E117" s="122">
        <f>IF($A117="","",INDEX(Каталог!$H$4:$H$500,$A117)&amp;"")</f>
      </c>
      <c r="F117" s="123">
        <f>IF($A117="","",INDEX(Каталог!$B$4:$B$500,$A117)&amp;"")</f>
      </c>
      <c r="G117" s="123">
        <f>IF($A117="","",INDEX(Каталог!$M$4:$M$500,$A117)&amp;"")</f>
      </c>
      <c r="H117" s="123">
        <f>IF($A117="","",INDEX(Каталог!$P$4:$P$500,$A117))</f>
      </c>
      <c r="I117" s="10"/>
      <c r="J117" s="10"/>
    </row>
    <row r="118">
      <c r="A118" s="112">
        <f>IFERROR(MATCH(ROW()-3,Каталог!$AF$4:$AF$500,0),"")</f>
      </c>
      <c r="B118" s="112">
        <f>IF($A118="","",$B$3&amp;"."&amp;(ROW()-3))</f>
      </c>
      <c r="C118" s="121">
        <f>IF($A118="","",INDEX(Каталог!$G$4:$G$500,$A118)&amp;"")</f>
      </c>
      <c r="D118" s="124"/>
      <c r="E118" s="122">
        <f>IF($A118="","",INDEX(Каталог!$H$4:$H$500,$A118)&amp;"")</f>
      </c>
      <c r="F118" s="123">
        <f>IF($A118="","",INDEX(Каталог!$B$4:$B$500,$A118)&amp;"")</f>
      </c>
      <c r="G118" s="123">
        <f>IF($A118="","",INDEX(Каталог!$M$4:$M$500,$A118)&amp;"")</f>
      </c>
      <c r="H118" s="123">
        <f>IF($A118="","",INDEX(Каталог!$P$4:$P$500,$A118))</f>
      </c>
      <c r="I118" s="10"/>
      <c r="J118" s="10"/>
    </row>
    <row r="119">
      <c r="A119" s="112">
        <f>IFERROR(MATCH(ROW()-3,Каталог!$AF$4:$AF$500,0),"")</f>
      </c>
      <c r="B119" s="112">
        <f>IF($A119="","",$B$3&amp;"."&amp;(ROW()-3))</f>
      </c>
      <c r="C119" s="121">
        <f>IF($A119="","",INDEX(Каталог!$G$4:$G$500,$A119)&amp;"")</f>
      </c>
      <c r="D119" s="124"/>
      <c r="E119" s="122">
        <f>IF($A119="","",INDEX(Каталог!$H$4:$H$500,$A119)&amp;"")</f>
      </c>
      <c r="F119" s="123">
        <f>IF($A119="","",INDEX(Каталог!$B$4:$B$500,$A119)&amp;"")</f>
      </c>
      <c r="G119" s="123">
        <f>IF($A119="","",INDEX(Каталог!$M$4:$M$500,$A119)&amp;"")</f>
      </c>
      <c r="H119" s="123">
        <f>IF($A119="","",INDEX(Каталог!$P$4:$P$500,$A119))</f>
      </c>
      <c r="I119" s="10"/>
      <c r="J119" s="10"/>
    </row>
    <row r="120">
      <c r="A120" s="112">
        <f>IFERROR(MATCH(ROW()-3,Каталог!$AF$4:$AF$500,0),"")</f>
      </c>
      <c r="B120" s="112">
        <f>IF($A120="","",$B$3&amp;"."&amp;(ROW()-3))</f>
      </c>
      <c r="C120" s="121">
        <f>IF($A120="","",INDEX(Каталог!$G$4:$G$500,$A120)&amp;"")</f>
      </c>
      <c r="D120" s="124"/>
      <c r="E120" s="122">
        <f>IF($A120="","",INDEX(Каталог!$H$4:$H$500,$A120)&amp;"")</f>
      </c>
      <c r="F120" s="123">
        <f>IF($A120="","",INDEX(Каталог!$B$4:$B$500,$A120)&amp;"")</f>
      </c>
      <c r="G120" s="123">
        <f>IF($A120="","",INDEX(Каталог!$M$4:$M$500,$A120)&amp;"")</f>
      </c>
      <c r="H120" s="123">
        <f>IF($A120="","",INDEX(Каталог!$P$4:$P$500,$A120))</f>
      </c>
      <c r="I120" s="10"/>
      <c r="J120" s="10"/>
    </row>
    <row r="121">
      <c r="A121" s="112">
        <f>IFERROR(MATCH(ROW()-3,Каталог!$AF$4:$AF$500,0),"")</f>
      </c>
      <c r="B121" s="112">
        <f>IF($A121="","",$B$3&amp;"."&amp;(ROW()-3))</f>
      </c>
      <c r="C121" s="121">
        <f>IF($A121="","",INDEX(Каталог!$G$4:$G$500,$A121)&amp;"")</f>
      </c>
      <c r="D121" s="124"/>
      <c r="E121" s="122">
        <f>IF($A121="","",INDEX(Каталог!$H$4:$H$500,$A121)&amp;"")</f>
      </c>
      <c r="F121" s="123">
        <f>IF($A121="","",INDEX(Каталог!$B$4:$B$500,$A121)&amp;"")</f>
      </c>
      <c r="G121" s="123">
        <f>IF($A121="","",INDEX(Каталог!$M$4:$M$500,$A121)&amp;"")</f>
      </c>
      <c r="H121" s="123">
        <f>IF($A121="","",INDEX(Каталог!$P$4:$P$500,$A121))</f>
      </c>
      <c r="I121" s="10"/>
      <c r="J121" s="10"/>
    </row>
    <row r="122">
      <c r="A122" s="112">
        <f>IFERROR(MATCH(ROW()-3,Каталог!$AF$4:$AF$500,0),"")</f>
      </c>
      <c r="B122" s="112">
        <f>IF($A122="","",$B$3&amp;"."&amp;(ROW()-3))</f>
      </c>
      <c r="C122" s="121">
        <f>IF($A122="","",INDEX(Каталог!$G$4:$G$500,$A122)&amp;"")</f>
      </c>
      <c r="D122" s="124"/>
      <c r="E122" s="122">
        <f>IF($A122="","",INDEX(Каталог!$H$4:$H$500,$A122)&amp;"")</f>
      </c>
      <c r="F122" s="123">
        <f>IF($A122="","",INDEX(Каталог!$B$4:$B$500,$A122)&amp;"")</f>
      </c>
      <c r="G122" s="123">
        <f>IF($A122="","",INDEX(Каталог!$M$4:$M$500,$A122)&amp;"")</f>
      </c>
      <c r="H122" s="123">
        <f>IF($A122="","",INDEX(Каталог!$P$4:$P$500,$A122))</f>
      </c>
      <c r="I122" s="10"/>
      <c r="J122" s="10"/>
    </row>
    <row r="123">
      <c r="A123" s="112">
        <f>IFERROR(MATCH(ROW()-3,Каталог!$AF$4:$AF$500,0),"")</f>
      </c>
      <c r="B123" s="112">
        <f>IF($A123="","",$B$3&amp;"."&amp;(ROW()-3))</f>
      </c>
      <c r="C123" s="121">
        <f>IF($A123="","",INDEX(Каталог!$G$4:$G$500,$A123)&amp;"")</f>
      </c>
      <c r="D123" s="124"/>
      <c r="E123" s="122">
        <f>IF($A123="","",INDEX(Каталог!$H$4:$H$500,$A123)&amp;"")</f>
      </c>
      <c r="F123" s="123">
        <f>IF($A123="","",INDEX(Каталог!$B$4:$B$500,$A123)&amp;"")</f>
      </c>
      <c r="G123" s="123">
        <f>IF($A123="","",INDEX(Каталог!$M$4:$M$500,$A123)&amp;"")</f>
      </c>
      <c r="H123" s="123">
        <f>IF($A123="","",INDEX(Каталог!$P$4:$P$500,$A123))</f>
      </c>
      <c r="I123" s="10"/>
      <c r="J123" s="10"/>
    </row>
    <row r="124">
      <c r="A124" s="112">
        <f>IFERROR(MATCH(ROW()-3,Каталог!$AF$4:$AF$500,0),"")</f>
      </c>
      <c r="B124" s="112">
        <f>IF($A124="","",$B$3&amp;"."&amp;(ROW()-3))</f>
      </c>
      <c r="C124" s="121">
        <f>IF($A124="","",INDEX(Каталог!$G$4:$G$500,$A124)&amp;"")</f>
      </c>
      <c r="D124" s="124"/>
      <c r="E124" s="122">
        <f>IF($A124="","",INDEX(Каталог!$H$4:$H$500,$A124)&amp;"")</f>
      </c>
      <c r="F124" s="123">
        <f>IF($A124="","",INDEX(Каталог!$B$4:$B$500,$A124)&amp;"")</f>
      </c>
      <c r="G124" s="123">
        <f>IF($A124="","",INDEX(Каталог!$M$4:$M$500,$A124)&amp;"")</f>
      </c>
      <c r="H124" s="123">
        <f>IF($A124="","",INDEX(Каталог!$P$4:$P$500,$A124))</f>
      </c>
      <c r="I124" s="10"/>
      <c r="J124" s="10"/>
    </row>
    <row r="125">
      <c r="A125" s="112">
        <f>IFERROR(MATCH(ROW()-3,Каталог!$AF$4:$AF$500,0),"")</f>
      </c>
      <c r="B125" s="112">
        <f>IF($A125="","",$B$3&amp;"."&amp;(ROW()-3))</f>
      </c>
      <c r="C125" s="121">
        <f>IF($A125="","",INDEX(Каталог!$G$4:$G$500,$A125)&amp;"")</f>
      </c>
      <c r="D125" s="124"/>
      <c r="E125" s="122">
        <f>IF($A125="","",INDEX(Каталог!$H$4:$H$500,$A125)&amp;"")</f>
      </c>
      <c r="F125" s="123">
        <f>IF($A125="","",INDEX(Каталог!$B$4:$B$500,$A125)&amp;"")</f>
      </c>
      <c r="G125" s="123">
        <f>IF($A125="","",INDEX(Каталог!$M$4:$M$500,$A125)&amp;"")</f>
      </c>
      <c r="H125" s="123">
        <f>IF($A125="","",INDEX(Каталог!$P$4:$P$500,$A125))</f>
      </c>
      <c r="I125" s="10"/>
      <c r="J125" s="10"/>
    </row>
    <row r="126">
      <c r="A126" s="112">
        <f>IFERROR(MATCH(ROW()-3,Каталог!$AF$4:$AF$500,0),"")</f>
      </c>
      <c r="B126" s="112">
        <f>IF($A126="","",$B$3&amp;"."&amp;(ROW()-3))</f>
      </c>
      <c r="C126" s="121">
        <f>IF($A126="","",INDEX(Каталог!$G$4:$G$500,$A126)&amp;"")</f>
      </c>
      <c r="D126" s="124"/>
      <c r="E126" s="122">
        <f>IF($A126="","",INDEX(Каталог!$H$4:$H$500,$A126)&amp;"")</f>
      </c>
      <c r="F126" s="123">
        <f>IF($A126="","",INDEX(Каталог!$B$4:$B$500,$A126)&amp;"")</f>
      </c>
      <c r="G126" s="123">
        <f>IF($A126="","",INDEX(Каталог!$M$4:$M$500,$A126)&amp;"")</f>
      </c>
      <c r="H126" s="123">
        <f>IF($A126="","",INDEX(Каталог!$P$4:$P$500,$A126))</f>
      </c>
      <c r="I126" s="10"/>
      <c r="J126" s="10"/>
    </row>
    <row r="127">
      <c r="A127" s="112">
        <f>IFERROR(MATCH(ROW()-3,Каталог!$AF$4:$AF$500,0),"")</f>
      </c>
      <c r="B127" s="112">
        <f>IF($A127="","",$B$3&amp;"."&amp;(ROW()-3))</f>
      </c>
      <c r="C127" s="121">
        <f>IF($A127="","",INDEX(Каталог!$G$4:$G$500,$A127)&amp;"")</f>
      </c>
      <c r="D127" s="124"/>
      <c r="E127" s="122">
        <f>IF($A127="","",INDEX(Каталог!$H$4:$H$500,$A127)&amp;"")</f>
      </c>
      <c r="F127" s="123">
        <f>IF($A127="","",INDEX(Каталог!$B$4:$B$500,$A127)&amp;"")</f>
      </c>
      <c r="G127" s="123">
        <f>IF($A127="","",INDEX(Каталог!$M$4:$M$500,$A127)&amp;"")</f>
      </c>
      <c r="H127" s="123">
        <f>IF($A127="","",INDEX(Каталог!$P$4:$P$500,$A127))</f>
      </c>
      <c r="I127" s="10"/>
      <c r="J127" s="10"/>
    </row>
    <row r="128">
      <c r="A128" s="112">
        <f>IFERROR(MATCH(ROW()-3,Каталог!$AF$4:$AF$500,0),"")</f>
      </c>
      <c r="B128" s="112">
        <f>IF($A128="","",$B$3&amp;"."&amp;(ROW()-3))</f>
      </c>
      <c r="C128" s="121">
        <f>IF($A128="","",INDEX(Каталог!$G$4:$G$500,$A128)&amp;"")</f>
      </c>
      <c r="D128" s="124"/>
      <c r="E128" s="122">
        <f>IF($A128="","",INDEX(Каталог!$H$4:$H$500,$A128)&amp;"")</f>
      </c>
      <c r="F128" s="123">
        <f>IF($A128="","",INDEX(Каталог!$B$4:$B$500,$A128)&amp;"")</f>
      </c>
      <c r="G128" s="123">
        <f>IF($A128="","",INDEX(Каталог!$M$4:$M$500,$A128)&amp;"")</f>
      </c>
      <c r="H128" s="123">
        <f>IF($A128="","",INDEX(Каталог!$P$4:$P$500,$A128))</f>
      </c>
      <c r="I128" s="10"/>
      <c r="J128" s="10"/>
    </row>
    <row r="129">
      <c r="A129" s="112">
        <f>IFERROR(MATCH(ROW()-3,Каталог!$AF$4:$AF$500,0),"")</f>
      </c>
      <c r="B129" s="112">
        <f>IF($A129="","",$B$3&amp;"."&amp;(ROW()-3))</f>
      </c>
      <c r="C129" s="121">
        <f>IF($A129="","",INDEX(Каталог!$G$4:$G$500,$A129)&amp;"")</f>
      </c>
      <c r="D129" s="124"/>
      <c r="E129" s="122">
        <f>IF($A129="","",INDEX(Каталог!$H$4:$H$500,$A129)&amp;"")</f>
      </c>
      <c r="F129" s="123">
        <f>IF($A129="","",INDEX(Каталог!$B$4:$B$500,$A129)&amp;"")</f>
      </c>
      <c r="G129" s="123">
        <f>IF($A129="","",INDEX(Каталог!$M$4:$M$500,$A129)&amp;"")</f>
      </c>
      <c r="H129" s="123">
        <f>IF($A129="","",INDEX(Каталог!$P$4:$P$500,$A129))</f>
      </c>
      <c r="I129" s="10"/>
      <c r="J129" s="10"/>
    </row>
    <row r="130">
      <c r="A130" s="112">
        <f>IFERROR(MATCH(ROW()-3,Каталог!$AF$4:$AF$500,0),"")</f>
      </c>
      <c r="B130" s="112">
        <f>IF($A130="","",$B$3&amp;"."&amp;(ROW()-3))</f>
      </c>
      <c r="C130" s="121">
        <f>IF($A130="","",INDEX(Каталог!$G$4:$G$500,$A130)&amp;"")</f>
      </c>
      <c r="D130" s="124"/>
      <c r="E130" s="122">
        <f>IF($A130="","",INDEX(Каталог!$H$4:$H$500,$A130)&amp;"")</f>
      </c>
      <c r="F130" s="123">
        <f>IF($A130="","",INDEX(Каталог!$B$4:$B$500,$A130)&amp;"")</f>
      </c>
      <c r="G130" s="123">
        <f>IF($A130="","",INDEX(Каталог!$M$4:$M$500,$A130)&amp;"")</f>
      </c>
      <c r="H130" s="123">
        <f>IF($A130="","",INDEX(Каталог!$P$4:$P$500,$A130))</f>
      </c>
      <c r="I130" s="10"/>
      <c r="J130" s="10"/>
    </row>
    <row r="131">
      <c r="A131" s="112">
        <f>IFERROR(MATCH(ROW()-3,Каталог!$AF$4:$AF$500,0),"")</f>
      </c>
      <c r="B131" s="112">
        <f>IF($A131="","",$B$3&amp;"."&amp;(ROW()-3))</f>
      </c>
      <c r="C131" s="121">
        <f>IF($A131="","",INDEX(Каталог!$G$4:$G$500,$A131)&amp;"")</f>
      </c>
      <c r="D131" s="124"/>
      <c r="E131" s="122">
        <f>IF($A131="","",INDEX(Каталог!$H$4:$H$500,$A131)&amp;"")</f>
      </c>
      <c r="F131" s="123">
        <f>IF($A131="","",INDEX(Каталог!$B$4:$B$500,$A131)&amp;"")</f>
      </c>
      <c r="G131" s="123">
        <f>IF($A131="","",INDEX(Каталог!$M$4:$M$500,$A131)&amp;"")</f>
      </c>
      <c r="H131" s="123">
        <f>IF($A131="","",INDEX(Каталог!$P$4:$P$500,$A131))</f>
      </c>
      <c r="I131" s="10"/>
      <c r="J131" s="10"/>
    </row>
    <row r="132">
      <c r="A132" s="112">
        <f>IFERROR(MATCH(ROW()-3,Каталог!$AF$4:$AF$500,0),"")</f>
      </c>
      <c r="B132" s="112">
        <f>IF($A132="","",$B$3&amp;"."&amp;(ROW()-3))</f>
      </c>
      <c r="C132" s="121">
        <f>IF($A132="","",INDEX(Каталог!$G$4:$G$500,$A132)&amp;"")</f>
      </c>
      <c r="D132" s="124"/>
      <c r="E132" s="122">
        <f>IF($A132="","",INDEX(Каталог!$H$4:$H$500,$A132)&amp;"")</f>
      </c>
      <c r="F132" s="123">
        <f>IF($A132="","",INDEX(Каталог!$B$4:$B$500,$A132)&amp;"")</f>
      </c>
      <c r="G132" s="123">
        <f>IF($A132="","",INDEX(Каталог!$M$4:$M$500,$A132)&amp;"")</f>
      </c>
      <c r="H132" s="123">
        <f>IF($A132="","",INDEX(Каталог!$P$4:$P$500,$A132))</f>
      </c>
      <c r="I132" s="10"/>
      <c r="J132" s="10"/>
    </row>
    <row r="133">
      <c r="A133" s="112">
        <f>IFERROR(MATCH(ROW()-3,Каталог!$AF$4:$AF$500,0),"")</f>
      </c>
      <c r="B133" s="112">
        <f>IF($A133="","",$B$3&amp;"."&amp;(ROW()-3))</f>
      </c>
      <c r="C133" s="121">
        <f>IF($A133="","",INDEX(Каталог!$G$4:$G$500,$A133)&amp;"")</f>
      </c>
      <c r="D133" s="124"/>
      <c r="E133" s="122">
        <f>IF($A133="","",INDEX(Каталог!$H$4:$H$500,$A133)&amp;"")</f>
      </c>
      <c r="F133" s="123">
        <f>IF($A133="","",INDEX(Каталог!$B$4:$B$500,$A133)&amp;"")</f>
      </c>
      <c r="G133" s="123">
        <f>IF($A133="","",INDEX(Каталог!$M$4:$M$500,$A133)&amp;"")</f>
      </c>
      <c r="H133" s="123">
        <f>IF($A133="","",INDEX(Каталог!$P$4:$P$500,$A133))</f>
      </c>
      <c r="I133" s="10"/>
      <c r="J133" s="10"/>
    </row>
    <row r="134">
      <c r="A134" s="112">
        <f>IFERROR(MATCH(ROW()-3,Каталог!$AF$4:$AF$500,0),"")</f>
      </c>
      <c r="B134" s="112">
        <f>IF($A134="","",$B$3&amp;"."&amp;(ROW()-3))</f>
      </c>
      <c r="C134" s="121">
        <f>IF($A134="","",INDEX(Каталог!$G$4:$G$500,$A134)&amp;"")</f>
      </c>
      <c r="D134" s="124"/>
      <c r="E134" s="122">
        <f>IF($A134="","",INDEX(Каталог!$H$4:$H$500,$A134)&amp;"")</f>
      </c>
      <c r="F134" s="123">
        <f>IF($A134="","",INDEX(Каталог!$B$4:$B$500,$A134)&amp;"")</f>
      </c>
      <c r="G134" s="123">
        <f>IF($A134="","",INDEX(Каталог!$M$4:$M$500,$A134)&amp;"")</f>
      </c>
      <c r="H134" s="123">
        <f>IF($A134="","",INDEX(Каталог!$P$4:$P$500,$A134))</f>
      </c>
      <c r="I134" s="10"/>
      <c r="J134" s="10"/>
    </row>
    <row r="135">
      <c r="A135" s="112">
        <f>IFERROR(MATCH(ROW()-3,Каталог!$AF$4:$AF$500,0),"")</f>
      </c>
      <c r="B135" s="112">
        <f>IF($A135="","",$B$3&amp;"."&amp;(ROW()-3))</f>
      </c>
      <c r="C135" s="121">
        <f>IF($A135="","",INDEX(Каталог!$G$4:$G$500,$A135)&amp;"")</f>
      </c>
      <c r="D135" s="124"/>
      <c r="E135" s="122">
        <f>IF($A135="","",INDEX(Каталог!$H$4:$H$500,$A135)&amp;"")</f>
      </c>
      <c r="F135" s="123">
        <f>IF($A135="","",INDEX(Каталог!$B$4:$B$500,$A135)&amp;"")</f>
      </c>
      <c r="G135" s="123">
        <f>IF($A135="","",INDEX(Каталог!$M$4:$M$500,$A135)&amp;"")</f>
      </c>
      <c r="H135" s="123">
        <f>IF($A135="","",INDEX(Каталог!$P$4:$P$500,$A135))</f>
      </c>
      <c r="I135" s="10"/>
      <c r="J135" s="10"/>
    </row>
    <row r="136">
      <c r="A136" s="112">
        <f>IFERROR(MATCH(ROW()-3,Каталог!$AF$4:$AF$500,0),"")</f>
      </c>
      <c r="B136" s="112">
        <f>IF($A136="","",$B$3&amp;"."&amp;(ROW()-3))</f>
      </c>
      <c r="C136" s="121">
        <f>IF($A136="","",INDEX(Каталог!$G$4:$G$500,$A136)&amp;"")</f>
      </c>
      <c r="D136" s="124"/>
      <c r="E136" s="122">
        <f>IF($A136="","",INDEX(Каталог!$H$4:$H$500,$A136)&amp;"")</f>
      </c>
      <c r="F136" s="123">
        <f>IF($A136="","",INDEX(Каталог!$B$4:$B$500,$A136)&amp;"")</f>
      </c>
      <c r="G136" s="123">
        <f>IF($A136="","",INDEX(Каталог!$M$4:$M$500,$A136)&amp;"")</f>
      </c>
      <c r="H136" s="123">
        <f>IF($A136="","",INDEX(Каталог!$P$4:$P$500,$A136))</f>
      </c>
      <c r="I136" s="10"/>
      <c r="J136" s="10"/>
    </row>
    <row r="137">
      <c r="A137" s="112">
        <f>IFERROR(MATCH(ROW()-3,Каталог!$AF$4:$AF$500,0),"")</f>
      </c>
      <c r="B137" s="112">
        <f>IF($A137="","",$B$3&amp;"."&amp;(ROW()-3))</f>
      </c>
      <c r="C137" s="121">
        <f>IF($A137="","",INDEX(Каталог!$G$4:$G$500,$A137)&amp;"")</f>
      </c>
      <c r="D137" s="124"/>
      <c r="E137" s="122">
        <f>IF($A137="","",INDEX(Каталог!$H$4:$H$500,$A137)&amp;"")</f>
      </c>
      <c r="F137" s="123">
        <f>IF($A137="","",INDEX(Каталог!$B$4:$B$500,$A137)&amp;"")</f>
      </c>
      <c r="G137" s="123">
        <f>IF($A137="","",INDEX(Каталог!$M$4:$M$500,$A137)&amp;"")</f>
      </c>
      <c r="H137" s="123">
        <f>IF($A137="","",INDEX(Каталог!$P$4:$P$500,$A137))</f>
      </c>
      <c r="I137" s="10"/>
      <c r="J137" s="10"/>
    </row>
    <row r="138">
      <c r="A138" s="112">
        <f>IFERROR(MATCH(ROW()-3,Каталог!$AF$4:$AF$500,0),"")</f>
      </c>
      <c r="B138" s="112">
        <f>IF($A138="","",$B$3&amp;"."&amp;(ROW()-3))</f>
      </c>
      <c r="C138" s="121">
        <f>IF($A138="","",INDEX(Каталог!$G$4:$G$500,$A138)&amp;"")</f>
      </c>
      <c r="D138" s="124"/>
      <c r="E138" s="122">
        <f>IF($A138="","",INDEX(Каталог!$H$4:$H$500,$A138)&amp;"")</f>
      </c>
      <c r="F138" s="123">
        <f>IF($A138="","",INDEX(Каталог!$B$4:$B$500,$A138)&amp;"")</f>
      </c>
      <c r="G138" s="123">
        <f>IF($A138="","",INDEX(Каталог!$M$4:$M$500,$A138)&amp;"")</f>
      </c>
      <c r="H138" s="123">
        <f>IF($A138="","",INDEX(Каталог!$P$4:$P$500,$A138))</f>
      </c>
      <c r="I138" s="10"/>
      <c r="J138" s="10"/>
    </row>
    <row r="139">
      <c r="A139" s="112">
        <f>IFERROR(MATCH(ROW()-3,Каталог!$AF$4:$AF$500,0),"")</f>
      </c>
      <c r="B139" s="112">
        <f>IF($A139="","",$B$3&amp;"."&amp;(ROW()-3))</f>
      </c>
      <c r="C139" s="121">
        <f>IF($A139="","",INDEX(Каталог!$G$4:$G$500,$A139)&amp;"")</f>
      </c>
      <c r="D139" s="124"/>
      <c r="E139" s="122">
        <f>IF($A139="","",INDEX(Каталог!$H$4:$H$500,$A139)&amp;"")</f>
      </c>
      <c r="F139" s="123">
        <f>IF($A139="","",INDEX(Каталог!$B$4:$B$500,$A139)&amp;"")</f>
      </c>
      <c r="G139" s="123">
        <f>IF($A139="","",INDEX(Каталог!$M$4:$M$500,$A139)&amp;"")</f>
      </c>
      <c r="H139" s="123">
        <f>IF($A139="","",INDEX(Каталог!$P$4:$P$500,$A139))</f>
      </c>
      <c r="I139" s="10"/>
      <c r="J139" s="10"/>
    </row>
    <row r="140">
      <c r="A140" s="112">
        <f>IFERROR(MATCH(ROW()-3,Каталог!$AF$4:$AF$500,0),"")</f>
      </c>
      <c r="B140" s="112">
        <f>IF($A140="","",$B$3&amp;"."&amp;(ROW()-3))</f>
      </c>
      <c r="C140" s="121">
        <f>IF($A140="","",INDEX(Каталог!$G$4:$G$500,$A140)&amp;"")</f>
      </c>
      <c r="D140" s="124"/>
      <c r="E140" s="122">
        <f>IF($A140="","",INDEX(Каталог!$H$4:$H$500,$A140)&amp;"")</f>
      </c>
      <c r="F140" s="123">
        <f>IF($A140="","",INDEX(Каталог!$B$4:$B$500,$A140)&amp;"")</f>
      </c>
      <c r="G140" s="123">
        <f>IF($A140="","",INDEX(Каталог!$M$4:$M$500,$A140)&amp;"")</f>
      </c>
      <c r="H140" s="123">
        <f>IF($A140="","",INDEX(Каталог!$P$4:$P$500,$A140))</f>
      </c>
      <c r="I140" s="10"/>
      <c r="J140" s="10"/>
    </row>
    <row r="141">
      <c r="A141" s="112">
        <f>IFERROR(MATCH(ROW()-3,Каталог!$AF$4:$AF$500,0),"")</f>
      </c>
      <c r="B141" s="112">
        <f>IF($A141="","",$B$3&amp;"."&amp;(ROW()-3))</f>
      </c>
      <c r="C141" s="121">
        <f>IF($A141="","",INDEX(Каталог!$G$4:$G$500,$A141)&amp;"")</f>
      </c>
      <c r="D141" s="124"/>
      <c r="E141" s="122">
        <f>IF($A141="","",INDEX(Каталог!$H$4:$H$500,$A141)&amp;"")</f>
      </c>
      <c r="F141" s="123">
        <f>IF($A141="","",INDEX(Каталог!$B$4:$B$500,$A141)&amp;"")</f>
      </c>
      <c r="G141" s="123">
        <f>IF($A141="","",INDEX(Каталог!$M$4:$M$500,$A141)&amp;"")</f>
      </c>
      <c r="H141" s="123">
        <f>IF($A141="","",INDEX(Каталог!$P$4:$P$500,$A141))</f>
      </c>
      <c r="I141" s="10"/>
      <c r="J141" s="10"/>
    </row>
    <row r="142">
      <c r="A142" s="112">
        <f>IFERROR(MATCH(ROW()-3,Каталог!$AF$4:$AF$500,0),"")</f>
      </c>
      <c r="B142" s="112">
        <f>IF($A142="","",$B$3&amp;"."&amp;(ROW()-3))</f>
      </c>
      <c r="C142" s="121">
        <f>IF($A142="","",INDEX(Каталог!$G$4:$G$500,$A142)&amp;"")</f>
      </c>
      <c r="D142" s="124"/>
      <c r="E142" s="122">
        <f>IF($A142="","",INDEX(Каталог!$H$4:$H$500,$A142)&amp;"")</f>
      </c>
      <c r="F142" s="123">
        <f>IF($A142="","",INDEX(Каталог!$B$4:$B$500,$A142)&amp;"")</f>
      </c>
      <c r="G142" s="123">
        <f>IF($A142="","",INDEX(Каталог!$M$4:$M$500,$A142)&amp;"")</f>
      </c>
      <c r="H142" s="123">
        <f>IF($A142="","",INDEX(Каталог!$P$4:$P$500,$A142))</f>
      </c>
      <c r="I142" s="10"/>
      <c r="J142" s="10"/>
    </row>
    <row r="143">
      <c r="A143" s="112">
        <f>IFERROR(MATCH(ROW()-3,Каталог!$AF$4:$AF$500,0),"")</f>
      </c>
      <c r="B143" s="112">
        <f>IF($A143="","",$B$3&amp;"."&amp;(ROW()-3))</f>
      </c>
      <c r="C143" s="121">
        <f>IF($A143="","",INDEX(Каталог!$G$4:$G$500,$A143)&amp;"")</f>
      </c>
      <c r="D143" s="124"/>
      <c r="E143" s="122">
        <f>IF($A143="","",INDEX(Каталог!$H$4:$H$500,$A143)&amp;"")</f>
      </c>
      <c r="F143" s="123">
        <f>IF($A143="","",INDEX(Каталог!$B$4:$B$500,$A143)&amp;"")</f>
      </c>
      <c r="G143" s="123">
        <f>IF($A143="","",INDEX(Каталог!$M$4:$M$500,$A143)&amp;"")</f>
      </c>
      <c r="H143" s="123">
        <f>IF($A143="","",INDEX(Каталог!$P$4:$P$500,$A143))</f>
      </c>
      <c r="I143" s="10"/>
      <c r="J143" s="10"/>
    </row>
    <row r="144">
      <c r="A144" s="112">
        <f>IFERROR(MATCH(ROW()-3,Каталог!$AF$4:$AF$500,0),"")</f>
      </c>
      <c r="B144" s="112">
        <f>IF($A144="","",$B$3&amp;"."&amp;(ROW()-3))</f>
      </c>
      <c r="C144" s="121">
        <f>IF($A144="","",INDEX(Каталог!$G$4:$G$500,$A144)&amp;"")</f>
      </c>
      <c r="D144" s="124"/>
      <c r="E144" s="122">
        <f>IF($A144="","",INDEX(Каталог!$H$4:$H$500,$A144)&amp;"")</f>
      </c>
      <c r="F144" s="123">
        <f>IF($A144="","",INDEX(Каталог!$B$4:$B$500,$A144)&amp;"")</f>
      </c>
      <c r="G144" s="123">
        <f>IF($A144="","",INDEX(Каталог!$M$4:$M$500,$A144)&amp;"")</f>
      </c>
      <c r="H144" s="123">
        <f>IF($A144="","",INDEX(Каталог!$P$4:$P$500,$A144))</f>
      </c>
      <c r="I144" s="10"/>
      <c r="J144" s="10"/>
    </row>
    <row r="145">
      <c r="A145" s="112">
        <f>IFERROR(MATCH(ROW()-3,Каталог!$AF$4:$AF$500,0),"")</f>
      </c>
      <c r="B145" s="112">
        <f>IF($A145="","",$B$3&amp;"."&amp;(ROW()-3))</f>
      </c>
      <c r="C145" s="121">
        <f>IF($A145="","",INDEX(Каталог!$G$4:$G$500,$A145)&amp;"")</f>
      </c>
      <c r="D145" s="124"/>
      <c r="E145" s="122">
        <f>IF($A145="","",INDEX(Каталог!$H$4:$H$500,$A145)&amp;"")</f>
      </c>
      <c r="F145" s="123">
        <f>IF($A145="","",INDEX(Каталог!$B$4:$B$500,$A145)&amp;"")</f>
      </c>
      <c r="G145" s="123">
        <f>IF($A145="","",INDEX(Каталог!$M$4:$M$500,$A145)&amp;"")</f>
      </c>
      <c r="H145" s="123">
        <f>IF($A145="","",INDEX(Каталог!$P$4:$P$500,$A145))</f>
      </c>
      <c r="I145" s="10"/>
      <c r="J145" s="10"/>
    </row>
    <row r="146">
      <c r="A146" s="112">
        <f>IFERROR(MATCH(ROW()-3,Каталог!$AF$4:$AF$500,0),"")</f>
      </c>
      <c r="B146" s="112">
        <f>IF($A146="","",$B$3&amp;"."&amp;(ROW()-3))</f>
      </c>
      <c r="C146" s="121">
        <f>IF($A146="","",INDEX(Каталог!$G$4:$G$500,$A146)&amp;"")</f>
      </c>
      <c r="D146" s="124"/>
      <c r="E146" s="122">
        <f>IF($A146="","",INDEX(Каталог!$H$4:$H$500,$A146)&amp;"")</f>
      </c>
      <c r="F146" s="123">
        <f>IF($A146="","",INDEX(Каталог!$B$4:$B$500,$A146)&amp;"")</f>
      </c>
      <c r="G146" s="123">
        <f>IF($A146="","",INDEX(Каталог!$M$4:$M$500,$A146)&amp;"")</f>
      </c>
      <c r="H146" s="123">
        <f>IF($A146="","",INDEX(Каталог!$P$4:$P$500,$A146))</f>
      </c>
      <c r="I146" s="10"/>
      <c r="J146" s="10"/>
    </row>
    <row r="147">
      <c r="A147" s="112">
        <f>IFERROR(MATCH(ROW()-3,Каталог!$AF$4:$AF$500,0),"")</f>
      </c>
      <c r="B147" s="112">
        <f>IF($A147="","",$B$3&amp;"."&amp;(ROW()-3))</f>
      </c>
      <c r="C147" s="121">
        <f>IF($A147="","",INDEX(Каталог!$G$4:$G$500,$A147)&amp;"")</f>
      </c>
      <c r="D147" s="124"/>
      <c r="E147" s="122">
        <f>IF($A147="","",INDEX(Каталог!$H$4:$H$500,$A147)&amp;"")</f>
      </c>
      <c r="F147" s="123">
        <f>IF($A147="","",INDEX(Каталог!$B$4:$B$500,$A147)&amp;"")</f>
      </c>
      <c r="G147" s="123">
        <f>IF($A147="","",INDEX(Каталог!$M$4:$M$500,$A147)&amp;"")</f>
      </c>
      <c r="H147" s="123">
        <f>IF($A147="","",INDEX(Каталог!$P$4:$P$500,$A147))</f>
      </c>
      <c r="I147" s="10"/>
      <c r="J147" s="10"/>
    </row>
    <row r="148">
      <c r="A148" s="112">
        <f>IFERROR(MATCH(ROW()-3,Каталог!$AF$4:$AF$500,0),"")</f>
      </c>
      <c r="B148" s="112">
        <f>IF($A148="","",$B$3&amp;"."&amp;(ROW()-3))</f>
      </c>
      <c r="C148" s="121">
        <f>IF($A148="","",INDEX(Каталог!$G$4:$G$500,$A148)&amp;"")</f>
      </c>
      <c r="D148" s="124"/>
      <c r="E148" s="122">
        <f>IF($A148="","",INDEX(Каталог!$H$4:$H$500,$A148)&amp;"")</f>
      </c>
      <c r="F148" s="123">
        <f>IF($A148="","",INDEX(Каталог!$B$4:$B$500,$A148)&amp;"")</f>
      </c>
      <c r="G148" s="123">
        <f>IF($A148="","",INDEX(Каталог!$M$4:$M$500,$A148)&amp;"")</f>
      </c>
      <c r="H148" s="123">
        <f>IF($A148="","",INDEX(Каталог!$P$4:$P$500,$A148))</f>
      </c>
      <c r="I148" s="10"/>
      <c r="J148" s="10"/>
    </row>
    <row r="149">
      <c r="A149" s="112">
        <f>IFERROR(MATCH(ROW()-3,Каталог!$AF$4:$AF$500,0),"")</f>
      </c>
      <c r="B149" s="112">
        <f>IF($A149="","",$B$3&amp;"."&amp;(ROW()-3))</f>
      </c>
      <c r="C149" s="121">
        <f>IF($A149="","",INDEX(Каталог!$G$4:$G$500,$A149)&amp;"")</f>
      </c>
      <c r="D149" s="124"/>
      <c r="E149" s="122">
        <f>IF($A149="","",INDEX(Каталог!$H$4:$H$500,$A149)&amp;"")</f>
      </c>
      <c r="F149" s="123">
        <f>IF($A149="","",INDEX(Каталог!$B$4:$B$500,$A149)&amp;"")</f>
      </c>
      <c r="G149" s="123">
        <f>IF($A149="","",INDEX(Каталог!$M$4:$M$500,$A149)&amp;"")</f>
      </c>
      <c r="H149" s="123">
        <f>IF($A149="","",INDEX(Каталог!$P$4:$P$500,$A149))</f>
      </c>
      <c r="I149" s="10"/>
      <c r="J149" s="10"/>
    </row>
    <row r="150">
      <c r="A150" s="112">
        <f>IFERROR(MATCH(ROW()-3,Каталог!$AF$4:$AF$500,0),"")</f>
      </c>
      <c r="B150" s="112">
        <f>IF($A150="","",$B$3&amp;"."&amp;(ROW()-3))</f>
      </c>
      <c r="C150" s="121">
        <f>IF($A150="","",INDEX(Каталог!$G$4:$G$500,$A150)&amp;"")</f>
      </c>
      <c r="D150" s="124"/>
      <c r="E150" s="122">
        <f>IF($A150="","",INDEX(Каталог!$H$4:$H$500,$A150)&amp;"")</f>
      </c>
      <c r="F150" s="123">
        <f>IF($A150="","",INDEX(Каталог!$B$4:$B$500,$A150)&amp;"")</f>
      </c>
      <c r="G150" s="123">
        <f>IF($A150="","",INDEX(Каталог!$M$4:$M$500,$A150)&amp;"")</f>
      </c>
      <c r="H150" s="123">
        <f>IF($A150="","",INDEX(Каталог!$P$4:$P$500,$A150))</f>
      </c>
      <c r="I150" s="10"/>
      <c r="J150" s="10"/>
    </row>
    <row r="151">
      <c r="A151" s="112">
        <f>IFERROR(MATCH(ROW()-3,Каталог!$AF$4:$AF$500,0),"")</f>
      </c>
      <c r="B151" s="112">
        <f>IF($A151="","",$B$3&amp;"."&amp;(ROW()-3))</f>
      </c>
      <c r="C151" s="121">
        <f>IF($A151="","",INDEX(Каталог!$G$4:$G$500,$A151)&amp;"")</f>
      </c>
      <c r="D151" s="124"/>
      <c r="E151" s="122">
        <f>IF($A151="","",INDEX(Каталог!$H$4:$H$500,$A151)&amp;"")</f>
      </c>
      <c r="F151" s="123">
        <f>IF($A151="","",INDEX(Каталог!$B$4:$B$500,$A151)&amp;"")</f>
      </c>
      <c r="G151" s="123">
        <f>IF($A151="","",INDEX(Каталог!$M$4:$M$500,$A151)&amp;"")</f>
      </c>
      <c r="H151" s="123">
        <f>IF($A151="","",INDEX(Каталог!$P$4:$P$500,$A151))</f>
      </c>
      <c r="I151" s="10"/>
      <c r="J151" s="10"/>
    </row>
    <row r="152">
      <c r="A152" s="112">
        <f>IFERROR(MATCH(ROW()-3,Каталог!$AF$4:$AF$500,0),"")</f>
      </c>
      <c r="B152" s="112">
        <f>IF($A152="","",$B$3&amp;"."&amp;(ROW()-3))</f>
      </c>
      <c r="C152" s="121">
        <f>IF($A152="","",INDEX(Каталог!$G$4:$G$500,$A152)&amp;"")</f>
      </c>
      <c r="D152" s="124"/>
      <c r="E152" s="122">
        <f>IF($A152="","",INDEX(Каталог!$H$4:$H$500,$A152)&amp;"")</f>
      </c>
      <c r="F152" s="123">
        <f>IF($A152="","",INDEX(Каталог!$B$4:$B$500,$A152)&amp;"")</f>
      </c>
      <c r="G152" s="123">
        <f>IF($A152="","",INDEX(Каталог!$M$4:$M$500,$A152)&amp;"")</f>
      </c>
      <c r="H152" s="123">
        <f>IF($A152="","",INDEX(Каталог!$P$4:$P$500,$A152))</f>
      </c>
      <c r="I152" s="10"/>
      <c r="J152" s="10"/>
    </row>
    <row r="153">
      <c r="A153" s="112">
        <f>IFERROR(MATCH(ROW()-3,Каталог!$AF$4:$AF$500,0),"")</f>
      </c>
      <c r="B153" s="112">
        <f>IF($A153="","",$B$3&amp;"."&amp;(ROW()-3))</f>
      </c>
      <c r="C153" s="121">
        <f>IF($A153="","",INDEX(Каталог!$G$4:$G$500,$A153)&amp;"")</f>
      </c>
      <c r="D153" s="124"/>
      <c r="E153" s="122">
        <f>IF($A153="","",INDEX(Каталог!$H$4:$H$500,$A153)&amp;"")</f>
      </c>
      <c r="F153" s="123">
        <f>IF($A153="","",INDEX(Каталог!$B$4:$B$500,$A153)&amp;"")</f>
      </c>
      <c r="G153" s="123">
        <f>IF($A153="","",INDEX(Каталог!$M$4:$M$500,$A153)&amp;"")</f>
      </c>
      <c r="H153" s="123">
        <f>IF($A153="","",INDEX(Каталог!$P$4:$P$500,$A153))</f>
      </c>
      <c r="I153" s="10"/>
      <c r="J153" s="10"/>
    </row>
    <row r="154">
      <c r="A154" s="112">
        <f>IFERROR(MATCH(ROW()-3,Каталог!$AF$4:$AF$500,0),"")</f>
      </c>
      <c r="B154" s="112">
        <f>IF($A154="","",$B$3&amp;"."&amp;(ROW()-3))</f>
      </c>
      <c r="C154" s="121">
        <f>IF($A154="","",INDEX(Каталог!$G$4:$G$500,$A154)&amp;"")</f>
      </c>
      <c r="D154" s="124"/>
      <c r="E154" s="122">
        <f>IF($A154="","",INDEX(Каталог!$H$4:$H$500,$A154)&amp;"")</f>
      </c>
      <c r="F154" s="123">
        <f>IF($A154="","",INDEX(Каталог!$B$4:$B$500,$A154)&amp;"")</f>
      </c>
      <c r="G154" s="123">
        <f>IF($A154="","",INDEX(Каталог!$M$4:$M$500,$A154)&amp;"")</f>
      </c>
      <c r="H154" s="123">
        <f>IF($A154="","",INDEX(Каталог!$P$4:$P$500,$A154))</f>
      </c>
      <c r="I154" s="10"/>
      <c r="J154" s="10"/>
    </row>
    <row r="155">
      <c r="A155" s="112">
        <f>IFERROR(MATCH(ROW()-3,Каталог!$AF$4:$AF$500,0),"")</f>
      </c>
      <c r="B155" s="112">
        <f>IF($A155="","",$B$3&amp;"."&amp;(ROW()-3))</f>
      </c>
      <c r="C155" s="121">
        <f>IF($A155="","",INDEX(Каталог!$G$4:$G$500,$A155)&amp;"")</f>
      </c>
      <c r="D155" s="124"/>
      <c r="E155" s="122">
        <f>IF($A155="","",INDEX(Каталог!$H$4:$H$500,$A155)&amp;"")</f>
      </c>
      <c r="F155" s="123">
        <f>IF($A155="","",INDEX(Каталог!$B$4:$B$500,$A155)&amp;"")</f>
      </c>
      <c r="G155" s="123">
        <f>IF($A155="","",INDEX(Каталог!$M$4:$M$500,$A155)&amp;"")</f>
      </c>
      <c r="H155" s="123">
        <f>IF($A155="","",INDEX(Каталог!$P$4:$P$500,$A155))</f>
      </c>
      <c r="I155" s="10"/>
      <c r="J155" s="10"/>
    </row>
    <row r="156">
      <c r="A156" s="112">
        <f>IFERROR(MATCH(ROW()-3,Каталог!$AF$4:$AF$500,0),"")</f>
      </c>
      <c r="B156" s="112">
        <f>IF($A156="","",$B$3&amp;"."&amp;(ROW()-3))</f>
      </c>
      <c r="C156" s="121">
        <f>IF($A156="","",INDEX(Каталог!$G$4:$G$500,$A156)&amp;"")</f>
      </c>
      <c r="D156" s="124"/>
      <c r="E156" s="122">
        <f>IF($A156="","",INDEX(Каталог!$H$4:$H$500,$A156)&amp;"")</f>
      </c>
      <c r="F156" s="123">
        <f>IF($A156="","",INDEX(Каталог!$B$4:$B$500,$A156)&amp;"")</f>
      </c>
      <c r="G156" s="123">
        <f>IF($A156="","",INDEX(Каталог!$M$4:$M$500,$A156)&amp;"")</f>
      </c>
      <c r="H156" s="123">
        <f>IF($A156="","",INDEX(Каталог!$P$4:$P$500,$A156))</f>
      </c>
      <c r="I156" s="10"/>
      <c r="J156" s="10"/>
    </row>
    <row r="157">
      <c r="A157" s="112">
        <f>IFERROR(MATCH(ROW()-3,Каталог!$AF$4:$AF$500,0),"")</f>
      </c>
      <c r="B157" s="112">
        <f>IF($A157="","",$B$3&amp;"."&amp;(ROW()-3))</f>
      </c>
      <c r="C157" s="121">
        <f>IF($A157="","",INDEX(Каталог!$G$4:$G$500,$A157)&amp;"")</f>
      </c>
      <c r="D157" s="124"/>
      <c r="E157" s="122">
        <f>IF($A157="","",INDEX(Каталог!$H$4:$H$500,$A157)&amp;"")</f>
      </c>
      <c r="F157" s="123">
        <f>IF($A157="","",INDEX(Каталог!$B$4:$B$500,$A157)&amp;"")</f>
      </c>
      <c r="G157" s="123">
        <f>IF($A157="","",INDEX(Каталог!$M$4:$M$500,$A157)&amp;"")</f>
      </c>
      <c r="H157" s="123">
        <f>IF($A157="","",INDEX(Каталог!$P$4:$P$500,$A157))</f>
      </c>
      <c r="I157" s="10"/>
      <c r="J157" s="10"/>
    </row>
    <row r="158">
      <c r="A158" s="112">
        <f>IFERROR(MATCH(ROW()-3,Каталог!$AF$4:$AF$500,0),"")</f>
      </c>
      <c r="B158" s="112">
        <f>IF($A158="","",$B$3&amp;"."&amp;(ROW()-3))</f>
      </c>
      <c r="C158" s="121">
        <f>IF($A158="","",INDEX(Каталог!$G$4:$G$500,$A158)&amp;"")</f>
      </c>
      <c r="D158" s="124"/>
      <c r="E158" s="122">
        <f>IF($A158="","",INDEX(Каталог!$H$4:$H$500,$A158)&amp;"")</f>
      </c>
      <c r="F158" s="123">
        <f>IF($A158="","",INDEX(Каталог!$B$4:$B$500,$A158)&amp;"")</f>
      </c>
      <c r="G158" s="123">
        <f>IF($A158="","",INDEX(Каталог!$M$4:$M$500,$A158)&amp;"")</f>
      </c>
      <c r="H158" s="123">
        <f>IF($A158="","",INDEX(Каталог!$P$4:$P$500,$A158))</f>
      </c>
      <c r="I158" s="10"/>
      <c r="J158" s="10"/>
    </row>
    <row r="159">
      <c r="A159" s="112">
        <f>IFERROR(MATCH(ROW()-3,Каталог!$AF$4:$AF$500,0),"")</f>
      </c>
      <c r="B159" s="112">
        <f>IF($A159="","",$B$3&amp;"."&amp;(ROW()-3))</f>
      </c>
      <c r="C159" s="121">
        <f>IF($A159="","",INDEX(Каталог!$G$4:$G$500,$A159)&amp;"")</f>
      </c>
      <c r="D159" s="124"/>
      <c r="E159" s="122">
        <f>IF($A159="","",INDEX(Каталог!$H$4:$H$500,$A159)&amp;"")</f>
      </c>
      <c r="F159" s="123">
        <f>IF($A159="","",INDEX(Каталог!$B$4:$B$500,$A159)&amp;"")</f>
      </c>
      <c r="G159" s="123">
        <f>IF($A159="","",INDEX(Каталог!$M$4:$M$500,$A159)&amp;"")</f>
      </c>
      <c r="H159" s="123">
        <f>IF($A159="","",INDEX(Каталог!$P$4:$P$500,$A159))</f>
      </c>
      <c r="I159" s="10"/>
      <c r="J159" s="10"/>
    </row>
    <row r="160">
      <c r="A160" s="112">
        <f>IFERROR(MATCH(ROW()-3,Каталог!$AF$4:$AF$500,0),"")</f>
      </c>
      <c r="B160" s="112">
        <f>IF($A160="","",$B$3&amp;"."&amp;(ROW()-3))</f>
      </c>
      <c r="C160" s="121">
        <f>IF($A160="","",INDEX(Каталог!$G$4:$G$500,$A160)&amp;"")</f>
      </c>
      <c r="D160" s="124"/>
      <c r="E160" s="122">
        <f>IF($A160="","",INDEX(Каталог!$H$4:$H$500,$A160)&amp;"")</f>
      </c>
      <c r="F160" s="123">
        <f>IF($A160="","",INDEX(Каталог!$B$4:$B$500,$A160)&amp;"")</f>
      </c>
      <c r="G160" s="123">
        <f>IF($A160="","",INDEX(Каталог!$M$4:$M$500,$A160)&amp;"")</f>
      </c>
      <c r="H160" s="123">
        <f>IF($A160="","",INDEX(Каталог!$P$4:$P$500,$A160))</f>
      </c>
      <c r="I160" s="10"/>
      <c r="J160" s="10"/>
    </row>
  </sheetData>
  <phoneticPr fontId="3" type="noConversion"/>
  <conditionalFormatting sqref="C1">
    <cfRule type="expression" dxfId="9796" priority="1">
      <formula>Каталог!$R$28&lt;&gt;""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6F9DA-7D93-41A8-90E2-6BF61338CA82}">
  <sheetPr>
    <tabColor rgb="FFED7D31"/>
  </sheetPr>
  <dimension ref="B1:AI1000"/>
  <sheetViews>
    <sheetView topLeftCell="E1" workbookViewId="0">
      <selection activeCell="R7" sqref="R7"/>
    </sheetView>
  </sheetViews>
  <sheetFormatPr defaultRowHeight="14.4" x14ac:dyDescent="0.3"/>
  <cols>
    <col min="2" max="2" width="26" customWidth="1"/>
    <col min="3" max="3" width="20.88671875" customWidth="1"/>
    <col min="8" max="8" width="9.109375" customWidth="1"/>
    <col min="12" max="12" width="9.109375" style="25"/>
    <col min="13" max="15" width="9.109375" customWidth="1"/>
    <col min="16" max="16" width="20.44140625" style="21" customWidth="1"/>
    <col min="17" max="17" width="8.6640625" style="21" customWidth="1"/>
    <col min="18" max="18" width="45.6640625" style="21" customWidth="1"/>
    <col min="19" max="19" width="20.88671875" style="21" customWidth="1"/>
    <col min="20" max="22" width="13.6640625" style="21" customWidth="1"/>
    <col min="23" max="23" width="14.6640625" style="21" customWidth="1"/>
    <col min="24" max="24" width="13.44140625" style="82" customWidth="1"/>
    <col min="25" max="25" width="17.5546875" style="82" customWidth="1"/>
    <col min="26" max="28" width="9.109375" style="82"/>
    <col min="30" max="30" width="21.5546875" customWidth="1"/>
  </cols>
  <sheetData>
    <row r="1" spans="2:35" x14ac:dyDescent="0.3">
      <c r="I1">
        <v>1</v>
      </c>
      <c r="J1">
        <v>2</v>
      </c>
      <c r="K1">
        <v>3</v>
      </c>
      <c r="L1" s="25">
        <v>4</v>
      </c>
      <c r="M1">
        <v>5</v>
      </c>
      <c r="N1">
        <v>6</v>
      </c>
      <c r="O1">
        <v>7</v>
      </c>
      <c r="P1" s="21">
        <v>8</v>
      </c>
      <c r="Q1" s="21">
        <v>9</v>
      </c>
      <c r="R1" s="21">
        <v>10</v>
      </c>
      <c r="S1" s="21">
        <v>11</v>
      </c>
      <c r="T1" s="21">
        <v>12</v>
      </c>
      <c r="U1" s="21">
        <v>13</v>
      </c>
      <c r="V1" s="21">
        <v>14</v>
      </c>
      <c r="W1" s="21">
        <v>15</v>
      </c>
      <c r="X1" s="21">
        <v>16</v>
      </c>
      <c r="Y1" s="21">
        <v>17</v>
      </c>
      <c r="Z1" s="21">
        <v>18</v>
      </c>
    </row>
    <row r="2" spans="2:35" x14ac:dyDescent="0.3">
      <c r="P2" s="241" t="s">
        <v>64</v>
      </c>
      <c r="Q2" s="241" t="s">
        <v>65</v>
      </c>
      <c r="R2" s="241"/>
      <c r="S2" s="241" t="s">
        <v>18</v>
      </c>
      <c r="T2" s="241"/>
      <c r="U2" s="241"/>
      <c r="V2" s="241"/>
      <c r="W2" s="241"/>
      <c r="X2" s="242" t="s">
        <v>18</v>
      </c>
      <c r="Y2" s="242"/>
      <c r="Z2" s="242"/>
      <c r="AA2" s="240" t="s">
        <v>66</v>
      </c>
      <c r="AB2" s="240" t="s">
        <v>75</v>
      </c>
    </row>
    <row r="3" spans="2:35" x14ac:dyDescent="0.3">
      <c r="C3" s="23" t="s">
        <v>123</v>
      </c>
      <c r="D3" s="35">
        <v>0.2</v>
      </c>
      <c r="P3" s="241"/>
      <c r="Q3" s="241" t="s">
        <v>67</v>
      </c>
      <c r="R3" s="241" t="s">
        <v>68</v>
      </c>
      <c r="S3" s="241" t="s">
        <v>69</v>
      </c>
      <c r="T3" s="241"/>
      <c r="U3" s="241"/>
      <c r="V3" s="241"/>
      <c r="W3" s="241"/>
      <c r="X3" s="243" t="s">
        <v>70</v>
      </c>
      <c r="Y3" s="244"/>
      <c r="Z3" s="245"/>
      <c r="AA3" s="240"/>
      <c r="AB3" s="240"/>
    </row>
    <row r="4" spans="2:35" ht="68.25" customHeight="1" x14ac:dyDescent="0.3">
      <c r="C4" s="23" t="s">
        <v>18</v>
      </c>
      <c r="D4" s="23" t="s">
        <v>110</v>
      </c>
      <c r="E4" s="54"/>
      <c r="F4" s="23"/>
      <c r="G4" s="23"/>
      <c r="H4" s="23"/>
      <c r="I4" s="23"/>
      <c r="J4" s="23"/>
      <c r="K4" s="23" t="s">
        <v>134</v>
      </c>
      <c r="L4" s="23"/>
      <c r="M4" s="23"/>
      <c r="N4" s="23"/>
      <c r="P4" s="241"/>
      <c r="Q4" s="241"/>
      <c r="R4" s="241"/>
      <c r="S4" s="84" t="s">
        <v>73</v>
      </c>
      <c r="T4" s="84" t="s">
        <v>335</v>
      </c>
      <c r="U4" s="84" t="s">
        <v>330</v>
      </c>
      <c r="V4" s="84" t="s">
        <v>332</v>
      </c>
      <c r="W4" s="84" t="s">
        <v>71</v>
      </c>
      <c r="X4" s="83" t="s">
        <v>72</v>
      </c>
      <c r="Y4" s="85" t="s">
        <v>73</v>
      </c>
      <c r="Z4" s="83" t="s">
        <v>74</v>
      </c>
      <c r="AA4" s="240"/>
      <c r="AB4" s="240"/>
      <c r="AD4" s="84" t="s">
        <v>343</v>
      </c>
      <c r="AE4" s="84" t="s">
        <v>342</v>
      </c>
      <c r="AG4" s="84" t="s">
        <v>335</v>
      </c>
      <c r="AH4" s="84" t="s">
        <v>344</v>
      </c>
      <c r="AI4" s="84" t="s">
        <v>347</v>
      </c>
    </row>
    <row r="5" spans="2:35" x14ac:dyDescent="0.3">
      <c r="B5" s="126"/>
      <c r="C5" s="30">
        <f t="shared" ref="C5:C27" si="0">VLOOKUP(ROW(1:1),Для_расчета_кабелей,11,FALSE)</f>
      </c>
      <c r="D5" s="30">
        <f t="shared" ref="D5:D19" si="1">SUMIF($S$5:$S$1000,C5,$W$5:$W$1000)+SUMIF($S$5:$S$1000,C5,$W$5:$W$1000)*$D$3</f>
      </c>
      <c r="E5" s="55"/>
      <c r="F5" s="26">
        <f>IF(G5=1,MAX($F$4:F4)+1,"")</f>
      </c>
      <c r="G5" s="26">
        <f>COUNTIF($H$5:H5,H5)</f>
      </c>
      <c r="H5" s="26">
        <f>S5&amp;" "&amp;K5</f>
      </c>
      <c r="I5" s="26">
        <f>COUNTIF($J$4:$J5,1)</f>
      </c>
      <c r="J5" s="26">
        <f>COUNTIF($S$5:$S5,S5)</f>
      </c>
      <c r="K5" s="26">
        <f>VLOOKUP(P5,Исходные_данные,19,FALSE)</f>
      </c>
      <c r="L5" s="26">
        <f>IFERROR(IF(P5=0,0,MAX($L$4:L4)+1),0)</f>
      </c>
      <c r="M5" s="5">
        <f>LEFT(P5,SEARCH(".",P5)-1)</f>
      </c>
      <c r="N5" s="5">
        <f>LEFT(RIGHT(P5,LEN(P5)-LEN(M5)-1),SEARCH(".",P5)-1)</f>
      </c>
      <c r="P5" s="86">
        <f t="shared" ref="P5:P68" si="2">VLOOKUP(ROW(1:1),Разбивка_нумерация_5,4,FALSE)</f>
      </c>
      <c r="Q5" s="86">
        <f t="shared" ref="Q5:Q68" si="3">IF(VLOOKUP(ROW(1:1),Разбивка_нумерация_5,3,FALSE)=0,VLOOKUP(ROW(1:1),Разбивка_нумерация_5,2,FALSE),VLOOKUP(ROW(1:1),Разбивка_нумерация_5,3,FALSE))</f>
      </c>
      <c r="R5" s="86">
        <f t="shared" ref="R5:R68" si="4">VLOOKUP(ROW(1:1),Разбивка_нумерация_5,6,FALSE)</f>
      </c>
      <c r="S5" s="86">
        <f t="shared" ref="S5:S68" si="5">VLOOKUP(ROW(1:1),Разбивка_нумерация_5,17,FALSE)</f>
      </c>
      <c r="T5" s="86">
        <f>IF(AG5=0,"","L="&amp;AG5)</f>
        <v/>
      </c>
      <c r="U5" s="86">
        <f>IF(AH5=0,"",AD5&amp;" L="&amp;AH5)</f>
        <v/>
      </c>
      <c r="V5" s="86">
        <f>IF(AI5=0,"",AE5&amp;" L="&amp;AI5)</f>
      </c>
      <c r="W5" s="87">
        <f t="shared" ref="W5:W68" si="6">VLOOKUP(P5,Исходные_данные,13,FALSE)</f>
      </c>
      <c r="X5" s="88"/>
      <c r="Y5" s="88"/>
      <c r="Z5" s="88"/>
      <c r="AA5" s="88"/>
      <c r="AB5" s="88"/>
      <c r="AD5" s="86">
        <f t="shared" ref="AD5:AD68" si="7">VLOOKUP(S5,Кабель_диаметр,4,FALSE)</f>
      </c>
      <c r="AE5" s="86">
        <f t="shared" ref="AE5:AE68" si="8">VLOOKUP(S5,Кабель_диаметр,5,FALSE)</f>
      </c>
      <c r="AG5" s="86">
        <f t="shared" ref="AG5:AG68" si="9">IFERROR(VLOOKUP(P5,Исходные_данные,10,FALSE),0)</f>
      </c>
      <c r="AH5" s="86">
        <f t="shared" ref="AH5:AH68" si="10">IFERROR(VLOOKUP(P5,Исходные_данные,11,FALSE),0)</f>
      </c>
      <c r="AI5" s="86">
        <f t="shared" ref="AI5:AI68" si="11">IFERROR(VLOOKUP(P5,Исходные_данные,12,FALSE),0)</f>
      </c>
    </row>
    <row r="6" spans="2:35" x14ac:dyDescent="0.3">
      <c r="B6" s="126"/>
      <c r="C6" s="30">
        <f t="shared" si="0"/>
      </c>
      <c r="D6" s="30">
        <f t="shared" si="1"/>
      </c>
      <c r="E6" s="55"/>
      <c r="F6" s="26">
        <f>IF(G6=1,MAX($F$4:F5)+1,"")</f>
        <v/>
      </c>
      <c r="G6" s="26">
        <f>COUNTIF($H$5:H6,H6)</f>
      </c>
      <c r="H6" s="26">
        <f t="shared" ref="H6:H69" si="12">S6&amp;" "&amp;K6</f>
      </c>
      <c r="I6" s="26">
        <f>COUNTIF($J$4:$J6,1)</f>
      </c>
      <c r="J6" s="26">
        <f>COUNTIF($S$5:$S6,S6)</f>
      </c>
      <c r="K6" s="26">
        <f t="shared" ref="K6:K68" si="13">VLOOKUP(P6,Исходные_данные,19,FALSE)</f>
      </c>
      <c r="L6" s="26">
        <f>IFERROR(IF(P6=0,0,MAX($L$4:L5)+1),0)</f>
      </c>
      <c r="M6" s="5">
        <f t="shared" ref="M6:M69" si="14">LEFT(P6,SEARCH(".",P6)-1)</f>
      </c>
      <c r="N6" s="5">
        <f t="shared" ref="N6:N69" si="15">LEFT(RIGHT(P6,LEN(P6)-LEN(M6)-1),SEARCH(".",P6)-1)</f>
      </c>
      <c r="P6" s="86">
        <f t="shared" si="2"/>
      </c>
      <c r="Q6" s="86">
        <f t="shared" si="3"/>
      </c>
      <c r="R6" s="86">
        <f t="shared" si="4"/>
      </c>
      <c r="S6" s="86">
        <f t="shared" si="5"/>
      </c>
      <c r="T6" s="86">
        <f t="shared" ref="T6:T69" si="16">IF(AG6=0,"","L="&amp;AG6)</f>
        <v/>
      </c>
      <c r="U6" s="86">
        <f t="shared" ref="U6:U69" si="17">IF(AH6=0,"",AD6&amp;" L="&amp;AH6)</f>
        <v/>
      </c>
      <c r="V6" s="86">
        <f t="shared" ref="V6:V69" si="18">IF(AI6=0,"",AE6&amp;" L="&amp;AI6)</f>
      </c>
      <c r="W6" s="87">
        <f t="shared" si="6"/>
      </c>
      <c r="X6" s="88"/>
      <c r="Y6" s="88"/>
      <c r="Z6" s="88"/>
      <c r="AA6" s="88"/>
      <c r="AB6" s="88"/>
      <c r="AD6" s="86">
        <f t="shared" si="7"/>
      </c>
      <c r="AE6" s="86">
        <f t="shared" si="8"/>
      </c>
      <c r="AG6" s="86">
        <f t="shared" si="9"/>
      </c>
      <c r="AH6" s="86">
        <f t="shared" si="10"/>
      </c>
      <c r="AI6" s="86">
        <f t="shared" si="11"/>
      </c>
    </row>
    <row r="7" spans="2:35" x14ac:dyDescent="0.3">
      <c r="B7" s="126"/>
      <c r="C7" s="30">
        <f t="shared" si="0"/>
      </c>
      <c r="D7" s="30">
        <f t="shared" si="1"/>
      </c>
      <c r="E7" s="55"/>
      <c r="F7" s="26">
        <f>IF(G7=1,MAX($F$4:F6)+1,"")</f>
        <v/>
      </c>
      <c r="G7" s="26">
        <f>COUNTIF($H$5:H7,H7)</f>
      </c>
      <c r="H7" s="26">
        <f t="shared" si="12"/>
      </c>
      <c r="I7" s="26">
        <f>COUNTIF($J$4:$J7,1)</f>
      </c>
      <c r="J7" s="26">
        <f>COUNTIF($S$5:$S7,S7)</f>
      </c>
      <c r="K7" s="26">
        <f t="shared" si="13"/>
      </c>
      <c r="L7" s="26">
        <f>IFERROR(IF(P7=0,0,MAX($L$4:L6)+1),0)</f>
      </c>
      <c r="M7" s="5">
        <f t="shared" si="14"/>
      </c>
      <c r="N7" s="5">
        <f t="shared" si="15"/>
      </c>
      <c r="P7" s="86">
        <f t="shared" si="2"/>
      </c>
      <c r="Q7" s="86">
        <f t="shared" si="3"/>
      </c>
      <c r="R7" s="86">
        <f t="shared" si="4"/>
      </c>
      <c r="S7" s="86">
        <f t="shared" si="5"/>
      </c>
      <c r="T7" s="86">
        <f t="shared" si="16"/>
        <v/>
      </c>
      <c r="U7" s="86">
        <f t="shared" si="17"/>
        <v/>
      </c>
      <c r="V7" s="86">
        <f t="shared" si="18"/>
      </c>
      <c r="W7" s="87">
        <f t="shared" si="6"/>
      </c>
      <c r="X7" s="88"/>
      <c r="Y7" s="88"/>
      <c r="Z7" s="88"/>
      <c r="AA7" s="88"/>
      <c r="AB7" s="88"/>
      <c r="AD7" s="86">
        <f t="shared" si="7"/>
      </c>
      <c r="AE7" s="86">
        <f t="shared" si="8"/>
      </c>
      <c r="AG7" s="86">
        <f t="shared" si="9"/>
      </c>
      <c r="AH7" s="86">
        <f t="shared" si="10"/>
      </c>
      <c r="AI7" s="86">
        <f t="shared" si="11"/>
      </c>
    </row>
    <row r="8" spans="2:35" x14ac:dyDescent="0.3">
      <c r="B8" s="126"/>
      <c r="C8" s="30">
        <f t="shared" si="0"/>
      </c>
      <c r="D8" s="30">
        <f t="shared" si="1"/>
      </c>
      <c r="E8" s="55"/>
      <c r="F8" s="26">
        <f>IF(G8=1,MAX($F$4:F7)+1,"")</f>
        <v/>
      </c>
      <c r="G8" s="26">
        <f>COUNTIF($H$5:H8,H8)</f>
      </c>
      <c r="H8" s="26">
        <f t="shared" si="12"/>
      </c>
      <c r="I8" s="26">
        <f>COUNTIF($J$4:$J8,1)</f>
      </c>
      <c r="J8" s="26">
        <f>COUNTIF($S$5:$S8,S8)</f>
      </c>
      <c r="K8" s="26">
        <f t="shared" si="13"/>
      </c>
      <c r="L8" s="26">
        <f>IFERROR(IF(P8=0,0,MAX($L$4:L7)+1),0)</f>
      </c>
      <c r="M8" s="5">
        <f t="shared" si="14"/>
      </c>
      <c r="N8" s="5">
        <f t="shared" si="15"/>
      </c>
      <c r="P8" s="86">
        <f t="shared" si="2"/>
      </c>
      <c r="Q8" s="86">
        <f t="shared" si="3"/>
      </c>
      <c r="R8" s="86">
        <f t="shared" si="4"/>
      </c>
      <c r="S8" s="86">
        <f t="shared" si="5"/>
      </c>
      <c r="T8" s="86">
        <f t="shared" si="16"/>
        <v/>
      </c>
      <c r="U8" s="86">
        <f t="shared" si="17"/>
        <v/>
      </c>
      <c r="V8" s="86">
        <f t="shared" si="18"/>
      </c>
      <c r="W8" s="87">
        <f t="shared" si="6"/>
      </c>
      <c r="X8" s="88"/>
      <c r="Y8" s="88"/>
      <c r="Z8" s="88"/>
      <c r="AA8" s="88"/>
      <c r="AB8" s="88"/>
      <c r="AD8" s="86">
        <f t="shared" si="7"/>
      </c>
      <c r="AE8" s="86">
        <f t="shared" si="8"/>
      </c>
      <c r="AG8" s="86">
        <f t="shared" si="9"/>
      </c>
      <c r="AH8" s="86">
        <f t="shared" si="10"/>
      </c>
      <c r="AI8" s="86">
        <f t="shared" si="11"/>
      </c>
    </row>
    <row r="9" spans="2:35" x14ac:dyDescent="0.3">
      <c r="C9" s="30">
        <f t="shared" si="0"/>
      </c>
      <c r="D9" s="30">
        <f t="shared" si="1"/>
      </c>
      <c r="E9" s="55"/>
      <c r="F9" s="26">
        <f>IF(G9=1,MAX($F$4:F8)+1,"")</f>
        <v/>
      </c>
      <c r="G9" s="26">
        <f>COUNTIF($H$5:H9,H9)</f>
      </c>
      <c r="H9" s="26">
        <f t="shared" si="12"/>
      </c>
      <c r="I9" s="26">
        <f>COUNTIF($J$4:$J9,1)</f>
      </c>
      <c r="J9" s="26">
        <f>COUNTIF($S$5:$S9,S9)</f>
      </c>
      <c r="K9" s="26">
        <f t="shared" si="13"/>
      </c>
      <c r="L9" s="26">
        <f>IFERROR(IF(P9=0,0,MAX($L$4:L8)+1),0)</f>
      </c>
      <c r="M9" s="5">
        <f t="shared" si="14"/>
      </c>
      <c r="N9" s="5">
        <f t="shared" si="15"/>
      </c>
      <c r="P9" s="86">
        <f t="shared" si="2"/>
      </c>
      <c r="Q9" s="86">
        <f t="shared" si="3"/>
      </c>
      <c r="R9" s="86">
        <f t="shared" si="4"/>
      </c>
      <c r="S9" s="86">
        <f t="shared" si="5"/>
      </c>
      <c r="T9" s="86">
        <f t="shared" si="16"/>
        <v/>
      </c>
      <c r="U9" s="86">
        <f t="shared" si="17"/>
        <v/>
      </c>
      <c r="V9" s="86">
        <f t="shared" si="18"/>
      </c>
      <c r="W9" s="87">
        <f t="shared" si="6"/>
      </c>
      <c r="X9" s="88"/>
      <c r="Y9" s="88"/>
      <c r="Z9" s="88"/>
      <c r="AA9" s="88"/>
      <c r="AB9" s="88"/>
      <c r="AD9" s="86">
        <f t="shared" si="7"/>
      </c>
      <c r="AE9" s="86">
        <f t="shared" si="8"/>
      </c>
      <c r="AG9" s="86">
        <f t="shared" si="9"/>
      </c>
      <c r="AH9" s="86">
        <f t="shared" si="10"/>
      </c>
      <c r="AI9" s="86">
        <f t="shared" si="11"/>
      </c>
    </row>
    <row r="10" spans="2:35" x14ac:dyDescent="0.3">
      <c r="B10" s="126"/>
      <c r="C10" s="30">
        <f t="shared" si="0"/>
      </c>
      <c r="D10" s="30">
        <f t="shared" si="1"/>
      </c>
      <c r="E10" s="55"/>
      <c r="F10" s="26">
        <f>IF(G10=1,MAX($F$4:F9)+1,"")</f>
      </c>
      <c r="G10" s="26">
        <f>COUNTIF($H$5:H10,H10)</f>
      </c>
      <c r="H10" s="26">
        <f t="shared" si="12"/>
      </c>
      <c r="I10" s="26">
        <f>COUNTIF($J$4:$J10,1)</f>
      </c>
      <c r="J10" s="26">
        <f>COUNTIF($S$5:$S10,S10)</f>
      </c>
      <c r="K10" s="26">
        <f t="shared" si="13"/>
      </c>
      <c r="L10" s="26">
        <f>IFERROR(IF(P10=0,0,MAX($L$4:L9)+1),0)</f>
      </c>
      <c r="M10" s="5">
        <f t="shared" si="14"/>
      </c>
      <c r="N10" s="5">
        <f t="shared" si="15"/>
      </c>
      <c r="P10" s="86">
        <f t="shared" si="2"/>
      </c>
      <c r="Q10" s="86">
        <f t="shared" si="3"/>
      </c>
      <c r="R10" s="86">
        <f t="shared" si="4"/>
      </c>
      <c r="S10" s="86">
        <f t="shared" si="5"/>
      </c>
      <c r="T10" s="86">
        <f t="shared" si="16"/>
        <v/>
      </c>
      <c r="U10" s="86">
        <f t="shared" si="17"/>
        <v/>
      </c>
      <c r="V10" s="86">
        <f t="shared" si="18"/>
      </c>
      <c r="W10" s="87">
        <f t="shared" si="6"/>
      </c>
      <c r="X10" s="88"/>
      <c r="Y10" s="88"/>
      <c r="Z10" s="88"/>
      <c r="AA10" s="88"/>
      <c r="AB10" s="88"/>
      <c r="AD10" s="86">
        <f t="shared" si="7"/>
      </c>
      <c r="AE10" s="86">
        <f t="shared" si="8"/>
      </c>
      <c r="AG10" s="86">
        <f t="shared" si="9"/>
      </c>
      <c r="AH10" s="86">
        <f t="shared" si="10"/>
      </c>
      <c r="AI10" s="86">
        <f t="shared" si="11"/>
      </c>
    </row>
    <row r="11" spans="2:35" x14ac:dyDescent="0.3">
      <c r="B11" s="126"/>
      <c r="C11" s="30">
        <f t="shared" si="0"/>
      </c>
      <c r="D11" s="30">
        <f t="shared" si="1"/>
      </c>
      <c r="E11" s="55"/>
      <c r="F11" s="26">
        <f>IF(G11=1,MAX($F$4:F10)+1,"")</f>
        <v/>
      </c>
      <c r="G11" s="26">
        <f>COUNTIF($H$5:H11,H11)</f>
      </c>
      <c r="H11" s="26">
        <f t="shared" si="12"/>
      </c>
      <c r="I11" s="26">
        <f>COUNTIF($J$4:$J11,1)</f>
      </c>
      <c r="J11" s="26">
        <f>COUNTIF($S$5:$S11,S11)</f>
      </c>
      <c r="K11" s="26">
        <f t="shared" si="13"/>
      </c>
      <c r="L11" s="26">
        <f>IFERROR(IF(P11=0,0,MAX($L$4:L10)+1),0)</f>
      </c>
      <c r="M11" s="5">
        <f t="shared" si="14"/>
      </c>
      <c r="N11" s="5">
        <f t="shared" si="15"/>
      </c>
      <c r="P11" s="86">
        <f t="shared" si="2"/>
      </c>
      <c r="Q11" s="86">
        <f t="shared" si="3"/>
      </c>
      <c r="R11" s="86">
        <f t="shared" si="4"/>
      </c>
      <c r="S11" s="86">
        <f t="shared" si="5"/>
      </c>
      <c r="T11" s="86">
        <f t="shared" si="16"/>
        <v/>
      </c>
      <c r="U11" s="86">
        <f t="shared" si="17"/>
        <v/>
      </c>
      <c r="V11" s="86">
        <f t="shared" si="18"/>
      </c>
      <c r="W11" s="87">
        <f t="shared" si="6"/>
      </c>
      <c r="X11" s="88"/>
      <c r="Y11" s="88"/>
      <c r="Z11" s="88"/>
      <c r="AA11" s="88"/>
      <c r="AB11" s="88"/>
      <c r="AD11" s="86">
        <f t="shared" si="7"/>
      </c>
      <c r="AE11" s="86">
        <f t="shared" si="8"/>
      </c>
      <c r="AG11" s="86">
        <f t="shared" si="9"/>
      </c>
      <c r="AH11" s="86">
        <f t="shared" si="10"/>
      </c>
      <c r="AI11" s="86">
        <f t="shared" si="11"/>
      </c>
    </row>
    <row r="12" spans="2:35" x14ac:dyDescent="0.3">
      <c r="B12" s="126"/>
      <c r="C12" s="30">
        <f t="shared" si="0"/>
      </c>
      <c r="D12" s="30">
        <f>SUMIF($S$5:$S$1000,C12,$W$5:$W$1000)+SUMIF($S$5:$S$1000,C12,$W$5:$W$1000)*$D$3</f>
      </c>
      <c r="E12" s="55"/>
      <c r="F12" s="26">
        <f>IF(G12=1,MAX($F$4:F11)+1,"")</f>
        <v/>
      </c>
      <c r="G12" s="26">
        <f>COUNTIF($H$5:H12,H12)</f>
      </c>
      <c r="H12" s="26">
        <f t="shared" si="12"/>
      </c>
      <c r="I12" s="26">
        <f>COUNTIF($J$4:$J12,1)</f>
      </c>
      <c r="J12" s="26">
        <f>COUNTIF($S$5:$S12,S12)</f>
      </c>
      <c r="K12" s="26">
        <f t="shared" si="13"/>
      </c>
      <c r="L12" s="26">
        <f>IFERROR(IF(P12=0,0,MAX($L$4:L11)+1),0)</f>
      </c>
      <c r="M12" s="5">
        <f t="shared" si="14"/>
      </c>
      <c r="N12" s="5">
        <f t="shared" si="15"/>
      </c>
      <c r="P12" s="86">
        <f t="shared" si="2"/>
      </c>
      <c r="Q12" s="86">
        <f t="shared" si="3"/>
      </c>
      <c r="R12" s="86">
        <f t="shared" si="4"/>
      </c>
      <c r="S12" s="86">
        <f t="shared" si="5"/>
      </c>
      <c r="T12" s="86">
        <f t="shared" si="16"/>
        <v/>
      </c>
      <c r="U12" s="86">
        <f t="shared" si="17"/>
        <v/>
      </c>
      <c r="V12" s="86">
        <f t="shared" si="18"/>
      </c>
      <c r="W12" s="87">
        <f t="shared" si="6"/>
      </c>
      <c r="X12" s="88"/>
      <c r="Y12" s="88"/>
      <c r="Z12" s="88"/>
      <c r="AA12" s="88"/>
      <c r="AB12" s="88"/>
      <c r="AD12" s="86">
        <f t="shared" si="7"/>
      </c>
      <c r="AE12" s="86">
        <f t="shared" si="8"/>
      </c>
      <c r="AG12" s="86">
        <f t="shared" si="9"/>
      </c>
      <c r="AH12" s="86">
        <f t="shared" si="10"/>
      </c>
      <c r="AI12" s="86">
        <f t="shared" si="11"/>
      </c>
    </row>
    <row r="13" spans="2:35" x14ac:dyDescent="0.3">
      <c r="B13" s="126"/>
      <c r="C13" s="30">
        <f t="shared" si="0"/>
      </c>
      <c r="D13" s="30">
        <f t="shared" si="1"/>
      </c>
      <c r="E13" s="55"/>
      <c r="F13" s="26">
        <f>IF(G13=1,MAX($F$4:F12)+1,"")</f>
        <v/>
      </c>
      <c r="G13" s="26">
        <f>COUNTIF($H$5:H13,H13)</f>
      </c>
      <c r="H13" s="26">
        <f t="shared" si="12"/>
      </c>
      <c r="I13" s="26">
        <f>COUNTIF($J$4:$J13,1)</f>
      </c>
      <c r="J13" s="26">
        <f>COUNTIF($S$5:$S13,S13)</f>
      </c>
      <c r="K13" s="26">
        <f t="shared" si="13"/>
      </c>
      <c r="L13" s="26">
        <f>IFERROR(IF(P13=0,0,MAX($L$4:L12)+1),0)</f>
      </c>
      <c r="M13" s="5">
        <f t="shared" si="14"/>
      </c>
      <c r="N13" s="5">
        <f t="shared" si="15"/>
      </c>
      <c r="P13" s="86">
        <f t="shared" si="2"/>
      </c>
      <c r="Q13" s="86">
        <f t="shared" si="3"/>
      </c>
      <c r="R13" s="86">
        <f t="shared" si="4"/>
      </c>
      <c r="S13" s="86">
        <f t="shared" si="5"/>
      </c>
      <c r="T13" s="86">
        <f t="shared" si="16"/>
        <v/>
      </c>
      <c r="U13" s="86">
        <f t="shared" si="17"/>
        <v/>
      </c>
      <c r="V13" s="86">
        <f t="shared" si="18"/>
      </c>
      <c r="W13" s="87">
        <f t="shared" si="6"/>
      </c>
      <c r="X13" s="88"/>
      <c r="Y13" s="88"/>
      <c r="Z13" s="88"/>
      <c r="AA13" s="88"/>
      <c r="AB13" s="88"/>
      <c r="AD13" s="86">
        <f t="shared" si="7"/>
      </c>
      <c r="AE13" s="86">
        <f t="shared" si="8"/>
      </c>
      <c r="AG13" s="86">
        <f t="shared" si="9"/>
      </c>
      <c r="AH13" s="86">
        <f t="shared" si="10"/>
      </c>
      <c r="AI13" s="86">
        <f t="shared" si="11"/>
      </c>
    </row>
    <row r="14" spans="2:35" x14ac:dyDescent="0.3">
      <c r="B14" s="126"/>
      <c r="C14" s="30">
        <f t="shared" si="0"/>
      </c>
      <c r="D14" s="30">
        <f t="shared" si="1"/>
      </c>
      <c r="E14" s="55"/>
      <c r="F14" s="26">
        <f>IF(G14=1,MAX($F$4:F13)+1,"")</f>
        <v/>
      </c>
      <c r="G14" s="26">
        <f>COUNTIF($H$5:H14,H14)</f>
      </c>
      <c r="H14" s="26">
        <f t="shared" si="12"/>
      </c>
      <c r="I14" s="26">
        <f>COUNTIF($J$4:$J14,1)</f>
      </c>
      <c r="J14" s="26">
        <f>COUNTIF($S$5:$S14,S14)</f>
      </c>
      <c r="K14" s="26">
        <f t="shared" si="13"/>
      </c>
      <c r="L14" s="26">
        <f>IFERROR(IF(P14=0,0,MAX($L$4:L13)+1),0)</f>
      </c>
      <c r="M14" s="5">
        <f t="shared" si="14"/>
      </c>
      <c r="N14" s="5">
        <f t="shared" si="15"/>
      </c>
      <c r="P14" s="86">
        <f t="shared" si="2"/>
      </c>
      <c r="Q14" s="86">
        <f t="shared" si="3"/>
      </c>
      <c r="R14" s="86">
        <f t="shared" si="4"/>
      </c>
      <c r="S14" s="86">
        <f t="shared" si="5"/>
      </c>
      <c r="T14" s="86">
        <f t="shared" si="16"/>
        <v/>
      </c>
      <c r="U14" s="86">
        <f t="shared" si="17"/>
        <v/>
      </c>
      <c r="V14" s="86">
        <f t="shared" si="18"/>
      </c>
      <c r="W14" s="87">
        <f t="shared" si="6"/>
      </c>
      <c r="X14" s="88"/>
      <c r="Y14" s="88"/>
      <c r="Z14" s="88"/>
      <c r="AA14" s="88"/>
      <c r="AB14" s="88"/>
      <c r="AD14" s="86">
        <f t="shared" si="7"/>
      </c>
      <c r="AE14" s="86">
        <f t="shared" si="8"/>
      </c>
      <c r="AG14" s="86">
        <f t="shared" si="9"/>
      </c>
      <c r="AH14" s="86">
        <f t="shared" si="10"/>
      </c>
      <c r="AI14" s="86">
        <f t="shared" si="11"/>
      </c>
    </row>
    <row r="15" spans="2:35" x14ac:dyDescent="0.3">
      <c r="B15" s="126"/>
      <c r="C15" s="30">
        <f t="shared" si="0"/>
      </c>
      <c r="D15" s="30">
        <f t="shared" si="1"/>
      </c>
      <c r="E15" s="55"/>
      <c r="F15" s="26">
        <f>IF(G15=1,MAX($F$4:F14)+1,"")</f>
        <v/>
      </c>
      <c r="G15" s="26">
        <f>COUNTIF($H$5:H15,H15)</f>
      </c>
      <c r="H15" s="26">
        <f t="shared" si="12"/>
      </c>
      <c r="I15" s="26">
        <f>COUNTIF($J$4:$J15,1)</f>
      </c>
      <c r="J15" s="26">
        <f>COUNTIF($S$5:$S15,S15)</f>
      </c>
      <c r="K15" s="26">
        <f t="shared" si="13"/>
      </c>
      <c r="L15" s="26">
        <f>IFERROR(IF(P15=0,0,MAX($L$4:L14)+1),0)</f>
      </c>
      <c r="M15" s="5">
        <f t="shared" si="14"/>
      </c>
      <c r="N15" s="5">
        <f t="shared" si="15"/>
      </c>
      <c r="P15" s="86">
        <f t="shared" si="2"/>
      </c>
      <c r="Q15" s="86">
        <f t="shared" si="3"/>
      </c>
      <c r="R15" s="86">
        <f t="shared" si="4"/>
      </c>
      <c r="S15" s="86">
        <f t="shared" si="5"/>
      </c>
      <c r="T15" s="86">
        <f t="shared" si="16"/>
        <v/>
      </c>
      <c r="U15" s="86">
        <f t="shared" si="17"/>
        <v/>
      </c>
      <c r="V15" s="86">
        <f t="shared" si="18"/>
      </c>
      <c r="W15" s="87">
        <f t="shared" si="6"/>
      </c>
      <c r="X15" s="88"/>
      <c r="Y15" s="88" t="s">
        <v>362</v>
      </c>
      <c r="Z15" s="88"/>
      <c r="AA15" s="88"/>
      <c r="AB15" s="88"/>
      <c r="AD15" s="86">
        <f t="shared" si="7"/>
      </c>
      <c r="AE15" s="86">
        <f t="shared" si="8"/>
      </c>
      <c r="AG15" s="86">
        <f t="shared" si="9"/>
      </c>
      <c r="AH15" s="86">
        <f t="shared" si="10"/>
      </c>
      <c r="AI15" s="86">
        <f t="shared" si="11"/>
      </c>
    </row>
    <row r="16" spans="2:35" x14ac:dyDescent="0.3">
      <c r="B16" s="126"/>
      <c r="C16" s="30">
        <f t="shared" si="0"/>
      </c>
      <c r="D16" s="30">
        <f t="shared" si="1"/>
      </c>
      <c r="E16" s="55"/>
      <c r="F16" s="26">
        <f>IF(G16=1,MAX($F$4:F15)+1,"")</f>
        <v/>
      </c>
      <c r="G16" s="26">
        <f>COUNTIF($H$5:H16,H16)</f>
      </c>
      <c r="H16" s="26">
        <f t="shared" si="12"/>
      </c>
      <c r="I16" s="26">
        <f>COUNTIF($J$4:$J16,1)</f>
      </c>
      <c r="J16" s="26">
        <f>COUNTIF($S$5:$S16,S16)</f>
      </c>
      <c r="K16" s="26">
        <f t="shared" si="13"/>
      </c>
      <c r="L16" s="26">
        <f>IFERROR(IF(P16=0,0,MAX($L$4:L15)+1),0)</f>
      </c>
      <c r="M16" s="5">
        <f t="shared" si="14"/>
      </c>
      <c r="N16" s="5">
        <f t="shared" si="15"/>
      </c>
      <c r="P16" s="86">
        <f t="shared" si="2"/>
      </c>
      <c r="Q16" s="86">
        <f t="shared" si="3"/>
      </c>
      <c r="R16" s="86">
        <f t="shared" si="4"/>
      </c>
      <c r="S16" s="86">
        <f t="shared" si="5"/>
      </c>
      <c r="T16" s="86">
        <f t="shared" si="16"/>
        <v/>
      </c>
      <c r="U16" s="86">
        <f t="shared" si="17"/>
        <v/>
      </c>
      <c r="V16" s="86">
        <f t="shared" si="18"/>
      </c>
      <c r="W16" s="87">
        <f t="shared" si="6"/>
      </c>
      <c r="X16" s="88"/>
      <c r="Y16" s="88"/>
      <c r="Z16" s="88"/>
      <c r="AA16" s="88"/>
      <c r="AB16" s="88"/>
      <c r="AD16" s="86">
        <f t="shared" si="7"/>
      </c>
      <c r="AE16" s="86">
        <f t="shared" si="8"/>
      </c>
      <c r="AG16" s="86">
        <f t="shared" si="9"/>
      </c>
      <c r="AH16" s="86">
        <f t="shared" si="10"/>
      </c>
      <c r="AI16" s="86">
        <f t="shared" si="11"/>
      </c>
    </row>
    <row r="17" spans="2:35" x14ac:dyDescent="0.3">
      <c r="B17" s="126"/>
      <c r="C17" s="30">
        <f t="shared" si="0"/>
      </c>
      <c r="D17" s="30">
        <f t="shared" si="1"/>
      </c>
      <c r="E17" s="55"/>
      <c r="F17" s="26">
        <f>IF(G17=1,MAX($F$4:F16)+1,"")</f>
        <v/>
      </c>
      <c r="G17" s="26">
        <f>COUNTIF($H$5:H17,H17)</f>
      </c>
      <c r="H17" s="26">
        <f t="shared" si="12"/>
      </c>
      <c r="I17" s="26">
        <f>COUNTIF($J$4:$J17,1)</f>
      </c>
      <c r="J17" s="26">
        <f>COUNTIF($S$5:$S17,S17)</f>
      </c>
      <c r="K17" s="26">
        <f t="shared" si="13"/>
      </c>
      <c r="L17" s="26">
        <f>IFERROR(IF(P17=0,0,MAX($L$4:L16)+1),0)</f>
      </c>
      <c r="M17" s="5">
        <f t="shared" si="14"/>
      </c>
      <c r="N17" s="5">
        <f t="shared" si="15"/>
      </c>
      <c r="P17" s="86">
        <f t="shared" si="2"/>
      </c>
      <c r="Q17" s="86">
        <f t="shared" si="3"/>
      </c>
      <c r="R17" s="86">
        <f t="shared" si="4"/>
      </c>
      <c r="S17" s="86">
        <f t="shared" si="5"/>
      </c>
      <c r="T17" s="86">
        <f t="shared" si="16"/>
        <v/>
      </c>
      <c r="U17" s="86">
        <f t="shared" si="17"/>
        <v/>
      </c>
      <c r="V17" s="86">
        <f t="shared" si="18"/>
      </c>
      <c r="W17" s="87">
        <f t="shared" si="6"/>
      </c>
      <c r="X17" s="88"/>
      <c r="Y17" s="88"/>
      <c r="Z17" s="88"/>
      <c r="AA17" s="88"/>
      <c r="AB17" s="88"/>
      <c r="AD17" s="86">
        <f t="shared" si="7"/>
      </c>
      <c r="AE17" s="86">
        <f t="shared" si="8"/>
      </c>
      <c r="AG17" s="86">
        <f t="shared" si="9"/>
      </c>
      <c r="AH17" s="86">
        <f t="shared" si="10"/>
      </c>
      <c r="AI17" s="86">
        <f t="shared" si="11"/>
      </c>
    </row>
    <row r="18" spans="2:35" x14ac:dyDescent="0.3">
      <c r="B18" s="126"/>
      <c r="C18" s="30">
        <f t="shared" si="0"/>
      </c>
      <c r="D18" s="30">
        <f t="shared" si="1"/>
      </c>
      <c r="E18" s="55"/>
      <c r="F18" s="26">
        <f>IF(G18=1,MAX($F$4:F17)+1,"")</f>
        <v/>
      </c>
      <c r="G18" s="26">
        <f>COUNTIF($H$5:H18,H18)</f>
      </c>
      <c r="H18" s="26">
        <f t="shared" si="12"/>
      </c>
      <c r="I18" s="26">
        <f>COUNTIF($J$4:$J18,1)</f>
      </c>
      <c r="J18" s="26">
        <f>COUNTIF($S$5:$S18,S18)</f>
      </c>
      <c r="K18" s="26">
        <f t="shared" si="13"/>
      </c>
      <c r="L18" s="26">
        <f>IFERROR(IF(P18=0,0,MAX($L$4:L17)+1),0)</f>
      </c>
      <c r="M18" s="5">
        <f t="shared" si="14"/>
      </c>
      <c r="N18" s="5">
        <f t="shared" si="15"/>
      </c>
      <c r="P18" s="86">
        <f t="shared" si="2"/>
      </c>
      <c r="Q18" s="86">
        <f t="shared" si="3"/>
      </c>
      <c r="R18" s="86">
        <f t="shared" si="4"/>
      </c>
      <c r="S18" s="86">
        <f t="shared" si="5"/>
      </c>
      <c r="T18" s="86">
        <f t="shared" si="16"/>
        <v/>
      </c>
      <c r="U18" s="86">
        <f t="shared" si="17"/>
        <v/>
      </c>
      <c r="V18" s="86">
        <f t="shared" si="18"/>
      </c>
      <c r="W18" s="87">
        <f t="shared" si="6"/>
      </c>
      <c r="X18" s="88"/>
      <c r="Y18" s="88"/>
      <c r="Z18" s="88"/>
      <c r="AA18" s="88"/>
      <c r="AB18" s="88"/>
      <c r="AD18" s="86">
        <f t="shared" si="7"/>
      </c>
      <c r="AE18" s="86">
        <f t="shared" si="8"/>
      </c>
      <c r="AG18" s="86">
        <f t="shared" si="9"/>
      </c>
      <c r="AH18" s="86">
        <f t="shared" si="10"/>
      </c>
      <c r="AI18" s="86">
        <f t="shared" si="11"/>
      </c>
    </row>
    <row r="19" spans="2:35" x14ac:dyDescent="0.3">
      <c r="B19" s="126"/>
      <c r="C19" s="30">
        <f t="shared" si="0"/>
      </c>
      <c r="D19" s="30">
        <f t="shared" si="1"/>
      </c>
      <c r="E19" s="55"/>
      <c r="F19" s="26">
        <f>IF(G19=1,MAX($F$4:F18)+1,"")</f>
        <v/>
      </c>
      <c r="G19" s="26">
        <f>COUNTIF($H$5:H19,H19)</f>
      </c>
      <c r="H19" s="26">
        <f t="shared" si="12"/>
      </c>
      <c r="I19" s="26">
        <f>COUNTIF($J$4:$J19,1)</f>
      </c>
      <c r="J19" s="26">
        <f>COUNTIF($S$5:$S19,S19)</f>
      </c>
      <c r="K19" s="26">
        <f t="shared" si="13"/>
      </c>
      <c r="L19" s="26">
        <f>IFERROR(IF(P19=0,0,MAX($L$4:L18)+1),0)</f>
      </c>
      <c r="M19" s="5">
        <f t="shared" si="14"/>
      </c>
      <c r="N19" s="5">
        <f t="shared" si="15"/>
      </c>
      <c r="P19" s="86">
        <f t="shared" si="2"/>
      </c>
      <c r="Q19" s="86">
        <f t="shared" si="3"/>
      </c>
      <c r="R19" s="86">
        <f t="shared" si="4"/>
      </c>
      <c r="S19" s="86">
        <f t="shared" si="5"/>
      </c>
      <c r="T19" s="86">
        <f t="shared" si="16"/>
        <v/>
      </c>
      <c r="U19" s="86">
        <f t="shared" si="17"/>
        <v/>
      </c>
      <c r="V19" s="86">
        <f t="shared" si="18"/>
      </c>
      <c r="W19" s="87">
        <f t="shared" si="6"/>
      </c>
      <c r="X19" s="88"/>
      <c r="Y19" s="88"/>
      <c r="Z19" s="88"/>
      <c r="AA19" s="88"/>
      <c r="AB19" s="88"/>
      <c r="AD19" s="86">
        <f t="shared" si="7"/>
      </c>
      <c r="AE19" s="86">
        <f t="shared" si="8"/>
      </c>
      <c r="AG19" s="86">
        <f t="shared" si="9"/>
      </c>
      <c r="AH19" s="86">
        <f t="shared" si="10"/>
      </c>
      <c r="AI19" s="86">
        <f t="shared" si="11"/>
      </c>
    </row>
    <row r="20" spans="2:35" x14ac:dyDescent="0.3">
      <c r="B20" s="126"/>
      <c r="C20" s="30">
        <f t="shared" si="0"/>
      </c>
      <c r="D20" s="30">
        <f t="shared" ref="D20:D24" si="19">SUMIF($S$5:$S$1000,C20,$W$5:$W$1000)+SUMIF($S$5:$S$1000,C20,$W$5:$W$1000)*$D$3</f>
      </c>
      <c r="F20" s="26">
        <f>IF(G20=1,MAX($F$4:F19)+1,"")</f>
        <v/>
      </c>
      <c r="G20" s="26">
        <f>COUNTIF($H$5:H20,H20)</f>
      </c>
      <c r="H20" s="26">
        <f t="shared" si="12"/>
      </c>
      <c r="I20" s="26">
        <f>COUNTIF($J$4:$J20,1)</f>
      </c>
      <c r="J20" s="26">
        <f>COUNTIF($S$5:$S20,S20)</f>
      </c>
      <c r="K20" s="26">
        <f t="shared" si="13"/>
      </c>
      <c r="L20" s="26">
        <f>IFERROR(IF(P20=0,0,MAX($L$4:L19)+1),0)</f>
      </c>
      <c r="M20" s="5">
        <f t="shared" si="14"/>
      </c>
      <c r="N20" s="5">
        <f t="shared" si="15"/>
      </c>
      <c r="P20" s="86">
        <f t="shared" si="2"/>
      </c>
      <c r="Q20" s="86">
        <f t="shared" si="3"/>
      </c>
      <c r="R20" s="86">
        <f t="shared" si="4"/>
      </c>
      <c r="S20" s="86">
        <f t="shared" si="5"/>
      </c>
      <c r="T20" s="86">
        <f t="shared" si="16"/>
        <v/>
      </c>
      <c r="U20" s="86">
        <f t="shared" si="17"/>
        <v/>
      </c>
      <c r="V20" s="86">
        <f t="shared" si="18"/>
      </c>
      <c r="W20" s="87">
        <f t="shared" si="6"/>
      </c>
      <c r="X20" s="88"/>
      <c r="Y20" s="88"/>
      <c r="Z20" s="88"/>
      <c r="AA20" s="88"/>
      <c r="AB20" s="88"/>
      <c r="AD20" s="86">
        <f t="shared" si="7"/>
      </c>
      <c r="AE20" s="86">
        <f t="shared" si="8"/>
      </c>
      <c r="AG20" s="86">
        <f t="shared" si="9"/>
      </c>
      <c r="AH20" s="86">
        <f t="shared" si="10"/>
      </c>
      <c r="AI20" s="86">
        <f t="shared" si="11"/>
      </c>
    </row>
    <row r="21" spans="2:35" x14ac:dyDescent="0.3">
      <c r="C21" s="30">
        <f t="shared" si="0"/>
      </c>
      <c r="D21" s="30">
        <f t="shared" si="19"/>
      </c>
      <c r="F21" s="26">
        <f>IF(G21=1,MAX($F$4:F20)+1,"")</f>
        <v/>
      </c>
      <c r="G21" s="26">
        <f>COUNTIF($H$5:H21,H21)</f>
      </c>
      <c r="H21" s="26">
        <f t="shared" si="12"/>
      </c>
      <c r="I21" s="26">
        <f>COUNTIF($J$4:$J21,1)</f>
      </c>
      <c r="J21" s="26">
        <f>COUNTIF($S$5:$S21,S21)</f>
      </c>
      <c r="K21" s="26">
        <f t="shared" si="13"/>
      </c>
      <c r="L21" s="26">
        <f>IFERROR(IF(P21=0,0,MAX($L$4:L20)+1),0)</f>
      </c>
      <c r="M21" s="5">
        <f t="shared" si="14"/>
      </c>
      <c r="N21" s="5">
        <f t="shared" si="15"/>
      </c>
      <c r="P21" s="86">
        <f t="shared" si="2"/>
      </c>
      <c r="Q21" s="86">
        <f t="shared" si="3"/>
      </c>
      <c r="R21" s="86">
        <f t="shared" si="4"/>
      </c>
      <c r="S21" s="86">
        <f t="shared" si="5"/>
      </c>
      <c r="T21" s="86">
        <f t="shared" si="16"/>
        <v/>
      </c>
      <c r="U21" s="86">
        <f t="shared" si="17"/>
        <v/>
      </c>
      <c r="V21" s="86">
        <f t="shared" si="18"/>
      </c>
      <c r="W21" s="87">
        <f t="shared" si="6"/>
      </c>
      <c r="X21" s="88"/>
      <c r="Y21" s="88"/>
      <c r="Z21" s="88"/>
      <c r="AA21" s="88"/>
      <c r="AB21" s="88"/>
      <c r="AD21" s="86">
        <f t="shared" si="7"/>
      </c>
      <c r="AE21" s="86">
        <f t="shared" si="8"/>
      </c>
      <c r="AG21" s="86">
        <f t="shared" si="9"/>
      </c>
      <c r="AH21" s="86">
        <f t="shared" si="10"/>
      </c>
      <c r="AI21" s="86">
        <f t="shared" si="11"/>
      </c>
    </row>
    <row r="22" spans="2:35" x14ac:dyDescent="0.3">
      <c r="C22" s="30">
        <f t="shared" si="0"/>
      </c>
      <c r="D22" s="30">
        <f t="shared" si="19"/>
      </c>
      <c r="F22" s="26">
        <f>IF(G22=1,MAX($F$4:F21)+1,"")</f>
        <v/>
      </c>
      <c r="G22" s="26">
        <f>COUNTIF($H$5:H22,H22)</f>
      </c>
      <c r="H22" s="26">
        <f t="shared" si="12"/>
      </c>
      <c r="I22" s="26">
        <f>COUNTIF($J$4:$J22,1)</f>
      </c>
      <c r="J22" s="26">
        <f>COUNTIF($S$5:$S22,S22)</f>
      </c>
      <c r="K22" s="26">
        <f t="shared" si="13"/>
      </c>
      <c r="L22" s="26">
        <f>IFERROR(IF(P22=0,0,MAX($L$4:L21)+1),0)</f>
      </c>
      <c r="M22" s="5">
        <f t="shared" si="14"/>
      </c>
      <c r="N22" s="5">
        <f t="shared" si="15"/>
      </c>
      <c r="P22" s="86">
        <f t="shared" si="2"/>
      </c>
      <c r="Q22" s="86">
        <f t="shared" si="3"/>
      </c>
      <c r="R22" s="86">
        <f t="shared" si="4"/>
      </c>
      <c r="S22" s="86">
        <f t="shared" si="5"/>
      </c>
      <c r="T22" s="86">
        <f t="shared" si="16"/>
        <v/>
      </c>
      <c r="U22" s="86">
        <f t="shared" si="17"/>
        <v/>
      </c>
      <c r="V22" s="86">
        <f t="shared" si="18"/>
      </c>
      <c r="W22" s="87">
        <f t="shared" si="6"/>
      </c>
      <c r="X22" s="88"/>
      <c r="Y22" s="88"/>
      <c r="Z22" s="88"/>
      <c r="AA22" s="88"/>
      <c r="AB22" s="88"/>
      <c r="AD22" s="86">
        <f t="shared" si="7"/>
      </c>
      <c r="AE22" s="86">
        <f t="shared" si="8"/>
      </c>
      <c r="AG22" s="86">
        <f t="shared" si="9"/>
      </c>
      <c r="AH22" s="86">
        <f t="shared" si="10"/>
      </c>
      <c r="AI22" s="86">
        <f t="shared" si="11"/>
      </c>
    </row>
    <row r="23" spans="2:35" x14ac:dyDescent="0.3">
      <c r="C23" s="30">
        <f t="shared" si="0"/>
      </c>
      <c r="D23" s="30">
        <f t="shared" si="19"/>
      </c>
      <c r="F23" s="26">
        <f>IF(G23=1,MAX($F$4:F22)+1,"")</f>
        <v/>
      </c>
      <c r="G23" s="26">
        <f>COUNTIF($H$5:H23,H23)</f>
      </c>
      <c r="H23" s="26">
        <f t="shared" si="12"/>
      </c>
      <c r="I23" s="26">
        <f>COUNTIF($J$4:$J23,1)</f>
      </c>
      <c r="J23" s="26">
        <f>COUNTIF($S$5:$S23,S23)</f>
      </c>
      <c r="K23" s="26">
        <f t="shared" si="13"/>
      </c>
      <c r="L23" s="26">
        <f>IFERROR(IF(P23=0,0,MAX($L$4:L22)+1),0)</f>
      </c>
      <c r="M23" s="5">
        <f t="shared" si="14"/>
      </c>
      <c r="N23" s="5">
        <f t="shared" si="15"/>
      </c>
      <c r="P23" s="86">
        <f t="shared" si="2"/>
      </c>
      <c r="Q23" s="86">
        <f t="shared" si="3"/>
      </c>
      <c r="R23" s="86">
        <f t="shared" si="4"/>
      </c>
      <c r="S23" s="86">
        <f t="shared" si="5"/>
      </c>
      <c r="T23" s="86">
        <f t="shared" si="16"/>
        <v/>
      </c>
      <c r="U23" s="86">
        <f t="shared" si="17"/>
        <v/>
      </c>
      <c r="V23" s="86">
        <f t="shared" si="18"/>
      </c>
      <c r="W23" s="87">
        <f t="shared" si="6"/>
      </c>
      <c r="X23" s="88"/>
      <c r="Y23" s="88"/>
      <c r="Z23" s="88"/>
      <c r="AA23" s="88"/>
      <c r="AB23" s="88"/>
      <c r="AD23" s="86">
        <f t="shared" si="7"/>
      </c>
      <c r="AE23" s="86">
        <f t="shared" si="8"/>
      </c>
      <c r="AG23" s="86">
        <f t="shared" si="9"/>
      </c>
      <c r="AH23" s="86">
        <f t="shared" si="10"/>
      </c>
      <c r="AI23" s="86">
        <f t="shared" si="11"/>
      </c>
    </row>
    <row r="24" spans="2:35" x14ac:dyDescent="0.3">
      <c r="C24" s="30">
        <f t="shared" si="0"/>
      </c>
      <c r="D24" s="30">
        <f t="shared" si="19"/>
      </c>
      <c r="F24" s="26">
        <f>IF(G24=1,MAX($F$4:F23)+1,"")</f>
        <v/>
      </c>
      <c r="G24" s="26">
        <f>COUNTIF($H$5:H24,H24)</f>
      </c>
      <c r="H24" s="26">
        <f t="shared" si="12"/>
      </c>
      <c r="I24" s="26">
        <f>COUNTIF($J$4:$J24,1)</f>
      </c>
      <c r="J24" s="26">
        <f>COUNTIF($S$5:$S24,S24)</f>
      </c>
      <c r="K24" s="26">
        <f t="shared" si="13"/>
      </c>
      <c r="L24" s="26">
        <f>IFERROR(IF(P24=0,0,MAX($L$4:L23)+1),0)</f>
      </c>
      <c r="M24" s="5">
        <f t="shared" si="14"/>
      </c>
      <c r="N24" s="5">
        <f t="shared" si="15"/>
      </c>
      <c r="P24" s="86">
        <f t="shared" si="2"/>
      </c>
      <c r="Q24" s="86">
        <f t="shared" si="3"/>
      </c>
      <c r="R24" s="86">
        <f t="shared" si="4"/>
      </c>
      <c r="S24" s="86">
        <f t="shared" si="5"/>
      </c>
      <c r="T24" s="86">
        <f t="shared" si="16"/>
        <v/>
      </c>
      <c r="U24" s="86">
        <f t="shared" si="17"/>
        <v/>
      </c>
      <c r="V24" s="86">
        <f t="shared" si="18"/>
      </c>
      <c r="W24" s="87">
        <f t="shared" si="6"/>
      </c>
      <c r="X24" s="88"/>
      <c r="Y24" s="88"/>
      <c r="Z24" s="88"/>
      <c r="AA24" s="88"/>
      <c r="AB24" s="88"/>
      <c r="AD24" s="86">
        <f t="shared" si="7"/>
      </c>
      <c r="AE24" s="86">
        <f t="shared" si="8"/>
      </c>
      <c r="AG24" s="86">
        <f t="shared" si="9"/>
      </c>
      <c r="AH24" s="86">
        <f t="shared" si="10"/>
      </c>
      <c r="AI24" s="86">
        <f t="shared" si="11"/>
      </c>
    </row>
    <row r="25" spans="2:35" x14ac:dyDescent="0.3">
      <c r="C25" s="30">
        <f t="shared" si="0"/>
      </c>
      <c r="D25" s="30">
        <f t="shared" ref="D25:D27" si="20">SUMIF($S$5:$S$1000,C25,$W$5:$W$1000)+SUMIF($S$5:$S$1000,C25,$W$5:$W$1000)*$D$3</f>
      </c>
      <c r="F25" s="26">
        <f>IF(G25=1,MAX($F$4:F24)+1,"")</f>
        <v/>
      </c>
      <c r="G25" s="26">
        <f>COUNTIF($H$5:H25,H25)</f>
      </c>
      <c r="H25" s="26">
        <f t="shared" si="12"/>
      </c>
      <c r="I25" s="26">
        <f>COUNTIF($J$4:$J25,1)</f>
      </c>
      <c r="J25" s="26">
        <f>COUNTIF($S$5:$S25,S25)</f>
      </c>
      <c r="K25" s="26">
        <f t="shared" si="13"/>
      </c>
      <c r="L25" s="26">
        <f>IFERROR(IF(P25=0,0,MAX($L$4:L24)+1),0)</f>
      </c>
      <c r="M25" s="5">
        <f t="shared" si="14"/>
      </c>
      <c r="N25" s="5">
        <f t="shared" si="15"/>
      </c>
      <c r="P25" s="86">
        <f t="shared" si="2"/>
      </c>
      <c r="Q25" s="86">
        <f t="shared" si="3"/>
      </c>
      <c r="R25" s="86">
        <f t="shared" si="4"/>
      </c>
      <c r="S25" s="86">
        <f t="shared" si="5"/>
      </c>
      <c r="T25" s="86">
        <f t="shared" si="16"/>
        <v/>
      </c>
      <c r="U25" s="86">
        <f t="shared" si="17"/>
        <v/>
      </c>
      <c r="V25" s="86">
        <f t="shared" si="18"/>
      </c>
      <c r="W25" s="87">
        <f t="shared" si="6"/>
      </c>
      <c r="X25" s="88"/>
      <c r="Y25" s="88"/>
      <c r="Z25" s="88"/>
      <c r="AA25" s="88"/>
      <c r="AB25" s="88"/>
      <c r="AD25" s="86">
        <f t="shared" si="7"/>
      </c>
      <c r="AE25" s="86">
        <f t="shared" si="8"/>
      </c>
      <c r="AG25" s="86">
        <f t="shared" si="9"/>
      </c>
      <c r="AH25" s="86">
        <f t="shared" si="10"/>
      </c>
      <c r="AI25" s="86">
        <f t="shared" si="11"/>
      </c>
    </row>
    <row r="26" spans="2:35" x14ac:dyDescent="0.3">
      <c r="C26" s="30">
        <f t="shared" si="0"/>
      </c>
      <c r="D26" s="30">
        <f t="shared" si="20"/>
      </c>
      <c r="F26" s="26">
        <f>IF(G26=1,MAX($F$4:F25)+1,"")</f>
        <v/>
      </c>
      <c r="G26" s="26">
        <f>COUNTIF($H$5:H26,H26)</f>
      </c>
      <c r="H26" s="26">
        <f t="shared" si="12"/>
      </c>
      <c r="I26" s="26">
        <f>COUNTIF($J$4:$J26,1)</f>
      </c>
      <c r="J26" s="26">
        <f>COUNTIF($S$5:$S26,S26)</f>
      </c>
      <c r="K26" s="26">
        <f t="shared" si="13"/>
      </c>
      <c r="L26" s="26">
        <f>IFERROR(IF(P26=0,0,MAX($L$4:L25)+1),0)</f>
      </c>
      <c r="M26" s="5">
        <f t="shared" si="14"/>
      </c>
      <c r="N26" s="5">
        <f t="shared" si="15"/>
      </c>
      <c r="P26" s="86">
        <f t="shared" si="2"/>
      </c>
      <c r="Q26" s="86">
        <f t="shared" si="3"/>
      </c>
      <c r="R26" s="86">
        <f t="shared" si="4"/>
      </c>
      <c r="S26" s="86">
        <f t="shared" si="5"/>
      </c>
      <c r="T26" s="86">
        <f t="shared" si="16"/>
        <v/>
      </c>
      <c r="U26" s="86">
        <f t="shared" si="17"/>
        <v/>
      </c>
      <c r="V26" s="86">
        <f t="shared" si="18"/>
      </c>
      <c r="W26" s="87">
        <f t="shared" si="6"/>
      </c>
      <c r="X26" s="88"/>
      <c r="Y26" s="88"/>
      <c r="Z26" s="88"/>
      <c r="AA26" s="88"/>
      <c r="AB26" s="88"/>
      <c r="AD26" s="86">
        <f t="shared" si="7"/>
      </c>
      <c r="AE26" s="86">
        <f t="shared" si="8"/>
      </c>
      <c r="AG26" s="86">
        <f t="shared" si="9"/>
      </c>
      <c r="AH26" s="86">
        <f t="shared" si="10"/>
      </c>
      <c r="AI26" s="86">
        <f t="shared" si="11"/>
      </c>
    </row>
    <row r="27" spans="2:35" x14ac:dyDescent="0.3">
      <c r="C27" s="30">
        <f t="shared" si="0"/>
      </c>
      <c r="D27" s="30">
        <f t="shared" si="20"/>
      </c>
      <c r="F27" s="26">
        <f>IF(G27=1,MAX($F$4:F26)+1,"")</f>
        <v/>
      </c>
      <c r="G27" s="26">
        <f>COUNTIF($H$5:H27,H27)</f>
      </c>
      <c r="H27" s="26">
        <f t="shared" si="12"/>
      </c>
      <c r="I27" s="26">
        <f>COUNTIF($J$4:$J27,1)</f>
      </c>
      <c r="J27" s="26">
        <f>COUNTIF($S$5:$S27,S27)</f>
      </c>
      <c r="K27" s="26">
        <f t="shared" si="13"/>
      </c>
      <c r="L27" s="26">
        <f>IFERROR(IF(P27=0,0,MAX($L$4:L26)+1),0)</f>
      </c>
      <c r="M27" s="5">
        <f t="shared" si="14"/>
      </c>
      <c r="N27" s="5">
        <f t="shared" si="15"/>
      </c>
      <c r="P27" s="86">
        <f t="shared" si="2"/>
      </c>
      <c r="Q27" s="86">
        <f t="shared" si="3"/>
      </c>
      <c r="R27" s="86">
        <f t="shared" si="4"/>
      </c>
      <c r="S27" s="86">
        <f t="shared" si="5"/>
      </c>
      <c r="T27" s="86">
        <f t="shared" si="16"/>
        <v/>
      </c>
      <c r="U27" s="86">
        <f t="shared" si="17"/>
        <v/>
      </c>
      <c r="V27" s="86">
        <f t="shared" si="18"/>
      </c>
      <c r="W27" s="87">
        <f t="shared" si="6"/>
      </c>
      <c r="X27" s="88"/>
      <c r="Y27" s="88"/>
      <c r="Z27" s="88"/>
      <c r="AA27" s="88"/>
      <c r="AB27" s="88"/>
      <c r="AD27" s="86">
        <f t="shared" si="7"/>
      </c>
      <c r="AE27" s="86">
        <f t="shared" si="8"/>
      </c>
      <c r="AG27" s="86">
        <f t="shared" si="9"/>
      </c>
      <c r="AH27" s="86">
        <f t="shared" si="10"/>
      </c>
      <c r="AI27" s="86">
        <f t="shared" si="11"/>
      </c>
    </row>
    <row r="28" spans="2:35" x14ac:dyDescent="0.3">
      <c r="F28" s="26">
        <f>IF(G28=1,MAX($F$4:F27)+1,"")</f>
        <v/>
      </c>
      <c r="G28" s="26">
        <f>COUNTIF($H$5:H28,H28)</f>
      </c>
      <c r="H28" s="26">
        <f t="shared" si="12"/>
      </c>
      <c r="I28" s="26">
        <f>COUNTIF($J$4:$J28,1)</f>
      </c>
      <c r="J28" s="26">
        <f>COUNTIF($S$5:$S28,S28)</f>
      </c>
      <c r="K28" s="26">
        <f t="shared" si="13"/>
      </c>
      <c r="L28" s="26">
        <f>IFERROR(IF(P28=0,0,MAX($L$4:L27)+1),0)</f>
      </c>
      <c r="M28" s="5">
        <f t="shared" si="14"/>
      </c>
      <c r="N28" s="5">
        <f t="shared" si="15"/>
      </c>
      <c r="P28" s="86">
        <f t="shared" si="2"/>
      </c>
      <c r="Q28" s="86">
        <f t="shared" si="3"/>
      </c>
      <c r="R28" s="86">
        <f t="shared" si="4"/>
      </c>
      <c r="S28" s="86">
        <f t="shared" si="5"/>
      </c>
      <c r="T28" s="86">
        <f t="shared" si="16"/>
        <v/>
      </c>
      <c r="U28" s="86">
        <f t="shared" si="17"/>
        <v/>
      </c>
      <c r="V28" s="86">
        <f t="shared" si="18"/>
      </c>
      <c r="W28" s="87">
        <f t="shared" si="6"/>
      </c>
      <c r="X28" s="88"/>
      <c r="Y28" s="88"/>
      <c r="Z28" s="88"/>
      <c r="AA28" s="88"/>
      <c r="AB28" s="88"/>
      <c r="AD28" s="86">
        <f t="shared" si="7"/>
      </c>
      <c r="AE28" s="86">
        <f t="shared" si="8"/>
      </c>
      <c r="AG28" s="86">
        <f t="shared" si="9"/>
      </c>
      <c r="AH28" s="86">
        <f t="shared" si="10"/>
      </c>
      <c r="AI28" s="86">
        <f t="shared" si="11"/>
      </c>
    </row>
    <row r="29" spans="2:35" x14ac:dyDescent="0.3">
      <c r="B29" s="23" t="s">
        <v>221</v>
      </c>
      <c r="C29" s="23" t="s">
        <v>220</v>
      </c>
      <c r="D29" s="23" t="s">
        <v>110</v>
      </c>
      <c r="F29" s="26">
        <f>IF(G29=1,MAX($F$4:F28)+1,"")</f>
        <v/>
      </c>
      <c r="G29" s="26">
        <f>COUNTIF($H$5:H29,H29)</f>
      </c>
      <c r="H29" s="26">
        <f t="shared" si="12"/>
      </c>
      <c r="I29" s="26">
        <f>COUNTIF($J$4:$J29,1)</f>
      </c>
      <c r="J29" s="26">
        <f>COUNTIF($S$5:$S29,S29)</f>
      </c>
      <c r="K29" s="26">
        <f t="shared" si="13"/>
      </c>
      <c r="L29" s="26">
        <f>IFERROR(IF(P29=0,0,MAX($L$4:L28)+1),0)</f>
      </c>
      <c r="M29" s="5">
        <f t="shared" si="14"/>
      </c>
      <c r="N29" s="5">
        <f t="shared" si="15"/>
      </c>
      <c r="P29" s="86">
        <f t="shared" si="2"/>
      </c>
      <c r="Q29" s="86">
        <f t="shared" si="3"/>
      </c>
      <c r="R29" s="86">
        <f t="shared" si="4"/>
      </c>
      <c r="S29" s="86">
        <f t="shared" si="5"/>
      </c>
      <c r="T29" s="86">
        <f t="shared" si="16"/>
        <v/>
      </c>
      <c r="U29" s="86">
        <f t="shared" si="17"/>
        <v/>
      </c>
      <c r="V29" s="86">
        <f t="shared" si="18"/>
      </c>
      <c r="W29" s="87">
        <f t="shared" si="6"/>
      </c>
      <c r="X29" s="88"/>
      <c r="Y29" s="88"/>
      <c r="Z29" s="88"/>
      <c r="AA29" s="88"/>
      <c r="AB29" s="88"/>
      <c r="AD29" s="86">
        <f t="shared" si="7"/>
      </c>
      <c r="AE29" s="86">
        <f t="shared" si="8"/>
      </c>
      <c r="AG29" s="86">
        <f t="shared" si="9"/>
      </c>
      <c r="AH29" s="86">
        <f t="shared" si="10"/>
      </c>
      <c r="AI29" s="86">
        <f t="shared" si="11"/>
      </c>
    </row>
    <row r="30" spans="2:35" x14ac:dyDescent="0.3">
      <c r="B30" s="30">
        <f t="shared" ref="B30:B53" si="21">VLOOKUP(ROW(1:1),$F$5:$H$1000,3,FALSE)</f>
      </c>
      <c r="C30" s="30">
        <f t="shared" ref="C30:C53" si="22">VLOOKUP(B30,Справочная_ПТО,2,FALSE)</f>
      </c>
      <c r="D30" s="30">
        <f t="shared" ref="D30:D53" si="23">SUMIF($H$5:$H$1000,B30,$W$5:$W$1000)</f>
      </c>
      <c r="F30" s="26">
        <f>IF(G30=1,MAX($F$4:F29)+1,"")</f>
        <v/>
      </c>
      <c r="G30" s="26">
        <f>COUNTIF($H$5:H30,H30)</f>
      </c>
      <c r="H30" s="26">
        <f t="shared" si="12"/>
      </c>
      <c r="I30" s="26">
        <f>COUNTIF($J$4:$J30,1)</f>
      </c>
      <c r="J30" s="26">
        <f>COUNTIF($S$5:$S30,S30)</f>
      </c>
      <c r="K30" s="26">
        <f t="shared" si="13"/>
      </c>
      <c r="L30" s="26">
        <f>IFERROR(IF(P30=0,0,MAX($L$4:L29)+1),0)</f>
      </c>
      <c r="M30" s="5">
        <f t="shared" si="14"/>
      </c>
      <c r="N30" s="5">
        <f t="shared" si="15"/>
      </c>
      <c r="P30" s="86">
        <f t="shared" si="2"/>
      </c>
      <c r="Q30" s="86">
        <f t="shared" si="3"/>
      </c>
      <c r="R30" s="86">
        <f t="shared" si="4"/>
      </c>
      <c r="S30" s="86">
        <f t="shared" si="5"/>
      </c>
      <c r="T30" s="86">
        <f t="shared" si="16"/>
        <v/>
      </c>
      <c r="U30" s="86">
        <f t="shared" si="17"/>
        <v/>
      </c>
      <c r="V30" s="86">
        <f t="shared" si="18"/>
      </c>
      <c r="W30" s="87">
        <f t="shared" si="6"/>
      </c>
      <c r="X30" s="88"/>
      <c r="Y30" s="88"/>
      <c r="Z30" s="88"/>
      <c r="AA30" s="88"/>
      <c r="AB30" s="88"/>
      <c r="AD30" s="86">
        <f t="shared" si="7"/>
      </c>
      <c r="AE30" s="86">
        <f t="shared" si="8"/>
      </c>
      <c r="AG30" s="86">
        <f t="shared" si="9"/>
      </c>
      <c r="AH30" s="86">
        <f t="shared" si="10"/>
      </c>
      <c r="AI30" s="86">
        <f t="shared" si="11"/>
      </c>
    </row>
    <row r="31" spans="2:35" x14ac:dyDescent="0.3">
      <c r="B31" s="30">
        <f t="shared" si="21"/>
      </c>
      <c r="C31" s="30">
        <f t="shared" si="22"/>
      </c>
      <c r="D31" s="30">
        <f t="shared" si="23"/>
      </c>
      <c r="F31" s="26">
        <f>IF(G31=1,MAX($F$4:F30)+1,"")</f>
        <v/>
      </c>
      <c r="G31" s="26">
        <f>COUNTIF($H$5:H31,H31)</f>
      </c>
      <c r="H31" s="26">
        <f t="shared" si="12"/>
      </c>
      <c r="I31" s="26">
        <f>COUNTIF($J$4:$J31,1)</f>
      </c>
      <c r="J31" s="26">
        <f>COUNTIF($S$5:$S31,S31)</f>
      </c>
      <c r="K31" s="26">
        <f t="shared" si="13"/>
      </c>
      <c r="L31" s="26">
        <f>IFERROR(IF(P31=0,0,MAX($L$4:L30)+1),0)</f>
      </c>
      <c r="M31" s="5">
        <f t="shared" si="14"/>
      </c>
      <c r="N31" s="5">
        <f t="shared" si="15"/>
      </c>
      <c r="P31" s="86">
        <f t="shared" si="2"/>
      </c>
      <c r="Q31" s="86">
        <f t="shared" si="3"/>
      </c>
      <c r="R31" s="86">
        <f t="shared" si="4"/>
      </c>
      <c r="S31" s="86">
        <f t="shared" si="5"/>
      </c>
      <c r="T31" s="86">
        <f t="shared" si="16"/>
        <v/>
      </c>
      <c r="U31" s="86">
        <f t="shared" si="17"/>
        <v/>
      </c>
      <c r="V31" s="86">
        <f t="shared" si="18"/>
      </c>
      <c r="W31" s="87">
        <f t="shared" si="6"/>
      </c>
      <c r="X31" s="88"/>
      <c r="Y31" s="88"/>
      <c r="Z31" s="88"/>
      <c r="AA31" s="88"/>
      <c r="AB31" s="88"/>
      <c r="AD31" s="86">
        <f t="shared" si="7"/>
      </c>
      <c r="AE31" s="86">
        <f t="shared" si="8"/>
      </c>
      <c r="AG31" s="86">
        <f t="shared" si="9"/>
      </c>
      <c r="AH31" s="86">
        <f t="shared" si="10"/>
      </c>
      <c r="AI31" s="86">
        <f t="shared" si="11"/>
      </c>
    </row>
    <row r="32" spans="2:35" x14ac:dyDescent="0.3">
      <c r="B32" s="30">
        <f t="shared" si="21"/>
      </c>
      <c r="C32" s="30">
        <f t="shared" si="22"/>
      </c>
      <c r="D32" s="30">
        <f t="shared" si="23"/>
      </c>
      <c r="F32" s="26">
        <f>IF(G32=1,MAX($F$4:F31)+1,"")</f>
        <v/>
      </c>
      <c r="G32" s="26">
        <f>COUNTIF($H$5:H32,H32)</f>
      </c>
      <c r="H32" s="26">
        <f t="shared" si="12"/>
      </c>
      <c r="I32" s="26">
        <f>COUNTIF($J$4:$J32,1)</f>
      </c>
      <c r="J32" s="26">
        <f>COUNTIF($S$5:$S32,S32)</f>
      </c>
      <c r="K32" s="26">
        <f t="shared" si="13"/>
      </c>
      <c r="L32" s="26">
        <f>IFERROR(IF(P32=0,0,MAX($L$4:L31)+1),0)</f>
      </c>
      <c r="M32" s="5">
        <f t="shared" si="14"/>
      </c>
      <c r="N32" s="5">
        <f t="shared" si="15"/>
      </c>
      <c r="P32" s="86">
        <f t="shared" si="2"/>
      </c>
      <c r="Q32" s="86">
        <f t="shared" si="3"/>
      </c>
      <c r="R32" s="86">
        <f t="shared" si="4"/>
      </c>
      <c r="S32" s="86">
        <f t="shared" si="5"/>
      </c>
      <c r="T32" s="86">
        <f t="shared" si="16"/>
        <v/>
      </c>
      <c r="U32" s="86">
        <f t="shared" si="17"/>
        <v/>
      </c>
      <c r="V32" s="86">
        <f t="shared" si="18"/>
      </c>
      <c r="W32" s="87">
        <f t="shared" si="6"/>
      </c>
      <c r="X32" s="88"/>
      <c r="Y32" s="88"/>
      <c r="Z32" s="88"/>
      <c r="AA32" s="88"/>
      <c r="AB32" s="88"/>
      <c r="AD32" s="86">
        <f t="shared" si="7"/>
      </c>
      <c r="AE32" s="86">
        <f t="shared" si="8"/>
      </c>
      <c r="AG32" s="86">
        <f t="shared" si="9"/>
      </c>
      <c r="AH32" s="86">
        <f t="shared" si="10"/>
      </c>
      <c r="AI32" s="86">
        <f t="shared" si="11"/>
      </c>
    </row>
    <row r="33" spans="2:35" x14ac:dyDescent="0.3">
      <c r="B33" s="30">
        <f t="shared" si="21"/>
      </c>
      <c r="C33" s="30">
        <f t="shared" si="22"/>
      </c>
      <c r="D33" s="30">
        <f t="shared" si="23"/>
      </c>
      <c r="F33" s="26">
        <f>IF(G33=1,MAX($F$4:F32)+1,"")</f>
        <v/>
      </c>
      <c r="G33" s="26">
        <f>COUNTIF($H$5:H33,H33)</f>
      </c>
      <c r="H33" s="26">
        <f t="shared" si="12"/>
      </c>
      <c r="I33" s="26">
        <f>COUNTIF($J$4:$J33,1)</f>
      </c>
      <c r="J33" s="26">
        <f>COUNTIF($S$5:$S33,S33)</f>
      </c>
      <c r="K33" s="26">
        <f t="shared" si="13"/>
      </c>
      <c r="L33" s="26">
        <f>IFERROR(IF(P33=0,0,MAX($L$4:L32)+1),0)</f>
      </c>
      <c r="M33" s="5">
        <f t="shared" si="14"/>
      </c>
      <c r="N33" s="5">
        <f t="shared" si="15"/>
      </c>
      <c r="P33" s="86">
        <f t="shared" si="2"/>
      </c>
      <c r="Q33" s="86">
        <f t="shared" si="3"/>
      </c>
      <c r="R33" s="86">
        <f t="shared" si="4"/>
      </c>
      <c r="S33" s="86">
        <f t="shared" si="5"/>
      </c>
      <c r="T33" s="86">
        <f t="shared" si="16"/>
        <v/>
      </c>
      <c r="U33" s="86">
        <f t="shared" si="17"/>
        <v/>
      </c>
      <c r="V33" s="86">
        <f t="shared" si="18"/>
      </c>
      <c r="W33" s="87">
        <f t="shared" si="6"/>
      </c>
      <c r="X33" s="88"/>
      <c r="Y33" s="88"/>
      <c r="Z33" s="88"/>
      <c r="AA33" s="88"/>
      <c r="AB33" s="88"/>
      <c r="AD33" s="86">
        <f t="shared" si="7"/>
      </c>
      <c r="AE33" s="86">
        <f t="shared" si="8"/>
      </c>
      <c r="AG33" s="86">
        <f t="shared" si="9"/>
      </c>
      <c r="AH33" s="86">
        <f t="shared" si="10"/>
      </c>
      <c r="AI33" s="86">
        <f t="shared" si="11"/>
      </c>
    </row>
    <row r="34" spans="2:35" x14ac:dyDescent="0.3">
      <c r="B34" s="30">
        <f t="shared" si="21"/>
      </c>
      <c r="C34" s="30">
        <f t="shared" si="22"/>
      </c>
      <c r="D34" s="30">
        <f t="shared" si="23"/>
      </c>
      <c r="F34" s="26">
        <f>IF(G34=1,MAX($F$4:F33)+1,"")</f>
      </c>
      <c r="G34" s="26">
        <f>COUNTIF($H$5:H34,H34)</f>
      </c>
      <c r="H34" s="26">
        <f t="shared" si="12"/>
      </c>
      <c r="I34" s="26">
        <f>COUNTIF($J$4:$J34,1)</f>
      </c>
      <c r="J34" s="26">
        <f>COUNTIF($S$5:$S34,S34)</f>
      </c>
      <c r="K34" s="26">
        <f t="shared" si="13"/>
      </c>
      <c r="L34" s="26">
        <f>IFERROR(IF(P34=0,0,MAX($L$4:L33)+1),0)</f>
      </c>
      <c r="M34" s="5">
        <f t="shared" si="14"/>
      </c>
      <c r="N34" s="5">
        <f t="shared" si="15"/>
      </c>
      <c r="P34" s="86">
        <f t="shared" si="2"/>
      </c>
      <c r="Q34" s="86">
        <f t="shared" si="3"/>
      </c>
      <c r="R34" s="86">
        <f t="shared" si="4"/>
      </c>
      <c r="S34" s="86">
        <f t="shared" si="5"/>
      </c>
      <c r="T34" s="86">
        <f t="shared" si="16"/>
        <v/>
      </c>
      <c r="U34" s="86">
        <f t="shared" si="17"/>
        <v/>
      </c>
      <c r="V34" s="86">
        <f t="shared" si="18"/>
      </c>
      <c r="W34" s="87">
        <f t="shared" si="6"/>
      </c>
      <c r="X34" s="88"/>
      <c r="Y34" s="88"/>
      <c r="Z34" s="88"/>
      <c r="AA34" s="88"/>
      <c r="AB34" s="88"/>
      <c r="AD34" s="86">
        <f t="shared" si="7"/>
      </c>
      <c r="AE34" s="86">
        <f t="shared" si="8"/>
      </c>
      <c r="AG34" s="86">
        <f t="shared" si="9"/>
      </c>
      <c r="AH34" s="86">
        <f t="shared" si="10"/>
      </c>
      <c r="AI34" s="86">
        <f t="shared" si="11"/>
      </c>
    </row>
    <row r="35" spans="2:35" x14ac:dyDescent="0.3">
      <c r="B35" s="30">
        <f t="shared" si="21"/>
      </c>
      <c r="C35" s="30">
        <f t="shared" si="22"/>
      </c>
      <c r="D35" s="30">
        <f t="shared" si="23"/>
      </c>
      <c r="F35" s="26">
        <f>IF(G35=1,MAX($F$4:F34)+1,"")</f>
        <v/>
      </c>
      <c r="G35" s="26">
        <f>COUNTIF($H$5:H35,H35)</f>
      </c>
      <c r="H35" s="26">
        <f t="shared" si="12"/>
      </c>
      <c r="I35" s="26">
        <f>COUNTIF($J$4:$J35,1)</f>
      </c>
      <c r="J35" s="26">
        <f>COUNTIF($S$5:$S35,S35)</f>
      </c>
      <c r="K35" s="26">
        <f t="shared" si="13"/>
      </c>
      <c r="L35" s="26">
        <f>IFERROR(IF(P35=0,0,MAX($L$4:L34)+1),0)</f>
      </c>
      <c r="M35" s="5">
        <f t="shared" si="14"/>
      </c>
      <c r="N35" s="5">
        <f t="shared" si="15"/>
      </c>
      <c r="P35" s="86">
        <f t="shared" si="2"/>
      </c>
      <c r="Q35" s="86">
        <f t="shared" si="3"/>
      </c>
      <c r="R35" s="86">
        <f t="shared" si="4"/>
      </c>
      <c r="S35" s="86">
        <f t="shared" si="5"/>
      </c>
      <c r="T35" s="86">
        <f t="shared" si="16"/>
        <v/>
      </c>
      <c r="U35" s="86">
        <f t="shared" si="17"/>
        <v/>
      </c>
      <c r="V35" s="86">
        <f t="shared" si="18"/>
      </c>
      <c r="W35" s="87">
        <f t="shared" si="6"/>
      </c>
      <c r="X35" s="88"/>
      <c r="Y35" s="88"/>
      <c r="Z35" s="88"/>
      <c r="AA35" s="88"/>
      <c r="AB35" s="88"/>
      <c r="AD35" s="86">
        <f t="shared" si="7"/>
      </c>
      <c r="AE35" s="86">
        <f t="shared" si="8"/>
      </c>
      <c r="AG35" s="86">
        <f t="shared" si="9"/>
      </c>
      <c r="AH35" s="86">
        <f t="shared" si="10"/>
      </c>
      <c r="AI35" s="86">
        <f t="shared" si="11"/>
      </c>
    </row>
    <row r="36" spans="2:35" x14ac:dyDescent="0.3">
      <c r="B36" s="30">
        <f t="shared" si="21"/>
      </c>
      <c r="C36" s="30">
        <f t="shared" si="22"/>
      </c>
      <c r="D36" s="30">
        <f t="shared" si="23"/>
      </c>
      <c r="F36" s="26">
        <f>IF(G36=1,MAX($F$4:F35)+1,"")</f>
        <v/>
      </c>
      <c r="G36" s="26">
        <f>COUNTIF($H$5:H36,H36)</f>
      </c>
      <c r="H36" s="26">
        <f t="shared" si="12"/>
      </c>
      <c r="I36" s="26">
        <f>COUNTIF($J$4:$J36,1)</f>
      </c>
      <c r="J36" s="26">
        <f>COUNTIF($S$5:$S36,S36)</f>
      </c>
      <c r="K36" s="26">
        <f t="shared" si="13"/>
      </c>
      <c r="L36" s="26">
        <f>IFERROR(IF(P36=0,0,MAX($L$4:L35)+1),0)</f>
      </c>
      <c r="M36" s="5">
        <f t="shared" si="14"/>
      </c>
      <c r="N36" s="5">
        <f t="shared" si="15"/>
      </c>
      <c r="P36" s="86">
        <f t="shared" si="2"/>
      </c>
      <c r="Q36" s="86">
        <f t="shared" si="3"/>
      </c>
      <c r="R36" s="86">
        <f t="shared" si="4"/>
      </c>
      <c r="S36" s="86">
        <f t="shared" si="5"/>
      </c>
      <c r="T36" s="86">
        <f t="shared" si="16"/>
        <v/>
      </c>
      <c r="U36" s="86">
        <f t="shared" si="17"/>
        <v/>
      </c>
      <c r="V36" s="86">
        <f t="shared" si="18"/>
      </c>
      <c r="W36" s="87">
        <f t="shared" si="6"/>
      </c>
      <c r="X36" s="88"/>
      <c r="Y36" s="88"/>
      <c r="Z36" s="88"/>
      <c r="AA36" s="88"/>
      <c r="AB36" s="88"/>
      <c r="AD36" s="86">
        <f t="shared" si="7"/>
      </c>
      <c r="AE36" s="86">
        <f t="shared" si="8"/>
      </c>
      <c r="AG36" s="86">
        <f t="shared" si="9"/>
      </c>
      <c r="AH36" s="86">
        <f t="shared" si="10"/>
      </c>
      <c r="AI36" s="86">
        <f t="shared" si="11"/>
      </c>
    </row>
    <row r="37" spans="2:35" x14ac:dyDescent="0.3">
      <c r="B37" s="30">
        <f t="shared" si="21"/>
      </c>
      <c r="C37" s="30">
        <f t="shared" si="22"/>
      </c>
      <c r="D37" s="30">
        <f t="shared" si="23"/>
      </c>
      <c r="F37" s="26">
        <f>IF(G37=1,MAX($F$4:F36)+1,"")</f>
        <v/>
      </c>
      <c r="G37" s="26">
        <f>COUNTIF($H$5:H37,H37)</f>
      </c>
      <c r="H37" s="26">
        <f t="shared" si="12"/>
      </c>
      <c r="I37" s="26">
        <f>COUNTIF($J$4:$J37,1)</f>
      </c>
      <c r="J37" s="26">
        <f>COUNTIF($S$5:$S37,S37)</f>
      </c>
      <c r="K37" s="26">
        <f t="shared" si="13"/>
      </c>
      <c r="L37" s="26">
        <f>IFERROR(IF(P37=0,0,MAX($L$4:L36)+1),0)</f>
      </c>
      <c r="M37" s="5">
        <f t="shared" si="14"/>
      </c>
      <c r="N37" s="5">
        <f t="shared" si="15"/>
      </c>
      <c r="P37" s="86">
        <f t="shared" si="2"/>
      </c>
      <c r="Q37" s="86">
        <f t="shared" si="3"/>
      </c>
      <c r="R37" s="86">
        <f t="shared" si="4"/>
      </c>
      <c r="S37" s="86">
        <f t="shared" si="5"/>
      </c>
      <c r="T37" s="86">
        <f t="shared" si="16"/>
        <v/>
      </c>
      <c r="U37" s="86">
        <f t="shared" si="17"/>
        <v/>
      </c>
      <c r="V37" s="86">
        <f t="shared" si="18"/>
      </c>
      <c r="W37" s="87">
        <f t="shared" si="6"/>
      </c>
      <c r="X37" s="88"/>
      <c r="Y37" s="88"/>
      <c r="Z37" s="88"/>
      <c r="AA37" s="88"/>
      <c r="AB37" s="88"/>
      <c r="AD37" s="86">
        <f t="shared" si="7"/>
      </c>
      <c r="AE37" s="86">
        <f t="shared" si="8"/>
      </c>
      <c r="AG37" s="86">
        <f t="shared" si="9"/>
      </c>
      <c r="AH37" s="86">
        <f t="shared" si="10"/>
      </c>
      <c r="AI37" s="86">
        <f t="shared" si="11"/>
      </c>
    </row>
    <row r="38" spans="2:35" x14ac:dyDescent="0.3">
      <c r="B38" s="30">
        <f t="shared" si="21"/>
      </c>
      <c r="C38" s="30">
        <f t="shared" si="22"/>
      </c>
      <c r="D38" s="30">
        <f t="shared" si="23"/>
      </c>
      <c r="F38" s="26">
        <f>IF(G38=1,MAX($F$4:F37)+1,"")</f>
        <v/>
      </c>
      <c r="G38" s="26">
        <f>COUNTIF($H$5:H38,H38)</f>
      </c>
      <c r="H38" s="26">
        <f t="shared" si="12"/>
      </c>
      <c r="I38" s="26">
        <f>COUNTIF($J$4:$J38,1)</f>
      </c>
      <c r="J38" s="26">
        <f>COUNTIF($S$5:$S38,S38)</f>
      </c>
      <c r="K38" s="26">
        <f t="shared" si="13"/>
      </c>
      <c r="L38" s="26">
        <f>IFERROR(IF(P38=0,0,MAX($L$4:L37)+1),0)</f>
      </c>
      <c r="M38" s="5">
        <f t="shared" si="14"/>
      </c>
      <c r="N38" s="5">
        <f t="shared" si="15"/>
      </c>
      <c r="P38" s="86">
        <f t="shared" si="2"/>
      </c>
      <c r="Q38" s="86">
        <f t="shared" si="3"/>
      </c>
      <c r="R38" s="86">
        <f t="shared" si="4"/>
      </c>
      <c r="S38" s="86">
        <f t="shared" si="5"/>
      </c>
      <c r="T38" s="86">
        <f t="shared" si="16"/>
        <v/>
      </c>
      <c r="U38" s="86">
        <f t="shared" si="17"/>
        <v/>
      </c>
      <c r="V38" s="86">
        <f t="shared" si="18"/>
      </c>
      <c r="W38" s="87">
        <f t="shared" si="6"/>
      </c>
      <c r="X38" s="88"/>
      <c r="Y38" s="88"/>
      <c r="Z38" s="88"/>
      <c r="AA38" s="88"/>
      <c r="AB38" s="88"/>
      <c r="AD38" s="86">
        <f t="shared" si="7"/>
      </c>
      <c r="AE38" s="86">
        <f t="shared" si="8"/>
      </c>
      <c r="AG38" s="86">
        <f t="shared" si="9"/>
      </c>
      <c r="AH38" s="86">
        <f t="shared" si="10"/>
      </c>
      <c r="AI38" s="86">
        <f t="shared" si="11"/>
      </c>
    </row>
    <row r="39" spans="2:35" x14ac:dyDescent="0.3">
      <c r="B39" s="30">
        <f t="shared" si="21"/>
      </c>
      <c r="C39" s="30">
        <f t="shared" si="22"/>
      </c>
      <c r="D39" s="30">
        <f t="shared" si="23"/>
      </c>
      <c r="F39" s="26">
        <f>IF(G39=1,MAX($F$4:F38)+1,"")</f>
        <v/>
      </c>
      <c r="G39" s="26">
        <f>COUNTIF($H$5:H39,H39)</f>
      </c>
      <c r="H39" s="26">
        <f t="shared" si="12"/>
      </c>
      <c r="I39" s="26">
        <f>COUNTIF($J$4:$J39,1)</f>
      </c>
      <c r="J39" s="26">
        <f>COUNTIF($S$5:$S39,S39)</f>
      </c>
      <c r="K39" s="26">
        <f t="shared" si="13"/>
      </c>
      <c r="L39" s="26">
        <f>IFERROR(IF(P39=0,0,MAX($L$4:L38)+1),0)</f>
      </c>
      <c r="M39" s="5">
        <f t="shared" si="14"/>
      </c>
      <c r="N39" s="5">
        <f t="shared" si="15"/>
      </c>
      <c r="P39" s="86">
        <f t="shared" si="2"/>
      </c>
      <c r="Q39" s="86">
        <f t="shared" si="3"/>
      </c>
      <c r="R39" s="86">
        <f t="shared" si="4"/>
      </c>
      <c r="S39" s="86">
        <f t="shared" si="5"/>
      </c>
      <c r="T39" s="86">
        <f t="shared" si="16"/>
        <v/>
      </c>
      <c r="U39" s="86">
        <f t="shared" si="17"/>
        <v/>
      </c>
      <c r="V39" s="86">
        <f t="shared" si="18"/>
      </c>
      <c r="W39" s="87">
        <f t="shared" si="6"/>
      </c>
      <c r="X39" s="88"/>
      <c r="Y39" s="88"/>
      <c r="Z39" s="88"/>
      <c r="AA39" s="88"/>
      <c r="AB39" s="88"/>
      <c r="AD39" s="86">
        <f t="shared" si="7"/>
      </c>
      <c r="AE39" s="86">
        <f t="shared" si="8"/>
      </c>
      <c r="AG39" s="86">
        <f t="shared" si="9"/>
      </c>
      <c r="AH39" s="86">
        <f t="shared" si="10"/>
      </c>
      <c r="AI39" s="86">
        <f t="shared" si="11"/>
      </c>
    </row>
    <row r="40" spans="2:35" x14ac:dyDescent="0.3">
      <c r="B40" s="30">
        <f t="shared" si="21"/>
      </c>
      <c r="C40" s="30">
        <f t="shared" si="22"/>
      </c>
      <c r="D40" s="30">
        <f t="shared" si="23"/>
      </c>
      <c r="F40" s="26">
        <f>IF(G40=1,MAX($F$4:F39)+1,"")</f>
        <v/>
      </c>
      <c r="G40" s="26">
        <f>COUNTIF($H$5:H40,H40)</f>
      </c>
      <c r="H40" s="26">
        <f t="shared" si="12"/>
      </c>
      <c r="I40" s="26">
        <f>COUNTIF($J$4:$J40,1)</f>
      </c>
      <c r="J40" s="26">
        <f>COUNTIF($S$5:$S40,S40)</f>
      </c>
      <c r="K40" s="26">
        <f t="shared" si="13"/>
      </c>
      <c r="L40" s="26">
        <f>IFERROR(IF(P40=0,0,MAX($L$4:L39)+1),0)</f>
      </c>
      <c r="M40" s="5">
        <f t="shared" si="14"/>
      </c>
      <c r="N40" s="5">
        <f t="shared" si="15"/>
      </c>
      <c r="P40" s="86">
        <f t="shared" si="2"/>
      </c>
      <c r="Q40" s="86">
        <f t="shared" si="3"/>
      </c>
      <c r="R40" s="86">
        <f t="shared" si="4"/>
      </c>
      <c r="S40" s="86">
        <f t="shared" si="5"/>
      </c>
      <c r="T40" s="86">
        <f t="shared" si="16"/>
        <v/>
      </c>
      <c r="U40" s="86">
        <f t="shared" si="17"/>
        <v/>
      </c>
      <c r="V40" s="86">
        <f t="shared" si="18"/>
      </c>
      <c r="W40" s="87">
        <f t="shared" si="6"/>
      </c>
      <c r="X40" s="88"/>
      <c r="Y40" s="88"/>
      <c r="Z40" s="88"/>
      <c r="AA40" s="88"/>
      <c r="AB40" s="88"/>
      <c r="AD40" s="86">
        <f t="shared" si="7"/>
      </c>
      <c r="AE40" s="86">
        <f t="shared" si="8"/>
      </c>
      <c r="AG40" s="86">
        <f t="shared" si="9"/>
      </c>
      <c r="AH40" s="86">
        <f t="shared" si="10"/>
      </c>
      <c r="AI40" s="86">
        <f t="shared" si="11"/>
      </c>
    </row>
    <row r="41" spans="2:35" x14ac:dyDescent="0.3">
      <c r="B41" s="30">
        <f t="shared" si="21"/>
      </c>
      <c r="C41" s="30">
        <f t="shared" si="22"/>
      </c>
      <c r="D41" s="30">
        <f t="shared" si="23"/>
      </c>
      <c r="F41" s="26">
        <f>IF(G41=1,MAX($F$4:F40)+1,"")</f>
        <v/>
      </c>
      <c r="G41" s="26">
        <f>COUNTIF($H$5:H41,H41)</f>
      </c>
      <c r="H41" s="26">
        <f t="shared" si="12"/>
      </c>
      <c r="I41" s="26">
        <f>COUNTIF($J$4:$J41,1)</f>
      </c>
      <c r="J41" s="26">
        <f>COUNTIF($S$5:$S41,S41)</f>
      </c>
      <c r="K41" s="26">
        <f t="shared" si="13"/>
      </c>
      <c r="L41" s="26">
        <f>IFERROR(IF(P41=0,0,MAX($L$4:L40)+1),0)</f>
      </c>
      <c r="M41" s="5">
        <f t="shared" si="14"/>
      </c>
      <c r="N41" s="5">
        <f t="shared" si="15"/>
      </c>
      <c r="P41" s="86">
        <f t="shared" si="2"/>
      </c>
      <c r="Q41" s="86">
        <f t="shared" si="3"/>
      </c>
      <c r="R41" s="86">
        <f t="shared" si="4"/>
      </c>
      <c r="S41" s="86">
        <f t="shared" si="5"/>
      </c>
      <c r="T41" s="86">
        <f t="shared" si="16"/>
        <v/>
      </c>
      <c r="U41" s="86">
        <f t="shared" si="17"/>
        <v/>
      </c>
      <c r="V41" s="86">
        <f t="shared" si="18"/>
      </c>
      <c r="W41" s="87">
        <f t="shared" si="6"/>
      </c>
      <c r="X41" s="88"/>
      <c r="Y41" s="88"/>
      <c r="Z41" s="88"/>
      <c r="AA41" s="88"/>
      <c r="AB41" s="88"/>
      <c r="AD41" s="86">
        <f t="shared" si="7"/>
      </c>
      <c r="AE41" s="86">
        <f t="shared" si="8"/>
      </c>
      <c r="AG41" s="86">
        <f t="shared" si="9"/>
      </c>
      <c r="AH41" s="86">
        <f t="shared" si="10"/>
      </c>
      <c r="AI41" s="86">
        <f t="shared" si="11"/>
      </c>
    </row>
    <row r="42" spans="2:35" x14ac:dyDescent="0.3">
      <c r="B42" s="30">
        <f t="shared" si="21"/>
      </c>
      <c r="C42" s="30">
        <f t="shared" si="22"/>
      </c>
      <c r="D42" s="30">
        <f t="shared" si="23"/>
      </c>
      <c r="F42" s="26">
        <f>IF(G42=1,MAX($F$4:F41)+1,"")</f>
      </c>
      <c r="G42" s="26">
        <f>COUNTIF($H$5:H42,H42)</f>
      </c>
      <c r="H42" s="26">
        <f t="shared" si="12"/>
      </c>
      <c r="I42" s="26">
        <f>COUNTIF($J$4:$J42,1)</f>
      </c>
      <c r="J42" s="26">
        <f>COUNTIF($S$5:$S42,S42)</f>
      </c>
      <c r="K42" s="26">
        <f t="shared" si="13"/>
      </c>
      <c r="L42" s="26">
        <f>IFERROR(IF(P42=0,0,MAX($L$4:L41)+1),0)</f>
      </c>
      <c r="M42" s="5">
        <f t="shared" si="14"/>
      </c>
      <c r="N42" s="5">
        <f t="shared" si="15"/>
      </c>
      <c r="P42" s="86">
        <f t="shared" si="2"/>
      </c>
      <c r="Q42" s="86">
        <f t="shared" si="3"/>
      </c>
      <c r="R42" s="86">
        <f t="shared" si="4"/>
      </c>
      <c r="S42" s="86">
        <f t="shared" si="5"/>
      </c>
      <c r="T42" s="86">
        <f t="shared" si="16"/>
        <v/>
      </c>
      <c r="U42" s="86">
        <f t="shared" si="17"/>
      </c>
      <c r="V42" s="86">
        <f t="shared" si="18"/>
        <v/>
      </c>
      <c r="W42" s="87">
        <f t="shared" si="6"/>
      </c>
      <c r="X42" s="88"/>
      <c r="Y42" s="88"/>
      <c r="Z42" s="88"/>
      <c r="AA42" s="88"/>
      <c r="AB42" s="88"/>
      <c r="AD42" s="86">
        <f t="shared" si="7"/>
      </c>
      <c r="AE42" s="86">
        <f t="shared" si="8"/>
      </c>
      <c r="AG42" s="86">
        <f t="shared" si="9"/>
      </c>
      <c r="AH42" s="86">
        <f t="shared" si="10"/>
      </c>
      <c r="AI42" s="86">
        <f t="shared" si="11"/>
      </c>
    </row>
    <row r="43" spans="2:35" x14ac:dyDescent="0.3">
      <c r="B43" s="30">
        <f t="shared" si="21"/>
      </c>
      <c r="C43" s="30">
        <f t="shared" si="22"/>
      </c>
      <c r="D43" s="30">
        <f t="shared" si="23"/>
      </c>
      <c r="F43" s="26">
        <f>IF(G43=1,MAX($F$4:F42)+1,"")</f>
        <v/>
      </c>
      <c r="G43" s="26">
        <f>COUNTIF($H$5:H43,H43)</f>
      </c>
      <c r="H43" s="26">
        <f t="shared" si="12"/>
      </c>
      <c r="I43" s="26">
        <f>COUNTIF($J$4:$J43,1)</f>
      </c>
      <c r="J43" s="26">
        <f>COUNTIF($S$5:$S43,S43)</f>
      </c>
      <c r="K43" s="26">
        <f t="shared" si="13"/>
      </c>
      <c r="L43" s="26">
        <f>IFERROR(IF(P43=0,0,MAX($L$4:L42)+1),0)</f>
      </c>
      <c r="M43" s="5">
        <f t="shared" si="14"/>
      </c>
      <c r="N43" s="5">
        <f t="shared" si="15"/>
      </c>
      <c r="P43" s="86">
        <f t="shared" si="2"/>
      </c>
      <c r="Q43" s="86">
        <f t="shared" si="3"/>
      </c>
      <c r="R43" s="86">
        <f t="shared" si="4"/>
      </c>
      <c r="S43" s="86">
        <f t="shared" si="5"/>
      </c>
      <c r="T43" s="86">
        <f t="shared" si="16"/>
        <v/>
      </c>
      <c r="U43" s="86">
        <f t="shared" si="17"/>
      </c>
      <c r="V43" s="86">
        <f t="shared" si="18"/>
        <v/>
      </c>
      <c r="W43" s="87">
        <f t="shared" si="6"/>
      </c>
      <c r="X43" s="88"/>
      <c r="Y43" s="88"/>
      <c r="Z43" s="88"/>
      <c r="AA43" s="88"/>
      <c r="AB43" s="88"/>
      <c r="AD43" s="86">
        <f t="shared" si="7"/>
      </c>
      <c r="AE43" s="86">
        <f t="shared" si="8"/>
      </c>
      <c r="AG43" s="86">
        <f t="shared" si="9"/>
      </c>
      <c r="AH43" s="86">
        <f t="shared" si="10"/>
      </c>
      <c r="AI43" s="86">
        <f t="shared" si="11"/>
      </c>
    </row>
    <row r="44" spans="2:35" x14ac:dyDescent="0.3">
      <c r="B44" s="30">
        <f t="shared" si="21"/>
      </c>
      <c r="C44" s="30">
        <f t="shared" si="22"/>
      </c>
      <c r="D44" s="30">
        <f t="shared" si="23"/>
      </c>
      <c r="F44" s="26">
        <f>IF(G44=1,MAX($F$4:F43)+1,"")</f>
        <v/>
      </c>
      <c r="G44" s="26">
        <f>COUNTIF($H$5:H44,H44)</f>
      </c>
      <c r="H44" s="26">
        <f t="shared" si="12"/>
      </c>
      <c r="I44" s="26">
        <f>COUNTIF($J$4:$J44,1)</f>
      </c>
      <c r="J44" s="26">
        <f>COUNTIF($S$5:$S44,S44)</f>
      </c>
      <c r="K44" s="26">
        <f t="shared" si="13"/>
      </c>
      <c r="L44" s="26">
        <f>IFERROR(IF(P44=0,0,MAX($L$4:L43)+1),0)</f>
      </c>
      <c r="M44" s="5">
        <f t="shared" si="14"/>
      </c>
      <c r="N44" s="5">
        <f t="shared" si="15"/>
      </c>
      <c r="P44" s="86">
        <f t="shared" si="2"/>
      </c>
      <c r="Q44" s="86">
        <f t="shared" si="3"/>
      </c>
      <c r="R44" s="86">
        <f t="shared" si="4"/>
      </c>
      <c r="S44" s="86">
        <f t="shared" si="5"/>
      </c>
      <c r="T44" s="86">
        <f t="shared" si="16"/>
        <v/>
      </c>
      <c r="U44" s="86">
        <f t="shared" si="17"/>
      </c>
      <c r="V44" s="86">
        <f t="shared" si="18"/>
        <v/>
      </c>
      <c r="W44" s="87">
        <f t="shared" si="6"/>
      </c>
      <c r="X44" s="88"/>
      <c r="Y44" s="88"/>
      <c r="Z44" s="88"/>
      <c r="AA44" s="88"/>
      <c r="AB44" s="88"/>
      <c r="AD44" s="86">
        <f t="shared" si="7"/>
      </c>
      <c r="AE44" s="86">
        <f t="shared" si="8"/>
      </c>
      <c r="AG44" s="86">
        <f t="shared" si="9"/>
      </c>
      <c r="AH44" s="86">
        <f t="shared" si="10"/>
      </c>
      <c r="AI44" s="86">
        <f t="shared" si="11"/>
      </c>
    </row>
    <row r="45" spans="2:35" x14ac:dyDescent="0.3">
      <c r="B45" s="30">
        <f t="shared" si="21"/>
      </c>
      <c r="C45" s="30">
        <f t="shared" si="22"/>
      </c>
      <c r="D45" s="30">
        <f t="shared" si="23"/>
      </c>
      <c r="F45" s="26">
        <f>IF(G45=1,MAX($F$4:F44)+1,"")</f>
      </c>
      <c r="G45" s="26">
        <f>COUNTIF($H$5:H45,H45)</f>
      </c>
      <c r="H45" s="26">
        <f t="shared" si="12"/>
      </c>
      <c r="I45" s="26">
        <f>COUNTIF($J$4:$J45,1)</f>
      </c>
      <c r="J45" s="26">
        <f>COUNTIF($S$5:$S45,S45)</f>
      </c>
      <c r="K45" s="26">
        <f t="shared" si="13"/>
      </c>
      <c r="L45" s="26">
        <f>IFERROR(IF(P45=0,0,MAX($L$4:L44)+1),0)</f>
      </c>
      <c r="M45" s="5">
        <f t="shared" si="14"/>
      </c>
      <c r="N45" s="5">
        <f t="shared" si="15"/>
      </c>
      <c r="P45" s="86">
        <f t="shared" si="2"/>
      </c>
      <c r="Q45" s="86">
        <f t="shared" si="3"/>
      </c>
      <c r="R45" s="86">
        <f t="shared" si="4"/>
      </c>
      <c r="S45" s="86">
        <f t="shared" si="5"/>
      </c>
      <c r="T45" s="86">
        <f t="shared" si="16"/>
        <v/>
      </c>
      <c r="U45" s="86">
        <f t="shared" si="17"/>
      </c>
      <c r="V45" s="86">
        <f t="shared" si="18"/>
        <v/>
      </c>
      <c r="W45" s="87">
        <f t="shared" si="6"/>
      </c>
      <c r="X45" s="88"/>
      <c r="Y45" s="88"/>
      <c r="Z45" s="88"/>
      <c r="AA45" s="88"/>
      <c r="AB45" s="88"/>
      <c r="AD45" s="86">
        <f t="shared" si="7"/>
      </c>
      <c r="AE45" s="86">
        <f t="shared" si="8"/>
      </c>
      <c r="AG45" s="86">
        <f t="shared" si="9"/>
      </c>
      <c r="AH45" s="86">
        <f t="shared" si="10"/>
      </c>
      <c r="AI45" s="86">
        <f t="shared" si="11"/>
      </c>
    </row>
    <row r="46" spans="2:35" x14ac:dyDescent="0.3">
      <c r="B46" s="30">
        <f t="shared" si="21"/>
      </c>
      <c r="C46" s="30">
        <f t="shared" si="22"/>
      </c>
      <c r="D46" s="30">
        <f t="shared" si="23"/>
      </c>
      <c r="F46" s="26">
        <f>IF(G46=1,MAX($F$4:F45)+1,"")</f>
      </c>
      <c r="G46" s="26">
        <f>COUNTIF($H$5:H46,H46)</f>
      </c>
      <c r="H46" s="26">
        <f t="shared" si="12"/>
      </c>
      <c r="I46" s="26">
        <f>COUNTIF($J$4:$J46,1)</f>
      </c>
      <c r="J46" s="26">
        <f>COUNTIF($S$5:$S46,S46)</f>
      </c>
      <c r="K46" s="26">
        <f t="shared" si="13"/>
      </c>
      <c r="L46" s="26">
        <f>IFERROR(IF(P46=0,0,MAX($L$4:L45)+1),0)</f>
      </c>
      <c r="M46" s="5">
        <f t="shared" si="14"/>
      </c>
      <c r="N46" s="5">
        <f t="shared" si="15"/>
      </c>
      <c r="P46" s="86">
        <f t="shared" si="2"/>
      </c>
      <c r="Q46" s="86">
        <f t="shared" si="3"/>
      </c>
      <c r="R46" s="86">
        <f t="shared" si="4"/>
      </c>
      <c r="S46" s="86">
        <f t="shared" si="5"/>
      </c>
      <c r="T46" s="86">
        <f t="shared" si="16"/>
        <v/>
      </c>
      <c r="U46" s="86">
        <f t="shared" si="17"/>
      </c>
      <c r="V46" s="86">
        <f t="shared" si="18"/>
      </c>
      <c r="W46" s="87">
        <f t="shared" si="6"/>
      </c>
      <c r="X46" s="88"/>
      <c r="Y46" s="88"/>
      <c r="Z46" s="88"/>
      <c r="AA46" s="88"/>
      <c r="AB46" s="88"/>
      <c r="AD46" s="86">
        <f t="shared" si="7"/>
      </c>
      <c r="AE46" s="86">
        <f t="shared" si="8"/>
      </c>
      <c r="AG46" s="86">
        <f t="shared" si="9"/>
      </c>
      <c r="AH46" s="86">
        <f t="shared" si="10"/>
      </c>
      <c r="AI46" s="86">
        <f t="shared" si="11"/>
      </c>
    </row>
    <row r="47" spans="2:35" x14ac:dyDescent="0.3">
      <c r="B47" s="30">
        <f t="shared" si="21"/>
      </c>
      <c r="C47" s="30">
        <f t="shared" si="22"/>
      </c>
      <c r="D47" s="30">
        <f t="shared" si="23"/>
      </c>
      <c r="F47" s="26">
        <f>IF(G47=1,MAX($F$4:F46)+1,"")</f>
        <v/>
      </c>
      <c r="G47" s="26">
        <f>COUNTIF($H$5:H47,H47)</f>
      </c>
      <c r="H47" s="26">
        <f t="shared" si="12"/>
      </c>
      <c r="I47" s="26">
        <f>COUNTIF($J$4:$J47,1)</f>
      </c>
      <c r="J47" s="26">
        <f>COUNTIF($S$5:$S47,S47)</f>
      </c>
      <c r="K47" s="26">
        <f t="shared" si="13"/>
      </c>
      <c r="L47" s="26">
        <f>IFERROR(IF(P47=0,0,MAX($L$4:L46)+1),0)</f>
      </c>
      <c r="M47" s="5">
        <f t="shared" si="14"/>
      </c>
      <c r="N47" s="5">
        <f t="shared" si="15"/>
      </c>
      <c r="P47" s="86">
        <f t="shared" si="2"/>
      </c>
      <c r="Q47" s="86">
        <f t="shared" si="3"/>
      </c>
      <c r="R47" s="86">
        <f t="shared" si="4"/>
      </c>
      <c r="S47" s="86">
        <f t="shared" si="5"/>
      </c>
      <c r="T47" s="86">
        <f t="shared" si="16"/>
        <v/>
      </c>
      <c r="U47" s="86">
        <f t="shared" si="17"/>
      </c>
      <c r="V47" s="86">
        <f t="shared" si="18"/>
      </c>
      <c r="W47" s="87">
        <f t="shared" si="6"/>
      </c>
      <c r="X47" s="88"/>
      <c r="Y47" s="88"/>
      <c r="Z47" s="88"/>
      <c r="AA47" s="88"/>
      <c r="AB47" s="88"/>
      <c r="AD47" s="86">
        <f t="shared" si="7"/>
      </c>
      <c r="AE47" s="86">
        <f t="shared" si="8"/>
      </c>
      <c r="AG47" s="86">
        <f t="shared" si="9"/>
      </c>
      <c r="AH47" s="86">
        <f t="shared" si="10"/>
      </c>
      <c r="AI47" s="86">
        <f t="shared" si="11"/>
      </c>
    </row>
    <row r="48" spans="2:35" x14ac:dyDescent="0.3">
      <c r="B48" s="30">
        <f t="shared" si="21"/>
      </c>
      <c r="C48" s="30">
        <f t="shared" si="22"/>
      </c>
      <c r="D48" s="30">
        <f t="shared" si="23"/>
      </c>
      <c r="F48" s="26">
        <f>IF(G48=1,MAX($F$4:F47)+1,"")</f>
        <v/>
      </c>
      <c r="G48" s="26">
        <f>COUNTIF($H$5:H48,H48)</f>
      </c>
      <c r="H48" s="26">
        <f t="shared" si="12"/>
      </c>
      <c r="I48" s="26">
        <f>COUNTIF($J$4:$J48,1)</f>
      </c>
      <c r="J48" s="26">
        <f>COUNTIF($S$5:$S48,S48)</f>
      </c>
      <c r="K48" s="26">
        <f t="shared" si="13"/>
      </c>
      <c r="L48" s="26">
        <f>IFERROR(IF(P48=0,0,MAX($L$4:L47)+1),0)</f>
      </c>
      <c r="M48" s="5">
        <f t="shared" si="14"/>
      </c>
      <c r="N48" s="5">
        <f t="shared" si="15"/>
      </c>
      <c r="P48" s="86">
        <f t="shared" si="2"/>
      </c>
      <c r="Q48" s="86">
        <f t="shared" si="3"/>
      </c>
      <c r="R48" s="86">
        <f t="shared" si="4"/>
      </c>
      <c r="S48" s="86">
        <f t="shared" si="5"/>
      </c>
      <c r="T48" s="86">
        <f t="shared" si="16"/>
        <v/>
      </c>
      <c r="U48" s="86">
        <f t="shared" si="17"/>
      </c>
      <c r="V48" s="86">
        <f t="shared" si="18"/>
      </c>
      <c r="W48" s="87">
        <f t="shared" si="6"/>
      </c>
      <c r="X48" s="88"/>
      <c r="Y48" s="88"/>
      <c r="Z48" s="88"/>
      <c r="AA48" s="88"/>
      <c r="AB48" s="88"/>
      <c r="AD48" s="86">
        <f t="shared" si="7"/>
      </c>
      <c r="AE48" s="86">
        <f t="shared" si="8"/>
      </c>
      <c r="AG48" s="86">
        <f t="shared" si="9"/>
      </c>
      <c r="AH48" s="86">
        <f t="shared" si="10"/>
      </c>
      <c r="AI48" s="86">
        <f t="shared" si="11"/>
      </c>
    </row>
    <row r="49" spans="2:35" x14ac:dyDescent="0.3">
      <c r="B49" s="30">
        <f t="shared" si="21"/>
      </c>
      <c r="C49" s="30">
        <f t="shared" si="22"/>
      </c>
      <c r="D49" s="30">
        <f t="shared" si="23"/>
      </c>
      <c r="F49" s="26">
        <f>IF(G49=1,MAX($F$4:F48)+1,"")</f>
        <v/>
      </c>
      <c r="G49" s="26">
        <f>COUNTIF($H$5:H49,H49)</f>
      </c>
      <c r="H49" s="26">
        <f t="shared" si="12"/>
      </c>
      <c r="I49" s="26">
        <f>COUNTIF($J$4:$J49,1)</f>
      </c>
      <c r="J49" s="26">
        <f>COUNTIF($S$5:$S49,S49)</f>
      </c>
      <c r="K49" s="26">
        <f t="shared" si="13"/>
      </c>
      <c r="L49" s="26">
        <f>IFERROR(IF(P49=0,0,MAX($L$4:L48)+1),0)</f>
      </c>
      <c r="M49" s="5">
        <f t="shared" si="14"/>
      </c>
      <c r="N49" s="5">
        <f t="shared" si="15"/>
      </c>
      <c r="P49" s="86">
        <f t="shared" si="2"/>
      </c>
      <c r="Q49" s="86">
        <f t="shared" si="3"/>
      </c>
      <c r="R49" s="86">
        <f t="shared" si="4"/>
      </c>
      <c r="S49" s="86">
        <f t="shared" si="5"/>
      </c>
      <c r="T49" s="86">
        <f t="shared" si="16"/>
        <v/>
      </c>
      <c r="U49" s="86">
        <f t="shared" si="17"/>
      </c>
      <c r="V49" s="86">
        <f t="shared" si="18"/>
        <v/>
      </c>
      <c r="W49" s="87">
        <f t="shared" si="6"/>
      </c>
      <c r="X49" s="88"/>
      <c r="Y49" s="88"/>
      <c r="Z49" s="88"/>
      <c r="AA49" s="88"/>
      <c r="AB49" s="88"/>
      <c r="AD49" s="86">
        <f t="shared" si="7"/>
      </c>
      <c r="AE49" s="86">
        <f t="shared" si="8"/>
      </c>
      <c r="AG49" s="86">
        <f t="shared" si="9"/>
      </c>
      <c r="AH49" s="86">
        <f t="shared" si="10"/>
      </c>
      <c r="AI49" s="86">
        <f t="shared" si="11"/>
      </c>
    </row>
    <row r="50" spans="2:35" x14ac:dyDescent="0.3">
      <c r="B50" s="30">
        <f t="shared" si="21"/>
      </c>
      <c r="C50" s="30">
        <f t="shared" si="22"/>
      </c>
      <c r="D50" s="30">
        <f t="shared" si="23"/>
      </c>
      <c r="F50" s="26">
        <f>IF(G50=1,MAX($F$4:F49)+1,"")</f>
        <v/>
      </c>
      <c r="G50" s="26">
        <f>COUNTIF($H$5:H50,H50)</f>
      </c>
      <c r="H50" s="26">
        <f t="shared" si="12"/>
      </c>
      <c r="I50" s="26">
        <f>COUNTIF($J$4:$J50,1)</f>
      </c>
      <c r="J50" s="26">
        <f>COUNTIF($S$5:$S50,S50)</f>
      </c>
      <c r="K50" s="26">
        <f t="shared" si="13"/>
      </c>
      <c r="L50" s="26">
        <f>IFERROR(IF(P50=0,0,MAX($L$4:L49)+1),0)</f>
      </c>
      <c r="M50" s="5">
        <f t="shared" si="14"/>
      </c>
      <c r="N50" s="5">
        <f t="shared" si="15"/>
      </c>
      <c r="P50" s="86">
        <f t="shared" si="2"/>
      </c>
      <c r="Q50" s="86">
        <f t="shared" si="3"/>
      </c>
      <c r="R50" s="86">
        <f t="shared" si="4"/>
      </c>
      <c r="S50" s="86">
        <f t="shared" si="5"/>
      </c>
      <c r="T50" s="86">
        <f t="shared" si="16"/>
        <v/>
      </c>
      <c r="U50" s="86">
        <f t="shared" si="17"/>
      </c>
      <c r="V50" s="86">
        <f t="shared" si="18"/>
        <v/>
      </c>
      <c r="W50" s="87">
        <f t="shared" si="6"/>
      </c>
      <c r="X50" s="88"/>
      <c r="Y50" s="88"/>
      <c r="Z50" s="88"/>
      <c r="AA50" s="88"/>
      <c r="AB50" s="88"/>
      <c r="AD50" s="86">
        <f t="shared" si="7"/>
      </c>
      <c r="AE50" s="86">
        <f t="shared" si="8"/>
      </c>
      <c r="AG50" s="86">
        <f t="shared" si="9"/>
      </c>
      <c r="AH50" s="86">
        <f t="shared" si="10"/>
      </c>
      <c r="AI50" s="86">
        <f t="shared" si="11"/>
      </c>
    </row>
    <row r="51" spans="2:35" x14ac:dyDescent="0.3">
      <c r="B51" s="30">
        <f t="shared" si="21"/>
      </c>
      <c r="C51" s="30">
        <f t="shared" si="22"/>
      </c>
      <c r="D51" s="30">
        <f t="shared" si="23"/>
      </c>
      <c r="F51" s="26">
        <f>IF(G51=1,MAX($F$4:F50)+1,"")</f>
        <v/>
      </c>
      <c r="G51" s="26">
        <f>COUNTIF($H$5:H51,H51)</f>
      </c>
      <c r="H51" s="26">
        <f t="shared" si="12"/>
      </c>
      <c r="I51" s="26">
        <f>COUNTIF($J$4:$J51,1)</f>
      </c>
      <c r="J51" s="26">
        <f>COUNTIF($S$5:$S51,S51)</f>
      </c>
      <c r="K51" s="26">
        <f t="shared" si="13"/>
      </c>
      <c r="L51" s="26">
        <f>IFERROR(IF(P51=0,0,MAX($L$4:L50)+1),0)</f>
      </c>
      <c r="M51" s="5">
        <f t="shared" si="14"/>
      </c>
      <c r="N51" s="5">
        <f t="shared" si="15"/>
      </c>
      <c r="P51" s="86">
        <f t="shared" si="2"/>
      </c>
      <c r="Q51" s="86">
        <f t="shared" si="3"/>
      </c>
      <c r="R51" s="86">
        <f t="shared" si="4"/>
      </c>
      <c r="S51" s="86">
        <f t="shared" si="5"/>
      </c>
      <c r="T51" s="86">
        <f t="shared" si="16"/>
        <v/>
      </c>
      <c r="U51" s="86">
        <f t="shared" si="17"/>
      </c>
      <c r="V51" s="86">
        <f t="shared" si="18"/>
        <v/>
      </c>
      <c r="W51" s="87">
        <f t="shared" si="6"/>
      </c>
      <c r="X51" s="88"/>
      <c r="Y51" s="88"/>
      <c r="Z51" s="88"/>
      <c r="AA51" s="88"/>
      <c r="AB51" s="88"/>
      <c r="AD51" s="86">
        <f t="shared" si="7"/>
      </c>
      <c r="AE51" s="86">
        <f t="shared" si="8"/>
      </c>
      <c r="AG51" s="86">
        <f t="shared" si="9"/>
      </c>
      <c r="AH51" s="86">
        <f t="shared" si="10"/>
      </c>
      <c r="AI51" s="86">
        <f t="shared" si="11"/>
      </c>
    </row>
    <row r="52" spans="2:35" x14ac:dyDescent="0.3">
      <c r="B52" s="30">
        <f t="shared" si="21"/>
      </c>
      <c r="C52" s="30">
        <f t="shared" si="22"/>
      </c>
      <c r="D52" s="30">
        <f t="shared" si="23"/>
      </c>
      <c r="F52" s="26">
        <f>IF(G52=1,MAX($F$4:F51)+1,"")</f>
        <v/>
      </c>
      <c r="G52" s="26">
        <f>COUNTIF($H$5:H52,H52)</f>
      </c>
      <c r="H52" s="26">
        <f t="shared" si="12"/>
      </c>
      <c r="I52" s="26">
        <f>COUNTIF($J$4:$J52,1)</f>
      </c>
      <c r="J52" s="26">
        <f>COUNTIF($S$5:$S52,S52)</f>
      </c>
      <c r="K52" s="26">
        <f t="shared" si="13"/>
      </c>
      <c r="L52" s="26">
        <f>IFERROR(IF(P52=0,0,MAX($L$4:L51)+1),0)</f>
      </c>
      <c r="M52" s="5">
        <f t="shared" si="14"/>
      </c>
      <c r="N52" s="5">
        <f t="shared" si="15"/>
      </c>
      <c r="P52" s="86">
        <f t="shared" si="2"/>
      </c>
      <c r="Q52" s="86">
        <f t="shared" si="3"/>
      </c>
      <c r="R52" s="86">
        <f t="shared" si="4"/>
      </c>
      <c r="S52" s="86">
        <f t="shared" si="5"/>
      </c>
      <c r="T52" s="86">
        <f t="shared" si="16"/>
        <v/>
      </c>
      <c r="U52" s="86">
        <f t="shared" si="17"/>
      </c>
      <c r="V52" s="86">
        <f t="shared" si="18"/>
        <v/>
      </c>
      <c r="W52" s="87">
        <f t="shared" si="6"/>
      </c>
      <c r="X52" s="88"/>
      <c r="Y52" s="88"/>
      <c r="Z52" s="88"/>
      <c r="AA52" s="88"/>
      <c r="AB52" s="88"/>
      <c r="AD52" s="86">
        <f t="shared" si="7"/>
      </c>
      <c r="AE52" s="86">
        <f t="shared" si="8"/>
      </c>
      <c r="AG52" s="86">
        <f t="shared" si="9"/>
      </c>
      <c r="AH52" s="86">
        <f t="shared" si="10"/>
      </c>
      <c r="AI52" s="86">
        <f t="shared" si="11"/>
      </c>
    </row>
    <row r="53" spans="2:35" x14ac:dyDescent="0.3">
      <c r="B53" s="30">
        <f t="shared" si="21"/>
      </c>
      <c r="C53" s="30">
        <f t="shared" si="22"/>
      </c>
      <c r="D53" s="30">
        <f t="shared" si="23"/>
      </c>
      <c r="F53" s="26">
        <f>IF(G53=1,MAX($F$4:F52)+1,"")</f>
        <v/>
      </c>
      <c r="G53" s="26">
        <f>COUNTIF($H$5:H53,H53)</f>
      </c>
      <c r="H53" s="26">
        <f t="shared" si="12"/>
      </c>
      <c r="I53" s="26">
        <f>COUNTIF($J$4:$J53,1)</f>
      </c>
      <c r="J53" s="26">
        <f>COUNTIF($S$5:$S53,S53)</f>
      </c>
      <c r="K53" s="26">
        <f t="shared" si="13"/>
      </c>
      <c r="L53" s="26">
        <f>IFERROR(IF(P53=0,0,MAX($L$4:L52)+1),0)</f>
      </c>
      <c r="M53" s="5">
        <f t="shared" si="14"/>
      </c>
      <c r="N53" s="5">
        <f t="shared" si="15"/>
      </c>
      <c r="P53" s="86">
        <f t="shared" si="2"/>
      </c>
      <c r="Q53" s="86">
        <f t="shared" si="3"/>
      </c>
      <c r="R53" s="86">
        <f t="shared" si="4"/>
      </c>
      <c r="S53" s="86">
        <f t="shared" si="5"/>
      </c>
      <c r="T53" s="86">
        <f t="shared" si="16"/>
        <v/>
      </c>
      <c r="U53" s="86">
        <f t="shared" si="17"/>
      </c>
      <c r="V53" s="86">
        <f t="shared" si="18"/>
        <v/>
      </c>
      <c r="W53" s="87">
        <f t="shared" si="6"/>
      </c>
      <c r="X53" s="88"/>
      <c r="Y53" s="88"/>
      <c r="Z53" s="88"/>
      <c r="AA53" s="88"/>
      <c r="AB53" s="88"/>
      <c r="AD53" s="86">
        <f t="shared" si="7"/>
      </c>
      <c r="AE53" s="86">
        <f t="shared" si="8"/>
      </c>
      <c r="AG53" s="86">
        <f t="shared" si="9"/>
      </c>
      <c r="AH53" s="86">
        <f t="shared" si="10"/>
      </c>
      <c r="AI53" s="86">
        <f t="shared" si="11"/>
      </c>
    </row>
    <row r="54" spans="2:35" x14ac:dyDescent="0.3">
      <c r="F54" s="26">
        <f>IF(G54=1,MAX($F$4:F53)+1,"")</f>
        <v/>
      </c>
      <c r="G54" s="26">
        <f>COUNTIF($H$5:H54,H54)</f>
      </c>
      <c r="H54" s="26">
        <f t="shared" si="12"/>
      </c>
      <c r="I54" s="26">
        <f>COUNTIF($J$4:$J54,1)</f>
      </c>
      <c r="J54" s="26">
        <f>COUNTIF($S$5:$S54,S54)</f>
      </c>
      <c r="K54" s="26">
        <f t="shared" si="13"/>
      </c>
      <c r="L54" s="26">
        <f>IFERROR(IF(P54=0,0,MAX($L$4:L53)+1),0)</f>
      </c>
      <c r="M54" s="5">
        <f t="shared" si="14"/>
      </c>
      <c r="N54" s="5">
        <f t="shared" si="15"/>
      </c>
      <c r="P54" s="86">
        <f t="shared" si="2"/>
      </c>
      <c r="Q54" s="86">
        <f t="shared" si="3"/>
      </c>
      <c r="R54" s="86">
        <f t="shared" si="4"/>
      </c>
      <c r="S54" s="86">
        <f t="shared" si="5"/>
      </c>
      <c r="T54" s="86">
        <f t="shared" si="16"/>
        <v/>
      </c>
      <c r="U54" s="86">
        <f t="shared" si="17"/>
      </c>
      <c r="V54" s="86">
        <f t="shared" si="18"/>
        <v/>
      </c>
      <c r="W54" s="87">
        <f t="shared" si="6"/>
      </c>
      <c r="X54" s="88"/>
      <c r="Y54" s="88"/>
      <c r="Z54" s="88"/>
      <c r="AA54" s="88"/>
      <c r="AB54" s="88"/>
      <c r="AD54" s="86">
        <f t="shared" si="7"/>
      </c>
      <c r="AE54" s="86">
        <f t="shared" si="8"/>
      </c>
      <c r="AG54" s="86">
        <f t="shared" si="9"/>
      </c>
      <c r="AH54" s="86">
        <f t="shared" si="10"/>
      </c>
      <c r="AI54" s="86">
        <f t="shared" si="11"/>
      </c>
    </row>
    <row r="55" spans="2:35" x14ac:dyDescent="0.3">
      <c r="C55" s="23" t="s">
        <v>123</v>
      </c>
      <c r="D55" s="35">
        <v>0.2</v>
      </c>
      <c r="F55" s="26">
        <f>IF(G55=1,MAX($F$4:F54)+1,"")</f>
        <v/>
      </c>
      <c r="G55" s="26">
        <f>COUNTIF($H$5:H55,H55)</f>
      </c>
      <c r="H55" s="26">
        <f t="shared" si="12"/>
      </c>
      <c r="I55" s="26">
        <f>COUNTIF($J$4:$J55,1)</f>
      </c>
      <c r="J55" s="26">
        <f>COUNTIF($S$5:$S55,S55)</f>
      </c>
      <c r="K55" s="26">
        <f t="shared" si="13"/>
      </c>
      <c r="L55" s="26">
        <f>IFERROR(IF(P55=0,0,MAX($L$4:L54)+1),0)</f>
      </c>
      <c r="M55" s="5">
        <f t="shared" si="14"/>
      </c>
      <c r="N55" s="5">
        <f t="shared" si="15"/>
      </c>
      <c r="P55" s="86">
        <f t="shared" si="2"/>
      </c>
      <c r="Q55" s="86">
        <f t="shared" si="3"/>
      </c>
      <c r="R55" s="86">
        <f t="shared" si="4"/>
      </c>
      <c r="S55" s="86">
        <f t="shared" si="5"/>
      </c>
      <c r="T55" s="86">
        <f t="shared" si="16"/>
        <v/>
      </c>
      <c r="U55" s="86">
        <f t="shared" si="17"/>
      </c>
      <c r="V55" s="86">
        <f t="shared" si="18"/>
        <v/>
      </c>
      <c r="W55" s="87">
        <f t="shared" si="6"/>
      </c>
      <c r="X55" s="88"/>
      <c r="Y55" s="88"/>
      <c r="Z55" s="88"/>
      <c r="AA55" s="88"/>
      <c r="AB55" s="88"/>
      <c r="AD55" s="86">
        <f t="shared" si="7"/>
      </c>
      <c r="AE55" s="86">
        <f t="shared" si="8"/>
      </c>
      <c r="AG55" s="86">
        <f t="shared" si="9"/>
      </c>
      <c r="AH55" s="86">
        <f t="shared" si="10"/>
      </c>
      <c r="AI55" s="86">
        <f t="shared" si="11"/>
      </c>
    </row>
    <row r="56" spans="2:35" x14ac:dyDescent="0.3">
      <c r="C56" s="23" t="s">
        <v>343</v>
      </c>
      <c r="D56" s="23" t="s">
        <v>110</v>
      </c>
      <c r="F56" s="26">
        <f>IF(G56=1,MAX($F$4:F55)+1,"")</f>
        <v/>
      </c>
      <c r="G56" s="26">
        <f>COUNTIF($H$5:H56,H56)</f>
      </c>
      <c r="H56" s="26">
        <f t="shared" si="12"/>
      </c>
      <c r="I56" s="26">
        <f>COUNTIF($J$4:$J56,1)</f>
      </c>
      <c r="J56" s="26">
        <f>COUNTIF($S$5:$S56,S56)</f>
      </c>
      <c r="K56" s="26">
        <f t="shared" si="13"/>
      </c>
      <c r="L56" s="26">
        <f>IFERROR(IF(P56=0,0,MAX($L$4:L55)+1),0)</f>
      </c>
      <c r="M56" s="5">
        <f t="shared" si="14"/>
      </c>
      <c r="N56" s="5">
        <f t="shared" si="15"/>
      </c>
      <c r="P56" s="86">
        <f t="shared" si="2"/>
      </c>
      <c r="Q56" s="86">
        <f t="shared" si="3"/>
      </c>
      <c r="R56" s="86">
        <f t="shared" si="4"/>
      </c>
      <c r="S56" s="86">
        <f t="shared" si="5"/>
      </c>
      <c r="T56" s="86">
        <f t="shared" si="16"/>
        <v/>
      </c>
      <c r="U56" s="86">
        <f t="shared" si="17"/>
      </c>
      <c r="V56" s="86">
        <f t="shared" si="18"/>
        <v/>
      </c>
      <c r="W56" s="87">
        <f t="shared" si="6"/>
      </c>
      <c r="X56" s="88"/>
      <c r="Y56" s="88"/>
      <c r="Z56" s="88"/>
      <c r="AA56" s="88"/>
      <c r="AB56" s="88"/>
      <c r="AD56" s="86">
        <f t="shared" si="7"/>
      </c>
      <c r="AE56" s="86">
        <f t="shared" si="8"/>
      </c>
      <c r="AG56" s="86">
        <f t="shared" si="9"/>
      </c>
      <c r="AH56" s="86">
        <f t="shared" si="10"/>
      </c>
      <c r="AI56" s="86">
        <f t="shared" si="11"/>
      </c>
    </row>
    <row r="57" spans="2:35" x14ac:dyDescent="0.3">
      <c r="C57" s="30" t="s">
        <v>348</v>
      </c>
      <c r="D57" s="30">
        <f>SUMIF($AD$5:$AD$1000,C57,$AH$5:$AH$1000)*(1+$D$55)</f>
      </c>
      <c r="F57" s="26">
        <f>IF(G57=1,MAX($F$4:F56)+1,"")</f>
      </c>
      <c r="G57" s="26">
        <f>COUNTIF($H$5:H57,H57)</f>
      </c>
      <c r="H57" s="26">
        <f t="shared" si="12"/>
      </c>
      <c r="I57" s="26">
        <f>COUNTIF($J$4:$J57,1)</f>
      </c>
      <c r="J57" s="26">
        <f>COUNTIF($S$5:$S57,S57)</f>
      </c>
      <c r="K57" s="26">
        <f t="shared" si="13"/>
      </c>
      <c r="L57" s="26">
        <f>IFERROR(IF(P57=0,0,MAX($L$4:L56)+1),0)</f>
      </c>
      <c r="M57" s="5">
        <f t="shared" si="14"/>
      </c>
      <c r="N57" s="5">
        <f t="shared" si="15"/>
      </c>
      <c r="P57" s="86">
        <f t="shared" si="2"/>
      </c>
      <c r="Q57" s="86">
        <f t="shared" si="3"/>
      </c>
      <c r="R57" s="86">
        <f t="shared" si="4"/>
      </c>
      <c r="S57" s="86">
        <f t="shared" si="5"/>
      </c>
      <c r="T57" s="86">
        <f t="shared" si="16"/>
        <v/>
      </c>
      <c r="U57" s="86">
        <f t="shared" si="17"/>
        <v/>
      </c>
      <c r="V57" s="86">
        <f t="shared" si="18"/>
        <v/>
      </c>
      <c r="W57" s="87">
        <f t="shared" si="6"/>
      </c>
      <c r="X57" s="88"/>
      <c r="Y57" s="88"/>
      <c r="Z57" s="88"/>
      <c r="AA57" s="88"/>
      <c r="AB57" s="88"/>
      <c r="AD57" s="86">
        <f t="shared" si="7"/>
      </c>
      <c r="AE57" s="86">
        <f t="shared" si="8"/>
      </c>
      <c r="AG57" s="86">
        <f t="shared" si="9"/>
      </c>
      <c r="AH57" s="86">
        <f t="shared" si="10"/>
      </c>
      <c r="AI57" s="86">
        <f t="shared" si="11"/>
      </c>
    </row>
    <row r="58" spans="2:35" x14ac:dyDescent="0.3">
      <c r="C58" s="30" t="s">
        <v>349</v>
      </c>
      <c r="D58" s="30">
        <f t="shared" ref="D58:D62" si="24">SUMIF($AD$5:$AD$1000,C58,$AH$5:$AH$1000)*(1+$D$55)</f>
      </c>
      <c r="F58" s="26">
        <f>IF(G58=1,MAX($F$4:F57)+1,"")</f>
        <v/>
      </c>
      <c r="G58" s="26">
        <f>COUNTIF($H$5:H58,H58)</f>
      </c>
      <c r="H58" s="26">
        <f t="shared" si="12"/>
      </c>
      <c r="I58" s="26">
        <f>COUNTIF($J$4:$J58,1)</f>
      </c>
      <c r="J58" s="26">
        <f>COUNTIF($S$5:$S58,S58)</f>
      </c>
      <c r="K58" s="26">
        <f t="shared" si="13"/>
      </c>
      <c r="L58" s="26">
        <f>IFERROR(IF(P58=0,0,MAX($L$4:L57)+1),0)</f>
      </c>
      <c r="M58" s="5">
        <f t="shared" si="14"/>
      </c>
      <c r="N58" s="5">
        <f t="shared" si="15"/>
      </c>
      <c r="P58" s="86">
        <f t="shared" si="2"/>
      </c>
      <c r="Q58" s="86">
        <f t="shared" si="3"/>
      </c>
      <c r="R58" s="86">
        <f t="shared" si="4"/>
      </c>
      <c r="S58" s="86">
        <f t="shared" si="5"/>
      </c>
      <c r="T58" s="86">
        <f t="shared" si="16"/>
        <v/>
      </c>
      <c r="U58" s="86">
        <f t="shared" si="17"/>
        <v/>
      </c>
      <c r="V58" s="86">
        <f t="shared" si="18"/>
        <v/>
      </c>
      <c r="W58" s="87">
        <f t="shared" si="6"/>
      </c>
      <c r="X58" s="88"/>
      <c r="Y58" s="88"/>
      <c r="Z58" s="88"/>
      <c r="AA58" s="88"/>
      <c r="AB58" s="88"/>
      <c r="AD58" s="86">
        <f t="shared" si="7"/>
      </c>
      <c r="AE58" s="86">
        <f t="shared" si="8"/>
      </c>
      <c r="AG58" s="86">
        <f t="shared" si="9"/>
      </c>
      <c r="AH58" s="86">
        <f t="shared" si="10"/>
      </c>
      <c r="AI58" s="86">
        <f t="shared" si="11"/>
      </c>
    </row>
    <row r="59" spans="2:35" x14ac:dyDescent="0.3">
      <c r="C59" s="30" t="s">
        <v>350</v>
      </c>
      <c r="D59" s="30">
        <f t="shared" si="24"/>
      </c>
      <c r="F59" s="26">
        <f>IF(G59=1,MAX($F$4:F58)+1,"")</f>
        <v/>
      </c>
      <c r="G59" s="26">
        <f>COUNTIF($H$5:H59,H59)</f>
      </c>
      <c r="H59" s="26">
        <f t="shared" si="12"/>
      </c>
      <c r="I59" s="26">
        <f>COUNTIF($J$4:$J59,1)</f>
      </c>
      <c r="J59" s="26">
        <f>COUNTIF($S$5:$S59,S59)</f>
      </c>
      <c r="K59" s="26">
        <f t="shared" si="13"/>
      </c>
      <c r="L59" s="26">
        <f>IFERROR(IF(P59=0,0,MAX($L$4:L58)+1),0)</f>
      </c>
      <c r="M59" s="5">
        <f t="shared" si="14"/>
      </c>
      <c r="N59" s="5">
        <f t="shared" si="15"/>
      </c>
      <c r="P59" s="86">
        <f t="shared" si="2"/>
      </c>
      <c r="Q59" s="86">
        <f t="shared" si="3"/>
      </c>
      <c r="R59" s="86">
        <f t="shared" si="4"/>
      </c>
      <c r="S59" s="86">
        <f t="shared" si="5"/>
      </c>
      <c r="T59" s="86">
        <f t="shared" si="16"/>
        <v/>
      </c>
      <c r="U59" s="86">
        <f t="shared" si="17"/>
        <v/>
      </c>
      <c r="V59" s="86">
        <f t="shared" si="18"/>
        <v/>
      </c>
      <c r="W59" s="87">
        <f t="shared" si="6"/>
      </c>
      <c r="X59" s="88"/>
      <c r="Y59" s="88"/>
      <c r="Z59" s="88"/>
      <c r="AA59" s="88"/>
      <c r="AB59" s="88"/>
      <c r="AD59" s="86">
        <f t="shared" si="7"/>
      </c>
      <c r="AE59" s="86">
        <f t="shared" si="8"/>
      </c>
      <c r="AG59" s="86">
        <f t="shared" si="9"/>
      </c>
      <c r="AH59" s="86">
        <f t="shared" si="10"/>
      </c>
      <c r="AI59" s="86">
        <f t="shared" si="11"/>
      </c>
    </row>
    <row r="60" spans="2:35" x14ac:dyDescent="0.3">
      <c r="C60" s="30" t="s">
        <v>351</v>
      </c>
      <c r="D60" s="30">
        <f t="shared" si="24"/>
      </c>
      <c r="F60" s="26">
        <f>IF(G60=1,MAX($F$4:F59)+1,"")</f>
        <v/>
      </c>
      <c r="G60" s="26">
        <f>COUNTIF($H$5:H60,H60)</f>
      </c>
      <c r="H60" s="26">
        <f t="shared" si="12"/>
      </c>
      <c r="I60" s="26">
        <f>COUNTIF($J$4:$J60,1)</f>
      </c>
      <c r="J60" s="26">
        <f>COUNTIF($S$5:$S60,S60)</f>
      </c>
      <c r="K60" s="26">
        <f t="shared" si="13"/>
      </c>
      <c r="L60" s="26">
        <f>IFERROR(IF(P60=0,0,MAX($L$4:L59)+1),0)</f>
      </c>
      <c r="M60" s="5">
        <f t="shared" si="14"/>
      </c>
      <c r="N60" s="5">
        <f t="shared" si="15"/>
      </c>
      <c r="P60" s="86">
        <f t="shared" si="2"/>
      </c>
      <c r="Q60" s="86">
        <f t="shared" si="3"/>
      </c>
      <c r="R60" s="86">
        <f t="shared" si="4"/>
      </c>
      <c r="S60" s="86">
        <f t="shared" si="5"/>
      </c>
      <c r="T60" s="86">
        <f t="shared" si="16"/>
        <v/>
      </c>
      <c r="U60" s="86">
        <f t="shared" si="17"/>
        <v/>
      </c>
      <c r="V60" s="86">
        <f t="shared" si="18"/>
        <v/>
      </c>
      <c r="W60" s="87">
        <f t="shared" si="6"/>
      </c>
      <c r="X60" s="88"/>
      <c r="Y60" s="88"/>
      <c r="Z60" s="88"/>
      <c r="AA60" s="88"/>
      <c r="AB60" s="88"/>
      <c r="AD60" s="86">
        <f t="shared" si="7"/>
      </c>
      <c r="AE60" s="86">
        <f t="shared" si="8"/>
      </c>
      <c r="AG60" s="86">
        <f t="shared" si="9"/>
      </c>
      <c r="AH60" s="86">
        <f t="shared" si="10"/>
      </c>
      <c r="AI60" s="86">
        <f t="shared" si="11"/>
      </c>
    </row>
    <row r="61" spans="2:35" x14ac:dyDescent="0.3">
      <c r="C61" s="30" t="s">
        <v>352</v>
      </c>
      <c r="D61" s="30">
        <f t="shared" si="24"/>
      </c>
      <c r="F61" s="26">
        <f>IF(G61=1,MAX($F$4:F60)+1,"")</f>
        <v/>
      </c>
      <c r="G61" s="26">
        <f>COUNTIF($H$5:H61,H61)</f>
      </c>
      <c r="H61" s="26">
        <f t="shared" si="12"/>
      </c>
      <c r="I61" s="26">
        <f>COUNTIF($J$4:$J61,1)</f>
      </c>
      <c r="J61" s="26">
        <f>COUNTIF($S$5:$S61,S61)</f>
      </c>
      <c r="K61" s="26">
        <f t="shared" si="13"/>
      </c>
      <c r="L61" s="26">
        <f>IFERROR(IF(P61=0,0,MAX($L$4:L60)+1),0)</f>
      </c>
      <c r="M61" s="5">
        <f t="shared" si="14"/>
      </c>
      <c r="N61" s="5">
        <f t="shared" si="15"/>
      </c>
      <c r="P61" s="86">
        <f t="shared" si="2"/>
      </c>
      <c r="Q61" s="86">
        <f t="shared" si="3"/>
      </c>
      <c r="R61" s="86">
        <f t="shared" si="4"/>
      </c>
      <c r="S61" s="86">
        <f t="shared" si="5"/>
      </c>
      <c r="T61" s="86">
        <f t="shared" si="16"/>
        <v/>
      </c>
      <c r="U61" s="86">
        <f t="shared" si="17"/>
        <v/>
      </c>
      <c r="V61" s="86">
        <f t="shared" si="18"/>
        <v/>
      </c>
      <c r="W61" s="87">
        <f t="shared" si="6"/>
      </c>
      <c r="X61" s="88"/>
      <c r="Y61" s="88"/>
      <c r="Z61" s="88"/>
      <c r="AA61" s="88"/>
      <c r="AB61" s="88"/>
      <c r="AD61" s="86">
        <f t="shared" si="7"/>
      </c>
      <c r="AE61" s="86">
        <f t="shared" si="8"/>
      </c>
      <c r="AG61" s="86">
        <f t="shared" si="9"/>
      </c>
      <c r="AH61" s="86">
        <f t="shared" si="10"/>
      </c>
      <c r="AI61" s="86">
        <f t="shared" si="11"/>
      </c>
    </row>
    <row r="62" spans="2:35" x14ac:dyDescent="0.3">
      <c r="C62" s="30" t="s">
        <v>353</v>
      </c>
      <c r="D62" s="30">
        <f t="shared" si="24"/>
      </c>
      <c r="F62" s="26">
        <f>IF(G62=1,MAX($F$4:F61)+1,"")</f>
        <v/>
      </c>
      <c r="G62" s="26">
        <f>COUNTIF($H$5:H62,H62)</f>
      </c>
      <c r="H62" s="26">
        <f t="shared" si="12"/>
      </c>
      <c r="I62" s="26">
        <f>COUNTIF($J$4:$J62,1)</f>
      </c>
      <c r="J62" s="26">
        <f>COUNTIF($S$5:$S62,S62)</f>
      </c>
      <c r="K62" s="26">
        <f t="shared" si="13"/>
      </c>
      <c r="L62" s="26">
        <f>IFERROR(IF(P62=0,0,MAX($L$4:L61)+1),0)</f>
      </c>
      <c r="M62" s="5">
        <f t="shared" si="14"/>
      </c>
      <c r="N62" s="5">
        <f t="shared" si="15"/>
      </c>
      <c r="P62" s="86">
        <f t="shared" si="2"/>
      </c>
      <c r="Q62" s="86">
        <f t="shared" si="3"/>
      </c>
      <c r="R62" s="86">
        <f t="shared" si="4"/>
      </c>
      <c r="S62" s="86">
        <f t="shared" si="5"/>
      </c>
      <c r="T62" s="86">
        <f t="shared" si="16"/>
        <v/>
      </c>
      <c r="U62" s="86">
        <f t="shared" si="17"/>
        <v/>
      </c>
      <c r="V62" s="86">
        <f t="shared" si="18"/>
        <v/>
      </c>
      <c r="W62" s="87">
        <f t="shared" si="6"/>
      </c>
      <c r="X62" s="88"/>
      <c r="Y62" s="88"/>
      <c r="Z62" s="88"/>
      <c r="AA62" s="88"/>
      <c r="AB62" s="88"/>
      <c r="AD62" s="86">
        <f t="shared" si="7"/>
      </c>
      <c r="AE62" s="86">
        <f t="shared" si="8"/>
      </c>
      <c r="AG62" s="86">
        <f t="shared" si="9"/>
      </c>
      <c r="AH62" s="86">
        <f t="shared" si="10"/>
      </c>
      <c r="AI62" s="86">
        <f t="shared" si="11"/>
      </c>
    </row>
    <row r="63" spans="2:35" x14ac:dyDescent="0.3">
      <c r="C63" s="30"/>
      <c r="D63" s="30"/>
      <c r="F63" s="26">
        <f>IF(G63=1,MAX($F$4:F62)+1,"")</f>
        <v/>
      </c>
      <c r="G63" s="26">
        <f>COUNTIF($H$5:H63,H63)</f>
      </c>
      <c r="H63" s="26">
        <f t="shared" si="12"/>
      </c>
      <c r="I63" s="26">
        <f>COUNTIF($J$4:$J63,1)</f>
      </c>
      <c r="J63" s="26">
        <f>COUNTIF($S$5:$S63,S63)</f>
      </c>
      <c r="K63" s="26">
        <f t="shared" si="13"/>
      </c>
      <c r="L63" s="26">
        <f>IFERROR(IF(P63=0,0,MAX($L$4:L62)+1),0)</f>
      </c>
      <c r="M63" s="5">
        <f t="shared" si="14"/>
      </c>
      <c r="N63" s="5">
        <f t="shared" si="15"/>
      </c>
      <c r="P63" s="86">
        <f t="shared" si="2"/>
      </c>
      <c r="Q63" s="86">
        <f t="shared" si="3"/>
      </c>
      <c r="R63" s="86">
        <f t="shared" si="4"/>
      </c>
      <c r="S63" s="86">
        <f t="shared" si="5"/>
      </c>
      <c r="T63" s="86">
        <f t="shared" si="16"/>
        <v/>
      </c>
      <c r="U63" s="86">
        <f t="shared" si="17"/>
        <v/>
      </c>
      <c r="V63" s="86">
        <f t="shared" si="18"/>
        <v/>
      </c>
      <c r="W63" s="87">
        <f t="shared" si="6"/>
      </c>
      <c r="X63" s="88"/>
      <c r="Y63" s="88"/>
      <c r="Z63" s="88"/>
      <c r="AA63" s="88"/>
      <c r="AB63" s="88"/>
      <c r="AD63" s="86">
        <f t="shared" si="7"/>
      </c>
      <c r="AE63" s="86">
        <f t="shared" si="8"/>
      </c>
      <c r="AG63" s="86">
        <f t="shared" si="9"/>
      </c>
      <c r="AH63" s="86">
        <f t="shared" si="10"/>
      </c>
      <c r="AI63" s="86">
        <f t="shared" si="11"/>
      </c>
    </row>
    <row r="64" spans="2:35" x14ac:dyDescent="0.3">
      <c r="C64" s="30"/>
      <c r="D64" s="30"/>
      <c r="F64" s="26">
        <f>IF(G64=1,MAX($F$4:F63)+1,"")</f>
        <v/>
      </c>
      <c r="G64" s="26">
        <f>COUNTIF($H$5:H64,H64)</f>
      </c>
      <c r="H64" s="26">
        <f t="shared" si="12"/>
      </c>
      <c r="I64" s="26">
        <f>COUNTIF($J$4:$J64,1)</f>
      </c>
      <c r="J64" s="26">
        <f>COUNTIF($S$5:$S64,S64)</f>
      </c>
      <c r="K64" s="26">
        <f t="shared" si="13"/>
      </c>
      <c r="L64" s="26">
        <f>IFERROR(IF(P64=0,0,MAX($L$4:L63)+1),0)</f>
      </c>
      <c r="M64" s="5">
        <f t="shared" si="14"/>
      </c>
      <c r="N64" s="5">
        <f t="shared" si="15"/>
      </c>
      <c r="P64" s="86">
        <f t="shared" si="2"/>
      </c>
      <c r="Q64" s="86">
        <f t="shared" si="3"/>
      </c>
      <c r="R64" s="86">
        <f t="shared" si="4"/>
      </c>
      <c r="S64" s="86">
        <f t="shared" si="5"/>
      </c>
      <c r="T64" s="86">
        <f t="shared" si="16"/>
        <v/>
      </c>
      <c r="U64" s="86">
        <f t="shared" si="17"/>
        <v/>
      </c>
      <c r="V64" s="86">
        <f t="shared" si="18"/>
        <v/>
      </c>
      <c r="W64" s="87">
        <f t="shared" si="6"/>
      </c>
      <c r="X64" s="88"/>
      <c r="Y64" s="88"/>
      <c r="Z64" s="88"/>
      <c r="AA64" s="88"/>
      <c r="AB64" s="88"/>
      <c r="AD64" s="86">
        <f t="shared" si="7"/>
      </c>
      <c r="AE64" s="86">
        <f t="shared" si="8"/>
      </c>
      <c r="AG64" s="86">
        <f t="shared" si="9"/>
      </c>
      <c r="AH64" s="86">
        <f t="shared" si="10"/>
      </c>
      <c r="AI64" s="86">
        <f t="shared" si="11"/>
      </c>
    </row>
    <row r="65" spans="3:35" x14ac:dyDescent="0.3">
      <c r="C65" s="30"/>
      <c r="D65" s="30"/>
      <c r="F65" s="26">
        <f>IF(G65=1,MAX($F$4:F64)+1,"")</f>
        <v/>
      </c>
      <c r="G65" s="26">
        <f>COUNTIF($H$5:H65,H65)</f>
      </c>
      <c r="H65" s="26">
        <f t="shared" si="12"/>
      </c>
      <c r="I65" s="26">
        <f>COUNTIF($J$4:$J65,1)</f>
      </c>
      <c r="J65" s="26">
        <f>COUNTIF($S$5:$S65,S65)</f>
      </c>
      <c r="K65" s="26">
        <f t="shared" si="13"/>
      </c>
      <c r="L65" s="26">
        <f>IFERROR(IF(P65=0,0,MAX($L$4:L64)+1),0)</f>
      </c>
      <c r="M65" s="5">
        <f t="shared" si="14"/>
      </c>
      <c r="N65" s="5">
        <f t="shared" si="15"/>
      </c>
      <c r="P65" s="86">
        <f t="shared" si="2"/>
      </c>
      <c r="Q65" s="86">
        <f t="shared" si="3"/>
      </c>
      <c r="R65" s="86">
        <f t="shared" si="4"/>
      </c>
      <c r="S65" s="86">
        <f t="shared" si="5"/>
      </c>
      <c r="T65" s="86">
        <f t="shared" si="16"/>
        <v/>
      </c>
      <c r="U65" s="86">
        <f t="shared" si="17"/>
        <v/>
      </c>
      <c r="V65" s="86">
        <f t="shared" si="18"/>
        <v/>
      </c>
      <c r="W65" s="87">
        <f t="shared" si="6"/>
      </c>
      <c r="X65" s="88"/>
      <c r="Y65" s="88"/>
      <c r="Z65" s="88"/>
      <c r="AA65" s="88"/>
      <c r="AB65" s="88"/>
      <c r="AD65" s="86">
        <f t="shared" si="7"/>
      </c>
      <c r="AE65" s="86">
        <f t="shared" si="8"/>
      </c>
      <c r="AG65" s="86">
        <f t="shared" si="9"/>
      </c>
      <c r="AH65" s="86">
        <f t="shared" si="10"/>
      </c>
      <c r="AI65" s="86">
        <f t="shared" si="11"/>
      </c>
    </row>
    <row r="66" spans="3:35" x14ac:dyDescent="0.3">
      <c r="C66" s="30"/>
      <c r="D66" s="30"/>
      <c r="F66" s="26">
        <f>IF(G66=1,MAX($F$4:F65)+1,"")</f>
        <v/>
      </c>
      <c r="G66" s="26">
        <f>COUNTIF($H$5:H66,H66)</f>
      </c>
      <c r="H66" s="26">
        <f t="shared" si="12"/>
      </c>
      <c r="I66" s="26">
        <f>COUNTIF($J$4:$J66,1)</f>
      </c>
      <c r="J66" s="26">
        <f>COUNTIF($S$5:$S66,S66)</f>
      </c>
      <c r="K66" s="26">
        <f t="shared" si="13"/>
      </c>
      <c r="L66" s="26">
        <f>IFERROR(IF(P66=0,0,MAX($L$4:L65)+1),0)</f>
      </c>
      <c r="M66" s="5">
        <f t="shared" si="14"/>
      </c>
      <c r="N66" s="5">
        <f t="shared" si="15"/>
      </c>
      <c r="P66" s="86">
        <f t="shared" si="2"/>
      </c>
      <c r="Q66" s="86">
        <f t="shared" si="3"/>
      </c>
      <c r="R66" s="86">
        <f t="shared" si="4"/>
      </c>
      <c r="S66" s="86">
        <f t="shared" si="5"/>
      </c>
      <c r="T66" s="86">
        <f t="shared" si="16"/>
        <v/>
      </c>
      <c r="U66" s="86">
        <f t="shared" si="17"/>
        <v/>
      </c>
      <c r="V66" s="86">
        <f t="shared" si="18"/>
        <v/>
      </c>
      <c r="W66" s="87">
        <f t="shared" si="6"/>
      </c>
      <c r="X66" s="88"/>
      <c r="Y66" s="88"/>
      <c r="Z66" s="88"/>
      <c r="AA66" s="88"/>
      <c r="AB66" s="88"/>
      <c r="AD66" s="86">
        <f t="shared" si="7"/>
      </c>
      <c r="AE66" s="86">
        <f t="shared" si="8"/>
      </c>
      <c r="AG66" s="86">
        <f t="shared" si="9"/>
      </c>
      <c r="AH66" s="86">
        <f t="shared" si="10"/>
      </c>
      <c r="AI66" s="86">
        <f t="shared" si="11"/>
      </c>
    </row>
    <row r="67" spans="3:35" x14ac:dyDescent="0.3">
      <c r="C67" s="30"/>
      <c r="D67" s="30"/>
      <c r="F67" s="26">
        <f>IF(G67=1,MAX($F$4:F66)+1,"")</f>
        <v/>
      </c>
      <c r="G67" s="26">
        <f>COUNTIF($H$5:H67,H67)</f>
      </c>
      <c r="H67" s="26">
        <f t="shared" si="12"/>
      </c>
      <c r="I67" s="26">
        <f>COUNTIF($J$4:$J67,1)</f>
      </c>
      <c r="J67" s="26">
        <f>COUNTIF($S$5:$S67,S67)</f>
      </c>
      <c r="K67" s="26">
        <f t="shared" si="13"/>
      </c>
      <c r="L67" s="26">
        <f>IFERROR(IF(P67=0,0,MAX($L$4:L66)+1),0)</f>
      </c>
      <c r="M67" s="5">
        <f t="shared" si="14"/>
      </c>
      <c r="N67" s="5">
        <f t="shared" si="15"/>
      </c>
      <c r="P67" s="86">
        <f t="shared" si="2"/>
      </c>
      <c r="Q67" s="86">
        <f t="shared" si="3"/>
      </c>
      <c r="R67" s="86">
        <f t="shared" si="4"/>
      </c>
      <c r="S67" s="86">
        <f t="shared" si="5"/>
      </c>
      <c r="T67" s="86">
        <f t="shared" si="16"/>
        <v/>
      </c>
      <c r="U67" s="86">
        <f t="shared" si="17"/>
        <v/>
      </c>
      <c r="V67" s="86">
        <f t="shared" si="18"/>
        <v/>
      </c>
      <c r="W67" s="87">
        <f t="shared" si="6"/>
      </c>
      <c r="X67" s="88"/>
      <c r="Y67" s="88"/>
      <c r="Z67" s="88"/>
      <c r="AA67" s="88"/>
      <c r="AB67" s="88"/>
      <c r="AD67" s="86">
        <f t="shared" si="7"/>
      </c>
      <c r="AE67" s="86">
        <f t="shared" si="8"/>
      </c>
      <c r="AG67" s="86">
        <f t="shared" si="9"/>
      </c>
      <c r="AH67" s="86">
        <f t="shared" si="10"/>
      </c>
      <c r="AI67" s="86">
        <f t="shared" si="11"/>
      </c>
    </row>
    <row r="68" spans="3:35" x14ac:dyDescent="0.3">
      <c r="C68" s="30"/>
      <c r="D68" s="30"/>
      <c r="F68" s="26">
        <f>IF(G68=1,MAX($F$4:F67)+1,"")</f>
        <v/>
      </c>
      <c r="G68" s="26">
        <f>COUNTIF($H$5:H68,H68)</f>
      </c>
      <c r="H68" s="26">
        <f t="shared" si="12"/>
      </c>
      <c r="I68" s="26">
        <f>COUNTIF($J$4:$J68,1)</f>
      </c>
      <c r="J68" s="26">
        <f>COUNTIF($S$5:$S68,S68)</f>
      </c>
      <c r="K68" s="26">
        <f t="shared" si="13"/>
      </c>
      <c r="L68" s="26">
        <f>IFERROR(IF(P68=0,0,MAX($L$4:L67)+1),0)</f>
      </c>
      <c r="M68" s="5">
        <f t="shared" si="14"/>
      </c>
      <c r="N68" s="5">
        <f t="shared" si="15"/>
      </c>
      <c r="P68" s="86">
        <f t="shared" si="2"/>
      </c>
      <c r="Q68" s="86">
        <f t="shared" si="3"/>
      </c>
      <c r="R68" s="86">
        <f t="shared" si="4"/>
      </c>
      <c r="S68" s="86">
        <f t="shared" si="5"/>
      </c>
      <c r="T68" s="86">
        <f t="shared" si="16"/>
        <v/>
      </c>
      <c r="U68" s="86">
        <f t="shared" si="17"/>
        <v/>
      </c>
      <c r="V68" s="86">
        <f t="shared" si="18"/>
        <v/>
      </c>
      <c r="W68" s="87">
        <f t="shared" si="6"/>
      </c>
      <c r="X68" s="88"/>
      <c r="Y68" s="88"/>
      <c r="Z68" s="88"/>
      <c r="AA68" s="88"/>
      <c r="AB68" s="88"/>
      <c r="AD68" s="86">
        <f t="shared" si="7"/>
      </c>
      <c r="AE68" s="86">
        <f t="shared" si="8"/>
      </c>
      <c r="AG68" s="86">
        <f t="shared" si="9"/>
      </c>
      <c r="AH68" s="86">
        <f t="shared" si="10"/>
      </c>
      <c r="AI68" s="86">
        <f t="shared" si="11"/>
      </c>
    </row>
    <row r="69" spans="3:35" x14ac:dyDescent="0.3">
      <c r="C69" s="30"/>
      <c r="D69" s="30"/>
      <c r="F69" s="26">
        <f>IF(G69=1,MAX($F$4:F68)+1,"")</f>
        <v/>
      </c>
      <c r="G69" s="26">
        <f>COUNTIF($H$5:H69,H69)</f>
      </c>
      <c r="H69" s="26">
        <f t="shared" si="12"/>
      </c>
      <c r="I69" s="26">
        <f>COUNTIF($J$4:$J69,1)</f>
      </c>
      <c r="J69" s="26">
        <f>COUNTIF($S$5:$S69,S69)</f>
      </c>
      <c r="K69" s="26">
        <f t="shared" ref="K69:K132" si="25">VLOOKUP(P69,Исходные_данные,19,FALSE)</f>
      </c>
      <c r="L69" s="26">
        <f>IFERROR(IF(P69=0,0,MAX($L$4:L68)+1),0)</f>
      </c>
      <c r="M69" s="5">
        <f t="shared" si="14"/>
      </c>
      <c r="N69" s="5">
        <f t="shared" si="15"/>
      </c>
      <c r="P69" s="86">
        <f t="shared" ref="P69:P132" si="26">VLOOKUP(ROW(65:65),Разбивка_нумерация_5,4,FALSE)</f>
      </c>
      <c r="Q69" s="86">
        <f t="shared" ref="Q69:Q132" si="27">IF(VLOOKUP(ROW(65:65),Разбивка_нумерация_5,3,FALSE)=0,VLOOKUP(ROW(65:65),Разбивка_нумерация_5,2,FALSE),VLOOKUP(ROW(65:65),Разбивка_нумерация_5,3,FALSE))</f>
      </c>
      <c r="R69" s="86">
        <f t="shared" ref="R69:R132" si="28">VLOOKUP(ROW(65:65),Разбивка_нумерация_5,6,FALSE)</f>
      </c>
      <c r="S69" s="86">
        <f t="shared" ref="S69:S132" si="29">VLOOKUP(ROW(65:65),Разбивка_нумерация_5,17,FALSE)</f>
      </c>
      <c r="T69" s="86">
        <f t="shared" si="16"/>
        <v/>
      </c>
      <c r="U69" s="86">
        <f t="shared" si="17"/>
        <v/>
      </c>
      <c r="V69" s="86">
        <f t="shared" si="18"/>
        <v/>
      </c>
      <c r="W69" s="87">
        <f t="shared" ref="W69:W132" si="30">VLOOKUP(P69,Исходные_данные,13,FALSE)</f>
      </c>
      <c r="X69" s="88"/>
      <c r="Y69" s="88"/>
      <c r="Z69" s="88"/>
      <c r="AA69" s="88"/>
      <c r="AB69" s="88"/>
      <c r="AD69" s="86">
        <f t="shared" ref="AD69:AD132" si="31">VLOOKUP(S69,Кабель_диаметр,4,FALSE)</f>
      </c>
      <c r="AE69" s="86">
        <f t="shared" ref="AE69:AE132" si="32">VLOOKUP(S69,Кабель_диаметр,5,FALSE)</f>
      </c>
      <c r="AG69" s="86">
        <f t="shared" ref="AG69:AG132" si="33">IFERROR(VLOOKUP(P69,Исходные_данные,10,FALSE),0)</f>
      </c>
      <c r="AH69" s="86">
        <f t="shared" ref="AH69:AH132" si="34">IFERROR(VLOOKUP(P69,Исходные_данные,11,FALSE),0)</f>
      </c>
      <c r="AI69" s="86">
        <f t="shared" ref="AI69:AI132" si="35">IFERROR(VLOOKUP(P69,Исходные_данные,12,FALSE),0)</f>
      </c>
    </row>
    <row r="70" spans="3:35" x14ac:dyDescent="0.3">
      <c r="C70" s="30"/>
      <c r="D70" s="30"/>
      <c r="F70" s="26">
        <f>IF(G70=1,MAX($F$4:F69)+1,"")</f>
        <v/>
      </c>
      <c r="G70" s="26">
        <f>COUNTIF($H$5:H70,H70)</f>
      </c>
      <c r="H70" s="26">
        <f t="shared" ref="H70:H133" si="36">S70&amp;" "&amp;K70</f>
      </c>
      <c r="I70" s="26">
        <f>COUNTIF($J$4:$J70,1)</f>
      </c>
      <c r="J70" s="26">
        <f>COUNTIF($S$5:$S70,S70)</f>
      </c>
      <c r="K70" s="26">
        <f t="shared" si="25"/>
      </c>
      <c r="L70" s="26">
        <f>IFERROR(IF(P70=0,0,MAX($L$4:L69)+1),0)</f>
      </c>
      <c r="M70" s="5">
        <f t="shared" ref="M70:M133" si="37">LEFT(P70,SEARCH(".",P70)-1)</f>
      </c>
      <c r="N70" s="5">
        <f t="shared" ref="N70:N133" si="38">LEFT(RIGHT(P70,LEN(P70)-LEN(M70)-1),SEARCH(".",P70)-1)</f>
      </c>
      <c r="P70" s="86">
        <f t="shared" si="26"/>
      </c>
      <c r="Q70" s="86">
        <f t="shared" si="27"/>
      </c>
      <c r="R70" s="86">
        <f t="shared" si="28"/>
      </c>
      <c r="S70" s="86">
        <f t="shared" si="29"/>
      </c>
      <c r="T70" s="86">
        <f t="shared" ref="T70:T133" si="39">IF(AG70=0,"","L="&amp;AG70)</f>
        <v/>
      </c>
      <c r="U70" s="86">
        <f t="shared" ref="U70:U133" si="40">IF(AH70=0,"",AD70&amp;" L="&amp;AH70)</f>
        <v/>
      </c>
      <c r="V70" s="86">
        <f t="shared" ref="V70:V133" si="41">IF(AI70=0,"",AE70&amp;" L="&amp;AI70)</f>
        <v/>
      </c>
      <c r="W70" s="87">
        <f t="shared" si="30"/>
      </c>
      <c r="X70" s="88"/>
      <c r="Y70" s="88"/>
      <c r="Z70" s="88"/>
      <c r="AA70" s="88"/>
      <c r="AB70" s="88"/>
      <c r="AD70" s="86">
        <f t="shared" si="31"/>
      </c>
      <c r="AE70" s="86">
        <f t="shared" si="32"/>
      </c>
      <c r="AG70" s="86">
        <f t="shared" si="33"/>
      </c>
      <c r="AH70" s="86">
        <f t="shared" si="34"/>
      </c>
      <c r="AI70" s="86">
        <f t="shared" si="35"/>
      </c>
    </row>
    <row r="71" spans="3:35" x14ac:dyDescent="0.3">
      <c r="C71" s="30"/>
      <c r="D71" s="30"/>
      <c r="F71" s="26">
        <f>IF(G71=1,MAX($F$4:F70)+1,"")</f>
        <v/>
      </c>
      <c r="G71" s="26">
        <f>COUNTIF($H$5:H71,H71)</f>
      </c>
      <c r="H71" s="26">
        <f t="shared" si="36"/>
      </c>
      <c r="I71" s="26">
        <f>COUNTIF($J$4:$J71,1)</f>
      </c>
      <c r="J71" s="26">
        <f>COUNTIF($S$5:$S71,S71)</f>
      </c>
      <c r="K71" s="26">
        <f t="shared" si="25"/>
      </c>
      <c r="L71" s="26">
        <f>IFERROR(IF(P71=0,0,MAX($L$4:L70)+1),0)</f>
      </c>
      <c r="M71" s="5">
        <f t="shared" si="37"/>
      </c>
      <c r="N71" s="5">
        <f t="shared" si="38"/>
      </c>
      <c r="P71" s="86">
        <f t="shared" si="26"/>
      </c>
      <c r="Q71" s="86">
        <f t="shared" si="27"/>
      </c>
      <c r="R71" s="86">
        <f t="shared" si="28"/>
      </c>
      <c r="S71" s="86">
        <f t="shared" si="29"/>
      </c>
      <c r="T71" s="86">
        <f t="shared" si="39"/>
        <v/>
      </c>
      <c r="U71" s="86">
        <f t="shared" si="40"/>
        <v/>
      </c>
      <c r="V71" s="86">
        <f t="shared" si="41"/>
        <v/>
      </c>
      <c r="W71" s="87">
        <f t="shared" si="30"/>
      </c>
      <c r="X71" s="88"/>
      <c r="Y71" s="88"/>
      <c r="Z71" s="88"/>
      <c r="AA71" s="88"/>
      <c r="AB71" s="88"/>
      <c r="AD71" s="86">
        <f t="shared" si="31"/>
      </c>
      <c r="AE71" s="86">
        <f t="shared" si="32"/>
      </c>
      <c r="AG71" s="86">
        <f t="shared" si="33"/>
      </c>
      <c r="AH71" s="86">
        <f t="shared" si="34"/>
      </c>
      <c r="AI71" s="86">
        <f t="shared" si="35"/>
      </c>
    </row>
    <row r="72" spans="3:35" x14ac:dyDescent="0.3">
      <c r="F72" s="26">
        <f>IF(G72=1,MAX($F$4:F71)+1,"")</f>
        <v/>
      </c>
      <c r="G72" s="26">
        <f>COUNTIF($H$5:H72,H72)</f>
      </c>
      <c r="H72" s="26">
        <f t="shared" si="36"/>
      </c>
      <c r="I72" s="26">
        <f>COUNTIF($J$4:$J72,1)</f>
      </c>
      <c r="J72" s="26">
        <f>COUNTIF($S$5:$S72,S72)</f>
      </c>
      <c r="K72" s="26">
        <f t="shared" si="25"/>
      </c>
      <c r="L72" s="26">
        <f>IFERROR(IF(P72=0,0,MAX($L$4:L71)+1),0)</f>
      </c>
      <c r="M72" s="5">
        <f t="shared" si="37"/>
      </c>
      <c r="N72" s="5">
        <f t="shared" si="38"/>
      </c>
      <c r="P72" s="86">
        <f t="shared" si="26"/>
      </c>
      <c r="Q72" s="86">
        <f t="shared" si="27"/>
      </c>
      <c r="R72" s="86">
        <f t="shared" si="28"/>
      </c>
      <c r="S72" s="86">
        <f t="shared" si="29"/>
      </c>
      <c r="T72" s="86">
        <f t="shared" si="39"/>
        <v/>
      </c>
      <c r="U72" s="86">
        <f t="shared" si="40"/>
        <v/>
      </c>
      <c r="V72" s="86">
        <f t="shared" si="41"/>
        <v/>
      </c>
      <c r="W72" s="87">
        <f t="shared" si="30"/>
      </c>
      <c r="X72" s="88"/>
      <c r="Y72" s="88"/>
      <c r="Z72" s="88"/>
      <c r="AA72" s="88"/>
      <c r="AB72" s="88"/>
      <c r="AD72" s="86">
        <f t="shared" si="31"/>
      </c>
      <c r="AE72" s="86">
        <f t="shared" si="32"/>
      </c>
      <c r="AG72" s="86">
        <f t="shared" si="33"/>
      </c>
      <c r="AH72" s="86">
        <f t="shared" si="34"/>
      </c>
      <c r="AI72" s="86">
        <f t="shared" si="35"/>
      </c>
    </row>
    <row r="73" spans="3:35" x14ac:dyDescent="0.3">
      <c r="F73" s="26">
        <f>IF(G73=1,MAX($F$4:F72)+1,"")</f>
        <v/>
      </c>
      <c r="G73" s="26">
        <f>COUNTIF($H$5:H73,H73)</f>
      </c>
      <c r="H73" s="26">
        <f t="shared" si="36"/>
      </c>
      <c r="I73" s="26">
        <f>COUNTIF($J$4:$J73,1)</f>
      </c>
      <c r="J73" s="26">
        <f>COUNTIF($S$5:$S73,S73)</f>
      </c>
      <c r="K73" s="26">
        <f t="shared" si="25"/>
      </c>
      <c r="L73" s="26">
        <f>IFERROR(IF(P73=0,0,MAX($L$4:L72)+1),0)</f>
      </c>
      <c r="M73" s="5">
        <f t="shared" si="37"/>
      </c>
      <c r="N73" s="5">
        <f t="shared" si="38"/>
      </c>
      <c r="P73" s="86">
        <f t="shared" si="26"/>
      </c>
      <c r="Q73" s="86">
        <f t="shared" si="27"/>
      </c>
      <c r="R73" s="86">
        <f t="shared" si="28"/>
      </c>
      <c r="S73" s="86">
        <f t="shared" si="29"/>
      </c>
      <c r="T73" s="86">
        <f t="shared" si="39"/>
        <v/>
      </c>
      <c r="U73" s="86">
        <f t="shared" si="40"/>
        <v/>
      </c>
      <c r="V73" s="86">
        <f t="shared" si="41"/>
        <v/>
      </c>
      <c r="W73" s="87">
        <f t="shared" si="30"/>
      </c>
      <c r="X73" s="88"/>
      <c r="Y73" s="88"/>
      <c r="Z73" s="88"/>
      <c r="AA73" s="88"/>
      <c r="AB73" s="88"/>
      <c r="AD73" s="86">
        <f t="shared" si="31"/>
      </c>
      <c r="AE73" s="86">
        <f t="shared" si="32"/>
      </c>
      <c r="AG73" s="86">
        <f t="shared" si="33"/>
      </c>
      <c r="AH73" s="86">
        <f t="shared" si="34"/>
      </c>
      <c r="AI73" s="86">
        <f t="shared" si="35"/>
      </c>
    </row>
    <row r="74" spans="3:35" x14ac:dyDescent="0.3">
      <c r="C74" s="23" t="s">
        <v>123</v>
      </c>
      <c r="D74" s="35">
        <v>0.2</v>
      </c>
      <c r="F74" s="26">
        <f>IF(G74=1,MAX($F$4:F73)+1,"")</f>
        <v/>
      </c>
      <c r="G74" s="26">
        <f>COUNTIF($H$5:H74,H74)</f>
      </c>
      <c r="H74" s="26">
        <f t="shared" si="36"/>
      </c>
      <c r="I74" s="26">
        <f>COUNTIF($J$4:$J74,1)</f>
      </c>
      <c r="J74" s="26">
        <f>COUNTIF($S$5:$S74,S74)</f>
      </c>
      <c r="K74" s="26">
        <f t="shared" si="25"/>
      </c>
      <c r="L74" s="26">
        <f>IFERROR(IF(P74=0,0,MAX($L$4:L73)+1),0)</f>
      </c>
      <c r="M74" s="5">
        <f t="shared" si="37"/>
      </c>
      <c r="N74" s="5">
        <f t="shared" si="38"/>
      </c>
      <c r="P74" s="86">
        <f t="shared" si="26"/>
      </c>
      <c r="Q74" s="86">
        <f t="shared" si="27"/>
      </c>
      <c r="R74" s="86">
        <f t="shared" si="28"/>
      </c>
      <c r="S74" s="86">
        <f t="shared" si="29"/>
      </c>
      <c r="T74" s="86">
        <f t="shared" si="39"/>
        <v/>
      </c>
      <c r="U74" s="86">
        <f t="shared" si="40"/>
        <v/>
      </c>
      <c r="V74" s="86">
        <f t="shared" si="41"/>
        <v/>
      </c>
      <c r="W74" s="87">
        <f t="shared" si="30"/>
      </c>
      <c r="X74" s="88"/>
      <c r="Y74" s="88"/>
      <c r="Z74" s="88"/>
      <c r="AA74" s="88"/>
      <c r="AB74" s="88"/>
      <c r="AD74" s="86">
        <f t="shared" si="31"/>
      </c>
      <c r="AE74" s="86">
        <f t="shared" si="32"/>
      </c>
      <c r="AG74" s="86">
        <f t="shared" si="33"/>
      </c>
      <c r="AH74" s="86">
        <f t="shared" si="34"/>
      </c>
      <c r="AI74" s="86">
        <f t="shared" si="35"/>
      </c>
    </row>
    <row r="75" spans="3:35" x14ac:dyDescent="0.3">
      <c r="C75" s="23" t="s">
        <v>342</v>
      </c>
      <c r="D75" s="23" t="s">
        <v>110</v>
      </c>
      <c r="F75" s="26">
        <f>IF(G75=1,MAX($F$4:F74)+1,"")</f>
        <v/>
      </c>
      <c r="G75" s="26">
        <f>COUNTIF($H$5:H75,H75)</f>
      </c>
      <c r="H75" s="26">
        <f t="shared" si="36"/>
      </c>
      <c r="I75" s="26">
        <f>COUNTIF($J$4:$J75,1)</f>
      </c>
      <c r="J75" s="26">
        <f>COUNTIF($S$5:$S75,S75)</f>
      </c>
      <c r="K75" s="26">
        <f t="shared" si="25"/>
      </c>
      <c r="L75" s="26">
        <f>IFERROR(IF(P75=0,0,MAX($L$4:L74)+1),0)</f>
      </c>
      <c r="M75" s="5">
        <f t="shared" si="37"/>
      </c>
      <c r="N75" s="5">
        <f t="shared" si="38"/>
      </c>
      <c r="P75" s="86">
        <f t="shared" si="26"/>
      </c>
      <c r="Q75" s="86">
        <f t="shared" si="27"/>
      </c>
      <c r="R75" s="86">
        <f t="shared" si="28"/>
      </c>
      <c r="S75" s="86">
        <f t="shared" si="29"/>
      </c>
      <c r="T75" s="86">
        <f t="shared" si="39"/>
        <v/>
      </c>
      <c r="U75" s="86">
        <f t="shared" si="40"/>
        <v/>
      </c>
      <c r="V75" s="86">
        <f t="shared" si="41"/>
        <v/>
      </c>
      <c r="W75" s="87">
        <f t="shared" si="30"/>
      </c>
      <c r="X75" s="88"/>
      <c r="Y75" s="88"/>
      <c r="Z75" s="88"/>
      <c r="AA75" s="88"/>
      <c r="AB75" s="88"/>
      <c r="AD75" s="86">
        <f t="shared" si="31"/>
      </c>
      <c r="AE75" s="86">
        <f t="shared" si="32"/>
      </c>
      <c r="AG75" s="86">
        <f t="shared" si="33"/>
      </c>
      <c r="AH75" s="86">
        <f t="shared" si="34"/>
      </c>
      <c r="AI75" s="86">
        <f t="shared" si="35"/>
      </c>
    </row>
    <row r="76" spans="3:35" x14ac:dyDescent="0.3">
      <c r="C76" s="30" t="s">
        <v>348</v>
      </c>
      <c r="D76" s="30">
        <f>SUMIF($AE$5:$AE$1000,C76,$AI$5:$AI$1000)*(1+$D$55)</f>
      </c>
      <c r="F76" s="26">
        <f>IF(G76=1,MAX($F$4:F75)+1,"")</f>
        <v/>
      </c>
      <c r="G76" s="26">
        <f>COUNTIF($H$5:H76,H76)</f>
      </c>
      <c r="H76" s="26">
        <f t="shared" si="36"/>
      </c>
      <c r="I76" s="26">
        <f>COUNTIF($J$4:$J76,1)</f>
      </c>
      <c r="J76" s="26">
        <f>COUNTIF($S$5:$S76,S76)</f>
      </c>
      <c r="K76" s="26">
        <f t="shared" si="25"/>
      </c>
      <c r="L76" s="26">
        <f>IFERROR(IF(P76=0,0,MAX($L$4:L75)+1),0)</f>
      </c>
      <c r="M76" s="5">
        <f t="shared" si="37"/>
      </c>
      <c r="N76" s="5">
        <f t="shared" si="38"/>
      </c>
      <c r="P76" s="86">
        <f t="shared" si="26"/>
      </c>
      <c r="Q76" s="86">
        <f t="shared" si="27"/>
      </c>
      <c r="R76" s="86">
        <f t="shared" si="28"/>
      </c>
      <c r="S76" s="86">
        <f t="shared" si="29"/>
      </c>
      <c r="T76" s="86">
        <f t="shared" si="39"/>
        <v/>
      </c>
      <c r="U76" s="86">
        <f t="shared" si="40"/>
        <v/>
      </c>
      <c r="V76" s="86">
        <f t="shared" si="41"/>
        <v/>
      </c>
      <c r="W76" s="87">
        <f t="shared" si="30"/>
      </c>
      <c r="X76" s="88"/>
      <c r="Y76" s="88"/>
      <c r="Z76" s="88"/>
      <c r="AA76" s="88"/>
      <c r="AB76" s="88"/>
      <c r="AD76" s="86">
        <f t="shared" si="31"/>
      </c>
      <c r="AE76" s="86">
        <f t="shared" si="32"/>
      </c>
      <c r="AG76" s="86">
        <f t="shared" si="33"/>
      </c>
      <c r="AH76" s="86">
        <f t="shared" si="34"/>
      </c>
      <c r="AI76" s="86">
        <f t="shared" si="35"/>
      </c>
    </row>
    <row r="77" spans="3:35" x14ac:dyDescent="0.3">
      <c r="C77" s="30" t="s">
        <v>349</v>
      </c>
      <c r="D77" s="30">
        <f t="shared" ref="D77:D81" si="42">SUMIF($AE$5:$AE$1000,C77,$AI$5:$AI$1000)*(1+$D$55)</f>
      </c>
      <c r="F77" s="26">
        <f>IF(G77=1,MAX($F$4:F76)+1,"")</f>
        <v/>
      </c>
      <c r="G77" s="26">
        <f>COUNTIF($H$5:H77,H77)</f>
      </c>
      <c r="H77" s="26">
        <f t="shared" si="36"/>
      </c>
      <c r="I77" s="26">
        <f>COUNTIF($J$4:$J77,1)</f>
      </c>
      <c r="J77" s="26">
        <f>COUNTIF($S$5:$S77,S77)</f>
      </c>
      <c r="K77" s="26">
        <f t="shared" si="25"/>
      </c>
      <c r="L77" s="26">
        <f>IFERROR(IF(P77=0,0,MAX($L$4:L76)+1),0)</f>
      </c>
      <c r="M77" s="5">
        <f t="shared" si="37"/>
      </c>
      <c r="N77" s="5">
        <f t="shared" si="38"/>
      </c>
      <c r="P77" s="86">
        <f t="shared" si="26"/>
      </c>
      <c r="Q77" s="86">
        <f t="shared" si="27"/>
      </c>
      <c r="R77" s="86">
        <f t="shared" si="28"/>
      </c>
      <c r="S77" s="86">
        <f t="shared" si="29"/>
      </c>
      <c r="T77" s="86">
        <f t="shared" si="39"/>
        <v/>
      </c>
      <c r="U77" s="86">
        <f t="shared" si="40"/>
        <v/>
      </c>
      <c r="V77" s="86">
        <f t="shared" si="41"/>
        <v/>
      </c>
      <c r="W77" s="87">
        <f t="shared" si="30"/>
      </c>
      <c r="X77" s="88"/>
      <c r="Y77" s="88"/>
      <c r="Z77" s="88"/>
      <c r="AA77" s="88"/>
      <c r="AB77" s="88"/>
      <c r="AD77" s="86">
        <f t="shared" si="31"/>
      </c>
      <c r="AE77" s="86">
        <f t="shared" si="32"/>
      </c>
      <c r="AG77" s="86">
        <f t="shared" si="33"/>
      </c>
      <c r="AH77" s="86">
        <f t="shared" si="34"/>
      </c>
      <c r="AI77" s="86">
        <f t="shared" si="35"/>
      </c>
    </row>
    <row r="78" spans="3:35" x14ac:dyDescent="0.3">
      <c r="C78" s="30" t="s">
        <v>350</v>
      </c>
      <c r="D78" s="30">
        <f t="shared" si="42"/>
      </c>
      <c r="F78" s="26">
        <f>IF(G78=1,MAX($F$4:F77)+1,"")</f>
        <v/>
      </c>
      <c r="G78" s="26">
        <f>COUNTIF($H$5:H78,H78)</f>
      </c>
      <c r="H78" s="26">
        <f t="shared" si="36"/>
      </c>
      <c r="I78" s="26">
        <f>COUNTIF($J$4:$J78,1)</f>
      </c>
      <c r="J78" s="26">
        <f>COUNTIF($S$5:$S78,S78)</f>
      </c>
      <c r="K78" s="26">
        <f t="shared" si="25"/>
      </c>
      <c r="L78" s="26">
        <f>IFERROR(IF(P78=0,0,MAX($L$4:L77)+1),0)</f>
      </c>
      <c r="M78" s="5">
        <f t="shared" si="37"/>
      </c>
      <c r="N78" s="5">
        <f t="shared" si="38"/>
      </c>
      <c r="P78" s="86">
        <f t="shared" si="26"/>
      </c>
      <c r="Q78" s="86">
        <f t="shared" si="27"/>
      </c>
      <c r="R78" s="86">
        <f t="shared" si="28"/>
      </c>
      <c r="S78" s="86">
        <f t="shared" si="29"/>
      </c>
      <c r="T78" s="86">
        <f t="shared" si="39"/>
        <v/>
      </c>
      <c r="U78" s="86">
        <f t="shared" si="40"/>
        <v/>
      </c>
      <c r="V78" s="86">
        <f t="shared" si="41"/>
        <v/>
      </c>
      <c r="W78" s="87">
        <f t="shared" si="30"/>
      </c>
      <c r="X78" s="88"/>
      <c r="Y78" s="88"/>
      <c r="Z78" s="88"/>
      <c r="AA78" s="88"/>
      <c r="AB78" s="88"/>
      <c r="AD78" s="86">
        <f t="shared" si="31"/>
      </c>
      <c r="AE78" s="86">
        <f t="shared" si="32"/>
      </c>
      <c r="AG78" s="86">
        <f t="shared" si="33"/>
      </c>
      <c r="AH78" s="86">
        <f t="shared" si="34"/>
      </c>
      <c r="AI78" s="86">
        <f t="shared" si="35"/>
      </c>
    </row>
    <row r="79" spans="3:35" x14ac:dyDescent="0.3">
      <c r="C79" s="30" t="s">
        <v>351</v>
      </c>
      <c r="D79" s="30">
        <f t="shared" si="42"/>
      </c>
      <c r="F79" s="26">
        <f>IF(G79=1,MAX($F$4:F78)+1,"")</f>
        <v/>
      </c>
      <c r="G79" s="26">
        <f>COUNTIF($H$5:H79,H79)</f>
      </c>
      <c r="H79" s="26">
        <f t="shared" si="36"/>
      </c>
      <c r="I79" s="26">
        <f>COUNTIF($J$4:$J79,1)</f>
      </c>
      <c r="J79" s="26">
        <f>COUNTIF($S$5:$S79,S79)</f>
      </c>
      <c r="K79" s="26">
        <f t="shared" si="25"/>
      </c>
      <c r="L79" s="26">
        <f>IFERROR(IF(P79=0,0,MAX($L$4:L78)+1),0)</f>
      </c>
      <c r="M79" s="5">
        <f t="shared" si="37"/>
      </c>
      <c r="N79" s="5">
        <f t="shared" si="38"/>
      </c>
      <c r="P79" s="86">
        <f t="shared" si="26"/>
      </c>
      <c r="Q79" s="86">
        <f t="shared" si="27"/>
      </c>
      <c r="R79" s="86">
        <f t="shared" si="28"/>
      </c>
      <c r="S79" s="86">
        <f t="shared" si="29"/>
      </c>
      <c r="T79" s="86">
        <f t="shared" si="39"/>
        <v/>
      </c>
      <c r="U79" s="86">
        <f t="shared" si="40"/>
        <v/>
      </c>
      <c r="V79" s="86">
        <f t="shared" si="41"/>
        <v/>
      </c>
      <c r="W79" s="87">
        <f t="shared" si="30"/>
      </c>
      <c r="X79" s="88"/>
      <c r="Y79" s="88"/>
      <c r="Z79" s="88"/>
      <c r="AA79" s="88"/>
      <c r="AB79" s="88"/>
      <c r="AD79" s="86">
        <f t="shared" si="31"/>
      </c>
      <c r="AE79" s="86">
        <f t="shared" si="32"/>
      </c>
      <c r="AG79" s="86">
        <f t="shared" si="33"/>
      </c>
      <c r="AH79" s="86">
        <f t="shared" si="34"/>
      </c>
      <c r="AI79" s="86">
        <f t="shared" si="35"/>
      </c>
    </row>
    <row r="80" spans="3:35" x14ac:dyDescent="0.3">
      <c r="C80" s="30" t="s">
        <v>352</v>
      </c>
      <c r="D80" s="30">
        <f t="shared" si="42"/>
      </c>
      <c r="F80" s="26">
        <f>IF(G80=1,MAX($F$4:F79)+1,"")</f>
        <v/>
      </c>
      <c r="G80" s="26">
        <f>COUNTIF($H$5:H80,H80)</f>
      </c>
      <c r="H80" s="26">
        <f t="shared" si="36"/>
      </c>
      <c r="I80" s="26">
        <f>COUNTIF($J$4:$J80,1)</f>
      </c>
      <c r="J80" s="26">
        <f>COUNTIF($S$5:$S80,S80)</f>
      </c>
      <c r="K80" s="26">
        <f t="shared" si="25"/>
      </c>
      <c r="L80" s="26">
        <f>IFERROR(IF(P80=0,0,MAX($L$4:L79)+1),0)</f>
      </c>
      <c r="M80" s="5">
        <f t="shared" si="37"/>
      </c>
      <c r="N80" s="5">
        <f t="shared" si="38"/>
      </c>
      <c r="P80" s="86">
        <f t="shared" si="26"/>
      </c>
      <c r="Q80" s="86">
        <f t="shared" si="27"/>
      </c>
      <c r="R80" s="86">
        <f t="shared" si="28"/>
      </c>
      <c r="S80" s="86">
        <f t="shared" si="29"/>
      </c>
      <c r="T80" s="86">
        <f t="shared" si="39"/>
        <v/>
      </c>
      <c r="U80" s="86">
        <f t="shared" si="40"/>
        <v/>
      </c>
      <c r="V80" s="86">
        <f t="shared" si="41"/>
        <v/>
      </c>
      <c r="W80" s="87">
        <f t="shared" si="30"/>
      </c>
      <c r="X80" s="88"/>
      <c r="Y80" s="88"/>
      <c r="Z80" s="88"/>
      <c r="AA80" s="88"/>
      <c r="AB80" s="88"/>
      <c r="AD80" s="86">
        <f t="shared" si="31"/>
      </c>
      <c r="AE80" s="86">
        <f t="shared" si="32"/>
      </c>
      <c r="AG80" s="86">
        <f t="shared" si="33"/>
      </c>
      <c r="AH80" s="86">
        <f t="shared" si="34"/>
      </c>
      <c r="AI80" s="86">
        <f t="shared" si="35"/>
      </c>
    </row>
    <row r="81" spans="3:35" x14ac:dyDescent="0.3">
      <c r="C81" s="30" t="s">
        <v>353</v>
      </c>
      <c r="D81" s="30">
        <f t="shared" si="42"/>
      </c>
      <c r="F81" s="26">
        <f>IF(G81=1,MAX($F$4:F80)+1,"")</f>
        <v/>
      </c>
      <c r="G81" s="26">
        <f>COUNTIF($H$5:H81,H81)</f>
      </c>
      <c r="H81" s="26">
        <f t="shared" si="36"/>
      </c>
      <c r="I81" s="26">
        <f>COUNTIF($J$4:$J81,1)</f>
      </c>
      <c r="J81" s="26">
        <f>COUNTIF($S$5:$S81,S81)</f>
      </c>
      <c r="K81" s="26">
        <f t="shared" si="25"/>
      </c>
      <c r="L81" s="26">
        <f>IFERROR(IF(P81=0,0,MAX($L$4:L80)+1),0)</f>
      </c>
      <c r="M81" s="5">
        <f t="shared" si="37"/>
      </c>
      <c r="N81" s="5">
        <f t="shared" si="38"/>
      </c>
      <c r="P81" s="86">
        <f t="shared" si="26"/>
      </c>
      <c r="Q81" s="86">
        <f t="shared" si="27"/>
      </c>
      <c r="R81" s="86">
        <f t="shared" si="28"/>
      </c>
      <c r="S81" s="86">
        <f t="shared" si="29"/>
      </c>
      <c r="T81" s="86">
        <f t="shared" si="39"/>
        <v/>
      </c>
      <c r="U81" s="86">
        <f t="shared" si="40"/>
        <v/>
      </c>
      <c r="V81" s="86">
        <f t="shared" si="41"/>
        <v/>
      </c>
      <c r="W81" s="87">
        <f t="shared" si="30"/>
      </c>
      <c r="X81" s="88"/>
      <c r="Y81" s="88"/>
      <c r="Z81" s="88"/>
      <c r="AA81" s="88"/>
      <c r="AB81" s="88"/>
      <c r="AD81" s="86">
        <f t="shared" si="31"/>
      </c>
      <c r="AE81" s="86">
        <f t="shared" si="32"/>
      </c>
      <c r="AG81" s="86">
        <f t="shared" si="33"/>
      </c>
      <c r="AH81" s="86">
        <f t="shared" si="34"/>
      </c>
      <c r="AI81" s="86">
        <f t="shared" si="35"/>
      </c>
    </row>
    <row r="82" spans="3:35" x14ac:dyDescent="0.3">
      <c r="C82" s="30"/>
      <c r="D82" s="30"/>
      <c r="F82" s="26">
        <f>IF(G82=1,MAX($F$4:F81)+1,"")</f>
        <v/>
      </c>
      <c r="G82" s="26">
        <f>COUNTIF($H$5:H82,H82)</f>
      </c>
      <c r="H82" s="26">
        <f t="shared" si="36"/>
      </c>
      <c r="I82" s="26">
        <f>COUNTIF($J$4:$J82,1)</f>
      </c>
      <c r="J82" s="26">
        <f>COUNTIF($S$5:$S82,S82)</f>
      </c>
      <c r="K82" s="26">
        <f t="shared" si="25"/>
      </c>
      <c r="L82" s="26">
        <f>IFERROR(IF(P82=0,0,MAX($L$4:L81)+1),0)</f>
      </c>
      <c r="M82" s="5">
        <f t="shared" si="37"/>
      </c>
      <c r="N82" s="5">
        <f t="shared" si="38"/>
      </c>
      <c r="P82" s="86">
        <f t="shared" si="26"/>
      </c>
      <c r="Q82" s="86">
        <f t="shared" si="27"/>
      </c>
      <c r="R82" s="86">
        <f t="shared" si="28"/>
      </c>
      <c r="S82" s="86">
        <f t="shared" si="29"/>
      </c>
      <c r="T82" s="86">
        <f t="shared" si="39"/>
        <v/>
      </c>
      <c r="U82" s="86">
        <f t="shared" si="40"/>
        <v/>
      </c>
      <c r="V82" s="86">
        <f t="shared" si="41"/>
        <v/>
      </c>
      <c r="W82" s="87">
        <f t="shared" si="30"/>
      </c>
      <c r="X82" s="88"/>
      <c r="Y82" s="88"/>
      <c r="Z82" s="88"/>
      <c r="AA82" s="88"/>
      <c r="AB82" s="88"/>
      <c r="AD82" s="86">
        <f t="shared" si="31"/>
      </c>
      <c r="AE82" s="86">
        <f t="shared" si="32"/>
      </c>
      <c r="AG82" s="86">
        <f t="shared" si="33"/>
      </c>
      <c r="AH82" s="86">
        <f t="shared" si="34"/>
      </c>
      <c r="AI82" s="86">
        <f t="shared" si="35"/>
      </c>
    </row>
    <row r="83" spans="3:35" x14ac:dyDescent="0.3">
      <c r="C83" s="30"/>
      <c r="D83" s="30"/>
      <c r="F83" s="26">
        <f>IF(G83=1,MAX($F$4:F82)+1,"")</f>
        <v/>
      </c>
      <c r="G83" s="26">
        <f>COUNTIF($H$5:H83,H83)</f>
      </c>
      <c r="H83" s="26">
        <f t="shared" si="36"/>
      </c>
      <c r="I83" s="26">
        <f>COUNTIF($J$4:$J83,1)</f>
      </c>
      <c r="J83" s="26">
        <f>COUNTIF($S$5:$S83,S83)</f>
      </c>
      <c r="K83" s="26">
        <f t="shared" si="25"/>
      </c>
      <c r="L83" s="26">
        <f>IFERROR(IF(P83=0,0,MAX($L$4:L82)+1),0)</f>
      </c>
      <c r="M83" s="5">
        <f t="shared" si="37"/>
      </c>
      <c r="N83" s="5">
        <f t="shared" si="38"/>
      </c>
      <c r="P83" s="86">
        <f t="shared" si="26"/>
      </c>
      <c r="Q83" s="86">
        <f t="shared" si="27"/>
      </c>
      <c r="R83" s="86">
        <f t="shared" si="28"/>
      </c>
      <c r="S83" s="86">
        <f t="shared" si="29"/>
      </c>
      <c r="T83" s="86">
        <f t="shared" si="39"/>
        <v/>
      </c>
      <c r="U83" s="86">
        <f t="shared" si="40"/>
        <v/>
      </c>
      <c r="V83" s="86">
        <f t="shared" si="41"/>
        <v/>
      </c>
      <c r="W83" s="87">
        <f t="shared" si="30"/>
      </c>
      <c r="X83" s="88"/>
      <c r="Y83" s="88"/>
      <c r="Z83" s="88"/>
      <c r="AA83" s="88"/>
      <c r="AB83" s="88"/>
      <c r="AD83" s="86">
        <f t="shared" si="31"/>
      </c>
      <c r="AE83" s="86">
        <f t="shared" si="32"/>
      </c>
      <c r="AG83" s="86">
        <f t="shared" si="33"/>
      </c>
      <c r="AH83" s="86">
        <f t="shared" si="34"/>
      </c>
      <c r="AI83" s="86">
        <f t="shared" si="35"/>
      </c>
    </row>
    <row r="84" spans="3:35" x14ac:dyDescent="0.3">
      <c r="C84" s="30"/>
      <c r="D84" s="30"/>
      <c r="F84" s="26">
        <f>IF(G84=1,MAX($F$4:F83)+1,"")</f>
        <v/>
      </c>
      <c r="G84" s="26">
        <f>COUNTIF($H$5:H84,H84)</f>
      </c>
      <c r="H84" s="26">
        <f t="shared" si="36"/>
      </c>
      <c r="I84" s="26">
        <f>COUNTIF($J$4:$J84,1)</f>
      </c>
      <c r="J84" s="26">
        <f>COUNTIF($S$5:$S84,S84)</f>
      </c>
      <c r="K84" s="26">
        <f t="shared" si="25"/>
      </c>
      <c r="L84" s="26">
        <f>IFERROR(IF(P84=0,0,MAX($L$4:L83)+1),0)</f>
      </c>
      <c r="M84" s="5">
        <f t="shared" si="37"/>
      </c>
      <c r="N84" s="5">
        <f t="shared" si="38"/>
      </c>
      <c r="P84" s="86">
        <f t="shared" si="26"/>
      </c>
      <c r="Q84" s="86">
        <f t="shared" si="27"/>
      </c>
      <c r="R84" s="86">
        <f t="shared" si="28"/>
      </c>
      <c r="S84" s="86">
        <f t="shared" si="29"/>
      </c>
      <c r="T84" s="86">
        <f t="shared" si="39"/>
        <v/>
      </c>
      <c r="U84" s="86">
        <f t="shared" si="40"/>
        <v/>
      </c>
      <c r="V84" s="86">
        <f t="shared" si="41"/>
        <v/>
      </c>
      <c r="W84" s="87">
        <f t="shared" si="30"/>
      </c>
      <c r="X84" s="88"/>
      <c r="Y84" s="88"/>
      <c r="Z84" s="88"/>
      <c r="AA84" s="88"/>
      <c r="AB84" s="88"/>
      <c r="AD84" s="86">
        <f t="shared" si="31"/>
      </c>
      <c r="AE84" s="86">
        <f t="shared" si="32"/>
      </c>
      <c r="AG84" s="86">
        <f t="shared" si="33"/>
      </c>
      <c r="AH84" s="86">
        <f t="shared" si="34"/>
      </c>
      <c r="AI84" s="86">
        <f t="shared" si="35"/>
      </c>
    </row>
    <row r="85" spans="3:35" x14ac:dyDescent="0.3">
      <c r="C85" s="30"/>
      <c r="D85" s="30"/>
      <c r="F85" s="26">
        <f>IF(G85=1,MAX($F$4:F84)+1,"")</f>
        <v/>
      </c>
      <c r="G85" s="26">
        <f>COUNTIF($H$5:H85,H85)</f>
      </c>
      <c r="H85" s="26">
        <f t="shared" si="36"/>
      </c>
      <c r="I85" s="26">
        <f>COUNTIF($J$4:$J85,1)</f>
      </c>
      <c r="J85" s="26">
        <f>COUNTIF($S$5:$S85,S85)</f>
      </c>
      <c r="K85" s="26">
        <f t="shared" si="25"/>
      </c>
      <c r="L85" s="26">
        <f>IFERROR(IF(P85=0,0,MAX($L$4:L84)+1),0)</f>
      </c>
      <c r="M85" s="5">
        <f t="shared" si="37"/>
      </c>
      <c r="N85" s="5">
        <f t="shared" si="38"/>
      </c>
      <c r="P85" s="86">
        <f t="shared" si="26"/>
      </c>
      <c r="Q85" s="86">
        <f t="shared" si="27"/>
      </c>
      <c r="R85" s="86">
        <f t="shared" si="28"/>
      </c>
      <c r="S85" s="86">
        <f t="shared" si="29"/>
      </c>
      <c r="T85" s="86">
        <f t="shared" si="39"/>
        <v/>
      </c>
      <c r="U85" s="86">
        <f t="shared" si="40"/>
        <v/>
      </c>
      <c r="V85" s="86">
        <f t="shared" si="41"/>
        <v/>
      </c>
      <c r="W85" s="87">
        <f t="shared" si="30"/>
      </c>
      <c r="X85" s="88"/>
      <c r="Y85" s="88"/>
      <c r="Z85" s="88"/>
      <c r="AA85" s="88"/>
      <c r="AB85" s="88"/>
      <c r="AD85" s="86">
        <f t="shared" si="31"/>
      </c>
      <c r="AE85" s="86">
        <f t="shared" si="32"/>
      </c>
      <c r="AG85" s="86">
        <f t="shared" si="33"/>
      </c>
      <c r="AH85" s="86">
        <f t="shared" si="34"/>
      </c>
      <c r="AI85" s="86">
        <f t="shared" si="35"/>
      </c>
    </row>
    <row r="86" spans="3:35" x14ac:dyDescent="0.3">
      <c r="C86" s="30"/>
      <c r="D86" s="30"/>
      <c r="F86" s="26">
        <f>IF(G86=1,MAX($F$4:F85)+1,"")</f>
        <v/>
      </c>
      <c r="G86" s="26">
        <f>COUNTIF($H$5:H86,H86)</f>
      </c>
      <c r="H86" s="26">
        <f t="shared" si="36"/>
      </c>
      <c r="I86" s="26">
        <f>COUNTIF($J$4:$J86,1)</f>
      </c>
      <c r="J86" s="26">
        <f>COUNTIF($S$5:$S86,S86)</f>
      </c>
      <c r="K86" s="26">
        <f t="shared" si="25"/>
      </c>
      <c r="L86" s="26">
        <f>IFERROR(IF(P86=0,0,MAX($L$4:L85)+1),0)</f>
      </c>
      <c r="M86" s="5">
        <f t="shared" si="37"/>
      </c>
      <c r="N86" s="5">
        <f t="shared" si="38"/>
      </c>
      <c r="P86" s="86">
        <f t="shared" si="26"/>
      </c>
      <c r="Q86" s="86">
        <f t="shared" si="27"/>
      </c>
      <c r="R86" s="86">
        <f t="shared" si="28"/>
      </c>
      <c r="S86" s="86">
        <f t="shared" si="29"/>
      </c>
      <c r="T86" s="86">
        <f t="shared" si="39"/>
        <v/>
      </c>
      <c r="U86" s="86">
        <f t="shared" si="40"/>
        <v/>
      </c>
      <c r="V86" s="86">
        <f t="shared" si="41"/>
        <v/>
      </c>
      <c r="W86" s="87">
        <f t="shared" si="30"/>
      </c>
      <c r="X86" s="88"/>
      <c r="Y86" s="88"/>
      <c r="Z86" s="88"/>
      <c r="AA86" s="88"/>
      <c r="AB86" s="88"/>
      <c r="AD86" s="86">
        <f t="shared" si="31"/>
      </c>
      <c r="AE86" s="86">
        <f t="shared" si="32"/>
      </c>
      <c r="AG86" s="86">
        <f t="shared" si="33"/>
      </c>
      <c r="AH86" s="86">
        <f t="shared" si="34"/>
      </c>
      <c r="AI86" s="86">
        <f t="shared" si="35"/>
      </c>
    </row>
    <row r="87" spans="3:35" x14ac:dyDescent="0.3">
      <c r="C87" s="30"/>
      <c r="D87" s="30"/>
      <c r="F87" s="26">
        <f>IF(G87=1,MAX($F$4:F86)+1,"")</f>
        <v/>
      </c>
      <c r="G87" s="26">
        <f>COUNTIF($H$5:H87,H87)</f>
      </c>
      <c r="H87" s="26">
        <f t="shared" si="36"/>
      </c>
      <c r="I87" s="26">
        <f>COUNTIF($J$4:$J87,1)</f>
      </c>
      <c r="J87" s="26">
        <f>COUNTIF($S$5:$S87,S87)</f>
      </c>
      <c r="K87" s="26">
        <f t="shared" si="25"/>
      </c>
      <c r="L87" s="26">
        <f>IFERROR(IF(P87=0,0,MAX($L$4:L86)+1),0)</f>
      </c>
      <c r="M87" s="5">
        <f t="shared" si="37"/>
      </c>
      <c r="N87" s="5">
        <f t="shared" si="38"/>
      </c>
      <c r="P87" s="86">
        <f t="shared" si="26"/>
      </c>
      <c r="Q87" s="86">
        <f t="shared" si="27"/>
      </c>
      <c r="R87" s="86">
        <f t="shared" si="28"/>
      </c>
      <c r="S87" s="86">
        <f t="shared" si="29"/>
      </c>
      <c r="T87" s="86">
        <f t="shared" si="39"/>
        <v/>
      </c>
      <c r="U87" s="86">
        <f t="shared" si="40"/>
        <v/>
      </c>
      <c r="V87" s="86">
        <f t="shared" si="41"/>
        <v/>
      </c>
      <c r="W87" s="87">
        <f t="shared" si="30"/>
      </c>
      <c r="X87" s="88"/>
      <c r="Y87" s="88"/>
      <c r="Z87" s="88"/>
      <c r="AA87" s="88"/>
      <c r="AB87" s="88"/>
      <c r="AD87" s="86">
        <f t="shared" si="31"/>
      </c>
      <c r="AE87" s="86">
        <f t="shared" si="32"/>
      </c>
      <c r="AG87" s="86">
        <f t="shared" si="33"/>
      </c>
      <c r="AH87" s="86">
        <f t="shared" si="34"/>
      </c>
      <c r="AI87" s="86">
        <f t="shared" si="35"/>
      </c>
    </row>
    <row r="88" spans="3:35" x14ac:dyDescent="0.3">
      <c r="C88" s="30"/>
      <c r="D88" s="30"/>
      <c r="F88" s="26">
        <f>IF(G88=1,MAX($F$4:F87)+1,"")</f>
        <v/>
      </c>
      <c r="G88" s="26">
        <f>COUNTIF($H$5:H88,H88)</f>
      </c>
      <c r="H88" s="26">
        <f t="shared" si="36"/>
      </c>
      <c r="I88" s="26">
        <f>COUNTIF($J$4:$J88,1)</f>
      </c>
      <c r="J88" s="26">
        <f>COUNTIF($S$5:$S88,S88)</f>
      </c>
      <c r="K88" s="26">
        <f t="shared" si="25"/>
      </c>
      <c r="L88" s="26">
        <f>IFERROR(IF(P88=0,0,MAX($L$4:L87)+1),0)</f>
      </c>
      <c r="M88" s="5">
        <f t="shared" si="37"/>
      </c>
      <c r="N88" s="5">
        <f t="shared" si="38"/>
      </c>
      <c r="P88" s="86">
        <f t="shared" si="26"/>
      </c>
      <c r="Q88" s="86">
        <f t="shared" si="27"/>
      </c>
      <c r="R88" s="86">
        <f t="shared" si="28"/>
      </c>
      <c r="S88" s="86">
        <f t="shared" si="29"/>
      </c>
      <c r="T88" s="86">
        <f t="shared" si="39"/>
        <v/>
      </c>
      <c r="U88" s="86">
        <f t="shared" si="40"/>
        <v/>
      </c>
      <c r="V88" s="86">
        <f t="shared" si="41"/>
        <v/>
      </c>
      <c r="W88" s="87">
        <f t="shared" si="30"/>
      </c>
      <c r="X88" s="88"/>
      <c r="Y88" s="88"/>
      <c r="Z88" s="88"/>
      <c r="AA88" s="88"/>
      <c r="AB88" s="88"/>
      <c r="AD88" s="86">
        <f t="shared" si="31"/>
      </c>
      <c r="AE88" s="86">
        <f t="shared" si="32"/>
      </c>
      <c r="AG88" s="86">
        <f t="shared" si="33"/>
      </c>
      <c r="AH88" s="86">
        <f t="shared" si="34"/>
      </c>
      <c r="AI88" s="86">
        <f t="shared" si="35"/>
      </c>
    </row>
    <row r="89" spans="3:35" x14ac:dyDescent="0.3">
      <c r="C89" s="30"/>
      <c r="D89" s="30"/>
      <c r="F89" s="26">
        <f>IF(G89=1,MAX($F$4:F88)+1,"")</f>
        <v/>
      </c>
      <c r="G89" s="26">
        <f>COUNTIF($H$5:H89,H89)</f>
      </c>
      <c r="H89" s="26">
        <f t="shared" si="36"/>
      </c>
      <c r="I89" s="26">
        <f>COUNTIF($J$4:$J89,1)</f>
      </c>
      <c r="J89" s="26">
        <f>COUNTIF($S$5:$S89,S89)</f>
      </c>
      <c r="K89" s="26">
        <f t="shared" si="25"/>
      </c>
      <c r="L89" s="26">
        <f>IFERROR(IF(P89=0,0,MAX($L$4:L88)+1),0)</f>
      </c>
      <c r="M89" s="5">
        <f t="shared" si="37"/>
      </c>
      <c r="N89" s="5">
        <f t="shared" si="38"/>
      </c>
      <c r="P89" s="86">
        <f t="shared" si="26"/>
      </c>
      <c r="Q89" s="86">
        <f t="shared" si="27"/>
      </c>
      <c r="R89" s="86">
        <f t="shared" si="28"/>
      </c>
      <c r="S89" s="86">
        <f t="shared" si="29"/>
      </c>
      <c r="T89" s="86">
        <f t="shared" si="39"/>
        <v/>
      </c>
      <c r="U89" s="86">
        <f t="shared" si="40"/>
        <v/>
      </c>
      <c r="V89" s="86">
        <f t="shared" si="41"/>
        <v/>
      </c>
      <c r="W89" s="87">
        <f t="shared" si="30"/>
      </c>
      <c r="X89" s="88"/>
      <c r="Y89" s="88"/>
      <c r="Z89" s="88"/>
      <c r="AA89" s="88"/>
      <c r="AB89" s="88"/>
      <c r="AD89" s="86">
        <f t="shared" si="31"/>
      </c>
      <c r="AE89" s="86">
        <f t="shared" si="32"/>
      </c>
      <c r="AG89" s="86">
        <f t="shared" si="33"/>
      </c>
      <c r="AH89" s="86">
        <f t="shared" si="34"/>
      </c>
      <c r="AI89" s="86">
        <f t="shared" si="35"/>
      </c>
    </row>
    <row r="90" spans="3:35" x14ac:dyDescent="0.3">
      <c r="C90" s="30"/>
      <c r="D90" s="30"/>
      <c r="F90" s="26">
        <f>IF(G90=1,MAX($F$4:F89)+1,"")</f>
        <v/>
      </c>
      <c r="G90" s="26">
        <f>COUNTIF($H$5:H90,H90)</f>
      </c>
      <c r="H90" s="26">
        <f t="shared" si="36"/>
      </c>
      <c r="I90" s="26">
        <f>COUNTIF($J$4:$J90,1)</f>
      </c>
      <c r="J90" s="26">
        <f>COUNTIF($S$5:$S90,S90)</f>
      </c>
      <c r="K90" s="26">
        <f t="shared" si="25"/>
      </c>
      <c r="L90" s="26">
        <f>IFERROR(IF(P90=0,0,MAX($L$4:L89)+1),0)</f>
      </c>
      <c r="M90" s="5">
        <f t="shared" si="37"/>
      </c>
      <c r="N90" s="5">
        <f t="shared" si="38"/>
      </c>
      <c r="P90" s="86">
        <f t="shared" si="26"/>
      </c>
      <c r="Q90" s="86">
        <f t="shared" si="27"/>
      </c>
      <c r="R90" s="86">
        <f t="shared" si="28"/>
      </c>
      <c r="S90" s="86">
        <f t="shared" si="29"/>
      </c>
      <c r="T90" s="86">
        <f t="shared" si="39"/>
        <v/>
      </c>
      <c r="U90" s="86">
        <f t="shared" si="40"/>
        <v/>
      </c>
      <c r="V90" s="86">
        <f t="shared" si="41"/>
        <v/>
      </c>
      <c r="W90" s="87">
        <f t="shared" si="30"/>
      </c>
      <c r="X90" s="88"/>
      <c r="Y90" s="88"/>
      <c r="Z90" s="88"/>
      <c r="AA90" s="88"/>
      <c r="AB90" s="88"/>
      <c r="AD90" s="86">
        <f t="shared" si="31"/>
      </c>
      <c r="AE90" s="86">
        <f t="shared" si="32"/>
      </c>
      <c r="AG90" s="86">
        <f t="shared" si="33"/>
      </c>
      <c r="AH90" s="86">
        <f t="shared" si="34"/>
      </c>
      <c r="AI90" s="86">
        <f t="shared" si="35"/>
      </c>
    </row>
    <row r="91" spans="3:35" x14ac:dyDescent="0.3">
      <c r="F91" s="26">
        <f>IF(G91=1,MAX($F$4:F90)+1,"")</f>
        <v/>
      </c>
      <c r="G91" s="26">
        <f>COUNTIF($H$5:H91,H91)</f>
      </c>
      <c r="H91" s="26">
        <f t="shared" si="36"/>
      </c>
      <c r="I91" s="26">
        <f>COUNTIF($J$4:$J91,1)</f>
      </c>
      <c r="J91" s="26">
        <f>COUNTIF($S$5:$S91,S91)</f>
      </c>
      <c r="K91" s="26">
        <f t="shared" si="25"/>
      </c>
      <c r="L91" s="26">
        <f>IFERROR(IF(P91=0,0,MAX($L$4:L90)+1),0)</f>
      </c>
      <c r="M91" s="5">
        <f t="shared" si="37"/>
      </c>
      <c r="N91" s="5">
        <f t="shared" si="38"/>
      </c>
      <c r="P91" s="86">
        <f t="shared" si="26"/>
      </c>
      <c r="Q91" s="86">
        <f t="shared" si="27"/>
      </c>
      <c r="R91" s="86">
        <f t="shared" si="28"/>
      </c>
      <c r="S91" s="86">
        <f t="shared" si="29"/>
      </c>
      <c r="T91" s="86">
        <f t="shared" si="39"/>
        <v/>
      </c>
      <c r="U91" s="86">
        <f t="shared" si="40"/>
        <v/>
      </c>
      <c r="V91" s="86">
        <f t="shared" si="41"/>
        <v/>
      </c>
      <c r="W91" s="87">
        <f t="shared" si="30"/>
      </c>
      <c r="X91" s="88"/>
      <c r="Y91" s="88"/>
      <c r="Z91" s="88"/>
      <c r="AA91" s="88"/>
      <c r="AB91" s="88"/>
      <c r="AD91" s="86">
        <f t="shared" si="31"/>
      </c>
      <c r="AE91" s="86">
        <f t="shared" si="32"/>
      </c>
      <c r="AG91" s="86">
        <f t="shared" si="33"/>
      </c>
      <c r="AH91" s="86">
        <f t="shared" si="34"/>
      </c>
      <c r="AI91" s="86">
        <f t="shared" si="35"/>
      </c>
    </row>
    <row r="92" spans="3:35" x14ac:dyDescent="0.3">
      <c r="F92" s="26">
        <f>IF(G92=1,MAX($F$4:F91)+1,"")</f>
        <v/>
      </c>
      <c r="G92" s="26">
        <f>COUNTIF($H$5:H92,H92)</f>
      </c>
      <c r="H92" s="26">
        <f t="shared" si="36"/>
      </c>
      <c r="I92" s="26">
        <f>COUNTIF($J$4:$J92,1)</f>
      </c>
      <c r="J92" s="26">
        <f>COUNTIF($S$5:$S92,S92)</f>
      </c>
      <c r="K92" s="26">
        <f t="shared" si="25"/>
      </c>
      <c r="L92" s="26">
        <f>IFERROR(IF(P92=0,0,MAX($L$4:L91)+1),0)</f>
      </c>
      <c r="M92" s="5">
        <f t="shared" si="37"/>
      </c>
      <c r="N92" s="5">
        <f t="shared" si="38"/>
      </c>
      <c r="P92" s="86">
        <f t="shared" si="26"/>
      </c>
      <c r="Q92" s="86">
        <f t="shared" si="27"/>
      </c>
      <c r="R92" s="86">
        <f t="shared" si="28"/>
      </c>
      <c r="S92" s="86">
        <f t="shared" si="29"/>
      </c>
      <c r="T92" s="86">
        <f t="shared" si="39"/>
        <v/>
      </c>
      <c r="U92" s="86">
        <f t="shared" si="40"/>
        <v/>
      </c>
      <c r="V92" s="86">
        <f t="shared" si="41"/>
        <v/>
      </c>
      <c r="W92" s="87">
        <f t="shared" si="30"/>
      </c>
      <c r="X92" s="88"/>
      <c r="Y92" s="88"/>
      <c r="Z92" s="88"/>
      <c r="AA92" s="88"/>
      <c r="AB92" s="88"/>
      <c r="AD92" s="86">
        <f t="shared" si="31"/>
      </c>
      <c r="AE92" s="86">
        <f t="shared" si="32"/>
      </c>
      <c r="AG92" s="86">
        <f t="shared" si="33"/>
      </c>
      <c r="AH92" s="86">
        <f t="shared" si="34"/>
      </c>
      <c r="AI92" s="86">
        <f t="shared" si="35"/>
      </c>
    </row>
    <row r="93" spans="3:35" x14ac:dyDescent="0.3">
      <c r="F93" s="26">
        <f>IF(G93=1,MAX($F$4:F92)+1,"")</f>
        <v/>
      </c>
      <c r="G93" s="26">
        <f>COUNTIF($H$5:H93,H93)</f>
      </c>
      <c r="H93" s="26">
        <f t="shared" si="36"/>
      </c>
      <c r="I93" s="26">
        <f>COUNTIF($J$4:$J93,1)</f>
      </c>
      <c r="J93" s="26">
        <f>COUNTIF($S$5:$S93,S93)</f>
      </c>
      <c r="K93" s="26">
        <f t="shared" si="25"/>
      </c>
      <c r="L93" s="26">
        <f>IFERROR(IF(P93=0,0,MAX($L$4:L92)+1),0)</f>
      </c>
      <c r="M93" s="5">
        <f t="shared" si="37"/>
      </c>
      <c r="N93" s="5">
        <f t="shared" si="38"/>
      </c>
      <c r="P93" s="86">
        <f t="shared" si="26"/>
      </c>
      <c r="Q93" s="86">
        <f t="shared" si="27"/>
      </c>
      <c r="R93" s="86">
        <f t="shared" si="28"/>
      </c>
      <c r="S93" s="86">
        <f t="shared" si="29"/>
      </c>
      <c r="T93" s="86">
        <f t="shared" si="39"/>
        <v/>
      </c>
      <c r="U93" s="86">
        <f t="shared" si="40"/>
        <v/>
      </c>
      <c r="V93" s="86">
        <f t="shared" si="41"/>
        <v/>
      </c>
      <c r="W93" s="87">
        <f t="shared" si="30"/>
      </c>
      <c r="X93" s="88"/>
      <c r="Y93" s="88"/>
      <c r="Z93" s="88"/>
      <c r="AA93" s="88"/>
      <c r="AB93" s="88"/>
      <c r="AD93" s="86">
        <f t="shared" si="31"/>
      </c>
      <c r="AE93" s="86">
        <f t="shared" si="32"/>
      </c>
      <c r="AG93" s="86">
        <f t="shared" si="33"/>
      </c>
      <c r="AH93" s="86">
        <f t="shared" si="34"/>
      </c>
      <c r="AI93" s="86">
        <f t="shared" si="35"/>
      </c>
    </row>
    <row r="94" spans="3:35" x14ac:dyDescent="0.3">
      <c r="F94" s="26">
        <f>IF(G94=1,MAX($F$4:F93)+1,"")</f>
        <v/>
      </c>
      <c r="G94" s="26">
        <f>COUNTIF($H$5:H94,H94)</f>
      </c>
      <c r="H94" s="26">
        <f t="shared" si="36"/>
      </c>
      <c r="I94" s="26">
        <f>COUNTIF($J$4:$J94,1)</f>
      </c>
      <c r="J94" s="26">
        <f>COUNTIF($S$5:$S94,S94)</f>
      </c>
      <c r="K94" s="26">
        <f t="shared" si="25"/>
      </c>
      <c r="L94" s="26">
        <f>IFERROR(IF(P94=0,0,MAX($L$4:L93)+1),0)</f>
      </c>
      <c r="M94" s="5">
        <f t="shared" si="37"/>
      </c>
      <c r="N94" s="5">
        <f t="shared" si="38"/>
      </c>
      <c r="P94" s="86">
        <f t="shared" si="26"/>
      </c>
      <c r="Q94" s="86">
        <f t="shared" si="27"/>
      </c>
      <c r="R94" s="86">
        <f t="shared" si="28"/>
      </c>
      <c r="S94" s="86">
        <f t="shared" si="29"/>
      </c>
      <c r="T94" s="86">
        <f t="shared" si="39"/>
        <v/>
      </c>
      <c r="U94" s="86">
        <f t="shared" si="40"/>
        <v/>
      </c>
      <c r="V94" s="86">
        <f t="shared" si="41"/>
        <v/>
      </c>
      <c r="W94" s="87">
        <f t="shared" si="30"/>
      </c>
      <c r="X94" s="88"/>
      <c r="Y94" s="88"/>
      <c r="Z94" s="88"/>
      <c r="AA94" s="88"/>
      <c r="AB94" s="88"/>
      <c r="AD94" s="86">
        <f t="shared" si="31"/>
      </c>
      <c r="AE94" s="86">
        <f t="shared" si="32"/>
      </c>
      <c r="AG94" s="86">
        <f t="shared" si="33"/>
      </c>
      <c r="AH94" s="86">
        <f t="shared" si="34"/>
      </c>
      <c r="AI94" s="86">
        <f t="shared" si="35"/>
      </c>
    </row>
    <row r="95" spans="3:35" x14ac:dyDescent="0.3">
      <c r="F95" s="26">
        <f>IF(G95=1,MAX($F$4:F94)+1,"")</f>
        <v/>
      </c>
      <c r="G95" s="26">
        <f>COUNTIF($H$5:H95,H95)</f>
      </c>
      <c r="H95" s="26">
        <f t="shared" si="36"/>
      </c>
      <c r="I95" s="26">
        <f>COUNTIF($J$4:$J95,1)</f>
      </c>
      <c r="J95" s="26">
        <f>COUNTIF($S$5:$S95,S95)</f>
      </c>
      <c r="K95" s="26">
        <f t="shared" si="25"/>
      </c>
      <c r="L95" s="26">
        <f>IFERROR(IF(P95=0,0,MAX($L$4:L94)+1),0)</f>
      </c>
      <c r="M95" s="5">
        <f t="shared" si="37"/>
      </c>
      <c r="N95" s="5">
        <f t="shared" si="38"/>
      </c>
      <c r="P95" s="86">
        <f t="shared" si="26"/>
      </c>
      <c r="Q95" s="86">
        <f t="shared" si="27"/>
      </c>
      <c r="R95" s="86">
        <f t="shared" si="28"/>
      </c>
      <c r="S95" s="86">
        <f t="shared" si="29"/>
      </c>
      <c r="T95" s="86">
        <f t="shared" si="39"/>
        <v/>
      </c>
      <c r="U95" s="86">
        <f t="shared" si="40"/>
        <v/>
      </c>
      <c r="V95" s="86">
        <f t="shared" si="41"/>
        <v/>
      </c>
      <c r="W95" s="87">
        <f t="shared" si="30"/>
      </c>
      <c r="X95" s="88"/>
      <c r="Y95" s="88"/>
      <c r="Z95" s="88"/>
      <c r="AA95" s="88"/>
      <c r="AB95" s="88"/>
      <c r="AD95" s="86">
        <f t="shared" si="31"/>
      </c>
      <c r="AE95" s="86">
        <f t="shared" si="32"/>
      </c>
      <c r="AG95" s="86">
        <f t="shared" si="33"/>
      </c>
      <c r="AH95" s="86">
        <f t="shared" si="34"/>
      </c>
      <c r="AI95" s="86">
        <f t="shared" si="35"/>
      </c>
    </row>
    <row r="96" spans="3:35" x14ac:dyDescent="0.3">
      <c r="F96" s="26">
        <f>IF(G96=1,MAX($F$4:F95)+1,"")</f>
        <v/>
      </c>
      <c r="G96" s="26">
        <f>COUNTIF($H$5:H96,H96)</f>
      </c>
      <c r="H96" s="26">
        <f t="shared" si="36"/>
      </c>
      <c r="I96" s="26">
        <f>COUNTIF($J$4:$J96,1)</f>
      </c>
      <c r="J96" s="26">
        <f>COUNTIF($S$5:$S96,S96)</f>
      </c>
      <c r="K96" s="26">
        <f t="shared" si="25"/>
      </c>
      <c r="L96" s="26">
        <f>IFERROR(IF(P96=0,0,MAX($L$4:L95)+1),0)</f>
      </c>
      <c r="M96" s="5">
        <f t="shared" si="37"/>
      </c>
      <c r="N96" s="5">
        <f t="shared" si="38"/>
      </c>
      <c r="P96" s="86">
        <f t="shared" si="26"/>
      </c>
      <c r="Q96" s="86">
        <f t="shared" si="27"/>
      </c>
      <c r="R96" s="86">
        <f t="shared" si="28"/>
      </c>
      <c r="S96" s="86">
        <f t="shared" si="29"/>
      </c>
      <c r="T96" s="86">
        <f t="shared" si="39"/>
        <v/>
      </c>
      <c r="U96" s="86">
        <f t="shared" si="40"/>
        <v/>
      </c>
      <c r="V96" s="86">
        <f t="shared" si="41"/>
        <v/>
      </c>
      <c r="W96" s="87">
        <f t="shared" si="30"/>
      </c>
      <c r="X96" s="88"/>
      <c r="Y96" s="88"/>
      <c r="Z96" s="88"/>
      <c r="AA96" s="88"/>
      <c r="AB96" s="88"/>
      <c r="AD96" s="86">
        <f t="shared" si="31"/>
      </c>
      <c r="AE96" s="86">
        <f t="shared" si="32"/>
      </c>
      <c r="AG96" s="86">
        <f t="shared" si="33"/>
      </c>
      <c r="AH96" s="86">
        <f t="shared" si="34"/>
      </c>
      <c r="AI96" s="86">
        <f t="shared" si="35"/>
      </c>
    </row>
    <row r="97" spans="6:35" x14ac:dyDescent="0.3">
      <c r="F97" s="26">
        <f>IF(G97=1,MAX($F$4:F96)+1,"")</f>
        <v/>
      </c>
      <c r="G97" s="26">
        <f>COUNTIF($H$5:H97,H97)</f>
      </c>
      <c r="H97" s="26">
        <f t="shared" si="36"/>
      </c>
      <c r="I97" s="26">
        <f>COUNTIF($J$4:$J97,1)</f>
      </c>
      <c r="J97" s="26">
        <f>COUNTIF($S$5:$S97,S97)</f>
      </c>
      <c r="K97" s="26">
        <f t="shared" si="25"/>
      </c>
      <c r="L97" s="26">
        <f>IFERROR(IF(P97=0,0,MAX($L$4:L96)+1),0)</f>
      </c>
      <c r="M97" s="5">
        <f t="shared" si="37"/>
      </c>
      <c r="N97" s="5">
        <f t="shared" si="38"/>
      </c>
      <c r="P97" s="86">
        <f t="shared" si="26"/>
      </c>
      <c r="Q97" s="86">
        <f t="shared" si="27"/>
      </c>
      <c r="R97" s="86">
        <f t="shared" si="28"/>
      </c>
      <c r="S97" s="86">
        <f t="shared" si="29"/>
      </c>
      <c r="T97" s="86">
        <f t="shared" si="39"/>
        <v/>
      </c>
      <c r="U97" s="86">
        <f t="shared" si="40"/>
        <v/>
      </c>
      <c r="V97" s="86">
        <f t="shared" si="41"/>
        <v/>
      </c>
      <c r="W97" s="87">
        <f t="shared" si="30"/>
      </c>
      <c r="X97" s="88"/>
      <c r="Y97" s="88"/>
      <c r="Z97" s="88"/>
      <c r="AA97" s="88"/>
      <c r="AB97" s="88"/>
      <c r="AD97" s="86">
        <f t="shared" si="31"/>
      </c>
      <c r="AE97" s="86">
        <f t="shared" si="32"/>
      </c>
      <c r="AG97" s="86">
        <f t="shared" si="33"/>
      </c>
      <c r="AH97" s="86">
        <f t="shared" si="34"/>
      </c>
      <c r="AI97" s="86">
        <f t="shared" si="35"/>
      </c>
    </row>
    <row r="98" spans="6:35" x14ac:dyDescent="0.3">
      <c r="F98" s="26">
        <f>IF(G98=1,MAX($F$4:F97)+1,"")</f>
        <v/>
      </c>
      <c r="G98" s="26">
        <f>COUNTIF($H$5:H98,H98)</f>
      </c>
      <c r="H98" s="26">
        <f t="shared" si="36"/>
      </c>
      <c r="I98" s="26">
        <f>COUNTIF($J$4:$J98,1)</f>
      </c>
      <c r="J98" s="26">
        <f>COUNTIF($S$5:$S98,S98)</f>
      </c>
      <c r="K98" s="26">
        <f t="shared" si="25"/>
      </c>
      <c r="L98" s="26">
        <f>IFERROR(IF(P98=0,0,MAX($L$4:L97)+1),0)</f>
      </c>
      <c r="M98" s="5">
        <f t="shared" si="37"/>
      </c>
      <c r="N98" s="5">
        <f t="shared" si="38"/>
      </c>
      <c r="P98" s="86">
        <f t="shared" si="26"/>
      </c>
      <c r="Q98" s="86">
        <f t="shared" si="27"/>
      </c>
      <c r="R98" s="86">
        <f t="shared" si="28"/>
      </c>
      <c r="S98" s="86">
        <f t="shared" si="29"/>
      </c>
      <c r="T98" s="86">
        <f t="shared" si="39"/>
        <v/>
      </c>
      <c r="U98" s="86">
        <f t="shared" si="40"/>
        <v/>
      </c>
      <c r="V98" s="86">
        <f t="shared" si="41"/>
        <v/>
      </c>
      <c r="W98" s="87">
        <f t="shared" si="30"/>
      </c>
      <c r="X98" s="88"/>
      <c r="Y98" s="88"/>
      <c r="Z98" s="88"/>
      <c r="AA98" s="88"/>
      <c r="AB98" s="88"/>
      <c r="AD98" s="86">
        <f t="shared" si="31"/>
      </c>
      <c r="AE98" s="86">
        <f t="shared" si="32"/>
      </c>
      <c r="AG98" s="86">
        <f t="shared" si="33"/>
      </c>
      <c r="AH98" s="86">
        <f t="shared" si="34"/>
      </c>
      <c r="AI98" s="86">
        <f t="shared" si="35"/>
      </c>
    </row>
    <row r="99" spans="6:35" x14ac:dyDescent="0.3">
      <c r="F99" s="26">
        <f>IF(G99=1,MAX($F$4:F98)+1,"")</f>
        <v/>
      </c>
      <c r="G99" s="26">
        <f>COUNTIF($H$5:H99,H99)</f>
      </c>
      <c r="H99" s="26">
        <f t="shared" si="36"/>
      </c>
      <c r="I99" s="26">
        <f>COUNTIF($J$4:$J99,1)</f>
      </c>
      <c r="J99" s="26">
        <f>COUNTIF($S$5:$S99,S99)</f>
      </c>
      <c r="K99" s="26">
        <f t="shared" si="25"/>
      </c>
      <c r="L99" s="26">
        <f>IFERROR(IF(P99=0,0,MAX($L$4:L98)+1),0)</f>
      </c>
      <c r="M99" s="5">
        <f t="shared" si="37"/>
      </c>
      <c r="N99" s="5">
        <f t="shared" si="38"/>
      </c>
      <c r="P99" s="86">
        <f t="shared" si="26"/>
      </c>
      <c r="Q99" s="86">
        <f t="shared" si="27"/>
      </c>
      <c r="R99" s="86">
        <f t="shared" si="28"/>
      </c>
      <c r="S99" s="86">
        <f t="shared" si="29"/>
      </c>
      <c r="T99" s="86">
        <f t="shared" si="39"/>
        <v/>
      </c>
      <c r="U99" s="86">
        <f t="shared" si="40"/>
        <v/>
      </c>
      <c r="V99" s="86">
        <f t="shared" si="41"/>
        <v/>
      </c>
      <c r="W99" s="87">
        <f t="shared" si="30"/>
      </c>
      <c r="X99" s="88"/>
      <c r="Y99" s="88"/>
      <c r="Z99" s="88"/>
      <c r="AA99" s="88"/>
      <c r="AB99" s="88"/>
      <c r="AD99" s="86">
        <f t="shared" si="31"/>
      </c>
      <c r="AE99" s="86">
        <f t="shared" si="32"/>
      </c>
      <c r="AG99" s="86">
        <f t="shared" si="33"/>
      </c>
      <c r="AH99" s="86">
        <f t="shared" si="34"/>
      </c>
      <c r="AI99" s="86">
        <f t="shared" si="35"/>
      </c>
    </row>
    <row r="100" spans="6:35" x14ac:dyDescent="0.3">
      <c r="F100" s="26">
        <f>IF(G100=1,MAX($F$4:F99)+1,"")</f>
        <v/>
      </c>
      <c r="G100" s="26">
        <f>COUNTIF($H$5:H100,H100)</f>
      </c>
      <c r="H100" s="26">
        <f t="shared" si="36"/>
      </c>
      <c r="I100" s="26">
        <f>COUNTIF($J$4:$J100,1)</f>
      </c>
      <c r="J100" s="26">
        <f>COUNTIF($S$5:$S100,S100)</f>
      </c>
      <c r="K100" s="26">
        <f t="shared" si="25"/>
      </c>
      <c r="L100" s="26">
        <f>IFERROR(IF(P100=0,0,MAX($L$4:L99)+1),0)</f>
      </c>
      <c r="M100" s="5">
        <f t="shared" si="37"/>
      </c>
      <c r="N100" s="5">
        <f t="shared" si="38"/>
      </c>
      <c r="P100" s="86">
        <f t="shared" si="26"/>
      </c>
      <c r="Q100" s="86">
        <f t="shared" si="27"/>
      </c>
      <c r="R100" s="86">
        <f t="shared" si="28"/>
      </c>
      <c r="S100" s="86">
        <f t="shared" si="29"/>
      </c>
      <c r="T100" s="86">
        <f t="shared" si="39"/>
        <v/>
      </c>
      <c r="U100" s="86">
        <f t="shared" si="40"/>
        <v/>
      </c>
      <c r="V100" s="86">
        <f t="shared" si="41"/>
        <v/>
      </c>
      <c r="W100" s="87">
        <f t="shared" si="30"/>
      </c>
      <c r="X100" s="88"/>
      <c r="Y100" s="88"/>
      <c r="Z100" s="88"/>
      <c r="AA100" s="88"/>
      <c r="AB100" s="88"/>
      <c r="AD100" s="86">
        <f t="shared" si="31"/>
      </c>
      <c r="AE100" s="86">
        <f t="shared" si="32"/>
      </c>
      <c r="AG100" s="86">
        <f t="shared" si="33"/>
      </c>
      <c r="AH100" s="86">
        <f t="shared" si="34"/>
      </c>
      <c r="AI100" s="86">
        <f t="shared" si="35"/>
      </c>
    </row>
    <row r="101" spans="6:35" x14ac:dyDescent="0.3">
      <c r="F101" s="26">
        <f>IF(G101=1,MAX($F$4:F100)+1,"")</f>
        <v/>
      </c>
      <c r="G101" s="26">
        <f>COUNTIF($H$5:H101,H101)</f>
      </c>
      <c r="H101" s="26">
        <f t="shared" si="36"/>
      </c>
      <c r="I101" s="26">
        <f>COUNTIF($J$4:$J101,1)</f>
      </c>
      <c r="J101" s="26">
        <f>COUNTIF($S$5:$S101,S101)</f>
      </c>
      <c r="K101" s="26">
        <f t="shared" si="25"/>
      </c>
      <c r="L101" s="26">
        <f>IFERROR(IF(P101=0,0,MAX($L$4:L100)+1),0)</f>
      </c>
      <c r="M101" s="5">
        <f t="shared" si="37"/>
      </c>
      <c r="N101" s="5">
        <f t="shared" si="38"/>
      </c>
      <c r="P101" s="86">
        <f t="shared" si="26"/>
      </c>
      <c r="Q101" s="86">
        <f t="shared" si="27"/>
      </c>
      <c r="R101" s="86">
        <f t="shared" si="28"/>
      </c>
      <c r="S101" s="86">
        <f t="shared" si="29"/>
      </c>
      <c r="T101" s="86">
        <f t="shared" si="39"/>
        <v/>
      </c>
      <c r="U101" s="86">
        <f t="shared" si="40"/>
        <v/>
      </c>
      <c r="V101" s="86">
        <f t="shared" si="41"/>
        <v/>
      </c>
      <c r="W101" s="87">
        <f t="shared" si="30"/>
      </c>
      <c r="X101" s="88"/>
      <c r="Y101" s="88"/>
      <c r="Z101" s="88"/>
      <c r="AA101" s="88"/>
      <c r="AB101" s="88"/>
      <c r="AD101" s="86">
        <f t="shared" si="31"/>
      </c>
      <c r="AE101" s="86">
        <f t="shared" si="32"/>
      </c>
      <c r="AG101" s="86">
        <f t="shared" si="33"/>
      </c>
      <c r="AH101" s="86">
        <f t="shared" si="34"/>
      </c>
      <c r="AI101" s="86">
        <f t="shared" si="35"/>
      </c>
    </row>
    <row r="102" spans="6:35" x14ac:dyDescent="0.3">
      <c r="F102" s="26">
        <f>IF(G102=1,MAX($F$4:F101)+1,"")</f>
        <v/>
      </c>
      <c r="G102" s="26">
        <f>COUNTIF($H$5:H102,H102)</f>
      </c>
      <c r="H102" s="26">
        <f t="shared" si="36"/>
      </c>
      <c r="I102" s="26">
        <f>COUNTIF($J$4:$J102,1)</f>
      </c>
      <c r="J102" s="26">
        <f>COUNTIF($S$5:$S102,S102)</f>
      </c>
      <c r="K102" s="26">
        <f t="shared" si="25"/>
      </c>
      <c r="L102" s="26">
        <f>IFERROR(IF(P102=0,0,MAX($L$4:L101)+1),0)</f>
      </c>
      <c r="M102" s="5">
        <f t="shared" si="37"/>
      </c>
      <c r="N102" s="5">
        <f t="shared" si="38"/>
      </c>
      <c r="P102" s="86">
        <f t="shared" si="26"/>
      </c>
      <c r="Q102" s="86">
        <f t="shared" si="27"/>
      </c>
      <c r="R102" s="86">
        <f t="shared" si="28"/>
      </c>
      <c r="S102" s="86">
        <f t="shared" si="29"/>
      </c>
      <c r="T102" s="86">
        <f t="shared" si="39"/>
        <v/>
      </c>
      <c r="U102" s="86">
        <f t="shared" si="40"/>
        <v/>
      </c>
      <c r="V102" s="86">
        <f t="shared" si="41"/>
        <v/>
      </c>
      <c r="W102" s="87">
        <f t="shared" si="30"/>
      </c>
      <c r="X102" s="88"/>
      <c r="Y102" s="88"/>
      <c r="Z102" s="88"/>
      <c r="AA102" s="88"/>
      <c r="AB102" s="88"/>
      <c r="AD102" s="86">
        <f t="shared" si="31"/>
      </c>
      <c r="AE102" s="86">
        <f t="shared" si="32"/>
      </c>
      <c r="AG102" s="86">
        <f t="shared" si="33"/>
      </c>
      <c r="AH102" s="86">
        <f t="shared" si="34"/>
      </c>
      <c r="AI102" s="86">
        <f t="shared" si="35"/>
      </c>
    </row>
    <row r="103" spans="6:35" x14ac:dyDescent="0.3">
      <c r="F103" s="26">
        <f>IF(G103=1,MAX($F$4:F102)+1,"")</f>
        <v/>
      </c>
      <c r="G103" s="26">
        <f>COUNTIF($H$5:H103,H103)</f>
      </c>
      <c r="H103" s="26">
        <f t="shared" si="36"/>
      </c>
      <c r="I103" s="26">
        <f>COUNTIF($J$4:$J103,1)</f>
      </c>
      <c r="J103" s="26">
        <f>COUNTIF($S$5:$S103,S103)</f>
      </c>
      <c r="K103" s="26">
        <f t="shared" si="25"/>
      </c>
      <c r="L103" s="26">
        <f>IFERROR(IF(P103=0,0,MAX($L$4:L102)+1),0)</f>
      </c>
      <c r="M103" s="5">
        <f t="shared" si="37"/>
      </c>
      <c r="N103" s="5">
        <f t="shared" si="38"/>
      </c>
      <c r="P103" s="86">
        <f t="shared" si="26"/>
      </c>
      <c r="Q103" s="86">
        <f t="shared" si="27"/>
      </c>
      <c r="R103" s="86">
        <f t="shared" si="28"/>
      </c>
      <c r="S103" s="86">
        <f t="shared" si="29"/>
      </c>
      <c r="T103" s="86">
        <f t="shared" si="39"/>
        <v/>
      </c>
      <c r="U103" s="86">
        <f t="shared" si="40"/>
        <v/>
      </c>
      <c r="V103" s="86">
        <f t="shared" si="41"/>
        <v/>
      </c>
      <c r="W103" s="87">
        <f t="shared" si="30"/>
      </c>
      <c r="X103" s="88"/>
      <c r="Y103" s="88"/>
      <c r="Z103" s="88"/>
      <c r="AA103" s="88"/>
      <c r="AB103" s="88"/>
      <c r="AD103" s="86">
        <f t="shared" si="31"/>
      </c>
      <c r="AE103" s="86">
        <f t="shared" si="32"/>
      </c>
      <c r="AG103" s="86">
        <f t="shared" si="33"/>
      </c>
      <c r="AH103" s="86">
        <f t="shared" si="34"/>
      </c>
      <c r="AI103" s="86">
        <f t="shared" si="35"/>
      </c>
    </row>
    <row r="104" spans="6:35" x14ac:dyDescent="0.3">
      <c r="F104" s="26">
        <f>IF(G104=1,MAX($F$4:F103)+1,"")</f>
        <v/>
      </c>
      <c r="G104" s="26">
        <f>COUNTIF($H$5:H104,H104)</f>
      </c>
      <c r="H104" s="26">
        <f t="shared" si="36"/>
      </c>
      <c r="I104" s="26">
        <f>COUNTIF($J$4:$J104,1)</f>
      </c>
      <c r="J104" s="26">
        <f>COUNTIF($S$5:$S104,S104)</f>
      </c>
      <c r="K104" s="26">
        <f t="shared" si="25"/>
      </c>
      <c r="L104" s="26">
        <f>IFERROR(IF(P104=0,0,MAX($L$4:L103)+1),0)</f>
      </c>
      <c r="M104" s="5">
        <f t="shared" si="37"/>
      </c>
      <c r="N104" s="5">
        <f t="shared" si="38"/>
      </c>
      <c r="P104" s="86">
        <f t="shared" si="26"/>
      </c>
      <c r="Q104" s="86">
        <f t="shared" si="27"/>
      </c>
      <c r="R104" s="86">
        <f t="shared" si="28"/>
      </c>
      <c r="S104" s="86">
        <f t="shared" si="29"/>
      </c>
      <c r="T104" s="86">
        <f t="shared" si="39"/>
        <v/>
      </c>
      <c r="U104" s="86">
        <f t="shared" si="40"/>
        <v/>
      </c>
      <c r="V104" s="86">
        <f t="shared" si="41"/>
        <v/>
      </c>
      <c r="W104" s="87">
        <f t="shared" si="30"/>
      </c>
      <c r="X104" s="88"/>
      <c r="Y104" s="88"/>
      <c r="Z104" s="88"/>
      <c r="AA104" s="88"/>
      <c r="AB104" s="88"/>
      <c r="AD104" s="86">
        <f t="shared" si="31"/>
      </c>
      <c r="AE104" s="86">
        <f t="shared" si="32"/>
      </c>
      <c r="AG104" s="86">
        <f t="shared" si="33"/>
      </c>
      <c r="AH104" s="86">
        <f t="shared" si="34"/>
      </c>
      <c r="AI104" s="86">
        <f t="shared" si="35"/>
      </c>
    </row>
    <row r="105" spans="6:35" x14ac:dyDescent="0.3">
      <c r="F105" s="26">
        <f>IF(G105=1,MAX($F$4:F104)+1,"")</f>
        <v/>
      </c>
      <c r="G105" s="26">
        <f>COUNTIF($H$5:H105,H105)</f>
      </c>
      <c r="H105" s="26">
        <f t="shared" si="36"/>
      </c>
      <c r="I105" s="26">
        <f>COUNTIF($J$4:$J105,1)</f>
      </c>
      <c r="J105" s="26">
        <f>COUNTIF($S$5:$S105,S105)</f>
      </c>
      <c r="K105" s="26">
        <f t="shared" si="25"/>
      </c>
      <c r="L105" s="26">
        <f>IFERROR(IF(P105=0,0,MAX($L$4:L104)+1),0)</f>
      </c>
      <c r="M105" s="5">
        <f t="shared" si="37"/>
      </c>
      <c r="N105" s="5">
        <f t="shared" si="38"/>
      </c>
      <c r="P105" s="86">
        <f t="shared" si="26"/>
      </c>
      <c r="Q105" s="86">
        <f t="shared" si="27"/>
      </c>
      <c r="R105" s="86">
        <f t="shared" si="28"/>
      </c>
      <c r="S105" s="86">
        <f t="shared" si="29"/>
      </c>
      <c r="T105" s="86">
        <f t="shared" si="39"/>
        <v/>
      </c>
      <c r="U105" s="86">
        <f t="shared" si="40"/>
        <v/>
      </c>
      <c r="V105" s="86">
        <f t="shared" si="41"/>
        <v/>
      </c>
      <c r="W105" s="87">
        <f t="shared" si="30"/>
      </c>
      <c r="X105" s="88"/>
      <c r="Y105" s="88"/>
      <c r="Z105" s="88"/>
      <c r="AA105" s="88"/>
      <c r="AB105" s="88"/>
      <c r="AD105" s="86">
        <f t="shared" si="31"/>
      </c>
      <c r="AE105" s="86">
        <f t="shared" si="32"/>
      </c>
      <c r="AG105" s="86">
        <f t="shared" si="33"/>
      </c>
      <c r="AH105" s="86">
        <f t="shared" si="34"/>
      </c>
      <c r="AI105" s="86">
        <f t="shared" si="35"/>
      </c>
    </row>
    <row r="106" spans="6:35" x14ac:dyDescent="0.3">
      <c r="F106" s="26">
        <f>IF(G106=1,MAX($F$4:F105)+1,"")</f>
        <v/>
      </c>
      <c r="G106" s="26">
        <f>COUNTIF($H$5:H106,H106)</f>
      </c>
      <c r="H106" s="26">
        <f t="shared" si="36"/>
      </c>
      <c r="I106" s="26">
        <f>COUNTIF($J$4:$J106,1)</f>
      </c>
      <c r="J106" s="26">
        <f>COUNTIF($S$5:$S106,S106)</f>
      </c>
      <c r="K106" s="26">
        <f t="shared" si="25"/>
      </c>
      <c r="L106" s="26">
        <f>IFERROR(IF(P106=0,0,MAX($L$4:L105)+1),0)</f>
      </c>
      <c r="M106" s="5">
        <f t="shared" si="37"/>
      </c>
      <c r="N106" s="5">
        <f t="shared" si="38"/>
      </c>
      <c r="P106" s="86">
        <f t="shared" si="26"/>
      </c>
      <c r="Q106" s="86">
        <f t="shared" si="27"/>
      </c>
      <c r="R106" s="86">
        <f t="shared" si="28"/>
      </c>
      <c r="S106" s="86">
        <f t="shared" si="29"/>
      </c>
      <c r="T106" s="86">
        <f t="shared" si="39"/>
        <v/>
      </c>
      <c r="U106" s="86">
        <f t="shared" si="40"/>
        <v/>
      </c>
      <c r="V106" s="86">
        <f t="shared" si="41"/>
        <v/>
      </c>
      <c r="W106" s="87">
        <f t="shared" si="30"/>
      </c>
      <c r="X106" s="88"/>
      <c r="Y106" s="88"/>
      <c r="Z106" s="88"/>
      <c r="AA106" s="88"/>
      <c r="AB106" s="88"/>
      <c r="AD106" s="86">
        <f t="shared" si="31"/>
      </c>
      <c r="AE106" s="86">
        <f t="shared" si="32"/>
      </c>
      <c r="AG106" s="86">
        <f t="shared" si="33"/>
      </c>
      <c r="AH106" s="86">
        <f t="shared" si="34"/>
      </c>
      <c r="AI106" s="86">
        <f t="shared" si="35"/>
      </c>
    </row>
    <row r="107" spans="6:35" x14ac:dyDescent="0.3">
      <c r="F107" s="26">
        <f>IF(G107=1,MAX($F$4:F106)+1,"")</f>
        <v/>
      </c>
      <c r="G107" s="26">
        <f>COUNTIF($H$5:H107,H107)</f>
      </c>
      <c r="H107" s="26">
        <f t="shared" si="36"/>
      </c>
      <c r="I107" s="26">
        <f>COUNTIF($J$4:$J107,1)</f>
      </c>
      <c r="J107" s="26">
        <f>COUNTIF($S$5:$S107,S107)</f>
      </c>
      <c r="K107" s="26">
        <f t="shared" si="25"/>
      </c>
      <c r="L107" s="26">
        <f>IFERROR(IF(P107=0,0,MAX($L$4:L106)+1),0)</f>
      </c>
      <c r="M107" s="5">
        <f t="shared" si="37"/>
      </c>
      <c r="N107" s="5">
        <f t="shared" si="38"/>
      </c>
      <c r="P107" s="86">
        <f t="shared" si="26"/>
      </c>
      <c r="Q107" s="86">
        <f t="shared" si="27"/>
      </c>
      <c r="R107" s="86">
        <f t="shared" si="28"/>
      </c>
      <c r="S107" s="86">
        <f t="shared" si="29"/>
      </c>
      <c r="T107" s="86">
        <f t="shared" si="39"/>
        <v/>
      </c>
      <c r="U107" s="86">
        <f t="shared" si="40"/>
        <v/>
      </c>
      <c r="V107" s="86">
        <f t="shared" si="41"/>
        <v/>
      </c>
      <c r="W107" s="87">
        <f t="shared" si="30"/>
      </c>
      <c r="X107" s="88"/>
      <c r="Y107" s="88"/>
      <c r="Z107" s="88"/>
      <c r="AA107" s="88"/>
      <c r="AB107" s="88"/>
      <c r="AD107" s="86">
        <f t="shared" si="31"/>
      </c>
      <c r="AE107" s="86">
        <f t="shared" si="32"/>
      </c>
      <c r="AG107" s="86">
        <f t="shared" si="33"/>
      </c>
      <c r="AH107" s="86">
        <f t="shared" si="34"/>
      </c>
      <c r="AI107" s="86">
        <f t="shared" si="35"/>
      </c>
    </row>
    <row r="108" spans="6:35" x14ac:dyDescent="0.3">
      <c r="F108" s="26">
        <f>IF(G108=1,MAX($F$4:F107)+1,"")</f>
        <v/>
      </c>
      <c r="G108" s="26">
        <f>COUNTIF($H$5:H108,H108)</f>
      </c>
      <c r="H108" s="26">
        <f t="shared" si="36"/>
      </c>
      <c r="I108" s="26">
        <f>COUNTIF($J$4:$J108,1)</f>
      </c>
      <c r="J108" s="26">
        <f>COUNTIF($S$5:$S108,S108)</f>
      </c>
      <c r="K108" s="26">
        <f t="shared" si="25"/>
      </c>
      <c r="L108" s="26">
        <f>IFERROR(IF(P108=0,0,MAX($L$4:L107)+1),0)</f>
      </c>
      <c r="M108" s="5">
        <f t="shared" si="37"/>
      </c>
      <c r="N108" s="5">
        <f t="shared" si="38"/>
      </c>
      <c r="P108" s="86">
        <f t="shared" si="26"/>
      </c>
      <c r="Q108" s="86">
        <f t="shared" si="27"/>
      </c>
      <c r="R108" s="86">
        <f t="shared" si="28"/>
      </c>
      <c r="S108" s="86">
        <f t="shared" si="29"/>
      </c>
      <c r="T108" s="86">
        <f t="shared" si="39"/>
        <v/>
      </c>
      <c r="U108" s="86">
        <f t="shared" si="40"/>
        <v/>
      </c>
      <c r="V108" s="86">
        <f t="shared" si="41"/>
        <v/>
      </c>
      <c r="W108" s="87">
        <f t="shared" si="30"/>
      </c>
      <c r="X108" s="88"/>
      <c r="Y108" s="88"/>
      <c r="Z108" s="88"/>
      <c r="AA108" s="88"/>
      <c r="AB108" s="88"/>
      <c r="AD108" s="86">
        <f t="shared" si="31"/>
      </c>
      <c r="AE108" s="86">
        <f t="shared" si="32"/>
      </c>
      <c r="AG108" s="86">
        <f t="shared" si="33"/>
      </c>
      <c r="AH108" s="86">
        <f t="shared" si="34"/>
      </c>
      <c r="AI108" s="86">
        <f t="shared" si="35"/>
      </c>
    </row>
    <row r="109" spans="6:35" x14ac:dyDescent="0.3">
      <c r="F109" s="26">
        <f>IF(G109=1,MAX($F$4:F108)+1,"")</f>
        <v/>
      </c>
      <c r="G109" s="26">
        <f>COUNTIF($H$5:H109,H109)</f>
      </c>
      <c r="H109" s="26">
        <f t="shared" si="36"/>
      </c>
      <c r="I109" s="26">
        <f>COUNTIF($J$4:$J109,1)</f>
      </c>
      <c r="J109" s="26">
        <f>COUNTIF($S$5:$S109,S109)</f>
      </c>
      <c r="K109" s="26">
        <f t="shared" si="25"/>
      </c>
      <c r="L109" s="26">
        <f>IFERROR(IF(P109=0,0,MAX($L$4:L108)+1),0)</f>
      </c>
      <c r="M109" s="5">
        <f t="shared" si="37"/>
      </c>
      <c r="N109" s="5">
        <f t="shared" si="38"/>
      </c>
      <c r="P109" s="86">
        <f t="shared" si="26"/>
      </c>
      <c r="Q109" s="86">
        <f t="shared" si="27"/>
      </c>
      <c r="R109" s="86">
        <f t="shared" si="28"/>
      </c>
      <c r="S109" s="86">
        <f t="shared" si="29"/>
      </c>
      <c r="T109" s="86">
        <f t="shared" si="39"/>
        <v/>
      </c>
      <c r="U109" s="86">
        <f t="shared" si="40"/>
        <v/>
      </c>
      <c r="V109" s="86">
        <f t="shared" si="41"/>
        <v/>
      </c>
      <c r="W109" s="87">
        <f t="shared" si="30"/>
      </c>
      <c r="X109" s="88"/>
      <c r="Y109" s="88"/>
      <c r="Z109" s="88"/>
      <c r="AA109" s="88"/>
      <c r="AB109" s="88"/>
      <c r="AD109" s="86">
        <f t="shared" si="31"/>
      </c>
      <c r="AE109" s="86">
        <f t="shared" si="32"/>
      </c>
      <c r="AG109" s="86">
        <f t="shared" si="33"/>
      </c>
      <c r="AH109" s="86">
        <f t="shared" si="34"/>
      </c>
      <c r="AI109" s="86">
        <f t="shared" si="35"/>
      </c>
    </row>
    <row r="110" spans="6:35" x14ac:dyDescent="0.3">
      <c r="F110" s="26">
        <f>IF(G110=1,MAX($F$4:F109)+1,"")</f>
        <v/>
      </c>
      <c r="G110" s="26">
        <f>COUNTIF($H$5:H110,H110)</f>
      </c>
      <c r="H110" s="26">
        <f t="shared" si="36"/>
      </c>
      <c r="I110" s="26">
        <f>COUNTIF($J$4:$J110,1)</f>
      </c>
      <c r="J110" s="26">
        <f>COUNTIF($S$5:$S110,S110)</f>
      </c>
      <c r="K110" s="26">
        <f t="shared" si="25"/>
      </c>
      <c r="L110" s="26">
        <f>IFERROR(IF(P110=0,0,MAX($L$4:L109)+1),0)</f>
      </c>
      <c r="M110" s="5">
        <f t="shared" si="37"/>
      </c>
      <c r="N110" s="5">
        <f t="shared" si="38"/>
      </c>
      <c r="P110" s="86">
        <f t="shared" si="26"/>
      </c>
      <c r="Q110" s="86">
        <f t="shared" si="27"/>
      </c>
      <c r="R110" s="86">
        <f t="shared" si="28"/>
      </c>
      <c r="S110" s="86">
        <f t="shared" si="29"/>
      </c>
      <c r="T110" s="86">
        <f t="shared" si="39"/>
        <v/>
      </c>
      <c r="U110" s="86">
        <f t="shared" si="40"/>
        <v/>
      </c>
      <c r="V110" s="86">
        <f t="shared" si="41"/>
        <v/>
      </c>
      <c r="W110" s="87">
        <f t="shared" si="30"/>
      </c>
      <c r="X110" s="88"/>
      <c r="Y110" s="88"/>
      <c r="Z110" s="88"/>
      <c r="AA110" s="88"/>
      <c r="AB110" s="88"/>
      <c r="AD110" s="86">
        <f t="shared" si="31"/>
      </c>
      <c r="AE110" s="86">
        <f t="shared" si="32"/>
      </c>
      <c r="AG110" s="86">
        <f t="shared" si="33"/>
      </c>
      <c r="AH110" s="86">
        <f t="shared" si="34"/>
      </c>
      <c r="AI110" s="86">
        <f t="shared" si="35"/>
      </c>
    </row>
    <row r="111" spans="6:35" x14ac:dyDescent="0.3">
      <c r="F111" s="26">
        <f>IF(G111=1,MAX($F$4:F110)+1,"")</f>
        <v/>
      </c>
      <c r="G111" s="26">
        <f>COUNTIF($H$5:H111,H111)</f>
      </c>
      <c r="H111" s="26">
        <f t="shared" si="36"/>
      </c>
      <c r="I111" s="26">
        <f>COUNTIF($J$4:$J111,1)</f>
      </c>
      <c r="J111" s="26">
        <f>COUNTIF($S$5:$S111,S111)</f>
      </c>
      <c r="K111" s="26">
        <f t="shared" si="25"/>
      </c>
      <c r="L111" s="26">
        <f>IFERROR(IF(P111=0,0,MAX($L$4:L110)+1),0)</f>
      </c>
      <c r="M111" s="5">
        <f t="shared" si="37"/>
      </c>
      <c r="N111" s="5">
        <f t="shared" si="38"/>
      </c>
      <c r="P111" s="86">
        <f t="shared" si="26"/>
      </c>
      <c r="Q111" s="86">
        <f t="shared" si="27"/>
      </c>
      <c r="R111" s="86">
        <f t="shared" si="28"/>
      </c>
      <c r="S111" s="86">
        <f t="shared" si="29"/>
      </c>
      <c r="T111" s="86">
        <f t="shared" si="39"/>
        <v/>
      </c>
      <c r="U111" s="86">
        <f t="shared" si="40"/>
        <v/>
      </c>
      <c r="V111" s="86">
        <f t="shared" si="41"/>
        <v/>
      </c>
      <c r="W111" s="87">
        <f t="shared" si="30"/>
      </c>
      <c r="X111" s="88"/>
      <c r="Y111" s="88"/>
      <c r="Z111" s="88"/>
      <c r="AA111" s="88"/>
      <c r="AB111" s="88"/>
      <c r="AD111" s="86">
        <f t="shared" si="31"/>
      </c>
      <c r="AE111" s="86">
        <f t="shared" si="32"/>
      </c>
      <c r="AG111" s="86">
        <f t="shared" si="33"/>
      </c>
      <c r="AH111" s="86">
        <f t="shared" si="34"/>
      </c>
      <c r="AI111" s="86">
        <f t="shared" si="35"/>
      </c>
    </row>
    <row r="112" spans="6:35" x14ac:dyDescent="0.3">
      <c r="F112" s="26">
        <f>IF(G112=1,MAX($F$4:F111)+1,"")</f>
        <v/>
      </c>
      <c r="G112" s="26">
        <f>COUNTIF($H$5:H112,H112)</f>
      </c>
      <c r="H112" s="26">
        <f t="shared" si="36"/>
      </c>
      <c r="I112" s="26">
        <f>COUNTIF($J$4:$J112,1)</f>
      </c>
      <c r="J112" s="26">
        <f>COUNTIF($S$5:$S112,S112)</f>
      </c>
      <c r="K112" s="26">
        <f t="shared" si="25"/>
      </c>
      <c r="L112" s="26">
        <f>IFERROR(IF(P112=0,0,MAX($L$4:L111)+1),0)</f>
      </c>
      <c r="M112" s="5">
        <f t="shared" si="37"/>
      </c>
      <c r="N112" s="5">
        <f t="shared" si="38"/>
      </c>
      <c r="P112" s="86">
        <f t="shared" si="26"/>
      </c>
      <c r="Q112" s="86">
        <f t="shared" si="27"/>
      </c>
      <c r="R112" s="86">
        <f t="shared" si="28"/>
      </c>
      <c r="S112" s="86">
        <f t="shared" si="29"/>
      </c>
      <c r="T112" s="86">
        <f t="shared" si="39"/>
        <v/>
      </c>
      <c r="U112" s="86">
        <f t="shared" si="40"/>
        <v/>
      </c>
      <c r="V112" s="86">
        <f t="shared" si="41"/>
        <v/>
      </c>
      <c r="W112" s="87">
        <f t="shared" si="30"/>
      </c>
      <c r="X112" s="88"/>
      <c r="Y112" s="88"/>
      <c r="Z112" s="88"/>
      <c r="AA112" s="88"/>
      <c r="AB112" s="88"/>
      <c r="AD112" s="86">
        <f t="shared" si="31"/>
      </c>
      <c r="AE112" s="86">
        <f t="shared" si="32"/>
      </c>
      <c r="AG112" s="86">
        <f t="shared" si="33"/>
      </c>
      <c r="AH112" s="86">
        <f t="shared" si="34"/>
      </c>
      <c r="AI112" s="86">
        <f t="shared" si="35"/>
      </c>
    </row>
    <row r="113" spans="6:35" x14ac:dyDescent="0.3">
      <c r="F113" s="26">
        <f>IF(G113=1,MAX($F$4:F112)+1,"")</f>
        <v/>
      </c>
      <c r="G113" s="26">
        <f>COUNTIF($H$5:H113,H113)</f>
      </c>
      <c r="H113" s="26">
        <f t="shared" si="36"/>
      </c>
      <c r="I113" s="26">
        <f>COUNTIF($J$4:$J113,1)</f>
      </c>
      <c r="J113" s="26">
        <f>COUNTIF($S$5:$S113,S113)</f>
      </c>
      <c r="K113" s="26">
        <f t="shared" si="25"/>
      </c>
      <c r="L113" s="26">
        <f>IFERROR(IF(P113=0,0,MAX($L$4:L112)+1),0)</f>
      </c>
      <c r="M113" s="5">
        <f t="shared" si="37"/>
      </c>
      <c r="N113" s="5">
        <f t="shared" si="38"/>
      </c>
      <c r="P113" s="86">
        <f t="shared" si="26"/>
      </c>
      <c r="Q113" s="86">
        <f t="shared" si="27"/>
      </c>
      <c r="R113" s="86">
        <f t="shared" si="28"/>
      </c>
      <c r="S113" s="86">
        <f t="shared" si="29"/>
      </c>
      <c r="T113" s="86">
        <f t="shared" si="39"/>
        <v/>
      </c>
      <c r="U113" s="86">
        <f t="shared" si="40"/>
        <v/>
      </c>
      <c r="V113" s="86">
        <f t="shared" si="41"/>
        <v/>
      </c>
      <c r="W113" s="87">
        <f t="shared" si="30"/>
      </c>
      <c r="X113" s="88"/>
      <c r="Y113" s="88"/>
      <c r="Z113" s="88"/>
      <c r="AA113" s="88"/>
      <c r="AB113" s="88"/>
      <c r="AD113" s="86">
        <f t="shared" si="31"/>
      </c>
      <c r="AE113" s="86">
        <f t="shared" si="32"/>
      </c>
      <c r="AG113" s="86">
        <f t="shared" si="33"/>
      </c>
      <c r="AH113" s="86">
        <f t="shared" si="34"/>
      </c>
      <c r="AI113" s="86">
        <f t="shared" si="35"/>
      </c>
    </row>
    <row r="114" spans="6:35" x14ac:dyDescent="0.3">
      <c r="F114" s="26">
        <f>IF(G114=1,MAX($F$4:F113)+1,"")</f>
        <v/>
      </c>
      <c r="G114" s="26">
        <f>COUNTIF($H$5:H114,H114)</f>
      </c>
      <c r="H114" s="26">
        <f t="shared" si="36"/>
      </c>
      <c r="I114" s="26">
        <f>COUNTIF($J$4:$J114,1)</f>
      </c>
      <c r="J114" s="26">
        <f>COUNTIF($S$5:$S114,S114)</f>
      </c>
      <c r="K114" s="26">
        <f t="shared" si="25"/>
      </c>
      <c r="L114" s="26">
        <f>IFERROR(IF(P114=0,0,MAX($L$4:L113)+1),0)</f>
      </c>
      <c r="M114" s="5">
        <f t="shared" si="37"/>
      </c>
      <c r="N114" s="5">
        <f t="shared" si="38"/>
      </c>
      <c r="P114" s="86">
        <f t="shared" si="26"/>
      </c>
      <c r="Q114" s="86">
        <f t="shared" si="27"/>
      </c>
      <c r="R114" s="86">
        <f t="shared" si="28"/>
      </c>
      <c r="S114" s="86">
        <f t="shared" si="29"/>
      </c>
      <c r="T114" s="86">
        <f t="shared" si="39"/>
        <v/>
      </c>
      <c r="U114" s="86">
        <f t="shared" si="40"/>
        <v/>
      </c>
      <c r="V114" s="86">
        <f t="shared" si="41"/>
        <v/>
      </c>
      <c r="W114" s="87">
        <f t="shared" si="30"/>
      </c>
      <c r="X114" s="88"/>
      <c r="Y114" s="88"/>
      <c r="Z114" s="88"/>
      <c r="AA114" s="88"/>
      <c r="AB114" s="88"/>
      <c r="AD114" s="86">
        <f t="shared" si="31"/>
      </c>
      <c r="AE114" s="86">
        <f t="shared" si="32"/>
      </c>
      <c r="AG114" s="86">
        <f t="shared" si="33"/>
      </c>
      <c r="AH114" s="86">
        <f t="shared" si="34"/>
      </c>
      <c r="AI114" s="86">
        <f t="shared" si="35"/>
      </c>
    </row>
    <row r="115" spans="6:35" x14ac:dyDescent="0.3">
      <c r="F115" s="26">
        <f>IF(G115=1,MAX($F$4:F114)+1,"")</f>
        <v/>
      </c>
      <c r="G115" s="26">
        <f>COUNTIF($H$5:H115,H115)</f>
      </c>
      <c r="H115" s="26">
        <f t="shared" si="36"/>
      </c>
      <c r="I115" s="26">
        <f>COUNTIF($J$4:$J115,1)</f>
      </c>
      <c r="J115" s="26">
        <f>COUNTIF($S$5:$S115,S115)</f>
      </c>
      <c r="K115" s="26">
        <f t="shared" si="25"/>
      </c>
      <c r="L115" s="26">
        <f>IFERROR(IF(P115=0,0,MAX($L$4:L114)+1),0)</f>
      </c>
      <c r="M115" s="5">
        <f t="shared" si="37"/>
      </c>
      <c r="N115" s="5">
        <f t="shared" si="38"/>
      </c>
      <c r="P115" s="86">
        <f t="shared" si="26"/>
      </c>
      <c r="Q115" s="86">
        <f t="shared" si="27"/>
      </c>
      <c r="R115" s="86">
        <f t="shared" si="28"/>
      </c>
      <c r="S115" s="86">
        <f t="shared" si="29"/>
      </c>
      <c r="T115" s="86">
        <f t="shared" si="39"/>
        <v/>
      </c>
      <c r="U115" s="86">
        <f t="shared" si="40"/>
        <v/>
      </c>
      <c r="V115" s="86">
        <f t="shared" si="41"/>
        <v/>
      </c>
      <c r="W115" s="87">
        <f t="shared" si="30"/>
      </c>
      <c r="X115" s="88"/>
      <c r="Y115" s="88"/>
      <c r="Z115" s="88"/>
      <c r="AA115" s="88"/>
      <c r="AB115" s="88"/>
      <c r="AD115" s="86">
        <f t="shared" si="31"/>
      </c>
      <c r="AE115" s="86">
        <f t="shared" si="32"/>
      </c>
      <c r="AG115" s="86">
        <f t="shared" si="33"/>
      </c>
      <c r="AH115" s="86">
        <f t="shared" si="34"/>
      </c>
      <c r="AI115" s="86">
        <f t="shared" si="35"/>
      </c>
    </row>
    <row r="116" spans="6:35" x14ac:dyDescent="0.3">
      <c r="F116" s="26">
        <f>IF(G116=1,MAX($F$4:F115)+1,"")</f>
        <v/>
      </c>
      <c r="G116" s="26">
        <f>COUNTIF($H$5:H116,H116)</f>
      </c>
      <c r="H116" s="26">
        <f t="shared" si="36"/>
      </c>
      <c r="I116" s="26">
        <f>COUNTIF($J$4:$J116,1)</f>
      </c>
      <c r="J116" s="26">
        <f>COUNTIF($S$5:$S116,S116)</f>
      </c>
      <c r="K116" s="26">
        <f t="shared" si="25"/>
      </c>
      <c r="L116" s="26">
        <f>IFERROR(IF(P116=0,0,MAX($L$4:L115)+1),0)</f>
      </c>
      <c r="M116" s="5">
        <f t="shared" si="37"/>
      </c>
      <c r="N116" s="5">
        <f t="shared" si="38"/>
      </c>
      <c r="P116" s="86">
        <f t="shared" si="26"/>
      </c>
      <c r="Q116" s="86">
        <f t="shared" si="27"/>
      </c>
      <c r="R116" s="86">
        <f t="shared" si="28"/>
      </c>
      <c r="S116" s="86">
        <f t="shared" si="29"/>
      </c>
      <c r="T116" s="86">
        <f t="shared" si="39"/>
        <v/>
      </c>
      <c r="U116" s="86">
        <f t="shared" si="40"/>
        <v/>
      </c>
      <c r="V116" s="86">
        <f t="shared" si="41"/>
        <v/>
      </c>
      <c r="W116" s="87">
        <f t="shared" si="30"/>
      </c>
      <c r="X116" s="88"/>
      <c r="Y116" s="88"/>
      <c r="Z116" s="88"/>
      <c r="AA116" s="88"/>
      <c r="AB116" s="88"/>
      <c r="AD116" s="86">
        <f t="shared" si="31"/>
      </c>
      <c r="AE116" s="86">
        <f t="shared" si="32"/>
      </c>
      <c r="AG116" s="86">
        <f t="shared" si="33"/>
      </c>
      <c r="AH116" s="86">
        <f t="shared" si="34"/>
      </c>
      <c r="AI116" s="86">
        <f t="shared" si="35"/>
      </c>
    </row>
    <row r="117" spans="6:35" x14ac:dyDescent="0.3">
      <c r="F117" s="26">
        <f>IF(G117=1,MAX($F$4:F116)+1,"")</f>
        <v/>
      </c>
      <c r="G117" s="26">
        <f>COUNTIF($H$5:H117,H117)</f>
      </c>
      <c r="H117" s="26">
        <f t="shared" si="36"/>
      </c>
      <c r="I117" s="26">
        <f>COUNTIF($J$4:$J117,1)</f>
      </c>
      <c r="J117" s="26">
        <f>COUNTIF($S$5:$S117,S117)</f>
      </c>
      <c r="K117" s="26">
        <f t="shared" si="25"/>
      </c>
      <c r="L117" s="26">
        <f>IFERROR(IF(P117=0,0,MAX($L$4:L116)+1),0)</f>
      </c>
      <c r="M117" s="5">
        <f t="shared" si="37"/>
      </c>
      <c r="N117" s="5">
        <f t="shared" si="38"/>
      </c>
      <c r="P117" s="86">
        <f t="shared" si="26"/>
      </c>
      <c r="Q117" s="86">
        <f t="shared" si="27"/>
      </c>
      <c r="R117" s="86">
        <f t="shared" si="28"/>
      </c>
      <c r="S117" s="86">
        <f t="shared" si="29"/>
      </c>
      <c r="T117" s="86">
        <f t="shared" si="39"/>
        <v/>
      </c>
      <c r="U117" s="86">
        <f t="shared" si="40"/>
        <v/>
      </c>
      <c r="V117" s="86">
        <f t="shared" si="41"/>
        <v/>
      </c>
      <c r="W117" s="87">
        <f t="shared" si="30"/>
      </c>
      <c r="X117" s="88"/>
      <c r="Y117" s="88"/>
      <c r="Z117" s="88"/>
      <c r="AA117" s="88"/>
      <c r="AB117" s="88"/>
      <c r="AD117" s="86">
        <f t="shared" si="31"/>
      </c>
      <c r="AE117" s="86">
        <f t="shared" si="32"/>
      </c>
      <c r="AG117" s="86">
        <f t="shared" si="33"/>
      </c>
      <c r="AH117" s="86">
        <f t="shared" si="34"/>
      </c>
      <c r="AI117" s="86">
        <f t="shared" si="35"/>
      </c>
    </row>
    <row r="118" spans="6:35" x14ac:dyDescent="0.3">
      <c r="F118" s="26">
        <f>IF(G118=1,MAX($F$4:F117)+1,"")</f>
        <v/>
      </c>
      <c r="G118" s="26">
        <f>COUNTIF($H$5:H118,H118)</f>
      </c>
      <c r="H118" s="26">
        <f t="shared" si="36"/>
      </c>
      <c r="I118" s="26">
        <f>COUNTIF($J$4:$J118,1)</f>
      </c>
      <c r="J118" s="26">
        <f>COUNTIF($S$5:$S118,S118)</f>
      </c>
      <c r="K118" s="26">
        <f t="shared" si="25"/>
      </c>
      <c r="L118" s="26">
        <f>IFERROR(IF(P118=0,0,MAX($L$4:L117)+1),0)</f>
      </c>
      <c r="M118" s="5">
        <f t="shared" si="37"/>
      </c>
      <c r="N118" s="5">
        <f t="shared" si="38"/>
      </c>
      <c r="P118" s="86">
        <f t="shared" si="26"/>
      </c>
      <c r="Q118" s="86">
        <f t="shared" si="27"/>
      </c>
      <c r="R118" s="86">
        <f t="shared" si="28"/>
      </c>
      <c r="S118" s="86">
        <f t="shared" si="29"/>
      </c>
      <c r="T118" s="86">
        <f t="shared" si="39"/>
        <v/>
      </c>
      <c r="U118" s="86">
        <f t="shared" si="40"/>
        <v/>
      </c>
      <c r="V118" s="86">
        <f t="shared" si="41"/>
        <v/>
      </c>
      <c r="W118" s="87">
        <f t="shared" si="30"/>
      </c>
      <c r="X118" s="88"/>
      <c r="Y118" s="88"/>
      <c r="Z118" s="88"/>
      <c r="AA118" s="88"/>
      <c r="AB118" s="88"/>
      <c r="AD118" s="86">
        <f t="shared" si="31"/>
      </c>
      <c r="AE118" s="86">
        <f t="shared" si="32"/>
      </c>
      <c r="AG118" s="86">
        <f t="shared" si="33"/>
      </c>
      <c r="AH118" s="86">
        <f t="shared" si="34"/>
      </c>
      <c r="AI118" s="86">
        <f t="shared" si="35"/>
      </c>
    </row>
    <row r="119" spans="6:35" x14ac:dyDescent="0.3">
      <c r="F119" s="26">
        <f>IF(G119=1,MAX($F$4:F118)+1,"")</f>
        <v/>
      </c>
      <c r="G119" s="26">
        <f>COUNTIF($H$5:H119,H119)</f>
      </c>
      <c r="H119" s="26">
        <f t="shared" si="36"/>
      </c>
      <c r="I119" s="26">
        <f>COUNTIF($J$4:$J119,1)</f>
      </c>
      <c r="J119" s="26">
        <f>COUNTIF($S$5:$S119,S119)</f>
      </c>
      <c r="K119" s="26">
        <f t="shared" si="25"/>
      </c>
      <c r="L119" s="26">
        <f>IFERROR(IF(P119=0,0,MAX($L$4:L118)+1),0)</f>
      </c>
      <c r="M119" s="5">
        <f t="shared" si="37"/>
      </c>
      <c r="N119" s="5">
        <f t="shared" si="38"/>
      </c>
      <c r="P119" s="86">
        <f t="shared" si="26"/>
      </c>
      <c r="Q119" s="86">
        <f t="shared" si="27"/>
      </c>
      <c r="R119" s="86">
        <f t="shared" si="28"/>
      </c>
      <c r="S119" s="86">
        <f t="shared" si="29"/>
      </c>
      <c r="T119" s="86">
        <f t="shared" si="39"/>
        <v/>
      </c>
      <c r="U119" s="86">
        <f t="shared" si="40"/>
        <v/>
      </c>
      <c r="V119" s="86">
        <f t="shared" si="41"/>
        <v/>
      </c>
      <c r="W119" s="87">
        <f t="shared" si="30"/>
      </c>
      <c r="X119" s="88"/>
      <c r="Y119" s="88"/>
      <c r="Z119" s="88"/>
      <c r="AA119" s="88"/>
      <c r="AB119" s="88"/>
      <c r="AD119" s="86">
        <f t="shared" si="31"/>
      </c>
      <c r="AE119" s="86">
        <f t="shared" si="32"/>
      </c>
      <c r="AG119" s="86">
        <f t="shared" si="33"/>
      </c>
      <c r="AH119" s="86">
        <f t="shared" si="34"/>
      </c>
      <c r="AI119" s="86">
        <f t="shared" si="35"/>
      </c>
    </row>
    <row r="120" spans="6:35" x14ac:dyDescent="0.3">
      <c r="F120" s="26">
        <f>IF(G120=1,MAX($F$4:F119)+1,"")</f>
        <v/>
      </c>
      <c r="G120" s="26">
        <f>COUNTIF($H$5:H120,H120)</f>
      </c>
      <c r="H120" s="26">
        <f t="shared" si="36"/>
      </c>
      <c r="I120" s="26">
        <f>COUNTIF($J$4:$J120,1)</f>
      </c>
      <c r="J120" s="26">
        <f>COUNTIF($S$5:$S120,S120)</f>
      </c>
      <c r="K120" s="26">
        <f t="shared" si="25"/>
      </c>
      <c r="L120" s="26">
        <f>IFERROR(IF(P120=0,0,MAX($L$4:L119)+1),0)</f>
      </c>
      <c r="M120" s="5">
        <f t="shared" si="37"/>
      </c>
      <c r="N120" s="5">
        <f t="shared" si="38"/>
      </c>
      <c r="P120" s="86">
        <f t="shared" si="26"/>
      </c>
      <c r="Q120" s="86">
        <f t="shared" si="27"/>
      </c>
      <c r="R120" s="86">
        <f t="shared" si="28"/>
      </c>
      <c r="S120" s="86">
        <f t="shared" si="29"/>
      </c>
      <c r="T120" s="86">
        <f t="shared" si="39"/>
        <v/>
      </c>
      <c r="U120" s="86">
        <f t="shared" si="40"/>
        <v/>
      </c>
      <c r="V120" s="86">
        <f t="shared" si="41"/>
        <v/>
      </c>
      <c r="W120" s="87">
        <f t="shared" si="30"/>
      </c>
      <c r="X120" s="88"/>
      <c r="Y120" s="88"/>
      <c r="Z120" s="88"/>
      <c r="AA120" s="88"/>
      <c r="AB120" s="88"/>
      <c r="AD120" s="86">
        <f t="shared" si="31"/>
      </c>
      <c r="AE120" s="86">
        <f t="shared" si="32"/>
      </c>
      <c r="AG120" s="86">
        <f t="shared" si="33"/>
      </c>
      <c r="AH120" s="86">
        <f t="shared" si="34"/>
      </c>
      <c r="AI120" s="86">
        <f t="shared" si="35"/>
      </c>
    </row>
    <row r="121" spans="6:35" x14ac:dyDescent="0.3">
      <c r="F121" s="26">
        <f>IF(G121=1,MAX($F$4:F120)+1,"")</f>
        <v/>
      </c>
      <c r="G121" s="26">
        <f>COUNTIF($H$5:H121,H121)</f>
      </c>
      <c r="H121" s="26">
        <f t="shared" si="36"/>
      </c>
      <c r="I121" s="26">
        <f>COUNTIF($J$4:$J121,1)</f>
      </c>
      <c r="J121" s="26">
        <f>COUNTIF($S$5:$S121,S121)</f>
      </c>
      <c r="K121" s="26">
        <f t="shared" si="25"/>
      </c>
      <c r="L121" s="26">
        <f>IFERROR(IF(P121=0,0,MAX($L$4:L120)+1),0)</f>
      </c>
      <c r="M121" s="5">
        <f t="shared" si="37"/>
      </c>
      <c r="N121" s="5">
        <f t="shared" si="38"/>
      </c>
      <c r="P121" s="86">
        <f t="shared" si="26"/>
      </c>
      <c r="Q121" s="86">
        <f t="shared" si="27"/>
      </c>
      <c r="R121" s="86">
        <f t="shared" si="28"/>
      </c>
      <c r="S121" s="86">
        <f t="shared" si="29"/>
      </c>
      <c r="T121" s="86">
        <f t="shared" si="39"/>
        <v/>
      </c>
      <c r="U121" s="86">
        <f t="shared" si="40"/>
        <v/>
      </c>
      <c r="V121" s="86">
        <f t="shared" si="41"/>
        <v/>
      </c>
      <c r="W121" s="87">
        <f t="shared" si="30"/>
      </c>
      <c r="X121" s="88"/>
      <c r="Y121" s="88"/>
      <c r="Z121" s="88"/>
      <c r="AA121" s="88"/>
      <c r="AB121" s="88"/>
      <c r="AD121" s="86">
        <f t="shared" si="31"/>
      </c>
      <c r="AE121" s="86">
        <f t="shared" si="32"/>
      </c>
      <c r="AG121" s="86">
        <f t="shared" si="33"/>
      </c>
      <c r="AH121" s="86">
        <f t="shared" si="34"/>
      </c>
      <c r="AI121" s="86">
        <f t="shared" si="35"/>
      </c>
    </row>
    <row r="122" spans="6:35" x14ac:dyDescent="0.3">
      <c r="F122" s="26">
        <f>IF(G122=1,MAX($F$4:F121)+1,"")</f>
        <v/>
      </c>
      <c r="G122" s="26">
        <f>COUNTIF($H$5:H122,H122)</f>
      </c>
      <c r="H122" s="26">
        <f t="shared" si="36"/>
      </c>
      <c r="I122" s="26">
        <f>COUNTIF($J$4:$J122,1)</f>
      </c>
      <c r="J122" s="26">
        <f>COUNTIF($S$5:$S122,S122)</f>
      </c>
      <c r="K122" s="26">
        <f t="shared" si="25"/>
      </c>
      <c r="L122" s="26">
        <f>IFERROR(IF(P122=0,0,MAX($L$4:L121)+1),0)</f>
      </c>
      <c r="M122" s="5">
        <f t="shared" si="37"/>
      </c>
      <c r="N122" s="5">
        <f t="shared" si="38"/>
      </c>
      <c r="P122" s="86">
        <f t="shared" si="26"/>
      </c>
      <c r="Q122" s="86">
        <f t="shared" si="27"/>
      </c>
      <c r="R122" s="86">
        <f t="shared" si="28"/>
      </c>
      <c r="S122" s="86">
        <f t="shared" si="29"/>
      </c>
      <c r="T122" s="86">
        <f t="shared" si="39"/>
        <v/>
      </c>
      <c r="U122" s="86">
        <f t="shared" si="40"/>
        <v/>
      </c>
      <c r="V122" s="86">
        <f t="shared" si="41"/>
        <v/>
      </c>
      <c r="W122" s="87">
        <f t="shared" si="30"/>
      </c>
      <c r="X122" s="88"/>
      <c r="Y122" s="88"/>
      <c r="Z122" s="88"/>
      <c r="AA122" s="88"/>
      <c r="AB122" s="88"/>
      <c r="AD122" s="86">
        <f t="shared" si="31"/>
      </c>
      <c r="AE122" s="86">
        <f t="shared" si="32"/>
      </c>
      <c r="AG122" s="86">
        <f t="shared" si="33"/>
      </c>
      <c r="AH122" s="86">
        <f t="shared" si="34"/>
      </c>
      <c r="AI122" s="86">
        <f t="shared" si="35"/>
      </c>
    </row>
    <row r="123" spans="6:35" x14ac:dyDescent="0.3">
      <c r="F123" s="26">
        <f>IF(G123=1,MAX($F$4:F122)+1,"")</f>
        <v/>
      </c>
      <c r="G123" s="26">
        <f>COUNTIF($H$5:H123,H123)</f>
      </c>
      <c r="H123" s="26">
        <f t="shared" si="36"/>
      </c>
      <c r="I123" s="26">
        <f>COUNTIF($J$4:$J123,1)</f>
      </c>
      <c r="J123" s="26">
        <f>COUNTIF($S$5:$S123,S123)</f>
      </c>
      <c r="K123" s="26">
        <f t="shared" si="25"/>
      </c>
      <c r="L123" s="26">
        <f>IFERROR(IF(P123=0,0,MAX($L$4:L122)+1),0)</f>
      </c>
      <c r="M123" s="5">
        <f t="shared" si="37"/>
      </c>
      <c r="N123" s="5">
        <f t="shared" si="38"/>
      </c>
      <c r="P123" s="86">
        <f t="shared" si="26"/>
      </c>
      <c r="Q123" s="86">
        <f t="shared" si="27"/>
      </c>
      <c r="R123" s="86">
        <f t="shared" si="28"/>
      </c>
      <c r="S123" s="86">
        <f t="shared" si="29"/>
      </c>
      <c r="T123" s="86">
        <f t="shared" si="39"/>
        <v/>
      </c>
      <c r="U123" s="86">
        <f t="shared" si="40"/>
        <v/>
      </c>
      <c r="V123" s="86">
        <f t="shared" si="41"/>
        <v/>
      </c>
      <c r="W123" s="87">
        <f t="shared" si="30"/>
      </c>
      <c r="X123" s="88"/>
      <c r="Y123" s="88"/>
      <c r="Z123" s="88"/>
      <c r="AA123" s="88"/>
      <c r="AB123" s="88"/>
      <c r="AD123" s="86">
        <f t="shared" si="31"/>
      </c>
      <c r="AE123" s="86">
        <f t="shared" si="32"/>
      </c>
      <c r="AG123" s="86">
        <f t="shared" si="33"/>
      </c>
      <c r="AH123" s="86">
        <f t="shared" si="34"/>
      </c>
      <c r="AI123" s="86">
        <f t="shared" si="35"/>
      </c>
    </row>
    <row r="124" spans="6:35" x14ac:dyDescent="0.3">
      <c r="F124" s="26">
        <f>IF(G124=1,MAX($F$4:F123)+1,"")</f>
        <v/>
      </c>
      <c r="G124" s="26">
        <f>COUNTIF($H$5:H124,H124)</f>
      </c>
      <c r="H124" s="26">
        <f t="shared" si="36"/>
      </c>
      <c r="I124" s="26">
        <f>COUNTIF($J$4:$J124,1)</f>
      </c>
      <c r="J124" s="26">
        <f>COUNTIF($S$5:$S124,S124)</f>
      </c>
      <c r="K124" s="26">
        <f t="shared" si="25"/>
      </c>
      <c r="L124" s="26">
        <f>IFERROR(IF(P124=0,0,MAX($L$4:L123)+1),0)</f>
      </c>
      <c r="M124" s="5">
        <f t="shared" si="37"/>
      </c>
      <c r="N124" s="5">
        <f t="shared" si="38"/>
      </c>
      <c r="P124" s="86">
        <f t="shared" si="26"/>
      </c>
      <c r="Q124" s="86">
        <f t="shared" si="27"/>
      </c>
      <c r="R124" s="86">
        <f t="shared" si="28"/>
      </c>
      <c r="S124" s="86">
        <f t="shared" si="29"/>
      </c>
      <c r="T124" s="86">
        <f t="shared" si="39"/>
        <v/>
      </c>
      <c r="U124" s="86">
        <f t="shared" si="40"/>
        <v/>
      </c>
      <c r="V124" s="86">
        <f t="shared" si="41"/>
        <v/>
      </c>
      <c r="W124" s="87">
        <f t="shared" si="30"/>
      </c>
      <c r="X124" s="88"/>
      <c r="Y124" s="88"/>
      <c r="Z124" s="88"/>
      <c r="AA124" s="88"/>
      <c r="AB124" s="88"/>
      <c r="AD124" s="86">
        <f t="shared" si="31"/>
      </c>
      <c r="AE124" s="86">
        <f t="shared" si="32"/>
      </c>
      <c r="AG124" s="86">
        <f t="shared" si="33"/>
      </c>
      <c r="AH124" s="86">
        <f t="shared" si="34"/>
      </c>
      <c r="AI124" s="86">
        <f t="shared" si="35"/>
      </c>
    </row>
    <row r="125" spans="6:35" x14ac:dyDescent="0.3">
      <c r="F125" s="26">
        <f>IF(G125=1,MAX($F$4:F124)+1,"")</f>
        <v/>
      </c>
      <c r="G125" s="26">
        <f>COUNTIF($H$5:H125,H125)</f>
      </c>
      <c r="H125" s="26">
        <f t="shared" si="36"/>
      </c>
      <c r="I125" s="26">
        <f>COUNTIF($J$4:$J125,1)</f>
      </c>
      <c r="J125" s="26">
        <f>COUNTIF($S$5:$S125,S125)</f>
      </c>
      <c r="K125" s="26">
        <f t="shared" si="25"/>
      </c>
      <c r="L125" s="26">
        <f>IFERROR(IF(P125=0,0,MAX($L$4:L124)+1),0)</f>
      </c>
      <c r="M125" s="5">
        <f t="shared" si="37"/>
      </c>
      <c r="N125" s="5">
        <f t="shared" si="38"/>
      </c>
      <c r="P125" s="86">
        <f t="shared" si="26"/>
      </c>
      <c r="Q125" s="86">
        <f t="shared" si="27"/>
      </c>
      <c r="R125" s="86">
        <f t="shared" si="28"/>
      </c>
      <c r="S125" s="86">
        <f t="shared" si="29"/>
      </c>
      <c r="T125" s="86">
        <f t="shared" si="39"/>
        <v/>
      </c>
      <c r="U125" s="86">
        <f t="shared" si="40"/>
        <v/>
      </c>
      <c r="V125" s="86">
        <f t="shared" si="41"/>
        <v/>
      </c>
      <c r="W125" s="87">
        <f t="shared" si="30"/>
      </c>
      <c r="X125" s="88"/>
      <c r="Y125" s="88"/>
      <c r="Z125" s="88"/>
      <c r="AA125" s="88"/>
      <c r="AB125" s="88"/>
      <c r="AD125" s="86">
        <f t="shared" si="31"/>
      </c>
      <c r="AE125" s="86">
        <f t="shared" si="32"/>
      </c>
      <c r="AG125" s="86">
        <f t="shared" si="33"/>
      </c>
      <c r="AH125" s="86">
        <f t="shared" si="34"/>
      </c>
      <c r="AI125" s="86">
        <f t="shared" si="35"/>
      </c>
    </row>
    <row r="126" spans="6:35" x14ac:dyDescent="0.3">
      <c r="F126" s="26">
        <f>IF(G126=1,MAX($F$4:F125)+1,"")</f>
        <v/>
      </c>
      <c r="G126" s="26">
        <f>COUNTIF($H$5:H126,H126)</f>
      </c>
      <c r="H126" s="26">
        <f t="shared" si="36"/>
      </c>
      <c r="I126" s="26">
        <f>COUNTIF($J$4:$J126,1)</f>
      </c>
      <c r="J126" s="26">
        <f>COUNTIF($S$5:$S126,S126)</f>
      </c>
      <c r="K126" s="26">
        <f t="shared" si="25"/>
      </c>
      <c r="L126" s="26">
        <f>IFERROR(IF(P126=0,0,MAX($L$4:L125)+1),0)</f>
      </c>
      <c r="M126" s="5">
        <f t="shared" si="37"/>
      </c>
      <c r="N126" s="5">
        <f t="shared" si="38"/>
      </c>
      <c r="P126" s="86">
        <f t="shared" si="26"/>
      </c>
      <c r="Q126" s="86">
        <f t="shared" si="27"/>
      </c>
      <c r="R126" s="86">
        <f t="shared" si="28"/>
      </c>
      <c r="S126" s="86">
        <f t="shared" si="29"/>
      </c>
      <c r="T126" s="86">
        <f t="shared" si="39"/>
        <v/>
      </c>
      <c r="U126" s="86">
        <f t="shared" si="40"/>
        <v/>
      </c>
      <c r="V126" s="86">
        <f t="shared" si="41"/>
        <v/>
      </c>
      <c r="W126" s="87">
        <f t="shared" si="30"/>
      </c>
      <c r="X126" s="88"/>
      <c r="Y126" s="88"/>
      <c r="Z126" s="88"/>
      <c r="AA126" s="88"/>
      <c r="AB126" s="88"/>
      <c r="AD126" s="86">
        <f t="shared" si="31"/>
      </c>
      <c r="AE126" s="86">
        <f t="shared" si="32"/>
      </c>
      <c r="AG126" s="86">
        <f t="shared" si="33"/>
      </c>
      <c r="AH126" s="86">
        <f t="shared" si="34"/>
      </c>
      <c r="AI126" s="86">
        <f t="shared" si="35"/>
      </c>
    </row>
    <row r="127" spans="6:35" x14ac:dyDescent="0.3">
      <c r="F127" s="26">
        <f>IF(G127=1,MAX($F$4:F126)+1,"")</f>
        <v/>
      </c>
      <c r="G127" s="26">
        <f>COUNTIF($H$5:H127,H127)</f>
      </c>
      <c r="H127" s="26">
        <f t="shared" si="36"/>
      </c>
      <c r="I127" s="26">
        <f>COUNTIF($J$4:$J127,1)</f>
      </c>
      <c r="J127" s="26">
        <f>COUNTIF($S$5:$S127,S127)</f>
      </c>
      <c r="K127" s="26">
        <f t="shared" si="25"/>
      </c>
      <c r="L127" s="26">
        <f>IFERROR(IF(P127=0,0,MAX($L$4:L126)+1),0)</f>
      </c>
      <c r="M127" s="5">
        <f t="shared" si="37"/>
      </c>
      <c r="N127" s="5">
        <f t="shared" si="38"/>
      </c>
      <c r="P127" s="86">
        <f t="shared" si="26"/>
      </c>
      <c r="Q127" s="86">
        <f t="shared" si="27"/>
      </c>
      <c r="R127" s="86">
        <f t="shared" si="28"/>
      </c>
      <c r="S127" s="86">
        <f t="shared" si="29"/>
      </c>
      <c r="T127" s="86">
        <f t="shared" si="39"/>
        <v/>
      </c>
      <c r="U127" s="86">
        <f t="shared" si="40"/>
        <v/>
      </c>
      <c r="V127" s="86">
        <f t="shared" si="41"/>
        <v/>
      </c>
      <c r="W127" s="87">
        <f t="shared" si="30"/>
      </c>
      <c r="X127" s="88"/>
      <c r="Y127" s="88"/>
      <c r="Z127" s="88"/>
      <c r="AA127" s="88"/>
      <c r="AB127" s="88"/>
      <c r="AD127" s="86">
        <f t="shared" si="31"/>
      </c>
      <c r="AE127" s="86">
        <f t="shared" si="32"/>
      </c>
      <c r="AG127" s="86">
        <f t="shared" si="33"/>
      </c>
      <c r="AH127" s="86">
        <f t="shared" si="34"/>
      </c>
      <c r="AI127" s="86">
        <f t="shared" si="35"/>
      </c>
    </row>
    <row r="128" spans="6:35" x14ac:dyDescent="0.3">
      <c r="F128" s="26">
        <f>IF(G128=1,MAX($F$4:F127)+1,"")</f>
        <v/>
      </c>
      <c r="G128" s="26">
        <f>COUNTIF($H$5:H128,H128)</f>
      </c>
      <c r="H128" s="26">
        <f t="shared" si="36"/>
      </c>
      <c r="I128" s="26">
        <f>COUNTIF($J$4:$J128,1)</f>
      </c>
      <c r="J128" s="26">
        <f>COUNTIF($S$5:$S128,S128)</f>
      </c>
      <c r="K128" s="26">
        <f t="shared" si="25"/>
      </c>
      <c r="L128" s="26">
        <f>IFERROR(IF(P128=0,0,MAX($L$4:L127)+1),0)</f>
      </c>
      <c r="M128" s="5">
        <f t="shared" si="37"/>
      </c>
      <c r="N128" s="5">
        <f t="shared" si="38"/>
      </c>
      <c r="P128" s="86">
        <f t="shared" si="26"/>
      </c>
      <c r="Q128" s="86">
        <f t="shared" si="27"/>
      </c>
      <c r="R128" s="86">
        <f t="shared" si="28"/>
      </c>
      <c r="S128" s="86">
        <f t="shared" si="29"/>
      </c>
      <c r="T128" s="86">
        <f t="shared" si="39"/>
        <v/>
      </c>
      <c r="U128" s="86">
        <f t="shared" si="40"/>
        <v/>
      </c>
      <c r="V128" s="86">
        <f t="shared" si="41"/>
        <v/>
      </c>
      <c r="W128" s="87">
        <f t="shared" si="30"/>
      </c>
      <c r="X128" s="88"/>
      <c r="Y128" s="88"/>
      <c r="Z128" s="88"/>
      <c r="AA128" s="88"/>
      <c r="AB128" s="88"/>
      <c r="AD128" s="86">
        <f t="shared" si="31"/>
      </c>
      <c r="AE128" s="86">
        <f t="shared" si="32"/>
      </c>
      <c r="AG128" s="86">
        <f t="shared" si="33"/>
      </c>
      <c r="AH128" s="86">
        <f t="shared" si="34"/>
      </c>
      <c r="AI128" s="86">
        <f t="shared" si="35"/>
      </c>
    </row>
    <row r="129" spans="6:35" x14ac:dyDescent="0.3">
      <c r="F129" s="26">
        <f>IF(G129=1,MAX($F$4:F128)+1,"")</f>
        <v/>
      </c>
      <c r="G129" s="26">
        <f>COUNTIF($H$5:H129,H129)</f>
      </c>
      <c r="H129" s="26">
        <f t="shared" si="36"/>
      </c>
      <c r="I129" s="26">
        <f>COUNTIF($J$4:$J129,1)</f>
      </c>
      <c r="J129" s="26">
        <f>COUNTIF($S$5:$S129,S129)</f>
      </c>
      <c r="K129" s="26">
        <f t="shared" si="25"/>
      </c>
      <c r="L129" s="26">
        <f>IFERROR(IF(P129=0,0,MAX($L$4:L128)+1),0)</f>
      </c>
      <c r="M129" s="5">
        <f t="shared" si="37"/>
      </c>
      <c r="N129" s="5">
        <f t="shared" si="38"/>
      </c>
      <c r="P129" s="86">
        <f t="shared" si="26"/>
      </c>
      <c r="Q129" s="86">
        <f t="shared" si="27"/>
      </c>
      <c r="R129" s="86">
        <f t="shared" si="28"/>
      </c>
      <c r="S129" s="86">
        <f t="shared" si="29"/>
      </c>
      <c r="T129" s="86">
        <f t="shared" si="39"/>
        <v/>
      </c>
      <c r="U129" s="86">
        <f t="shared" si="40"/>
        <v/>
      </c>
      <c r="V129" s="86">
        <f t="shared" si="41"/>
        <v/>
      </c>
      <c r="W129" s="87">
        <f t="shared" si="30"/>
      </c>
      <c r="X129" s="88"/>
      <c r="Y129" s="88"/>
      <c r="Z129" s="88"/>
      <c r="AA129" s="88"/>
      <c r="AB129" s="88"/>
      <c r="AD129" s="86">
        <f t="shared" si="31"/>
      </c>
      <c r="AE129" s="86">
        <f t="shared" si="32"/>
      </c>
      <c r="AG129" s="86">
        <f t="shared" si="33"/>
      </c>
      <c r="AH129" s="86">
        <f t="shared" si="34"/>
      </c>
      <c r="AI129" s="86">
        <f t="shared" si="35"/>
      </c>
    </row>
    <row r="130" spans="6:35" x14ac:dyDescent="0.3">
      <c r="F130" s="26">
        <f>IF(G130=1,MAX($F$4:F129)+1,"")</f>
        <v/>
      </c>
      <c r="G130" s="26">
        <f>COUNTIF($H$5:H130,H130)</f>
      </c>
      <c r="H130" s="26">
        <f t="shared" si="36"/>
      </c>
      <c r="I130" s="26">
        <f>COUNTIF($J$4:$J130,1)</f>
      </c>
      <c r="J130" s="26">
        <f>COUNTIF($S$5:$S130,S130)</f>
      </c>
      <c r="K130" s="26">
        <f t="shared" si="25"/>
      </c>
      <c r="L130" s="26">
        <f>IFERROR(IF(P130=0,0,MAX($L$4:L129)+1),0)</f>
      </c>
      <c r="M130" s="5">
        <f t="shared" si="37"/>
      </c>
      <c r="N130" s="5">
        <f t="shared" si="38"/>
      </c>
      <c r="P130" s="86">
        <f t="shared" si="26"/>
      </c>
      <c r="Q130" s="86">
        <f t="shared" si="27"/>
      </c>
      <c r="R130" s="86">
        <f t="shared" si="28"/>
      </c>
      <c r="S130" s="86">
        <f t="shared" si="29"/>
      </c>
      <c r="T130" s="86">
        <f t="shared" si="39"/>
        <v/>
      </c>
      <c r="U130" s="86">
        <f t="shared" si="40"/>
        <v/>
      </c>
      <c r="V130" s="86">
        <f t="shared" si="41"/>
        <v/>
      </c>
      <c r="W130" s="87">
        <f t="shared" si="30"/>
      </c>
      <c r="X130" s="88"/>
      <c r="Y130" s="88"/>
      <c r="Z130" s="88"/>
      <c r="AA130" s="88"/>
      <c r="AB130" s="88"/>
      <c r="AD130" s="86">
        <f t="shared" si="31"/>
      </c>
      <c r="AE130" s="86">
        <f t="shared" si="32"/>
      </c>
      <c r="AG130" s="86">
        <f t="shared" si="33"/>
      </c>
      <c r="AH130" s="86">
        <f t="shared" si="34"/>
      </c>
      <c r="AI130" s="86">
        <f t="shared" si="35"/>
      </c>
    </row>
    <row r="131" spans="6:35" x14ac:dyDescent="0.3">
      <c r="F131" s="26">
        <f>IF(G131=1,MAX($F$4:F130)+1,"")</f>
        <v/>
      </c>
      <c r="G131" s="26">
        <f>COUNTIF($H$5:H131,H131)</f>
      </c>
      <c r="H131" s="26">
        <f t="shared" si="36"/>
      </c>
      <c r="I131" s="26">
        <f>COUNTIF($J$4:$J131,1)</f>
      </c>
      <c r="J131" s="26">
        <f>COUNTIF($S$5:$S131,S131)</f>
      </c>
      <c r="K131" s="26">
        <f t="shared" si="25"/>
      </c>
      <c r="L131" s="26">
        <f>IFERROR(IF(P131=0,0,MAX($L$4:L130)+1),0)</f>
      </c>
      <c r="M131" s="5">
        <f t="shared" si="37"/>
      </c>
      <c r="N131" s="5">
        <f t="shared" si="38"/>
      </c>
      <c r="P131" s="86">
        <f t="shared" si="26"/>
      </c>
      <c r="Q131" s="86">
        <f t="shared" si="27"/>
      </c>
      <c r="R131" s="86">
        <f t="shared" si="28"/>
      </c>
      <c r="S131" s="86">
        <f t="shared" si="29"/>
      </c>
      <c r="T131" s="86">
        <f t="shared" si="39"/>
        <v/>
      </c>
      <c r="U131" s="86">
        <f t="shared" si="40"/>
        <v/>
      </c>
      <c r="V131" s="86">
        <f t="shared" si="41"/>
        <v/>
      </c>
      <c r="W131" s="87">
        <f t="shared" si="30"/>
      </c>
      <c r="X131" s="88"/>
      <c r="Y131" s="88"/>
      <c r="Z131" s="88"/>
      <c r="AA131" s="88"/>
      <c r="AB131" s="88"/>
      <c r="AD131" s="86">
        <f t="shared" si="31"/>
      </c>
      <c r="AE131" s="86">
        <f t="shared" si="32"/>
      </c>
      <c r="AG131" s="86">
        <f t="shared" si="33"/>
      </c>
      <c r="AH131" s="86">
        <f t="shared" si="34"/>
      </c>
      <c r="AI131" s="86">
        <f t="shared" si="35"/>
      </c>
    </row>
    <row r="132" spans="6:35" x14ac:dyDescent="0.3">
      <c r="F132" s="26">
        <f>IF(G132=1,MAX($F$4:F131)+1,"")</f>
        <v/>
      </c>
      <c r="G132" s="26">
        <f>COUNTIF($H$5:H132,H132)</f>
      </c>
      <c r="H132" s="26">
        <f t="shared" si="36"/>
      </c>
      <c r="I132" s="26">
        <f>COUNTIF($J$4:$J132,1)</f>
      </c>
      <c r="J132" s="26">
        <f>COUNTIF($S$5:$S132,S132)</f>
      </c>
      <c r="K132" s="26">
        <f t="shared" si="25"/>
      </c>
      <c r="L132" s="26">
        <f>IFERROR(IF(P132=0,0,MAX($L$4:L131)+1),0)</f>
      </c>
      <c r="M132" s="5">
        <f t="shared" si="37"/>
      </c>
      <c r="N132" s="5">
        <f t="shared" si="38"/>
      </c>
      <c r="P132" s="86">
        <f t="shared" si="26"/>
      </c>
      <c r="Q132" s="86">
        <f t="shared" si="27"/>
      </c>
      <c r="R132" s="86">
        <f t="shared" si="28"/>
      </c>
      <c r="S132" s="86">
        <f t="shared" si="29"/>
      </c>
      <c r="T132" s="86">
        <f t="shared" si="39"/>
        <v/>
      </c>
      <c r="U132" s="86">
        <f t="shared" si="40"/>
        <v/>
      </c>
      <c r="V132" s="86">
        <f t="shared" si="41"/>
        <v/>
      </c>
      <c r="W132" s="87">
        <f t="shared" si="30"/>
      </c>
      <c r="X132" s="88"/>
      <c r="Y132" s="88"/>
      <c r="Z132" s="88"/>
      <c r="AA132" s="88"/>
      <c r="AB132" s="88"/>
      <c r="AD132" s="86">
        <f t="shared" si="31"/>
      </c>
      <c r="AE132" s="86">
        <f t="shared" si="32"/>
      </c>
      <c r="AG132" s="86">
        <f t="shared" si="33"/>
      </c>
      <c r="AH132" s="86">
        <f t="shared" si="34"/>
      </c>
      <c r="AI132" s="86">
        <f t="shared" si="35"/>
      </c>
    </row>
    <row r="133" spans="6:35" x14ac:dyDescent="0.3">
      <c r="F133" s="26">
        <f>IF(G133=1,MAX($F$4:F132)+1,"")</f>
        <v/>
      </c>
      <c r="G133" s="26">
        <f>COUNTIF($H$5:H133,H133)</f>
      </c>
      <c r="H133" s="26">
        <f t="shared" si="36"/>
      </c>
      <c r="I133" s="26">
        <f>COUNTIF($J$4:$J133,1)</f>
      </c>
      <c r="J133" s="26">
        <f>COUNTIF($S$5:$S133,S133)</f>
      </c>
      <c r="K133" s="26">
        <f t="shared" ref="K133:K196" si="43">VLOOKUP(P133,Исходные_данные,19,FALSE)</f>
      </c>
      <c r="L133" s="26">
        <f>IFERROR(IF(P133=0,0,MAX($L$4:L132)+1),0)</f>
      </c>
      <c r="M133" s="5">
        <f t="shared" si="37"/>
      </c>
      <c r="N133" s="5">
        <f t="shared" si="38"/>
      </c>
      <c r="P133" s="86">
        <f t="shared" ref="P133:P196" si="44">VLOOKUP(ROW(129:129),Разбивка_нумерация_5,4,FALSE)</f>
      </c>
      <c r="Q133" s="86">
        <f t="shared" ref="Q133:Q196" si="45">IF(VLOOKUP(ROW(129:129),Разбивка_нумерация_5,3,FALSE)=0,VLOOKUP(ROW(129:129),Разбивка_нумерация_5,2,FALSE),VLOOKUP(ROW(129:129),Разбивка_нумерация_5,3,FALSE))</f>
      </c>
      <c r="R133" s="86">
        <f t="shared" ref="R133:R196" si="46">VLOOKUP(ROW(129:129),Разбивка_нумерация_5,6,FALSE)</f>
      </c>
      <c r="S133" s="86">
        <f t="shared" ref="S133:S196" si="47">VLOOKUP(ROW(129:129),Разбивка_нумерация_5,17,FALSE)</f>
      </c>
      <c r="T133" s="86">
        <f t="shared" si="39"/>
        <v/>
      </c>
      <c r="U133" s="86">
        <f t="shared" si="40"/>
        <v/>
      </c>
      <c r="V133" s="86">
        <f t="shared" si="41"/>
        <v/>
      </c>
      <c r="W133" s="87">
        <f t="shared" ref="W133:W196" si="48">VLOOKUP(P133,Исходные_данные,13,FALSE)</f>
      </c>
      <c r="X133" s="88"/>
      <c r="Y133" s="88"/>
      <c r="Z133" s="88"/>
      <c r="AA133" s="88"/>
      <c r="AB133" s="88"/>
      <c r="AD133" s="86">
        <f t="shared" ref="AD133:AD196" si="49">VLOOKUP(S133,Кабель_диаметр,4,FALSE)</f>
      </c>
      <c r="AE133" s="86">
        <f t="shared" ref="AE133:AE196" si="50">VLOOKUP(S133,Кабель_диаметр,5,FALSE)</f>
      </c>
      <c r="AG133" s="86">
        <f t="shared" ref="AG133:AG196" si="51">IFERROR(VLOOKUP(P133,Исходные_данные,10,FALSE),0)</f>
      </c>
      <c r="AH133" s="86">
        <f t="shared" ref="AH133:AH196" si="52">IFERROR(VLOOKUP(P133,Исходные_данные,11,FALSE),0)</f>
      </c>
      <c r="AI133" s="86">
        <f t="shared" ref="AI133:AI196" si="53">IFERROR(VLOOKUP(P133,Исходные_данные,12,FALSE),0)</f>
      </c>
    </row>
    <row r="134" spans="6:35" x14ac:dyDescent="0.3">
      <c r="F134" s="26">
        <f>IF(G134=1,MAX($F$4:F133)+1,"")</f>
        <v/>
      </c>
      <c r="G134" s="26">
        <f>COUNTIF($H$5:H134,H134)</f>
      </c>
      <c r="H134" s="26">
        <f t="shared" ref="H134:H197" si="54">S134&amp;" "&amp;K134</f>
      </c>
      <c r="I134" s="26">
        <f>COUNTIF($J$4:$J134,1)</f>
      </c>
      <c r="J134" s="26">
        <f>COUNTIF($S$5:$S134,S134)</f>
      </c>
      <c r="K134" s="26">
        <f t="shared" si="43"/>
      </c>
      <c r="L134" s="26">
        <f>IFERROR(IF(P134=0,0,MAX($L$4:L133)+1),0)</f>
      </c>
      <c r="M134" s="5">
        <f t="shared" ref="M134:M197" si="55">LEFT(P134,SEARCH(".",P134)-1)</f>
      </c>
      <c r="N134" s="5">
        <f t="shared" ref="N134:N197" si="56">LEFT(RIGHT(P134,LEN(P134)-LEN(M134)-1),SEARCH(".",P134)-1)</f>
      </c>
      <c r="P134" s="86">
        <f t="shared" si="44"/>
      </c>
      <c r="Q134" s="86">
        <f t="shared" si="45"/>
      </c>
      <c r="R134" s="86">
        <f t="shared" si="46"/>
      </c>
      <c r="S134" s="86">
        <f t="shared" si="47"/>
      </c>
      <c r="T134" s="86">
        <f t="shared" ref="T134:T197" si="57">IF(AG134=0,"","L="&amp;AG134)</f>
        <v/>
      </c>
      <c r="U134" s="86">
        <f t="shared" ref="U134:U197" si="58">IF(AH134=0,"",AD134&amp;" L="&amp;AH134)</f>
        <v/>
      </c>
      <c r="V134" s="86">
        <f t="shared" ref="V134:V197" si="59">IF(AI134=0,"",AE134&amp;" L="&amp;AI134)</f>
        <v/>
      </c>
      <c r="W134" s="87">
        <f t="shared" si="48"/>
      </c>
      <c r="X134" s="88"/>
      <c r="Y134" s="88"/>
      <c r="Z134" s="88"/>
      <c r="AA134" s="88"/>
      <c r="AB134" s="88"/>
      <c r="AD134" s="86">
        <f t="shared" si="49"/>
      </c>
      <c r="AE134" s="86">
        <f t="shared" si="50"/>
      </c>
      <c r="AG134" s="86">
        <f t="shared" si="51"/>
      </c>
      <c r="AH134" s="86">
        <f t="shared" si="52"/>
      </c>
      <c r="AI134" s="86">
        <f t="shared" si="53"/>
      </c>
    </row>
    <row r="135" spans="6:35" x14ac:dyDescent="0.3">
      <c r="F135" s="26">
        <f>IF(G135=1,MAX($F$4:F134)+1,"")</f>
        <v/>
      </c>
      <c r="G135" s="26">
        <f>COUNTIF($H$5:H135,H135)</f>
      </c>
      <c r="H135" s="26">
        <f t="shared" si="54"/>
      </c>
      <c r="I135" s="26">
        <f>COUNTIF($J$4:$J135,1)</f>
      </c>
      <c r="J135" s="26">
        <f>COUNTIF($S$5:$S135,S135)</f>
      </c>
      <c r="K135" s="26">
        <f t="shared" si="43"/>
      </c>
      <c r="L135" s="26">
        <f>IFERROR(IF(P135=0,0,MAX($L$4:L134)+1),0)</f>
      </c>
      <c r="M135" s="5">
        <f t="shared" si="55"/>
      </c>
      <c r="N135" s="5">
        <f t="shared" si="56"/>
      </c>
      <c r="P135" s="86">
        <f t="shared" si="44"/>
      </c>
      <c r="Q135" s="86">
        <f t="shared" si="45"/>
      </c>
      <c r="R135" s="86">
        <f t="shared" si="46"/>
      </c>
      <c r="S135" s="86">
        <f t="shared" si="47"/>
      </c>
      <c r="T135" s="86">
        <f t="shared" si="57"/>
        <v/>
      </c>
      <c r="U135" s="86">
        <f t="shared" si="58"/>
        <v/>
      </c>
      <c r="V135" s="86">
        <f t="shared" si="59"/>
        <v/>
      </c>
      <c r="W135" s="87">
        <f t="shared" si="48"/>
      </c>
      <c r="X135" s="88"/>
      <c r="Y135" s="88"/>
      <c r="Z135" s="88"/>
      <c r="AA135" s="88"/>
      <c r="AB135" s="88"/>
      <c r="AD135" s="86">
        <f t="shared" si="49"/>
      </c>
      <c r="AE135" s="86">
        <f t="shared" si="50"/>
      </c>
      <c r="AG135" s="86">
        <f t="shared" si="51"/>
      </c>
      <c r="AH135" s="86">
        <f t="shared" si="52"/>
      </c>
      <c r="AI135" s="86">
        <f t="shared" si="53"/>
      </c>
    </row>
    <row r="136" spans="6:35" x14ac:dyDescent="0.3">
      <c r="F136" s="26">
        <f>IF(G136=1,MAX($F$4:F135)+1,"")</f>
        <v/>
      </c>
      <c r="G136" s="26">
        <f>COUNTIF($H$5:H136,H136)</f>
      </c>
      <c r="H136" s="26">
        <f t="shared" si="54"/>
      </c>
      <c r="I136" s="26">
        <f>COUNTIF($J$4:$J136,1)</f>
      </c>
      <c r="J136" s="26">
        <f>COUNTIF($S$5:$S136,S136)</f>
      </c>
      <c r="K136" s="26">
        <f t="shared" si="43"/>
      </c>
      <c r="L136" s="26">
        <f>IFERROR(IF(P136=0,0,MAX($L$4:L135)+1),0)</f>
      </c>
      <c r="M136" s="5">
        <f t="shared" si="55"/>
      </c>
      <c r="N136" s="5">
        <f t="shared" si="56"/>
      </c>
      <c r="P136" s="86">
        <f t="shared" si="44"/>
      </c>
      <c r="Q136" s="86">
        <f t="shared" si="45"/>
      </c>
      <c r="R136" s="86">
        <f t="shared" si="46"/>
      </c>
      <c r="S136" s="86">
        <f t="shared" si="47"/>
      </c>
      <c r="T136" s="86">
        <f t="shared" si="57"/>
        <v/>
      </c>
      <c r="U136" s="86">
        <f t="shared" si="58"/>
        <v/>
      </c>
      <c r="V136" s="86">
        <f t="shared" si="59"/>
        <v/>
      </c>
      <c r="W136" s="87">
        <f t="shared" si="48"/>
      </c>
      <c r="X136" s="88"/>
      <c r="Y136" s="88"/>
      <c r="Z136" s="88"/>
      <c r="AA136" s="88"/>
      <c r="AB136" s="88"/>
      <c r="AD136" s="86">
        <f t="shared" si="49"/>
      </c>
      <c r="AE136" s="86">
        <f t="shared" si="50"/>
      </c>
      <c r="AG136" s="86">
        <f t="shared" si="51"/>
      </c>
      <c r="AH136" s="86">
        <f t="shared" si="52"/>
      </c>
      <c r="AI136" s="86">
        <f t="shared" si="53"/>
      </c>
    </row>
    <row r="137" spans="6:35" x14ac:dyDescent="0.3">
      <c r="F137" s="26">
        <f>IF(G137=1,MAX($F$4:F136)+1,"")</f>
        <v/>
      </c>
      <c r="G137" s="26">
        <f>COUNTIF($H$5:H137,H137)</f>
      </c>
      <c r="H137" s="26">
        <f t="shared" si="54"/>
      </c>
      <c r="I137" s="26">
        <f>COUNTIF($J$4:$J137,1)</f>
      </c>
      <c r="J137" s="26">
        <f>COUNTIF($S$5:$S137,S137)</f>
      </c>
      <c r="K137" s="26">
        <f t="shared" si="43"/>
      </c>
      <c r="L137" s="26">
        <f>IFERROR(IF(P137=0,0,MAX($L$4:L136)+1),0)</f>
      </c>
      <c r="M137" s="5">
        <f t="shared" si="55"/>
      </c>
      <c r="N137" s="5">
        <f t="shared" si="56"/>
      </c>
      <c r="P137" s="86">
        <f t="shared" si="44"/>
      </c>
      <c r="Q137" s="86">
        <f t="shared" si="45"/>
      </c>
      <c r="R137" s="86">
        <f t="shared" si="46"/>
      </c>
      <c r="S137" s="86">
        <f t="shared" si="47"/>
      </c>
      <c r="T137" s="86">
        <f t="shared" si="57"/>
        <v/>
      </c>
      <c r="U137" s="86">
        <f t="shared" si="58"/>
        <v/>
      </c>
      <c r="V137" s="86">
        <f t="shared" si="59"/>
        <v/>
      </c>
      <c r="W137" s="87">
        <f t="shared" si="48"/>
      </c>
      <c r="X137" s="88"/>
      <c r="Y137" s="88"/>
      <c r="Z137" s="88"/>
      <c r="AA137" s="88"/>
      <c r="AB137" s="88"/>
      <c r="AD137" s="86">
        <f t="shared" si="49"/>
      </c>
      <c r="AE137" s="86">
        <f t="shared" si="50"/>
      </c>
      <c r="AG137" s="86">
        <f t="shared" si="51"/>
      </c>
      <c r="AH137" s="86">
        <f t="shared" si="52"/>
      </c>
      <c r="AI137" s="86">
        <f t="shared" si="53"/>
      </c>
    </row>
    <row r="138" spans="6:35" x14ac:dyDescent="0.3">
      <c r="F138" s="26">
        <f>IF(G138=1,MAX($F$4:F137)+1,"")</f>
        <v/>
      </c>
      <c r="G138" s="26">
        <f>COUNTIF($H$5:H138,H138)</f>
      </c>
      <c r="H138" s="26">
        <f t="shared" si="54"/>
      </c>
      <c r="I138" s="26">
        <f>COUNTIF($J$4:$J138,1)</f>
      </c>
      <c r="J138" s="26">
        <f>COUNTIF($S$5:$S138,S138)</f>
      </c>
      <c r="K138" s="26">
        <f t="shared" si="43"/>
      </c>
      <c r="L138" s="26">
        <f>IFERROR(IF(P138=0,0,MAX($L$4:L137)+1),0)</f>
      </c>
      <c r="M138" s="5">
        <f t="shared" si="55"/>
      </c>
      <c r="N138" s="5">
        <f t="shared" si="56"/>
      </c>
      <c r="P138" s="86">
        <f t="shared" si="44"/>
      </c>
      <c r="Q138" s="86">
        <f t="shared" si="45"/>
      </c>
      <c r="R138" s="86">
        <f t="shared" si="46"/>
      </c>
      <c r="S138" s="86">
        <f t="shared" si="47"/>
      </c>
      <c r="T138" s="86">
        <f t="shared" si="57"/>
        <v/>
      </c>
      <c r="U138" s="86">
        <f t="shared" si="58"/>
        <v/>
      </c>
      <c r="V138" s="86">
        <f t="shared" si="59"/>
        <v/>
      </c>
      <c r="W138" s="87">
        <f t="shared" si="48"/>
      </c>
      <c r="X138" s="88"/>
      <c r="Y138" s="88"/>
      <c r="Z138" s="88"/>
      <c r="AA138" s="88"/>
      <c r="AB138" s="88"/>
      <c r="AD138" s="86">
        <f t="shared" si="49"/>
      </c>
      <c r="AE138" s="86">
        <f t="shared" si="50"/>
      </c>
      <c r="AG138" s="86">
        <f t="shared" si="51"/>
      </c>
      <c r="AH138" s="86">
        <f t="shared" si="52"/>
      </c>
      <c r="AI138" s="86">
        <f t="shared" si="53"/>
      </c>
    </row>
    <row r="139" spans="6:35" x14ac:dyDescent="0.3">
      <c r="F139" s="26">
        <f>IF(G139=1,MAX($F$4:F138)+1,"")</f>
        <v/>
      </c>
      <c r="G139" s="26">
        <f>COUNTIF($H$5:H139,H139)</f>
      </c>
      <c r="H139" s="26">
        <f t="shared" si="54"/>
      </c>
      <c r="I139" s="26">
        <f>COUNTIF($J$4:$J139,1)</f>
      </c>
      <c r="J139" s="26">
        <f>COUNTIF($S$5:$S139,S139)</f>
      </c>
      <c r="K139" s="26">
        <f t="shared" si="43"/>
      </c>
      <c r="L139" s="26">
        <f>IFERROR(IF(P139=0,0,MAX($L$4:L138)+1),0)</f>
      </c>
      <c r="M139" s="5">
        <f t="shared" si="55"/>
      </c>
      <c r="N139" s="5">
        <f t="shared" si="56"/>
      </c>
      <c r="P139" s="86">
        <f t="shared" si="44"/>
      </c>
      <c r="Q139" s="86">
        <f t="shared" si="45"/>
      </c>
      <c r="R139" s="86">
        <f t="shared" si="46"/>
      </c>
      <c r="S139" s="86">
        <f t="shared" si="47"/>
      </c>
      <c r="T139" s="86">
        <f t="shared" si="57"/>
        <v/>
      </c>
      <c r="U139" s="86">
        <f t="shared" si="58"/>
        <v/>
      </c>
      <c r="V139" s="86">
        <f t="shared" si="59"/>
        <v/>
      </c>
      <c r="W139" s="87">
        <f t="shared" si="48"/>
      </c>
      <c r="X139" s="88"/>
      <c r="Y139" s="88"/>
      <c r="Z139" s="88"/>
      <c r="AA139" s="88"/>
      <c r="AB139" s="88"/>
      <c r="AD139" s="86">
        <f t="shared" si="49"/>
      </c>
      <c r="AE139" s="86">
        <f t="shared" si="50"/>
      </c>
      <c r="AG139" s="86">
        <f t="shared" si="51"/>
      </c>
      <c r="AH139" s="86">
        <f t="shared" si="52"/>
      </c>
      <c r="AI139" s="86">
        <f t="shared" si="53"/>
      </c>
    </row>
    <row r="140" spans="6:35" x14ac:dyDescent="0.3">
      <c r="F140" s="26">
        <f>IF(G140=1,MAX($F$4:F139)+1,"")</f>
        <v/>
      </c>
      <c r="G140" s="26">
        <f>COUNTIF($H$5:H140,H140)</f>
      </c>
      <c r="H140" s="26">
        <f t="shared" si="54"/>
      </c>
      <c r="I140" s="26">
        <f>COUNTIF($J$4:$J140,1)</f>
      </c>
      <c r="J140" s="26">
        <f>COUNTIF($S$5:$S140,S140)</f>
      </c>
      <c r="K140" s="26">
        <f t="shared" si="43"/>
      </c>
      <c r="L140" s="26">
        <f>IFERROR(IF(P140=0,0,MAX($L$4:L139)+1),0)</f>
      </c>
      <c r="M140" s="5">
        <f t="shared" si="55"/>
      </c>
      <c r="N140" s="5">
        <f t="shared" si="56"/>
      </c>
      <c r="P140" s="86">
        <f t="shared" si="44"/>
      </c>
      <c r="Q140" s="86">
        <f t="shared" si="45"/>
      </c>
      <c r="R140" s="86">
        <f t="shared" si="46"/>
      </c>
      <c r="S140" s="86">
        <f t="shared" si="47"/>
      </c>
      <c r="T140" s="86">
        <f t="shared" si="57"/>
        <v/>
      </c>
      <c r="U140" s="86">
        <f t="shared" si="58"/>
        <v/>
      </c>
      <c r="V140" s="86">
        <f t="shared" si="59"/>
        <v/>
      </c>
      <c r="W140" s="87">
        <f t="shared" si="48"/>
      </c>
      <c r="X140" s="88"/>
      <c r="Y140" s="88"/>
      <c r="Z140" s="88"/>
      <c r="AA140" s="88"/>
      <c r="AB140" s="88"/>
      <c r="AD140" s="86">
        <f t="shared" si="49"/>
      </c>
      <c r="AE140" s="86">
        <f t="shared" si="50"/>
      </c>
      <c r="AG140" s="86">
        <f t="shared" si="51"/>
      </c>
      <c r="AH140" s="86">
        <f t="shared" si="52"/>
      </c>
      <c r="AI140" s="86">
        <f t="shared" si="53"/>
      </c>
    </row>
    <row r="141" spans="6:35" x14ac:dyDescent="0.3">
      <c r="F141" s="26">
        <f>IF(G141=1,MAX($F$4:F140)+1,"")</f>
        <v/>
      </c>
      <c r="G141" s="26">
        <f>COUNTIF($H$5:H141,H141)</f>
      </c>
      <c r="H141" s="26">
        <f t="shared" si="54"/>
      </c>
      <c r="I141" s="26">
        <f>COUNTIF($J$4:$J141,1)</f>
      </c>
      <c r="J141" s="26">
        <f>COUNTIF($S$5:$S141,S141)</f>
      </c>
      <c r="K141" s="26">
        <f t="shared" si="43"/>
      </c>
      <c r="L141" s="26">
        <f>IFERROR(IF(P141=0,0,MAX($L$4:L140)+1),0)</f>
      </c>
      <c r="M141" s="5">
        <f t="shared" si="55"/>
      </c>
      <c r="N141" s="5">
        <f t="shared" si="56"/>
      </c>
      <c r="P141" s="86">
        <f t="shared" si="44"/>
      </c>
      <c r="Q141" s="86">
        <f t="shared" si="45"/>
      </c>
      <c r="R141" s="86">
        <f t="shared" si="46"/>
      </c>
      <c r="S141" s="86">
        <f t="shared" si="47"/>
      </c>
      <c r="T141" s="86">
        <f t="shared" si="57"/>
        <v/>
      </c>
      <c r="U141" s="86">
        <f t="shared" si="58"/>
        <v/>
      </c>
      <c r="V141" s="86">
        <f t="shared" si="59"/>
        <v/>
      </c>
      <c r="W141" s="87">
        <f t="shared" si="48"/>
      </c>
      <c r="X141" s="88"/>
      <c r="Y141" s="88"/>
      <c r="Z141" s="88"/>
      <c r="AA141" s="88"/>
      <c r="AB141" s="88"/>
      <c r="AD141" s="86">
        <f t="shared" si="49"/>
      </c>
      <c r="AE141" s="86">
        <f t="shared" si="50"/>
      </c>
      <c r="AG141" s="86">
        <f t="shared" si="51"/>
      </c>
      <c r="AH141" s="86">
        <f t="shared" si="52"/>
      </c>
      <c r="AI141" s="86">
        <f t="shared" si="53"/>
      </c>
    </row>
    <row r="142" spans="6:35" x14ac:dyDescent="0.3">
      <c r="F142" s="26">
        <f>IF(G142=1,MAX($F$4:F141)+1,"")</f>
        <v/>
      </c>
      <c r="G142" s="26">
        <f>COUNTIF($H$5:H142,H142)</f>
      </c>
      <c r="H142" s="26">
        <f t="shared" si="54"/>
      </c>
      <c r="I142" s="26">
        <f>COUNTIF($J$4:$J142,1)</f>
      </c>
      <c r="J142" s="26">
        <f>COUNTIF($S$5:$S142,S142)</f>
      </c>
      <c r="K142" s="26">
        <f t="shared" si="43"/>
      </c>
      <c r="L142" s="26">
        <f>IFERROR(IF(P142=0,0,MAX($L$4:L141)+1),0)</f>
      </c>
      <c r="M142" s="5">
        <f t="shared" si="55"/>
      </c>
      <c r="N142" s="5">
        <f t="shared" si="56"/>
      </c>
      <c r="P142" s="86">
        <f t="shared" si="44"/>
      </c>
      <c r="Q142" s="86">
        <f t="shared" si="45"/>
      </c>
      <c r="R142" s="86">
        <f t="shared" si="46"/>
      </c>
      <c r="S142" s="86">
        <f t="shared" si="47"/>
      </c>
      <c r="T142" s="86">
        <f t="shared" si="57"/>
        <v/>
      </c>
      <c r="U142" s="86">
        <f t="shared" si="58"/>
        <v/>
      </c>
      <c r="V142" s="86">
        <f t="shared" si="59"/>
        <v/>
      </c>
      <c r="W142" s="87">
        <f t="shared" si="48"/>
      </c>
      <c r="X142" s="88"/>
      <c r="Y142" s="88"/>
      <c r="Z142" s="88"/>
      <c r="AA142" s="88"/>
      <c r="AB142" s="88"/>
      <c r="AD142" s="86">
        <f t="shared" si="49"/>
      </c>
      <c r="AE142" s="86">
        <f t="shared" si="50"/>
      </c>
      <c r="AG142" s="86">
        <f t="shared" si="51"/>
      </c>
      <c r="AH142" s="86">
        <f t="shared" si="52"/>
      </c>
      <c r="AI142" s="86">
        <f t="shared" si="53"/>
      </c>
    </row>
    <row r="143" spans="6:35" x14ac:dyDescent="0.3">
      <c r="F143" s="26">
        <f>IF(G143=1,MAX($F$4:F142)+1,"")</f>
        <v/>
      </c>
      <c r="G143" s="26">
        <f>COUNTIF($H$5:H143,H143)</f>
      </c>
      <c r="H143" s="26">
        <f t="shared" si="54"/>
      </c>
      <c r="I143" s="26">
        <f>COUNTIF($J$4:$J143,1)</f>
      </c>
      <c r="J143" s="26">
        <f>COUNTIF($S$5:$S143,S143)</f>
      </c>
      <c r="K143" s="26">
        <f t="shared" si="43"/>
      </c>
      <c r="L143" s="26">
        <f>IFERROR(IF(P143=0,0,MAX($L$4:L142)+1),0)</f>
      </c>
      <c r="M143" s="5">
        <f t="shared" si="55"/>
      </c>
      <c r="N143" s="5">
        <f t="shared" si="56"/>
      </c>
      <c r="P143" s="86">
        <f t="shared" si="44"/>
      </c>
      <c r="Q143" s="86">
        <f t="shared" si="45"/>
      </c>
      <c r="R143" s="86">
        <f t="shared" si="46"/>
      </c>
      <c r="S143" s="86">
        <f t="shared" si="47"/>
      </c>
      <c r="T143" s="86">
        <f t="shared" si="57"/>
        <v/>
      </c>
      <c r="U143" s="86">
        <f t="shared" si="58"/>
        <v/>
      </c>
      <c r="V143" s="86">
        <f t="shared" si="59"/>
        <v/>
      </c>
      <c r="W143" s="87">
        <f t="shared" si="48"/>
      </c>
      <c r="X143" s="88"/>
      <c r="Y143" s="88"/>
      <c r="Z143" s="88"/>
      <c r="AA143" s="88"/>
      <c r="AB143" s="88"/>
      <c r="AD143" s="86">
        <f t="shared" si="49"/>
      </c>
      <c r="AE143" s="86">
        <f t="shared" si="50"/>
      </c>
      <c r="AG143" s="86">
        <f t="shared" si="51"/>
      </c>
      <c r="AH143" s="86">
        <f t="shared" si="52"/>
      </c>
      <c r="AI143" s="86">
        <f t="shared" si="53"/>
      </c>
    </row>
    <row r="144" spans="6:35" x14ac:dyDescent="0.3">
      <c r="F144" s="26">
        <f>IF(G144=1,MAX($F$4:F143)+1,"")</f>
        <v/>
      </c>
      <c r="G144" s="26">
        <f>COUNTIF($H$5:H144,H144)</f>
      </c>
      <c r="H144" s="26">
        <f t="shared" si="54"/>
      </c>
      <c r="I144" s="26">
        <f>COUNTIF($J$4:$J144,1)</f>
      </c>
      <c r="J144" s="26">
        <f>COUNTIF($S$5:$S144,S144)</f>
      </c>
      <c r="K144" s="26">
        <f t="shared" si="43"/>
      </c>
      <c r="L144" s="26">
        <f>IFERROR(IF(P144=0,0,MAX($L$4:L143)+1),0)</f>
      </c>
      <c r="M144" s="5">
        <f t="shared" si="55"/>
      </c>
      <c r="N144" s="5">
        <f t="shared" si="56"/>
      </c>
      <c r="P144" s="86">
        <f t="shared" si="44"/>
      </c>
      <c r="Q144" s="86">
        <f t="shared" si="45"/>
      </c>
      <c r="R144" s="86">
        <f t="shared" si="46"/>
      </c>
      <c r="S144" s="86">
        <f t="shared" si="47"/>
      </c>
      <c r="T144" s="86">
        <f t="shared" si="57"/>
        <v/>
      </c>
      <c r="U144" s="86">
        <f t="shared" si="58"/>
        <v/>
      </c>
      <c r="V144" s="86">
        <f t="shared" si="59"/>
        <v/>
      </c>
      <c r="W144" s="87">
        <f t="shared" si="48"/>
      </c>
      <c r="X144" s="88"/>
      <c r="Y144" s="88"/>
      <c r="Z144" s="88"/>
      <c r="AA144" s="88"/>
      <c r="AB144" s="88"/>
      <c r="AD144" s="86">
        <f t="shared" si="49"/>
      </c>
      <c r="AE144" s="86">
        <f t="shared" si="50"/>
      </c>
      <c r="AG144" s="86">
        <f t="shared" si="51"/>
      </c>
      <c r="AH144" s="86">
        <f t="shared" si="52"/>
      </c>
      <c r="AI144" s="86">
        <f t="shared" si="53"/>
      </c>
    </row>
    <row r="145" spans="6:35" x14ac:dyDescent="0.3">
      <c r="F145" s="26">
        <f>IF(G145=1,MAX($F$4:F144)+1,"")</f>
        <v/>
      </c>
      <c r="G145" s="26">
        <f>COUNTIF($H$5:H145,H145)</f>
      </c>
      <c r="H145" s="26">
        <f t="shared" si="54"/>
      </c>
      <c r="I145" s="26">
        <f>COUNTIF($J$4:$J145,1)</f>
      </c>
      <c r="J145" s="26">
        <f>COUNTIF($S$5:$S145,S145)</f>
      </c>
      <c r="K145" s="26">
        <f t="shared" si="43"/>
      </c>
      <c r="L145" s="26">
        <f>IFERROR(IF(P145=0,0,MAX($L$4:L144)+1),0)</f>
      </c>
      <c r="M145" s="5">
        <f t="shared" si="55"/>
      </c>
      <c r="N145" s="5">
        <f t="shared" si="56"/>
      </c>
      <c r="P145" s="86">
        <f t="shared" si="44"/>
      </c>
      <c r="Q145" s="86">
        <f t="shared" si="45"/>
      </c>
      <c r="R145" s="86">
        <f t="shared" si="46"/>
      </c>
      <c r="S145" s="86">
        <f t="shared" si="47"/>
      </c>
      <c r="T145" s="86">
        <f t="shared" si="57"/>
        <v/>
      </c>
      <c r="U145" s="86">
        <f t="shared" si="58"/>
        <v/>
      </c>
      <c r="V145" s="86">
        <f t="shared" si="59"/>
        <v/>
      </c>
      <c r="W145" s="87">
        <f t="shared" si="48"/>
      </c>
      <c r="X145" s="88"/>
      <c r="Y145" s="88"/>
      <c r="Z145" s="88"/>
      <c r="AA145" s="88"/>
      <c r="AB145" s="88"/>
      <c r="AD145" s="86">
        <f t="shared" si="49"/>
      </c>
      <c r="AE145" s="86">
        <f t="shared" si="50"/>
      </c>
      <c r="AG145" s="86">
        <f t="shared" si="51"/>
      </c>
      <c r="AH145" s="86">
        <f t="shared" si="52"/>
      </c>
      <c r="AI145" s="86">
        <f t="shared" si="53"/>
      </c>
    </row>
    <row r="146" spans="6:35" x14ac:dyDescent="0.3">
      <c r="F146" s="26">
        <f>IF(G146=1,MAX($F$4:F145)+1,"")</f>
        <v/>
      </c>
      <c r="G146" s="26">
        <f>COUNTIF($H$5:H146,H146)</f>
      </c>
      <c r="H146" s="26">
        <f t="shared" si="54"/>
      </c>
      <c r="I146" s="26">
        <f>COUNTIF($J$4:$J146,1)</f>
      </c>
      <c r="J146" s="26">
        <f>COUNTIF($S$5:$S146,S146)</f>
      </c>
      <c r="K146" s="26">
        <f t="shared" si="43"/>
      </c>
      <c r="L146" s="26">
        <f>IFERROR(IF(P146=0,0,MAX($L$4:L145)+1),0)</f>
      </c>
      <c r="M146" s="5">
        <f t="shared" si="55"/>
      </c>
      <c r="N146" s="5">
        <f t="shared" si="56"/>
      </c>
      <c r="P146" s="86">
        <f t="shared" si="44"/>
      </c>
      <c r="Q146" s="86">
        <f t="shared" si="45"/>
      </c>
      <c r="R146" s="86">
        <f t="shared" si="46"/>
      </c>
      <c r="S146" s="86">
        <f t="shared" si="47"/>
      </c>
      <c r="T146" s="86">
        <f t="shared" si="57"/>
        <v/>
      </c>
      <c r="U146" s="86">
        <f t="shared" si="58"/>
        <v/>
      </c>
      <c r="V146" s="86">
        <f t="shared" si="59"/>
        <v/>
      </c>
      <c r="W146" s="87">
        <f t="shared" si="48"/>
      </c>
      <c r="X146" s="88"/>
      <c r="Y146" s="88"/>
      <c r="Z146" s="88"/>
      <c r="AA146" s="88"/>
      <c r="AB146" s="88"/>
      <c r="AD146" s="86">
        <f t="shared" si="49"/>
      </c>
      <c r="AE146" s="86">
        <f t="shared" si="50"/>
      </c>
      <c r="AG146" s="86">
        <f t="shared" si="51"/>
      </c>
      <c r="AH146" s="86">
        <f t="shared" si="52"/>
      </c>
      <c r="AI146" s="86">
        <f t="shared" si="53"/>
      </c>
    </row>
    <row r="147" spans="6:35" x14ac:dyDescent="0.3">
      <c r="F147" s="26">
        <f>IF(G147=1,MAX($F$4:F146)+1,"")</f>
        <v/>
      </c>
      <c r="G147" s="26">
        <f>COUNTIF($H$5:H147,H147)</f>
      </c>
      <c r="H147" s="26">
        <f t="shared" si="54"/>
      </c>
      <c r="I147" s="26">
        <f>COUNTIF($J$4:$J147,1)</f>
      </c>
      <c r="J147" s="26">
        <f>COUNTIF($S$5:$S147,S147)</f>
      </c>
      <c r="K147" s="26">
        <f t="shared" si="43"/>
      </c>
      <c r="L147" s="26">
        <f>IFERROR(IF(P147=0,0,MAX($L$4:L146)+1),0)</f>
      </c>
      <c r="M147" s="5">
        <f t="shared" si="55"/>
      </c>
      <c r="N147" s="5">
        <f t="shared" si="56"/>
      </c>
      <c r="P147" s="86">
        <f t="shared" si="44"/>
      </c>
      <c r="Q147" s="86">
        <f t="shared" si="45"/>
      </c>
      <c r="R147" s="86">
        <f t="shared" si="46"/>
      </c>
      <c r="S147" s="86">
        <f t="shared" si="47"/>
      </c>
      <c r="T147" s="86">
        <f t="shared" si="57"/>
        <v/>
      </c>
      <c r="U147" s="86">
        <f t="shared" si="58"/>
        <v/>
      </c>
      <c r="V147" s="86">
        <f t="shared" si="59"/>
        <v/>
      </c>
      <c r="W147" s="87">
        <f t="shared" si="48"/>
      </c>
      <c r="X147" s="88"/>
      <c r="Y147" s="88"/>
      <c r="Z147" s="88"/>
      <c r="AA147" s="88"/>
      <c r="AB147" s="88"/>
      <c r="AD147" s="86">
        <f t="shared" si="49"/>
      </c>
      <c r="AE147" s="86">
        <f t="shared" si="50"/>
      </c>
      <c r="AG147" s="86">
        <f t="shared" si="51"/>
      </c>
      <c r="AH147" s="86">
        <f t="shared" si="52"/>
      </c>
      <c r="AI147" s="86">
        <f t="shared" si="53"/>
      </c>
    </row>
    <row r="148" spans="6:35" x14ac:dyDescent="0.3">
      <c r="F148" s="26">
        <f>IF(G148=1,MAX($F$4:F147)+1,"")</f>
        <v/>
      </c>
      <c r="G148" s="26">
        <f>COUNTIF($H$5:H148,H148)</f>
      </c>
      <c r="H148" s="26">
        <f t="shared" si="54"/>
      </c>
      <c r="I148" s="26">
        <f>COUNTIF($J$4:$J148,1)</f>
      </c>
      <c r="J148" s="26">
        <f>COUNTIF($S$5:$S148,S148)</f>
      </c>
      <c r="K148" s="26">
        <f t="shared" si="43"/>
      </c>
      <c r="L148" s="26">
        <f>IFERROR(IF(P148=0,0,MAX($L$4:L147)+1),0)</f>
      </c>
      <c r="M148" s="5">
        <f t="shared" si="55"/>
      </c>
      <c r="N148" s="5">
        <f t="shared" si="56"/>
      </c>
      <c r="P148" s="86">
        <f t="shared" si="44"/>
      </c>
      <c r="Q148" s="86">
        <f t="shared" si="45"/>
      </c>
      <c r="R148" s="86">
        <f t="shared" si="46"/>
      </c>
      <c r="S148" s="86">
        <f t="shared" si="47"/>
      </c>
      <c r="T148" s="86">
        <f t="shared" si="57"/>
        <v/>
      </c>
      <c r="U148" s="86">
        <f t="shared" si="58"/>
        <v/>
      </c>
      <c r="V148" s="86">
        <f t="shared" si="59"/>
        <v/>
      </c>
      <c r="W148" s="87">
        <f t="shared" si="48"/>
      </c>
      <c r="X148" s="88"/>
      <c r="Y148" s="88"/>
      <c r="Z148" s="88"/>
      <c r="AA148" s="88"/>
      <c r="AB148" s="88"/>
      <c r="AD148" s="86">
        <f t="shared" si="49"/>
      </c>
      <c r="AE148" s="86">
        <f t="shared" si="50"/>
      </c>
      <c r="AG148" s="86">
        <f t="shared" si="51"/>
      </c>
      <c r="AH148" s="86">
        <f t="shared" si="52"/>
      </c>
      <c r="AI148" s="86">
        <f t="shared" si="53"/>
      </c>
    </row>
    <row r="149" spans="6:35" x14ac:dyDescent="0.3">
      <c r="F149" s="26">
        <f>IF(G149=1,MAX($F$4:F148)+1,"")</f>
        <v/>
      </c>
      <c r="G149" s="26">
        <f>COUNTIF($H$5:H149,H149)</f>
      </c>
      <c r="H149" s="26">
        <f t="shared" si="54"/>
      </c>
      <c r="I149" s="26">
        <f>COUNTIF($J$4:$J149,1)</f>
      </c>
      <c r="J149" s="26">
        <f>COUNTIF($S$5:$S149,S149)</f>
      </c>
      <c r="K149" s="26">
        <f t="shared" si="43"/>
      </c>
      <c r="L149" s="26">
        <f>IFERROR(IF(P149=0,0,MAX($L$4:L148)+1),0)</f>
      </c>
      <c r="M149" s="5">
        <f t="shared" si="55"/>
      </c>
      <c r="N149" s="5">
        <f t="shared" si="56"/>
      </c>
      <c r="P149" s="86">
        <f t="shared" si="44"/>
      </c>
      <c r="Q149" s="86">
        <f t="shared" si="45"/>
      </c>
      <c r="R149" s="86">
        <f t="shared" si="46"/>
      </c>
      <c r="S149" s="86">
        <f t="shared" si="47"/>
      </c>
      <c r="T149" s="86">
        <f t="shared" si="57"/>
        <v/>
      </c>
      <c r="U149" s="86">
        <f t="shared" si="58"/>
        <v/>
      </c>
      <c r="V149" s="86">
        <f t="shared" si="59"/>
        <v/>
      </c>
      <c r="W149" s="87">
        <f t="shared" si="48"/>
      </c>
      <c r="X149" s="88"/>
      <c r="Y149" s="88"/>
      <c r="Z149" s="88"/>
      <c r="AA149" s="88"/>
      <c r="AB149" s="88"/>
      <c r="AD149" s="86">
        <f t="shared" si="49"/>
      </c>
      <c r="AE149" s="86">
        <f t="shared" si="50"/>
      </c>
      <c r="AG149" s="86">
        <f t="shared" si="51"/>
      </c>
      <c r="AH149" s="86">
        <f t="shared" si="52"/>
      </c>
      <c r="AI149" s="86">
        <f t="shared" si="53"/>
      </c>
    </row>
    <row r="150" spans="6:35" x14ac:dyDescent="0.3">
      <c r="F150" s="26">
        <f>IF(G150=1,MAX($F$4:F149)+1,"")</f>
        <v/>
      </c>
      <c r="G150" s="26">
        <f>COUNTIF($H$5:H150,H150)</f>
      </c>
      <c r="H150" s="26">
        <f t="shared" si="54"/>
      </c>
      <c r="I150" s="26">
        <f>COUNTIF($J$4:$J150,1)</f>
      </c>
      <c r="J150" s="26">
        <f>COUNTIF($S$5:$S150,S150)</f>
      </c>
      <c r="K150" s="26">
        <f t="shared" si="43"/>
      </c>
      <c r="L150" s="26">
        <f>IFERROR(IF(P150=0,0,MAX($L$4:L149)+1),0)</f>
      </c>
      <c r="M150" s="5">
        <f t="shared" si="55"/>
      </c>
      <c r="N150" s="5">
        <f t="shared" si="56"/>
      </c>
      <c r="P150" s="86">
        <f t="shared" si="44"/>
      </c>
      <c r="Q150" s="86">
        <f t="shared" si="45"/>
      </c>
      <c r="R150" s="86">
        <f t="shared" si="46"/>
      </c>
      <c r="S150" s="86">
        <f t="shared" si="47"/>
      </c>
      <c r="T150" s="86">
        <f t="shared" si="57"/>
        <v/>
      </c>
      <c r="U150" s="86">
        <f t="shared" si="58"/>
        <v/>
      </c>
      <c r="V150" s="86">
        <f t="shared" si="59"/>
        <v/>
      </c>
      <c r="W150" s="87">
        <f t="shared" si="48"/>
      </c>
      <c r="X150" s="88"/>
      <c r="Y150" s="88"/>
      <c r="Z150" s="88"/>
      <c r="AA150" s="88"/>
      <c r="AB150" s="88"/>
      <c r="AD150" s="86">
        <f t="shared" si="49"/>
      </c>
      <c r="AE150" s="86">
        <f t="shared" si="50"/>
      </c>
      <c r="AG150" s="86">
        <f t="shared" si="51"/>
      </c>
      <c r="AH150" s="86">
        <f t="shared" si="52"/>
      </c>
      <c r="AI150" s="86">
        <f t="shared" si="53"/>
      </c>
    </row>
    <row r="151" spans="6:35" x14ac:dyDescent="0.3">
      <c r="F151" s="26">
        <f>IF(G151=1,MAX($F$4:F150)+1,"")</f>
        <v/>
      </c>
      <c r="G151" s="26">
        <f>COUNTIF($H$5:H151,H151)</f>
      </c>
      <c r="H151" s="26">
        <f t="shared" si="54"/>
      </c>
      <c r="I151" s="26">
        <f>COUNTIF($J$4:$J151,1)</f>
      </c>
      <c r="J151" s="26">
        <f>COUNTIF($S$5:$S151,S151)</f>
      </c>
      <c r="K151" s="26">
        <f t="shared" si="43"/>
      </c>
      <c r="L151" s="26">
        <f>IFERROR(IF(P151=0,0,MAX($L$4:L150)+1),0)</f>
      </c>
      <c r="M151" s="5">
        <f t="shared" si="55"/>
      </c>
      <c r="N151" s="5">
        <f t="shared" si="56"/>
      </c>
      <c r="P151" s="86">
        <f t="shared" si="44"/>
      </c>
      <c r="Q151" s="86">
        <f t="shared" si="45"/>
      </c>
      <c r="R151" s="86">
        <f t="shared" si="46"/>
      </c>
      <c r="S151" s="86">
        <f t="shared" si="47"/>
      </c>
      <c r="T151" s="86">
        <f t="shared" si="57"/>
        <v/>
      </c>
      <c r="U151" s="86">
        <f t="shared" si="58"/>
        <v/>
      </c>
      <c r="V151" s="86">
        <f t="shared" si="59"/>
        <v/>
      </c>
      <c r="W151" s="87">
        <f t="shared" si="48"/>
      </c>
      <c r="X151" s="88"/>
      <c r="Y151" s="88"/>
      <c r="Z151" s="88"/>
      <c r="AA151" s="88"/>
      <c r="AB151" s="88"/>
      <c r="AD151" s="86">
        <f t="shared" si="49"/>
      </c>
      <c r="AE151" s="86">
        <f t="shared" si="50"/>
      </c>
      <c r="AG151" s="86">
        <f t="shared" si="51"/>
      </c>
      <c r="AH151" s="86">
        <f t="shared" si="52"/>
      </c>
      <c r="AI151" s="86">
        <f t="shared" si="53"/>
      </c>
    </row>
    <row r="152" spans="6:35" x14ac:dyDescent="0.3">
      <c r="F152" s="26">
        <f>IF(G152=1,MAX($F$4:F151)+1,"")</f>
        <v/>
      </c>
      <c r="G152" s="26">
        <f>COUNTIF($H$5:H152,H152)</f>
      </c>
      <c r="H152" s="26">
        <f t="shared" si="54"/>
      </c>
      <c r="I152" s="26">
        <f>COUNTIF($J$4:$J152,1)</f>
      </c>
      <c r="J152" s="26">
        <f>COUNTIF($S$5:$S152,S152)</f>
      </c>
      <c r="K152" s="26">
        <f t="shared" si="43"/>
      </c>
      <c r="L152" s="26">
        <f>IFERROR(IF(P152=0,0,MAX($L$4:L151)+1),0)</f>
      </c>
      <c r="M152" s="5">
        <f t="shared" si="55"/>
      </c>
      <c r="N152" s="5">
        <f t="shared" si="56"/>
      </c>
      <c r="P152" s="86">
        <f t="shared" si="44"/>
      </c>
      <c r="Q152" s="86">
        <f t="shared" si="45"/>
      </c>
      <c r="R152" s="86">
        <f t="shared" si="46"/>
      </c>
      <c r="S152" s="86">
        <f t="shared" si="47"/>
      </c>
      <c r="T152" s="86">
        <f t="shared" si="57"/>
        <v/>
      </c>
      <c r="U152" s="86">
        <f t="shared" si="58"/>
        <v/>
      </c>
      <c r="V152" s="86">
        <f t="shared" si="59"/>
        <v/>
      </c>
      <c r="W152" s="87">
        <f t="shared" si="48"/>
      </c>
      <c r="X152" s="88"/>
      <c r="Y152" s="88"/>
      <c r="Z152" s="88"/>
      <c r="AA152" s="88"/>
      <c r="AB152" s="88"/>
      <c r="AD152" s="86">
        <f t="shared" si="49"/>
      </c>
      <c r="AE152" s="86">
        <f t="shared" si="50"/>
      </c>
      <c r="AG152" s="86">
        <f t="shared" si="51"/>
      </c>
      <c r="AH152" s="86">
        <f t="shared" si="52"/>
      </c>
      <c r="AI152" s="86">
        <f t="shared" si="53"/>
      </c>
    </row>
    <row r="153" spans="6:35" x14ac:dyDescent="0.3">
      <c r="F153" s="26">
        <f>IF(G153=1,MAX($F$4:F152)+1,"")</f>
        <v/>
      </c>
      <c r="G153" s="26">
        <f>COUNTIF($H$5:H153,H153)</f>
      </c>
      <c r="H153" s="26">
        <f t="shared" si="54"/>
      </c>
      <c r="I153" s="26">
        <f>COUNTIF($J$4:$J153,1)</f>
      </c>
      <c r="J153" s="26">
        <f>COUNTIF($S$5:$S153,S153)</f>
      </c>
      <c r="K153" s="26">
        <f t="shared" si="43"/>
      </c>
      <c r="L153" s="26">
        <f>IFERROR(IF(P153=0,0,MAX($L$4:L152)+1),0)</f>
      </c>
      <c r="M153" s="5">
        <f t="shared" si="55"/>
      </c>
      <c r="N153" s="5">
        <f t="shared" si="56"/>
      </c>
      <c r="P153" s="86">
        <f t="shared" si="44"/>
      </c>
      <c r="Q153" s="86">
        <f t="shared" si="45"/>
      </c>
      <c r="R153" s="86">
        <f t="shared" si="46"/>
      </c>
      <c r="S153" s="86">
        <f t="shared" si="47"/>
      </c>
      <c r="T153" s="86">
        <f t="shared" si="57"/>
        <v/>
      </c>
      <c r="U153" s="86">
        <f t="shared" si="58"/>
        <v/>
      </c>
      <c r="V153" s="86">
        <f t="shared" si="59"/>
        <v/>
      </c>
      <c r="W153" s="87">
        <f t="shared" si="48"/>
      </c>
      <c r="X153" s="88"/>
      <c r="Y153" s="88"/>
      <c r="Z153" s="88"/>
      <c r="AA153" s="88"/>
      <c r="AB153" s="88"/>
      <c r="AD153" s="86">
        <f t="shared" si="49"/>
      </c>
      <c r="AE153" s="86">
        <f t="shared" si="50"/>
      </c>
      <c r="AG153" s="86">
        <f t="shared" si="51"/>
      </c>
      <c r="AH153" s="86">
        <f t="shared" si="52"/>
      </c>
      <c r="AI153" s="86">
        <f t="shared" si="53"/>
      </c>
    </row>
    <row r="154" spans="6:35" x14ac:dyDescent="0.3">
      <c r="F154" s="26">
        <f>IF(G154=1,MAX($F$4:F153)+1,"")</f>
        <v/>
      </c>
      <c r="G154" s="26">
        <f>COUNTIF($H$5:H154,H154)</f>
      </c>
      <c r="H154" s="26">
        <f t="shared" si="54"/>
      </c>
      <c r="I154" s="26">
        <f>COUNTIF($J$4:$J154,1)</f>
      </c>
      <c r="J154" s="26">
        <f>COUNTIF($S$5:$S154,S154)</f>
      </c>
      <c r="K154" s="26">
        <f t="shared" si="43"/>
      </c>
      <c r="L154" s="26">
        <f>IFERROR(IF(P154=0,0,MAX($L$4:L153)+1),0)</f>
      </c>
      <c r="M154" s="5">
        <f t="shared" si="55"/>
      </c>
      <c r="N154" s="5">
        <f t="shared" si="56"/>
      </c>
      <c r="P154" s="86">
        <f t="shared" si="44"/>
      </c>
      <c r="Q154" s="86">
        <f t="shared" si="45"/>
      </c>
      <c r="R154" s="86">
        <f t="shared" si="46"/>
      </c>
      <c r="S154" s="86">
        <f t="shared" si="47"/>
      </c>
      <c r="T154" s="86">
        <f t="shared" si="57"/>
        <v/>
      </c>
      <c r="U154" s="86">
        <f t="shared" si="58"/>
        <v/>
      </c>
      <c r="V154" s="86">
        <f t="shared" si="59"/>
        <v/>
      </c>
      <c r="W154" s="87">
        <f t="shared" si="48"/>
      </c>
      <c r="X154" s="88"/>
      <c r="Y154" s="88"/>
      <c r="Z154" s="88"/>
      <c r="AA154" s="88"/>
      <c r="AB154" s="88"/>
      <c r="AD154" s="86">
        <f t="shared" si="49"/>
      </c>
      <c r="AE154" s="86">
        <f t="shared" si="50"/>
      </c>
      <c r="AG154" s="86">
        <f t="shared" si="51"/>
      </c>
      <c r="AH154" s="86">
        <f t="shared" si="52"/>
      </c>
      <c r="AI154" s="86">
        <f t="shared" si="53"/>
      </c>
    </row>
    <row r="155" spans="6:35" x14ac:dyDescent="0.3">
      <c r="F155" s="26">
        <f>IF(G155=1,MAX($F$4:F154)+1,"")</f>
        <v/>
      </c>
      <c r="G155" s="26">
        <f>COUNTIF($H$5:H155,H155)</f>
      </c>
      <c r="H155" s="26">
        <f t="shared" si="54"/>
      </c>
      <c r="I155" s="26">
        <f>COUNTIF($J$4:$J155,1)</f>
      </c>
      <c r="J155" s="26">
        <f>COUNTIF($S$5:$S155,S155)</f>
      </c>
      <c r="K155" s="26">
        <f t="shared" si="43"/>
      </c>
      <c r="L155" s="26">
        <f>IFERROR(IF(P155=0,0,MAX($L$4:L154)+1),0)</f>
      </c>
      <c r="M155" s="5">
        <f t="shared" si="55"/>
      </c>
      <c r="N155" s="5">
        <f t="shared" si="56"/>
      </c>
      <c r="P155" s="86">
        <f t="shared" si="44"/>
      </c>
      <c r="Q155" s="86">
        <f t="shared" si="45"/>
      </c>
      <c r="R155" s="86">
        <f t="shared" si="46"/>
      </c>
      <c r="S155" s="86">
        <f t="shared" si="47"/>
      </c>
      <c r="T155" s="86">
        <f t="shared" si="57"/>
        <v/>
      </c>
      <c r="U155" s="86">
        <f t="shared" si="58"/>
        <v/>
      </c>
      <c r="V155" s="86">
        <f t="shared" si="59"/>
        <v/>
      </c>
      <c r="W155" s="87">
        <f t="shared" si="48"/>
      </c>
      <c r="X155" s="88"/>
      <c r="Y155" s="88"/>
      <c r="Z155" s="88"/>
      <c r="AA155" s="88"/>
      <c r="AB155" s="88"/>
      <c r="AD155" s="86">
        <f t="shared" si="49"/>
      </c>
      <c r="AE155" s="86">
        <f t="shared" si="50"/>
      </c>
      <c r="AG155" s="86">
        <f t="shared" si="51"/>
      </c>
      <c r="AH155" s="86">
        <f t="shared" si="52"/>
      </c>
      <c r="AI155" s="86">
        <f t="shared" si="53"/>
      </c>
    </row>
    <row r="156" spans="6:35" x14ac:dyDescent="0.3">
      <c r="F156" s="26">
        <f>IF(G156=1,MAX($F$4:F155)+1,"")</f>
        <v/>
      </c>
      <c r="G156" s="26">
        <f>COUNTIF($H$5:H156,H156)</f>
      </c>
      <c r="H156" s="26">
        <f t="shared" si="54"/>
      </c>
      <c r="I156" s="26">
        <f>COUNTIF($J$4:$J156,1)</f>
      </c>
      <c r="J156" s="26">
        <f>COUNTIF($S$5:$S156,S156)</f>
      </c>
      <c r="K156" s="26">
        <f t="shared" si="43"/>
      </c>
      <c r="L156" s="26">
        <f>IFERROR(IF(P156=0,0,MAX($L$4:L155)+1),0)</f>
      </c>
      <c r="M156" s="5">
        <f t="shared" si="55"/>
      </c>
      <c r="N156" s="5">
        <f t="shared" si="56"/>
      </c>
      <c r="P156" s="86">
        <f t="shared" si="44"/>
      </c>
      <c r="Q156" s="86">
        <f t="shared" si="45"/>
      </c>
      <c r="R156" s="86">
        <f t="shared" si="46"/>
      </c>
      <c r="S156" s="86">
        <f t="shared" si="47"/>
      </c>
      <c r="T156" s="86">
        <f t="shared" si="57"/>
        <v/>
      </c>
      <c r="U156" s="86">
        <f t="shared" si="58"/>
        <v/>
      </c>
      <c r="V156" s="86">
        <f t="shared" si="59"/>
        <v/>
      </c>
      <c r="W156" s="87">
        <f t="shared" si="48"/>
      </c>
      <c r="X156" s="88"/>
      <c r="Y156" s="88"/>
      <c r="Z156" s="88"/>
      <c r="AA156" s="88"/>
      <c r="AB156" s="88"/>
      <c r="AD156" s="86">
        <f t="shared" si="49"/>
      </c>
      <c r="AE156" s="86">
        <f t="shared" si="50"/>
      </c>
      <c r="AG156" s="86">
        <f t="shared" si="51"/>
      </c>
      <c r="AH156" s="86">
        <f t="shared" si="52"/>
      </c>
      <c r="AI156" s="86">
        <f t="shared" si="53"/>
      </c>
    </row>
    <row r="157" spans="6:35" x14ac:dyDescent="0.3">
      <c r="F157" s="26">
        <f>IF(G157=1,MAX($F$4:F156)+1,"")</f>
        <v/>
      </c>
      <c r="G157" s="26">
        <f>COUNTIF($H$5:H157,H157)</f>
      </c>
      <c r="H157" s="26">
        <f t="shared" si="54"/>
      </c>
      <c r="I157" s="26">
        <f>COUNTIF($J$4:$J157,1)</f>
      </c>
      <c r="J157" s="26">
        <f>COUNTIF($S$5:$S157,S157)</f>
      </c>
      <c r="K157" s="26">
        <f t="shared" si="43"/>
      </c>
      <c r="L157" s="26">
        <f>IFERROR(IF(P157=0,0,MAX($L$4:L156)+1),0)</f>
      </c>
      <c r="M157" s="5">
        <f t="shared" si="55"/>
      </c>
      <c r="N157" s="5">
        <f t="shared" si="56"/>
      </c>
      <c r="P157" s="86">
        <f t="shared" si="44"/>
      </c>
      <c r="Q157" s="86">
        <f t="shared" si="45"/>
      </c>
      <c r="R157" s="86">
        <f t="shared" si="46"/>
      </c>
      <c r="S157" s="86">
        <f t="shared" si="47"/>
      </c>
      <c r="T157" s="86">
        <f t="shared" si="57"/>
        <v/>
      </c>
      <c r="U157" s="86">
        <f t="shared" si="58"/>
        <v/>
      </c>
      <c r="V157" s="86">
        <f t="shared" si="59"/>
        <v/>
      </c>
      <c r="W157" s="87">
        <f t="shared" si="48"/>
      </c>
      <c r="X157" s="88"/>
      <c r="Y157" s="88"/>
      <c r="Z157" s="88"/>
      <c r="AA157" s="88"/>
      <c r="AB157" s="88"/>
      <c r="AD157" s="86">
        <f t="shared" si="49"/>
      </c>
      <c r="AE157" s="86">
        <f t="shared" si="50"/>
      </c>
      <c r="AG157" s="86">
        <f t="shared" si="51"/>
      </c>
      <c r="AH157" s="86">
        <f t="shared" si="52"/>
      </c>
      <c r="AI157" s="86">
        <f t="shared" si="53"/>
      </c>
    </row>
    <row r="158" spans="6:35" x14ac:dyDescent="0.3">
      <c r="F158" s="26">
        <f>IF(G158=1,MAX($F$4:F157)+1,"")</f>
        <v/>
      </c>
      <c r="G158" s="26">
        <f>COUNTIF($H$5:H158,H158)</f>
      </c>
      <c r="H158" s="26">
        <f t="shared" si="54"/>
      </c>
      <c r="I158" s="26">
        <f>COUNTIF($J$4:$J158,1)</f>
      </c>
      <c r="J158" s="26">
        <f>COUNTIF($S$5:$S158,S158)</f>
      </c>
      <c r="K158" s="26">
        <f t="shared" si="43"/>
      </c>
      <c r="L158" s="26">
        <f>IFERROR(IF(P158=0,0,MAX($L$4:L157)+1),0)</f>
      </c>
      <c r="M158" s="5">
        <f t="shared" si="55"/>
      </c>
      <c r="N158" s="5">
        <f t="shared" si="56"/>
      </c>
      <c r="P158" s="86">
        <f t="shared" si="44"/>
      </c>
      <c r="Q158" s="86">
        <f t="shared" si="45"/>
      </c>
      <c r="R158" s="86">
        <f t="shared" si="46"/>
      </c>
      <c r="S158" s="86">
        <f t="shared" si="47"/>
      </c>
      <c r="T158" s="86">
        <f t="shared" si="57"/>
        <v/>
      </c>
      <c r="U158" s="86">
        <f t="shared" si="58"/>
        <v/>
      </c>
      <c r="V158" s="86">
        <f t="shared" si="59"/>
        <v/>
      </c>
      <c r="W158" s="87">
        <f t="shared" si="48"/>
      </c>
      <c r="X158" s="88"/>
      <c r="Y158" s="88"/>
      <c r="Z158" s="88"/>
      <c r="AA158" s="88"/>
      <c r="AB158" s="88"/>
      <c r="AD158" s="86">
        <f t="shared" si="49"/>
      </c>
      <c r="AE158" s="86">
        <f t="shared" si="50"/>
      </c>
      <c r="AG158" s="86">
        <f t="shared" si="51"/>
      </c>
      <c r="AH158" s="86">
        <f t="shared" si="52"/>
      </c>
      <c r="AI158" s="86">
        <f t="shared" si="53"/>
      </c>
    </row>
    <row r="159" spans="6:35" x14ac:dyDescent="0.3">
      <c r="F159" s="26">
        <f>IF(G159=1,MAX($F$4:F158)+1,"")</f>
        <v/>
      </c>
      <c r="G159" s="26">
        <f>COUNTIF($H$5:H159,H159)</f>
      </c>
      <c r="H159" s="26">
        <f t="shared" si="54"/>
      </c>
      <c r="I159" s="26">
        <f>COUNTIF($J$4:$J159,1)</f>
      </c>
      <c r="J159" s="26">
        <f>COUNTIF($S$5:$S159,S159)</f>
      </c>
      <c r="K159" s="26">
        <f t="shared" si="43"/>
      </c>
      <c r="L159" s="26">
        <f>IFERROR(IF(P159=0,0,MAX($L$4:L158)+1),0)</f>
      </c>
      <c r="M159" s="5">
        <f t="shared" si="55"/>
      </c>
      <c r="N159" s="5">
        <f t="shared" si="56"/>
      </c>
      <c r="P159" s="86">
        <f t="shared" si="44"/>
      </c>
      <c r="Q159" s="86">
        <f t="shared" si="45"/>
      </c>
      <c r="R159" s="86">
        <f t="shared" si="46"/>
      </c>
      <c r="S159" s="86">
        <f t="shared" si="47"/>
      </c>
      <c r="T159" s="86">
        <f t="shared" si="57"/>
        <v/>
      </c>
      <c r="U159" s="86">
        <f t="shared" si="58"/>
        <v/>
      </c>
      <c r="V159" s="86">
        <f t="shared" si="59"/>
        <v/>
      </c>
      <c r="W159" s="87">
        <f t="shared" si="48"/>
      </c>
      <c r="X159" s="88"/>
      <c r="Y159" s="88"/>
      <c r="Z159" s="88"/>
      <c r="AA159" s="88"/>
      <c r="AB159" s="88"/>
      <c r="AD159" s="86">
        <f t="shared" si="49"/>
      </c>
      <c r="AE159" s="86">
        <f t="shared" si="50"/>
      </c>
      <c r="AG159" s="86">
        <f t="shared" si="51"/>
      </c>
      <c r="AH159" s="86">
        <f t="shared" si="52"/>
      </c>
      <c r="AI159" s="86">
        <f t="shared" si="53"/>
      </c>
    </row>
    <row r="160" spans="6:35" x14ac:dyDescent="0.3">
      <c r="F160" s="26">
        <f>IF(G160=1,MAX($F$4:F159)+1,"")</f>
        <v/>
      </c>
      <c r="G160" s="26">
        <f>COUNTIF($H$5:H160,H160)</f>
      </c>
      <c r="H160" s="26">
        <f t="shared" si="54"/>
      </c>
      <c r="I160" s="26">
        <f>COUNTIF($J$4:$J160,1)</f>
      </c>
      <c r="J160" s="26">
        <f>COUNTIF($S$5:$S160,S160)</f>
      </c>
      <c r="K160" s="26">
        <f t="shared" si="43"/>
      </c>
      <c r="L160" s="26">
        <f>IFERROR(IF(P160=0,0,MAX($L$4:L159)+1),0)</f>
      </c>
      <c r="M160" s="5">
        <f t="shared" si="55"/>
      </c>
      <c r="N160" s="5">
        <f t="shared" si="56"/>
      </c>
      <c r="P160" s="86">
        <f t="shared" si="44"/>
      </c>
      <c r="Q160" s="86">
        <f t="shared" si="45"/>
      </c>
      <c r="R160" s="86">
        <f t="shared" si="46"/>
      </c>
      <c r="S160" s="86">
        <f t="shared" si="47"/>
      </c>
      <c r="T160" s="86">
        <f t="shared" si="57"/>
        <v/>
      </c>
      <c r="U160" s="86">
        <f t="shared" si="58"/>
        <v/>
      </c>
      <c r="V160" s="86">
        <f t="shared" si="59"/>
        <v/>
      </c>
      <c r="W160" s="87">
        <f t="shared" si="48"/>
      </c>
      <c r="X160" s="88"/>
      <c r="Y160" s="88"/>
      <c r="Z160" s="88"/>
      <c r="AA160" s="88"/>
      <c r="AB160" s="88"/>
      <c r="AD160" s="86">
        <f t="shared" si="49"/>
      </c>
      <c r="AE160" s="86">
        <f t="shared" si="50"/>
      </c>
      <c r="AG160" s="86">
        <f t="shared" si="51"/>
      </c>
      <c r="AH160" s="86">
        <f t="shared" si="52"/>
      </c>
      <c r="AI160" s="86">
        <f t="shared" si="53"/>
      </c>
    </row>
    <row r="161" spans="6:35" x14ac:dyDescent="0.3">
      <c r="F161" s="26">
        <f>IF(G161=1,MAX($F$4:F160)+1,"")</f>
        <v/>
      </c>
      <c r="G161" s="26">
        <f>COUNTIF($H$5:H161,H161)</f>
      </c>
      <c r="H161" s="26">
        <f t="shared" si="54"/>
      </c>
      <c r="I161" s="26">
        <f>COUNTIF($J$4:$J161,1)</f>
      </c>
      <c r="J161" s="26">
        <f>COUNTIF($S$5:$S161,S161)</f>
      </c>
      <c r="K161" s="26">
        <f t="shared" si="43"/>
      </c>
      <c r="L161" s="26">
        <f>IFERROR(IF(P161=0,0,MAX($L$4:L160)+1),0)</f>
      </c>
      <c r="M161" s="5">
        <f t="shared" si="55"/>
      </c>
      <c r="N161" s="5">
        <f t="shared" si="56"/>
      </c>
      <c r="P161" s="86">
        <f t="shared" si="44"/>
      </c>
      <c r="Q161" s="86">
        <f t="shared" si="45"/>
      </c>
      <c r="R161" s="86">
        <f t="shared" si="46"/>
      </c>
      <c r="S161" s="86">
        <f t="shared" si="47"/>
      </c>
      <c r="T161" s="86">
        <f t="shared" si="57"/>
        <v/>
      </c>
      <c r="U161" s="86">
        <f t="shared" si="58"/>
        <v/>
      </c>
      <c r="V161" s="86">
        <f t="shared" si="59"/>
        <v/>
      </c>
      <c r="W161" s="87">
        <f t="shared" si="48"/>
      </c>
      <c r="X161" s="88"/>
      <c r="Y161" s="88"/>
      <c r="Z161" s="88"/>
      <c r="AA161" s="88"/>
      <c r="AB161" s="88"/>
      <c r="AD161" s="86">
        <f t="shared" si="49"/>
      </c>
      <c r="AE161" s="86">
        <f t="shared" si="50"/>
      </c>
      <c r="AG161" s="86">
        <f t="shared" si="51"/>
      </c>
      <c r="AH161" s="86">
        <f t="shared" si="52"/>
      </c>
      <c r="AI161" s="86">
        <f t="shared" si="53"/>
      </c>
    </row>
    <row r="162" spans="6:35" x14ac:dyDescent="0.3">
      <c r="F162" s="26">
        <f>IF(G162=1,MAX($F$4:F161)+1,"")</f>
        <v/>
      </c>
      <c r="G162" s="26">
        <f>COUNTIF($H$5:H162,H162)</f>
      </c>
      <c r="H162" s="26">
        <f t="shared" si="54"/>
      </c>
      <c r="I162" s="26">
        <f>COUNTIF($J$4:$J162,1)</f>
      </c>
      <c r="J162" s="26">
        <f>COUNTIF($S$5:$S162,S162)</f>
      </c>
      <c r="K162" s="26">
        <f t="shared" si="43"/>
      </c>
      <c r="L162" s="26">
        <f>IFERROR(IF(P162=0,0,MAX($L$4:L161)+1),0)</f>
      </c>
      <c r="M162" s="5">
        <f t="shared" si="55"/>
      </c>
      <c r="N162" s="5">
        <f t="shared" si="56"/>
      </c>
      <c r="P162" s="86">
        <f t="shared" si="44"/>
      </c>
      <c r="Q162" s="86">
        <f t="shared" si="45"/>
      </c>
      <c r="R162" s="86">
        <f t="shared" si="46"/>
      </c>
      <c r="S162" s="86">
        <f t="shared" si="47"/>
      </c>
      <c r="T162" s="86">
        <f t="shared" si="57"/>
        <v/>
      </c>
      <c r="U162" s="86">
        <f t="shared" si="58"/>
        <v/>
      </c>
      <c r="V162" s="86">
        <f t="shared" si="59"/>
        <v/>
      </c>
      <c r="W162" s="87">
        <f t="shared" si="48"/>
      </c>
      <c r="X162" s="88"/>
      <c r="Y162" s="88"/>
      <c r="Z162" s="88"/>
      <c r="AA162" s="88"/>
      <c r="AB162" s="88"/>
      <c r="AD162" s="86">
        <f t="shared" si="49"/>
      </c>
      <c r="AE162" s="86">
        <f t="shared" si="50"/>
      </c>
      <c r="AG162" s="86">
        <f t="shared" si="51"/>
      </c>
      <c r="AH162" s="86">
        <f t="shared" si="52"/>
      </c>
      <c r="AI162" s="86">
        <f t="shared" si="53"/>
      </c>
    </row>
    <row r="163" spans="6:35" x14ac:dyDescent="0.3">
      <c r="F163" s="26">
        <f>IF(G163=1,MAX($F$4:F162)+1,"")</f>
        <v/>
      </c>
      <c r="G163" s="26">
        <f>COUNTIF($H$5:H163,H163)</f>
      </c>
      <c r="H163" s="26">
        <f t="shared" si="54"/>
      </c>
      <c r="I163" s="26">
        <f>COUNTIF($J$4:$J163,1)</f>
      </c>
      <c r="J163" s="26">
        <f>COUNTIF($S$5:$S163,S163)</f>
      </c>
      <c r="K163" s="26">
        <f t="shared" si="43"/>
      </c>
      <c r="L163" s="26">
        <f>IFERROR(IF(P163=0,0,MAX($L$4:L162)+1),0)</f>
      </c>
      <c r="M163" s="5">
        <f t="shared" si="55"/>
      </c>
      <c r="N163" s="5">
        <f t="shared" si="56"/>
      </c>
      <c r="P163" s="86">
        <f t="shared" si="44"/>
      </c>
      <c r="Q163" s="86">
        <f t="shared" si="45"/>
      </c>
      <c r="R163" s="86">
        <f t="shared" si="46"/>
      </c>
      <c r="S163" s="86">
        <f t="shared" si="47"/>
      </c>
      <c r="T163" s="86">
        <f t="shared" si="57"/>
        <v/>
      </c>
      <c r="U163" s="86">
        <f t="shared" si="58"/>
        <v/>
      </c>
      <c r="V163" s="86">
        <f t="shared" si="59"/>
        <v/>
      </c>
      <c r="W163" s="87">
        <f t="shared" si="48"/>
      </c>
      <c r="X163" s="88"/>
      <c r="Y163" s="88"/>
      <c r="Z163" s="88"/>
      <c r="AA163" s="88"/>
      <c r="AB163" s="88"/>
      <c r="AD163" s="86">
        <f t="shared" si="49"/>
      </c>
      <c r="AE163" s="86">
        <f t="shared" si="50"/>
      </c>
      <c r="AG163" s="86">
        <f t="shared" si="51"/>
      </c>
      <c r="AH163" s="86">
        <f t="shared" si="52"/>
      </c>
      <c r="AI163" s="86">
        <f t="shared" si="53"/>
      </c>
    </row>
    <row r="164" spans="6:35" x14ac:dyDescent="0.3">
      <c r="F164" s="26">
        <f>IF(G164=1,MAX($F$4:F163)+1,"")</f>
        <v/>
      </c>
      <c r="G164" s="26">
        <f>COUNTIF($H$5:H164,H164)</f>
      </c>
      <c r="H164" s="26">
        <f t="shared" si="54"/>
      </c>
      <c r="I164" s="26">
        <f>COUNTIF($J$4:$J164,1)</f>
      </c>
      <c r="J164" s="26">
        <f>COUNTIF($S$5:$S164,S164)</f>
      </c>
      <c r="K164" s="26">
        <f t="shared" si="43"/>
      </c>
      <c r="L164" s="26">
        <f>IFERROR(IF(P164=0,0,MAX($L$4:L163)+1),0)</f>
      </c>
      <c r="M164" s="5">
        <f t="shared" si="55"/>
      </c>
      <c r="N164" s="5">
        <f t="shared" si="56"/>
      </c>
      <c r="P164" s="86">
        <f t="shared" si="44"/>
      </c>
      <c r="Q164" s="86">
        <f t="shared" si="45"/>
      </c>
      <c r="R164" s="86">
        <f t="shared" si="46"/>
      </c>
      <c r="S164" s="86">
        <f t="shared" si="47"/>
      </c>
      <c r="T164" s="86">
        <f t="shared" si="57"/>
        <v/>
      </c>
      <c r="U164" s="86">
        <f t="shared" si="58"/>
        <v/>
      </c>
      <c r="V164" s="86">
        <f t="shared" si="59"/>
        <v/>
      </c>
      <c r="W164" s="87">
        <f t="shared" si="48"/>
      </c>
      <c r="X164" s="88"/>
      <c r="Y164" s="88"/>
      <c r="Z164" s="88"/>
      <c r="AA164" s="88"/>
      <c r="AB164" s="88"/>
      <c r="AD164" s="86">
        <f t="shared" si="49"/>
      </c>
      <c r="AE164" s="86">
        <f t="shared" si="50"/>
      </c>
      <c r="AG164" s="86">
        <f t="shared" si="51"/>
      </c>
      <c r="AH164" s="86">
        <f t="shared" si="52"/>
      </c>
      <c r="AI164" s="86">
        <f t="shared" si="53"/>
      </c>
    </row>
    <row r="165" spans="6:35" x14ac:dyDescent="0.3">
      <c r="F165" s="26">
        <f>IF(G165=1,MAX($F$4:F164)+1,"")</f>
        <v/>
      </c>
      <c r="G165" s="26">
        <f>COUNTIF($H$5:H165,H165)</f>
      </c>
      <c r="H165" s="26">
        <f t="shared" si="54"/>
      </c>
      <c r="I165" s="26">
        <f>COUNTIF($J$4:$J165,1)</f>
      </c>
      <c r="J165" s="26">
        <f>COUNTIF($S$5:$S165,S165)</f>
      </c>
      <c r="K165" s="26">
        <f t="shared" si="43"/>
      </c>
      <c r="L165" s="26">
        <f>IFERROR(IF(P165=0,0,MAX($L$4:L164)+1),0)</f>
      </c>
      <c r="M165" s="5">
        <f t="shared" si="55"/>
      </c>
      <c r="N165" s="5">
        <f t="shared" si="56"/>
      </c>
      <c r="P165" s="86">
        <f t="shared" si="44"/>
      </c>
      <c r="Q165" s="86">
        <f t="shared" si="45"/>
      </c>
      <c r="R165" s="86">
        <f t="shared" si="46"/>
      </c>
      <c r="S165" s="86">
        <f t="shared" si="47"/>
      </c>
      <c r="T165" s="86">
        <f t="shared" si="57"/>
        <v/>
      </c>
      <c r="U165" s="86">
        <f t="shared" si="58"/>
        <v/>
      </c>
      <c r="V165" s="86">
        <f t="shared" si="59"/>
        <v/>
      </c>
      <c r="W165" s="87">
        <f t="shared" si="48"/>
      </c>
      <c r="X165" s="88"/>
      <c r="Y165" s="88"/>
      <c r="Z165" s="88"/>
      <c r="AA165" s="88"/>
      <c r="AB165" s="88"/>
      <c r="AD165" s="86">
        <f t="shared" si="49"/>
      </c>
      <c r="AE165" s="86">
        <f t="shared" si="50"/>
      </c>
      <c r="AG165" s="86">
        <f t="shared" si="51"/>
      </c>
      <c r="AH165" s="86">
        <f t="shared" si="52"/>
      </c>
      <c r="AI165" s="86">
        <f t="shared" si="53"/>
      </c>
    </row>
    <row r="166" spans="6:35" x14ac:dyDescent="0.3">
      <c r="F166" s="26">
        <f>IF(G166=1,MAX($F$4:F165)+1,"")</f>
        <v/>
      </c>
      <c r="G166" s="26">
        <f>COUNTIF($H$5:H166,H166)</f>
      </c>
      <c r="H166" s="26">
        <f t="shared" si="54"/>
      </c>
      <c r="I166" s="26">
        <f>COUNTIF($J$4:$J166,1)</f>
      </c>
      <c r="J166" s="26">
        <f>COUNTIF($S$5:$S166,S166)</f>
      </c>
      <c r="K166" s="26">
        <f t="shared" si="43"/>
      </c>
      <c r="L166" s="26">
        <f>IFERROR(IF(P166=0,0,MAX($L$4:L165)+1),0)</f>
      </c>
      <c r="M166" s="5">
        <f t="shared" si="55"/>
      </c>
      <c r="N166" s="5">
        <f t="shared" si="56"/>
      </c>
      <c r="P166" s="86">
        <f t="shared" si="44"/>
      </c>
      <c r="Q166" s="86">
        <f t="shared" si="45"/>
      </c>
      <c r="R166" s="86">
        <f t="shared" si="46"/>
      </c>
      <c r="S166" s="86">
        <f t="shared" si="47"/>
      </c>
      <c r="T166" s="86">
        <f t="shared" si="57"/>
        <v/>
      </c>
      <c r="U166" s="86">
        <f t="shared" si="58"/>
        <v/>
      </c>
      <c r="V166" s="86">
        <f t="shared" si="59"/>
        <v/>
      </c>
      <c r="W166" s="87">
        <f t="shared" si="48"/>
      </c>
      <c r="X166" s="88"/>
      <c r="Y166" s="88"/>
      <c r="Z166" s="88"/>
      <c r="AA166" s="88"/>
      <c r="AB166" s="88"/>
      <c r="AD166" s="86">
        <f t="shared" si="49"/>
      </c>
      <c r="AE166" s="86">
        <f t="shared" si="50"/>
      </c>
      <c r="AG166" s="86">
        <f t="shared" si="51"/>
      </c>
      <c r="AH166" s="86">
        <f t="shared" si="52"/>
      </c>
      <c r="AI166" s="86">
        <f t="shared" si="53"/>
      </c>
    </row>
    <row r="167" spans="6:35" x14ac:dyDescent="0.3">
      <c r="F167" s="26">
        <f>IF(G167=1,MAX($F$4:F166)+1,"")</f>
        <v/>
      </c>
      <c r="G167" s="26">
        <f>COUNTIF($H$5:H167,H167)</f>
      </c>
      <c r="H167" s="26">
        <f t="shared" si="54"/>
      </c>
      <c r="I167" s="26">
        <f>COUNTIF($J$4:$J167,1)</f>
      </c>
      <c r="J167" s="26">
        <f>COUNTIF($S$5:$S167,S167)</f>
      </c>
      <c r="K167" s="26">
        <f t="shared" si="43"/>
      </c>
      <c r="L167" s="26">
        <f>IFERROR(IF(P167=0,0,MAX($L$4:L166)+1),0)</f>
      </c>
      <c r="M167" s="5">
        <f t="shared" si="55"/>
      </c>
      <c r="N167" s="5">
        <f t="shared" si="56"/>
      </c>
      <c r="P167" s="86">
        <f t="shared" si="44"/>
      </c>
      <c r="Q167" s="86">
        <f t="shared" si="45"/>
      </c>
      <c r="R167" s="86">
        <f t="shared" si="46"/>
      </c>
      <c r="S167" s="86">
        <f t="shared" si="47"/>
      </c>
      <c r="T167" s="86">
        <f t="shared" si="57"/>
        <v/>
      </c>
      <c r="U167" s="86">
        <f t="shared" si="58"/>
        <v/>
      </c>
      <c r="V167" s="86">
        <f t="shared" si="59"/>
        <v/>
      </c>
      <c r="W167" s="87">
        <f t="shared" si="48"/>
      </c>
      <c r="X167" s="88"/>
      <c r="Y167" s="88"/>
      <c r="Z167" s="88"/>
      <c r="AA167" s="88"/>
      <c r="AB167" s="88"/>
      <c r="AD167" s="86">
        <f t="shared" si="49"/>
      </c>
      <c r="AE167" s="86">
        <f t="shared" si="50"/>
      </c>
      <c r="AG167" s="86">
        <f t="shared" si="51"/>
      </c>
      <c r="AH167" s="86">
        <f t="shared" si="52"/>
      </c>
      <c r="AI167" s="86">
        <f t="shared" si="53"/>
      </c>
    </row>
    <row r="168" spans="6:35" x14ac:dyDescent="0.3">
      <c r="F168" s="26">
        <f>IF(G168=1,MAX($F$4:F167)+1,"")</f>
        <v/>
      </c>
      <c r="G168" s="26">
        <f>COUNTIF($H$5:H168,H168)</f>
      </c>
      <c r="H168" s="26">
        <f t="shared" si="54"/>
      </c>
      <c r="I168" s="26">
        <f>COUNTIF($J$4:$J168,1)</f>
      </c>
      <c r="J168" s="26">
        <f>COUNTIF($S$5:$S168,S168)</f>
      </c>
      <c r="K168" s="26">
        <f t="shared" si="43"/>
      </c>
      <c r="L168" s="26">
        <f>IFERROR(IF(P168=0,0,MAX($L$4:L167)+1),0)</f>
      </c>
      <c r="M168" s="5">
        <f t="shared" si="55"/>
      </c>
      <c r="N168" s="5">
        <f t="shared" si="56"/>
      </c>
      <c r="P168" s="86">
        <f t="shared" si="44"/>
      </c>
      <c r="Q168" s="86">
        <f t="shared" si="45"/>
      </c>
      <c r="R168" s="86">
        <f t="shared" si="46"/>
      </c>
      <c r="S168" s="86">
        <f t="shared" si="47"/>
      </c>
      <c r="T168" s="86">
        <f t="shared" si="57"/>
        <v/>
      </c>
      <c r="U168" s="86">
        <f t="shared" si="58"/>
        <v/>
      </c>
      <c r="V168" s="86">
        <f t="shared" si="59"/>
        <v/>
      </c>
      <c r="W168" s="87">
        <f t="shared" si="48"/>
      </c>
      <c r="X168" s="88"/>
      <c r="Y168" s="88"/>
      <c r="Z168" s="88"/>
      <c r="AA168" s="88"/>
      <c r="AB168" s="88"/>
      <c r="AD168" s="86">
        <f t="shared" si="49"/>
      </c>
      <c r="AE168" s="86">
        <f t="shared" si="50"/>
      </c>
      <c r="AG168" s="86">
        <f t="shared" si="51"/>
      </c>
      <c r="AH168" s="86">
        <f t="shared" si="52"/>
      </c>
      <c r="AI168" s="86">
        <f t="shared" si="53"/>
      </c>
    </row>
    <row r="169" spans="6:35" x14ac:dyDescent="0.3">
      <c r="F169" s="26">
        <f>IF(G169=1,MAX($F$4:F168)+1,"")</f>
        <v/>
      </c>
      <c r="G169" s="26">
        <f>COUNTIF($H$5:H169,H169)</f>
      </c>
      <c r="H169" s="26">
        <f t="shared" si="54"/>
      </c>
      <c r="I169" s="26">
        <f>COUNTIF($J$4:$J169,1)</f>
      </c>
      <c r="J169" s="26">
        <f>COUNTIF($S$5:$S169,S169)</f>
      </c>
      <c r="K169" s="26">
        <f t="shared" si="43"/>
      </c>
      <c r="L169" s="26">
        <f>IFERROR(IF(P169=0,0,MAX($L$4:L168)+1),0)</f>
      </c>
      <c r="M169" s="5">
        <f t="shared" si="55"/>
      </c>
      <c r="N169" s="5">
        <f t="shared" si="56"/>
      </c>
      <c r="P169" s="86">
        <f t="shared" si="44"/>
      </c>
      <c r="Q169" s="86">
        <f t="shared" si="45"/>
      </c>
      <c r="R169" s="86">
        <f t="shared" si="46"/>
      </c>
      <c r="S169" s="86">
        <f t="shared" si="47"/>
      </c>
      <c r="T169" s="86">
        <f t="shared" si="57"/>
        <v/>
      </c>
      <c r="U169" s="86">
        <f t="shared" si="58"/>
        <v/>
      </c>
      <c r="V169" s="86">
        <f t="shared" si="59"/>
        <v/>
      </c>
      <c r="W169" s="87">
        <f t="shared" si="48"/>
      </c>
      <c r="X169" s="88"/>
      <c r="Y169" s="88"/>
      <c r="Z169" s="88"/>
      <c r="AA169" s="88"/>
      <c r="AB169" s="88"/>
      <c r="AD169" s="86">
        <f t="shared" si="49"/>
      </c>
      <c r="AE169" s="86">
        <f t="shared" si="50"/>
      </c>
      <c r="AG169" s="86">
        <f t="shared" si="51"/>
      </c>
      <c r="AH169" s="86">
        <f t="shared" si="52"/>
      </c>
      <c r="AI169" s="86">
        <f t="shared" si="53"/>
      </c>
    </row>
    <row r="170" spans="6:35" x14ac:dyDescent="0.3">
      <c r="F170" s="26">
        <f>IF(G170=1,MAX($F$4:F169)+1,"")</f>
        <v/>
      </c>
      <c r="G170" s="26">
        <f>COUNTIF($H$5:H170,H170)</f>
      </c>
      <c r="H170" s="26">
        <f t="shared" si="54"/>
      </c>
      <c r="I170" s="26">
        <f>COUNTIF($J$4:$J170,1)</f>
      </c>
      <c r="J170" s="26">
        <f>COUNTIF($S$5:$S170,S170)</f>
      </c>
      <c r="K170" s="26">
        <f t="shared" si="43"/>
      </c>
      <c r="L170" s="26">
        <f>IFERROR(IF(P170=0,0,MAX($L$4:L169)+1),0)</f>
      </c>
      <c r="M170" s="5">
        <f t="shared" si="55"/>
      </c>
      <c r="N170" s="5">
        <f t="shared" si="56"/>
      </c>
      <c r="P170" s="86">
        <f t="shared" si="44"/>
      </c>
      <c r="Q170" s="86">
        <f t="shared" si="45"/>
      </c>
      <c r="R170" s="86">
        <f t="shared" si="46"/>
      </c>
      <c r="S170" s="86">
        <f t="shared" si="47"/>
      </c>
      <c r="T170" s="86">
        <f t="shared" si="57"/>
        <v/>
      </c>
      <c r="U170" s="86">
        <f t="shared" si="58"/>
        <v/>
      </c>
      <c r="V170" s="86">
        <f t="shared" si="59"/>
        <v/>
      </c>
      <c r="W170" s="87">
        <f t="shared" si="48"/>
      </c>
      <c r="X170" s="88"/>
      <c r="Y170" s="88"/>
      <c r="Z170" s="88"/>
      <c r="AA170" s="88"/>
      <c r="AB170" s="88"/>
      <c r="AD170" s="86">
        <f t="shared" si="49"/>
      </c>
      <c r="AE170" s="86">
        <f t="shared" si="50"/>
      </c>
      <c r="AG170" s="86">
        <f t="shared" si="51"/>
      </c>
      <c r="AH170" s="86">
        <f t="shared" si="52"/>
      </c>
      <c r="AI170" s="86">
        <f t="shared" si="53"/>
      </c>
    </row>
    <row r="171" spans="6:35" x14ac:dyDescent="0.3">
      <c r="F171" s="26">
        <f>IF(G171=1,MAX($F$4:F170)+1,"")</f>
        <v/>
      </c>
      <c r="G171" s="26">
        <f>COUNTIF($H$5:H171,H171)</f>
      </c>
      <c r="H171" s="26">
        <f t="shared" si="54"/>
      </c>
      <c r="I171" s="26">
        <f>COUNTIF($J$4:$J171,1)</f>
      </c>
      <c r="J171" s="26">
        <f>COUNTIF($S$5:$S171,S171)</f>
      </c>
      <c r="K171" s="26">
        <f t="shared" si="43"/>
      </c>
      <c r="L171" s="26">
        <f>IFERROR(IF(P171=0,0,MAX($L$4:L170)+1),0)</f>
      </c>
      <c r="M171" s="5">
        <f t="shared" si="55"/>
      </c>
      <c r="N171" s="5">
        <f t="shared" si="56"/>
      </c>
      <c r="P171" s="86">
        <f t="shared" si="44"/>
      </c>
      <c r="Q171" s="86">
        <f t="shared" si="45"/>
      </c>
      <c r="R171" s="86">
        <f t="shared" si="46"/>
      </c>
      <c r="S171" s="86">
        <f t="shared" si="47"/>
      </c>
      <c r="T171" s="86">
        <f t="shared" si="57"/>
        <v/>
      </c>
      <c r="U171" s="86">
        <f t="shared" si="58"/>
        <v/>
      </c>
      <c r="V171" s="86">
        <f t="shared" si="59"/>
        <v/>
      </c>
      <c r="W171" s="87">
        <f t="shared" si="48"/>
      </c>
      <c r="X171" s="88"/>
      <c r="Y171" s="88"/>
      <c r="Z171" s="88"/>
      <c r="AA171" s="88"/>
      <c r="AB171" s="88"/>
      <c r="AD171" s="86">
        <f t="shared" si="49"/>
      </c>
      <c r="AE171" s="86">
        <f t="shared" si="50"/>
      </c>
      <c r="AG171" s="86">
        <f t="shared" si="51"/>
      </c>
      <c r="AH171" s="86">
        <f t="shared" si="52"/>
      </c>
      <c r="AI171" s="86">
        <f t="shared" si="53"/>
      </c>
    </row>
    <row r="172" spans="6:35" x14ac:dyDescent="0.3">
      <c r="F172" s="26">
        <f>IF(G172=1,MAX($F$4:F171)+1,"")</f>
        <v/>
      </c>
      <c r="G172" s="26">
        <f>COUNTIF($H$5:H172,H172)</f>
      </c>
      <c r="H172" s="26">
        <f t="shared" si="54"/>
      </c>
      <c r="I172" s="26">
        <f>COUNTIF($J$4:$J172,1)</f>
      </c>
      <c r="J172" s="26">
        <f>COUNTIF($S$5:$S172,S172)</f>
      </c>
      <c r="K172" s="26">
        <f t="shared" si="43"/>
      </c>
      <c r="L172" s="26">
        <f>IFERROR(IF(P172=0,0,MAX($L$4:L171)+1),0)</f>
      </c>
      <c r="M172" s="5">
        <f t="shared" si="55"/>
      </c>
      <c r="N172" s="5">
        <f t="shared" si="56"/>
      </c>
      <c r="P172" s="86">
        <f t="shared" si="44"/>
      </c>
      <c r="Q172" s="86">
        <f t="shared" si="45"/>
      </c>
      <c r="R172" s="86">
        <f t="shared" si="46"/>
      </c>
      <c r="S172" s="86">
        <f t="shared" si="47"/>
      </c>
      <c r="T172" s="86">
        <f t="shared" si="57"/>
        <v/>
      </c>
      <c r="U172" s="86">
        <f t="shared" si="58"/>
        <v/>
      </c>
      <c r="V172" s="86">
        <f t="shared" si="59"/>
        <v/>
      </c>
      <c r="W172" s="87">
        <f t="shared" si="48"/>
      </c>
      <c r="X172" s="88"/>
      <c r="Y172" s="88"/>
      <c r="Z172" s="88"/>
      <c r="AA172" s="88"/>
      <c r="AB172" s="88"/>
      <c r="AD172" s="86">
        <f t="shared" si="49"/>
      </c>
      <c r="AE172" s="86">
        <f t="shared" si="50"/>
      </c>
      <c r="AG172" s="86">
        <f t="shared" si="51"/>
      </c>
      <c r="AH172" s="86">
        <f t="shared" si="52"/>
      </c>
      <c r="AI172" s="86">
        <f t="shared" si="53"/>
      </c>
    </row>
    <row r="173" spans="6:35" x14ac:dyDescent="0.3">
      <c r="F173" s="26">
        <f>IF(G173=1,MAX($F$4:F172)+1,"")</f>
        <v/>
      </c>
      <c r="G173" s="26">
        <f>COUNTIF($H$5:H173,H173)</f>
      </c>
      <c r="H173" s="26">
        <f t="shared" si="54"/>
      </c>
      <c r="I173" s="26">
        <f>COUNTIF($J$4:$J173,1)</f>
      </c>
      <c r="J173" s="26">
        <f>COUNTIF($S$5:$S173,S173)</f>
      </c>
      <c r="K173" s="26">
        <f t="shared" si="43"/>
      </c>
      <c r="L173" s="26">
        <f>IFERROR(IF(P173=0,0,MAX($L$4:L172)+1),0)</f>
      </c>
      <c r="M173" s="5">
        <f t="shared" si="55"/>
      </c>
      <c r="N173" s="5">
        <f t="shared" si="56"/>
      </c>
      <c r="P173" s="86">
        <f t="shared" si="44"/>
      </c>
      <c r="Q173" s="86">
        <f t="shared" si="45"/>
      </c>
      <c r="R173" s="86">
        <f t="shared" si="46"/>
      </c>
      <c r="S173" s="86">
        <f t="shared" si="47"/>
      </c>
      <c r="T173" s="86">
        <f t="shared" si="57"/>
        <v/>
      </c>
      <c r="U173" s="86">
        <f t="shared" si="58"/>
        <v/>
      </c>
      <c r="V173" s="86">
        <f t="shared" si="59"/>
        <v/>
      </c>
      <c r="W173" s="87">
        <f t="shared" si="48"/>
      </c>
      <c r="X173" s="88"/>
      <c r="Y173" s="88"/>
      <c r="Z173" s="88"/>
      <c r="AA173" s="88"/>
      <c r="AB173" s="88"/>
      <c r="AD173" s="86">
        <f t="shared" si="49"/>
      </c>
      <c r="AE173" s="86">
        <f t="shared" si="50"/>
      </c>
      <c r="AG173" s="86">
        <f t="shared" si="51"/>
      </c>
      <c r="AH173" s="86">
        <f t="shared" si="52"/>
      </c>
      <c r="AI173" s="86">
        <f t="shared" si="53"/>
      </c>
    </row>
    <row r="174" spans="6:35" x14ac:dyDescent="0.3">
      <c r="F174" s="26">
        <f>IF(G174=1,MAX($F$4:F173)+1,"")</f>
        <v/>
      </c>
      <c r="G174" s="26">
        <f>COUNTIF($H$5:H174,H174)</f>
      </c>
      <c r="H174" s="26">
        <f t="shared" si="54"/>
      </c>
      <c r="I174" s="26">
        <f>COUNTIF($J$4:$J174,1)</f>
      </c>
      <c r="J174" s="26">
        <f>COUNTIF($S$5:$S174,S174)</f>
      </c>
      <c r="K174" s="26">
        <f t="shared" si="43"/>
      </c>
      <c r="L174" s="26">
        <f>IFERROR(IF(P174=0,0,MAX($L$4:L173)+1),0)</f>
      </c>
      <c r="M174" s="5">
        <f t="shared" si="55"/>
      </c>
      <c r="N174" s="5">
        <f t="shared" si="56"/>
      </c>
      <c r="P174" s="86">
        <f t="shared" si="44"/>
      </c>
      <c r="Q174" s="86">
        <f t="shared" si="45"/>
      </c>
      <c r="R174" s="86">
        <f t="shared" si="46"/>
      </c>
      <c r="S174" s="86">
        <f t="shared" si="47"/>
      </c>
      <c r="T174" s="86">
        <f t="shared" si="57"/>
        <v/>
      </c>
      <c r="U174" s="86">
        <f t="shared" si="58"/>
        <v/>
      </c>
      <c r="V174" s="86">
        <f t="shared" si="59"/>
        <v/>
      </c>
      <c r="W174" s="87">
        <f t="shared" si="48"/>
      </c>
      <c r="X174" s="88"/>
      <c r="Y174" s="88"/>
      <c r="Z174" s="88"/>
      <c r="AA174" s="88"/>
      <c r="AB174" s="88"/>
      <c r="AD174" s="86">
        <f t="shared" si="49"/>
      </c>
      <c r="AE174" s="86">
        <f t="shared" si="50"/>
      </c>
      <c r="AG174" s="86">
        <f t="shared" si="51"/>
      </c>
      <c r="AH174" s="86">
        <f t="shared" si="52"/>
      </c>
      <c r="AI174" s="86">
        <f t="shared" si="53"/>
      </c>
    </row>
    <row r="175" spans="6:35" x14ac:dyDescent="0.3">
      <c r="F175" s="26">
        <f>IF(G175=1,MAX($F$4:F174)+1,"")</f>
        <v/>
      </c>
      <c r="G175" s="26">
        <f>COUNTIF($H$5:H175,H175)</f>
      </c>
      <c r="H175" s="26">
        <f t="shared" si="54"/>
      </c>
      <c r="I175" s="26">
        <f>COUNTIF($J$4:$J175,1)</f>
      </c>
      <c r="J175" s="26">
        <f>COUNTIF($S$5:$S175,S175)</f>
      </c>
      <c r="K175" s="26">
        <f t="shared" si="43"/>
      </c>
      <c r="L175" s="26">
        <f>IFERROR(IF(P175=0,0,MAX($L$4:L174)+1),0)</f>
      </c>
      <c r="M175" s="5">
        <f t="shared" si="55"/>
      </c>
      <c r="N175" s="5">
        <f t="shared" si="56"/>
      </c>
      <c r="P175" s="86">
        <f t="shared" si="44"/>
      </c>
      <c r="Q175" s="86">
        <f t="shared" si="45"/>
      </c>
      <c r="R175" s="86">
        <f t="shared" si="46"/>
      </c>
      <c r="S175" s="86">
        <f t="shared" si="47"/>
      </c>
      <c r="T175" s="86">
        <f t="shared" si="57"/>
        <v/>
      </c>
      <c r="U175" s="86">
        <f t="shared" si="58"/>
        <v/>
      </c>
      <c r="V175" s="86">
        <f t="shared" si="59"/>
        <v/>
      </c>
      <c r="W175" s="87">
        <f t="shared" si="48"/>
      </c>
      <c r="X175" s="88"/>
      <c r="Y175" s="88"/>
      <c r="Z175" s="88"/>
      <c r="AA175" s="88"/>
      <c r="AB175" s="88"/>
      <c r="AD175" s="86">
        <f t="shared" si="49"/>
      </c>
      <c r="AE175" s="86">
        <f t="shared" si="50"/>
      </c>
      <c r="AG175" s="86">
        <f t="shared" si="51"/>
      </c>
      <c r="AH175" s="86">
        <f t="shared" si="52"/>
      </c>
      <c r="AI175" s="86">
        <f t="shared" si="53"/>
      </c>
    </row>
    <row r="176" spans="6:35" x14ac:dyDescent="0.3">
      <c r="F176" s="26">
        <f>IF(G176=1,MAX($F$4:F175)+1,"")</f>
        <v/>
      </c>
      <c r="G176" s="26">
        <f>COUNTIF($H$5:H176,H176)</f>
      </c>
      <c r="H176" s="26">
        <f t="shared" si="54"/>
      </c>
      <c r="I176" s="26">
        <f>COUNTIF($J$4:$J176,1)</f>
      </c>
      <c r="J176" s="26">
        <f>COUNTIF($S$5:$S176,S176)</f>
      </c>
      <c r="K176" s="26">
        <f t="shared" si="43"/>
      </c>
      <c r="L176" s="26">
        <f>IFERROR(IF(P176=0,0,MAX($L$4:L175)+1),0)</f>
      </c>
      <c r="M176" s="5">
        <f t="shared" si="55"/>
      </c>
      <c r="N176" s="5">
        <f t="shared" si="56"/>
      </c>
      <c r="P176" s="86">
        <f t="shared" si="44"/>
      </c>
      <c r="Q176" s="86">
        <f t="shared" si="45"/>
      </c>
      <c r="R176" s="86">
        <f t="shared" si="46"/>
      </c>
      <c r="S176" s="86">
        <f t="shared" si="47"/>
      </c>
      <c r="T176" s="86">
        <f t="shared" si="57"/>
        <v/>
      </c>
      <c r="U176" s="86">
        <f t="shared" si="58"/>
        <v/>
      </c>
      <c r="V176" s="86">
        <f t="shared" si="59"/>
        <v/>
      </c>
      <c r="W176" s="87">
        <f t="shared" si="48"/>
      </c>
      <c r="X176" s="88"/>
      <c r="Y176" s="88"/>
      <c r="Z176" s="88"/>
      <c r="AA176" s="88"/>
      <c r="AB176" s="88"/>
      <c r="AD176" s="86">
        <f t="shared" si="49"/>
      </c>
      <c r="AE176" s="86">
        <f t="shared" si="50"/>
      </c>
      <c r="AG176" s="86">
        <f t="shared" si="51"/>
      </c>
      <c r="AH176" s="86">
        <f t="shared" si="52"/>
      </c>
      <c r="AI176" s="86">
        <f t="shared" si="53"/>
      </c>
    </row>
    <row r="177" spans="6:35" x14ac:dyDescent="0.3">
      <c r="F177" s="26">
        <f>IF(G177=1,MAX($F$4:F176)+1,"")</f>
        <v/>
      </c>
      <c r="G177" s="26">
        <f>COUNTIF($H$5:H177,H177)</f>
      </c>
      <c r="H177" s="26">
        <f t="shared" si="54"/>
      </c>
      <c r="I177" s="26">
        <f>COUNTIF($J$4:$J177,1)</f>
      </c>
      <c r="J177" s="26">
        <f>COUNTIF($S$5:$S177,S177)</f>
      </c>
      <c r="K177" s="26">
        <f t="shared" si="43"/>
      </c>
      <c r="L177" s="26">
        <f>IFERROR(IF(P177=0,0,MAX($L$4:L176)+1),0)</f>
      </c>
      <c r="M177" s="5">
        <f t="shared" si="55"/>
      </c>
      <c r="N177" s="5">
        <f t="shared" si="56"/>
      </c>
      <c r="P177" s="86">
        <f t="shared" si="44"/>
      </c>
      <c r="Q177" s="86">
        <f t="shared" si="45"/>
      </c>
      <c r="R177" s="86">
        <f t="shared" si="46"/>
      </c>
      <c r="S177" s="86">
        <f t="shared" si="47"/>
      </c>
      <c r="T177" s="86">
        <f t="shared" si="57"/>
        <v/>
      </c>
      <c r="U177" s="86">
        <f t="shared" si="58"/>
        <v/>
      </c>
      <c r="V177" s="86">
        <f t="shared" si="59"/>
        <v/>
      </c>
      <c r="W177" s="87">
        <f t="shared" si="48"/>
      </c>
      <c r="X177" s="88"/>
      <c r="Y177" s="88"/>
      <c r="Z177" s="88"/>
      <c r="AA177" s="88"/>
      <c r="AB177" s="88"/>
      <c r="AD177" s="86">
        <f t="shared" si="49"/>
      </c>
      <c r="AE177" s="86">
        <f t="shared" si="50"/>
      </c>
      <c r="AG177" s="86">
        <f t="shared" si="51"/>
      </c>
      <c r="AH177" s="86">
        <f t="shared" si="52"/>
      </c>
      <c r="AI177" s="86">
        <f t="shared" si="53"/>
      </c>
    </row>
    <row r="178" spans="6:35" x14ac:dyDescent="0.3">
      <c r="F178" s="26">
        <f>IF(G178=1,MAX($F$4:F177)+1,"")</f>
        <v/>
      </c>
      <c r="G178" s="26">
        <f>COUNTIF($H$5:H178,H178)</f>
      </c>
      <c r="H178" s="26">
        <f t="shared" si="54"/>
      </c>
      <c r="I178" s="26">
        <f>COUNTIF($J$4:$J178,1)</f>
      </c>
      <c r="J178" s="26">
        <f>COUNTIF($S$5:$S178,S178)</f>
      </c>
      <c r="K178" s="26">
        <f t="shared" si="43"/>
      </c>
      <c r="L178" s="26">
        <f>IFERROR(IF(P178=0,0,MAX($L$4:L177)+1),0)</f>
      </c>
      <c r="M178" s="5">
        <f t="shared" si="55"/>
      </c>
      <c r="N178" s="5">
        <f t="shared" si="56"/>
      </c>
      <c r="P178" s="86">
        <f t="shared" si="44"/>
      </c>
      <c r="Q178" s="86">
        <f t="shared" si="45"/>
      </c>
      <c r="R178" s="86">
        <f t="shared" si="46"/>
      </c>
      <c r="S178" s="86">
        <f t="shared" si="47"/>
      </c>
      <c r="T178" s="86">
        <f t="shared" si="57"/>
        <v/>
      </c>
      <c r="U178" s="86">
        <f t="shared" si="58"/>
        <v/>
      </c>
      <c r="V178" s="86">
        <f t="shared" si="59"/>
        <v/>
      </c>
      <c r="W178" s="87">
        <f t="shared" si="48"/>
      </c>
      <c r="X178" s="88"/>
      <c r="Y178" s="88"/>
      <c r="Z178" s="88"/>
      <c r="AA178" s="88"/>
      <c r="AB178" s="88"/>
      <c r="AD178" s="86">
        <f t="shared" si="49"/>
      </c>
      <c r="AE178" s="86">
        <f t="shared" si="50"/>
      </c>
      <c r="AG178" s="86">
        <f t="shared" si="51"/>
      </c>
      <c r="AH178" s="86">
        <f t="shared" si="52"/>
      </c>
      <c r="AI178" s="86">
        <f t="shared" si="53"/>
      </c>
    </row>
    <row r="179" spans="6:35" x14ac:dyDescent="0.3">
      <c r="F179" s="26">
        <f>IF(G179=1,MAX($F$4:F178)+1,"")</f>
        <v/>
      </c>
      <c r="G179" s="26">
        <f>COUNTIF($H$5:H179,H179)</f>
      </c>
      <c r="H179" s="26">
        <f t="shared" si="54"/>
      </c>
      <c r="I179" s="26">
        <f>COUNTIF($J$4:$J179,1)</f>
      </c>
      <c r="J179" s="26">
        <f>COUNTIF($S$5:$S179,S179)</f>
      </c>
      <c r="K179" s="26">
        <f t="shared" si="43"/>
      </c>
      <c r="L179" s="26">
        <f>IFERROR(IF(P179=0,0,MAX($L$4:L178)+1),0)</f>
      </c>
      <c r="M179" s="5">
        <f t="shared" si="55"/>
      </c>
      <c r="N179" s="5">
        <f t="shared" si="56"/>
      </c>
      <c r="P179" s="86">
        <f t="shared" si="44"/>
      </c>
      <c r="Q179" s="86">
        <f t="shared" si="45"/>
      </c>
      <c r="R179" s="86">
        <f t="shared" si="46"/>
      </c>
      <c r="S179" s="86">
        <f t="shared" si="47"/>
      </c>
      <c r="T179" s="86">
        <f t="shared" si="57"/>
        <v/>
      </c>
      <c r="U179" s="86">
        <f t="shared" si="58"/>
        <v/>
      </c>
      <c r="V179" s="86">
        <f t="shared" si="59"/>
        <v/>
      </c>
      <c r="W179" s="87">
        <f t="shared" si="48"/>
      </c>
      <c r="X179" s="88"/>
      <c r="Y179" s="88"/>
      <c r="Z179" s="88"/>
      <c r="AA179" s="88"/>
      <c r="AB179" s="88"/>
      <c r="AD179" s="86">
        <f t="shared" si="49"/>
      </c>
      <c r="AE179" s="86">
        <f t="shared" si="50"/>
      </c>
      <c r="AG179" s="86">
        <f t="shared" si="51"/>
      </c>
      <c r="AH179" s="86">
        <f t="shared" si="52"/>
      </c>
      <c r="AI179" s="86">
        <f t="shared" si="53"/>
      </c>
    </row>
    <row r="180" spans="6:35" x14ac:dyDescent="0.3">
      <c r="F180" s="26">
        <f>IF(G180=1,MAX($F$4:F179)+1,"")</f>
        <v/>
      </c>
      <c r="G180" s="26">
        <f>COUNTIF($H$5:H180,H180)</f>
      </c>
      <c r="H180" s="26">
        <f t="shared" si="54"/>
      </c>
      <c r="I180" s="26">
        <f>COUNTIF($J$4:$J180,1)</f>
      </c>
      <c r="J180" s="26">
        <f>COUNTIF($S$5:$S180,S180)</f>
      </c>
      <c r="K180" s="26">
        <f t="shared" si="43"/>
      </c>
      <c r="L180" s="26">
        <f>IFERROR(IF(P180=0,0,MAX($L$4:L179)+1),0)</f>
      </c>
      <c r="M180" s="5">
        <f t="shared" si="55"/>
      </c>
      <c r="N180" s="5">
        <f t="shared" si="56"/>
      </c>
      <c r="P180" s="86">
        <f t="shared" si="44"/>
      </c>
      <c r="Q180" s="86">
        <f t="shared" si="45"/>
      </c>
      <c r="R180" s="86">
        <f t="shared" si="46"/>
      </c>
      <c r="S180" s="86">
        <f t="shared" si="47"/>
      </c>
      <c r="T180" s="86">
        <f t="shared" si="57"/>
        <v/>
      </c>
      <c r="U180" s="86">
        <f t="shared" si="58"/>
        <v/>
      </c>
      <c r="V180" s="86">
        <f t="shared" si="59"/>
        <v/>
      </c>
      <c r="W180" s="87">
        <f t="shared" si="48"/>
      </c>
      <c r="X180" s="88"/>
      <c r="Y180" s="88"/>
      <c r="Z180" s="88"/>
      <c r="AA180" s="88"/>
      <c r="AB180" s="88"/>
      <c r="AD180" s="86">
        <f t="shared" si="49"/>
      </c>
      <c r="AE180" s="86">
        <f t="shared" si="50"/>
      </c>
      <c r="AG180" s="86">
        <f t="shared" si="51"/>
      </c>
      <c r="AH180" s="86">
        <f t="shared" si="52"/>
      </c>
      <c r="AI180" s="86">
        <f t="shared" si="53"/>
      </c>
    </row>
    <row r="181" spans="6:35" x14ac:dyDescent="0.3">
      <c r="F181" s="26">
        <f>IF(G181=1,MAX($F$4:F180)+1,"")</f>
        <v/>
      </c>
      <c r="G181" s="26">
        <f>COUNTIF($H$5:H181,H181)</f>
      </c>
      <c r="H181" s="26">
        <f t="shared" si="54"/>
      </c>
      <c r="I181" s="26">
        <f>COUNTIF($J$4:$J181,1)</f>
      </c>
      <c r="J181" s="26">
        <f>COUNTIF($S$5:$S181,S181)</f>
      </c>
      <c r="K181" s="26">
        <f t="shared" si="43"/>
      </c>
      <c r="L181" s="26">
        <f>IFERROR(IF(P181=0,0,MAX($L$4:L180)+1),0)</f>
      </c>
      <c r="M181" s="5">
        <f t="shared" si="55"/>
      </c>
      <c r="N181" s="5">
        <f t="shared" si="56"/>
      </c>
      <c r="P181" s="86">
        <f t="shared" si="44"/>
      </c>
      <c r="Q181" s="86">
        <f t="shared" si="45"/>
      </c>
      <c r="R181" s="86">
        <f t="shared" si="46"/>
      </c>
      <c r="S181" s="86">
        <f t="shared" si="47"/>
      </c>
      <c r="T181" s="86">
        <f t="shared" si="57"/>
        <v/>
      </c>
      <c r="U181" s="86">
        <f t="shared" si="58"/>
        <v/>
      </c>
      <c r="V181" s="86">
        <f t="shared" si="59"/>
        <v/>
      </c>
      <c r="W181" s="87">
        <f t="shared" si="48"/>
      </c>
      <c r="X181" s="88"/>
      <c r="Y181" s="88"/>
      <c r="Z181" s="88"/>
      <c r="AA181" s="88"/>
      <c r="AB181" s="88"/>
      <c r="AD181" s="86">
        <f t="shared" si="49"/>
      </c>
      <c r="AE181" s="86">
        <f t="shared" si="50"/>
      </c>
      <c r="AG181" s="86">
        <f t="shared" si="51"/>
      </c>
      <c r="AH181" s="86">
        <f t="shared" si="52"/>
      </c>
      <c r="AI181" s="86">
        <f t="shared" si="53"/>
      </c>
    </row>
    <row r="182" spans="6:35" x14ac:dyDescent="0.3">
      <c r="F182" s="26">
        <f>IF(G182=1,MAX($F$4:F181)+1,"")</f>
        <v/>
      </c>
      <c r="G182" s="26">
        <f>COUNTIF($H$5:H182,H182)</f>
      </c>
      <c r="H182" s="26">
        <f t="shared" si="54"/>
      </c>
      <c r="I182" s="26">
        <f>COUNTIF($J$4:$J182,1)</f>
      </c>
      <c r="J182" s="26">
        <f>COUNTIF($S$5:$S182,S182)</f>
      </c>
      <c r="K182" s="26">
        <f t="shared" si="43"/>
      </c>
      <c r="L182" s="26">
        <f>IFERROR(IF(P182=0,0,MAX($L$4:L181)+1),0)</f>
      </c>
      <c r="M182" s="5">
        <f t="shared" si="55"/>
      </c>
      <c r="N182" s="5">
        <f t="shared" si="56"/>
      </c>
      <c r="P182" s="86">
        <f t="shared" si="44"/>
      </c>
      <c r="Q182" s="86">
        <f t="shared" si="45"/>
      </c>
      <c r="R182" s="86">
        <f t="shared" si="46"/>
      </c>
      <c r="S182" s="86">
        <f t="shared" si="47"/>
      </c>
      <c r="T182" s="86">
        <f t="shared" si="57"/>
        <v/>
      </c>
      <c r="U182" s="86">
        <f t="shared" si="58"/>
        <v/>
      </c>
      <c r="V182" s="86">
        <f t="shared" si="59"/>
        <v/>
      </c>
      <c r="W182" s="87">
        <f t="shared" si="48"/>
      </c>
      <c r="X182" s="88"/>
      <c r="Y182" s="88"/>
      <c r="Z182" s="88"/>
      <c r="AA182" s="88"/>
      <c r="AB182" s="88"/>
      <c r="AD182" s="86">
        <f t="shared" si="49"/>
      </c>
      <c r="AE182" s="86">
        <f t="shared" si="50"/>
      </c>
      <c r="AG182" s="86">
        <f t="shared" si="51"/>
      </c>
      <c r="AH182" s="86">
        <f t="shared" si="52"/>
      </c>
      <c r="AI182" s="86">
        <f t="shared" si="53"/>
      </c>
    </row>
    <row r="183" spans="6:35" x14ac:dyDescent="0.3">
      <c r="F183" s="26">
        <f>IF(G183=1,MAX($F$4:F182)+1,"")</f>
        <v/>
      </c>
      <c r="G183" s="26">
        <f>COUNTIF($H$5:H183,H183)</f>
      </c>
      <c r="H183" s="26">
        <f t="shared" si="54"/>
      </c>
      <c r="I183" s="26">
        <f>COUNTIF($J$4:$J183,1)</f>
      </c>
      <c r="J183" s="26">
        <f>COUNTIF($S$5:$S183,S183)</f>
      </c>
      <c r="K183" s="26">
        <f t="shared" si="43"/>
      </c>
      <c r="L183" s="26">
        <f>IFERROR(IF(P183=0,0,MAX($L$4:L182)+1),0)</f>
      </c>
      <c r="M183" s="5">
        <f t="shared" si="55"/>
      </c>
      <c r="N183" s="5">
        <f t="shared" si="56"/>
      </c>
      <c r="P183" s="86">
        <f t="shared" si="44"/>
      </c>
      <c r="Q183" s="86">
        <f t="shared" si="45"/>
      </c>
      <c r="R183" s="86">
        <f t="shared" si="46"/>
      </c>
      <c r="S183" s="86">
        <f t="shared" si="47"/>
      </c>
      <c r="T183" s="86">
        <f t="shared" si="57"/>
        <v/>
      </c>
      <c r="U183" s="86">
        <f t="shared" si="58"/>
        <v/>
      </c>
      <c r="V183" s="86">
        <f t="shared" si="59"/>
        <v/>
      </c>
      <c r="W183" s="87">
        <f t="shared" si="48"/>
      </c>
      <c r="X183" s="88"/>
      <c r="Y183" s="88"/>
      <c r="Z183" s="88"/>
      <c r="AA183" s="88"/>
      <c r="AB183" s="88"/>
      <c r="AD183" s="86">
        <f t="shared" si="49"/>
      </c>
      <c r="AE183" s="86">
        <f t="shared" si="50"/>
      </c>
      <c r="AG183" s="86">
        <f t="shared" si="51"/>
      </c>
      <c r="AH183" s="86">
        <f t="shared" si="52"/>
      </c>
      <c r="AI183" s="86">
        <f t="shared" si="53"/>
      </c>
    </row>
    <row r="184" spans="6:35" x14ac:dyDescent="0.3">
      <c r="F184" s="26">
        <f>IF(G184=1,MAX($F$4:F183)+1,"")</f>
        <v/>
      </c>
      <c r="G184" s="26">
        <f>COUNTIF($H$5:H184,H184)</f>
      </c>
      <c r="H184" s="26">
        <f t="shared" si="54"/>
      </c>
      <c r="I184" s="26">
        <f>COUNTIF($J$4:$J184,1)</f>
      </c>
      <c r="J184" s="26">
        <f>COUNTIF($S$5:$S184,S184)</f>
      </c>
      <c r="K184" s="26">
        <f t="shared" si="43"/>
      </c>
      <c r="L184" s="26">
        <f>IFERROR(IF(P184=0,0,MAX($L$4:L183)+1),0)</f>
      </c>
      <c r="M184" s="5">
        <f t="shared" si="55"/>
      </c>
      <c r="N184" s="5">
        <f t="shared" si="56"/>
      </c>
      <c r="P184" s="86">
        <f t="shared" si="44"/>
      </c>
      <c r="Q184" s="86">
        <f t="shared" si="45"/>
      </c>
      <c r="R184" s="86">
        <f t="shared" si="46"/>
      </c>
      <c r="S184" s="86">
        <f t="shared" si="47"/>
      </c>
      <c r="T184" s="86">
        <f t="shared" si="57"/>
        <v/>
      </c>
      <c r="U184" s="86">
        <f t="shared" si="58"/>
        <v/>
      </c>
      <c r="V184" s="86">
        <f t="shared" si="59"/>
        <v/>
      </c>
      <c r="W184" s="87">
        <f t="shared" si="48"/>
      </c>
      <c r="X184" s="88"/>
      <c r="Y184" s="88"/>
      <c r="Z184" s="88"/>
      <c r="AA184" s="88"/>
      <c r="AB184" s="88"/>
      <c r="AD184" s="86">
        <f t="shared" si="49"/>
      </c>
      <c r="AE184" s="86">
        <f t="shared" si="50"/>
      </c>
      <c r="AG184" s="86">
        <f t="shared" si="51"/>
      </c>
      <c r="AH184" s="86">
        <f t="shared" si="52"/>
      </c>
      <c r="AI184" s="86">
        <f t="shared" si="53"/>
      </c>
    </row>
    <row r="185" spans="6:35" x14ac:dyDescent="0.3">
      <c r="F185" s="26">
        <f>IF(G185=1,MAX($F$4:F184)+1,"")</f>
        <v/>
      </c>
      <c r="G185" s="26">
        <f>COUNTIF($H$5:H185,H185)</f>
      </c>
      <c r="H185" s="26">
        <f t="shared" si="54"/>
      </c>
      <c r="I185" s="26">
        <f>COUNTIF($J$4:$J185,1)</f>
      </c>
      <c r="J185" s="26">
        <f>COUNTIF($S$5:$S185,S185)</f>
      </c>
      <c r="K185" s="26">
        <f t="shared" si="43"/>
      </c>
      <c r="L185" s="26">
        <f>IFERROR(IF(P185=0,0,MAX($L$4:L184)+1),0)</f>
      </c>
      <c r="M185" s="5">
        <f t="shared" si="55"/>
      </c>
      <c r="N185" s="5">
        <f t="shared" si="56"/>
      </c>
      <c r="P185" s="86">
        <f t="shared" si="44"/>
      </c>
      <c r="Q185" s="86">
        <f t="shared" si="45"/>
      </c>
      <c r="R185" s="86">
        <f t="shared" si="46"/>
      </c>
      <c r="S185" s="86">
        <f t="shared" si="47"/>
      </c>
      <c r="T185" s="86">
        <f t="shared" si="57"/>
        <v/>
      </c>
      <c r="U185" s="86">
        <f t="shared" si="58"/>
        <v/>
      </c>
      <c r="V185" s="86">
        <f t="shared" si="59"/>
        <v/>
      </c>
      <c r="W185" s="87">
        <f t="shared" si="48"/>
      </c>
      <c r="X185" s="88"/>
      <c r="Y185" s="88"/>
      <c r="Z185" s="88"/>
      <c r="AA185" s="88"/>
      <c r="AB185" s="88"/>
      <c r="AD185" s="86">
        <f t="shared" si="49"/>
      </c>
      <c r="AE185" s="86">
        <f t="shared" si="50"/>
      </c>
      <c r="AG185" s="86">
        <f t="shared" si="51"/>
      </c>
      <c r="AH185" s="86">
        <f t="shared" si="52"/>
      </c>
      <c r="AI185" s="86">
        <f t="shared" si="53"/>
      </c>
    </row>
    <row r="186" spans="6:35" x14ac:dyDescent="0.3">
      <c r="F186" s="26">
        <f>IF(G186=1,MAX($F$4:F185)+1,"")</f>
        <v/>
      </c>
      <c r="G186" s="26">
        <f>COUNTIF($H$5:H186,H186)</f>
      </c>
      <c r="H186" s="26">
        <f t="shared" si="54"/>
      </c>
      <c r="I186" s="26">
        <f>COUNTIF($J$4:$J186,1)</f>
      </c>
      <c r="J186" s="26">
        <f>COUNTIF($S$5:$S186,S186)</f>
      </c>
      <c r="K186" s="26">
        <f t="shared" si="43"/>
      </c>
      <c r="L186" s="26">
        <f>IFERROR(IF(P186=0,0,MAX($L$4:L185)+1),0)</f>
      </c>
      <c r="M186" s="5">
        <f t="shared" si="55"/>
      </c>
      <c r="N186" s="5">
        <f t="shared" si="56"/>
      </c>
      <c r="P186" s="86">
        <f t="shared" si="44"/>
      </c>
      <c r="Q186" s="86">
        <f t="shared" si="45"/>
      </c>
      <c r="R186" s="86">
        <f t="shared" si="46"/>
      </c>
      <c r="S186" s="86">
        <f t="shared" si="47"/>
      </c>
      <c r="T186" s="86">
        <f t="shared" si="57"/>
        <v/>
      </c>
      <c r="U186" s="86">
        <f t="shared" si="58"/>
        <v/>
      </c>
      <c r="V186" s="86">
        <f t="shared" si="59"/>
        <v/>
      </c>
      <c r="W186" s="87">
        <f t="shared" si="48"/>
      </c>
      <c r="X186" s="88"/>
      <c r="Y186" s="88"/>
      <c r="Z186" s="88"/>
      <c r="AA186" s="88"/>
      <c r="AB186" s="88"/>
      <c r="AD186" s="86">
        <f t="shared" si="49"/>
      </c>
      <c r="AE186" s="86">
        <f t="shared" si="50"/>
      </c>
      <c r="AG186" s="86">
        <f t="shared" si="51"/>
      </c>
      <c r="AH186" s="86">
        <f t="shared" si="52"/>
      </c>
      <c r="AI186" s="86">
        <f t="shared" si="53"/>
      </c>
    </row>
    <row r="187" spans="6:35" x14ac:dyDescent="0.3">
      <c r="F187" s="26">
        <f>IF(G187=1,MAX($F$4:F186)+1,"")</f>
        <v/>
      </c>
      <c r="G187" s="26">
        <f>COUNTIF($H$5:H187,H187)</f>
      </c>
      <c r="H187" s="26">
        <f t="shared" si="54"/>
      </c>
      <c r="I187" s="26">
        <f>COUNTIF($J$4:$J187,1)</f>
      </c>
      <c r="J187" s="26">
        <f>COUNTIF($S$5:$S187,S187)</f>
      </c>
      <c r="K187" s="26">
        <f t="shared" si="43"/>
      </c>
      <c r="L187" s="26">
        <f>IFERROR(IF(P187=0,0,MAX($L$4:L186)+1),0)</f>
      </c>
      <c r="M187" s="5">
        <f t="shared" si="55"/>
      </c>
      <c r="N187" s="5">
        <f t="shared" si="56"/>
      </c>
      <c r="P187" s="86">
        <f t="shared" si="44"/>
      </c>
      <c r="Q187" s="86">
        <f t="shared" si="45"/>
      </c>
      <c r="R187" s="86">
        <f t="shared" si="46"/>
      </c>
      <c r="S187" s="86">
        <f t="shared" si="47"/>
      </c>
      <c r="T187" s="86">
        <f t="shared" si="57"/>
        <v/>
      </c>
      <c r="U187" s="86">
        <f t="shared" si="58"/>
        <v/>
      </c>
      <c r="V187" s="86">
        <f t="shared" si="59"/>
        <v/>
      </c>
      <c r="W187" s="87">
        <f t="shared" si="48"/>
      </c>
      <c r="X187" s="88"/>
      <c r="Y187" s="88"/>
      <c r="Z187" s="88"/>
      <c r="AA187" s="88"/>
      <c r="AB187" s="88"/>
      <c r="AD187" s="86">
        <f t="shared" si="49"/>
      </c>
      <c r="AE187" s="86">
        <f t="shared" si="50"/>
      </c>
      <c r="AG187" s="86">
        <f t="shared" si="51"/>
      </c>
      <c r="AH187" s="86">
        <f t="shared" si="52"/>
      </c>
      <c r="AI187" s="86">
        <f t="shared" si="53"/>
      </c>
    </row>
    <row r="188" spans="6:35" x14ac:dyDescent="0.3">
      <c r="F188" s="26">
        <f>IF(G188=1,MAX($F$4:F187)+1,"")</f>
        <v/>
      </c>
      <c r="G188" s="26">
        <f>COUNTIF($H$5:H188,H188)</f>
      </c>
      <c r="H188" s="26">
        <f t="shared" si="54"/>
      </c>
      <c r="I188" s="26">
        <f>COUNTIF($J$4:$J188,1)</f>
      </c>
      <c r="J188" s="26">
        <f>COUNTIF($S$5:$S188,S188)</f>
      </c>
      <c r="K188" s="26">
        <f t="shared" si="43"/>
      </c>
      <c r="L188" s="26">
        <f>IFERROR(IF(P188=0,0,MAX($L$4:L187)+1),0)</f>
      </c>
      <c r="M188" s="5">
        <f t="shared" si="55"/>
      </c>
      <c r="N188" s="5">
        <f t="shared" si="56"/>
      </c>
      <c r="P188" s="86">
        <f t="shared" si="44"/>
      </c>
      <c r="Q188" s="86">
        <f t="shared" si="45"/>
      </c>
      <c r="R188" s="86">
        <f t="shared" si="46"/>
      </c>
      <c r="S188" s="86">
        <f t="shared" si="47"/>
      </c>
      <c r="T188" s="86">
        <f t="shared" si="57"/>
        <v/>
      </c>
      <c r="U188" s="86">
        <f t="shared" si="58"/>
        <v/>
      </c>
      <c r="V188" s="86">
        <f t="shared" si="59"/>
        <v/>
      </c>
      <c r="W188" s="87">
        <f t="shared" si="48"/>
      </c>
      <c r="X188" s="88"/>
      <c r="Y188" s="88"/>
      <c r="Z188" s="88"/>
      <c r="AA188" s="88"/>
      <c r="AB188" s="88"/>
      <c r="AD188" s="86">
        <f t="shared" si="49"/>
      </c>
      <c r="AE188" s="86">
        <f t="shared" si="50"/>
      </c>
      <c r="AG188" s="86">
        <f t="shared" si="51"/>
      </c>
      <c r="AH188" s="86">
        <f t="shared" si="52"/>
      </c>
      <c r="AI188" s="86">
        <f t="shared" si="53"/>
      </c>
    </row>
    <row r="189" spans="6:35" x14ac:dyDescent="0.3">
      <c r="F189" s="26">
        <f>IF(G189=1,MAX($F$4:F188)+1,"")</f>
        <v/>
      </c>
      <c r="G189" s="26">
        <f>COUNTIF($H$5:H189,H189)</f>
      </c>
      <c r="H189" s="26">
        <f t="shared" si="54"/>
      </c>
      <c r="I189" s="26">
        <f>COUNTIF($J$4:$J189,1)</f>
      </c>
      <c r="J189" s="26">
        <f>COUNTIF($S$5:$S189,S189)</f>
      </c>
      <c r="K189" s="26">
        <f t="shared" si="43"/>
      </c>
      <c r="L189" s="26">
        <f>IFERROR(IF(P189=0,0,MAX($L$4:L188)+1),0)</f>
      </c>
      <c r="M189" s="5">
        <f t="shared" si="55"/>
      </c>
      <c r="N189" s="5">
        <f t="shared" si="56"/>
      </c>
      <c r="P189" s="86">
        <f t="shared" si="44"/>
      </c>
      <c r="Q189" s="86">
        <f t="shared" si="45"/>
      </c>
      <c r="R189" s="86">
        <f t="shared" si="46"/>
      </c>
      <c r="S189" s="86">
        <f t="shared" si="47"/>
      </c>
      <c r="T189" s="86">
        <f t="shared" si="57"/>
        <v/>
      </c>
      <c r="U189" s="86">
        <f t="shared" si="58"/>
        <v/>
      </c>
      <c r="V189" s="86">
        <f t="shared" si="59"/>
        <v/>
      </c>
      <c r="W189" s="87">
        <f t="shared" si="48"/>
      </c>
      <c r="X189" s="88"/>
      <c r="Y189" s="88"/>
      <c r="Z189" s="88"/>
      <c r="AA189" s="88"/>
      <c r="AB189" s="88"/>
      <c r="AD189" s="86">
        <f t="shared" si="49"/>
      </c>
      <c r="AE189" s="86">
        <f t="shared" si="50"/>
      </c>
      <c r="AG189" s="86">
        <f t="shared" si="51"/>
      </c>
      <c r="AH189" s="86">
        <f t="shared" si="52"/>
      </c>
      <c r="AI189" s="86">
        <f t="shared" si="53"/>
      </c>
    </row>
    <row r="190" spans="6:35" x14ac:dyDescent="0.3">
      <c r="F190" s="26">
        <f>IF(G190=1,MAX($F$4:F189)+1,"")</f>
        <v/>
      </c>
      <c r="G190" s="26">
        <f>COUNTIF($H$5:H190,H190)</f>
      </c>
      <c r="H190" s="26">
        <f t="shared" si="54"/>
      </c>
      <c r="I190" s="26">
        <f>COUNTIF($J$4:$J190,1)</f>
      </c>
      <c r="J190" s="26">
        <f>COUNTIF($S$5:$S190,S190)</f>
      </c>
      <c r="K190" s="26">
        <f t="shared" si="43"/>
      </c>
      <c r="L190" s="26">
        <f>IFERROR(IF(P190=0,0,MAX($L$4:L189)+1),0)</f>
      </c>
      <c r="M190" s="5">
        <f t="shared" si="55"/>
      </c>
      <c r="N190" s="5">
        <f t="shared" si="56"/>
      </c>
      <c r="P190" s="86">
        <f t="shared" si="44"/>
      </c>
      <c r="Q190" s="86">
        <f t="shared" si="45"/>
      </c>
      <c r="R190" s="86">
        <f t="shared" si="46"/>
      </c>
      <c r="S190" s="86">
        <f t="shared" si="47"/>
      </c>
      <c r="T190" s="86">
        <f t="shared" si="57"/>
        <v/>
      </c>
      <c r="U190" s="86">
        <f t="shared" si="58"/>
        <v/>
      </c>
      <c r="V190" s="86">
        <f t="shared" si="59"/>
        <v/>
      </c>
      <c r="W190" s="87">
        <f t="shared" si="48"/>
      </c>
      <c r="X190" s="88"/>
      <c r="Y190" s="88"/>
      <c r="Z190" s="88"/>
      <c r="AA190" s="88"/>
      <c r="AB190" s="88"/>
      <c r="AD190" s="86">
        <f t="shared" si="49"/>
      </c>
      <c r="AE190" s="86">
        <f t="shared" si="50"/>
      </c>
      <c r="AG190" s="86">
        <f t="shared" si="51"/>
      </c>
      <c r="AH190" s="86">
        <f t="shared" si="52"/>
      </c>
      <c r="AI190" s="86">
        <f t="shared" si="53"/>
      </c>
    </row>
    <row r="191" spans="6:35" x14ac:dyDescent="0.3">
      <c r="F191" s="26">
        <f>IF(G191=1,MAX($F$4:F190)+1,"")</f>
        <v/>
      </c>
      <c r="G191" s="26">
        <f>COUNTIF($H$5:H191,H191)</f>
      </c>
      <c r="H191" s="26">
        <f t="shared" si="54"/>
      </c>
      <c r="I191" s="26">
        <f>COUNTIF($J$4:$J191,1)</f>
      </c>
      <c r="J191" s="26">
        <f>COUNTIF($S$5:$S191,S191)</f>
      </c>
      <c r="K191" s="26">
        <f t="shared" si="43"/>
      </c>
      <c r="L191" s="26">
        <f>IFERROR(IF(P191=0,0,MAX($L$4:L190)+1),0)</f>
      </c>
      <c r="M191" s="5">
        <f t="shared" si="55"/>
      </c>
      <c r="N191" s="5">
        <f t="shared" si="56"/>
      </c>
      <c r="P191" s="86">
        <f t="shared" si="44"/>
      </c>
      <c r="Q191" s="86">
        <f t="shared" si="45"/>
      </c>
      <c r="R191" s="86">
        <f t="shared" si="46"/>
      </c>
      <c r="S191" s="86">
        <f t="shared" si="47"/>
      </c>
      <c r="T191" s="86">
        <f t="shared" si="57"/>
        <v/>
      </c>
      <c r="U191" s="86">
        <f t="shared" si="58"/>
        <v/>
      </c>
      <c r="V191" s="86">
        <f t="shared" si="59"/>
        <v/>
      </c>
      <c r="W191" s="87">
        <f t="shared" si="48"/>
      </c>
      <c r="X191" s="88"/>
      <c r="Y191" s="88"/>
      <c r="Z191" s="88"/>
      <c r="AA191" s="88"/>
      <c r="AB191" s="88"/>
      <c r="AD191" s="86">
        <f t="shared" si="49"/>
      </c>
      <c r="AE191" s="86">
        <f t="shared" si="50"/>
      </c>
      <c r="AG191" s="86">
        <f t="shared" si="51"/>
      </c>
      <c r="AH191" s="86">
        <f t="shared" si="52"/>
      </c>
      <c r="AI191" s="86">
        <f t="shared" si="53"/>
      </c>
    </row>
    <row r="192" spans="6:35" x14ac:dyDescent="0.3">
      <c r="F192" s="26">
        <f>IF(G192=1,MAX($F$4:F191)+1,"")</f>
        <v/>
      </c>
      <c r="G192" s="26">
        <f>COUNTIF($H$5:H192,H192)</f>
      </c>
      <c r="H192" s="26">
        <f t="shared" si="54"/>
      </c>
      <c r="I192" s="26">
        <f>COUNTIF($J$4:$J192,1)</f>
      </c>
      <c r="J192" s="26">
        <f>COUNTIF($S$5:$S192,S192)</f>
      </c>
      <c r="K192" s="26">
        <f t="shared" si="43"/>
      </c>
      <c r="L192" s="26">
        <f>IFERROR(IF(P192=0,0,MAX($L$4:L191)+1),0)</f>
      </c>
      <c r="M192" s="5">
        <f t="shared" si="55"/>
      </c>
      <c r="N192" s="5">
        <f t="shared" si="56"/>
      </c>
      <c r="P192" s="86">
        <f t="shared" si="44"/>
      </c>
      <c r="Q192" s="86">
        <f t="shared" si="45"/>
      </c>
      <c r="R192" s="86">
        <f t="shared" si="46"/>
      </c>
      <c r="S192" s="86">
        <f t="shared" si="47"/>
      </c>
      <c r="T192" s="86">
        <f t="shared" si="57"/>
        <v/>
      </c>
      <c r="U192" s="86">
        <f t="shared" si="58"/>
        <v/>
      </c>
      <c r="V192" s="86">
        <f t="shared" si="59"/>
        <v/>
      </c>
      <c r="W192" s="87">
        <f t="shared" si="48"/>
      </c>
      <c r="X192" s="88"/>
      <c r="Y192" s="88"/>
      <c r="Z192" s="88"/>
      <c r="AA192" s="88"/>
      <c r="AB192" s="88"/>
      <c r="AD192" s="86">
        <f t="shared" si="49"/>
      </c>
      <c r="AE192" s="86">
        <f t="shared" si="50"/>
      </c>
      <c r="AG192" s="86">
        <f t="shared" si="51"/>
      </c>
      <c r="AH192" s="86">
        <f t="shared" si="52"/>
      </c>
      <c r="AI192" s="86">
        <f t="shared" si="53"/>
      </c>
    </row>
    <row r="193" spans="6:35" x14ac:dyDescent="0.3">
      <c r="F193" s="26">
        <f>IF(G193=1,MAX($F$4:F192)+1,"")</f>
        <v/>
      </c>
      <c r="G193" s="26">
        <f>COUNTIF($H$5:H193,H193)</f>
      </c>
      <c r="H193" s="26">
        <f t="shared" si="54"/>
      </c>
      <c r="I193" s="26">
        <f>COUNTIF($J$4:$J193,1)</f>
      </c>
      <c r="J193" s="26">
        <f>COUNTIF($S$5:$S193,S193)</f>
      </c>
      <c r="K193" s="26">
        <f t="shared" si="43"/>
      </c>
      <c r="L193" s="26">
        <f>IFERROR(IF(P193=0,0,MAX($L$4:L192)+1),0)</f>
      </c>
      <c r="M193" s="5">
        <f t="shared" si="55"/>
      </c>
      <c r="N193" s="5">
        <f t="shared" si="56"/>
      </c>
      <c r="P193" s="86">
        <f t="shared" si="44"/>
      </c>
      <c r="Q193" s="86">
        <f t="shared" si="45"/>
      </c>
      <c r="R193" s="86">
        <f t="shared" si="46"/>
      </c>
      <c r="S193" s="86">
        <f t="shared" si="47"/>
      </c>
      <c r="T193" s="86">
        <f t="shared" si="57"/>
        <v/>
      </c>
      <c r="U193" s="86">
        <f t="shared" si="58"/>
        <v/>
      </c>
      <c r="V193" s="86">
        <f t="shared" si="59"/>
        <v/>
      </c>
      <c r="W193" s="87">
        <f t="shared" si="48"/>
      </c>
      <c r="X193" s="88"/>
      <c r="Y193" s="88"/>
      <c r="Z193" s="88"/>
      <c r="AA193" s="88"/>
      <c r="AB193" s="88"/>
      <c r="AD193" s="86">
        <f t="shared" si="49"/>
      </c>
      <c r="AE193" s="86">
        <f t="shared" si="50"/>
      </c>
      <c r="AG193" s="86">
        <f t="shared" si="51"/>
      </c>
      <c r="AH193" s="86">
        <f t="shared" si="52"/>
      </c>
      <c r="AI193" s="86">
        <f t="shared" si="53"/>
      </c>
    </row>
    <row r="194" spans="6:35" x14ac:dyDescent="0.3">
      <c r="F194" s="26">
        <f>IF(G194=1,MAX($F$4:F193)+1,"")</f>
        <v/>
      </c>
      <c r="G194" s="26">
        <f>COUNTIF($H$5:H194,H194)</f>
      </c>
      <c r="H194" s="26">
        <f t="shared" si="54"/>
      </c>
      <c r="I194" s="26">
        <f>COUNTIF($J$4:$J194,1)</f>
      </c>
      <c r="J194" s="26">
        <f>COUNTIF($S$5:$S194,S194)</f>
      </c>
      <c r="K194" s="26">
        <f t="shared" si="43"/>
      </c>
      <c r="L194" s="26">
        <f>IFERROR(IF(P194=0,0,MAX($L$4:L193)+1),0)</f>
      </c>
      <c r="M194" s="5">
        <f t="shared" si="55"/>
      </c>
      <c r="N194" s="5">
        <f t="shared" si="56"/>
      </c>
      <c r="P194" s="86">
        <f t="shared" si="44"/>
      </c>
      <c r="Q194" s="86">
        <f t="shared" si="45"/>
      </c>
      <c r="R194" s="86">
        <f t="shared" si="46"/>
      </c>
      <c r="S194" s="86">
        <f t="shared" si="47"/>
      </c>
      <c r="T194" s="86">
        <f t="shared" si="57"/>
        <v/>
      </c>
      <c r="U194" s="86">
        <f t="shared" si="58"/>
        <v/>
      </c>
      <c r="V194" s="86">
        <f t="shared" si="59"/>
        <v/>
      </c>
      <c r="W194" s="87">
        <f t="shared" si="48"/>
      </c>
      <c r="X194" s="88"/>
      <c r="Y194" s="88"/>
      <c r="Z194" s="88"/>
      <c r="AA194" s="88"/>
      <c r="AB194" s="88"/>
      <c r="AD194" s="86">
        <f t="shared" si="49"/>
      </c>
      <c r="AE194" s="86">
        <f t="shared" si="50"/>
      </c>
      <c r="AG194" s="86">
        <f t="shared" si="51"/>
      </c>
      <c r="AH194" s="86">
        <f t="shared" si="52"/>
      </c>
      <c r="AI194" s="86">
        <f t="shared" si="53"/>
      </c>
    </row>
    <row r="195" spans="6:35" x14ac:dyDescent="0.3">
      <c r="F195" s="26">
        <f>IF(G195=1,MAX($F$4:F194)+1,"")</f>
        <v/>
      </c>
      <c r="G195" s="26">
        <f>COUNTIF($H$5:H195,H195)</f>
      </c>
      <c r="H195" s="26">
        <f t="shared" si="54"/>
      </c>
      <c r="I195" s="26">
        <f>COUNTIF($J$4:$J195,1)</f>
      </c>
      <c r="J195" s="26">
        <f>COUNTIF($S$5:$S195,S195)</f>
      </c>
      <c r="K195" s="26">
        <f t="shared" si="43"/>
      </c>
      <c r="L195" s="26">
        <f>IFERROR(IF(P195=0,0,MAX($L$4:L194)+1),0)</f>
      </c>
      <c r="M195" s="5">
        <f t="shared" si="55"/>
      </c>
      <c r="N195" s="5">
        <f t="shared" si="56"/>
      </c>
      <c r="P195" s="86">
        <f t="shared" si="44"/>
      </c>
      <c r="Q195" s="86">
        <f t="shared" si="45"/>
      </c>
      <c r="R195" s="86">
        <f t="shared" si="46"/>
      </c>
      <c r="S195" s="86">
        <f t="shared" si="47"/>
      </c>
      <c r="T195" s="86">
        <f t="shared" si="57"/>
        <v/>
      </c>
      <c r="U195" s="86">
        <f t="shared" si="58"/>
        <v/>
      </c>
      <c r="V195" s="86">
        <f t="shared" si="59"/>
        <v/>
      </c>
      <c r="W195" s="87">
        <f t="shared" si="48"/>
      </c>
      <c r="X195" s="88"/>
      <c r="Y195" s="88"/>
      <c r="Z195" s="88"/>
      <c r="AA195" s="88"/>
      <c r="AB195" s="88"/>
      <c r="AD195" s="86">
        <f t="shared" si="49"/>
      </c>
      <c r="AE195" s="86">
        <f t="shared" si="50"/>
      </c>
      <c r="AG195" s="86">
        <f t="shared" si="51"/>
      </c>
      <c r="AH195" s="86">
        <f t="shared" si="52"/>
      </c>
      <c r="AI195" s="86">
        <f t="shared" si="53"/>
      </c>
    </row>
    <row r="196" spans="6:35" x14ac:dyDescent="0.3">
      <c r="F196" s="26">
        <f>IF(G196=1,MAX($F$4:F195)+1,"")</f>
        <v/>
      </c>
      <c r="G196" s="26">
        <f>COUNTIF($H$5:H196,H196)</f>
      </c>
      <c r="H196" s="26">
        <f t="shared" si="54"/>
      </c>
      <c r="I196" s="26">
        <f>COUNTIF($J$4:$J196,1)</f>
      </c>
      <c r="J196" s="26">
        <f>COUNTIF($S$5:$S196,S196)</f>
      </c>
      <c r="K196" s="26">
        <f t="shared" si="43"/>
      </c>
      <c r="L196" s="26">
        <f>IFERROR(IF(P196=0,0,MAX($L$4:L195)+1),0)</f>
      </c>
      <c r="M196" s="5">
        <f t="shared" si="55"/>
      </c>
      <c r="N196" s="5">
        <f t="shared" si="56"/>
      </c>
      <c r="P196" s="86">
        <f t="shared" si="44"/>
      </c>
      <c r="Q196" s="86">
        <f t="shared" si="45"/>
      </c>
      <c r="R196" s="86">
        <f t="shared" si="46"/>
      </c>
      <c r="S196" s="86">
        <f t="shared" si="47"/>
      </c>
      <c r="T196" s="86">
        <f t="shared" si="57"/>
        <v/>
      </c>
      <c r="U196" s="86">
        <f t="shared" si="58"/>
        <v/>
      </c>
      <c r="V196" s="86">
        <f t="shared" si="59"/>
        <v/>
      </c>
      <c r="W196" s="87">
        <f t="shared" si="48"/>
      </c>
      <c r="X196" s="88"/>
      <c r="Y196" s="88"/>
      <c r="Z196" s="88"/>
      <c r="AA196" s="88"/>
      <c r="AB196" s="88"/>
      <c r="AD196" s="86">
        <f t="shared" si="49"/>
      </c>
      <c r="AE196" s="86">
        <f t="shared" si="50"/>
      </c>
      <c r="AG196" s="86">
        <f t="shared" si="51"/>
      </c>
      <c r="AH196" s="86">
        <f t="shared" si="52"/>
      </c>
      <c r="AI196" s="86">
        <f t="shared" si="53"/>
      </c>
    </row>
    <row r="197" spans="6:35" x14ac:dyDescent="0.3">
      <c r="F197" s="26">
        <f>IF(G197=1,MAX($F$4:F196)+1,"")</f>
        <v/>
      </c>
      <c r="G197" s="26">
        <f>COUNTIF($H$5:H197,H197)</f>
      </c>
      <c r="H197" s="26">
        <f t="shared" si="54"/>
      </c>
      <c r="I197" s="26">
        <f>COUNTIF($J$4:$J197,1)</f>
      </c>
      <c r="J197" s="26">
        <f>COUNTIF($S$5:$S197,S197)</f>
      </c>
      <c r="K197" s="26">
        <f t="shared" ref="K197:K260" si="60">VLOOKUP(P197,Исходные_данные,19,FALSE)</f>
      </c>
      <c r="L197" s="26">
        <f>IFERROR(IF(P197=0,0,MAX($L$4:L196)+1),0)</f>
      </c>
      <c r="M197" s="5">
        <f t="shared" si="55"/>
      </c>
      <c r="N197" s="5">
        <f t="shared" si="56"/>
      </c>
      <c r="P197" s="86">
        <f t="shared" ref="P197:P260" si="61">VLOOKUP(ROW(193:193),Разбивка_нумерация_5,4,FALSE)</f>
      </c>
      <c r="Q197" s="86">
        <f t="shared" ref="Q197:Q260" si="62">IF(VLOOKUP(ROW(193:193),Разбивка_нумерация_5,3,FALSE)=0,VLOOKUP(ROW(193:193),Разбивка_нумерация_5,2,FALSE),VLOOKUP(ROW(193:193),Разбивка_нумерация_5,3,FALSE))</f>
      </c>
      <c r="R197" s="86">
        <f t="shared" ref="R197:R260" si="63">VLOOKUP(ROW(193:193),Разбивка_нумерация_5,6,FALSE)</f>
      </c>
      <c r="S197" s="86">
        <f t="shared" ref="S197:S260" si="64">VLOOKUP(ROW(193:193),Разбивка_нумерация_5,17,FALSE)</f>
      </c>
      <c r="T197" s="86">
        <f t="shared" si="57"/>
        <v/>
      </c>
      <c r="U197" s="86">
        <f t="shared" si="58"/>
        <v/>
      </c>
      <c r="V197" s="86">
        <f t="shared" si="59"/>
        <v/>
      </c>
      <c r="W197" s="87">
        <f t="shared" ref="W197:W260" si="65">VLOOKUP(P197,Исходные_данные,13,FALSE)</f>
      </c>
      <c r="X197" s="88"/>
      <c r="Y197" s="88"/>
      <c r="Z197" s="88"/>
      <c r="AA197" s="88"/>
      <c r="AB197" s="88"/>
      <c r="AD197" s="86">
        <f t="shared" ref="AD197:AD260" si="66">VLOOKUP(S197,Кабель_диаметр,4,FALSE)</f>
      </c>
      <c r="AE197" s="86">
        <f t="shared" ref="AE197:AE260" si="67">VLOOKUP(S197,Кабель_диаметр,5,FALSE)</f>
      </c>
      <c r="AG197" s="86">
        <f t="shared" ref="AG197:AG260" si="68">IFERROR(VLOOKUP(P197,Исходные_данные,10,FALSE),0)</f>
      </c>
      <c r="AH197" s="86">
        <f t="shared" ref="AH197:AH260" si="69">IFERROR(VLOOKUP(P197,Исходные_данные,11,FALSE),0)</f>
      </c>
      <c r="AI197" s="86">
        <f t="shared" ref="AI197:AI260" si="70">IFERROR(VLOOKUP(P197,Исходные_данные,12,FALSE),0)</f>
      </c>
    </row>
    <row r="198" spans="6:35" x14ac:dyDescent="0.3">
      <c r="F198" s="26">
        <f>IF(G198=1,MAX($F$4:F197)+1,"")</f>
        <v/>
      </c>
      <c r="G198" s="26">
        <f>COUNTIF($H$5:H198,H198)</f>
      </c>
      <c r="H198" s="26">
        <f t="shared" ref="H198:H261" si="71">S198&amp;" "&amp;K198</f>
      </c>
      <c r="I198" s="26">
        <f>COUNTIF($J$4:$J198,1)</f>
      </c>
      <c r="J198" s="26">
        <f>COUNTIF($S$5:$S198,S198)</f>
      </c>
      <c r="K198" s="26">
        <f t="shared" si="60"/>
      </c>
      <c r="L198" s="26">
        <f>IFERROR(IF(P198=0,0,MAX($L$4:L197)+1),0)</f>
      </c>
      <c r="M198" s="5">
        <f t="shared" ref="M198:M261" si="72">LEFT(P198,SEARCH(".",P198)-1)</f>
      </c>
      <c r="N198" s="5">
        <f t="shared" ref="N198:N261" si="73">LEFT(RIGHT(P198,LEN(P198)-LEN(M198)-1),SEARCH(".",P198)-1)</f>
      </c>
      <c r="P198" s="86">
        <f t="shared" si="61"/>
      </c>
      <c r="Q198" s="86">
        <f t="shared" si="62"/>
      </c>
      <c r="R198" s="86">
        <f t="shared" si="63"/>
      </c>
      <c r="S198" s="86">
        <f t="shared" si="64"/>
      </c>
      <c r="T198" s="86">
        <f t="shared" ref="T198:T261" si="74">IF(AG198=0,"","L="&amp;AG198)</f>
        <v/>
      </c>
      <c r="U198" s="86">
        <f t="shared" ref="U198:U261" si="75">IF(AH198=0,"",AD198&amp;" L="&amp;AH198)</f>
        <v/>
      </c>
      <c r="V198" s="86">
        <f t="shared" ref="V198:V261" si="76">IF(AI198=0,"",AE198&amp;" L="&amp;AI198)</f>
        <v/>
      </c>
      <c r="W198" s="87">
        <f t="shared" si="65"/>
      </c>
      <c r="X198" s="88"/>
      <c r="Y198" s="88"/>
      <c r="Z198" s="88"/>
      <c r="AA198" s="88"/>
      <c r="AB198" s="88"/>
      <c r="AD198" s="86">
        <f t="shared" si="66"/>
      </c>
      <c r="AE198" s="86">
        <f t="shared" si="67"/>
      </c>
      <c r="AG198" s="86">
        <f t="shared" si="68"/>
      </c>
      <c r="AH198" s="86">
        <f t="shared" si="69"/>
      </c>
      <c r="AI198" s="86">
        <f t="shared" si="70"/>
      </c>
    </row>
    <row r="199" spans="6:35" x14ac:dyDescent="0.3">
      <c r="F199" s="26">
        <f>IF(G199=1,MAX($F$4:F198)+1,"")</f>
        <v/>
      </c>
      <c r="G199" s="26">
        <f>COUNTIF($H$5:H199,H199)</f>
      </c>
      <c r="H199" s="26">
        <f t="shared" si="71"/>
      </c>
      <c r="I199" s="26">
        <f>COUNTIF($J$4:$J199,1)</f>
      </c>
      <c r="J199" s="26">
        <f>COUNTIF($S$5:$S199,S199)</f>
      </c>
      <c r="K199" s="26">
        <f t="shared" si="60"/>
      </c>
      <c r="L199" s="26">
        <f>IFERROR(IF(P199=0,0,MAX($L$4:L198)+1),0)</f>
      </c>
      <c r="M199" s="5">
        <f t="shared" si="72"/>
      </c>
      <c r="N199" s="5">
        <f t="shared" si="73"/>
      </c>
      <c r="P199" s="86">
        <f t="shared" si="61"/>
      </c>
      <c r="Q199" s="86">
        <f t="shared" si="62"/>
      </c>
      <c r="R199" s="86">
        <f t="shared" si="63"/>
      </c>
      <c r="S199" s="86">
        <f t="shared" si="64"/>
      </c>
      <c r="T199" s="86">
        <f t="shared" si="74"/>
        <v/>
      </c>
      <c r="U199" s="86">
        <f t="shared" si="75"/>
        <v/>
      </c>
      <c r="V199" s="86">
        <f t="shared" si="76"/>
        <v/>
      </c>
      <c r="W199" s="87">
        <f t="shared" si="65"/>
      </c>
      <c r="X199" s="88"/>
      <c r="Y199" s="88"/>
      <c r="Z199" s="88"/>
      <c r="AA199" s="88"/>
      <c r="AB199" s="88"/>
      <c r="AD199" s="86">
        <f t="shared" si="66"/>
      </c>
      <c r="AE199" s="86">
        <f t="shared" si="67"/>
      </c>
      <c r="AG199" s="86">
        <f t="shared" si="68"/>
      </c>
      <c r="AH199" s="86">
        <f t="shared" si="69"/>
      </c>
      <c r="AI199" s="86">
        <f t="shared" si="70"/>
      </c>
    </row>
    <row r="200" spans="6:35" x14ac:dyDescent="0.3">
      <c r="F200" s="26">
        <f>IF(G200=1,MAX($F$4:F199)+1,"")</f>
        <v/>
      </c>
      <c r="G200" s="26">
        <f>COUNTIF($H$5:H200,H200)</f>
      </c>
      <c r="H200" s="26">
        <f t="shared" si="71"/>
      </c>
      <c r="I200" s="26">
        <f>COUNTIF($J$4:$J200,1)</f>
      </c>
      <c r="J200" s="26">
        <f>COUNTIF($S$5:$S200,S200)</f>
      </c>
      <c r="K200" s="26">
        <f t="shared" si="60"/>
      </c>
      <c r="L200" s="26">
        <f>IFERROR(IF(P200=0,0,MAX($L$4:L199)+1),0)</f>
      </c>
      <c r="M200" s="5">
        <f t="shared" si="72"/>
      </c>
      <c r="N200" s="5">
        <f t="shared" si="73"/>
      </c>
      <c r="P200" s="86">
        <f t="shared" si="61"/>
      </c>
      <c r="Q200" s="86">
        <f t="shared" si="62"/>
      </c>
      <c r="R200" s="86">
        <f t="shared" si="63"/>
      </c>
      <c r="S200" s="86">
        <f t="shared" si="64"/>
      </c>
      <c r="T200" s="86">
        <f t="shared" si="74"/>
        <v/>
      </c>
      <c r="U200" s="86">
        <f t="shared" si="75"/>
        <v/>
      </c>
      <c r="V200" s="86">
        <f t="shared" si="76"/>
        <v/>
      </c>
      <c r="W200" s="87">
        <f t="shared" si="65"/>
      </c>
      <c r="X200" s="88"/>
      <c r="Y200" s="88"/>
      <c r="Z200" s="88"/>
      <c r="AA200" s="88"/>
      <c r="AB200" s="88"/>
      <c r="AD200" s="86">
        <f t="shared" si="66"/>
      </c>
      <c r="AE200" s="86">
        <f t="shared" si="67"/>
      </c>
      <c r="AG200" s="86">
        <f t="shared" si="68"/>
      </c>
      <c r="AH200" s="86">
        <f t="shared" si="69"/>
      </c>
      <c r="AI200" s="86">
        <f t="shared" si="70"/>
      </c>
    </row>
    <row r="201" spans="6:35" x14ac:dyDescent="0.3">
      <c r="F201" s="26">
        <f>IF(G201=1,MAX($F$4:F200)+1,"")</f>
        <v/>
      </c>
      <c r="G201" s="26">
        <f>COUNTIF($H$5:H201,H201)</f>
      </c>
      <c r="H201" s="26">
        <f t="shared" si="71"/>
      </c>
      <c r="I201" s="26">
        <f>COUNTIF($J$4:$J201,1)</f>
      </c>
      <c r="J201" s="26">
        <f>COUNTIF($S$5:$S201,S201)</f>
      </c>
      <c r="K201" s="26">
        <f t="shared" si="60"/>
      </c>
      <c r="L201" s="26">
        <f>IFERROR(IF(P201=0,0,MAX($L$4:L200)+1),0)</f>
      </c>
      <c r="M201" s="5">
        <f t="shared" si="72"/>
      </c>
      <c r="N201" s="5">
        <f t="shared" si="73"/>
      </c>
      <c r="P201" s="86">
        <f t="shared" si="61"/>
      </c>
      <c r="Q201" s="86">
        <f t="shared" si="62"/>
      </c>
      <c r="R201" s="86">
        <f t="shared" si="63"/>
      </c>
      <c r="S201" s="86">
        <f t="shared" si="64"/>
      </c>
      <c r="T201" s="86">
        <f t="shared" si="74"/>
        <v/>
      </c>
      <c r="U201" s="86">
        <f t="shared" si="75"/>
        <v/>
      </c>
      <c r="V201" s="86">
        <f t="shared" si="76"/>
        <v/>
      </c>
      <c r="W201" s="87">
        <f t="shared" si="65"/>
      </c>
      <c r="X201" s="88"/>
      <c r="Y201" s="88"/>
      <c r="Z201" s="88"/>
      <c r="AA201" s="88"/>
      <c r="AB201" s="88"/>
      <c r="AD201" s="86">
        <f t="shared" si="66"/>
      </c>
      <c r="AE201" s="86">
        <f t="shared" si="67"/>
      </c>
      <c r="AG201" s="86">
        <f t="shared" si="68"/>
      </c>
      <c r="AH201" s="86">
        <f t="shared" si="69"/>
      </c>
      <c r="AI201" s="86">
        <f t="shared" si="70"/>
      </c>
    </row>
    <row r="202" spans="6:35" x14ac:dyDescent="0.3">
      <c r="F202" s="26">
        <f>IF(G202=1,MAX($F$4:F201)+1,"")</f>
        <v/>
      </c>
      <c r="G202" s="26">
        <f>COUNTIF($H$5:H202,H202)</f>
      </c>
      <c r="H202" s="26">
        <f t="shared" si="71"/>
      </c>
      <c r="I202" s="26">
        <f>COUNTIF($J$4:$J202,1)</f>
      </c>
      <c r="J202" s="26">
        <f>COUNTIF($S$5:$S202,S202)</f>
      </c>
      <c r="K202" s="26">
        <f t="shared" si="60"/>
      </c>
      <c r="L202" s="26">
        <f>IFERROR(IF(P202=0,0,MAX($L$4:L201)+1),0)</f>
      </c>
      <c r="M202" s="5">
        <f t="shared" si="72"/>
      </c>
      <c r="N202" s="5">
        <f t="shared" si="73"/>
      </c>
      <c r="P202" s="86">
        <f t="shared" si="61"/>
      </c>
      <c r="Q202" s="86">
        <f t="shared" si="62"/>
      </c>
      <c r="R202" s="86">
        <f t="shared" si="63"/>
      </c>
      <c r="S202" s="86">
        <f t="shared" si="64"/>
      </c>
      <c r="T202" s="86">
        <f t="shared" si="74"/>
        <v/>
      </c>
      <c r="U202" s="86">
        <f t="shared" si="75"/>
        <v/>
      </c>
      <c r="V202" s="86">
        <f t="shared" si="76"/>
        <v/>
      </c>
      <c r="W202" s="87">
        <f t="shared" si="65"/>
      </c>
      <c r="X202" s="88"/>
      <c r="Y202" s="88"/>
      <c r="Z202" s="88"/>
      <c r="AA202" s="88"/>
      <c r="AB202" s="88"/>
      <c r="AD202" s="86">
        <f t="shared" si="66"/>
      </c>
      <c r="AE202" s="86">
        <f t="shared" si="67"/>
      </c>
      <c r="AG202" s="86">
        <f t="shared" si="68"/>
      </c>
      <c r="AH202" s="86">
        <f t="shared" si="69"/>
      </c>
      <c r="AI202" s="86">
        <f t="shared" si="70"/>
      </c>
    </row>
    <row r="203" spans="6:35" x14ac:dyDescent="0.3">
      <c r="F203" s="26">
        <f>IF(G203=1,MAX($F$4:F202)+1,"")</f>
        <v/>
      </c>
      <c r="G203" s="26">
        <f>COUNTIF($H$5:H203,H203)</f>
      </c>
      <c r="H203" s="26">
        <f t="shared" si="71"/>
      </c>
      <c r="I203" s="26">
        <f>COUNTIF($J$4:$J203,1)</f>
      </c>
      <c r="J203" s="26">
        <f>COUNTIF($S$5:$S203,S203)</f>
      </c>
      <c r="K203" s="26">
        <f t="shared" si="60"/>
      </c>
      <c r="L203" s="26">
        <f>IFERROR(IF(P203=0,0,MAX($L$4:L202)+1),0)</f>
      </c>
      <c r="M203" s="5">
        <f t="shared" si="72"/>
      </c>
      <c r="N203" s="5">
        <f t="shared" si="73"/>
      </c>
      <c r="P203" s="86">
        <f t="shared" si="61"/>
      </c>
      <c r="Q203" s="86">
        <f t="shared" si="62"/>
      </c>
      <c r="R203" s="86">
        <f t="shared" si="63"/>
      </c>
      <c r="S203" s="86">
        <f t="shared" si="64"/>
      </c>
      <c r="T203" s="86">
        <f t="shared" si="74"/>
        <v/>
      </c>
      <c r="U203" s="86">
        <f t="shared" si="75"/>
        <v/>
      </c>
      <c r="V203" s="86">
        <f t="shared" si="76"/>
        <v/>
      </c>
      <c r="W203" s="87">
        <f t="shared" si="65"/>
      </c>
      <c r="X203" s="88"/>
      <c r="Y203" s="88"/>
      <c r="Z203" s="88"/>
      <c r="AA203" s="88"/>
      <c r="AB203" s="88"/>
      <c r="AD203" s="86">
        <f t="shared" si="66"/>
      </c>
      <c r="AE203" s="86">
        <f t="shared" si="67"/>
      </c>
      <c r="AG203" s="86">
        <f t="shared" si="68"/>
      </c>
      <c r="AH203" s="86">
        <f t="shared" si="69"/>
      </c>
      <c r="AI203" s="86">
        <f t="shared" si="70"/>
      </c>
    </row>
    <row r="204" spans="6:35" x14ac:dyDescent="0.3">
      <c r="F204" s="26">
        <f>IF(G204=1,MAX($F$4:F203)+1,"")</f>
        <v/>
      </c>
      <c r="G204" s="26">
        <f>COUNTIF($H$5:H204,H204)</f>
      </c>
      <c r="H204" s="26">
        <f t="shared" si="71"/>
      </c>
      <c r="I204" s="26">
        <f>COUNTIF($J$4:$J204,1)</f>
      </c>
      <c r="J204" s="26">
        <f>COUNTIF($S$5:$S204,S204)</f>
      </c>
      <c r="K204" s="26">
        <f t="shared" si="60"/>
      </c>
      <c r="L204" s="26">
        <f>IFERROR(IF(P204=0,0,MAX($L$4:L203)+1),0)</f>
      </c>
      <c r="M204" s="5">
        <f t="shared" si="72"/>
      </c>
      <c r="N204" s="5">
        <f t="shared" si="73"/>
      </c>
      <c r="P204" s="86">
        <f t="shared" si="61"/>
      </c>
      <c r="Q204" s="86">
        <f t="shared" si="62"/>
      </c>
      <c r="R204" s="86">
        <f t="shared" si="63"/>
      </c>
      <c r="S204" s="86">
        <f t="shared" si="64"/>
      </c>
      <c r="T204" s="86">
        <f t="shared" si="74"/>
        <v/>
      </c>
      <c r="U204" s="86">
        <f t="shared" si="75"/>
        <v/>
      </c>
      <c r="V204" s="86">
        <f t="shared" si="76"/>
        <v/>
      </c>
      <c r="W204" s="87">
        <f t="shared" si="65"/>
      </c>
      <c r="X204" s="88"/>
      <c r="Y204" s="88"/>
      <c r="Z204" s="88"/>
      <c r="AA204" s="88"/>
      <c r="AB204" s="88"/>
      <c r="AD204" s="86">
        <f t="shared" si="66"/>
      </c>
      <c r="AE204" s="86">
        <f t="shared" si="67"/>
      </c>
      <c r="AG204" s="86">
        <f t="shared" si="68"/>
      </c>
      <c r="AH204" s="86">
        <f t="shared" si="69"/>
      </c>
      <c r="AI204" s="86">
        <f t="shared" si="70"/>
      </c>
    </row>
    <row r="205" spans="6:35" x14ac:dyDescent="0.3">
      <c r="F205" s="26">
        <f>IF(G205=1,MAX($F$4:F204)+1,"")</f>
        <v/>
      </c>
      <c r="G205" s="26">
        <f>COUNTIF($H$5:H205,H205)</f>
      </c>
      <c r="H205" s="26">
        <f t="shared" si="71"/>
      </c>
      <c r="I205" s="26">
        <f>COUNTIF($J$4:$J205,1)</f>
      </c>
      <c r="J205" s="26">
        <f>COUNTIF($S$5:$S205,S205)</f>
      </c>
      <c r="K205" s="26">
        <f t="shared" si="60"/>
      </c>
      <c r="L205" s="26">
        <f>IFERROR(IF(P205=0,0,MAX($L$4:L204)+1),0)</f>
      </c>
      <c r="M205" s="5">
        <f t="shared" si="72"/>
      </c>
      <c r="N205" s="5">
        <f t="shared" si="73"/>
      </c>
      <c r="P205" s="86">
        <f t="shared" si="61"/>
      </c>
      <c r="Q205" s="86">
        <f t="shared" si="62"/>
      </c>
      <c r="R205" s="86">
        <f t="shared" si="63"/>
      </c>
      <c r="S205" s="86">
        <f t="shared" si="64"/>
      </c>
      <c r="T205" s="86">
        <f t="shared" si="74"/>
        <v/>
      </c>
      <c r="U205" s="86">
        <f t="shared" si="75"/>
        <v/>
      </c>
      <c r="V205" s="86">
        <f t="shared" si="76"/>
        <v/>
      </c>
      <c r="W205" s="87">
        <f t="shared" si="65"/>
      </c>
      <c r="X205" s="88"/>
      <c r="Y205" s="88"/>
      <c r="Z205" s="88"/>
      <c r="AA205" s="88"/>
      <c r="AB205" s="88"/>
      <c r="AD205" s="86">
        <f t="shared" si="66"/>
      </c>
      <c r="AE205" s="86">
        <f t="shared" si="67"/>
      </c>
      <c r="AG205" s="86">
        <f t="shared" si="68"/>
      </c>
      <c r="AH205" s="86">
        <f t="shared" si="69"/>
      </c>
      <c r="AI205" s="86">
        <f t="shared" si="70"/>
      </c>
    </row>
    <row r="206" spans="6:35" x14ac:dyDescent="0.3">
      <c r="F206" s="26">
        <f>IF(G206=1,MAX($F$4:F205)+1,"")</f>
        <v/>
      </c>
      <c r="G206" s="26">
        <f>COUNTIF($H$5:H206,H206)</f>
      </c>
      <c r="H206" s="26">
        <f t="shared" si="71"/>
      </c>
      <c r="I206" s="26">
        <f>COUNTIF($J$4:$J206,1)</f>
      </c>
      <c r="J206" s="26">
        <f>COUNTIF($S$5:$S206,S206)</f>
      </c>
      <c r="K206" s="26">
        <f t="shared" si="60"/>
      </c>
      <c r="L206" s="26">
        <f>IFERROR(IF(P206=0,0,MAX($L$4:L205)+1),0)</f>
      </c>
      <c r="M206" s="5">
        <f t="shared" si="72"/>
      </c>
      <c r="N206" s="5">
        <f t="shared" si="73"/>
      </c>
      <c r="P206" s="86">
        <f t="shared" si="61"/>
      </c>
      <c r="Q206" s="86">
        <f t="shared" si="62"/>
      </c>
      <c r="R206" s="86">
        <f t="shared" si="63"/>
      </c>
      <c r="S206" s="86">
        <f t="shared" si="64"/>
      </c>
      <c r="T206" s="86">
        <f t="shared" si="74"/>
        <v/>
      </c>
      <c r="U206" s="86">
        <f t="shared" si="75"/>
        <v/>
      </c>
      <c r="V206" s="86">
        <f t="shared" si="76"/>
        <v/>
      </c>
      <c r="W206" s="87">
        <f t="shared" si="65"/>
      </c>
      <c r="X206" s="88"/>
      <c r="Y206" s="88"/>
      <c r="Z206" s="88"/>
      <c r="AA206" s="88"/>
      <c r="AB206" s="88"/>
      <c r="AD206" s="86">
        <f t="shared" si="66"/>
      </c>
      <c r="AE206" s="86">
        <f t="shared" si="67"/>
      </c>
      <c r="AG206" s="86">
        <f t="shared" si="68"/>
      </c>
      <c r="AH206" s="86">
        <f t="shared" si="69"/>
      </c>
      <c r="AI206" s="86">
        <f t="shared" si="70"/>
      </c>
    </row>
    <row r="207" spans="6:35" x14ac:dyDescent="0.3">
      <c r="F207" s="26">
        <f>IF(G207=1,MAX($F$4:F206)+1,"")</f>
        <v/>
      </c>
      <c r="G207" s="26">
        <f>COUNTIF($H$5:H207,H207)</f>
      </c>
      <c r="H207" s="26">
        <f t="shared" si="71"/>
      </c>
      <c r="I207" s="26">
        <f>COUNTIF($J$4:$J207,1)</f>
      </c>
      <c r="J207" s="26">
        <f>COUNTIF($S$5:$S207,S207)</f>
      </c>
      <c r="K207" s="26">
        <f t="shared" si="60"/>
      </c>
      <c r="L207" s="26">
        <f>IFERROR(IF(P207=0,0,MAX($L$4:L206)+1),0)</f>
      </c>
      <c r="M207" s="5">
        <f t="shared" si="72"/>
      </c>
      <c r="N207" s="5">
        <f t="shared" si="73"/>
      </c>
      <c r="P207" s="86">
        <f t="shared" si="61"/>
      </c>
      <c r="Q207" s="86">
        <f t="shared" si="62"/>
      </c>
      <c r="R207" s="86">
        <f t="shared" si="63"/>
      </c>
      <c r="S207" s="86">
        <f t="shared" si="64"/>
      </c>
      <c r="T207" s="86">
        <f t="shared" si="74"/>
        <v/>
      </c>
      <c r="U207" s="86">
        <f t="shared" si="75"/>
        <v/>
      </c>
      <c r="V207" s="86">
        <f t="shared" si="76"/>
        <v/>
      </c>
      <c r="W207" s="87">
        <f t="shared" si="65"/>
      </c>
      <c r="X207" s="88"/>
      <c r="Y207" s="88"/>
      <c r="Z207" s="88"/>
      <c r="AA207" s="88"/>
      <c r="AB207" s="88"/>
      <c r="AD207" s="86">
        <f t="shared" si="66"/>
      </c>
      <c r="AE207" s="86">
        <f t="shared" si="67"/>
      </c>
      <c r="AG207" s="86">
        <f t="shared" si="68"/>
      </c>
      <c r="AH207" s="86">
        <f t="shared" si="69"/>
      </c>
      <c r="AI207" s="86">
        <f t="shared" si="70"/>
      </c>
    </row>
    <row r="208" spans="6:35" x14ac:dyDescent="0.3">
      <c r="F208" s="26">
        <f>IF(G208=1,MAX($F$4:F207)+1,"")</f>
        <v/>
      </c>
      <c r="G208" s="26">
        <f>COUNTIF($H$5:H208,H208)</f>
      </c>
      <c r="H208" s="26">
        <f t="shared" si="71"/>
      </c>
      <c r="I208" s="26">
        <f>COUNTIF($J$4:$J208,1)</f>
      </c>
      <c r="J208" s="26">
        <f>COUNTIF($S$5:$S208,S208)</f>
      </c>
      <c r="K208" s="26">
        <f t="shared" si="60"/>
      </c>
      <c r="L208" s="26">
        <f>IFERROR(IF(P208=0,0,MAX($L$4:L207)+1),0)</f>
      </c>
      <c r="M208" s="5">
        <f t="shared" si="72"/>
      </c>
      <c r="N208" s="5">
        <f t="shared" si="73"/>
      </c>
      <c r="P208" s="86">
        <f t="shared" si="61"/>
      </c>
      <c r="Q208" s="86">
        <f t="shared" si="62"/>
      </c>
      <c r="R208" s="86">
        <f t="shared" si="63"/>
      </c>
      <c r="S208" s="86">
        <f t="shared" si="64"/>
      </c>
      <c r="T208" s="86">
        <f t="shared" si="74"/>
        <v/>
      </c>
      <c r="U208" s="86">
        <f t="shared" si="75"/>
        <v/>
      </c>
      <c r="V208" s="86">
        <f t="shared" si="76"/>
        <v/>
      </c>
      <c r="W208" s="87">
        <f t="shared" si="65"/>
      </c>
      <c r="X208" s="88"/>
      <c r="Y208" s="88"/>
      <c r="Z208" s="88"/>
      <c r="AA208" s="88"/>
      <c r="AB208" s="88"/>
      <c r="AD208" s="86">
        <f t="shared" si="66"/>
      </c>
      <c r="AE208" s="86">
        <f t="shared" si="67"/>
      </c>
      <c r="AG208" s="86">
        <f t="shared" si="68"/>
      </c>
      <c r="AH208" s="86">
        <f t="shared" si="69"/>
      </c>
      <c r="AI208" s="86">
        <f t="shared" si="70"/>
      </c>
    </row>
    <row r="209" spans="6:35" x14ac:dyDescent="0.3">
      <c r="F209" s="26">
        <f>IF(G209=1,MAX($F$4:F208)+1,"")</f>
        <v/>
      </c>
      <c r="G209" s="26">
        <f>COUNTIF($H$5:H209,H209)</f>
      </c>
      <c r="H209" s="26">
        <f t="shared" si="71"/>
      </c>
      <c r="I209" s="26">
        <f>COUNTIF($J$4:$J209,1)</f>
      </c>
      <c r="J209" s="26">
        <f>COUNTIF($S$5:$S209,S209)</f>
      </c>
      <c r="K209" s="26">
        <f t="shared" si="60"/>
      </c>
      <c r="L209" s="26">
        <f>IFERROR(IF(P209=0,0,MAX($L$4:L208)+1),0)</f>
      </c>
      <c r="M209" s="5">
        <f t="shared" si="72"/>
      </c>
      <c r="N209" s="5">
        <f t="shared" si="73"/>
      </c>
      <c r="P209" s="86">
        <f t="shared" si="61"/>
      </c>
      <c r="Q209" s="86">
        <f t="shared" si="62"/>
      </c>
      <c r="R209" s="86">
        <f t="shared" si="63"/>
      </c>
      <c r="S209" s="86">
        <f t="shared" si="64"/>
      </c>
      <c r="T209" s="86">
        <f t="shared" si="74"/>
        <v/>
      </c>
      <c r="U209" s="86">
        <f t="shared" si="75"/>
        <v/>
      </c>
      <c r="V209" s="86">
        <f t="shared" si="76"/>
        <v/>
      </c>
      <c r="W209" s="87">
        <f t="shared" si="65"/>
      </c>
      <c r="X209" s="88"/>
      <c r="Y209" s="88"/>
      <c r="Z209" s="88"/>
      <c r="AA209" s="88"/>
      <c r="AB209" s="88"/>
      <c r="AD209" s="86">
        <f t="shared" si="66"/>
      </c>
      <c r="AE209" s="86">
        <f t="shared" si="67"/>
      </c>
      <c r="AG209" s="86">
        <f t="shared" si="68"/>
      </c>
      <c r="AH209" s="86">
        <f t="shared" si="69"/>
      </c>
      <c r="AI209" s="86">
        <f t="shared" si="70"/>
      </c>
    </row>
    <row r="210" spans="6:35" x14ac:dyDescent="0.3">
      <c r="F210" s="26">
        <f>IF(G210=1,MAX($F$4:F209)+1,"")</f>
        <v/>
      </c>
      <c r="G210" s="26">
        <f>COUNTIF($H$5:H210,H210)</f>
      </c>
      <c r="H210" s="26">
        <f t="shared" si="71"/>
      </c>
      <c r="I210" s="26">
        <f>COUNTIF($J$4:$J210,1)</f>
      </c>
      <c r="J210" s="26">
        <f>COUNTIF($S$5:$S210,S210)</f>
      </c>
      <c r="K210" s="26">
        <f t="shared" si="60"/>
      </c>
      <c r="L210" s="26">
        <f>IFERROR(IF(P210=0,0,MAX($L$4:L209)+1),0)</f>
      </c>
      <c r="M210" s="5">
        <f t="shared" si="72"/>
      </c>
      <c r="N210" s="5">
        <f t="shared" si="73"/>
      </c>
      <c r="P210" s="86">
        <f t="shared" si="61"/>
      </c>
      <c r="Q210" s="86">
        <f t="shared" si="62"/>
      </c>
      <c r="R210" s="86">
        <f t="shared" si="63"/>
      </c>
      <c r="S210" s="86">
        <f t="shared" si="64"/>
      </c>
      <c r="T210" s="86">
        <f t="shared" si="74"/>
        <v/>
      </c>
      <c r="U210" s="86">
        <f t="shared" si="75"/>
        <v/>
      </c>
      <c r="V210" s="86">
        <f t="shared" si="76"/>
        <v/>
      </c>
      <c r="W210" s="87">
        <f t="shared" si="65"/>
      </c>
      <c r="X210" s="88"/>
      <c r="Y210" s="88"/>
      <c r="Z210" s="88"/>
      <c r="AA210" s="88"/>
      <c r="AB210" s="88"/>
      <c r="AD210" s="86">
        <f t="shared" si="66"/>
      </c>
      <c r="AE210" s="86">
        <f t="shared" si="67"/>
      </c>
      <c r="AG210" s="86">
        <f t="shared" si="68"/>
      </c>
      <c r="AH210" s="86">
        <f t="shared" si="69"/>
      </c>
      <c r="AI210" s="86">
        <f t="shared" si="70"/>
      </c>
    </row>
    <row r="211" spans="6:35" x14ac:dyDescent="0.3">
      <c r="F211" s="26">
        <f>IF(G211=1,MAX($F$4:F210)+1,"")</f>
        <v/>
      </c>
      <c r="G211" s="26">
        <f>COUNTIF($H$5:H211,H211)</f>
      </c>
      <c r="H211" s="26">
        <f t="shared" si="71"/>
      </c>
      <c r="I211" s="26">
        <f>COUNTIF($J$4:$J211,1)</f>
      </c>
      <c r="J211" s="26">
        <f>COUNTIF($S$5:$S211,S211)</f>
      </c>
      <c r="K211" s="26">
        <f t="shared" si="60"/>
      </c>
      <c r="L211" s="26">
        <f>IFERROR(IF(P211=0,0,MAX($L$4:L210)+1),0)</f>
      </c>
      <c r="M211" s="5">
        <f t="shared" si="72"/>
      </c>
      <c r="N211" s="5">
        <f t="shared" si="73"/>
      </c>
      <c r="P211" s="86">
        <f t="shared" si="61"/>
      </c>
      <c r="Q211" s="86">
        <f t="shared" si="62"/>
      </c>
      <c r="R211" s="86">
        <f t="shared" si="63"/>
      </c>
      <c r="S211" s="86">
        <f t="shared" si="64"/>
      </c>
      <c r="T211" s="86">
        <f t="shared" si="74"/>
        <v/>
      </c>
      <c r="U211" s="86">
        <f t="shared" si="75"/>
        <v/>
      </c>
      <c r="V211" s="86">
        <f t="shared" si="76"/>
        <v/>
      </c>
      <c r="W211" s="87">
        <f t="shared" si="65"/>
      </c>
      <c r="X211" s="88"/>
      <c r="Y211" s="88"/>
      <c r="Z211" s="88"/>
      <c r="AA211" s="88"/>
      <c r="AB211" s="88"/>
      <c r="AD211" s="86">
        <f t="shared" si="66"/>
      </c>
      <c r="AE211" s="86">
        <f t="shared" si="67"/>
      </c>
      <c r="AG211" s="86">
        <f t="shared" si="68"/>
      </c>
      <c r="AH211" s="86">
        <f t="shared" si="69"/>
      </c>
      <c r="AI211" s="86">
        <f t="shared" si="70"/>
      </c>
    </row>
    <row r="212" spans="6:35" x14ac:dyDescent="0.3">
      <c r="F212" s="26">
        <f>IF(G212=1,MAX($F$4:F211)+1,"")</f>
        <v/>
      </c>
      <c r="G212" s="26">
        <f>COUNTIF($H$5:H212,H212)</f>
      </c>
      <c r="H212" s="26">
        <f t="shared" si="71"/>
      </c>
      <c r="I212" s="26">
        <f>COUNTIF($J$4:$J212,1)</f>
      </c>
      <c r="J212" s="26">
        <f>COUNTIF($S$5:$S212,S212)</f>
      </c>
      <c r="K212" s="26">
        <f t="shared" si="60"/>
      </c>
      <c r="L212" s="26">
        <f>IFERROR(IF(P212=0,0,MAX($L$4:L211)+1),0)</f>
      </c>
      <c r="M212" s="5">
        <f t="shared" si="72"/>
      </c>
      <c r="N212" s="5">
        <f t="shared" si="73"/>
      </c>
      <c r="P212" s="86">
        <f t="shared" si="61"/>
      </c>
      <c r="Q212" s="86">
        <f t="shared" si="62"/>
      </c>
      <c r="R212" s="86">
        <f t="shared" si="63"/>
      </c>
      <c r="S212" s="86">
        <f t="shared" si="64"/>
      </c>
      <c r="T212" s="86">
        <f t="shared" si="74"/>
        <v/>
      </c>
      <c r="U212" s="86">
        <f t="shared" si="75"/>
        <v/>
      </c>
      <c r="V212" s="86">
        <f t="shared" si="76"/>
        <v/>
      </c>
      <c r="W212" s="87">
        <f t="shared" si="65"/>
      </c>
      <c r="X212" s="88"/>
      <c r="Y212" s="88"/>
      <c r="Z212" s="88"/>
      <c r="AA212" s="88"/>
      <c r="AB212" s="88"/>
      <c r="AD212" s="86">
        <f t="shared" si="66"/>
      </c>
      <c r="AE212" s="86">
        <f t="shared" si="67"/>
      </c>
      <c r="AG212" s="86">
        <f t="shared" si="68"/>
      </c>
      <c r="AH212" s="86">
        <f t="shared" si="69"/>
      </c>
      <c r="AI212" s="86">
        <f t="shared" si="70"/>
      </c>
    </row>
    <row r="213" spans="6:35" x14ac:dyDescent="0.3">
      <c r="F213" s="26">
        <f>IF(G213=1,MAX($F$4:F212)+1,"")</f>
        <v/>
      </c>
      <c r="G213" s="26">
        <f>COUNTIF($H$5:H213,H213)</f>
      </c>
      <c r="H213" s="26">
        <f t="shared" si="71"/>
      </c>
      <c r="I213" s="26">
        <f>COUNTIF($J$4:$J213,1)</f>
      </c>
      <c r="J213" s="26">
        <f>COUNTIF($S$5:$S213,S213)</f>
      </c>
      <c r="K213" s="26">
        <f t="shared" si="60"/>
      </c>
      <c r="L213" s="26">
        <f>IFERROR(IF(P213=0,0,MAX($L$4:L212)+1),0)</f>
      </c>
      <c r="M213" s="5">
        <f t="shared" si="72"/>
      </c>
      <c r="N213" s="5">
        <f t="shared" si="73"/>
      </c>
      <c r="P213" s="86">
        <f t="shared" si="61"/>
      </c>
      <c r="Q213" s="86">
        <f t="shared" si="62"/>
      </c>
      <c r="R213" s="86">
        <f t="shared" si="63"/>
      </c>
      <c r="S213" s="86">
        <f t="shared" si="64"/>
      </c>
      <c r="T213" s="86">
        <f t="shared" si="74"/>
        <v/>
      </c>
      <c r="U213" s="86">
        <f t="shared" si="75"/>
        <v/>
      </c>
      <c r="V213" s="86">
        <f t="shared" si="76"/>
        <v/>
      </c>
      <c r="W213" s="87">
        <f t="shared" si="65"/>
      </c>
      <c r="X213" s="88"/>
      <c r="Y213" s="88"/>
      <c r="Z213" s="88"/>
      <c r="AA213" s="88"/>
      <c r="AB213" s="88"/>
      <c r="AD213" s="86">
        <f t="shared" si="66"/>
      </c>
      <c r="AE213" s="86">
        <f t="shared" si="67"/>
      </c>
      <c r="AG213" s="86">
        <f t="shared" si="68"/>
      </c>
      <c r="AH213" s="86">
        <f t="shared" si="69"/>
      </c>
      <c r="AI213" s="86">
        <f t="shared" si="70"/>
      </c>
    </row>
    <row r="214" spans="6:35" x14ac:dyDescent="0.3">
      <c r="F214" s="26">
        <f>IF(G214=1,MAX($F$4:F213)+1,"")</f>
        <v/>
      </c>
      <c r="G214" s="26">
        <f>COUNTIF($H$5:H214,H214)</f>
      </c>
      <c r="H214" s="26">
        <f t="shared" si="71"/>
      </c>
      <c r="I214" s="26">
        <f>COUNTIF($J$4:$J214,1)</f>
      </c>
      <c r="J214" s="26">
        <f>COUNTIF($S$5:$S214,S214)</f>
      </c>
      <c r="K214" s="26">
        <f t="shared" si="60"/>
      </c>
      <c r="L214" s="26">
        <f>IFERROR(IF(P214=0,0,MAX($L$4:L213)+1),0)</f>
      </c>
      <c r="M214" s="5">
        <f t="shared" si="72"/>
      </c>
      <c r="N214" s="5">
        <f t="shared" si="73"/>
      </c>
      <c r="P214" s="86">
        <f t="shared" si="61"/>
      </c>
      <c r="Q214" s="86">
        <f t="shared" si="62"/>
      </c>
      <c r="R214" s="86">
        <f t="shared" si="63"/>
      </c>
      <c r="S214" s="86">
        <f t="shared" si="64"/>
      </c>
      <c r="T214" s="86">
        <f t="shared" si="74"/>
        <v/>
      </c>
      <c r="U214" s="86">
        <f t="shared" si="75"/>
        <v/>
      </c>
      <c r="V214" s="86">
        <f t="shared" si="76"/>
        <v/>
      </c>
      <c r="W214" s="87">
        <f t="shared" si="65"/>
      </c>
      <c r="X214" s="88"/>
      <c r="Y214" s="88"/>
      <c r="Z214" s="88"/>
      <c r="AA214" s="88"/>
      <c r="AB214" s="88"/>
      <c r="AD214" s="86">
        <f t="shared" si="66"/>
      </c>
      <c r="AE214" s="86">
        <f t="shared" si="67"/>
      </c>
      <c r="AG214" s="86">
        <f t="shared" si="68"/>
      </c>
      <c r="AH214" s="86">
        <f t="shared" si="69"/>
      </c>
      <c r="AI214" s="86">
        <f t="shared" si="70"/>
      </c>
    </row>
    <row r="215" spans="6:35" x14ac:dyDescent="0.3">
      <c r="F215" s="26">
        <f>IF(G215=1,MAX($F$4:F214)+1,"")</f>
        <v/>
      </c>
      <c r="G215" s="26">
        <f>COUNTIF($H$5:H215,H215)</f>
      </c>
      <c r="H215" s="26">
        <f t="shared" si="71"/>
      </c>
      <c r="I215" s="26">
        <f>COUNTIF($J$4:$J215,1)</f>
      </c>
      <c r="J215" s="26">
        <f>COUNTIF($S$5:$S215,S215)</f>
      </c>
      <c r="K215" s="26">
        <f t="shared" si="60"/>
      </c>
      <c r="L215" s="26">
        <f>IFERROR(IF(P215=0,0,MAX($L$4:L214)+1),0)</f>
      </c>
      <c r="M215" s="5">
        <f t="shared" si="72"/>
      </c>
      <c r="N215" s="5">
        <f t="shared" si="73"/>
      </c>
      <c r="P215" s="86">
        <f t="shared" si="61"/>
      </c>
      <c r="Q215" s="86">
        <f t="shared" si="62"/>
      </c>
      <c r="R215" s="86">
        <f t="shared" si="63"/>
      </c>
      <c r="S215" s="86">
        <f t="shared" si="64"/>
      </c>
      <c r="T215" s="86">
        <f t="shared" si="74"/>
        <v/>
      </c>
      <c r="U215" s="86">
        <f t="shared" si="75"/>
        <v/>
      </c>
      <c r="V215" s="86">
        <f t="shared" si="76"/>
        <v/>
      </c>
      <c r="W215" s="87">
        <f t="shared" si="65"/>
      </c>
      <c r="X215" s="88"/>
      <c r="Y215" s="88"/>
      <c r="Z215" s="88"/>
      <c r="AA215" s="88"/>
      <c r="AB215" s="88"/>
      <c r="AD215" s="86">
        <f t="shared" si="66"/>
      </c>
      <c r="AE215" s="86">
        <f t="shared" si="67"/>
      </c>
      <c r="AG215" s="86">
        <f t="shared" si="68"/>
      </c>
      <c r="AH215" s="86">
        <f t="shared" si="69"/>
      </c>
      <c r="AI215" s="86">
        <f t="shared" si="70"/>
      </c>
    </row>
    <row r="216" spans="6:35" x14ac:dyDescent="0.3">
      <c r="F216" s="26">
        <f>IF(G216=1,MAX($F$4:F215)+1,"")</f>
        <v/>
      </c>
      <c r="G216" s="26">
        <f>COUNTIF($H$5:H216,H216)</f>
      </c>
      <c r="H216" s="26">
        <f t="shared" si="71"/>
      </c>
      <c r="I216" s="26">
        <f>COUNTIF($J$4:$J216,1)</f>
      </c>
      <c r="J216" s="26">
        <f>COUNTIF($S$5:$S216,S216)</f>
      </c>
      <c r="K216" s="26">
        <f t="shared" si="60"/>
      </c>
      <c r="L216" s="26">
        <f>IFERROR(IF(P216=0,0,MAX($L$4:L215)+1),0)</f>
      </c>
      <c r="M216" s="5">
        <f t="shared" si="72"/>
      </c>
      <c r="N216" s="5">
        <f t="shared" si="73"/>
      </c>
      <c r="P216" s="86">
        <f t="shared" si="61"/>
      </c>
      <c r="Q216" s="86">
        <f t="shared" si="62"/>
      </c>
      <c r="R216" s="86">
        <f t="shared" si="63"/>
      </c>
      <c r="S216" s="86">
        <f t="shared" si="64"/>
      </c>
      <c r="T216" s="86">
        <f t="shared" si="74"/>
        <v/>
      </c>
      <c r="U216" s="86">
        <f t="shared" si="75"/>
        <v/>
      </c>
      <c r="V216" s="86">
        <f t="shared" si="76"/>
        <v/>
      </c>
      <c r="W216" s="87">
        <f t="shared" si="65"/>
      </c>
      <c r="X216" s="88"/>
      <c r="Y216" s="88"/>
      <c r="Z216" s="88"/>
      <c r="AA216" s="88"/>
      <c r="AB216" s="88"/>
      <c r="AD216" s="86">
        <f t="shared" si="66"/>
      </c>
      <c r="AE216" s="86">
        <f t="shared" si="67"/>
      </c>
      <c r="AG216" s="86">
        <f t="shared" si="68"/>
      </c>
      <c r="AH216" s="86">
        <f t="shared" si="69"/>
      </c>
      <c r="AI216" s="86">
        <f t="shared" si="70"/>
      </c>
    </row>
    <row r="217" spans="6:35" x14ac:dyDescent="0.3">
      <c r="F217" s="26">
        <f>IF(G217=1,MAX($F$4:F216)+1,"")</f>
        <v/>
      </c>
      <c r="G217" s="26">
        <f>COUNTIF($H$5:H217,H217)</f>
      </c>
      <c r="H217" s="26">
        <f t="shared" si="71"/>
      </c>
      <c r="I217" s="26">
        <f>COUNTIF($J$4:$J217,1)</f>
      </c>
      <c r="J217" s="26">
        <f>COUNTIF($S$5:$S217,S217)</f>
      </c>
      <c r="K217" s="26">
        <f t="shared" si="60"/>
      </c>
      <c r="L217" s="26">
        <f>IFERROR(IF(P217=0,0,MAX($L$4:L216)+1),0)</f>
      </c>
      <c r="M217" s="5">
        <f t="shared" si="72"/>
      </c>
      <c r="N217" s="5">
        <f t="shared" si="73"/>
      </c>
      <c r="P217" s="86">
        <f t="shared" si="61"/>
      </c>
      <c r="Q217" s="86">
        <f t="shared" si="62"/>
      </c>
      <c r="R217" s="86">
        <f t="shared" si="63"/>
      </c>
      <c r="S217" s="86">
        <f t="shared" si="64"/>
      </c>
      <c r="T217" s="86">
        <f t="shared" si="74"/>
        <v/>
      </c>
      <c r="U217" s="86">
        <f t="shared" si="75"/>
        <v/>
      </c>
      <c r="V217" s="86">
        <f t="shared" si="76"/>
        <v/>
      </c>
      <c r="W217" s="87">
        <f t="shared" si="65"/>
      </c>
      <c r="X217" s="88"/>
      <c r="Y217" s="88"/>
      <c r="Z217" s="88"/>
      <c r="AA217" s="88"/>
      <c r="AB217" s="88"/>
      <c r="AD217" s="86">
        <f t="shared" si="66"/>
      </c>
      <c r="AE217" s="86">
        <f t="shared" si="67"/>
      </c>
      <c r="AG217" s="86">
        <f t="shared" si="68"/>
      </c>
      <c r="AH217" s="86">
        <f t="shared" si="69"/>
      </c>
      <c r="AI217" s="86">
        <f t="shared" si="70"/>
      </c>
    </row>
    <row r="218" spans="6:35" x14ac:dyDescent="0.3">
      <c r="F218" s="26">
        <f>IF(G218=1,MAX($F$4:F217)+1,"")</f>
        <v/>
      </c>
      <c r="G218" s="26">
        <f>COUNTIF($H$5:H218,H218)</f>
      </c>
      <c r="H218" s="26">
        <f t="shared" si="71"/>
      </c>
      <c r="I218" s="26">
        <f>COUNTIF($J$4:$J218,1)</f>
      </c>
      <c r="J218" s="26">
        <f>COUNTIF($S$5:$S218,S218)</f>
      </c>
      <c r="K218" s="26">
        <f t="shared" si="60"/>
      </c>
      <c r="L218" s="26">
        <f>IFERROR(IF(P218=0,0,MAX($L$4:L217)+1),0)</f>
      </c>
      <c r="M218" s="5">
        <f t="shared" si="72"/>
      </c>
      <c r="N218" s="5">
        <f t="shared" si="73"/>
      </c>
      <c r="P218" s="86">
        <f t="shared" si="61"/>
      </c>
      <c r="Q218" s="86">
        <f t="shared" si="62"/>
      </c>
      <c r="R218" s="86">
        <f t="shared" si="63"/>
      </c>
      <c r="S218" s="86">
        <f t="shared" si="64"/>
      </c>
      <c r="T218" s="86">
        <f t="shared" si="74"/>
        <v/>
      </c>
      <c r="U218" s="86">
        <f t="shared" si="75"/>
        <v/>
      </c>
      <c r="V218" s="86">
        <f t="shared" si="76"/>
        <v/>
      </c>
      <c r="W218" s="87">
        <f t="shared" si="65"/>
      </c>
      <c r="X218" s="88"/>
      <c r="Y218" s="88"/>
      <c r="Z218" s="88"/>
      <c r="AA218" s="88"/>
      <c r="AB218" s="88"/>
      <c r="AD218" s="86">
        <f t="shared" si="66"/>
      </c>
      <c r="AE218" s="86">
        <f t="shared" si="67"/>
      </c>
      <c r="AG218" s="86">
        <f t="shared" si="68"/>
      </c>
      <c r="AH218" s="86">
        <f t="shared" si="69"/>
      </c>
      <c r="AI218" s="86">
        <f t="shared" si="70"/>
      </c>
    </row>
    <row r="219" spans="6:35" x14ac:dyDescent="0.3">
      <c r="F219" s="26">
        <f>IF(G219=1,MAX($F$4:F218)+1,"")</f>
        <v/>
      </c>
      <c r="G219" s="26">
        <f>COUNTIF($H$5:H219,H219)</f>
      </c>
      <c r="H219" s="26">
        <f t="shared" si="71"/>
      </c>
      <c r="I219" s="26">
        <f>COUNTIF($J$4:$J219,1)</f>
      </c>
      <c r="J219" s="26">
        <f>COUNTIF($S$5:$S219,S219)</f>
      </c>
      <c r="K219" s="26">
        <f t="shared" si="60"/>
      </c>
      <c r="L219" s="26">
        <f>IFERROR(IF(P219=0,0,MAX($L$4:L218)+1),0)</f>
      </c>
      <c r="M219" s="5">
        <f t="shared" si="72"/>
      </c>
      <c r="N219" s="5">
        <f t="shared" si="73"/>
      </c>
      <c r="P219" s="86">
        <f t="shared" si="61"/>
      </c>
      <c r="Q219" s="86">
        <f t="shared" si="62"/>
      </c>
      <c r="R219" s="86">
        <f t="shared" si="63"/>
      </c>
      <c r="S219" s="86">
        <f t="shared" si="64"/>
      </c>
      <c r="T219" s="86">
        <f t="shared" si="74"/>
        <v/>
      </c>
      <c r="U219" s="86">
        <f t="shared" si="75"/>
        <v/>
      </c>
      <c r="V219" s="86">
        <f t="shared" si="76"/>
        <v/>
      </c>
      <c r="W219" s="87">
        <f t="shared" si="65"/>
      </c>
      <c r="X219" s="88"/>
      <c r="Y219" s="88"/>
      <c r="Z219" s="88"/>
      <c r="AA219" s="88"/>
      <c r="AB219" s="88"/>
      <c r="AD219" s="86">
        <f t="shared" si="66"/>
      </c>
      <c r="AE219" s="86">
        <f t="shared" si="67"/>
      </c>
      <c r="AG219" s="86">
        <f t="shared" si="68"/>
      </c>
      <c r="AH219" s="86">
        <f t="shared" si="69"/>
      </c>
      <c r="AI219" s="86">
        <f t="shared" si="70"/>
      </c>
    </row>
    <row r="220" spans="6:35" x14ac:dyDescent="0.3">
      <c r="F220" s="26">
        <f>IF(G220=1,MAX($F$4:F219)+1,"")</f>
        <v/>
      </c>
      <c r="G220" s="26">
        <f>COUNTIF($H$5:H220,H220)</f>
      </c>
      <c r="H220" s="26">
        <f t="shared" si="71"/>
      </c>
      <c r="I220" s="26">
        <f>COUNTIF($J$4:$J220,1)</f>
      </c>
      <c r="J220" s="26">
        <f>COUNTIF($S$5:$S220,S220)</f>
      </c>
      <c r="K220" s="26">
        <f t="shared" si="60"/>
      </c>
      <c r="L220" s="26">
        <f>IFERROR(IF(P220=0,0,MAX($L$4:L219)+1),0)</f>
      </c>
      <c r="M220" s="5">
        <f t="shared" si="72"/>
      </c>
      <c r="N220" s="5">
        <f t="shared" si="73"/>
      </c>
      <c r="P220" s="86">
        <f t="shared" si="61"/>
      </c>
      <c r="Q220" s="86">
        <f t="shared" si="62"/>
      </c>
      <c r="R220" s="86">
        <f t="shared" si="63"/>
      </c>
      <c r="S220" s="86">
        <f t="shared" si="64"/>
      </c>
      <c r="T220" s="86">
        <f t="shared" si="74"/>
        <v/>
      </c>
      <c r="U220" s="86">
        <f t="shared" si="75"/>
        <v/>
      </c>
      <c r="V220" s="86">
        <f t="shared" si="76"/>
        <v/>
      </c>
      <c r="W220" s="87">
        <f t="shared" si="65"/>
      </c>
      <c r="X220" s="88"/>
      <c r="Y220" s="88"/>
      <c r="Z220" s="88"/>
      <c r="AA220" s="88"/>
      <c r="AB220" s="88"/>
      <c r="AD220" s="86">
        <f t="shared" si="66"/>
      </c>
      <c r="AE220" s="86">
        <f t="shared" si="67"/>
      </c>
      <c r="AG220" s="86">
        <f t="shared" si="68"/>
      </c>
      <c r="AH220" s="86">
        <f t="shared" si="69"/>
      </c>
      <c r="AI220" s="86">
        <f t="shared" si="70"/>
      </c>
    </row>
    <row r="221" spans="6:35" x14ac:dyDescent="0.3">
      <c r="F221" s="26">
        <f>IF(G221=1,MAX($F$4:F220)+1,"")</f>
        <v/>
      </c>
      <c r="G221" s="26">
        <f>COUNTIF($H$5:H221,H221)</f>
      </c>
      <c r="H221" s="26">
        <f t="shared" si="71"/>
      </c>
      <c r="I221" s="26">
        <f>COUNTIF($J$4:$J221,1)</f>
      </c>
      <c r="J221" s="26">
        <f>COUNTIF($S$5:$S221,S221)</f>
      </c>
      <c r="K221" s="26">
        <f t="shared" si="60"/>
      </c>
      <c r="L221" s="26">
        <f>IFERROR(IF(P221=0,0,MAX($L$4:L220)+1),0)</f>
      </c>
      <c r="M221" s="5">
        <f t="shared" si="72"/>
      </c>
      <c r="N221" s="5">
        <f t="shared" si="73"/>
      </c>
      <c r="P221" s="86">
        <f t="shared" si="61"/>
      </c>
      <c r="Q221" s="86">
        <f t="shared" si="62"/>
      </c>
      <c r="R221" s="86">
        <f t="shared" si="63"/>
      </c>
      <c r="S221" s="86">
        <f t="shared" si="64"/>
      </c>
      <c r="T221" s="86">
        <f t="shared" si="74"/>
        <v/>
      </c>
      <c r="U221" s="86">
        <f t="shared" si="75"/>
        <v/>
      </c>
      <c r="V221" s="86">
        <f t="shared" si="76"/>
        <v/>
      </c>
      <c r="W221" s="87">
        <f t="shared" si="65"/>
      </c>
      <c r="X221" s="88"/>
      <c r="Y221" s="88"/>
      <c r="Z221" s="88"/>
      <c r="AA221" s="88"/>
      <c r="AB221" s="88"/>
      <c r="AD221" s="86">
        <f t="shared" si="66"/>
      </c>
      <c r="AE221" s="86">
        <f t="shared" si="67"/>
      </c>
      <c r="AG221" s="86">
        <f t="shared" si="68"/>
      </c>
      <c r="AH221" s="86">
        <f t="shared" si="69"/>
      </c>
      <c r="AI221" s="86">
        <f t="shared" si="70"/>
      </c>
    </row>
    <row r="222" spans="6:35" x14ac:dyDescent="0.3">
      <c r="F222" s="26">
        <f>IF(G222=1,MAX($F$4:F221)+1,"")</f>
        <v/>
      </c>
      <c r="G222" s="26">
        <f>COUNTIF($H$5:H222,H222)</f>
      </c>
      <c r="H222" s="26">
        <f t="shared" si="71"/>
      </c>
      <c r="I222" s="26">
        <f>COUNTIF($J$4:$J222,1)</f>
      </c>
      <c r="J222" s="26">
        <f>COUNTIF($S$5:$S222,S222)</f>
      </c>
      <c r="K222" s="26">
        <f t="shared" si="60"/>
      </c>
      <c r="L222" s="26">
        <f>IFERROR(IF(P222=0,0,MAX($L$4:L221)+1),0)</f>
      </c>
      <c r="M222" s="5">
        <f t="shared" si="72"/>
      </c>
      <c r="N222" s="5">
        <f t="shared" si="73"/>
      </c>
      <c r="P222" s="86">
        <f t="shared" si="61"/>
      </c>
      <c r="Q222" s="86">
        <f t="shared" si="62"/>
      </c>
      <c r="R222" s="86">
        <f t="shared" si="63"/>
      </c>
      <c r="S222" s="86">
        <f t="shared" si="64"/>
      </c>
      <c r="T222" s="86">
        <f t="shared" si="74"/>
        <v/>
      </c>
      <c r="U222" s="86">
        <f t="shared" si="75"/>
        <v/>
      </c>
      <c r="V222" s="86">
        <f t="shared" si="76"/>
        <v/>
      </c>
      <c r="W222" s="87">
        <f t="shared" si="65"/>
      </c>
      <c r="X222" s="88"/>
      <c r="Y222" s="88"/>
      <c r="Z222" s="88"/>
      <c r="AA222" s="88"/>
      <c r="AB222" s="88"/>
      <c r="AD222" s="86">
        <f t="shared" si="66"/>
      </c>
      <c r="AE222" s="86">
        <f t="shared" si="67"/>
      </c>
      <c r="AG222" s="86">
        <f t="shared" si="68"/>
      </c>
      <c r="AH222" s="86">
        <f t="shared" si="69"/>
      </c>
      <c r="AI222" s="86">
        <f t="shared" si="70"/>
      </c>
    </row>
    <row r="223" spans="6:35" x14ac:dyDescent="0.3">
      <c r="F223" s="26">
        <f>IF(G223=1,MAX($F$4:F222)+1,"")</f>
        <v/>
      </c>
      <c r="G223" s="26">
        <f>COUNTIF($H$5:H223,H223)</f>
      </c>
      <c r="H223" s="26">
        <f t="shared" si="71"/>
      </c>
      <c r="I223" s="26">
        <f>COUNTIF($J$4:$J223,1)</f>
      </c>
      <c r="J223" s="26">
        <f>COUNTIF($S$5:$S223,S223)</f>
      </c>
      <c r="K223" s="26">
        <f t="shared" si="60"/>
      </c>
      <c r="L223" s="26">
        <f>IFERROR(IF(P223=0,0,MAX($L$4:L222)+1),0)</f>
      </c>
      <c r="M223" s="5">
        <f t="shared" si="72"/>
      </c>
      <c r="N223" s="5">
        <f t="shared" si="73"/>
      </c>
      <c r="P223" s="86">
        <f t="shared" si="61"/>
      </c>
      <c r="Q223" s="86">
        <f t="shared" si="62"/>
      </c>
      <c r="R223" s="86">
        <f t="shared" si="63"/>
      </c>
      <c r="S223" s="86">
        <f t="shared" si="64"/>
      </c>
      <c r="T223" s="86">
        <f t="shared" si="74"/>
        <v/>
      </c>
      <c r="U223" s="86">
        <f t="shared" si="75"/>
        <v/>
      </c>
      <c r="V223" s="86">
        <f t="shared" si="76"/>
        <v/>
      </c>
      <c r="W223" s="87">
        <f t="shared" si="65"/>
      </c>
      <c r="X223" s="88"/>
      <c r="Y223" s="88"/>
      <c r="Z223" s="88"/>
      <c r="AA223" s="88"/>
      <c r="AB223" s="88"/>
      <c r="AD223" s="86">
        <f t="shared" si="66"/>
      </c>
      <c r="AE223" s="86">
        <f t="shared" si="67"/>
      </c>
      <c r="AG223" s="86">
        <f t="shared" si="68"/>
      </c>
      <c r="AH223" s="86">
        <f t="shared" si="69"/>
      </c>
      <c r="AI223" s="86">
        <f t="shared" si="70"/>
      </c>
    </row>
    <row r="224" spans="6:35" x14ac:dyDescent="0.3">
      <c r="F224" s="26">
        <f>IF(G224=1,MAX($F$4:F223)+1,"")</f>
        <v/>
      </c>
      <c r="G224" s="26">
        <f>COUNTIF($H$5:H224,H224)</f>
      </c>
      <c r="H224" s="26">
        <f t="shared" si="71"/>
      </c>
      <c r="I224" s="26">
        <f>COUNTIF($J$4:$J224,1)</f>
      </c>
      <c r="J224" s="26">
        <f>COUNTIF($S$5:$S224,S224)</f>
      </c>
      <c r="K224" s="26">
        <f t="shared" si="60"/>
      </c>
      <c r="L224" s="26">
        <f>IFERROR(IF(P224=0,0,MAX($L$4:L223)+1),0)</f>
      </c>
      <c r="M224" s="5">
        <f t="shared" si="72"/>
      </c>
      <c r="N224" s="5">
        <f t="shared" si="73"/>
      </c>
      <c r="P224" s="86">
        <f t="shared" si="61"/>
      </c>
      <c r="Q224" s="86">
        <f t="shared" si="62"/>
      </c>
      <c r="R224" s="86">
        <f t="shared" si="63"/>
      </c>
      <c r="S224" s="86">
        <f t="shared" si="64"/>
      </c>
      <c r="T224" s="86">
        <f t="shared" si="74"/>
        <v/>
      </c>
      <c r="U224" s="86">
        <f t="shared" si="75"/>
        <v/>
      </c>
      <c r="V224" s="86">
        <f t="shared" si="76"/>
        <v/>
      </c>
      <c r="W224" s="87">
        <f t="shared" si="65"/>
      </c>
      <c r="X224" s="88"/>
      <c r="Y224" s="88"/>
      <c r="Z224" s="88"/>
      <c r="AA224" s="88"/>
      <c r="AB224" s="88"/>
      <c r="AD224" s="86">
        <f t="shared" si="66"/>
      </c>
      <c r="AE224" s="86">
        <f t="shared" si="67"/>
      </c>
      <c r="AG224" s="86">
        <f t="shared" si="68"/>
      </c>
      <c r="AH224" s="86">
        <f t="shared" si="69"/>
      </c>
      <c r="AI224" s="86">
        <f t="shared" si="70"/>
      </c>
    </row>
    <row r="225" spans="6:35" x14ac:dyDescent="0.3">
      <c r="F225" s="26">
        <f>IF(G225=1,MAX($F$4:F224)+1,"")</f>
        <v/>
      </c>
      <c r="G225" s="26">
        <f>COUNTIF($H$5:H225,H225)</f>
      </c>
      <c r="H225" s="26">
        <f t="shared" si="71"/>
      </c>
      <c r="I225" s="26">
        <f>COUNTIF($J$4:$J225,1)</f>
      </c>
      <c r="J225" s="26">
        <f>COUNTIF($S$5:$S225,S225)</f>
      </c>
      <c r="K225" s="26">
        <f t="shared" si="60"/>
      </c>
      <c r="L225" s="26">
        <f>IFERROR(IF(P225=0,0,MAX($L$4:L224)+1),0)</f>
      </c>
      <c r="M225" s="5">
        <f t="shared" si="72"/>
      </c>
      <c r="N225" s="5">
        <f t="shared" si="73"/>
      </c>
      <c r="P225" s="86">
        <f t="shared" si="61"/>
      </c>
      <c r="Q225" s="86">
        <f t="shared" si="62"/>
      </c>
      <c r="R225" s="86">
        <f t="shared" si="63"/>
      </c>
      <c r="S225" s="86">
        <f t="shared" si="64"/>
      </c>
      <c r="T225" s="86">
        <f t="shared" si="74"/>
        <v/>
      </c>
      <c r="U225" s="86">
        <f t="shared" si="75"/>
        <v/>
      </c>
      <c r="V225" s="86">
        <f t="shared" si="76"/>
        <v/>
      </c>
      <c r="W225" s="87">
        <f t="shared" si="65"/>
      </c>
      <c r="X225" s="88"/>
      <c r="Y225" s="88"/>
      <c r="Z225" s="88"/>
      <c r="AA225" s="88"/>
      <c r="AB225" s="88"/>
      <c r="AD225" s="86">
        <f t="shared" si="66"/>
      </c>
      <c r="AE225" s="86">
        <f t="shared" si="67"/>
      </c>
      <c r="AG225" s="86">
        <f t="shared" si="68"/>
      </c>
      <c r="AH225" s="86">
        <f t="shared" si="69"/>
      </c>
      <c r="AI225" s="86">
        <f t="shared" si="70"/>
      </c>
    </row>
    <row r="226" spans="6:35" x14ac:dyDescent="0.3">
      <c r="F226" s="26">
        <f>IF(G226=1,MAX($F$4:F225)+1,"")</f>
        <v/>
      </c>
      <c r="G226" s="26">
        <f>COUNTIF($H$5:H226,H226)</f>
      </c>
      <c r="H226" s="26">
        <f t="shared" si="71"/>
      </c>
      <c r="I226" s="26">
        <f>COUNTIF($J$4:$J226,1)</f>
      </c>
      <c r="J226" s="26">
        <f>COUNTIF($S$5:$S226,S226)</f>
      </c>
      <c r="K226" s="26">
        <f t="shared" si="60"/>
      </c>
      <c r="L226" s="26">
        <f>IFERROR(IF(P226=0,0,MAX($L$4:L225)+1),0)</f>
      </c>
      <c r="M226" s="5">
        <f t="shared" si="72"/>
      </c>
      <c r="N226" s="5">
        <f t="shared" si="73"/>
      </c>
      <c r="P226" s="86">
        <f t="shared" si="61"/>
      </c>
      <c r="Q226" s="86">
        <f t="shared" si="62"/>
      </c>
      <c r="R226" s="86">
        <f t="shared" si="63"/>
      </c>
      <c r="S226" s="86">
        <f t="shared" si="64"/>
      </c>
      <c r="T226" s="86">
        <f t="shared" si="74"/>
        <v/>
      </c>
      <c r="U226" s="86">
        <f t="shared" si="75"/>
        <v/>
      </c>
      <c r="V226" s="86">
        <f t="shared" si="76"/>
        <v/>
      </c>
      <c r="W226" s="87">
        <f t="shared" si="65"/>
      </c>
      <c r="X226" s="88"/>
      <c r="Y226" s="88"/>
      <c r="Z226" s="88"/>
      <c r="AA226" s="88"/>
      <c r="AB226" s="88"/>
      <c r="AD226" s="86">
        <f t="shared" si="66"/>
      </c>
      <c r="AE226" s="86">
        <f t="shared" si="67"/>
      </c>
      <c r="AG226" s="86">
        <f t="shared" si="68"/>
      </c>
      <c r="AH226" s="86">
        <f t="shared" si="69"/>
      </c>
      <c r="AI226" s="86">
        <f t="shared" si="70"/>
      </c>
    </row>
    <row r="227" spans="6:35" x14ac:dyDescent="0.3">
      <c r="F227" s="26">
        <f>IF(G227=1,MAX($F$4:F226)+1,"")</f>
        <v/>
      </c>
      <c r="G227" s="26">
        <f>COUNTIF($H$5:H227,H227)</f>
      </c>
      <c r="H227" s="26">
        <f t="shared" si="71"/>
      </c>
      <c r="I227" s="26">
        <f>COUNTIF($J$4:$J227,1)</f>
      </c>
      <c r="J227" s="26">
        <f>COUNTIF($S$5:$S227,S227)</f>
      </c>
      <c r="K227" s="26">
        <f t="shared" si="60"/>
      </c>
      <c r="L227" s="26">
        <f>IFERROR(IF(P227=0,0,MAX($L$4:L226)+1),0)</f>
      </c>
      <c r="M227" s="5">
        <f t="shared" si="72"/>
      </c>
      <c r="N227" s="5">
        <f t="shared" si="73"/>
      </c>
      <c r="P227" s="86">
        <f t="shared" si="61"/>
      </c>
      <c r="Q227" s="86">
        <f t="shared" si="62"/>
      </c>
      <c r="R227" s="86">
        <f t="shared" si="63"/>
      </c>
      <c r="S227" s="86">
        <f t="shared" si="64"/>
      </c>
      <c r="T227" s="86">
        <f t="shared" si="74"/>
        <v/>
      </c>
      <c r="U227" s="86">
        <f t="shared" si="75"/>
        <v/>
      </c>
      <c r="V227" s="86">
        <f t="shared" si="76"/>
        <v/>
      </c>
      <c r="W227" s="87">
        <f t="shared" si="65"/>
      </c>
      <c r="X227" s="88"/>
      <c r="Y227" s="88"/>
      <c r="Z227" s="88"/>
      <c r="AA227" s="88"/>
      <c r="AB227" s="88"/>
      <c r="AD227" s="86">
        <f t="shared" si="66"/>
      </c>
      <c r="AE227" s="86">
        <f t="shared" si="67"/>
      </c>
      <c r="AG227" s="86">
        <f t="shared" si="68"/>
      </c>
      <c r="AH227" s="86">
        <f t="shared" si="69"/>
      </c>
      <c r="AI227" s="86">
        <f t="shared" si="70"/>
      </c>
    </row>
    <row r="228" spans="6:35" x14ac:dyDescent="0.3">
      <c r="F228" s="26">
        <f>IF(G228=1,MAX($F$4:F227)+1,"")</f>
        <v/>
      </c>
      <c r="G228" s="26">
        <f>COUNTIF($H$5:H228,H228)</f>
      </c>
      <c r="H228" s="26">
        <f t="shared" si="71"/>
      </c>
      <c r="I228" s="26">
        <f>COUNTIF($J$4:$J228,1)</f>
      </c>
      <c r="J228" s="26">
        <f>COUNTIF($S$5:$S228,S228)</f>
      </c>
      <c r="K228" s="26">
        <f t="shared" si="60"/>
      </c>
      <c r="L228" s="26">
        <f>IFERROR(IF(P228=0,0,MAX($L$4:L227)+1),0)</f>
      </c>
      <c r="M228" s="5">
        <f t="shared" si="72"/>
      </c>
      <c r="N228" s="5">
        <f t="shared" si="73"/>
      </c>
      <c r="P228" s="86">
        <f t="shared" si="61"/>
      </c>
      <c r="Q228" s="86">
        <f t="shared" si="62"/>
      </c>
      <c r="R228" s="86">
        <f t="shared" si="63"/>
      </c>
      <c r="S228" s="86">
        <f t="shared" si="64"/>
      </c>
      <c r="T228" s="86">
        <f t="shared" si="74"/>
        <v/>
      </c>
      <c r="U228" s="86">
        <f t="shared" si="75"/>
        <v/>
      </c>
      <c r="V228" s="86">
        <f t="shared" si="76"/>
        <v/>
      </c>
      <c r="W228" s="87">
        <f t="shared" si="65"/>
      </c>
      <c r="X228" s="88"/>
      <c r="Y228" s="88"/>
      <c r="Z228" s="88"/>
      <c r="AA228" s="88"/>
      <c r="AB228" s="88"/>
      <c r="AD228" s="86">
        <f t="shared" si="66"/>
      </c>
      <c r="AE228" s="86">
        <f t="shared" si="67"/>
      </c>
      <c r="AG228" s="86">
        <f t="shared" si="68"/>
      </c>
      <c r="AH228" s="86">
        <f t="shared" si="69"/>
      </c>
      <c r="AI228" s="86">
        <f t="shared" si="70"/>
      </c>
    </row>
    <row r="229" spans="6:35" x14ac:dyDescent="0.3">
      <c r="F229" s="26">
        <f>IF(G229=1,MAX($F$4:F228)+1,"")</f>
        <v/>
      </c>
      <c r="G229" s="26">
        <f>COUNTIF($H$5:H229,H229)</f>
      </c>
      <c r="H229" s="26">
        <f t="shared" si="71"/>
      </c>
      <c r="I229" s="26">
        <f>COUNTIF($J$4:$J229,1)</f>
      </c>
      <c r="J229" s="26">
        <f>COUNTIF($S$5:$S229,S229)</f>
      </c>
      <c r="K229" s="26">
        <f t="shared" si="60"/>
      </c>
      <c r="L229" s="26">
        <f>IFERROR(IF(P229=0,0,MAX($L$4:L228)+1),0)</f>
      </c>
      <c r="M229" s="5">
        <f t="shared" si="72"/>
      </c>
      <c r="N229" s="5">
        <f t="shared" si="73"/>
      </c>
      <c r="P229" s="86">
        <f t="shared" si="61"/>
      </c>
      <c r="Q229" s="86">
        <f t="shared" si="62"/>
      </c>
      <c r="R229" s="86">
        <f t="shared" si="63"/>
      </c>
      <c r="S229" s="86">
        <f t="shared" si="64"/>
      </c>
      <c r="T229" s="86">
        <f t="shared" si="74"/>
        <v/>
      </c>
      <c r="U229" s="86">
        <f t="shared" si="75"/>
        <v/>
      </c>
      <c r="V229" s="86">
        <f t="shared" si="76"/>
        <v/>
      </c>
      <c r="W229" s="87">
        <f t="shared" si="65"/>
      </c>
      <c r="X229" s="88"/>
      <c r="Y229" s="88"/>
      <c r="Z229" s="88"/>
      <c r="AA229" s="88"/>
      <c r="AB229" s="88"/>
      <c r="AD229" s="86">
        <f t="shared" si="66"/>
      </c>
      <c r="AE229" s="86">
        <f t="shared" si="67"/>
      </c>
      <c r="AG229" s="86">
        <f t="shared" si="68"/>
      </c>
      <c r="AH229" s="86">
        <f t="shared" si="69"/>
      </c>
      <c r="AI229" s="86">
        <f t="shared" si="70"/>
      </c>
    </row>
    <row r="230" spans="6:35" x14ac:dyDescent="0.3">
      <c r="F230" s="26">
        <f>IF(G230=1,MAX($F$4:F229)+1,"")</f>
        <v/>
      </c>
      <c r="G230" s="26">
        <f>COUNTIF($H$5:H230,H230)</f>
      </c>
      <c r="H230" s="26">
        <f t="shared" si="71"/>
      </c>
      <c r="I230" s="26">
        <f>COUNTIF($J$4:$J230,1)</f>
      </c>
      <c r="J230" s="26">
        <f>COUNTIF($S$5:$S230,S230)</f>
      </c>
      <c r="K230" s="26">
        <f t="shared" si="60"/>
      </c>
      <c r="L230" s="26">
        <f>IFERROR(IF(P230=0,0,MAX($L$4:L229)+1),0)</f>
      </c>
      <c r="M230" s="5">
        <f t="shared" si="72"/>
      </c>
      <c r="N230" s="5">
        <f t="shared" si="73"/>
      </c>
      <c r="P230" s="86">
        <f t="shared" si="61"/>
      </c>
      <c r="Q230" s="86">
        <f t="shared" si="62"/>
      </c>
      <c r="R230" s="86">
        <f t="shared" si="63"/>
      </c>
      <c r="S230" s="86">
        <f t="shared" si="64"/>
      </c>
      <c r="T230" s="86">
        <f t="shared" si="74"/>
        <v/>
      </c>
      <c r="U230" s="86">
        <f t="shared" si="75"/>
        <v/>
      </c>
      <c r="V230" s="86">
        <f t="shared" si="76"/>
        <v/>
      </c>
      <c r="W230" s="87">
        <f t="shared" si="65"/>
      </c>
      <c r="X230" s="88"/>
      <c r="Y230" s="88"/>
      <c r="Z230" s="88"/>
      <c r="AA230" s="88"/>
      <c r="AB230" s="88"/>
      <c r="AD230" s="86">
        <f t="shared" si="66"/>
      </c>
      <c r="AE230" s="86">
        <f t="shared" si="67"/>
      </c>
      <c r="AG230" s="86">
        <f t="shared" si="68"/>
      </c>
      <c r="AH230" s="86">
        <f t="shared" si="69"/>
      </c>
      <c r="AI230" s="86">
        <f t="shared" si="70"/>
      </c>
    </row>
    <row r="231" spans="6:35" x14ac:dyDescent="0.3">
      <c r="F231" s="26">
        <f>IF(G231=1,MAX($F$4:F230)+1,"")</f>
        <v/>
      </c>
      <c r="G231" s="26">
        <f>COUNTIF($H$5:H231,H231)</f>
      </c>
      <c r="H231" s="26">
        <f t="shared" si="71"/>
      </c>
      <c r="I231" s="26">
        <f>COUNTIF($J$4:$J231,1)</f>
      </c>
      <c r="J231" s="26">
        <f>COUNTIF($S$5:$S231,S231)</f>
      </c>
      <c r="K231" s="26">
        <f t="shared" si="60"/>
      </c>
      <c r="L231" s="26">
        <f>IFERROR(IF(P231=0,0,MAX($L$4:L230)+1),0)</f>
      </c>
      <c r="M231" s="5">
        <f t="shared" si="72"/>
      </c>
      <c r="N231" s="5">
        <f t="shared" si="73"/>
      </c>
      <c r="P231" s="86">
        <f t="shared" si="61"/>
      </c>
      <c r="Q231" s="86">
        <f t="shared" si="62"/>
      </c>
      <c r="R231" s="86">
        <f t="shared" si="63"/>
      </c>
      <c r="S231" s="86">
        <f t="shared" si="64"/>
      </c>
      <c r="T231" s="86">
        <f t="shared" si="74"/>
        <v/>
      </c>
      <c r="U231" s="86">
        <f t="shared" si="75"/>
        <v/>
      </c>
      <c r="V231" s="86">
        <f t="shared" si="76"/>
        <v/>
      </c>
      <c r="W231" s="87">
        <f t="shared" si="65"/>
      </c>
      <c r="X231" s="88"/>
      <c r="Y231" s="88"/>
      <c r="Z231" s="88"/>
      <c r="AA231" s="88"/>
      <c r="AB231" s="88"/>
      <c r="AD231" s="86">
        <f t="shared" si="66"/>
      </c>
      <c r="AE231" s="86">
        <f t="shared" si="67"/>
      </c>
      <c r="AG231" s="86">
        <f t="shared" si="68"/>
      </c>
      <c r="AH231" s="86">
        <f t="shared" si="69"/>
      </c>
      <c r="AI231" s="86">
        <f t="shared" si="70"/>
      </c>
    </row>
    <row r="232" spans="6:35" x14ac:dyDescent="0.3">
      <c r="F232" s="26">
        <f>IF(G232=1,MAX($F$4:F231)+1,"")</f>
        <v/>
      </c>
      <c r="G232" s="26">
        <f>COUNTIF($H$5:H232,H232)</f>
      </c>
      <c r="H232" s="26">
        <f t="shared" si="71"/>
      </c>
      <c r="I232" s="26">
        <f>COUNTIF($J$4:$J232,1)</f>
      </c>
      <c r="J232" s="26">
        <f>COUNTIF($S$5:$S232,S232)</f>
      </c>
      <c r="K232" s="26">
        <f t="shared" si="60"/>
      </c>
      <c r="L232" s="26">
        <f>IFERROR(IF(P232=0,0,MAX($L$4:L231)+1),0)</f>
      </c>
      <c r="M232" s="5">
        <f t="shared" si="72"/>
      </c>
      <c r="N232" s="5">
        <f t="shared" si="73"/>
      </c>
      <c r="P232" s="86">
        <f t="shared" si="61"/>
      </c>
      <c r="Q232" s="86">
        <f t="shared" si="62"/>
      </c>
      <c r="R232" s="86">
        <f t="shared" si="63"/>
      </c>
      <c r="S232" s="86">
        <f t="shared" si="64"/>
      </c>
      <c r="T232" s="86">
        <f t="shared" si="74"/>
        <v/>
      </c>
      <c r="U232" s="86">
        <f t="shared" si="75"/>
        <v/>
      </c>
      <c r="V232" s="86">
        <f t="shared" si="76"/>
        <v/>
      </c>
      <c r="W232" s="87">
        <f t="shared" si="65"/>
      </c>
      <c r="X232" s="88"/>
      <c r="Y232" s="88"/>
      <c r="Z232" s="88"/>
      <c r="AA232" s="88"/>
      <c r="AB232" s="88"/>
      <c r="AD232" s="86">
        <f t="shared" si="66"/>
      </c>
      <c r="AE232" s="86">
        <f t="shared" si="67"/>
      </c>
      <c r="AG232" s="86">
        <f t="shared" si="68"/>
      </c>
      <c r="AH232" s="86">
        <f t="shared" si="69"/>
      </c>
      <c r="AI232" s="86">
        <f t="shared" si="70"/>
      </c>
    </row>
    <row r="233" spans="6:35" x14ac:dyDescent="0.3">
      <c r="F233" s="26">
        <f>IF(G233=1,MAX($F$4:F232)+1,"")</f>
        <v/>
      </c>
      <c r="G233" s="26">
        <f>COUNTIF($H$5:H233,H233)</f>
      </c>
      <c r="H233" s="26">
        <f t="shared" si="71"/>
      </c>
      <c r="I233" s="26">
        <f>COUNTIF($J$4:$J233,1)</f>
      </c>
      <c r="J233" s="26">
        <f>COUNTIF($S$5:$S233,S233)</f>
      </c>
      <c r="K233" s="26">
        <f t="shared" si="60"/>
      </c>
      <c r="L233" s="26">
        <f>IFERROR(IF(P233=0,0,MAX($L$4:L232)+1),0)</f>
      </c>
      <c r="M233" s="5">
        <f t="shared" si="72"/>
      </c>
      <c r="N233" s="5">
        <f t="shared" si="73"/>
      </c>
      <c r="P233" s="86">
        <f t="shared" si="61"/>
      </c>
      <c r="Q233" s="86">
        <f t="shared" si="62"/>
      </c>
      <c r="R233" s="86">
        <f t="shared" si="63"/>
      </c>
      <c r="S233" s="86">
        <f t="shared" si="64"/>
      </c>
      <c r="T233" s="86">
        <f t="shared" si="74"/>
        <v/>
      </c>
      <c r="U233" s="86">
        <f t="shared" si="75"/>
        <v/>
      </c>
      <c r="V233" s="86">
        <f t="shared" si="76"/>
        <v/>
      </c>
      <c r="W233" s="87">
        <f t="shared" si="65"/>
      </c>
      <c r="X233" s="88"/>
      <c r="Y233" s="88"/>
      <c r="Z233" s="88"/>
      <c r="AA233" s="88"/>
      <c r="AB233" s="88"/>
      <c r="AD233" s="86">
        <f t="shared" si="66"/>
      </c>
      <c r="AE233" s="86">
        <f t="shared" si="67"/>
      </c>
      <c r="AG233" s="86">
        <f t="shared" si="68"/>
      </c>
      <c r="AH233" s="86">
        <f t="shared" si="69"/>
      </c>
      <c r="AI233" s="86">
        <f t="shared" si="70"/>
      </c>
    </row>
    <row r="234" spans="6:35" x14ac:dyDescent="0.3">
      <c r="F234" s="26">
        <f>IF(G234=1,MAX($F$4:F233)+1,"")</f>
        <v/>
      </c>
      <c r="G234" s="26">
        <f>COUNTIF($H$5:H234,H234)</f>
      </c>
      <c r="H234" s="26">
        <f t="shared" si="71"/>
      </c>
      <c r="I234" s="26">
        <f>COUNTIF($J$4:$J234,1)</f>
      </c>
      <c r="J234" s="26">
        <f>COUNTIF($S$5:$S234,S234)</f>
      </c>
      <c r="K234" s="26">
        <f t="shared" si="60"/>
      </c>
      <c r="L234" s="26">
        <f>IFERROR(IF(P234=0,0,MAX($L$4:L233)+1),0)</f>
      </c>
      <c r="M234" s="5">
        <f t="shared" si="72"/>
      </c>
      <c r="N234" s="5">
        <f t="shared" si="73"/>
      </c>
      <c r="P234" s="86">
        <f t="shared" si="61"/>
      </c>
      <c r="Q234" s="86">
        <f t="shared" si="62"/>
      </c>
      <c r="R234" s="86">
        <f t="shared" si="63"/>
      </c>
      <c r="S234" s="86">
        <f t="shared" si="64"/>
      </c>
      <c r="T234" s="86">
        <f t="shared" si="74"/>
        <v/>
      </c>
      <c r="U234" s="86">
        <f t="shared" si="75"/>
        <v/>
      </c>
      <c r="V234" s="86">
        <f t="shared" si="76"/>
        <v/>
      </c>
      <c r="W234" s="87">
        <f t="shared" si="65"/>
      </c>
      <c r="X234" s="88"/>
      <c r="Y234" s="88"/>
      <c r="Z234" s="88"/>
      <c r="AA234" s="88"/>
      <c r="AB234" s="88"/>
      <c r="AD234" s="86">
        <f t="shared" si="66"/>
      </c>
      <c r="AE234" s="86">
        <f t="shared" si="67"/>
      </c>
      <c r="AG234" s="86">
        <f t="shared" si="68"/>
      </c>
      <c r="AH234" s="86">
        <f t="shared" si="69"/>
      </c>
      <c r="AI234" s="86">
        <f t="shared" si="70"/>
      </c>
    </row>
    <row r="235" spans="6:35" x14ac:dyDescent="0.3">
      <c r="F235" s="26">
        <f>IF(G235=1,MAX($F$4:F234)+1,"")</f>
        <v/>
      </c>
      <c r="G235" s="26">
        <f>COUNTIF($H$5:H235,H235)</f>
      </c>
      <c r="H235" s="26">
        <f t="shared" si="71"/>
      </c>
      <c r="I235" s="26">
        <f>COUNTIF($J$4:$J235,1)</f>
      </c>
      <c r="J235" s="26">
        <f>COUNTIF($S$5:$S235,S235)</f>
      </c>
      <c r="K235" s="26">
        <f t="shared" si="60"/>
      </c>
      <c r="L235" s="26">
        <f>IFERROR(IF(P235=0,0,MAX($L$4:L234)+1),0)</f>
      </c>
      <c r="M235" s="5">
        <f t="shared" si="72"/>
      </c>
      <c r="N235" s="5">
        <f t="shared" si="73"/>
      </c>
      <c r="P235" s="86">
        <f t="shared" si="61"/>
      </c>
      <c r="Q235" s="86">
        <f t="shared" si="62"/>
      </c>
      <c r="R235" s="86">
        <f t="shared" si="63"/>
      </c>
      <c r="S235" s="86">
        <f t="shared" si="64"/>
      </c>
      <c r="T235" s="86">
        <f t="shared" si="74"/>
        <v/>
      </c>
      <c r="U235" s="86">
        <f t="shared" si="75"/>
        <v/>
      </c>
      <c r="V235" s="86">
        <f t="shared" si="76"/>
        <v/>
      </c>
      <c r="W235" s="87">
        <f t="shared" si="65"/>
      </c>
      <c r="X235" s="88"/>
      <c r="Y235" s="88"/>
      <c r="Z235" s="88"/>
      <c r="AA235" s="88"/>
      <c r="AB235" s="88"/>
      <c r="AD235" s="86">
        <f t="shared" si="66"/>
      </c>
      <c r="AE235" s="86">
        <f t="shared" si="67"/>
      </c>
      <c r="AG235" s="86">
        <f t="shared" si="68"/>
      </c>
      <c r="AH235" s="86">
        <f t="shared" si="69"/>
      </c>
      <c r="AI235" s="86">
        <f t="shared" si="70"/>
      </c>
    </row>
    <row r="236" spans="6:35" x14ac:dyDescent="0.3">
      <c r="F236" s="26">
        <f>IF(G236=1,MAX($F$4:F235)+1,"")</f>
        <v/>
      </c>
      <c r="G236" s="26">
        <f>COUNTIF($H$5:H236,H236)</f>
      </c>
      <c r="H236" s="26">
        <f t="shared" si="71"/>
      </c>
      <c r="I236" s="26">
        <f>COUNTIF($J$4:$J236,1)</f>
      </c>
      <c r="J236" s="26">
        <f>COUNTIF($S$5:$S236,S236)</f>
      </c>
      <c r="K236" s="26">
        <f t="shared" si="60"/>
      </c>
      <c r="L236" s="26">
        <f>IFERROR(IF(P236=0,0,MAX($L$4:L235)+1),0)</f>
      </c>
      <c r="M236" s="5">
        <f t="shared" si="72"/>
      </c>
      <c r="N236" s="5">
        <f t="shared" si="73"/>
      </c>
      <c r="P236" s="86">
        <f t="shared" si="61"/>
      </c>
      <c r="Q236" s="86">
        <f t="shared" si="62"/>
      </c>
      <c r="R236" s="86">
        <f t="shared" si="63"/>
      </c>
      <c r="S236" s="86">
        <f t="shared" si="64"/>
      </c>
      <c r="T236" s="86">
        <f t="shared" si="74"/>
        <v/>
      </c>
      <c r="U236" s="86">
        <f t="shared" si="75"/>
        <v/>
      </c>
      <c r="V236" s="86">
        <f t="shared" si="76"/>
        <v/>
      </c>
      <c r="W236" s="87">
        <f t="shared" si="65"/>
      </c>
      <c r="X236" s="88"/>
      <c r="Y236" s="88"/>
      <c r="Z236" s="88"/>
      <c r="AA236" s="88"/>
      <c r="AB236" s="88"/>
      <c r="AD236" s="86">
        <f t="shared" si="66"/>
      </c>
      <c r="AE236" s="86">
        <f t="shared" si="67"/>
      </c>
      <c r="AG236" s="86">
        <f t="shared" si="68"/>
      </c>
      <c r="AH236" s="86">
        <f t="shared" si="69"/>
      </c>
      <c r="AI236" s="86">
        <f t="shared" si="70"/>
      </c>
    </row>
    <row r="237" spans="6:35" x14ac:dyDescent="0.3">
      <c r="F237" s="26">
        <f>IF(G237=1,MAX($F$4:F236)+1,"")</f>
        <v/>
      </c>
      <c r="G237" s="26">
        <f>COUNTIF($H$5:H237,H237)</f>
      </c>
      <c r="H237" s="26">
        <f t="shared" si="71"/>
      </c>
      <c r="I237" s="26">
        <f>COUNTIF($J$4:$J237,1)</f>
      </c>
      <c r="J237" s="26">
        <f>COUNTIF($S$5:$S237,S237)</f>
      </c>
      <c r="K237" s="26">
        <f t="shared" si="60"/>
      </c>
      <c r="L237" s="26">
        <f>IFERROR(IF(P237=0,0,MAX($L$4:L236)+1),0)</f>
      </c>
      <c r="M237" s="5">
        <f t="shared" si="72"/>
      </c>
      <c r="N237" s="5">
        <f t="shared" si="73"/>
      </c>
      <c r="P237" s="86">
        <f t="shared" si="61"/>
      </c>
      <c r="Q237" s="86">
        <f t="shared" si="62"/>
      </c>
      <c r="R237" s="86">
        <f t="shared" si="63"/>
      </c>
      <c r="S237" s="86">
        <f t="shared" si="64"/>
      </c>
      <c r="T237" s="86">
        <f t="shared" si="74"/>
        <v/>
      </c>
      <c r="U237" s="86">
        <f t="shared" si="75"/>
        <v/>
      </c>
      <c r="V237" s="86">
        <f t="shared" si="76"/>
        <v/>
      </c>
      <c r="W237" s="87">
        <f t="shared" si="65"/>
      </c>
      <c r="X237" s="88"/>
      <c r="Y237" s="88"/>
      <c r="Z237" s="88"/>
      <c r="AA237" s="88"/>
      <c r="AB237" s="88"/>
      <c r="AD237" s="86">
        <f t="shared" si="66"/>
      </c>
      <c r="AE237" s="86">
        <f t="shared" si="67"/>
      </c>
      <c r="AG237" s="86">
        <f t="shared" si="68"/>
      </c>
      <c r="AH237" s="86">
        <f t="shared" si="69"/>
      </c>
      <c r="AI237" s="86">
        <f t="shared" si="70"/>
      </c>
    </row>
    <row r="238" spans="6:35" x14ac:dyDescent="0.3">
      <c r="F238" s="26">
        <f>IF(G238=1,MAX($F$4:F237)+1,"")</f>
        <v/>
      </c>
      <c r="G238" s="26">
        <f>COUNTIF($H$5:H238,H238)</f>
      </c>
      <c r="H238" s="26">
        <f t="shared" si="71"/>
      </c>
      <c r="I238" s="26">
        <f>COUNTIF($J$4:$J238,1)</f>
      </c>
      <c r="J238" s="26">
        <f>COUNTIF($S$5:$S238,S238)</f>
      </c>
      <c r="K238" s="26">
        <f t="shared" si="60"/>
      </c>
      <c r="L238" s="26">
        <f>IFERROR(IF(P238=0,0,MAX($L$4:L237)+1),0)</f>
      </c>
      <c r="M238" s="5">
        <f t="shared" si="72"/>
      </c>
      <c r="N238" s="5">
        <f t="shared" si="73"/>
      </c>
      <c r="P238" s="86">
        <f t="shared" si="61"/>
      </c>
      <c r="Q238" s="86">
        <f t="shared" si="62"/>
      </c>
      <c r="R238" s="86">
        <f t="shared" si="63"/>
      </c>
      <c r="S238" s="86">
        <f t="shared" si="64"/>
      </c>
      <c r="T238" s="86">
        <f t="shared" si="74"/>
        <v/>
      </c>
      <c r="U238" s="86">
        <f t="shared" si="75"/>
        <v/>
      </c>
      <c r="V238" s="86">
        <f t="shared" si="76"/>
        <v/>
      </c>
      <c r="W238" s="87">
        <f t="shared" si="65"/>
      </c>
      <c r="X238" s="88"/>
      <c r="Y238" s="88"/>
      <c r="Z238" s="88"/>
      <c r="AA238" s="88"/>
      <c r="AB238" s="88"/>
      <c r="AD238" s="86">
        <f t="shared" si="66"/>
      </c>
      <c r="AE238" s="86">
        <f t="shared" si="67"/>
      </c>
      <c r="AG238" s="86">
        <f t="shared" si="68"/>
      </c>
      <c r="AH238" s="86">
        <f t="shared" si="69"/>
      </c>
      <c r="AI238" s="86">
        <f t="shared" si="70"/>
      </c>
    </row>
    <row r="239" spans="6:35" x14ac:dyDescent="0.3">
      <c r="F239" s="26">
        <f>IF(G239=1,MAX($F$4:F238)+1,"")</f>
        <v/>
      </c>
      <c r="G239" s="26">
        <f>COUNTIF($H$5:H239,H239)</f>
      </c>
      <c r="H239" s="26">
        <f t="shared" si="71"/>
      </c>
      <c r="I239" s="26">
        <f>COUNTIF($J$4:$J239,1)</f>
      </c>
      <c r="J239" s="26">
        <f>COUNTIF($S$5:$S239,S239)</f>
      </c>
      <c r="K239" s="26">
        <f t="shared" si="60"/>
      </c>
      <c r="L239" s="26">
        <f>IFERROR(IF(P239=0,0,MAX($L$4:L238)+1),0)</f>
      </c>
      <c r="M239" s="5">
        <f t="shared" si="72"/>
      </c>
      <c r="N239" s="5">
        <f t="shared" si="73"/>
      </c>
      <c r="P239" s="86">
        <f t="shared" si="61"/>
      </c>
      <c r="Q239" s="86">
        <f t="shared" si="62"/>
      </c>
      <c r="R239" s="86">
        <f t="shared" si="63"/>
      </c>
      <c r="S239" s="86">
        <f t="shared" si="64"/>
      </c>
      <c r="T239" s="86">
        <f t="shared" si="74"/>
        <v/>
      </c>
      <c r="U239" s="86">
        <f t="shared" si="75"/>
        <v/>
      </c>
      <c r="V239" s="86">
        <f t="shared" si="76"/>
        <v/>
      </c>
      <c r="W239" s="87">
        <f t="shared" si="65"/>
      </c>
      <c r="X239" s="88"/>
      <c r="Y239" s="88"/>
      <c r="Z239" s="88"/>
      <c r="AA239" s="88"/>
      <c r="AB239" s="88"/>
      <c r="AD239" s="86">
        <f t="shared" si="66"/>
      </c>
      <c r="AE239" s="86">
        <f t="shared" si="67"/>
      </c>
      <c r="AG239" s="86">
        <f t="shared" si="68"/>
      </c>
      <c r="AH239" s="86">
        <f t="shared" si="69"/>
      </c>
      <c r="AI239" s="86">
        <f t="shared" si="70"/>
      </c>
    </row>
    <row r="240" spans="6:35" x14ac:dyDescent="0.3">
      <c r="F240" s="26">
        <f>IF(G240=1,MAX($F$4:F239)+1,"")</f>
        <v/>
      </c>
      <c r="G240" s="26">
        <f>COUNTIF($H$5:H240,H240)</f>
      </c>
      <c r="H240" s="26">
        <f t="shared" si="71"/>
      </c>
      <c r="I240" s="26">
        <f>COUNTIF($J$4:$J240,1)</f>
      </c>
      <c r="J240" s="26">
        <f>COUNTIF($S$5:$S240,S240)</f>
      </c>
      <c r="K240" s="26">
        <f t="shared" si="60"/>
      </c>
      <c r="L240" s="26">
        <f>IFERROR(IF(P240=0,0,MAX($L$4:L239)+1),0)</f>
      </c>
      <c r="M240" s="5">
        <f t="shared" si="72"/>
      </c>
      <c r="N240" s="5">
        <f t="shared" si="73"/>
      </c>
      <c r="P240" s="86">
        <f t="shared" si="61"/>
      </c>
      <c r="Q240" s="86">
        <f t="shared" si="62"/>
      </c>
      <c r="R240" s="86">
        <f t="shared" si="63"/>
      </c>
      <c r="S240" s="86">
        <f t="shared" si="64"/>
      </c>
      <c r="T240" s="86">
        <f t="shared" si="74"/>
        <v/>
      </c>
      <c r="U240" s="86">
        <f t="shared" si="75"/>
        <v/>
      </c>
      <c r="V240" s="86">
        <f t="shared" si="76"/>
        <v/>
      </c>
      <c r="W240" s="87">
        <f t="shared" si="65"/>
      </c>
      <c r="X240" s="88"/>
      <c r="Y240" s="88"/>
      <c r="Z240" s="88"/>
      <c r="AA240" s="88"/>
      <c r="AB240" s="88"/>
      <c r="AD240" s="86">
        <f t="shared" si="66"/>
      </c>
      <c r="AE240" s="86">
        <f t="shared" si="67"/>
      </c>
      <c r="AG240" s="86">
        <f t="shared" si="68"/>
      </c>
      <c r="AH240" s="86">
        <f t="shared" si="69"/>
      </c>
      <c r="AI240" s="86">
        <f t="shared" si="70"/>
      </c>
    </row>
    <row r="241" spans="6:35" x14ac:dyDescent="0.3">
      <c r="F241" s="26">
        <f>IF(G241=1,MAX($F$4:F240)+1,"")</f>
        <v/>
      </c>
      <c r="G241" s="26">
        <f>COUNTIF($H$5:H241,H241)</f>
      </c>
      <c r="H241" s="26">
        <f t="shared" si="71"/>
      </c>
      <c r="I241" s="26">
        <f>COUNTIF($J$4:$J241,1)</f>
      </c>
      <c r="J241" s="26">
        <f>COUNTIF($S$5:$S241,S241)</f>
      </c>
      <c r="K241" s="26">
        <f t="shared" si="60"/>
      </c>
      <c r="L241" s="26">
        <f>IFERROR(IF(P241=0,0,MAX($L$4:L240)+1),0)</f>
      </c>
      <c r="M241" s="5">
        <f t="shared" si="72"/>
      </c>
      <c r="N241" s="5">
        <f t="shared" si="73"/>
      </c>
      <c r="P241" s="86">
        <f t="shared" si="61"/>
      </c>
      <c r="Q241" s="86">
        <f t="shared" si="62"/>
      </c>
      <c r="R241" s="86">
        <f t="shared" si="63"/>
      </c>
      <c r="S241" s="86">
        <f t="shared" si="64"/>
      </c>
      <c r="T241" s="86">
        <f t="shared" si="74"/>
        <v/>
      </c>
      <c r="U241" s="86">
        <f t="shared" si="75"/>
        <v/>
      </c>
      <c r="V241" s="86">
        <f t="shared" si="76"/>
        <v/>
      </c>
      <c r="W241" s="87">
        <f t="shared" si="65"/>
      </c>
      <c r="X241" s="88"/>
      <c r="Y241" s="88"/>
      <c r="Z241" s="88"/>
      <c r="AA241" s="88"/>
      <c r="AB241" s="88"/>
      <c r="AD241" s="86">
        <f t="shared" si="66"/>
      </c>
      <c r="AE241" s="86">
        <f t="shared" si="67"/>
      </c>
      <c r="AG241" s="86">
        <f t="shared" si="68"/>
      </c>
      <c r="AH241" s="86">
        <f t="shared" si="69"/>
      </c>
      <c r="AI241" s="86">
        <f t="shared" si="70"/>
      </c>
    </row>
    <row r="242" spans="6:35" x14ac:dyDescent="0.3">
      <c r="F242" s="26">
        <f>IF(G242=1,MAX($F$4:F241)+1,"")</f>
        <v/>
      </c>
      <c r="G242" s="26">
        <f>COUNTIF($H$5:H242,H242)</f>
      </c>
      <c r="H242" s="26">
        <f t="shared" si="71"/>
      </c>
      <c r="I242" s="26">
        <f>COUNTIF($J$4:$J242,1)</f>
      </c>
      <c r="J242" s="26">
        <f>COUNTIF($S$5:$S242,S242)</f>
      </c>
      <c r="K242" s="26">
        <f t="shared" si="60"/>
      </c>
      <c r="L242" s="26">
        <f>IFERROR(IF(P242=0,0,MAX($L$4:L241)+1),0)</f>
      </c>
      <c r="M242" s="5">
        <f t="shared" si="72"/>
      </c>
      <c r="N242" s="5">
        <f t="shared" si="73"/>
      </c>
      <c r="P242" s="86">
        <f t="shared" si="61"/>
      </c>
      <c r="Q242" s="86">
        <f t="shared" si="62"/>
      </c>
      <c r="R242" s="86">
        <f t="shared" si="63"/>
      </c>
      <c r="S242" s="86">
        <f t="shared" si="64"/>
      </c>
      <c r="T242" s="86">
        <f t="shared" si="74"/>
        <v/>
      </c>
      <c r="U242" s="86">
        <f t="shared" si="75"/>
        <v/>
      </c>
      <c r="V242" s="86">
        <f t="shared" si="76"/>
        <v/>
      </c>
      <c r="W242" s="87">
        <f t="shared" si="65"/>
      </c>
      <c r="X242" s="88"/>
      <c r="Y242" s="88"/>
      <c r="Z242" s="88"/>
      <c r="AA242" s="88"/>
      <c r="AB242" s="88"/>
      <c r="AD242" s="86">
        <f t="shared" si="66"/>
      </c>
      <c r="AE242" s="86">
        <f t="shared" si="67"/>
      </c>
      <c r="AG242" s="86">
        <f t="shared" si="68"/>
      </c>
      <c r="AH242" s="86">
        <f t="shared" si="69"/>
      </c>
      <c r="AI242" s="86">
        <f t="shared" si="70"/>
      </c>
    </row>
    <row r="243" spans="6:35" x14ac:dyDescent="0.3">
      <c r="F243" s="26">
        <f>IF(G243=1,MAX($F$4:F242)+1,"")</f>
        <v/>
      </c>
      <c r="G243" s="26">
        <f>COUNTIF($H$5:H243,H243)</f>
      </c>
      <c r="H243" s="26">
        <f t="shared" si="71"/>
      </c>
      <c r="I243" s="26">
        <f>COUNTIF($J$4:$J243,1)</f>
      </c>
      <c r="J243" s="26">
        <f>COUNTIF($S$5:$S243,S243)</f>
      </c>
      <c r="K243" s="26">
        <f t="shared" si="60"/>
      </c>
      <c r="L243" s="26">
        <f>IFERROR(IF(P243=0,0,MAX($L$4:L242)+1),0)</f>
      </c>
      <c r="M243" s="5">
        <f t="shared" si="72"/>
      </c>
      <c r="N243" s="5">
        <f t="shared" si="73"/>
      </c>
      <c r="P243" s="86">
        <f t="shared" si="61"/>
      </c>
      <c r="Q243" s="86">
        <f t="shared" si="62"/>
      </c>
      <c r="R243" s="86">
        <f t="shared" si="63"/>
      </c>
      <c r="S243" s="86">
        <f t="shared" si="64"/>
      </c>
      <c r="T243" s="86">
        <f t="shared" si="74"/>
        <v/>
      </c>
      <c r="U243" s="86">
        <f t="shared" si="75"/>
        <v/>
      </c>
      <c r="V243" s="86">
        <f t="shared" si="76"/>
        <v/>
      </c>
      <c r="W243" s="87">
        <f t="shared" si="65"/>
      </c>
      <c r="X243" s="88"/>
      <c r="Y243" s="88"/>
      <c r="Z243" s="88"/>
      <c r="AA243" s="88"/>
      <c r="AB243" s="88"/>
      <c r="AD243" s="86">
        <f t="shared" si="66"/>
      </c>
      <c r="AE243" s="86">
        <f t="shared" si="67"/>
      </c>
      <c r="AG243" s="86">
        <f t="shared" si="68"/>
      </c>
      <c r="AH243" s="86">
        <f t="shared" si="69"/>
      </c>
      <c r="AI243" s="86">
        <f t="shared" si="70"/>
      </c>
    </row>
    <row r="244" spans="6:35" x14ac:dyDescent="0.3">
      <c r="F244" s="26">
        <f>IF(G244=1,MAX($F$4:F243)+1,"")</f>
        <v/>
      </c>
      <c r="G244" s="26">
        <f>COUNTIF($H$5:H244,H244)</f>
      </c>
      <c r="H244" s="26">
        <f t="shared" si="71"/>
      </c>
      <c r="I244" s="26">
        <f>COUNTIF($J$4:$J244,1)</f>
      </c>
      <c r="J244" s="26">
        <f>COUNTIF($S$5:$S244,S244)</f>
      </c>
      <c r="K244" s="26">
        <f t="shared" si="60"/>
      </c>
      <c r="L244" s="26">
        <f>IFERROR(IF(P244=0,0,MAX($L$4:L243)+1),0)</f>
      </c>
      <c r="M244" s="5">
        <f t="shared" si="72"/>
      </c>
      <c r="N244" s="5">
        <f t="shared" si="73"/>
      </c>
      <c r="P244" s="86">
        <f t="shared" si="61"/>
      </c>
      <c r="Q244" s="86">
        <f t="shared" si="62"/>
      </c>
      <c r="R244" s="86">
        <f t="shared" si="63"/>
      </c>
      <c r="S244" s="86">
        <f t="shared" si="64"/>
      </c>
      <c r="T244" s="86">
        <f t="shared" si="74"/>
        <v/>
      </c>
      <c r="U244" s="86">
        <f t="shared" si="75"/>
        <v/>
      </c>
      <c r="V244" s="86">
        <f t="shared" si="76"/>
        <v/>
      </c>
      <c r="W244" s="87">
        <f t="shared" si="65"/>
      </c>
      <c r="X244" s="88"/>
      <c r="Y244" s="88"/>
      <c r="Z244" s="88"/>
      <c r="AA244" s="88"/>
      <c r="AB244" s="88"/>
      <c r="AD244" s="86">
        <f t="shared" si="66"/>
      </c>
      <c r="AE244" s="86">
        <f t="shared" si="67"/>
      </c>
      <c r="AG244" s="86">
        <f t="shared" si="68"/>
      </c>
      <c r="AH244" s="86">
        <f t="shared" si="69"/>
      </c>
      <c r="AI244" s="86">
        <f t="shared" si="70"/>
      </c>
    </row>
    <row r="245" spans="6:35" x14ac:dyDescent="0.3">
      <c r="F245" s="26">
        <f>IF(G245=1,MAX($F$4:F244)+1,"")</f>
        <v/>
      </c>
      <c r="G245" s="26">
        <f>COUNTIF($H$5:H245,H245)</f>
      </c>
      <c r="H245" s="26">
        <f t="shared" si="71"/>
      </c>
      <c r="I245" s="26">
        <f>COUNTIF($J$4:$J245,1)</f>
      </c>
      <c r="J245" s="26">
        <f>COUNTIF($S$5:$S245,S245)</f>
      </c>
      <c r="K245" s="26">
        <f t="shared" si="60"/>
      </c>
      <c r="L245" s="26">
        <f>IFERROR(IF(P245=0,0,MAX($L$4:L244)+1),0)</f>
      </c>
      <c r="M245" s="5">
        <f t="shared" si="72"/>
      </c>
      <c r="N245" s="5">
        <f t="shared" si="73"/>
      </c>
      <c r="P245" s="86">
        <f t="shared" si="61"/>
      </c>
      <c r="Q245" s="86">
        <f t="shared" si="62"/>
      </c>
      <c r="R245" s="86">
        <f t="shared" si="63"/>
      </c>
      <c r="S245" s="86">
        <f t="shared" si="64"/>
      </c>
      <c r="T245" s="86">
        <f t="shared" si="74"/>
        <v/>
      </c>
      <c r="U245" s="86">
        <f t="shared" si="75"/>
        <v/>
      </c>
      <c r="V245" s="86">
        <f t="shared" si="76"/>
        <v/>
      </c>
      <c r="W245" s="87">
        <f t="shared" si="65"/>
      </c>
      <c r="X245" s="88"/>
      <c r="Y245" s="88"/>
      <c r="Z245" s="88"/>
      <c r="AA245" s="88"/>
      <c r="AB245" s="88"/>
      <c r="AD245" s="86">
        <f t="shared" si="66"/>
      </c>
      <c r="AE245" s="86">
        <f t="shared" si="67"/>
      </c>
      <c r="AG245" s="86">
        <f t="shared" si="68"/>
      </c>
      <c r="AH245" s="86">
        <f t="shared" si="69"/>
      </c>
      <c r="AI245" s="86">
        <f t="shared" si="70"/>
      </c>
    </row>
    <row r="246" spans="6:35" x14ac:dyDescent="0.3">
      <c r="F246" s="26">
        <f>IF(G246=1,MAX($F$4:F245)+1,"")</f>
        <v/>
      </c>
      <c r="G246" s="26">
        <f>COUNTIF($H$5:H246,H246)</f>
      </c>
      <c r="H246" s="26">
        <f t="shared" si="71"/>
      </c>
      <c r="I246" s="26">
        <f>COUNTIF($J$4:$J246,1)</f>
      </c>
      <c r="J246" s="26">
        <f>COUNTIF($S$5:$S246,S246)</f>
      </c>
      <c r="K246" s="26">
        <f t="shared" si="60"/>
      </c>
      <c r="L246" s="26">
        <f>IFERROR(IF(P246=0,0,MAX($L$4:L245)+1),0)</f>
      </c>
      <c r="M246" s="5">
        <f t="shared" si="72"/>
      </c>
      <c r="N246" s="5">
        <f t="shared" si="73"/>
      </c>
      <c r="P246" s="86">
        <f t="shared" si="61"/>
      </c>
      <c r="Q246" s="86">
        <f t="shared" si="62"/>
      </c>
      <c r="R246" s="86">
        <f t="shared" si="63"/>
      </c>
      <c r="S246" s="86">
        <f t="shared" si="64"/>
      </c>
      <c r="T246" s="86">
        <f t="shared" si="74"/>
        <v/>
      </c>
      <c r="U246" s="86">
        <f t="shared" si="75"/>
        <v/>
      </c>
      <c r="V246" s="86">
        <f t="shared" si="76"/>
        <v/>
      </c>
      <c r="W246" s="87">
        <f t="shared" si="65"/>
      </c>
      <c r="X246" s="88"/>
      <c r="Y246" s="88"/>
      <c r="Z246" s="88"/>
      <c r="AA246" s="88"/>
      <c r="AB246" s="88"/>
      <c r="AD246" s="86">
        <f t="shared" si="66"/>
      </c>
      <c r="AE246" s="86">
        <f t="shared" si="67"/>
      </c>
      <c r="AG246" s="86">
        <f t="shared" si="68"/>
      </c>
      <c r="AH246" s="86">
        <f t="shared" si="69"/>
      </c>
      <c r="AI246" s="86">
        <f t="shared" si="70"/>
      </c>
    </row>
    <row r="247" spans="6:35" x14ac:dyDescent="0.3">
      <c r="F247" s="26">
        <f>IF(G247=1,MAX($F$4:F246)+1,"")</f>
        <v/>
      </c>
      <c r="G247" s="26">
        <f>COUNTIF($H$5:H247,H247)</f>
      </c>
      <c r="H247" s="26">
        <f t="shared" si="71"/>
      </c>
      <c r="I247" s="26">
        <f>COUNTIF($J$4:$J247,1)</f>
      </c>
      <c r="J247" s="26">
        <f>COUNTIF($S$5:$S247,S247)</f>
      </c>
      <c r="K247" s="26">
        <f t="shared" si="60"/>
      </c>
      <c r="L247" s="26">
        <f>IFERROR(IF(P247=0,0,MAX($L$4:L246)+1),0)</f>
      </c>
      <c r="M247" s="5">
        <f t="shared" si="72"/>
      </c>
      <c r="N247" s="5">
        <f t="shared" si="73"/>
      </c>
      <c r="P247" s="86">
        <f t="shared" si="61"/>
      </c>
      <c r="Q247" s="86">
        <f t="shared" si="62"/>
      </c>
      <c r="R247" s="86">
        <f t="shared" si="63"/>
      </c>
      <c r="S247" s="86">
        <f t="shared" si="64"/>
      </c>
      <c r="T247" s="86">
        <f t="shared" si="74"/>
        <v/>
      </c>
      <c r="U247" s="86">
        <f t="shared" si="75"/>
        <v/>
      </c>
      <c r="V247" s="86">
        <f t="shared" si="76"/>
        <v/>
      </c>
      <c r="W247" s="87">
        <f t="shared" si="65"/>
      </c>
      <c r="X247" s="88"/>
      <c r="Y247" s="88"/>
      <c r="Z247" s="88"/>
      <c r="AA247" s="88"/>
      <c r="AB247" s="88"/>
      <c r="AD247" s="86">
        <f t="shared" si="66"/>
      </c>
      <c r="AE247" s="86">
        <f t="shared" si="67"/>
      </c>
      <c r="AG247" s="86">
        <f t="shared" si="68"/>
      </c>
      <c r="AH247" s="86">
        <f t="shared" si="69"/>
      </c>
      <c r="AI247" s="86">
        <f t="shared" si="70"/>
      </c>
    </row>
    <row r="248" spans="6:35" x14ac:dyDescent="0.3">
      <c r="F248" s="26">
        <f>IF(G248=1,MAX($F$4:F247)+1,"")</f>
        <v/>
      </c>
      <c r="G248" s="26">
        <f>COUNTIF($H$5:H248,H248)</f>
      </c>
      <c r="H248" s="26">
        <f t="shared" si="71"/>
      </c>
      <c r="I248" s="26">
        <f>COUNTIF($J$4:$J248,1)</f>
      </c>
      <c r="J248" s="26">
        <f>COUNTIF($S$5:$S248,S248)</f>
      </c>
      <c r="K248" s="26">
        <f t="shared" si="60"/>
      </c>
      <c r="L248" s="26">
        <f>IFERROR(IF(P248=0,0,MAX($L$4:L247)+1),0)</f>
      </c>
      <c r="M248" s="5">
        <f t="shared" si="72"/>
      </c>
      <c r="N248" s="5">
        <f t="shared" si="73"/>
      </c>
      <c r="P248" s="86">
        <f t="shared" si="61"/>
      </c>
      <c r="Q248" s="86">
        <f t="shared" si="62"/>
      </c>
      <c r="R248" s="86">
        <f t="shared" si="63"/>
      </c>
      <c r="S248" s="86">
        <f t="shared" si="64"/>
      </c>
      <c r="T248" s="86">
        <f t="shared" si="74"/>
        <v/>
      </c>
      <c r="U248" s="86">
        <f t="shared" si="75"/>
        <v/>
      </c>
      <c r="V248" s="86">
        <f t="shared" si="76"/>
        <v/>
      </c>
      <c r="W248" s="87">
        <f t="shared" si="65"/>
      </c>
      <c r="X248" s="88"/>
      <c r="Y248" s="88"/>
      <c r="Z248" s="88"/>
      <c r="AA248" s="88"/>
      <c r="AB248" s="88"/>
      <c r="AD248" s="86">
        <f t="shared" si="66"/>
      </c>
      <c r="AE248" s="86">
        <f t="shared" si="67"/>
      </c>
      <c r="AG248" s="86">
        <f t="shared" si="68"/>
      </c>
      <c r="AH248" s="86">
        <f t="shared" si="69"/>
      </c>
      <c r="AI248" s="86">
        <f t="shared" si="70"/>
      </c>
    </row>
    <row r="249" spans="6:35" x14ac:dyDescent="0.3">
      <c r="F249" s="26">
        <f>IF(G249=1,MAX($F$4:F248)+1,"")</f>
        <v/>
      </c>
      <c r="G249" s="26">
        <f>COUNTIF($H$5:H249,H249)</f>
      </c>
      <c r="H249" s="26">
        <f t="shared" si="71"/>
      </c>
      <c r="I249" s="26">
        <f>COUNTIF($J$4:$J249,1)</f>
      </c>
      <c r="J249" s="26">
        <f>COUNTIF($S$5:$S249,S249)</f>
      </c>
      <c r="K249" s="26">
        <f t="shared" si="60"/>
      </c>
      <c r="L249" s="26">
        <f>IFERROR(IF(P249=0,0,MAX($L$4:L248)+1),0)</f>
      </c>
      <c r="M249" s="5">
        <f t="shared" si="72"/>
      </c>
      <c r="N249" s="5">
        <f t="shared" si="73"/>
      </c>
      <c r="P249" s="86">
        <f t="shared" si="61"/>
      </c>
      <c r="Q249" s="86">
        <f t="shared" si="62"/>
      </c>
      <c r="R249" s="86">
        <f t="shared" si="63"/>
      </c>
      <c r="S249" s="86">
        <f t="shared" si="64"/>
      </c>
      <c r="T249" s="86">
        <f t="shared" si="74"/>
        <v/>
      </c>
      <c r="U249" s="86">
        <f t="shared" si="75"/>
        <v/>
      </c>
      <c r="V249" s="86">
        <f t="shared" si="76"/>
        <v/>
      </c>
      <c r="W249" s="87">
        <f t="shared" si="65"/>
      </c>
      <c r="X249" s="88"/>
      <c r="Y249" s="88"/>
      <c r="Z249" s="88"/>
      <c r="AA249" s="88"/>
      <c r="AB249" s="88"/>
      <c r="AD249" s="86">
        <f t="shared" si="66"/>
      </c>
      <c r="AE249" s="86">
        <f t="shared" si="67"/>
      </c>
      <c r="AG249" s="86">
        <f t="shared" si="68"/>
      </c>
      <c r="AH249" s="86">
        <f t="shared" si="69"/>
      </c>
      <c r="AI249" s="86">
        <f t="shared" si="70"/>
      </c>
    </row>
    <row r="250" spans="6:35" x14ac:dyDescent="0.3">
      <c r="F250" s="26">
        <f>IF(G250=1,MAX($F$4:F249)+1,"")</f>
        <v/>
      </c>
      <c r="G250" s="26">
        <f>COUNTIF($H$5:H250,H250)</f>
      </c>
      <c r="H250" s="26">
        <f t="shared" si="71"/>
      </c>
      <c r="I250" s="26">
        <f>COUNTIF($J$4:$J250,1)</f>
      </c>
      <c r="J250" s="26">
        <f>COUNTIF($S$5:$S250,S250)</f>
      </c>
      <c r="K250" s="26">
        <f t="shared" si="60"/>
      </c>
      <c r="L250" s="26">
        <f>IFERROR(IF(P250=0,0,MAX($L$4:L249)+1),0)</f>
      </c>
      <c r="M250" s="5">
        <f t="shared" si="72"/>
      </c>
      <c r="N250" s="5">
        <f t="shared" si="73"/>
      </c>
      <c r="P250" s="86">
        <f t="shared" si="61"/>
      </c>
      <c r="Q250" s="86">
        <f t="shared" si="62"/>
      </c>
      <c r="R250" s="86">
        <f t="shared" si="63"/>
      </c>
      <c r="S250" s="86">
        <f t="shared" si="64"/>
      </c>
      <c r="T250" s="86">
        <f t="shared" si="74"/>
        <v/>
      </c>
      <c r="U250" s="86">
        <f t="shared" si="75"/>
        <v/>
      </c>
      <c r="V250" s="86">
        <f t="shared" si="76"/>
        <v/>
      </c>
      <c r="W250" s="87">
        <f t="shared" si="65"/>
      </c>
      <c r="X250" s="88"/>
      <c r="Y250" s="88"/>
      <c r="Z250" s="88"/>
      <c r="AA250" s="88"/>
      <c r="AB250" s="88"/>
      <c r="AD250" s="86">
        <f t="shared" si="66"/>
      </c>
      <c r="AE250" s="86">
        <f t="shared" si="67"/>
      </c>
      <c r="AG250" s="86">
        <f t="shared" si="68"/>
      </c>
      <c r="AH250" s="86">
        <f t="shared" si="69"/>
      </c>
      <c r="AI250" s="86">
        <f t="shared" si="70"/>
      </c>
    </row>
    <row r="251" spans="6:35" x14ac:dyDescent="0.3">
      <c r="F251" s="26">
        <f>IF(G251=1,MAX($F$4:F250)+1,"")</f>
        <v/>
      </c>
      <c r="G251" s="26">
        <f>COUNTIF($H$5:H251,H251)</f>
      </c>
      <c r="H251" s="26">
        <f t="shared" si="71"/>
      </c>
      <c r="I251" s="26">
        <f>COUNTIF($J$4:$J251,1)</f>
      </c>
      <c r="J251" s="26">
        <f>COUNTIF($S$5:$S251,S251)</f>
      </c>
      <c r="K251" s="26">
        <f t="shared" si="60"/>
      </c>
      <c r="L251" s="26">
        <f>IFERROR(IF(P251=0,0,MAX($L$4:L250)+1),0)</f>
      </c>
      <c r="M251" s="5">
        <f t="shared" si="72"/>
      </c>
      <c r="N251" s="5">
        <f t="shared" si="73"/>
      </c>
      <c r="P251" s="86">
        <f t="shared" si="61"/>
      </c>
      <c r="Q251" s="86">
        <f t="shared" si="62"/>
      </c>
      <c r="R251" s="86">
        <f t="shared" si="63"/>
      </c>
      <c r="S251" s="86">
        <f t="shared" si="64"/>
      </c>
      <c r="T251" s="86">
        <f t="shared" si="74"/>
        <v/>
      </c>
      <c r="U251" s="86">
        <f t="shared" si="75"/>
        <v/>
      </c>
      <c r="V251" s="86">
        <f t="shared" si="76"/>
        <v/>
      </c>
      <c r="W251" s="87">
        <f t="shared" si="65"/>
      </c>
      <c r="X251" s="88"/>
      <c r="Y251" s="88"/>
      <c r="Z251" s="88"/>
      <c r="AA251" s="88"/>
      <c r="AB251" s="88"/>
      <c r="AD251" s="86">
        <f t="shared" si="66"/>
      </c>
      <c r="AE251" s="86">
        <f t="shared" si="67"/>
      </c>
      <c r="AG251" s="86">
        <f t="shared" si="68"/>
      </c>
      <c r="AH251" s="86">
        <f t="shared" si="69"/>
      </c>
      <c r="AI251" s="86">
        <f t="shared" si="70"/>
      </c>
    </row>
    <row r="252" spans="6:35" x14ac:dyDescent="0.3">
      <c r="F252" s="26">
        <f>IF(G252=1,MAX($F$4:F251)+1,"")</f>
        <v/>
      </c>
      <c r="G252" s="26">
        <f>COUNTIF($H$5:H252,H252)</f>
      </c>
      <c r="H252" s="26">
        <f t="shared" si="71"/>
      </c>
      <c r="I252" s="26">
        <f>COUNTIF($J$4:$J252,1)</f>
      </c>
      <c r="J252" s="26">
        <f>COUNTIF($S$5:$S252,S252)</f>
      </c>
      <c r="K252" s="26">
        <f t="shared" si="60"/>
      </c>
      <c r="L252" s="26">
        <f>IFERROR(IF(P252=0,0,MAX($L$4:L251)+1),0)</f>
      </c>
      <c r="M252" s="5">
        <f t="shared" si="72"/>
      </c>
      <c r="N252" s="5">
        <f t="shared" si="73"/>
      </c>
      <c r="P252" s="86">
        <f t="shared" si="61"/>
      </c>
      <c r="Q252" s="86">
        <f t="shared" si="62"/>
      </c>
      <c r="R252" s="86">
        <f t="shared" si="63"/>
      </c>
      <c r="S252" s="86">
        <f t="shared" si="64"/>
      </c>
      <c r="T252" s="86">
        <f t="shared" si="74"/>
        <v/>
      </c>
      <c r="U252" s="86">
        <f t="shared" si="75"/>
        <v/>
      </c>
      <c r="V252" s="86">
        <f t="shared" si="76"/>
        <v/>
      </c>
      <c r="W252" s="87">
        <f t="shared" si="65"/>
      </c>
      <c r="X252" s="88"/>
      <c r="Y252" s="88"/>
      <c r="Z252" s="88"/>
      <c r="AA252" s="88"/>
      <c r="AB252" s="88"/>
      <c r="AD252" s="86">
        <f t="shared" si="66"/>
      </c>
      <c r="AE252" s="86">
        <f t="shared" si="67"/>
      </c>
      <c r="AG252" s="86">
        <f t="shared" si="68"/>
      </c>
      <c r="AH252" s="86">
        <f t="shared" si="69"/>
      </c>
      <c r="AI252" s="86">
        <f t="shared" si="70"/>
      </c>
    </row>
    <row r="253" spans="6:35" x14ac:dyDescent="0.3">
      <c r="F253" s="26">
        <f>IF(G253=1,MAX($F$4:F252)+1,"")</f>
        <v/>
      </c>
      <c r="G253" s="26">
        <f>COUNTIF($H$5:H253,H253)</f>
      </c>
      <c r="H253" s="26">
        <f t="shared" si="71"/>
      </c>
      <c r="I253" s="26">
        <f>COUNTIF($J$4:$J253,1)</f>
      </c>
      <c r="J253" s="26">
        <f>COUNTIF($S$5:$S253,S253)</f>
      </c>
      <c r="K253" s="26">
        <f t="shared" si="60"/>
      </c>
      <c r="L253" s="26">
        <f>IFERROR(IF(P253=0,0,MAX($L$4:L252)+1),0)</f>
      </c>
      <c r="M253" s="5">
        <f t="shared" si="72"/>
      </c>
      <c r="N253" s="5">
        <f t="shared" si="73"/>
      </c>
      <c r="P253" s="86">
        <f t="shared" si="61"/>
      </c>
      <c r="Q253" s="86">
        <f t="shared" si="62"/>
      </c>
      <c r="R253" s="86">
        <f t="shared" si="63"/>
      </c>
      <c r="S253" s="86">
        <f t="shared" si="64"/>
      </c>
      <c r="T253" s="86">
        <f t="shared" si="74"/>
        <v/>
      </c>
      <c r="U253" s="86">
        <f t="shared" si="75"/>
        <v/>
      </c>
      <c r="V253" s="86">
        <f t="shared" si="76"/>
        <v/>
      </c>
      <c r="W253" s="87">
        <f t="shared" si="65"/>
      </c>
      <c r="X253" s="88"/>
      <c r="Y253" s="88"/>
      <c r="Z253" s="88"/>
      <c r="AA253" s="88"/>
      <c r="AB253" s="88"/>
      <c r="AD253" s="86">
        <f t="shared" si="66"/>
      </c>
      <c r="AE253" s="86">
        <f t="shared" si="67"/>
      </c>
      <c r="AG253" s="86">
        <f t="shared" si="68"/>
      </c>
      <c r="AH253" s="86">
        <f t="shared" si="69"/>
      </c>
      <c r="AI253" s="86">
        <f t="shared" si="70"/>
      </c>
    </row>
    <row r="254" spans="6:35" x14ac:dyDescent="0.3">
      <c r="F254" s="26">
        <f>IF(G254=1,MAX($F$4:F253)+1,"")</f>
        <v/>
      </c>
      <c r="G254" s="26">
        <f>COUNTIF($H$5:H254,H254)</f>
      </c>
      <c r="H254" s="26">
        <f t="shared" si="71"/>
      </c>
      <c r="I254" s="26">
        <f>COUNTIF($J$4:$J254,1)</f>
      </c>
      <c r="J254" s="26">
        <f>COUNTIF($S$5:$S254,S254)</f>
      </c>
      <c r="K254" s="26">
        <f t="shared" si="60"/>
      </c>
      <c r="L254" s="26">
        <f>IFERROR(IF(P254=0,0,MAX($L$4:L253)+1),0)</f>
      </c>
      <c r="M254" s="5">
        <f t="shared" si="72"/>
      </c>
      <c r="N254" s="5">
        <f t="shared" si="73"/>
      </c>
      <c r="P254" s="86">
        <f t="shared" si="61"/>
      </c>
      <c r="Q254" s="86">
        <f t="shared" si="62"/>
      </c>
      <c r="R254" s="86">
        <f t="shared" si="63"/>
      </c>
      <c r="S254" s="86">
        <f t="shared" si="64"/>
      </c>
      <c r="T254" s="86">
        <f t="shared" si="74"/>
        <v/>
      </c>
      <c r="U254" s="86">
        <f t="shared" si="75"/>
        <v/>
      </c>
      <c r="V254" s="86">
        <f t="shared" si="76"/>
        <v/>
      </c>
      <c r="W254" s="87">
        <f t="shared" si="65"/>
      </c>
      <c r="X254" s="88"/>
      <c r="Y254" s="88"/>
      <c r="Z254" s="88"/>
      <c r="AA254" s="88"/>
      <c r="AB254" s="88"/>
      <c r="AD254" s="86">
        <f t="shared" si="66"/>
      </c>
      <c r="AE254" s="86">
        <f t="shared" si="67"/>
      </c>
      <c r="AG254" s="86">
        <f t="shared" si="68"/>
      </c>
      <c r="AH254" s="86">
        <f t="shared" si="69"/>
      </c>
      <c r="AI254" s="86">
        <f t="shared" si="70"/>
      </c>
    </row>
    <row r="255" spans="6:35" x14ac:dyDescent="0.3">
      <c r="F255" s="26">
        <f>IF(G255=1,MAX($F$4:F254)+1,"")</f>
        <v/>
      </c>
      <c r="G255" s="26">
        <f>COUNTIF($H$5:H255,H255)</f>
      </c>
      <c r="H255" s="26">
        <f t="shared" si="71"/>
      </c>
      <c r="I255" s="26">
        <f>COUNTIF($J$4:$J255,1)</f>
      </c>
      <c r="J255" s="26">
        <f>COUNTIF($S$5:$S255,S255)</f>
      </c>
      <c r="K255" s="26">
        <f t="shared" si="60"/>
      </c>
      <c r="L255" s="26">
        <f>IFERROR(IF(P255=0,0,MAX($L$4:L254)+1),0)</f>
      </c>
      <c r="M255" s="5">
        <f t="shared" si="72"/>
      </c>
      <c r="N255" s="5">
        <f t="shared" si="73"/>
      </c>
      <c r="P255" s="86">
        <f t="shared" si="61"/>
      </c>
      <c r="Q255" s="86">
        <f t="shared" si="62"/>
      </c>
      <c r="R255" s="86">
        <f t="shared" si="63"/>
      </c>
      <c r="S255" s="86">
        <f t="shared" si="64"/>
      </c>
      <c r="T255" s="86">
        <f t="shared" si="74"/>
        <v/>
      </c>
      <c r="U255" s="86">
        <f t="shared" si="75"/>
        <v/>
      </c>
      <c r="V255" s="86">
        <f t="shared" si="76"/>
        <v/>
      </c>
      <c r="W255" s="87">
        <f t="shared" si="65"/>
      </c>
      <c r="X255" s="88"/>
      <c r="Y255" s="88"/>
      <c r="Z255" s="88"/>
      <c r="AA255" s="88"/>
      <c r="AB255" s="88"/>
      <c r="AD255" s="86">
        <f t="shared" si="66"/>
      </c>
      <c r="AE255" s="86">
        <f t="shared" si="67"/>
      </c>
      <c r="AG255" s="86">
        <f t="shared" si="68"/>
      </c>
      <c r="AH255" s="86">
        <f t="shared" si="69"/>
      </c>
      <c r="AI255" s="86">
        <f t="shared" si="70"/>
      </c>
    </row>
    <row r="256" spans="6:35" x14ac:dyDescent="0.3">
      <c r="F256" s="26">
        <f>IF(G256=1,MAX($F$4:F255)+1,"")</f>
        <v/>
      </c>
      <c r="G256" s="26">
        <f>COUNTIF($H$5:H256,H256)</f>
      </c>
      <c r="H256" s="26">
        <f t="shared" si="71"/>
      </c>
      <c r="I256" s="26">
        <f>COUNTIF($J$4:$J256,1)</f>
      </c>
      <c r="J256" s="26">
        <f>COUNTIF($S$5:$S256,S256)</f>
      </c>
      <c r="K256" s="26">
        <f t="shared" si="60"/>
      </c>
      <c r="L256" s="26">
        <f>IFERROR(IF(P256=0,0,MAX($L$4:L255)+1),0)</f>
      </c>
      <c r="M256" s="5">
        <f t="shared" si="72"/>
      </c>
      <c r="N256" s="5">
        <f t="shared" si="73"/>
      </c>
      <c r="P256" s="86">
        <f t="shared" si="61"/>
      </c>
      <c r="Q256" s="86">
        <f t="shared" si="62"/>
      </c>
      <c r="R256" s="86">
        <f t="shared" si="63"/>
      </c>
      <c r="S256" s="86">
        <f t="shared" si="64"/>
      </c>
      <c r="T256" s="86">
        <f t="shared" si="74"/>
        <v/>
      </c>
      <c r="U256" s="86">
        <f t="shared" si="75"/>
        <v/>
      </c>
      <c r="V256" s="86">
        <f t="shared" si="76"/>
        <v/>
      </c>
      <c r="W256" s="87">
        <f t="shared" si="65"/>
      </c>
      <c r="X256" s="88"/>
      <c r="Y256" s="88"/>
      <c r="Z256" s="88"/>
      <c r="AA256" s="88"/>
      <c r="AB256" s="88"/>
      <c r="AD256" s="86">
        <f t="shared" si="66"/>
      </c>
      <c r="AE256" s="86">
        <f t="shared" si="67"/>
      </c>
      <c r="AG256" s="86">
        <f t="shared" si="68"/>
      </c>
      <c r="AH256" s="86">
        <f t="shared" si="69"/>
      </c>
      <c r="AI256" s="86">
        <f t="shared" si="70"/>
      </c>
    </row>
    <row r="257" spans="6:35" x14ac:dyDescent="0.3">
      <c r="F257" s="26">
        <f>IF(G257=1,MAX($F$4:F256)+1,"")</f>
        <v/>
      </c>
      <c r="G257" s="26">
        <f>COUNTIF($H$5:H257,H257)</f>
      </c>
      <c r="H257" s="26">
        <f t="shared" si="71"/>
      </c>
      <c r="I257" s="26">
        <f>COUNTIF($J$4:$J257,1)</f>
      </c>
      <c r="J257" s="26">
        <f>COUNTIF($S$5:$S257,S257)</f>
      </c>
      <c r="K257" s="26">
        <f t="shared" si="60"/>
      </c>
      <c r="L257" s="26">
        <f>IFERROR(IF(P257=0,0,MAX($L$4:L256)+1),0)</f>
      </c>
      <c r="M257" s="5">
        <f t="shared" si="72"/>
      </c>
      <c r="N257" s="5">
        <f t="shared" si="73"/>
      </c>
      <c r="P257" s="86">
        <f t="shared" si="61"/>
      </c>
      <c r="Q257" s="86">
        <f t="shared" si="62"/>
      </c>
      <c r="R257" s="86">
        <f t="shared" si="63"/>
      </c>
      <c r="S257" s="86">
        <f t="shared" si="64"/>
      </c>
      <c r="T257" s="86">
        <f t="shared" si="74"/>
        <v/>
      </c>
      <c r="U257" s="86">
        <f t="shared" si="75"/>
        <v/>
      </c>
      <c r="V257" s="86">
        <f t="shared" si="76"/>
        <v/>
      </c>
      <c r="W257" s="87">
        <f t="shared" si="65"/>
      </c>
      <c r="X257" s="88"/>
      <c r="Y257" s="88"/>
      <c r="Z257" s="88"/>
      <c r="AA257" s="88"/>
      <c r="AB257" s="88"/>
      <c r="AD257" s="86">
        <f t="shared" si="66"/>
      </c>
      <c r="AE257" s="86">
        <f t="shared" si="67"/>
      </c>
      <c r="AG257" s="86">
        <f t="shared" si="68"/>
      </c>
      <c r="AH257" s="86">
        <f t="shared" si="69"/>
      </c>
      <c r="AI257" s="86">
        <f t="shared" si="70"/>
      </c>
    </row>
    <row r="258" spans="6:35" x14ac:dyDescent="0.3">
      <c r="F258" s="26">
        <f>IF(G258=1,MAX($F$4:F257)+1,"")</f>
        <v/>
      </c>
      <c r="G258" s="26">
        <f>COUNTIF($H$5:H258,H258)</f>
      </c>
      <c r="H258" s="26">
        <f t="shared" si="71"/>
      </c>
      <c r="I258" s="26">
        <f>COUNTIF($J$4:$J258,1)</f>
      </c>
      <c r="J258" s="26">
        <f>COUNTIF($S$5:$S258,S258)</f>
      </c>
      <c r="K258" s="26">
        <f t="shared" si="60"/>
      </c>
      <c r="L258" s="26">
        <f>IFERROR(IF(P258=0,0,MAX($L$4:L257)+1),0)</f>
      </c>
      <c r="M258" s="5">
        <f t="shared" si="72"/>
      </c>
      <c r="N258" s="5">
        <f t="shared" si="73"/>
      </c>
      <c r="P258" s="86">
        <f t="shared" si="61"/>
      </c>
      <c r="Q258" s="86">
        <f t="shared" si="62"/>
      </c>
      <c r="R258" s="86">
        <f t="shared" si="63"/>
      </c>
      <c r="S258" s="86">
        <f t="shared" si="64"/>
      </c>
      <c r="T258" s="86">
        <f t="shared" si="74"/>
        <v/>
      </c>
      <c r="U258" s="86">
        <f t="shared" si="75"/>
        <v/>
      </c>
      <c r="V258" s="86">
        <f t="shared" si="76"/>
        <v/>
      </c>
      <c r="W258" s="87">
        <f t="shared" si="65"/>
      </c>
      <c r="X258" s="88"/>
      <c r="Y258" s="88"/>
      <c r="Z258" s="88"/>
      <c r="AA258" s="88"/>
      <c r="AB258" s="88"/>
      <c r="AD258" s="86">
        <f t="shared" si="66"/>
      </c>
      <c r="AE258" s="86">
        <f t="shared" si="67"/>
      </c>
      <c r="AG258" s="86">
        <f t="shared" si="68"/>
      </c>
      <c r="AH258" s="86">
        <f t="shared" si="69"/>
      </c>
      <c r="AI258" s="86">
        <f t="shared" si="70"/>
      </c>
    </row>
    <row r="259" spans="6:35" x14ac:dyDescent="0.3">
      <c r="F259" s="26">
        <f>IF(G259=1,MAX($F$4:F258)+1,"")</f>
        <v/>
      </c>
      <c r="G259" s="26">
        <f>COUNTIF($H$5:H259,H259)</f>
      </c>
      <c r="H259" s="26">
        <f t="shared" si="71"/>
      </c>
      <c r="I259" s="26">
        <f>COUNTIF($J$4:$J259,1)</f>
      </c>
      <c r="J259" s="26">
        <f>COUNTIF($S$5:$S259,S259)</f>
      </c>
      <c r="K259" s="26">
        <f t="shared" si="60"/>
      </c>
      <c r="L259" s="26">
        <f>IFERROR(IF(P259=0,0,MAX($L$4:L258)+1),0)</f>
      </c>
      <c r="M259" s="5">
        <f t="shared" si="72"/>
      </c>
      <c r="N259" s="5">
        <f t="shared" si="73"/>
      </c>
      <c r="P259" s="86">
        <f t="shared" si="61"/>
      </c>
      <c r="Q259" s="86">
        <f t="shared" si="62"/>
      </c>
      <c r="R259" s="86">
        <f t="shared" si="63"/>
      </c>
      <c r="S259" s="86">
        <f t="shared" si="64"/>
      </c>
      <c r="T259" s="86">
        <f t="shared" si="74"/>
        <v/>
      </c>
      <c r="U259" s="86">
        <f t="shared" si="75"/>
        <v/>
      </c>
      <c r="V259" s="86">
        <f t="shared" si="76"/>
        <v/>
      </c>
      <c r="W259" s="87">
        <f t="shared" si="65"/>
      </c>
      <c r="X259" s="88"/>
      <c r="Y259" s="88"/>
      <c r="Z259" s="88"/>
      <c r="AA259" s="88"/>
      <c r="AB259" s="88"/>
      <c r="AD259" s="86">
        <f t="shared" si="66"/>
      </c>
      <c r="AE259" s="86">
        <f t="shared" si="67"/>
      </c>
      <c r="AG259" s="86">
        <f t="shared" si="68"/>
      </c>
      <c r="AH259" s="86">
        <f t="shared" si="69"/>
      </c>
      <c r="AI259" s="86">
        <f t="shared" si="70"/>
      </c>
    </row>
    <row r="260" spans="6:35" x14ac:dyDescent="0.3">
      <c r="F260" s="26">
        <f>IF(G260=1,MAX($F$4:F259)+1,"")</f>
        <v/>
      </c>
      <c r="G260" s="26">
        <f>COUNTIF($H$5:H260,H260)</f>
      </c>
      <c r="H260" s="26">
        <f t="shared" si="71"/>
      </c>
      <c r="I260" s="26">
        <f>COUNTIF($J$4:$J260,1)</f>
      </c>
      <c r="J260" s="26">
        <f>COUNTIF($S$5:$S260,S260)</f>
      </c>
      <c r="K260" s="26">
        <f t="shared" si="60"/>
      </c>
      <c r="L260" s="26">
        <f>IFERROR(IF(P260=0,0,MAX($L$4:L259)+1),0)</f>
      </c>
      <c r="M260" s="5">
        <f t="shared" si="72"/>
      </c>
      <c r="N260" s="5">
        <f t="shared" si="73"/>
      </c>
      <c r="P260" s="86">
        <f t="shared" si="61"/>
      </c>
      <c r="Q260" s="86">
        <f t="shared" si="62"/>
      </c>
      <c r="R260" s="86">
        <f t="shared" si="63"/>
      </c>
      <c r="S260" s="86">
        <f t="shared" si="64"/>
      </c>
      <c r="T260" s="86">
        <f t="shared" si="74"/>
        <v/>
      </c>
      <c r="U260" s="86">
        <f t="shared" si="75"/>
        <v/>
      </c>
      <c r="V260" s="86">
        <f t="shared" si="76"/>
        <v/>
      </c>
      <c r="W260" s="87">
        <f t="shared" si="65"/>
      </c>
      <c r="X260" s="88"/>
      <c r="Y260" s="88"/>
      <c r="Z260" s="88"/>
      <c r="AA260" s="88"/>
      <c r="AB260" s="88"/>
      <c r="AD260" s="86">
        <f t="shared" si="66"/>
      </c>
      <c r="AE260" s="86">
        <f t="shared" si="67"/>
      </c>
      <c r="AG260" s="86">
        <f t="shared" si="68"/>
      </c>
      <c r="AH260" s="86">
        <f t="shared" si="69"/>
      </c>
      <c r="AI260" s="86">
        <f t="shared" si="70"/>
      </c>
    </row>
    <row r="261" spans="6:35" x14ac:dyDescent="0.3">
      <c r="F261" s="26">
        <f>IF(G261=1,MAX($F$4:F260)+1,"")</f>
        <v/>
      </c>
      <c r="G261" s="26">
        <f>COUNTIF($H$5:H261,H261)</f>
      </c>
      <c r="H261" s="26">
        <f t="shared" si="71"/>
      </c>
      <c r="I261" s="26">
        <f>COUNTIF($J$4:$J261,1)</f>
      </c>
      <c r="J261" s="26">
        <f>COUNTIF($S$5:$S261,S261)</f>
      </c>
      <c r="K261" s="26">
        <f t="shared" ref="K261:K324" si="77">VLOOKUP(P261,Исходные_данные,19,FALSE)</f>
      </c>
      <c r="L261" s="26">
        <f>IFERROR(IF(P261=0,0,MAX($L$4:L260)+1),0)</f>
      </c>
      <c r="M261" s="5">
        <f t="shared" si="72"/>
      </c>
      <c r="N261" s="5">
        <f t="shared" si="73"/>
      </c>
      <c r="P261" s="86">
        <f t="shared" ref="P261:P324" si="78">VLOOKUP(ROW(257:257),Разбивка_нумерация_5,4,FALSE)</f>
      </c>
      <c r="Q261" s="86">
        <f t="shared" ref="Q261:Q324" si="79">IF(VLOOKUP(ROW(257:257),Разбивка_нумерация_5,3,FALSE)=0,VLOOKUP(ROW(257:257),Разбивка_нумерация_5,2,FALSE),VLOOKUP(ROW(257:257),Разбивка_нумерация_5,3,FALSE))</f>
      </c>
      <c r="R261" s="86">
        <f t="shared" ref="R261:R324" si="80">VLOOKUP(ROW(257:257),Разбивка_нумерация_5,6,FALSE)</f>
      </c>
      <c r="S261" s="86">
        <f t="shared" ref="S261:S324" si="81">VLOOKUP(ROW(257:257),Разбивка_нумерация_5,17,FALSE)</f>
      </c>
      <c r="T261" s="86">
        <f t="shared" si="74"/>
        <v/>
      </c>
      <c r="U261" s="86">
        <f t="shared" si="75"/>
        <v/>
      </c>
      <c r="V261" s="86">
        <f t="shared" si="76"/>
        <v/>
      </c>
      <c r="W261" s="87">
        <f t="shared" ref="W261:W324" si="82">VLOOKUP(P261,Исходные_данные,13,FALSE)</f>
      </c>
      <c r="X261" s="88"/>
      <c r="Y261" s="88"/>
      <c r="Z261" s="88"/>
      <c r="AA261" s="88"/>
      <c r="AB261" s="88"/>
      <c r="AD261" s="86">
        <f t="shared" ref="AD261:AD324" si="83">VLOOKUP(S261,Кабель_диаметр,4,FALSE)</f>
      </c>
      <c r="AE261" s="86">
        <f t="shared" ref="AE261:AE324" si="84">VLOOKUP(S261,Кабель_диаметр,5,FALSE)</f>
      </c>
      <c r="AG261" s="86">
        <f t="shared" ref="AG261:AG324" si="85">IFERROR(VLOOKUP(P261,Исходные_данные,10,FALSE),0)</f>
      </c>
      <c r="AH261" s="86">
        <f t="shared" ref="AH261:AH324" si="86">IFERROR(VLOOKUP(P261,Исходные_данные,11,FALSE),0)</f>
      </c>
      <c r="AI261" s="86">
        <f t="shared" ref="AI261:AI324" si="87">IFERROR(VLOOKUP(P261,Исходные_данные,12,FALSE),0)</f>
      </c>
    </row>
    <row r="262" spans="6:35" x14ac:dyDescent="0.3">
      <c r="F262" s="26">
        <f>IF(G262=1,MAX($F$4:F261)+1,"")</f>
        <v/>
      </c>
      <c r="G262" s="26">
        <f>COUNTIF($H$5:H262,H262)</f>
      </c>
      <c r="H262" s="26">
        <f t="shared" ref="H262:H325" si="88">S262&amp;" "&amp;K262</f>
      </c>
      <c r="I262" s="26">
        <f>COUNTIF($J$4:$J262,1)</f>
      </c>
      <c r="J262" s="26">
        <f>COUNTIF($S$5:$S262,S262)</f>
      </c>
      <c r="K262" s="26">
        <f t="shared" si="77"/>
      </c>
      <c r="L262" s="26">
        <f>IFERROR(IF(P262=0,0,MAX($L$4:L261)+1),0)</f>
      </c>
      <c r="M262" s="5">
        <f t="shared" ref="M262:M325" si="89">LEFT(P262,SEARCH(".",P262)-1)</f>
      </c>
      <c r="N262" s="5">
        <f t="shared" ref="N262:N325" si="90">LEFT(RIGHT(P262,LEN(P262)-LEN(M262)-1),SEARCH(".",P262)-1)</f>
      </c>
      <c r="P262" s="86">
        <f t="shared" si="78"/>
      </c>
      <c r="Q262" s="86">
        <f t="shared" si="79"/>
      </c>
      <c r="R262" s="86">
        <f t="shared" si="80"/>
      </c>
      <c r="S262" s="86">
        <f t="shared" si="81"/>
      </c>
      <c r="T262" s="86">
        <f t="shared" ref="T262:T325" si="91">IF(AG262=0,"","L="&amp;AG262)</f>
        <v/>
      </c>
      <c r="U262" s="86">
        <f t="shared" ref="U262:U325" si="92">IF(AH262=0,"",AD262&amp;" L="&amp;AH262)</f>
        <v/>
      </c>
      <c r="V262" s="86">
        <f t="shared" ref="V262:V325" si="93">IF(AI262=0,"",AE262&amp;" L="&amp;AI262)</f>
        <v/>
      </c>
      <c r="W262" s="87">
        <f t="shared" si="82"/>
      </c>
      <c r="X262" s="88"/>
      <c r="Y262" s="88"/>
      <c r="Z262" s="88"/>
      <c r="AA262" s="88"/>
      <c r="AB262" s="88"/>
      <c r="AD262" s="86">
        <f t="shared" si="83"/>
      </c>
      <c r="AE262" s="86">
        <f t="shared" si="84"/>
      </c>
      <c r="AG262" s="86">
        <f t="shared" si="85"/>
      </c>
      <c r="AH262" s="86">
        <f t="shared" si="86"/>
      </c>
      <c r="AI262" s="86">
        <f t="shared" si="87"/>
      </c>
    </row>
    <row r="263" spans="6:35" x14ac:dyDescent="0.3">
      <c r="F263" s="26">
        <f>IF(G263=1,MAX($F$4:F262)+1,"")</f>
        <v/>
      </c>
      <c r="G263" s="26">
        <f>COUNTIF($H$5:H263,H263)</f>
      </c>
      <c r="H263" s="26">
        <f t="shared" si="88"/>
      </c>
      <c r="I263" s="26">
        <f>COUNTIF($J$4:$J263,1)</f>
      </c>
      <c r="J263" s="26">
        <f>COUNTIF($S$5:$S263,S263)</f>
      </c>
      <c r="K263" s="26">
        <f t="shared" si="77"/>
      </c>
      <c r="L263" s="26">
        <f>IFERROR(IF(P263=0,0,MAX($L$4:L262)+1),0)</f>
      </c>
      <c r="M263" s="5">
        <f t="shared" si="89"/>
      </c>
      <c r="N263" s="5">
        <f t="shared" si="90"/>
      </c>
      <c r="P263" s="86">
        <f t="shared" si="78"/>
      </c>
      <c r="Q263" s="86">
        <f t="shared" si="79"/>
      </c>
      <c r="R263" s="86">
        <f t="shared" si="80"/>
      </c>
      <c r="S263" s="86">
        <f t="shared" si="81"/>
      </c>
      <c r="T263" s="86">
        <f t="shared" si="91"/>
        <v/>
      </c>
      <c r="U263" s="86">
        <f t="shared" si="92"/>
        <v/>
      </c>
      <c r="V263" s="86">
        <f t="shared" si="93"/>
        <v/>
      </c>
      <c r="W263" s="87">
        <f t="shared" si="82"/>
      </c>
      <c r="X263" s="88"/>
      <c r="Y263" s="88"/>
      <c r="Z263" s="88"/>
      <c r="AA263" s="88"/>
      <c r="AB263" s="88"/>
      <c r="AD263" s="86">
        <f t="shared" si="83"/>
      </c>
      <c r="AE263" s="86">
        <f t="shared" si="84"/>
      </c>
      <c r="AG263" s="86">
        <f t="shared" si="85"/>
      </c>
      <c r="AH263" s="86">
        <f t="shared" si="86"/>
      </c>
      <c r="AI263" s="86">
        <f t="shared" si="87"/>
      </c>
    </row>
    <row r="264" spans="6:35" x14ac:dyDescent="0.3">
      <c r="F264" s="26">
        <f>IF(G264=1,MAX($F$4:F263)+1,"")</f>
        <v/>
      </c>
      <c r="G264" s="26">
        <f>COUNTIF($H$5:H264,H264)</f>
      </c>
      <c r="H264" s="26">
        <f t="shared" si="88"/>
      </c>
      <c r="I264" s="26">
        <f>COUNTIF($J$4:$J264,1)</f>
      </c>
      <c r="J264" s="26">
        <f>COUNTIF($S$5:$S264,S264)</f>
      </c>
      <c r="K264" s="26">
        <f t="shared" si="77"/>
      </c>
      <c r="L264" s="26">
        <f>IFERROR(IF(P264=0,0,MAX($L$4:L263)+1),0)</f>
      </c>
      <c r="M264" s="5">
        <f t="shared" si="89"/>
      </c>
      <c r="N264" s="5">
        <f t="shared" si="90"/>
      </c>
      <c r="P264" s="86">
        <f t="shared" si="78"/>
      </c>
      <c r="Q264" s="86">
        <f t="shared" si="79"/>
      </c>
      <c r="R264" s="86">
        <f t="shared" si="80"/>
      </c>
      <c r="S264" s="86">
        <f t="shared" si="81"/>
      </c>
      <c r="T264" s="86">
        <f t="shared" si="91"/>
        <v/>
      </c>
      <c r="U264" s="86">
        <f t="shared" si="92"/>
        <v/>
      </c>
      <c r="V264" s="86">
        <f t="shared" si="93"/>
        <v/>
      </c>
      <c r="W264" s="87">
        <f t="shared" si="82"/>
      </c>
      <c r="X264" s="88"/>
      <c r="Y264" s="88"/>
      <c r="Z264" s="88"/>
      <c r="AA264" s="88"/>
      <c r="AB264" s="88"/>
      <c r="AD264" s="86">
        <f t="shared" si="83"/>
      </c>
      <c r="AE264" s="86">
        <f t="shared" si="84"/>
      </c>
      <c r="AG264" s="86">
        <f t="shared" si="85"/>
      </c>
      <c r="AH264" s="86">
        <f t="shared" si="86"/>
      </c>
      <c r="AI264" s="86">
        <f t="shared" si="87"/>
      </c>
    </row>
    <row r="265" spans="6:35" x14ac:dyDescent="0.3">
      <c r="F265" s="26">
        <f>IF(G265=1,MAX($F$4:F264)+1,"")</f>
        <v/>
      </c>
      <c r="G265" s="26">
        <f>COUNTIF($H$5:H265,H265)</f>
      </c>
      <c r="H265" s="26">
        <f t="shared" si="88"/>
      </c>
      <c r="I265" s="26">
        <f>COUNTIF($J$4:$J265,1)</f>
      </c>
      <c r="J265" s="26">
        <f>COUNTIF($S$5:$S265,S265)</f>
      </c>
      <c r="K265" s="26">
        <f t="shared" si="77"/>
      </c>
      <c r="L265" s="26">
        <f>IFERROR(IF(P265=0,0,MAX($L$4:L264)+1),0)</f>
      </c>
      <c r="M265" s="5">
        <f t="shared" si="89"/>
      </c>
      <c r="N265" s="5">
        <f t="shared" si="90"/>
      </c>
      <c r="P265" s="86">
        <f t="shared" si="78"/>
      </c>
      <c r="Q265" s="86">
        <f t="shared" si="79"/>
      </c>
      <c r="R265" s="86">
        <f t="shared" si="80"/>
      </c>
      <c r="S265" s="86">
        <f t="shared" si="81"/>
      </c>
      <c r="T265" s="86">
        <f t="shared" si="91"/>
        <v/>
      </c>
      <c r="U265" s="86">
        <f t="shared" si="92"/>
        <v/>
      </c>
      <c r="V265" s="86">
        <f t="shared" si="93"/>
        <v/>
      </c>
      <c r="W265" s="87">
        <f t="shared" si="82"/>
      </c>
      <c r="X265" s="88"/>
      <c r="Y265" s="88"/>
      <c r="Z265" s="88"/>
      <c r="AA265" s="88"/>
      <c r="AB265" s="88"/>
      <c r="AD265" s="86">
        <f t="shared" si="83"/>
      </c>
      <c r="AE265" s="86">
        <f t="shared" si="84"/>
      </c>
      <c r="AG265" s="86">
        <f t="shared" si="85"/>
      </c>
      <c r="AH265" s="86">
        <f t="shared" si="86"/>
      </c>
      <c r="AI265" s="86">
        <f t="shared" si="87"/>
      </c>
    </row>
    <row r="266" spans="6:35" x14ac:dyDescent="0.3">
      <c r="F266" s="26">
        <f>IF(G266=1,MAX($F$4:F265)+1,"")</f>
        <v/>
      </c>
      <c r="G266" s="26">
        <f>COUNTIF($H$5:H266,H266)</f>
      </c>
      <c r="H266" s="26">
        <f t="shared" si="88"/>
      </c>
      <c r="I266" s="26">
        <f>COUNTIF($J$4:$J266,1)</f>
      </c>
      <c r="J266" s="26">
        <f>COUNTIF($S$5:$S266,S266)</f>
      </c>
      <c r="K266" s="26">
        <f t="shared" si="77"/>
      </c>
      <c r="L266" s="26">
        <f>IFERROR(IF(P266=0,0,MAX($L$4:L265)+1),0)</f>
      </c>
      <c r="M266" s="5">
        <f t="shared" si="89"/>
      </c>
      <c r="N266" s="5">
        <f t="shared" si="90"/>
      </c>
      <c r="P266" s="86">
        <f t="shared" si="78"/>
      </c>
      <c r="Q266" s="86">
        <f t="shared" si="79"/>
      </c>
      <c r="R266" s="86">
        <f t="shared" si="80"/>
      </c>
      <c r="S266" s="86">
        <f t="shared" si="81"/>
      </c>
      <c r="T266" s="86">
        <f t="shared" si="91"/>
        <v/>
      </c>
      <c r="U266" s="86">
        <f t="shared" si="92"/>
        <v/>
      </c>
      <c r="V266" s="86">
        <f t="shared" si="93"/>
        <v/>
      </c>
      <c r="W266" s="87">
        <f t="shared" si="82"/>
      </c>
      <c r="X266" s="88"/>
      <c r="Y266" s="88"/>
      <c r="Z266" s="88"/>
      <c r="AA266" s="88"/>
      <c r="AB266" s="88"/>
      <c r="AD266" s="86">
        <f t="shared" si="83"/>
      </c>
      <c r="AE266" s="86">
        <f t="shared" si="84"/>
      </c>
      <c r="AG266" s="86">
        <f t="shared" si="85"/>
      </c>
      <c r="AH266" s="86">
        <f t="shared" si="86"/>
      </c>
      <c r="AI266" s="86">
        <f t="shared" si="87"/>
      </c>
    </row>
    <row r="267" spans="6:35" x14ac:dyDescent="0.3">
      <c r="F267" s="26">
        <f>IF(G267=1,MAX($F$4:F266)+1,"")</f>
        <v/>
      </c>
      <c r="G267" s="26">
        <f>COUNTIF($H$5:H267,H267)</f>
      </c>
      <c r="H267" s="26">
        <f t="shared" si="88"/>
      </c>
      <c r="I267" s="26">
        <f>COUNTIF($J$4:$J267,1)</f>
      </c>
      <c r="J267" s="26">
        <f>COUNTIF($S$5:$S267,S267)</f>
      </c>
      <c r="K267" s="26">
        <f t="shared" si="77"/>
      </c>
      <c r="L267" s="26">
        <f>IFERROR(IF(P267=0,0,MAX($L$4:L266)+1),0)</f>
      </c>
      <c r="M267" s="5">
        <f t="shared" si="89"/>
      </c>
      <c r="N267" s="5">
        <f t="shared" si="90"/>
      </c>
      <c r="P267" s="86">
        <f t="shared" si="78"/>
      </c>
      <c r="Q267" s="86">
        <f t="shared" si="79"/>
      </c>
      <c r="R267" s="86">
        <f t="shared" si="80"/>
      </c>
      <c r="S267" s="86">
        <f t="shared" si="81"/>
      </c>
      <c r="T267" s="86">
        <f t="shared" si="91"/>
        <v/>
      </c>
      <c r="U267" s="86">
        <f t="shared" si="92"/>
        <v/>
      </c>
      <c r="V267" s="86">
        <f t="shared" si="93"/>
        <v/>
      </c>
      <c r="W267" s="87">
        <f t="shared" si="82"/>
      </c>
      <c r="X267" s="88"/>
      <c r="Y267" s="88"/>
      <c r="Z267" s="88"/>
      <c r="AA267" s="88"/>
      <c r="AB267" s="88"/>
      <c r="AD267" s="86">
        <f t="shared" si="83"/>
      </c>
      <c r="AE267" s="86">
        <f t="shared" si="84"/>
      </c>
      <c r="AG267" s="86">
        <f t="shared" si="85"/>
      </c>
      <c r="AH267" s="86">
        <f t="shared" si="86"/>
      </c>
      <c r="AI267" s="86">
        <f t="shared" si="87"/>
      </c>
    </row>
    <row r="268" spans="6:35" x14ac:dyDescent="0.3">
      <c r="F268" s="26">
        <f>IF(G268=1,MAX($F$4:F267)+1,"")</f>
        <v/>
      </c>
      <c r="G268" s="26">
        <f>COUNTIF($H$5:H268,H268)</f>
      </c>
      <c r="H268" s="26">
        <f t="shared" si="88"/>
      </c>
      <c r="I268" s="26">
        <f>COUNTIF($J$4:$J268,1)</f>
      </c>
      <c r="J268" s="26">
        <f>COUNTIF($S$5:$S268,S268)</f>
      </c>
      <c r="K268" s="26">
        <f t="shared" si="77"/>
      </c>
      <c r="L268" s="26">
        <f>IFERROR(IF(P268=0,0,MAX($L$4:L267)+1),0)</f>
      </c>
      <c r="M268" s="5">
        <f t="shared" si="89"/>
      </c>
      <c r="N268" s="5">
        <f t="shared" si="90"/>
      </c>
      <c r="P268" s="86">
        <f t="shared" si="78"/>
      </c>
      <c r="Q268" s="86">
        <f t="shared" si="79"/>
      </c>
      <c r="R268" s="86">
        <f t="shared" si="80"/>
      </c>
      <c r="S268" s="86">
        <f t="shared" si="81"/>
      </c>
      <c r="T268" s="86">
        <f t="shared" si="91"/>
        <v/>
      </c>
      <c r="U268" s="86">
        <f t="shared" si="92"/>
        <v/>
      </c>
      <c r="V268" s="86">
        <f t="shared" si="93"/>
        <v/>
      </c>
      <c r="W268" s="87">
        <f t="shared" si="82"/>
      </c>
      <c r="X268" s="88"/>
      <c r="Y268" s="88"/>
      <c r="Z268" s="88"/>
      <c r="AA268" s="88"/>
      <c r="AB268" s="88"/>
      <c r="AD268" s="86">
        <f t="shared" si="83"/>
      </c>
      <c r="AE268" s="86">
        <f t="shared" si="84"/>
      </c>
      <c r="AG268" s="86">
        <f t="shared" si="85"/>
      </c>
      <c r="AH268" s="86">
        <f t="shared" si="86"/>
      </c>
      <c r="AI268" s="86">
        <f t="shared" si="87"/>
      </c>
    </row>
    <row r="269" spans="6:35" x14ac:dyDescent="0.3">
      <c r="F269" s="26">
        <f>IF(G269=1,MAX($F$4:F268)+1,"")</f>
        <v/>
      </c>
      <c r="G269" s="26">
        <f>COUNTIF($H$5:H269,H269)</f>
      </c>
      <c r="H269" s="26">
        <f t="shared" si="88"/>
      </c>
      <c r="I269" s="26">
        <f>COUNTIF($J$4:$J269,1)</f>
      </c>
      <c r="J269" s="26">
        <f>COUNTIF($S$5:$S269,S269)</f>
      </c>
      <c r="K269" s="26">
        <f t="shared" si="77"/>
      </c>
      <c r="L269" s="26">
        <f>IFERROR(IF(P269=0,0,MAX($L$4:L268)+1),0)</f>
      </c>
      <c r="M269" s="5">
        <f t="shared" si="89"/>
      </c>
      <c r="N269" s="5">
        <f t="shared" si="90"/>
      </c>
      <c r="P269" s="86">
        <f t="shared" si="78"/>
      </c>
      <c r="Q269" s="86">
        <f t="shared" si="79"/>
      </c>
      <c r="R269" s="86">
        <f t="shared" si="80"/>
      </c>
      <c r="S269" s="86">
        <f t="shared" si="81"/>
      </c>
      <c r="T269" s="86">
        <f t="shared" si="91"/>
        <v/>
      </c>
      <c r="U269" s="86">
        <f t="shared" si="92"/>
        <v/>
      </c>
      <c r="V269" s="86">
        <f t="shared" si="93"/>
        <v/>
      </c>
      <c r="W269" s="87">
        <f t="shared" si="82"/>
      </c>
      <c r="X269" s="88"/>
      <c r="Y269" s="88"/>
      <c r="Z269" s="88"/>
      <c r="AA269" s="88"/>
      <c r="AB269" s="88"/>
      <c r="AD269" s="86">
        <f t="shared" si="83"/>
      </c>
      <c r="AE269" s="86">
        <f t="shared" si="84"/>
      </c>
      <c r="AG269" s="86">
        <f t="shared" si="85"/>
      </c>
      <c r="AH269" s="86">
        <f t="shared" si="86"/>
      </c>
      <c r="AI269" s="86">
        <f t="shared" si="87"/>
      </c>
    </row>
    <row r="270" spans="6:35" x14ac:dyDescent="0.3">
      <c r="F270" s="26">
        <f>IF(G270=1,MAX($F$4:F269)+1,"")</f>
        <v/>
      </c>
      <c r="G270" s="26">
        <f>COUNTIF($H$5:H270,H270)</f>
      </c>
      <c r="H270" s="26">
        <f t="shared" si="88"/>
      </c>
      <c r="I270" s="26">
        <f>COUNTIF($J$4:$J270,1)</f>
      </c>
      <c r="J270" s="26">
        <f>COUNTIF($S$5:$S270,S270)</f>
      </c>
      <c r="K270" s="26">
        <f t="shared" si="77"/>
      </c>
      <c r="L270" s="26">
        <f>IFERROR(IF(P270=0,0,MAX($L$4:L269)+1),0)</f>
      </c>
      <c r="M270" s="5">
        <f t="shared" si="89"/>
      </c>
      <c r="N270" s="5">
        <f t="shared" si="90"/>
      </c>
      <c r="P270" s="86">
        <f t="shared" si="78"/>
      </c>
      <c r="Q270" s="86">
        <f t="shared" si="79"/>
      </c>
      <c r="R270" s="86">
        <f t="shared" si="80"/>
      </c>
      <c r="S270" s="86">
        <f t="shared" si="81"/>
      </c>
      <c r="T270" s="86">
        <f t="shared" si="91"/>
        <v/>
      </c>
      <c r="U270" s="86">
        <f t="shared" si="92"/>
        <v/>
      </c>
      <c r="V270" s="86">
        <f t="shared" si="93"/>
        <v/>
      </c>
      <c r="W270" s="87">
        <f t="shared" si="82"/>
      </c>
      <c r="X270" s="88"/>
      <c r="Y270" s="88"/>
      <c r="Z270" s="88"/>
      <c r="AA270" s="88"/>
      <c r="AB270" s="88"/>
      <c r="AD270" s="86">
        <f t="shared" si="83"/>
      </c>
      <c r="AE270" s="86">
        <f t="shared" si="84"/>
      </c>
      <c r="AG270" s="86">
        <f t="shared" si="85"/>
      </c>
      <c r="AH270" s="86">
        <f t="shared" si="86"/>
      </c>
      <c r="AI270" s="86">
        <f t="shared" si="87"/>
      </c>
    </row>
    <row r="271" spans="6:35" x14ac:dyDescent="0.3">
      <c r="F271" s="26">
        <f>IF(G271=1,MAX($F$4:F270)+1,"")</f>
        <v/>
      </c>
      <c r="G271" s="26">
        <f>COUNTIF($H$5:H271,H271)</f>
      </c>
      <c r="H271" s="26">
        <f t="shared" si="88"/>
      </c>
      <c r="I271" s="26">
        <f>COUNTIF($J$4:$J271,1)</f>
      </c>
      <c r="J271" s="26">
        <f>COUNTIF($S$5:$S271,S271)</f>
      </c>
      <c r="K271" s="26">
        <f t="shared" si="77"/>
      </c>
      <c r="L271" s="26">
        <f>IFERROR(IF(P271=0,0,MAX($L$4:L270)+1),0)</f>
      </c>
      <c r="M271" s="5">
        <f t="shared" si="89"/>
      </c>
      <c r="N271" s="5">
        <f t="shared" si="90"/>
      </c>
      <c r="P271" s="86">
        <f t="shared" si="78"/>
      </c>
      <c r="Q271" s="86">
        <f t="shared" si="79"/>
      </c>
      <c r="R271" s="86">
        <f t="shared" si="80"/>
      </c>
      <c r="S271" s="86">
        <f t="shared" si="81"/>
      </c>
      <c r="T271" s="86">
        <f t="shared" si="91"/>
        <v/>
      </c>
      <c r="U271" s="86">
        <f t="shared" si="92"/>
        <v/>
      </c>
      <c r="V271" s="86">
        <f t="shared" si="93"/>
        <v/>
      </c>
      <c r="W271" s="87">
        <f t="shared" si="82"/>
      </c>
      <c r="X271" s="88"/>
      <c r="Y271" s="88"/>
      <c r="Z271" s="88"/>
      <c r="AA271" s="88"/>
      <c r="AB271" s="88"/>
      <c r="AD271" s="86">
        <f t="shared" si="83"/>
      </c>
      <c r="AE271" s="86">
        <f t="shared" si="84"/>
      </c>
      <c r="AG271" s="86">
        <f t="shared" si="85"/>
      </c>
      <c r="AH271" s="86">
        <f t="shared" si="86"/>
      </c>
      <c r="AI271" s="86">
        <f t="shared" si="87"/>
      </c>
    </row>
    <row r="272" spans="6:35" x14ac:dyDescent="0.3">
      <c r="F272" s="26">
        <f>IF(G272=1,MAX($F$4:F271)+1,"")</f>
        <v/>
      </c>
      <c r="G272" s="26">
        <f>COUNTIF($H$5:H272,H272)</f>
      </c>
      <c r="H272" s="26">
        <f t="shared" si="88"/>
      </c>
      <c r="I272" s="26">
        <f>COUNTIF($J$4:$J272,1)</f>
      </c>
      <c r="J272" s="26">
        <f>COUNTIF($S$5:$S272,S272)</f>
      </c>
      <c r="K272" s="26">
        <f t="shared" si="77"/>
      </c>
      <c r="L272" s="26">
        <f>IFERROR(IF(P272=0,0,MAX($L$4:L271)+1),0)</f>
      </c>
      <c r="M272" s="5">
        <f t="shared" si="89"/>
      </c>
      <c r="N272" s="5">
        <f t="shared" si="90"/>
      </c>
      <c r="P272" s="86">
        <f t="shared" si="78"/>
      </c>
      <c r="Q272" s="86">
        <f t="shared" si="79"/>
      </c>
      <c r="R272" s="86">
        <f t="shared" si="80"/>
      </c>
      <c r="S272" s="86">
        <f t="shared" si="81"/>
      </c>
      <c r="T272" s="86">
        <f t="shared" si="91"/>
        <v/>
      </c>
      <c r="U272" s="86">
        <f t="shared" si="92"/>
        <v/>
      </c>
      <c r="V272" s="86">
        <f t="shared" si="93"/>
        <v/>
      </c>
      <c r="W272" s="87">
        <f t="shared" si="82"/>
      </c>
      <c r="X272" s="88"/>
      <c r="Y272" s="88"/>
      <c r="Z272" s="88"/>
      <c r="AA272" s="88"/>
      <c r="AB272" s="88"/>
      <c r="AD272" s="86">
        <f t="shared" si="83"/>
      </c>
      <c r="AE272" s="86">
        <f t="shared" si="84"/>
      </c>
      <c r="AG272" s="86">
        <f t="shared" si="85"/>
      </c>
      <c r="AH272" s="86">
        <f t="shared" si="86"/>
      </c>
      <c r="AI272" s="86">
        <f t="shared" si="87"/>
      </c>
    </row>
    <row r="273" spans="6:35" x14ac:dyDescent="0.3">
      <c r="F273" s="26">
        <f>IF(G273=1,MAX($F$4:F272)+1,"")</f>
        <v/>
      </c>
      <c r="G273" s="26">
        <f>COUNTIF($H$5:H273,H273)</f>
      </c>
      <c r="H273" s="26">
        <f t="shared" si="88"/>
      </c>
      <c r="I273" s="26">
        <f>COUNTIF($J$4:$J273,1)</f>
      </c>
      <c r="J273" s="26">
        <f>COUNTIF($S$5:$S273,S273)</f>
      </c>
      <c r="K273" s="26">
        <f t="shared" si="77"/>
      </c>
      <c r="L273" s="26">
        <f>IFERROR(IF(P273=0,0,MAX($L$4:L272)+1),0)</f>
      </c>
      <c r="M273" s="5">
        <f t="shared" si="89"/>
      </c>
      <c r="N273" s="5">
        <f t="shared" si="90"/>
      </c>
      <c r="P273" s="86">
        <f t="shared" si="78"/>
      </c>
      <c r="Q273" s="86">
        <f t="shared" si="79"/>
      </c>
      <c r="R273" s="86">
        <f t="shared" si="80"/>
      </c>
      <c r="S273" s="86">
        <f t="shared" si="81"/>
      </c>
      <c r="T273" s="86">
        <f t="shared" si="91"/>
        <v/>
      </c>
      <c r="U273" s="86">
        <f t="shared" si="92"/>
        <v/>
      </c>
      <c r="V273" s="86">
        <f t="shared" si="93"/>
        <v/>
      </c>
      <c r="W273" s="87">
        <f t="shared" si="82"/>
      </c>
      <c r="X273" s="88"/>
      <c r="Y273" s="88"/>
      <c r="Z273" s="88"/>
      <c r="AA273" s="88"/>
      <c r="AB273" s="88"/>
      <c r="AD273" s="86">
        <f t="shared" si="83"/>
      </c>
      <c r="AE273" s="86">
        <f t="shared" si="84"/>
      </c>
      <c r="AG273" s="86">
        <f t="shared" si="85"/>
      </c>
      <c r="AH273" s="86">
        <f t="shared" si="86"/>
      </c>
      <c r="AI273" s="86">
        <f t="shared" si="87"/>
      </c>
    </row>
    <row r="274" spans="6:35" x14ac:dyDescent="0.3">
      <c r="F274" s="26">
        <f>IF(G274=1,MAX($F$4:F273)+1,"")</f>
        <v/>
      </c>
      <c r="G274" s="26">
        <f>COUNTIF($H$5:H274,H274)</f>
      </c>
      <c r="H274" s="26">
        <f t="shared" si="88"/>
      </c>
      <c r="I274" s="26">
        <f>COUNTIF($J$4:$J274,1)</f>
      </c>
      <c r="J274" s="26">
        <f>COUNTIF($S$5:$S274,S274)</f>
      </c>
      <c r="K274" s="26">
        <f t="shared" si="77"/>
      </c>
      <c r="L274" s="26">
        <f>IFERROR(IF(P274=0,0,MAX($L$4:L273)+1),0)</f>
      </c>
      <c r="M274" s="5">
        <f t="shared" si="89"/>
      </c>
      <c r="N274" s="5">
        <f t="shared" si="90"/>
      </c>
      <c r="P274" s="86">
        <f t="shared" si="78"/>
      </c>
      <c r="Q274" s="86">
        <f t="shared" si="79"/>
      </c>
      <c r="R274" s="86">
        <f t="shared" si="80"/>
      </c>
      <c r="S274" s="86">
        <f t="shared" si="81"/>
      </c>
      <c r="T274" s="86">
        <f t="shared" si="91"/>
        <v/>
      </c>
      <c r="U274" s="86">
        <f t="shared" si="92"/>
        <v/>
      </c>
      <c r="V274" s="86">
        <f t="shared" si="93"/>
        <v/>
      </c>
      <c r="W274" s="87">
        <f t="shared" si="82"/>
      </c>
      <c r="X274" s="88"/>
      <c r="Y274" s="88"/>
      <c r="Z274" s="88"/>
      <c r="AA274" s="88"/>
      <c r="AB274" s="88"/>
      <c r="AD274" s="86">
        <f t="shared" si="83"/>
      </c>
      <c r="AE274" s="86">
        <f t="shared" si="84"/>
      </c>
      <c r="AG274" s="86">
        <f t="shared" si="85"/>
      </c>
      <c r="AH274" s="86">
        <f t="shared" si="86"/>
      </c>
      <c r="AI274" s="86">
        <f t="shared" si="87"/>
      </c>
    </row>
    <row r="275" spans="6:35" x14ac:dyDescent="0.3">
      <c r="F275" s="26">
        <f>IF(G275=1,MAX($F$4:F274)+1,"")</f>
        <v/>
      </c>
      <c r="G275" s="26">
        <f>COUNTIF($H$5:H275,H275)</f>
      </c>
      <c r="H275" s="26">
        <f t="shared" si="88"/>
      </c>
      <c r="I275" s="26">
        <f>COUNTIF($J$4:$J275,1)</f>
      </c>
      <c r="J275" s="26">
        <f>COUNTIF($S$5:$S275,S275)</f>
      </c>
      <c r="K275" s="26">
        <f t="shared" si="77"/>
      </c>
      <c r="L275" s="26">
        <f>IFERROR(IF(P275=0,0,MAX($L$4:L274)+1),0)</f>
      </c>
      <c r="M275" s="5">
        <f t="shared" si="89"/>
      </c>
      <c r="N275" s="5">
        <f t="shared" si="90"/>
      </c>
      <c r="P275" s="86">
        <f t="shared" si="78"/>
      </c>
      <c r="Q275" s="86">
        <f t="shared" si="79"/>
      </c>
      <c r="R275" s="86">
        <f t="shared" si="80"/>
      </c>
      <c r="S275" s="86">
        <f t="shared" si="81"/>
      </c>
      <c r="T275" s="86">
        <f t="shared" si="91"/>
        <v/>
      </c>
      <c r="U275" s="86">
        <f t="shared" si="92"/>
        <v/>
      </c>
      <c r="V275" s="86">
        <f t="shared" si="93"/>
        <v/>
      </c>
      <c r="W275" s="87">
        <f t="shared" si="82"/>
      </c>
      <c r="X275" s="88"/>
      <c r="Y275" s="88"/>
      <c r="Z275" s="88"/>
      <c r="AA275" s="88"/>
      <c r="AB275" s="88"/>
      <c r="AD275" s="86">
        <f t="shared" si="83"/>
      </c>
      <c r="AE275" s="86">
        <f t="shared" si="84"/>
      </c>
      <c r="AG275" s="86">
        <f t="shared" si="85"/>
      </c>
      <c r="AH275" s="86">
        <f t="shared" si="86"/>
      </c>
      <c r="AI275" s="86">
        <f t="shared" si="87"/>
      </c>
    </row>
    <row r="276" spans="6:35" x14ac:dyDescent="0.3">
      <c r="F276" s="26">
        <f>IF(G276=1,MAX($F$4:F275)+1,"")</f>
        <v/>
      </c>
      <c r="G276" s="26">
        <f>COUNTIF($H$5:H276,H276)</f>
      </c>
      <c r="H276" s="26">
        <f t="shared" si="88"/>
      </c>
      <c r="I276" s="26">
        <f>COUNTIF($J$4:$J276,1)</f>
      </c>
      <c r="J276" s="26">
        <f>COUNTIF($S$5:$S276,S276)</f>
      </c>
      <c r="K276" s="26">
        <f t="shared" si="77"/>
      </c>
      <c r="L276" s="26">
        <f>IFERROR(IF(P276=0,0,MAX($L$4:L275)+1),0)</f>
      </c>
      <c r="M276" s="5">
        <f t="shared" si="89"/>
      </c>
      <c r="N276" s="5">
        <f t="shared" si="90"/>
      </c>
      <c r="P276" s="86">
        <f t="shared" si="78"/>
      </c>
      <c r="Q276" s="86">
        <f t="shared" si="79"/>
      </c>
      <c r="R276" s="86">
        <f t="shared" si="80"/>
      </c>
      <c r="S276" s="86">
        <f t="shared" si="81"/>
      </c>
      <c r="T276" s="86">
        <f t="shared" si="91"/>
        <v/>
      </c>
      <c r="U276" s="86">
        <f t="shared" si="92"/>
        <v/>
      </c>
      <c r="V276" s="86">
        <f t="shared" si="93"/>
        <v/>
      </c>
      <c r="W276" s="87">
        <f t="shared" si="82"/>
      </c>
      <c r="X276" s="88"/>
      <c r="Y276" s="88"/>
      <c r="Z276" s="88"/>
      <c r="AA276" s="88"/>
      <c r="AB276" s="88"/>
      <c r="AD276" s="86">
        <f t="shared" si="83"/>
      </c>
      <c r="AE276" s="86">
        <f t="shared" si="84"/>
      </c>
      <c r="AG276" s="86">
        <f t="shared" si="85"/>
      </c>
      <c r="AH276" s="86">
        <f t="shared" si="86"/>
      </c>
      <c r="AI276" s="86">
        <f t="shared" si="87"/>
      </c>
    </row>
    <row r="277" spans="6:35" x14ac:dyDescent="0.3">
      <c r="F277" s="26">
        <f>IF(G277=1,MAX($F$4:F276)+1,"")</f>
        <v/>
      </c>
      <c r="G277" s="26">
        <f>COUNTIF($H$5:H277,H277)</f>
      </c>
      <c r="H277" s="26">
        <f t="shared" si="88"/>
      </c>
      <c r="I277" s="26">
        <f>COUNTIF($J$4:$J277,1)</f>
      </c>
      <c r="J277" s="26">
        <f>COUNTIF($S$5:$S277,S277)</f>
      </c>
      <c r="K277" s="26">
        <f t="shared" si="77"/>
      </c>
      <c r="L277" s="26">
        <f>IFERROR(IF(P277=0,0,MAX($L$4:L276)+1),0)</f>
      </c>
      <c r="M277" s="5">
        <f t="shared" si="89"/>
      </c>
      <c r="N277" s="5">
        <f t="shared" si="90"/>
      </c>
      <c r="P277" s="86">
        <f t="shared" si="78"/>
      </c>
      <c r="Q277" s="86">
        <f t="shared" si="79"/>
      </c>
      <c r="R277" s="86">
        <f t="shared" si="80"/>
      </c>
      <c r="S277" s="86">
        <f t="shared" si="81"/>
      </c>
      <c r="T277" s="86">
        <f t="shared" si="91"/>
        <v/>
      </c>
      <c r="U277" s="86">
        <f t="shared" si="92"/>
        <v/>
      </c>
      <c r="V277" s="86">
        <f t="shared" si="93"/>
        <v/>
      </c>
      <c r="W277" s="87">
        <f t="shared" si="82"/>
      </c>
      <c r="X277" s="88"/>
      <c r="Y277" s="88"/>
      <c r="Z277" s="88"/>
      <c r="AA277" s="88"/>
      <c r="AB277" s="88"/>
      <c r="AD277" s="86">
        <f t="shared" si="83"/>
      </c>
      <c r="AE277" s="86">
        <f t="shared" si="84"/>
      </c>
      <c r="AG277" s="86">
        <f t="shared" si="85"/>
      </c>
      <c r="AH277" s="86">
        <f t="shared" si="86"/>
      </c>
      <c r="AI277" s="86">
        <f t="shared" si="87"/>
      </c>
    </row>
    <row r="278" spans="6:35" x14ac:dyDescent="0.3">
      <c r="F278" s="26">
        <f>IF(G278=1,MAX($F$4:F277)+1,"")</f>
        <v/>
      </c>
      <c r="G278" s="26">
        <f>COUNTIF($H$5:H278,H278)</f>
      </c>
      <c r="H278" s="26">
        <f t="shared" si="88"/>
      </c>
      <c r="I278" s="26">
        <f>COUNTIF($J$4:$J278,1)</f>
      </c>
      <c r="J278" s="26">
        <f>COUNTIF($S$5:$S278,S278)</f>
      </c>
      <c r="K278" s="26">
        <f t="shared" si="77"/>
      </c>
      <c r="L278" s="26">
        <f>IFERROR(IF(P278=0,0,MAX($L$4:L277)+1),0)</f>
      </c>
      <c r="M278" s="5">
        <f t="shared" si="89"/>
      </c>
      <c r="N278" s="5">
        <f t="shared" si="90"/>
      </c>
      <c r="P278" s="86">
        <f t="shared" si="78"/>
      </c>
      <c r="Q278" s="86">
        <f t="shared" si="79"/>
      </c>
      <c r="R278" s="86">
        <f t="shared" si="80"/>
      </c>
      <c r="S278" s="86">
        <f t="shared" si="81"/>
      </c>
      <c r="T278" s="86">
        <f t="shared" si="91"/>
        <v/>
      </c>
      <c r="U278" s="86">
        <f t="shared" si="92"/>
        <v/>
      </c>
      <c r="V278" s="86">
        <f t="shared" si="93"/>
        <v/>
      </c>
      <c r="W278" s="87">
        <f t="shared" si="82"/>
      </c>
      <c r="X278" s="88"/>
      <c r="Y278" s="88"/>
      <c r="Z278" s="88"/>
      <c r="AA278" s="88"/>
      <c r="AB278" s="88"/>
      <c r="AD278" s="86">
        <f t="shared" si="83"/>
      </c>
      <c r="AE278" s="86">
        <f t="shared" si="84"/>
      </c>
      <c r="AG278" s="86">
        <f t="shared" si="85"/>
      </c>
      <c r="AH278" s="86">
        <f t="shared" si="86"/>
      </c>
      <c r="AI278" s="86">
        <f t="shared" si="87"/>
      </c>
    </row>
    <row r="279" spans="6:35" x14ac:dyDescent="0.3">
      <c r="F279" s="26">
        <f>IF(G279=1,MAX($F$4:F278)+1,"")</f>
        <v/>
      </c>
      <c r="G279" s="26">
        <f>COUNTIF($H$5:H279,H279)</f>
      </c>
      <c r="H279" s="26">
        <f t="shared" si="88"/>
      </c>
      <c r="I279" s="26">
        <f>COUNTIF($J$4:$J279,1)</f>
      </c>
      <c r="J279" s="26">
        <f>COUNTIF($S$5:$S279,S279)</f>
      </c>
      <c r="K279" s="26">
        <f t="shared" si="77"/>
      </c>
      <c r="L279" s="26">
        <f>IFERROR(IF(P279=0,0,MAX($L$4:L278)+1),0)</f>
      </c>
      <c r="M279" s="5">
        <f t="shared" si="89"/>
      </c>
      <c r="N279" s="5">
        <f t="shared" si="90"/>
      </c>
      <c r="P279" s="86">
        <f t="shared" si="78"/>
      </c>
      <c r="Q279" s="86">
        <f t="shared" si="79"/>
      </c>
      <c r="R279" s="86">
        <f t="shared" si="80"/>
      </c>
      <c r="S279" s="86">
        <f t="shared" si="81"/>
      </c>
      <c r="T279" s="86">
        <f t="shared" si="91"/>
        <v/>
      </c>
      <c r="U279" s="86">
        <f t="shared" si="92"/>
        <v/>
      </c>
      <c r="V279" s="86">
        <f t="shared" si="93"/>
        <v/>
      </c>
      <c r="W279" s="87">
        <f t="shared" si="82"/>
      </c>
      <c r="X279" s="88"/>
      <c r="Y279" s="88"/>
      <c r="Z279" s="88"/>
      <c r="AA279" s="88"/>
      <c r="AB279" s="88"/>
      <c r="AD279" s="86">
        <f t="shared" si="83"/>
      </c>
      <c r="AE279" s="86">
        <f t="shared" si="84"/>
      </c>
      <c r="AG279" s="86">
        <f t="shared" si="85"/>
      </c>
      <c r="AH279" s="86">
        <f t="shared" si="86"/>
      </c>
      <c r="AI279" s="86">
        <f t="shared" si="87"/>
      </c>
    </row>
    <row r="280" spans="6:35" x14ac:dyDescent="0.3">
      <c r="F280" s="26">
        <f>IF(G280=1,MAX($F$4:F279)+1,"")</f>
        <v/>
      </c>
      <c r="G280" s="26">
        <f>COUNTIF($H$5:H280,H280)</f>
      </c>
      <c r="H280" s="26">
        <f t="shared" si="88"/>
      </c>
      <c r="I280" s="26">
        <f>COUNTIF($J$4:$J280,1)</f>
      </c>
      <c r="J280" s="26">
        <f>COUNTIF($S$5:$S280,S280)</f>
      </c>
      <c r="K280" s="26">
        <f t="shared" si="77"/>
      </c>
      <c r="L280" s="26">
        <f>IFERROR(IF(P280=0,0,MAX($L$4:L279)+1),0)</f>
      </c>
      <c r="M280" s="5">
        <f t="shared" si="89"/>
      </c>
      <c r="N280" s="5">
        <f t="shared" si="90"/>
      </c>
      <c r="P280" s="86">
        <f t="shared" si="78"/>
      </c>
      <c r="Q280" s="86">
        <f t="shared" si="79"/>
      </c>
      <c r="R280" s="86">
        <f t="shared" si="80"/>
      </c>
      <c r="S280" s="86">
        <f t="shared" si="81"/>
      </c>
      <c r="T280" s="86">
        <f t="shared" si="91"/>
        <v/>
      </c>
      <c r="U280" s="86">
        <f t="shared" si="92"/>
        <v/>
      </c>
      <c r="V280" s="86">
        <f t="shared" si="93"/>
        <v/>
      </c>
      <c r="W280" s="87">
        <f t="shared" si="82"/>
      </c>
      <c r="X280" s="88"/>
      <c r="Y280" s="88"/>
      <c r="Z280" s="88"/>
      <c r="AA280" s="88"/>
      <c r="AB280" s="88"/>
      <c r="AD280" s="86">
        <f t="shared" si="83"/>
      </c>
      <c r="AE280" s="86">
        <f t="shared" si="84"/>
      </c>
      <c r="AG280" s="86">
        <f t="shared" si="85"/>
      </c>
      <c r="AH280" s="86">
        <f t="shared" si="86"/>
      </c>
      <c r="AI280" s="86">
        <f t="shared" si="87"/>
      </c>
    </row>
    <row r="281" spans="6:35" x14ac:dyDescent="0.3">
      <c r="F281" s="26">
        <f>IF(G281=1,MAX($F$4:F280)+1,"")</f>
        <v/>
      </c>
      <c r="G281" s="26">
        <f>COUNTIF($H$5:H281,H281)</f>
      </c>
      <c r="H281" s="26">
        <f t="shared" si="88"/>
      </c>
      <c r="I281" s="26">
        <f>COUNTIF($J$4:$J281,1)</f>
      </c>
      <c r="J281" s="26">
        <f>COUNTIF($S$5:$S281,S281)</f>
      </c>
      <c r="K281" s="26">
        <f t="shared" si="77"/>
      </c>
      <c r="L281" s="26">
        <f>IFERROR(IF(P281=0,0,MAX($L$4:L280)+1),0)</f>
      </c>
      <c r="M281" s="5">
        <f t="shared" si="89"/>
      </c>
      <c r="N281" s="5">
        <f t="shared" si="90"/>
      </c>
      <c r="P281" s="86">
        <f t="shared" si="78"/>
      </c>
      <c r="Q281" s="86">
        <f t="shared" si="79"/>
      </c>
      <c r="R281" s="86">
        <f t="shared" si="80"/>
      </c>
      <c r="S281" s="86">
        <f t="shared" si="81"/>
      </c>
      <c r="T281" s="86">
        <f t="shared" si="91"/>
        <v/>
      </c>
      <c r="U281" s="86">
        <f t="shared" si="92"/>
        <v/>
      </c>
      <c r="V281" s="86">
        <f t="shared" si="93"/>
        <v/>
      </c>
      <c r="W281" s="87">
        <f t="shared" si="82"/>
      </c>
      <c r="X281" s="88"/>
      <c r="Y281" s="88"/>
      <c r="Z281" s="88"/>
      <c r="AA281" s="88"/>
      <c r="AB281" s="88"/>
      <c r="AD281" s="86">
        <f t="shared" si="83"/>
      </c>
      <c r="AE281" s="86">
        <f t="shared" si="84"/>
      </c>
      <c r="AG281" s="86">
        <f t="shared" si="85"/>
      </c>
      <c r="AH281" s="86">
        <f t="shared" si="86"/>
      </c>
      <c r="AI281" s="86">
        <f t="shared" si="87"/>
      </c>
    </row>
    <row r="282" spans="6:35" x14ac:dyDescent="0.3">
      <c r="F282" s="26">
        <f>IF(G282=1,MAX($F$4:F281)+1,"")</f>
        <v/>
      </c>
      <c r="G282" s="26">
        <f>COUNTIF($H$5:H282,H282)</f>
      </c>
      <c r="H282" s="26">
        <f t="shared" si="88"/>
      </c>
      <c r="I282" s="26">
        <f>COUNTIF($J$4:$J282,1)</f>
      </c>
      <c r="J282" s="26">
        <f>COUNTIF($S$5:$S282,S282)</f>
      </c>
      <c r="K282" s="26">
        <f t="shared" si="77"/>
      </c>
      <c r="L282" s="26">
        <f>IFERROR(IF(P282=0,0,MAX($L$4:L281)+1),0)</f>
      </c>
      <c r="M282" s="5">
        <f t="shared" si="89"/>
      </c>
      <c r="N282" s="5">
        <f t="shared" si="90"/>
      </c>
      <c r="P282" s="86">
        <f t="shared" si="78"/>
      </c>
      <c r="Q282" s="86">
        <f t="shared" si="79"/>
      </c>
      <c r="R282" s="86">
        <f t="shared" si="80"/>
      </c>
      <c r="S282" s="86">
        <f t="shared" si="81"/>
      </c>
      <c r="T282" s="86">
        <f t="shared" si="91"/>
        <v/>
      </c>
      <c r="U282" s="86">
        <f t="shared" si="92"/>
        <v/>
      </c>
      <c r="V282" s="86">
        <f t="shared" si="93"/>
        <v/>
      </c>
      <c r="W282" s="87">
        <f t="shared" si="82"/>
      </c>
      <c r="X282" s="88"/>
      <c r="Y282" s="88"/>
      <c r="Z282" s="88"/>
      <c r="AA282" s="88"/>
      <c r="AB282" s="88"/>
      <c r="AD282" s="86">
        <f t="shared" si="83"/>
      </c>
      <c r="AE282" s="86">
        <f t="shared" si="84"/>
      </c>
      <c r="AG282" s="86">
        <f t="shared" si="85"/>
      </c>
      <c r="AH282" s="86">
        <f t="shared" si="86"/>
      </c>
      <c r="AI282" s="86">
        <f t="shared" si="87"/>
      </c>
    </row>
    <row r="283" spans="6:35" x14ac:dyDescent="0.3">
      <c r="F283" s="26">
        <f>IF(G283=1,MAX($F$4:F282)+1,"")</f>
        <v/>
      </c>
      <c r="G283" s="26">
        <f>COUNTIF($H$5:H283,H283)</f>
      </c>
      <c r="H283" s="26">
        <f t="shared" si="88"/>
      </c>
      <c r="I283" s="26">
        <f>COUNTIF($J$4:$J283,1)</f>
      </c>
      <c r="J283" s="26">
        <f>COUNTIF($S$5:$S283,S283)</f>
      </c>
      <c r="K283" s="26">
        <f t="shared" si="77"/>
      </c>
      <c r="L283" s="26">
        <f>IFERROR(IF(P283=0,0,MAX($L$4:L282)+1),0)</f>
      </c>
      <c r="M283" s="5">
        <f t="shared" si="89"/>
      </c>
      <c r="N283" s="5">
        <f t="shared" si="90"/>
      </c>
      <c r="P283" s="86">
        <f t="shared" si="78"/>
      </c>
      <c r="Q283" s="86">
        <f t="shared" si="79"/>
      </c>
      <c r="R283" s="86">
        <f t="shared" si="80"/>
      </c>
      <c r="S283" s="86">
        <f t="shared" si="81"/>
      </c>
      <c r="T283" s="86">
        <f t="shared" si="91"/>
        <v/>
      </c>
      <c r="U283" s="86">
        <f t="shared" si="92"/>
        <v/>
      </c>
      <c r="V283" s="86">
        <f t="shared" si="93"/>
        <v/>
      </c>
      <c r="W283" s="87">
        <f t="shared" si="82"/>
      </c>
      <c r="X283" s="88"/>
      <c r="Y283" s="88"/>
      <c r="Z283" s="88"/>
      <c r="AA283" s="88"/>
      <c r="AB283" s="88"/>
      <c r="AD283" s="86">
        <f t="shared" si="83"/>
      </c>
      <c r="AE283" s="86">
        <f t="shared" si="84"/>
      </c>
      <c r="AG283" s="86">
        <f t="shared" si="85"/>
      </c>
      <c r="AH283" s="86">
        <f t="shared" si="86"/>
      </c>
      <c r="AI283" s="86">
        <f t="shared" si="87"/>
      </c>
    </row>
    <row r="284" spans="6:35" x14ac:dyDescent="0.3">
      <c r="F284" s="26">
        <f>IF(G284=1,MAX($F$4:F283)+1,"")</f>
        <v/>
      </c>
      <c r="G284" s="26">
        <f>COUNTIF($H$5:H284,H284)</f>
      </c>
      <c r="H284" s="26">
        <f t="shared" si="88"/>
      </c>
      <c r="I284" s="26">
        <f>COUNTIF($J$4:$J284,1)</f>
      </c>
      <c r="J284" s="26">
        <f>COUNTIF($S$5:$S284,S284)</f>
      </c>
      <c r="K284" s="26">
        <f t="shared" si="77"/>
      </c>
      <c r="L284" s="26">
        <f>IFERROR(IF(P284=0,0,MAX($L$4:L283)+1),0)</f>
      </c>
      <c r="M284" s="5">
        <f t="shared" si="89"/>
      </c>
      <c r="N284" s="5">
        <f t="shared" si="90"/>
      </c>
      <c r="P284" s="86">
        <f t="shared" si="78"/>
      </c>
      <c r="Q284" s="86">
        <f t="shared" si="79"/>
      </c>
      <c r="R284" s="86">
        <f t="shared" si="80"/>
      </c>
      <c r="S284" s="86">
        <f t="shared" si="81"/>
      </c>
      <c r="T284" s="86">
        <f t="shared" si="91"/>
        <v/>
      </c>
      <c r="U284" s="86">
        <f t="shared" si="92"/>
        <v/>
      </c>
      <c r="V284" s="86">
        <f t="shared" si="93"/>
        <v/>
      </c>
      <c r="W284" s="87">
        <f t="shared" si="82"/>
      </c>
      <c r="X284" s="88"/>
      <c r="Y284" s="88"/>
      <c r="Z284" s="88"/>
      <c r="AA284" s="88"/>
      <c r="AB284" s="88"/>
      <c r="AD284" s="86">
        <f t="shared" si="83"/>
      </c>
      <c r="AE284" s="86">
        <f t="shared" si="84"/>
      </c>
      <c r="AG284" s="86">
        <f t="shared" si="85"/>
      </c>
      <c r="AH284" s="86">
        <f t="shared" si="86"/>
      </c>
      <c r="AI284" s="86">
        <f t="shared" si="87"/>
      </c>
    </row>
    <row r="285" spans="6:35" x14ac:dyDescent="0.3">
      <c r="F285" s="26">
        <f>IF(G285=1,MAX($F$4:F284)+1,"")</f>
        <v/>
      </c>
      <c r="G285" s="26">
        <f>COUNTIF($H$5:H285,H285)</f>
      </c>
      <c r="H285" s="26">
        <f t="shared" si="88"/>
      </c>
      <c r="I285" s="26">
        <f>COUNTIF($J$4:$J285,1)</f>
      </c>
      <c r="J285" s="26">
        <f>COUNTIF($S$5:$S285,S285)</f>
      </c>
      <c r="K285" s="26">
        <f t="shared" si="77"/>
      </c>
      <c r="L285" s="26">
        <f>IFERROR(IF(P285=0,0,MAX($L$4:L284)+1),0)</f>
      </c>
      <c r="M285" s="5">
        <f t="shared" si="89"/>
      </c>
      <c r="N285" s="5">
        <f t="shared" si="90"/>
      </c>
      <c r="P285" s="86">
        <f t="shared" si="78"/>
      </c>
      <c r="Q285" s="86">
        <f t="shared" si="79"/>
      </c>
      <c r="R285" s="86">
        <f t="shared" si="80"/>
      </c>
      <c r="S285" s="86">
        <f t="shared" si="81"/>
      </c>
      <c r="T285" s="86">
        <f t="shared" si="91"/>
        <v/>
      </c>
      <c r="U285" s="86">
        <f t="shared" si="92"/>
        <v/>
      </c>
      <c r="V285" s="86">
        <f t="shared" si="93"/>
        <v/>
      </c>
      <c r="W285" s="87">
        <f t="shared" si="82"/>
      </c>
      <c r="X285" s="88"/>
      <c r="Y285" s="88"/>
      <c r="Z285" s="88"/>
      <c r="AA285" s="88"/>
      <c r="AB285" s="88"/>
      <c r="AD285" s="86">
        <f t="shared" si="83"/>
      </c>
      <c r="AE285" s="86">
        <f t="shared" si="84"/>
      </c>
      <c r="AG285" s="86">
        <f t="shared" si="85"/>
      </c>
      <c r="AH285" s="86">
        <f t="shared" si="86"/>
      </c>
      <c r="AI285" s="86">
        <f t="shared" si="87"/>
      </c>
    </row>
    <row r="286" spans="6:35" x14ac:dyDescent="0.3">
      <c r="F286" s="26">
        <f>IF(G286=1,MAX($F$4:F285)+1,"")</f>
        <v/>
      </c>
      <c r="G286" s="26">
        <f>COUNTIF($H$5:H286,H286)</f>
      </c>
      <c r="H286" s="26">
        <f t="shared" si="88"/>
      </c>
      <c r="I286" s="26">
        <f>COUNTIF($J$4:$J286,1)</f>
      </c>
      <c r="J286" s="26">
        <f>COUNTIF($S$5:$S286,S286)</f>
      </c>
      <c r="K286" s="26">
        <f t="shared" si="77"/>
      </c>
      <c r="L286" s="26">
        <f>IFERROR(IF(P286=0,0,MAX($L$4:L285)+1),0)</f>
      </c>
      <c r="M286" s="5">
        <f t="shared" si="89"/>
      </c>
      <c r="N286" s="5">
        <f t="shared" si="90"/>
      </c>
      <c r="P286" s="86">
        <f t="shared" si="78"/>
      </c>
      <c r="Q286" s="86">
        <f t="shared" si="79"/>
      </c>
      <c r="R286" s="86">
        <f t="shared" si="80"/>
      </c>
      <c r="S286" s="86">
        <f t="shared" si="81"/>
      </c>
      <c r="T286" s="86">
        <f t="shared" si="91"/>
        <v/>
      </c>
      <c r="U286" s="86">
        <f t="shared" si="92"/>
        <v/>
      </c>
      <c r="V286" s="86">
        <f t="shared" si="93"/>
        <v/>
      </c>
      <c r="W286" s="87">
        <f t="shared" si="82"/>
      </c>
      <c r="X286" s="88"/>
      <c r="Y286" s="88"/>
      <c r="Z286" s="88"/>
      <c r="AA286" s="88"/>
      <c r="AB286" s="88"/>
      <c r="AD286" s="86">
        <f t="shared" si="83"/>
      </c>
      <c r="AE286" s="86">
        <f t="shared" si="84"/>
      </c>
      <c r="AG286" s="86">
        <f t="shared" si="85"/>
      </c>
      <c r="AH286" s="86">
        <f t="shared" si="86"/>
      </c>
      <c r="AI286" s="86">
        <f t="shared" si="87"/>
      </c>
    </row>
    <row r="287" spans="6:35" x14ac:dyDescent="0.3">
      <c r="F287" s="26">
        <f>IF(G287=1,MAX($F$4:F286)+1,"")</f>
        <v/>
      </c>
      <c r="G287" s="26">
        <f>COUNTIF($H$5:H287,H287)</f>
      </c>
      <c r="H287" s="26">
        <f t="shared" si="88"/>
      </c>
      <c r="I287" s="26">
        <f>COUNTIF($J$4:$J287,1)</f>
      </c>
      <c r="J287" s="26">
        <f>COUNTIF($S$5:$S287,S287)</f>
      </c>
      <c r="K287" s="26">
        <f t="shared" si="77"/>
      </c>
      <c r="L287" s="26">
        <f>IFERROR(IF(P287=0,0,MAX($L$4:L286)+1),0)</f>
      </c>
      <c r="M287" s="5">
        <f t="shared" si="89"/>
      </c>
      <c r="N287" s="5">
        <f t="shared" si="90"/>
      </c>
      <c r="P287" s="86">
        <f t="shared" si="78"/>
      </c>
      <c r="Q287" s="86">
        <f t="shared" si="79"/>
      </c>
      <c r="R287" s="86">
        <f t="shared" si="80"/>
      </c>
      <c r="S287" s="86">
        <f t="shared" si="81"/>
      </c>
      <c r="T287" s="86">
        <f t="shared" si="91"/>
        <v/>
      </c>
      <c r="U287" s="86">
        <f t="shared" si="92"/>
        <v/>
      </c>
      <c r="V287" s="86">
        <f t="shared" si="93"/>
        <v/>
      </c>
      <c r="W287" s="87">
        <f t="shared" si="82"/>
      </c>
      <c r="X287" s="88"/>
      <c r="Y287" s="88"/>
      <c r="Z287" s="88"/>
      <c r="AA287" s="88"/>
      <c r="AB287" s="88"/>
      <c r="AD287" s="86">
        <f t="shared" si="83"/>
      </c>
      <c r="AE287" s="86">
        <f t="shared" si="84"/>
      </c>
      <c r="AG287" s="86">
        <f t="shared" si="85"/>
      </c>
      <c r="AH287" s="86">
        <f t="shared" si="86"/>
      </c>
      <c r="AI287" s="86">
        <f t="shared" si="87"/>
      </c>
    </row>
    <row r="288" spans="6:35" x14ac:dyDescent="0.3">
      <c r="F288" s="26">
        <f>IF(G288=1,MAX($F$4:F287)+1,"")</f>
        <v/>
      </c>
      <c r="G288" s="26">
        <f>COUNTIF($H$5:H288,H288)</f>
      </c>
      <c r="H288" s="26">
        <f t="shared" si="88"/>
      </c>
      <c r="I288" s="26">
        <f>COUNTIF($J$4:$J288,1)</f>
      </c>
      <c r="J288" s="26">
        <f>COUNTIF($S$5:$S288,S288)</f>
      </c>
      <c r="K288" s="26">
        <f t="shared" si="77"/>
      </c>
      <c r="L288" s="26">
        <f>IFERROR(IF(P288=0,0,MAX($L$4:L287)+1),0)</f>
      </c>
      <c r="M288" s="5">
        <f t="shared" si="89"/>
      </c>
      <c r="N288" s="5">
        <f t="shared" si="90"/>
      </c>
      <c r="P288" s="86">
        <f t="shared" si="78"/>
      </c>
      <c r="Q288" s="86">
        <f t="shared" si="79"/>
      </c>
      <c r="R288" s="86">
        <f t="shared" si="80"/>
      </c>
      <c r="S288" s="86">
        <f t="shared" si="81"/>
      </c>
      <c r="T288" s="86">
        <f t="shared" si="91"/>
        <v/>
      </c>
      <c r="U288" s="86">
        <f t="shared" si="92"/>
        <v/>
      </c>
      <c r="V288" s="86">
        <f t="shared" si="93"/>
        <v/>
      </c>
      <c r="W288" s="87">
        <f t="shared" si="82"/>
      </c>
      <c r="X288" s="88"/>
      <c r="Y288" s="88"/>
      <c r="Z288" s="88"/>
      <c r="AA288" s="88"/>
      <c r="AB288" s="88"/>
      <c r="AD288" s="86">
        <f t="shared" si="83"/>
      </c>
      <c r="AE288" s="86">
        <f t="shared" si="84"/>
      </c>
      <c r="AG288" s="86">
        <f t="shared" si="85"/>
      </c>
      <c r="AH288" s="86">
        <f t="shared" si="86"/>
      </c>
      <c r="AI288" s="86">
        <f t="shared" si="87"/>
      </c>
    </row>
    <row r="289" spans="6:35" x14ac:dyDescent="0.3">
      <c r="F289" s="26">
        <f>IF(G289=1,MAX($F$4:F288)+1,"")</f>
        <v/>
      </c>
      <c r="G289" s="26">
        <f>COUNTIF($H$5:H289,H289)</f>
      </c>
      <c r="H289" s="26">
        <f t="shared" si="88"/>
      </c>
      <c r="I289" s="26">
        <f>COUNTIF($J$4:$J289,1)</f>
      </c>
      <c r="J289" s="26">
        <f>COUNTIF($S$5:$S289,S289)</f>
      </c>
      <c r="K289" s="26">
        <f t="shared" si="77"/>
      </c>
      <c r="L289" s="26">
        <f>IFERROR(IF(P289=0,0,MAX($L$4:L288)+1),0)</f>
      </c>
      <c r="M289" s="5">
        <f t="shared" si="89"/>
      </c>
      <c r="N289" s="5">
        <f t="shared" si="90"/>
      </c>
      <c r="P289" s="86">
        <f t="shared" si="78"/>
      </c>
      <c r="Q289" s="86">
        <f t="shared" si="79"/>
      </c>
      <c r="R289" s="86">
        <f t="shared" si="80"/>
      </c>
      <c r="S289" s="86">
        <f t="shared" si="81"/>
      </c>
      <c r="T289" s="86">
        <f t="shared" si="91"/>
        <v/>
      </c>
      <c r="U289" s="86">
        <f t="shared" si="92"/>
        <v/>
      </c>
      <c r="V289" s="86">
        <f t="shared" si="93"/>
        <v/>
      </c>
      <c r="W289" s="87">
        <f t="shared" si="82"/>
      </c>
      <c r="X289" s="88"/>
      <c r="Y289" s="88"/>
      <c r="Z289" s="88"/>
      <c r="AA289" s="88"/>
      <c r="AB289" s="88"/>
      <c r="AD289" s="86">
        <f t="shared" si="83"/>
      </c>
      <c r="AE289" s="86">
        <f t="shared" si="84"/>
      </c>
      <c r="AG289" s="86">
        <f t="shared" si="85"/>
      </c>
      <c r="AH289" s="86">
        <f t="shared" si="86"/>
      </c>
      <c r="AI289" s="86">
        <f t="shared" si="87"/>
      </c>
    </row>
    <row r="290" spans="6:35" x14ac:dyDescent="0.3">
      <c r="F290" s="26">
        <f>IF(G290=1,MAX($F$4:F289)+1,"")</f>
        <v/>
      </c>
      <c r="G290" s="26">
        <f>COUNTIF($H$5:H290,H290)</f>
      </c>
      <c r="H290" s="26">
        <f t="shared" si="88"/>
      </c>
      <c r="I290" s="26">
        <f>COUNTIF($J$4:$J290,1)</f>
      </c>
      <c r="J290" s="26">
        <f>COUNTIF($S$5:$S290,S290)</f>
      </c>
      <c r="K290" s="26">
        <f t="shared" si="77"/>
      </c>
      <c r="L290" s="26">
        <f>IFERROR(IF(P290=0,0,MAX($L$4:L289)+1),0)</f>
      </c>
      <c r="M290" s="5">
        <f t="shared" si="89"/>
      </c>
      <c r="N290" s="5">
        <f t="shared" si="90"/>
      </c>
      <c r="P290" s="86">
        <f t="shared" si="78"/>
      </c>
      <c r="Q290" s="86">
        <f t="shared" si="79"/>
      </c>
      <c r="R290" s="86">
        <f t="shared" si="80"/>
      </c>
      <c r="S290" s="86">
        <f t="shared" si="81"/>
      </c>
      <c r="T290" s="86">
        <f t="shared" si="91"/>
        <v/>
      </c>
      <c r="U290" s="86">
        <f t="shared" si="92"/>
        <v/>
      </c>
      <c r="V290" s="86">
        <f t="shared" si="93"/>
        <v/>
      </c>
      <c r="W290" s="87">
        <f t="shared" si="82"/>
      </c>
      <c r="X290" s="88"/>
      <c r="Y290" s="88"/>
      <c r="Z290" s="88"/>
      <c r="AA290" s="88"/>
      <c r="AB290" s="88"/>
      <c r="AD290" s="86">
        <f t="shared" si="83"/>
      </c>
      <c r="AE290" s="86">
        <f t="shared" si="84"/>
      </c>
      <c r="AG290" s="86">
        <f t="shared" si="85"/>
      </c>
      <c r="AH290" s="86">
        <f t="shared" si="86"/>
      </c>
      <c r="AI290" s="86">
        <f t="shared" si="87"/>
      </c>
    </row>
    <row r="291" spans="6:35" x14ac:dyDescent="0.3">
      <c r="F291" s="26">
        <f>IF(G291=1,MAX($F$4:F290)+1,"")</f>
        <v/>
      </c>
      <c r="G291" s="26">
        <f>COUNTIF($H$5:H291,H291)</f>
      </c>
      <c r="H291" s="26">
        <f t="shared" si="88"/>
      </c>
      <c r="I291" s="26">
        <f>COUNTIF($J$4:$J291,1)</f>
      </c>
      <c r="J291" s="26">
        <f>COUNTIF($S$5:$S291,S291)</f>
      </c>
      <c r="K291" s="26">
        <f t="shared" si="77"/>
      </c>
      <c r="L291" s="26">
        <f>IFERROR(IF(P291=0,0,MAX($L$4:L290)+1),0)</f>
      </c>
      <c r="M291" s="5">
        <f t="shared" si="89"/>
      </c>
      <c r="N291" s="5">
        <f t="shared" si="90"/>
      </c>
      <c r="P291" s="86">
        <f t="shared" si="78"/>
      </c>
      <c r="Q291" s="86">
        <f t="shared" si="79"/>
      </c>
      <c r="R291" s="86">
        <f t="shared" si="80"/>
      </c>
      <c r="S291" s="86">
        <f t="shared" si="81"/>
      </c>
      <c r="T291" s="86">
        <f t="shared" si="91"/>
        <v/>
      </c>
      <c r="U291" s="86">
        <f t="shared" si="92"/>
        <v/>
      </c>
      <c r="V291" s="86">
        <f t="shared" si="93"/>
        <v/>
      </c>
      <c r="W291" s="87">
        <f t="shared" si="82"/>
      </c>
      <c r="X291" s="88"/>
      <c r="Y291" s="88"/>
      <c r="Z291" s="88"/>
      <c r="AA291" s="88"/>
      <c r="AB291" s="88"/>
      <c r="AD291" s="86">
        <f t="shared" si="83"/>
      </c>
      <c r="AE291" s="86">
        <f t="shared" si="84"/>
      </c>
      <c r="AG291" s="86">
        <f t="shared" si="85"/>
      </c>
      <c r="AH291" s="86">
        <f t="shared" si="86"/>
      </c>
      <c r="AI291" s="86">
        <f t="shared" si="87"/>
      </c>
    </row>
    <row r="292" spans="6:35" x14ac:dyDescent="0.3">
      <c r="F292" s="26">
        <f>IF(G292=1,MAX($F$4:F291)+1,"")</f>
        <v/>
      </c>
      <c r="G292" s="26">
        <f>COUNTIF($H$5:H292,H292)</f>
      </c>
      <c r="H292" s="26">
        <f t="shared" si="88"/>
      </c>
      <c r="I292" s="26">
        <f>COUNTIF($J$4:$J292,1)</f>
      </c>
      <c r="J292" s="26">
        <f>COUNTIF($S$5:$S292,S292)</f>
      </c>
      <c r="K292" s="26">
        <f t="shared" si="77"/>
      </c>
      <c r="L292" s="26">
        <f>IFERROR(IF(P292=0,0,MAX($L$4:L291)+1),0)</f>
      </c>
      <c r="M292" s="5">
        <f t="shared" si="89"/>
      </c>
      <c r="N292" s="5">
        <f t="shared" si="90"/>
      </c>
      <c r="P292" s="86">
        <f t="shared" si="78"/>
      </c>
      <c r="Q292" s="86">
        <f t="shared" si="79"/>
      </c>
      <c r="R292" s="86">
        <f t="shared" si="80"/>
      </c>
      <c r="S292" s="86">
        <f t="shared" si="81"/>
      </c>
      <c r="T292" s="86">
        <f t="shared" si="91"/>
        <v/>
      </c>
      <c r="U292" s="86">
        <f t="shared" si="92"/>
        <v/>
      </c>
      <c r="V292" s="86">
        <f t="shared" si="93"/>
        <v/>
      </c>
      <c r="W292" s="87">
        <f t="shared" si="82"/>
      </c>
      <c r="X292" s="88"/>
      <c r="Y292" s="88"/>
      <c r="Z292" s="88"/>
      <c r="AA292" s="88"/>
      <c r="AB292" s="88"/>
      <c r="AD292" s="86">
        <f t="shared" si="83"/>
      </c>
      <c r="AE292" s="86">
        <f t="shared" si="84"/>
      </c>
      <c r="AG292" s="86">
        <f t="shared" si="85"/>
      </c>
      <c r="AH292" s="86">
        <f t="shared" si="86"/>
      </c>
      <c r="AI292" s="86">
        <f t="shared" si="87"/>
      </c>
    </row>
    <row r="293" spans="6:35" x14ac:dyDescent="0.3">
      <c r="F293" s="26">
        <f>IF(G293=1,MAX($F$4:F292)+1,"")</f>
        <v/>
      </c>
      <c r="G293" s="26">
        <f>COUNTIF($H$5:H293,H293)</f>
      </c>
      <c r="H293" s="26">
        <f t="shared" si="88"/>
      </c>
      <c r="I293" s="26">
        <f>COUNTIF($J$4:$J293,1)</f>
      </c>
      <c r="J293" s="26">
        <f>COUNTIF($S$5:$S293,S293)</f>
      </c>
      <c r="K293" s="26">
        <f t="shared" si="77"/>
      </c>
      <c r="L293" s="26">
        <f>IFERROR(IF(P293=0,0,MAX($L$4:L292)+1),0)</f>
      </c>
      <c r="M293" s="5">
        <f t="shared" si="89"/>
      </c>
      <c r="N293" s="5">
        <f t="shared" si="90"/>
      </c>
      <c r="P293" s="86">
        <f t="shared" si="78"/>
      </c>
      <c r="Q293" s="86">
        <f t="shared" si="79"/>
      </c>
      <c r="R293" s="86">
        <f t="shared" si="80"/>
      </c>
      <c r="S293" s="86">
        <f t="shared" si="81"/>
      </c>
      <c r="T293" s="86">
        <f t="shared" si="91"/>
        <v/>
      </c>
      <c r="U293" s="86">
        <f t="shared" si="92"/>
        <v/>
      </c>
      <c r="V293" s="86">
        <f t="shared" si="93"/>
        <v/>
      </c>
      <c r="W293" s="87">
        <f t="shared" si="82"/>
      </c>
      <c r="X293" s="88"/>
      <c r="Y293" s="88"/>
      <c r="Z293" s="88"/>
      <c r="AA293" s="88"/>
      <c r="AB293" s="88"/>
      <c r="AD293" s="86">
        <f t="shared" si="83"/>
      </c>
      <c r="AE293" s="86">
        <f t="shared" si="84"/>
      </c>
      <c r="AG293" s="86">
        <f t="shared" si="85"/>
      </c>
      <c r="AH293" s="86">
        <f t="shared" si="86"/>
      </c>
      <c r="AI293" s="86">
        <f t="shared" si="87"/>
      </c>
    </row>
    <row r="294" spans="6:35" x14ac:dyDescent="0.3">
      <c r="F294" s="26">
        <f>IF(G294=1,MAX($F$4:F293)+1,"")</f>
        <v/>
      </c>
      <c r="G294" s="26">
        <f>COUNTIF($H$5:H294,H294)</f>
      </c>
      <c r="H294" s="26">
        <f t="shared" si="88"/>
      </c>
      <c r="I294" s="26">
        <f>COUNTIF($J$4:$J294,1)</f>
      </c>
      <c r="J294" s="26">
        <f>COUNTIF($S$5:$S294,S294)</f>
      </c>
      <c r="K294" s="26">
        <f t="shared" si="77"/>
      </c>
      <c r="L294" s="26">
        <f>IFERROR(IF(P294=0,0,MAX($L$4:L293)+1),0)</f>
      </c>
      <c r="M294" s="5">
        <f t="shared" si="89"/>
      </c>
      <c r="N294" s="5">
        <f t="shared" si="90"/>
      </c>
      <c r="P294" s="86">
        <f t="shared" si="78"/>
      </c>
      <c r="Q294" s="86">
        <f t="shared" si="79"/>
      </c>
      <c r="R294" s="86">
        <f t="shared" si="80"/>
      </c>
      <c r="S294" s="86">
        <f t="shared" si="81"/>
      </c>
      <c r="T294" s="86">
        <f t="shared" si="91"/>
        <v/>
      </c>
      <c r="U294" s="86">
        <f t="shared" si="92"/>
        <v/>
      </c>
      <c r="V294" s="86">
        <f t="shared" si="93"/>
        <v/>
      </c>
      <c r="W294" s="87">
        <f t="shared" si="82"/>
      </c>
      <c r="X294" s="88"/>
      <c r="Y294" s="88"/>
      <c r="Z294" s="88"/>
      <c r="AA294" s="88"/>
      <c r="AB294" s="88"/>
      <c r="AD294" s="86">
        <f t="shared" si="83"/>
      </c>
      <c r="AE294" s="86">
        <f t="shared" si="84"/>
      </c>
      <c r="AG294" s="86">
        <f t="shared" si="85"/>
      </c>
      <c r="AH294" s="86">
        <f t="shared" si="86"/>
      </c>
      <c r="AI294" s="86">
        <f t="shared" si="87"/>
      </c>
    </row>
    <row r="295" spans="6:35" x14ac:dyDescent="0.3">
      <c r="F295" s="26">
        <f>IF(G295=1,MAX($F$4:F294)+1,"")</f>
        <v/>
      </c>
      <c r="G295" s="26">
        <f>COUNTIF($H$5:H295,H295)</f>
      </c>
      <c r="H295" s="26">
        <f t="shared" si="88"/>
      </c>
      <c r="I295" s="26">
        <f>COUNTIF($J$4:$J295,1)</f>
      </c>
      <c r="J295" s="26">
        <f>COUNTIF($S$5:$S295,S295)</f>
      </c>
      <c r="K295" s="26">
        <f t="shared" si="77"/>
      </c>
      <c r="L295" s="26">
        <f>IFERROR(IF(P295=0,0,MAX($L$4:L294)+1),0)</f>
      </c>
      <c r="M295" s="5">
        <f t="shared" si="89"/>
      </c>
      <c r="N295" s="5">
        <f t="shared" si="90"/>
      </c>
      <c r="P295" s="86">
        <f t="shared" si="78"/>
      </c>
      <c r="Q295" s="86">
        <f t="shared" si="79"/>
      </c>
      <c r="R295" s="86">
        <f t="shared" si="80"/>
      </c>
      <c r="S295" s="86">
        <f t="shared" si="81"/>
      </c>
      <c r="T295" s="86">
        <f t="shared" si="91"/>
        <v/>
      </c>
      <c r="U295" s="86">
        <f t="shared" si="92"/>
        <v/>
      </c>
      <c r="V295" s="86">
        <f t="shared" si="93"/>
        <v/>
      </c>
      <c r="W295" s="87">
        <f t="shared" si="82"/>
      </c>
      <c r="X295" s="88"/>
      <c r="Y295" s="88"/>
      <c r="Z295" s="88"/>
      <c r="AA295" s="88"/>
      <c r="AB295" s="88"/>
      <c r="AD295" s="86">
        <f t="shared" si="83"/>
      </c>
      <c r="AE295" s="86">
        <f t="shared" si="84"/>
      </c>
      <c r="AG295" s="86">
        <f t="shared" si="85"/>
      </c>
      <c r="AH295" s="86">
        <f t="shared" si="86"/>
      </c>
      <c r="AI295" s="86">
        <f t="shared" si="87"/>
      </c>
    </row>
    <row r="296" spans="6:35" x14ac:dyDescent="0.3">
      <c r="F296" s="26">
        <f>IF(G296=1,MAX($F$4:F295)+1,"")</f>
        <v/>
      </c>
      <c r="G296" s="26">
        <f>COUNTIF($H$5:H296,H296)</f>
      </c>
      <c r="H296" s="26">
        <f t="shared" si="88"/>
      </c>
      <c r="I296" s="26">
        <f>COUNTIF($J$4:$J296,1)</f>
      </c>
      <c r="J296" s="26">
        <f>COUNTIF($S$5:$S296,S296)</f>
      </c>
      <c r="K296" s="26">
        <f t="shared" si="77"/>
      </c>
      <c r="L296" s="26">
        <f>IFERROR(IF(P296=0,0,MAX($L$4:L295)+1),0)</f>
      </c>
      <c r="M296" s="5">
        <f t="shared" si="89"/>
      </c>
      <c r="N296" s="5">
        <f t="shared" si="90"/>
      </c>
      <c r="P296" s="86">
        <f t="shared" si="78"/>
      </c>
      <c r="Q296" s="86">
        <f t="shared" si="79"/>
      </c>
      <c r="R296" s="86">
        <f t="shared" si="80"/>
      </c>
      <c r="S296" s="86">
        <f t="shared" si="81"/>
      </c>
      <c r="T296" s="86">
        <f t="shared" si="91"/>
        <v/>
      </c>
      <c r="U296" s="86">
        <f t="shared" si="92"/>
        <v/>
      </c>
      <c r="V296" s="86">
        <f t="shared" si="93"/>
        <v/>
      </c>
      <c r="W296" s="87">
        <f t="shared" si="82"/>
      </c>
      <c r="X296" s="88"/>
      <c r="Y296" s="88"/>
      <c r="Z296" s="88"/>
      <c r="AA296" s="88"/>
      <c r="AB296" s="88"/>
      <c r="AD296" s="86">
        <f t="shared" si="83"/>
      </c>
      <c r="AE296" s="86">
        <f t="shared" si="84"/>
      </c>
      <c r="AG296" s="86">
        <f t="shared" si="85"/>
      </c>
      <c r="AH296" s="86">
        <f t="shared" si="86"/>
      </c>
      <c r="AI296" s="86">
        <f t="shared" si="87"/>
      </c>
    </row>
    <row r="297" spans="6:35" x14ac:dyDescent="0.3">
      <c r="F297" s="26">
        <f>IF(G297=1,MAX($F$4:F296)+1,"")</f>
        <v/>
      </c>
      <c r="G297" s="26">
        <f>COUNTIF($H$5:H297,H297)</f>
      </c>
      <c r="H297" s="26">
        <f t="shared" si="88"/>
      </c>
      <c r="I297" s="26">
        <f>COUNTIF($J$4:$J297,1)</f>
      </c>
      <c r="J297" s="26">
        <f>COUNTIF($S$5:$S297,S297)</f>
      </c>
      <c r="K297" s="26">
        <f t="shared" si="77"/>
      </c>
      <c r="L297" s="26">
        <f>IFERROR(IF(P297=0,0,MAX($L$4:L296)+1),0)</f>
      </c>
      <c r="M297" s="5">
        <f t="shared" si="89"/>
      </c>
      <c r="N297" s="5">
        <f t="shared" si="90"/>
      </c>
      <c r="P297" s="86">
        <f t="shared" si="78"/>
      </c>
      <c r="Q297" s="86">
        <f t="shared" si="79"/>
      </c>
      <c r="R297" s="86">
        <f t="shared" si="80"/>
      </c>
      <c r="S297" s="86">
        <f t="shared" si="81"/>
      </c>
      <c r="T297" s="86">
        <f t="shared" si="91"/>
        <v/>
      </c>
      <c r="U297" s="86">
        <f t="shared" si="92"/>
        <v/>
      </c>
      <c r="V297" s="86">
        <f t="shared" si="93"/>
        <v/>
      </c>
      <c r="W297" s="87">
        <f t="shared" si="82"/>
      </c>
      <c r="X297" s="88"/>
      <c r="Y297" s="88"/>
      <c r="Z297" s="88"/>
      <c r="AA297" s="88"/>
      <c r="AB297" s="88"/>
      <c r="AD297" s="86">
        <f t="shared" si="83"/>
      </c>
      <c r="AE297" s="86">
        <f t="shared" si="84"/>
      </c>
      <c r="AG297" s="86">
        <f t="shared" si="85"/>
      </c>
      <c r="AH297" s="86">
        <f t="shared" si="86"/>
      </c>
      <c r="AI297" s="86">
        <f t="shared" si="87"/>
      </c>
    </row>
    <row r="298" spans="6:35" x14ac:dyDescent="0.3">
      <c r="F298" s="26">
        <f>IF(G298=1,MAX($F$4:F297)+1,"")</f>
        <v/>
      </c>
      <c r="G298" s="26">
        <f>COUNTIF($H$5:H298,H298)</f>
      </c>
      <c r="H298" s="26">
        <f t="shared" si="88"/>
      </c>
      <c r="I298" s="26">
        <f>COUNTIF($J$4:$J298,1)</f>
      </c>
      <c r="J298" s="26">
        <f>COUNTIF($S$5:$S298,S298)</f>
      </c>
      <c r="K298" s="26">
        <f t="shared" si="77"/>
      </c>
      <c r="L298" s="26">
        <f>IFERROR(IF(P298=0,0,MAX($L$4:L297)+1),0)</f>
      </c>
      <c r="M298" s="5">
        <f t="shared" si="89"/>
      </c>
      <c r="N298" s="5">
        <f t="shared" si="90"/>
      </c>
      <c r="P298" s="86">
        <f t="shared" si="78"/>
      </c>
      <c r="Q298" s="86">
        <f t="shared" si="79"/>
      </c>
      <c r="R298" s="86">
        <f t="shared" si="80"/>
      </c>
      <c r="S298" s="86">
        <f t="shared" si="81"/>
      </c>
      <c r="T298" s="86">
        <f t="shared" si="91"/>
        <v/>
      </c>
      <c r="U298" s="86">
        <f t="shared" si="92"/>
        <v/>
      </c>
      <c r="V298" s="86">
        <f t="shared" si="93"/>
        <v/>
      </c>
      <c r="W298" s="87">
        <f t="shared" si="82"/>
      </c>
      <c r="X298" s="88"/>
      <c r="Y298" s="88"/>
      <c r="Z298" s="88"/>
      <c r="AA298" s="88"/>
      <c r="AB298" s="88"/>
      <c r="AD298" s="86">
        <f t="shared" si="83"/>
      </c>
      <c r="AE298" s="86">
        <f t="shared" si="84"/>
      </c>
      <c r="AG298" s="86">
        <f t="shared" si="85"/>
      </c>
      <c r="AH298" s="86">
        <f t="shared" si="86"/>
      </c>
      <c r="AI298" s="86">
        <f t="shared" si="87"/>
      </c>
    </row>
    <row r="299" spans="6:35" x14ac:dyDescent="0.3">
      <c r="F299" s="26">
        <f>IF(G299=1,MAX($F$4:F298)+1,"")</f>
        <v/>
      </c>
      <c r="G299" s="26">
        <f>COUNTIF($H$5:H299,H299)</f>
      </c>
      <c r="H299" s="26">
        <f t="shared" si="88"/>
      </c>
      <c r="I299" s="26">
        <f>COUNTIF($J$4:$J299,1)</f>
      </c>
      <c r="J299" s="26">
        <f>COUNTIF($S$5:$S299,S299)</f>
      </c>
      <c r="K299" s="26">
        <f t="shared" si="77"/>
      </c>
      <c r="L299" s="26">
        <f>IFERROR(IF(P299=0,0,MAX($L$4:L298)+1),0)</f>
      </c>
      <c r="M299" s="5">
        <f t="shared" si="89"/>
      </c>
      <c r="N299" s="5">
        <f t="shared" si="90"/>
      </c>
      <c r="P299" s="86">
        <f t="shared" si="78"/>
      </c>
      <c r="Q299" s="86">
        <f t="shared" si="79"/>
      </c>
      <c r="R299" s="86">
        <f t="shared" si="80"/>
      </c>
      <c r="S299" s="86">
        <f t="shared" si="81"/>
      </c>
      <c r="T299" s="86">
        <f t="shared" si="91"/>
        <v/>
      </c>
      <c r="U299" s="86">
        <f t="shared" si="92"/>
        <v/>
      </c>
      <c r="V299" s="86">
        <f t="shared" si="93"/>
        <v/>
      </c>
      <c r="W299" s="87">
        <f t="shared" si="82"/>
      </c>
      <c r="X299" s="88"/>
      <c r="Y299" s="88"/>
      <c r="Z299" s="88"/>
      <c r="AA299" s="88"/>
      <c r="AB299" s="88"/>
      <c r="AD299" s="86">
        <f t="shared" si="83"/>
      </c>
      <c r="AE299" s="86">
        <f t="shared" si="84"/>
      </c>
      <c r="AG299" s="86">
        <f t="shared" si="85"/>
      </c>
      <c r="AH299" s="86">
        <f t="shared" si="86"/>
      </c>
      <c r="AI299" s="86">
        <f t="shared" si="87"/>
      </c>
    </row>
    <row r="300" spans="6:35" x14ac:dyDescent="0.3">
      <c r="F300" s="26">
        <f>IF(G300=1,MAX($F$4:F299)+1,"")</f>
        <v/>
      </c>
      <c r="G300" s="26">
        <f>COUNTIF($H$5:H300,H300)</f>
      </c>
      <c r="H300" s="26">
        <f t="shared" si="88"/>
      </c>
      <c r="I300" s="26">
        <f>COUNTIF($J$4:$J300,1)</f>
      </c>
      <c r="J300" s="26">
        <f>COUNTIF($S$5:$S300,S300)</f>
      </c>
      <c r="K300" s="26">
        <f t="shared" si="77"/>
      </c>
      <c r="L300" s="26">
        <f>IFERROR(IF(P300=0,0,MAX($L$4:L299)+1),0)</f>
      </c>
      <c r="M300" s="5">
        <f t="shared" si="89"/>
      </c>
      <c r="N300" s="5">
        <f t="shared" si="90"/>
      </c>
      <c r="P300" s="86">
        <f t="shared" si="78"/>
      </c>
      <c r="Q300" s="86">
        <f t="shared" si="79"/>
      </c>
      <c r="R300" s="86">
        <f t="shared" si="80"/>
      </c>
      <c r="S300" s="86">
        <f t="shared" si="81"/>
      </c>
      <c r="T300" s="86">
        <f t="shared" si="91"/>
        <v/>
      </c>
      <c r="U300" s="86">
        <f t="shared" si="92"/>
        <v/>
      </c>
      <c r="V300" s="86">
        <f t="shared" si="93"/>
        <v/>
      </c>
      <c r="W300" s="87">
        <f t="shared" si="82"/>
      </c>
      <c r="X300" s="88"/>
      <c r="Y300" s="88"/>
      <c r="Z300" s="88"/>
      <c r="AA300" s="88"/>
      <c r="AB300" s="88"/>
      <c r="AD300" s="86">
        <f t="shared" si="83"/>
      </c>
      <c r="AE300" s="86">
        <f t="shared" si="84"/>
      </c>
      <c r="AG300" s="86">
        <f t="shared" si="85"/>
      </c>
      <c r="AH300" s="86">
        <f t="shared" si="86"/>
      </c>
      <c r="AI300" s="86">
        <f t="shared" si="87"/>
      </c>
    </row>
    <row r="301" spans="6:35" x14ac:dyDescent="0.3">
      <c r="F301" s="26">
        <f>IF(G301=1,MAX($F$4:F300)+1,"")</f>
        <v/>
      </c>
      <c r="G301" s="26">
        <f>COUNTIF($H$5:H301,H301)</f>
      </c>
      <c r="H301" s="26">
        <f t="shared" si="88"/>
      </c>
      <c r="I301" s="26">
        <f>COUNTIF($J$4:$J301,1)</f>
      </c>
      <c r="J301" s="26">
        <f>COUNTIF($S$5:$S301,S301)</f>
      </c>
      <c r="K301" s="26">
        <f t="shared" si="77"/>
      </c>
      <c r="L301" s="26">
        <f>IFERROR(IF(P301=0,0,MAX($L$4:L300)+1),0)</f>
      </c>
      <c r="M301" s="5">
        <f t="shared" si="89"/>
      </c>
      <c r="N301" s="5">
        <f t="shared" si="90"/>
      </c>
      <c r="P301" s="86">
        <f t="shared" si="78"/>
      </c>
      <c r="Q301" s="86">
        <f t="shared" si="79"/>
      </c>
      <c r="R301" s="86">
        <f t="shared" si="80"/>
      </c>
      <c r="S301" s="86">
        <f t="shared" si="81"/>
      </c>
      <c r="T301" s="86">
        <f t="shared" si="91"/>
        <v/>
      </c>
      <c r="U301" s="86">
        <f t="shared" si="92"/>
        <v/>
      </c>
      <c r="V301" s="86">
        <f t="shared" si="93"/>
        <v/>
      </c>
      <c r="W301" s="87">
        <f t="shared" si="82"/>
      </c>
      <c r="X301" s="88"/>
      <c r="Y301" s="88"/>
      <c r="Z301" s="88"/>
      <c r="AA301" s="88"/>
      <c r="AB301" s="88"/>
      <c r="AD301" s="86">
        <f t="shared" si="83"/>
      </c>
      <c r="AE301" s="86">
        <f t="shared" si="84"/>
      </c>
      <c r="AG301" s="86">
        <f t="shared" si="85"/>
      </c>
      <c r="AH301" s="86">
        <f t="shared" si="86"/>
      </c>
      <c r="AI301" s="86">
        <f t="shared" si="87"/>
      </c>
    </row>
    <row r="302" spans="6:35" x14ac:dyDescent="0.3">
      <c r="F302" s="26">
        <f>IF(G302=1,MAX($F$4:F301)+1,"")</f>
        <v/>
      </c>
      <c r="G302" s="26">
        <f>COUNTIF($H$5:H302,H302)</f>
      </c>
      <c r="H302" s="26">
        <f t="shared" si="88"/>
      </c>
      <c r="I302" s="26">
        <f>COUNTIF($J$4:$J302,1)</f>
      </c>
      <c r="J302" s="26">
        <f>COUNTIF($S$5:$S302,S302)</f>
      </c>
      <c r="K302" s="26">
        <f t="shared" si="77"/>
      </c>
      <c r="L302" s="26">
        <f>IFERROR(IF(P302=0,0,MAX($L$4:L301)+1),0)</f>
      </c>
      <c r="M302" s="5">
        <f t="shared" si="89"/>
      </c>
      <c r="N302" s="5">
        <f t="shared" si="90"/>
      </c>
      <c r="P302" s="86">
        <f t="shared" si="78"/>
      </c>
      <c r="Q302" s="86">
        <f t="shared" si="79"/>
      </c>
      <c r="R302" s="86">
        <f t="shared" si="80"/>
      </c>
      <c r="S302" s="86">
        <f t="shared" si="81"/>
      </c>
      <c r="T302" s="86">
        <f t="shared" si="91"/>
        <v/>
      </c>
      <c r="U302" s="86">
        <f t="shared" si="92"/>
        <v/>
      </c>
      <c r="V302" s="86">
        <f t="shared" si="93"/>
        <v/>
      </c>
      <c r="W302" s="87">
        <f t="shared" si="82"/>
      </c>
      <c r="X302" s="88"/>
      <c r="Y302" s="88"/>
      <c r="Z302" s="88"/>
      <c r="AA302" s="88"/>
      <c r="AB302" s="88"/>
      <c r="AD302" s="86">
        <f t="shared" si="83"/>
      </c>
      <c r="AE302" s="86">
        <f t="shared" si="84"/>
      </c>
      <c r="AG302" s="86">
        <f t="shared" si="85"/>
      </c>
      <c r="AH302" s="86">
        <f t="shared" si="86"/>
      </c>
      <c r="AI302" s="86">
        <f t="shared" si="87"/>
      </c>
    </row>
    <row r="303" spans="6:35" x14ac:dyDescent="0.3">
      <c r="F303" s="26">
        <f>IF(G303=1,MAX($F$4:F302)+1,"")</f>
        <v/>
      </c>
      <c r="G303" s="26">
        <f>COUNTIF($H$5:H303,H303)</f>
      </c>
      <c r="H303" s="26">
        <f t="shared" si="88"/>
      </c>
      <c r="I303" s="26">
        <f>COUNTIF($J$4:$J303,1)</f>
      </c>
      <c r="J303" s="26">
        <f>COUNTIF($S$5:$S303,S303)</f>
      </c>
      <c r="K303" s="26">
        <f t="shared" si="77"/>
      </c>
      <c r="L303" s="26">
        <f>IFERROR(IF(P303=0,0,MAX($L$4:L302)+1),0)</f>
      </c>
      <c r="M303" s="5">
        <f t="shared" si="89"/>
      </c>
      <c r="N303" s="5">
        <f t="shared" si="90"/>
      </c>
      <c r="P303" s="86">
        <f t="shared" si="78"/>
      </c>
      <c r="Q303" s="86">
        <f t="shared" si="79"/>
      </c>
      <c r="R303" s="86">
        <f t="shared" si="80"/>
      </c>
      <c r="S303" s="86">
        <f t="shared" si="81"/>
      </c>
      <c r="T303" s="86">
        <f t="shared" si="91"/>
        <v/>
      </c>
      <c r="U303" s="86">
        <f t="shared" si="92"/>
        <v/>
      </c>
      <c r="V303" s="86">
        <f t="shared" si="93"/>
        <v/>
      </c>
      <c r="W303" s="87">
        <f t="shared" si="82"/>
      </c>
      <c r="X303" s="88"/>
      <c r="Y303" s="88"/>
      <c r="Z303" s="88"/>
      <c r="AA303" s="88"/>
      <c r="AB303" s="88"/>
      <c r="AD303" s="86">
        <f t="shared" si="83"/>
      </c>
      <c r="AE303" s="86">
        <f t="shared" si="84"/>
      </c>
      <c r="AG303" s="86">
        <f t="shared" si="85"/>
      </c>
      <c r="AH303" s="86">
        <f t="shared" si="86"/>
      </c>
      <c r="AI303" s="86">
        <f t="shared" si="87"/>
      </c>
    </row>
    <row r="304" spans="6:35" x14ac:dyDescent="0.3">
      <c r="F304" s="26">
        <f>IF(G304=1,MAX($F$4:F303)+1,"")</f>
        <v/>
      </c>
      <c r="G304" s="26">
        <f>COUNTIF($H$5:H304,H304)</f>
      </c>
      <c r="H304" s="26">
        <f t="shared" si="88"/>
      </c>
      <c r="I304" s="26">
        <f>COUNTIF($J$4:$J304,1)</f>
      </c>
      <c r="J304" s="26">
        <f>COUNTIF($S$5:$S304,S304)</f>
      </c>
      <c r="K304" s="26">
        <f t="shared" si="77"/>
      </c>
      <c r="L304" s="26">
        <f>IFERROR(IF(P304=0,0,MAX($L$4:L303)+1),0)</f>
      </c>
      <c r="M304" s="5">
        <f t="shared" si="89"/>
      </c>
      <c r="N304" s="5">
        <f t="shared" si="90"/>
      </c>
      <c r="P304" s="86">
        <f t="shared" si="78"/>
      </c>
      <c r="Q304" s="86">
        <f t="shared" si="79"/>
      </c>
      <c r="R304" s="86">
        <f t="shared" si="80"/>
      </c>
      <c r="S304" s="86">
        <f t="shared" si="81"/>
      </c>
      <c r="T304" s="86">
        <f t="shared" si="91"/>
        <v/>
      </c>
      <c r="U304" s="86">
        <f t="shared" si="92"/>
        <v/>
      </c>
      <c r="V304" s="86">
        <f t="shared" si="93"/>
        <v/>
      </c>
      <c r="W304" s="87">
        <f t="shared" si="82"/>
      </c>
      <c r="X304" s="88"/>
      <c r="Y304" s="88"/>
      <c r="Z304" s="88"/>
      <c r="AA304" s="88"/>
      <c r="AB304" s="88"/>
      <c r="AD304" s="86">
        <f t="shared" si="83"/>
      </c>
      <c r="AE304" s="86">
        <f t="shared" si="84"/>
      </c>
      <c r="AG304" s="86">
        <f t="shared" si="85"/>
      </c>
      <c r="AH304" s="86">
        <f t="shared" si="86"/>
      </c>
      <c r="AI304" s="86">
        <f t="shared" si="87"/>
      </c>
    </row>
    <row r="305" spans="6:35" x14ac:dyDescent="0.3">
      <c r="F305" s="26">
        <f>IF(G305=1,MAX($F$4:F304)+1,"")</f>
        <v/>
      </c>
      <c r="G305" s="26">
        <f>COUNTIF($H$5:H305,H305)</f>
      </c>
      <c r="H305" s="26">
        <f t="shared" si="88"/>
      </c>
      <c r="I305" s="26">
        <f>COUNTIF($J$4:$J305,1)</f>
      </c>
      <c r="J305" s="26">
        <f>COUNTIF($S$5:$S305,S305)</f>
      </c>
      <c r="K305" s="26">
        <f t="shared" si="77"/>
      </c>
      <c r="L305" s="26">
        <f>IFERROR(IF(P305=0,0,MAX($L$4:L304)+1),0)</f>
      </c>
      <c r="M305" s="5">
        <f t="shared" si="89"/>
      </c>
      <c r="N305" s="5">
        <f t="shared" si="90"/>
      </c>
      <c r="P305" s="86">
        <f t="shared" si="78"/>
      </c>
      <c r="Q305" s="86">
        <f t="shared" si="79"/>
      </c>
      <c r="R305" s="86">
        <f t="shared" si="80"/>
      </c>
      <c r="S305" s="86">
        <f t="shared" si="81"/>
      </c>
      <c r="T305" s="86">
        <f t="shared" si="91"/>
        <v/>
      </c>
      <c r="U305" s="86">
        <f t="shared" si="92"/>
        <v/>
      </c>
      <c r="V305" s="86">
        <f t="shared" si="93"/>
        <v/>
      </c>
      <c r="W305" s="87">
        <f t="shared" si="82"/>
      </c>
      <c r="X305" s="88"/>
      <c r="Y305" s="88"/>
      <c r="Z305" s="88"/>
      <c r="AA305" s="88"/>
      <c r="AB305" s="88"/>
      <c r="AD305" s="86">
        <f t="shared" si="83"/>
      </c>
      <c r="AE305" s="86">
        <f t="shared" si="84"/>
      </c>
      <c r="AG305" s="86">
        <f t="shared" si="85"/>
      </c>
      <c r="AH305" s="86">
        <f t="shared" si="86"/>
      </c>
      <c r="AI305" s="86">
        <f t="shared" si="87"/>
      </c>
    </row>
    <row r="306" spans="6:35" x14ac:dyDescent="0.3">
      <c r="F306" s="26">
        <f>IF(G306=1,MAX($F$4:F305)+1,"")</f>
        <v/>
      </c>
      <c r="G306" s="26">
        <f>COUNTIF($H$5:H306,H306)</f>
      </c>
      <c r="H306" s="26">
        <f t="shared" si="88"/>
      </c>
      <c r="I306" s="26">
        <f>COUNTIF($J$4:$J306,1)</f>
      </c>
      <c r="J306" s="26">
        <f>COUNTIF($S$5:$S306,S306)</f>
      </c>
      <c r="K306" s="26">
        <f t="shared" si="77"/>
      </c>
      <c r="L306" s="26">
        <f>IFERROR(IF(P306=0,0,MAX($L$4:L305)+1),0)</f>
      </c>
      <c r="M306" s="5">
        <f t="shared" si="89"/>
      </c>
      <c r="N306" s="5">
        <f t="shared" si="90"/>
      </c>
      <c r="P306" s="86">
        <f t="shared" si="78"/>
      </c>
      <c r="Q306" s="86">
        <f t="shared" si="79"/>
      </c>
      <c r="R306" s="86">
        <f t="shared" si="80"/>
      </c>
      <c r="S306" s="86">
        <f t="shared" si="81"/>
      </c>
      <c r="T306" s="86">
        <f t="shared" si="91"/>
        <v/>
      </c>
      <c r="U306" s="86">
        <f t="shared" si="92"/>
        <v/>
      </c>
      <c r="V306" s="86">
        <f t="shared" si="93"/>
        <v/>
      </c>
      <c r="W306" s="87">
        <f t="shared" si="82"/>
      </c>
      <c r="X306" s="88"/>
      <c r="Y306" s="88"/>
      <c r="Z306" s="88"/>
      <c r="AA306" s="88"/>
      <c r="AB306" s="88"/>
      <c r="AD306" s="86">
        <f t="shared" si="83"/>
      </c>
      <c r="AE306" s="86">
        <f t="shared" si="84"/>
      </c>
      <c r="AG306" s="86">
        <f t="shared" si="85"/>
      </c>
      <c r="AH306" s="86">
        <f t="shared" si="86"/>
      </c>
      <c r="AI306" s="86">
        <f t="shared" si="87"/>
      </c>
    </row>
    <row r="307" spans="6:35" x14ac:dyDescent="0.3">
      <c r="F307" s="26">
        <f>IF(G307=1,MAX($F$4:F306)+1,"")</f>
        <v/>
      </c>
      <c r="G307" s="26">
        <f>COUNTIF($H$5:H307,H307)</f>
      </c>
      <c r="H307" s="26">
        <f t="shared" si="88"/>
      </c>
      <c r="I307" s="26">
        <f>COUNTIF($J$4:$J307,1)</f>
      </c>
      <c r="J307" s="26">
        <f>COUNTIF($S$5:$S307,S307)</f>
      </c>
      <c r="K307" s="26">
        <f t="shared" si="77"/>
      </c>
      <c r="L307" s="26">
        <f>IFERROR(IF(P307=0,0,MAX($L$4:L306)+1),0)</f>
      </c>
      <c r="M307" s="5">
        <f t="shared" si="89"/>
      </c>
      <c r="N307" s="5">
        <f t="shared" si="90"/>
      </c>
      <c r="P307" s="86">
        <f t="shared" si="78"/>
      </c>
      <c r="Q307" s="86">
        <f t="shared" si="79"/>
      </c>
      <c r="R307" s="86">
        <f t="shared" si="80"/>
      </c>
      <c r="S307" s="86">
        <f t="shared" si="81"/>
      </c>
      <c r="T307" s="86">
        <f t="shared" si="91"/>
        <v/>
      </c>
      <c r="U307" s="86">
        <f t="shared" si="92"/>
        <v/>
      </c>
      <c r="V307" s="86">
        <f t="shared" si="93"/>
        <v/>
      </c>
      <c r="W307" s="87">
        <f t="shared" si="82"/>
      </c>
      <c r="X307" s="88"/>
      <c r="Y307" s="88"/>
      <c r="Z307" s="88"/>
      <c r="AA307" s="88"/>
      <c r="AB307" s="88"/>
      <c r="AD307" s="86">
        <f t="shared" si="83"/>
      </c>
      <c r="AE307" s="86">
        <f t="shared" si="84"/>
      </c>
      <c r="AG307" s="86">
        <f t="shared" si="85"/>
      </c>
      <c r="AH307" s="86">
        <f t="shared" si="86"/>
      </c>
      <c r="AI307" s="86">
        <f t="shared" si="87"/>
      </c>
    </row>
    <row r="308" spans="6:35" x14ac:dyDescent="0.3">
      <c r="F308" s="26">
        <f>IF(G308=1,MAX($F$4:F307)+1,"")</f>
        <v/>
      </c>
      <c r="G308" s="26">
        <f>COUNTIF($H$5:H308,H308)</f>
      </c>
      <c r="H308" s="26">
        <f t="shared" si="88"/>
      </c>
      <c r="I308" s="26">
        <f>COUNTIF($J$4:$J308,1)</f>
      </c>
      <c r="J308" s="26">
        <f>COUNTIF($S$5:$S308,S308)</f>
      </c>
      <c r="K308" s="26">
        <f t="shared" si="77"/>
      </c>
      <c r="L308" s="26">
        <f>IFERROR(IF(P308=0,0,MAX($L$4:L307)+1),0)</f>
      </c>
      <c r="M308" s="5">
        <f t="shared" si="89"/>
      </c>
      <c r="N308" s="5">
        <f t="shared" si="90"/>
      </c>
      <c r="P308" s="86">
        <f t="shared" si="78"/>
      </c>
      <c r="Q308" s="86">
        <f t="shared" si="79"/>
      </c>
      <c r="R308" s="86">
        <f t="shared" si="80"/>
      </c>
      <c r="S308" s="86">
        <f t="shared" si="81"/>
      </c>
      <c r="T308" s="86">
        <f t="shared" si="91"/>
        <v/>
      </c>
      <c r="U308" s="86">
        <f t="shared" si="92"/>
        <v/>
      </c>
      <c r="V308" s="86">
        <f t="shared" si="93"/>
        <v/>
      </c>
      <c r="W308" s="87">
        <f t="shared" si="82"/>
      </c>
      <c r="X308" s="88"/>
      <c r="Y308" s="88"/>
      <c r="Z308" s="88"/>
      <c r="AA308" s="88"/>
      <c r="AB308" s="88"/>
      <c r="AD308" s="86">
        <f t="shared" si="83"/>
      </c>
      <c r="AE308" s="86">
        <f t="shared" si="84"/>
      </c>
      <c r="AG308" s="86">
        <f t="shared" si="85"/>
      </c>
      <c r="AH308" s="86">
        <f t="shared" si="86"/>
      </c>
      <c r="AI308" s="86">
        <f t="shared" si="87"/>
      </c>
    </row>
    <row r="309" spans="6:35" x14ac:dyDescent="0.3">
      <c r="F309" s="26">
        <f>IF(G309=1,MAX($F$4:F308)+1,"")</f>
        <v/>
      </c>
      <c r="G309" s="26">
        <f>COUNTIF($H$5:H309,H309)</f>
      </c>
      <c r="H309" s="26">
        <f t="shared" si="88"/>
      </c>
      <c r="I309" s="26">
        <f>COUNTIF($J$4:$J309,1)</f>
      </c>
      <c r="J309" s="26">
        <f>COUNTIF($S$5:$S309,S309)</f>
      </c>
      <c r="K309" s="26">
        <f t="shared" si="77"/>
      </c>
      <c r="L309" s="26">
        <f>IFERROR(IF(P309=0,0,MAX($L$4:L308)+1),0)</f>
      </c>
      <c r="M309" s="5">
        <f t="shared" si="89"/>
      </c>
      <c r="N309" s="5">
        <f t="shared" si="90"/>
      </c>
      <c r="P309" s="86">
        <f t="shared" si="78"/>
      </c>
      <c r="Q309" s="86">
        <f t="shared" si="79"/>
      </c>
      <c r="R309" s="86">
        <f t="shared" si="80"/>
      </c>
      <c r="S309" s="86">
        <f t="shared" si="81"/>
      </c>
      <c r="T309" s="86">
        <f t="shared" si="91"/>
        <v/>
      </c>
      <c r="U309" s="86">
        <f t="shared" si="92"/>
        <v/>
      </c>
      <c r="V309" s="86">
        <f t="shared" si="93"/>
        <v/>
      </c>
      <c r="W309" s="87">
        <f t="shared" si="82"/>
      </c>
      <c r="X309" s="88"/>
      <c r="Y309" s="88"/>
      <c r="Z309" s="88"/>
      <c r="AA309" s="88"/>
      <c r="AB309" s="88"/>
      <c r="AD309" s="86">
        <f t="shared" si="83"/>
      </c>
      <c r="AE309" s="86">
        <f t="shared" si="84"/>
      </c>
      <c r="AG309" s="86">
        <f t="shared" si="85"/>
      </c>
      <c r="AH309" s="86">
        <f t="shared" si="86"/>
      </c>
      <c r="AI309" s="86">
        <f t="shared" si="87"/>
      </c>
    </row>
    <row r="310" spans="6:35" x14ac:dyDescent="0.3">
      <c r="F310" s="26">
        <f>IF(G310=1,MAX($F$4:F309)+1,"")</f>
        <v/>
      </c>
      <c r="G310" s="26">
        <f>COUNTIF($H$5:H310,H310)</f>
      </c>
      <c r="H310" s="26">
        <f t="shared" si="88"/>
      </c>
      <c r="I310" s="26">
        <f>COUNTIF($J$4:$J310,1)</f>
      </c>
      <c r="J310" s="26">
        <f>COUNTIF($S$5:$S310,S310)</f>
      </c>
      <c r="K310" s="26">
        <f t="shared" si="77"/>
      </c>
      <c r="L310" s="26">
        <f>IFERROR(IF(P310=0,0,MAX($L$4:L309)+1),0)</f>
      </c>
      <c r="M310" s="5">
        <f t="shared" si="89"/>
      </c>
      <c r="N310" s="5">
        <f t="shared" si="90"/>
      </c>
      <c r="P310" s="86">
        <f t="shared" si="78"/>
      </c>
      <c r="Q310" s="86">
        <f t="shared" si="79"/>
      </c>
      <c r="R310" s="86">
        <f t="shared" si="80"/>
      </c>
      <c r="S310" s="86">
        <f t="shared" si="81"/>
      </c>
      <c r="T310" s="86">
        <f t="shared" si="91"/>
        <v/>
      </c>
      <c r="U310" s="86">
        <f t="shared" si="92"/>
        <v/>
      </c>
      <c r="V310" s="86">
        <f t="shared" si="93"/>
        <v/>
      </c>
      <c r="W310" s="87">
        <f t="shared" si="82"/>
      </c>
      <c r="X310" s="88"/>
      <c r="Y310" s="88"/>
      <c r="Z310" s="88"/>
      <c r="AA310" s="88"/>
      <c r="AB310" s="88"/>
      <c r="AD310" s="86">
        <f t="shared" si="83"/>
      </c>
      <c r="AE310" s="86">
        <f t="shared" si="84"/>
      </c>
      <c r="AG310" s="86">
        <f t="shared" si="85"/>
      </c>
      <c r="AH310" s="86">
        <f t="shared" si="86"/>
      </c>
      <c r="AI310" s="86">
        <f t="shared" si="87"/>
      </c>
    </row>
    <row r="311" spans="6:35" x14ac:dyDescent="0.3">
      <c r="F311" s="26">
        <f>IF(G311=1,MAX($F$4:F310)+1,"")</f>
        <v/>
      </c>
      <c r="G311" s="26">
        <f>COUNTIF($H$5:H311,H311)</f>
      </c>
      <c r="H311" s="26">
        <f t="shared" si="88"/>
      </c>
      <c r="I311" s="26">
        <f>COUNTIF($J$4:$J311,1)</f>
      </c>
      <c r="J311" s="26">
        <f>COUNTIF($S$5:$S311,S311)</f>
      </c>
      <c r="K311" s="26">
        <f t="shared" si="77"/>
      </c>
      <c r="L311" s="26">
        <f>IFERROR(IF(P311=0,0,MAX($L$4:L310)+1),0)</f>
      </c>
      <c r="M311" s="5">
        <f t="shared" si="89"/>
      </c>
      <c r="N311" s="5">
        <f t="shared" si="90"/>
      </c>
      <c r="P311" s="86">
        <f t="shared" si="78"/>
      </c>
      <c r="Q311" s="86">
        <f t="shared" si="79"/>
      </c>
      <c r="R311" s="86">
        <f t="shared" si="80"/>
      </c>
      <c r="S311" s="86">
        <f t="shared" si="81"/>
      </c>
      <c r="T311" s="86">
        <f t="shared" si="91"/>
        <v/>
      </c>
      <c r="U311" s="86">
        <f t="shared" si="92"/>
        <v/>
      </c>
      <c r="V311" s="86">
        <f t="shared" si="93"/>
        <v/>
      </c>
      <c r="W311" s="87">
        <f t="shared" si="82"/>
      </c>
      <c r="X311" s="88"/>
      <c r="Y311" s="88"/>
      <c r="Z311" s="88"/>
      <c r="AA311" s="88"/>
      <c r="AB311" s="88"/>
      <c r="AD311" s="86">
        <f t="shared" si="83"/>
      </c>
      <c r="AE311" s="86">
        <f t="shared" si="84"/>
      </c>
      <c r="AG311" s="86">
        <f t="shared" si="85"/>
      </c>
      <c r="AH311" s="86">
        <f t="shared" si="86"/>
      </c>
      <c r="AI311" s="86">
        <f t="shared" si="87"/>
      </c>
    </row>
    <row r="312" spans="6:35" x14ac:dyDescent="0.3">
      <c r="F312" s="26">
        <f>IF(G312=1,MAX($F$4:F311)+1,"")</f>
        <v/>
      </c>
      <c r="G312" s="26">
        <f>COUNTIF($H$5:H312,H312)</f>
      </c>
      <c r="H312" s="26">
        <f t="shared" si="88"/>
      </c>
      <c r="I312" s="26">
        <f>COUNTIF($J$4:$J312,1)</f>
      </c>
      <c r="J312" s="26">
        <f>COUNTIF($S$5:$S312,S312)</f>
      </c>
      <c r="K312" s="26">
        <f t="shared" si="77"/>
      </c>
      <c r="L312" s="26">
        <f>IFERROR(IF(P312=0,0,MAX($L$4:L311)+1),0)</f>
      </c>
      <c r="M312" s="5">
        <f t="shared" si="89"/>
      </c>
      <c r="N312" s="5">
        <f t="shared" si="90"/>
      </c>
      <c r="P312" s="86">
        <f t="shared" si="78"/>
      </c>
      <c r="Q312" s="86">
        <f t="shared" si="79"/>
      </c>
      <c r="R312" s="86">
        <f t="shared" si="80"/>
      </c>
      <c r="S312" s="86">
        <f t="shared" si="81"/>
      </c>
      <c r="T312" s="86">
        <f t="shared" si="91"/>
        <v/>
      </c>
      <c r="U312" s="86">
        <f t="shared" si="92"/>
        <v/>
      </c>
      <c r="V312" s="86">
        <f t="shared" si="93"/>
        <v/>
      </c>
      <c r="W312" s="87">
        <f t="shared" si="82"/>
      </c>
      <c r="X312" s="88"/>
      <c r="Y312" s="88"/>
      <c r="Z312" s="88"/>
      <c r="AA312" s="88"/>
      <c r="AB312" s="88"/>
      <c r="AD312" s="86">
        <f t="shared" si="83"/>
      </c>
      <c r="AE312" s="86">
        <f t="shared" si="84"/>
      </c>
      <c r="AG312" s="86">
        <f t="shared" si="85"/>
      </c>
      <c r="AH312" s="86">
        <f t="shared" si="86"/>
      </c>
      <c r="AI312" s="86">
        <f t="shared" si="87"/>
      </c>
    </row>
    <row r="313" spans="6:35" x14ac:dyDescent="0.3">
      <c r="F313" s="26">
        <f>IF(G313=1,MAX($F$4:F312)+1,"")</f>
        <v/>
      </c>
      <c r="G313" s="26">
        <f>COUNTIF($H$5:H313,H313)</f>
      </c>
      <c r="H313" s="26">
        <f t="shared" si="88"/>
      </c>
      <c r="I313" s="26">
        <f>COUNTIF($J$4:$J313,1)</f>
      </c>
      <c r="J313" s="26">
        <f>COUNTIF($S$5:$S313,S313)</f>
      </c>
      <c r="K313" s="26">
        <f t="shared" si="77"/>
      </c>
      <c r="L313" s="26">
        <f>IFERROR(IF(P313=0,0,MAX($L$4:L312)+1),0)</f>
      </c>
      <c r="M313" s="5">
        <f t="shared" si="89"/>
      </c>
      <c r="N313" s="5">
        <f t="shared" si="90"/>
      </c>
      <c r="P313" s="86">
        <f t="shared" si="78"/>
      </c>
      <c r="Q313" s="86">
        <f t="shared" si="79"/>
      </c>
      <c r="R313" s="86">
        <f t="shared" si="80"/>
      </c>
      <c r="S313" s="86">
        <f t="shared" si="81"/>
      </c>
      <c r="T313" s="86">
        <f t="shared" si="91"/>
        <v/>
      </c>
      <c r="U313" s="86">
        <f t="shared" si="92"/>
        <v/>
      </c>
      <c r="V313" s="86">
        <f t="shared" si="93"/>
        <v/>
      </c>
      <c r="W313" s="87">
        <f t="shared" si="82"/>
      </c>
      <c r="X313" s="88"/>
      <c r="Y313" s="88"/>
      <c r="Z313" s="88"/>
      <c r="AA313" s="88"/>
      <c r="AB313" s="88"/>
      <c r="AD313" s="86">
        <f t="shared" si="83"/>
      </c>
      <c r="AE313" s="86">
        <f t="shared" si="84"/>
      </c>
      <c r="AG313" s="86">
        <f t="shared" si="85"/>
      </c>
      <c r="AH313" s="86">
        <f t="shared" si="86"/>
      </c>
      <c r="AI313" s="86">
        <f t="shared" si="87"/>
      </c>
    </row>
    <row r="314" spans="6:35" x14ac:dyDescent="0.3">
      <c r="F314" s="26">
        <f>IF(G314=1,MAX($F$4:F313)+1,"")</f>
        <v/>
      </c>
      <c r="G314" s="26">
        <f>COUNTIF($H$5:H314,H314)</f>
      </c>
      <c r="H314" s="26">
        <f t="shared" si="88"/>
      </c>
      <c r="I314" s="26">
        <f>COUNTIF($J$4:$J314,1)</f>
      </c>
      <c r="J314" s="26">
        <f>COUNTIF($S$5:$S314,S314)</f>
      </c>
      <c r="K314" s="26">
        <f t="shared" si="77"/>
      </c>
      <c r="L314" s="26">
        <f>IFERROR(IF(P314=0,0,MAX($L$4:L313)+1),0)</f>
      </c>
      <c r="M314" s="5">
        <f t="shared" si="89"/>
      </c>
      <c r="N314" s="5">
        <f t="shared" si="90"/>
      </c>
      <c r="P314" s="86">
        <f t="shared" si="78"/>
      </c>
      <c r="Q314" s="86">
        <f t="shared" si="79"/>
      </c>
      <c r="R314" s="86">
        <f t="shared" si="80"/>
      </c>
      <c r="S314" s="86">
        <f t="shared" si="81"/>
      </c>
      <c r="T314" s="86">
        <f t="shared" si="91"/>
        <v/>
      </c>
      <c r="U314" s="86">
        <f t="shared" si="92"/>
        <v/>
      </c>
      <c r="V314" s="86">
        <f t="shared" si="93"/>
        <v/>
      </c>
      <c r="W314" s="87">
        <f t="shared" si="82"/>
      </c>
      <c r="X314" s="88"/>
      <c r="Y314" s="88"/>
      <c r="Z314" s="88"/>
      <c r="AA314" s="88"/>
      <c r="AB314" s="88"/>
      <c r="AD314" s="86">
        <f t="shared" si="83"/>
      </c>
      <c r="AE314" s="86">
        <f t="shared" si="84"/>
      </c>
      <c r="AG314" s="86">
        <f t="shared" si="85"/>
      </c>
      <c r="AH314" s="86">
        <f t="shared" si="86"/>
      </c>
      <c r="AI314" s="86">
        <f t="shared" si="87"/>
      </c>
    </row>
    <row r="315" spans="6:35" x14ac:dyDescent="0.3">
      <c r="F315" s="26">
        <f>IF(G315=1,MAX($F$4:F314)+1,"")</f>
        <v/>
      </c>
      <c r="G315" s="26">
        <f>COUNTIF($H$5:H315,H315)</f>
      </c>
      <c r="H315" s="26">
        <f t="shared" si="88"/>
      </c>
      <c r="I315" s="26">
        <f>COUNTIF($J$4:$J315,1)</f>
      </c>
      <c r="J315" s="26">
        <f>COUNTIF($S$5:$S315,S315)</f>
      </c>
      <c r="K315" s="26">
        <f t="shared" si="77"/>
      </c>
      <c r="L315" s="26">
        <f>IFERROR(IF(P315=0,0,MAX($L$4:L314)+1),0)</f>
      </c>
      <c r="M315" s="5">
        <f t="shared" si="89"/>
      </c>
      <c r="N315" s="5">
        <f t="shared" si="90"/>
      </c>
      <c r="P315" s="86">
        <f t="shared" si="78"/>
      </c>
      <c r="Q315" s="86">
        <f t="shared" si="79"/>
      </c>
      <c r="R315" s="86">
        <f t="shared" si="80"/>
      </c>
      <c r="S315" s="86">
        <f t="shared" si="81"/>
      </c>
      <c r="T315" s="86">
        <f t="shared" si="91"/>
        <v/>
      </c>
      <c r="U315" s="86">
        <f t="shared" si="92"/>
        <v/>
      </c>
      <c r="V315" s="86">
        <f t="shared" si="93"/>
        <v/>
      </c>
      <c r="W315" s="87">
        <f t="shared" si="82"/>
      </c>
      <c r="X315" s="88"/>
      <c r="Y315" s="88"/>
      <c r="Z315" s="88"/>
      <c r="AA315" s="88"/>
      <c r="AB315" s="88"/>
      <c r="AD315" s="86">
        <f t="shared" si="83"/>
      </c>
      <c r="AE315" s="86">
        <f t="shared" si="84"/>
      </c>
      <c r="AG315" s="86">
        <f t="shared" si="85"/>
      </c>
      <c r="AH315" s="86">
        <f t="shared" si="86"/>
      </c>
      <c r="AI315" s="86">
        <f t="shared" si="87"/>
      </c>
    </row>
    <row r="316" spans="6:35" x14ac:dyDescent="0.3">
      <c r="F316" s="26">
        <f>IF(G316=1,MAX($F$4:F315)+1,"")</f>
        <v/>
      </c>
      <c r="G316" s="26">
        <f>COUNTIF($H$5:H316,H316)</f>
      </c>
      <c r="H316" s="26">
        <f t="shared" si="88"/>
      </c>
      <c r="I316" s="26">
        <f>COUNTIF($J$4:$J316,1)</f>
      </c>
      <c r="J316" s="26">
        <f>COUNTIF($S$5:$S316,S316)</f>
      </c>
      <c r="K316" s="26">
        <f t="shared" si="77"/>
      </c>
      <c r="L316" s="26">
        <f>IFERROR(IF(P316=0,0,MAX($L$4:L315)+1),0)</f>
      </c>
      <c r="M316" s="5">
        <f t="shared" si="89"/>
      </c>
      <c r="N316" s="5">
        <f t="shared" si="90"/>
      </c>
      <c r="P316" s="86">
        <f t="shared" si="78"/>
      </c>
      <c r="Q316" s="86">
        <f t="shared" si="79"/>
      </c>
      <c r="R316" s="86">
        <f t="shared" si="80"/>
      </c>
      <c r="S316" s="86">
        <f t="shared" si="81"/>
      </c>
      <c r="T316" s="86">
        <f t="shared" si="91"/>
        <v/>
      </c>
      <c r="U316" s="86">
        <f t="shared" si="92"/>
        <v/>
      </c>
      <c r="V316" s="86">
        <f t="shared" si="93"/>
        <v/>
      </c>
      <c r="W316" s="87">
        <f t="shared" si="82"/>
      </c>
      <c r="X316" s="88"/>
      <c r="Y316" s="88"/>
      <c r="Z316" s="88"/>
      <c r="AA316" s="88"/>
      <c r="AB316" s="88"/>
      <c r="AD316" s="86">
        <f t="shared" si="83"/>
      </c>
      <c r="AE316" s="86">
        <f t="shared" si="84"/>
      </c>
      <c r="AG316" s="86">
        <f t="shared" si="85"/>
      </c>
      <c r="AH316" s="86">
        <f t="shared" si="86"/>
      </c>
      <c r="AI316" s="86">
        <f t="shared" si="87"/>
      </c>
    </row>
    <row r="317" spans="6:35" x14ac:dyDescent="0.3">
      <c r="F317" s="26">
        <f>IF(G317=1,MAX($F$4:F316)+1,"")</f>
        <v/>
      </c>
      <c r="G317" s="26">
        <f>COUNTIF($H$5:H317,H317)</f>
      </c>
      <c r="H317" s="26">
        <f t="shared" si="88"/>
      </c>
      <c r="I317" s="26">
        <f>COUNTIF($J$4:$J317,1)</f>
      </c>
      <c r="J317" s="26">
        <f>COUNTIF($S$5:$S317,S317)</f>
      </c>
      <c r="K317" s="26">
        <f t="shared" si="77"/>
      </c>
      <c r="L317" s="26">
        <f>IFERROR(IF(P317=0,0,MAX($L$4:L316)+1),0)</f>
      </c>
      <c r="M317" s="5">
        <f t="shared" si="89"/>
      </c>
      <c r="N317" s="5">
        <f t="shared" si="90"/>
      </c>
      <c r="P317" s="86">
        <f t="shared" si="78"/>
      </c>
      <c r="Q317" s="86">
        <f t="shared" si="79"/>
      </c>
      <c r="R317" s="86">
        <f t="shared" si="80"/>
      </c>
      <c r="S317" s="86">
        <f t="shared" si="81"/>
      </c>
      <c r="T317" s="86">
        <f t="shared" si="91"/>
        <v/>
      </c>
      <c r="U317" s="86">
        <f t="shared" si="92"/>
        <v/>
      </c>
      <c r="V317" s="86">
        <f t="shared" si="93"/>
        <v/>
      </c>
      <c r="W317" s="87">
        <f t="shared" si="82"/>
      </c>
      <c r="X317" s="88"/>
      <c r="Y317" s="88"/>
      <c r="Z317" s="88"/>
      <c r="AA317" s="88"/>
      <c r="AB317" s="88"/>
      <c r="AD317" s="86">
        <f t="shared" si="83"/>
      </c>
      <c r="AE317" s="86">
        <f t="shared" si="84"/>
      </c>
      <c r="AG317" s="86">
        <f t="shared" si="85"/>
      </c>
      <c r="AH317" s="86">
        <f t="shared" si="86"/>
      </c>
      <c r="AI317" s="86">
        <f t="shared" si="87"/>
      </c>
    </row>
    <row r="318" spans="6:35" x14ac:dyDescent="0.3">
      <c r="F318" s="26">
        <f>IF(G318=1,MAX($F$4:F317)+1,"")</f>
        <v/>
      </c>
      <c r="G318" s="26">
        <f>COUNTIF($H$5:H318,H318)</f>
      </c>
      <c r="H318" s="26">
        <f t="shared" si="88"/>
      </c>
      <c r="I318" s="26">
        <f>COUNTIF($J$4:$J318,1)</f>
      </c>
      <c r="J318" s="26">
        <f>COUNTIF($S$5:$S318,S318)</f>
      </c>
      <c r="K318" s="26">
        <f t="shared" si="77"/>
      </c>
      <c r="L318" s="26">
        <f>IFERROR(IF(P318=0,0,MAX($L$4:L317)+1),0)</f>
      </c>
      <c r="M318" s="5">
        <f t="shared" si="89"/>
      </c>
      <c r="N318" s="5">
        <f t="shared" si="90"/>
      </c>
      <c r="P318" s="86">
        <f t="shared" si="78"/>
      </c>
      <c r="Q318" s="86">
        <f t="shared" si="79"/>
      </c>
      <c r="R318" s="86">
        <f t="shared" si="80"/>
      </c>
      <c r="S318" s="86">
        <f t="shared" si="81"/>
      </c>
      <c r="T318" s="86">
        <f t="shared" si="91"/>
        <v/>
      </c>
      <c r="U318" s="86">
        <f t="shared" si="92"/>
        <v/>
      </c>
      <c r="V318" s="86">
        <f t="shared" si="93"/>
        <v/>
      </c>
      <c r="W318" s="87">
        <f t="shared" si="82"/>
      </c>
      <c r="X318" s="88"/>
      <c r="Y318" s="88"/>
      <c r="Z318" s="88"/>
      <c r="AA318" s="88"/>
      <c r="AB318" s="88"/>
      <c r="AD318" s="86">
        <f t="shared" si="83"/>
      </c>
      <c r="AE318" s="86">
        <f t="shared" si="84"/>
      </c>
      <c r="AG318" s="86">
        <f t="shared" si="85"/>
      </c>
      <c r="AH318" s="86">
        <f t="shared" si="86"/>
      </c>
      <c r="AI318" s="86">
        <f t="shared" si="87"/>
      </c>
    </row>
    <row r="319" spans="6:35" x14ac:dyDescent="0.3">
      <c r="F319" s="26">
        <f>IF(G319=1,MAX($F$4:F318)+1,"")</f>
        <v/>
      </c>
      <c r="G319" s="26">
        <f>COUNTIF($H$5:H319,H319)</f>
      </c>
      <c r="H319" s="26">
        <f t="shared" si="88"/>
      </c>
      <c r="I319" s="26">
        <f>COUNTIF($J$4:$J319,1)</f>
      </c>
      <c r="J319" s="26">
        <f>COUNTIF($S$5:$S319,S319)</f>
      </c>
      <c r="K319" s="26">
        <f t="shared" si="77"/>
      </c>
      <c r="L319" s="26">
        <f>IFERROR(IF(P319=0,0,MAX($L$4:L318)+1),0)</f>
      </c>
      <c r="M319" s="5">
        <f t="shared" si="89"/>
      </c>
      <c r="N319" s="5">
        <f t="shared" si="90"/>
      </c>
      <c r="P319" s="86">
        <f t="shared" si="78"/>
      </c>
      <c r="Q319" s="86">
        <f t="shared" si="79"/>
      </c>
      <c r="R319" s="86">
        <f t="shared" si="80"/>
      </c>
      <c r="S319" s="86">
        <f t="shared" si="81"/>
      </c>
      <c r="T319" s="86">
        <f t="shared" si="91"/>
        <v/>
      </c>
      <c r="U319" s="86">
        <f t="shared" si="92"/>
        <v/>
      </c>
      <c r="V319" s="86">
        <f t="shared" si="93"/>
        <v/>
      </c>
      <c r="W319" s="87">
        <f t="shared" si="82"/>
      </c>
      <c r="X319" s="88"/>
      <c r="Y319" s="88"/>
      <c r="Z319" s="88"/>
      <c r="AA319" s="88"/>
      <c r="AB319" s="88"/>
      <c r="AD319" s="86">
        <f t="shared" si="83"/>
      </c>
      <c r="AE319" s="86">
        <f t="shared" si="84"/>
      </c>
      <c r="AG319" s="86">
        <f t="shared" si="85"/>
      </c>
      <c r="AH319" s="86">
        <f t="shared" si="86"/>
      </c>
      <c r="AI319" s="86">
        <f t="shared" si="87"/>
      </c>
    </row>
    <row r="320" spans="6:35" x14ac:dyDescent="0.3">
      <c r="F320" s="26">
        <f>IF(G320=1,MAX($F$4:F319)+1,"")</f>
        <v/>
      </c>
      <c r="G320" s="26">
        <f>COUNTIF($H$5:H320,H320)</f>
      </c>
      <c r="H320" s="26">
        <f t="shared" si="88"/>
      </c>
      <c r="I320" s="26">
        <f>COUNTIF($J$4:$J320,1)</f>
      </c>
      <c r="J320" s="26">
        <f>COUNTIF($S$5:$S320,S320)</f>
      </c>
      <c r="K320" s="26">
        <f t="shared" si="77"/>
      </c>
      <c r="L320" s="26">
        <f>IFERROR(IF(P320=0,0,MAX($L$4:L319)+1),0)</f>
      </c>
      <c r="M320" s="5">
        <f t="shared" si="89"/>
      </c>
      <c r="N320" s="5">
        <f t="shared" si="90"/>
      </c>
      <c r="P320" s="86">
        <f t="shared" si="78"/>
      </c>
      <c r="Q320" s="86">
        <f t="shared" si="79"/>
      </c>
      <c r="R320" s="86">
        <f t="shared" si="80"/>
      </c>
      <c r="S320" s="86">
        <f t="shared" si="81"/>
      </c>
      <c r="T320" s="86">
        <f t="shared" si="91"/>
        <v/>
      </c>
      <c r="U320" s="86">
        <f t="shared" si="92"/>
        <v/>
      </c>
      <c r="V320" s="86">
        <f t="shared" si="93"/>
        <v/>
      </c>
      <c r="W320" s="87">
        <f t="shared" si="82"/>
      </c>
      <c r="X320" s="88"/>
      <c r="Y320" s="88"/>
      <c r="Z320" s="88"/>
      <c r="AA320" s="88"/>
      <c r="AB320" s="88"/>
      <c r="AD320" s="86">
        <f t="shared" si="83"/>
      </c>
      <c r="AE320" s="86">
        <f t="shared" si="84"/>
      </c>
      <c r="AG320" s="86">
        <f t="shared" si="85"/>
      </c>
      <c r="AH320" s="86">
        <f t="shared" si="86"/>
      </c>
      <c r="AI320" s="86">
        <f t="shared" si="87"/>
      </c>
    </row>
    <row r="321" spans="6:35" x14ac:dyDescent="0.3">
      <c r="F321" s="26">
        <f>IF(G321=1,MAX($F$4:F320)+1,"")</f>
        <v/>
      </c>
      <c r="G321" s="26">
        <f>COUNTIF($H$5:H321,H321)</f>
      </c>
      <c r="H321" s="26">
        <f t="shared" si="88"/>
      </c>
      <c r="I321" s="26">
        <f>COUNTIF($J$4:$J321,1)</f>
      </c>
      <c r="J321" s="26">
        <f>COUNTIF($S$5:$S321,S321)</f>
      </c>
      <c r="K321" s="26">
        <f t="shared" si="77"/>
      </c>
      <c r="L321" s="26">
        <f>IFERROR(IF(P321=0,0,MAX($L$4:L320)+1),0)</f>
      </c>
      <c r="M321" s="5">
        <f t="shared" si="89"/>
      </c>
      <c r="N321" s="5">
        <f t="shared" si="90"/>
      </c>
      <c r="P321" s="86">
        <f t="shared" si="78"/>
      </c>
      <c r="Q321" s="86">
        <f t="shared" si="79"/>
      </c>
      <c r="R321" s="86">
        <f t="shared" si="80"/>
      </c>
      <c r="S321" s="86">
        <f t="shared" si="81"/>
      </c>
      <c r="T321" s="86">
        <f t="shared" si="91"/>
        <v/>
      </c>
      <c r="U321" s="86">
        <f t="shared" si="92"/>
        <v/>
      </c>
      <c r="V321" s="86">
        <f t="shared" si="93"/>
        <v/>
      </c>
      <c r="W321" s="87">
        <f t="shared" si="82"/>
      </c>
      <c r="X321" s="88"/>
      <c r="Y321" s="88"/>
      <c r="Z321" s="88"/>
      <c r="AA321" s="88"/>
      <c r="AB321" s="88"/>
      <c r="AD321" s="86">
        <f t="shared" si="83"/>
      </c>
      <c r="AE321" s="86">
        <f t="shared" si="84"/>
      </c>
      <c r="AG321" s="86">
        <f t="shared" si="85"/>
      </c>
      <c r="AH321" s="86">
        <f t="shared" si="86"/>
      </c>
      <c r="AI321" s="86">
        <f t="shared" si="87"/>
      </c>
    </row>
    <row r="322" spans="6:35" x14ac:dyDescent="0.3">
      <c r="F322" s="26">
        <f>IF(G322=1,MAX($F$4:F321)+1,"")</f>
        <v/>
      </c>
      <c r="G322" s="26">
        <f>COUNTIF($H$5:H322,H322)</f>
      </c>
      <c r="H322" s="26">
        <f t="shared" si="88"/>
      </c>
      <c r="I322" s="26">
        <f>COUNTIF($J$4:$J322,1)</f>
      </c>
      <c r="J322" s="26">
        <f>COUNTIF($S$5:$S322,S322)</f>
      </c>
      <c r="K322" s="26">
        <f t="shared" si="77"/>
      </c>
      <c r="L322" s="26">
        <f>IFERROR(IF(P322=0,0,MAX($L$4:L321)+1),0)</f>
      </c>
      <c r="M322" s="5">
        <f t="shared" si="89"/>
      </c>
      <c r="N322" s="5">
        <f t="shared" si="90"/>
      </c>
      <c r="P322" s="86">
        <f t="shared" si="78"/>
      </c>
      <c r="Q322" s="86">
        <f t="shared" si="79"/>
      </c>
      <c r="R322" s="86">
        <f t="shared" si="80"/>
      </c>
      <c r="S322" s="86">
        <f t="shared" si="81"/>
      </c>
      <c r="T322" s="86">
        <f t="shared" si="91"/>
        <v/>
      </c>
      <c r="U322" s="86">
        <f t="shared" si="92"/>
        <v/>
      </c>
      <c r="V322" s="86">
        <f t="shared" si="93"/>
        <v/>
      </c>
      <c r="W322" s="87">
        <f t="shared" si="82"/>
      </c>
      <c r="X322" s="88"/>
      <c r="Y322" s="88"/>
      <c r="Z322" s="88"/>
      <c r="AA322" s="88"/>
      <c r="AB322" s="88"/>
      <c r="AD322" s="86">
        <f t="shared" si="83"/>
      </c>
      <c r="AE322" s="86">
        <f t="shared" si="84"/>
      </c>
      <c r="AG322" s="86">
        <f t="shared" si="85"/>
      </c>
      <c r="AH322" s="86">
        <f t="shared" si="86"/>
      </c>
      <c r="AI322" s="86">
        <f t="shared" si="87"/>
      </c>
    </row>
    <row r="323" spans="6:35" x14ac:dyDescent="0.3">
      <c r="F323" s="26">
        <f>IF(G323=1,MAX($F$4:F322)+1,"")</f>
        <v/>
      </c>
      <c r="G323" s="26">
        <f>COUNTIF($H$5:H323,H323)</f>
      </c>
      <c r="H323" s="26">
        <f t="shared" si="88"/>
      </c>
      <c r="I323" s="26">
        <f>COUNTIF($J$4:$J323,1)</f>
      </c>
      <c r="J323" s="26">
        <f>COUNTIF($S$5:$S323,S323)</f>
      </c>
      <c r="K323" s="26">
        <f t="shared" si="77"/>
      </c>
      <c r="L323" s="26">
        <f>IFERROR(IF(P323=0,0,MAX($L$4:L322)+1),0)</f>
      </c>
      <c r="M323" s="5">
        <f t="shared" si="89"/>
      </c>
      <c r="N323" s="5">
        <f t="shared" si="90"/>
      </c>
      <c r="P323" s="86">
        <f t="shared" si="78"/>
      </c>
      <c r="Q323" s="86">
        <f t="shared" si="79"/>
      </c>
      <c r="R323" s="86">
        <f t="shared" si="80"/>
      </c>
      <c r="S323" s="86">
        <f t="shared" si="81"/>
      </c>
      <c r="T323" s="86">
        <f t="shared" si="91"/>
        <v/>
      </c>
      <c r="U323" s="86">
        <f t="shared" si="92"/>
        <v/>
      </c>
      <c r="V323" s="86">
        <f t="shared" si="93"/>
        <v/>
      </c>
      <c r="W323" s="87">
        <f t="shared" si="82"/>
      </c>
      <c r="X323" s="88"/>
      <c r="Y323" s="88"/>
      <c r="Z323" s="88"/>
      <c r="AA323" s="88"/>
      <c r="AB323" s="88"/>
      <c r="AD323" s="86">
        <f t="shared" si="83"/>
      </c>
      <c r="AE323" s="86">
        <f t="shared" si="84"/>
      </c>
      <c r="AG323" s="86">
        <f t="shared" si="85"/>
      </c>
      <c r="AH323" s="86">
        <f t="shared" si="86"/>
      </c>
      <c r="AI323" s="86">
        <f t="shared" si="87"/>
      </c>
    </row>
    <row r="324" spans="6:35" x14ac:dyDescent="0.3">
      <c r="F324" s="26">
        <f>IF(G324=1,MAX($F$4:F323)+1,"")</f>
        <v/>
      </c>
      <c r="G324" s="26">
        <f>COUNTIF($H$5:H324,H324)</f>
      </c>
      <c r="H324" s="26">
        <f t="shared" si="88"/>
      </c>
      <c r="I324" s="26">
        <f>COUNTIF($J$4:$J324,1)</f>
      </c>
      <c r="J324" s="26">
        <f>COUNTIF($S$5:$S324,S324)</f>
      </c>
      <c r="K324" s="26">
        <f t="shared" si="77"/>
      </c>
      <c r="L324" s="26">
        <f>IFERROR(IF(P324=0,0,MAX($L$4:L323)+1),0)</f>
      </c>
      <c r="M324" s="5">
        <f t="shared" si="89"/>
      </c>
      <c r="N324" s="5">
        <f t="shared" si="90"/>
      </c>
      <c r="P324" s="86">
        <f t="shared" si="78"/>
      </c>
      <c r="Q324" s="86">
        <f t="shared" si="79"/>
      </c>
      <c r="R324" s="86">
        <f t="shared" si="80"/>
      </c>
      <c r="S324" s="86">
        <f t="shared" si="81"/>
      </c>
      <c r="T324" s="86">
        <f t="shared" si="91"/>
        <v/>
      </c>
      <c r="U324" s="86">
        <f t="shared" si="92"/>
        <v/>
      </c>
      <c r="V324" s="86">
        <f t="shared" si="93"/>
        <v/>
      </c>
      <c r="W324" s="87">
        <f t="shared" si="82"/>
      </c>
      <c r="X324" s="88"/>
      <c r="Y324" s="88"/>
      <c r="Z324" s="88"/>
      <c r="AA324" s="88"/>
      <c r="AB324" s="88"/>
      <c r="AD324" s="86">
        <f t="shared" si="83"/>
      </c>
      <c r="AE324" s="86">
        <f t="shared" si="84"/>
      </c>
      <c r="AG324" s="86">
        <f t="shared" si="85"/>
      </c>
      <c r="AH324" s="86">
        <f t="shared" si="86"/>
      </c>
      <c r="AI324" s="86">
        <f t="shared" si="87"/>
      </c>
    </row>
    <row r="325" spans="6:35" x14ac:dyDescent="0.3">
      <c r="F325" s="26">
        <f>IF(G325=1,MAX($F$4:F324)+1,"")</f>
        <v/>
      </c>
      <c r="G325" s="26">
        <f>COUNTIF($H$5:H325,H325)</f>
      </c>
      <c r="H325" s="26">
        <f t="shared" si="88"/>
      </c>
      <c r="I325" s="26">
        <f>COUNTIF($J$4:$J325,1)</f>
      </c>
      <c r="J325" s="26">
        <f>COUNTIF($S$5:$S325,S325)</f>
      </c>
      <c r="K325" s="26">
        <f t="shared" ref="K325:K388" si="94">VLOOKUP(P325,Исходные_данные,19,FALSE)</f>
      </c>
      <c r="L325" s="26">
        <f>IFERROR(IF(P325=0,0,MAX($L$4:L324)+1),0)</f>
      </c>
      <c r="M325" s="5">
        <f t="shared" si="89"/>
      </c>
      <c r="N325" s="5">
        <f t="shared" si="90"/>
      </c>
      <c r="P325" s="86">
        <f t="shared" ref="P325:P388" si="95">VLOOKUP(ROW(321:321),Разбивка_нумерация_5,4,FALSE)</f>
      </c>
      <c r="Q325" s="86">
        <f t="shared" ref="Q325:Q388" si="96">IF(VLOOKUP(ROW(321:321),Разбивка_нумерация_5,3,FALSE)=0,VLOOKUP(ROW(321:321),Разбивка_нумерация_5,2,FALSE),VLOOKUP(ROW(321:321),Разбивка_нумерация_5,3,FALSE))</f>
      </c>
      <c r="R325" s="86">
        <f t="shared" ref="R325:R388" si="97">VLOOKUP(ROW(321:321),Разбивка_нумерация_5,6,FALSE)</f>
      </c>
      <c r="S325" s="86">
        <f t="shared" ref="S325:S388" si="98">VLOOKUP(ROW(321:321),Разбивка_нумерация_5,17,FALSE)</f>
      </c>
      <c r="T325" s="86">
        <f t="shared" si="91"/>
        <v/>
      </c>
      <c r="U325" s="86">
        <f t="shared" si="92"/>
        <v/>
      </c>
      <c r="V325" s="86">
        <f t="shared" si="93"/>
        <v/>
      </c>
      <c r="W325" s="87">
        <f t="shared" ref="W325:W388" si="99">VLOOKUP(P325,Исходные_данные,13,FALSE)</f>
      </c>
      <c r="X325" s="88"/>
      <c r="Y325" s="88"/>
      <c r="Z325" s="88"/>
      <c r="AA325" s="88"/>
      <c r="AB325" s="88"/>
      <c r="AD325" s="86">
        <f t="shared" ref="AD325:AD388" si="100">VLOOKUP(S325,Кабель_диаметр,4,FALSE)</f>
      </c>
      <c r="AE325" s="86">
        <f t="shared" ref="AE325:AE388" si="101">VLOOKUP(S325,Кабель_диаметр,5,FALSE)</f>
      </c>
      <c r="AG325" s="86">
        <f t="shared" ref="AG325:AG388" si="102">IFERROR(VLOOKUP(P325,Исходные_данные,10,FALSE),0)</f>
      </c>
      <c r="AH325" s="86">
        <f t="shared" ref="AH325:AH388" si="103">IFERROR(VLOOKUP(P325,Исходные_данные,11,FALSE),0)</f>
      </c>
      <c r="AI325" s="86">
        <f t="shared" ref="AI325:AI388" si="104">IFERROR(VLOOKUP(P325,Исходные_данные,12,FALSE),0)</f>
      </c>
    </row>
    <row r="326" spans="6:35" x14ac:dyDescent="0.3">
      <c r="F326" s="26">
        <f>IF(G326=1,MAX($F$4:F325)+1,"")</f>
        <v/>
      </c>
      <c r="G326" s="26">
        <f>COUNTIF($H$5:H326,H326)</f>
      </c>
      <c r="H326" s="26">
        <f t="shared" ref="H326:H389" si="105">S326&amp;" "&amp;K326</f>
      </c>
      <c r="I326" s="26">
        <f>COUNTIF($J$4:$J326,1)</f>
      </c>
      <c r="J326" s="26">
        <f>COUNTIF($S$5:$S326,S326)</f>
      </c>
      <c r="K326" s="26">
        <f t="shared" si="94"/>
      </c>
      <c r="L326" s="26">
        <f>IFERROR(IF(P326=0,0,MAX($L$4:L325)+1),0)</f>
      </c>
      <c r="M326" s="5">
        <f t="shared" ref="M326:M389" si="106">LEFT(P326,SEARCH(".",P326)-1)</f>
      </c>
      <c r="N326" s="5">
        <f t="shared" ref="N326:N389" si="107">LEFT(RIGHT(P326,LEN(P326)-LEN(M326)-1),SEARCH(".",P326)-1)</f>
      </c>
      <c r="P326" s="86">
        <f t="shared" si="95"/>
      </c>
      <c r="Q326" s="86">
        <f t="shared" si="96"/>
      </c>
      <c r="R326" s="86">
        <f t="shared" si="97"/>
      </c>
      <c r="S326" s="86">
        <f t="shared" si="98"/>
      </c>
      <c r="T326" s="86">
        <f t="shared" ref="T326:T389" si="108">IF(AG326=0,"","L="&amp;AG326)</f>
        <v/>
      </c>
      <c r="U326" s="86">
        <f t="shared" ref="U326:U389" si="109">IF(AH326=0,"",AD326&amp;" L="&amp;AH326)</f>
        <v/>
      </c>
      <c r="V326" s="86">
        <f t="shared" ref="V326:V389" si="110">IF(AI326=0,"",AE326&amp;" L="&amp;AI326)</f>
        <v/>
      </c>
      <c r="W326" s="87">
        <f t="shared" si="99"/>
      </c>
      <c r="X326" s="88"/>
      <c r="Y326" s="88"/>
      <c r="Z326" s="88"/>
      <c r="AA326" s="88"/>
      <c r="AB326" s="88"/>
      <c r="AD326" s="86">
        <f t="shared" si="100"/>
      </c>
      <c r="AE326" s="86">
        <f t="shared" si="101"/>
      </c>
      <c r="AG326" s="86">
        <f t="shared" si="102"/>
      </c>
      <c r="AH326" s="86">
        <f t="shared" si="103"/>
      </c>
      <c r="AI326" s="86">
        <f t="shared" si="104"/>
      </c>
    </row>
    <row r="327" spans="6:35" x14ac:dyDescent="0.3">
      <c r="F327" s="26">
        <f>IF(G327=1,MAX($F$4:F326)+1,"")</f>
        <v/>
      </c>
      <c r="G327" s="26">
        <f>COUNTIF($H$5:H327,H327)</f>
      </c>
      <c r="H327" s="26">
        <f t="shared" si="105"/>
      </c>
      <c r="I327" s="26">
        <f>COUNTIF($J$4:$J327,1)</f>
      </c>
      <c r="J327" s="26">
        <f>COUNTIF($S$5:$S327,S327)</f>
      </c>
      <c r="K327" s="26">
        <f t="shared" si="94"/>
      </c>
      <c r="L327" s="26">
        <f>IFERROR(IF(P327=0,0,MAX($L$4:L326)+1),0)</f>
      </c>
      <c r="M327" s="5">
        <f t="shared" si="106"/>
      </c>
      <c r="N327" s="5">
        <f t="shared" si="107"/>
      </c>
      <c r="P327" s="86">
        <f t="shared" si="95"/>
      </c>
      <c r="Q327" s="86">
        <f t="shared" si="96"/>
      </c>
      <c r="R327" s="86">
        <f t="shared" si="97"/>
      </c>
      <c r="S327" s="86">
        <f t="shared" si="98"/>
      </c>
      <c r="T327" s="86">
        <f t="shared" si="108"/>
        <v/>
      </c>
      <c r="U327" s="86">
        <f t="shared" si="109"/>
        <v/>
      </c>
      <c r="V327" s="86">
        <f t="shared" si="110"/>
        <v/>
      </c>
      <c r="W327" s="87">
        <f t="shared" si="99"/>
      </c>
      <c r="X327" s="88"/>
      <c r="Y327" s="88"/>
      <c r="Z327" s="88"/>
      <c r="AA327" s="88"/>
      <c r="AB327" s="88"/>
      <c r="AD327" s="86">
        <f t="shared" si="100"/>
      </c>
      <c r="AE327" s="86">
        <f t="shared" si="101"/>
      </c>
      <c r="AG327" s="86">
        <f t="shared" si="102"/>
      </c>
      <c r="AH327" s="86">
        <f t="shared" si="103"/>
      </c>
      <c r="AI327" s="86">
        <f t="shared" si="104"/>
      </c>
    </row>
    <row r="328" spans="6:35" x14ac:dyDescent="0.3">
      <c r="F328" s="26">
        <f>IF(G328=1,MAX($F$4:F327)+1,"")</f>
        <v/>
      </c>
      <c r="G328" s="26">
        <f>COUNTIF($H$5:H328,H328)</f>
      </c>
      <c r="H328" s="26">
        <f t="shared" si="105"/>
      </c>
      <c r="I328" s="26">
        <f>COUNTIF($J$4:$J328,1)</f>
      </c>
      <c r="J328" s="26">
        <f>COUNTIF($S$5:$S328,S328)</f>
      </c>
      <c r="K328" s="26">
        <f t="shared" si="94"/>
      </c>
      <c r="L328" s="26">
        <f>IFERROR(IF(P328=0,0,MAX($L$4:L327)+1),0)</f>
      </c>
      <c r="M328" s="5">
        <f t="shared" si="106"/>
      </c>
      <c r="N328" s="5">
        <f t="shared" si="107"/>
      </c>
      <c r="P328" s="86">
        <f t="shared" si="95"/>
      </c>
      <c r="Q328" s="86">
        <f t="shared" si="96"/>
      </c>
      <c r="R328" s="86">
        <f t="shared" si="97"/>
      </c>
      <c r="S328" s="86">
        <f t="shared" si="98"/>
      </c>
      <c r="T328" s="86">
        <f t="shared" si="108"/>
        <v/>
      </c>
      <c r="U328" s="86">
        <f t="shared" si="109"/>
        <v/>
      </c>
      <c r="V328" s="86">
        <f t="shared" si="110"/>
        <v/>
      </c>
      <c r="W328" s="87">
        <f t="shared" si="99"/>
      </c>
      <c r="X328" s="88"/>
      <c r="Y328" s="88"/>
      <c r="Z328" s="88"/>
      <c r="AA328" s="88"/>
      <c r="AB328" s="88"/>
      <c r="AD328" s="86">
        <f t="shared" si="100"/>
      </c>
      <c r="AE328" s="86">
        <f t="shared" si="101"/>
      </c>
      <c r="AG328" s="86">
        <f t="shared" si="102"/>
      </c>
      <c r="AH328" s="86">
        <f t="shared" si="103"/>
      </c>
      <c r="AI328" s="86">
        <f t="shared" si="104"/>
      </c>
    </row>
    <row r="329" spans="6:35" x14ac:dyDescent="0.3">
      <c r="F329" s="26">
        <f>IF(G329=1,MAX($F$4:F328)+1,"")</f>
        <v/>
      </c>
      <c r="G329" s="26">
        <f>COUNTIF($H$5:H329,H329)</f>
      </c>
      <c r="H329" s="26">
        <f t="shared" si="105"/>
      </c>
      <c r="I329" s="26">
        <f>COUNTIF($J$4:$J329,1)</f>
      </c>
      <c r="J329" s="26">
        <f>COUNTIF($S$5:$S329,S329)</f>
      </c>
      <c r="K329" s="26">
        <f t="shared" si="94"/>
      </c>
      <c r="L329" s="26">
        <f>IFERROR(IF(P329=0,0,MAX($L$4:L328)+1),0)</f>
      </c>
      <c r="M329" s="5">
        <f t="shared" si="106"/>
      </c>
      <c r="N329" s="5">
        <f t="shared" si="107"/>
      </c>
      <c r="P329" s="86">
        <f t="shared" si="95"/>
      </c>
      <c r="Q329" s="86">
        <f t="shared" si="96"/>
      </c>
      <c r="R329" s="86">
        <f t="shared" si="97"/>
      </c>
      <c r="S329" s="86">
        <f t="shared" si="98"/>
      </c>
      <c r="T329" s="86">
        <f t="shared" si="108"/>
        <v/>
      </c>
      <c r="U329" s="86">
        <f t="shared" si="109"/>
        <v/>
      </c>
      <c r="V329" s="86">
        <f t="shared" si="110"/>
        <v/>
      </c>
      <c r="W329" s="87">
        <f t="shared" si="99"/>
      </c>
      <c r="X329" s="88"/>
      <c r="Y329" s="88"/>
      <c r="Z329" s="88"/>
      <c r="AA329" s="88"/>
      <c r="AB329" s="88"/>
      <c r="AD329" s="86">
        <f t="shared" si="100"/>
      </c>
      <c r="AE329" s="86">
        <f t="shared" si="101"/>
      </c>
      <c r="AG329" s="86">
        <f t="shared" si="102"/>
      </c>
      <c r="AH329" s="86">
        <f t="shared" si="103"/>
      </c>
      <c r="AI329" s="86">
        <f t="shared" si="104"/>
      </c>
    </row>
    <row r="330" spans="6:35" x14ac:dyDescent="0.3">
      <c r="F330" s="26">
        <f>IF(G330=1,MAX($F$4:F329)+1,"")</f>
        <v/>
      </c>
      <c r="G330" s="26">
        <f>COUNTIF($H$5:H330,H330)</f>
      </c>
      <c r="H330" s="26">
        <f t="shared" si="105"/>
      </c>
      <c r="I330" s="26">
        <f>COUNTIF($J$4:$J330,1)</f>
      </c>
      <c r="J330" s="26">
        <f>COUNTIF($S$5:$S330,S330)</f>
      </c>
      <c r="K330" s="26">
        <f t="shared" si="94"/>
      </c>
      <c r="L330" s="26">
        <f>IFERROR(IF(P330=0,0,MAX($L$4:L329)+1),0)</f>
      </c>
      <c r="M330" s="5">
        <f t="shared" si="106"/>
      </c>
      <c r="N330" s="5">
        <f t="shared" si="107"/>
      </c>
      <c r="P330" s="86">
        <f t="shared" si="95"/>
      </c>
      <c r="Q330" s="86">
        <f t="shared" si="96"/>
      </c>
      <c r="R330" s="86">
        <f t="shared" si="97"/>
      </c>
      <c r="S330" s="86">
        <f t="shared" si="98"/>
      </c>
      <c r="T330" s="86">
        <f t="shared" si="108"/>
        <v/>
      </c>
      <c r="U330" s="86">
        <f t="shared" si="109"/>
        <v/>
      </c>
      <c r="V330" s="86">
        <f t="shared" si="110"/>
        <v/>
      </c>
      <c r="W330" s="87">
        <f t="shared" si="99"/>
      </c>
      <c r="X330" s="88"/>
      <c r="Y330" s="88"/>
      <c r="Z330" s="88"/>
      <c r="AA330" s="88"/>
      <c r="AB330" s="88"/>
      <c r="AD330" s="86">
        <f t="shared" si="100"/>
      </c>
      <c r="AE330" s="86">
        <f t="shared" si="101"/>
      </c>
      <c r="AG330" s="86">
        <f t="shared" si="102"/>
      </c>
      <c r="AH330" s="86">
        <f t="shared" si="103"/>
      </c>
      <c r="AI330" s="86">
        <f t="shared" si="104"/>
      </c>
    </row>
    <row r="331" spans="6:35" x14ac:dyDescent="0.3">
      <c r="F331" s="26">
        <f>IF(G331=1,MAX($F$4:F330)+1,"")</f>
        <v/>
      </c>
      <c r="G331" s="26">
        <f>COUNTIF($H$5:H331,H331)</f>
      </c>
      <c r="H331" s="26">
        <f t="shared" si="105"/>
      </c>
      <c r="I331" s="26">
        <f>COUNTIF($J$4:$J331,1)</f>
      </c>
      <c r="J331" s="26">
        <f>COUNTIF($S$5:$S331,S331)</f>
      </c>
      <c r="K331" s="26">
        <f t="shared" si="94"/>
      </c>
      <c r="L331" s="26">
        <f>IFERROR(IF(P331=0,0,MAX($L$4:L330)+1),0)</f>
      </c>
      <c r="M331" s="5">
        <f t="shared" si="106"/>
      </c>
      <c r="N331" s="5">
        <f t="shared" si="107"/>
      </c>
      <c r="P331" s="86">
        <f t="shared" si="95"/>
      </c>
      <c r="Q331" s="86">
        <f t="shared" si="96"/>
      </c>
      <c r="R331" s="86">
        <f t="shared" si="97"/>
      </c>
      <c r="S331" s="86">
        <f t="shared" si="98"/>
      </c>
      <c r="T331" s="86">
        <f t="shared" si="108"/>
        <v/>
      </c>
      <c r="U331" s="86">
        <f t="shared" si="109"/>
        <v/>
      </c>
      <c r="V331" s="86">
        <f t="shared" si="110"/>
        <v/>
      </c>
      <c r="W331" s="87">
        <f t="shared" si="99"/>
      </c>
      <c r="X331" s="88"/>
      <c r="Y331" s="88"/>
      <c r="Z331" s="88"/>
      <c r="AA331" s="88"/>
      <c r="AB331" s="88"/>
      <c r="AD331" s="86">
        <f t="shared" si="100"/>
      </c>
      <c r="AE331" s="86">
        <f t="shared" si="101"/>
      </c>
      <c r="AG331" s="86">
        <f t="shared" si="102"/>
      </c>
      <c r="AH331" s="86">
        <f t="shared" si="103"/>
      </c>
      <c r="AI331" s="86">
        <f t="shared" si="104"/>
      </c>
    </row>
    <row r="332" spans="6:35" x14ac:dyDescent="0.3">
      <c r="F332" s="26">
        <f>IF(G332=1,MAX($F$4:F331)+1,"")</f>
        <v/>
      </c>
      <c r="G332" s="26">
        <f>COUNTIF($H$5:H332,H332)</f>
      </c>
      <c r="H332" s="26">
        <f t="shared" si="105"/>
      </c>
      <c r="I332" s="26">
        <f>COUNTIF($J$4:$J332,1)</f>
      </c>
      <c r="J332" s="26">
        <f>COUNTIF($S$5:$S332,S332)</f>
      </c>
      <c r="K332" s="26">
        <f t="shared" si="94"/>
      </c>
      <c r="L332" s="26">
        <f>IFERROR(IF(P332=0,0,MAX($L$4:L331)+1),0)</f>
      </c>
      <c r="M332" s="5">
        <f t="shared" si="106"/>
      </c>
      <c r="N332" s="5">
        <f t="shared" si="107"/>
      </c>
      <c r="P332" s="86">
        <f t="shared" si="95"/>
      </c>
      <c r="Q332" s="86">
        <f t="shared" si="96"/>
      </c>
      <c r="R332" s="86">
        <f t="shared" si="97"/>
      </c>
      <c r="S332" s="86">
        <f t="shared" si="98"/>
      </c>
      <c r="T332" s="86">
        <f t="shared" si="108"/>
        <v/>
      </c>
      <c r="U332" s="86">
        <f t="shared" si="109"/>
        <v/>
      </c>
      <c r="V332" s="86">
        <f t="shared" si="110"/>
        <v/>
      </c>
      <c r="W332" s="87">
        <f t="shared" si="99"/>
      </c>
      <c r="X332" s="88"/>
      <c r="Y332" s="88"/>
      <c r="Z332" s="88"/>
      <c r="AA332" s="88"/>
      <c r="AB332" s="88"/>
      <c r="AD332" s="86">
        <f t="shared" si="100"/>
      </c>
      <c r="AE332" s="86">
        <f t="shared" si="101"/>
      </c>
      <c r="AG332" s="86">
        <f t="shared" si="102"/>
      </c>
      <c r="AH332" s="86">
        <f t="shared" si="103"/>
      </c>
      <c r="AI332" s="86">
        <f t="shared" si="104"/>
      </c>
    </row>
    <row r="333" spans="6:35" x14ac:dyDescent="0.3">
      <c r="F333" s="26">
        <f>IF(G333=1,MAX($F$4:F332)+1,"")</f>
        <v/>
      </c>
      <c r="G333" s="26">
        <f>COUNTIF($H$5:H333,H333)</f>
      </c>
      <c r="H333" s="26">
        <f t="shared" si="105"/>
      </c>
      <c r="I333" s="26">
        <f>COUNTIF($J$4:$J333,1)</f>
      </c>
      <c r="J333" s="26">
        <f>COUNTIF($S$5:$S333,S333)</f>
      </c>
      <c r="K333" s="26">
        <f t="shared" si="94"/>
      </c>
      <c r="L333" s="26">
        <f>IFERROR(IF(P333=0,0,MAX($L$4:L332)+1),0)</f>
      </c>
      <c r="M333" s="5">
        <f t="shared" si="106"/>
      </c>
      <c r="N333" s="5">
        <f t="shared" si="107"/>
      </c>
      <c r="P333" s="86">
        <f t="shared" si="95"/>
      </c>
      <c r="Q333" s="86">
        <f t="shared" si="96"/>
      </c>
      <c r="R333" s="86">
        <f t="shared" si="97"/>
      </c>
      <c r="S333" s="86">
        <f t="shared" si="98"/>
      </c>
      <c r="T333" s="86">
        <f t="shared" si="108"/>
        <v/>
      </c>
      <c r="U333" s="86">
        <f t="shared" si="109"/>
        <v/>
      </c>
      <c r="V333" s="86">
        <f t="shared" si="110"/>
        <v/>
      </c>
      <c r="W333" s="87">
        <f t="shared" si="99"/>
      </c>
      <c r="X333" s="88"/>
      <c r="Y333" s="88"/>
      <c r="Z333" s="88"/>
      <c r="AA333" s="88"/>
      <c r="AB333" s="88"/>
      <c r="AD333" s="86">
        <f t="shared" si="100"/>
      </c>
      <c r="AE333" s="86">
        <f t="shared" si="101"/>
      </c>
      <c r="AG333" s="86">
        <f t="shared" si="102"/>
      </c>
      <c r="AH333" s="86">
        <f t="shared" si="103"/>
      </c>
      <c r="AI333" s="86">
        <f t="shared" si="104"/>
      </c>
    </row>
    <row r="334" spans="6:35" x14ac:dyDescent="0.3">
      <c r="F334" s="26">
        <f>IF(G334=1,MAX($F$4:F333)+1,"")</f>
        <v/>
      </c>
      <c r="G334" s="26">
        <f>COUNTIF($H$5:H334,H334)</f>
      </c>
      <c r="H334" s="26">
        <f t="shared" si="105"/>
      </c>
      <c r="I334" s="26">
        <f>COUNTIF($J$4:$J334,1)</f>
      </c>
      <c r="J334" s="26">
        <f>COUNTIF($S$5:$S334,S334)</f>
      </c>
      <c r="K334" s="26">
        <f t="shared" si="94"/>
      </c>
      <c r="L334" s="26">
        <f>IFERROR(IF(P334=0,0,MAX($L$4:L333)+1),0)</f>
      </c>
      <c r="M334" s="5">
        <f t="shared" si="106"/>
      </c>
      <c r="N334" s="5">
        <f t="shared" si="107"/>
      </c>
      <c r="P334" s="86">
        <f t="shared" si="95"/>
      </c>
      <c r="Q334" s="86">
        <f t="shared" si="96"/>
      </c>
      <c r="R334" s="86">
        <f t="shared" si="97"/>
      </c>
      <c r="S334" s="86">
        <f t="shared" si="98"/>
      </c>
      <c r="T334" s="86">
        <f t="shared" si="108"/>
        <v/>
      </c>
      <c r="U334" s="86">
        <f t="shared" si="109"/>
        <v/>
      </c>
      <c r="V334" s="86">
        <f t="shared" si="110"/>
        <v/>
      </c>
      <c r="W334" s="87">
        <f t="shared" si="99"/>
      </c>
      <c r="X334" s="88"/>
      <c r="Y334" s="88"/>
      <c r="Z334" s="88"/>
      <c r="AA334" s="88"/>
      <c r="AB334" s="88"/>
      <c r="AD334" s="86">
        <f t="shared" si="100"/>
      </c>
      <c r="AE334" s="86">
        <f t="shared" si="101"/>
      </c>
      <c r="AG334" s="86">
        <f t="shared" si="102"/>
      </c>
      <c r="AH334" s="86">
        <f t="shared" si="103"/>
      </c>
      <c r="AI334" s="86">
        <f t="shared" si="104"/>
      </c>
    </row>
    <row r="335" spans="6:35" x14ac:dyDescent="0.3">
      <c r="F335" s="26">
        <f>IF(G335=1,MAX($F$4:F334)+1,"")</f>
        <v/>
      </c>
      <c r="G335" s="26">
        <f>COUNTIF($H$5:H335,H335)</f>
      </c>
      <c r="H335" s="26">
        <f t="shared" si="105"/>
      </c>
      <c r="I335" s="26">
        <f>COUNTIF($J$4:$J335,1)</f>
      </c>
      <c r="J335" s="26">
        <f>COUNTIF($S$5:$S335,S335)</f>
      </c>
      <c r="K335" s="26">
        <f t="shared" si="94"/>
      </c>
      <c r="L335" s="26">
        <f>IFERROR(IF(P335=0,0,MAX($L$4:L334)+1),0)</f>
      </c>
      <c r="M335" s="5">
        <f t="shared" si="106"/>
      </c>
      <c r="N335" s="5">
        <f t="shared" si="107"/>
      </c>
      <c r="P335" s="86">
        <f t="shared" si="95"/>
      </c>
      <c r="Q335" s="86">
        <f t="shared" si="96"/>
      </c>
      <c r="R335" s="86">
        <f t="shared" si="97"/>
      </c>
      <c r="S335" s="86">
        <f t="shared" si="98"/>
      </c>
      <c r="T335" s="86">
        <f t="shared" si="108"/>
        <v/>
      </c>
      <c r="U335" s="86">
        <f t="shared" si="109"/>
        <v/>
      </c>
      <c r="V335" s="86">
        <f t="shared" si="110"/>
        <v/>
      </c>
      <c r="W335" s="87">
        <f t="shared" si="99"/>
      </c>
      <c r="X335" s="88"/>
      <c r="Y335" s="88"/>
      <c r="Z335" s="88"/>
      <c r="AA335" s="88"/>
      <c r="AB335" s="88"/>
      <c r="AD335" s="86">
        <f t="shared" si="100"/>
      </c>
      <c r="AE335" s="86">
        <f t="shared" si="101"/>
      </c>
      <c r="AG335" s="86">
        <f t="shared" si="102"/>
      </c>
      <c r="AH335" s="86">
        <f t="shared" si="103"/>
      </c>
      <c r="AI335" s="86">
        <f t="shared" si="104"/>
      </c>
    </row>
    <row r="336" spans="6:35" x14ac:dyDescent="0.3">
      <c r="F336" s="26">
        <f>IF(G336=1,MAX($F$4:F335)+1,"")</f>
        <v/>
      </c>
      <c r="G336" s="26">
        <f>COUNTIF($H$5:H336,H336)</f>
      </c>
      <c r="H336" s="26">
        <f t="shared" si="105"/>
      </c>
      <c r="I336" s="26">
        <f>COUNTIF($J$4:$J336,1)</f>
      </c>
      <c r="J336" s="26">
        <f>COUNTIF($S$5:$S336,S336)</f>
      </c>
      <c r="K336" s="26">
        <f t="shared" si="94"/>
      </c>
      <c r="L336" s="26">
        <f>IFERROR(IF(P336=0,0,MAX($L$4:L335)+1),0)</f>
      </c>
      <c r="M336" s="5">
        <f t="shared" si="106"/>
      </c>
      <c r="N336" s="5">
        <f t="shared" si="107"/>
      </c>
      <c r="P336" s="86">
        <f t="shared" si="95"/>
      </c>
      <c r="Q336" s="86">
        <f t="shared" si="96"/>
      </c>
      <c r="R336" s="86">
        <f t="shared" si="97"/>
      </c>
      <c r="S336" s="86">
        <f t="shared" si="98"/>
      </c>
      <c r="T336" s="86">
        <f t="shared" si="108"/>
        <v/>
      </c>
      <c r="U336" s="86">
        <f t="shared" si="109"/>
        <v/>
      </c>
      <c r="V336" s="86">
        <f t="shared" si="110"/>
        <v/>
      </c>
      <c r="W336" s="87">
        <f t="shared" si="99"/>
      </c>
      <c r="X336" s="88"/>
      <c r="Y336" s="88"/>
      <c r="Z336" s="88"/>
      <c r="AA336" s="88"/>
      <c r="AB336" s="88"/>
      <c r="AD336" s="86">
        <f t="shared" si="100"/>
      </c>
      <c r="AE336" s="86">
        <f t="shared" si="101"/>
      </c>
      <c r="AG336" s="86">
        <f t="shared" si="102"/>
      </c>
      <c r="AH336" s="86">
        <f t="shared" si="103"/>
      </c>
      <c r="AI336" s="86">
        <f t="shared" si="104"/>
      </c>
    </row>
    <row r="337" spans="6:35" x14ac:dyDescent="0.3">
      <c r="F337" s="26">
        <f>IF(G337=1,MAX($F$4:F336)+1,"")</f>
        <v/>
      </c>
      <c r="G337" s="26">
        <f>COUNTIF($H$5:H337,H337)</f>
      </c>
      <c r="H337" s="26">
        <f t="shared" si="105"/>
      </c>
      <c r="I337" s="26">
        <f>COUNTIF($J$4:$J337,1)</f>
      </c>
      <c r="J337" s="26">
        <f>COUNTIF($S$5:$S337,S337)</f>
      </c>
      <c r="K337" s="26">
        <f t="shared" si="94"/>
      </c>
      <c r="L337" s="26">
        <f>IFERROR(IF(P337=0,0,MAX($L$4:L336)+1),0)</f>
      </c>
      <c r="M337" s="5">
        <f t="shared" si="106"/>
      </c>
      <c r="N337" s="5">
        <f t="shared" si="107"/>
      </c>
      <c r="P337" s="86">
        <f t="shared" si="95"/>
      </c>
      <c r="Q337" s="86">
        <f t="shared" si="96"/>
      </c>
      <c r="R337" s="86">
        <f t="shared" si="97"/>
      </c>
      <c r="S337" s="86">
        <f t="shared" si="98"/>
      </c>
      <c r="T337" s="86">
        <f t="shared" si="108"/>
        <v/>
      </c>
      <c r="U337" s="86">
        <f t="shared" si="109"/>
        <v/>
      </c>
      <c r="V337" s="86">
        <f t="shared" si="110"/>
        <v/>
      </c>
      <c r="W337" s="87">
        <f t="shared" si="99"/>
      </c>
      <c r="X337" s="88"/>
      <c r="Y337" s="88"/>
      <c r="Z337" s="88"/>
      <c r="AA337" s="88"/>
      <c r="AB337" s="88"/>
      <c r="AD337" s="86">
        <f t="shared" si="100"/>
      </c>
      <c r="AE337" s="86">
        <f t="shared" si="101"/>
      </c>
      <c r="AG337" s="86">
        <f t="shared" si="102"/>
      </c>
      <c r="AH337" s="86">
        <f t="shared" si="103"/>
      </c>
      <c r="AI337" s="86">
        <f t="shared" si="104"/>
      </c>
    </row>
    <row r="338" spans="6:35" x14ac:dyDescent="0.3">
      <c r="F338" s="26">
        <f>IF(G338=1,MAX($F$4:F337)+1,"")</f>
        <v/>
      </c>
      <c r="G338" s="26">
        <f>COUNTIF($H$5:H338,H338)</f>
      </c>
      <c r="H338" s="26">
        <f t="shared" si="105"/>
      </c>
      <c r="I338" s="26">
        <f>COUNTIF($J$4:$J338,1)</f>
      </c>
      <c r="J338" s="26">
        <f>COUNTIF($S$5:$S338,S338)</f>
      </c>
      <c r="K338" s="26">
        <f t="shared" si="94"/>
      </c>
      <c r="L338" s="26">
        <f>IFERROR(IF(P338=0,0,MAX($L$4:L337)+1),0)</f>
      </c>
      <c r="M338" s="5">
        <f t="shared" si="106"/>
      </c>
      <c r="N338" s="5">
        <f t="shared" si="107"/>
      </c>
      <c r="P338" s="86">
        <f t="shared" si="95"/>
      </c>
      <c r="Q338" s="86">
        <f t="shared" si="96"/>
      </c>
      <c r="R338" s="86">
        <f t="shared" si="97"/>
      </c>
      <c r="S338" s="86">
        <f t="shared" si="98"/>
      </c>
      <c r="T338" s="86">
        <f t="shared" si="108"/>
        <v/>
      </c>
      <c r="U338" s="86">
        <f t="shared" si="109"/>
        <v/>
      </c>
      <c r="V338" s="86">
        <f t="shared" si="110"/>
        <v/>
      </c>
      <c r="W338" s="87">
        <f t="shared" si="99"/>
      </c>
      <c r="X338" s="88"/>
      <c r="Y338" s="88"/>
      <c r="Z338" s="88"/>
      <c r="AA338" s="88"/>
      <c r="AB338" s="88"/>
      <c r="AD338" s="86">
        <f t="shared" si="100"/>
      </c>
      <c r="AE338" s="86">
        <f t="shared" si="101"/>
      </c>
      <c r="AG338" s="86">
        <f t="shared" si="102"/>
      </c>
      <c r="AH338" s="86">
        <f t="shared" si="103"/>
      </c>
      <c r="AI338" s="86">
        <f t="shared" si="104"/>
      </c>
    </row>
    <row r="339" spans="6:35" x14ac:dyDescent="0.3">
      <c r="F339" s="26">
        <f>IF(G339=1,MAX($F$4:F338)+1,"")</f>
        <v/>
      </c>
      <c r="G339" s="26">
        <f>COUNTIF($H$5:H339,H339)</f>
      </c>
      <c r="H339" s="26">
        <f t="shared" si="105"/>
      </c>
      <c r="I339" s="26">
        <f>COUNTIF($J$4:$J339,1)</f>
      </c>
      <c r="J339" s="26">
        <f>COUNTIF($S$5:$S339,S339)</f>
      </c>
      <c r="K339" s="26">
        <f t="shared" si="94"/>
      </c>
      <c r="L339" s="26">
        <f>IFERROR(IF(P339=0,0,MAX($L$4:L338)+1),0)</f>
      </c>
      <c r="M339" s="5">
        <f t="shared" si="106"/>
      </c>
      <c r="N339" s="5">
        <f t="shared" si="107"/>
      </c>
      <c r="P339" s="86">
        <f t="shared" si="95"/>
      </c>
      <c r="Q339" s="86">
        <f t="shared" si="96"/>
      </c>
      <c r="R339" s="86">
        <f t="shared" si="97"/>
      </c>
      <c r="S339" s="86">
        <f t="shared" si="98"/>
      </c>
      <c r="T339" s="86">
        <f t="shared" si="108"/>
        <v/>
      </c>
      <c r="U339" s="86">
        <f t="shared" si="109"/>
        <v/>
      </c>
      <c r="V339" s="86">
        <f t="shared" si="110"/>
        <v/>
      </c>
      <c r="W339" s="87">
        <f t="shared" si="99"/>
      </c>
      <c r="X339" s="88"/>
      <c r="Y339" s="88"/>
      <c r="Z339" s="88"/>
      <c r="AA339" s="88"/>
      <c r="AB339" s="88"/>
      <c r="AD339" s="86">
        <f t="shared" si="100"/>
      </c>
      <c r="AE339" s="86">
        <f t="shared" si="101"/>
      </c>
      <c r="AG339" s="86">
        <f t="shared" si="102"/>
      </c>
      <c r="AH339" s="86">
        <f t="shared" si="103"/>
      </c>
      <c r="AI339" s="86">
        <f t="shared" si="104"/>
      </c>
    </row>
    <row r="340" spans="6:35" x14ac:dyDescent="0.3">
      <c r="F340" s="26">
        <f>IF(G340=1,MAX($F$4:F339)+1,"")</f>
        <v/>
      </c>
      <c r="G340" s="26">
        <f>COUNTIF($H$5:H340,H340)</f>
      </c>
      <c r="H340" s="26">
        <f t="shared" si="105"/>
      </c>
      <c r="I340" s="26">
        <f>COUNTIF($J$4:$J340,1)</f>
      </c>
      <c r="J340" s="26">
        <f>COUNTIF($S$5:$S340,S340)</f>
      </c>
      <c r="K340" s="26">
        <f t="shared" si="94"/>
      </c>
      <c r="L340" s="26">
        <f>IFERROR(IF(P340=0,0,MAX($L$4:L339)+1),0)</f>
      </c>
      <c r="M340" s="5">
        <f t="shared" si="106"/>
      </c>
      <c r="N340" s="5">
        <f t="shared" si="107"/>
      </c>
      <c r="P340" s="86">
        <f t="shared" si="95"/>
      </c>
      <c r="Q340" s="86">
        <f t="shared" si="96"/>
      </c>
      <c r="R340" s="86">
        <f t="shared" si="97"/>
      </c>
      <c r="S340" s="86">
        <f t="shared" si="98"/>
      </c>
      <c r="T340" s="86">
        <f t="shared" si="108"/>
        <v/>
      </c>
      <c r="U340" s="86">
        <f t="shared" si="109"/>
        <v/>
      </c>
      <c r="V340" s="86">
        <f t="shared" si="110"/>
        <v/>
      </c>
      <c r="W340" s="87">
        <f t="shared" si="99"/>
      </c>
      <c r="X340" s="88"/>
      <c r="Y340" s="88"/>
      <c r="Z340" s="88"/>
      <c r="AA340" s="88"/>
      <c r="AB340" s="88"/>
      <c r="AD340" s="86">
        <f t="shared" si="100"/>
      </c>
      <c r="AE340" s="86">
        <f t="shared" si="101"/>
      </c>
      <c r="AG340" s="86">
        <f t="shared" si="102"/>
      </c>
      <c r="AH340" s="86">
        <f t="shared" si="103"/>
      </c>
      <c r="AI340" s="86">
        <f t="shared" si="104"/>
      </c>
    </row>
    <row r="341" spans="6:35" x14ac:dyDescent="0.3">
      <c r="F341" s="26">
        <f>IF(G341=1,MAX($F$4:F340)+1,"")</f>
        <v/>
      </c>
      <c r="G341" s="26">
        <f>COUNTIF($H$5:H341,H341)</f>
      </c>
      <c r="H341" s="26">
        <f t="shared" si="105"/>
      </c>
      <c r="I341" s="26">
        <f>COUNTIF($J$4:$J341,1)</f>
      </c>
      <c r="J341" s="26">
        <f>COUNTIF($S$5:$S341,S341)</f>
      </c>
      <c r="K341" s="26">
        <f t="shared" si="94"/>
      </c>
      <c r="L341" s="26">
        <f>IFERROR(IF(P341=0,0,MAX($L$4:L340)+1),0)</f>
      </c>
      <c r="M341" s="5">
        <f t="shared" si="106"/>
      </c>
      <c r="N341" s="5">
        <f t="shared" si="107"/>
      </c>
      <c r="P341" s="86">
        <f t="shared" si="95"/>
      </c>
      <c r="Q341" s="86">
        <f t="shared" si="96"/>
      </c>
      <c r="R341" s="86">
        <f t="shared" si="97"/>
      </c>
      <c r="S341" s="86">
        <f t="shared" si="98"/>
      </c>
      <c r="T341" s="86">
        <f t="shared" si="108"/>
        <v/>
      </c>
      <c r="U341" s="86">
        <f t="shared" si="109"/>
        <v/>
      </c>
      <c r="V341" s="86">
        <f t="shared" si="110"/>
        <v/>
      </c>
      <c r="W341" s="87">
        <f t="shared" si="99"/>
      </c>
      <c r="X341" s="88"/>
      <c r="Y341" s="88"/>
      <c r="Z341" s="88"/>
      <c r="AA341" s="88"/>
      <c r="AB341" s="88"/>
      <c r="AD341" s="86">
        <f t="shared" si="100"/>
      </c>
      <c r="AE341" s="86">
        <f t="shared" si="101"/>
      </c>
      <c r="AG341" s="86">
        <f t="shared" si="102"/>
      </c>
      <c r="AH341" s="86">
        <f t="shared" si="103"/>
      </c>
      <c r="AI341" s="86">
        <f t="shared" si="104"/>
      </c>
    </row>
    <row r="342" spans="6:35" x14ac:dyDescent="0.3">
      <c r="F342" s="26">
        <f>IF(G342=1,MAX($F$4:F341)+1,"")</f>
        <v/>
      </c>
      <c r="G342" s="26">
        <f>COUNTIF($H$5:H342,H342)</f>
      </c>
      <c r="H342" s="26">
        <f t="shared" si="105"/>
      </c>
      <c r="I342" s="26">
        <f>COUNTIF($J$4:$J342,1)</f>
      </c>
      <c r="J342" s="26">
        <f>COUNTIF($S$5:$S342,S342)</f>
      </c>
      <c r="K342" s="26">
        <f t="shared" si="94"/>
      </c>
      <c r="L342" s="26">
        <f>IFERROR(IF(P342=0,0,MAX($L$4:L341)+1),0)</f>
      </c>
      <c r="M342" s="5">
        <f t="shared" si="106"/>
      </c>
      <c r="N342" s="5">
        <f t="shared" si="107"/>
      </c>
      <c r="P342" s="86">
        <f t="shared" si="95"/>
      </c>
      <c r="Q342" s="86">
        <f t="shared" si="96"/>
      </c>
      <c r="R342" s="86">
        <f t="shared" si="97"/>
      </c>
      <c r="S342" s="86">
        <f t="shared" si="98"/>
      </c>
      <c r="T342" s="86">
        <f t="shared" si="108"/>
        <v/>
      </c>
      <c r="U342" s="86">
        <f t="shared" si="109"/>
        <v/>
      </c>
      <c r="V342" s="86">
        <f t="shared" si="110"/>
        <v/>
      </c>
      <c r="W342" s="87">
        <f t="shared" si="99"/>
      </c>
      <c r="X342" s="88"/>
      <c r="Y342" s="88"/>
      <c r="Z342" s="88"/>
      <c r="AA342" s="88"/>
      <c r="AB342" s="88"/>
      <c r="AD342" s="86">
        <f t="shared" si="100"/>
      </c>
      <c r="AE342" s="86">
        <f t="shared" si="101"/>
      </c>
      <c r="AG342" s="86">
        <f t="shared" si="102"/>
      </c>
      <c r="AH342" s="86">
        <f t="shared" si="103"/>
      </c>
      <c r="AI342" s="86">
        <f t="shared" si="104"/>
      </c>
    </row>
    <row r="343" spans="6:35" x14ac:dyDescent="0.3">
      <c r="F343" s="26">
        <f>IF(G343=1,MAX($F$4:F342)+1,"")</f>
        <v/>
      </c>
      <c r="G343" s="26">
        <f>COUNTIF($H$5:H343,H343)</f>
      </c>
      <c r="H343" s="26">
        <f t="shared" si="105"/>
      </c>
      <c r="I343" s="26">
        <f>COUNTIF($J$4:$J343,1)</f>
      </c>
      <c r="J343" s="26">
        <f>COUNTIF($S$5:$S343,S343)</f>
      </c>
      <c r="K343" s="26">
        <f t="shared" si="94"/>
      </c>
      <c r="L343" s="26">
        <f>IFERROR(IF(P343=0,0,MAX($L$4:L342)+1),0)</f>
      </c>
      <c r="M343" s="5">
        <f t="shared" si="106"/>
      </c>
      <c r="N343" s="5">
        <f t="shared" si="107"/>
      </c>
      <c r="P343" s="86">
        <f t="shared" si="95"/>
      </c>
      <c r="Q343" s="86">
        <f t="shared" si="96"/>
      </c>
      <c r="R343" s="86">
        <f t="shared" si="97"/>
      </c>
      <c r="S343" s="86">
        <f t="shared" si="98"/>
      </c>
      <c r="T343" s="86">
        <f t="shared" si="108"/>
        <v/>
      </c>
      <c r="U343" s="86">
        <f t="shared" si="109"/>
        <v/>
      </c>
      <c r="V343" s="86">
        <f t="shared" si="110"/>
        <v/>
      </c>
      <c r="W343" s="87">
        <f t="shared" si="99"/>
      </c>
      <c r="X343" s="88"/>
      <c r="Y343" s="88"/>
      <c r="Z343" s="88"/>
      <c r="AA343" s="88"/>
      <c r="AB343" s="88"/>
      <c r="AD343" s="86">
        <f t="shared" si="100"/>
      </c>
      <c r="AE343" s="86">
        <f t="shared" si="101"/>
      </c>
      <c r="AG343" s="86">
        <f t="shared" si="102"/>
      </c>
      <c r="AH343" s="86">
        <f t="shared" si="103"/>
      </c>
      <c r="AI343" s="86">
        <f t="shared" si="104"/>
      </c>
    </row>
    <row r="344" spans="6:35" x14ac:dyDescent="0.3">
      <c r="F344" s="26">
        <f>IF(G344=1,MAX($F$4:F343)+1,"")</f>
        <v/>
      </c>
      <c r="G344" s="26">
        <f>COUNTIF($H$5:H344,H344)</f>
      </c>
      <c r="H344" s="26">
        <f t="shared" si="105"/>
      </c>
      <c r="I344" s="26">
        <f>COUNTIF($J$4:$J344,1)</f>
      </c>
      <c r="J344" s="26">
        <f>COUNTIF($S$5:$S344,S344)</f>
      </c>
      <c r="K344" s="26">
        <f t="shared" si="94"/>
      </c>
      <c r="L344" s="26">
        <f>IFERROR(IF(P344=0,0,MAX($L$4:L343)+1),0)</f>
      </c>
      <c r="M344" s="5">
        <f t="shared" si="106"/>
      </c>
      <c r="N344" s="5">
        <f t="shared" si="107"/>
      </c>
      <c r="P344" s="86">
        <f t="shared" si="95"/>
      </c>
      <c r="Q344" s="86">
        <f t="shared" si="96"/>
      </c>
      <c r="R344" s="86">
        <f t="shared" si="97"/>
      </c>
      <c r="S344" s="86">
        <f t="shared" si="98"/>
      </c>
      <c r="T344" s="86">
        <f t="shared" si="108"/>
        <v/>
      </c>
      <c r="U344" s="86">
        <f t="shared" si="109"/>
        <v/>
      </c>
      <c r="V344" s="86">
        <f t="shared" si="110"/>
        <v/>
      </c>
      <c r="W344" s="87">
        <f t="shared" si="99"/>
      </c>
      <c r="X344" s="88"/>
      <c r="Y344" s="88"/>
      <c r="Z344" s="88"/>
      <c r="AA344" s="88"/>
      <c r="AB344" s="88"/>
      <c r="AD344" s="86">
        <f t="shared" si="100"/>
      </c>
      <c r="AE344" s="86">
        <f t="shared" si="101"/>
      </c>
      <c r="AG344" s="86">
        <f t="shared" si="102"/>
      </c>
      <c r="AH344" s="86">
        <f t="shared" si="103"/>
      </c>
      <c r="AI344" s="86">
        <f t="shared" si="104"/>
      </c>
    </row>
    <row r="345" spans="6:35" x14ac:dyDescent="0.3">
      <c r="F345" s="26">
        <f>IF(G345=1,MAX($F$4:F344)+1,"")</f>
        <v/>
      </c>
      <c r="G345" s="26">
        <f>COUNTIF($H$5:H345,H345)</f>
      </c>
      <c r="H345" s="26">
        <f t="shared" si="105"/>
      </c>
      <c r="I345" s="26">
        <f>COUNTIF($J$4:$J345,1)</f>
      </c>
      <c r="J345" s="26">
        <f>COUNTIF($S$5:$S345,S345)</f>
      </c>
      <c r="K345" s="26">
        <f t="shared" si="94"/>
      </c>
      <c r="L345" s="26">
        <f>IFERROR(IF(P345=0,0,MAX($L$4:L344)+1),0)</f>
      </c>
      <c r="M345" s="5">
        <f t="shared" si="106"/>
      </c>
      <c r="N345" s="5">
        <f t="shared" si="107"/>
      </c>
      <c r="P345" s="86">
        <f t="shared" si="95"/>
      </c>
      <c r="Q345" s="86">
        <f t="shared" si="96"/>
      </c>
      <c r="R345" s="86">
        <f t="shared" si="97"/>
      </c>
      <c r="S345" s="86">
        <f t="shared" si="98"/>
      </c>
      <c r="T345" s="86">
        <f t="shared" si="108"/>
        <v/>
      </c>
      <c r="U345" s="86">
        <f t="shared" si="109"/>
        <v/>
      </c>
      <c r="V345" s="86">
        <f t="shared" si="110"/>
        <v/>
      </c>
      <c r="W345" s="87">
        <f t="shared" si="99"/>
      </c>
      <c r="X345" s="88"/>
      <c r="Y345" s="88"/>
      <c r="Z345" s="88"/>
      <c r="AA345" s="88"/>
      <c r="AB345" s="88"/>
      <c r="AD345" s="86">
        <f t="shared" si="100"/>
      </c>
      <c r="AE345" s="86">
        <f t="shared" si="101"/>
      </c>
      <c r="AG345" s="86">
        <f t="shared" si="102"/>
      </c>
      <c r="AH345" s="86">
        <f t="shared" si="103"/>
      </c>
      <c r="AI345" s="86">
        <f t="shared" si="104"/>
      </c>
    </row>
    <row r="346" spans="6:35" x14ac:dyDescent="0.3">
      <c r="F346" s="26">
        <f>IF(G346=1,MAX($F$4:F345)+1,"")</f>
        <v/>
      </c>
      <c r="G346" s="26">
        <f>COUNTIF($H$5:H346,H346)</f>
      </c>
      <c r="H346" s="26">
        <f t="shared" si="105"/>
      </c>
      <c r="I346" s="26">
        <f>COUNTIF($J$4:$J346,1)</f>
      </c>
      <c r="J346" s="26">
        <f>COUNTIF($S$5:$S346,S346)</f>
      </c>
      <c r="K346" s="26">
        <f t="shared" si="94"/>
      </c>
      <c r="L346" s="26">
        <f>IFERROR(IF(P346=0,0,MAX($L$4:L345)+1),0)</f>
      </c>
      <c r="M346" s="5">
        <f t="shared" si="106"/>
      </c>
      <c r="N346" s="5">
        <f t="shared" si="107"/>
      </c>
      <c r="P346" s="86">
        <f t="shared" si="95"/>
      </c>
      <c r="Q346" s="86">
        <f t="shared" si="96"/>
      </c>
      <c r="R346" s="86">
        <f t="shared" si="97"/>
      </c>
      <c r="S346" s="86">
        <f t="shared" si="98"/>
      </c>
      <c r="T346" s="86">
        <f t="shared" si="108"/>
        <v/>
      </c>
      <c r="U346" s="86">
        <f t="shared" si="109"/>
        <v/>
      </c>
      <c r="V346" s="86">
        <f t="shared" si="110"/>
        <v/>
      </c>
      <c r="W346" s="87">
        <f t="shared" si="99"/>
      </c>
      <c r="X346" s="88"/>
      <c r="Y346" s="88"/>
      <c r="Z346" s="88"/>
      <c r="AA346" s="88"/>
      <c r="AB346" s="88"/>
      <c r="AD346" s="86">
        <f t="shared" si="100"/>
      </c>
      <c r="AE346" s="86">
        <f t="shared" si="101"/>
      </c>
      <c r="AG346" s="86">
        <f t="shared" si="102"/>
      </c>
      <c r="AH346" s="86">
        <f t="shared" si="103"/>
      </c>
      <c r="AI346" s="86">
        <f t="shared" si="104"/>
      </c>
    </row>
    <row r="347" spans="6:35" x14ac:dyDescent="0.3">
      <c r="F347" s="26">
        <f>IF(G347=1,MAX($F$4:F346)+1,"")</f>
        <v/>
      </c>
      <c r="G347" s="26">
        <f>COUNTIF($H$5:H347,H347)</f>
      </c>
      <c r="H347" s="26">
        <f t="shared" si="105"/>
      </c>
      <c r="I347" s="26">
        <f>COUNTIF($J$4:$J347,1)</f>
      </c>
      <c r="J347" s="26">
        <f>COUNTIF($S$5:$S347,S347)</f>
      </c>
      <c r="K347" s="26">
        <f t="shared" si="94"/>
      </c>
      <c r="L347" s="26">
        <f>IFERROR(IF(P347=0,0,MAX($L$4:L346)+1),0)</f>
      </c>
      <c r="M347" s="5">
        <f t="shared" si="106"/>
      </c>
      <c r="N347" s="5">
        <f t="shared" si="107"/>
      </c>
      <c r="P347" s="86">
        <f t="shared" si="95"/>
      </c>
      <c r="Q347" s="86">
        <f t="shared" si="96"/>
      </c>
      <c r="R347" s="86">
        <f t="shared" si="97"/>
      </c>
      <c r="S347" s="86">
        <f t="shared" si="98"/>
      </c>
      <c r="T347" s="86">
        <f t="shared" si="108"/>
        <v/>
      </c>
      <c r="U347" s="86">
        <f t="shared" si="109"/>
        <v/>
      </c>
      <c r="V347" s="86">
        <f t="shared" si="110"/>
        <v/>
      </c>
      <c r="W347" s="87">
        <f t="shared" si="99"/>
      </c>
      <c r="X347" s="88"/>
      <c r="Y347" s="88"/>
      <c r="Z347" s="88"/>
      <c r="AA347" s="88"/>
      <c r="AB347" s="88"/>
      <c r="AD347" s="86">
        <f t="shared" si="100"/>
      </c>
      <c r="AE347" s="86">
        <f t="shared" si="101"/>
      </c>
      <c r="AG347" s="86">
        <f t="shared" si="102"/>
      </c>
      <c r="AH347" s="86">
        <f t="shared" si="103"/>
      </c>
      <c r="AI347" s="86">
        <f t="shared" si="104"/>
      </c>
    </row>
    <row r="348" spans="6:35" x14ac:dyDescent="0.3">
      <c r="F348" s="26">
        <f>IF(G348=1,MAX($F$4:F347)+1,"")</f>
        <v/>
      </c>
      <c r="G348" s="26">
        <f>COUNTIF($H$5:H348,H348)</f>
      </c>
      <c r="H348" s="26">
        <f t="shared" si="105"/>
      </c>
      <c r="I348" s="26">
        <f>COUNTIF($J$4:$J348,1)</f>
      </c>
      <c r="J348" s="26">
        <f>COUNTIF($S$5:$S348,S348)</f>
      </c>
      <c r="K348" s="26">
        <f t="shared" si="94"/>
      </c>
      <c r="L348" s="26">
        <f>IFERROR(IF(P348=0,0,MAX($L$4:L347)+1),0)</f>
      </c>
      <c r="M348" s="5">
        <f t="shared" si="106"/>
      </c>
      <c r="N348" s="5">
        <f t="shared" si="107"/>
      </c>
      <c r="P348" s="86">
        <f t="shared" si="95"/>
      </c>
      <c r="Q348" s="86">
        <f t="shared" si="96"/>
      </c>
      <c r="R348" s="86">
        <f t="shared" si="97"/>
      </c>
      <c r="S348" s="86">
        <f t="shared" si="98"/>
      </c>
      <c r="T348" s="86">
        <f t="shared" si="108"/>
        <v/>
      </c>
      <c r="U348" s="86">
        <f t="shared" si="109"/>
        <v/>
      </c>
      <c r="V348" s="86">
        <f t="shared" si="110"/>
        <v/>
      </c>
      <c r="W348" s="87">
        <f t="shared" si="99"/>
      </c>
      <c r="X348" s="88"/>
      <c r="Y348" s="88"/>
      <c r="Z348" s="88"/>
      <c r="AA348" s="88"/>
      <c r="AB348" s="88"/>
      <c r="AD348" s="86">
        <f t="shared" si="100"/>
      </c>
      <c r="AE348" s="86">
        <f t="shared" si="101"/>
      </c>
      <c r="AG348" s="86">
        <f t="shared" si="102"/>
      </c>
      <c r="AH348" s="86">
        <f t="shared" si="103"/>
      </c>
      <c r="AI348" s="86">
        <f t="shared" si="104"/>
      </c>
    </row>
    <row r="349" spans="6:35" x14ac:dyDescent="0.3">
      <c r="F349" s="26">
        <f>IF(G349=1,MAX($F$4:F348)+1,"")</f>
        <v/>
      </c>
      <c r="G349" s="26">
        <f>COUNTIF($H$5:H349,H349)</f>
      </c>
      <c r="H349" s="26">
        <f t="shared" si="105"/>
      </c>
      <c r="I349" s="26">
        <f>COUNTIF($J$4:$J349,1)</f>
      </c>
      <c r="J349" s="26">
        <f>COUNTIF($S$5:$S349,S349)</f>
      </c>
      <c r="K349" s="26">
        <f t="shared" si="94"/>
      </c>
      <c r="L349" s="26">
        <f>IFERROR(IF(P349=0,0,MAX($L$4:L348)+1),0)</f>
      </c>
      <c r="M349" s="5">
        <f t="shared" si="106"/>
      </c>
      <c r="N349" s="5">
        <f t="shared" si="107"/>
      </c>
      <c r="P349" s="86">
        <f t="shared" si="95"/>
      </c>
      <c r="Q349" s="86">
        <f t="shared" si="96"/>
      </c>
      <c r="R349" s="86">
        <f t="shared" si="97"/>
      </c>
      <c r="S349" s="86">
        <f t="shared" si="98"/>
      </c>
      <c r="T349" s="86">
        <f t="shared" si="108"/>
        <v/>
      </c>
      <c r="U349" s="86">
        <f t="shared" si="109"/>
        <v/>
      </c>
      <c r="V349" s="86">
        <f t="shared" si="110"/>
        <v/>
      </c>
      <c r="W349" s="87">
        <f t="shared" si="99"/>
      </c>
      <c r="X349" s="88"/>
      <c r="Y349" s="88"/>
      <c r="Z349" s="88"/>
      <c r="AA349" s="88"/>
      <c r="AB349" s="88"/>
      <c r="AD349" s="86">
        <f t="shared" si="100"/>
      </c>
      <c r="AE349" s="86">
        <f t="shared" si="101"/>
      </c>
      <c r="AG349" s="86">
        <f t="shared" si="102"/>
      </c>
      <c r="AH349" s="86">
        <f t="shared" si="103"/>
      </c>
      <c r="AI349" s="86">
        <f t="shared" si="104"/>
      </c>
    </row>
    <row r="350" spans="6:35" x14ac:dyDescent="0.3">
      <c r="F350" s="26">
        <f>IF(G350=1,MAX($F$4:F349)+1,"")</f>
        <v/>
      </c>
      <c r="G350" s="26">
        <f>COUNTIF($H$5:H350,H350)</f>
      </c>
      <c r="H350" s="26">
        <f t="shared" si="105"/>
      </c>
      <c r="I350" s="26">
        <f>COUNTIF($J$4:$J350,1)</f>
      </c>
      <c r="J350" s="26">
        <f>COUNTIF($S$5:$S350,S350)</f>
      </c>
      <c r="K350" s="26">
        <f t="shared" si="94"/>
      </c>
      <c r="L350" s="26">
        <f>IFERROR(IF(P350=0,0,MAX($L$4:L349)+1),0)</f>
      </c>
      <c r="M350" s="5">
        <f t="shared" si="106"/>
      </c>
      <c r="N350" s="5">
        <f t="shared" si="107"/>
      </c>
      <c r="P350" s="86">
        <f t="shared" si="95"/>
      </c>
      <c r="Q350" s="86">
        <f t="shared" si="96"/>
      </c>
      <c r="R350" s="86">
        <f t="shared" si="97"/>
      </c>
      <c r="S350" s="86">
        <f t="shared" si="98"/>
      </c>
      <c r="T350" s="86">
        <f t="shared" si="108"/>
        <v/>
      </c>
      <c r="U350" s="86">
        <f t="shared" si="109"/>
        <v/>
      </c>
      <c r="V350" s="86">
        <f t="shared" si="110"/>
        <v/>
      </c>
      <c r="W350" s="87">
        <f t="shared" si="99"/>
      </c>
      <c r="X350" s="88"/>
      <c r="Y350" s="88"/>
      <c r="Z350" s="88"/>
      <c r="AA350" s="88"/>
      <c r="AB350" s="88"/>
      <c r="AD350" s="86">
        <f t="shared" si="100"/>
      </c>
      <c r="AE350" s="86">
        <f t="shared" si="101"/>
      </c>
      <c r="AG350" s="86">
        <f t="shared" si="102"/>
      </c>
      <c r="AH350" s="86">
        <f t="shared" si="103"/>
      </c>
      <c r="AI350" s="86">
        <f t="shared" si="104"/>
      </c>
    </row>
    <row r="351" spans="6:35" x14ac:dyDescent="0.3">
      <c r="F351" s="26">
        <f>IF(G351=1,MAX($F$4:F350)+1,"")</f>
        <v/>
      </c>
      <c r="G351" s="26">
        <f>COUNTIF($H$5:H351,H351)</f>
      </c>
      <c r="H351" s="26">
        <f t="shared" si="105"/>
      </c>
      <c r="I351" s="26">
        <f>COUNTIF($J$4:$J351,1)</f>
      </c>
      <c r="J351" s="26">
        <f>COUNTIF($S$5:$S351,S351)</f>
      </c>
      <c r="K351" s="26">
        <f t="shared" si="94"/>
      </c>
      <c r="L351" s="26">
        <f>IFERROR(IF(P351=0,0,MAX($L$4:L350)+1),0)</f>
      </c>
      <c r="M351" s="5">
        <f t="shared" si="106"/>
      </c>
      <c r="N351" s="5">
        <f t="shared" si="107"/>
      </c>
      <c r="P351" s="86">
        <f t="shared" si="95"/>
      </c>
      <c r="Q351" s="86">
        <f t="shared" si="96"/>
      </c>
      <c r="R351" s="86">
        <f t="shared" si="97"/>
      </c>
      <c r="S351" s="86">
        <f t="shared" si="98"/>
      </c>
      <c r="T351" s="86">
        <f t="shared" si="108"/>
        <v/>
      </c>
      <c r="U351" s="86">
        <f t="shared" si="109"/>
        <v/>
      </c>
      <c r="V351" s="86">
        <f t="shared" si="110"/>
        <v/>
      </c>
      <c r="W351" s="87">
        <f t="shared" si="99"/>
      </c>
      <c r="X351" s="88"/>
      <c r="Y351" s="88"/>
      <c r="Z351" s="88"/>
      <c r="AA351" s="88"/>
      <c r="AB351" s="88"/>
      <c r="AD351" s="86">
        <f t="shared" si="100"/>
      </c>
      <c r="AE351" s="86">
        <f t="shared" si="101"/>
      </c>
      <c r="AG351" s="86">
        <f t="shared" si="102"/>
      </c>
      <c r="AH351" s="86">
        <f t="shared" si="103"/>
      </c>
      <c r="AI351" s="86">
        <f t="shared" si="104"/>
      </c>
    </row>
    <row r="352" spans="6:35" x14ac:dyDescent="0.3">
      <c r="F352" s="26">
        <f>IF(G352=1,MAX($F$4:F351)+1,"")</f>
        <v/>
      </c>
      <c r="G352" s="26">
        <f>COUNTIF($H$5:H352,H352)</f>
      </c>
      <c r="H352" s="26">
        <f t="shared" si="105"/>
      </c>
      <c r="I352" s="26">
        <f>COUNTIF($J$4:$J352,1)</f>
      </c>
      <c r="J352" s="26">
        <f>COUNTIF($S$5:$S352,S352)</f>
      </c>
      <c r="K352" s="26">
        <f t="shared" si="94"/>
      </c>
      <c r="L352" s="26">
        <f>IFERROR(IF(P352=0,0,MAX($L$4:L351)+1),0)</f>
      </c>
      <c r="M352" s="5">
        <f t="shared" si="106"/>
      </c>
      <c r="N352" s="5">
        <f t="shared" si="107"/>
      </c>
      <c r="P352" s="86">
        <f t="shared" si="95"/>
      </c>
      <c r="Q352" s="86">
        <f t="shared" si="96"/>
      </c>
      <c r="R352" s="86">
        <f t="shared" si="97"/>
      </c>
      <c r="S352" s="86">
        <f t="shared" si="98"/>
      </c>
      <c r="T352" s="86">
        <f t="shared" si="108"/>
        <v/>
      </c>
      <c r="U352" s="86">
        <f t="shared" si="109"/>
        <v/>
      </c>
      <c r="V352" s="86">
        <f t="shared" si="110"/>
        <v/>
      </c>
      <c r="W352" s="87">
        <f t="shared" si="99"/>
      </c>
      <c r="X352" s="88"/>
      <c r="Y352" s="88"/>
      <c r="Z352" s="88"/>
      <c r="AA352" s="88"/>
      <c r="AB352" s="88"/>
      <c r="AD352" s="86">
        <f t="shared" si="100"/>
      </c>
      <c r="AE352" s="86">
        <f t="shared" si="101"/>
      </c>
      <c r="AG352" s="86">
        <f t="shared" si="102"/>
      </c>
      <c r="AH352" s="86">
        <f t="shared" si="103"/>
      </c>
      <c r="AI352" s="86">
        <f t="shared" si="104"/>
      </c>
    </row>
    <row r="353" spans="6:35" x14ac:dyDescent="0.3">
      <c r="F353" s="26">
        <f>IF(G353=1,MAX($F$4:F352)+1,"")</f>
        <v/>
      </c>
      <c r="G353" s="26">
        <f>COUNTIF($H$5:H353,H353)</f>
      </c>
      <c r="H353" s="26">
        <f t="shared" si="105"/>
      </c>
      <c r="I353" s="26">
        <f>COUNTIF($J$4:$J353,1)</f>
      </c>
      <c r="J353" s="26">
        <f>COUNTIF($S$5:$S353,S353)</f>
      </c>
      <c r="K353" s="26">
        <f t="shared" si="94"/>
      </c>
      <c r="L353" s="26">
        <f>IFERROR(IF(P353=0,0,MAX($L$4:L352)+1),0)</f>
      </c>
      <c r="M353" s="5">
        <f t="shared" si="106"/>
      </c>
      <c r="N353" s="5">
        <f t="shared" si="107"/>
      </c>
      <c r="P353" s="86">
        <f t="shared" si="95"/>
      </c>
      <c r="Q353" s="86">
        <f t="shared" si="96"/>
      </c>
      <c r="R353" s="86">
        <f t="shared" si="97"/>
      </c>
      <c r="S353" s="86">
        <f t="shared" si="98"/>
      </c>
      <c r="T353" s="86">
        <f t="shared" si="108"/>
        <v/>
      </c>
      <c r="U353" s="86">
        <f t="shared" si="109"/>
        <v/>
      </c>
      <c r="V353" s="86">
        <f t="shared" si="110"/>
        <v/>
      </c>
      <c r="W353" s="87">
        <f t="shared" si="99"/>
      </c>
      <c r="X353" s="88"/>
      <c r="Y353" s="88"/>
      <c r="Z353" s="88"/>
      <c r="AA353" s="88"/>
      <c r="AB353" s="88"/>
      <c r="AD353" s="86">
        <f t="shared" si="100"/>
      </c>
      <c r="AE353" s="86">
        <f t="shared" si="101"/>
      </c>
      <c r="AG353" s="86">
        <f t="shared" si="102"/>
      </c>
      <c r="AH353" s="86">
        <f t="shared" si="103"/>
      </c>
      <c r="AI353" s="86">
        <f t="shared" si="104"/>
      </c>
    </row>
    <row r="354" spans="6:35" x14ac:dyDescent="0.3">
      <c r="F354" s="26">
        <f>IF(G354=1,MAX($F$4:F353)+1,"")</f>
        <v/>
      </c>
      <c r="G354" s="26">
        <f>COUNTIF($H$5:H354,H354)</f>
      </c>
      <c r="H354" s="26">
        <f t="shared" si="105"/>
      </c>
      <c r="I354" s="26">
        <f>COUNTIF($J$4:$J354,1)</f>
      </c>
      <c r="J354" s="26">
        <f>COUNTIF($S$5:$S354,S354)</f>
      </c>
      <c r="K354" s="26">
        <f t="shared" si="94"/>
      </c>
      <c r="L354" s="26">
        <f>IFERROR(IF(P354=0,0,MAX($L$4:L353)+1),0)</f>
      </c>
      <c r="M354" s="5">
        <f t="shared" si="106"/>
      </c>
      <c r="N354" s="5">
        <f t="shared" si="107"/>
      </c>
      <c r="P354" s="86">
        <f t="shared" si="95"/>
      </c>
      <c r="Q354" s="86">
        <f t="shared" si="96"/>
      </c>
      <c r="R354" s="86">
        <f t="shared" si="97"/>
      </c>
      <c r="S354" s="86">
        <f t="shared" si="98"/>
      </c>
      <c r="T354" s="86">
        <f t="shared" si="108"/>
        <v/>
      </c>
      <c r="U354" s="86">
        <f t="shared" si="109"/>
        <v/>
      </c>
      <c r="V354" s="86">
        <f t="shared" si="110"/>
        <v/>
      </c>
      <c r="W354" s="87">
        <f t="shared" si="99"/>
      </c>
      <c r="X354" s="88"/>
      <c r="Y354" s="88"/>
      <c r="Z354" s="88"/>
      <c r="AA354" s="88"/>
      <c r="AB354" s="88"/>
      <c r="AD354" s="86">
        <f t="shared" si="100"/>
      </c>
      <c r="AE354" s="86">
        <f t="shared" si="101"/>
      </c>
      <c r="AG354" s="86">
        <f t="shared" si="102"/>
      </c>
      <c r="AH354" s="86">
        <f t="shared" si="103"/>
      </c>
      <c r="AI354" s="86">
        <f t="shared" si="104"/>
      </c>
    </row>
    <row r="355" spans="6:35" x14ac:dyDescent="0.3">
      <c r="F355" s="26">
        <f>IF(G355=1,MAX($F$4:F354)+1,"")</f>
        <v/>
      </c>
      <c r="G355" s="26">
        <f>COUNTIF($H$5:H355,H355)</f>
      </c>
      <c r="H355" s="26">
        <f t="shared" si="105"/>
      </c>
      <c r="I355" s="26">
        <f>COUNTIF($J$4:$J355,1)</f>
      </c>
      <c r="J355" s="26">
        <f>COUNTIF($S$5:$S355,S355)</f>
      </c>
      <c r="K355" s="26">
        <f t="shared" si="94"/>
      </c>
      <c r="L355" s="26">
        <f>IFERROR(IF(P355=0,0,MAX($L$4:L354)+1),0)</f>
      </c>
      <c r="M355" s="5">
        <f t="shared" si="106"/>
      </c>
      <c r="N355" s="5">
        <f t="shared" si="107"/>
      </c>
      <c r="P355" s="86">
        <f t="shared" si="95"/>
      </c>
      <c r="Q355" s="86">
        <f t="shared" si="96"/>
      </c>
      <c r="R355" s="86">
        <f t="shared" si="97"/>
      </c>
      <c r="S355" s="86">
        <f t="shared" si="98"/>
      </c>
      <c r="T355" s="86">
        <f t="shared" si="108"/>
        <v/>
      </c>
      <c r="U355" s="86">
        <f t="shared" si="109"/>
        <v/>
      </c>
      <c r="V355" s="86">
        <f t="shared" si="110"/>
        <v/>
      </c>
      <c r="W355" s="87">
        <f t="shared" si="99"/>
      </c>
      <c r="X355" s="88"/>
      <c r="Y355" s="88"/>
      <c r="Z355" s="88"/>
      <c r="AA355" s="88"/>
      <c r="AB355" s="88"/>
      <c r="AD355" s="86">
        <f t="shared" si="100"/>
      </c>
      <c r="AE355" s="86">
        <f t="shared" si="101"/>
      </c>
      <c r="AG355" s="86">
        <f t="shared" si="102"/>
      </c>
      <c r="AH355" s="86">
        <f t="shared" si="103"/>
      </c>
      <c r="AI355" s="86">
        <f t="shared" si="104"/>
      </c>
    </row>
    <row r="356" spans="6:35" x14ac:dyDescent="0.3">
      <c r="F356" s="26">
        <f>IF(G356=1,MAX($F$4:F355)+1,"")</f>
        <v/>
      </c>
      <c r="G356" s="26">
        <f>COUNTIF($H$5:H356,H356)</f>
      </c>
      <c r="H356" s="26">
        <f t="shared" si="105"/>
      </c>
      <c r="I356" s="26">
        <f>COUNTIF($J$4:$J356,1)</f>
      </c>
      <c r="J356" s="26">
        <f>COUNTIF($S$5:$S356,S356)</f>
      </c>
      <c r="K356" s="26">
        <f t="shared" si="94"/>
      </c>
      <c r="L356" s="26">
        <f>IFERROR(IF(P356=0,0,MAX($L$4:L355)+1),0)</f>
      </c>
      <c r="M356" s="5">
        <f t="shared" si="106"/>
      </c>
      <c r="N356" s="5">
        <f t="shared" si="107"/>
      </c>
      <c r="P356" s="86">
        <f t="shared" si="95"/>
      </c>
      <c r="Q356" s="86">
        <f t="shared" si="96"/>
      </c>
      <c r="R356" s="86">
        <f t="shared" si="97"/>
      </c>
      <c r="S356" s="86">
        <f t="shared" si="98"/>
      </c>
      <c r="T356" s="86">
        <f t="shared" si="108"/>
        <v/>
      </c>
      <c r="U356" s="86">
        <f t="shared" si="109"/>
        <v/>
      </c>
      <c r="V356" s="86">
        <f t="shared" si="110"/>
        <v/>
      </c>
      <c r="W356" s="87">
        <f t="shared" si="99"/>
      </c>
      <c r="X356" s="88"/>
      <c r="Y356" s="88"/>
      <c r="Z356" s="88"/>
      <c r="AA356" s="88"/>
      <c r="AB356" s="88"/>
      <c r="AD356" s="86">
        <f t="shared" si="100"/>
      </c>
      <c r="AE356" s="86">
        <f t="shared" si="101"/>
      </c>
      <c r="AG356" s="86">
        <f t="shared" si="102"/>
      </c>
      <c r="AH356" s="86">
        <f t="shared" si="103"/>
      </c>
      <c r="AI356" s="86">
        <f t="shared" si="104"/>
      </c>
    </row>
    <row r="357" spans="6:35" x14ac:dyDescent="0.3">
      <c r="F357" s="26">
        <f>IF(G357=1,MAX($F$4:F356)+1,"")</f>
        <v/>
      </c>
      <c r="G357" s="26">
        <f>COUNTIF($H$5:H357,H357)</f>
      </c>
      <c r="H357" s="26">
        <f t="shared" si="105"/>
      </c>
      <c r="I357" s="26">
        <f>COUNTIF($J$4:$J357,1)</f>
      </c>
      <c r="J357" s="26">
        <f>COUNTIF($S$5:$S357,S357)</f>
      </c>
      <c r="K357" s="26">
        <f t="shared" si="94"/>
      </c>
      <c r="L357" s="26">
        <f>IFERROR(IF(P357=0,0,MAX($L$4:L356)+1),0)</f>
      </c>
      <c r="M357" s="5">
        <f t="shared" si="106"/>
      </c>
      <c r="N357" s="5">
        <f t="shared" si="107"/>
      </c>
      <c r="P357" s="86">
        <f t="shared" si="95"/>
      </c>
      <c r="Q357" s="86">
        <f t="shared" si="96"/>
      </c>
      <c r="R357" s="86">
        <f t="shared" si="97"/>
      </c>
      <c r="S357" s="86">
        <f t="shared" si="98"/>
      </c>
      <c r="T357" s="86">
        <f t="shared" si="108"/>
        <v/>
      </c>
      <c r="U357" s="86">
        <f t="shared" si="109"/>
        <v/>
      </c>
      <c r="V357" s="86">
        <f t="shared" si="110"/>
        <v/>
      </c>
      <c r="W357" s="87">
        <f t="shared" si="99"/>
      </c>
      <c r="X357" s="88"/>
      <c r="Y357" s="88"/>
      <c r="Z357" s="88"/>
      <c r="AA357" s="88"/>
      <c r="AB357" s="88"/>
      <c r="AD357" s="86">
        <f t="shared" si="100"/>
      </c>
      <c r="AE357" s="86">
        <f t="shared" si="101"/>
      </c>
      <c r="AG357" s="86">
        <f t="shared" si="102"/>
      </c>
      <c r="AH357" s="86">
        <f t="shared" si="103"/>
      </c>
      <c r="AI357" s="86">
        <f t="shared" si="104"/>
      </c>
    </row>
    <row r="358" spans="6:35" x14ac:dyDescent="0.3">
      <c r="F358" s="26">
        <f>IF(G358=1,MAX($F$4:F357)+1,"")</f>
        <v/>
      </c>
      <c r="G358" s="26">
        <f>COUNTIF($H$5:H358,H358)</f>
      </c>
      <c r="H358" s="26">
        <f t="shared" si="105"/>
      </c>
      <c r="I358" s="26">
        <f>COUNTIF($J$4:$J358,1)</f>
      </c>
      <c r="J358" s="26">
        <f>COUNTIF($S$5:$S358,S358)</f>
      </c>
      <c r="K358" s="26">
        <f t="shared" si="94"/>
      </c>
      <c r="L358" s="26">
        <f>IFERROR(IF(P358=0,0,MAX($L$4:L357)+1),0)</f>
      </c>
      <c r="M358" s="5">
        <f t="shared" si="106"/>
      </c>
      <c r="N358" s="5">
        <f t="shared" si="107"/>
      </c>
      <c r="P358" s="86">
        <f t="shared" si="95"/>
      </c>
      <c r="Q358" s="86">
        <f t="shared" si="96"/>
      </c>
      <c r="R358" s="86">
        <f t="shared" si="97"/>
      </c>
      <c r="S358" s="86">
        <f t="shared" si="98"/>
      </c>
      <c r="T358" s="86">
        <f t="shared" si="108"/>
        <v/>
      </c>
      <c r="U358" s="86">
        <f t="shared" si="109"/>
        <v/>
      </c>
      <c r="V358" s="86">
        <f t="shared" si="110"/>
        <v/>
      </c>
      <c r="W358" s="87">
        <f t="shared" si="99"/>
      </c>
      <c r="X358" s="88"/>
      <c r="Y358" s="88"/>
      <c r="Z358" s="88"/>
      <c r="AA358" s="88"/>
      <c r="AB358" s="88"/>
      <c r="AD358" s="86">
        <f t="shared" si="100"/>
      </c>
      <c r="AE358" s="86">
        <f t="shared" si="101"/>
      </c>
      <c r="AG358" s="86">
        <f t="shared" si="102"/>
      </c>
      <c r="AH358" s="86">
        <f t="shared" si="103"/>
      </c>
      <c r="AI358" s="86">
        <f t="shared" si="104"/>
      </c>
    </row>
    <row r="359" spans="6:35" x14ac:dyDescent="0.3">
      <c r="F359" s="26">
        <f>IF(G359=1,MAX($F$4:F358)+1,"")</f>
        <v/>
      </c>
      <c r="G359" s="26">
        <f>COUNTIF($H$5:H359,H359)</f>
      </c>
      <c r="H359" s="26">
        <f t="shared" si="105"/>
      </c>
      <c r="I359" s="26">
        <f>COUNTIF($J$4:$J359,1)</f>
      </c>
      <c r="J359" s="26">
        <f>COUNTIF($S$5:$S359,S359)</f>
      </c>
      <c r="K359" s="26">
        <f t="shared" si="94"/>
      </c>
      <c r="L359" s="26">
        <f>IFERROR(IF(P359=0,0,MAX($L$4:L358)+1),0)</f>
      </c>
      <c r="M359" s="5">
        <f t="shared" si="106"/>
      </c>
      <c r="N359" s="5">
        <f t="shared" si="107"/>
      </c>
      <c r="P359" s="86">
        <f t="shared" si="95"/>
      </c>
      <c r="Q359" s="86">
        <f t="shared" si="96"/>
      </c>
      <c r="R359" s="86">
        <f t="shared" si="97"/>
      </c>
      <c r="S359" s="86">
        <f t="shared" si="98"/>
      </c>
      <c r="T359" s="86">
        <f t="shared" si="108"/>
        <v/>
      </c>
      <c r="U359" s="86">
        <f t="shared" si="109"/>
        <v/>
      </c>
      <c r="V359" s="86">
        <f t="shared" si="110"/>
        <v/>
      </c>
      <c r="W359" s="87">
        <f t="shared" si="99"/>
      </c>
      <c r="X359" s="88"/>
      <c r="Y359" s="88"/>
      <c r="Z359" s="88"/>
      <c r="AA359" s="88"/>
      <c r="AB359" s="88"/>
      <c r="AD359" s="86">
        <f t="shared" si="100"/>
      </c>
      <c r="AE359" s="86">
        <f t="shared" si="101"/>
      </c>
      <c r="AG359" s="86">
        <f t="shared" si="102"/>
      </c>
      <c r="AH359" s="86">
        <f t="shared" si="103"/>
      </c>
      <c r="AI359" s="86">
        <f t="shared" si="104"/>
      </c>
    </row>
    <row r="360" spans="6:35" x14ac:dyDescent="0.3">
      <c r="F360" s="26">
        <f>IF(G360=1,MAX($F$4:F359)+1,"")</f>
        <v/>
      </c>
      <c r="G360" s="26">
        <f>COUNTIF($H$5:H360,H360)</f>
      </c>
      <c r="H360" s="26">
        <f t="shared" si="105"/>
      </c>
      <c r="I360" s="26">
        <f>COUNTIF($J$4:$J360,1)</f>
      </c>
      <c r="J360" s="26">
        <f>COUNTIF($S$5:$S360,S360)</f>
      </c>
      <c r="K360" s="26">
        <f t="shared" si="94"/>
      </c>
      <c r="L360" s="26">
        <f>IFERROR(IF(P360=0,0,MAX($L$4:L359)+1),0)</f>
      </c>
      <c r="M360" s="5">
        <f t="shared" si="106"/>
      </c>
      <c r="N360" s="5">
        <f t="shared" si="107"/>
      </c>
      <c r="P360" s="86">
        <f t="shared" si="95"/>
      </c>
      <c r="Q360" s="86">
        <f t="shared" si="96"/>
      </c>
      <c r="R360" s="86">
        <f t="shared" si="97"/>
      </c>
      <c r="S360" s="86">
        <f t="shared" si="98"/>
      </c>
      <c r="T360" s="86">
        <f t="shared" si="108"/>
        <v/>
      </c>
      <c r="U360" s="86">
        <f t="shared" si="109"/>
        <v/>
      </c>
      <c r="V360" s="86">
        <f t="shared" si="110"/>
        <v/>
      </c>
      <c r="W360" s="87">
        <f t="shared" si="99"/>
      </c>
      <c r="X360" s="88"/>
      <c r="Y360" s="88"/>
      <c r="Z360" s="88"/>
      <c r="AA360" s="88"/>
      <c r="AB360" s="88"/>
      <c r="AD360" s="86">
        <f t="shared" si="100"/>
      </c>
      <c r="AE360" s="86">
        <f t="shared" si="101"/>
      </c>
      <c r="AG360" s="86">
        <f t="shared" si="102"/>
      </c>
      <c r="AH360" s="86">
        <f t="shared" si="103"/>
      </c>
      <c r="AI360" s="86">
        <f t="shared" si="104"/>
      </c>
    </row>
    <row r="361" spans="6:35" x14ac:dyDescent="0.3">
      <c r="F361" s="26">
        <f>IF(G361=1,MAX($F$4:F360)+1,"")</f>
        <v/>
      </c>
      <c r="G361" s="26">
        <f>COUNTIF($H$5:H361,H361)</f>
      </c>
      <c r="H361" s="26">
        <f t="shared" si="105"/>
      </c>
      <c r="I361" s="26">
        <f>COUNTIF($J$4:$J361,1)</f>
      </c>
      <c r="J361" s="26">
        <f>COUNTIF($S$5:$S361,S361)</f>
      </c>
      <c r="K361" s="26">
        <f t="shared" si="94"/>
      </c>
      <c r="L361" s="26">
        <f>IFERROR(IF(P361=0,0,MAX($L$4:L360)+1),0)</f>
      </c>
      <c r="M361" s="5">
        <f t="shared" si="106"/>
      </c>
      <c r="N361" s="5">
        <f t="shared" si="107"/>
      </c>
      <c r="P361" s="86">
        <f t="shared" si="95"/>
      </c>
      <c r="Q361" s="86">
        <f t="shared" si="96"/>
      </c>
      <c r="R361" s="86">
        <f t="shared" si="97"/>
      </c>
      <c r="S361" s="86">
        <f t="shared" si="98"/>
      </c>
      <c r="T361" s="86">
        <f t="shared" si="108"/>
        <v/>
      </c>
      <c r="U361" s="86">
        <f t="shared" si="109"/>
        <v/>
      </c>
      <c r="V361" s="86">
        <f t="shared" si="110"/>
        <v/>
      </c>
      <c r="W361" s="87">
        <f t="shared" si="99"/>
      </c>
      <c r="X361" s="88"/>
      <c r="Y361" s="88"/>
      <c r="Z361" s="88"/>
      <c r="AA361" s="88"/>
      <c r="AB361" s="88"/>
      <c r="AD361" s="86">
        <f t="shared" si="100"/>
      </c>
      <c r="AE361" s="86">
        <f t="shared" si="101"/>
      </c>
      <c r="AG361" s="86">
        <f t="shared" si="102"/>
      </c>
      <c r="AH361" s="86">
        <f t="shared" si="103"/>
      </c>
      <c r="AI361" s="86">
        <f t="shared" si="104"/>
      </c>
    </row>
    <row r="362" spans="6:35" x14ac:dyDescent="0.3">
      <c r="F362" s="26">
        <f>IF(G362=1,MAX($F$4:F361)+1,"")</f>
        <v/>
      </c>
      <c r="G362" s="26">
        <f>COUNTIF($H$5:H362,H362)</f>
      </c>
      <c r="H362" s="26">
        <f t="shared" si="105"/>
      </c>
      <c r="I362" s="26">
        <f>COUNTIF($J$4:$J362,1)</f>
      </c>
      <c r="J362" s="26">
        <f>COUNTIF($S$5:$S362,S362)</f>
      </c>
      <c r="K362" s="26">
        <f t="shared" si="94"/>
      </c>
      <c r="L362" s="26">
        <f>IFERROR(IF(P362=0,0,MAX($L$4:L361)+1),0)</f>
      </c>
      <c r="M362" s="5">
        <f t="shared" si="106"/>
      </c>
      <c r="N362" s="5">
        <f t="shared" si="107"/>
      </c>
      <c r="P362" s="86">
        <f t="shared" si="95"/>
      </c>
      <c r="Q362" s="86">
        <f t="shared" si="96"/>
      </c>
      <c r="R362" s="86">
        <f t="shared" si="97"/>
      </c>
      <c r="S362" s="86">
        <f t="shared" si="98"/>
      </c>
      <c r="T362" s="86">
        <f t="shared" si="108"/>
        <v/>
      </c>
      <c r="U362" s="86">
        <f t="shared" si="109"/>
        <v/>
      </c>
      <c r="V362" s="86">
        <f t="shared" si="110"/>
        <v/>
      </c>
      <c r="W362" s="87">
        <f t="shared" si="99"/>
      </c>
      <c r="X362" s="88"/>
      <c r="Y362" s="88"/>
      <c r="Z362" s="88"/>
      <c r="AA362" s="88"/>
      <c r="AB362" s="88"/>
      <c r="AD362" s="86">
        <f t="shared" si="100"/>
      </c>
      <c r="AE362" s="86">
        <f t="shared" si="101"/>
      </c>
      <c r="AG362" s="86">
        <f t="shared" si="102"/>
      </c>
      <c r="AH362" s="86">
        <f t="shared" si="103"/>
      </c>
      <c r="AI362" s="86">
        <f t="shared" si="104"/>
      </c>
    </row>
    <row r="363" spans="6:35" x14ac:dyDescent="0.3">
      <c r="F363" s="26">
        <f>IF(G363=1,MAX($F$4:F362)+1,"")</f>
        <v/>
      </c>
      <c r="G363" s="26">
        <f>COUNTIF($H$5:H363,H363)</f>
      </c>
      <c r="H363" s="26">
        <f t="shared" si="105"/>
      </c>
      <c r="I363" s="26">
        <f>COUNTIF($J$4:$J363,1)</f>
      </c>
      <c r="J363" s="26">
        <f>COUNTIF($S$5:$S363,S363)</f>
      </c>
      <c r="K363" s="26">
        <f t="shared" si="94"/>
      </c>
      <c r="L363" s="26">
        <f>IFERROR(IF(P363=0,0,MAX($L$4:L362)+1),0)</f>
      </c>
      <c r="M363" s="5">
        <f t="shared" si="106"/>
      </c>
      <c r="N363" s="5">
        <f t="shared" si="107"/>
      </c>
      <c r="P363" s="86">
        <f t="shared" si="95"/>
      </c>
      <c r="Q363" s="86">
        <f t="shared" si="96"/>
      </c>
      <c r="R363" s="86">
        <f t="shared" si="97"/>
      </c>
      <c r="S363" s="86">
        <f t="shared" si="98"/>
      </c>
      <c r="T363" s="86">
        <f t="shared" si="108"/>
        <v/>
      </c>
      <c r="U363" s="86">
        <f t="shared" si="109"/>
        <v/>
      </c>
      <c r="V363" s="86">
        <f t="shared" si="110"/>
        <v/>
      </c>
      <c r="W363" s="87">
        <f t="shared" si="99"/>
      </c>
      <c r="X363" s="88"/>
      <c r="Y363" s="88"/>
      <c r="Z363" s="88"/>
      <c r="AA363" s="88"/>
      <c r="AB363" s="88"/>
      <c r="AD363" s="86">
        <f t="shared" si="100"/>
      </c>
      <c r="AE363" s="86">
        <f t="shared" si="101"/>
      </c>
      <c r="AG363" s="86">
        <f t="shared" si="102"/>
      </c>
      <c r="AH363" s="86">
        <f t="shared" si="103"/>
      </c>
      <c r="AI363" s="86">
        <f t="shared" si="104"/>
      </c>
    </row>
    <row r="364" spans="6:35" x14ac:dyDescent="0.3">
      <c r="F364" s="26">
        <f>IF(G364=1,MAX($F$4:F363)+1,"")</f>
        <v/>
      </c>
      <c r="G364" s="26">
        <f>COUNTIF($H$5:H364,H364)</f>
      </c>
      <c r="H364" s="26">
        <f t="shared" si="105"/>
      </c>
      <c r="I364" s="26">
        <f>COUNTIF($J$4:$J364,1)</f>
      </c>
      <c r="J364" s="26">
        <f>COUNTIF($S$5:$S364,S364)</f>
      </c>
      <c r="K364" s="26">
        <f t="shared" si="94"/>
      </c>
      <c r="L364" s="26">
        <f>IFERROR(IF(P364=0,0,MAX($L$4:L363)+1),0)</f>
      </c>
      <c r="M364" s="5">
        <f t="shared" si="106"/>
      </c>
      <c r="N364" s="5">
        <f t="shared" si="107"/>
      </c>
      <c r="P364" s="86">
        <f t="shared" si="95"/>
      </c>
      <c r="Q364" s="86">
        <f t="shared" si="96"/>
      </c>
      <c r="R364" s="86">
        <f t="shared" si="97"/>
      </c>
      <c r="S364" s="86">
        <f t="shared" si="98"/>
      </c>
      <c r="T364" s="86">
        <f t="shared" si="108"/>
        <v/>
      </c>
      <c r="U364" s="86">
        <f t="shared" si="109"/>
        <v/>
      </c>
      <c r="V364" s="86">
        <f t="shared" si="110"/>
        <v/>
      </c>
      <c r="W364" s="87">
        <f t="shared" si="99"/>
      </c>
      <c r="X364" s="88"/>
      <c r="Y364" s="88"/>
      <c r="Z364" s="88"/>
      <c r="AA364" s="88"/>
      <c r="AB364" s="88"/>
      <c r="AD364" s="86">
        <f t="shared" si="100"/>
      </c>
      <c r="AE364" s="86">
        <f t="shared" si="101"/>
      </c>
      <c r="AG364" s="86">
        <f t="shared" si="102"/>
      </c>
      <c r="AH364" s="86">
        <f t="shared" si="103"/>
      </c>
      <c r="AI364" s="86">
        <f t="shared" si="104"/>
      </c>
    </row>
    <row r="365" spans="6:35" x14ac:dyDescent="0.3">
      <c r="F365" s="26">
        <f>IF(G365=1,MAX($F$4:F364)+1,"")</f>
        <v/>
      </c>
      <c r="G365" s="26">
        <f>COUNTIF($H$5:H365,H365)</f>
      </c>
      <c r="H365" s="26">
        <f t="shared" si="105"/>
      </c>
      <c r="I365" s="26">
        <f>COUNTIF($J$4:$J365,1)</f>
      </c>
      <c r="J365" s="26">
        <f>COUNTIF($S$5:$S365,S365)</f>
      </c>
      <c r="K365" s="26">
        <f t="shared" si="94"/>
      </c>
      <c r="L365" s="26">
        <f>IFERROR(IF(P365=0,0,MAX($L$4:L364)+1),0)</f>
      </c>
      <c r="M365" s="5">
        <f t="shared" si="106"/>
      </c>
      <c r="N365" s="5">
        <f t="shared" si="107"/>
      </c>
      <c r="P365" s="86">
        <f t="shared" si="95"/>
      </c>
      <c r="Q365" s="86">
        <f t="shared" si="96"/>
      </c>
      <c r="R365" s="86">
        <f t="shared" si="97"/>
      </c>
      <c r="S365" s="86">
        <f t="shared" si="98"/>
      </c>
      <c r="T365" s="86">
        <f t="shared" si="108"/>
        <v/>
      </c>
      <c r="U365" s="86">
        <f t="shared" si="109"/>
        <v/>
      </c>
      <c r="V365" s="86">
        <f t="shared" si="110"/>
        <v/>
      </c>
      <c r="W365" s="87">
        <f t="shared" si="99"/>
      </c>
      <c r="X365" s="88"/>
      <c r="Y365" s="88"/>
      <c r="Z365" s="88"/>
      <c r="AA365" s="88"/>
      <c r="AB365" s="88"/>
      <c r="AD365" s="86">
        <f t="shared" si="100"/>
      </c>
      <c r="AE365" s="86">
        <f t="shared" si="101"/>
      </c>
      <c r="AG365" s="86">
        <f t="shared" si="102"/>
      </c>
      <c r="AH365" s="86">
        <f t="shared" si="103"/>
      </c>
      <c r="AI365" s="86">
        <f t="shared" si="104"/>
      </c>
    </row>
    <row r="366" spans="6:35" x14ac:dyDescent="0.3">
      <c r="F366" s="26">
        <f>IF(G366=1,MAX($F$4:F365)+1,"")</f>
        <v/>
      </c>
      <c r="G366" s="26">
        <f>COUNTIF($H$5:H366,H366)</f>
      </c>
      <c r="H366" s="26">
        <f t="shared" si="105"/>
      </c>
      <c r="I366" s="26">
        <f>COUNTIF($J$4:$J366,1)</f>
      </c>
      <c r="J366" s="26">
        <f>COUNTIF($S$5:$S366,S366)</f>
      </c>
      <c r="K366" s="26">
        <f t="shared" si="94"/>
      </c>
      <c r="L366" s="26">
        <f>IFERROR(IF(P366=0,0,MAX($L$4:L365)+1),0)</f>
      </c>
      <c r="M366" s="5">
        <f t="shared" si="106"/>
      </c>
      <c r="N366" s="5">
        <f t="shared" si="107"/>
      </c>
      <c r="P366" s="86">
        <f t="shared" si="95"/>
      </c>
      <c r="Q366" s="86">
        <f t="shared" si="96"/>
      </c>
      <c r="R366" s="86">
        <f t="shared" si="97"/>
      </c>
      <c r="S366" s="86">
        <f t="shared" si="98"/>
      </c>
      <c r="T366" s="86">
        <f t="shared" si="108"/>
        <v/>
      </c>
      <c r="U366" s="86">
        <f t="shared" si="109"/>
        <v/>
      </c>
      <c r="V366" s="86">
        <f t="shared" si="110"/>
        <v/>
      </c>
      <c r="W366" s="87">
        <f t="shared" si="99"/>
      </c>
      <c r="X366" s="88"/>
      <c r="Y366" s="88"/>
      <c r="Z366" s="88"/>
      <c r="AA366" s="88"/>
      <c r="AB366" s="88"/>
      <c r="AD366" s="86">
        <f t="shared" si="100"/>
      </c>
      <c r="AE366" s="86">
        <f t="shared" si="101"/>
      </c>
      <c r="AG366" s="86">
        <f t="shared" si="102"/>
      </c>
      <c r="AH366" s="86">
        <f t="shared" si="103"/>
      </c>
      <c r="AI366" s="86">
        <f t="shared" si="104"/>
      </c>
    </row>
    <row r="367" spans="6:35" x14ac:dyDescent="0.3">
      <c r="F367" s="26">
        <f>IF(G367=1,MAX($F$4:F366)+1,"")</f>
        <v/>
      </c>
      <c r="G367" s="26">
        <f>COUNTIF($H$5:H367,H367)</f>
      </c>
      <c r="H367" s="26">
        <f t="shared" si="105"/>
      </c>
      <c r="I367" s="26">
        <f>COUNTIF($J$4:$J367,1)</f>
      </c>
      <c r="J367" s="26">
        <f>COUNTIF($S$5:$S367,S367)</f>
      </c>
      <c r="K367" s="26">
        <f t="shared" si="94"/>
      </c>
      <c r="L367" s="26">
        <f>IFERROR(IF(P367=0,0,MAX($L$4:L366)+1),0)</f>
      </c>
      <c r="M367" s="5">
        <f t="shared" si="106"/>
      </c>
      <c r="N367" s="5">
        <f t="shared" si="107"/>
      </c>
      <c r="P367" s="86">
        <f t="shared" si="95"/>
      </c>
      <c r="Q367" s="86">
        <f t="shared" si="96"/>
      </c>
      <c r="R367" s="86">
        <f t="shared" si="97"/>
      </c>
      <c r="S367" s="86">
        <f t="shared" si="98"/>
      </c>
      <c r="T367" s="86">
        <f t="shared" si="108"/>
        <v/>
      </c>
      <c r="U367" s="86">
        <f t="shared" si="109"/>
        <v/>
      </c>
      <c r="V367" s="86">
        <f t="shared" si="110"/>
        <v/>
      </c>
      <c r="W367" s="87">
        <f t="shared" si="99"/>
      </c>
      <c r="X367" s="88"/>
      <c r="Y367" s="88"/>
      <c r="Z367" s="88"/>
      <c r="AA367" s="88"/>
      <c r="AB367" s="88"/>
      <c r="AD367" s="86">
        <f t="shared" si="100"/>
      </c>
      <c r="AE367" s="86">
        <f t="shared" si="101"/>
      </c>
      <c r="AG367" s="86">
        <f t="shared" si="102"/>
      </c>
      <c r="AH367" s="86">
        <f t="shared" si="103"/>
      </c>
      <c r="AI367" s="86">
        <f t="shared" si="104"/>
      </c>
    </row>
    <row r="368" spans="6:35" x14ac:dyDescent="0.3">
      <c r="F368" s="26">
        <f>IF(G368=1,MAX($F$4:F367)+1,"")</f>
        <v/>
      </c>
      <c r="G368" s="26">
        <f>COUNTIF($H$5:H368,H368)</f>
      </c>
      <c r="H368" s="26">
        <f t="shared" si="105"/>
      </c>
      <c r="I368" s="26">
        <f>COUNTIF($J$4:$J368,1)</f>
      </c>
      <c r="J368" s="26">
        <f>COUNTIF($S$5:$S368,S368)</f>
      </c>
      <c r="K368" s="26">
        <f t="shared" si="94"/>
      </c>
      <c r="L368" s="26">
        <f>IFERROR(IF(P368=0,0,MAX($L$4:L367)+1),0)</f>
      </c>
      <c r="M368" s="5">
        <f t="shared" si="106"/>
      </c>
      <c r="N368" s="5">
        <f t="shared" si="107"/>
      </c>
      <c r="P368" s="86">
        <f t="shared" si="95"/>
      </c>
      <c r="Q368" s="86">
        <f t="shared" si="96"/>
      </c>
      <c r="R368" s="86">
        <f t="shared" si="97"/>
      </c>
      <c r="S368" s="86">
        <f t="shared" si="98"/>
      </c>
      <c r="T368" s="86">
        <f t="shared" si="108"/>
        <v/>
      </c>
      <c r="U368" s="86">
        <f t="shared" si="109"/>
        <v/>
      </c>
      <c r="V368" s="86">
        <f t="shared" si="110"/>
        <v/>
      </c>
      <c r="W368" s="87">
        <f t="shared" si="99"/>
      </c>
      <c r="X368" s="88"/>
      <c r="Y368" s="88"/>
      <c r="Z368" s="88"/>
      <c r="AA368" s="88"/>
      <c r="AB368" s="88"/>
      <c r="AD368" s="86">
        <f t="shared" si="100"/>
      </c>
      <c r="AE368" s="86">
        <f t="shared" si="101"/>
      </c>
      <c r="AG368" s="86">
        <f t="shared" si="102"/>
      </c>
      <c r="AH368" s="86">
        <f t="shared" si="103"/>
      </c>
      <c r="AI368" s="86">
        <f t="shared" si="104"/>
      </c>
    </row>
    <row r="369" spans="6:35" x14ac:dyDescent="0.3">
      <c r="F369" s="26">
        <f>IF(G369=1,MAX($F$4:F368)+1,"")</f>
        <v/>
      </c>
      <c r="G369" s="26">
        <f>COUNTIF($H$5:H369,H369)</f>
      </c>
      <c r="H369" s="26">
        <f t="shared" si="105"/>
      </c>
      <c r="I369" s="26">
        <f>COUNTIF($J$4:$J369,1)</f>
      </c>
      <c r="J369" s="26">
        <f>COUNTIF($S$5:$S369,S369)</f>
      </c>
      <c r="K369" s="26">
        <f t="shared" si="94"/>
      </c>
      <c r="L369" s="26">
        <f>IFERROR(IF(P369=0,0,MAX($L$4:L368)+1),0)</f>
      </c>
      <c r="M369" s="5">
        <f t="shared" si="106"/>
      </c>
      <c r="N369" s="5">
        <f t="shared" si="107"/>
      </c>
      <c r="P369" s="86">
        <f t="shared" si="95"/>
      </c>
      <c r="Q369" s="86">
        <f t="shared" si="96"/>
      </c>
      <c r="R369" s="86">
        <f t="shared" si="97"/>
      </c>
      <c r="S369" s="86">
        <f t="shared" si="98"/>
      </c>
      <c r="T369" s="86">
        <f t="shared" si="108"/>
        <v/>
      </c>
      <c r="U369" s="86">
        <f t="shared" si="109"/>
        <v/>
      </c>
      <c r="V369" s="86">
        <f t="shared" si="110"/>
        <v/>
      </c>
      <c r="W369" s="87">
        <f t="shared" si="99"/>
      </c>
      <c r="X369" s="88"/>
      <c r="Y369" s="88"/>
      <c r="Z369" s="88"/>
      <c r="AA369" s="88"/>
      <c r="AB369" s="88"/>
      <c r="AD369" s="86">
        <f t="shared" si="100"/>
      </c>
      <c r="AE369" s="86">
        <f t="shared" si="101"/>
      </c>
      <c r="AG369" s="86">
        <f t="shared" si="102"/>
      </c>
      <c r="AH369" s="86">
        <f t="shared" si="103"/>
      </c>
      <c r="AI369" s="86">
        <f t="shared" si="104"/>
      </c>
    </row>
    <row r="370" spans="6:35" x14ac:dyDescent="0.3">
      <c r="F370" s="26">
        <f>IF(G370=1,MAX($F$4:F369)+1,"")</f>
        <v/>
      </c>
      <c r="G370" s="26">
        <f>COUNTIF($H$5:H370,H370)</f>
      </c>
      <c r="H370" s="26">
        <f t="shared" si="105"/>
      </c>
      <c r="I370" s="26">
        <f>COUNTIF($J$4:$J370,1)</f>
      </c>
      <c r="J370" s="26">
        <f>COUNTIF($S$5:$S370,S370)</f>
      </c>
      <c r="K370" s="26">
        <f t="shared" si="94"/>
      </c>
      <c r="L370" s="26">
        <f>IFERROR(IF(P370=0,0,MAX($L$4:L369)+1),0)</f>
      </c>
      <c r="M370" s="5">
        <f t="shared" si="106"/>
      </c>
      <c r="N370" s="5">
        <f t="shared" si="107"/>
      </c>
      <c r="P370" s="86">
        <f t="shared" si="95"/>
      </c>
      <c r="Q370" s="86">
        <f t="shared" si="96"/>
      </c>
      <c r="R370" s="86">
        <f t="shared" si="97"/>
      </c>
      <c r="S370" s="86">
        <f t="shared" si="98"/>
      </c>
      <c r="T370" s="86">
        <f t="shared" si="108"/>
        <v/>
      </c>
      <c r="U370" s="86">
        <f t="shared" si="109"/>
        <v/>
      </c>
      <c r="V370" s="86">
        <f t="shared" si="110"/>
        <v/>
      </c>
      <c r="W370" s="87">
        <f t="shared" si="99"/>
      </c>
      <c r="X370" s="88"/>
      <c r="Y370" s="88"/>
      <c r="Z370" s="88"/>
      <c r="AA370" s="88"/>
      <c r="AB370" s="88"/>
      <c r="AD370" s="86">
        <f t="shared" si="100"/>
      </c>
      <c r="AE370" s="86">
        <f t="shared" si="101"/>
      </c>
      <c r="AG370" s="86">
        <f t="shared" si="102"/>
      </c>
      <c r="AH370" s="86">
        <f t="shared" si="103"/>
      </c>
      <c r="AI370" s="86">
        <f t="shared" si="104"/>
      </c>
    </row>
    <row r="371" spans="6:35" x14ac:dyDescent="0.3">
      <c r="F371" s="26">
        <f>IF(G371=1,MAX($F$4:F370)+1,"")</f>
        <v/>
      </c>
      <c r="G371" s="26">
        <f>COUNTIF($H$5:H371,H371)</f>
      </c>
      <c r="H371" s="26">
        <f t="shared" si="105"/>
      </c>
      <c r="I371" s="26">
        <f>COUNTIF($J$4:$J371,1)</f>
      </c>
      <c r="J371" s="26">
        <f>COUNTIF($S$5:$S371,S371)</f>
      </c>
      <c r="K371" s="26">
        <f t="shared" si="94"/>
      </c>
      <c r="L371" s="26">
        <f>IFERROR(IF(P371=0,0,MAX($L$4:L370)+1),0)</f>
      </c>
      <c r="M371" s="5">
        <f t="shared" si="106"/>
      </c>
      <c r="N371" s="5">
        <f t="shared" si="107"/>
      </c>
      <c r="P371" s="86">
        <f t="shared" si="95"/>
      </c>
      <c r="Q371" s="86">
        <f t="shared" si="96"/>
      </c>
      <c r="R371" s="86">
        <f t="shared" si="97"/>
      </c>
      <c r="S371" s="86">
        <f t="shared" si="98"/>
      </c>
      <c r="T371" s="86">
        <f t="shared" si="108"/>
        <v/>
      </c>
      <c r="U371" s="86">
        <f t="shared" si="109"/>
        <v/>
      </c>
      <c r="V371" s="86">
        <f t="shared" si="110"/>
        <v/>
      </c>
      <c r="W371" s="87">
        <f t="shared" si="99"/>
      </c>
      <c r="X371" s="88"/>
      <c r="Y371" s="88"/>
      <c r="Z371" s="88"/>
      <c r="AA371" s="88"/>
      <c r="AB371" s="88"/>
      <c r="AD371" s="86">
        <f t="shared" si="100"/>
      </c>
      <c r="AE371" s="86">
        <f t="shared" si="101"/>
      </c>
      <c r="AG371" s="86">
        <f t="shared" si="102"/>
      </c>
      <c r="AH371" s="86">
        <f t="shared" si="103"/>
      </c>
      <c r="AI371" s="86">
        <f t="shared" si="104"/>
      </c>
    </row>
    <row r="372" spans="6:35" x14ac:dyDescent="0.3">
      <c r="F372" s="26">
        <f>IF(G372=1,MAX($F$4:F371)+1,"")</f>
        <v/>
      </c>
      <c r="G372" s="26">
        <f>COUNTIF($H$5:H372,H372)</f>
      </c>
      <c r="H372" s="26">
        <f t="shared" si="105"/>
      </c>
      <c r="I372" s="26">
        <f>COUNTIF($J$4:$J372,1)</f>
      </c>
      <c r="J372" s="26">
        <f>COUNTIF($S$5:$S372,S372)</f>
      </c>
      <c r="K372" s="26">
        <f t="shared" si="94"/>
      </c>
      <c r="L372" s="26">
        <f>IFERROR(IF(P372=0,0,MAX($L$4:L371)+1),0)</f>
      </c>
      <c r="M372" s="5">
        <f t="shared" si="106"/>
      </c>
      <c r="N372" s="5">
        <f t="shared" si="107"/>
      </c>
      <c r="P372" s="86">
        <f t="shared" si="95"/>
      </c>
      <c r="Q372" s="86">
        <f t="shared" si="96"/>
      </c>
      <c r="R372" s="86">
        <f t="shared" si="97"/>
      </c>
      <c r="S372" s="86">
        <f t="shared" si="98"/>
      </c>
      <c r="T372" s="86">
        <f t="shared" si="108"/>
        <v/>
      </c>
      <c r="U372" s="86">
        <f t="shared" si="109"/>
        <v/>
      </c>
      <c r="V372" s="86">
        <f t="shared" si="110"/>
        <v/>
      </c>
      <c r="W372" s="87">
        <f t="shared" si="99"/>
      </c>
      <c r="X372" s="88"/>
      <c r="Y372" s="88"/>
      <c r="Z372" s="88"/>
      <c r="AA372" s="88"/>
      <c r="AB372" s="88"/>
      <c r="AD372" s="86">
        <f t="shared" si="100"/>
      </c>
      <c r="AE372" s="86">
        <f t="shared" si="101"/>
      </c>
      <c r="AG372" s="86">
        <f t="shared" si="102"/>
      </c>
      <c r="AH372" s="86">
        <f t="shared" si="103"/>
      </c>
      <c r="AI372" s="86">
        <f t="shared" si="104"/>
      </c>
    </row>
    <row r="373" spans="6:35" x14ac:dyDescent="0.3">
      <c r="F373" s="26">
        <f>IF(G373=1,MAX($F$4:F372)+1,"")</f>
        <v/>
      </c>
      <c r="G373" s="26">
        <f>COUNTIF($H$5:H373,H373)</f>
      </c>
      <c r="H373" s="26">
        <f t="shared" si="105"/>
      </c>
      <c r="I373" s="26">
        <f>COUNTIF($J$4:$J373,1)</f>
      </c>
      <c r="J373" s="26">
        <f>COUNTIF($S$5:$S373,S373)</f>
      </c>
      <c r="K373" s="26">
        <f t="shared" si="94"/>
      </c>
      <c r="L373" s="26">
        <f>IFERROR(IF(P373=0,0,MAX($L$4:L372)+1),0)</f>
      </c>
      <c r="M373" s="5">
        <f t="shared" si="106"/>
      </c>
      <c r="N373" s="5">
        <f t="shared" si="107"/>
      </c>
      <c r="P373" s="86">
        <f t="shared" si="95"/>
      </c>
      <c r="Q373" s="86">
        <f t="shared" si="96"/>
      </c>
      <c r="R373" s="86">
        <f t="shared" si="97"/>
      </c>
      <c r="S373" s="86">
        <f t="shared" si="98"/>
      </c>
      <c r="T373" s="86">
        <f t="shared" si="108"/>
        <v/>
      </c>
      <c r="U373" s="86">
        <f t="shared" si="109"/>
        <v/>
      </c>
      <c r="V373" s="86">
        <f t="shared" si="110"/>
        <v/>
      </c>
      <c r="W373" s="87">
        <f t="shared" si="99"/>
      </c>
      <c r="X373" s="88"/>
      <c r="Y373" s="88"/>
      <c r="Z373" s="88"/>
      <c r="AA373" s="88"/>
      <c r="AB373" s="88"/>
      <c r="AD373" s="86">
        <f t="shared" si="100"/>
      </c>
      <c r="AE373" s="86">
        <f t="shared" si="101"/>
      </c>
      <c r="AG373" s="86">
        <f t="shared" si="102"/>
      </c>
      <c r="AH373" s="86">
        <f t="shared" si="103"/>
      </c>
      <c r="AI373" s="86">
        <f t="shared" si="104"/>
      </c>
    </row>
    <row r="374" spans="6:35" x14ac:dyDescent="0.3">
      <c r="F374" s="26">
        <f>IF(G374=1,MAX($F$4:F373)+1,"")</f>
        <v/>
      </c>
      <c r="G374" s="26">
        <f>COUNTIF($H$5:H374,H374)</f>
      </c>
      <c r="H374" s="26">
        <f t="shared" si="105"/>
      </c>
      <c r="I374" s="26">
        <f>COUNTIF($J$4:$J374,1)</f>
      </c>
      <c r="J374" s="26">
        <f>COUNTIF($S$5:$S374,S374)</f>
      </c>
      <c r="K374" s="26">
        <f t="shared" si="94"/>
      </c>
      <c r="L374" s="26">
        <f>IFERROR(IF(P374=0,0,MAX($L$4:L373)+1),0)</f>
      </c>
      <c r="M374" s="5">
        <f t="shared" si="106"/>
      </c>
      <c r="N374" s="5">
        <f t="shared" si="107"/>
      </c>
      <c r="P374" s="86">
        <f t="shared" si="95"/>
      </c>
      <c r="Q374" s="86">
        <f t="shared" si="96"/>
      </c>
      <c r="R374" s="86">
        <f t="shared" si="97"/>
      </c>
      <c r="S374" s="86">
        <f t="shared" si="98"/>
      </c>
      <c r="T374" s="86">
        <f t="shared" si="108"/>
        <v/>
      </c>
      <c r="U374" s="86">
        <f t="shared" si="109"/>
        <v/>
      </c>
      <c r="V374" s="86">
        <f t="shared" si="110"/>
        <v/>
      </c>
      <c r="W374" s="87">
        <f t="shared" si="99"/>
      </c>
      <c r="X374" s="88"/>
      <c r="Y374" s="88"/>
      <c r="Z374" s="88"/>
      <c r="AA374" s="88"/>
      <c r="AB374" s="88"/>
      <c r="AD374" s="86">
        <f t="shared" si="100"/>
      </c>
      <c r="AE374" s="86">
        <f t="shared" si="101"/>
      </c>
      <c r="AG374" s="86">
        <f t="shared" si="102"/>
      </c>
      <c r="AH374" s="86">
        <f t="shared" si="103"/>
      </c>
      <c r="AI374" s="86">
        <f t="shared" si="104"/>
      </c>
    </row>
    <row r="375" spans="6:35" x14ac:dyDescent="0.3">
      <c r="F375" s="26">
        <f>IF(G375=1,MAX($F$4:F374)+1,"")</f>
        <v/>
      </c>
      <c r="G375" s="26">
        <f>COUNTIF($H$5:H375,H375)</f>
      </c>
      <c r="H375" s="26">
        <f t="shared" si="105"/>
      </c>
      <c r="I375" s="26">
        <f>COUNTIF($J$4:$J375,1)</f>
      </c>
      <c r="J375" s="26">
        <f>COUNTIF($S$5:$S375,S375)</f>
      </c>
      <c r="K375" s="26">
        <f t="shared" si="94"/>
      </c>
      <c r="L375" s="26">
        <f>IFERROR(IF(P375=0,0,MAX($L$4:L374)+1),0)</f>
      </c>
      <c r="M375" s="5">
        <f t="shared" si="106"/>
      </c>
      <c r="N375" s="5">
        <f t="shared" si="107"/>
      </c>
      <c r="P375" s="86">
        <f t="shared" si="95"/>
      </c>
      <c r="Q375" s="86">
        <f t="shared" si="96"/>
      </c>
      <c r="R375" s="86">
        <f t="shared" si="97"/>
      </c>
      <c r="S375" s="86">
        <f t="shared" si="98"/>
      </c>
      <c r="T375" s="86">
        <f t="shared" si="108"/>
        <v/>
      </c>
      <c r="U375" s="86">
        <f t="shared" si="109"/>
        <v/>
      </c>
      <c r="V375" s="86">
        <f t="shared" si="110"/>
        <v/>
      </c>
      <c r="W375" s="87">
        <f t="shared" si="99"/>
      </c>
      <c r="X375" s="88"/>
      <c r="Y375" s="88"/>
      <c r="Z375" s="88"/>
      <c r="AA375" s="88"/>
      <c r="AB375" s="88"/>
      <c r="AD375" s="86">
        <f t="shared" si="100"/>
      </c>
      <c r="AE375" s="86">
        <f t="shared" si="101"/>
      </c>
      <c r="AG375" s="86">
        <f t="shared" si="102"/>
      </c>
      <c r="AH375" s="86">
        <f t="shared" si="103"/>
      </c>
      <c r="AI375" s="86">
        <f t="shared" si="104"/>
      </c>
    </row>
    <row r="376" spans="6:35" x14ac:dyDescent="0.3">
      <c r="F376" s="26">
        <f>IF(G376=1,MAX($F$4:F375)+1,"")</f>
        <v/>
      </c>
      <c r="G376" s="26">
        <f>COUNTIF($H$5:H376,H376)</f>
      </c>
      <c r="H376" s="26">
        <f t="shared" si="105"/>
      </c>
      <c r="I376" s="26">
        <f>COUNTIF($J$4:$J376,1)</f>
      </c>
      <c r="J376" s="26">
        <f>COUNTIF($S$5:$S376,S376)</f>
      </c>
      <c r="K376" s="26">
        <f t="shared" si="94"/>
      </c>
      <c r="L376" s="26">
        <f>IFERROR(IF(P376=0,0,MAX($L$4:L375)+1),0)</f>
      </c>
      <c r="M376" s="5">
        <f t="shared" si="106"/>
      </c>
      <c r="N376" s="5">
        <f t="shared" si="107"/>
      </c>
      <c r="P376" s="86">
        <f t="shared" si="95"/>
      </c>
      <c r="Q376" s="86">
        <f t="shared" si="96"/>
      </c>
      <c r="R376" s="86">
        <f t="shared" si="97"/>
      </c>
      <c r="S376" s="86">
        <f t="shared" si="98"/>
      </c>
      <c r="T376" s="86">
        <f t="shared" si="108"/>
        <v/>
      </c>
      <c r="U376" s="86">
        <f t="shared" si="109"/>
        <v/>
      </c>
      <c r="V376" s="86">
        <f t="shared" si="110"/>
        <v/>
      </c>
      <c r="W376" s="87">
        <f t="shared" si="99"/>
      </c>
      <c r="X376" s="88"/>
      <c r="Y376" s="88"/>
      <c r="Z376" s="88"/>
      <c r="AA376" s="88"/>
      <c r="AB376" s="88"/>
      <c r="AD376" s="86">
        <f t="shared" si="100"/>
      </c>
      <c r="AE376" s="86">
        <f t="shared" si="101"/>
      </c>
      <c r="AG376" s="86">
        <f t="shared" si="102"/>
      </c>
      <c r="AH376" s="86">
        <f t="shared" si="103"/>
      </c>
      <c r="AI376" s="86">
        <f t="shared" si="104"/>
      </c>
    </row>
    <row r="377" spans="6:35" x14ac:dyDescent="0.3">
      <c r="F377" s="26">
        <f>IF(G377=1,MAX($F$4:F376)+1,"")</f>
        <v/>
      </c>
      <c r="G377" s="26">
        <f>COUNTIF($H$5:H377,H377)</f>
      </c>
      <c r="H377" s="26">
        <f t="shared" si="105"/>
      </c>
      <c r="I377" s="26">
        <f>COUNTIF($J$4:$J377,1)</f>
      </c>
      <c r="J377" s="26">
        <f>COUNTIF($S$5:$S377,S377)</f>
      </c>
      <c r="K377" s="26">
        <f t="shared" si="94"/>
      </c>
      <c r="L377" s="26">
        <f>IFERROR(IF(P377=0,0,MAX($L$4:L376)+1),0)</f>
      </c>
      <c r="M377" s="5">
        <f t="shared" si="106"/>
      </c>
      <c r="N377" s="5">
        <f t="shared" si="107"/>
      </c>
      <c r="P377" s="86">
        <f t="shared" si="95"/>
      </c>
      <c r="Q377" s="86">
        <f t="shared" si="96"/>
      </c>
      <c r="R377" s="86">
        <f t="shared" si="97"/>
      </c>
      <c r="S377" s="86">
        <f t="shared" si="98"/>
      </c>
      <c r="T377" s="86">
        <f t="shared" si="108"/>
        <v/>
      </c>
      <c r="U377" s="86">
        <f t="shared" si="109"/>
        <v/>
      </c>
      <c r="V377" s="86">
        <f t="shared" si="110"/>
        <v/>
      </c>
      <c r="W377" s="87">
        <f t="shared" si="99"/>
      </c>
      <c r="X377" s="88"/>
      <c r="Y377" s="88"/>
      <c r="Z377" s="88"/>
      <c r="AA377" s="88"/>
      <c r="AB377" s="88"/>
      <c r="AD377" s="86">
        <f t="shared" si="100"/>
      </c>
      <c r="AE377" s="86">
        <f t="shared" si="101"/>
      </c>
      <c r="AG377" s="86">
        <f t="shared" si="102"/>
      </c>
      <c r="AH377" s="86">
        <f t="shared" si="103"/>
      </c>
      <c r="AI377" s="86">
        <f t="shared" si="104"/>
      </c>
    </row>
    <row r="378" spans="6:35" x14ac:dyDescent="0.3">
      <c r="F378" s="26">
        <f>IF(G378=1,MAX($F$4:F377)+1,"")</f>
        <v/>
      </c>
      <c r="G378" s="26">
        <f>COUNTIF($H$5:H378,H378)</f>
      </c>
      <c r="H378" s="26">
        <f t="shared" si="105"/>
      </c>
      <c r="I378" s="26">
        <f>COUNTIF($J$4:$J378,1)</f>
      </c>
      <c r="J378" s="26">
        <f>COUNTIF($S$5:$S378,S378)</f>
      </c>
      <c r="K378" s="26">
        <f t="shared" si="94"/>
      </c>
      <c r="L378" s="26">
        <f>IFERROR(IF(P378=0,0,MAX($L$4:L377)+1),0)</f>
      </c>
      <c r="M378" s="5">
        <f t="shared" si="106"/>
      </c>
      <c r="N378" s="5">
        <f t="shared" si="107"/>
      </c>
      <c r="P378" s="86">
        <f t="shared" si="95"/>
      </c>
      <c r="Q378" s="86">
        <f t="shared" si="96"/>
      </c>
      <c r="R378" s="86">
        <f t="shared" si="97"/>
      </c>
      <c r="S378" s="86">
        <f t="shared" si="98"/>
      </c>
      <c r="T378" s="86">
        <f t="shared" si="108"/>
        <v/>
      </c>
      <c r="U378" s="86">
        <f t="shared" si="109"/>
        <v/>
      </c>
      <c r="V378" s="86">
        <f t="shared" si="110"/>
        <v/>
      </c>
      <c r="W378" s="87">
        <f t="shared" si="99"/>
      </c>
      <c r="X378" s="88"/>
      <c r="Y378" s="88"/>
      <c r="Z378" s="88"/>
      <c r="AA378" s="88"/>
      <c r="AB378" s="88"/>
      <c r="AD378" s="86">
        <f t="shared" si="100"/>
      </c>
      <c r="AE378" s="86">
        <f t="shared" si="101"/>
      </c>
      <c r="AG378" s="86">
        <f t="shared" si="102"/>
      </c>
      <c r="AH378" s="86">
        <f t="shared" si="103"/>
      </c>
      <c r="AI378" s="86">
        <f t="shared" si="104"/>
      </c>
    </row>
    <row r="379" spans="6:35" x14ac:dyDescent="0.3">
      <c r="F379" s="26">
        <f>IF(G379=1,MAX($F$4:F378)+1,"")</f>
        <v/>
      </c>
      <c r="G379" s="26">
        <f>COUNTIF($H$5:H379,H379)</f>
      </c>
      <c r="H379" s="26">
        <f t="shared" si="105"/>
      </c>
      <c r="I379" s="26">
        <f>COUNTIF($J$4:$J379,1)</f>
      </c>
      <c r="J379" s="26">
        <f>COUNTIF($S$5:$S379,S379)</f>
      </c>
      <c r="K379" s="26">
        <f t="shared" si="94"/>
      </c>
      <c r="L379" s="26">
        <f>IFERROR(IF(P379=0,0,MAX($L$4:L378)+1),0)</f>
      </c>
      <c r="M379" s="5">
        <f t="shared" si="106"/>
      </c>
      <c r="N379" s="5">
        <f t="shared" si="107"/>
      </c>
      <c r="P379" s="86">
        <f t="shared" si="95"/>
      </c>
      <c r="Q379" s="86">
        <f t="shared" si="96"/>
      </c>
      <c r="R379" s="86">
        <f t="shared" si="97"/>
      </c>
      <c r="S379" s="86">
        <f t="shared" si="98"/>
      </c>
      <c r="T379" s="86">
        <f t="shared" si="108"/>
        <v/>
      </c>
      <c r="U379" s="86">
        <f t="shared" si="109"/>
        <v/>
      </c>
      <c r="V379" s="86">
        <f t="shared" si="110"/>
        <v/>
      </c>
      <c r="W379" s="87">
        <f t="shared" si="99"/>
      </c>
      <c r="X379" s="88"/>
      <c r="Y379" s="88"/>
      <c r="Z379" s="88"/>
      <c r="AA379" s="88"/>
      <c r="AB379" s="88"/>
      <c r="AD379" s="86">
        <f t="shared" si="100"/>
      </c>
      <c r="AE379" s="86">
        <f t="shared" si="101"/>
      </c>
      <c r="AG379" s="86">
        <f t="shared" si="102"/>
      </c>
      <c r="AH379" s="86">
        <f t="shared" si="103"/>
      </c>
      <c r="AI379" s="86">
        <f t="shared" si="104"/>
      </c>
    </row>
    <row r="380" spans="6:35" x14ac:dyDescent="0.3">
      <c r="F380" s="26">
        <f>IF(G380=1,MAX($F$4:F379)+1,"")</f>
        <v/>
      </c>
      <c r="G380" s="26">
        <f>COUNTIF($H$5:H380,H380)</f>
      </c>
      <c r="H380" s="26">
        <f t="shared" si="105"/>
      </c>
      <c r="I380" s="26">
        <f>COUNTIF($J$4:$J380,1)</f>
      </c>
      <c r="J380" s="26">
        <f>COUNTIF($S$5:$S380,S380)</f>
      </c>
      <c r="K380" s="26">
        <f t="shared" si="94"/>
      </c>
      <c r="L380" s="26">
        <f>IFERROR(IF(P380=0,0,MAX($L$4:L379)+1),0)</f>
      </c>
      <c r="M380" s="5">
        <f t="shared" si="106"/>
      </c>
      <c r="N380" s="5">
        <f t="shared" si="107"/>
      </c>
      <c r="P380" s="86">
        <f t="shared" si="95"/>
      </c>
      <c r="Q380" s="86">
        <f t="shared" si="96"/>
      </c>
      <c r="R380" s="86">
        <f t="shared" si="97"/>
      </c>
      <c r="S380" s="86">
        <f t="shared" si="98"/>
      </c>
      <c r="T380" s="86">
        <f t="shared" si="108"/>
        <v/>
      </c>
      <c r="U380" s="86">
        <f t="shared" si="109"/>
        <v/>
      </c>
      <c r="V380" s="86">
        <f t="shared" si="110"/>
        <v/>
      </c>
      <c r="W380" s="87">
        <f t="shared" si="99"/>
      </c>
      <c r="X380" s="88"/>
      <c r="Y380" s="88"/>
      <c r="Z380" s="88"/>
      <c r="AA380" s="88"/>
      <c r="AB380" s="88"/>
      <c r="AD380" s="86">
        <f t="shared" si="100"/>
      </c>
      <c r="AE380" s="86">
        <f t="shared" si="101"/>
      </c>
      <c r="AG380" s="86">
        <f t="shared" si="102"/>
      </c>
      <c r="AH380" s="86">
        <f t="shared" si="103"/>
      </c>
      <c r="AI380" s="86">
        <f t="shared" si="104"/>
      </c>
    </row>
    <row r="381" spans="6:35" x14ac:dyDescent="0.3">
      <c r="F381" s="26">
        <f>IF(G381=1,MAX($F$4:F380)+1,"")</f>
        <v/>
      </c>
      <c r="G381" s="26">
        <f>COUNTIF($H$5:H381,H381)</f>
      </c>
      <c r="H381" s="26">
        <f t="shared" si="105"/>
      </c>
      <c r="I381" s="26">
        <f>COUNTIF($J$4:$J381,1)</f>
      </c>
      <c r="J381" s="26">
        <f>COUNTIF($S$5:$S381,S381)</f>
      </c>
      <c r="K381" s="26">
        <f t="shared" si="94"/>
      </c>
      <c r="L381" s="26">
        <f>IFERROR(IF(P381=0,0,MAX($L$4:L380)+1),0)</f>
      </c>
      <c r="M381" s="5">
        <f t="shared" si="106"/>
      </c>
      <c r="N381" s="5">
        <f t="shared" si="107"/>
      </c>
      <c r="P381" s="86">
        <f t="shared" si="95"/>
      </c>
      <c r="Q381" s="86">
        <f t="shared" si="96"/>
      </c>
      <c r="R381" s="86">
        <f t="shared" si="97"/>
      </c>
      <c r="S381" s="86">
        <f t="shared" si="98"/>
      </c>
      <c r="T381" s="86">
        <f t="shared" si="108"/>
        <v/>
      </c>
      <c r="U381" s="86">
        <f t="shared" si="109"/>
        <v/>
      </c>
      <c r="V381" s="86">
        <f t="shared" si="110"/>
        <v/>
      </c>
      <c r="W381" s="87">
        <f t="shared" si="99"/>
      </c>
      <c r="X381" s="88"/>
      <c r="Y381" s="88"/>
      <c r="Z381" s="88"/>
      <c r="AA381" s="88"/>
      <c r="AB381" s="88"/>
      <c r="AD381" s="86">
        <f t="shared" si="100"/>
      </c>
      <c r="AE381" s="86">
        <f t="shared" si="101"/>
      </c>
      <c r="AG381" s="86">
        <f t="shared" si="102"/>
      </c>
      <c r="AH381" s="86">
        <f t="shared" si="103"/>
      </c>
      <c r="AI381" s="86">
        <f t="shared" si="104"/>
      </c>
    </row>
    <row r="382" spans="6:35" x14ac:dyDescent="0.3">
      <c r="F382" s="26">
        <f>IF(G382=1,MAX($F$4:F381)+1,"")</f>
        <v/>
      </c>
      <c r="G382" s="26">
        <f>COUNTIF($H$5:H382,H382)</f>
      </c>
      <c r="H382" s="26">
        <f t="shared" si="105"/>
      </c>
      <c r="I382" s="26">
        <f>COUNTIF($J$4:$J382,1)</f>
      </c>
      <c r="J382" s="26">
        <f>COUNTIF($S$5:$S382,S382)</f>
      </c>
      <c r="K382" s="26">
        <f t="shared" si="94"/>
      </c>
      <c r="L382" s="26">
        <f>IFERROR(IF(P382=0,0,MAX($L$4:L381)+1),0)</f>
      </c>
      <c r="M382" s="5">
        <f t="shared" si="106"/>
      </c>
      <c r="N382" s="5">
        <f t="shared" si="107"/>
      </c>
      <c r="P382" s="86">
        <f t="shared" si="95"/>
      </c>
      <c r="Q382" s="86">
        <f t="shared" si="96"/>
      </c>
      <c r="R382" s="86">
        <f t="shared" si="97"/>
      </c>
      <c r="S382" s="86">
        <f t="shared" si="98"/>
      </c>
      <c r="T382" s="86">
        <f t="shared" si="108"/>
        <v/>
      </c>
      <c r="U382" s="86">
        <f t="shared" si="109"/>
        <v/>
      </c>
      <c r="V382" s="86">
        <f t="shared" si="110"/>
        <v/>
      </c>
      <c r="W382" s="87">
        <f t="shared" si="99"/>
      </c>
      <c r="X382" s="88"/>
      <c r="Y382" s="88"/>
      <c r="Z382" s="88"/>
      <c r="AA382" s="88"/>
      <c r="AB382" s="88"/>
      <c r="AD382" s="86">
        <f t="shared" si="100"/>
      </c>
      <c r="AE382" s="86">
        <f t="shared" si="101"/>
      </c>
      <c r="AG382" s="86">
        <f t="shared" si="102"/>
      </c>
      <c r="AH382" s="86">
        <f t="shared" si="103"/>
      </c>
      <c r="AI382" s="86">
        <f t="shared" si="104"/>
      </c>
    </row>
    <row r="383" spans="6:35" x14ac:dyDescent="0.3">
      <c r="F383" s="26">
        <f>IF(G383=1,MAX($F$4:F382)+1,"")</f>
        <v/>
      </c>
      <c r="G383" s="26">
        <f>COUNTIF($H$5:H383,H383)</f>
      </c>
      <c r="H383" s="26">
        <f t="shared" si="105"/>
      </c>
      <c r="I383" s="26">
        <f>COUNTIF($J$4:$J383,1)</f>
      </c>
      <c r="J383" s="26">
        <f>COUNTIF($S$5:$S383,S383)</f>
      </c>
      <c r="K383" s="26">
        <f t="shared" si="94"/>
      </c>
      <c r="L383" s="26">
        <f>IFERROR(IF(P383=0,0,MAX($L$4:L382)+1),0)</f>
      </c>
      <c r="M383" s="5">
        <f t="shared" si="106"/>
      </c>
      <c r="N383" s="5">
        <f t="shared" si="107"/>
      </c>
      <c r="P383" s="86">
        <f t="shared" si="95"/>
      </c>
      <c r="Q383" s="86">
        <f t="shared" si="96"/>
      </c>
      <c r="R383" s="86">
        <f t="shared" si="97"/>
      </c>
      <c r="S383" s="86">
        <f t="shared" si="98"/>
      </c>
      <c r="T383" s="86">
        <f t="shared" si="108"/>
        <v/>
      </c>
      <c r="U383" s="86">
        <f t="shared" si="109"/>
        <v/>
      </c>
      <c r="V383" s="86">
        <f t="shared" si="110"/>
        <v/>
      </c>
      <c r="W383" s="87">
        <f t="shared" si="99"/>
      </c>
      <c r="X383" s="88"/>
      <c r="Y383" s="88"/>
      <c r="Z383" s="88"/>
      <c r="AA383" s="88"/>
      <c r="AB383" s="88"/>
      <c r="AD383" s="86">
        <f t="shared" si="100"/>
      </c>
      <c r="AE383" s="86">
        <f t="shared" si="101"/>
      </c>
      <c r="AG383" s="86">
        <f t="shared" si="102"/>
      </c>
      <c r="AH383" s="86">
        <f t="shared" si="103"/>
      </c>
      <c r="AI383" s="86">
        <f t="shared" si="104"/>
      </c>
    </row>
    <row r="384" spans="6:35" x14ac:dyDescent="0.3">
      <c r="F384" s="26">
        <f>IF(G384=1,MAX($F$4:F383)+1,"")</f>
        <v/>
      </c>
      <c r="G384" s="26">
        <f>COUNTIF($H$5:H384,H384)</f>
      </c>
      <c r="H384" s="26">
        <f t="shared" si="105"/>
      </c>
      <c r="I384" s="26">
        <f>COUNTIF($J$4:$J384,1)</f>
      </c>
      <c r="J384" s="26">
        <f>COUNTIF($S$5:$S384,S384)</f>
      </c>
      <c r="K384" s="26">
        <f t="shared" si="94"/>
      </c>
      <c r="L384" s="26">
        <f>IFERROR(IF(P384=0,0,MAX($L$4:L383)+1),0)</f>
      </c>
      <c r="M384" s="5">
        <f t="shared" si="106"/>
      </c>
      <c r="N384" s="5">
        <f t="shared" si="107"/>
      </c>
      <c r="P384" s="86">
        <f t="shared" si="95"/>
      </c>
      <c r="Q384" s="86">
        <f t="shared" si="96"/>
      </c>
      <c r="R384" s="86">
        <f t="shared" si="97"/>
      </c>
      <c r="S384" s="86">
        <f t="shared" si="98"/>
      </c>
      <c r="T384" s="86">
        <f t="shared" si="108"/>
        <v/>
      </c>
      <c r="U384" s="86">
        <f t="shared" si="109"/>
        <v/>
      </c>
      <c r="V384" s="86">
        <f t="shared" si="110"/>
        <v/>
      </c>
      <c r="W384" s="87">
        <f t="shared" si="99"/>
      </c>
      <c r="X384" s="88"/>
      <c r="Y384" s="88"/>
      <c r="Z384" s="88"/>
      <c r="AA384" s="88"/>
      <c r="AB384" s="88"/>
      <c r="AD384" s="86">
        <f t="shared" si="100"/>
      </c>
      <c r="AE384" s="86">
        <f t="shared" si="101"/>
      </c>
      <c r="AG384" s="86">
        <f t="shared" si="102"/>
      </c>
      <c r="AH384" s="86">
        <f t="shared" si="103"/>
      </c>
      <c r="AI384" s="86">
        <f t="shared" si="104"/>
      </c>
    </row>
    <row r="385" spans="6:35" x14ac:dyDescent="0.3">
      <c r="F385" s="26">
        <f>IF(G385=1,MAX($F$4:F384)+1,"")</f>
        <v/>
      </c>
      <c r="G385" s="26">
        <f>COUNTIF($H$5:H385,H385)</f>
      </c>
      <c r="H385" s="26">
        <f t="shared" si="105"/>
      </c>
      <c r="I385" s="26">
        <f>COUNTIF($J$4:$J385,1)</f>
      </c>
      <c r="J385" s="26">
        <f>COUNTIF($S$5:$S385,S385)</f>
      </c>
      <c r="K385" s="26">
        <f t="shared" si="94"/>
      </c>
      <c r="L385" s="26">
        <f>IFERROR(IF(P385=0,0,MAX($L$4:L384)+1),0)</f>
      </c>
      <c r="M385" s="5">
        <f t="shared" si="106"/>
      </c>
      <c r="N385" s="5">
        <f t="shared" si="107"/>
      </c>
      <c r="P385" s="86">
        <f t="shared" si="95"/>
      </c>
      <c r="Q385" s="86">
        <f t="shared" si="96"/>
      </c>
      <c r="R385" s="86">
        <f t="shared" si="97"/>
      </c>
      <c r="S385" s="86">
        <f t="shared" si="98"/>
      </c>
      <c r="T385" s="86">
        <f t="shared" si="108"/>
        <v/>
      </c>
      <c r="U385" s="86">
        <f t="shared" si="109"/>
        <v/>
      </c>
      <c r="V385" s="86">
        <f t="shared" si="110"/>
        <v/>
      </c>
      <c r="W385" s="87">
        <f t="shared" si="99"/>
      </c>
      <c r="X385" s="88"/>
      <c r="Y385" s="88"/>
      <c r="Z385" s="88"/>
      <c r="AA385" s="88"/>
      <c r="AB385" s="88"/>
      <c r="AD385" s="86">
        <f t="shared" si="100"/>
      </c>
      <c r="AE385" s="86">
        <f t="shared" si="101"/>
      </c>
      <c r="AG385" s="86">
        <f t="shared" si="102"/>
      </c>
      <c r="AH385" s="86">
        <f t="shared" si="103"/>
      </c>
      <c r="AI385" s="86">
        <f t="shared" si="104"/>
      </c>
    </row>
    <row r="386" spans="6:35" x14ac:dyDescent="0.3">
      <c r="F386" s="26">
        <f>IF(G386=1,MAX($F$4:F385)+1,"")</f>
        <v/>
      </c>
      <c r="G386" s="26">
        <f>COUNTIF($H$5:H386,H386)</f>
      </c>
      <c r="H386" s="26">
        <f t="shared" si="105"/>
      </c>
      <c r="I386" s="26">
        <f>COUNTIF($J$4:$J386,1)</f>
      </c>
      <c r="J386" s="26">
        <f>COUNTIF($S$5:$S386,S386)</f>
      </c>
      <c r="K386" s="26">
        <f t="shared" si="94"/>
      </c>
      <c r="L386" s="26">
        <f>IFERROR(IF(P386=0,0,MAX($L$4:L385)+1),0)</f>
      </c>
      <c r="M386" s="5">
        <f t="shared" si="106"/>
      </c>
      <c r="N386" s="5">
        <f t="shared" si="107"/>
      </c>
      <c r="P386" s="86">
        <f t="shared" si="95"/>
      </c>
      <c r="Q386" s="86">
        <f t="shared" si="96"/>
      </c>
      <c r="R386" s="86">
        <f t="shared" si="97"/>
      </c>
      <c r="S386" s="86">
        <f t="shared" si="98"/>
      </c>
      <c r="T386" s="86">
        <f t="shared" si="108"/>
        <v/>
      </c>
      <c r="U386" s="86">
        <f t="shared" si="109"/>
        <v/>
      </c>
      <c r="V386" s="86">
        <f t="shared" si="110"/>
        <v/>
      </c>
      <c r="W386" s="87">
        <f t="shared" si="99"/>
      </c>
      <c r="X386" s="88"/>
      <c r="Y386" s="88"/>
      <c r="Z386" s="88"/>
      <c r="AA386" s="88"/>
      <c r="AB386" s="88"/>
      <c r="AD386" s="86">
        <f t="shared" si="100"/>
      </c>
      <c r="AE386" s="86">
        <f t="shared" si="101"/>
      </c>
      <c r="AG386" s="86">
        <f t="shared" si="102"/>
      </c>
      <c r="AH386" s="86">
        <f t="shared" si="103"/>
      </c>
      <c r="AI386" s="86">
        <f t="shared" si="104"/>
      </c>
    </row>
    <row r="387" spans="6:35" x14ac:dyDescent="0.3">
      <c r="F387" s="26">
        <f>IF(G387=1,MAX($F$4:F386)+1,"")</f>
        <v/>
      </c>
      <c r="G387" s="26">
        <f>COUNTIF($H$5:H387,H387)</f>
      </c>
      <c r="H387" s="26">
        <f t="shared" si="105"/>
      </c>
      <c r="I387" s="26">
        <f>COUNTIF($J$4:$J387,1)</f>
      </c>
      <c r="J387" s="26">
        <f>COUNTIF($S$5:$S387,S387)</f>
      </c>
      <c r="K387" s="26">
        <f t="shared" si="94"/>
      </c>
      <c r="L387" s="26">
        <f>IFERROR(IF(P387=0,0,MAX($L$4:L386)+1),0)</f>
      </c>
      <c r="M387" s="5">
        <f t="shared" si="106"/>
      </c>
      <c r="N387" s="5">
        <f t="shared" si="107"/>
      </c>
      <c r="P387" s="86">
        <f t="shared" si="95"/>
      </c>
      <c r="Q387" s="86">
        <f t="shared" si="96"/>
      </c>
      <c r="R387" s="86">
        <f t="shared" si="97"/>
      </c>
      <c r="S387" s="86">
        <f t="shared" si="98"/>
      </c>
      <c r="T387" s="86">
        <f t="shared" si="108"/>
        <v/>
      </c>
      <c r="U387" s="86">
        <f t="shared" si="109"/>
        <v/>
      </c>
      <c r="V387" s="86">
        <f t="shared" si="110"/>
        <v/>
      </c>
      <c r="W387" s="87">
        <f t="shared" si="99"/>
      </c>
      <c r="X387" s="88"/>
      <c r="Y387" s="88"/>
      <c r="Z387" s="88"/>
      <c r="AA387" s="88"/>
      <c r="AB387" s="88"/>
      <c r="AD387" s="86">
        <f t="shared" si="100"/>
      </c>
      <c r="AE387" s="86">
        <f t="shared" si="101"/>
      </c>
      <c r="AG387" s="86">
        <f t="shared" si="102"/>
      </c>
      <c r="AH387" s="86">
        <f t="shared" si="103"/>
      </c>
      <c r="AI387" s="86">
        <f t="shared" si="104"/>
      </c>
    </row>
    <row r="388" spans="6:35" x14ac:dyDescent="0.3">
      <c r="F388" s="26">
        <f>IF(G388=1,MAX($F$4:F387)+1,"")</f>
        <v/>
      </c>
      <c r="G388" s="26">
        <f>COUNTIF($H$5:H388,H388)</f>
      </c>
      <c r="H388" s="26">
        <f t="shared" si="105"/>
      </c>
      <c r="I388" s="26">
        <f>COUNTIF($J$4:$J388,1)</f>
      </c>
      <c r="J388" s="26">
        <f>COUNTIF($S$5:$S388,S388)</f>
      </c>
      <c r="K388" s="26">
        <f t="shared" si="94"/>
      </c>
      <c r="L388" s="26">
        <f>IFERROR(IF(P388=0,0,MAX($L$4:L387)+1),0)</f>
      </c>
      <c r="M388" s="5">
        <f t="shared" si="106"/>
      </c>
      <c r="N388" s="5">
        <f t="shared" si="107"/>
      </c>
      <c r="P388" s="86">
        <f t="shared" si="95"/>
      </c>
      <c r="Q388" s="86">
        <f t="shared" si="96"/>
      </c>
      <c r="R388" s="86">
        <f t="shared" si="97"/>
      </c>
      <c r="S388" s="86">
        <f t="shared" si="98"/>
      </c>
      <c r="T388" s="86">
        <f t="shared" si="108"/>
        <v/>
      </c>
      <c r="U388" s="86">
        <f t="shared" si="109"/>
        <v/>
      </c>
      <c r="V388" s="86">
        <f t="shared" si="110"/>
        <v/>
      </c>
      <c r="W388" s="87">
        <f t="shared" si="99"/>
      </c>
      <c r="X388" s="88"/>
      <c r="Y388" s="88"/>
      <c r="Z388" s="88"/>
      <c r="AA388" s="88"/>
      <c r="AB388" s="88"/>
      <c r="AD388" s="86">
        <f t="shared" si="100"/>
      </c>
      <c r="AE388" s="86">
        <f t="shared" si="101"/>
      </c>
      <c r="AG388" s="86">
        <f t="shared" si="102"/>
      </c>
      <c r="AH388" s="86">
        <f t="shared" si="103"/>
      </c>
      <c r="AI388" s="86">
        <f t="shared" si="104"/>
      </c>
    </row>
    <row r="389" spans="6:35" x14ac:dyDescent="0.3">
      <c r="F389" s="26">
        <f>IF(G389=1,MAX($F$4:F388)+1,"")</f>
        <v/>
      </c>
      <c r="G389" s="26">
        <f>COUNTIF($H$5:H389,H389)</f>
      </c>
      <c r="H389" s="26">
        <f t="shared" si="105"/>
      </c>
      <c r="I389" s="26">
        <f>COUNTIF($J$4:$J389,1)</f>
      </c>
      <c r="J389" s="26">
        <f>COUNTIF($S$5:$S389,S389)</f>
      </c>
      <c r="K389" s="26">
        <f t="shared" ref="K389:K452" si="111">VLOOKUP(P389,Исходные_данные,19,FALSE)</f>
      </c>
      <c r="L389" s="26">
        <f>IFERROR(IF(P389=0,0,MAX($L$4:L388)+1),0)</f>
      </c>
      <c r="M389" s="5">
        <f t="shared" si="106"/>
      </c>
      <c r="N389" s="5">
        <f t="shared" si="107"/>
      </c>
      <c r="P389" s="86">
        <f t="shared" ref="P389:P452" si="112">VLOOKUP(ROW(385:385),Разбивка_нумерация_5,4,FALSE)</f>
      </c>
      <c r="Q389" s="86">
        <f t="shared" ref="Q389:Q452" si="113">IF(VLOOKUP(ROW(385:385),Разбивка_нумерация_5,3,FALSE)=0,VLOOKUP(ROW(385:385),Разбивка_нумерация_5,2,FALSE),VLOOKUP(ROW(385:385),Разбивка_нумерация_5,3,FALSE))</f>
      </c>
      <c r="R389" s="86">
        <f t="shared" ref="R389:R452" si="114">VLOOKUP(ROW(385:385),Разбивка_нумерация_5,6,FALSE)</f>
      </c>
      <c r="S389" s="86">
        <f t="shared" ref="S389:S452" si="115">VLOOKUP(ROW(385:385),Разбивка_нумерация_5,17,FALSE)</f>
      </c>
      <c r="T389" s="86">
        <f t="shared" si="108"/>
        <v/>
      </c>
      <c r="U389" s="86">
        <f t="shared" si="109"/>
        <v/>
      </c>
      <c r="V389" s="86">
        <f t="shared" si="110"/>
        <v/>
      </c>
      <c r="W389" s="87">
        <f t="shared" ref="W389:W452" si="116">VLOOKUP(P389,Исходные_данные,13,FALSE)</f>
      </c>
      <c r="X389" s="88"/>
      <c r="Y389" s="88"/>
      <c r="Z389" s="88"/>
      <c r="AA389" s="88"/>
      <c r="AB389" s="88"/>
      <c r="AD389" s="86">
        <f t="shared" ref="AD389:AD452" si="117">VLOOKUP(S389,Кабель_диаметр,4,FALSE)</f>
      </c>
      <c r="AE389" s="86">
        <f t="shared" ref="AE389:AE452" si="118">VLOOKUP(S389,Кабель_диаметр,5,FALSE)</f>
      </c>
      <c r="AG389" s="86">
        <f t="shared" ref="AG389:AG452" si="119">IFERROR(VLOOKUP(P389,Исходные_данные,10,FALSE),0)</f>
      </c>
      <c r="AH389" s="86">
        <f t="shared" ref="AH389:AH452" si="120">IFERROR(VLOOKUP(P389,Исходные_данные,11,FALSE),0)</f>
      </c>
      <c r="AI389" s="86">
        <f t="shared" ref="AI389:AI452" si="121">IFERROR(VLOOKUP(P389,Исходные_данные,12,FALSE),0)</f>
      </c>
    </row>
    <row r="390" spans="6:35" x14ac:dyDescent="0.3">
      <c r="F390" s="26">
        <f>IF(G390=1,MAX($F$4:F389)+1,"")</f>
        <v/>
      </c>
      <c r="G390" s="26">
        <f>COUNTIF($H$5:H390,H390)</f>
      </c>
      <c r="H390" s="26">
        <f t="shared" ref="H390:H453" si="122">S390&amp;" "&amp;K390</f>
      </c>
      <c r="I390" s="26">
        <f>COUNTIF($J$4:$J390,1)</f>
      </c>
      <c r="J390" s="26">
        <f>COUNTIF($S$5:$S390,S390)</f>
      </c>
      <c r="K390" s="26">
        <f t="shared" si="111"/>
      </c>
      <c r="L390" s="26">
        <f>IFERROR(IF(P390=0,0,MAX($L$4:L389)+1),0)</f>
      </c>
      <c r="M390" s="5">
        <f t="shared" ref="M390:M453" si="123">LEFT(P390,SEARCH(".",P390)-1)</f>
      </c>
      <c r="N390" s="5">
        <f t="shared" ref="N390:N453" si="124">LEFT(RIGHT(P390,LEN(P390)-LEN(M390)-1),SEARCH(".",P390)-1)</f>
      </c>
      <c r="P390" s="86">
        <f t="shared" si="112"/>
      </c>
      <c r="Q390" s="86">
        <f t="shared" si="113"/>
      </c>
      <c r="R390" s="86">
        <f t="shared" si="114"/>
      </c>
      <c r="S390" s="86">
        <f t="shared" si="115"/>
      </c>
      <c r="T390" s="86">
        <f t="shared" ref="T390:T453" si="125">IF(AG390=0,"","L="&amp;AG390)</f>
        <v/>
      </c>
      <c r="U390" s="86">
        <f t="shared" ref="U390:U453" si="126">IF(AH390=0,"",AD390&amp;" L="&amp;AH390)</f>
        <v/>
      </c>
      <c r="V390" s="86">
        <f t="shared" ref="V390:V453" si="127">IF(AI390=0,"",AE390&amp;" L="&amp;AI390)</f>
        <v/>
      </c>
      <c r="W390" s="87">
        <f t="shared" si="116"/>
      </c>
      <c r="X390" s="88"/>
      <c r="Y390" s="88"/>
      <c r="Z390" s="88"/>
      <c r="AA390" s="88"/>
      <c r="AB390" s="88"/>
      <c r="AD390" s="86">
        <f t="shared" si="117"/>
      </c>
      <c r="AE390" s="86">
        <f t="shared" si="118"/>
      </c>
      <c r="AG390" s="86">
        <f t="shared" si="119"/>
      </c>
      <c r="AH390" s="86">
        <f t="shared" si="120"/>
      </c>
      <c r="AI390" s="86">
        <f t="shared" si="121"/>
      </c>
    </row>
    <row r="391" spans="6:35" x14ac:dyDescent="0.3">
      <c r="F391" s="26">
        <f>IF(G391=1,MAX($F$4:F390)+1,"")</f>
        <v/>
      </c>
      <c r="G391" s="26">
        <f>COUNTIF($H$5:H391,H391)</f>
      </c>
      <c r="H391" s="26">
        <f t="shared" si="122"/>
      </c>
      <c r="I391" s="26">
        <f>COUNTIF($J$4:$J391,1)</f>
      </c>
      <c r="J391" s="26">
        <f>COUNTIF($S$5:$S391,S391)</f>
      </c>
      <c r="K391" s="26">
        <f t="shared" si="111"/>
      </c>
      <c r="L391" s="26">
        <f>IFERROR(IF(P391=0,0,MAX($L$4:L390)+1),0)</f>
      </c>
      <c r="M391" s="5">
        <f t="shared" si="123"/>
      </c>
      <c r="N391" s="5">
        <f t="shared" si="124"/>
      </c>
      <c r="P391" s="86">
        <f t="shared" si="112"/>
      </c>
      <c r="Q391" s="86">
        <f t="shared" si="113"/>
      </c>
      <c r="R391" s="86">
        <f t="shared" si="114"/>
      </c>
      <c r="S391" s="86">
        <f t="shared" si="115"/>
      </c>
      <c r="T391" s="86">
        <f t="shared" si="125"/>
        <v/>
      </c>
      <c r="U391" s="86">
        <f t="shared" si="126"/>
        <v/>
      </c>
      <c r="V391" s="86">
        <f t="shared" si="127"/>
        <v/>
      </c>
      <c r="W391" s="87">
        <f t="shared" si="116"/>
      </c>
      <c r="X391" s="88"/>
      <c r="Y391" s="88"/>
      <c r="Z391" s="88"/>
      <c r="AA391" s="88"/>
      <c r="AB391" s="88"/>
      <c r="AD391" s="86">
        <f t="shared" si="117"/>
      </c>
      <c r="AE391" s="86">
        <f t="shared" si="118"/>
      </c>
      <c r="AG391" s="86">
        <f t="shared" si="119"/>
      </c>
      <c r="AH391" s="86">
        <f t="shared" si="120"/>
      </c>
      <c r="AI391" s="86">
        <f t="shared" si="121"/>
      </c>
    </row>
    <row r="392" spans="6:35" x14ac:dyDescent="0.3">
      <c r="F392" s="26">
        <f>IF(G392=1,MAX($F$4:F391)+1,"")</f>
        <v/>
      </c>
      <c r="G392" s="26">
        <f>COUNTIF($H$5:H392,H392)</f>
      </c>
      <c r="H392" s="26">
        <f t="shared" si="122"/>
      </c>
      <c r="I392" s="26">
        <f>COUNTIF($J$4:$J392,1)</f>
      </c>
      <c r="J392" s="26">
        <f>COUNTIF($S$5:$S392,S392)</f>
      </c>
      <c r="K392" s="26">
        <f t="shared" si="111"/>
      </c>
      <c r="L392" s="26">
        <f>IFERROR(IF(P392=0,0,MAX($L$4:L391)+1),0)</f>
      </c>
      <c r="M392" s="5">
        <f t="shared" si="123"/>
      </c>
      <c r="N392" s="5">
        <f t="shared" si="124"/>
      </c>
      <c r="P392" s="86">
        <f t="shared" si="112"/>
      </c>
      <c r="Q392" s="86">
        <f t="shared" si="113"/>
      </c>
      <c r="R392" s="86">
        <f t="shared" si="114"/>
      </c>
      <c r="S392" s="86">
        <f t="shared" si="115"/>
      </c>
      <c r="T392" s="86">
        <f t="shared" si="125"/>
        <v/>
      </c>
      <c r="U392" s="86">
        <f t="shared" si="126"/>
        <v/>
      </c>
      <c r="V392" s="86">
        <f t="shared" si="127"/>
        <v/>
      </c>
      <c r="W392" s="87">
        <f t="shared" si="116"/>
      </c>
      <c r="X392" s="88"/>
      <c r="Y392" s="88"/>
      <c r="Z392" s="88"/>
      <c r="AA392" s="88"/>
      <c r="AB392" s="88"/>
      <c r="AD392" s="86">
        <f t="shared" si="117"/>
      </c>
      <c r="AE392" s="86">
        <f t="shared" si="118"/>
      </c>
      <c r="AG392" s="86">
        <f t="shared" si="119"/>
      </c>
      <c r="AH392" s="86">
        <f t="shared" si="120"/>
      </c>
      <c r="AI392" s="86">
        <f t="shared" si="121"/>
      </c>
    </row>
    <row r="393" spans="6:35" x14ac:dyDescent="0.3">
      <c r="F393" s="26">
        <f>IF(G393=1,MAX($F$4:F392)+1,"")</f>
        <v/>
      </c>
      <c r="G393" s="26">
        <f>COUNTIF($H$5:H393,H393)</f>
      </c>
      <c r="H393" s="26">
        <f t="shared" si="122"/>
      </c>
      <c r="I393" s="26">
        <f>COUNTIF($J$4:$J393,1)</f>
      </c>
      <c r="J393" s="26">
        <f>COUNTIF($S$5:$S393,S393)</f>
      </c>
      <c r="K393" s="26">
        <f t="shared" si="111"/>
      </c>
      <c r="L393" s="26">
        <f>IFERROR(IF(P393=0,0,MAX($L$4:L392)+1),0)</f>
      </c>
      <c r="M393" s="5">
        <f t="shared" si="123"/>
      </c>
      <c r="N393" s="5">
        <f t="shared" si="124"/>
      </c>
      <c r="P393" s="86">
        <f t="shared" si="112"/>
      </c>
      <c r="Q393" s="86">
        <f t="shared" si="113"/>
      </c>
      <c r="R393" s="86">
        <f t="shared" si="114"/>
      </c>
      <c r="S393" s="86">
        <f t="shared" si="115"/>
      </c>
      <c r="T393" s="86">
        <f t="shared" si="125"/>
        <v/>
      </c>
      <c r="U393" s="86">
        <f t="shared" si="126"/>
        <v/>
      </c>
      <c r="V393" s="86">
        <f t="shared" si="127"/>
        <v/>
      </c>
      <c r="W393" s="87">
        <f t="shared" si="116"/>
      </c>
      <c r="X393" s="88"/>
      <c r="Y393" s="88"/>
      <c r="Z393" s="88"/>
      <c r="AA393" s="88"/>
      <c r="AB393" s="88"/>
      <c r="AD393" s="86">
        <f t="shared" si="117"/>
      </c>
      <c r="AE393" s="86">
        <f t="shared" si="118"/>
      </c>
      <c r="AG393" s="86">
        <f t="shared" si="119"/>
      </c>
      <c r="AH393" s="86">
        <f t="shared" si="120"/>
      </c>
      <c r="AI393" s="86">
        <f t="shared" si="121"/>
      </c>
    </row>
    <row r="394" spans="6:35" x14ac:dyDescent="0.3">
      <c r="F394" s="26">
        <f>IF(G394=1,MAX($F$4:F393)+1,"")</f>
        <v/>
      </c>
      <c r="G394" s="26">
        <f>COUNTIF($H$5:H394,H394)</f>
      </c>
      <c r="H394" s="26">
        <f t="shared" si="122"/>
      </c>
      <c r="I394" s="26">
        <f>COUNTIF($J$4:$J394,1)</f>
      </c>
      <c r="J394" s="26">
        <f>COUNTIF($S$5:$S394,S394)</f>
      </c>
      <c r="K394" s="26">
        <f t="shared" si="111"/>
      </c>
      <c r="L394" s="26">
        <f>IFERROR(IF(P394=0,0,MAX($L$4:L393)+1),0)</f>
      </c>
      <c r="M394" s="5">
        <f t="shared" si="123"/>
      </c>
      <c r="N394" s="5">
        <f t="shared" si="124"/>
      </c>
      <c r="P394" s="86">
        <f t="shared" si="112"/>
      </c>
      <c r="Q394" s="86">
        <f t="shared" si="113"/>
      </c>
      <c r="R394" s="86">
        <f t="shared" si="114"/>
      </c>
      <c r="S394" s="86">
        <f t="shared" si="115"/>
      </c>
      <c r="T394" s="86">
        <f t="shared" si="125"/>
        <v/>
      </c>
      <c r="U394" s="86">
        <f t="shared" si="126"/>
        <v/>
      </c>
      <c r="V394" s="86">
        <f t="shared" si="127"/>
        <v/>
      </c>
      <c r="W394" s="87">
        <f t="shared" si="116"/>
      </c>
      <c r="X394" s="88"/>
      <c r="Y394" s="88"/>
      <c r="Z394" s="88"/>
      <c r="AA394" s="88"/>
      <c r="AB394" s="88"/>
      <c r="AD394" s="86">
        <f t="shared" si="117"/>
      </c>
      <c r="AE394" s="86">
        <f t="shared" si="118"/>
      </c>
      <c r="AG394" s="86">
        <f t="shared" si="119"/>
      </c>
      <c r="AH394" s="86">
        <f t="shared" si="120"/>
      </c>
      <c r="AI394" s="86">
        <f t="shared" si="121"/>
      </c>
    </row>
    <row r="395" spans="6:35" x14ac:dyDescent="0.3">
      <c r="F395" s="26">
        <f>IF(G395=1,MAX($F$4:F394)+1,"")</f>
        <v/>
      </c>
      <c r="G395" s="26">
        <f>COUNTIF($H$5:H395,H395)</f>
      </c>
      <c r="H395" s="26">
        <f t="shared" si="122"/>
      </c>
      <c r="I395" s="26">
        <f>COUNTIF($J$4:$J395,1)</f>
      </c>
      <c r="J395" s="26">
        <f>COUNTIF($S$5:$S395,S395)</f>
      </c>
      <c r="K395" s="26">
        <f t="shared" si="111"/>
      </c>
      <c r="L395" s="26">
        <f>IFERROR(IF(P395=0,0,MAX($L$4:L394)+1),0)</f>
      </c>
      <c r="M395" s="5">
        <f t="shared" si="123"/>
      </c>
      <c r="N395" s="5">
        <f t="shared" si="124"/>
      </c>
      <c r="P395" s="86">
        <f t="shared" si="112"/>
      </c>
      <c r="Q395" s="86">
        <f t="shared" si="113"/>
      </c>
      <c r="R395" s="86">
        <f t="shared" si="114"/>
      </c>
      <c r="S395" s="86">
        <f t="shared" si="115"/>
      </c>
      <c r="T395" s="86">
        <f t="shared" si="125"/>
        <v/>
      </c>
      <c r="U395" s="86">
        <f t="shared" si="126"/>
        <v/>
      </c>
      <c r="V395" s="86">
        <f t="shared" si="127"/>
        <v/>
      </c>
      <c r="W395" s="87">
        <f t="shared" si="116"/>
      </c>
      <c r="X395" s="88"/>
      <c r="Y395" s="88"/>
      <c r="Z395" s="88"/>
      <c r="AA395" s="88"/>
      <c r="AB395" s="88"/>
      <c r="AD395" s="86">
        <f t="shared" si="117"/>
      </c>
      <c r="AE395" s="86">
        <f t="shared" si="118"/>
      </c>
      <c r="AG395" s="86">
        <f t="shared" si="119"/>
      </c>
      <c r="AH395" s="86">
        <f t="shared" si="120"/>
      </c>
      <c r="AI395" s="86">
        <f t="shared" si="121"/>
      </c>
    </row>
    <row r="396" spans="6:35" x14ac:dyDescent="0.3">
      <c r="F396" s="26">
        <f>IF(G396=1,MAX($F$4:F395)+1,"")</f>
        <v/>
      </c>
      <c r="G396" s="26">
        <f>COUNTIF($H$5:H396,H396)</f>
      </c>
      <c r="H396" s="26">
        <f t="shared" si="122"/>
      </c>
      <c r="I396" s="26">
        <f>COUNTIF($J$4:$J396,1)</f>
      </c>
      <c r="J396" s="26">
        <f>COUNTIF($S$5:$S396,S396)</f>
      </c>
      <c r="K396" s="26">
        <f t="shared" si="111"/>
      </c>
      <c r="L396" s="26">
        <f>IFERROR(IF(P396=0,0,MAX($L$4:L395)+1),0)</f>
      </c>
      <c r="M396" s="5">
        <f t="shared" si="123"/>
      </c>
      <c r="N396" s="5">
        <f t="shared" si="124"/>
      </c>
      <c r="P396" s="86">
        <f t="shared" si="112"/>
      </c>
      <c r="Q396" s="86">
        <f t="shared" si="113"/>
      </c>
      <c r="R396" s="86">
        <f t="shared" si="114"/>
      </c>
      <c r="S396" s="86">
        <f t="shared" si="115"/>
      </c>
      <c r="T396" s="86">
        <f t="shared" si="125"/>
        <v/>
      </c>
      <c r="U396" s="86">
        <f t="shared" si="126"/>
        <v/>
      </c>
      <c r="V396" s="86">
        <f t="shared" si="127"/>
        <v/>
      </c>
      <c r="W396" s="87">
        <f t="shared" si="116"/>
      </c>
      <c r="X396" s="88"/>
      <c r="Y396" s="88"/>
      <c r="Z396" s="88"/>
      <c r="AA396" s="88"/>
      <c r="AB396" s="88"/>
      <c r="AD396" s="86">
        <f t="shared" si="117"/>
      </c>
      <c r="AE396" s="86">
        <f t="shared" si="118"/>
      </c>
      <c r="AG396" s="86">
        <f t="shared" si="119"/>
      </c>
      <c r="AH396" s="86">
        <f t="shared" si="120"/>
      </c>
      <c r="AI396" s="86">
        <f t="shared" si="121"/>
      </c>
    </row>
    <row r="397" spans="6:35" x14ac:dyDescent="0.3">
      <c r="F397" s="26">
        <f>IF(G397=1,MAX($F$4:F396)+1,"")</f>
        <v/>
      </c>
      <c r="G397" s="26">
        <f>COUNTIF($H$5:H397,H397)</f>
      </c>
      <c r="H397" s="26">
        <f t="shared" si="122"/>
      </c>
      <c r="I397" s="26">
        <f>COUNTIF($J$4:$J397,1)</f>
      </c>
      <c r="J397" s="26">
        <f>COUNTIF($S$5:$S397,S397)</f>
      </c>
      <c r="K397" s="26">
        <f t="shared" si="111"/>
      </c>
      <c r="L397" s="26">
        <f>IFERROR(IF(P397=0,0,MAX($L$4:L396)+1),0)</f>
      </c>
      <c r="M397" s="5">
        <f t="shared" si="123"/>
      </c>
      <c r="N397" s="5">
        <f t="shared" si="124"/>
      </c>
      <c r="P397" s="86">
        <f t="shared" si="112"/>
      </c>
      <c r="Q397" s="86">
        <f t="shared" si="113"/>
      </c>
      <c r="R397" s="86">
        <f t="shared" si="114"/>
      </c>
      <c r="S397" s="86">
        <f t="shared" si="115"/>
      </c>
      <c r="T397" s="86">
        <f t="shared" si="125"/>
        <v/>
      </c>
      <c r="U397" s="86">
        <f t="shared" si="126"/>
        <v/>
      </c>
      <c r="V397" s="86">
        <f t="shared" si="127"/>
        <v/>
      </c>
      <c r="W397" s="87">
        <f t="shared" si="116"/>
      </c>
      <c r="X397" s="88"/>
      <c r="Y397" s="88"/>
      <c r="Z397" s="88"/>
      <c r="AA397" s="88"/>
      <c r="AB397" s="88"/>
      <c r="AD397" s="86">
        <f t="shared" si="117"/>
      </c>
      <c r="AE397" s="86">
        <f t="shared" si="118"/>
      </c>
      <c r="AG397" s="86">
        <f t="shared" si="119"/>
      </c>
      <c r="AH397" s="86">
        <f t="shared" si="120"/>
      </c>
      <c r="AI397" s="86">
        <f t="shared" si="121"/>
      </c>
    </row>
    <row r="398" spans="6:35" x14ac:dyDescent="0.3">
      <c r="F398" s="26">
        <f>IF(G398=1,MAX($F$4:F397)+1,"")</f>
        <v/>
      </c>
      <c r="G398" s="26">
        <f>COUNTIF($H$5:H398,H398)</f>
      </c>
      <c r="H398" s="26">
        <f t="shared" si="122"/>
      </c>
      <c r="I398" s="26">
        <f>COUNTIF($J$4:$J398,1)</f>
      </c>
      <c r="J398" s="26">
        <f>COUNTIF($S$5:$S398,S398)</f>
      </c>
      <c r="K398" s="26">
        <f t="shared" si="111"/>
      </c>
      <c r="L398" s="26">
        <f>IFERROR(IF(P398=0,0,MAX($L$4:L397)+1),0)</f>
      </c>
      <c r="M398" s="5">
        <f t="shared" si="123"/>
      </c>
      <c r="N398" s="5">
        <f t="shared" si="124"/>
      </c>
      <c r="P398" s="86">
        <f t="shared" si="112"/>
      </c>
      <c r="Q398" s="86">
        <f t="shared" si="113"/>
      </c>
      <c r="R398" s="86">
        <f t="shared" si="114"/>
      </c>
      <c r="S398" s="86">
        <f t="shared" si="115"/>
      </c>
      <c r="T398" s="86">
        <f t="shared" si="125"/>
        <v/>
      </c>
      <c r="U398" s="86">
        <f t="shared" si="126"/>
        <v/>
      </c>
      <c r="V398" s="86">
        <f t="shared" si="127"/>
        <v/>
      </c>
      <c r="W398" s="87">
        <f t="shared" si="116"/>
      </c>
      <c r="X398" s="88"/>
      <c r="Y398" s="88"/>
      <c r="Z398" s="88"/>
      <c r="AA398" s="88"/>
      <c r="AB398" s="88"/>
      <c r="AD398" s="86">
        <f t="shared" si="117"/>
      </c>
      <c r="AE398" s="86">
        <f t="shared" si="118"/>
      </c>
      <c r="AG398" s="86">
        <f t="shared" si="119"/>
      </c>
      <c r="AH398" s="86">
        <f t="shared" si="120"/>
      </c>
      <c r="AI398" s="86">
        <f t="shared" si="121"/>
      </c>
    </row>
    <row r="399" spans="6:35" x14ac:dyDescent="0.3">
      <c r="F399" s="26">
        <f>IF(G399=1,MAX($F$4:F398)+1,"")</f>
        <v/>
      </c>
      <c r="G399" s="26">
        <f>COUNTIF($H$5:H399,H399)</f>
      </c>
      <c r="H399" s="26">
        <f t="shared" si="122"/>
      </c>
      <c r="I399" s="26">
        <f>COUNTIF($J$4:$J399,1)</f>
      </c>
      <c r="J399" s="26">
        <f>COUNTIF($S$5:$S399,S399)</f>
      </c>
      <c r="K399" s="26">
        <f t="shared" si="111"/>
      </c>
      <c r="L399" s="26">
        <f>IFERROR(IF(P399=0,0,MAX($L$4:L398)+1),0)</f>
      </c>
      <c r="M399" s="5">
        <f t="shared" si="123"/>
      </c>
      <c r="N399" s="5">
        <f t="shared" si="124"/>
      </c>
      <c r="P399" s="86">
        <f t="shared" si="112"/>
      </c>
      <c r="Q399" s="86">
        <f t="shared" si="113"/>
      </c>
      <c r="R399" s="86">
        <f t="shared" si="114"/>
      </c>
      <c r="S399" s="86">
        <f t="shared" si="115"/>
      </c>
      <c r="T399" s="86">
        <f t="shared" si="125"/>
        <v/>
      </c>
      <c r="U399" s="86">
        <f t="shared" si="126"/>
        <v/>
      </c>
      <c r="V399" s="86">
        <f t="shared" si="127"/>
        <v/>
      </c>
      <c r="W399" s="87">
        <f t="shared" si="116"/>
      </c>
      <c r="X399" s="88"/>
      <c r="Y399" s="88"/>
      <c r="Z399" s="88"/>
      <c r="AA399" s="88"/>
      <c r="AB399" s="88"/>
      <c r="AD399" s="86">
        <f t="shared" si="117"/>
      </c>
      <c r="AE399" s="86">
        <f t="shared" si="118"/>
      </c>
      <c r="AG399" s="86">
        <f t="shared" si="119"/>
      </c>
      <c r="AH399" s="86">
        <f t="shared" si="120"/>
      </c>
      <c r="AI399" s="86">
        <f t="shared" si="121"/>
      </c>
    </row>
    <row r="400" spans="6:35" x14ac:dyDescent="0.3">
      <c r="F400" s="26">
        <f>IF(G400=1,MAX($F$4:F399)+1,"")</f>
        <v/>
      </c>
      <c r="G400" s="26">
        <f>COUNTIF($H$5:H400,H400)</f>
      </c>
      <c r="H400" s="26">
        <f t="shared" si="122"/>
      </c>
      <c r="I400" s="26">
        <f>COUNTIF($J$4:$J400,1)</f>
      </c>
      <c r="J400" s="26">
        <f>COUNTIF($S$5:$S400,S400)</f>
      </c>
      <c r="K400" s="26">
        <f t="shared" si="111"/>
      </c>
      <c r="L400" s="26">
        <f>IFERROR(IF(P400=0,0,MAX($L$4:L399)+1),0)</f>
      </c>
      <c r="M400" s="5">
        <f t="shared" si="123"/>
      </c>
      <c r="N400" s="5">
        <f t="shared" si="124"/>
      </c>
      <c r="P400" s="86">
        <f t="shared" si="112"/>
      </c>
      <c r="Q400" s="86">
        <f t="shared" si="113"/>
      </c>
      <c r="R400" s="86">
        <f t="shared" si="114"/>
      </c>
      <c r="S400" s="86">
        <f t="shared" si="115"/>
      </c>
      <c r="T400" s="86">
        <f t="shared" si="125"/>
        <v/>
      </c>
      <c r="U400" s="86">
        <f t="shared" si="126"/>
        <v/>
      </c>
      <c r="V400" s="86">
        <f t="shared" si="127"/>
        <v/>
      </c>
      <c r="W400" s="87">
        <f t="shared" si="116"/>
      </c>
      <c r="X400" s="88"/>
      <c r="Y400" s="88"/>
      <c r="Z400" s="88"/>
      <c r="AA400" s="88"/>
      <c r="AB400" s="88"/>
      <c r="AD400" s="86">
        <f t="shared" si="117"/>
      </c>
      <c r="AE400" s="86">
        <f t="shared" si="118"/>
      </c>
      <c r="AG400" s="86">
        <f t="shared" si="119"/>
      </c>
      <c r="AH400" s="86">
        <f t="shared" si="120"/>
      </c>
      <c r="AI400" s="86">
        <f t="shared" si="121"/>
      </c>
    </row>
    <row r="401" spans="6:35" x14ac:dyDescent="0.3">
      <c r="F401" s="26">
        <f>IF(G401=1,MAX($F$4:F400)+1,"")</f>
        <v/>
      </c>
      <c r="G401" s="26">
        <f>COUNTIF($H$5:H401,H401)</f>
      </c>
      <c r="H401" s="26">
        <f t="shared" si="122"/>
      </c>
      <c r="I401" s="26">
        <f>COUNTIF($J$4:$J401,1)</f>
      </c>
      <c r="J401" s="26">
        <f>COUNTIF($S$5:$S401,S401)</f>
      </c>
      <c r="K401" s="26">
        <f t="shared" si="111"/>
      </c>
      <c r="L401" s="26">
        <f>IFERROR(IF(P401=0,0,MAX($L$4:L400)+1),0)</f>
      </c>
      <c r="M401" s="5">
        <f t="shared" si="123"/>
      </c>
      <c r="N401" s="5">
        <f t="shared" si="124"/>
      </c>
      <c r="P401" s="86">
        <f t="shared" si="112"/>
      </c>
      <c r="Q401" s="86">
        <f t="shared" si="113"/>
      </c>
      <c r="R401" s="86">
        <f t="shared" si="114"/>
      </c>
      <c r="S401" s="86">
        <f t="shared" si="115"/>
      </c>
      <c r="T401" s="86">
        <f t="shared" si="125"/>
        <v/>
      </c>
      <c r="U401" s="86">
        <f t="shared" si="126"/>
        <v/>
      </c>
      <c r="V401" s="86">
        <f t="shared" si="127"/>
        <v/>
      </c>
      <c r="W401" s="87">
        <f t="shared" si="116"/>
      </c>
      <c r="X401" s="88"/>
      <c r="Y401" s="88"/>
      <c r="Z401" s="88"/>
      <c r="AA401" s="88"/>
      <c r="AB401" s="88"/>
      <c r="AD401" s="86">
        <f t="shared" si="117"/>
      </c>
      <c r="AE401" s="86">
        <f t="shared" si="118"/>
      </c>
      <c r="AG401" s="86">
        <f t="shared" si="119"/>
      </c>
      <c r="AH401" s="86">
        <f t="shared" si="120"/>
      </c>
      <c r="AI401" s="86">
        <f t="shared" si="121"/>
      </c>
    </row>
    <row r="402" spans="6:35" x14ac:dyDescent="0.3">
      <c r="F402" s="26">
        <f>IF(G402=1,MAX($F$4:F401)+1,"")</f>
        <v/>
      </c>
      <c r="G402" s="26">
        <f>COUNTIF($H$5:H402,H402)</f>
      </c>
      <c r="H402" s="26">
        <f t="shared" si="122"/>
      </c>
      <c r="I402" s="26">
        <f>COUNTIF($J$4:$J402,1)</f>
      </c>
      <c r="J402" s="26">
        <f>COUNTIF($S$5:$S402,S402)</f>
      </c>
      <c r="K402" s="26">
        <f t="shared" si="111"/>
      </c>
      <c r="L402" s="26">
        <f>IFERROR(IF(P402=0,0,MAX($L$4:L401)+1),0)</f>
      </c>
      <c r="M402" s="5">
        <f t="shared" si="123"/>
      </c>
      <c r="N402" s="5">
        <f t="shared" si="124"/>
      </c>
      <c r="P402" s="86">
        <f t="shared" si="112"/>
      </c>
      <c r="Q402" s="86">
        <f t="shared" si="113"/>
      </c>
      <c r="R402" s="86">
        <f t="shared" si="114"/>
      </c>
      <c r="S402" s="86">
        <f t="shared" si="115"/>
      </c>
      <c r="T402" s="86">
        <f t="shared" si="125"/>
        <v/>
      </c>
      <c r="U402" s="86">
        <f t="shared" si="126"/>
        <v/>
      </c>
      <c r="V402" s="86">
        <f t="shared" si="127"/>
        <v/>
      </c>
      <c r="W402" s="87">
        <f t="shared" si="116"/>
      </c>
      <c r="X402" s="88"/>
      <c r="Y402" s="88"/>
      <c r="Z402" s="88"/>
      <c r="AA402" s="88"/>
      <c r="AB402" s="88"/>
      <c r="AD402" s="86">
        <f t="shared" si="117"/>
      </c>
      <c r="AE402" s="86">
        <f t="shared" si="118"/>
      </c>
      <c r="AG402" s="86">
        <f t="shared" si="119"/>
      </c>
      <c r="AH402" s="86">
        <f t="shared" si="120"/>
      </c>
      <c r="AI402" s="86">
        <f t="shared" si="121"/>
      </c>
    </row>
    <row r="403" spans="6:35" x14ac:dyDescent="0.3">
      <c r="F403" s="26">
        <f>IF(G403=1,MAX($F$4:F402)+1,"")</f>
        <v/>
      </c>
      <c r="G403" s="26">
        <f>COUNTIF($H$5:H403,H403)</f>
      </c>
      <c r="H403" s="26">
        <f t="shared" si="122"/>
      </c>
      <c r="I403" s="26">
        <f>COUNTIF($J$4:$J403,1)</f>
      </c>
      <c r="J403" s="26">
        <f>COUNTIF($S$5:$S403,S403)</f>
      </c>
      <c r="K403" s="26">
        <f t="shared" si="111"/>
      </c>
      <c r="L403" s="26">
        <f>IFERROR(IF(P403=0,0,MAX($L$4:L402)+1),0)</f>
      </c>
      <c r="M403" s="5">
        <f t="shared" si="123"/>
      </c>
      <c r="N403" s="5">
        <f t="shared" si="124"/>
      </c>
      <c r="P403" s="86">
        <f t="shared" si="112"/>
      </c>
      <c r="Q403" s="86">
        <f t="shared" si="113"/>
      </c>
      <c r="R403" s="86">
        <f t="shared" si="114"/>
      </c>
      <c r="S403" s="86">
        <f t="shared" si="115"/>
      </c>
      <c r="T403" s="86">
        <f t="shared" si="125"/>
        <v/>
      </c>
      <c r="U403" s="86">
        <f t="shared" si="126"/>
        <v/>
      </c>
      <c r="V403" s="86">
        <f t="shared" si="127"/>
        <v/>
      </c>
      <c r="W403" s="87">
        <f t="shared" si="116"/>
      </c>
      <c r="X403" s="88"/>
      <c r="Y403" s="88"/>
      <c r="Z403" s="88"/>
      <c r="AA403" s="88"/>
      <c r="AB403" s="88"/>
      <c r="AD403" s="86">
        <f t="shared" si="117"/>
      </c>
      <c r="AE403" s="86">
        <f t="shared" si="118"/>
      </c>
      <c r="AG403" s="86">
        <f t="shared" si="119"/>
      </c>
      <c r="AH403" s="86">
        <f t="shared" si="120"/>
      </c>
      <c r="AI403" s="86">
        <f t="shared" si="121"/>
      </c>
    </row>
    <row r="404" spans="6:35" x14ac:dyDescent="0.3">
      <c r="F404" s="26">
        <f>IF(G404=1,MAX($F$4:F403)+1,"")</f>
        <v/>
      </c>
      <c r="G404" s="26">
        <f>COUNTIF($H$5:H404,H404)</f>
      </c>
      <c r="H404" s="26">
        <f t="shared" si="122"/>
      </c>
      <c r="I404" s="26">
        <f>COUNTIF($J$4:$J404,1)</f>
      </c>
      <c r="J404" s="26">
        <f>COUNTIF($S$5:$S404,S404)</f>
      </c>
      <c r="K404" s="26">
        <f t="shared" si="111"/>
      </c>
      <c r="L404" s="26">
        <f>IFERROR(IF(P404=0,0,MAX($L$4:L403)+1),0)</f>
      </c>
      <c r="M404" s="5">
        <f t="shared" si="123"/>
      </c>
      <c r="N404" s="5">
        <f t="shared" si="124"/>
      </c>
      <c r="P404" s="86">
        <f t="shared" si="112"/>
      </c>
      <c r="Q404" s="86">
        <f t="shared" si="113"/>
      </c>
      <c r="R404" s="86">
        <f t="shared" si="114"/>
      </c>
      <c r="S404" s="86">
        <f t="shared" si="115"/>
      </c>
      <c r="T404" s="86">
        <f t="shared" si="125"/>
        <v/>
      </c>
      <c r="U404" s="86">
        <f t="shared" si="126"/>
        <v/>
      </c>
      <c r="V404" s="86">
        <f t="shared" si="127"/>
        <v/>
      </c>
      <c r="W404" s="87">
        <f t="shared" si="116"/>
      </c>
      <c r="X404" s="88"/>
      <c r="Y404" s="88"/>
      <c r="Z404" s="88"/>
      <c r="AA404" s="88"/>
      <c r="AB404" s="88"/>
      <c r="AD404" s="86">
        <f t="shared" si="117"/>
      </c>
      <c r="AE404" s="86">
        <f t="shared" si="118"/>
      </c>
      <c r="AG404" s="86">
        <f t="shared" si="119"/>
      </c>
      <c r="AH404" s="86">
        <f t="shared" si="120"/>
      </c>
      <c r="AI404" s="86">
        <f t="shared" si="121"/>
      </c>
    </row>
    <row r="405" spans="6:35" x14ac:dyDescent="0.3">
      <c r="F405" s="26">
        <f>IF(G405=1,MAX($F$4:F404)+1,"")</f>
        <v/>
      </c>
      <c r="G405" s="26">
        <f>COUNTIF($H$5:H405,H405)</f>
      </c>
      <c r="H405" s="26">
        <f t="shared" si="122"/>
      </c>
      <c r="I405" s="26">
        <f>COUNTIF($J$4:$J405,1)</f>
      </c>
      <c r="J405" s="26">
        <f>COUNTIF($S$5:$S405,S405)</f>
      </c>
      <c r="K405" s="26">
        <f t="shared" si="111"/>
      </c>
      <c r="L405" s="26">
        <f>IFERROR(IF(P405=0,0,MAX($L$4:L404)+1),0)</f>
      </c>
      <c r="M405" s="5">
        <f t="shared" si="123"/>
      </c>
      <c r="N405" s="5">
        <f t="shared" si="124"/>
      </c>
      <c r="P405" s="86">
        <f t="shared" si="112"/>
      </c>
      <c r="Q405" s="86">
        <f t="shared" si="113"/>
      </c>
      <c r="R405" s="86">
        <f t="shared" si="114"/>
      </c>
      <c r="S405" s="86">
        <f t="shared" si="115"/>
      </c>
      <c r="T405" s="86">
        <f t="shared" si="125"/>
        <v/>
      </c>
      <c r="U405" s="86">
        <f t="shared" si="126"/>
        <v/>
      </c>
      <c r="V405" s="86">
        <f t="shared" si="127"/>
        <v/>
      </c>
      <c r="W405" s="87">
        <f t="shared" si="116"/>
      </c>
      <c r="X405" s="88"/>
      <c r="Y405" s="88"/>
      <c r="Z405" s="88"/>
      <c r="AA405" s="88"/>
      <c r="AB405" s="88"/>
      <c r="AD405" s="86">
        <f t="shared" si="117"/>
      </c>
      <c r="AE405" s="86">
        <f t="shared" si="118"/>
      </c>
      <c r="AG405" s="86">
        <f t="shared" si="119"/>
      </c>
      <c r="AH405" s="86">
        <f t="shared" si="120"/>
      </c>
      <c r="AI405" s="86">
        <f t="shared" si="121"/>
      </c>
    </row>
    <row r="406" spans="6:35" x14ac:dyDescent="0.3">
      <c r="F406" s="26">
        <f>IF(G406=1,MAX($F$4:F405)+1,"")</f>
        <v/>
      </c>
      <c r="G406" s="26">
        <f>COUNTIF($H$5:H406,H406)</f>
      </c>
      <c r="H406" s="26">
        <f t="shared" si="122"/>
      </c>
      <c r="I406" s="26">
        <f>COUNTIF($J$4:$J406,1)</f>
      </c>
      <c r="J406" s="26">
        <f>COUNTIF($S$5:$S406,S406)</f>
      </c>
      <c r="K406" s="26">
        <f t="shared" si="111"/>
      </c>
      <c r="L406" s="26">
        <f>IFERROR(IF(P406=0,0,MAX($L$4:L405)+1),0)</f>
      </c>
      <c r="M406" s="5">
        <f t="shared" si="123"/>
      </c>
      <c r="N406" s="5">
        <f t="shared" si="124"/>
      </c>
      <c r="P406" s="86">
        <f t="shared" si="112"/>
      </c>
      <c r="Q406" s="86">
        <f t="shared" si="113"/>
      </c>
      <c r="R406" s="86">
        <f t="shared" si="114"/>
      </c>
      <c r="S406" s="86">
        <f t="shared" si="115"/>
      </c>
      <c r="T406" s="86">
        <f t="shared" si="125"/>
        <v/>
      </c>
      <c r="U406" s="86">
        <f t="shared" si="126"/>
        <v/>
      </c>
      <c r="V406" s="86">
        <f t="shared" si="127"/>
        <v/>
      </c>
      <c r="W406" s="87">
        <f t="shared" si="116"/>
      </c>
      <c r="X406" s="88"/>
      <c r="Y406" s="88"/>
      <c r="Z406" s="88"/>
      <c r="AA406" s="88"/>
      <c r="AB406" s="88"/>
      <c r="AD406" s="86">
        <f t="shared" si="117"/>
      </c>
      <c r="AE406" s="86">
        <f t="shared" si="118"/>
      </c>
      <c r="AG406" s="86">
        <f t="shared" si="119"/>
      </c>
      <c r="AH406" s="86">
        <f t="shared" si="120"/>
      </c>
      <c r="AI406" s="86">
        <f t="shared" si="121"/>
      </c>
    </row>
    <row r="407" spans="6:35" x14ac:dyDescent="0.3">
      <c r="F407" s="26">
        <f>IF(G407=1,MAX($F$4:F406)+1,"")</f>
        <v/>
      </c>
      <c r="G407" s="26">
        <f>COUNTIF($H$5:H407,H407)</f>
      </c>
      <c r="H407" s="26">
        <f t="shared" si="122"/>
      </c>
      <c r="I407" s="26">
        <f>COUNTIF($J$4:$J407,1)</f>
      </c>
      <c r="J407" s="26">
        <f>COUNTIF($S$5:$S407,S407)</f>
      </c>
      <c r="K407" s="26">
        <f t="shared" si="111"/>
      </c>
      <c r="L407" s="26">
        <f>IFERROR(IF(P407=0,0,MAX($L$4:L406)+1),0)</f>
      </c>
      <c r="M407" s="5">
        <f t="shared" si="123"/>
      </c>
      <c r="N407" s="5">
        <f t="shared" si="124"/>
      </c>
      <c r="P407" s="86">
        <f t="shared" si="112"/>
      </c>
      <c r="Q407" s="86">
        <f t="shared" si="113"/>
      </c>
      <c r="R407" s="86">
        <f t="shared" si="114"/>
      </c>
      <c r="S407" s="86">
        <f t="shared" si="115"/>
      </c>
      <c r="T407" s="86">
        <f t="shared" si="125"/>
        <v/>
      </c>
      <c r="U407" s="86">
        <f t="shared" si="126"/>
        <v/>
      </c>
      <c r="V407" s="86">
        <f t="shared" si="127"/>
        <v/>
      </c>
      <c r="W407" s="87">
        <f t="shared" si="116"/>
      </c>
      <c r="X407" s="88"/>
      <c r="Y407" s="88"/>
      <c r="Z407" s="88"/>
      <c r="AA407" s="88"/>
      <c r="AB407" s="88"/>
      <c r="AD407" s="86">
        <f t="shared" si="117"/>
      </c>
      <c r="AE407" s="86">
        <f t="shared" si="118"/>
      </c>
      <c r="AG407" s="86">
        <f t="shared" si="119"/>
      </c>
      <c r="AH407" s="86">
        <f t="shared" si="120"/>
      </c>
      <c r="AI407" s="86">
        <f t="shared" si="121"/>
      </c>
    </row>
    <row r="408" spans="6:35" x14ac:dyDescent="0.3">
      <c r="F408" s="26">
        <f>IF(G408=1,MAX($F$4:F407)+1,"")</f>
        <v/>
      </c>
      <c r="G408" s="26">
        <f>COUNTIF($H$5:H408,H408)</f>
      </c>
      <c r="H408" s="26">
        <f t="shared" si="122"/>
      </c>
      <c r="I408" s="26">
        <f>COUNTIF($J$4:$J408,1)</f>
      </c>
      <c r="J408" s="26">
        <f>COUNTIF($S$5:$S408,S408)</f>
      </c>
      <c r="K408" s="26">
        <f t="shared" si="111"/>
      </c>
      <c r="L408" s="26">
        <f>IFERROR(IF(P408=0,0,MAX($L$4:L407)+1),0)</f>
      </c>
      <c r="M408" s="5">
        <f t="shared" si="123"/>
      </c>
      <c r="N408" s="5">
        <f t="shared" si="124"/>
      </c>
      <c r="P408" s="86">
        <f t="shared" si="112"/>
      </c>
      <c r="Q408" s="86">
        <f t="shared" si="113"/>
      </c>
      <c r="R408" s="86">
        <f t="shared" si="114"/>
      </c>
      <c r="S408" s="86">
        <f t="shared" si="115"/>
      </c>
      <c r="T408" s="86">
        <f t="shared" si="125"/>
        <v/>
      </c>
      <c r="U408" s="86">
        <f t="shared" si="126"/>
        <v/>
      </c>
      <c r="V408" s="86">
        <f t="shared" si="127"/>
        <v/>
      </c>
      <c r="W408" s="87">
        <f t="shared" si="116"/>
      </c>
      <c r="X408" s="88"/>
      <c r="Y408" s="88"/>
      <c r="Z408" s="88"/>
      <c r="AA408" s="88"/>
      <c r="AB408" s="88"/>
      <c r="AD408" s="86">
        <f t="shared" si="117"/>
      </c>
      <c r="AE408" s="86">
        <f t="shared" si="118"/>
      </c>
      <c r="AG408" s="86">
        <f t="shared" si="119"/>
      </c>
      <c r="AH408" s="86">
        <f t="shared" si="120"/>
      </c>
      <c r="AI408" s="86">
        <f t="shared" si="121"/>
      </c>
    </row>
    <row r="409" spans="6:35" x14ac:dyDescent="0.3">
      <c r="F409" s="26">
        <f>IF(G409=1,MAX($F$4:F408)+1,"")</f>
        <v/>
      </c>
      <c r="G409" s="26">
        <f>COUNTIF($H$5:H409,H409)</f>
      </c>
      <c r="H409" s="26">
        <f t="shared" si="122"/>
      </c>
      <c r="I409" s="26">
        <f>COUNTIF($J$4:$J409,1)</f>
      </c>
      <c r="J409" s="26">
        <f>COUNTIF($S$5:$S409,S409)</f>
      </c>
      <c r="K409" s="26">
        <f t="shared" si="111"/>
      </c>
      <c r="L409" s="26">
        <f>IFERROR(IF(P409=0,0,MAX($L$4:L408)+1),0)</f>
      </c>
      <c r="M409" s="5">
        <f t="shared" si="123"/>
      </c>
      <c r="N409" s="5">
        <f t="shared" si="124"/>
      </c>
      <c r="P409" s="86">
        <f t="shared" si="112"/>
      </c>
      <c r="Q409" s="86">
        <f t="shared" si="113"/>
      </c>
      <c r="R409" s="86">
        <f t="shared" si="114"/>
      </c>
      <c r="S409" s="86">
        <f t="shared" si="115"/>
      </c>
      <c r="T409" s="86">
        <f t="shared" si="125"/>
        <v/>
      </c>
      <c r="U409" s="86">
        <f t="shared" si="126"/>
        <v/>
      </c>
      <c r="V409" s="86">
        <f t="shared" si="127"/>
        <v/>
      </c>
      <c r="W409" s="87">
        <f t="shared" si="116"/>
      </c>
      <c r="X409" s="88"/>
      <c r="Y409" s="88"/>
      <c r="Z409" s="88"/>
      <c r="AA409" s="88"/>
      <c r="AB409" s="88"/>
      <c r="AD409" s="86">
        <f t="shared" si="117"/>
      </c>
      <c r="AE409" s="86">
        <f t="shared" si="118"/>
      </c>
      <c r="AG409" s="86">
        <f t="shared" si="119"/>
      </c>
      <c r="AH409" s="86">
        <f t="shared" si="120"/>
      </c>
      <c r="AI409" s="86">
        <f t="shared" si="121"/>
      </c>
    </row>
    <row r="410" spans="6:35" x14ac:dyDescent="0.3">
      <c r="F410" s="26">
        <f>IF(G410=1,MAX($F$4:F409)+1,"")</f>
        <v/>
      </c>
      <c r="G410" s="26">
        <f>COUNTIF($H$5:H410,H410)</f>
      </c>
      <c r="H410" s="26">
        <f t="shared" si="122"/>
      </c>
      <c r="I410" s="26">
        <f>COUNTIF($J$4:$J410,1)</f>
      </c>
      <c r="J410" s="26">
        <f>COUNTIF($S$5:$S410,S410)</f>
      </c>
      <c r="K410" s="26">
        <f t="shared" si="111"/>
      </c>
      <c r="L410" s="26">
        <f>IFERROR(IF(P410=0,0,MAX($L$4:L409)+1),0)</f>
      </c>
      <c r="M410" s="5">
        <f t="shared" si="123"/>
      </c>
      <c r="N410" s="5">
        <f t="shared" si="124"/>
      </c>
      <c r="P410" s="86">
        <f t="shared" si="112"/>
      </c>
      <c r="Q410" s="86">
        <f t="shared" si="113"/>
      </c>
      <c r="R410" s="86">
        <f t="shared" si="114"/>
      </c>
      <c r="S410" s="86">
        <f t="shared" si="115"/>
      </c>
      <c r="T410" s="86">
        <f t="shared" si="125"/>
        <v/>
      </c>
      <c r="U410" s="86">
        <f t="shared" si="126"/>
        <v/>
      </c>
      <c r="V410" s="86">
        <f t="shared" si="127"/>
        <v/>
      </c>
      <c r="W410" s="87">
        <f t="shared" si="116"/>
      </c>
      <c r="X410" s="88"/>
      <c r="Y410" s="88"/>
      <c r="Z410" s="88"/>
      <c r="AA410" s="88"/>
      <c r="AB410" s="88"/>
      <c r="AD410" s="86">
        <f t="shared" si="117"/>
      </c>
      <c r="AE410" s="86">
        <f t="shared" si="118"/>
      </c>
      <c r="AG410" s="86">
        <f t="shared" si="119"/>
      </c>
      <c r="AH410" s="86">
        <f t="shared" si="120"/>
      </c>
      <c r="AI410" s="86">
        <f t="shared" si="121"/>
      </c>
    </row>
    <row r="411" spans="6:35" x14ac:dyDescent="0.3">
      <c r="F411" s="26">
        <f>IF(G411=1,MAX($F$4:F410)+1,"")</f>
        <v/>
      </c>
      <c r="G411" s="26">
        <f>COUNTIF($H$5:H411,H411)</f>
      </c>
      <c r="H411" s="26">
        <f t="shared" si="122"/>
      </c>
      <c r="I411" s="26">
        <f>COUNTIF($J$4:$J411,1)</f>
      </c>
      <c r="J411" s="26">
        <f>COUNTIF($S$5:$S411,S411)</f>
      </c>
      <c r="K411" s="26">
        <f t="shared" si="111"/>
      </c>
      <c r="L411" s="26">
        <f>IFERROR(IF(P411=0,0,MAX($L$4:L410)+1),0)</f>
      </c>
      <c r="M411" s="5">
        <f t="shared" si="123"/>
      </c>
      <c r="N411" s="5">
        <f t="shared" si="124"/>
      </c>
      <c r="P411" s="86">
        <f t="shared" si="112"/>
      </c>
      <c r="Q411" s="86">
        <f t="shared" si="113"/>
      </c>
      <c r="R411" s="86">
        <f t="shared" si="114"/>
      </c>
      <c r="S411" s="86">
        <f t="shared" si="115"/>
      </c>
      <c r="T411" s="86">
        <f t="shared" si="125"/>
        <v/>
      </c>
      <c r="U411" s="86">
        <f t="shared" si="126"/>
        <v/>
      </c>
      <c r="V411" s="86">
        <f t="shared" si="127"/>
        <v/>
      </c>
      <c r="W411" s="87">
        <f t="shared" si="116"/>
      </c>
      <c r="X411" s="88"/>
      <c r="Y411" s="88"/>
      <c r="Z411" s="88"/>
      <c r="AA411" s="88"/>
      <c r="AB411" s="88"/>
      <c r="AD411" s="86">
        <f t="shared" si="117"/>
      </c>
      <c r="AE411" s="86">
        <f t="shared" si="118"/>
      </c>
      <c r="AG411" s="86">
        <f t="shared" si="119"/>
      </c>
      <c r="AH411" s="86">
        <f t="shared" si="120"/>
      </c>
      <c r="AI411" s="86">
        <f t="shared" si="121"/>
      </c>
    </row>
    <row r="412" spans="6:35" x14ac:dyDescent="0.3">
      <c r="F412" s="26">
        <f>IF(G412=1,MAX($F$4:F411)+1,"")</f>
        <v/>
      </c>
      <c r="G412" s="26">
        <f>COUNTIF($H$5:H412,H412)</f>
      </c>
      <c r="H412" s="26">
        <f t="shared" si="122"/>
      </c>
      <c r="I412" s="26">
        <f>COUNTIF($J$4:$J412,1)</f>
      </c>
      <c r="J412" s="26">
        <f>COUNTIF($S$5:$S412,S412)</f>
      </c>
      <c r="K412" s="26">
        <f t="shared" si="111"/>
      </c>
      <c r="L412" s="26">
        <f>IFERROR(IF(P412=0,0,MAX($L$4:L411)+1),0)</f>
      </c>
      <c r="M412" s="5">
        <f t="shared" si="123"/>
      </c>
      <c r="N412" s="5">
        <f t="shared" si="124"/>
      </c>
      <c r="P412" s="86">
        <f t="shared" si="112"/>
      </c>
      <c r="Q412" s="86">
        <f t="shared" si="113"/>
      </c>
      <c r="R412" s="86">
        <f t="shared" si="114"/>
      </c>
      <c r="S412" s="86">
        <f t="shared" si="115"/>
      </c>
      <c r="T412" s="86">
        <f t="shared" si="125"/>
        <v/>
      </c>
      <c r="U412" s="86">
        <f t="shared" si="126"/>
        <v/>
      </c>
      <c r="V412" s="86">
        <f t="shared" si="127"/>
        <v/>
      </c>
      <c r="W412" s="87">
        <f t="shared" si="116"/>
      </c>
      <c r="X412" s="88"/>
      <c r="Y412" s="88"/>
      <c r="Z412" s="88"/>
      <c r="AA412" s="88"/>
      <c r="AB412" s="88"/>
      <c r="AD412" s="86">
        <f t="shared" si="117"/>
      </c>
      <c r="AE412" s="86">
        <f t="shared" si="118"/>
      </c>
      <c r="AG412" s="86">
        <f t="shared" si="119"/>
      </c>
      <c r="AH412" s="86">
        <f t="shared" si="120"/>
      </c>
      <c r="AI412" s="86">
        <f t="shared" si="121"/>
      </c>
    </row>
    <row r="413" spans="6:35" x14ac:dyDescent="0.3">
      <c r="F413" s="26">
        <f>IF(G413=1,MAX($F$4:F412)+1,"")</f>
        <v/>
      </c>
      <c r="G413" s="26">
        <f>COUNTIF($H$5:H413,H413)</f>
      </c>
      <c r="H413" s="26">
        <f t="shared" si="122"/>
      </c>
      <c r="I413" s="26">
        <f>COUNTIF($J$4:$J413,1)</f>
      </c>
      <c r="J413" s="26">
        <f>COUNTIF($S$5:$S413,S413)</f>
      </c>
      <c r="K413" s="26">
        <f t="shared" si="111"/>
      </c>
      <c r="L413" s="26">
        <f>IFERROR(IF(P413=0,0,MAX($L$4:L412)+1),0)</f>
      </c>
      <c r="M413" s="5">
        <f t="shared" si="123"/>
      </c>
      <c r="N413" s="5">
        <f t="shared" si="124"/>
      </c>
      <c r="P413" s="86">
        <f t="shared" si="112"/>
      </c>
      <c r="Q413" s="86">
        <f t="shared" si="113"/>
      </c>
      <c r="R413" s="86">
        <f t="shared" si="114"/>
      </c>
      <c r="S413" s="86">
        <f t="shared" si="115"/>
      </c>
      <c r="T413" s="86">
        <f t="shared" si="125"/>
        <v/>
      </c>
      <c r="U413" s="86">
        <f t="shared" si="126"/>
        <v/>
      </c>
      <c r="V413" s="86">
        <f t="shared" si="127"/>
        <v/>
      </c>
      <c r="W413" s="87">
        <f t="shared" si="116"/>
      </c>
      <c r="X413" s="88"/>
      <c r="Y413" s="88"/>
      <c r="Z413" s="88"/>
      <c r="AA413" s="88"/>
      <c r="AB413" s="88"/>
      <c r="AD413" s="86">
        <f t="shared" si="117"/>
      </c>
      <c r="AE413" s="86">
        <f t="shared" si="118"/>
      </c>
      <c r="AG413" s="86">
        <f t="shared" si="119"/>
      </c>
      <c r="AH413" s="86">
        <f t="shared" si="120"/>
      </c>
      <c r="AI413" s="86">
        <f t="shared" si="121"/>
      </c>
    </row>
    <row r="414" spans="6:35" x14ac:dyDescent="0.3">
      <c r="F414" s="26">
        <f>IF(G414=1,MAX($F$4:F413)+1,"")</f>
        <v/>
      </c>
      <c r="G414" s="26">
        <f>COUNTIF($H$5:H414,H414)</f>
      </c>
      <c r="H414" s="26">
        <f t="shared" si="122"/>
      </c>
      <c r="I414" s="26">
        <f>COUNTIF($J$4:$J414,1)</f>
      </c>
      <c r="J414" s="26">
        <f>COUNTIF($S$5:$S414,S414)</f>
      </c>
      <c r="K414" s="26">
        <f t="shared" si="111"/>
      </c>
      <c r="L414" s="26">
        <f>IFERROR(IF(P414=0,0,MAX($L$4:L413)+1),0)</f>
      </c>
      <c r="M414" s="5">
        <f t="shared" si="123"/>
      </c>
      <c r="N414" s="5">
        <f t="shared" si="124"/>
      </c>
      <c r="P414" s="86">
        <f t="shared" si="112"/>
      </c>
      <c r="Q414" s="86">
        <f t="shared" si="113"/>
      </c>
      <c r="R414" s="86">
        <f t="shared" si="114"/>
      </c>
      <c r="S414" s="86">
        <f t="shared" si="115"/>
      </c>
      <c r="T414" s="86">
        <f t="shared" si="125"/>
        <v/>
      </c>
      <c r="U414" s="86">
        <f t="shared" si="126"/>
        <v/>
      </c>
      <c r="V414" s="86">
        <f t="shared" si="127"/>
        <v/>
      </c>
      <c r="W414" s="87">
        <f t="shared" si="116"/>
      </c>
      <c r="X414" s="88"/>
      <c r="Y414" s="88"/>
      <c r="Z414" s="88"/>
      <c r="AA414" s="88"/>
      <c r="AB414" s="88"/>
      <c r="AD414" s="86">
        <f t="shared" si="117"/>
      </c>
      <c r="AE414" s="86">
        <f t="shared" si="118"/>
      </c>
      <c r="AG414" s="86">
        <f t="shared" si="119"/>
      </c>
      <c r="AH414" s="86">
        <f t="shared" si="120"/>
      </c>
      <c r="AI414" s="86">
        <f t="shared" si="121"/>
      </c>
    </row>
    <row r="415" spans="6:35" x14ac:dyDescent="0.3">
      <c r="F415" s="26">
        <f>IF(G415=1,MAX($F$4:F414)+1,"")</f>
        <v/>
      </c>
      <c r="G415" s="26">
        <f>COUNTIF($H$5:H415,H415)</f>
      </c>
      <c r="H415" s="26">
        <f t="shared" si="122"/>
      </c>
      <c r="I415" s="26">
        <f>COUNTIF($J$4:$J415,1)</f>
      </c>
      <c r="J415" s="26">
        <f>COUNTIF($S$5:$S415,S415)</f>
      </c>
      <c r="K415" s="26">
        <f t="shared" si="111"/>
      </c>
      <c r="L415" s="26">
        <f>IFERROR(IF(P415=0,0,MAX($L$4:L414)+1),0)</f>
      </c>
      <c r="M415" s="5">
        <f t="shared" si="123"/>
      </c>
      <c r="N415" s="5">
        <f t="shared" si="124"/>
      </c>
      <c r="P415" s="86">
        <f t="shared" si="112"/>
      </c>
      <c r="Q415" s="86">
        <f t="shared" si="113"/>
      </c>
      <c r="R415" s="86">
        <f t="shared" si="114"/>
      </c>
      <c r="S415" s="86">
        <f t="shared" si="115"/>
      </c>
      <c r="T415" s="86">
        <f t="shared" si="125"/>
        <v/>
      </c>
      <c r="U415" s="86">
        <f t="shared" si="126"/>
        <v/>
      </c>
      <c r="V415" s="86">
        <f t="shared" si="127"/>
        <v/>
      </c>
      <c r="W415" s="87">
        <f t="shared" si="116"/>
      </c>
      <c r="X415" s="88"/>
      <c r="Y415" s="88"/>
      <c r="Z415" s="88"/>
      <c r="AA415" s="88"/>
      <c r="AB415" s="88"/>
      <c r="AD415" s="86">
        <f t="shared" si="117"/>
      </c>
      <c r="AE415" s="86">
        <f t="shared" si="118"/>
      </c>
      <c r="AG415" s="86">
        <f t="shared" si="119"/>
      </c>
      <c r="AH415" s="86">
        <f t="shared" si="120"/>
      </c>
      <c r="AI415" s="86">
        <f t="shared" si="121"/>
      </c>
    </row>
    <row r="416" spans="6:35" x14ac:dyDescent="0.3">
      <c r="F416" s="26">
        <f>IF(G416=1,MAX($F$4:F415)+1,"")</f>
        <v/>
      </c>
      <c r="G416" s="26">
        <f>COUNTIF($H$5:H416,H416)</f>
      </c>
      <c r="H416" s="26">
        <f t="shared" si="122"/>
      </c>
      <c r="I416" s="26">
        <f>COUNTIF($J$4:$J416,1)</f>
      </c>
      <c r="J416" s="26">
        <f>COUNTIF($S$5:$S416,S416)</f>
      </c>
      <c r="K416" s="26">
        <f t="shared" si="111"/>
      </c>
      <c r="L416" s="26">
        <f>IFERROR(IF(P416=0,0,MAX($L$4:L415)+1),0)</f>
      </c>
      <c r="M416" s="5">
        <f t="shared" si="123"/>
      </c>
      <c r="N416" s="5">
        <f t="shared" si="124"/>
      </c>
      <c r="P416" s="86">
        <f t="shared" si="112"/>
      </c>
      <c r="Q416" s="86">
        <f t="shared" si="113"/>
      </c>
      <c r="R416" s="86">
        <f t="shared" si="114"/>
      </c>
      <c r="S416" s="86">
        <f t="shared" si="115"/>
      </c>
      <c r="T416" s="86">
        <f t="shared" si="125"/>
        <v/>
      </c>
      <c r="U416" s="86">
        <f t="shared" si="126"/>
        <v/>
      </c>
      <c r="V416" s="86">
        <f t="shared" si="127"/>
        <v/>
      </c>
      <c r="W416" s="87">
        <f t="shared" si="116"/>
      </c>
      <c r="X416" s="88"/>
      <c r="Y416" s="88"/>
      <c r="Z416" s="88"/>
      <c r="AA416" s="88"/>
      <c r="AB416" s="88"/>
      <c r="AD416" s="86">
        <f t="shared" si="117"/>
      </c>
      <c r="AE416" s="86">
        <f t="shared" si="118"/>
      </c>
      <c r="AG416" s="86">
        <f t="shared" si="119"/>
      </c>
      <c r="AH416" s="86">
        <f t="shared" si="120"/>
      </c>
      <c r="AI416" s="86">
        <f t="shared" si="121"/>
      </c>
    </row>
    <row r="417" spans="6:35" x14ac:dyDescent="0.3">
      <c r="F417" s="26">
        <f>IF(G417=1,MAX($F$4:F416)+1,"")</f>
        <v/>
      </c>
      <c r="G417" s="26">
        <f>COUNTIF($H$5:H417,H417)</f>
      </c>
      <c r="H417" s="26">
        <f t="shared" si="122"/>
      </c>
      <c r="I417" s="26">
        <f>COUNTIF($J$4:$J417,1)</f>
      </c>
      <c r="J417" s="26">
        <f>COUNTIF($S$5:$S417,S417)</f>
      </c>
      <c r="K417" s="26">
        <f t="shared" si="111"/>
      </c>
      <c r="L417" s="26">
        <f>IFERROR(IF(P417=0,0,MAX($L$4:L416)+1),0)</f>
      </c>
      <c r="M417" s="5">
        <f t="shared" si="123"/>
      </c>
      <c r="N417" s="5">
        <f t="shared" si="124"/>
      </c>
      <c r="P417" s="86">
        <f t="shared" si="112"/>
      </c>
      <c r="Q417" s="86">
        <f t="shared" si="113"/>
      </c>
      <c r="R417" s="86">
        <f t="shared" si="114"/>
      </c>
      <c r="S417" s="86">
        <f t="shared" si="115"/>
      </c>
      <c r="T417" s="86">
        <f t="shared" si="125"/>
        <v/>
      </c>
      <c r="U417" s="86">
        <f t="shared" si="126"/>
        <v/>
      </c>
      <c r="V417" s="86">
        <f t="shared" si="127"/>
        <v/>
      </c>
      <c r="W417" s="87">
        <f t="shared" si="116"/>
      </c>
      <c r="X417" s="88"/>
      <c r="Y417" s="88"/>
      <c r="Z417" s="88"/>
      <c r="AA417" s="88"/>
      <c r="AB417" s="88"/>
      <c r="AD417" s="86">
        <f t="shared" si="117"/>
      </c>
      <c r="AE417" s="86">
        <f t="shared" si="118"/>
      </c>
      <c r="AG417" s="86">
        <f t="shared" si="119"/>
      </c>
      <c r="AH417" s="86">
        <f t="shared" si="120"/>
      </c>
      <c r="AI417" s="86">
        <f t="shared" si="121"/>
      </c>
    </row>
    <row r="418" spans="6:35" x14ac:dyDescent="0.3">
      <c r="F418" s="26">
        <f>IF(G418=1,MAX($F$4:F417)+1,"")</f>
        <v/>
      </c>
      <c r="G418" s="26">
        <f>COUNTIF($H$5:H418,H418)</f>
      </c>
      <c r="H418" s="26">
        <f t="shared" si="122"/>
      </c>
      <c r="I418" s="26">
        <f>COUNTIF($J$4:$J418,1)</f>
      </c>
      <c r="J418" s="26">
        <f>COUNTIF($S$5:$S418,S418)</f>
      </c>
      <c r="K418" s="26">
        <f t="shared" si="111"/>
      </c>
      <c r="L418" s="26">
        <f>IFERROR(IF(P418=0,0,MAX($L$4:L417)+1),0)</f>
      </c>
      <c r="M418" s="5">
        <f t="shared" si="123"/>
      </c>
      <c r="N418" s="5">
        <f t="shared" si="124"/>
      </c>
      <c r="P418" s="86">
        <f t="shared" si="112"/>
      </c>
      <c r="Q418" s="86">
        <f t="shared" si="113"/>
      </c>
      <c r="R418" s="86">
        <f t="shared" si="114"/>
      </c>
      <c r="S418" s="86">
        <f t="shared" si="115"/>
      </c>
      <c r="T418" s="86">
        <f t="shared" si="125"/>
        <v/>
      </c>
      <c r="U418" s="86">
        <f t="shared" si="126"/>
        <v/>
      </c>
      <c r="V418" s="86">
        <f t="shared" si="127"/>
        <v/>
      </c>
      <c r="W418" s="87">
        <f t="shared" si="116"/>
      </c>
      <c r="X418" s="88"/>
      <c r="Y418" s="88"/>
      <c r="Z418" s="88"/>
      <c r="AA418" s="88"/>
      <c r="AB418" s="88"/>
      <c r="AD418" s="86">
        <f t="shared" si="117"/>
      </c>
      <c r="AE418" s="86">
        <f t="shared" si="118"/>
      </c>
      <c r="AG418" s="86">
        <f t="shared" si="119"/>
      </c>
      <c r="AH418" s="86">
        <f t="shared" si="120"/>
      </c>
      <c r="AI418" s="86">
        <f t="shared" si="121"/>
      </c>
    </row>
    <row r="419" spans="6:35" x14ac:dyDescent="0.3">
      <c r="F419" s="26">
        <f>IF(G419=1,MAX($F$4:F418)+1,"")</f>
        <v/>
      </c>
      <c r="G419" s="26">
        <f>COUNTIF($H$5:H419,H419)</f>
      </c>
      <c r="H419" s="26">
        <f t="shared" si="122"/>
      </c>
      <c r="I419" s="26">
        <f>COUNTIF($J$4:$J419,1)</f>
      </c>
      <c r="J419" s="26">
        <f>COUNTIF($S$5:$S419,S419)</f>
      </c>
      <c r="K419" s="26">
        <f t="shared" si="111"/>
      </c>
      <c r="L419" s="26">
        <f>IFERROR(IF(P419=0,0,MAX($L$4:L418)+1),0)</f>
      </c>
      <c r="M419" s="5">
        <f t="shared" si="123"/>
      </c>
      <c r="N419" s="5">
        <f t="shared" si="124"/>
      </c>
      <c r="P419" s="86">
        <f t="shared" si="112"/>
      </c>
      <c r="Q419" s="86">
        <f t="shared" si="113"/>
      </c>
      <c r="R419" s="86">
        <f t="shared" si="114"/>
      </c>
      <c r="S419" s="86">
        <f t="shared" si="115"/>
      </c>
      <c r="T419" s="86">
        <f t="shared" si="125"/>
        <v/>
      </c>
      <c r="U419" s="86">
        <f t="shared" si="126"/>
        <v/>
      </c>
      <c r="V419" s="86">
        <f t="shared" si="127"/>
        <v/>
      </c>
      <c r="W419" s="87">
        <f t="shared" si="116"/>
      </c>
      <c r="X419" s="88"/>
      <c r="Y419" s="88"/>
      <c r="Z419" s="88"/>
      <c r="AA419" s="88"/>
      <c r="AB419" s="88"/>
      <c r="AD419" s="86">
        <f t="shared" si="117"/>
      </c>
      <c r="AE419" s="86">
        <f t="shared" si="118"/>
      </c>
      <c r="AG419" s="86">
        <f t="shared" si="119"/>
      </c>
      <c r="AH419" s="86">
        <f t="shared" si="120"/>
      </c>
      <c r="AI419" s="86">
        <f t="shared" si="121"/>
      </c>
    </row>
    <row r="420" spans="6:35" x14ac:dyDescent="0.3">
      <c r="F420" s="26">
        <f>IF(G420=1,MAX($F$4:F419)+1,"")</f>
        <v/>
      </c>
      <c r="G420" s="26">
        <f>COUNTIF($H$5:H420,H420)</f>
      </c>
      <c r="H420" s="26">
        <f t="shared" si="122"/>
      </c>
      <c r="I420" s="26">
        <f>COUNTIF($J$4:$J420,1)</f>
      </c>
      <c r="J420" s="26">
        <f>COUNTIF($S$5:$S420,S420)</f>
      </c>
      <c r="K420" s="26">
        <f t="shared" si="111"/>
      </c>
      <c r="L420" s="26">
        <f>IFERROR(IF(P420=0,0,MAX($L$4:L419)+1),0)</f>
      </c>
      <c r="M420" s="5">
        <f t="shared" si="123"/>
      </c>
      <c r="N420" s="5">
        <f t="shared" si="124"/>
      </c>
      <c r="P420" s="86">
        <f t="shared" si="112"/>
      </c>
      <c r="Q420" s="86">
        <f t="shared" si="113"/>
      </c>
      <c r="R420" s="86">
        <f t="shared" si="114"/>
      </c>
      <c r="S420" s="86">
        <f t="shared" si="115"/>
      </c>
      <c r="T420" s="86">
        <f t="shared" si="125"/>
        <v/>
      </c>
      <c r="U420" s="86">
        <f t="shared" si="126"/>
        <v/>
      </c>
      <c r="V420" s="86">
        <f t="shared" si="127"/>
        <v/>
      </c>
      <c r="W420" s="87">
        <f t="shared" si="116"/>
      </c>
      <c r="X420" s="88"/>
      <c r="Y420" s="88"/>
      <c r="Z420" s="88"/>
      <c r="AA420" s="88"/>
      <c r="AB420" s="88"/>
      <c r="AD420" s="86">
        <f t="shared" si="117"/>
      </c>
      <c r="AE420" s="86">
        <f t="shared" si="118"/>
      </c>
      <c r="AG420" s="86">
        <f t="shared" si="119"/>
      </c>
      <c r="AH420" s="86">
        <f t="shared" si="120"/>
      </c>
      <c r="AI420" s="86">
        <f t="shared" si="121"/>
      </c>
    </row>
    <row r="421" spans="6:35" x14ac:dyDescent="0.3">
      <c r="F421" s="26">
        <f>IF(G421=1,MAX($F$4:F420)+1,"")</f>
        <v/>
      </c>
      <c r="G421" s="26">
        <f>COUNTIF($H$5:H421,H421)</f>
      </c>
      <c r="H421" s="26">
        <f t="shared" si="122"/>
      </c>
      <c r="I421" s="26">
        <f>COUNTIF($J$4:$J421,1)</f>
      </c>
      <c r="J421" s="26">
        <f>COUNTIF($S$5:$S421,S421)</f>
      </c>
      <c r="K421" s="26">
        <f t="shared" si="111"/>
      </c>
      <c r="L421" s="26">
        <f>IFERROR(IF(P421=0,0,MAX($L$4:L420)+1),0)</f>
      </c>
      <c r="M421" s="5">
        <f t="shared" si="123"/>
      </c>
      <c r="N421" s="5">
        <f t="shared" si="124"/>
      </c>
      <c r="P421" s="86">
        <f t="shared" si="112"/>
      </c>
      <c r="Q421" s="86">
        <f t="shared" si="113"/>
      </c>
      <c r="R421" s="86">
        <f t="shared" si="114"/>
      </c>
      <c r="S421" s="86">
        <f t="shared" si="115"/>
      </c>
      <c r="T421" s="86">
        <f t="shared" si="125"/>
        <v/>
      </c>
      <c r="U421" s="86">
        <f t="shared" si="126"/>
        <v/>
      </c>
      <c r="V421" s="86">
        <f t="shared" si="127"/>
        <v/>
      </c>
      <c r="W421" s="87">
        <f t="shared" si="116"/>
      </c>
      <c r="X421" s="88"/>
      <c r="Y421" s="88"/>
      <c r="Z421" s="88"/>
      <c r="AA421" s="88"/>
      <c r="AB421" s="88"/>
      <c r="AD421" s="86">
        <f t="shared" si="117"/>
      </c>
      <c r="AE421" s="86">
        <f t="shared" si="118"/>
      </c>
      <c r="AG421" s="86">
        <f t="shared" si="119"/>
      </c>
      <c r="AH421" s="86">
        <f t="shared" si="120"/>
      </c>
      <c r="AI421" s="86">
        <f t="shared" si="121"/>
      </c>
    </row>
    <row r="422" spans="6:35" x14ac:dyDescent="0.3">
      <c r="F422" s="26">
        <f>IF(G422=1,MAX($F$4:F421)+1,"")</f>
        <v/>
      </c>
      <c r="G422" s="26">
        <f>COUNTIF($H$5:H422,H422)</f>
      </c>
      <c r="H422" s="26">
        <f t="shared" si="122"/>
      </c>
      <c r="I422" s="26">
        <f>COUNTIF($J$4:$J422,1)</f>
      </c>
      <c r="J422" s="26">
        <f>COUNTIF($S$5:$S422,S422)</f>
      </c>
      <c r="K422" s="26">
        <f t="shared" si="111"/>
      </c>
      <c r="L422" s="26">
        <f>IFERROR(IF(P422=0,0,MAX($L$4:L421)+1),0)</f>
      </c>
      <c r="M422" s="5">
        <f t="shared" si="123"/>
      </c>
      <c r="N422" s="5">
        <f t="shared" si="124"/>
      </c>
      <c r="P422" s="86">
        <f t="shared" si="112"/>
      </c>
      <c r="Q422" s="86">
        <f t="shared" si="113"/>
      </c>
      <c r="R422" s="86">
        <f t="shared" si="114"/>
      </c>
      <c r="S422" s="86">
        <f t="shared" si="115"/>
      </c>
      <c r="T422" s="86">
        <f t="shared" si="125"/>
        <v/>
      </c>
      <c r="U422" s="86">
        <f t="shared" si="126"/>
        <v/>
      </c>
      <c r="V422" s="86">
        <f t="shared" si="127"/>
        <v/>
      </c>
      <c r="W422" s="87">
        <f t="shared" si="116"/>
      </c>
      <c r="X422" s="88"/>
      <c r="Y422" s="88"/>
      <c r="Z422" s="88"/>
      <c r="AA422" s="88"/>
      <c r="AB422" s="88"/>
      <c r="AD422" s="86">
        <f t="shared" si="117"/>
      </c>
      <c r="AE422" s="86">
        <f t="shared" si="118"/>
      </c>
      <c r="AG422" s="86">
        <f t="shared" si="119"/>
      </c>
      <c r="AH422" s="86">
        <f t="shared" si="120"/>
      </c>
      <c r="AI422" s="86">
        <f t="shared" si="121"/>
      </c>
    </row>
    <row r="423" spans="6:35" x14ac:dyDescent="0.3">
      <c r="F423" s="26">
        <f>IF(G423=1,MAX($F$4:F422)+1,"")</f>
        <v/>
      </c>
      <c r="G423" s="26">
        <f>COUNTIF($H$5:H423,H423)</f>
      </c>
      <c r="H423" s="26">
        <f t="shared" si="122"/>
      </c>
      <c r="I423" s="26">
        <f>COUNTIF($J$4:$J423,1)</f>
      </c>
      <c r="J423" s="26">
        <f>COUNTIF($S$5:$S423,S423)</f>
      </c>
      <c r="K423" s="26">
        <f t="shared" si="111"/>
      </c>
      <c r="L423" s="26">
        <f>IFERROR(IF(P423=0,0,MAX($L$4:L422)+1),0)</f>
      </c>
      <c r="M423" s="5">
        <f t="shared" si="123"/>
      </c>
      <c r="N423" s="5">
        <f t="shared" si="124"/>
      </c>
      <c r="P423" s="86">
        <f t="shared" si="112"/>
      </c>
      <c r="Q423" s="86">
        <f t="shared" si="113"/>
      </c>
      <c r="R423" s="86">
        <f t="shared" si="114"/>
      </c>
      <c r="S423" s="86">
        <f t="shared" si="115"/>
      </c>
      <c r="T423" s="86">
        <f t="shared" si="125"/>
        <v/>
      </c>
      <c r="U423" s="86">
        <f t="shared" si="126"/>
        <v/>
      </c>
      <c r="V423" s="86">
        <f t="shared" si="127"/>
        <v/>
      </c>
      <c r="W423" s="87">
        <f t="shared" si="116"/>
      </c>
      <c r="X423" s="88"/>
      <c r="Y423" s="88"/>
      <c r="Z423" s="88"/>
      <c r="AA423" s="88"/>
      <c r="AB423" s="88"/>
      <c r="AD423" s="86">
        <f t="shared" si="117"/>
      </c>
      <c r="AE423" s="86">
        <f t="shared" si="118"/>
      </c>
      <c r="AG423" s="86">
        <f t="shared" si="119"/>
      </c>
      <c r="AH423" s="86">
        <f t="shared" si="120"/>
      </c>
      <c r="AI423" s="86">
        <f t="shared" si="121"/>
      </c>
    </row>
    <row r="424" spans="6:35" x14ac:dyDescent="0.3">
      <c r="F424" s="26">
        <f>IF(G424=1,MAX($F$4:F423)+1,"")</f>
        <v/>
      </c>
      <c r="G424" s="26">
        <f>COUNTIF($H$5:H424,H424)</f>
      </c>
      <c r="H424" s="26">
        <f t="shared" si="122"/>
      </c>
      <c r="I424" s="26">
        <f>COUNTIF($J$4:$J424,1)</f>
      </c>
      <c r="J424" s="26">
        <f>COUNTIF($S$5:$S424,S424)</f>
      </c>
      <c r="K424" s="26">
        <f t="shared" si="111"/>
      </c>
      <c r="L424" s="26">
        <f>IFERROR(IF(P424=0,0,MAX($L$4:L423)+1),0)</f>
      </c>
      <c r="M424" s="5">
        <f t="shared" si="123"/>
      </c>
      <c r="N424" s="5">
        <f t="shared" si="124"/>
      </c>
      <c r="P424" s="86">
        <f t="shared" si="112"/>
      </c>
      <c r="Q424" s="86">
        <f t="shared" si="113"/>
      </c>
      <c r="R424" s="86">
        <f t="shared" si="114"/>
      </c>
      <c r="S424" s="86">
        <f t="shared" si="115"/>
      </c>
      <c r="T424" s="86">
        <f t="shared" si="125"/>
        <v/>
      </c>
      <c r="U424" s="86">
        <f t="shared" si="126"/>
        <v/>
      </c>
      <c r="V424" s="86">
        <f t="shared" si="127"/>
        <v/>
      </c>
      <c r="W424" s="87">
        <f t="shared" si="116"/>
      </c>
      <c r="X424" s="88"/>
      <c r="Y424" s="88"/>
      <c r="Z424" s="88"/>
      <c r="AA424" s="88"/>
      <c r="AB424" s="88"/>
      <c r="AD424" s="86">
        <f t="shared" si="117"/>
      </c>
      <c r="AE424" s="86">
        <f t="shared" si="118"/>
      </c>
      <c r="AG424" s="86">
        <f t="shared" si="119"/>
      </c>
      <c r="AH424" s="86">
        <f t="shared" si="120"/>
      </c>
      <c r="AI424" s="86">
        <f t="shared" si="121"/>
      </c>
    </row>
    <row r="425" spans="6:35" x14ac:dyDescent="0.3">
      <c r="F425" s="26">
        <f>IF(G425=1,MAX($F$4:F424)+1,"")</f>
        <v/>
      </c>
      <c r="G425" s="26">
        <f>COUNTIF($H$5:H425,H425)</f>
      </c>
      <c r="H425" s="26">
        <f t="shared" si="122"/>
      </c>
      <c r="I425" s="26">
        <f>COUNTIF($J$4:$J425,1)</f>
      </c>
      <c r="J425" s="26">
        <f>COUNTIF($S$5:$S425,S425)</f>
      </c>
      <c r="K425" s="26">
        <f t="shared" si="111"/>
      </c>
      <c r="L425" s="26">
        <f>IFERROR(IF(P425=0,0,MAX($L$4:L424)+1),0)</f>
      </c>
      <c r="M425" s="5">
        <f t="shared" si="123"/>
      </c>
      <c r="N425" s="5">
        <f t="shared" si="124"/>
      </c>
      <c r="P425" s="86">
        <f t="shared" si="112"/>
      </c>
      <c r="Q425" s="86">
        <f t="shared" si="113"/>
      </c>
      <c r="R425" s="86">
        <f t="shared" si="114"/>
      </c>
      <c r="S425" s="86">
        <f t="shared" si="115"/>
      </c>
      <c r="T425" s="86">
        <f t="shared" si="125"/>
        <v/>
      </c>
      <c r="U425" s="86">
        <f t="shared" si="126"/>
        <v/>
      </c>
      <c r="V425" s="86">
        <f t="shared" si="127"/>
        <v/>
      </c>
      <c r="W425" s="87">
        <f t="shared" si="116"/>
      </c>
      <c r="X425" s="88"/>
      <c r="Y425" s="88"/>
      <c r="Z425" s="88"/>
      <c r="AA425" s="88"/>
      <c r="AB425" s="88"/>
      <c r="AD425" s="86">
        <f t="shared" si="117"/>
      </c>
      <c r="AE425" s="86">
        <f t="shared" si="118"/>
      </c>
      <c r="AG425" s="86">
        <f t="shared" si="119"/>
      </c>
      <c r="AH425" s="86">
        <f t="shared" si="120"/>
      </c>
      <c r="AI425" s="86">
        <f t="shared" si="121"/>
      </c>
    </row>
    <row r="426" spans="6:35" x14ac:dyDescent="0.3">
      <c r="F426" s="26">
        <f>IF(G426=1,MAX($F$4:F425)+1,"")</f>
        <v/>
      </c>
      <c r="G426" s="26">
        <f>COUNTIF($H$5:H426,H426)</f>
      </c>
      <c r="H426" s="26">
        <f t="shared" si="122"/>
      </c>
      <c r="I426" s="26">
        <f>COUNTIF($J$4:$J426,1)</f>
      </c>
      <c r="J426" s="26">
        <f>COUNTIF($S$5:$S426,S426)</f>
      </c>
      <c r="K426" s="26">
        <f t="shared" si="111"/>
      </c>
      <c r="L426" s="26">
        <f>IFERROR(IF(P426=0,0,MAX($L$4:L425)+1),0)</f>
      </c>
      <c r="M426" s="5">
        <f t="shared" si="123"/>
      </c>
      <c r="N426" s="5">
        <f t="shared" si="124"/>
      </c>
      <c r="P426" s="86">
        <f t="shared" si="112"/>
      </c>
      <c r="Q426" s="86">
        <f t="shared" si="113"/>
      </c>
      <c r="R426" s="86">
        <f t="shared" si="114"/>
      </c>
      <c r="S426" s="86">
        <f t="shared" si="115"/>
      </c>
      <c r="T426" s="86">
        <f t="shared" si="125"/>
        <v/>
      </c>
      <c r="U426" s="86">
        <f t="shared" si="126"/>
        <v/>
      </c>
      <c r="V426" s="86">
        <f t="shared" si="127"/>
        <v/>
      </c>
      <c r="W426" s="87">
        <f t="shared" si="116"/>
      </c>
      <c r="X426" s="88"/>
      <c r="Y426" s="88"/>
      <c r="Z426" s="88"/>
      <c r="AA426" s="88"/>
      <c r="AB426" s="88"/>
      <c r="AD426" s="86">
        <f t="shared" si="117"/>
      </c>
      <c r="AE426" s="86">
        <f t="shared" si="118"/>
      </c>
      <c r="AG426" s="86">
        <f t="shared" si="119"/>
      </c>
      <c r="AH426" s="86">
        <f t="shared" si="120"/>
      </c>
      <c r="AI426" s="86">
        <f t="shared" si="121"/>
      </c>
    </row>
    <row r="427" spans="6:35" x14ac:dyDescent="0.3">
      <c r="F427" s="26">
        <f>IF(G427=1,MAX($F$4:F426)+1,"")</f>
        <v/>
      </c>
      <c r="G427" s="26">
        <f>COUNTIF($H$5:H427,H427)</f>
      </c>
      <c r="H427" s="26">
        <f t="shared" si="122"/>
      </c>
      <c r="I427" s="26">
        <f>COUNTIF($J$4:$J427,1)</f>
      </c>
      <c r="J427" s="26">
        <f>COUNTIF($S$5:$S427,S427)</f>
      </c>
      <c r="K427" s="26">
        <f t="shared" si="111"/>
      </c>
      <c r="L427" s="26">
        <f>IFERROR(IF(P427=0,0,MAX($L$4:L426)+1),0)</f>
      </c>
      <c r="M427" s="5">
        <f t="shared" si="123"/>
      </c>
      <c r="N427" s="5">
        <f t="shared" si="124"/>
      </c>
      <c r="P427" s="86">
        <f t="shared" si="112"/>
      </c>
      <c r="Q427" s="86">
        <f t="shared" si="113"/>
      </c>
      <c r="R427" s="86">
        <f t="shared" si="114"/>
      </c>
      <c r="S427" s="86">
        <f t="shared" si="115"/>
      </c>
      <c r="T427" s="86">
        <f t="shared" si="125"/>
        <v/>
      </c>
      <c r="U427" s="86">
        <f t="shared" si="126"/>
        <v/>
      </c>
      <c r="V427" s="86">
        <f t="shared" si="127"/>
        <v/>
      </c>
      <c r="W427" s="87">
        <f t="shared" si="116"/>
      </c>
      <c r="X427" s="88"/>
      <c r="Y427" s="88"/>
      <c r="Z427" s="88"/>
      <c r="AA427" s="88"/>
      <c r="AB427" s="88"/>
      <c r="AD427" s="86">
        <f t="shared" si="117"/>
      </c>
      <c r="AE427" s="86">
        <f t="shared" si="118"/>
      </c>
      <c r="AG427" s="86">
        <f t="shared" si="119"/>
      </c>
      <c r="AH427" s="86">
        <f t="shared" si="120"/>
      </c>
      <c r="AI427" s="86">
        <f t="shared" si="121"/>
      </c>
    </row>
    <row r="428" spans="6:35" x14ac:dyDescent="0.3">
      <c r="F428" s="26">
        <f>IF(G428=1,MAX($F$4:F427)+1,"")</f>
        <v/>
      </c>
      <c r="G428" s="26">
        <f>COUNTIF($H$5:H428,H428)</f>
      </c>
      <c r="H428" s="26">
        <f t="shared" si="122"/>
      </c>
      <c r="I428" s="26">
        <f>COUNTIF($J$4:$J428,1)</f>
      </c>
      <c r="J428" s="26">
        <f>COUNTIF($S$5:$S428,S428)</f>
      </c>
      <c r="K428" s="26">
        <f t="shared" si="111"/>
      </c>
      <c r="L428" s="26">
        <f>IFERROR(IF(P428=0,0,MAX($L$4:L427)+1),0)</f>
      </c>
      <c r="M428" s="5">
        <f t="shared" si="123"/>
      </c>
      <c r="N428" s="5">
        <f t="shared" si="124"/>
      </c>
      <c r="P428" s="86">
        <f t="shared" si="112"/>
      </c>
      <c r="Q428" s="86">
        <f t="shared" si="113"/>
      </c>
      <c r="R428" s="86">
        <f t="shared" si="114"/>
      </c>
      <c r="S428" s="86">
        <f t="shared" si="115"/>
      </c>
      <c r="T428" s="86">
        <f t="shared" si="125"/>
        <v/>
      </c>
      <c r="U428" s="86">
        <f t="shared" si="126"/>
        <v/>
      </c>
      <c r="V428" s="86">
        <f t="shared" si="127"/>
        <v/>
      </c>
      <c r="W428" s="87">
        <f t="shared" si="116"/>
      </c>
      <c r="X428" s="88"/>
      <c r="Y428" s="88"/>
      <c r="Z428" s="88"/>
      <c r="AA428" s="88"/>
      <c r="AB428" s="88"/>
      <c r="AD428" s="86">
        <f t="shared" si="117"/>
      </c>
      <c r="AE428" s="86">
        <f t="shared" si="118"/>
      </c>
      <c r="AG428" s="86">
        <f t="shared" si="119"/>
      </c>
      <c r="AH428" s="86">
        <f t="shared" si="120"/>
      </c>
      <c r="AI428" s="86">
        <f t="shared" si="121"/>
      </c>
    </row>
    <row r="429" spans="6:35" x14ac:dyDescent="0.3">
      <c r="F429" s="26">
        <f>IF(G429=1,MAX($F$4:F428)+1,"")</f>
        <v/>
      </c>
      <c r="G429" s="26">
        <f>COUNTIF($H$5:H429,H429)</f>
      </c>
      <c r="H429" s="26">
        <f t="shared" si="122"/>
      </c>
      <c r="I429" s="26">
        <f>COUNTIF($J$4:$J429,1)</f>
      </c>
      <c r="J429" s="26">
        <f>COUNTIF($S$5:$S429,S429)</f>
      </c>
      <c r="K429" s="26">
        <f t="shared" si="111"/>
      </c>
      <c r="L429" s="26">
        <f>IFERROR(IF(P429=0,0,MAX($L$4:L428)+1),0)</f>
      </c>
      <c r="M429" s="5">
        <f t="shared" si="123"/>
      </c>
      <c r="N429" s="5">
        <f t="shared" si="124"/>
      </c>
      <c r="P429" s="86">
        <f t="shared" si="112"/>
      </c>
      <c r="Q429" s="86">
        <f t="shared" si="113"/>
      </c>
      <c r="R429" s="86">
        <f t="shared" si="114"/>
      </c>
      <c r="S429" s="86">
        <f t="shared" si="115"/>
      </c>
      <c r="T429" s="86">
        <f t="shared" si="125"/>
        <v/>
      </c>
      <c r="U429" s="86">
        <f t="shared" si="126"/>
        <v/>
      </c>
      <c r="V429" s="86">
        <f t="shared" si="127"/>
        <v/>
      </c>
      <c r="W429" s="87">
        <f t="shared" si="116"/>
      </c>
      <c r="X429" s="88"/>
      <c r="Y429" s="88"/>
      <c r="Z429" s="88"/>
      <c r="AA429" s="88"/>
      <c r="AB429" s="88"/>
      <c r="AD429" s="86">
        <f t="shared" si="117"/>
      </c>
      <c r="AE429" s="86">
        <f t="shared" si="118"/>
      </c>
      <c r="AG429" s="86">
        <f t="shared" si="119"/>
      </c>
      <c r="AH429" s="86">
        <f t="shared" si="120"/>
      </c>
      <c r="AI429" s="86">
        <f t="shared" si="121"/>
      </c>
    </row>
    <row r="430" spans="6:35" x14ac:dyDescent="0.3">
      <c r="F430" s="26">
        <f>IF(G430=1,MAX($F$4:F429)+1,"")</f>
        <v/>
      </c>
      <c r="G430" s="26">
        <f>COUNTIF($H$5:H430,H430)</f>
      </c>
      <c r="H430" s="26">
        <f t="shared" si="122"/>
      </c>
      <c r="I430" s="26">
        <f>COUNTIF($J$4:$J430,1)</f>
      </c>
      <c r="J430" s="26">
        <f>COUNTIF($S$5:$S430,S430)</f>
      </c>
      <c r="K430" s="26">
        <f t="shared" si="111"/>
      </c>
      <c r="L430" s="26">
        <f>IFERROR(IF(P430=0,0,MAX($L$4:L429)+1),0)</f>
      </c>
      <c r="M430" s="5">
        <f t="shared" si="123"/>
      </c>
      <c r="N430" s="5">
        <f t="shared" si="124"/>
      </c>
      <c r="P430" s="86">
        <f t="shared" si="112"/>
      </c>
      <c r="Q430" s="86">
        <f t="shared" si="113"/>
      </c>
      <c r="R430" s="86">
        <f t="shared" si="114"/>
      </c>
      <c r="S430" s="86">
        <f t="shared" si="115"/>
      </c>
      <c r="T430" s="86">
        <f t="shared" si="125"/>
        <v/>
      </c>
      <c r="U430" s="86">
        <f t="shared" si="126"/>
        <v/>
      </c>
      <c r="V430" s="86">
        <f t="shared" si="127"/>
        <v/>
      </c>
      <c r="W430" s="87">
        <f t="shared" si="116"/>
      </c>
      <c r="X430" s="88"/>
      <c r="Y430" s="88"/>
      <c r="Z430" s="88"/>
      <c r="AA430" s="88"/>
      <c r="AB430" s="88"/>
      <c r="AD430" s="86">
        <f t="shared" si="117"/>
      </c>
      <c r="AE430" s="86">
        <f t="shared" si="118"/>
      </c>
      <c r="AG430" s="86">
        <f t="shared" si="119"/>
      </c>
      <c r="AH430" s="86">
        <f t="shared" si="120"/>
      </c>
      <c r="AI430" s="86">
        <f t="shared" si="121"/>
      </c>
    </row>
    <row r="431" spans="6:35" x14ac:dyDescent="0.3">
      <c r="F431" s="26">
        <f>IF(G431=1,MAX($F$4:F430)+1,"")</f>
        <v/>
      </c>
      <c r="G431" s="26">
        <f>COUNTIF($H$5:H431,H431)</f>
      </c>
      <c r="H431" s="26">
        <f t="shared" si="122"/>
      </c>
      <c r="I431" s="26">
        <f>COUNTIF($J$4:$J431,1)</f>
      </c>
      <c r="J431" s="26">
        <f>COUNTIF($S$5:$S431,S431)</f>
      </c>
      <c r="K431" s="26">
        <f t="shared" si="111"/>
      </c>
      <c r="L431" s="26">
        <f>IFERROR(IF(P431=0,0,MAX($L$4:L430)+1),0)</f>
      </c>
      <c r="M431" s="5">
        <f t="shared" si="123"/>
      </c>
      <c r="N431" s="5">
        <f t="shared" si="124"/>
      </c>
      <c r="P431" s="86">
        <f t="shared" si="112"/>
      </c>
      <c r="Q431" s="86">
        <f t="shared" si="113"/>
      </c>
      <c r="R431" s="86">
        <f t="shared" si="114"/>
      </c>
      <c r="S431" s="86">
        <f t="shared" si="115"/>
      </c>
      <c r="T431" s="86">
        <f t="shared" si="125"/>
        <v/>
      </c>
      <c r="U431" s="86">
        <f t="shared" si="126"/>
        <v/>
      </c>
      <c r="V431" s="86">
        <f t="shared" si="127"/>
        <v/>
      </c>
      <c r="W431" s="87">
        <f t="shared" si="116"/>
      </c>
      <c r="X431" s="88"/>
      <c r="Y431" s="88"/>
      <c r="Z431" s="88"/>
      <c r="AA431" s="88"/>
      <c r="AB431" s="88"/>
      <c r="AD431" s="86">
        <f t="shared" si="117"/>
      </c>
      <c r="AE431" s="86">
        <f t="shared" si="118"/>
      </c>
      <c r="AG431" s="86">
        <f t="shared" si="119"/>
      </c>
      <c r="AH431" s="86">
        <f t="shared" si="120"/>
      </c>
      <c r="AI431" s="86">
        <f t="shared" si="121"/>
      </c>
    </row>
    <row r="432" spans="6:35" x14ac:dyDescent="0.3">
      <c r="F432" s="26">
        <f>IF(G432=1,MAX($F$4:F431)+1,"")</f>
        <v/>
      </c>
      <c r="G432" s="26">
        <f>COUNTIF($H$5:H432,H432)</f>
      </c>
      <c r="H432" s="26">
        <f t="shared" si="122"/>
      </c>
      <c r="I432" s="26">
        <f>COUNTIF($J$4:$J432,1)</f>
      </c>
      <c r="J432" s="26">
        <f>COUNTIF($S$5:$S432,S432)</f>
      </c>
      <c r="K432" s="26">
        <f t="shared" si="111"/>
      </c>
      <c r="L432" s="26">
        <f>IFERROR(IF(P432=0,0,MAX($L$4:L431)+1),0)</f>
      </c>
      <c r="M432" s="5">
        <f t="shared" si="123"/>
      </c>
      <c r="N432" s="5">
        <f t="shared" si="124"/>
      </c>
      <c r="P432" s="86">
        <f t="shared" si="112"/>
      </c>
      <c r="Q432" s="86">
        <f t="shared" si="113"/>
      </c>
      <c r="R432" s="86">
        <f t="shared" si="114"/>
      </c>
      <c r="S432" s="86">
        <f t="shared" si="115"/>
      </c>
      <c r="T432" s="86">
        <f t="shared" si="125"/>
        <v/>
      </c>
      <c r="U432" s="86">
        <f t="shared" si="126"/>
        <v/>
      </c>
      <c r="V432" s="86">
        <f t="shared" si="127"/>
        <v/>
      </c>
      <c r="W432" s="87">
        <f t="shared" si="116"/>
      </c>
      <c r="X432" s="88"/>
      <c r="Y432" s="88"/>
      <c r="Z432" s="88"/>
      <c r="AA432" s="88"/>
      <c r="AB432" s="88"/>
      <c r="AD432" s="86">
        <f t="shared" si="117"/>
      </c>
      <c r="AE432" s="86">
        <f t="shared" si="118"/>
      </c>
      <c r="AG432" s="86">
        <f t="shared" si="119"/>
      </c>
      <c r="AH432" s="86">
        <f t="shared" si="120"/>
      </c>
      <c r="AI432" s="86">
        <f t="shared" si="121"/>
      </c>
    </row>
    <row r="433" spans="6:35" x14ac:dyDescent="0.3">
      <c r="F433" s="26">
        <f>IF(G433=1,MAX($F$4:F432)+1,"")</f>
        <v/>
      </c>
      <c r="G433" s="26">
        <f>COUNTIF($H$5:H433,H433)</f>
      </c>
      <c r="H433" s="26">
        <f t="shared" si="122"/>
      </c>
      <c r="I433" s="26">
        <f>COUNTIF($J$4:$J433,1)</f>
      </c>
      <c r="J433" s="26">
        <f>COUNTIF($S$5:$S433,S433)</f>
      </c>
      <c r="K433" s="26">
        <f t="shared" si="111"/>
      </c>
      <c r="L433" s="26">
        <f>IFERROR(IF(P433=0,0,MAX($L$4:L432)+1),0)</f>
      </c>
      <c r="M433" s="5">
        <f t="shared" si="123"/>
      </c>
      <c r="N433" s="5">
        <f t="shared" si="124"/>
      </c>
      <c r="P433" s="86">
        <f t="shared" si="112"/>
      </c>
      <c r="Q433" s="86">
        <f t="shared" si="113"/>
      </c>
      <c r="R433" s="86">
        <f t="shared" si="114"/>
      </c>
      <c r="S433" s="86">
        <f t="shared" si="115"/>
      </c>
      <c r="T433" s="86">
        <f t="shared" si="125"/>
        <v/>
      </c>
      <c r="U433" s="86">
        <f t="shared" si="126"/>
        <v/>
      </c>
      <c r="V433" s="86">
        <f t="shared" si="127"/>
        <v/>
      </c>
      <c r="W433" s="87">
        <f t="shared" si="116"/>
      </c>
      <c r="X433" s="88"/>
      <c r="Y433" s="88"/>
      <c r="Z433" s="88"/>
      <c r="AA433" s="88"/>
      <c r="AB433" s="88"/>
      <c r="AD433" s="86">
        <f t="shared" si="117"/>
      </c>
      <c r="AE433" s="86">
        <f t="shared" si="118"/>
      </c>
      <c r="AG433" s="86">
        <f t="shared" si="119"/>
      </c>
      <c r="AH433" s="86">
        <f t="shared" si="120"/>
      </c>
      <c r="AI433" s="86">
        <f t="shared" si="121"/>
      </c>
    </row>
    <row r="434" spans="6:35" x14ac:dyDescent="0.3">
      <c r="F434" s="26">
        <f>IF(G434=1,MAX($F$4:F433)+1,"")</f>
        <v/>
      </c>
      <c r="G434" s="26">
        <f>COUNTIF($H$5:H434,H434)</f>
      </c>
      <c r="H434" s="26">
        <f t="shared" si="122"/>
      </c>
      <c r="I434" s="26">
        <f>COUNTIF($J$4:$J434,1)</f>
      </c>
      <c r="J434" s="26">
        <f>COUNTIF($S$5:$S434,S434)</f>
      </c>
      <c r="K434" s="26">
        <f t="shared" si="111"/>
      </c>
      <c r="L434" s="26">
        <f>IFERROR(IF(P434=0,0,MAX($L$4:L433)+1),0)</f>
      </c>
      <c r="M434" s="5">
        <f t="shared" si="123"/>
      </c>
      <c r="N434" s="5">
        <f t="shared" si="124"/>
      </c>
      <c r="P434" s="86">
        <f t="shared" si="112"/>
      </c>
      <c r="Q434" s="86">
        <f t="shared" si="113"/>
      </c>
      <c r="R434" s="86">
        <f t="shared" si="114"/>
      </c>
      <c r="S434" s="86">
        <f t="shared" si="115"/>
      </c>
      <c r="T434" s="86">
        <f t="shared" si="125"/>
        <v/>
      </c>
      <c r="U434" s="86">
        <f t="shared" si="126"/>
        <v/>
      </c>
      <c r="V434" s="86">
        <f t="shared" si="127"/>
        <v/>
      </c>
      <c r="W434" s="87">
        <f t="shared" si="116"/>
      </c>
      <c r="X434" s="88"/>
      <c r="Y434" s="88"/>
      <c r="Z434" s="88"/>
      <c r="AA434" s="88"/>
      <c r="AB434" s="88"/>
      <c r="AD434" s="86">
        <f t="shared" si="117"/>
      </c>
      <c r="AE434" s="86">
        <f t="shared" si="118"/>
      </c>
      <c r="AG434" s="86">
        <f t="shared" si="119"/>
      </c>
      <c r="AH434" s="86">
        <f t="shared" si="120"/>
      </c>
      <c r="AI434" s="86">
        <f t="shared" si="121"/>
      </c>
    </row>
    <row r="435" spans="6:35" x14ac:dyDescent="0.3">
      <c r="F435" s="26">
        <f>IF(G435=1,MAX($F$4:F434)+1,"")</f>
        <v/>
      </c>
      <c r="G435" s="26">
        <f>COUNTIF($H$5:H435,H435)</f>
      </c>
      <c r="H435" s="26">
        <f t="shared" si="122"/>
      </c>
      <c r="I435" s="26">
        <f>COUNTIF($J$4:$J435,1)</f>
      </c>
      <c r="J435" s="26">
        <f>COUNTIF($S$5:$S435,S435)</f>
      </c>
      <c r="K435" s="26">
        <f t="shared" si="111"/>
      </c>
      <c r="L435" s="26">
        <f>IFERROR(IF(P435=0,0,MAX($L$4:L434)+1),0)</f>
      </c>
      <c r="M435" s="5">
        <f t="shared" si="123"/>
      </c>
      <c r="N435" s="5">
        <f t="shared" si="124"/>
      </c>
      <c r="P435" s="86">
        <f t="shared" si="112"/>
      </c>
      <c r="Q435" s="86">
        <f t="shared" si="113"/>
      </c>
      <c r="R435" s="86">
        <f t="shared" si="114"/>
      </c>
      <c r="S435" s="86">
        <f t="shared" si="115"/>
      </c>
      <c r="T435" s="86">
        <f t="shared" si="125"/>
        <v/>
      </c>
      <c r="U435" s="86">
        <f t="shared" si="126"/>
        <v/>
      </c>
      <c r="V435" s="86">
        <f t="shared" si="127"/>
        <v/>
      </c>
      <c r="W435" s="87">
        <f t="shared" si="116"/>
      </c>
      <c r="X435" s="88"/>
      <c r="Y435" s="88"/>
      <c r="Z435" s="88"/>
      <c r="AA435" s="88"/>
      <c r="AB435" s="88"/>
      <c r="AD435" s="86">
        <f t="shared" si="117"/>
      </c>
      <c r="AE435" s="86">
        <f t="shared" si="118"/>
      </c>
      <c r="AG435" s="86">
        <f t="shared" si="119"/>
      </c>
      <c r="AH435" s="86">
        <f t="shared" si="120"/>
      </c>
      <c r="AI435" s="86">
        <f t="shared" si="121"/>
      </c>
    </row>
    <row r="436" spans="6:35" x14ac:dyDescent="0.3">
      <c r="F436" s="26">
        <f>IF(G436=1,MAX($F$4:F435)+1,"")</f>
        <v/>
      </c>
      <c r="G436" s="26">
        <f>COUNTIF($H$5:H436,H436)</f>
      </c>
      <c r="H436" s="26">
        <f t="shared" si="122"/>
      </c>
      <c r="I436" s="26">
        <f>COUNTIF($J$4:$J436,1)</f>
      </c>
      <c r="J436" s="26">
        <f>COUNTIF($S$5:$S436,S436)</f>
      </c>
      <c r="K436" s="26">
        <f t="shared" si="111"/>
      </c>
      <c r="L436" s="26">
        <f>IFERROR(IF(P436=0,0,MAX($L$4:L435)+1),0)</f>
      </c>
      <c r="M436" s="5">
        <f t="shared" si="123"/>
      </c>
      <c r="N436" s="5">
        <f t="shared" si="124"/>
      </c>
      <c r="P436" s="86">
        <f t="shared" si="112"/>
      </c>
      <c r="Q436" s="86">
        <f t="shared" si="113"/>
      </c>
      <c r="R436" s="86">
        <f t="shared" si="114"/>
      </c>
      <c r="S436" s="86">
        <f t="shared" si="115"/>
      </c>
      <c r="T436" s="86">
        <f t="shared" si="125"/>
        <v/>
      </c>
      <c r="U436" s="86">
        <f t="shared" si="126"/>
        <v/>
      </c>
      <c r="V436" s="86">
        <f t="shared" si="127"/>
        <v/>
      </c>
      <c r="W436" s="87">
        <f t="shared" si="116"/>
      </c>
      <c r="X436" s="88"/>
      <c r="Y436" s="88"/>
      <c r="Z436" s="88"/>
      <c r="AA436" s="88"/>
      <c r="AB436" s="88"/>
      <c r="AD436" s="86">
        <f t="shared" si="117"/>
      </c>
      <c r="AE436" s="86">
        <f t="shared" si="118"/>
      </c>
      <c r="AG436" s="86">
        <f t="shared" si="119"/>
      </c>
      <c r="AH436" s="86">
        <f t="shared" si="120"/>
      </c>
      <c r="AI436" s="86">
        <f t="shared" si="121"/>
      </c>
    </row>
    <row r="437" spans="6:35" x14ac:dyDescent="0.3">
      <c r="F437" s="26">
        <f>IF(G437=1,MAX($F$4:F436)+1,"")</f>
        <v/>
      </c>
      <c r="G437" s="26">
        <f>COUNTIF($H$5:H437,H437)</f>
      </c>
      <c r="H437" s="26">
        <f t="shared" si="122"/>
      </c>
      <c r="I437" s="26">
        <f>COUNTIF($J$4:$J437,1)</f>
      </c>
      <c r="J437" s="26">
        <f>COUNTIF($S$5:$S437,S437)</f>
      </c>
      <c r="K437" s="26">
        <f t="shared" si="111"/>
      </c>
      <c r="L437" s="26">
        <f>IFERROR(IF(P437=0,0,MAX($L$4:L436)+1),0)</f>
      </c>
      <c r="M437" s="5">
        <f t="shared" si="123"/>
      </c>
      <c r="N437" s="5">
        <f t="shared" si="124"/>
      </c>
      <c r="P437" s="86">
        <f t="shared" si="112"/>
      </c>
      <c r="Q437" s="86">
        <f t="shared" si="113"/>
      </c>
      <c r="R437" s="86">
        <f t="shared" si="114"/>
      </c>
      <c r="S437" s="86">
        <f t="shared" si="115"/>
      </c>
      <c r="T437" s="86">
        <f t="shared" si="125"/>
        <v/>
      </c>
      <c r="U437" s="86">
        <f t="shared" si="126"/>
        <v/>
      </c>
      <c r="V437" s="86">
        <f t="shared" si="127"/>
        <v/>
      </c>
      <c r="W437" s="87">
        <f t="shared" si="116"/>
      </c>
      <c r="X437" s="88"/>
      <c r="Y437" s="88"/>
      <c r="Z437" s="88"/>
      <c r="AA437" s="88"/>
      <c r="AB437" s="88"/>
      <c r="AD437" s="86">
        <f t="shared" si="117"/>
      </c>
      <c r="AE437" s="86">
        <f t="shared" si="118"/>
      </c>
      <c r="AG437" s="86">
        <f t="shared" si="119"/>
      </c>
      <c r="AH437" s="86">
        <f t="shared" si="120"/>
      </c>
      <c r="AI437" s="86">
        <f t="shared" si="121"/>
      </c>
    </row>
    <row r="438" spans="6:35" x14ac:dyDescent="0.3">
      <c r="F438" s="26">
        <f>IF(G438=1,MAX($F$4:F437)+1,"")</f>
        <v/>
      </c>
      <c r="G438" s="26">
        <f>COUNTIF($H$5:H438,H438)</f>
      </c>
      <c r="H438" s="26">
        <f t="shared" si="122"/>
      </c>
      <c r="I438" s="26">
        <f>COUNTIF($J$4:$J438,1)</f>
      </c>
      <c r="J438" s="26">
        <f>COUNTIF($S$5:$S438,S438)</f>
      </c>
      <c r="K438" s="26">
        <f t="shared" si="111"/>
      </c>
      <c r="L438" s="26">
        <f>IFERROR(IF(P438=0,0,MAX($L$4:L437)+1),0)</f>
      </c>
      <c r="M438" s="5">
        <f t="shared" si="123"/>
      </c>
      <c r="N438" s="5">
        <f t="shared" si="124"/>
      </c>
      <c r="P438" s="86">
        <f t="shared" si="112"/>
      </c>
      <c r="Q438" s="86">
        <f t="shared" si="113"/>
      </c>
      <c r="R438" s="86">
        <f t="shared" si="114"/>
      </c>
      <c r="S438" s="86">
        <f t="shared" si="115"/>
      </c>
      <c r="T438" s="86">
        <f t="shared" si="125"/>
        <v/>
      </c>
      <c r="U438" s="86">
        <f t="shared" si="126"/>
        <v/>
      </c>
      <c r="V438" s="86">
        <f t="shared" si="127"/>
        <v/>
      </c>
      <c r="W438" s="87">
        <f t="shared" si="116"/>
      </c>
      <c r="X438" s="88"/>
      <c r="Y438" s="88"/>
      <c r="Z438" s="88"/>
      <c r="AA438" s="88"/>
      <c r="AB438" s="88"/>
      <c r="AD438" s="86">
        <f t="shared" si="117"/>
      </c>
      <c r="AE438" s="86">
        <f t="shared" si="118"/>
      </c>
      <c r="AG438" s="86">
        <f t="shared" si="119"/>
      </c>
      <c r="AH438" s="86">
        <f t="shared" si="120"/>
      </c>
      <c r="AI438" s="86">
        <f t="shared" si="121"/>
      </c>
    </row>
    <row r="439" spans="6:35" x14ac:dyDescent="0.3">
      <c r="F439" s="26">
        <f>IF(G439=1,MAX($F$4:F438)+1,"")</f>
        <v/>
      </c>
      <c r="G439" s="26">
        <f>COUNTIF($H$5:H439,H439)</f>
      </c>
      <c r="H439" s="26">
        <f t="shared" si="122"/>
      </c>
      <c r="I439" s="26">
        <f>COUNTIF($J$4:$J439,1)</f>
      </c>
      <c r="J439" s="26">
        <f>COUNTIF($S$5:$S439,S439)</f>
      </c>
      <c r="K439" s="26">
        <f t="shared" si="111"/>
      </c>
      <c r="L439" s="26">
        <f>IFERROR(IF(P439=0,0,MAX($L$4:L438)+1),0)</f>
      </c>
      <c r="M439" s="5">
        <f t="shared" si="123"/>
      </c>
      <c r="N439" s="5">
        <f t="shared" si="124"/>
      </c>
      <c r="P439" s="86">
        <f t="shared" si="112"/>
      </c>
      <c r="Q439" s="86">
        <f t="shared" si="113"/>
      </c>
      <c r="R439" s="86">
        <f t="shared" si="114"/>
      </c>
      <c r="S439" s="86">
        <f t="shared" si="115"/>
      </c>
      <c r="T439" s="86">
        <f t="shared" si="125"/>
        <v/>
      </c>
      <c r="U439" s="86">
        <f t="shared" si="126"/>
        <v/>
      </c>
      <c r="V439" s="86">
        <f t="shared" si="127"/>
        <v/>
      </c>
      <c r="W439" s="87">
        <f t="shared" si="116"/>
      </c>
      <c r="X439" s="88"/>
      <c r="Y439" s="88"/>
      <c r="Z439" s="88"/>
      <c r="AA439" s="88"/>
      <c r="AB439" s="88"/>
      <c r="AD439" s="86">
        <f t="shared" si="117"/>
      </c>
      <c r="AE439" s="86">
        <f t="shared" si="118"/>
      </c>
      <c r="AG439" s="86">
        <f t="shared" si="119"/>
      </c>
      <c r="AH439" s="86">
        <f t="shared" si="120"/>
      </c>
      <c r="AI439" s="86">
        <f t="shared" si="121"/>
      </c>
    </row>
    <row r="440" spans="6:35" x14ac:dyDescent="0.3">
      <c r="F440" s="26">
        <f>IF(G440=1,MAX($F$4:F439)+1,"")</f>
        <v/>
      </c>
      <c r="G440" s="26">
        <f>COUNTIF($H$5:H440,H440)</f>
      </c>
      <c r="H440" s="26">
        <f t="shared" si="122"/>
      </c>
      <c r="I440" s="26">
        <f>COUNTIF($J$4:$J440,1)</f>
      </c>
      <c r="J440" s="26">
        <f>COUNTIF($S$5:$S440,S440)</f>
      </c>
      <c r="K440" s="26">
        <f t="shared" si="111"/>
      </c>
      <c r="L440" s="26">
        <f>IFERROR(IF(P440=0,0,MAX($L$4:L439)+1),0)</f>
      </c>
      <c r="M440" s="5">
        <f t="shared" si="123"/>
      </c>
      <c r="N440" s="5">
        <f t="shared" si="124"/>
      </c>
      <c r="P440" s="86">
        <f t="shared" si="112"/>
      </c>
      <c r="Q440" s="86">
        <f t="shared" si="113"/>
      </c>
      <c r="R440" s="86">
        <f t="shared" si="114"/>
      </c>
      <c r="S440" s="86">
        <f t="shared" si="115"/>
      </c>
      <c r="T440" s="86">
        <f t="shared" si="125"/>
        <v/>
      </c>
      <c r="U440" s="86">
        <f t="shared" si="126"/>
        <v/>
      </c>
      <c r="V440" s="86">
        <f t="shared" si="127"/>
        <v/>
      </c>
      <c r="W440" s="87">
        <f t="shared" si="116"/>
      </c>
      <c r="X440" s="88"/>
      <c r="Y440" s="88"/>
      <c r="Z440" s="88"/>
      <c r="AA440" s="88"/>
      <c r="AB440" s="88"/>
      <c r="AD440" s="86">
        <f t="shared" si="117"/>
      </c>
      <c r="AE440" s="86">
        <f t="shared" si="118"/>
      </c>
      <c r="AG440" s="86">
        <f t="shared" si="119"/>
      </c>
      <c r="AH440" s="86">
        <f t="shared" si="120"/>
      </c>
      <c r="AI440" s="86">
        <f t="shared" si="121"/>
      </c>
    </row>
    <row r="441" spans="6:35" x14ac:dyDescent="0.3">
      <c r="F441" s="26">
        <f>IF(G441=1,MAX($F$4:F440)+1,"")</f>
        <v/>
      </c>
      <c r="G441" s="26">
        <f>COUNTIF($H$5:H441,H441)</f>
      </c>
      <c r="H441" s="26">
        <f t="shared" si="122"/>
      </c>
      <c r="I441" s="26">
        <f>COUNTIF($J$4:$J441,1)</f>
      </c>
      <c r="J441" s="26">
        <f>COUNTIF($S$5:$S441,S441)</f>
      </c>
      <c r="K441" s="26">
        <f t="shared" si="111"/>
      </c>
      <c r="L441" s="26">
        <f>IFERROR(IF(P441=0,0,MAX($L$4:L440)+1),0)</f>
      </c>
      <c r="M441" s="5">
        <f t="shared" si="123"/>
      </c>
      <c r="N441" s="5">
        <f t="shared" si="124"/>
      </c>
      <c r="P441" s="86">
        <f t="shared" si="112"/>
      </c>
      <c r="Q441" s="86">
        <f t="shared" si="113"/>
      </c>
      <c r="R441" s="86">
        <f t="shared" si="114"/>
      </c>
      <c r="S441" s="86">
        <f t="shared" si="115"/>
      </c>
      <c r="T441" s="86">
        <f t="shared" si="125"/>
        <v/>
      </c>
      <c r="U441" s="86">
        <f t="shared" si="126"/>
        <v/>
      </c>
      <c r="V441" s="86">
        <f t="shared" si="127"/>
        <v/>
      </c>
      <c r="W441" s="87">
        <f t="shared" si="116"/>
      </c>
      <c r="X441" s="88"/>
      <c r="Y441" s="88"/>
      <c r="Z441" s="88"/>
      <c r="AA441" s="88"/>
      <c r="AB441" s="88"/>
      <c r="AD441" s="86">
        <f t="shared" si="117"/>
      </c>
      <c r="AE441" s="86">
        <f t="shared" si="118"/>
      </c>
      <c r="AG441" s="86">
        <f t="shared" si="119"/>
      </c>
      <c r="AH441" s="86">
        <f t="shared" si="120"/>
      </c>
      <c r="AI441" s="86">
        <f t="shared" si="121"/>
      </c>
    </row>
    <row r="442" spans="6:35" x14ac:dyDescent="0.3">
      <c r="F442" s="26">
        <f>IF(G442=1,MAX($F$4:F441)+1,"")</f>
        <v/>
      </c>
      <c r="G442" s="26">
        <f>COUNTIF($H$5:H442,H442)</f>
      </c>
      <c r="H442" s="26">
        <f t="shared" si="122"/>
      </c>
      <c r="I442" s="26">
        <f>COUNTIF($J$4:$J442,1)</f>
      </c>
      <c r="J442" s="26">
        <f>COUNTIF($S$5:$S442,S442)</f>
      </c>
      <c r="K442" s="26">
        <f t="shared" si="111"/>
      </c>
      <c r="L442" s="26">
        <f>IFERROR(IF(P442=0,0,MAX($L$4:L441)+1),0)</f>
      </c>
      <c r="M442" s="5">
        <f t="shared" si="123"/>
      </c>
      <c r="N442" s="5">
        <f t="shared" si="124"/>
      </c>
      <c r="P442" s="86">
        <f t="shared" si="112"/>
      </c>
      <c r="Q442" s="86">
        <f t="shared" si="113"/>
      </c>
      <c r="R442" s="86">
        <f t="shared" si="114"/>
      </c>
      <c r="S442" s="86">
        <f t="shared" si="115"/>
      </c>
      <c r="T442" s="86">
        <f t="shared" si="125"/>
        <v/>
      </c>
      <c r="U442" s="86">
        <f t="shared" si="126"/>
        <v/>
      </c>
      <c r="V442" s="86">
        <f t="shared" si="127"/>
        <v/>
      </c>
      <c r="W442" s="87">
        <f t="shared" si="116"/>
      </c>
      <c r="X442" s="88"/>
      <c r="Y442" s="88"/>
      <c r="Z442" s="88"/>
      <c r="AA442" s="88"/>
      <c r="AB442" s="88"/>
      <c r="AD442" s="86">
        <f t="shared" si="117"/>
      </c>
      <c r="AE442" s="86">
        <f t="shared" si="118"/>
      </c>
      <c r="AG442" s="86">
        <f t="shared" si="119"/>
      </c>
      <c r="AH442" s="86">
        <f t="shared" si="120"/>
      </c>
      <c r="AI442" s="86">
        <f t="shared" si="121"/>
      </c>
    </row>
    <row r="443" spans="6:35" x14ac:dyDescent="0.3">
      <c r="F443" s="26">
        <f>IF(G443=1,MAX($F$4:F442)+1,"")</f>
        <v/>
      </c>
      <c r="G443" s="26">
        <f>COUNTIF($H$5:H443,H443)</f>
      </c>
      <c r="H443" s="26">
        <f t="shared" si="122"/>
      </c>
      <c r="I443" s="26">
        <f>COUNTIF($J$4:$J443,1)</f>
      </c>
      <c r="J443" s="26">
        <f>COUNTIF($S$5:$S443,S443)</f>
      </c>
      <c r="K443" s="26">
        <f t="shared" si="111"/>
      </c>
      <c r="L443" s="26">
        <f>IFERROR(IF(P443=0,0,MAX($L$4:L442)+1),0)</f>
      </c>
      <c r="M443" s="5">
        <f t="shared" si="123"/>
      </c>
      <c r="N443" s="5">
        <f t="shared" si="124"/>
      </c>
      <c r="P443" s="86">
        <f t="shared" si="112"/>
      </c>
      <c r="Q443" s="86">
        <f t="shared" si="113"/>
      </c>
      <c r="R443" s="86">
        <f t="shared" si="114"/>
      </c>
      <c r="S443" s="86">
        <f t="shared" si="115"/>
      </c>
      <c r="T443" s="86">
        <f t="shared" si="125"/>
        <v/>
      </c>
      <c r="U443" s="86">
        <f t="shared" si="126"/>
        <v/>
      </c>
      <c r="V443" s="86">
        <f t="shared" si="127"/>
        <v/>
      </c>
      <c r="W443" s="87">
        <f t="shared" si="116"/>
      </c>
      <c r="X443" s="88"/>
      <c r="Y443" s="88"/>
      <c r="Z443" s="88"/>
      <c r="AA443" s="88"/>
      <c r="AB443" s="88"/>
      <c r="AD443" s="86">
        <f t="shared" si="117"/>
      </c>
      <c r="AE443" s="86">
        <f t="shared" si="118"/>
      </c>
      <c r="AG443" s="86">
        <f t="shared" si="119"/>
      </c>
      <c r="AH443" s="86">
        <f t="shared" si="120"/>
      </c>
      <c r="AI443" s="86">
        <f t="shared" si="121"/>
      </c>
    </row>
    <row r="444" spans="6:35" x14ac:dyDescent="0.3">
      <c r="F444" s="26">
        <f>IF(G444=1,MAX($F$4:F443)+1,"")</f>
        <v/>
      </c>
      <c r="G444" s="26">
        <f>COUNTIF($H$5:H444,H444)</f>
      </c>
      <c r="H444" s="26">
        <f t="shared" si="122"/>
      </c>
      <c r="I444" s="26">
        <f>COUNTIF($J$4:$J444,1)</f>
      </c>
      <c r="J444" s="26">
        <f>COUNTIF($S$5:$S444,S444)</f>
      </c>
      <c r="K444" s="26">
        <f t="shared" si="111"/>
      </c>
      <c r="L444" s="26">
        <f>IFERROR(IF(P444=0,0,MAX($L$4:L443)+1),0)</f>
      </c>
      <c r="M444" s="5">
        <f t="shared" si="123"/>
      </c>
      <c r="N444" s="5">
        <f t="shared" si="124"/>
      </c>
      <c r="P444" s="86">
        <f t="shared" si="112"/>
      </c>
      <c r="Q444" s="86">
        <f t="shared" si="113"/>
      </c>
      <c r="R444" s="86">
        <f t="shared" si="114"/>
      </c>
      <c r="S444" s="86">
        <f t="shared" si="115"/>
      </c>
      <c r="T444" s="86">
        <f t="shared" si="125"/>
        <v/>
      </c>
      <c r="U444" s="86">
        <f t="shared" si="126"/>
        <v/>
      </c>
      <c r="V444" s="86">
        <f t="shared" si="127"/>
        <v/>
      </c>
      <c r="W444" s="87">
        <f t="shared" si="116"/>
      </c>
      <c r="X444" s="88"/>
      <c r="Y444" s="88"/>
      <c r="Z444" s="88"/>
      <c r="AA444" s="88"/>
      <c r="AB444" s="88"/>
      <c r="AD444" s="86">
        <f t="shared" si="117"/>
      </c>
      <c r="AE444" s="86">
        <f t="shared" si="118"/>
      </c>
      <c r="AG444" s="86">
        <f t="shared" si="119"/>
      </c>
      <c r="AH444" s="86">
        <f t="shared" si="120"/>
      </c>
      <c r="AI444" s="86">
        <f t="shared" si="121"/>
      </c>
    </row>
    <row r="445" spans="6:35" x14ac:dyDescent="0.3">
      <c r="F445" s="26">
        <f>IF(G445=1,MAX($F$4:F444)+1,"")</f>
        <v/>
      </c>
      <c r="G445" s="26">
        <f>COUNTIF($H$5:H445,H445)</f>
      </c>
      <c r="H445" s="26">
        <f t="shared" si="122"/>
      </c>
      <c r="I445" s="26">
        <f>COUNTIF($J$4:$J445,1)</f>
      </c>
      <c r="J445" s="26">
        <f>COUNTIF($S$5:$S445,S445)</f>
      </c>
      <c r="K445" s="26">
        <f t="shared" si="111"/>
      </c>
      <c r="L445" s="26">
        <f>IFERROR(IF(P445=0,0,MAX($L$4:L444)+1),0)</f>
      </c>
      <c r="M445" s="5">
        <f t="shared" si="123"/>
      </c>
      <c r="N445" s="5">
        <f t="shared" si="124"/>
      </c>
      <c r="P445" s="86">
        <f t="shared" si="112"/>
      </c>
      <c r="Q445" s="86">
        <f t="shared" si="113"/>
      </c>
      <c r="R445" s="86">
        <f t="shared" si="114"/>
      </c>
      <c r="S445" s="86">
        <f t="shared" si="115"/>
      </c>
      <c r="T445" s="86">
        <f t="shared" si="125"/>
        <v/>
      </c>
      <c r="U445" s="86">
        <f t="shared" si="126"/>
        <v/>
      </c>
      <c r="V445" s="86">
        <f t="shared" si="127"/>
        <v/>
      </c>
      <c r="W445" s="87">
        <f t="shared" si="116"/>
      </c>
      <c r="X445" s="88"/>
      <c r="Y445" s="88"/>
      <c r="Z445" s="88"/>
      <c r="AA445" s="88"/>
      <c r="AB445" s="88"/>
      <c r="AD445" s="86">
        <f t="shared" si="117"/>
      </c>
      <c r="AE445" s="86">
        <f t="shared" si="118"/>
      </c>
      <c r="AG445" s="86">
        <f t="shared" si="119"/>
      </c>
      <c r="AH445" s="86">
        <f t="shared" si="120"/>
      </c>
      <c r="AI445" s="86">
        <f t="shared" si="121"/>
      </c>
    </row>
    <row r="446" spans="6:35" x14ac:dyDescent="0.3">
      <c r="F446" s="26">
        <f>IF(G446=1,MAX($F$4:F445)+1,"")</f>
        <v/>
      </c>
      <c r="G446" s="26">
        <f>COUNTIF($H$5:H446,H446)</f>
      </c>
      <c r="H446" s="26">
        <f t="shared" si="122"/>
      </c>
      <c r="I446" s="26">
        <f>COUNTIF($J$4:$J446,1)</f>
      </c>
      <c r="J446" s="26">
        <f>COUNTIF($S$5:$S446,S446)</f>
      </c>
      <c r="K446" s="26">
        <f t="shared" si="111"/>
      </c>
      <c r="L446" s="26">
        <f>IFERROR(IF(P446=0,0,MAX($L$4:L445)+1),0)</f>
      </c>
      <c r="M446" s="5">
        <f t="shared" si="123"/>
      </c>
      <c r="N446" s="5">
        <f t="shared" si="124"/>
      </c>
      <c r="P446" s="86">
        <f t="shared" si="112"/>
      </c>
      <c r="Q446" s="86">
        <f t="shared" si="113"/>
      </c>
      <c r="R446" s="86">
        <f t="shared" si="114"/>
      </c>
      <c r="S446" s="86">
        <f t="shared" si="115"/>
      </c>
      <c r="T446" s="86">
        <f t="shared" si="125"/>
        <v/>
      </c>
      <c r="U446" s="86">
        <f t="shared" si="126"/>
        <v/>
      </c>
      <c r="V446" s="86">
        <f t="shared" si="127"/>
        <v/>
      </c>
      <c r="W446" s="87">
        <f t="shared" si="116"/>
      </c>
      <c r="X446" s="88"/>
      <c r="Y446" s="88"/>
      <c r="Z446" s="88"/>
      <c r="AA446" s="88"/>
      <c r="AB446" s="88"/>
      <c r="AD446" s="86">
        <f t="shared" si="117"/>
      </c>
      <c r="AE446" s="86">
        <f t="shared" si="118"/>
      </c>
      <c r="AG446" s="86">
        <f t="shared" si="119"/>
      </c>
      <c r="AH446" s="86">
        <f t="shared" si="120"/>
      </c>
      <c r="AI446" s="86">
        <f t="shared" si="121"/>
      </c>
    </row>
    <row r="447" spans="6:35" x14ac:dyDescent="0.3">
      <c r="F447" s="26">
        <f>IF(G447=1,MAX($F$4:F446)+1,"")</f>
        <v/>
      </c>
      <c r="G447" s="26">
        <f>COUNTIF($H$5:H447,H447)</f>
      </c>
      <c r="H447" s="26">
        <f t="shared" si="122"/>
      </c>
      <c r="I447" s="26">
        <f>COUNTIF($J$4:$J447,1)</f>
      </c>
      <c r="J447" s="26">
        <f>COUNTIF($S$5:$S447,S447)</f>
      </c>
      <c r="K447" s="26">
        <f t="shared" si="111"/>
      </c>
      <c r="L447" s="26">
        <f>IFERROR(IF(P447=0,0,MAX($L$4:L446)+1),0)</f>
      </c>
      <c r="M447" s="5">
        <f t="shared" si="123"/>
      </c>
      <c r="N447" s="5">
        <f t="shared" si="124"/>
      </c>
      <c r="P447" s="86">
        <f t="shared" si="112"/>
      </c>
      <c r="Q447" s="86">
        <f t="shared" si="113"/>
      </c>
      <c r="R447" s="86">
        <f t="shared" si="114"/>
      </c>
      <c r="S447" s="86">
        <f t="shared" si="115"/>
      </c>
      <c r="T447" s="86">
        <f t="shared" si="125"/>
        <v/>
      </c>
      <c r="U447" s="86">
        <f t="shared" si="126"/>
        <v/>
      </c>
      <c r="V447" s="86">
        <f t="shared" si="127"/>
        <v/>
      </c>
      <c r="W447" s="87">
        <f t="shared" si="116"/>
      </c>
      <c r="X447" s="88"/>
      <c r="Y447" s="88"/>
      <c r="Z447" s="88"/>
      <c r="AA447" s="88"/>
      <c r="AB447" s="88"/>
      <c r="AD447" s="86">
        <f t="shared" si="117"/>
      </c>
      <c r="AE447" s="86">
        <f t="shared" si="118"/>
      </c>
      <c r="AG447" s="86">
        <f t="shared" si="119"/>
      </c>
      <c r="AH447" s="86">
        <f t="shared" si="120"/>
      </c>
      <c r="AI447" s="86">
        <f t="shared" si="121"/>
      </c>
    </row>
    <row r="448" spans="6:35" x14ac:dyDescent="0.3">
      <c r="F448" s="26">
        <f>IF(G448=1,MAX($F$4:F447)+1,"")</f>
        <v/>
      </c>
      <c r="G448" s="26">
        <f>COUNTIF($H$5:H448,H448)</f>
      </c>
      <c r="H448" s="26">
        <f t="shared" si="122"/>
      </c>
      <c r="I448" s="26">
        <f>COUNTIF($J$4:$J448,1)</f>
      </c>
      <c r="J448" s="26">
        <f>COUNTIF($S$5:$S448,S448)</f>
      </c>
      <c r="K448" s="26">
        <f t="shared" si="111"/>
      </c>
      <c r="L448" s="26">
        <f>IFERROR(IF(P448=0,0,MAX($L$4:L447)+1),0)</f>
      </c>
      <c r="M448" s="5">
        <f t="shared" si="123"/>
      </c>
      <c r="N448" s="5">
        <f t="shared" si="124"/>
      </c>
      <c r="P448" s="86">
        <f t="shared" si="112"/>
      </c>
      <c r="Q448" s="86">
        <f t="shared" si="113"/>
      </c>
      <c r="R448" s="86">
        <f t="shared" si="114"/>
      </c>
      <c r="S448" s="86">
        <f t="shared" si="115"/>
      </c>
      <c r="T448" s="86">
        <f t="shared" si="125"/>
        <v/>
      </c>
      <c r="U448" s="86">
        <f t="shared" si="126"/>
        <v/>
      </c>
      <c r="V448" s="86">
        <f t="shared" si="127"/>
        <v/>
      </c>
      <c r="W448" s="87">
        <f t="shared" si="116"/>
      </c>
      <c r="X448" s="88"/>
      <c r="Y448" s="88"/>
      <c r="Z448" s="88"/>
      <c r="AA448" s="88"/>
      <c r="AB448" s="88"/>
      <c r="AD448" s="86">
        <f t="shared" si="117"/>
      </c>
      <c r="AE448" s="86">
        <f t="shared" si="118"/>
      </c>
      <c r="AG448" s="86">
        <f t="shared" si="119"/>
      </c>
      <c r="AH448" s="86">
        <f t="shared" si="120"/>
      </c>
      <c r="AI448" s="86">
        <f t="shared" si="121"/>
      </c>
    </row>
    <row r="449" spans="6:35" x14ac:dyDescent="0.3">
      <c r="F449" s="26">
        <f>IF(G449=1,MAX($F$4:F448)+1,"")</f>
        <v/>
      </c>
      <c r="G449" s="26">
        <f>COUNTIF($H$5:H449,H449)</f>
      </c>
      <c r="H449" s="26">
        <f t="shared" si="122"/>
      </c>
      <c r="I449" s="26">
        <f>COUNTIF($J$4:$J449,1)</f>
      </c>
      <c r="J449" s="26">
        <f>COUNTIF($S$5:$S449,S449)</f>
      </c>
      <c r="K449" s="26">
        <f t="shared" si="111"/>
      </c>
      <c r="L449" s="26">
        <f>IFERROR(IF(P449=0,0,MAX($L$4:L448)+1),0)</f>
      </c>
      <c r="M449" s="5">
        <f t="shared" si="123"/>
      </c>
      <c r="N449" s="5">
        <f t="shared" si="124"/>
      </c>
      <c r="P449" s="86">
        <f t="shared" si="112"/>
      </c>
      <c r="Q449" s="86">
        <f t="shared" si="113"/>
      </c>
      <c r="R449" s="86">
        <f t="shared" si="114"/>
      </c>
      <c r="S449" s="86">
        <f t="shared" si="115"/>
      </c>
      <c r="T449" s="86">
        <f t="shared" si="125"/>
        <v/>
      </c>
      <c r="U449" s="86">
        <f t="shared" si="126"/>
        <v/>
      </c>
      <c r="V449" s="86">
        <f t="shared" si="127"/>
        <v/>
      </c>
      <c r="W449" s="87">
        <f t="shared" si="116"/>
      </c>
      <c r="X449" s="88"/>
      <c r="Y449" s="88"/>
      <c r="Z449" s="88"/>
      <c r="AA449" s="88"/>
      <c r="AB449" s="88"/>
      <c r="AD449" s="86">
        <f t="shared" si="117"/>
      </c>
      <c r="AE449" s="86">
        <f t="shared" si="118"/>
      </c>
      <c r="AG449" s="86">
        <f t="shared" si="119"/>
      </c>
      <c r="AH449" s="86">
        <f t="shared" si="120"/>
      </c>
      <c r="AI449" s="86">
        <f t="shared" si="121"/>
      </c>
    </row>
    <row r="450" spans="6:35" x14ac:dyDescent="0.3">
      <c r="F450" s="26">
        <f>IF(G450=1,MAX($F$4:F449)+1,"")</f>
        <v/>
      </c>
      <c r="G450" s="26">
        <f>COUNTIF($H$5:H450,H450)</f>
      </c>
      <c r="H450" s="26">
        <f t="shared" si="122"/>
      </c>
      <c r="I450" s="26">
        <f>COUNTIF($J$4:$J450,1)</f>
      </c>
      <c r="J450" s="26">
        <f>COUNTIF($S$5:$S450,S450)</f>
      </c>
      <c r="K450" s="26">
        <f t="shared" si="111"/>
      </c>
      <c r="L450" s="26">
        <f>IFERROR(IF(P450=0,0,MAX($L$4:L449)+1),0)</f>
      </c>
      <c r="M450" s="5">
        <f t="shared" si="123"/>
      </c>
      <c r="N450" s="5">
        <f t="shared" si="124"/>
      </c>
      <c r="P450" s="86">
        <f t="shared" si="112"/>
      </c>
      <c r="Q450" s="86">
        <f t="shared" si="113"/>
      </c>
      <c r="R450" s="86">
        <f t="shared" si="114"/>
      </c>
      <c r="S450" s="86">
        <f t="shared" si="115"/>
      </c>
      <c r="T450" s="86">
        <f t="shared" si="125"/>
        <v/>
      </c>
      <c r="U450" s="86">
        <f t="shared" si="126"/>
        <v/>
      </c>
      <c r="V450" s="86">
        <f t="shared" si="127"/>
        <v/>
      </c>
      <c r="W450" s="87">
        <f t="shared" si="116"/>
      </c>
      <c r="X450" s="88"/>
      <c r="Y450" s="88"/>
      <c r="Z450" s="88"/>
      <c r="AA450" s="88"/>
      <c r="AB450" s="88"/>
      <c r="AD450" s="86">
        <f t="shared" si="117"/>
      </c>
      <c r="AE450" s="86">
        <f t="shared" si="118"/>
      </c>
      <c r="AG450" s="86">
        <f t="shared" si="119"/>
      </c>
      <c r="AH450" s="86">
        <f t="shared" si="120"/>
      </c>
      <c r="AI450" s="86">
        <f t="shared" si="121"/>
      </c>
    </row>
    <row r="451" spans="6:35" x14ac:dyDescent="0.3">
      <c r="F451" s="26">
        <f>IF(G451=1,MAX($F$4:F450)+1,"")</f>
        <v/>
      </c>
      <c r="G451" s="26">
        <f>COUNTIF($H$5:H451,H451)</f>
      </c>
      <c r="H451" s="26">
        <f t="shared" si="122"/>
      </c>
      <c r="I451" s="26">
        <f>COUNTIF($J$4:$J451,1)</f>
      </c>
      <c r="J451" s="26">
        <f>COUNTIF($S$5:$S451,S451)</f>
      </c>
      <c r="K451" s="26">
        <f t="shared" si="111"/>
      </c>
      <c r="L451" s="26">
        <f>IFERROR(IF(P451=0,0,MAX($L$4:L450)+1),0)</f>
      </c>
      <c r="M451" s="5">
        <f t="shared" si="123"/>
      </c>
      <c r="N451" s="5">
        <f t="shared" si="124"/>
      </c>
      <c r="P451" s="86">
        <f t="shared" si="112"/>
      </c>
      <c r="Q451" s="86">
        <f t="shared" si="113"/>
      </c>
      <c r="R451" s="86">
        <f t="shared" si="114"/>
      </c>
      <c r="S451" s="86">
        <f t="shared" si="115"/>
      </c>
      <c r="T451" s="86">
        <f t="shared" si="125"/>
        <v/>
      </c>
      <c r="U451" s="86">
        <f t="shared" si="126"/>
        <v/>
      </c>
      <c r="V451" s="86">
        <f t="shared" si="127"/>
        <v/>
      </c>
      <c r="W451" s="87">
        <f t="shared" si="116"/>
      </c>
      <c r="X451" s="88"/>
      <c r="Y451" s="88"/>
      <c r="Z451" s="88"/>
      <c r="AA451" s="88"/>
      <c r="AB451" s="88"/>
      <c r="AD451" s="86">
        <f t="shared" si="117"/>
      </c>
      <c r="AE451" s="86">
        <f t="shared" si="118"/>
      </c>
      <c r="AG451" s="86">
        <f t="shared" si="119"/>
      </c>
      <c r="AH451" s="86">
        <f t="shared" si="120"/>
      </c>
      <c r="AI451" s="86">
        <f t="shared" si="121"/>
      </c>
    </row>
    <row r="452" spans="6:35" x14ac:dyDescent="0.3">
      <c r="F452" s="26">
        <f>IF(G452=1,MAX($F$4:F451)+1,"")</f>
        <v/>
      </c>
      <c r="G452" s="26">
        <f>COUNTIF($H$5:H452,H452)</f>
      </c>
      <c r="H452" s="26">
        <f t="shared" si="122"/>
      </c>
      <c r="I452" s="26">
        <f>COUNTIF($J$4:$J452,1)</f>
      </c>
      <c r="J452" s="26">
        <f>COUNTIF($S$5:$S452,S452)</f>
      </c>
      <c r="K452" s="26">
        <f t="shared" si="111"/>
      </c>
      <c r="L452" s="26">
        <f>IFERROR(IF(P452=0,0,MAX($L$4:L451)+1),0)</f>
      </c>
      <c r="M452" s="5">
        <f t="shared" si="123"/>
      </c>
      <c r="N452" s="5">
        <f t="shared" si="124"/>
      </c>
      <c r="P452" s="86">
        <f t="shared" si="112"/>
      </c>
      <c r="Q452" s="86">
        <f t="shared" si="113"/>
      </c>
      <c r="R452" s="86">
        <f t="shared" si="114"/>
      </c>
      <c r="S452" s="86">
        <f t="shared" si="115"/>
      </c>
      <c r="T452" s="86">
        <f t="shared" si="125"/>
        <v/>
      </c>
      <c r="U452" s="86">
        <f t="shared" si="126"/>
        <v/>
      </c>
      <c r="V452" s="86">
        <f t="shared" si="127"/>
        <v/>
      </c>
      <c r="W452" s="87">
        <f t="shared" si="116"/>
      </c>
      <c r="X452" s="88"/>
      <c r="Y452" s="88"/>
      <c r="Z452" s="88"/>
      <c r="AA452" s="88"/>
      <c r="AB452" s="88"/>
      <c r="AD452" s="86">
        <f t="shared" si="117"/>
      </c>
      <c r="AE452" s="86">
        <f t="shared" si="118"/>
      </c>
      <c r="AG452" s="86">
        <f t="shared" si="119"/>
      </c>
      <c r="AH452" s="86">
        <f t="shared" si="120"/>
      </c>
      <c r="AI452" s="86">
        <f t="shared" si="121"/>
      </c>
    </row>
    <row r="453" spans="6:35" x14ac:dyDescent="0.3">
      <c r="F453" s="26">
        <f>IF(G453=1,MAX($F$4:F452)+1,"")</f>
        <v/>
      </c>
      <c r="G453" s="26">
        <f>COUNTIF($H$5:H453,H453)</f>
      </c>
      <c r="H453" s="26">
        <f t="shared" si="122"/>
      </c>
      <c r="I453" s="26">
        <f>COUNTIF($J$4:$J453,1)</f>
      </c>
      <c r="J453" s="26">
        <f>COUNTIF($S$5:$S453,S453)</f>
      </c>
      <c r="K453" s="26">
        <f t="shared" ref="K453:K516" si="128">VLOOKUP(P453,Исходные_данные,19,FALSE)</f>
      </c>
      <c r="L453" s="26">
        <f>IFERROR(IF(P453=0,0,MAX($L$4:L452)+1),0)</f>
      </c>
      <c r="M453" s="5">
        <f t="shared" si="123"/>
      </c>
      <c r="N453" s="5">
        <f t="shared" si="124"/>
      </c>
      <c r="P453" s="86">
        <f t="shared" ref="P453:P516" si="129">VLOOKUP(ROW(449:449),Разбивка_нумерация_5,4,FALSE)</f>
      </c>
      <c r="Q453" s="86">
        <f t="shared" ref="Q453:Q516" si="130">IF(VLOOKUP(ROW(449:449),Разбивка_нумерация_5,3,FALSE)=0,VLOOKUP(ROW(449:449),Разбивка_нумерация_5,2,FALSE),VLOOKUP(ROW(449:449),Разбивка_нумерация_5,3,FALSE))</f>
      </c>
      <c r="R453" s="86">
        <f t="shared" ref="R453:R516" si="131">VLOOKUP(ROW(449:449),Разбивка_нумерация_5,6,FALSE)</f>
      </c>
      <c r="S453" s="86">
        <f t="shared" ref="S453:S516" si="132">VLOOKUP(ROW(449:449),Разбивка_нумерация_5,17,FALSE)</f>
      </c>
      <c r="T453" s="86">
        <f t="shared" si="125"/>
        <v/>
      </c>
      <c r="U453" s="86">
        <f t="shared" si="126"/>
        <v/>
      </c>
      <c r="V453" s="86">
        <f t="shared" si="127"/>
        <v/>
      </c>
      <c r="W453" s="87">
        <f t="shared" ref="W453:W516" si="133">VLOOKUP(P453,Исходные_данные,13,FALSE)</f>
      </c>
      <c r="X453" s="88"/>
      <c r="Y453" s="88"/>
      <c r="Z453" s="88"/>
      <c r="AA453" s="88"/>
      <c r="AB453" s="88"/>
      <c r="AD453" s="86">
        <f t="shared" ref="AD453:AD516" si="134">VLOOKUP(S453,Кабель_диаметр,4,FALSE)</f>
      </c>
      <c r="AE453" s="86">
        <f t="shared" ref="AE453:AE516" si="135">VLOOKUP(S453,Кабель_диаметр,5,FALSE)</f>
      </c>
      <c r="AG453" s="86">
        <f t="shared" ref="AG453:AG516" si="136">IFERROR(VLOOKUP(P453,Исходные_данные,10,FALSE),0)</f>
      </c>
      <c r="AH453" s="86">
        <f t="shared" ref="AH453:AH516" si="137">IFERROR(VLOOKUP(P453,Исходные_данные,11,FALSE),0)</f>
      </c>
      <c r="AI453" s="86">
        <f t="shared" ref="AI453:AI516" si="138">IFERROR(VLOOKUP(P453,Исходные_данные,12,FALSE),0)</f>
      </c>
    </row>
    <row r="454" spans="6:35" x14ac:dyDescent="0.3">
      <c r="F454" s="26">
        <f>IF(G454=1,MAX($F$4:F453)+1,"")</f>
        <v/>
      </c>
      <c r="G454" s="26">
        <f>COUNTIF($H$5:H454,H454)</f>
      </c>
      <c r="H454" s="26">
        <f t="shared" ref="H454:H517" si="139">S454&amp;" "&amp;K454</f>
      </c>
      <c r="I454" s="26">
        <f>COUNTIF($J$4:$J454,1)</f>
      </c>
      <c r="J454" s="26">
        <f>COUNTIF($S$5:$S454,S454)</f>
      </c>
      <c r="K454" s="26">
        <f t="shared" si="128"/>
      </c>
      <c r="L454" s="26">
        <f>IFERROR(IF(P454=0,0,MAX($L$4:L453)+1),0)</f>
      </c>
      <c r="M454" s="5">
        <f t="shared" ref="M454:M517" si="140">LEFT(P454,SEARCH(".",P454)-1)</f>
      </c>
      <c r="N454" s="5">
        <f t="shared" ref="N454:N517" si="141">LEFT(RIGHT(P454,LEN(P454)-LEN(M454)-1),SEARCH(".",P454)-1)</f>
      </c>
      <c r="P454" s="86">
        <f t="shared" si="129"/>
      </c>
      <c r="Q454" s="86">
        <f t="shared" si="130"/>
      </c>
      <c r="R454" s="86">
        <f t="shared" si="131"/>
      </c>
      <c r="S454" s="86">
        <f t="shared" si="132"/>
      </c>
      <c r="T454" s="86">
        <f t="shared" ref="T454:T517" si="142">IF(AG454=0,"","L="&amp;AG454)</f>
        <v/>
      </c>
      <c r="U454" s="86">
        <f t="shared" ref="U454:U517" si="143">IF(AH454=0,"",AD454&amp;" L="&amp;AH454)</f>
        <v/>
      </c>
      <c r="V454" s="86">
        <f t="shared" ref="V454:V517" si="144">IF(AI454=0,"",AE454&amp;" L="&amp;AI454)</f>
        <v/>
      </c>
      <c r="W454" s="87">
        <f t="shared" si="133"/>
      </c>
      <c r="X454" s="88"/>
      <c r="Y454" s="88"/>
      <c r="Z454" s="88"/>
      <c r="AA454" s="88"/>
      <c r="AB454" s="88"/>
      <c r="AD454" s="86">
        <f t="shared" si="134"/>
      </c>
      <c r="AE454" s="86">
        <f t="shared" si="135"/>
      </c>
      <c r="AG454" s="86">
        <f t="shared" si="136"/>
      </c>
      <c r="AH454" s="86">
        <f t="shared" si="137"/>
      </c>
      <c r="AI454" s="86">
        <f t="shared" si="138"/>
      </c>
    </row>
    <row r="455" spans="6:35" x14ac:dyDescent="0.3">
      <c r="F455" s="26">
        <f>IF(G455=1,MAX($F$4:F454)+1,"")</f>
        <v/>
      </c>
      <c r="G455" s="26">
        <f>COUNTIF($H$5:H455,H455)</f>
      </c>
      <c r="H455" s="26">
        <f t="shared" si="139"/>
      </c>
      <c r="I455" s="26">
        <f>COUNTIF($J$4:$J455,1)</f>
      </c>
      <c r="J455" s="26">
        <f>COUNTIF($S$5:$S455,S455)</f>
      </c>
      <c r="K455" s="26">
        <f t="shared" si="128"/>
      </c>
      <c r="L455" s="26">
        <f>IFERROR(IF(P455=0,0,MAX($L$4:L454)+1),0)</f>
      </c>
      <c r="M455" s="5">
        <f t="shared" si="140"/>
      </c>
      <c r="N455" s="5">
        <f t="shared" si="141"/>
      </c>
      <c r="P455" s="86">
        <f t="shared" si="129"/>
      </c>
      <c r="Q455" s="86">
        <f t="shared" si="130"/>
      </c>
      <c r="R455" s="86">
        <f t="shared" si="131"/>
      </c>
      <c r="S455" s="86">
        <f t="shared" si="132"/>
      </c>
      <c r="T455" s="86">
        <f t="shared" si="142"/>
        <v/>
      </c>
      <c r="U455" s="86">
        <f t="shared" si="143"/>
        <v/>
      </c>
      <c r="V455" s="86">
        <f t="shared" si="144"/>
        <v/>
      </c>
      <c r="W455" s="87">
        <f t="shared" si="133"/>
      </c>
      <c r="X455" s="88"/>
      <c r="Y455" s="88"/>
      <c r="Z455" s="88"/>
      <c r="AA455" s="88"/>
      <c r="AB455" s="88"/>
      <c r="AD455" s="86">
        <f t="shared" si="134"/>
      </c>
      <c r="AE455" s="86">
        <f t="shared" si="135"/>
      </c>
      <c r="AG455" s="86">
        <f t="shared" si="136"/>
      </c>
      <c r="AH455" s="86">
        <f t="shared" si="137"/>
      </c>
      <c r="AI455" s="86">
        <f t="shared" si="138"/>
      </c>
    </row>
    <row r="456" spans="6:35" x14ac:dyDescent="0.3">
      <c r="F456" s="26">
        <f>IF(G456=1,MAX($F$4:F455)+1,"")</f>
        <v/>
      </c>
      <c r="G456" s="26">
        <f>COUNTIF($H$5:H456,H456)</f>
      </c>
      <c r="H456" s="26">
        <f t="shared" si="139"/>
      </c>
      <c r="I456" s="26">
        <f>COUNTIF($J$4:$J456,1)</f>
      </c>
      <c r="J456" s="26">
        <f>COUNTIF($S$5:$S456,S456)</f>
      </c>
      <c r="K456" s="26">
        <f t="shared" si="128"/>
      </c>
      <c r="L456" s="26">
        <f>IFERROR(IF(P456=0,0,MAX($L$4:L455)+1),0)</f>
      </c>
      <c r="M456" s="5">
        <f t="shared" si="140"/>
      </c>
      <c r="N456" s="5">
        <f t="shared" si="141"/>
      </c>
      <c r="P456" s="86">
        <f t="shared" si="129"/>
      </c>
      <c r="Q456" s="86">
        <f t="shared" si="130"/>
      </c>
      <c r="R456" s="86">
        <f t="shared" si="131"/>
      </c>
      <c r="S456" s="86">
        <f t="shared" si="132"/>
      </c>
      <c r="T456" s="86">
        <f t="shared" si="142"/>
        <v/>
      </c>
      <c r="U456" s="86">
        <f t="shared" si="143"/>
        <v/>
      </c>
      <c r="V456" s="86">
        <f t="shared" si="144"/>
        <v/>
      </c>
      <c r="W456" s="87">
        <f t="shared" si="133"/>
      </c>
      <c r="X456" s="88"/>
      <c r="Y456" s="88"/>
      <c r="Z456" s="88"/>
      <c r="AA456" s="88"/>
      <c r="AB456" s="88"/>
      <c r="AD456" s="86">
        <f t="shared" si="134"/>
      </c>
      <c r="AE456" s="86">
        <f t="shared" si="135"/>
      </c>
      <c r="AG456" s="86">
        <f t="shared" si="136"/>
      </c>
      <c r="AH456" s="86">
        <f t="shared" si="137"/>
      </c>
      <c r="AI456" s="86">
        <f t="shared" si="138"/>
      </c>
    </row>
    <row r="457" spans="6:35" x14ac:dyDescent="0.3">
      <c r="F457" s="26">
        <f>IF(G457=1,MAX($F$4:F456)+1,"")</f>
        <v/>
      </c>
      <c r="G457" s="26">
        <f>COUNTIF($H$5:H457,H457)</f>
      </c>
      <c r="H457" s="26">
        <f t="shared" si="139"/>
      </c>
      <c r="I457" s="26">
        <f>COUNTIF($J$4:$J457,1)</f>
      </c>
      <c r="J457" s="26">
        <f>COUNTIF($S$5:$S457,S457)</f>
      </c>
      <c r="K457" s="26">
        <f t="shared" si="128"/>
      </c>
      <c r="L457" s="26">
        <f>IFERROR(IF(P457=0,0,MAX($L$4:L456)+1),0)</f>
      </c>
      <c r="M457" s="5">
        <f t="shared" si="140"/>
      </c>
      <c r="N457" s="5">
        <f t="shared" si="141"/>
      </c>
      <c r="P457" s="86">
        <f t="shared" si="129"/>
      </c>
      <c r="Q457" s="86">
        <f t="shared" si="130"/>
      </c>
      <c r="R457" s="86">
        <f t="shared" si="131"/>
      </c>
      <c r="S457" s="86">
        <f t="shared" si="132"/>
      </c>
      <c r="T457" s="86">
        <f t="shared" si="142"/>
        <v/>
      </c>
      <c r="U457" s="86">
        <f t="shared" si="143"/>
        <v/>
      </c>
      <c r="V457" s="86">
        <f t="shared" si="144"/>
        <v/>
      </c>
      <c r="W457" s="87">
        <f t="shared" si="133"/>
      </c>
      <c r="X457" s="88"/>
      <c r="Y457" s="88"/>
      <c r="Z457" s="88"/>
      <c r="AA457" s="88"/>
      <c r="AB457" s="88"/>
      <c r="AD457" s="86">
        <f t="shared" si="134"/>
      </c>
      <c r="AE457" s="86">
        <f t="shared" si="135"/>
      </c>
      <c r="AG457" s="86">
        <f t="shared" si="136"/>
      </c>
      <c r="AH457" s="86">
        <f t="shared" si="137"/>
      </c>
      <c r="AI457" s="86">
        <f t="shared" si="138"/>
      </c>
    </row>
    <row r="458" spans="6:35" x14ac:dyDescent="0.3">
      <c r="F458" s="26">
        <f>IF(G458=1,MAX($F$4:F457)+1,"")</f>
        <v/>
      </c>
      <c r="G458" s="26">
        <f>COUNTIF($H$5:H458,H458)</f>
      </c>
      <c r="H458" s="26">
        <f t="shared" si="139"/>
      </c>
      <c r="I458" s="26">
        <f>COUNTIF($J$4:$J458,1)</f>
      </c>
      <c r="J458" s="26">
        <f>COUNTIF($S$5:$S458,S458)</f>
      </c>
      <c r="K458" s="26">
        <f t="shared" si="128"/>
      </c>
      <c r="L458" s="26">
        <f>IFERROR(IF(P458=0,0,MAX($L$4:L457)+1),0)</f>
      </c>
      <c r="M458" s="5">
        <f t="shared" si="140"/>
      </c>
      <c r="N458" s="5">
        <f t="shared" si="141"/>
      </c>
      <c r="P458" s="86">
        <f t="shared" si="129"/>
      </c>
      <c r="Q458" s="86">
        <f t="shared" si="130"/>
      </c>
      <c r="R458" s="86">
        <f t="shared" si="131"/>
      </c>
      <c r="S458" s="86">
        <f t="shared" si="132"/>
      </c>
      <c r="T458" s="86">
        <f t="shared" si="142"/>
        <v/>
      </c>
      <c r="U458" s="86">
        <f t="shared" si="143"/>
        <v/>
      </c>
      <c r="V458" s="86">
        <f t="shared" si="144"/>
        <v/>
      </c>
      <c r="W458" s="87">
        <f t="shared" si="133"/>
      </c>
      <c r="X458" s="88"/>
      <c r="Y458" s="88"/>
      <c r="Z458" s="88"/>
      <c r="AA458" s="88"/>
      <c r="AB458" s="88"/>
      <c r="AD458" s="86">
        <f t="shared" si="134"/>
      </c>
      <c r="AE458" s="86">
        <f t="shared" si="135"/>
      </c>
      <c r="AG458" s="86">
        <f t="shared" si="136"/>
      </c>
      <c r="AH458" s="86">
        <f t="shared" si="137"/>
      </c>
      <c r="AI458" s="86">
        <f t="shared" si="138"/>
      </c>
    </row>
    <row r="459" spans="6:35" x14ac:dyDescent="0.3">
      <c r="F459" s="26">
        <f>IF(G459=1,MAX($F$4:F458)+1,"")</f>
        <v/>
      </c>
      <c r="G459" s="26">
        <f>COUNTIF($H$5:H459,H459)</f>
      </c>
      <c r="H459" s="26">
        <f t="shared" si="139"/>
      </c>
      <c r="I459" s="26">
        <f>COUNTIF($J$4:$J459,1)</f>
      </c>
      <c r="J459" s="26">
        <f>COUNTIF($S$5:$S459,S459)</f>
      </c>
      <c r="K459" s="26">
        <f t="shared" si="128"/>
      </c>
      <c r="L459" s="26">
        <f>IFERROR(IF(P459=0,0,MAX($L$4:L458)+1),0)</f>
      </c>
      <c r="M459" s="5">
        <f t="shared" si="140"/>
      </c>
      <c r="N459" s="5">
        <f t="shared" si="141"/>
      </c>
      <c r="P459" s="86">
        <f t="shared" si="129"/>
      </c>
      <c r="Q459" s="86">
        <f t="shared" si="130"/>
      </c>
      <c r="R459" s="86">
        <f t="shared" si="131"/>
      </c>
      <c r="S459" s="86">
        <f t="shared" si="132"/>
      </c>
      <c r="T459" s="86">
        <f t="shared" si="142"/>
        <v/>
      </c>
      <c r="U459" s="86">
        <f t="shared" si="143"/>
        <v/>
      </c>
      <c r="V459" s="86">
        <f t="shared" si="144"/>
        <v/>
      </c>
      <c r="W459" s="87">
        <f t="shared" si="133"/>
      </c>
      <c r="X459" s="88"/>
      <c r="Y459" s="88"/>
      <c r="Z459" s="88"/>
      <c r="AA459" s="88"/>
      <c r="AB459" s="88"/>
      <c r="AD459" s="86">
        <f t="shared" si="134"/>
      </c>
      <c r="AE459" s="86">
        <f t="shared" si="135"/>
      </c>
      <c r="AG459" s="86">
        <f t="shared" si="136"/>
      </c>
      <c r="AH459" s="86">
        <f t="shared" si="137"/>
      </c>
      <c r="AI459" s="86">
        <f t="shared" si="138"/>
      </c>
    </row>
    <row r="460" spans="6:35" x14ac:dyDescent="0.3">
      <c r="F460" s="26">
        <f>IF(G460=1,MAX($F$4:F459)+1,"")</f>
        <v/>
      </c>
      <c r="G460" s="26">
        <f>COUNTIF($H$5:H460,H460)</f>
      </c>
      <c r="H460" s="26">
        <f t="shared" si="139"/>
      </c>
      <c r="I460" s="26">
        <f>COUNTIF($J$4:$J460,1)</f>
      </c>
      <c r="J460" s="26">
        <f>COUNTIF($S$5:$S460,S460)</f>
      </c>
      <c r="K460" s="26">
        <f t="shared" si="128"/>
      </c>
      <c r="L460" s="26">
        <f>IFERROR(IF(P460=0,0,MAX($L$4:L459)+1),0)</f>
      </c>
      <c r="M460" s="5">
        <f t="shared" si="140"/>
      </c>
      <c r="N460" s="5">
        <f t="shared" si="141"/>
      </c>
      <c r="P460" s="86">
        <f t="shared" si="129"/>
      </c>
      <c r="Q460" s="86">
        <f t="shared" si="130"/>
      </c>
      <c r="R460" s="86">
        <f t="shared" si="131"/>
      </c>
      <c r="S460" s="86">
        <f t="shared" si="132"/>
      </c>
      <c r="T460" s="86">
        <f t="shared" si="142"/>
        <v/>
      </c>
      <c r="U460" s="86">
        <f t="shared" si="143"/>
        <v/>
      </c>
      <c r="V460" s="86">
        <f t="shared" si="144"/>
        <v/>
      </c>
      <c r="W460" s="87">
        <f t="shared" si="133"/>
      </c>
      <c r="X460" s="88"/>
      <c r="Y460" s="88"/>
      <c r="Z460" s="88"/>
      <c r="AA460" s="88"/>
      <c r="AB460" s="88"/>
      <c r="AD460" s="86">
        <f t="shared" si="134"/>
      </c>
      <c r="AE460" s="86">
        <f t="shared" si="135"/>
      </c>
      <c r="AG460" s="86">
        <f t="shared" si="136"/>
      </c>
      <c r="AH460" s="86">
        <f t="shared" si="137"/>
      </c>
      <c r="AI460" s="86">
        <f t="shared" si="138"/>
      </c>
    </row>
    <row r="461" spans="6:35" x14ac:dyDescent="0.3">
      <c r="F461" s="26">
        <f>IF(G461=1,MAX($F$4:F460)+1,"")</f>
        <v/>
      </c>
      <c r="G461" s="26">
        <f>COUNTIF($H$5:H461,H461)</f>
      </c>
      <c r="H461" s="26">
        <f t="shared" si="139"/>
      </c>
      <c r="I461" s="26">
        <f>COUNTIF($J$4:$J461,1)</f>
      </c>
      <c r="J461" s="26">
        <f>COUNTIF($S$5:$S461,S461)</f>
      </c>
      <c r="K461" s="26">
        <f t="shared" si="128"/>
      </c>
      <c r="L461" s="26">
        <f>IFERROR(IF(P461=0,0,MAX($L$4:L460)+1),0)</f>
      </c>
      <c r="M461" s="5">
        <f t="shared" si="140"/>
      </c>
      <c r="N461" s="5">
        <f t="shared" si="141"/>
      </c>
      <c r="P461" s="86">
        <f t="shared" si="129"/>
      </c>
      <c r="Q461" s="86">
        <f t="shared" si="130"/>
      </c>
      <c r="R461" s="86">
        <f t="shared" si="131"/>
      </c>
      <c r="S461" s="86">
        <f t="shared" si="132"/>
      </c>
      <c r="T461" s="86">
        <f t="shared" si="142"/>
        <v/>
      </c>
      <c r="U461" s="86">
        <f t="shared" si="143"/>
        <v/>
      </c>
      <c r="V461" s="86">
        <f t="shared" si="144"/>
        <v/>
      </c>
      <c r="W461" s="87">
        <f t="shared" si="133"/>
      </c>
      <c r="X461" s="88"/>
      <c r="Y461" s="88"/>
      <c r="Z461" s="88"/>
      <c r="AA461" s="88"/>
      <c r="AB461" s="88"/>
      <c r="AD461" s="86">
        <f t="shared" si="134"/>
      </c>
      <c r="AE461" s="86">
        <f t="shared" si="135"/>
      </c>
      <c r="AG461" s="86">
        <f t="shared" si="136"/>
      </c>
      <c r="AH461" s="86">
        <f t="shared" si="137"/>
      </c>
      <c r="AI461" s="86">
        <f t="shared" si="138"/>
      </c>
    </row>
    <row r="462" spans="6:35" x14ac:dyDescent="0.3">
      <c r="F462" s="26">
        <f>IF(G462=1,MAX($F$4:F461)+1,"")</f>
        <v/>
      </c>
      <c r="G462" s="26">
        <f>COUNTIF($H$5:H462,H462)</f>
      </c>
      <c r="H462" s="26">
        <f t="shared" si="139"/>
      </c>
      <c r="I462" s="26">
        <f>COUNTIF($J$4:$J462,1)</f>
      </c>
      <c r="J462" s="26">
        <f>COUNTIF($S$5:$S462,S462)</f>
      </c>
      <c r="K462" s="26">
        <f t="shared" si="128"/>
      </c>
      <c r="L462" s="26">
        <f>IFERROR(IF(P462=0,0,MAX($L$4:L461)+1),0)</f>
      </c>
      <c r="M462" s="5">
        <f t="shared" si="140"/>
      </c>
      <c r="N462" s="5">
        <f t="shared" si="141"/>
      </c>
      <c r="P462" s="86">
        <f t="shared" si="129"/>
      </c>
      <c r="Q462" s="86">
        <f t="shared" si="130"/>
      </c>
      <c r="R462" s="86">
        <f t="shared" si="131"/>
      </c>
      <c r="S462" s="86">
        <f t="shared" si="132"/>
      </c>
      <c r="T462" s="86">
        <f t="shared" si="142"/>
        <v/>
      </c>
      <c r="U462" s="86">
        <f t="shared" si="143"/>
        <v/>
      </c>
      <c r="V462" s="86">
        <f t="shared" si="144"/>
        <v/>
      </c>
      <c r="W462" s="87">
        <f t="shared" si="133"/>
      </c>
      <c r="X462" s="88"/>
      <c r="Y462" s="88"/>
      <c r="Z462" s="88"/>
      <c r="AA462" s="88"/>
      <c r="AB462" s="88"/>
      <c r="AD462" s="86">
        <f t="shared" si="134"/>
      </c>
      <c r="AE462" s="86">
        <f t="shared" si="135"/>
      </c>
      <c r="AG462" s="86">
        <f t="shared" si="136"/>
      </c>
      <c r="AH462" s="86">
        <f t="shared" si="137"/>
      </c>
      <c r="AI462" s="86">
        <f t="shared" si="138"/>
      </c>
    </row>
    <row r="463" spans="6:35" x14ac:dyDescent="0.3">
      <c r="F463" s="26">
        <f>IF(G463=1,MAX($F$4:F462)+1,"")</f>
        <v/>
      </c>
      <c r="G463" s="26">
        <f>COUNTIF($H$5:H463,H463)</f>
      </c>
      <c r="H463" s="26">
        <f t="shared" si="139"/>
      </c>
      <c r="I463" s="26">
        <f>COUNTIF($J$4:$J463,1)</f>
      </c>
      <c r="J463" s="26">
        <f>COUNTIF($S$5:$S463,S463)</f>
      </c>
      <c r="K463" s="26">
        <f t="shared" si="128"/>
      </c>
      <c r="L463" s="26">
        <f>IFERROR(IF(P463=0,0,MAX($L$4:L462)+1),0)</f>
      </c>
      <c r="M463" s="5">
        <f t="shared" si="140"/>
      </c>
      <c r="N463" s="5">
        <f t="shared" si="141"/>
      </c>
      <c r="P463" s="86">
        <f t="shared" si="129"/>
      </c>
      <c r="Q463" s="86">
        <f t="shared" si="130"/>
      </c>
      <c r="R463" s="86">
        <f t="shared" si="131"/>
      </c>
      <c r="S463" s="86">
        <f t="shared" si="132"/>
      </c>
      <c r="T463" s="86">
        <f t="shared" si="142"/>
        <v/>
      </c>
      <c r="U463" s="86">
        <f t="shared" si="143"/>
        <v/>
      </c>
      <c r="V463" s="86">
        <f t="shared" si="144"/>
        <v/>
      </c>
      <c r="W463" s="87">
        <f t="shared" si="133"/>
      </c>
      <c r="X463" s="88"/>
      <c r="Y463" s="88"/>
      <c r="Z463" s="88"/>
      <c r="AA463" s="88"/>
      <c r="AB463" s="88"/>
      <c r="AD463" s="86">
        <f t="shared" si="134"/>
      </c>
      <c r="AE463" s="86">
        <f t="shared" si="135"/>
      </c>
      <c r="AG463" s="86">
        <f t="shared" si="136"/>
      </c>
      <c r="AH463" s="86">
        <f t="shared" si="137"/>
      </c>
      <c r="AI463" s="86">
        <f t="shared" si="138"/>
      </c>
    </row>
    <row r="464" spans="6:35" x14ac:dyDescent="0.3">
      <c r="F464" s="26">
        <f>IF(G464=1,MAX($F$4:F463)+1,"")</f>
        <v/>
      </c>
      <c r="G464" s="26">
        <f>COUNTIF($H$5:H464,H464)</f>
      </c>
      <c r="H464" s="26">
        <f t="shared" si="139"/>
      </c>
      <c r="I464" s="26">
        <f>COUNTIF($J$4:$J464,1)</f>
      </c>
      <c r="J464" s="26">
        <f>COUNTIF($S$5:$S464,S464)</f>
      </c>
      <c r="K464" s="26">
        <f t="shared" si="128"/>
      </c>
      <c r="L464" s="26">
        <f>IFERROR(IF(P464=0,0,MAX($L$4:L463)+1),0)</f>
      </c>
      <c r="M464" s="5">
        <f t="shared" si="140"/>
      </c>
      <c r="N464" s="5">
        <f t="shared" si="141"/>
      </c>
      <c r="P464" s="86">
        <f t="shared" si="129"/>
      </c>
      <c r="Q464" s="86">
        <f t="shared" si="130"/>
      </c>
      <c r="R464" s="86">
        <f t="shared" si="131"/>
      </c>
      <c r="S464" s="86">
        <f t="shared" si="132"/>
      </c>
      <c r="T464" s="86">
        <f t="shared" si="142"/>
        <v/>
      </c>
      <c r="U464" s="86">
        <f t="shared" si="143"/>
        <v/>
      </c>
      <c r="V464" s="86">
        <f t="shared" si="144"/>
        <v/>
      </c>
      <c r="W464" s="87">
        <f t="shared" si="133"/>
      </c>
      <c r="X464" s="88"/>
      <c r="Y464" s="88"/>
      <c r="Z464" s="88"/>
      <c r="AA464" s="88"/>
      <c r="AB464" s="88"/>
      <c r="AD464" s="86">
        <f t="shared" si="134"/>
      </c>
      <c r="AE464" s="86">
        <f t="shared" si="135"/>
      </c>
      <c r="AG464" s="86">
        <f t="shared" si="136"/>
      </c>
      <c r="AH464" s="86">
        <f t="shared" si="137"/>
      </c>
      <c r="AI464" s="86">
        <f t="shared" si="138"/>
      </c>
    </row>
    <row r="465" spans="6:35" x14ac:dyDescent="0.3">
      <c r="F465" s="26">
        <f>IF(G465=1,MAX($F$4:F464)+1,"")</f>
        <v/>
      </c>
      <c r="G465" s="26">
        <f>COUNTIF($H$5:H465,H465)</f>
      </c>
      <c r="H465" s="26">
        <f t="shared" si="139"/>
      </c>
      <c r="I465" s="26">
        <f>COUNTIF($J$4:$J465,1)</f>
      </c>
      <c r="J465" s="26">
        <f>COUNTIF($S$5:$S465,S465)</f>
      </c>
      <c r="K465" s="26">
        <f t="shared" si="128"/>
      </c>
      <c r="L465" s="26">
        <f>IFERROR(IF(P465=0,0,MAX($L$4:L464)+1),0)</f>
      </c>
      <c r="M465" s="5">
        <f t="shared" si="140"/>
      </c>
      <c r="N465" s="5">
        <f t="shared" si="141"/>
      </c>
      <c r="P465" s="86">
        <f t="shared" si="129"/>
      </c>
      <c r="Q465" s="86">
        <f t="shared" si="130"/>
      </c>
      <c r="R465" s="86">
        <f t="shared" si="131"/>
      </c>
      <c r="S465" s="86">
        <f t="shared" si="132"/>
      </c>
      <c r="T465" s="86">
        <f t="shared" si="142"/>
        <v/>
      </c>
      <c r="U465" s="86">
        <f t="shared" si="143"/>
        <v/>
      </c>
      <c r="V465" s="86">
        <f t="shared" si="144"/>
        <v/>
      </c>
      <c r="W465" s="87">
        <f t="shared" si="133"/>
      </c>
      <c r="X465" s="88"/>
      <c r="Y465" s="88"/>
      <c r="Z465" s="88"/>
      <c r="AA465" s="88"/>
      <c r="AB465" s="88"/>
      <c r="AD465" s="86">
        <f t="shared" si="134"/>
      </c>
      <c r="AE465" s="86">
        <f t="shared" si="135"/>
      </c>
      <c r="AG465" s="86">
        <f t="shared" si="136"/>
      </c>
      <c r="AH465" s="86">
        <f t="shared" si="137"/>
      </c>
      <c r="AI465" s="86">
        <f t="shared" si="138"/>
      </c>
    </row>
    <row r="466" spans="6:35" x14ac:dyDescent="0.3">
      <c r="F466" s="26">
        <f>IF(G466=1,MAX($F$4:F465)+1,"")</f>
        <v/>
      </c>
      <c r="G466" s="26">
        <f>COUNTIF($H$5:H466,H466)</f>
      </c>
      <c r="H466" s="26">
        <f t="shared" si="139"/>
      </c>
      <c r="I466" s="26">
        <f>COUNTIF($J$4:$J466,1)</f>
      </c>
      <c r="J466" s="26">
        <f>COUNTIF($S$5:$S466,S466)</f>
      </c>
      <c r="K466" s="26">
        <f t="shared" si="128"/>
      </c>
      <c r="L466" s="26">
        <f>IFERROR(IF(P466=0,0,MAX($L$4:L465)+1),0)</f>
      </c>
      <c r="M466" s="5">
        <f t="shared" si="140"/>
      </c>
      <c r="N466" s="5">
        <f t="shared" si="141"/>
      </c>
      <c r="P466" s="86">
        <f t="shared" si="129"/>
      </c>
      <c r="Q466" s="86">
        <f t="shared" si="130"/>
      </c>
      <c r="R466" s="86">
        <f t="shared" si="131"/>
      </c>
      <c r="S466" s="86">
        <f t="shared" si="132"/>
      </c>
      <c r="T466" s="86">
        <f t="shared" si="142"/>
        <v/>
      </c>
      <c r="U466" s="86">
        <f t="shared" si="143"/>
        <v/>
      </c>
      <c r="V466" s="86">
        <f t="shared" si="144"/>
        <v/>
      </c>
      <c r="W466" s="87">
        <f t="shared" si="133"/>
      </c>
      <c r="X466" s="88"/>
      <c r="Y466" s="88"/>
      <c r="Z466" s="88"/>
      <c r="AA466" s="88"/>
      <c r="AB466" s="88"/>
      <c r="AD466" s="86">
        <f t="shared" si="134"/>
      </c>
      <c r="AE466" s="86">
        <f t="shared" si="135"/>
      </c>
      <c r="AG466" s="86">
        <f t="shared" si="136"/>
      </c>
      <c r="AH466" s="86">
        <f t="shared" si="137"/>
      </c>
      <c r="AI466" s="86">
        <f t="shared" si="138"/>
      </c>
    </row>
    <row r="467" spans="6:35" x14ac:dyDescent="0.3">
      <c r="F467" s="26">
        <f>IF(G467=1,MAX($F$4:F466)+1,"")</f>
        <v/>
      </c>
      <c r="G467" s="26">
        <f>COUNTIF($H$5:H467,H467)</f>
      </c>
      <c r="H467" s="26">
        <f t="shared" si="139"/>
      </c>
      <c r="I467" s="26">
        <f>COUNTIF($J$4:$J467,1)</f>
      </c>
      <c r="J467" s="26">
        <f>COUNTIF($S$5:$S467,S467)</f>
      </c>
      <c r="K467" s="26">
        <f t="shared" si="128"/>
      </c>
      <c r="L467" s="26">
        <f>IFERROR(IF(P467=0,0,MAX($L$4:L466)+1),0)</f>
      </c>
      <c r="M467" s="5">
        <f t="shared" si="140"/>
      </c>
      <c r="N467" s="5">
        <f t="shared" si="141"/>
      </c>
      <c r="P467" s="86">
        <f t="shared" si="129"/>
      </c>
      <c r="Q467" s="86">
        <f t="shared" si="130"/>
      </c>
      <c r="R467" s="86">
        <f t="shared" si="131"/>
      </c>
      <c r="S467" s="86">
        <f t="shared" si="132"/>
      </c>
      <c r="T467" s="86">
        <f t="shared" si="142"/>
        <v/>
      </c>
      <c r="U467" s="86">
        <f t="shared" si="143"/>
        <v/>
      </c>
      <c r="V467" s="86">
        <f t="shared" si="144"/>
        <v/>
      </c>
      <c r="W467" s="87">
        <f t="shared" si="133"/>
      </c>
      <c r="X467" s="88"/>
      <c r="Y467" s="88"/>
      <c r="Z467" s="88"/>
      <c r="AA467" s="88"/>
      <c r="AB467" s="88"/>
      <c r="AD467" s="86">
        <f t="shared" si="134"/>
      </c>
      <c r="AE467" s="86">
        <f t="shared" si="135"/>
      </c>
      <c r="AG467" s="86">
        <f t="shared" si="136"/>
      </c>
      <c r="AH467" s="86">
        <f t="shared" si="137"/>
      </c>
      <c r="AI467" s="86">
        <f t="shared" si="138"/>
      </c>
    </row>
    <row r="468" spans="6:35" x14ac:dyDescent="0.3">
      <c r="F468" s="26">
        <f>IF(G468=1,MAX($F$4:F467)+1,"")</f>
        <v/>
      </c>
      <c r="G468" s="26">
        <f>COUNTIF($H$5:H468,H468)</f>
      </c>
      <c r="H468" s="26">
        <f t="shared" si="139"/>
      </c>
      <c r="I468" s="26">
        <f>COUNTIF($J$4:$J468,1)</f>
      </c>
      <c r="J468" s="26">
        <f>COUNTIF($S$5:$S468,S468)</f>
      </c>
      <c r="K468" s="26">
        <f t="shared" si="128"/>
      </c>
      <c r="L468" s="26">
        <f>IFERROR(IF(P468=0,0,MAX($L$4:L467)+1),0)</f>
      </c>
      <c r="M468" s="5">
        <f t="shared" si="140"/>
      </c>
      <c r="N468" s="5">
        <f t="shared" si="141"/>
      </c>
      <c r="P468" s="86">
        <f t="shared" si="129"/>
      </c>
      <c r="Q468" s="86">
        <f t="shared" si="130"/>
      </c>
      <c r="R468" s="86">
        <f t="shared" si="131"/>
      </c>
      <c r="S468" s="86">
        <f t="shared" si="132"/>
      </c>
      <c r="T468" s="86">
        <f t="shared" si="142"/>
        <v/>
      </c>
      <c r="U468" s="86">
        <f t="shared" si="143"/>
        <v/>
      </c>
      <c r="V468" s="86">
        <f t="shared" si="144"/>
        <v/>
      </c>
      <c r="W468" s="87">
        <f t="shared" si="133"/>
      </c>
      <c r="X468" s="88"/>
      <c r="Y468" s="88"/>
      <c r="Z468" s="88"/>
      <c r="AA468" s="88"/>
      <c r="AB468" s="88"/>
      <c r="AD468" s="86">
        <f t="shared" si="134"/>
      </c>
      <c r="AE468" s="86">
        <f t="shared" si="135"/>
      </c>
      <c r="AG468" s="86">
        <f t="shared" si="136"/>
      </c>
      <c r="AH468" s="86">
        <f t="shared" si="137"/>
      </c>
      <c r="AI468" s="86">
        <f t="shared" si="138"/>
      </c>
    </row>
    <row r="469" spans="6:35" x14ac:dyDescent="0.3">
      <c r="F469" s="26">
        <f>IF(G469=1,MAX($F$4:F468)+1,"")</f>
        <v/>
      </c>
      <c r="G469" s="26">
        <f>COUNTIF($H$5:H469,H469)</f>
      </c>
      <c r="H469" s="26">
        <f t="shared" si="139"/>
      </c>
      <c r="I469" s="26">
        <f>COUNTIF($J$4:$J469,1)</f>
      </c>
      <c r="J469" s="26">
        <f>COUNTIF($S$5:$S469,S469)</f>
      </c>
      <c r="K469" s="26">
        <f t="shared" si="128"/>
      </c>
      <c r="L469" s="26">
        <f>IFERROR(IF(P469=0,0,MAX($L$4:L468)+1),0)</f>
      </c>
      <c r="M469" s="5">
        <f t="shared" si="140"/>
      </c>
      <c r="N469" s="5">
        <f t="shared" si="141"/>
      </c>
      <c r="P469" s="86">
        <f t="shared" si="129"/>
      </c>
      <c r="Q469" s="86">
        <f t="shared" si="130"/>
      </c>
      <c r="R469" s="86">
        <f t="shared" si="131"/>
      </c>
      <c r="S469" s="86">
        <f t="shared" si="132"/>
      </c>
      <c r="T469" s="86">
        <f t="shared" si="142"/>
        <v/>
      </c>
      <c r="U469" s="86">
        <f t="shared" si="143"/>
        <v/>
      </c>
      <c r="V469" s="86">
        <f t="shared" si="144"/>
        <v/>
      </c>
      <c r="W469" s="87">
        <f t="shared" si="133"/>
      </c>
      <c r="X469" s="88"/>
      <c r="Y469" s="88"/>
      <c r="Z469" s="88"/>
      <c r="AA469" s="88"/>
      <c r="AB469" s="88"/>
      <c r="AD469" s="86">
        <f t="shared" si="134"/>
      </c>
      <c r="AE469" s="86">
        <f t="shared" si="135"/>
      </c>
      <c r="AG469" s="86">
        <f t="shared" si="136"/>
      </c>
      <c r="AH469" s="86">
        <f t="shared" si="137"/>
      </c>
      <c r="AI469" s="86">
        <f t="shared" si="138"/>
      </c>
    </row>
    <row r="470" spans="6:35" x14ac:dyDescent="0.3">
      <c r="F470" s="26">
        <f>IF(G470=1,MAX($F$4:F469)+1,"")</f>
        <v/>
      </c>
      <c r="G470" s="26">
        <f>COUNTIF($H$5:H470,H470)</f>
      </c>
      <c r="H470" s="26">
        <f t="shared" si="139"/>
      </c>
      <c r="I470" s="26">
        <f>COUNTIF($J$4:$J470,1)</f>
      </c>
      <c r="J470" s="26">
        <f>COUNTIF($S$5:$S470,S470)</f>
      </c>
      <c r="K470" s="26">
        <f t="shared" si="128"/>
      </c>
      <c r="L470" s="26">
        <f>IFERROR(IF(P470=0,0,MAX($L$4:L469)+1),0)</f>
      </c>
      <c r="M470" s="5">
        <f t="shared" si="140"/>
      </c>
      <c r="N470" s="5">
        <f t="shared" si="141"/>
      </c>
      <c r="P470" s="86">
        <f t="shared" si="129"/>
      </c>
      <c r="Q470" s="86">
        <f t="shared" si="130"/>
      </c>
      <c r="R470" s="86">
        <f t="shared" si="131"/>
      </c>
      <c r="S470" s="86">
        <f t="shared" si="132"/>
      </c>
      <c r="T470" s="86">
        <f t="shared" si="142"/>
        <v/>
      </c>
      <c r="U470" s="86">
        <f t="shared" si="143"/>
        <v/>
      </c>
      <c r="V470" s="86">
        <f t="shared" si="144"/>
        <v/>
      </c>
      <c r="W470" s="87">
        <f t="shared" si="133"/>
      </c>
      <c r="X470" s="88"/>
      <c r="Y470" s="88"/>
      <c r="Z470" s="88"/>
      <c r="AA470" s="88"/>
      <c r="AB470" s="88"/>
      <c r="AD470" s="86">
        <f t="shared" si="134"/>
      </c>
      <c r="AE470" s="86">
        <f t="shared" si="135"/>
      </c>
      <c r="AG470" s="86">
        <f t="shared" si="136"/>
      </c>
      <c r="AH470" s="86">
        <f t="shared" si="137"/>
      </c>
      <c r="AI470" s="86">
        <f t="shared" si="138"/>
      </c>
    </row>
    <row r="471" spans="6:35" x14ac:dyDescent="0.3">
      <c r="F471" s="26">
        <f>IF(G471=1,MAX($F$4:F470)+1,"")</f>
        <v/>
      </c>
      <c r="G471" s="26">
        <f>COUNTIF($H$5:H471,H471)</f>
      </c>
      <c r="H471" s="26">
        <f t="shared" si="139"/>
      </c>
      <c r="I471" s="26">
        <f>COUNTIF($J$4:$J471,1)</f>
      </c>
      <c r="J471" s="26">
        <f>COUNTIF($S$5:$S471,S471)</f>
      </c>
      <c r="K471" s="26">
        <f t="shared" si="128"/>
      </c>
      <c r="L471" s="26">
        <f>IFERROR(IF(P471=0,0,MAX($L$4:L470)+1),0)</f>
      </c>
      <c r="M471" s="5">
        <f t="shared" si="140"/>
      </c>
      <c r="N471" s="5">
        <f t="shared" si="141"/>
      </c>
      <c r="P471" s="86">
        <f t="shared" si="129"/>
      </c>
      <c r="Q471" s="86">
        <f t="shared" si="130"/>
      </c>
      <c r="R471" s="86">
        <f t="shared" si="131"/>
      </c>
      <c r="S471" s="86">
        <f t="shared" si="132"/>
      </c>
      <c r="T471" s="86">
        <f t="shared" si="142"/>
        <v/>
      </c>
      <c r="U471" s="86">
        <f t="shared" si="143"/>
        <v/>
      </c>
      <c r="V471" s="86">
        <f t="shared" si="144"/>
        <v/>
      </c>
      <c r="W471" s="87">
        <f t="shared" si="133"/>
      </c>
      <c r="X471" s="88"/>
      <c r="Y471" s="88"/>
      <c r="Z471" s="88"/>
      <c r="AA471" s="88"/>
      <c r="AB471" s="88"/>
      <c r="AD471" s="86">
        <f t="shared" si="134"/>
      </c>
      <c r="AE471" s="86">
        <f t="shared" si="135"/>
      </c>
      <c r="AG471" s="86">
        <f t="shared" si="136"/>
      </c>
      <c r="AH471" s="86">
        <f t="shared" si="137"/>
      </c>
      <c r="AI471" s="86">
        <f t="shared" si="138"/>
      </c>
    </row>
    <row r="472" spans="6:35" x14ac:dyDescent="0.3">
      <c r="F472" s="26">
        <f>IF(G472=1,MAX($F$4:F471)+1,"")</f>
        <v/>
      </c>
      <c r="G472" s="26">
        <f>COUNTIF($H$5:H472,H472)</f>
      </c>
      <c r="H472" s="26">
        <f t="shared" si="139"/>
      </c>
      <c r="I472" s="26">
        <f>COUNTIF($J$4:$J472,1)</f>
      </c>
      <c r="J472" s="26">
        <f>COUNTIF($S$5:$S472,S472)</f>
      </c>
      <c r="K472" s="26">
        <f t="shared" si="128"/>
      </c>
      <c r="L472" s="26">
        <f>IFERROR(IF(P472=0,0,MAX($L$4:L471)+1),0)</f>
      </c>
      <c r="M472" s="5">
        <f t="shared" si="140"/>
      </c>
      <c r="N472" s="5">
        <f t="shared" si="141"/>
      </c>
      <c r="P472" s="86">
        <f t="shared" si="129"/>
      </c>
      <c r="Q472" s="86">
        <f t="shared" si="130"/>
      </c>
      <c r="R472" s="86">
        <f t="shared" si="131"/>
      </c>
      <c r="S472" s="86">
        <f t="shared" si="132"/>
      </c>
      <c r="T472" s="86">
        <f t="shared" si="142"/>
        <v/>
      </c>
      <c r="U472" s="86">
        <f t="shared" si="143"/>
        <v/>
      </c>
      <c r="V472" s="86">
        <f t="shared" si="144"/>
        <v/>
      </c>
      <c r="W472" s="87">
        <f t="shared" si="133"/>
      </c>
      <c r="X472" s="88"/>
      <c r="Y472" s="88"/>
      <c r="Z472" s="88"/>
      <c r="AA472" s="88"/>
      <c r="AB472" s="88"/>
      <c r="AD472" s="86">
        <f t="shared" si="134"/>
      </c>
      <c r="AE472" s="86">
        <f t="shared" si="135"/>
      </c>
      <c r="AG472" s="86">
        <f t="shared" si="136"/>
      </c>
      <c r="AH472" s="86">
        <f t="shared" si="137"/>
      </c>
      <c r="AI472" s="86">
        <f t="shared" si="138"/>
      </c>
    </row>
    <row r="473" spans="6:35" x14ac:dyDescent="0.3">
      <c r="F473" s="26">
        <f>IF(G473=1,MAX($F$4:F472)+1,"")</f>
        <v/>
      </c>
      <c r="G473" s="26">
        <f>COUNTIF($H$5:H473,H473)</f>
      </c>
      <c r="H473" s="26">
        <f t="shared" si="139"/>
      </c>
      <c r="I473" s="26">
        <f>COUNTIF($J$4:$J473,1)</f>
      </c>
      <c r="J473" s="26">
        <f>COUNTIF($S$5:$S473,S473)</f>
      </c>
      <c r="K473" s="26">
        <f t="shared" si="128"/>
      </c>
      <c r="L473" s="26">
        <f>IFERROR(IF(P473=0,0,MAX($L$4:L472)+1),0)</f>
      </c>
      <c r="M473" s="5">
        <f t="shared" si="140"/>
      </c>
      <c r="N473" s="5">
        <f t="shared" si="141"/>
      </c>
      <c r="P473" s="86">
        <f t="shared" si="129"/>
      </c>
      <c r="Q473" s="86">
        <f t="shared" si="130"/>
      </c>
      <c r="R473" s="86">
        <f t="shared" si="131"/>
      </c>
      <c r="S473" s="86">
        <f t="shared" si="132"/>
      </c>
      <c r="T473" s="86">
        <f t="shared" si="142"/>
        <v/>
      </c>
      <c r="U473" s="86">
        <f t="shared" si="143"/>
        <v/>
      </c>
      <c r="V473" s="86">
        <f t="shared" si="144"/>
        <v/>
      </c>
      <c r="W473" s="87">
        <f t="shared" si="133"/>
      </c>
      <c r="X473" s="88"/>
      <c r="Y473" s="88"/>
      <c r="Z473" s="88"/>
      <c r="AA473" s="88"/>
      <c r="AB473" s="88"/>
      <c r="AD473" s="86">
        <f t="shared" si="134"/>
      </c>
      <c r="AE473" s="86">
        <f t="shared" si="135"/>
      </c>
      <c r="AG473" s="86">
        <f t="shared" si="136"/>
      </c>
      <c r="AH473" s="86">
        <f t="shared" si="137"/>
      </c>
      <c r="AI473" s="86">
        <f t="shared" si="138"/>
      </c>
    </row>
    <row r="474" spans="6:35" x14ac:dyDescent="0.3">
      <c r="F474" s="26">
        <f>IF(G474=1,MAX($F$4:F473)+1,"")</f>
        <v/>
      </c>
      <c r="G474" s="26">
        <f>COUNTIF($H$5:H474,H474)</f>
      </c>
      <c r="H474" s="26">
        <f t="shared" si="139"/>
      </c>
      <c r="I474" s="26">
        <f>COUNTIF($J$4:$J474,1)</f>
      </c>
      <c r="J474" s="26">
        <f>COUNTIF($S$5:$S474,S474)</f>
      </c>
      <c r="K474" s="26">
        <f t="shared" si="128"/>
      </c>
      <c r="L474" s="26">
        <f>IFERROR(IF(P474=0,0,MAX($L$4:L473)+1),0)</f>
      </c>
      <c r="M474" s="5">
        <f t="shared" si="140"/>
      </c>
      <c r="N474" s="5">
        <f t="shared" si="141"/>
      </c>
      <c r="P474" s="86">
        <f t="shared" si="129"/>
      </c>
      <c r="Q474" s="86">
        <f t="shared" si="130"/>
      </c>
      <c r="R474" s="86">
        <f t="shared" si="131"/>
      </c>
      <c r="S474" s="86">
        <f t="shared" si="132"/>
      </c>
      <c r="T474" s="86">
        <f t="shared" si="142"/>
        <v/>
      </c>
      <c r="U474" s="86">
        <f t="shared" si="143"/>
        <v/>
      </c>
      <c r="V474" s="86">
        <f t="shared" si="144"/>
        <v/>
      </c>
      <c r="W474" s="87">
        <f t="shared" si="133"/>
      </c>
      <c r="X474" s="88"/>
      <c r="Y474" s="88"/>
      <c r="Z474" s="88"/>
      <c r="AA474" s="88"/>
      <c r="AB474" s="88"/>
      <c r="AD474" s="86">
        <f t="shared" si="134"/>
      </c>
      <c r="AE474" s="86">
        <f t="shared" si="135"/>
      </c>
      <c r="AG474" s="86">
        <f t="shared" si="136"/>
      </c>
      <c r="AH474" s="86">
        <f t="shared" si="137"/>
      </c>
      <c r="AI474" s="86">
        <f t="shared" si="138"/>
      </c>
    </row>
    <row r="475" spans="6:35" x14ac:dyDescent="0.3">
      <c r="F475" s="26">
        <f>IF(G475=1,MAX($F$4:F474)+1,"")</f>
        <v/>
      </c>
      <c r="G475" s="26">
        <f>COUNTIF($H$5:H475,H475)</f>
      </c>
      <c r="H475" s="26">
        <f t="shared" si="139"/>
      </c>
      <c r="I475" s="26">
        <f>COUNTIF($J$4:$J475,1)</f>
      </c>
      <c r="J475" s="26">
        <f>COUNTIF($S$5:$S475,S475)</f>
      </c>
      <c r="K475" s="26">
        <f t="shared" si="128"/>
      </c>
      <c r="L475" s="26">
        <f>IFERROR(IF(P475=0,0,MAX($L$4:L474)+1),0)</f>
      </c>
      <c r="M475" s="5">
        <f t="shared" si="140"/>
      </c>
      <c r="N475" s="5">
        <f t="shared" si="141"/>
      </c>
      <c r="P475" s="86">
        <f t="shared" si="129"/>
      </c>
      <c r="Q475" s="86">
        <f t="shared" si="130"/>
      </c>
      <c r="R475" s="86">
        <f t="shared" si="131"/>
      </c>
      <c r="S475" s="86">
        <f t="shared" si="132"/>
      </c>
      <c r="T475" s="86">
        <f t="shared" si="142"/>
        <v/>
      </c>
      <c r="U475" s="86">
        <f t="shared" si="143"/>
        <v/>
      </c>
      <c r="V475" s="86">
        <f t="shared" si="144"/>
        <v/>
      </c>
      <c r="W475" s="87">
        <f t="shared" si="133"/>
      </c>
      <c r="X475" s="88"/>
      <c r="Y475" s="88"/>
      <c r="Z475" s="88"/>
      <c r="AA475" s="88"/>
      <c r="AB475" s="88"/>
      <c r="AD475" s="86">
        <f t="shared" si="134"/>
      </c>
      <c r="AE475" s="86">
        <f t="shared" si="135"/>
      </c>
      <c r="AG475" s="86">
        <f t="shared" si="136"/>
      </c>
      <c r="AH475" s="86">
        <f t="shared" si="137"/>
      </c>
      <c r="AI475" s="86">
        <f t="shared" si="138"/>
      </c>
    </row>
    <row r="476" spans="6:35" x14ac:dyDescent="0.3">
      <c r="F476" s="26">
        <f>IF(G476=1,MAX($F$4:F475)+1,"")</f>
        <v/>
      </c>
      <c r="G476" s="26">
        <f>COUNTIF($H$5:H476,H476)</f>
      </c>
      <c r="H476" s="26">
        <f t="shared" si="139"/>
      </c>
      <c r="I476" s="26">
        <f>COUNTIF($J$4:$J476,1)</f>
      </c>
      <c r="J476" s="26">
        <f>COUNTIF($S$5:$S476,S476)</f>
      </c>
      <c r="K476" s="26">
        <f t="shared" si="128"/>
      </c>
      <c r="L476" s="26">
        <f>IFERROR(IF(P476=0,0,MAX($L$4:L475)+1),0)</f>
      </c>
      <c r="M476" s="5">
        <f t="shared" si="140"/>
      </c>
      <c r="N476" s="5">
        <f t="shared" si="141"/>
      </c>
      <c r="P476" s="86">
        <f t="shared" si="129"/>
      </c>
      <c r="Q476" s="86">
        <f t="shared" si="130"/>
      </c>
      <c r="R476" s="86">
        <f t="shared" si="131"/>
      </c>
      <c r="S476" s="86">
        <f t="shared" si="132"/>
      </c>
      <c r="T476" s="86">
        <f t="shared" si="142"/>
        <v/>
      </c>
      <c r="U476" s="86">
        <f t="shared" si="143"/>
        <v/>
      </c>
      <c r="V476" s="86">
        <f t="shared" si="144"/>
        <v/>
      </c>
      <c r="W476" s="87">
        <f t="shared" si="133"/>
      </c>
      <c r="X476" s="88"/>
      <c r="Y476" s="88"/>
      <c r="Z476" s="88"/>
      <c r="AA476" s="88"/>
      <c r="AB476" s="88"/>
      <c r="AD476" s="86">
        <f t="shared" si="134"/>
      </c>
      <c r="AE476" s="86">
        <f t="shared" si="135"/>
      </c>
      <c r="AG476" s="86">
        <f t="shared" si="136"/>
      </c>
      <c r="AH476" s="86">
        <f t="shared" si="137"/>
      </c>
      <c r="AI476" s="86">
        <f t="shared" si="138"/>
      </c>
    </row>
    <row r="477" spans="6:35" x14ac:dyDescent="0.3">
      <c r="F477" s="26">
        <f>IF(G477=1,MAX($F$4:F476)+1,"")</f>
        <v/>
      </c>
      <c r="G477" s="26">
        <f>COUNTIF($H$5:H477,H477)</f>
      </c>
      <c r="H477" s="26">
        <f t="shared" si="139"/>
      </c>
      <c r="I477" s="26">
        <f>COUNTIF($J$4:$J477,1)</f>
      </c>
      <c r="J477" s="26">
        <f>COUNTIF($S$5:$S477,S477)</f>
      </c>
      <c r="K477" s="26">
        <f t="shared" si="128"/>
      </c>
      <c r="L477" s="26">
        <f>IFERROR(IF(P477=0,0,MAX($L$4:L476)+1),0)</f>
      </c>
      <c r="M477" s="5">
        <f t="shared" si="140"/>
      </c>
      <c r="N477" s="5">
        <f t="shared" si="141"/>
      </c>
      <c r="P477" s="86">
        <f t="shared" si="129"/>
      </c>
      <c r="Q477" s="86">
        <f t="shared" si="130"/>
      </c>
      <c r="R477" s="86">
        <f t="shared" si="131"/>
      </c>
      <c r="S477" s="86">
        <f t="shared" si="132"/>
      </c>
      <c r="T477" s="86">
        <f t="shared" si="142"/>
        <v/>
      </c>
      <c r="U477" s="86">
        <f t="shared" si="143"/>
        <v/>
      </c>
      <c r="V477" s="86">
        <f t="shared" si="144"/>
        <v/>
      </c>
      <c r="W477" s="87">
        <f t="shared" si="133"/>
      </c>
      <c r="X477" s="88"/>
      <c r="Y477" s="88"/>
      <c r="Z477" s="88"/>
      <c r="AA477" s="88"/>
      <c r="AB477" s="88"/>
      <c r="AD477" s="86">
        <f t="shared" si="134"/>
      </c>
      <c r="AE477" s="86">
        <f t="shared" si="135"/>
      </c>
      <c r="AG477" s="86">
        <f t="shared" si="136"/>
      </c>
      <c r="AH477" s="86">
        <f t="shared" si="137"/>
      </c>
      <c r="AI477" s="86">
        <f t="shared" si="138"/>
      </c>
    </row>
    <row r="478" spans="6:35" x14ac:dyDescent="0.3">
      <c r="F478" s="26">
        <f>IF(G478=1,MAX($F$4:F477)+1,"")</f>
        <v/>
      </c>
      <c r="G478" s="26">
        <f>COUNTIF($H$5:H478,H478)</f>
      </c>
      <c r="H478" s="26">
        <f t="shared" si="139"/>
      </c>
      <c r="I478" s="26">
        <f>COUNTIF($J$4:$J478,1)</f>
      </c>
      <c r="J478" s="26">
        <f>COUNTIF($S$5:$S478,S478)</f>
      </c>
      <c r="K478" s="26">
        <f t="shared" si="128"/>
      </c>
      <c r="L478" s="26">
        <f>IFERROR(IF(P478=0,0,MAX($L$4:L477)+1),0)</f>
      </c>
      <c r="M478" s="5">
        <f t="shared" si="140"/>
      </c>
      <c r="N478" s="5">
        <f t="shared" si="141"/>
      </c>
      <c r="P478" s="86">
        <f t="shared" si="129"/>
      </c>
      <c r="Q478" s="86">
        <f t="shared" si="130"/>
      </c>
      <c r="R478" s="86">
        <f t="shared" si="131"/>
      </c>
      <c r="S478" s="86">
        <f t="shared" si="132"/>
      </c>
      <c r="T478" s="86">
        <f t="shared" si="142"/>
        <v/>
      </c>
      <c r="U478" s="86">
        <f t="shared" si="143"/>
        <v/>
      </c>
      <c r="V478" s="86">
        <f t="shared" si="144"/>
        <v/>
      </c>
      <c r="W478" s="87">
        <f t="shared" si="133"/>
      </c>
      <c r="X478" s="88"/>
      <c r="Y478" s="88"/>
      <c r="Z478" s="88"/>
      <c r="AA478" s="88"/>
      <c r="AB478" s="88"/>
      <c r="AD478" s="86">
        <f t="shared" si="134"/>
      </c>
      <c r="AE478" s="86">
        <f t="shared" si="135"/>
      </c>
      <c r="AG478" s="86">
        <f t="shared" si="136"/>
      </c>
      <c r="AH478" s="86">
        <f t="shared" si="137"/>
      </c>
      <c r="AI478" s="86">
        <f t="shared" si="138"/>
      </c>
    </row>
    <row r="479" spans="6:35" x14ac:dyDescent="0.3">
      <c r="F479" s="26">
        <f>IF(G479=1,MAX($F$4:F478)+1,"")</f>
        <v/>
      </c>
      <c r="G479" s="26">
        <f>COUNTIF($H$5:H479,H479)</f>
      </c>
      <c r="H479" s="26">
        <f t="shared" si="139"/>
      </c>
      <c r="I479" s="26">
        <f>COUNTIF($J$4:$J479,1)</f>
      </c>
      <c r="J479" s="26">
        <f>COUNTIF($S$5:$S479,S479)</f>
      </c>
      <c r="K479" s="26">
        <f t="shared" si="128"/>
      </c>
      <c r="L479" s="26">
        <f>IFERROR(IF(P479=0,0,MAX($L$4:L478)+1),0)</f>
      </c>
      <c r="M479" s="5">
        <f t="shared" si="140"/>
      </c>
      <c r="N479" s="5">
        <f t="shared" si="141"/>
      </c>
      <c r="P479" s="86">
        <f t="shared" si="129"/>
      </c>
      <c r="Q479" s="86">
        <f t="shared" si="130"/>
      </c>
      <c r="R479" s="86">
        <f t="shared" si="131"/>
      </c>
      <c r="S479" s="86">
        <f t="shared" si="132"/>
      </c>
      <c r="T479" s="86">
        <f t="shared" si="142"/>
        <v/>
      </c>
      <c r="U479" s="86">
        <f t="shared" si="143"/>
        <v/>
      </c>
      <c r="V479" s="86">
        <f t="shared" si="144"/>
        <v/>
      </c>
      <c r="W479" s="87">
        <f t="shared" si="133"/>
      </c>
      <c r="X479" s="88"/>
      <c r="Y479" s="88"/>
      <c r="Z479" s="88"/>
      <c r="AA479" s="88"/>
      <c r="AB479" s="88"/>
      <c r="AD479" s="86">
        <f t="shared" si="134"/>
      </c>
      <c r="AE479" s="86">
        <f t="shared" si="135"/>
      </c>
      <c r="AG479" s="86">
        <f t="shared" si="136"/>
      </c>
      <c r="AH479" s="86">
        <f t="shared" si="137"/>
      </c>
      <c r="AI479" s="86">
        <f t="shared" si="138"/>
      </c>
    </row>
    <row r="480" spans="6:35" x14ac:dyDescent="0.3">
      <c r="F480" s="26">
        <f>IF(G480=1,MAX($F$4:F479)+1,"")</f>
        <v/>
      </c>
      <c r="G480" s="26">
        <f>COUNTIF($H$5:H480,H480)</f>
      </c>
      <c r="H480" s="26">
        <f t="shared" si="139"/>
      </c>
      <c r="I480" s="26">
        <f>COUNTIF($J$4:$J480,1)</f>
      </c>
      <c r="J480" s="26">
        <f>COUNTIF($S$5:$S480,S480)</f>
      </c>
      <c r="K480" s="26">
        <f t="shared" si="128"/>
      </c>
      <c r="L480" s="26">
        <f>IFERROR(IF(P480=0,0,MAX($L$4:L479)+1),0)</f>
      </c>
      <c r="M480" s="5">
        <f t="shared" si="140"/>
      </c>
      <c r="N480" s="5">
        <f t="shared" si="141"/>
      </c>
      <c r="P480" s="86">
        <f t="shared" si="129"/>
      </c>
      <c r="Q480" s="86">
        <f t="shared" si="130"/>
      </c>
      <c r="R480" s="86">
        <f t="shared" si="131"/>
      </c>
      <c r="S480" s="86">
        <f t="shared" si="132"/>
      </c>
      <c r="T480" s="86">
        <f t="shared" si="142"/>
        <v/>
      </c>
      <c r="U480" s="86">
        <f t="shared" si="143"/>
        <v/>
      </c>
      <c r="V480" s="86">
        <f t="shared" si="144"/>
        <v/>
      </c>
      <c r="W480" s="87">
        <f t="shared" si="133"/>
      </c>
      <c r="X480" s="88"/>
      <c r="Y480" s="88"/>
      <c r="Z480" s="88"/>
      <c r="AA480" s="88"/>
      <c r="AB480" s="88"/>
      <c r="AD480" s="86">
        <f t="shared" si="134"/>
      </c>
      <c r="AE480" s="86">
        <f t="shared" si="135"/>
      </c>
      <c r="AG480" s="86">
        <f t="shared" si="136"/>
      </c>
      <c r="AH480" s="86">
        <f t="shared" si="137"/>
      </c>
      <c r="AI480" s="86">
        <f t="shared" si="138"/>
      </c>
    </row>
    <row r="481" spans="6:35" x14ac:dyDescent="0.3">
      <c r="F481" s="26">
        <f>IF(G481=1,MAX($F$4:F480)+1,"")</f>
        <v/>
      </c>
      <c r="G481" s="26">
        <f>COUNTIF($H$5:H481,H481)</f>
      </c>
      <c r="H481" s="26">
        <f t="shared" si="139"/>
      </c>
      <c r="I481" s="26">
        <f>COUNTIF($J$4:$J481,1)</f>
      </c>
      <c r="J481" s="26">
        <f>COUNTIF($S$5:$S481,S481)</f>
      </c>
      <c r="K481" s="26">
        <f t="shared" si="128"/>
      </c>
      <c r="L481" s="26">
        <f>IFERROR(IF(P481=0,0,MAX($L$4:L480)+1),0)</f>
      </c>
      <c r="M481" s="5">
        <f t="shared" si="140"/>
      </c>
      <c r="N481" s="5">
        <f t="shared" si="141"/>
      </c>
      <c r="P481" s="86">
        <f t="shared" si="129"/>
      </c>
      <c r="Q481" s="86">
        <f t="shared" si="130"/>
      </c>
      <c r="R481" s="86">
        <f t="shared" si="131"/>
      </c>
      <c r="S481" s="86">
        <f t="shared" si="132"/>
      </c>
      <c r="T481" s="86">
        <f t="shared" si="142"/>
        <v/>
      </c>
      <c r="U481" s="86">
        <f t="shared" si="143"/>
        <v/>
      </c>
      <c r="V481" s="86">
        <f t="shared" si="144"/>
        <v/>
      </c>
      <c r="W481" s="87">
        <f t="shared" si="133"/>
      </c>
      <c r="X481" s="88"/>
      <c r="Y481" s="88"/>
      <c r="Z481" s="88"/>
      <c r="AA481" s="88"/>
      <c r="AB481" s="88"/>
      <c r="AD481" s="86">
        <f t="shared" si="134"/>
      </c>
      <c r="AE481" s="86">
        <f t="shared" si="135"/>
      </c>
      <c r="AG481" s="86">
        <f t="shared" si="136"/>
      </c>
      <c r="AH481" s="86">
        <f t="shared" si="137"/>
      </c>
      <c r="AI481" s="86">
        <f t="shared" si="138"/>
      </c>
    </row>
    <row r="482" spans="6:35" x14ac:dyDescent="0.3">
      <c r="F482" s="26">
        <f>IF(G482=1,MAX($F$4:F481)+1,"")</f>
        <v/>
      </c>
      <c r="G482" s="26">
        <f>COUNTIF($H$5:H482,H482)</f>
      </c>
      <c r="H482" s="26">
        <f t="shared" si="139"/>
      </c>
      <c r="I482" s="26">
        <f>COUNTIF($J$4:$J482,1)</f>
      </c>
      <c r="J482" s="26">
        <f>COUNTIF($S$5:$S482,S482)</f>
      </c>
      <c r="K482" s="26">
        <f t="shared" si="128"/>
      </c>
      <c r="L482" s="26">
        <f>IFERROR(IF(P482=0,0,MAX($L$4:L481)+1),0)</f>
      </c>
      <c r="M482" s="5">
        <f t="shared" si="140"/>
      </c>
      <c r="N482" s="5">
        <f t="shared" si="141"/>
      </c>
      <c r="P482" s="86">
        <f t="shared" si="129"/>
      </c>
      <c r="Q482" s="86">
        <f t="shared" si="130"/>
      </c>
      <c r="R482" s="86">
        <f t="shared" si="131"/>
      </c>
      <c r="S482" s="86">
        <f t="shared" si="132"/>
      </c>
      <c r="T482" s="86">
        <f t="shared" si="142"/>
        <v/>
      </c>
      <c r="U482" s="86">
        <f t="shared" si="143"/>
        <v/>
      </c>
      <c r="V482" s="86">
        <f t="shared" si="144"/>
        <v/>
      </c>
      <c r="W482" s="87">
        <f t="shared" si="133"/>
      </c>
      <c r="X482" s="88"/>
      <c r="Y482" s="88"/>
      <c r="Z482" s="88"/>
      <c r="AA482" s="88"/>
      <c r="AB482" s="88"/>
      <c r="AD482" s="86">
        <f t="shared" si="134"/>
      </c>
      <c r="AE482" s="86">
        <f t="shared" si="135"/>
      </c>
      <c r="AG482" s="86">
        <f t="shared" si="136"/>
      </c>
      <c r="AH482" s="86">
        <f t="shared" si="137"/>
      </c>
      <c r="AI482" s="86">
        <f t="shared" si="138"/>
      </c>
    </row>
    <row r="483" spans="6:35" x14ac:dyDescent="0.3">
      <c r="F483" s="26">
        <f>IF(G483=1,MAX($F$4:F482)+1,"")</f>
        <v/>
      </c>
      <c r="G483" s="26">
        <f>COUNTIF($H$5:H483,H483)</f>
      </c>
      <c r="H483" s="26">
        <f t="shared" si="139"/>
      </c>
      <c r="I483" s="26">
        <f>COUNTIF($J$4:$J483,1)</f>
      </c>
      <c r="J483" s="26">
        <f>COUNTIF($S$5:$S483,S483)</f>
      </c>
      <c r="K483" s="26">
        <f t="shared" si="128"/>
      </c>
      <c r="L483" s="26">
        <f>IFERROR(IF(P483=0,0,MAX($L$4:L482)+1),0)</f>
      </c>
      <c r="M483" s="5">
        <f t="shared" si="140"/>
      </c>
      <c r="N483" s="5">
        <f t="shared" si="141"/>
      </c>
      <c r="P483" s="86">
        <f t="shared" si="129"/>
      </c>
      <c r="Q483" s="86">
        <f t="shared" si="130"/>
      </c>
      <c r="R483" s="86">
        <f t="shared" si="131"/>
      </c>
      <c r="S483" s="86">
        <f t="shared" si="132"/>
      </c>
      <c r="T483" s="86">
        <f t="shared" si="142"/>
        <v/>
      </c>
      <c r="U483" s="86">
        <f t="shared" si="143"/>
        <v/>
      </c>
      <c r="V483" s="86">
        <f t="shared" si="144"/>
        <v/>
      </c>
      <c r="W483" s="87">
        <f t="shared" si="133"/>
      </c>
      <c r="X483" s="88"/>
      <c r="Y483" s="88"/>
      <c r="Z483" s="88"/>
      <c r="AA483" s="88"/>
      <c r="AB483" s="88"/>
      <c r="AD483" s="86">
        <f t="shared" si="134"/>
      </c>
      <c r="AE483" s="86">
        <f t="shared" si="135"/>
      </c>
      <c r="AG483" s="86">
        <f t="shared" si="136"/>
      </c>
      <c r="AH483" s="86">
        <f t="shared" si="137"/>
      </c>
      <c r="AI483" s="86">
        <f t="shared" si="138"/>
      </c>
    </row>
    <row r="484" spans="6:35" x14ac:dyDescent="0.3">
      <c r="F484" s="26">
        <f>IF(G484=1,MAX($F$4:F483)+1,"")</f>
        <v/>
      </c>
      <c r="G484" s="26">
        <f>COUNTIF($H$5:H484,H484)</f>
      </c>
      <c r="H484" s="26">
        <f t="shared" si="139"/>
      </c>
      <c r="I484" s="26">
        <f>COUNTIF($J$4:$J484,1)</f>
      </c>
      <c r="J484" s="26">
        <f>COUNTIF($S$5:$S484,S484)</f>
      </c>
      <c r="K484" s="26">
        <f t="shared" si="128"/>
      </c>
      <c r="L484" s="26">
        <f>IFERROR(IF(P484=0,0,MAX($L$4:L483)+1),0)</f>
      </c>
      <c r="M484" s="5">
        <f t="shared" si="140"/>
      </c>
      <c r="N484" s="5">
        <f t="shared" si="141"/>
      </c>
      <c r="P484" s="86">
        <f t="shared" si="129"/>
      </c>
      <c r="Q484" s="86">
        <f t="shared" si="130"/>
      </c>
      <c r="R484" s="86">
        <f t="shared" si="131"/>
      </c>
      <c r="S484" s="86">
        <f t="shared" si="132"/>
      </c>
      <c r="T484" s="86">
        <f t="shared" si="142"/>
        <v/>
      </c>
      <c r="U484" s="86">
        <f t="shared" si="143"/>
        <v/>
      </c>
      <c r="V484" s="86">
        <f t="shared" si="144"/>
        <v/>
      </c>
      <c r="W484" s="87">
        <f t="shared" si="133"/>
      </c>
      <c r="X484" s="88"/>
      <c r="Y484" s="88"/>
      <c r="Z484" s="88"/>
      <c r="AA484" s="88"/>
      <c r="AB484" s="88"/>
      <c r="AD484" s="86">
        <f t="shared" si="134"/>
      </c>
      <c r="AE484" s="86">
        <f t="shared" si="135"/>
      </c>
      <c r="AG484" s="86">
        <f t="shared" si="136"/>
      </c>
      <c r="AH484" s="86">
        <f t="shared" si="137"/>
      </c>
      <c r="AI484" s="86">
        <f t="shared" si="138"/>
      </c>
    </row>
    <row r="485" spans="6:35" x14ac:dyDescent="0.3">
      <c r="F485" s="26">
        <f>IF(G485=1,MAX($F$4:F484)+1,"")</f>
        <v/>
      </c>
      <c r="G485" s="26">
        <f>COUNTIF($H$5:H485,H485)</f>
      </c>
      <c r="H485" s="26">
        <f t="shared" si="139"/>
      </c>
      <c r="I485" s="26">
        <f>COUNTIF($J$4:$J485,1)</f>
      </c>
      <c r="J485" s="26">
        <f>COUNTIF($S$5:$S485,S485)</f>
      </c>
      <c r="K485" s="26">
        <f t="shared" si="128"/>
      </c>
      <c r="L485" s="26">
        <f>IFERROR(IF(P485=0,0,MAX($L$4:L484)+1),0)</f>
      </c>
      <c r="M485" s="5">
        <f t="shared" si="140"/>
      </c>
      <c r="N485" s="5">
        <f t="shared" si="141"/>
      </c>
      <c r="P485" s="86">
        <f t="shared" si="129"/>
      </c>
      <c r="Q485" s="86">
        <f t="shared" si="130"/>
      </c>
      <c r="R485" s="86">
        <f t="shared" si="131"/>
      </c>
      <c r="S485" s="86">
        <f t="shared" si="132"/>
      </c>
      <c r="T485" s="86">
        <f t="shared" si="142"/>
        <v/>
      </c>
      <c r="U485" s="86">
        <f t="shared" si="143"/>
        <v/>
      </c>
      <c r="V485" s="86">
        <f t="shared" si="144"/>
        <v/>
      </c>
      <c r="W485" s="87">
        <f t="shared" si="133"/>
      </c>
      <c r="X485" s="88"/>
      <c r="Y485" s="88"/>
      <c r="Z485" s="88"/>
      <c r="AA485" s="88"/>
      <c r="AB485" s="88"/>
      <c r="AD485" s="86">
        <f t="shared" si="134"/>
      </c>
      <c r="AE485" s="86">
        <f t="shared" si="135"/>
      </c>
      <c r="AG485" s="86">
        <f t="shared" si="136"/>
      </c>
      <c r="AH485" s="86">
        <f t="shared" si="137"/>
      </c>
      <c r="AI485" s="86">
        <f t="shared" si="138"/>
      </c>
    </row>
    <row r="486" spans="6:35" x14ac:dyDescent="0.3">
      <c r="F486" s="26">
        <f>IF(G486=1,MAX($F$4:F485)+1,"")</f>
        <v/>
      </c>
      <c r="G486" s="26">
        <f>COUNTIF($H$5:H486,H486)</f>
      </c>
      <c r="H486" s="26">
        <f t="shared" si="139"/>
      </c>
      <c r="I486" s="26">
        <f>COUNTIF($J$4:$J486,1)</f>
      </c>
      <c r="J486" s="26">
        <f>COUNTIF($S$5:$S486,S486)</f>
      </c>
      <c r="K486" s="26">
        <f t="shared" si="128"/>
      </c>
      <c r="L486" s="26">
        <f>IFERROR(IF(P486=0,0,MAX($L$4:L485)+1),0)</f>
      </c>
      <c r="M486" s="5">
        <f t="shared" si="140"/>
      </c>
      <c r="N486" s="5">
        <f t="shared" si="141"/>
      </c>
      <c r="P486" s="86">
        <f t="shared" si="129"/>
      </c>
      <c r="Q486" s="86">
        <f t="shared" si="130"/>
      </c>
      <c r="R486" s="86">
        <f t="shared" si="131"/>
      </c>
      <c r="S486" s="86">
        <f t="shared" si="132"/>
      </c>
      <c r="T486" s="86">
        <f t="shared" si="142"/>
        <v/>
      </c>
      <c r="U486" s="86">
        <f t="shared" si="143"/>
        <v/>
      </c>
      <c r="V486" s="86">
        <f t="shared" si="144"/>
        <v/>
      </c>
      <c r="W486" s="87">
        <f t="shared" si="133"/>
      </c>
      <c r="X486" s="88"/>
      <c r="Y486" s="88"/>
      <c r="Z486" s="88"/>
      <c r="AA486" s="88"/>
      <c r="AB486" s="88"/>
      <c r="AD486" s="86">
        <f t="shared" si="134"/>
      </c>
      <c r="AE486" s="86">
        <f t="shared" si="135"/>
      </c>
      <c r="AG486" s="86">
        <f t="shared" si="136"/>
      </c>
      <c r="AH486" s="86">
        <f t="shared" si="137"/>
      </c>
      <c r="AI486" s="86">
        <f t="shared" si="138"/>
      </c>
    </row>
    <row r="487" spans="6:35" x14ac:dyDescent="0.3">
      <c r="F487" s="26">
        <f>IF(G487=1,MAX($F$4:F486)+1,"")</f>
        <v/>
      </c>
      <c r="G487" s="26">
        <f>COUNTIF($H$5:H487,H487)</f>
      </c>
      <c r="H487" s="26">
        <f t="shared" si="139"/>
      </c>
      <c r="I487" s="26">
        <f>COUNTIF($J$4:$J487,1)</f>
      </c>
      <c r="J487" s="26">
        <f>COUNTIF($S$5:$S487,S487)</f>
      </c>
      <c r="K487" s="26">
        <f t="shared" si="128"/>
      </c>
      <c r="L487" s="26">
        <f>IFERROR(IF(P487=0,0,MAX($L$4:L486)+1),0)</f>
      </c>
      <c r="M487" s="5">
        <f t="shared" si="140"/>
      </c>
      <c r="N487" s="5">
        <f t="shared" si="141"/>
      </c>
      <c r="P487" s="86">
        <f t="shared" si="129"/>
      </c>
      <c r="Q487" s="86">
        <f t="shared" si="130"/>
      </c>
      <c r="R487" s="86">
        <f t="shared" si="131"/>
      </c>
      <c r="S487" s="86">
        <f t="shared" si="132"/>
      </c>
      <c r="T487" s="86">
        <f t="shared" si="142"/>
        <v/>
      </c>
      <c r="U487" s="86">
        <f t="shared" si="143"/>
        <v/>
      </c>
      <c r="V487" s="86">
        <f t="shared" si="144"/>
        <v/>
      </c>
      <c r="W487" s="87">
        <f t="shared" si="133"/>
      </c>
      <c r="X487" s="88"/>
      <c r="Y487" s="88"/>
      <c r="Z487" s="88"/>
      <c r="AA487" s="88"/>
      <c r="AB487" s="88"/>
      <c r="AD487" s="86">
        <f t="shared" si="134"/>
      </c>
      <c r="AE487" s="86">
        <f t="shared" si="135"/>
      </c>
      <c r="AG487" s="86">
        <f t="shared" si="136"/>
      </c>
      <c r="AH487" s="86">
        <f t="shared" si="137"/>
      </c>
      <c r="AI487" s="86">
        <f t="shared" si="138"/>
      </c>
    </row>
    <row r="488" spans="6:35" x14ac:dyDescent="0.3">
      <c r="F488" s="26">
        <f>IF(G488=1,MAX($F$4:F487)+1,"")</f>
        <v/>
      </c>
      <c r="G488" s="26">
        <f>COUNTIF($H$5:H488,H488)</f>
      </c>
      <c r="H488" s="26">
        <f t="shared" si="139"/>
      </c>
      <c r="I488" s="26">
        <f>COUNTIF($J$4:$J488,1)</f>
      </c>
      <c r="J488" s="26">
        <f>COUNTIF($S$5:$S488,S488)</f>
      </c>
      <c r="K488" s="26">
        <f t="shared" si="128"/>
      </c>
      <c r="L488" s="26">
        <f>IFERROR(IF(P488=0,0,MAX($L$4:L487)+1),0)</f>
      </c>
      <c r="M488" s="5">
        <f t="shared" si="140"/>
      </c>
      <c r="N488" s="5">
        <f t="shared" si="141"/>
      </c>
      <c r="P488" s="86">
        <f t="shared" si="129"/>
      </c>
      <c r="Q488" s="86">
        <f t="shared" si="130"/>
      </c>
      <c r="R488" s="86">
        <f t="shared" si="131"/>
      </c>
      <c r="S488" s="86">
        <f t="shared" si="132"/>
      </c>
      <c r="T488" s="86">
        <f t="shared" si="142"/>
        <v/>
      </c>
      <c r="U488" s="86">
        <f t="shared" si="143"/>
        <v/>
      </c>
      <c r="V488" s="86">
        <f t="shared" si="144"/>
        <v/>
      </c>
      <c r="W488" s="87">
        <f t="shared" si="133"/>
      </c>
      <c r="X488" s="88"/>
      <c r="Y488" s="88"/>
      <c r="Z488" s="88"/>
      <c r="AA488" s="88"/>
      <c r="AB488" s="88"/>
      <c r="AD488" s="86">
        <f t="shared" si="134"/>
      </c>
      <c r="AE488" s="86">
        <f t="shared" si="135"/>
      </c>
      <c r="AG488" s="86">
        <f t="shared" si="136"/>
      </c>
      <c r="AH488" s="86">
        <f t="shared" si="137"/>
      </c>
      <c r="AI488" s="86">
        <f t="shared" si="138"/>
      </c>
    </row>
    <row r="489" spans="6:35" x14ac:dyDescent="0.3">
      <c r="F489" s="26">
        <f>IF(G489=1,MAX($F$4:F488)+1,"")</f>
        <v/>
      </c>
      <c r="G489" s="26">
        <f>COUNTIF($H$5:H489,H489)</f>
      </c>
      <c r="H489" s="26">
        <f t="shared" si="139"/>
      </c>
      <c r="I489" s="26">
        <f>COUNTIF($J$4:$J489,1)</f>
      </c>
      <c r="J489" s="26">
        <f>COUNTIF($S$5:$S489,S489)</f>
      </c>
      <c r="K489" s="26">
        <f t="shared" si="128"/>
      </c>
      <c r="L489" s="26">
        <f>IFERROR(IF(P489=0,0,MAX($L$4:L488)+1),0)</f>
      </c>
      <c r="M489" s="5">
        <f t="shared" si="140"/>
      </c>
      <c r="N489" s="5">
        <f t="shared" si="141"/>
      </c>
      <c r="P489" s="86">
        <f t="shared" si="129"/>
      </c>
      <c r="Q489" s="86">
        <f t="shared" si="130"/>
      </c>
      <c r="R489" s="86">
        <f t="shared" si="131"/>
      </c>
      <c r="S489" s="86">
        <f t="shared" si="132"/>
      </c>
      <c r="T489" s="86">
        <f t="shared" si="142"/>
        <v/>
      </c>
      <c r="U489" s="86">
        <f t="shared" si="143"/>
        <v/>
      </c>
      <c r="V489" s="86">
        <f t="shared" si="144"/>
        <v/>
      </c>
      <c r="W489" s="87">
        <f t="shared" si="133"/>
      </c>
      <c r="X489" s="88"/>
      <c r="Y489" s="88"/>
      <c r="Z489" s="88"/>
      <c r="AA489" s="88"/>
      <c r="AB489" s="88"/>
      <c r="AD489" s="86">
        <f t="shared" si="134"/>
      </c>
      <c r="AE489" s="86">
        <f t="shared" si="135"/>
      </c>
      <c r="AG489" s="86">
        <f t="shared" si="136"/>
      </c>
      <c r="AH489" s="86">
        <f t="shared" si="137"/>
      </c>
      <c r="AI489" s="86">
        <f t="shared" si="138"/>
      </c>
    </row>
    <row r="490" spans="6:35" x14ac:dyDescent="0.3">
      <c r="F490" s="26">
        <f>IF(G490=1,MAX($F$4:F489)+1,"")</f>
        <v/>
      </c>
      <c r="G490" s="26">
        <f>COUNTIF($H$5:H490,H490)</f>
      </c>
      <c r="H490" s="26">
        <f t="shared" si="139"/>
      </c>
      <c r="I490" s="26">
        <f>COUNTIF($J$4:$J490,1)</f>
      </c>
      <c r="J490" s="26">
        <f>COUNTIF($S$5:$S490,S490)</f>
      </c>
      <c r="K490" s="26">
        <f t="shared" si="128"/>
      </c>
      <c r="L490" s="26">
        <f>IFERROR(IF(P490=0,0,MAX($L$4:L489)+1),0)</f>
      </c>
      <c r="M490" s="5">
        <f t="shared" si="140"/>
      </c>
      <c r="N490" s="5">
        <f t="shared" si="141"/>
      </c>
      <c r="P490" s="86">
        <f t="shared" si="129"/>
      </c>
      <c r="Q490" s="86">
        <f t="shared" si="130"/>
      </c>
      <c r="R490" s="86">
        <f t="shared" si="131"/>
      </c>
      <c r="S490" s="86">
        <f t="shared" si="132"/>
      </c>
      <c r="T490" s="86">
        <f t="shared" si="142"/>
        <v/>
      </c>
      <c r="U490" s="86">
        <f t="shared" si="143"/>
        <v/>
      </c>
      <c r="V490" s="86">
        <f t="shared" si="144"/>
        <v/>
      </c>
      <c r="W490" s="87">
        <f t="shared" si="133"/>
      </c>
      <c r="X490" s="88"/>
      <c r="Y490" s="88"/>
      <c r="Z490" s="88"/>
      <c r="AA490" s="88"/>
      <c r="AB490" s="88"/>
      <c r="AD490" s="86">
        <f t="shared" si="134"/>
      </c>
      <c r="AE490" s="86">
        <f t="shared" si="135"/>
      </c>
      <c r="AG490" s="86">
        <f t="shared" si="136"/>
      </c>
      <c r="AH490" s="86">
        <f t="shared" si="137"/>
      </c>
      <c r="AI490" s="86">
        <f t="shared" si="138"/>
      </c>
    </row>
    <row r="491" spans="6:35" x14ac:dyDescent="0.3">
      <c r="F491" s="26">
        <f>IF(G491=1,MAX($F$4:F490)+1,"")</f>
        <v/>
      </c>
      <c r="G491" s="26">
        <f>COUNTIF($H$5:H491,H491)</f>
      </c>
      <c r="H491" s="26">
        <f t="shared" si="139"/>
      </c>
      <c r="I491" s="26">
        <f>COUNTIF($J$4:$J491,1)</f>
      </c>
      <c r="J491" s="26">
        <f>COUNTIF($S$5:$S491,S491)</f>
      </c>
      <c r="K491" s="26">
        <f t="shared" si="128"/>
      </c>
      <c r="L491" s="26">
        <f>IFERROR(IF(P491=0,0,MAX($L$4:L490)+1),0)</f>
      </c>
      <c r="M491" s="5">
        <f t="shared" si="140"/>
      </c>
      <c r="N491" s="5">
        <f t="shared" si="141"/>
      </c>
      <c r="P491" s="86">
        <f t="shared" si="129"/>
      </c>
      <c r="Q491" s="86">
        <f t="shared" si="130"/>
      </c>
      <c r="R491" s="86">
        <f t="shared" si="131"/>
      </c>
      <c r="S491" s="86">
        <f t="shared" si="132"/>
      </c>
      <c r="T491" s="86">
        <f t="shared" si="142"/>
        <v/>
      </c>
      <c r="U491" s="86">
        <f t="shared" si="143"/>
        <v/>
      </c>
      <c r="V491" s="86">
        <f t="shared" si="144"/>
        <v/>
      </c>
      <c r="W491" s="87">
        <f t="shared" si="133"/>
      </c>
      <c r="X491" s="88"/>
      <c r="Y491" s="88"/>
      <c r="Z491" s="88"/>
      <c r="AA491" s="88"/>
      <c r="AB491" s="88"/>
      <c r="AD491" s="86">
        <f t="shared" si="134"/>
      </c>
      <c r="AE491" s="86">
        <f t="shared" si="135"/>
      </c>
      <c r="AG491" s="86">
        <f t="shared" si="136"/>
      </c>
      <c r="AH491" s="86">
        <f t="shared" si="137"/>
      </c>
      <c r="AI491" s="86">
        <f t="shared" si="138"/>
      </c>
    </row>
    <row r="492" spans="6:35" x14ac:dyDescent="0.3">
      <c r="F492" s="26">
        <f>IF(G492=1,MAX($F$4:F491)+1,"")</f>
        <v/>
      </c>
      <c r="G492" s="26">
        <f>COUNTIF($H$5:H492,H492)</f>
      </c>
      <c r="H492" s="26">
        <f t="shared" si="139"/>
      </c>
      <c r="I492" s="26">
        <f>COUNTIF($J$4:$J492,1)</f>
      </c>
      <c r="J492" s="26">
        <f>COUNTIF($S$5:$S492,S492)</f>
      </c>
      <c r="K492" s="26">
        <f t="shared" si="128"/>
      </c>
      <c r="L492" s="26">
        <f>IFERROR(IF(P492=0,0,MAX($L$4:L491)+1),0)</f>
      </c>
      <c r="M492" s="5">
        <f t="shared" si="140"/>
      </c>
      <c r="N492" s="5">
        <f t="shared" si="141"/>
      </c>
      <c r="P492" s="86">
        <f t="shared" si="129"/>
      </c>
      <c r="Q492" s="86">
        <f t="shared" si="130"/>
      </c>
      <c r="R492" s="86">
        <f t="shared" si="131"/>
      </c>
      <c r="S492" s="86">
        <f t="shared" si="132"/>
      </c>
      <c r="T492" s="86">
        <f t="shared" si="142"/>
        <v/>
      </c>
      <c r="U492" s="86">
        <f t="shared" si="143"/>
        <v/>
      </c>
      <c r="V492" s="86">
        <f t="shared" si="144"/>
        <v/>
      </c>
      <c r="W492" s="87">
        <f t="shared" si="133"/>
      </c>
      <c r="X492" s="88"/>
      <c r="Y492" s="88"/>
      <c r="Z492" s="88"/>
      <c r="AA492" s="88"/>
      <c r="AB492" s="88"/>
      <c r="AD492" s="86">
        <f t="shared" si="134"/>
      </c>
      <c r="AE492" s="86">
        <f t="shared" si="135"/>
      </c>
      <c r="AG492" s="86">
        <f t="shared" si="136"/>
      </c>
      <c r="AH492" s="86">
        <f t="shared" si="137"/>
      </c>
      <c r="AI492" s="86">
        <f t="shared" si="138"/>
      </c>
    </row>
    <row r="493" spans="6:35" x14ac:dyDescent="0.3">
      <c r="F493" s="26">
        <f>IF(G493=1,MAX($F$4:F492)+1,"")</f>
        <v/>
      </c>
      <c r="G493" s="26">
        <f>COUNTIF($H$5:H493,H493)</f>
      </c>
      <c r="H493" s="26">
        <f t="shared" si="139"/>
      </c>
      <c r="I493" s="26">
        <f>COUNTIF($J$4:$J493,1)</f>
      </c>
      <c r="J493" s="26">
        <f>COUNTIF($S$5:$S493,S493)</f>
      </c>
      <c r="K493" s="26">
        <f t="shared" si="128"/>
      </c>
      <c r="L493" s="26">
        <f>IFERROR(IF(P493=0,0,MAX($L$4:L492)+1),0)</f>
      </c>
      <c r="M493" s="5">
        <f t="shared" si="140"/>
      </c>
      <c r="N493" s="5">
        <f t="shared" si="141"/>
      </c>
      <c r="P493" s="86">
        <f t="shared" si="129"/>
      </c>
      <c r="Q493" s="86">
        <f t="shared" si="130"/>
      </c>
      <c r="R493" s="86">
        <f t="shared" si="131"/>
      </c>
      <c r="S493" s="86">
        <f t="shared" si="132"/>
      </c>
      <c r="T493" s="86">
        <f t="shared" si="142"/>
        <v/>
      </c>
      <c r="U493" s="86">
        <f t="shared" si="143"/>
        <v/>
      </c>
      <c r="V493" s="86">
        <f t="shared" si="144"/>
        <v/>
      </c>
      <c r="W493" s="87">
        <f t="shared" si="133"/>
      </c>
      <c r="X493" s="88"/>
      <c r="Y493" s="88"/>
      <c r="Z493" s="88"/>
      <c r="AA493" s="88"/>
      <c r="AB493" s="88"/>
      <c r="AD493" s="86">
        <f t="shared" si="134"/>
      </c>
      <c r="AE493" s="86">
        <f t="shared" si="135"/>
      </c>
      <c r="AG493" s="86">
        <f t="shared" si="136"/>
      </c>
      <c r="AH493" s="86">
        <f t="shared" si="137"/>
      </c>
      <c r="AI493" s="86">
        <f t="shared" si="138"/>
      </c>
    </row>
    <row r="494" spans="6:35" x14ac:dyDescent="0.3">
      <c r="F494" s="26">
        <f>IF(G494=1,MAX($F$4:F493)+1,"")</f>
        <v/>
      </c>
      <c r="G494" s="26">
        <f>COUNTIF($H$5:H494,H494)</f>
      </c>
      <c r="H494" s="26">
        <f t="shared" si="139"/>
      </c>
      <c r="I494" s="26">
        <f>COUNTIF($J$4:$J494,1)</f>
      </c>
      <c r="J494" s="26">
        <f>COUNTIF($S$5:$S494,S494)</f>
      </c>
      <c r="K494" s="26">
        <f t="shared" si="128"/>
      </c>
      <c r="L494" s="26">
        <f>IFERROR(IF(P494=0,0,MAX($L$4:L493)+1),0)</f>
      </c>
      <c r="M494" s="5">
        <f t="shared" si="140"/>
      </c>
      <c r="N494" s="5">
        <f t="shared" si="141"/>
      </c>
      <c r="P494" s="86">
        <f t="shared" si="129"/>
      </c>
      <c r="Q494" s="86">
        <f t="shared" si="130"/>
      </c>
      <c r="R494" s="86">
        <f t="shared" si="131"/>
      </c>
      <c r="S494" s="86">
        <f t="shared" si="132"/>
      </c>
      <c r="T494" s="86">
        <f t="shared" si="142"/>
        <v/>
      </c>
      <c r="U494" s="86">
        <f t="shared" si="143"/>
        <v/>
      </c>
      <c r="V494" s="86">
        <f t="shared" si="144"/>
        <v/>
      </c>
      <c r="W494" s="87">
        <f t="shared" si="133"/>
      </c>
      <c r="X494" s="88"/>
      <c r="Y494" s="88"/>
      <c r="Z494" s="88"/>
      <c r="AA494" s="88"/>
      <c r="AB494" s="88"/>
      <c r="AD494" s="86">
        <f t="shared" si="134"/>
      </c>
      <c r="AE494" s="86">
        <f t="shared" si="135"/>
      </c>
      <c r="AG494" s="86">
        <f t="shared" si="136"/>
      </c>
      <c r="AH494" s="86">
        <f t="shared" si="137"/>
      </c>
      <c r="AI494" s="86">
        <f t="shared" si="138"/>
      </c>
    </row>
    <row r="495" spans="6:35" x14ac:dyDescent="0.3">
      <c r="F495" s="26">
        <f>IF(G495=1,MAX($F$4:F494)+1,"")</f>
        <v/>
      </c>
      <c r="G495" s="26">
        <f>COUNTIF($H$5:H495,H495)</f>
      </c>
      <c r="H495" s="26">
        <f t="shared" si="139"/>
      </c>
      <c r="I495" s="26">
        <f>COUNTIF($J$4:$J495,1)</f>
      </c>
      <c r="J495" s="26">
        <f>COUNTIF($S$5:$S495,S495)</f>
      </c>
      <c r="K495" s="26">
        <f t="shared" si="128"/>
      </c>
      <c r="L495" s="26">
        <f>IFERROR(IF(P495=0,0,MAX($L$4:L494)+1),0)</f>
      </c>
      <c r="M495" s="5">
        <f t="shared" si="140"/>
      </c>
      <c r="N495" s="5">
        <f t="shared" si="141"/>
      </c>
      <c r="P495" s="86">
        <f t="shared" si="129"/>
      </c>
      <c r="Q495" s="86">
        <f t="shared" si="130"/>
      </c>
      <c r="R495" s="86">
        <f t="shared" si="131"/>
      </c>
      <c r="S495" s="86">
        <f t="shared" si="132"/>
      </c>
      <c r="T495" s="86">
        <f t="shared" si="142"/>
        <v/>
      </c>
      <c r="U495" s="86">
        <f t="shared" si="143"/>
        <v/>
      </c>
      <c r="V495" s="86">
        <f t="shared" si="144"/>
        <v/>
      </c>
      <c r="W495" s="87">
        <f t="shared" si="133"/>
      </c>
      <c r="X495" s="88"/>
      <c r="Y495" s="88"/>
      <c r="Z495" s="88"/>
      <c r="AA495" s="88"/>
      <c r="AB495" s="88"/>
      <c r="AD495" s="86">
        <f t="shared" si="134"/>
      </c>
      <c r="AE495" s="86">
        <f t="shared" si="135"/>
      </c>
      <c r="AG495" s="86">
        <f t="shared" si="136"/>
      </c>
      <c r="AH495" s="86">
        <f t="shared" si="137"/>
      </c>
      <c r="AI495" s="86">
        <f t="shared" si="138"/>
      </c>
    </row>
    <row r="496" spans="6:35" x14ac:dyDescent="0.3">
      <c r="F496" s="26">
        <f>IF(G496=1,MAX($F$4:F495)+1,"")</f>
        <v/>
      </c>
      <c r="G496" s="26">
        <f>COUNTIF($H$5:H496,H496)</f>
      </c>
      <c r="H496" s="26">
        <f t="shared" si="139"/>
      </c>
      <c r="I496" s="26">
        <f>COUNTIF($J$4:$J496,1)</f>
      </c>
      <c r="J496" s="26">
        <f>COUNTIF($S$5:$S496,S496)</f>
      </c>
      <c r="K496" s="26">
        <f t="shared" si="128"/>
      </c>
      <c r="L496" s="26">
        <f>IFERROR(IF(P496=0,0,MAX($L$4:L495)+1),0)</f>
      </c>
      <c r="M496" s="5">
        <f t="shared" si="140"/>
      </c>
      <c r="N496" s="5">
        <f t="shared" si="141"/>
      </c>
      <c r="P496" s="86">
        <f t="shared" si="129"/>
      </c>
      <c r="Q496" s="86">
        <f t="shared" si="130"/>
      </c>
      <c r="R496" s="86">
        <f t="shared" si="131"/>
      </c>
      <c r="S496" s="86">
        <f t="shared" si="132"/>
      </c>
      <c r="T496" s="86">
        <f t="shared" si="142"/>
        <v/>
      </c>
      <c r="U496" s="86">
        <f t="shared" si="143"/>
        <v/>
      </c>
      <c r="V496" s="86">
        <f t="shared" si="144"/>
        <v/>
      </c>
      <c r="W496" s="87">
        <f t="shared" si="133"/>
      </c>
      <c r="X496" s="88"/>
      <c r="Y496" s="88"/>
      <c r="Z496" s="88"/>
      <c r="AA496" s="88"/>
      <c r="AB496" s="88"/>
      <c r="AD496" s="86">
        <f t="shared" si="134"/>
      </c>
      <c r="AE496" s="86">
        <f t="shared" si="135"/>
      </c>
      <c r="AG496" s="86">
        <f t="shared" si="136"/>
      </c>
      <c r="AH496" s="86">
        <f t="shared" si="137"/>
      </c>
      <c r="AI496" s="86">
        <f t="shared" si="138"/>
      </c>
    </row>
    <row r="497" spans="6:35" x14ac:dyDescent="0.3">
      <c r="F497" s="26">
        <f>IF(G497=1,MAX($F$4:F496)+1,"")</f>
        <v/>
      </c>
      <c r="G497" s="26">
        <f>COUNTIF($H$5:H497,H497)</f>
      </c>
      <c r="H497" s="26">
        <f t="shared" si="139"/>
      </c>
      <c r="I497" s="26">
        <f>COUNTIF($J$4:$J497,1)</f>
      </c>
      <c r="J497" s="26">
        <f>COUNTIF($S$5:$S497,S497)</f>
      </c>
      <c r="K497" s="26">
        <f t="shared" si="128"/>
      </c>
      <c r="L497" s="26">
        <f>IFERROR(IF(P497=0,0,MAX($L$4:L496)+1),0)</f>
      </c>
      <c r="M497" s="5">
        <f t="shared" si="140"/>
      </c>
      <c r="N497" s="5">
        <f t="shared" si="141"/>
      </c>
      <c r="P497" s="86">
        <f t="shared" si="129"/>
      </c>
      <c r="Q497" s="86">
        <f t="shared" si="130"/>
      </c>
      <c r="R497" s="86">
        <f t="shared" si="131"/>
      </c>
      <c r="S497" s="86">
        <f t="shared" si="132"/>
      </c>
      <c r="T497" s="86">
        <f t="shared" si="142"/>
        <v/>
      </c>
      <c r="U497" s="86">
        <f t="shared" si="143"/>
        <v/>
      </c>
      <c r="V497" s="86">
        <f t="shared" si="144"/>
        <v/>
      </c>
      <c r="W497" s="87">
        <f t="shared" si="133"/>
      </c>
      <c r="X497" s="88"/>
      <c r="Y497" s="88"/>
      <c r="Z497" s="88"/>
      <c r="AA497" s="88"/>
      <c r="AB497" s="88"/>
      <c r="AD497" s="86">
        <f t="shared" si="134"/>
      </c>
      <c r="AE497" s="86">
        <f t="shared" si="135"/>
      </c>
      <c r="AG497" s="86">
        <f t="shared" si="136"/>
      </c>
      <c r="AH497" s="86">
        <f t="shared" si="137"/>
      </c>
      <c r="AI497" s="86">
        <f t="shared" si="138"/>
      </c>
    </row>
    <row r="498" spans="6:35" x14ac:dyDescent="0.3">
      <c r="F498" s="26">
        <f>IF(G498=1,MAX($F$4:F497)+1,"")</f>
        <v/>
      </c>
      <c r="G498" s="26">
        <f>COUNTIF($H$5:H498,H498)</f>
      </c>
      <c r="H498" s="26">
        <f t="shared" si="139"/>
      </c>
      <c r="I498" s="26">
        <f>COUNTIF($J$4:$J498,1)</f>
      </c>
      <c r="J498" s="26">
        <f>COUNTIF($S$5:$S498,S498)</f>
      </c>
      <c r="K498" s="26">
        <f t="shared" si="128"/>
      </c>
      <c r="L498" s="26">
        <f>IFERROR(IF(P498=0,0,MAX($L$4:L497)+1),0)</f>
      </c>
      <c r="M498" s="5">
        <f t="shared" si="140"/>
      </c>
      <c r="N498" s="5">
        <f t="shared" si="141"/>
      </c>
      <c r="P498" s="86">
        <f t="shared" si="129"/>
      </c>
      <c r="Q498" s="86">
        <f t="shared" si="130"/>
      </c>
      <c r="R498" s="86">
        <f t="shared" si="131"/>
      </c>
      <c r="S498" s="86">
        <f t="shared" si="132"/>
      </c>
      <c r="T498" s="86">
        <f t="shared" si="142"/>
        <v/>
      </c>
      <c r="U498" s="86">
        <f t="shared" si="143"/>
        <v/>
      </c>
      <c r="V498" s="86">
        <f t="shared" si="144"/>
        <v/>
      </c>
      <c r="W498" s="87">
        <f t="shared" si="133"/>
      </c>
      <c r="X498" s="88"/>
      <c r="Y498" s="88"/>
      <c r="Z498" s="88"/>
      <c r="AA498" s="88"/>
      <c r="AB498" s="88"/>
      <c r="AD498" s="86">
        <f t="shared" si="134"/>
      </c>
      <c r="AE498" s="86">
        <f t="shared" si="135"/>
      </c>
      <c r="AG498" s="86">
        <f t="shared" si="136"/>
      </c>
      <c r="AH498" s="86">
        <f t="shared" si="137"/>
      </c>
      <c r="AI498" s="86">
        <f t="shared" si="138"/>
      </c>
    </row>
    <row r="499" spans="6:35" x14ac:dyDescent="0.3">
      <c r="F499" s="26">
        <f>IF(G499=1,MAX($F$4:F498)+1,"")</f>
        <v/>
      </c>
      <c r="G499" s="26">
        <f>COUNTIF($H$5:H499,H499)</f>
      </c>
      <c r="H499" s="26">
        <f t="shared" si="139"/>
      </c>
      <c r="I499" s="26">
        <f>COUNTIF($J$4:$J499,1)</f>
      </c>
      <c r="J499" s="26">
        <f>COUNTIF($S$5:$S499,S499)</f>
      </c>
      <c r="K499" s="26">
        <f t="shared" si="128"/>
      </c>
      <c r="L499" s="26">
        <f>IFERROR(IF(P499=0,0,MAX($L$4:L498)+1),0)</f>
      </c>
      <c r="M499" s="5">
        <f t="shared" si="140"/>
      </c>
      <c r="N499" s="5">
        <f t="shared" si="141"/>
      </c>
      <c r="P499" s="86">
        <f t="shared" si="129"/>
      </c>
      <c r="Q499" s="86">
        <f t="shared" si="130"/>
      </c>
      <c r="R499" s="86">
        <f t="shared" si="131"/>
      </c>
      <c r="S499" s="86">
        <f t="shared" si="132"/>
      </c>
      <c r="T499" s="86">
        <f t="shared" si="142"/>
        <v/>
      </c>
      <c r="U499" s="86">
        <f t="shared" si="143"/>
        <v/>
      </c>
      <c r="V499" s="86">
        <f t="shared" si="144"/>
        <v/>
      </c>
      <c r="W499" s="87">
        <f t="shared" si="133"/>
      </c>
      <c r="X499" s="88"/>
      <c r="Y499" s="88"/>
      <c r="Z499" s="88"/>
      <c r="AA499" s="88"/>
      <c r="AB499" s="88"/>
      <c r="AD499" s="86">
        <f t="shared" si="134"/>
      </c>
      <c r="AE499" s="86">
        <f t="shared" si="135"/>
      </c>
      <c r="AG499" s="86">
        <f t="shared" si="136"/>
      </c>
      <c r="AH499" s="86">
        <f t="shared" si="137"/>
      </c>
      <c r="AI499" s="86">
        <f t="shared" si="138"/>
      </c>
    </row>
    <row r="500" spans="6:35" x14ac:dyDescent="0.3">
      <c r="F500" s="26">
        <f>IF(G500=1,MAX($F$4:F499)+1,"")</f>
        <v/>
      </c>
      <c r="G500" s="26">
        <f>COUNTIF($H$5:H500,H500)</f>
      </c>
      <c r="H500" s="26">
        <f t="shared" si="139"/>
      </c>
      <c r="I500" s="26">
        <f>COUNTIF($J$4:$J500,1)</f>
      </c>
      <c r="J500" s="26">
        <f>COUNTIF($S$5:$S500,S500)</f>
      </c>
      <c r="K500" s="26">
        <f t="shared" si="128"/>
      </c>
      <c r="L500" s="26">
        <f>IFERROR(IF(P500=0,0,MAX($L$4:L499)+1),0)</f>
      </c>
      <c r="M500" s="5">
        <f t="shared" si="140"/>
      </c>
      <c r="N500" s="5">
        <f t="shared" si="141"/>
      </c>
      <c r="P500" s="86">
        <f t="shared" si="129"/>
      </c>
      <c r="Q500" s="86">
        <f t="shared" si="130"/>
      </c>
      <c r="R500" s="86">
        <f t="shared" si="131"/>
      </c>
      <c r="S500" s="86">
        <f t="shared" si="132"/>
      </c>
      <c r="T500" s="86">
        <f t="shared" si="142"/>
        <v/>
      </c>
      <c r="U500" s="86">
        <f t="shared" si="143"/>
        <v/>
      </c>
      <c r="V500" s="86">
        <f t="shared" si="144"/>
        <v/>
      </c>
      <c r="W500" s="87">
        <f t="shared" si="133"/>
      </c>
      <c r="X500" s="88"/>
      <c r="Y500" s="88"/>
      <c r="Z500" s="88"/>
      <c r="AA500" s="88"/>
      <c r="AB500" s="88"/>
      <c r="AD500" s="86">
        <f t="shared" si="134"/>
      </c>
      <c r="AE500" s="86">
        <f t="shared" si="135"/>
      </c>
      <c r="AG500" s="86">
        <f t="shared" si="136"/>
      </c>
      <c r="AH500" s="86">
        <f t="shared" si="137"/>
      </c>
      <c r="AI500" s="86">
        <f t="shared" si="138"/>
      </c>
    </row>
    <row r="501" spans="6:35" x14ac:dyDescent="0.3">
      <c r="F501" s="26">
        <f>IF(G501=1,MAX($F$4:F500)+1,"")</f>
        <v/>
      </c>
      <c r="G501" s="26">
        <f>COUNTIF($H$5:H501,H501)</f>
      </c>
      <c r="H501" s="26">
        <f t="shared" si="139"/>
      </c>
      <c r="I501" s="26">
        <f>COUNTIF($J$4:$J501,1)</f>
      </c>
      <c r="J501" s="26">
        <f>COUNTIF($S$5:$S501,S501)</f>
      </c>
      <c r="K501" s="26">
        <f t="shared" si="128"/>
      </c>
      <c r="L501" s="26">
        <f>IFERROR(IF(P501=0,0,MAX($L$4:L500)+1),0)</f>
      </c>
      <c r="M501" s="5">
        <f t="shared" si="140"/>
      </c>
      <c r="N501" s="5">
        <f t="shared" si="141"/>
      </c>
      <c r="P501" s="86">
        <f t="shared" si="129"/>
      </c>
      <c r="Q501" s="86">
        <f t="shared" si="130"/>
      </c>
      <c r="R501" s="86">
        <f t="shared" si="131"/>
      </c>
      <c r="S501" s="86">
        <f t="shared" si="132"/>
      </c>
      <c r="T501" s="86">
        <f t="shared" si="142"/>
        <v/>
      </c>
      <c r="U501" s="86">
        <f t="shared" si="143"/>
        <v/>
      </c>
      <c r="V501" s="86">
        <f t="shared" si="144"/>
        <v/>
      </c>
      <c r="W501" s="87">
        <f t="shared" si="133"/>
      </c>
      <c r="X501" s="88"/>
      <c r="Y501" s="88"/>
      <c r="Z501" s="88"/>
      <c r="AA501" s="88"/>
      <c r="AB501" s="88"/>
      <c r="AD501" s="86">
        <f t="shared" si="134"/>
      </c>
      <c r="AE501" s="86">
        <f t="shared" si="135"/>
      </c>
      <c r="AG501" s="86">
        <f t="shared" si="136"/>
      </c>
      <c r="AH501" s="86">
        <f t="shared" si="137"/>
      </c>
      <c r="AI501" s="86">
        <f t="shared" si="138"/>
      </c>
    </row>
    <row r="502" spans="6:35" x14ac:dyDescent="0.3">
      <c r="F502" s="26">
        <f>IF(G502=1,MAX($F$4:F501)+1,"")</f>
        <v/>
      </c>
      <c r="G502" s="26">
        <f>COUNTIF($H$5:H502,H502)</f>
      </c>
      <c r="H502" s="26">
        <f t="shared" si="139"/>
      </c>
      <c r="I502" s="26">
        <f>COUNTIF($J$4:$J502,1)</f>
      </c>
      <c r="J502" s="26">
        <f>COUNTIF($S$5:$S502,S502)</f>
      </c>
      <c r="K502" s="26">
        <f t="shared" si="128"/>
      </c>
      <c r="L502" s="26">
        <f>IFERROR(IF(P502=0,0,MAX($L$4:L501)+1),0)</f>
      </c>
      <c r="M502" s="5">
        <f t="shared" si="140"/>
      </c>
      <c r="N502" s="5">
        <f t="shared" si="141"/>
      </c>
      <c r="P502" s="86">
        <f t="shared" si="129"/>
      </c>
      <c r="Q502" s="86">
        <f t="shared" si="130"/>
      </c>
      <c r="R502" s="86">
        <f t="shared" si="131"/>
      </c>
      <c r="S502" s="86">
        <f t="shared" si="132"/>
      </c>
      <c r="T502" s="86">
        <f t="shared" si="142"/>
        <v/>
      </c>
      <c r="U502" s="86">
        <f t="shared" si="143"/>
        <v/>
      </c>
      <c r="V502" s="86">
        <f t="shared" si="144"/>
        <v/>
      </c>
      <c r="W502" s="87">
        <f t="shared" si="133"/>
      </c>
      <c r="X502" s="88"/>
      <c r="Y502" s="88"/>
      <c r="Z502" s="88"/>
      <c r="AA502" s="88"/>
      <c r="AB502" s="88"/>
      <c r="AD502" s="86">
        <f t="shared" si="134"/>
      </c>
      <c r="AE502" s="86">
        <f t="shared" si="135"/>
      </c>
      <c r="AG502" s="86">
        <f t="shared" si="136"/>
      </c>
      <c r="AH502" s="86">
        <f t="shared" si="137"/>
      </c>
      <c r="AI502" s="86">
        <f t="shared" si="138"/>
      </c>
    </row>
    <row r="503" spans="6:35" x14ac:dyDescent="0.3">
      <c r="F503" s="26">
        <f>IF(G503=1,MAX($F$4:F502)+1,"")</f>
        <v/>
      </c>
      <c r="G503" s="26">
        <f>COUNTIF($H$5:H503,H503)</f>
      </c>
      <c r="H503" s="26">
        <f t="shared" si="139"/>
      </c>
      <c r="I503" s="26">
        <f>COUNTIF($J$4:$J503,1)</f>
      </c>
      <c r="J503" s="26">
        <f>COUNTIF($S$5:$S503,S503)</f>
      </c>
      <c r="K503" s="26">
        <f t="shared" si="128"/>
      </c>
      <c r="L503" s="26">
        <f>IFERROR(IF(P503=0,0,MAX($L$4:L502)+1),0)</f>
      </c>
      <c r="M503" s="5">
        <f t="shared" si="140"/>
      </c>
      <c r="N503" s="5">
        <f t="shared" si="141"/>
      </c>
      <c r="P503" s="86">
        <f t="shared" si="129"/>
      </c>
      <c r="Q503" s="86">
        <f t="shared" si="130"/>
      </c>
      <c r="R503" s="86">
        <f t="shared" si="131"/>
      </c>
      <c r="S503" s="86">
        <f t="shared" si="132"/>
      </c>
      <c r="T503" s="86">
        <f t="shared" si="142"/>
        <v/>
      </c>
      <c r="U503" s="86">
        <f t="shared" si="143"/>
        <v/>
      </c>
      <c r="V503" s="86">
        <f t="shared" si="144"/>
        <v/>
      </c>
      <c r="W503" s="87">
        <f t="shared" si="133"/>
      </c>
      <c r="X503" s="88"/>
      <c r="Y503" s="88"/>
      <c r="Z503" s="88"/>
      <c r="AA503" s="88"/>
      <c r="AB503" s="88"/>
      <c r="AD503" s="86">
        <f t="shared" si="134"/>
      </c>
      <c r="AE503" s="86">
        <f t="shared" si="135"/>
      </c>
      <c r="AG503" s="86">
        <f t="shared" si="136"/>
      </c>
      <c r="AH503" s="86">
        <f t="shared" si="137"/>
      </c>
      <c r="AI503" s="86">
        <f t="shared" si="138"/>
      </c>
    </row>
    <row r="504" spans="6:35" x14ac:dyDescent="0.3">
      <c r="F504" s="26">
        <f>IF(G504=1,MAX($F$4:F503)+1,"")</f>
        <v/>
      </c>
      <c r="G504" s="26">
        <f>COUNTIF($H$5:H504,H504)</f>
      </c>
      <c r="H504" s="26">
        <f t="shared" si="139"/>
      </c>
      <c r="I504" s="26">
        <f>COUNTIF($J$4:$J504,1)</f>
      </c>
      <c r="J504" s="26">
        <f>COUNTIF($S$5:$S504,S504)</f>
      </c>
      <c r="K504" s="26">
        <f t="shared" si="128"/>
      </c>
      <c r="L504" s="26">
        <f>IFERROR(IF(P504=0,0,MAX($L$4:L503)+1),0)</f>
      </c>
      <c r="M504" s="5">
        <f t="shared" si="140"/>
      </c>
      <c r="N504" s="5">
        <f t="shared" si="141"/>
      </c>
      <c r="P504" s="86">
        <f t="shared" si="129"/>
      </c>
      <c r="Q504" s="86">
        <f t="shared" si="130"/>
      </c>
      <c r="R504" s="86">
        <f t="shared" si="131"/>
      </c>
      <c r="S504" s="86">
        <f t="shared" si="132"/>
      </c>
      <c r="T504" s="86">
        <f t="shared" si="142"/>
        <v/>
      </c>
      <c r="U504" s="86">
        <f t="shared" si="143"/>
        <v/>
      </c>
      <c r="V504" s="86">
        <f t="shared" si="144"/>
        <v/>
      </c>
      <c r="W504" s="87">
        <f t="shared" si="133"/>
      </c>
      <c r="X504" s="88"/>
      <c r="Y504" s="88"/>
      <c r="Z504" s="88"/>
      <c r="AA504" s="88"/>
      <c r="AB504" s="88"/>
      <c r="AD504" s="86">
        <f t="shared" si="134"/>
      </c>
      <c r="AE504" s="86">
        <f t="shared" si="135"/>
      </c>
      <c r="AG504" s="86">
        <f t="shared" si="136"/>
      </c>
      <c r="AH504" s="86">
        <f t="shared" si="137"/>
      </c>
      <c r="AI504" s="86">
        <f t="shared" si="138"/>
      </c>
    </row>
    <row r="505" spans="6:35" x14ac:dyDescent="0.3">
      <c r="F505" s="26">
        <f>IF(G505=1,MAX($F$4:F504)+1,"")</f>
        <v/>
      </c>
      <c r="G505" s="26">
        <f>COUNTIF($H$5:H505,H505)</f>
      </c>
      <c r="H505" s="26">
        <f t="shared" si="139"/>
      </c>
      <c r="I505" s="26">
        <f>COUNTIF($J$4:$J505,1)</f>
      </c>
      <c r="J505" s="26">
        <f>COUNTIF($S$5:$S505,S505)</f>
      </c>
      <c r="K505" s="26">
        <f t="shared" si="128"/>
      </c>
      <c r="L505" s="26">
        <f>IFERROR(IF(P505=0,0,MAX($L$4:L504)+1),0)</f>
      </c>
      <c r="M505" s="5">
        <f t="shared" si="140"/>
      </c>
      <c r="N505" s="5">
        <f t="shared" si="141"/>
      </c>
      <c r="P505" s="86">
        <f t="shared" si="129"/>
      </c>
      <c r="Q505" s="86">
        <f t="shared" si="130"/>
      </c>
      <c r="R505" s="86">
        <f t="shared" si="131"/>
      </c>
      <c r="S505" s="86">
        <f t="shared" si="132"/>
      </c>
      <c r="T505" s="86">
        <f t="shared" si="142"/>
        <v/>
      </c>
      <c r="U505" s="86">
        <f t="shared" si="143"/>
        <v/>
      </c>
      <c r="V505" s="86">
        <f t="shared" si="144"/>
        <v/>
      </c>
      <c r="W505" s="87">
        <f t="shared" si="133"/>
      </c>
      <c r="X505" s="88"/>
      <c r="Y505" s="88"/>
      <c r="Z505" s="88"/>
      <c r="AA505" s="88"/>
      <c r="AB505" s="88"/>
      <c r="AD505" s="86">
        <f t="shared" si="134"/>
      </c>
      <c r="AE505" s="86">
        <f t="shared" si="135"/>
      </c>
      <c r="AG505" s="86">
        <f t="shared" si="136"/>
      </c>
      <c r="AH505" s="86">
        <f t="shared" si="137"/>
      </c>
      <c r="AI505" s="86">
        <f t="shared" si="138"/>
      </c>
    </row>
    <row r="506" spans="6:35" x14ac:dyDescent="0.3">
      <c r="F506" s="26">
        <f>IF(G506=1,MAX($F$4:F505)+1,"")</f>
        <v/>
      </c>
      <c r="G506" s="26">
        <f>COUNTIF($H$5:H506,H506)</f>
      </c>
      <c r="H506" s="26">
        <f t="shared" si="139"/>
      </c>
      <c r="I506" s="26">
        <f>COUNTIF($J$4:$J506,1)</f>
      </c>
      <c r="J506" s="26">
        <f>COUNTIF($S$5:$S506,S506)</f>
      </c>
      <c r="K506" s="26">
        <f t="shared" si="128"/>
      </c>
      <c r="L506" s="26">
        <f>IFERROR(IF(P506=0,0,MAX($L$4:L505)+1),0)</f>
      </c>
      <c r="M506" s="5">
        <f t="shared" si="140"/>
      </c>
      <c r="N506" s="5">
        <f t="shared" si="141"/>
      </c>
      <c r="P506" s="86">
        <f t="shared" si="129"/>
      </c>
      <c r="Q506" s="86">
        <f t="shared" si="130"/>
      </c>
      <c r="R506" s="86">
        <f t="shared" si="131"/>
      </c>
      <c r="S506" s="86">
        <f t="shared" si="132"/>
      </c>
      <c r="T506" s="86">
        <f t="shared" si="142"/>
        <v/>
      </c>
      <c r="U506" s="86">
        <f t="shared" si="143"/>
        <v/>
      </c>
      <c r="V506" s="86">
        <f t="shared" si="144"/>
        <v/>
      </c>
      <c r="W506" s="87">
        <f t="shared" si="133"/>
      </c>
      <c r="X506" s="88"/>
      <c r="Y506" s="88"/>
      <c r="Z506" s="88"/>
      <c r="AA506" s="88"/>
      <c r="AB506" s="88"/>
      <c r="AD506" s="86">
        <f t="shared" si="134"/>
      </c>
      <c r="AE506" s="86">
        <f t="shared" si="135"/>
      </c>
      <c r="AG506" s="86">
        <f t="shared" si="136"/>
      </c>
      <c r="AH506" s="86">
        <f t="shared" si="137"/>
      </c>
      <c r="AI506" s="86">
        <f t="shared" si="138"/>
      </c>
    </row>
    <row r="507" spans="6:35" x14ac:dyDescent="0.3">
      <c r="F507" s="26">
        <f>IF(G507=1,MAX($F$4:F506)+1,"")</f>
        <v/>
      </c>
      <c r="G507" s="26">
        <f>COUNTIF($H$5:H507,H507)</f>
      </c>
      <c r="H507" s="26">
        <f t="shared" si="139"/>
      </c>
      <c r="I507" s="26">
        <f>COUNTIF($J$4:$J507,1)</f>
      </c>
      <c r="J507" s="26">
        <f>COUNTIF($S$5:$S507,S507)</f>
      </c>
      <c r="K507" s="26">
        <f t="shared" si="128"/>
      </c>
      <c r="L507" s="26">
        <f>IFERROR(IF(P507=0,0,MAX($L$4:L506)+1),0)</f>
      </c>
      <c r="M507" s="5">
        <f t="shared" si="140"/>
      </c>
      <c r="N507" s="5">
        <f t="shared" si="141"/>
      </c>
      <c r="P507" s="86">
        <f t="shared" si="129"/>
      </c>
      <c r="Q507" s="86">
        <f t="shared" si="130"/>
      </c>
      <c r="R507" s="86">
        <f t="shared" si="131"/>
      </c>
      <c r="S507" s="86">
        <f t="shared" si="132"/>
      </c>
      <c r="T507" s="86">
        <f t="shared" si="142"/>
        <v/>
      </c>
      <c r="U507" s="86">
        <f t="shared" si="143"/>
        <v/>
      </c>
      <c r="V507" s="86">
        <f t="shared" si="144"/>
        <v/>
      </c>
      <c r="W507" s="87">
        <f t="shared" si="133"/>
      </c>
      <c r="X507" s="88"/>
      <c r="Y507" s="88"/>
      <c r="Z507" s="88"/>
      <c r="AA507" s="88"/>
      <c r="AB507" s="88"/>
      <c r="AD507" s="86">
        <f t="shared" si="134"/>
      </c>
      <c r="AE507" s="86">
        <f t="shared" si="135"/>
      </c>
      <c r="AG507" s="86">
        <f t="shared" si="136"/>
      </c>
      <c r="AH507" s="86">
        <f t="shared" si="137"/>
      </c>
      <c r="AI507" s="86">
        <f t="shared" si="138"/>
      </c>
    </row>
    <row r="508" spans="6:35" x14ac:dyDescent="0.3">
      <c r="F508" s="26">
        <f>IF(G508=1,MAX($F$4:F507)+1,"")</f>
        <v/>
      </c>
      <c r="G508" s="26">
        <f>COUNTIF($H$5:H508,H508)</f>
      </c>
      <c r="H508" s="26">
        <f t="shared" si="139"/>
      </c>
      <c r="I508" s="26">
        <f>COUNTIF($J$4:$J508,1)</f>
      </c>
      <c r="J508" s="26">
        <f>COUNTIF($S$5:$S508,S508)</f>
      </c>
      <c r="K508" s="26">
        <f t="shared" si="128"/>
      </c>
      <c r="L508" s="26">
        <f>IFERROR(IF(P508=0,0,MAX($L$4:L507)+1),0)</f>
      </c>
      <c r="M508" s="5">
        <f t="shared" si="140"/>
      </c>
      <c r="N508" s="5">
        <f t="shared" si="141"/>
      </c>
      <c r="P508" s="86">
        <f t="shared" si="129"/>
      </c>
      <c r="Q508" s="86">
        <f t="shared" si="130"/>
      </c>
      <c r="R508" s="86">
        <f t="shared" si="131"/>
      </c>
      <c r="S508" s="86">
        <f t="shared" si="132"/>
      </c>
      <c r="T508" s="86">
        <f t="shared" si="142"/>
        <v/>
      </c>
      <c r="U508" s="86">
        <f t="shared" si="143"/>
        <v/>
      </c>
      <c r="V508" s="86">
        <f t="shared" si="144"/>
        <v/>
      </c>
      <c r="W508" s="87">
        <f t="shared" si="133"/>
      </c>
      <c r="X508" s="88"/>
      <c r="Y508" s="88"/>
      <c r="Z508" s="88"/>
      <c r="AA508" s="88"/>
      <c r="AB508" s="88"/>
      <c r="AD508" s="86">
        <f t="shared" si="134"/>
      </c>
      <c r="AE508" s="86">
        <f t="shared" si="135"/>
      </c>
      <c r="AG508" s="86">
        <f t="shared" si="136"/>
      </c>
      <c r="AH508" s="86">
        <f t="shared" si="137"/>
      </c>
      <c r="AI508" s="86">
        <f t="shared" si="138"/>
      </c>
    </row>
    <row r="509" spans="6:35" x14ac:dyDescent="0.3">
      <c r="F509" s="26">
        <f>IF(G509=1,MAX($F$4:F508)+1,"")</f>
        <v/>
      </c>
      <c r="G509" s="26">
        <f>COUNTIF($H$5:H509,H509)</f>
      </c>
      <c r="H509" s="26">
        <f t="shared" si="139"/>
      </c>
      <c r="I509" s="26">
        <f>COUNTIF($J$4:$J509,1)</f>
      </c>
      <c r="J509" s="26">
        <f>COUNTIF($S$5:$S509,S509)</f>
      </c>
      <c r="K509" s="26">
        <f t="shared" si="128"/>
      </c>
      <c r="L509" s="26">
        <f>IFERROR(IF(P509=0,0,MAX($L$4:L508)+1),0)</f>
      </c>
      <c r="M509" s="5">
        <f t="shared" si="140"/>
      </c>
      <c r="N509" s="5">
        <f t="shared" si="141"/>
      </c>
      <c r="P509" s="86">
        <f t="shared" si="129"/>
      </c>
      <c r="Q509" s="86">
        <f t="shared" si="130"/>
      </c>
      <c r="R509" s="86">
        <f t="shared" si="131"/>
      </c>
      <c r="S509" s="86">
        <f t="shared" si="132"/>
      </c>
      <c r="T509" s="86">
        <f t="shared" si="142"/>
        <v/>
      </c>
      <c r="U509" s="86">
        <f t="shared" si="143"/>
        <v/>
      </c>
      <c r="V509" s="86">
        <f t="shared" si="144"/>
        <v/>
      </c>
      <c r="W509" s="87">
        <f t="shared" si="133"/>
      </c>
      <c r="X509" s="88"/>
      <c r="Y509" s="88"/>
      <c r="Z509" s="88"/>
      <c r="AA509" s="88"/>
      <c r="AB509" s="88"/>
      <c r="AD509" s="86">
        <f t="shared" si="134"/>
      </c>
      <c r="AE509" s="86">
        <f t="shared" si="135"/>
      </c>
      <c r="AG509" s="86">
        <f t="shared" si="136"/>
      </c>
      <c r="AH509" s="86">
        <f t="shared" si="137"/>
      </c>
      <c r="AI509" s="86">
        <f t="shared" si="138"/>
      </c>
    </row>
    <row r="510" spans="6:35" x14ac:dyDescent="0.3">
      <c r="F510" s="26">
        <f>IF(G510=1,MAX($F$4:F509)+1,"")</f>
        <v/>
      </c>
      <c r="G510" s="26">
        <f>COUNTIF($H$5:H510,H510)</f>
      </c>
      <c r="H510" s="26">
        <f t="shared" si="139"/>
      </c>
      <c r="I510" s="26">
        <f>COUNTIF($J$4:$J510,1)</f>
      </c>
      <c r="J510" s="26">
        <f>COUNTIF($S$5:$S510,S510)</f>
      </c>
      <c r="K510" s="26">
        <f t="shared" si="128"/>
      </c>
      <c r="L510" s="26">
        <f>IFERROR(IF(P510=0,0,MAX($L$4:L509)+1),0)</f>
      </c>
      <c r="M510" s="5">
        <f t="shared" si="140"/>
      </c>
      <c r="N510" s="5">
        <f t="shared" si="141"/>
      </c>
      <c r="P510" s="86">
        <f t="shared" si="129"/>
      </c>
      <c r="Q510" s="86">
        <f t="shared" si="130"/>
      </c>
      <c r="R510" s="86">
        <f t="shared" si="131"/>
      </c>
      <c r="S510" s="86">
        <f t="shared" si="132"/>
      </c>
      <c r="T510" s="86">
        <f t="shared" si="142"/>
        <v/>
      </c>
      <c r="U510" s="86">
        <f t="shared" si="143"/>
        <v/>
      </c>
      <c r="V510" s="86">
        <f t="shared" si="144"/>
        <v/>
      </c>
      <c r="W510" s="87">
        <f t="shared" si="133"/>
      </c>
      <c r="X510" s="88"/>
      <c r="Y510" s="88"/>
      <c r="Z510" s="88"/>
      <c r="AA510" s="88"/>
      <c r="AB510" s="88"/>
      <c r="AD510" s="86">
        <f t="shared" si="134"/>
      </c>
      <c r="AE510" s="86">
        <f t="shared" si="135"/>
      </c>
      <c r="AG510" s="86">
        <f t="shared" si="136"/>
      </c>
      <c r="AH510" s="86">
        <f t="shared" si="137"/>
      </c>
      <c r="AI510" s="86">
        <f t="shared" si="138"/>
      </c>
    </row>
    <row r="511" spans="6:35" x14ac:dyDescent="0.3">
      <c r="F511" s="26">
        <f>IF(G511=1,MAX($F$4:F510)+1,"")</f>
        <v/>
      </c>
      <c r="G511" s="26">
        <f>COUNTIF($H$5:H511,H511)</f>
      </c>
      <c r="H511" s="26">
        <f t="shared" si="139"/>
      </c>
      <c r="I511" s="26">
        <f>COUNTIF($J$4:$J511,1)</f>
      </c>
      <c r="J511" s="26">
        <f>COUNTIF($S$5:$S511,S511)</f>
      </c>
      <c r="K511" s="26">
        <f t="shared" si="128"/>
      </c>
      <c r="L511" s="26">
        <f>IFERROR(IF(P511=0,0,MAX($L$4:L510)+1),0)</f>
      </c>
      <c r="M511" s="5">
        <f t="shared" si="140"/>
      </c>
      <c r="N511" s="5">
        <f t="shared" si="141"/>
      </c>
      <c r="P511" s="86">
        <f t="shared" si="129"/>
      </c>
      <c r="Q511" s="86">
        <f t="shared" si="130"/>
      </c>
      <c r="R511" s="86">
        <f t="shared" si="131"/>
      </c>
      <c r="S511" s="86">
        <f t="shared" si="132"/>
      </c>
      <c r="T511" s="86">
        <f t="shared" si="142"/>
        <v/>
      </c>
      <c r="U511" s="86">
        <f t="shared" si="143"/>
        <v/>
      </c>
      <c r="V511" s="86">
        <f t="shared" si="144"/>
        <v/>
      </c>
      <c r="W511" s="87">
        <f t="shared" si="133"/>
      </c>
      <c r="X511" s="88"/>
      <c r="Y511" s="88"/>
      <c r="Z511" s="88"/>
      <c r="AA511" s="88"/>
      <c r="AB511" s="88"/>
      <c r="AD511" s="86">
        <f t="shared" si="134"/>
      </c>
      <c r="AE511" s="86">
        <f t="shared" si="135"/>
      </c>
      <c r="AG511" s="86">
        <f t="shared" si="136"/>
      </c>
      <c r="AH511" s="86">
        <f t="shared" si="137"/>
      </c>
      <c r="AI511" s="86">
        <f t="shared" si="138"/>
      </c>
    </row>
    <row r="512" spans="6:35" x14ac:dyDescent="0.3">
      <c r="F512" s="26">
        <f>IF(G512=1,MAX($F$4:F511)+1,"")</f>
        <v/>
      </c>
      <c r="G512" s="26">
        <f>COUNTIF($H$5:H512,H512)</f>
      </c>
      <c r="H512" s="26">
        <f t="shared" si="139"/>
      </c>
      <c r="I512" s="26">
        <f>COUNTIF($J$4:$J512,1)</f>
      </c>
      <c r="J512" s="26">
        <f>COUNTIF($S$5:$S512,S512)</f>
      </c>
      <c r="K512" s="26">
        <f t="shared" si="128"/>
      </c>
      <c r="L512" s="26">
        <f>IFERROR(IF(P512=0,0,MAX($L$4:L511)+1),0)</f>
      </c>
      <c r="M512" s="5">
        <f t="shared" si="140"/>
      </c>
      <c r="N512" s="5">
        <f t="shared" si="141"/>
      </c>
      <c r="P512" s="86">
        <f t="shared" si="129"/>
      </c>
      <c r="Q512" s="86">
        <f t="shared" si="130"/>
      </c>
      <c r="R512" s="86">
        <f t="shared" si="131"/>
      </c>
      <c r="S512" s="86">
        <f t="shared" si="132"/>
      </c>
      <c r="T512" s="86">
        <f t="shared" si="142"/>
        <v/>
      </c>
      <c r="U512" s="86">
        <f t="shared" si="143"/>
        <v/>
      </c>
      <c r="V512" s="86">
        <f t="shared" si="144"/>
        <v/>
      </c>
      <c r="W512" s="87">
        <f t="shared" si="133"/>
      </c>
      <c r="X512" s="88"/>
      <c r="Y512" s="88"/>
      <c r="Z512" s="88"/>
      <c r="AA512" s="88"/>
      <c r="AB512" s="88"/>
      <c r="AD512" s="86">
        <f t="shared" si="134"/>
      </c>
      <c r="AE512" s="86">
        <f t="shared" si="135"/>
      </c>
      <c r="AG512" s="86">
        <f t="shared" si="136"/>
      </c>
      <c r="AH512" s="86">
        <f t="shared" si="137"/>
      </c>
      <c r="AI512" s="86">
        <f t="shared" si="138"/>
      </c>
    </row>
    <row r="513" spans="6:35" x14ac:dyDescent="0.3">
      <c r="F513" s="26">
        <f>IF(G513=1,MAX($F$4:F512)+1,"")</f>
        <v/>
      </c>
      <c r="G513" s="26">
        <f>COUNTIF($H$5:H513,H513)</f>
      </c>
      <c r="H513" s="26">
        <f t="shared" si="139"/>
      </c>
      <c r="I513" s="26">
        <f>COUNTIF($J$4:$J513,1)</f>
      </c>
      <c r="J513" s="26">
        <f>COUNTIF($S$5:$S513,S513)</f>
      </c>
      <c r="K513" s="26">
        <f t="shared" si="128"/>
      </c>
      <c r="L513" s="26">
        <f>IFERROR(IF(P513=0,0,MAX($L$4:L512)+1),0)</f>
      </c>
      <c r="M513" s="5">
        <f t="shared" si="140"/>
      </c>
      <c r="N513" s="5">
        <f t="shared" si="141"/>
      </c>
      <c r="P513" s="86">
        <f t="shared" si="129"/>
      </c>
      <c r="Q513" s="86">
        <f t="shared" si="130"/>
      </c>
      <c r="R513" s="86">
        <f t="shared" si="131"/>
      </c>
      <c r="S513" s="86">
        <f t="shared" si="132"/>
      </c>
      <c r="T513" s="86">
        <f t="shared" si="142"/>
        <v/>
      </c>
      <c r="U513" s="86">
        <f t="shared" si="143"/>
        <v/>
      </c>
      <c r="V513" s="86">
        <f t="shared" si="144"/>
        <v/>
      </c>
      <c r="W513" s="87">
        <f t="shared" si="133"/>
      </c>
      <c r="X513" s="88"/>
      <c r="Y513" s="88"/>
      <c r="Z513" s="88"/>
      <c r="AA513" s="88"/>
      <c r="AB513" s="88"/>
      <c r="AD513" s="86">
        <f t="shared" si="134"/>
      </c>
      <c r="AE513" s="86">
        <f t="shared" si="135"/>
      </c>
      <c r="AG513" s="86">
        <f t="shared" si="136"/>
      </c>
      <c r="AH513" s="86">
        <f t="shared" si="137"/>
      </c>
      <c r="AI513" s="86">
        <f t="shared" si="138"/>
      </c>
    </row>
    <row r="514" spans="6:35" x14ac:dyDescent="0.3">
      <c r="F514" s="26">
        <f>IF(G514=1,MAX($F$4:F513)+1,"")</f>
        <v/>
      </c>
      <c r="G514" s="26">
        <f>COUNTIF($H$5:H514,H514)</f>
      </c>
      <c r="H514" s="26">
        <f t="shared" si="139"/>
      </c>
      <c r="I514" s="26">
        <f>COUNTIF($J$4:$J514,1)</f>
      </c>
      <c r="J514" s="26">
        <f>COUNTIF($S$5:$S514,S514)</f>
      </c>
      <c r="K514" s="26">
        <f t="shared" si="128"/>
      </c>
      <c r="L514" s="26">
        <f>IFERROR(IF(P514=0,0,MAX($L$4:L513)+1),0)</f>
      </c>
      <c r="M514" s="5">
        <f t="shared" si="140"/>
      </c>
      <c r="N514" s="5">
        <f t="shared" si="141"/>
      </c>
      <c r="P514" s="86">
        <f t="shared" si="129"/>
      </c>
      <c r="Q514" s="86">
        <f t="shared" si="130"/>
      </c>
      <c r="R514" s="86">
        <f t="shared" si="131"/>
      </c>
      <c r="S514" s="86">
        <f t="shared" si="132"/>
      </c>
      <c r="T514" s="86">
        <f t="shared" si="142"/>
        <v/>
      </c>
      <c r="U514" s="86">
        <f t="shared" si="143"/>
        <v/>
      </c>
      <c r="V514" s="86">
        <f t="shared" si="144"/>
        <v/>
      </c>
      <c r="W514" s="87">
        <f t="shared" si="133"/>
      </c>
      <c r="X514" s="88"/>
      <c r="Y514" s="88"/>
      <c r="Z514" s="88"/>
      <c r="AA514" s="88"/>
      <c r="AB514" s="88"/>
      <c r="AD514" s="86">
        <f t="shared" si="134"/>
      </c>
      <c r="AE514" s="86">
        <f t="shared" si="135"/>
      </c>
      <c r="AG514" s="86">
        <f t="shared" si="136"/>
      </c>
      <c r="AH514" s="86">
        <f t="shared" si="137"/>
      </c>
      <c r="AI514" s="86">
        <f t="shared" si="138"/>
      </c>
    </row>
    <row r="515" spans="6:35" x14ac:dyDescent="0.3">
      <c r="F515" s="26">
        <f>IF(G515=1,MAX($F$4:F514)+1,"")</f>
        <v/>
      </c>
      <c r="G515" s="26">
        <f>COUNTIF($H$5:H515,H515)</f>
      </c>
      <c r="H515" s="26">
        <f t="shared" si="139"/>
      </c>
      <c r="I515" s="26">
        <f>COUNTIF($J$4:$J515,1)</f>
      </c>
      <c r="J515" s="26">
        <f>COUNTIF($S$5:$S515,S515)</f>
      </c>
      <c r="K515" s="26">
        <f t="shared" si="128"/>
      </c>
      <c r="L515" s="26">
        <f>IFERROR(IF(P515=0,0,MAX($L$4:L514)+1),0)</f>
      </c>
      <c r="M515" s="5">
        <f t="shared" si="140"/>
      </c>
      <c r="N515" s="5">
        <f t="shared" si="141"/>
      </c>
      <c r="P515" s="86">
        <f t="shared" si="129"/>
      </c>
      <c r="Q515" s="86">
        <f t="shared" si="130"/>
      </c>
      <c r="R515" s="86">
        <f t="shared" si="131"/>
      </c>
      <c r="S515" s="86">
        <f t="shared" si="132"/>
      </c>
      <c r="T515" s="86">
        <f t="shared" si="142"/>
        <v/>
      </c>
      <c r="U515" s="86">
        <f t="shared" si="143"/>
        <v/>
      </c>
      <c r="V515" s="86">
        <f t="shared" si="144"/>
        <v/>
      </c>
      <c r="W515" s="87">
        <f t="shared" si="133"/>
      </c>
      <c r="X515" s="88"/>
      <c r="Y515" s="88"/>
      <c r="Z515" s="88"/>
      <c r="AA515" s="88"/>
      <c r="AB515" s="88"/>
      <c r="AD515" s="86">
        <f t="shared" si="134"/>
      </c>
      <c r="AE515" s="86">
        <f t="shared" si="135"/>
      </c>
      <c r="AG515" s="86">
        <f t="shared" si="136"/>
      </c>
      <c r="AH515" s="86">
        <f t="shared" si="137"/>
      </c>
      <c r="AI515" s="86">
        <f t="shared" si="138"/>
      </c>
    </row>
    <row r="516" spans="6:35" x14ac:dyDescent="0.3">
      <c r="F516" s="26">
        <f>IF(G516=1,MAX($F$4:F515)+1,"")</f>
        <v/>
      </c>
      <c r="G516" s="26">
        <f>COUNTIF($H$5:H516,H516)</f>
      </c>
      <c r="H516" s="26">
        <f t="shared" si="139"/>
      </c>
      <c r="I516" s="26">
        <f>COUNTIF($J$4:$J516,1)</f>
      </c>
      <c r="J516" s="26">
        <f>COUNTIF($S$5:$S516,S516)</f>
      </c>
      <c r="K516" s="26">
        <f t="shared" si="128"/>
      </c>
      <c r="L516" s="26">
        <f>IFERROR(IF(P516=0,0,MAX($L$4:L515)+1),0)</f>
      </c>
      <c r="M516" s="5">
        <f t="shared" si="140"/>
      </c>
      <c r="N516" s="5">
        <f t="shared" si="141"/>
      </c>
      <c r="P516" s="86">
        <f t="shared" si="129"/>
      </c>
      <c r="Q516" s="86">
        <f t="shared" si="130"/>
      </c>
      <c r="R516" s="86">
        <f t="shared" si="131"/>
      </c>
      <c r="S516" s="86">
        <f t="shared" si="132"/>
      </c>
      <c r="T516" s="86">
        <f t="shared" si="142"/>
        <v/>
      </c>
      <c r="U516" s="86">
        <f t="shared" si="143"/>
        <v/>
      </c>
      <c r="V516" s="86">
        <f t="shared" si="144"/>
        <v/>
      </c>
      <c r="W516" s="87">
        <f t="shared" si="133"/>
      </c>
      <c r="X516" s="88"/>
      <c r="Y516" s="88"/>
      <c r="Z516" s="88"/>
      <c r="AA516" s="88"/>
      <c r="AB516" s="88"/>
      <c r="AD516" s="86">
        <f t="shared" si="134"/>
      </c>
      <c r="AE516" s="86">
        <f t="shared" si="135"/>
      </c>
      <c r="AG516" s="86">
        <f t="shared" si="136"/>
      </c>
      <c r="AH516" s="86">
        <f t="shared" si="137"/>
      </c>
      <c r="AI516" s="86">
        <f t="shared" si="138"/>
      </c>
    </row>
    <row r="517" spans="6:35" x14ac:dyDescent="0.3">
      <c r="F517" s="26">
        <f>IF(G517=1,MAX($F$4:F516)+1,"")</f>
        <v/>
      </c>
      <c r="G517" s="26">
        <f>COUNTIF($H$5:H517,H517)</f>
      </c>
      <c r="H517" s="26">
        <f t="shared" si="139"/>
      </c>
      <c r="I517" s="26">
        <f>COUNTIF($J$4:$J517,1)</f>
      </c>
      <c r="J517" s="26">
        <f>COUNTIF($S$5:$S517,S517)</f>
      </c>
      <c r="K517" s="26">
        <f t="shared" ref="K517:K580" si="145">VLOOKUP(P517,Исходные_данные,19,FALSE)</f>
      </c>
      <c r="L517" s="26">
        <f>IFERROR(IF(P517=0,0,MAX($L$4:L516)+1),0)</f>
      </c>
      <c r="M517" s="5">
        <f t="shared" si="140"/>
      </c>
      <c r="N517" s="5">
        <f t="shared" si="141"/>
      </c>
      <c r="P517" s="86">
        <f t="shared" ref="P517:P580" si="146">VLOOKUP(ROW(513:513),Разбивка_нумерация_5,4,FALSE)</f>
      </c>
      <c r="Q517" s="86">
        <f t="shared" ref="Q517:Q580" si="147">IF(VLOOKUP(ROW(513:513),Разбивка_нумерация_5,3,FALSE)=0,VLOOKUP(ROW(513:513),Разбивка_нумерация_5,2,FALSE),VLOOKUP(ROW(513:513),Разбивка_нумерация_5,3,FALSE))</f>
      </c>
      <c r="R517" s="86">
        <f t="shared" ref="R517:R580" si="148">VLOOKUP(ROW(513:513),Разбивка_нумерация_5,6,FALSE)</f>
      </c>
      <c r="S517" s="86">
        <f t="shared" ref="S517:S580" si="149">VLOOKUP(ROW(513:513),Разбивка_нумерация_5,17,FALSE)</f>
      </c>
      <c r="T517" s="86">
        <f t="shared" si="142"/>
        <v/>
      </c>
      <c r="U517" s="86">
        <f t="shared" si="143"/>
        <v/>
      </c>
      <c r="V517" s="86">
        <f t="shared" si="144"/>
        <v/>
      </c>
      <c r="W517" s="87">
        <f t="shared" ref="W517:W580" si="150">VLOOKUP(P517,Исходные_данные,13,FALSE)</f>
      </c>
      <c r="X517" s="88"/>
      <c r="Y517" s="88"/>
      <c r="Z517" s="88"/>
      <c r="AA517" s="88"/>
      <c r="AB517" s="88"/>
      <c r="AD517" s="86">
        <f t="shared" ref="AD517:AD580" si="151">VLOOKUP(S517,Кабель_диаметр,4,FALSE)</f>
      </c>
      <c r="AE517" s="86">
        <f t="shared" ref="AE517:AE580" si="152">VLOOKUP(S517,Кабель_диаметр,5,FALSE)</f>
      </c>
      <c r="AG517" s="86">
        <f t="shared" ref="AG517:AG580" si="153">IFERROR(VLOOKUP(P517,Исходные_данные,10,FALSE),0)</f>
      </c>
      <c r="AH517" s="86">
        <f t="shared" ref="AH517:AH580" si="154">IFERROR(VLOOKUP(P517,Исходные_данные,11,FALSE),0)</f>
      </c>
      <c r="AI517" s="86">
        <f t="shared" ref="AI517:AI580" si="155">IFERROR(VLOOKUP(P517,Исходные_данные,12,FALSE),0)</f>
      </c>
    </row>
    <row r="518" spans="6:35" x14ac:dyDescent="0.3">
      <c r="F518" s="26">
        <f>IF(G518=1,MAX($F$4:F517)+1,"")</f>
        <v/>
      </c>
      <c r="G518" s="26">
        <f>COUNTIF($H$5:H518,H518)</f>
      </c>
      <c r="H518" s="26">
        <f t="shared" ref="H518:H581" si="156">S518&amp;" "&amp;K518</f>
      </c>
      <c r="I518" s="26">
        <f>COUNTIF($J$4:$J518,1)</f>
      </c>
      <c r="J518" s="26">
        <f>COUNTIF($S$5:$S518,S518)</f>
      </c>
      <c r="K518" s="26">
        <f t="shared" si="145"/>
      </c>
      <c r="L518" s="26">
        <f>IFERROR(IF(P518=0,0,MAX($L$4:L517)+1),0)</f>
      </c>
      <c r="M518" s="5">
        <f t="shared" ref="M518:M581" si="157">LEFT(P518,SEARCH(".",P518)-1)</f>
      </c>
      <c r="N518" s="5">
        <f t="shared" ref="N518:N581" si="158">LEFT(RIGHT(P518,LEN(P518)-LEN(M518)-1),SEARCH(".",P518)-1)</f>
      </c>
      <c r="P518" s="86">
        <f t="shared" si="146"/>
      </c>
      <c r="Q518" s="86">
        <f t="shared" si="147"/>
      </c>
      <c r="R518" s="86">
        <f t="shared" si="148"/>
      </c>
      <c r="S518" s="86">
        <f t="shared" si="149"/>
      </c>
      <c r="T518" s="86">
        <f t="shared" ref="T518:T581" si="159">IF(AG518=0,"","L="&amp;AG518)</f>
        <v/>
      </c>
      <c r="U518" s="86">
        <f t="shared" ref="U518:U581" si="160">IF(AH518=0,"",AD518&amp;" L="&amp;AH518)</f>
        <v/>
      </c>
      <c r="V518" s="86">
        <f t="shared" ref="V518:V581" si="161">IF(AI518=0,"",AE518&amp;" L="&amp;AI518)</f>
        <v/>
      </c>
      <c r="W518" s="87">
        <f t="shared" si="150"/>
      </c>
      <c r="X518" s="88"/>
      <c r="Y518" s="88"/>
      <c r="Z518" s="88"/>
      <c r="AA518" s="88"/>
      <c r="AB518" s="88"/>
      <c r="AD518" s="86">
        <f t="shared" si="151"/>
      </c>
      <c r="AE518" s="86">
        <f t="shared" si="152"/>
      </c>
      <c r="AG518" s="86">
        <f t="shared" si="153"/>
      </c>
      <c r="AH518" s="86">
        <f t="shared" si="154"/>
      </c>
      <c r="AI518" s="86">
        <f t="shared" si="155"/>
      </c>
    </row>
    <row r="519" spans="6:35" x14ac:dyDescent="0.3">
      <c r="F519" s="26">
        <f>IF(G519=1,MAX($F$4:F518)+1,"")</f>
        <v/>
      </c>
      <c r="G519" s="26">
        <f>COUNTIF($H$5:H519,H519)</f>
      </c>
      <c r="H519" s="26">
        <f t="shared" si="156"/>
      </c>
      <c r="I519" s="26">
        <f>COUNTIF($J$4:$J519,1)</f>
      </c>
      <c r="J519" s="26">
        <f>COUNTIF($S$5:$S519,S519)</f>
      </c>
      <c r="K519" s="26">
        <f t="shared" si="145"/>
      </c>
      <c r="L519" s="26">
        <f>IFERROR(IF(P519=0,0,MAX($L$4:L518)+1),0)</f>
      </c>
      <c r="M519" s="5">
        <f t="shared" si="157"/>
      </c>
      <c r="N519" s="5">
        <f t="shared" si="158"/>
      </c>
      <c r="P519" s="86">
        <f t="shared" si="146"/>
      </c>
      <c r="Q519" s="86">
        <f t="shared" si="147"/>
      </c>
      <c r="R519" s="86">
        <f t="shared" si="148"/>
      </c>
      <c r="S519" s="86">
        <f t="shared" si="149"/>
      </c>
      <c r="T519" s="86">
        <f t="shared" si="159"/>
        <v/>
      </c>
      <c r="U519" s="86">
        <f t="shared" si="160"/>
        <v/>
      </c>
      <c r="V519" s="86">
        <f t="shared" si="161"/>
        <v/>
      </c>
      <c r="W519" s="87">
        <f t="shared" si="150"/>
      </c>
      <c r="X519" s="88"/>
      <c r="Y519" s="88"/>
      <c r="Z519" s="88"/>
      <c r="AA519" s="88"/>
      <c r="AB519" s="88"/>
      <c r="AD519" s="86">
        <f t="shared" si="151"/>
      </c>
      <c r="AE519" s="86">
        <f t="shared" si="152"/>
      </c>
      <c r="AG519" s="86">
        <f t="shared" si="153"/>
      </c>
      <c r="AH519" s="86">
        <f t="shared" si="154"/>
      </c>
      <c r="AI519" s="86">
        <f t="shared" si="155"/>
      </c>
    </row>
    <row r="520" spans="6:35" x14ac:dyDescent="0.3">
      <c r="F520" s="26">
        <f>IF(G520=1,MAX($F$4:F519)+1,"")</f>
        <v/>
      </c>
      <c r="G520" s="26">
        <f>COUNTIF($H$5:H520,H520)</f>
      </c>
      <c r="H520" s="26">
        <f t="shared" si="156"/>
      </c>
      <c r="I520" s="26">
        <f>COUNTIF($J$4:$J520,1)</f>
      </c>
      <c r="J520" s="26">
        <f>COUNTIF($S$5:$S520,S520)</f>
      </c>
      <c r="K520" s="26">
        <f t="shared" si="145"/>
      </c>
      <c r="L520" s="26">
        <f>IFERROR(IF(P520=0,0,MAX($L$4:L519)+1),0)</f>
      </c>
      <c r="M520" s="5">
        <f t="shared" si="157"/>
      </c>
      <c r="N520" s="5">
        <f t="shared" si="158"/>
      </c>
      <c r="P520" s="86">
        <f t="shared" si="146"/>
      </c>
      <c r="Q520" s="86">
        <f t="shared" si="147"/>
      </c>
      <c r="R520" s="86">
        <f t="shared" si="148"/>
      </c>
      <c r="S520" s="86">
        <f t="shared" si="149"/>
      </c>
      <c r="T520" s="86">
        <f t="shared" si="159"/>
        <v/>
      </c>
      <c r="U520" s="86">
        <f t="shared" si="160"/>
        <v/>
      </c>
      <c r="V520" s="86">
        <f t="shared" si="161"/>
        <v/>
      </c>
      <c r="W520" s="87">
        <f t="shared" si="150"/>
      </c>
      <c r="X520" s="88"/>
      <c r="Y520" s="88"/>
      <c r="Z520" s="88"/>
      <c r="AA520" s="88"/>
      <c r="AB520" s="88"/>
      <c r="AD520" s="86">
        <f t="shared" si="151"/>
      </c>
      <c r="AE520" s="86">
        <f t="shared" si="152"/>
      </c>
      <c r="AG520" s="86">
        <f t="shared" si="153"/>
      </c>
      <c r="AH520" s="86">
        <f t="shared" si="154"/>
      </c>
      <c r="AI520" s="86">
        <f t="shared" si="155"/>
      </c>
    </row>
    <row r="521" spans="6:35" x14ac:dyDescent="0.3">
      <c r="F521" s="26">
        <f>IF(G521=1,MAX($F$4:F520)+1,"")</f>
        <v/>
      </c>
      <c r="G521" s="26">
        <f>COUNTIF($H$5:H521,H521)</f>
      </c>
      <c r="H521" s="26">
        <f t="shared" si="156"/>
      </c>
      <c r="I521" s="26">
        <f>COUNTIF($J$4:$J521,1)</f>
      </c>
      <c r="J521" s="26">
        <f>COUNTIF($S$5:$S521,S521)</f>
      </c>
      <c r="K521" s="26">
        <f t="shared" si="145"/>
      </c>
      <c r="L521" s="26">
        <f>IFERROR(IF(P521=0,0,MAX($L$4:L520)+1),0)</f>
      </c>
      <c r="M521" s="5">
        <f t="shared" si="157"/>
      </c>
      <c r="N521" s="5">
        <f t="shared" si="158"/>
      </c>
      <c r="P521" s="86">
        <f t="shared" si="146"/>
      </c>
      <c r="Q521" s="86">
        <f t="shared" si="147"/>
      </c>
      <c r="R521" s="86">
        <f t="shared" si="148"/>
      </c>
      <c r="S521" s="86">
        <f t="shared" si="149"/>
      </c>
      <c r="T521" s="86">
        <f t="shared" si="159"/>
        <v/>
      </c>
      <c r="U521" s="86">
        <f t="shared" si="160"/>
        <v/>
      </c>
      <c r="V521" s="86">
        <f t="shared" si="161"/>
        <v/>
      </c>
      <c r="W521" s="87">
        <f t="shared" si="150"/>
      </c>
      <c r="X521" s="88"/>
      <c r="Y521" s="88"/>
      <c r="Z521" s="88"/>
      <c r="AA521" s="88"/>
      <c r="AB521" s="88"/>
      <c r="AD521" s="86">
        <f t="shared" si="151"/>
      </c>
      <c r="AE521" s="86">
        <f t="shared" si="152"/>
      </c>
      <c r="AG521" s="86">
        <f t="shared" si="153"/>
      </c>
      <c r="AH521" s="86">
        <f t="shared" si="154"/>
      </c>
      <c r="AI521" s="86">
        <f t="shared" si="155"/>
      </c>
    </row>
    <row r="522" spans="6:35" x14ac:dyDescent="0.3">
      <c r="F522" s="26">
        <f>IF(G522=1,MAX($F$4:F521)+1,"")</f>
        <v/>
      </c>
      <c r="G522" s="26">
        <f>COUNTIF($H$5:H522,H522)</f>
      </c>
      <c r="H522" s="26">
        <f t="shared" si="156"/>
      </c>
      <c r="I522" s="26">
        <f>COUNTIF($J$4:$J522,1)</f>
      </c>
      <c r="J522" s="26">
        <f>COUNTIF($S$5:$S522,S522)</f>
      </c>
      <c r="K522" s="26">
        <f t="shared" si="145"/>
      </c>
      <c r="L522" s="26">
        <f>IFERROR(IF(P522=0,0,MAX($L$4:L521)+1),0)</f>
      </c>
      <c r="M522" s="5">
        <f t="shared" si="157"/>
      </c>
      <c r="N522" s="5">
        <f t="shared" si="158"/>
      </c>
      <c r="P522" s="86">
        <f t="shared" si="146"/>
      </c>
      <c r="Q522" s="86">
        <f t="shared" si="147"/>
      </c>
      <c r="R522" s="86">
        <f t="shared" si="148"/>
      </c>
      <c r="S522" s="86">
        <f t="shared" si="149"/>
      </c>
      <c r="T522" s="86">
        <f t="shared" si="159"/>
        <v/>
      </c>
      <c r="U522" s="86">
        <f t="shared" si="160"/>
        <v/>
      </c>
      <c r="V522" s="86">
        <f t="shared" si="161"/>
        <v/>
      </c>
      <c r="W522" s="87">
        <f t="shared" si="150"/>
      </c>
      <c r="X522" s="88"/>
      <c r="Y522" s="88"/>
      <c r="Z522" s="88"/>
      <c r="AA522" s="88"/>
      <c r="AB522" s="88"/>
      <c r="AD522" s="86">
        <f t="shared" si="151"/>
      </c>
      <c r="AE522" s="86">
        <f t="shared" si="152"/>
      </c>
      <c r="AG522" s="86">
        <f t="shared" si="153"/>
      </c>
      <c r="AH522" s="86">
        <f t="shared" si="154"/>
      </c>
      <c r="AI522" s="86">
        <f t="shared" si="155"/>
      </c>
    </row>
    <row r="523" spans="6:35" x14ac:dyDescent="0.3">
      <c r="F523" s="26">
        <f>IF(G523=1,MAX($F$4:F522)+1,"")</f>
        <v/>
      </c>
      <c r="G523" s="26">
        <f>COUNTIF($H$5:H523,H523)</f>
      </c>
      <c r="H523" s="26">
        <f t="shared" si="156"/>
      </c>
      <c r="I523" s="26">
        <f>COUNTIF($J$4:$J523,1)</f>
      </c>
      <c r="J523" s="26">
        <f>COUNTIF($S$5:$S523,S523)</f>
      </c>
      <c r="K523" s="26">
        <f t="shared" si="145"/>
      </c>
      <c r="L523" s="26">
        <f>IFERROR(IF(P523=0,0,MAX($L$4:L522)+1),0)</f>
      </c>
      <c r="M523" s="5">
        <f t="shared" si="157"/>
      </c>
      <c r="N523" s="5">
        <f t="shared" si="158"/>
      </c>
      <c r="P523" s="86">
        <f t="shared" si="146"/>
      </c>
      <c r="Q523" s="86">
        <f t="shared" si="147"/>
      </c>
      <c r="R523" s="86">
        <f t="shared" si="148"/>
      </c>
      <c r="S523" s="86">
        <f t="shared" si="149"/>
      </c>
      <c r="T523" s="86">
        <f t="shared" si="159"/>
        <v/>
      </c>
      <c r="U523" s="86">
        <f t="shared" si="160"/>
        <v/>
      </c>
      <c r="V523" s="86">
        <f t="shared" si="161"/>
        <v/>
      </c>
      <c r="W523" s="87">
        <f t="shared" si="150"/>
      </c>
      <c r="X523" s="88"/>
      <c r="Y523" s="88"/>
      <c r="Z523" s="88"/>
      <c r="AA523" s="88"/>
      <c r="AB523" s="88"/>
      <c r="AD523" s="86">
        <f t="shared" si="151"/>
      </c>
      <c r="AE523" s="86">
        <f t="shared" si="152"/>
      </c>
      <c r="AG523" s="86">
        <f t="shared" si="153"/>
      </c>
      <c r="AH523" s="86">
        <f t="shared" si="154"/>
      </c>
      <c r="AI523" s="86">
        <f t="shared" si="155"/>
      </c>
    </row>
    <row r="524" spans="6:35" x14ac:dyDescent="0.3">
      <c r="F524" s="26">
        <f>IF(G524=1,MAX($F$4:F523)+1,"")</f>
        <v/>
      </c>
      <c r="G524" s="26">
        <f>COUNTIF($H$5:H524,H524)</f>
      </c>
      <c r="H524" s="26">
        <f t="shared" si="156"/>
      </c>
      <c r="I524" s="26">
        <f>COUNTIF($J$4:$J524,1)</f>
      </c>
      <c r="J524" s="26">
        <f>COUNTIF($S$5:$S524,S524)</f>
      </c>
      <c r="K524" s="26">
        <f t="shared" si="145"/>
      </c>
      <c r="L524" s="26">
        <f>IFERROR(IF(P524=0,0,MAX($L$4:L523)+1),0)</f>
      </c>
      <c r="M524" s="5">
        <f t="shared" si="157"/>
      </c>
      <c r="N524" s="5">
        <f t="shared" si="158"/>
      </c>
      <c r="P524" s="86">
        <f t="shared" si="146"/>
      </c>
      <c r="Q524" s="86">
        <f t="shared" si="147"/>
      </c>
      <c r="R524" s="86">
        <f t="shared" si="148"/>
      </c>
      <c r="S524" s="86">
        <f t="shared" si="149"/>
      </c>
      <c r="T524" s="86">
        <f t="shared" si="159"/>
        <v/>
      </c>
      <c r="U524" s="86">
        <f t="shared" si="160"/>
        <v/>
      </c>
      <c r="V524" s="86">
        <f t="shared" si="161"/>
        <v/>
      </c>
      <c r="W524" s="87">
        <f t="shared" si="150"/>
      </c>
      <c r="X524" s="88"/>
      <c r="Y524" s="88"/>
      <c r="Z524" s="88"/>
      <c r="AA524" s="88"/>
      <c r="AB524" s="88"/>
      <c r="AD524" s="86">
        <f t="shared" si="151"/>
      </c>
      <c r="AE524" s="86">
        <f t="shared" si="152"/>
      </c>
      <c r="AG524" s="86">
        <f t="shared" si="153"/>
      </c>
      <c r="AH524" s="86">
        <f t="shared" si="154"/>
      </c>
      <c r="AI524" s="86">
        <f t="shared" si="155"/>
      </c>
    </row>
    <row r="525" spans="6:35" x14ac:dyDescent="0.3">
      <c r="F525" s="26">
        <f>IF(G525=1,MAX($F$4:F524)+1,"")</f>
        <v/>
      </c>
      <c r="G525" s="26">
        <f>COUNTIF($H$5:H525,H525)</f>
      </c>
      <c r="H525" s="26">
        <f t="shared" si="156"/>
      </c>
      <c r="I525" s="26">
        <f>COUNTIF($J$4:$J525,1)</f>
      </c>
      <c r="J525" s="26">
        <f>COUNTIF($S$5:$S525,S525)</f>
      </c>
      <c r="K525" s="26">
        <f t="shared" si="145"/>
      </c>
      <c r="L525" s="26">
        <f>IFERROR(IF(P525=0,0,MAX($L$4:L524)+1),0)</f>
      </c>
      <c r="M525" s="5">
        <f t="shared" si="157"/>
      </c>
      <c r="N525" s="5">
        <f t="shared" si="158"/>
      </c>
      <c r="P525" s="86">
        <f t="shared" si="146"/>
      </c>
      <c r="Q525" s="86">
        <f t="shared" si="147"/>
      </c>
      <c r="R525" s="86">
        <f t="shared" si="148"/>
      </c>
      <c r="S525" s="86">
        <f t="shared" si="149"/>
      </c>
      <c r="T525" s="86">
        <f t="shared" si="159"/>
        <v/>
      </c>
      <c r="U525" s="86">
        <f t="shared" si="160"/>
        <v/>
      </c>
      <c r="V525" s="86">
        <f t="shared" si="161"/>
        <v/>
      </c>
      <c r="W525" s="87">
        <f t="shared" si="150"/>
      </c>
      <c r="X525" s="88"/>
      <c r="Y525" s="88"/>
      <c r="Z525" s="88"/>
      <c r="AA525" s="88"/>
      <c r="AB525" s="88"/>
      <c r="AD525" s="86">
        <f t="shared" si="151"/>
      </c>
      <c r="AE525" s="86">
        <f t="shared" si="152"/>
      </c>
      <c r="AG525" s="86">
        <f t="shared" si="153"/>
      </c>
      <c r="AH525" s="86">
        <f t="shared" si="154"/>
      </c>
      <c r="AI525" s="86">
        <f t="shared" si="155"/>
      </c>
    </row>
    <row r="526" spans="6:35" x14ac:dyDescent="0.3">
      <c r="F526" s="26">
        <f>IF(G526=1,MAX($F$4:F525)+1,"")</f>
        <v/>
      </c>
      <c r="G526" s="26">
        <f>COUNTIF($H$5:H526,H526)</f>
      </c>
      <c r="H526" s="26">
        <f t="shared" si="156"/>
      </c>
      <c r="I526" s="26">
        <f>COUNTIF($J$4:$J526,1)</f>
      </c>
      <c r="J526" s="26">
        <f>COUNTIF($S$5:$S526,S526)</f>
      </c>
      <c r="K526" s="26">
        <f t="shared" si="145"/>
      </c>
      <c r="L526" s="26">
        <f>IFERROR(IF(P526=0,0,MAX($L$4:L525)+1),0)</f>
      </c>
      <c r="M526" s="5">
        <f t="shared" si="157"/>
      </c>
      <c r="N526" s="5">
        <f t="shared" si="158"/>
      </c>
      <c r="P526" s="86">
        <f t="shared" si="146"/>
      </c>
      <c r="Q526" s="86">
        <f t="shared" si="147"/>
      </c>
      <c r="R526" s="86">
        <f t="shared" si="148"/>
      </c>
      <c r="S526" s="86">
        <f t="shared" si="149"/>
      </c>
      <c r="T526" s="86">
        <f t="shared" si="159"/>
        <v/>
      </c>
      <c r="U526" s="86">
        <f t="shared" si="160"/>
        <v/>
      </c>
      <c r="V526" s="86">
        <f t="shared" si="161"/>
        <v/>
      </c>
      <c r="W526" s="87">
        <f t="shared" si="150"/>
      </c>
      <c r="X526" s="88"/>
      <c r="Y526" s="88"/>
      <c r="Z526" s="88"/>
      <c r="AA526" s="88"/>
      <c r="AB526" s="88"/>
      <c r="AD526" s="86">
        <f t="shared" si="151"/>
      </c>
      <c r="AE526" s="86">
        <f t="shared" si="152"/>
      </c>
      <c r="AG526" s="86">
        <f t="shared" si="153"/>
      </c>
      <c r="AH526" s="86">
        <f t="shared" si="154"/>
      </c>
      <c r="AI526" s="86">
        <f t="shared" si="155"/>
      </c>
    </row>
    <row r="527" spans="6:35" x14ac:dyDescent="0.3">
      <c r="F527" s="26">
        <f>IF(G527=1,MAX($F$4:F526)+1,"")</f>
        <v/>
      </c>
      <c r="G527" s="26">
        <f>COUNTIF($H$5:H527,H527)</f>
      </c>
      <c r="H527" s="26">
        <f t="shared" si="156"/>
      </c>
      <c r="I527" s="26">
        <f>COUNTIF($J$4:$J527,1)</f>
      </c>
      <c r="J527" s="26">
        <f>COUNTIF($S$5:$S527,S527)</f>
      </c>
      <c r="K527" s="26">
        <f t="shared" si="145"/>
      </c>
      <c r="L527" s="26">
        <f>IFERROR(IF(P527=0,0,MAX($L$4:L526)+1),0)</f>
      </c>
      <c r="M527" s="5">
        <f t="shared" si="157"/>
      </c>
      <c r="N527" s="5">
        <f t="shared" si="158"/>
      </c>
      <c r="P527" s="86">
        <f t="shared" si="146"/>
      </c>
      <c r="Q527" s="86">
        <f t="shared" si="147"/>
      </c>
      <c r="R527" s="86">
        <f t="shared" si="148"/>
      </c>
      <c r="S527" s="86">
        <f t="shared" si="149"/>
      </c>
      <c r="T527" s="86">
        <f t="shared" si="159"/>
        <v/>
      </c>
      <c r="U527" s="86">
        <f t="shared" si="160"/>
        <v/>
      </c>
      <c r="V527" s="86">
        <f t="shared" si="161"/>
        <v/>
      </c>
      <c r="W527" s="87">
        <f t="shared" si="150"/>
      </c>
      <c r="X527" s="88"/>
      <c r="Y527" s="88"/>
      <c r="Z527" s="88"/>
      <c r="AA527" s="88"/>
      <c r="AB527" s="88"/>
      <c r="AD527" s="86">
        <f t="shared" si="151"/>
      </c>
      <c r="AE527" s="86">
        <f t="shared" si="152"/>
      </c>
      <c r="AG527" s="86">
        <f t="shared" si="153"/>
      </c>
      <c r="AH527" s="86">
        <f t="shared" si="154"/>
      </c>
      <c r="AI527" s="86">
        <f t="shared" si="155"/>
      </c>
    </row>
    <row r="528" spans="6:35" x14ac:dyDescent="0.3">
      <c r="F528" s="26">
        <f>IF(G528=1,MAX($F$4:F527)+1,"")</f>
        <v/>
      </c>
      <c r="G528" s="26">
        <f>COUNTIF($H$5:H528,H528)</f>
      </c>
      <c r="H528" s="26">
        <f t="shared" si="156"/>
      </c>
      <c r="I528" s="26">
        <f>COUNTIF($J$4:$J528,1)</f>
      </c>
      <c r="J528" s="26">
        <f>COUNTIF($S$5:$S528,S528)</f>
      </c>
      <c r="K528" s="26">
        <f t="shared" si="145"/>
      </c>
      <c r="L528" s="26">
        <f>IFERROR(IF(P528=0,0,MAX($L$4:L527)+1),0)</f>
      </c>
      <c r="M528" s="5">
        <f t="shared" si="157"/>
      </c>
      <c r="N528" s="5">
        <f t="shared" si="158"/>
      </c>
      <c r="P528" s="86">
        <f t="shared" si="146"/>
      </c>
      <c r="Q528" s="86">
        <f t="shared" si="147"/>
      </c>
      <c r="R528" s="86">
        <f t="shared" si="148"/>
      </c>
      <c r="S528" s="86">
        <f t="shared" si="149"/>
      </c>
      <c r="T528" s="86">
        <f t="shared" si="159"/>
        <v/>
      </c>
      <c r="U528" s="86">
        <f t="shared" si="160"/>
        <v/>
      </c>
      <c r="V528" s="86">
        <f t="shared" si="161"/>
        <v/>
      </c>
      <c r="W528" s="87">
        <f t="shared" si="150"/>
      </c>
      <c r="X528" s="88"/>
      <c r="Y528" s="88"/>
      <c r="Z528" s="88"/>
      <c r="AA528" s="88"/>
      <c r="AB528" s="88"/>
      <c r="AD528" s="86">
        <f t="shared" si="151"/>
      </c>
      <c r="AE528" s="86">
        <f t="shared" si="152"/>
      </c>
      <c r="AG528" s="86">
        <f t="shared" si="153"/>
      </c>
      <c r="AH528" s="86">
        <f t="shared" si="154"/>
      </c>
      <c r="AI528" s="86">
        <f t="shared" si="155"/>
      </c>
    </row>
    <row r="529" spans="6:35" x14ac:dyDescent="0.3">
      <c r="F529" s="26">
        <f>IF(G529=1,MAX($F$4:F528)+1,"")</f>
        <v/>
      </c>
      <c r="G529" s="26">
        <f>COUNTIF($H$5:H529,H529)</f>
      </c>
      <c r="H529" s="26">
        <f t="shared" si="156"/>
      </c>
      <c r="I529" s="26">
        <f>COUNTIF($J$4:$J529,1)</f>
      </c>
      <c r="J529" s="26">
        <f>COUNTIF($S$5:$S529,S529)</f>
      </c>
      <c r="K529" s="26">
        <f t="shared" si="145"/>
      </c>
      <c r="L529" s="26">
        <f>IFERROR(IF(P529=0,0,MAX($L$4:L528)+1),0)</f>
      </c>
      <c r="M529" s="5">
        <f t="shared" si="157"/>
      </c>
      <c r="N529" s="5">
        <f t="shared" si="158"/>
      </c>
      <c r="P529" s="86">
        <f t="shared" si="146"/>
      </c>
      <c r="Q529" s="86">
        <f t="shared" si="147"/>
      </c>
      <c r="R529" s="86">
        <f t="shared" si="148"/>
      </c>
      <c r="S529" s="86">
        <f t="shared" si="149"/>
      </c>
      <c r="T529" s="86">
        <f t="shared" si="159"/>
        <v/>
      </c>
      <c r="U529" s="86">
        <f t="shared" si="160"/>
        <v/>
      </c>
      <c r="V529" s="86">
        <f t="shared" si="161"/>
        <v/>
      </c>
      <c r="W529" s="87">
        <f t="shared" si="150"/>
      </c>
      <c r="X529" s="88"/>
      <c r="Y529" s="88"/>
      <c r="Z529" s="88"/>
      <c r="AA529" s="88"/>
      <c r="AB529" s="88"/>
      <c r="AD529" s="86">
        <f t="shared" si="151"/>
      </c>
      <c r="AE529" s="86">
        <f t="shared" si="152"/>
      </c>
      <c r="AG529" s="86">
        <f t="shared" si="153"/>
      </c>
      <c r="AH529" s="86">
        <f t="shared" si="154"/>
      </c>
      <c r="AI529" s="86">
        <f t="shared" si="155"/>
      </c>
    </row>
    <row r="530" spans="6:35" x14ac:dyDescent="0.3">
      <c r="F530" s="26">
        <f>IF(G530=1,MAX($F$4:F529)+1,"")</f>
        <v/>
      </c>
      <c r="G530" s="26">
        <f>COUNTIF($H$5:H530,H530)</f>
      </c>
      <c r="H530" s="26">
        <f t="shared" si="156"/>
      </c>
      <c r="I530" s="26">
        <f>COUNTIF($J$4:$J530,1)</f>
      </c>
      <c r="J530" s="26">
        <f>COUNTIF($S$5:$S530,S530)</f>
      </c>
      <c r="K530" s="26">
        <f t="shared" si="145"/>
      </c>
      <c r="L530" s="26">
        <f>IFERROR(IF(P530=0,0,MAX($L$4:L529)+1),0)</f>
      </c>
      <c r="M530" s="5">
        <f t="shared" si="157"/>
      </c>
      <c r="N530" s="5">
        <f t="shared" si="158"/>
      </c>
      <c r="P530" s="86">
        <f t="shared" si="146"/>
      </c>
      <c r="Q530" s="86">
        <f t="shared" si="147"/>
      </c>
      <c r="R530" s="86">
        <f t="shared" si="148"/>
      </c>
      <c r="S530" s="86">
        <f t="shared" si="149"/>
      </c>
      <c r="T530" s="86">
        <f t="shared" si="159"/>
        <v/>
      </c>
      <c r="U530" s="86">
        <f t="shared" si="160"/>
        <v/>
      </c>
      <c r="V530" s="86">
        <f t="shared" si="161"/>
        <v/>
      </c>
      <c r="W530" s="87">
        <f t="shared" si="150"/>
      </c>
      <c r="X530" s="88"/>
      <c r="Y530" s="88"/>
      <c r="Z530" s="88"/>
      <c r="AA530" s="88"/>
      <c r="AB530" s="88"/>
      <c r="AD530" s="86">
        <f t="shared" si="151"/>
      </c>
      <c r="AE530" s="86">
        <f t="shared" si="152"/>
      </c>
      <c r="AG530" s="86">
        <f t="shared" si="153"/>
      </c>
      <c r="AH530" s="86">
        <f t="shared" si="154"/>
      </c>
      <c r="AI530" s="86">
        <f t="shared" si="155"/>
      </c>
    </row>
    <row r="531" spans="6:35" x14ac:dyDescent="0.3">
      <c r="F531" s="26">
        <f>IF(G531=1,MAX($F$4:F530)+1,"")</f>
        <v/>
      </c>
      <c r="G531" s="26">
        <f>COUNTIF($H$5:H531,H531)</f>
      </c>
      <c r="H531" s="26">
        <f t="shared" si="156"/>
      </c>
      <c r="I531" s="26">
        <f>COUNTIF($J$4:$J531,1)</f>
      </c>
      <c r="J531" s="26">
        <f>COUNTIF($S$5:$S531,S531)</f>
      </c>
      <c r="K531" s="26">
        <f t="shared" si="145"/>
      </c>
      <c r="L531" s="26">
        <f>IFERROR(IF(P531=0,0,MAX($L$4:L530)+1),0)</f>
      </c>
      <c r="M531" s="5">
        <f t="shared" si="157"/>
      </c>
      <c r="N531" s="5">
        <f t="shared" si="158"/>
      </c>
      <c r="P531" s="86">
        <f t="shared" si="146"/>
      </c>
      <c r="Q531" s="86">
        <f t="shared" si="147"/>
      </c>
      <c r="R531" s="86">
        <f t="shared" si="148"/>
      </c>
      <c r="S531" s="86">
        <f t="shared" si="149"/>
      </c>
      <c r="T531" s="86">
        <f t="shared" si="159"/>
        <v/>
      </c>
      <c r="U531" s="86">
        <f t="shared" si="160"/>
        <v/>
      </c>
      <c r="V531" s="86">
        <f t="shared" si="161"/>
        <v/>
      </c>
      <c r="W531" s="87">
        <f t="shared" si="150"/>
      </c>
      <c r="X531" s="88"/>
      <c r="Y531" s="88"/>
      <c r="Z531" s="88"/>
      <c r="AA531" s="88"/>
      <c r="AB531" s="88"/>
      <c r="AD531" s="86">
        <f t="shared" si="151"/>
      </c>
      <c r="AE531" s="86">
        <f t="shared" si="152"/>
      </c>
      <c r="AG531" s="86">
        <f t="shared" si="153"/>
      </c>
      <c r="AH531" s="86">
        <f t="shared" si="154"/>
      </c>
      <c r="AI531" s="86">
        <f t="shared" si="155"/>
      </c>
    </row>
    <row r="532" spans="6:35" x14ac:dyDescent="0.3">
      <c r="F532" s="26">
        <f>IF(G532=1,MAX($F$4:F531)+1,"")</f>
        <v/>
      </c>
      <c r="G532" s="26">
        <f>COUNTIF($H$5:H532,H532)</f>
      </c>
      <c r="H532" s="26">
        <f t="shared" si="156"/>
      </c>
      <c r="I532" s="26">
        <f>COUNTIF($J$4:$J532,1)</f>
      </c>
      <c r="J532" s="26">
        <f>COUNTIF($S$5:$S532,S532)</f>
      </c>
      <c r="K532" s="26">
        <f t="shared" si="145"/>
      </c>
      <c r="L532" s="26">
        <f>IFERROR(IF(P532=0,0,MAX($L$4:L531)+1),0)</f>
      </c>
      <c r="M532" s="5">
        <f t="shared" si="157"/>
      </c>
      <c r="N532" s="5">
        <f t="shared" si="158"/>
      </c>
      <c r="P532" s="86">
        <f t="shared" si="146"/>
      </c>
      <c r="Q532" s="86">
        <f t="shared" si="147"/>
      </c>
      <c r="R532" s="86">
        <f t="shared" si="148"/>
      </c>
      <c r="S532" s="86">
        <f t="shared" si="149"/>
      </c>
      <c r="T532" s="86">
        <f t="shared" si="159"/>
        <v/>
      </c>
      <c r="U532" s="86">
        <f t="shared" si="160"/>
        <v/>
      </c>
      <c r="V532" s="86">
        <f t="shared" si="161"/>
        <v/>
      </c>
      <c r="W532" s="87">
        <f t="shared" si="150"/>
      </c>
      <c r="X532" s="88"/>
      <c r="Y532" s="88"/>
      <c r="Z532" s="88"/>
      <c r="AA532" s="88"/>
      <c r="AB532" s="88"/>
      <c r="AD532" s="86">
        <f t="shared" si="151"/>
      </c>
      <c r="AE532" s="86">
        <f t="shared" si="152"/>
      </c>
      <c r="AG532" s="86">
        <f t="shared" si="153"/>
      </c>
      <c r="AH532" s="86">
        <f t="shared" si="154"/>
      </c>
      <c r="AI532" s="86">
        <f t="shared" si="155"/>
      </c>
    </row>
    <row r="533" spans="6:35" x14ac:dyDescent="0.3">
      <c r="F533" s="26">
        <f>IF(G533=1,MAX($F$4:F532)+1,"")</f>
        <v/>
      </c>
      <c r="G533" s="26">
        <f>COUNTIF($H$5:H533,H533)</f>
      </c>
      <c r="H533" s="26">
        <f t="shared" si="156"/>
      </c>
      <c r="I533" s="26">
        <f>COUNTIF($J$4:$J533,1)</f>
      </c>
      <c r="J533" s="26">
        <f>COUNTIF($S$5:$S533,S533)</f>
      </c>
      <c r="K533" s="26">
        <f t="shared" si="145"/>
      </c>
      <c r="L533" s="26">
        <f>IFERROR(IF(P533=0,0,MAX($L$4:L532)+1),0)</f>
      </c>
      <c r="M533" s="5">
        <f t="shared" si="157"/>
      </c>
      <c r="N533" s="5">
        <f t="shared" si="158"/>
      </c>
      <c r="P533" s="86">
        <f t="shared" si="146"/>
      </c>
      <c r="Q533" s="86">
        <f t="shared" si="147"/>
      </c>
      <c r="R533" s="86">
        <f t="shared" si="148"/>
      </c>
      <c r="S533" s="86">
        <f t="shared" si="149"/>
      </c>
      <c r="T533" s="86">
        <f t="shared" si="159"/>
        <v/>
      </c>
      <c r="U533" s="86">
        <f t="shared" si="160"/>
        <v/>
      </c>
      <c r="V533" s="86">
        <f t="shared" si="161"/>
        <v/>
      </c>
      <c r="W533" s="87">
        <f t="shared" si="150"/>
      </c>
      <c r="X533" s="88"/>
      <c r="Y533" s="88"/>
      <c r="Z533" s="88"/>
      <c r="AA533" s="88"/>
      <c r="AB533" s="88"/>
      <c r="AD533" s="86">
        <f t="shared" si="151"/>
      </c>
      <c r="AE533" s="86">
        <f t="shared" si="152"/>
      </c>
      <c r="AG533" s="86">
        <f t="shared" si="153"/>
      </c>
      <c r="AH533" s="86">
        <f t="shared" si="154"/>
      </c>
      <c r="AI533" s="86">
        <f t="shared" si="155"/>
      </c>
    </row>
    <row r="534" spans="6:35" x14ac:dyDescent="0.3">
      <c r="F534" s="26">
        <f>IF(G534=1,MAX($F$4:F533)+1,"")</f>
        <v/>
      </c>
      <c r="G534" s="26">
        <f>COUNTIF($H$5:H534,H534)</f>
      </c>
      <c r="H534" s="26">
        <f t="shared" si="156"/>
      </c>
      <c r="I534" s="26">
        <f>COUNTIF($J$4:$J534,1)</f>
      </c>
      <c r="J534" s="26">
        <f>COUNTIF($S$5:$S534,S534)</f>
      </c>
      <c r="K534" s="26">
        <f t="shared" si="145"/>
      </c>
      <c r="L534" s="26">
        <f>IFERROR(IF(P534=0,0,MAX($L$4:L533)+1),0)</f>
      </c>
      <c r="M534" s="5">
        <f t="shared" si="157"/>
      </c>
      <c r="N534" s="5">
        <f t="shared" si="158"/>
      </c>
      <c r="P534" s="86">
        <f t="shared" si="146"/>
      </c>
      <c r="Q534" s="86">
        <f t="shared" si="147"/>
      </c>
      <c r="R534" s="86">
        <f t="shared" si="148"/>
      </c>
      <c r="S534" s="86">
        <f t="shared" si="149"/>
      </c>
      <c r="T534" s="86">
        <f t="shared" si="159"/>
        <v/>
      </c>
      <c r="U534" s="86">
        <f t="shared" si="160"/>
        <v/>
      </c>
      <c r="V534" s="86">
        <f t="shared" si="161"/>
        <v/>
      </c>
      <c r="W534" s="87">
        <f t="shared" si="150"/>
      </c>
      <c r="X534" s="88"/>
      <c r="Y534" s="88"/>
      <c r="Z534" s="88"/>
      <c r="AA534" s="88"/>
      <c r="AB534" s="88"/>
      <c r="AD534" s="86">
        <f t="shared" si="151"/>
      </c>
      <c r="AE534" s="86">
        <f t="shared" si="152"/>
      </c>
      <c r="AG534" s="86">
        <f t="shared" si="153"/>
      </c>
      <c r="AH534" s="86">
        <f t="shared" si="154"/>
      </c>
      <c r="AI534" s="86">
        <f t="shared" si="155"/>
      </c>
    </row>
    <row r="535" spans="6:35" x14ac:dyDescent="0.3">
      <c r="F535" s="26">
        <f>IF(G535=1,MAX($F$4:F534)+1,"")</f>
        <v/>
      </c>
      <c r="G535" s="26">
        <f>COUNTIF($H$5:H535,H535)</f>
      </c>
      <c r="H535" s="26">
        <f t="shared" si="156"/>
      </c>
      <c r="I535" s="26">
        <f>COUNTIF($J$4:$J535,1)</f>
      </c>
      <c r="J535" s="26">
        <f>COUNTIF($S$5:$S535,S535)</f>
      </c>
      <c r="K535" s="26">
        <f t="shared" si="145"/>
      </c>
      <c r="L535" s="26">
        <f>IFERROR(IF(P535=0,0,MAX($L$4:L534)+1),0)</f>
      </c>
      <c r="M535" s="5">
        <f t="shared" si="157"/>
      </c>
      <c r="N535" s="5">
        <f t="shared" si="158"/>
      </c>
      <c r="P535" s="86">
        <f t="shared" si="146"/>
      </c>
      <c r="Q535" s="86">
        <f t="shared" si="147"/>
      </c>
      <c r="R535" s="86">
        <f t="shared" si="148"/>
      </c>
      <c r="S535" s="86">
        <f t="shared" si="149"/>
      </c>
      <c r="T535" s="86">
        <f t="shared" si="159"/>
        <v/>
      </c>
      <c r="U535" s="86">
        <f t="shared" si="160"/>
        <v/>
      </c>
      <c r="V535" s="86">
        <f t="shared" si="161"/>
        <v/>
      </c>
      <c r="W535" s="87">
        <f t="shared" si="150"/>
      </c>
      <c r="X535" s="88"/>
      <c r="Y535" s="88"/>
      <c r="Z535" s="88"/>
      <c r="AA535" s="88"/>
      <c r="AB535" s="88"/>
      <c r="AD535" s="86">
        <f t="shared" si="151"/>
      </c>
      <c r="AE535" s="86">
        <f t="shared" si="152"/>
      </c>
      <c r="AG535" s="86">
        <f t="shared" si="153"/>
      </c>
      <c r="AH535" s="86">
        <f t="shared" si="154"/>
      </c>
      <c r="AI535" s="86">
        <f t="shared" si="155"/>
      </c>
    </row>
    <row r="536" spans="6:35" x14ac:dyDescent="0.3">
      <c r="F536" s="26">
        <f>IF(G536=1,MAX($F$4:F535)+1,"")</f>
        <v/>
      </c>
      <c r="G536" s="26">
        <f>COUNTIF($H$5:H536,H536)</f>
      </c>
      <c r="H536" s="26">
        <f t="shared" si="156"/>
      </c>
      <c r="I536" s="26">
        <f>COUNTIF($J$4:$J536,1)</f>
      </c>
      <c r="J536" s="26">
        <f>COUNTIF($S$5:$S536,S536)</f>
      </c>
      <c r="K536" s="26">
        <f t="shared" si="145"/>
      </c>
      <c r="L536" s="26">
        <f>IFERROR(IF(P536=0,0,MAX($L$4:L535)+1),0)</f>
      </c>
      <c r="M536" s="5">
        <f t="shared" si="157"/>
      </c>
      <c r="N536" s="5">
        <f t="shared" si="158"/>
      </c>
      <c r="P536" s="86">
        <f t="shared" si="146"/>
      </c>
      <c r="Q536" s="86">
        <f t="shared" si="147"/>
      </c>
      <c r="R536" s="86">
        <f t="shared" si="148"/>
      </c>
      <c r="S536" s="86">
        <f t="shared" si="149"/>
      </c>
      <c r="T536" s="86">
        <f t="shared" si="159"/>
        <v/>
      </c>
      <c r="U536" s="86">
        <f t="shared" si="160"/>
        <v/>
      </c>
      <c r="V536" s="86">
        <f t="shared" si="161"/>
        <v/>
      </c>
      <c r="W536" s="87">
        <f t="shared" si="150"/>
      </c>
      <c r="X536" s="88"/>
      <c r="Y536" s="88"/>
      <c r="Z536" s="88"/>
      <c r="AA536" s="88"/>
      <c r="AB536" s="88"/>
      <c r="AD536" s="86">
        <f t="shared" si="151"/>
      </c>
      <c r="AE536" s="86">
        <f t="shared" si="152"/>
      </c>
      <c r="AG536" s="86">
        <f t="shared" si="153"/>
      </c>
      <c r="AH536" s="86">
        <f t="shared" si="154"/>
      </c>
      <c r="AI536" s="86">
        <f t="shared" si="155"/>
      </c>
    </row>
    <row r="537" spans="6:35" x14ac:dyDescent="0.3">
      <c r="F537" s="26">
        <f>IF(G537=1,MAX($F$4:F536)+1,"")</f>
        <v/>
      </c>
      <c r="G537" s="26">
        <f>COUNTIF($H$5:H537,H537)</f>
      </c>
      <c r="H537" s="26">
        <f t="shared" si="156"/>
      </c>
      <c r="I537" s="26">
        <f>COUNTIF($J$4:$J537,1)</f>
      </c>
      <c r="J537" s="26">
        <f>COUNTIF($S$5:$S537,S537)</f>
      </c>
      <c r="K537" s="26">
        <f t="shared" si="145"/>
      </c>
      <c r="L537" s="26">
        <f>IFERROR(IF(P537=0,0,MAX($L$4:L536)+1),0)</f>
      </c>
      <c r="M537" s="5">
        <f t="shared" si="157"/>
      </c>
      <c r="N537" s="5">
        <f t="shared" si="158"/>
      </c>
      <c r="P537" s="86">
        <f t="shared" si="146"/>
      </c>
      <c r="Q537" s="86">
        <f t="shared" si="147"/>
      </c>
      <c r="R537" s="86">
        <f t="shared" si="148"/>
      </c>
      <c r="S537" s="86">
        <f t="shared" si="149"/>
      </c>
      <c r="T537" s="86">
        <f t="shared" si="159"/>
        <v/>
      </c>
      <c r="U537" s="86">
        <f t="shared" si="160"/>
        <v/>
      </c>
      <c r="V537" s="86">
        <f t="shared" si="161"/>
        <v/>
      </c>
      <c r="W537" s="87">
        <f t="shared" si="150"/>
      </c>
      <c r="X537" s="88"/>
      <c r="Y537" s="88"/>
      <c r="Z537" s="88"/>
      <c r="AA537" s="88"/>
      <c r="AB537" s="88"/>
      <c r="AD537" s="86">
        <f t="shared" si="151"/>
      </c>
      <c r="AE537" s="86">
        <f t="shared" si="152"/>
      </c>
      <c r="AG537" s="86">
        <f t="shared" si="153"/>
      </c>
      <c r="AH537" s="86">
        <f t="shared" si="154"/>
      </c>
      <c r="AI537" s="86">
        <f t="shared" si="155"/>
      </c>
    </row>
    <row r="538" spans="6:35" x14ac:dyDescent="0.3">
      <c r="F538" s="26">
        <f>IF(G538=1,MAX($F$4:F537)+1,"")</f>
        <v/>
      </c>
      <c r="G538" s="26">
        <f>COUNTIF($H$5:H538,H538)</f>
      </c>
      <c r="H538" s="26">
        <f t="shared" si="156"/>
      </c>
      <c r="I538" s="26">
        <f>COUNTIF($J$4:$J538,1)</f>
      </c>
      <c r="J538" s="26">
        <f>COUNTIF($S$5:$S538,S538)</f>
      </c>
      <c r="K538" s="26">
        <f t="shared" si="145"/>
      </c>
      <c r="L538" s="26">
        <f>IFERROR(IF(P538=0,0,MAX($L$4:L537)+1),0)</f>
      </c>
      <c r="M538" s="5">
        <f t="shared" si="157"/>
      </c>
      <c r="N538" s="5">
        <f t="shared" si="158"/>
      </c>
      <c r="P538" s="86">
        <f t="shared" si="146"/>
      </c>
      <c r="Q538" s="86">
        <f t="shared" si="147"/>
      </c>
      <c r="R538" s="86">
        <f t="shared" si="148"/>
      </c>
      <c r="S538" s="86">
        <f t="shared" si="149"/>
      </c>
      <c r="T538" s="86">
        <f t="shared" si="159"/>
        <v/>
      </c>
      <c r="U538" s="86">
        <f t="shared" si="160"/>
        <v/>
      </c>
      <c r="V538" s="86">
        <f t="shared" si="161"/>
        <v/>
      </c>
      <c r="W538" s="87">
        <f t="shared" si="150"/>
      </c>
      <c r="X538" s="88"/>
      <c r="Y538" s="88"/>
      <c r="Z538" s="88"/>
      <c r="AA538" s="88"/>
      <c r="AB538" s="88"/>
      <c r="AD538" s="86">
        <f t="shared" si="151"/>
      </c>
      <c r="AE538" s="86">
        <f t="shared" si="152"/>
      </c>
      <c r="AG538" s="86">
        <f t="shared" si="153"/>
      </c>
      <c r="AH538" s="86">
        <f t="shared" si="154"/>
      </c>
      <c r="AI538" s="86">
        <f t="shared" si="155"/>
      </c>
    </row>
    <row r="539" spans="6:35" x14ac:dyDescent="0.3">
      <c r="F539" s="26">
        <f>IF(G539=1,MAX($F$4:F538)+1,"")</f>
        <v/>
      </c>
      <c r="G539" s="26">
        <f>COUNTIF($H$5:H539,H539)</f>
      </c>
      <c r="H539" s="26">
        <f t="shared" si="156"/>
      </c>
      <c r="I539" s="26">
        <f>COUNTIF($J$4:$J539,1)</f>
      </c>
      <c r="J539" s="26">
        <f>COUNTIF($S$5:$S539,S539)</f>
      </c>
      <c r="K539" s="26">
        <f t="shared" si="145"/>
      </c>
      <c r="L539" s="26">
        <f>IFERROR(IF(P539=0,0,MAX($L$4:L538)+1),0)</f>
      </c>
      <c r="M539" s="5">
        <f t="shared" si="157"/>
      </c>
      <c r="N539" s="5">
        <f t="shared" si="158"/>
      </c>
      <c r="P539" s="86">
        <f t="shared" si="146"/>
      </c>
      <c r="Q539" s="86">
        <f t="shared" si="147"/>
      </c>
      <c r="R539" s="86">
        <f t="shared" si="148"/>
      </c>
      <c r="S539" s="86">
        <f t="shared" si="149"/>
      </c>
      <c r="T539" s="86">
        <f t="shared" si="159"/>
        <v/>
      </c>
      <c r="U539" s="86">
        <f t="shared" si="160"/>
        <v/>
      </c>
      <c r="V539" s="86">
        <f t="shared" si="161"/>
        <v/>
      </c>
      <c r="W539" s="87">
        <f t="shared" si="150"/>
      </c>
      <c r="X539" s="88"/>
      <c r="Y539" s="88"/>
      <c r="Z539" s="88"/>
      <c r="AA539" s="88"/>
      <c r="AB539" s="88"/>
      <c r="AD539" s="86">
        <f t="shared" si="151"/>
      </c>
      <c r="AE539" s="86">
        <f t="shared" si="152"/>
      </c>
      <c r="AG539" s="86">
        <f t="shared" si="153"/>
      </c>
      <c r="AH539" s="86">
        <f t="shared" si="154"/>
      </c>
      <c r="AI539" s="86">
        <f t="shared" si="155"/>
      </c>
    </row>
    <row r="540" spans="6:35" x14ac:dyDescent="0.3">
      <c r="F540" s="26">
        <f>IF(G540=1,MAX($F$4:F539)+1,"")</f>
        <v/>
      </c>
      <c r="G540" s="26">
        <f>COUNTIF($H$5:H540,H540)</f>
      </c>
      <c r="H540" s="26">
        <f t="shared" si="156"/>
      </c>
      <c r="I540" s="26">
        <f>COUNTIF($J$4:$J540,1)</f>
      </c>
      <c r="J540" s="26">
        <f>COUNTIF($S$5:$S540,S540)</f>
      </c>
      <c r="K540" s="26">
        <f t="shared" si="145"/>
      </c>
      <c r="L540" s="26">
        <f>IFERROR(IF(P540=0,0,MAX($L$4:L539)+1),0)</f>
      </c>
      <c r="M540" s="5">
        <f t="shared" si="157"/>
      </c>
      <c r="N540" s="5">
        <f t="shared" si="158"/>
      </c>
      <c r="P540" s="86">
        <f t="shared" si="146"/>
      </c>
      <c r="Q540" s="86">
        <f t="shared" si="147"/>
      </c>
      <c r="R540" s="86">
        <f t="shared" si="148"/>
      </c>
      <c r="S540" s="86">
        <f t="shared" si="149"/>
      </c>
      <c r="T540" s="86">
        <f t="shared" si="159"/>
        <v/>
      </c>
      <c r="U540" s="86">
        <f t="shared" si="160"/>
        <v/>
      </c>
      <c r="V540" s="86">
        <f t="shared" si="161"/>
        <v/>
      </c>
      <c r="W540" s="87">
        <f t="shared" si="150"/>
      </c>
      <c r="X540" s="88"/>
      <c r="Y540" s="88"/>
      <c r="Z540" s="88"/>
      <c r="AA540" s="88"/>
      <c r="AB540" s="88"/>
      <c r="AD540" s="86">
        <f t="shared" si="151"/>
      </c>
      <c r="AE540" s="86">
        <f t="shared" si="152"/>
      </c>
      <c r="AG540" s="86">
        <f t="shared" si="153"/>
      </c>
      <c r="AH540" s="86">
        <f t="shared" si="154"/>
      </c>
      <c r="AI540" s="86">
        <f t="shared" si="155"/>
      </c>
    </row>
    <row r="541" spans="6:35" x14ac:dyDescent="0.3">
      <c r="F541" s="26">
        <f>IF(G541=1,MAX($F$4:F540)+1,"")</f>
        <v/>
      </c>
      <c r="G541" s="26">
        <f>COUNTIF($H$5:H541,H541)</f>
      </c>
      <c r="H541" s="26">
        <f t="shared" si="156"/>
      </c>
      <c r="I541" s="26">
        <f>COUNTIF($J$4:$J541,1)</f>
      </c>
      <c r="J541" s="26">
        <f>COUNTIF($S$5:$S541,S541)</f>
      </c>
      <c r="K541" s="26">
        <f t="shared" si="145"/>
      </c>
      <c r="L541" s="26">
        <f>IFERROR(IF(P541=0,0,MAX($L$4:L540)+1),0)</f>
      </c>
      <c r="M541" s="5">
        <f t="shared" si="157"/>
      </c>
      <c r="N541" s="5">
        <f t="shared" si="158"/>
      </c>
      <c r="P541" s="86">
        <f t="shared" si="146"/>
      </c>
      <c r="Q541" s="86">
        <f t="shared" si="147"/>
      </c>
      <c r="R541" s="86">
        <f t="shared" si="148"/>
      </c>
      <c r="S541" s="86">
        <f t="shared" si="149"/>
      </c>
      <c r="T541" s="86">
        <f t="shared" si="159"/>
        <v/>
      </c>
      <c r="U541" s="86">
        <f t="shared" si="160"/>
        <v/>
      </c>
      <c r="V541" s="86">
        <f t="shared" si="161"/>
        <v/>
      </c>
      <c r="W541" s="87">
        <f t="shared" si="150"/>
      </c>
      <c r="X541" s="88"/>
      <c r="Y541" s="88"/>
      <c r="Z541" s="88"/>
      <c r="AA541" s="88"/>
      <c r="AB541" s="88"/>
      <c r="AD541" s="86">
        <f t="shared" si="151"/>
      </c>
      <c r="AE541" s="86">
        <f t="shared" si="152"/>
      </c>
      <c r="AG541" s="86">
        <f t="shared" si="153"/>
      </c>
      <c r="AH541" s="86">
        <f t="shared" si="154"/>
      </c>
      <c r="AI541" s="86">
        <f t="shared" si="155"/>
      </c>
    </row>
    <row r="542" spans="6:35" x14ac:dyDescent="0.3">
      <c r="F542" s="26">
        <f>IF(G542=1,MAX($F$4:F541)+1,"")</f>
        <v/>
      </c>
      <c r="G542" s="26">
        <f>COUNTIF($H$5:H542,H542)</f>
      </c>
      <c r="H542" s="26">
        <f t="shared" si="156"/>
      </c>
      <c r="I542" s="26">
        <f>COUNTIF($J$4:$J542,1)</f>
      </c>
      <c r="J542" s="26">
        <f>COUNTIF($S$5:$S542,S542)</f>
      </c>
      <c r="K542" s="26">
        <f t="shared" si="145"/>
      </c>
      <c r="L542" s="26">
        <f>IFERROR(IF(P542=0,0,MAX($L$4:L541)+1),0)</f>
      </c>
      <c r="M542" s="5">
        <f t="shared" si="157"/>
      </c>
      <c r="N542" s="5">
        <f t="shared" si="158"/>
      </c>
      <c r="P542" s="86">
        <f t="shared" si="146"/>
      </c>
      <c r="Q542" s="86">
        <f t="shared" si="147"/>
      </c>
      <c r="R542" s="86">
        <f t="shared" si="148"/>
      </c>
      <c r="S542" s="86">
        <f t="shared" si="149"/>
      </c>
      <c r="T542" s="86">
        <f t="shared" si="159"/>
        <v/>
      </c>
      <c r="U542" s="86">
        <f t="shared" si="160"/>
        <v/>
      </c>
      <c r="V542" s="86">
        <f t="shared" si="161"/>
        <v/>
      </c>
      <c r="W542" s="87">
        <f t="shared" si="150"/>
      </c>
      <c r="X542" s="88"/>
      <c r="Y542" s="88"/>
      <c r="Z542" s="88"/>
      <c r="AA542" s="88"/>
      <c r="AB542" s="88"/>
      <c r="AD542" s="86">
        <f t="shared" si="151"/>
      </c>
      <c r="AE542" s="86">
        <f t="shared" si="152"/>
      </c>
      <c r="AG542" s="86">
        <f t="shared" si="153"/>
      </c>
      <c r="AH542" s="86">
        <f t="shared" si="154"/>
      </c>
      <c r="AI542" s="86">
        <f t="shared" si="155"/>
      </c>
    </row>
    <row r="543" spans="6:35" x14ac:dyDescent="0.3">
      <c r="F543" s="26">
        <f>IF(G543=1,MAX($F$4:F542)+1,"")</f>
        <v/>
      </c>
      <c r="G543" s="26">
        <f>COUNTIF($H$5:H543,H543)</f>
      </c>
      <c r="H543" s="26">
        <f t="shared" si="156"/>
      </c>
      <c r="I543" s="26">
        <f>COUNTIF($J$4:$J543,1)</f>
      </c>
      <c r="J543" s="26">
        <f>COUNTIF($S$5:$S543,S543)</f>
      </c>
      <c r="K543" s="26">
        <f t="shared" si="145"/>
      </c>
      <c r="L543" s="26">
        <f>IFERROR(IF(P543=0,0,MAX($L$4:L542)+1),0)</f>
      </c>
      <c r="M543" s="5">
        <f t="shared" si="157"/>
      </c>
      <c r="N543" s="5">
        <f t="shared" si="158"/>
      </c>
      <c r="P543" s="86">
        <f t="shared" si="146"/>
      </c>
      <c r="Q543" s="86">
        <f t="shared" si="147"/>
      </c>
      <c r="R543" s="86">
        <f t="shared" si="148"/>
      </c>
      <c r="S543" s="86">
        <f t="shared" si="149"/>
      </c>
      <c r="T543" s="86">
        <f t="shared" si="159"/>
        <v/>
      </c>
      <c r="U543" s="86">
        <f t="shared" si="160"/>
        <v/>
      </c>
      <c r="V543" s="86">
        <f t="shared" si="161"/>
        <v/>
      </c>
      <c r="W543" s="87">
        <f t="shared" si="150"/>
      </c>
      <c r="X543" s="88"/>
      <c r="Y543" s="88"/>
      <c r="Z543" s="88"/>
      <c r="AA543" s="88"/>
      <c r="AB543" s="88"/>
      <c r="AD543" s="86">
        <f t="shared" si="151"/>
      </c>
      <c r="AE543" s="86">
        <f t="shared" si="152"/>
      </c>
      <c r="AG543" s="86">
        <f t="shared" si="153"/>
      </c>
      <c r="AH543" s="86">
        <f t="shared" si="154"/>
      </c>
      <c r="AI543" s="86">
        <f t="shared" si="155"/>
      </c>
    </row>
    <row r="544" spans="6:35" x14ac:dyDescent="0.3">
      <c r="F544" s="26">
        <f>IF(G544=1,MAX($F$4:F543)+1,"")</f>
        <v/>
      </c>
      <c r="G544" s="26">
        <f>COUNTIF($H$5:H544,H544)</f>
      </c>
      <c r="H544" s="26">
        <f t="shared" si="156"/>
      </c>
      <c r="I544" s="26">
        <f>COUNTIF($J$4:$J544,1)</f>
      </c>
      <c r="J544" s="26">
        <f>COUNTIF($S$5:$S544,S544)</f>
      </c>
      <c r="K544" s="26">
        <f t="shared" si="145"/>
      </c>
      <c r="L544" s="26">
        <f>IFERROR(IF(P544=0,0,MAX($L$4:L543)+1),0)</f>
      </c>
      <c r="M544" s="5">
        <f t="shared" si="157"/>
      </c>
      <c r="N544" s="5">
        <f t="shared" si="158"/>
      </c>
      <c r="P544" s="86">
        <f t="shared" si="146"/>
      </c>
      <c r="Q544" s="86">
        <f t="shared" si="147"/>
      </c>
      <c r="R544" s="86">
        <f t="shared" si="148"/>
      </c>
      <c r="S544" s="86">
        <f t="shared" si="149"/>
      </c>
      <c r="T544" s="86">
        <f t="shared" si="159"/>
        <v/>
      </c>
      <c r="U544" s="86">
        <f t="shared" si="160"/>
        <v/>
      </c>
      <c r="V544" s="86">
        <f t="shared" si="161"/>
        <v/>
      </c>
      <c r="W544" s="87">
        <f t="shared" si="150"/>
      </c>
      <c r="X544" s="88"/>
      <c r="Y544" s="88"/>
      <c r="Z544" s="88"/>
      <c r="AA544" s="88"/>
      <c r="AB544" s="88"/>
      <c r="AD544" s="86">
        <f t="shared" si="151"/>
      </c>
      <c r="AE544" s="86">
        <f t="shared" si="152"/>
      </c>
      <c r="AG544" s="86">
        <f t="shared" si="153"/>
      </c>
      <c r="AH544" s="86">
        <f t="shared" si="154"/>
      </c>
      <c r="AI544" s="86">
        <f t="shared" si="155"/>
      </c>
    </row>
    <row r="545" spans="6:35" x14ac:dyDescent="0.3">
      <c r="F545" s="26">
        <f>IF(G545=1,MAX($F$4:F544)+1,"")</f>
        <v/>
      </c>
      <c r="G545" s="26">
        <f>COUNTIF($H$5:H545,H545)</f>
      </c>
      <c r="H545" s="26">
        <f t="shared" si="156"/>
      </c>
      <c r="I545" s="26">
        <f>COUNTIF($J$4:$J545,1)</f>
      </c>
      <c r="J545" s="26">
        <f>COUNTIF($S$5:$S545,S545)</f>
      </c>
      <c r="K545" s="26">
        <f t="shared" si="145"/>
      </c>
      <c r="L545" s="26">
        <f>IFERROR(IF(P545=0,0,MAX($L$4:L544)+1),0)</f>
      </c>
      <c r="M545" s="5">
        <f t="shared" si="157"/>
      </c>
      <c r="N545" s="5">
        <f t="shared" si="158"/>
      </c>
      <c r="P545" s="86">
        <f t="shared" si="146"/>
      </c>
      <c r="Q545" s="86">
        <f t="shared" si="147"/>
      </c>
      <c r="R545" s="86">
        <f t="shared" si="148"/>
      </c>
      <c r="S545" s="86">
        <f t="shared" si="149"/>
      </c>
      <c r="T545" s="86">
        <f t="shared" si="159"/>
        <v/>
      </c>
      <c r="U545" s="86">
        <f t="shared" si="160"/>
        <v/>
      </c>
      <c r="V545" s="86">
        <f t="shared" si="161"/>
        <v/>
      </c>
      <c r="W545" s="87">
        <f t="shared" si="150"/>
      </c>
      <c r="X545" s="88"/>
      <c r="Y545" s="88"/>
      <c r="Z545" s="88"/>
      <c r="AA545" s="88"/>
      <c r="AB545" s="88"/>
      <c r="AD545" s="86">
        <f t="shared" si="151"/>
      </c>
      <c r="AE545" s="86">
        <f t="shared" si="152"/>
      </c>
      <c r="AG545" s="86">
        <f t="shared" si="153"/>
      </c>
      <c r="AH545" s="86">
        <f t="shared" si="154"/>
      </c>
      <c r="AI545" s="86">
        <f t="shared" si="155"/>
      </c>
    </row>
    <row r="546" spans="6:35" x14ac:dyDescent="0.3">
      <c r="F546" s="26">
        <f>IF(G546=1,MAX($F$4:F545)+1,"")</f>
        <v/>
      </c>
      <c r="G546" s="26">
        <f>COUNTIF($H$5:H546,H546)</f>
      </c>
      <c r="H546" s="26">
        <f t="shared" si="156"/>
      </c>
      <c r="I546" s="26">
        <f>COUNTIF($J$4:$J546,1)</f>
      </c>
      <c r="J546" s="26">
        <f>COUNTIF($S$5:$S546,S546)</f>
      </c>
      <c r="K546" s="26">
        <f t="shared" si="145"/>
      </c>
      <c r="L546" s="26">
        <f>IFERROR(IF(P546=0,0,MAX($L$4:L545)+1),0)</f>
      </c>
      <c r="M546" s="5">
        <f t="shared" si="157"/>
      </c>
      <c r="N546" s="5">
        <f t="shared" si="158"/>
      </c>
      <c r="P546" s="86">
        <f t="shared" si="146"/>
      </c>
      <c r="Q546" s="86">
        <f t="shared" si="147"/>
      </c>
      <c r="R546" s="86">
        <f t="shared" si="148"/>
      </c>
      <c r="S546" s="86">
        <f t="shared" si="149"/>
      </c>
      <c r="T546" s="86">
        <f t="shared" si="159"/>
        <v/>
      </c>
      <c r="U546" s="86">
        <f t="shared" si="160"/>
        <v/>
      </c>
      <c r="V546" s="86">
        <f t="shared" si="161"/>
        <v/>
      </c>
      <c r="W546" s="87">
        <f t="shared" si="150"/>
      </c>
      <c r="X546" s="88"/>
      <c r="Y546" s="88"/>
      <c r="Z546" s="88"/>
      <c r="AA546" s="88"/>
      <c r="AB546" s="88"/>
      <c r="AD546" s="86">
        <f t="shared" si="151"/>
      </c>
      <c r="AE546" s="86">
        <f t="shared" si="152"/>
      </c>
      <c r="AG546" s="86">
        <f t="shared" si="153"/>
      </c>
      <c r="AH546" s="86">
        <f t="shared" si="154"/>
      </c>
      <c r="AI546" s="86">
        <f t="shared" si="155"/>
      </c>
    </row>
    <row r="547" spans="6:35" x14ac:dyDescent="0.3">
      <c r="F547" s="26">
        <f>IF(G547=1,MAX($F$4:F546)+1,"")</f>
        <v/>
      </c>
      <c r="G547" s="26">
        <f>COUNTIF($H$5:H547,H547)</f>
      </c>
      <c r="H547" s="26">
        <f t="shared" si="156"/>
      </c>
      <c r="I547" s="26">
        <f>COUNTIF($J$4:$J547,1)</f>
      </c>
      <c r="J547" s="26">
        <f>COUNTIF($S$5:$S547,S547)</f>
      </c>
      <c r="K547" s="26">
        <f t="shared" si="145"/>
      </c>
      <c r="L547" s="26">
        <f>IFERROR(IF(P547=0,0,MAX($L$4:L546)+1),0)</f>
      </c>
      <c r="M547" s="5">
        <f t="shared" si="157"/>
      </c>
      <c r="N547" s="5">
        <f t="shared" si="158"/>
      </c>
      <c r="P547" s="86">
        <f t="shared" si="146"/>
      </c>
      <c r="Q547" s="86">
        <f t="shared" si="147"/>
      </c>
      <c r="R547" s="86">
        <f t="shared" si="148"/>
      </c>
      <c r="S547" s="86">
        <f t="shared" si="149"/>
      </c>
      <c r="T547" s="86">
        <f t="shared" si="159"/>
        <v/>
      </c>
      <c r="U547" s="86">
        <f t="shared" si="160"/>
        <v/>
      </c>
      <c r="V547" s="86">
        <f t="shared" si="161"/>
        <v/>
      </c>
      <c r="W547" s="87">
        <f t="shared" si="150"/>
      </c>
      <c r="X547" s="88"/>
      <c r="Y547" s="88"/>
      <c r="Z547" s="88"/>
      <c r="AA547" s="88"/>
      <c r="AB547" s="88"/>
      <c r="AD547" s="86">
        <f t="shared" si="151"/>
      </c>
      <c r="AE547" s="86">
        <f t="shared" si="152"/>
      </c>
      <c r="AG547" s="86">
        <f t="shared" si="153"/>
      </c>
      <c r="AH547" s="86">
        <f t="shared" si="154"/>
      </c>
      <c r="AI547" s="86">
        <f t="shared" si="155"/>
      </c>
    </row>
    <row r="548" spans="6:35" x14ac:dyDescent="0.3">
      <c r="F548" s="26">
        <f>IF(G548=1,MAX($F$4:F547)+1,"")</f>
        <v/>
      </c>
      <c r="G548" s="26">
        <f>COUNTIF($H$5:H548,H548)</f>
      </c>
      <c r="H548" s="26">
        <f t="shared" si="156"/>
      </c>
      <c r="I548" s="26">
        <f>COUNTIF($J$4:$J548,1)</f>
      </c>
      <c r="J548" s="26">
        <f>COUNTIF($S$5:$S548,S548)</f>
      </c>
      <c r="K548" s="26">
        <f t="shared" si="145"/>
      </c>
      <c r="L548" s="26">
        <f>IFERROR(IF(P548=0,0,MAX($L$4:L547)+1),0)</f>
      </c>
      <c r="M548" s="5">
        <f t="shared" si="157"/>
      </c>
      <c r="N548" s="5">
        <f t="shared" si="158"/>
      </c>
      <c r="P548" s="86">
        <f t="shared" si="146"/>
      </c>
      <c r="Q548" s="86">
        <f t="shared" si="147"/>
      </c>
      <c r="R548" s="86">
        <f t="shared" si="148"/>
      </c>
      <c r="S548" s="86">
        <f t="shared" si="149"/>
      </c>
      <c r="T548" s="86">
        <f t="shared" si="159"/>
        <v/>
      </c>
      <c r="U548" s="86">
        <f t="shared" si="160"/>
        <v/>
      </c>
      <c r="V548" s="86">
        <f t="shared" si="161"/>
        <v/>
      </c>
      <c r="W548" s="87">
        <f t="shared" si="150"/>
      </c>
      <c r="X548" s="88"/>
      <c r="Y548" s="88"/>
      <c r="Z548" s="88"/>
      <c r="AA548" s="88"/>
      <c r="AB548" s="88"/>
      <c r="AD548" s="86">
        <f t="shared" si="151"/>
      </c>
      <c r="AE548" s="86">
        <f t="shared" si="152"/>
      </c>
      <c r="AG548" s="86">
        <f t="shared" si="153"/>
      </c>
      <c r="AH548" s="86">
        <f t="shared" si="154"/>
      </c>
      <c r="AI548" s="86">
        <f t="shared" si="155"/>
      </c>
    </row>
    <row r="549" spans="6:35" x14ac:dyDescent="0.3">
      <c r="F549" s="26">
        <f>IF(G549=1,MAX($F$4:F548)+1,"")</f>
        <v/>
      </c>
      <c r="G549" s="26">
        <f>COUNTIF($H$5:H549,H549)</f>
      </c>
      <c r="H549" s="26">
        <f t="shared" si="156"/>
      </c>
      <c r="I549" s="26">
        <f>COUNTIF($J$4:$J549,1)</f>
      </c>
      <c r="J549" s="26">
        <f>COUNTIF($S$5:$S549,S549)</f>
      </c>
      <c r="K549" s="26">
        <f t="shared" si="145"/>
      </c>
      <c r="L549" s="26">
        <f>IFERROR(IF(P549=0,0,MAX($L$4:L548)+1),0)</f>
      </c>
      <c r="M549" s="5">
        <f t="shared" si="157"/>
      </c>
      <c r="N549" s="5">
        <f t="shared" si="158"/>
      </c>
      <c r="P549" s="86">
        <f t="shared" si="146"/>
      </c>
      <c r="Q549" s="86">
        <f t="shared" si="147"/>
      </c>
      <c r="R549" s="86">
        <f t="shared" si="148"/>
      </c>
      <c r="S549" s="86">
        <f t="shared" si="149"/>
      </c>
      <c r="T549" s="86">
        <f t="shared" si="159"/>
        <v/>
      </c>
      <c r="U549" s="86">
        <f t="shared" si="160"/>
        <v/>
      </c>
      <c r="V549" s="86">
        <f t="shared" si="161"/>
        <v/>
      </c>
      <c r="W549" s="87">
        <f t="shared" si="150"/>
      </c>
      <c r="X549" s="88"/>
      <c r="Y549" s="88"/>
      <c r="Z549" s="88"/>
      <c r="AA549" s="88"/>
      <c r="AB549" s="88"/>
      <c r="AD549" s="86">
        <f t="shared" si="151"/>
      </c>
      <c r="AE549" s="86">
        <f t="shared" si="152"/>
      </c>
      <c r="AG549" s="86">
        <f t="shared" si="153"/>
      </c>
      <c r="AH549" s="86">
        <f t="shared" si="154"/>
      </c>
      <c r="AI549" s="86">
        <f t="shared" si="155"/>
      </c>
    </row>
    <row r="550" spans="6:35" x14ac:dyDescent="0.3">
      <c r="F550" s="26">
        <f>IF(G550=1,MAX($F$4:F549)+1,"")</f>
        <v/>
      </c>
      <c r="G550" s="26">
        <f>COUNTIF($H$5:H550,H550)</f>
      </c>
      <c r="H550" s="26">
        <f t="shared" si="156"/>
      </c>
      <c r="I550" s="26">
        <f>COUNTIF($J$4:$J550,1)</f>
      </c>
      <c r="J550" s="26">
        <f>COUNTIF($S$5:$S550,S550)</f>
      </c>
      <c r="K550" s="26">
        <f t="shared" si="145"/>
      </c>
      <c r="L550" s="26">
        <f>IFERROR(IF(P550=0,0,MAX($L$4:L549)+1),0)</f>
      </c>
      <c r="M550" s="5">
        <f t="shared" si="157"/>
      </c>
      <c r="N550" s="5">
        <f t="shared" si="158"/>
      </c>
      <c r="P550" s="86">
        <f t="shared" si="146"/>
      </c>
      <c r="Q550" s="86">
        <f t="shared" si="147"/>
      </c>
      <c r="R550" s="86">
        <f t="shared" si="148"/>
      </c>
      <c r="S550" s="86">
        <f t="shared" si="149"/>
      </c>
      <c r="T550" s="86">
        <f t="shared" si="159"/>
        <v/>
      </c>
      <c r="U550" s="86">
        <f t="shared" si="160"/>
        <v/>
      </c>
      <c r="V550" s="86">
        <f t="shared" si="161"/>
        <v/>
      </c>
      <c r="W550" s="87">
        <f t="shared" si="150"/>
      </c>
      <c r="X550" s="88"/>
      <c r="Y550" s="88"/>
      <c r="Z550" s="88"/>
      <c r="AA550" s="88"/>
      <c r="AB550" s="88"/>
      <c r="AD550" s="86">
        <f t="shared" si="151"/>
      </c>
      <c r="AE550" s="86">
        <f t="shared" si="152"/>
      </c>
      <c r="AG550" s="86">
        <f t="shared" si="153"/>
      </c>
      <c r="AH550" s="86">
        <f t="shared" si="154"/>
      </c>
      <c r="AI550" s="86">
        <f t="shared" si="155"/>
      </c>
    </row>
    <row r="551" spans="6:35" x14ac:dyDescent="0.3">
      <c r="F551" s="26">
        <f>IF(G551=1,MAX($F$4:F550)+1,"")</f>
        <v/>
      </c>
      <c r="G551" s="26">
        <f>COUNTIF($H$5:H551,H551)</f>
      </c>
      <c r="H551" s="26">
        <f t="shared" si="156"/>
      </c>
      <c r="I551" s="26">
        <f>COUNTIF($J$4:$J551,1)</f>
      </c>
      <c r="J551" s="26">
        <f>COUNTIF($S$5:$S551,S551)</f>
      </c>
      <c r="K551" s="26">
        <f t="shared" si="145"/>
      </c>
      <c r="L551" s="26">
        <f>IFERROR(IF(P551=0,0,MAX($L$4:L550)+1),0)</f>
      </c>
      <c r="M551" s="5">
        <f t="shared" si="157"/>
      </c>
      <c r="N551" s="5">
        <f t="shared" si="158"/>
      </c>
      <c r="P551" s="86">
        <f t="shared" si="146"/>
      </c>
      <c r="Q551" s="86">
        <f t="shared" si="147"/>
      </c>
      <c r="R551" s="86">
        <f t="shared" si="148"/>
      </c>
      <c r="S551" s="86">
        <f t="shared" si="149"/>
      </c>
      <c r="T551" s="86">
        <f t="shared" si="159"/>
        <v/>
      </c>
      <c r="U551" s="86">
        <f t="shared" si="160"/>
        <v/>
      </c>
      <c r="V551" s="86">
        <f t="shared" si="161"/>
        <v/>
      </c>
      <c r="W551" s="87">
        <f t="shared" si="150"/>
      </c>
      <c r="X551" s="88"/>
      <c r="Y551" s="88"/>
      <c r="Z551" s="88"/>
      <c r="AA551" s="88"/>
      <c r="AB551" s="88"/>
      <c r="AD551" s="86">
        <f t="shared" si="151"/>
      </c>
      <c r="AE551" s="86">
        <f t="shared" si="152"/>
      </c>
      <c r="AG551" s="86">
        <f t="shared" si="153"/>
      </c>
      <c r="AH551" s="86">
        <f t="shared" si="154"/>
      </c>
      <c r="AI551" s="86">
        <f t="shared" si="155"/>
      </c>
    </row>
    <row r="552" spans="6:35" x14ac:dyDescent="0.3">
      <c r="F552" s="26">
        <f>IF(G552=1,MAX($F$4:F551)+1,"")</f>
        <v/>
      </c>
      <c r="G552" s="26">
        <f>COUNTIF($H$5:H552,H552)</f>
      </c>
      <c r="H552" s="26">
        <f t="shared" si="156"/>
      </c>
      <c r="I552" s="26">
        <f>COUNTIF($J$4:$J552,1)</f>
      </c>
      <c r="J552" s="26">
        <f>COUNTIF($S$5:$S552,S552)</f>
      </c>
      <c r="K552" s="26">
        <f t="shared" si="145"/>
      </c>
      <c r="L552" s="26">
        <f>IFERROR(IF(P552=0,0,MAX($L$4:L551)+1),0)</f>
      </c>
      <c r="M552" s="5">
        <f t="shared" si="157"/>
      </c>
      <c r="N552" s="5">
        <f t="shared" si="158"/>
      </c>
      <c r="P552" s="86">
        <f t="shared" si="146"/>
      </c>
      <c r="Q552" s="86">
        <f t="shared" si="147"/>
      </c>
      <c r="R552" s="86">
        <f t="shared" si="148"/>
      </c>
      <c r="S552" s="86">
        <f t="shared" si="149"/>
      </c>
      <c r="T552" s="86">
        <f t="shared" si="159"/>
        <v/>
      </c>
      <c r="U552" s="86">
        <f t="shared" si="160"/>
        <v/>
      </c>
      <c r="V552" s="86">
        <f t="shared" si="161"/>
        <v/>
      </c>
      <c r="W552" s="87">
        <f t="shared" si="150"/>
      </c>
      <c r="X552" s="88"/>
      <c r="Y552" s="88"/>
      <c r="Z552" s="88"/>
      <c r="AA552" s="88"/>
      <c r="AB552" s="88"/>
      <c r="AD552" s="86">
        <f t="shared" si="151"/>
      </c>
      <c r="AE552" s="86">
        <f t="shared" si="152"/>
      </c>
      <c r="AG552" s="86">
        <f t="shared" si="153"/>
      </c>
      <c r="AH552" s="86">
        <f t="shared" si="154"/>
      </c>
      <c r="AI552" s="86">
        <f t="shared" si="155"/>
      </c>
    </row>
    <row r="553" spans="6:35" x14ac:dyDescent="0.3">
      <c r="F553" s="26">
        <f>IF(G553=1,MAX($F$4:F552)+1,"")</f>
        <v/>
      </c>
      <c r="G553" s="26">
        <f>COUNTIF($H$5:H553,H553)</f>
      </c>
      <c r="H553" s="26">
        <f t="shared" si="156"/>
      </c>
      <c r="I553" s="26">
        <f>COUNTIF($J$4:$J553,1)</f>
      </c>
      <c r="J553" s="26">
        <f>COUNTIF($S$5:$S553,S553)</f>
      </c>
      <c r="K553" s="26">
        <f t="shared" si="145"/>
      </c>
      <c r="L553" s="26">
        <f>IFERROR(IF(P553=0,0,MAX($L$4:L552)+1),0)</f>
      </c>
      <c r="M553" s="5">
        <f t="shared" si="157"/>
      </c>
      <c r="N553" s="5">
        <f t="shared" si="158"/>
      </c>
      <c r="P553" s="86">
        <f t="shared" si="146"/>
      </c>
      <c r="Q553" s="86">
        <f t="shared" si="147"/>
      </c>
      <c r="R553" s="86">
        <f t="shared" si="148"/>
      </c>
      <c r="S553" s="86">
        <f t="shared" si="149"/>
      </c>
      <c r="T553" s="86">
        <f t="shared" si="159"/>
        <v/>
      </c>
      <c r="U553" s="86">
        <f t="shared" si="160"/>
        <v/>
      </c>
      <c r="V553" s="86">
        <f t="shared" si="161"/>
        <v/>
      </c>
      <c r="W553" s="87">
        <f t="shared" si="150"/>
      </c>
      <c r="X553" s="88"/>
      <c r="Y553" s="88"/>
      <c r="Z553" s="88"/>
      <c r="AA553" s="88"/>
      <c r="AB553" s="88"/>
      <c r="AD553" s="86">
        <f t="shared" si="151"/>
      </c>
      <c r="AE553" s="86">
        <f t="shared" si="152"/>
      </c>
      <c r="AG553" s="86">
        <f t="shared" si="153"/>
      </c>
      <c r="AH553" s="86">
        <f t="shared" si="154"/>
      </c>
      <c r="AI553" s="86">
        <f t="shared" si="155"/>
      </c>
    </row>
    <row r="554" spans="6:35" x14ac:dyDescent="0.3">
      <c r="F554" s="26">
        <f>IF(G554=1,MAX($F$4:F553)+1,"")</f>
        <v/>
      </c>
      <c r="G554" s="26">
        <f>COUNTIF($H$5:H554,H554)</f>
      </c>
      <c r="H554" s="26">
        <f t="shared" si="156"/>
      </c>
      <c r="I554" s="26">
        <f>COUNTIF($J$4:$J554,1)</f>
      </c>
      <c r="J554" s="26">
        <f>COUNTIF($S$5:$S554,S554)</f>
      </c>
      <c r="K554" s="26">
        <f t="shared" si="145"/>
      </c>
      <c r="L554" s="26">
        <f>IFERROR(IF(P554=0,0,MAX($L$4:L553)+1),0)</f>
      </c>
      <c r="M554" s="5">
        <f t="shared" si="157"/>
      </c>
      <c r="N554" s="5">
        <f t="shared" si="158"/>
      </c>
      <c r="P554" s="86">
        <f t="shared" si="146"/>
      </c>
      <c r="Q554" s="86">
        <f t="shared" si="147"/>
      </c>
      <c r="R554" s="86">
        <f t="shared" si="148"/>
      </c>
      <c r="S554" s="86">
        <f t="shared" si="149"/>
      </c>
      <c r="T554" s="86">
        <f t="shared" si="159"/>
        <v/>
      </c>
      <c r="U554" s="86">
        <f t="shared" si="160"/>
        <v/>
      </c>
      <c r="V554" s="86">
        <f t="shared" si="161"/>
        <v/>
      </c>
      <c r="W554" s="87">
        <f t="shared" si="150"/>
      </c>
      <c r="X554" s="88"/>
      <c r="Y554" s="88"/>
      <c r="Z554" s="88"/>
      <c r="AA554" s="88"/>
      <c r="AB554" s="88"/>
      <c r="AD554" s="86">
        <f t="shared" si="151"/>
      </c>
      <c r="AE554" s="86">
        <f t="shared" si="152"/>
      </c>
      <c r="AG554" s="86">
        <f t="shared" si="153"/>
      </c>
      <c r="AH554" s="86">
        <f t="shared" si="154"/>
      </c>
      <c r="AI554" s="86">
        <f t="shared" si="155"/>
      </c>
    </row>
    <row r="555" spans="6:35" x14ac:dyDescent="0.3">
      <c r="F555" s="26">
        <f>IF(G555=1,MAX($F$4:F554)+1,"")</f>
        <v/>
      </c>
      <c r="G555" s="26">
        <f>COUNTIF($H$5:H555,H555)</f>
      </c>
      <c r="H555" s="26">
        <f t="shared" si="156"/>
      </c>
      <c r="I555" s="26">
        <f>COUNTIF($J$4:$J555,1)</f>
      </c>
      <c r="J555" s="26">
        <f>COUNTIF($S$5:$S555,S555)</f>
      </c>
      <c r="K555" s="26">
        <f t="shared" si="145"/>
      </c>
      <c r="L555" s="26">
        <f>IFERROR(IF(P555=0,0,MAX($L$4:L554)+1),0)</f>
      </c>
      <c r="M555" s="5">
        <f t="shared" si="157"/>
      </c>
      <c r="N555" s="5">
        <f t="shared" si="158"/>
      </c>
      <c r="P555" s="86">
        <f t="shared" si="146"/>
      </c>
      <c r="Q555" s="86">
        <f t="shared" si="147"/>
      </c>
      <c r="R555" s="86">
        <f t="shared" si="148"/>
      </c>
      <c r="S555" s="86">
        <f t="shared" si="149"/>
      </c>
      <c r="T555" s="86">
        <f t="shared" si="159"/>
        <v/>
      </c>
      <c r="U555" s="86">
        <f t="shared" si="160"/>
        <v/>
      </c>
      <c r="V555" s="86">
        <f t="shared" si="161"/>
        <v/>
      </c>
      <c r="W555" s="87">
        <f t="shared" si="150"/>
      </c>
      <c r="X555" s="88"/>
      <c r="Y555" s="88"/>
      <c r="Z555" s="88"/>
      <c r="AA555" s="88"/>
      <c r="AB555" s="88"/>
      <c r="AD555" s="86">
        <f t="shared" si="151"/>
      </c>
      <c r="AE555" s="86">
        <f t="shared" si="152"/>
      </c>
      <c r="AG555" s="86">
        <f t="shared" si="153"/>
      </c>
      <c r="AH555" s="86">
        <f t="shared" si="154"/>
      </c>
      <c r="AI555" s="86">
        <f t="shared" si="155"/>
      </c>
    </row>
    <row r="556" spans="6:35" x14ac:dyDescent="0.3">
      <c r="F556" s="26">
        <f>IF(G556=1,MAX($F$4:F555)+1,"")</f>
        <v/>
      </c>
      <c r="G556" s="26">
        <f>COUNTIF($H$5:H556,H556)</f>
      </c>
      <c r="H556" s="26">
        <f t="shared" si="156"/>
      </c>
      <c r="I556" s="26">
        <f>COUNTIF($J$4:$J556,1)</f>
      </c>
      <c r="J556" s="26">
        <f>COUNTIF($S$5:$S556,S556)</f>
      </c>
      <c r="K556" s="26">
        <f t="shared" si="145"/>
      </c>
      <c r="L556" s="26">
        <f>IFERROR(IF(P556=0,0,MAX($L$4:L555)+1),0)</f>
      </c>
      <c r="M556" s="5">
        <f t="shared" si="157"/>
      </c>
      <c r="N556" s="5">
        <f t="shared" si="158"/>
      </c>
      <c r="P556" s="86">
        <f t="shared" si="146"/>
      </c>
      <c r="Q556" s="86">
        <f t="shared" si="147"/>
      </c>
      <c r="R556" s="86">
        <f t="shared" si="148"/>
      </c>
      <c r="S556" s="86">
        <f t="shared" si="149"/>
      </c>
      <c r="T556" s="86">
        <f t="shared" si="159"/>
        <v/>
      </c>
      <c r="U556" s="86">
        <f t="shared" si="160"/>
        <v/>
      </c>
      <c r="V556" s="86">
        <f t="shared" si="161"/>
        <v/>
      </c>
      <c r="W556" s="87">
        <f t="shared" si="150"/>
      </c>
      <c r="X556" s="88"/>
      <c r="Y556" s="88"/>
      <c r="Z556" s="88"/>
      <c r="AA556" s="88"/>
      <c r="AB556" s="88"/>
      <c r="AD556" s="86">
        <f t="shared" si="151"/>
      </c>
      <c r="AE556" s="86">
        <f t="shared" si="152"/>
      </c>
      <c r="AG556" s="86">
        <f t="shared" si="153"/>
      </c>
      <c r="AH556" s="86">
        <f t="shared" si="154"/>
      </c>
      <c r="AI556" s="86">
        <f t="shared" si="155"/>
      </c>
    </row>
    <row r="557" spans="6:35" x14ac:dyDescent="0.3">
      <c r="F557" s="26">
        <f>IF(G557=1,MAX($F$4:F556)+1,"")</f>
        <v/>
      </c>
      <c r="G557" s="26">
        <f>COUNTIF($H$5:H557,H557)</f>
      </c>
      <c r="H557" s="26">
        <f t="shared" si="156"/>
      </c>
      <c r="I557" s="26">
        <f>COUNTIF($J$4:$J557,1)</f>
      </c>
      <c r="J557" s="26">
        <f>COUNTIF($S$5:$S557,S557)</f>
      </c>
      <c r="K557" s="26">
        <f t="shared" si="145"/>
      </c>
      <c r="L557" s="26">
        <f>IFERROR(IF(P557=0,0,MAX($L$4:L556)+1),0)</f>
      </c>
      <c r="M557" s="5">
        <f t="shared" si="157"/>
      </c>
      <c r="N557" s="5">
        <f t="shared" si="158"/>
      </c>
      <c r="P557" s="86">
        <f t="shared" si="146"/>
      </c>
      <c r="Q557" s="86">
        <f t="shared" si="147"/>
      </c>
      <c r="R557" s="86">
        <f t="shared" si="148"/>
      </c>
      <c r="S557" s="86">
        <f t="shared" si="149"/>
      </c>
      <c r="T557" s="86">
        <f t="shared" si="159"/>
        <v/>
      </c>
      <c r="U557" s="86">
        <f t="shared" si="160"/>
        <v/>
      </c>
      <c r="V557" s="86">
        <f t="shared" si="161"/>
        <v/>
      </c>
      <c r="W557" s="87">
        <f t="shared" si="150"/>
      </c>
      <c r="X557" s="88"/>
      <c r="Y557" s="88"/>
      <c r="Z557" s="88"/>
      <c r="AA557" s="88"/>
      <c r="AB557" s="88"/>
      <c r="AD557" s="86">
        <f t="shared" si="151"/>
      </c>
      <c r="AE557" s="86">
        <f t="shared" si="152"/>
      </c>
      <c r="AG557" s="86">
        <f t="shared" si="153"/>
      </c>
      <c r="AH557" s="86">
        <f t="shared" si="154"/>
      </c>
      <c r="AI557" s="86">
        <f t="shared" si="155"/>
      </c>
    </row>
    <row r="558" spans="6:35" x14ac:dyDescent="0.3">
      <c r="F558" s="26">
        <f>IF(G558=1,MAX($F$4:F557)+1,"")</f>
        <v/>
      </c>
      <c r="G558" s="26">
        <f>COUNTIF($H$5:H558,H558)</f>
      </c>
      <c r="H558" s="26">
        <f t="shared" si="156"/>
      </c>
      <c r="I558" s="26">
        <f>COUNTIF($J$4:$J558,1)</f>
      </c>
      <c r="J558" s="26">
        <f>COUNTIF($S$5:$S558,S558)</f>
      </c>
      <c r="K558" s="26">
        <f t="shared" si="145"/>
      </c>
      <c r="L558" s="26">
        <f>IFERROR(IF(P558=0,0,MAX($L$4:L557)+1),0)</f>
      </c>
      <c r="M558" s="5">
        <f t="shared" si="157"/>
      </c>
      <c r="N558" s="5">
        <f t="shared" si="158"/>
      </c>
      <c r="P558" s="86">
        <f t="shared" si="146"/>
      </c>
      <c r="Q558" s="86">
        <f t="shared" si="147"/>
      </c>
      <c r="R558" s="86">
        <f t="shared" si="148"/>
      </c>
      <c r="S558" s="86">
        <f t="shared" si="149"/>
      </c>
      <c r="T558" s="86">
        <f t="shared" si="159"/>
        <v/>
      </c>
      <c r="U558" s="86">
        <f t="shared" si="160"/>
        <v/>
      </c>
      <c r="V558" s="86">
        <f t="shared" si="161"/>
        <v/>
      </c>
      <c r="W558" s="87">
        <f t="shared" si="150"/>
      </c>
      <c r="X558" s="88"/>
      <c r="Y558" s="88"/>
      <c r="Z558" s="88"/>
      <c r="AA558" s="88"/>
      <c r="AB558" s="88"/>
      <c r="AD558" s="86">
        <f t="shared" si="151"/>
      </c>
      <c r="AE558" s="86">
        <f t="shared" si="152"/>
      </c>
      <c r="AG558" s="86">
        <f t="shared" si="153"/>
      </c>
      <c r="AH558" s="86">
        <f t="shared" si="154"/>
      </c>
      <c r="AI558" s="86">
        <f t="shared" si="155"/>
      </c>
    </row>
    <row r="559" spans="6:35" x14ac:dyDescent="0.3">
      <c r="F559" s="26">
        <f>IF(G559=1,MAX($F$4:F558)+1,"")</f>
        <v/>
      </c>
      <c r="G559" s="26">
        <f>COUNTIF($H$5:H559,H559)</f>
      </c>
      <c r="H559" s="26">
        <f t="shared" si="156"/>
      </c>
      <c r="I559" s="26">
        <f>COUNTIF($J$4:$J559,1)</f>
      </c>
      <c r="J559" s="26">
        <f>COUNTIF($S$5:$S559,S559)</f>
      </c>
      <c r="K559" s="26">
        <f t="shared" si="145"/>
      </c>
      <c r="L559" s="26">
        <f>IFERROR(IF(P559=0,0,MAX($L$4:L558)+1),0)</f>
      </c>
      <c r="M559" s="5">
        <f t="shared" si="157"/>
      </c>
      <c r="N559" s="5">
        <f t="shared" si="158"/>
      </c>
      <c r="P559" s="86">
        <f t="shared" si="146"/>
      </c>
      <c r="Q559" s="86">
        <f t="shared" si="147"/>
      </c>
      <c r="R559" s="86">
        <f t="shared" si="148"/>
      </c>
      <c r="S559" s="86">
        <f t="shared" si="149"/>
      </c>
      <c r="T559" s="86">
        <f t="shared" si="159"/>
        <v/>
      </c>
      <c r="U559" s="86">
        <f t="shared" si="160"/>
        <v/>
      </c>
      <c r="V559" s="86">
        <f t="shared" si="161"/>
        <v/>
      </c>
      <c r="W559" s="87">
        <f t="shared" si="150"/>
      </c>
      <c r="X559" s="88"/>
      <c r="Y559" s="88"/>
      <c r="Z559" s="88"/>
      <c r="AA559" s="88"/>
      <c r="AB559" s="88"/>
      <c r="AD559" s="86">
        <f t="shared" si="151"/>
      </c>
      <c r="AE559" s="86">
        <f t="shared" si="152"/>
      </c>
      <c r="AG559" s="86">
        <f t="shared" si="153"/>
      </c>
      <c r="AH559" s="86">
        <f t="shared" si="154"/>
      </c>
      <c r="AI559" s="86">
        <f t="shared" si="155"/>
      </c>
    </row>
    <row r="560" spans="6:35" x14ac:dyDescent="0.3">
      <c r="F560" s="26">
        <f>IF(G560=1,MAX($F$4:F559)+1,"")</f>
        <v/>
      </c>
      <c r="G560" s="26">
        <f>COUNTIF($H$5:H560,H560)</f>
      </c>
      <c r="H560" s="26">
        <f t="shared" si="156"/>
      </c>
      <c r="I560" s="26">
        <f>COUNTIF($J$4:$J560,1)</f>
      </c>
      <c r="J560" s="26">
        <f>COUNTIF($S$5:$S560,S560)</f>
      </c>
      <c r="K560" s="26">
        <f t="shared" si="145"/>
      </c>
      <c r="L560" s="26">
        <f>IFERROR(IF(P560=0,0,MAX($L$4:L559)+1),0)</f>
      </c>
      <c r="M560" s="5">
        <f t="shared" si="157"/>
      </c>
      <c r="N560" s="5">
        <f t="shared" si="158"/>
      </c>
      <c r="P560" s="86">
        <f t="shared" si="146"/>
      </c>
      <c r="Q560" s="86">
        <f t="shared" si="147"/>
      </c>
      <c r="R560" s="86">
        <f t="shared" si="148"/>
      </c>
      <c r="S560" s="86">
        <f t="shared" si="149"/>
      </c>
      <c r="T560" s="86">
        <f t="shared" si="159"/>
        <v/>
      </c>
      <c r="U560" s="86">
        <f t="shared" si="160"/>
        <v/>
      </c>
      <c r="V560" s="86">
        <f t="shared" si="161"/>
        <v/>
      </c>
      <c r="W560" s="87">
        <f t="shared" si="150"/>
      </c>
      <c r="X560" s="88"/>
      <c r="Y560" s="88"/>
      <c r="Z560" s="88"/>
      <c r="AA560" s="88"/>
      <c r="AB560" s="88"/>
      <c r="AD560" s="86">
        <f t="shared" si="151"/>
      </c>
      <c r="AE560" s="86">
        <f t="shared" si="152"/>
      </c>
      <c r="AG560" s="86">
        <f t="shared" si="153"/>
      </c>
      <c r="AH560" s="86">
        <f t="shared" si="154"/>
      </c>
      <c r="AI560" s="86">
        <f t="shared" si="155"/>
      </c>
    </row>
    <row r="561" spans="6:35" x14ac:dyDescent="0.3">
      <c r="F561" s="26">
        <f>IF(G561=1,MAX($F$4:F560)+1,"")</f>
        <v/>
      </c>
      <c r="G561" s="26">
        <f>COUNTIF($H$5:H561,H561)</f>
      </c>
      <c r="H561" s="26">
        <f t="shared" si="156"/>
      </c>
      <c r="I561" s="26">
        <f>COUNTIF($J$4:$J561,1)</f>
      </c>
      <c r="J561" s="26">
        <f>COUNTIF($S$5:$S561,S561)</f>
      </c>
      <c r="K561" s="26">
        <f t="shared" si="145"/>
      </c>
      <c r="L561" s="26">
        <f>IFERROR(IF(P561=0,0,MAX($L$4:L560)+1),0)</f>
      </c>
      <c r="M561" s="5">
        <f t="shared" si="157"/>
      </c>
      <c r="N561" s="5">
        <f t="shared" si="158"/>
      </c>
      <c r="P561" s="86">
        <f t="shared" si="146"/>
      </c>
      <c r="Q561" s="86">
        <f t="shared" si="147"/>
      </c>
      <c r="R561" s="86">
        <f t="shared" si="148"/>
      </c>
      <c r="S561" s="86">
        <f t="shared" si="149"/>
      </c>
      <c r="T561" s="86">
        <f t="shared" si="159"/>
        <v/>
      </c>
      <c r="U561" s="86">
        <f t="shared" si="160"/>
        <v/>
      </c>
      <c r="V561" s="86">
        <f t="shared" si="161"/>
        <v/>
      </c>
      <c r="W561" s="87">
        <f t="shared" si="150"/>
      </c>
      <c r="X561" s="88"/>
      <c r="Y561" s="88"/>
      <c r="Z561" s="88"/>
      <c r="AA561" s="88"/>
      <c r="AB561" s="88"/>
      <c r="AD561" s="86">
        <f t="shared" si="151"/>
      </c>
      <c r="AE561" s="86">
        <f t="shared" si="152"/>
      </c>
      <c r="AG561" s="86">
        <f t="shared" si="153"/>
      </c>
      <c r="AH561" s="86">
        <f t="shared" si="154"/>
      </c>
      <c r="AI561" s="86">
        <f t="shared" si="155"/>
      </c>
    </row>
    <row r="562" spans="6:35" x14ac:dyDescent="0.3">
      <c r="F562" s="26">
        <f>IF(G562=1,MAX($F$4:F561)+1,"")</f>
        <v/>
      </c>
      <c r="G562" s="26">
        <f>COUNTIF($H$5:H562,H562)</f>
      </c>
      <c r="H562" s="26">
        <f t="shared" si="156"/>
      </c>
      <c r="I562" s="26">
        <f>COUNTIF($J$4:$J562,1)</f>
      </c>
      <c r="J562" s="26">
        <f>COUNTIF($S$5:$S562,S562)</f>
      </c>
      <c r="K562" s="26">
        <f t="shared" si="145"/>
      </c>
      <c r="L562" s="26">
        <f>IFERROR(IF(P562=0,0,MAX($L$4:L561)+1),0)</f>
      </c>
      <c r="M562" s="5">
        <f t="shared" si="157"/>
      </c>
      <c r="N562" s="5">
        <f t="shared" si="158"/>
      </c>
      <c r="P562" s="86">
        <f t="shared" si="146"/>
      </c>
      <c r="Q562" s="86">
        <f t="shared" si="147"/>
      </c>
      <c r="R562" s="86">
        <f t="shared" si="148"/>
      </c>
      <c r="S562" s="86">
        <f t="shared" si="149"/>
      </c>
      <c r="T562" s="86">
        <f t="shared" si="159"/>
        <v/>
      </c>
      <c r="U562" s="86">
        <f t="shared" si="160"/>
        <v/>
      </c>
      <c r="V562" s="86">
        <f t="shared" si="161"/>
        <v/>
      </c>
      <c r="W562" s="87">
        <f t="shared" si="150"/>
      </c>
      <c r="X562" s="88"/>
      <c r="Y562" s="88"/>
      <c r="Z562" s="88"/>
      <c r="AA562" s="88"/>
      <c r="AB562" s="88"/>
      <c r="AD562" s="86">
        <f t="shared" si="151"/>
      </c>
      <c r="AE562" s="86">
        <f t="shared" si="152"/>
      </c>
      <c r="AG562" s="86">
        <f t="shared" si="153"/>
      </c>
      <c r="AH562" s="86">
        <f t="shared" si="154"/>
      </c>
      <c r="AI562" s="86">
        <f t="shared" si="155"/>
      </c>
    </row>
    <row r="563" spans="6:35" x14ac:dyDescent="0.3">
      <c r="F563" s="26">
        <f>IF(G563=1,MAX($F$4:F562)+1,"")</f>
        <v/>
      </c>
      <c r="G563" s="26">
        <f>COUNTIF($H$5:H563,H563)</f>
      </c>
      <c r="H563" s="26">
        <f t="shared" si="156"/>
      </c>
      <c r="I563" s="26">
        <f>COUNTIF($J$4:$J563,1)</f>
      </c>
      <c r="J563" s="26">
        <f>COUNTIF($S$5:$S563,S563)</f>
      </c>
      <c r="K563" s="26">
        <f t="shared" si="145"/>
      </c>
      <c r="L563" s="26">
        <f>IFERROR(IF(P563=0,0,MAX($L$4:L562)+1),0)</f>
      </c>
      <c r="M563" s="5">
        <f t="shared" si="157"/>
      </c>
      <c r="N563" s="5">
        <f t="shared" si="158"/>
      </c>
      <c r="P563" s="86">
        <f t="shared" si="146"/>
      </c>
      <c r="Q563" s="86">
        <f t="shared" si="147"/>
      </c>
      <c r="R563" s="86">
        <f t="shared" si="148"/>
      </c>
      <c r="S563" s="86">
        <f t="shared" si="149"/>
      </c>
      <c r="T563" s="86">
        <f t="shared" si="159"/>
        <v/>
      </c>
      <c r="U563" s="86">
        <f t="shared" si="160"/>
        <v/>
      </c>
      <c r="V563" s="86">
        <f t="shared" si="161"/>
        <v/>
      </c>
      <c r="W563" s="87">
        <f t="shared" si="150"/>
      </c>
      <c r="X563" s="88"/>
      <c r="Y563" s="88"/>
      <c r="Z563" s="88"/>
      <c r="AA563" s="88"/>
      <c r="AB563" s="88"/>
      <c r="AD563" s="86">
        <f t="shared" si="151"/>
      </c>
      <c r="AE563" s="86">
        <f t="shared" si="152"/>
      </c>
      <c r="AG563" s="86">
        <f t="shared" si="153"/>
      </c>
      <c r="AH563" s="86">
        <f t="shared" si="154"/>
      </c>
      <c r="AI563" s="86">
        <f t="shared" si="155"/>
      </c>
    </row>
    <row r="564" spans="6:35" x14ac:dyDescent="0.3">
      <c r="F564" s="26">
        <f>IF(G564=1,MAX($F$4:F563)+1,"")</f>
        <v/>
      </c>
      <c r="G564" s="26">
        <f>COUNTIF($H$5:H564,H564)</f>
      </c>
      <c r="H564" s="26">
        <f t="shared" si="156"/>
      </c>
      <c r="I564" s="26">
        <f>COUNTIF($J$4:$J564,1)</f>
      </c>
      <c r="J564" s="26">
        <f>COUNTIF($S$5:$S564,S564)</f>
      </c>
      <c r="K564" s="26">
        <f t="shared" si="145"/>
      </c>
      <c r="L564" s="26">
        <f>IFERROR(IF(P564=0,0,MAX($L$4:L563)+1),0)</f>
      </c>
      <c r="M564" s="5">
        <f t="shared" si="157"/>
      </c>
      <c r="N564" s="5">
        <f t="shared" si="158"/>
      </c>
      <c r="P564" s="86">
        <f t="shared" si="146"/>
      </c>
      <c r="Q564" s="86">
        <f t="shared" si="147"/>
      </c>
      <c r="R564" s="86">
        <f t="shared" si="148"/>
      </c>
      <c r="S564" s="86">
        <f t="shared" si="149"/>
      </c>
      <c r="T564" s="86">
        <f t="shared" si="159"/>
        <v/>
      </c>
      <c r="U564" s="86">
        <f t="shared" si="160"/>
        <v/>
      </c>
      <c r="V564" s="86">
        <f t="shared" si="161"/>
        <v/>
      </c>
      <c r="W564" s="87">
        <f t="shared" si="150"/>
      </c>
      <c r="X564" s="88"/>
      <c r="Y564" s="88"/>
      <c r="Z564" s="88"/>
      <c r="AA564" s="88"/>
      <c r="AB564" s="88"/>
      <c r="AD564" s="86">
        <f t="shared" si="151"/>
      </c>
      <c r="AE564" s="86">
        <f t="shared" si="152"/>
      </c>
      <c r="AG564" s="86">
        <f t="shared" si="153"/>
      </c>
      <c r="AH564" s="86">
        <f t="shared" si="154"/>
      </c>
      <c r="AI564" s="86">
        <f t="shared" si="155"/>
      </c>
    </row>
    <row r="565" spans="6:35" x14ac:dyDescent="0.3">
      <c r="F565" s="26">
        <f>IF(G565=1,MAX($F$4:F564)+1,"")</f>
        <v/>
      </c>
      <c r="G565" s="26">
        <f>COUNTIF($H$5:H565,H565)</f>
      </c>
      <c r="H565" s="26">
        <f t="shared" si="156"/>
      </c>
      <c r="I565" s="26">
        <f>COUNTIF($J$4:$J565,1)</f>
      </c>
      <c r="J565" s="26">
        <f>COUNTIF($S$5:$S565,S565)</f>
      </c>
      <c r="K565" s="26">
        <f t="shared" si="145"/>
      </c>
      <c r="L565" s="26">
        <f>IFERROR(IF(P565=0,0,MAX($L$4:L564)+1),0)</f>
      </c>
      <c r="M565" s="5">
        <f t="shared" si="157"/>
      </c>
      <c r="N565" s="5">
        <f t="shared" si="158"/>
      </c>
      <c r="P565" s="86">
        <f t="shared" si="146"/>
      </c>
      <c r="Q565" s="86">
        <f t="shared" si="147"/>
      </c>
      <c r="R565" s="86">
        <f t="shared" si="148"/>
      </c>
      <c r="S565" s="86">
        <f t="shared" si="149"/>
      </c>
      <c r="T565" s="86">
        <f t="shared" si="159"/>
        <v/>
      </c>
      <c r="U565" s="86">
        <f t="shared" si="160"/>
        <v/>
      </c>
      <c r="V565" s="86">
        <f t="shared" si="161"/>
        <v/>
      </c>
      <c r="W565" s="87">
        <f t="shared" si="150"/>
      </c>
      <c r="X565" s="88"/>
      <c r="Y565" s="88"/>
      <c r="Z565" s="88"/>
      <c r="AA565" s="88"/>
      <c r="AB565" s="88"/>
      <c r="AD565" s="86">
        <f t="shared" si="151"/>
      </c>
      <c r="AE565" s="86">
        <f t="shared" si="152"/>
      </c>
      <c r="AG565" s="86">
        <f t="shared" si="153"/>
      </c>
      <c r="AH565" s="86">
        <f t="shared" si="154"/>
      </c>
      <c r="AI565" s="86">
        <f t="shared" si="155"/>
      </c>
    </row>
    <row r="566" spans="6:35" x14ac:dyDescent="0.3">
      <c r="F566" s="26">
        <f>IF(G566=1,MAX($F$4:F565)+1,"")</f>
        <v/>
      </c>
      <c r="G566" s="26">
        <f>COUNTIF($H$5:H566,H566)</f>
      </c>
      <c r="H566" s="26">
        <f t="shared" si="156"/>
      </c>
      <c r="I566" s="26">
        <f>COUNTIF($J$4:$J566,1)</f>
      </c>
      <c r="J566" s="26">
        <f>COUNTIF($S$5:$S566,S566)</f>
      </c>
      <c r="K566" s="26">
        <f t="shared" si="145"/>
      </c>
      <c r="L566" s="26">
        <f>IFERROR(IF(P566=0,0,MAX($L$4:L565)+1),0)</f>
      </c>
      <c r="M566" s="5">
        <f t="shared" si="157"/>
      </c>
      <c r="N566" s="5">
        <f t="shared" si="158"/>
      </c>
      <c r="P566" s="86">
        <f t="shared" si="146"/>
      </c>
      <c r="Q566" s="86">
        <f t="shared" si="147"/>
      </c>
      <c r="R566" s="86">
        <f t="shared" si="148"/>
      </c>
      <c r="S566" s="86">
        <f t="shared" si="149"/>
      </c>
      <c r="T566" s="86">
        <f t="shared" si="159"/>
        <v/>
      </c>
      <c r="U566" s="86">
        <f t="shared" si="160"/>
        <v/>
      </c>
      <c r="V566" s="86">
        <f t="shared" si="161"/>
        <v/>
      </c>
      <c r="W566" s="87">
        <f t="shared" si="150"/>
      </c>
      <c r="X566" s="88"/>
      <c r="Y566" s="88"/>
      <c r="Z566" s="88"/>
      <c r="AA566" s="88"/>
      <c r="AB566" s="88"/>
      <c r="AD566" s="86">
        <f t="shared" si="151"/>
      </c>
      <c r="AE566" s="86">
        <f t="shared" si="152"/>
      </c>
      <c r="AG566" s="86">
        <f t="shared" si="153"/>
      </c>
      <c r="AH566" s="86">
        <f t="shared" si="154"/>
      </c>
      <c r="AI566" s="86">
        <f t="shared" si="155"/>
      </c>
    </row>
    <row r="567" spans="6:35" x14ac:dyDescent="0.3">
      <c r="F567" s="26">
        <f>IF(G567=1,MAX($F$4:F566)+1,"")</f>
        <v/>
      </c>
      <c r="G567" s="26">
        <f>COUNTIF($H$5:H567,H567)</f>
      </c>
      <c r="H567" s="26">
        <f t="shared" si="156"/>
      </c>
      <c r="I567" s="26">
        <f>COUNTIF($J$4:$J567,1)</f>
      </c>
      <c r="J567" s="26">
        <f>COUNTIF($S$5:$S567,S567)</f>
      </c>
      <c r="K567" s="26">
        <f t="shared" si="145"/>
      </c>
      <c r="L567" s="26">
        <f>IFERROR(IF(P567=0,0,MAX($L$4:L566)+1),0)</f>
      </c>
      <c r="M567" s="5">
        <f t="shared" si="157"/>
      </c>
      <c r="N567" s="5">
        <f t="shared" si="158"/>
      </c>
      <c r="P567" s="86">
        <f t="shared" si="146"/>
      </c>
      <c r="Q567" s="86">
        <f t="shared" si="147"/>
      </c>
      <c r="R567" s="86">
        <f t="shared" si="148"/>
      </c>
      <c r="S567" s="86">
        <f t="shared" si="149"/>
      </c>
      <c r="T567" s="86">
        <f t="shared" si="159"/>
        <v/>
      </c>
      <c r="U567" s="86">
        <f t="shared" si="160"/>
        <v/>
      </c>
      <c r="V567" s="86">
        <f t="shared" si="161"/>
        <v/>
      </c>
      <c r="W567" s="87">
        <f t="shared" si="150"/>
      </c>
      <c r="X567" s="88"/>
      <c r="Y567" s="88"/>
      <c r="Z567" s="88"/>
      <c r="AA567" s="88"/>
      <c r="AB567" s="88"/>
      <c r="AD567" s="86">
        <f t="shared" si="151"/>
      </c>
      <c r="AE567" s="86">
        <f t="shared" si="152"/>
      </c>
      <c r="AG567" s="86">
        <f t="shared" si="153"/>
      </c>
      <c r="AH567" s="86">
        <f t="shared" si="154"/>
      </c>
      <c r="AI567" s="86">
        <f t="shared" si="155"/>
      </c>
    </row>
    <row r="568" spans="6:35" x14ac:dyDescent="0.3">
      <c r="F568" s="26">
        <f>IF(G568=1,MAX($F$4:F567)+1,"")</f>
        <v/>
      </c>
      <c r="G568" s="26">
        <f>COUNTIF($H$5:H568,H568)</f>
      </c>
      <c r="H568" s="26">
        <f t="shared" si="156"/>
      </c>
      <c r="I568" s="26">
        <f>COUNTIF($J$4:$J568,1)</f>
      </c>
      <c r="J568" s="26">
        <f>COUNTIF($S$5:$S568,S568)</f>
      </c>
      <c r="K568" s="26">
        <f t="shared" si="145"/>
      </c>
      <c r="L568" s="26">
        <f>IFERROR(IF(P568=0,0,MAX($L$4:L567)+1),0)</f>
      </c>
      <c r="M568" s="5">
        <f t="shared" si="157"/>
      </c>
      <c r="N568" s="5">
        <f t="shared" si="158"/>
      </c>
      <c r="P568" s="86">
        <f t="shared" si="146"/>
      </c>
      <c r="Q568" s="86">
        <f t="shared" si="147"/>
      </c>
      <c r="R568" s="86">
        <f t="shared" si="148"/>
      </c>
      <c r="S568" s="86">
        <f t="shared" si="149"/>
      </c>
      <c r="T568" s="86">
        <f t="shared" si="159"/>
        <v/>
      </c>
      <c r="U568" s="86">
        <f t="shared" si="160"/>
        <v/>
      </c>
      <c r="V568" s="86">
        <f t="shared" si="161"/>
        <v/>
      </c>
      <c r="W568" s="87">
        <f t="shared" si="150"/>
      </c>
      <c r="X568" s="88"/>
      <c r="Y568" s="88"/>
      <c r="Z568" s="88"/>
      <c r="AA568" s="88"/>
      <c r="AB568" s="88"/>
      <c r="AD568" s="86">
        <f t="shared" si="151"/>
      </c>
      <c r="AE568" s="86">
        <f t="shared" si="152"/>
      </c>
      <c r="AG568" s="86">
        <f t="shared" si="153"/>
      </c>
      <c r="AH568" s="86">
        <f t="shared" si="154"/>
      </c>
      <c r="AI568" s="86">
        <f t="shared" si="155"/>
      </c>
    </row>
    <row r="569" spans="6:35" x14ac:dyDescent="0.3">
      <c r="F569" s="26">
        <f>IF(G569=1,MAX($F$4:F568)+1,"")</f>
        <v/>
      </c>
      <c r="G569" s="26">
        <f>COUNTIF($H$5:H569,H569)</f>
      </c>
      <c r="H569" s="26">
        <f t="shared" si="156"/>
      </c>
      <c r="I569" s="26">
        <f>COUNTIF($J$4:$J569,1)</f>
      </c>
      <c r="J569" s="26">
        <f>COUNTIF($S$5:$S569,S569)</f>
      </c>
      <c r="K569" s="26">
        <f t="shared" si="145"/>
      </c>
      <c r="L569" s="26">
        <f>IFERROR(IF(P569=0,0,MAX($L$4:L568)+1),0)</f>
      </c>
      <c r="M569" s="5">
        <f t="shared" si="157"/>
      </c>
      <c r="N569" s="5">
        <f t="shared" si="158"/>
      </c>
      <c r="P569" s="86">
        <f t="shared" si="146"/>
      </c>
      <c r="Q569" s="86">
        <f t="shared" si="147"/>
      </c>
      <c r="R569" s="86">
        <f t="shared" si="148"/>
      </c>
      <c r="S569" s="86">
        <f t="shared" si="149"/>
      </c>
      <c r="T569" s="86">
        <f t="shared" si="159"/>
        <v/>
      </c>
      <c r="U569" s="86">
        <f t="shared" si="160"/>
        <v/>
      </c>
      <c r="V569" s="86">
        <f t="shared" si="161"/>
        <v/>
      </c>
      <c r="W569" s="87">
        <f t="shared" si="150"/>
      </c>
      <c r="X569" s="88"/>
      <c r="Y569" s="88"/>
      <c r="Z569" s="88"/>
      <c r="AA569" s="88"/>
      <c r="AB569" s="88"/>
      <c r="AD569" s="86">
        <f t="shared" si="151"/>
      </c>
      <c r="AE569" s="86">
        <f t="shared" si="152"/>
      </c>
      <c r="AG569" s="86">
        <f t="shared" si="153"/>
      </c>
      <c r="AH569" s="86">
        <f t="shared" si="154"/>
      </c>
      <c r="AI569" s="86">
        <f t="shared" si="155"/>
      </c>
    </row>
    <row r="570" spans="6:35" x14ac:dyDescent="0.3">
      <c r="F570" s="26">
        <f>IF(G570=1,MAX($F$4:F569)+1,"")</f>
        <v/>
      </c>
      <c r="G570" s="26">
        <f>COUNTIF($H$5:H570,H570)</f>
      </c>
      <c r="H570" s="26">
        <f t="shared" si="156"/>
      </c>
      <c r="I570" s="26">
        <f>COUNTIF($J$4:$J570,1)</f>
      </c>
      <c r="J570" s="26">
        <f>COUNTIF($S$5:$S570,S570)</f>
      </c>
      <c r="K570" s="26">
        <f t="shared" si="145"/>
      </c>
      <c r="L570" s="26">
        <f>IFERROR(IF(P570=0,0,MAX($L$4:L569)+1),0)</f>
      </c>
      <c r="M570" s="5">
        <f t="shared" si="157"/>
      </c>
      <c r="N570" s="5">
        <f t="shared" si="158"/>
      </c>
      <c r="P570" s="86">
        <f t="shared" si="146"/>
      </c>
      <c r="Q570" s="86">
        <f t="shared" si="147"/>
      </c>
      <c r="R570" s="86">
        <f t="shared" si="148"/>
      </c>
      <c r="S570" s="86">
        <f t="shared" si="149"/>
      </c>
      <c r="T570" s="86">
        <f t="shared" si="159"/>
        <v/>
      </c>
      <c r="U570" s="86">
        <f t="shared" si="160"/>
        <v/>
      </c>
      <c r="V570" s="86">
        <f t="shared" si="161"/>
        <v/>
      </c>
      <c r="W570" s="87">
        <f t="shared" si="150"/>
      </c>
      <c r="X570" s="88"/>
      <c r="Y570" s="88"/>
      <c r="Z570" s="88"/>
      <c r="AA570" s="88"/>
      <c r="AB570" s="88"/>
      <c r="AD570" s="86">
        <f t="shared" si="151"/>
      </c>
      <c r="AE570" s="86">
        <f t="shared" si="152"/>
      </c>
      <c r="AG570" s="86">
        <f t="shared" si="153"/>
      </c>
      <c r="AH570" s="86">
        <f t="shared" si="154"/>
      </c>
      <c r="AI570" s="86">
        <f t="shared" si="155"/>
      </c>
    </row>
    <row r="571" spans="6:35" x14ac:dyDescent="0.3">
      <c r="F571" s="26">
        <f>IF(G571=1,MAX($F$4:F570)+1,"")</f>
        <v/>
      </c>
      <c r="G571" s="26">
        <f>COUNTIF($H$5:H571,H571)</f>
      </c>
      <c r="H571" s="26">
        <f t="shared" si="156"/>
      </c>
      <c r="I571" s="26">
        <f>COUNTIF($J$4:$J571,1)</f>
      </c>
      <c r="J571" s="26">
        <f>COUNTIF($S$5:$S571,S571)</f>
      </c>
      <c r="K571" s="26">
        <f t="shared" si="145"/>
      </c>
      <c r="L571" s="26">
        <f>IFERROR(IF(P571=0,0,MAX($L$4:L570)+1),0)</f>
      </c>
      <c r="M571" s="5">
        <f t="shared" si="157"/>
      </c>
      <c r="N571" s="5">
        <f t="shared" si="158"/>
      </c>
      <c r="P571" s="86">
        <f t="shared" si="146"/>
      </c>
      <c r="Q571" s="86">
        <f t="shared" si="147"/>
      </c>
      <c r="R571" s="86">
        <f t="shared" si="148"/>
      </c>
      <c r="S571" s="86">
        <f t="shared" si="149"/>
      </c>
      <c r="T571" s="86">
        <f t="shared" si="159"/>
        <v/>
      </c>
      <c r="U571" s="86">
        <f t="shared" si="160"/>
        <v/>
      </c>
      <c r="V571" s="86">
        <f t="shared" si="161"/>
        <v/>
      </c>
      <c r="W571" s="87">
        <f t="shared" si="150"/>
      </c>
      <c r="X571" s="88"/>
      <c r="Y571" s="88"/>
      <c r="Z571" s="88"/>
      <c r="AA571" s="88"/>
      <c r="AB571" s="88"/>
      <c r="AD571" s="86">
        <f t="shared" si="151"/>
      </c>
      <c r="AE571" s="86">
        <f t="shared" si="152"/>
      </c>
      <c r="AG571" s="86">
        <f t="shared" si="153"/>
      </c>
      <c r="AH571" s="86">
        <f t="shared" si="154"/>
      </c>
      <c r="AI571" s="86">
        <f t="shared" si="155"/>
      </c>
    </row>
    <row r="572" spans="6:35" x14ac:dyDescent="0.3">
      <c r="F572" s="26">
        <f>IF(G572=1,MAX($F$4:F571)+1,"")</f>
        <v/>
      </c>
      <c r="G572" s="26">
        <f>COUNTIF($H$5:H572,H572)</f>
      </c>
      <c r="H572" s="26">
        <f t="shared" si="156"/>
      </c>
      <c r="I572" s="26">
        <f>COUNTIF($J$4:$J572,1)</f>
      </c>
      <c r="J572" s="26">
        <f>COUNTIF($S$5:$S572,S572)</f>
      </c>
      <c r="K572" s="26">
        <f t="shared" si="145"/>
      </c>
      <c r="L572" s="26">
        <f>IFERROR(IF(P572=0,0,MAX($L$4:L571)+1),0)</f>
      </c>
      <c r="M572" s="5">
        <f t="shared" si="157"/>
      </c>
      <c r="N572" s="5">
        <f t="shared" si="158"/>
      </c>
      <c r="P572" s="86">
        <f t="shared" si="146"/>
      </c>
      <c r="Q572" s="86">
        <f t="shared" si="147"/>
      </c>
      <c r="R572" s="86">
        <f t="shared" si="148"/>
      </c>
      <c r="S572" s="86">
        <f t="shared" si="149"/>
      </c>
      <c r="T572" s="86">
        <f t="shared" si="159"/>
        <v/>
      </c>
      <c r="U572" s="86">
        <f t="shared" si="160"/>
        <v/>
      </c>
      <c r="V572" s="86">
        <f t="shared" si="161"/>
        <v/>
      </c>
      <c r="W572" s="87">
        <f t="shared" si="150"/>
      </c>
      <c r="X572" s="88"/>
      <c r="Y572" s="88"/>
      <c r="Z572" s="88"/>
      <c r="AA572" s="88"/>
      <c r="AB572" s="88"/>
      <c r="AD572" s="86">
        <f t="shared" si="151"/>
      </c>
      <c r="AE572" s="86">
        <f t="shared" si="152"/>
      </c>
      <c r="AG572" s="86">
        <f t="shared" si="153"/>
      </c>
      <c r="AH572" s="86">
        <f t="shared" si="154"/>
      </c>
      <c r="AI572" s="86">
        <f t="shared" si="155"/>
      </c>
    </row>
    <row r="573" spans="6:35" x14ac:dyDescent="0.3">
      <c r="F573" s="26">
        <f>IF(G573=1,MAX($F$4:F572)+1,"")</f>
        <v/>
      </c>
      <c r="G573" s="26">
        <f>COUNTIF($H$5:H573,H573)</f>
      </c>
      <c r="H573" s="26">
        <f t="shared" si="156"/>
      </c>
      <c r="I573" s="26">
        <f>COUNTIF($J$4:$J573,1)</f>
      </c>
      <c r="J573" s="26">
        <f>COUNTIF($S$5:$S573,S573)</f>
      </c>
      <c r="K573" s="26">
        <f t="shared" si="145"/>
      </c>
      <c r="L573" s="26">
        <f>IFERROR(IF(P573=0,0,MAX($L$4:L572)+1),0)</f>
      </c>
      <c r="M573" s="5">
        <f t="shared" si="157"/>
      </c>
      <c r="N573" s="5">
        <f t="shared" si="158"/>
      </c>
      <c r="P573" s="86">
        <f t="shared" si="146"/>
      </c>
      <c r="Q573" s="86">
        <f t="shared" si="147"/>
      </c>
      <c r="R573" s="86">
        <f t="shared" si="148"/>
      </c>
      <c r="S573" s="86">
        <f t="shared" si="149"/>
      </c>
      <c r="T573" s="86">
        <f t="shared" si="159"/>
        <v/>
      </c>
      <c r="U573" s="86">
        <f t="shared" si="160"/>
        <v/>
      </c>
      <c r="V573" s="86">
        <f t="shared" si="161"/>
        <v/>
      </c>
      <c r="W573" s="87">
        <f t="shared" si="150"/>
      </c>
      <c r="X573" s="88"/>
      <c r="Y573" s="88"/>
      <c r="Z573" s="88"/>
      <c r="AA573" s="88"/>
      <c r="AB573" s="88"/>
      <c r="AD573" s="86">
        <f t="shared" si="151"/>
      </c>
      <c r="AE573" s="86">
        <f t="shared" si="152"/>
      </c>
      <c r="AG573" s="86">
        <f t="shared" si="153"/>
      </c>
      <c r="AH573" s="86">
        <f t="shared" si="154"/>
      </c>
      <c r="AI573" s="86">
        <f t="shared" si="155"/>
      </c>
    </row>
    <row r="574" spans="6:35" x14ac:dyDescent="0.3">
      <c r="F574" s="26">
        <f>IF(G574=1,MAX($F$4:F573)+1,"")</f>
        <v/>
      </c>
      <c r="G574" s="26">
        <f>COUNTIF($H$5:H574,H574)</f>
      </c>
      <c r="H574" s="26">
        <f t="shared" si="156"/>
      </c>
      <c r="I574" s="26">
        <f>COUNTIF($J$4:$J574,1)</f>
      </c>
      <c r="J574" s="26">
        <f>COUNTIF($S$5:$S574,S574)</f>
      </c>
      <c r="K574" s="26">
        <f t="shared" si="145"/>
      </c>
      <c r="L574" s="26">
        <f>IFERROR(IF(P574=0,0,MAX($L$4:L573)+1),0)</f>
      </c>
      <c r="M574" s="5">
        <f t="shared" si="157"/>
      </c>
      <c r="N574" s="5">
        <f t="shared" si="158"/>
      </c>
      <c r="P574" s="86">
        <f t="shared" si="146"/>
      </c>
      <c r="Q574" s="86">
        <f t="shared" si="147"/>
      </c>
      <c r="R574" s="86">
        <f t="shared" si="148"/>
      </c>
      <c r="S574" s="86">
        <f t="shared" si="149"/>
      </c>
      <c r="T574" s="86">
        <f t="shared" si="159"/>
        <v/>
      </c>
      <c r="U574" s="86">
        <f t="shared" si="160"/>
        <v/>
      </c>
      <c r="V574" s="86">
        <f t="shared" si="161"/>
        <v/>
      </c>
      <c r="W574" s="87">
        <f t="shared" si="150"/>
      </c>
      <c r="X574" s="88"/>
      <c r="Y574" s="88"/>
      <c r="Z574" s="88"/>
      <c r="AA574" s="88"/>
      <c r="AB574" s="88"/>
      <c r="AD574" s="86">
        <f t="shared" si="151"/>
      </c>
      <c r="AE574" s="86">
        <f t="shared" si="152"/>
      </c>
      <c r="AG574" s="86">
        <f t="shared" si="153"/>
      </c>
      <c r="AH574" s="86">
        <f t="shared" si="154"/>
      </c>
      <c r="AI574" s="86">
        <f t="shared" si="155"/>
      </c>
    </row>
    <row r="575" spans="6:35" x14ac:dyDescent="0.3">
      <c r="F575" s="26">
        <f>IF(G575=1,MAX($F$4:F574)+1,"")</f>
        <v/>
      </c>
      <c r="G575" s="26">
        <f>COUNTIF($H$5:H575,H575)</f>
      </c>
      <c r="H575" s="26">
        <f t="shared" si="156"/>
      </c>
      <c r="I575" s="26">
        <f>COUNTIF($J$4:$J575,1)</f>
      </c>
      <c r="J575" s="26">
        <f>COUNTIF($S$5:$S575,S575)</f>
      </c>
      <c r="K575" s="26">
        <f t="shared" si="145"/>
      </c>
      <c r="L575" s="26">
        <f>IFERROR(IF(P575=0,0,MAX($L$4:L574)+1),0)</f>
      </c>
      <c r="M575" s="5">
        <f t="shared" si="157"/>
      </c>
      <c r="N575" s="5">
        <f t="shared" si="158"/>
      </c>
      <c r="P575" s="86">
        <f t="shared" si="146"/>
      </c>
      <c r="Q575" s="86">
        <f t="shared" si="147"/>
      </c>
      <c r="R575" s="86">
        <f t="shared" si="148"/>
      </c>
      <c r="S575" s="86">
        <f t="shared" si="149"/>
      </c>
      <c r="T575" s="86">
        <f t="shared" si="159"/>
        <v/>
      </c>
      <c r="U575" s="86">
        <f t="shared" si="160"/>
        <v/>
      </c>
      <c r="V575" s="86">
        <f t="shared" si="161"/>
        <v/>
      </c>
      <c r="W575" s="87">
        <f t="shared" si="150"/>
      </c>
      <c r="X575" s="88"/>
      <c r="Y575" s="88"/>
      <c r="Z575" s="88"/>
      <c r="AA575" s="88"/>
      <c r="AB575" s="88"/>
      <c r="AD575" s="86">
        <f t="shared" si="151"/>
      </c>
      <c r="AE575" s="86">
        <f t="shared" si="152"/>
      </c>
      <c r="AG575" s="86">
        <f t="shared" si="153"/>
      </c>
      <c r="AH575" s="86">
        <f t="shared" si="154"/>
      </c>
      <c r="AI575" s="86">
        <f t="shared" si="155"/>
      </c>
    </row>
    <row r="576" spans="6:35" x14ac:dyDescent="0.3">
      <c r="F576" s="26">
        <f>IF(G576=1,MAX($F$4:F575)+1,"")</f>
        <v/>
      </c>
      <c r="G576" s="26">
        <f>COUNTIF($H$5:H576,H576)</f>
      </c>
      <c r="H576" s="26">
        <f t="shared" si="156"/>
      </c>
      <c r="I576" s="26">
        <f>COUNTIF($J$4:$J576,1)</f>
      </c>
      <c r="J576" s="26">
        <f>COUNTIF($S$5:$S576,S576)</f>
      </c>
      <c r="K576" s="26">
        <f t="shared" si="145"/>
      </c>
      <c r="L576" s="26">
        <f>IFERROR(IF(P576=0,0,MAX($L$4:L575)+1),0)</f>
      </c>
      <c r="M576" s="5">
        <f t="shared" si="157"/>
      </c>
      <c r="N576" s="5">
        <f t="shared" si="158"/>
      </c>
      <c r="P576" s="86">
        <f t="shared" si="146"/>
      </c>
      <c r="Q576" s="86">
        <f t="shared" si="147"/>
      </c>
      <c r="R576" s="86">
        <f t="shared" si="148"/>
      </c>
      <c r="S576" s="86">
        <f t="shared" si="149"/>
      </c>
      <c r="T576" s="86">
        <f t="shared" si="159"/>
        <v/>
      </c>
      <c r="U576" s="86">
        <f t="shared" si="160"/>
        <v/>
      </c>
      <c r="V576" s="86">
        <f t="shared" si="161"/>
        <v/>
      </c>
      <c r="W576" s="87">
        <f t="shared" si="150"/>
      </c>
      <c r="X576" s="88"/>
      <c r="Y576" s="88"/>
      <c r="Z576" s="88"/>
      <c r="AA576" s="88"/>
      <c r="AB576" s="88"/>
      <c r="AD576" s="86">
        <f t="shared" si="151"/>
      </c>
      <c r="AE576" s="86">
        <f t="shared" si="152"/>
      </c>
      <c r="AG576" s="86">
        <f t="shared" si="153"/>
      </c>
      <c r="AH576" s="86">
        <f t="shared" si="154"/>
      </c>
      <c r="AI576" s="86">
        <f t="shared" si="155"/>
      </c>
    </row>
    <row r="577" spans="6:35" x14ac:dyDescent="0.3">
      <c r="F577" s="26">
        <f>IF(G577=1,MAX($F$4:F576)+1,"")</f>
        <v/>
      </c>
      <c r="G577" s="26">
        <f>COUNTIF($H$5:H577,H577)</f>
      </c>
      <c r="H577" s="26">
        <f t="shared" si="156"/>
      </c>
      <c r="I577" s="26">
        <f>COUNTIF($J$4:$J577,1)</f>
      </c>
      <c r="J577" s="26">
        <f>COUNTIF($S$5:$S577,S577)</f>
      </c>
      <c r="K577" s="26">
        <f t="shared" si="145"/>
      </c>
      <c r="L577" s="26">
        <f>IFERROR(IF(P577=0,0,MAX($L$4:L576)+1),0)</f>
      </c>
      <c r="M577" s="5">
        <f t="shared" si="157"/>
      </c>
      <c r="N577" s="5">
        <f t="shared" si="158"/>
      </c>
      <c r="P577" s="86">
        <f t="shared" si="146"/>
      </c>
      <c r="Q577" s="86">
        <f t="shared" si="147"/>
      </c>
      <c r="R577" s="86">
        <f t="shared" si="148"/>
      </c>
      <c r="S577" s="86">
        <f t="shared" si="149"/>
      </c>
      <c r="T577" s="86">
        <f t="shared" si="159"/>
        <v/>
      </c>
      <c r="U577" s="86">
        <f t="shared" si="160"/>
        <v/>
      </c>
      <c r="V577" s="86">
        <f t="shared" si="161"/>
        <v/>
      </c>
      <c r="W577" s="87">
        <f t="shared" si="150"/>
      </c>
      <c r="X577" s="88"/>
      <c r="Y577" s="88"/>
      <c r="Z577" s="88"/>
      <c r="AA577" s="88"/>
      <c r="AB577" s="88"/>
      <c r="AD577" s="86">
        <f t="shared" si="151"/>
      </c>
      <c r="AE577" s="86">
        <f t="shared" si="152"/>
      </c>
      <c r="AG577" s="86">
        <f t="shared" si="153"/>
      </c>
      <c r="AH577" s="86">
        <f t="shared" si="154"/>
      </c>
      <c r="AI577" s="86">
        <f t="shared" si="155"/>
      </c>
    </row>
    <row r="578" spans="6:35" x14ac:dyDescent="0.3">
      <c r="F578" s="26">
        <f>IF(G578=1,MAX($F$4:F577)+1,"")</f>
        <v/>
      </c>
      <c r="G578" s="26">
        <f>COUNTIF($H$5:H578,H578)</f>
      </c>
      <c r="H578" s="26">
        <f t="shared" si="156"/>
      </c>
      <c r="I578" s="26">
        <f>COUNTIF($J$4:$J578,1)</f>
      </c>
      <c r="J578" s="26">
        <f>COUNTIF($S$5:$S578,S578)</f>
      </c>
      <c r="K578" s="26">
        <f t="shared" si="145"/>
      </c>
      <c r="L578" s="26">
        <f>IFERROR(IF(P578=0,0,MAX($L$4:L577)+1),0)</f>
      </c>
      <c r="M578" s="5">
        <f t="shared" si="157"/>
      </c>
      <c r="N578" s="5">
        <f t="shared" si="158"/>
      </c>
      <c r="P578" s="86">
        <f t="shared" si="146"/>
      </c>
      <c r="Q578" s="86">
        <f t="shared" si="147"/>
      </c>
      <c r="R578" s="86">
        <f t="shared" si="148"/>
      </c>
      <c r="S578" s="86">
        <f t="shared" si="149"/>
      </c>
      <c r="T578" s="86">
        <f t="shared" si="159"/>
        <v/>
      </c>
      <c r="U578" s="86">
        <f t="shared" si="160"/>
        <v/>
      </c>
      <c r="V578" s="86">
        <f t="shared" si="161"/>
        <v/>
      </c>
      <c r="W578" s="87">
        <f t="shared" si="150"/>
      </c>
      <c r="X578" s="88"/>
      <c r="Y578" s="88"/>
      <c r="Z578" s="88"/>
      <c r="AA578" s="88"/>
      <c r="AB578" s="88"/>
      <c r="AD578" s="86">
        <f t="shared" si="151"/>
      </c>
      <c r="AE578" s="86">
        <f t="shared" si="152"/>
      </c>
      <c r="AG578" s="86">
        <f t="shared" si="153"/>
      </c>
      <c r="AH578" s="86">
        <f t="shared" si="154"/>
      </c>
      <c r="AI578" s="86">
        <f t="shared" si="155"/>
      </c>
    </row>
    <row r="579" spans="6:35" x14ac:dyDescent="0.3">
      <c r="F579" s="26">
        <f>IF(G579=1,MAX($F$4:F578)+1,"")</f>
        <v/>
      </c>
      <c r="G579" s="26">
        <f>COUNTIF($H$5:H579,H579)</f>
      </c>
      <c r="H579" s="26">
        <f t="shared" si="156"/>
      </c>
      <c r="I579" s="26">
        <f>COUNTIF($J$4:$J579,1)</f>
      </c>
      <c r="J579" s="26">
        <f>COUNTIF($S$5:$S579,S579)</f>
      </c>
      <c r="K579" s="26">
        <f t="shared" si="145"/>
      </c>
      <c r="L579" s="26">
        <f>IFERROR(IF(P579=0,0,MAX($L$4:L578)+1),0)</f>
      </c>
      <c r="M579" s="5">
        <f t="shared" si="157"/>
      </c>
      <c r="N579" s="5">
        <f t="shared" si="158"/>
      </c>
      <c r="P579" s="86">
        <f t="shared" si="146"/>
      </c>
      <c r="Q579" s="86">
        <f t="shared" si="147"/>
      </c>
      <c r="R579" s="86">
        <f t="shared" si="148"/>
      </c>
      <c r="S579" s="86">
        <f t="shared" si="149"/>
      </c>
      <c r="T579" s="86">
        <f t="shared" si="159"/>
        <v/>
      </c>
      <c r="U579" s="86">
        <f t="shared" si="160"/>
        <v/>
      </c>
      <c r="V579" s="86">
        <f t="shared" si="161"/>
        <v/>
      </c>
      <c r="W579" s="87">
        <f t="shared" si="150"/>
      </c>
      <c r="X579" s="88"/>
      <c r="Y579" s="88"/>
      <c r="Z579" s="88"/>
      <c r="AA579" s="88"/>
      <c r="AB579" s="88"/>
      <c r="AD579" s="86">
        <f t="shared" si="151"/>
      </c>
      <c r="AE579" s="86">
        <f t="shared" si="152"/>
      </c>
      <c r="AG579" s="86">
        <f t="shared" si="153"/>
      </c>
      <c r="AH579" s="86">
        <f t="shared" si="154"/>
      </c>
      <c r="AI579" s="86">
        <f t="shared" si="155"/>
      </c>
    </row>
    <row r="580" spans="6:35" x14ac:dyDescent="0.3">
      <c r="F580" s="26">
        <f>IF(G580=1,MAX($F$4:F579)+1,"")</f>
        <v/>
      </c>
      <c r="G580" s="26">
        <f>COUNTIF($H$5:H580,H580)</f>
      </c>
      <c r="H580" s="26">
        <f t="shared" si="156"/>
      </c>
      <c r="I580" s="26">
        <f>COUNTIF($J$4:$J580,1)</f>
      </c>
      <c r="J580" s="26">
        <f>COUNTIF($S$5:$S580,S580)</f>
      </c>
      <c r="K580" s="26">
        <f t="shared" si="145"/>
      </c>
      <c r="L580" s="26">
        <f>IFERROR(IF(P580=0,0,MAX($L$4:L579)+1),0)</f>
      </c>
      <c r="M580" s="5">
        <f t="shared" si="157"/>
      </c>
      <c r="N580" s="5">
        <f t="shared" si="158"/>
      </c>
      <c r="P580" s="86">
        <f t="shared" si="146"/>
      </c>
      <c r="Q580" s="86">
        <f t="shared" si="147"/>
      </c>
      <c r="R580" s="86">
        <f t="shared" si="148"/>
      </c>
      <c r="S580" s="86">
        <f t="shared" si="149"/>
      </c>
      <c r="T580" s="86">
        <f t="shared" si="159"/>
        <v/>
      </c>
      <c r="U580" s="86">
        <f t="shared" si="160"/>
        <v/>
      </c>
      <c r="V580" s="86">
        <f t="shared" si="161"/>
        <v/>
      </c>
      <c r="W580" s="87">
        <f t="shared" si="150"/>
      </c>
      <c r="X580" s="88"/>
      <c r="Y580" s="88"/>
      <c r="Z580" s="88"/>
      <c r="AA580" s="88"/>
      <c r="AB580" s="88"/>
      <c r="AD580" s="86">
        <f t="shared" si="151"/>
      </c>
      <c r="AE580" s="86">
        <f t="shared" si="152"/>
      </c>
      <c r="AG580" s="86">
        <f t="shared" si="153"/>
      </c>
      <c r="AH580" s="86">
        <f t="shared" si="154"/>
      </c>
      <c r="AI580" s="86">
        <f t="shared" si="155"/>
      </c>
    </row>
    <row r="581" spans="6:35" x14ac:dyDescent="0.3">
      <c r="F581" s="26">
        <f>IF(G581=1,MAX($F$4:F580)+1,"")</f>
        <v/>
      </c>
      <c r="G581" s="26">
        <f>COUNTIF($H$5:H581,H581)</f>
      </c>
      <c r="H581" s="26">
        <f t="shared" si="156"/>
      </c>
      <c r="I581" s="26">
        <f>COUNTIF($J$4:$J581,1)</f>
      </c>
      <c r="J581" s="26">
        <f>COUNTIF($S$5:$S581,S581)</f>
      </c>
      <c r="K581" s="26">
        <f t="shared" ref="K581:K644" si="162">VLOOKUP(P581,Исходные_данные,19,FALSE)</f>
      </c>
      <c r="L581" s="26">
        <f>IFERROR(IF(P581=0,0,MAX($L$4:L580)+1),0)</f>
      </c>
      <c r="M581" s="5">
        <f t="shared" si="157"/>
      </c>
      <c r="N581" s="5">
        <f t="shared" si="158"/>
      </c>
      <c r="P581" s="86">
        <f t="shared" ref="P581:P644" si="163">VLOOKUP(ROW(577:577),Разбивка_нумерация_5,4,FALSE)</f>
      </c>
      <c r="Q581" s="86">
        <f t="shared" ref="Q581:Q644" si="164">IF(VLOOKUP(ROW(577:577),Разбивка_нумерация_5,3,FALSE)=0,VLOOKUP(ROW(577:577),Разбивка_нумерация_5,2,FALSE),VLOOKUP(ROW(577:577),Разбивка_нумерация_5,3,FALSE))</f>
      </c>
      <c r="R581" s="86">
        <f t="shared" ref="R581:R644" si="165">VLOOKUP(ROW(577:577),Разбивка_нумерация_5,6,FALSE)</f>
      </c>
      <c r="S581" s="86">
        <f t="shared" ref="S581:S644" si="166">VLOOKUP(ROW(577:577),Разбивка_нумерация_5,17,FALSE)</f>
      </c>
      <c r="T581" s="86">
        <f t="shared" si="159"/>
        <v/>
      </c>
      <c r="U581" s="86">
        <f t="shared" si="160"/>
        <v/>
      </c>
      <c r="V581" s="86">
        <f t="shared" si="161"/>
        <v/>
      </c>
      <c r="W581" s="87">
        <f t="shared" ref="W581:W644" si="167">VLOOKUP(P581,Исходные_данные,13,FALSE)</f>
      </c>
      <c r="X581" s="88"/>
      <c r="Y581" s="88"/>
      <c r="Z581" s="88"/>
      <c r="AA581" s="88"/>
      <c r="AB581" s="88"/>
      <c r="AD581" s="86">
        <f t="shared" ref="AD581:AD644" si="168">VLOOKUP(S581,Кабель_диаметр,4,FALSE)</f>
      </c>
      <c r="AE581" s="86">
        <f t="shared" ref="AE581:AE644" si="169">VLOOKUP(S581,Кабель_диаметр,5,FALSE)</f>
      </c>
      <c r="AG581" s="86">
        <f t="shared" ref="AG581:AG644" si="170">IFERROR(VLOOKUP(P581,Исходные_данные,10,FALSE),0)</f>
      </c>
      <c r="AH581" s="86">
        <f t="shared" ref="AH581:AH644" si="171">IFERROR(VLOOKUP(P581,Исходные_данные,11,FALSE),0)</f>
      </c>
      <c r="AI581" s="86">
        <f t="shared" ref="AI581:AI644" si="172">IFERROR(VLOOKUP(P581,Исходные_данные,12,FALSE),0)</f>
      </c>
    </row>
    <row r="582" spans="6:35" x14ac:dyDescent="0.3">
      <c r="F582" s="26">
        <f>IF(G582=1,MAX($F$4:F581)+1,"")</f>
        <v/>
      </c>
      <c r="G582" s="26">
        <f>COUNTIF($H$5:H582,H582)</f>
      </c>
      <c r="H582" s="26">
        <f t="shared" ref="H582:H645" si="173">S582&amp;" "&amp;K582</f>
      </c>
      <c r="I582" s="26">
        <f>COUNTIF($J$4:$J582,1)</f>
      </c>
      <c r="J582" s="26">
        <f>COUNTIF($S$5:$S582,S582)</f>
      </c>
      <c r="K582" s="26">
        <f t="shared" si="162"/>
      </c>
      <c r="L582" s="26">
        <f>IFERROR(IF(P582=0,0,MAX($L$4:L581)+1),0)</f>
      </c>
      <c r="M582" s="5">
        <f t="shared" ref="M582:M645" si="174">LEFT(P582,SEARCH(".",P582)-1)</f>
      </c>
      <c r="N582" s="5">
        <f t="shared" ref="N582:N645" si="175">LEFT(RIGHT(P582,LEN(P582)-LEN(M582)-1),SEARCH(".",P582)-1)</f>
      </c>
      <c r="P582" s="86">
        <f t="shared" si="163"/>
      </c>
      <c r="Q582" s="86">
        <f t="shared" si="164"/>
      </c>
      <c r="R582" s="86">
        <f t="shared" si="165"/>
      </c>
      <c r="S582" s="86">
        <f t="shared" si="166"/>
      </c>
      <c r="T582" s="86">
        <f t="shared" ref="T582:T645" si="176">IF(AG582=0,"","L="&amp;AG582)</f>
        <v/>
      </c>
      <c r="U582" s="86">
        <f t="shared" ref="U582:U645" si="177">IF(AH582=0,"",AD582&amp;" L="&amp;AH582)</f>
        <v/>
      </c>
      <c r="V582" s="86">
        <f t="shared" ref="V582:V645" si="178">IF(AI582=0,"",AE582&amp;" L="&amp;AI582)</f>
        <v/>
      </c>
      <c r="W582" s="87">
        <f t="shared" si="167"/>
      </c>
      <c r="X582" s="88"/>
      <c r="Y582" s="88"/>
      <c r="Z582" s="88"/>
      <c r="AA582" s="88"/>
      <c r="AB582" s="88"/>
      <c r="AD582" s="86">
        <f t="shared" si="168"/>
      </c>
      <c r="AE582" s="86">
        <f t="shared" si="169"/>
      </c>
      <c r="AG582" s="86">
        <f t="shared" si="170"/>
      </c>
      <c r="AH582" s="86">
        <f t="shared" si="171"/>
      </c>
      <c r="AI582" s="86">
        <f t="shared" si="172"/>
      </c>
    </row>
    <row r="583" spans="6:35" x14ac:dyDescent="0.3">
      <c r="F583" s="26">
        <f>IF(G583=1,MAX($F$4:F582)+1,"")</f>
        <v/>
      </c>
      <c r="G583" s="26">
        <f>COUNTIF($H$5:H583,H583)</f>
      </c>
      <c r="H583" s="26">
        <f t="shared" si="173"/>
      </c>
      <c r="I583" s="26">
        <f>COUNTIF($J$4:$J583,1)</f>
      </c>
      <c r="J583" s="26">
        <f>COUNTIF($S$5:$S583,S583)</f>
      </c>
      <c r="K583" s="26">
        <f t="shared" si="162"/>
      </c>
      <c r="L583" s="26">
        <f>IFERROR(IF(P583=0,0,MAX($L$4:L582)+1),0)</f>
      </c>
      <c r="M583" s="5">
        <f t="shared" si="174"/>
      </c>
      <c r="N583" s="5">
        <f t="shared" si="175"/>
      </c>
      <c r="P583" s="86">
        <f t="shared" si="163"/>
      </c>
      <c r="Q583" s="86">
        <f t="shared" si="164"/>
      </c>
      <c r="R583" s="86">
        <f t="shared" si="165"/>
      </c>
      <c r="S583" s="86">
        <f t="shared" si="166"/>
      </c>
      <c r="T583" s="86">
        <f t="shared" si="176"/>
        <v/>
      </c>
      <c r="U583" s="86">
        <f t="shared" si="177"/>
        <v/>
      </c>
      <c r="V583" s="86">
        <f t="shared" si="178"/>
        <v/>
      </c>
      <c r="W583" s="87">
        <f t="shared" si="167"/>
      </c>
      <c r="X583" s="88"/>
      <c r="Y583" s="88"/>
      <c r="Z583" s="88"/>
      <c r="AA583" s="88"/>
      <c r="AB583" s="88"/>
      <c r="AD583" s="86">
        <f t="shared" si="168"/>
      </c>
      <c r="AE583" s="86">
        <f t="shared" si="169"/>
      </c>
      <c r="AG583" s="86">
        <f t="shared" si="170"/>
      </c>
      <c r="AH583" s="86">
        <f t="shared" si="171"/>
      </c>
      <c r="AI583" s="86">
        <f t="shared" si="172"/>
      </c>
    </row>
    <row r="584" spans="6:35" x14ac:dyDescent="0.3">
      <c r="F584" s="26">
        <f>IF(G584=1,MAX($F$4:F583)+1,"")</f>
        <v/>
      </c>
      <c r="G584" s="26">
        <f>COUNTIF($H$5:H584,H584)</f>
      </c>
      <c r="H584" s="26">
        <f t="shared" si="173"/>
      </c>
      <c r="I584" s="26">
        <f>COUNTIF($J$4:$J584,1)</f>
      </c>
      <c r="J584" s="26">
        <f>COUNTIF($S$5:$S584,S584)</f>
      </c>
      <c r="K584" s="26">
        <f t="shared" si="162"/>
      </c>
      <c r="L584" s="26">
        <f>IFERROR(IF(P584=0,0,MAX($L$4:L583)+1),0)</f>
      </c>
      <c r="M584" s="5">
        <f t="shared" si="174"/>
      </c>
      <c r="N584" s="5">
        <f t="shared" si="175"/>
      </c>
      <c r="P584" s="86">
        <f t="shared" si="163"/>
      </c>
      <c r="Q584" s="86">
        <f t="shared" si="164"/>
      </c>
      <c r="R584" s="86">
        <f t="shared" si="165"/>
      </c>
      <c r="S584" s="86">
        <f t="shared" si="166"/>
      </c>
      <c r="T584" s="86">
        <f t="shared" si="176"/>
        <v/>
      </c>
      <c r="U584" s="86">
        <f t="shared" si="177"/>
        <v/>
      </c>
      <c r="V584" s="86">
        <f t="shared" si="178"/>
        <v/>
      </c>
      <c r="W584" s="87">
        <f t="shared" si="167"/>
      </c>
      <c r="X584" s="88"/>
      <c r="Y584" s="88"/>
      <c r="Z584" s="88"/>
      <c r="AA584" s="88"/>
      <c r="AB584" s="88"/>
      <c r="AD584" s="86">
        <f t="shared" si="168"/>
      </c>
      <c r="AE584" s="86">
        <f t="shared" si="169"/>
      </c>
      <c r="AG584" s="86">
        <f t="shared" si="170"/>
      </c>
      <c r="AH584" s="86">
        <f t="shared" si="171"/>
      </c>
      <c r="AI584" s="86">
        <f t="shared" si="172"/>
      </c>
    </row>
    <row r="585" spans="6:35" x14ac:dyDescent="0.3">
      <c r="F585" s="26">
        <f>IF(G585=1,MAX($F$4:F584)+1,"")</f>
        <v/>
      </c>
      <c r="G585" s="26">
        <f>COUNTIF($H$5:H585,H585)</f>
      </c>
      <c r="H585" s="26">
        <f t="shared" si="173"/>
      </c>
      <c r="I585" s="26">
        <f>COUNTIF($J$4:$J585,1)</f>
      </c>
      <c r="J585" s="26">
        <f>COUNTIF($S$5:$S585,S585)</f>
      </c>
      <c r="K585" s="26">
        <f t="shared" si="162"/>
      </c>
      <c r="L585" s="26">
        <f>IFERROR(IF(P585=0,0,MAX($L$4:L584)+1),0)</f>
      </c>
      <c r="M585" s="5">
        <f t="shared" si="174"/>
      </c>
      <c r="N585" s="5">
        <f t="shared" si="175"/>
      </c>
      <c r="P585" s="86">
        <f t="shared" si="163"/>
      </c>
      <c r="Q585" s="86">
        <f t="shared" si="164"/>
      </c>
      <c r="R585" s="86">
        <f t="shared" si="165"/>
      </c>
      <c r="S585" s="86">
        <f t="shared" si="166"/>
      </c>
      <c r="T585" s="86">
        <f t="shared" si="176"/>
        <v/>
      </c>
      <c r="U585" s="86">
        <f t="shared" si="177"/>
        <v/>
      </c>
      <c r="V585" s="86">
        <f t="shared" si="178"/>
        <v/>
      </c>
      <c r="W585" s="87">
        <f t="shared" si="167"/>
      </c>
      <c r="X585" s="88"/>
      <c r="Y585" s="88"/>
      <c r="Z585" s="88"/>
      <c r="AA585" s="88"/>
      <c r="AB585" s="88"/>
      <c r="AD585" s="86">
        <f t="shared" si="168"/>
      </c>
      <c r="AE585" s="86">
        <f t="shared" si="169"/>
      </c>
      <c r="AG585" s="86">
        <f t="shared" si="170"/>
      </c>
      <c r="AH585" s="86">
        <f t="shared" si="171"/>
      </c>
      <c r="AI585" s="86">
        <f t="shared" si="172"/>
      </c>
    </row>
    <row r="586" spans="6:35" x14ac:dyDescent="0.3">
      <c r="F586" s="26">
        <f>IF(G586=1,MAX($F$4:F585)+1,"")</f>
        <v/>
      </c>
      <c r="G586" s="26">
        <f>COUNTIF($H$5:H586,H586)</f>
      </c>
      <c r="H586" s="26">
        <f t="shared" si="173"/>
      </c>
      <c r="I586" s="26">
        <f>COUNTIF($J$4:$J586,1)</f>
      </c>
      <c r="J586" s="26">
        <f>COUNTIF($S$5:$S586,S586)</f>
      </c>
      <c r="K586" s="26">
        <f t="shared" si="162"/>
      </c>
      <c r="L586" s="26">
        <f>IFERROR(IF(P586=0,0,MAX($L$4:L585)+1),0)</f>
      </c>
      <c r="M586" s="5">
        <f t="shared" si="174"/>
      </c>
      <c r="N586" s="5">
        <f t="shared" si="175"/>
      </c>
      <c r="P586" s="86">
        <f t="shared" si="163"/>
      </c>
      <c r="Q586" s="86">
        <f t="shared" si="164"/>
      </c>
      <c r="R586" s="86">
        <f t="shared" si="165"/>
      </c>
      <c r="S586" s="86">
        <f t="shared" si="166"/>
      </c>
      <c r="T586" s="86">
        <f t="shared" si="176"/>
        <v/>
      </c>
      <c r="U586" s="86">
        <f t="shared" si="177"/>
        <v/>
      </c>
      <c r="V586" s="86">
        <f t="shared" si="178"/>
        <v/>
      </c>
      <c r="W586" s="87">
        <f t="shared" si="167"/>
      </c>
      <c r="X586" s="88"/>
      <c r="Y586" s="88"/>
      <c r="Z586" s="88"/>
      <c r="AA586" s="88"/>
      <c r="AB586" s="88"/>
      <c r="AD586" s="86">
        <f t="shared" si="168"/>
      </c>
      <c r="AE586" s="86">
        <f t="shared" si="169"/>
      </c>
      <c r="AG586" s="86">
        <f t="shared" si="170"/>
      </c>
      <c r="AH586" s="86">
        <f t="shared" si="171"/>
      </c>
      <c r="AI586" s="86">
        <f t="shared" si="172"/>
      </c>
    </row>
    <row r="587" spans="6:35" x14ac:dyDescent="0.3">
      <c r="F587" s="26">
        <f>IF(G587=1,MAX($F$4:F586)+1,"")</f>
        <v/>
      </c>
      <c r="G587" s="26">
        <f>COUNTIF($H$5:H587,H587)</f>
      </c>
      <c r="H587" s="26">
        <f t="shared" si="173"/>
      </c>
      <c r="I587" s="26">
        <f>COUNTIF($J$4:$J587,1)</f>
      </c>
      <c r="J587" s="26">
        <f>COUNTIF($S$5:$S587,S587)</f>
      </c>
      <c r="K587" s="26">
        <f t="shared" si="162"/>
      </c>
      <c r="L587" s="26">
        <f>IFERROR(IF(P587=0,0,MAX($L$4:L586)+1),0)</f>
      </c>
      <c r="M587" s="5">
        <f t="shared" si="174"/>
      </c>
      <c r="N587" s="5">
        <f t="shared" si="175"/>
      </c>
      <c r="P587" s="86">
        <f t="shared" si="163"/>
      </c>
      <c r="Q587" s="86">
        <f t="shared" si="164"/>
      </c>
      <c r="R587" s="86">
        <f t="shared" si="165"/>
      </c>
      <c r="S587" s="86">
        <f t="shared" si="166"/>
      </c>
      <c r="T587" s="86">
        <f t="shared" si="176"/>
        <v/>
      </c>
      <c r="U587" s="86">
        <f t="shared" si="177"/>
        <v/>
      </c>
      <c r="V587" s="86">
        <f t="shared" si="178"/>
        <v/>
      </c>
      <c r="W587" s="87">
        <f t="shared" si="167"/>
      </c>
      <c r="X587" s="88"/>
      <c r="Y587" s="88"/>
      <c r="Z587" s="88"/>
      <c r="AA587" s="88"/>
      <c r="AB587" s="88"/>
      <c r="AD587" s="86">
        <f t="shared" si="168"/>
      </c>
      <c r="AE587" s="86">
        <f t="shared" si="169"/>
      </c>
      <c r="AG587" s="86">
        <f t="shared" si="170"/>
      </c>
      <c r="AH587" s="86">
        <f t="shared" si="171"/>
      </c>
      <c r="AI587" s="86">
        <f t="shared" si="172"/>
      </c>
    </row>
    <row r="588" spans="6:35" x14ac:dyDescent="0.3">
      <c r="F588" s="26">
        <f>IF(G588=1,MAX($F$4:F587)+1,"")</f>
        <v/>
      </c>
      <c r="G588" s="26">
        <f>COUNTIF($H$5:H588,H588)</f>
      </c>
      <c r="H588" s="26">
        <f t="shared" si="173"/>
      </c>
      <c r="I588" s="26">
        <f>COUNTIF($J$4:$J588,1)</f>
      </c>
      <c r="J588" s="26">
        <f>COUNTIF($S$5:$S588,S588)</f>
      </c>
      <c r="K588" s="26">
        <f t="shared" si="162"/>
      </c>
      <c r="L588" s="26">
        <f>IFERROR(IF(P588=0,0,MAX($L$4:L587)+1),0)</f>
      </c>
      <c r="M588" s="5">
        <f t="shared" si="174"/>
      </c>
      <c r="N588" s="5">
        <f t="shared" si="175"/>
      </c>
      <c r="P588" s="86">
        <f t="shared" si="163"/>
      </c>
      <c r="Q588" s="86">
        <f t="shared" si="164"/>
      </c>
      <c r="R588" s="86">
        <f t="shared" si="165"/>
      </c>
      <c r="S588" s="86">
        <f t="shared" si="166"/>
      </c>
      <c r="T588" s="86">
        <f t="shared" si="176"/>
        <v/>
      </c>
      <c r="U588" s="86">
        <f t="shared" si="177"/>
        <v/>
      </c>
      <c r="V588" s="86">
        <f t="shared" si="178"/>
        <v/>
      </c>
      <c r="W588" s="87">
        <f t="shared" si="167"/>
      </c>
      <c r="X588" s="88"/>
      <c r="Y588" s="88"/>
      <c r="Z588" s="88"/>
      <c r="AA588" s="88"/>
      <c r="AB588" s="88"/>
      <c r="AD588" s="86">
        <f t="shared" si="168"/>
      </c>
      <c r="AE588" s="86">
        <f t="shared" si="169"/>
      </c>
      <c r="AG588" s="86">
        <f t="shared" si="170"/>
      </c>
      <c r="AH588" s="86">
        <f t="shared" si="171"/>
      </c>
      <c r="AI588" s="86">
        <f t="shared" si="172"/>
      </c>
    </row>
    <row r="589" spans="6:35" x14ac:dyDescent="0.3">
      <c r="F589" s="26">
        <f>IF(G589=1,MAX($F$4:F588)+1,"")</f>
        <v/>
      </c>
      <c r="G589" s="26">
        <f>COUNTIF($H$5:H589,H589)</f>
      </c>
      <c r="H589" s="26">
        <f t="shared" si="173"/>
      </c>
      <c r="I589" s="26">
        <f>COUNTIF($J$4:$J589,1)</f>
      </c>
      <c r="J589" s="26">
        <f>COUNTIF($S$5:$S589,S589)</f>
      </c>
      <c r="K589" s="26">
        <f t="shared" si="162"/>
      </c>
      <c r="L589" s="26">
        <f>IFERROR(IF(P589=0,0,MAX($L$4:L588)+1),0)</f>
      </c>
      <c r="M589" s="5">
        <f t="shared" si="174"/>
      </c>
      <c r="N589" s="5">
        <f t="shared" si="175"/>
      </c>
      <c r="P589" s="86">
        <f t="shared" si="163"/>
      </c>
      <c r="Q589" s="86">
        <f t="shared" si="164"/>
      </c>
      <c r="R589" s="86">
        <f t="shared" si="165"/>
      </c>
      <c r="S589" s="86">
        <f t="shared" si="166"/>
      </c>
      <c r="T589" s="86">
        <f t="shared" si="176"/>
        <v/>
      </c>
      <c r="U589" s="86">
        <f t="shared" si="177"/>
        <v/>
      </c>
      <c r="V589" s="86">
        <f t="shared" si="178"/>
        <v/>
      </c>
      <c r="W589" s="87">
        <f t="shared" si="167"/>
      </c>
      <c r="X589" s="88"/>
      <c r="Y589" s="88"/>
      <c r="Z589" s="88"/>
      <c r="AA589" s="88"/>
      <c r="AB589" s="88"/>
      <c r="AD589" s="86">
        <f t="shared" si="168"/>
      </c>
      <c r="AE589" s="86">
        <f t="shared" si="169"/>
      </c>
      <c r="AG589" s="86">
        <f t="shared" si="170"/>
      </c>
      <c r="AH589" s="86">
        <f t="shared" si="171"/>
      </c>
      <c r="AI589" s="86">
        <f t="shared" si="172"/>
      </c>
    </row>
    <row r="590" spans="6:35" x14ac:dyDescent="0.3">
      <c r="F590" s="26">
        <f>IF(G590=1,MAX($F$4:F589)+1,"")</f>
        <v/>
      </c>
      <c r="G590" s="26">
        <f>COUNTIF($H$5:H590,H590)</f>
      </c>
      <c r="H590" s="26">
        <f t="shared" si="173"/>
      </c>
      <c r="I590" s="26">
        <f>COUNTIF($J$4:$J590,1)</f>
      </c>
      <c r="J590" s="26">
        <f>COUNTIF($S$5:$S590,S590)</f>
      </c>
      <c r="K590" s="26">
        <f t="shared" si="162"/>
      </c>
      <c r="L590" s="26">
        <f>IFERROR(IF(P590=0,0,MAX($L$4:L589)+1),0)</f>
      </c>
      <c r="M590" s="5">
        <f t="shared" si="174"/>
      </c>
      <c r="N590" s="5">
        <f t="shared" si="175"/>
      </c>
      <c r="P590" s="86">
        <f t="shared" si="163"/>
      </c>
      <c r="Q590" s="86">
        <f t="shared" si="164"/>
      </c>
      <c r="R590" s="86">
        <f t="shared" si="165"/>
      </c>
      <c r="S590" s="86">
        <f t="shared" si="166"/>
      </c>
      <c r="T590" s="86">
        <f t="shared" si="176"/>
        <v/>
      </c>
      <c r="U590" s="86">
        <f t="shared" si="177"/>
        <v/>
      </c>
      <c r="V590" s="86">
        <f t="shared" si="178"/>
        <v/>
      </c>
      <c r="W590" s="87">
        <f t="shared" si="167"/>
      </c>
      <c r="X590" s="88"/>
      <c r="Y590" s="88"/>
      <c r="Z590" s="88"/>
      <c r="AA590" s="88"/>
      <c r="AB590" s="88"/>
      <c r="AD590" s="86">
        <f t="shared" si="168"/>
      </c>
      <c r="AE590" s="86">
        <f t="shared" si="169"/>
      </c>
      <c r="AG590" s="86">
        <f t="shared" si="170"/>
      </c>
      <c r="AH590" s="86">
        <f t="shared" si="171"/>
      </c>
      <c r="AI590" s="86">
        <f t="shared" si="172"/>
      </c>
    </row>
    <row r="591" spans="6:35" x14ac:dyDescent="0.3">
      <c r="F591" s="26">
        <f>IF(G591=1,MAX($F$4:F590)+1,"")</f>
        <v/>
      </c>
      <c r="G591" s="26">
        <f>COUNTIF($H$5:H591,H591)</f>
      </c>
      <c r="H591" s="26">
        <f t="shared" si="173"/>
      </c>
      <c r="I591" s="26">
        <f>COUNTIF($J$4:$J591,1)</f>
      </c>
      <c r="J591" s="26">
        <f>COUNTIF($S$5:$S591,S591)</f>
      </c>
      <c r="K591" s="26">
        <f t="shared" si="162"/>
      </c>
      <c r="L591" s="26">
        <f>IFERROR(IF(P591=0,0,MAX($L$4:L590)+1),0)</f>
      </c>
      <c r="M591" s="5">
        <f t="shared" si="174"/>
      </c>
      <c r="N591" s="5">
        <f t="shared" si="175"/>
      </c>
      <c r="P591" s="86">
        <f t="shared" si="163"/>
      </c>
      <c r="Q591" s="86">
        <f t="shared" si="164"/>
      </c>
      <c r="R591" s="86">
        <f t="shared" si="165"/>
      </c>
      <c r="S591" s="86">
        <f t="shared" si="166"/>
      </c>
      <c r="T591" s="86">
        <f t="shared" si="176"/>
        <v/>
      </c>
      <c r="U591" s="86">
        <f t="shared" si="177"/>
        <v/>
      </c>
      <c r="V591" s="86">
        <f t="shared" si="178"/>
        <v/>
      </c>
      <c r="W591" s="87">
        <f t="shared" si="167"/>
      </c>
      <c r="X591" s="88"/>
      <c r="Y591" s="88"/>
      <c r="Z591" s="88"/>
      <c r="AA591" s="88"/>
      <c r="AB591" s="88"/>
      <c r="AD591" s="86">
        <f t="shared" si="168"/>
      </c>
      <c r="AE591" s="86">
        <f t="shared" si="169"/>
      </c>
      <c r="AG591" s="86">
        <f t="shared" si="170"/>
      </c>
      <c r="AH591" s="86">
        <f t="shared" si="171"/>
      </c>
      <c r="AI591" s="86">
        <f t="shared" si="172"/>
      </c>
    </row>
    <row r="592" spans="6:35" x14ac:dyDescent="0.3">
      <c r="F592" s="26">
        <f>IF(G592=1,MAX($F$4:F591)+1,"")</f>
        <v/>
      </c>
      <c r="G592" s="26">
        <f>COUNTIF($H$5:H592,H592)</f>
      </c>
      <c r="H592" s="26">
        <f t="shared" si="173"/>
      </c>
      <c r="I592" s="26">
        <f>COUNTIF($J$4:$J592,1)</f>
      </c>
      <c r="J592" s="26">
        <f>COUNTIF($S$5:$S592,S592)</f>
      </c>
      <c r="K592" s="26">
        <f t="shared" si="162"/>
      </c>
      <c r="L592" s="26">
        <f>IFERROR(IF(P592=0,0,MAX($L$4:L591)+1),0)</f>
      </c>
      <c r="M592" s="5">
        <f t="shared" si="174"/>
      </c>
      <c r="N592" s="5">
        <f t="shared" si="175"/>
      </c>
      <c r="P592" s="86">
        <f t="shared" si="163"/>
      </c>
      <c r="Q592" s="86">
        <f t="shared" si="164"/>
      </c>
      <c r="R592" s="86">
        <f t="shared" si="165"/>
      </c>
      <c r="S592" s="86">
        <f t="shared" si="166"/>
      </c>
      <c r="T592" s="86">
        <f t="shared" si="176"/>
        <v/>
      </c>
      <c r="U592" s="86">
        <f t="shared" si="177"/>
        <v/>
      </c>
      <c r="V592" s="86">
        <f t="shared" si="178"/>
        <v/>
      </c>
      <c r="W592" s="87">
        <f t="shared" si="167"/>
      </c>
      <c r="X592" s="88"/>
      <c r="Y592" s="88"/>
      <c r="Z592" s="88"/>
      <c r="AA592" s="88"/>
      <c r="AB592" s="88"/>
      <c r="AD592" s="86">
        <f t="shared" si="168"/>
      </c>
      <c r="AE592" s="86">
        <f t="shared" si="169"/>
      </c>
      <c r="AG592" s="86">
        <f t="shared" si="170"/>
      </c>
      <c r="AH592" s="86">
        <f t="shared" si="171"/>
      </c>
      <c r="AI592" s="86">
        <f t="shared" si="172"/>
      </c>
    </row>
    <row r="593" spans="6:35" x14ac:dyDescent="0.3">
      <c r="F593" s="26">
        <f>IF(G593=1,MAX($F$4:F592)+1,"")</f>
        <v/>
      </c>
      <c r="G593" s="26">
        <f>COUNTIF($H$5:H593,H593)</f>
      </c>
      <c r="H593" s="26">
        <f t="shared" si="173"/>
      </c>
      <c r="I593" s="26">
        <f>COUNTIF($J$4:$J593,1)</f>
      </c>
      <c r="J593" s="26">
        <f>COUNTIF($S$5:$S593,S593)</f>
      </c>
      <c r="K593" s="26">
        <f t="shared" si="162"/>
      </c>
      <c r="L593" s="26">
        <f>IFERROR(IF(P593=0,0,MAX($L$4:L592)+1),0)</f>
      </c>
      <c r="M593" s="5">
        <f t="shared" si="174"/>
      </c>
      <c r="N593" s="5">
        <f t="shared" si="175"/>
      </c>
      <c r="P593" s="86">
        <f t="shared" si="163"/>
      </c>
      <c r="Q593" s="86">
        <f t="shared" si="164"/>
      </c>
      <c r="R593" s="86">
        <f t="shared" si="165"/>
      </c>
      <c r="S593" s="86">
        <f t="shared" si="166"/>
      </c>
      <c r="T593" s="86">
        <f t="shared" si="176"/>
        <v/>
      </c>
      <c r="U593" s="86">
        <f t="shared" si="177"/>
        <v/>
      </c>
      <c r="V593" s="86">
        <f t="shared" si="178"/>
        <v/>
      </c>
      <c r="W593" s="87">
        <f t="shared" si="167"/>
      </c>
      <c r="X593" s="88"/>
      <c r="Y593" s="88"/>
      <c r="Z593" s="88"/>
      <c r="AA593" s="88"/>
      <c r="AB593" s="88"/>
      <c r="AD593" s="86">
        <f t="shared" si="168"/>
      </c>
      <c r="AE593" s="86">
        <f t="shared" si="169"/>
      </c>
      <c r="AG593" s="86">
        <f t="shared" si="170"/>
      </c>
      <c r="AH593" s="86">
        <f t="shared" si="171"/>
      </c>
      <c r="AI593" s="86">
        <f t="shared" si="172"/>
      </c>
    </row>
    <row r="594" spans="6:35" x14ac:dyDescent="0.3">
      <c r="F594" s="26">
        <f>IF(G594=1,MAX($F$4:F593)+1,"")</f>
        <v/>
      </c>
      <c r="G594" s="26">
        <f>COUNTIF($H$5:H594,H594)</f>
      </c>
      <c r="H594" s="26">
        <f t="shared" si="173"/>
      </c>
      <c r="I594" s="26">
        <f>COUNTIF($J$4:$J594,1)</f>
      </c>
      <c r="J594" s="26">
        <f>COUNTIF($S$5:$S594,S594)</f>
      </c>
      <c r="K594" s="26">
        <f t="shared" si="162"/>
      </c>
      <c r="L594" s="26">
        <f>IFERROR(IF(P594=0,0,MAX($L$4:L593)+1),0)</f>
      </c>
      <c r="M594" s="5">
        <f t="shared" si="174"/>
      </c>
      <c r="N594" s="5">
        <f t="shared" si="175"/>
      </c>
      <c r="P594" s="86">
        <f t="shared" si="163"/>
      </c>
      <c r="Q594" s="86">
        <f t="shared" si="164"/>
      </c>
      <c r="R594" s="86">
        <f t="shared" si="165"/>
      </c>
      <c r="S594" s="86">
        <f t="shared" si="166"/>
      </c>
      <c r="T594" s="86">
        <f t="shared" si="176"/>
        <v/>
      </c>
      <c r="U594" s="86">
        <f t="shared" si="177"/>
        <v/>
      </c>
      <c r="V594" s="86">
        <f t="shared" si="178"/>
        <v/>
      </c>
      <c r="W594" s="87">
        <f t="shared" si="167"/>
      </c>
      <c r="X594" s="88"/>
      <c r="Y594" s="88"/>
      <c r="Z594" s="88"/>
      <c r="AA594" s="88"/>
      <c r="AB594" s="88"/>
      <c r="AD594" s="86">
        <f t="shared" si="168"/>
      </c>
      <c r="AE594" s="86">
        <f t="shared" si="169"/>
      </c>
      <c r="AG594" s="86">
        <f t="shared" si="170"/>
      </c>
      <c r="AH594" s="86">
        <f t="shared" si="171"/>
      </c>
      <c r="AI594" s="86">
        <f t="shared" si="172"/>
      </c>
    </row>
    <row r="595" spans="6:35" x14ac:dyDescent="0.3">
      <c r="F595" s="26">
        <f>IF(G595=1,MAX($F$4:F594)+1,"")</f>
        <v/>
      </c>
      <c r="G595" s="26">
        <f>COUNTIF($H$5:H595,H595)</f>
      </c>
      <c r="H595" s="26">
        <f t="shared" si="173"/>
      </c>
      <c r="I595" s="26">
        <f>COUNTIF($J$4:$J595,1)</f>
      </c>
      <c r="J595" s="26">
        <f>COUNTIF($S$5:$S595,S595)</f>
      </c>
      <c r="K595" s="26">
        <f t="shared" si="162"/>
      </c>
      <c r="L595" s="26">
        <f>IFERROR(IF(P595=0,0,MAX($L$4:L594)+1),0)</f>
      </c>
      <c r="M595" s="5">
        <f t="shared" si="174"/>
      </c>
      <c r="N595" s="5">
        <f t="shared" si="175"/>
      </c>
      <c r="P595" s="86">
        <f t="shared" si="163"/>
      </c>
      <c r="Q595" s="86">
        <f t="shared" si="164"/>
      </c>
      <c r="R595" s="86">
        <f t="shared" si="165"/>
      </c>
      <c r="S595" s="86">
        <f t="shared" si="166"/>
      </c>
      <c r="T595" s="86">
        <f t="shared" si="176"/>
        <v/>
      </c>
      <c r="U595" s="86">
        <f t="shared" si="177"/>
        <v/>
      </c>
      <c r="V595" s="86">
        <f t="shared" si="178"/>
        <v/>
      </c>
      <c r="W595" s="87">
        <f t="shared" si="167"/>
      </c>
      <c r="X595" s="88"/>
      <c r="Y595" s="88"/>
      <c r="Z595" s="88"/>
      <c r="AA595" s="88"/>
      <c r="AB595" s="88"/>
      <c r="AD595" s="86">
        <f t="shared" si="168"/>
      </c>
      <c r="AE595" s="86">
        <f t="shared" si="169"/>
      </c>
      <c r="AG595" s="86">
        <f t="shared" si="170"/>
      </c>
      <c r="AH595" s="86">
        <f t="shared" si="171"/>
      </c>
      <c r="AI595" s="86">
        <f t="shared" si="172"/>
      </c>
    </row>
    <row r="596" spans="6:35" x14ac:dyDescent="0.3">
      <c r="F596" s="26">
        <f>IF(G596=1,MAX($F$4:F595)+1,"")</f>
        <v/>
      </c>
      <c r="G596" s="26">
        <f>COUNTIF($H$5:H596,H596)</f>
      </c>
      <c r="H596" s="26">
        <f t="shared" si="173"/>
      </c>
      <c r="I596" s="26">
        <f>COUNTIF($J$4:$J596,1)</f>
      </c>
      <c r="J596" s="26">
        <f>COUNTIF($S$5:$S596,S596)</f>
      </c>
      <c r="K596" s="26">
        <f t="shared" si="162"/>
      </c>
      <c r="L596" s="26">
        <f>IFERROR(IF(P596=0,0,MAX($L$4:L595)+1),0)</f>
      </c>
      <c r="M596" s="5">
        <f t="shared" si="174"/>
      </c>
      <c r="N596" s="5">
        <f t="shared" si="175"/>
      </c>
      <c r="P596" s="86">
        <f t="shared" si="163"/>
      </c>
      <c r="Q596" s="86">
        <f t="shared" si="164"/>
      </c>
      <c r="R596" s="86">
        <f t="shared" si="165"/>
      </c>
      <c r="S596" s="86">
        <f t="shared" si="166"/>
      </c>
      <c r="T596" s="86">
        <f t="shared" si="176"/>
        <v/>
      </c>
      <c r="U596" s="86">
        <f t="shared" si="177"/>
        <v/>
      </c>
      <c r="V596" s="86">
        <f t="shared" si="178"/>
        <v/>
      </c>
      <c r="W596" s="87">
        <f t="shared" si="167"/>
      </c>
      <c r="X596" s="88"/>
      <c r="Y596" s="88"/>
      <c r="Z596" s="88"/>
      <c r="AA596" s="88"/>
      <c r="AB596" s="88"/>
      <c r="AD596" s="86">
        <f t="shared" si="168"/>
      </c>
      <c r="AE596" s="86">
        <f t="shared" si="169"/>
      </c>
      <c r="AG596" s="86">
        <f t="shared" si="170"/>
      </c>
      <c r="AH596" s="86">
        <f t="shared" si="171"/>
      </c>
      <c r="AI596" s="86">
        <f t="shared" si="172"/>
      </c>
    </row>
    <row r="597" spans="6:35" x14ac:dyDescent="0.3">
      <c r="F597" s="26">
        <f>IF(G597=1,MAX($F$4:F596)+1,"")</f>
        <v/>
      </c>
      <c r="G597" s="26">
        <f>COUNTIF($H$5:H597,H597)</f>
      </c>
      <c r="H597" s="26">
        <f t="shared" si="173"/>
      </c>
      <c r="I597" s="26">
        <f>COUNTIF($J$4:$J597,1)</f>
      </c>
      <c r="J597" s="26">
        <f>COUNTIF($S$5:$S597,S597)</f>
      </c>
      <c r="K597" s="26">
        <f t="shared" si="162"/>
      </c>
      <c r="L597" s="26">
        <f>IFERROR(IF(P597=0,0,MAX($L$4:L596)+1),0)</f>
      </c>
      <c r="M597" s="5">
        <f t="shared" si="174"/>
      </c>
      <c r="N597" s="5">
        <f t="shared" si="175"/>
      </c>
      <c r="P597" s="86">
        <f t="shared" si="163"/>
      </c>
      <c r="Q597" s="86">
        <f t="shared" si="164"/>
      </c>
      <c r="R597" s="86">
        <f t="shared" si="165"/>
      </c>
      <c r="S597" s="86">
        <f t="shared" si="166"/>
      </c>
      <c r="T597" s="86">
        <f t="shared" si="176"/>
        <v/>
      </c>
      <c r="U597" s="86">
        <f t="shared" si="177"/>
        <v/>
      </c>
      <c r="V597" s="86">
        <f t="shared" si="178"/>
        <v/>
      </c>
      <c r="W597" s="87">
        <f t="shared" si="167"/>
      </c>
      <c r="X597" s="88"/>
      <c r="Y597" s="88"/>
      <c r="Z597" s="88"/>
      <c r="AA597" s="88"/>
      <c r="AB597" s="88"/>
      <c r="AD597" s="86">
        <f t="shared" si="168"/>
      </c>
      <c r="AE597" s="86">
        <f t="shared" si="169"/>
      </c>
      <c r="AG597" s="86">
        <f t="shared" si="170"/>
      </c>
      <c r="AH597" s="86">
        <f t="shared" si="171"/>
      </c>
      <c r="AI597" s="86">
        <f t="shared" si="172"/>
      </c>
    </row>
    <row r="598" spans="6:35" x14ac:dyDescent="0.3">
      <c r="F598" s="26">
        <f>IF(G598=1,MAX($F$4:F597)+1,"")</f>
        <v/>
      </c>
      <c r="G598" s="26">
        <f>COUNTIF($H$5:H598,H598)</f>
      </c>
      <c r="H598" s="26">
        <f t="shared" si="173"/>
      </c>
      <c r="I598" s="26">
        <f>COUNTIF($J$4:$J598,1)</f>
      </c>
      <c r="J598" s="26">
        <f>COUNTIF($S$5:$S598,S598)</f>
      </c>
      <c r="K598" s="26">
        <f t="shared" si="162"/>
      </c>
      <c r="L598" s="26">
        <f>IFERROR(IF(P598=0,0,MAX($L$4:L597)+1),0)</f>
      </c>
      <c r="M598" s="5">
        <f t="shared" si="174"/>
      </c>
      <c r="N598" s="5">
        <f t="shared" si="175"/>
      </c>
      <c r="P598" s="86">
        <f t="shared" si="163"/>
      </c>
      <c r="Q598" s="86">
        <f t="shared" si="164"/>
      </c>
      <c r="R598" s="86">
        <f t="shared" si="165"/>
      </c>
      <c r="S598" s="86">
        <f t="shared" si="166"/>
      </c>
      <c r="T598" s="86">
        <f t="shared" si="176"/>
        <v/>
      </c>
      <c r="U598" s="86">
        <f t="shared" si="177"/>
        <v/>
      </c>
      <c r="V598" s="86">
        <f t="shared" si="178"/>
        <v/>
      </c>
      <c r="W598" s="87">
        <f t="shared" si="167"/>
      </c>
      <c r="X598" s="88"/>
      <c r="Y598" s="88"/>
      <c r="Z598" s="88"/>
      <c r="AA598" s="88"/>
      <c r="AB598" s="88"/>
      <c r="AD598" s="86">
        <f t="shared" si="168"/>
      </c>
      <c r="AE598" s="86">
        <f t="shared" si="169"/>
      </c>
      <c r="AG598" s="86">
        <f t="shared" si="170"/>
      </c>
      <c r="AH598" s="86">
        <f t="shared" si="171"/>
      </c>
      <c r="AI598" s="86">
        <f t="shared" si="172"/>
      </c>
    </row>
    <row r="599" spans="6:35" x14ac:dyDescent="0.3">
      <c r="F599" s="26">
        <f>IF(G599=1,MAX($F$4:F598)+1,"")</f>
        <v/>
      </c>
      <c r="G599" s="26">
        <f>COUNTIF($H$5:H599,H599)</f>
      </c>
      <c r="H599" s="26">
        <f t="shared" si="173"/>
      </c>
      <c r="I599" s="26">
        <f>COUNTIF($J$4:$J599,1)</f>
      </c>
      <c r="J599" s="26">
        <f>COUNTIF($S$5:$S599,S599)</f>
      </c>
      <c r="K599" s="26">
        <f t="shared" si="162"/>
      </c>
      <c r="L599" s="26">
        <f>IFERROR(IF(P599=0,0,MAX($L$4:L598)+1),0)</f>
      </c>
      <c r="M599" s="5">
        <f t="shared" si="174"/>
      </c>
      <c r="N599" s="5">
        <f t="shared" si="175"/>
      </c>
      <c r="P599" s="86">
        <f t="shared" si="163"/>
      </c>
      <c r="Q599" s="86">
        <f t="shared" si="164"/>
      </c>
      <c r="R599" s="86">
        <f t="shared" si="165"/>
      </c>
      <c r="S599" s="86">
        <f t="shared" si="166"/>
      </c>
      <c r="T599" s="86">
        <f t="shared" si="176"/>
        <v/>
      </c>
      <c r="U599" s="86">
        <f t="shared" si="177"/>
        <v/>
      </c>
      <c r="V599" s="86">
        <f t="shared" si="178"/>
        <v/>
      </c>
      <c r="W599" s="87">
        <f t="shared" si="167"/>
      </c>
      <c r="X599" s="88"/>
      <c r="Y599" s="88"/>
      <c r="Z599" s="88"/>
      <c r="AA599" s="88"/>
      <c r="AB599" s="88"/>
      <c r="AD599" s="86">
        <f t="shared" si="168"/>
      </c>
      <c r="AE599" s="86">
        <f t="shared" si="169"/>
      </c>
      <c r="AG599" s="86">
        <f t="shared" si="170"/>
      </c>
      <c r="AH599" s="86">
        <f t="shared" si="171"/>
      </c>
      <c r="AI599" s="86">
        <f t="shared" si="172"/>
      </c>
    </row>
    <row r="600" spans="6:35" x14ac:dyDescent="0.3">
      <c r="F600" s="26">
        <f>IF(G600=1,MAX($F$4:F599)+1,"")</f>
        <v/>
      </c>
      <c r="G600" s="26">
        <f>COUNTIF($H$5:H600,H600)</f>
      </c>
      <c r="H600" s="26">
        <f t="shared" si="173"/>
      </c>
      <c r="I600" s="26">
        <f>COUNTIF($J$4:$J600,1)</f>
      </c>
      <c r="J600" s="26">
        <f>COUNTIF($S$5:$S600,S600)</f>
      </c>
      <c r="K600" s="26">
        <f t="shared" si="162"/>
      </c>
      <c r="L600" s="26">
        <f>IFERROR(IF(P600=0,0,MAX($L$4:L599)+1),0)</f>
      </c>
      <c r="M600" s="5">
        <f t="shared" si="174"/>
      </c>
      <c r="N600" s="5">
        <f t="shared" si="175"/>
      </c>
      <c r="P600" s="86">
        <f t="shared" si="163"/>
      </c>
      <c r="Q600" s="86">
        <f t="shared" si="164"/>
      </c>
      <c r="R600" s="86">
        <f t="shared" si="165"/>
      </c>
      <c r="S600" s="86">
        <f t="shared" si="166"/>
      </c>
      <c r="T600" s="86">
        <f t="shared" si="176"/>
        <v/>
      </c>
      <c r="U600" s="86">
        <f t="shared" si="177"/>
        <v/>
      </c>
      <c r="V600" s="86">
        <f t="shared" si="178"/>
        <v/>
      </c>
      <c r="W600" s="87">
        <f t="shared" si="167"/>
      </c>
      <c r="X600" s="88"/>
      <c r="Y600" s="88"/>
      <c r="Z600" s="88"/>
      <c r="AA600" s="88"/>
      <c r="AB600" s="88"/>
      <c r="AD600" s="86">
        <f t="shared" si="168"/>
      </c>
      <c r="AE600" s="86">
        <f t="shared" si="169"/>
      </c>
      <c r="AG600" s="86">
        <f t="shared" si="170"/>
      </c>
      <c r="AH600" s="86">
        <f t="shared" si="171"/>
      </c>
      <c r="AI600" s="86">
        <f t="shared" si="172"/>
      </c>
    </row>
    <row r="601" spans="6:35" x14ac:dyDescent="0.3">
      <c r="F601" s="26">
        <f>IF(G601=1,MAX($F$4:F600)+1,"")</f>
        <v/>
      </c>
      <c r="G601" s="26">
        <f>COUNTIF($H$5:H601,H601)</f>
      </c>
      <c r="H601" s="26">
        <f t="shared" si="173"/>
      </c>
      <c r="I601" s="26">
        <f>COUNTIF($J$4:$J601,1)</f>
      </c>
      <c r="J601" s="26">
        <f>COUNTIF($S$5:$S601,S601)</f>
      </c>
      <c r="K601" s="26">
        <f t="shared" si="162"/>
      </c>
      <c r="L601" s="26">
        <f>IFERROR(IF(P601=0,0,MAX($L$4:L600)+1),0)</f>
      </c>
      <c r="M601" s="5">
        <f t="shared" si="174"/>
      </c>
      <c r="N601" s="5">
        <f t="shared" si="175"/>
      </c>
      <c r="P601" s="86">
        <f t="shared" si="163"/>
      </c>
      <c r="Q601" s="86">
        <f t="shared" si="164"/>
      </c>
      <c r="R601" s="86">
        <f t="shared" si="165"/>
      </c>
      <c r="S601" s="86">
        <f t="shared" si="166"/>
      </c>
      <c r="T601" s="86">
        <f t="shared" si="176"/>
        <v/>
      </c>
      <c r="U601" s="86">
        <f t="shared" si="177"/>
        <v/>
      </c>
      <c r="V601" s="86">
        <f t="shared" si="178"/>
        <v/>
      </c>
      <c r="W601" s="87">
        <f t="shared" si="167"/>
      </c>
      <c r="X601" s="88"/>
      <c r="Y601" s="88"/>
      <c r="Z601" s="88"/>
      <c r="AA601" s="88"/>
      <c r="AB601" s="88"/>
      <c r="AD601" s="86">
        <f t="shared" si="168"/>
      </c>
      <c r="AE601" s="86">
        <f t="shared" si="169"/>
      </c>
      <c r="AG601" s="86">
        <f t="shared" si="170"/>
      </c>
      <c r="AH601" s="86">
        <f t="shared" si="171"/>
      </c>
      <c r="AI601" s="86">
        <f t="shared" si="172"/>
      </c>
    </row>
    <row r="602" spans="6:35" x14ac:dyDescent="0.3">
      <c r="F602" s="26">
        <f>IF(G602=1,MAX($F$4:F601)+1,"")</f>
        <v/>
      </c>
      <c r="G602" s="26">
        <f>COUNTIF($H$5:H602,H602)</f>
      </c>
      <c r="H602" s="26">
        <f t="shared" si="173"/>
      </c>
      <c r="I602" s="26">
        <f>COUNTIF($J$4:$J602,1)</f>
      </c>
      <c r="J602" s="26">
        <f>COUNTIF($S$5:$S602,S602)</f>
      </c>
      <c r="K602" s="26">
        <f t="shared" si="162"/>
      </c>
      <c r="L602" s="26">
        <f>IFERROR(IF(P602=0,0,MAX($L$4:L601)+1),0)</f>
      </c>
      <c r="M602" s="5">
        <f t="shared" si="174"/>
      </c>
      <c r="N602" s="5">
        <f t="shared" si="175"/>
      </c>
      <c r="P602" s="86">
        <f t="shared" si="163"/>
      </c>
      <c r="Q602" s="86">
        <f t="shared" si="164"/>
      </c>
      <c r="R602" s="86">
        <f t="shared" si="165"/>
      </c>
      <c r="S602" s="86">
        <f t="shared" si="166"/>
      </c>
      <c r="T602" s="86">
        <f t="shared" si="176"/>
        <v/>
      </c>
      <c r="U602" s="86">
        <f t="shared" si="177"/>
        <v/>
      </c>
      <c r="V602" s="86">
        <f t="shared" si="178"/>
        <v/>
      </c>
      <c r="W602" s="87">
        <f t="shared" si="167"/>
      </c>
      <c r="X602" s="88"/>
      <c r="Y602" s="88"/>
      <c r="Z602" s="88"/>
      <c r="AA602" s="88"/>
      <c r="AB602" s="88"/>
      <c r="AD602" s="86">
        <f t="shared" si="168"/>
      </c>
      <c r="AE602" s="86">
        <f t="shared" si="169"/>
      </c>
      <c r="AG602" s="86">
        <f t="shared" si="170"/>
      </c>
      <c r="AH602" s="86">
        <f t="shared" si="171"/>
      </c>
      <c r="AI602" s="86">
        <f t="shared" si="172"/>
      </c>
    </row>
    <row r="603" spans="6:35" x14ac:dyDescent="0.3">
      <c r="F603" s="26">
        <f>IF(G603=1,MAX($F$4:F602)+1,"")</f>
        <v/>
      </c>
      <c r="G603" s="26">
        <f>COUNTIF($H$5:H603,H603)</f>
      </c>
      <c r="H603" s="26">
        <f t="shared" si="173"/>
      </c>
      <c r="I603" s="26">
        <f>COUNTIF($J$4:$J603,1)</f>
      </c>
      <c r="J603" s="26">
        <f>COUNTIF($S$5:$S603,S603)</f>
      </c>
      <c r="K603" s="26">
        <f t="shared" si="162"/>
      </c>
      <c r="L603" s="26">
        <f>IFERROR(IF(P603=0,0,MAX($L$4:L602)+1),0)</f>
      </c>
      <c r="M603" s="5">
        <f t="shared" si="174"/>
      </c>
      <c r="N603" s="5">
        <f t="shared" si="175"/>
      </c>
      <c r="P603" s="86">
        <f t="shared" si="163"/>
      </c>
      <c r="Q603" s="86">
        <f t="shared" si="164"/>
      </c>
      <c r="R603" s="86">
        <f t="shared" si="165"/>
      </c>
      <c r="S603" s="86">
        <f t="shared" si="166"/>
      </c>
      <c r="T603" s="86">
        <f t="shared" si="176"/>
        <v/>
      </c>
      <c r="U603" s="86">
        <f t="shared" si="177"/>
        <v/>
      </c>
      <c r="V603" s="86">
        <f t="shared" si="178"/>
        <v/>
      </c>
      <c r="W603" s="87">
        <f t="shared" si="167"/>
      </c>
      <c r="X603" s="88"/>
      <c r="Y603" s="88"/>
      <c r="Z603" s="88"/>
      <c r="AA603" s="88"/>
      <c r="AB603" s="88"/>
      <c r="AD603" s="86">
        <f t="shared" si="168"/>
      </c>
      <c r="AE603" s="86">
        <f t="shared" si="169"/>
      </c>
      <c r="AG603" s="86">
        <f t="shared" si="170"/>
      </c>
      <c r="AH603" s="86">
        <f t="shared" si="171"/>
      </c>
      <c r="AI603" s="86">
        <f t="shared" si="172"/>
      </c>
    </row>
    <row r="604" spans="6:35" x14ac:dyDescent="0.3">
      <c r="F604" s="26">
        <f>IF(G604=1,MAX($F$4:F603)+1,"")</f>
        <v/>
      </c>
      <c r="G604" s="26">
        <f>COUNTIF($H$5:H604,H604)</f>
      </c>
      <c r="H604" s="26">
        <f t="shared" si="173"/>
      </c>
      <c r="I604" s="26">
        <f>COUNTIF($J$4:$J604,1)</f>
      </c>
      <c r="J604" s="26">
        <f>COUNTIF($S$5:$S604,S604)</f>
      </c>
      <c r="K604" s="26">
        <f t="shared" si="162"/>
      </c>
      <c r="L604" s="26">
        <f>IFERROR(IF(P604=0,0,MAX($L$4:L603)+1),0)</f>
      </c>
      <c r="M604" s="5">
        <f t="shared" si="174"/>
      </c>
      <c r="N604" s="5">
        <f t="shared" si="175"/>
      </c>
      <c r="P604" s="86">
        <f t="shared" si="163"/>
      </c>
      <c r="Q604" s="86">
        <f t="shared" si="164"/>
      </c>
      <c r="R604" s="86">
        <f t="shared" si="165"/>
      </c>
      <c r="S604" s="86">
        <f t="shared" si="166"/>
      </c>
      <c r="T604" s="86">
        <f t="shared" si="176"/>
        <v/>
      </c>
      <c r="U604" s="86">
        <f t="shared" si="177"/>
        <v/>
      </c>
      <c r="V604" s="86">
        <f t="shared" si="178"/>
        <v/>
      </c>
      <c r="W604" s="87">
        <f t="shared" si="167"/>
      </c>
      <c r="X604" s="88"/>
      <c r="Y604" s="88"/>
      <c r="Z604" s="88"/>
      <c r="AA604" s="88"/>
      <c r="AB604" s="88"/>
      <c r="AD604" s="86">
        <f t="shared" si="168"/>
      </c>
      <c r="AE604" s="86">
        <f t="shared" si="169"/>
      </c>
      <c r="AG604" s="86">
        <f t="shared" si="170"/>
      </c>
      <c r="AH604" s="86">
        <f t="shared" si="171"/>
      </c>
      <c r="AI604" s="86">
        <f t="shared" si="172"/>
      </c>
    </row>
    <row r="605" spans="6:35" x14ac:dyDescent="0.3">
      <c r="F605" s="26">
        <f>IF(G605=1,MAX($F$4:F604)+1,"")</f>
        <v/>
      </c>
      <c r="G605" s="26">
        <f>COUNTIF($H$5:H605,H605)</f>
      </c>
      <c r="H605" s="26">
        <f t="shared" si="173"/>
      </c>
      <c r="I605" s="26">
        <f>COUNTIF($J$4:$J605,1)</f>
      </c>
      <c r="J605" s="26">
        <f>COUNTIF($S$5:$S605,S605)</f>
      </c>
      <c r="K605" s="26">
        <f t="shared" si="162"/>
      </c>
      <c r="L605" s="26">
        <f>IFERROR(IF(P605=0,0,MAX($L$4:L604)+1),0)</f>
      </c>
      <c r="M605" s="5">
        <f t="shared" si="174"/>
      </c>
      <c r="N605" s="5">
        <f t="shared" si="175"/>
      </c>
      <c r="P605" s="86">
        <f t="shared" si="163"/>
      </c>
      <c r="Q605" s="86">
        <f t="shared" si="164"/>
      </c>
      <c r="R605" s="86">
        <f t="shared" si="165"/>
      </c>
      <c r="S605" s="86">
        <f t="shared" si="166"/>
      </c>
      <c r="T605" s="86">
        <f t="shared" si="176"/>
        <v/>
      </c>
      <c r="U605" s="86">
        <f t="shared" si="177"/>
        <v/>
      </c>
      <c r="V605" s="86">
        <f t="shared" si="178"/>
        <v/>
      </c>
      <c r="W605" s="87">
        <f t="shared" si="167"/>
      </c>
      <c r="X605" s="88"/>
      <c r="Y605" s="88"/>
      <c r="Z605" s="88"/>
      <c r="AA605" s="88"/>
      <c r="AB605" s="88"/>
      <c r="AD605" s="86">
        <f t="shared" si="168"/>
      </c>
      <c r="AE605" s="86">
        <f t="shared" si="169"/>
      </c>
      <c r="AG605" s="86">
        <f t="shared" si="170"/>
      </c>
      <c r="AH605" s="86">
        <f t="shared" si="171"/>
      </c>
      <c r="AI605" s="86">
        <f t="shared" si="172"/>
      </c>
    </row>
    <row r="606" spans="6:35" x14ac:dyDescent="0.3">
      <c r="F606" s="26">
        <f>IF(G606=1,MAX($F$4:F605)+1,"")</f>
        <v/>
      </c>
      <c r="G606" s="26">
        <f>COUNTIF($H$5:H606,H606)</f>
      </c>
      <c r="H606" s="26">
        <f t="shared" si="173"/>
      </c>
      <c r="I606" s="26">
        <f>COUNTIF($J$4:$J606,1)</f>
      </c>
      <c r="J606" s="26">
        <f>COUNTIF($S$5:$S606,S606)</f>
      </c>
      <c r="K606" s="26">
        <f t="shared" si="162"/>
      </c>
      <c r="L606" s="26">
        <f>IFERROR(IF(P606=0,0,MAX($L$4:L605)+1),0)</f>
      </c>
      <c r="M606" s="5">
        <f t="shared" si="174"/>
      </c>
      <c r="N606" s="5">
        <f t="shared" si="175"/>
      </c>
      <c r="P606" s="86">
        <f t="shared" si="163"/>
      </c>
      <c r="Q606" s="86">
        <f t="shared" si="164"/>
      </c>
      <c r="R606" s="86">
        <f t="shared" si="165"/>
      </c>
      <c r="S606" s="86">
        <f t="shared" si="166"/>
      </c>
      <c r="T606" s="86">
        <f t="shared" si="176"/>
        <v/>
      </c>
      <c r="U606" s="86">
        <f t="shared" si="177"/>
        <v/>
      </c>
      <c r="V606" s="86">
        <f t="shared" si="178"/>
        <v/>
      </c>
      <c r="W606" s="87">
        <f t="shared" si="167"/>
      </c>
      <c r="X606" s="88"/>
      <c r="Y606" s="88"/>
      <c r="Z606" s="88"/>
      <c r="AA606" s="88"/>
      <c r="AB606" s="88"/>
      <c r="AD606" s="86">
        <f t="shared" si="168"/>
      </c>
      <c r="AE606" s="86">
        <f t="shared" si="169"/>
      </c>
      <c r="AG606" s="86">
        <f t="shared" si="170"/>
      </c>
      <c r="AH606" s="86">
        <f t="shared" si="171"/>
      </c>
      <c r="AI606" s="86">
        <f t="shared" si="172"/>
      </c>
    </row>
    <row r="607" spans="6:35" x14ac:dyDescent="0.3">
      <c r="F607" s="26">
        <f>IF(G607=1,MAX($F$4:F606)+1,"")</f>
        <v/>
      </c>
      <c r="G607" s="26">
        <f>COUNTIF($H$5:H607,H607)</f>
      </c>
      <c r="H607" s="26">
        <f t="shared" si="173"/>
      </c>
      <c r="I607" s="26">
        <f>COUNTIF($J$4:$J607,1)</f>
      </c>
      <c r="J607" s="26">
        <f>COUNTIF($S$5:$S607,S607)</f>
      </c>
      <c r="K607" s="26">
        <f t="shared" si="162"/>
      </c>
      <c r="L607" s="26">
        <f>IFERROR(IF(P607=0,0,MAX($L$4:L606)+1),0)</f>
      </c>
      <c r="M607" s="5">
        <f t="shared" si="174"/>
      </c>
      <c r="N607" s="5">
        <f t="shared" si="175"/>
      </c>
      <c r="P607" s="86">
        <f t="shared" si="163"/>
      </c>
      <c r="Q607" s="86">
        <f t="shared" si="164"/>
      </c>
      <c r="R607" s="86">
        <f t="shared" si="165"/>
      </c>
      <c r="S607" s="86">
        <f t="shared" si="166"/>
      </c>
      <c r="T607" s="86">
        <f t="shared" si="176"/>
        <v/>
      </c>
      <c r="U607" s="86">
        <f t="shared" si="177"/>
        <v/>
      </c>
      <c r="V607" s="86">
        <f t="shared" si="178"/>
        <v/>
      </c>
      <c r="W607" s="87">
        <f t="shared" si="167"/>
      </c>
      <c r="X607" s="88"/>
      <c r="Y607" s="88"/>
      <c r="Z607" s="88"/>
      <c r="AA607" s="88"/>
      <c r="AB607" s="88"/>
      <c r="AD607" s="86">
        <f t="shared" si="168"/>
      </c>
      <c r="AE607" s="86">
        <f t="shared" si="169"/>
      </c>
      <c r="AG607" s="86">
        <f t="shared" si="170"/>
      </c>
      <c r="AH607" s="86">
        <f t="shared" si="171"/>
      </c>
      <c r="AI607" s="86">
        <f t="shared" si="172"/>
      </c>
    </row>
    <row r="608" spans="6:35" x14ac:dyDescent="0.3">
      <c r="F608" s="26">
        <f>IF(G608=1,MAX($F$4:F607)+1,"")</f>
        <v/>
      </c>
      <c r="G608" s="26">
        <f>COUNTIF($H$5:H608,H608)</f>
      </c>
      <c r="H608" s="26">
        <f t="shared" si="173"/>
      </c>
      <c r="I608" s="26">
        <f>COUNTIF($J$4:$J608,1)</f>
      </c>
      <c r="J608" s="26">
        <f>COUNTIF($S$5:$S608,S608)</f>
      </c>
      <c r="K608" s="26">
        <f t="shared" si="162"/>
      </c>
      <c r="L608" s="26">
        <f>IFERROR(IF(P608=0,0,MAX($L$4:L607)+1),0)</f>
      </c>
      <c r="M608" s="5">
        <f t="shared" si="174"/>
      </c>
      <c r="N608" s="5">
        <f t="shared" si="175"/>
      </c>
      <c r="P608" s="86">
        <f t="shared" si="163"/>
      </c>
      <c r="Q608" s="86">
        <f t="shared" si="164"/>
      </c>
      <c r="R608" s="86">
        <f t="shared" si="165"/>
      </c>
      <c r="S608" s="86">
        <f t="shared" si="166"/>
      </c>
      <c r="T608" s="86">
        <f t="shared" si="176"/>
        <v/>
      </c>
      <c r="U608" s="86">
        <f t="shared" si="177"/>
        <v/>
      </c>
      <c r="V608" s="86">
        <f t="shared" si="178"/>
        <v/>
      </c>
      <c r="W608" s="87">
        <f t="shared" si="167"/>
      </c>
      <c r="X608" s="88"/>
      <c r="Y608" s="88"/>
      <c r="Z608" s="88"/>
      <c r="AA608" s="88"/>
      <c r="AB608" s="88"/>
      <c r="AD608" s="86">
        <f t="shared" si="168"/>
      </c>
      <c r="AE608" s="86">
        <f t="shared" si="169"/>
      </c>
      <c r="AG608" s="86">
        <f t="shared" si="170"/>
      </c>
      <c r="AH608" s="86">
        <f t="shared" si="171"/>
      </c>
      <c r="AI608" s="86">
        <f t="shared" si="172"/>
      </c>
    </row>
    <row r="609" spans="6:35" x14ac:dyDescent="0.3">
      <c r="F609" s="26">
        <f>IF(G609=1,MAX($F$4:F608)+1,"")</f>
        <v/>
      </c>
      <c r="G609" s="26">
        <f>COUNTIF($H$5:H609,H609)</f>
      </c>
      <c r="H609" s="26">
        <f t="shared" si="173"/>
      </c>
      <c r="I609" s="26">
        <f>COUNTIF($J$4:$J609,1)</f>
      </c>
      <c r="J609" s="26">
        <f>COUNTIF($S$5:$S609,S609)</f>
      </c>
      <c r="K609" s="26">
        <f t="shared" si="162"/>
      </c>
      <c r="L609" s="26">
        <f>IFERROR(IF(P609=0,0,MAX($L$4:L608)+1),0)</f>
      </c>
      <c r="M609" s="5">
        <f t="shared" si="174"/>
      </c>
      <c r="N609" s="5">
        <f t="shared" si="175"/>
      </c>
      <c r="P609" s="86">
        <f t="shared" si="163"/>
      </c>
      <c r="Q609" s="86">
        <f t="shared" si="164"/>
      </c>
      <c r="R609" s="86">
        <f t="shared" si="165"/>
      </c>
      <c r="S609" s="86">
        <f t="shared" si="166"/>
      </c>
      <c r="T609" s="86">
        <f t="shared" si="176"/>
        <v/>
      </c>
      <c r="U609" s="86">
        <f t="shared" si="177"/>
        <v/>
      </c>
      <c r="V609" s="86">
        <f t="shared" si="178"/>
        <v/>
      </c>
      <c r="W609" s="87">
        <f t="shared" si="167"/>
      </c>
      <c r="X609" s="88"/>
      <c r="Y609" s="88"/>
      <c r="Z609" s="88"/>
      <c r="AA609" s="88"/>
      <c r="AB609" s="88"/>
      <c r="AD609" s="86">
        <f t="shared" si="168"/>
      </c>
      <c r="AE609" s="86">
        <f t="shared" si="169"/>
      </c>
      <c r="AG609" s="86">
        <f t="shared" si="170"/>
      </c>
      <c r="AH609" s="86">
        <f t="shared" si="171"/>
      </c>
      <c r="AI609" s="86">
        <f t="shared" si="172"/>
      </c>
    </row>
    <row r="610" spans="6:35" x14ac:dyDescent="0.3">
      <c r="F610" s="26">
        <f>IF(G610=1,MAX($F$4:F609)+1,"")</f>
        <v/>
      </c>
      <c r="G610" s="26">
        <f>COUNTIF($H$5:H610,H610)</f>
      </c>
      <c r="H610" s="26">
        <f t="shared" si="173"/>
      </c>
      <c r="I610" s="26">
        <f>COUNTIF($J$4:$J610,1)</f>
      </c>
      <c r="J610" s="26">
        <f>COUNTIF($S$5:$S610,S610)</f>
      </c>
      <c r="K610" s="26">
        <f t="shared" si="162"/>
      </c>
      <c r="L610" s="26">
        <f>IFERROR(IF(P610=0,0,MAX($L$4:L609)+1),0)</f>
      </c>
      <c r="M610" s="5">
        <f t="shared" si="174"/>
      </c>
      <c r="N610" s="5">
        <f t="shared" si="175"/>
      </c>
      <c r="P610" s="86">
        <f t="shared" si="163"/>
      </c>
      <c r="Q610" s="86">
        <f t="shared" si="164"/>
      </c>
      <c r="R610" s="86">
        <f t="shared" si="165"/>
      </c>
      <c r="S610" s="86">
        <f t="shared" si="166"/>
      </c>
      <c r="T610" s="86">
        <f t="shared" si="176"/>
        <v/>
      </c>
      <c r="U610" s="86">
        <f t="shared" si="177"/>
        <v/>
      </c>
      <c r="V610" s="86">
        <f t="shared" si="178"/>
        <v/>
      </c>
      <c r="W610" s="87">
        <f t="shared" si="167"/>
      </c>
      <c r="X610" s="88"/>
      <c r="Y610" s="88"/>
      <c r="Z610" s="88"/>
      <c r="AA610" s="88"/>
      <c r="AB610" s="88"/>
      <c r="AD610" s="86">
        <f t="shared" si="168"/>
      </c>
      <c r="AE610" s="86">
        <f t="shared" si="169"/>
      </c>
      <c r="AG610" s="86">
        <f t="shared" si="170"/>
      </c>
      <c r="AH610" s="86">
        <f t="shared" si="171"/>
      </c>
      <c r="AI610" s="86">
        <f t="shared" si="172"/>
      </c>
    </row>
    <row r="611" spans="6:35" x14ac:dyDescent="0.3">
      <c r="F611" s="26">
        <f>IF(G611=1,MAX($F$4:F610)+1,"")</f>
        <v/>
      </c>
      <c r="G611" s="26">
        <f>COUNTIF($H$5:H611,H611)</f>
      </c>
      <c r="H611" s="26">
        <f t="shared" si="173"/>
      </c>
      <c r="I611" s="26">
        <f>COUNTIF($J$4:$J611,1)</f>
      </c>
      <c r="J611" s="26">
        <f>COUNTIF($S$5:$S611,S611)</f>
      </c>
      <c r="K611" s="26">
        <f t="shared" si="162"/>
      </c>
      <c r="L611" s="26">
        <f>IFERROR(IF(P611=0,0,MAX($L$4:L610)+1),0)</f>
      </c>
      <c r="M611" s="5">
        <f t="shared" si="174"/>
      </c>
      <c r="N611" s="5">
        <f t="shared" si="175"/>
      </c>
      <c r="P611" s="86">
        <f t="shared" si="163"/>
      </c>
      <c r="Q611" s="86">
        <f t="shared" si="164"/>
      </c>
      <c r="R611" s="86">
        <f t="shared" si="165"/>
      </c>
      <c r="S611" s="86">
        <f t="shared" si="166"/>
      </c>
      <c r="T611" s="86">
        <f t="shared" si="176"/>
        <v/>
      </c>
      <c r="U611" s="86">
        <f t="shared" si="177"/>
        <v/>
      </c>
      <c r="V611" s="86">
        <f t="shared" si="178"/>
        <v/>
      </c>
      <c r="W611" s="87">
        <f t="shared" si="167"/>
      </c>
      <c r="X611" s="88"/>
      <c r="Y611" s="88"/>
      <c r="Z611" s="88"/>
      <c r="AA611" s="88"/>
      <c r="AB611" s="88"/>
      <c r="AD611" s="86">
        <f t="shared" si="168"/>
      </c>
      <c r="AE611" s="86">
        <f t="shared" si="169"/>
      </c>
      <c r="AG611" s="86">
        <f t="shared" si="170"/>
      </c>
      <c r="AH611" s="86">
        <f t="shared" si="171"/>
      </c>
      <c r="AI611" s="86">
        <f t="shared" si="172"/>
      </c>
    </row>
    <row r="612" spans="6:35" x14ac:dyDescent="0.3">
      <c r="F612" s="26">
        <f>IF(G612=1,MAX($F$4:F611)+1,"")</f>
        <v/>
      </c>
      <c r="G612" s="26">
        <f>COUNTIF($H$5:H612,H612)</f>
      </c>
      <c r="H612" s="26">
        <f t="shared" si="173"/>
      </c>
      <c r="I612" s="26">
        <f>COUNTIF($J$4:$J612,1)</f>
      </c>
      <c r="J612" s="26">
        <f>COUNTIF($S$5:$S612,S612)</f>
      </c>
      <c r="K612" s="26">
        <f t="shared" si="162"/>
      </c>
      <c r="L612" s="26">
        <f>IFERROR(IF(P612=0,0,MAX($L$4:L611)+1),0)</f>
      </c>
      <c r="M612" s="5">
        <f t="shared" si="174"/>
      </c>
      <c r="N612" s="5">
        <f t="shared" si="175"/>
      </c>
      <c r="P612" s="86">
        <f t="shared" si="163"/>
      </c>
      <c r="Q612" s="86">
        <f t="shared" si="164"/>
      </c>
      <c r="R612" s="86">
        <f t="shared" si="165"/>
      </c>
      <c r="S612" s="86">
        <f t="shared" si="166"/>
      </c>
      <c r="T612" s="86">
        <f t="shared" si="176"/>
        <v/>
      </c>
      <c r="U612" s="86">
        <f t="shared" si="177"/>
        <v/>
      </c>
      <c r="V612" s="86">
        <f t="shared" si="178"/>
        <v/>
      </c>
      <c r="W612" s="87">
        <f t="shared" si="167"/>
      </c>
      <c r="X612" s="88"/>
      <c r="Y612" s="88"/>
      <c r="Z612" s="88"/>
      <c r="AA612" s="88"/>
      <c r="AB612" s="88"/>
      <c r="AD612" s="86">
        <f t="shared" si="168"/>
      </c>
      <c r="AE612" s="86">
        <f t="shared" si="169"/>
      </c>
      <c r="AG612" s="86">
        <f t="shared" si="170"/>
      </c>
      <c r="AH612" s="86">
        <f t="shared" si="171"/>
      </c>
      <c r="AI612" s="86">
        <f t="shared" si="172"/>
      </c>
    </row>
    <row r="613" spans="6:35" x14ac:dyDescent="0.3">
      <c r="F613" s="26">
        <f>IF(G613=1,MAX($F$4:F612)+1,"")</f>
        <v/>
      </c>
      <c r="G613" s="26">
        <f>COUNTIF($H$5:H613,H613)</f>
      </c>
      <c r="H613" s="26">
        <f t="shared" si="173"/>
      </c>
      <c r="I613" s="26">
        <f>COUNTIF($J$4:$J613,1)</f>
      </c>
      <c r="J613" s="26">
        <f>COUNTIF($S$5:$S613,S613)</f>
      </c>
      <c r="K613" s="26">
        <f t="shared" si="162"/>
      </c>
      <c r="L613" s="26">
        <f>IFERROR(IF(P613=0,0,MAX($L$4:L612)+1),0)</f>
      </c>
      <c r="M613" s="5">
        <f t="shared" si="174"/>
      </c>
      <c r="N613" s="5">
        <f t="shared" si="175"/>
      </c>
      <c r="P613" s="86">
        <f t="shared" si="163"/>
      </c>
      <c r="Q613" s="86">
        <f t="shared" si="164"/>
      </c>
      <c r="R613" s="86">
        <f t="shared" si="165"/>
      </c>
      <c r="S613" s="86">
        <f t="shared" si="166"/>
      </c>
      <c r="T613" s="86">
        <f t="shared" si="176"/>
        <v/>
      </c>
      <c r="U613" s="86">
        <f t="shared" si="177"/>
        <v/>
      </c>
      <c r="V613" s="86">
        <f t="shared" si="178"/>
        <v/>
      </c>
      <c r="W613" s="87">
        <f t="shared" si="167"/>
      </c>
      <c r="X613" s="88"/>
      <c r="Y613" s="88"/>
      <c r="Z613" s="88"/>
      <c r="AA613" s="88"/>
      <c r="AB613" s="88"/>
      <c r="AD613" s="86">
        <f t="shared" si="168"/>
      </c>
      <c r="AE613" s="86">
        <f t="shared" si="169"/>
      </c>
      <c r="AG613" s="86">
        <f t="shared" si="170"/>
      </c>
      <c r="AH613" s="86">
        <f t="shared" si="171"/>
      </c>
      <c r="AI613" s="86">
        <f t="shared" si="172"/>
      </c>
    </row>
    <row r="614" spans="6:35" x14ac:dyDescent="0.3">
      <c r="F614" s="26">
        <f>IF(G614=1,MAX($F$4:F613)+1,"")</f>
        <v/>
      </c>
      <c r="G614" s="26">
        <f>COUNTIF($H$5:H614,H614)</f>
      </c>
      <c r="H614" s="26">
        <f t="shared" si="173"/>
      </c>
      <c r="I614" s="26">
        <f>COUNTIF($J$4:$J614,1)</f>
      </c>
      <c r="J614" s="26">
        <f>COUNTIF($S$5:$S614,S614)</f>
      </c>
      <c r="K614" s="26">
        <f t="shared" si="162"/>
      </c>
      <c r="L614" s="26">
        <f>IFERROR(IF(P614=0,0,MAX($L$4:L613)+1),0)</f>
      </c>
      <c r="M614" s="5">
        <f t="shared" si="174"/>
      </c>
      <c r="N614" s="5">
        <f t="shared" si="175"/>
      </c>
      <c r="P614" s="86">
        <f t="shared" si="163"/>
      </c>
      <c r="Q614" s="86">
        <f t="shared" si="164"/>
      </c>
      <c r="R614" s="86">
        <f t="shared" si="165"/>
      </c>
      <c r="S614" s="86">
        <f t="shared" si="166"/>
      </c>
      <c r="T614" s="86">
        <f t="shared" si="176"/>
        <v/>
      </c>
      <c r="U614" s="86">
        <f t="shared" si="177"/>
        <v/>
      </c>
      <c r="V614" s="86">
        <f t="shared" si="178"/>
        <v/>
      </c>
      <c r="W614" s="87">
        <f t="shared" si="167"/>
      </c>
      <c r="X614" s="88"/>
      <c r="Y614" s="88"/>
      <c r="Z614" s="88"/>
      <c r="AA614" s="88"/>
      <c r="AB614" s="88"/>
      <c r="AD614" s="86">
        <f t="shared" si="168"/>
      </c>
      <c r="AE614" s="86">
        <f t="shared" si="169"/>
      </c>
      <c r="AG614" s="86">
        <f t="shared" si="170"/>
      </c>
      <c r="AH614" s="86">
        <f t="shared" si="171"/>
      </c>
      <c r="AI614" s="86">
        <f t="shared" si="172"/>
      </c>
    </row>
    <row r="615" spans="6:35" x14ac:dyDescent="0.3">
      <c r="F615" s="26">
        <f>IF(G615=1,MAX($F$4:F614)+1,"")</f>
        <v/>
      </c>
      <c r="G615" s="26">
        <f>COUNTIF($H$5:H615,H615)</f>
      </c>
      <c r="H615" s="26">
        <f t="shared" si="173"/>
      </c>
      <c r="I615" s="26">
        <f>COUNTIF($J$4:$J615,1)</f>
      </c>
      <c r="J615" s="26">
        <f>COUNTIF($S$5:$S615,S615)</f>
      </c>
      <c r="K615" s="26">
        <f t="shared" si="162"/>
      </c>
      <c r="L615" s="26">
        <f>IFERROR(IF(P615=0,0,MAX($L$4:L614)+1),0)</f>
      </c>
      <c r="M615" s="5">
        <f t="shared" si="174"/>
      </c>
      <c r="N615" s="5">
        <f t="shared" si="175"/>
      </c>
      <c r="P615" s="86">
        <f t="shared" si="163"/>
      </c>
      <c r="Q615" s="86">
        <f t="shared" si="164"/>
      </c>
      <c r="R615" s="86">
        <f t="shared" si="165"/>
      </c>
      <c r="S615" s="86">
        <f t="shared" si="166"/>
      </c>
      <c r="T615" s="86">
        <f t="shared" si="176"/>
        <v/>
      </c>
      <c r="U615" s="86">
        <f t="shared" si="177"/>
        <v/>
      </c>
      <c r="V615" s="86">
        <f t="shared" si="178"/>
        <v/>
      </c>
      <c r="W615" s="87">
        <f t="shared" si="167"/>
      </c>
      <c r="X615" s="88"/>
      <c r="Y615" s="88"/>
      <c r="Z615" s="88"/>
      <c r="AA615" s="88"/>
      <c r="AB615" s="88"/>
      <c r="AD615" s="86">
        <f t="shared" si="168"/>
      </c>
      <c r="AE615" s="86">
        <f t="shared" si="169"/>
      </c>
      <c r="AG615" s="86">
        <f t="shared" si="170"/>
      </c>
      <c r="AH615" s="86">
        <f t="shared" si="171"/>
      </c>
      <c r="AI615" s="86">
        <f t="shared" si="172"/>
      </c>
    </row>
    <row r="616" spans="6:35" x14ac:dyDescent="0.3">
      <c r="F616" s="26">
        <f>IF(G616=1,MAX($F$4:F615)+1,"")</f>
        <v/>
      </c>
      <c r="G616" s="26">
        <f>COUNTIF($H$5:H616,H616)</f>
      </c>
      <c r="H616" s="26">
        <f t="shared" si="173"/>
      </c>
      <c r="I616" s="26">
        <f>COUNTIF($J$4:$J616,1)</f>
      </c>
      <c r="J616" s="26">
        <f>COUNTIF($S$5:$S616,S616)</f>
      </c>
      <c r="K616" s="26">
        <f t="shared" si="162"/>
      </c>
      <c r="L616" s="26">
        <f>IFERROR(IF(P616=0,0,MAX($L$4:L615)+1),0)</f>
      </c>
      <c r="M616" s="5">
        <f t="shared" si="174"/>
      </c>
      <c r="N616" s="5">
        <f t="shared" si="175"/>
      </c>
      <c r="P616" s="86">
        <f t="shared" si="163"/>
      </c>
      <c r="Q616" s="86">
        <f t="shared" si="164"/>
      </c>
      <c r="R616" s="86">
        <f t="shared" si="165"/>
      </c>
      <c r="S616" s="86">
        <f t="shared" si="166"/>
      </c>
      <c r="T616" s="86">
        <f t="shared" si="176"/>
        <v/>
      </c>
      <c r="U616" s="86">
        <f t="shared" si="177"/>
        <v/>
      </c>
      <c r="V616" s="86">
        <f t="shared" si="178"/>
        <v/>
      </c>
      <c r="W616" s="87">
        <f t="shared" si="167"/>
      </c>
      <c r="X616" s="88"/>
      <c r="Y616" s="88"/>
      <c r="Z616" s="88"/>
      <c r="AA616" s="88"/>
      <c r="AB616" s="88"/>
      <c r="AD616" s="86">
        <f t="shared" si="168"/>
      </c>
      <c r="AE616" s="86">
        <f t="shared" si="169"/>
      </c>
      <c r="AG616" s="86">
        <f t="shared" si="170"/>
      </c>
      <c r="AH616" s="86">
        <f t="shared" si="171"/>
      </c>
      <c r="AI616" s="86">
        <f t="shared" si="172"/>
      </c>
    </row>
    <row r="617" spans="6:35" x14ac:dyDescent="0.3">
      <c r="F617" s="26">
        <f>IF(G617=1,MAX($F$4:F616)+1,"")</f>
        <v/>
      </c>
      <c r="G617" s="26">
        <f>COUNTIF($H$5:H617,H617)</f>
      </c>
      <c r="H617" s="26">
        <f t="shared" si="173"/>
      </c>
      <c r="I617" s="26">
        <f>COUNTIF($J$4:$J617,1)</f>
      </c>
      <c r="J617" s="26">
        <f>COUNTIF($S$5:$S617,S617)</f>
      </c>
      <c r="K617" s="26">
        <f t="shared" si="162"/>
      </c>
      <c r="L617" s="26">
        <f>IFERROR(IF(P617=0,0,MAX($L$4:L616)+1),0)</f>
      </c>
      <c r="M617" s="5">
        <f t="shared" si="174"/>
      </c>
      <c r="N617" s="5">
        <f t="shared" si="175"/>
      </c>
      <c r="P617" s="86">
        <f t="shared" si="163"/>
      </c>
      <c r="Q617" s="86">
        <f t="shared" si="164"/>
      </c>
      <c r="R617" s="86">
        <f t="shared" si="165"/>
      </c>
      <c r="S617" s="86">
        <f t="shared" si="166"/>
      </c>
      <c r="T617" s="86">
        <f t="shared" si="176"/>
        <v/>
      </c>
      <c r="U617" s="86">
        <f t="shared" si="177"/>
        <v/>
      </c>
      <c r="V617" s="86">
        <f t="shared" si="178"/>
        <v/>
      </c>
      <c r="W617" s="87">
        <f t="shared" si="167"/>
      </c>
      <c r="X617" s="88"/>
      <c r="Y617" s="88"/>
      <c r="Z617" s="88"/>
      <c r="AA617" s="88"/>
      <c r="AB617" s="88"/>
      <c r="AD617" s="86">
        <f t="shared" si="168"/>
      </c>
      <c r="AE617" s="86">
        <f t="shared" si="169"/>
      </c>
      <c r="AG617" s="86">
        <f t="shared" si="170"/>
      </c>
      <c r="AH617" s="86">
        <f t="shared" si="171"/>
      </c>
      <c r="AI617" s="86">
        <f t="shared" si="172"/>
      </c>
    </row>
    <row r="618" spans="6:35" x14ac:dyDescent="0.3">
      <c r="F618" s="26">
        <f>IF(G618=1,MAX($F$4:F617)+1,"")</f>
        <v/>
      </c>
      <c r="G618" s="26">
        <f>COUNTIF($H$5:H618,H618)</f>
      </c>
      <c r="H618" s="26">
        <f t="shared" si="173"/>
      </c>
      <c r="I618" s="26">
        <f>COUNTIF($J$4:$J618,1)</f>
      </c>
      <c r="J618" s="26">
        <f>COUNTIF($S$5:$S618,S618)</f>
      </c>
      <c r="K618" s="26">
        <f t="shared" si="162"/>
      </c>
      <c r="L618" s="26">
        <f>IFERROR(IF(P618=0,0,MAX($L$4:L617)+1),0)</f>
      </c>
      <c r="M618" s="5">
        <f t="shared" si="174"/>
      </c>
      <c r="N618" s="5">
        <f t="shared" si="175"/>
      </c>
      <c r="P618" s="86">
        <f t="shared" si="163"/>
      </c>
      <c r="Q618" s="86">
        <f t="shared" si="164"/>
      </c>
      <c r="R618" s="86">
        <f t="shared" si="165"/>
      </c>
      <c r="S618" s="86">
        <f t="shared" si="166"/>
      </c>
      <c r="T618" s="86">
        <f t="shared" si="176"/>
        <v/>
      </c>
      <c r="U618" s="86">
        <f t="shared" si="177"/>
        <v/>
      </c>
      <c r="V618" s="86">
        <f t="shared" si="178"/>
        <v/>
      </c>
      <c r="W618" s="87">
        <f t="shared" si="167"/>
      </c>
      <c r="X618" s="88"/>
      <c r="Y618" s="88"/>
      <c r="Z618" s="88"/>
      <c r="AA618" s="88"/>
      <c r="AB618" s="88"/>
      <c r="AD618" s="86">
        <f t="shared" si="168"/>
      </c>
      <c r="AE618" s="86">
        <f t="shared" si="169"/>
      </c>
      <c r="AG618" s="86">
        <f t="shared" si="170"/>
      </c>
      <c r="AH618" s="86">
        <f t="shared" si="171"/>
      </c>
      <c r="AI618" s="86">
        <f t="shared" si="172"/>
      </c>
    </row>
    <row r="619" spans="6:35" x14ac:dyDescent="0.3">
      <c r="F619" s="26">
        <f>IF(G619=1,MAX($F$4:F618)+1,"")</f>
        <v/>
      </c>
      <c r="G619" s="26">
        <f>COUNTIF($H$5:H619,H619)</f>
      </c>
      <c r="H619" s="26">
        <f t="shared" si="173"/>
      </c>
      <c r="I619" s="26">
        <f>COUNTIF($J$4:$J619,1)</f>
      </c>
      <c r="J619" s="26">
        <f>COUNTIF($S$5:$S619,S619)</f>
      </c>
      <c r="K619" s="26">
        <f t="shared" si="162"/>
      </c>
      <c r="L619" s="26">
        <f>IFERROR(IF(P619=0,0,MAX($L$4:L618)+1),0)</f>
      </c>
      <c r="M619" s="5">
        <f t="shared" si="174"/>
      </c>
      <c r="N619" s="5">
        <f t="shared" si="175"/>
      </c>
      <c r="P619" s="86">
        <f t="shared" si="163"/>
      </c>
      <c r="Q619" s="86">
        <f t="shared" si="164"/>
      </c>
      <c r="R619" s="86">
        <f t="shared" si="165"/>
      </c>
      <c r="S619" s="86">
        <f t="shared" si="166"/>
      </c>
      <c r="T619" s="86">
        <f t="shared" si="176"/>
        <v/>
      </c>
      <c r="U619" s="86">
        <f t="shared" si="177"/>
        <v/>
      </c>
      <c r="V619" s="86">
        <f t="shared" si="178"/>
        <v/>
      </c>
      <c r="W619" s="87">
        <f t="shared" si="167"/>
      </c>
      <c r="X619" s="88"/>
      <c r="Y619" s="88"/>
      <c r="Z619" s="88"/>
      <c r="AA619" s="88"/>
      <c r="AB619" s="88"/>
      <c r="AD619" s="86">
        <f t="shared" si="168"/>
      </c>
      <c r="AE619" s="86">
        <f t="shared" si="169"/>
      </c>
      <c r="AG619" s="86">
        <f t="shared" si="170"/>
      </c>
      <c r="AH619" s="86">
        <f t="shared" si="171"/>
      </c>
      <c r="AI619" s="86">
        <f t="shared" si="172"/>
      </c>
    </row>
    <row r="620" spans="6:35" x14ac:dyDescent="0.3">
      <c r="F620" s="26">
        <f>IF(G620=1,MAX($F$4:F619)+1,"")</f>
        <v/>
      </c>
      <c r="G620" s="26">
        <f>COUNTIF($H$5:H620,H620)</f>
      </c>
      <c r="H620" s="26">
        <f t="shared" si="173"/>
      </c>
      <c r="I620" s="26">
        <f>COUNTIF($J$4:$J620,1)</f>
      </c>
      <c r="J620" s="26">
        <f>COUNTIF($S$5:$S620,S620)</f>
      </c>
      <c r="K620" s="26">
        <f t="shared" si="162"/>
      </c>
      <c r="L620" s="26">
        <f>IFERROR(IF(P620=0,0,MAX($L$4:L619)+1),0)</f>
      </c>
      <c r="M620" s="5">
        <f t="shared" si="174"/>
      </c>
      <c r="N620" s="5">
        <f t="shared" si="175"/>
      </c>
      <c r="P620" s="86">
        <f t="shared" si="163"/>
      </c>
      <c r="Q620" s="86">
        <f t="shared" si="164"/>
      </c>
      <c r="R620" s="86">
        <f t="shared" si="165"/>
      </c>
      <c r="S620" s="86">
        <f t="shared" si="166"/>
      </c>
      <c r="T620" s="86">
        <f t="shared" si="176"/>
        <v/>
      </c>
      <c r="U620" s="86">
        <f t="shared" si="177"/>
        <v/>
      </c>
      <c r="V620" s="86">
        <f t="shared" si="178"/>
        <v/>
      </c>
      <c r="W620" s="87">
        <f t="shared" si="167"/>
      </c>
      <c r="X620" s="88"/>
      <c r="Y620" s="88"/>
      <c r="Z620" s="88"/>
      <c r="AA620" s="88"/>
      <c r="AB620" s="88"/>
      <c r="AD620" s="86">
        <f t="shared" si="168"/>
      </c>
      <c r="AE620" s="86">
        <f t="shared" si="169"/>
      </c>
      <c r="AG620" s="86">
        <f t="shared" si="170"/>
      </c>
      <c r="AH620" s="86">
        <f t="shared" si="171"/>
      </c>
      <c r="AI620" s="86">
        <f t="shared" si="172"/>
      </c>
    </row>
    <row r="621" spans="6:35" x14ac:dyDescent="0.3">
      <c r="F621" s="26">
        <f>IF(G621=1,MAX($F$4:F620)+1,"")</f>
        <v/>
      </c>
      <c r="G621" s="26">
        <f>COUNTIF($H$5:H621,H621)</f>
      </c>
      <c r="H621" s="26">
        <f t="shared" si="173"/>
      </c>
      <c r="I621" s="26">
        <f>COUNTIF($J$4:$J621,1)</f>
      </c>
      <c r="J621" s="26">
        <f>COUNTIF($S$5:$S621,S621)</f>
      </c>
      <c r="K621" s="26">
        <f t="shared" si="162"/>
      </c>
      <c r="L621" s="26">
        <f>IFERROR(IF(P621=0,0,MAX($L$4:L620)+1),0)</f>
      </c>
      <c r="M621" s="5">
        <f t="shared" si="174"/>
      </c>
      <c r="N621" s="5">
        <f t="shared" si="175"/>
      </c>
      <c r="P621" s="86">
        <f t="shared" si="163"/>
      </c>
      <c r="Q621" s="86">
        <f t="shared" si="164"/>
      </c>
      <c r="R621" s="86">
        <f t="shared" si="165"/>
      </c>
      <c r="S621" s="86">
        <f t="shared" si="166"/>
      </c>
      <c r="T621" s="86">
        <f t="shared" si="176"/>
        <v/>
      </c>
      <c r="U621" s="86">
        <f t="shared" si="177"/>
        <v/>
      </c>
      <c r="V621" s="86">
        <f t="shared" si="178"/>
        <v/>
      </c>
      <c r="W621" s="87">
        <f t="shared" si="167"/>
      </c>
      <c r="X621" s="88"/>
      <c r="Y621" s="88"/>
      <c r="Z621" s="88"/>
      <c r="AA621" s="88"/>
      <c r="AB621" s="88"/>
      <c r="AD621" s="86">
        <f t="shared" si="168"/>
      </c>
      <c r="AE621" s="86">
        <f t="shared" si="169"/>
      </c>
      <c r="AG621" s="86">
        <f t="shared" si="170"/>
      </c>
      <c r="AH621" s="86">
        <f t="shared" si="171"/>
      </c>
      <c r="AI621" s="86">
        <f t="shared" si="172"/>
      </c>
    </row>
    <row r="622" spans="6:35" x14ac:dyDescent="0.3">
      <c r="F622" s="26">
        <f>IF(G622=1,MAX($F$4:F621)+1,"")</f>
        <v/>
      </c>
      <c r="G622" s="26">
        <f>COUNTIF($H$5:H622,H622)</f>
      </c>
      <c r="H622" s="26">
        <f t="shared" si="173"/>
      </c>
      <c r="I622" s="26">
        <f>COUNTIF($J$4:$J622,1)</f>
      </c>
      <c r="J622" s="26">
        <f>COUNTIF($S$5:$S622,S622)</f>
      </c>
      <c r="K622" s="26">
        <f t="shared" si="162"/>
      </c>
      <c r="L622" s="26">
        <f>IFERROR(IF(P622=0,0,MAX($L$4:L621)+1),0)</f>
      </c>
      <c r="M622" s="5">
        <f t="shared" si="174"/>
      </c>
      <c r="N622" s="5">
        <f t="shared" si="175"/>
      </c>
      <c r="P622" s="86">
        <f t="shared" si="163"/>
      </c>
      <c r="Q622" s="86">
        <f t="shared" si="164"/>
      </c>
      <c r="R622" s="86">
        <f t="shared" si="165"/>
      </c>
      <c r="S622" s="86">
        <f t="shared" si="166"/>
      </c>
      <c r="T622" s="86">
        <f t="shared" si="176"/>
        <v/>
      </c>
      <c r="U622" s="86">
        <f t="shared" si="177"/>
        <v/>
      </c>
      <c r="V622" s="86">
        <f t="shared" si="178"/>
        <v/>
      </c>
      <c r="W622" s="87">
        <f t="shared" si="167"/>
      </c>
      <c r="X622" s="88"/>
      <c r="Y622" s="88"/>
      <c r="Z622" s="88"/>
      <c r="AA622" s="88"/>
      <c r="AB622" s="88"/>
      <c r="AD622" s="86">
        <f t="shared" si="168"/>
      </c>
      <c r="AE622" s="86">
        <f t="shared" si="169"/>
      </c>
      <c r="AG622" s="86">
        <f t="shared" si="170"/>
      </c>
      <c r="AH622" s="86">
        <f t="shared" si="171"/>
      </c>
      <c r="AI622" s="86">
        <f t="shared" si="172"/>
      </c>
    </row>
    <row r="623" spans="6:35" x14ac:dyDescent="0.3">
      <c r="F623" s="26">
        <f>IF(G623=1,MAX($F$4:F622)+1,"")</f>
        <v/>
      </c>
      <c r="G623" s="26">
        <f>COUNTIF($H$5:H623,H623)</f>
      </c>
      <c r="H623" s="26">
        <f t="shared" si="173"/>
      </c>
      <c r="I623" s="26">
        <f>COUNTIF($J$4:$J623,1)</f>
      </c>
      <c r="J623" s="26">
        <f>COUNTIF($S$5:$S623,S623)</f>
      </c>
      <c r="K623" s="26">
        <f t="shared" si="162"/>
      </c>
      <c r="L623" s="26">
        <f>IFERROR(IF(P623=0,0,MAX($L$4:L622)+1),0)</f>
      </c>
      <c r="M623" s="5">
        <f t="shared" si="174"/>
      </c>
      <c r="N623" s="5">
        <f t="shared" si="175"/>
      </c>
      <c r="P623" s="86">
        <f t="shared" si="163"/>
      </c>
      <c r="Q623" s="86">
        <f t="shared" si="164"/>
      </c>
      <c r="R623" s="86">
        <f t="shared" si="165"/>
      </c>
      <c r="S623" s="86">
        <f t="shared" si="166"/>
      </c>
      <c r="T623" s="86">
        <f t="shared" si="176"/>
        <v/>
      </c>
      <c r="U623" s="86">
        <f t="shared" si="177"/>
        <v/>
      </c>
      <c r="V623" s="86">
        <f t="shared" si="178"/>
        <v/>
      </c>
      <c r="W623" s="87">
        <f t="shared" si="167"/>
      </c>
      <c r="X623" s="88"/>
      <c r="Y623" s="88"/>
      <c r="Z623" s="88"/>
      <c r="AA623" s="88"/>
      <c r="AB623" s="88"/>
      <c r="AD623" s="86">
        <f t="shared" si="168"/>
      </c>
      <c r="AE623" s="86">
        <f t="shared" si="169"/>
      </c>
      <c r="AG623" s="86">
        <f t="shared" si="170"/>
      </c>
      <c r="AH623" s="86">
        <f t="shared" si="171"/>
      </c>
      <c r="AI623" s="86">
        <f t="shared" si="172"/>
      </c>
    </row>
    <row r="624" spans="6:35" x14ac:dyDescent="0.3">
      <c r="F624" s="26">
        <f>IF(G624=1,MAX($F$4:F623)+1,"")</f>
        <v/>
      </c>
      <c r="G624" s="26">
        <f>COUNTIF($H$5:H624,H624)</f>
      </c>
      <c r="H624" s="26">
        <f t="shared" si="173"/>
      </c>
      <c r="I624" s="26">
        <f>COUNTIF($J$4:$J624,1)</f>
      </c>
      <c r="J624" s="26">
        <f>COUNTIF($S$5:$S624,S624)</f>
      </c>
      <c r="K624" s="26">
        <f t="shared" si="162"/>
      </c>
      <c r="L624" s="26">
        <f>IFERROR(IF(P624=0,0,MAX($L$4:L623)+1),0)</f>
      </c>
      <c r="M624" s="5">
        <f t="shared" si="174"/>
      </c>
      <c r="N624" s="5">
        <f t="shared" si="175"/>
      </c>
      <c r="P624" s="86">
        <f t="shared" si="163"/>
      </c>
      <c r="Q624" s="86">
        <f t="shared" si="164"/>
      </c>
      <c r="R624" s="86">
        <f t="shared" si="165"/>
      </c>
      <c r="S624" s="86">
        <f t="shared" si="166"/>
      </c>
      <c r="T624" s="86">
        <f t="shared" si="176"/>
        <v/>
      </c>
      <c r="U624" s="86">
        <f t="shared" si="177"/>
        <v/>
      </c>
      <c r="V624" s="86">
        <f t="shared" si="178"/>
        <v/>
      </c>
      <c r="W624" s="87">
        <f t="shared" si="167"/>
      </c>
      <c r="X624" s="88"/>
      <c r="Y624" s="88"/>
      <c r="Z624" s="88"/>
      <c r="AA624" s="88"/>
      <c r="AB624" s="88"/>
      <c r="AD624" s="86">
        <f t="shared" si="168"/>
      </c>
      <c r="AE624" s="86">
        <f t="shared" si="169"/>
      </c>
      <c r="AG624" s="86">
        <f t="shared" si="170"/>
      </c>
      <c r="AH624" s="86">
        <f t="shared" si="171"/>
      </c>
      <c r="AI624" s="86">
        <f t="shared" si="172"/>
      </c>
    </row>
    <row r="625" spans="6:35" x14ac:dyDescent="0.3">
      <c r="F625" s="26">
        <f>IF(G625=1,MAX($F$4:F624)+1,"")</f>
        <v/>
      </c>
      <c r="G625" s="26">
        <f>COUNTIF($H$5:H625,H625)</f>
      </c>
      <c r="H625" s="26">
        <f t="shared" si="173"/>
      </c>
      <c r="I625" s="26">
        <f>COUNTIF($J$4:$J625,1)</f>
      </c>
      <c r="J625" s="26">
        <f>COUNTIF($S$5:$S625,S625)</f>
      </c>
      <c r="K625" s="26">
        <f t="shared" si="162"/>
      </c>
      <c r="L625" s="26">
        <f>IFERROR(IF(P625=0,0,MAX($L$4:L624)+1),0)</f>
      </c>
      <c r="M625" s="5">
        <f t="shared" si="174"/>
      </c>
      <c r="N625" s="5">
        <f t="shared" si="175"/>
      </c>
      <c r="P625" s="86">
        <f t="shared" si="163"/>
      </c>
      <c r="Q625" s="86">
        <f t="shared" si="164"/>
      </c>
      <c r="R625" s="86">
        <f t="shared" si="165"/>
      </c>
      <c r="S625" s="86">
        <f t="shared" si="166"/>
      </c>
      <c r="T625" s="86">
        <f t="shared" si="176"/>
        <v/>
      </c>
      <c r="U625" s="86">
        <f t="shared" si="177"/>
        <v/>
      </c>
      <c r="V625" s="86">
        <f t="shared" si="178"/>
        <v/>
      </c>
      <c r="W625" s="87">
        <f t="shared" si="167"/>
      </c>
      <c r="X625" s="88"/>
      <c r="Y625" s="88"/>
      <c r="Z625" s="88"/>
      <c r="AA625" s="88"/>
      <c r="AB625" s="88"/>
      <c r="AD625" s="86">
        <f t="shared" si="168"/>
      </c>
      <c r="AE625" s="86">
        <f t="shared" si="169"/>
      </c>
      <c r="AG625" s="86">
        <f t="shared" si="170"/>
      </c>
      <c r="AH625" s="86">
        <f t="shared" si="171"/>
      </c>
      <c r="AI625" s="86">
        <f t="shared" si="172"/>
      </c>
    </row>
    <row r="626" spans="6:35" x14ac:dyDescent="0.3">
      <c r="F626" s="26">
        <f>IF(G626=1,MAX($F$4:F625)+1,"")</f>
        <v/>
      </c>
      <c r="G626" s="26">
        <f>COUNTIF($H$5:H626,H626)</f>
      </c>
      <c r="H626" s="26">
        <f t="shared" si="173"/>
      </c>
      <c r="I626" s="26">
        <f>COUNTIF($J$4:$J626,1)</f>
      </c>
      <c r="J626" s="26">
        <f>COUNTIF($S$5:$S626,S626)</f>
      </c>
      <c r="K626" s="26">
        <f t="shared" si="162"/>
      </c>
      <c r="L626" s="26">
        <f>IFERROR(IF(P626=0,0,MAX($L$4:L625)+1),0)</f>
      </c>
      <c r="M626" s="5">
        <f t="shared" si="174"/>
      </c>
      <c r="N626" s="5">
        <f t="shared" si="175"/>
      </c>
      <c r="P626" s="86">
        <f t="shared" si="163"/>
      </c>
      <c r="Q626" s="86">
        <f t="shared" si="164"/>
      </c>
      <c r="R626" s="86">
        <f t="shared" si="165"/>
      </c>
      <c r="S626" s="86">
        <f t="shared" si="166"/>
      </c>
      <c r="T626" s="86">
        <f t="shared" si="176"/>
        <v/>
      </c>
      <c r="U626" s="86">
        <f t="shared" si="177"/>
        <v/>
      </c>
      <c r="V626" s="86">
        <f t="shared" si="178"/>
        <v/>
      </c>
      <c r="W626" s="87">
        <f t="shared" si="167"/>
      </c>
      <c r="X626" s="88"/>
      <c r="Y626" s="88"/>
      <c r="Z626" s="88"/>
      <c r="AA626" s="88"/>
      <c r="AB626" s="88"/>
      <c r="AD626" s="86">
        <f t="shared" si="168"/>
      </c>
      <c r="AE626" s="86">
        <f t="shared" si="169"/>
      </c>
      <c r="AG626" s="86">
        <f t="shared" si="170"/>
      </c>
      <c r="AH626" s="86">
        <f t="shared" si="171"/>
      </c>
      <c r="AI626" s="86">
        <f t="shared" si="172"/>
      </c>
    </row>
    <row r="627" spans="6:35" x14ac:dyDescent="0.3">
      <c r="F627" s="26">
        <f>IF(G627=1,MAX($F$4:F626)+1,"")</f>
        <v/>
      </c>
      <c r="G627" s="26">
        <f>COUNTIF($H$5:H627,H627)</f>
      </c>
      <c r="H627" s="26">
        <f t="shared" si="173"/>
      </c>
      <c r="I627" s="26">
        <f>COUNTIF($J$4:$J627,1)</f>
      </c>
      <c r="J627" s="26">
        <f>COUNTIF($S$5:$S627,S627)</f>
      </c>
      <c r="K627" s="26">
        <f t="shared" si="162"/>
      </c>
      <c r="L627" s="26">
        <f>IFERROR(IF(P627=0,0,MAX($L$4:L626)+1),0)</f>
      </c>
      <c r="M627" s="5">
        <f t="shared" si="174"/>
      </c>
      <c r="N627" s="5">
        <f t="shared" si="175"/>
      </c>
      <c r="P627" s="86">
        <f t="shared" si="163"/>
      </c>
      <c r="Q627" s="86">
        <f t="shared" si="164"/>
      </c>
      <c r="R627" s="86">
        <f t="shared" si="165"/>
      </c>
      <c r="S627" s="86">
        <f t="shared" si="166"/>
      </c>
      <c r="T627" s="86">
        <f t="shared" si="176"/>
        <v/>
      </c>
      <c r="U627" s="86">
        <f t="shared" si="177"/>
        <v/>
      </c>
      <c r="V627" s="86">
        <f t="shared" si="178"/>
        <v/>
      </c>
      <c r="W627" s="87">
        <f t="shared" si="167"/>
      </c>
      <c r="X627" s="88"/>
      <c r="Y627" s="88"/>
      <c r="Z627" s="88"/>
      <c r="AA627" s="88"/>
      <c r="AB627" s="88"/>
      <c r="AD627" s="86">
        <f t="shared" si="168"/>
      </c>
      <c r="AE627" s="86">
        <f t="shared" si="169"/>
      </c>
      <c r="AG627" s="86">
        <f t="shared" si="170"/>
      </c>
      <c r="AH627" s="86">
        <f t="shared" si="171"/>
      </c>
      <c r="AI627" s="86">
        <f t="shared" si="172"/>
      </c>
    </row>
    <row r="628" spans="6:35" x14ac:dyDescent="0.3">
      <c r="F628" s="26">
        <f>IF(G628=1,MAX($F$4:F627)+1,"")</f>
        <v/>
      </c>
      <c r="G628" s="26">
        <f>COUNTIF($H$5:H628,H628)</f>
      </c>
      <c r="H628" s="26">
        <f t="shared" si="173"/>
      </c>
      <c r="I628" s="26">
        <f>COUNTIF($J$4:$J628,1)</f>
      </c>
      <c r="J628" s="26">
        <f>COUNTIF($S$5:$S628,S628)</f>
      </c>
      <c r="K628" s="26">
        <f t="shared" si="162"/>
      </c>
      <c r="L628" s="26">
        <f>IFERROR(IF(P628=0,0,MAX($L$4:L627)+1),0)</f>
      </c>
      <c r="M628" s="5">
        <f t="shared" si="174"/>
      </c>
      <c r="N628" s="5">
        <f t="shared" si="175"/>
      </c>
      <c r="P628" s="86">
        <f t="shared" si="163"/>
      </c>
      <c r="Q628" s="86">
        <f t="shared" si="164"/>
      </c>
      <c r="R628" s="86">
        <f t="shared" si="165"/>
      </c>
      <c r="S628" s="86">
        <f t="shared" si="166"/>
      </c>
      <c r="T628" s="86">
        <f t="shared" si="176"/>
        <v/>
      </c>
      <c r="U628" s="86">
        <f t="shared" si="177"/>
        <v/>
      </c>
      <c r="V628" s="86">
        <f t="shared" si="178"/>
        <v/>
      </c>
      <c r="W628" s="87">
        <f t="shared" si="167"/>
      </c>
      <c r="X628" s="88"/>
      <c r="Y628" s="88"/>
      <c r="Z628" s="88"/>
      <c r="AA628" s="88"/>
      <c r="AB628" s="88"/>
      <c r="AD628" s="86">
        <f t="shared" si="168"/>
      </c>
      <c r="AE628" s="86">
        <f t="shared" si="169"/>
      </c>
      <c r="AG628" s="86">
        <f t="shared" si="170"/>
      </c>
      <c r="AH628" s="86">
        <f t="shared" si="171"/>
      </c>
      <c r="AI628" s="86">
        <f t="shared" si="172"/>
      </c>
    </row>
    <row r="629" spans="6:35" x14ac:dyDescent="0.3">
      <c r="F629" s="26">
        <f>IF(G629=1,MAX($F$4:F628)+1,"")</f>
        <v/>
      </c>
      <c r="G629" s="26">
        <f>COUNTIF($H$5:H629,H629)</f>
      </c>
      <c r="H629" s="26">
        <f t="shared" si="173"/>
      </c>
      <c r="I629" s="26">
        <f>COUNTIF($J$4:$J629,1)</f>
      </c>
      <c r="J629" s="26">
        <f>COUNTIF($S$5:$S629,S629)</f>
      </c>
      <c r="K629" s="26">
        <f t="shared" si="162"/>
      </c>
      <c r="L629" s="26">
        <f>IFERROR(IF(P629=0,0,MAX($L$4:L628)+1),0)</f>
      </c>
      <c r="M629" s="5">
        <f t="shared" si="174"/>
      </c>
      <c r="N629" s="5">
        <f t="shared" si="175"/>
      </c>
      <c r="P629" s="86">
        <f t="shared" si="163"/>
      </c>
      <c r="Q629" s="86">
        <f t="shared" si="164"/>
      </c>
      <c r="R629" s="86">
        <f t="shared" si="165"/>
      </c>
      <c r="S629" s="86">
        <f t="shared" si="166"/>
      </c>
      <c r="T629" s="86">
        <f t="shared" si="176"/>
        <v/>
      </c>
      <c r="U629" s="86">
        <f t="shared" si="177"/>
        <v/>
      </c>
      <c r="V629" s="86">
        <f t="shared" si="178"/>
        <v/>
      </c>
      <c r="W629" s="87">
        <f t="shared" si="167"/>
      </c>
      <c r="X629" s="88"/>
      <c r="Y629" s="88"/>
      <c r="Z629" s="88"/>
      <c r="AA629" s="88"/>
      <c r="AB629" s="88"/>
      <c r="AD629" s="86">
        <f t="shared" si="168"/>
      </c>
      <c r="AE629" s="86">
        <f t="shared" si="169"/>
      </c>
      <c r="AG629" s="86">
        <f t="shared" si="170"/>
      </c>
      <c r="AH629" s="86">
        <f t="shared" si="171"/>
      </c>
      <c r="AI629" s="86">
        <f t="shared" si="172"/>
      </c>
    </row>
    <row r="630" spans="6:35" x14ac:dyDescent="0.3">
      <c r="F630" s="26">
        <f>IF(G630=1,MAX($F$4:F629)+1,"")</f>
        <v/>
      </c>
      <c r="G630" s="26">
        <f>COUNTIF($H$5:H630,H630)</f>
      </c>
      <c r="H630" s="26">
        <f t="shared" si="173"/>
      </c>
      <c r="I630" s="26">
        <f>COUNTIF($J$4:$J630,1)</f>
      </c>
      <c r="J630" s="26">
        <f>COUNTIF($S$5:$S630,S630)</f>
      </c>
      <c r="K630" s="26">
        <f t="shared" si="162"/>
      </c>
      <c r="L630" s="26">
        <f>IFERROR(IF(P630=0,0,MAX($L$4:L629)+1),0)</f>
      </c>
      <c r="M630" s="5">
        <f t="shared" si="174"/>
      </c>
      <c r="N630" s="5">
        <f t="shared" si="175"/>
      </c>
      <c r="P630" s="86">
        <f t="shared" si="163"/>
      </c>
      <c r="Q630" s="86">
        <f t="shared" si="164"/>
      </c>
      <c r="R630" s="86">
        <f t="shared" si="165"/>
      </c>
      <c r="S630" s="86">
        <f t="shared" si="166"/>
      </c>
      <c r="T630" s="86">
        <f t="shared" si="176"/>
        <v/>
      </c>
      <c r="U630" s="86">
        <f t="shared" si="177"/>
        <v/>
      </c>
      <c r="V630" s="86">
        <f t="shared" si="178"/>
        <v/>
      </c>
      <c r="W630" s="87">
        <f t="shared" si="167"/>
      </c>
      <c r="X630" s="88"/>
      <c r="Y630" s="88"/>
      <c r="Z630" s="88"/>
      <c r="AA630" s="88"/>
      <c r="AB630" s="88"/>
      <c r="AD630" s="86">
        <f t="shared" si="168"/>
      </c>
      <c r="AE630" s="86">
        <f t="shared" si="169"/>
      </c>
      <c r="AG630" s="86">
        <f t="shared" si="170"/>
      </c>
      <c r="AH630" s="86">
        <f t="shared" si="171"/>
      </c>
      <c r="AI630" s="86">
        <f t="shared" si="172"/>
      </c>
    </row>
    <row r="631" spans="6:35" x14ac:dyDescent="0.3">
      <c r="F631" s="26">
        <f>IF(G631=1,MAX($F$4:F630)+1,"")</f>
        <v/>
      </c>
      <c r="G631" s="26">
        <f>COUNTIF($H$5:H631,H631)</f>
      </c>
      <c r="H631" s="26">
        <f t="shared" si="173"/>
      </c>
      <c r="I631" s="26">
        <f>COUNTIF($J$4:$J631,1)</f>
      </c>
      <c r="J631" s="26">
        <f>COUNTIF($S$5:$S631,S631)</f>
      </c>
      <c r="K631" s="26">
        <f t="shared" si="162"/>
      </c>
      <c r="L631" s="26">
        <f>IFERROR(IF(P631=0,0,MAX($L$4:L630)+1),0)</f>
      </c>
      <c r="M631" s="5">
        <f t="shared" si="174"/>
      </c>
      <c r="N631" s="5">
        <f t="shared" si="175"/>
      </c>
      <c r="P631" s="86">
        <f t="shared" si="163"/>
      </c>
      <c r="Q631" s="86">
        <f t="shared" si="164"/>
      </c>
      <c r="R631" s="86">
        <f t="shared" si="165"/>
      </c>
      <c r="S631" s="86">
        <f t="shared" si="166"/>
      </c>
      <c r="T631" s="86">
        <f t="shared" si="176"/>
        <v/>
      </c>
      <c r="U631" s="86">
        <f t="shared" si="177"/>
        <v/>
      </c>
      <c r="V631" s="86">
        <f t="shared" si="178"/>
        <v/>
      </c>
      <c r="W631" s="87">
        <f t="shared" si="167"/>
      </c>
      <c r="X631" s="88"/>
      <c r="Y631" s="88"/>
      <c r="Z631" s="88"/>
      <c r="AA631" s="88"/>
      <c r="AB631" s="88"/>
      <c r="AD631" s="86">
        <f t="shared" si="168"/>
      </c>
      <c r="AE631" s="86">
        <f t="shared" si="169"/>
      </c>
      <c r="AG631" s="86">
        <f t="shared" si="170"/>
      </c>
      <c r="AH631" s="86">
        <f t="shared" si="171"/>
      </c>
      <c r="AI631" s="86">
        <f t="shared" si="172"/>
      </c>
    </row>
    <row r="632" spans="6:35" x14ac:dyDescent="0.3">
      <c r="F632" s="26">
        <f>IF(G632=1,MAX($F$4:F631)+1,"")</f>
        <v/>
      </c>
      <c r="G632" s="26">
        <f>COUNTIF($H$5:H632,H632)</f>
      </c>
      <c r="H632" s="26">
        <f t="shared" si="173"/>
      </c>
      <c r="I632" s="26">
        <f>COUNTIF($J$4:$J632,1)</f>
      </c>
      <c r="J632" s="26">
        <f>COUNTIF($S$5:$S632,S632)</f>
      </c>
      <c r="K632" s="26">
        <f t="shared" si="162"/>
      </c>
      <c r="L632" s="26">
        <f>IFERROR(IF(P632=0,0,MAX($L$4:L631)+1),0)</f>
      </c>
      <c r="M632" s="5">
        <f t="shared" si="174"/>
      </c>
      <c r="N632" s="5">
        <f t="shared" si="175"/>
      </c>
      <c r="P632" s="86">
        <f t="shared" si="163"/>
      </c>
      <c r="Q632" s="86">
        <f t="shared" si="164"/>
      </c>
      <c r="R632" s="86">
        <f t="shared" si="165"/>
      </c>
      <c r="S632" s="86">
        <f t="shared" si="166"/>
      </c>
      <c r="T632" s="86">
        <f t="shared" si="176"/>
        <v/>
      </c>
      <c r="U632" s="86">
        <f t="shared" si="177"/>
        <v/>
      </c>
      <c r="V632" s="86">
        <f t="shared" si="178"/>
        <v/>
      </c>
      <c r="W632" s="87">
        <f t="shared" si="167"/>
      </c>
      <c r="X632" s="88"/>
      <c r="Y632" s="88"/>
      <c r="Z632" s="88"/>
      <c r="AA632" s="88"/>
      <c r="AB632" s="88"/>
      <c r="AD632" s="86">
        <f t="shared" si="168"/>
      </c>
      <c r="AE632" s="86">
        <f t="shared" si="169"/>
      </c>
      <c r="AG632" s="86">
        <f t="shared" si="170"/>
      </c>
      <c r="AH632" s="86">
        <f t="shared" si="171"/>
      </c>
      <c r="AI632" s="86">
        <f t="shared" si="172"/>
      </c>
    </row>
    <row r="633" spans="6:35" x14ac:dyDescent="0.3">
      <c r="F633" s="26">
        <f>IF(G633=1,MAX($F$4:F632)+1,"")</f>
        <v/>
      </c>
      <c r="G633" s="26">
        <f>COUNTIF($H$5:H633,H633)</f>
      </c>
      <c r="H633" s="26">
        <f t="shared" si="173"/>
      </c>
      <c r="I633" s="26">
        <f>COUNTIF($J$4:$J633,1)</f>
      </c>
      <c r="J633" s="26">
        <f>COUNTIF($S$5:$S633,S633)</f>
      </c>
      <c r="K633" s="26">
        <f t="shared" si="162"/>
      </c>
      <c r="L633" s="26">
        <f>IFERROR(IF(P633=0,0,MAX($L$4:L632)+1),0)</f>
      </c>
      <c r="M633" s="5">
        <f t="shared" si="174"/>
      </c>
      <c r="N633" s="5">
        <f t="shared" si="175"/>
      </c>
      <c r="P633" s="86">
        <f t="shared" si="163"/>
      </c>
      <c r="Q633" s="86">
        <f t="shared" si="164"/>
      </c>
      <c r="R633" s="86">
        <f t="shared" si="165"/>
      </c>
      <c r="S633" s="86">
        <f t="shared" si="166"/>
      </c>
      <c r="T633" s="86">
        <f t="shared" si="176"/>
        <v/>
      </c>
      <c r="U633" s="86">
        <f t="shared" si="177"/>
        <v/>
      </c>
      <c r="V633" s="86">
        <f t="shared" si="178"/>
        <v/>
      </c>
      <c r="W633" s="87">
        <f t="shared" si="167"/>
      </c>
      <c r="X633" s="88"/>
      <c r="Y633" s="88"/>
      <c r="Z633" s="88"/>
      <c r="AA633" s="88"/>
      <c r="AB633" s="88"/>
      <c r="AD633" s="86">
        <f t="shared" si="168"/>
      </c>
      <c r="AE633" s="86">
        <f t="shared" si="169"/>
      </c>
      <c r="AG633" s="86">
        <f t="shared" si="170"/>
      </c>
      <c r="AH633" s="86">
        <f t="shared" si="171"/>
      </c>
      <c r="AI633" s="86">
        <f t="shared" si="172"/>
      </c>
    </row>
    <row r="634" spans="6:35" x14ac:dyDescent="0.3">
      <c r="F634" s="26">
        <f>IF(G634=1,MAX($F$4:F633)+1,"")</f>
        <v/>
      </c>
      <c r="G634" s="26">
        <f>COUNTIF($H$5:H634,H634)</f>
      </c>
      <c r="H634" s="26">
        <f t="shared" si="173"/>
      </c>
      <c r="I634" s="26">
        <f>COUNTIF($J$4:$J634,1)</f>
      </c>
      <c r="J634" s="26">
        <f>COUNTIF($S$5:$S634,S634)</f>
      </c>
      <c r="K634" s="26">
        <f t="shared" si="162"/>
      </c>
      <c r="L634" s="26">
        <f>IFERROR(IF(P634=0,0,MAX($L$4:L633)+1),0)</f>
      </c>
      <c r="M634" s="5">
        <f t="shared" si="174"/>
      </c>
      <c r="N634" s="5">
        <f t="shared" si="175"/>
      </c>
      <c r="P634" s="86">
        <f t="shared" si="163"/>
      </c>
      <c r="Q634" s="86">
        <f t="shared" si="164"/>
      </c>
      <c r="R634" s="86">
        <f t="shared" si="165"/>
      </c>
      <c r="S634" s="86">
        <f t="shared" si="166"/>
      </c>
      <c r="T634" s="86">
        <f t="shared" si="176"/>
        <v/>
      </c>
      <c r="U634" s="86">
        <f t="shared" si="177"/>
        <v/>
      </c>
      <c r="V634" s="86">
        <f t="shared" si="178"/>
        <v/>
      </c>
      <c r="W634" s="87">
        <f t="shared" si="167"/>
      </c>
      <c r="X634" s="88"/>
      <c r="Y634" s="88"/>
      <c r="Z634" s="88"/>
      <c r="AA634" s="88"/>
      <c r="AB634" s="88"/>
      <c r="AD634" s="86">
        <f t="shared" si="168"/>
      </c>
      <c r="AE634" s="86">
        <f t="shared" si="169"/>
      </c>
      <c r="AG634" s="86">
        <f t="shared" si="170"/>
      </c>
      <c r="AH634" s="86">
        <f t="shared" si="171"/>
      </c>
      <c r="AI634" s="86">
        <f t="shared" si="172"/>
      </c>
    </row>
    <row r="635" spans="6:35" x14ac:dyDescent="0.3">
      <c r="F635" s="26">
        <f>IF(G635=1,MAX($F$4:F634)+1,"")</f>
        <v/>
      </c>
      <c r="G635" s="26">
        <f>COUNTIF($H$5:H635,H635)</f>
      </c>
      <c r="H635" s="26">
        <f t="shared" si="173"/>
      </c>
      <c r="I635" s="26">
        <f>COUNTIF($J$4:$J635,1)</f>
      </c>
      <c r="J635" s="26">
        <f>COUNTIF($S$5:$S635,S635)</f>
      </c>
      <c r="K635" s="26">
        <f t="shared" si="162"/>
      </c>
      <c r="L635" s="26">
        <f>IFERROR(IF(P635=0,0,MAX($L$4:L634)+1),0)</f>
      </c>
      <c r="M635" s="5">
        <f t="shared" si="174"/>
      </c>
      <c r="N635" s="5">
        <f t="shared" si="175"/>
      </c>
      <c r="P635" s="86">
        <f t="shared" si="163"/>
      </c>
      <c r="Q635" s="86">
        <f t="shared" si="164"/>
      </c>
      <c r="R635" s="86">
        <f t="shared" si="165"/>
      </c>
      <c r="S635" s="86">
        <f t="shared" si="166"/>
      </c>
      <c r="T635" s="86">
        <f t="shared" si="176"/>
        <v/>
      </c>
      <c r="U635" s="86">
        <f t="shared" si="177"/>
        <v/>
      </c>
      <c r="V635" s="86">
        <f t="shared" si="178"/>
        <v/>
      </c>
      <c r="W635" s="87">
        <f t="shared" si="167"/>
      </c>
      <c r="X635" s="88"/>
      <c r="Y635" s="88"/>
      <c r="Z635" s="88"/>
      <c r="AA635" s="88"/>
      <c r="AB635" s="88"/>
      <c r="AD635" s="86">
        <f t="shared" si="168"/>
      </c>
      <c r="AE635" s="86">
        <f t="shared" si="169"/>
      </c>
      <c r="AG635" s="86">
        <f t="shared" si="170"/>
      </c>
      <c r="AH635" s="86">
        <f t="shared" si="171"/>
      </c>
      <c r="AI635" s="86">
        <f t="shared" si="172"/>
      </c>
    </row>
    <row r="636" spans="6:35" x14ac:dyDescent="0.3">
      <c r="F636" s="26">
        <f>IF(G636=1,MAX($F$4:F635)+1,"")</f>
        <v/>
      </c>
      <c r="G636" s="26">
        <f>COUNTIF($H$5:H636,H636)</f>
      </c>
      <c r="H636" s="26">
        <f t="shared" si="173"/>
      </c>
      <c r="I636" s="26">
        <f>COUNTIF($J$4:$J636,1)</f>
      </c>
      <c r="J636" s="26">
        <f>COUNTIF($S$5:$S636,S636)</f>
      </c>
      <c r="K636" s="26">
        <f t="shared" si="162"/>
      </c>
      <c r="L636" s="26">
        <f>IFERROR(IF(P636=0,0,MAX($L$4:L635)+1),0)</f>
      </c>
      <c r="M636" s="5">
        <f t="shared" si="174"/>
      </c>
      <c r="N636" s="5">
        <f t="shared" si="175"/>
      </c>
      <c r="P636" s="86">
        <f t="shared" si="163"/>
      </c>
      <c r="Q636" s="86">
        <f t="shared" si="164"/>
      </c>
      <c r="R636" s="86">
        <f t="shared" si="165"/>
      </c>
      <c r="S636" s="86">
        <f t="shared" si="166"/>
      </c>
      <c r="T636" s="86">
        <f t="shared" si="176"/>
        <v/>
      </c>
      <c r="U636" s="86">
        <f t="shared" si="177"/>
        <v/>
      </c>
      <c r="V636" s="86">
        <f t="shared" si="178"/>
        <v/>
      </c>
      <c r="W636" s="87">
        <f t="shared" si="167"/>
      </c>
      <c r="X636" s="88"/>
      <c r="Y636" s="88"/>
      <c r="Z636" s="88"/>
      <c r="AA636" s="88"/>
      <c r="AB636" s="88"/>
      <c r="AD636" s="86">
        <f t="shared" si="168"/>
      </c>
      <c r="AE636" s="86">
        <f t="shared" si="169"/>
      </c>
      <c r="AG636" s="86">
        <f t="shared" si="170"/>
      </c>
      <c r="AH636" s="86">
        <f t="shared" si="171"/>
      </c>
      <c r="AI636" s="86">
        <f t="shared" si="172"/>
      </c>
    </row>
    <row r="637" spans="6:35" x14ac:dyDescent="0.3">
      <c r="F637" s="26">
        <f>IF(G637=1,MAX($F$4:F636)+1,"")</f>
        <v/>
      </c>
      <c r="G637" s="26">
        <f>COUNTIF($H$5:H637,H637)</f>
      </c>
      <c r="H637" s="26">
        <f t="shared" si="173"/>
      </c>
      <c r="I637" s="26">
        <f>COUNTIF($J$4:$J637,1)</f>
      </c>
      <c r="J637" s="26">
        <f>COUNTIF($S$5:$S637,S637)</f>
      </c>
      <c r="K637" s="26">
        <f t="shared" si="162"/>
      </c>
      <c r="L637" s="26">
        <f>IFERROR(IF(P637=0,0,MAX($L$4:L636)+1),0)</f>
      </c>
      <c r="M637" s="5">
        <f t="shared" si="174"/>
      </c>
      <c r="N637" s="5">
        <f t="shared" si="175"/>
      </c>
      <c r="P637" s="86">
        <f t="shared" si="163"/>
      </c>
      <c r="Q637" s="86">
        <f t="shared" si="164"/>
      </c>
      <c r="R637" s="86">
        <f t="shared" si="165"/>
      </c>
      <c r="S637" s="86">
        <f t="shared" si="166"/>
      </c>
      <c r="T637" s="86">
        <f t="shared" si="176"/>
        <v/>
      </c>
      <c r="U637" s="86">
        <f t="shared" si="177"/>
        <v/>
      </c>
      <c r="V637" s="86">
        <f t="shared" si="178"/>
        <v/>
      </c>
      <c r="W637" s="87">
        <f t="shared" si="167"/>
      </c>
      <c r="X637" s="88"/>
      <c r="Y637" s="88"/>
      <c r="Z637" s="88"/>
      <c r="AA637" s="88"/>
      <c r="AB637" s="88"/>
      <c r="AD637" s="86">
        <f t="shared" si="168"/>
      </c>
      <c r="AE637" s="86">
        <f t="shared" si="169"/>
      </c>
      <c r="AG637" s="86">
        <f t="shared" si="170"/>
      </c>
      <c r="AH637" s="86">
        <f t="shared" si="171"/>
      </c>
      <c r="AI637" s="86">
        <f t="shared" si="172"/>
      </c>
    </row>
    <row r="638" spans="6:35" x14ac:dyDescent="0.3">
      <c r="F638" s="26">
        <f>IF(G638=1,MAX($F$4:F637)+1,"")</f>
        <v/>
      </c>
      <c r="G638" s="26">
        <f>COUNTIF($H$5:H638,H638)</f>
      </c>
      <c r="H638" s="26">
        <f t="shared" si="173"/>
      </c>
      <c r="I638" s="26">
        <f>COUNTIF($J$4:$J638,1)</f>
      </c>
      <c r="J638" s="26">
        <f>COUNTIF($S$5:$S638,S638)</f>
      </c>
      <c r="K638" s="26">
        <f t="shared" si="162"/>
      </c>
      <c r="L638" s="26">
        <f>IFERROR(IF(P638=0,0,MAX($L$4:L637)+1),0)</f>
      </c>
      <c r="M638" s="5">
        <f t="shared" si="174"/>
      </c>
      <c r="N638" s="5">
        <f t="shared" si="175"/>
      </c>
      <c r="P638" s="86">
        <f t="shared" si="163"/>
      </c>
      <c r="Q638" s="86">
        <f t="shared" si="164"/>
      </c>
      <c r="R638" s="86">
        <f t="shared" si="165"/>
      </c>
      <c r="S638" s="86">
        <f t="shared" si="166"/>
      </c>
      <c r="T638" s="86">
        <f t="shared" si="176"/>
        <v/>
      </c>
      <c r="U638" s="86">
        <f t="shared" si="177"/>
        <v/>
      </c>
      <c r="V638" s="86">
        <f t="shared" si="178"/>
        <v/>
      </c>
      <c r="W638" s="87">
        <f t="shared" si="167"/>
      </c>
      <c r="X638" s="88"/>
      <c r="Y638" s="88"/>
      <c r="Z638" s="88"/>
      <c r="AA638" s="88"/>
      <c r="AB638" s="88"/>
      <c r="AD638" s="86">
        <f t="shared" si="168"/>
      </c>
      <c r="AE638" s="86">
        <f t="shared" si="169"/>
      </c>
      <c r="AG638" s="86">
        <f t="shared" si="170"/>
      </c>
      <c r="AH638" s="86">
        <f t="shared" si="171"/>
      </c>
      <c r="AI638" s="86">
        <f t="shared" si="172"/>
      </c>
    </row>
    <row r="639" spans="6:35" x14ac:dyDescent="0.3">
      <c r="F639" s="26">
        <f>IF(G639=1,MAX($F$4:F638)+1,"")</f>
        <v/>
      </c>
      <c r="G639" s="26">
        <f>COUNTIF($H$5:H639,H639)</f>
      </c>
      <c r="H639" s="26">
        <f t="shared" si="173"/>
      </c>
      <c r="I639" s="26">
        <f>COUNTIF($J$4:$J639,1)</f>
      </c>
      <c r="J639" s="26">
        <f>COUNTIF($S$5:$S639,S639)</f>
      </c>
      <c r="K639" s="26">
        <f t="shared" si="162"/>
      </c>
      <c r="L639" s="26">
        <f>IFERROR(IF(P639=0,0,MAX($L$4:L638)+1),0)</f>
      </c>
      <c r="M639" s="5">
        <f t="shared" si="174"/>
      </c>
      <c r="N639" s="5">
        <f t="shared" si="175"/>
      </c>
      <c r="P639" s="86">
        <f t="shared" si="163"/>
      </c>
      <c r="Q639" s="86">
        <f t="shared" si="164"/>
      </c>
      <c r="R639" s="86">
        <f t="shared" si="165"/>
      </c>
      <c r="S639" s="86">
        <f t="shared" si="166"/>
      </c>
      <c r="T639" s="86">
        <f t="shared" si="176"/>
        <v/>
      </c>
      <c r="U639" s="86">
        <f t="shared" si="177"/>
        <v/>
      </c>
      <c r="V639" s="86">
        <f t="shared" si="178"/>
        <v/>
      </c>
      <c r="W639" s="87">
        <f t="shared" si="167"/>
      </c>
      <c r="X639" s="88"/>
      <c r="Y639" s="88"/>
      <c r="Z639" s="88"/>
      <c r="AA639" s="88"/>
      <c r="AB639" s="88"/>
      <c r="AD639" s="86">
        <f t="shared" si="168"/>
      </c>
      <c r="AE639" s="86">
        <f t="shared" si="169"/>
      </c>
      <c r="AG639" s="86">
        <f t="shared" si="170"/>
      </c>
      <c r="AH639" s="86">
        <f t="shared" si="171"/>
      </c>
      <c r="AI639" s="86">
        <f t="shared" si="172"/>
      </c>
    </row>
    <row r="640" spans="6:35" x14ac:dyDescent="0.3">
      <c r="F640" s="26">
        <f>IF(G640=1,MAX($F$4:F639)+1,"")</f>
        <v/>
      </c>
      <c r="G640" s="26">
        <f>COUNTIF($H$5:H640,H640)</f>
      </c>
      <c r="H640" s="26">
        <f t="shared" si="173"/>
      </c>
      <c r="I640" s="26">
        <f>COUNTIF($J$4:$J640,1)</f>
      </c>
      <c r="J640" s="26">
        <f>COUNTIF($S$5:$S640,S640)</f>
      </c>
      <c r="K640" s="26">
        <f t="shared" si="162"/>
      </c>
      <c r="L640" s="26">
        <f>IFERROR(IF(P640=0,0,MAX($L$4:L639)+1),0)</f>
      </c>
      <c r="M640" s="5">
        <f t="shared" si="174"/>
      </c>
      <c r="N640" s="5">
        <f t="shared" si="175"/>
      </c>
      <c r="P640" s="86">
        <f t="shared" si="163"/>
      </c>
      <c r="Q640" s="86">
        <f t="shared" si="164"/>
      </c>
      <c r="R640" s="86">
        <f t="shared" si="165"/>
      </c>
      <c r="S640" s="86">
        <f t="shared" si="166"/>
      </c>
      <c r="T640" s="86">
        <f t="shared" si="176"/>
        <v/>
      </c>
      <c r="U640" s="86">
        <f t="shared" si="177"/>
        <v/>
      </c>
      <c r="V640" s="86">
        <f t="shared" si="178"/>
        <v/>
      </c>
      <c r="W640" s="87">
        <f t="shared" si="167"/>
      </c>
      <c r="X640" s="88"/>
      <c r="Y640" s="88"/>
      <c r="Z640" s="88"/>
      <c r="AA640" s="88"/>
      <c r="AB640" s="88"/>
      <c r="AD640" s="86">
        <f t="shared" si="168"/>
      </c>
      <c r="AE640" s="86">
        <f t="shared" si="169"/>
      </c>
      <c r="AG640" s="86">
        <f t="shared" si="170"/>
      </c>
      <c r="AH640" s="86">
        <f t="shared" si="171"/>
      </c>
      <c r="AI640" s="86">
        <f t="shared" si="172"/>
      </c>
    </row>
    <row r="641" spans="6:35" x14ac:dyDescent="0.3">
      <c r="F641" s="26">
        <f>IF(G641=1,MAX($F$4:F640)+1,"")</f>
        <v/>
      </c>
      <c r="G641" s="26">
        <f>COUNTIF($H$5:H641,H641)</f>
      </c>
      <c r="H641" s="26">
        <f t="shared" si="173"/>
      </c>
      <c r="I641" s="26">
        <f>COUNTIF($J$4:$J641,1)</f>
      </c>
      <c r="J641" s="26">
        <f>COUNTIF($S$5:$S641,S641)</f>
      </c>
      <c r="K641" s="26">
        <f t="shared" si="162"/>
      </c>
      <c r="L641" s="26">
        <f>IFERROR(IF(P641=0,0,MAX($L$4:L640)+1),0)</f>
      </c>
      <c r="M641" s="5">
        <f t="shared" si="174"/>
      </c>
      <c r="N641" s="5">
        <f t="shared" si="175"/>
      </c>
      <c r="P641" s="86">
        <f t="shared" si="163"/>
      </c>
      <c r="Q641" s="86">
        <f t="shared" si="164"/>
      </c>
      <c r="R641" s="86">
        <f t="shared" si="165"/>
      </c>
      <c r="S641" s="86">
        <f t="shared" si="166"/>
      </c>
      <c r="T641" s="86">
        <f t="shared" si="176"/>
        <v/>
      </c>
      <c r="U641" s="86">
        <f t="shared" si="177"/>
        <v/>
      </c>
      <c r="V641" s="86">
        <f t="shared" si="178"/>
        <v/>
      </c>
      <c r="W641" s="87">
        <f t="shared" si="167"/>
      </c>
      <c r="X641" s="88"/>
      <c r="Y641" s="88"/>
      <c r="Z641" s="88"/>
      <c r="AA641" s="88"/>
      <c r="AB641" s="88"/>
      <c r="AD641" s="86">
        <f t="shared" si="168"/>
      </c>
      <c r="AE641" s="86">
        <f t="shared" si="169"/>
      </c>
      <c r="AG641" s="86">
        <f t="shared" si="170"/>
      </c>
      <c r="AH641" s="86">
        <f t="shared" si="171"/>
      </c>
      <c r="AI641" s="86">
        <f t="shared" si="172"/>
      </c>
    </row>
    <row r="642" spans="6:35" x14ac:dyDescent="0.3">
      <c r="F642" s="26">
        <f>IF(G642=1,MAX($F$4:F641)+1,"")</f>
        <v/>
      </c>
      <c r="G642" s="26">
        <f>COUNTIF($H$5:H642,H642)</f>
      </c>
      <c r="H642" s="26">
        <f t="shared" si="173"/>
      </c>
      <c r="I642" s="26">
        <f>COUNTIF($J$4:$J642,1)</f>
      </c>
      <c r="J642" s="26">
        <f>COUNTIF($S$5:$S642,S642)</f>
      </c>
      <c r="K642" s="26">
        <f t="shared" si="162"/>
      </c>
      <c r="L642" s="26">
        <f>IFERROR(IF(P642=0,0,MAX($L$4:L641)+1),0)</f>
      </c>
      <c r="M642" s="5">
        <f t="shared" si="174"/>
      </c>
      <c r="N642" s="5">
        <f t="shared" si="175"/>
      </c>
      <c r="P642" s="86">
        <f t="shared" si="163"/>
      </c>
      <c r="Q642" s="86">
        <f t="shared" si="164"/>
      </c>
      <c r="R642" s="86">
        <f t="shared" si="165"/>
      </c>
      <c r="S642" s="86">
        <f t="shared" si="166"/>
      </c>
      <c r="T642" s="86">
        <f t="shared" si="176"/>
        <v/>
      </c>
      <c r="U642" s="86">
        <f t="shared" si="177"/>
        <v/>
      </c>
      <c r="V642" s="86">
        <f t="shared" si="178"/>
        <v/>
      </c>
      <c r="W642" s="87">
        <f t="shared" si="167"/>
      </c>
      <c r="X642" s="88"/>
      <c r="Y642" s="88"/>
      <c r="Z642" s="88"/>
      <c r="AA642" s="88"/>
      <c r="AB642" s="88"/>
      <c r="AD642" s="86">
        <f t="shared" si="168"/>
      </c>
      <c r="AE642" s="86">
        <f t="shared" si="169"/>
      </c>
      <c r="AG642" s="86">
        <f t="shared" si="170"/>
      </c>
      <c r="AH642" s="86">
        <f t="shared" si="171"/>
      </c>
      <c r="AI642" s="86">
        <f t="shared" si="172"/>
      </c>
    </row>
    <row r="643" spans="6:35" x14ac:dyDescent="0.3">
      <c r="F643" s="26">
        <f>IF(G643=1,MAX($F$4:F642)+1,"")</f>
        <v/>
      </c>
      <c r="G643" s="26">
        <f>COUNTIF($H$5:H643,H643)</f>
      </c>
      <c r="H643" s="26">
        <f t="shared" si="173"/>
      </c>
      <c r="I643" s="26">
        <f>COUNTIF($J$4:$J643,1)</f>
      </c>
      <c r="J643" s="26">
        <f>COUNTIF($S$5:$S643,S643)</f>
      </c>
      <c r="K643" s="26">
        <f t="shared" si="162"/>
      </c>
      <c r="L643" s="26">
        <f>IFERROR(IF(P643=0,0,MAX($L$4:L642)+1),0)</f>
      </c>
      <c r="M643" s="5">
        <f t="shared" si="174"/>
      </c>
      <c r="N643" s="5">
        <f t="shared" si="175"/>
      </c>
      <c r="P643" s="86">
        <f t="shared" si="163"/>
      </c>
      <c r="Q643" s="86">
        <f t="shared" si="164"/>
      </c>
      <c r="R643" s="86">
        <f t="shared" si="165"/>
      </c>
      <c r="S643" s="86">
        <f t="shared" si="166"/>
      </c>
      <c r="T643" s="86">
        <f t="shared" si="176"/>
        <v/>
      </c>
      <c r="U643" s="86">
        <f t="shared" si="177"/>
        <v/>
      </c>
      <c r="V643" s="86">
        <f t="shared" si="178"/>
        <v/>
      </c>
      <c r="W643" s="87">
        <f t="shared" si="167"/>
      </c>
      <c r="X643" s="88"/>
      <c r="Y643" s="88"/>
      <c r="Z643" s="88"/>
      <c r="AA643" s="88"/>
      <c r="AB643" s="88"/>
      <c r="AD643" s="86">
        <f t="shared" si="168"/>
      </c>
      <c r="AE643" s="86">
        <f t="shared" si="169"/>
      </c>
      <c r="AG643" s="86">
        <f t="shared" si="170"/>
      </c>
      <c r="AH643" s="86">
        <f t="shared" si="171"/>
      </c>
      <c r="AI643" s="86">
        <f t="shared" si="172"/>
      </c>
    </row>
    <row r="644" spans="6:35" x14ac:dyDescent="0.3">
      <c r="F644" s="26">
        <f>IF(G644=1,MAX($F$4:F643)+1,"")</f>
        <v/>
      </c>
      <c r="G644" s="26">
        <f>COUNTIF($H$5:H644,H644)</f>
      </c>
      <c r="H644" s="26">
        <f t="shared" si="173"/>
      </c>
      <c r="I644" s="26">
        <f>COUNTIF($J$4:$J644,1)</f>
      </c>
      <c r="J644" s="26">
        <f>COUNTIF($S$5:$S644,S644)</f>
      </c>
      <c r="K644" s="26">
        <f t="shared" si="162"/>
      </c>
      <c r="L644" s="26">
        <f>IFERROR(IF(P644=0,0,MAX($L$4:L643)+1),0)</f>
      </c>
      <c r="M644" s="5">
        <f t="shared" si="174"/>
      </c>
      <c r="N644" s="5">
        <f t="shared" si="175"/>
      </c>
      <c r="P644" s="86">
        <f t="shared" si="163"/>
      </c>
      <c r="Q644" s="86">
        <f t="shared" si="164"/>
      </c>
      <c r="R644" s="86">
        <f t="shared" si="165"/>
      </c>
      <c r="S644" s="86">
        <f t="shared" si="166"/>
      </c>
      <c r="T644" s="86">
        <f t="shared" si="176"/>
        <v/>
      </c>
      <c r="U644" s="86">
        <f t="shared" si="177"/>
        <v/>
      </c>
      <c r="V644" s="86">
        <f t="shared" si="178"/>
        <v/>
      </c>
      <c r="W644" s="87">
        <f t="shared" si="167"/>
      </c>
      <c r="X644" s="88"/>
      <c r="Y644" s="88"/>
      <c r="Z644" s="88"/>
      <c r="AA644" s="88"/>
      <c r="AB644" s="88"/>
      <c r="AD644" s="86">
        <f t="shared" si="168"/>
      </c>
      <c r="AE644" s="86">
        <f t="shared" si="169"/>
      </c>
      <c r="AG644" s="86">
        <f t="shared" si="170"/>
      </c>
      <c r="AH644" s="86">
        <f t="shared" si="171"/>
      </c>
      <c r="AI644" s="86">
        <f t="shared" si="172"/>
      </c>
    </row>
    <row r="645" spans="6:35" x14ac:dyDescent="0.3">
      <c r="F645" s="26">
        <f>IF(G645=1,MAX($F$4:F644)+1,"")</f>
        <v/>
      </c>
      <c r="G645" s="26">
        <f>COUNTIF($H$5:H645,H645)</f>
      </c>
      <c r="H645" s="26">
        <f t="shared" si="173"/>
      </c>
      <c r="I645" s="26">
        <f>COUNTIF($J$4:$J645,1)</f>
      </c>
      <c r="J645" s="26">
        <f>COUNTIF($S$5:$S645,S645)</f>
      </c>
      <c r="K645" s="26">
        <f t="shared" ref="K645:K708" si="179">VLOOKUP(P645,Исходные_данные,19,FALSE)</f>
      </c>
      <c r="L645" s="26">
        <f>IFERROR(IF(P645=0,0,MAX($L$4:L644)+1),0)</f>
      </c>
      <c r="M645" s="5">
        <f t="shared" si="174"/>
      </c>
      <c r="N645" s="5">
        <f t="shared" si="175"/>
      </c>
      <c r="P645" s="86">
        <f t="shared" ref="P645:P708" si="180">VLOOKUP(ROW(641:641),Разбивка_нумерация_5,4,FALSE)</f>
      </c>
      <c r="Q645" s="86">
        <f t="shared" ref="Q645:Q708" si="181">IF(VLOOKUP(ROW(641:641),Разбивка_нумерация_5,3,FALSE)=0,VLOOKUP(ROW(641:641),Разбивка_нумерация_5,2,FALSE),VLOOKUP(ROW(641:641),Разбивка_нумерация_5,3,FALSE))</f>
      </c>
      <c r="R645" s="86">
        <f t="shared" ref="R645:R708" si="182">VLOOKUP(ROW(641:641),Разбивка_нумерация_5,6,FALSE)</f>
      </c>
      <c r="S645" s="86">
        <f t="shared" ref="S645:S708" si="183">VLOOKUP(ROW(641:641),Разбивка_нумерация_5,17,FALSE)</f>
      </c>
      <c r="T645" s="86">
        <f t="shared" si="176"/>
        <v/>
      </c>
      <c r="U645" s="86">
        <f t="shared" si="177"/>
        <v/>
      </c>
      <c r="V645" s="86">
        <f t="shared" si="178"/>
        <v/>
      </c>
      <c r="W645" s="87">
        <f t="shared" ref="W645:W708" si="184">VLOOKUP(P645,Исходные_данные,13,FALSE)</f>
      </c>
      <c r="X645" s="88"/>
      <c r="Y645" s="88"/>
      <c r="Z645" s="88"/>
      <c r="AA645" s="88"/>
      <c r="AB645" s="88"/>
      <c r="AD645" s="86">
        <f t="shared" ref="AD645:AD708" si="185">VLOOKUP(S645,Кабель_диаметр,4,FALSE)</f>
      </c>
      <c r="AE645" s="86">
        <f t="shared" ref="AE645:AE708" si="186">VLOOKUP(S645,Кабель_диаметр,5,FALSE)</f>
      </c>
      <c r="AG645" s="86">
        <f t="shared" ref="AG645:AG708" si="187">IFERROR(VLOOKUP(P645,Исходные_данные,10,FALSE),0)</f>
      </c>
      <c r="AH645" s="86">
        <f t="shared" ref="AH645:AH708" si="188">IFERROR(VLOOKUP(P645,Исходные_данные,11,FALSE),0)</f>
      </c>
      <c r="AI645" s="86">
        <f t="shared" ref="AI645:AI708" si="189">IFERROR(VLOOKUP(P645,Исходные_данные,12,FALSE),0)</f>
      </c>
    </row>
    <row r="646" spans="6:35" x14ac:dyDescent="0.3">
      <c r="F646" s="26">
        <f>IF(G646=1,MAX($F$4:F645)+1,"")</f>
        <v/>
      </c>
      <c r="G646" s="26">
        <f>COUNTIF($H$5:H646,H646)</f>
      </c>
      <c r="H646" s="26">
        <f t="shared" ref="H646:H709" si="190">S646&amp;" "&amp;K646</f>
      </c>
      <c r="I646" s="26">
        <f>COUNTIF($J$4:$J646,1)</f>
      </c>
      <c r="J646" s="26">
        <f>COUNTIF($S$5:$S646,S646)</f>
      </c>
      <c r="K646" s="26">
        <f t="shared" si="179"/>
      </c>
      <c r="L646" s="26">
        <f>IFERROR(IF(P646=0,0,MAX($L$4:L645)+1),0)</f>
      </c>
      <c r="M646" s="5">
        <f t="shared" ref="M646:M709" si="191">LEFT(P646,SEARCH(".",P646)-1)</f>
      </c>
      <c r="N646" s="5">
        <f t="shared" ref="N646:N709" si="192">LEFT(RIGHT(P646,LEN(P646)-LEN(M646)-1),SEARCH(".",P646)-1)</f>
      </c>
      <c r="P646" s="86">
        <f t="shared" si="180"/>
      </c>
      <c r="Q646" s="86">
        <f t="shared" si="181"/>
      </c>
      <c r="R646" s="86">
        <f t="shared" si="182"/>
      </c>
      <c r="S646" s="86">
        <f t="shared" si="183"/>
      </c>
      <c r="T646" s="86">
        <f t="shared" ref="T646:T709" si="193">IF(AG646=0,"","L="&amp;AG646)</f>
        <v/>
      </c>
      <c r="U646" s="86">
        <f t="shared" ref="U646:U709" si="194">IF(AH646=0,"",AD646&amp;" L="&amp;AH646)</f>
        <v/>
      </c>
      <c r="V646" s="86">
        <f t="shared" ref="V646:V709" si="195">IF(AI646=0,"",AE646&amp;" L="&amp;AI646)</f>
        <v/>
      </c>
      <c r="W646" s="87">
        <f t="shared" si="184"/>
      </c>
      <c r="X646" s="88"/>
      <c r="Y646" s="88"/>
      <c r="Z646" s="88"/>
      <c r="AA646" s="88"/>
      <c r="AB646" s="88"/>
      <c r="AD646" s="86">
        <f t="shared" si="185"/>
      </c>
      <c r="AE646" s="86">
        <f t="shared" si="186"/>
      </c>
      <c r="AG646" s="86">
        <f t="shared" si="187"/>
      </c>
      <c r="AH646" s="86">
        <f t="shared" si="188"/>
      </c>
      <c r="AI646" s="86">
        <f t="shared" si="189"/>
      </c>
    </row>
    <row r="647" spans="6:35" x14ac:dyDescent="0.3">
      <c r="F647" s="26">
        <f>IF(G647=1,MAX($F$4:F646)+1,"")</f>
        <v/>
      </c>
      <c r="G647" s="26">
        <f>COUNTIF($H$5:H647,H647)</f>
      </c>
      <c r="H647" s="26">
        <f t="shared" si="190"/>
      </c>
      <c r="I647" s="26">
        <f>COUNTIF($J$4:$J647,1)</f>
      </c>
      <c r="J647" s="26">
        <f>COUNTIF($S$5:$S647,S647)</f>
      </c>
      <c r="K647" s="26">
        <f t="shared" si="179"/>
      </c>
      <c r="L647" s="26">
        <f>IFERROR(IF(P647=0,0,MAX($L$4:L646)+1),0)</f>
      </c>
      <c r="M647" s="5">
        <f t="shared" si="191"/>
      </c>
      <c r="N647" s="5">
        <f t="shared" si="192"/>
      </c>
      <c r="P647" s="86">
        <f t="shared" si="180"/>
      </c>
      <c r="Q647" s="86">
        <f t="shared" si="181"/>
      </c>
      <c r="R647" s="86">
        <f t="shared" si="182"/>
      </c>
      <c r="S647" s="86">
        <f t="shared" si="183"/>
      </c>
      <c r="T647" s="86">
        <f t="shared" si="193"/>
        <v/>
      </c>
      <c r="U647" s="86">
        <f t="shared" si="194"/>
        <v/>
      </c>
      <c r="V647" s="86">
        <f t="shared" si="195"/>
        <v/>
      </c>
      <c r="W647" s="87">
        <f t="shared" si="184"/>
      </c>
      <c r="X647" s="88"/>
      <c r="Y647" s="88"/>
      <c r="Z647" s="88"/>
      <c r="AA647" s="88"/>
      <c r="AB647" s="88"/>
      <c r="AD647" s="86">
        <f t="shared" si="185"/>
      </c>
      <c r="AE647" s="86">
        <f t="shared" si="186"/>
      </c>
      <c r="AG647" s="86">
        <f t="shared" si="187"/>
      </c>
      <c r="AH647" s="86">
        <f t="shared" si="188"/>
      </c>
      <c r="AI647" s="86">
        <f t="shared" si="189"/>
      </c>
    </row>
    <row r="648" spans="6:35" x14ac:dyDescent="0.3">
      <c r="F648" s="26">
        <f>IF(G648=1,MAX($F$4:F647)+1,"")</f>
        <v/>
      </c>
      <c r="G648" s="26">
        <f>COUNTIF($H$5:H648,H648)</f>
      </c>
      <c r="H648" s="26">
        <f t="shared" si="190"/>
      </c>
      <c r="I648" s="26">
        <f>COUNTIF($J$4:$J648,1)</f>
      </c>
      <c r="J648" s="26">
        <f>COUNTIF($S$5:$S648,S648)</f>
      </c>
      <c r="K648" s="26">
        <f t="shared" si="179"/>
      </c>
      <c r="L648" s="26">
        <f>IFERROR(IF(P648=0,0,MAX($L$4:L647)+1),0)</f>
      </c>
      <c r="M648" s="5">
        <f t="shared" si="191"/>
      </c>
      <c r="N648" s="5">
        <f t="shared" si="192"/>
      </c>
      <c r="P648" s="86">
        <f t="shared" si="180"/>
      </c>
      <c r="Q648" s="86">
        <f t="shared" si="181"/>
      </c>
      <c r="R648" s="86">
        <f t="shared" si="182"/>
      </c>
      <c r="S648" s="86">
        <f t="shared" si="183"/>
      </c>
      <c r="T648" s="86">
        <f t="shared" si="193"/>
        <v/>
      </c>
      <c r="U648" s="86">
        <f t="shared" si="194"/>
        <v/>
      </c>
      <c r="V648" s="86">
        <f t="shared" si="195"/>
        <v/>
      </c>
      <c r="W648" s="87">
        <f t="shared" si="184"/>
      </c>
      <c r="X648" s="88"/>
      <c r="Y648" s="88"/>
      <c r="Z648" s="88"/>
      <c r="AA648" s="88"/>
      <c r="AB648" s="88"/>
      <c r="AD648" s="86">
        <f t="shared" si="185"/>
      </c>
      <c r="AE648" s="86">
        <f t="shared" si="186"/>
      </c>
      <c r="AG648" s="86">
        <f t="shared" si="187"/>
      </c>
      <c r="AH648" s="86">
        <f t="shared" si="188"/>
      </c>
      <c r="AI648" s="86">
        <f t="shared" si="189"/>
      </c>
    </row>
    <row r="649" spans="6:35" x14ac:dyDescent="0.3">
      <c r="F649" s="26">
        <f>IF(G649=1,MAX($F$4:F648)+1,"")</f>
        <v/>
      </c>
      <c r="G649" s="26">
        <f>COUNTIF($H$5:H649,H649)</f>
      </c>
      <c r="H649" s="26">
        <f t="shared" si="190"/>
      </c>
      <c r="I649" s="26">
        <f>COUNTIF($J$4:$J649,1)</f>
      </c>
      <c r="J649" s="26">
        <f>COUNTIF($S$5:$S649,S649)</f>
      </c>
      <c r="K649" s="26">
        <f t="shared" si="179"/>
      </c>
      <c r="L649" s="26">
        <f>IFERROR(IF(P649=0,0,MAX($L$4:L648)+1),0)</f>
      </c>
      <c r="M649" s="5">
        <f t="shared" si="191"/>
      </c>
      <c r="N649" s="5">
        <f t="shared" si="192"/>
      </c>
      <c r="P649" s="86">
        <f t="shared" si="180"/>
      </c>
      <c r="Q649" s="86">
        <f t="shared" si="181"/>
      </c>
      <c r="R649" s="86">
        <f t="shared" si="182"/>
      </c>
      <c r="S649" s="86">
        <f t="shared" si="183"/>
      </c>
      <c r="T649" s="86">
        <f t="shared" si="193"/>
        <v/>
      </c>
      <c r="U649" s="86">
        <f t="shared" si="194"/>
        <v/>
      </c>
      <c r="V649" s="86">
        <f t="shared" si="195"/>
        <v/>
      </c>
      <c r="W649" s="87">
        <f t="shared" si="184"/>
      </c>
      <c r="X649" s="88"/>
      <c r="Y649" s="88"/>
      <c r="Z649" s="88"/>
      <c r="AA649" s="88"/>
      <c r="AB649" s="88"/>
      <c r="AD649" s="86">
        <f t="shared" si="185"/>
      </c>
      <c r="AE649" s="86">
        <f t="shared" si="186"/>
      </c>
      <c r="AG649" s="86">
        <f t="shared" si="187"/>
      </c>
      <c r="AH649" s="86">
        <f t="shared" si="188"/>
      </c>
      <c r="AI649" s="86">
        <f t="shared" si="189"/>
      </c>
    </row>
    <row r="650" spans="6:35" x14ac:dyDescent="0.3">
      <c r="F650" s="26">
        <f>IF(G650=1,MAX($F$4:F649)+1,"")</f>
        <v/>
      </c>
      <c r="G650" s="26">
        <f>COUNTIF($H$5:H650,H650)</f>
      </c>
      <c r="H650" s="26">
        <f t="shared" si="190"/>
      </c>
      <c r="I650" s="26">
        <f>COUNTIF($J$4:$J650,1)</f>
      </c>
      <c r="J650" s="26">
        <f>COUNTIF($S$5:$S650,S650)</f>
      </c>
      <c r="K650" s="26">
        <f t="shared" si="179"/>
      </c>
      <c r="L650" s="26">
        <f>IFERROR(IF(P650=0,0,MAX($L$4:L649)+1),0)</f>
      </c>
      <c r="M650" s="5">
        <f t="shared" si="191"/>
      </c>
      <c r="N650" s="5">
        <f t="shared" si="192"/>
      </c>
      <c r="P650" s="86">
        <f t="shared" si="180"/>
      </c>
      <c r="Q650" s="86">
        <f t="shared" si="181"/>
      </c>
      <c r="R650" s="86">
        <f t="shared" si="182"/>
      </c>
      <c r="S650" s="86">
        <f t="shared" si="183"/>
      </c>
      <c r="T650" s="86">
        <f t="shared" si="193"/>
        <v/>
      </c>
      <c r="U650" s="86">
        <f t="shared" si="194"/>
        <v/>
      </c>
      <c r="V650" s="86">
        <f t="shared" si="195"/>
        <v/>
      </c>
      <c r="W650" s="87">
        <f t="shared" si="184"/>
      </c>
      <c r="X650" s="88"/>
      <c r="Y650" s="88"/>
      <c r="Z650" s="88"/>
      <c r="AA650" s="88"/>
      <c r="AB650" s="88"/>
      <c r="AD650" s="86">
        <f t="shared" si="185"/>
      </c>
      <c r="AE650" s="86">
        <f t="shared" si="186"/>
      </c>
      <c r="AG650" s="86">
        <f t="shared" si="187"/>
      </c>
      <c r="AH650" s="86">
        <f t="shared" si="188"/>
      </c>
      <c r="AI650" s="86">
        <f t="shared" si="189"/>
      </c>
    </row>
    <row r="651" spans="6:35" x14ac:dyDescent="0.3">
      <c r="F651" s="26">
        <f>IF(G651=1,MAX($F$4:F650)+1,"")</f>
        <v/>
      </c>
      <c r="G651" s="26">
        <f>COUNTIF($H$5:H651,H651)</f>
      </c>
      <c r="H651" s="26">
        <f t="shared" si="190"/>
      </c>
      <c r="I651" s="26">
        <f>COUNTIF($J$4:$J651,1)</f>
      </c>
      <c r="J651" s="26">
        <f>COUNTIF($S$5:$S651,S651)</f>
      </c>
      <c r="K651" s="26">
        <f t="shared" si="179"/>
      </c>
      <c r="L651" s="26">
        <f>IFERROR(IF(P651=0,0,MAX($L$4:L650)+1),0)</f>
      </c>
      <c r="M651" s="5">
        <f t="shared" si="191"/>
      </c>
      <c r="N651" s="5">
        <f t="shared" si="192"/>
      </c>
      <c r="P651" s="86">
        <f t="shared" si="180"/>
      </c>
      <c r="Q651" s="86">
        <f t="shared" si="181"/>
      </c>
      <c r="R651" s="86">
        <f t="shared" si="182"/>
      </c>
      <c r="S651" s="86">
        <f t="shared" si="183"/>
      </c>
      <c r="T651" s="86">
        <f t="shared" si="193"/>
        <v/>
      </c>
      <c r="U651" s="86">
        <f t="shared" si="194"/>
        <v/>
      </c>
      <c r="V651" s="86">
        <f t="shared" si="195"/>
        <v/>
      </c>
      <c r="W651" s="87">
        <f t="shared" si="184"/>
      </c>
      <c r="X651" s="88"/>
      <c r="Y651" s="88"/>
      <c r="Z651" s="88"/>
      <c r="AA651" s="88"/>
      <c r="AB651" s="88"/>
      <c r="AD651" s="86">
        <f t="shared" si="185"/>
      </c>
      <c r="AE651" s="86">
        <f t="shared" si="186"/>
      </c>
      <c r="AG651" s="86">
        <f t="shared" si="187"/>
      </c>
      <c r="AH651" s="86">
        <f t="shared" si="188"/>
      </c>
      <c r="AI651" s="86">
        <f t="shared" si="189"/>
      </c>
    </row>
    <row r="652" spans="6:35" x14ac:dyDescent="0.3">
      <c r="F652" s="26">
        <f>IF(G652=1,MAX($F$4:F651)+1,"")</f>
        <v/>
      </c>
      <c r="G652" s="26">
        <f>COUNTIF($H$5:H652,H652)</f>
      </c>
      <c r="H652" s="26">
        <f t="shared" si="190"/>
      </c>
      <c r="I652" s="26">
        <f>COUNTIF($J$4:$J652,1)</f>
      </c>
      <c r="J652" s="26">
        <f>COUNTIF($S$5:$S652,S652)</f>
      </c>
      <c r="K652" s="26">
        <f t="shared" si="179"/>
      </c>
      <c r="L652" s="26">
        <f>IFERROR(IF(P652=0,0,MAX($L$4:L651)+1),0)</f>
      </c>
      <c r="M652" s="5">
        <f t="shared" si="191"/>
      </c>
      <c r="N652" s="5">
        <f t="shared" si="192"/>
      </c>
      <c r="P652" s="86">
        <f t="shared" si="180"/>
      </c>
      <c r="Q652" s="86">
        <f t="shared" si="181"/>
      </c>
      <c r="R652" s="86">
        <f t="shared" si="182"/>
      </c>
      <c r="S652" s="86">
        <f t="shared" si="183"/>
      </c>
      <c r="T652" s="86">
        <f t="shared" si="193"/>
        <v/>
      </c>
      <c r="U652" s="86">
        <f t="shared" si="194"/>
        <v/>
      </c>
      <c r="V652" s="86">
        <f t="shared" si="195"/>
        <v/>
      </c>
      <c r="W652" s="87">
        <f t="shared" si="184"/>
      </c>
      <c r="X652" s="88"/>
      <c r="Y652" s="88"/>
      <c r="Z652" s="88"/>
      <c r="AA652" s="88"/>
      <c r="AB652" s="88"/>
      <c r="AD652" s="86">
        <f t="shared" si="185"/>
      </c>
      <c r="AE652" s="86">
        <f t="shared" si="186"/>
      </c>
      <c r="AG652" s="86">
        <f t="shared" si="187"/>
      </c>
      <c r="AH652" s="86">
        <f t="shared" si="188"/>
      </c>
      <c r="AI652" s="86">
        <f t="shared" si="189"/>
      </c>
    </row>
    <row r="653" spans="6:35" x14ac:dyDescent="0.3">
      <c r="F653" s="26">
        <f>IF(G653=1,MAX($F$4:F652)+1,"")</f>
        <v/>
      </c>
      <c r="G653" s="26">
        <f>COUNTIF($H$5:H653,H653)</f>
      </c>
      <c r="H653" s="26">
        <f t="shared" si="190"/>
      </c>
      <c r="I653" s="26">
        <f>COUNTIF($J$4:$J653,1)</f>
      </c>
      <c r="J653" s="26">
        <f>COUNTIF($S$5:$S653,S653)</f>
      </c>
      <c r="K653" s="26">
        <f t="shared" si="179"/>
      </c>
      <c r="L653" s="26">
        <f>IFERROR(IF(P653=0,0,MAX($L$4:L652)+1),0)</f>
      </c>
      <c r="M653" s="5">
        <f t="shared" si="191"/>
      </c>
      <c r="N653" s="5">
        <f t="shared" si="192"/>
      </c>
      <c r="P653" s="86">
        <f t="shared" si="180"/>
      </c>
      <c r="Q653" s="86">
        <f t="shared" si="181"/>
      </c>
      <c r="R653" s="86">
        <f t="shared" si="182"/>
      </c>
      <c r="S653" s="86">
        <f t="shared" si="183"/>
      </c>
      <c r="T653" s="86">
        <f t="shared" si="193"/>
        <v/>
      </c>
      <c r="U653" s="86">
        <f t="shared" si="194"/>
        <v/>
      </c>
      <c r="V653" s="86">
        <f t="shared" si="195"/>
        <v/>
      </c>
      <c r="W653" s="87">
        <f t="shared" si="184"/>
      </c>
      <c r="X653" s="88"/>
      <c r="Y653" s="88"/>
      <c r="Z653" s="88"/>
      <c r="AA653" s="88"/>
      <c r="AB653" s="88"/>
      <c r="AD653" s="86">
        <f t="shared" si="185"/>
      </c>
      <c r="AE653" s="86">
        <f t="shared" si="186"/>
      </c>
      <c r="AG653" s="86">
        <f t="shared" si="187"/>
      </c>
      <c r="AH653" s="86">
        <f t="shared" si="188"/>
      </c>
      <c r="AI653" s="86">
        <f t="shared" si="189"/>
      </c>
    </row>
    <row r="654" spans="6:35" x14ac:dyDescent="0.3">
      <c r="F654" s="26">
        <f>IF(G654=1,MAX($F$4:F653)+1,"")</f>
        <v/>
      </c>
      <c r="G654" s="26">
        <f>COUNTIF($H$5:H654,H654)</f>
      </c>
      <c r="H654" s="26">
        <f t="shared" si="190"/>
      </c>
      <c r="I654" s="26">
        <f>COUNTIF($J$4:$J654,1)</f>
      </c>
      <c r="J654" s="26">
        <f>COUNTIF($S$5:$S654,S654)</f>
      </c>
      <c r="K654" s="26">
        <f t="shared" si="179"/>
      </c>
      <c r="L654" s="26">
        <f>IFERROR(IF(P654=0,0,MAX($L$4:L653)+1),0)</f>
      </c>
      <c r="M654" s="5">
        <f t="shared" si="191"/>
      </c>
      <c r="N654" s="5">
        <f t="shared" si="192"/>
      </c>
      <c r="P654" s="86">
        <f t="shared" si="180"/>
      </c>
      <c r="Q654" s="86">
        <f t="shared" si="181"/>
      </c>
      <c r="R654" s="86">
        <f t="shared" si="182"/>
      </c>
      <c r="S654" s="86">
        <f t="shared" si="183"/>
      </c>
      <c r="T654" s="86">
        <f t="shared" si="193"/>
        <v/>
      </c>
      <c r="U654" s="86">
        <f t="shared" si="194"/>
        <v/>
      </c>
      <c r="V654" s="86">
        <f t="shared" si="195"/>
        <v/>
      </c>
      <c r="W654" s="87">
        <f t="shared" si="184"/>
      </c>
      <c r="X654" s="88"/>
      <c r="Y654" s="88"/>
      <c r="Z654" s="88"/>
      <c r="AA654" s="88"/>
      <c r="AB654" s="88"/>
      <c r="AD654" s="86">
        <f t="shared" si="185"/>
      </c>
      <c r="AE654" s="86">
        <f t="shared" si="186"/>
      </c>
      <c r="AG654" s="86">
        <f t="shared" si="187"/>
      </c>
      <c r="AH654" s="86">
        <f t="shared" si="188"/>
      </c>
      <c r="AI654" s="86">
        <f t="shared" si="189"/>
      </c>
    </row>
    <row r="655" spans="6:35" x14ac:dyDescent="0.3">
      <c r="F655" s="26">
        <f>IF(G655=1,MAX($F$4:F654)+1,"")</f>
        <v/>
      </c>
      <c r="G655" s="26">
        <f>COUNTIF($H$5:H655,H655)</f>
      </c>
      <c r="H655" s="26">
        <f t="shared" si="190"/>
      </c>
      <c r="I655" s="26">
        <f>COUNTIF($J$4:$J655,1)</f>
      </c>
      <c r="J655" s="26">
        <f>COUNTIF($S$5:$S655,S655)</f>
      </c>
      <c r="K655" s="26">
        <f t="shared" si="179"/>
      </c>
      <c r="L655" s="26">
        <f>IFERROR(IF(P655=0,0,MAX($L$4:L654)+1),0)</f>
      </c>
      <c r="M655" s="5">
        <f t="shared" si="191"/>
      </c>
      <c r="N655" s="5">
        <f t="shared" si="192"/>
      </c>
      <c r="P655" s="86">
        <f t="shared" si="180"/>
      </c>
      <c r="Q655" s="86">
        <f t="shared" si="181"/>
      </c>
      <c r="R655" s="86">
        <f t="shared" si="182"/>
      </c>
      <c r="S655" s="86">
        <f t="shared" si="183"/>
      </c>
      <c r="T655" s="86">
        <f t="shared" si="193"/>
        <v/>
      </c>
      <c r="U655" s="86">
        <f t="shared" si="194"/>
        <v/>
      </c>
      <c r="V655" s="86">
        <f t="shared" si="195"/>
        <v/>
      </c>
      <c r="W655" s="87">
        <f t="shared" si="184"/>
      </c>
      <c r="X655" s="88"/>
      <c r="Y655" s="88"/>
      <c r="Z655" s="88"/>
      <c r="AA655" s="88"/>
      <c r="AB655" s="88"/>
      <c r="AD655" s="86">
        <f t="shared" si="185"/>
      </c>
      <c r="AE655" s="86">
        <f t="shared" si="186"/>
      </c>
      <c r="AG655" s="86">
        <f t="shared" si="187"/>
      </c>
      <c r="AH655" s="86">
        <f t="shared" si="188"/>
      </c>
      <c r="AI655" s="86">
        <f t="shared" si="189"/>
      </c>
    </row>
    <row r="656" spans="6:35" x14ac:dyDescent="0.3">
      <c r="F656" s="26">
        <f>IF(G656=1,MAX($F$4:F655)+1,"")</f>
        <v/>
      </c>
      <c r="G656" s="26">
        <f>COUNTIF($H$5:H656,H656)</f>
      </c>
      <c r="H656" s="26">
        <f t="shared" si="190"/>
      </c>
      <c r="I656" s="26">
        <f>COUNTIF($J$4:$J656,1)</f>
      </c>
      <c r="J656" s="26">
        <f>COUNTIF($S$5:$S656,S656)</f>
      </c>
      <c r="K656" s="26">
        <f t="shared" si="179"/>
      </c>
      <c r="L656" s="26">
        <f>IFERROR(IF(P656=0,0,MAX($L$4:L655)+1),0)</f>
      </c>
      <c r="M656" s="5">
        <f t="shared" si="191"/>
      </c>
      <c r="N656" s="5">
        <f t="shared" si="192"/>
      </c>
      <c r="P656" s="86">
        <f t="shared" si="180"/>
      </c>
      <c r="Q656" s="86">
        <f t="shared" si="181"/>
      </c>
      <c r="R656" s="86">
        <f t="shared" si="182"/>
      </c>
      <c r="S656" s="86">
        <f t="shared" si="183"/>
      </c>
      <c r="T656" s="86">
        <f t="shared" si="193"/>
        <v/>
      </c>
      <c r="U656" s="86">
        <f t="shared" si="194"/>
        <v/>
      </c>
      <c r="V656" s="86">
        <f t="shared" si="195"/>
        <v/>
      </c>
      <c r="W656" s="87">
        <f t="shared" si="184"/>
      </c>
      <c r="X656" s="88"/>
      <c r="Y656" s="88"/>
      <c r="Z656" s="88"/>
      <c r="AA656" s="88"/>
      <c r="AB656" s="88"/>
      <c r="AD656" s="86">
        <f t="shared" si="185"/>
      </c>
      <c r="AE656" s="86">
        <f t="shared" si="186"/>
      </c>
      <c r="AG656" s="86">
        <f t="shared" si="187"/>
      </c>
      <c r="AH656" s="86">
        <f t="shared" si="188"/>
      </c>
      <c r="AI656" s="86">
        <f t="shared" si="189"/>
      </c>
    </row>
    <row r="657" spans="6:35" x14ac:dyDescent="0.3">
      <c r="F657" s="26">
        <f>IF(G657=1,MAX($F$4:F656)+1,"")</f>
        <v/>
      </c>
      <c r="G657" s="26">
        <f>COUNTIF($H$5:H657,H657)</f>
      </c>
      <c r="H657" s="26">
        <f t="shared" si="190"/>
      </c>
      <c r="I657" s="26">
        <f>COUNTIF($J$4:$J657,1)</f>
      </c>
      <c r="J657" s="26">
        <f>COUNTIF($S$5:$S657,S657)</f>
      </c>
      <c r="K657" s="26">
        <f t="shared" si="179"/>
      </c>
      <c r="L657" s="26">
        <f>IFERROR(IF(P657=0,0,MAX($L$4:L656)+1),0)</f>
      </c>
      <c r="M657" s="5">
        <f t="shared" si="191"/>
      </c>
      <c r="N657" s="5">
        <f t="shared" si="192"/>
      </c>
      <c r="P657" s="86">
        <f t="shared" si="180"/>
      </c>
      <c r="Q657" s="86">
        <f t="shared" si="181"/>
      </c>
      <c r="R657" s="86">
        <f t="shared" si="182"/>
      </c>
      <c r="S657" s="86">
        <f t="shared" si="183"/>
      </c>
      <c r="T657" s="86">
        <f t="shared" si="193"/>
        <v/>
      </c>
      <c r="U657" s="86">
        <f t="shared" si="194"/>
        <v/>
      </c>
      <c r="V657" s="86">
        <f t="shared" si="195"/>
        <v/>
      </c>
      <c r="W657" s="87">
        <f t="shared" si="184"/>
      </c>
      <c r="X657" s="88"/>
      <c r="Y657" s="88"/>
      <c r="Z657" s="88"/>
      <c r="AA657" s="88"/>
      <c r="AB657" s="88"/>
      <c r="AD657" s="86">
        <f t="shared" si="185"/>
      </c>
      <c r="AE657" s="86">
        <f t="shared" si="186"/>
      </c>
      <c r="AG657" s="86">
        <f t="shared" si="187"/>
      </c>
      <c r="AH657" s="86">
        <f t="shared" si="188"/>
      </c>
      <c r="AI657" s="86">
        <f t="shared" si="189"/>
      </c>
    </row>
    <row r="658" spans="6:35" x14ac:dyDescent="0.3">
      <c r="F658" s="26">
        <f>IF(G658=1,MAX($F$4:F657)+1,"")</f>
        <v/>
      </c>
      <c r="G658" s="26">
        <f>COUNTIF($H$5:H658,H658)</f>
      </c>
      <c r="H658" s="26">
        <f t="shared" si="190"/>
      </c>
      <c r="I658" s="26">
        <f>COUNTIF($J$4:$J658,1)</f>
      </c>
      <c r="J658" s="26">
        <f>COUNTIF($S$5:$S658,S658)</f>
      </c>
      <c r="K658" s="26">
        <f t="shared" si="179"/>
      </c>
      <c r="L658" s="26">
        <f>IFERROR(IF(P658=0,0,MAX($L$4:L657)+1),0)</f>
      </c>
      <c r="M658" s="5">
        <f t="shared" si="191"/>
      </c>
      <c r="N658" s="5">
        <f t="shared" si="192"/>
      </c>
      <c r="P658" s="86">
        <f t="shared" si="180"/>
      </c>
      <c r="Q658" s="86">
        <f t="shared" si="181"/>
      </c>
      <c r="R658" s="86">
        <f t="shared" si="182"/>
      </c>
      <c r="S658" s="86">
        <f t="shared" si="183"/>
      </c>
      <c r="T658" s="86">
        <f t="shared" si="193"/>
        <v/>
      </c>
      <c r="U658" s="86">
        <f t="shared" si="194"/>
        <v/>
      </c>
      <c r="V658" s="86">
        <f t="shared" si="195"/>
        <v/>
      </c>
      <c r="W658" s="87">
        <f t="shared" si="184"/>
      </c>
      <c r="X658" s="88"/>
      <c r="Y658" s="88"/>
      <c r="Z658" s="88"/>
      <c r="AA658" s="88"/>
      <c r="AB658" s="88"/>
      <c r="AD658" s="86">
        <f t="shared" si="185"/>
      </c>
      <c r="AE658" s="86">
        <f t="shared" si="186"/>
      </c>
      <c r="AG658" s="86">
        <f t="shared" si="187"/>
      </c>
      <c r="AH658" s="86">
        <f t="shared" si="188"/>
      </c>
      <c r="AI658" s="86">
        <f t="shared" si="189"/>
      </c>
    </row>
    <row r="659" spans="6:35" x14ac:dyDescent="0.3">
      <c r="F659" s="26">
        <f>IF(G659=1,MAX($F$4:F658)+1,"")</f>
        <v/>
      </c>
      <c r="G659" s="26">
        <f>COUNTIF($H$5:H659,H659)</f>
      </c>
      <c r="H659" s="26">
        <f t="shared" si="190"/>
      </c>
      <c r="I659" s="26">
        <f>COUNTIF($J$4:$J659,1)</f>
      </c>
      <c r="J659" s="26">
        <f>COUNTIF($S$5:$S659,S659)</f>
      </c>
      <c r="K659" s="26">
        <f t="shared" si="179"/>
      </c>
      <c r="L659" s="26">
        <f>IFERROR(IF(P659=0,0,MAX($L$4:L658)+1),0)</f>
      </c>
      <c r="M659" s="5">
        <f t="shared" si="191"/>
      </c>
      <c r="N659" s="5">
        <f t="shared" si="192"/>
      </c>
      <c r="P659" s="86">
        <f t="shared" si="180"/>
      </c>
      <c r="Q659" s="86">
        <f t="shared" si="181"/>
      </c>
      <c r="R659" s="86">
        <f t="shared" si="182"/>
      </c>
      <c r="S659" s="86">
        <f t="shared" si="183"/>
      </c>
      <c r="T659" s="86">
        <f t="shared" si="193"/>
        <v/>
      </c>
      <c r="U659" s="86">
        <f t="shared" si="194"/>
        <v/>
      </c>
      <c r="V659" s="86">
        <f t="shared" si="195"/>
        <v/>
      </c>
      <c r="W659" s="87">
        <f t="shared" si="184"/>
      </c>
      <c r="X659" s="88"/>
      <c r="Y659" s="88"/>
      <c r="Z659" s="88"/>
      <c r="AA659" s="88"/>
      <c r="AB659" s="88"/>
      <c r="AD659" s="86">
        <f t="shared" si="185"/>
      </c>
      <c r="AE659" s="86">
        <f t="shared" si="186"/>
      </c>
      <c r="AG659" s="86">
        <f t="shared" si="187"/>
      </c>
      <c r="AH659" s="86">
        <f t="shared" si="188"/>
      </c>
      <c r="AI659" s="86">
        <f t="shared" si="189"/>
      </c>
    </row>
    <row r="660" spans="6:35" x14ac:dyDescent="0.3">
      <c r="F660" s="26">
        <f>IF(G660=1,MAX($F$4:F659)+1,"")</f>
        <v/>
      </c>
      <c r="G660" s="26">
        <f>COUNTIF($H$5:H660,H660)</f>
      </c>
      <c r="H660" s="26">
        <f t="shared" si="190"/>
      </c>
      <c r="I660" s="26">
        <f>COUNTIF($J$4:$J660,1)</f>
      </c>
      <c r="J660" s="26">
        <f>COUNTIF($S$5:$S660,S660)</f>
      </c>
      <c r="K660" s="26">
        <f t="shared" si="179"/>
      </c>
      <c r="L660" s="26">
        <f>IFERROR(IF(P660=0,0,MAX($L$4:L659)+1),0)</f>
      </c>
      <c r="M660" s="5">
        <f t="shared" si="191"/>
      </c>
      <c r="N660" s="5">
        <f t="shared" si="192"/>
      </c>
      <c r="P660" s="86">
        <f t="shared" si="180"/>
      </c>
      <c r="Q660" s="86">
        <f t="shared" si="181"/>
      </c>
      <c r="R660" s="86">
        <f t="shared" si="182"/>
      </c>
      <c r="S660" s="86">
        <f t="shared" si="183"/>
      </c>
      <c r="T660" s="86">
        <f t="shared" si="193"/>
        <v/>
      </c>
      <c r="U660" s="86">
        <f t="shared" si="194"/>
        <v/>
      </c>
      <c r="V660" s="86">
        <f t="shared" si="195"/>
        <v/>
      </c>
      <c r="W660" s="87">
        <f t="shared" si="184"/>
      </c>
      <c r="X660" s="88"/>
      <c r="Y660" s="88"/>
      <c r="Z660" s="88"/>
      <c r="AA660" s="88"/>
      <c r="AB660" s="88"/>
      <c r="AD660" s="86">
        <f t="shared" si="185"/>
      </c>
      <c r="AE660" s="86">
        <f t="shared" si="186"/>
      </c>
      <c r="AG660" s="86">
        <f t="shared" si="187"/>
      </c>
      <c r="AH660" s="86">
        <f t="shared" si="188"/>
      </c>
      <c r="AI660" s="86">
        <f t="shared" si="189"/>
      </c>
    </row>
    <row r="661" spans="6:35" x14ac:dyDescent="0.3">
      <c r="F661" s="26">
        <f>IF(G661=1,MAX($F$4:F660)+1,"")</f>
        <v/>
      </c>
      <c r="G661" s="26">
        <f>COUNTIF($H$5:H661,H661)</f>
      </c>
      <c r="H661" s="26">
        <f t="shared" si="190"/>
      </c>
      <c r="I661" s="26">
        <f>COUNTIF($J$4:$J661,1)</f>
      </c>
      <c r="J661" s="26">
        <f>COUNTIF($S$5:$S661,S661)</f>
      </c>
      <c r="K661" s="26">
        <f t="shared" si="179"/>
      </c>
      <c r="L661" s="26">
        <f>IFERROR(IF(P661=0,0,MAX($L$4:L660)+1),0)</f>
      </c>
      <c r="M661" s="5">
        <f t="shared" si="191"/>
      </c>
      <c r="N661" s="5">
        <f t="shared" si="192"/>
      </c>
      <c r="P661" s="86">
        <f t="shared" si="180"/>
      </c>
      <c r="Q661" s="86">
        <f t="shared" si="181"/>
      </c>
      <c r="R661" s="86">
        <f t="shared" si="182"/>
      </c>
      <c r="S661" s="86">
        <f t="shared" si="183"/>
      </c>
      <c r="T661" s="86">
        <f t="shared" si="193"/>
        <v/>
      </c>
      <c r="U661" s="86">
        <f t="shared" si="194"/>
        <v/>
      </c>
      <c r="V661" s="86">
        <f t="shared" si="195"/>
        <v/>
      </c>
      <c r="W661" s="87">
        <f t="shared" si="184"/>
      </c>
      <c r="X661" s="88"/>
      <c r="Y661" s="88"/>
      <c r="Z661" s="88"/>
      <c r="AA661" s="88"/>
      <c r="AB661" s="88"/>
      <c r="AD661" s="86">
        <f t="shared" si="185"/>
      </c>
      <c r="AE661" s="86">
        <f t="shared" si="186"/>
      </c>
      <c r="AG661" s="86">
        <f t="shared" si="187"/>
      </c>
      <c r="AH661" s="86">
        <f t="shared" si="188"/>
      </c>
      <c r="AI661" s="86">
        <f t="shared" si="189"/>
      </c>
    </row>
    <row r="662" spans="6:35" x14ac:dyDescent="0.3">
      <c r="F662" s="26">
        <f>IF(G662=1,MAX($F$4:F661)+1,"")</f>
        <v/>
      </c>
      <c r="G662" s="26">
        <f>COUNTIF($H$5:H662,H662)</f>
      </c>
      <c r="H662" s="26">
        <f t="shared" si="190"/>
      </c>
      <c r="I662" s="26">
        <f>COUNTIF($J$4:$J662,1)</f>
      </c>
      <c r="J662" s="26">
        <f>COUNTIF($S$5:$S662,S662)</f>
      </c>
      <c r="K662" s="26">
        <f t="shared" si="179"/>
      </c>
      <c r="L662" s="26">
        <f>IFERROR(IF(P662=0,0,MAX($L$4:L661)+1),0)</f>
      </c>
      <c r="M662" s="5">
        <f t="shared" si="191"/>
      </c>
      <c r="N662" s="5">
        <f t="shared" si="192"/>
      </c>
      <c r="P662" s="86">
        <f t="shared" si="180"/>
      </c>
      <c r="Q662" s="86">
        <f t="shared" si="181"/>
      </c>
      <c r="R662" s="86">
        <f t="shared" si="182"/>
      </c>
      <c r="S662" s="86">
        <f t="shared" si="183"/>
      </c>
      <c r="T662" s="86">
        <f t="shared" si="193"/>
        <v/>
      </c>
      <c r="U662" s="86">
        <f t="shared" si="194"/>
        <v/>
      </c>
      <c r="V662" s="86">
        <f t="shared" si="195"/>
        <v/>
      </c>
      <c r="W662" s="87">
        <f t="shared" si="184"/>
      </c>
      <c r="X662" s="88"/>
      <c r="Y662" s="88"/>
      <c r="Z662" s="88"/>
      <c r="AA662" s="88"/>
      <c r="AB662" s="88"/>
      <c r="AD662" s="86">
        <f t="shared" si="185"/>
      </c>
      <c r="AE662" s="86">
        <f t="shared" si="186"/>
      </c>
      <c r="AG662" s="86">
        <f t="shared" si="187"/>
      </c>
      <c r="AH662" s="86">
        <f t="shared" si="188"/>
      </c>
      <c r="AI662" s="86">
        <f t="shared" si="189"/>
      </c>
    </row>
    <row r="663" spans="6:35" x14ac:dyDescent="0.3">
      <c r="F663" s="26">
        <f>IF(G663=1,MAX($F$4:F662)+1,"")</f>
        <v/>
      </c>
      <c r="G663" s="26">
        <f>COUNTIF($H$5:H663,H663)</f>
      </c>
      <c r="H663" s="26">
        <f t="shared" si="190"/>
      </c>
      <c r="I663" s="26">
        <f>COUNTIF($J$4:$J663,1)</f>
      </c>
      <c r="J663" s="26">
        <f>COUNTIF($S$5:$S663,S663)</f>
      </c>
      <c r="K663" s="26">
        <f t="shared" si="179"/>
      </c>
      <c r="L663" s="26">
        <f>IFERROR(IF(P663=0,0,MAX($L$4:L662)+1),0)</f>
      </c>
      <c r="M663" s="5">
        <f t="shared" si="191"/>
      </c>
      <c r="N663" s="5">
        <f t="shared" si="192"/>
      </c>
      <c r="P663" s="86">
        <f t="shared" si="180"/>
      </c>
      <c r="Q663" s="86">
        <f t="shared" si="181"/>
      </c>
      <c r="R663" s="86">
        <f t="shared" si="182"/>
      </c>
      <c r="S663" s="86">
        <f t="shared" si="183"/>
      </c>
      <c r="T663" s="86">
        <f t="shared" si="193"/>
        <v/>
      </c>
      <c r="U663" s="86">
        <f t="shared" si="194"/>
        <v/>
      </c>
      <c r="V663" s="86">
        <f t="shared" si="195"/>
        <v/>
      </c>
      <c r="W663" s="87">
        <f t="shared" si="184"/>
      </c>
      <c r="X663" s="88"/>
      <c r="Y663" s="88"/>
      <c r="Z663" s="88"/>
      <c r="AA663" s="88"/>
      <c r="AB663" s="88"/>
      <c r="AD663" s="86">
        <f t="shared" si="185"/>
      </c>
      <c r="AE663" s="86">
        <f t="shared" si="186"/>
      </c>
      <c r="AG663" s="86">
        <f t="shared" si="187"/>
      </c>
      <c r="AH663" s="86">
        <f t="shared" si="188"/>
      </c>
      <c r="AI663" s="86">
        <f t="shared" si="189"/>
      </c>
    </row>
    <row r="664" spans="6:35" x14ac:dyDescent="0.3">
      <c r="F664" s="26">
        <f>IF(G664=1,MAX($F$4:F663)+1,"")</f>
        <v/>
      </c>
      <c r="G664" s="26">
        <f>COUNTIF($H$5:H664,H664)</f>
      </c>
      <c r="H664" s="26">
        <f t="shared" si="190"/>
      </c>
      <c r="I664" s="26">
        <f>COUNTIF($J$4:$J664,1)</f>
      </c>
      <c r="J664" s="26">
        <f>COUNTIF($S$5:$S664,S664)</f>
      </c>
      <c r="K664" s="26">
        <f t="shared" si="179"/>
      </c>
      <c r="L664" s="26">
        <f>IFERROR(IF(P664=0,0,MAX($L$4:L663)+1),0)</f>
      </c>
      <c r="M664" s="5">
        <f t="shared" si="191"/>
      </c>
      <c r="N664" s="5">
        <f t="shared" si="192"/>
      </c>
      <c r="P664" s="86">
        <f t="shared" si="180"/>
      </c>
      <c r="Q664" s="86">
        <f t="shared" si="181"/>
      </c>
      <c r="R664" s="86">
        <f t="shared" si="182"/>
      </c>
      <c r="S664" s="86">
        <f t="shared" si="183"/>
      </c>
      <c r="T664" s="86">
        <f t="shared" si="193"/>
        <v/>
      </c>
      <c r="U664" s="86">
        <f t="shared" si="194"/>
        <v/>
      </c>
      <c r="V664" s="86">
        <f t="shared" si="195"/>
        <v/>
      </c>
      <c r="W664" s="87">
        <f t="shared" si="184"/>
      </c>
      <c r="X664" s="88"/>
      <c r="Y664" s="88"/>
      <c r="Z664" s="88"/>
      <c r="AA664" s="88"/>
      <c r="AB664" s="88"/>
      <c r="AD664" s="86">
        <f t="shared" si="185"/>
      </c>
      <c r="AE664" s="86">
        <f t="shared" si="186"/>
      </c>
      <c r="AG664" s="86">
        <f t="shared" si="187"/>
      </c>
      <c r="AH664" s="86">
        <f t="shared" si="188"/>
      </c>
      <c r="AI664" s="86">
        <f t="shared" si="189"/>
      </c>
    </row>
    <row r="665" spans="6:35" x14ac:dyDescent="0.3">
      <c r="F665" s="26">
        <f>IF(G665=1,MAX($F$4:F664)+1,"")</f>
        <v/>
      </c>
      <c r="G665" s="26">
        <f>COUNTIF($H$5:H665,H665)</f>
      </c>
      <c r="H665" s="26">
        <f t="shared" si="190"/>
      </c>
      <c r="I665" s="26">
        <f>COUNTIF($J$4:$J665,1)</f>
      </c>
      <c r="J665" s="26">
        <f>COUNTIF($S$5:$S665,S665)</f>
      </c>
      <c r="K665" s="26">
        <f t="shared" si="179"/>
      </c>
      <c r="L665" s="26">
        <f>IFERROR(IF(P665=0,0,MAX($L$4:L664)+1),0)</f>
      </c>
      <c r="M665" s="5">
        <f t="shared" si="191"/>
      </c>
      <c r="N665" s="5">
        <f t="shared" si="192"/>
      </c>
      <c r="P665" s="86">
        <f t="shared" si="180"/>
      </c>
      <c r="Q665" s="86">
        <f t="shared" si="181"/>
      </c>
      <c r="R665" s="86">
        <f t="shared" si="182"/>
      </c>
      <c r="S665" s="86">
        <f t="shared" si="183"/>
      </c>
      <c r="T665" s="86">
        <f t="shared" si="193"/>
        <v/>
      </c>
      <c r="U665" s="86">
        <f t="shared" si="194"/>
        <v/>
      </c>
      <c r="V665" s="86">
        <f t="shared" si="195"/>
        <v/>
      </c>
      <c r="W665" s="87">
        <f t="shared" si="184"/>
      </c>
      <c r="X665" s="88"/>
      <c r="Y665" s="88"/>
      <c r="Z665" s="88"/>
      <c r="AA665" s="88"/>
      <c r="AB665" s="88"/>
      <c r="AD665" s="86">
        <f t="shared" si="185"/>
      </c>
      <c r="AE665" s="86">
        <f t="shared" si="186"/>
      </c>
      <c r="AG665" s="86">
        <f t="shared" si="187"/>
      </c>
      <c r="AH665" s="86">
        <f t="shared" si="188"/>
      </c>
      <c r="AI665" s="86">
        <f t="shared" si="189"/>
      </c>
    </row>
    <row r="666" spans="6:35" x14ac:dyDescent="0.3">
      <c r="F666" s="26">
        <f>IF(G666=1,MAX($F$4:F665)+1,"")</f>
        <v/>
      </c>
      <c r="G666" s="26">
        <f>COUNTIF($H$5:H666,H666)</f>
      </c>
      <c r="H666" s="26">
        <f t="shared" si="190"/>
      </c>
      <c r="I666" s="26">
        <f>COUNTIF($J$4:$J666,1)</f>
      </c>
      <c r="J666" s="26">
        <f>COUNTIF($S$5:$S666,S666)</f>
      </c>
      <c r="K666" s="26">
        <f t="shared" si="179"/>
      </c>
      <c r="L666" s="26">
        <f>IFERROR(IF(P666=0,0,MAX($L$4:L665)+1),0)</f>
      </c>
      <c r="M666" s="5">
        <f t="shared" si="191"/>
      </c>
      <c r="N666" s="5">
        <f t="shared" si="192"/>
      </c>
      <c r="P666" s="86">
        <f t="shared" si="180"/>
      </c>
      <c r="Q666" s="86">
        <f t="shared" si="181"/>
      </c>
      <c r="R666" s="86">
        <f t="shared" si="182"/>
      </c>
      <c r="S666" s="86">
        <f t="shared" si="183"/>
      </c>
      <c r="T666" s="86">
        <f t="shared" si="193"/>
        <v/>
      </c>
      <c r="U666" s="86">
        <f t="shared" si="194"/>
        <v/>
      </c>
      <c r="V666" s="86">
        <f t="shared" si="195"/>
        <v/>
      </c>
      <c r="W666" s="87">
        <f t="shared" si="184"/>
      </c>
      <c r="X666" s="88"/>
      <c r="Y666" s="88"/>
      <c r="Z666" s="88"/>
      <c r="AA666" s="88"/>
      <c r="AB666" s="88"/>
      <c r="AD666" s="86">
        <f t="shared" si="185"/>
      </c>
      <c r="AE666" s="86">
        <f t="shared" si="186"/>
      </c>
      <c r="AG666" s="86">
        <f t="shared" si="187"/>
      </c>
      <c r="AH666" s="86">
        <f t="shared" si="188"/>
      </c>
      <c r="AI666" s="86">
        <f t="shared" si="189"/>
      </c>
    </row>
    <row r="667" spans="6:35" x14ac:dyDescent="0.3">
      <c r="F667" s="26">
        <f>IF(G667=1,MAX($F$4:F666)+1,"")</f>
        <v/>
      </c>
      <c r="G667" s="26">
        <f>COUNTIF($H$5:H667,H667)</f>
      </c>
      <c r="H667" s="26">
        <f t="shared" si="190"/>
      </c>
      <c r="I667" s="26">
        <f>COUNTIF($J$4:$J667,1)</f>
      </c>
      <c r="J667" s="26">
        <f>COUNTIF($S$5:$S667,S667)</f>
      </c>
      <c r="K667" s="26">
        <f t="shared" si="179"/>
      </c>
      <c r="L667" s="26">
        <f>IFERROR(IF(P667=0,0,MAX($L$4:L666)+1),0)</f>
      </c>
      <c r="M667" s="5">
        <f t="shared" si="191"/>
      </c>
      <c r="N667" s="5">
        <f t="shared" si="192"/>
      </c>
      <c r="P667" s="86">
        <f t="shared" si="180"/>
      </c>
      <c r="Q667" s="86">
        <f t="shared" si="181"/>
      </c>
      <c r="R667" s="86">
        <f t="shared" si="182"/>
      </c>
      <c r="S667" s="86">
        <f t="shared" si="183"/>
      </c>
      <c r="T667" s="86">
        <f t="shared" si="193"/>
        <v/>
      </c>
      <c r="U667" s="86">
        <f t="shared" si="194"/>
        <v/>
      </c>
      <c r="V667" s="86">
        <f t="shared" si="195"/>
        <v/>
      </c>
      <c r="W667" s="87">
        <f t="shared" si="184"/>
      </c>
      <c r="X667" s="88"/>
      <c r="Y667" s="88"/>
      <c r="Z667" s="88"/>
      <c r="AA667" s="88"/>
      <c r="AB667" s="88"/>
      <c r="AD667" s="86">
        <f t="shared" si="185"/>
      </c>
      <c r="AE667" s="86">
        <f t="shared" si="186"/>
      </c>
      <c r="AG667" s="86">
        <f t="shared" si="187"/>
      </c>
      <c r="AH667" s="86">
        <f t="shared" si="188"/>
      </c>
      <c r="AI667" s="86">
        <f t="shared" si="189"/>
      </c>
    </row>
    <row r="668" spans="6:35" x14ac:dyDescent="0.3">
      <c r="F668" s="26">
        <f>IF(G668=1,MAX($F$4:F667)+1,"")</f>
        <v/>
      </c>
      <c r="G668" s="26">
        <f>COUNTIF($H$5:H668,H668)</f>
      </c>
      <c r="H668" s="26">
        <f t="shared" si="190"/>
      </c>
      <c r="I668" s="26">
        <f>COUNTIF($J$4:$J668,1)</f>
      </c>
      <c r="J668" s="26">
        <f>COUNTIF($S$5:$S668,S668)</f>
      </c>
      <c r="K668" s="26">
        <f t="shared" si="179"/>
      </c>
      <c r="L668" s="26">
        <f>IFERROR(IF(P668=0,0,MAX($L$4:L667)+1),0)</f>
      </c>
      <c r="M668" s="5">
        <f t="shared" si="191"/>
      </c>
      <c r="N668" s="5">
        <f t="shared" si="192"/>
      </c>
      <c r="P668" s="86">
        <f t="shared" si="180"/>
      </c>
      <c r="Q668" s="86">
        <f t="shared" si="181"/>
      </c>
      <c r="R668" s="86">
        <f t="shared" si="182"/>
      </c>
      <c r="S668" s="86">
        <f t="shared" si="183"/>
      </c>
      <c r="T668" s="86">
        <f t="shared" si="193"/>
        <v/>
      </c>
      <c r="U668" s="86">
        <f t="shared" si="194"/>
        <v/>
      </c>
      <c r="V668" s="86">
        <f t="shared" si="195"/>
        <v/>
      </c>
      <c r="W668" s="87">
        <f t="shared" si="184"/>
      </c>
      <c r="X668" s="88"/>
      <c r="Y668" s="88"/>
      <c r="Z668" s="88"/>
      <c r="AA668" s="88"/>
      <c r="AB668" s="88"/>
      <c r="AD668" s="86">
        <f t="shared" si="185"/>
      </c>
      <c r="AE668" s="86">
        <f t="shared" si="186"/>
      </c>
      <c r="AG668" s="86">
        <f t="shared" si="187"/>
      </c>
      <c r="AH668" s="86">
        <f t="shared" si="188"/>
      </c>
      <c r="AI668" s="86">
        <f t="shared" si="189"/>
      </c>
    </row>
    <row r="669" spans="6:35" x14ac:dyDescent="0.3">
      <c r="F669" s="26">
        <f>IF(G669=1,MAX($F$4:F668)+1,"")</f>
        <v/>
      </c>
      <c r="G669" s="26">
        <f>COUNTIF($H$5:H669,H669)</f>
      </c>
      <c r="H669" s="26">
        <f t="shared" si="190"/>
      </c>
      <c r="I669" s="26">
        <f>COUNTIF($J$4:$J669,1)</f>
      </c>
      <c r="J669" s="26">
        <f>COUNTIF($S$5:$S669,S669)</f>
      </c>
      <c r="K669" s="26">
        <f t="shared" si="179"/>
      </c>
      <c r="L669" s="26">
        <f>IFERROR(IF(P669=0,0,MAX($L$4:L668)+1),0)</f>
      </c>
      <c r="M669" s="5">
        <f t="shared" si="191"/>
      </c>
      <c r="N669" s="5">
        <f t="shared" si="192"/>
      </c>
      <c r="P669" s="86">
        <f t="shared" si="180"/>
      </c>
      <c r="Q669" s="86">
        <f t="shared" si="181"/>
      </c>
      <c r="R669" s="86">
        <f t="shared" si="182"/>
      </c>
      <c r="S669" s="86">
        <f t="shared" si="183"/>
      </c>
      <c r="T669" s="86">
        <f t="shared" si="193"/>
        <v/>
      </c>
      <c r="U669" s="86">
        <f t="shared" si="194"/>
        <v/>
      </c>
      <c r="V669" s="86">
        <f t="shared" si="195"/>
        <v/>
      </c>
      <c r="W669" s="87">
        <f t="shared" si="184"/>
      </c>
      <c r="X669" s="88"/>
      <c r="Y669" s="88"/>
      <c r="Z669" s="88"/>
      <c r="AA669" s="88"/>
      <c r="AB669" s="88"/>
      <c r="AD669" s="86">
        <f t="shared" si="185"/>
      </c>
      <c r="AE669" s="86">
        <f t="shared" si="186"/>
      </c>
      <c r="AG669" s="86">
        <f t="shared" si="187"/>
      </c>
      <c r="AH669" s="86">
        <f t="shared" si="188"/>
      </c>
      <c r="AI669" s="86">
        <f t="shared" si="189"/>
      </c>
    </row>
    <row r="670" spans="6:35" x14ac:dyDescent="0.3">
      <c r="F670" s="26">
        <f>IF(G670=1,MAX($F$4:F669)+1,"")</f>
        <v/>
      </c>
      <c r="G670" s="26">
        <f>COUNTIF($H$5:H670,H670)</f>
      </c>
      <c r="H670" s="26">
        <f t="shared" si="190"/>
      </c>
      <c r="I670" s="26">
        <f>COUNTIF($J$4:$J670,1)</f>
      </c>
      <c r="J670" s="26">
        <f>COUNTIF($S$5:$S670,S670)</f>
      </c>
      <c r="K670" s="26">
        <f t="shared" si="179"/>
      </c>
      <c r="L670" s="26">
        <f>IFERROR(IF(P670=0,0,MAX($L$4:L669)+1),0)</f>
      </c>
      <c r="M670" s="5">
        <f t="shared" si="191"/>
      </c>
      <c r="N670" s="5">
        <f t="shared" si="192"/>
      </c>
      <c r="P670" s="86">
        <f t="shared" si="180"/>
      </c>
      <c r="Q670" s="86">
        <f t="shared" si="181"/>
      </c>
      <c r="R670" s="86">
        <f t="shared" si="182"/>
      </c>
      <c r="S670" s="86">
        <f t="shared" si="183"/>
      </c>
      <c r="T670" s="86">
        <f t="shared" si="193"/>
        <v/>
      </c>
      <c r="U670" s="86">
        <f t="shared" si="194"/>
        <v/>
      </c>
      <c r="V670" s="86">
        <f t="shared" si="195"/>
        <v/>
      </c>
      <c r="W670" s="87">
        <f t="shared" si="184"/>
      </c>
      <c r="X670" s="88"/>
      <c r="Y670" s="88"/>
      <c r="Z670" s="88"/>
      <c r="AA670" s="88"/>
      <c r="AB670" s="88"/>
      <c r="AD670" s="86">
        <f t="shared" si="185"/>
      </c>
      <c r="AE670" s="86">
        <f t="shared" si="186"/>
      </c>
      <c r="AG670" s="86">
        <f t="shared" si="187"/>
      </c>
      <c r="AH670" s="86">
        <f t="shared" si="188"/>
      </c>
      <c r="AI670" s="86">
        <f t="shared" si="189"/>
      </c>
    </row>
    <row r="671" spans="6:35" x14ac:dyDescent="0.3">
      <c r="F671" s="26">
        <f>IF(G671=1,MAX($F$4:F670)+1,"")</f>
        <v/>
      </c>
      <c r="G671" s="26">
        <f>COUNTIF($H$5:H671,H671)</f>
      </c>
      <c r="H671" s="26">
        <f t="shared" si="190"/>
      </c>
      <c r="I671" s="26">
        <f>COUNTIF($J$4:$J671,1)</f>
      </c>
      <c r="J671" s="26">
        <f>COUNTIF($S$5:$S671,S671)</f>
      </c>
      <c r="K671" s="26">
        <f t="shared" si="179"/>
      </c>
      <c r="L671" s="26">
        <f>IFERROR(IF(P671=0,0,MAX($L$4:L670)+1),0)</f>
      </c>
      <c r="M671" s="5">
        <f t="shared" si="191"/>
      </c>
      <c r="N671" s="5">
        <f t="shared" si="192"/>
      </c>
      <c r="P671" s="86">
        <f t="shared" si="180"/>
      </c>
      <c r="Q671" s="86">
        <f t="shared" si="181"/>
      </c>
      <c r="R671" s="86">
        <f t="shared" si="182"/>
      </c>
      <c r="S671" s="86">
        <f t="shared" si="183"/>
      </c>
      <c r="T671" s="86">
        <f t="shared" si="193"/>
        <v/>
      </c>
      <c r="U671" s="86">
        <f t="shared" si="194"/>
        <v/>
      </c>
      <c r="V671" s="86">
        <f t="shared" si="195"/>
        <v/>
      </c>
      <c r="W671" s="87">
        <f t="shared" si="184"/>
      </c>
      <c r="X671" s="88"/>
      <c r="Y671" s="88"/>
      <c r="Z671" s="88"/>
      <c r="AA671" s="88"/>
      <c r="AB671" s="88"/>
      <c r="AD671" s="86">
        <f t="shared" si="185"/>
      </c>
      <c r="AE671" s="86">
        <f t="shared" si="186"/>
      </c>
      <c r="AG671" s="86">
        <f t="shared" si="187"/>
      </c>
      <c r="AH671" s="86">
        <f t="shared" si="188"/>
      </c>
      <c r="AI671" s="86">
        <f t="shared" si="189"/>
      </c>
    </row>
    <row r="672" spans="6:35" x14ac:dyDescent="0.3">
      <c r="F672" s="26">
        <f>IF(G672=1,MAX($F$4:F671)+1,"")</f>
        <v/>
      </c>
      <c r="G672" s="26">
        <f>COUNTIF($H$5:H672,H672)</f>
      </c>
      <c r="H672" s="26">
        <f t="shared" si="190"/>
      </c>
      <c r="I672" s="26">
        <f>COUNTIF($J$4:$J672,1)</f>
      </c>
      <c r="J672" s="26">
        <f>COUNTIF($S$5:$S672,S672)</f>
      </c>
      <c r="K672" s="26">
        <f t="shared" si="179"/>
      </c>
      <c r="L672" s="26">
        <f>IFERROR(IF(P672=0,0,MAX($L$4:L671)+1),0)</f>
      </c>
      <c r="M672" s="5">
        <f t="shared" si="191"/>
      </c>
      <c r="N672" s="5">
        <f t="shared" si="192"/>
      </c>
      <c r="P672" s="86">
        <f t="shared" si="180"/>
      </c>
      <c r="Q672" s="86">
        <f t="shared" si="181"/>
      </c>
      <c r="R672" s="86">
        <f t="shared" si="182"/>
      </c>
      <c r="S672" s="86">
        <f t="shared" si="183"/>
      </c>
      <c r="T672" s="86">
        <f t="shared" si="193"/>
        <v/>
      </c>
      <c r="U672" s="86">
        <f t="shared" si="194"/>
        <v/>
      </c>
      <c r="V672" s="86">
        <f t="shared" si="195"/>
        <v/>
      </c>
      <c r="W672" s="87">
        <f t="shared" si="184"/>
      </c>
      <c r="X672" s="88"/>
      <c r="Y672" s="88"/>
      <c r="Z672" s="88"/>
      <c r="AA672" s="88"/>
      <c r="AB672" s="88"/>
      <c r="AD672" s="86">
        <f t="shared" si="185"/>
      </c>
      <c r="AE672" s="86">
        <f t="shared" si="186"/>
      </c>
      <c r="AG672" s="86">
        <f t="shared" si="187"/>
      </c>
      <c r="AH672" s="86">
        <f t="shared" si="188"/>
      </c>
      <c r="AI672" s="86">
        <f t="shared" si="189"/>
      </c>
    </row>
    <row r="673" spans="6:35" x14ac:dyDescent="0.3">
      <c r="F673" s="26">
        <f>IF(G673=1,MAX($F$4:F672)+1,"")</f>
        <v/>
      </c>
      <c r="G673" s="26">
        <f>COUNTIF($H$5:H673,H673)</f>
      </c>
      <c r="H673" s="26">
        <f t="shared" si="190"/>
      </c>
      <c r="I673" s="26">
        <f>COUNTIF($J$4:$J673,1)</f>
      </c>
      <c r="J673" s="26">
        <f>COUNTIF($S$5:$S673,S673)</f>
      </c>
      <c r="K673" s="26">
        <f t="shared" si="179"/>
      </c>
      <c r="L673" s="26">
        <f>IFERROR(IF(P673=0,0,MAX($L$4:L672)+1),0)</f>
      </c>
      <c r="M673" s="5">
        <f t="shared" si="191"/>
      </c>
      <c r="N673" s="5">
        <f t="shared" si="192"/>
      </c>
      <c r="P673" s="86">
        <f t="shared" si="180"/>
      </c>
      <c r="Q673" s="86">
        <f t="shared" si="181"/>
      </c>
      <c r="R673" s="86">
        <f t="shared" si="182"/>
      </c>
      <c r="S673" s="86">
        <f t="shared" si="183"/>
      </c>
      <c r="T673" s="86">
        <f t="shared" si="193"/>
        <v/>
      </c>
      <c r="U673" s="86">
        <f t="shared" si="194"/>
        <v/>
      </c>
      <c r="V673" s="86">
        <f t="shared" si="195"/>
        <v/>
      </c>
      <c r="W673" s="87">
        <f t="shared" si="184"/>
      </c>
      <c r="X673" s="88"/>
      <c r="Y673" s="88"/>
      <c r="Z673" s="88"/>
      <c r="AA673" s="88"/>
      <c r="AB673" s="88"/>
      <c r="AD673" s="86">
        <f t="shared" si="185"/>
      </c>
      <c r="AE673" s="86">
        <f t="shared" si="186"/>
      </c>
      <c r="AG673" s="86">
        <f t="shared" si="187"/>
      </c>
      <c r="AH673" s="86">
        <f t="shared" si="188"/>
      </c>
      <c r="AI673" s="86">
        <f t="shared" si="189"/>
      </c>
    </row>
    <row r="674" spans="6:35" x14ac:dyDescent="0.3">
      <c r="F674" s="26">
        <f>IF(G674=1,MAX($F$4:F673)+1,"")</f>
        <v/>
      </c>
      <c r="G674" s="26">
        <f>COUNTIF($H$5:H674,H674)</f>
      </c>
      <c r="H674" s="26">
        <f t="shared" si="190"/>
      </c>
      <c r="I674" s="26">
        <f>COUNTIF($J$4:$J674,1)</f>
      </c>
      <c r="J674" s="26">
        <f>COUNTIF($S$5:$S674,S674)</f>
      </c>
      <c r="K674" s="26">
        <f t="shared" si="179"/>
      </c>
      <c r="L674" s="26">
        <f>IFERROR(IF(P674=0,0,MAX($L$4:L673)+1),0)</f>
      </c>
      <c r="M674" s="5">
        <f t="shared" si="191"/>
      </c>
      <c r="N674" s="5">
        <f t="shared" si="192"/>
      </c>
      <c r="P674" s="86">
        <f t="shared" si="180"/>
      </c>
      <c r="Q674" s="86">
        <f t="shared" si="181"/>
      </c>
      <c r="R674" s="86">
        <f t="shared" si="182"/>
      </c>
      <c r="S674" s="86">
        <f t="shared" si="183"/>
      </c>
      <c r="T674" s="86">
        <f t="shared" si="193"/>
        <v/>
      </c>
      <c r="U674" s="86">
        <f t="shared" si="194"/>
        <v/>
      </c>
      <c r="V674" s="86">
        <f t="shared" si="195"/>
        <v/>
      </c>
      <c r="W674" s="87">
        <f t="shared" si="184"/>
      </c>
      <c r="X674" s="88"/>
      <c r="Y674" s="88"/>
      <c r="Z674" s="88"/>
      <c r="AA674" s="88"/>
      <c r="AB674" s="88"/>
      <c r="AD674" s="86">
        <f t="shared" si="185"/>
      </c>
      <c r="AE674" s="86">
        <f t="shared" si="186"/>
      </c>
      <c r="AG674" s="86">
        <f t="shared" si="187"/>
      </c>
      <c r="AH674" s="86">
        <f t="shared" si="188"/>
      </c>
      <c r="AI674" s="86">
        <f t="shared" si="189"/>
      </c>
    </row>
    <row r="675" spans="6:35" x14ac:dyDescent="0.3">
      <c r="F675" s="26">
        <f>IF(G675=1,MAX($F$4:F674)+1,"")</f>
        <v/>
      </c>
      <c r="G675" s="26">
        <f>COUNTIF($H$5:H675,H675)</f>
      </c>
      <c r="H675" s="26">
        <f t="shared" si="190"/>
      </c>
      <c r="I675" s="26">
        <f>COUNTIF($J$4:$J675,1)</f>
      </c>
      <c r="J675" s="26">
        <f>COUNTIF($S$5:$S675,S675)</f>
      </c>
      <c r="K675" s="26">
        <f t="shared" si="179"/>
      </c>
      <c r="L675" s="26">
        <f>IFERROR(IF(P675=0,0,MAX($L$4:L674)+1),0)</f>
      </c>
      <c r="M675" s="5">
        <f t="shared" si="191"/>
      </c>
      <c r="N675" s="5">
        <f t="shared" si="192"/>
      </c>
      <c r="P675" s="86">
        <f t="shared" si="180"/>
      </c>
      <c r="Q675" s="86">
        <f t="shared" si="181"/>
      </c>
      <c r="R675" s="86">
        <f t="shared" si="182"/>
      </c>
      <c r="S675" s="86">
        <f t="shared" si="183"/>
      </c>
      <c r="T675" s="86">
        <f t="shared" si="193"/>
        <v/>
      </c>
      <c r="U675" s="86">
        <f t="shared" si="194"/>
        <v/>
      </c>
      <c r="V675" s="86">
        <f t="shared" si="195"/>
        <v/>
      </c>
      <c r="W675" s="87">
        <f t="shared" si="184"/>
      </c>
      <c r="X675" s="88"/>
      <c r="Y675" s="88"/>
      <c r="Z675" s="88"/>
      <c r="AA675" s="88"/>
      <c r="AB675" s="88"/>
      <c r="AD675" s="86">
        <f t="shared" si="185"/>
      </c>
      <c r="AE675" s="86">
        <f t="shared" si="186"/>
      </c>
      <c r="AG675" s="86">
        <f t="shared" si="187"/>
      </c>
      <c r="AH675" s="86">
        <f t="shared" si="188"/>
      </c>
      <c r="AI675" s="86">
        <f t="shared" si="189"/>
      </c>
    </row>
    <row r="676" spans="6:35" x14ac:dyDescent="0.3">
      <c r="F676" s="26">
        <f>IF(G676=1,MAX($F$4:F675)+1,"")</f>
        <v/>
      </c>
      <c r="G676" s="26">
        <f>COUNTIF($H$5:H676,H676)</f>
      </c>
      <c r="H676" s="26">
        <f t="shared" si="190"/>
      </c>
      <c r="I676" s="26">
        <f>COUNTIF($J$4:$J676,1)</f>
      </c>
      <c r="J676" s="26">
        <f>COUNTIF($S$5:$S676,S676)</f>
      </c>
      <c r="K676" s="26">
        <f t="shared" si="179"/>
      </c>
      <c r="L676" s="26">
        <f>IFERROR(IF(P676=0,0,MAX($L$4:L675)+1),0)</f>
      </c>
      <c r="M676" s="5">
        <f t="shared" si="191"/>
      </c>
      <c r="N676" s="5">
        <f t="shared" si="192"/>
      </c>
      <c r="P676" s="86">
        <f t="shared" si="180"/>
      </c>
      <c r="Q676" s="86">
        <f t="shared" si="181"/>
      </c>
      <c r="R676" s="86">
        <f t="shared" si="182"/>
      </c>
      <c r="S676" s="86">
        <f t="shared" si="183"/>
      </c>
      <c r="T676" s="86">
        <f t="shared" si="193"/>
        <v/>
      </c>
      <c r="U676" s="86">
        <f t="shared" si="194"/>
        <v/>
      </c>
      <c r="V676" s="86">
        <f t="shared" si="195"/>
        <v/>
      </c>
      <c r="W676" s="87">
        <f t="shared" si="184"/>
      </c>
      <c r="X676" s="88"/>
      <c r="Y676" s="88"/>
      <c r="Z676" s="88"/>
      <c r="AA676" s="88"/>
      <c r="AB676" s="88"/>
      <c r="AD676" s="86">
        <f t="shared" si="185"/>
      </c>
      <c r="AE676" s="86">
        <f t="shared" si="186"/>
      </c>
      <c r="AG676" s="86">
        <f t="shared" si="187"/>
      </c>
      <c r="AH676" s="86">
        <f t="shared" si="188"/>
      </c>
      <c r="AI676" s="86">
        <f t="shared" si="189"/>
      </c>
    </row>
    <row r="677" spans="6:35" x14ac:dyDescent="0.3">
      <c r="F677" s="26">
        <f>IF(G677=1,MAX($F$4:F676)+1,"")</f>
        <v/>
      </c>
      <c r="G677" s="26">
        <f>COUNTIF($H$5:H677,H677)</f>
      </c>
      <c r="H677" s="26">
        <f t="shared" si="190"/>
      </c>
      <c r="I677" s="26">
        <f>COUNTIF($J$4:$J677,1)</f>
      </c>
      <c r="J677" s="26">
        <f>COUNTIF($S$5:$S677,S677)</f>
      </c>
      <c r="K677" s="26">
        <f t="shared" si="179"/>
      </c>
      <c r="L677" s="26">
        <f>IFERROR(IF(P677=0,0,MAX($L$4:L676)+1),0)</f>
      </c>
      <c r="M677" s="5">
        <f t="shared" si="191"/>
      </c>
      <c r="N677" s="5">
        <f t="shared" si="192"/>
      </c>
      <c r="P677" s="86">
        <f t="shared" si="180"/>
      </c>
      <c r="Q677" s="86">
        <f t="shared" si="181"/>
      </c>
      <c r="R677" s="86">
        <f t="shared" si="182"/>
      </c>
      <c r="S677" s="86">
        <f t="shared" si="183"/>
      </c>
      <c r="T677" s="86">
        <f t="shared" si="193"/>
        <v/>
      </c>
      <c r="U677" s="86">
        <f t="shared" si="194"/>
        <v/>
      </c>
      <c r="V677" s="86">
        <f t="shared" si="195"/>
        <v/>
      </c>
      <c r="W677" s="87">
        <f t="shared" si="184"/>
      </c>
      <c r="X677" s="88"/>
      <c r="Y677" s="88"/>
      <c r="Z677" s="88"/>
      <c r="AA677" s="88"/>
      <c r="AB677" s="88"/>
      <c r="AD677" s="86">
        <f t="shared" si="185"/>
      </c>
      <c r="AE677" s="86">
        <f t="shared" si="186"/>
      </c>
      <c r="AG677" s="86">
        <f t="shared" si="187"/>
      </c>
      <c r="AH677" s="86">
        <f t="shared" si="188"/>
      </c>
      <c r="AI677" s="86">
        <f t="shared" si="189"/>
      </c>
    </row>
    <row r="678" spans="6:35" x14ac:dyDescent="0.3">
      <c r="F678" s="26">
        <f>IF(G678=1,MAX($F$4:F677)+1,"")</f>
        <v/>
      </c>
      <c r="G678" s="26">
        <f>COUNTIF($H$5:H678,H678)</f>
      </c>
      <c r="H678" s="26">
        <f t="shared" si="190"/>
      </c>
      <c r="I678" s="26">
        <f>COUNTIF($J$4:$J678,1)</f>
      </c>
      <c r="J678" s="26">
        <f>COUNTIF($S$5:$S678,S678)</f>
      </c>
      <c r="K678" s="26">
        <f t="shared" si="179"/>
      </c>
      <c r="L678" s="26">
        <f>IFERROR(IF(P678=0,0,MAX($L$4:L677)+1),0)</f>
      </c>
      <c r="M678" s="5">
        <f t="shared" si="191"/>
      </c>
      <c r="N678" s="5">
        <f t="shared" si="192"/>
      </c>
      <c r="P678" s="86">
        <f t="shared" si="180"/>
      </c>
      <c r="Q678" s="86">
        <f t="shared" si="181"/>
      </c>
      <c r="R678" s="86">
        <f t="shared" si="182"/>
      </c>
      <c r="S678" s="86">
        <f t="shared" si="183"/>
      </c>
      <c r="T678" s="86">
        <f t="shared" si="193"/>
        <v/>
      </c>
      <c r="U678" s="86">
        <f t="shared" si="194"/>
        <v/>
      </c>
      <c r="V678" s="86">
        <f t="shared" si="195"/>
        <v/>
      </c>
      <c r="W678" s="87">
        <f t="shared" si="184"/>
      </c>
      <c r="X678" s="88"/>
      <c r="Y678" s="88"/>
      <c r="Z678" s="88"/>
      <c r="AA678" s="88"/>
      <c r="AB678" s="88"/>
      <c r="AD678" s="86">
        <f t="shared" si="185"/>
      </c>
      <c r="AE678" s="86">
        <f t="shared" si="186"/>
      </c>
      <c r="AG678" s="86">
        <f t="shared" si="187"/>
      </c>
      <c r="AH678" s="86">
        <f t="shared" si="188"/>
      </c>
      <c r="AI678" s="86">
        <f t="shared" si="189"/>
      </c>
    </row>
    <row r="679" spans="6:35" x14ac:dyDescent="0.3">
      <c r="F679" s="26">
        <f>IF(G679=1,MAX($F$4:F678)+1,"")</f>
        <v/>
      </c>
      <c r="G679" s="26">
        <f>COUNTIF($H$5:H679,H679)</f>
      </c>
      <c r="H679" s="26">
        <f t="shared" si="190"/>
      </c>
      <c r="I679" s="26">
        <f>COUNTIF($J$4:$J679,1)</f>
      </c>
      <c r="J679" s="26">
        <f>COUNTIF($S$5:$S679,S679)</f>
      </c>
      <c r="K679" s="26">
        <f t="shared" si="179"/>
      </c>
      <c r="L679" s="26">
        <f>IFERROR(IF(P679=0,0,MAX($L$4:L678)+1),0)</f>
      </c>
      <c r="M679" s="5">
        <f t="shared" si="191"/>
      </c>
      <c r="N679" s="5">
        <f t="shared" si="192"/>
      </c>
      <c r="P679" s="86">
        <f t="shared" si="180"/>
      </c>
      <c r="Q679" s="86">
        <f t="shared" si="181"/>
      </c>
      <c r="R679" s="86">
        <f t="shared" si="182"/>
      </c>
      <c r="S679" s="86">
        <f t="shared" si="183"/>
      </c>
      <c r="T679" s="86">
        <f t="shared" si="193"/>
        <v/>
      </c>
      <c r="U679" s="86">
        <f t="shared" si="194"/>
        <v/>
      </c>
      <c r="V679" s="86">
        <f t="shared" si="195"/>
        <v/>
      </c>
      <c r="W679" s="87">
        <f t="shared" si="184"/>
      </c>
      <c r="X679" s="88"/>
      <c r="Y679" s="88"/>
      <c r="Z679" s="88"/>
      <c r="AA679" s="88"/>
      <c r="AB679" s="88"/>
      <c r="AD679" s="86">
        <f t="shared" si="185"/>
      </c>
      <c r="AE679" s="86">
        <f t="shared" si="186"/>
      </c>
      <c r="AG679" s="86">
        <f t="shared" si="187"/>
      </c>
      <c r="AH679" s="86">
        <f t="shared" si="188"/>
      </c>
      <c r="AI679" s="86">
        <f t="shared" si="189"/>
      </c>
    </row>
    <row r="680" spans="6:35" x14ac:dyDescent="0.3">
      <c r="F680" s="26">
        <f>IF(G680=1,MAX($F$4:F679)+1,"")</f>
        <v/>
      </c>
      <c r="G680" s="26">
        <f>COUNTIF($H$5:H680,H680)</f>
      </c>
      <c r="H680" s="26">
        <f t="shared" si="190"/>
      </c>
      <c r="I680" s="26">
        <f>COUNTIF($J$4:$J680,1)</f>
      </c>
      <c r="J680" s="26">
        <f>COUNTIF($S$5:$S680,S680)</f>
      </c>
      <c r="K680" s="26">
        <f t="shared" si="179"/>
      </c>
      <c r="L680" s="26">
        <f>IFERROR(IF(P680=0,0,MAX($L$4:L679)+1),0)</f>
      </c>
      <c r="M680" s="5">
        <f t="shared" si="191"/>
      </c>
      <c r="N680" s="5">
        <f t="shared" si="192"/>
      </c>
      <c r="P680" s="86">
        <f t="shared" si="180"/>
      </c>
      <c r="Q680" s="86">
        <f t="shared" si="181"/>
      </c>
      <c r="R680" s="86">
        <f t="shared" si="182"/>
      </c>
      <c r="S680" s="86">
        <f t="shared" si="183"/>
      </c>
      <c r="T680" s="86">
        <f t="shared" si="193"/>
        <v/>
      </c>
      <c r="U680" s="86">
        <f t="shared" si="194"/>
        <v/>
      </c>
      <c r="V680" s="86">
        <f t="shared" si="195"/>
        <v/>
      </c>
      <c r="W680" s="87">
        <f t="shared" si="184"/>
      </c>
      <c r="X680" s="88"/>
      <c r="Y680" s="88"/>
      <c r="Z680" s="88"/>
      <c r="AA680" s="88"/>
      <c r="AB680" s="88"/>
      <c r="AD680" s="86">
        <f t="shared" si="185"/>
      </c>
      <c r="AE680" s="86">
        <f t="shared" si="186"/>
      </c>
      <c r="AG680" s="86">
        <f t="shared" si="187"/>
      </c>
      <c r="AH680" s="86">
        <f t="shared" si="188"/>
      </c>
      <c r="AI680" s="86">
        <f t="shared" si="189"/>
      </c>
    </row>
    <row r="681" spans="6:35" x14ac:dyDescent="0.3">
      <c r="F681" s="26">
        <f>IF(G681=1,MAX($F$4:F680)+1,"")</f>
        <v/>
      </c>
      <c r="G681" s="26">
        <f>COUNTIF($H$5:H681,H681)</f>
      </c>
      <c r="H681" s="26">
        <f t="shared" si="190"/>
      </c>
      <c r="I681" s="26">
        <f>COUNTIF($J$4:$J681,1)</f>
      </c>
      <c r="J681" s="26">
        <f>COUNTIF($S$5:$S681,S681)</f>
      </c>
      <c r="K681" s="26">
        <f t="shared" si="179"/>
      </c>
      <c r="L681" s="26">
        <f>IFERROR(IF(P681=0,0,MAX($L$4:L680)+1),0)</f>
      </c>
      <c r="M681" s="5">
        <f t="shared" si="191"/>
      </c>
      <c r="N681" s="5">
        <f t="shared" si="192"/>
      </c>
      <c r="P681" s="86">
        <f t="shared" si="180"/>
      </c>
      <c r="Q681" s="86">
        <f t="shared" si="181"/>
      </c>
      <c r="R681" s="86">
        <f t="shared" si="182"/>
      </c>
      <c r="S681" s="86">
        <f t="shared" si="183"/>
      </c>
      <c r="T681" s="86">
        <f t="shared" si="193"/>
        <v/>
      </c>
      <c r="U681" s="86">
        <f t="shared" si="194"/>
        <v/>
      </c>
      <c r="V681" s="86">
        <f t="shared" si="195"/>
        <v/>
      </c>
      <c r="W681" s="87">
        <f t="shared" si="184"/>
      </c>
      <c r="X681" s="88"/>
      <c r="Y681" s="88"/>
      <c r="Z681" s="88"/>
      <c r="AA681" s="88"/>
      <c r="AB681" s="88"/>
      <c r="AD681" s="86">
        <f t="shared" si="185"/>
      </c>
      <c r="AE681" s="86">
        <f t="shared" si="186"/>
      </c>
      <c r="AG681" s="86">
        <f t="shared" si="187"/>
      </c>
      <c r="AH681" s="86">
        <f t="shared" si="188"/>
      </c>
      <c r="AI681" s="86">
        <f t="shared" si="189"/>
      </c>
    </row>
    <row r="682" spans="6:35" x14ac:dyDescent="0.3">
      <c r="F682" s="26">
        <f>IF(G682=1,MAX($F$4:F681)+1,"")</f>
        <v/>
      </c>
      <c r="G682" s="26">
        <f>COUNTIF($H$5:H682,H682)</f>
      </c>
      <c r="H682" s="26">
        <f t="shared" si="190"/>
      </c>
      <c r="I682" s="26">
        <f>COUNTIF($J$4:$J682,1)</f>
      </c>
      <c r="J682" s="26">
        <f>COUNTIF($S$5:$S682,S682)</f>
      </c>
      <c r="K682" s="26">
        <f t="shared" si="179"/>
      </c>
      <c r="L682" s="26">
        <f>IFERROR(IF(P682=0,0,MAX($L$4:L681)+1),0)</f>
      </c>
      <c r="M682" s="5">
        <f t="shared" si="191"/>
      </c>
      <c r="N682" s="5">
        <f t="shared" si="192"/>
      </c>
      <c r="P682" s="86">
        <f t="shared" si="180"/>
      </c>
      <c r="Q682" s="86">
        <f t="shared" si="181"/>
      </c>
      <c r="R682" s="86">
        <f t="shared" si="182"/>
      </c>
      <c r="S682" s="86">
        <f t="shared" si="183"/>
      </c>
      <c r="T682" s="86">
        <f t="shared" si="193"/>
        <v/>
      </c>
      <c r="U682" s="86">
        <f t="shared" si="194"/>
        <v/>
      </c>
      <c r="V682" s="86">
        <f t="shared" si="195"/>
        <v/>
      </c>
      <c r="W682" s="87">
        <f t="shared" si="184"/>
      </c>
      <c r="X682" s="88"/>
      <c r="Y682" s="88"/>
      <c r="Z682" s="88"/>
      <c r="AA682" s="88"/>
      <c r="AB682" s="88"/>
      <c r="AD682" s="86">
        <f t="shared" si="185"/>
      </c>
      <c r="AE682" s="86">
        <f t="shared" si="186"/>
      </c>
      <c r="AG682" s="86">
        <f t="shared" si="187"/>
      </c>
      <c r="AH682" s="86">
        <f t="shared" si="188"/>
      </c>
      <c r="AI682" s="86">
        <f t="shared" si="189"/>
      </c>
    </row>
    <row r="683" spans="6:35" x14ac:dyDescent="0.3">
      <c r="F683" s="26">
        <f>IF(G683=1,MAX($F$4:F682)+1,"")</f>
        <v/>
      </c>
      <c r="G683" s="26">
        <f>COUNTIF($H$5:H683,H683)</f>
      </c>
      <c r="H683" s="26">
        <f t="shared" si="190"/>
      </c>
      <c r="I683" s="26">
        <f>COUNTIF($J$4:$J683,1)</f>
      </c>
      <c r="J683" s="26">
        <f>COUNTIF($S$5:$S683,S683)</f>
      </c>
      <c r="K683" s="26">
        <f t="shared" si="179"/>
      </c>
      <c r="L683" s="26">
        <f>IFERROR(IF(P683=0,0,MAX($L$4:L682)+1),0)</f>
      </c>
      <c r="M683" s="5">
        <f t="shared" si="191"/>
      </c>
      <c r="N683" s="5">
        <f t="shared" si="192"/>
      </c>
      <c r="P683" s="86">
        <f t="shared" si="180"/>
      </c>
      <c r="Q683" s="86">
        <f t="shared" si="181"/>
      </c>
      <c r="R683" s="86">
        <f t="shared" si="182"/>
      </c>
      <c r="S683" s="86">
        <f t="shared" si="183"/>
      </c>
      <c r="T683" s="86">
        <f t="shared" si="193"/>
        <v/>
      </c>
      <c r="U683" s="86">
        <f t="shared" si="194"/>
        <v/>
      </c>
      <c r="V683" s="86">
        <f t="shared" si="195"/>
        <v/>
      </c>
      <c r="W683" s="87">
        <f t="shared" si="184"/>
      </c>
      <c r="X683" s="88"/>
      <c r="Y683" s="88"/>
      <c r="Z683" s="88"/>
      <c r="AA683" s="88"/>
      <c r="AB683" s="88"/>
      <c r="AD683" s="86">
        <f t="shared" si="185"/>
      </c>
      <c r="AE683" s="86">
        <f t="shared" si="186"/>
      </c>
      <c r="AG683" s="86">
        <f t="shared" si="187"/>
      </c>
      <c r="AH683" s="86">
        <f t="shared" si="188"/>
      </c>
      <c r="AI683" s="86">
        <f t="shared" si="189"/>
      </c>
    </row>
    <row r="684" spans="6:35" x14ac:dyDescent="0.3">
      <c r="F684" s="26">
        <f>IF(G684=1,MAX($F$4:F683)+1,"")</f>
        <v/>
      </c>
      <c r="G684" s="26">
        <f>COUNTIF($H$5:H684,H684)</f>
      </c>
      <c r="H684" s="26">
        <f t="shared" si="190"/>
      </c>
      <c r="I684" s="26">
        <f>COUNTIF($J$4:$J684,1)</f>
      </c>
      <c r="J684" s="26">
        <f>COUNTIF($S$5:$S684,S684)</f>
      </c>
      <c r="K684" s="26">
        <f t="shared" si="179"/>
      </c>
      <c r="L684" s="26">
        <f>IFERROR(IF(P684=0,0,MAX($L$4:L683)+1),0)</f>
      </c>
      <c r="M684" s="5">
        <f t="shared" si="191"/>
      </c>
      <c r="N684" s="5">
        <f t="shared" si="192"/>
      </c>
      <c r="P684" s="86">
        <f t="shared" si="180"/>
      </c>
      <c r="Q684" s="86">
        <f t="shared" si="181"/>
      </c>
      <c r="R684" s="86">
        <f t="shared" si="182"/>
      </c>
      <c r="S684" s="86">
        <f t="shared" si="183"/>
      </c>
      <c r="T684" s="86">
        <f t="shared" si="193"/>
        <v/>
      </c>
      <c r="U684" s="86">
        <f t="shared" si="194"/>
        <v/>
      </c>
      <c r="V684" s="86">
        <f t="shared" si="195"/>
        <v/>
      </c>
      <c r="W684" s="87">
        <f t="shared" si="184"/>
      </c>
      <c r="X684" s="88"/>
      <c r="Y684" s="88"/>
      <c r="Z684" s="88"/>
      <c r="AA684" s="88"/>
      <c r="AB684" s="88"/>
      <c r="AD684" s="86">
        <f t="shared" si="185"/>
      </c>
      <c r="AE684" s="86">
        <f t="shared" si="186"/>
      </c>
      <c r="AG684" s="86">
        <f t="shared" si="187"/>
      </c>
      <c r="AH684" s="86">
        <f t="shared" si="188"/>
      </c>
      <c r="AI684" s="86">
        <f t="shared" si="189"/>
      </c>
    </row>
    <row r="685" spans="6:35" x14ac:dyDescent="0.3">
      <c r="F685" s="26">
        <f>IF(G685=1,MAX($F$4:F684)+1,"")</f>
        <v/>
      </c>
      <c r="G685" s="26">
        <f>COUNTIF($H$5:H685,H685)</f>
      </c>
      <c r="H685" s="26">
        <f t="shared" si="190"/>
      </c>
      <c r="I685" s="26">
        <f>COUNTIF($J$4:$J685,1)</f>
      </c>
      <c r="J685" s="26">
        <f>COUNTIF($S$5:$S685,S685)</f>
      </c>
      <c r="K685" s="26">
        <f t="shared" si="179"/>
      </c>
      <c r="L685" s="26">
        <f>IFERROR(IF(P685=0,0,MAX($L$4:L684)+1),0)</f>
      </c>
      <c r="M685" s="5">
        <f t="shared" si="191"/>
      </c>
      <c r="N685" s="5">
        <f t="shared" si="192"/>
      </c>
      <c r="P685" s="86">
        <f t="shared" si="180"/>
      </c>
      <c r="Q685" s="86">
        <f t="shared" si="181"/>
      </c>
      <c r="R685" s="86">
        <f t="shared" si="182"/>
      </c>
      <c r="S685" s="86">
        <f t="shared" si="183"/>
      </c>
      <c r="T685" s="86">
        <f t="shared" si="193"/>
        <v/>
      </c>
      <c r="U685" s="86">
        <f t="shared" si="194"/>
        <v/>
      </c>
      <c r="V685" s="86">
        <f t="shared" si="195"/>
        <v/>
      </c>
      <c r="W685" s="87">
        <f t="shared" si="184"/>
      </c>
      <c r="X685" s="88"/>
      <c r="Y685" s="88"/>
      <c r="Z685" s="88"/>
      <c r="AA685" s="88"/>
      <c r="AB685" s="88"/>
      <c r="AD685" s="86">
        <f t="shared" si="185"/>
      </c>
      <c r="AE685" s="86">
        <f t="shared" si="186"/>
      </c>
      <c r="AG685" s="86">
        <f t="shared" si="187"/>
      </c>
      <c r="AH685" s="86">
        <f t="shared" si="188"/>
      </c>
      <c r="AI685" s="86">
        <f t="shared" si="189"/>
      </c>
    </row>
    <row r="686" spans="6:35" x14ac:dyDescent="0.3">
      <c r="F686" s="26">
        <f>IF(G686=1,MAX($F$4:F685)+1,"")</f>
        <v/>
      </c>
      <c r="G686" s="26">
        <f>COUNTIF($H$5:H686,H686)</f>
      </c>
      <c r="H686" s="26">
        <f t="shared" si="190"/>
      </c>
      <c r="I686" s="26">
        <f>COUNTIF($J$4:$J686,1)</f>
      </c>
      <c r="J686" s="26">
        <f>COUNTIF($S$5:$S686,S686)</f>
      </c>
      <c r="K686" s="26">
        <f t="shared" si="179"/>
      </c>
      <c r="L686" s="26">
        <f>IFERROR(IF(P686=0,0,MAX($L$4:L685)+1),0)</f>
      </c>
      <c r="M686" s="5">
        <f t="shared" si="191"/>
      </c>
      <c r="N686" s="5">
        <f t="shared" si="192"/>
      </c>
      <c r="P686" s="86">
        <f t="shared" si="180"/>
      </c>
      <c r="Q686" s="86">
        <f t="shared" si="181"/>
      </c>
      <c r="R686" s="86">
        <f t="shared" si="182"/>
      </c>
      <c r="S686" s="86">
        <f t="shared" si="183"/>
      </c>
      <c r="T686" s="86">
        <f t="shared" si="193"/>
        <v/>
      </c>
      <c r="U686" s="86">
        <f t="shared" si="194"/>
        <v/>
      </c>
      <c r="V686" s="86">
        <f t="shared" si="195"/>
        <v/>
      </c>
      <c r="W686" s="87">
        <f t="shared" si="184"/>
      </c>
      <c r="X686" s="88"/>
      <c r="Y686" s="88"/>
      <c r="Z686" s="88"/>
      <c r="AA686" s="88"/>
      <c r="AB686" s="88"/>
      <c r="AD686" s="86">
        <f t="shared" si="185"/>
      </c>
      <c r="AE686" s="86">
        <f t="shared" si="186"/>
      </c>
      <c r="AG686" s="86">
        <f t="shared" si="187"/>
      </c>
      <c r="AH686" s="86">
        <f t="shared" si="188"/>
      </c>
      <c r="AI686" s="86">
        <f t="shared" si="189"/>
      </c>
    </row>
    <row r="687" spans="6:35" x14ac:dyDescent="0.3">
      <c r="F687" s="26">
        <f>IF(G687=1,MAX($F$4:F686)+1,"")</f>
        <v/>
      </c>
      <c r="G687" s="26">
        <f>COUNTIF($H$5:H687,H687)</f>
      </c>
      <c r="H687" s="26">
        <f t="shared" si="190"/>
      </c>
      <c r="I687" s="26">
        <f>COUNTIF($J$4:$J687,1)</f>
      </c>
      <c r="J687" s="26">
        <f>COUNTIF($S$5:$S687,S687)</f>
      </c>
      <c r="K687" s="26">
        <f t="shared" si="179"/>
      </c>
      <c r="L687" s="26">
        <f>IFERROR(IF(P687=0,0,MAX($L$4:L686)+1),0)</f>
      </c>
      <c r="M687" s="5">
        <f t="shared" si="191"/>
      </c>
      <c r="N687" s="5">
        <f t="shared" si="192"/>
      </c>
      <c r="P687" s="86">
        <f t="shared" si="180"/>
      </c>
      <c r="Q687" s="86">
        <f t="shared" si="181"/>
      </c>
      <c r="R687" s="86">
        <f t="shared" si="182"/>
      </c>
      <c r="S687" s="86">
        <f t="shared" si="183"/>
      </c>
      <c r="T687" s="86">
        <f t="shared" si="193"/>
        <v/>
      </c>
      <c r="U687" s="86">
        <f t="shared" si="194"/>
        <v/>
      </c>
      <c r="V687" s="86">
        <f t="shared" si="195"/>
        <v/>
      </c>
      <c r="W687" s="87">
        <f t="shared" si="184"/>
      </c>
      <c r="X687" s="88"/>
      <c r="Y687" s="88"/>
      <c r="Z687" s="88"/>
      <c r="AA687" s="88"/>
      <c r="AB687" s="88"/>
      <c r="AD687" s="86">
        <f t="shared" si="185"/>
      </c>
      <c r="AE687" s="86">
        <f t="shared" si="186"/>
      </c>
      <c r="AG687" s="86">
        <f t="shared" si="187"/>
      </c>
      <c r="AH687" s="86">
        <f t="shared" si="188"/>
      </c>
      <c r="AI687" s="86">
        <f t="shared" si="189"/>
      </c>
    </row>
    <row r="688" spans="6:35" x14ac:dyDescent="0.3">
      <c r="F688" s="26">
        <f>IF(G688=1,MAX($F$4:F687)+1,"")</f>
        <v/>
      </c>
      <c r="G688" s="26">
        <f>COUNTIF($H$5:H688,H688)</f>
      </c>
      <c r="H688" s="26">
        <f t="shared" si="190"/>
      </c>
      <c r="I688" s="26">
        <f>COUNTIF($J$4:$J688,1)</f>
      </c>
      <c r="J688" s="26">
        <f>COUNTIF($S$5:$S688,S688)</f>
      </c>
      <c r="K688" s="26">
        <f t="shared" si="179"/>
      </c>
      <c r="L688" s="26">
        <f>IFERROR(IF(P688=0,0,MAX($L$4:L687)+1),0)</f>
      </c>
      <c r="M688" s="5">
        <f t="shared" si="191"/>
      </c>
      <c r="N688" s="5">
        <f t="shared" si="192"/>
      </c>
      <c r="P688" s="86">
        <f t="shared" si="180"/>
      </c>
      <c r="Q688" s="86">
        <f t="shared" si="181"/>
      </c>
      <c r="R688" s="86">
        <f t="shared" si="182"/>
      </c>
      <c r="S688" s="86">
        <f t="shared" si="183"/>
      </c>
      <c r="T688" s="86">
        <f t="shared" si="193"/>
        <v/>
      </c>
      <c r="U688" s="86">
        <f t="shared" si="194"/>
        <v/>
      </c>
      <c r="V688" s="86">
        <f t="shared" si="195"/>
        <v/>
      </c>
      <c r="W688" s="87">
        <f t="shared" si="184"/>
      </c>
      <c r="X688" s="88"/>
      <c r="Y688" s="88"/>
      <c r="Z688" s="88"/>
      <c r="AA688" s="88"/>
      <c r="AB688" s="88"/>
      <c r="AD688" s="86">
        <f t="shared" si="185"/>
      </c>
      <c r="AE688" s="86">
        <f t="shared" si="186"/>
      </c>
      <c r="AG688" s="86">
        <f t="shared" si="187"/>
      </c>
      <c r="AH688" s="86">
        <f t="shared" si="188"/>
      </c>
      <c r="AI688" s="86">
        <f t="shared" si="189"/>
      </c>
    </row>
    <row r="689" spans="6:35" x14ac:dyDescent="0.3">
      <c r="F689" s="26">
        <f>IF(G689=1,MAX($F$4:F688)+1,"")</f>
        <v/>
      </c>
      <c r="G689" s="26">
        <f>COUNTIF($H$5:H689,H689)</f>
      </c>
      <c r="H689" s="26">
        <f t="shared" si="190"/>
      </c>
      <c r="I689" s="26">
        <f>COUNTIF($J$4:$J689,1)</f>
      </c>
      <c r="J689" s="26">
        <f>COUNTIF($S$5:$S689,S689)</f>
      </c>
      <c r="K689" s="26">
        <f t="shared" si="179"/>
      </c>
      <c r="L689" s="26">
        <f>IFERROR(IF(P689=0,0,MAX($L$4:L688)+1),0)</f>
      </c>
      <c r="M689" s="5">
        <f t="shared" si="191"/>
      </c>
      <c r="N689" s="5">
        <f t="shared" si="192"/>
      </c>
      <c r="P689" s="86">
        <f t="shared" si="180"/>
      </c>
      <c r="Q689" s="86">
        <f t="shared" si="181"/>
      </c>
      <c r="R689" s="86">
        <f t="shared" si="182"/>
      </c>
      <c r="S689" s="86">
        <f t="shared" si="183"/>
      </c>
      <c r="T689" s="86">
        <f t="shared" si="193"/>
        <v/>
      </c>
      <c r="U689" s="86">
        <f t="shared" si="194"/>
        <v/>
      </c>
      <c r="V689" s="86">
        <f t="shared" si="195"/>
        <v/>
      </c>
      <c r="W689" s="87">
        <f t="shared" si="184"/>
      </c>
      <c r="X689" s="88"/>
      <c r="Y689" s="88"/>
      <c r="Z689" s="88"/>
      <c r="AA689" s="88"/>
      <c r="AB689" s="88"/>
      <c r="AD689" s="86">
        <f t="shared" si="185"/>
      </c>
      <c r="AE689" s="86">
        <f t="shared" si="186"/>
      </c>
      <c r="AG689" s="86">
        <f t="shared" si="187"/>
      </c>
      <c r="AH689" s="86">
        <f t="shared" si="188"/>
      </c>
      <c r="AI689" s="86">
        <f t="shared" si="189"/>
      </c>
    </row>
    <row r="690" spans="6:35" x14ac:dyDescent="0.3">
      <c r="F690" s="26">
        <f>IF(G690=1,MAX($F$4:F689)+1,"")</f>
        <v/>
      </c>
      <c r="G690" s="26">
        <f>COUNTIF($H$5:H690,H690)</f>
      </c>
      <c r="H690" s="26">
        <f t="shared" si="190"/>
      </c>
      <c r="I690" s="26">
        <f>COUNTIF($J$4:$J690,1)</f>
      </c>
      <c r="J690" s="26">
        <f>COUNTIF($S$5:$S690,S690)</f>
      </c>
      <c r="K690" s="26">
        <f t="shared" si="179"/>
      </c>
      <c r="L690" s="26">
        <f>IFERROR(IF(P690=0,0,MAX($L$4:L689)+1),0)</f>
      </c>
      <c r="M690" s="5">
        <f t="shared" si="191"/>
      </c>
      <c r="N690" s="5">
        <f t="shared" si="192"/>
      </c>
      <c r="P690" s="86">
        <f t="shared" si="180"/>
      </c>
      <c r="Q690" s="86">
        <f t="shared" si="181"/>
      </c>
      <c r="R690" s="86">
        <f t="shared" si="182"/>
      </c>
      <c r="S690" s="86">
        <f t="shared" si="183"/>
      </c>
      <c r="T690" s="86">
        <f t="shared" si="193"/>
        <v/>
      </c>
      <c r="U690" s="86">
        <f t="shared" si="194"/>
        <v/>
      </c>
      <c r="V690" s="86">
        <f t="shared" si="195"/>
        <v/>
      </c>
      <c r="W690" s="87">
        <f t="shared" si="184"/>
      </c>
      <c r="X690" s="88"/>
      <c r="Y690" s="88"/>
      <c r="Z690" s="88"/>
      <c r="AA690" s="88"/>
      <c r="AB690" s="88"/>
      <c r="AD690" s="86">
        <f t="shared" si="185"/>
      </c>
      <c r="AE690" s="86">
        <f t="shared" si="186"/>
      </c>
      <c r="AG690" s="86">
        <f t="shared" si="187"/>
      </c>
      <c r="AH690" s="86">
        <f t="shared" si="188"/>
      </c>
      <c r="AI690" s="86">
        <f t="shared" si="189"/>
      </c>
    </row>
    <row r="691" spans="6:35" x14ac:dyDescent="0.3">
      <c r="F691" s="26">
        <f>IF(G691=1,MAX($F$4:F690)+1,"")</f>
        <v/>
      </c>
      <c r="G691" s="26">
        <f>COUNTIF($H$5:H691,H691)</f>
      </c>
      <c r="H691" s="26">
        <f t="shared" si="190"/>
      </c>
      <c r="I691" s="26">
        <f>COUNTIF($J$4:$J691,1)</f>
      </c>
      <c r="J691" s="26">
        <f>COUNTIF($S$5:$S691,S691)</f>
      </c>
      <c r="K691" s="26">
        <f t="shared" si="179"/>
      </c>
      <c r="L691" s="26">
        <f>IFERROR(IF(P691=0,0,MAX($L$4:L690)+1),0)</f>
      </c>
      <c r="M691" s="5">
        <f t="shared" si="191"/>
      </c>
      <c r="N691" s="5">
        <f t="shared" si="192"/>
      </c>
      <c r="P691" s="86">
        <f t="shared" si="180"/>
      </c>
      <c r="Q691" s="86">
        <f t="shared" si="181"/>
      </c>
      <c r="R691" s="86">
        <f t="shared" si="182"/>
      </c>
      <c r="S691" s="86">
        <f t="shared" si="183"/>
      </c>
      <c r="T691" s="86">
        <f t="shared" si="193"/>
        <v/>
      </c>
      <c r="U691" s="86">
        <f t="shared" si="194"/>
        <v/>
      </c>
      <c r="V691" s="86">
        <f t="shared" si="195"/>
        <v/>
      </c>
      <c r="W691" s="87">
        <f t="shared" si="184"/>
      </c>
      <c r="X691" s="88"/>
      <c r="Y691" s="88"/>
      <c r="Z691" s="88"/>
      <c r="AA691" s="88"/>
      <c r="AB691" s="88"/>
      <c r="AD691" s="86">
        <f t="shared" si="185"/>
      </c>
      <c r="AE691" s="86">
        <f t="shared" si="186"/>
      </c>
      <c r="AG691" s="86">
        <f t="shared" si="187"/>
      </c>
      <c r="AH691" s="86">
        <f t="shared" si="188"/>
      </c>
      <c r="AI691" s="86">
        <f t="shared" si="189"/>
      </c>
    </row>
    <row r="692" spans="6:35" x14ac:dyDescent="0.3">
      <c r="F692" s="26">
        <f>IF(G692=1,MAX($F$4:F691)+1,"")</f>
        <v/>
      </c>
      <c r="G692" s="26">
        <f>COUNTIF($H$5:H692,H692)</f>
      </c>
      <c r="H692" s="26">
        <f t="shared" si="190"/>
      </c>
      <c r="I692" s="26">
        <f>COUNTIF($J$4:$J692,1)</f>
      </c>
      <c r="J692" s="26">
        <f>COUNTIF($S$5:$S692,S692)</f>
      </c>
      <c r="K692" s="26">
        <f t="shared" si="179"/>
      </c>
      <c r="L692" s="26">
        <f>IFERROR(IF(P692=0,0,MAX($L$4:L691)+1),0)</f>
      </c>
      <c r="M692" s="5">
        <f t="shared" si="191"/>
      </c>
      <c r="N692" s="5">
        <f t="shared" si="192"/>
      </c>
      <c r="P692" s="86">
        <f t="shared" si="180"/>
      </c>
      <c r="Q692" s="86">
        <f t="shared" si="181"/>
      </c>
      <c r="R692" s="86">
        <f t="shared" si="182"/>
      </c>
      <c r="S692" s="86">
        <f t="shared" si="183"/>
      </c>
      <c r="T692" s="86">
        <f t="shared" si="193"/>
        <v/>
      </c>
      <c r="U692" s="86">
        <f t="shared" si="194"/>
        <v/>
      </c>
      <c r="V692" s="86">
        <f t="shared" si="195"/>
        <v/>
      </c>
      <c r="W692" s="87">
        <f t="shared" si="184"/>
      </c>
      <c r="X692" s="88"/>
      <c r="Y692" s="88"/>
      <c r="Z692" s="88"/>
      <c r="AA692" s="88"/>
      <c r="AB692" s="88"/>
      <c r="AD692" s="86">
        <f t="shared" si="185"/>
      </c>
      <c r="AE692" s="86">
        <f t="shared" si="186"/>
      </c>
      <c r="AG692" s="86">
        <f t="shared" si="187"/>
      </c>
      <c r="AH692" s="86">
        <f t="shared" si="188"/>
      </c>
      <c r="AI692" s="86">
        <f t="shared" si="189"/>
      </c>
    </row>
    <row r="693" spans="6:35" x14ac:dyDescent="0.3">
      <c r="F693" s="26">
        <f>IF(G693=1,MAX($F$4:F692)+1,"")</f>
        <v/>
      </c>
      <c r="G693" s="26">
        <f>COUNTIF($H$5:H693,H693)</f>
      </c>
      <c r="H693" s="26">
        <f t="shared" si="190"/>
      </c>
      <c r="I693" s="26">
        <f>COUNTIF($J$4:$J693,1)</f>
      </c>
      <c r="J693" s="26">
        <f>COUNTIF($S$5:$S693,S693)</f>
      </c>
      <c r="K693" s="26">
        <f t="shared" si="179"/>
      </c>
      <c r="L693" s="26">
        <f>IFERROR(IF(P693=0,0,MAX($L$4:L692)+1),0)</f>
      </c>
      <c r="M693" s="5">
        <f t="shared" si="191"/>
      </c>
      <c r="N693" s="5">
        <f t="shared" si="192"/>
      </c>
      <c r="P693" s="86">
        <f t="shared" si="180"/>
      </c>
      <c r="Q693" s="86">
        <f t="shared" si="181"/>
      </c>
      <c r="R693" s="86">
        <f t="shared" si="182"/>
      </c>
      <c r="S693" s="86">
        <f t="shared" si="183"/>
      </c>
      <c r="T693" s="86">
        <f t="shared" si="193"/>
        <v/>
      </c>
      <c r="U693" s="86">
        <f t="shared" si="194"/>
        <v/>
      </c>
      <c r="V693" s="86">
        <f t="shared" si="195"/>
        <v/>
      </c>
      <c r="W693" s="87">
        <f t="shared" si="184"/>
      </c>
      <c r="X693" s="88"/>
      <c r="Y693" s="88"/>
      <c r="Z693" s="88"/>
      <c r="AA693" s="88"/>
      <c r="AB693" s="88"/>
      <c r="AD693" s="86">
        <f t="shared" si="185"/>
      </c>
      <c r="AE693" s="86">
        <f t="shared" si="186"/>
      </c>
      <c r="AG693" s="86">
        <f t="shared" si="187"/>
      </c>
      <c r="AH693" s="86">
        <f t="shared" si="188"/>
      </c>
      <c r="AI693" s="86">
        <f t="shared" si="189"/>
      </c>
    </row>
    <row r="694" spans="6:35" x14ac:dyDescent="0.3">
      <c r="F694" s="26">
        <f>IF(G694=1,MAX($F$4:F693)+1,"")</f>
        <v/>
      </c>
      <c r="G694" s="26">
        <f>COUNTIF($H$5:H694,H694)</f>
      </c>
      <c r="H694" s="26">
        <f t="shared" si="190"/>
      </c>
      <c r="I694" s="26">
        <f>COUNTIF($J$4:$J694,1)</f>
      </c>
      <c r="J694" s="26">
        <f>COUNTIF($S$5:$S694,S694)</f>
      </c>
      <c r="K694" s="26">
        <f t="shared" si="179"/>
      </c>
      <c r="L694" s="26">
        <f>IFERROR(IF(P694=0,0,MAX($L$4:L693)+1),0)</f>
      </c>
      <c r="M694" s="5">
        <f t="shared" si="191"/>
      </c>
      <c r="N694" s="5">
        <f t="shared" si="192"/>
      </c>
      <c r="P694" s="86">
        <f t="shared" si="180"/>
      </c>
      <c r="Q694" s="86">
        <f t="shared" si="181"/>
      </c>
      <c r="R694" s="86">
        <f t="shared" si="182"/>
      </c>
      <c r="S694" s="86">
        <f t="shared" si="183"/>
      </c>
      <c r="T694" s="86">
        <f t="shared" si="193"/>
        <v/>
      </c>
      <c r="U694" s="86">
        <f t="shared" si="194"/>
        <v/>
      </c>
      <c r="V694" s="86">
        <f t="shared" si="195"/>
        <v/>
      </c>
      <c r="W694" s="87">
        <f t="shared" si="184"/>
      </c>
      <c r="X694" s="88"/>
      <c r="Y694" s="88"/>
      <c r="Z694" s="88"/>
      <c r="AA694" s="88"/>
      <c r="AB694" s="88"/>
      <c r="AD694" s="86">
        <f t="shared" si="185"/>
      </c>
      <c r="AE694" s="86">
        <f t="shared" si="186"/>
      </c>
      <c r="AG694" s="86">
        <f t="shared" si="187"/>
      </c>
      <c r="AH694" s="86">
        <f t="shared" si="188"/>
      </c>
      <c r="AI694" s="86">
        <f t="shared" si="189"/>
      </c>
    </row>
    <row r="695" spans="6:35" x14ac:dyDescent="0.3">
      <c r="F695" s="26">
        <f>IF(G695=1,MAX($F$4:F694)+1,"")</f>
        <v/>
      </c>
      <c r="G695" s="26">
        <f>COUNTIF($H$5:H695,H695)</f>
      </c>
      <c r="H695" s="26">
        <f t="shared" si="190"/>
      </c>
      <c r="I695" s="26">
        <f>COUNTIF($J$4:$J695,1)</f>
      </c>
      <c r="J695" s="26">
        <f>COUNTIF($S$5:$S695,S695)</f>
      </c>
      <c r="K695" s="26">
        <f t="shared" si="179"/>
      </c>
      <c r="L695" s="26">
        <f>IFERROR(IF(P695=0,0,MAX($L$4:L694)+1),0)</f>
      </c>
      <c r="M695" s="5">
        <f t="shared" si="191"/>
      </c>
      <c r="N695" s="5">
        <f t="shared" si="192"/>
      </c>
      <c r="P695" s="86">
        <f t="shared" si="180"/>
      </c>
      <c r="Q695" s="86">
        <f t="shared" si="181"/>
      </c>
      <c r="R695" s="86">
        <f t="shared" si="182"/>
      </c>
      <c r="S695" s="86">
        <f t="shared" si="183"/>
      </c>
      <c r="T695" s="86">
        <f t="shared" si="193"/>
        <v/>
      </c>
      <c r="U695" s="86">
        <f t="shared" si="194"/>
        <v/>
      </c>
      <c r="V695" s="86">
        <f t="shared" si="195"/>
        <v/>
      </c>
      <c r="W695" s="87">
        <f t="shared" si="184"/>
      </c>
      <c r="X695" s="88"/>
      <c r="Y695" s="88"/>
      <c r="Z695" s="88"/>
      <c r="AA695" s="88"/>
      <c r="AB695" s="88"/>
      <c r="AD695" s="86">
        <f t="shared" si="185"/>
      </c>
      <c r="AE695" s="86">
        <f t="shared" si="186"/>
      </c>
      <c r="AG695" s="86">
        <f t="shared" si="187"/>
      </c>
      <c r="AH695" s="86">
        <f t="shared" si="188"/>
      </c>
      <c r="AI695" s="86">
        <f t="shared" si="189"/>
      </c>
    </row>
    <row r="696" spans="6:35" x14ac:dyDescent="0.3">
      <c r="F696" s="26">
        <f>IF(G696=1,MAX($F$4:F695)+1,"")</f>
        <v/>
      </c>
      <c r="G696" s="26">
        <f>COUNTIF($H$5:H696,H696)</f>
      </c>
      <c r="H696" s="26">
        <f t="shared" si="190"/>
      </c>
      <c r="I696" s="26">
        <f>COUNTIF($J$4:$J696,1)</f>
      </c>
      <c r="J696" s="26">
        <f>COUNTIF($S$5:$S696,S696)</f>
      </c>
      <c r="K696" s="26">
        <f t="shared" si="179"/>
      </c>
      <c r="L696" s="26">
        <f>IFERROR(IF(P696=0,0,MAX($L$4:L695)+1),0)</f>
      </c>
      <c r="M696" s="5">
        <f t="shared" si="191"/>
      </c>
      <c r="N696" s="5">
        <f t="shared" si="192"/>
      </c>
      <c r="P696" s="86">
        <f t="shared" si="180"/>
      </c>
      <c r="Q696" s="86">
        <f t="shared" si="181"/>
      </c>
      <c r="R696" s="86">
        <f t="shared" si="182"/>
      </c>
      <c r="S696" s="86">
        <f t="shared" si="183"/>
      </c>
      <c r="T696" s="86">
        <f t="shared" si="193"/>
        <v/>
      </c>
      <c r="U696" s="86">
        <f t="shared" si="194"/>
        <v/>
      </c>
      <c r="V696" s="86">
        <f t="shared" si="195"/>
        <v/>
      </c>
      <c r="W696" s="87">
        <f t="shared" si="184"/>
      </c>
      <c r="X696" s="88"/>
      <c r="Y696" s="88"/>
      <c r="Z696" s="88"/>
      <c r="AA696" s="88"/>
      <c r="AB696" s="88"/>
      <c r="AD696" s="86">
        <f t="shared" si="185"/>
      </c>
      <c r="AE696" s="86">
        <f t="shared" si="186"/>
      </c>
      <c r="AG696" s="86">
        <f t="shared" si="187"/>
      </c>
      <c r="AH696" s="86">
        <f t="shared" si="188"/>
      </c>
      <c r="AI696" s="86">
        <f t="shared" si="189"/>
      </c>
    </row>
    <row r="697" spans="6:35" x14ac:dyDescent="0.3">
      <c r="F697" s="26">
        <f>IF(G697=1,MAX($F$4:F696)+1,"")</f>
        <v/>
      </c>
      <c r="G697" s="26">
        <f>COUNTIF($H$5:H697,H697)</f>
      </c>
      <c r="H697" s="26">
        <f t="shared" si="190"/>
      </c>
      <c r="I697" s="26">
        <f>COUNTIF($J$4:$J697,1)</f>
      </c>
      <c r="J697" s="26">
        <f>COUNTIF($S$5:$S697,S697)</f>
      </c>
      <c r="K697" s="26">
        <f t="shared" si="179"/>
      </c>
      <c r="L697" s="26">
        <f>IFERROR(IF(P697=0,0,MAX($L$4:L696)+1),0)</f>
      </c>
      <c r="M697" s="5">
        <f t="shared" si="191"/>
      </c>
      <c r="N697" s="5">
        <f t="shared" si="192"/>
      </c>
      <c r="P697" s="86">
        <f t="shared" si="180"/>
      </c>
      <c r="Q697" s="86">
        <f t="shared" si="181"/>
      </c>
      <c r="R697" s="86">
        <f t="shared" si="182"/>
      </c>
      <c r="S697" s="86">
        <f t="shared" si="183"/>
      </c>
      <c r="T697" s="86">
        <f t="shared" si="193"/>
        <v/>
      </c>
      <c r="U697" s="86">
        <f t="shared" si="194"/>
        <v/>
      </c>
      <c r="V697" s="86">
        <f t="shared" si="195"/>
        <v/>
      </c>
      <c r="W697" s="87">
        <f t="shared" si="184"/>
      </c>
      <c r="X697" s="88"/>
      <c r="Y697" s="88"/>
      <c r="Z697" s="88"/>
      <c r="AA697" s="88"/>
      <c r="AB697" s="88"/>
      <c r="AD697" s="86">
        <f t="shared" si="185"/>
      </c>
      <c r="AE697" s="86">
        <f t="shared" si="186"/>
      </c>
      <c r="AG697" s="86">
        <f t="shared" si="187"/>
      </c>
      <c r="AH697" s="86">
        <f t="shared" si="188"/>
      </c>
      <c r="AI697" s="86">
        <f t="shared" si="189"/>
      </c>
    </row>
    <row r="698" spans="6:35" x14ac:dyDescent="0.3">
      <c r="F698" s="26">
        <f>IF(G698=1,MAX($F$4:F697)+1,"")</f>
        <v/>
      </c>
      <c r="G698" s="26">
        <f>COUNTIF($H$5:H698,H698)</f>
      </c>
      <c r="H698" s="26">
        <f t="shared" si="190"/>
      </c>
      <c r="I698" s="26">
        <f>COUNTIF($J$4:$J698,1)</f>
      </c>
      <c r="J698" s="26">
        <f>COUNTIF($S$5:$S698,S698)</f>
      </c>
      <c r="K698" s="26">
        <f t="shared" si="179"/>
      </c>
      <c r="L698" s="26">
        <f>IFERROR(IF(P698=0,0,MAX($L$4:L697)+1),0)</f>
      </c>
      <c r="M698" s="5">
        <f t="shared" si="191"/>
      </c>
      <c r="N698" s="5">
        <f t="shared" si="192"/>
      </c>
      <c r="P698" s="86">
        <f t="shared" si="180"/>
      </c>
      <c r="Q698" s="86">
        <f t="shared" si="181"/>
      </c>
      <c r="R698" s="86">
        <f t="shared" si="182"/>
      </c>
      <c r="S698" s="86">
        <f t="shared" si="183"/>
      </c>
      <c r="T698" s="86">
        <f t="shared" si="193"/>
        <v/>
      </c>
      <c r="U698" s="86">
        <f t="shared" si="194"/>
        <v/>
      </c>
      <c r="V698" s="86">
        <f t="shared" si="195"/>
        <v/>
      </c>
      <c r="W698" s="87">
        <f t="shared" si="184"/>
      </c>
      <c r="X698" s="88"/>
      <c r="Y698" s="88"/>
      <c r="Z698" s="88"/>
      <c r="AA698" s="88"/>
      <c r="AB698" s="88"/>
      <c r="AD698" s="86">
        <f t="shared" si="185"/>
      </c>
      <c r="AE698" s="86">
        <f t="shared" si="186"/>
      </c>
      <c r="AG698" s="86">
        <f t="shared" si="187"/>
      </c>
      <c r="AH698" s="86">
        <f t="shared" si="188"/>
      </c>
      <c r="AI698" s="86">
        <f t="shared" si="189"/>
      </c>
    </row>
    <row r="699" spans="6:35" x14ac:dyDescent="0.3">
      <c r="F699" s="26">
        <f>IF(G699=1,MAX($F$4:F698)+1,"")</f>
        <v/>
      </c>
      <c r="G699" s="26">
        <f>COUNTIF($H$5:H699,H699)</f>
      </c>
      <c r="H699" s="26">
        <f t="shared" si="190"/>
      </c>
      <c r="I699" s="26">
        <f>COUNTIF($J$4:$J699,1)</f>
      </c>
      <c r="J699" s="26">
        <f>COUNTIF($S$5:$S699,S699)</f>
      </c>
      <c r="K699" s="26">
        <f t="shared" si="179"/>
      </c>
      <c r="L699" s="26">
        <f>IFERROR(IF(P699=0,0,MAX($L$4:L698)+1),0)</f>
      </c>
      <c r="M699" s="5">
        <f t="shared" si="191"/>
      </c>
      <c r="N699" s="5">
        <f t="shared" si="192"/>
      </c>
      <c r="P699" s="86">
        <f t="shared" si="180"/>
      </c>
      <c r="Q699" s="86">
        <f t="shared" si="181"/>
      </c>
      <c r="R699" s="86">
        <f t="shared" si="182"/>
      </c>
      <c r="S699" s="86">
        <f t="shared" si="183"/>
      </c>
      <c r="T699" s="86">
        <f t="shared" si="193"/>
        <v/>
      </c>
      <c r="U699" s="86">
        <f t="shared" si="194"/>
        <v/>
      </c>
      <c r="V699" s="86">
        <f t="shared" si="195"/>
        <v/>
      </c>
      <c r="W699" s="87">
        <f t="shared" si="184"/>
      </c>
      <c r="X699" s="88"/>
      <c r="Y699" s="88"/>
      <c r="Z699" s="88"/>
      <c r="AA699" s="88"/>
      <c r="AB699" s="88"/>
      <c r="AD699" s="86">
        <f t="shared" si="185"/>
      </c>
      <c r="AE699" s="86">
        <f t="shared" si="186"/>
      </c>
      <c r="AG699" s="86">
        <f t="shared" si="187"/>
      </c>
      <c r="AH699" s="86">
        <f t="shared" si="188"/>
      </c>
      <c r="AI699" s="86">
        <f t="shared" si="189"/>
      </c>
    </row>
    <row r="700" spans="6:35" x14ac:dyDescent="0.3">
      <c r="F700" s="26">
        <f>IF(G700=1,MAX($F$4:F699)+1,"")</f>
        <v/>
      </c>
      <c r="G700" s="26">
        <f>COUNTIF($H$5:H700,H700)</f>
      </c>
      <c r="H700" s="26">
        <f t="shared" si="190"/>
      </c>
      <c r="I700" s="26">
        <f>COUNTIF($J$4:$J700,1)</f>
      </c>
      <c r="J700" s="26">
        <f>COUNTIF($S$5:$S700,S700)</f>
      </c>
      <c r="K700" s="26">
        <f t="shared" si="179"/>
      </c>
      <c r="L700" s="26">
        <f>IFERROR(IF(P700=0,0,MAX($L$4:L699)+1),0)</f>
      </c>
      <c r="M700" s="5">
        <f t="shared" si="191"/>
      </c>
      <c r="N700" s="5">
        <f t="shared" si="192"/>
      </c>
      <c r="P700" s="86">
        <f t="shared" si="180"/>
      </c>
      <c r="Q700" s="86">
        <f t="shared" si="181"/>
      </c>
      <c r="R700" s="86">
        <f t="shared" si="182"/>
      </c>
      <c r="S700" s="86">
        <f t="shared" si="183"/>
      </c>
      <c r="T700" s="86">
        <f t="shared" si="193"/>
        <v/>
      </c>
      <c r="U700" s="86">
        <f t="shared" si="194"/>
        <v/>
      </c>
      <c r="V700" s="86">
        <f t="shared" si="195"/>
        <v/>
      </c>
      <c r="W700" s="87">
        <f t="shared" si="184"/>
      </c>
      <c r="X700" s="88"/>
      <c r="Y700" s="88"/>
      <c r="Z700" s="88"/>
      <c r="AA700" s="88"/>
      <c r="AB700" s="88"/>
      <c r="AD700" s="86">
        <f t="shared" si="185"/>
      </c>
      <c r="AE700" s="86">
        <f t="shared" si="186"/>
      </c>
      <c r="AG700" s="86">
        <f t="shared" si="187"/>
      </c>
      <c r="AH700" s="86">
        <f t="shared" si="188"/>
      </c>
      <c r="AI700" s="86">
        <f t="shared" si="189"/>
      </c>
    </row>
    <row r="701" spans="6:35" x14ac:dyDescent="0.3">
      <c r="F701" s="26">
        <f>IF(G701=1,MAX($F$4:F700)+1,"")</f>
        <v/>
      </c>
      <c r="G701" s="26">
        <f>COUNTIF($H$5:H701,H701)</f>
      </c>
      <c r="H701" s="26">
        <f t="shared" si="190"/>
      </c>
      <c r="I701" s="26">
        <f>COUNTIF($J$4:$J701,1)</f>
      </c>
      <c r="J701" s="26">
        <f>COUNTIF($S$5:$S701,S701)</f>
      </c>
      <c r="K701" s="26">
        <f t="shared" si="179"/>
      </c>
      <c r="L701" s="26">
        <f>IFERROR(IF(P701=0,0,MAX($L$4:L700)+1),0)</f>
      </c>
      <c r="M701" s="5">
        <f t="shared" si="191"/>
      </c>
      <c r="N701" s="5">
        <f t="shared" si="192"/>
      </c>
      <c r="P701" s="86">
        <f t="shared" si="180"/>
      </c>
      <c r="Q701" s="86">
        <f t="shared" si="181"/>
      </c>
      <c r="R701" s="86">
        <f t="shared" si="182"/>
      </c>
      <c r="S701" s="86">
        <f t="shared" si="183"/>
      </c>
      <c r="T701" s="86">
        <f t="shared" si="193"/>
        <v/>
      </c>
      <c r="U701" s="86">
        <f t="shared" si="194"/>
        <v/>
      </c>
      <c r="V701" s="86">
        <f t="shared" si="195"/>
        <v/>
      </c>
      <c r="W701" s="87">
        <f t="shared" si="184"/>
      </c>
      <c r="X701" s="88"/>
      <c r="Y701" s="88"/>
      <c r="Z701" s="88"/>
      <c r="AA701" s="88"/>
      <c r="AB701" s="88"/>
      <c r="AD701" s="86">
        <f t="shared" si="185"/>
      </c>
      <c r="AE701" s="86">
        <f t="shared" si="186"/>
      </c>
      <c r="AG701" s="86">
        <f t="shared" si="187"/>
      </c>
      <c r="AH701" s="86">
        <f t="shared" si="188"/>
      </c>
      <c r="AI701" s="86">
        <f t="shared" si="189"/>
      </c>
    </row>
    <row r="702" spans="6:35" x14ac:dyDescent="0.3">
      <c r="F702" s="26">
        <f>IF(G702=1,MAX($F$4:F701)+1,"")</f>
        <v/>
      </c>
      <c r="G702" s="26">
        <f>COUNTIF($H$5:H702,H702)</f>
      </c>
      <c r="H702" s="26">
        <f t="shared" si="190"/>
      </c>
      <c r="I702" s="26">
        <f>COUNTIF($J$4:$J702,1)</f>
      </c>
      <c r="J702" s="26">
        <f>COUNTIF($S$5:$S702,S702)</f>
      </c>
      <c r="K702" s="26">
        <f t="shared" si="179"/>
      </c>
      <c r="L702" s="26">
        <f>IFERROR(IF(P702=0,0,MAX($L$4:L701)+1),0)</f>
      </c>
      <c r="M702" s="5">
        <f t="shared" si="191"/>
      </c>
      <c r="N702" s="5">
        <f t="shared" si="192"/>
      </c>
      <c r="P702" s="86">
        <f t="shared" si="180"/>
      </c>
      <c r="Q702" s="86">
        <f t="shared" si="181"/>
      </c>
      <c r="R702" s="86">
        <f t="shared" si="182"/>
      </c>
      <c r="S702" s="86">
        <f t="shared" si="183"/>
      </c>
      <c r="T702" s="86">
        <f t="shared" si="193"/>
        <v/>
      </c>
      <c r="U702" s="86">
        <f t="shared" si="194"/>
        <v/>
      </c>
      <c r="V702" s="86">
        <f t="shared" si="195"/>
        <v/>
      </c>
      <c r="W702" s="87">
        <f t="shared" si="184"/>
      </c>
      <c r="X702" s="88"/>
      <c r="Y702" s="88"/>
      <c r="Z702" s="88"/>
      <c r="AA702" s="88"/>
      <c r="AB702" s="88"/>
      <c r="AD702" s="86">
        <f t="shared" si="185"/>
      </c>
      <c r="AE702" s="86">
        <f t="shared" si="186"/>
      </c>
      <c r="AG702" s="86">
        <f t="shared" si="187"/>
      </c>
      <c r="AH702" s="86">
        <f t="shared" si="188"/>
      </c>
      <c r="AI702" s="86">
        <f t="shared" si="189"/>
      </c>
    </row>
    <row r="703" spans="6:35" x14ac:dyDescent="0.3">
      <c r="F703" s="26">
        <f>IF(G703=1,MAX($F$4:F702)+1,"")</f>
        <v/>
      </c>
      <c r="G703" s="26">
        <f>COUNTIF($H$5:H703,H703)</f>
      </c>
      <c r="H703" s="26">
        <f t="shared" si="190"/>
      </c>
      <c r="I703" s="26">
        <f>COUNTIF($J$4:$J703,1)</f>
      </c>
      <c r="J703" s="26">
        <f>COUNTIF($S$5:$S703,S703)</f>
      </c>
      <c r="K703" s="26">
        <f t="shared" si="179"/>
      </c>
      <c r="L703" s="26">
        <f>IFERROR(IF(P703=0,0,MAX($L$4:L702)+1),0)</f>
      </c>
      <c r="M703" s="5">
        <f t="shared" si="191"/>
      </c>
      <c r="N703" s="5">
        <f t="shared" si="192"/>
      </c>
      <c r="P703" s="86">
        <f t="shared" si="180"/>
      </c>
      <c r="Q703" s="86">
        <f t="shared" si="181"/>
      </c>
      <c r="R703" s="86">
        <f t="shared" si="182"/>
      </c>
      <c r="S703" s="86">
        <f t="shared" si="183"/>
      </c>
      <c r="T703" s="86">
        <f t="shared" si="193"/>
        <v/>
      </c>
      <c r="U703" s="86">
        <f t="shared" si="194"/>
        <v/>
      </c>
      <c r="V703" s="86">
        <f t="shared" si="195"/>
        <v/>
      </c>
      <c r="W703" s="87">
        <f t="shared" si="184"/>
      </c>
      <c r="X703" s="88"/>
      <c r="Y703" s="88"/>
      <c r="Z703" s="88"/>
      <c r="AA703" s="88"/>
      <c r="AB703" s="88"/>
      <c r="AD703" s="86">
        <f t="shared" si="185"/>
      </c>
      <c r="AE703" s="86">
        <f t="shared" si="186"/>
      </c>
      <c r="AG703" s="86">
        <f t="shared" si="187"/>
      </c>
      <c r="AH703" s="86">
        <f t="shared" si="188"/>
      </c>
      <c r="AI703" s="86">
        <f t="shared" si="189"/>
      </c>
    </row>
    <row r="704" spans="6:35" x14ac:dyDescent="0.3">
      <c r="F704" s="26">
        <f>IF(G704=1,MAX($F$4:F703)+1,"")</f>
        <v/>
      </c>
      <c r="G704" s="26">
        <f>COUNTIF($H$5:H704,H704)</f>
      </c>
      <c r="H704" s="26">
        <f t="shared" si="190"/>
      </c>
      <c r="I704" s="26">
        <f>COUNTIF($J$4:$J704,1)</f>
      </c>
      <c r="J704" s="26">
        <f>COUNTIF($S$5:$S704,S704)</f>
      </c>
      <c r="K704" s="26">
        <f t="shared" si="179"/>
      </c>
      <c r="L704" s="26">
        <f>IFERROR(IF(P704=0,0,MAX($L$4:L703)+1),0)</f>
      </c>
      <c r="M704" s="5">
        <f t="shared" si="191"/>
      </c>
      <c r="N704" s="5">
        <f t="shared" si="192"/>
      </c>
      <c r="P704" s="86">
        <f t="shared" si="180"/>
      </c>
      <c r="Q704" s="86">
        <f t="shared" si="181"/>
      </c>
      <c r="R704" s="86">
        <f t="shared" si="182"/>
      </c>
      <c r="S704" s="86">
        <f t="shared" si="183"/>
      </c>
      <c r="T704" s="86">
        <f t="shared" si="193"/>
        <v/>
      </c>
      <c r="U704" s="86">
        <f t="shared" si="194"/>
        <v/>
      </c>
      <c r="V704" s="86">
        <f t="shared" si="195"/>
        <v/>
      </c>
      <c r="W704" s="87">
        <f t="shared" si="184"/>
      </c>
      <c r="X704" s="88"/>
      <c r="Y704" s="88"/>
      <c r="Z704" s="88"/>
      <c r="AA704" s="88"/>
      <c r="AB704" s="88"/>
      <c r="AD704" s="86">
        <f t="shared" si="185"/>
      </c>
      <c r="AE704" s="86">
        <f t="shared" si="186"/>
      </c>
      <c r="AG704" s="86">
        <f t="shared" si="187"/>
      </c>
      <c r="AH704" s="86">
        <f t="shared" si="188"/>
      </c>
      <c r="AI704" s="86">
        <f t="shared" si="189"/>
      </c>
    </row>
    <row r="705" spans="6:35" x14ac:dyDescent="0.3">
      <c r="F705" s="26">
        <f>IF(G705=1,MAX($F$4:F704)+1,"")</f>
        <v/>
      </c>
      <c r="G705" s="26">
        <f>COUNTIF($H$5:H705,H705)</f>
      </c>
      <c r="H705" s="26">
        <f t="shared" si="190"/>
      </c>
      <c r="I705" s="26">
        <f>COUNTIF($J$4:$J705,1)</f>
      </c>
      <c r="J705" s="26">
        <f>COUNTIF($S$5:$S705,S705)</f>
      </c>
      <c r="K705" s="26">
        <f t="shared" si="179"/>
      </c>
      <c r="L705" s="26">
        <f>IFERROR(IF(P705=0,0,MAX($L$4:L704)+1),0)</f>
      </c>
      <c r="M705" s="5">
        <f t="shared" si="191"/>
      </c>
      <c r="N705" s="5">
        <f t="shared" si="192"/>
      </c>
      <c r="P705" s="86">
        <f t="shared" si="180"/>
      </c>
      <c r="Q705" s="86">
        <f t="shared" si="181"/>
      </c>
      <c r="R705" s="86">
        <f t="shared" si="182"/>
      </c>
      <c r="S705" s="86">
        <f t="shared" si="183"/>
      </c>
      <c r="T705" s="86">
        <f t="shared" si="193"/>
        <v/>
      </c>
      <c r="U705" s="86">
        <f t="shared" si="194"/>
        <v/>
      </c>
      <c r="V705" s="86">
        <f t="shared" si="195"/>
        <v/>
      </c>
      <c r="W705" s="87">
        <f t="shared" si="184"/>
      </c>
      <c r="X705" s="88"/>
      <c r="Y705" s="88"/>
      <c r="Z705" s="88"/>
      <c r="AA705" s="88"/>
      <c r="AB705" s="88"/>
      <c r="AD705" s="86">
        <f t="shared" si="185"/>
      </c>
      <c r="AE705" s="86">
        <f t="shared" si="186"/>
      </c>
      <c r="AG705" s="86">
        <f t="shared" si="187"/>
      </c>
      <c r="AH705" s="86">
        <f t="shared" si="188"/>
      </c>
      <c r="AI705" s="86">
        <f t="shared" si="189"/>
      </c>
    </row>
    <row r="706" spans="6:35" x14ac:dyDescent="0.3">
      <c r="F706" s="26">
        <f>IF(G706=1,MAX($F$4:F705)+1,"")</f>
        <v/>
      </c>
      <c r="G706" s="26">
        <f>COUNTIF($H$5:H706,H706)</f>
      </c>
      <c r="H706" s="26">
        <f t="shared" si="190"/>
      </c>
      <c r="I706" s="26">
        <f>COUNTIF($J$4:$J706,1)</f>
      </c>
      <c r="J706" s="26">
        <f>COUNTIF($S$5:$S706,S706)</f>
      </c>
      <c r="K706" s="26">
        <f t="shared" si="179"/>
      </c>
      <c r="L706" s="26">
        <f>IFERROR(IF(P706=0,0,MAX($L$4:L705)+1),0)</f>
      </c>
      <c r="M706" s="5">
        <f t="shared" si="191"/>
      </c>
      <c r="N706" s="5">
        <f t="shared" si="192"/>
      </c>
      <c r="P706" s="86">
        <f t="shared" si="180"/>
      </c>
      <c r="Q706" s="86">
        <f t="shared" si="181"/>
      </c>
      <c r="R706" s="86">
        <f t="shared" si="182"/>
      </c>
      <c r="S706" s="86">
        <f t="shared" si="183"/>
      </c>
      <c r="T706" s="86">
        <f t="shared" si="193"/>
        <v/>
      </c>
      <c r="U706" s="86">
        <f t="shared" si="194"/>
        <v/>
      </c>
      <c r="V706" s="86">
        <f t="shared" si="195"/>
        <v/>
      </c>
      <c r="W706" s="87">
        <f t="shared" si="184"/>
      </c>
      <c r="X706" s="88"/>
      <c r="Y706" s="88"/>
      <c r="Z706" s="88"/>
      <c r="AA706" s="88"/>
      <c r="AB706" s="88"/>
      <c r="AD706" s="86">
        <f t="shared" si="185"/>
      </c>
      <c r="AE706" s="86">
        <f t="shared" si="186"/>
      </c>
      <c r="AG706" s="86">
        <f t="shared" si="187"/>
      </c>
      <c r="AH706" s="86">
        <f t="shared" si="188"/>
      </c>
      <c r="AI706" s="86">
        <f t="shared" si="189"/>
      </c>
    </row>
    <row r="707" spans="6:35" x14ac:dyDescent="0.3">
      <c r="F707" s="26">
        <f>IF(G707=1,MAX($F$4:F706)+1,"")</f>
        <v/>
      </c>
      <c r="G707" s="26">
        <f>COUNTIF($H$5:H707,H707)</f>
      </c>
      <c r="H707" s="26">
        <f t="shared" si="190"/>
      </c>
      <c r="I707" s="26">
        <f>COUNTIF($J$4:$J707,1)</f>
      </c>
      <c r="J707" s="26">
        <f>COUNTIF($S$5:$S707,S707)</f>
      </c>
      <c r="K707" s="26">
        <f t="shared" si="179"/>
      </c>
      <c r="L707" s="26">
        <f>IFERROR(IF(P707=0,0,MAX($L$4:L706)+1),0)</f>
      </c>
      <c r="M707" s="5">
        <f t="shared" si="191"/>
      </c>
      <c r="N707" s="5">
        <f t="shared" si="192"/>
      </c>
      <c r="P707" s="86">
        <f t="shared" si="180"/>
      </c>
      <c r="Q707" s="86">
        <f t="shared" si="181"/>
      </c>
      <c r="R707" s="86">
        <f t="shared" si="182"/>
      </c>
      <c r="S707" s="86">
        <f t="shared" si="183"/>
      </c>
      <c r="T707" s="86">
        <f t="shared" si="193"/>
        <v/>
      </c>
      <c r="U707" s="86">
        <f t="shared" si="194"/>
        <v/>
      </c>
      <c r="V707" s="86">
        <f t="shared" si="195"/>
        <v/>
      </c>
      <c r="W707" s="87">
        <f t="shared" si="184"/>
      </c>
      <c r="X707" s="88"/>
      <c r="Y707" s="88"/>
      <c r="Z707" s="88"/>
      <c r="AA707" s="88"/>
      <c r="AB707" s="88"/>
      <c r="AD707" s="86">
        <f t="shared" si="185"/>
      </c>
      <c r="AE707" s="86">
        <f t="shared" si="186"/>
      </c>
      <c r="AG707" s="86">
        <f t="shared" si="187"/>
      </c>
      <c r="AH707" s="86">
        <f t="shared" si="188"/>
      </c>
      <c r="AI707" s="86">
        <f t="shared" si="189"/>
      </c>
    </row>
    <row r="708" spans="6:35" x14ac:dyDescent="0.3">
      <c r="F708" s="26">
        <f>IF(G708=1,MAX($F$4:F707)+1,"")</f>
        <v/>
      </c>
      <c r="G708" s="26">
        <f>COUNTIF($H$5:H708,H708)</f>
      </c>
      <c r="H708" s="26">
        <f t="shared" si="190"/>
      </c>
      <c r="I708" s="26">
        <f>COUNTIF($J$4:$J708,1)</f>
      </c>
      <c r="J708" s="26">
        <f>COUNTIF($S$5:$S708,S708)</f>
      </c>
      <c r="K708" s="26">
        <f t="shared" si="179"/>
      </c>
      <c r="L708" s="26">
        <f>IFERROR(IF(P708=0,0,MAX($L$4:L707)+1),0)</f>
      </c>
      <c r="M708" s="5">
        <f t="shared" si="191"/>
      </c>
      <c r="N708" s="5">
        <f t="shared" si="192"/>
      </c>
      <c r="P708" s="86">
        <f t="shared" si="180"/>
      </c>
      <c r="Q708" s="86">
        <f t="shared" si="181"/>
      </c>
      <c r="R708" s="86">
        <f t="shared" si="182"/>
      </c>
      <c r="S708" s="86">
        <f t="shared" si="183"/>
      </c>
      <c r="T708" s="86">
        <f t="shared" si="193"/>
        <v/>
      </c>
      <c r="U708" s="86">
        <f t="shared" si="194"/>
        <v/>
      </c>
      <c r="V708" s="86">
        <f t="shared" si="195"/>
        <v/>
      </c>
      <c r="W708" s="87">
        <f t="shared" si="184"/>
      </c>
      <c r="X708" s="88"/>
      <c r="Y708" s="88"/>
      <c r="Z708" s="88"/>
      <c r="AA708" s="88"/>
      <c r="AB708" s="88"/>
      <c r="AD708" s="86">
        <f t="shared" si="185"/>
      </c>
      <c r="AE708" s="86">
        <f t="shared" si="186"/>
      </c>
      <c r="AG708" s="86">
        <f t="shared" si="187"/>
      </c>
      <c r="AH708" s="86">
        <f t="shared" si="188"/>
      </c>
      <c r="AI708" s="86">
        <f t="shared" si="189"/>
      </c>
    </row>
    <row r="709" spans="6:35" x14ac:dyDescent="0.3">
      <c r="F709" s="26">
        <f>IF(G709=1,MAX($F$4:F708)+1,"")</f>
        <v/>
      </c>
      <c r="G709" s="26">
        <f>COUNTIF($H$5:H709,H709)</f>
      </c>
      <c r="H709" s="26">
        <f t="shared" si="190"/>
      </c>
      <c r="I709" s="26">
        <f>COUNTIF($J$4:$J709,1)</f>
      </c>
      <c r="J709" s="26">
        <f>COUNTIF($S$5:$S709,S709)</f>
      </c>
      <c r="K709" s="26">
        <f t="shared" ref="K709:K772" si="196">VLOOKUP(P709,Исходные_данные,19,FALSE)</f>
      </c>
      <c r="L709" s="26">
        <f>IFERROR(IF(P709=0,0,MAX($L$4:L708)+1),0)</f>
      </c>
      <c r="M709" s="5">
        <f t="shared" si="191"/>
      </c>
      <c r="N709" s="5">
        <f t="shared" si="192"/>
      </c>
      <c r="P709" s="86">
        <f t="shared" ref="P709:P772" si="197">VLOOKUP(ROW(705:705),Разбивка_нумерация_5,4,FALSE)</f>
      </c>
      <c r="Q709" s="86">
        <f t="shared" ref="Q709:Q772" si="198">IF(VLOOKUP(ROW(705:705),Разбивка_нумерация_5,3,FALSE)=0,VLOOKUP(ROW(705:705),Разбивка_нумерация_5,2,FALSE),VLOOKUP(ROW(705:705),Разбивка_нумерация_5,3,FALSE))</f>
      </c>
      <c r="R709" s="86">
        <f t="shared" ref="R709:R772" si="199">VLOOKUP(ROW(705:705),Разбивка_нумерация_5,6,FALSE)</f>
      </c>
      <c r="S709" s="86">
        <f t="shared" ref="S709:S772" si="200">VLOOKUP(ROW(705:705),Разбивка_нумерация_5,17,FALSE)</f>
      </c>
      <c r="T709" s="86">
        <f t="shared" si="193"/>
        <v/>
      </c>
      <c r="U709" s="86">
        <f t="shared" si="194"/>
        <v/>
      </c>
      <c r="V709" s="86">
        <f t="shared" si="195"/>
        <v/>
      </c>
      <c r="W709" s="87">
        <f t="shared" ref="W709:W772" si="201">VLOOKUP(P709,Исходные_данные,13,FALSE)</f>
      </c>
      <c r="X709" s="88"/>
      <c r="Y709" s="88"/>
      <c r="Z709" s="88"/>
      <c r="AA709" s="88"/>
      <c r="AB709" s="88"/>
      <c r="AD709" s="86">
        <f t="shared" ref="AD709:AD772" si="202">VLOOKUP(S709,Кабель_диаметр,4,FALSE)</f>
      </c>
      <c r="AE709" s="86">
        <f t="shared" ref="AE709:AE772" si="203">VLOOKUP(S709,Кабель_диаметр,5,FALSE)</f>
      </c>
      <c r="AG709" s="86">
        <f t="shared" ref="AG709:AG772" si="204">IFERROR(VLOOKUP(P709,Исходные_данные,10,FALSE),0)</f>
      </c>
      <c r="AH709" s="86">
        <f t="shared" ref="AH709:AH772" si="205">IFERROR(VLOOKUP(P709,Исходные_данные,11,FALSE),0)</f>
      </c>
      <c r="AI709" s="86">
        <f t="shared" ref="AI709:AI772" si="206">IFERROR(VLOOKUP(P709,Исходные_данные,12,FALSE),0)</f>
      </c>
    </row>
    <row r="710" spans="6:35" x14ac:dyDescent="0.3">
      <c r="F710" s="26">
        <f>IF(G710=1,MAX($F$4:F709)+1,"")</f>
        <v/>
      </c>
      <c r="G710" s="26">
        <f>COUNTIF($H$5:H710,H710)</f>
      </c>
      <c r="H710" s="26">
        <f t="shared" ref="H710:H773" si="207">S710&amp;" "&amp;K710</f>
      </c>
      <c r="I710" s="26">
        <f>COUNTIF($J$4:$J710,1)</f>
      </c>
      <c r="J710" s="26">
        <f>COUNTIF($S$5:$S710,S710)</f>
      </c>
      <c r="K710" s="26">
        <f t="shared" si="196"/>
      </c>
      <c r="L710" s="26">
        <f>IFERROR(IF(P710=0,0,MAX($L$4:L709)+1),0)</f>
      </c>
      <c r="M710" s="5">
        <f t="shared" ref="M710:M773" si="208">LEFT(P710,SEARCH(".",P710)-1)</f>
      </c>
      <c r="N710" s="5">
        <f t="shared" ref="N710:N773" si="209">LEFT(RIGHT(P710,LEN(P710)-LEN(M710)-1),SEARCH(".",P710)-1)</f>
      </c>
      <c r="P710" s="86">
        <f t="shared" si="197"/>
      </c>
      <c r="Q710" s="86">
        <f t="shared" si="198"/>
      </c>
      <c r="R710" s="86">
        <f t="shared" si="199"/>
      </c>
      <c r="S710" s="86">
        <f t="shared" si="200"/>
      </c>
      <c r="T710" s="86">
        <f t="shared" ref="T710:T773" si="210">IF(AG710=0,"","L="&amp;AG710)</f>
        <v/>
      </c>
      <c r="U710" s="86">
        <f t="shared" ref="U710:U773" si="211">IF(AH710=0,"",AD710&amp;" L="&amp;AH710)</f>
        <v/>
      </c>
      <c r="V710" s="86">
        <f t="shared" ref="V710:V773" si="212">IF(AI710=0,"",AE710&amp;" L="&amp;AI710)</f>
        <v/>
      </c>
      <c r="W710" s="87">
        <f t="shared" si="201"/>
      </c>
      <c r="X710" s="88"/>
      <c r="Y710" s="88"/>
      <c r="Z710" s="88"/>
      <c r="AA710" s="88"/>
      <c r="AB710" s="88"/>
      <c r="AD710" s="86">
        <f t="shared" si="202"/>
      </c>
      <c r="AE710" s="86">
        <f t="shared" si="203"/>
      </c>
      <c r="AG710" s="86">
        <f t="shared" si="204"/>
      </c>
      <c r="AH710" s="86">
        <f t="shared" si="205"/>
      </c>
      <c r="AI710" s="86">
        <f t="shared" si="206"/>
      </c>
    </row>
    <row r="711" spans="6:35" x14ac:dyDescent="0.3">
      <c r="F711" s="26">
        <f>IF(G711=1,MAX($F$4:F710)+1,"")</f>
        <v/>
      </c>
      <c r="G711" s="26">
        <f>COUNTIF($H$5:H711,H711)</f>
      </c>
      <c r="H711" s="26">
        <f t="shared" si="207"/>
      </c>
      <c r="I711" s="26">
        <f>COUNTIF($J$4:$J711,1)</f>
      </c>
      <c r="J711" s="26">
        <f>COUNTIF($S$5:$S711,S711)</f>
      </c>
      <c r="K711" s="26">
        <f t="shared" si="196"/>
      </c>
      <c r="L711" s="26">
        <f>IFERROR(IF(P711=0,0,MAX($L$4:L710)+1),0)</f>
      </c>
      <c r="M711" s="5">
        <f t="shared" si="208"/>
      </c>
      <c r="N711" s="5">
        <f t="shared" si="209"/>
      </c>
      <c r="P711" s="86">
        <f t="shared" si="197"/>
      </c>
      <c r="Q711" s="86">
        <f t="shared" si="198"/>
      </c>
      <c r="R711" s="86">
        <f t="shared" si="199"/>
      </c>
      <c r="S711" s="86">
        <f t="shared" si="200"/>
      </c>
      <c r="T711" s="86">
        <f t="shared" si="210"/>
        <v/>
      </c>
      <c r="U711" s="86">
        <f t="shared" si="211"/>
        <v/>
      </c>
      <c r="V711" s="86">
        <f t="shared" si="212"/>
        <v/>
      </c>
      <c r="W711" s="87">
        <f t="shared" si="201"/>
      </c>
      <c r="X711" s="88"/>
      <c r="Y711" s="88"/>
      <c r="Z711" s="88"/>
      <c r="AA711" s="88"/>
      <c r="AB711" s="88"/>
      <c r="AD711" s="86">
        <f t="shared" si="202"/>
      </c>
      <c r="AE711" s="86">
        <f t="shared" si="203"/>
      </c>
      <c r="AG711" s="86">
        <f t="shared" si="204"/>
      </c>
      <c r="AH711" s="86">
        <f t="shared" si="205"/>
      </c>
      <c r="AI711" s="86">
        <f t="shared" si="206"/>
      </c>
    </row>
    <row r="712" spans="6:35" x14ac:dyDescent="0.3">
      <c r="F712" s="26">
        <f>IF(G712=1,MAX($F$4:F711)+1,"")</f>
        <v/>
      </c>
      <c r="G712" s="26">
        <f>COUNTIF($H$5:H712,H712)</f>
      </c>
      <c r="H712" s="26">
        <f t="shared" si="207"/>
      </c>
      <c r="I712" s="26">
        <f>COUNTIF($J$4:$J712,1)</f>
      </c>
      <c r="J712" s="26">
        <f>COUNTIF($S$5:$S712,S712)</f>
      </c>
      <c r="K712" s="26">
        <f t="shared" si="196"/>
      </c>
      <c r="L712" s="26">
        <f>IFERROR(IF(P712=0,0,MAX($L$4:L711)+1),0)</f>
      </c>
      <c r="M712" s="5">
        <f t="shared" si="208"/>
      </c>
      <c r="N712" s="5">
        <f t="shared" si="209"/>
      </c>
      <c r="P712" s="86">
        <f t="shared" si="197"/>
      </c>
      <c r="Q712" s="86">
        <f t="shared" si="198"/>
      </c>
      <c r="R712" s="86">
        <f t="shared" si="199"/>
      </c>
      <c r="S712" s="86">
        <f t="shared" si="200"/>
      </c>
      <c r="T712" s="86">
        <f t="shared" si="210"/>
        <v/>
      </c>
      <c r="U712" s="86">
        <f t="shared" si="211"/>
        <v/>
      </c>
      <c r="V712" s="86">
        <f t="shared" si="212"/>
        <v/>
      </c>
      <c r="W712" s="87">
        <f t="shared" si="201"/>
      </c>
      <c r="X712" s="88"/>
      <c r="Y712" s="88"/>
      <c r="Z712" s="88"/>
      <c r="AA712" s="88"/>
      <c r="AB712" s="88"/>
      <c r="AD712" s="86">
        <f t="shared" si="202"/>
      </c>
      <c r="AE712" s="86">
        <f t="shared" si="203"/>
      </c>
      <c r="AG712" s="86">
        <f t="shared" si="204"/>
      </c>
      <c r="AH712" s="86">
        <f t="shared" si="205"/>
      </c>
      <c r="AI712" s="86">
        <f t="shared" si="206"/>
      </c>
    </row>
    <row r="713" spans="6:35" x14ac:dyDescent="0.3">
      <c r="F713" s="26">
        <f>IF(G713=1,MAX($F$4:F712)+1,"")</f>
        <v/>
      </c>
      <c r="G713" s="26">
        <f>COUNTIF($H$5:H713,H713)</f>
      </c>
      <c r="H713" s="26">
        <f t="shared" si="207"/>
      </c>
      <c r="I713" s="26">
        <f>COUNTIF($J$4:$J713,1)</f>
      </c>
      <c r="J713" s="26">
        <f>COUNTIF($S$5:$S713,S713)</f>
      </c>
      <c r="K713" s="26">
        <f t="shared" si="196"/>
      </c>
      <c r="L713" s="26">
        <f>IFERROR(IF(P713=0,0,MAX($L$4:L712)+1),0)</f>
      </c>
      <c r="M713" s="5">
        <f t="shared" si="208"/>
      </c>
      <c r="N713" s="5">
        <f t="shared" si="209"/>
      </c>
      <c r="P713" s="86">
        <f t="shared" si="197"/>
      </c>
      <c r="Q713" s="86">
        <f t="shared" si="198"/>
      </c>
      <c r="R713" s="86">
        <f t="shared" si="199"/>
      </c>
      <c r="S713" s="86">
        <f t="shared" si="200"/>
      </c>
      <c r="T713" s="86">
        <f t="shared" si="210"/>
        <v/>
      </c>
      <c r="U713" s="86">
        <f t="shared" si="211"/>
        <v/>
      </c>
      <c r="V713" s="86">
        <f t="shared" si="212"/>
        <v/>
      </c>
      <c r="W713" s="87">
        <f t="shared" si="201"/>
      </c>
      <c r="X713" s="88"/>
      <c r="Y713" s="88"/>
      <c r="Z713" s="88"/>
      <c r="AA713" s="88"/>
      <c r="AB713" s="88"/>
      <c r="AD713" s="86">
        <f t="shared" si="202"/>
      </c>
      <c r="AE713" s="86">
        <f t="shared" si="203"/>
      </c>
      <c r="AG713" s="86">
        <f t="shared" si="204"/>
      </c>
      <c r="AH713" s="86">
        <f t="shared" si="205"/>
      </c>
      <c r="AI713" s="86">
        <f t="shared" si="206"/>
      </c>
    </row>
    <row r="714" spans="6:35" x14ac:dyDescent="0.3">
      <c r="F714" s="26">
        <f>IF(G714=1,MAX($F$4:F713)+1,"")</f>
        <v/>
      </c>
      <c r="G714" s="26">
        <f>COUNTIF($H$5:H714,H714)</f>
      </c>
      <c r="H714" s="26">
        <f t="shared" si="207"/>
      </c>
      <c r="I714" s="26">
        <f>COUNTIF($J$4:$J714,1)</f>
      </c>
      <c r="J714" s="26">
        <f>COUNTIF($S$5:$S714,S714)</f>
      </c>
      <c r="K714" s="26">
        <f t="shared" si="196"/>
      </c>
      <c r="L714" s="26">
        <f>IFERROR(IF(P714=0,0,MAX($L$4:L713)+1),0)</f>
      </c>
      <c r="M714" s="5">
        <f t="shared" si="208"/>
      </c>
      <c r="N714" s="5">
        <f t="shared" si="209"/>
      </c>
      <c r="P714" s="86">
        <f t="shared" si="197"/>
      </c>
      <c r="Q714" s="86">
        <f t="shared" si="198"/>
      </c>
      <c r="R714" s="86">
        <f t="shared" si="199"/>
      </c>
      <c r="S714" s="86">
        <f t="shared" si="200"/>
      </c>
      <c r="T714" s="86">
        <f t="shared" si="210"/>
        <v/>
      </c>
      <c r="U714" s="86">
        <f t="shared" si="211"/>
        <v/>
      </c>
      <c r="V714" s="86">
        <f t="shared" si="212"/>
        <v/>
      </c>
      <c r="W714" s="87">
        <f t="shared" si="201"/>
      </c>
      <c r="X714" s="88"/>
      <c r="Y714" s="88"/>
      <c r="Z714" s="88"/>
      <c r="AA714" s="88"/>
      <c r="AB714" s="88"/>
      <c r="AD714" s="86">
        <f t="shared" si="202"/>
      </c>
      <c r="AE714" s="86">
        <f t="shared" si="203"/>
      </c>
      <c r="AG714" s="86">
        <f t="shared" si="204"/>
      </c>
      <c r="AH714" s="86">
        <f t="shared" si="205"/>
      </c>
      <c r="AI714" s="86">
        <f t="shared" si="206"/>
      </c>
    </row>
    <row r="715" spans="6:35" x14ac:dyDescent="0.3">
      <c r="F715" s="26">
        <f>IF(G715=1,MAX($F$4:F714)+1,"")</f>
        <v/>
      </c>
      <c r="G715" s="26">
        <f>COUNTIF($H$5:H715,H715)</f>
      </c>
      <c r="H715" s="26">
        <f t="shared" si="207"/>
      </c>
      <c r="I715" s="26">
        <f>COUNTIF($J$4:$J715,1)</f>
      </c>
      <c r="J715" s="26">
        <f>COUNTIF($S$5:$S715,S715)</f>
      </c>
      <c r="K715" s="26">
        <f t="shared" si="196"/>
      </c>
      <c r="L715" s="26">
        <f>IFERROR(IF(P715=0,0,MAX($L$4:L714)+1),0)</f>
      </c>
      <c r="M715" s="5">
        <f t="shared" si="208"/>
      </c>
      <c r="N715" s="5">
        <f t="shared" si="209"/>
      </c>
      <c r="P715" s="86">
        <f t="shared" si="197"/>
      </c>
      <c r="Q715" s="86">
        <f t="shared" si="198"/>
      </c>
      <c r="R715" s="86">
        <f t="shared" si="199"/>
      </c>
      <c r="S715" s="86">
        <f t="shared" si="200"/>
      </c>
      <c r="T715" s="86">
        <f t="shared" si="210"/>
        <v/>
      </c>
      <c r="U715" s="86">
        <f t="shared" si="211"/>
        <v/>
      </c>
      <c r="V715" s="86">
        <f t="shared" si="212"/>
        <v/>
      </c>
      <c r="W715" s="87">
        <f t="shared" si="201"/>
      </c>
      <c r="X715" s="88"/>
      <c r="Y715" s="88"/>
      <c r="Z715" s="88"/>
      <c r="AA715" s="88"/>
      <c r="AB715" s="88"/>
      <c r="AD715" s="86">
        <f t="shared" si="202"/>
      </c>
      <c r="AE715" s="86">
        <f t="shared" si="203"/>
      </c>
      <c r="AG715" s="86">
        <f t="shared" si="204"/>
      </c>
      <c r="AH715" s="86">
        <f t="shared" si="205"/>
      </c>
      <c r="AI715" s="86">
        <f t="shared" si="206"/>
      </c>
    </row>
    <row r="716" spans="6:35" x14ac:dyDescent="0.3">
      <c r="F716" s="26">
        <f>IF(G716=1,MAX($F$4:F715)+1,"")</f>
        <v/>
      </c>
      <c r="G716" s="26">
        <f>COUNTIF($H$5:H716,H716)</f>
      </c>
      <c r="H716" s="26">
        <f t="shared" si="207"/>
      </c>
      <c r="I716" s="26">
        <f>COUNTIF($J$4:$J716,1)</f>
      </c>
      <c r="J716" s="26">
        <f>COUNTIF($S$5:$S716,S716)</f>
      </c>
      <c r="K716" s="26">
        <f t="shared" si="196"/>
      </c>
      <c r="L716" s="26">
        <f>IFERROR(IF(P716=0,0,MAX($L$4:L715)+1),0)</f>
      </c>
      <c r="M716" s="5">
        <f t="shared" si="208"/>
      </c>
      <c r="N716" s="5">
        <f t="shared" si="209"/>
      </c>
      <c r="P716" s="86">
        <f t="shared" si="197"/>
      </c>
      <c r="Q716" s="86">
        <f t="shared" si="198"/>
      </c>
      <c r="R716" s="86">
        <f t="shared" si="199"/>
      </c>
      <c r="S716" s="86">
        <f t="shared" si="200"/>
      </c>
      <c r="T716" s="86">
        <f t="shared" si="210"/>
        <v/>
      </c>
      <c r="U716" s="86">
        <f t="shared" si="211"/>
        <v/>
      </c>
      <c r="V716" s="86">
        <f t="shared" si="212"/>
        <v/>
      </c>
      <c r="W716" s="87">
        <f t="shared" si="201"/>
      </c>
      <c r="X716" s="88"/>
      <c r="Y716" s="88"/>
      <c r="Z716" s="88"/>
      <c r="AA716" s="88"/>
      <c r="AB716" s="88"/>
      <c r="AD716" s="86">
        <f t="shared" si="202"/>
      </c>
      <c r="AE716" s="86">
        <f t="shared" si="203"/>
      </c>
      <c r="AG716" s="86">
        <f t="shared" si="204"/>
      </c>
      <c r="AH716" s="86">
        <f t="shared" si="205"/>
      </c>
      <c r="AI716" s="86">
        <f t="shared" si="206"/>
      </c>
    </row>
    <row r="717" spans="6:35" x14ac:dyDescent="0.3">
      <c r="F717" s="26">
        <f>IF(G717=1,MAX($F$4:F716)+1,"")</f>
        <v/>
      </c>
      <c r="G717" s="26">
        <f>COUNTIF($H$5:H717,H717)</f>
      </c>
      <c r="H717" s="26">
        <f t="shared" si="207"/>
      </c>
      <c r="I717" s="26">
        <f>COUNTIF($J$4:$J717,1)</f>
      </c>
      <c r="J717" s="26">
        <f>COUNTIF($S$5:$S717,S717)</f>
      </c>
      <c r="K717" s="26">
        <f t="shared" si="196"/>
      </c>
      <c r="L717" s="26">
        <f>IFERROR(IF(P717=0,0,MAX($L$4:L716)+1),0)</f>
      </c>
      <c r="M717" s="5">
        <f t="shared" si="208"/>
      </c>
      <c r="N717" s="5">
        <f t="shared" si="209"/>
      </c>
      <c r="P717" s="86">
        <f t="shared" si="197"/>
      </c>
      <c r="Q717" s="86">
        <f t="shared" si="198"/>
      </c>
      <c r="R717" s="86">
        <f t="shared" si="199"/>
      </c>
      <c r="S717" s="86">
        <f t="shared" si="200"/>
      </c>
      <c r="T717" s="86">
        <f t="shared" si="210"/>
        <v/>
      </c>
      <c r="U717" s="86">
        <f t="shared" si="211"/>
        <v/>
      </c>
      <c r="V717" s="86">
        <f t="shared" si="212"/>
        <v/>
      </c>
      <c r="W717" s="87">
        <f t="shared" si="201"/>
      </c>
      <c r="X717" s="88"/>
      <c r="Y717" s="88"/>
      <c r="Z717" s="88"/>
      <c r="AA717" s="88"/>
      <c r="AB717" s="88"/>
      <c r="AD717" s="86">
        <f t="shared" si="202"/>
      </c>
      <c r="AE717" s="86">
        <f t="shared" si="203"/>
      </c>
      <c r="AG717" s="86">
        <f t="shared" si="204"/>
      </c>
      <c r="AH717" s="86">
        <f t="shared" si="205"/>
      </c>
      <c r="AI717" s="86">
        <f t="shared" si="206"/>
      </c>
    </row>
    <row r="718" spans="6:35" x14ac:dyDescent="0.3">
      <c r="F718" s="26">
        <f>IF(G718=1,MAX($F$4:F717)+1,"")</f>
        <v/>
      </c>
      <c r="G718" s="26">
        <f>COUNTIF($H$5:H718,H718)</f>
      </c>
      <c r="H718" s="26">
        <f t="shared" si="207"/>
      </c>
      <c r="I718" s="26">
        <f>COUNTIF($J$4:$J718,1)</f>
      </c>
      <c r="J718" s="26">
        <f>COUNTIF($S$5:$S718,S718)</f>
      </c>
      <c r="K718" s="26">
        <f t="shared" si="196"/>
      </c>
      <c r="L718" s="26">
        <f>IFERROR(IF(P718=0,0,MAX($L$4:L717)+1),0)</f>
      </c>
      <c r="M718" s="5">
        <f t="shared" si="208"/>
      </c>
      <c r="N718" s="5">
        <f t="shared" si="209"/>
      </c>
      <c r="P718" s="86">
        <f t="shared" si="197"/>
      </c>
      <c r="Q718" s="86">
        <f t="shared" si="198"/>
      </c>
      <c r="R718" s="86">
        <f t="shared" si="199"/>
      </c>
      <c r="S718" s="86">
        <f t="shared" si="200"/>
      </c>
      <c r="T718" s="86">
        <f t="shared" si="210"/>
        <v/>
      </c>
      <c r="U718" s="86">
        <f t="shared" si="211"/>
        <v/>
      </c>
      <c r="V718" s="86">
        <f t="shared" si="212"/>
        <v/>
      </c>
      <c r="W718" s="87">
        <f t="shared" si="201"/>
      </c>
      <c r="X718" s="88"/>
      <c r="Y718" s="88"/>
      <c r="Z718" s="88"/>
      <c r="AA718" s="88"/>
      <c r="AB718" s="88"/>
      <c r="AD718" s="86">
        <f t="shared" si="202"/>
      </c>
      <c r="AE718" s="86">
        <f t="shared" si="203"/>
      </c>
      <c r="AG718" s="86">
        <f t="shared" si="204"/>
      </c>
      <c r="AH718" s="86">
        <f t="shared" si="205"/>
      </c>
      <c r="AI718" s="86">
        <f t="shared" si="206"/>
      </c>
    </row>
    <row r="719" spans="6:35" x14ac:dyDescent="0.3">
      <c r="F719" s="26">
        <f>IF(G719=1,MAX($F$4:F718)+1,"")</f>
        <v/>
      </c>
      <c r="G719" s="26">
        <f>COUNTIF($H$5:H719,H719)</f>
      </c>
      <c r="H719" s="26">
        <f t="shared" si="207"/>
      </c>
      <c r="I719" s="26">
        <f>COUNTIF($J$4:$J719,1)</f>
      </c>
      <c r="J719" s="26">
        <f>COUNTIF($S$5:$S719,S719)</f>
      </c>
      <c r="K719" s="26">
        <f t="shared" si="196"/>
      </c>
      <c r="L719" s="26">
        <f>IFERROR(IF(P719=0,0,MAX($L$4:L718)+1),0)</f>
      </c>
      <c r="M719" s="5">
        <f t="shared" si="208"/>
      </c>
      <c r="N719" s="5">
        <f t="shared" si="209"/>
      </c>
      <c r="P719" s="86">
        <f t="shared" si="197"/>
      </c>
      <c r="Q719" s="86">
        <f t="shared" si="198"/>
      </c>
      <c r="R719" s="86">
        <f t="shared" si="199"/>
      </c>
      <c r="S719" s="86">
        <f t="shared" si="200"/>
      </c>
      <c r="T719" s="86">
        <f t="shared" si="210"/>
        <v/>
      </c>
      <c r="U719" s="86">
        <f t="shared" si="211"/>
        <v/>
      </c>
      <c r="V719" s="86">
        <f t="shared" si="212"/>
        <v/>
      </c>
      <c r="W719" s="87">
        <f t="shared" si="201"/>
      </c>
      <c r="X719" s="88"/>
      <c r="Y719" s="88"/>
      <c r="Z719" s="88"/>
      <c r="AA719" s="88"/>
      <c r="AB719" s="88"/>
      <c r="AD719" s="86">
        <f t="shared" si="202"/>
      </c>
      <c r="AE719" s="86">
        <f t="shared" si="203"/>
      </c>
      <c r="AG719" s="86">
        <f t="shared" si="204"/>
      </c>
      <c r="AH719" s="86">
        <f t="shared" si="205"/>
      </c>
      <c r="AI719" s="86">
        <f t="shared" si="206"/>
      </c>
    </row>
    <row r="720" spans="6:35" x14ac:dyDescent="0.3">
      <c r="F720" s="26">
        <f>IF(G720=1,MAX($F$4:F719)+1,"")</f>
        <v/>
      </c>
      <c r="G720" s="26">
        <f>COUNTIF($H$5:H720,H720)</f>
      </c>
      <c r="H720" s="26">
        <f t="shared" si="207"/>
      </c>
      <c r="I720" s="26">
        <f>COUNTIF($J$4:$J720,1)</f>
      </c>
      <c r="J720" s="26">
        <f>COUNTIF($S$5:$S720,S720)</f>
      </c>
      <c r="K720" s="26">
        <f t="shared" si="196"/>
      </c>
      <c r="L720" s="26">
        <f>IFERROR(IF(P720=0,0,MAX($L$4:L719)+1),0)</f>
      </c>
      <c r="M720" s="5">
        <f t="shared" si="208"/>
      </c>
      <c r="N720" s="5">
        <f t="shared" si="209"/>
      </c>
      <c r="P720" s="86">
        <f t="shared" si="197"/>
      </c>
      <c r="Q720" s="86">
        <f t="shared" si="198"/>
      </c>
      <c r="R720" s="86">
        <f t="shared" si="199"/>
      </c>
      <c r="S720" s="86">
        <f t="shared" si="200"/>
      </c>
      <c r="T720" s="86">
        <f t="shared" si="210"/>
        <v/>
      </c>
      <c r="U720" s="86">
        <f t="shared" si="211"/>
        <v/>
      </c>
      <c r="V720" s="86">
        <f t="shared" si="212"/>
        <v/>
      </c>
      <c r="W720" s="87">
        <f t="shared" si="201"/>
      </c>
      <c r="X720" s="88"/>
      <c r="Y720" s="88"/>
      <c r="Z720" s="88"/>
      <c r="AA720" s="88"/>
      <c r="AB720" s="88"/>
      <c r="AD720" s="86">
        <f t="shared" si="202"/>
      </c>
      <c r="AE720" s="86">
        <f t="shared" si="203"/>
      </c>
      <c r="AG720" s="86">
        <f t="shared" si="204"/>
      </c>
      <c r="AH720" s="86">
        <f t="shared" si="205"/>
      </c>
      <c r="AI720" s="86">
        <f t="shared" si="206"/>
      </c>
    </row>
    <row r="721" spans="6:35" x14ac:dyDescent="0.3">
      <c r="F721" s="26">
        <f>IF(G721=1,MAX($F$4:F720)+1,"")</f>
        <v/>
      </c>
      <c r="G721" s="26">
        <f>COUNTIF($H$5:H721,H721)</f>
      </c>
      <c r="H721" s="26">
        <f t="shared" si="207"/>
      </c>
      <c r="I721" s="26">
        <f>COUNTIF($J$4:$J721,1)</f>
      </c>
      <c r="J721" s="26">
        <f>COUNTIF($S$5:$S721,S721)</f>
      </c>
      <c r="K721" s="26">
        <f t="shared" si="196"/>
      </c>
      <c r="L721" s="26">
        <f>IFERROR(IF(P721=0,0,MAX($L$4:L720)+1),0)</f>
      </c>
      <c r="M721" s="5">
        <f t="shared" si="208"/>
      </c>
      <c r="N721" s="5">
        <f t="shared" si="209"/>
      </c>
      <c r="P721" s="86">
        <f t="shared" si="197"/>
      </c>
      <c r="Q721" s="86">
        <f t="shared" si="198"/>
      </c>
      <c r="R721" s="86">
        <f t="shared" si="199"/>
      </c>
      <c r="S721" s="86">
        <f t="shared" si="200"/>
      </c>
      <c r="T721" s="86">
        <f t="shared" si="210"/>
        <v/>
      </c>
      <c r="U721" s="86">
        <f t="shared" si="211"/>
        <v/>
      </c>
      <c r="V721" s="86">
        <f t="shared" si="212"/>
        <v/>
      </c>
      <c r="W721" s="87">
        <f t="shared" si="201"/>
      </c>
      <c r="X721" s="88"/>
      <c r="Y721" s="88"/>
      <c r="Z721" s="88"/>
      <c r="AA721" s="88"/>
      <c r="AB721" s="88"/>
      <c r="AD721" s="86">
        <f t="shared" si="202"/>
      </c>
      <c r="AE721" s="86">
        <f t="shared" si="203"/>
      </c>
      <c r="AG721" s="86">
        <f t="shared" si="204"/>
      </c>
      <c r="AH721" s="86">
        <f t="shared" si="205"/>
      </c>
      <c r="AI721" s="86">
        <f t="shared" si="206"/>
      </c>
    </row>
    <row r="722" spans="6:35" x14ac:dyDescent="0.3">
      <c r="F722" s="26">
        <f>IF(G722=1,MAX($F$4:F721)+1,"")</f>
        <v/>
      </c>
      <c r="G722" s="26">
        <f>COUNTIF($H$5:H722,H722)</f>
      </c>
      <c r="H722" s="26">
        <f t="shared" si="207"/>
      </c>
      <c r="I722" s="26">
        <f>COUNTIF($J$4:$J722,1)</f>
      </c>
      <c r="J722" s="26">
        <f>COUNTIF($S$5:$S722,S722)</f>
      </c>
      <c r="K722" s="26">
        <f t="shared" si="196"/>
      </c>
      <c r="L722" s="26">
        <f>IFERROR(IF(P722=0,0,MAX($L$4:L721)+1),0)</f>
      </c>
      <c r="M722" s="5">
        <f t="shared" si="208"/>
      </c>
      <c r="N722" s="5">
        <f t="shared" si="209"/>
      </c>
      <c r="P722" s="86">
        <f t="shared" si="197"/>
      </c>
      <c r="Q722" s="86">
        <f t="shared" si="198"/>
      </c>
      <c r="R722" s="86">
        <f t="shared" si="199"/>
      </c>
      <c r="S722" s="86">
        <f t="shared" si="200"/>
      </c>
      <c r="T722" s="86">
        <f t="shared" si="210"/>
        <v/>
      </c>
      <c r="U722" s="86">
        <f t="shared" si="211"/>
        <v/>
      </c>
      <c r="V722" s="86">
        <f t="shared" si="212"/>
        <v/>
      </c>
      <c r="W722" s="87">
        <f t="shared" si="201"/>
      </c>
      <c r="X722" s="88"/>
      <c r="Y722" s="88"/>
      <c r="Z722" s="88"/>
      <c r="AA722" s="88"/>
      <c r="AB722" s="88"/>
      <c r="AD722" s="86">
        <f t="shared" si="202"/>
      </c>
      <c r="AE722" s="86">
        <f t="shared" si="203"/>
      </c>
      <c r="AG722" s="86">
        <f t="shared" si="204"/>
      </c>
      <c r="AH722" s="86">
        <f t="shared" si="205"/>
      </c>
      <c r="AI722" s="86">
        <f t="shared" si="206"/>
      </c>
    </row>
    <row r="723" spans="6:35" x14ac:dyDescent="0.3">
      <c r="F723" s="26">
        <f>IF(G723=1,MAX($F$4:F722)+1,"")</f>
        <v/>
      </c>
      <c r="G723" s="26">
        <f>COUNTIF($H$5:H723,H723)</f>
      </c>
      <c r="H723" s="26">
        <f t="shared" si="207"/>
      </c>
      <c r="I723" s="26">
        <f>COUNTIF($J$4:$J723,1)</f>
      </c>
      <c r="J723" s="26">
        <f>COUNTIF($S$5:$S723,S723)</f>
      </c>
      <c r="K723" s="26">
        <f t="shared" si="196"/>
      </c>
      <c r="L723" s="26">
        <f>IFERROR(IF(P723=0,0,MAX($L$4:L722)+1),0)</f>
      </c>
      <c r="M723" s="5">
        <f t="shared" si="208"/>
      </c>
      <c r="N723" s="5">
        <f t="shared" si="209"/>
      </c>
      <c r="P723" s="86">
        <f t="shared" si="197"/>
      </c>
      <c r="Q723" s="86">
        <f t="shared" si="198"/>
      </c>
      <c r="R723" s="86">
        <f t="shared" si="199"/>
      </c>
      <c r="S723" s="86">
        <f t="shared" si="200"/>
      </c>
      <c r="T723" s="86">
        <f t="shared" si="210"/>
        <v/>
      </c>
      <c r="U723" s="86">
        <f t="shared" si="211"/>
        <v/>
      </c>
      <c r="V723" s="86">
        <f t="shared" si="212"/>
        <v/>
      </c>
      <c r="W723" s="87">
        <f t="shared" si="201"/>
      </c>
      <c r="X723" s="88"/>
      <c r="Y723" s="88"/>
      <c r="Z723" s="88"/>
      <c r="AA723" s="88"/>
      <c r="AB723" s="88"/>
      <c r="AD723" s="86">
        <f t="shared" si="202"/>
      </c>
      <c r="AE723" s="86">
        <f t="shared" si="203"/>
      </c>
      <c r="AG723" s="86">
        <f t="shared" si="204"/>
      </c>
      <c r="AH723" s="86">
        <f t="shared" si="205"/>
      </c>
      <c r="AI723" s="86">
        <f t="shared" si="206"/>
      </c>
    </row>
    <row r="724" spans="6:35" x14ac:dyDescent="0.3">
      <c r="F724" s="26">
        <f>IF(G724=1,MAX($F$4:F723)+1,"")</f>
        <v/>
      </c>
      <c r="G724" s="26">
        <f>COUNTIF($H$5:H724,H724)</f>
      </c>
      <c r="H724" s="26">
        <f t="shared" si="207"/>
      </c>
      <c r="I724" s="26">
        <f>COUNTIF($J$4:$J724,1)</f>
      </c>
      <c r="J724" s="26">
        <f>COUNTIF($S$5:$S724,S724)</f>
      </c>
      <c r="K724" s="26">
        <f t="shared" si="196"/>
      </c>
      <c r="L724" s="26">
        <f>IFERROR(IF(P724=0,0,MAX($L$4:L723)+1),0)</f>
      </c>
      <c r="M724" s="5">
        <f t="shared" si="208"/>
      </c>
      <c r="N724" s="5">
        <f t="shared" si="209"/>
      </c>
      <c r="P724" s="86">
        <f t="shared" si="197"/>
      </c>
      <c r="Q724" s="86">
        <f t="shared" si="198"/>
      </c>
      <c r="R724" s="86">
        <f t="shared" si="199"/>
      </c>
      <c r="S724" s="86">
        <f t="shared" si="200"/>
      </c>
      <c r="T724" s="86">
        <f t="shared" si="210"/>
        <v/>
      </c>
      <c r="U724" s="86">
        <f t="shared" si="211"/>
        <v/>
      </c>
      <c r="V724" s="86">
        <f t="shared" si="212"/>
        <v/>
      </c>
      <c r="W724" s="87">
        <f t="shared" si="201"/>
      </c>
      <c r="X724" s="88"/>
      <c r="Y724" s="88"/>
      <c r="Z724" s="88"/>
      <c r="AA724" s="88"/>
      <c r="AB724" s="88"/>
      <c r="AD724" s="86">
        <f t="shared" si="202"/>
      </c>
      <c r="AE724" s="86">
        <f t="shared" si="203"/>
      </c>
      <c r="AG724" s="86">
        <f t="shared" si="204"/>
      </c>
      <c r="AH724" s="86">
        <f t="shared" si="205"/>
      </c>
      <c r="AI724" s="86">
        <f t="shared" si="206"/>
      </c>
    </row>
    <row r="725" spans="6:35" x14ac:dyDescent="0.3">
      <c r="F725" s="26">
        <f>IF(G725=1,MAX($F$4:F724)+1,"")</f>
        <v/>
      </c>
      <c r="G725" s="26">
        <f>COUNTIF($H$5:H725,H725)</f>
      </c>
      <c r="H725" s="26">
        <f t="shared" si="207"/>
      </c>
      <c r="I725" s="26">
        <f>COUNTIF($J$4:$J725,1)</f>
      </c>
      <c r="J725" s="26">
        <f>COUNTIF($S$5:$S725,S725)</f>
      </c>
      <c r="K725" s="26">
        <f t="shared" si="196"/>
      </c>
      <c r="L725" s="26">
        <f>IFERROR(IF(P725=0,0,MAX($L$4:L724)+1),0)</f>
      </c>
      <c r="M725" s="5">
        <f t="shared" si="208"/>
      </c>
      <c r="N725" s="5">
        <f t="shared" si="209"/>
      </c>
      <c r="P725" s="86">
        <f t="shared" si="197"/>
      </c>
      <c r="Q725" s="86">
        <f t="shared" si="198"/>
      </c>
      <c r="R725" s="86">
        <f t="shared" si="199"/>
      </c>
      <c r="S725" s="86">
        <f t="shared" si="200"/>
      </c>
      <c r="T725" s="86">
        <f t="shared" si="210"/>
        <v/>
      </c>
      <c r="U725" s="86">
        <f t="shared" si="211"/>
        <v/>
      </c>
      <c r="V725" s="86">
        <f t="shared" si="212"/>
        <v/>
      </c>
      <c r="W725" s="87">
        <f t="shared" si="201"/>
      </c>
      <c r="X725" s="88"/>
      <c r="Y725" s="88"/>
      <c r="Z725" s="88"/>
      <c r="AA725" s="88"/>
      <c r="AB725" s="88"/>
      <c r="AD725" s="86">
        <f t="shared" si="202"/>
      </c>
      <c r="AE725" s="86">
        <f t="shared" si="203"/>
      </c>
      <c r="AG725" s="86">
        <f t="shared" si="204"/>
      </c>
      <c r="AH725" s="86">
        <f t="shared" si="205"/>
      </c>
      <c r="AI725" s="86">
        <f t="shared" si="206"/>
      </c>
    </row>
    <row r="726" spans="6:35" x14ac:dyDescent="0.3">
      <c r="F726" s="26">
        <f>IF(G726=1,MAX($F$4:F725)+1,"")</f>
        <v/>
      </c>
      <c r="G726" s="26">
        <f>COUNTIF($H$5:H726,H726)</f>
      </c>
      <c r="H726" s="26">
        <f t="shared" si="207"/>
      </c>
      <c r="I726" s="26">
        <f>COUNTIF($J$4:$J726,1)</f>
      </c>
      <c r="J726" s="26">
        <f>COUNTIF($S$5:$S726,S726)</f>
      </c>
      <c r="K726" s="26">
        <f t="shared" si="196"/>
      </c>
      <c r="L726" s="26">
        <f>IFERROR(IF(P726=0,0,MAX($L$4:L725)+1),0)</f>
      </c>
      <c r="M726" s="5">
        <f t="shared" si="208"/>
      </c>
      <c r="N726" s="5">
        <f t="shared" si="209"/>
      </c>
      <c r="P726" s="86">
        <f t="shared" si="197"/>
      </c>
      <c r="Q726" s="86">
        <f t="shared" si="198"/>
      </c>
      <c r="R726" s="86">
        <f t="shared" si="199"/>
      </c>
      <c r="S726" s="86">
        <f t="shared" si="200"/>
      </c>
      <c r="T726" s="86">
        <f t="shared" si="210"/>
        <v/>
      </c>
      <c r="U726" s="86">
        <f t="shared" si="211"/>
        <v/>
      </c>
      <c r="V726" s="86">
        <f t="shared" si="212"/>
        <v/>
      </c>
      <c r="W726" s="87">
        <f t="shared" si="201"/>
      </c>
      <c r="X726" s="88"/>
      <c r="Y726" s="88"/>
      <c r="Z726" s="88"/>
      <c r="AA726" s="88"/>
      <c r="AB726" s="88"/>
      <c r="AD726" s="86">
        <f t="shared" si="202"/>
      </c>
      <c r="AE726" s="86">
        <f t="shared" si="203"/>
      </c>
      <c r="AG726" s="86">
        <f t="shared" si="204"/>
      </c>
      <c r="AH726" s="86">
        <f t="shared" si="205"/>
      </c>
      <c r="AI726" s="86">
        <f t="shared" si="206"/>
      </c>
    </row>
    <row r="727" spans="6:35" x14ac:dyDescent="0.3">
      <c r="F727" s="26">
        <f>IF(G727=1,MAX($F$4:F726)+1,"")</f>
        <v/>
      </c>
      <c r="G727" s="26">
        <f>COUNTIF($H$5:H727,H727)</f>
      </c>
      <c r="H727" s="26">
        <f t="shared" si="207"/>
      </c>
      <c r="I727" s="26">
        <f>COUNTIF($J$4:$J727,1)</f>
      </c>
      <c r="J727" s="26">
        <f>COUNTIF($S$5:$S727,S727)</f>
      </c>
      <c r="K727" s="26">
        <f t="shared" si="196"/>
      </c>
      <c r="L727" s="26">
        <f>IFERROR(IF(P727=0,0,MAX($L$4:L726)+1),0)</f>
      </c>
      <c r="M727" s="5">
        <f t="shared" si="208"/>
      </c>
      <c r="N727" s="5">
        <f t="shared" si="209"/>
      </c>
      <c r="P727" s="86">
        <f t="shared" si="197"/>
      </c>
      <c r="Q727" s="86">
        <f t="shared" si="198"/>
      </c>
      <c r="R727" s="86">
        <f t="shared" si="199"/>
      </c>
      <c r="S727" s="86">
        <f t="shared" si="200"/>
      </c>
      <c r="T727" s="86">
        <f t="shared" si="210"/>
        <v/>
      </c>
      <c r="U727" s="86">
        <f t="shared" si="211"/>
        <v/>
      </c>
      <c r="V727" s="86">
        <f t="shared" si="212"/>
        <v/>
      </c>
      <c r="W727" s="87">
        <f t="shared" si="201"/>
      </c>
      <c r="X727" s="88"/>
      <c r="Y727" s="88"/>
      <c r="Z727" s="88"/>
      <c r="AA727" s="88"/>
      <c r="AB727" s="88"/>
      <c r="AD727" s="86">
        <f t="shared" si="202"/>
      </c>
      <c r="AE727" s="86">
        <f t="shared" si="203"/>
      </c>
      <c r="AG727" s="86">
        <f t="shared" si="204"/>
      </c>
      <c r="AH727" s="86">
        <f t="shared" si="205"/>
      </c>
      <c r="AI727" s="86">
        <f t="shared" si="206"/>
      </c>
    </row>
    <row r="728" spans="6:35" x14ac:dyDescent="0.3">
      <c r="F728" s="26">
        <f>IF(G728=1,MAX($F$4:F727)+1,"")</f>
        <v/>
      </c>
      <c r="G728" s="26">
        <f>COUNTIF($H$5:H728,H728)</f>
      </c>
      <c r="H728" s="26">
        <f t="shared" si="207"/>
      </c>
      <c r="I728" s="26">
        <f>COUNTIF($J$4:$J728,1)</f>
      </c>
      <c r="J728" s="26">
        <f>COUNTIF($S$5:$S728,S728)</f>
      </c>
      <c r="K728" s="26">
        <f t="shared" si="196"/>
      </c>
      <c r="L728" s="26">
        <f>IFERROR(IF(P728=0,0,MAX($L$4:L727)+1),0)</f>
      </c>
      <c r="M728" s="5">
        <f t="shared" si="208"/>
      </c>
      <c r="N728" s="5">
        <f t="shared" si="209"/>
      </c>
      <c r="P728" s="86">
        <f t="shared" si="197"/>
      </c>
      <c r="Q728" s="86">
        <f t="shared" si="198"/>
      </c>
      <c r="R728" s="86">
        <f t="shared" si="199"/>
      </c>
      <c r="S728" s="86">
        <f t="shared" si="200"/>
      </c>
      <c r="T728" s="86">
        <f t="shared" si="210"/>
        <v/>
      </c>
      <c r="U728" s="86">
        <f t="shared" si="211"/>
        <v/>
      </c>
      <c r="V728" s="86">
        <f t="shared" si="212"/>
        <v/>
      </c>
      <c r="W728" s="87">
        <f t="shared" si="201"/>
      </c>
      <c r="X728" s="88"/>
      <c r="Y728" s="88"/>
      <c r="Z728" s="88"/>
      <c r="AA728" s="88"/>
      <c r="AB728" s="88"/>
      <c r="AD728" s="86">
        <f t="shared" si="202"/>
      </c>
      <c r="AE728" s="86">
        <f t="shared" si="203"/>
      </c>
      <c r="AG728" s="86">
        <f t="shared" si="204"/>
      </c>
      <c r="AH728" s="86">
        <f t="shared" si="205"/>
      </c>
      <c r="AI728" s="86">
        <f t="shared" si="206"/>
      </c>
    </row>
    <row r="729" spans="6:35" x14ac:dyDescent="0.3">
      <c r="F729" s="26">
        <f>IF(G729=1,MAX($F$4:F728)+1,"")</f>
        <v/>
      </c>
      <c r="G729" s="26">
        <f>COUNTIF($H$5:H729,H729)</f>
      </c>
      <c r="H729" s="26">
        <f t="shared" si="207"/>
      </c>
      <c r="I729" s="26">
        <f>COUNTIF($J$4:$J729,1)</f>
      </c>
      <c r="J729" s="26">
        <f>COUNTIF($S$5:$S729,S729)</f>
      </c>
      <c r="K729" s="26">
        <f t="shared" si="196"/>
      </c>
      <c r="L729" s="26">
        <f>IFERROR(IF(P729=0,0,MAX($L$4:L728)+1),0)</f>
      </c>
      <c r="M729" s="5">
        <f t="shared" si="208"/>
      </c>
      <c r="N729" s="5">
        <f t="shared" si="209"/>
      </c>
      <c r="P729" s="86">
        <f t="shared" si="197"/>
      </c>
      <c r="Q729" s="86">
        <f t="shared" si="198"/>
      </c>
      <c r="R729" s="86">
        <f t="shared" si="199"/>
      </c>
      <c r="S729" s="86">
        <f t="shared" si="200"/>
      </c>
      <c r="T729" s="86">
        <f t="shared" si="210"/>
        <v/>
      </c>
      <c r="U729" s="86">
        <f t="shared" si="211"/>
        <v/>
      </c>
      <c r="V729" s="86">
        <f t="shared" si="212"/>
        <v/>
      </c>
      <c r="W729" s="87">
        <f t="shared" si="201"/>
      </c>
      <c r="X729" s="88"/>
      <c r="Y729" s="88"/>
      <c r="Z729" s="88"/>
      <c r="AA729" s="88"/>
      <c r="AB729" s="88"/>
      <c r="AD729" s="86">
        <f t="shared" si="202"/>
      </c>
      <c r="AE729" s="86">
        <f t="shared" si="203"/>
      </c>
      <c r="AG729" s="86">
        <f t="shared" si="204"/>
      </c>
      <c r="AH729" s="86">
        <f t="shared" si="205"/>
      </c>
      <c r="AI729" s="86">
        <f t="shared" si="206"/>
      </c>
    </row>
    <row r="730" spans="6:35" x14ac:dyDescent="0.3">
      <c r="F730" s="26">
        <f>IF(G730=1,MAX($F$4:F729)+1,"")</f>
        <v/>
      </c>
      <c r="G730" s="26">
        <f>COUNTIF($H$5:H730,H730)</f>
      </c>
      <c r="H730" s="26">
        <f t="shared" si="207"/>
      </c>
      <c r="I730" s="26">
        <f>COUNTIF($J$4:$J730,1)</f>
      </c>
      <c r="J730" s="26">
        <f>COUNTIF($S$5:$S730,S730)</f>
      </c>
      <c r="K730" s="26">
        <f t="shared" si="196"/>
      </c>
      <c r="L730" s="26">
        <f>IFERROR(IF(P730=0,0,MAX($L$4:L729)+1),0)</f>
      </c>
      <c r="M730" s="5">
        <f t="shared" si="208"/>
      </c>
      <c r="N730" s="5">
        <f t="shared" si="209"/>
      </c>
      <c r="P730" s="86">
        <f t="shared" si="197"/>
      </c>
      <c r="Q730" s="86">
        <f t="shared" si="198"/>
      </c>
      <c r="R730" s="86">
        <f t="shared" si="199"/>
      </c>
      <c r="S730" s="86">
        <f t="shared" si="200"/>
      </c>
      <c r="T730" s="86">
        <f t="shared" si="210"/>
        <v/>
      </c>
      <c r="U730" s="86">
        <f t="shared" si="211"/>
        <v/>
      </c>
      <c r="V730" s="86">
        <f t="shared" si="212"/>
        <v/>
      </c>
      <c r="W730" s="87">
        <f t="shared" si="201"/>
      </c>
      <c r="X730" s="88"/>
      <c r="Y730" s="88"/>
      <c r="Z730" s="88"/>
      <c r="AA730" s="88"/>
      <c r="AB730" s="88"/>
      <c r="AD730" s="86">
        <f t="shared" si="202"/>
      </c>
      <c r="AE730" s="86">
        <f t="shared" si="203"/>
      </c>
      <c r="AG730" s="86">
        <f t="shared" si="204"/>
      </c>
      <c r="AH730" s="86">
        <f t="shared" si="205"/>
      </c>
      <c r="AI730" s="86">
        <f t="shared" si="206"/>
      </c>
    </row>
    <row r="731" spans="6:35" x14ac:dyDescent="0.3">
      <c r="F731" s="26">
        <f>IF(G731=1,MAX($F$4:F730)+1,"")</f>
        <v/>
      </c>
      <c r="G731" s="26">
        <f>COUNTIF($H$5:H731,H731)</f>
      </c>
      <c r="H731" s="26">
        <f t="shared" si="207"/>
      </c>
      <c r="I731" s="26">
        <f>COUNTIF($J$4:$J731,1)</f>
      </c>
      <c r="J731" s="26">
        <f>COUNTIF($S$5:$S731,S731)</f>
      </c>
      <c r="K731" s="26">
        <f t="shared" si="196"/>
      </c>
      <c r="L731" s="26">
        <f>IFERROR(IF(P731=0,0,MAX($L$4:L730)+1),0)</f>
      </c>
      <c r="M731" s="5">
        <f t="shared" si="208"/>
      </c>
      <c r="N731" s="5">
        <f t="shared" si="209"/>
      </c>
      <c r="P731" s="86">
        <f t="shared" si="197"/>
      </c>
      <c r="Q731" s="86">
        <f t="shared" si="198"/>
      </c>
      <c r="R731" s="86">
        <f t="shared" si="199"/>
      </c>
      <c r="S731" s="86">
        <f t="shared" si="200"/>
      </c>
      <c r="T731" s="86">
        <f t="shared" si="210"/>
        <v/>
      </c>
      <c r="U731" s="86">
        <f t="shared" si="211"/>
        <v/>
      </c>
      <c r="V731" s="86">
        <f t="shared" si="212"/>
        <v/>
      </c>
      <c r="W731" s="87">
        <f t="shared" si="201"/>
      </c>
      <c r="X731" s="88"/>
      <c r="Y731" s="88"/>
      <c r="Z731" s="88"/>
      <c r="AA731" s="88"/>
      <c r="AB731" s="88"/>
      <c r="AD731" s="86">
        <f t="shared" si="202"/>
      </c>
      <c r="AE731" s="86">
        <f t="shared" si="203"/>
      </c>
      <c r="AG731" s="86">
        <f t="shared" si="204"/>
      </c>
      <c r="AH731" s="86">
        <f t="shared" si="205"/>
      </c>
      <c r="AI731" s="86">
        <f t="shared" si="206"/>
      </c>
    </row>
    <row r="732" spans="6:35" x14ac:dyDescent="0.3">
      <c r="F732" s="26">
        <f>IF(G732=1,MAX($F$4:F731)+1,"")</f>
        <v/>
      </c>
      <c r="G732" s="26">
        <f>COUNTIF($H$5:H732,H732)</f>
      </c>
      <c r="H732" s="26">
        <f t="shared" si="207"/>
      </c>
      <c r="I732" s="26">
        <f>COUNTIF($J$4:$J732,1)</f>
      </c>
      <c r="J732" s="26">
        <f>COUNTIF($S$5:$S732,S732)</f>
      </c>
      <c r="K732" s="26">
        <f t="shared" si="196"/>
      </c>
      <c r="L732" s="26">
        <f>IFERROR(IF(P732=0,0,MAX($L$4:L731)+1),0)</f>
      </c>
      <c r="M732" s="5">
        <f t="shared" si="208"/>
      </c>
      <c r="N732" s="5">
        <f t="shared" si="209"/>
      </c>
      <c r="P732" s="86">
        <f t="shared" si="197"/>
      </c>
      <c r="Q732" s="86">
        <f t="shared" si="198"/>
      </c>
      <c r="R732" s="86">
        <f t="shared" si="199"/>
      </c>
      <c r="S732" s="86">
        <f t="shared" si="200"/>
      </c>
      <c r="T732" s="86">
        <f t="shared" si="210"/>
        <v/>
      </c>
      <c r="U732" s="86">
        <f t="shared" si="211"/>
        <v/>
      </c>
      <c r="V732" s="86">
        <f t="shared" si="212"/>
        <v/>
      </c>
      <c r="W732" s="87">
        <f t="shared" si="201"/>
      </c>
      <c r="X732" s="88"/>
      <c r="Y732" s="88"/>
      <c r="Z732" s="88"/>
      <c r="AA732" s="88"/>
      <c r="AB732" s="88"/>
      <c r="AD732" s="86">
        <f t="shared" si="202"/>
      </c>
      <c r="AE732" s="86">
        <f t="shared" si="203"/>
      </c>
      <c r="AG732" s="86">
        <f t="shared" si="204"/>
      </c>
      <c r="AH732" s="86">
        <f t="shared" si="205"/>
      </c>
      <c r="AI732" s="86">
        <f t="shared" si="206"/>
      </c>
    </row>
    <row r="733" spans="6:35" x14ac:dyDescent="0.3">
      <c r="F733" s="26">
        <f>IF(G733=1,MAX($F$4:F732)+1,"")</f>
        <v/>
      </c>
      <c r="G733" s="26">
        <f>COUNTIF($H$5:H733,H733)</f>
      </c>
      <c r="H733" s="26">
        <f t="shared" si="207"/>
      </c>
      <c r="I733" s="26">
        <f>COUNTIF($J$4:$J733,1)</f>
      </c>
      <c r="J733" s="26">
        <f>COUNTIF($S$5:$S733,S733)</f>
      </c>
      <c r="K733" s="26">
        <f t="shared" si="196"/>
      </c>
      <c r="L733" s="26">
        <f>IFERROR(IF(P733=0,0,MAX($L$4:L732)+1),0)</f>
      </c>
      <c r="M733" s="5">
        <f t="shared" si="208"/>
      </c>
      <c r="N733" s="5">
        <f t="shared" si="209"/>
      </c>
      <c r="P733" s="86">
        <f t="shared" si="197"/>
      </c>
      <c r="Q733" s="86">
        <f t="shared" si="198"/>
      </c>
      <c r="R733" s="86">
        <f t="shared" si="199"/>
      </c>
      <c r="S733" s="86">
        <f t="shared" si="200"/>
      </c>
      <c r="T733" s="86">
        <f t="shared" si="210"/>
        <v/>
      </c>
      <c r="U733" s="86">
        <f t="shared" si="211"/>
        <v/>
      </c>
      <c r="V733" s="86">
        <f t="shared" si="212"/>
        <v/>
      </c>
      <c r="W733" s="87">
        <f t="shared" si="201"/>
      </c>
      <c r="X733" s="88"/>
      <c r="Y733" s="88"/>
      <c r="Z733" s="88"/>
      <c r="AA733" s="88"/>
      <c r="AB733" s="88"/>
      <c r="AD733" s="86">
        <f t="shared" si="202"/>
      </c>
      <c r="AE733" s="86">
        <f t="shared" si="203"/>
      </c>
      <c r="AG733" s="86">
        <f t="shared" si="204"/>
      </c>
      <c r="AH733" s="86">
        <f t="shared" si="205"/>
      </c>
      <c r="AI733" s="86">
        <f t="shared" si="206"/>
      </c>
    </row>
    <row r="734" spans="6:35" x14ac:dyDescent="0.3">
      <c r="F734" s="26">
        <f>IF(G734=1,MAX($F$4:F733)+1,"")</f>
        <v/>
      </c>
      <c r="G734" s="26">
        <f>COUNTIF($H$5:H734,H734)</f>
      </c>
      <c r="H734" s="26">
        <f t="shared" si="207"/>
      </c>
      <c r="I734" s="26">
        <f>COUNTIF($J$4:$J734,1)</f>
      </c>
      <c r="J734" s="26">
        <f>COUNTIF($S$5:$S734,S734)</f>
      </c>
      <c r="K734" s="26">
        <f t="shared" si="196"/>
      </c>
      <c r="L734" s="26">
        <f>IFERROR(IF(P734=0,0,MAX($L$4:L733)+1),0)</f>
      </c>
      <c r="M734" s="5">
        <f t="shared" si="208"/>
      </c>
      <c r="N734" s="5">
        <f t="shared" si="209"/>
      </c>
      <c r="P734" s="86">
        <f t="shared" si="197"/>
      </c>
      <c r="Q734" s="86">
        <f t="shared" si="198"/>
      </c>
      <c r="R734" s="86">
        <f t="shared" si="199"/>
      </c>
      <c r="S734" s="86">
        <f t="shared" si="200"/>
      </c>
      <c r="T734" s="86">
        <f t="shared" si="210"/>
        <v/>
      </c>
      <c r="U734" s="86">
        <f t="shared" si="211"/>
        <v/>
      </c>
      <c r="V734" s="86">
        <f t="shared" si="212"/>
        <v/>
      </c>
      <c r="W734" s="87">
        <f t="shared" si="201"/>
      </c>
      <c r="X734" s="88"/>
      <c r="Y734" s="88"/>
      <c r="Z734" s="88"/>
      <c r="AA734" s="88"/>
      <c r="AB734" s="88"/>
      <c r="AD734" s="86">
        <f t="shared" si="202"/>
      </c>
      <c r="AE734" s="86">
        <f t="shared" si="203"/>
      </c>
      <c r="AG734" s="86">
        <f t="shared" si="204"/>
      </c>
      <c r="AH734" s="86">
        <f t="shared" si="205"/>
      </c>
      <c r="AI734" s="86">
        <f t="shared" si="206"/>
      </c>
    </row>
    <row r="735" spans="6:35" x14ac:dyDescent="0.3">
      <c r="F735" s="26">
        <f>IF(G735=1,MAX($F$4:F734)+1,"")</f>
        <v/>
      </c>
      <c r="G735" s="26">
        <f>COUNTIF($H$5:H735,H735)</f>
      </c>
      <c r="H735" s="26">
        <f t="shared" si="207"/>
      </c>
      <c r="I735" s="26">
        <f>COUNTIF($J$4:$J735,1)</f>
      </c>
      <c r="J735" s="26">
        <f>COUNTIF($S$5:$S735,S735)</f>
      </c>
      <c r="K735" s="26">
        <f t="shared" si="196"/>
      </c>
      <c r="L735" s="26">
        <f>IFERROR(IF(P735=0,0,MAX($L$4:L734)+1),0)</f>
      </c>
      <c r="M735" s="5">
        <f t="shared" si="208"/>
      </c>
      <c r="N735" s="5">
        <f t="shared" si="209"/>
      </c>
      <c r="P735" s="86">
        <f t="shared" si="197"/>
      </c>
      <c r="Q735" s="86">
        <f t="shared" si="198"/>
      </c>
      <c r="R735" s="86">
        <f t="shared" si="199"/>
      </c>
      <c r="S735" s="86">
        <f t="shared" si="200"/>
      </c>
      <c r="T735" s="86">
        <f t="shared" si="210"/>
        <v/>
      </c>
      <c r="U735" s="86">
        <f t="shared" si="211"/>
        <v/>
      </c>
      <c r="V735" s="86">
        <f t="shared" si="212"/>
        <v/>
      </c>
      <c r="W735" s="87">
        <f t="shared" si="201"/>
      </c>
      <c r="X735" s="88"/>
      <c r="Y735" s="88"/>
      <c r="Z735" s="88"/>
      <c r="AA735" s="88"/>
      <c r="AB735" s="88"/>
      <c r="AD735" s="86">
        <f t="shared" si="202"/>
      </c>
      <c r="AE735" s="86">
        <f t="shared" si="203"/>
      </c>
      <c r="AG735" s="86">
        <f t="shared" si="204"/>
      </c>
      <c r="AH735" s="86">
        <f t="shared" si="205"/>
      </c>
      <c r="AI735" s="86">
        <f t="shared" si="206"/>
      </c>
    </row>
    <row r="736" spans="6:35" x14ac:dyDescent="0.3">
      <c r="F736" s="26">
        <f>IF(G736=1,MAX($F$4:F735)+1,"")</f>
        <v/>
      </c>
      <c r="G736" s="26">
        <f>COUNTIF($H$5:H736,H736)</f>
      </c>
      <c r="H736" s="26">
        <f t="shared" si="207"/>
      </c>
      <c r="I736" s="26">
        <f>COUNTIF($J$4:$J736,1)</f>
      </c>
      <c r="J736" s="26">
        <f>COUNTIF($S$5:$S736,S736)</f>
      </c>
      <c r="K736" s="26">
        <f t="shared" si="196"/>
      </c>
      <c r="L736" s="26">
        <f>IFERROR(IF(P736=0,0,MAX($L$4:L735)+1),0)</f>
      </c>
      <c r="M736" s="5">
        <f t="shared" si="208"/>
      </c>
      <c r="N736" s="5">
        <f t="shared" si="209"/>
      </c>
      <c r="P736" s="86">
        <f t="shared" si="197"/>
      </c>
      <c r="Q736" s="86">
        <f t="shared" si="198"/>
      </c>
      <c r="R736" s="86">
        <f t="shared" si="199"/>
      </c>
      <c r="S736" s="86">
        <f t="shared" si="200"/>
      </c>
      <c r="T736" s="86">
        <f t="shared" si="210"/>
        <v/>
      </c>
      <c r="U736" s="86">
        <f t="shared" si="211"/>
        <v/>
      </c>
      <c r="V736" s="86">
        <f t="shared" si="212"/>
        <v/>
      </c>
      <c r="W736" s="87">
        <f t="shared" si="201"/>
      </c>
      <c r="X736" s="88"/>
      <c r="Y736" s="88"/>
      <c r="Z736" s="88"/>
      <c r="AA736" s="88"/>
      <c r="AB736" s="88"/>
      <c r="AD736" s="86">
        <f t="shared" si="202"/>
      </c>
      <c r="AE736" s="86">
        <f t="shared" si="203"/>
      </c>
      <c r="AG736" s="86">
        <f t="shared" si="204"/>
      </c>
      <c r="AH736" s="86">
        <f t="shared" si="205"/>
      </c>
      <c r="AI736" s="86">
        <f t="shared" si="206"/>
      </c>
    </row>
    <row r="737" spans="6:35" x14ac:dyDescent="0.3">
      <c r="F737" s="26">
        <f>IF(G737=1,MAX($F$4:F736)+1,"")</f>
        <v/>
      </c>
      <c r="G737" s="26">
        <f>COUNTIF($H$5:H737,H737)</f>
      </c>
      <c r="H737" s="26">
        <f t="shared" si="207"/>
      </c>
      <c r="I737" s="26">
        <f>COUNTIF($J$4:$J737,1)</f>
      </c>
      <c r="J737" s="26">
        <f>COUNTIF($S$5:$S737,S737)</f>
      </c>
      <c r="K737" s="26">
        <f t="shared" si="196"/>
      </c>
      <c r="L737" s="26">
        <f>IFERROR(IF(P737=0,0,MAX($L$4:L736)+1),0)</f>
      </c>
      <c r="M737" s="5">
        <f t="shared" si="208"/>
      </c>
      <c r="N737" s="5">
        <f t="shared" si="209"/>
      </c>
      <c r="P737" s="86">
        <f t="shared" si="197"/>
      </c>
      <c r="Q737" s="86">
        <f t="shared" si="198"/>
      </c>
      <c r="R737" s="86">
        <f t="shared" si="199"/>
      </c>
      <c r="S737" s="86">
        <f t="shared" si="200"/>
      </c>
      <c r="T737" s="86">
        <f t="shared" si="210"/>
        <v/>
      </c>
      <c r="U737" s="86">
        <f t="shared" si="211"/>
        <v/>
      </c>
      <c r="V737" s="86">
        <f t="shared" si="212"/>
        <v/>
      </c>
      <c r="W737" s="87">
        <f t="shared" si="201"/>
      </c>
      <c r="X737" s="88"/>
      <c r="Y737" s="88"/>
      <c r="Z737" s="88"/>
      <c r="AA737" s="88"/>
      <c r="AB737" s="88"/>
      <c r="AD737" s="86">
        <f t="shared" si="202"/>
      </c>
      <c r="AE737" s="86">
        <f t="shared" si="203"/>
      </c>
      <c r="AG737" s="86">
        <f t="shared" si="204"/>
      </c>
      <c r="AH737" s="86">
        <f t="shared" si="205"/>
      </c>
      <c r="AI737" s="86">
        <f t="shared" si="206"/>
      </c>
    </row>
    <row r="738" spans="6:35" x14ac:dyDescent="0.3">
      <c r="F738" s="26">
        <f>IF(G738=1,MAX($F$4:F737)+1,"")</f>
        <v/>
      </c>
      <c r="G738" s="26">
        <f>COUNTIF($H$5:H738,H738)</f>
      </c>
      <c r="H738" s="26">
        <f t="shared" si="207"/>
      </c>
      <c r="I738" s="26">
        <f>COUNTIF($J$4:$J738,1)</f>
      </c>
      <c r="J738" s="26">
        <f>COUNTIF($S$5:$S738,S738)</f>
      </c>
      <c r="K738" s="26">
        <f t="shared" si="196"/>
      </c>
      <c r="L738" s="26">
        <f>IFERROR(IF(P738=0,0,MAX($L$4:L737)+1),0)</f>
      </c>
      <c r="M738" s="5">
        <f t="shared" si="208"/>
      </c>
      <c r="N738" s="5">
        <f t="shared" si="209"/>
      </c>
      <c r="P738" s="86">
        <f t="shared" si="197"/>
      </c>
      <c r="Q738" s="86">
        <f t="shared" si="198"/>
      </c>
      <c r="R738" s="86">
        <f t="shared" si="199"/>
      </c>
      <c r="S738" s="86">
        <f t="shared" si="200"/>
      </c>
      <c r="T738" s="86">
        <f t="shared" si="210"/>
        <v/>
      </c>
      <c r="U738" s="86">
        <f t="shared" si="211"/>
        <v/>
      </c>
      <c r="V738" s="86">
        <f t="shared" si="212"/>
        <v/>
      </c>
      <c r="W738" s="87">
        <f t="shared" si="201"/>
      </c>
      <c r="X738" s="88"/>
      <c r="Y738" s="88"/>
      <c r="Z738" s="88"/>
      <c r="AA738" s="88"/>
      <c r="AB738" s="88"/>
      <c r="AD738" s="86">
        <f t="shared" si="202"/>
      </c>
      <c r="AE738" s="86">
        <f t="shared" si="203"/>
      </c>
      <c r="AG738" s="86">
        <f t="shared" si="204"/>
      </c>
      <c r="AH738" s="86">
        <f t="shared" si="205"/>
      </c>
      <c r="AI738" s="86">
        <f t="shared" si="206"/>
      </c>
    </row>
    <row r="739" spans="6:35" x14ac:dyDescent="0.3">
      <c r="F739" s="26">
        <f>IF(G739=1,MAX($F$4:F738)+1,"")</f>
        <v/>
      </c>
      <c r="G739" s="26">
        <f>COUNTIF($H$5:H739,H739)</f>
      </c>
      <c r="H739" s="26">
        <f t="shared" si="207"/>
      </c>
      <c r="I739" s="26">
        <f>COUNTIF($J$4:$J739,1)</f>
      </c>
      <c r="J739" s="26">
        <f>COUNTIF($S$5:$S739,S739)</f>
      </c>
      <c r="K739" s="26">
        <f t="shared" si="196"/>
      </c>
      <c r="L739" s="26">
        <f>IFERROR(IF(P739=0,0,MAX($L$4:L738)+1),0)</f>
      </c>
      <c r="M739" s="5">
        <f t="shared" si="208"/>
      </c>
      <c r="N739" s="5">
        <f t="shared" si="209"/>
      </c>
      <c r="P739" s="86">
        <f t="shared" si="197"/>
      </c>
      <c r="Q739" s="86">
        <f t="shared" si="198"/>
      </c>
      <c r="R739" s="86">
        <f t="shared" si="199"/>
      </c>
      <c r="S739" s="86">
        <f t="shared" si="200"/>
      </c>
      <c r="T739" s="86">
        <f t="shared" si="210"/>
        <v/>
      </c>
      <c r="U739" s="86">
        <f t="shared" si="211"/>
        <v/>
      </c>
      <c r="V739" s="86">
        <f t="shared" si="212"/>
        <v/>
      </c>
      <c r="W739" s="87">
        <f t="shared" si="201"/>
      </c>
      <c r="X739" s="88"/>
      <c r="Y739" s="88"/>
      <c r="Z739" s="88"/>
      <c r="AA739" s="88"/>
      <c r="AB739" s="88"/>
      <c r="AD739" s="86">
        <f t="shared" si="202"/>
      </c>
      <c r="AE739" s="86">
        <f t="shared" si="203"/>
      </c>
      <c r="AG739" s="86">
        <f t="shared" si="204"/>
      </c>
      <c r="AH739" s="86">
        <f t="shared" si="205"/>
      </c>
      <c r="AI739" s="86">
        <f t="shared" si="206"/>
      </c>
    </row>
    <row r="740" spans="6:35" x14ac:dyDescent="0.3">
      <c r="F740" s="26">
        <f>IF(G740=1,MAX($F$4:F739)+1,"")</f>
        <v/>
      </c>
      <c r="G740" s="26">
        <f>COUNTIF($H$5:H740,H740)</f>
      </c>
      <c r="H740" s="26">
        <f t="shared" si="207"/>
      </c>
      <c r="I740" s="26">
        <f>COUNTIF($J$4:$J740,1)</f>
      </c>
      <c r="J740" s="26">
        <f>COUNTIF($S$5:$S740,S740)</f>
      </c>
      <c r="K740" s="26">
        <f t="shared" si="196"/>
      </c>
      <c r="L740" s="26">
        <f>IFERROR(IF(P740=0,0,MAX($L$4:L739)+1),0)</f>
      </c>
      <c r="M740" s="5">
        <f t="shared" si="208"/>
      </c>
      <c r="N740" s="5">
        <f t="shared" si="209"/>
      </c>
      <c r="P740" s="86">
        <f t="shared" si="197"/>
      </c>
      <c r="Q740" s="86">
        <f t="shared" si="198"/>
      </c>
      <c r="R740" s="86">
        <f t="shared" si="199"/>
      </c>
      <c r="S740" s="86">
        <f t="shared" si="200"/>
      </c>
      <c r="T740" s="86">
        <f t="shared" si="210"/>
        <v/>
      </c>
      <c r="U740" s="86">
        <f t="shared" si="211"/>
        <v/>
      </c>
      <c r="V740" s="86">
        <f t="shared" si="212"/>
        <v/>
      </c>
      <c r="W740" s="87">
        <f t="shared" si="201"/>
      </c>
      <c r="X740" s="88"/>
      <c r="Y740" s="88"/>
      <c r="Z740" s="88"/>
      <c r="AA740" s="88"/>
      <c r="AB740" s="88"/>
      <c r="AD740" s="86">
        <f t="shared" si="202"/>
      </c>
      <c r="AE740" s="86">
        <f t="shared" si="203"/>
      </c>
      <c r="AG740" s="86">
        <f t="shared" si="204"/>
      </c>
      <c r="AH740" s="86">
        <f t="shared" si="205"/>
      </c>
      <c r="AI740" s="86">
        <f t="shared" si="206"/>
      </c>
    </row>
    <row r="741" spans="6:35" x14ac:dyDescent="0.3">
      <c r="F741" s="26">
        <f>IF(G741=1,MAX($F$4:F740)+1,"")</f>
        <v/>
      </c>
      <c r="G741" s="26">
        <f>COUNTIF($H$5:H741,H741)</f>
      </c>
      <c r="H741" s="26">
        <f t="shared" si="207"/>
      </c>
      <c r="I741" s="26">
        <f>COUNTIF($J$4:$J741,1)</f>
      </c>
      <c r="J741" s="26">
        <f>COUNTIF($S$5:$S741,S741)</f>
      </c>
      <c r="K741" s="26">
        <f t="shared" si="196"/>
      </c>
      <c r="L741" s="26">
        <f>IFERROR(IF(P741=0,0,MAX($L$4:L740)+1),0)</f>
      </c>
      <c r="M741" s="5">
        <f t="shared" si="208"/>
      </c>
      <c r="N741" s="5">
        <f t="shared" si="209"/>
      </c>
      <c r="P741" s="86">
        <f t="shared" si="197"/>
      </c>
      <c r="Q741" s="86">
        <f t="shared" si="198"/>
      </c>
      <c r="R741" s="86">
        <f t="shared" si="199"/>
      </c>
      <c r="S741" s="86">
        <f t="shared" si="200"/>
      </c>
      <c r="T741" s="86">
        <f t="shared" si="210"/>
        <v/>
      </c>
      <c r="U741" s="86">
        <f t="shared" si="211"/>
        <v/>
      </c>
      <c r="V741" s="86">
        <f t="shared" si="212"/>
        <v/>
      </c>
      <c r="W741" s="87">
        <f t="shared" si="201"/>
      </c>
      <c r="X741" s="88"/>
      <c r="Y741" s="88"/>
      <c r="Z741" s="88"/>
      <c r="AA741" s="88"/>
      <c r="AB741" s="88"/>
      <c r="AD741" s="86">
        <f t="shared" si="202"/>
      </c>
      <c r="AE741" s="86">
        <f t="shared" si="203"/>
      </c>
      <c r="AG741" s="86">
        <f t="shared" si="204"/>
      </c>
      <c r="AH741" s="86">
        <f t="shared" si="205"/>
      </c>
      <c r="AI741" s="86">
        <f t="shared" si="206"/>
      </c>
    </row>
    <row r="742" spans="6:35" x14ac:dyDescent="0.3">
      <c r="F742" s="26">
        <f>IF(G742=1,MAX($F$4:F741)+1,"")</f>
        <v/>
      </c>
      <c r="G742" s="26">
        <f>COUNTIF($H$5:H742,H742)</f>
      </c>
      <c r="H742" s="26">
        <f t="shared" si="207"/>
      </c>
      <c r="I742" s="26">
        <f>COUNTIF($J$4:$J742,1)</f>
      </c>
      <c r="J742" s="26">
        <f>COUNTIF($S$5:$S742,S742)</f>
      </c>
      <c r="K742" s="26">
        <f t="shared" si="196"/>
      </c>
      <c r="L742" s="26">
        <f>IFERROR(IF(P742=0,0,MAX($L$4:L741)+1),0)</f>
      </c>
      <c r="M742" s="5">
        <f t="shared" si="208"/>
      </c>
      <c r="N742" s="5">
        <f t="shared" si="209"/>
      </c>
      <c r="P742" s="86">
        <f t="shared" si="197"/>
      </c>
      <c r="Q742" s="86">
        <f t="shared" si="198"/>
      </c>
      <c r="R742" s="86">
        <f t="shared" si="199"/>
      </c>
      <c r="S742" s="86">
        <f t="shared" si="200"/>
      </c>
      <c r="T742" s="86">
        <f t="shared" si="210"/>
        <v/>
      </c>
      <c r="U742" s="86">
        <f t="shared" si="211"/>
        <v/>
      </c>
      <c r="V742" s="86">
        <f t="shared" si="212"/>
        <v/>
      </c>
      <c r="W742" s="87">
        <f t="shared" si="201"/>
      </c>
      <c r="X742" s="88"/>
      <c r="Y742" s="88"/>
      <c r="Z742" s="88"/>
      <c r="AA742" s="88"/>
      <c r="AB742" s="88"/>
      <c r="AD742" s="86">
        <f t="shared" si="202"/>
      </c>
      <c r="AE742" s="86">
        <f t="shared" si="203"/>
      </c>
      <c r="AG742" s="86">
        <f t="shared" si="204"/>
      </c>
      <c r="AH742" s="86">
        <f t="shared" si="205"/>
      </c>
      <c r="AI742" s="86">
        <f t="shared" si="206"/>
      </c>
    </row>
    <row r="743" spans="6:35" x14ac:dyDescent="0.3">
      <c r="F743" s="26">
        <f>IF(G743=1,MAX($F$4:F742)+1,"")</f>
        <v/>
      </c>
      <c r="G743" s="26">
        <f>COUNTIF($H$5:H743,H743)</f>
      </c>
      <c r="H743" s="26">
        <f t="shared" si="207"/>
      </c>
      <c r="I743" s="26">
        <f>COUNTIF($J$4:$J743,1)</f>
      </c>
      <c r="J743" s="26">
        <f>COUNTIF($S$5:$S743,S743)</f>
      </c>
      <c r="K743" s="26">
        <f t="shared" si="196"/>
      </c>
      <c r="L743" s="26">
        <f>IFERROR(IF(P743=0,0,MAX($L$4:L742)+1),0)</f>
      </c>
      <c r="M743" s="5">
        <f t="shared" si="208"/>
      </c>
      <c r="N743" s="5">
        <f t="shared" si="209"/>
      </c>
      <c r="P743" s="86">
        <f t="shared" si="197"/>
      </c>
      <c r="Q743" s="86">
        <f t="shared" si="198"/>
      </c>
      <c r="R743" s="86">
        <f t="shared" si="199"/>
      </c>
      <c r="S743" s="86">
        <f t="shared" si="200"/>
      </c>
      <c r="T743" s="86">
        <f t="shared" si="210"/>
        <v/>
      </c>
      <c r="U743" s="86">
        <f t="shared" si="211"/>
        <v/>
      </c>
      <c r="V743" s="86">
        <f t="shared" si="212"/>
        <v/>
      </c>
      <c r="W743" s="87">
        <f t="shared" si="201"/>
      </c>
      <c r="X743" s="88"/>
      <c r="Y743" s="88"/>
      <c r="Z743" s="88"/>
      <c r="AA743" s="88"/>
      <c r="AB743" s="88"/>
      <c r="AD743" s="86">
        <f t="shared" si="202"/>
      </c>
      <c r="AE743" s="86">
        <f t="shared" si="203"/>
      </c>
      <c r="AG743" s="86">
        <f t="shared" si="204"/>
      </c>
      <c r="AH743" s="86">
        <f t="shared" si="205"/>
      </c>
      <c r="AI743" s="86">
        <f t="shared" si="206"/>
      </c>
    </row>
    <row r="744" spans="6:35" x14ac:dyDescent="0.3">
      <c r="F744" s="26">
        <f>IF(G744=1,MAX($F$4:F743)+1,"")</f>
        <v/>
      </c>
      <c r="G744" s="26">
        <f>COUNTIF($H$5:H744,H744)</f>
      </c>
      <c r="H744" s="26">
        <f t="shared" si="207"/>
      </c>
      <c r="I744" s="26">
        <f>COUNTIF($J$4:$J744,1)</f>
      </c>
      <c r="J744" s="26">
        <f>COUNTIF($S$5:$S744,S744)</f>
      </c>
      <c r="K744" s="26">
        <f t="shared" si="196"/>
      </c>
      <c r="L744" s="26">
        <f>IFERROR(IF(P744=0,0,MAX($L$4:L743)+1),0)</f>
      </c>
      <c r="M744" s="5">
        <f t="shared" si="208"/>
      </c>
      <c r="N744" s="5">
        <f t="shared" si="209"/>
      </c>
      <c r="P744" s="86">
        <f t="shared" si="197"/>
      </c>
      <c r="Q744" s="86">
        <f t="shared" si="198"/>
      </c>
      <c r="R744" s="86">
        <f t="shared" si="199"/>
      </c>
      <c r="S744" s="86">
        <f t="shared" si="200"/>
      </c>
      <c r="T744" s="86">
        <f t="shared" si="210"/>
        <v/>
      </c>
      <c r="U744" s="86">
        <f t="shared" si="211"/>
        <v/>
      </c>
      <c r="V744" s="86">
        <f t="shared" si="212"/>
        <v/>
      </c>
      <c r="W744" s="87">
        <f t="shared" si="201"/>
      </c>
      <c r="X744" s="88"/>
      <c r="Y744" s="88"/>
      <c r="Z744" s="88"/>
      <c r="AA744" s="88"/>
      <c r="AB744" s="88"/>
      <c r="AD744" s="86">
        <f t="shared" si="202"/>
      </c>
      <c r="AE744" s="86">
        <f t="shared" si="203"/>
      </c>
      <c r="AG744" s="86">
        <f t="shared" si="204"/>
      </c>
      <c r="AH744" s="86">
        <f t="shared" si="205"/>
      </c>
      <c r="AI744" s="86">
        <f t="shared" si="206"/>
      </c>
    </row>
    <row r="745" spans="6:35" x14ac:dyDescent="0.3">
      <c r="F745" s="26">
        <f>IF(G745=1,MAX($F$4:F744)+1,"")</f>
        <v/>
      </c>
      <c r="G745" s="26">
        <f>COUNTIF($H$5:H745,H745)</f>
      </c>
      <c r="H745" s="26">
        <f t="shared" si="207"/>
      </c>
      <c r="I745" s="26">
        <f>COUNTIF($J$4:$J745,1)</f>
      </c>
      <c r="J745" s="26">
        <f>COUNTIF($S$5:$S745,S745)</f>
      </c>
      <c r="K745" s="26">
        <f t="shared" si="196"/>
      </c>
      <c r="L745" s="26">
        <f>IFERROR(IF(P745=0,0,MAX($L$4:L744)+1),0)</f>
      </c>
      <c r="M745" s="5">
        <f t="shared" si="208"/>
      </c>
      <c r="N745" s="5">
        <f t="shared" si="209"/>
      </c>
      <c r="P745" s="86">
        <f t="shared" si="197"/>
      </c>
      <c r="Q745" s="86">
        <f t="shared" si="198"/>
      </c>
      <c r="R745" s="86">
        <f t="shared" si="199"/>
      </c>
      <c r="S745" s="86">
        <f t="shared" si="200"/>
      </c>
      <c r="T745" s="86">
        <f t="shared" si="210"/>
        <v/>
      </c>
      <c r="U745" s="86">
        <f t="shared" si="211"/>
        <v/>
      </c>
      <c r="V745" s="86">
        <f t="shared" si="212"/>
        <v/>
      </c>
      <c r="W745" s="87">
        <f t="shared" si="201"/>
      </c>
      <c r="X745" s="88"/>
      <c r="Y745" s="88"/>
      <c r="Z745" s="88"/>
      <c r="AA745" s="88"/>
      <c r="AB745" s="88"/>
      <c r="AD745" s="86">
        <f t="shared" si="202"/>
      </c>
      <c r="AE745" s="86">
        <f t="shared" si="203"/>
      </c>
      <c r="AG745" s="86">
        <f t="shared" si="204"/>
      </c>
      <c r="AH745" s="86">
        <f t="shared" si="205"/>
      </c>
      <c r="AI745" s="86">
        <f t="shared" si="206"/>
      </c>
    </row>
    <row r="746" spans="6:35" x14ac:dyDescent="0.3">
      <c r="F746" s="26">
        <f>IF(G746=1,MAX($F$4:F745)+1,"")</f>
        <v/>
      </c>
      <c r="G746" s="26">
        <f>COUNTIF($H$5:H746,H746)</f>
      </c>
      <c r="H746" s="26">
        <f t="shared" si="207"/>
      </c>
      <c r="I746" s="26">
        <f>COUNTIF($J$4:$J746,1)</f>
      </c>
      <c r="J746" s="26">
        <f>COUNTIF($S$5:$S746,S746)</f>
      </c>
      <c r="K746" s="26">
        <f t="shared" si="196"/>
      </c>
      <c r="L746" s="26">
        <f>IFERROR(IF(P746=0,0,MAX($L$4:L745)+1),0)</f>
      </c>
      <c r="M746" s="5">
        <f t="shared" si="208"/>
      </c>
      <c r="N746" s="5">
        <f t="shared" si="209"/>
      </c>
      <c r="P746" s="86">
        <f t="shared" si="197"/>
      </c>
      <c r="Q746" s="86">
        <f t="shared" si="198"/>
      </c>
      <c r="R746" s="86">
        <f t="shared" si="199"/>
      </c>
      <c r="S746" s="86">
        <f t="shared" si="200"/>
      </c>
      <c r="T746" s="86">
        <f t="shared" si="210"/>
        <v/>
      </c>
      <c r="U746" s="86">
        <f t="shared" si="211"/>
        <v/>
      </c>
      <c r="V746" s="86">
        <f t="shared" si="212"/>
        <v/>
      </c>
      <c r="W746" s="87">
        <f t="shared" si="201"/>
      </c>
      <c r="X746" s="88"/>
      <c r="Y746" s="88"/>
      <c r="Z746" s="88"/>
      <c r="AA746" s="88"/>
      <c r="AB746" s="88"/>
      <c r="AD746" s="86">
        <f t="shared" si="202"/>
      </c>
      <c r="AE746" s="86">
        <f t="shared" si="203"/>
      </c>
      <c r="AG746" s="86">
        <f t="shared" si="204"/>
      </c>
      <c r="AH746" s="86">
        <f t="shared" si="205"/>
      </c>
      <c r="AI746" s="86">
        <f t="shared" si="206"/>
      </c>
    </row>
    <row r="747" spans="6:35" x14ac:dyDescent="0.3">
      <c r="F747" s="26">
        <f>IF(G747=1,MAX($F$4:F746)+1,"")</f>
        <v/>
      </c>
      <c r="G747" s="26">
        <f>COUNTIF($H$5:H747,H747)</f>
      </c>
      <c r="H747" s="26">
        <f t="shared" si="207"/>
      </c>
      <c r="I747" s="26">
        <f>COUNTIF($J$4:$J747,1)</f>
      </c>
      <c r="J747" s="26">
        <f>COUNTIF($S$5:$S747,S747)</f>
      </c>
      <c r="K747" s="26">
        <f t="shared" si="196"/>
      </c>
      <c r="L747" s="26">
        <f>IFERROR(IF(P747=0,0,MAX($L$4:L746)+1),0)</f>
      </c>
      <c r="M747" s="5">
        <f t="shared" si="208"/>
      </c>
      <c r="N747" s="5">
        <f t="shared" si="209"/>
      </c>
      <c r="P747" s="86">
        <f t="shared" si="197"/>
      </c>
      <c r="Q747" s="86">
        <f t="shared" si="198"/>
      </c>
      <c r="R747" s="86">
        <f t="shared" si="199"/>
      </c>
      <c r="S747" s="86">
        <f t="shared" si="200"/>
      </c>
      <c r="T747" s="86">
        <f t="shared" si="210"/>
        <v/>
      </c>
      <c r="U747" s="86">
        <f t="shared" si="211"/>
        <v/>
      </c>
      <c r="V747" s="86">
        <f t="shared" si="212"/>
        <v/>
      </c>
      <c r="W747" s="87">
        <f t="shared" si="201"/>
      </c>
      <c r="X747" s="88"/>
      <c r="Y747" s="88"/>
      <c r="Z747" s="88"/>
      <c r="AA747" s="88"/>
      <c r="AB747" s="88"/>
      <c r="AD747" s="86">
        <f t="shared" si="202"/>
      </c>
      <c r="AE747" s="86">
        <f t="shared" si="203"/>
      </c>
      <c r="AG747" s="86">
        <f t="shared" si="204"/>
      </c>
      <c r="AH747" s="86">
        <f t="shared" si="205"/>
      </c>
      <c r="AI747" s="86">
        <f t="shared" si="206"/>
      </c>
    </row>
    <row r="748" spans="6:35" x14ac:dyDescent="0.3">
      <c r="F748" s="26">
        <f>IF(G748=1,MAX($F$4:F747)+1,"")</f>
        <v/>
      </c>
      <c r="G748" s="26">
        <f>COUNTIF($H$5:H748,H748)</f>
      </c>
      <c r="H748" s="26">
        <f t="shared" si="207"/>
      </c>
      <c r="I748" s="26">
        <f>COUNTIF($J$4:$J748,1)</f>
      </c>
      <c r="J748" s="26">
        <f>COUNTIF($S$5:$S748,S748)</f>
      </c>
      <c r="K748" s="26">
        <f t="shared" si="196"/>
      </c>
      <c r="L748" s="26">
        <f>IFERROR(IF(P748=0,0,MAX($L$4:L747)+1),0)</f>
      </c>
      <c r="M748" s="5">
        <f t="shared" si="208"/>
      </c>
      <c r="N748" s="5">
        <f t="shared" si="209"/>
      </c>
      <c r="P748" s="86">
        <f t="shared" si="197"/>
      </c>
      <c r="Q748" s="86">
        <f t="shared" si="198"/>
      </c>
      <c r="R748" s="86">
        <f t="shared" si="199"/>
      </c>
      <c r="S748" s="86">
        <f t="shared" si="200"/>
      </c>
      <c r="T748" s="86">
        <f t="shared" si="210"/>
        <v/>
      </c>
      <c r="U748" s="86">
        <f t="shared" si="211"/>
        <v/>
      </c>
      <c r="V748" s="86">
        <f t="shared" si="212"/>
        <v/>
      </c>
      <c r="W748" s="87">
        <f t="shared" si="201"/>
      </c>
      <c r="X748" s="88"/>
      <c r="Y748" s="88"/>
      <c r="Z748" s="88"/>
      <c r="AA748" s="88"/>
      <c r="AB748" s="88"/>
      <c r="AD748" s="86">
        <f t="shared" si="202"/>
      </c>
      <c r="AE748" s="86">
        <f t="shared" si="203"/>
      </c>
      <c r="AG748" s="86">
        <f t="shared" si="204"/>
      </c>
      <c r="AH748" s="86">
        <f t="shared" si="205"/>
      </c>
      <c r="AI748" s="86">
        <f t="shared" si="206"/>
      </c>
    </row>
    <row r="749" spans="6:35" x14ac:dyDescent="0.3">
      <c r="F749" s="26">
        <f>IF(G749=1,MAX($F$4:F748)+1,"")</f>
        <v/>
      </c>
      <c r="G749" s="26">
        <f>COUNTIF($H$5:H749,H749)</f>
      </c>
      <c r="H749" s="26">
        <f t="shared" si="207"/>
      </c>
      <c r="I749" s="26">
        <f>COUNTIF($J$4:$J749,1)</f>
      </c>
      <c r="J749" s="26">
        <f>COUNTIF($S$5:$S749,S749)</f>
      </c>
      <c r="K749" s="26">
        <f t="shared" si="196"/>
      </c>
      <c r="L749" s="26">
        <f>IFERROR(IF(P749=0,0,MAX($L$4:L748)+1),0)</f>
      </c>
      <c r="M749" s="5">
        <f t="shared" si="208"/>
      </c>
      <c r="N749" s="5">
        <f t="shared" si="209"/>
      </c>
      <c r="P749" s="86">
        <f t="shared" si="197"/>
      </c>
      <c r="Q749" s="86">
        <f t="shared" si="198"/>
      </c>
      <c r="R749" s="86">
        <f t="shared" si="199"/>
      </c>
      <c r="S749" s="86">
        <f t="shared" si="200"/>
      </c>
      <c r="T749" s="86">
        <f t="shared" si="210"/>
        <v/>
      </c>
      <c r="U749" s="86">
        <f t="shared" si="211"/>
        <v/>
      </c>
      <c r="V749" s="86">
        <f t="shared" si="212"/>
        <v/>
      </c>
      <c r="W749" s="87">
        <f t="shared" si="201"/>
      </c>
      <c r="X749" s="88"/>
      <c r="Y749" s="88"/>
      <c r="Z749" s="88"/>
      <c r="AA749" s="88"/>
      <c r="AB749" s="88"/>
      <c r="AD749" s="86">
        <f t="shared" si="202"/>
      </c>
      <c r="AE749" s="86">
        <f t="shared" si="203"/>
      </c>
      <c r="AG749" s="86">
        <f t="shared" si="204"/>
      </c>
      <c r="AH749" s="86">
        <f t="shared" si="205"/>
      </c>
      <c r="AI749" s="86">
        <f t="shared" si="206"/>
      </c>
    </row>
    <row r="750" spans="6:35" x14ac:dyDescent="0.3">
      <c r="F750" s="26">
        <f>IF(G750=1,MAX($F$4:F749)+1,"")</f>
        <v/>
      </c>
      <c r="G750" s="26">
        <f>COUNTIF($H$5:H750,H750)</f>
      </c>
      <c r="H750" s="26">
        <f t="shared" si="207"/>
      </c>
      <c r="I750" s="26">
        <f>COUNTIF($J$4:$J750,1)</f>
      </c>
      <c r="J750" s="26">
        <f>COUNTIF($S$5:$S750,S750)</f>
      </c>
      <c r="K750" s="26">
        <f t="shared" si="196"/>
      </c>
      <c r="L750" s="26">
        <f>IFERROR(IF(P750=0,0,MAX($L$4:L749)+1),0)</f>
      </c>
      <c r="M750" s="5">
        <f t="shared" si="208"/>
      </c>
      <c r="N750" s="5">
        <f t="shared" si="209"/>
      </c>
      <c r="P750" s="86">
        <f t="shared" si="197"/>
      </c>
      <c r="Q750" s="86">
        <f t="shared" si="198"/>
      </c>
      <c r="R750" s="86">
        <f t="shared" si="199"/>
      </c>
      <c r="S750" s="86">
        <f t="shared" si="200"/>
      </c>
      <c r="T750" s="86">
        <f t="shared" si="210"/>
        <v/>
      </c>
      <c r="U750" s="86">
        <f t="shared" si="211"/>
        <v/>
      </c>
      <c r="V750" s="86">
        <f t="shared" si="212"/>
        <v/>
      </c>
      <c r="W750" s="87">
        <f t="shared" si="201"/>
      </c>
      <c r="X750" s="88"/>
      <c r="Y750" s="88"/>
      <c r="Z750" s="88"/>
      <c r="AA750" s="88"/>
      <c r="AB750" s="88"/>
      <c r="AD750" s="86">
        <f t="shared" si="202"/>
      </c>
      <c r="AE750" s="86">
        <f t="shared" si="203"/>
      </c>
      <c r="AG750" s="86">
        <f t="shared" si="204"/>
      </c>
      <c r="AH750" s="86">
        <f t="shared" si="205"/>
      </c>
      <c r="AI750" s="86">
        <f t="shared" si="206"/>
      </c>
    </row>
    <row r="751" spans="6:35" x14ac:dyDescent="0.3">
      <c r="F751" s="26">
        <f>IF(G751=1,MAX($F$4:F750)+1,"")</f>
        <v/>
      </c>
      <c r="G751" s="26">
        <f>COUNTIF($H$5:H751,H751)</f>
      </c>
      <c r="H751" s="26">
        <f t="shared" si="207"/>
      </c>
      <c r="I751" s="26">
        <f>COUNTIF($J$4:$J751,1)</f>
      </c>
      <c r="J751" s="26">
        <f>COUNTIF($S$5:$S751,S751)</f>
      </c>
      <c r="K751" s="26">
        <f t="shared" si="196"/>
      </c>
      <c r="L751" s="26">
        <f>IFERROR(IF(P751=0,0,MAX($L$4:L750)+1),0)</f>
      </c>
      <c r="M751" s="5">
        <f t="shared" si="208"/>
      </c>
      <c r="N751" s="5">
        <f t="shared" si="209"/>
      </c>
      <c r="P751" s="86">
        <f t="shared" si="197"/>
      </c>
      <c r="Q751" s="86">
        <f t="shared" si="198"/>
      </c>
      <c r="R751" s="86">
        <f t="shared" si="199"/>
      </c>
      <c r="S751" s="86">
        <f t="shared" si="200"/>
      </c>
      <c r="T751" s="86">
        <f t="shared" si="210"/>
        <v/>
      </c>
      <c r="U751" s="86">
        <f t="shared" si="211"/>
        <v/>
      </c>
      <c r="V751" s="86">
        <f t="shared" si="212"/>
        <v/>
      </c>
      <c r="W751" s="87">
        <f t="shared" si="201"/>
      </c>
      <c r="X751" s="88"/>
      <c r="Y751" s="88"/>
      <c r="Z751" s="88"/>
      <c r="AA751" s="88"/>
      <c r="AB751" s="88"/>
      <c r="AD751" s="86">
        <f t="shared" si="202"/>
      </c>
      <c r="AE751" s="86">
        <f t="shared" si="203"/>
      </c>
      <c r="AG751" s="86">
        <f t="shared" si="204"/>
      </c>
      <c r="AH751" s="86">
        <f t="shared" si="205"/>
      </c>
      <c r="AI751" s="86">
        <f t="shared" si="206"/>
      </c>
    </row>
    <row r="752" spans="6:35" x14ac:dyDescent="0.3">
      <c r="F752" s="26">
        <f>IF(G752=1,MAX($F$4:F751)+1,"")</f>
        <v/>
      </c>
      <c r="G752" s="26">
        <f>COUNTIF($H$5:H752,H752)</f>
      </c>
      <c r="H752" s="26">
        <f t="shared" si="207"/>
      </c>
      <c r="I752" s="26">
        <f>COUNTIF($J$4:$J752,1)</f>
      </c>
      <c r="J752" s="26">
        <f>COUNTIF($S$5:$S752,S752)</f>
      </c>
      <c r="K752" s="26">
        <f t="shared" si="196"/>
      </c>
      <c r="L752" s="26">
        <f>IFERROR(IF(P752=0,0,MAX($L$4:L751)+1),0)</f>
      </c>
      <c r="M752" s="5">
        <f t="shared" si="208"/>
      </c>
      <c r="N752" s="5">
        <f t="shared" si="209"/>
      </c>
      <c r="P752" s="86">
        <f t="shared" si="197"/>
      </c>
      <c r="Q752" s="86">
        <f t="shared" si="198"/>
      </c>
      <c r="R752" s="86">
        <f t="shared" si="199"/>
      </c>
      <c r="S752" s="86">
        <f t="shared" si="200"/>
      </c>
      <c r="T752" s="86">
        <f t="shared" si="210"/>
        <v/>
      </c>
      <c r="U752" s="86">
        <f t="shared" si="211"/>
        <v/>
      </c>
      <c r="V752" s="86">
        <f t="shared" si="212"/>
        <v/>
      </c>
      <c r="W752" s="87">
        <f t="shared" si="201"/>
      </c>
      <c r="X752" s="88"/>
      <c r="Y752" s="88"/>
      <c r="Z752" s="88"/>
      <c r="AA752" s="88"/>
      <c r="AB752" s="88"/>
      <c r="AD752" s="86">
        <f t="shared" si="202"/>
      </c>
      <c r="AE752" s="86">
        <f t="shared" si="203"/>
      </c>
      <c r="AG752" s="86">
        <f t="shared" si="204"/>
      </c>
      <c r="AH752" s="86">
        <f t="shared" si="205"/>
      </c>
      <c r="AI752" s="86">
        <f t="shared" si="206"/>
      </c>
    </row>
    <row r="753" spans="6:35" x14ac:dyDescent="0.3">
      <c r="F753" s="26">
        <f>IF(G753=1,MAX($F$4:F752)+1,"")</f>
        <v/>
      </c>
      <c r="G753" s="26">
        <f>COUNTIF($H$5:H753,H753)</f>
      </c>
      <c r="H753" s="26">
        <f t="shared" si="207"/>
      </c>
      <c r="I753" s="26">
        <f>COUNTIF($J$4:$J753,1)</f>
      </c>
      <c r="J753" s="26">
        <f>COUNTIF($S$5:$S753,S753)</f>
      </c>
      <c r="K753" s="26">
        <f t="shared" si="196"/>
      </c>
      <c r="L753" s="26">
        <f>IFERROR(IF(P753=0,0,MAX($L$4:L752)+1),0)</f>
      </c>
      <c r="M753" s="5">
        <f t="shared" si="208"/>
      </c>
      <c r="N753" s="5">
        <f t="shared" si="209"/>
      </c>
      <c r="P753" s="86">
        <f t="shared" si="197"/>
      </c>
      <c r="Q753" s="86">
        <f t="shared" si="198"/>
      </c>
      <c r="R753" s="86">
        <f t="shared" si="199"/>
      </c>
      <c r="S753" s="86">
        <f t="shared" si="200"/>
      </c>
      <c r="T753" s="86">
        <f t="shared" si="210"/>
        <v/>
      </c>
      <c r="U753" s="86">
        <f t="shared" si="211"/>
        <v/>
      </c>
      <c r="V753" s="86">
        <f t="shared" si="212"/>
        <v/>
      </c>
      <c r="W753" s="87">
        <f t="shared" si="201"/>
      </c>
      <c r="X753" s="88"/>
      <c r="Y753" s="88"/>
      <c r="Z753" s="88"/>
      <c r="AA753" s="88"/>
      <c r="AB753" s="88"/>
      <c r="AD753" s="86">
        <f t="shared" si="202"/>
      </c>
      <c r="AE753" s="86">
        <f t="shared" si="203"/>
      </c>
      <c r="AG753" s="86">
        <f t="shared" si="204"/>
      </c>
      <c r="AH753" s="86">
        <f t="shared" si="205"/>
      </c>
      <c r="AI753" s="86">
        <f t="shared" si="206"/>
      </c>
    </row>
    <row r="754" spans="6:35" x14ac:dyDescent="0.3">
      <c r="F754" s="26">
        <f>IF(G754=1,MAX($F$4:F753)+1,"")</f>
        <v/>
      </c>
      <c r="G754" s="26">
        <f>COUNTIF($H$5:H754,H754)</f>
      </c>
      <c r="H754" s="26">
        <f t="shared" si="207"/>
      </c>
      <c r="I754" s="26">
        <f>COUNTIF($J$4:$J754,1)</f>
      </c>
      <c r="J754" s="26">
        <f>COUNTIF($S$5:$S754,S754)</f>
      </c>
      <c r="K754" s="26">
        <f t="shared" si="196"/>
      </c>
      <c r="L754" s="26">
        <f>IFERROR(IF(P754=0,0,MAX($L$4:L753)+1),0)</f>
      </c>
      <c r="M754" s="5">
        <f t="shared" si="208"/>
      </c>
      <c r="N754" s="5">
        <f t="shared" si="209"/>
      </c>
      <c r="P754" s="86">
        <f t="shared" si="197"/>
      </c>
      <c r="Q754" s="86">
        <f t="shared" si="198"/>
      </c>
      <c r="R754" s="86">
        <f t="shared" si="199"/>
      </c>
      <c r="S754" s="86">
        <f t="shared" si="200"/>
      </c>
      <c r="T754" s="86">
        <f t="shared" si="210"/>
        <v/>
      </c>
      <c r="U754" s="86">
        <f t="shared" si="211"/>
        <v/>
      </c>
      <c r="V754" s="86">
        <f t="shared" si="212"/>
        <v/>
      </c>
      <c r="W754" s="87">
        <f t="shared" si="201"/>
      </c>
      <c r="X754" s="88"/>
      <c r="Y754" s="88"/>
      <c r="Z754" s="88"/>
      <c r="AA754" s="88"/>
      <c r="AB754" s="88"/>
      <c r="AD754" s="86">
        <f t="shared" si="202"/>
      </c>
      <c r="AE754" s="86">
        <f t="shared" si="203"/>
      </c>
      <c r="AG754" s="86">
        <f t="shared" si="204"/>
      </c>
      <c r="AH754" s="86">
        <f t="shared" si="205"/>
      </c>
      <c r="AI754" s="86">
        <f t="shared" si="206"/>
      </c>
    </row>
    <row r="755" spans="6:35" x14ac:dyDescent="0.3">
      <c r="F755" s="26">
        <f>IF(G755=1,MAX($F$4:F754)+1,"")</f>
        <v/>
      </c>
      <c r="G755" s="26">
        <f>COUNTIF($H$5:H755,H755)</f>
      </c>
      <c r="H755" s="26">
        <f t="shared" si="207"/>
      </c>
      <c r="I755" s="26">
        <f>COUNTIF($J$4:$J755,1)</f>
      </c>
      <c r="J755" s="26">
        <f>COUNTIF($S$5:$S755,S755)</f>
      </c>
      <c r="K755" s="26">
        <f t="shared" si="196"/>
      </c>
      <c r="L755" s="26">
        <f>IFERROR(IF(P755=0,0,MAX($L$4:L754)+1),0)</f>
      </c>
      <c r="M755" s="5">
        <f t="shared" si="208"/>
      </c>
      <c r="N755" s="5">
        <f t="shared" si="209"/>
      </c>
      <c r="P755" s="86">
        <f t="shared" si="197"/>
      </c>
      <c r="Q755" s="86">
        <f t="shared" si="198"/>
      </c>
      <c r="R755" s="86">
        <f t="shared" si="199"/>
      </c>
      <c r="S755" s="86">
        <f t="shared" si="200"/>
      </c>
      <c r="T755" s="86">
        <f t="shared" si="210"/>
        <v/>
      </c>
      <c r="U755" s="86">
        <f t="shared" si="211"/>
        <v/>
      </c>
      <c r="V755" s="86">
        <f t="shared" si="212"/>
        <v/>
      </c>
      <c r="W755" s="87">
        <f t="shared" si="201"/>
      </c>
      <c r="X755" s="88"/>
      <c r="Y755" s="88"/>
      <c r="Z755" s="88"/>
      <c r="AA755" s="88"/>
      <c r="AB755" s="88"/>
      <c r="AD755" s="86">
        <f t="shared" si="202"/>
      </c>
      <c r="AE755" s="86">
        <f t="shared" si="203"/>
      </c>
      <c r="AG755" s="86">
        <f t="shared" si="204"/>
      </c>
      <c r="AH755" s="86">
        <f t="shared" si="205"/>
      </c>
      <c r="AI755" s="86">
        <f t="shared" si="206"/>
      </c>
    </row>
    <row r="756" spans="6:35" x14ac:dyDescent="0.3">
      <c r="F756" s="26">
        <f>IF(G756=1,MAX($F$4:F755)+1,"")</f>
        <v/>
      </c>
      <c r="G756" s="26">
        <f>COUNTIF($H$5:H756,H756)</f>
      </c>
      <c r="H756" s="26">
        <f t="shared" si="207"/>
      </c>
      <c r="I756" s="26">
        <f>COUNTIF($J$4:$J756,1)</f>
      </c>
      <c r="J756" s="26">
        <f>COUNTIF($S$5:$S756,S756)</f>
      </c>
      <c r="K756" s="26">
        <f t="shared" si="196"/>
      </c>
      <c r="L756" s="26">
        <f>IFERROR(IF(P756=0,0,MAX($L$4:L755)+1),0)</f>
      </c>
      <c r="M756" s="5">
        <f t="shared" si="208"/>
      </c>
      <c r="N756" s="5">
        <f t="shared" si="209"/>
      </c>
      <c r="P756" s="86">
        <f t="shared" si="197"/>
      </c>
      <c r="Q756" s="86">
        <f t="shared" si="198"/>
      </c>
      <c r="R756" s="86">
        <f t="shared" si="199"/>
      </c>
      <c r="S756" s="86">
        <f t="shared" si="200"/>
      </c>
      <c r="T756" s="86">
        <f t="shared" si="210"/>
        <v/>
      </c>
      <c r="U756" s="86">
        <f t="shared" si="211"/>
        <v/>
      </c>
      <c r="V756" s="86">
        <f t="shared" si="212"/>
        <v/>
      </c>
      <c r="W756" s="87">
        <f t="shared" si="201"/>
      </c>
      <c r="X756" s="88"/>
      <c r="Y756" s="88"/>
      <c r="Z756" s="88"/>
      <c r="AA756" s="88"/>
      <c r="AB756" s="88"/>
      <c r="AD756" s="86">
        <f t="shared" si="202"/>
      </c>
      <c r="AE756" s="86">
        <f t="shared" si="203"/>
      </c>
      <c r="AG756" s="86">
        <f t="shared" si="204"/>
      </c>
      <c r="AH756" s="86">
        <f t="shared" si="205"/>
      </c>
      <c r="AI756" s="86">
        <f t="shared" si="206"/>
      </c>
    </row>
    <row r="757" spans="6:35" x14ac:dyDescent="0.3">
      <c r="F757" s="26">
        <f>IF(G757=1,MAX($F$4:F756)+1,"")</f>
        <v/>
      </c>
      <c r="G757" s="26">
        <f>COUNTIF($H$5:H757,H757)</f>
      </c>
      <c r="H757" s="26">
        <f t="shared" si="207"/>
      </c>
      <c r="I757" s="26">
        <f>COUNTIF($J$4:$J757,1)</f>
      </c>
      <c r="J757" s="26">
        <f>COUNTIF($S$5:$S757,S757)</f>
      </c>
      <c r="K757" s="26">
        <f t="shared" si="196"/>
      </c>
      <c r="L757" s="26">
        <f>IFERROR(IF(P757=0,0,MAX($L$4:L756)+1),0)</f>
      </c>
      <c r="M757" s="5">
        <f t="shared" si="208"/>
      </c>
      <c r="N757" s="5">
        <f t="shared" si="209"/>
      </c>
      <c r="P757" s="86">
        <f t="shared" si="197"/>
      </c>
      <c r="Q757" s="86">
        <f t="shared" si="198"/>
      </c>
      <c r="R757" s="86">
        <f t="shared" si="199"/>
      </c>
      <c r="S757" s="86">
        <f t="shared" si="200"/>
      </c>
      <c r="T757" s="86">
        <f t="shared" si="210"/>
        <v/>
      </c>
      <c r="U757" s="86">
        <f t="shared" si="211"/>
        <v/>
      </c>
      <c r="V757" s="86">
        <f t="shared" si="212"/>
        <v/>
      </c>
      <c r="W757" s="87">
        <f t="shared" si="201"/>
      </c>
      <c r="X757" s="88"/>
      <c r="Y757" s="88"/>
      <c r="Z757" s="88"/>
      <c r="AA757" s="88"/>
      <c r="AB757" s="88"/>
      <c r="AD757" s="86">
        <f t="shared" si="202"/>
      </c>
      <c r="AE757" s="86">
        <f t="shared" si="203"/>
      </c>
      <c r="AG757" s="86">
        <f t="shared" si="204"/>
      </c>
      <c r="AH757" s="86">
        <f t="shared" si="205"/>
      </c>
      <c r="AI757" s="86">
        <f t="shared" si="206"/>
      </c>
    </row>
    <row r="758" spans="6:35" x14ac:dyDescent="0.3">
      <c r="F758" s="26">
        <f>IF(G758=1,MAX($F$4:F757)+1,"")</f>
        <v/>
      </c>
      <c r="G758" s="26">
        <f>COUNTIF($H$5:H758,H758)</f>
      </c>
      <c r="H758" s="26">
        <f t="shared" si="207"/>
      </c>
      <c r="I758" s="26">
        <f>COUNTIF($J$4:$J758,1)</f>
      </c>
      <c r="J758" s="26">
        <f>COUNTIF($S$5:$S758,S758)</f>
      </c>
      <c r="K758" s="26">
        <f t="shared" si="196"/>
      </c>
      <c r="L758" s="26">
        <f>IFERROR(IF(P758=0,0,MAX($L$4:L757)+1),0)</f>
      </c>
      <c r="M758" s="5">
        <f t="shared" si="208"/>
      </c>
      <c r="N758" s="5">
        <f t="shared" si="209"/>
      </c>
      <c r="P758" s="86">
        <f t="shared" si="197"/>
      </c>
      <c r="Q758" s="86">
        <f t="shared" si="198"/>
      </c>
      <c r="R758" s="86">
        <f t="shared" si="199"/>
      </c>
      <c r="S758" s="86">
        <f t="shared" si="200"/>
      </c>
      <c r="T758" s="86">
        <f t="shared" si="210"/>
        <v/>
      </c>
      <c r="U758" s="86">
        <f t="shared" si="211"/>
        <v/>
      </c>
      <c r="V758" s="86">
        <f t="shared" si="212"/>
        <v/>
      </c>
      <c r="W758" s="87">
        <f t="shared" si="201"/>
      </c>
      <c r="X758" s="88"/>
      <c r="Y758" s="88"/>
      <c r="Z758" s="88"/>
      <c r="AA758" s="88"/>
      <c r="AB758" s="88"/>
      <c r="AD758" s="86">
        <f t="shared" si="202"/>
      </c>
      <c r="AE758" s="86">
        <f t="shared" si="203"/>
      </c>
      <c r="AG758" s="86">
        <f t="shared" si="204"/>
      </c>
      <c r="AH758" s="86">
        <f t="shared" si="205"/>
      </c>
      <c r="AI758" s="86">
        <f t="shared" si="206"/>
      </c>
    </row>
    <row r="759" spans="6:35" x14ac:dyDescent="0.3">
      <c r="F759" s="26">
        <f>IF(G759=1,MAX($F$4:F758)+1,"")</f>
        <v/>
      </c>
      <c r="G759" s="26">
        <f>COUNTIF($H$5:H759,H759)</f>
      </c>
      <c r="H759" s="26">
        <f t="shared" si="207"/>
      </c>
      <c r="I759" s="26">
        <f>COUNTIF($J$4:$J759,1)</f>
      </c>
      <c r="J759" s="26">
        <f>COUNTIF($S$5:$S759,S759)</f>
      </c>
      <c r="K759" s="26">
        <f t="shared" si="196"/>
      </c>
      <c r="L759" s="26">
        <f>IFERROR(IF(P759=0,0,MAX($L$4:L758)+1),0)</f>
      </c>
      <c r="M759" s="5">
        <f t="shared" si="208"/>
      </c>
      <c r="N759" s="5">
        <f t="shared" si="209"/>
      </c>
      <c r="P759" s="86">
        <f t="shared" si="197"/>
      </c>
      <c r="Q759" s="86">
        <f t="shared" si="198"/>
      </c>
      <c r="R759" s="86">
        <f t="shared" si="199"/>
      </c>
      <c r="S759" s="86">
        <f t="shared" si="200"/>
      </c>
      <c r="T759" s="86">
        <f t="shared" si="210"/>
        <v/>
      </c>
      <c r="U759" s="86">
        <f t="shared" si="211"/>
        <v/>
      </c>
      <c r="V759" s="86">
        <f t="shared" si="212"/>
        <v/>
      </c>
      <c r="W759" s="87">
        <f t="shared" si="201"/>
      </c>
      <c r="X759" s="88"/>
      <c r="Y759" s="88"/>
      <c r="Z759" s="88"/>
      <c r="AA759" s="88"/>
      <c r="AB759" s="88"/>
      <c r="AD759" s="86">
        <f t="shared" si="202"/>
      </c>
      <c r="AE759" s="86">
        <f t="shared" si="203"/>
      </c>
      <c r="AG759" s="86">
        <f t="shared" si="204"/>
      </c>
      <c r="AH759" s="86">
        <f t="shared" si="205"/>
      </c>
      <c r="AI759" s="86">
        <f t="shared" si="206"/>
      </c>
    </row>
    <row r="760" spans="6:35" x14ac:dyDescent="0.3">
      <c r="F760" s="26">
        <f>IF(G760=1,MAX($F$4:F759)+1,"")</f>
        <v/>
      </c>
      <c r="G760" s="26">
        <f>COUNTIF($H$5:H760,H760)</f>
      </c>
      <c r="H760" s="26">
        <f t="shared" si="207"/>
      </c>
      <c r="I760" s="26">
        <f>COUNTIF($J$4:$J760,1)</f>
      </c>
      <c r="J760" s="26">
        <f>COUNTIF($S$5:$S760,S760)</f>
      </c>
      <c r="K760" s="26">
        <f t="shared" si="196"/>
      </c>
      <c r="L760" s="26">
        <f>IFERROR(IF(P760=0,0,MAX($L$4:L759)+1),0)</f>
      </c>
      <c r="M760" s="5">
        <f t="shared" si="208"/>
      </c>
      <c r="N760" s="5">
        <f t="shared" si="209"/>
      </c>
      <c r="P760" s="86">
        <f t="shared" si="197"/>
      </c>
      <c r="Q760" s="86">
        <f t="shared" si="198"/>
      </c>
      <c r="R760" s="86">
        <f t="shared" si="199"/>
      </c>
      <c r="S760" s="86">
        <f t="shared" si="200"/>
      </c>
      <c r="T760" s="86">
        <f t="shared" si="210"/>
        <v/>
      </c>
      <c r="U760" s="86">
        <f t="shared" si="211"/>
        <v/>
      </c>
      <c r="V760" s="86">
        <f t="shared" si="212"/>
        <v/>
      </c>
      <c r="W760" s="87">
        <f t="shared" si="201"/>
      </c>
      <c r="X760" s="88"/>
      <c r="Y760" s="88"/>
      <c r="Z760" s="88"/>
      <c r="AA760" s="88"/>
      <c r="AB760" s="88"/>
      <c r="AD760" s="86">
        <f t="shared" si="202"/>
      </c>
      <c r="AE760" s="86">
        <f t="shared" si="203"/>
      </c>
      <c r="AG760" s="86">
        <f t="shared" si="204"/>
      </c>
      <c r="AH760" s="86">
        <f t="shared" si="205"/>
      </c>
      <c r="AI760" s="86">
        <f t="shared" si="206"/>
      </c>
    </row>
    <row r="761" spans="6:35" x14ac:dyDescent="0.3">
      <c r="F761" s="26">
        <f>IF(G761=1,MAX($F$4:F760)+1,"")</f>
        <v/>
      </c>
      <c r="G761" s="26">
        <f>COUNTIF($H$5:H761,H761)</f>
      </c>
      <c r="H761" s="26">
        <f t="shared" si="207"/>
      </c>
      <c r="I761" s="26">
        <f>COUNTIF($J$4:$J761,1)</f>
      </c>
      <c r="J761" s="26">
        <f>COUNTIF($S$5:$S761,S761)</f>
      </c>
      <c r="K761" s="26">
        <f t="shared" si="196"/>
      </c>
      <c r="L761" s="26">
        <f>IFERROR(IF(P761=0,0,MAX($L$4:L760)+1),0)</f>
      </c>
      <c r="M761" s="5">
        <f t="shared" si="208"/>
      </c>
      <c r="N761" s="5">
        <f t="shared" si="209"/>
      </c>
      <c r="P761" s="86">
        <f t="shared" si="197"/>
      </c>
      <c r="Q761" s="86">
        <f t="shared" si="198"/>
      </c>
      <c r="R761" s="86">
        <f t="shared" si="199"/>
      </c>
      <c r="S761" s="86">
        <f t="shared" si="200"/>
      </c>
      <c r="T761" s="86">
        <f t="shared" si="210"/>
        <v/>
      </c>
      <c r="U761" s="86">
        <f t="shared" si="211"/>
        <v/>
      </c>
      <c r="V761" s="86">
        <f t="shared" si="212"/>
        <v/>
      </c>
      <c r="W761" s="87">
        <f t="shared" si="201"/>
      </c>
      <c r="X761" s="88"/>
      <c r="Y761" s="88"/>
      <c r="Z761" s="88"/>
      <c r="AA761" s="88"/>
      <c r="AB761" s="88"/>
      <c r="AD761" s="86">
        <f t="shared" si="202"/>
      </c>
      <c r="AE761" s="86">
        <f t="shared" si="203"/>
      </c>
      <c r="AG761" s="86">
        <f t="shared" si="204"/>
      </c>
      <c r="AH761" s="86">
        <f t="shared" si="205"/>
      </c>
      <c r="AI761" s="86">
        <f t="shared" si="206"/>
      </c>
    </row>
    <row r="762" spans="6:35" x14ac:dyDescent="0.3">
      <c r="F762" s="26">
        <f>IF(G762=1,MAX($F$4:F761)+1,"")</f>
        <v/>
      </c>
      <c r="G762" s="26">
        <f>COUNTIF($H$5:H762,H762)</f>
      </c>
      <c r="H762" s="26">
        <f t="shared" si="207"/>
      </c>
      <c r="I762" s="26">
        <f>COUNTIF($J$4:$J762,1)</f>
      </c>
      <c r="J762" s="26">
        <f>COUNTIF($S$5:$S762,S762)</f>
      </c>
      <c r="K762" s="26">
        <f t="shared" si="196"/>
      </c>
      <c r="L762" s="26">
        <f>IFERROR(IF(P762=0,0,MAX($L$4:L761)+1),0)</f>
      </c>
      <c r="M762" s="5">
        <f t="shared" si="208"/>
      </c>
      <c r="N762" s="5">
        <f t="shared" si="209"/>
      </c>
      <c r="P762" s="86">
        <f t="shared" si="197"/>
      </c>
      <c r="Q762" s="86">
        <f t="shared" si="198"/>
      </c>
      <c r="R762" s="86">
        <f t="shared" si="199"/>
      </c>
      <c r="S762" s="86">
        <f t="shared" si="200"/>
      </c>
      <c r="T762" s="86">
        <f t="shared" si="210"/>
        <v/>
      </c>
      <c r="U762" s="86">
        <f t="shared" si="211"/>
        <v/>
      </c>
      <c r="V762" s="86">
        <f t="shared" si="212"/>
        <v/>
      </c>
      <c r="W762" s="87">
        <f t="shared" si="201"/>
      </c>
      <c r="X762" s="88"/>
      <c r="Y762" s="88"/>
      <c r="Z762" s="88"/>
      <c r="AA762" s="88"/>
      <c r="AB762" s="88"/>
      <c r="AD762" s="86">
        <f t="shared" si="202"/>
      </c>
      <c r="AE762" s="86">
        <f t="shared" si="203"/>
      </c>
      <c r="AG762" s="86">
        <f t="shared" si="204"/>
      </c>
      <c r="AH762" s="86">
        <f t="shared" si="205"/>
      </c>
      <c r="AI762" s="86">
        <f t="shared" si="206"/>
      </c>
    </row>
    <row r="763" spans="6:35" x14ac:dyDescent="0.3">
      <c r="F763" s="26">
        <f>IF(G763=1,MAX($F$4:F762)+1,"")</f>
        <v/>
      </c>
      <c r="G763" s="26">
        <f>COUNTIF($H$5:H763,H763)</f>
      </c>
      <c r="H763" s="26">
        <f t="shared" si="207"/>
      </c>
      <c r="I763" s="26">
        <f>COUNTIF($J$4:$J763,1)</f>
      </c>
      <c r="J763" s="26">
        <f>COUNTIF($S$5:$S763,S763)</f>
      </c>
      <c r="K763" s="26">
        <f t="shared" si="196"/>
      </c>
      <c r="L763" s="26">
        <f>IFERROR(IF(P763=0,0,MAX($L$4:L762)+1),0)</f>
      </c>
      <c r="M763" s="5">
        <f t="shared" si="208"/>
      </c>
      <c r="N763" s="5">
        <f t="shared" si="209"/>
      </c>
      <c r="P763" s="86">
        <f t="shared" si="197"/>
      </c>
      <c r="Q763" s="86">
        <f t="shared" si="198"/>
      </c>
      <c r="R763" s="86">
        <f t="shared" si="199"/>
      </c>
      <c r="S763" s="86">
        <f t="shared" si="200"/>
      </c>
      <c r="T763" s="86">
        <f t="shared" si="210"/>
        <v/>
      </c>
      <c r="U763" s="86">
        <f t="shared" si="211"/>
        <v/>
      </c>
      <c r="V763" s="86">
        <f t="shared" si="212"/>
        <v/>
      </c>
      <c r="W763" s="87">
        <f t="shared" si="201"/>
      </c>
      <c r="X763" s="88"/>
      <c r="Y763" s="88"/>
      <c r="Z763" s="88"/>
      <c r="AA763" s="88"/>
      <c r="AB763" s="88"/>
      <c r="AD763" s="86">
        <f t="shared" si="202"/>
      </c>
      <c r="AE763" s="86">
        <f t="shared" si="203"/>
      </c>
      <c r="AG763" s="86">
        <f t="shared" si="204"/>
      </c>
      <c r="AH763" s="86">
        <f t="shared" si="205"/>
      </c>
      <c r="AI763" s="86">
        <f t="shared" si="206"/>
      </c>
    </row>
    <row r="764" spans="6:35" x14ac:dyDescent="0.3">
      <c r="F764" s="26">
        <f>IF(G764=1,MAX($F$4:F763)+1,"")</f>
        <v/>
      </c>
      <c r="G764" s="26">
        <f>COUNTIF($H$5:H764,H764)</f>
      </c>
      <c r="H764" s="26">
        <f t="shared" si="207"/>
      </c>
      <c r="I764" s="26">
        <f>COUNTIF($J$4:$J764,1)</f>
      </c>
      <c r="J764" s="26">
        <f>COUNTIF($S$5:$S764,S764)</f>
      </c>
      <c r="K764" s="26">
        <f t="shared" si="196"/>
      </c>
      <c r="L764" s="26">
        <f>IFERROR(IF(P764=0,0,MAX($L$4:L763)+1),0)</f>
      </c>
      <c r="M764" s="5">
        <f t="shared" si="208"/>
      </c>
      <c r="N764" s="5">
        <f t="shared" si="209"/>
      </c>
      <c r="P764" s="86">
        <f t="shared" si="197"/>
      </c>
      <c r="Q764" s="86">
        <f t="shared" si="198"/>
      </c>
      <c r="R764" s="86">
        <f t="shared" si="199"/>
      </c>
      <c r="S764" s="86">
        <f t="shared" si="200"/>
      </c>
      <c r="T764" s="86">
        <f t="shared" si="210"/>
        <v/>
      </c>
      <c r="U764" s="86">
        <f t="shared" si="211"/>
        <v/>
      </c>
      <c r="V764" s="86">
        <f t="shared" si="212"/>
        <v/>
      </c>
      <c r="W764" s="87">
        <f t="shared" si="201"/>
      </c>
      <c r="X764" s="88"/>
      <c r="Y764" s="88"/>
      <c r="Z764" s="88"/>
      <c r="AA764" s="88"/>
      <c r="AB764" s="88"/>
      <c r="AD764" s="86">
        <f t="shared" si="202"/>
      </c>
      <c r="AE764" s="86">
        <f t="shared" si="203"/>
      </c>
      <c r="AG764" s="86">
        <f t="shared" si="204"/>
      </c>
      <c r="AH764" s="86">
        <f t="shared" si="205"/>
      </c>
      <c r="AI764" s="86">
        <f t="shared" si="206"/>
      </c>
    </row>
    <row r="765" spans="6:35" x14ac:dyDescent="0.3">
      <c r="F765" s="26">
        <f>IF(G765=1,MAX($F$4:F764)+1,"")</f>
        <v/>
      </c>
      <c r="G765" s="26">
        <f>COUNTIF($H$5:H765,H765)</f>
      </c>
      <c r="H765" s="26">
        <f t="shared" si="207"/>
      </c>
      <c r="I765" s="26">
        <f>COUNTIF($J$4:$J765,1)</f>
      </c>
      <c r="J765" s="26">
        <f>COUNTIF($S$5:$S765,S765)</f>
      </c>
      <c r="K765" s="26">
        <f t="shared" si="196"/>
      </c>
      <c r="L765" s="26">
        <f>IFERROR(IF(P765=0,0,MAX($L$4:L764)+1),0)</f>
      </c>
      <c r="M765" s="5">
        <f t="shared" si="208"/>
      </c>
      <c r="N765" s="5">
        <f t="shared" si="209"/>
      </c>
      <c r="P765" s="86">
        <f t="shared" si="197"/>
      </c>
      <c r="Q765" s="86">
        <f t="shared" si="198"/>
      </c>
      <c r="R765" s="86">
        <f t="shared" si="199"/>
      </c>
      <c r="S765" s="86">
        <f t="shared" si="200"/>
      </c>
      <c r="T765" s="86">
        <f t="shared" si="210"/>
        <v/>
      </c>
      <c r="U765" s="86">
        <f t="shared" si="211"/>
        <v/>
      </c>
      <c r="V765" s="86">
        <f t="shared" si="212"/>
        <v/>
      </c>
      <c r="W765" s="87">
        <f t="shared" si="201"/>
      </c>
      <c r="X765" s="88"/>
      <c r="Y765" s="88"/>
      <c r="Z765" s="88"/>
      <c r="AA765" s="88"/>
      <c r="AB765" s="88"/>
      <c r="AD765" s="86">
        <f t="shared" si="202"/>
      </c>
      <c r="AE765" s="86">
        <f t="shared" si="203"/>
      </c>
      <c r="AG765" s="86">
        <f t="shared" si="204"/>
      </c>
      <c r="AH765" s="86">
        <f t="shared" si="205"/>
      </c>
      <c r="AI765" s="86">
        <f t="shared" si="206"/>
      </c>
    </row>
    <row r="766" spans="6:35" x14ac:dyDescent="0.3">
      <c r="F766" s="26">
        <f>IF(G766=1,MAX($F$4:F765)+1,"")</f>
        <v/>
      </c>
      <c r="G766" s="26">
        <f>COUNTIF($H$5:H766,H766)</f>
      </c>
      <c r="H766" s="26">
        <f t="shared" si="207"/>
      </c>
      <c r="I766" s="26">
        <f>COUNTIF($J$4:$J766,1)</f>
      </c>
      <c r="J766" s="26">
        <f>COUNTIF($S$5:$S766,S766)</f>
      </c>
      <c r="K766" s="26">
        <f t="shared" si="196"/>
      </c>
      <c r="L766" s="26">
        <f>IFERROR(IF(P766=0,0,MAX($L$4:L765)+1),0)</f>
      </c>
      <c r="M766" s="5">
        <f t="shared" si="208"/>
      </c>
      <c r="N766" s="5">
        <f t="shared" si="209"/>
      </c>
      <c r="P766" s="86">
        <f t="shared" si="197"/>
      </c>
      <c r="Q766" s="86">
        <f t="shared" si="198"/>
      </c>
      <c r="R766" s="86">
        <f t="shared" si="199"/>
      </c>
      <c r="S766" s="86">
        <f t="shared" si="200"/>
      </c>
      <c r="T766" s="86">
        <f t="shared" si="210"/>
        <v/>
      </c>
      <c r="U766" s="86">
        <f t="shared" si="211"/>
        <v/>
      </c>
      <c r="V766" s="86">
        <f t="shared" si="212"/>
        <v/>
      </c>
      <c r="W766" s="87">
        <f t="shared" si="201"/>
      </c>
      <c r="X766" s="88"/>
      <c r="Y766" s="88"/>
      <c r="Z766" s="88"/>
      <c r="AA766" s="88"/>
      <c r="AB766" s="88"/>
      <c r="AD766" s="86">
        <f t="shared" si="202"/>
      </c>
      <c r="AE766" s="86">
        <f t="shared" si="203"/>
      </c>
      <c r="AG766" s="86">
        <f t="shared" si="204"/>
      </c>
      <c r="AH766" s="86">
        <f t="shared" si="205"/>
      </c>
      <c r="AI766" s="86">
        <f t="shared" si="206"/>
      </c>
    </row>
    <row r="767" spans="6:35" x14ac:dyDescent="0.3">
      <c r="F767" s="26">
        <f>IF(G767=1,MAX($F$4:F766)+1,"")</f>
        <v/>
      </c>
      <c r="G767" s="26">
        <f>COUNTIF($H$5:H767,H767)</f>
      </c>
      <c r="H767" s="26">
        <f t="shared" si="207"/>
      </c>
      <c r="I767" s="26">
        <f>COUNTIF($J$4:$J767,1)</f>
      </c>
      <c r="J767" s="26">
        <f>COUNTIF($S$5:$S767,S767)</f>
      </c>
      <c r="K767" s="26">
        <f t="shared" si="196"/>
      </c>
      <c r="L767" s="26">
        <f>IFERROR(IF(P767=0,0,MAX($L$4:L766)+1),0)</f>
      </c>
      <c r="M767" s="5">
        <f t="shared" si="208"/>
      </c>
      <c r="N767" s="5">
        <f t="shared" si="209"/>
      </c>
      <c r="P767" s="86">
        <f t="shared" si="197"/>
      </c>
      <c r="Q767" s="86">
        <f t="shared" si="198"/>
      </c>
      <c r="R767" s="86">
        <f t="shared" si="199"/>
      </c>
      <c r="S767" s="86">
        <f t="shared" si="200"/>
      </c>
      <c r="T767" s="86">
        <f t="shared" si="210"/>
        <v/>
      </c>
      <c r="U767" s="86">
        <f t="shared" si="211"/>
        <v/>
      </c>
      <c r="V767" s="86">
        <f t="shared" si="212"/>
        <v/>
      </c>
      <c r="W767" s="87">
        <f t="shared" si="201"/>
      </c>
      <c r="X767" s="88"/>
      <c r="Y767" s="88"/>
      <c r="Z767" s="88"/>
      <c r="AA767" s="88"/>
      <c r="AB767" s="88"/>
      <c r="AD767" s="86">
        <f t="shared" si="202"/>
      </c>
      <c r="AE767" s="86">
        <f t="shared" si="203"/>
      </c>
      <c r="AG767" s="86">
        <f t="shared" si="204"/>
      </c>
      <c r="AH767" s="86">
        <f t="shared" si="205"/>
      </c>
      <c r="AI767" s="86">
        <f t="shared" si="206"/>
      </c>
    </row>
    <row r="768" spans="6:35" x14ac:dyDescent="0.3">
      <c r="F768" s="26">
        <f>IF(G768=1,MAX($F$4:F767)+1,"")</f>
        <v/>
      </c>
      <c r="G768" s="26">
        <f>COUNTIF($H$5:H768,H768)</f>
      </c>
      <c r="H768" s="26">
        <f t="shared" si="207"/>
      </c>
      <c r="I768" s="26">
        <f>COUNTIF($J$4:$J768,1)</f>
      </c>
      <c r="J768" s="26">
        <f>COUNTIF($S$5:$S768,S768)</f>
      </c>
      <c r="K768" s="26">
        <f t="shared" si="196"/>
      </c>
      <c r="L768" s="26">
        <f>IFERROR(IF(P768=0,0,MAX($L$4:L767)+1),0)</f>
      </c>
      <c r="M768" s="5">
        <f t="shared" si="208"/>
      </c>
      <c r="N768" s="5">
        <f t="shared" si="209"/>
      </c>
      <c r="P768" s="86">
        <f t="shared" si="197"/>
      </c>
      <c r="Q768" s="86">
        <f t="shared" si="198"/>
      </c>
      <c r="R768" s="86">
        <f t="shared" si="199"/>
      </c>
      <c r="S768" s="86">
        <f t="shared" si="200"/>
      </c>
      <c r="T768" s="86">
        <f t="shared" si="210"/>
        <v/>
      </c>
      <c r="U768" s="86">
        <f t="shared" si="211"/>
        <v/>
      </c>
      <c r="V768" s="86">
        <f t="shared" si="212"/>
        <v/>
      </c>
      <c r="W768" s="87">
        <f t="shared" si="201"/>
      </c>
      <c r="X768" s="88"/>
      <c r="Y768" s="88"/>
      <c r="Z768" s="88"/>
      <c r="AA768" s="88"/>
      <c r="AB768" s="88"/>
      <c r="AD768" s="86">
        <f t="shared" si="202"/>
      </c>
      <c r="AE768" s="86">
        <f t="shared" si="203"/>
      </c>
      <c r="AG768" s="86">
        <f t="shared" si="204"/>
      </c>
      <c r="AH768" s="86">
        <f t="shared" si="205"/>
      </c>
      <c r="AI768" s="86">
        <f t="shared" si="206"/>
      </c>
    </row>
    <row r="769" spans="6:35" x14ac:dyDescent="0.3">
      <c r="F769" s="26">
        <f>IF(G769=1,MAX($F$4:F768)+1,"")</f>
        <v/>
      </c>
      <c r="G769" s="26">
        <f>COUNTIF($H$5:H769,H769)</f>
      </c>
      <c r="H769" s="26">
        <f t="shared" si="207"/>
      </c>
      <c r="I769" s="26">
        <f>COUNTIF($J$4:$J769,1)</f>
      </c>
      <c r="J769" s="26">
        <f>COUNTIF($S$5:$S769,S769)</f>
      </c>
      <c r="K769" s="26">
        <f t="shared" si="196"/>
      </c>
      <c r="L769" s="26">
        <f>IFERROR(IF(P769=0,0,MAX($L$4:L768)+1),0)</f>
      </c>
      <c r="M769" s="5">
        <f t="shared" si="208"/>
      </c>
      <c r="N769" s="5">
        <f t="shared" si="209"/>
      </c>
      <c r="P769" s="86">
        <f t="shared" si="197"/>
      </c>
      <c r="Q769" s="86">
        <f t="shared" si="198"/>
      </c>
      <c r="R769" s="86">
        <f t="shared" si="199"/>
      </c>
      <c r="S769" s="86">
        <f t="shared" si="200"/>
      </c>
      <c r="T769" s="86">
        <f t="shared" si="210"/>
        <v/>
      </c>
      <c r="U769" s="86">
        <f t="shared" si="211"/>
        <v/>
      </c>
      <c r="V769" s="86">
        <f t="shared" si="212"/>
        <v/>
      </c>
      <c r="W769" s="87">
        <f t="shared" si="201"/>
      </c>
      <c r="X769" s="88"/>
      <c r="Y769" s="88"/>
      <c r="Z769" s="88"/>
      <c r="AA769" s="88"/>
      <c r="AB769" s="88"/>
      <c r="AD769" s="86">
        <f t="shared" si="202"/>
      </c>
      <c r="AE769" s="86">
        <f t="shared" si="203"/>
      </c>
      <c r="AG769" s="86">
        <f t="shared" si="204"/>
      </c>
      <c r="AH769" s="86">
        <f t="shared" si="205"/>
      </c>
      <c r="AI769" s="86">
        <f t="shared" si="206"/>
      </c>
    </row>
    <row r="770" spans="6:35" x14ac:dyDescent="0.3">
      <c r="F770" s="26">
        <f>IF(G770=1,MAX($F$4:F769)+1,"")</f>
        <v/>
      </c>
      <c r="G770" s="26">
        <f>COUNTIF($H$5:H770,H770)</f>
      </c>
      <c r="H770" s="26">
        <f t="shared" si="207"/>
      </c>
      <c r="I770" s="26">
        <f>COUNTIF($J$4:$J770,1)</f>
      </c>
      <c r="J770" s="26">
        <f>COUNTIF($S$5:$S770,S770)</f>
      </c>
      <c r="K770" s="26">
        <f t="shared" si="196"/>
      </c>
      <c r="L770" s="26">
        <f>IFERROR(IF(P770=0,0,MAX($L$4:L769)+1),0)</f>
      </c>
      <c r="M770" s="5">
        <f t="shared" si="208"/>
      </c>
      <c r="N770" s="5">
        <f t="shared" si="209"/>
      </c>
      <c r="P770" s="86">
        <f t="shared" si="197"/>
      </c>
      <c r="Q770" s="86">
        <f t="shared" si="198"/>
      </c>
      <c r="R770" s="86">
        <f t="shared" si="199"/>
      </c>
      <c r="S770" s="86">
        <f t="shared" si="200"/>
      </c>
      <c r="T770" s="86">
        <f t="shared" si="210"/>
        <v/>
      </c>
      <c r="U770" s="86">
        <f t="shared" si="211"/>
        <v/>
      </c>
      <c r="V770" s="86">
        <f t="shared" si="212"/>
        <v/>
      </c>
      <c r="W770" s="87">
        <f t="shared" si="201"/>
      </c>
      <c r="X770" s="88"/>
      <c r="Y770" s="88"/>
      <c r="Z770" s="88"/>
      <c r="AA770" s="88"/>
      <c r="AB770" s="88"/>
      <c r="AD770" s="86">
        <f t="shared" si="202"/>
      </c>
      <c r="AE770" s="86">
        <f t="shared" si="203"/>
      </c>
      <c r="AG770" s="86">
        <f t="shared" si="204"/>
      </c>
      <c r="AH770" s="86">
        <f t="shared" si="205"/>
      </c>
      <c r="AI770" s="86">
        <f t="shared" si="206"/>
      </c>
    </row>
    <row r="771" spans="6:35" x14ac:dyDescent="0.3">
      <c r="F771" s="26">
        <f>IF(G771=1,MAX($F$4:F770)+1,"")</f>
        <v/>
      </c>
      <c r="G771" s="26">
        <f>COUNTIF($H$5:H771,H771)</f>
      </c>
      <c r="H771" s="26">
        <f t="shared" si="207"/>
      </c>
      <c r="I771" s="26">
        <f>COUNTIF($J$4:$J771,1)</f>
      </c>
      <c r="J771" s="26">
        <f>COUNTIF($S$5:$S771,S771)</f>
      </c>
      <c r="K771" s="26">
        <f t="shared" si="196"/>
      </c>
      <c r="L771" s="26">
        <f>IFERROR(IF(P771=0,0,MAX($L$4:L770)+1),0)</f>
      </c>
      <c r="M771" s="5">
        <f t="shared" si="208"/>
      </c>
      <c r="N771" s="5">
        <f t="shared" si="209"/>
      </c>
      <c r="P771" s="86">
        <f t="shared" si="197"/>
      </c>
      <c r="Q771" s="86">
        <f t="shared" si="198"/>
      </c>
      <c r="R771" s="86">
        <f t="shared" si="199"/>
      </c>
      <c r="S771" s="86">
        <f t="shared" si="200"/>
      </c>
      <c r="T771" s="86">
        <f t="shared" si="210"/>
        <v/>
      </c>
      <c r="U771" s="86">
        <f t="shared" si="211"/>
        <v/>
      </c>
      <c r="V771" s="86">
        <f t="shared" si="212"/>
        <v/>
      </c>
      <c r="W771" s="87">
        <f t="shared" si="201"/>
      </c>
      <c r="X771" s="88"/>
      <c r="Y771" s="88"/>
      <c r="Z771" s="88"/>
      <c r="AA771" s="88"/>
      <c r="AB771" s="88"/>
      <c r="AD771" s="86">
        <f t="shared" si="202"/>
      </c>
      <c r="AE771" s="86">
        <f t="shared" si="203"/>
      </c>
      <c r="AG771" s="86">
        <f t="shared" si="204"/>
      </c>
      <c r="AH771" s="86">
        <f t="shared" si="205"/>
      </c>
      <c r="AI771" s="86">
        <f t="shared" si="206"/>
      </c>
    </row>
    <row r="772" spans="6:35" x14ac:dyDescent="0.3">
      <c r="F772" s="26">
        <f>IF(G772=1,MAX($F$4:F771)+1,"")</f>
        <v/>
      </c>
      <c r="G772" s="26">
        <f>COUNTIF($H$5:H772,H772)</f>
      </c>
      <c r="H772" s="26">
        <f t="shared" si="207"/>
      </c>
      <c r="I772" s="26">
        <f>COUNTIF($J$4:$J772,1)</f>
      </c>
      <c r="J772" s="26">
        <f>COUNTIF($S$5:$S772,S772)</f>
      </c>
      <c r="K772" s="26">
        <f t="shared" si="196"/>
      </c>
      <c r="L772" s="26">
        <f>IFERROR(IF(P772=0,0,MAX($L$4:L771)+1),0)</f>
      </c>
      <c r="M772" s="5">
        <f t="shared" si="208"/>
      </c>
      <c r="N772" s="5">
        <f t="shared" si="209"/>
      </c>
      <c r="P772" s="86">
        <f t="shared" si="197"/>
      </c>
      <c r="Q772" s="86">
        <f t="shared" si="198"/>
      </c>
      <c r="R772" s="86">
        <f t="shared" si="199"/>
      </c>
      <c r="S772" s="86">
        <f t="shared" si="200"/>
      </c>
      <c r="T772" s="86">
        <f t="shared" si="210"/>
        <v/>
      </c>
      <c r="U772" s="86">
        <f t="shared" si="211"/>
        <v/>
      </c>
      <c r="V772" s="86">
        <f t="shared" si="212"/>
        <v/>
      </c>
      <c r="W772" s="87">
        <f t="shared" si="201"/>
      </c>
      <c r="X772" s="88"/>
      <c r="Y772" s="88"/>
      <c r="Z772" s="88"/>
      <c r="AA772" s="88"/>
      <c r="AB772" s="88"/>
      <c r="AD772" s="86">
        <f t="shared" si="202"/>
      </c>
      <c r="AE772" s="86">
        <f t="shared" si="203"/>
      </c>
      <c r="AG772" s="86">
        <f t="shared" si="204"/>
      </c>
      <c r="AH772" s="86">
        <f t="shared" si="205"/>
      </c>
      <c r="AI772" s="86">
        <f t="shared" si="206"/>
      </c>
    </row>
    <row r="773" spans="6:35" x14ac:dyDescent="0.3">
      <c r="F773" s="26">
        <f>IF(G773=1,MAX($F$4:F772)+1,"")</f>
        <v/>
      </c>
      <c r="G773" s="26">
        <f>COUNTIF($H$5:H773,H773)</f>
      </c>
      <c r="H773" s="26">
        <f t="shared" si="207"/>
      </c>
      <c r="I773" s="26">
        <f>COUNTIF($J$4:$J773,1)</f>
      </c>
      <c r="J773" s="26">
        <f>COUNTIF($S$5:$S773,S773)</f>
      </c>
      <c r="K773" s="26">
        <f t="shared" ref="K773:K836" si="213">VLOOKUP(P773,Исходные_данные,19,FALSE)</f>
      </c>
      <c r="L773" s="26">
        <f>IFERROR(IF(P773=0,0,MAX($L$4:L772)+1),0)</f>
      </c>
      <c r="M773" s="5">
        <f t="shared" si="208"/>
      </c>
      <c r="N773" s="5">
        <f t="shared" si="209"/>
      </c>
      <c r="P773" s="86">
        <f t="shared" ref="P773:P836" si="214">VLOOKUP(ROW(769:769),Разбивка_нумерация_5,4,FALSE)</f>
      </c>
      <c r="Q773" s="86">
        <f t="shared" ref="Q773:Q836" si="215">IF(VLOOKUP(ROW(769:769),Разбивка_нумерация_5,3,FALSE)=0,VLOOKUP(ROW(769:769),Разбивка_нумерация_5,2,FALSE),VLOOKUP(ROW(769:769),Разбивка_нумерация_5,3,FALSE))</f>
      </c>
      <c r="R773" s="86">
        <f t="shared" ref="R773:R836" si="216">VLOOKUP(ROW(769:769),Разбивка_нумерация_5,6,FALSE)</f>
      </c>
      <c r="S773" s="86">
        <f t="shared" ref="S773:S836" si="217">VLOOKUP(ROW(769:769),Разбивка_нумерация_5,17,FALSE)</f>
      </c>
      <c r="T773" s="86">
        <f t="shared" si="210"/>
        <v/>
      </c>
      <c r="U773" s="86">
        <f t="shared" si="211"/>
        <v/>
      </c>
      <c r="V773" s="86">
        <f t="shared" si="212"/>
        <v/>
      </c>
      <c r="W773" s="87">
        <f t="shared" ref="W773:W836" si="218">VLOOKUP(P773,Исходные_данные,13,FALSE)</f>
      </c>
      <c r="X773" s="88"/>
      <c r="Y773" s="88"/>
      <c r="Z773" s="88"/>
      <c r="AA773" s="88"/>
      <c r="AB773" s="88"/>
      <c r="AD773" s="86">
        <f t="shared" ref="AD773:AD836" si="219">VLOOKUP(S773,Кабель_диаметр,4,FALSE)</f>
      </c>
      <c r="AE773" s="86">
        <f t="shared" ref="AE773:AE836" si="220">VLOOKUP(S773,Кабель_диаметр,5,FALSE)</f>
      </c>
      <c r="AG773" s="86">
        <f t="shared" ref="AG773:AG836" si="221">IFERROR(VLOOKUP(P773,Исходные_данные,10,FALSE),0)</f>
      </c>
      <c r="AH773" s="86">
        <f t="shared" ref="AH773:AH836" si="222">IFERROR(VLOOKUP(P773,Исходные_данные,11,FALSE),0)</f>
      </c>
      <c r="AI773" s="86">
        <f t="shared" ref="AI773:AI836" si="223">IFERROR(VLOOKUP(P773,Исходные_данные,12,FALSE),0)</f>
      </c>
    </row>
    <row r="774" spans="6:35" x14ac:dyDescent="0.3">
      <c r="F774" s="26">
        <f>IF(G774=1,MAX($F$4:F773)+1,"")</f>
        <v/>
      </c>
      <c r="G774" s="26">
        <f>COUNTIF($H$5:H774,H774)</f>
      </c>
      <c r="H774" s="26">
        <f t="shared" ref="H774:H837" si="224">S774&amp;" "&amp;K774</f>
      </c>
      <c r="I774" s="26">
        <f>COUNTIF($J$4:$J774,1)</f>
      </c>
      <c r="J774" s="26">
        <f>COUNTIF($S$5:$S774,S774)</f>
      </c>
      <c r="K774" s="26">
        <f t="shared" si="213"/>
      </c>
      <c r="L774" s="26">
        <f>IFERROR(IF(P774=0,0,MAX($L$4:L773)+1),0)</f>
      </c>
      <c r="M774" s="5">
        <f t="shared" ref="M774:M837" si="225">LEFT(P774,SEARCH(".",P774)-1)</f>
      </c>
      <c r="N774" s="5">
        <f t="shared" ref="N774:N837" si="226">LEFT(RIGHT(P774,LEN(P774)-LEN(M774)-1),SEARCH(".",P774)-1)</f>
      </c>
      <c r="P774" s="86">
        <f t="shared" si="214"/>
      </c>
      <c r="Q774" s="86">
        <f t="shared" si="215"/>
      </c>
      <c r="R774" s="86">
        <f t="shared" si="216"/>
      </c>
      <c r="S774" s="86">
        <f t="shared" si="217"/>
      </c>
      <c r="T774" s="86">
        <f t="shared" ref="T774:T837" si="227">IF(AG774=0,"","L="&amp;AG774)</f>
        <v/>
      </c>
      <c r="U774" s="86">
        <f t="shared" ref="U774:U837" si="228">IF(AH774=0,"",AD774&amp;" L="&amp;AH774)</f>
        <v/>
      </c>
      <c r="V774" s="86">
        <f t="shared" ref="V774:V837" si="229">IF(AI774=0,"",AE774&amp;" L="&amp;AI774)</f>
        <v/>
      </c>
      <c r="W774" s="87">
        <f t="shared" si="218"/>
      </c>
      <c r="X774" s="88"/>
      <c r="Y774" s="88"/>
      <c r="Z774" s="88"/>
      <c r="AA774" s="88"/>
      <c r="AB774" s="88"/>
      <c r="AD774" s="86">
        <f t="shared" si="219"/>
      </c>
      <c r="AE774" s="86">
        <f t="shared" si="220"/>
      </c>
      <c r="AG774" s="86">
        <f t="shared" si="221"/>
      </c>
      <c r="AH774" s="86">
        <f t="shared" si="222"/>
      </c>
      <c r="AI774" s="86">
        <f t="shared" si="223"/>
      </c>
    </row>
    <row r="775" spans="6:35" x14ac:dyDescent="0.3">
      <c r="F775" s="26">
        <f>IF(G775=1,MAX($F$4:F774)+1,"")</f>
        <v/>
      </c>
      <c r="G775" s="26">
        <f>COUNTIF($H$5:H775,H775)</f>
      </c>
      <c r="H775" s="26">
        <f t="shared" si="224"/>
      </c>
      <c r="I775" s="26">
        <f>COUNTIF($J$4:$J775,1)</f>
      </c>
      <c r="J775" s="26">
        <f>COUNTIF($S$5:$S775,S775)</f>
      </c>
      <c r="K775" s="26">
        <f t="shared" si="213"/>
      </c>
      <c r="L775" s="26">
        <f>IFERROR(IF(P775=0,0,MAX($L$4:L774)+1),0)</f>
      </c>
      <c r="M775" s="5">
        <f t="shared" si="225"/>
      </c>
      <c r="N775" s="5">
        <f t="shared" si="226"/>
      </c>
      <c r="P775" s="86">
        <f t="shared" si="214"/>
      </c>
      <c r="Q775" s="86">
        <f t="shared" si="215"/>
      </c>
      <c r="R775" s="86">
        <f t="shared" si="216"/>
      </c>
      <c r="S775" s="86">
        <f t="shared" si="217"/>
      </c>
      <c r="T775" s="86">
        <f t="shared" si="227"/>
        <v/>
      </c>
      <c r="U775" s="86">
        <f t="shared" si="228"/>
        <v/>
      </c>
      <c r="V775" s="86">
        <f t="shared" si="229"/>
        <v/>
      </c>
      <c r="W775" s="87">
        <f t="shared" si="218"/>
      </c>
      <c r="X775" s="88"/>
      <c r="Y775" s="88"/>
      <c r="Z775" s="88"/>
      <c r="AA775" s="88"/>
      <c r="AB775" s="88"/>
      <c r="AD775" s="86">
        <f t="shared" si="219"/>
      </c>
      <c r="AE775" s="86">
        <f t="shared" si="220"/>
      </c>
      <c r="AG775" s="86">
        <f t="shared" si="221"/>
      </c>
      <c r="AH775" s="86">
        <f t="shared" si="222"/>
      </c>
      <c r="AI775" s="86">
        <f t="shared" si="223"/>
      </c>
    </row>
    <row r="776" spans="6:35" x14ac:dyDescent="0.3">
      <c r="F776" s="26">
        <f>IF(G776=1,MAX($F$4:F775)+1,"")</f>
        <v/>
      </c>
      <c r="G776" s="26">
        <f>COUNTIF($H$5:H776,H776)</f>
      </c>
      <c r="H776" s="26">
        <f t="shared" si="224"/>
      </c>
      <c r="I776" s="26">
        <f>COUNTIF($J$4:$J776,1)</f>
      </c>
      <c r="J776" s="26">
        <f>COUNTIF($S$5:$S776,S776)</f>
      </c>
      <c r="K776" s="26">
        <f t="shared" si="213"/>
      </c>
      <c r="L776" s="26">
        <f>IFERROR(IF(P776=0,0,MAX($L$4:L775)+1),0)</f>
      </c>
      <c r="M776" s="5">
        <f t="shared" si="225"/>
      </c>
      <c r="N776" s="5">
        <f t="shared" si="226"/>
      </c>
      <c r="P776" s="86">
        <f t="shared" si="214"/>
      </c>
      <c r="Q776" s="86">
        <f t="shared" si="215"/>
      </c>
      <c r="R776" s="86">
        <f t="shared" si="216"/>
      </c>
      <c r="S776" s="86">
        <f t="shared" si="217"/>
      </c>
      <c r="T776" s="86">
        <f t="shared" si="227"/>
        <v/>
      </c>
      <c r="U776" s="86">
        <f t="shared" si="228"/>
        <v/>
      </c>
      <c r="V776" s="86">
        <f t="shared" si="229"/>
        <v/>
      </c>
      <c r="W776" s="87">
        <f t="shared" si="218"/>
      </c>
      <c r="X776" s="88"/>
      <c r="Y776" s="88"/>
      <c r="Z776" s="88"/>
      <c r="AA776" s="88"/>
      <c r="AB776" s="88"/>
      <c r="AD776" s="86">
        <f t="shared" si="219"/>
      </c>
      <c r="AE776" s="86">
        <f t="shared" si="220"/>
      </c>
      <c r="AG776" s="86">
        <f t="shared" si="221"/>
      </c>
      <c r="AH776" s="86">
        <f t="shared" si="222"/>
      </c>
      <c r="AI776" s="86">
        <f t="shared" si="223"/>
      </c>
    </row>
    <row r="777" spans="6:35" x14ac:dyDescent="0.3">
      <c r="F777" s="26">
        <f>IF(G777=1,MAX($F$4:F776)+1,"")</f>
        <v/>
      </c>
      <c r="G777" s="26">
        <f>COUNTIF($H$5:H777,H777)</f>
      </c>
      <c r="H777" s="26">
        <f t="shared" si="224"/>
      </c>
      <c r="I777" s="26">
        <f>COUNTIF($J$4:$J777,1)</f>
      </c>
      <c r="J777" s="26">
        <f>COUNTIF($S$5:$S777,S777)</f>
      </c>
      <c r="K777" s="26">
        <f t="shared" si="213"/>
      </c>
      <c r="L777" s="26">
        <f>IFERROR(IF(P777=0,0,MAX($L$4:L776)+1),0)</f>
      </c>
      <c r="M777" s="5">
        <f t="shared" si="225"/>
      </c>
      <c r="N777" s="5">
        <f t="shared" si="226"/>
      </c>
      <c r="P777" s="86">
        <f t="shared" si="214"/>
      </c>
      <c r="Q777" s="86">
        <f t="shared" si="215"/>
      </c>
      <c r="R777" s="86">
        <f t="shared" si="216"/>
      </c>
      <c r="S777" s="86">
        <f t="shared" si="217"/>
      </c>
      <c r="T777" s="86">
        <f t="shared" si="227"/>
        <v/>
      </c>
      <c r="U777" s="86">
        <f t="shared" si="228"/>
        <v/>
      </c>
      <c r="V777" s="86">
        <f t="shared" si="229"/>
        <v/>
      </c>
      <c r="W777" s="87">
        <f t="shared" si="218"/>
      </c>
      <c r="X777" s="88"/>
      <c r="Y777" s="88"/>
      <c r="Z777" s="88"/>
      <c r="AA777" s="88"/>
      <c r="AB777" s="88"/>
      <c r="AD777" s="86">
        <f t="shared" si="219"/>
      </c>
      <c r="AE777" s="86">
        <f t="shared" si="220"/>
      </c>
      <c r="AG777" s="86">
        <f t="shared" si="221"/>
      </c>
      <c r="AH777" s="86">
        <f t="shared" si="222"/>
      </c>
      <c r="AI777" s="86">
        <f t="shared" si="223"/>
      </c>
    </row>
    <row r="778" spans="6:35" x14ac:dyDescent="0.3">
      <c r="F778" s="26">
        <f>IF(G778=1,MAX($F$4:F777)+1,"")</f>
        <v/>
      </c>
      <c r="G778" s="26">
        <f>COUNTIF($H$5:H778,H778)</f>
      </c>
      <c r="H778" s="26">
        <f t="shared" si="224"/>
      </c>
      <c r="I778" s="26">
        <f>COUNTIF($J$4:$J778,1)</f>
      </c>
      <c r="J778" s="26">
        <f>COUNTIF($S$5:$S778,S778)</f>
      </c>
      <c r="K778" s="26">
        <f t="shared" si="213"/>
      </c>
      <c r="L778" s="26">
        <f>IFERROR(IF(P778=0,0,MAX($L$4:L777)+1),0)</f>
      </c>
      <c r="M778" s="5">
        <f t="shared" si="225"/>
      </c>
      <c r="N778" s="5">
        <f t="shared" si="226"/>
      </c>
      <c r="P778" s="86">
        <f t="shared" si="214"/>
      </c>
      <c r="Q778" s="86">
        <f t="shared" si="215"/>
      </c>
      <c r="R778" s="86">
        <f t="shared" si="216"/>
      </c>
      <c r="S778" s="86">
        <f t="shared" si="217"/>
      </c>
      <c r="T778" s="86">
        <f t="shared" si="227"/>
        <v/>
      </c>
      <c r="U778" s="86">
        <f t="shared" si="228"/>
        <v/>
      </c>
      <c r="V778" s="86">
        <f t="shared" si="229"/>
        <v/>
      </c>
      <c r="W778" s="87">
        <f t="shared" si="218"/>
      </c>
      <c r="X778" s="88"/>
      <c r="Y778" s="88"/>
      <c r="Z778" s="88"/>
      <c r="AA778" s="88"/>
      <c r="AB778" s="88"/>
      <c r="AD778" s="86">
        <f t="shared" si="219"/>
      </c>
      <c r="AE778" s="86">
        <f t="shared" si="220"/>
      </c>
      <c r="AG778" s="86">
        <f t="shared" si="221"/>
      </c>
      <c r="AH778" s="86">
        <f t="shared" si="222"/>
      </c>
      <c r="AI778" s="86">
        <f t="shared" si="223"/>
      </c>
    </row>
    <row r="779" spans="6:35" x14ac:dyDescent="0.3">
      <c r="F779" s="26">
        <f>IF(G779=1,MAX($F$4:F778)+1,"")</f>
        <v/>
      </c>
      <c r="G779" s="26">
        <f>COUNTIF($H$5:H779,H779)</f>
      </c>
      <c r="H779" s="26">
        <f t="shared" si="224"/>
      </c>
      <c r="I779" s="26">
        <f>COUNTIF($J$4:$J779,1)</f>
      </c>
      <c r="J779" s="26">
        <f>COUNTIF($S$5:$S779,S779)</f>
      </c>
      <c r="K779" s="26">
        <f t="shared" si="213"/>
      </c>
      <c r="L779" s="26">
        <f>IFERROR(IF(P779=0,0,MAX($L$4:L778)+1),0)</f>
      </c>
      <c r="M779" s="5">
        <f t="shared" si="225"/>
      </c>
      <c r="N779" s="5">
        <f t="shared" si="226"/>
      </c>
      <c r="P779" s="86">
        <f t="shared" si="214"/>
      </c>
      <c r="Q779" s="86">
        <f t="shared" si="215"/>
      </c>
      <c r="R779" s="86">
        <f t="shared" si="216"/>
      </c>
      <c r="S779" s="86">
        <f t="shared" si="217"/>
      </c>
      <c r="T779" s="86">
        <f t="shared" si="227"/>
        <v/>
      </c>
      <c r="U779" s="86">
        <f t="shared" si="228"/>
        <v/>
      </c>
      <c r="V779" s="86">
        <f t="shared" si="229"/>
        <v/>
      </c>
      <c r="W779" s="87">
        <f t="shared" si="218"/>
      </c>
      <c r="X779" s="88"/>
      <c r="Y779" s="88"/>
      <c r="Z779" s="88"/>
      <c r="AA779" s="88"/>
      <c r="AB779" s="88"/>
      <c r="AD779" s="86">
        <f t="shared" si="219"/>
      </c>
      <c r="AE779" s="86">
        <f t="shared" si="220"/>
      </c>
      <c r="AG779" s="86">
        <f t="shared" si="221"/>
      </c>
      <c r="AH779" s="86">
        <f t="shared" si="222"/>
      </c>
      <c r="AI779" s="86">
        <f t="shared" si="223"/>
      </c>
    </row>
    <row r="780" spans="6:35" x14ac:dyDescent="0.3">
      <c r="F780" s="26">
        <f>IF(G780=1,MAX($F$4:F779)+1,"")</f>
        <v/>
      </c>
      <c r="G780" s="26">
        <f>COUNTIF($H$5:H780,H780)</f>
      </c>
      <c r="H780" s="26">
        <f t="shared" si="224"/>
      </c>
      <c r="I780" s="26">
        <f>COUNTIF($J$4:$J780,1)</f>
      </c>
      <c r="J780" s="26">
        <f>COUNTIF($S$5:$S780,S780)</f>
      </c>
      <c r="K780" s="26">
        <f t="shared" si="213"/>
      </c>
      <c r="L780" s="26">
        <f>IFERROR(IF(P780=0,0,MAX($L$4:L779)+1),0)</f>
      </c>
      <c r="M780" s="5">
        <f t="shared" si="225"/>
      </c>
      <c r="N780" s="5">
        <f t="shared" si="226"/>
      </c>
      <c r="P780" s="86">
        <f t="shared" si="214"/>
      </c>
      <c r="Q780" s="86">
        <f t="shared" si="215"/>
      </c>
      <c r="R780" s="86">
        <f t="shared" si="216"/>
      </c>
      <c r="S780" s="86">
        <f t="shared" si="217"/>
      </c>
      <c r="T780" s="86">
        <f t="shared" si="227"/>
        <v/>
      </c>
      <c r="U780" s="86">
        <f t="shared" si="228"/>
        <v/>
      </c>
      <c r="V780" s="86">
        <f t="shared" si="229"/>
        <v/>
      </c>
      <c r="W780" s="87">
        <f t="shared" si="218"/>
      </c>
      <c r="X780" s="88"/>
      <c r="Y780" s="88"/>
      <c r="Z780" s="88"/>
      <c r="AA780" s="88"/>
      <c r="AB780" s="88"/>
      <c r="AD780" s="86">
        <f t="shared" si="219"/>
      </c>
      <c r="AE780" s="86">
        <f t="shared" si="220"/>
      </c>
      <c r="AG780" s="86">
        <f t="shared" si="221"/>
      </c>
      <c r="AH780" s="86">
        <f t="shared" si="222"/>
      </c>
      <c r="AI780" s="86">
        <f t="shared" si="223"/>
      </c>
    </row>
    <row r="781" spans="6:35" x14ac:dyDescent="0.3">
      <c r="F781" s="26">
        <f>IF(G781=1,MAX($F$4:F780)+1,"")</f>
        <v/>
      </c>
      <c r="G781" s="26">
        <f>COUNTIF($H$5:H781,H781)</f>
      </c>
      <c r="H781" s="26">
        <f t="shared" si="224"/>
      </c>
      <c r="I781" s="26">
        <f>COUNTIF($J$4:$J781,1)</f>
      </c>
      <c r="J781" s="26">
        <f>COUNTIF($S$5:$S781,S781)</f>
      </c>
      <c r="K781" s="26">
        <f t="shared" si="213"/>
      </c>
      <c r="L781" s="26">
        <f>IFERROR(IF(P781=0,0,MAX($L$4:L780)+1),0)</f>
      </c>
      <c r="M781" s="5">
        <f t="shared" si="225"/>
      </c>
      <c r="N781" s="5">
        <f t="shared" si="226"/>
      </c>
      <c r="P781" s="86">
        <f t="shared" si="214"/>
      </c>
      <c r="Q781" s="86">
        <f t="shared" si="215"/>
      </c>
      <c r="R781" s="86">
        <f t="shared" si="216"/>
      </c>
      <c r="S781" s="86">
        <f t="shared" si="217"/>
      </c>
      <c r="T781" s="86">
        <f t="shared" si="227"/>
        <v/>
      </c>
      <c r="U781" s="86">
        <f t="shared" si="228"/>
        <v/>
      </c>
      <c r="V781" s="86">
        <f t="shared" si="229"/>
        <v/>
      </c>
      <c r="W781" s="87">
        <f t="shared" si="218"/>
      </c>
      <c r="X781" s="88"/>
      <c r="Y781" s="88"/>
      <c r="Z781" s="88"/>
      <c r="AA781" s="88"/>
      <c r="AB781" s="88"/>
      <c r="AD781" s="86">
        <f t="shared" si="219"/>
      </c>
      <c r="AE781" s="86">
        <f t="shared" si="220"/>
      </c>
      <c r="AG781" s="86">
        <f t="shared" si="221"/>
      </c>
      <c r="AH781" s="86">
        <f t="shared" si="222"/>
      </c>
      <c r="AI781" s="86">
        <f t="shared" si="223"/>
      </c>
    </row>
    <row r="782" spans="6:35" x14ac:dyDescent="0.3">
      <c r="F782" s="26">
        <f>IF(G782=1,MAX($F$4:F781)+1,"")</f>
        <v/>
      </c>
      <c r="G782" s="26">
        <f>COUNTIF($H$5:H782,H782)</f>
      </c>
      <c r="H782" s="26">
        <f t="shared" si="224"/>
      </c>
      <c r="I782" s="26">
        <f>COUNTIF($J$4:$J782,1)</f>
      </c>
      <c r="J782" s="26">
        <f>COUNTIF($S$5:$S782,S782)</f>
      </c>
      <c r="K782" s="26">
        <f t="shared" si="213"/>
      </c>
      <c r="L782" s="26">
        <f>IFERROR(IF(P782=0,0,MAX($L$4:L781)+1),0)</f>
      </c>
      <c r="M782" s="5">
        <f t="shared" si="225"/>
      </c>
      <c r="N782" s="5">
        <f t="shared" si="226"/>
      </c>
      <c r="P782" s="86">
        <f t="shared" si="214"/>
      </c>
      <c r="Q782" s="86">
        <f t="shared" si="215"/>
      </c>
      <c r="R782" s="86">
        <f t="shared" si="216"/>
      </c>
      <c r="S782" s="86">
        <f t="shared" si="217"/>
      </c>
      <c r="T782" s="86">
        <f t="shared" si="227"/>
        <v/>
      </c>
      <c r="U782" s="86">
        <f t="shared" si="228"/>
        <v/>
      </c>
      <c r="V782" s="86">
        <f t="shared" si="229"/>
        <v/>
      </c>
      <c r="W782" s="87">
        <f t="shared" si="218"/>
      </c>
      <c r="X782" s="88"/>
      <c r="Y782" s="88"/>
      <c r="Z782" s="88"/>
      <c r="AA782" s="88"/>
      <c r="AB782" s="88"/>
      <c r="AD782" s="86">
        <f t="shared" si="219"/>
      </c>
      <c r="AE782" s="86">
        <f t="shared" si="220"/>
      </c>
      <c r="AG782" s="86">
        <f t="shared" si="221"/>
      </c>
      <c r="AH782" s="86">
        <f t="shared" si="222"/>
      </c>
      <c r="AI782" s="86">
        <f t="shared" si="223"/>
      </c>
    </row>
    <row r="783" spans="6:35" x14ac:dyDescent="0.3">
      <c r="F783" s="26">
        <f>IF(G783=1,MAX($F$4:F782)+1,"")</f>
        <v/>
      </c>
      <c r="G783" s="26">
        <f>COUNTIF($H$5:H783,H783)</f>
      </c>
      <c r="H783" s="26">
        <f t="shared" si="224"/>
      </c>
      <c r="I783" s="26">
        <f>COUNTIF($J$4:$J783,1)</f>
      </c>
      <c r="J783" s="26">
        <f>COUNTIF($S$5:$S783,S783)</f>
      </c>
      <c r="K783" s="26">
        <f t="shared" si="213"/>
      </c>
      <c r="L783" s="26">
        <f>IFERROR(IF(P783=0,0,MAX($L$4:L782)+1),0)</f>
      </c>
      <c r="M783" s="5">
        <f t="shared" si="225"/>
      </c>
      <c r="N783" s="5">
        <f t="shared" si="226"/>
      </c>
      <c r="P783" s="86">
        <f t="shared" si="214"/>
      </c>
      <c r="Q783" s="86">
        <f t="shared" si="215"/>
      </c>
      <c r="R783" s="86">
        <f t="shared" si="216"/>
      </c>
      <c r="S783" s="86">
        <f t="shared" si="217"/>
      </c>
      <c r="T783" s="86">
        <f t="shared" si="227"/>
        <v/>
      </c>
      <c r="U783" s="86">
        <f t="shared" si="228"/>
        <v/>
      </c>
      <c r="V783" s="86">
        <f t="shared" si="229"/>
        <v/>
      </c>
      <c r="W783" s="87">
        <f t="shared" si="218"/>
      </c>
      <c r="X783" s="88"/>
      <c r="Y783" s="88"/>
      <c r="Z783" s="88"/>
      <c r="AA783" s="88"/>
      <c r="AB783" s="88"/>
      <c r="AD783" s="86">
        <f t="shared" si="219"/>
      </c>
      <c r="AE783" s="86">
        <f t="shared" si="220"/>
      </c>
      <c r="AG783" s="86">
        <f t="shared" si="221"/>
      </c>
      <c r="AH783" s="86">
        <f t="shared" si="222"/>
      </c>
      <c r="AI783" s="86">
        <f t="shared" si="223"/>
      </c>
    </row>
    <row r="784" spans="6:35" x14ac:dyDescent="0.3">
      <c r="F784" s="26">
        <f>IF(G784=1,MAX($F$4:F783)+1,"")</f>
        <v/>
      </c>
      <c r="G784" s="26">
        <f>COUNTIF($H$5:H784,H784)</f>
      </c>
      <c r="H784" s="26">
        <f t="shared" si="224"/>
      </c>
      <c r="I784" s="26">
        <f>COUNTIF($J$4:$J784,1)</f>
      </c>
      <c r="J784" s="26">
        <f>COUNTIF($S$5:$S784,S784)</f>
      </c>
      <c r="K784" s="26">
        <f t="shared" si="213"/>
      </c>
      <c r="L784" s="26">
        <f>IFERROR(IF(P784=0,0,MAX($L$4:L783)+1),0)</f>
      </c>
      <c r="M784" s="5">
        <f t="shared" si="225"/>
      </c>
      <c r="N784" s="5">
        <f t="shared" si="226"/>
      </c>
      <c r="P784" s="86">
        <f t="shared" si="214"/>
      </c>
      <c r="Q784" s="86">
        <f t="shared" si="215"/>
      </c>
      <c r="R784" s="86">
        <f t="shared" si="216"/>
      </c>
      <c r="S784" s="86">
        <f t="shared" si="217"/>
      </c>
      <c r="T784" s="86">
        <f t="shared" si="227"/>
        <v/>
      </c>
      <c r="U784" s="86">
        <f t="shared" si="228"/>
        <v/>
      </c>
      <c r="V784" s="86">
        <f t="shared" si="229"/>
        <v/>
      </c>
      <c r="W784" s="87">
        <f t="shared" si="218"/>
      </c>
      <c r="X784" s="88"/>
      <c r="Y784" s="88"/>
      <c r="Z784" s="88"/>
      <c r="AA784" s="88"/>
      <c r="AB784" s="88"/>
      <c r="AD784" s="86">
        <f t="shared" si="219"/>
      </c>
      <c r="AE784" s="86">
        <f t="shared" si="220"/>
      </c>
      <c r="AG784" s="86">
        <f t="shared" si="221"/>
      </c>
      <c r="AH784" s="86">
        <f t="shared" si="222"/>
      </c>
      <c r="AI784" s="86">
        <f t="shared" si="223"/>
      </c>
    </row>
    <row r="785" spans="6:35" x14ac:dyDescent="0.3">
      <c r="F785" s="26">
        <f>IF(G785=1,MAX($F$4:F784)+1,"")</f>
        <v/>
      </c>
      <c r="G785" s="26">
        <f>COUNTIF($H$5:H785,H785)</f>
      </c>
      <c r="H785" s="26">
        <f t="shared" si="224"/>
      </c>
      <c r="I785" s="26">
        <f>COUNTIF($J$4:$J785,1)</f>
      </c>
      <c r="J785" s="26">
        <f>COUNTIF($S$5:$S785,S785)</f>
      </c>
      <c r="K785" s="26">
        <f t="shared" si="213"/>
      </c>
      <c r="L785" s="26">
        <f>IFERROR(IF(P785=0,0,MAX($L$4:L784)+1),0)</f>
      </c>
      <c r="M785" s="5">
        <f t="shared" si="225"/>
      </c>
      <c r="N785" s="5">
        <f t="shared" si="226"/>
      </c>
      <c r="P785" s="86">
        <f t="shared" si="214"/>
      </c>
      <c r="Q785" s="86">
        <f t="shared" si="215"/>
      </c>
      <c r="R785" s="86">
        <f t="shared" si="216"/>
      </c>
      <c r="S785" s="86">
        <f t="shared" si="217"/>
      </c>
      <c r="T785" s="86">
        <f t="shared" si="227"/>
        <v/>
      </c>
      <c r="U785" s="86">
        <f t="shared" si="228"/>
        <v/>
      </c>
      <c r="V785" s="86">
        <f t="shared" si="229"/>
        <v/>
      </c>
      <c r="W785" s="87">
        <f t="shared" si="218"/>
      </c>
      <c r="X785" s="88"/>
      <c r="Y785" s="88"/>
      <c r="Z785" s="88"/>
      <c r="AA785" s="88"/>
      <c r="AB785" s="88"/>
      <c r="AD785" s="86">
        <f t="shared" si="219"/>
      </c>
      <c r="AE785" s="86">
        <f t="shared" si="220"/>
      </c>
      <c r="AG785" s="86">
        <f t="shared" si="221"/>
      </c>
      <c r="AH785" s="86">
        <f t="shared" si="222"/>
      </c>
      <c r="AI785" s="86">
        <f t="shared" si="223"/>
      </c>
    </row>
    <row r="786" spans="6:35" x14ac:dyDescent="0.3">
      <c r="F786" s="26">
        <f>IF(G786=1,MAX($F$4:F785)+1,"")</f>
        <v/>
      </c>
      <c r="G786" s="26">
        <f>COUNTIF($H$5:H786,H786)</f>
      </c>
      <c r="H786" s="26">
        <f t="shared" si="224"/>
      </c>
      <c r="I786" s="26">
        <f>COUNTIF($J$4:$J786,1)</f>
      </c>
      <c r="J786" s="26">
        <f>COUNTIF($S$5:$S786,S786)</f>
      </c>
      <c r="K786" s="26">
        <f t="shared" si="213"/>
      </c>
      <c r="L786" s="26">
        <f>IFERROR(IF(P786=0,0,MAX($L$4:L785)+1),0)</f>
      </c>
      <c r="M786" s="5">
        <f t="shared" si="225"/>
      </c>
      <c r="N786" s="5">
        <f t="shared" si="226"/>
      </c>
      <c r="P786" s="86">
        <f t="shared" si="214"/>
      </c>
      <c r="Q786" s="86">
        <f t="shared" si="215"/>
      </c>
      <c r="R786" s="86">
        <f t="shared" si="216"/>
      </c>
      <c r="S786" s="86">
        <f t="shared" si="217"/>
      </c>
      <c r="T786" s="86">
        <f t="shared" si="227"/>
        <v/>
      </c>
      <c r="U786" s="86">
        <f t="shared" si="228"/>
        <v/>
      </c>
      <c r="V786" s="86">
        <f t="shared" si="229"/>
        <v/>
      </c>
      <c r="W786" s="87">
        <f t="shared" si="218"/>
      </c>
      <c r="X786" s="88"/>
      <c r="Y786" s="88"/>
      <c r="Z786" s="88"/>
      <c r="AA786" s="88"/>
      <c r="AB786" s="88"/>
      <c r="AD786" s="86">
        <f t="shared" si="219"/>
      </c>
      <c r="AE786" s="86">
        <f t="shared" si="220"/>
      </c>
      <c r="AG786" s="86">
        <f t="shared" si="221"/>
      </c>
      <c r="AH786" s="86">
        <f t="shared" si="222"/>
      </c>
      <c r="AI786" s="86">
        <f t="shared" si="223"/>
      </c>
    </row>
    <row r="787" spans="6:35" x14ac:dyDescent="0.3">
      <c r="F787" s="26">
        <f>IF(G787=1,MAX($F$4:F786)+1,"")</f>
        <v/>
      </c>
      <c r="G787" s="26">
        <f>COUNTIF($H$5:H787,H787)</f>
      </c>
      <c r="H787" s="26">
        <f t="shared" si="224"/>
      </c>
      <c r="I787" s="26">
        <f>COUNTIF($J$4:$J787,1)</f>
      </c>
      <c r="J787" s="26">
        <f>COUNTIF($S$5:$S787,S787)</f>
      </c>
      <c r="K787" s="26">
        <f t="shared" si="213"/>
      </c>
      <c r="L787" s="26">
        <f>IFERROR(IF(P787=0,0,MAX($L$4:L786)+1),0)</f>
      </c>
      <c r="M787" s="5">
        <f t="shared" si="225"/>
      </c>
      <c r="N787" s="5">
        <f t="shared" si="226"/>
      </c>
      <c r="P787" s="86">
        <f t="shared" si="214"/>
      </c>
      <c r="Q787" s="86">
        <f t="shared" si="215"/>
      </c>
      <c r="R787" s="86">
        <f t="shared" si="216"/>
      </c>
      <c r="S787" s="86">
        <f t="shared" si="217"/>
      </c>
      <c r="T787" s="86">
        <f t="shared" si="227"/>
        <v/>
      </c>
      <c r="U787" s="86">
        <f t="shared" si="228"/>
        <v/>
      </c>
      <c r="V787" s="86">
        <f t="shared" si="229"/>
        <v/>
      </c>
      <c r="W787" s="87">
        <f t="shared" si="218"/>
      </c>
      <c r="X787" s="88"/>
      <c r="Y787" s="88"/>
      <c r="Z787" s="88"/>
      <c r="AA787" s="88"/>
      <c r="AB787" s="88"/>
      <c r="AD787" s="86">
        <f t="shared" si="219"/>
      </c>
      <c r="AE787" s="86">
        <f t="shared" si="220"/>
      </c>
      <c r="AG787" s="86">
        <f t="shared" si="221"/>
      </c>
      <c r="AH787" s="86">
        <f t="shared" si="222"/>
      </c>
      <c r="AI787" s="86">
        <f t="shared" si="223"/>
      </c>
    </row>
    <row r="788" spans="6:35" x14ac:dyDescent="0.3">
      <c r="F788" s="26">
        <f>IF(G788=1,MAX($F$4:F787)+1,"")</f>
        <v/>
      </c>
      <c r="G788" s="26">
        <f>COUNTIF($H$5:H788,H788)</f>
      </c>
      <c r="H788" s="26">
        <f t="shared" si="224"/>
      </c>
      <c r="I788" s="26">
        <f>COUNTIF($J$4:$J788,1)</f>
      </c>
      <c r="J788" s="26">
        <f>COUNTIF($S$5:$S788,S788)</f>
      </c>
      <c r="K788" s="26">
        <f t="shared" si="213"/>
      </c>
      <c r="L788" s="26">
        <f>IFERROR(IF(P788=0,0,MAX($L$4:L787)+1),0)</f>
      </c>
      <c r="M788" s="5">
        <f t="shared" si="225"/>
      </c>
      <c r="N788" s="5">
        <f t="shared" si="226"/>
      </c>
      <c r="P788" s="86">
        <f t="shared" si="214"/>
      </c>
      <c r="Q788" s="86">
        <f t="shared" si="215"/>
      </c>
      <c r="R788" s="86">
        <f t="shared" si="216"/>
      </c>
      <c r="S788" s="86">
        <f t="shared" si="217"/>
      </c>
      <c r="T788" s="86">
        <f t="shared" si="227"/>
        <v/>
      </c>
      <c r="U788" s="86">
        <f t="shared" si="228"/>
        <v/>
      </c>
      <c r="V788" s="86">
        <f t="shared" si="229"/>
        <v/>
      </c>
      <c r="W788" s="87">
        <f t="shared" si="218"/>
      </c>
      <c r="X788" s="88"/>
      <c r="Y788" s="88"/>
      <c r="Z788" s="88"/>
      <c r="AA788" s="88"/>
      <c r="AB788" s="88"/>
      <c r="AD788" s="86">
        <f t="shared" si="219"/>
      </c>
      <c r="AE788" s="86">
        <f t="shared" si="220"/>
      </c>
      <c r="AG788" s="86">
        <f t="shared" si="221"/>
      </c>
      <c r="AH788" s="86">
        <f t="shared" si="222"/>
      </c>
      <c r="AI788" s="86">
        <f t="shared" si="223"/>
      </c>
    </row>
    <row r="789" spans="6:35" x14ac:dyDescent="0.3">
      <c r="F789" s="26">
        <f>IF(G789=1,MAX($F$4:F788)+1,"")</f>
        <v/>
      </c>
      <c r="G789" s="26">
        <f>COUNTIF($H$5:H789,H789)</f>
      </c>
      <c r="H789" s="26">
        <f t="shared" si="224"/>
      </c>
      <c r="I789" s="26">
        <f>COUNTIF($J$4:$J789,1)</f>
      </c>
      <c r="J789" s="26">
        <f>COUNTIF($S$5:$S789,S789)</f>
      </c>
      <c r="K789" s="26">
        <f t="shared" si="213"/>
      </c>
      <c r="L789" s="26">
        <f>IFERROR(IF(P789=0,0,MAX($L$4:L788)+1),0)</f>
      </c>
      <c r="M789" s="5">
        <f t="shared" si="225"/>
      </c>
      <c r="N789" s="5">
        <f t="shared" si="226"/>
      </c>
      <c r="P789" s="86">
        <f t="shared" si="214"/>
      </c>
      <c r="Q789" s="86">
        <f t="shared" si="215"/>
      </c>
      <c r="R789" s="86">
        <f t="shared" si="216"/>
      </c>
      <c r="S789" s="86">
        <f t="shared" si="217"/>
      </c>
      <c r="T789" s="86">
        <f t="shared" si="227"/>
        <v/>
      </c>
      <c r="U789" s="86">
        <f t="shared" si="228"/>
        <v/>
      </c>
      <c r="V789" s="86">
        <f t="shared" si="229"/>
        <v/>
      </c>
      <c r="W789" s="87">
        <f t="shared" si="218"/>
      </c>
      <c r="X789" s="88"/>
      <c r="Y789" s="88"/>
      <c r="Z789" s="88"/>
      <c r="AA789" s="88"/>
      <c r="AB789" s="88"/>
      <c r="AD789" s="86">
        <f t="shared" si="219"/>
      </c>
      <c r="AE789" s="86">
        <f t="shared" si="220"/>
      </c>
      <c r="AG789" s="86">
        <f t="shared" si="221"/>
      </c>
      <c r="AH789" s="86">
        <f t="shared" si="222"/>
      </c>
      <c r="AI789" s="86">
        <f t="shared" si="223"/>
      </c>
    </row>
    <row r="790" spans="6:35" x14ac:dyDescent="0.3">
      <c r="F790" s="26">
        <f>IF(G790=1,MAX($F$4:F789)+1,"")</f>
        <v/>
      </c>
      <c r="G790" s="26">
        <f>COUNTIF($H$5:H790,H790)</f>
      </c>
      <c r="H790" s="26">
        <f t="shared" si="224"/>
      </c>
      <c r="I790" s="26">
        <f>COUNTIF($J$4:$J790,1)</f>
      </c>
      <c r="J790" s="26">
        <f>COUNTIF($S$5:$S790,S790)</f>
      </c>
      <c r="K790" s="26">
        <f t="shared" si="213"/>
      </c>
      <c r="L790" s="26">
        <f>IFERROR(IF(P790=0,0,MAX($L$4:L789)+1),0)</f>
      </c>
      <c r="M790" s="5">
        <f t="shared" si="225"/>
      </c>
      <c r="N790" s="5">
        <f t="shared" si="226"/>
      </c>
      <c r="P790" s="86">
        <f t="shared" si="214"/>
      </c>
      <c r="Q790" s="86">
        <f t="shared" si="215"/>
      </c>
      <c r="R790" s="86">
        <f t="shared" si="216"/>
      </c>
      <c r="S790" s="86">
        <f t="shared" si="217"/>
      </c>
      <c r="T790" s="86">
        <f t="shared" si="227"/>
        <v/>
      </c>
      <c r="U790" s="86">
        <f t="shared" si="228"/>
        <v/>
      </c>
      <c r="V790" s="86">
        <f t="shared" si="229"/>
        <v/>
      </c>
      <c r="W790" s="87">
        <f t="shared" si="218"/>
      </c>
      <c r="X790" s="88"/>
      <c r="Y790" s="88"/>
      <c r="Z790" s="88"/>
      <c r="AA790" s="88"/>
      <c r="AB790" s="88"/>
      <c r="AD790" s="86">
        <f t="shared" si="219"/>
      </c>
      <c r="AE790" s="86">
        <f t="shared" si="220"/>
      </c>
      <c r="AG790" s="86">
        <f t="shared" si="221"/>
      </c>
      <c r="AH790" s="86">
        <f t="shared" si="222"/>
      </c>
      <c r="AI790" s="86">
        <f t="shared" si="223"/>
      </c>
    </row>
    <row r="791" spans="6:35" x14ac:dyDescent="0.3">
      <c r="F791" s="26">
        <f>IF(G791=1,MAX($F$4:F790)+1,"")</f>
        <v/>
      </c>
      <c r="G791" s="26">
        <f>COUNTIF($H$5:H791,H791)</f>
      </c>
      <c r="H791" s="26">
        <f t="shared" si="224"/>
      </c>
      <c r="I791" s="26">
        <f>COUNTIF($J$4:$J791,1)</f>
      </c>
      <c r="J791" s="26">
        <f>COUNTIF($S$5:$S791,S791)</f>
      </c>
      <c r="K791" s="26">
        <f t="shared" si="213"/>
      </c>
      <c r="L791" s="26">
        <f>IFERROR(IF(P791=0,0,MAX($L$4:L790)+1),0)</f>
      </c>
      <c r="M791" s="5">
        <f t="shared" si="225"/>
      </c>
      <c r="N791" s="5">
        <f t="shared" si="226"/>
      </c>
      <c r="P791" s="86">
        <f t="shared" si="214"/>
      </c>
      <c r="Q791" s="86">
        <f t="shared" si="215"/>
      </c>
      <c r="R791" s="86">
        <f t="shared" si="216"/>
      </c>
      <c r="S791" s="86">
        <f t="shared" si="217"/>
      </c>
      <c r="T791" s="86">
        <f t="shared" si="227"/>
        <v/>
      </c>
      <c r="U791" s="86">
        <f t="shared" si="228"/>
        <v/>
      </c>
      <c r="V791" s="86">
        <f t="shared" si="229"/>
        <v/>
      </c>
      <c r="W791" s="87">
        <f t="shared" si="218"/>
      </c>
      <c r="X791" s="88"/>
      <c r="Y791" s="88"/>
      <c r="Z791" s="88"/>
      <c r="AA791" s="88"/>
      <c r="AB791" s="88"/>
      <c r="AD791" s="86">
        <f t="shared" si="219"/>
      </c>
      <c r="AE791" s="86">
        <f t="shared" si="220"/>
      </c>
      <c r="AG791" s="86">
        <f t="shared" si="221"/>
      </c>
      <c r="AH791" s="86">
        <f t="shared" si="222"/>
      </c>
      <c r="AI791" s="86">
        <f t="shared" si="223"/>
      </c>
    </row>
    <row r="792" spans="6:35" x14ac:dyDescent="0.3">
      <c r="F792" s="26">
        <f>IF(G792=1,MAX($F$4:F791)+1,"")</f>
        <v/>
      </c>
      <c r="G792" s="26">
        <f>COUNTIF($H$5:H792,H792)</f>
      </c>
      <c r="H792" s="26">
        <f t="shared" si="224"/>
      </c>
      <c r="I792" s="26">
        <f>COUNTIF($J$4:$J792,1)</f>
      </c>
      <c r="J792" s="26">
        <f>COUNTIF($S$5:$S792,S792)</f>
      </c>
      <c r="K792" s="26">
        <f t="shared" si="213"/>
      </c>
      <c r="L792" s="26">
        <f>IFERROR(IF(P792=0,0,MAX($L$4:L791)+1),0)</f>
      </c>
      <c r="M792" s="5">
        <f t="shared" si="225"/>
      </c>
      <c r="N792" s="5">
        <f t="shared" si="226"/>
      </c>
      <c r="P792" s="86">
        <f t="shared" si="214"/>
      </c>
      <c r="Q792" s="86">
        <f t="shared" si="215"/>
      </c>
      <c r="R792" s="86">
        <f t="shared" si="216"/>
      </c>
      <c r="S792" s="86">
        <f t="shared" si="217"/>
      </c>
      <c r="T792" s="86">
        <f t="shared" si="227"/>
        <v/>
      </c>
      <c r="U792" s="86">
        <f t="shared" si="228"/>
        <v/>
      </c>
      <c r="V792" s="86">
        <f t="shared" si="229"/>
        <v/>
      </c>
      <c r="W792" s="87">
        <f t="shared" si="218"/>
      </c>
      <c r="X792" s="88"/>
      <c r="Y792" s="88"/>
      <c r="Z792" s="88"/>
      <c r="AA792" s="88"/>
      <c r="AB792" s="88"/>
      <c r="AD792" s="86">
        <f t="shared" si="219"/>
      </c>
      <c r="AE792" s="86">
        <f t="shared" si="220"/>
      </c>
      <c r="AG792" s="86">
        <f t="shared" si="221"/>
      </c>
      <c r="AH792" s="86">
        <f t="shared" si="222"/>
      </c>
      <c r="AI792" s="86">
        <f t="shared" si="223"/>
      </c>
    </row>
    <row r="793" spans="6:35" x14ac:dyDescent="0.3">
      <c r="F793" s="26">
        <f>IF(G793=1,MAX($F$4:F792)+1,"")</f>
        <v/>
      </c>
      <c r="G793" s="26">
        <f>COUNTIF($H$5:H793,H793)</f>
      </c>
      <c r="H793" s="26">
        <f t="shared" si="224"/>
      </c>
      <c r="I793" s="26">
        <f>COUNTIF($J$4:$J793,1)</f>
      </c>
      <c r="J793" s="26">
        <f>COUNTIF($S$5:$S793,S793)</f>
      </c>
      <c r="K793" s="26">
        <f t="shared" si="213"/>
      </c>
      <c r="L793" s="26">
        <f>IFERROR(IF(P793=0,0,MAX($L$4:L792)+1),0)</f>
      </c>
      <c r="M793" s="5">
        <f t="shared" si="225"/>
      </c>
      <c r="N793" s="5">
        <f t="shared" si="226"/>
      </c>
      <c r="P793" s="86">
        <f t="shared" si="214"/>
      </c>
      <c r="Q793" s="86">
        <f t="shared" si="215"/>
      </c>
      <c r="R793" s="86">
        <f t="shared" si="216"/>
      </c>
      <c r="S793" s="86">
        <f t="shared" si="217"/>
      </c>
      <c r="T793" s="86">
        <f t="shared" si="227"/>
        <v/>
      </c>
      <c r="U793" s="86">
        <f t="shared" si="228"/>
        <v/>
      </c>
      <c r="V793" s="86">
        <f t="shared" si="229"/>
        <v/>
      </c>
      <c r="W793" s="87">
        <f t="shared" si="218"/>
      </c>
      <c r="X793" s="88"/>
      <c r="Y793" s="88"/>
      <c r="Z793" s="88"/>
      <c r="AA793" s="88"/>
      <c r="AB793" s="88"/>
      <c r="AD793" s="86">
        <f t="shared" si="219"/>
      </c>
      <c r="AE793" s="86">
        <f t="shared" si="220"/>
      </c>
      <c r="AG793" s="86">
        <f t="shared" si="221"/>
      </c>
      <c r="AH793" s="86">
        <f t="shared" si="222"/>
      </c>
      <c r="AI793" s="86">
        <f t="shared" si="223"/>
      </c>
    </row>
    <row r="794" spans="6:35" x14ac:dyDescent="0.3">
      <c r="F794" s="26">
        <f>IF(G794=1,MAX($F$4:F793)+1,"")</f>
        <v/>
      </c>
      <c r="G794" s="26">
        <f>COUNTIF($H$5:H794,H794)</f>
      </c>
      <c r="H794" s="26">
        <f t="shared" si="224"/>
      </c>
      <c r="I794" s="26">
        <f>COUNTIF($J$4:$J794,1)</f>
      </c>
      <c r="J794" s="26">
        <f>COUNTIF($S$5:$S794,S794)</f>
      </c>
      <c r="K794" s="26">
        <f t="shared" si="213"/>
      </c>
      <c r="L794" s="26">
        <f>IFERROR(IF(P794=0,0,MAX($L$4:L793)+1),0)</f>
      </c>
      <c r="M794" s="5">
        <f t="shared" si="225"/>
      </c>
      <c r="N794" s="5">
        <f t="shared" si="226"/>
      </c>
      <c r="P794" s="86">
        <f t="shared" si="214"/>
      </c>
      <c r="Q794" s="86">
        <f t="shared" si="215"/>
      </c>
      <c r="R794" s="86">
        <f t="shared" si="216"/>
      </c>
      <c r="S794" s="86">
        <f t="shared" si="217"/>
      </c>
      <c r="T794" s="86">
        <f t="shared" si="227"/>
        <v/>
      </c>
      <c r="U794" s="86">
        <f t="shared" si="228"/>
        <v/>
      </c>
      <c r="V794" s="86">
        <f t="shared" si="229"/>
        <v/>
      </c>
      <c r="W794" s="87">
        <f t="shared" si="218"/>
      </c>
      <c r="X794" s="88"/>
      <c r="Y794" s="88"/>
      <c r="Z794" s="88"/>
      <c r="AA794" s="88"/>
      <c r="AB794" s="88"/>
      <c r="AD794" s="86">
        <f t="shared" si="219"/>
      </c>
      <c r="AE794" s="86">
        <f t="shared" si="220"/>
      </c>
      <c r="AG794" s="86">
        <f t="shared" si="221"/>
      </c>
      <c r="AH794" s="86">
        <f t="shared" si="222"/>
      </c>
      <c r="AI794" s="86">
        <f t="shared" si="223"/>
      </c>
    </row>
    <row r="795" spans="6:35" x14ac:dyDescent="0.3">
      <c r="F795" s="26">
        <f>IF(G795=1,MAX($F$4:F794)+1,"")</f>
        <v/>
      </c>
      <c r="G795" s="26">
        <f>COUNTIF($H$5:H795,H795)</f>
      </c>
      <c r="H795" s="26">
        <f t="shared" si="224"/>
      </c>
      <c r="I795" s="26">
        <f>COUNTIF($J$4:$J795,1)</f>
      </c>
      <c r="J795" s="26">
        <f>COUNTIF($S$5:$S795,S795)</f>
      </c>
      <c r="K795" s="26">
        <f t="shared" si="213"/>
      </c>
      <c r="L795" s="26">
        <f>IFERROR(IF(P795=0,0,MAX($L$4:L794)+1),0)</f>
      </c>
      <c r="M795" s="5">
        <f t="shared" si="225"/>
      </c>
      <c r="N795" s="5">
        <f t="shared" si="226"/>
      </c>
      <c r="P795" s="86">
        <f t="shared" si="214"/>
      </c>
      <c r="Q795" s="86">
        <f t="shared" si="215"/>
      </c>
      <c r="R795" s="86">
        <f t="shared" si="216"/>
      </c>
      <c r="S795" s="86">
        <f t="shared" si="217"/>
      </c>
      <c r="T795" s="86">
        <f t="shared" si="227"/>
        <v/>
      </c>
      <c r="U795" s="86">
        <f t="shared" si="228"/>
        <v/>
      </c>
      <c r="V795" s="86">
        <f t="shared" si="229"/>
        <v/>
      </c>
      <c r="W795" s="87">
        <f t="shared" si="218"/>
      </c>
      <c r="X795" s="88"/>
      <c r="Y795" s="88"/>
      <c r="Z795" s="88"/>
      <c r="AA795" s="88"/>
      <c r="AB795" s="88"/>
      <c r="AD795" s="86">
        <f t="shared" si="219"/>
      </c>
      <c r="AE795" s="86">
        <f t="shared" si="220"/>
      </c>
      <c r="AG795" s="86">
        <f t="shared" si="221"/>
      </c>
      <c r="AH795" s="86">
        <f t="shared" si="222"/>
      </c>
      <c r="AI795" s="86">
        <f t="shared" si="223"/>
      </c>
    </row>
    <row r="796" spans="6:35" x14ac:dyDescent="0.3">
      <c r="F796" s="26">
        <f>IF(G796=1,MAX($F$4:F795)+1,"")</f>
        <v/>
      </c>
      <c r="G796" s="26">
        <f>COUNTIF($H$5:H796,H796)</f>
      </c>
      <c r="H796" s="26">
        <f t="shared" si="224"/>
      </c>
      <c r="I796" s="26">
        <f>COUNTIF($J$4:$J796,1)</f>
      </c>
      <c r="J796" s="26">
        <f>COUNTIF($S$5:$S796,S796)</f>
      </c>
      <c r="K796" s="26">
        <f t="shared" si="213"/>
      </c>
      <c r="L796" s="26">
        <f>IFERROR(IF(P796=0,0,MAX($L$4:L795)+1),0)</f>
      </c>
      <c r="M796" s="5">
        <f t="shared" si="225"/>
      </c>
      <c r="N796" s="5">
        <f t="shared" si="226"/>
      </c>
      <c r="P796" s="86">
        <f t="shared" si="214"/>
      </c>
      <c r="Q796" s="86">
        <f t="shared" si="215"/>
      </c>
      <c r="R796" s="86">
        <f t="shared" si="216"/>
      </c>
      <c r="S796" s="86">
        <f t="shared" si="217"/>
      </c>
      <c r="T796" s="86">
        <f t="shared" si="227"/>
        <v/>
      </c>
      <c r="U796" s="86">
        <f t="shared" si="228"/>
        <v/>
      </c>
      <c r="V796" s="86">
        <f t="shared" si="229"/>
        <v/>
      </c>
      <c r="W796" s="87">
        <f t="shared" si="218"/>
      </c>
      <c r="X796" s="88"/>
      <c r="Y796" s="88"/>
      <c r="Z796" s="88"/>
      <c r="AA796" s="88"/>
      <c r="AB796" s="88"/>
      <c r="AD796" s="86">
        <f t="shared" si="219"/>
      </c>
      <c r="AE796" s="86">
        <f t="shared" si="220"/>
      </c>
      <c r="AG796" s="86">
        <f t="shared" si="221"/>
      </c>
      <c r="AH796" s="86">
        <f t="shared" si="222"/>
      </c>
      <c r="AI796" s="86">
        <f t="shared" si="223"/>
      </c>
    </row>
    <row r="797" spans="6:35" x14ac:dyDescent="0.3">
      <c r="F797" s="26">
        <f>IF(G797=1,MAX($F$4:F796)+1,"")</f>
        <v/>
      </c>
      <c r="G797" s="26">
        <f>COUNTIF($H$5:H797,H797)</f>
      </c>
      <c r="H797" s="26">
        <f t="shared" si="224"/>
      </c>
      <c r="I797" s="26">
        <f>COUNTIF($J$4:$J797,1)</f>
      </c>
      <c r="J797" s="26">
        <f>COUNTIF($S$5:$S797,S797)</f>
      </c>
      <c r="K797" s="26">
        <f t="shared" si="213"/>
      </c>
      <c r="L797" s="26">
        <f>IFERROR(IF(P797=0,0,MAX($L$4:L796)+1),0)</f>
      </c>
      <c r="M797" s="5">
        <f t="shared" si="225"/>
      </c>
      <c r="N797" s="5">
        <f t="shared" si="226"/>
      </c>
      <c r="P797" s="86">
        <f t="shared" si="214"/>
      </c>
      <c r="Q797" s="86">
        <f t="shared" si="215"/>
      </c>
      <c r="R797" s="86">
        <f t="shared" si="216"/>
      </c>
      <c r="S797" s="86">
        <f t="shared" si="217"/>
      </c>
      <c r="T797" s="86">
        <f t="shared" si="227"/>
        <v/>
      </c>
      <c r="U797" s="86">
        <f t="shared" si="228"/>
        <v/>
      </c>
      <c r="V797" s="86">
        <f t="shared" si="229"/>
        <v/>
      </c>
      <c r="W797" s="87">
        <f t="shared" si="218"/>
      </c>
      <c r="X797" s="88"/>
      <c r="Y797" s="88"/>
      <c r="Z797" s="88"/>
      <c r="AA797" s="88"/>
      <c r="AB797" s="88"/>
      <c r="AD797" s="86">
        <f t="shared" si="219"/>
      </c>
      <c r="AE797" s="86">
        <f t="shared" si="220"/>
      </c>
      <c r="AG797" s="86">
        <f t="shared" si="221"/>
      </c>
      <c r="AH797" s="86">
        <f t="shared" si="222"/>
      </c>
      <c r="AI797" s="86">
        <f t="shared" si="223"/>
      </c>
    </row>
    <row r="798" spans="6:35" x14ac:dyDescent="0.3">
      <c r="F798" s="26">
        <f>IF(G798=1,MAX($F$4:F797)+1,"")</f>
        <v/>
      </c>
      <c r="G798" s="26">
        <f>COUNTIF($H$5:H798,H798)</f>
      </c>
      <c r="H798" s="26">
        <f t="shared" si="224"/>
      </c>
      <c r="I798" s="26">
        <f>COUNTIF($J$4:$J798,1)</f>
      </c>
      <c r="J798" s="26">
        <f>COUNTIF($S$5:$S798,S798)</f>
      </c>
      <c r="K798" s="26">
        <f t="shared" si="213"/>
      </c>
      <c r="L798" s="26">
        <f>IFERROR(IF(P798=0,0,MAX($L$4:L797)+1),0)</f>
      </c>
      <c r="M798" s="5">
        <f t="shared" si="225"/>
      </c>
      <c r="N798" s="5">
        <f t="shared" si="226"/>
      </c>
      <c r="P798" s="86">
        <f t="shared" si="214"/>
      </c>
      <c r="Q798" s="86">
        <f t="shared" si="215"/>
      </c>
      <c r="R798" s="86">
        <f t="shared" si="216"/>
      </c>
      <c r="S798" s="86">
        <f t="shared" si="217"/>
      </c>
      <c r="T798" s="86">
        <f t="shared" si="227"/>
        <v/>
      </c>
      <c r="U798" s="86">
        <f t="shared" si="228"/>
        <v/>
      </c>
      <c r="V798" s="86">
        <f t="shared" si="229"/>
        <v/>
      </c>
      <c r="W798" s="87">
        <f t="shared" si="218"/>
      </c>
      <c r="X798" s="88"/>
      <c r="Y798" s="88"/>
      <c r="Z798" s="88"/>
      <c r="AA798" s="88"/>
      <c r="AB798" s="88"/>
      <c r="AD798" s="86">
        <f t="shared" si="219"/>
      </c>
      <c r="AE798" s="86">
        <f t="shared" si="220"/>
      </c>
      <c r="AG798" s="86">
        <f t="shared" si="221"/>
      </c>
      <c r="AH798" s="86">
        <f t="shared" si="222"/>
      </c>
      <c r="AI798" s="86">
        <f t="shared" si="223"/>
      </c>
    </row>
    <row r="799" spans="6:35" x14ac:dyDescent="0.3">
      <c r="F799" s="26">
        <f>IF(G799=1,MAX($F$4:F798)+1,"")</f>
        <v/>
      </c>
      <c r="G799" s="26">
        <f>COUNTIF($H$5:H799,H799)</f>
      </c>
      <c r="H799" s="26">
        <f t="shared" si="224"/>
      </c>
      <c r="I799" s="26">
        <f>COUNTIF($J$4:$J799,1)</f>
      </c>
      <c r="J799" s="26">
        <f>COUNTIF($S$5:$S799,S799)</f>
      </c>
      <c r="K799" s="26">
        <f t="shared" si="213"/>
      </c>
      <c r="L799" s="26">
        <f>IFERROR(IF(P799=0,0,MAX($L$4:L798)+1),0)</f>
      </c>
      <c r="M799" s="5">
        <f t="shared" si="225"/>
      </c>
      <c r="N799" s="5">
        <f t="shared" si="226"/>
      </c>
      <c r="P799" s="86">
        <f t="shared" si="214"/>
      </c>
      <c r="Q799" s="86">
        <f t="shared" si="215"/>
      </c>
      <c r="R799" s="86">
        <f t="shared" si="216"/>
      </c>
      <c r="S799" s="86">
        <f t="shared" si="217"/>
      </c>
      <c r="T799" s="86">
        <f t="shared" si="227"/>
        <v/>
      </c>
      <c r="U799" s="86">
        <f t="shared" si="228"/>
        <v/>
      </c>
      <c r="V799" s="86">
        <f t="shared" si="229"/>
        <v/>
      </c>
      <c r="W799" s="87">
        <f t="shared" si="218"/>
      </c>
      <c r="X799" s="88"/>
      <c r="Y799" s="88"/>
      <c r="Z799" s="88"/>
      <c r="AA799" s="88"/>
      <c r="AB799" s="88"/>
      <c r="AD799" s="86">
        <f t="shared" si="219"/>
      </c>
      <c r="AE799" s="86">
        <f t="shared" si="220"/>
      </c>
      <c r="AG799" s="86">
        <f t="shared" si="221"/>
      </c>
      <c r="AH799" s="86">
        <f t="shared" si="222"/>
      </c>
      <c r="AI799" s="86">
        <f t="shared" si="223"/>
      </c>
    </row>
    <row r="800" spans="6:35" x14ac:dyDescent="0.3">
      <c r="F800" s="26">
        <f>IF(G800=1,MAX($F$4:F799)+1,"")</f>
        <v/>
      </c>
      <c r="G800" s="26">
        <f>COUNTIF($H$5:H800,H800)</f>
      </c>
      <c r="H800" s="26">
        <f t="shared" si="224"/>
      </c>
      <c r="I800" s="26">
        <f>COUNTIF($J$4:$J800,1)</f>
      </c>
      <c r="J800" s="26">
        <f>COUNTIF($S$5:$S800,S800)</f>
      </c>
      <c r="K800" s="26">
        <f t="shared" si="213"/>
      </c>
      <c r="L800" s="26">
        <f>IFERROR(IF(P800=0,0,MAX($L$4:L799)+1),0)</f>
      </c>
      <c r="M800" s="5">
        <f t="shared" si="225"/>
      </c>
      <c r="N800" s="5">
        <f t="shared" si="226"/>
      </c>
      <c r="P800" s="86">
        <f t="shared" si="214"/>
      </c>
      <c r="Q800" s="86">
        <f t="shared" si="215"/>
      </c>
      <c r="R800" s="86">
        <f t="shared" si="216"/>
      </c>
      <c r="S800" s="86">
        <f t="shared" si="217"/>
      </c>
      <c r="T800" s="86">
        <f t="shared" si="227"/>
        <v/>
      </c>
      <c r="U800" s="86">
        <f t="shared" si="228"/>
        <v/>
      </c>
      <c r="V800" s="86">
        <f t="shared" si="229"/>
        <v/>
      </c>
      <c r="W800" s="87">
        <f t="shared" si="218"/>
      </c>
      <c r="X800" s="88"/>
      <c r="Y800" s="88"/>
      <c r="Z800" s="88"/>
      <c r="AA800" s="88"/>
      <c r="AB800" s="88"/>
      <c r="AD800" s="86">
        <f t="shared" si="219"/>
      </c>
      <c r="AE800" s="86">
        <f t="shared" si="220"/>
      </c>
      <c r="AG800" s="86">
        <f t="shared" si="221"/>
      </c>
      <c r="AH800" s="86">
        <f t="shared" si="222"/>
      </c>
      <c r="AI800" s="86">
        <f t="shared" si="223"/>
      </c>
    </row>
    <row r="801" spans="6:35" x14ac:dyDescent="0.3">
      <c r="F801" s="26">
        <f>IF(G801=1,MAX($F$4:F800)+1,"")</f>
        <v/>
      </c>
      <c r="G801" s="26">
        <f>COUNTIF($H$5:H801,H801)</f>
      </c>
      <c r="H801" s="26">
        <f t="shared" si="224"/>
      </c>
      <c r="I801" s="26">
        <f>COUNTIF($J$4:$J801,1)</f>
      </c>
      <c r="J801" s="26">
        <f>COUNTIF($S$5:$S801,S801)</f>
      </c>
      <c r="K801" s="26">
        <f t="shared" si="213"/>
      </c>
      <c r="L801" s="26">
        <f>IFERROR(IF(P801=0,0,MAX($L$4:L800)+1),0)</f>
      </c>
      <c r="M801" s="5">
        <f t="shared" si="225"/>
      </c>
      <c r="N801" s="5">
        <f t="shared" si="226"/>
      </c>
      <c r="P801" s="86">
        <f t="shared" si="214"/>
      </c>
      <c r="Q801" s="86">
        <f t="shared" si="215"/>
      </c>
      <c r="R801" s="86">
        <f t="shared" si="216"/>
      </c>
      <c r="S801" s="86">
        <f t="shared" si="217"/>
      </c>
      <c r="T801" s="86">
        <f t="shared" si="227"/>
        <v/>
      </c>
      <c r="U801" s="86">
        <f t="shared" si="228"/>
        <v/>
      </c>
      <c r="V801" s="86">
        <f t="shared" si="229"/>
        <v/>
      </c>
      <c r="W801" s="87">
        <f t="shared" si="218"/>
      </c>
      <c r="X801" s="88"/>
      <c r="Y801" s="88"/>
      <c r="Z801" s="88"/>
      <c r="AA801" s="88"/>
      <c r="AB801" s="88"/>
      <c r="AD801" s="86">
        <f t="shared" si="219"/>
      </c>
      <c r="AE801" s="86">
        <f t="shared" si="220"/>
      </c>
      <c r="AG801" s="86">
        <f t="shared" si="221"/>
      </c>
      <c r="AH801" s="86">
        <f t="shared" si="222"/>
      </c>
      <c r="AI801" s="86">
        <f t="shared" si="223"/>
      </c>
    </row>
    <row r="802" spans="6:35" x14ac:dyDescent="0.3">
      <c r="F802" s="26">
        <f>IF(G802=1,MAX($F$4:F801)+1,"")</f>
        <v/>
      </c>
      <c r="G802" s="26">
        <f>COUNTIF($H$5:H802,H802)</f>
      </c>
      <c r="H802" s="26">
        <f t="shared" si="224"/>
      </c>
      <c r="I802" s="26">
        <f>COUNTIF($J$4:$J802,1)</f>
      </c>
      <c r="J802" s="26">
        <f>COUNTIF($S$5:$S802,S802)</f>
      </c>
      <c r="K802" s="26">
        <f t="shared" si="213"/>
      </c>
      <c r="L802" s="26">
        <f>IFERROR(IF(P802=0,0,MAX($L$4:L801)+1),0)</f>
      </c>
      <c r="M802" s="5">
        <f t="shared" si="225"/>
      </c>
      <c r="N802" s="5">
        <f t="shared" si="226"/>
      </c>
      <c r="P802" s="86">
        <f t="shared" si="214"/>
      </c>
      <c r="Q802" s="86">
        <f t="shared" si="215"/>
      </c>
      <c r="R802" s="86">
        <f t="shared" si="216"/>
      </c>
      <c r="S802" s="86">
        <f t="shared" si="217"/>
      </c>
      <c r="T802" s="86">
        <f t="shared" si="227"/>
        <v/>
      </c>
      <c r="U802" s="86">
        <f t="shared" si="228"/>
        <v/>
      </c>
      <c r="V802" s="86">
        <f t="shared" si="229"/>
        <v/>
      </c>
      <c r="W802" s="87">
        <f t="shared" si="218"/>
      </c>
      <c r="X802" s="88"/>
      <c r="Y802" s="88"/>
      <c r="Z802" s="88"/>
      <c r="AA802" s="88"/>
      <c r="AB802" s="88"/>
      <c r="AD802" s="86">
        <f t="shared" si="219"/>
      </c>
      <c r="AE802" s="86">
        <f t="shared" si="220"/>
      </c>
      <c r="AG802" s="86">
        <f t="shared" si="221"/>
      </c>
      <c r="AH802" s="86">
        <f t="shared" si="222"/>
      </c>
      <c r="AI802" s="86">
        <f t="shared" si="223"/>
      </c>
    </row>
    <row r="803" spans="6:35" x14ac:dyDescent="0.3">
      <c r="F803" s="26">
        <f>IF(G803=1,MAX($F$4:F802)+1,"")</f>
        <v/>
      </c>
      <c r="G803" s="26">
        <f>COUNTIF($H$5:H803,H803)</f>
      </c>
      <c r="H803" s="26">
        <f t="shared" si="224"/>
      </c>
      <c r="I803" s="26">
        <f>COUNTIF($J$4:$J803,1)</f>
      </c>
      <c r="J803" s="26">
        <f>COUNTIF($S$5:$S803,S803)</f>
      </c>
      <c r="K803" s="26">
        <f t="shared" si="213"/>
      </c>
      <c r="L803" s="26">
        <f>IFERROR(IF(P803=0,0,MAX($L$4:L802)+1),0)</f>
      </c>
      <c r="M803" s="5">
        <f t="shared" si="225"/>
      </c>
      <c r="N803" s="5">
        <f t="shared" si="226"/>
      </c>
      <c r="P803" s="86">
        <f t="shared" si="214"/>
      </c>
      <c r="Q803" s="86">
        <f t="shared" si="215"/>
      </c>
      <c r="R803" s="86">
        <f t="shared" si="216"/>
      </c>
      <c r="S803" s="86">
        <f t="shared" si="217"/>
      </c>
      <c r="T803" s="86">
        <f t="shared" si="227"/>
        <v/>
      </c>
      <c r="U803" s="86">
        <f t="shared" si="228"/>
        <v/>
      </c>
      <c r="V803" s="86">
        <f t="shared" si="229"/>
        <v/>
      </c>
      <c r="W803" s="87">
        <f t="shared" si="218"/>
      </c>
      <c r="X803" s="88"/>
      <c r="Y803" s="88"/>
      <c r="Z803" s="88"/>
      <c r="AA803" s="88"/>
      <c r="AB803" s="88"/>
      <c r="AD803" s="86">
        <f t="shared" si="219"/>
      </c>
      <c r="AE803" s="86">
        <f t="shared" si="220"/>
      </c>
      <c r="AG803" s="86">
        <f t="shared" si="221"/>
      </c>
      <c r="AH803" s="86">
        <f t="shared" si="222"/>
      </c>
      <c r="AI803" s="86">
        <f t="shared" si="223"/>
      </c>
    </row>
    <row r="804" spans="6:35" x14ac:dyDescent="0.3">
      <c r="F804" s="26">
        <f>IF(G804=1,MAX($F$4:F803)+1,"")</f>
        <v/>
      </c>
      <c r="G804" s="26">
        <f>COUNTIF($H$5:H804,H804)</f>
      </c>
      <c r="H804" s="26">
        <f t="shared" si="224"/>
      </c>
      <c r="I804" s="26">
        <f>COUNTIF($J$4:$J804,1)</f>
      </c>
      <c r="J804" s="26">
        <f>COUNTIF($S$5:$S804,S804)</f>
      </c>
      <c r="K804" s="26">
        <f t="shared" si="213"/>
      </c>
      <c r="L804" s="26">
        <f>IFERROR(IF(P804=0,0,MAX($L$4:L803)+1),0)</f>
      </c>
      <c r="M804" s="5">
        <f t="shared" si="225"/>
      </c>
      <c r="N804" s="5">
        <f t="shared" si="226"/>
      </c>
      <c r="P804" s="86">
        <f t="shared" si="214"/>
      </c>
      <c r="Q804" s="86">
        <f t="shared" si="215"/>
      </c>
      <c r="R804" s="86">
        <f t="shared" si="216"/>
      </c>
      <c r="S804" s="86">
        <f t="shared" si="217"/>
      </c>
      <c r="T804" s="86">
        <f t="shared" si="227"/>
        <v/>
      </c>
      <c r="U804" s="86">
        <f t="shared" si="228"/>
        <v/>
      </c>
      <c r="V804" s="86">
        <f t="shared" si="229"/>
        <v/>
      </c>
      <c r="W804" s="87">
        <f t="shared" si="218"/>
      </c>
      <c r="X804" s="88"/>
      <c r="Y804" s="88"/>
      <c r="Z804" s="88"/>
      <c r="AA804" s="88"/>
      <c r="AB804" s="88"/>
      <c r="AD804" s="86">
        <f t="shared" si="219"/>
      </c>
      <c r="AE804" s="86">
        <f t="shared" si="220"/>
      </c>
      <c r="AG804" s="86">
        <f t="shared" si="221"/>
      </c>
      <c r="AH804" s="86">
        <f t="shared" si="222"/>
      </c>
      <c r="AI804" s="86">
        <f t="shared" si="223"/>
      </c>
    </row>
    <row r="805" spans="6:35" x14ac:dyDescent="0.3">
      <c r="F805" s="26">
        <f>IF(G805=1,MAX($F$4:F804)+1,"")</f>
        <v/>
      </c>
      <c r="G805" s="26">
        <f>COUNTIF($H$5:H805,H805)</f>
      </c>
      <c r="H805" s="26">
        <f t="shared" si="224"/>
      </c>
      <c r="I805" s="26">
        <f>COUNTIF($J$4:$J805,1)</f>
      </c>
      <c r="J805" s="26">
        <f>COUNTIF($S$5:$S805,S805)</f>
      </c>
      <c r="K805" s="26">
        <f t="shared" si="213"/>
      </c>
      <c r="L805" s="26">
        <f>IFERROR(IF(P805=0,0,MAX($L$4:L804)+1),0)</f>
      </c>
      <c r="M805" s="5">
        <f t="shared" si="225"/>
      </c>
      <c r="N805" s="5">
        <f t="shared" si="226"/>
      </c>
      <c r="P805" s="86">
        <f t="shared" si="214"/>
      </c>
      <c r="Q805" s="86">
        <f t="shared" si="215"/>
      </c>
      <c r="R805" s="86">
        <f t="shared" si="216"/>
      </c>
      <c r="S805" s="86">
        <f t="shared" si="217"/>
      </c>
      <c r="T805" s="86">
        <f t="shared" si="227"/>
        <v/>
      </c>
      <c r="U805" s="86">
        <f t="shared" si="228"/>
        <v/>
      </c>
      <c r="V805" s="86">
        <f t="shared" si="229"/>
        <v/>
      </c>
      <c r="W805" s="87">
        <f t="shared" si="218"/>
      </c>
      <c r="X805" s="88"/>
      <c r="Y805" s="88"/>
      <c r="Z805" s="88"/>
      <c r="AA805" s="88"/>
      <c r="AB805" s="88"/>
      <c r="AD805" s="86">
        <f t="shared" si="219"/>
      </c>
      <c r="AE805" s="86">
        <f t="shared" si="220"/>
      </c>
      <c r="AG805" s="86">
        <f t="shared" si="221"/>
      </c>
      <c r="AH805" s="86">
        <f t="shared" si="222"/>
      </c>
      <c r="AI805" s="86">
        <f t="shared" si="223"/>
      </c>
    </row>
    <row r="806" spans="6:35" x14ac:dyDescent="0.3">
      <c r="F806" s="26">
        <f>IF(G806=1,MAX($F$4:F805)+1,"")</f>
        <v/>
      </c>
      <c r="G806" s="26">
        <f>COUNTIF($H$5:H806,H806)</f>
      </c>
      <c r="H806" s="26">
        <f t="shared" si="224"/>
      </c>
      <c r="I806" s="26">
        <f>COUNTIF($J$4:$J806,1)</f>
      </c>
      <c r="J806" s="26">
        <f>COUNTIF($S$5:$S806,S806)</f>
      </c>
      <c r="K806" s="26">
        <f t="shared" si="213"/>
      </c>
      <c r="L806" s="26">
        <f>IFERROR(IF(P806=0,0,MAX($L$4:L805)+1),0)</f>
      </c>
      <c r="M806" s="5">
        <f t="shared" si="225"/>
      </c>
      <c r="N806" s="5">
        <f t="shared" si="226"/>
      </c>
      <c r="P806" s="86">
        <f t="shared" si="214"/>
      </c>
      <c r="Q806" s="86">
        <f t="shared" si="215"/>
      </c>
      <c r="R806" s="86">
        <f t="shared" si="216"/>
      </c>
      <c r="S806" s="86">
        <f t="shared" si="217"/>
      </c>
      <c r="T806" s="86">
        <f t="shared" si="227"/>
        <v/>
      </c>
      <c r="U806" s="86">
        <f t="shared" si="228"/>
        <v/>
      </c>
      <c r="V806" s="86">
        <f t="shared" si="229"/>
        <v/>
      </c>
      <c r="W806" s="87">
        <f t="shared" si="218"/>
      </c>
      <c r="X806" s="88"/>
      <c r="Y806" s="88"/>
      <c r="Z806" s="88"/>
      <c r="AA806" s="88"/>
      <c r="AB806" s="88"/>
      <c r="AD806" s="86">
        <f t="shared" si="219"/>
      </c>
      <c r="AE806" s="86">
        <f t="shared" si="220"/>
      </c>
      <c r="AG806" s="86">
        <f t="shared" si="221"/>
      </c>
      <c r="AH806" s="86">
        <f t="shared" si="222"/>
      </c>
      <c r="AI806" s="86">
        <f t="shared" si="223"/>
      </c>
    </row>
    <row r="807" spans="6:35" x14ac:dyDescent="0.3">
      <c r="F807" s="26">
        <f>IF(G807=1,MAX($F$4:F806)+1,"")</f>
        <v/>
      </c>
      <c r="G807" s="26">
        <f>COUNTIF($H$5:H807,H807)</f>
      </c>
      <c r="H807" s="26">
        <f t="shared" si="224"/>
      </c>
      <c r="I807" s="26">
        <f>COUNTIF($J$4:$J807,1)</f>
      </c>
      <c r="J807" s="26">
        <f>COUNTIF($S$5:$S807,S807)</f>
      </c>
      <c r="K807" s="26">
        <f t="shared" si="213"/>
      </c>
      <c r="L807" s="26">
        <f>IFERROR(IF(P807=0,0,MAX($L$4:L806)+1),0)</f>
      </c>
      <c r="M807" s="5">
        <f t="shared" si="225"/>
      </c>
      <c r="N807" s="5">
        <f t="shared" si="226"/>
      </c>
      <c r="P807" s="86">
        <f t="shared" si="214"/>
      </c>
      <c r="Q807" s="86">
        <f t="shared" si="215"/>
      </c>
      <c r="R807" s="86">
        <f t="shared" si="216"/>
      </c>
      <c r="S807" s="86">
        <f t="shared" si="217"/>
      </c>
      <c r="T807" s="86">
        <f t="shared" si="227"/>
        <v/>
      </c>
      <c r="U807" s="86">
        <f t="shared" si="228"/>
        <v/>
      </c>
      <c r="V807" s="86">
        <f t="shared" si="229"/>
        <v/>
      </c>
      <c r="W807" s="87">
        <f t="shared" si="218"/>
      </c>
      <c r="X807" s="88"/>
      <c r="Y807" s="88"/>
      <c r="Z807" s="88"/>
      <c r="AA807" s="88"/>
      <c r="AB807" s="88"/>
      <c r="AD807" s="86">
        <f t="shared" si="219"/>
      </c>
      <c r="AE807" s="86">
        <f t="shared" si="220"/>
      </c>
      <c r="AG807" s="86">
        <f t="shared" si="221"/>
      </c>
      <c r="AH807" s="86">
        <f t="shared" si="222"/>
      </c>
      <c r="AI807" s="86">
        <f t="shared" si="223"/>
      </c>
    </row>
    <row r="808" spans="6:35" x14ac:dyDescent="0.3">
      <c r="F808" s="26">
        <f>IF(G808=1,MAX($F$4:F807)+1,"")</f>
        <v/>
      </c>
      <c r="G808" s="26">
        <f>COUNTIF($H$5:H808,H808)</f>
      </c>
      <c r="H808" s="26">
        <f t="shared" si="224"/>
      </c>
      <c r="I808" s="26">
        <f>COUNTIF($J$4:$J808,1)</f>
      </c>
      <c r="J808" s="26">
        <f>COUNTIF($S$5:$S808,S808)</f>
      </c>
      <c r="K808" s="26">
        <f t="shared" si="213"/>
      </c>
      <c r="L808" s="26">
        <f>IFERROR(IF(P808=0,0,MAX($L$4:L807)+1),0)</f>
      </c>
      <c r="M808" s="5">
        <f t="shared" si="225"/>
      </c>
      <c r="N808" s="5">
        <f t="shared" si="226"/>
      </c>
      <c r="P808" s="86">
        <f t="shared" si="214"/>
      </c>
      <c r="Q808" s="86">
        <f t="shared" si="215"/>
      </c>
      <c r="R808" s="86">
        <f t="shared" si="216"/>
      </c>
      <c r="S808" s="86">
        <f t="shared" si="217"/>
      </c>
      <c r="T808" s="86">
        <f t="shared" si="227"/>
        <v/>
      </c>
      <c r="U808" s="86">
        <f t="shared" si="228"/>
        <v/>
      </c>
      <c r="V808" s="86">
        <f t="shared" si="229"/>
        <v/>
      </c>
      <c r="W808" s="87">
        <f t="shared" si="218"/>
      </c>
      <c r="X808" s="88"/>
      <c r="Y808" s="88"/>
      <c r="Z808" s="88"/>
      <c r="AA808" s="88"/>
      <c r="AB808" s="88"/>
      <c r="AD808" s="86">
        <f t="shared" si="219"/>
      </c>
      <c r="AE808" s="86">
        <f t="shared" si="220"/>
      </c>
      <c r="AG808" s="86">
        <f t="shared" si="221"/>
      </c>
      <c r="AH808" s="86">
        <f t="shared" si="222"/>
      </c>
      <c r="AI808" s="86">
        <f t="shared" si="223"/>
      </c>
    </row>
    <row r="809" spans="6:35" x14ac:dyDescent="0.3">
      <c r="F809" s="26">
        <f>IF(G809=1,MAX($F$4:F808)+1,"")</f>
        <v/>
      </c>
      <c r="G809" s="26">
        <f>COUNTIF($H$5:H809,H809)</f>
      </c>
      <c r="H809" s="26">
        <f t="shared" si="224"/>
      </c>
      <c r="I809" s="26">
        <f>COUNTIF($J$4:$J809,1)</f>
      </c>
      <c r="J809" s="26">
        <f>COUNTIF($S$5:$S809,S809)</f>
      </c>
      <c r="K809" s="26">
        <f t="shared" si="213"/>
      </c>
      <c r="L809" s="26">
        <f>IFERROR(IF(P809=0,0,MAX($L$4:L808)+1),0)</f>
      </c>
      <c r="M809" s="5">
        <f t="shared" si="225"/>
      </c>
      <c r="N809" s="5">
        <f t="shared" si="226"/>
      </c>
      <c r="P809" s="86">
        <f t="shared" si="214"/>
      </c>
      <c r="Q809" s="86">
        <f t="shared" si="215"/>
      </c>
      <c r="R809" s="86">
        <f t="shared" si="216"/>
      </c>
      <c r="S809" s="86">
        <f t="shared" si="217"/>
      </c>
      <c r="T809" s="86">
        <f t="shared" si="227"/>
        <v/>
      </c>
      <c r="U809" s="86">
        <f t="shared" si="228"/>
        <v/>
      </c>
      <c r="V809" s="86">
        <f t="shared" si="229"/>
        <v/>
      </c>
      <c r="W809" s="87">
        <f t="shared" si="218"/>
      </c>
      <c r="X809" s="88"/>
      <c r="Y809" s="88"/>
      <c r="Z809" s="88"/>
      <c r="AA809" s="88"/>
      <c r="AB809" s="88"/>
      <c r="AD809" s="86">
        <f t="shared" si="219"/>
      </c>
      <c r="AE809" s="86">
        <f t="shared" si="220"/>
      </c>
      <c r="AG809" s="86">
        <f t="shared" si="221"/>
      </c>
      <c r="AH809" s="86">
        <f t="shared" si="222"/>
      </c>
      <c r="AI809" s="86">
        <f t="shared" si="223"/>
      </c>
    </row>
    <row r="810" spans="6:35" x14ac:dyDescent="0.3">
      <c r="F810" s="26">
        <f>IF(G810=1,MAX($F$4:F809)+1,"")</f>
        <v/>
      </c>
      <c r="G810" s="26">
        <f>COUNTIF($H$5:H810,H810)</f>
      </c>
      <c r="H810" s="26">
        <f t="shared" si="224"/>
      </c>
      <c r="I810" s="26">
        <f>COUNTIF($J$4:$J810,1)</f>
      </c>
      <c r="J810" s="26">
        <f>COUNTIF($S$5:$S810,S810)</f>
      </c>
      <c r="K810" s="26">
        <f t="shared" si="213"/>
      </c>
      <c r="L810" s="26">
        <f>IFERROR(IF(P810=0,0,MAX($L$4:L809)+1),0)</f>
      </c>
      <c r="M810" s="5">
        <f t="shared" si="225"/>
      </c>
      <c r="N810" s="5">
        <f t="shared" si="226"/>
      </c>
      <c r="P810" s="86">
        <f t="shared" si="214"/>
      </c>
      <c r="Q810" s="86">
        <f t="shared" si="215"/>
      </c>
      <c r="R810" s="86">
        <f t="shared" si="216"/>
      </c>
      <c r="S810" s="86">
        <f t="shared" si="217"/>
      </c>
      <c r="T810" s="86">
        <f t="shared" si="227"/>
        <v/>
      </c>
      <c r="U810" s="86">
        <f t="shared" si="228"/>
        <v/>
      </c>
      <c r="V810" s="86">
        <f t="shared" si="229"/>
        <v/>
      </c>
      <c r="W810" s="87">
        <f t="shared" si="218"/>
      </c>
      <c r="X810" s="88"/>
      <c r="Y810" s="88"/>
      <c r="Z810" s="88"/>
      <c r="AA810" s="88"/>
      <c r="AB810" s="88"/>
      <c r="AD810" s="86">
        <f t="shared" si="219"/>
      </c>
      <c r="AE810" s="86">
        <f t="shared" si="220"/>
      </c>
      <c r="AG810" s="86">
        <f t="shared" si="221"/>
      </c>
      <c r="AH810" s="86">
        <f t="shared" si="222"/>
      </c>
      <c r="AI810" s="86">
        <f t="shared" si="223"/>
      </c>
    </row>
    <row r="811" spans="6:35" x14ac:dyDescent="0.3">
      <c r="F811" s="26">
        <f>IF(G811=1,MAX($F$4:F810)+1,"")</f>
        <v/>
      </c>
      <c r="G811" s="26">
        <f>COUNTIF($H$5:H811,H811)</f>
      </c>
      <c r="H811" s="26">
        <f t="shared" si="224"/>
      </c>
      <c r="I811" s="26">
        <f>COUNTIF($J$4:$J811,1)</f>
      </c>
      <c r="J811" s="26">
        <f>COUNTIF($S$5:$S811,S811)</f>
      </c>
      <c r="K811" s="26">
        <f t="shared" si="213"/>
      </c>
      <c r="L811" s="26">
        <f>IFERROR(IF(P811=0,0,MAX($L$4:L810)+1),0)</f>
      </c>
      <c r="M811" s="5">
        <f t="shared" si="225"/>
      </c>
      <c r="N811" s="5">
        <f t="shared" si="226"/>
      </c>
      <c r="P811" s="86">
        <f t="shared" si="214"/>
      </c>
      <c r="Q811" s="86">
        <f t="shared" si="215"/>
      </c>
      <c r="R811" s="86">
        <f t="shared" si="216"/>
      </c>
      <c r="S811" s="86">
        <f t="shared" si="217"/>
      </c>
      <c r="T811" s="86">
        <f t="shared" si="227"/>
        <v/>
      </c>
      <c r="U811" s="86">
        <f t="shared" si="228"/>
        <v/>
      </c>
      <c r="V811" s="86">
        <f t="shared" si="229"/>
        <v/>
      </c>
      <c r="W811" s="87">
        <f t="shared" si="218"/>
      </c>
      <c r="X811" s="88"/>
      <c r="Y811" s="88"/>
      <c r="Z811" s="88"/>
      <c r="AA811" s="88"/>
      <c r="AB811" s="88"/>
      <c r="AD811" s="86">
        <f t="shared" si="219"/>
      </c>
      <c r="AE811" s="86">
        <f t="shared" si="220"/>
      </c>
      <c r="AG811" s="86">
        <f t="shared" si="221"/>
      </c>
      <c r="AH811" s="86">
        <f t="shared" si="222"/>
      </c>
      <c r="AI811" s="86">
        <f t="shared" si="223"/>
      </c>
    </row>
    <row r="812" spans="6:35" x14ac:dyDescent="0.3">
      <c r="F812" s="26">
        <f>IF(G812=1,MAX($F$4:F811)+1,"")</f>
        <v/>
      </c>
      <c r="G812" s="26">
        <f>COUNTIF($H$5:H812,H812)</f>
      </c>
      <c r="H812" s="26">
        <f t="shared" si="224"/>
      </c>
      <c r="I812" s="26">
        <f>COUNTIF($J$4:$J812,1)</f>
      </c>
      <c r="J812" s="26">
        <f>COUNTIF($S$5:$S812,S812)</f>
      </c>
      <c r="K812" s="26">
        <f t="shared" si="213"/>
      </c>
      <c r="L812" s="26">
        <f>IFERROR(IF(P812=0,0,MAX($L$4:L811)+1),0)</f>
      </c>
      <c r="M812" s="5">
        <f t="shared" si="225"/>
      </c>
      <c r="N812" s="5">
        <f t="shared" si="226"/>
      </c>
      <c r="P812" s="86">
        <f t="shared" si="214"/>
      </c>
      <c r="Q812" s="86">
        <f t="shared" si="215"/>
      </c>
      <c r="R812" s="86">
        <f t="shared" si="216"/>
      </c>
      <c r="S812" s="86">
        <f t="shared" si="217"/>
      </c>
      <c r="T812" s="86">
        <f t="shared" si="227"/>
        <v/>
      </c>
      <c r="U812" s="86">
        <f t="shared" si="228"/>
        <v/>
      </c>
      <c r="V812" s="86">
        <f t="shared" si="229"/>
        <v/>
      </c>
      <c r="W812" s="87">
        <f t="shared" si="218"/>
      </c>
      <c r="X812" s="88"/>
      <c r="Y812" s="88"/>
      <c r="Z812" s="88"/>
      <c r="AA812" s="88"/>
      <c r="AB812" s="88"/>
      <c r="AD812" s="86">
        <f t="shared" si="219"/>
      </c>
      <c r="AE812" s="86">
        <f t="shared" si="220"/>
      </c>
      <c r="AG812" s="86">
        <f t="shared" si="221"/>
      </c>
      <c r="AH812" s="86">
        <f t="shared" si="222"/>
      </c>
      <c r="AI812" s="86">
        <f t="shared" si="223"/>
      </c>
    </row>
    <row r="813" spans="6:35" x14ac:dyDescent="0.3">
      <c r="F813" s="26">
        <f>IF(G813=1,MAX($F$4:F812)+1,"")</f>
        <v/>
      </c>
      <c r="G813" s="26">
        <f>COUNTIF($H$5:H813,H813)</f>
      </c>
      <c r="H813" s="26">
        <f t="shared" si="224"/>
      </c>
      <c r="I813" s="26">
        <f>COUNTIF($J$4:$J813,1)</f>
      </c>
      <c r="J813" s="26">
        <f>COUNTIF($S$5:$S813,S813)</f>
      </c>
      <c r="K813" s="26">
        <f t="shared" si="213"/>
      </c>
      <c r="L813" s="26">
        <f>IFERROR(IF(P813=0,0,MAX($L$4:L812)+1),0)</f>
      </c>
      <c r="M813" s="5">
        <f t="shared" si="225"/>
      </c>
      <c r="N813" s="5">
        <f t="shared" si="226"/>
      </c>
      <c r="P813" s="86">
        <f t="shared" si="214"/>
      </c>
      <c r="Q813" s="86">
        <f t="shared" si="215"/>
      </c>
      <c r="R813" s="86">
        <f t="shared" si="216"/>
      </c>
      <c r="S813" s="86">
        <f t="shared" si="217"/>
      </c>
      <c r="T813" s="86">
        <f t="shared" si="227"/>
        <v/>
      </c>
      <c r="U813" s="86">
        <f t="shared" si="228"/>
        <v/>
      </c>
      <c r="V813" s="86">
        <f t="shared" si="229"/>
        <v/>
      </c>
      <c r="W813" s="87">
        <f t="shared" si="218"/>
      </c>
      <c r="X813" s="88"/>
      <c r="Y813" s="88"/>
      <c r="Z813" s="88"/>
      <c r="AA813" s="88"/>
      <c r="AB813" s="88"/>
      <c r="AD813" s="86">
        <f t="shared" si="219"/>
      </c>
      <c r="AE813" s="86">
        <f t="shared" si="220"/>
      </c>
      <c r="AG813" s="86">
        <f t="shared" si="221"/>
      </c>
      <c r="AH813" s="86">
        <f t="shared" si="222"/>
      </c>
      <c r="AI813" s="86">
        <f t="shared" si="223"/>
      </c>
    </row>
    <row r="814" spans="6:35" x14ac:dyDescent="0.3">
      <c r="F814" s="26">
        <f>IF(G814=1,MAX($F$4:F813)+1,"")</f>
        <v/>
      </c>
      <c r="G814" s="26">
        <f>COUNTIF($H$5:H814,H814)</f>
      </c>
      <c r="H814" s="26">
        <f t="shared" si="224"/>
      </c>
      <c r="I814" s="26">
        <f>COUNTIF($J$4:$J814,1)</f>
      </c>
      <c r="J814" s="26">
        <f>COUNTIF($S$5:$S814,S814)</f>
      </c>
      <c r="K814" s="26">
        <f t="shared" si="213"/>
      </c>
      <c r="L814" s="26">
        <f>IFERROR(IF(P814=0,0,MAX($L$4:L813)+1),0)</f>
      </c>
      <c r="M814" s="5">
        <f t="shared" si="225"/>
      </c>
      <c r="N814" s="5">
        <f t="shared" si="226"/>
      </c>
      <c r="P814" s="86">
        <f t="shared" si="214"/>
      </c>
      <c r="Q814" s="86">
        <f t="shared" si="215"/>
      </c>
      <c r="R814" s="86">
        <f t="shared" si="216"/>
      </c>
      <c r="S814" s="86">
        <f t="shared" si="217"/>
      </c>
      <c r="T814" s="86">
        <f t="shared" si="227"/>
        <v/>
      </c>
      <c r="U814" s="86">
        <f t="shared" si="228"/>
        <v/>
      </c>
      <c r="V814" s="86">
        <f t="shared" si="229"/>
        <v/>
      </c>
      <c r="W814" s="87">
        <f t="shared" si="218"/>
      </c>
      <c r="X814" s="88"/>
      <c r="Y814" s="88"/>
      <c r="Z814" s="88"/>
      <c r="AA814" s="88"/>
      <c r="AB814" s="88"/>
      <c r="AD814" s="86">
        <f t="shared" si="219"/>
      </c>
      <c r="AE814" s="86">
        <f t="shared" si="220"/>
      </c>
      <c r="AG814" s="86">
        <f t="shared" si="221"/>
      </c>
      <c r="AH814" s="86">
        <f t="shared" si="222"/>
      </c>
      <c r="AI814" s="86">
        <f t="shared" si="223"/>
      </c>
    </row>
    <row r="815" spans="6:35" x14ac:dyDescent="0.3">
      <c r="F815" s="26">
        <f>IF(G815=1,MAX($F$4:F814)+1,"")</f>
        <v/>
      </c>
      <c r="G815" s="26">
        <f>COUNTIF($H$5:H815,H815)</f>
      </c>
      <c r="H815" s="26">
        <f t="shared" si="224"/>
      </c>
      <c r="I815" s="26">
        <f>COUNTIF($J$4:$J815,1)</f>
      </c>
      <c r="J815" s="26">
        <f>COUNTIF($S$5:$S815,S815)</f>
      </c>
      <c r="K815" s="26">
        <f t="shared" si="213"/>
      </c>
      <c r="L815" s="26">
        <f>IFERROR(IF(P815=0,0,MAX($L$4:L814)+1),0)</f>
      </c>
      <c r="M815" s="5">
        <f t="shared" si="225"/>
      </c>
      <c r="N815" s="5">
        <f t="shared" si="226"/>
      </c>
      <c r="P815" s="86">
        <f t="shared" si="214"/>
      </c>
      <c r="Q815" s="86">
        <f t="shared" si="215"/>
      </c>
      <c r="R815" s="86">
        <f t="shared" si="216"/>
      </c>
      <c r="S815" s="86">
        <f t="shared" si="217"/>
      </c>
      <c r="T815" s="86">
        <f t="shared" si="227"/>
        <v/>
      </c>
      <c r="U815" s="86">
        <f t="shared" si="228"/>
        <v/>
      </c>
      <c r="V815" s="86">
        <f t="shared" si="229"/>
        <v/>
      </c>
      <c r="W815" s="87">
        <f t="shared" si="218"/>
      </c>
      <c r="X815" s="88"/>
      <c r="Y815" s="88"/>
      <c r="Z815" s="88"/>
      <c r="AA815" s="88"/>
      <c r="AB815" s="88"/>
      <c r="AD815" s="86">
        <f t="shared" si="219"/>
      </c>
      <c r="AE815" s="86">
        <f t="shared" si="220"/>
      </c>
      <c r="AG815" s="86">
        <f t="shared" si="221"/>
      </c>
      <c r="AH815" s="86">
        <f t="shared" si="222"/>
      </c>
      <c r="AI815" s="86">
        <f t="shared" si="223"/>
      </c>
    </row>
    <row r="816" spans="6:35" x14ac:dyDescent="0.3">
      <c r="F816" s="26">
        <f>IF(G816=1,MAX($F$4:F815)+1,"")</f>
        <v/>
      </c>
      <c r="G816" s="26">
        <f>COUNTIF($H$5:H816,H816)</f>
      </c>
      <c r="H816" s="26">
        <f t="shared" si="224"/>
      </c>
      <c r="I816" s="26">
        <f>COUNTIF($J$4:$J816,1)</f>
      </c>
      <c r="J816" s="26">
        <f>COUNTIF($S$5:$S816,S816)</f>
      </c>
      <c r="K816" s="26">
        <f t="shared" si="213"/>
      </c>
      <c r="L816" s="26">
        <f>IFERROR(IF(P816=0,0,MAX($L$4:L815)+1),0)</f>
      </c>
      <c r="M816" s="5">
        <f t="shared" si="225"/>
      </c>
      <c r="N816" s="5">
        <f t="shared" si="226"/>
      </c>
      <c r="P816" s="86">
        <f t="shared" si="214"/>
      </c>
      <c r="Q816" s="86">
        <f t="shared" si="215"/>
      </c>
      <c r="R816" s="86">
        <f t="shared" si="216"/>
      </c>
      <c r="S816" s="86">
        <f t="shared" si="217"/>
      </c>
      <c r="T816" s="86">
        <f t="shared" si="227"/>
        <v/>
      </c>
      <c r="U816" s="86">
        <f t="shared" si="228"/>
        <v/>
      </c>
      <c r="V816" s="86">
        <f t="shared" si="229"/>
        <v/>
      </c>
      <c r="W816" s="87">
        <f t="shared" si="218"/>
      </c>
      <c r="X816" s="88"/>
      <c r="Y816" s="88"/>
      <c r="Z816" s="88"/>
      <c r="AA816" s="88"/>
      <c r="AB816" s="88"/>
      <c r="AD816" s="86">
        <f t="shared" si="219"/>
      </c>
      <c r="AE816" s="86">
        <f t="shared" si="220"/>
      </c>
      <c r="AG816" s="86">
        <f t="shared" si="221"/>
      </c>
      <c r="AH816" s="86">
        <f t="shared" si="222"/>
      </c>
      <c r="AI816" s="86">
        <f t="shared" si="223"/>
      </c>
    </row>
    <row r="817" spans="6:35" x14ac:dyDescent="0.3">
      <c r="F817" s="26">
        <f>IF(G817=1,MAX($F$4:F816)+1,"")</f>
        <v/>
      </c>
      <c r="G817" s="26">
        <f>COUNTIF($H$5:H817,H817)</f>
      </c>
      <c r="H817" s="26">
        <f t="shared" si="224"/>
      </c>
      <c r="I817" s="26">
        <f>COUNTIF($J$4:$J817,1)</f>
      </c>
      <c r="J817" s="26">
        <f>COUNTIF($S$5:$S817,S817)</f>
      </c>
      <c r="K817" s="26">
        <f t="shared" si="213"/>
      </c>
      <c r="L817" s="26">
        <f>IFERROR(IF(P817=0,0,MAX($L$4:L816)+1),0)</f>
      </c>
      <c r="M817" s="5">
        <f t="shared" si="225"/>
      </c>
      <c r="N817" s="5">
        <f t="shared" si="226"/>
      </c>
      <c r="P817" s="86">
        <f t="shared" si="214"/>
      </c>
      <c r="Q817" s="86">
        <f t="shared" si="215"/>
      </c>
      <c r="R817" s="86">
        <f t="shared" si="216"/>
      </c>
      <c r="S817" s="86">
        <f t="shared" si="217"/>
      </c>
      <c r="T817" s="86">
        <f t="shared" si="227"/>
        <v/>
      </c>
      <c r="U817" s="86">
        <f t="shared" si="228"/>
        <v/>
      </c>
      <c r="V817" s="86">
        <f t="shared" si="229"/>
        <v/>
      </c>
      <c r="W817" s="87">
        <f t="shared" si="218"/>
      </c>
      <c r="X817" s="88"/>
      <c r="Y817" s="88"/>
      <c r="Z817" s="88"/>
      <c r="AA817" s="88"/>
      <c r="AB817" s="88"/>
      <c r="AD817" s="86">
        <f t="shared" si="219"/>
      </c>
      <c r="AE817" s="86">
        <f t="shared" si="220"/>
      </c>
      <c r="AG817" s="86">
        <f t="shared" si="221"/>
      </c>
      <c r="AH817" s="86">
        <f t="shared" si="222"/>
      </c>
      <c r="AI817" s="86">
        <f t="shared" si="223"/>
      </c>
    </row>
    <row r="818" spans="6:35" x14ac:dyDescent="0.3">
      <c r="F818" s="26">
        <f>IF(G818=1,MAX($F$4:F817)+1,"")</f>
        <v/>
      </c>
      <c r="G818" s="26">
        <f>COUNTIF($H$5:H818,H818)</f>
      </c>
      <c r="H818" s="26">
        <f t="shared" si="224"/>
      </c>
      <c r="I818" s="26">
        <f>COUNTIF($J$4:$J818,1)</f>
      </c>
      <c r="J818" s="26">
        <f>COUNTIF($S$5:$S818,S818)</f>
      </c>
      <c r="K818" s="26">
        <f t="shared" si="213"/>
      </c>
      <c r="L818" s="26">
        <f>IFERROR(IF(P818=0,0,MAX($L$4:L817)+1),0)</f>
      </c>
      <c r="M818" s="5">
        <f t="shared" si="225"/>
      </c>
      <c r="N818" s="5">
        <f t="shared" si="226"/>
      </c>
      <c r="P818" s="86">
        <f t="shared" si="214"/>
      </c>
      <c r="Q818" s="86">
        <f t="shared" si="215"/>
      </c>
      <c r="R818" s="86">
        <f t="shared" si="216"/>
      </c>
      <c r="S818" s="86">
        <f t="shared" si="217"/>
      </c>
      <c r="T818" s="86">
        <f t="shared" si="227"/>
        <v/>
      </c>
      <c r="U818" s="86">
        <f t="shared" si="228"/>
        <v/>
      </c>
      <c r="V818" s="86">
        <f t="shared" si="229"/>
        <v/>
      </c>
      <c r="W818" s="87">
        <f t="shared" si="218"/>
      </c>
      <c r="X818" s="88"/>
      <c r="Y818" s="88"/>
      <c r="Z818" s="88"/>
      <c r="AA818" s="88"/>
      <c r="AB818" s="88"/>
      <c r="AD818" s="86">
        <f t="shared" si="219"/>
      </c>
      <c r="AE818" s="86">
        <f t="shared" si="220"/>
      </c>
      <c r="AG818" s="86">
        <f t="shared" si="221"/>
      </c>
      <c r="AH818" s="86">
        <f t="shared" si="222"/>
      </c>
      <c r="AI818" s="86">
        <f t="shared" si="223"/>
      </c>
    </row>
    <row r="819" spans="6:35" x14ac:dyDescent="0.3">
      <c r="F819" s="26">
        <f>IF(G819=1,MAX($F$4:F818)+1,"")</f>
        <v/>
      </c>
      <c r="G819" s="26">
        <f>COUNTIF($H$5:H819,H819)</f>
      </c>
      <c r="H819" s="26">
        <f t="shared" si="224"/>
      </c>
      <c r="I819" s="26">
        <f>COUNTIF($J$4:$J819,1)</f>
      </c>
      <c r="J819" s="26">
        <f>COUNTIF($S$5:$S819,S819)</f>
      </c>
      <c r="K819" s="26">
        <f t="shared" si="213"/>
      </c>
      <c r="L819" s="26">
        <f>IFERROR(IF(P819=0,0,MAX($L$4:L818)+1),0)</f>
      </c>
      <c r="M819" s="5">
        <f t="shared" si="225"/>
      </c>
      <c r="N819" s="5">
        <f t="shared" si="226"/>
      </c>
      <c r="P819" s="86">
        <f t="shared" si="214"/>
      </c>
      <c r="Q819" s="86">
        <f t="shared" si="215"/>
      </c>
      <c r="R819" s="86">
        <f t="shared" si="216"/>
      </c>
      <c r="S819" s="86">
        <f t="shared" si="217"/>
      </c>
      <c r="T819" s="86">
        <f t="shared" si="227"/>
        <v/>
      </c>
      <c r="U819" s="86">
        <f t="shared" si="228"/>
        <v/>
      </c>
      <c r="V819" s="86">
        <f t="shared" si="229"/>
        <v/>
      </c>
      <c r="W819" s="87">
        <f t="shared" si="218"/>
      </c>
      <c r="X819" s="88"/>
      <c r="Y819" s="88"/>
      <c r="Z819" s="88"/>
      <c r="AA819" s="88"/>
      <c r="AB819" s="88"/>
      <c r="AD819" s="86">
        <f t="shared" si="219"/>
      </c>
      <c r="AE819" s="86">
        <f t="shared" si="220"/>
      </c>
      <c r="AG819" s="86">
        <f t="shared" si="221"/>
      </c>
      <c r="AH819" s="86">
        <f t="shared" si="222"/>
      </c>
      <c r="AI819" s="86">
        <f t="shared" si="223"/>
      </c>
    </row>
    <row r="820" spans="6:35" x14ac:dyDescent="0.3">
      <c r="F820" s="26">
        <f>IF(G820=1,MAX($F$4:F819)+1,"")</f>
        <v/>
      </c>
      <c r="G820" s="26">
        <f>COUNTIF($H$5:H820,H820)</f>
      </c>
      <c r="H820" s="26">
        <f t="shared" si="224"/>
      </c>
      <c r="I820" s="26">
        <f>COUNTIF($J$4:$J820,1)</f>
      </c>
      <c r="J820" s="26">
        <f>COUNTIF($S$5:$S820,S820)</f>
      </c>
      <c r="K820" s="26">
        <f t="shared" si="213"/>
      </c>
      <c r="L820" s="26">
        <f>IFERROR(IF(P820=0,0,MAX($L$4:L819)+1),0)</f>
      </c>
      <c r="M820" s="5">
        <f t="shared" si="225"/>
      </c>
      <c r="N820" s="5">
        <f t="shared" si="226"/>
      </c>
      <c r="P820" s="86">
        <f t="shared" si="214"/>
      </c>
      <c r="Q820" s="86">
        <f t="shared" si="215"/>
      </c>
      <c r="R820" s="86">
        <f t="shared" si="216"/>
      </c>
      <c r="S820" s="86">
        <f t="shared" si="217"/>
      </c>
      <c r="T820" s="86">
        <f t="shared" si="227"/>
        <v/>
      </c>
      <c r="U820" s="86">
        <f t="shared" si="228"/>
        <v/>
      </c>
      <c r="V820" s="86">
        <f t="shared" si="229"/>
        <v/>
      </c>
      <c r="W820" s="87">
        <f t="shared" si="218"/>
      </c>
      <c r="X820" s="88"/>
      <c r="Y820" s="88"/>
      <c r="Z820" s="88"/>
      <c r="AA820" s="88"/>
      <c r="AB820" s="88"/>
      <c r="AD820" s="86">
        <f t="shared" si="219"/>
      </c>
      <c r="AE820" s="86">
        <f t="shared" si="220"/>
      </c>
      <c r="AG820" s="86">
        <f t="shared" si="221"/>
      </c>
      <c r="AH820" s="86">
        <f t="shared" si="222"/>
      </c>
      <c r="AI820" s="86">
        <f t="shared" si="223"/>
      </c>
    </row>
    <row r="821" spans="6:35" x14ac:dyDescent="0.3">
      <c r="F821" s="26">
        <f>IF(G821=1,MAX($F$4:F820)+1,"")</f>
        <v/>
      </c>
      <c r="G821" s="26">
        <f>COUNTIF($H$5:H821,H821)</f>
      </c>
      <c r="H821" s="26">
        <f t="shared" si="224"/>
      </c>
      <c r="I821" s="26">
        <f>COUNTIF($J$4:$J821,1)</f>
      </c>
      <c r="J821" s="26">
        <f>COUNTIF($S$5:$S821,S821)</f>
      </c>
      <c r="K821" s="26">
        <f t="shared" si="213"/>
      </c>
      <c r="L821" s="26">
        <f>IFERROR(IF(P821=0,0,MAX($L$4:L820)+1),0)</f>
      </c>
      <c r="M821" s="5">
        <f t="shared" si="225"/>
      </c>
      <c r="N821" s="5">
        <f t="shared" si="226"/>
      </c>
      <c r="P821" s="86">
        <f t="shared" si="214"/>
      </c>
      <c r="Q821" s="86">
        <f t="shared" si="215"/>
      </c>
      <c r="R821" s="86">
        <f t="shared" si="216"/>
      </c>
      <c r="S821" s="86">
        <f t="shared" si="217"/>
      </c>
      <c r="T821" s="86">
        <f t="shared" si="227"/>
        <v/>
      </c>
      <c r="U821" s="86">
        <f t="shared" si="228"/>
        <v/>
      </c>
      <c r="V821" s="86">
        <f t="shared" si="229"/>
        <v/>
      </c>
      <c r="W821" s="87">
        <f t="shared" si="218"/>
      </c>
      <c r="X821" s="88"/>
      <c r="Y821" s="88"/>
      <c r="Z821" s="88"/>
      <c r="AA821" s="88"/>
      <c r="AB821" s="88"/>
      <c r="AD821" s="86">
        <f t="shared" si="219"/>
      </c>
      <c r="AE821" s="86">
        <f t="shared" si="220"/>
      </c>
      <c r="AG821" s="86">
        <f t="shared" si="221"/>
      </c>
      <c r="AH821" s="86">
        <f t="shared" si="222"/>
      </c>
      <c r="AI821" s="86">
        <f t="shared" si="223"/>
      </c>
    </row>
    <row r="822" spans="6:35" x14ac:dyDescent="0.3">
      <c r="F822" s="26">
        <f>IF(G822=1,MAX($F$4:F821)+1,"")</f>
        <v/>
      </c>
      <c r="G822" s="26">
        <f>COUNTIF($H$5:H822,H822)</f>
      </c>
      <c r="H822" s="26">
        <f t="shared" si="224"/>
      </c>
      <c r="I822" s="26">
        <f>COUNTIF($J$4:$J822,1)</f>
      </c>
      <c r="J822" s="26">
        <f>COUNTIF($S$5:$S822,S822)</f>
      </c>
      <c r="K822" s="26">
        <f t="shared" si="213"/>
      </c>
      <c r="L822" s="26">
        <f>IFERROR(IF(P822=0,0,MAX($L$4:L821)+1),0)</f>
      </c>
      <c r="M822" s="5">
        <f t="shared" si="225"/>
      </c>
      <c r="N822" s="5">
        <f t="shared" si="226"/>
      </c>
      <c r="P822" s="86">
        <f t="shared" si="214"/>
      </c>
      <c r="Q822" s="86">
        <f t="shared" si="215"/>
      </c>
      <c r="R822" s="86">
        <f t="shared" si="216"/>
      </c>
      <c r="S822" s="86">
        <f t="shared" si="217"/>
      </c>
      <c r="T822" s="86">
        <f t="shared" si="227"/>
        <v/>
      </c>
      <c r="U822" s="86">
        <f t="shared" si="228"/>
        <v/>
      </c>
      <c r="V822" s="86">
        <f t="shared" si="229"/>
        <v/>
      </c>
      <c r="W822" s="87">
        <f t="shared" si="218"/>
      </c>
      <c r="X822" s="88"/>
      <c r="Y822" s="88"/>
      <c r="Z822" s="88"/>
      <c r="AA822" s="88"/>
      <c r="AB822" s="88"/>
      <c r="AD822" s="86">
        <f t="shared" si="219"/>
      </c>
      <c r="AE822" s="86">
        <f t="shared" si="220"/>
      </c>
      <c r="AG822" s="86">
        <f t="shared" si="221"/>
      </c>
      <c r="AH822" s="86">
        <f t="shared" si="222"/>
      </c>
      <c r="AI822" s="86">
        <f t="shared" si="223"/>
      </c>
    </row>
    <row r="823" spans="6:35" x14ac:dyDescent="0.3">
      <c r="F823" s="26">
        <f>IF(G823=1,MAX($F$4:F822)+1,"")</f>
        <v/>
      </c>
      <c r="G823" s="26">
        <f>COUNTIF($H$5:H823,H823)</f>
      </c>
      <c r="H823" s="26">
        <f t="shared" si="224"/>
      </c>
      <c r="I823" s="26">
        <f>COUNTIF($J$4:$J823,1)</f>
      </c>
      <c r="J823" s="26">
        <f>COUNTIF($S$5:$S823,S823)</f>
      </c>
      <c r="K823" s="26">
        <f t="shared" si="213"/>
      </c>
      <c r="L823" s="26">
        <f>IFERROR(IF(P823=0,0,MAX($L$4:L822)+1),0)</f>
      </c>
      <c r="M823" s="5">
        <f t="shared" si="225"/>
      </c>
      <c r="N823" s="5">
        <f t="shared" si="226"/>
      </c>
      <c r="P823" s="86">
        <f t="shared" si="214"/>
      </c>
      <c r="Q823" s="86">
        <f t="shared" si="215"/>
      </c>
      <c r="R823" s="86">
        <f t="shared" si="216"/>
      </c>
      <c r="S823" s="86">
        <f t="shared" si="217"/>
      </c>
      <c r="T823" s="86">
        <f t="shared" si="227"/>
        <v/>
      </c>
      <c r="U823" s="86">
        <f t="shared" si="228"/>
        <v/>
      </c>
      <c r="V823" s="86">
        <f t="shared" si="229"/>
        <v/>
      </c>
      <c r="W823" s="87">
        <f t="shared" si="218"/>
      </c>
      <c r="X823" s="88"/>
      <c r="Y823" s="88"/>
      <c r="Z823" s="88"/>
      <c r="AA823" s="88"/>
      <c r="AB823" s="88"/>
      <c r="AD823" s="86">
        <f t="shared" si="219"/>
      </c>
      <c r="AE823" s="86">
        <f t="shared" si="220"/>
      </c>
      <c r="AG823" s="86">
        <f t="shared" si="221"/>
      </c>
      <c r="AH823" s="86">
        <f t="shared" si="222"/>
      </c>
      <c r="AI823" s="86">
        <f t="shared" si="223"/>
      </c>
    </row>
    <row r="824" spans="6:35" x14ac:dyDescent="0.3">
      <c r="F824" s="26">
        <f>IF(G824=1,MAX($F$4:F823)+1,"")</f>
        <v/>
      </c>
      <c r="G824" s="26">
        <f>COUNTIF($H$5:H824,H824)</f>
      </c>
      <c r="H824" s="26">
        <f t="shared" si="224"/>
      </c>
      <c r="I824" s="26">
        <f>COUNTIF($J$4:$J824,1)</f>
      </c>
      <c r="J824" s="26">
        <f>COUNTIF($S$5:$S824,S824)</f>
      </c>
      <c r="K824" s="26">
        <f t="shared" si="213"/>
      </c>
      <c r="L824" s="26">
        <f>IFERROR(IF(P824=0,0,MAX($L$4:L823)+1),0)</f>
      </c>
      <c r="M824" s="5">
        <f t="shared" si="225"/>
      </c>
      <c r="N824" s="5">
        <f t="shared" si="226"/>
      </c>
      <c r="P824" s="86">
        <f t="shared" si="214"/>
      </c>
      <c r="Q824" s="86">
        <f t="shared" si="215"/>
      </c>
      <c r="R824" s="86">
        <f t="shared" si="216"/>
      </c>
      <c r="S824" s="86">
        <f t="shared" si="217"/>
      </c>
      <c r="T824" s="86">
        <f t="shared" si="227"/>
        <v/>
      </c>
      <c r="U824" s="86">
        <f t="shared" si="228"/>
        <v/>
      </c>
      <c r="V824" s="86">
        <f t="shared" si="229"/>
        <v/>
      </c>
      <c r="W824" s="87">
        <f t="shared" si="218"/>
      </c>
      <c r="X824" s="88"/>
      <c r="Y824" s="88"/>
      <c r="Z824" s="88"/>
      <c r="AA824" s="88"/>
      <c r="AB824" s="88"/>
      <c r="AD824" s="86">
        <f t="shared" si="219"/>
      </c>
      <c r="AE824" s="86">
        <f t="shared" si="220"/>
      </c>
      <c r="AG824" s="86">
        <f t="shared" si="221"/>
      </c>
      <c r="AH824" s="86">
        <f t="shared" si="222"/>
      </c>
      <c r="AI824" s="86">
        <f t="shared" si="223"/>
      </c>
    </row>
    <row r="825" spans="6:35" x14ac:dyDescent="0.3">
      <c r="F825" s="26">
        <f>IF(G825=1,MAX($F$4:F824)+1,"")</f>
        <v/>
      </c>
      <c r="G825" s="26">
        <f>COUNTIF($H$5:H825,H825)</f>
      </c>
      <c r="H825" s="26">
        <f t="shared" si="224"/>
      </c>
      <c r="I825" s="26">
        <f>COUNTIF($J$4:$J825,1)</f>
      </c>
      <c r="J825" s="26">
        <f>COUNTIF($S$5:$S825,S825)</f>
      </c>
      <c r="K825" s="26">
        <f t="shared" si="213"/>
      </c>
      <c r="L825" s="26">
        <f>IFERROR(IF(P825=0,0,MAX($L$4:L824)+1),0)</f>
      </c>
      <c r="M825" s="5">
        <f t="shared" si="225"/>
      </c>
      <c r="N825" s="5">
        <f t="shared" si="226"/>
      </c>
      <c r="P825" s="86">
        <f t="shared" si="214"/>
      </c>
      <c r="Q825" s="86">
        <f t="shared" si="215"/>
      </c>
      <c r="R825" s="86">
        <f t="shared" si="216"/>
      </c>
      <c r="S825" s="86">
        <f t="shared" si="217"/>
      </c>
      <c r="T825" s="86">
        <f t="shared" si="227"/>
        <v/>
      </c>
      <c r="U825" s="86">
        <f t="shared" si="228"/>
        <v/>
      </c>
      <c r="V825" s="86">
        <f t="shared" si="229"/>
        <v/>
      </c>
      <c r="W825" s="87">
        <f t="shared" si="218"/>
      </c>
      <c r="X825" s="88"/>
      <c r="Y825" s="88"/>
      <c r="Z825" s="88"/>
      <c r="AA825" s="88"/>
      <c r="AB825" s="88"/>
      <c r="AD825" s="86">
        <f t="shared" si="219"/>
      </c>
      <c r="AE825" s="86">
        <f t="shared" si="220"/>
      </c>
      <c r="AG825" s="86">
        <f t="shared" si="221"/>
      </c>
      <c r="AH825" s="86">
        <f t="shared" si="222"/>
      </c>
      <c r="AI825" s="86">
        <f t="shared" si="223"/>
      </c>
    </row>
    <row r="826" spans="6:35" x14ac:dyDescent="0.3">
      <c r="F826" s="26">
        <f>IF(G826=1,MAX($F$4:F825)+1,"")</f>
        <v/>
      </c>
      <c r="G826" s="26">
        <f>COUNTIF($H$5:H826,H826)</f>
      </c>
      <c r="H826" s="26">
        <f t="shared" si="224"/>
      </c>
      <c r="I826" s="26">
        <f>COUNTIF($J$4:$J826,1)</f>
      </c>
      <c r="J826" s="26">
        <f>COUNTIF($S$5:$S826,S826)</f>
      </c>
      <c r="K826" s="26">
        <f t="shared" si="213"/>
      </c>
      <c r="L826" s="26">
        <f>IFERROR(IF(P826=0,0,MAX($L$4:L825)+1),0)</f>
      </c>
      <c r="M826" s="5">
        <f t="shared" si="225"/>
      </c>
      <c r="N826" s="5">
        <f t="shared" si="226"/>
      </c>
      <c r="P826" s="86">
        <f t="shared" si="214"/>
      </c>
      <c r="Q826" s="86">
        <f t="shared" si="215"/>
      </c>
      <c r="R826" s="86">
        <f t="shared" si="216"/>
      </c>
      <c r="S826" s="86">
        <f t="shared" si="217"/>
      </c>
      <c r="T826" s="86">
        <f t="shared" si="227"/>
        <v/>
      </c>
      <c r="U826" s="86">
        <f t="shared" si="228"/>
        <v/>
      </c>
      <c r="V826" s="86">
        <f t="shared" si="229"/>
        <v/>
      </c>
      <c r="W826" s="87">
        <f t="shared" si="218"/>
      </c>
      <c r="X826" s="88"/>
      <c r="Y826" s="88"/>
      <c r="Z826" s="88"/>
      <c r="AA826" s="88"/>
      <c r="AB826" s="88"/>
      <c r="AD826" s="86">
        <f t="shared" si="219"/>
      </c>
      <c r="AE826" s="86">
        <f t="shared" si="220"/>
      </c>
      <c r="AG826" s="86">
        <f t="shared" si="221"/>
      </c>
      <c r="AH826" s="86">
        <f t="shared" si="222"/>
      </c>
      <c r="AI826" s="86">
        <f t="shared" si="223"/>
      </c>
    </row>
    <row r="827" spans="6:35" x14ac:dyDescent="0.3">
      <c r="F827" s="26">
        <f>IF(G827=1,MAX($F$4:F826)+1,"")</f>
        <v/>
      </c>
      <c r="G827" s="26">
        <f>COUNTIF($H$5:H827,H827)</f>
      </c>
      <c r="H827" s="26">
        <f t="shared" si="224"/>
      </c>
      <c r="I827" s="26">
        <f>COUNTIF($J$4:$J827,1)</f>
      </c>
      <c r="J827" s="26">
        <f>COUNTIF($S$5:$S827,S827)</f>
      </c>
      <c r="K827" s="26">
        <f t="shared" si="213"/>
      </c>
      <c r="L827" s="26">
        <f>IFERROR(IF(P827=0,0,MAX($L$4:L826)+1),0)</f>
      </c>
      <c r="M827" s="5">
        <f t="shared" si="225"/>
      </c>
      <c r="N827" s="5">
        <f t="shared" si="226"/>
      </c>
      <c r="P827" s="86">
        <f t="shared" si="214"/>
      </c>
      <c r="Q827" s="86">
        <f t="shared" si="215"/>
      </c>
      <c r="R827" s="86">
        <f t="shared" si="216"/>
      </c>
      <c r="S827" s="86">
        <f t="shared" si="217"/>
      </c>
      <c r="T827" s="86">
        <f t="shared" si="227"/>
        <v/>
      </c>
      <c r="U827" s="86">
        <f t="shared" si="228"/>
        <v/>
      </c>
      <c r="V827" s="86">
        <f t="shared" si="229"/>
        <v/>
      </c>
      <c r="W827" s="87">
        <f t="shared" si="218"/>
      </c>
      <c r="X827" s="88"/>
      <c r="Y827" s="88"/>
      <c r="Z827" s="88"/>
      <c r="AA827" s="88"/>
      <c r="AB827" s="88"/>
      <c r="AD827" s="86">
        <f t="shared" si="219"/>
      </c>
      <c r="AE827" s="86">
        <f t="shared" si="220"/>
      </c>
      <c r="AG827" s="86">
        <f t="shared" si="221"/>
      </c>
      <c r="AH827" s="86">
        <f t="shared" si="222"/>
      </c>
      <c r="AI827" s="86">
        <f t="shared" si="223"/>
      </c>
    </row>
    <row r="828" spans="6:35" x14ac:dyDescent="0.3">
      <c r="F828" s="26">
        <f>IF(G828=1,MAX($F$4:F827)+1,"")</f>
        <v/>
      </c>
      <c r="G828" s="26">
        <f>COUNTIF($H$5:H828,H828)</f>
      </c>
      <c r="H828" s="26">
        <f t="shared" si="224"/>
      </c>
      <c r="I828" s="26">
        <f>COUNTIF($J$4:$J828,1)</f>
      </c>
      <c r="J828" s="26">
        <f>COUNTIF($S$5:$S828,S828)</f>
      </c>
      <c r="K828" s="26">
        <f t="shared" si="213"/>
      </c>
      <c r="L828" s="26">
        <f>IFERROR(IF(P828=0,0,MAX($L$4:L827)+1),0)</f>
      </c>
      <c r="M828" s="5">
        <f t="shared" si="225"/>
      </c>
      <c r="N828" s="5">
        <f t="shared" si="226"/>
      </c>
      <c r="P828" s="86">
        <f t="shared" si="214"/>
      </c>
      <c r="Q828" s="86">
        <f t="shared" si="215"/>
      </c>
      <c r="R828" s="86">
        <f t="shared" si="216"/>
      </c>
      <c r="S828" s="86">
        <f t="shared" si="217"/>
      </c>
      <c r="T828" s="86">
        <f t="shared" si="227"/>
        <v/>
      </c>
      <c r="U828" s="86">
        <f t="shared" si="228"/>
        <v/>
      </c>
      <c r="V828" s="86">
        <f t="shared" si="229"/>
        <v/>
      </c>
      <c r="W828" s="87">
        <f t="shared" si="218"/>
      </c>
      <c r="X828" s="88"/>
      <c r="Y828" s="88"/>
      <c r="Z828" s="88"/>
      <c r="AA828" s="88"/>
      <c r="AB828" s="88"/>
      <c r="AD828" s="86">
        <f t="shared" si="219"/>
      </c>
      <c r="AE828" s="86">
        <f t="shared" si="220"/>
      </c>
      <c r="AG828" s="86">
        <f t="shared" si="221"/>
      </c>
      <c r="AH828" s="86">
        <f t="shared" si="222"/>
      </c>
      <c r="AI828" s="86">
        <f t="shared" si="223"/>
      </c>
    </row>
    <row r="829" spans="6:35" x14ac:dyDescent="0.3">
      <c r="F829" s="26">
        <f>IF(G829=1,MAX($F$4:F828)+1,"")</f>
        <v/>
      </c>
      <c r="G829" s="26">
        <f>COUNTIF($H$5:H829,H829)</f>
      </c>
      <c r="H829" s="26">
        <f t="shared" si="224"/>
      </c>
      <c r="I829" s="26">
        <f>COUNTIF($J$4:$J829,1)</f>
      </c>
      <c r="J829" s="26">
        <f>COUNTIF($S$5:$S829,S829)</f>
      </c>
      <c r="K829" s="26">
        <f t="shared" si="213"/>
      </c>
      <c r="L829" s="26">
        <f>IFERROR(IF(P829=0,0,MAX($L$4:L828)+1),0)</f>
      </c>
      <c r="M829" s="5">
        <f t="shared" si="225"/>
      </c>
      <c r="N829" s="5">
        <f t="shared" si="226"/>
      </c>
      <c r="P829" s="86">
        <f t="shared" si="214"/>
      </c>
      <c r="Q829" s="86">
        <f t="shared" si="215"/>
      </c>
      <c r="R829" s="86">
        <f t="shared" si="216"/>
      </c>
      <c r="S829" s="86">
        <f t="shared" si="217"/>
      </c>
      <c r="T829" s="86">
        <f t="shared" si="227"/>
        <v/>
      </c>
      <c r="U829" s="86">
        <f t="shared" si="228"/>
        <v/>
      </c>
      <c r="V829" s="86">
        <f t="shared" si="229"/>
        <v/>
      </c>
      <c r="W829" s="87">
        <f t="shared" si="218"/>
      </c>
      <c r="X829" s="88"/>
      <c r="Y829" s="88"/>
      <c r="Z829" s="88"/>
      <c r="AA829" s="88"/>
      <c r="AB829" s="88"/>
      <c r="AD829" s="86">
        <f t="shared" si="219"/>
      </c>
      <c r="AE829" s="86">
        <f t="shared" si="220"/>
      </c>
      <c r="AG829" s="86">
        <f t="shared" si="221"/>
      </c>
      <c r="AH829" s="86">
        <f t="shared" si="222"/>
      </c>
      <c r="AI829" s="86">
        <f t="shared" si="223"/>
      </c>
    </row>
    <row r="830" spans="6:35" x14ac:dyDescent="0.3">
      <c r="F830" s="26">
        <f>IF(G830=1,MAX($F$4:F829)+1,"")</f>
        <v/>
      </c>
      <c r="G830" s="26">
        <f>COUNTIF($H$5:H830,H830)</f>
      </c>
      <c r="H830" s="26">
        <f t="shared" si="224"/>
      </c>
      <c r="I830" s="26">
        <f>COUNTIF($J$4:$J830,1)</f>
      </c>
      <c r="J830" s="26">
        <f>COUNTIF($S$5:$S830,S830)</f>
      </c>
      <c r="K830" s="26">
        <f t="shared" si="213"/>
      </c>
      <c r="L830" s="26">
        <f>IFERROR(IF(P830=0,0,MAX($L$4:L829)+1),0)</f>
      </c>
      <c r="M830" s="5">
        <f t="shared" si="225"/>
      </c>
      <c r="N830" s="5">
        <f t="shared" si="226"/>
      </c>
      <c r="P830" s="86">
        <f t="shared" si="214"/>
      </c>
      <c r="Q830" s="86">
        <f t="shared" si="215"/>
      </c>
      <c r="R830" s="86">
        <f t="shared" si="216"/>
      </c>
      <c r="S830" s="86">
        <f t="shared" si="217"/>
      </c>
      <c r="T830" s="86">
        <f t="shared" si="227"/>
        <v/>
      </c>
      <c r="U830" s="86">
        <f t="shared" si="228"/>
        <v/>
      </c>
      <c r="V830" s="86">
        <f t="shared" si="229"/>
        <v/>
      </c>
      <c r="W830" s="87">
        <f t="shared" si="218"/>
      </c>
      <c r="X830" s="88"/>
      <c r="Y830" s="88"/>
      <c r="Z830" s="88"/>
      <c r="AA830" s="88"/>
      <c r="AB830" s="88"/>
      <c r="AD830" s="86">
        <f t="shared" si="219"/>
      </c>
      <c r="AE830" s="86">
        <f t="shared" si="220"/>
      </c>
      <c r="AG830" s="86">
        <f t="shared" si="221"/>
      </c>
      <c r="AH830" s="86">
        <f t="shared" si="222"/>
      </c>
      <c r="AI830" s="86">
        <f t="shared" si="223"/>
      </c>
    </row>
    <row r="831" spans="6:35" x14ac:dyDescent="0.3">
      <c r="F831" s="26">
        <f>IF(G831=1,MAX($F$4:F830)+1,"")</f>
        <v/>
      </c>
      <c r="G831" s="26">
        <f>COUNTIF($H$5:H831,H831)</f>
      </c>
      <c r="H831" s="26">
        <f t="shared" si="224"/>
      </c>
      <c r="I831" s="26">
        <f>COUNTIF($J$4:$J831,1)</f>
      </c>
      <c r="J831" s="26">
        <f>COUNTIF($S$5:$S831,S831)</f>
      </c>
      <c r="K831" s="26">
        <f t="shared" si="213"/>
      </c>
      <c r="L831" s="26">
        <f>IFERROR(IF(P831=0,0,MAX($L$4:L830)+1),0)</f>
      </c>
      <c r="M831" s="5">
        <f t="shared" si="225"/>
      </c>
      <c r="N831" s="5">
        <f t="shared" si="226"/>
      </c>
      <c r="P831" s="86">
        <f t="shared" si="214"/>
      </c>
      <c r="Q831" s="86">
        <f t="shared" si="215"/>
      </c>
      <c r="R831" s="86">
        <f t="shared" si="216"/>
      </c>
      <c r="S831" s="86">
        <f t="shared" si="217"/>
      </c>
      <c r="T831" s="86">
        <f t="shared" si="227"/>
        <v/>
      </c>
      <c r="U831" s="86">
        <f t="shared" si="228"/>
        <v/>
      </c>
      <c r="V831" s="86">
        <f t="shared" si="229"/>
        <v/>
      </c>
      <c r="W831" s="87">
        <f t="shared" si="218"/>
      </c>
      <c r="X831" s="88"/>
      <c r="Y831" s="88"/>
      <c r="Z831" s="88"/>
      <c r="AA831" s="88"/>
      <c r="AB831" s="88"/>
      <c r="AD831" s="86">
        <f t="shared" si="219"/>
      </c>
      <c r="AE831" s="86">
        <f t="shared" si="220"/>
      </c>
      <c r="AG831" s="86">
        <f t="shared" si="221"/>
      </c>
      <c r="AH831" s="86">
        <f t="shared" si="222"/>
      </c>
      <c r="AI831" s="86">
        <f t="shared" si="223"/>
      </c>
    </row>
    <row r="832" spans="6:35" x14ac:dyDescent="0.3">
      <c r="F832" s="26">
        <f>IF(G832=1,MAX($F$4:F831)+1,"")</f>
        <v/>
      </c>
      <c r="G832" s="26">
        <f>COUNTIF($H$5:H832,H832)</f>
      </c>
      <c r="H832" s="26">
        <f t="shared" si="224"/>
      </c>
      <c r="I832" s="26">
        <f>COUNTIF($J$4:$J832,1)</f>
      </c>
      <c r="J832" s="26">
        <f>COUNTIF($S$5:$S832,S832)</f>
      </c>
      <c r="K832" s="26">
        <f t="shared" si="213"/>
      </c>
      <c r="L832" s="26">
        <f>IFERROR(IF(P832=0,0,MAX($L$4:L831)+1),0)</f>
      </c>
      <c r="M832" s="5">
        <f t="shared" si="225"/>
      </c>
      <c r="N832" s="5">
        <f t="shared" si="226"/>
      </c>
      <c r="P832" s="86">
        <f t="shared" si="214"/>
      </c>
      <c r="Q832" s="86">
        <f t="shared" si="215"/>
      </c>
      <c r="R832" s="86">
        <f t="shared" si="216"/>
      </c>
      <c r="S832" s="86">
        <f t="shared" si="217"/>
      </c>
      <c r="T832" s="86">
        <f t="shared" si="227"/>
        <v/>
      </c>
      <c r="U832" s="86">
        <f t="shared" si="228"/>
        <v/>
      </c>
      <c r="V832" s="86">
        <f t="shared" si="229"/>
        <v/>
      </c>
      <c r="W832" s="87">
        <f t="shared" si="218"/>
      </c>
      <c r="X832" s="88"/>
      <c r="Y832" s="88"/>
      <c r="Z832" s="88"/>
      <c r="AA832" s="88"/>
      <c r="AB832" s="88"/>
      <c r="AD832" s="86">
        <f t="shared" si="219"/>
      </c>
      <c r="AE832" s="86">
        <f t="shared" si="220"/>
      </c>
      <c r="AG832" s="86">
        <f t="shared" si="221"/>
      </c>
      <c r="AH832" s="86">
        <f t="shared" si="222"/>
      </c>
      <c r="AI832" s="86">
        <f t="shared" si="223"/>
      </c>
    </row>
    <row r="833" spans="6:35" x14ac:dyDescent="0.3">
      <c r="F833" s="26">
        <f>IF(G833=1,MAX($F$4:F832)+1,"")</f>
        <v/>
      </c>
      <c r="G833" s="26">
        <f>COUNTIF($H$5:H833,H833)</f>
      </c>
      <c r="H833" s="26">
        <f t="shared" si="224"/>
      </c>
      <c r="I833" s="26">
        <f>COUNTIF($J$4:$J833,1)</f>
      </c>
      <c r="J833" s="26">
        <f>COUNTIF($S$5:$S833,S833)</f>
      </c>
      <c r="K833" s="26">
        <f t="shared" si="213"/>
      </c>
      <c r="L833" s="26">
        <f>IFERROR(IF(P833=0,0,MAX($L$4:L832)+1),0)</f>
      </c>
      <c r="M833" s="5">
        <f t="shared" si="225"/>
      </c>
      <c r="N833" s="5">
        <f t="shared" si="226"/>
      </c>
      <c r="P833" s="86">
        <f t="shared" si="214"/>
      </c>
      <c r="Q833" s="86">
        <f t="shared" si="215"/>
      </c>
      <c r="R833" s="86">
        <f t="shared" si="216"/>
      </c>
      <c r="S833" s="86">
        <f t="shared" si="217"/>
      </c>
      <c r="T833" s="86">
        <f t="shared" si="227"/>
        <v/>
      </c>
      <c r="U833" s="86">
        <f t="shared" si="228"/>
        <v/>
      </c>
      <c r="V833" s="86">
        <f t="shared" si="229"/>
        <v/>
      </c>
      <c r="W833" s="87">
        <f t="shared" si="218"/>
      </c>
      <c r="X833" s="88"/>
      <c r="Y833" s="88"/>
      <c r="Z833" s="88"/>
      <c r="AA833" s="88"/>
      <c r="AB833" s="88"/>
      <c r="AD833" s="86">
        <f t="shared" si="219"/>
      </c>
      <c r="AE833" s="86">
        <f t="shared" si="220"/>
      </c>
      <c r="AG833" s="86">
        <f t="shared" si="221"/>
      </c>
      <c r="AH833" s="86">
        <f t="shared" si="222"/>
      </c>
      <c r="AI833" s="86">
        <f t="shared" si="223"/>
      </c>
    </row>
    <row r="834" spans="6:35" x14ac:dyDescent="0.3">
      <c r="F834" s="26">
        <f>IF(G834=1,MAX($F$4:F833)+1,"")</f>
        <v/>
      </c>
      <c r="G834" s="26">
        <f>COUNTIF($H$5:H834,H834)</f>
      </c>
      <c r="H834" s="26">
        <f t="shared" si="224"/>
      </c>
      <c r="I834" s="26">
        <f>COUNTIF($J$4:$J834,1)</f>
      </c>
      <c r="J834" s="26">
        <f>COUNTIF($S$5:$S834,S834)</f>
      </c>
      <c r="K834" s="26">
        <f t="shared" si="213"/>
      </c>
      <c r="L834" s="26">
        <f>IFERROR(IF(P834=0,0,MAX($L$4:L833)+1),0)</f>
      </c>
      <c r="M834" s="5">
        <f t="shared" si="225"/>
      </c>
      <c r="N834" s="5">
        <f t="shared" si="226"/>
      </c>
      <c r="P834" s="86">
        <f t="shared" si="214"/>
      </c>
      <c r="Q834" s="86">
        <f t="shared" si="215"/>
      </c>
      <c r="R834" s="86">
        <f t="shared" si="216"/>
      </c>
      <c r="S834" s="86">
        <f t="shared" si="217"/>
      </c>
      <c r="T834" s="86">
        <f t="shared" si="227"/>
        <v/>
      </c>
      <c r="U834" s="86">
        <f t="shared" si="228"/>
        <v/>
      </c>
      <c r="V834" s="86">
        <f t="shared" si="229"/>
        <v/>
      </c>
      <c r="W834" s="87">
        <f t="shared" si="218"/>
      </c>
      <c r="X834" s="88"/>
      <c r="Y834" s="88"/>
      <c r="Z834" s="88"/>
      <c r="AA834" s="88"/>
      <c r="AB834" s="88"/>
      <c r="AD834" s="86">
        <f t="shared" si="219"/>
      </c>
      <c r="AE834" s="86">
        <f t="shared" si="220"/>
      </c>
      <c r="AG834" s="86">
        <f t="shared" si="221"/>
      </c>
      <c r="AH834" s="86">
        <f t="shared" si="222"/>
      </c>
      <c r="AI834" s="86">
        <f t="shared" si="223"/>
      </c>
    </row>
    <row r="835" spans="6:35" x14ac:dyDescent="0.3">
      <c r="F835" s="26">
        <f>IF(G835=1,MAX($F$4:F834)+1,"")</f>
        <v/>
      </c>
      <c r="G835" s="26">
        <f>COUNTIF($H$5:H835,H835)</f>
      </c>
      <c r="H835" s="26">
        <f t="shared" si="224"/>
      </c>
      <c r="I835" s="26">
        <f>COUNTIF($J$4:$J835,1)</f>
      </c>
      <c r="J835" s="26">
        <f>COUNTIF($S$5:$S835,S835)</f>
      </c>
      <c r="K835" s="26">
        <f t="shared" si="213"/>
      </c>
      <c r="L835" s="26">
        <f>IFERROR(IF(P835=0,0,MAX($L$4:L834)+1),0)</f>
      </c>
      <c r="M835" s="5">
        <f t="shared" si="225"/>
      </c>
      <c r="N835" s="5">
        <f t="shared" si="226"/>
      </c>
      <c r="P835" s="86">
        <f t="shared" si="214"/>
      </c>
      <c r="Q835" s="86">
        <f t="shared" si="215"/>
      </c>
      <c r="R835" s="86">
        <f t="shared" si="216"/>
      </c>
      <c r="S835" s="86">
        <f t="shared" si="217"/>
      </c>
      <c r="T835" s="86">
        <f t="shared" si="227"/>
        <v/>
      </c>
      <c r="U835" s="86">
        <f t="shared" si="228"/>
        <v/>
      </c>
      <c r="V835" s="86">
        <f t="shared" si="229"/>
        <v/>
      </c>
      <c r="W835" s="87">
        <f t="shared" si="218"/>
      </c>
      <c r="X835" s="88"/>
      <c r="Y835" s="88"/>
      <c r="Z835" s="88"/>
      <c r="AA835" s="88"/>
      <c r="AB835" s="88"/>
      <c r="AD835" s="86">
        <f t="shared" si="219"/>
      </c>
      <c r="AE835" s="86">
        <f t="shared" si="220"/>
      </c>
      <c r="AG835" s="86">
        <f t="shared" si="221"/>
      </c>
      <c r="AH835" s="86">
        <f t="shared" si="222"/>
      </c>
      <c r="AI835" s="86">
        <f t="shared" si="223"/>
      </c>
    </row>
    <row r="836" spans="6:35" x14ac:dyDescent="0.3">
      <c r="F836" s="26">
        <f>IF(G836=1,MAX($F$4:F835)+1,"")</f>
        <v/>
      </c>
      <c r="G836" s="26">
        <f>COUNTIF($H$5:H836,H836)</f>
      </c>
      <c r="H836" s="26">
        <f t="shared" si="224"/>
      </c>
      <c r="I836" s="26">
        <f>COUNTIF($J$4:$J836,1)</f>
      </c>
      <c r="J836" s="26">
        <f>COUNTIF($S$5:$S836,S836)</f>
      </c>
      <c r="K836" s="26">
        <f t="shared" si="213"/>
      </c>
      <c r="L836" s="26">
        <f>IFERROR(IF(P836=0,0,MAX($L$4:L835)+1),0)</f>
      </c>
      <c r="M836" s="5">
        <f t="shared" si="225"/>
      </c>
      <c r="N836" s="5">
        <f t="shared" si="226"/>
      </c>
      <c r="P836" s="86">
        <f t="shared" si="214"/>
      </c>
      <c r="Q836" s="86">
        <f t="shared" si="215"/>
      </c>
      <c r="R836" s="86">
        <f t="shared" si="216"/>
      </c>
      <c r="S836" s="86">
        <f t="shared" si="217"/>
      </c>
      <c r="T836" s="86">
        <f t="shared" si="227"/>
        <v/>
      </c>
      <c r="U836" s="86">
        <f t="shared" si="228"/>
        <v/>
      </c>
      <c r="V836" s="86">
        <f t="shared" si="229"/>
        <v/>
      </c>
      <c r="W836" s="87">
        <f t="shared" si="218"/>
      </c>
      <c r="X836" s="88"/>
      <c r="Y836" s="88"/>
      <c r="Z836" s="88"/>
      <c r="AA836" s="88"/>
      <c r="AB836" s="88"/>
      <c r="AD836" s="86">
        <f t="shared" si="219"/>
      </c>
      <c r="AE836" s="86">
        <f t="shared" si="220"/>
      </c>
      <c r="AG836" s="86">
        <f t="shared" si="221"/>
      </c>
      <c r="AH836" s="86">
        <f t="shared" si="222"/>
      </c>
      <c r="AI836" s="86">
        <f t="shared" si="223"/>
      </c>
    </row>
    <row r="837" spans="6:35" x14ac:dyDescent="0.3">
      <c r="F837" s="26">
        <f>IF(G837=1,MAX($F$4:F836)+1,"")</f>
        <v/>
      </c>
      <c r="G837" s="26">
        <f>COUNTIF($H$5:H837,H837)</f>
      </c>
      <c r="H837" s="26">
        <f t="shared" si="224"/>
      </c>
      <c r="I837" s="26">
        <f>COUNTIF($J$4:$J837,1)</f>
      </c>
      <c r="J837" s="26">
        <f>COUNTIF($S$5:$S837,S837)</f>
      </c>
      <c r="K837" s="26">
        <f t="shared" ref="K837:K900" si="230">VLOOKUP(P837,Исходные_данные,19,FALSE)</f>
      </c>
      <c r="L837" s="26">
        <f>IFERROR(IF(P837=0,0,MAX($L$4:L836)+1),0)</f>
      </c>
      <c r="M837" s="5">
        <f t="shared" si="225"/>
      </c>
      <c r="N837" s="5">
        <f t="shared" si="226"/>
      </c>
      <c r="P837" s="86">
        <f t="shared" ref="P837:P900" si="231">VLOOKUP(ROW(833:833),Разбивка_нумерация_5,4,FALSE)</f>
      </c>
      <c r="Q837" s="86">
        <f t="shared" ref="Q837:Q900" si="232">IF(VLOOKUP(ROW(833:833),Разбивка_нумерация_5,3,FALSE)=0,VLOOKUP(ROW(833:833),Разбивка_нумерация_5,2,FALSE),VLOOKUP(ROW(833:833),Разбивка_нумерация_5,3,FALSE))</f>
      </c>
      <c r="R837" s="86">
        <f t="shared" ref="R837:R900" si="233">VLOOKUP(ROW(833:833),Разбивка_нумерация_5,6,FALSE)</f>
      </c>
      <c r="S837" s="86">
        <f t="shared" ref="S837:S900" si="234">VLOOKUP(ROW(833:833),Разбивка_нумерация_5,17,FALSE)</f>
      </c>
      <c r="T837" s="86">
        <f t="shared" si="227"/>
        <v/>
      </c>
      <c r="U837" s="86">
        <f t="shared" si="228"/>
        <v/>
      </c>
      <c r="V837" s="86">
        <f t="shared" si="229"/>
        <v/>
      </c>
      <c r="W837" s="87">
        <f t="shared" ref="W837:W900" si="235">VLOOKUP(P837,Исходные_данные,13,FALSE)</f>
      </c>
      <c r="X837" s="88"/>
      <c r="Y837" s="88"/>
      <c r="Z837" s="88"/>
      <c r="AA837" s="88"/>
      <c r="AB837" s="88"/>
      <c r="AD837" s="86">
        <f t="shared" ref="AD837:AD900" si="236">VLOOKUP(S837,Кабель_диаметр,4,FALSE)</f>
      </c>
      <c r="AE837" s="86">
        <f t="shared" ref="AE837:AE900" si="237">VLOOKUP(S837,Кабель_диаметр,5,FALSE)</f>
      </c>
      <c r="AG837" s="86">
        <f t="shared" ref="AG837:AG900" si="238">IFERROR(VLOOKUP(P837,Исходные_данные,10,FALSE),0)</f>
      </c>
      <c r="AH837" s="86">
        <f t="shared" ref="AH837:AH900" si="239">IFERROR(VLOOKUP(P837,Исходные_данные,11,FALSE),0)</f>
      </c>
      <c r="AI837" s="86">
        <f t="shared" ref="AI837:AI900" si="240">IFERROR(VLOOKUP(P837,Исходные_данные,12,FALSE),0)</f>
      </c>
    </row>
    <row r="838" spans="6:35" x14ac:dyDescent="0.3">
      <c r="F838" s="26">
        <f>IF(G838=1,MAX($F$4:F837)+1,"")</f>
        <v/>
      </c>
      <c r="G838" s="26">
        <f>COUNTIF($H$5:H838,H838)</f>
      </c>
      <c r="H838" s="26">
        <f t="shared" ref="H838:H901" si="241">S838&amp;" "&amp;K838</f>
      </c>
      <c r="I838" s="26">
        <f>COUNTIF($J$4:$J838,1)</f>
      </c>
      <c r="J838" s="26">
        <f>COUNTIF($S$5:$S838,S838)</f>
      </c>
      <c r="K838" s="26">
        <f t="shared" si="230"/>
      </c>
      <c r="L838" s="26">
        <f>IFERROR(IF(P838=0,0,MAX($L$4:L837)+1),0)</f>
      </c>
      <c r="M838" s="5">
        <f t="shared" ref="M838:M901" si="242">LEFT(P838,SEARCH(".",P838)-1)</f>
      </c>
      <c r="N838" s="5">
        <f t="shared" ref="N838:N901" si="243">LEFT(RIGHT(P838,LEN(P838)-LEN(M838)-1),SEARCH(".",P838)-1)</f>
      </c>
      <c r="P838" s="86">
        <f t="shared" si="231"/>
      </c>
      <c r="Q838" s="86">
        <f t="shared" si="232"/>
      </c>
      <c r="R838" s="86">
        <f t="shared" si="233"/>
      </c>
      <c r="S838" s="86">
        <f t="shared" si="234"/>
      </c>
      <c r="T838" s="86">
        <f t="shared" ref="T838:T901" si="244">IF(AG838=0,"","L="&amp;AG838)</f>
        <v/>
      </c>
      <c r="U838" s="86">
        <f t="shared" ref="U838:U901" si="245">IF(AH838=0,"",AD838&amp;" L="&amp;AH838)</f>
        <v/>
      </c>
      <c r="V838" s="86">
        <f t="shared" ref="V838:V901" si="246">IF(AI838=0,"",AE838&amp;" L="&amp;AI838)</f>
        <v/>
      </c>
      <c r="W838" s="87">
        <f t="shared" si="235"/>
      </c>
      <c r="X838" s="88"/>
      <c r="Y838" s="88"/>
      <c r="Z838" s="88"/>
      <c r="AA838" s="88"/>
      <c r="AB838" s="88"/>
      <c r="AD838" s="86">
        <f t="shared" si="236"/>
      </c>
      <c r="AE838" s="86">
        <f t="shared" si="237"/>
      </c>
      <c r="AG838" s="86">
        <f t="shared" si="238"/>
      </c>
      <c r="AH838" s="86">
        <f t="shared" si="239"/>
      </c>
      <c r="AI838" s="86">
        <f t="shared" si="240"/>
      </c>
    </row>
    <row r="839" spans="6:35" x14ac:dyDescent="0.3">
      <c r="F839" s="26">
        <f>IF(G839=1,MAX($F$4:F838)+1,"")</f>
        <v/>
      </c>
      <c r="G839" s="26">
        <f>COUNTIF($H$5:H839,H839)</f>
      </c>
      <c r="H839" s="26">
        <f t="shared" si="241"/>
      </c>
      <c r="I839" s="26">
        <f>COUNTIF($J$4:$J839,1)</f>
      </c>
      <c r="J839" s="26">
        <f>COUNTIF($S$5:$S839,S839)</f>
      </c>
      <c r="K839" s="26">
        <f t="shared" si="230"/>
      </c>
      <c r="L839" s="26">
        <f>IFERROR(IF(P839=0,0,MAX($L$4:L838)+1),0)</f>
      </c>
      <c r="M839" s="5">
        <f t="shared" si="242"/>
      </c>
      <c r="N839" s="5">
        <f t="shared" si="243"/>
      </c>
      <c r="P839" s="86">
        <f t="shared" si="231"/>
      </c>
      <c r="Q839" s="86">
        <f t="shared" si="232"/>
      </c>
      <c r="R839" s="86">
        <f t="shared" si="233"/>
      </c>
      <c r="S839" s="86">
        <f t="shared" si="234"/>
      </c>
      <c r="T839" s="86">
        <f t="shared" si="244"/>
        <v/>
      </c>
      <c r="U839" s="86">
        <f t="shared" si="245"/>
        <v/>
      </c>
      <c r="V839" s="86">
        <f t="shared" si="246"/>
        <v/>
      </c>
      <c r="W839" s="87">
        <f t="shared" si="235"/>
      </c>
      <c r="X839" s="88"/>
      <c r="Y839" s="88"/>
      <c r="Z839" s="88"/>
      <c r="AA839" s="88"/>
      <c r="AB839" s="88"/>
      <c r="AD839" s="86">
        <f t="shared" si="236"/>
      </c>
      <c r="AE839" s="86">
        <f t="shared" si="237"/>
      </c>
      <c r="AG839" s="86">
        <f t="shared" si="238"/>
      </c>
      <c r="AH839" s="86">
        <f t="shared" si="239"/>
      </c>
      <c r="AI839" s="86">
        <f t="shared" si="240"/>
      </c>
    </row>
    <row r="840" spans="6:35" x14ac:dyDescent="0.3">
      <c r="F840" s="26">
        <f>IF(G840=1,MAX($F$4:F839)+1,"")</f>
        <v/>
      </c>
      <c r="G840" s="26">
        <f>COUNTIF($H$5:H840,H840)</f>
      </c>
      <c r="H840" s="26">
        <f t="shared" si="241"/>
      </c>
      <c r="I840" s="26">
        <f>COUNTIF($J$4:$J840,1)</f>
      </c>
      <c r="J840" s="26">
        <f>COUNTIF($S$5:$S840,S840)</f>
      </c>
      <c r="K840" s="26">
        <f t="shared" si="230"/>
      </c>
      <c r="L840" s="26">
        <f>IFERROR(IF(P840=0,0,MAX($L$4:L839)+1),0)</f>
      </c>
      <c r="M840" s="5">
        <f t="shared" si="242"/>
      </c>
      <c r="N840" s="5">
        <f t="shared" si="243"/>
      </c>
      <c r="P840" s="86">
        <f t="shared" si="231"/>
      </c>
      <c r="Q840" s="86">
        <f t="shared" si="232"/>
      </c>
      <c r="R840" s="86">
        <f t="shared" si="233"/>
      </c>
      <c r="S840" s="86">
        <f t="shared" si="234"/>
      </c>
      <c r="T840" s="86">
        <f t="shared" si="244"/>
        <v/>
      </c>
      <c r="U840" s="86">
        <f t="shared" si="245"/>
        <v/>
      </c>
      <c r="V840" s="86">
        <f t="shared" si="246"/>
        <v/>
      </c>
      <c r="W840" s="87">
        <f t="shared" si="235"/>
      </c>
      <c r="X840" s="88"/>
      <c r="Y840" s="88"/>
      <c r="Z840" s="88"/>
      <c r="AA840" s="88"/>
      <c r="AB840" s="88"/>
      <c r="AD840" s="86">
        <f t="shared" si="236"/>
      </c>
      <c r="AE840" s="86">
        <f t="shared" si="237"/>
      </c>
      <c r="AG840" s="86">
        <f t="shared" si="238"/>
      </c>
      <c r="AH840" s="86">
        <f t="shared" si="239"/>
      </c>
      <c r="AI840" s="86">
        <f t="shared" si="240"/>
      </c>
    </row>
    <row r="841" spans="6:35" x14ac:dyDescent="0.3">
      <c r="F841" s="26">
        <f>IF(G841=1,MAX($F$4:F840)+1,"")</f>
        <v/>
      </c>
      <c r="G841" s="26">
        <f>COUNTIF($H$5:H841,H841)</f>
      </c>
      <c r="H841" s="26">
        <f t="shared" si="241"/>
      </c>
      <c r="I841" s="26">
        <f>COUNTIF($J$4:$J841,1)</f>
      </c>
      <c r="J841" s="26">
        <f>COUNTIF($S$5:$S841,S841)</f>
      </c>
      <c r="K841" s="26">
        <f t="shared" si="230"/>
      </c>
      <c r="L841" s="26">
        <f>IFERROR(IF(P841=0,0,MAX($L$4:L840)+1),0)</f>
      </c>
      <c r="M841" s="5">
        <f t="shared" si="242"/>
      </c>
      <c r="N841" s="5">
        <f t="shared" si="243"/>
      </c>
      <c r="P841" s="86">
        <f t="shared" si="231"/>
      </c>
      <c r="Q841" s="86">
        <f t="shared" si="232"/>
      </c>
      <c r="R841" s="86">
        <f t="shared" si="233"/>
      </c>
      <c r="S841" s="86">
        <f t="shared" si="234"/>
      </c>
      <c r="T841" s="86">
        <f t="shared" si="244"/>
        <v/>
      </c>
      <c r="U841" s="86">
        <f t="shared" si="245"/>
        <v/>
      </c>
      <c r="V841" s="86">
        <f t="shared" si="246"/>
        <v/>
      </c>
      <c r="W841" s="87">
        <f t="shared" si="235"/>
      </c>
      <c r="X841" s="88"/>
      <c r="Y841" s="88"/>
      <c r="Z841" s="88"/>
      <c r="AA841" s="88"/>
      <c r="AB841" s="88"/>
      <c r="AD841" s="86">
        <f t="shared" si="236"/>
      </c>
      <c r="AE841" s="86">
        <f t="shared" si="237"/>
      </c>
      <c r="AG841" s="86">
        <f t="shared" si="238"/>
      </c>
      <c r="AH841" s="86">
        <f t="shared" si="239"/>
      </c>
      <c r="AI841" s="86">
        <f t="shared" si="240"/>
      </c>
    </row>
    <row r="842" spans="6:35" x14ac:dyDescent="0.3">
      <c r="F842" s="26">
        <f>IF(G842=1,MAX($F$4:F841)+1,"")</f>
        <v/>
      </c>
      <c r="G842" s="26">
        <f>COUNTIF($H$5:H842,H842)</f>
      </c>
      <c r="H842" s="26">
        <f t="shared" si="241"/>
      </c>
      <c r="I842" s="26">
        <f>COUNTIF($J$4:$J842,1)</f>
      </c>
      <c r="J842" s="26">
        <f>COUNTIF($S$5:$S842,S842)</f>
      </c>
      <c r="K842" s="26">
        <f t="shared" si="230"/>
      </c>
      <c r="L842" s="26">
        <f>IFERROR(IF(P842=0,0,MAX($L$4:L841)+1),0)</f>
      </c>
      <c r="M842" s="5">
        <f t="shared" si="242"/>
      </c>
      <c r="N842" s="5">
        <f t="shared" si="243"/>
      </c>
      <c r="P842" s="86">
        <f t="shared" si="231"/>
      </c>
      <c r="Q842" s="86">
        <f t="shared" si="232"/>
      </c>
      <c r="R842" s="86">
        <f t="shared" si="233"/>
      </c>
      <c r="S842" s="86">
        <f t="shared" si="234"/>
      </c>
      <c r="T842" s="86">
        <f t="shared" si="244"/>
        <v/>
      </c>
      <c r="U842" s="86">
        <f t="shared" si="245"/>
        <v/>
      </c>
      <c r="V842" s="86">
        <f t="shared" si="246"/>
        <v/>
      </c>
      <c r="W842" s="87">
        <f t="shared" si="235"/>
      </c>
      <c r="X842" s="88"/>
      <c r="Y842" s="88"/>
      <c r="Z842" s="88"/>
      <c r="AA842" s="88"/>
      <c r="AB842" s="88"/>
      <c r="AD842" s="86">
        <f t="shared" si="236"/>
      </c>
      <c r="AE842" s="86">
        <f t="shared" si="237"/>
      </c>
      <c r="AG842" s="86">
        <f t="shared" si="238"/>
      </c>
      <c r="AH842" s="86">
        <f t="shared" si="239"/>
      </c>
      <c r="AI842" s="86">
        <f t="shared" si="240"/>
      </c>
    </row>
    <row r="843" spans="6:35" x14ac:dyDescent="0.3">
      <c r="F843" s="26">
        <f>IF(G843=1,MAX($F$4:F842)+1,"")</f>
        <v/>
      </c>
      <c r="G843" s="26">
        <f>COUNTIF($H$5:H843,H843)</f>
      </c>
      <c r="H843" s="26">
        <f t="shared" si="241"/>
      </c>
      <c r="I843" s="26">
        <f>COUNTIF($J$4:$J843,1)</f>
      </c>
      <c r="J843" s="26">
        <f>COUNTIF($S$5:$S843,S843)</f>
      </c>
      <c r="K843" s="26">
        <f t="shared" si="230"/>
      </c>
      <c r="L843" s="26">
        <f>IFERROR(IF(P843=0,0,MAX($L$4:L842)+1),0)</f>
      </c>
      <c r="M843" s="5">
        <f t="shared" si="242"/>
      </c>
      <c r="N843" s="5">
        <f t="shared" si="243"/>
      </c>
      <c r="P843" s="86">
        <f t="shared" si="231"/>
      </c>
      <c r="Q843" s="86">
        <f t="shared" si="232"/>
      </c>
      <c r="R843" s="86">
        <f t="shared" si="233"/>
      </c>
      <c r="S843" s="86">
        <f t="shared" si="234"/>
      </c>
      <c r="T843" s="86">
        <f t="shared" si="244"/>
        <v/>
      </c>
      <c r="U843" s="86">
        <f t="shared" si="245"/>
        <v/>
      </c>
      <c r="V843" s="86">
        <f t="shared" si="246"/>
        <v/>
      </c>
      <c r="W843" s="87">
        <f t="shared" si="235"/>
      </c>
      <c r="X843" s="88"/>
      <c r="Y843" s="88"/>
      <c r="Z843" s="88"/>
      <c r="AA843" s="88"/>
      <c r="AB843" s="88"/>
      <c r="AD843" s="86">
        <f t="shared" si="236"/>
      </c>
      <c r="AE843" s="86">
        <f t="shared" si="237"/>
      </c>
      <c r="AG843" s="86">
        <f t="shared" si="238"/>
      </c>
      <c r="AH843" s="86">
        <f t="shared" si="239"/>
      </c>
      <c r="AI843" s="86">
        <f t="shared" si="240"/>
      </c>
    </row>
    <row r="844" spans="6:35" x14ac:dyDescent="0.3">
      <c r="F844" s="26">
        <f>IF(G844=1,MAX($F$4:F843)+1,"")</f>
        <v/>
      </c>
      <c r="G844" s="26">
        <f>COUNTIF($H$5:H844,H844)</f>
      </c>
      <c r="H844" s="26">
        <f t="shared" si="241"/>
      </c>
      <c r="I844" s="26">
        <f>COUNTIF($J$4:$J844,1)</f>
      </c>
      <c r="J844" s="26">
        <f>COUNTIF($S$5:$S844,S844)</f>
      </c>
      <c r="K844" s="26">
        <f t="shared" si="230"/>
      </c>
      <c r="L844" s="26">
        <f>IFERROR(IF(P844=0,0,MAX($L$4:L843)+1),0)</f>
      </c>
      <c r="M844" s="5">
        <f t="shared" si="242"/>
      </c>
      <c r="N844" s="5">
        <f t="shared" si="243"/>
      </c>
      <c r="P844" s="86">
        <f t="shared" si="231"/>
      </c>
      <c r="Q844" s="86">
        <f t="shared" si="232"/>
      </c>
      <c r="R844" s="86">
        <f t="shared" si="233"/>
      </c>
      <c r="S844" s="86">
        <f t="shared" si="234"/>
      </c>
      <c r="T844" s="86">
        <f t="shared" si="244"/>
        <v/>
      </c>
      <c r="U844" s="86">
        <f t="shared" si="245"/>
        <v/>
      </c>
      <c r="V844" s="86">
        <f t="shared" si="246"/>
        <v/>
      </c>
      <c r="W844" s="87">
        <f t="shared" si="235"/>
      </c>
      <c r="X844" s="88"/>
      <c r="Y844" s="88"/>
      <c r="Z844" s="88"/>
      <c r="AA844" s="88"/>
      <c r="AB844" s="88"/>
      <c r="AD844" s="86">
        <f t="shared" si="236"/>
      </c>
      <c r="AE844" s="86">
        <f t="shared" si="237"/>
      </c>
      <c r="AG844" s="86">
        <f t="shared" si="238"/>
      </c>
      <c r="AH844" s="86">
        <f t="shared" si="239"/>
      </c>
      <c r="AI844" s="86">
        <f t="shared" si="240"/>
      </c>
    </row>
    <row r="845" spans="6:35" x14ac:dyDescent="0.3">
      <c r="F845" s="26">
        <f>IF(G845=1,MAX($F$4:F844)+1,"")</f>
        <v/>
      </c>
      <c r="G845" s="26">
        <f>COUNTIF($H$5:H845,H845)</f>
      </c>
      <c r="H845" s="26">
        <f t="shared" si="241"/>
      </c>
      <c r="I845" s="26">
        <f>COUNTIF($J$4:$J845,1)</f>
      </c>
      <c r="J845" s="26">
        <f>COUNTIF($S$5:$S845,S845)</f>
      </c>
      <c r="K845" s="26">
        <f t="shared" si="230"/>
      </c>
      <c r="L845" s="26">
        <f>IFERROR(IF(P845=0,0,MAX($L$4:L844)+1),0)</f>
      </c>
      <c r="M845" s="5">
        <f t="shared" si="242"/>
      </c>
      <c r="N845" s="5">
        <f t="shared" si="243"/>
      </c>
      <c r="P845" s="86">
        <f t="shared" si="231"/>
      </c>
      <c r="Q845" s="86">
        <f t="shared" si="232"/>
      </c>
      <c r="R845" s="86">
        <f t="shared" si="233"/>
      </c>
      <c r="S845" s="86">
        <f t="shared" si="234"/>
      </c>
      <c r="T845" s="86">
        <f t="shared" si="244"/>
        <v/>
      </c>
      <c r="U845" s="86">
        <f t="shared" si="245"/>
        <v/>
      </c>
      <c r="V845" s="86">
        <f t="shared" si="246"/>
        <v/>
      </c>
      <c r="W845" s="87">
        <f t="shared" si="235"/>
      </c>
      <c r="X845" s="88"/>
      <c r="Y845" s="88"/>
      <c r="Z845" s="88"/>
      <c r="AA845" s="88"/>
      <c r="AB845" s="88"/>
      <c r="AD845" s="86">
        <f t="shared" si="236"/>
      </c>
      <c r="AE845" s="86">
        <f t="shared" si="237"/>
      </c>
      <c r="AG845" s="86">
        <f t="shared" si="238"/>
      </c>
      <c r="AH845" s="86">
        <f t="shared" si="239"/>
      </c>
      <c r="AI845" s="86">
        <f t="shared" si="240"/>
      </c>
    </row>
    <row r="846" spans="6:35" x14ac:dyDescent="0.3">
      <c r="F846" s="26">
        <f>IF(G846=1,MAX($F$4:F845)+1,"")</f>
        <v/>
      </c>
      <c r="G846" s="26">
        <f>COUNTIF($H$5:H846,H846)</f>
      </c>
      <c r="H846" s="26">
        <f t="shared" si="241"/>
      </c>
      <c r="I846" s="26">
        <f>COUNTIF($J$4:$J846,1)</f>
      </c>
      <c r="J846" s="26">
        <f>COUNTIF($S$5:$S846,S846)</f>
      </c>
      <c r="K846" s="26">
        <f t="shared" si="230"/>
      </c>
      <c r="L846" s="26">
        <f>IFERROR(IF(P846=0,0,MAX($L$4:L845)+1),0)</f>
      </c>
      <c r="M846" s="5">
        <f t="shared" si="242"/>
      </c>
      <c r="N846" s="5">
        <f t="shared" si="243"/>
      </c>
      <c r="P846" s="86">
        <f t="shared" si="231"/>
      </c>
      <c r="Q846" s="86">
        <f t="shared" si="232"/>
      </c>
      <c r="R846" s="86">
        <f t="shared" si="233"/>
      </c>
      <c r="S846" s="86">
        <f t="shared" si="234"/>
      </c>
      <c r="T846" s="86">
        <f t="shared" si="244"/>
        <v/>
      </c>
      <c r="U846" s="86">
        <f t="shared" si="245"/>
        <v/>
      </c>
      <c r="V846" s="86">
        <f t="shared" si="246"/>
        <v/>
      </c>
      <c r="W846" s="87">
        <f t="shared" si="235"/>
      </c>
      <c r="X846" s="88"/>
      <c r="Y846" s="88"/>
      <c r="Z846" s="88"/>
      <c r="AA846" s="88"/>
      <c r="AB846" s="88"/>
      <c r="AD846" s="86">
        <f t="shared" si="236"/>
      </c>
      <c r="AE846" s="86">
        <f t="shared" si="237"/>
      </c>
      <c r="AG846" s="86">
        <f t="shared" si="238"/>
      </c>
      <c r="AH846" s="86">
        <f t="shared" si="239"/>
      </c>
      <c r="AI846" s="86">
        <f t="shared" si="240"/>
      </c>
    </row>
    <row r="847" spans="6:35" x14ac:dyDescent="0.3">
      <c r="F847" s="26">
        <f>IF(G847=1,MAX($F$4:F846)+1,"")</f>
        <v/>
      </c>
      <c r="G847" s="26">
        <f>COUNTIF($H$5:H847,H847)</f>
      </c>
      <c r="H847" s="26">
        <f t="shared" si="241"/>
      </c>
      <c r="I847" s="26">
        <f>COUNTIF($J$4:$J847,1)</f>
      </c>
      <c r="J847" s="26">
        <f>COUNTIF($S$5:$S847,S847)</f>
      </c>
      <c r="K847" s="26">
        <f t="shared" si="230"/>
      </c>
      <c r="L847" s="26">
        <f>IFERROR(IF(P847=0,0,MAX($L$4:L846)+1),0)</f>
      </c>
      <c r="M847" s="5">
        <f t="shared" si="242"/>
      </c>
      <c r="N847" s="5">
        <f t="shared" si="243"/>
      </c>
      <c r="P847" s="86">
        <f t="shared" si="231"/>
      </c>
      <c r="Q847" s="86">
        <f t="shared" si="232"/>
      </c>
      <c r="R847" s="86">
        <f t="shared" si="233"/>
      </c>
      <c r="S847" s="86">
        <f t="shared" si="234"/>
      </c>
      <c r="T847" s="86">
        <f t="shared" si="244"/>
        <v/>
      </c>
      <c r="U847" s="86">
        <f t="shared" si="245"/>
        <v/>
      </c>
      <c r="V847" s="86">
        <f t="shared" si="246"/>
        <v/>
      </c>
      <c r="W847" s="87">
        <f t="shared" si="235"/>
      </c>
      <c r="X847" s="88"/>
      <c r="Y847" s="88"/>
      <c r="Z847" s="88"/>
      <c r="AA847" s="88"/>
      <c r="AB847" s="88"/>
      <c r="AD847" s="86">
        <f t="shared" si="236"/>
      </c>
      <c r="AE847" s="86">
        <f t="shared" si="237"/>
      </c>
      <c r="AG847" s="86">
        <f t="shared" si="238"/>
      </c>
      <c r="AH847" s="86">
        <f t="shared" si="239"/>
      </c>
      <c r="AI847" s="86">
        <f t="shared" si="240"/>
      </c>
    </row>
    <row r="848" spans="6:35" x14ac:dyDescent="0.3">
      <c r="F848" s="26">
        <f>IF(G848=1,MAX($F$4:F847)+1,"")</f>
        <v/>
      </c>
      <c r="G848" s="26">
        <f>COUNTIF($H$5:H848,H848)</f>
      </c>
      <c r="H848" s="26">
        <f t="shared" si="241"/>
      </c>
      <c r="I848" s="26">
        <f>COUNTIF($J$4:$J848,1)</f>
      </c>
      <c r="J848" s="26">
        <f>COUNTIF($S$5:$S848,S848)</f>
      </c>
      <c r="K848" s="26">
        <f t="shared" si="230"/>
      </c>
      <c r="L848" s="26">
        <f>IFERROR(IF(P848=0,0,MAX($L$4:L847)+1),0)</f>
      </c>
      <c r="M848" s="5">
        <f t="shared" si="242"/>
      </c>
      <c r="N848" s="5">
        <f t="shared" si="243"/>
      </c>
      <c r="P848" s="86">
        <f t="shared" si="231"/>
      </c>
      <c r="Q848" s="86">
        <f t="shared" si="232"/>
      </c>
      <c r="R848" s="86">
        <f t="shared" si="233"/>
      </c>
      <c r="S848" s="86">
        <f t="shared" si="234"/>
      </c>
      <c r="T848" s="86">
        <f t="shared" si="244"/>
        <v/>
      </c>
      <c r="U848" s="86">
        <f t="shared" si="245"/>
        <v/>
      </c>
      <c r="V848" s="86">
        <f t="shared" si="246"/>
        <v/>
      </c>
      <c r="W848" s="87">
        <f t="shared" si="235"/>
      </c>
      <c r="X848" s="88"/>
      <c r="Y848" s="88"/>
      <c r="Z848" s="88"/>
      <c r="AA848" s="88"/>
      <c r="AB848" s="88"/>
      <c r="AD848" s="86">
        <f t="shared" si="236"/>
      </c>
      <c r="AE848" s="86">
        <f t="shared" si="237"/>
      </c>
      <c r="AG848" s="86">
        <f t="shared" si="238"/>
      </c>
      <c r="AH848" s="86">
        <f t="shared" si="239"/>
      </c>
      <c r="AI848" s="86">
        <f t="shared" si="240"/>
      </c>
    </row>
    <row r="849" spans="6:35" x14ac:dyDescent="0.3">
      <c r="F849" s="26">
        <f>IF(G849=1,MAX($F$4:F848)+1,"")</f>
        <v/>
      </c>
      <c r="G849" s="26">
        <f>COUNTIF($H$5:H849,H849)</f>
      </c>
      <c r="H849" s="26">
        <f t="shared" si="241"/>
      </c>
      <c r="I849" s="26">
        <f>COUNTIF($J$4:$J849,1)</f>
      </c>
      <c r="J849" s="26">
        <f>COUNTIF($S$5:$S849,S849)</f>
      </c>
      <c r="K849" s="26">
        <f t="shared" si="230"/>
      </c>
      <c r="L849" s="26">
        <f>IFERROR(IF(P849=0,0,MAX($L$4:L848)+1),0)</f>
      </c>
      <c r="M849" s="5">
        <f t="shared" si="242"/>
      </c>
      <c r="N849" s="5">
        <f t="shared" si="243"/>
      </c>
      <c r="P849" s="86">
        <f t="shared" si="231"/>
      </c>
      <c r="Q849" s="86">
        <f t="shared" si="232"/>
      </c>
      <c r="R849" s="86">
        <f t="shared" si="233"/>
      </c>
      <c r="S849" s="86">
        <f t="shared" si="234"/>
      </c>
      <c r="T849" s="86">
        <f t="shared" si="244"/>
        <v/>
      </c>
      <c r="U849" s="86">
        <f t="shared" si="245"/>
        <v/>
      </c>
      <c r="V849" s="86">
        <f t="shared" si="246"/>
        <v/>
      </c>
      <c r="W849" s="87">
        <f t="shared" si="235"/>
      </c>
      <c r="X849" s="88"/>
      <c r="Y849" s="88"/>
      <c r="Z849" s="88"/>
      <c r="AA849" s="88"/>
      <c r="AB849" s="88"/>
      <c r="AD849" s="86">
        <f t="shared" si="236"/>
      </c>
      <c r="AE849" s="86">
        <f t="shared" si="237"/>
      </c>
      <c r="AG849" s="86">
        <f t="shared" si="238"/>
      </c>
      <c r="AH849" s="86">
        <f t="shared" si="239"/>
      </c>
      <c r="AI849" s="86">
        <f t="shared" si="240"/>
      </c>
    </row>
    <row r="850" spans="6:35" x14ac:dyDescent="0.3">
      <c r="F850" s="26">
        <f>IF(G850=1,MAX($F$4:F849)+1,"")</f>
        <v/>
      </c>
      <c r="G850" s="26">
        <f>COUNTIF($H$5:H850,H850)</f>
      </c>
      <c r="H850" s="26">
        <f t="shared" si="241"/>
      </c>
      <c r="I850" s="26">
        <f>COUNTIF($J$4:$J850,1)</f>
      </c>
      <c r="J850" s="26">
        <f>COUNTIF($S$5:$S850,S850)</f>
      </c>
      <c r="K850" s="26">
        <f t="shared" si="230"/>
      </c>
      <c r="L850" s="26">
        <f>IFERROR(IF(P850=0,0,MAX($L$4:L849)+1),0)</f>
      </c>
      <c r="M850" s="5">
        <f t="shared" si="242"/>
      </c>
      <c r="N850" s="5">
        <f t="shared" si="243"/>
      </c>
      <c r="P850" s="86">
        <f t="shared" si="231"/>
      </c>
      <c r="Q850" s="86">
        <f t="shared" si="232"/>
      </c>
      <c r="R850" s="86">
        <f t="shared" si="233"/>
      </c>
      <c r="S850" s="86">
        <f t="shared" si="234"/>
      </c>
      <c r="T850" s="86">
        <f t="shared" si="244"/>
        <v/>
      </c>
      <c r="U850" s="86">
        <f t="shared" si="245"/>
        <v/>
      </c>
      <c r="V850" s="86">
        <f t="shared" si="246"/>
        <v/>
      </c>
      <c r="W850" s="87">
        <f t="shared" si="235"/>
      </c>
      <c r="X850" s="88"/>
      <c r="Y850" s="88"/>
      <c r="Z850" s="88"/>
      <c r="AA850" s="88"/>
      <c r="AB850" s="88"/>
      <c r="AD850" s="86">
        <f t="shared" si="236"/>
      </c>
      <c r="AE850" s="86">
        <f t="shared" si="237"/>
      </c>
      <c r="AG850" s="86">
        <f t="shared" si="238"/>
      </c>
      <c r="AH850" s="86">
        <f t="shared" si="239"/>
      </c>
      <c r="AI850" s="86">
        <f t="shared" si="240"/>
      </c>
    </row>
    <row r="851" spans="6:35" x14ac:dyDescent="0.3">
      <c r="F851" s="26">
        <f>IF(G851=1,MAX($F$4:F850)+1,"")</f>
        <v/>
      </c>
      <c r="G851" s="26">
        <f>COUNTIF($H$5:H851,H851)</f>
      </c>
      <c r="H851" s="26">
        <f t="shared" si="241"/>
      </c>
      <c r="I851" s="26">
        <f>COUNTIF($J$4:$J851,1)</f>
      </c>
      <c r="J851" s="26">
        <f>COUNTIF($S$5:$S851,S851)</f>
      </c>
      <c r="K851" s="26">
        <f t="shared" si="230"/>
      </c>
      <c r="L851" s="26">
        <f>IFERROR(IF(P851=0,0,MAX($L$4:L850)+1),0)</f>
      </c>
      <c r="M851" s="5">
        <f t="shared" si="242"/>
      </c>
      <c r="N851" s="5">
        <f t="shared" si="243"/>
      </c>
      <c r="P851" s="86">
        <f t="shared" si="231"/>
      </c>
      <c r="Q851" s="86">
        <f t="shared" si="232"/>
      </c>
      <c r="R851" s="86">
        <f t="shared" si="233"/>
      </c>
      <c r="S851" s="86">
        <f t="shared" si="234"/>
      </c>
      <c r="T851" s="86">
        <f t="shared" si="244"/>
        <v/>
      </c>
      <c r="U851" s="86">
        <f t="shared" si="245"/>
        <v/>
      </c>
      <c r="V851" s="86">
        <f t="shared" si="246"/>
        <v/>
      </c>
      <c r="W851" s="87">
        <f t="shared" si="235"/>
      </c>
      <c r="X851" s="88"/>
      <c r="Y851" s="88"/>
      <c r="Z851" s="88"/>
      <c r="AA851" s="88"/>
      <c r="AB851" s="88"/>
      <c r="AD851" s="86">
        <f t="shared" si="236"/>
      </c>
      <c r="AE851" s="86">
        <f t="shared" si="237"/>
      </c>
      <c r="AG851" s="86">
        <f t="shared" si="238"/>
      </c>
      <c r="AH851" s="86">
        <f t="shared" si="239"/>
      </c>
      <c r="AI851" s="86">
        <f t="shared" si="240"/>
      </c>
    </row>
    <row r="852" spans="6:35" x14ac:dyDescent="0.3">
      <c r="F852" s="26">
        <f>IF(G852=1,MAX($F$4:F851)+1,"")</f>
        <v/>
      </c>
      <c r="G852" s="26">
        <f>COUNTIF($H$5:H852,H852)</f>
      </c>
      <c r="H852" s="26">
        <f t="shared" si="241"/>
      </c>
      <c r="I852" s="26">
        <f>COUNTIF($J$4:$J852,1)</f>
      </c>
      <c r="J852" s="26">
        <f>COUNTIF($S$5:$S852,S852)</f>
      </c>
      <c r="K852" s="26">
        <f t="shared" si="230"/>
      </c>
      <c r="L852" s="26">
        <f>IFERROR(IF(P852=0,0,MAX($L$4:L851)+1),0)</f>
      </c>
      <c r="M852" s="5">
        <f t="shared" si="242"/>
      </c>
      <c r="N852" s="5">
        <f t="shared" si="243"/>
      </c>
      <c r="P852" s="86">
        <f t="shared" si="231"/>
      </c>
      <c r="Q852" s="86">
        <f t="shared" si="232"/>
      </c>
      <c r="R852" s="86">
        <f t="shared" si="233"/>
      </c>
      <c r="S852" s="86">
        <f t="shared" si="234"/>
      </c>
      <c r="T852" s="86">
        <f t="shared" si="244"/>
        <v/>
      </c>
      <c r="U852" s="86">
        <f t="shared" si="245"/>
        <v/>
      </c>
      <c r="V852" s="86">
        <f t="shared" si="246"/>
        <v/>
      </c>
      <c r="W852" s="87">
        <f t="shared" si="235"/>
      </c>
      <c r="X852" s="88"/>
      <c r="Y852" s="88"/>
      <c r="Z852" s="88"/>
      <c r="AA852" s="88"/>
      <c r="AB852" s="88"/>
      <c r="AD852" s="86">
        <f t="shared" si="236"/>
      </c>
      <c r="AE852" s="86">
        <f t="shared" si="237"/>
      </c>
      <c r="AG852" s="86">
        <f t="shared" si="238"/>
      </c>
      <c r="AH852" s="86">
        <f t="shared" si="239"/>
      </c>
      <c r="AI852" s="86">
        <f t="shared" si="240"/>
      </c>
    </row>
    <row r="853" spans="6:35" x14ac:dyDescent="0.3">
      <c r="F853" s="26">
        <f>IF(G853=1,MAX($F$4:F852)+1,"")</f>
        <v/>
      </c>
      <c r="G853" s="26">
        <f>COUNTIF($H$5:H853,H853)</f>
      </c>
      <c r="H853" s="26">
        <f t="shared" si="241"/>
      </c>
      <c r="I853" s="26">
        <f>COUNTIF($J$4:$J853,1)</f>
      </c>
      <c r="J853" s="26">
        <f>COUNTIF($S$5:$S853,S853)</f>
      </c>
      <c r="K853" s="26">
        <f t="shared" si="230"/>
      </c>
      <c r="L853" s="26">
        <f>IFERROR(IF(P853=0,0,MAX($L$4:L852)+1),0)</f>
      </c>
      <c r="M853" s="5">
        <f t="shared" si="242"/>
      </c>
      <c r="N853" s="5">
        <f t="shared" si="243"/>
      </c>
      <c r="P853" s="86">
        <f t="shared" si="231"/>
      </c>
      <c r="Q853" s="86">
        <f t="shared" si="232"/>
      </c>
      <c r="R853" s="86">
        <f t="shared" si="233"/>
      </c>
      <c r="S853" s="86">
        <f t="shared" si="234"/>
      </c>
      <c r="T853" s="86">
        <f t="shared" si="244"/>
        <v/>
      </c>
      <c r="U853" s="86">
        <f t="shared" si="245"/>
        <v/>
      </c>
      <c r="V853" s="86">
        <f t="shared" si="246"/>
        <v/>
      </c>
      <c r="W853" s="87">
        <f t="shared" si="235"/>
      </c>
      <c r="X853" s="88"/>
      <c r="Y853" s="88"/>
      <c r="Z853" s="88"/>
      <c r="AA853" s="88"/>
      <c r="AB853" s="88"/>
      <c r="AD853" s="86">
        <f t="shared" si="236"/>
      </c>
      <c r="AE853" s="86">
        <f t="shared" si="237"/>
      </c>
      <c r="AG853" s="86">
        <f t="shared" si="238"/>
      </c>
      <c r="AH853" s="86">
        <f t="shared" si="239"/>
      </c>
      <c r="AI853" s="86">
        <f t="shared" si="240"/>
      </c>
    </row>
    <row r="854" spans="6:35" x14ac:dyDescent="0.3">
      <c r="F854" s="26">
        <f>IF(G854=1,MAX($F$4:F853)+1,"")</f>
        <v/>
      </c>
      <c r="G854" s="26">
        <f>COUNTIF($H$5:H854,H854)</f>
      </c>
      <c r="H854" s="26">
        <f t="shared" si="241"/>
      </c>
      <c r="I854" s="26">
        <f>COUNTIF($J$4:$J854,1)</f>
      </c>
      <c r="J854" s="26">
        <f>COUNTIF($S$5:$S854,S854)</f>
      </c>
      <c r="K854" s="26">
        <f t="shared" si="230"/>
      </c>
      <c r="L854" s="26">
        <f>IFERROR(IF(P854=0,0,MAX($L$4:L853)+1),0)</f>
      </c>
      <c r="M854" s="5">
        <f t="shared" si="242"/>
      </c>
      <c r="N854" s="5">
        <f t="shared" si="243"/>
      </c>
      <c r="P854" s="86">
        <f t="shared" si="231"/>
      </c>
      <c r="Q854" s="86">
        <f t="shared" si="232"/>
      </c>
      <c r="R854" s="86">
        <f t="shared" si="233"/>
      </c>
      <c r="S854" s="86">
        <f t="shared" si="234"/>
      </c>
      <c r="T854" s="86">
        <f t="shared" si="244"/>
        <v/>
      </c>
      <c r="U854" s="86">
        <f t="shared" si="245"/>
        <v/>
      </c>
      <c r="V854" s="86">
        <f t="shared" si="246"/>
        <v/>
      </c>
      <c r="W854" s="87">
        <f t="shared" si="235"/>
      </c>
      <c r="X854" s="88"/>
      <c r="Y854" s="88"/>
      <c r="Z854" s="88"/>
      <c r="AA854" s="88"/>
      <c r="AB854" s="88"/>
      <c r="AD854" s="86">
        <f t="shared" si="236"/>
      </c>
      <c r="AE854" s="86">
        <f t="shared" si="237"/>
      </c>
      <c r="AG854" s="86">
        <f t="shared" si="238"/>
      </c>
      <c r="AH854" s="86">
        <f t="shared" si="239"/>
      </c>
      <c r="AI854" s="86">
        <f t="shared" si="240"/>
      </c>
    </row>
    <row r="855" spans="6:35" x14ac:dyDescent="0.3">
      <c r="F855" s="26">
        <f>IF(G855=1,MAX($F$4:F854)+1,"")</f>
        <v/>
      </c>
      <c r="G855" s="26">
        <f>COUNTIF($H$5:H855,H855)</f>
      </c>
      <c r="H855" s="26">
        <f t="shared" si="241"/>
      </c>
      <c r="I855" s="26">
        <f>COUNTIF($J$4:$J855,1)</f>
      </c>
      <c r="J855" s="26">
        <f>COUNTIF($S$5:$S855,S855)</f>
      </c>
      <c r="K855" s="26">
        <f t="shared" si="230"/>
      </c>
      <c r="L855" s="26">
        <f>IFERROR(IF(P855=0,0,MAX($L$4:L854)+1),0)</f>
      </c>
      <c r="M855" s="5">
        <f t="shared" si="242"/>
      </c>
      <c r="N855" s="5">
        <f t="shared" si="243"/>
      </c>
      <c r="P855" s="86">
        <f t="shared" si="231"/>
      </c>
      <c r="Q855" s="86">
        <f t="shared" si="232"/>
      </c>
      <c r="R855" s="86">
        <f t="shared" si="233"/>
      </c>
      <c r="S855" s="86">
        <f t="shared" si="234"/>
      </c>
      <c r="T855" s="86">
        <f t="shared" si="244"/>
        <v/>
      </c>
      <c r="U855" s="86">
        <f t="shared" si="245"/>
        <v/>
      </c>
      <c r="V855" s="86">
        <f t="shared" si="246"/>
        <v/>
      </c>
      <c r="W855" s="87">
        <f t="shared" si="235"/>
      </c>
      <c r="X855" s="88"/>
      <c r="Y855" s="88"/>
      <c r="Z855" s="88"/>
      <c r="AA855" s="88"/>
      <c r="AB855" s="88"/>
      <c r="AD855" s="86">
        <f t="shared" si="236"/>
      </c>
      <c r="AE855" s="86">
        <f t="shared" si="237"/>
      </c>
      <c r="AG855" s="86">
        <f t="shared" si="238"/>
      </c>
      <c r="AH855" s="86">
        <f t="shared" si="239"/>
      </c>
      <c r="AI855" s="86">
        <f t="shared" si="240"/>
      </c>
    </row>
    <row r="856" spans="6:35" x14ac:dyDescent="0.3">
      <c r="F856" s="26">
        <f>IF(G856=1,MAX($F$4:F855)+1,"")</f>
        <v/>
      </c>
      <c r="G856" s="26">
        <f>COUNTIF($H$5:H856,H856)</f>
      </c>
      <c r="H856" s="26">
        <f t="shared" si="241"/>
      </c>
      <c r="I856" s="26">
        <f>COUNTIF($J$4:$J856,1)</f>
      </c>
      <c r="J856" s="26">
        <f>COUNTIF($S$5:$S856,S856)</f>
      </c>
      <c r="K856" s="26">
        <f t="shared" si="230"/>
      </c>
      <c r="L856" s="26">
        <f>IFERROR(IF(P856=0,0,MAX($L$4:L855)+1),0)</f>
      </c>
      <c r="M856" s="5">
        <f t="shared" si="242"/>
      </c>
      <c r="N856" s="5">
        <f t="shared" si="243"/>
      </c>
      <c r="P856" s="86">
        <f t="shared" si="231"/>
      </c>
      <c r="Q856" s="86">
        <f t="shared" si="232"/>
      </c>
      <c r="R856" s="86">
        <f t="shared" si="233"/>
      </c>
      <c r="S856" s="86">
        <f t="shared" si="234"/>
      </c>
      <c r="T856" s="86">
        <f t="shared" si="244"/>
        <v/>
      </c>
      <c r="U856" s="86">
        <f t="shared" si="245"/>
        <v/>
      </c>
      <c r="V856" s="86">
        <f t="shared" si="246"/>
        <v/>
      </c>
      <c r="W856" s="87">
        <f t="shared" si="235"/>
      </c>
      <c r="X856" s="88"/>
      <c r="Y856" s="88"/>
      <c r="Z856" s="88"/>
      <c r="AA856" s="88"/>
      <c r="AB856" s="88"/>
      <c r="AD856" s="86">
        <f t="shared" si="236"/>
      </c>
      <c r="AE856" s="86">
        <f t="shared" si="237"/>
      </c>
      <c r="AG856" s="86">
        <f t="shared" si="238"/>
      </c>
      <c r="AH856" s="86">
        <f t="shared" si="239"/>
      </c>
      <c r="AI856" s="86">
        <f t="shared" si="240"/>
      </c>
    </row>
    <row r="857" spans="6:35" x14ac:dyDescent="0.3">
      <c r="F857" s="26">
        <f>IF(G857=1,MAX($F$4:F856)+1,"")</f>
        <v/>
      </c>
      <c r="G857" s="26">
        <f>COUNTIF($H$5:H857,H857)</f>
      </c>
      <c r="H857" s="26">
        <f t="shared" si="241"/>
      </c>
      <c r="I857" s="26">
        <f>COUNTIF($J$4:$J857,1)</f>
      </c>
      <c r="J857" s="26">
        <f>COUNTIF($S$5:$S857,S857)</f>
      </c>
      <c r="K857" s="26">
        <f t="shared" si="230"/>
      </c>
      <c r="L857" s="26">
        <f>IFERROR(IF(P857=0,0,MAX($L$4:L856)+1),0)</f>
      </c>
      <c r="M857" s="5">
        <f t="shared" si="242"/>
      </c>
      <c r="N857" s="5">
        <f t="shared" si="243"/>
      </c>
      <c r="P857" s="86">
        <f t="shared" si="231"/>
      </c>
      <c r="Q857" s="86">
        <f t="shared" si="232"/>
      </c>
      <c r="R857" s="86">
        <f t="shared" si="233"/>
      </c>
      <c r="S857" s="86">
        <f t="shared" si="234"/>
      </c>
      <c r="T857" s="86">
        <f t="shared" si="244"/>
        <v/>
      </c>
      <c r="U857" s="86">
        <f t="shared" si="245"/>
        <v/>
      </c>
      <c r="V857" s="86">
        <f t="shared" si="246"/>
        <v/>
      </c>
      <c r="W857" s="87">
        <f t="shared" si="235"/>
      </c>
      <c r="X857" s="88"/>
      <c r="Y857" s="88"/>
      <c r="Z857" s="88"/>
      <c r="AA857" s="88"/>
      <c r="AB857" s="88"/>
      <c r="AD857" s="86">
        <f t="shared" si="236"/>
      </c>
      <c r="AE857" s="86">
        <f t="shared" si="237"/>
      </c>
      <c r="AG857" s="86">
        <f t="shared" si="238"/>
      </c>
      <c r="AH857" s="86">
        <f t="shared" si="239"/>
      </c>
      <c r="AI857" s="86">
        <f t="shared" si="240"/>
      </c>
    </row>
    <row r="858" spans="6:35" x14ac:dyDescent="0.3">
      <c r="F858" s="26">
        <f>IF(G858=1,MAX($F$4:F857)+1,"")</f>
        <v/>
      </c>
      <c r="G858" s="26">
        <f>COUNTIF($H$5:H858,H858)</f>
      </c>
      <c r="H858" s="26">
        <f t="shared" si="241"/>
      </c>
      <c r="I858" s="26">
        <f>COUNTIF($J$4:$J858,1)</f>
      </c>
      <c r="J858" s="26">
        <f>COUNTIF($S$5:$S858,S858)</f>
      </c>
      <c r="K858" s="26">
        <f t="shared" si="230"/>
      </c>
      <c r="L858" s="26">
        <f>IFERROR(IF(P858=0,0,MAX($L$4:L857)+1),0)</f>
      </c>
      <c r="M858" s="5">
        <f t="shared" si="242"/>
      </c>
      <c r="N858" s="5">
        <f t="shared" si="243"/>
      </c>
      <c r="P858" s="86">
        <f t="shared" si="231"/>
      </c>
      <c r="Q858" s="86">
        <f t="shared" si="232"/>
      </c>
      <c r="R858" s="86">
        <f t="shared" si="233"/>
      </c>
      <c r="S858" s="86">
        <f t="shared" si="234"/>
      </c>
      <c r="T858" s="86">
        <f t="shared" si="244"/>
        <v/>
      </c>
      <c r="U858" s="86">
        <f t="shared" si="245"/>
        <v/>
      </c>
      <c r="V858" s="86">
        <f t="shared" si="246"/>
        <v/>
      </c>
      <c r="W858" s="87">
        <f t="shared" si="235"/>
      </c>
      <c r="X858" s="88"/>
      <c r="Y858" s="88"/>
      <c r="Z858" s="88"/>
      <c r="AA858" s="88"/>
      <c r="AB858" s="88"/>
      <c r="AD858" s="86">
        <f t="shared" si="236"/>
      </c>
      <c r="AE858" s="86">
        <f t="shared" si="237"/>
      </c>
      <c r="AG858" s="86">
        <f t="shared" si="238"/>
      </c>
      <c r="AH858" s="86">
        <f t="shared" si="239"/>
      </c>
      <c r="AI858" s="86">
        <f t="shared" si="240"/>
      </c>
    </row>
    <row r="859" spans="6:35" x14ac:dyDescent="0.3">
      <c r="F859" s="26">
        <f>IF(G859=1,MAX($F$4:F858)+1,"")</f>
        <v/>
      </c>
      <c r="G859" s="26">
        <f>COUNTIF($H$5:H859,H859)</f>
      </c>
      <c r="H859" s="26">
        <f t="shared" si="241"/>
      </c>
      <c r="I859" s="26">
        <f>COUNTIF($J$4:$J859,1)</f>
      </c>
      <c r="J859" s="26">
        <f>COUNTIF($S$5:$S859,S859)</f>
      </c>
      <c r="K859" s="26">
        <f t="shared" si="230"/>
      </c>
      <c r="L859" s="26">
        <f>IFERROR(IF(P859=0,0,MAX($L$4:L858)+1),0)</f>
      </c>
      <c r="M859" s="5">
        <f t="shared" si="242"/>
      </c>
      <c r="N859" s="5">
        <f t="shared" si="243"/>
      </c>
      <c r="P859" s="86">
        <f t="shared" si="231"/>
      </c>
      <c r="Q859" s="86">
        <f t="shared" si="232"/>
      </c>
      <c r="R859" s="86">
        <f t="shared" si="233"/>
      </c>
      <c r="S859" s="86">
        <f t="shared" si="234"/>
      </c>
      <c r="T859" s="86">
        <f t="shared" si="244"/>
        <v/>
      </c>
      <c r="U859" s="86">
        <f t="shared" si="245"/>
        <v/>
      </c>
      <c r="V859" s="86">
        <f t="shared" si="246"/>
        <v/>
      </c>
      <c r="W859" s="87">
        <f t="shared" si="235"/>
      </c>
      <c r="X859" s="88"/>
      <c r="Y859" s="88"/>
      <c r="Z859" s="88"/>
      <c r="AA859" s="88"/>
      <c r="AB859" s="88"/>
      <c r="AD859" s="86">
        <f t="shared" si="236"/>
      </c>
      <c r="AE859" s="86">
        <f t="shared" si="237"/>
      </c>
      <c r="AG859" s="86">
        <f t="shared" si="238"/>
      </c>
      <c r="AH859" s="86">
        <f t="shared" si="239"/>
      </c>
      <c r="AI859" s="86">
        <f t="shared" si="240"/>
      </c>
    </row>
    <row r="860" spans="6:35" x14ac:dyDescent="0.3">
      <c r="F860" s="26">
        <f>IF(G860=1,MAX($F$4:F859)+1,"")</f>
        <v/>
      </c>
      <c r="G860" s="26">
        <f>COUNTIF($H$5:H860,H860)</f>
      </c>
      <c r="H860" s="26">
        <f t="shared" si="241"/>
      </c>
      <c r="I860" s="26">
        <f>COUNTIF($J$4:$J860,1)</f>
      </c>
      <c r="J860" s="26">
        <f>COUNTIF($S$5:$S860,S860)</f>
      </c>
      <c r="K860" s="26">
        <f t="shared" si="230"/>
      </c>
      <c r="L860" s="26">
        <f>IFERROR(IF(P860=0,0,MAX($L$4:L859)+1),0)</f>
      </c>
      <c r="M860" s="5">
        <f t="shared" si="242"/>
      </c>
      <c r="N860" s="5">
        <f t="shared" si="243"/>
      </c>
      <c r="P860" s="86">
        <f t="shared" si="231"/>
      </c>
      <c r="Q860" s="86">
        <f t="shared" si="232"/>
      </c>
      <c r="R860" s="86">
        <f t="shared" si="233"/>
      </c>
      <c r="S860" s="86">
        <f t="shared" si="234"/>
      </c>
      <c r="T860" s="86">
        <f t="shared" si="244"/>
        <v/>
      </c>
      <c r="U860" s="86">
        <f t="shared" si="245"/>
        <v/>
      </c>
      <c r="V860" s="86">
        <f t="shared" si="246"/>
        <v/>
      </c>
      <c r="W860" s="87">
        <f t="shared" si="235"/>
      </c>
      <c r="X860" s="88"/>
      <c r="Y860" s="88"/>
      <c r="Z860" s="88"/>
      <c r="AA860" s="88"/>
      <c r="AB860" s="88"/>
      <c r="AD860" s="86">
        <f t="shared" si="236"/>
      </c>
      <c r="AE860" s="86">
        <f t="shared" si="237"/>
      </c>
      <c r="AG860" s="86">
        <f t="shared" si="238"/>
      </c>
      <c r="AH860" s="86">
        <f t="shared" si="239"/>
      </c>
      <c r="AI860" s="86">
        <f t="shared" si="240"/>
      </c>
    </row>
    <row r="861" spans="6:35" x14ac:dyDescent="0.3">
      <c r="F861" s="26">
        <f>IF(G861=1,MAX($F$4:F860)+1,"")</f>
        <v/>
      </c>
      <c r="G861" s="26">
        <f>COUNTIF($H$5:H861,H861)</f>
      </c>
      <c r="H861" s="26">
        <f t="shared" si="241"/>
      </c>
      <c r="I861" s="26">
        <f>COUNTIF($J$4:$J861,1)</f>
      </c>
      <c r="J861" s="26">
        <f>COUNTIF($S$5:$S861,S861)</f>
      </c>
      <c r="K861" s="26">
        <f t="shared" si="230"/>
      </c>
      <c r="L861" s="26">
        <f>IFERROR(IF(P861=0,0,MAX($L$4:L860)+1),0)</f>
      </c>
      <c r="M861" s="5">
        <f t="shared" si="242"/>
      </c>
      <c r="N861" s="5">
        <f t="shared" si="243"/>
      </c>
      <c r="P861" s="86">
        <f t="shared" si="231"/>
      </c>
      <c r="Q861" s="86">
        <f t="shared" si="232"/>
      </c>
      <c r="R861" s="86">
        <f t="shared" si="233"/>
      </c>
      <c r="S861" s="86">
        <f t="shared" si="234"/>
      </c>
      <c r="T861" s="86">
        <f t="shared" si="244"/>
        <v/>
      </c>
      <c r="U861" s="86">
        <f t="shared" si="245"/>
        <v/>
      </c>
      <c r="V861" s="86">
        <f t="shared" si="246"/>
        <v/>
      </c>
      <c r="W861" s="87">
        <f t="shared" si="235"/>
      </c>
      <c r="X861" s="88"/>
      <c r="Y861" s="88"/>
      <c r="Z861" s="88"/>
      <c r="AA861" s="88"/>
      <c r="AB861" s="88"/>
      <c r="AD861" s="86">
        <f t="shared" si="236"/>
      </c>
      <c r="AE861" s="86">
        <f t="shared" si="237"/>
      </c>
      <c r="AG861" s="86">
        <f t="shared" si="238"/>
      </c>
      <c r="AH861" s="86">
        <f t="shared" si="239"/>
      </c>
      <c r="AI861" s="86">
        <f t="shared" si="240"/>
      </c>
    </row>
    <row r="862" spans="6:35" x14ac:dyDescent="0.3">
      <c r="F862" s="26">
        <f>IF(G862=1,MAX($F$4:F861)+1,"")</f>
        <v/>
      </c>
      <c r="G862" s="26">
        <f>COUNTIF($H$5:H862,H862)</f>
      </c>
      <c r="H862" s="26">
        <f t="shared" si="241"/>
      </c>
      <c r="I862" s="26">
        <f>COUNTIF($J$4:$J862,1)</f>
      </c>
      <c r="J862" s="26">
        <f>COUNTIF($S$5:$S862,S862)</f>
      </c>
      <c r="K862" s="26">
        <f t="shared" si="230"/>
      </c>
      <c r="L862" s="26">
        <f>IFERROR(IF(P862=0,0,MAX($L$4:L861)+1),0)</f>
      </c>
      <c r="M862" s="5">
        <f t="shared" si="242"/>
      </c>
      <c r="N862" s="5">
        <f t="shared" si="243"/>
      </c>
      <c r="P862" s="86">
        <f t="shared" si="231"/>
      </c>
      <c r="Q862" s="86">
        <f t="shared" si="232"/>
      </c>
      <c r="R862" s="86">
        <f t="shared" si="233"/>
      </c>
      <c r="S862" s="86">
        <f t="shared" si="234"/>
      </c>
      <c r="T862" s="86">
        <f t="shared" si="244"/>
        <v/>
      </c>
      <c r="U862" s="86">
        <f t="shared" si="245"/>
        <v/>
      </c>
      <c r="V862" s="86">
        <f t="shared" si="246"/>
        <v/>
      </c>
      <c r="W862" s="87">
        <f t="shared" si="235"/>
      </c>
      <c r="X862" s="88"/>
      <c r="Y862" s="88"/>
      <c r="Z862" s="88"/>
      <c r="AA862" s="88"/>
      <c r="AB862" s="88"/>
      <c r="AD862" s="86">
        <f t="shared" si="236"/>
      </c>
      <c r="AE862" s="86">
        <f t="shared" si="237"/>
      </c>
      <c r="AG862" s="86">
        <f t="shared" si="238"/>
      </c>
      <c r="AH862" s="86">
        <f t="shared" si="239"/>
      </c>
      <c r="AI862" s="86">
        <f t="shared" si="240"/>
      </c>
    </row>
    <row r="863" spans="6:35" x14ac:dyDescent="0.3">
      <c r="F863" s="26">
        <f>IF(G863=1,MAX($F$4:F862)+1,"")</f>
        <v/>
      </c>
      <c r="G863" s="26">
        <f>COUNTIF($H$5:H863,H863)</f>
      </c>
      <c r="H863" s="26">
        <f t="shared" si="241"/>
      </c>
      <c r="I863" s="26">
        <f>COUNTIF($J$4:$J863,1)</f>
      </c>
      <c r="J863" s="26">
        <f>COUNTIF($S$5:$S863,S863)</f>
      </c>
      <c r="K863" s="26">
        <f t="shared" si="230"/>
      </c>
      <c r="L863" s="26">
        <f>IFERROR(IF(P863=0,0,MAX($L$4:L862)+1),0)</f>
      </c>
      <c r="M863" s="5">
        <f t="shared" si="242"/>
      </c>
      <c r="N863" s="5">
        <f t="shared" si="243"/>
      </c>
      <c r="P863" s="86">
        <f t="shared" si="231"/>
      </c>
      <c r="Q863" s="86">
        <f t="shared" si="232"/>
      </c>
      <c r="R863" s="86">
        <f t="shared" si="233"/>
      </c>
      <c r="S863" s="86">
        <f t="shared" si="234"/>
      </c>
      <c r="T863" s="86">
        <f t="shared" si="244"/>
        <v/>
      </c>
      <c r="U863" s="86">
        <f t="shared" si="245"/>
        <v/>
      </c>
      <c r="V863" s="86">
        <f t="shared" si="246"/>
        <v/>
      </c>
      <c r="W863" s="87">
        <f t="shared" si="235"/>
      </c>
      <c r="X863" s="88"/>
      <c r="Y863" s="88"/>
      <c r="Z863" s="88"/>
      <c r="AA863" s="88"/>
      <c r="AB863" s="88"/>
      <c r="AD863" s="86">
        <f t="shared" si="236"/>
      </c>
      <c r="AE863" s="86">
        <f t="shared" si="237"/>
      </c>
      <c r="AG863" s="86">
        <f t="shared" si="238"/>
      </c>
      <c r="AH863" s="86">
        <f t="shared" si="239"/>
      </c>
      <c r="AI863" s="86">
        <f t="shared" si="240"/>
      </c>
    </row>
    <row r="864" spans="6:35" x14ac:dyDescent="0.3">
      <c r="F864" s="26">
        <f>IF(G864=1,MAX($F$4:F863)+1,"")</f>
        <v/>
      </c>
      <c r="G864" s="26">
        <f>COUNTIF($H$5:H864,H864)</f>
      </c>
      <c r="H864" s="26">
        <f t="shared" si="241"/>
      </c>
      <c r="I864" s="26">
        <f>COUNTIF($J$4:$J864,1)</f>
      </c>
      <c r="J864" s="26">
        <f>COUNTIF($S$5:$S864,S864)</f>
      </c>
      <c r="K864" s="26">
        <f t="shared" si="230"/>
      </c>
      <c r="L864" s="26">
        <f>IFERROR(IF(P864=0,0,MAX($L$4:L863)+1),0)</f>
      </c>
      <c r="M864" s="5">
        <f t="shared" si="242"/>
      </c>
      <c r="N864" s="5">
        <f t="shared" si="243"/>
      </c>
      <c r="P864" s="86">
        <f t="shared" si="231"/>
      </c>
      <c r="Q864" s="86">
        <f t="shared" si="232"/>
      </c>
      <c r="R864" s="86">
        <f t="shared" si="233"/>
      </c>
      <c r="S864" s="86">
        <f t="shared" si="234"/>
      </c>
      <c r="T864" s="86">
        <f t="shared" si="244"/>
        <v/>
      </c>
      <c r="U864" s="86">
        <f t="shared" si="245"/>
        <v/>
      </c>
      <c r="V864" s="86">
        <f t="shared" si="246"/>
        <v/>
      </c>
      <c r="W864" s="87">
        <f t="shared" si="235"/>
      </c>
      <c r="X864" s="88"/>
      <c r="Y864" s="88"/>
      <c r="Z864" s="88"/>
      <c r="AA864" s="88"/>
      <c r="AB864" s="88"/>
      <c r="AD864" s="86">
        <f t="shared" si="236"/>
      </c>
      <c r="AE864" s="86">
        <f t="shared" si="237"/>
      </c>
      <c r="AG864" s="86">
        <f t="shared" si="238"/>
      </c>
      <c r="AH864" s="86">
        <f t="shared" si="239"/>
      </c>
      <c r="AI864" s="86">
        <f t="shared" si="240"/>
      </c>
    </row>
    <row r="865" spans="6:35" x14ac:dyDescent="0.3">
      <c r="F865" s="26">
        <f>IF(G865=1,MAX($F$4:F864)+1,"")</f>
        <v/>
      </c>
      <c r="G865" s="26">
        <f>COUNTIF($H$5:H865,H865)</f>
      </c>
      <c r="H865" s="26">
        <f t="shared" si="241"/>
      </c>
      <c r="I865" s="26">
        <f>COUNTIF($J$4:$J865,1)</f>
      </c>
      <c r="J865" s="26">
        <f>COUNTIF($S$5:$S865,S865)</f>
      </c>
      <c r="K865" s="26">
        <f t="shared" si="230"/>
      </c>
      <c r="L865" s="26">
        <f>IFERROR(IF(P865=0,0,MAX($L$4:L864)+1),0)</f>
      </c>
      <c r="M865" s="5">
        <f t="shared" si="242"/>
      </c>
      <c r="N865" s="5">
        <f t="shared" si="243"/>
      </c>
      <c r="P865" s="86">
        <f t="shared" si="231"/>
      </c>
      <c r="Q865" s="86">
        <f t="shared" si="232"/>
      </c>
      <c r="R865" s="86">
        <f t="shared" si="233"/>
      </c>
      <c r="S865" s="86">
        <f t="shared" si="234"/>
      </c>
      <c r="T865" s="86">
        <f t="shared" si="244"/>
        <v/>
      </c>
      <c r="U865" s="86">
        <f t="shared" si="245"/>
        <v/>
      </c>
      <c r="V865" s="86">
        <f t="shared" si="246"/>
        <v/>
      </c>
      <c r="W865" s="87">
        <f t="shared" si="235"/>
      </c>
      <c r="X865" s="88"/>
      <c r="Y865" s="88"/>
      <c r="Z865" s="88"/>
      <c r="AA865" s="88"/>
      <c r="AB865" s="88"/>
      <c r="AD865" s="86">
        <f t="shared" si="236"/>
      </c>
      <c r="AE865" s="86">
        <f t="shared" si="237"/>
      </c>
      <c r="AG865" s="86">
        <f t="shared" si="238"/>
      </c>
      <c r="AH865" s="86">
        <f t="shared" si="239"/>
      </c>
      <c r="AI865" s="86">
        <f t="shared" si="240"/>
      </c>
    </row>
    <row r="866" spans="6:35" x14ac:dyDescent="0.3">
      <c r="F866" s="26">
        <f>IF(G866=1,MAX($F$4:F865)+1,"")</f>
        <v/>
      </c>
      <c r="G866" s="26">
        <f>COUNTIF($H$5:H866,H866)</f>
      </c>
      <c r="H866" s="26">
        <f t="shared" si="241"/>
      </c>
      <c r="I866" s="26">
        <f>COUNTIF($J$4:$J866,1)</f>
      </c>
      <c r="J866" s="26">
        <f>COUNTIF($S$5:$S866,S866)</f>
      </c>
      <c r="K866" s="26">
        <f t="shared" si="230"/>
      </c>
      <c r="L866" s="26">
        <f>IFERROR(IF(P866=0,0,MAX($L$4:L865)+1),0)</f>
      </c>
      <c r="M866" s="5">
        <f t="shared" si="242"/>
      </c>
      <c r="N866" s="5">
        <f t="shared" si="243"/>
      </c>
      <c r="P866" s="86">
        <f t="shared" si="231"/>
      </c>
      <c r="Q866" s="86">
        <f t="shared" si="232"/>
      </c>
      <c r="R866" s="86">
        <f t="shared" si="233"/>
      </c>
      <c r="S866" s="86">
        <f t="shared" si="234"/>
      </c>
      <c r="T866" s="86">
        <f t="shared" si="244"/>
        <v/>
      </c>
      <c r="U866" s="86">
        <f t="shared" si="245"/>
        <v/>
      </c>
      <c r="V866" s="86">
        <f t="shared" si="246"/>
        <v/>
      </c>
      <c r="W866" s="87">
        <f t="shared" si="235"/>
      </c>
      <c r="X866" s="88"/>
      <c r="Y866" s="88"/>
      <c r="Z866" s="88"/>
      <c r="AA866" s="88"/>
      <c r="AB866" s="88"/>
      <c r="AD866" s="86">
        <f t="shared" si="236"/>
      </c>
      <c r="AE866" s="86">
        <f t="shared" si="237"/>
      </c>
      <c r="AG866" s="86">
        <f t="shared" si="238"/>
      </c>
      <c r="AH866" s="86">
        <f t="shared" si="239"/>
      </c>
      <c r="AI866" s="86">
        <f t="shared" si="240"/>
      </c>
    </row>
    <row r="867" spans="6:35" x14ac:dyDescent="0.3">
      <c r="F867" s="26">
        <f>IF(G867=1,MAX($F$4:F866)+1,"")</f>
        <v/>
      </c>
      <c r="G867" s="26">
        <f>COUNTIF($H$5:H867,H867)</f>
      </c>
      <c r="H867" s="26">
        <f t="shared" si="241"/>
      </c>
      <c r="I867" s="26">
        <f>COUNTIF($J$4:$J867,1)</f>
      </c>
      <c r="J867" s="26">
        <f>COUNTIF($S$5:$S867,S867)</f>
      </c>
      <c r="K867" s="26">
        <f t="shared" si="230"/>
      </c>
      <c r="L867" s="26">
        <f>IFERROR(IF(P867=0,0,MAX($L$4:L866)+1),0)</f>
      </c>
      <c r="M867" s="5">
        <f t="shared" si="242"/>
      </c>
      <c r="N867" s="5">
        <f t="shared" si="243"/>
      </c>
      <c r="P867" s="86">
        <f t="shared" si="231"/>
      </c>
      <c r="Q867" s="86">
        <f t="shared" si="232"/>
      </c>
      <c r="R867" s="86">
        <f t="shared" si="233"/>
      </c>
      <c r="S867" s="86">
        <f t="shared" si="234"/>
      </c>
      <c r="T867" s="86">
        <f t="shared" si="244"/>
        <v/>
      </c>
      <c r="U867" s="86">
        <f t="shared" si="245"/>
        <v/>
      </c>
      <c r="V867" s="86">
        <f t="shared" si="246"/>
        <v/>
      </c>
      <c r="W867" s="87">
        <f t="shared" si="235"/>
      </c>
      <c r="X867" s="88"/>
      <c r="Y867" s="88"/>
      <c r="Z867" s="88"/>
      <c r="AA867" s="88"/>
      <c r="AB867" s="88"/>
      <c r="AD867" s="86">
        <f t="shared" si="236"/>
      </c>
      <c r="AE867" s="86">
        <f t="shared" si="237"/>
      </c>
      <c r="AG867" s="86">
        <f t="shared" si="238"/>
      </c>
      <c r="AH867" s="86">
        <f t="shared" si="239"/>
      </c>
      <c r="AI867" s="86">
        <f t="shared" si="240"/>
      </c>
    </row>
    <row r="868" spans="6:35" x14ac:dyDescent="0.3">
      <c r="F868" s="26">
        <f>IF(G868=1,MAX($F$4:F867)+1,"")</f>
        <v/>
      </c>
      <c r="G868" s="26">
        <f>COUNTIF($H$5:H868,H868)</f>
      </c>
      <c r="H868" s="26">
        <f t="shared" si="241"/>
      </c>
      <c r="I868" s="26">
        <f>COUNTIF($J$4:$J868,1)</f>
      </c>
      <c r="J868" s="26">
        <f>COUNTIF($S$5:$S868,S868)</f>
      </c>
      <c r="K868" s="26">
        <f t="shared" si="230"/>
      </c>
      <c r="L868" s="26">
        <f>IFERROR(IF(P868=0,0,MAX($L$4:L867)+1),0)</f>
      </c>
      <c r="M868" s="5">
        <f t="shared" si="242"/>
      </c>
      <c r="N868" s="5">
        <f t="shared" si="243"/>
      </c>
      <c r="P868" s="86">
        <f t="shared" si="231"/>
      </c>
      <c r="Q868" s="86">
        <f t="shared" si="232"/>
      </c>
      <c r="R868" s="86">
        <f t="shared" si="233"/>
      </c>
      <c r="S868" s="86">
        <f t="shared" si="234"/>
      </c>
      <c r="T868" s="86">
        <f t="shared" si="244"/>
        <v/>
      </c>
      <c r="U868" s="86">
        <f t="shared" si="245"/>
        <v/>
      </c>
      <c r="V868" s="86">
        <f t="shared" si="246"/>
        <v/>
      </c>
      <c r="W868" s="87">
        <f t="shared" si="235"/>
      </c>
      <c r="X868" s="88"/>
      <c r="Y868" s="88"/>
      <c r="Z868" s="88"/>
      <c r="AA868" s="88"/>
      <c r="AB868" s="88"/>
      <c r="AD868" s="86">
        <f t="shared" si="236"/>
      </c>
      <c r="AE868" s="86">
        <f t="shared" si="237"/>
      </c>
      <c r="AG868" s="86">
        <f t="shared" si="238"/>
      </c>
      <c r="AH868" s="86">
        <f t="shared" si="239"/>
      </c>
      <c r="AI868" s="86">
        <f t="shared" si="240"/>
      </c>
    </row>
    <row r="869" spans="6:35" x14ac:dyDescent="0.3">
      <c r="F869" s="26">
        <f>IF(G869=1,MAX($F$4:F868)+1,"")</f>
        <v/>
      </c>
      <c r="G869" s="26">
        <f>COUNTIF($H$5:H869,H869)</f>
      </c>
      <c r="H869" s="26">
        <f t="shared" si="241"/>
      </c>
      <c r="I869" s="26">
        <f>COUNTIF($J$4:$J869,1)</f>
      </c>
      <c r="J869" s="26">
        <f>COUNTIF($S$5:$S869,S869)</f>
      </c>
      <c r="K869" s="26">
        <f t="shared" si="230"/>
      </c>
      <c r="L869" s="26">
        <f>IFERROR(IF(P869=0,0,MAX($L$4:L868)+1),0)</f>
      </c>
      <c r="M869" s="5">
        <f t="shared" si="242"/>
      </c>
      <c r="N869" s="5">
        <f t="shared" si="243"/>
      </c>
      <c r="P869" s="86">
        <f t="shared" si="231"/>
      </c>
      <c r="Q869" s="86">
        <f t="shared" si="232"/>
      </c>
      <c r="R869" s="86">
        <f t="shared" si="233"/>
      </c>
      <c r="S869" s="86">
        <f t="shared" si="234"/>
      </c>
      <c r="T869" s="86">
        <f t="shared" si="244"/>
        <v/>
      </c>
      <c r="U869" s="86">
        <f t="shared" si="245"/>
        <v/>
      </c>
      <c r="V869" s="86">
        <f t="shared" si="246"/>
        <v/>
      </c>
      <c r="W869" s="87">
        <f t="shared" si="235"/>
      </c>
      <c r="X869" s="88"/>
      <c r="Y869" s="88"/>
      <c r="Z869" s="88"/>
      <c r="AA869" s="88"/>
      <c r="AB869" s="88"/>
      <c r="AD869" s="86">
        <f t="shared" si="236"/>
      </c>
      <c r="AE869" s="86">
        <f t="shared" si="237"/>
      </c>
      <c r="AG869" s="86">
        <f t="shared" si="238"/>
      </c>
      <c r="AH869" s="86">
        <f t="shared" si="239"/>
      </c>
      <c r="AI869" s="86">
        <f t="shared" si="240"/>
      </c>
    </row>
    <row r="870" spans="6:35" x14ac:dyDescent="0.3">
      <c r="F870" s="26">
        <f>IF(G870=1,MAX($F$4:F869)+1,"")</f>
        <v/>
      </c>
      <c r="G870" s="26">
        <f>COUNTIF($H$5:H870,H870)</f>
      </c>
      <c r="H870" s="26">
        <f t="shared" si="241"/>
      </c>
      <c r="I870" s="26">
        <f>COUNTIF($J$4:$J870,1)</f>
      </c>
      <c r="J870" s="26">
        <f>COUNTIF($S$5:$S870,S870)</f>
      </c>
      <c r="K870" s="26">
        <f t="shared" si="230"/>
      </c>
      <c r="L870" s="26">
        <f>IFERROR(IF(P870=0,0,MAX($L$4:L869)+1),0)</f>
      </c>
      <c r="M870" s="5">
        <f t="shared" si="242"/>
      </c>
      <c r="N870" s="5">
        <f t="shared" si="243"/>
      </c>
      <c r="P870" s="86">
        <f t="shared" si="231"/>
      </c>
      <c r="Q870" s="86">
        <f t="shared" si="232"/>
      </c>
      <c r="R870" s="86">
        <f t="shared" si="233"/>
      </c>
      <c r="S870" s="86">
        <f t="shared" si="234"/>
      </c>
      <c r="T870" s="86">
        <f t="shared" si="244"/>
        <v/>
      </c>
      <c r="U870" s="86">
        <f t="shared" si="245"/>
        <v/>
      </c>
      <c r="V870" s="86">
        <f t="shared" si="246"/>
        <v/>
      </c>
      <c r="W870" s="87">
        <f t="shared" si="235"/>
      </c>
      <c r="X870" s="88"/>
      <c r="Y870" s="88"/>
      <c r="Z870" s="88"/>
      <c r="AA870" s="88"/>
      <c r="AB870" s="88"/>
      <c r="AD870" s="86">
        <f t="shared" si="236"/>
      </c>
      <c r="AE870" s="86">
        <f t="shared" si="237"/>
      </c>
      <c r="AG870" s="86">
        <f t="shared" si="238"/>
      </c>
      <c r="AH870" s="86">
        <f t="shared" si="239"/>
      </c>
      <c r="AI870" s="86">
        <f t="shared" si="240"/>
      </c>
    </row>
    <row r="871" spans="6:35" x14ac:dyDescent="0.3">
      <c r="F871" s="26">
        <f>IF(G871=1,MAX($F$4:F870)+1,"")</f>
        <v/>
      </c>
      <c r="G871" s="26">
        <f>COUNTIF($H$5:H871,H871)</f>
      </c>
      <c r="H871" s="26">
        <f t="shared" si="241"/>
      </c>
      <c r="I871" s="26">
        <f>COUNTIF($J$4:$J871,1)</f>
      </c>
      <c r="J871" s="26">
        <f>COUNTIF($S$5:$S871,S871)</f>
      </c>
      <c r="K871" s="26">
        <f t="shared" si="230"/>
      </c>
      <c r="L871" s="26">
        <f>IFERROR(IF(P871=0,0,MAX($L$4:L870)+1),0)</f>
      </c>
      <c r="M871" s="5">
        <f t="shared" si="242"/>
      </c>
      <c r="N871" s="5">
        <f t="shared" si="243"/>
      </c>
      <c r="P871" s="86">
        <f t="shared" si="231"/>
      </c>
      <c r="Q871" s="86">
        <f t="shared" si="232"/>
      </c>
      <c r="R871" s="86">
        <f t="shared" si="233"/>
      </c>
      <c r="S871" s="86">
        <f t="shared" si="234"/>
      </c>
      <c r="T871" s="86">
        <f t="shared" si="244"/>
        <v/>
      </c>
      <c r="U871" s="86">
        <f t="shared" si="245"/>
        <v/>
      </c>
      <c r="V871" s="86">
        <f t="shared" si="246"/>
        <v/>
      </c>
      <c r="W871" s="87">
        <f t="shared" si="235"/>
      </c>
      <c r="X871" s="88"/>
      <c r="Y871" s="88"/>
      <c r="Z871" s="88"/>
      <c r="AA871" s="88"/>
      <c r="AB871" s="88"/>
      <c r="AD871" s="86">
        <f t="shared" si="236"/>
      </c>
      <c r="AE871" s="86">
        <f t="shared" si="237"/>
      </c>
      <c r="AG871" s="86">
        <f t="shared" si="238"/>
      </c>
      <c r="AH871" s="86">
        <f t="shared" si="239"/>
      </c>
      <c r="AI871" s="86">
        <f t="shared" si="240"/>
      </c>
    </row>
    <row r="872" spans="6:35" x14ac:dyDescent="0.3">
      <c r="F872" s="26">
        <f>IF(G872=1,MAX($F$4:F871)+1,"")</f>
        <v/>
      </c>
      <c r="G872" s="26">
        <f>COUNTIF($H$5:H872,H872)</f>
      </c>
      <c r="H872" s="26">
        <f t="shared" si="241"/>
      </c>
      <c r="I872" s="26">
        <f>COUNTIF($J$4:$J872,1)</f>
      </c>
      <c r="J872" s="26">
        <f>COUNTIF($S$5:$S872,S872)</f>
      </c>
      <c r="K872" s="26">
        <f t="shared" si="230"/>
      </c>
      <c r="L872" s="26">
        <f>IFERROR(IF(P872=0,0,MAX($L$4:L871)+1),0)</f>
      </c>
      <c r="M872" s="5">
        <f t="shared" si="242"/>
      </c>
      <c r="N872" s="5">
        <f t="shared" si="243"/>
      </c>
      <c r="P872" s="86">
        <f t="shared" si="231"/>
      </c>
      <c r="Q872" s="86">
        <f t="shared" si="232"/>
      </c>
      <c r="R872" s="86">
        <f t="shared" si="233"/>
      </c>
      <c r="S872" s="86">
        <f t="shared" si="234"/>
      </c>
      <c r="T872" s="86">
        <f t="shared" si="244"/>
        <v/>
      </c>
      <c r="U872" s="86">
        <f t="shared" si="245"/>
        <v/>
      </c>
      <c r="V872" s="86">
        <f t="shared" si="246"/>
        <v/>
      </c>
      <c r="W872" s="87">
        <f t="shared" si="235"/>
      </c>
      <c r="X872" s="88"/>
      <c r="Y872" s="88"/>
      <c r="Z872" s="88"/>
      <c r="AA872" s="88"/>
      <c r="AB872" s="88"/>
      <c r="AD872" s="86">
        <f t="shared" si="236"/>
      </c>
      <c r="AE872" s="86">
        <f t="shared" si="237"/>
      </c>
      <c r="AG872" s="86">
        <f t="shared" si="238"/>
      </c>
      <c r="AH872" s="86">
        <f t="shared" si="239"/>
      </c>
      <c r="AI872" s="86">
        <f t="shared" si="240"/>
      </c>
    </row>
    <row r="873" spans="6:35" x14ac:dyDescent="0.3">
      <c r="F873" s="26">
        <f>IF(G873=1,MAX($F$4:F872)+1,"")</f>
        <v/>
      </c>
      <c r="G873" s="26">
        <f>COUNTIF($H$5:H873,H873)</f>
      </c>
      <c r="H873" s="26">
        <f t="shared" si="241"/>
      </c>
      <c r="I873" s="26">
        <f>COUNTIF($J$4:$J873,1)</f>
      </c>
      <c r="J873" s="26">
        <f>COUNTIF($S$5:$S873,S873)</f>
      </c>
      <c r="K873" s="26">
        <f t="shared" si="230"/>
      </c>
      <c r="L873" s="26">
        <f>IFERROR(IF(P873=0,0,MAX($L$4:L872)+1),0)</f>
      </c>
      <c r="M873" s="5">
        <f t="shared" si="242"/>
      </c>
      <c r="N873" s="5">
        <f t="shared" si="243"/>
      </c>
      <c r="P873" s="86">
        <f t="shared" si="231"/>
      </c>
      <c r="Q873" s="86">
        <f t="shared" si="232"/>
      </c>
      <c r="R873" s="86">
        <f t="shared" si="233"/>
      </c>
      <c r="S873" s="86">
        <f t="shared" si="234"/>
      </c>
      <c r="T873" s="86">
        <f t="shared" si="244"/>
        <v/>
      </c>
      <c r="U873" s="86">
        <f t="shared" si="245"/>
        <v/>
      </c>
      <c r="V873" s="86">
        <f t="shared" si="246"/>
        <v/>
      </c>
      <c r="W873" s="87">
        <f t="shared" si="235"/>
      </c>
      <c r="X873" s="88"/>
      <c r="Y873" s="88"/>
      <c r="Z873" s="88"/>
      <c r="AA873" s="88"/>
      <c r="AB873" s="88"/>
      <c r="AD873" s="86">
        <f t="shared" si="236"/>
      </c>
      <c r="AE873" s="86">
        <f t="shared" si="237"/>
      </c>
      <c r="AG873" s="86">
        <f t="shared" si="238"/>
      </c>
      <c r="AH873" s="86">
        <f t="shared" si="239"/>
      </c>
      <c r="AI873" s="86">
        <f t="shared" si="240"/>
      </c>
    </row>
    <row r="874" spans="6:35" x14ac:dyDescent="0.3">
      <c r="F874" s="26">
        <f>IF(G874=1,MAX($F$4:F873)+1,"")</f>
        <v/>
      </c>
      <c r="G874" s="26">
        <f>COUNTIF($H$5:H874,H874)</f>
      </c>
      <c r="H874" s="26">
        <f t="shared" si="241"/>
      </c>
      <c r="I874" s="26">
        <f>COUNTIF($J$4:$J874,1)</f>
      </c>
      <c r="J874" s="26">
        <f>COUNTIF($S$5:$S874,S874)</f>
      </c>
      <c r="K874" s="26">
        <f t="shared" si="230"/>
      </c>
      <c r="L874" s="26">
        <f>IFERROR(IF(P874=0,0,MAX($L$4:L873)+1),0)</f>
      </c>
      <c r="M874" s="5">
        <f t="shared" si="242"/>
      </c>
      <c r="N874" s="5">
        <f t="shared" si="243"/>
      </c>
      <c r="P874" s="86">
        <f t="shared" si="231"/>
      </c>
      <c r="Q874" s="86">
        <f t="shared" si="232"/>
      </c>
      <c r="R874" s="86">
        <f t="shared" si="233"/>
      </c>
      <c r="S874" s="86">
        <f t="shared" si="234"/>
      </c>
      <c r="T874" s="86">
        <f t="shared" si="244"/>
        <v/>
      </c>
      <c r="U874" s="86">
        <f t="shared" si="245"/>
        <v/>
      </c>
      <c r="V874" s="86">
        <f t="shared" si="246"/>
        <v/>
      </c>
      <c r="W874" s="87">
        <f t="shared" si="235"/>
      </c>
      <c r="X874" s="88"/>
      <c r="Y874" s="88"/>
      <c r="Z874" s="88"/>
      <c r="AA874" s="88"/>
      <c r="AB874" s="88"/>
      <c r="AD874" s="86">
        <f t="shared" si="236"/>
      </c>
      <c r="AE874" s="86">
        <f t="shared" si="237"/>
      </c>
      <c r="AG874" s="86">
        <f t="shared" si="238"/>
      </c>
      <c r="AH874" s="86">
        <f t="shared" si="239"/>
      </c>
      <c r="AI874" s="86">
        <f t="shared" si="240"/>
      </c>
    </row>
    <row r="875" spans="6:35" x14ac:dyDescent="0.3">
      <c r="F875" s="26">
        <f>IF(G875=1,MAX($F$4:F874)+1,"")</f>
        <v/>
      </c>
      <c r="G875" s="26">
        <f>COUNTIF($H$5:H875,H875)</f>
      </c>
      <c r="H875" s="26">
        <f t="shared" si="241"/>
      </c>
      <c r="I875" s="26">
        <f>COUNTIF($J$4:$J875,1)</f>
      </c>
      <c r="J875" s="26">
        <f>COUNTIF($S$5:$S875,S875)</f>
      </c>
      <c r="K875" s="26">
        <f t="shared" si="230"/>
      </c>
      <c r="L875" s="26">
        <f>IFERROR(IF(P875=0,0,MAX($L$4:L874)+1),0)</f>
      </c>
      <c r="M875" s="5">
        <f t="shared" si="242"/>
      </c>
      <c r="N875" s="5">
        <f t="shared" si="243"/>
      </c>
      <c r="P875" s="86">
        <f t="shared" si="231"/>
      </c>
      <c r="Q875" s="86">
        <f t="shared" si="232"/>
      </c>
      <c r="R875" s="86">
        <f t="shared" si="233"/>
      </c>
      <c r="S875" s="86">
        <f t="shared" si="234"/>
      </c>
      <c r="T875" s="86">
        <f t="shared" si="244"/>
        <v/>
      </c>
      <c r="U875" s="86">
        <f t="shared" si="245"/>
        <v/>
      </c>
      <c r="V875" s="86">
        <f t="shared" si="246"/>
        <v/>
      </c>
      <c r="W875" s="87">
        <f t="shared" si="235"/>
      </c>
      <c r="X875" s="88"/>
      <c r="Y875" s="88"/>
      <c r="Z875" s="88"/>
      <c r="AA875" s="88"/>
      <c r="AB875" s="88"/>
      <c r="AD875" s="86">
        <f t="shared" si="236"/>
      </c>
      <c r="AE875" s="86">
        <f t="shared" si="237"/>
      </c>
      <c r="AG875" s="86">
        <f t="shared" si="238"/>
      </c>
      <c r="AH875" s="86">
        <f t="shared" si="239"/>
      </c>
      <c r="AI875" s="86">
        <f t="shared" si="240"/>
      </c>
    </row>
    <row r="876" spans="6:35" x14ac:dyDescent="0.3">
      <c r="F876" s="26">
        <f>IF(G876=1,MAX($F$4:F875)+1,"")</f>
        <v/>
      </c>
      <c r="G876" s="26">
        <f>COUNTIF($H$5:H876,H876)</f>
      </c>
      <c r="H876" s="26">
        <f t="shared" si="241"/>
      </c>
      <c r="I876" s="26">
        <f>COUNTIF($J$4:$J876,1)</f>
      </c>
      <c r="J876" s="26">
        <f>COUNTIF($S$5:$S876,S876)</f>
      </c>
      <c r="K876" s="26">
        <f t="shared" si="230"/>
      </c>
      <c r="L876" s="26">
        <f>IFERROR(IF(P876=0,0,MAX($L$4:L875)+1),0)</f>
      </c>
      <c r="M876" s="5">
        <f t="shared" si="242"/>
      </c>
      <c r="N876" s="5">
        <f t="shared" si="243"/>
      </c>
      <c r="P876" s="86">
        <f t="shared" si="231"/>
      </c>
      <c r="Q876" s="86">
        <f t="shared" si="232"/>
      </c>
      <c r="R876" s="86">
        <f t="shared" si="233"/>
      </c>
      <c r="S876" s="86">
        <f t="shared" si="234"/>
      </c>
      <c r="T876" s="86">
        <f t="shared" si="244"/>
        <v/>
      </c>
      <c r="U876" s="86">
        <f t="shared" si="245"/>
        <v/>
      </c>
      <c r="V876" s="86">
        <f t="shared" si="246"/>
        <v/>
      </c>
      <c r="W876" s="87">
        <f t="shared" si="235"/>
      </c>
      <c r="X876" s="88"/>
      <c r="Y876" s="88"/>
      <c r="Z876" s="88"/>
      <c r="AA876" s="88"/>
      <c r="AB876" s="88"/>
      <c r="AD876" s="86">
        <f t="shared" si="236"/>
      </c>
      <c r="AE876" s="86">
        <f t="shared" si="237"/>
      </c>
      <c r="AG876" s="86">
        <f t="shared" si="238"/>
      </c>
      <c r="AH876" s="86">
        <f t="shared" si="239"/>
      </c>
      <c r="AI876" s="86">
        <f t="shared" si="240"/>
      </c>
    </row>
    <row r="877" spans="6:35" x14ac:dyDescent="0.3">
      <c r="F877" s="26">
        <f>IF(G877=1,MAX($F$4:F876)+1,"")</f>
        <v/>
      </c>
      <c r="G877" s="26">
        <f>COUNTIF($H$5:H877,H877)</f>
      </c>
      <c r="H877" s="26">
        <f t="shared" si="241"/>
      </c>
      <c r="I877" s="26">
        <f>COUNTIF($J$4:$J877,1)</f>
      </c>
      <c r="J877" s="26">
        <f>COUNTIF($S$5:$S877,S877)</f>
      </c>
      <c r="K877" s="26">
        <f t="shared" si="230"/>
      </c>
      <c r="L877" s="26">
        <f>IFERROR(IF(P877=0,0,MAX($L$4:L876)+1),0)</f>
      </c>
      <c r="M877" s="5">
        <f t="shared" si="242"/>
      </c>
      <c r="N877" s="5">
        <f t="shared" si="243"/>
      </c>
      <c r="P877" s="86">
        <f t="shared" si="231"/>
      </c>
      <c r="Q877" s="86">
        <f t="shared" si="232"/>
      </c>
      <c r="R877" s="86">
        <f t="shared" si="233"/>
      </c>
      <c r="S877" s="86">
        <f t="shared" si="234"/>
      </c>
      <c r="T877" s="86">
        <f t="shared" si="244"/>
        <v/>
      </c>
      <c r="U877" s="86">
        <f t="shared" si="245"/>
        <v/>
      </c>
      <c r="V877" s="86">
        <f t="shared" si="246"/>
        <v/>
      </c>
      <c r="W877" s="87">
        <f t="shared" si="235"/>
      </c>
      <c r="X877" s="88"/>
      <c r="Y877" s="88"/>
      <c r="Z877" s="88"/>
      <c r="AA877" s="88"/>
      <c r="AB877" s="88"/>
      <c r="AD877" s="86">
        <f t="shared" si="236"/>
      </c>
      <c r="AE877" s="86">
        <f t="shared" si="237"/>
      </c>
      <c r="AG877" s="86">
        <f t="shared" si="238"/>
      </c>
      <c r="AH877" s="86">
        <f t="shared" si="239"/>
      </c>
      <c r="AI877" s="86">
        <f t="shared" si="240"/>
      </c>
    </row>
    <row r="878" spans="6:35" x14ac:dyDescent="0.3">
      <c r="F878" s="26">
        <f>IF(G878=1,MAX($F$4:F877)+1,"")</f>
        <v/>
      </c>
      <c r="G878" s="26">
        <f>COUNTIF($H$5:H878,H878)</f>
      </c>
      <c r="H878" s="26">
        <f t="shared" si="241"/>
      </c>
      <c r="I878" s="26">
        <f>COUNTIF($J$4:$J878,1)</f>
      </c>
      <c r="J878" s="26">
        <f>COUNTIF($S$5:$S878,S878)</f>
      </c>
      <c r="K878" s="26">
        <f t="shared" si="230"/>
      </c>
      <c r="L878" s="26">
        <f>IFERROR(IF(P878=0,0,MAX($L$4:L877)+1),0)</f>
      </c>
      <c r="M878" s="5">
        <f t="shared" si="242"/>
      </c>
      <c r="N878" s="5">
        <f t="shared" si="243"/>
      </c>
      <c r="P878" s="86">
        <f t="shared" si="231"/>
      </c>
      <c r="Q878" s="86">
        <f t="shared" si="232"/>
      </c>
      <c r="R878" s="86">
        <f t="shared" si="233"/>
      </c>
      <c r="S878" s="86">
        <f t="shared" si="234"/>
      </c>
      <c r="T878" s="86">
        <f t="shared" si="244"/>
        <v/>
      </c>
      <c r="U878" s="86">
        <f t="shared" si="245"/>
        <v/>
      </c>
      <c r="V878" s="86">
        <f t="shared" si="246"/>
        <v/>
      </c>
      <c r="W878" s="87">
        <f t="shared" si="235"/>
      </c>
      <c r="X878" s="88"/>
      <c r="Y878" s="88"/>
      <c r="Z878" s="88"/>
      <c r="AA878" s="88"/>
      <c r="AB878" s="88"/>
      <c r="AD878" s="86">
        <f t="shared" si="236"/>
      </c>
      <c r="AE878" s="86">
        <f t="shared" si="237"/>
      </c>
      <c r="AG878" s="86">
        <f t="shared" si="238"/>
      </c>
      <c r="AH878" s="86">
        <f t="shared" si="239"/>
      </c>
      <c r="AI878" s="86">
        <f t="shared" si="240"/>
      </c>
    </row>
    <row r="879" spans="6:35" x14ac:dyDescent="0.3">
      <c r="F879" s="26">
        <f>IF(G879=1,MAX($F$4:F878)+1,"")</f>
        <v/>
      </c>
      <c r="G879" s="26">
        <f>COUNTIF($H$5:H879,H879)</f>
      </c>
      <c r="H879" s="26">
        <f t="shared" si="241"/>
      </c>
      <c r="I879" s="26">
        <f>COUNTIF($J$4:$J879,1)</f>
      </c>
      <c r="J879" s="26">
        <f>COUNTIF($S$5:$S879,S879)</f>
      </c>
      <c r="K879" s="26">
        <f t="shared" si="230"/>
      </c>
      <c r="L879" s="26">
        <f>IFERROR(IF(P879=0,0,MAX($L$4:L878)+1),0)</f>
      </c>
      <c r="M879" s="5">
        <f t="shared" si="242"/>
      </c>
      <c r="N879" s="5">
        <f t="shared" si="243"/>
      </c>
      <c r="P879" s="86">
        <f t="shared" si="231"/>
      </c>
      <c r="Q879" s="86">
        <f t="shared" si="232"/>
      </c>
      <c r="R879" s="86">
        <f t="shared" si="233"/>
      </c>
      <c r="S879" s="86">
        <f t="shared" si="234"/>
      </c>
      <c r="T879" s="86">
        <f t="shared" si="244"/>
        <v/>
      </c>
      <c r="U879" s="86">
        <f t="shared" si="245"/>
        <v/>
      </c>
      <c r="V879" s="86">
        <f t="shared" si="246"/>
        <v/>
      </c>
      <c r="W879" s="87">
        <f t="shared" si="235"/>
      </c>
      <c r="X879" s="88"/>
      <c r="Y879" s="88"/>
      <c r="Z879" s="88"/>
      <c r="AA879" s="88"/>
      <c r="AB879" s="88"/>
      <c r="AD879" s="86">
        <f t="shared" si="236"/>
      </c>
      <c r="AE879" s="86">
        <f t="shared" si="237"/>
      </c>
      <c r="AG879" s="86">
        <f t="shared" si="238"/>
      </c>
      <c r="AH879" s="86">
        <f t="shared" si="239"/>
      </c>
      <c r="AI879" s="86">
        <f t="shared" si="240"/>
      </c>
    </row>
    <row r="880" spans="6:35" x14ac:dyDescent="0.3">
      <c r="F880" s="26">
        <f>IF(G880=1,MAX($F$4:F879)+1,"")</f>
        <v/>
      </c>
      <c r="G880" s="26">
        <f>COUNTIF($H$5:H880,H880)</f>
      </c>
      <c r="H880" s="26">
        <f t="shared" si="241"/>
      </c>
      <c r="I880" s="26">
        <f>COUNTIF($J$4:$J880,1)</f>
      </c>
      <c r="J880" s="26">
        <f>COUNTIF($S$5:$S880,S880)</f>
      </c>
      <c r="K880" s="26">
        <f t="shared" si="230"/>
      </c>
      <c r="L880" s="26">
        <f>IFERROR(IF(P880=0,0,MAX($L$4:L879)+1),0)</f>
      </c>
      <c r="M880" s="5">
        <f t="shared" si="242"/>
      </c>
      <c r="N880" s="5">
        <f t="shared" si="243"/>
      </c>
      <c r="P880" s="86">
        <f t="shared" si="231"/>
      </c>
      <c r="Q880" s="86">
        <f t="shared" si="232"/>
      </c>
      <c r="R880" s="86">
        <f t="shared" si="233"/>
      </c>
      <c r="S880" s="86">
        <f t="shared" si="234"/>
      </c>
      <c r="T880" s="86">
        <f t="shared" si="244"/>
        <v/>
      </c>
      <c r="U880" s="86">
        <f t="shared" si="245"/>
        <v/>
      </c>
      <c r="V880" s="86">
        <f t="shared" si="246"/>
        <v/>
      </c>
      <c r="W880" s="87">
        <f t="shared" si="235"/>
      </c>
      <c r="X880" s="88"/>
      <c r="Y880" s="88"/>
      <c r="Z880" s="88"/>
      <c r="AA880" s="88"/>
      <c r="AB880" s="88"/>
      <c r="AD880" s="86">
        <f t="shared" si="236"/>
      </c>
      <c r="AE880" s="86">
        <f t="shared" si="237"/>
      </c>
      <c r="AG880" s="86">
        <f t="shared" si="238"/>
      </c>
      <c r="AH880" s="86">
        <f t="shared" si="239"/>
      </c>
      <c r="AI880" s="86">
        <f t="shared" si="240"/>
      </c>
    </row>
    <row r="881" spans="6:35" x14ac:dyDescent="0.3">
      <c r="F881" s="26">
        <f>IF(G881=1,MAX($F$4:F880)+1,"")</f>
        <v/>
      </c>
      <c r="G881" s="26">
        <f>COUNTIF($H$5:H881,H881)</f>
      </c>
      <c r="H881" s="26">
        <f t="shared" si="241"/>
      </c>
      <c r="I881" s="26">
        <f>COUNTIF($J$4:$J881,1)</f>
      </c>
      <c r="J881" s="26">
        <f>COUNTIF($S$5:$S881,S881)</f>
      </c>
      <c r="K881" s="26">
        <f t="shared" si="230"/>
      </c>
      <c r="L881" s="26">
        <f>IFERROR(IF(P881=0,0,MAX($L$4:L880)+1),0)</f>
      </c>
      <c r="M881" s="5">
        <f t="shared" si="242"/>
      </c>
      <c r="N881" s="5">
        <f t="shared" si="243"/>
      </c>
      <c r="P881" s="86">
        <f t="shared" si="231"/>
      </c>
      <c r="Q881" s="86">
        <f t="shared" si="232"/>
      </c>
      <c r="R881" s="86">
        <f t="shared" si="233"/>
      </c>
      <c r="S881" s="86">
        <f t="shared" si="234"/>
      </c>
      <c r="T881" s="86">
        <f t="shared" si="244"/>
        <v/>
      </c>
      <c r="U881" s="86">
        <f t="shared" si="245"/>
        <v/>
      </c>
      <c r="V881" s="86">
        <f t="shared" si="246"/>
        <v/>
      </c>
      <c r="W881" s="87">
        <f t="shared" si="235"/>
      </c>
      <c r="X881" s="88"/>
      <c r="Y881" s="88"/>
      <c r="Z881" s="88"/>
      <c r="AA881" s="88"/>
      <c r="AB881" s="88"/>
      <c r="AD881" s="86">
        <f t="shared" si="236"/>
      </c>
      <c r="AE881" s="86">
        <f t="shared" si="237"/>
      </c>
      <c r="AG881" s="86">
        <f t="shared" si="238"/>
      </c>
      <c r="AH881" s="86">
        <f t="shared" si="239"/>
      </c>
      <c r="AI881" s="86">
        <f t="shared" si="240"/>
      </c>
    </row>
    <row r="882" spans="6:35" x14ac:dyDescent="0.3">
      <c r="F882" s="26">
        <f>IF(G882=1,MAX($F$4:F881)+1,"")</f>
        <v/>
      </c>
      <c r="G882" s="26">
        <f>COUNTIF($H$5:H882,H882)</f>
      </c>
      <c r="H882" s="26">
        <f t="shared" si="241"/>
      </c>
      <c r="I882" s="26">
        <f>COUNTIF($J$4:$J882,1)</f>
      </c>
      <c r="J882" s="26">
        <f>COUNTIF($S$5:$S882,S882)</f>
      </c>
      <c r="K882" s="26">
        <f t="shared" si="230"/>
      </c>
      <c r="L882" s="26">
        <f>IFERROR(IF(P882=0,0,MAX($L$4:L881)+1),0)</f>
      </c>
      <c r="M882" s="5">
        <f t="shared" si="242"/>
      </c>
      <c r="N882" s="5">
        <f t="shared" si="243"/>
      </c>
      <c r="P882" s="86">
        <f t="shared" si="231"/>
      </c>
      <c r="Q882" s="86">
        <f t="shared" si="232"/>
      </c>
      <c r="R882" s="86">
        <f t="shared" si="233"/>
      </c>
      <c r="S882" s="86">
        <f t="shared" si="234"/>
      </c>
      <c r="T882" s="86">
        <f t="shared" si="244"/>
        <v/>
      </c>
      <c r="U882" s="86">
        <f t="shared" si="245"/>
        <v/>
      </c>
      <c r="V882" s="86">
        <f t="shared" si="246"/>
        <v/>
      </c>
      <c r="W882" s="87">
        <f t="shared" si="235"/>
      </c>
      <c r="X882" s="88"/>
      <c r="Y882" s="88"/>
      <c r="Z882" s="88"/>
      <c r="AA882" s="88"/>
      <c r="AB882" s="88"/>
      <c r="AD882" s="86">
        <f t="shared" si="236"/>
      </c>
      <c r="AE882" s="86">
        <f t="shared" si="237"/>
      </c>
      <c r="AG882" s="86">
        <f t="shared" si="238"/>
      </c>
      <c r="AH882" s="86">
        <f t="shared" si="239"/>
      </c>
      <c r="AI882" s="86">
        <f t="shared" si="240"/>
      </c>
    </row>
    <row r="883" spans="6:35" x14ac:dyDescent="0.3">
      <c r="F883" s="26">
        <f>IF(G883=1,MAX($F$4:F882)+1,"")</f>
        <v/>
      </c>
      <c r="G883" s="26">
        <f>COUNTIF($H$5:H883,H883)</f>
      </c>
      <c r="H883" s="26">
        <f t="shared" si="241"/>
      </c>
      <c r="I883" s="26">
        <f>COUNTIF($J$4:$J883,1)</f>
      </c>
      <c r="J883" s="26">
        <f>COUNTIF($S$5:$S883,S883)</f>
      </c>
      <c r="K883" s="26">
        <f t="shared" si="230"/>
      </c>
      <c r="L883" s="26">
        <f>IFERROR(IF(P883=0,0,MAX($L$4:L882)+1),0)</f>
      </c>
      <c r="M883" s="5">
        <f t="shared" si="242"/>
      </c>
      <c r="N883" s="5">
        <f t="shared" si="243"/>
      </c>
      <c r="P883" s="86">
        <f t="shared" si="231"/>
      </c>
      <c r="Q883" s="86">
        <f t="shared" si="232"/>
      </c>
      <c r="R883" s="86">
        <f t="shared" si="233"/>
      </c>
      <c r="S883" s="86">
        <f t="shared" si="234"/>
      </c>
      <c r="T883" s="86">
        <f t="shared" si="244"/>
        <v/>
      </c>
      <c r="U883" s="86">
        <f t="shared" si="245"/>
        <v/>
      </c>
      <c r="V883" s="86">
        <f t="shared" si="246"/>
        <v/>
      </c>
      <c r="W883" s="87">
        <f t="shared" si="235"/>
      </c>
      <c r="X883" s="88"/>
      <c r="Y883" s="88"/>
      <c r="Z883" s="88"/>
      <c r="AA883" s="88"/>
      <c r="AB883" s="88"/>
      <c r="AD883" s="86">
        <f t="shared" si="236"/>
      </c>
      <c r="AE883" s="86">
        <f t="shared" si="237"/>
      </c>
      <c r="AG883" s="86">
        <f t="shared" si="238"/>
      </c>
      <c r="AH883" s="86">
        <f t="shared" si="239"/>
      </c>
      <c r="AI883" s="86">
        <f t="shared" si="240"/>
      </c>
    </row>
    <row r="884" spans="6:35" x14ac:dyDescent="0.3">
      <c r="F884" s="26">
        <f>IF(G884=1,MAX($F$4:F883)+1,"")</f>
        <v/>
      </c>
      <c r="G884" s="26">
        <f>COUNTIF($H$5:H884,H884)</f>
      </c>
      <c r="H884" s="26">
        <f t="shared" si="241"/>
      </c>
      <c r="I884" s="26">
        <f>COUNTIF($J$4:$J884,1)</f>
      </c>
      <c r="J884" s="26">
        <f>COUNTIF($S$5:$S884,S884)</f>
      </c>
      <c r="K884" s="26">
        <f t="shared" si="230"/>
      </c>
      <c r="L884" s="26">
        <f>IFERROR(IF(P884=0,0,MAX($L$4:L883)+1),0)</f>
      </c>
      <c r="M884" s="5">
        <f t="shared" si="242"/>
      </c>
      <c r="N884" s="5">
        <f t="shared" si="243"/>
      </c>
      <c r="P884" s="86">
        <f t="shared" si="231"/>
      </c>
      <c r="Q884" s="86">
        <f t="shared" si="232"/>
      </c>
      <c r="R884" s="86">
        <f t="shared" si="233"/>
      </c>
      <c r="S884" s="86">
        <f t="shared" si="234"/>
      </c>
      <c r="T884" s="86">
        <f t="shared" si="244"/>
        <v/>
      </c>
      <c r="U884" s="86">
        <f t="shared" si="245"/>
        <v/>
      </c>
      <c r="V884" s="86">
        <f t="shared" si="246"/>
        <v/>
      </c>
      <c r="W884" s="87">
        <f t="shared" si="235"/>
      </c>
      <c r="X884" s="88"/>
      <c r="Y884" s="88"/>
      <c r="Z884" s="88"/>
      <c r="AA884" s="88"/>
      <c r="AB884" s="88"/>
      <c r="AD884" s="86">
        <f t="shared" si="236"/>
      </c>
      <c r="AE884" s="86">
        <f t="shared" si="237"/>
      </c>
      <c r="AG884" s="86">
        <f t="shared" si="238"/>
      </c>
      <c r="AH884" s="86">
        <f t="shared" si="239"/>
      </c>
      <c r="AI884" s="86">
        <f t="shared" si="240"/>
      </c>
    </row>
    <row r="885" spans="6:35" x14ac:dyDescent="0.3">
      <c r="F885" s="26">
        <f>IF(G885=1,MAX($F$4:F884)+1,"")</f>
        <v/>
      </c>
      <c r="G885" s="26">
        <f>COUNTIF($H$5:H885,H885)</f>
      </c>
      <c r="H885" s="26">
        <f t="shared" si="241"/>
      </c>
      <c r="I885" s="26">
        <f>COUNTIF($J$4:$J885,1)</f>
      </c>
      <c r="J885" s="26">
        <f>COUNTIF($S$5:$S885,S885)</f>
      </c>
      <c r="K885" s="26">
        <f t="shared" si="230"/>
      </c>
      <c r="L885" s="26">
        <f>IFERROR(IF(P885=0,0,MAX($L$4:L884)+1),0)</f>
      </c>
      <c r="M885" s="5">
        <f t="shared" si="242"/>
      </c>
      <c r="N885" s="5">
        <f t="shared" si="243"/>
      </c>
      <c r="P885" s="86">
        <f t="shared" si="231"/>
      </c>
      <c r="Q885" s="86">
        <f t="shared" si="232"/>
      </c>
      <c r="R885" s="86">
        <f t="shared" si="233"/>
      </c>
      <c r="S885" s="86">
        <f t="shared" si="234"/>
      </c>
      <c r="T885" s="86">
        <f t="shared" si="244"/>
        <v/>
      </c>
      <c r="U885" s="86">
        <f t="shared" si="245"/>
        <v/>
      </c>
      <c r="V885" s="86">
        <f t="shared" si="246"/>
        <v/>
      </c>
      <c r="W885" s="87">
        <f t="shared" si="235"/>
      </c>
      <c r="X885" s="88"/>
      <c r="Y885" s="88"/>
      <c r="Z885" s="88"/>
      <c r="AA885" s="88"/>
      <c r="AB885" s="88"/>
      <c r="AD885" s="86">
        <f t="shared" si="236"/>
      </c>
      <c r="AE885" s="86">
        <f t="shared" si="237"/>
      </c>
      <c r="AG885" s="86">
        <f t="shared" si="238"/>
      </c>
      <c r="AH885" s="86">
        <f t="shared" si="239"/>
      </c>
      <c r="AI885" s="86">
        <f t="shared" si="240"/>
      </c>
    </row>
    <row r="886" spans="6:35" x14ac:dyDescent="0.3">
      <c r="F886" s="26">
        <f>IF(G886=1,MAX($F$4:F885)+1,"")</f>
        <v/>
      </c>
      <c r="G886" s="26">
        <f>COUNTIF($H$5:H886,H886)</f>
      </c>
      <c r="H886" s="26">
        <f t="shared" si="241"/>
      </c>
      <c r="I886" s="26">
        <f>COUNTIF($J$4:$J886,1)</f>
      </c>
      <c r="J886" s="26">
        <f>COUNTIF($S$5:$S886,S886)</f>
      </c>
      <c r="K886" s="26">
        <f t="shared" si="230"/>
      </c>
      <c r="L886" s="26">
        <f>IFERROR(IF(P886=0,0,MAX($L$4:L885)+1),0)</f>
      </c>
      <c r="M886" s="5">
        <f t="shared" si="242"/>
      </c>
      <c r="N886" s="5">
        <f t="shared" si="243"/>
      </c>
      <c r="P886" s="86">
        <f t="shared" si="231"/>
      </c>
      <c r="Q886" s="86">
        <f t="shared" si="232"/>
      </c>
      <c r="R886" s="86">
        <f t="shared" si="233"/>
      </c>
      <c r="S886" s="86">
        <f t="shared" si="234"/>
      </c>
      <c r="T886" s="86">
        <f t="shared" si="244"/>
        <v/>
      </c>
      <c r="U886" s="86">
        <f t="shared" si="245"/>
        <v/>
      </c>
      <c r="V886" s="86">
        <f t="shared" si="246"/>
        <v/>
      </c>
      <c r="W886" s="87">
        <f t="shared" si="235"/>
      </c>
      <c r="X886" s="88"/>
      <c r="Y886" s="88"/>
      <c r="Z886" s="88"/>
      <c r="AA886" s="88"/>
      <c r="AB886" s="88"/>
      <c r="AD886" s="86">
        <f t="shared" si="236"/>
      </c>
      <c r="AE886" s="86">
        <f t="shared" si="237"/>
      </c>
      <c r="AG886" s="86">
        <f t="shared" si="238"/>
      </c>
      <c r="AH886" s="86">
        <f t="shared" si="239"/>
      </c>
      <c r="AI886" s="86">
        <f t="shared" si="240"/>
      </c>
    </row>
    <row r="887" spans="6:35" x14ac:dyDescent="0.3">
      <c r="F887" s="26">
        <f>IF(G887=1,MAX($F$4:F886)+1,"")</f>
        <v/>
      </c>
      <c r="G887" s="26">
        <f>COUNTIF($H$5:H887,H887)</f>
      </c>
      <c r="H887" s="26">
        <f t="shared" si="241"/>
      </c>
      <c r="I887" s="26">
        <f>COUNTIF($J$4:$J887,1)</f>
      </c>
      <c r="J887" s="26">
        <f>COUNTIF($S$5:$S887,S887)</f>
      </c>
      <c r="K887" s="26">
        <f t="shared" si="230"/>
      </c>
      <c r="L887" s="26">
        <f>IFERROR(IF(P887=0,0,MAX($L$4:L886)+1),0)</f>
      </c>
      <c r="M887" s="5">
        <f t="shared" si="242"/>
      </c>
      <c r="N887" s="5">
        <f t="shared" si="243"/>
      </c>
      <c r="P887" s="86">
        <f t="shared" si="231"/>
      </c>
      <c r="Q887" s="86">
        <f t="shared" si="232"/>
      </c>
      <c r="R887" s="86">
        <f t="shared" si="233"/>
      </c>
      <c r="S887" s="86">
        <f t="shared" si="234"/>
      </c>
      <c r="T887" s="86">
        <f t="shared" si="244"/>
        <v/>
      </c>
      <c r="U887" s="86">
        <f t="shared" si="245"/>
        <v/>
      </c>
      <c r="V887" s="86">
        <f t="shared" si="246"/>
        <v/>
      </c>
      <c r="W887" s="87">
        <f t="shared" si="235"/>
      </c>
      <c r="X887" s="88"/>
      <c r="Y887" s="88"/>
      <c r="Z887" s="88"/>
      <c r="AA887" s="88"/>
      <c r="AB887" s="88"/>
      <c r="AD887" s="86">
        <f t="shared" si="236"/>
      </c>
      <c r="AE887" s="86">
        <f t="shared" si="237"/>
      </c>
      <c r="AG887" s="86">
        <f t="shared" si="238"/>
      </c>
      <c r="AH887" s="86">
        <f t="shared" si="239"/>
      </c>
      <c r="AI887" s="86">
        <f t="shared" si="240"/>
      </c>
    </row>
    <row r="888" spans="6:35" x14ac:dyDescent="0.3">
      <c r="F888" s="26">
        <f>IF(G888=1,MAX($F$4:F887)+1,"")</f>
        <v/>
      </c>
      <c r="G888" s="26">
        <f>COUNTIF($H$5:H888,H888)</f>
      </c>
      <c r="H888" s="26">
        <f t="shared" si="241"/>
      </c>
      <c r="I888" s="26">
        <f>COUNTIF($J$4:$J888,1)</f>
      </c>
      <c r="J888" s="26">
        <f>COUNTIF($S$5:$S888,S888)</f>
      </c>
      <c r="K888" s="26">
        <f t="shared" si="230"/>
      </c>
      <c r="L888" s="26">
        <f>IFERROR(IF(P888=0,0,MAX($L$4:L887)+1),0)</f>
      </c>
      <c r="M888" s="5">
        <f t="shared" si="242"/>
      </c>
      <c r="N888" s="5">
        <f t="shared" si="243"/>
      </c>
      <c r="P888" s="86">
        <f t="shared" si="231"/>
      </c>
      <c r="Q888" s="86">
        <f t="shared" si="232"/>
      </c>
      <c r="R888" s="86">
        <f t="shared" si="233"/>
      </c>
      <c r="S888" s="86">
        <f t="shared" si="234"/>
      </c>
      <c r="T888" s="86">
        <f t="shared" si="244"/>
        <v/>
      </c>
      <c r="U888" s="86">
        <f t="shared" si="245"/>
        <v/>
      </c>
      <c r="V888" s="86">
        <f t="shared" si="246"/>
        <v/>
      </c>
      <c r="W888" s="87">
        <f t="shared" si="235"/>
      </c>
      <c r="X888" s="88"/>
      <c r="Y888" s="88"/>
      <c r="Z888" s="88"/>
      <c r="AA888" s="88"/>
      <c r="AB888" s="88"/>
      <c r="AD888" s="86">
        <f t="shared" si="236"/>
      </c>
      <c r="AE888" s="86">
        <f t="shared" si="237"/>
      </c>
      <c r="AG888" s="86">
        <f t="shared" si="238"/>
      </c>
      <c r="AH888" s="86">
        <f t="shared" si="239"/>
      </c>
      <c r="AI888" s="86">
        <f t="shared" si="240"/>
      </c>
    </row>
    <row r="889" spans="6:35" x14ac:dyDescent="0.3">
      <c r="F889" s="26">
        <f>IF(G889=1,MAX($F$4:F888)+1,"")</f>
        <v/>
      </c>
      <c r="G889" s="26">
        <f>COUNTIF($H$5:H889,H889)</f>
      </c>
      <c r="H889" s="26">
        <f t="shared" si="241"/>
      </c>
      <c r="I889" s="26">
        <f>COUNTIF($J$4:$J889,1)</f>
      </c>
      <c r="J889" s="26">
        <f>COUNTIF($S$5:$S889,S889)</f>
      </c>
      <c r="K889" s="26">
        <f t="shared" si="230"/>
      </c>
      <c r="L889" s="26">
        <f>IFERROR(IF(P889=0,0,MAX($L$4:L888)+1),0)</f>
      </c>
      <c r="M889" s="5">
        <f t="shared" si="242"/>
      </c>
      <c r="N889" s="5">
        <f t="shared" si="243"/>
      </c>
      <c r="P889" s="86">
        <f t="shared" si="231"/>
      </c>
      <c r="Q889" s="86">
        <f t="shared" si="232"/>
      </c>
      <c r="R889" s="86">
        <f t="shared" si="233"/>
      </c>
      <c r="S889" s="86">
        <f t="shared" si="234"/>
      </c>
      <c r="T889" s="86">
        <f t="shared" si="244"/>
        <v/>
      </c>
      <c r="U889" s="86">
        <f t="shared" si="245"/>
        <v/>
      </c>
      <c r="V889" s="86">
        <f t="shared" si="246"/>
        <v/>
      </c>
      <c r="W889" s="87">
        <f t="shared" si="235"/>
      </c>
      <c r="X889" s="88"/>
      <c r="Y889" s="88"/>
      <c r="Z889" s="88"/>
      <c r="AA889" s="88"/>
      <c r="AB889" s="88"/>
      <c r="AD889" s="86">
        <f t="shared" si="236"/>
      </c>
      <c r="AE889" s="86">
        <f t="shared" si="237"/>
      </c>
      <c r="AG889" s="86">
        <f t="shared" si="238"/>
      </c>
      <c r="AH889" s="86">
        <f t="shared" si="239"/>
      </c>
      <c r="AI889" s="86">
        <f t="shared" si="240"/>
      </c>
    </row>
    <row r="890" spans="6:35" x14ac:dyDescent="0.3">
      <c r="F890" s="26">
        <f>IF(G890=1,MAX($F$4:F889)+1,"")</f>
        <v/>
      </c>
      <c r="G890" s="26">
        <f>COUNTIF($H$5:H890,H890)</f>
      </c>
      <c r="H890" s="26">
        <f t="shared" si="241"/>
      </c>
      <c r="I890" s="26">
        <f>COUNTIF($J$4:$J890,1)</f>
      </c>
      <c r="J890" s="26">
        <f>COUNTIF($S$5:$S890,S890)</f>
      </c>
      <c r="K890" s="26">
        <f t="shared" si="230"/>
      </c>
      <c r="L890" s="26">
        <f>IFERROR(IF(P890=0,0,MAX($L$4:L889)+1),0)</f>
      </c>
      <c r="M890" s="5">
        <f t="shared" si="242"/>
      </c>
      <c r="N890" s="5">
        <f t="shared" si="243"/>
      </c>
      <c r="P890" s="86">
        <f t="shared" si="231"/>
      </c>
      <c r="Q890" s="86">
        <f t="shared" si="232"/>
      </c>
      <c r="R890" s="86">
        <f t="shared" si="233"/>
      </c>
      <c r="S890" s="86">
        <f t="shared" si="234"/>
      </c>
      <c r="T890" s="86">
        <f t="shared" si="244"/>
        <v/>
      </c>
      <c r="U890" s="86">
        <f t="shared" si="245"/>
        <v/>
      </c>
      <c r="V890" s="86">
        <f t="shared" si="246"/>
        <v/>
      </c>
      <c r="W890" s="87">
        <f t="shared" si="235"/>
      </c>
      <c r="X890" s="88"/>
      <c r="Y890" s="88"/>
      <c r="Z890" s="88"/>
      <c r="AA890" s="88"/>
      <c r="AB890" s="88"/>
      <c r="AD890" s="86">
        <f t="shared" si="236"/>
      </c>
      <c r="AE890" s="86">
        <f t="shared" si="237"/>
      </c>
      <c r="AG890" s="86">
        <f t="shared" si="238"/>
      </c>
      <c r="AH890" s="86">
        <f t="shared" si="239"/>
      </c>
      <c r="AI890" s="86">
        <f t="shared" si="240"/>
      </c>
    </row>
    <row r="891" spans="6:35" x14ac:dyDescent="0.3">
      <c r="F891" s="26">
        <f>IF(G891=1,MAX($F$4:F890)+1,"")</f>
        <v/>
      </c>
      <c r="G891" s="26">
        <f>COUNTIF($H$5:H891,H891)</f>
      </c>
      <c r="H891" s="26">
        <f t="shared" si="241"/>
      </c>
      <c r="I891" s="26">
        <f>COUNTIF($J$4:$J891,1)</f>
      </c>
      <c r="J891" s="26">
        <f>COUNTIF($S$5:$S891,S891)</f>
      </c>
      <c r="K891" s="26">
        <f t="shared" si="230"/>
      </c>
      <c r="L891" s="26">
        <f>IFERROR(IF(P891=0,0,MAX($L$4:L890)+1),0)</f>
      </c>
      <c r="M891" s="5">
        <f t="shared" si="242"/>
      </c>
      <c r="N891" s="5">
        <f t="shared" si="243"/>
      </c>
      <c r="P891" s="86">
        <f t="shared" si="231"/>
      </c>
      <c r="Q891" s="86">
        <f t="shared" si="232"/>
      </c>
      <c r="R891" s="86">
        <f t="shared" si="233"/>
      </c>
      <c r="S891" s="86">
        <f t="shared" si="234"/>
      </c>
      <c r="T891" s="86">
        <f t="shared" si="244"/>
        <v/>
      </c>
      <c r="U891" s="86">
        <f t="shared" si="245"/>
        <v/>
      </c>
      <c r="V891" s="86">
        <f t="shared" si="246"/>
        <v/>
      </c>
      <c r="W891" s="87">
        <f t="shared" si="235"/>
      </c>
      <c r="X891" s="88"/>
      <c r="Y891" s="88"/>
      <c r="Z891" s="88"/>
      <c r="AA891" s="88"/>
      <c r="AB891" s="88"/>
      <c r="AD891" s="86">
        <f t="shared" si="236"/>
      </c>
      <c r="AE891" s="86">
        <f t="shared" si="237"/>
      </c>
      <c r="AG891" s="86">
        <f t="shared" si="238"/>
      </c>
      <c r="AH891" s="86">
        <f t="shared" si="239"/>
      </c>
      <c r="AI891" s="86">
        <f t="shared" si="240"/>
      </c>
    </row>
    <row r="892" spans="6:35" x14ac:dyDescent="0.3">
      <c r="F892" s="26">
        <f>IF(G892=1,MAX($F$4:F891)+1,"")</f>
        <v/>
      </c>
      <c r="G892" s="26">
        <f>COUNTIF($H$5:H892,H892)</f>
      </c>
      <c r="H892" s="26">
        <f t="shared" si="241"/>
      </c>
      <c r="I892" s="26">
        <f>COUNTIF($J$4:$J892,1)</f>
      </c>
      <c r="J892" s="26">
        <f>COUNTIF($S$5:$S892,S892)</f>
      </c>
      <c r="K892" s="26">
        <f t="shared" si="230"/>
      </c>
      <c r="L892" s="26">
        <f>IFERROR(IF(P892=0,0,MAX($L$4:L891)+1),0)</f>
      </c>
      <c r="M892" s="5">
        <f t="shared" si="242"/>
      </c>
      <c r="N892" s="5">
        <f t="shared" si="243"/>
      </c>
      <c r="P892" s="86">
        <f t="shared" si="231"/>
      </c>
      <c r="Q892" s="86">
        <f t="shared" si="232"/>
      </c>
      <c r="R892" s="86">
        <f t="shared" si="233"/>
      </c>
      <c r="S892" s="86">
        <f t="shared" si="234"/>
      </c>
      <c r="T892" s="86">
        <f t="shared" si="244"/>
        <v/>
      </c>
      <c r="U892" s="86">
        <f t="shared" si="245"/>
        <v/>
      </c>
      <c r="V892" s="86">
        <f t="shared" si="246"/>
        <v/>
      </c>
      <c r="W892" s="87">
        <f t="shared" si="235"/>
      </c>
      <c r="X892" s="88"/>
      <c r="Y892" s="88"/>
      <c r="Z892" s="88"/>
      <c r="AA892" s="88"/>
      <c r="AB892" s="88"/>
      <c r="AD892" s="86">
        <f t="shared" si="236"/>
      </c>
      <c r="AE892" s="86">
        <f t="shared" si="237"/>
      </c>
      <c r="AG892" s="86">
        <f t="shared" si="238"/>
      </c>
      <c r="AH892" s="86">
        <f t="shared" si="239"/>
      </c>
      <c r="AI892" s="86">
        <f t="shared" si="240"/>
      </c>
    </row>
    <row r="893" spans="6:35" x14ac:dyDescent="0.3">
      <c r="F893" s="26">
        <f>IF(G893=1,MAX($F$4:F892)+1,"")</f>
        <v/>
      </c>
      <c r="G893" s="26">
        <f>COUNTIF($H$5:H893,H893)</f>
      </c>
      <c r="H893" s="26">
        <f t="shared" si="241"/>
      </c>
      <c r="I893" s="26">
        <f>COUNTIF($J$4:$J893,1)</f>
      </c>
      <c r="J893" s="26">
        <f>COUNTIF($S$5:$S893,S893)</f>
      </c>
      <c r="K893" s="26">
        <f t="shared" si="230"/>
      </c>
      <c r="L893" s="26">
        <f>IFERROR(IF(P893=0,0,MAX($L$4:L892)+1),0)</f>
      </c>
      <c r="M893" s="5">
        <f t="shared" si="242"/>
      </c>
      <c r="N893" s="5">
        <f t="shared" si="243"/>
      </c>
      <c r="P893" s="86">
        <f t="shared" si="231"/>
      </c>
      <c r="Q893" s="86">
        <f t="shared" si="232"/>
      </c>
      <c r="R893" s="86">
        <f t="shared" si="233"/>
      </c>
      <c r="S893" s="86">
        <f t="shared" si="234"/>
      </c>
      <c r="T893" s="86">
        <f t="shared" si="244"/>
        <v/>
      </c>
      <c r="U893" s="86">
        <f t="shared" si="245"/>
        <v/>
      </c>
      <c r="V893" s="86">
        <f t="shared" si="246"/>
        <v/>
      </c>
      <c r="W893" s="87">
        <f t="shared" si="235"/>
      </c>
      <c r="X893" s="88"/>
      <c r="Y893" s="88"/>
      <c r="Z893" s="88"/>
      <c r="AA893" s="88"/>
      <c r="AB893" s="88"/>
      <c r="AD893" s="86">
        <f t="shared" si="236"/>
      </c>
      <c r="AE893" s="86">
        <f t="shared" si="237"/>
      </c>
      <c r="AG893" s="86">
        <f t="shared" si="238"/>
      </c>
      <c r="AH893" s="86">
        <f t="shared" si="239"/>
      </c>
      <c r="AI893" s="86">
        <f t="shared" si="240"/>
      </c>
    </row>
    <row r="894" spans="6:35" x14ac:dyDescent="0.3">
      <c r="F894" s="26">
        <f>IF(G894=1,MAX($F$4:F893)+1,"")</f>
        <v/>
      </c>
      <c r="G894" s="26">
        <f>COUNTIF($H$5:H894,H894)</f>
      </c>
      <c r="H894" s="26">
        <f t="shared" si="241"/>
      </c>
      <c r="I894" s="26">
        <f>COUNTIF($J$4:$J894,1)</f>
      </c>
      <c r="J894" s="26">
        <f>COUNTIF($S$5:$S894,S894)</f>
      </c>
      <c r="K894" s="26">
        <f t="shared" si="230"/>
      </c>
      <c r="L894" s="26">
        <f>IFERROR(IF(P894=0,0,MAX($L$4:L893)+1),0)</f>
      </c>
      <c r="M894" s="5">
        <f t="shared" si="242"/>
      </c>
      <c r="N894" s="5">
        <f t="shared" si="243"/>
      </c>
      <c r="P894" s="86">
        <f t="shared" si="231"/>
      </c>
      <c r="Q894" s="86">
        <f t="shared" si="232"/>
      </c>
      <c r="R894" s="86">
        <f t="shared" si="233"/>
      </c>
      <c r="S894" s="86">
        <f t="shared" si="234"/>
      </c>
      <c r="T894" s="86">
        <f t="shared" si="244"/>
        <v/>
      </c>
      <c r="U894" s="86">
        <f t="shared" si="245"/>
        <v/>
      </c>
      <c r="V894" s="86">
        <f t="shared" si="246"/>
        <v/>
      </c>
      <c r="W894" s="87">
        <f t="shared" si="235"/>
      </c>
      <c r="X894" s="88"/>
      <c r="Y894" s="88"/>
      <c r="Z894" s="88"/>
      <c r="AA894" s="88"/>
      <c r="AB894" s="88"/>
      <c r="AD894" s="86">
        <f t="shared" si="236"/>
      </c>
      <c r="AE894" s="86">
        <f t="shared" si="237"/>
      </c>
      <c r="AG894" s="86">
        <f t="shared" si="238"/>
      </c>
      <c r="AH894" s="86">
        <f t="shared" si="239"/>
      </c>
      <c r="AI894" s="86">
        <f t="shared" si="240"/>
      </c>
    </row>
    <row r="895" spans="6:35" x14ac:dyDescent="0.3">
      <c r="F895" s="26">
        <f>IF(G895=1,MAX($F$4:F894)+1,"")</f>
        <v/>
      </c>
      <c r="G895" s="26">
        <f>COUNTIF($H$5:H895,H895)</f>
      </c>
      <c r="H895" s="26">
        <f t="shared" si="241"/>
      </c>
      <c r="I895" s="26">
        <f>COUNTIF($J$4:$J895,1)</f>
      </c>
      <c r="J895" s="26">
        <f>COUNTIF($S$5:$S895,S895)</f>
      </c>
      <c r="K895" s="26">
        <f t="shared" si="230"/>
      </c>
      <c r="L895" s="26">
        <f>IFERROR(IF(P895=0,0,MAX($L$4:L894)+1),0)</f>
      </c>
      <c r="M895" s="5">
        <f t="shared" si="242"/>
      </c>
      <c r="N895" s="5">
        <f t="shared" si="243"/>
      </c>
      <c r="P895" s="86">
        <f t="shared" si="231"/>
      </c>
      <c r="Q895" s="86">
        <f t="shared" si="232"/>
      </c>
      <c r="R895" s="86">
        <f t="shared" si="233"/>
      </c>
      <c r="S895" s="86">
        <f t="shared" si="234"/>
      </c>
      <c r="T895" s="86">
        <f t="shared" si="244"/>
        <v/>
      </c>
      <c r="U895" s="86">
        <f t="shared" si="245"/>
        <v/>
      </c>
      <c r="V895" s="86">
        <f t="shared" si="246"/>
        <v/>
      </c>
      <c r="W895" s="87">
        <f t="shared" si="235"/>
      </c>
      <c r="X895" s="88"/>
      <c r="Y895" s="88"/>
      <c r="Z895" s="88"/>
      <c r="AA895" s="88"/>
      <c r="AB895" s="88"/>
      <c r="AD895" s="86">
        <f t="shared" si="236"/>
      </c>
      <c r="AE895" s="86">
        <f t="shared" si="237"/>
      </c>
      <c r="AG895" s="86">
        <f t="shared" si="238"/>
      </c>
      <c r="AH895" s="86">
        <f t="shared" si="239"/>
      </c>
      <c r="AI895" s="86">
        <f t="shared" si="240"/>
      </c>
    </row>
    <row r="896" spans="6:35" x14ac:dyDescent="0.3">
      <c r="F896" s="26">
        <f>IF(G896=1,MAX($F$4:F895)+1,"")</f>
        <v/>
      </c>
      <c r="G896" s="26">
        <f>COUNTIF($H$5:H896,H896)</f>
      </c>
      <c r="H896" s="26">
        <f t="shared" si="241"/>
      </c>
      <c r="I896" s="26">
        <f>COUNTIF($J$4:$J896,1)</f>
      </c>
      <c r="J896" s="26">
        <f>COUNTIF($S$5:$S896,S896)</f>
      </c>
      <c r="K896" s="26">
        <f t="shared" si="230"/>
      </c>
      <c r="L896" s="26">
        <f>IFERROR(IF(P896=0,0,MAX($L$4:L895)+1),0)</f>
      </c>
      <c r="M896" s="5">
        <f t="shared" si="242"/>
      </c>
      <c r="N896" s="5">
        <f t="shared" si="243"/>
      </c>
      <c r="P896" s="86">
        <f t="shared" si="231"/>
      </c>
      <c r="Q896" s="86">
        <f t="shared" si="232"/>
      </c>
      <c r="R896" s="86">
        <f t="shared" si="233"/>
      </c>
      <c r="S896" s="86">
        <f t="shared" si="234"/>
      </c>
      <c r="T896" s="86">
        <f t="shared" si="244"/>
        <v/>
      </c>
      <c r="U896" s="86">
        <f t="shared" si="245"/>
        <v/>
      </c>
      <c r="V896" s="86">
        <f t="shared" si="246"/>
        <v/>
      </c>
      <c r="W896" s="87">
        <f t="shared" si="235"/>
      </c>
      <c r="X896" s="88"/>
      <c r="Y896" s="88"/>
      <c r="Z896" s="88"/>
      <c r="AA896" s="88"/>
      <c r="AB896" s="88"/>
      <c r="AD896" s="86">
        <f t="shared" si="236"/>
      </c>
      <c r="AE896" s="86">
        <f t="shared" si="237"/>
      </c>
      <c r="AG896" s="86">
        <f t="shared" si="238"/>
      </c>
      <c r="AH896" s="86">
        <f t="shared" si="239"/>
      </c>
      <c r="AI896" s="86">
        <f t="shared" si="240"/>
      </c>
    </row>
    <row r="897" spans="6:35" x14ac:dyDescent="0.3">
      <c r="F897" s="26">
        <f>IF(G897=1,MAX($F$4:F896)+1,"")</f>
        <v/>
      </c>
      <c r="G897" s="26">
        <f>COUNTIF($H$5:H897,H897)</f>
      </c>
      <c r="H897" s="26">
        <f t="shared" si="241"/>
      </c>
      <c r="I897" s="26">
        <f>COUNTIF($J$4:$J897,1)</f>
      </c>
      <c r="J897" s="26">
        <f>COUNTIF($S$5:$S897,S897)</f>
      </c>
      <c r="K897" s="26">
        <f t="shared" si="230"/>
      </c>
      <c r="L897" s="26">
        <f>IFERROR(IF(P897=0,0,MAX($L$4:L896)+1),0)</f>
      </c>
      <c r="M897" s="5">
        <f t="shared" si="242"/>
      </c>
      <c r="N897" s="5">
        <f t="shared" si="243"/>
      </c>
      <c r="P897" s="86">
        <f t="shared" si="231"/>
      </c>
      <c r="Q897" s="86">
        <f t="shared" si="232"/>
      </c>
      <c r="R897" s="86">
        <f t="shared" si="233"/>
      </c>
      <c r="S897" s="86">
        <f t="shared" si="234"/>
      </c>
      <c r="T897" s="86">
        <f t="shared" si="244"/>
        <v/>
      </c>
      <c r="U897" s="86">
        <f t="shared" si="245"/>
        <v/>
      </c>
      <c r="V897" s="86">
        <f t="shared" si="246"/>
        <v/>
      </c>
      <c r="W897" s="87">
        <f t="shared" si="235"/>
      </c>
      <c r="X897" s="88"/>
      <c r="Y897" s="88"/>
      <c r="Z897" s="88"/>
      <c r="AA897" s="88"/>
      <c r="AB897" s="88"/>
      <c r="AD897" s="86">
        <f t="shared" si="236"/>
      </c>
      <c r="AE897" s="86">
        <f t="shared" si="237"/>
      </c>
      <c r="AG897" s="86">
        <f t="shared" si="238"/>
      </c>
      <c r="AH897" s="86">
        <f t="shared" si="239"/>
      </c>
      <c r="AI897" s="86">
        <f t="shared" si="240"/>
      </c>
    </row>
    <row r="898" spans="6:35" x14ac:dyDescent="0.3">
      <c r="F898" s="26">
        <f>IF(G898=1,MAX($F$4:F897)+1,"")</f>
        <v/>
      </c>
      <c r="G898" s="26">
        <f>COUNTIF($H$5:H898,H898)</f>
      </c>
      <c r="H898" s="26">
        <f t="shared" si="241"/>
      </c>
      <c r="I898" s="26">
        <f>COUNTIF($J$4:$J898,1)</f>
      </c>
      <c r="J898" s="26">
        <f>COUNTIF($S$5:$S898,S898)</f>
      </c>
      <c r="K898" s="26">
        <f t="shared" si="230"/>
      </c>
      <c r="L898" s="26">
        <f>IFERROR(IF(P898=0,0,MAX($L$4:L897)+1),0)</f>
      </c>
      <c r="M898" s="5">
        <f t="shared" si="242"/>
      </c>
      <c r="N898" s="5">
        <f t="shared" si="243"/>
      </c>
      <c r="P898" s="86">
        <f t="shared" si="231"/>
      </c>
      <c r="Q898" s="86">
        <f t="shared" si="232"/>
      </c>
      <c r="R898" s="86">
        <f t="shared" si="233"/>
      </c>
      <c r="S898" s="86">
        <f t="shared" si="234"/>
      </c>
      <c r="T898" s="86">
        <f t="shared" si="244"/>
        <v/>
      </c>
      <c r="U898" s="86">
        <f t="shared" si="245"/>
        <v/>
      </c>
      <c r="V898" s="86">
        <f t="shared" si="246"/>
        <v/>
      </c>
      <c r="W898" s="87">
        <f t="shared" si="235"/>
      </c>
      <c r="X898" s="88"/>
      <c r="Y898" s="88"/>
      <c r="Z898" s="88"/>
      <c r="AA898" s="88"/>
      <c r="AB898" s="88"/>
      <c r="AD898" s="86">
        <f t="shared" si="236"/>
      </c>
      <c r="AE898" s="86">
        <f t="shared" si="237"/>
      </c>
      <c r="AG898" s="86">
        <f t="shared" si="238"/>
      </c>
      <c r="AH898" s="86">
        <f t="shared" si="239"/>
      </c>
      <c r="AI898" s="86">
        <f t="shared" si="240"/>
      </c>
    </row>
    <row r="899" spans="6:35" x14ac:dyDescent="0.3">
      <c r="F899" s="26">
        <f>IF(G899=1,MAX($F$4:F898)+1,"")</f>
        <v/>
      </c>
      <c r="G899" s="26">
        <f>COUNTIF($H$5:H899,H899)</f>
      </c>
      <c r="H899" s="26">
        <f t="shared" si="241"/>
      </c>
      <c r="I899" s="26">
        <f>COUNTIF($J$4:$J899,1)</f>
      </c>
      <c r="J899" s="26">
        <f>COUNTIF($S$5:$S899,S899)</f>
      </c>
      <c r="K899" s="26">
        <f t="shared" si="230"/>
      </c>
      <c r="L899" s="26">
        <f>IFERROR(IF(P899=0,0,MAX($L$4:L898)+1),0)</f>
      </c>
      <c r="M899" s="5">
        <f t="shared" si="242"/>
      </c>
      <c r="N899" s="5">
        <f t="shared" si="243"/>
      </c>
      <c r="P899" s="86">
        <f t="shared" si="231"/>
      </c>
      <c r="Q899" s="86">
        <f t="shared" si="232"/>
      </c>
      <c r="R899" s="86">
        <f t="shared" si="233"/>
      </c>
      <c r="S899" s="86">
        <f t="shared" si="234"/>
      </c>
      <c r="T899" s="86">
        <f t="shared" si="244"/>
        <v/>
      </c>
      <c r="U899" s="86">
        <f t="shared" si="245"/>
        <v/>
      </c>
      <c r="V899" s="86">
        <f t="shared" si="246"/>
        <v/>
      </c>
      <c r="W899" s="87">
        <f t="shared" si="235"/>
      </c>
      <c r="X899" s="88"/>
      <c r="Y899" s="88"/>
      <c r="Z899" s="88"/>
      <c r="AA899" s="88"/>
      <c r="AB899" s="88"/>
      <c r="AD899" s="86">
        <f t="shared" si="236"/>
      </c>
      <c r="AE899" s="86">
        <f t="shared" si="237"/>
      </c>
      <c r="AG899" s="86">
        <f t="shared" si="238"/>
      </c>
      <c r="AH899" s="86">
        <f t="shared" si="239"/>
      </c>
      <c r="AI899" s="86">
        <f t="shared" si="240"/>
      </c>
    </row>
    <row r="900" spans="6:35" x14ac:dyDescent="0.3">
      <c r="F900" s="26">
        <f>IF(G900=1,MAX($F$4:F899)+1,"")</f>
        <v/>
      </c>
      <c r="G900" s="26">
        <f>COUNTIF($H$5:H900,H900)</f>
      </c>
      <c r="H900" s="26">
        <f t="shared" si="241"/>
      </c>
      <c r="I900" s="26">
        <f>COUNTIF($J$4:$J900,1)</f>
      </c>
      <c r="J900" s="26">
        <f>COUNTIF($S$5:$S900,S900)</f>
      </c>
      <c r="K900" s="26">
        <f t="shared" si="230"/>
      </c>
      <c r="L900" s="26">
        <f>IFERROR(IF(P900=0,0,MAX($L$4:L899)+1),0)</f>
      </c>
      <c r="M900" s="5">
        <f t="shared" si="242"/>
      </c>
      <c r="N900" s="5">
        <f t="shared" si="243"/>
      </c>
      <c r="P900" s="86">
        <f t="shared" si="231"/>
      </c>
      <c r="Q900" s="86">
        <f t="shared" si="232"/>
      </c>
      <c r="R900" s="86">
        <f t="shared" si="233"/>
      </c>
      <c r="S900" s="86">
        <f t="shared" si="234"/>
      </c>
      <c r="T900" s="86">
        <f t="shared" si="244"/>
        <v/>
      </c>
      <c r="U900" s="86">
        <f t="shared" si="245"/>
        <v/>
      </c>
      <c r="V900" s="86">
        <f t="shared" si="246"/>
        <v/>
      </c>
      <c r="W900" s="87">
        <f t="shared" si="235"/>
      </c>
      <c r="X900" s="88"/>
      <c r="Y900" s="88"/>
      <c r="Z900" s="88"/>
      <c r="AA900" s="88"/>
      <c r="AB900" s="88"/>
      <c r="AD900" s="86">
        <f t="shared" si="236"/>
      </c>
      <c r="AE900" s="86">
        <f t="shared" si="237"/>
      </c>
      <c r="AG900" s="86">
        <f t="shared" si="238"/>
      </c>
      <c r="AH900" s="86">
        <f t="shared" si="239"/>
      </c>
      <c r="AI900" s="86">
        <f t="shared" si="240"/>
      </c>
    </row>
    <row r="901" spans="6:35" x14ac:dyDescent="0.3">
      <c r="F901" s="26">
        <f>IF(G901=1,MAX($F$4:F900)+1,"")</f>
        <v/>
      </c>
      <c r="G901" s="26">
        <f>COUNTIF($H$5:H901,H901)</f>
      </c>
      <c r="H901" s="26">
        <f t="shared" si="241"/>
      </c>
      <c r="I901" s="26">
        <f>COUNTIF($J$4:$J901,1)</f>
      </c>
      <c r="J901" s="26">
        <f>COUNTIF($S$5:$S901,S901)</f>
      </c>
      <c r="K901" s="26">
        <f t="shared" ref="K901:K964" si="247">VLOOKUP(P901,Исходные_данные,19,FALSE)</f>
      </c>
      <c r="L901" s="26">
        <f>IFERROR(IF(P901=0,0,MAX($L$4:L900)+1),0)</f>
      </c>
      <c r="M901" s="5">
        <f t="shared" si="242"/>
      </c>
      <c r="N901" s="5">
        <f t="shared" si="243"/>
      </c>
      <c r="P901" s="86">
        <f t="shared" ref="P901:P964" si="248">VLOOKUP(ROW(897:897),Разбивка_нумерация_5,4,FALSE)</f>
      </c>
      <c r="Q901" s="86">
        <f t="shared" ref="Q901:Q964" si="249">IF(VLOOKUP(ROW(897:897),Разбивка_нумерация_5,3,FALSE)=0,VLOOKUP(ROW(897:897),Разбивка_нумерация_5,2,FALSE),VLOOKUP(ROW(897:897),Разбивка_нумерация_5,3,FALSE))</f>
      </c>
      <c r="R901" s="86">
        <f t="shared" ref="R901:R964" si="250">VLOOKUP(ROW(897:897),Разбивка_нумерация_5,6,FALSE)</f>
      </c>
      <c r="S901" s="86">
        <f t="shared" ref="S901:S964" si="251">VLOOKUP(ROW(897:897),Разбивка_нумерация_5,17,FALSE)</f>
      </c>
      <c r="T901" s="86">
        <f t="shared" si="244"/>
        <v/>
      </c>
      <c r="U901" s="86">
        <f t="shared" si="245"/>
        <v/>
      </c>
      <c r="V901" s="86">
        <f t="shared" si="246"/>
        <v/>
      </c>
      <c r="W901" s="87">
        <f t="shared" ref="W901:W964" si="252">VLOOKUP(P901,Исходные_данные,13,FALSE)</f>
      </c>
      <c r="X901" s="88"/>
      <c r="Y901" s="88"/>
      <c r="Z901" s="88"/>
      <c r="AA901" s="88"/>
      <c r="AB901" s="88"/>
      <c r="AD901" s="86">
        <f t="shared" ref="AD901:AD964" si="253">VLOOKUP(S901,Кабель_диаметр,4,FALSE)</f>
      </c>
      <c r="AE901" s="86">
        <f t="shared" ref="AE901:AE964" si="254">VLOOKUP(S901,Кабель_диаметр,5,FALSE)</f>
      </c>
      <c r="AG901" s="86">
        <f t="shared" ref="AG901:AG964" si="255">IFERROR(VLOOKUP(P901,Исходные_данные,10,FALSE),0)</f>
      </c>
      <c r="AH901" s="86">
        <f t="shared" ref="AH901:AH964" si="256">IFERROR(VLOOKUP(P901,Исходные_данные,11,FALSE),0)</f>
      </c>
      <c r="AI901" s="86">
        <f t="shared" ref="AI901:AI964" si="257">IFERROR(VLOOKUP(P901,Исходные_данные,12,FALSE),0)</f>
      </c>
    </row>
    <row r="902" spans="6:35" x14ac:dyDescent="0.3">
      <c r="F902" s="26">
        <f>IF(G902=1,MAX($F$4:F901)+1,"")</f>
        <v/>
      </c>
      <c r="G902" s="26">
        <f>COUNTIF($H$5:H902,H902)</f>
      </c>
      <c r="H902" s="26">
        <f t="shared" ref="H902:H965" si="258">S902&amp;" "&amp;K902</f>
      </c>
      <c r="I902" s="26">
        <f>COUNTIF($J$4:$J902,1)</f>
      </c>
      <c r="J902" s="26">
        <f>COUNTIF($S$5:$S902,S902)</f>
      </c>
      <c r="K902" s="26">
        <f t="shared" si="247"/>
      </c>
      <c r="L902" s="26">
        <f>IFERROR(IF(P902=0,0,MAX($L$4:L901)+1),0)</f>
      </c>
      <c r="M902" s="5">
        <f t="shared" ref="M902:M965" si="259">LEFT(P902,SEARCH(".",P902)-1)</f>
      </c>
      <c r="N902" s="5">
        <f t="shared" ref="N902:N965" si="260">LEFT(RIGHT(P902,LEN(P902)-LEN(M902)-1),SEARCH(".",P902)-1)</f>
      </c>
      <c r="P902" s="86">
        <f t="shared" si="248"/>
      </c>
      <c r="Q902" s="86">
        <f t="shared" si="249"/>
      </c>
      <c r="R902" s="86">
        <f t="shared" si="250"/>
      </c>
      <c r="S902" s="86">
        <f t="shared" si="251"/>
      </c>
      <c r="T902" s="86">
        <f t="shared" ref="T902:T965" si="261">IF(AG902=0,"","L="&amp;AG902)</f>
        <v/>
      </c>
      <c r="U902" s="86">
        <f t="shared" ref="U902:U965" si="262">IF(AH902=0,"",AD902&amp;" L="&amp;AH902)</f>
        <v/>
      </c>
      <c r="V902" s="86">
        <f t="shared" ref="V902:V965" si="263">IF(AI902=0,"",AE902&amp;" L="&amp;AI902)</f>
        <v/>
      </c>
      <c r="W902" s="87">
        <f t="shared" si="252"/>
      </c>
      <c r="X902" s="88"/>
      <c r="Y902" s="88"/>
      <c r="Z902" s="88"/>
      <c r="AA902" s="88"/>
      <c r="AB902" s="88"/>
      <c r="AD902" s="86">
        <f t="shared" si="253"/>
      </c>
      <c r="AE902" s="86">
        <f t="shared" si="254"/>
      </c>
      <c r="AG902" s="86">
        <f t="shared" si="255"/>
      </c>
      <c r="AH902" s="86">
        <f t="shared" si="256"/>
      </c>
      <c r="AI902" s="86">
        <f t="shared" si="257"/>
      </c>
    </row>
    <row r="903" spans="6:35" x14ac:dyDescent="0.3">
      <c r="F903" s="26">
        <f>IF(G903=1,MAX($F$4:F902)+1,"")</f>
        <v/>
      </c>
      <c r="G903" s="26">
        <f>COUNTIF($H$5:H903,H903)</f>
      </c>
      <c r="H903" s="26">
        <f t="shared" si="258"/>
      </c>
      <c r="I903" s="26">
        <f>COUNTIF($J$4:$J903,1)</f>
      </c>
      <c r="J903" s="26">
        <f>COUNTIF($S$5:$S903,S903)</f>
      </c>
      <c r="K903" s="26">
        <f t="shared" si="247"/>
      </c>
      <c r="L903" s="26">
        <f>IFERROR(IF(P903=0,0,MAX($L$4:L902)+1),0)</f>
      </c>
      <c r="M903" s="5">
        <f t="shared" si="259"/>
      </c>
      <c r="N903" s="5">
        <f t="shared" si="260"/>
      </c>
      <c r="P903" s="86">
        <f t="shared" si="248"/>
      </c>
      <c r="Q903" s="86">
        <f t="shared" si="249"/>
      </c>
      <c r="R903" s="86">
        <f t="shared" si="250"/>
      </c>
      <c r="S903" s="86">
        <f t="shared" si="251"/>
      </c>
      <c r="T903" s="86">
        <f t="shared" si="261"/>
        <v/>
      </c>
      <c r="U903" s="86">
        <f t="shared" si="262"/>
        <v/>
      </c>
      <c r="V903" s="86">
        <f t="shared" si="263"/>
        <v/>
      </c>
      <c r="W903" s="87">
        <f t="shared" si="252"/>
      </c>
      <c r="X903" s="88"/>
      <c r="Y903" s="88"/>
      <c r="Z903" s="88"/>
      <c r="AA903" s="88"/>
      <c r="AB903" s="88"/>
      <c r="AD903" s="86">
        <f t="shared" si="253"/>
      </c>
      <c r="AE903" s="86">
        <f t="shared" si="254"/>
      </c>
      <c r="AG903" s="86">
        <f t="shared" si="255"/>
      </c>
      <c r="AH903" s="86">
        <f t="shared" si="256"/>
      </c>
      <c r="AI903" s="86">
        <f t="shared" si="257"/>
      </c>
    </row>
    <row r="904" spans="6:35" x14ac:dyDescent="0.3">
      <c r="F904" s="26">
        <f>IF(G904=1,MAX($F$4:F903)+1,"")</f>
        <v/>
      </c>
      <c r="G904" s="26">
        <f>COUNTIF($H$5:H904,H904)</f>
      </c>
      <c r="H904" s="26">
        <f t="shared" si="258"/>
      </c>
      <c r="I904" s="26">
        <f>COUNTIF($J$4:$J904,1)</f>
      </c>
      <c r="J904" s="26">
        <f>COUNTIF($S$5:$S904,S904)</f>
      </c>
      <c r="K904" s="26">
        <f t="shared" si="247"/>
      </c>
      <c r="L904" s="26">
        <f>IFERROR(IF(P904=0,0,MAX($L$4:L903)+1),0)</f>
      </c>
      <c r="M904" s="5">
        <f t="shared" si="259"/>
      </c>
      <c r="N904" s="5">
        <f t="shared" si="260"/>
      </c>
      <c r="P904" s="86">
        <f t="shared" si="248"/>
      </c>
      <c r="Q904" s="86">
        <f t="shared" si="249"/>
      </c>
      <c r="R904" s="86">
        <f t="shared" si="250"/>
      </c>
      <c r="S904" s="86">
        <f t="shared" si="251"/>
      </c>
      <c r="T904" s="86">
        <f t="shared" si="261"/>
        <v/>
      </c>
      <c r="U904" s="86">
        <f t="shared" si="262"/>
        <v/>
      </c>
      <c r="V904" s="86">
        <f t="shared" si="263"/>
        <v/>
      </c>
      <c r="W904" s="87">
        <f t="shared" si="252"/>
      </c>
      <c r="X904" s="88"/>
      <c r="Y904" s="88"/>
      <c r="Z904" s="88"/>
      <c r="AA904" s="88"/>
      <c r="AB904" s="88"/>
      <c r="AD904" s="86">
        <f t="shared" si="253"/>
      </c>
      <c r="AE904" s="86">
        <f t="shared" si="254"/>
      </c>
      <c r="AG904" s="86">
        <f t="shared" si="255"/>
      </c>
      <c r="AH904" s="86">
        <f t="shared" si="256"/>
      </c>
      <c r="AI904" s="86">
        <f t="shared" si="257"/>
      </c>
    </row>
    <row r="905" spans="6:35" x14ac:dyDescent="0.3">
      <c r="F905" s="26">
        <f>IF(G905=1,MAX($F$4:F904)+1,"")</f>
        <v/>
      </c>
      <c r="G905" s="26">
        <f>COUNTIF($H$5:H905,H905)</f>
      </c>
      <c r="H905" s="26">
        <f t="shared" si="258"/>
      </c>
      <c r="I905" s="26">
        <f>COUNTIF($J$4:$J905,1)</f>
      </c>
      <c r="J905" s="26">
        <f>COUNTIF($S$5:$S905,S905)</f>
      </c>
      <c r="K905" s="26">
        <f t="shared" si="247"/>
      </c>
      <c r="L905" s="26">
        <f>IFERROR(IF(P905=0,0,MAX($L$4:L904)+1),0)</f>
      </c>
      <c r="M905" s="5">
        <f t="shared" si="259"/>
      </c>
      <c r="N905" s="5">
        <f t="shared" si="260"/>
      </c>
      <c r="P905" s="86">
        <f t="shared" si="248"/>
      </c>
      <c r="Q905" s="86">
        <f t="shared" si="249"/>
      </c>
      <c r="R905" s="86">
        <f t="shared" si="250"/>
      </c>
      <c r="S905" s="86">
        <f t="shared" si="251"/>
      </c>
      <c r="T905" s="86">
        <f t="shared" si="261"/>
        <v/>
      </c>
      <c r="U905" s="86">
        <f t="shared" si="262"/>
        <v/>
      </c>
      <c r="V905" s="86">
        <f t="shared" si="263"/>
        <v/>
      </c>
      <c r="W905" s="87">
        <f t="shared" si="252"/>
      </c>
      <c r="X905" s="88"/>
      <c r="Y905" s="88"/>
      <c r="Z905" s="88"/>
      <c r="AA905" s="88"/>
      <c r="AB905" s="88"/>
      <c r="AD905" s="86">
        <f t="shared" si="253"/>
      </c>
      <c r="AE905" s="86">
        <f t="shared" si="254"/>
      </c>
      <c r="AG905" s="86">
        <f t="shared" si="255"/>
      </c>
      <c r="AH905" s="86">
        <f t="shared" si="256"/>
      </c>
      <c r="AI905" s="86">
        <f t="shared" si="257"/>
      </c>
    </row>
    <row r="906" spans="6:35" x14ac:dyDescent="0.3">
      <c r="F906" s="26">
        <f>IF(G906=1,MAX($F$4:F905)+1,"")</f>
        <v/>
      </c>
      <c r="G906" s="26">
        <f>COUNTIF($H$5:H906,H906)</f>
      </c>
      <c r="H906" s="26">
        <f t="shared" si="258"/>
      </c>
      <c r="I906" s="26">
        <f>COUNTIF($J$4:$J906,1)</f>
      </c>
      <c r="J906" s="26">
        <f>COUNTIF($S$5:$S906,S906)</f>
      </c>
      <c r="K906" s="26">
        <f t="shared" si="247"/>
      </c>
      <c r="L906" s="26">
        <f>IFERROR(IF(P906=0,0,MAX($L$4:L905)+1),0)</f>
      </c>
      <c r="M906" s="5">
        <f t="shared" si="259"/>
      </c>
      <c r="N906" s="5">
        <f t="shared" si="260"/>
      </c>
      <c r="P906" s="86">
        <f t="shared" si="248"/>
      </c>
      <c r="Q906" s="86">
        <f t="shared" si="249"/>
      </c>
      <c r="R906" s="86">
        <f t="shared" si="250"/>
      </c>
      <c r="S906" s="86">
        <f t="shared" si="251"/>
      </c>
      <c r="T906" s="86">
        <f t="shared" si="261"/>
        <v/>
      </c>
      <c r="U906" s="86">
        <f t="shared" si="262"/>
        <v/>
      </c>
      <c r="V906" s="86">
        <f t="shared" si="263"/>
        <v/>
      </c>
      <c r="W906" s="87">
        <f t="shared" si="252"/>
      </c>
      <c r="X906" s="88"/>
      <c r="Y906" s="88"/>
      <c r="Z906" s="88"/>
      <c r="AA906" s="88"/>
      <c r="AB906" s="88"/>
      <c r="AD906" s="86">
        <f t="shared" si="253"/>
      </c>
      <c r="AE906" s="86">
        <f t="shared" si="254"/>
      </c>
      <c r="AG906" s="86">
        <f t="shared" si="255"/>
      </c>
      <c r="AH906" s="86">
        <f t="shared" si="256"/>
      </c>
      <c r="AI906" s="86">
        <f t="shared" si="257"/>
      </c>
    </row>
    <row r="907" spans="6:35" x14ac:dyDescent="0.3">
      <c r="F907" s="26">
        <f>IF(G907=1,MAX($F$4:F906)+1,"")</f>
        <v/>
      </c>
      <c r="G907" s="26">
        <f>COUNTIF($H$5:H907,H907)</f>
      </c>
      <c r="H907" s="26">
        <f t="shared" si="258"/>
      </c>
      <c r="I907" s="26">
        <f>COUNTIF($J$4:$J907,1)</f>
      </c>
      <c r="J907" s="26">
        <f>COUNTIF($S$5:$S907,S907)</f>
      </c>
      <c r="K907" s="26">
        <f t="shared" si="247"/>
      </c>
      <c r="L907" s="26">
        <f>IFERROR(IF(P907=0,0,MAX($L$4:L906)+1),0)</f>
      </c>
      <c r="M907" s="5">
        <f t="shared" si="259"/>
      </c>
      <c r="N907" s="5">
        <f t="shared" si="260"/>
      </c>
      <c r="P907" s="86">
        <f t="shared" si="248"/>
      </c>
      <c r="Q907" s="86">
        <f t="shared" si="249"/>
      </c>
      <c r="R907" s="86">
        <f t="shared" si="250"/>
      </c>
      <c r="S907" s="86">
        <f t="shared" si="251"/>
      </c>
      <c r="T907" s="86">
        <f t="shared" si="261"/>
        <v/>
      </c>
      <c r="U907" s="86">
        <f t="shared" si="262"/>
        <v/>
      </c>
      <c r="V907" s="86">
        <f t="shared" si="263"/>
        <v/>
      </c>
      <c r="W907" s="87">
        <f t="shared" si="252"/>
      </c>
      <c r="X907" s="88"/>
      <c r="Y907" s="88"/>
      <c r="Z907" s="88"/>
      <c r="AA907" s="88"/>
      <c r="AB907" s="88"/>
      <c r="AD907" s="86">
        <f t="shared" si="253"/>
      </c>
      <c r="AE907" s="86">
        <f t="shared" si="254"/>
      </c>
      <c r="AG907" s="86">
        <f t="shared" si="255"/>
      </c>
      <c r="AH907" s="86">
        <f t="shared" si="256"/>
      </c>
      <c r="AI907" s="86">
        <f t="shared" si="257"/>
      </c>
    </row>
    <row r="908" spans="6:35" x14ac:dyDescent="0.3">
      <c r="F908" s="26">
        <f>IF(G908=1,MAX($F$4:F907)+1,"")</f>
        <v/>
      </c>
      <c r="G908" s="26">
        <f>COUNTIF($H$5:H908,H908)</f>
      </c>
      <c r="H908" s="26">
        <f t="shared" si="258"/>
      </c>
      <c r="I908" s="26">
        <f>COUNTIF($J$4:$J908,1)</f>
      </c>
      <c r="J908" s="26">
        <f>COUNTIF($S$5:$S908,S908)</f>
      </c>
      <c r="K908" s="26">
        <f t="shared" si="247"/>
      </c>
      <c r="L908" s="26">
        <f>IFERROR(IF(P908=0,0,MAX($L$4:L907)+1),0)</f>
      </c>
      <c r="M908" s="5">
        <f t="shared" si="259"/>
      </c>
      <c r="N908" s="5">
        <f t="shared" si="260"/>
      </c>
      <c r="P908" s="86">
        <f t="shared" si="248"/>
      </c>
      <c r="Q908" s="86">
        <f t="shared" si="249"/>
      </c>
      <c r="R908" s="86">
        <f t="shared" si="250"/>
      </c>
      <c r="S908" s="86">
        <f t="shared" si="251"/>
      </c>
      <c r="T908" s="86">
        <f t="shared" si="261"/>
        <v/>
      </c>
      <c r="U908" s="86">
        <f t="shared" si="262"/>
        <v/>
      </c>
      <c r="V908" s="86">
        <f t="shared" si="263"/>
        <v/>
      </c>
      <c r="W908" s="87">
        <f t="shared" si="252"/>
      </c>
      <c r="X908" s="88"/>
      <c r="Y908" s="88"/>
      <c r="Z908" s="88"/>
      <c r="AA908" s="88"/>
      <c r="AB908" s="88"/>
      <c r="AD908" s="86">
        <f t="shared" si="253"/>
      </c>
      <c r="AE908" s="86">
        <f t="shared" si="254"/>
      </c>
      <c r="AG908" s="86">
        <f t="shared" si="255"/>
      </c>
      <c r="AH908" s="86">
        <f t="shared" si="256"/>
      </c>
      <c r="AI908" s="86">
        <f t="shared" si="257"/>
      </c>
    </row>
    <row r="909" spans="6:35" x14ac:dyDescent="0.3">
      <c r="F909" s="26">
        <f>IF(G909=1,MAX($F$4:F908)+1,"")</f>
        <v/>
      </c>
      <c r="G909" s="26">
        <f>COUNTIF($H$5:H909,H909)</f>
      </c>
      <c r="H909" s="26">
        <f t="shared" si="258"/>
      </c>
      <c r="I909" s="26">
        <f>COUNTIF($J$4:$J909,1)</f>
      </c>
      <c r="J909" s="26">
        <f>COUNTIF($S$5:$S909,S909)</f>
      </c>
      <c r="K909" s="26">
        <f t="shared" si="247"/>
      </c>
      <c r="L909" s="26">
        <f>IFERROR(IF(P909=0,0,MAX($L$4:L908)+1),0)</f>
      </c>
      <c r="M909" s="5">
        <f t="shared" si="259"/>
      </c>
      <c r="N909" s="5">
        <f t="shared" si="260"/>
      </c>
      <c r="P909" s="86">
        <f t="shared" si="248"/>
      </c>
      <c r="Q909" s="86">
        <f t="shared" si="249"/>
      </c>
      <c r="R909" s="86">
        <f t="shared" si="250"/>
      </c>
      <c r="S909" s="86">
        <f t="shared" si="251"/>
      </c>
      <c r="T909" s="86">
        <f t="shared" si="261"/>
        <v/>
      </c>
      <c r="U909" s="86">
        <f t="shared" si="262"/>
        <v/>
      </c>
      <c r="V909" s="86">
        <f t="shared" si="263"/>
        <v/>
      </c>
      <c r="W909" s="87">
        <f t="shared" si="252"/>
      </c>
      <c r="X909" s="88"/>
      <c r="Y909" s="88"/>
      <c r="Z909" s="88"/>
      <c r="AA909" s="88"/>
      <c r="AB909" s="88"/>
      <c r="AD909" s="86">
        <f t="shared" si="253"/>
      </c>
      <c r="AE909" s="86">
        <f t="shared" si="254"/>
      </c>
      <c r="AG909" s="86">
        <f t="shared" si="255"/>
      </c>
      <c r="AH909" s="86">
        <f t="shared" si="256"/>
      </c>
      <c r="AI909" s="86">
        <f t="shared" si="257"/>
      </c>
    </row>
    <row r="910" spans="6:35" x14ac:dyDescent="0.3">
      <c r="F910" s="26">
        <f>IF(G910=1,MAX($F$4:F909)+1,"")</f>
        <v/>
      </c>
      <c r="G910" s="26">
        <f>COUNTIF($H$5:H910,H910)</f>
      </c>
      <c r="H910" s="26">
        <f t="shared" si="258"/>
      </c>
      <c r="I910" s="26">
        <f>COUNTIF($J$4:$J910,1)</f>
      </c>
      <c r="J910" s="26">
        <f>COUNTIF($S$5:$S910,S910)</f>
      </c>
      <c r="K910" s="26">
        <f t="shared" si="247"/>
      </c>
      <c r="L910" s="26">
        <f>IFERROR(IF(P910=0,0,MAX($L$4:L909)+1),0)</f>
      </c>
      <c r="M910" s="5">
        <f t="shared" si="259"/>
      </c>
      <c r="N910" s="5">
        <f t="shared" si="260"/>
      </c>
      <c r="P910" s="86">
        <f t="shared" si="248"/>
      </c>
      <c r="Q910" s="86">
        <f t="shared" si="249"/>
      </c>
      <c r="R910" s="86">
        <f t="shared" si="250"/>
      </c>
      <c r="S910" s="86">
        <f t="shared" si="251"/>
      </c>
      <c r="T910" s="86">
        <f t="shared" si="261"/>
        <v/>
      </c>
      <c r="U910" s="86">
        <f t="shared" si="262"/>
        <v/>
      </c>
      <c r="V910" s="86">
        <f t="shared" si="263"/>
        <v/>
      </c>
      <c r="W910" s="87">
        <f t="shared" si="252"/>
      </c>
      <c r="X910" s="88"/>
      <c r="Y910" s="88"/>
      <c r="Z910" s="88"/>
      <c r="AA910" s="88"/>
      <c r="AB910" s="88"/>
      <c r="AD910" s="86">
        <f t="shared" si="253"/>
      </c>
      <c r="AE910" s="86">
        <f t="shared" si="254"/>
      </c>
      <c r="AG910" s="86">
        <f t="shared" si="255"/>
      </c>
      <c r="AH910" s="86">
        <f t="shared" si="256"/>
      </c>
      <c r="AI910" s="86">
        <f t="shared" si="257"/>
      </c>
    </row>
    <row r="911" spans="6:35" x14ac:dyDescent="0.3">
      <c r="F911" s="26">
        <f>IF(G911=1,MAX($F$4:F910)+1,"")</f>
        <v/>
      </c>
      <c r="G911" s="26">
        <f>COUNTIF($H$5:H911,H911)</f>
      </c>
      <c r="H911" s="26">
        <f t="shared" si="258"/>
      </c>
      <c r="I911" s="26">
        <f>COUNTIF($J$4:$J911,1)</f>
      </c>
      <c r="J911" s="26">
        <f>COUNTIF($S$5:$S911,S911)</f>
      </c>
      <c r="K911" s="26">
        <f t="shared" si="247"/>
      </c>
      <c r="L911" s="26">
        <f>IFERROR(IF(P911=0,0,MAX($L$4:L910)+1),0)</f>
      </c>
      <c r="M911" s="5">
        <f t="shared" si="259"/>
      </c>
      <c r="N911" s="5">
        <f t="shared" si="260"/>
      </c>
      <c r="P911" s="86">
        <f t="shared" si="248"/>
      </c>
      <c r="Q911" s="86">
        <f t="shared" si="249"/>
      </c>
      <c r="R911" s="86">
        <f t="shared" si="250"/>
      </c>
      <c r="S911" s="86">
        <f t="shared" si="251"/>
      </c>
      <c r="T911" s="86">
        <f t="shared" si="261"/>
        <v/>
      </c>
      <c r="U911" s="86">
        <f t="shared" si="262"/>
        <v/>
      </c>
      <c r="V911" s="86">
        <f t="shared" si="263"/>
        <v/>
      </c>
      <c r="W911" s="87">
        <f t="shared" si="252"/>
      </c>
      <c r="X911" s="88"/>
      <c r="Y911" s="88"/>
      <c r="Z911" s="88"/>
      <c r="AA911" s="88"/>
      <c r="AB911" s="88"/>
      <c r="AD911" s="86">
        <f t="shared" si="253"/>
      </c>
      <c r="AE911" s="86">
        <f t="shared" si="254"/>
      </c>
      <c r="AG911" s="86">
        <f t="shared" si="255"/>
      </c>
      <c r="AH911" s="86">
        <f t="shared" si="256"/>
      </c>
      <c r="AI911" s="86">
        <f t="shared" si="257"/>
      </c>
    </row>
    <row r="912" spans="6:35" x14ac:dyDescent="0.3">
      <c r="F912" s="26">
        <f>IF(G912=1,MAX($F$4:F911)+1,"")</f>
        <v/>
      </c>
      <c r="G912" s="26">
        <f>COUNTIF($H$5:H912,H912)</f>
      </c>
      <c r="H912" s="26">
        <f t="shared" si="258"/>
      </c>
      <c r="I912" s="26">
        <f>COUNTIF($J$4:$J912,1)</f>
      </c>
      <c r="J912" s="26">
        <f>COUNTIF($S$5:$S912,S912)</f>
      </c>
      <c r="K912" s="26">
        <f t="shared" si="247"/>
      </c>
      <c r="L912" s="26">
        <f>IFERROR(IF(P912=0,0,MAX($L$4:L911)+1),0)</f>
      </c>
      <c r="M912" s="5">
        <f t="shared" si="259"/>
      </c>
      <c r="N912" s="5">
        <f t="shared" si="260"/>
      </c>
      <c r="P912" s="86">
        <f t="shared" si="248"/>
      </c>
      <c r="Q912" s="86">
        <f t="shared" si="249"/>
      </c>
      <c r="R912" s="86">
        <f t="shared" si="250"/>
      </c>
      <c r="S912" s="86">
        <f t="shared" si="251"/>
      </c>
      <c r="T912" s="86">
        <f t="shared" si="261"/>
        <v/>
      </c>
      <c r="U912" s="86">
        <f t="shared" si="262"/>
        <v/>
      </c>
      <c r="V912" s="86">
        <f t="shared" si="263"/>
        <v/>
      </c>
      <c r="W912" s="87">
        <f t="shared" si="252"/>
      </c>
      <c r="X912" s="88"/>
      <c r="Y912" s="88"/>
      <c r="Z912" s="88"/>
      <c r="AA912" s="88"/>
      <c r="AB912" s="88"/>
      <c r="AD912" s="86">
        <f t="shared" si="253"/>
      </c>
      <c r="AE912" s="86">
        <f t="shared" si="254"/>
      </c>
      <c r="AG912" s="86">
        <f t="shared" si="255"/>
      </c>
      <c r="AH912" s="86">
        <f t="shared" si="256"/>
      </c>
      <c r="AI912" s="86">
        <f t="shared" si="257"/>
      </c>
    </row>
    <row r="913" spans="6:35" x14ac:dyDescent="0.3">
      <c r="F913" s="26">
        <f>IF(G913=1,MAX($F$4:F912)+1,"")</f>
        <v/>
      </c>
      <c r="G913" s="26">
        <f>COUNTIF($H$5:H913,H913)</f>
      </c>
      <c r="H913" s="26">
        <f t="shared" si="258"/>
      </c>
      <c r="I913" s="26">
        <f>COUNTIF($J$4:$J913,1)</f>
      </c>
      <c r="J913" s="26">
        <f>COUNTIF($S$5:$S913,S913)</f>
      </c>
      <c r="K913" s="26">
        <f t="shared" si="247"/>
      </c>
      <c r="L913" s="26">
        <f>IFERROR(IF(P913=0,0,MAX($L$4:L912)+1),0)</f>
      </c>
      <c r="M913" s="5">
        <f t="shared" si="259"/>
      </c>
      <c r="N913" s="5">
        <f t="shared" si="260"/>
      </c>
      <c r="P913" s="86">
        <f t="shared" si="248"/>
      </c>
      <c r="Q913" s="86">
        <f t="shared" si="249"/>
      </c>
      <c r="R913" s="86">
        <f t="shared" si="250"/>
      </c>
      <c r="S913" s="86">
        <f t="shared" si="251"/>
      </c>
      <c r="T913" s="86">
        <f t="shared" si="261"/>
        <v/>
      </c>
      <c r="U913" s="86">
        <f t="shared" si="262"/>
        <v/>
      </c>
      <c r="V913" s="86">
        <f t="shared" si="263"/>
        <v/>
      </c>
      <c r="W913" s="87">
        <f t="shared" si="252"/>
      </c>
      <c r="X913" s="88"/>
      <c r="Y913" s="88"/>
      <c r="Z913" s="88"/>
      <c r="AA913" s="88"/>
      <c r="AB913" s="88"/>
      <c r="AD913" s="86">
        <f t="shared" si="253"/>
      </c>
      <c r="AE913" s="86">
        <f t="shared" si="254"/>
      </c>
      <c r="AG913" s="86">
        <f t="shared" si="255"/>
      </c>
      <c r="AH913" s="86">
        <f t="shared" si="256"/>
      </c>
      <c r="AI913" s="86">
        <f t="shared" si="257"/>
      </c>
    </row>
    <row r="914" spans="6:35" x14ac:dyDescent="0.3">
      <c r="F914" s="26">
        <f>IF(G914=1,MAX($F$4:F913)+1,"")</f>
        <v/>
      </c>
      <c r="G914" s="26">
        <f>COUNTIF($H$5:H914,H914)</f>
      </c>
      <c r="H914" s="26">
        <f t="shared" si="258"/>
      </c>
      <c r="I914" s="26">
        <f>COUNTIF($J$4:$J914,1)</f>
      </c>
      <c r="J914" s="26">
        <f>COUNTIF($S$5:$S914,S914)</f>
      </c>
      <c r="K914" s="26">
        <f t="shared" si="247"/>
      </c>
      <c r="L914" s="26">
        <f>IFERROR(IF(P914=0,0,MAX($L$4:L913)+1),0)</f>
      </c>
      <c r="M914" s="5">
        <f t="shared" si="259"/>
      </c>
      <c r="N914" s="5">
        <f t="shared" si="260"/>
      </c>
      <c r="P914" s="86">
        <f t="shared" si="248"/>
      </c>
      <c r="Q914" s="86">
        <f t="shared" si="249"/>
      </c>
      <c r="R914" s="86">
        <f t="shared" si="250"/>
      </c>
      <c r="S914" s="86">
        <f t="shared" si="251"/>
      </c>
      <c r="T914" s="86">
        <f t="shared" si="261"/>
        <v/>
      </c>
      <c r="U914" s="86">
        <f t="shared" si="262"/>
        <v/>
      </c>
      <c r="V914" s="86">
        <f t="shared" si="263"/>
        <v/>
      </c>
      <c r="W914" s="87">
        <f t="shared" si="252"/>
      </c>
      <c r="X914" s="88"/>
      <c r="Y914" s="88"/>
      <c r="Z914" s="88"/>
      <c r="AA914" s="88"/>
      <c r="AB914" s="88"/>
      <c r="AD914" s="86">
        <f t="shared" si="253"/>
      </c>
      <c r="AE914" s="86">
        <f t="shared" si="254"/>
      </c>
      <c r="AG914" s="86">
        <f t="shared" si="255"/>
      </c>
      <c r="AH914" s="86">
        <f t="shared" si="256"/>
      </c>
      <c r="AI914" s="86">
        <f t="shared" si="257"/>
      </c>
    </row>
    <row r="915" spans="6:35" x14ac:dyDescent="0.3">
      <c r="F915" s="26">
        <f>IF(G915=1,MAX($F$4:F914)+1,"")</f>
        <v/>
      </c>
      <c r="G915" s="26">
        <f>COUNTIF($H$5:H915,H915)</f>
      </c>
      <c r="H915" s="26">
        <f t="shared" si="258"/>
      </c>
      <c r="I915" s="26">
        <f>COUNTIF($J$4:$J915,1)</f>
      </c>
      <c r="J915" s="26">
        <f>COUNTIF($S$5:$S915,S915)</f>
      </c>
      <c r="K915" s="26">
        <f t="shared" si="247"/>
      </c>
      <c r="L915" s="26">
        <f>IFERROR(IF(P915=0,0,MAX($L$4:L914)+1),0)</f>
      </c>
      <c r="M915" s="5">
        <f t="shared" si="259"/>
      </c>
      <c r="N915" s="5">
        <f t="shared" si="260"/>
      </c>
      <c r="P915" s="86">
        <f t="shared" si="248"/>
      </c>
      <c r="Q915" s="86">
        <f t="shared" si="249"/>
      </c>
      <c r="R915" s="86">
        <f t="shared" si="250"/>
      </c>
      <c r="S915" s="86">
        <f t="shared" si="251"/>
      </c>
      <c r="T915" s="86">
        <f t="shared" si="261"/>
        <v/>
      </c>
      <c r="U915" s="86">
        <f t="shared" si="262"/>
        <v/>
      </c>
      <c r="V915" s="86">
        <f t="shared" si="263"/>
        <v/>
      </c>
      <c r="W915" s="87">
        <f t="shared" si="252"/>
      </c>
      <c r="X915" s="88"/>
      <c r="Y915" s="88"/>
      <c r="Z915" s="88"/>
      <c r="AA915" s="88"/>
      <c r="AB915" s="88"/>
      <c r="AD915" s="86">
        <f t="shared" si="253"/>
      </c>
      <c r="AE915" s="86">
        <f t="shared" si="254"/>
      </c>
      <c r="AG915" s="86">
        <f t="shared" si="255"/>
      </c>
      <c r="AH915" s="86">
        <f t="shared" si="256"/>
      </c>
      <c r="AI915" s="86">
        <f t="shared" si="257"/>
      </c>
    </row>
    <row r="916" spans="6:35" x14ac:dyDescent="0.3">
      <c r="F916" s="26">
        <f>IF(G916=1,MAX($F$4:F915)+1,"")</f>
        <v/>
      </c>
      <c r="G916" s="26">
        <f>COUNTIF($H$5:H916,H916)</f>
      </c>
      <c r="H916" s="26">
        <f t="shared" si="258"/>
      </c>
      <c r="I916" s="26">
        <f>COUNTIF($J$4:$J916,1)</f>
      </c>
      <c r="J916" s="26">
        <f>COUNTIF($S$5:$S916,S916)</f>
      </c>
      <c r="K916" s="26">
        <f t="shared" si="247"/>
      </c>
      <c r="L916" s="26">
        <f>IFERROR(IF(P916=0,0,MAX($L$4:L915)+1),0)</f>
      </c>
      <c r="M916" s="5">
        <f t="shared" si="259"/>
      </c>
      <c r="N916" s="5">
        <f t="shared" si="260"/>
      </c>
      <c r="P916" s="86">
        <f t="shared" si="248"/>
      </c>
      <c r="Q916" s="86">
        <f t="shared" si="249"/>
      </c>
      <c r="R916" s="86">
        <f t="shared" si="250"/>
      </c>
      <c r="S916" s="86">
        <f t="shared" si="251"/>
      </c>
      <c r="T916" s="86">
        <f t="shared" si="261"/>
        <v/>
      </c>
      <c r="U916" s="86">
        <f t="shared" si="262"/>
        <v/>
      </c>
      <c r="V916" s="86">
        <f t="shared" si="263"/>
        <v/>
      </c>
      <c r="W916" s="87">
        <f t="shared" si="252"/>
      </c>
      <c r="X916" s="88"/>
      <c r="Y916" s="88"/>
      <c r="Z916" s="88"/>
      <c r="AA916" s="88"/>
      <c r="AB916" s="88"/>
      <c r="AD916" s="86">
        <f t="shared" si="253"/>
      </c>
      <c r="AE916" s="86">
        <f t="shared" si="254"/>
      </c>
      <c r="AG916" s="86">
        <f t="shared" si="255"/>
      </c>
      <c r="AH916" s="86">
        <f t="shared" si="256"/>
      </c>
      <c r="AI916" s="86">
        <f t="shared" si="257"/>
      </c>
    </row>
    <row r="917" spans="6:35" x14ac:dyDescent="0.3">
      <c r="F917" s="26">
        <f>IF(G917=1,MAX($F$4:F916)+1,"")</f>
        <v/>
      </c>
      <c r="G917" s="26">
        <f>COUNTIF($H$5:H917,H917)</f>
      </c>
      <c r="H917" s="26">
        <f t="shared" si="258"/>
      </c>
      <c r="I917" s="26">
        <f>COUNTIF($J$4:$J917,1)</f>
      </c>
      <c r="J917" s="26">
        <f>COUNTIF($S$5:$S917,S917)</f>
      </c>
      <c r="K917" s="26">
        <f t="shared" si="247"/>
      </c>
      <c r="L917" s="26">
        <f>IFERROR(IF(P917=0,0,MAX($L$4:L916)+1),0)</f>
      </c>
      <c r="M917" s="5">
        <f t="shared" si="259"/>
      </c>
      <c r="N917" s="5">
        <f t="shared" si="260"/>
      </c>
      <c r="P917" s="86">
        <f t="shared" si="248"/>
      </c>
      <c r="Q917" s="86">
        <f t="shared" si="249"/>
      </c>
      <c r="R917" s="86">
        <f t="shared" si="250"/>
      </c>
      <c r="S917" s="86">
        <f t="shared" si="251"/>
      </c>
      <c r="T917" s="86">
        <f t="shared" si="261"/>
        <v/>
      </c>
      <c r="U917" s="86">
        <f t="shared" si="262"/>
        <v/>
      </c>
      <c r="V917" s="86">
        <f t="shared" si="263"/>
        <v/>
      </c>
      <c r="W917" s="87">
        <f t="shared" si="252"/>
      </c>
      <c r="X917" s="88"/>
      <c r="Y917" s="88"/>
      <c r="Z917" s="88"/>
      <c r="AA917" s="88"/>
      <c r="AB917" s="88"/>
      <c r="AD917" s="86">
        <f t="shared" si="253"/>
      </c>
      <c r="AE917" s="86">
        <f t="shared" si="254"/>
      </c>
      <c r="AG917" s="86">
        <f t="shared" si="255"/>
      </c>
      <c r="AH917" s="86">
        <f t="shared" si="256"/>
      </c>
      <c r="AI917" s="86">
        <f t="shared" si="257"/>
      </c>
    </row>
    <row r="918" spans="6:35" x14ac:dyDescent="0.3">
      <c r="F918" s="26">
        <f>IF(G918=1,MAX($F$4:F917)+1,"")</f>
        <v/>
      </c>
      <c r="G918" s="26">
        <f>COUNTIF($H$5:H918,H918)</f>
      </c>
      <c r="H918" s="26">
        <f t="shared" si="258"/>
      </c>
      <c r="I918" s="26">
        <f>COUNTIF($J$4:$J918,1)</f>
      </c>
      <c r="J918" s="26">
        <f>COUNTIF($S$5:$S918,S918)</f>
      </c>
      <c r="K918" s="26">
        <f t="shared" si="247"/>
      </c>
      <c r="L918" s="26">
        <f>IFERROR(IF(P918=0,0,MAX($L$4:L917)+1),0)</f>
      </c>
      <c r="M918" s="5">
        <f t="shared" si="259"/>
      </c>
      <c r="N918" s="5">
        <f t="shared" si="260"/>
      </c>
      <c r="P918" s="86">
        <f t="shared" si="248"/>
      </c>
      <c r="Q918" s="86">
        <f t="shared" si="249"/>
      </c>
      <c r="R918" s="86">
        <f t="shared" si="250"/>
      </c>
      <c r="S918" s="86">
        <f t="shared" si="251"/>
      </c>
      <c r="T918" s="86">
        <f t="shared" si="261"/>
        <v/>
      </c>
      <c r="U918" s="86">
        <f t="shared" si="262"/>
        <v/>
      </c>
      <c r="V918" s="86">
        <f t="shared" si="263"/>
        <v/>
      </c>
      <c r="W918" s="87">
        <f t="shared" si="252"/>
      </c>
      <c r="X918" s="88"/>
      <c r="Y918" s="88"/>
      <c r="Z918" s="88"/>
      <c r="AA918" s="88"/>
      <c r="AB918" s="88"/>
      <c r="AD918" s="86">
        <f t="shared" si="253"/>
      </c>
      <c r="AE918" s="86">
        <f t="shared" si="254"/>
      </c>
      <c r="AG918" s="86">
        <f t="shared" si="255"/>
      </c>
      <c r="AH918" s="86">
        <f t="shared" si="256"/>
      </c>
      <c r="AI918" s="86">
        <f t="shared" si="257"/>
      </c>
    </row>
    <row r="919" spans="6:35" x14ac:dyDescent="0.3">
      <c r="F919" s="26">
        <f>IF(G919=1,MAX($F$4:F918)+1,"")</f>
        <v/>
      </c>
      <c r="G919" s="26">
        <f>COUNTIF($H$5:H919,H919)</f>
      </c>
      <c r="H919" s="26">
        <f t="shared" si="258"/>
      </c>
      <c r="I919" s="26">
        <f>COUNTIF($J$4:$J919,1)</f>
      </c>
      <c r="J919" s="26">
        <f>COUNTIF($S$5:$S919,S919)</f>
      </c>
      <c r="K919" s="26">
        <f t="shared" si="247"/>
      </c>
      <c r="L919" s="26">
        <f>IFERROR(IF(P919=0,0,MAX($L$4:L918)+1),0)</f>
      </c>
      <c r="M919" s="5">
        <f t="shared" si="259"/>
      </c>
      <c r="N919" s="5">
        <f t="shared" si="260"/>
      </c>
      <c r="P919" s="86">
        <f t="shared" si="248"/>
      </c>
      <c r="Q919" s="86">
        <f t="shared" si="249"/>
      </c>
      <c r="R919" s="86">
        <f t="shared" si="250"/>
      </c>
      <c r="S919" s="86">
        <f t="shared" si="251"/>
      </c>
      <c r="T919" s="86">
        <f t="shared" si="261"/>
        <v/>
      </c>
      <c r="U919" s="86">
        <f t="shared" si="262"/>
        <v/>
      </c>
      <c r="V919" s="86">
        <f t="shared" si="263"/>
        <v/>
      </c>
      <c r="W919" s="87">
        <f t="shared" si="252"/>
      </c>
      <c r="X919" s="88"/>
      <c r="Y919" s="88"/>
      <c r="Z919" s="88"/>
      <c r="AA919" s="88"/>
      <c r="AB919" s="88"/>
      <c r="AD919" s="86">
        <f t="shared" si="253"/>
      </c>
      <c r="AE919" s="86">
        <f t="shared" si="254"/>
      </c>
      <c r="AG919" s="86">
        <f t="shared" si="255"/>
      </c>
      <c r="AH919" s="86">
        <f t="shared" si="256"/>
      </c>
      <c r="AI919" s="86">
        <f t="shared" si="257"/>
      </c>
    </row>
    <row r="920" spans="6:35" x14ac:dyDescent="0.3">
      <c r="F920" s="26">
        <f>IF(G920=1,MAX($F$4:F919)+1,"")</f>
        <v/>
      </c>
      <c r="G920" s="26">
        <f>COUNTIF($H$5:H920,H920)</f>
      </c>
      <c r="H920" s="26">
        <f t="shared" si="258"/>
      </c>
      <c r="I920" s="26">
        <f>COUNTIF($J$4:$J920,1)</f>
      </c>
      <c r="J920" s="26">
        <f>COUNTIF($S$5:$S920,S920)</f>
      </c>
      <c r="K920" s="26">
        <f t="shared" si="247"/>
      </c>
      <c r="L920" s="26">
        <f>IFERROR(IF(P920=0,0,MAX($L$4:L919)+1),0)</f>
      </c>
      <c r="M920" s="5">
        <f t="shared" si="259"/>
      </c>
      <c r="N920" s="5">
        <f t="shared" si="260"/>
      </c>
      <c r="P920" s="86">
        <f t="shared" si="248"/>
      </c>
      <c r="Q920" s="86">
        <f t="shared" si="249"/>
      </c>
      <c r="R920" s="86">
        <f t="shared" si="250"/>
      </c>
      <c r="S920" s="86">
        <f t="shared" si="251"/>
      </c>
      <c r="T920" s="86">
        <f t="shared" si="261"/>
        <v/>
      </c>
      <c r="U920" s="86">
        <f t="shared" si="262"/>
        <v/>
      </c>
      <c r="V920" s="86">
        <f t="shared" si="263"/>
        <v/>
      </c>
      <c r="W920" s="87">
        <f t="shared" si="252"/>
      </c>
      <c r="X920" s="88"/>
      <c r="Y920" s="88"/>
      <c r="Z920" s="88"/>
      <c r="AA920" s="88"/>
      <c r="AB920" s="88"/>
      <c r="AD920" s="86">
        <f t="shared" si="253"/>
      </c>
      <c r="AE920" s="86">
        <f t="shared" si="254"/>
      </c>
      <c r="AG920" s="86">
        <f t="shared" si="255"/>
      </c>
      <c r="AH920" s="86">
        <f t="shared" si="256"/>
      </c>
      <c r="AI920" s="86">
        <f t="shared" si="257"/>
      </c>
    </row>
    <row r="921" spans="6:35" x14ac:dyDescent="0.3">
      <c r="F921" s="26">
        <f>IF(G921=1,MAX($F$4:F920)+1,"")</f>
        <v/>
      </c>
      <c r="G921" s="26">
        <f>COUNTIF($H$5:H921,H921)</f>
      </c>
      <c r="H921" s="26">
        <f t="shared" si="258"/>
      </c>
      <c r="I921" s="26">
        <f>COUNTIF($J$4:$J921,1)</f>
      </c>
      <c r="J921" s="26">
        <f>COUNTIF($S$5:$S921,S921)</f>
      </c>
      <c r="K921" s="26">
        <f t="shared" si="247"/>
      </c>
      <c r="L921" s="26">
        <f>IFERROR(IF(P921=0,0,MAX($L$4:L920)+1),0)</f>
      </c>
      <c r="M921" s="5">
        <f t="shared" si="259"/>
      </c>
      <c r="N921" s="5">
        <f t="shared" si="260"/>
      </c>
      <c r="P921" s="86">
        <f t="shared" si="248"/>
      </c>
      <c r="Q921" s="86">
        <f t="shared" si="249"/>
      </c>
      <c r="R921" s="86">
        <f t="shared" si="250"/>
      </c>
      <c r="S921" s="86">
        <f t="shared" si="251"/>
      </c>
      <c r="T921" s="86">
        <f t="shared" si="261"/>
        <v/>
      </c>
      <c r="U921" s="86">
        <f t="shared" si="262"/>
        <v/>
      </c>
      <c r="V921" s="86">
        <f t="shared" si="263"/>
        <v/>
      </c>
      <c r="W921" s="87">
        <f t="shared" si="252"/>
      </c>
      <c r="X921" s="88"/>
      <c r="Y921" s="88"/>
      <c r="Z921" s="88"/>
      <c r="AA921" s="88"/>
      <c r="AB921" s="88"/>
      <c r="AD921" s="86">
        <f t="shared" si="253"/>
      </c>
      <c r="AE921" s="86">
        <f t="shared" si="254"/>
      </c>
      <c r="AG921" s="86">
        <f t="shared" si="255"/>
      </c>
      <c r="AH921" s="86">
        <f t="shared" si="256"/>
      </c>
      <c r="AI921" s="86">
        <f t="shared" si="257"/>
      </c>
    </row>
    <row r="922" spans="6:35" x14ac:dyDescent="0.3">
      <c r="F922" s="26">
        <f>IF(G922=1,MAX($F$4:F921)+1,"")</f>
        <v/>
      </c>
      <c r="G922" s="26">
        <f>COUNTIF($H$5:H922,H922)</f>
      </c>
      <c r="H922" s="26">
        <f t="shared" si="258"/>
      </c>
      <c r="I922" s="26">
        <f>COUNTIF($J$4:$J922,1)</f>
      </c>
      <c r="J922" s="26">
        <f>COUNTIF($S$5:$S922,S922)</f>
      </c>
      <c r="K922" s="26">
        <f t="shared" si="247"/>
      </c>
      <c r="L922" s="26">
        <f>IFERROR(IF(P922=0,0,MAX($L$4:L921)+1),0)</f>
      </c>
      <c r="M922" s="5">
        <f t="shared" si="259"/>
      </c>
      <c r="N922" s="5">
        <f t="shared" si="260"/>
      </c>
      <c r="P922" s="86">
        <f t="shared" si="248"/>
      </c>
      <c r="Q922" s="86">
        <f t="shared" si="249"/>
      </c>
      <c r="R922" s="86">
        <f t="shared" si="250"/>
      </c>
      <c r="S922" s="86">
        <f t="shared" si="251"/>
      </c>
      <c r="T922" s="86">
        <f t="shared" si="261"/>
        <v/>
      </c>
      <c r="U922" s="86">
        <f t="shared" si="262"/>
        <v/>
      </c>
      <c r="V922" s="86">
        <f t="shared" si="263"/>
        <v/>
      </c>
      <c r="W922" s="87">
        <f t="shared" si="252"/>
      </c>
      <c r="X922" s="88"/>
      <c r="Y922" s="88"/>
      <c r="Z922" s="88"/>
      <c r="AA922" s="88"/>
      <c r="AB922" s="88"/>
      <c r="AD922" s="86">
        <f t="shared" si="253"/>
      </c>
      <c r="AE922" s="86">
        <f t="shared" si="254"/>
      </c>
      <c r="AG922" s="86">
        <f t="shared" si="255"/>
      </c>
      <c r="AH922" s="86">
        <f t="shared" si="256"/>
      </c>
      <c r="AI922" s="86">
        <f t="shared" si="257"/>
      </c>
    </row>
    <row r="923" spans="6:35" x14ac:dyDescent="0.3">
      <c r="F923" s="26">
        <f>IF(G923=1,MAX($F$4:F922)+1,"")</f>
        <v/>
      </c>
      <c r="G923" s="26">
        <f>COUNTIF($H$5:H923,H923)</f>
      </c>
      <c r="H923" s="26">
        <f t="shared" si="258"/>
      </c>
      <c r="I923" s="26">
        <f>COUNTIF($J$4:$J923,1)</f>
      </c>
      <c r="J923" s="26">
        <f>COUNTIF($S$5:$S923,S923)</f>
      </c>
      <c r="K923" s="26">
        <f t="shared" si="247"/>
      </c>
      <c r="L923" s="26">
        <f>IFERROR(IF(P923=0,0,MAX($L$4:L922)+1),0)</f>
      </c>
      <c r="M923" s="5">
        <f t="shared" si="259"/>
      </c>
      <c r="N923" s="5">
        <f t="shared" si="260"/>
      </c>
      <c r="P923" s="86">
        <f t="shared" si="248"/>
      </c>
      <c r="Q923" s="86">
        <f t="shared" si="249"/>
      </c>
      <c r="R923" s="86">
        <f t="shared" si="250"/>
      </c>
      <c r="S923" s="86">
        <f t="shared" si="251"/>
      </c>
      <c r="T923" s="86">
        <f t="shared" si="261"/>
        <v/>
      </c>
      <c r="U923" s="86">
        <f t="shared" si="262"/>
        <v/>
      </c>
      <c r="V923" s="86">
        <f t="shared" si="263"/>
        <v/>
      </c>
      <c r="W923" s="87">
        <f t="shared" si="252"/>
      </c>
      <c r="X923" s="88"/>
      <c r="Y923" s="88"/>
      <c r="Z923" s="88"/>
      <c r="AA923" s="88"/>
      <c r="AB923" s="88"/>
      <c r="AD923" s="86">
        <f t="shared" si="253"/>
      </c>
      <c r="AE923" s="86">
        <f t="shared" si="254"/>
      </c>
      <c r="AG923" s="86">
        <f t="shared" si="255"/>
      </c>
      <c r="AH923" s="86">
        <f t="shared" si="256"/>
      </c>
      <c r="AI923" s="86">
        <f t="shared" si="257"/>
      </c>
    </row>
    <row r="924" spans="6:35" x14ac:dyDescent="0.3">
      <c r="F924" s="26">
        <f>IF(G924=1,MAX($F$4:F923)+1,"")</f>
        <v/>
      </c>
      <c r="G924" s="26">
        <f>COUNTIF($H$5:H924,H924)</f>
      </c>
      <c r="H924" s="26">
        <f t="shared" si="258"/>
      </c>
      <c r="I924" s="26">
        <f>COUNTIF($J$4:$J924,1)</f>
      </c>
      <c r="J924" s="26">
        <f>COUNTIF($S$5:$S924,S924)</f>
      </c>
      <c r="K924" s="26">
        <f t="shared" si="247"/>
      </c>
      <c r="L924" s="26">
        <f>IFERROR(IF(P924=0,0,MAX($L$4:L923)+1),0)</f>
      </c>
      <c r="M924" s="5">
        <f t="shared" si="259"/>
      </c>
      <c r="N924" s="5">
        <f t="shared" si="260"/>
      </c>
      <c r="P924" s="86">
        <f t="shared" si="248"/>
      </c>
      <c r="Q924" s="86">
        <f t="shared" si="249"/>
      </c>
      <c r="R924" s="86">
        <f t="shared" si="250"/>
      </c>
      <c r="S924" s="86">
        <f t="shared" si="251"/>
      </c>
      <c r="T924" s="86">
        <f t="shared" si="261"/>
        <v/>
      </c>
      <c r="U924" s="86">
        <f t="shared" si="262"/>
        <v/>
      </c>
      <c r="V924" s="86">
        <f t="shared" si="263"/>
        <v/>
      </c>
      <c r="W924" s="87">
        <f t="shared" si="252"/>
      </c>
      <c r="X924" s="88"/>
      <c r="Y924" s="88"/>
      <c r="Z924" s="88"/>
      <c r="AA924" s="88"/>
      <c r="AB924" s="88"/>
      <c r="AD924" s="86">
        <f t="shared" si="253"/>
      </c>
      <c r="AE924" s="86">
        <f t="shared" si="254"/>
      </c>
      <c r="AG924" s="86">
        <f t="shared" si="255"/>
      </c>
      <c r="AH924" s="86">
        <f t="shared" si="256"/>
      </c>
      <c r="AI924" s="86">
        <f t="shared" si="257"/>
      </c>
    </row>
    <row r="925" spans="6:35" x14ac:dyDescent="0.3">
      <c r="F925" s="26">
        <f>IF(G925=1,MAX($F$4:F924)+1,"")</f>
        <v/>
      </c>
      <c r="G925" s="26">
        <f>COUNTIF($H$5:H925,H925)</f>
      </c>
      <c r="H925" s="26">
        <f t="shared" si="258"/>
      </c>
      <c r="I925" s="26">
        <f>COUNTIF($J$4:$J925,1)</f>
      </c>
      <c r="J925" s="26">
        <f>COUNTIF($S$5:$S925,S925)</f>
      </c>
      <c r="K925" s="26">
        <f t="shared" si="247"/>
      </c>
      <c r="L925" s="26">
        <f>IFERROR(IF(P925=0,0,MAX($L$4:L924)+1),0)</f>
      </c>
      <c r="M925" s="5">
        <f t="shared" si="259"/>
      </c>
      <c r="N925" s="5">
        <f t="shared" si="260"/>
      </c>
      <c r="P925" s="86">
        <f t="shared" si="248"/>
      </c>
      <c r="Q925" s="86">
        <f t="shared" si="249"/>
      </c>
      <c r="R925" s="86">
        <f t="shared" si="250"/>
      </c>
      <c r="S925" s="86">
        <f t="shared" si="251"/>
      </c>
      <c r="T925" s="86">
        <f t="shared" si="261"/>
        <v/>
      </c>
      <c r="U925" s="86">
        <f t="shared" si="262"/>
        <v/>
      </c>
      <c r="V925" s="86">
        <f t="shared" si="263"/>
        <v/>
      </c>
      <c r="W925" s="87">
        <f t="shared" si="252"/>
      </c>
      <c r="X925" s="88"/>
      <c r="Y925" s="88"/>
      <c r="Z925" s="88"/>
      <c r="AA925" s="88"/>
      <c r="AB925" s="88"/>
      <c r="AD925" s="86">
        <f t="shared" si="253"/>
      </c>
      <c r="AE925" s="86">
        <f t="shared" si="254"/>
      </c>
      <c r="AG925" s="86">
        <f t="shared" si="255"/>
      </c>
      <c r="AH925" s="86">
        <f t="shared" si="256"/>
      </c>
      <c r="AI925" s="86">
        <f t="shared" si="257"/>
      </c>
    </row>
    <row r="926" spans="6:35" x14ac:dyDescent="0.3">
      <c r="F926" s="26">
        <f>IF(G926=1,MAX($F$4:F925)+1,"")</f>
        <v/>
      </c>
      <c r="G926" s="26">
        <f>COUNTIF($H$5:H926,H926)</f>
      </c>
      <c r="H926" s="26">
        <f t="shared" si="258"/>
      </c>
      <c r="I926" s="26">
        <f>COUNTIF($J$4:$J926,1)</f>
      </c>
      <c r="J926" s="26">
        <f>COUNTIF($S$5:$S926,S926)</f>
      </c>
      <c r="K926" s="26">
        <f t="shared" si="247"/>
      </c>
      <c r="L926" s="26">
        <f>IFERROR(IF(P926=0,0,MAX($L$4:L925)+1),0)</f>
      </c>
      <c r="M926" s="5">
        <f t="shared" si="259"/>
      </c>
      <c r="N926" s="5">
        <f t="shared" si="260"/>
      </c>
      <c r="P926" s="86">
        <f t="shared" si="248"/>
      </c>
      <c r="Q926" s="86">
        <f t="shared" si="249"/>
      </c>
      <c r="R926" s="86">
        <f t="shared" si="250"/>
      </c>
      <c r="S926" s="86">
        <f t="shared" si="251"/>
      </c>
      <c r="T926" s="86">
        <f t="shared" si="261"/>
        <v/>
      </c>
      <c r="U926" s="86">
        <f t="shared" si="262"/>
        <v/>
      </c>
      <c r="V926" s="86">
        <f t="shared" si="263"/>
        <v/>
      </c>
      <c r="W926" s="87">
        <f t="shared" si="252"/>
      </c>
      <c r="X926" s="88"/>
      <c r="Y926" s="88"/>
      <c r="Z926" s="88"/>
      <c r="AA926" s="88"/>
      <c r="AB926" s="88"/>
      <c r="AD926" s="86">
        <f t="shared" si="253"/>
      </c>
      <c r="AE926" s="86">
        <f t="shared" si="254"/>
      </c>
      <c r="AG926" s="86">
        <f t="shared" si="255"/>
      </c>
      <c r="AH926" s="86">
        <f t="shared" si="256"/>
      </c>
      <c r="AI926" s="86">
        <f t="shared" si="257"/>
      </c>
    </row>
    <row r="927" spans="6:35" x14ac:dyDescent="0.3">
      <c r="F927" s="26">
        <f>IF(G927=1,MAX($F$4:F926)+1,"")</f>
        <v/>
      </c>
      <c r="G927" s="26">
        <f>COUNTIF($H$5:H927,H927)</f>
      </c>
      <c r="H927" s="26">
        <f t="shared" si="258"/>
      </c>
      <c r="I927" s="26">
        <f>COUNTIF($J$4:$J927,1)</f>
      </c>
      <c r="J927" s="26">
        <f>COUNTIF($S$5:$S927,S927)</f>
      </c>
      <c r="K927" s="26">
        <f t="shared" si="247"/>
      </c>
      <c r="L927" s="26">
        <f>IFERROR(IF(P927=0,0,MAX($L$4:L926)+1),0)</f>
      </c>
      <c r="M927" s="5">
        <f t="shared" si="259"/>
      </c>
      <c r="N927" s="5">
        <f t="shared" si="260"/>
      </c>
      <c r="P927" s="86">
        <f t="shared" si="248"/>
      </c>
      <c r="Q927" s="86">
        <f t="shared" si="249"/>
      </c>
      <c r="R927" s="86">
        <f t="shared" si="250"/>
      </c>
      <c r="S927" s="86">
        <f t="shared" si="251"/>
      </c>
      <c r="T927" s="86">
        <f t="shared" si="261"/>
        <v/>
      </c>
      <c r="U927" s="86">
        <f t="shared" si="262"/>
        <v/>
      </c>
      <c r="V927" s="86">
        <f t="shared" si="263"/>
        <v/>
      </c>
      <c r="W927" s="87">
        <f t="shared" si="252"/>
      </c>
      <c r="X927" s="88"/>
      <c r="Y927" s="88"/>
      <c r="Z927" s="88"/>
      <c r="AA927" s="88"/>
      <c r="AB927" s="88"/>
      <c r="AD927" s="86">
        <f t="shared" si="253"/>
      </c>
      <c r="AE927" s="86">
        <f t="shared" si="254"/>
      </c>
      <c r="AG927" s="86">
        <f t="shared" si="255"/>
      </c>
      <c r="AH927" s="86">
        <f t="shared" si="256"/>
      </c>
      <c r="AI927" s="86">
        <f t="shared" si="257"/>
      </c>
    </row>
    <row r="928" spans="6:35" x14ac:dyDescent="0.3">
      <c r="F928" s="26">
        <f>IF(G928=1,MAX($F$4:F927)+1,"")</f>
        <v/>
      </c>
      <c r="G928" s="26">
        <f>COUNTIF($H$5:H928,H928)</f>
      </c>
      <c r="H928" s="26">
        <f t="shared" si="258"/>
      </c>
      <c r="I928" s="26">
        <f>COUNTIF($J$4:$J928,1)</f>
      </c>
      <c r="J928" s="26">
        <f>COUNTIF($S$5:$S928,S928)</f>
      </c>
      <c r="K928" s="26">
        <f t="shared" si="247"/>
      </c>
      <c r="L928" s="26">
        <f>IFERROR(IF(P928=0,0,MAX($L$4:L927)+1),0)</f>
      </c>
      <c r="M928" s="5">
        <f t="shared" si="259"/>
      </c>
      <c r="N928" s="5">
        <f t="shared" si="260"/>
      </c>
      <c r="P928" s="86">
        <f t="shared" si="248"/>
      </c>
      <c r="Q928" s="86">
        <f t="shared" si="249"/>
      </c>
      <c r="R928" s="86">
        <f t="shared" si="250"/>
      </c>
      <c r="S928" s="86">
        <f t="shared" si="251"/>
      </c>
      <c r="T928" s="86">
        <f t="shared" si="261"/>
        <v/>
      </c>
      <c r="U928" s="86">
        <f t="shared" si="262"/>
        <v/>
      </c>
      <c r="V928" s="86">
        <f t="shared" si="263"/>
        <v/>
      </c>
      <c r="W928" s="87">
        <f t="shared" si="252"/>
      </c>
      <c r="X928" s="88"/>
      <c r="Y928" s="88"/>
      <c r="Z928" s="88"/>
      <c r="AA928" s="88"/>
      <c r="AB928" s="88"/>
      <c r="AD928" s="86">
        <f t="shared" si="253"/>
      </c>
      <c r="AE928" s="86">
        <f t="shared" si="254"/>
      </c>
      <c r="AG928" s="86">
        <f t="shared" si="255"/>
      </c>
      <c r="AH928" s="86">
        <f t="shared" si="256"/>
      </c>
      <c r="AI928" s="86">
        <f t="shared" si="257"/>
      </c>
    </row>
    <row r="929" spans="6:35" x14ac:dyDescent="0.3">
      <c r="F929" s="26">
        <f>IF(G929=1,MAX($F$4:F928)+1,"")</f>
        <v/>
      </c>
      <c r="G929" s="26">
        <f>COUNTIF($H$5:H929,H929)</f>
      </c>
      <c r="H929" s="26">
        <f t="shared" si="258"/>
      </c>
      <c r="I929" s="26">
        <f>COUNTIF($J$4:$J929,1)</f>
      </c>
      <c r="J929" s="26">
        <f>COUNTIF($S$5:$S929,S929)</f>
      </c>
      <c r="K929" s="26">
        <f t="shared" si="247"/>
      </c>
      <c r="L929" s="26">
        <f>IFERROR(IF(P929=0,0,MAX($L$4:L928)+1),0)</f>
      </c>
      <c r="M929" s="5">
        <f t="shared" si="259"/>
      </c>
      <c r="N929" s="5">
        <f t="shared" si="260"/>
      </c>
      <c r="P929" s="86">
        <f t="shared" si="248"/>
      </c>
      <c r="Q929" s="86">
        <f t="shared" si="249"/>
      </c>
      <c r="R929" s="86">
        <f t="shared" si="250"/>
      </c>
      <c r="S929" s="86">
        <f t="shared" si="251"/>
      </c>
      <c r="T929" s="86">
        <f t="shared" si="261"/>
        <v/>
      </c>
      <c r="U929" s="86">
        <f t="shared" si="262"/>
        <v/>
      </c>
      <c r="V929" s="86">
        <f t="shared" si="263"/>
        <v/>
      </c>
      <c r="W929" s="87">
        <f t="shared" si="252"/>
      </c>
      <c r="X929" s="88"/>
      <c r="Y929" s="88"/>
      <c r="Z929" s="88"/>
      <c r="AA929" s="88"/>
      <c r="AB929" s="88"/>
      <c r="AD929" s="86">
        <f t="shared" si="253"/>
      </c>
      <c r="AE929" s="86">
        <f t="shared" si="254"/>
      </c>
      <c r="AG929" s="86">
        <f t="shared" si="255"/>
      </c>
      <c r="AH929" s="86">
        <f t="shared" si="256"/>
      </c>
      <c r="AI929" s="86">
        <f t="shared" si="257"/>
      </c>
    </row>
    <row r="930" spans="6:35" x14ac:dyDescent="0.3">
      <c r="F930" s="26">
        <f>IF(G930=1,MAX($F$4:F929)+1,"")</f>
        <v/>
      </c>
      <c r="G930" s="26">
        <f>COUNTIF($H$5:H930,H930)</f>
      </c>
      <c r="H930" s="26">
        <f t="shared" si="258"/>
      </c>
      <c r="I930" s="26">
        <f>COUNTIF($J$4:$J930,1)</f>
      </c>
      <c r="J930" s="26">
        <f>COUNTIF($S$5:$S930,S930)</f>
      </c>
      <c r="K930" s="26">
        <f t="shared" si="247"/>
      </c>
      <c r="L930" s="26">
        <f>IFERROR(IF(P930=0,0,MAX($L$4:L929)+1),0)</f>
      </c>
      <c r="M930" s="5">
        <f t="shared" si="259"/>
      </c>
      <c r="N930" s="5">
        <f t="shared" si="260"/>
      </c>
      <c r="P930" s="86">
        <f t="shared" si="248"/>
      </c>
      <c r="Q930" s="86">
        <f t="shared" si="249"/>
      </c>
      <c r="R930" s="86">
        <f t="shared" si="250"/>
      </c>
      <c r="S930" s="86">
        <f t="shared" si="251"/>
      </c>
      <c r="T930" s="86">
        <f t="shared" si="261"/>
        <v/>
      </c>
      <c r="U930" s="86">
        <f t="shared" si="262"/>
        <v/>
      </c>
      <c r="V930" s="86">
        <f t="shared" si="263"/>
        <v/>
      </c>
      <c r="W930" s="87">
        <f t="shared" si="252"/>
      </c>
      <c r="X930" s="88"/>
      <c r="Y930" s="88"/>
      <c r="Z930" s="88"/>
      <c r="AA930" s="88"/>
      <c r="AB930" s="88"/>
      <c r="AD930" s="86">
        <f t="shared" si="253"/>
      </c>
      <c r="AE930" s="86">
        <f t="shared" si="254"/>
      </c>
      <c r="AG930" s="86">
        <f t="shared" si="255"/>
      </c>
      <c r="AH930" s="86">
        <f t="shared" si="256"/>
      </c>
      <c r="AI930" s="86">
        <f t="shared" si="257"/>
      </c>
    </row>
    <row r="931" spans="6:35" x14ac:dyDescent="0.3">
      <c r="F931" s="26">
        <f>IF(G931=1,MAX($F$4:F930)+1,"")</f>
        <v/>
      </c>
      <c r="G931" s="26">
        <f>COUNTIF($H$5:H931,H931)</f>
      </c>
      <c r="H931" s="26">
        <f t="shared" si="258"/>
      </c>
      <c r="I931" s="26">
        <f>COUNTIF($J$4:$J931,1)</f>
      </c>
      <c r="J931" s="26">
        <f>COUNTIF($S$5:$S931,S931)</f>
      </c>
      <c r="K931" s="26">
        <f t="shared" si="247"/>
      </c>
      <c r="L931" s="26">
        <f>IFERROR(IF(P931=0,0,MAX($L$4:L930)+1),0)</f>
      </c>
      <c r="M931" s="5">
        <f t="shared" si="259"/>
      </c>
      <c r="N931" s="5">
        <f t="shared" si="260"/>
      </c>
      <c r="P931" s="86">
        <f t="shared" si="248"/>
      </c>
      <c r="Q931" s="86">
        <f t="shared" si="249"/>
      </c>
      <c r="R931" s="86">
        <f t="shared" si="250"/>
      </c>
      <c r="S931" s="86">
        <f t="shared" si="251"/>
      </c>
      <c r="T931" s="86">
        <f t="shared" si="261"/>
        <v/>
      </c>
      <c r="U931" s="86">
        <f t="shared" si="262"/>
        <v/>
      </c>
      <c r="V931" s="86">
        <f t="shared" si="263"/>
        <v/>
      </c>
      <c r="W931" s="87">
        <f t="shared" si="252"/>
      </c>
      <c r="X931" s="88"/>
      <c r="Y931" s="88"/>
      <c r="Z931" s="88"/>
      <c r="AA931" s="88"/>
      <c r="AB931" s="88"/>
      <c r="AD931" s="86">
        <f t="shared" si="253"/>
      </c>
      <c r="AE931" s="86">
        <f t="shared" si="254"/>
      </c>
      <c r="AG931" s="86">
        <f t="shared" si="255"/>
      </c>
      <c r="AH931" s="86">
        <f t="shared" si="256"/>
      </c>
      <c r="AI931" s="86">
        <f t="shared" si="257"/>
      </c>
    </row>
    <row r="932" spans="6:35" x14ac:dyDescent="0.3">
      <c r="F932" s="26">
        <f>IF(G932=1,MAX($F$4:F931)+1,"")</f>
        <v/>
      </c>
      <c r="G932" s="26">
        <f>COUNTIF($H$5:H932,H932)</f>
      </c>
      <c r="H932" s="26">
        <f t="shared" si="258"/>
      </c>
      <c r="I932" s="26">
        <f>COUNTIF($J$4:$J932,1)</f>
      </c>
      <c r="J932" s="26">
        <f>COUNTIF($S$5:$S932,S932)</f>
      </c>
      <c r="K932" s="26">
        <f t="shared" si="247"/>
      </c>
      <c r="L932" s="26">
        <f>IFERROR(IF(P932=0,0,MAX($L$4:L931)+1),0)</f>
      </c>
      <c r="M932" s="5">
        <f t="shared" si="259"/>
      </c>
      <c r="N932" s="5">
        <f t="shared" si="260"/>
      </c>
      <c r="P932" s="86">
        <f t="shared" si="248"/>
      </c>
      <c r="Q932" s="86">
        <f t="shared" si="249"/>
      </c>
      <c r="R932" s="86">
        <f t="shared" si="250"/>
      </c>
      <c r="S932" s="86">
        <f t="shared" si="251"/>
      </c>
      <c r="T932" s="86">
        <f t="shared" si="261"/>
        <v/>
      </c>
      <c r="U932" s="86">
        <f t="shared" si="262"/>
        <v/>
      </c>
      <c r="V932" s="86">
        <f t="shared" si="263"/>
        <v/>
      </c>
      <c r="W932" s="87">
        <f t="shared" si="252"/>
      </c>
      <c r="X932" s="88"/>
      <c r="Y932" s="88"/>
      <c r="Z932" s="88"/>
      <c r="AA932" s="88"/>
      <c r="AB932" s="88"/>
      <c r="AD932" s="86">
        <f t="shared" si="253"/>
      </c>
      <c r="AE932" s="86">
        <f t="shared" si="254"/>
      </c>
      <c r="AG932" s="86">
        <f t="shared" si="255"/>
      </c>
      <c r="AH932" s="86">
        <f t="shared" si="256"/>
      </c>
      <c r="AI932" s="86">
        <f t="shared" si="257"/>
      </c>
    </row>
    <row r="933" spans="6:35" x14ac:dyDescent="0.3">
      <c r="F933" s="26">
        <f>IF(G933=1,MAX($F$4:F932)+1,"")</f>
        <v/>
      </c>
      <c r="G933" s="26">
        <f>COUNTIF($H$5:H933,H933)</f>
      </c>
      <c r="H933" s="26">
        <f t="shared" si="258"/>
      </c>
      <c r="I933" s="26">
        <f>COUNTIF($J$4:$J933,1)</f>
      </c>
      <c r="J933" s="26">
        <f>COUNTIF($S$5:$S933,S933)</f>
      </c>
      <c r="K933" s="26">
        <f t="shared" si="247"/>
      </c>
      <c r="L933" s="26">
        <f>IFERROR(IF(P933=0,0,MAX($L$4:L932)+1),0)</f>
      </c>
      <c r="M933" s="5">
        <f t="shared" si="259"/>
      </c>
      <c r="N933" s="5">
        <f t="shared" si="260"/>
      </c>
      <c r="P933" s="86">
        <f t="shared" si="248"/>
      </c>
      <c r="Q933" s="86">
        <f t="shared" si="249"/>
      </c>
      <c r="R933" s="86">
        <f t="shared" si="250"/>
      </c>
      <c r="S933" s="86">
        <f t="shared" si="251"/>
      </c>
      <c r="T933" s="86">
        <f t="shared" si="261"/>
        <v/>
      </c>
      <c r="U933" s="86">
        <f t="shared" si="262"/>
        <v/>
      </c>
      <c r="V933" s="86">
        <f t="shared" si="263"/>
        <v/>
      </c>
      <c r="W933" s="87">
        <f t="shared" si="252"/>
      </c>
      <c r="X933" s="88"/>
      <c r="Y933" s="88"/>
      <c r="Z933" s="88"/>
      <c r="AA933" s="88"/>
      <c r="AB933" s="88"/>
      <c r="AD933" s="86">
        <f t="shared" si="253"/>
      </c>
      <c r="AE933" s="86">
        <f t="shared" si="254"/>
      </c>
      <c r="AG933" s="86">
        <f t="shared" si="255"/>
      </c>
      <c r="AH933" s="86">
        <f t="shared" si="256"/>
      </c>
      <c r="AI933" s="86">
        <f t="shared" si="257"/>
      </c>
    </row>
    <row r="934" spans="6:35" x14ac:dyDescent="0.3">
      <c r="F934" s="26">
        <f>IF(G934=1,MAX($F$4:F933)+1,"")</f>
        <v/>
      </c>
      <c r="G934" s="26">
        <f>COUNTIF($H$5:H934,H934)</f>
      </c>
      <c r="H934" s="26">
        <f t="shared" si="258"/>
      </c>
      <c r="I934" s="26">
        <f>COUNTIF($J$4:$J934,1)</f>
      </c>
      <c r="J934" s="26">
        <f>COUNTIF($S$5:$S934,S934)</f>
      </c>
      <c r="K934" s="26">
        <f t="shared" si="247"/>
      </c>
      <c r="L934" s="26">
        <f>IFERROR(IF(P934=0,0,MAX($L$4:L933)+1),0)</f>
      </c>
      <c r="M934" s="5">
        <f t="shared" si="259"/>
      </c>
      <c r="N934" s="5">
        <f t="shared" si="260"/>
      </c>
      <c r="P934" s="86">
        <f t="shared" si="248"/>
      </c>
      <c r="Q934" s="86">
        <f t="shared" si="249"/>
      </c>
      <c r="R934" s="86">
        <f t="shared" si="250"/>
      </c>
      <c r="S934" s="86">
        <f t="shared" si="251"/>
      </c>
      <c r="T934" s="86">
        <f t="shared" si="261"/>
        <v/>
      </c>
      <c r="U934" s="86">
        <f t="shared" si="262"/>
        <v/>
      </c>
      <c r="V934" s="86">
        <f t="shared" si="263"/>
        <v/>
      </c>
      <c r="W934" s="87">
        <f t="shared" si="252"/>
      </c>
      <c r="X934" s="88"/>
      <c r="Y934" s="88"/>
      <c r="Z934" s="88"/>
      <c r="AA934" s="88"/>
      <c r="AB934" s="88"/>
      <c r="AD934" s="86">
        <f t="shared" si="253"/>
      </c>
      <c r="AE934" s="86">
        <f t="shared" si="254"/>
      </c>
      <c r="AG934" s="86">
        <f t="shared" si="255"/>
      </c>
      <c r="AH934" s="86">
        <f t="shared" si="256"/>
      </c>
      <c r="AI934" s="86">
        <f t="shared" si="257"/>
      </c>
    </row>
    <row r="935" spans="6:35" x14ac:dyDescent="0.3">
      <c r="F935" s="26">
        <f>IF(G935=1,MAX($F$4:F934)+1,"")</f>
        <v/>
      </c>
      <c r="G935" s="26">
        <f>COUNTIF($H$5:H935,H935)</f>
      </c>
      <c r="H935" s="26">
        <f t="shared" si="258"/>
      </c>
      <c r="I935" s="26">
        <f>COUNTIF($J$4:$J935,1)</f>
      </c>
      <c r="J935" s="26">
        <f>COUNTIF($S$5:$S935,S935)</f>
      </c>
      <c r="K935" s="26">
        <f t="shared" si="247"/>
      </c>
      <c r="L935" s="26">
        <f>IFERROR(IF(P935=0,0,MAX($L$4:L934)+1),0)</f>
      </c>
      <c r="M935" s="5">
        <f t="shared" si="259"/>
      </c>
      <c r="N935" s="5">
        <f t="shared" si="260"/>
      </c>
      <c r="P935" s="86">
        <f t="shared" si="248"/>
      </c>
      <c r="Q935" s="86">
        <f t="shared" si="249"/>
      </c>
      <c r="R935" s="86">
        <f t="shared" si="250"/>
      </c>
      <c r="S935" s="86">
        <f t="shared" si="251"/>
      </c>
      <c r="T935" s="86">
        <f t="shared" si="261"/>
        <v/>
      </c>
      <c r="U935" s="86">
        <f t="shared" si="262"/>
        <v/>
      </c>
      <c r="V935" s="86">
        <f t="shared" si="263"/>
        <v/>
      </c>
      <c r="W935" s="87">
        <f t="shared" si="252"/>
      </c>
      <c r="X935" s="88"/>
      <c r="Y935" s="88"/>
      <c r="Z935" s="88"/>
      <c r="AA935" s="88"/>
      <c r="AB935" s="88"/>
      <c r="AD935" s="86">
        <f t="shared" si="253"/>
      </c>
      <c r="AE935" s="86">
        <f t="shared" si="254"/>
      </c>
      <c r="AG935" s="86">
        <f t="shared" si="255"/>
      </c>
      <c r="AH935" s="86">
        <f t="shared" si="256"/>
      </c>
      <c r="AI935" s="86">
        <f t="shared" si="257"/>
      </c>
    </row>
    <row r="936" spans="6:35" x14ac:dyDescent="0.3">
      <c r="F936" s="26">
        <f>IF(G936=1,MAX($F$4:F935)+1,"")</f>
        <v/>
      </c>
      <c r="G936" s="26">
        <f>COUNTIF($H$5:H936,H936)</f>
      </c>
      <c r="H936" s="26">
        <f t="shared" si="258"/>
      </c>
      <c r="I936" s="26">
        <f>COUNTIF($J$4:$J936,1)</f>
      </c>
      <c r="J936" s="26">
        <f>COUNTIF($S$5:$S936,S936)</f>
      </c>
      <c r="K936" s="26">
        <f t="shared" si="247"/>
      </c>
      <c r="L936" s="26">
        <f>IFERROR(IF(P936=0,0,MAX($L$4:L935)+1),0)</f>
      </c>
      <c r="M936" s="5">
        <f t="shared" si="259"/>
      </c>
      <c r="N936" s="5">
        <f t="shared" si="260"/>
      </c>
      <c r="P936" s="86">
        <f t="shared" si="248"/>
      </c>
      <c r="Q936" s="86">
        <f t="shared" si="249"/>
      </c>
      <c r="R936" s="86">
        <f t="shared" si="250"/>
      </c>
      <c r="S936" s="86">
        <f t="shared" si="251"/>
      </c>
      <c r="T936" s="86">
        <f t="shared" si="261"/>
        <v/>
      </c>
      <c r="U936" s="86">
        <f t="shared" si="262"/>
        <v/>
      </c>
      <c r="V936" s="86">
        <f t="shared" si="263"/>
        <v/>
      </c>
      <c r="W936" s="87">
        <f t="shared" si="252"/>
      </c>
      <c r="X936" s="88"/>
      <c r="Y936" s="88"/>
      <c r="Z936" s="88"/>
      <c r="AA936" s="88"/>
      <c r="AB936" s="88"/>
      <c r="AD936" s="86">
        <f t="shared" si="253"/>
      </c>
      <c r="AE936" s="86">
        <f t="shared" si="254"/>
      </c>
      <c r="AG936" s="86">
        <f t="shared" si="255"/>
      </c>
      <c r="AH936" s="86">
        <f t="shared" si="256"/>
      </c>
      <c r="AI936" s="86">
        <f t="shared" si="257"/>
      </c>
    </row>
    <row r="937" spans="6:35" x14ac:dyDescent="0.3">
      <c r="F937" s="26">
        <f>IF(G937=1,MAX($F$4:F936)+1,"")</f>
        <v/>
      </c>
      <c r="G937" s="26">
        <f>COUNTIF($H$5:H937,H937)</f>
      </c>
      <c r="H937" s="26">
        <f t="shared" si="258"/>
      </c>
      <c r="I937" s="26">
        <f>COUNTIF($J$4:$J937,1)</f>
      </c>
      <c r="J937" s="26">
        <f>COUNTIF($S$5:$S937,S937)</f>
      </c>
      <c r="K937" s="26">
        <f t="shared" si="247"/>
      </c>
      <c r="L937" s="26">
        <f>IFERROR(IF(P937=0,0,MAX($L$4:L936)+1),0)</f>
      </c>
      <c r="M937" s="5">
        <f t="shared" si="259"/>
      </c>
      <c r="N937" s="5">
        <f t="shared" si="260"/>
      </c>
      <c r="P937" s="86">
        <f t="shared" si="248"/>
      </c>
      <c r="Q937" s="86">
        <f t="shared" si="249"/>
      </c>
      <c r="R937" s="86">
        <f t="shared" si="250"/>
      </c>
      <c r="S937" s="86">
        <f t="shared" si="251"/>
      </c>
      <c r="T937" s="86">
        <f t="shared" si="261"/>
        <v/>
      </c>
      <c r="U937" s="86">
        <f t="shared" si="262"/>
        <v/>
      </c>
      <c r="V937" s="86">
        <f t="shared" si="263"/>
        <v/>
      </c>
      <c r="W937" s="87">
        <f t="shared" si="252"/>
      </c>
      <c r="X937" s="88"/>
      <c r="Y937" s="88"/>
      <c r="Z937" s="88"/>
      <c r="AA937" s="88"/>
      <c r="AB937" s="88"/>
      <c r="AD937" s="86">
        <f t="shared" si="253"/>
      </c>
      <c r="AE937" s="86">
        <f t="shared" si="254"/>
      </c>
      <c r="AG937" s="86">
        <f t="shared" si="255"/>
      </c>
      <c r="AH937" s="86">
        <f t="shared" si="256"/>
      </c>
      <c r="AI937" s="86">
        <f t="shared" si="257"/>
      </c>
    </row>
    <row r="938" spans="6:35" x14ac:dyDescent="0.3">
      <c r="F938" s="26">
        <f>IF(G938=1,MAX($F$4:F937)+1,"")</f>
        <v/>
      </c>
      <c r="G938" s="26">
        <f>COUNTIF($H$5:H938,H938)</f>
      </c>
      <c r="H938" s="26">
        <f t="shared" si="258"/>
      </c>
      <c r="I938" s="26">
        <f>COUNTIF($J$4:$J938,1)</f>
      </c>
      <c r="J938" s="26">
        <f>COUNTIF($S$5:$S938,S938)</f>
      </c>
      <c r="K938" s="26">
        <f t="shared" si="247"/>
      </c>
      <c r="L938" s="26">
        <f>IFERROR(IF(P938=0,0,MAX($L$4:L937)+1),0)</f>
      </c>
      <c r="M938" s="5">
        <f t="shared" si="259"/>
      </c>
      <c r="N938" s="5">
        <f t="shared" si="260"/>
      </c>
      <c r="P938" s="86">
        <f t="shared" si="248"/>
      </c>
      <c r="Q938" s="86">
        <f t="shared" si="249"/>
      </c>
      <c r="R938" s="86">
        <f t="shared" si="250"/>
      </c>
      <c r="S938" s="86">
        <f t="shared" si="251"/>
      </c>
      <c r="T938" s="86">
        <f t="shared" si="261"/>
        <v/>
      </c>
      <c r="U938" s="86">
        <f t="shared" si="262"/>
        <v/>
      </c>
      <c r="V938" s="86">
        <f t="shared" si="263"/>
        <v/>
      </c>
      <c r="W938" s="87">
        <f t="shared" si="252"/>
      </c>
      <c r="X938" s="88"/>
      <c r="Y938" s="88"/>
      <c r="Z938" s="88"/>
      <c r="AA938" s="88"/>
      <c r="AB938" s="88"/>
      <c r="AD938" s="86">
        <f t="shared" si="253"/>
      </c>
      <c r="AE938" s="86">
        <f t="shared" si="254"/>
      </c>
      <c r="AG938" s="86">
        <f t="shared" si="255"/>
      </c>
      <c r="AH938" s="86">
        <f t="shared" si="256"/>
      </c>
      <c r="AI938" s="86">
        <f t="shared" si="257"/>
      </c>
    </row>
    <row r="939" spans="6:35" x14ac:dyDescent="0.3">
      <c r="F939" s="26">
        <f>IF(G939=1,MAX($F$4:F938)+1,"")</f>
        <v/>
      </c>
      <c r="G939" s="26">
        <f>COUNTIF($H$5:H939,H939)</f>
      </c>
      <c r="H939" s="26">
        <f t="shared" si="258"/>
      </c>
      <c r="I939" s="26">
        <f>COUNTIF($J$4:$J939,1)</f>
      </c>
      <c r="J939" s="26">
        <f>COUNTIF($S$5:$S939,S939)</f>
      </c>
      <c r="K939" s="26">
        <f t="shared" si="247"/>
      </c>
      <c r="L939" s="26">
        <f>IFERROR(IF(P939=0,0,MAX($L$4:L938)+1),0)</f>
      </c>
      <c r="M939" s="5">
        <f t="shared" si="259"/>
      </c>
      <c r="N939" s="5">
        <f t="shared" si="260"/>
      </c>
      <c r="P939" s="86">
        <f t="shared" si="248"/>
      </c>
      <c r="Q939" s="86">
        <f t="shared" si="249"/>
      </c>
      <c r="R939" s="86">
        <f t="shared" si="250"/>
      </c>
      <c r="S939" s="86">
        <f t="shared" si="251"/>
      </c>
      <c r="T939" s="86">
        <f t="shared" si="261"/>
        <v/>
      </c>
      <c r="U939" s="86">
        <f t="shared" si="262"/>
        <v/>
      </c>
      <c r="V939" s="86">
        <f t="shared" si="263"/>
        <v/>
      </c>
      <c r="W939" s="87">
        <f t="shared" si="252"/>
      </c>
      <c r="X939" s="88"/>
      <c r="Y939" s="88"/>
      <c r="Z939" s="88"/>
      <c r="AA939" s="88"/>
      <c r="AB939" s="88"/>
      <c r="AD939" s="86">
        <f t="shared" si="253"/>
      </c>
      <c r="AE939" s="86">
        <f t="shared" si="254"/>
      </c>
      <c r="AG939" s="86">
        <f t="shared" si="255"/>
      </c>
      <c r="AH939" s="86">
        <f t="shared" si="256"/>
      </c>
      <c r="AI939" s="86">
        <f t="shared" si="257"/>
      </c>
    </row>
    <row r="940" spans="6:35" x14ac:dyDescent="0.3">
      <c r="F940" s="26">
        <f>IF(G940=1,MAX($F$4:F939)+1,"")</f>
        <v/>
      </c>
      <c r="G940" s="26">
        <f>COUNTIF($H$5:H940,H940)</f>
      </c>
      <c r="H940" s="26">
        <f t="shared" si="258"/>
      </c>
      <c r="I940" s="26">
        <f>COUNTIF($J$4:$J940,1)</f>
      </c>
      <c r="J940" s="26">
        <f>COUNTIF($S$5:$S940,S940)</f>
      </c>
      <c r="K940" s="26">
        <f t="shared" si="247"/>
      </c>
      <c r="L940" s="26">
        <f>IFERROR(IF(P940=0,0,MAX($L$4:L939)+1),0)</f>
      </c>
      <c r="M940" s="5">
        <f t="shared" si="259"/>
      </c>
      <c r="N940" s="5">
        <f t="shared" si="260"/>
      </c>
      <c r="P940" s="86">
        <f t="shared" si="248"/>
      </c>
      <c r="Q940" s="86">
        <f t="shared" si="249"/>
      </c>
      <c r="R940" s="86">
        <f t="shared" si="250"/>
      </c>
      <c r="S940" s="86">
        <f t="shared" si="251"/>
      </c>
      <c r="T940" s="86">
        <f t="shared" si="261"/>
        <v/>
      </c>
      <c r="U940" s="86">
        <f t="shared" si="262"/>
        <v/>
      </c>
      <c r="V940" s="86">
        <f t="shared" si="263"/>
        <v/>
      </c>
      <c r="W940" s="87">
        <f t="shared" si="252"/>
      </c>
      <c r="X940" s="88"/>
      <c r="Y940" s="88"/>
      <c r="Z940" s="88"/>
      <c r="AA940" s="88"/>
      <c r="AB940" s="88"/>
      <c r="AD940" s="86">
        <f t="shared" si="253"/>
      </c>
      <c r="AE940" s="86">
        <f t="shared" si="254"/>
      </c>
      <c r="AG940" s="86">
        <f t="shared" si="255"/>
      </c>
      <c r="AH940" s="86">
        <f t="shared" si="256"/>
      </c>
      <c r="AI940" s="86">
        <f t="shared" si="257"/>
      </c>
    </row>
    <row r="941" spans="6:35" x14ac:dyDescent="0.3">
      <c r="F941" s="26">
        <f>IF(G941=1,MAX($F$4:F940)+1,"")</f>
        <v/>
      </c>
      <c r="G941" s="26">
        <f>COUNTIF($H$5:H941,H941)</f>
      </c>
      <c r="H941" s="26">
        <f t="shared" si="258"/>
      </c>
      <c r="I941" s="26">
        <f>COUNTIF($J$4:$J941,1)</f>
      </c>
      <c r="J941" s="26">
        <f>COUNTIF($S$5:$S941,S941)</f>
      </c>
      <c r="K941" s="26">
        <f t="shared" si="247"/>
      </c>
      <c r="L941" s="26">
        <f>IFERROR(IF(P941=0,0,MAX($L$4:L940)+1),0)</f>
      </c>
      <c r="M941" s="5">
        <f t="shared" si="259"/>
      </c>
      <c r="N941" s="5">
        <f t="shared" si="260"/>
      </c>
      <c r="P941" s="86">
        <f t="shared" si="248"/>
      </c>
      <c r="Q941" s="86">
        <f t="shared" si="249"/>
      </c>
      <c r="R941" s="86">
        <f t="shared" si="250"/>
      </c>
      <c r="S941" s="86">
        <f t="shared" si="251"/>
      </c>
      <c r="T941" s="86">
        <f t="shared" si="261"/>
        <v/>
      </c>
      <c r="U941" s="86">
        <f t="shared" si="262"/>
        <v/>
      </c>
      <c r="V941" s="86">
        <f t="shared" si="263"/>
        <v/>
      </c>
      <c r="W941" s="87">
        <f t="shared" si="252"/>
      </c>
      <c r="X941" s="88"/>
      <c r="Y941" s="88"/>
      <c r="Z941" s="88"/>
      <c r="AA941" s="88"/>
      <c r="AB941" s="88"/>
      <c r="AD941" s="86">
        <f t="shared" si="253"/>
      </c>
      <c r="AE941" s="86">
        <f t="shared" si="254"/>
      </c>
      <c r="AG941" s="86">
        <f t="shared" si="255"/>
      </c>
      <c r="AH941" s="86">
        <f t="shared" si="256"/>
      </c>
      <c r="AI941" s="86">
        <f t="shared" si="257"/>
      </c>
    </row>
    <row r="942" spans="6:35" x14ac:dyDescent="0.3">
      <c r="F942" s="26">
        <f>IF(G942=1,MAX($F$4:F941)+1,"")</f>
        <v/>
      </c>
      <c r="G942" s="26">
        <f>COUNTIF($H$5:H942,H942)</f>
      </c>
      <c r="H942" s="26">
        <f t="shared" si="258"/>
      </c>
      <c r="I942" s="26">
        <f>COUNTIF($J$4:$J942,1)</f>
      </c>
      <c r="J942" s="26">
        <f>COUNTIF($S$5:$S942,S942)</f>
      </c>
      <c r="K942" s="26">
        <f t="shared" si="247"/>
      </c>
      <c r="L942" s="26">
        <f>IFERROR(IF(P942=0,0,MAX($L$4:L941)+1),0)</f>
      </c>
      <c r="M942" s="5">
        <f t="shared" si="259"/>
      </c>
      <c r="N942" s="5">
        <f t="shared" si="260"/>
      </c>
      <c r="P942" s="86">
        <f t="shared" si="248"/>
      </c>
      <c r="Q942" s="86">
        <f t="shared" si="249"/>
      </c>
      <c r="R942" s="86">
        <f t="shared" si="250"/>
      </c>
      <c r="S942" s="86">
        <f t="shared" si="251"/>
      </c>
      <c r="T942" s="86">
        <f t="shared" si="261"/>
        <v/>
      </c>
      <c r="U942" s="86">
        <f t="shared" si="262"/>
        <v/>
      </c>
      <c r="V942" s="86">
        <f t="shared" si="263"/>
        <v/>
      </c>
      <c r="W942" s="87">
        <f t="shared" si="252"/>
      </c>
      <c r="X942" s="88"/>
      <c r="Y942" s="88"/>
      <c r="Z942" s="88"/>
      <c r="AA942" s="88"/>
      <c r="AB942" s="88"/>
      <c r="AD942" s="86">
        <f t="shared" si="253"/>
      </c>
      <c r="AE942" s="86">
        <f t="shared" si="254"/>
      </c>
      <c r="AG942" s="86">
        <f t="shared" si="255"/>
      </c>
      <c r="AH942" s="86">
        <f t="shared" si="256"/>
      </c>
      <c r="AI942" s="86">
        <f t="shared" si="257"/>
      </c>
    </row>
    <row r="943" spans="6:35" x14ac:dyDescent="0.3">
      <c r="F943" s="26">
        <f>IF(G943=1,MAX($F$4:F942)+1,"")</f>
        <v/>
      </c>
      <c r="G943" s="26">
        <f>COUNTIF($H$5:H943,H943)</f>
      </c>
      <c r="H943" s="26">
        <f t="shared" si="258"/>
      </c>
      <c r="I943" s="26">
        <f>COUNTIF($J$4:$J943,1)</f>
      </c>
      <c r="J943" s="26">
        <f>COUNTIF($S$5:$S943,S943)</f>
      </c>
      <c r="K943" s="26">
        <f t="shared" si="247"/>
      </c>
      <c r="L943" s="26">
        <f>IFERROR(IF(P943=0,0,MAX($L$4:L942)+1),0)</f>
      </c>
      <c r="M943" s="5">
        <f t="shared" si="259"/>
      </c>
      <c r="N943" s="5">
        <f t="shared" si="260"/>
      </c>
      <c r="P943" s="86">
        <f t="shared" si="248"/>
      </c>
      <c r="Q943" s="86">
        <f t="shared" si="249"/>
      </c>
      <c r="R943" s="86">
        <f t="shared" si="250"/>
      </c>
      <c r="S943" s="86">
        <f t="shared" si="251"/>
      </c>
      <c r="T943" s="86">
        <f t="shared" si="261"/>
        <v/>
      </c>
      <c r="U943" s="86">
        <f t="shared" si="262"/>
        <v/>
      </c>
      <c r="V943" s="86">
        <f t="shared" si="263"/>
        <v/>
      </c>
      <c r="W943" s="87">
        <f t="shared" si="252"/>
      </c>
      <c r="X943" s="88"/>
      <c r="Y943" s="88"/>
      <c r="Z943" s="88"/>
      <c r="AA943" s="88"/>
      <c r="AB943" s="88"/>
      <c r="AD943" s="86">
        <f t="shared" si="253"/>
      </c>
      <c r="AE943" s="86">
        <f t="shared" si="254"/>
      </c>
      <c r="AG943" s="86">
        <f t="shared" si="255"/>
      </c>
      <c r="AH943" s="86">
        <f t="shared" si="256"/>
      </c>
      <c r="AI943" s="86">
        <f t="shared" si="257"/>
      </c>
    </row>
    <row r="944" spans="6:35" x14ac:dyDescent="0.3">
      <c r="F944" s="26">
        <f>IF(G944=1,MAX($F$4:F943)+1,"")</f>
        <v/>
      </c>
      <c r="G944" s="26">
        <f>COUNTIF($H$5:H944,H944)</f>
      </c>
      <c r="H944" s="26">
        <f t="shared" si="258"/>
      </c>
      <c r="I944" s="26">
        <f>COUNTIF($J$4:$J944,1)</f>
      </c>
      <c r="J944" s="26">
        <f>COUNTIF($S$5:$S944,S944)</f>
      </c>
      <c r="K944" s="26">
        <f t="shared" si="247"/>
      </c>
      <c r="L944" s="26">
        <f>IFERROR(IF(P944=0,0,MAX($L$4:L943)+1),0)</f>
      </c>
      <c r="M944" s="5">
        <f t="shared" si="259"/>
      </c>
      <c r="N944" s="5">
        <f t="shared" si="260"/>
      </c>
      <c r="P944" s="86">
        <f t="shared" si="248"/>
      </c>
      <c r="Q944" s="86">
        <f t="shared" si="249"/>
      </c>
      <c r="R944" s="86">
        <f t="shared" si="250"/>
      </c>
      <c r="S944" s="86">
        <f t="shared" si="251"/>
      </c>
      <c r="T944" s="86">
        <f t="shared" si="261"/>
        <v/>
      </c>
      <c r="U944" s="86">
        <f t="shared" si="262"/>
        <v/>
      </c>
      <c r="V944" s="86">
        <f t="shared" si="263"/>
        <v/>
      </c>
      <c r="W944" s="87">
        <f t="shared" si="252"/>
      </c>
      <c r="X944" s="88"/>
      <c r="Y944" s="88"/>
      <c r="Z944" s="88"/>
      <c r="AA944" s="88"/>
      <c r="AB944" s="88"/>
      <c r="AD944" s="86">
        <f t="shared" si="253"/>
      </c>
      <c r="AE944" s="86">
        <f t="shared" si="254"/>
      </c>
      <c r="AG944" s="86">
        <f t="shared" si="255"/>
      </c>
      <c r="AH944" s="86">
        <f t="shared" si="256"/>
      </c>
      <c r="AI944" s="86">
        <f t="shared" si="257"/>
      </c>
    </row>
    <row r="945" spans="6:35" x14ac:dyDescent="0.3">
      <c r="F945" s="26">
        <f>IF(G945=1,MAX($F$4:F944)+1,"")</f>
        <v/>
      </c>
      <c r="G945" s="26">
        <f>COUNTIF($H$5:H945,H945)</f>
      </c>
      <c r="H945" s="26">
        <f t="shared" si="258"/>
      </c>
      <c r="I945" s="26">
        <f>COUNTIF($J$4:$J945,1)</f>
      </c>
      <c r="J945" s="26">
        <f>COUNTIF($S$5:$S945,S945)</f>
      </c>
      <c r="K945" s="26">
        <f t="shared" si="247"/>
      </c>
      <c r="L945" s="26">
        <f>IFERROR(IF(P945=0,0,MAX($L$4:L944)+1),0)</f>
      </c>
      <c r="M945" s="5">
        <f t="shared" si="259"/>
      </c>
      <c r="N945" s="5">
        <f t="shared" si="260"/>
      </c>
      <c r="P945" s="86">
        <f t="shared" si="248"/>
      </c>
      <c r="Q945" s="86">
        <f t="shared" si="249"/>
      </c>
      <c r="R945" s="86">
        <f t="shared" si="250"/>
      </c>
      <c r="S945" s="86">
        <f t="shared" si="251"/>
      </c>
      <c r="T945" s="86">
        <f t="shared" si="261"/>
        <v/>
      </c>
      <c r="U945" s="86">
        <f t="shared" si="262"/>
        <v/>
      </c>
      <c r="V945" s="86">
        <f t="shared" si="263"/>
        <v/>
      </c>
      <c r="W945" s="87">
        <f t="shared" si="252"/>
      </c>
      <c r="X945" s="88"/>
      <c r="Y945" s="88"/>
      <c r="Z945" s="88"/>
      <c r="AA945" s="88"/>
      <c r="AB945" s="88"/>
      <c r="AD945" s="86">
        <f t="shared" si="253"/>
      </c>
      <c r="AE945" s="86">
        <f t="shared" si="254"/>
      </c>
      <c r="AG945" s="86">
        <f t="shared" si="255"/>
      </c>
      <c r="AH945" s="86">
        <f t="shared" si="256"/>
      </c>
      <c r="AI945" s="86">
        <f t="shared" si="257"/>
      </c>
    </row>
    <row r="946" spans="6:35" x14ac:dyDescent="0.3">
      <c r="F946" s="26">
        <f>IF(G946=1,MAX($F$4:F945)+1,"")</f>
        <v/>
      </c>
      <c r="G946" s="26">
        <f>COUNTIF($H$5:H946,H946)</f>
      </c>
      <c r="H946" s="26">
        <f t="shared" si="258"/>
      </c>
      <c r="I946" s="26">
        <f>COUNTIF($J$4:$J946,1)</f>
      </c>
      <c r="J946" s="26">
        <f>COUNTIF($S$5:$S946,S946)</f>
      </c>
      <c r="K946" s="26">
        <f t="shared" si="247"/>
      </c>
      <c r="L946" s="26">
        <f>IFERROR(IF(P946=0,0,MAX($L$4:L945)+1),0)</f>
      </c>
      <c r="M946" s="5">
        <f t="shared" si="259"/>
      </c>
      <c r="N946" s="5">
        <f t="shared" si="260"/>
      </c>
      <c r="P946" s="86">
        <f t="shared" si="248"/>
      </c>
      <c r="Q946" s="86">
        <f t="shared" si="249"/>
      </c>
      <c r="R946" s="86">
        <f t="shared" si="250"/>
      </c>
      <c r="S946" s="86">
        <f t="shared" si="251"/>
      </c>
      <c r="T946" s="86">
        <f t="shared" si="261"/>
        <v/>
      </c>
      <c r="U946" s="86">
        <f t="shared" si="262"/>
        <v/>
      </c>
      <c r="V946" s="86">
        <f t="shared" si="263"/>
        <v/>
      </c>
      <c r="W946" s="87">
        <f t="shared" si="252"/>
      </c>
      <c r="X946" s="88"/>
      <c r="Y946" s="88"/>
      <c r="Z946" s="88"/>
      <c r="AA946" s="88"/>
      <c r="AB946" s="88"/>
      <c r="AD946" s="86">
        <f t="shared" si="253"/>
      </c>
      <c r="AE946" s="86">
        <f t="shared" si="254"/>
      </c>
      <c r="AG946" s="86">
        <f t="shared" si="255"/>
      </c>
      <c r="AH946" s="86">
        <f t="shared" si="256"/>
      </c>
      <c r="AI946" s="86">
        <f t="shared" si="257"/>
      </c>
    </row>
    <row r="947" spans="6:35" x14ac:dyDescent="0.3">
      <c r="F947" s="26">
        <f>IF(G947=1,MAX($F$4:F946)+1,"")</f>
        <v/>
      </c>
      <c r="G947" s="26">
        <f>COUNTIF($H$5:H947,H947)</f>
      </c>
      <c r="H947" s="26">
        <f t="shared" si="258"/>
      </c>
      <c r="I947" s="26">
        <f>COUNTIF($J$4:$J947,1)</f>
      </c>
      <c r="J947" s="26">
        <f>COUNTIF($S$5:$S947,S947)</f>
      </c>
      <c r="K947" s="26">
        <f t="shared" si="247"/>
      </c>
      <c r="L947" s="26">
        <f>IFERROR(IF(P947=0,0,MAX($L$4:L946)+1),0)</f>
      </c>
      <c r="M947" s="5">
        <f t="shared" si="259"/>
      </c>
      <c r="N947" s="5">
        <f t="shared" si="260"/>
      </c>
      <c r="P947" s="86">
        <f t="shared" si="248"/>
      </c>
      <c r="Q947" s="86">
        <f t="shared" si="249"/>
      </c>
      <c r="R947" s="86">
        <f t="shared" si="250"/>
      </c>
      <c r="S947" s="86">
        <f t="shared" si="251"/>
      </c>
      <c r="T947" s="86">
        <f t="shared" si="261"/>
        <v/>
      </c>
      <c r="U947" s="86">
        <f t="shared" si="262"/>
        <v/>
      </c>
      <c r="V947" s="86">
        <f t="shared" si="263"/>
        <v/>
      </c>
      <c r="W947" s="87">
        <f t="shared" si="252"/>
      </c>
      <c r="X947" s="88"/>
      <c r="Y947" s="88"/>
      <c r="Z947" s="88"/>
      <c r="AA947" s="88"/>
      <c r="AB947" s="88"/>
      <c r="AD947" s="86">
        <f t="shared" si="253"/>
      </c>
      <c r="AE947" s="86">
        <f t="shared" si="254"/>
      </c>
      <c r="AG947" s="86">
        <f t="shared" si="255"/>
      </c>
      <c r="AH947" s="86">
        <f t="shared" si="256"/>
      </c>
      <c r="AI947" s="86">
        <f t="shared" si="257"/>
      </c>
    </row>
    <row r="948" spans="6:35" x14ac:dyDescent="0.3">
      <c r="F948" s="26">
        <f>IF(G948=1,MAX($F$4:F947)+1,"")</f>
        <v/>
      </c>
      <c r="G948" s="26">
        <f>COUNTIF($H$5:H948,H948)</f>
      </c>
      <c r="H948" s="26">
        <f t="shared" si="258"/>
      </c>
      <c r="I948" s="26">
        <f>COUNTIF($J$4:$J948,1)</f>
      </c>
      <c r="J948" s="26">
        <f>COUNTIF($S$5:$S948,S948)</f>
      </c>
      <c r="K948" s="26">
        <f t="shared" si="247"/>
      </c>
      <c r="L948" s="26">
        <f>IFERROR(IF(P948=0,0,MAX($L$4:L947)+1),0)</f>
      </c>
      <c r="M948" s="5">
        <f t="shared" si="259"/>
      </c>
      <c r="N948" s="5">
        <f t="shared" si="260"/>
      </c>
      <c r="P948" s="86">
        <f t="shared" si="248"/>
      </c>
      <c r="Q948" s="86">
        <f t="shared" si="249"/>
      </c>
      <c r="R948" s="86">
        <f t="shared" si="250"/>
      </c>
      <c r="S948" s="86">
        <f t="shared" si="251"/>
      </c>
      <c r="T948" s="86">
        <f t="shared" si="261"/>
        <v/>
      </c>
      <c r="U948" s="86">
        <f t="shared" si="262"/>
        <v/>
      </c>
      <c r="V948" s="86">
        <f t="shared" si="263"/>
        <v/>
      </c>
      <c r="W948" s="87">
        <f t="shared" si="252"/>
      </c>
      <c r="X948" s="88"/>
      <c r="Y948" s="88"/>
      <c r="Z948" s="88"/>
      <c r="AA948" s="88"/>
      <c r="AB948" s="88"/>
      <c r="AD948" s="86">
        <f t="shared" si="253"/>
      </c>
      <c r="AE948" s="86">
        <f t="shared" si="254"/>
      </c>
      <c r="AG948" s="86">
        <f t="shared" si="255"/>
      </c>
      <c r="AH948" s="86">
        <f t="shared" si="256"/>
      </c>
      <c r="AI948" s="86">
        <f t="shared" si="257"/>
      </c>
    </row>
    <row r="949" spans="6:35" x14ac:dyDescent="0.3">
      <c r="F949" s="26">
        <f>IF(G949=1,MAX($F$4:F948)+1,"")</f>
        <v/>
      </c>
      <c r="G949" s="26">
        <f>COUNTIF($H$5:H949,H949)</f>
      </c>
      <c r="H949" s="26">
        <f t="shared" si="258"/>
      </c>
      <c r="I949" s="26">
        <f>COUNTIF($J$4:$J949,1)</f>
      </c>
      <c r="J949" s="26">
        <f>COUNTIF($S$5:$S949,S949)</f>
      </c>
      <c r="K949" s="26">
        <f t="shared" si="247"/>
      </c>
      <c r="L949" s="26">
        <f>IFERROR(IF(P949=0,0,MAX($L$4:L948)+1),0)</f>
      </c>
      <c r="M949" s="5">
        <f t="shared" si="259"/>
      </c>
      <c r="N949" s="5">
        <f t="shared" si="260"/>
      </c>
      <c r="P949" s="86">
        <f t="shared" si="248"/>
      </c>
      <c r="Q949" s="86">
        <f t="shared" si="249"/>
      </c>
      <c r="R949" s="86">
        <f t="shared" si="250"/>
      </c>
      <c r="S949" s="86">
        <f t="shared" si="251"/>
      </c>
      <c r="T949" s="86">
        <f t="shared" si="261"/>
        <v/>
      </c>
      <c r="U949" s="86">
        <f t="shared" si="262"/>
        <v/>
      </c>
      <c r="V949" s="86">
        <f t="shared" si="263"/>
        <v/>
      </c>
      <c r="W949" s="87">
        <f t="shared" si="252"/>
      </c>
      <c r="X949" s="88"/>
      <c r="Y949" s="88"/>
      <c r="Z949" s="88"/>
      <c r="AA949" s="88"/>
      <c r="AB949" s="88"/>
      <c r="AD949" s="86">
        <f t="shared" si="253"/>
      </c>
      <c r="AE949" s="86">
        <f t="shared" si="254"/>
      </c>
      <c r="AG949" s="86">
        <f t="shared" si="255"/>
      </c>
      <c r="AH949" s="86">
        <f t="shared" si="256"/>
      </c>
      <c r="AI949" s="86">
        <f t="shared" si="257"/>
      </c>
    </row>
    <row r="950" spans="6:35" x14ac:dyDescent="0.3">
      <c r="F950" s="26">
        <f>IF(G950=1,MAX($F$4:F949)+1,"")</f>
        <v/>
      </c>
      <c r="G950" s="26">
        <f>COUNTIF($H$5:H950,H950)</f>
      </c>
      <c r="H950" s="26">
        <f t="shared" si="258"/>
      </c>
      <c r="I950" s="26">
        <f>COUNTIF($J$4:$J950,1)</f>
      </c>
      <c r="J950" s="26">
        <f>COUNTIF($S$5:$S950,S950)</f>
      </c>
      <c r="K950" s="26">
        <f t="shared" si="247"/>
      </c>
      <c r="L950" s="26">
        <f>IFERROR(IF(P950=0,0,MAX($L$4:L949)+1),0)</f>
      </c>
      <c r="M950" s="5">
        <f t="shared" si="259"/>
      </c>
      <c r="N950" s="5">
        <f t="shared" si="260"/>
      </c>
      <c r="P950" s="86">
        <f t="shared" si="248"/>
      </c>
      <c r="Q950" s="86">
        <f t="shared" si="249"/>
      </c>
      <c r="R950" s="86">
        <f t="shared" si="250"/>
      </c>
      <c r="S950" s="86">
        <f t="shared" si="251"/>
      </c>
      <c r="T950" s="86">
        <f t="shared" si="261"/>
        <v/>
      </c>
      <c r="U950" s="86">
        <f t="shared" si="262"/>
        <v/>
      </c>
      <c r="V950" s="86">
        <f t="shared" si="263"/>
        <v/>
      </c>
      <c r="W950" s="87">
        <f t="shared" si="252"/>
      </c>
      <c r="X950" s="88"/>
      <c r="Y950" s="88"/>
      <c r="Z950" s="88"/>
      <c r="AA950" s="88"/>
      <c r="AB950" s="88"/>
      <c r="AD950" s="86">
        <f t="shared" si="253"/>
      </c>
      <c r="AE950" s="86">
        <f t="shared" si="254"/>
      </c>
      <c r="AG950" s="86">
        <f t="shared" si="255"/>
      </c>
      <c r="AH950" s="86">
        <f t="shared" si="256"/>
      </c>
      <c r="AI950" s="86">
        <f t="shared" si="257"/>
      </c>
    </row>
    <row r="951" spans="6:35" x14ac:dyDescent="0.3">
      <c r="F951" s="26">
        <f>IF(G951=1,MAX($F$4:F950)+1,"")</f>
        <v/>
      </c>
      <c r="G951" s="26">
        <f>COUNTIF($H$5:H951,H951)</f>
      </c>
      <c r="H951" s="26">
        <f t="shared" si="258"/>
      </c>
      <c r="I951" s="26">
        <f>COUNTIF($J$4:$J951,1)</f>
      </c>
      <c r="J951" s="26">
        <f>COUNTIF($S$5:$S951,S951)</f>
      </c>
      <c r="K951" s="26">
        <f t="shared" si="247"/>
      </c>
      <c r="L951" s="26">
        <f>IFERROR(IF(P951=0,0,MAX($L$4:L950)+1),0)</f>
      </c>
      <c r="M951" s="5">
        <f t="shared" si="259"/>
      </c>
      <c r="N951" s="5">
        <f t="shared" si="260"/>
      </c>
      <c r="P951" s="86">
        <f t="shared" si="248"/>
      </c>
      <c r="Q951" s="86">
        <f t="shared" si="249"/>
      </c>
      <c r="R951" s="86">
        <f t="shared" si="250"/>
      </c>
      <c r="S951" s="86">
        <f t="shared" si="251"/>
      </c>
      <c r="T951" s="86">
        <f t="shared" si="261"/>
        <v/>
      </c>
      <c r="U951" s="86">
        <f t="shared" si="262"/>
        <v/>
      </c>
      <c r="V951" s="86">
        <f t="shared" si="263"/>
        <v/>
      </c>
      <c r="W951" s="87">
        <f t="shared" si="252"/>
      </c>
      <c r="X951" s="88"/>
      <c r="Y951" s="88"/>
      <c r="Z951" s="88"/>
      <c r="AA951" s="88"/>
      <c r="AB951" s="88"/>
      <c r="AD951" s="86">
        <f t="shared" si="253"/>
      </c>
      <c r="AE951" s="86">
        <f t="shared" si="254"/>
      </c>
      <c r="AG951" s="86">
        <f t="shared" si="255"/>
      </c>
      <c r="AH951" s="86">
        <f t="shared" si="256"/>
      </c>
      <c r="AI951" s="86">
        <f t="shared" si="257"/>
      </c>
    </row>
    <row r="952" spans="6:35" x14ac:dyDescent="0.3">
      <c r="F952" s="26">
        <f>IF(G952=1,MAX($F$4:F951)+1,"")</f>
        <v/>
      </c>
      <c r="G952" s="26">
        <f>COUNTIF($H$5:H952,H952)</f>
      </c>
      <c r="H952" s="26">
        <f t="shared" si="258"/>
      </c>
      <c r="I952" s="26">
        <f>COUNTIF($J$4:$J952,1)</f>
      </c>
      <c r="J952" s="26">
        <f>COUNTIF($S$5:$S952,S952)</f>
      </c>
      <c r="K952" s="26">
        <f t="shared" si="247"/>
      </c>
      <c r="L952" s="26">
        <f>IFERROR(IF(P952=0,0,MAX($L$4:L951)+1),0)</f>
      </c>
      <c r="M952" s="5">
        <f t="shared" si="259"/>
      </c>
      <c r="N952" s="5">
        <f t="shared" si="260"/>
      </c>
      <c r="P952" s="86">
        <f t="shared" si="248"/>
      </c>
      <c r="Q952" s="86">
        <f t="shared" si="249"/>
      </c>
      <c r="R952" s="86">
        <f t="shared" si="250"/>
      </c>
      <c r="S952" s="86">
        <f t="shared" si="251"/>
      </c>
      <c r="T952" s="86">
        <f t="shared" si="261"/>
        <v/>
      </c>
      <c r="U952" s="86">
        <f t="shared" si="262"/>
        <v/>
      </c>
      <c r="V952" s="86">
        <f t="shared" si="263"/>
        <v/>
      </c>
      <c r="W952" s="87">
        <f t="shared" si="252"/>
      </c>
      <c r="X952" s="88"/>
      <c r="Y952" s="88"/>
      <c r="Z952" s="88"/>
      <c r="AA952" s="88"/>
      <c r="AB952" s="88"/>
      <c r="AD952" s="86">
        <f t="shared" si="253"/>
      </c>
      <c r="AE952" s="86">
        <f t="shared" si="254"/>
      </c>
      <c r="AG952" s="86">
        <f t="shared" si="255"/>
      </c>
      <c r="AH952" s="86">
        <f t="shared" si="256"/>
      </c>
      <c r="AI952" s="86">
        <f t="shared" si="257"/>
      </c>
    </row>
    <row r="953" spans="6:35" x14ac:dyDescent="0.3">
      <c r="F953" s="26">
        <f>IF(G953=1,MAX($F$4:F952)+1,"")</f>
        <v/>
      </c>
      <c r="G953" s="26">
        <f>COUNTIF($H$5:H953,H953)</f>
      </c>
      <c r="H953" s="26">
        <f t="shared" si="258"/>
      </c>
      <c r="I953" s="26">
        <f>COUNTIF($J$4:$J953,1)</f>
      </c>
      <c r="J953" s="26">
        <f>COUNTIF($S$5:$S953,S953)</f>
      </c>
      <c r="K953" s="26">
        <f t="shared" si="247"/>
      </c>
      <c r="L953" s="26">
        <f>IFERROR(IF(P953=0,0,MAX($L$4:L952)+1),0)</f>
      </c>
      <c r="M953" s="5">
        <f t="shared" si="259"/>
      </c>
      <c r="N953" s="5">
        <f t="shared" si="260"/>
      </c>
      <c r="P953" s="86">
        <f t="shared" si="248"/>
      </c>
      <c r="Q953" s="86">
        <f t="shared" si="249"/>
      </c>
      <c r="R953" s="86">
        <f t="shared" si="250"/>
      </c>
      <c r="S953" s="86">
        <f t="shared" si="251"/>
      </c>
      <c r="T953" s="86">
        <f t="shared" si="261"/>
        <v/>
      </c>
      <c r="U953" s="86">
        <f t="shared" si="262"/>
        <v/>
      </c>
      <c r="V953" s="86">
        <f t="shared" si="263"/>
        <v/>
      </c>
      <c r="W953" s="87">
        <f t="shared" si="252"/>
      </c>
      <c r="X953" s="88"/>
      <c r="Y953" s="88"/>
      <c r="Z953" s="88"/>
      <c r="AA953" s="88"/>
      <c r="AB953" s="88"/>
      <c r="AD953" s="86">
        <f t="shared" si="253"/>
      </c>
      <c r="AE953" s="86">
        <f t="shared" si="254"/>
      </c>
      <c r="AG953" s="86">
        <f t="shared" si="255"/>
      </c>
      <c r="AH953" s="86">
        <f t="shared" si="256"/>
      </c>
      <c r="AI953" s="86">
        <f t="shared" si="257"/>
      </c>
    </row>
    <row r="954" spans="6:35" x14ac:dyDescent="0.3">
      <c r="F954" s="26">
        <f>IF(G954=1,MAX($F$4:F953)+1,"")</f>
        <v/>
      </c>
      <c r="G954" s="26">
        <f>COUNTIF($H$5:H954,H954)</f>
      </c>
      <c r="H954" s="26">
        <f t="shared" si="258"/>
      </c>
      <c r="I954" s="26">
        <f>COUNTIF($J$4:$J954,1)</f>
      </c>
      <c r="J954" s="26">
        <f>COUNTIF($S$5:$S954,S954)</f>
      </c>
      <c r="K954" s="26">
        <f t="shared" si="247"/>
      </c>
      <c r="L954" s="26">
        <f>IFERROR(IF(P954=0,0,MAX($L$4:L953)+1),0)</f>
      </c>
      <c r="M954" s="5">
        <f t="shared" si="259"/>
      </c>
      <c r="N954" s="5">
        <f t="shared" si="260"/>
      </c>
      <c r="P954" s="86">
        <f t="shared" si="248"/>
      </c>
      <c r="Q954" s="86">
        <f t="shared" si="249"/>
      </c>
      <c r="R954" s="86">
        <f t="shared" si="250"/>
      </c>
      <c r="S954" s="86">
        <f t="shared" si="251"/>
      </c>
      <c r="T954" s="86">
        <f t="shared" si="261"/>
        <v/>
      </c>
      <c r="U954" s="86">
        <f t="shared" si="262"/>
        <v/>
      </c>
      <c r="V954" s="86">
        <f t="shared" si="263"/>
        <v/>
      </c>
      <c r="W954" s="87">
        <f t="shared" si="252"/>
      </c>
      <c r="X954" s="88"/>
      <c r="Y954" s="88"/>
      <c r="Z954" s="88"/>
      <c r="AA954" s="88"/>
      <c r="AB954" s="88"/>
      <c r="AD954" s="86">
        <f t="shared" si="253"/>
      </c>
      <c r="AE954" s="86">
        <f t="shared" si="254"/>
      </c>
      <c r="AG954" s="86">
        <f t="shared" si="255"/>
      </c>
      <c r="AH954" s="86">
        <f t="shared" si="256"/>
      </c>
      <c r="AI954" s="86">
        <f t="shared" si="257"/>
      </c>
    </row>
    <row r="955" spans="6:35" x14ac:dyDescent="0.3">
      <c r="F955" s="26">
        <f>IF(G955=1,MAX($F$4:F954)+1,"")</f>
        <v/>
      </c>
      <c r="G955" s="26">
        <f>COUNTIF($H$5:H955,H955)</f>
      </c>
      <c r="H955" s="26">
        <f t="shared" si="258"/>
      </c>
      <c r="I955" s="26">
        <f>COUNTIF($J$4:$J955,1)</f>
      </c>
      <c r="J955" s="26">
        <f>COUNTIF($S$5:$S955,S955)</f>
      </c>
      <c r="K955" s="26">
        <f t="shared" si="247"/>
      </c>
      <c r="L955" s="26">
        <f>IFERROR(IF(P955=0,0,MAX($L$4:L954)+1),0)</f>
      </c>
      <c r="M955" s="5">
        <f t="shared" si="259"/>
      </c>
      <c r="N955" s="5">
        <f t="shared" si="260"/>
      </c>
      <c r="P955" s="86">
        <f t="shared" si="248"/>
      </c>
      <c r="Q955" s="86">
        <f t="shared" si="249"/>
      </c>
      <c r="R955" s="86">
        <f t="shared" si="250"/>
      </c>
      <c r="S955" s="86">
        <f t="shared" si="251"/>
      </c>
      <c r="T955" s="86">
        <f t="shared" si="261"/>
        <v/>
      </c>
      <c r="U955" s="86">
        <f t="shared" si="262"/>
        <v/>
      </c>
      <c r="V955" s="86">
        <f t="shared" si="263"/>
        <v/>
      </c>
      <c r="W955" s="87">
        <f t="shared" si="252"/>
      </c>
      <c r="X955" s="88"/>
      <c r="Y955" s="88"/>
      <c r="Z955" s="88"/>
      <c r="AA955" s="88"/>
      <c r="AB955" s="88"/>
      <c r="AD955" s="86">
        <f t="shared" si="253"/>
      </c>
      <c r="AE955" s="86">
        <f t="shared" si="254"/>
      </c>
      <c r="AG955" s="86">
        <f t="shared" si="255"/>
      </c>
      <c r="AH955" s="86">
        <f t="shared" si="256"/>
      </c>
      <c r="AI955" s="86">
        <f t="shared" si="257"/>
      </c>
    </row>
    <row r="956" spans="6:35" x14ac:dyDescent="0.3">
      <c r="F956" s="26">
        <f>IF(G956=1,MAX($F$4:F955)+1,"")</f>
        <v/>
      </c>
      <c r="G956" s="26">
        <f>COUNTIF($H$5:H956,H956)</f>
      </c>
      <c r="H956" s="26">
        <f t="shared" si="258"/>
      </c>
      <c r="I956" s="26">
        <f>COUNTIF($J$4:$J956,1)</f>
      </c>
      <c r="J956" s="26">
        <f>COUNTIF($S$5:$S956,S956)</f>
      </c>
      <c r="K956" s="26">
        <f t="shared" si="247"/>
      </c>
      <c r="L956" s="26">
        <f>IFERROR(IF(P956=0,0,MAX($L$4:L955)+1),0)</f>
      </c>
      <c r="M956" s="5">
        <f t="shared" si="259"/>
      </c>
      <c r="N956" s="5">
        <f t="shared" si="260"/>
      </c>
      <c r="P956" s="86">
        <f t="shared" si="248"/>
      </c>
      <c r="Q956" s="86">
        <f t="shared" si="249"/>
      </c>
      <c r="R956" s="86">
        <f t="shared" si="250"/>
      </c>
      <c r="S956" s="86">
        <f t="shared" si="251"/>
      </c>
      <c r="T956" s="86">
        <f t="shared" si="261"/>
        <v/>
      </c>
      <c r="U956" s="86">
        <f t="shared" si="262"/>
        <v/>
      </c>
      <c r="V956" s="86">
        <f t="shared" si="263"/>
        <v/>
      </c>
      <c r="W956" s="87">
        <f t="shared" si="252"/>
      </c>
      <c r="X956" s="88"/>
      <c r="Y956" s="88"/>
      <c r="Z956" s="88"/>
      <c r="AA956" s="88"/>
      <c r="AB956" s="88"/>
      <c r="AD956" s="86">
        <f t="shared" si="253"/>
      </c>
      <c r="AE956" s="86">
        <f t="shared" si="254"/>
      </c>
      <c r="AG956" s="86">
        <f t="shared" si="255"/>
      </c>
      <c r="AH956" s="86">
        <f t="shared" si="256"/>
      </c>
      <c r="AI956" s="86">
        <f t="shared" si="257"/>
      </c>
    </row>
    <row r="957" spans="6:35" x14ac:dyDescent="0.3">
      <c r="F957" s="26">
        <f>IF(G957=1,MAX($F$4:F956)+1,"")</f>
        <v/>
      </c>
      <c r="G957" s="26">
        <f>COUNTIF($H$5:H957,H957)</f>
      </c>
      <c r="H957" s="26">
        <f t="shared" si="258"/>
      </c>
      <c r="I957" s="26">
        <f>COUNTIF($J$4:$J957,1)</f>
      </c>
      <c r="J957" s="26">
        <f>COUNTIF($S$5:$S957,S957)</f>
      </c>
      <c r="K957" s="26">
        <f t="shared" si="247"/>
      </c>
      <c r="L957" s="26">
        <f>IFERROR(IF(P957=0,0,MAX($L$4:L956)+1),0)</f>
      </c>
      <c r="M957" s="5">
        <f t="shared" si="259"/>
      </c>
      <c r="N957" s="5">
        <f t="shared" si="260"/>
      </c>
      <c r="P957" s="86">
        <f t="shared" si="248"/>
      </c>
      <c r="Q957" s="86">
        <f t="shared" si="249"/>
      </c>
      <c r="R957" s="86">
        <f t="shared" si="250"/>
      </c>
      <c r="S957" s="86">
        <f t="shared" si="251"/>
      </c>
      <c r="T957" s="86">
        <f t="shared" si="261"/>
        <v/>
      </c>
      <c r="U957" s="86">
        <f t="shared" si="262"/>
        <v/>
      </c>
      <c r="V957" s="86">
        <f t="shared" si="263"/>
        <v/>
      </c>
      <c r="W957" s="87">
        <f t="shared" si="252"/>
      </c>
      <c r="X957" s="88"/>
      <c r="Y957" s="88"/>
      <c r="Z957" s="88"/>
      <c r="AA957" s="88"/>
      <c r="AB957" s="88"/>
      <c r="AD957" s="86">
        <f t="shared" si="253"/>
      </c>
      <c r="AE957" s="86">
        <f t="shared" si="254"/>
      </c>
      <c r="AG957" s="86">
        <f t="shared" si="255"/>
      </c>
      <c r="AH957" s="86">
        <f t="shared" si="256"/>
      </c>
      <c r="AI957" s="86">
        <f t="shared" si="257"/>
      </c>
    </row>
    <row r="958" spans="6:35" x14ac:dyDescent="0.3">
      <c r="F958" s="26">
        <f>IF(G958=1,MAX($F$4:F957)+1,"")</f>
        <v/>
      </c>
      <c r="G958" s="26">
        <f>COUNTIF($H$5:H958,H958)</f>
      </c>
      <c r="H958" s="26">
        <f t="shared" si="258"/>
      </c>
      <c r="I958" s="26">
        <f>COUNTIF($J$4:$J958,1)</f>
      </c>
      <c r="J958" s="26">
        <f>COUNTIF($S$5:$S958,S958)</f>
      </c>
      <c r="K958" s="26">
        <f t="shared" si="247"/>
      </c>
      <c r="L958" s="26">
        <f>IFERROR(IF(P958=0,0,MAX($L$4:L957)+1),0)</f>
      </c>
      <c r="M958" s="5">
        <f t="shared" si="259"/>
      </c>
      <c r="N958" s="5">
        <f t="shared" si="260"/>
      </c>
      <c r="P958" s="86">
        <f t="shared" si="248"/>
      </c>
      <c r="Q958" s="86">
        <f t="shared" si="249"/>
      </c>
      <c r="R958" s="86">
        <f t="shared" si="250"/>
      </c>
      <c r="S958" s="86">
        <f t="shared" si="251"/>
      </c>
      <c r="T958" s="86">
        <f t="shared" si="261"/>
        <v/>
      </c>
      <c r="U958" s="86">
        <f t="shared" si="262"/>
        <v/>
      </c>
      <c r="V958" s="86">
        <f t="shared" si="263"/>
        <v/>
      </c>
      <c r="W958" s="87">
        <f t="shared" si="252"/>
      </c>
      <c r="X958" s="88"/>
      <c r="Y958" s="88"/>
      <c r="Z958" s="88"/>
      <c r="AA958" s="88"/>
      <c r="AB958" s="88"/>
      <c r="AD958" s="86">
        <f t="shared" si="253"/>
      </c>
      <c r="AE958" s="86">
        <f t="shared" si="254"/>
      </c>
      <c r="AG958" s="86">
        <f t="shared" si="255"/>
      </c>
      <c r="AH958" s="86">
        <f t="shared" si="256"/>
      </c>
      <c r="AI958" s="86">
        <f t="shared" si="257"/>
      </c>
    </row>
    <row r="959" spans="6:35" x14ac:dyDescent="0.3">
      <c r="F959" s="26">
        <f>IF(G959=1,MAX($F$4:F958)+1,"")</f>
        <v/>
      </c>
      <c r="G959" s="26">
        <f>COUNTIF($H$5:H959,H959)</f>
      </c>
      <c r="H959" s="26">
        <f t="shared" si="258"/>
      </c>
      <c r="I959" s="26">
        <f>COUNTIF($J$4:$J959,1)</f>
      </c>
      <c r="J959" s="26">
        <f>COUNTIF($S$5:$S959,S959)</f>
      </c>
      <c r="K959" s="26">
        <f t="shared" si="247"/>
      </c>
      <c r="L959" s="26">
        <f>IFERROR(IF(P959=0,0,MAX($L$4:L958)+1),0)</f>
      </c>
      <c r="M959" s="5">
        <f t="shared" si="259"/>
      </c>
      <c r="N959" s="5">
        <f t="shared" si="260"/>
      </c>
      <c r="P959" s="86">
        <f t="shared" si="248"/>
      </c>
      <c r="Q959" s="86">
        <f t="shared" si="249"/>
      </c>
      <c r="R959" s="86">
        <f t="shared" si="250"/>
      </c>
      <c r="S959" s="86">
        <f t="shared" si="251"/>
      </c>
      <c r="T959" s="86">
        <f t="shared" si="261"/>
        <v/>
      </c>
      <c r="U959" s="86">
        <f t="shared" si="262"/>
        <v/>
      </c>
      <c r="V959" s="86">
        <f t="shared" si="263"/>
        <v/>
      </c>
      <c r="W959" s="87">
        <f t="shared" si="252"/>
      </c>
      <c r="X959" s="88"/>
      <c r="Y959" s="88"/>
      <c r="Z959" s="88"/>
      <c r="AA959" s="88"/>
      <c r="AB959" s="88"/>
      <c r="AD959" s="86">
        <f t="shared" si="253"/>
      </c>
      <c r="AE959" s="86">
        <f t="shared" si="254"/>
      </c>
      <c r="AG959" s="86">
        <f t="shared" si="255"/>
      </c>
      <c r="AH959" s="86">
        <f t="shared" si="256"/>
      </c>
      <c r="AI959" s="86">
        <f t="shared" si="257"/>
      </c>
    </row>
    <row r="960" spans="6:35" x14ac:dyDescent="0.3">
      <c r="F960" s="26">
        <f>IF(G960=1,MAX($F$4:F959)+1,"")</f>
        <v/>
      </c>
      <c r="G960" s="26">
        <f>COUNTIF($H$5:H960,H960)</f>
      </c>
      <c r="H960" s="26">
        <f t="shared" si="258"/>
      </c>
      <c r="I960" s="26">
        <f>COUNTIF($J$4:$J960,1)</f>
      </c>
      <c r="J960" s="26">
        <f>COUNTIF($S$5:$S960,S960)</f>
      </c>
      <c r="K960" s="26">
        <f t="shared" si="247"/>
      </c>
      <c r="L960" s="26">
        <f>IFERROR(IF(P960=0,0,MAX($L$4:L959)+1),0)</f>
      </c>
      <c r="M960" s="5">
        <f t="shared" si="259"/>
      </c>
      <c r="N960" s="5">
        <f t="shared" si="260"/>
      </c>
      <c r="P960" s="86">
        <f t="shared" si="248"/>
      </c>
      <c r="Q960" s="86">
        <f t="shared" si="249"/>
      </c>
      <c r="R960" s="86">
        <f t="shared" si="250"/>
      </c>
      <c r="S960" s="86">
        <f t="shared" si="251"/>
      </c>
      <c r="T960" s="86">
        <f t="shared" si="261"/>
        <v/>
      </c>
      <c r="U960" s="86">
        <f t="shared" si="262"/>
        <v/>
      </c>
      <c r="V960" s="86">
        <f t="shared" si="263"/>
        <v/>
      </c>
      <c r="W960" s="87">
        <f t="shared" si="252"/>
      </c>
      <c r="X960" s="88"/>
      <c r="Y960" s="88"/>
      <c r="Z960" s="88"/>
      <c r="AA960" s="88"/>
      <c r="AB960" s="88"/>
      <c r="AD960" s="86">
        <f t="shared" si="253"/>
      </c>
      <c r="AE960" s="86">
        <f t="shared" si="254"/>
      </c>
      <c r="AG960" s="86">
        <f t="shared" si="255"/>
      </c>
      <c r="AH960" s="86">
        <f t="shared" si="256"/>
      </c>
      <c r="AI960" s="86">
        <f t="shared" si="257"/>
      </c>
    </row>
    <row r="961" spans="6:35" x14ac:dyDescent="0.3">
      <c r="F961" s="26">
        <f>IF(G961=1,MAX($F$4:F960)+1,"")</f>
        <v/>
      </c>
      <c r="G961" s="26">
        <f>COUNTIF($H$5:H961,H961)</f>
      </c>
      <c r="H961" s="26">
        <f t="shared" si="258"/>
      </c>
      <c r="I961" s="26">
        <f>COUNTIF($J$4:$J961,1)</f>
      </c>
      <c r="J961" s="26">
        <f>COUNTIF($S$5:$S961,S961)</f>
      </c>
      <c r="K961" s="26">
        <f t="shared" si="247"/>
      </c>
      <c r="L961" s="26">
        <f>IFERROR(IF(P961=0,0,MAX($L$4:L960)+1),0)</f>
      </c>
      <c r="M961" s="5">
        <f t="shared" si="259"/>
      </c>
      <c r="N961" s="5">
        <f t="shared" si="260"/>
      </c>
      <c r="P961" s="86">
        <f t="shared" si="248"/>
      </c>
      <c r="Q961" s="86">
        <f t="shared" si="249"/>
      </c>
      <c r="R961" s="86">
        <f t="shared" si="250"/>
      </c>
      <c r="S961" s="86">
        <f t="shared" si="251"/>
      </c>
      <c r="T961" s="86">
        <f t="shared" si="261"/>
        <v/>
      </c>
      <c r="U961" s="86">
        <f t="shared" si="262"/>
        <v/>
      </c>
      <c r="V961" s="86">
        <f t="shared" si="263"/>
        <v/>
      </c>
      <c r="W961" s="87">
        <f t="shared" si="252"/>
      </c>
      <c r="X961" s="88"/>
      <c r="Y961" s="88"/>
      <c r="Z961" s="88"/>
      <c r="AA961" s="88"/>
      <c r="AB961" s="88"/>
      <c r="AD961" s="86">
        <f t="shared" si="253"/>
      </c>
      <c r="AE961" s="86">
        <f t="shared" si="254"/>
      </c>
      <c r="AG961" s="86">
        <f t="shared" si="255"/>
      </c>
      <c r="AH961" s="86">
        <f t="shared" si="256"/>
      </c>
      <c r="AI961" s="86">
        <f t="shared" si="257"/>
      </c>
    </row>
    <row r="962" spans="6:35" x14ac:dyDescent="0.3">
      <c r="F962" s="26">
        <f>IF(G962=1,MAX($F$4:F961)+1,"")</f>
        <v/>
      </c>
      <c r="G962" s="26">
        <f>COUNTIF($H$5:H962,H962)</f>
      </c>
      <c r="H962" s="26">
        <f t="shared" si="258"/>
      </c>
      <c r="I962" s="26">
        <f>COUNTIF($J$4:$J962,1)</f>
      </c>
      <c r="J962" s="26">
        <f>COUNTIF($S$5:$S962,S962)</f>
      </c>
      <c r="K962" s="26">
        <f t="shared" si="247"/>
      </c>
      <c r="L962" s="26">
        <f>IFERROR(IF(P962=0,0,MAX($L$4:L961)+1),0)</f>
      </c>
      <c r="M962" s="5">
        <f t="shared" si="259"/>
      </c>
      <c r="N962" s="5">
        <f t="shared" si="260"/>
      </c>
      <c r="P962" s="86">
        <f t="shared" si="248"/>
      </c>
      <c r="Q962" s="86">
        <f t="shared" si="249"/>
      </c>
      <c r="R962" s="86">
        <f t="shared" si="250"/>
      </c>
      <c r="S962" s="86">
        <f t="shared" si="251"/>
      </c>
      <c r="T962" s="86">
        <f t="shared" si="261"/>
        <v/>
      </c>
      <c r="U962" s="86">
        <f t="shared" si="262"/>
        <v/>
      </c>
      <c r="V962" s="86">
        <f t="shared" si="263"/>
        <v/>
      </c>
      <c r="W962" s="87">
        <f t="shared" si="252"/>
      </c>
      <c r="X962" s="88"/>
      <c r="Y962" s="88"/>
      <c r="Z962" s="88"/>
      <c r="AA962" s="88"/>
      <c r="AB962" s="88"/>
      <c r="AD962" s="86">
        <f t="shared" si="253"/>
      </c>
      <c r="AE962" s="86">
        <f t="shared" si="254"/>
      </c>
      <c r="AG962" s="86">
        <f t="shared" si="255"/>
      </c>
      <c r="AH962" s="86">
        <f t="shared" si="256"/>
      </c>
      <c r="AI962" s="86">
        <f t="shared" si="257"/>
      </c>
    </row>
    <row r="963" spans="6:35" x14ac:dyDescent="0.3">
      <c r="F963" s="26">
        <f>IF(G963=1,MAX($F$4:F962)+1,"")</f>
        <v/>
      </c>
      <c r="G963" s="26">
        <f>COUNTIF($H$5:H963,H963)</f>
      </c>
      <c r="H963" s="26">
        <f t="shared" si="258"/>
      </c>
      <c r="I963" s="26">
        <f>COUNTIF($J$4:$J963,1)</f>
      </c>
      <c r="J963" s="26">
        <f>COUNTIF($S$5:$S963,S963)</f>
      </c>
      <c r="K963" s="26">
        <f t="shared" si="247"/>
      </c>
      <c r="L963" s="26">
        <f>IFERROR(IF(P963=0,0,MAX($L$4:L962)+1),0)</f>
      </c>
      <c r="M963" s="5">
        <f t="shared" si="259"/>
      </c>
      <c r="N963" s="5">
        <f t="shared" si="260"/>
      </c>
      <c r="P963" s="86">
        <f t="shared" si="248"/>
      </c>
      <c r="Q963" s="86">
        <f t="shared" si="249"/>
      </c>
      <c r="R963" s="86">
        <f t="shared" si="250"/>
      </c>
      <c r="S963" s="86">
        <f t="shared" si="251"/>
      </c>
      <c r="T963" s="86">
        <f t="shared" si="261"/>
        <v/>
      </c>
      <c r="U963" s="86">
        <f t="shared" si="262"/>
        <v/>
      </c>
      <c r="V963" s="86">
        <f t="shared" si="263"/>
        <v/>
      </c>
      <c r="W963" s="87">
        <f t="shared" si="252"/>
      </c>
      <c r="X963" s="88"/>
      <c r="Y963" s="88"/>
      <c r="Z963" s="88"/>
      <c r="AA963" s="88"/>
      <c r="AB963" s="88"/>
      <c r="AD963" s="86">
        <f t="shared" si="253"/>
      </c>
      <c r="AE963" s="86">
        <f t="shared" si="254"/>
      </c>
      <c r="AG963" s="86">
        <f t="shared" si="255"/>
      </c>
      <c r="AH963" s="86">
        <f t="shared" si="256"/>
      </c>
      <c r="AI963" s="86">
        <f t="shared" si="257"/>
      </c>
    </row>
    <row r="964" spans="6:35" x14ac:dyDescent="0.3">
      <c r="F964" s="26">
        <f>IF(G964=1,MAX($F$4:F963)+1,"")</f>
        <v/>
      </c>
      <c r="G964" s="26">
        <f>COUNTIF($H$5:H964,H964)</f>
      </c>
      <c r="H964" s="26">
        <f t="shared" si="258"/>
      </c>
      <c r="I964" s="26">
        <f>COUNTIF($J$4:$J964,1)</f>
      </c>
      <c r="J964" s="26">
        <f>COUNTIF($S$5:$S964,S964)</f>
      </c>
      <c r="K964" s="26">
        <f t="shared" si="247"/>
      </c>
      <c r="L964" s="26">
        <f>IFERROR(IF(P964=0,0,MAX($L$4:L963)+1),0)</f>
      </c>
      <c r="M964" s="5">
        <f t="shared" si="259"/>
      </c>
      <c r="N964" s="5">
        <f t="shared" si="260"/>
      </c>
      <c r="P964" s="86">
        <f t="shared" si="248"/>
      </c>
      <c r="Q964" s="86">
        <f t="shared" si="249"/>
      </c>
      <c r="R964" s="86">
        <f t="shared" si="250"/>
      </c>
      <c r="S964" s="86">
        <f t="shared" si="251"/>
      </c>
      <c r="T964" s="86">
        <f t="shared" si="261"/>
        <v/>
      </c>
      <c r="U964" s="86">
        <f t="shared" si="262"/>
        <v/>
      </c>
      <c r="V964" s="86">
        <f t="shared" si="263"/>
        <v/>
      </c>
      <c r="W964" s="87">
        <f t="shared" si="252"/>
      </c>
      <c r="X964" s="88"/>
      <c r="Y964" s="88"/>
      <c r="Z964" s="88"/>
      <c r="AA964" s="88"/>
      <c r="AB964" s="88"/>
      <c r="AD964" s="86">
        <f t="shared" si="253"/>
      </c>
      <c r="AE964" s="86">
        <f t="shared" si="254"/>
      </c>
      <c r="AG964" s="86">
        <f t="shared" si="255"/>
      </c>
      <c r="AH964" s="86">
        <f t="shared" si="256"/>
      </c>
      <c r="AI964" s="86">
        <f t="shared" si="257"/>
      </c>
    </row>
    <row r="965" spans="6:35" x14ac:dyDescent="0.3">
      <c r="F965" s="26">
        <f>IF(G965=1,MAX($F$4:F964)+1,"")</f>
        <v/>
      </c>
      <c r="G965" s="26">
        <f>COUNTIF($H$5:H965,H965)</f>
      </c>
      <c r="H965" s="26">
        <f t="shared" si="258"/>
      </c>
      <c r="I965" s="26">
        <f>COUNTIF($J$4:$J965,1)</f>
      </c>
      <c r="J965" s="26">
        <f>COUNTIF($S$5:$S965,S965)</f>
      </c>
      <c r="K965" s="26">
        <f t="shared" ref="K965:K1000" si="264">VLOOKUP(P965,Исходные_данные,19,FALSE)</f>
      </c>
      <c r="L965" s="26">
        <f>IFERROR(IF(P965=0,0,MAX($L$4:L964)+1),0)</f>
      </c>
      <c r="M965" s="5">
        <f t="shared" si="259"/>
      </c>
      <c r="N965" s="5">
        <f t="shared" si="260"/>
      </c>
      <c r="P965" s="86">
        <f t="shared" ref="P965:P1000" si="265">VLOOKUP(ROW(961:961),Разбивка_нумерация_5,4,FALSE)</f>
      </c>
      <c r="Q965" s="86">
        <f t="shared" ref="Q965:Q1000" si="266">IF(VLOOKUP(ROW(961:961),Разбивка_нумерация_5,3,FALSE)=0,VLOOKUP(ROW(961:961),Разбивка_нумерация_5,2,FALSE),VLOOKUP(ROW(961:961),Разбивка_нумерация_5,3,FALSE))</f>
      </c>
      <c r="R965" s="86">
        <f t="shared" ref="R965:R1000" si="267">VLOOKUP(ROW(961:961),Разбивка_нумерация_5,6,FALSE)</f>
      </c>
      <c r="S965" s="86">
        <f t="shared" ref="S965:S1000" si="268">VLOOKUP(ROW(961:961),Разбивка_нумерация_5,17,FALSE)</f>
      </c>
      <c r="T965" s="86">
        <f t="shared" si="261"/>
        <v/>
      </c>
      <c r="U965" s="86">
        <f t="shared" si="262"/>
        <v/>
      </c>
      <c r="V965" s="86">
        <f t="shared" si="263"/>
        <v/>
      </c>
      <c r="W965" s="87">
        <f t="shared" ref="W965:W1000" si="269">VLOOKUP(P965,Исходные_данные,13,FALSE)</f>
      </c>
      <c r="X965" s="88"/>
      <c r="Y965" s="88"/>
      <c r="Z965" s="88"/>
      <c r="AA965" s="88"/>
      <c r="AB965" s="88"/>
      <c r="AD965" s="86">
        <f t="shared" ref="AD965:AD1000" si="270">VLOOKUP(S965,Кабель_диаметр,4,FALSE)</f>
      </c>
      <c r="AE965" s="86">
        <f t="shared" ref="AE965:AE1000" si="271">VLOOKUP(S965,Кабель_диаметр,5,FALSE)</f>
      </c>
      <c r="AG965" s="86">
        <f t="shared" ref="AG965:AG1000" si="272">IFERROR(VLOOKUP(P965,Исходные_данные,10,FALSE),0)</f>
      </c>
      <c r="AH965" s="86">
        <f t="shared" ref="AH965:AH1000" si="273">IFERROR(VLOOKUP(P965,Исходные_данные,11,FALSE),0)</f>
      </c>
      <c r="AI965" s="86">
        <f t="shared" ref="AI965:AI1000" si="274">IFERROR(VLOOKUP(P965,Исходные_данные,12,FALSE),0)</f>
      </c>
    </row>
    <row r="966" spans="6:35" x14ac:dyDescent="0.3">
      <c r="F966" s="26">
        <f>IF(G966=1,MAX($F$4:F965)+1,"")</f>
        <v/>
      </c>
      <c r="G966" s="26">
        <f>COUNTIF($H$5:H966,H966)</f>
      </c>
      <c r="H966" s="26">
        <f t="shared" ref="H966:H1000" si="275">S966&amp;" "&amp;K966</f>
      </c>
      <c r="I966" s="26">
        <f>COUNTIF($J$4:$J966,1)</f>
      </c>
      <c r="J966" s="26">
        <f>COUNTIF($S$5:$S966,S966)</f>
      </c>
      <c r="K966" s="26">
        <f t="shared" si="264"/>
      </c>
      <c r="L966" s="26">
        <f>IFERROR(IF(P966=0,0,MAX($L$4:L965)+1),0)</f>
      </c>
      <c r="M966" s="5">
        <f t="shared" ref="M966:M1000" si="276">LEFT(P966,SEARCH(".",P966)-1)</f>
      </c>
      <c r="N966" s="5">
        <f t="shared" ref="N966:N1000" si="277">LEFT(RIGHT(P966,LEN(P966)-LEN(M966)-1),SEARCH(".",P966)-1)</f>
      </c>
      <c r="P966" s="86">
        <f t="shared" si="265"/>
      </c>
      <c r="Q966" s="86">
        <f t="shared" si="266"/>
      </c>
      <c r="R966" s="86">
        <f t="shared" si="267"/>
      </c>
      <c r="S966" s="86">
        <f t="shared" si="268"/>
      </c>
      <c r="T966" s="86">
        <f t="shared" ref="T966:T1000" si="278">IF(AG966=0,"","L="&amp;AG966)</f>
        <v/>
      </c>
      <c r="U966" s="86">
        <f t="shared" ref="U966:U1000" si="279">IF(AH966=0,"",AD966&amp;" L="&amp;AH966)</f>
        <v/>
      </c>
      <c r="V966" s="86">
        <f t="shared" ref="V966:V1000" si="280">IF(AI966=0,"",AE966&amp;" L="&amp;AI966)</f>
        <v/>
      </c>
      <c r="W966" s="87">
        <f t="shared" si="269"/>
      </c>
      <c r="X966" s="88"/>
      <c r="Y966" s="88"/>
      <c r="Z966" s="88"/>
      <c r="AA966" s="88"/>
      <c r="AB966" s="88"/>
      <c r="AD966" s="86">
        <f t="shared" si="270"/>
      </c>
      <c r="AE966" s="86">
        <f t="shared" si="271"/>
      </c>
      <c r="AG966" s="86">
        <f t="shared" si="272"/>
      </c>
      <c r="AH966" s="86">
        <f t="shared" si="273"/>
      </c>
      <c r="AI966" s="86">
        <f t="shared" si="274"/>
      </c>
    </row>
    <row r="967" spans="6:35" x14ac:dyDescent="0.3">
      <c r="F967" s="26">
        <f>IF(G967=1,MAX($F$4:F966)+1,"")</f>
        <v/>
      </c>
      <c r="G967" s="26">
        <f>COUNTIF($H$5:H967,H967)</f>
      </c>
      <c r="H967" s="26">
        <f t="shared" si="275"/>
      </c>
      <c r="I967" s="26">
        <f>COUNTIF($J$4:$J967,1)</f>
      </c>
      <c r="J967" s="26">
        <f>COUNTIF($S$5:$S967,S967)</f>
      </c>
      <c r="K967" s="26">
        <f t="shared" si="264"/>
      </c>
      <c r="L967" s="26">
        <f>IFERROR(IF(P967=0,0,MAX($L$4:L966)+1),0)</f>
      </c>
      <c r="M967" s="5">
        <f t="shared" si="276"/>
      </c>
      <c r="N967" s="5">
        <f t="shared" si="277"/>
      </c>
      <c r="P967" s="86">
        <f t="shared" si="265"/>
      </c>
      <c r="Q967" s="86">
        <f t="shared" si="266"/>
      </c>
      <c r="R967" s="86">
        <f t="shared" si="267"/>
      </c>
      <c r="S967" s="86">
        <f t="shared" si="268"/>
      </c>
      <c r="T967" s="86">
        <f t="shared" si="278"/>
        <v/>
      </c>
      <c r="U967" s="86">
        <f t="shared" si="279"/>
        <v/>
      </c>
      <c r="V967" s="86">
        <f t="shared" si="280"/>
        <v/>
      </c>
      <c r="W967" s="87">
        <f t="shared" si="269"/>
      </c>
      <c r="X967" s="88"/>
      <c r="Y967" s="88"/>
      <c r="Z967" s="88"/>
      <c r="AA967" s="88"/>
      <c r="AB967" s="88"/>
      <c r="AD967" s="86">
        <f t="shared" si="270"/>
      </c>
      <c r="AE967" s="86">
        <f t="shared" si="271"/>
      </c>
      <c r="AG967" s="86">
        <f t="shared" si="272"/>
      </c>
      <c r="AH967" s="86">
        <f t="shared" si="273"/>
      </c>
      <c r="AI967" s="86">
        <f t="shared" si="274"/>
      </c>
    </row>
    <row r="968" spans="6:35" x14ac:dyDescent="0.3">
      <c r="F968" s="26">
        <f>IF(G968=1,MAX($F$4:F967)+1,"")</f>
        <v/>
      </c>
      <c r="G968" s="26">
        <f>COUNTIF($H$5:H968,H968)</f>
      </c>
      <c r="H968" s="26">
        <f t="shared" si="275"/>
      </c>
      <c r="I968" s="26">
        <f>COUNTIF($J$4:$J968,1)</f>
      </c>
      <c r="J968" s="26">
        <f>COUNTIF($S$5:$S968,S968)</f>
      </c>
      <c r="K968" s="26">
        <f t="shared" si="264"/>
      </c>
      <c r="L968" s="26">
        <f>IFERROR(IF(P968=0,0,MAX($L$4:L967)+1),0)</f>
      </c>
      <c r="M968" s="5">
        <f t="shared" si="276"/>
      </c>
      <c r="N968" s="5">
        <f t="shared" si="277"/>
      </c>
      <c r="P968" s="86">
        <f t="shared" si="265"/>
      </c>
      <c r="Q968" s="86">
        <f t="shared" si="266"/>
      </c>
      <c r="R968" s="86">
        <f t="shared" si="267"/>
      </c>
      <c r="S968" s="86">
        <f t="shared" si="268"/>
      </c>
      <c r="T968" s="86">
        <f t="shared" si="278"/>
        <v/>
      </c>
      <c r="U968" s="86">
        <f t="shared" si="279"/>
        <v/>
      </c>
      <c r="V968" s="86">
        <f t="shared" si="280"/>
        <v/>
      </c>
      <c r="W968" s="87">
        <f t="shared" si="269"/>
      </c>
      <c r="X968" s="88"/>
      <c r="Y968" s="88"/>
      <c r="Z968" s="88"/>
      <c r="AA968" s="88"/>
      <c r="AB968" s="88"/>
      <c r="AD968" s="86">
        <f t="shared" si="270"/>
      </c>
      <c r="AE968" s="86">
        <f t="shared" si="271"/>
      </c>
      <c r="AG968" s="86">
        <f t="shared" si="272"/>
      </c>
      <c r="AH968" s="86">
        <f t="shared" si="273"/>
      </c>
      <c r="AI968" s="86">
        <f t="shared" si="274"/>
      </c>
    </row>
    <row r="969" spans="6:35" x14ac:dyDescent="0.3">
      <c r="F969" s="26">
        <f>IF(G969=1,MAX($F$4:F968)+1,"")</f>
        <v/>
      </c>
      <c r="G969" s="26">
        <f>COUNTIF($H$5:H969,H969)</f>
      </c>
      <c r="H969" s="26">
        <f t="shared" si="275"/>
      </c>
      <c r="I969" s="26">
        <f>COUNTIF($J$4:$J969,1)</f>
      </c>
      <c r="J969" s="26">
        <f>COUNTIF($S$5:$S969,S969)</f>
      </c>
      <c r="K969" s="26">
        <f t="shared" si="264"/>
      </c>
      <c r="L969" s="26">
        <f>IFERROR(IF(P969=0,0,MAX($L$4:L968)+1),0)</f>
      </c>
      <c r="M969" s="5">
        <f t="shared" si="276"/>
      </c>
      <c r="N969" s="5">
        <f t="shared" si="277"/>
      </c>
      <c r="P969" s="86">
        <f t="shared" si="265"/>
      </c>
      <c r="Q969" s="86">
        <f t="shared" si="266"/>
      </c>
      <c r="R969" s="86">
        <f t="shared" si="267"/>
      </c>
      <c r="S969" s="86">
        <f t="shared" si="268"/>
      </c>
      <c r="T969" s="86">
        <f t="shared" si="278"/>
        <v/>
      </c>
      <c r="U969" s="86">
        <f t="shared" si="279"/>
        <v/>
      </c>
      <c r="V969" s="86">
        <f t="shared" si="280"/>
        <v/>
      </c>
      <c r="W969" s="87">
        <f t="shared" si="269"/>
      </c>
      <c r="X969" s="88"/>
      <c r="Y969" s="88"/>
      <c r="Z969" s="88"/>
      <c r="AA969" s="88"/>
      <c r="AB969" s="88"/>
      <c r="AD969" s="86">
        <f t="shared" si="270"/>
      </c>
      <c r="AE969" s="86">
        <f t="shared" si="271"/>
      </c>
      <c r="AG969" s="86">
        <f t="shared" si="272"/>
      </c>
      <c r="AH969" s="86">
        <f t="shared" si="273"/>
      </c>
      <c r="AI969" s="86">
        <f t="shared" si="274"/>
      </c>
    </row>
    <row r="970" spans="6:35" x14ac:dyDescent="0.3">
      <c r="F970" s="26">
        <f>IF(G970=1,MAX($F$4:F969)+1,"")</f>
        <v/>
      </c>
      <c r="G970" s="26">
        <f>COUNTIF($H$5:H970,H970)</f>
      </c>
      <c r="H970" s="26">
        <f t="shared" si="275"/>
      </c>
      <c r="I970" s="26">
        <f>COUNTIF($J$4:$J970,1)</f>
      </c>
      <c r="J970" s="26">
        <f>COUNTIF($S$5:$S970,S970)</f>
      </c>
      <c r="K970" s="26">
        <f t="shared" si="264"/>
      </c>
      <c r="L970" s="26">
        <f>IFERROR(IF(P970=0,0,MAX($L$4:L969)+1),0)</f>
      </c>
      <c r="M970" s="5">
        <f t="shared" si="276"/>
      </c>
      <c r="N970" s="5">
        <f t="shared" si="277"/>
      </c>
      <c r="P970" s="86">
        <f t="shared" si="265"/>
      </c>
      <c r="Q970" s="86">
        <f t="shared" si="266"/>
      </c>
      <c r="R970" s="86">
        <f t="shared" si="267"/>
      </c>
      <c r="S970" s="86">
        <f t="shared" si="268"/>
      </c>
      <c r="T970" s="86">
        <f t="shared" si="278"/>
        <v/>
      </c>
      <c r="U970" s="86">
        <f t="shared" si="279"/>
        <v/>
      </c>
      <c r="V970" s="86">
        <f t="shared" si="280"/>
        <v/>
      </c>
      <c r="W970" s="87">
        <f t="shared" si="269"/>
      </c>
      <c r="X970" s="88"/>
      <c r="Y970" s="88"/>
      <c r="Z970" s="88"/>
      <c r="AA970" s="88"/>
      <c r="AB970" s="88"/>
      <c r="AD970" s="86">
        <f t="shared" si="270"/>
      </c>
      <c r="AE970" s="86">
        <f t="shared" si="271"/>
      </c>
      <c r="AG970" s="86">
        <f t="shared" si="272"/>
      </c>
      <c r="AH970" s="86">
        <f t="shared" si="273"/>
      </c>
      <c r="AI970" s="86">
        <f t="shared" si="274"/>
      </c>
    </row>
    <row r="971" spans="6:35" x14ac:dyDescent="0.3">
      <c r="F971" s="26">
        <f>IF(G971=1,MAX($F$4:F970)+1,"")</f>
        <v/>
      </c>
      <c r="G971" s="26">
        <f>COUNTIF($H$5:H971,H971)</f>
      </c>
      <c r="H971" s="26">
        <f t="shared" si="275"/>
      </c>
      <c r="I971" s="26">
        <f>COUNTIF($J$4:$J971,1)</f>
      </c>
      <c r="J971" s="26">
        <f>COUNTIF($S$5:$S971,S971)</f>
      </c>
      <c r="K971" s="26">
        <f t="shared" si="264"/>
      </c>
      <c r="L971" s="26">
        <f>IFERROR(IF(P971=0,0,MAX($L$4:L970)+1),0)</f>
      </c>
      <c r="M971" s="5">
        <f t="shared" si="276"/>
      </c>
      <c r="N971" s="5">
        <f t="shared" si="277"/>
      </c>
      <c r="P971" s="86">
        <f t="shared" si="265"/>
      </c>
      <c r="Q971" s="86">
        <f t="shared" si="266"/>
      </c>
      <c r="R971" s="86">
        <f t="shared" si="267"/>
      </c>
      <c r="S971" s="86">
        <f t="shared" si="268"/>
      </c>
      <c r="T971" s="86">
        <f t="shared" si="278"/>
        <v/>
      </c>
      <c r="U971" s="86">
        <f t="shared" si="279"/>
        <v/>
      </c>
      <c r="V971" s="86">
        <f t="shared" si="280"/>
        <v/>
      </c>
      <c r="W971" s="87">
        <f t="shared" si="269"/>
      </c>
      <c r="X971" s="88"/>
      <c r="Y971" s="88"/>
      <c r="Z971" s="88"/>
      <c r="AA971" s="88"/>
      <c r="AB971" s="88"/>
      <c r="AD971" s="86">
        <f t="shared" si="270"/>
      </c>
      <c r="AE971" s="86">
        <f t="shared" si="271"/>
      </c>
      <c r="AG971" s="86">
        <f t="shared" si="272"/>
      </c>
      <c r="AH971" s="86">
        <f t="shared" si="273"/>
      </c>
      <c r="AI971" s="86">
        <f t="shared" si="274"/>
      </c>
    </row>
    <row r="972" spans="6:35" x14ac:dyDescent="0.3">
      <c r="F972" s="26">
        <f>IF(G972=1,MAX($F$4:F971)+1,"")</f>
        <v/>
      </c>
      <c r="G972" s="26">
        <f>COUNTIF($H$5:H972,H972)</f>
      </c>
      <c r="H972" s="26">
        <f t="shared" si="275"/>
      </c>
      <c r="I972" s="26">
        <f>COUNTIF($J$4:$J972,1)</f>
      </c>
      <c r="J972" s="26">
        <f>COUNTIF($S$5:$S972,S972)</f>
      </c>
      <c r="K972" s="26">
        <f t="shared" si="264"/>
      </c>
      <c r="L972" s="26">
        <f>IFERROR(IF(P972=0,0,MAX($L$4:L971)+1),0)</f>
      </c>
      <c r="M972" s="5">
        <f t="shared" si="276"/>
      </c>
      <c r="N972" s="5">
        <f t="shared" si="277"/>
      </c>
      <c r="P972" s="86">
        <f t="shared" si="265"/>
      </c>
      <c r="Q972" s="86">
        <f t="shared" si="266"/>
      </c>
      <c r="R972" s="86">
        <f t="shared" si="267"/>
      </c>
      <c r="S972" s="86">
        <f t="shared" si="268"/>
      </c>
      <c r="T972" s="86">
        <f t="shared" si="278"/>
        <v/>
      </c>
      <c r="U972" s="86">
        <f t="shared" si="279"/>
        <v/>
      </c>
      <c r="V972" s="86">
        <f t="shared" si="280"/>
        <v/>
      </c>
      <c r="W972" s="87">
        <f t="shared" si="269"/>
      </c>
      <c r="X972" s="88"/>
      <c r="Y972" s="88"/>
      <c r="Z972" s="88"/>
      <c r="AA972" s="88"/>
      <c r="AB972" s="88"/>
      <c r="AD972" s="86">
        <f t="shared" si="270"/>
      </c>
      <c r="AE972" s="86">
        <f t="shared" si="271"/>
      </c>
      <c r="AG972" s="86">
        <f t="shared" si="272"/>
      </c>
      <c r="AH972" s="86">
        <f t="shared" si="273"/>
      </c>
      <c r="AI972" s="86">
        <f t="shared" si="274"/>
      </c>
    </row>
    <row r="973" spans="6:35" x14ac:dyDescent="0.3">
      <c r="F973" s="26">
        <f>IF(G973=1,MAX($F$4:F972)+1,"")</f>
        <v/>
      </c>
      <c r="G973" s="26">
        <f>COUNTIF($H$5:H973,H973)</f>
      </c>
      <c r="H973" s="26">
        <f t="shared" si="275"/>
      </c>
      <c r="I973" s="26">
        <f>COUNTIF($J$4:$J973,1)</f>
      </c>
      <c r="J973" s="26">
        <f>COUNTIF($S$5:$S973,S973)</f>
      </c>
      <c r="K973" s="26">
        <f t="shared" si="264"/>
      </c>
      <c r="L973" s="26">
        <f>IFERROR(IF(P973=0,0,MAX($L$4:L972)+1),0)</f>
      </c>
      <c r="M973" s="5">
        <f t="shared" si="276"/>
      </c>
      <c r="N973" s="5">
        <f t="shared" si="277"/>
      </c>
      <c r="P973" s="86">
        <f t="shared" si="265"/>
      </c>
      <c r="Q973" s="86">
        <f t="shared" si="266"/>
      </c>
      <c r="R973" s="86">
        <f t="shared" si="267"/>
      </c>
      <c r="S973" s="86">
        <f t="shared" si="268"/>
      </c>
      <c r="T973" s="86">
        <f t="shared" si="278"/>
        <v/>
      </c>
      <c r="U973" s="86">
        <f t="shared" si="279"/>
        <v/>
      </c>
      <c r="V973" s="86">
        <f t="shared" si="280"/>
        <v/>
      </c>
      <c r="W973" s="87">
        <f t="shared" si="269"/>
      </c>
      <c r="X973" s="88"/>
      <c r="Y973" s="88"/>
      <c r="Z973" s="88"/>
      <c r="AA973" s="88"/>
      <c r="AB973" s="88"/>
      <c r="AD973" s="86">
        <f t="shared" si="270"/>
      </c>
      <c r="AE973" s="86">
        <f t="shared" si="271"/>
      </c>
      <c r="AG973" s="86">
        <f t="shared" si="272"/>
      </c>
      <c r="AH973" s="86">
        <f t="shared" si="273"/>
      </c>
      <c r="AI973" s="86">
        <f t="shared" si="274"/>
      </c>
    </row>
    <row r="974" spans="6:35" x14ac:dyDescent="0.3">
      <c r="F974" s="26">
        <f>IF(G974=1,MAX($F$4:F973)+1,"")</f>
        <v/>
      </c>
      <c r="G974" s="26">
        <f>COUNTIF($H$5:H974,H974)</f>
      </c>
      <c r="H974" s="26">
        <f t="shared" si="275"/>
      </c>
      <c r="I974" s="26">
        <f>COUNTIF($J$4:$J974,1)</f>
      </c>
      <c r="J974" s="26">
        <f>COUNTIF($S$5:$S974,S974)</f>
      </c>
      <c r="K974" s="26">
        <f t="shared" si="264"/>
      </c>
      <c r="L974" s="26">
        <f>IFERROR(IF(P974=0,0,MAX($L$4:L973)+1),0)</f>
      </c>
      <c r="M974" s="5">
        <f t="shared" si="276"/>
      </c>
      <c r="N974" s="5">
        <f t="shared" si="277"/>
      </c>
      <c r="P974" s="86">
        <f t="shared" si="265"/>
      </c>
      <c r="Q974" s="86">
        <f t="shared" si="266"/>
      </c>
      <c r="R974" s="86">
        <f t="shared" si="267"/>
      </c>
      <c r="S974" s="86">
        <f t="shared" si="268"/>
      </c>
      <c r="T974" s="86">
        <f t="shared" si="278"/>
        <v/>
      </c>
      <c r="U974" s="86">
        <f t="shared" si="279"/>
        <v/>
      </c>
      <c r="V974" s="86">
        <f t="shared" si="280"/>
        <v/>
      </c>
      <c r="W974" s="87">
        <f t="shared" si="269"/>
      </c>
      <c r="X974" s="88"/>
      <c r="Y974" s="88"/>
      <c r="Z974" s="88"/>
      <c r="AA974" s="88"/>
      <c r="AB974" s="88"/>
      <c r="AD974" s="86">
        <f t="shared" si="270"/>
      </c>
      <c r="AE974" s="86">
        <f t="shared" si="271"/>
      </c>
      <c r="AG974" s="86">
        <f t="shared" si="272"/>
      </c>
      <c r="AH974" s="86">
        <f t="shared" si="273"/>
      </c>
      <c r="AI974" s="86">
        <f t="shared" si="274"/>
      </c>
    </row>
    <row r="975" spans="6:35" x14ac:dyDescent="0.3">
      <c r="F975" s="26">
        <f>IF(G975=1,MAX($F$4:F974)+1,"")</f>
        <v/>
      </c>
      <c r="G975" s="26">
        <f>COUNTIF($H$5:H975,H975)</f>
      </c>
      <c r="H975" s="26">
        <f t="shared" si="275"/>
      </c>
      <c r="I975" s="26">
        <f>COUNTIF($J$4:$J975,1)</f>
      </c>
      <c r="J975" s="26">
        <f>COUNTIF($S$5:$S975,S975)</f>
      </c>
      <c r="K975" s="26">
        <f t="shared" si="264"/>
      </c>
      <c r="L975" s="26">
        <f>IFERROR(IF(P975=0,0,MAX($L$4:L974)+1),0)</f>
      </c>
      <c r="M975" s="5">
        <f t="shared" si="276"/>
      </c>
      <c r="N975" s="5">
        <f t="shared" si="277"/>
      </c>
      <c r="P975" s="86">
        <f t="shared" si="265"/>
      </c>
      <c r="Q975" s="86">
        <f t="shared" si="266"/>
      </c>
      <c r="R975" s="86">
        <f t="shared" si="267"/>
      </c>
      <c r="S975" s="86">
        <f t="shared" si="268"/>
      </c>
      <c r="T975" s="86">
        <f t="shared" si="278"/>
        <v/>
      </c>
      <c r="U975" s="86">
        <f t="shared" si="279"/>
        <v/>
      </c>
      <c r="V975" s="86">
        <f t="shared" si="280"/>
        <v/>
      </c>
      <c r="W975" s="87">
        <f t="shared" si="269"/>
      </c>
      <c r="X975" s="88"/>
      <c r="Y975" s="88"/>
      <c r="Z975" s="88"/>
      <c r="AA975" s="88"/>
      <c r="AB975" s="88"/>
      <c r="AD975" s="86">
        <f t="shared" si="270"/>
      </c>
      <c r="AE975" s="86">
        <f t="shared" si="271"/>
      </c>
      <c r="AG975" s="86">
        <f t="shared" si="272"/>
      </c>
      <c r="AH975" s="86">
        <f t="shared" si="273"/>
      </c>
      <c r="AI975" s="86">
        <f t="shared" si="274"/>
      </c>
    </row>
    <row r="976" spans="6:35" x14ac:dyDescent="0.3">
      <c r="F976" s="26">
        <f>IF(G976=1,MAX($F$4:F975)+1,"")</f>
        <v/>
      </c>
      <c r="G976" s="26">
        <f>COUNTIF($H$5:H976,H976)</f>
      </c>
      <c r="H976" s="26">
        <f t="shared" si="275"/>
      </c>
      <c r="I976" s="26">
        <f>COUNTIF($J$4:$J976,1)</f>
      </c>
      <c r="J976" s="26">
        <f>COUNTIF($S$5:$S976,S976)</f>
      </c>
      <c r="K976" s="26">
        <f t="shared" si="264"/>
      </c>
      <c r="L976" s="26">
        <f>IFERROR(IF(P976=0,0,MAX($L$4:L975)+1),0)</f>
      </c>
      <c r="M976" s="5">
        <f t="shared" si="276"/>
      </c>
      <c r="N976" s="5">
        <f t="shared" si="277"/>
      </c>
      <c r="P976" s="86">
        <f t="shared" si="265"/>
      </c>
      <c r="Q976" s="86">
        <f t="shared" si="266"/>
      </c>
      <c r="R976" s="86">
        <f t="shared" si="267"/>
      </c>
      <c r="S976" s="86">
        <f t="shared" si="268"/>
      </c>
      <c r="T976" s="86">
        <f t="shared" si="278"/>
        <v/>
      </c>
      <c r="U976" s="86">
        <f t="shared" si="279"/>
        <v/>
      </c>
      <c r="V976" s="86">
        <f t="shared" si="280"/>
        <v/>
      </c>
      <c r="W976" s="87">
        <f t="shared" si="269"/>
      </c>
      <c r="X976" s="88"/>
      <c r="Y976" s="88"/>
      <c r="Z976" s="88"/>
      <c r="AA976" s="88"/>
      <c r="AB976" s="88"/>
      <c r="AD976" s="86">
        <f t="shared" si="270"/>
      </c>
      <c r="AE976" s="86">
        <f t="shared" si="271"/>
      </c>
      <c r="AG976" s="86">
        <f t="shared" si="272"/>
      </c>
      <c r="AH976" s="86">
        <f t="shared" si="273"/>
      </c>
      <c r="AI976" s="86">
        <f t="shared" si="274"/>
      </c>
    </row>
    <row r="977" spans="6:35" x14ac:dyDescent="0.3">
      <c r="F977" s="26">
        <f>IF(G977=1,MAX($F$4:F976)+1,"")</f>
        <v/>
      </c>
      <c r="G977" s="26">
        <f>COUNTIF($H$5:H977,H977)</f>
      </c>
      <c r="H977" s="26">
        <f t="shared" si="275"/>
      </c>
      <c r="I977" s="26">
        <f>COUNTIF($J$4:$J977,1)</f>
      </c>
      <c r="J977" s="26">
        <f>COUNTIF($S$5:$S977,S977)</f>
      </c>
      <c r="K977" s="26">
        <f t="shared" si="264"/>
      </c>
      <c r="L977" s="26">
        <f>IFERROR(IF(P977=0,0,MAX($L$4:L976)+1),0)</f>
      </c>
      <c r="M977" s="5">
        <f t="shared" si="276"/>
      </c>
      <c r="N977" s="5">
        <f t="shared" si="277"/>
      </c>
      <c r="P977" s="86">
        <f t="shared" si="265"/>
      </c>
      <c r="Q977" s="86">
        <f t="shared" si="266"/>
      </c>
      <c r="R977" s="86">
        <f t="shared" si="267"/>
      </c>
      <c r="S977" s="86">
        <f t="shared" si="268"/>
      </c>
      <c r="T977" s="86">
        <f t="shared" si="278"/>
        <v/>
      </c>
      <c r="U977" s="86">
        <f t="shared" si="279"/>
        <v/>
      </c>
      <c r="V977" s="86">
        <f t="shared" si="280"/>
        <v/>
      </c>
      <c r="W977" s="87">
        <f t="shared" si="269"/>
      </c>
      <c r="X977" s="88"/>
      <c r="Y977" s="88"/>
      <c r="Z977" s="88"/>
      <c r="AA977" s="88"/>
      <c r="AB977" s="88"/>
      <c r="AD977" s="86">
        <f t="shared" si="270"/>
      </c>
      <c r="AE977" s="86">
        <f t="shared" si="271"/>
      </c>
      <c r="AG977" s="86">
        <f t="shared" si="272"/>
      </c>
      <c r="AH977" s="86">
        <f t="shared" si="273"/>
      </c>
      <c r="AI977" s="86">
        <f t="shared" si="274"/>
      </c>
    </row>
    <row r="978" spans="6:35" x14ac:dyDescent="0.3">
      <c r="F978" s="26">
        <f>IF(G978=1,MAX($F$4:F977)+1,"")</f>
        <v/>
      </c>
      <c r="G978" s="26">
        <f>COUNTIF($H$5:H978,H978)</f>
      </c>
      <c r="H978" s="26">
        <f t="shared" si="275"/>
      </c>
      <c r="I978" s="26">
        <f>COUNTIF($J$4:$J978,1)</f>
      </c>
      <c r="J978" s="26">
        <f>COUNTIF($S$5:$S978,S978)</f>
      </c>
      <c r="K978" s="26">
        <f t="shared" si="264"/>
      </c>
      <c r="L978" s="26">
        <f>IFERROR(IF(P978=0,0,MAX($L$4:L977)+1),0)</f>
      </c>
      <c r="M978" s="5">
        <f t="shared" si="276"/>
      </c>
      <c r="N978" s="5">
        <f t="shared" si="277"/>
      </c>
      <c r="P978" s="86">
        <f t="shared" si="265"/>
      </c>
      <c r="Q978" s="86">
        <f t="shared" si="266"/>
      </c>
      <c r="R978" s="86">
        <f t="shared" si="267"/>
      </c>
      <c r="S978" s="86">
        <f t="shared" si="268"/>
      </c>
      <c r="T978" s="86">
        <f t="shared" si="278"/>
        <v/>
      </c>
      <c r="U978" s="86">
        <f t="shared" si="279"/>
        <v/>
      </c>
      <c r="V978" s="86">
        <f t="shared" si="280"/>
        <v/>
      </c>
      <c r="W978" s="87">
        <f t="shared" si="269"/>
      </c>
      <c r="X978" s="88"/>
      <c r="Y978" s="88"/>
      <c r="Z978" s="88"/>
      <c r="AA978" s="88"/>
      <c r="AB978" s="88"/>
      <c r="AD978" s="86">
        <f t="shared" si="270"/>
      </c>
      <c r="AE978" s="86">
        <f t="shared" si="271"/>
      </c>
      <c r="AG978" s="86">
        <f t="shared" si="272"/>
      </c>
      <c r="AH978" s="86">
        <f t="shared" si="273"/>
      </c>
      <c r="AI978" s="86">
        <f t="shared" si="274"/>
      </c>
    </row>
    <row r="979" spans="6:35" x14ac:dyDescent="0.3">
      <c r="F979" s="26">
        <f>IF(G979=1,MAX($F$4:F978)+1,"")</f>
        <v/>
      </c>
      <c r="G979" s="26">
        <f>COUNTIF($H$5:H979,H979)</f>
      </c>
      <c r="H979" s="26">
        <f t="shared" si="275"/>
      </c>
      <c r="I979" s="26">
        <f>COUNTIF($J$4:$J979,1)</f>
      </c>
      <c r="J979" s="26">
        <f>COUNTIF($S$5:$S979,S979)</f>
      </c>
      <c r="K979" s="26">
        <f t="shared" si="264"/>
      </c>
      <c r="L979" s="26">
        <f>IFERROR(IF(P979=0,0,MAX($L$4:L978)+1),0)</f>
      </c>
      <c r="M979" s="5">
        <f t="shared" si="276"/>
      </c>
      <c r="N979" s="5">
        <f t="shared" si="277"/>
      </c>
      <c r="P979" s="86">
        <f t="shared" si="265"/>
      </c>
      <c r="Q979" s="86">
        <f t="shared" si="266"/>
      </c>
      <c r="R979" s="86">
        <f t="shared" si="267"/>
      </c>
      <c r="S979" s="86">
        <f t="shared" si="268"/>
      </c>
      <c r="T979" s="86">
        <f t="shared" si="278"/>
        <v/>
      </c>
      <c r="U979" s="86">
        <f t="shared" si="279"/>
        <v/>
      </c>
      <c r="V979" s="86">
        <f t="shared" si="280"/>
        <v/>
      </c>
      <c r="W979" s="87">
        <f t="shared" si="269"/>
      </c>
      <c r="X979" s="88"/>
      <c r="Y979" s="88"/>
      <c r="Z979" s="88"/>
      <c r="AA979" s="88"/>
      <c r="AB979" s="88"/>
      <c r="AD979" s="86">
        <f t="shared" si="270"/>
      </c>
      <c r="AE979" s="86">
        <f t="shared" si="271"/>
      </c>
      <c r="AG979" s="86">
        <f t="shared" si="272"/>
      </c>
      <c r="AH979" s="86">
        <f t="shared" si="273"/>
      </c>
      <c r="AI979" s="86">
        <f t="shared" si="274"/>
      </c>
    </row>
    <row r="980" spans="6:35" x14ac:dyDescent="0.3">
      <c r="F980" s="26">
        <f>IF(G980=1,MAX($F$4:F979)+1,"")</f>
        <v/>
      </c>
      <c r="G980" s="26">
        <f>COUNTIF($H$5:H980,H980)</f>
      </c>
      <c r="H980" s="26">
        <f t="shared" si="275"/>
      </c>
      <c r="I980" s="26">
        <f>COUNTIF($J$4:$J980,1)</f>
      </c>
      <c r="J980" s="26">
        <f>COUNTIF($S$5:$S980,S980)</f>
      </c>
      <c r="K980" s="26">
        <f t="shared" si="264"/>
      </c>
      <c r="L980" s="26">
        <f>IFERROR(IF(P980=0,0,MAX($L$4:L979)+1),0)</f>
      </c>
      <c r="M980" s="5">
        <f t="shared" si="276"/>
      </c>
      <c r="N980" s="5">
        <f t="shared" si="277"/>
      </c>
      <c r="P980" s="86">
        <f t="shared" si="265"/>
      </c>
      <c r="Q980" s="86">
        <f t="shared" si="266"/>
      </c>
      <c r="R980" s="86">
        <f t="shared" si="267"/>
      </c>
      <c r="S980" s="86">
        <f t="shared" si="268"/>
      </c>
      <c r="T980" s="86">
        <f t="shared" si="278"/>
        <v/>
      </c>
      <c r="U980" s="86">
        <f t="shared" si="279"/>
        <v/>
      </c>
      <c r="V980" s="86">
        <f t="shared" si="280"/>
        <v/>
      </c>
      <c r="W980" s="87">
        <f t="shared" si="269"/>
      </c>
      <c r="X980" s="88"/>
      <c r="Y980" s="88"/>
      <c r="Z980" s="88"/>
      <c r="AA980" s="88"/>
      <c r="AB980" s="88"/>
      <c r="AD980" s="86">
        <f t="shared" si="270"/>
      </c>
      <c r="AE980" s="86">
        <f t="shared" si="271"/>
      </c>
      <c r="AG980" s="86">
        <f t="shared" si="272"/>
      </c>
      <c r="AH980" s="86">
        <f t="shared" si="273"/>
      </c>
      <c r="AI980" s="86">
        <f t="shared" si="274"/>
      </c>
    </row>
    <row r="981" spans="6:35" x14ac:dyDescent="0.3">
      <c r="F981" s="26">
        <f>IF(G981=1,MAX($F$4:F980)+1,"")</f>
        <v/>
      </c>
      <c r="G981" s="26">
        <f>COUNTIF($H$5:H981,H981)</f>
      </c>
      <c r="H981" s="26">
        <f t="shared" si="275"/>
      </c>
      <c r="I981" s="26">
        <f>COUNTIF($J$4:$J981,1)</f>
      </c>
      <c r="J981" s="26">
        <f>COUNTIF($S$5:$S981,S981)</f>
      </c>
      <c r="K981" s="26">
        <f t="shared" si="264"/>
      </c>
      <c r="L981" s="26">
        <f>IFERROR(IF(P981=0,0,MAX($L$4:L980)+1),0)</f>
      </c>
      <c r="M981" s="5">
        <f t="shared" si="276"/>
      </c>
      <c r="N981" s="5">
        <f t="shared" si="277"/>
      </c>
      <c r="P981" s="86">
        <f t="shared" si="265"/>
      </c>
      <c r="Q981" s="86">
        <f t="shared" si="266"/>
      </c>
      <c r="R981" s="86">
        <f t="shared" si="267"/>
      </c>
      <c r="S981" s="86">
        <f t="shared" si="268"/>
      </c>
      <c r="T981" s="86">
        <f t="shared" si="278"/>
        <v/>
      </c>
      <c r="U981" s="86">
        <f t="shared" si="279"/>
        <v/>
      </c>
      <c r="V981" s="86">
        <f t="shared" si="280"/>
        <v/>
      </c>
      <c r="W981" s="87">
        <f t="shared" si="269"/>
      </c>
      <c r="X981" s="88"/>
      <c r="Y981" s="88"/>
      <c r="Z981" s="88"/>
      <c r="AA981" s="88"/>
      <c r="AB981" s="88"/>
      <c r="AD981" s="86">
        <f t="shared" si="270"/>
      </c>
      <c r="AE981" s="86">
        <f t="shared" si="271"/>
      </c>
      <c r="AG981" s="86">
        <f t="shared" si="272"/>
      </c>
      <c r="AH981" s="86">
        <f t="shared" si="273"/>
      </c>
      <c r="AI981" s="86">
        <f t="shared" si="274"/>
      </c>
    </row>
    <row r="982" spans="6:35" x14ac:dyDescent="0.3">
      <c r="F982" s="26">
        <f>IF(G982=1,MAX($F$4:F981)+1,"")</f>
        <v/>
      </c>
      <c r="G982" s="26">
        <f>COUNTIF($H$5:H982,H982)</f>
      </c>
      <c r="H982" s="26">
        <f t="shared" si="275"/>
      </c>
      <c r="I982" s="26">
        <f>COUNTIF($J$4:$J982,1)</f>
      </c>
      <c r="J982" s="26">
        <f>COUNTIF($S$5:$S982,S982)</f>
      </c>
      <c r="K982" s="26">
        <f t="shared" si="264"/>
      </c>
      <c r="L982" s="26">
        <f>IFERROR(IF(P982=0,0,MAX($L$4:L981)+1),0)</f>
      </c>
      <c r="M982" s="5">
        <f t="shared" si="276"/>
      </c>
      <c r="N982" s="5">
        <f t="shared" si="277"/>
      </c>
      <c r="P982" s="86">
        <f t="shared" si="265"/>
      </c>
      <c r="Q982" s="86">
        <f t="shared" si="266"/>
      </c>
      <c r="R982" s="86">
        <f t="shared" si="267"/>
      </c>
      <c r="S982" s="86">
        <f t="shared" si="268"/>
      </c>
      <c r="T982" s="86">
        <f t="shared" si="278"/>
        <v/>
      </c>
      <c r="U982" s="86">
        <f t="shared" si="279"/>
        <v/>
      </c>
      <c r="V982" s="86">
        <f t="shared" si="280"/>
        <v/>
      </c>
      <c r="W982" s="87">
        <f t="shared" si="269"/>
      </c>
      <c r="X982" s="88"/>
      <c r="Y982" s="88"/>
      <c r="Z982" s="88"/>
      <c r="AA982" s="88"/>
      <c r="AB982" s="88"/>
      <c r="AD982" s="86">
        <f t="shared" si="270"/>
      </c>
      <c r="AE982" s="86">
        <f t="shared" si="271"/>
      </c>
      <c r="AG982" s="86">
        <f t="shared" si="272"/>
      </c>
      <c r="AH982" s="86">
        <f t="shared" si="273"/>
      </c>
      <c r="AI982" s="86">
        <f t="shared" si="274"/>
      </c>
    </row>
    <row r="983" spans="6:35" x14ac:dyDescent="0.3">
      <c r="F983" s="26">
        <f>IF(G983=1,MAX($F$4:F982)+1,"")</f>
        <v/>
      </c>
      <c r="G983" s="26">
        <f>COUNTIF($H$5:H983,H983)</f>
      </c>
      <c r="H983" s="26">
        <f t="shared" si="275"/>
      </c>
      <c r="I983" s="26">
        <f>COUNTIF($J$4:$J983,1)</f>
      </c>
      <c r="J983" s="26">
        <f>COUNTIF($S$5:$S983,S983)</f>
      </c>
      <c r="K983" s="26">
        <f t="shared" si="264"/>
      </c>
      <c r="L983" s="26">
        <f>IFERROR(IF(P983=0,0,MAX($L$4:L982)+1),0)</f>
      </c>
      <c r="M983" s="5">
        <f t="shared" si="276"/>
      </c>
      <c r="N983" s="5">
        <f t="shared" si="277"/>
      </c>
      <c r="P983" s="86">
        <f t="shared" si="265"/>
      </c>
      <c r="Q983" s="86">
        <f t="shared" si="266"/>
      </c>
      <c r="R983" s="86">
        <f t="shared" si="267"/>
      </c>
      <c r="S983" s="86">
        <f t="shared" si="268"/>
      </c>
      <c r="T983" s="86">
        <f t="shared" si="278"/>
        <v/>
      </c>
      <c r="U983" s="86">
        <f t="shared" si="279"/>
        <v/>
      </c>
      <c r="V983" s="86">
        <f t="shared" si="280"/>
        <v/>
      </c>
      <c r="W983" s="87">
        <f t="shared" si="269"/>
      </c>
      <c r="X983" s="88"/>
      <c r="Y983" s="88"/>
      <c r="Z983" s="88"/>
      <c r="AA983" s="88"/>
      <c r="AB983" s="88"/>
      <c r="AD983" s="86">
        <f t="shared" si="270"/>
      </c>
      <c r="AE983" s="86">
        <f t="shared" si="271"/>
      </c>
      <c r="AG983" s="86">
        <f t="shared" si="272"/>
      </c>
      <c r="AH983" s="86">
        <f t="shared" si="273"/>
      </c>
      <c r="AI983" s="86">
        <f t="shared" si="274"/>
      </c>
    </row>
    <row r="984" spans="6:35" x14ac:dyDescent="0.3">
      <c r="F984" s="26">
        <f>IF(G984=1,MAX($F$4:F983)+1,"")</f>
        <v/>
      </c>
      <c r="G984" s="26">
        <f>COUNTIF($H$5:H984,H984)</f>
      </c>
      <c r="H984" s="26">
        <f t="shared" si="275"/>
      </c>
      <c r="I984" s="26">
        <f>COUNTIF($J$4:$J984,1)</f>
      </c>
      <c r="J984" s="26">
        <f>COUNTIF($S$5:$S984,S984)</f>
      </c>
      <c r="K984" s="26">
        <f t="shared" si="264"/>
      </c>
      <c r="L984" s="26">
        <f>IFERROR(IF(P984=0,0,MAX($L$4:L983)+1),0)</f>
      </c>
      <c r="M984" s="5">
        <f t="shared" si="276"/>
      </c>
      <c r="N984" s="5">
        <f t="shared" si="277"/>
      </c>
      <c r="P984" s="86">
        <f t="shared" si="265"/>
      </c>
      <c r="Q984" s="86">
        <f t="shared" si="266"/>
      </c>
      <c r="R984" s="86">
        <f t="shared" si="267"/>
      </c>
      <c r="S984" s="86">
        <f t="shared" si="268"/>
      </c>
      <c r="T984" s="86">
        <f t="shared" si="278"/>
        <v/>
      </c>
      <c r="U984" s="86">
        <f t="shared" si="279"/>
        <v/>
      </c>
      <c r="V984" s="86">
        <f t="shared" si="280"/>
        <v/>
      </c>
      <c r="W984" s="87">
        <f t="shared" si="269"/>
      </c>
      <c r="X984" s="88"/>
      <c r="Y984" s="88"/>
      <c r="Z984" s="88"/>
      <c r="AA984" s="88"/>
      <c r="AB984" s="88"/>
      <c r="AD984" s="86">
        <f t="shared" si="270"/>
      </c>
      <c r="AE984" s="86">
        <f t="shared" si="271"/>
      </c>
      <c r="AG984" s="86">
        <f t="shared" si="272"/>
      </c>
      <c r="AH984" s="86">
        <f t="shared" si="273"/>
      </c>
      <c r="AI984" s="86">
        <f t="shared" si="274"/>
      </c>
    </row>
    <row r="985" spans="6:35" x14ac:dyDescent="0.3">
      <c r="F985" s="26">
        <f>IF(G985=1,MAX($F$4:F984)+1,"")</f>
        <v/>
      </c>
      <c r="G985" s="26">
        <f>COUNTIF($H$5:H985,H985)</f>
      </c>
      <c r="H985" s="26">
        <f t="shared" si="275"/>
      </c>
      <c r="I985" s="26">
        <f>COUNTIF($J$4:$J985,1)</f>
      </c>
      <c r="J985" s="26">
        <f>COUNTIF($S$5:$S985,S985)</f>
      </c>
      <c r="K985" s="26">
        <f t="shared" si="264"/>
      </c>
      <c r="L985" s="26">
        <f>IFERROR(IF(P985=0,0,MAX($L$4:L984)+1),0)</f>
      </c>
      <c r="M985" s="5">
        <f t="shared" si="276"/>
      </c>
      <c r="N985" s="5">
        <f t="shared" si="277"/>
      </c>
      <c r="P985" s="86">
        <f t="shared" si="265"/>
      </c>
      <c r="Q985" s="86">
        <f t="shared" si="266"/>
      </c>
      <c r="R985" s="86">
        <f t="shared" si="267"/>
      </c>
      <c r="S985" s="86">
        <f t="shared" si="268"/>
      </c>
      <c r="T985" s="86">
        <f t="shared" si="278"/>
        <v/>
      </c>
      <c r="U985" s="86">
        <f t="shared" si="279"/>
        <v/>
      </c>
      <c r="V985" s="86">
        <f t="shared" si="280"/>
        <v/>
      </c>
      <c r="W985" s="87">
        <f t="shared" si="269"/>
      </c>
      <c r="X985" s="88"/>
      <c r="Y985" s="88"/>
      <c r="Z985" s="88"/>
      <c r="AA985" s="88"/>
      <c r="AB985" s="88"/>
      <c r="AD985" s="86">
        <f t="shared" si="270"/>
      </c>
      <c r="AE985" s="86">
        <f t="shared" si="271"/>
      </c>
      <c r="AG985" s="86">
        <f t="shared" si="272"/>
      </c>
      <c r="AH985" s="86">
        <f t="shared" si="273"/>
      </c>
      <c r="AI985" s="86">
        <f t="shared" si="274"/>
      </c>
    </row>
    <row r="986" spans="6:35" x14ac:dyDescent="0.3">
      <c r="F986" s="26">
        <f>IF(G986=1,MAX($F$4:F985)+1,"")</f>
        <v/>
      </c>
      <c r="G986" s="26">
        <f>COUNTIF($H$5:H986,H986)</f>
      </c>
      <c r="H986" s="26">
        <f t="shared" si="275"/>
      </c>
      <c r="I986" s="26">
        <f>COUNTIF($J$4:$J986,1)</f>
      </c>
      <c r="J986" s="26">
        <f>COUNTIF($S$5:$S986,S986)</f>
      </c>
      <c r="K986" s="26">
        <f t="shared" si="264"/>
      </c>
      <c r="L986" s="26">
        <f>IFERROR(IF(P986=0,0,MAX($L$4:L985)+1),0)</f>
      </c>
      <c r="M986" s="5">
        <f t="shared" si="276"/>
      </c>
      <c r="N986" s="5">
        <f t="shared" si="277"/>
      </c>
      <c r="P986" s="86">
        <f t="shared" si="265"/>
      </c>
      <c r="Q986" s="86">
        <f t="shared" si="266"/>
      </c>
      <c r="R986" s="86">
        <f t="shared" si="267"/>
      </c>
      <c r="S986" s="86">
        <f t="shared" si="268"/>
      </c>
      <c r="T986" s="86">
        <f t="shared" si="278"/>
        <v/>
      </c>
      <c r="U986" s="86">
        <f t="shared" si="279"/>
        <v/>
      </c>
      <c r="V986" s="86">
        <f t="shared" si="280"/>
        <v/>
      </c>
      <c r="W986" s="87">
        <f t="shared" si="269"/>
      </c>
      <c r="X986" s="88"/>
      <c r="Y986" s="88"/>
      <c r="Z986" s="88"/>
      <c r="AA986" s="88"/>
      <c r="AB986" s="88"/>
      <c r="AD986" s="86">
        <f t="shared" si="270"/>
      </c>
      <c r="AE986" s="86">
        <f t="shared" si="271"/>
      </c>
      <c r="AG986" s="86">
        <f t="shared" si="272"/>
      </c>
      <c r="AH986" s="86">
        <f t="shared" si="273"/>
      </c>
      <c r="AI986" s="86">
        <f t="shared" si="274"/>
      </c>
    </row>
    <row r="987" spans="6:35" x14ac:dyDescent="0.3">
      <c r="F987" s="26">
        <f>IF(G987=1,MAX($F$4:F986)+1,"")</f>
        <v/>
      </c>
      <c r="G987" s="26">
        <f>COUNTIF($H$5:H987,H987)</f>
      </c>
      <c r="H987" s="26">
        <f t="shared" si="275"/>
      </c>
      <c r="I987" s="26">
        <f>COUNTIF($J$4:$J987,1)</f>
      </c>
      <c r="J987" s="26">
        <f>COUNTIF($S$5:$S987,S987)</f>
      </c>
      <c r="K987" s="26">
        <f t="shared" si="264"/>
      </c>
      <c r="L987" s="26">
        <f>IFERROR(IF(P987=0,0,MAX($L$4:L986)+1),0)</f>
      </c>
      <c r="M987" s="5">
        <f t="shared" si="276"/>
      </c>
      <c r="N987" s="5">
        <f t="shared" si="277"/>
      </c>
      <c r="P987" s="86">
        <f t="shared" si="265"/>
      </c>
      <c r="Q987" s="86">
        <f t="shared" si="266"/>
      </c>
      <c r="R987" s="86">
        <f t="shared" si="267"/>
      </c>
      <c r="S987" s="86">
        <f t="shared" si="268"/>
      </c>
      <c r="T987" s="86">
        <f t="shared" si="278"/>
        <v/>
      </c>
      <c r="U987" s="86">
        <f t="shared" si="279"/>
        <v/>
      </c>
      <c r="V987" s="86">
        <f t="shared" si="280"/>
        <v/>
      </c>
      <c r="W987" s="87">
        <f t="shared" si="269"/>
      </c>
      <c r="X987" s="88"/>
      <c r="Y987" s="88"/>
      <c r="Z987" s="88"/>
      <c r="AA987" s="88"/>
      <c r="AB987" s="88"/>
      <c r="AD987" s="86">
        <f t="shared" si="270"/>
      </c>
      <c r="AE987" s="86">
        <f t="shared" si="271"/>
      </c>
      <c r="AG987" s="86">
        <f t="shared" si="272"/>
      </c>
      <c r="AH987" s="86">
        <f t="shared" si="273"/>
      </c>
      <c r="AI987" s="86">
        <f t="shared" si="274"/>
      </c>
    </row>
    <row r="988" spans="6:35" x14ac:dyDescent="0.3">
      <c r="F988" s="26">
        <f>IF(G988=1,MAX($F$4:F987)+1,"")</f>
        <v/>
      </c>
      <c r="G988" s="26">
        <f>COUNTIF($H$5:H988,H988)</f>
      </c>
      <c r="H988" s="26">
        <f t="shared" si="275"/>
      </c>
      <c r="I988" s="26">
        <f>COUNTIF($J$4:$J988,1)</f>
      </c>
      <c r="J988" s="26">
        <f>COUNTIF($S$5:$S988,S988)</f>
      </c>
      <c r="K988" s="26">
        <f t="shared" si="264"/>
      </c>
      <c r="L988" s="26">
        <f>IFERROR(IF(P988=0,0,MAX($L$4:L987)+1),0)</f>
      </c>
      <c r="M988" s="5">
        <f t="shared" si="276"/>
      </c>
      <c r="N988" s="5">
        <f t="shared" si="277"/>
      </c>
      <c r="P988" s="86">
        <f t="shared" si="265"/>
      </c>
      <c r="Q988" s="86">
        <f t="shared" si="266"/>
      </c>
      <c r="R988" s="86">
        <f t="shared" si="267"/>
      </c>
      <c r="S988" s="86">
        <f t="shared" si="268"/>
      </c>
      <c r="T988" s="86">
        <f t="shared" si="278"/>
        <v/>
      </c>
      <c r="U988" s="86">
        <f t="shared" si="279"/>
        <v/>
      </c>
      <c r="V988" s="86">
        <f t="shared" si="280"/>
        <v/>
      </c>
      <c r="W988" s="87">
        <f t="shared" si="269"/>
      </c>
      <c r="X988" s="88"/>
      <c r="Y988" s="88"/>
      <c r="Z988" s="88"/>
      <c r="AA988" s="88"/>
      <c r="AB988" s="88"/>
      <c r="AD988" s="86">
        <f t="shared" si="270"/>
      </c>
      <c r="AE988" s="86">
        <f t="shared" si="271"/>
      </c>
      <c r="AG988" s="86">
        <f t="shared" si="272"/>
      </c>
      <c r="AH988" s="86">
        <f t="shared" si="273"/>
      </c>
      <c r="AI988" s="86">
        <f t="shared" si="274"/>
      </c>
    </row>
    <row r="989" spans="6:35" x14ac:dyDescent="0.3">
      <c r="F989" s="26">
        <f>IF(G989=1,MAX($F$4:F988)+1,"")</f>
        <v/>
      </c>
      <c r="G989" s="26">
        <f>COUNTIF($H$5:H989,H989)</f>
      </c>
      <c r="H989" s="26">
        <f t="shared" si="275"/>
      </c>
      <c r="I989" s="26">
        <f>COUNTIF($J$4:$J989,1)</f>
      </c>
      <c r="J989" s="26">
        <f>COUNTIF($S$5:$S989,S989)</f>
      </c>
      <c r="K989" s="26">
        <f t="shared" si="264"/>
      </c>
      <c r="L989" s="26">
        <f>IFERROR(IF(P989=0,0,MAX($L$4:L988)+1),0)</f>
      </c>
      <c r="M989" s="5">
        <f t="shared" si="276"/>
      </c>
      <c r="N989" s="5">
        <f t="shared" si="277"/>
      </c>
      <c r="P989" s="86">
        <f t="shared" si="265"/>
      </c>
      <c r="Q989" s="86">
        <f t="shared" si="266"/>
      </c>
      <c r="R989" s="86">
        <f t="shared" si="267"/>
      </c>
      <c r="S989" s="86">
        <f t="shared" si="268"/>
      </c>
      <c r="T989" s="86">
        <f t="shared" si="278"/>
        <v/>
      </c>
      <c r="U989" s="86">
        <f t="shared" si="279"/>
        <v/>
      </c>
      <c r="V989" s="86">
        <f t="shared" si="280"/>
        <v/>
      </c>
      <c r="W989" s="87">
        <f t="shared" si="269"/>
      </c>
      <c r="X989" s="88"/>
      <c r="Y989" s="88"/>
      <c r="Z989" s="88"/>
      <c r="AA989" s="88"/>
      <c r="AB989" s="88"/>
      <c r="AD989" s="86">
        <f t="shared" si="270"/>
      </c>
      <c r="AE989" s="86">
        <f t="shared" si="271"/>
      </c>
      <c r="AG989" s="86">
        <f t="shared" si="272"/>
      </c>
      <c r="AH989" s="86">
        <f t="shared" si="273"/>
      </c>
      <c r="AI989" s="86">
        <f t="shared" si="274"/>
      </c>
    </row>
    <row r="990" spans="6:35" x14ac:dyDescent="0.3">
      <c r="F990" s="26">
        <f>IF(G990=1,MAX($F$4:F989)+1,"")</f>
        <v/>
      </c>
      <c r="G990" s="26">
        <f>COUNTIF($H$5:H990,H990)</f>
      </c>
      <c r="H990" s="26">
        <f t="shared" si="275"/>
      </c>
      <c r="I990" s="26">
        <f>COUNTIF($J$4:$J990,1)</f>
      </c>
      <c r="J990" s="26">
        <f>COUNTIF($S$5:$S990,S990)</f>
      </c>
      <c r="K990" s="26">
        <f t="shared" si="264"/>
      </c>
      <c r="L990" s="26">
        <f>IFERROR(IF(P990=0,0,MAX($L$4:L989)+1),0)</f>
      </c>
      <c r="M990" s="5">
        <f t="shared" si="276"/>
      </c>
      <c r="N990" s="5">
        <f t="shared" si="277"/>
      </c>
      <c r="P990" s="86">
        <f t="shared" si="265"/>
      </c>
      <c r="Q990" s="86">
        <f t="shared" si="266"/>
      </c>
      <c r="R990" s="86">
        <f t="shared" si="267"/>
      </c>
      <c r="S990" s="86">
        <f t="shared" si="268"/>
      </c>
      <c r="T990" s="86">
        <f t="shared" si="278"/>
        <v/>
      </c>
      <c r="U990" s="86">
        <f t="shared" si="279"/>
        <v/>
      </c>
      <c r="V990" s="86">
        <f t="shared" si="280"/>
        <v/>
      </c>
      <c r="W990" s="87">
        <f t="shared" si="269"/>
      </c>
      <c r="X990" s="88"/>
      <c r="Y990" s="88"/>
      <c r="Z990" s="88"/>
      <c r="AA990" s="88"/>
      <c r="AB990" s="88"/>
      <c r="AD990" s="86">
        <f t="shared" si="270"/>
      </c>
      <c r="AE990" s="86">
        <f t="shared" si="271"/>
      </c>
      <c r="AG990" s="86">
        <f t="shared" si="272"/>
      </c>
      <c r="AH990" s="86">
        <f t="shared" si="273"/>
      </c>
      <c r="AI990" s="86">
        <f t="shared" si="274"/>
      </c>
    </row>
    <row r="991" spans="6:35" x14ac:dyDescent="0.3">
      <c r="F991" s="26">
        <f>IF(G991=1,MAX($F$4:F990)+1,"")</f>
        <v/>
      </c>
      <c r="G991" s="26">
        <f>COUNTIF($H$5:H991,H991)</f>
      </c>
      <c r="H991" s="26">
        <f t="shared" si="275"/>
      </c>
      <c r="I991" s="26">
        <f>COUNTIF($J$4:$J991,1)</f>
      </c>
      <c r="J991" s="26">
        <f>COUNTIF($S$5:$S991,S991)</f>
      </c>
      <c r="K991" s="26">
        <f t="shared" si="264"/>
      </c>
      <c r="L991" s="26">
        <f>IFERROR(IF(P991=0,0,MAX($L$4:L990)+1),0)</f>
      </c>
      <c r="M991" s="5">
        <f t="shared" si="276"/>
      </c>
      <c r="N991" s="5">
        <f t="shared" si="277"/>
      </c>
      <c r="P991" s="86">
        <f t="shared" si="265"/>
      </c>
      <c r="Q991" s="86">
        <f t="shared" si="266"/>
      </c>
      <c r="R991" s="86">
        <f t="shared" si="267"/>
      </c>
      <c r="S991" s="86">
        <f t="shared" si="268"/>
      </c>
      <c r="T991" s="86">
        <f t="shared" si="278"/>
        <v/>
      </c>
      <c r="U991" s="86">
        <f t="shared" si="279"/>
        <v/>
      </c>
      <c r="V991" s="86">
        <f t="shared" si="280"/>
        <v/>
      </c>
      <c r="W991" s="87">
        <f t="shared" si="269"/>
      </c>
      <c r="X991" s="88"/>
      <c r="Y991" s="88"/>
      <c r="Z991" s="88"/>
      <c r="AA991" s="88"/>
      <c r="AB991" s="88"/>
      <c r="AD991" s="86">
        <f t="shared" si="270"/>
      </c>
      <c r="AE991" s="86">
        <f t="shared" si="271"/>
      </c>
      <c r="AG991" s="86">
        <f t="shared" si="272"/>
      </c>
      <c r="AH991" s="86">
        <f t="shared" si="273"/>
      </c>
      <c r="AI991" s="86">
        <f t="shared" si="274"/>
      </c>
    </row>
    <row r="992" spans="6:35" x14ac:dyDescent="0.3">
      <c r="F992" s="26">
        <f>IF(G992=1,MAX($F$4:F991)+1,"")</f>
        <v/>
      </c>
      <c r="G992" s="26">
        <f>COUNTIF($H$5:H992,H992)</f>
      </c>
      <c r="H992" s="26">
        <f t="shared" si="275"/>
      </c>
      <c r="I992" s="26">
        <f>COUNTIF($J$4:$J992,1)</f>
      </c>
      <c r="J992" s="26">
        <f>COUNTIF($S$5:$S992,S992)</f>
      </c>
      <c r="K992" s="26">
        <f t="shared" si="264"/>
      </c>
      <c r="L992" s="26">
        <f>IFERROR(IF(P992=0,0,MAX($L$4:L991)+1),0)</f>
      </c>
      <c r="M992" s="5">
        <f t="shared" si="276"/>
      </c>
      <c r="N992" s="5">
        <f t="shared" si="277"/>
      </c>
      <c r="P992" s="86">
        <f t="shared" si="265"/>
      </c>
      <c r="Q992" s="86">
        <f t="shared" si="266"/>
      </c>
      <c r="R992" s="86">
        <f t="shared" si="267"/>
      </c>
      <c r="S992" s="86">
        <f t="shared" si="268"/>
      </c>
      <c r="T992" s="86">
        <f t="shared" si="278"/>
        <v/>
      </c>
      <c r="U992" s="86">
        <f t="shared" si="279"/>
        <v/>
      </c>
      <c r="V992" s="86">
        <f t="shared" si="280"/>
        <v/>
      </c>
      <c r="W992" s="87">
        <f t="shared" si="269"/>
      </c>
      <c r="X992" s="88"/>
      <c r="Y992" s="88"/>
      <c r="Z992" s="88"/>
      <c r="AA992" s="88"/>
      <c r="AB992" s="88"/>
      <c r="AD992" s="86">
        <f t="shared" si="270"/>
      </c>
      <c r="AE992" s="86">
        <f t="shared" si="271"/>
      </c>
      <c r="AG992" s="86">
        <f t="shared" si="272"/>
      </c>
      <c r="AH992" s="86">
        <f t="shared" si="273"/>
      </c>
      <c r="AI992" s="86">
        <f t="shared" si="274"/>
      </c>
    </row>
    <row r="993" spans="6:35" x14ac:dyDescent="0.3">
      <c r="F993" s="26">
        <f>IF(G993=1,MAX($F$4:F992)+1,"")</f>
        <v/>
      </c>
      <c r="G993" s="26">
        <f>COUNTIF($H$5:H993,H993)</f>
      </c>
      <c r="H993" s="26">
        <f t="shared" si="275"/>
      </c>
      <c r="I993" s="26">
        <f>COUNTIF($J$4:$J993,1)</f>
      </c>
      <c r="J993" s="26">
        <f>COUNTIF($S$5:$S993,S993)</f>
      </c>
      <c r="K993" s="26">
        <f t="shared" si="264"/>
      </c>
      <c r="L993" s="26">
        <f>IFERROR(IF(P993=0,0,MAX($L$4:L992)+1),0)</f>
      </c>
      <c r="M993" s="5">
        <f t="shared" si="276"/>
      </c>
      <c r="N993" s="5">
        <f t="shared" si="277"/>
      </c>
      <c r="P993" s="86">
        <f t="shared" si="265"/>
      </c>
      <c r="Q993" s="86">
        <f t="shared" si="266"/>
      </c>
      <c r="R993" s="86">
        <f t="shared" si="267"/>
      </c>
      <c r="S993" s="86">
        <f t="shared" si="268"/>
      </c>
      <c r="T993" s="86">
        <f t="shared" si="278"/>
        <v/>
      </c>
      <c r="U993" s="86">
        <f t="shared" si="279"/>
        <v/>
      </c>
      <c r="V993" s="86">
        <f t="shared" si="280"/>
        <v/>
      </c>
      <c r="W993" s="87">
        <f t="shared" si="269"/>
      </c>
      <c r="X993" s="88"/>
      <c r="Y993" s="88"/>
      <c r="Z993" s="88"/>
      <c r="AA993" s="88"/>
      <c r="AB993" s="88"/>
      <c r="AD993" s="86">
        <f t="shared" si="270"/>
      </c>
      <c r="AE993" s="86">
        <f t="shared" si="271"/>
      </c>
      <c r="AG993" s="86">
        <f t="shared" si="272"/>
      </c>
      <c r="AH993" s="86">
        <f t="shared" si="273"/>
      </c>
      <c r="AI993" s="86">
        <f t="shared" si="274"/>
      </c>
    </row>
    <row r="994" spans="6:35" x14ac:dyDescent="0.3">
      <c r="F994" s="26">
        <f>IF(G994=1,MAX($F$4:F993)+1,"")</f>
        <v/>
      </c>
      <c r="G994" s="26">
        <f>COUNTIF($H$5:H994,H994)</f>
      </c>
      <c r="H994" s="26">
        <f t="shared" si="275"/>
      </c>
      <c r="I994" s="26">
        <f>COUNTIF($J$4:$J994,1)</f>
      </c>
      <c r="J994" s="26">
        <f>COUNTIF($S$5:$S994,S994)</f>
      </c>
      <c r="K994" s="26">
        <f t="shared" si="264"/>
      </c>
      <c r="L994" s="26">
        <f>IFERROR(IF(P994=0,0,MAX($L$4:L993)+1),0)</f>
      </c>
      <c r="M994" s="5">
        <f t="shared" si="276"/>
      </c>
      <c r="N994" s="5">
        <f t="shared" si="277"/>
      </c>
      <c r="P994" s="86">
        <f t="shared" si="265"/>
      </c>
      <c r="Q994" s="86">
        <f t="shared" si="266"/>
      </c>
      <c r="R994" s="86">
        <f t="shared" si="267"/>
      </c>
      <c r="S994" s="86">
        <f t="shared" si="268"/>
      </c>
      <c r="T994" s="86">
        <f t="shared" si="278"/>
        <v/>
      </c>
      <c r="U994" s="86">
        <f t="shared" si="279"/>
        <v/>
      </c>
      <c r="V994" s="86">
        <f t="shared" si="280"/>
        <v/>
      </c>
      <c r="W994" s="87">
        <f t="shared" si="269"/>
      </c>
      <c r="X994" s="88"/>
      <c r="Y994" s="88"/>
      <c r="Z994" s="88"/>
      <c r="AA994" s="88"/>
      <c r="AB994" s="88"/>
      <c r="AD994" s="86">
        <f t="shared" si="270"/>
      </c>
      <c r="AE994" s="86">
        <f t="shared" si="271"/>
      </c>
      <c r="AG994" s="86">
        <f t="shared" si="272"/>
      </c>
      <c r="AH994" s="86">
        <f t="shared" si="273"/>
      </c>
      <c r="AI994" s="86">
        <f t="shared" si="274"/>
      </c>
    </row>
    <row r="995" spans="6:35" x14ac:dyDescent="0.3">
      <c r="F995" s="26">
        <f>IF(G995=1,MAX($F$4:F994)+1,"")</f>
        <v/>
      </c>
      <c r="G995" s="26">
        <f>COUNTIF($H$5:H995,H995)</f>
      </c>
      <c r="H995" s="26">
        <f t="shared" si="275"/>
      </c>
      <c r="I995" s="26">
        <f>COUNTIF($J$4:$J995,1)</f>
      </c>
      <c r="J995" s="26">
        <f>COUNTIF($S$5:$S995,S995)</f>
      </c>
      <c r="K995" s="26">
        <f t="shared" si="264"/>
      </c>
      <c r="L995" s="26">
        <f>IFERROR(IF(P995=0,0,MAX($L$4:L994)+1),0)</f>
      </c>
      <c r="M995" s="5">
        <f t="shared" si="276"/>
      </c>
      <c r="N995" s="5">
        <f t="shared" si="277"/>
      </c>
      <c r="P995" s="86">
        <f t="shared" si="265"/>
      </c>
      <c r="Q995" s="86">
        <f t="shared" si="266"/>
      </c>
      <c r="R995" s="86">
        <f t="shared" si="267"/>
      </c>
      <c r="S995" s="86">
        <f t="shared" si="268"/>
      </c>
      <c r="T995" s="86">
        <f t="shared" si="278"/>
        <v/>
      </c>
      <c r="U995" s="86">
        <f t="shared" si="279"/>
        <v/>
      </c>
      <c r="V995" s="86">
        <f t="shared" si="280"/>
        <v/>
      </c>
      <c r="W995" s="87">
        <f t="shared" si="269"/>
      </c>
      <c r="X995" s="88"/>
      <c r="Y995" s="88"/>
      <c r="Z995" s="88"/>
      <c r="AA995" s="88"/>
      <c r="AB995" s="88"/>
      <c r="AD995" s="86">
        <f t="shared" si="270"/>
      </c>
      <c r="AE995" s="86">
        <f t="shared" si="271"/>
      </c>
      <c r="AG995" s="86">
        <f t="shared" si="272"/>
      </c>
      <c r="AH995" s="86">
        <f t="shared" si="273"/>
      </c>
      <c r="AI995" s="86">
        <f t="shared" si="274"/>
      </c>
    </row>
    <row r="996" spans="6:35" x14ac:dyDescent="0.3">
      <c r="F996" s="26">
        <f>IF(G996=1,MAX($F$4:F995)+1,"")</f>
        <v/>
      </c>
      <c r="G996" s="26">
        <f>COUNTIF($H$5:H996,H996)</f>
      </c>
      <c r="H996" s="26">
        <f t="shared" si="275"/>
      </c>
      <c r="I996" s="26">
        <f>COUNTIF($J$4:$J996,1)</f>
      </c>
      <c r="J996" s="26">
        <f>COUNTIF($S$5:$S996,S996)</f>
      </c>
      <c r="K996" s="26">
        <f t="shared" si="264"/>
      </c>
      <c r="L996" s="26">
        <f>IFERROR(IF(P996=0,0,MAX($L$4:L995)+1),0)</f>
      </c>
      <c r="M996" s="5">
        <f t="shared" si="276"/>
      </c>
      <c r="N996" s="5">
        <f t="shared" si="277"/>
      </c>
      <c r="P996" s="86">
        <f t="shared" si="265"/>
      </c>
      <c r="Q996" s="86">
        <f t="shared" si="266"/>
      </c>
      <c r="R996" s="86">
        <f t="shared" si="267"/>
      </c>
      <c r="S996" s="86">
        <f t="shared" si="268"/>
      </c>
      <c r="T996" s="86">
        <f t="shared" si="278"/>
        <v/>
      </c>
      <c r="U996" s="86">
        <f t="shared" si="279"/>
        <v/>
      </c>
      <c r="V996" s="86">
        <f t="shared" si="280"/>
        <v/>
      </c>
      <c r="W996" s="87">
        <f t="shared" si="269"/>
      </c>
      <c r="X996" s="88"/>
      <c r="Y996" s="88"/>
      <c r="Z996" s="88"/>
      <c r="AA996" s="88"/>
      <c r="AB996" s="88"/>
      <c r="AD996" s="86">
        <f t="shared" si="270"/>
      </c>
      <c r="AE996" s="86">
        <f t="shared" si="271"/>
      </c>
      <c r="AG996" s="86">
        <f t="shared" si="272"/>
      </c>
      <c r="AH996" s="86">
        <f t="shared" si="273"/>
      </c>
      <c r="AI996" s="86">
        <f t="shared" si="274"/>
      </c>
    </row>
    <row r="997" spans="6:35" x14ac:dyDescent="0.3">
      <c r="F997" s="26">
        <f>IF(G997=1,MAX($F$4:F996)+1,"")</f>
        <v/>
      </c>
      <c r="G997" s="26">
        <f>COUNTIF($H$5:H997,H997)</f>
      </c>
      <c r="H997" s="26">
        <f t="shared" si="275"/>
      </c>
      <c r="I997" s="26">
        <f>COUNTIF($J$4:$J997,1)</f>
      </c>
      <c r="J997" s="26">
        <f>COUNTIF($S$5:$S997,S997)</f>
      </c>
      <c r="K997" s="26">
        <f t="shared" si="264"/>
      </c>
      <c r="L997" s="26">
        <f>IFERROR(IF(P997=0,0,MAX($L$4:L996)+1),0)</f>
      </c>
      <c r="M997" s="5">
        <f t="shared" si="276"/>
      </c>
      <c r="N997" s="5">
        <f t="shared" si="277"/>
      </c>
      <c r="P997" s="86">
        <f t="shared" si="265"/>
      </c>
      <c r="Q997" s="86">
        <f t="shared" si="266"/>
      </c>
      <c r="R997" s="86">
        <f t="shared" si="267"/>
      </c>
      <c r="S997" s="86">
        <f t="shared" si="268"/>
      </c>
      <c r="T997" s="86">
        <f t="shared" si="278"/>
        <v/>
      </c>
      <c r="U997" s="86">
        <f t="shared" si="279"/>
        <v/>
      </c>
      <c r="V997" s="86">
        <f t="shared" si="280"/>
        <v/>
      </c>
      <c r="W997" s="87">
        <f t="shared" si="269"/>
      </c>
      <c r="X997" s="88"/>
      <c r="Y997" s="88"/>
      <c r="Z997" s="88"/>
      <c r="AA997" s="88"/>
      <c r="AB997" s="88"/>
      <c r="AD997" s="86">
        <f t="shared" si="270"/>
      </c>
      <c r="AE997" s="86">
        <f t="shared" si="271"/>
      </c>
      <c r="AG997" s="86">
        <f t="shared" si="272"/>
      </c>
      <c r="AH997" s="86">
        <f t="shared" si="273"/>
      </c>
      <c r="AI997" s="86">
        <f t="shared" si="274"/>
      </c>
    </row>
    <row r="998" spans="6:35" x14ac:dyDescent="0.3">
      <c r="F998" s="26">
        <f>IF(G998=1,MAX($F$4:F997)+1,"")</f>
        <v/>
      </c>
      <c r="G998" s="26">
        <f>COUNTIF($H$5:H998,H998)</f>
      </c>
      <c r="H998" s="26">
        <f t="shared" si="275"/>
      </c>
      <c r="I998" s="26">
        <f>COUNTIF($J$4:$J998,1)</f>
      </c>
      <c r="J998" s="26">
        <f>COUNTIF($S$5:$S998,S998)</f>
      </c>
      <c r="K998" s="26">
        <f t="shared" si="264"/>
      </c>
      <c r="L998" s="26">
        <f>IFERROR(IF(P998=0,0,MAX($L$4:L997)+1),0)</f>
      </c>
      <c r="M998" s="5">
        <f t="shared" si="276"/>
      </c>
      <c r="N998" s="5">
        <f t="shared" si="277"/>
      </c>
      <c r="P998" s="86">
        <f t="shared" si="265"/>
      </c>
      <c r="Q998" s="86">
        <f t="shared" si="266"/>
      </c>
      <c r="R998" s="86">
        <f t="shared" si="267"/>
      </c>
      <c r="S998" s="86">
        <f t="shared" si="268"/>
      </c>
      <c r="T998" s="86">
        <f t="shared" si="278"/>
        <v/>
      </c>
      <c r="U998" s="86">
        <f t="shared" si="279"/>
        <v/>
      </c>
      <c r="V998" s="86">
        <f t="shared" si="280"/>
        <v/>
      </c>
      <c r="W998" s="87">
        <f t="shared" si="269"/>
      </c>
      <c r="X998" s="88"/>
      <c r="Y998" s="88"/>
      <c r="Z998" s="88"/>
      <c r="AA998" s="88"/>
      <c r="AB998" s="88"/>
      <c r="AD998" s="86">
        <f t="shared" si="270"/>
      </c>
      <c r="AE998" s="86">
        <f t="shared" si="271"/>
      </c>
      <c r="AG998" s="86">
        <f t="shared" si="272"/>
      </c>
      <c r="AH998" s="86">
        <f t="shared" si="273"/>
      </c>
      <c r="AI998" s="86">
        <f t="shared" si="274"/>
      </c>
    </row>
    <row r="999" spans="6:35" x14ac:dyDescent="0.3">
      <c r="F999" s="26">
        <f>IF(G999=1,MAX($F$4:F998)+1,"")</f>
        <v/>
      </c>
      <c r="G999" s="26">
        <f>COUNTIF($H$5:H999,H999)</f>
      </c>
      <c r="H999" s="26">
        <f t="shared" si="275"/>
      </c>
      <c r="I999" s="26">
        <f>COUNTIF($J$4:$J999,1)</f>
      </c>
      <c r="J999" s="26">
        <f>COUNTIF($S$5:$S999,S999)</f>
      </c>
      <c r="K999" s="26">
        <f t="shared" si="264"/>
      </c>
      <c r="L999" s="26">
        <f>IFERROR(IF(P999=0,0,MAX($L$4:L998)+1),0)</f>
      </c>
      <c r="M999" s="5">
        <f t="shared" si="276"/>
      </c>
      <c r="N999" s="5">
        <f t="shared" si="277"/>
      </c>
      <c r="P999" s="86">
        <f t="shared" si="265"/>
      </c>
      <c r="Q999" s="86">
        <f t="shared" si="266"/>
      </c>
      <c r="R999" s="86">
        <f t="shared" si="267"/>
      </c>
      <c r="S999" s="86">
        <f t="shared" si="268"/>
      </c>
      <c r="T999" s="86">
        <f t="shared" si="278"/>
        <v/>
      </c>
      <c r="U999" s="86">
        <f t="shared" si="279"/>
        <v/>
      </c>
      <c r="V999" s="86">
        <f t="shared" si="280"/>
        <v/>
      </c>
      <c r="W999" s="87">
        <f t="shared" si="269"/>
      </c>
      <c r="X999" s="88"/>
      <c r="Y999" s="88"/>
      <c r="Z999" s="88"/>
      <c r="AA999" s="88"/>
      <c r="AB999" s="88"/>
      <c r="AD999" s="86">
        <f t="shared" si="270"/>
      </c>
      <c r="AE999" s="86">
        <f t="shared" si="271"/>
      </c>
      <c r="AG999" s="86">
        <f t="shared" si="272"/>
      </c>
      <c r="AH999" s="86">
        <f t="shared" si="273"/>
      </c>
      <c r="AI999" s="86">
        <f t="shared" si="274"/>
      </c>
    </row>
    <row r="1000" spans="6:35" x14ac:dyDescent="0.3">
      <c r="F1000" s="26">
        <f>IF(G1000=1,MAX($F$4:F999)+1,"")</f>
        <v/>
      </c>
      <c r="G1000" s="26">
        <f>COUNTIF($H$5:H1000,H1000)</f>
      </c>
      <c r="H1000" s="26">
        <f t="shared" si="275"/>
      </c>
      <c r="I1000" s="26">
        <f>COUNTIF($J$4:$J1000,1)</f>
      </c>
      <c r="J1000" s="26">
        <f>COUNTIF($S$5:$S1000,S1000)</f>
      </c>
      <c r="K1000" s="26">
        <f t="shared" si="264"/>
      </c>
      <c r="L1000" s="26">
        <f>IFERROR(IF(P1000=0,0,MAX($L$4:L999)+1),0)</f>
      </c>
      <c r="M1000" s="5">
        <f t="shared" si="276"/>
      </c>
      <c r="N1000" s="5">
        <f t="shared" si="277"/>
      </c>
      <c r="P1000" s="86">
        <f t="shared" si="265"/>
      </c>
      <c r="Q1000" s="86">
        <f t="shared" si="266"/>
      </c>
      <c r="R1000" s="86">
        <f t="shared" si="267"/>
      </c>
      <c r="S1000" s="86">
        <f t="shared" si="268"/>
      </c>
      <c r="T1000" s="86">
        <f t="shared" si="278"/>
        <v/>
      </c>
      <c r="U1000" s="86">
        <f t="shared" si="279"/>
        <v/>
      </c>
      <c r="V1000" s="86">
        <f t="shared" si="280"/>
        <v/>
      </c>
      <c r="W1000" s="87">
        <f t="shared" si="269"/>
      </c>
      <c r="X1000" s="88"/>
      <c r="Y1000" s="88"/>
      <c r="Z1000" s="88"/>
      <c r="AA1000" s="88"/>
      <c r="AB1000" s="88"/>
      <c r="AD1000" s="86">
        <f t="shared" si="270"/>
      </c>
      <c r="AE1000" s="86">
        <f t="shared" si="271"/>
      </c>
      <c r="AG1000" s="86">
        <f t="shared" si="272"/>
      </c>
      <c r="AH1000" s="86">
        <f t="shared" si="273"/>
      </c>
      <c r="AI1000" s="86">
        <f t="shared" si="274"/>
      </c>
    </row>
  </sheetData>
  <sheetProtection formatCells="0" formatColumns="0" formatRows="0"/>
  <mergeCells count="10">
    <mergeCell ref="AB2:AB4"/>
    <mergeCell ref="P2:P4"/>
    <mergeCell ref="Q2:R2"/>
    <mergeCell ref="S2:W2"/>
    <mergeCell ref="X2:Z2"/>
    <mergeCell ref="AA2:AA4"/>
    <mergeCell ref="Q3:Q4"/>
    <mergeCell ref="R3:R4"/>
    <mergeCell ref="S3:W3"/>
    <mergeCell ref="X3:Z3"/>
  </mergeCells>
  <conditionalFormatting sqref="B30:D53">
    <cfRule type="expression" dxfId="9764" priority="9">
      <formula>_xlfn.ISFORMULA(B30)=TRUE</formula>
    </cfRule>
  </conditionalFormatting>
  <conditionalFormatting sqref="C3:D3 C4:N4 S4:Z4">
    <cfRule type="expression" dxfId="9763" priority="15" stopIfTrue="1">
      <formula>_xlfn.ISFORMULA(C3)=TRUE</formula>
    </cfRule>
  </conditionalFormatting>
  <conditionalFormatting sqref="C55:D56">
    <cfRule type="expression" dxfId="9762" priority="3" stopIfTrue="1">
      <formula>_xlfn.ISFORMULA(C55)=TRUE</formula>
    </cfRule>
  </conditionalFormatting>
  <conditionalFormatting sqref="C57:D71">
    <cfRule type="expression" dxfId="9761" priority="4">
      <formula>_xlfn.ISFORMULA(C57)=TRUE</formula>
    </cfRule>
  </conditionalFormatting>
  <conditionalFormatting sqref="C74:D75">
    <cfRule type="expression" dxfId="9760" priority="1" stopIfTrue="1">
      <formula>_xlfn.ISFORMULA(C74)=TRUE</formula>
    </cfRule>
  </conditionalFormatting>
  <conditionalFormatting sqref="C76:D90">
    <cfRule type="expression" dxfId="9759" priority="2">
      <formula>_xlfn.ISFORMULA(C76)=TRUE</formula>
    </cfRule>
  </conditionalFormatting>
  <conditionalFormatting sqref="C5:E19 P5:AB1000 C20:D27">
    <cfRule type="expression" dxfId="9758" priority="19">
      <formula>_xlfn.ISFORMULA(C5)=TRUE</formula>
    </cfRule>
  </conditionalFormatting>
  <conditionalFormatting sqref="F5:N1000">
    <cfRule type="expression" dxfId="9757" priority="12">
      <formula>_xlfn.ISFORMULA(F5)=TRUE</formula>
    </cfRule>
  </conditionalFormatting>
  <conditionalFormatting sqref="P2:Q2 X2:X3">
    <cfRule type="expression" dxfId="9756" priority="29" stopIfTrue="1">
      <formula>_xlfn.ISFORMULA(P2)=TRUE</formula>
    </cfRule>
  </conditionalFormatting>
  <conditionalFormatting sqref="S2:V2 Q3:V3 B29:D29">
    <cfRule type="expression" dxfId="9755" priority="10" stopIfTrue="1">
      <formula>_xlfn.ISFORMULA(B2)=TRUE</formula>
    </cfRule>
  </conditionalFormatting>
  <conditionalFormatting sqref="AA2:AB2">
    <cfRule type="expression" dxfId="9754" priority="27" stopIfTrue="1">
      <formula>_xlfn.ISFORMULA(AA2)=TRUE</formula>
    </cfRule>
  </conditionalFormatting>
  <conditionalFormatting sqref="AD4:AE4">
    <cfRule type="expression" dxfId="9753" priority="8" stopIfTrue="1">
      <formula>_xlfn.ISFORMULA(AD4)=TRUE</formula>
    </cfRule>
  </conditionalFormatting>
  <conditionalFormatting sqref="AD5:AE1000">
    <cfRule type="expression" dxfId="9752" priority="6">
      <formula>_xlfn.ISFORMULA(AD5)=TRUE</formula>
    </cfRule>
  </conditionalFormatting>
  <conditionalFormatting sqref="AG4:AI4">
    <cfRule type="expression" dxfId="9751" priority="7" stopIfTrue="1">
      <formula>_xlfn.ISFORMULA(AG4)=TRUE</formula>
    </cfRule>
  </conditionalFormatting>
  <conditionalFormatting sqref="AG5:AI1000">
    <cfRule type="expression" dxfId="9750" priority="5">
      <formula>_xlfn.ISFORMULA(AG5)=TRUE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D6BFC-F90F-4CF5-95F3-7DF347FC747A}">
  <sheetPr>
    <tabColor rgb="FFA6A6A6"/>
  </sheetPr>
  <dimension ref="A2:F34"/>
  <sheetViews>
    <sheetView workbookViewId="0"/>
  </sheetViews>
  <sheetFormatPr defaultRowHeight="14.4" x14ac:dyDescent="0.3"/>
  <cols>
    <col min="3" max="3" width="54.5546875" customWidth="1"/>
    <col min="6" max="6" width="66.44140625" customWidth="1"/>
    <col min="8" max="8" width="49.5546875" customWidth="1"/>
    <col min="9" max="9" width="44.88671875" customWidth="1"/>
  </cols>
  <sheetData>
    <row r="2" spans="1:6" ht="15" thickBot="1" x14ac:dyDescent="0.35"/>
    <row r="3" spans="1:6" ht="15" thickBot="1" x14ac:dyDescent="0.35">
      <c r="B3" s="1" t="s">
        <v>12</v>
      </c>
      <c r="C3" s="1" t="s">
        <v>33</v>
      </c>
      <c r="D3" s="1" t="s">
        <v>34</v>
      </c>
      <c r="E3" s="1" t="s">
        <v>35</v>
      </c>
      <c r="F3" s="1" t="s">
        <v>36</v>
      </c>
    </row>
    <row r="4" spans="1:6" x14ac:dyDescent="0.3">
      <c r="A4">
        <v>1</v>
      </c>
      <c r="B4" s="4">
        <f t="shared" ref="B4:B33" si="0">VLOOKUP(ROW(1:1),Разбивка_нумерация_2,5,FALSE)</f>
      </c>
      <c r="C4" s="4">
        <f t="shared" ref="C4:C33" ca="1" si="1">CELL("адрес",OFFSET(INDEX(Для_диапазонов,MATCH(ROW(1:1),Нумерация_щитов_2,0),2),0,4))</f>
      </c>
      <c r="D4" s="4">
        <f t="shared" ref="D4:D30" si="2">COUNTIF(Нумерация_щитов_2,A4)</f>
      </c>
      <c r="E4" s="4">
        <v>7</v>
      </c>
      <c r="F4" s="4">
        <f t="shared" ref="F4:F33" ca="1" si="3">CELL("адрес",OFFSET(INDEX(Для_диапазонов,MATCH(ROW(1:1),Нумерация_щитов_1,0),2),0,10))</f>
      </c>
    </row>
    <row r="5" spans="1:6" x14ac:dyDescent="0.3">
      <c r="A5">
        <v>2</v>
      </c>
      <c r="B5" s="4">
        <f t="shared" si="0"/>
      </c>
      <c r="C5" s="4">
        <f t="shared" ca="1" si="1"/>
      </c>
      <c r="D5" s="4">
        <f t="shared" si="2"/>
      </c>
      <c r="E5" s="4">
        <v>7</v>
      </c>
      <c r="F5" s="4">
        <f t="shared" ca="1" si="3"/>
      </c>
    </row>
    <row r="6" spans="1:6" x14ac:dyDescent="0.3">
      <c r="A6">
        <v>3</v>
      </c>
      <c r="B6" s="4">
        <f t="shared" si="0"/>
      </c>
      <c r="C6" s="4">
        <f t="shared" ca="1" si="1"/>
      </c>
      <c r="D6" s="4">
        <f t="shared" si="2"/>
      </c>
      <c r="E6" s="4">
        <v>7</v>
      </c>
      <c r="F6" s="4">
        <f t="shared" ca="1" si="3"/>
      </c>
    </row>
    <row r="7" spans="1:6" x14ac:dyDescent="0.3">
      <c r="A7">
        <v>4</v>
      </c>
      <c r="B7" s="4">
        <f t="shared" si="0"/>
      </c>
      <c r="C7" s="4">
        <f t="shared" ca="1" si="1"/>
      </c>
      <c r="D7" s="4">
        <f t="shared" si="2"/>
      </c>
      <c r="E7" s="4">
        <v>7</v>
      </c>
      <c r="F7" s="4">
        <f t="shared" ca="1" si="3"/>
      </c>
    </row>
    <row r="8" spans="1:6" x14ac:dyDescent="0.3">
      <c r="A8">
        <v>5</v>
      </c>
      <c r="B8" s="4">
        <f t="shared" si="0"/>
      </c>
      <c r="C8" s="4">
        <f t="shared" ca="1" si="1"/>
      </c>
      <c r="D8" s="4">
        <f t="shared" si="2"/>
      </c>
      <c r="E8" s="4">
        <v>7</v>
      </c>
      <c r="F8" s="4">
        <f t="shared" ca="1" si="3"/>
      </c>
    </row>
    <row r="9" spans="1:6" x14ac:dyDescent="0.3">
      <c r="A9">
        <v>6</v>
      </c>
      <c r="B9" s="4">
        <f t="shared" si="0"/>
      </c>
      <c r="C9" s="4">
        <f t="shared" ca="1" si="1"/>
      </c>
      <c r="D9" s="4">
        <f t="shared" si="2"/>
      </c>
      <c r="E9" s="4">
        <v>7</v>
      </c>
      <c r="F9" s="4">
        <f t="shared" ca="1" si="3"/>
      </c>
    </row>
    <row r="10" spans="1:6" x14ac:dyDescent="0.3">
      <c r="A10">
        <v>7</v>
      </c>
      <c r="B10" s="4">
        <f t="shared" si="0"/>
      </c>
      <c r="C10" s="4">
        <f t="shared" ca="1" si="1"/>
      </c>
      <c r="D10" s="4">
        <f t="shared" si="2"/>
      </c>
      <c r="E10" s="4">
        <v>7</v>
      </c>
      <c r="F10" s="4">
        <f t="shared" ca="1" si="3"/>
      </c>
    </row>
    <row r="11" spans="1:6" x14ac:dyDescent="0.3">
      <c r="A11">
        <v>8</v>
      </c>
      <c r="B11" s="4">
        <f t="shared" si="0"/>
      </c>
      <c r="C11" s="4">
        <f t="shared" ca="1" si="1"/>
      </c>
      <c r="D11" s="4">
        <f t="shared" si="2"/>
      </c>
      <c r="E11" s="4">
        <v>7</v>
      </c>
      <c r="F11" s="4">
        <f t="shared" ca="1" si="3"/>
      </c>
    </row>
    <row r="12" spans="1:6" x14ac:dyDescent="0.3">
      <c r="A12">
        <v>9</v>
      </c>
      <c r="B12" s="4">
        <f t="shared" si="0"/>
      </c>
      <c r="C12" s="4">
        <f t="shared" ca="1" si="1"/>
      </c>
      <c r="D12" s="4">
        <f t="shared" si="2"/>
      </c>
      <c r="E12" s="4">
        <v>7</v>
      </c>
      <c r="F12" s="4">
        <f t="shared" ca="1" si="3"/>
      </c>
    </row>
    <row r="13" spans="1:6" x14ac:dyDescent="0.3">
      <c r="A13">
        <v>10</v>
      </c>
      <c r="B13" s="4">
        <f t="shared" si="0"/>
      </c>
      <c r="C13" s="4">
        <f t="shared" ca="1" si="1"/>
      </c>
      <c r="D13" s="4">
        <f t="shared" si="2"/>
      </c>
      <c r="E13" s="4">
        <v>7</v>
      </c>
      <c r="F13" s="4">
        <f t="shared" ca="1" si="3"/>
      </c>
    </row>
    <row r="14" spans="1:6" x14ac:dyDescent="0.3">
      <c r="A14">
        <v>11</v>
      </c>
      <c r="B14" s="4">
        <f t="shared" si="0"/>
      </c>
      <c r="C14" s="4">
        <f t="shared" ca="1" si="1"/>
      </c>
      <c r="D14" s="4">
        <f t="shared" si="2"/>
      </c>
      <c r="E14" s="4">
        <v>7</v>
      </c>
      <c r="F14" s="4">
        <f t="shared" ca="1" si="3"/>
      </c>
    </row>
    <row r="15" spans="1:6" x14ac:dyDescent="0.3">
      <c r="A15">
        <v>12</v>
      </c>
      <c r="B15" s="4">
        <f t="shared" si="0"/>
      </c>
      <c r="C15" s="4">
        <f t="shared" ca="1" si="1"/>
      </c>
      <c r="D15" s="4">
        <f t="shared" si="2"/>
      </c>
      <c r="E15" s="4">
        <v>7</v>
      </c>
      <c r="F15" s="4">
        <f t="shared" ca="1" si="3"/>
      </c>
    </row>
    <row r="16" spans="1:6" x14ac:dyDescent="0.3">
      <c r="A16">
        <v>13</v>
      </c>
      <c r="B16" s="4">
        <f t="shared" si="0"/>
      </c>
      <c r="C16" s="4">
        <f t="shared" ca="1" si="1"/>
      </c>
      <c r="D16" s="4">
        <f t="shared" si="2"/>
      </c>
      <c r="E16" s="4">
        <v>7</v>
      </c>
      <c r="F16" s="4">
        <f t="shared" ca="1" si="3"/>
      </c>
    </row>
    <row r="17" spans="1:6" x14ac:dyDescent="0.3">
      <c r="A17">
        <v>14</v>
      </c>
      <c r="B17" s="4">
        <f t="shared" si="0"/>
      </c>
      <c r="C17" s="4">
        <f t="shared" ca="1" si="1"/>
      </c>
      <c r="D17" s="4">
        <f t="shared" si="2"/>
      </c>
      <c r="E17" s="4">
        <v>7</v>
      </c>
      <c r="F17" s="4">
        <f t="shared" ca="1" si="3"/>
      </c>
    </row>
    <row r="18" spans="1:6" x14ac:dyDescent="0.3">
      <c r="A18">
        <v>15</v>
      </c>
      <c r="B18" s="4">
        <f t="shared" si="0"/>
      </c>
      <c r="C18" s="4">
        <f t="shared" ca="1" si="1"/>
      </c>
      <c r="D18" s="4">
        <f t="shared" si="2"/>
      </c>
      <c r="E18" s="4">
        <v>7</v>
      </c>
      <c r="F18" s="4">
        <f t="shared" ca="1" si="3"/>
      </c>
    </row>
    <row r="19" spans="1:6" x14ac:dyDescent="0.3">
      <c r="A19">
        <v>16</v>
      </c>
      <c r="B19" s="4">
        <f t="shared" si="0"/>
      </c>
      <c r="C19" s="4">
        <f t="shared" ca="1" si="1"/>
      </c>
      <c r="D19" s="4">
        <f t="shared" si="2"/>
      </c>
      <c r="E19" s="4">
        <v>7</v>
      </c>
      <c r="F19" s="4">
        <f t="shared" ca="1" si="3"/>
      </c>
    </row>
    <row r="20" spans="1:6" x14ac:dyDescent="0.3">
      <c r="A20">
        <v>17</v>
      </c>
      <c r="B20" s="4">
        <f t="shared" si="0"/>
      </c>
      <c r="C20" s="4">
        <f t="shared" ca="1" si="1"/>
      </c>
      <c r="D20" s="4">
        <f t="shared" si="2"/>
      </c>
      <c r="E20" s="4">
        <v>7</v>
      </c>
      <c r="F20" s="4">
        <f t="shared" ca="1" si="3"/>
      </c>
    </row>
    <row r="21" spans="1:6" x14ac:dyDescent="0.3">
      <c r="A21">
        <v>18</v>
      </c>
      <c r="B21" s="4">
        <f t="shared" si="0"/>
      </c>
      <c r="C21" s="4">
        <f t="shared" ca="1" si="1"/>
      </c>
      <c r="D21" s="4">
        <f t="shared" si="2"/>
      </c>
      <c r="E21" s="4">
        <v>7</v>
      </c>
      <c r="F21" s="4">
        <f t="shared" ca="1" si="3"/>
      </c>
    </row>
    <row r="22" spans="1:6" x14ac:dyDescent="0.3">
      <c r="A22">
        <v>19</v>
      </c>
      <c r="B22" s="4">
        <f t="shared" si="0"/>
      </c>
      <c r="C22" s="4">
        <f t="shared" ca="1" si="1"/>
      </c>
      <c r="D22" s="4">
        <f t="shared" si="2"/>
      </c>
      <c r="E22" s="4">
        <v>7</v>
      </c>
      <c r="F22" s="4">
        <f t="shared" ca="1" si="3"/>
      </c>
    </row>
    <row r="23" spans="1:6" x14ac:dyDescent="0.3">
      <c r="A23">
        <v>20</v>
      </c>
      <c r="B23" s="4">
        <f t="shared" si="0"/>
      </c>
      <c r="C23" s="4">
        <f t="shared" ca="1" si="1"/>
      </c>
      <c r="D23" s="4">
        <f t="shared" si="2"/>
      </c>
      <c r="E23" s="4">
        <v>7</v>
      </c>
      <c r="F23" s="4">
        <f t="shared" ca="1" si="3"/>
      </c>
    </row>
    <row r="24" spans="1:6" x14ac:dyDescent="0.3">
      <c r="A24">
        <v>21</v>
      </c>
      <c r="B24" s="4">
        <f t="shared" si="0"/>
      </c>
      <c r="C24" s="4">
        <f t="shared" ca="1" si="1"/>
      </c>
      <c r="D24" s="4">
        <f t="shared" si="2"/>
      </c>
      <c r="E24" s="4">
        <v>7</v>
      </c>
      <c r="F24" s="4">
        <f t="shared" ca="1" si="3"/>
      </c>
    </row>
    <row r="25" spans="1:6" x14ac:dyDescent="0.3">
      <c r="A25">
        <v>22</v>
      </c>
      <c r="B25" s="4">
        <f t="shared" si="0"/>
      </c>
      <c r="C25" s="4">
        <f t="shared" ca="1" si="1"/>
      </c>
      <c r="D25" s="4">
        <f t="shared" si="2"/>
      </c>
      <c r="E25" s="4">
        <v>7</v>
      </c>
      <c r="F25" s="4">
        <f t="shared" ca="1" si="3"/>
      </c>
    </row>
    <row r="26" spans="1:6" x14ac:dyDescent="0.3">
      <c r="A26">
        <v>23</v>
      </c>
      <c r="B26" s="4">
        <f t="shared" si="0"/>
      </c>
      <c r="C26" s="4">
        <f t="shared" ca="1" si="1"/>
      </c>
      <c r="D26" s="4">
        <f t="shared" si="2"/>
      </c>
      <c r="E26" s="4">
        <v>7</v>
      </c>
      <c r="F26" s="4">
        <f t="shared" ca="1" si="3"/>
      </c>
    </row>
    <row r="27" spans="1:6" x14ac:dyDescent="0.3">
      <c r="A27">
        <v>24</v>
      </c>
      <c r="B27" s="4">
        <f t="shared" si="0"/>
      </c>
      <c r="C27" s="4">
        <f t="shared" ca="1" si="1"/>
      </c>
      <c r="D27" s="4">
        <f t="shared" si="2"/>
      </c>
      <c r="E27" s="4">
        <v>7</v>
      </c>
      <c r="F27" s="4">
        <f t="shared" ca="1" si="3"/>
      </c>
    </row>
    <row r="28" spans="1:6" x14ac:dyDescent="0.3">
      <c r="A28">
        <v>25</v>
      </c>
      <c r="B28" s="4">
        <f t="shared" si="0"/>
      </c>
      <c r="C28" s="4">
        <f t="shared" ca="1" si="1"/>
      </c>
      <c r="D28" s="4">
        <f t="shared" si="2"/>
      </c>
      <c r="E28" s="4">
        <v>7</v>
      </c>
      <c r="F28" s="4">
        <f t="shared" ca="1" si="3"/>
      </c>
    </row>
    <row r="29" spans="1:6" x14ac:dyDescent="0.3">
      <c r="A29">
        <v>26</v>
      </c>
      <c r="B29" s="4">
        <f t="shared" si="0"/>
      </c>
      <c r="C29" s="4">
        <f t="shared" ca="1" si="1"/>
      </c>
      <c r="D29" s="4">
        <f t="shared" si="2"/>
      </c>
      <c r="E29" s="4">
        <v>7</v>
      </c>
      <c r="F29" s="4">
        <f t="shared" ca="1" si="3"/>
      </c>
    </row>
    <row r="30" spans="1:6" x14ac:dyDescent="0.3">
      <c r="A30">
        <v>27</v>
      </c>
      <c r="B30" s="4">
        <f t="shared" si="0"/>
      </c>
      <c r="C30" s="4">
        <f t="shared" ca="1" si="1"/>
      </c>
      <c r="D30" s="4">
        <f t="shared" si="2"/>
      </c>
      <c r="E30" s="4">
        <v>7</v>
      </c>
      <c r="F30" s="4">
        <f t="shared" ca="1" si="3"/>
      </c>
    </row>
    <row r="31" spans="1:6" x14ac:dyDescent="0.3">
      <c r="A31">
        <v>28</v>
      </c>
      <c r="B31" s="4">
        <f t="shared" si="0"/>
      </c>
      <c r="C31" s="4">
        <f t="shared" ca="1" si="1"/>
      </c>
      <c r="D31" s="4">
        <f t="shared" ref="D31:D33" si="4">COUNTIF(Нумерация_щитов_2,A31)</f>
      </c>
      <c r="E31" s="4">
        <v>7</v>
      </c>
      <c r="F31" s="4">
        <f t="shared" ca="1" si="3"/>
      </c>
    </row>
    <row r="32" spans="1:6" x14ac:dyDescent="0.3">
      <c r="A32">
        <v>29</v>
      </c>
      <c r="B32" s="4">
        <f t="shared" si="0"/>
      </c>
      <c r="C32" s="4">
        <f t="shared" ca="1" si="1"/>
      </c>
      <c r="D32" s="4">
        <f t="shared" si="4"/>
      </c>
      <c r="E32" s="4">
        <v>7</v>
      </c>
      <c r="F32" s="4">
        <f t="shared" ca="1" si="3"/>
      </c>
    </row>
    <row r="33" spans="1:6" x14ac:dyDescent="0.3">
      <c r="A33">
        <v>30</v>
      </c>
      <c r="B33" s="4">
        <f t="shared" si="0"/>
      </c>
      <c r="C33" s="4">
        <f t="shared" ca="1" si="1"/>
      </c>
      <c r="D33" s="4">
        <f t="shared" si="4"/>
      </c>
      <c r="E33" s="4">
        <v>7</v>
      </c>
      <c r="F33" s="4">
        <f t="shared" ca="1" si="3"/>
      </c>
    </row>
    <row r="34" spans="1:6" x14ac:dyDescent="0.3">
      <c r="B34" s="4" t="s">
        <v>100</v>
      </c>
      <c r="C34" s="4">
        <f ca="1">CELL("адрес",INDEX(Кабельный_журнал!P5,1,1))</f>
      </c>
      <c r="D34" s="4">
        <f>MAX(Кабельный_журнал!$L$5:$L$999)</f>
      </c>
      <c r="E34" s="4">
        <v>13</v>
      </c>
      <c r="F34" s="4">
        <f ca="1">CELL("адрес",OFFSET(Кабельный_журнал!P5,D34-1,E34-1))</f>
      </c>
    </row>
  </sheetData>
  <conditionalFormatting sqref="B3:F3">
    <cfRule type="expression" dxfId="9749" priority="3">
      <formula>_xlfn.ISFORMULA(B3)=TRUE</formula>
    </cfRule>
  </conditionalFormatting>
  <conditionalFormatting sqref="B4:F34">
    <cfRule type="expression" dxfId="9748" priority="1">
      <formula>_xlfn.ISFORMULA(B4)=TRUE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F19E1-8E68-4EB7-AD9B-1D04AF3B8205}">
  <sheetPr>
    <tabColor rgb="FFA6A6A6"/>
  </sheetPr>
  <dimension ref="B2:U4000"/>
  <sheetViews>
    <sheetView topLeftCell="A256" workbookViewId="0">
      <selection activeCell="H271" sqref="H271:H281"/>
    </sheetView>
  </sheetViews>
  <sheetFormatPr defaultColWidth="9.109375" defaultRowHeight="13.8" x14ac:dyDescent="0.25"/>
  <cols>
    <col min="1" max="6" width="9.109375" style="21"/>
    <col min="7" max="7" width="42.33203125" style="21" bestFit="1" customWidth="1"/>
    <col min="8" max="16384" width="9.109375" style="21"/>
  </cols>
  <sheetData>
    <row r="2" spans="2:21" x14ac:dyDescent="0.25">
      <c r="B2" s="20">
        <f>Разбивка_по_щитам!B2</f>
      </c>
      <c r="C2" s="20">
        <f>Разбивка_по_щитам!C2</f>
      </c>
      <c r="D2" s="20">
        <f>Разбивка_по_щитам!F2</f>
      </c>
      <c r="E2" s="20">
        <f>Разбивка_по_щитам!H2</f>
      </c>
      <c r="F2" s="20">
        <f>Разбивка_по_щитам!I2</f>
      </c>
      <c r="G2" s="20">
        <f>Разбивка_по_щитам!J2</f>
      </c>
      <c r="H2" s="20">
        <f>Разбивка_по_щитам!K2</f>
      </c>
      <c r="I2" s="20">
        <f>Разбивка_по_щитам!L2</f>
      </c>
      <c r="J2" s="20">
        <f>Разбивка_по_щитам!M2</f>
      </c>
      <c r="K2" s="20">
        <f>Разбивка_по_щитам!N2</f>
      </c>
      <c r="L2" s="20"/>
      <c r="M2" s="20">
        <f>Разбивка_по_щитам!P2</f>
      </c>
      <c r="N2" s="20"/>
      <c r="P2" s="20">
        <f>Нагрузка_щитов!U5</f>
      </c>
      <c r="Q2" s="22">
        <f>Нагрузка_щитов!V5</f>
      </c>
      <c r="R2" s="20">
        <f>Нагрузка_щитов!W5</f>
      </c>
      <c r="S2" s="20">
        <f>Нагрузка_щитов!X5</f>
      </c>
      <c r="T2" s="22">
        <f>Нагрузка_щитов!Y5</f>
      </c>
      <c r="U2" s="20">
        <f>Нагрузка_щитов!Z5</f>
      </c>
    </row>
    <row r="3" spans="2:21" x14ac:dyDescent="0.25">
      <c r="B3" s="20">
        <f>Разбивка_по_щитам!B3</f>
      </c>
      <c r="C3" s="20">
        <f>Разбивка_по_щитам!C3</f>
      </c>
      <c r="D3" s="20">
        <f>Разбивка_по_щитам!F3</f>
      </c>
      <c r="E3" s="20">
        <f>Разбивка_по_щитам!H3</f>
      </c>
      <c r="F3" s="20">
        <f>Разбивка_по_щитам!I3</f>
      </c>
      <c r="G3" s="20">
        <f>Разбивка_по_щитам!J3</f>
        <v/>
      </c>
      <c r="H3" s="20">
        <f>Разбивка_по_щитам!K3</f>
        <v/>
      </c>
      <c r="I3" s="20">
        <f>Разбивка_по_щитам!L3</f>
        <v/>
      </c>
      <c r="J3" s="20">
        <f>Разбивка_по_щитам!M3</f>
        <v/>
      </c>
      <c r="K3" s="20">
        <f>Разбивка_по_щитам!N3</f>
        <v/>
      </c>
      <c r="L3" s="20"/>
      <c r="M3" s="20">
        <f>Разбивка_по_щитам!P3</f>
        <v/>
      </c>
      <c r="N3" s="20"/>
      <c r="P3" s="20">
        <f>Нагрузка_щитов!U6</f>
      </c>
      <c r="Q3" s="22">
        <f>Нагрузка_щитов!V6</f>
      </c>
      <c r="R3" s="20">
        <f>Нагрузка_щитов!W6</f>
      </c>
      <c r="S3" s="20">
        <f>Нагрузка_щитов!X6</f>
      </c>
      <c r="T3" s="22">
        <f>Нагрузка_щитов!Y6</f>
      </c>
      <c r="U3" s="20">
        <f>Нагрузка_щитов!Z6</f>
      </c>
    </row>
    <row r="4" spans="2:21" x14ac:dyDescent="0.25">
      <c r="B4" s="20">
        <f>Разбивка_по_щитам!B4</f>
      </c>
      <c r="C4" s="20">
        <f>Разбивка_по_щитам!C4</f>
      </c>
      <c r="D4" s="20">
        <f>Разбивка_по_щитам!F4</f>
      </c>
      <c r="E4" s="20">
        <f>Разбивка_по_щитам!H4</f>
      </c>
      <c r="F4" s="20">
        <f>Разбивка_по_щитам!I4</f>
      </c>
      <c r="G4" s="20">
        <f>Разбивка_по_щитам!J4</f>
        <v/>
      </c>
      <c r="H4" s="20">
        <f>Разбивка_по_щитам!K4</f>
        <v/>
      </c>
      <c r="I4" s="20">
        <f>Разбивка_по_щитам!L4</f>
        <v/>
      </c>
      <c r="J4" s="20">
        <f>Разбивка_по_щитам!M4</f>
        <v/>
      </c>
      <c r="K4" s="20">
        <f>Разбивка_по_щитам!N4</f>
        <v/>
      </c>
      <c r="L4" s="20"/>
      <c r="M4" s="20">
        <f>Разбивка_по_щитам!P4</f>
        <v/>
      </c>
      <c r="N4" s="20"/>
      <c r="P4" s="20">
        <f>Нагрузка_щитов!U7</f>
      </c>
      <c r="Q4" s="22">
        <f>Нагрузка_щитов!V7</f>
      </c>
      <c r="R4" s="20">
        <f>Нагрузка_щитов!W7</f>
      </c>
      <c r="S4" s="20">
        <f>Нагрузка_щитов!X7</f>
      </c>
      <c r="T4" s="22">
        <f>Нагрузка_щитов!Y7</f>
      </c>
      <c r="U4" s="20">
        <f>Нагрузка_щитов!Z7</f>
      </c>
    </row>
    <row r="5" spans="2:21" x14ac:dyDescent="0.25">
      <c r="B5" s="20">
        <f>Разбивка_по_щитам!B5</f>
      </c>
      <c r="C5" s="20">
        <f>Разбивка_по_щитам!C5</f>
      </c>
      <c r="D5" s="20">
        <f>Разбивка_по_щитам!F5</f>
      </c>
      <c r="E5" s="20">
        <f>Разбивка_по_щитам!H5</f>
      </c>
      <c r="F5" s="20">
        <f>Разбивка_по_щитам!I5</f>
      </c>
      <c r="G5" s="20">
        <f>Разбивка_по_щитам!J5</f>
        <v/>
      </c>
      <c r="H5" s="20">
        <f>Разбивка_по_щитам!K5</f>
        <v/>
      </c>
      <c r="I5" s="20">
        <f>Разбивка_по_щитам!L5</f>
        <v/>
      </c>
      <c r="J5" s="20">
        <f>Разбивка_по_щитам!M5</f>
        <v/>
      </c>
      <c r="K5" s="20">
        <f>Разбивка_по_щитам!N5</f>
        <v/>
      </c>
      <c r="L5" s="20"/>
      <c r="M5" s="20">
        <f>Разбивка_по_щитам!P5</f>
        <v/>
      </c>
      <c r="N5" s="20"/>
      <c r="P5" s="20">
        <f>Нагрузка_щитов!U8</f>
      </c>
      <c r="Q5" s="246">
        <f>Нагрузка_щитов!V8</f>
      </c>
      <c r="R5" s="247"/>
      <c r="S5" s="247"/>
      <c r="T5" s="247"/>
      <c r="U5" s="248"/>
    </row>
    <row r="6" spans="2:21" x14ac:dyDescent="0.25">
      <c r="B6" s="20">
        <f>Разбивка_по_щитам!B6</f>
      </c>
      <c r="C6" s="20">
        <f>Разбивка_по_щитам!C6</f>
      </c>
      <c r="D6" s="20">
        <f>Разбивка_по_щитам!F6</f>
      </c>
      <c r="E6" s="20">
        <f>Разбивка_по_щитам!H6</f>
      </c>
      <c r="F6" s="20">
        <f>Разбивка_по_щитам!I6</f>
      </c>
      <c r="G6" s="20">
        <f>Разбивка_по_щитам!J6</f>
        <v/>
      </c>
      <c r="H6" s="20">
        <f>Разбивка_по_щитам!K6</f>
        <v/>
      </c>
      <c r="I6" s="20">
        <f>Разбивка_по_щитам!L6</f>
        <v/>
      </c>
      <c r="J6" s="20">
        <f>Разбивка_по_щитам!M6</f>
        <v/>
      </c>
      <c r="K6" s="20">
        <f>Разбивка_по_щитам!N6</f>
        <v/>
      </c>
      <c r="L6" s="20"/>
      <c r="M6" s="20">
        <f>Разбивка_по_щитам!P6</f>
        <v/>
      </c>
      <c r="N6" s="20"/>
      <c r="P6" s="20">
        <f>Нагрузка_щитов!U9</f>
      </c>
      <c r="Q6" s="246">
        <f>Нагрузка_щитов!V9</f>
      </c>
      <c r="R6" s="247"/>
      <c r="S6" s="247"/>
      <c r="T6" s="247"/>
      <c r="U6" s="248"/>
    </row>
    <row r="7" spans="2:21" x14ac:dyDescent="0.25">
      <c r="B7" s="20">
        <f>Разбивка_по_щитам!B7</f>
      </c>
      <c r="C7" s="20">
        <f>Разбивка_по_щитам!C7</f>
      </c>
      <c r="D7" s="20">
        <f>Разбивка_по_щитам!F7</f>
      </c>
      <c r="E7" s="20">
        <f>Разбивка_по_щитам!H7</f>
      </c>
      <c r="F7" s="20">
        <f>Разбивка_по_щитам!I7</f>
      </c>
      <c r="G7" s="20">
        <f>Разбивка_по_щитам!J7</f>
        <v/>
      </c>
      <c r="H7" s="20">
        <f>Разбивка_по_щитам!K7</f>
        <v/>
      </c>
      <c r="I7" s="20">
        <f>Разбивка_по_щитам!L7</f>
        <v/>
      </c>
      <c r="J7" s="20">
        <f>Разбивка_по_щитам!M7</f>
        <v/>
      </c>
      <c r="K7" s="20">
        <f>Разбивка_по_щитам!N7</f>
        <v/>
      </c>
      <c r="L7" s="20"/>
      <c r="M7" s="20">
        <f>Разбивка_по_щитам!P7</f>
        <v/>
      </c>
      <c r="N7" s="20"/>
      <c r="P7" s="20"/>
      <c r="Q7" s="20"/>
      <c r="R7" s="20"/>
      <c r="S7" s="20"/>
      <c r="T7" s="20"/>
      <c r="U7" s="20"/>
    </row>
    <row r="8" spans="2:21" x14ac:dyDescent="0.25">
      <c r="B8" s="20">
        <f>Разбивка_по_щитам!B8</f>
      </c>
      <c r="C8" s="20">
        <f>Разбивка_по_щитам!C8</f>
      </c>
      <c r="D8" s="20">
        <f>Разбивка_по_щитам!F8</f>
      </c>
      <c r="E8" s="20">
        <f>Разбивка_по_щитам!H8</f>
      </c>
      <c r="F8" s="20">
        <f>Разбивка_по_щитам!I8</f>
      </c>
      <c r="G8" s="20">
        <f>Разбивка_по_щитам!J8</f>
        <v/>
      </c>
      <c r="H8" s="20">
        <f>Разбивка_по_щитам!K8</f>
        <v/>
      </c>
      <c r="I8" s="20">
        <f>Разбивка_по_щитам!L8</f>
        <v/>
      </c>
      <c r="J8" s="20">
        <f>Разбивка_по_щитам!M8</f>
        <v/>
      </c>
      <c r="K8" s="20">
        <f>Разбивка_по_щитам!N8</f>
        <v/>
      </c>
      <c r="L8" s="20"/>
      <c r="M8" s="20">
        <f>Разбивка_по_щитам!P8</f>
        <v/>
      </c>
      <c r="N8" s="20"/>
      <c r="P8" s="20"/>
      <c r="Q8" s="20"/>
      <c r="R8" s="20"/>
      <c r="S8" s="20"/>
      <c r="T8" s="22"/>
      <c r="U8" s="20"/>
    </row>
    <row r="9" spans="2:21" x14ac:dyDescent="0.25">
      <c r="B9" s="20">
        <f>Разбивка_по_щитам!B9</f>
      </c>
      <c r="C9" s="20">
        <f>Разбивка_по_щитам!C9</f>
      </c>
      <c r="D9" s="20">
        <f>Разбивка_по_щитам!F9</f>
      </c>
      <c r="E9" s="20">
        <f>Разбивка_по_щитам!H9</f>
      </c>
      <c r="F9" s="20">
        <f>Разбивка_по_щитам!I9</f>
      </c>
      <c r="G9" s="20">
        <f>Разбивка_по_щитам!J9</f>
        <v/>
      </c>
      <c r="H9" s="20">
        <f>Разбивка_по_щитам!K9</f>
        <v/>
      </c>
      <c r="I9" s="20">
        <f>Разбивка_по_щитам!L9</f>
        <v/>
      </c>
      <c r="J9" s="20">
        <f>Разбивка_по_щитам!M9</f>
        <v/>
      </c>
      <c r="K9" s="20">
        <f>Разбивка_по_щитам!N9</f>
        <v/>
      </c>
      <c r="L9" s="20"/>
      <c r="M9" s="20">
        <f>Разбивка_по_щитам!P9</f>
        <v/>
      </c>
      <c r="N9" s="20"/>
      <c r="P9" s="20">
        <f>Нагрузка_щитов!U14</f>
      </c>
      <c r="Q9" s="22">
        <f>Нагрузка_щитов!V14</f>
      </c>
      <c r="R9" s="20">
        <f>Нагрузка_щитов!W14</f>
      </c>
      <c r="S9" s="20">
        <f>Нагрузка_щитов!X14</f>
      </c>
      <c r="T9" s="22">
        <f>Нагрузка_щитов!Y14</f>
      </c>
      <c r="U9" s="20">
        <f>Нагрузка_щитов!Z14</f>
      </c>
    </row>
    <row r="10" spans="2:21" x14ac:dyDescent="0.25">
      <c r="B10" s="20">
        <f>Разбивка_по_щитам!B10</f>
      </c>
      <c r="C10" s="20">
        <f>Разбивка_по_щитам!C10</f>
      </c>
      <c r="D10" s="20">
        <f>Разбивка_по_щитам!F10</f>
      </c>
      <c r="E10" s="20">
        <f>Разбивка_по_щитам!H10</f>
      </c>
      <c r="F10" s="20">
        <f>Разбивка_по_щитам!I10</f>
      </c>
      <c r="G10" s="20">
        <f>Разбивка_по_щитам!J10</f>
        <v/>
      </c>
      <c r="H10" s="20">
        <f>Разбивка_по_щитам!K10</f>
        <v/>
      </c>
      <c r="I10" s="20">
        <f>Разбивка_по_щитам!L10</f>
        <v/>
      </c>
      <c r="J10" s="20">
        <f>Разбивка_по_щитам!M10</f>
        <v/>
      </c>
      <c r="K10" s="20">
        <f>Разбивка_по_щитам!N10</f>
        <v/>
      </c>
      <c r="L10" s="20"/>
      <c r="M10" s="20">
        <f>Разбивка_по_щитам!P10</f>
        <v/>
      </c>
      <c r="N10" s="20"/>
      <c r="P10" s="20">
        <f>Нагрузка_щитов!U15</f>
      </c>
      <c r="Q10" s="22">
        <f>Нагрузка_щитов!V15</f>
      </c>
      <c r="R10" s="20">
        <f>Нагрузка_щитов!W15</f>
      </c>
      <c r="S10" s="20">
        <f>Нагрузка_щитов!X15</f>
      </c>
      <c r="T10" s="22">
        <f>Нагрузка_щитов!Y15</f>
      </c>
      <c r="U10" s="20">
        <f>Нагрузка_щитов!Z15</f>
      </c>
    </row>
    <row r="11" spans="2:21" x14ac:dyDescent="0.25">
      <c r="B11" s="20">
        <f>Разбивка_по_щитам!B11</f>
      </c>
      <c r="C11" s="20">
        <f>Разбивка_по_щитам!C11</f>
      </c>
      <c r="D11" s="20">
        <f>Разбивка_по_щитам!F11</f>
      </c>
      <c r="E11" s="20">
        <f>Разбивка_по_щитам!H11</f>
      </c>
      <c r="F11" s="20">
        <f>Разбивка_по_щитам!I11</f>
      </c>
      <c r="G11" s="20">
        <f>Разбивка_по_щитам!J11</f>
        <v/>
      </c>
      <c r="H11" s="20">
        <f>Разбивка_по_щитам!K11</f>
        <v/>
      </c>
      <c r="I11" s="20">
        <f>Разбивка_по_щитам!L11</f>
        <v/>
      </c>
      <c r="J11" s="20">
        <f>Разбивка_по_щитам!M11</f>
        <v/>
      </c>
      <c r="K11" s="20">
        <f>Разбивка_по_щитам!N11</f>
        <v/>
      </c>
      <c r="L11" s="20"/>
      <c r="M11" s="20">
        <f>Разбивка_по_щитам!P11</f>
        <v/>
      </c>
      <c r="N11" s="20"/>
      <c r="P11" s="20">
        <f>Нагрузка_щитов!U16</f>
      </c>
      <c r="Q11" s="22">
        <f>Нагрузка_щитов!V16</f>
      </c>
      <c r="R11" s="20">
        <f>Нагрузка_щитов!W16</f>
      </c>
      <c r="S11" s="20">
        <f>Нагрузка_щитов!X16</f>
      </c>
      <c r="T11" s="22">
        <f>Нагрузка_щитов!Y16</f>
      </c>
      <c r="U11" s="20">
        <f>Нагрузка_щитов!Z16</f>
      </c>
    </row>
    <row r="12" spans="2:21" x14ac:dyDescent="0.25">
      <c r="B12" s="20">
        <f>Разбивка_по_щитам!B12</f>
      </c>
      <c r="C12" s="20">
        <f>Разбивка_по_щитам!C12</f>
      </c>
      <c r="D12" s="20">
        <f>Разбивка_по_щитам!F12</f>
      </c>
      <c r="E12" s="20">
        <f>Разбивка_по_щитам!H12</f>
      </c>
      <c r="F12" s="20">
        <f>Разбивка_по_щитам!I12</f>
      </c>
      <c r="G12" s="20">
        <f>Разбивка_по_щитам!J12</f>
        <v/>
      </c>
      <c r="H12" s="20">
        <f>Разбивка_по_щитам!K12</f>
        <v/>
      </c>
      <c r="I12" s="20">
        <f>Разбивка_по_щитам!L12</f>
        <v/>
      </c>
      <c r="J12" s="20">
        <f>Разбивка_по_щитам!M12</f>
        <v/>
      </c>
      <c r="K12" s="20">
        <f>Разбивка_по_щитам!N12</f>
        <v/>
      </c>
      <c r="L12" s="20"/>
      <c r="M12" s="20">
        <f>Разбивка_по_щитам!P12</f>
        <v/>
      </c>
      <c r="N12" s="20"/>
      <c r="P12" s="20">
        <f>Нагрузка_щитов!U17</f>
      </c>
      <c r="Q12" s="246">
        <f>Нагрузка_щитов!V17</f>
      </c>
      <c r="R12" s="247"/>
      <c r="S12" s="247"/>
      <c r="T12" s="247"/>
      <c r="U12" s="248"/>
    </row>
    <row r="13" spans="2:21" x14ac:dyDescent="0.25">
      <c r="B13" s="20">
        <f>Разбивка_по_щитам!B13</f>
      </c>
      <c r="C13" s="20">
        <f>Разбивка_по_щитам!C13</f>
      </c>
      <c r="D13" s="20">
        <f>Разбивка_по_щитам!F13</f>
      </c>
      <c r="E13" s="20">
        <f>Разбивка_по_щитам!H13</f>
      </c>
      <c r="F13" s="20">
        <f>Разбивка_по_щитам!I13</f>
      </c>
      <c r="G13" s="20">
        <f>Разбивка_по_щитам!J13</f>
        <v/>
      </c>
      <c r="H13" s="20">
        <f>Разбивка_по_щитам!K13</f>
        <v/>
      </c>
      <c r="I13" s="20">
        <f>Разбивка_по_щитам!L13</f>
        <v/>
      </c>
      <c r="J13" s="20">
        <f>Разбивка_по_щитам!M13</f>
        <v/>
      </c>
      <c r="K13" s="20">
        <f>Разбивка_по_щитам!N13</f>
        <v/>
      </c>
      <c r="L13" s="20"/>
      <c r="M13" s="20">
        <f>Разбивка_по_щитам!P13</f>
        <v/>
      </c>
      <c r="N13" s="20"/>
      <c r="P13" s="20">
        <f>Нагрузка_щитов!U18</f>
      </c>
      <c r="Q13" s="246">
        <f>Нагрузка_щитов!V18</f>
      </c>
      <c r="R13" s="247"/>
      <c r="S13" s="247"/>
      <c r="T13" s="247"/>
      <c r="U13" s="248"/>
    </row>
    <row r="14" spans="2:21" x14ac:dyDescent="0.25">
      <c r="B14" s="20">
        <f>Разбивка_по_щитам!B14</f>
      </c>
      <c r="C14" s="20">
        <f>Разбивка_по_щитам!C14</f>
      </c>
      <c r="D14" s="20">
        <f>Разбивка_по_щитам!F14</f>
      </c>
      <c r="E14" s="20">
        <f>Разбивка_по_щитам!H14</f>
      </c>
      <c r="F14" s="20">
        <f>Разбивка_по_щитам!I14</f>
      </c>
      <c r="G14" s="20">
        <f>Разбивка_по_щитам!J14</f>
        <v/>
      </c>
      <c r="H14" s="20">
        <f>Разбивка_по_щитам!K14</f>
        <v/>
      </c>
      <c r="I14" s="20">
        <f>Разбивка_по_щитам!L14</f>
        <v/>
      </c>
      <c r="J14" s="20">
        <f>Разбивка_по_щитам!M14</f>
        <v/>
      </c>
      <c r="K14" s="20">
        <f>Разбивка_по_щитам!N14</f>
        <v/>
      </c>
      <c r="L14" s="20"/>
      <c r="M14" s="20">
        <f>Разбивка_по_щитам!P14</f>
        <v/>
      </c>
      <c r="N14" s="20"/>
      <c r="P14" s="20"/>
      <c r="Q14" s="20"/>
      <c r="R14" s="20"/>
      <c r="S14" s="20"/>
      <c r="T14" s="20"/>
      <c r="U14" s="20"/>
    </row>
    <row r="15" spans="2:21" x14ac:dyDescent="0.25">
      <c r="B15" s="20">
        <f>Разбивка_по_щитам!B15</f>
      </c>
      <c r="C15" s="20">
        <f>Разбивка_по_щитам!C15</f>
      </c>
      <c r="D15" s="20">
        <f>Разбивка_по_щитам!F15</f>
      </c>
      <c r="E15" s="20">
        <f>Разбивка_по_щитам!H15</f>
      </c>
      <c r="F15" s="20">
        <f>Разбивка_по_щитам!I15</f>
      </c>
      <c r="G15" s="20">
        <f>Разбивка_по_щитам!J15</f>
        <v/>
      </c>
      <c r="H15" s="20">
        <f>Разбивка_по_щитам!K15</f>
        <v/>
      </c>
      <c r="I15" s="20">
        <f>Разбивка_по_щитам!L15</f>
        <v/>
      </c>
      <c r="J15" s="20">
        <f>Разбивка_по_щитам!M15</f>
        <v/>
      </c>
      <c r="K15" s="20">
        <f>Разбивка_по_щитам!N15</f>
        <v/>
      </c>
      <c r="L15" s="20"/>
      <c r="M15" s="20">
        <f>Разбивка_по_щитам!P15</f>
        <v/>
      </c>
      <c r="N15" s="20"/>
      <c r="P15" s="20"/>
      <c r="Q15" s="20"/>
      <c r="R15" s="20"/>
      <c r="S15" s="20"/>
      <c r="T15" s="20"/>
      <c r="U15" s="20"/>
    </row>
    <row r="16" spans="2:21" x14ac:dyDescent="0.25">
      <c r="B16" s="20">
        <f>Разбивка_по_щитам!B16</f>
      </c>
      <c r="C16" s="20">
        <f>Разбивка_по_щитам!C16</f>
      </c>
      <c r="D16" s="20">
        <f>Разбивка_по_щитам!F16</f>
      </c>
      <c r="E16" s="20">
        <f>Разбивка_по_щитам!H16</f>
      </c>
      <c r="F16" s="20">
        <f>Разбивка_по_щитам!I16</f>
      </c>
      <c r="G16" s="20">
        <f>Разбивка_по_щитам!J16</f>
        <v/>
      </c>
      <c r="H16" s="20">
        <f>Разбивка_по_щитам!K16</f>
        <v/>
      </c>
      <c r="I16" s="20">
        <f>Разбивка_по_щитам!L16</f>
        <v/>
      </c>
      <c r="J16" s="20">
        <f>Разбивка_по_щитам!M16</f>
        <v/>
      </c>
      <c r="K16" s="20">
        <f>Разбивка_по_щитам!N16</f>
        <v/>
      </c>
      <c r="L16" s="20"/>
      <c r="M16" s="20">
        <f>Разбивка_по_щитам!P16</f>
        <v/>
      </c>
      <c r="N16" s="20"/>
      <c r="P16" s="20">
        <f>Нагрузка_щитов!U23</f>
      </c>
      <c r="Q16" s="20">
        <f>Нагрузка_щитов!V23</f>
      </c>
      <c r="R16" s="20">
        <f>Нагрузка_щитов!W23</f>
      </c>
      <c r="S16" s="20">
        <f>Нагрузка_щитов!X23</f>
      </c>
      <c r="T16" s="20">
        <f>Нагрузка_щитов!Y23</f>
      </c>
      <c r="U16" s="20">
        <f>Нагрузка_щитов!Z23</f>
      </c>
    </row>
    <row r="17" spans="2:21" x14ac:dyDescent="0.25">
      <c r="B17" s="20">
        <f>Разбивка_по_щитам!B17</f>
      </c>
      <c r="C17" s="20">
        <f>Разбивка_по_щитам!C17</f>
      </c>
      <c r="D17" s="20">
        <f>Разбивка_по_щитам!F17</f>
      </c>
      <c r="E17" s="20">
        <f>Разбивка_по_щитам!H17</f>
      </c>
      <c r="F17" s="20">
        <f>Разбивка_по_щитам!I17</f>
      </c>
      <c r="G17" s="20">
        <f>Разбивка_по_щитам!J17</f>
        <v/>
      </c>
      <c r="H17" s="20">
        <f>Разбивка_по_щитам!K17</f>
        <v/>
      </c>
      <c r="I17" s="20">
        <f>Разбивка_по_щитам!L17</f>
        <v/>
      </c>
      <c r="J17" s="20">
        <f>Разбивка_по_щитам!M17</f>
        <v/>
      </c>
      <c r="K17" s="20">
        <f>Разбивка_по_щитам!N17</f>
        <v/>
      </c>
      <c r="L17" s="20"/>
      <c r="M17" s="20">
        <f>Разбивка_по_щитам!P17</f>
        <v/>
      </c>
      <c r="N17" s="20"/>
      <c r="P17" s="20">
        <f>Нагрузка_щитов!U24</f>
      </c>
      <c r="Q17" s="20">
        <f>Нагрузка_щитов!V24</f>
      </c>
      <c r="R17" s="20">
        <f>Нагрузка_щитов!W24</f>
      </c>
      <c r="S17" s="20">
        <f>Нагрузка_щитов!X24</f>
      </c>
      <c r="T17" s="20">
        <f>Нагрузка_щитов!Y24</f>
      </c>
      <c r="U17" s="20">
        <f>Нагрузка_щитов!Z24</f>
      </c>
    </row>
    <row r="18" spans="2:21" x14ac:dyDescent="0.25">
      <c r="B18" s="20">
        <f>Разбивка_по_щитам!B18</f>
      </c>
      <c r="C18" s="20">
        <f>Разбивка_по_щитам!C18</f>
      </c>
      <c r="D18" s="20">
        <f>Разбивка_по_щитам!F18</f>
      </c>
      <c r="E18" s="20">
        <f>Разбивка_по_щитам!H18</f>
      </c>
      <c r="F18" s="20">
        <f>Разбивка_по_щитам!I18</f>
      </c>
      <c r="G18" s="20">
        <f>Разбивка_по_щитам!J18</f>
        <v/>
      </c>
      <c r="H18" s="20">
        <f>Разбивка_по_щитам!K18</f>
        <v/>
      </c>
      <c r="I18" s="20">
        <f>Разбивка_по_щитам!L18</f>
        <v/>
      </c>
      <c r="J18" s="20">
        <f>Разбивка_по_щитам!M18</f>
        <v/>
      </c>
      <c r="K18" s="20">
        <f>Разбивка_по_щитам!N18</f>
        <v/>
      </c>
      <c r="L18" s="20"/>
      <c r="M18" s="20">
        <f>Разбивка_по_щитам!P18</f>
        <v/>
      </c>
      <c r="N18" s="20"/>
      <c r="P18" s="20">
        <f>Нагрузка_щитов!U25</f>
      </c>
      <c r="Q18" s="20">
        <f>Нагрузка_щитов!V25</f>
      </c>
      <c r="R18" s="20">
        <f>Нагрузка_щитов!W25</f>
      </c>
      <c r="S18" s="20">
        <f>Нагрузка_щитов!X25</f>
      </c>
      <c r="T18" s="20">
        <f>Нагрузка_щитов!Y25</f>
      </c>
      <c r="U18" s="20">
        <f>Нагрузка_щитов!Z25</f>
      </c>
    </row>
    <row r="19" spans="2:21" x14ac:dyDescent="0.25">
      <c r="B19" s="20">
        <f>Разбивка_по_щитам!B19</f>
      </c>
      <c r="C19" s="20">
        <f>Разбивка_по_щитам!C19</f>
      </c>
      <c r="D19" s="20">
        <f>Разбивка_по_щитам!F19</f>
      </c>
      <c r="E19" s="20">
        <f>Разбивка_по_щитам!H19</f>
      </c>
      <c r="F19" s="20">
        <f>Разбивка_по_щитам!I19</f>
      </c>
      <c r="G19" s="20">
        <f>Разбивка_по_щитам!J19</f>
        <v/>
      </c>
      <c r="H19" s="20">
        <f>Разбивка_по_щитам!K19</f>
        <v/>
      </c>
      <c r="I19" s="20">
        <f>Разбивка_по_щитам!L19</f>
        <v/>
      </c>
      <c r="J19" s="20">
        <f>Разбивка_по_щитам!M19</f>
        <v/>
      </c>
      <c r="K19" s="20">
        <f>Разбивка_по_щитам!N19</f>
        <v/>
      </c>
      <c r="L19" s="20"/>
      <c r="M19" s="20">
        <f>Разбивка_по_щитам!P19</f>
        <v/>
      </c>
      <c r="N19" s="20"/>
      <c r="P19" s="20">
        <f>Нагрузка_щитов!U26</f>
      </c>
      <c r="Q19" s="246">
        <f>Нагрузка_щитов!V26</f>
      </c>
      <c r="R19" s="247"/>
      <c r="S19" s="247"/>
      <c r="T19" s="247"/>
      <c r="U19" s="248"/>
    </row>
    <row r="20" spans="2:21" x14ac:dyDescent="0.25">
      <c r="B20" s="20">
        <f>Разбивка_по_щитам!B20</f>
      </c>
      <c r="C20" s="20">
        <f>Разбивка_по_щитам!C20</f>
      </c>
      <c r="D20" s="20">
        <f>Разбивка_по_щитам!F20</f>
      </c>
      <c r="E20" s="20">
        <f>Разбивка_по_щитам!H20</f>
      </c>
      <c r="F20" s="20">
        <f>Разбивка_по_щитам!I20</f>
      </c>
      <c r="G20" s="20">
        <f>Разбивка_по_щитам!J20</f>
        <v/>
      </c>
      <c r="H20" s="20">
        <f>Разбивка_по_щитам!K20</f>
        <v/>
      </c>
      <c r="I20" s="20">
        <f>Разбивка_по_щитам!L20</f>
        <v/>
      </c>
      <c r="J20" s="20">
        <f>Разбивка_по_щитам!M20</f>
        <v/>
      </c>
      <c r="K20" s="20">
        <f>Разбивка_по_щитам!N20</f>
        <v/>
      </c>
      <c r="L20" s="20"/>
      <c r="M20" s="20">
        <f>Разбивка_по_щитам!P20</f>
        <v/>
      </c>
      <c r="N20" s="20"/>
      <c r="P20" s="20">
        <f>Нагрузка_щитов!U27</f>
      </c>
      <c r="Q20" s="246">
        <f>Нагрузка_щитов!V27</f>
      </c>
      <c r="R20" s="247"/>
      <c r="S20" s="247"/>
      <c r="T20" s="247"/>
      <c r="U20" s="248"/>
    </row>
    <row r="21" spans="2:21" x14ac:dyDescent="0.25">
      <c r="B21" s="20">
        <f>Разбивка_по_щитам!B21</f>
      </c>
      <c r="C21" s="20">
        <f>Разбивка_по_щитам!C21</f>
      </c>
      <c r="D21" s="20">
        <f>Разбивка_по_щитам!F21</f>
      </c>
      <c r="E21" s="20">
        <f>Разбивка_по_щитам!H21</f>
      </c>
      <c r="F21" s="20">
        <f>Разбивка_по_щитам!I21</f>
      </c>
      <c r="G21" s="20">
        <f>Разбивка_по_щитам!J21</f>
      </c>
      <c r="H21" s="20">
        <f>Разбивка_по_щитам!K21</f>
      </c>
      <c r="I21" s="20">
        <f>Разбивка_по_щитам!L21</f>
      </c>
      <c r="J21" s="20">
        <f>Разбивка_по_щитам!M21</f>
      </c>
      <c r="K21" s="20">
        <f>Разбивка_по_щитам!N21</f>
      </c>
      <c r="L21" s="20"/>
      <c r="M21" s="20">
        <f>Разбивка_по_щитам!P21</f>
      </c>
      <c r="N21" s="20"/>
      <c r="P21" s="20"/>
      <c r="Q21" s="20"/>
      <c r="R21" s="20"/>
      <c r="S21" s="20"/>
      <c r="T21" s="20"/>
      <c r="U21" s="20"/>
    </row>
    <row r="22" spans="2:21" x14ac:dyDescent="0.25">
      <c r="B22" s="20">
        <f>Разбивка_по_щитам!B22</f>
      </c>
      <c r="C22" s="20">
        <f>Разбивка_по_щитам!C22</f>
      </c>
      <c r="D22" s="20">
        <f>Разбивка_по_щитам!F22</f>
      </c>
      <c r="E22" s="20">
        <f>Разбивка_по_щитам!H22</f>
      </c>
      <c r="F22" s="20">
        <f>Разбивка_по_щитам!I22</f>
      </c>
      <c r="G22" s="20">
        <f>Разбивка_по_щитам!J22</f>
      </c>
      <c r="H22" s="20">
        <f>Разбивка_по_щитам!K22</f>
      </c>
      <c r="I22" s="20">
        <f>Разбивка_по_щитам!L22</f>
      </c>
      <c r="J22" s="20">
        <f>Разбивка_по_щитам!M22</f>
      </c>
      <c r="K22" s="20">
        <f>Разбивка_по_щитам!N22</f>
      </c>
      <c r="L22" s="20"/>
      <c r="M22" s="20">
        <f>Разбивка_по_щитам!P22</f>
      </c>
      <c r="N22" s="20"/>
      <c r="P22" s="20"/>
      <c r="Q22" s="20"/>
      <c r="R22" s="20"/>
      <c r="S22" s="20"/>
      <c r="T22" s="20"/>
      <c r="U22" s="20"/>
    </row>
    <row r="23" spans="2:21" x14ac:dyDescent="0.25">
      <c r="B23" s="20">
        <f>Разбивка_по_щитам!B23</f>
      </c>
      <c r="C23" s="20">
        <f>Разбивка_по_щитам!C23</f>
      </c>
      <c r="D23" s="20">
        <f>Разбивка_по_щитам!F23</f>
      </c>
      <c r="E23" s="20">
        <f>Разбивка_по_щитам!H23</f>
      </c>
      <c r="F23" s="20">
        <f>Разбивка_по_щитам!I23</f>
      </c>
      <c r="G23" s="20">
        <f>Разбивка_по_щитам!J23</f>
      </c>
      <c r="H23" s="20">
        <f>Разбивка_по_щитам!K23</f>
      </c>
      <c r="I23" s="20">
        <f>Разбивка_по_щитам!L23</f>
      </c>
      <c r="J23" s="20">
        <f>Разбивка_по_щитам!M23</f>
      </c>
      <c r="K23" s="20">
        <f>Разбивка_по_щитам!N23</f>
      </c>
      <c r="L23" s="20"/>
      <c r="M23" s="20">
        <f>Разбивка_по_щитам!P23</f>
      </c>
      <c r="N23" s="20"/>
      <c r="P23" s="20"/>
      <c r="Q23" s="20"/>
      <c r="R23" s="20"/>
      <c r="S23" s="20"/>
      <c r="T23" s="20"/>
      <c r="U23" s="20"/>
    </row>
    <row r="24" spans="2:21" x14ac:dyDescent="0.25">
      <c r="B24" s="20">
        <f>Разбивка_по_щитам!B24</f>
      </c>
      <c r="C24" s="20">
        <f>Разбивка_по_щитам!C24</f>
      </c>
      <c r="D24" s="20">
        <f>Разбивка_по_щитам!F24</f>
      </c>
      <c r="E24" s="20">
        <f>Разбивка_по_щитам!H24</f>
      </c>
      <c r="F24" s="20">
        <f>Разбивка_по_щитам!I24</f>
      </c>
      <c r="G24" s="20">
        <f>Разбивка_по_щитам!J24</f>
      </c>
      <c r="H24" s="20">
        <f>Разбивка_по_щитам!K24</f>
      </c>
      <c r="I24" s="20">
        <f>Разбивка_по_щитам!L24</f>
      </c>
      <c r="J24" s="20">
        <f>Разбивка_по_щитам!M24</f>
      </c>
      <c r="K24" s="20">
        <f>Разбивка_по_щитам!N24</f>
      </c>
      <c r="L24" s="20"/>
      <c r="M24" s="20">
        <f>Разбивка_по_щитам!P24</f>
      </c>
      <c r="N24" s="20"/>
      <c r="P24" s="20"/>
      <c r="Q24" s="20"/>
      <c r="R24" s="20"/>
      <c r="S24" s="20"/>
      <c r="T24" s="20"/>
      <c r="U24" s="20"/>
    </row>
    <row r="25" spans="2:21" x14ac:dyDescent="0.25">
      <c r="B25" s="20">
        <f>Разбивка_по_щитам!B25</f>
      </c>
      <c r="C25" s="20">
        <f>Разбивка_по_щитам!C25</f>
      </c>
      <c r="D25" s="20">
        <f>Разбивка_по_щитам!F25</f>
      </c>
      <c r="E25" s="20">
        <f>Разбивка_по_щитам!H25</f>
      </c>
      <c r="F25" s="20">
        <f>Разбивка_по_щитам!I25</f>
      </c>
      <c r="G25" s="20">
        <f>Разбивка_по_щитам!J25</f>
      </c>
      <c r="H25" s="20">
        <f>Разбивка_по_щитам!K25</f>
      </c>
      <c r="I25" s="20">
        <f>Разбивка_по_щитам!L25</f>
      </c>
      <c r="J25" s="20">
        <f>Разбивка_по_щитам!M25</f>
      </c>
      <c r="K25" s="20">
        <f>Разбивка_по_щитам!N25</f>
      </c>
      <c r="L25" s="20"/>
      <c r="M25" s="20">
        <f>Разбивка_по_щитам!P25</f>
      </c>
      <c r="N25" s="20"/>
      <c r="P25" s="20"/>
      <c r="Q25" s="20"/>
      <c r="R25" s="20"/>
      <c r="S25" s="20"/>
      <c r="T25" s="20"/>
      <c r="U25" s="20"/>
    </row>
    <row r="26" spans="2:21" x14ac:dyDescent="0.25">
      <c r="B26" s="20">
        <f>Разбивка_по_щитам!B26</f>
      </c>
      <c r="C26" s="20">
        <f>Разбивка_по_щитам!C26</f>
      </c>
      <c r="D26" s="20">
        <f>Разбивка_по_щитам!F26</f>
      </c>
      <c r="E26" s="20">
        <f>Разбивка_по_щитам!H26</f>
      </c>
      <c r="F26" s="20">
        <f>Разбивка_по_щитам!I26</f>
      </c>
      <c r="G26" s="20">
        <f>Разбивка_по_щитам!J26</f>
      </c>
      <c r="H26" s="20">
        <f>Разбивка_по_щитам!K26</f>
      </c>
      <c r="I26" s="20">
        <f>Разбивка_по_щитам!L26</f>
      </c>
      <c r="J26" s="20">
        <f>Разбивка_по_щитам!M26</f>
      </c>
      <c r="K26" s="20">
        <f>Разбивка_по_щитам!N26</f>
      </c>
      <c r="L26" s="20"/>
      <c r="M26" s="20">
        <f>Разбивка_по_щитам!P26</f>
      </c>
      <c r="N26" s="20"/>
      <c r="P26" s="20"/>
      <c r="Q26" s="20"/>
      <c r="R26" s="20"/>
      <c r="S26" s="20"/>
      <c r="T26" s="20"/>
      <c r="U26" s="20"/>
    </row>
    <row r="27" spans="2:21" x14ac:dyDescent="0.25">
      <c r="B27" s="20">
        <f>Разбивка_по_щитам!B27</f>
      </c>
      <c r="C27" s="20">
        <f>Разбивка_по_щитам!C27</f>
      </c>
      <c r="D27" s="20">
        <f>Разбивка_по_щитам!F27</f>
      </c>
      <c r="E27" s="20">
        <f>Разбивка_по_щитам!H27</f>
      </c>
      <c r="F27" s="20">
        <f>Разбивка_по_щитам!I27</f>
      </c>
      <c r="G27" s="20">
        <f>Разбивка_по_щитам!J27</f>
      </c>
      <c r="H27" s="20">
        <f>Разбивка_по_щитам!K27</f>
      </c>
      <c r="I27" s="20">
        <f>Разбивка_по_щитам!L27</f>
      </c>
      <c r="J27" s="20">
        <f>Разбивка_по_щитам!M27</f>
      </c>
      <c r="K27" s="20">
        <f>Разбивка_по_щитам!N27</f>
      </c>
      <c r="L27" s="20"/>
      <c r="M27" s="20">
        <f>Разбивка_по_щитам!P27</f>
      </c>
      <c r="N27" s="20"/>
      <c r="P27" s="20"/>
      <c r="Q27" s="20"/>
      <c r="R27" s="20"/>
      <c r="S27" s="20"/>
      <c r="T27" s="20"/>
      <c r="U27" s="20"/>
    </row>
    <row r="28" spans="2:21" x14ac:dyDescent="0.25">
      <c r="B28" s="20">
        <f>Разбивка_по_щитам!B28</f>
      </c>
      <c r="C28" s="20">
        <f>Разбивка_по_щитам!C28</f>
      </c>
      <c r="D28" s="20">
        <f>Разбивка_по_щитам!F28</f>
      </c>
      <c r="E28" s="20">
        <f>Разбивка_по_щитам!H28</f>
      </c>
      <c r="F28" s="20">
        <f>Разбивка_по_щитам!I28</f>
      </c>
      <c r="G28" s="20">
        <f>Разбивка_по_щитам!J28</f>
      </c>
      <c r="H28" s="20">
        <f>Разбивка_по_щитам!K28</f>
      </c>
      <c r="I28" s="20">
        <f>Разбивка_по_щитам!L28</f>
      </c>
      <c r="J28" s="20">
        <f>Разбивка_по_щитам!M28</f>
      </c>
      <c r="K28" s="20">
        <f>Разбивка_по_щитам!N28</f>
      </c>
      <c r="L28" s="20"/>
      <c r="M28" s="20">
        <f>Разбивка_по_щитам!P28</f>
      </c>
      <c r="N28" s="20"/>
      <c r="P28" s="20"/>
      <c r="Q28" s="20"/>
      <c r="R28" s="20"/>
      <c r="S28" s="20"/>
      <c r="T28" s="20"/>
      <c r="U28" s="20"/>
    </row>
    <row r="29" spans="2:21" x14ac:dyDescent="0.25">
      <c r="B29" s="20">
        <f>Разбивка_по_щитам!B29</f>
      </c>
      <c r="C29" s="20">
        <f>Разбивка_по_щитам!C29</f>
      </c>
      <c r="D29" s="20">
        <f>Разбивка_по_щитам!F29</f>
      </c>
      <c r="E29" s="20">
        <f>Разбивка_по_щитам!H29</f>
      </c>
      <c r="F29" s="20">
        <f>Разбивка_по_щитам!I29</f>
      </c>
      <c r="G29" s="20">
        <f>Разбивка_по_щитам!J29</f>
      </c>
      <c r="H29" s="20">
        <f>Разбивка_по_щитам!K29</f>
      </c>
      <c r="I29" s="20">
        <f>Разбивка_по_щитам!L29</f>
      </c>
      <c r="J29" s="20">
        <f>Разбивка_по_щитам!M29</f>
      </c>
      <c r="K29" s="20">
        <f>Разбивка_по_щитам!N29</f>
      </c>
      <c r="L29" s="20"/>
      <c r="M29" s="20">
        <f>Разбивка_по_щитам!P29</f>
      </c>
      <c r="N29" s="20"/>
      <c r="P29" s="20"/>
      <c r="Q29" s="20"/>
      <c r="R29" s="20"/>
      <c r="S29" s="20"/>
      <c r="T29" s="20"/>
      <c r="U29" s="20"/>
    </row>
    <row r="30" spans="2:21" x14ac:dyDescent="0.25">
      <c r="B30" s="20">
        <f>Разбивка_по_щитам!B30</f>
      </c>
      <c r="C30" s="20">
        <f>Разбивка_по_щитам!C30</f>
      </c>
      <c r="D30" s="20">
        <f>Разбивка_по_щитам!F30</f>
      </c>
      <c r="E30" s="20">
        <f>Разбивка_по_щитам!H30</f>
      </c>
      <c r="F30" s="20">
        <f>Разбивка_по_щитам!I30</f>
      </c>
      <c r="G30" s="20">
        <f>Разбивка_по_щитам!J30</f>
      </c>
      <c r="H30" s="20">
        <f>Разбивка_по_щитам!K30</f>
      </c>
      <c r="I30" s="20">
        <f>Разбивка_по_щитам!L30</f>
      </c>
      <c r="J30" s="20">
        <f>Разбивка_по_щитам!M30</f>
      </c>
      <c r="K30" s="20">
        <f>Разбивка_по_щитам!N30</f>
      </c>
      <c r="L30" s="20"/>
      <c r="M30" s="20">
        <f>Разбивка_по_щитам!P30</f>
      </c>
      <c r="N30" s="20"/>
      <c r="P30" s="20"/>
      <c r="Q30" s="20"/>
      <c r="R30" s="20"/>
      <c r="S30" s="20"/>
      <c r="T30" s="20"/>
      <c r="U30" s="20"/>
    </row>
    <row r="31" spans="2:21" x14ac:dyDescent="0.25">
      <c r="B31" s="20">
        <f>Разбивка_по_щитам!B31</f>
      </c>
      <c r="C31" s="20">
        <f>Разбивка_по_щитам!C31</f>
      </c>
      <c r="D31" s="20">
        <f>Разбивка_по_щитам!F31</f>
      </c>
      <c r="E31" s="20">
        <f>Разбивка_по_щитам!H31</f>
      </c>
      <c r="F31" s="20">
        <f>Разбивка_по_щитам!I31</f>
      </c>
      <c r="G31" s="20">
        <f>Разбивка_по_щитам!J31</f>
      </c>
      <c r="H31" s="20">
        <f>Разбивка_по_щитам!K31</f>
      </c>
      <c r="I31" s="20">
        <f>Разбивка_по_щитам!L31</f>
      </c>
      <c r="J31" s="20">
        <f>Разбивка_по_щитам!M31</f>
      </c>
      <c r="K31" s="20">
        <f>Разбивка_по_щитам!N31</f>
      </c>
      <c r="L31" s="20"/>
      <c r="M31" s="20">
        <f>Разбивка_по_щитам!P31</f>
      </c>
      <c r="N31" s="20"/>
      <c r="P31" s="20"/>
      <c r="Q31" s="20"/>
      <c r="R31" s="20"/>
      <c r="S31" s="20"/>
      <c r="T31" s="20"/>
      <c r="U31" s="20"/>
    </row>
    <row r="32" spans="2:21" x14ac:dyDescent="0.25">
      <c r="B32" s="20">
        <f>Разбивка_по_щитам!B32</f>
      </c>
      <c r="C32" s="20">
        <f>Разбивка_по_щитам!C32</f>
      </c>
      <c r="D32" s="20">
        <f>Разбивка_по_щитам!F32</f>
      </c>
      <c r="E32" s="20">
        <f>Разбивка_по_щитам!H32</f>
      </c>
      <c r="F32" s="20">
        <f>Разбивка_по_щитам!I32</f>
      </c>
      <c r="G32" s="20">
        <f>Разбивка_по_щитам!J32</f>
      </c>
      <c r="H32" s="20">
        <f>Разбивка_по_щитам!K32</f>
      </c>
      <c r="I32" s="20">
        <f>Разбивка_по_щитам!L32</f>
      </c>
      <c r="J32" s="20">
        <f>Разбивка_по_щитам!M32</f>
      </c>
      <c r="K32" s="20">
        <f>Разбивка_по_щитам!N32</f>
      </c>
      <c r="L32" s="20"/>
      <c r="M32" s="20">
        <f>Разбивка_по_щитам!P32</f>
      </c>
      <c r="N32" s="20"/>
      <c r="P32" s="20"/>
      <c r="Q32" s="20"/>
      <c r="R32" s="20"/>
      <c r="S32" s="20"/>
      <c r="T32" s="20"/>
      <c r="U32" s="20"/>
    </row>
    <row r="33" spans="2:21" x14ac:dyDescent="0.25">
      <c r="B33" s="20">
        <f>Разбивка_по_щитам!B33</f>
      </c>
      <c r="C33" s="20">
        <f>Разбивка_по_щитам!C33</f>
      </c>
      <c r="D33" s="20">
        <f>Разбивка_по_щитам!F33</f>
      </c>
      <c r="E33" s="20">
        <f>Разбивка_по_щитам!H33</f>
      </c>
      <c r="F33" s="20">
        <f>Разбивка_по_щитам!I33</f>
      </c>
      <c r="G33" s="20">
        <f>Разбивка_по_щитам!J33</f>
      </c>
      <c r="H33" s="20">
        <f>Разбивка_по_щитам!K33</f>
      </c>
      <c r="I33" s="20">
        <f>Разбивка_по_щитам!L33</f>
      </c>
      <c r="J33" s="20">
        <f>Разбивка_по_щитам!M33</f>
      </c>
      <c r="K33" s="20">
        <f>Разбивка_по_щитам!N33</f>
      </c>
      <c r="L33" s="20"/>
      <c r="M33" s="20">
        <f>Разбивка_по_щитам!P33</f>
      </c>
      <c r="N33" s="20"/>
      <c r="P33" s="20"/>
      <c r="Q33" s="20"/>
      <c r="R33" s="20"/>
      <c r="S33" s="20"/>
      <c r="T33" s="20"/>
      <c r="U33" s="20"/>
    </row>
    <row r="34" spans="2:21" x14ac:dyDescent="0.25">
      <c r="B34" s="20">
        <f>Разбивка_по_щитам!B34</f>
      </c>
      <c r="C34" s="20">
        <f>Разбивка_по_щитам!C34</f>
      </c>
      <c r="D34" s="20">
        <f>Разбивка_по_щитам!F34</f>
      </c>
      <c r="E34" s="20">
        <f>Разбивка_по_щитам!H34</f>
      </c>
      <c r="F34" s="20">
        <f>Разбивка_по_щитам!I34</f>
      </c>
      <c r="G34" s="20">
        <f>Разбивка_по_щитам!J34</f>
      </c>
      <c r="H34" s="20">
        <f>Разбивка_по_щитам!K34</f>
      </c>
      <c r="I34" s="20">
        <f>Разбивка_по_щитам!L34</f>
      </c>
      <c r="J34" s="20">
        <f>Разбивка_по_щитам!M34</f>
      </c>
      <c r="K34" s="20">
        <f>Разбивка_по_щитам!N34</f>
      </c>
      <c r="L34" s="20"/>
      <c r="M34" s="20">
        <f>Разбивка_по_щитам!P34</f>
      </c>
      <c r="N34" s="20"/>
      <c r="P34" s="20"/>
      <c r="Q34" s="20"/>
      <c r="R34" s="20"/>
      <c r="S34" s="20"/>
      <c r="T34" s="20"/>
      <c r="U34" s="20"/>
    </row>
    <row r="35" spans="2:21" x14ac:dyDescent="0.25">
      <c r="B35" s="20">
        <f>Разбивка_по_щитам!B35</f>
      </c>
      <c r="C35" s="20">
        <f>Разбивка_по_щитам!C35</f>
      </c>
      <c r="D35" s="20">
        <f>Разбивка_по_щитам!F35</f>
      </c>
      <c r="E35" s="20">
        <f>Разбивка_по_щитам!H35</f>
      </c>
      <c r="F35" s="20">
        <f>Разбивка_по_щитам!I35</f>
      </c>
      <c r="G35" s="20">
        <f>Разбивка_по_щитам!J35</f>
      </c>
      <c r="H35" s="20">
        <f>Разбивка_по_щитам!K35</f>
      </c>
      <c r="I35" s="20">
        <f>Разбивка_по_щитам!L35</f>
      </c>
      <c r="J35" s="20">
        <f>Разбивка_по_щитам!M35</f>
      </c>
      <c r="K35" s="20">
        <f>Разбивка_по_щитам!N35</f>
      </c>
      <c r="L35" s="20"/>
      <c r="M35" s="20">
        <f>Разбивка_по_щитам!P35</f>
      </c>
      <c r="N35" s="20"/>
      <c r="P35" s="20"/>
      <c r="Q35" s="20"/>
      <c r="R35" s="20"/>
      <c r="S35" s="20"/>
      <c r="T35" s="20"/>
      <c r="U35" s="20"/>
    </row>
    <row r="36" spans="2:21" x14ac:dyDescent="0.25">
      <c r="B36" s="20">
        <f>Разбивка_по_щитам!B36</f>
      </c>
      <c r="C36" s="20">
        <f>Разбивка_по_щитам!C36</f>
      </c>
      <c r="D36" s="20">
        <f>Разбивка_по_щитам!F36</f>
      </c>
      <c r="E36" s="20">
        <f>Разбивка_по_щитам!H36</f>
      </c>
      <c r="F36" s="20">
        <f>Разбивка_по_щитам!I36</f>
      </c>
      <c r="G36" s="20">
        <f>Разбивка_по_щитам!J36</f>
        <v/>
      </c>
      <c r="H36" s="20">
        <f>Разбивка_по_щитам!K36</f>
        <v/>
      </c>
      <c r="I36" s="20">
        <f>Разбивка_по_щитам!L36</f>
        <v/>
      </c>
      <c r="J36" s="20">
        <f>Разбивка_по_щитам!M36</f>
        <v/>
      </c>
      <c r="K36" s="20">
        <f>Разбивка_по_щитам!N36</f>
        <v/>
      </c>
      <c r="L36" s="20"/>
      <c r="M36" s="20">
        <f>Разбивка_по_щитам!P36</f>
        <v/>
      </c>
      <c r="N36" s="20"/>
      <c r="P36" s="20"/>
      <c r="Q36" s="20"/>
      <c r="R36" s="20"/>
      <c r="S36" s="20"/>
      <c r="T36" s="20"/>
      <c r="U36" s="20"/>
    </row>
    <row r="37" spans="2:21" x14ac:dyDescent="0.25">
      <c r="B37" s="20">
        <f>Разбивка_по_щитам!B37</f>
      </c>
      <c r="C37" s="20">
        <f>Разбивка_по_щитам!C37</f>
      </c>
      <c r="D37" s="20">
        <f>Разбивка_по_щитам!F37</f>
      </c>
      <c r="E37" s="20">
        <f>Разбивка_по_щитам!H37</f>
      </c>
      <c r="F37" s="20">
        <f>Разбивка_по_щитам!I37</f>
      </c>
      <c r="G37" s="20">
        <f>Разбивка_по_щитам!J37</f>
        <v/>
      </c>
      <c r="H37" s="20">
        <f>Разбивка_по_щитам!K37</f>
        <v/>
      </c>
      <c r="I37" s="20">
        <f>Разбивка_по_щитам!L37</f>
        <v/>
      </c>
      <c r="J37" s="20">
        <f>Разбивка_по_щитам!M37</f>
        <v/>
      </c>
      <c r="K37" s="20">
        <f>Разбивка_по_щитам!N37</f>
        <v/>
      </c>
      <c r="L37" s="20"/>
      <c r="M37" s="20">
        <f>Разбивка_по_щитам!P37</f>
        <v/>
      </c>
      <c r="N37" s="20"/>
      <c r="P37" s="20"/>
      <c r="Q37" s="20"/>
      <c r="R37" s="20"/>
      <c r="S37" s="20"/>
      <c r="T37" s="20"/>
      <c r="U37" s="20"/>
    </row>
    <row r="38" spans="2:21" x14ac:dyDescent="0.25">
      <c r="B38" s="20">
        <f>Разбивка_по_щитам!B38</f>
      </c>
      <c r="C38" s="20">
        <f>Разбивка_по_щитам!C38</f>
      </c>
      <c r="D38" s="20">
        <f>Разбивка_по_щитам!F38</f>
      </c>
      <c r="E38" s="20">
        <f>Разбивка_по_щитам!H38</f>
      </c>
      <c r="F38" s="20">
        <f>Разбивка_по_щитам!I38</f>
      </c>
      <c r="G38" s="20">
        <f>Разбивка_по_щитам!J38</f>
      </c>
      <c r="H38" s="20">
        <f>Разбивка_по_щитам!K38</f>
      </c>
      <c r="I38" s="20">
        <f>Разбивка_по_щитам!L38</f>
      </c>
      <c r="J38" s="20">
        <f>Разбивка_по_щитам!M38</f>
      </c>
      <c r="K38" s="20">
        <f>Разбивка_по_щитам!N38</f>
      </c>
      <c r="L38" s="20"/>
      <c r="M38" s="20">
        <f>Разбивка_по_щитам!P38</f>
      </c>
      <c r="N38" s="20"/>
      <c r="P38" s="20"/>
      <c r="Q38" s="20"/>
      <c r="R38" s="20"/>
      <c r="S38" s="20"/>
      <c r="T38" s="20"/>
      <c r="U38" s="20"/>
    </row>
    <row r="39" spans="2:21" x14ac:dyDescent="0.25">
      <c r="B39" s="20">
        <f>Разбивка_по_щитам!B39</f>
      </c>
      <c r="C39" s="20">
        <f>Разбивка_по_щитам!C39</f>
      </c>
      <c r="D39" s="20">
        <f>Разбивка_по_щитам!F39</f>
      </c>
      <c r="E39" s="20">
        <f>Разбивка_по_щитам!H39</f>
      </c>
      <c r="F39" s="20">
        <f>Разбивка_по_щитам!I39</f>
      </c>
      <c r="G39" s="20">
        <f>Разбивка_по_щитам!J39</f>
      </c>
      <c r="H39" s="20">
        <f>Разбивка_по_щитам!K39</f>
      </c>
      <c r="I39" s="20">
        <f>Разбивка_по_щитам!L39</f>
      </c>
      <c r="J39" s="20">
        <f>Разбивка_по_щитам!M39</f>
      </c>
      <c r="K39" s="20">
        <f>Разбивка_по_щитам!N39</f>
      </c>
      <c r="L39" s="20"/>
      <c r="M39" s="20">
        <f>Разбивка_по_щитам!P39</f>
      </c>
      <c r="N39" s="20"/>
      <c r="P39" s="20"/>
      <c r="Q39" s="20"/>
      <c r="R39" s="20"/>
      <c r="S39" s="20"/>
      <c r="T39" s="20"/>
      <c r="U39" s="20"/>
    </row>
    <row r="40" spans="2:21" x14ac:dyDescent="0.25">
      <c r="B40" s="20">
        <f>Разбивка_по_щитам!B40</f>
      </c>
      <c r="C40" s="20">
        <f>Разбивка_по_щитам!C40</f>
      </c>
      <c r="D40" s="20">
        <f>Разбивка_по_щитам!F40</f>
      </c>
      <c r="E40" s="20">
        <f>Разбивка_по_щитам!H40</f>
      </c>
      <c r="F40" s="20">
        <f>Разбивка_по_щитам!I40</f>
      </c>
      <c r="G40" s="20">
        <f>Разбивка_по_щитам!J40</f>
      </c>
      <c r="H40" s="20">
        <f>Разбивка_по_щитам!K40</f>
      </c>
      <c r="I40" s="20">
        <f>Разбивка_по_щитам!L40</f>
      </c>
      <c r="J40" s="20">
        <f>Разбивка_по_щитам!M40</f>
      </c>
      <c r="K40" s="20">
        <f>Разбивка_по_щитам!N40</f>
      </c>
      <c r="L40" s="20"/>
      <c r="M40" s="20">
        <f>Разбивка_по_щитам!P40</f>
      </c>
      <c r="N40" s="20"/>
      <c r="P40" s="20"/>
      <c r="Q40" s="20"/>
      <c r="R40" s="20"/>
      <c r="S40" s="20"/>
      <c r="T40" s="20"/>
      <c r="U40" s="20"/>
    </row>
    <row r="41" spans="2:21" x14ac:dyDescent="0.25">
      <c r="B41" s="20">
        <f>Разбивка_по_щитам!B41</f>
      </c>
      <c r="C41" s="20">
        <f>Разбивка_по_щитам!C41</f>
      </c>
      <c r="D41" s="20">
        <f>Разбивка_по_щитам!F41</f>
      </c>
      <c r="E41" s="20">
        <f>Разбивка_по_щитам!H41</f>
      </c>
      <c r="F41" s="20">
        <f>Разбивка_по_щитам!I41</f>
      </c>
      <c r="G41" s="20">
        <f>Разбивка_по_щитам!J41</f>
      </c>
      <c r="H41" s="20">
        <f>Разбивка_по_щитам!K41</f>
      </c>
      <c r="I41" s="20">
        <f>Разбивка_по_щитам!L41</f>
      </c>
      <c r="J41" s="20">
        <f>Разбивка_по_щитам!M41</f>
      </c>
      <c r="K41" s="20">
        <f>Разбивка_по_щитам!N41</f>
      </c>
      <c r="L41" s="20"/>
      <c r="M41" s="20">
        <f>Разбивка_по_щитам!P41</f>
      </c>
      <c r="N41" s="20"/>
      <c r="P41" s="20"/>
      <c r="Q41" s="20"/>
      <c r="R41" s="20"/>
      <c r="S41" s="20"/>
      <c r="T41" s="20"/>
      <c r="U41" s="20"/>
    </row>
    <row r="42" spans="2:21" x14ac:dyDescent="0.25">
      <c r="B42" s="20">
        <f>Разбивка_по_щитам!B42</f>
      </c>
      <c r="C42" s="20">
        <f>Разбивка_по_щитам!C42</f>
      </c>
      <c r="D42" s="20">
        <f>Разбивка_по_щитам!F42</f>
      </c>
      <c r="E42" s="20">
        <f>Разбивка_по_щитам!H42</f>
      </c>
      <c r="F42" s="20">
        <f>Разбивка_по_щитам!I42</f>
      </c>
      <c r="G42" s="20">
        <f>Разбивка_по_щитам!J42</f>
      </c>
      <c r="H42" s="20">
        <f>Разбивка_по_щитам!K42</f>
      </c>
      <c r="I42" s="20">
        <f>Разбивка_по_щитам!L42</f>
      </c>
      <c r="J42" s="20">
        <f>Разбивка_по_щитам!M42</f>
      </c>
      <c r="K42" s="20">
        <f>Разбивка_по_щитам!N42</f>
      </c>
      <c r="L42" s="20"/>
      <c r="M42" s="20">
        <f>Разбивка_по_щитам!P42</f>
      </c>
      <c r="N42" s="20"/>
      <c r="P42" s="20"/>
      <c r="Q42" s="20"/>
      <c r="R42" s="20"/>
      <c r="S42" s="20"/>
      <c r="T42" s="20"/>
      <c r="U42" s="20"/>
    </row>
    <row r="43" spans="2:21" x14ac:dyDescent="0.25">
      <c r="B43" s="20">
        <f>Разбивка_по_щитам!B43</f>
      </c>
      <c r="C43" s="20">
        <f>Разбивка_по_щитам!C43</f>
      </c>
      <c r="D43" s="20">
        <f>Разбивка_по_щитам!F43</f>
      </c>
      <c r="E43" s="20">
        <f>Разбивка_по_щитам!H43</f>
      </c>
      <c r="F43" s="20">
        <f>Разбивка_по_щитам!I43</f>
      </c>
      <c r="G43" s="20">
        <f>Разбивка_по_щитам!J43</f>
      </c>
      <c r="H43" s="20">
        <f>Разбивка_по_щитам!K43</f>
      </c>
      <c r="I43" s="20">
        <f>Разбивка_по_щитам!L43</f>
      </c>
      <c r="J43" s="20">
        <f>Разбивка_по_щитам!M43</f>
      </c>
      <c r="K43" s="20">
        <f>Разбивка_по_щитам!N43</f>
      </c>
      <c r="L43" s="20"/>
      <c r="M43" s="20">
        <f>Разбивка_по_щитам!P43</f>
      </c>
      <c r="N43" s="20"/>
      <c r="P43" s="20"/>
      <c r="Q43" s="20"/>
      <c r="R43" s="20"/>
      <c r="S43" s="20"/>
      <c r="T43" s="20"/>
      <c r="U43" s="20"/>
    </row>
    <row r="44" spans="2:21" x14ac:dyDescent="0.25">
      <c r="B44" s="20">
        <f>Разбивка_по_щитам!B44</f>
      </c>
      <c r="C44" s="20">
        <f>Разбивка_по_щитам!C44</f>
      </c>
      <c r="D44" s="20">
        <f>Разбивка_по_щитам!F44</f>
      </c>
      <c r="E44" s="20">
        <f>Разбивка_по_щитам!H44</f>
      </c>
      <c r="F44" s="20">
        <f>Разбивка_по_щитам!I44</f>
      </c>
      <c r="G44" s="20">
        <f>Разбивка_по_щитам!J44</f>
      </c>
      <c r="H44" s="20">
        <f>Разбивка_по_щитам!K44</f>
      </c>
      <c r="I44" s="20">
        <f>Разбивка_по_щитам!L44</f>
      </c>
      <c r="J44" s="20">
        <f>Разбивка_по_щитам!M44</f>
      </c>
      <c r="K44" s="20">
        <f>Разбивка_по_щитам!N44</f>
      </c>
      <c r="L44" s="20"/>
      <c r="M44" s="20">
        <f>Разбивка_по_щитам!P44</f>
      </c>
      <c r="N44" s="20"/>
      <c r="P44" s="20"/>
      <c r="Q44" s="20"/>
      <c r="R44" s="20"/>
      <c r="S44" s="20"/>
      <c r="T44" s="20"/>
      <c r="U44" s="20"/>
    </row>
    <row r="45" spans="2:21" x14ac:dyDescent="0.25">
      <c r="B45" s="20">
        <f>Разбивка_по_щитам!B45</f>
      </c>
      <c r="C45" s="20">
        <f>Разбивка_по_щитам!C45</f>
      </c>
      <c r="D45" s="20">
        <f>Разбивка_по_щитам!F45</f>
      </c>
      <c r="E45" s="20">
        <f>Разбивка_по_щитам!H45</f>
      </c>
      <c r="F45" s="20">
        <f>Разбивка_по_щитам!I45</f>
      </c>
      <c r="G45" s="20">
        <f>Разбивка_по_щитам!J45</f>
      </c>
      <c r="H45" s="20">
        <f>Разбивка_по_щитам!K45</f>
      </c>
      <c r="I45" s="20">
        <f>Разбивка_по_щитам!L45</f>
      </c>
      <c r="J45" s="20">
        <f>Разбивка_по_щитам!M45</f>
      </c>
      <c r="K45" s="20">
        <f>Разбивка_по_щитам!N45</f>
      </c>
      <c r="L45" s="20"/>
      <c r="M45" s="20">
        <f>Разбивка_по_щитам!P45</f>
      </c>
      <c r="N45" s="20"/>
      <c r="P45" s="20"/>
      <c r="Q45" s="20"/>
      <c r="R45" s="20"/>
      <c r="S45" s="20"/>
      <c r="T45" s="20"/>
      <c r="U45" s="20"/>
    </row>
    <row r="46" spans="2:21" x14ac:dyDescent="0.25">
      <c r="B46" s="20">
        <f>Разбивка_по_щитам!B46</f>
      </c>
      <c r="C46" s="20">
        <f>Разбивка_по_щитам!C46</f>
      </c>
      <c r="D46" s="20">
        <f>Разбивка_по_щитам!F46</f>
      </c>
      <c r="E46" s="20">
        <f>Разбивка_по_щитам!H46</f>
      </c>
      <c r="F46" s="20">
        <f>Разбивка_по_щитам!I46</f>
      </c>
      <c r="G46" s="20">
        <f>Разбивка_по_щитам!J46</f>
      </c>
      <c r="H46" s="20">
        <f>Разбивка_по_щитам!K46</f>
      </c>
      <c r="I46" s="20">
        <f>Разбивка_по_щитам!L46</f>
      </c>
      <c r="J46" s="20">
        <f>Разбивка_по_щитам!M46</f>
      </c>
      <c r="K46" s="20">
        <f>Разбивка_по_щитам!N46</f>
      </c>
      <c r="L46" s="20"/>
      <c r="M46" s="20">
        <f>Разбивка_по_щитам!P46</f>
      </c>
      <c r="N46" s="20"/>
      <c r="P46" s="20"/>
      <c r="Q46" s="20"/>
      <c r="R46" s="20"/>
      <c r="S46" s="20"/>
      <c r="T46" s="20"/>
      <c r="U46" s="20"/>
    </row>
    <row r="47" spans="2:21" x14ac:dyDescent="0.25">
      <c r="B47" s="20">
        <f>Разбивка_по_щитам!B47</f>
      </c>
      <c r="C47" s="20">
        <f>Разбивка_по_щитам!C47</f>
      </c>
      <c r="D47" s="20">
        <f>Разбивка_по_щитам!F47</f>
      </c>
      <c r="E47" s="20">
        <f>Разбивка_по_щитам!H47</f>
      </c>
      <c r="F47" s="20">
        <f>Разбивка_по_щитам!I47</f>
      </c>
      <c r="G47" s="20">
        <f>Разбивка_по_щитам!J47</f>
      </c>
      <c r="H47" s="20">
        <f>Разбивка_по_щитам!K47</f>
      </c>
      <c r="I47" s="20">
        <f>Разбивка_по_щитам!L47</f>
      </c>
      <c r="J47" s="20">
        <f>Разбивка_по_щитам!M47</f>
      </c>
      <c r="K47" s="20">
        <f>Разбивка_по_щитам!N47</f>
      </c>
      <c r="L47" s="20"/>
      <c r="M47" s="20">
        <f>Разбивка_по_щитам!P47</f>
      </c>
      <c r="N47" s="20"/>
      <c r="P47" s="20"/>
      <c r="Q47" s="20"/>
      <c r="R47" s="20"/>
      <c r="S47" s="20"/>
      <c r="T47" s="20"/>
      <c r="U47" s="20"/>
    </row>
    <row r="48" spans="2:21" x14ac:dyDescent="0.25">
      <c r="B48" s="20">
        <f>Разбивка_по_щитам!B48</f>
      </c>
      <c r="C48" s="20">
        <f>Разбивка_по_щитам!C48</f>
      </c>
      <c r="D48" s="20">
        <f>Разбивка_по_щитам!F48</f>
      </c>
      <c r="E48" s="20">
        <f>Разбивка_по_щитам!H48</f>
      </c>
      <c r="F48" s="20">
        <f>Разбивка_по_щитам!I48</f>
      </c>
      <c r="G48" s="20">
        <f>Разбивка_по_щитам!J48</f>
      </c>
      <c r="H48" s="20">
        <f>Разбивка_по_щитам!K48</f>
      </c>
      <c r="I48" s="20">
        <f>Разбивка_по_щитам!L48</f>
      </c>
      <c r="J48" s="20">
        <f>Разбивка_по_щитам!M48</f>
      </c>
      <c r="K48" s="20">
        <f>Разбивка_по_щитам!N48</f>
      </c>
      <c r="L48" s="20"/>
      <c r="M48" s="20">
        <f>Разбивка_по_щитам!P48</f>
      </c>
      <c r="N48" s="20"/>
      <c r="P48" s="20"/>
      <c r="Q48" s="20"/>
      <c r="R48" s="20"/>
      <c r="S48" s="20"/>
      <c r="T48" s="20"/>
      <c r="U48" s="20"/>
    </row>
    <row r="49" spans="2:21" x14ac:dyDescent="0.25">
      <c r="B49" s="20">
        <f>Разбивка_по_щитам!B49</f>
      </c>
      <c r="C49" s="20">
        <f>Разбивка_по_щитам!C49</f>
      </c>
      <c r="D49" s="20">
        <f>Разбивка_по_щитам!F49</f>
      </c>
      <c r="E49" s="20">
        <f>Разбивка_по_щитам!H49</f>
      </c>
      <c r="F49" s="20">
        <f>Разбивка_по_щитам!I49</f>
      </c>
      <c r="G49" s="20">
        <f>Разбивка_по_щитам!J49</f>
      </c>
      <c r="H49" s="20">
        <f>Разбивка_по_щитам!K49</f>
      </c>
      <c r="I49" s="20">
        <f>Разбивка_по_щитам!L49</f>
      </c>
      <c r="J49" s="20">
        <f>Разбивка_по_щитам!M49</f>
      </c>
      <c r="K49" s="20">
        <f>Разбивка_по_щитам!N49</f>
      </c>
      <c r="L49" s="20"/>
      <c r="M49" s="20">
        <f>Разбивка_по_щитам!P49</f>
      </c>
      <c r="N49" s="20"/>
      <c r="P49" s="20"/>
      <c r="Q49" s="20"/>
      <c r="R49" s="20"/>
      <c r="S49" s="20"/>
      <c r="T49" s="20"/>
      <c r="U49" s="20"/>
    </row>
    <row r="50" spans="2:21" x14ac:dyDescent="0.25">
      <c r="B50" s="20">
        <f>Разбивка_по_щитам!B50</f>
      </c>
      <c r="C50" s="20">
        <f>Разбивка_по_щитам!C50</f>
      </c>
      <c r="D50" s="20">
        <f>Разбивка_по_щитам!F50</f>
      </c>
      <c r="E50" s="20">
        <f>Разбивка_по_щитам!H50</f>
      </c>
      <c r="F50" s="20">
        <f>Разбивка_по_щитам!I50</f>
      </c>
      <c r="G50" s="20">
        <f>Разбивка_по_щитам!J50</f>
      </c>
      <c r="H50" s="20">
        <f>Разбивка_по_щитам!K50</f>
      </c>
      <c r="I50" s="20">
        <f>Разбивка_по_щитам!L50</f>
      </c>
      <c r="J50" s="20">
        <f>Разбивка_по_щитам!M50</f>
      </c>
      <c r="K50" s="20">
        <f>Разбивка_по_щитам!N50</f>
      </c>
      <c r="L50" s="20"/>
      <c r="M50" s="20">
        <f>Разбивка_по_щитам!P50</f>
      </c>
      <c r="N50" s="20"/>
      <c r="P50" s="20"/>
      <c r="Q50" s="20"/>
      <c r="R50" s="20"/>
      <c r="S50" s="20"/>
      <c r="T50" s="20"/>
      <c r="U50" s="20"/>
    </row>
    <row r="51" spans="2:21" x14ac:dyDescent="0.25">
      <c r="B51" s="20">
        <f>Разбивка_по_щитам!B51</f>
      </c>
      <c r="C51" s="20">
        <f>Разбивка_по_щитам!C51</f>
      </c>
      <c r="D51" s="20">
        <f>Разбивка_по_щитам!F51</f>
      </c>
      <c r="E51" s="20">
        <f>Разбивка_по_щитам!H51</f>
      </c>
      <c r="F51" s="20">
        <f>Разбивка_по_щитам!I51</f>
      </c>
      <c r="G51" s="20">
        <f>Разбивка_по_щитам!J51</f>
      </c>
      <c r="H51" s="20">
        <f>Разбивка_по_щитам!K51</f>
      </c>
      <c r="I51" s="20">
        <f>Разбивка_по_щитам!L51</f>
      </c>
      <c r="J51" s="20">
        <f>Разбивка_по_щитам!M51</f>
      </c>
      <c r="K51" s="20">
        <f>Разбивка_по_щитам!N51</f>
      </c>
      <c r="L51" s="20"/>
      <c r="M51" s="20">
        <f>Разбивка_по_щитам!P51</f>
      </c>
      <c r="N51" s="20"/>
      <c r="P51" s="20"/>
      <c r="Q51" s="20"/>
      <c r="R51" s="20"/>
      <c r="S51" s="20"/>
      <c r="T51" s="20"/>
      <c r="U51" s="20"/>
    </row>
    <row r="52" spans="2:21" x14ac:dyDescent="0.25">
      <c r="B52" s="20">
        <f>Разбивка_по_щитам!B52</f>
      </c>
      <c r="C52" s="20">
        <f>Разбивка_по_щитам!C52</f>
      </c>
      <c r="D52" s="20">
        <f>Разбивка_по_щитам!F52</f>
      </c>
      <c r="E52" s="20">
        <f>Разбивка_по_щитам!H52</f>
      </c>
      <c r="F52" s="20">
        <f>Разбивка_по_щитам!I52</f>
      </c>
      <c r="G52" s="20">
        <f>Разбивка_по_щитам!J52</f>
      </c>
      <c r="H52" s="20">
        <f>Разбивка_по_щитам!K52</f>
      </c>
      <c r="I52" s="20">
        <f>Разбивка_по_щитам!L52</f>
      </c>
      <c r="J52" s="20">
        <f>Разбивка_по_щитам!M52</f>
      </c>
      <c r="K52" s="20">
        <f>Разбивка_по_щитам!N52</f>
      </c>
      <c r="L52" s="20"/>
      <c r="M52" s="20">
        <f>Разбивка_по_щитам!P52</f>
      </c>
      <c r="N52" s="20"/>
      <c r="P52" s="20"/>
      <c r="Q52" s="20"/>
      <c r="R52" s="20"/>
      <c r="S52" s="20"/>
      <c r="T52" s="20"/>
      <c r="U52" s="20"/>
    </row>
    <row r="53" spans="2:21" x14ac:dyDescent="0.25">
      <c r="B53" s="20">
        <f>Разбивка_по_щитам!B53</f>
      </c>
      <c r="C53" s="20">
        <f>Разбивка_по_щитам!C53</f>
      </c>
      <c r="D53" s="20">
        <f>Разбивка_по_щитам!F53</f>
      </c>
      <c r="E53" s="20">
        <f>Разбивка_по_щитам!H53</f>
      </c>
      <c r="F53" s="20">
        <f>Разбивка_по_щитам!I53</f>
      </c>
      <c r="G53" s="20">
        <f>Разбивка_по_щитам!J53</f>
        <v/>
      </c>
      <c r="H53" s="20">
        <f>Разбивка_по_щитам!K53</f>
        <v/>
      </c>
      <c r="I53" s="20">
        <f>Разбивка_по_щитам!L53</f>
        <v/>
      </c>
      <c r="J53" s="20">
        <f>Разбивка_по_щитам!M53</f>
        <v/>
      </c>
      <c r="K53" s="20">
        <f>Разбивка_по_щитам!N53</f>
        <v/>
      </c>
      <c r="L53" s="20"/>
      <c r="M53" s="20">
        <f>Разбивка_по_щитам!P53</f>
        <v/>
      </c>
      <c r="N53" s="20"/>
      <c r="P53" s="20"/>
      <c r="Q53" s="20"/>
      <c r="R53" s="20"/>
      <c r="S53" s="20"/>
      <c r="T53" s="20"/>
      <c r="U53" s="20"/>
    </row>
    <row r="54" spans="2:21" x14ac:dyDescent="0.25">
      <c r="B54" s="20">
        <f>Разбивка_по_щитам!B54</f>
      </c>
      <c r="C54" s="20">
        <f>Разбивка_по_щитам!C54</f>
      </c>
      <c r="D54" s="20">
        <f>Разбивка_по_щитам!F54</f>
      </c>
      <c r="E54" s="20">
        <f>Разбивка_по_щитам!H54</f>
      </c>
      <c r="F54" s="20">
        <f>Разбивка_по_щитам!I54</f>
      </c>
      <c r="G54" s="20">
        <f>Разбивка_по_щитам!J54</f>
        <v/>
      </c>
      <c r="H54" s="20">
        <f>Разбивка_по_щитам!K54</f>
        <v/>
      </c>
      <c r="I54" s="20">
        <f>Разбивка_по_щитам!L54</f>
        <v/>
      </c>
      <c r="J54" s="20">
        <f>Разбивка_по_щитам!M54</f>
        <v/>
      </c>
      <c r="K54" s="20">
        <f>Разбивка_по_щитам!N54</f>
        <v/>
      </c>
      <c r="L54" s="20"/>
      <c r="M54" s="20">
        <f>Разбивка_по_щитам!P54</f>
        <v/>
      </c>
      <c r="N54" s="20"/>
      <c r="P54" s="20"/>
      <c r="Q54" s="20"/>
      <c r="R54" s="20"/>
      <c r="S54" s="20"/>
      <c r="T54" s="20"/>
      <c r="U54" s="20"/>
    </row>
    <row r="55" spans="2:21" x14ac:dyDescent="0.25">
      <c r="B55" s="20">
        <f>Разбивка_по_щитам!B55</f>
      </c>
      <c r="C55" s="20">
        <f>Разбивка_по_щитам!C55</f>
      </c>
      <c r="D55" s="20">
        <f>Разбивка_по_щитам!F55</f>
      </c>
      <c r="E55" s="20">
        <f>Разбивка_по_щитам!H55</f>
      </c>
      <c r="F55" s="20">
        <f>Разбивка_по_щитам!I55</f>
      </c>
      <c r="G55" s="20">
        <f>Разбивка_по_щитам!J55</f>
      </c>
      <c r="H55" s="20">
        <f>Разбивка_по_щитам!K55</f>
      </c>
      <c r="I55" s="20">
        <f>Разбивка_по_щитам!L55</f>
      </c>
      <c r="J55" s="20">
        <f>Разбивка_по_щитам!M55</f>
      </c>
      <c r="K55" s="20">
        <f>Разбивка_по_щитам!N55</f>
      </c>
      <c r="L55" s="20"/>
      <c r="M55" s="20">
        <f>Разбивка_по_щитам!P55</f>
      </c>
      <c r="N55" s="20"/>
      <c r="P55" s="20"/>
      <c r="Q55" s="20"/>
      <c r="R55" s="20"/>
      <c r="S55" s="20"/>
      <c r="T55" s="20"/>
      <c r="U55" s="20"/>
    </row>
    <row r="56" spans="2:21" x14ac:dyDescent="0.25">
      <c r="B56" s="20">
        <f>Разбивка_по_щитам!B56</f>
      </c>
      <c r="C56" s="20">
        <f>Разбивка_по_щитам!C56</f>
      </c>
      <c r="D56" s="20">
        <f>Разбивка_по_щитам!F56</f>
      </c>
      <c r="E56" s="20">
        <f>Разбивка_по_щитам!H56</f>
      </c>
      <c r="F56" s="20">
        <f>Разбивка_по_щитам!I56</f>
      </c>
      <c r="G56" s="20">
        <f>Разбивка_по_щитам!J56</f>
      </c>
      <c r="H56" s="20">
        <f>Разбивка_по_щитам!K56</f>
      </c>
      <c r="I56" s="20">
        <f>Разбивка_по_щитам!L56</f>
      </c>
      <c r="J56" s="20">
        <f>Разбивка_по_щитам!M56</f>
      </c>
      <c r="K56" s="20">
        <f>Разбивка_по_щитам!N56</f>
      </c>
      <c r="L56" s="20"/>
      <c r="M56" s="20">
        <f>Разбивка_по_щитам!P56</f>
      </c>
      <c r="N56" s="20"/>
      <c r="P56" s="20"/>
      <c r="Q56" s="20"/>
      <c r="R56" s="20"/>
      <c r="S56" s="20"/>
      <c r="T56" s="20"/>
      <c r="U56" s="20"/>
    </row>
    <row r="57" spans="2:21" x14ac:dyDescent="0.25">
      <c r="B57" s="20">
        <f>Разбивка_по_щитам!B57</f>
      </c>
      <c r="C57" s="20">
        <f>Разбивка_по_щитам!C57</f>
      </c>
      <c r="D57" s="20">
        <f>Разбивка_по_щитам!F57</f>
      </c>
      <c r="E57" s="20">
        <f>Разбивка_по_щитам!H57</f>
      </c>
      <c r="F57" s="20">
        <f>Разбивка_по_щитам!I57</f>
      </c>
      <c r="G57" s="20">
        <f>Разбивка_по_щитам!J57</f>
      </c>
      <c r="H57" s="20">
        <f>Разбивка_по_щитам!K57</f>
      </c>
      <c r="I57" s="20">
        <f>Разбивка_по_щитам!L57</f>
      </c>
      <c r="J57" s="20">
        <f>Разбивка_по_щитам!M57</f>
      </c>
      <c r="K57" s="20">
        <f>Разбивка_по_щитам!N57</f>
      </c>
      <c r="L57" s="20"/>
      <c r="M57" s="20">
        <f>Разбивка_по_щитам!P57</f>
      </c>
      <c r="N57" s="20"/>
      <c r="P57" s="20"/>
      <c r="Q57" s="20"/>
      <c r="R57" s="20"/>
      <c r="S57" s="20"/>
      <c r="T57" s="20"/>
      <c r="U57" s="20"/>
    </row>
    <row r="58" spans="2:21" x14ac:dyDescent="0.25">
      <c r="B58" s="20">
        <f>Разбивка_по_щитам!B58</f>
      </c>
      <c r="C58" s="20">
        <f>Разбивка_по_щитам!C58</f>
      </c>
      <c r="D58" s="20">
        <f>Разбивка_по_щитам!F58</f>
      </c>
      <c r="E58" s="20">
        <f>Разбивка_по_щитам!H58</f>
      </c>
      <c r="F58" s="20">
        <f>Разбивка_по_щитам!I58</f>
      </c>
      <c r="G58" s="20">
        <f>Разбивка_по_щитам!J58</f>
      </c>
      <c r="H58" s="20">
        <f>Разбивка_по_щитам!K58</f>
      </c>
      <c r="I58" s="20">
        <f>Разбивка_по_щитам!L58</f>
      </c>
      <c r="J58" s="20">
        <f>Разбивка_по_щитам!M58</f>
      </c>
      <c r="K58" s="20">
        <f>Разбивка_по_щитам!N58</f>
      </c>
      <c r="L58" s="20"/>
      <c r="M58" s="20">
        <f>Разбивка_по_щитам!P58</f>
      </c>
      <c r="N58" s="20"/>
      <c r="P58" s="20"/>
      <c r="Q58" s="20"/>
      <c r="R58" s="20"/>
      <c r="S58" s="20"/>
      <c r="T58" s="20"/>
      <c r="U58" s="20"/>
    </row>
    <row r="59" spans="2:21" x14ac:dyDescent="0.25">
      <c r="B59" s="20">
        <f>Разбивка_по_щитам!B59</f>
      </c>
      <c r="C59" s="20">
        <f>Разбивка_по_щитам!C59</f>
      </c>
      <c r="D59" s="20">
        <f>Разбивка_по_щитам!F59</f>
      </c>
      <c r="E59" s="20">
        <f>Разбивка_по_щитам!H59</f>
      </c>
      <c r="F59" s="20">
        <f>Разбивка_по_щитам!I59</f>
      </c>
      <c r="G59" s="20">
        <f>Разбивка_по_щитам!J59</f>
      </c>
      <c r="H59" s="20">
        <f>Разбивка_по_щитам!K59</f>
      </c>
      <c r="I59" s="20">
        <f>Разбивка_по_щитам!L59</f>
      </c>
      <c r="J59" s="20">
        <f>Разбивка_по_щитам!M59</f>
      </c>
      <c r="K59" s="20">
        <f>Разбивка_по_щитам!N59</f>
      </c>
      <c r="L59" s="20"/>
      <c r="M59" s="20">
        <f>Разбивка_по_щитам!P59</f>
      </c>
      <c r="N59" s="20"/>
      <c r="P59" s="20"/>
      <c r="Q59" s="20"/>
      <c r="R59" s="20"/>
      <c r="S59" s="20"/>
      <c r="T59" s="20"/>
      <c r="U59" s="20"/>
    </row>
    <row r="60" spans="2:21" x14ac:dyDescent="0.25">
      <c r="B60" s="20">
        <f>Разбивка_по_щитам!B60</f>
      </c>
      <c r="C60" s="20">
        <f>Разбивка_по_щитам!C60</f>
      </c>
      <c r="D60" s="20">
        <f>Разбивка_по_щитам!F60</f>
      </c>
      <c r="E60" s="20">
        <f>Разбивка_по_щитам!H60</f>
      </c>
      <c r="F60" s="20">
        <f>Разбивка_по_щитам!I60</f>
      </c>
      <c r="G60" s="20">
        <f>Разбивка_по_щитам!J60</f>
      </c>
      <c r="H60" s="20">
        <f>Разбивка_по_щитам!K60</f>
      </c>
      <c r="I60" s="20">
        <f>Разбивка_по_щитам!L60</f>
      </c>
      <c r="J60" s="20">
        <f>Разбивка_по_щитам!M60</f>
      </c>
      <c r="K60" s="20">
        <f>Разбивка_по_щитам!N60</f>
      </c>
      <c r="L60" s="20"/>
      <c r="M60" s="20">
        <f>Разбивка_по_щитам!P60</f>
      </c>
      <c r="N60" s="20"/>
      <c r="P60" s="20"/>
      <c r="Q60" s="20"/>
      <c r="R60" s="20"/>
      <c r="S60" s="20"/>
      <c r="T60" s="20"/>
      <c r="U60" s="20"/>
    </row>
    <row r="61" spans="2:21" x14ac:dyDescent="0.25">
      <c r="B61" s="20">
        <f>Разбивка_по_щитам!B61</f>
      </c>
      <c r="C61" s="20">
        <f>Разбивка_по_щитам!C61</f>
      </c>
      <c r="D61" s="20">
        <f>Разбивка_по_щитам!F61</f>
      </c>
      <c r="E61" s="20">
        <f>Разбивка_по_щитам!H61</f>
      </c>
      <c r="F61" s="20">
        <f>Разбивка_по_щитам!I61</f>
      </c>
      <c r="G61" s="20">
        <f>Разбивка_по_щитам!J61</f>
      </c>
      <c r="H61" s="20">
        <f>Разбивка_по_щитам!K61</f>
      </c>
      <c r="I61" s="20">
        <f>Разбивка_по_щитам!L61</f>
      </c>
      <c r="J61" s="20">
        <f>Разбивка_по_щитам!M61</f>
      </c>
      <c r="K61" s="20">
        <f>Разбивка_по_щитам!N61</f>
      </c>
      <c r="L61" s="20"/>
      <c r="M61" s="20">
        <f>Разбивка_по_щитам!P61</f>
      </c>
      <c r="N61" s="20"/>
      <c r="P61" s="20"/>
      <c r="Q61" s="20"/>
      <c r="R61" s="20"/>
      <c r="S61" s="20"/>
      <c r="T61" s="20"/>
      <c r="U61" s="20"/>
    </row>
    <row r="62" spans="2:21" x14ac:dyDescent="0.25">
      <c r="B62" s="20">
        <f>Разбивка_по_щитам!B62</f>
      </c>
      <c r="C62" s="20">
        <f>Разбивка_по_щитам!C62</f>
      </c>
      <c r="D62" s="20">
        <f>Разбивка_по_щитам!F62</f>
      </c>
      <c r="E62" s="20">
        <f>Разбивка_по_щитам!H62</f>
      </c>
      <c r="F62" s="20">
        <f>Разбивка_по_щитам!I62</f>
      </c>
      <c r="G62" s="20">
        <f>Разбивка_по_щитам!J62</f>
      </c>
      <c r="H62" s="20">
        <f>Разбивка_по_щитам!K62</f>
      </c>
      <c r="I62" s="20">
        <f>Разбивка_по_щитам!L62</f>
      </c>
      <c r="J62" s="20">
        <f>Разбивка_по_щитам!M62</f>
      </c>
      <c r="K62" s="20">
        <f>Разбивка_по_щитам!N62</f>
      </c>
      <c r="L62" s="20"/>
      <c r="M62" s="20">
        <f>Разбивка_по_щитам!P62</f>
      </c>
      <c r="N62" s="20"/>
      <c r="P62" s="20"/>
      <c r="Q62" s="20"/>
      <c r="R62" s="20"/>
      <c r="S62" s="20"/>
      <c r="T62" s="20"/>
      <c r="U62" s="20"/>
    </row>
    <row r="63" spans="2:21" x14ac:dyDescent="0.25">
      <c r="B63" s="20">
        <f>Разбивка_по_щитам!B63</f>
      </c>
      <c r="C63" s="20">
        <f>Разбивка_по_щитам!C63</f>
      </c>
      <c r="D63" s="20">
        <f>Разбивка_по_щитам!F63</f>
      </c>
      <c r="E63" s="20">
        <f>Разбивка_по_щитам!H63</f>
      </c>
      <c r="F63" s="20">
        <f>Разбивка_по_щитам!I63</f>
      </c>
      <c r="G63" s="20">
        <f>Разбивка_по_щитам!J63</f>
      </c>
      <c r="H63" s="20">
        <f>Разбивка_по_щитам!K63</f>
      </c>
      <c r="I63" s="20">
        <f>Разбивка_по_щитам!L63</f>
      </c>
      <c r="J63" s="20">
        <f>Разбивка_по_щитам!M63</f>
      </c>
      <c r="K63" s="20">
        <f>Разбивка_по_щитам!N63</f>
      </c>
      <c r="L63" s="20"/>
      <c r="M63" s="20">
        <f>Разбивка_по_щитам!P63</f>
      </c>
      <c r="N63" s="20"/>
      <c r="P63" s="20"/>
      <c r="Q63" s="20"/>
      <c r="R63" s="20"/>
      <c r="S63" s="20"/>
      <c r="T63" s="20"/>
      <c r="U63" s="20"/>
    </row>
    <row r="64" spans="2:21" x14ac:dyDescent="0.25">
      <c r="B64" s="20">
        <f>Разбивка_по_щитам!B64</f>
      </c>
      <c r="C64" s="20">
        <f>Разбивка_по_щитам!C64</f>
      </c>
      <c r="D64" s="20">
        <f>Разбивка_по_щитам!F64</f>
      </c>
      <c r="E64" s="20">
        <f>Разбивка_по_щитам!H64</f>
      </c>
      <c r="F64" s="20">
        <f>Разбивка_по_щитам!I64</f>
      </c>
      <c r="G64" s="20">
        <f>Разбивка_по_щитам!J64</f>
      </c>
      <c r="H64" s="20">
        <f>Разбивка_по_щитам!K64</f>
      </c>
      <c r="I64" s="20">
        <f>Разбивка_по_щитам!L64</f>
      </c>
      <c r="J64" s="20">
        <f>Разбивка_по_щитам!M64</f>
      </c>
      <c r="K64" s="20">
        <f>Разбивка_по_щитам!N64</f>
      </c>
      <c r="L64" s="20"/>
      <c r="M64" s="20">
        <f>Разбивка_по_щитам!P64</f>
      </c>
      <c r="N64" s="20"/>
      <c r="P64" s="20"/>
      <c r="Q64" s="20"/>
      <c r="R64" s="20"/>
      <c r="S64" s="20"/>
      <c r="T64" s="20"/>
      <c r="U64" s="20"/>
    </row>
    <row r="65" spans="2:21" x14ac:dyDescent="0.25">
      <c r="B65" s="20">
        <f>Разбивка_по_щитам!B65</f>
      </c>
      <c r="C65" s="20">
        <f>Разбивка_по_щитам!C65</f>
      </c>
      <c r="D65" s="20">
        <f>Разбивка_по_щитам!F65</f>
      </c>
      <c r="E65" s="20">
        <f>Разбивка_по_щитам!H65</f>
      </c>
      <c r="F65" s="20">
        <f>Разбивка_по_щитам!I65</f>
      </c>
      <c r="G65" s="20">
        <f>Разбивка_по_щитам!J65</f>
      </c>
      <c r="H65" s="20">
        <f>Разбивка_по_щитам!K65</f>
      </c>
      <c r="I65" s="20">
        <f>Разбивка_по_щитам!L65</f>
      </c>
      <c r="J65" s="20">
        <f>Разбивка_по_щитам!M65</f>
      </c>
      <c r="K65" s="20">
        <f>Разбивка_по_щитам!N65</f>
      </c>
      <c r="L65" s="20"/>
      <c r="M65" s="20">
        <f>Разбивка_по_щитам!P65</f>
      </c>
      <c r="N65" s="20"/>
      <c r="P65" s="20"/>
      <c r="Q65" s="20"/>
      <c r="R65" s="20"/>
      <c r="S65" s="20"/>
      <c r="T65" s="20"/>
      <c r="U65" s="20"/>
    </row>
    <row r="66" spans="2:21" x14ac:dyDescent="0.25">
      <c r="B66" s="20">
        <f>Разбивка_по_щитам!B66</f>
      </c>
      <c r="C66" s="20">
        <f>Разбивка_по_щитам!C66</f>
      </c>
      <c r="D66" s="20">
        <f>Разбивка_по_щитам!F66</f>
      </c>
      <c r="E66" s="20">
        <f>Разбивка_по_щитам!H66</f>
      </c>
      <c r="F66" s="20">
        <f>Разбивка_по_щитам!I66</f>
      </c>
      <c r="G66" s="20">
        <f>Разбивка_по_щитам!J66</f>
      </c>
      <c r="H66" s="20">
        <f>Разбивка_по_щитам!K66</f>
      </c>
      <c r="I66" s="20">
        <f>Разбивка_по_щитам!L66</f>
      </c>
      <c r="J66" s="20">
        <f>Разбивка_по_щитам!M66</f>
      </c>
      <c r="K66" s="20">
        <f>Разбивка_по_щитам!N66</f>
      </c>
      <c r="L66" s="20"/>
      <c r="M66" s="20">
        <f>Разбивка_по_щитам!P66</f>
      </c>
      <c r="N66" s="20"/>
      <c r="P66" s="20"/>
      <c r="Q66" s="20"/>
      <c r="R66" s="20"/>
      <c r="S66" s="20"/>
      <c r="T66" s="20"/>
      <c r="U66" s="20"/>
    </row>
    <row r="67" spans="2:21" x14ac:dyDescent="0.25">
      <c r="B67" s="20">
        <f>Разбивка_по_щитам!B67</f>
      </c>
      <c r="C67" s="20">
        <f>Разбивка_по_щитам!C67</f>
      </c>
      <c r="D67" s="20">
        <f>Разбивка_по_щитам!F67</f>
      </c>
      <c r="E67" s="20">
        <f>Разбивка_по_щитам!H67</f>
      </c>
      <c r="F67" s="20">
        <f>Разбивка_по_щитам!I67</f>
      </c>
      <c r="G67" s="20">
        <f>Разбивка_по_щитам!J67</f>
      </c>
      <c r="H67" s="20">
        <f>Разбивка_по_щитам!K67</f>
      </c>
      <c r="I67" s="20">
        <f>Разбивка_по_щитам!L67</f>
      </c>
      <c r="J67" s="20">
        <f>Разбивка_по_щитам!M67</f>
      </c>
      <c r="K67" s="20">
        <f>Разбивка_по_щитам!N67</f>
      </c>
      <c r="L67" s="20"/>
      <c r="M67" s="20">
        <f>Разбивка_по_щитам!P67</f>
      </c>
      <c r="N67" s="20"/>
      <c r="P67" s="20"/>
      <c r="Q67" s="20"/>
      <c r="R67" s="20"/>
      <c r="S67" s="20"/>
      <c r="T67" s="20"/>
      <c r="U67" s="20"/>
    </row>
    <row r="68" spans="2:21" x14ac:dyDescent="0.25">
      <c r="B68" s="20">
        <f>Разбивка_по_щитам!B68</f>
      </c>
      <c r="C68" s="20">
        <f>Разбивка_по_щитам!C68</f>
      </c>
      <c r="D68" s="20">
        <f>Разбивка_по_щитам!F68</f>
      </c>
      <c r="E68" s="20">
        <f>Разбивка_по_щитам!H68</f>
      </c>
      <c r="F68" s="20">
        <f>Разбивка_по_щитам!I68</f>
      </c>
      <c r="G68" s="20">
        <f>Разбивка_по_щитам!J68</f>
      </c>
      <c r="H68" s="20">
        <f>Разбивка_по_щитам!K68</f>
      </c>
      <c r="I68" s="20">
        <f>Разбивка_по_щитам!L68</f>
      </c>
      <c r="J68" s="20">
        <f>Разбивка_по_щитам!M68</f>
      </c>
      <c r="K68" s="20">
        <f>Разбивка_по_щитам!N68</f>
      </c>
      <c r="L68" s="20"/>
      <c r="M68" s="20">
        <f>Разбивка_по_щитам!P68</f>
      </c>
      <c r="N68" s="20"/>
      <c r="P68" s="20"/>
      <c r="Q68" s="20"/>
      <c r="R68" s="20"/>
      <c r="S68" s="20"/>
      <c r="T68" s="20"/>
      <c r="U68" s="20"/>
    </row>
    <row r="69" spans="2:21" x14ac:dyDescent="0.25">
      <c r="B69" s="20">
        <f>Разбивка_по_щитам!B69</f>
      </c>
      <c r="C69" s="20">
        <f>Разбивка_по_щитам!C69</f>
      </c>
      <c r="D69" s="20">
        <f>Разбивка_по_щитам!F69</f>
      </c>
      <c r="E69" s="20">
        <f>Разбивка_по_щитам!H69</f>
      </c>
      <c r="F69" s="20">
        <f>Разбивка_по_щитам!I69</f>
      </c>
      <c r="G69" s="20">
        <f>Разбивка_по_щитам!J69</f>
      </c>
      <c r="H69" s="20">
        <f>Разбивка_по_щитам!K69</f>
      </c>
      <c r="I69" s="20">
        <f>Разбивка_по_щитам!L69</f>
      </c>
      <c r="J69" s="20">
        <f>Разбивка_по_щитам!M69</f>
      </c>
      <c r="K69" s="20">
        <f>Разбивка_по_щитам!N69</f>
      </c>
      <c r="L69" s="20"/>
      <c r="M69" s="20">
        <f>Разбивка_по_щитам!P69</f>
      </c>
      <c r="N69" s="20"/>
      <c r="P69" s="20"/>
      <c r="Q69" s="20"/>
      <c r="R69" s="20"/>
      <c r="S69" s="20"/>
      <c r="T69" s="20"/>
      <c r="U69" s="20"/>
    </row>
    <row r="70" spans="2:21" x14ac:dyDescent="0.25">
      <c r="B70" s="20">
        <f>Разбивка_по_щитам!B70</f>
      </c>
      <c r="C70" s="20">
        <f>Разбивка_по_щитам!C70</f>
      </c>
      <c r="D70" s="20">
        <f>Разбивка_по_щитам!F70</f>
      </c>
      <c r="E70" s="20">
        <f>Разбивка_по_щитам!H70</f>
      </c>
      <c r="F70" s="20">
        <f>Разбивка_по_щитам!I70</f>
      </c>
      <c r="G70" s="20">
        <f>Разбивка_по_щитам!J70</f>
        <v/>
      </c>
      <c r="H70" s="20">
        <f>Разбивка_по_щитам!K70</f>
        <v/>
      </c>
      <c r="I70" s="20">
        <f>Разбивка_по_щитам!L70</f>
        <v/>
      </c>
      <c r="J70" s="20">
        <f>Разбивка_по_щитам!M70</f>
        <v/>
      </c>
      <c r="K70" s="20">
        <f>Разбивка_по_щитам!N70</f>
        <v/>
      </c>
      <c r="L70" s="20"/>
      <c r="M70" s="20">
        <f>Разбивка_по_щитам!P70</f>
        <v/>
      </c>
      <c r="N70" s="20"/>
      <c r="P70" s="20"/>
      <c r="Q70" s="20"/>
      <c r="R70" s="20"/>
      <c r="S70" s="20"/>
      <c r="T70" s="20"/>
      <c r="U70" s="20"/>
    </row>
    <row r="71" spans="2:21" x14ac:dyDescent="0.25">
      <c r="B71" s="20">
        <f>Разбивка_по_щитам!B71</f>
      </c>
      <c r="C71" s="20">
        <f>Разбивка_по_щитам!C71</f>
      </c>
      <c r="D71" s="20">
        <f>Разбивка_по_щитам!F71</f>
      </c>
      <c r="E71" s="20">
        <f>Разбивка_по_щитам!H71</f>
      </c>
      <c r="F71" s="20">
        <f>Разбивка_по_щитам!I71</f>
      </c>
      <c r="G71" s="20">
        <f>Разбивка_по_щитам!J71</f>
        <v/>
      </c>
      <c r="H71" s="20">
        <f>Разбивка_по_щитам!K71</f>
        <v/>
      </c>
      <c r="I71" s="20">
        <f>Разбивка_по_щитам!L71</f>
        <v/>
      </c>
      <c r="J71" s="20">
        <f>Разбивка_по_щитам!M71</f>
        <v/>
      </c>
      <c r="K71" s="20">
        <f>Разбивка_по_щитам!N71</f>
        <v/>
      </c>
      <c r="L71" s="20"/>
      <c r="M71" s="20">
        <f>Разбивка_по_щитам!P71</f>
        <v/>
      </c>
      <c r="N71" s="20"/>
      <c r="P71" s="20"/>
      <c r="Q71" s="20"/>
      <c r="R71" s="20"/>
      <c r="S71" s="20"/>
      <c r="T71" s="20"/>
      <c r="U71" s="20"/>
    </row>
    <row r="72" spans="2:21" x14ac:dyDescent="0.25">
      <c r="B72" s="20">
        <f>Разбивка_по_щитам!B72</f>
      </c>
      <c r="C72" s="20">
        <f>Разбивка_по_щитам!C72</f>
      </c>
      <c r="D72" s="20">
        <f>Разбивка_по_щитам!F72</f>
      </c>
      <c r="E72" s="20">
        <f>Разбивка_по_щитам!H72</f>
      </c>
      <c r="F72" s="20">
        <f>Разбивка_по_щитам!I72</f>
      </c>
      <c r="G72" s="20">
        <f>Разбивка_по_щитам!J72</f>
      </c>
      <c r="H72" s="20">
        <f>Разбивка_по_щитам!K72</f>
      </c>
      <c r="I72" s="20">
        <f>Разбивка_по_щитам!L72</f>
      </c>
      <c r="J72" s="20">
        <f>Разбивка_по_щитам!M72</f>
      </c>
      <c r="K72" s="20">
        <f>Разбивка_по_щитам!N72</f>
      </c>
      <c r="L72" s="20"/>
      <c r="M72" s="20">
        <f>Разбивка_по_щитам!P72</f>
      </c>
      <c r="N72" s="20"/>
      <c r="P72" s="20"/>
      <c r="Q72" s="20"/>
      <c r="R72" s="20"/>
      <c r="S72" s="20"/>
      <c r="T72" s="20"/>
      <c r="U72" s="20"/>
    </row>
    <row r="73" spans="2:21" x14ac:dyDescent="0.25">
      <c r="B73" s="20">
        <f>Разбивка_по_щитам!B73</f>
      </c>
      <c r="C73" s="20">
        <f>Разбивка_по_щитам!C73</f>
      </c>
      <c r="D73" s="20">
        <f>Разбивка_по_щитам!F73</f>
      </c>
      <c r="E73" s="20">
        <f>Разбивка_по_щитам!H73</f>
      </c>
      <c r="F73" s="20">
        <f>Разбивка_по_щитам!I73</f>
      </c>
      <c r="G73" s="20">
        <f>Разбивка_по_щитам!J73</f>
      </c>
      <c r="H73" s="20">
        <f>Разбивка_по_щитам!K73</f>
      </c>
      <c r="I73" s="20">
        <f>Разбивка_по_щитам!L73</f>
      </c>
      <c r="J73" s="20">
        <f>Разбивка_по_щитам!M73</f>
      </c>
      <c r="K73" s="20">
        <f>Разбивка_по_щитам!N73</f>
      </c>
      <c r="L73" s="20"/>
      <c r="M73" s="20">
        <f>Разбивка_по_щитам!P73</f>
      </c>
      <c r="N73" s="20"/>
      <c r="P73" s="20"/>
      <c r="Q73" s="20"/>
      <c r="R73" s="20"/>
      <c r="S73" s="20"/>
      <c r="T73" s="20"/>
      <c r="U73" s="20"/>
    </row>
    <row r="74" spans="2:21" x14ac:dyDescent="0.25">
      <c r="B74" s="20">
        <f>Разбивка_по_щитам!B74</f>
      </c>
      <c r="C74" s="20">
        <f>Разбивка_по_щитам!C74</f>
      </c>
      <c r="D74" s="20">
        <f>Разбивка_по_щитам!F74</f>
      </c>
      <c r="E74" s="20">
        <f>Разбивка_по_щитам!H74</f>
      </c>
      <c r="F74" s="20">
        <f>Разбивка_по_щитам!I74</f>
      </c>
      <c r="G74" s="20">
        <f>Разбивка_по_щитам!J74</f>
      </c>
      <c r="H74" s="20">
        <f>Разбивка_по_щитам!K74</f>
      </c>
      <c r="I74" s="20">
        <f>Разбивка_по_щитам!L74</f>
      </c>
      <c r="J74" s="20">
        <f>Разбивка_по_щитам!M74</f>
      </c>
      <c r="K74" s="20">
        <f>Разбивка_по_щитам!N74</f>
      </c>
      <c r="L74" s="20"/>
      <c r="M74" s="20">
        <f>Разбивка_по_щитам!P74</f>
      </c>
      <c r="N74" s="20"/>
      <c r="P74" s="20"/>
      <c r="Q74" s="20"/>
      <c r="R74" s="20"/>
      <c r="S74" s="20"/>
      <c r="T74" s="20"/>
      <c r="U74" s="20"/>
    </row>
    <row r="75" spans="2:21" x14ac:dyDescent="0.25">
      <c r="B75" s="20">
        <f>Разбивка_по_щитам!B75</f>
      </c>
      <c r="C75" s="20">
        <f>Разбивка_по_щитам!C75</f>
      </c>
      <c r="D75" s="20">
        <f>Разбивка_по_щитам!F75</f>
      </c>
      <c r="E75" s="20">
        <f>Разбивка_по_щитам!H75</f>
      </c>
      <c r="F75" s="20">
        <f>Разбивка_по_щитам!I75</f>
      </c>
      <c r="G75" s="20">
        <f>Разбивка_по_щитам!J75</f>
      </c>
      <c r="H75" s="20">
        <f>Разбивка_по_щитам!K75</f>
      </c>
      <c r="I75" s="20">
        <f>Разбивка_по_щитам!L75</f>
      </c>
      <c r="J75" s="20">
        <f>Разбивка_по_щитам!M75</f>
      </c>
      <c r="K75" s="20">
        <f>Разбивка_по_щитам!N75</f>
      </c>
      <c r="L75" s="20"/>
      <c r="M75" s="20">
        <f>Разбивка_по_щитам!P75</f>
      </c>
      <c r="N75" s="20"/>
      <c r="P75" s="20"/>
      <c r="Q75" s="20"/>
      <c r="R75" s="20"/>
      <c r="S75" s="20"/>
      <c r="T75" s="20"/>
      <c r="U75" s="20"/>
    </row>
    <row r="76" spans="2:21" x14ac:dyDescent="0.25">
      <c r="B76" s="20">
        <f>Разбивка_по_щитам!B76</f>
      </c>
      <c r="C76" s="20">
        <f>Разбивка_по_щитам!C76</f>
      </c>
      <c r="D76" s="20">
        <f>Разбивка_по_щитам!F76</f>
      </c>
      <c r="E76" s="20">
        <f>Разбивка_по_щитам!H76</f>
      </c>
      <c r="F76" s="20">
        <f>Разбивка_по_щитам!I76</f>
      </c>
      <c r="G76" s="20">
        <f>Разбивка_по_щитам!J76</f>
      </c>
      <c r="H76" s="20">
        <f>Разбивка_по_щитам!K76</f>
      </c>
      <c r="I76" s="20">
        <f>Разбивка_по_щитам!L76</f>
      </c>
      <c r="J76" s="20">
        <f>Разбивка_по_щитам!M76</f>
      </c>
      <c r="K76" s="20">
        <f>Разбивка_по_щитам!N76</f>
      </c>
      <c r="L76" s="20"/>
      <c r="M76" s="20">
        <f>Разбивка_по_щитам!P76</f>
      </c>
      <c r="N76" s="20"/>
      <c r="P76" s="20"/>
      <c r="Q76" s="20"/>
      <c r="R76" s="20"/>
      <c r="S76" s="20"/>
      <c r="T76" s="20"/>
      <c r="U76" s="20"/>
    </row>
    <row r="77" spans="2:21" x14ac:dyDescent="0.25">
      <c r="B77" s="20">
        <f>Разбивка_по_щитам!B77</f>
      </c>
      <c r="C77" s="20">
        <f>Разбивка_по_щитам!C77</f>
      </c>
      <c r="D77" s="20">
        <f>Разбивка_по_щитам!F77</f>
      </c>
      <c r="E77" s="20">
        <f>Разбивка_по_щитам!H77</f>
      </c>
      <c r="F77" s="20">
        <f>Разбивка_по_щитам!I77</f>
      </c>
      <c r="G77" s="20">
        <f>Разбивка_по_щитам!J77</f>
      </c>
      <c r="H77" s="20">
        <f>Разбивка_по_щитам!K77</f>
      </c>
      <c r="I77" s="20">
        <f>Разбивка_по_щитам!L77</f>
      </c>
      <c r="J77" s="20">
        <f>Разбивка_по_щитам!M77</f>
      </c>
      <c r="K77" s="20">
        <f>Разбивка_по_щитам!N77</f>
      </c>
      <c r="L77" s="20"/>
      <c r="M77" s="20">
        <f>Разбивка_по_щитам!P77</f>
      </c>
      <c r="N77" s="20"/>
      <c r="P77" s="20"/>
      <c r="Q77" s="20"/>
      <c r="R77" s="20"/>
      <c r="S77" s="20"/>
      <c r="T77" s="20"/>
      <c r="U77" s="20"/>
    </row>
    <row r="78" spans="2:21" x14ac:dyDescent="0.25">
      <c r="B78" s="20">
        <f>Разбивка_по_щитам!B78</f>
      </c>
      <c r="C78" s="20">
        <f>Разбивка_по_щитам!C78</f>
      </c>
      <c r="D78" s="20">
        <f>Разбивка_по_щитам!F78</f>
      </c>
      <c r="E78" s="20">
        <f>Разбивка_по_щитам!H78</f>
      </c>
      <c r="F78" s="20">
        <f>Разбивка_по_щитам!I78</f>
      </c>
      <c r="G78" s="20">
        <f>Разбивка_по_щитам!J78</f>
      </c>
      <c r="H78" s="20">
        <f>Разбивка_по_щитам!K78</f>
      </c>
      <c r="I78" s="20">
        <f>Разбивка_по_щитам!L78</f>
      </c>
      <c r="J78" s="20">
        <f>Разбивка_по_щитам!M78</f>
      </c>
      <c r="K78" s="20">
        <f>Разбивка_по_щитам!N78</f>
      </c>
      <c r="L78" s="20"/>
      <c r="M78" s="20">
        <f>Разбивка_по_щитам!P78</f>
      </c>
      <c r="N78" s="20"/>
      <c r="P78" s="20"/>
      <c r="Q78" s="20"/>
      <c r="R78" s="20"/>
      <c r="S78" s="20"/>
      <c r="T78" s="20"/>
      <c r="U78" s="20"/>
    </row>
    <row r="79" spans="2:21" x14ac:dyDescent="0.25">
      <c r="B79" s="20">
        <f>Разбивка_по_щитам!B79</f>
      </c>
      <c r="C79" s="20">
        <f>Разбивка_по_щитам!C79</f>
      </c>
      <c r="D79" s="20">
        <f>Разбивка_по_щитам!F79</f>
      </c>
      <c r="E79" s="20">
        <f>Разбивка_по_щитам!H79</f>
      </c>
      <c r="F79" s="20">
        <f>Разбивка_по_щитам!I79</f>
      </c>
      <c r="G79" s="20">
        <f>Разбивка_по_щитам!J79</f>
        <v/>
      </c>
      <c r="H79" s="20">
        <f>Разбивка_по_щитам!K79</f>
        <v/>
      </c>
      <c r="I79" s="20">
        <f>Разбивка_по_щитам!L79</f>
        <v/>
      </c>
      <c r="J79" s="20">
        <f>Разбивка_по_щитам!M79</f>
        <v/>
      </c>
      <c r="K79" s="20">
        <f>Разбивка_по_щитам!N79</f>
        <v/>
      </c>
      <c r="L79" s="20"/>
      <c r="M79" s="20">
        <f>Разбивка_по_щитам!P79</f>
        <v/>
      </c>
      <c r="N79" s="20"/>
      <c r="P79" s="20"/>
      <c r="Q79" s="20"/>
      <c r="R79" s="20"/>
      <c r="S79" s="20"/>
      <c r="T79" s="20"/>
      <c r="U79" s="20"/>
    </row>
    <row r="80" spans="2:21" x14ac:dyDescent="0.25">
      <c r="B80" s="20">
        <f>Разбивка_по_щитам!B80</f>
      </c>
      <c r="C80" s="20">
        <f>Разбивка_по_щитам!C80</f>
      </c>
      <c r="D80" s="20">
        <f>Разбивка_по_щитам!F80</f>
      </c>
      <c r="E80" s="20">
        <f>Разбивка_по_щитам!H80</f>
      </c>
      <c r="F80" s="20">
        <f>Разбивка_по_щитам!I80</f>
      </c>
      <c r="G80" s="20">
        <f>Разбивка_по_щитам!J80</f>
        <v/>
      </c>
      <c r="H80" s="20">
        <f>Разбивка_по_щитам!K80</f>
        <v/>
      </c>
      <c r="I80" s="20">
        <f>Разбивка_по_щитам!L80</f>
        <v/>
      </c>
      <c r="J80" s="20">
        <f>Разбивка_по_щитам!M80</f>
        <v/>
      </c>
      <c r="K80" s="20">
        <f>Разбивка_по_щитам!N80</f>
        <v/>
      </c>
      <c r="L80" s="20"/>
      <c r="M80" s="20">
        <f>Разбивка_по_щитам!P80</f>
        <v/>
      </c>
      <c r="N80" s="20"/>
      <c r="P80" s="20"/>
      <c r="Q80" s="20"/>
      <c r="R80" s="20"/>
      <c r="S80" s="20"/>
      <c r="T80" s="20"/>
      <c r="U80" s="20"/>
    </row>
    <row r="81" spans="2:21" x14ac:dyDescent="0.25">
      <c r="B81" s="20">
        <f>Разбивка_по_щитам!B81</f>
      </c>
      <c r="C81" s="20">
        <f>Разбивка_по_щитам!C81</f>
      </c>
      <c r="D81" s="20">
        <f>Разбивка_по_щитам!F81</f>
      </c>
      <c r="E81" s="20">
        <f>Разбивка_по_щитам!H81</f>
      </c>
      <c r="F81" s="20">
        <f>Разбивка_по_щитам!I81</f>
      </c>
      <c r="G81" s="20">
        <f>Разбивка_по_щитам!J81</f>
        <v/>
      </c>
      <c r="H81" s="20">
        <f>Разбивка_по_щитам!K81</f>
        <v/>
      </c>
      <c r="I81" s="20">
        <f>Разбивка_по_щитам!L81</f>
        <v/>
      </c>
      <c r="J81" s="20">
        <f>Разбивка_по_щитам!M81</f>
        <v/>
      </c>
      <c r="K81" s="20">
        <f>Разбивка_по_щитам!N81</f>
        <v/>
      </c>
      <c r="L81" s="20"/>
      <c r="M81" s="20">
        <f>Разбивка_по_щитам!P81</f>
        <v/>
      </c>
      <c r="N81" s="20"/>
      <c r="P81" s="20"/>
      <c r="Q81" s="20"/>
      <c r="R81" s="20"/>
      <c r="S81" s="20"/>
      <c r="T81" s="20"/>
      <c r="U81" s="20"/>
    </row>
    <row r="82" spans="2:21" x14ac:dyDescent="0.25">
      <c r="B82" s="20">
        <f>Разбивка_по_щитам!B82</f>
      </c>
      <c r="C82" s="20">
        <f>Разбивка_по_щитам!C82</f>
      </c>
      <c r="D82" s="20">
        <f>Разбивка_по_щитам!F82</f>
      </c>
      <c r="E82" s="20">
        <f>Разбивка_по_щитам!H82</f>
      </c>
      <c r="F82" s="20">
        <f>Разбивка_по_щитам!I82</f>
      </c>
      <c r="G82" s="20">
        <f>Разбивка_по_щитам!J82</f>
        <v/>
      </c>
      <c r="H82" s="20">
        <f>Разбивка_по_щитам!K82</f>
        <v/>
      </c>
      <c r="I82" s="20">
        <f>Разбивка_по_щитам!L82</f>
        <v/>
      </c>
      <c r="J82" s="20">
        <f>Разбивка_по_щитам!M82</f>
        <v/>
      </c>
      <c r="K82" s="20">
        <f>Разбивка_по_щитам!N82</f>
        <v/>
      </c>
      <c r="L82" s="20"/>
      <c r="M82" s="20">
        <f>Разбивка_по_щитам!P82</f>
        <v/>
      </c>
      <c r="N82" s="20"/>
      <c r="P82" s="20"/>
      <c r="Q82" s="20"/>
      <c r="R82" s="20"/>
      <c r="S82" s="20"/>
      <c r="T82" s="20"/>
      <c r="U82" s="20"/>
    </row>
    <row r="83" spans="2:21" x14ac:dyDescent="0.25">
      <c r="B83" s="20">
        <f>Разбивка_по_щитам!B83</f>
      </c>
      <c r="C83" s="20">
        <f>Разбивка_по_щитам!C83</f>
      </c>
      <c r="D83" s="20">
        <f>Разбивка_по_щитам!F83</f>
      </c>
      <c r="E83" s="20">
        <f>Разбивка_по_щитам!H83</f>
      </c>
      <c r="F83" s="20">
        <f>Разбивка_по_щитам!I83</f>
      </c>
      <c r="G83" s="20">
        <f>Разбивка_по_щитам!J83</f>
        <v/>
      </c>
      <c r="H83" s="20">
        <f>Разбивка_по_щитам!K83</f>
        <v/>
      </c>
      <c r="I83" s="20">
        <f>Разбивка_по_щитам!L83</f>
        <v/>
      </c>
      <c r="J83" s="20">
        <f>Разбивка_по_щитам!M83</f>
        <v/>
      </c>
      <c r="K83" s="20">
        <f>Разбивка_по_щитам!N83</f>
        <v/>
      </c>
      <c r="L83" s="20"/>
      <c r="M83" s="20">
        <f>Разбивка_по_щитам!P83</f>
        <v/>
      </c>
      <c r="N83" s="20"/>
      <c r="P83" s="20"/>
      <c r="Q83" s="20"/>
      <c r="R83" s="20"/>
      <c r="S83" s="20"/>
      <c r="T83" s="20"/>
      <c r="U83" s="20"/>
    </row>
    <row r="84" spans="2:21" x14ac:dyDescent="0.25">
      <c r="B84" s="20">
        <f>Разбивка_по_щитам!B84</f>
      </c>
      <c r="C84" s="20">
        <f>Разбивка_по_щитам!C84</f>
      </c>
      <c r="D84" s="20">
        <f>Разбивка_по_щитам!F84</f>
      </c>
      <c r="E84" s="20">
        <f>Разбивка_по_щитам!H84</f>
      </c>
      <c r="F84" s="20">
        <f>Разбивка_по_щитам!I84</f>
      </c>
      <c r="G84" s="20">
        <f>Разбивка_по_щитам!J84</f>
        <v/>
      </c>
      <c r="H84" s="20">
        <f>Разбивка_по_щитам!K84</f>
        <v/>
      </c>
      <c r="I84" s="20">
        <f>Разбивка_по_щитам!L84</f>
        <v/>
      </c>
      <c r="J84" s="20">
        <f>Разбивка_по_щитам!M84</f>
        <v/>
      </c>
      <c r="K84" s="20">
        <f>Разбивка_по_щитам!N84</f>
        <v/>
      </c>
      <c r="L84" s="20"/>
      <c r="M84" s="20">
        <f>Разбивка_по_щитам!P84</f>
        <v/>
      </c>
      <c r="N84" s="20"/>
      <c r="P84" s="20"/>
      <c r="Q84" s="20"/>
      <c r="R84" s="20"/>
      <c r="S84" s="20"/>
      <c r="T84" s="20"/>
      <c r="U84" s="20"/>
    </row>
    <row r="85" spans="2:21" x14ac:dyDescent="0.25">
      <c r="B85" s="20">
        <f>Разбивка_по_щитам!B85</f>
      </c>
      <c r="C85" s="20">
        <f>Разбивка_по_щитам!C85</f>
      </c>
      <c r="D85" s="20">
        <f>Разбивка_по_щитам!F85</f>
      </c>
      <c r="E85" s="20">
        <f>Разбивка_по_щитам!H85</f>
      </c>
      <c r="F85" s="20">
        <f>Разбивка_по_щитам!I85</f>
      </c>
      <c r="G85" s="20">
        <f>Разбивка_по_щитам!J85</f>
        <v/>
      </c>
      <c r="H85" s="20">
        <f>Разбивка_по_щитам!K85</f>
        <v/>
      </c>
      <c r="I85" s="20">
        <f>Разбивка_по_щитам!L85</f>
        <v/>
      </c>
      <c r="J85" s="20">
        <f>Разбивка_по_щитам!M85</f>
        <v/>
      </c>
      <c r="K85" s="20">
        <f>Разбивка_по_щитам!N85</f>
        <v/>
      </c>
      <c r="L85" s="20"/>
      <c r="M85" s="20">
        <f>Разбивка_по_щитам!P85</f>
        <v/>
      </c>
      <c r="N85" s="20"/>
      <c r="P85" s="20"/>
      <c r="Q85" s="20"/>
      <c r="R85" s="20"/>
      <c r="S85" s="20"/>
      <c r="T85" s="20"/>
      <c r="U85" s="20"/>
    </row>
    <row r="86" spans="2:21" x14ac:dyDescent="0.25">
      <c r="B86" s="20">
        <f>Разбивка_по_щитам!B86</f>
      </c>
      <c r="C86" s="20">
        <f>Разбивка_по_щитам!C86</f>
      </c>
      <c r="D86" s="20">
        <f>Разбивка_по_щитам!F86</f>
      </c>
      <c r="E86" s="20">
        <f>Разбивка_по_щитам!H86</f>
      </c>
      <c r="F86" s="20">
        <f>Разбивка_по_щитам!I86</f>
      </c>
      <c r="G86" s="20">
        <f>Разбивка_по_щитам!J86</f>
        <v/>
      </c>
      <c r="H86" s="20">
        <f>Разбивка_по_щитам!K86</f>
        <v/>
      </c>
      <c r="I86" s="20">
        <f>Разбивка_по_щитам!L86</f>
        <v/>
      </c>
      <c r="J86" s="20">
        <f>Разбивка_по_щитам!M86</f>
        <v/>
      </c>
      <c r="K86" s="20">
        <f>Разбивка_по_щитам!N86</f>
        <v/>
      </c>
      <c r="L86" s="20"/>
      <c r="M86" s="20">
        <f>Разбивка_по_щитам!P86</f>
        <v/>
      </c>
      <c r="N86" s="20"/>
      <c r="P86" s="20"/>
      <c r="Q86" s="20"/>
      <c r="R86" s="20"/>
      <c r="S86" s="20"/>
      <c r="T86" s="20"/>
      <c r="U86" s="20"/>
    </row>
    <row r="87" spans="2:21" x14ac:dyDescent="0.25">
      <c r="B87" s="20">
        <f>Разбивка_по_щитам!B87</f>
      </c>
      <c r="C87" s="20">
        <f>Разбивка_по_щитам!C87</f>
      </c>
      <c r="D87" s="20">
        <f>Разбивка_по_щитам!F87</f>
      </c>
      <c r="E87" s="20">
        <f>Разбивка_по_щитам!H87</f>
      </c>
      <c r="F87" s="20">
        <f>Разбивка_по_щитам!I87</f>
      </c>
      <c r="G87" s="20">
        <f>Разбивка_по_щитам!J87</f>
        <v/>
      </c>
      <c r="H87" s="20">
        <f>Разбивка_по_щитам!K87</f>
        <v/>
      </c>
      <c r="I87" s="20">
        <f>Разбивка_по_щитам!L87</f>
        <v/>
      </c>
      <c r="J87" s="20">
        <f>Разбивка_по_щитам!M87</f>
        <v/>
      </c>
      <c r="K87" s="20">
        <f>Разбивка_по_щитам!N87</f>
        <v/>
      </c>
      <c r="L87" s="20"/>
      <c r="M87" s="20">
        <f>Разбивка_по_щитам!P87</f>
        <v/>
      </c>
      <c r="N87" s="20"/>
      <c r="P87" s="20"/>
      <c r="Q87" s="20"/>
      <c r="R87" s="20"/>
      <c r="S87" s="20"/>
      <c r="T87" s="20"/>
      <c r="U87" s="20"/>
    </row>
    <row r="88" spans="2:21" x14ac:dyDescent="0.25">
      <c r="B88" s="20">
        <f>Разбивка_по_щитам!B88</f>
      </c>
      <c r="C88" s="20">
        <f>Разбивка_по_щитам!C88</f>
      </c>
      <c r="D88" s="20">
        <f>Разбивка_по_щитам!F88</f>
      </c>
      <c r="E88" s="20">
        <f>Разбивка_по_щитам!H88</f>
      </c>
      <c r="F88" s="20">
        <f>Разбивка_по_щитам!I88</f>
      </c>
      <c r="G88" s="20">
        <f>Разбивка_по_щитам!J88</f>
        <v/>
      </c>
      <c r="H88" s="20">
        <f>Разбивка_по_щитам!K88</f>
        <v/>
      </c>
      <c r="I88" s="20">
        <f>Разбивка_по_щитам!L88</f>
        <v/>
      </c>
      <c r="J88" s="20">
        <f>Разбивка_по_щитам!M88</f>
        <v/>
      </c>
      <c r="K88" s="20">
        <f>Разбивка_по_щитам!N88</f>
        <v/>
      </c>
      <c r="L88" s="20"/>
      <c r="M88" s="20">
        <f>Разбивка_по_щитам!P88</f>
        <v/>
      </c>
      <c r="N88" s="20"/>
      <c r="P88" s="20"/>
      <c r="Q88" s="20"/>
      <c r="R88" s="20"/>
      <c r="S88" s="20"/>
      <c r="T88" s="20"/>
      <c r="U88" s="20"/>
    </row>
    <row r="89" spans="2:21" x14ac:dyDescent="0.25">
      <c r="B89" s="20">
        <f>Разбивка_по_щитам!B89</f>
      </c>
      <c r="C89" s="20">
        <f>Разбивка_по_щитам!C89</f>
      </c>
      <c r="D89" s="20">
        <f>Разбивка_по_щитам!F89</f>
      </c>
      <c r="E89" s="20">
        <f>Разбивка_по_щитам!H89</f>
      </c>
      <c r="F89" s="20">
        <f>Разбивка_по_щитам!I89</f>
      </c>
      <c r="G89" s="20">
        <f>Разбивка_по_щитам!J89</f>
        <v/>
      </c>
      <c r="H89" s="20">
        <f>Разбивка_по_щитам!K89</f>
        <v/>
      </c>
      <c r="I89" s="20">
        <f>Разбивка_по_щитам!L89</f>
        <v/>
      </c>
      <c r="J89" s="20">
        <f>Разбивка_по_щитам!M89</f>
        <v/>
      </c>
      <c r="K89" s="20">
        <f>Разбивка_по_щитам!N89</f>
        <v/>
      </c>
      <c r="L89" s="20"/>
      <c r="M89" s="20">
        <f>Разбивка_по_щитам!P89</f>
        <v/>
      </c>
      <c r="N89" s="20"/>
      <c r="P89" s="20"/>
      <c r="Q89" s="20"/>
      <c r="R89" s="20"/>
      <c r="S89" s="20"/>
      <c r="T89" s="20"/>
      <c r="U89" s="20"/>
    </row>
    <row r="90" spans="2:21" x14ac:dyDescent="0.25">
      <c r="B90" s="20">
        <f>Разбивка_по_щитам!B90</f>
      </c>
      <c r="C90" s="20">
        <f>Разбивка_по_щитам!C90</f>
      </c>
      <c r="D90" s="20">
        <f>Разбивка_по_щитам!F90</f>
      </c>
      <c r="E90" s="20">
        <f>Разбивка_по_щитам!H90</f>
      </c>
      <c r="F90" s="20">
        <f>Разбивка_по_щитам!I90</f>
      </c>
      <c r="G90" s="20">
        <f>Разбивка_по_щитам!J90</f>
        <v/>
      </c>
      <c r="H90" s="20">
        <f>Разбивка_по_щитам!K90</f>
        <v/>
      </c>
      <c r="I90" s="20">
        <f>Разбивка_по_щитам!L90</f>
        <v/>
      </c>
      <c r="J90" s="20">
        <f>Разбивка_по_щитам!M90</f>
        <v/>
      </c>
      <c r="K90" s="20">
        <f>Разбивка_по_щитам!N90</f>
        <v/>
      </c>
      <c r="L90" s="20"/>
      <c r="M90" s="20">
        <f>Разбивка_по_щитам!P90</f>
        <v/>
      </c>
      <c r="N90" s="20"/>
      <c r="P90" s="20"/>
      <c r="Q90" s="20"/>
      <c r="R90" s="20"/>
      <c r="S90" s="20"/>
      <c r="T90" s="20"/>
      <c r="U90" s="20"/>
    </row>
    <row r="91" spans="2:21" x14ac:dyDescent="0.25">
      <c r="B91" s="20">
        <f>Разбивка_по_щитам!B91</f>
      </c>
      <c r="C91" s="20">
        <f>Разбивка_по_щитам!C91</f>
      </c>
      <c r="D91" s="20">
        <f>Разбивка_по_щитам!F91</f>
      </c>
      <c r="E91" s="20">
        <f>Разбивка_по_щитам!H91</f>
      </c>
      <c r="F91" s="20">
        <f>Разбивка_по_щитам!I91</f>
      </c>
      <c r="G91" s="20">
        <f>Разбивка_по_щитам!J91</f>
        <v/>
      </c>
      <c r="H91" s="20">
        <f>Разбивка_по_щитам!K91</f>
        <v/>
      </c>
      <c r="I91" s="20">
        <f>Разбивка_по_щитам!L91</f>
        <v/>
      </c>
      <c r="J91" s="20">
        <f>Разбивка_по_щитам!M91</f>
        <v/>
      </c>
      <c r="K91" s="20">
        <f>Разбивка_по_щитам!N91</f>
        <v/>
      </c>
      <c r="L91" s="20"/>
      <c r="M91" s="20">
        <f>Разбивка_по_щитам!P91</f>
        <v/>
      </c>
      <c r="N91" s="20"/>
      <c r="P91" s="20"/>
      <c r="Q91" s="20"/>
      <c r="R91" s="20"/>
      <c r="S91" s="20"/>
      <c r="T91" s="20"/>
      <c r="U91" s="20"/>
    </row>
    <row r="92" spans="2:21" x14ac:dyDescent="0.25">
      <c r="B92" s="20">
        <f>Разбивка_по_щитам!B92</f>
      </c>
      <c r="C92" s="20">
        <f>Разбивка_по_щитам!C92</f>
      </c>
      <c r="D92" s="20">
        <f>Разбивка_по_щитам!F92</f>
      </c>
      <c r="E92" s="20">
        <f>Разбивка_по_щитам!H92</f>
      </c>
      <c r="F92" s="20">
        <f>Разбивка_по_щитам!I92</f>
      </c>
      <c r="G92" s="20">
        <f>Разбивка_по_щитам!J92</f>
        <v/>
      </c>
      <c r="H92" s="20">
        <f>Разбивка_по_щитам!K92</f>
        <v/>
      </c>
      <c r="I92" s="20">
        <f>Разбивка_по_щитам!L92</f>
        <v/>
      </c>
      <c r="J92" s="20">
        <f>Разбивка_по_щитам!M92</f>
        <v/>
      </c>
      <c r="K92" s="20">
        <f>Разбивка_по_щитам!N92</f>
        <v/>
      </c>
      <c r="L92" s="20"/>
      <c r="M92" s="20">
        <f>Разбивка_по_щитам!P92</f>
        <v/>
      </c>
      <c r="N92" s="20"/>
      <c r="P92" s="20"/>
      <c r="Q92" s="20"/>
      <c r="R92" s="20"/>
      <c r="S92" s="20"/>
      <c r="T92" s="20"/>
      <c r="U92" s="20"/>
    </row>
    <row r="93" spans="2:21" x14ac:dyDescent="0.25">
      <c r="B93" s="20">
        <f>Разбивка_по_щитам!B93</f>
      </c>
      <c r="C93" s="20">
        <f>Разбивка_по_щитам!C93</f>
      </c>
      <c r="D93" s="20">
        <f>Разбивка_по_щитам!F93</f>
      </c>
      <c r="E93" s="20">
        <f>Разбивка_по_щитам!H93</f>
      </c>
      <c r="F93" s="20">
        <f>Разбивка_по_щитам!I93</f>
      </c>
      <c r="G93" s="20">
        <f>Разбивка_по_щитам!J93</f>
        <v/>
      </c>
      <c r="H93" s="20">
        <f>Разбивка_по_щитам!K93</f>
        <v/>
      </c>
      <c r="I93" s="20">
        <f>Разбивка_по_щитам!L93</f>
        <v/>
      </c>
      <c r="J93" s="20">
        <f>Разбивка_по_щитам!M93</f>
        <v/>
      </c>
      <c r="K93" s="20">
        <f>Разбивка_по_щитам!N93</f>
        <v/>
      </c>
      <c r="L93" s="20"/>
      <c r="M93" s="20">
        <f>Разбивка_по_щитам!P93</f>
        <v/>
      </c>
      <c r="N93" s="20"/>
      <c r="P93" s="20"/>
      <c r="Q93" s="20"/>
      <c r="R93" s="20"/>
      <c r="S93" s="20"/>
      <c r="T93" s="20"/>
      <c r="U93" s="20"/>
    </row>
    <row r="94" spans="2:21" x14ac:dyDescent="0.25">
      <c r="B94" s="20">
        <f>Разбивка_по_щитам!B94</f>
      </c>
      <c r="C94" s="20">
        <f>Разбивка_по_щитам!C94</f>
      </c>
      <c r="D94" s="20">
        <f>Разбивка_по_щитам!F94</f>
      </c>
      <c r="E94" s="20">
        <f>Разбивка_по_щитам!H94</f>
      </c>
      <c r="F94" s="20">
        <f>Разбивка_по_щитам!I94</f>
      </c>
      <c r="G94" s="20">
        <f>Разбивка_по_щитам!J94</f>
        <v/>
      </c>
      <c r="H94" s="20">
        <f>Разбивка_по_щитам!K94</f>
        <v/>
      </c>
      <c r="I94" s="20">
        <f>Разбивка_по_щитам!L94</f>
        <v/>
      </c>
      <c r="J94" s="20">
        <f>Разбивка_по_щитам!M94</f>
        <v/>
      </c>
      <c r="K94" s="20">
        <f>Разбивка_по_щитам!N94</f>
        <v/>
      </c>
      <c r="L94" s="20"/>
      <c r="M94" s="20">
        <f>Разбивка_по_щитам!P94</f>
        <v/>
      </c>
      <c r="N94" s="20"/>
      <c r="P94" s="20"/>
      <c r="Q94" s="20"/>
      <c r="R94" s="20"/>
      <c r="S94" s="20"/>
      <c r="T94" s="20"/>
      <c r="U94" s="20"/>
    </row>
    <row r="95" spans="2:21" x14ac:dyDescent="0.25">
      <c r="B95" s="20">
        <f>Разбивка_по_щитам!B95</f>
      </c>
      <c r="C95" s="20">
        <f>Разбивка_по_щитам!C95</f>
      </c>
      <c r="D95" s="20">
        <f>Разбивка_по_щитам!F95</f>
      </c>
      <c r="E95" s="20">
        <f>Разбивка_по_щитам!H95</f>
      </c>
      <c r="F95" s="20">
        <f>Разбивка_по_щитам!I95</f>
      </c>
      <c r="G95" s="20">
        <f>Разбивка_по_щитам!J95</f>
        <v/>
      </c>
      <c r="H95" s="20">
        <f>Разбивка_по_щитам!K95</f>
        <v/>
      </c>
      <c r="I95" s="20">
        <f>Разбивка_по_щитам!L95</f>
        <v/>
      </c>
      <c r="J95" s="20">
        <f>Разбивка_по_щитам!M95</f>
        <v/>
      </c>
      <c r="K95" s="20">
        <f>Разбивка_по_щитам!N95</f>
        <v/>
      </c>
      <c r="L95" s="20"/>
      <c r="M95" s="20">
        <f>Разбивка_по_щитам!P95</f>
        <v/>
      </c>
      <c r="N95" s="20"/>
      <c r="P95" s="20"/>
      <c r="Q95" s="20"/>
      <c r="R95" s="20"/>
      <c r="S95" s="20"/>
      <c r="T95" s="20"/>
      <c r="U95" s="20"/>
    </row>
    <row r="96" spans="2:21" x14ac:dyDescent="0.25">
      <c r="B96" s="20">
        <f>Разбивка_по_щитам!B96</f>
      </c>
      <c r="C96" s="20">
        <f>Разбивка_по_щитам!C96</f>
      </c>
      <c r="D96" s="20">
        <f>Разбивка_по_щитам!F96</f>
      </c>
      <c r="E96" s="20">
        <f>Разбивка_по_щитам!H96</f>
      </c>
      <c r="F96" s="20">
        <f>Разбивка_по_щитам!I96</f>
      </c>
      <c r="G96" s="20">
        <f>Разбивка_по_щитам!J96</f>
        <v/>
      </c>
      <c r="H96" s="20">
        <f>Разбивка_по_щитам!K96</f>
        <v/>
      </c>
      <c r="I96" s="20">
        <f>Разбивка_по_щитам!L96</f>
        <v/>
      </c>
      <c r="J96" s="20">
        <f>Разбивка_по_щитам!M96</f>
        <v/>
      </c>
      <c r="K96" s="20">
        <f>Разбивка_по_щитам!N96</f>
        <v/>
      </c>
      <c r="L96" s="20"/>
      <c r="M96" s="20">
        <f>Разбивка_по_щитам!P96</f>
        <v/>
      </c>
      <c r="N96" s="20"/>
      <c r="P96" s="20"/>
      <c r="Q96" s="20"/>
      <c r="R96" s="20"/>
      <c r="S96" s="20"/>
      <c r="T96" s="20"/>
      <c r="U96" s="20"/>
    </row>
    <row r="97" spans="2:21" x14ac:dyDescent="0.25">
      <c r="B97" s="20">
        <f>Разбивка_по_щитам!B97</f>
      </c>
      <c r="C97" s="20">
        <f>Разбивка_по_щитам!C97</f>
      </c>
      <c r="D97" s="20">
        <f>Разбивка_по_щитам!F97</f>
      </c>
      <c r="E97" s="20">
        <f>Разбивка_по_щитам!H97</f>
      </c>
      <c r="F97" s="20">
        <f>Разбивка_по_щитам!I97</f>
      </c>
      <c r="G97" s="20">
        <f>Разбивка_по_щитам!J97</f>
        <v/>
      </c>
      <c r="H97" s="20">
        <f>Разбивка_по_щитам!K97</f>
        <v/>
      </c>
      <c r="I97" s="20">
        <f>Разбивка_по_щитам!L97</f>
        <v/>
      </c>
      <c r="J97" s="20">
        <f>Разбивка_по_щитам!M97</f>
        <v/>
      </c>
      <c r="K97" s="20">
        <f>Разбивка_по_щитам!N97</f>
        <v/>
      </c>
      <c r="L97" s="20"/>
      <c r="M97" s="20">
        <f>Разбивка_по_щитам!P97</f>
        <v/>
      </c>
      <c r="N97" s="20"/>
      <c r="P97" s="20"/>
      <c r="Q97" s="20"/>
      <c r="R97" s="20"/>
      <c r="S97" s="20"/>
      <c r="T97" s="20"/>
      <c r="U97" s="20"/>
    </row>
    <row r="98" spans="2:21" x14ac:dyDescent="0.25">
      <c r="B98" s="20">
        <f>Разбивка_по_щитам!B98</f>
      </c>
      <c r="C98" s="20">
        <f>Разбивка_по_щитам!C98</f>
      </c>
      <c r="D98" s="20">
        <f>Разбивка_по_щитам!F98</f>
      </c>
      <c r="E98" s="20">
        <f>Разбивка_по_щитам!H98</f>
      </c>
      <c r="F98" s="20">
        <f>Разбивка_по_щитам!I98</f>
      </c>
      <c r="G98" s="20">
        <f>Разбивка_по_щитам!J98</f>
        <v/>
      </c>
      <c r="H98" s="20">
        <f>Разбивка_по_щитам!K98</f>
        <v/>
      </c>
      <c r="I98" s="20">
        <f>Разбивка_по_щитам!L98</f>
        <v/>
      </c>
      <c r="J98" s="20">
        <f>Разбивка_по_щитам!M98</f>
        <v/>
      </c>
      <c r="K98" s="20">
        <f>Разбивка_по_щитам!N98</f>
        <v/>
      </c>
      <c r="L98" s="20"/>
      <c r="M98" s="20">
        <f>Разбивка_по_щитам!P98</f>
        <v/>
      </c>
      <c r="N98" s="20"/>
      <c r="P98" s="20"/>
      <c r="Q98" s="20"/>
      <c r="R98" s="20"/>
      <c r="S98" s="20"/>
      <c r="T98" s="20"/>
      <c r="U98" s="20"/>
    </row>
    <row r="99" spans="2:21" x14ac:dyDescent="0.25">
      <c r="B99" s="20">
        <f>Разбивка_по_щитам!B99</f>
      </c>
      <c r="C99" s="20">
        <f>Разбивка_по_щитам!C99</f>
      </c>
      <c r="D99" s="20">
        <f>Разбивка_по_щитам!F99</f>
      </c>
      <c r="E99" s="20">
        <f>Разбивка_по_щитам!H99</f>
      </c>
      <c r="F99" s="20">
        <f>Разбивка_по_щитам!I99</f>
      </c>
      <c r="G99" s="20">
        <f>Разбивка_по_щитам!J99</f>
        <v/>
      </c>
      <c r="H99" s="20">
        <f>Разбивка_по_щитам!K99</f>
        <v/>
      </c>
      <c r="I99" s="20">
        <f>Разбивка_по_щитам!L99</f>
        <v/>
      </c>
      <c r="J99" s="20">
        <f>Разбивка_по_щитам!M99</f>
        <v/>
      </c>
      <c r="K99" s="20">
        <f>Разбивка_по_щитам!N99</f>
        <v/>
      </c>
      <c r="L99" s="20"/>
      <c r="M99" s="20">
        <f>Разбивка_по_щитам!P99</f>
        <v/>
      </c>
      <c r="N99" s="20"/>
      <c r="P99" s="20"/>
      <c r="Q99" s="20"/>
      <c r="R99" s="20"/>
      <c r="S99" s="20"/>
      <c r="T99" s="20"/>
      <c r="U99" s="20"/>
    </row>
    <row r="100" spans="2:21" x14ac:dyDescent="0.25">
      <c r="B100" s="20">
        <f>Разбивка_по_щитам!B100</f>
      </c>
      <c r="C100" s="20">
        <f>Разбивка_по_щитам!C100</f>
      </c>
      <c r="D100" s="20">
        <f>Разбивка_по_щитам!F100</f>
      </c>
      <c r="E100" s="20">
        <f>Разбивка_по_щитам!H100</f>
      </c>
      <c r="F100" s="20">
        <f>Разбивка_по_щитам!I100</f>
      </c>
      <c r="G100" s="20">
        <f>Разбивка_по_щитам!J100</f>
        <v/>
      </c>
      <c r="H100" s="20">
        <f>Разбивка_по_щитам!K100</f>
        <v/>
      </c>
      <c r="I100" s="20">
        <f>Разбивка_по_щитам!L100</f>
        <v/>
      </c>
      <c r="J100" s="20">
        <f>Разбивка_по_щитам!M100</f>
        <v/>
      </c>
      <c r="K100" s="20">
        <f>Разбивка_по_щитам!N100</f>
        <v/>
      </c>
      <c r="L100" s="20"/>
      <c r="M100" s="20">
        <f>Разбивка_по_щитам!P100</f>
        <v/>
      </c>
      <c r="N100" s="20"/>
      <c r="P100" s="20"/>
      <c r="Q100" s="20"/>
      <c r="R100" s="20"/>
      <c r="S100" s="20"/>
      <c r="T100" s="20"/>
      <c r="U100" s="20"/>
    </row>
    <row r="101" spans="2:21" x14ac:dyDescent="0.25">
      <c r="B101" s="20">
        <f>Разбивка_по_щитам!B101</f>
      </c>
      <c r="C101" s="20">
        <f>Разбивка_по_щитам!C101</f>
      </c>
      <c r="D101" s="20">
        <f>Разбивка_по_щитам!F101</f>
      </c>
      <c r="E101" s="20">
        <f>Разбивка_по_щитам!H101</f>
      </c>
      <c r="F101" s="20">
        <f>Разбивка_по_щитам!I101</f>
      </c>
      <c r="G101" s="20">
        <f>Разбивка_по_щитам!J101</f>
        <v/>
      </c>
      <c r="H101" s="20">
        <f>Разбивка_по_щитам!K101</f>
        <v/>
      </c>
      <c r="I101" s="20">
        <f>Разбивка_по_щитам!L101</f>
        <v/>
      </c>
      <c r="J101" s="20">
        <f>Разбивка_по_щитам!M101</f>
        <v/>
      </c>
      <c r="K101" s="20">
        <f>Разбивка_по_щитам!N101</f>
        <v/>
      </c>
      <c r="L101" s="20"/>
      <c r="M101" s="20">
        <f>Разбивка_по_щитам!P101</f>
        <v/>
      </c>
      <c r="N101" s="20"/>
      <c r="P101" s="20"/>
      <c r="Q101" s="20"/>
      <c r="R101" s="20"/>
      <c r="S101" s="20"/>
      <c r="T101" s="20"/>
      <c r="U101" s="20"/>
    </row>
    <row r="102" spans="2:21" x14ac:dyDescent="0.25">
      <c r="B102" s="20">
        <f>Разбивка_по_щитам!B102</f>
      </c>
      <c r="C102" s="20">
        <f>Разбивка_по_щитам!C102</f>
      </c>
      <c r="D102" s="20">
        <f>Разбивка_по_щитам!F102</f>
      </c>
      <c r="E102" s="20">
        <f>Разбивка_по_щитам!H102</f>
      </c>
      <c r="F102" s="20">
        <f>Разбивка_по_щитам!I102</f>
      </c>
      <c r="G102" s="20">
        <f>Разбивка_по_щитам!J102</f>
        <v/>
      </c>
      <c r="H102" s="20">
        <f>Разбивка_по_щитам!K102</f>
        <v/>
      </c>
      <c r="I102" s="20">
        <f>Разбивка_по_щитам!L102</f>
        <v/>
      </c>
      <c r="J102" s="20">
        <f>Разбивка_по_щитам!M102</f>
        <v/>
      </c>
      <c r="K102" s="20">
        <f>Разбивка_по_щитам!N102</f>
        <v/>
      </c>
      <c r="L102" s="20"/>
      <c r="M102" s="20">
        <f>Разбивка_по_щитам!P102</f>
        <v/>
      </c>
      <c r="N102" s="20"/>
      <c r="P102" s="20"/>
      <c r="Q102" s="20"/>
      <c r="R102" s="20"/>
      <c r="S102" s="20"/>
      <c r="T102" s="20"/>
      <c r="U102" s="20"/>
    </row>
    <row r="103" spans="2:21" x14ac:dyDescent="0.25">
      <c r="B103" s="20">
        <f>Разбивка_по_щитам!B103</f>
      </c>
      <c r="C103" s="20">
        <f>Разбивка_по_щитам!C103</f>
      </c>
      <c r="D103" s="20">
        <f>Разбивка_по_щитам!F103</f>
      </c>
      <c r="E103" s="20">
        <f>Разбивка_по_щитам!H103</f>
      </c>
      <c r="F103" s="20">
        <f>Разбивка_по_щитам!I103</f>
      </c>
      <c r="G103" s="20">
        <f>Разбивка_по_щитам!J103</f>
        <v/>
      </c>
      <c r="H103" s="20">
        <f>Разбивка_по_щитам!K103</f>
        <v/>
      </c>
      <c r="I103" s="20">
        <f>Разбивка_по_щитам!L103</f>
        <v/>
      </c>
      <c r="J103" s="20">
        <f>Разбивка_по_щитам!M103</f>
        <v/>
      </c>
      <c r="K103" s="20">
        <f>Разбивка_по_щитам!N103</f>
        <v/>
      </c>
      <c r="L103" s="20"/>
      <c r="M103" s="20">
        <f>Разбивка_по_щитам!P103</f>
        <v/>
      </c>
      <c r="N103" s="20"/>
      <c r="P103" s="20"/>
      <c r="Q103" s="20"/>
      <c r="R103" s="20"/>
      <c r="S103" s="20"/>
      <c r="T103" s="20"/>
      <c r="U103" s="20"/>
    </row>
    <row r="104" spans="2:21" x14ac:dyDescent="0.25">
      <c r="B104" s="20">
        <f>Разбивка_по_щитам!B104</f>
      </c>
      <c r="C104" s="20">
        <f>Разбивка_по_щитам!C104</f>
      </c>
      <c r="D104" s="20">
        <f>Разбивка_по_щитам!F104</f>
      </c>
      <c r="E104" s="20">
        <f>Разбивка_по_щитам!H104</f>
      </c>
      <c r="F104" s="20">
        <f>Разбивка_по_щитам!I104</f>
      </c>
      <c r="G104" s="20">
        <f>Разбивка_по_щитам!J104</f>
        <v/>
      </c>
      <c r="H104" s="20">
        <f>Разбивка_по_щитам!K104</f>
        <v/>
      </c>
      <c r="I104" s="20">
        <f>Разбивка_по_щитам!L104</f>
        <v/>
      </c>
      <c r="J104" s="20">
        <f>Разбивка_по_щитам!M104</f>
        <v/>
      </c>
      <c r="K104" s="20">
        <f>Разбивка_по_щитам!N104</f>
        <v/>
      </c>
      <c r="L104" s="20"/>
      <c r="M104" s="20">
        <f>Разбивка_по_щитам!P104</f>
        <v/>
      </c>
      <c r="N104" s="20"/>
      <c r="P104" s="20"/>
      <c r="Q104" s="20"/>
      <c r="R104" s="20"/>
      <c r="S104" s="20"/>
      <c r="T104" s="20"/>
      <c r="U104" s="20"/>
    </row>
    <row r="105" spans="2:21" x14ac:dyDescent="0.25">
      <c r="B105" s="20">
        <f>Разбивка_по_щитам!B105</f>
      </c>
      <c r="C105" s="20">
        <f>Разбивка_по_щитам!C105</f>
      </c>
      <c r="D105" s="20">
        <f>Разбивка_по_щитам!F105</f>
      </c>
      <c r="E105" s="20">
        <f>Разбивка_по_щитам!H105</f>
      </c>
      <c r="F105" s="20">
        <f>Разбивка_по_щитам!I105</f>
      </c>
      <c r="G105" s="20">
        <f>Разбивка_по_щитам!J105</f>
        <v/>
      </c>
      <c r="H105" s="20">
        <f>Разбивка_по_щитам!K105</f>
        <v/>
      </c>
      <c r="I105" s="20">
        <f>Разбивка_по_щитам!L105</f>
        <v/>
      </c>
      <c r="J105" s="20">
        <f>Разбивка_по_щитам!M105</f>
        <v/>
      </c>
      <c r="K105" s="20">
        <f>Разбивка_по_щитам!N105</f>
        <v/>
      </c>
      <c r="L105" s="20"/>
      <c r="M105" s="20">
        <f>Разбивка_по_щитам!P105</f>
        <v/>
      </c>
      <c r="N105" s="20"/>
      <c r="P105" s="20"/>
      <c r="Q105" s="20"/>
      <c r="R105" s="20"/>
      <c r="S105" s="20"/>
      <c r="T105" s="20"/>
      <c r="U105" s="20"/>
    </row>
    <row r="106" spans="2:21" x14ac:dyDescent="0.25">
      <c r="B106" s="20">
        <f>Разбивка_по_щитам!B106</f>
      </c>
      <c r="C106" s="20">
        <f>Разбивка_по_щитам!C106</f>
      </c>
      <c r="D106" s="20">
        <f>Разбивка_по_щитам!F106</f>
      </c>
      <c r="E106" s="20">
        <f>Разбивка_по_щитам!H106</f>
      </c>
      <c r="F106" s="20">
        <f>Разбивка_по_щитам!I106</f>
      </c>
      <c r="G106" s="20" t="s">
        <v>412</v>
      </c>
      <c r="H106" s="20">
        <f>Разбивка_по_щитам!K106</f>
        <v/>
      </c>
      <c r="I106" s="20">
        <f>Разбивка_по_щитам!L106</f>
        <v/>
      </c>
      <c r="J106" s="20">
        <f>Разбивка_по_щитам!M106</f>
        <v/>
      </c>
      <c r="K106" s="20">
        <f>Разбивка_по_щитам!N106</f>
        <v/>
      </c>
      <c r="L106" s="20"/>
      <c r="M106" s="20">
        <f>Разбивка_по_щитам!P106</f>
        <v/>
      </c>
      <c r="N106" s="20"/>
      <c r="P106" s="20"/>
      <c r="Q106" s="20"/>
      <c r="R106" s="20"/>
      <c r="S106" s="20"/>
      <c r="T106" s="20"/>
      <c r="U106" s="20"/>
    </row>
    <row r="107" spans="2:21" x14ac:dyDescent="0.25">
      <c r="B107" s="20">
        <f>Разбивка_по_щитам!B107</f>
      </c>
      <c r="C107" s="20">
        <f>Разбивка_по_щитам!C107</f>
      </c>
      <c r="D107" s="20">
        <f>Разбивка_по_щитам!F107</f>
      </c>
      <c r="E107" s="20">
        <f>Разбивка_по_щитам!H107</f>
      </c>
      <c r="F107" s="20">
        <f>Разбивка_по_щитам!I107</f>
      </c>
      <c r="G107" s="20" t="s">
        <v>423</v>
      </c>
      <c r="H107" s="20">
        <f>Разбивка_по_щитам!K107</f>
        <v/>
      </c>
      <c r="I107" s="20">
        <f>Разбивка_по_щитам!L107</f>
        <v/>
      </c>
      <c r="J107" s="20">
        <f>Разбивка_по_щитам!M107</f>
        <v/>
      </c>
      <c r="K107" s="20">
        <f>Разбивка_по_щитам!N107</f>
        <v/>
      </c>
      <c r="L107" s="20"/>
      <c r="M107" s="20">
        <f>Разбивка_по_щитам!P107</f>
        <v/>
      </c>
      <c r="N107" s="20"/>
      <c r="P107" s="20"/>
      <c r="Q107" s="20"/>
      <c r="R107" s="20"/>
      <c r="S107" s="20"/>
      <c r="T107" s="20"/>
      <c r="U107" s="20"/>
    </row>
    <row r="108" spans="2:21" x14ac:dyDescent="0.25">
      <c r="B108" s="20">
        <f>Разбивка_по_щитам!B108</f>
      </c>
      <c r="C108" s="20">
        <f>Разбивка_по_щитам!C108</f>
      </c>
      <c r="D108" s="20">
        <f>Разбивка_по_щитам!F108</f>
      </c>
      <c r="E108" s="20">
        <f>Разбивка_по_щитам!H108</f>
      </c>
      <c r="F108" s="20">
        <f>Разбивка_по_щитам!I108</f>
      </c>
      <c r="G108" s="20" t="s">
        <v>413</v>
      </c>
      <c r="H108" s="20">
        <f>Разбивка_по_щитам!K108</f>
        <v/>
      </c>
      <c r="I108" s="20">
        <f>Разбивка_по_щитам!L108</f>
        <v/>
      </c>
      <c r="J108" s="20">
        <f>Разбивка_по_щитам!M108</f>
        <v/>
      </c>
      <c r="K108" s="20">
        <f>Разбивка_по_щитам!N108</f>
        <v/>
      </c>
      <c r="L108" s="20"/>
      <c r="M108" s="20">
        <f>Разбивка_по_щитам!P108</f>
        <v/>
      </c>
      <c r="N108" s="20"/>
      <c r="P108" s="20"/>
      <c r="Q108" s="20"/>
      <c r="R108" s="20"/>
      <c r="S108" s="20"/>
      <c r="T108" s="20"/>
      <c r="U108" s="20"/>
    </row>
    <row r="109" spans="2:21" x14ac:dyDescent="0.25">
      <c r="B109" s="20">
        <f>Разбивка_по_щитам!B109</f>
      </c>
      <c r="C109" s="20">
        <f>Разбивка_по_щитам!C109</f>
      </c>
      <c r="D109" s="20">
        <f>Разбивка_по_щитам!F109</f>
      </c>
      <c r="E109" s="20">
        <f>Разбивка_по_щитам!H109</f>
      </c>
      <c r="F109" s="20">
        <f>Разбивка_по_щитам!I109</f>
      </c>
      <c r="G109" s="20" t="s">
        <v>424</v>
      </c>
      <c r="H109" s="20">
        <f>Разбивка_по_щитам!K109</f>
        <v/>
      </c>
      <c r="I109" s="20">
        <f>Разбивка_по_щитам!L109</f>
        <v/>
      </c>
      <c r="J109" s="20">
        <f>Разбивка_по_щитам!M109</f>
        <v/>
      </c>
      <c r="K109" s="20">
        <f>Разбивка_по_щитам!N109</f>
        <v/>
      </c>
      <c r="L109" s="20"/>
      <c r="M109" s="20">
        <f>Разбивка_по_щитам!P109</f>
        <v/>
      </c>
      <c r="N109" s="20"/>
      <c r="P109" s="20"/>
      <c r="Q109" s="20"/>
      <c r="R109" s="20"/>
      <c r="S109" s="20"/>
      <c r="T109" s="20"/>
      <c r="U109" s="20"/>
    </row>
    <row r="110" spans="2:21" x14ac:dyDescent="0.25">
      <c r="B110" s="20">
        <f>Разбивка_по_щитам!B110</f>
      </c>
      <c r="C110" s="20">
        <f>Разбивка_по_щитам!C110</f>
      </c>
      <c r="D110" s="20">
        <f>Разбивка_по_щитам!F110</f>
      </c>
      <c r="E110" s="20">
        <f>Разбивка_по_щитам!H110</f>
      </c>
      <c r="F110" s="20">
        <f>Разбивка_по_щитам!I110</f>
      </c>
      <c r="G110" s="20" t="s">
        <v>415</v>
      </c>
      <c r="H110" s="20">
        <f>Разбивка_по_щитам!K110</f>
        <v/>
      </c>
      <c r="I110" s="20">
        <f>Разбивка_по_щитам!L110</f>
        <v/>
      </c>
      <c r="J110" s="20">
        <f>Разбивка_по_щитам!M110</f>
        <v/>
      </c>
      <c r="K110" s="20">
        <f>Разбивка_по_щитам!N110</f>
        <v/>
      </c>
      <c r="L110" s="20"/>
      <c r="M110" s="20">
        <f>Разбивка_по_щитам!P110</f>
        <v/>
      </c>
      <c r="N110" s="20"/>
      <c r="P110" s="20"/>
      <c r="Q110" s="20"/>
      <c r="R110" s="20"/>
      <c r="S110" s="20"/>
      <c r="T110" s="20"/>
      <c r="U110" s="20"/>
    </row>
    <row r="111" spans="2:21" x14ac:dyDescent="0.25">
      <c r="B111" s="20">
        <f>Разбивка_по_щитам!B111</f>
      </c>
      <c r="C111" s="20">
        <f>Разбивка_по_щитам!C111</f>
      </c>
      <c r="D111" s="20">
        <f>Разбивка_по_щитам!F111</f>
      </c>
      <c r="E111" s="20">
        <f>Разбивка_по_щитам!H111</f>
      </c>
      <c r="F111" s="20">
        <f>Разбивка_по_щитам!I111</f>
      </c>
      <c r="G111" s="20" t="s">
        <v>416</v>
      </c>
      <c r="H111" s="20">
        <f>Разбивка_по_щитам!K111</f>
        <v/>
      </c>
      <c r="I111" s="20">
        <f>Разбивка_по_щитам!L111</f>
        <v/>
      </c>
      <c r="J111" s="20">
        <f>Разбивка_по_щитам!M111</f>
        <v/>
      </c>
      <c r="K111" s="20">
        <f>Разбивка_по_щитам!N111</f>
        <v/>
      </c>
      <c r="L111" s="20"/>
      <c r="M111" s="20">
        <f>Разбивка_по_щитам!P111</f>
        <v/>
      </c>
      <c r="N111" s="20"/>
      <c r="P111" s="20"/>
      <c r="Q111" s="20"/>
      <c r="R111" s="20"/>
      <c r="S111" s="20"/>
      <c r="T111" s="20"/>
      <c r="U111" s="20"/>
    </row>
    <row r="112" spans="2:21" x14ac:dyDescent="0.25">
      <c r="B112" s="20">
        <f>Разбивка_по_щитам!B112</f>
      </c>
      <c r="C112" s="20">
        <f>Разбивка_по_щитам!C112</f>
      </c>
      <c r="D112" s="20">
        <f>Разбивка_по_щитам!F112</f>
      </c>
      <c r="E112" s="20">
        <f>Разбивка_по_щитам!H112</f>
      </c>
      <c r="F112" s="20">
        <f>Разбивка_по_щитам!I112</f>
      </c>
      <c r="G112" s="20" t="s">
        <v>414</v>
      </c>
      <c r="H112" s="20">
        <f>Разбивка_по_щитам!K112</f>
        <v/>
      </c>
      <c r="I112" s="20">
        <f>Разбивка_по_щитам!L112</f>
        <v/>
      </c>
      <c r="J112" s="20">
        <f>Разбивка_по_щитам!M112</f>
        <v/>
      </c>
      <c r="K112" s="20">
        <f>Разбивка_по_щитам!N112</f>
        <v/>
      </c>
      <c r="L112" s="20"/>
      <c r="M112" s="20">
        <f>Разбивка_по_щитам!P112</f>
        <v/>
      </c>
      <c r="N112" s="20"/>
      <c r="P112" s="20"/>
      <c r="Q112" s="20"/>
      <c r="R112" s="20"/>
      <c r="S112" s="20"/>
      <c r="T112" s="20"/>
      <c r="U112" s="20"/>
    </row>
    <row r="113" spans="2:21" x14ac:dyDescent="0.25">
      <c r="B113" s="20">
        <f>Разбивка_по_щитам!B113</f>
      </c>
      <c r="C113" s="20">
        <f>Разбивка_по_щитам!C113</f>
      </c>
      <c r="D113" s="20">
        <f>Разбивка_по_щитам!F113</f>
      </c>
      <c r="E113" s="20">
        <f>Разбивка_по_щитам!H113</f>
      </c>
      <c r="F113" s="20">
        <f>Разбивка_по_щитам!I113</f>
      </c>
      <c r="G113" s="20" t="s">
        <v>418</v>
      </c>
      <c r="H113" s="20">
        <f>Разбивка_по_щитам!K113</f>
        <v/>
      </c>
      <c r="I113" s="20">
        <f>Разбивка_по_щитам!L113</f>
        <v/>
      </c>
      <c r="J113" s="20">
        <f>Разбивка_по_щитам!M113</f>
        <v/>
      </c>
      <c r="K113" s="20">
        <f>Разбивка_по_щитам!N113</f>
        <v/>
      </c>
      <c r="L113" s="20"/>
      <c r="M113" s="20">
        <f>Разбивка_по_щитам!P113</f>
        <v/>
      </c>
      <c r="N113" s="20"/>
      <c r="P113" s="20"/>
      <c r="Q113" s="20"/>
      <c r="R113" s="20"/>
      <c r="S113" s="20"/>
      <c r="T113" s="20"/>
      <c r="U113" s="20"/>
    </row>
    <row r="114" spans="2:21" x14ac:dyDescent="0.25">
      <c r="B114" s="20">
        <f>Разбивка_по_щитам!B114</f>
      </c>
      <c r="C114" s="20">
        <f>Разбивка_по_щитам!C114</f>
      </c>
      <c r="D114" s="20">
        <f>Разбивка_по_щитам!F114</f>
      </c>
      <c r="E114" s="20">
        <f>Разбивка_по_щитам!H114</f>
      </c>
      <c r="F114" s="20">
        <f>Разбивка_по_щитам!I114</f>
      </c>
      <c r="G114" s="20" t="s">
        <v>425</v>
      </c>
      <c r="H114" s="20">
        <f>Разбивка_по_щитам!K114</f>
        <v/>
      </c>
      <c r="I114" s="20">
        <f>Разбивка_по_щитам!L114</f>
        <v/>
      </c>
      <c r="J114" s="20">
        <f>Разбивка_по_щитам!M114</f>
        <v/>
      </c>
      <c r="K114" s="20">
        <f>Разбивка_по_щитам!N114</f>
        <v/>
      </c>
      <c r="L114" s="20"/>
      <c r="M114" s="20">
        <f>Разбивка_по_щитам!P114</f>
        <v/>
      </c>
      <c r="N114" s="20"/>
      <c r="P114" s="20"/>
      <c r="Q114" s="20"/>
      <c r="R114" s="20"/>
      <c r="S114" s="20"/>
      <c r="T114" s="20"/>
      <c r="U114" s="20"/>
    </row>
    <row r="115" spans="2:21" x14ac:dyDescent="0.25">
      <c r="B115" s="20">
        <f>Разбивка_по_щитам!B115</f>
      </c>
      <c r="C115" s="20">
        <f>Разбивка_по_щитам!C115</f>
      </c>
      <c r="D115" s="20">
        <f>Разбивка_по_щитам!F115</f>
      </c>
      <c r="E115" s="20">
        <f>Разбивка_по_щитам!H115</f>
      </c>
      <c r="F115" s="20">
        <f>Разбивка_по_щитам!I115</f>
      </c>
      <c r="G115" s="20" t="s">
        <v>417</v>
      </c>
      <c r="H115" s="20">
        <f>Разбивка_по_щитам!K115</f>
        <v/>
      </c>
      <c r="I115" s="20">
        <f>Разбивка_по_щитам!L115</f>
        <v/>
      </c>
      <c r="J115" s="20">
        <f>Разбивка_по_щитам!M115</f>
        <v/>
      </c>
      <c r="K115" s="20">
        <f>Разбивка_по_щитам!N115</f>
        <v/>
      </c>
      <c r="L115" s="20"/>
      <c r="M115" s="20">
        <f>Разбивка_по_щитам!P115</f>
        <v/>
      </c>
      <c r="N115" s="20"/>
      <c r="P115" s="20"/>
      <c r="Q115" s="20"/>
      <c r="R115" s="20"/>
      <c r="S115" s="20"/>
      <c r="T115" s="20"/>
      <c r="U115" s="20"/>
    </row>
    <row r="116" spans="2:21" x14ac:dyDescent="0.25">
      <c r="B116" s="20">
        <f>Разбивка_по_щитам!B116</f>
      </c>
      <c r="C116" s="20">
        <f>Разбивка_по_щитам!C116</f>
      </c>
      <c r="D116" s="20">
        <f>Разбивка_по_щитам!F116</f>
      </c>
      <c r="E116" s="20">
        <f>Разбивка_по_щитам!H116</f>
      </c>
      <c r="F116" s="20">
        <f>Разбивка_по_щитам!I116</f>
      </c>
      <c r="G116" s="20" t="s">
        <v>419</v>
      </c>
      <c r="H116" s="20">
        <f>Разбивка_по_щитам!K116</f>
        <v/>
      </c>
      <c r="I116" s="20">
        <f>Разбивка_по_щитам!L116</f>
        <v/>
      </c>
      <c r="J116" s="20">
        <f>Разбивка_по_щитам!M116</f>
        <v/>
      </c>
      <c r="K116" s="20">
        <f>Разбивка_по_щитам!N116</f>
        <v/>
      </c>
      <c r="L116" s="20"/>
      <c r="M116" s="20">
        <f>Разбивка_по_щитам!P116</f>
        <v/>
      </c>
      <c r="N116" s="20"/>
      <c r="P116" s="20"/>
      <c r="Q116" s="20"/>
      <c r="R116" s="20"/>
      <c r="S116" s="20"/>
      <c r="T116" s="20"/>
      <c r="U116" s="20"/>
    </row>
    <row r="117" spans="2:21" x14ac:dyDescent="0.25">
      <c r="B117" s="20">
        <f>Разбивка_по_щитам!B117</f>
      </c>
      <c r="C117" s="20">
        <f>Разбивка_по_щитам!C117</f>
      </c>
      <c r="D117" s="20">
        <f>Разбивка_по_щитам!F117</f>
      </c>
      <c r="E117" s="20">
        <f>Разбивка_по_щитам!H117</f>
      </c>
      <c r="F117" s="20">
        <f>Разбивка_по_щитам!I117</f>
      </c>
      <c r="G117" s="20" t="s">
        <v>420</v>
      </c>
      <c r="H117" s="20">
        <f>Разбивка_по_щитам!K117</f>
        <v/>
      </c>
      <c r="I117" s="20">
        <f>Разбивка_по_щитам!L117</f>
        <v/>
      </c>
      <c r="J117" s="20">
        <f>Разбивка_по_щитам!M117</f>
        <v/>
      </c>
      <c r="K117" s="20">
        <f>Разбивка_по_щитам!N117</f>
        <v/>
      </c>
      <c r="L117" s="20"/>
      <c r="M117" s="20">
        <f>Разбивка_по_щитам!P117</f>
        <v/>
      </c>
      <c r="N117" s="20"/>
      <c r="P117" s="20"/>
      <c r="Q117" s="20"/>
      <c r="R117" s="20"/>
      <c r="S117" s="20"/>
      <c r="T117" s="20"/>
      <c r="U117" s="20"/>
    </row>
    <row r="118" spans="2:21" x14ac:dyDescent="0.25">
      <c r="B118" s="20">
        <f>Разбивка_по_щитам!B118</f>
      </c>
      <c r="C118" s="20">
        <f>Разбивка_по_щитам!C118</f>
      </c>
      <c r="D118" s="20">
        <f>Разбивка_по_щитам!F118</f>
      </c>
      <c r="E118" s="20">
        <f>Разбивка_по_щитам!H118</f>
      </c>
      <c r="F118" s="20">
        <f>Разбивка_по_щитам!I118</f>
      </c>
      <c r="G118" s="20" t="s">
        <v>421</v>
      </c>
      <c r="H118" s="20">
        <f>Разбивка_по_щитам!K118</f>
        <v/>
      </c>
      <c r="I118" s="20">
        <f>Разбивка_по_щитам!L118</f>
        <v/>
      </c>
      <c r="J118" s="20">
        <f>Разбивка_по_щитам!M118</f>
        <v/>
      </c>
      <c r="K118" s="20">
        <f>Разбивка_по_щитам!N118</f>
        <v/>
      </c>
      <c r="L118" s="20"/>
      <c r="M118" s="20">
        <f>Разбивка_по_щитам!P118</f>
        <v/>
      </c>
      <c r="N118" s="20"/>
      <c r="P118" s="20"/>
      <c r="Q118" s="20"/>
      <c r="R118" s="20"/>
      <c r="S118" s="20"/>
      <c r="T118" s="20"/>
      <c r="U118" s="20"/>
    </row>
    <row r="119" spans="2:21" x14ac:dyDescent="0.25">
      <c r="B119" s="20">
        <f>Разбивка_по_щитам!B119</f>
      </c>
      <c r="C119" s="20">
        <f>Разбивка_по_щитам!C119</f>
      </c>
      <c r="D119" s="20">
        <f>Разбивка_по_щитам!F119</f>
      </c>
      <c r="E119" s="20">
        <f>Разбивка_по_щитам!H119</f>
      </c>
      <c r="F119" s="20">
        <f>Разбивка_по_щитам!I119</f>
      </c>
      <c r="G119" s="20" t="s">
        <v>422</v>
      </c>
      <c r="H119" s="20">
        <f>Разбивка_по_щитам!K119</f>
        <v/>
      </c>
      <c r="I119" s="20">
        <f>Разбивка_по_щитам!L119</f>
        <v/>
      </c>
      <c r="J119" s="20">
        <f>Разбивка_по_щитам!M119</f>
        <v/>
      </c>
      <c r="K119" s="20">
        <f>Разбивка_по_щитам!N119</f>
        <v/>
      </c>
      <c r="L119" s="20"/>
      <c r="M119" s="20">
        <f>Разбивка_по_щитам!P119</f>
        <v/>
      </c>
      <c r="N119" s="20"/>
      <c r="P119" s="20"/>
      <c r="Q119" s="20"/>
      <c r="R119" s="20"/>
      <c r="S119" s="20"/>
      <c r="T119" s="20"/>
      <c r="U119" s="20"/>
    </row>
    <row r="120" spans="2:21" x14ac:dyDescent="0.25">
      <c r="B120" s="20">
        <f>Разбивка_по_щитам!B120</f>
      </c>
      <c r="C120" s="20">
        <f>Разбивка_по_щитам!C120</f>
      </c>
      <c r="D120" s="20">
        <f>Разбивка_по_щитам!F120</f>
      </c>
      <c r="E120" s="20">
        <f>Разбивка_по_щитам!H120</f>
      </c>
      <c r="F120" s="20">
        <f>Разбивка_по_щитам!I120</f>
      </c>
      <c r="G120" s="20" t="s">
        <v>426</v>
      </c>
      <c r="H120" s="20">
        <f>Разбивка_по_щитам!K120</f>
        <v/>
      </c>
      <c r="I120" s="20">
        <f>Разбивка_по_щитам!L120</f>
        <v/>
      </c>
      <c r="J120" s="20">
        <f>Разбивка_по_щитам!M120</f>
        <v/>
      </c>
      <c r="K120" s="20">
        <f>Разбивка_по_щитам!N120</f>
        <v/>
      </c>
      <c r="L120" s="20"/>
      <c r="M120" s="20">
        <f>Разбивка_по_щитам!P120</f>
        <v/>
      </c>
      <c r="N120" s="20"/>
      <c r="P120" s="20"/>
      <c r="Q120" s="20"/>
      <c r="R120" s="20"/>
      <c r="S120" s="20"/>
      <c r="T120" s="20"/>
      <c r="U120" s="20"/>
    </row>
    <row r="121" spans="2:21" x14ac:dyDescent="0.25">
      <c r="B121" s="20">
        <f>Разбивка_по_щитам!B121</f>
      </c>
      <c r="C121" s="20">
        <f>Разбивка_по_щитам!C121</f>
      </c>
      <c r="D121" s="20">
        <f>Разбивка_по_щитам!F121</f>
      </c>
      <c r="E121" s="20">
        <f>Разбивка_по_щитам!H121</f>
      </c>
      <c r="F121" s="20">
        <f>Разбивка_по_щитам!I121</f>
      </c>
      <c r="G121" s="20">
        <f>Разбивка_по_щитам!J121</f>
        <v/>
      </c>
      <c r="H121" s="20">
        <f>Разбивка_по_щитам!K121</f>
        <v/>
      </c>
      <c r="I121" s="20">
        <f>Разбивка_по_щитам!L121</f>
        <v/>
      </c>
      <c r="J121" s="20">
        <f>Разбивка_по_щитам!M121</f>
        <v/>
      </c>
      <c r="K121" s="20">
        <f>Разбивка_по_щитам!N121</f>
        <v/>
      </c>
      <c r="L121" s="20"/>
      <c r="M121" s="20">
        <f>Разбивка_по_щитам!P121</f>
        <v/>
      </c>
      <c r="N121" s="20"/>
      <c r="P121" s="20"/>
      <c r="Q121" s="20"/>
      <c r="R121" s="20"/>
      <c r="S121" s="20"/>
      <c r="T121" s="20"/>
      <c r="U121" s="20"/>
    </row>
    <row r="122" spans="2:21" x14ac:dyDescent="0.25">
      <c r="B122" s="20">
        <f>Разбивка_по_щитам!B122</f>
      </c>
      <c r="C122" s="20">
        <f>Разбивка_по_щитам!C122</f>
      </c>
      <c r="D122" s="20">
        <f>Разбивка_по_щитам!F122</f>
      </c>
      <c r="E122" s="20">
        <f>Разбивка_по_щитам!H122</f>
      </c>
      <c r="F122" s="20">
        <f>Разбивка_по_щитам!I122</f>
      </c>
      <c r="G122" s="20">
        <f>Разбивка_по_щитам!J122</f>
        <v/>
      </c>
      <c r="H122" s="20">
        <f>Разбивка_по_щитам!K122</f>
        <v/>
      </c>
      <c r="I122" s="20">
        <f>Разбивка_по_щитам!L122</f>
        <v/>
      </c>
      <c r="J122" s="20">
        <f>Разбивка_по_щитам!M122</f>
        <v/>
      </c>
      <c r="K122" s="20">
        <f>Разбивка_по_щитам!N122</f>
        <v/>
      </c>
      <c r="L122" s="20"/>
      <c r="M122" s="20">
        <f>Разбивка_по_щитам!P122</f>
        <v/>
      </c>
      <c r="N122" s="20"/>
      <c r="P122" s="20"/>
      <c r="Q122" s="20"/>
      <c r="R122" s="20"/>
      <c r="S122" s="20"/>
      <c r="T122" s="20"/>
      <c r="U122" s="20"/>
    </row>
    <row r="123" spans="2:21" x14ac:dyDescent="0.25">
      <c r="B123" s="20">
        <f>Разбивка_по_щитам!B123</f>
      </c>
      <c r="C123" s="20">
        <f>Разбивка_по_щитам!C123</f>
      </c>
      <c r="D123" s="20">
        <f>Разбивка_по_щитам!F123</f>
      </c>
      <c r="E123" s="20">
        <f>Разбивка_по_щитам!H123</f>
      </c>
      <c r="F123" s="20">
        <f>Разбивка_по_щитам!I123</f>
      </c>
      <c r="G123" s="20">
        <f>Разбивка_по_щитам!J123</f>
        <v/>
      </c>
      <c r="H123" s="20">
        <f>Разбивка_по_щитам!K123</f>
        <v/>
      </c>
      <c r="I123" s="20">
        <f>Разбивка_по_щитам!L123</f>
        <v/>
      </c>
      <c r="J123" s="20">
        <f>Разбивка_по_щитам!M123</f>
        <v/>
      </c>
      <c r="K123" s="20">
        <f>Разбивка_по_щитам!N123</f>
        <v/>
      </c>
      <c r="L123" s="20"/>
      <c r="M123" s="20">
        <f>Разбивка_по_щитам!P123</f>
        <v/>
      </c>
      <c r="N123" s="20"/>
      <c r="P123" s="20"/>
      <c r="Q123" s="20"/>
      <c r="R123" s="20"/>
      <c r="S123" s="20"/>
      <c r="T123" s="20"/>
      <c r="U123" s="20"/>
    </row>
    <row r="124" spans="2:21" x14ac:dyDescent="0.25">
      <c r="B124" s="20">
        <f>Разбивка_по_щитам!B124</f>
      </c>
      <c r="C124" s="20">
        <f>Разбивка_по_щитам!C124</f>
      </c>
      <c r="D124" s="20">
        <f>Разбивка_по_щитам!F124</f>
      </c>
      <c r="E124" s="20">
        <f>Разбивка_по_щитам!H124</f>
      </c>
      <c r="F124" s="20">
        <f>Разбивка_по_щитам!I124</f>
      </c>
      <c r="G124" s="20">
        <f>Разбивка_по_щитам!J124</f>
        <v/>
      </c>
      <c r="H124" s="20">
        <f>Разбивка_по_щитам!K124</f>
        <v/>
      </c>
      <c r="I124" s="20">
        <f>Разбивка_по_щитам!L124</f>
        <v/>
      </c>
      <c r="J124" s="20">
        <f>Разбивка_по_щитам!M124</f>
        <v/>
      </c>
      <c r="K124" s="20">
        <f>Разбивка_по_щитам!N124</f>
        <v/>
      </c>
      <c r="L124" s="20"/>
      <c r="M124" s="20">
        <f>Разбивка_по_щитам!P124</f>
        <v/>
      </c>
      <c r="N124" s="20"/>
      <c r="P124" s="20"/>
      <c r="Q124" s="20"/>
      <c r="R124" s="20"/>
      <c r="S124" s="20"/>
      <c r="T124" s="20"/>
      <c r="U124" s="20"/>
    </row>
    <row r="125" spans="2:21" x14ac:dyDescent="0.25">
      <c r="B125" s="20">
        <f>Разбивка_по_щитам!B125</f>
      </c>
      <c r="C125" s="20">
        <f>Разбивка_по_щитам!C125</f>
      </c>
      <c r="D125" s="20">
        <f>Разбивка_по_щитам!F125</f>
      </c>
      <c r="E125" s="20">
        <f>Разбивка_по_щитам!H125</f>
      </c>
      <c r="F125" s="20">
        <f>Разбивка_по_щитам!I125</f>
      </c>
      <c r="G125" s="20">
        <f>Разбивка_по_щитам!J125</f>
        <v/>
      </c>
      <c r="H125" s="20">
        <f>Разбивка_по_щитам!K125</f>
        <v/>
      </c>
      <c r="I125" s="20">
        <f>Разбивка_по_щитам!L125</f>
        <v/>
      </c>
      <c r="J125" s="20">
        <f>Разбивка_по_щитам!M125</f>
        <v/>
      </c>
      <c r="K125" s="20">
        <f>Разбивка_по_щитам!N125</f>
        <v/>
      </c>
      <c r="L125" s="20"/>
      <c r="M125" s="20">
        <f>Разбивка_по_щитам!P125</f>
        <v/>
      </c>
      <c r="N125" s="20"/>
      <c r="P125" s="20"/>
      <c r="Q125" s="20"/>
      <c r="R125" s="20"/>
      <c r="S125" s="20"/>
      <c r="T125" s="20"/>
      <c r="U125" s="20"/>
    </row>
    <row r="126" spans="2:21" x14ac:dyDescent="0.25">
      <c r="B126" s="20">
        <f>Разбивка_по_щитам!B126</f>
      </c>
      <c r="C126" s="20">
        <f>Разбивка_по_щитам!C126</f>
      </c>
      <c r="D126" s="20">
        <f>Разбивка_по_щитам!F126</f>
      </c>
      <c r="E126" s="20">
        <f>Разбивка_по_щитам!H126</f>
      </c>
      <c r="F126" s="20">
        <f>Разбивка_по_щитам!I126</f>
      </c>
      <c r="G126" s="20">
        <f>Разбивка_по_щитам!J126</f>
        <v/>
      </c>
      <c r="H126" s="20">
        <f>Разбивка_по_щитам!K126</f>
        <v/>
      </c>
      <c r="I126" s="20">
        <f>Разбивка_по_щитам!L126</f>
        <v/>
      </c>
      <c r="J126" s="20">
        <f>Разбивка_по_щитам!M126</f>
        <v/>
      </c>
      <c r="K126" s="20">
        <f>Разбивка_по_щитам!N126</f>
        <v/>
      </c>
      <c r="L126" s="20"/>
      <c r="M126" s="20">
        <f>Разбивка_по_щитам!P126</f>
        <v/>
      </c>
      <c r="N126" s="20"/>
      <c r="P126" s="20"/>
      <c r="Q126" s="20"/>
      <c r="R126" s="20"/>
      <c r="S126" s="20"/>
      <c r="T126" s="20"/>
      <c r="U126" s="20"/>
    </row>
    <row r="127" spans="2:21" x14ac:dyDescent="0.25">
      <c r="B127" s="20">
        <f>Разбивка_по_щитам!B127</f>
      </c>
      <c r="C127" s="20">
        <f>Разбивка_по_щитам!C127</f>
      </c>
      <c r="D127" s="20">
        <f>Разбивка_по_щитам!F127</f>
      </c>
      <c r="E127" s="20">
        <f>Разбивка_по_щитам!H127</f>
      </c>
      <c r="F127" s="20">
        <f>Разбивка_по_щитам!I127</f>
      </c>
      <c r="G127" s="20">
        <f>Разбивка_по_щитам!J127</f>
        <v/>
      </c>
      <c r="H127" s="20">
        <f>Разбивка_по_щитам!K127</f>
        <v/>
      </c>
      <c r="I127" s="20">
        <f>Разбивка_по_щитам!L127</f>
        <v/>
      </c>
      <c r="J127" s="20">
        <f>Разбивка_по_щитам!M127</f>
        <v/>
      </c>
      <c r="K127" s="20">
        <f>Разбивка_по_щитам!N127</f>
        <v/>
      </c>
      <c r="L127" s="20"/>
      <c r="M127" s="20">
        <f>Разбивка_по_щитам!P127</f>
        <v/>
      </c>
      <c r="N127" s="20"/>
      <c r="P127" s="20"/>
      <c r="Q127" s="20"/>
      <c r="R127" s="20"/>
      <c r="S127" s="20"/>
      <c r="T127" s="20"/>
      <c r="U127" s="20"/>
    </row>
    <row r="128" spans="2:21" x14ac:dyDescent="0.25">
      <c r="B128" s="20">
        <f>Разбивка_по_щитам!B128</f>
      </c>
      <c r="C128" s="20">
        <f>Разбивка_по_щитам!C128</f>
      </c>
      <c r="D128" s="20">
        <f>Разбивка_по_щитам!F128</f>
      </c>
      <c r="E128" s="20">
        <f>Разбивка_по_щитам!H128</f>
      </c>
      <c r="F128" s="20">
        <f>Разбивка_по_щитам!I128</f>
      </c>
      <c r="G128" s="20">
        <f>Разбивка_по_щитам!J128</f>
        <v/>
      </c>
      <c r="H128" s="20">
        <f>Разбивка_по_щитам!K128</f>
        <v/>
      </c>
      <c r="I128" s="20">
        <f>Разбивка_по_щитам!L128</f>
        <v/>
      </c>
      <c r="J128" s="20">
        <f>Разбивка_по_щитам!M128</f>
        <v/>
      </c>
      <c r="K128" s="20">
        <f>Разбивка_по_щитам!N128</f>
        <v/>
      </c>
      <c r="L128" s="20"/>
      <c r="M128" s="20">
        <f>Разбивка_по_щитам!P128</f>
        <v/>
      </c>
      <c r="N128" s="20"/>
      <c r="P128" s="20"/>
      <c r="Q128" s="20"/>
      <c r="R128" s="20"/>
      <c r="S128" s="20"/>
      <c r="T128" s="20"/>
      <c r="U128" s="20"/>
    </row>
    <row r="129" spans="2:21" x14ac:dyDescent="0.25">
      <c r="B129" s="20">
        <f>Разбивка_по_щитам!B129</f>
      </c>
      <c r="C129" s="20">
        <f>Разбивка_по_щитам!C129</f>
      </c>
      <c r="D129" s="20">
        <f>Разбивка_по_щитам!F129</f>
      </c>
      <c r="E129" s="20">
        <f>Разбивка_по_щитам!H129</f>
      </c>
      <c r="F129" s="20">
        <f>Разбивка_по_щитам!I129</f>
      </c>
      <c r="G129" s="20">
        <f>Разбивка_по_щитам!J129</f>
        <v/>
      </c>
      <c r="H129" s="20">
        <f>Разбивка_по_щитам!K129</f>
        <v/>
      </c>
      <c r="I129" s="20">
        <f>Разбивка_по_щитам!L129</f>
        <v/>
      </c>
      <c r="J129" s="20">
        <f>Разбивка_по_щитам!M129</f>
        <v/>
      </c>
      <c r="K129" s="20">
        <f>Разбивка_по_щитам!N129</f>
        <v/>
      </c>
      <c r="L129" s="20"/>
      <c r="M129" s="20">
        <f>Разбивка_по_щитам!P129</f>
        <v/>
      </c>
      <c r="N129" s="20"/>
      <c r="P129" s="20"/>
      <c r="Q129" s="20"/>
      <c r="R129" s="20"/>
      <c r="S129" s="20"/>
      <c r="T129" s="20"/>
      <c r="U129" s="20"/>
    </row>
    <row r="130" spans="2:21" x14ac:dyDescent="0.25">
      <c r="B130" s="20">
        <f>Разбивка_по_щитам!B130</f>
      </c>
      <c r="C130" s="20">
        <f>Разбивка_по_щитам!C130</f>
      </c>
      <c r="D130" s="20">
        <f>Разбивка_по_щитам!F130</f>
      </c>
      <c r="E130" s="20">
        <f>Разбивка_по_щитам!H130</f>
      </c>
      <c r="F130" s="20">
        <f>Разбивка_по_щитам!I130</f>
      </c>
      <c r="G130" s="20">
        <f>Разбивка_по_щитам!J130</f>
        <v/>
      </c>
      <c r="H130" s="20">
        <f>Разбивка_по_щитам!K130</f>
        <v/>
      </c>
      <c r="I130" s="20">
        <f>Разбивка_по_щитам!L130</f>
        <v/>
      </c>
      <c r="J130" s="20">
        <f>Разбивка_по_щитам!M130</f>
        <v/>
      </c>
      <c r="K130" s="20">
        <f>Разбивка_по_щитам!N130</f>
        <v/>
      </c>
      <c r="L130" s="20"/>
      <c r="M130" s="20">
        <f>Разбивка_по_щитам!P130</f>
        <v/>
      </c>
      <c r="N130" s="20"/>
      <c r="P130" s="20"/>
      <c r="Q130" s="20"/>
      <c r="R130" s="20"/>
      <c r="S130" s="20"/>
      <c r="T130" s="20"/>
      <c r="U130" s="20"/>
    </row>
    <row r="131" spans="2:21" x14ac:dyDescent="0.25">
      <c r="B131" s="20">
        <f>Разбивка_по_щитам!B131</f>
      </c>
      <c r="C131" s="20">
        <f>Разбивка_по_щитам!C131</f>
      </c>
      <c r="D131" s="20">
        <f>Разбивка_по_щитам!F131</f>
      </c>
      <c r="E131" s="20">
        <f>Разбивка_по_щитам!H131</f>
      </c>
      <c r="F131" s="20">
        <f>Разбивка_по_щитам!I131</f>
      </c>
      <c r="G131" s="20">
        <f>Разбивка_по_щитам!J131</f>
        <v/>
      </c>
      <c r="H131" s="20">
        <f>Разбивка_по_щитам!K131</f>
        <v/>
      </c>
      <c r="I131" s="20">
        <f>Разбивка_по_щитам!L131</f>
        <v/>
      </c>
      <c r="J131" s="20">
        <f>Разбивка_по_щитам!M131</f>
        <v/>
      </c>
      <c r="K131" s="20">
        <f>Разбивка_по_щитам!N131</f>
        <v/>
      </c>
      <c r="L131" s="20"/>
      <c r="M131" s="20">
        <f>Разбивка_по_щитам!P131</f>
        <v/>
      </c>
      <c r="N131" s="20"/>
      <c r="P131" s="20"/>
      <c r="Q131" s="20"/>
      <c r="R131" s="20"/>
      <c r="S131" s="20"/>
      <c r="T131" s="20"/>
      <c r="U131" s="20"/>
    </row>
    <row r="132" spans="2:21" x14ac:dyDescent="0.25">
      <c r="B132" s="20">
        <f>Разбивка_по_щитам!B132</f>
      </c>
      <c r="C132" s="20">
        <f>Разбивка_по_щитам!C132</f>
      </c>
      <c r="D132" s="20">
        <f>Разбивка_по_щитам!F132</f>
      </c>
      <c r="E132" s="20">
        <f>Разбивка_по_щитам!H132</f>
      </c>
      <c r="F132" s="20">
        <f>Разбивка_по_щитам!I132</f>
      </c>
      <c r="G132" s="20">
        <f>Разбивка_по_щитам!J132</f>
        <v/>
      </c>
      <c r="H132" s="20">
        <f>Разбивка_по_щитам!K132</f>
        <v/>
      </c>
      <c r="I132" s="20">
        <f>Разбивка_по_щитам!L132</f>
        <v/>
      </c>
      <c r="J132" s="20">
        <f>Разбивка_по_щитам!M132</f>
        <v/>
      </c>
      <c r="K132" s="20">
        <f>Разбивка_по_щитам!N132</f>
        <v/>
      </c>
      <c r="L132" s="20"/>
      <c r="M132" s="20">
        <f>Разбивка_по_щитам!P132</f>
        <v/>
      </c>
      <c r="N132" s="20"/>
      <c r="P132" s="20"/>
      <c r="Q132" s="20"/>
      <c r="R132" s="20"/>
      <c r="S132" s="20"/>
      <c r="T132" s="20"/>
      <c r="U132" s="20"/>
    </row>
    <row r="133" spans="2:21" x14ac:dyDescent="0.25">
      <c r="B133" s="20">
        <f>Разбивка_по_щитам!B133</f>
      </c>
      <c r="C133" s="20">
        <f>Разбивка_по_щитам!C133</f>
      </c>
      <c r="D133" s="20">
        <f>Разбивка_по_щитам!F133</f>
      </c>
      <c r="E133" s="20">
        <f>Разбивка_по_щитам!H133</f>
      </c>
      <c r="F133" s="20">
        <f>Разбивка_по_щитам!I133</f>
      </c>
      <c r="G133" s="20">
        <f>Разбивка_по_щитам!J133</f>
        <v/>
      </c>
      <c r="H133" s="20">
        <f>Разбивка_по_щитам!K133</f>
        <v/>
      </c>
      <c r="I133" s="20">
        <f>Разбивка_по_щитам!L133</f>
        <v/>
      </c>
      <c r="J133" s="20">
        <f>Разбивка_по_щитам!M133</f>
        <v/>
      </c>
      <c r="K133" s="20">
        <f>Разбивка_по_щитам!N133</f>
        <v/>
      </c>
      <c r="L133" s="20"/>
      <c r="M133" s="20">
        <f>Разбивка_по_щитам!P133</f>
        <v/>
      </c>
      <c r="N133" s="20"/>
      <c r="P133" s="20"/>
      <c r="Q133" s="20"/>
      <c r="R133" s="20"/>
      <c r="S133" s="20"/>
      <c r="T133" s="20"/>
      <c r="U133" s="20"/>
    </row>
    <row r="134" spans="2:21" x14ac:dyDescent="0.25">
      <c r="B134" s="20">
        <f>Разбивка_по_щитам!B134</f>
      </c>
      <c r="C134" s="20">
        <f>Разбивка_по_щитам!C134</f>
      </c>
      <c r="D134" s="20">
        <f>Разбивка_по_щитам!F134</f>
      </c>
      <c r="E134" s="20">
        <f>Разбивка_по_щитам!H134</f>
      </c>
      <c r="F134" s="20">
        <f>Разбивка_по_щитам!I134</f>
      </c>
      <c r="G134" s="20">
        <f>Разбивка_по_щитам!J134</f>
        <v/>
      </c>
      <c r="H134" s="20">
        <f>Разбивка_по_щитам!K134</f>
        <v/>
      </c>
      <c r="I134" s="20">
        <f>Разбивка_по_щитам!L134</f>
        <v/>
      </c>
      <c r="J134" s="20">
        <f>Разбивка_по_щитам!M134</f>
        <v/>
      </c>
      <c r="K134" s="20">
        <f>Разбивка_по_щитам!N134</f>
        <v/>
      </c>
      <c r="L134" s="20"/>
      <c r="M134" s="20">
        <f>Разбивка_по_щитам!P134</f>
        <v/>
      </c>
      <c r="N134" s="20"/>
      <c r="P134" s="20"/>
      <c r="Q134" s="20"/>
      <c r="R134" s="20"/>
      <c r="S134" s="20"/>
      <c r="T134" s="20"/>
      <c r="U134" s="20"/>
    </row>
    <row r="135" spans="2:21" x14ac:dyDescent="0.25">
      <c r="B135" s="20">
        <f>Разбивка_по_щитам!B135</f>
      </c>
      <c r="C135" s="20">
        <f>Разбивка_по_щитам!C135</f>
      </c>
      <c r="D135" s="20">
        <f>Разбивка_по_щитам!F135</f>
      </c>
      <c r="E135" s="20">
        <f>Разбивка_по_щитам!H135</f>
      </c>
      <c r="F135" s="20">
        <f>Разбивка_по_щитам!I135</f>
      </c>
      <c r="G135" s="20">
        <f>Разбивка_по_щитам!J135</f>
        <v/>
      </c>
      <c r="H135" s="20">
        <f>Разбивка_по_щитам!K135</f>
        <v/>
      </c>
      <c r="I135" s="20">
        <f>Разбивка_по_щитам!L135</f>
        <v/>
      </c>
      <c r="J135" s="20">
        <f>Разбивка_по_щитам!M135</f>
        <v/>
      </c>
      <c r="K135" s="20">
        <f>Разбивка_по_щитам!N135</f>
        <v/>
      </c>
      <c r="L135" s="20"/>
      <c r="M135" s="20">
        <f>Разбивка_по_щитам!P135</f>
        <v/>
      </c>
      <c r="N135" s="20"/>
      <c r="P135" s="20"/>
      <c r="Q135" s="20"/>
      <c r="R135" s="20"/>
      <c r="S135" s="20"/>
      <c r="T135" s="20"/>
      <c r="U135" s="20"/>
    </row>
    <row r="136" spans="2:21" x14ac:dyDescent="0.25">
      <c r="B136" s="20">
        <f>Разбивка_по_щитам!B136</f>
      </c>
      <c r="C136" s="20">
        <f>Разбивка_по_щитам!C136</f>
      </c>
      <c r="D136" s="20">
        <f>Разбивка_по_щитам!F136</f>
      </c>
      <c r="E136" s="20">
        <f>Разбивка_по_щитам!H136</f>
      </c>
      <c r="F136" s="20">
        <f>Разбивка_по_щитам!I136</f>
      </c>
      <c r="G136" s="20">
        <f>Разбивка_по_щитам!J136</f>
        <v/>
      </c>
      <c r="H136" s="20">
        <f>Разбивка_по_щитам!K136</f>
        <v/>
      </c>
      <c r="I136" s="20">
        <f>Разбивка_по_щитам!L136</f>
        <v/>
      </c>
      <c r="J136" s="20">
        <f>Разбивка_по_щитам!M136</f>
        <v/>
      </c>
      <c r="K136" s="20">
        <f>Разбивка_по_щитам!N136</f>
        <v/>
      </c>
      <c r="L136" s="20"/>
      <c r="M136" s="20">
        <f>Разбивка_по_щитам!P136</f>
        <v/>
      </c>
      <c r="N136" s="20"/>
      <c r="P136" s="20"/>
      <c r="Q136" s="20"/>
      <c r="R136" s="20"/>
      <c r="S136" s="20"/>
      <c r="T136" s="20"/>
      <c r="U136" s="20"/>
    </row>
    <row r="137" spans="2:21" x14ac:dyDescent="0.25">
      <c r="B137" s="20">
        <f>Разбивка_по_щитам!B137</f>
      </c>
      <c r="C137" s="20">
        <f>Разбивка_по_щитам!C137</f>
      </c>
      <c r="D137" s="20">
        <f>Разбивка_по_щитам!F137</f>
      </c>
      <c r="E137" s="20">
        <f>Разбивка_по_щитам!H137</f>
      </c>
      <c r="F137" s="20">
        <f>Разбивка_по_щитам!I137</f>
      </c>
      <c r="G137" s="20">
        <f>Разбивка_по_щитам!J137</f>
        <v/>
      </c>
      <c r="H137" s="20">
        <f>Разбивка_по_щитам!K137</f>
        <v/>
      </c>
      <c r="I137" s="20">
        <f>Разбивка_по_щитам!L137</f>
        <v/>
      </c>
      <c r="J137" s="20">
        <f>Разбивка_по_щитам!M137</f>
        <v/>
      </c>
      <c r="K137" s="20">
        <f>Разбивка_по_щитам!N137</f>
        <v/>
      </c>
      <c r="L137" s="20"/>
      <c r="M137" s="20">
        <f>Разбивка_по_щитам!P137</f>
        <v/>
      </c>
      <c r="N137" s="20"/>
      <c r="P137" s="20"/>
      <c r="Q137" s="20"/>
      <c r="R137" s="20"/>
      <c r="S137" s="20"/>
      <c r="T137" s="20"/>
      <c r="U137" s="20"/>
    </row>
    <row r="138" spans="2:21" x14ac:dyDescent="0.25">
      <c r="B138" s="20">
        <f>Разбивка_по_щитам!B138</f>
      </c>
      <c r="C138" s="20">
        <f>Разбивка_по_щитам!C138</f>
      </c>
      <c r="D138" s="20">
        <f>Разбивка_по_щитам!F138</f>
      </c>
      <c r="E138" s="20">
        <f>Разбивка_по_щитам!H138</f>
      </c>
      <c r="F138" s="20">
        <f>Разбивка_по_щитам!I138</f>
      </c>
      <c r="G138" s="20">
        <f>Разбивка_по_щитам!J138</f>
        <v/>
      </c>
      <c r="H138" s="20">
        <f>Разбивка_по_щитам!K138</f>
        <v/>
      </c>
      <c r="I138" s="20">
        <f>Разбивка_по_щитам!L138</f>
        <v/>
      </c>
      <c r="J138" s="20">
        <f>Разбивка_по_щитам!M138</f>
        <v/>
      </c>
      <c r="K138" s="20">
        <f>Разбивка_по_щитам!N138</f>
        <v/>
      </c>
      <c r="L138" s="20"/>
      <c r="M138" s="20">
        <f>Разбивка_по_щитам!P138</f>
        <v/>
      </c>
      <c r="N138" s="20"/>
      <c r="P138" s="20"/>
      <c r="Q138" s="20"/>
      <c r="R138" s="20"/>
      <c r="S138" s="20"/>
      <c r="T138" s="20"/>
      <c r="U138" s="20"/>
    </row>
    <row r="139" spans="2:21" x14ac:dyDescent="0.25">
      <c r="B139" s="20">
        <f>Разбивка_по_щитам!B139</f>
      </c>
      <c r="C139" s="20">
        <f>Разбивка_по_щитам!C139</f>
      </c>
      <c r="D139" s="20">
        <f>Разбивка_по_щитам!F139</f>
      </c>
      <c r="E139" s="20">
        <f>Разбивка_по_щитам!H139</f>
      </c>
      <c r="F139" s="20">
        <f>Разбивка_по_щитам!I139</f>
      </c>
      <c r="G139" s="20">
        <f>Разбивка_по_щитам!J139</f>
        <v/>
      </c>
      <c r="H139" s="20">
        <f>Разбивка_по_щитам!K139</f>
        <v/>
      </c>
      <c r="I139" s="20">
        <f>Разбивка_по_щитам!L139</f>
        <v/>
      </c>
      <c r="J139" s="20">
        <f>Разбивка_по_щитам!M139</f>
        <v/>
      </c>
      <c r="K139" s="20">
        <f>Разбивка_по_щитам!N139</f>
        <v/>
      </c>
      <c r="L139" s="20"/>
      <c r="M139" s="20">
        <f>Разбивка_по_щитам!P139</f>
        <v/>
      </c>
      <c r="N139" s="20"/>
      <c r="P139" s="20"/>
      <c r="Q139" s="20"/>
      <c r="R139" s="20"/>
      <c r="S139" s="20"/>
      <c r="T139" s="20"/>
      <c r="U139" s="20"/>
    </row>
    <row r="140" spans="2:21" x14ac:dyDescent="0.25">
      <c r="B140" s="20">
        <f>Разбивка_по_щитам!B140</f>
      </c>
      <c r="C140" s="20">
        <f>Разбивка_по_щитам!C140</f>
      </c>
      <c r="D140" s="20">
        <f>Разбивка_по_щитам!F140</f>
      </c>
      <c r="E140" s="20">
        <f>Разбивка_по_щитам!H140</f>
      </c>
      <c r="F140" s="20">
        <f>Разбивка_по_щитам!I140</f>
      </c>
      <c r="G140" s="20">
        <f>Разбивка_по_щитам!J140</f>
        <v/>
      </c>
      <c r="H140" s="20">
        <f>Разбивка_по_щитам!K140</f>
        <v/>
      </c>
      <c r="I140" s="20">
        <f>Разбивка_по_щитам!L140</f>
        <v/>
      </c>
      <c r="J140" s="20">
        <f>Разбивка_по_щитам!M140</f>
        <v/>
      </c>
      <c r="K140" s="20">
        <f>Разбивка_по_щитам!N140</f>
        <v/>
      </c>
      <c r="L140" s="20"/>
      <c r="M140" s="20">
        <f>Разбивка_по_щитам!P140</f>
        <v/>
      </c>
      <c r="N140" s="20"/>
      <c r="P140" s="20"/>
      <c r="Q140" s="20"/>
      <c r="R140" s="20"/>
      <c r="S140" s="20"/>
      <c r="T140" s="20"/>
      <c r="U140" s="20"/>
    </row>
    <row r="141" spans="2:21" x14ac:dyDescent="0.25">
      <c r="B141" s="20">
        <f>Разбивка_по_щитам!B141</f>
      </c>
      <c r="C141" s="20">
        <f>Разбивка_по_щитам!C141</f>
      </c>
      <c r="D141" s="20">
        <f>Разбивка_по_щитам!F141</f>
      </c>
      <c r="E141" s="20">
        <f>Разбивка_по_щитам!H141</f>
      </c>
      <c r="F141" s="20">
        <f>Разбивка_по_щитам!I141</f>
      </c>
      <c r="G141" s="20">
        <f>Разбивка_по_щитам!J141</f>
        <v/>
      </c>
      <c r="H141" s="20">
        <f>Разбивка_по_щитам!K141</f>
        <v/>
      </c>
      <c r="I141" s="20">
        <f>Разбивка_по_щитам!L141</f>
        <v/>
      </c>
      <c r="J141" s="20">
        <f>Разбивка_по_щитам!M141</f>
        <v/>
      </c>
      <c r="K141" s="20">
        <f>Разбивка_по_щитам!N141</f>
        <v/>
      </c>
      <c r="L141" s="20"/>
      <c r="M141" s="20">
        <f>Разбивка_по_щитам!P141</f>
        <v/>
      </c>
      <c r="N141" s="20"/>
      <c r="P141" s="20"/>
      <c r="Q141" s="20"/>
      <c r="R141" s="20"/>
      <c r="S141" s="20"/>
      <c r="T141" s="20"/>
      <c r="U141" s="20"/>
    </row>
    <row r="142" spans="2:21" x14ac:dyDescent="0.25">
      <c r="B142" s="20">
        <f>Разбивка_по_щитам!B142</f>
      </c>
      <c r="C142" s="20">
        <f>Разбивка_по_щитам!C142</f>
      </c>
      <c r="D142" s="20">
        <f>Разбивка_по_щитам!F142</f>
      </c>
      <c r="E142" s="20">
        <f>Разбивка_по_щитам!H142</f>
      </c>
      <c r="F142" s="20">
        <f>Разбивка_по_щитам!I142</f>
      </c>
      <c r="G142" s="20">
        <f>Разбивка_по_щитам!J142</f>
        <v/>
      </c>
      <c r="H142" s="20">
        <f>Разбивка_по_щитам!K142</f>
        <v/>
      </c>
      <c r="I142" s="20">
        <f>Разбивка_по_щитам!L142</f>
        <v/>
      </c>
      <c r="J142" s="20">
        <f>Разбивка_по_щитам!M142</f>
        <v/>
      </c>
      <c r="K142" s="20">
        <f>Разбивка_по_щитам!N142</f>
        <v/>
      </c>
      <c r="L142" s="20"/>
      <c r="M142" s="20">
        <f>Разбивка_по_щитам!P142</f>
        <v/>
      </c>
      <c r="N142" s="20"/>
      <c r="P142" s="20"/>
      <c r="Q142" s="20"/>
      <c r="R142" s="20"/>
      <c r="S142" s="20"/>
      <c r="T142" s="20"/>
      <c r="U142" s="20"/>
    </row>
    <row r="143" spans="2:21" x14ac:dyDescent="0.25">
      <c r="B143" s="20">
        <f>Разбивка_по_щитам!B143</f>
      </c>
      <c r="C143" s="20">
        <f>Разбивка_по_щитам!C143</f>
      </c>
      <c r="D143" s="20">
        <f>Разбивка_по_щитам!F143</f>
      </c>
      <c r="E143" s="20">
        <f>Разбивка_по_щитам!H143</f>
      </c>
      <c r="F143" s="20">
        <f>Разбивка_по_щитам!I143</f>
      </c>
      <c r="G143" s="20">
        <f>Разбивка_по_щитам!J143</f>
        <v/>
      </c>
      <c r="H143" s="20">
        <f>Разбивка_по_щитам!K143</f>
        <v/>
      </c>
      <c r="I143" s="20">
        <f>Разбивка_по_щитам!L143</f>
        <v/>
      </c>
      <c r="J143" s="20">
        <f>Разбивка_по_щитам!M143</f>
        <v/>
      </c>
      <c r="K143" s="20">
        <f>Разбивка_по_щитам!N143</f>
        <v/>
      </c>
      <c r="L143" s="20"/>
      <c r="M143" s="20">
        <f>Разбивка_по_щитам!P143</f>
        <v/>
      </c>
      <c r="N143" s="20"/>
      <c r="P143" s="20"/>
      <c r="Q143" s="20"/>
      <c r="R143" s="20"/>
      <c r="S143" s="20"/>
      <c r="T143" s="20"/>
      <c r="U143" s="20"/>
    </row>
    <row r="144" spans="2:21" x14ac:dyDescent="0.25">
      <c r="B144" s="20">
        <f>Разбивка_по_щитам!B144</f>
      </c>
      <c r="C144" s="20">
        <f>Разбивка_по_щитам!C144</f>
      </c>
      <c r="D144" s="20">
        <f>Разбивка_по_щитам!F144</f>
      </c>
      <c r="E144" s="20">
        <f>Разбивка_по_щитам!H144</f>
      </c>
      <c r="F144" s="20">
        <f>Разбивка_по_щитам!I144</f>
      </c>
      <c r="G144" s="20">
        <f>Разбивка_по_щитам!J144</f>
        <v/>
      </c>
      <c r="H144" s="20">
        <f>Разбивка_по_щитам!K144</f>
        <v/>
      </c>
      <c r="I144" s="20">
        <f>Разбивка_по_щитам!L144</f>
        <v/>
      </c>
      <c r="J144" s="20">
        <f>Разбивка_по_щитам!M144</f>
        <v/>
      </c>
      <c r="K144" s="20">
        <f>Разбивка_по_щитам!N144</f>
        <v/>
      </c>
      <c r="L144" s="20"/>
      <c r="M144" s="20">
        <f>Разбивка_по_щитам!P144</f>
        <v/>
      </c>
      <c r="N144" s="20"/>
      <c r="P144" s="20"/>
      <c r="Q144" s="20"/>
      <c r="R144" s="20"/>
      <c r="S144" s="20"/>
      <c r="T144" s="20"/>
      <c r="U144" s="20"/>
    </row>
    <row r="145" spans="2:21" x14ac:dyDescent="0.25">
      <c r="B145" s="20">
        <f>Разбивка_по_щитам!B145</f>
      </c>
      <c r="C145" s="20">
        <f>Разбивка_по_щитам!C145</f>
      </c>
      <c r="D145" s="20">
        <f>Разбивка_по_щитам!F145</f>
      </c>
      <c r="E145" s="20">
        <f>Разбивка_по_щитам!H145</f>
      </c>
      <c r="F145" s="20">
        <f>Разбивка_по_щитам!I145</f>
      </c>
      <c r="G145" s="20">
        <f>Разбивка_по_щитам!J145</f>
        <v/>
      </c>
      <c r="H145" s="20">
        <f>Разбивка_по_щитам!K145</f>
        <v/>
      </c>
      <c r="I145" s="20">
        <f>Разбивка_по_щитам!L145</f>
        <v/>
      </c>
      <c r="J145" s="20">
        <f>Разбивка_по_щитам!M145</f>
        <v/>
      </c>
      <c r="K145" s="20">
        <f>Разбивка_по_щитам!N145</f>
        <v/>
      </c>
      <c r="L145" s="20"/>
      <c r="M145" s="20">
        <f>Разбивка_по_щитам!P145</f>
        <v/>
      </c>
      <c r="N145" s="20"/>
      <c r="P145" s="20"/>
      <c r="Q145" s="20"/>
      <c r="R145" s="20"/>
      <c r="S145" s="20"/>
      <c r="T145" s="20"/>
      <c r="U145" s="20"/>
    </row>
    <row r="146" spans="2:21" x14ac:dyDescent="0.25">
      <c r="B146" s="20">
        <f>Разбивка_по_щитам!B146</f>
      </c>
      <c r="C146" s="20">
        <f>Разбивка_по_щитам!C146</f>
      </c>
      <c r="D146" s="20">
        <f>Разбивка_по_щитам!F146</f>
      </c>
      <c r="E146" s="20">
        <f>Разбивка_по_щитам!H146</f>
      </c>
      <c r="F146" s="20">
        <f>Разбивка_по_щитам!I146</f>
      </c>
      <c r="G146" s="20">
        <f>Разбивка_по_щитам!J146</f>
        <v/>
      </c>
      <c r="H146" s="20">
        <f>Разбивка_по_щитам!K146</f>
        <v/>
      </c>
      <c r="I146" s="20">
        <f>Разбивка_по_щитам!L146</f>
        <v/>
      </c>
      <c r="J146" s="20">
        <f>Разбивка_по_щитам!M146</f>
        <v/>
      </c>
      <c r="K146" s="20">
        <f>Разбивка_по_щитам!N146</f>
        <v/>
      </c>
      <c r="L146" s="20"/>
      <c r="M146" s="20">
        <f>Разбивка_по_щитам!P146</f>
        <v/>
      </c>
      <c r="N146" s="20"/>
      <c r="P146" s="20"/>
      <c r="Q146" s="20"/>
      <c r="R146" s="20"/>
      <c r="S146" s="20"/>
      <c r="T146" s="20"/>
      <c r="U146" s="20"/>
    </row>
    <row r="147" spans="2:21" x14ac:dyDescent="0.25">
      <c r="B147" s="20">
        <f>Разбивка_по_щитам!B147</f>
      </c>
      <c r="C147" s="20">
        <f>Разбивка_по_щитам!C147</f>
      </c>
      <c r="D147" s="20">
        <f>Разбивка_по_щитам!F147</f>
      </c>
      <c r="E147" s="20">
        <f>Разбивка_по_щитам!H147</f>
      </c>
      <c r="F147" s="20">
        <f>Разбивка_по_щитам!I147</f>
      </c>
      <c r="G147" s="20">
        <f>Разбивка_по_щитам!J147</f>
        <v/>
      </c>
      <c r="H147" s="20">
        <f>Разбивка_по_щитам!K147</f>
        <v/>
      </c>
      <c r="I147" s="20">
        <f>Разбивка_по_щитам!L147</f>
        <v/>
      </c>
      <c r="J147" s="20">
        <f>Разбивка_по_щитам!M147</f>
        <v/>
      </c>
      <c r="K147" s="20">
        <f>Разбивка_по_щитам!N147</f>
        <v/>
      </c>
      <c r="L147" s="20"/>
      <c r="M147" s="20">
        <f>Разбивка_по_щитам!P147</f>
        <v/>
      </c>
      <c r="N147" s="20"/>
      <c r="P147" s="20"/>
      <c r="Q147" s="20"/>
      <c r="R147" s="20"/>
      <c r="S147" s="20"/>
      <c r="T147" s="20"/>
      <c r="U147" s="20"/>
    </row>
    <row r="148" spans="2:21" x14ac:dyDescent="0.25">
      <c r="B148" s="20">
        <f>Разбивка_по_щитам!B148</f>
      </c>
      <c r="C148" s="20">
        <f>Разбивка_по_щитам!C148</f>
      </c>
      <c r="D148" s="20">
        <f>Разбивка_по_щитам!F148</f>
      </c>
      <c r="E148" s="20">
        <f>Разбивка_по_щитам!H148</f>
      </c>
      <c r="F148" s="20">
        <f>Разбивка_по_щитам!I148</f>
      </c>
      <c r="G148" s="20">
        <f>Разбивка_по_щитам!J148</f>
        <v/>
      </c>
      <c r="H148" s="20">
        <f>Разбивка_по_щитам!K148</f>
        <v/>
      </c>
      <c r="I148" s="20">
        <f>Разбивка_по_щитам!L148</f>
        <v/>
      </c>
      <c r="J148" s="20">
        <f>Разбивка_по_щитам!M148</f>
        <v/>
      </c>
      <c r="K148" s="20">
        <f>Разбивка_по_щитам!N148</f>
        <v/>
      </c>
      <c r="L148" s="20"/>
      <c r="M148" s="20">
        <f>Разбивка_по_щитам!P148</f>
        <v/>
      </c>
      <c r="N148" s="20"/>
      <c r="P148" s="20"/>
      <c r="Q148" s="20"/>
      <c r="R148" s="20"/>
      <c r="S148" s="20"/>
      <c r="T148" s="20"/>
      <c r="U148" s="20"/>
    </row>
    <row r="149" spans="2:21" x14ac:dyDescent="0.25">
      <c r="B149" s="20">
        <f>Разбивка_по_щитам!B149</f>
      </c>
      <c r="C149" s="20">
        <f>Разбивка_по_щитам!C149</f>
      </c>
      <c r="D149" s="20">
        <f>Разбивка_по_щитам!F149</f>
      </c>
      <c r="E149" s="20">
        <f>Разбивка_по_щитам!H149</f>
      </c>
      <c r="F149" s="20">
        <f>Разбивка_по_щитам!I149</f>
      </c>
      <c r="G149" s="20">
        <f>Разбивка_по_щитам!J149</f>
        <v/>
      </c>
      <c r="H149" s="20">
        <f>Разбивка_по_щитам!K149</f>
        <v/>
      </c>
      <c r="I149" s="20">
        <f>Разбивка_по_щитам!L149</f>
        <v/>
      </c>
      <c r="J149" s="20">
        <f>Разбивка_по_щитам!M149</f>
        <v/>
      </c>
      <c r="K149" s="20">
        <f>Разбивка_по_щитам!N149</f>
        <v/>
      </c>
      <c r="L149" s="20"/>
      <c r="M149" s="20">
        <f>Разбивка_по_щитам!P149</f>
        <v/>
      </c>
      <c r="N149" s="20"/>
      <c r="P149" s="20"/>
      <c r="Q149" s="20"/>
      <c r="R149" s="20"/>
      <c r="S149" s="20"/>
      <c r="T149" s="20"/>
      <c r="U149" s="20"/>
    </row>
    <row r="150" spans="2:21" x14ac:dyDescent="0.25">
      <c r="B150" s="20">
        <f>Разбивка_по_щитам!B150</f>
      </c>
      <c r="C150" s="20">
        <f>Разбивка_по_щитам!C150</f>
      </c>
      <c r="D150" s="20">
        <f>Разбивка_по_щитам!F150</f>
      </c>
      <c r="E150" s="20">
        <f>Разбивка_по_щитам!H150</f>
      </c>
      <c r="F150" s="20">
        <f>Разбивка_по_щитам!I150</f>
      </c>
      <c r="G150" s="20">
        <f>Разбивка_по_щитам!J150</f>
        <v/>
      </c>
      <c r="H150" s="20">
        <f>Разбивка_по_щитам!K150</f>
        <v/>
      </c>
      <c r="I150" s="20">
        <f>Разбивка_по_щитам!L150</f>
        <v/>
      </c>
      <c r="J150" s="20">
        <f>Разбивка_по_щитам!M150</f>
        <v/>
      </c>
      <c r="K150" s="20">
        <f>Разбивка_по_щитам!N150</f>
        <v/>
      </c>
      <c r="L150" s="20"/>
      <c r="M150" s="20">
        <f>Разбивка_по_щитам!P150</f>
        <v/>
      </c>
      <c r="N150" s="20"/>
      <c r="P150" s="20"/>
      <c r="Q150" s="20"/>
      <c r="R150" s="20"/>
      <c r="S150" s="20"/>
      <c r="T150" s="20"/>
      <c r="U150" s="20"/>
    </row>
    <row r="151" spans="2:21" x14ac:dyDescent="0.25">
      <c r="B151" s="20">
        <f>Разбивка_по_щитам!B151</f>
      </c>
      <c r="C151" s="20">
        <f>Разбивка_по_щитам!C151</f>
      </c>
      <c r="D151" s="20">
        <f>Разбивка_по_щитам!F151</f>
      </c>
      <c r="E151" s="20">
        <f>Разбивка_по_щитам!H151</f>
      </c>
      <c r="F151" s="20">
        <f>Разбивка_по_щитам!I151</f>
      </c>
      <c r="G151" s="20">
        <f>Разбивка_по_щитам!J151</f>
        <v/>
      </c>
      <c r="H151" s="20">
        <f>Разбивка_по_щитам!K151</f>
        <v/>
      </c>
      <c r="I151" s="20">
        <f>Разбивка_по_щитам!L151</f>
        <v/>
      </c>
      <c r="J151" s="20">
        <f>Разбивка_по_щитам!M151</f>
        <v/>
      </c>
      <c r="K151" s="20">
        <f>Разбивка_по_щитам!N151</f>
        <v/>
      </c>
      <c r="L151" s="20"/>
      <c r="M151" s="20">
        <f>Разбивка_по_щитам!P151</f>
        <v/>
      </c>
      <c r="N151" s="20"/>
      <c r="P151" s="20"/>
      <c r="Q151" s="20"/>
      <c r="R151" s="20"/>
      <c r="S151" s="20"/>
      <c r="T151" s="20"/>
      <c r="U151" s="20"/>
    </row>
    <row r="152" spans="2:21" x14ac:dyDescent="0.25">
      <c r="B152" s="20">
        <f>Разбивка_по_щитам!B152</f>
      </c>
      <c r="C152" s="20">
        <f>Разбивка_по_щитам!C152</f>
      </c>
      <c r="D152" s="20">
        <f>Разбивка_по_щитам!F152</f>
      </c>
      <c r="E152" s="20">
        <f>Разбивка_по_щитам!H152</f>
      </c>
      <c r="F152" s="20">
        <f>Разбивка_по_щитам!I152</f>
      </c>
      <c r="G152" s="20">
        <f>Разбивка_по_щитам!J152</f>
        <v/>
      </c>
      <c r="H152" s="20">
        <f>Разбивка_по_щитам!K152</f>
        <v/>
      </c>
      <c r="I152" s="20">
        <f>Разбивка_по_щитам!L152</f>
        <v/>
      </c>
      <c r="J152" s="20">
        <f>Разбивка_по_щитам!M152</f>
        <v/>
      </c>
      <c r="K152" s="20">
        <f>Разбивка_по_щитам!N152</f>
        <v/>
      </c>
      <c r="L152" s="20"/>
      <c r="M152" s="20">
        <f>Разбивка_по_щитам!P152</f>
        <v/>
      </c>
      <c r="N152" s="20"/>
      <c r="P152" s="20"/>
      <c r="Q152" s="20"/>
      <c r="R152" s="20"/>
      <c r="S152" s="20"/>
      <c r="T152" s="20"/>
      <c r="U152" s="20"/>
    </row>
    <row r="153" spans="2:21" x14ac:dyDescent="0.25">
      <c r="B153" s="20">
        <f>Разбивка_по_щитам!B153</f>
      </c>
      <c r="C153" s="20">
        <f>Разбивка_по_щитам!C153</f>
      </c>
      <c r="D153" s="20">
        <f>Разбивка_по_щитам!F153</f>
      </c>
      <c r="E153" s="20">
        <f>Разбивка_по_щитам!H153</f>
      </c>
      <c r="F153" s="20">
        <f>Разбивка_по_щитам!I153</f>
      </c>
      <c r="G153" s="20">
        <f>Разбивка_по_щитам!J153</f>
        <v/>
      </c>
      <c r="H153" s="20">
        <f>Разбивка_по_щитам!K153</f>
        <v/>
      </c>
      <c r="I153" s="20">
        <f>Разбивка_по_щитам!L153</f>
        <v/>
      </c>
      <c r="J153" s="20">
        <f>Разбивка_по_щитам!M153</f>
        <v/>
      </c>
      <c r="K153" s="20">
        <f>Разбивка_по_щитам!N153</f>
        <v/>
      </c>
      <c r="L153" s="20"/>
      <c r="M153" s="20">
        <f>Разбивка_по_щитам!P153</f>
        <v/>
      </c>
      <c r="N153" s="20"/>
      <c r="P153" s="20"/>
      <c r="Q153" s="20"/>
      <c r="R153" s="20"/>
      <c r="S153" s="20"/>
      <c r="T153" s="20"/>
      <c r="U153" s="20"/>
    </row>
    <row r="154" spans="2:21" x14ac:dyDescent="0.25">
      <c r="B154" s="20">
        <f>Разбивка_по_щитам!B154</f>
      </c>
      <c r="C154" s="20">
        <f>Разбивка_по_щитам!C154</f>
      </c>
      <c r="D154" s="20">
        <f>Разбивка_по_щитам!F154</f>
      </c>
      <c r="E154" s="20">
        <f>Разбивка_по_щитам!H154</f>
      </c>
      <c r="F154" s="20">
        <f>Разбивка_по_щитам!I154</f>
      </c>
      <c r="G154" s="20">
        <f>Разбивка_по_щитам!J154</f>
        <v/>
      </c>
      <c r="H154" s="20">
        <f>Разбивка_по_щитам!K154</f>
        <v/>
      </c>
      <c r="I154" s="20">
        <f>Разбивка_по_щитам!L154</f>
        <v/>
      </c>
      <c r="J154" s="20">
        <f>Разбивка_по_щитам!M154</f>
        <v/>
      </c>
      <c r="K154" s="20">
        <f>Разбивка_по_щитам!N154</f>
        <v/>
      </c>
      <c r="L154" s="20"/>
      <c r="M154" s="20">
        <f>Разбивка_по_щитам!P154</f>
        <v/>
      </c>
      <c r="N154" s="20"/>
      <c r="P154" s="20"/>
      <c r="Q154" s="20"/>
      <c r="R154" s="20"/>
      <c r="S154" s="20"/>
      <c r="T154" s="20"/>
      <c r="U154" s="20"/>
    </row>
    <row r="155" spans="2:21" x14ac:dyDescent="0.25">
      <c r="B155" s="20">
        <f>Разбивка_по_щитам!B155</f>
      </c>
      <c r="C155" s="20">
        <f>Разбивка_по_щитам!C155</f>
      </c>
      <c r="D155" s="20">
        <f>Разбивка_по_щитам!F155</f>
      </c>
      <c r="E155" s="20">
        <f>Разбивка_по_щитам!H155</f>
      </c>
      <c r="F155" s="20">
        <f>Разбивка_по_щитам!I155</f>
      </c>
      <c r="G155" s="20">
        <f>Разбивка_по_щитам!J155</f>
        <v/>
      </c>
      <c r="H155" s="20">
        <f>Разбивка_по_щитам!K155</f>
        <v/>
      </c>
      <c r="I155" s="20">
        <f>Разбивка_по_щитам!L155</f>
        <v/>
      </c>
      <c r="J155" s="20">
        <f>Разбивка_по_щитам!M155</f>
        <v/>
      </c>
      <c r="K155" s="20">
        <f>Разбивка_по_щитам!N155</f>
        <v/>
      </c>
      <c r="L155" s="20"/>
      <c r="M155" s="20">
        <f>Разбивка_по_щитам!P155</f>
        <v/>
      </c>
      <c r="N155" s="20"/>
      <c r="P155" s="20"/>
      <c r="Q155" s="20"/>
      <c r="R155" s="20"/>
      <c r="S155" s="20"/>
      <c r="T155" s="20"/>
      <c r="U155" s="20"/>
    </row>
    <row r="156" spans="2:21" x14ac:dyDescent="0.25">
      <c r="B156" s="20">
        <f>Разбивка_по_щитам!B156</f>
      </c>
      <c r="C156" s="20">
        <f>Разбивка_по_щитам!C156</f>
      </c>
      <c r="D156" s="20">
        <f>Разбивка_по_щитам!F156</f>
      </c>
      <c r="E156" s="20">
        <f>Разбивка_по_щитам!H156</f>
      </c>
      <c r="F156" s="20">
        <f>Разбивка_по_щитам!I156</f>
      </c>
      <c r="G156" s="20">
        <f>Разбивка_по_щитам!J156</f>
        <v/>
      </c>
      <c r="H156" s="20">
        <f>Разбивка_по_щитам!K156</f>
        <v/>
      </c>
      <c r="I156" s="20">
        <f>Разбивка_по_щитам!L156</f>
        <v/>
      </c>
      <c r="J156" s="20">
        <f>Разбивка_по_щитам!M156</f>
        <v/>
      </c>
      <c r="K156" s="20">
        <f>Разбивка_по_щитам!N156</f>
        <v/>
      </c>
      <c r="L156" s="20"/>
      <c r="M156" s="20">
        <f>Разбивка_по_щитам!P156</f>
        <v/>
      </c>
      <c r="N156" s="20"/>
      <c r="P156" s="20"/>
      <c r="Q156" s="20"/>
      <c r="R156" s="20"/>
      <c r="S156" s="20"/>
      <c r="T156" s="20"/>
      <c r="U156" s="20"/>
    </row>
    <row r="157" spans="2:21" x14ac:dyDescent="0.25">
      <c r="B157" s="20">
        <f>Разбивка_по_щитам!B157</f>
      </c>
      <c r="C157" s="20">
        <f>Разбивка_по_щитам!C157</f>
      </c>
      <c r="D157" s="20">
        <f>Разбивка_по_щитам!F157</f>
      </c>
      <c r="E157" s="20">
        <f>Разбивка_по_щитам!H157</f>
      </c>
      <c r="F157" s="20">
        <f>Разбивка_по_щитам!I157</f>
      </c>
      <c r="G157" s="20">
        <f>Разбивка_по_щитам!J157</f>
        <v/>
      </c>
      <c r="H157" s="20">
        <f>Разбивка_по_щитам!K157</f>
        <v/>
      </c>
      <c r="I157" s="20">
        <f>Разбивка_по_щитам!L157</f>
        <v/>
      </c>
      <c r="J157" s="20">
        <f>Разбивка_по_щитам!M157</f>
        <v/>
      </c>
      <c r="K157" s="20">
        <f>Разбивка_по_щитам!N157</f>
        <v/>
      </c>
      <c r="L157" s="20"/>
      <c r="M157" s="20">
        <f>Разбивка_по_щитам!P157</f>
        <v/>
      </c>
      <c r="N157" s="20"/>
      <c r="P157" s="20"/>
      <c r="Q157" s="20"/>
      <c r="R157" s="20"/>
      <c r="S157" s="20"/>
      <c r="T157" s="20"/>
      <c r="U157" s="20"/>
    </row>
    <row r="158" spans="2:21" x14ac:dyDescent="0.25">
      <c r="B158" s="20">
        <f>Разбивка_по_щитам!B158</f>
      </c>
      <c r="C158" s="20">
        <f>Разбивка_по_щитам!C158</f>
      </c>
      <c r="D158" s="20">
        <f>Разбивка_по_щитам!F158</f>
      </c>
      <c r="E158" s="20">
        <f>Разбивка_по_щитам!H158</f>
      </c>
      <c r="F158" s="20">
        <f>Разбивка_по_щитам!I158</f>
      </c>
      <c r="G158" s="20">
        <f>Разбивка_по_щитам!J158</f>
        <v/>
      </c>
      <c r="H158" s="20">
        <f>Разбивка_по_щитам!K158</f>
        <v/>
      </c>
      <c r="I158" s="20">
        <f>Разбивка_по_щитам!L158</f>
        <v/>
      </c>
      <c r="J158" s="20">
        <f>Разбивка_по_щитам!M158</f>
        <v/>
      </c>
      <c r="K158" s="20">
        <f>Разбивка_по_щитам!N158</f>
        <v/>
      </c>
      <c r="L158" s="20"/>
      <c r="M158" s="20">
        <f>Разбивка_по_щитам!P158</f>
        <v/>
      </c>
      <c r="N158" s="20"/>
      <c r="P158" s="20"/>
      <c r="Q158" s="20"/>
      <c r="R158" s="20"/>
      <c r="S158" s="20"/>
      <c r="T158" s="20"/>
      <c r="U158" s="20"/>
    </row>
    <row r="159" spans="2:21" x14ac:dyDescent="0.25">
      <c r="B159" s="20">
        <f>Разбивка_по_щитам!B159</f>
      </c>
      <c r="C159" s="20">
        <f>Разбивка_по_щитам!C159</f>
      </c>
      <c r="D159" s="20">
        <f>Разбивка_по_щитам!F159</f>
      </c>
      <c r="E159" s="20">
        <f>Разбивка_по_щитам!H159</f>
      </c>
      <c r="F159" s="20">
        <f>Разбивка_по_щитам!I159</f>
      </c>
      <c r="G159" s="20">
        <f>Разбивка_по_щитам!J159</f>
        <v/>
      </c>
      <c r="H159" s="20">
        <f>Разбивка_по_щитам!K159</f>
        <v/>
      </c>
      <c r="I159" s="20">
        <f>Разбивка_по_щитам!L159</f>
        <v/>
      </c>
      <c r="J159" s="20">
        <f>Разбивка_по_щитам!M159</f>
        <v/>
      </c>
      <c r="K159" s="20">
        <f>Разбивка_по_щитам!N159</f>
        <v/>
      </c>
      <c r="L159" s="20"/>
      <c r="M159" s="20">
        <f>Разбивка_по_щитам!P159</f>
        <v/>
      </c>
      <c r="N159" s="20"/>
      <c r="P159" s="20"/>
      <c r="Q159" s="20"/>
      <c r="R159" s="20"/>
      <c r="S159" s="20"/>
      <c r="T159" s="20"/>
      <c r="U159" s="20"/>
    </row>
    <row r="160" spans="2:21" x14ac:dyDescent="0.25">
      <c r="B160" s="20">
        <f>Разбивка_по_щитам!B160</f>
      </c>
      <c r="C160" s="20">
        <f>Разбивка_по_щитам!C160</f>
      </c>
      <c r="D160" s="20">
        <f>Разбивка_по_щитам!F160</f>
      </c>
      <c r="E160" s="20">
        <f>Разбивка_по_щитам!H160</f>
      </c>
      <c r="F160" s="20">
        <f>Разбивка_по_щитам!I160</f>
      </c>
      <c r="G160" s="20">
        <f>Разбивка_по_щитам!J160</f>
        <v/>
      </c>
      <c r="H160" s="20">
        <f>Разбивка_по_щитам!K160</f>
        <v/>
      </c>
      <c r="I160" s="20">
        <f>Разбивка_по_щитам!L160</f>
        <v/>
      </c>
      <c r="J160" s="20">
        <f>Разбивка_по_щитам!M160</f>
        <v/>
      </c>
      <c r="K160" s="20">
        <f>Разбивка_по_щитам!N160</f>
        <v/>
      </c>
      <c r="L160" s="20"/>
      <c r="M160" s="20">
        <f>Разбивка_по_щитам!P160</f>
        <v/>
      </c>
      <c r="N160" s="20"/>
      <c r="P160" s="20"/>
      <c r="Q160" s="20"/>
      <c r="R160" s="20"/>
      <c r="S160" s="20"/>
      <c r="T160" s="20"/>
      <c r="U160" s="20"/>
    </row>
    <row r="161" spans="2:21" x14ac:dyDescent="0.25">
      <c r="B161" s="20">
        <f>Разбивка_по_щитам!B161</f>
      </c>
      <c r="C161" s="20">
        <f>Разбивка_по_щитам!C161</f>
      </c>
      <c r="D161" s="20">
        <f>Разбивка_по_щитам!F161</f>
      </c>
      <c r="E161" s="20">
        <f>Разбивка_по_щитам!H161</f>
      </c>
      <c r="F161" s="20">
        <f>Разбивка_по_щитам!I161</f>
      </c>
      <c r="G161" s="20">
        <f>Разбивка_по_щитам!J161</f>
        <v/>
      </c>
      <c r="H161" s="20">
        <f>Разбивка_по_щитам!K161</f>
        <v/>
      </c>
      <c r="I161" s="20">
        <f>Разбивка_по_щитам!L161</f>
        <v/>
      </c>
      <c r="J161" s="20">
        <f>Разбивка_по_щитам!M161</f>
        <v/>
      </c>
      <c r="K161" s="20">
        <f>Разбивка_по_щитам!N161</f>
        <v/>
      </c>
      <c r="L161" s="20"/>
      <c r="M161" s="20">
        <f>Разбивка_по_щитам!P161</f>
        <v/>
      </c>
      <c r="N161" s="20"/>
      <c r="P161" s="20"/>
      <c r="Q161" s="20"/>
      <c r="R161" s="20"/>
      <c r="S161" s="20"/>
      <c r="T161" s="20"/>
      <c r="U161" s="20"/>
    </row>
    <row r="162" spans="2:21" x14ac:dyDescent="0.25">
      <c r="B162" s="20">
        <f>Разбивка_по_щитам!B162</f>
      </c>
      <c r="C162" s="20">
        <f>Разбивка_по_щитам!C162</f>
      </c>
      <c r="D162" s="20">
        <f>Разбивка_по_щитам!F162</f>
      </c>
      <c r="E162" s="20">
        <f>Разбивка_по_щитам!H162</f>
      </c>
      <c r="F162" s="20">
        <f>Разбивка_по_щитам!I162</f>
      </c>
      <c r="G162" s="20">
        <f>Разбивка_по_щитам!J162</f>
        <v/>
      </c>
      <c r="H162" s="20">
        <f>Разбивка_по_щитам!K162</f>
        <v/>
      </c>
      <c r="I162" s="20">
        <f>Разбивка_по_щитам!L162</f>
        <v/>
      </c>
      <c r="J162" s="20">
        <f>Разбивка_по_щитам!M162</f>
        <v/>
      </c>
      <c r="K162" s="20">
        <f>Разбивка_по_щитам!N162</f>
        <v/>
      </c>
      <c r="L162" s="20"/>
      <c r="M162" s="20">
        <f>Разбивка_по_щитам!P162</f>
        <v/>
      </c>
      <c r="N162" s="20"/>
      <c r="P162" s="20"/>
      <c r="Q162" s="20"/>
      <c r="R162" s="20"/>
      <c r="S162" s="20"/>
      <c r="T162" s="20"/>
      <c r="U162" s="20"/>
    </row>
    <row r="163" spans="2:21" x14ac:dyDescent="0.25">
      <c r="B163" s="20">
        <f>Разбивка_по_щитам!B163</f>
      </c>
      <c r="C163" s="20">
        <f>Разбивка_по_щитам!C163</f>
      </c>
      <c r="D163" s="20">
        <f>Разбивка_по_щитам!F163</f>
      </c>
      <c r="E163" s="20">
        <f>Разбивка_по_щитам!H163</f>
      </c>
      <c r="F163" s="20">
        <f>Разбивка_по_щитам!I163</f>
      </c>
      <c r="G163" s="20">
        <f>Разбивка_по_щитам!J163</f>
        <v/>
      </c>
      <c r="H163" s="20">
        <f>Разбивка_по_щитам!K163</f>
        <v/>
      </c>
      <c r="I163" s="20">
        <f>Разбивка_по_щитам!L163</f>
        <v/>
      </c>
      <c r="J163" s="20">
        <f>Разбивка_по_щитам!M163</f>
        <v/>
      </c>
      <c r="K163" s="20">
        <f>Разбивка_по_щитам!N163</f>
        <v/>
      </c>
      <c r="L163" s="20"/>
      <c r="M163" s="20">
        <f>Разбивка_по_щитам!P163</f>
        <v/>
      </c>
      <c r="N163" s="20"/>
      <c r="P163" s="20"/>
      <c r="Q163" s="20"/>
      <c r="R163" s="20"/>
      <c r="S163" s="20"/>
      <c r="T163" s="20"/>
      <c r="U163" s="20"/>
    </row>
    <row r="164" spans="2:21" x14ac:dyDescent="0.25">
      <c r="B164" s="20">
        <f>Разбивка_по_щитам!B164</f>
      </c>
      <c r="C164" s="20">
        <f>Разбивка_по_щитам!C164</f>
      </c>
      <c r="D164" s="20">
        <f>Разбивка_по_щитам!F164</f>
      </c>
      <c r="E164" s="20">
        <f>Разбивка_по_щитам!H164</f>
      </c>
      <c r="F164" s="20">
        <f>Разбивка_по_щитам!I164</f>
      </c>
      <c r="G164" s="20">
        <f>Разбивка_по_щитам!J164</f>
        <v/>
      </c>
      <c r="H164" s="20">
        <f>Разбивка_по_щитам!K164</f>
        <v/>
      </c>
      <c r="I164" s="20">
        <f>Разбивка_по_щитам!L164</f>
        <v/>
      </c>
      <c r="J164" s="20">
        <f>Разбивка_по_щитам!M164</f>
        <v/>
      </c>
      <c r="K164" s="20">
        <f>Разбивка_по_щитам!N164</f>
        <v/>
      </c>
      <c r="L164" s="20"/>
      <c r="M164" s="20">
        <f>Разбивка_по_щитам!P164</f>
        <v/>
      </c>
      <c r="N164" s="20"/>
      <c r="P164" s="20"/>
      <c r="Q164" s="20"/>
      <c r="R164" s="20"/>
      <c r="S164" s="20"/>
      <c r="T164" s="20"/>
      <c r="U164" s="20"/>
    </row>
    <row r="165" spans="2:21" x14ac:dyDescent="0.25">
      <c r="B165" s="20">
        <f>Разбивка_по_щитам!B165</f>
      </c>
      <c r="C165" s="20">
        <f>Разбивка_по_щитам!C165</f>
      </c>
      <c r="D165" s="20">
        <f>Разбивка_по_щитам!F165</f>
      </c>
      <c r="E165" s="20">
        <f>Разбивка_по_щитам!H165</f>
      </c>
      <c r="F165" s="20">
        <f>Разбивка_по_щитам!I165</f>
      </c>
      <c r="G165" s="20">
        <f>Разбивка_по_щитам!J165</f>
        <v/>
      </c>
      <c r="H165" s="20">
        <f>Разбивка_по_щитам!K165</f>
        <v/>
      </c>
      <c r="I165" s="20">
        <f>Разбивка_по_щитам!L165</f>
        <v/>
      </c>
      <c r="J165" s="20">
        <f>Разбивка_по_щитам!M165</f>
        <v/>
      </c>
      <c r="K165" s="20">
        <f>Разбивка_по_щитам!N165</f>
        <v/>
      </c>
      <c r="L165" s="20"/>
      <c r="M165" s="20">
        <f>Разбивка_по_щитам!P165</f>
        <v/>
      </c>
      <c r="N165" s="20"/>
      <c r="P165" s="20"/>
      <c r="Q165" s="20"/>
      <c r="R165" s="20"/>
      <c r="S165" s="20"/>
      <c r="T165" s="20"/>
      <c r="U165" s="20"/>
    </row>
    <row r="166" spans="2:21" x14ac:dyDescent="0.25">
      <c r="B166" s="20">
        <f>Разбивка_по_щитам!B166</f>
      </c>
      <c r="C166" s="20">
        <f>Разбивка_по_щитам!C166</f>
      </c>
      <c r="D166" s="20">
        <f>Разбивка_по_щитам!F166</f>
      </c>
      <c r="E166" s="20">
        <f>Разбивка_по_щитам!H166</f>
      </c>
      <c r="F166" s="20">
        <f>Разбивка_по_щитам!I166</f>
      </c>
      <c r="G166" s="20">
        <f>Разбивка_по_щитам!J166</f>
        <v/>
      </c>
      <c r="H166" s="20">
        <f>Разбивка_по_щитам!K166</f>
        <v/>
      </c>
      <c r="I166" s="20">
        <f>Разбивка_по_щитам!L166</f>
        <v/>
      </c>
      <c r="J166" s="20">
        <f>Разбивка_по_щитам!M166</f>
        <v/>
      </c>
      <c r="K166" s="20">
        <f>Разбивка_по_щитам!N166</f>
        <v/>
      </c>
      <c r="L166" s="20"/>
      <c r="M166" s="20">
        <f>Разбивка_по_щитам!P166</f>
        <v/>
      </c>
      <c r="N166" s="20"/>
      <c r="P166" s="20"/>
      <c r="Q166" s="20"/>
      <c r="R166" s="20"/>
      <c r="S166" s="20"/>
      <c r="T166" s="20"/>
      <c r="U166" s="20"/>
    </row>
    <row r="167" spans="2:21" x14ac:dyDescent="0.25">
      <c r="B167" s="20">
        <f>Разбивка_по_щитам!B167</f>
      </c>
      <c r="C167" s="20">
        <f>Разбивка_по_щитам!C167</f>
      </c>
      <c r="D167" s="20">
        <f>Разбивка_по_щитам!F167</f>
      </c>
      <c r="E167" s="20">
        <f>Разбивка_по_щитам!H167</f>
      </c>
      <c r="F167" s="20">
        <f>Разбивка_по_щитам!I167</f>
      </c>
      <c r="G167" s="20">
        <f>Разбивка_по_щитам!J167</f>
        <v/>
      </c>
      <c r="H167" s="20">
        <f>Разбивка_по_щитам!K167</f>
        <v/>
      </c>
      <c r="I167" s="20">
        <f>Разбивка_по_щитам!L167</f>
        <v/>
      </c>
      <c r="J167" s="20">
        <f>Разбивка_по_щитам!M167</f>
        <v/>
      </c>
      <c r="K167" s="20">
        <f>Разбивка_по_щитам!N167</f>
        <v/>
      </c>
      <c r="L167" s="20"/>
      <c r="M167" s="20">
        <f>Разбивка_по_щитам!P167</f>
        <v/>
      </c>
      <c r="N167" s="20"/>
      <c r="P167" s="20"/>
      <c r="Q167" s="20"/>
      <c r="R167" s="20"/>
      <c r="S167" s="20"/>
      <c r="T167" s="20"/>
      <c r="U167" s="20"/>
    </row>
    <row r="168" spans="2:21" x14ac:dyDescent="0.25">
      <c r="B168" s="20">
        <f>Разбивка_по_щитам!B168</f>
      </c>
      <c r="C168" s="20">
        <f>Разбивка_по_щитам!C168</f>
      </c>
      <c r="D168" s="20">
        <f>Разбивка_по_щитам!F168</f>
      </c>
      <c r="E168" s="20">
        <f>Разбивка_по_щитам!H168</f>
      </c>
      <c r="F168" s="20">
        <f>Разбивка_по_щитам!I168</f>
      </c>
      <c r="G168" s="20">
        <f>Разбивка_по_щитам!J168</f>
        <v/>
      </c>
      <c r="H168" s="20">
        <f>Разбивка_по_щитам!K168</f>
        <v/>
      </c>
      <c r="I168" s="20">
        <f>Разбивка_по_щитам!L168</f>
        <v/>
      </c>
      <c r="J168" s="20">
        <f>Разбивка_по_щитам!M168</f>
        <v/>
      </c>
      <c r="K168" s="20">
        <f>Разбивка_по_щитам!N168</f>
        <v/>
      </c>
      <c r="L168" s="20"/>
      <c r="M168" s="20">
        <f>Разбивка_по_щитам!P168</f>
        <v/>
      </c>
      <c r="N168" s="20"/>
      <c r="P168" s="20"/>
      <c r="Q168" s="20"/>
      <c r="R168" s="20"/>
      <c r="S168" s="20"/>
      <c r="T168" s="20"/>
      <c r="U168" s="20"/>
    </row>
    <row r="169" spans="2:21" x14ac:dyDescent="0.25">
      <c r="B169" s="20">
        <f>Разбивка_по_щитам!B169</f>
      </c>
      <c r="C169" s="20">
        <f>Разбивка_по_щитам!C169</f>
      </c>
      <c r="D169" s="20">
        <f>Разбивка_по_щитам!F169</f>
      </c>
      <c r="E169" s="20">
        <f>Разбивка_по_щитам!H169</f>
      </c>
      <c r="F169" s="20">
        <f>Разбивка_по_щитам!I169</f>
      </c>
      <c r="G169" s="20">
        <f>Разбивка_по_щитам!J169</f>
        <v/>
      </c>
      <c r="H169" s="20">
        <f>Разбивка_по_щитам!K169</f>
        <v/>
      </c>
      <c r="I169" s="20">
        <f>Разбивка_по_щитам!L169</f>
        <v/>
      </c>
      <c r="J169" s="20">
        <f>Разбивка_по_щитам!M169</f>
        <v/>
      </c>
      <c r="K169" s="20">
        <f>Разбивка_по_щитам!N169</f>
        <v/>
      </c>
      <c r="L169" s="20"/>
      <c r="M169" s="20">
        <f>Разбивка_по_щитам!P169</f>
        <v/>
      </c>
      <c r="N169" s="20"/>
      <c r="P169" s="20"/>
      <c r="Q169" s="20"/>
      <c r="R169" s="20"/>
      <c r="S169" s="20"/>
      <c r="T169" s="20"/>
      <c r="U169" s="20"/>
    </row>
    <row r="170" spans="2:21" x14ac:dyDescent="0.25">
      <c r="B170" s="20">
        <f>Разбивка_по_щитам!B170</f>
      </c>
      <c r="C170" s="20">
        <f>Разбивка_по_щитам!C170</f>
      </c>
      <c r="D170" s="20">
        <f>Разбивка_по_щитам!F170</f>
      </c>
      <c r="E170" s="20">
        <f>Разбивка_по_щитам!H170</f>
      </c>
      <c r="F170" s="20">
        <f>Разбивка_по_щитам!I170</f>
      </c>
      <c r="G170" s="20">
        <f>Разбивка_по_щитам!J170</f>
        <v/>
      </c>
      <c r="H170" s="20">
        <f>Разбивка_по_щитам!K170</f>
        <v/>
      </c>
      <c r="I170" s="20">
        <f>Разбивка_по_щитам!L170</f>
        <v/>
      </c>
      <c r="J170" s="20">
        <f>Разбивка_по_щитам!M170</f>
        <v/>
      </c>
      <c r="K170" s="20">
        <f>Разбивка_по_щитам!N170</f>
        <v/>
      </c>
      <c r="L170" s="20"/>
      <c r="M170" s="20">
        <f>Разбивка_по_щитам!P170</f>
        <v/>
      </c>
      <c r="N170" s="20"/>
      <c r="P170" s="20"/>
      <c r="Q170" s="20"/>
      <c r="R170" s="20"/>
      <c r="S170" s="20"/>
      <c r="T170" s="20"/>
      <c r="U170" s="20"/>
    </row>
    <row r="171" spans="2:21" x14ac:dyDescent="0.25">
      <c r="B171" s="20">
        <f>Разбивка_по_щитам!B171</f>
      </c>
      <c r="C171" s="20">
        <f>Разбивка_по_щитам!C171</f>
      </c>
      <c r="D171" s="20">
        <f>Разбивка_по_щитам!F171</f>
      </c>
      <c r="E171" s="20">
        <f>Разбивка_по_щитам!H171</f>
      </c>
      <c r="F171" s="20">
        <f>Разбивка_по_щитам!I171</f>
      </c>
      <c r="G171" s="20">
        <f>Разбивка_по_щитам!J171</f>
        <v/>
      </c>
      <c r="H171" s="20">
        <f>Разбивка_по_щитам!K171</f>
        <v/>
      </c>
      <c r="I171" s="20">
        <f>Разбивка_по_щитам!L171</f>
        <v/>
      </c>
      <c r="J171" s="20">
        <f>Разбивка_по_щитам!M171</f>
        <v/>
      </c>
      <c r="K171" s="20">
        <f>Разбивка_по_щитам!N171</f>
        <v/>
      </c>
      <c r="L171" s="20"/>
      <c r="M171" s="20">
        <f>Разбивка_по_щитам!P171</f>
        <v/>
      </c>
      <c r="N171" s="20"/>
      <c r="P171" s="20"/>
      <c r="Q171" s="20"/>
      <c r="R171" s="20"/>
      <c r="S171" s="20"/>
      <c r="T171" s="20"/>
      <c r="U171" s="20"/>
    </row>
    <row r="172" spans="2:21" x14ac:dyDescent="0.25">
      <c r="B172" s="20">
        <f>Разбивка_по_щитам!B172</f>
      </c>
      <c r="C172" s="20">
        <f>Разбивка_по_щитам!C172</f>
      </c>
      <c r="D172" s="20">
        <f>Разбивка_по_щитам!F172</f>
      </c>
      <c r="E172" s="20">
        <f>Разбивка_по_щитам!H172</f>
      </c>
      <c r="F172" s="20">
        <f>Разбивка_по_щитам!I172</f>
      </c>
      <c r="G172" s="20">
        <f>Разбивка_по_щитам!J172</f>
        <v/>
      </c>
      <c r="H172" s="20">
        <f>Разбивка_по_щитам!K172</f>
        <v/>
      </c>
      <c r="I172" s="20">
        <f>Разбивка_по_щитам!L172</f>
        <v/>
      </c>
      <c r="J172" s="20">
        <f>Разбивка_по_щитам!M172</f>
        <v/>
      </c>
      <c r="K172" s="20">
        <f>Разбивка_по_щитам!N172</f>
        <v/>
      </c>
      <c r="L172" s="20"/>
      <c r="M172" s="20">
        <f>Разбивка_по_щитам!P172</f>
        <v/>
      </c>
      <c r="N172" s="20"/>
      <c r="P172" s="20"/>
      <c r="Q172" s="20"/>
      <c r="R172" s="20"/>
      <c r="S172" s="20"/>
      <c r="T172" s="20"/>
      <c r="U172" s="20"/>
    </row>
    <row r="173" spans="2:21" x14ac:dyDescent="0.25">
      <c r="B173" s="20">
        <f>Разбивка_по_щитам!B173</f>
      </c>
      <c r="C173" s="20">
        <f>Разбивка_по_щитам!C173</f>
      </c>
      <c r="D173" s="20">
        <f>Разбивка_по_щитам!F173</f>
      </c>
      <c r="E173" s="20">
        <f>Разбивка_по_щитам!H173</f>
      </c>
      <c r="F173" s="20">
        <f>Разбивка_по_щитам!I173</f>
      </c>
      <c r="G173" s="20">
        <f>Разбивка_по_щитам!J173</f>
        <v/>
      </c>
      <c r="H173" s="20">
        <f>Разбивка_по_щитам!K173</f>
        <v/>
      </c>
      <c r="I173" s="20">
        <f>Разбивка_по_щитам!L173</f>
        <v/>
      </c>
      <c r="J173" s="20">
        <f>Разбивка_по_щитам!M173</f>
        <v/>
      </c>
      <c r="K173" s="20">
        <f>Разбивка_по_щитам!N173</f>
        <v/>
      </c>
      <c r="L173" s="20"/>
      <c r="M173" s="20">
        <f>Разбивка_по_щитам!P173</f>
        <v/>
      </c>
      <c r="N173" s="20"/>
      <c r="P173" s="20"/>
      <c r="Q173" s="20"/>
      <c r="R173" s="20"/>
      <c r="S173" s="20"/>
      <c r="T173" s="20"/>
      <c r="U173" s="20"/>
    </row>
    <row r="174" spans="2:21" x14ac:dyDescent="0.25">
      <c r="B174" s="20">
        <f>Разбивка_по_щитам!B174</f>
      </c>
      <c r="C174" s="20">
        <f>Разбивка_по_щитам!C174</f>
      </c>
      <c r="D174" s="20">
        <f>Разбивка_по_щитам!F174</f>
      </c>
      <c r="E174" s="20">
        <f>Разбивка_по_щитам!H174</f>
      </c>
      <c r="F174" s="20">
        <f>Разбивка_по_щитам!I174</f>
      </c>
      <c r="G174" s="20">
        <f>Разбивка_по_щитам!J174</f>
        <v/>
      </c>
      <c r="H174" s="20">
        <f>Разбивка_по_щитам!K174</f>
        <v/>
      </c>
      <c r="I174" s="20">
        <f>Разбивка_по_щитам!L174</f>
        <v/>
      </c>
      <c r="J174" s="20">
        <f>Разбивка_по_щитам!M174</f>
        <v/>
      </c>
      <c r="K174" s="20">
        <f>Разбивка_по_щитам!N174</f>
        <v/>
      </c>
      <c r="L174" s="20"/>
      <c r="M174" s="20">
        <f>Разбивка_по_щитам!P174</f>
        <v/>
      </c>
      <c r="N174" s="20"/>
      <c r="P174" s="20"/>
      <c r="Q174" s="20"/>
      <c r="R174" s="20"/>
      <c r="S174" s="20"/>
      <c r="T174" s="20"/>
      <c r="U174" s="20"/>
    </row>
    <row r="175" spans="2:21" x14ac:dyDescent="0.25">
      <c r="B175" s="20">
        <f>Разбивка_по_щитам!B175</f>
      </c>
      <c r="C175" s="20">
        <f>Разбивка_по_щитам!C175</f>
      </c>
      <c r="D175" s="20">
        <f>Разбивка_по_щитам!F175</f>
      </c>
      <c r="E175" s="20">
        <f>Разбивка_по_щитам!H175</f>
      </c>
      <c r="F175" s="20">
        <f>Разбивка_по_щитам!I175</f>
      </c>
      <c r="G175" s="20">
        <f>Разбивка_по_щитам!J175</f>
        <v/>
      </c>
      <c r="H175" s="20">
        <f>Разбивка_по_щитам!K175</f>
        <v/>
      </c>
      <c r="I175" s="20">
        <f>Разбивка_по_щитам!L175</f>
        <v/>
      </c>
      <c r="J175" s="20">
        <f>Разбивка_по_щитам!M175</f>
        <v/>
      </c>
      <c r="K175" s="20">
        <f>Разбивка_по_щитам!N175</f>
        <v/>
      </c>
      <c r="L175" s="20"/>
      <c r="M175" s="20">
        <f>Разбивка_по_щитам!P175</f>
        <v/>
      </c>
      <c r="N175" s="20"/>
      <c r="P175" s="20"/>
      <c r="Q175" s="20"/>
      <c r="R175" s="20"/>
      <c r="S175" s="20"/>
      <c r="T175" s="20"/>
      <c r="U175" s="20"/>
    </row>
    <row r="176" spans="2:21" x14ac:dyDescent="0.25">
      <c r="B176" s="20">
        <f>Разбивка_по_щитам!B176</f>
      </c>
      <c r="C176" s="20">
        <f>Разбивка_по_щитам!C176</f>
      </c>
      <c r="D176" s="20">
        <f>Разбивка_по_щитам!F176</f>
      </c>
      <c r="E176" s="20">
        <f>Разбивка_по_щитам!H176</f>
      </c>
      <c r="F176" s="20">
        <f>Разбивка_по_щитам!I176</f>
      </c>
      <c r="G176" s="20">
        <f>Разбивка_по_щитам!J176</f>
        <v/>
      </c>
      <c r="H176" s="20">
        <f>Разбивка_по_щитам!K176</f>
        <v/>
      </c>
      <c r="I176" s="20">
        <f>Разбивка_по_щитам!L176</f>
        <v/>
      </c>
      <c r="J176" s="20">
        <f>Разбивка_по_щитам!M176</f>
        <v/>
      </c>
      <c r="K176" s="20">
        <f>Разбивка_по_щитам!N176</f>
        <v/>
      </c>
      <c r="L176" s="20"/>
      <c r="M176" s="20">
        <f>Разбивка_по_щитам!P176</f>
        <v/>
      </c>
      <c r="N176" s="20"/>
      <c r="P176" s="20"/>
      <c r="Q176" s="20"/>
      <c r="R176" s="20"/>
      <c r="S176" s="20"/>
      <c r="T176" s="20"/>
      <c r="U176" s="20"/>
    </row>
    <row r="177" spans="2:21" x14ac:dyDescent="0.25">
      <c r="B177" s="20">
        <f>Разбивка_по_щитам!B177</f>
      </c>
      <c r="C177" s="20">
        <f>Разбивка_по_щитам!C177</f>
      </c>
      <c r="D177" s="20">
        <f>Разбивка_по_щитам!F177</f>
      </c>
      <c r="E177" s="20">
        <f>Разбивка_по_щитам!H177</f>
      </c>
      <c r="F177" s="20">
        <f>Разбивка_по_щитам!I177</f>
      </c>
      <c r="G177" s="20">
        <f>Разбивка_по_щитам!J177</f>
        <v/>
      </c>
      <c r="H177" s="20">
        <f>Разбивка_по_щитам!K177</f>
        <v/>
      </c>
      <c r="I177" s="20">
        <f>Разбивка_по_щитам!L177</f>
        <v/>
      </c>
      <c r="J177" s="20">
        <f>Разбивка_по_щитам!M177</f>
        <v/>
      </c>
      <c r="K177" s="20">
        <f>Разбивка_по_щитам!N177</f>
        <v/>
      </c>
      <c r="L177" s="20"/>
      <c r="M177" s="20">
        <f>Разбивка_по_щитам!P177</f>
        <v/>
      </c>
      <c r="N177" s="20"/>
      <c r="P177" s="20"/>
      <c r="Q177" s="20"/>
      <c r="R177" s="20"/>
      <c r="S177" s="20"/>
      <c r="T177" s="20"/>
      <c r="U177" s="20"/>
    </row>
    <row r="178" spans="2:21" x14ac:dyDescent="0.25">
      <c r="B178" s="20">
        <f>Разбивка_по_щитам!B178</f>
      </c>
      <c r="C178" s="20">
        <f>Разбивка_по_щитам!C178</f>
      </c>
      <c r="D178" s="20">
        <f>Разбивка_по_щитам!F178</f>
      </c>
      <c r="E178" s="20">
        <f>Разбивка_по_щитам!H178</f>
      </c>
      <c r="F178" s="20">
        <f>Разбивка_по_щитам!I178</f>
      </c>
      <c r="G178" s="20">
        <f>Разбивка_по_щитам!J178</f>
        <v/>
      </c>
      <c r="H178" s="20">
        <f>Разбивка_по_щитам!K178</f>
        <v/>
      </c>
      <c r="I178" s="20">
        <f>Разбивка_по_щитам!L178</f>
        <v/>
      </c>
      <c r="J178" s="20">
        <f>Разбивка_по_щитам!M178</f>
        <v/>
      </c>
      <c r="K178" s="20">
        <f>Разбивка_по_щитам!N178</f>
        <v/>
      </c>
      <c r="L178" s="20"/>
      <c r="M178" s="20">
        <f>Разбивка_по_щитам!P178</f>
        <v/>
      </c>
      <c r="N178" s="20"/>
      <c r="P178" s="20"/>
      <c r="Q178" s="20"/>
      <c r="R178" s="20"/>
      <c r="S178" s="20"/>
      <c r="T178" s="20"/>
      <c r="U178" s="20"/>
    </row>
    <row r="179" spans="2:21" x14ac:dyDescent="0.25">
      <c r="B179" s="20">
        <f>Разбивка_по_щитам!B179</f>
      </c>
      <c r="C179" s="20">
        <f>Разбивка_по_щитам!C179</f>
      </c>
      <c r="D179" s="20">
        <f>Разбивка_по_щитам!F179</f>
      </c>
      <c r="E179" s="20">
        <f>Разбивка_по_щитам!H179</f>
      </c>
      <c r="F179" s="20">
        <f>Разбивка_по_щитам!I179</f>
      </c>
      <c r="G179" s="20">
        <f>Разбивка_по_щитам!J179</f>
        <v/>
      </c>
      <c r="H179" s="20">
        <f>Разбивка_по_щитам!K179</f>
        <v/>
      </c>
      <c r="I179" s="20">
        <f>Разбивка_по_щитам!L179</f>
        <v/>
      </c>
      <c r="J179" s="20">
        <f>Разбивка_по_щитам!M179</f>
        <v/>
      </c>
      <c r="K179" s="20">
        <f>Разбивка_по_щитам!N179</f>
        <v/>
      </c>
      <c r="L179" s="20"/>
      <c r="M179" s="20">
        <f>Разбивка_по_щитам!P179</f>
        <v/>
      </c>
      <c r="N179" s="20"/>
      <c r="P179" s="20"/>
      <c r="Q179" s="20"/>
      <c r="R179" s="20"/>
      <c r="S179" s="20"/>
      <c r="T179" s="20"/>
      <c r="U179" s="20"/>
    </row>
    <row r="180" spans="2:21" x14ac:dyDescent="0.25">
      <c r="B180" s="20">
        <f>Разбивка_по_щитам!B180</f>
      </c>
      <c r="C180" s="20">
        <f>Разбивка_по_щитам!C180</f>
      </c>
      <c r="D180" s="20">
        <f>Разбивка_по_щитам!F180</f>
      </c>
      <c r="E180" s="20">
        <f>Разбивка_по_щитам!H180</f>
      </c>
      <c r="F180" s="20">
        <f>Разбивка_по_щитам!I180</f>
      </c>
      <c r="G180" s="20">
        <f>Разбивка_по_щитам!J180</f>
        <v/>
      </c>
      <c r="H180" s="20">
        <f>Разбивка_по_щитам!K180</f>
        <v/>
      </c>
      <c r="I180" s="20">
        <f>Разбивка_по_щитам!L180</f>
        <v/>
      </c>
      <c r="J180" s="20">
        <f>Разбивка_по_щитам!M180</f>
        <v/>
      </c>
      <c r="K180" s="20">
        <f>Разбивка_по_щитам!N180</f>
        <v/>
      </c>
      <c r="L180" s="20"/>
      <c r="M180" s="20">
        <f>Разбивка_по_щитам!P180</f>
        <v/>
      </c>
      <c r="N180" s="20"/>
      <c r="P180" s="20"/>
      <c r="Q180" s="20"/>
      <c r="R180" s="20"/>
      <c r="S180" s="20"/>
      <c r="T180" s="20"/>
      <c r="U180" s="20"/>
    </row>
    <row r="181" spans="2:21" x14ac:dyDescent="0.25">
      <c r="B181" s="20">
        <f>Разбивка_по_щитам!B181</f>
      </c>
      <c r="C181" s="20">
        <f>Разбивка_по_щитам!C181</f>
      </c>
      <c r="D181" s="20">
        <f>Разбивка_по_щитам!F181</f>
      </c>
      <c r="E181" s="20">
        <f>Разбивка_по_щитам!H181</f>
      </c>
      <c r="F181" s="20">
        <f>Разбивка_по_щитам!I181</f>
      </c>
      <c r="G181" s="20">
        <f>Разбивка_по_щитам!J181</f>
        <v/>
      </c>
      <c r="H181" s="20">
        <f>Разбивка_по_щитам!K181</f>
        <v/>
      </c>
      <c r="I181" s="20">
        <f>Разбивка_по_щитам!L181</f>
        <v/>
      </c>
      <c r="J181" s="20">
        <f>Разбивка_по_щитам!M181</f>
        <v/>
      </c>
      <c r="K181" s="20">
        <f>Разбивка_по_щитам!N181</f>
        <v/>
      </c>
      <c r="L181" s="20"/>
      <c r="M181" s="20">
        <f>Разбивка_по_щитам!P181</f>
        <v/>
      </c>
      <c r="N181" s="20"/>
      <c r="P181" s="20"/>
      <c r="Q181" s="20"/>
      <c r="R181" s="20"/>
      <c r="S181" s="20"/>
      <c r="T181" s="20"/>
      <c r="U181" s="20"/>
    </row>
    <row r="182" spans="2:21" x14ac:dyDescent="0.25">
      <c r="B182" s="20">
        <f>Разбивка_по_щитам!B182</f>
      </c>
      <c r="C182" s="20">
        <f>Разбивка_по_щитам!C182</f>
      </c>
      <c r="D182" s="20">
        <f>Разбивка_по_щитам!F182</f>
      </c>
      <c r="E182" s="20">
        <f>Разбивка_по_щитам!H182</f>
      </c>
      <c r="F182" s="20">
        <f>Разбивка_по_щитам!I182</f>
      </c>
      <c r="G182" s="20">
        <f>Разбивка_по_щитам!J182</f>
        <v/>
      </c>
      <c r="H182" s="20">
        <f>Разбивка_по_щитам!K182</f>
        <v/>
      </c>
      <c r="I182" s="20">
        <f>Разбивка_по_щитам!L182</f>
        <v/>
      </c>
      <c r="J182" s="20">
        <f>Разбивка_по_щитам!M182</f>
        <v/>
      </c>
      <c r="K182" s="20">
        <f>Разбивка_по_щитам!N182</f>
        <v/>
      </c>
      <c r="L182" s="20"/>
      <c r="M182" s="20">
        <f>Разбивка_по_щитам!P182</f>
        <v/>
      </c>
      <c r="N182" s="20"/>
      <c r="P182" s="20"/>
      <c r="Q182" s="20"/>
      <c r="R182" s="20"/>
      <c r="S182" s="20"/>
      <c r="T182" s="20"/>
      <c r="U182" s="20"/>
    </row>
    <row r="183" spans="2:21" x14ac:dyDescent="0.25">
      <c r="B183" s="20">
        <f>Разбивка_по_щитам!B183</f>
      </c>
      <c r="C183" s="20">
        <f>Разбивка_по_щитам!C183</f>
      </c>
      <c r="D183" s="20">
        <f>Разбивка_по_щитам!F183</f>
      </c>
      <c r="E183" s="20">
        <f>Разбивка_по_щитам!H183</f>
      </c>
      <c r="F183" s="20">
        <f>Разбивка_по_щитам!I183</f>
      </c>
      <c r="G183" s="20">
        <f>Разбивка_по_щитам!J183</f>
        <v/>
      </c>
      <c r="H183" s="20">
        <f>Разбивка_по_щитам!K183</f>
        <v/>
      </c>
      <c r="I183" s="20">
        <f>Разбивка_по_щитам!L183</f>
        <v/>
      </c>
      <c r="J183" s="20">
        <f>Разбивка_по_щитам!M183</f>
        <v/>
      </c>
      <c r="K183" s="20">
        <f>Разбивка_по_щитам!N183</f>
        <v/>
      </c>
      <c r="L183" s="20"/>
      <c r="M183" s="20">
        <f>Разбивка_по_щитам!P183</f>
        <v/>
      </c>
      <c r="N183" s="20"/>
      <c r="P183" s="20"/>
      <c r="Q183" s="20"/>
      <c r="R183" s="20"/>
      <c r="S183" s="20"/>
      <c r="T183" s="20"/>
      <c r="U183" s="20"/>
    </row>
    <row r="184" spans="2:21" x14ac:dyDescent="0.25">
      <c r="B184" s="20">
        <f>Разбивка_по_щитам!B184</f>
      </c>
      <c r="C184" s="20">
        <f>Разбивка_по_щитам!C184</f>
      </c>
      <c r="D184" s="20">
        <f>Разбивка_по_щитам!F184</f>
      </c>
      <c r="E184" s="20">
        <f>Разбивка_по_щитам!H184</f>
      </c>
      <c r="F184" s="20">
        <f>Разбивка_по_щитам!I184</f>
      </c>
      <c r="G184" s="20">
        <f>Разбивка_по_щитам!J184</f>
        <v/>
      </c>
      <c r="H184" s="20">
        <f>Разбивка_по_щитам!K184</f>
        <v/>
      </c>
      <c r="I184" s="20">
        <f>Разбивка_по_щитам!L184</f>
        <v/>
      </c>
      <c r="J184" s="20">
        <f>Разбивка_по_щитам!M184</f>
        <v/>
      </c>
      <c r="K184" s="20">
        <f>Разбивка_по_щитам!N184</f>
        <v/>
      </c>
      <c r="L184" s="20"/>
      <c r="M184" s="20">
        <f>Разбивка_по_щитам!P184</f>
        <v/>
      </c>
      <c r="N184" s="20"/>
      <c r="P184" s="20"/>
      <c r="Q184" s="20"/>
      <c r="R184" s="20"/>
      <c r="S184" s="20"/>
      <c r="T184" s="20"/>
      <c r="U184" s="20"/>
    </row>
    <row r="185" spans="2:21" x14ac:dyDescent="0.25">
      <c r="B185" s="20">
        <f>Разбивка_по_щитам!B185</f>
      </c>
      <c r="C185" s="20">
        <f>Разбивка_по_щитам!C185</f>
      </c>
      <c r="D185" s="20">
        <f>Разбивка_по_щитам!F185</f>
      </c>
      <c r="E185" s="20">
        <f>Разбивка_по_щитам!H185</f>
      </c>
      <c r="F185" s="20">
        <f>Разбивка_по_щитам!I185</f>
      </c>
      <c r="G185" s="20">
        <f>Разбивка_по_щитам!J185</f>
        <v/>
      </c>
      <c r="H185" s="20">
        <f>Разбивка_по_щитам!K185</f>
        <v/>
      </c>
      <c r="I185" s="20">
        <f>Разбивка_по_щитам!L185</f>
        <v/>
      </c>
      <c r="J185" s="20">
        <f>Разбивка_по_щитам!M185</f>
        <v/>
      </c>
      <c r="K185" s="20">
        <f>Разбивка_по_щитам!N185</f>
        <v/>
      </c>
      <c r="L185" s="20"/>
      <c r="M185" s="20">
        <f>Разбивка_по_щитам!P185</f>
        <v/>
      </c>
      <c r="N185" s="20"/>
      <c r="P185" s="20"/>
      <c r="Q185" s="20"/>
      <c r="R185" s="20"/>
      <c r="S185" s="20"/>
      <c r="T185" s="20"/>
      <c r="U185" s="20"/>
    </row>
    <row r="186" spans="2:21" x14ac:dyDescent="0.25">
      <c r="B186" s="20">
        <f>Разбивка_по_щитам!B186</f>
      </c>
      <c r="C186" s="20">
        <f>Разбивка_по_щитам!C186</f>
      </c>
      <c r="D186" s="20">
        <f>Разбивка_по_щитам!F186</f>
      </c>
      <c r="E186" s="20">
        <f>Разбивка_по_щитам!H186</f>
      </c>
      <c r="F186" s="20">
        <f>Разбивка_по_щитам!I186</f>
      </c>
      <c r="G186" s="20">
        <f>Разбивка_по_щитам!J186</f>
        <v/>
      </c>
      <c r="H186" s="20">
        <f>Разбивка_по_щитам!K186</f>
        <v/>
      </c>
      <c r="I186" s="20">
        <f>Разбивка_по_щитам!L186</f>
        <v/>
      </c>
      <c r="J186" s="20">
        <f>Разбивка_по_щитам!M186</f>
        <v/>
      </c>
      <c r="K186" s="20">
        <f>Разбивка_по_щитам!N186</f>
        <v/>
      </c>
      <c r="L186" s="20"/>
      <c r="M186" s="20">
        <f>Разбивка_по_щитам!P186</f>
        <v/>
      </c>
      <c r="N186" s="20"/>
      <c r="P186" s="20"/>
      <c r="Q186" s="20"/>
      <c r="R186" s="20"/>
      <c r="S186" s="20"/>
      <c r="T186" s="20"/>
      <c r="U186" s="20"/>
    </row>
    <row r="187" spans="2:21" x14ac:dyDescent="0.25">
      <c r="B187" s="20">
        <f>Разбивка_по_щитам!B187</f>
      </c>
      <c r="C187" s="20">
        <f>Разбивка_по_щитам!C187</f>
      </c>
      <c r="D187" s="20">
        <f>Разбивка_по_щитам!F187</f>
      </c>
      <c r="E187" s="20">
        <f>Разбивка_по_щитам!H187</f>
      </c>
      <c r="F187" s="20">
        <f>Разбивка_по_щитам!I187</f>
      </c>
      <c r="G187" s="20">
        <f>Разбивка_по_щитам!J187</f>
        <v/>
      </c>
      <c r="H187" s="20">
        <f>Разбивка_по_щитам!K187</f>
        <v/>
      </c>
      <c r="I187" s="20">
        <f>Разбивка_по_щитам!L187</f>
        <v/>
      </c>
      <c r="J187" s="20">
        <f>Разбивка_по_щитам!M187</f>
        <v/>
      </c>
      <c r="K187" s="20">
        <f>Разбивка_по_щитам!N187</f>
        <v/>
      </c>
      <c r="L187" s="20"/>
      <c r="M187" s="20">
        <f>Разбивка_по_щитам!P187</f>
        <v/>
      </c>
      <c r="N187" s="20"/>
      <c r="P187" s="20"/>
      <c r="Q187" s="20"/>
      <c r="R187" s="20"/>
      <c r="S187" s="20"/>
      <c r="T187" s="20"/>
      <c r="U187" s="20"/>
    </row>
    <row r="188" spans="2:21" x14ac:dyDescent="0.25">
      <c r="B188" s="20">
        <f>Разбивка_по_щитам!B188</f>
      </c>
      <c r="C188" s="20">
        <f>Разбивка_по_щитам!C188</f>
      </c>
      <c r="D188" s="20">
        <f>Разбивка_по_щитам!F188</f>
      </c>
      <c r="E188" s="20">
        <f>Разбивка_по_щитам!H188</f>
      </c>
      <c r="F188" s="20">
        <f>Разбивка_по_щитам!I188</f>
      </c>
      <c r="G188" s="20">
        <f>Разбивка_по_щитам!J188</f>
        <v/>
      </c>
      <c r="H188" s="20">
        <f>Разбивка_по_щитам!K188</f>
        <v/>
      </c>
      <c r="I188" s="20">
        <f>Разбивка_по_щитам!L188</f>
        <v/>
      </c>
      <c r="J188" s="20">
        <f>Разбивка_по_щитам!M188</f>
        <v/>
      </c>
      <c r="K188" s="20">
        <f>Разбивка_по_щитам!N188</f>
        <v/>
      </c>
      <c r="L188" s="20"/>
      <c r="M188" s="20">
        <f>Разбивка_по_щитам!P188</f>
        <v/>
      </c>
      <c r="N188" s="20"/>
      <c r="P188" s="20"/>
      <c r="Q188" s="20"/>
      <c r="R188" s="20"/>
      <c r="S188" s="20"/>
      <c r="T188" s="20"/>
      <c r="U188" s="20"/>
    </row>
    <row r="189" spans="2:21" x14ac:dyDescent="0.25">
      <c r="B189" s="20">
        <f>Разбивка_по_щитам!B189</f>
      </c>
      <c r="C189" s="20">
        <f>Разбивка_по_щитам!C189</f>
      </c>
      <c r="D189" s="20">
        <f>Разбивка_по_щитам!F189</f>
      </c>
      <c r="E189" s="20">
        <f>Разбивка_по_щитам!H189</f>
      </c>
      <c r="F189" s="20">
        <f>Разбивка_по_щитам!I189</f>
      </c>
      <c r="G189" s="20">
        <f>Разбивка_по_щитам!J189</f>
        <v/>
      </c>
      <c r="H189" s="20">
        <f>Разбивка_по_щитам!K189</f>
        <v/>
      </c>
      <c r="I189" s="20">
        <f>Разбивка_по_щитам!L189</f>
        <v/>
      </c>
      <c r="J189" s="20">
        <f>Разбивка_по_щитам!M189</f>
        <v/>
      </c>
      <c r="K189" s="20">
        <f>Разбивка_по_щитам!N189</f>
        <v/>
      </c>
      <c r="L189" s="20"/>
      <c r="M189" s="20">
        <f>Разбивка_по_щитам!P189</f>
        <v/>
      </c>
      <c r="N189" s="20"/>
      <c r="P189" s="20"/>
      <c r="Q189" s="20"/>
      <c r="R189" s="20"/>
      <c r="S189" s="20"/>
      <c r="T189" s="20"/>
      <c r="U189" s="20"/>
    </row>
    <row r="190" spans="2:21" x14ac:dyDescent="0.25">
      <c r="B190" s="20">
        <f>Разбивка_по_щитам!B190</f>
      </c>
      <c r="C190" s="20">
        <f>Разбивка_по_щитам!C190</f>
      </c>
      <c r="D190" s="20">
        <f>Разбивка_по_щитам!F190</f>
      </c>
      <c r="E190" s="20">
        <f>Разбивка_по_щитам!H190</f>
      </c>
      <c r="F190" s="20">
        <f>Разбивка_по_щитам!I190</f>
      </c>
      <c r="G190" s="20">
        <f>Разбивка_по_щитам!J190</f>
        <v/>
      </c>
      <c r="H190" s="20">
        <f>Разбивка_по_щитам!K190</f>
        <v/>
      </c>
      <c r="I190" s="20">
        <f>Разбивка_по_щитам!L190</f>
        <v/>
      </c>
      <c r="J190" s="20">
        <f>Разбивка_по_щитам!M190</f>
        <v/>
      </c>
      <c r="K190" s="20">
        <f>Разбивка_по_щитам!N190</f>
        <v/>
      </c>
      <c r="L190" s="20"/>
      <c r="M190" s="20">
        <f>Разбивка_по_щитам!P190</f>
        <v/>
      </c>
      <c r="N190" s="20"/>
      <c r="P190" s="20"/>
      <c r="Q190" s="20"/>
      <c r="R190" s="20"/>
      <c r="S190" s="20"/>
      <c r="T190" s="20"/>
      <c r="U190" s="20"/>
    </row>
    <row r="191" spans="2:21" x14ac:dyDescent="0.25">
      <c r="B191" s="20">
        <f>Разбивка_по_щитам!B191</f>
      </c>
      <c r="C191" s="20">
        <f>Разбивка_по_щитам!C191</f>
      </c>
      <c r="D191" s="20">
        <f>Разбивка_по_щитам!F191</f>
      </c>
      <c r="E191" s="20">
        <f>Разбивка_по_щитам!H191</f>
      </c>
      <c r="F191" s="20">
        <f>Разбивка_по_щитам!I191</f>
      </c>
      <c r="G191" s="20">
        <f>Разбивка_по_щитам!J191</f>
        <v/>
      </c>
      <c r="H191" s="20">
        <f>Разбивка_по_щитам!K191</f>
        <v/>
      </c>
      <c r="I191" s="20">
        <f>Разбивка_по_щитам!L191</f>
        <v/>
      </c>
      <c r="J191" s="20">
        <f>Разбивка_по_щитам!M191</f>
        <v/>
      </c>
      <c r="K191" s="20">
        <f>Разбивка_по_щитам!N191</f>
        <v/>
      </c>
      <c r="L191" s="20"/>
      <c r="M191" s="20">
        <f>Разбивка_по_щитам!P191</f>
        <v/>
      </c>
      <c r="N191" s="20"/>
      <c r="P191" s="20"/>
      <c r="Q191" s="20"/>
      <c r="R191" s="20"/>
      <c r="S191" s="20"/>
      <c r="T191" s="20"/>
      <c r="U191" s="20"/>
    </row>
    <row r="192" spans="2:21" x14ac:dyDescent="0.25">
      <c r="B192" s="20">
        <f>Разбивка_по_щитам!B192</f>
      </c>
      <c r="C192" s="20">
        <f>Разбивка_по_щитам!C192</f>
      </c>
      <c r="D192" s="20">
        <f>Разбивка_по_щитам!F192</f>
      </c>
      <c r="E192" s="20">
        <f>Разбивка_по_щитам!H192</f>
      </c>
      <c r="F192" s="20">
        <f>Разбивка_по_щитам!I192</f>
      </c>
      <c r="G192" s="20">
        <f>Разбивка_по_щитам!J192</f>
        <v/>
      </c>
      <c r="H192" s="20">
        <f>Разбивка_по_щитам!K192</f>
        <v/>
      </c>
      <c r="I192" s="20">
        <f>Разбивка_по_щитам!L192</f>
        <v/>
      </c>
      <c r="J192" s="20">
        <f>Разбивка_по_щитам!M192</f>
        <v/>
      </c>
      <c r="K192" s="20">
        <f>Разбивка_по_щитам!N192</f>
        <v/>
      </c>
      <c r="L192" s="20"/>
      <c r="M192" s="20">
        <f>Разбивка_по_щитам!P192</f>
        <v/>
      </c>
      <c r="N192" s="20"/>
      <c r="P192" s="20"/>
      <c r="Q192" s="20"/>
      <c r="R192" s="20"/>
      <c r="S192" s="20"/>
      <c r="T192" s="20"/>
      <c r="U192" s="20"/>
    </row>
    <row r="193" spans="2:21" x14ac:dyDescent="0.25">
      <c r="B193" s="20">
        <f>Разбивка_по_щитам!B193</f>
      </c>
      <c r="C193" s="20">
        <f>Разбивка_по_щитам!C193</f>
      </c>
      <c r="D193" s="20">
        <f>Разбивка_по_щитам!F193</f>
      </c>
      <c r="E193" s="20">
        <f>Разбивка_по_щитам!H193</f>
      </c>
      <c r="F193" s="20">
        <f>Разбивка_по_щитам!I193</f>
      </c>
      <c r="G193" s="20">
        <f>Разбивка_по_щитам!J193</f>
        <v/>
      </c>
      <c r="H193" s="20">
        <f>Разбивка_по_щитам!K193</f>
        <v/>
      </c>
      <c r="I193" s="20">
        <f>Разбивка_по_щитам!L193</f>
        <v/>
      </c>
      <c r="J193" s="20">
        <f>Разбивка_по_щитам!M193</f>
        <v/>
      </c>
      <c r="K193" s="20">
        <f>Разбивка_по_щитам!N193</f>
        <v/>
      </c>
      <c r="L193" s="20"/>
      <c r="M193" s="20">
        <f>Разбивка_по_щитам!P193</f>
        <v/>
      </c>
      <c r="N193" s="20"/>
      <c r="P193" s="20"/>
      <c r="Q193" s="20"/>
      <c r="R193" s="20"/>
      <c r="S193" s="20"/>
      <c r="T193" s="20"/>
      <c r="U193" s="20"/>
    </row>
    <row r="194" spans="2:21" x14ac:dyDescent="0.25">
      <c r="B194" s="20">
        <f>Разбивка_по_щитам!B194</f>
      </c>
      <c r="C194" s="20">
        <f>Разбивка_по_щитам!C194</f>
      </c>
      <c r="D194" s="20">
        <f>Разбивка_по_щитам!F194</f>
      </c>
      <c r="E194" s="20">
        <f>Разбивка_по_щитам!H194</f>
      </c>
      <c r="F194" s="20">
        <f>Разбивка_по_щитам!I194</f>
      </c>
      <c r="G194" s="20">
        <f>Разбивка_по_щитам!J194</f>
        <v/>
      </c>
      <c r="H194" s="20">
        <f>Разбивка_по_щитам!K194</f>
        <v/>
      </c>
      <c r="I194" s="20">
        <f>Разбивка_по_щитам!L194</f>
        <v/>
      </c>
      <c r="J194" s="20">
        <f>Разбивка_по_щитам!M194</f>
        <v/>
      </c>
      <c r="K194" s="20">
        <f>Разбивка_по_щитам!N194</f>
        <v/>
      </c>
      <c r="L194" s="20"/>
      <c r="M194" s="20">
        <f>Разбивка_по_щитам!P194</f>
        <v/>
      </c>
      <c r="N194" s="20"/>
      <c r="P194" s="20"/>
      <c r="Q194" s="20"/>
      <c r="R194" s="20"/>
      <c r="S194" s="20"/>
      <c r="T194" s="20"/>
      <c r="U194" s="20"/>
    </row>
    <row r="195" spans="2:21" x14ac:dyDescent="0.25">
      <c r="B195" s="20">
        <f>Разбивка_по_щитам!B195</f>
      </c>
      <c r="C195" s="20">
        <f>Разбивка_по_щитам!C195</f>
      </c>
      <c r="D195" s="20">
        <f>Разбивка_по_щитам!F195</f>
      </c>
      <c r="E195" s="20">
        <f>Разбивка_по_щитам!H195</f>
      </c>
      <c r="F195" s="20">
        <f>Разбивка_по_щитам!I195</f>
      </c>
      <c r="G195" s="20">
        <f>Разбивка_по_щитам!J195</f>
        <v/>
      </c>
      <c r="H195" s="20">
        <f>Разбивка_по_щитам!K195</f>
        <v/>
      </c>
      <c r="I195" s="20">
        <f>Разбивка_по_щитам!L195</f>
        <v/>
      </c>
      <c r="J195" s="20">
        <f>Разбивка_по_щитам!M195</f>
        <v/>
      </c>
      <c r="K195" s="20">
        <f>Разбивка_по_щитам!N195</f>
        <v/>
      </c>
      <c r="L195" s="20"/>
      <c r="M195" s="20">
        <f>Разбивка_по_щитам!P195</f>
        <v/>
      </c>
      <c r="N195" s="20"/>
      <c r="P195" s="20"/>
      <c r="Q195" s="20"/>
      <c r="R195" s="20"/>
      <c r="S195" s="20"/>
      <c r="T195" s="20"/>
      <c r="U195" s="20"/>
    </row>
    <row r="196" spans="2:21" x14ac:dyDescent="0.25">
      <c r="B196" s="20">
        <f>Разбивка_по_щитам!B196</f>
      </c>
      <c r="C196" s="20">
        <f>Разбивка_по_щитам!C196</f>
      </c>
      <c r="D196" s="20">
        <f>Разбивка_по_щитам!F196</f>
      </c>
      <c r="E196" s="20">
        <f>Разбивка_по_щитам!H196</f>
      </c>
      <c r="F196" s="20">
        <f>Разбивка_по_щитам!I196</f>
      </c>
      <c r="G196" s="20">
        <f>Разбивка_по_щитам!J196</f>
        <v/>
      </c>
      <c r="H196" s="20">
        <f>Разбивка_по_щитам!K196</f>
        <v/>
      </c>
      <c r="I196" s="20">
        <f>Разбивка_по_щитам!L196</f>
        <v/>
      </c>
      <c r="J196" s="20">
        <f>Разбивка_по_щитам!M196</f>
        <v/>
      </c>
      <c r="K196" s="20">
        <f>Разбивка_по_щитам!N196</f>
        <v/>
      </c>
      <c r="L196" s="20"/>
      <c r="M196" s="20">
        <f>Разбивка_по_щитам!P196</f>
        <v/>
      </c>
      <c r="N196" s="20"/>
      <c r="P196" s="20"/>
      <c r="Q196" s="20"/>
      <c r="R196" s="20"/>
      <c r="S196" s="20"/>
      <c r="T196" s="20"/>
      <c r="U196" s="20"/>
    </row>
    <row r="197" spans="2:21" x14ac:dyDescent="0.25">
      <c r="B197" s="20">
        <f>Разбивка_по_щитам!B197</f>
      </c>
      <c r="C197" s="20">
        <f>Разбивка_по_щитам!C197</f>
      </c>
      <c r="D197" s="20">
        <f>Разбивка_по_щитам!F197</f>
      </c>
      <c r="E197" s="20">
        <f>Разбивка_по_щитам!H197</f>
      </c>
      <c r="F197" s="20">
        <f>Разбивка_по_щитам!I197</f>
      </c>
      <c r="G197" s="20">
        <f>Разбивка_по_щитам!J197</f>
        <v/>
      </c>
      <c r="H197" s="20">
        <f>Разбивка_по_щитам!K197</f>
        <v/>
      </c>
      <c r="I197" s="20">
        <f>Разбивка_по_щитам!L197</f>
        <v/>
      </c>
      <c r="J197" s="20">
        <f>Разбивка_по_щитам!M197</f>
        <v/>
      </c>
      <c r="K197" s="20">
        <f>Разбивка_по_щитам!N197</f>
        <v/>
      </c>
      <c r="L197" s="20"/>
      <c r="M197" s="20">
        <f>Разбивка_по_щитам!P197</f>
        <v/>
      </c>
      <c r="N197" s="20"/>
      <c r="P197" s="20"/>
      <c r="Q197" s="20"/>
      <c r="R197" s="20"/>
      <c r="S197" s="20"/>
      <c r="T197" s="20"/>
      <c r="U197" s="20"/>
    </row>
    <row r="198" spans="2:21" x14ac:dyDescent="0.25">
      <c r="B198" s="20">
        <f>Разбивка_по_щитам!B198</f>
      </c>
      <c r="C198" s="20">
        <f>Разбивка_по_щитам!C198</f>
      </c>
      <c r="D198" s="20">
        <f>Разбивка_по_щитам!F198</f>
      </c>
      <c r="E198" s="20">
        <f>Разбивка_по_щитам!H198</f>
      </c>
      <c r="F198" s="20">
        <f>Разбивка_по_щитам!I198</f>
      </c>
      <c r="G198" s="20">
        <f>Разбивка_по_щитам!J198</f>
        <v/>
      </c>
      <c r="H198" s="20">
        <f>Разбивка_по_щитам!K198</f>
        <v/>
      </c>
      <c r="I198" s="20">
        <f>Разбивка_по_щитам!L198</f>
        <v/>
      </c>
      <c r="J198" s="20">
        <f>Разбивка_по_щитам!M198</f>
        <v/>
      </c>
      <c r="K198" s="20">
        <f>Разбивка_по_щитам!N198</f>
        <v/>
      </c>
      <c r="L198" s="20"/>
      <c r="M198" s="20">
        <f>Разбивка_по_щитам!P198</f>
        <v/>
      </c>
      <c r="N198" s="20"/>
      <c r="P198" s="20"/>
      <c r="Q198" s="20"/>
      <c r="R198" s="20"/>
      <c r="S198" s="20"/>
      <c r="T198" s="20"/>
      <c r="U198" s="20"/>
    </row>
    <row r="199" spans="2:21" x14ac:dyDescent="0.25">
      <c r="B199" s="20">
        <f>Разбивка_по_щитам!B199</f>
      </c>
      <c r="C199" s="20">
        <f>Разбивка_по_щитам!C199</f>
      </c>
      <c r="D199" s="20">
        <f>Разбивка_по_щитам!F199</f>
      </c>
      <c r="E199" s="20">
        <f>Разбивка_по_щитам!H199</f>
      </c>
      <c r="F199" s="20">
        <f>Разбивка_по_щитам!I199</f>
      </c>
      <c r="G199" s="20">
        <f>Разбивка_по_щитам!J199</f>
        <v/>
      </c>
      <c r="H199" s="20">
        <f>Разбивка_по_щитам!K199</f>
        <v/>
      </c>
      <c r="I199" s="20">
        <f>Разбивка_по_щитам!L199</f>
        <v/>
      </c>
      <c r="J199" s="20">
        <f>Разбивка_по_щитам!M199</f>
        <v/>
      </c>
      <c r="K199" s="20">
        <f>Разбивка_по_щитам!N199</f>
        <v/>
      </c>
      <c r="L199" s="20"/>
      <c r="M199" s="20">
        <f>Разбивка_по_щитам!P199</f>
        <v/>
      </c>
      <c r="N199" s="20"/>
      <c r="P199" s="20"/>
      <c r="Q199" s="20"/>
      <c r="R199" s="20"/>
      <c r="S199" s="20"/>
      <c r="T199" s="20"/>
      <c r="U199" s="20"/>
    </row>
    <row r="200" spans="2:21" x14ac:dyDescent="0.25">
      <c r="B200" s="20">
        <f>Разбивка_по_щитам!B200</f>
      </c>
      <c r="C200" s="20">
        <f>Разбивка_по_щитам!C200</f>
      </c>
      <c r="D200" s="20">
        <f>Разбивка_по_щитам!F200</f>
      </c>
      <c r="E200" s="20">
        <f>Разбивка_по_щитам!H200</f>
      </c>
      <c r="F200" s="20">
        <f>Разбивка_по_щитам!I200</f>
      </c>
      <c r="G200" s="20">
        <f>Разбивка_по_щитам!J200</f>
        <v/>
      </c>
      <c r="H200" s="20">
        <f>Разбивка_по_щитам!K200</f>
        <v/>
      </c>
      <c r="I200" s="20">
        <f>Разбивка_по_щитам!L200</f>
        <v/>
      </c>
      <c r="J200" s="20">
        <f>Разбивка_по_щитам!M200</f>
        <v/>
      </c>
      <c r="K200" s="20">
        <f>Разбивка_по_щитам!N200</f>
        <v/>
      </c>
      <c r="L200" s="20"/>
      <c r="M200" s="20">
        <f>Разбивка_по_щитам!P200</f>
        <v/>
      </c>
      <c r="N200" s="20"/>
      <c r="P200" s="20"/>
      <c r="Q200" s="20"/>
      <c r="R200" s="20"/>
      <c r="S200" s="20"/>
      <c r="T200" s="20"/>
      <c r="U200" s="20"/>
    </row>
    <row r="201" spans="2:21" x14ac:dyDescent="0.25">
      <c r="B201" s="20">
        <f>Разбивка_по_щитам!B201</f>
      </c>
      <c r="C201" s="20">
        <f>Разбивка_по_щитам!C201</f>
      </c>
      <c r="D201" s="20">
        <f>Разбивка_по_щитам!F201</f>
      </c>
      <c r="E201" s="20">
        <f>Разбивка_по_щитам!H201</f>
      </c>
      <c r="F201" s="20">
        <f>Разбивка_по_щитам!I201</f>
      </c>
      <c r="G201" s="20">
        <f>Разбивка_по_щитам!J201</f>
        <v/>
      </c>
      <c r="H201" s="20">
        <f>Разбивка_по_щитам!K201</f>
        <v/>
      </c>
      <c r="I201" s="20">
        <f>Разбивка_по_щитам!L201</f>
        <v/>
      </c>
      <c r="J201" s="20">
        <f>Разбивка_по_щитам!M201</f>
        <v/>
      </c>
      <c r="K201" s="20">
        <f>Разбивка_по_щитам!N201</f>
        <v/>
      </c>
      <c r="L201" s="20"/>
      <c r="M201" s="20">
        <f>Разбивка_по_щитам!P201</f>
        <v/>
      </c>
      <c r="N201" s="20"/>
      <c r="P201" s="20"/>
      <c r="Q201" s="20"/>
      <c r="R201" s="20"/>
      <c r="S201" s="20"/>
      <c r="T201" s="20"/>
      <c r="U201" s="20"/>
    </row>
    <row r="202" spans="2:21" x14ac:dyDescent="0.25">
      <c r="B202" s="20">
        <f>Разбивка_по_щитам!B202</f>
      </c>
      <c r="C202" s="20">
        <f>Разбивка_по_щитам!C202</f>
      </c>
      <c r="D202" s="20">
        <f>Разбивка_по_щитам!F202</f>
      </c>
      <c r="E202" s="20">
        <f>Разбивка_по_щитам!H202</f>
      </c>
      <c r="F202" s="20">
        <f>Разбивка_по_щитам!I202</f>
      </c>
      <c r="G202" s="20">
        <f>Разбивка_по_щитам!J202</f>
        <v/>
      </c>
      <c r="H202" s="20">
        <f>Разбивка_по_щитам!K202</f>
        <v/>
      </c>
      <c r="I202" s="20">
        <f>Разбивка_по_щитам!L202</f>
        <v/>
      </c>
      <c r="J202" s="20">
        <f>Разбивка_по_щитам!M202</f>
        <v/>
      </c>
      <c r="K202" s="20">
        <f>Разбивка_по_щитам!N202</f>
        <v/>
      </c>
      <c r="L202" s="20"/>
      <c r="M202" s="20">
        <f>Разбивка_по_щитам!P202</f>
        <v/>
      </c>
      <c r="N202" s="20"/>
      <c r="P202" s="20"/>
      <c r="Q202" s="20"/>
      <c r="R202" s="20"/>
      <c r="S202" s="20"/>
      <c r="T202" s="20"/>
      <c r="U202" s="20"/>
    </row>
    <row r="203" spans="2:21" x14ac:dyDescent="0.25">
      <c r="B203" s="20">
        <f>Разбивка_по_щитам!B203</f>
      </c>
      <c r="C203" s="20">
        <f>Разбивка_по_щитам!C203</f>
      </c>
      <c r="D203" s="20">
        <f>Разбивка_по_щитам!F203</f>
      </c>
      <c r="E203" s="20">
        <f>Разбивка_по_щитам!H203</f>
      </c>
      <c r="F203" s="20">
        <f>Разбивка_по_щитам!I203</f>
      </c>
      <c r="G203" s="20">
        <f>Разбивка_по_щитам!J203</f>
        <v/>
      </c>
      <c r="H203" s="20">
        <f>Разбивка_по_щитам!K203</f>
        <v/>
      </c>
      <c r="I203" s="20">
        <f>Разбивка_по_щитам!L203</f>
        <v/>
      </c>
      <c r="J203" s="20">
        <f>Разбивка_по_щитам!M203</f>
        <v/>
      </c>
      <c r="K203" s="20">
        <f>Разбивка_по_щитам!N203</f>
        <v/>
      </c>
      <c r="L203" s="20"/>
      <c r="M203" s="20">
        <f>Разбивка_по_щитам!P203</f>
        <v/>
      </c>
      <c r="N203" s="20"/>
      <c r="P203" s="20"/>
      <c r="Q203" s="20"/>
      <c r="R203" s="20"/>
      <c r="S203" s="20"/>
      <c r="T203" s="20"/>
      <c r="U203" s="20"/>
    </row>
    <row r="204" spans="2:21" x14ac:dyDescent="0.25">
      <c r="B204" s="20">
        <f>Разбивка_по_щитам!B204</f>
      </c>
      <c r="C204" s="20">
        <f>Разбивка_по_щитам!C204</f>
      </c>
      <c r="D204" s="20">
        <f>Разбивка_по_щитам!F204</f>
      </c>
      <c r="E204" s="20">
        <f>Разбивка_по_щитам!H204</f>
      </c>
      <c r="F204" s="20">
        <f>Разбивка_по_щитам!I204</f>
      </c>
      <c r="G204" s="20">
        <f>Разбивка_по_щитам!J204</f>
        <v/>
      </c>
      <c r="H204" s="20">
        <f>Разбивка_по_щитам!K204</f>
        <v/>
      </c>
      <c r="I204" s="20">
        <f>Разбивка_по_щитам!L204</f>
        <v/>
      </c>
      <c r="J204" s="20">
        <f>Разбивка_по_щитам!M204</f>
        <v/>
      </c>
      <c r="K204" s="20">
        <f>Разбивка_по_щитам!N204</f>
        <v/>
      </c>
      <c r="L204" s="20"/>
      <c r="M204" s="20">
        <f>Разбивка_по_щитам!P204</f>
        <v/>
      </c>
      <c r="N204" s="20"/>
      <c r="P204" s="20"/>
      <c r="Q204" s="20"/>
      <c r="R204" s="20"/>
      <c r="S204" s="20"/>
      <c r="T204" s="20"/>
      <c r="U204" s="20"/>
    </row>
    <row r="205" spans="2:21" x14ac:dyDescent="0.25">
      <c r="B205" s="20">
        <f>Разбивка_по_щитам!B205</f>
      </c>
      <c r="C205" s="20">
        <f>Разбивка_по_щитам!C205</f>
      </c>
      <c r="D205" s="20">
        <f>Разбивка_по_щитам!F205</f>
      </c>
      <c r="E205" s="20">
        <f>Разбивка_по_щитам!H205</f>
      </c>
      <c r="F205" s="20">
        <f>Разбивка_по_щитам!I205</f>
      </c>
      <c r="G205" s="20">
        <f>Разбивка_по_щитам!J205</f>
        <v/>
      </c>
      <c r="H205" s="20">
        <f>Разбивка_по_щитам!K205</f>
        <v/>
      </c>
      <c r="I205" s="20">
        <f>Разбивка_по_щитам!L205</f>
        <v/>
      </c>
      <c r="J205" s="20">
        <f>Разбивка_по_щитам!M205</f>
        <v/>
      </c>
      <c r="K205" s="20">
        <f>Разбивка_по_щитам!N205</f>
        <v/>
      </c>
      <c r="L205" s="20"/>
      <c r="M205" s="20">
        <f>Разбивка_по_щитам!P205</f>
        <v/>
      </c>
      <c r="N205" s="20"/>
      <c r="P205" s="20"/>
      <c r="Q205" s="20"/>
      <c r="R205" s="20"/>
      <c r="S205" s="20"/>
      <c r="T205" s="20"/>
      <c r="U205" s="20"/>
    </row>
    <row r="206" spans="2:21" x14ac:dyDescent="0.25">
      <c r="B206" s="20">
        <f>Разбивка_по_щитам!B206</f>
      </c>
      <c r="C206" s="20">
        <f>Разбивка_по_щитам!C206</f>
      </c>
      <c r="D206" s="20">
        <f>Разбивка_по_щитам!F206</f>
      </c>
      <c r="E206" s="20">
        <f>Разбивка_по_щитам!H206</f>
      </c>
      <c r="F206" s="20">
        <f>Разбивка_по_щитам!I206</f>
      </c>
      <c r="G206" s="20">
        <f>Разбивка_по_щитам!J206</f>
        <v/>
      </c>
      <c r="H206" s="20">
        <f>Разбивка_по_щитам!K206</f>
        <v/>
      </c>
      <c r="I206" s="20">
        <f>Разбивка_по_щитам!L206</f>
        <v/>
      </c>
      <c r="J206" s="20">
        <f>Разбивка_по_щитам!M206</f>
        <v/>
      </c>
      <c r="K206" s="20">
        <f>Разбивка_по_щитам!N206</f>
        <v/>
      </c>
      <c r="L206" s="20"/>
      <c r="M206" s="20">
        <f>Разбивка_по_щитам!P206</f>
        <v/>
      </c>
      <c r="N206" s="20"/>
      <c r="P206" s="20"/>
      <c r="Q206" s="20"/>
      <c r="R206" s="20"/>
      <c r="S206" s="20"/>
      <c r="T206" s="20"/>
      <c r="U206" s="20"/>
    </row>
    <row r="207" spans="2:21" x14ac:dyDescent="0.25">
      <c r="B207" s="20">
        <f>Разбивка_по_щитам!B207</f>
      </c>
      <c r="C207" s="20">
        <f>Разбивка_по_щитам!C207</f>
      </c>
      <c r="D207" s="20">
        <f>Разбивка_по_щитам!F207</f>
      </c>
      <c r="E207" s="20">
        <f>Разбивка_по_щитам!H207</f>
      </c>
      <c r="F207" s="20">
        <f>Разбивка_по_щитам!I207</f>
      </c>
      <c r="G207" s="20">
        <f>Разбивка_по_щитам!J207</f>
        <v/>
      </c>
      <c r="H207" s="20">
        <f>Разбивка_по_щитам!K207</f>
        <v/>
      </c>
      <c r="I207" s="20">
        <f>Разбивка_по_щитам!L207</f>
        <v/>
      </c>
      <c r="J207" s="20">
        <f>Разбивка_по_щитам!M207</f>
        <v/>
      </c>
      <c r="K207" s="20">
        <f>Разбивка_по_щитам!N207</f>
        <v/>
      </c>
      <c r="L207" s="20"/>
      <c r="M207" s="20">
        <f>Разбивка_по_щитам!P207</f>
        <v/>
      </c>
      <c r="N207" s="20"/>
      <c r="P207" s="20"/>
      <c r="Q207" s="20"/>
      <c r="R207" s="20"/>
      <c r="S207" s="20"/>
      <c r="T207" s="20"/>
      <c r="U207" s="20"/>
    </row>
    <row r="208" spans="2:21" x14ac:dyDescent="0.25">
      <c r="B208" s="20">
        <f>Разбивка_по_щитам!B208</f>
      </c>
      <c r="C208" s="20">
        <f>Разбивка_по_щитам!C208</f>
      </c>
      <c r="D208" s="20">
        <f>Разбивка_по_щитам!F208</f>
      </c>
      <c r="E208" s="20">
        <f>Разбивка_по_щитам!H208</f>
      </c>
      <c r="F208" s="20">
        <f>Разбивка_по_щитам!I208</f>
      </c>
      <c r="G208" s="20">
        <f>Разбивка_по_щитам!J208</f>
        <v/>
      </c>
      <c r="H208" s="20">
        <f>Разбивка_по_щитам!K208</f>
        <v/>
      </c>
      <c r="I208" s="20">
        <f>Разбивка_по_щитам!L208</f>
        <v/>
      </c>
      <c r="J208" s="20">
        <f>Разбивка_по_щитам!M208</f>
        <v/>
      </c>
      <c r="K208" s="20">
        <f>Разбивка_по_щитам!N208</f>
        <v/>
      </c>
      <c r="L208" s="20"/>
      <c r="M208" s="20">
        <f>Разбивка_по_щитам!P208</f>
        <v/>
      </c>
      <c r="N208" s="20"/>
      <c r="P208" s="20"/>
      <c r="Q208" s="20"/>
      <c r="R208" s="20"/>
      <c r="S208" s="20"/>
      <c r="T208" s="20"/>
      <c r="U208" s="20"/>
    </row>
    <row r="209" spans="2:21" x14ac:dyDescent="0.25">
      <c r="B209" s="20">
        <f>Разбивка_по_щитам!B209</f>
      </c>
      <c r="C209" s="20">
        <f>Разбивка_по_щитам!C209</f>
      </c>
      <c r="D209" s="20">
        <f>Разбивка_по_щитам!F209</f>
      </c>
      <c r="E209" s="20">
        <f>Разбивка_по_щитам!H209</f>
      </c>
      <c r="F209" s="20">
        <f>Разбивка_по_щитам!I209</f>
      </c>
      <c r="G209" s="20">
        <f>Разбивка_по_щитам!J209</f>
        <v/>
      </c>
      <c r="H209" s="20">
        <f>Разбивка_по_щитам!K209</f>
        <v/>
      </c>
      <c r="I209" s="20">
        <f>Разбивка_по_щитам!L209</f>
        <v/>
      </c>
      <c r="J209" s="20">
        <f>Разбивка_по_щитам!M209</f>
        <v/>
      </c>
      <c r="K209" s="20">
        <f>Разбивка_по_щитам!N209</f>
        <v/>
      </c>
      <c r="L209" s="20"/>
      <c r="M209" s="20">
        <f>Разбивка_по_щитам!P209</f>
        <v/>
      </c>
      <c r="N209" s="20"/>
      <c r="P209" s="20"/>
      <c r="Q209" s="20"/>
      <c r="R209" s="20"/>
      <c r="S209" s="20"/>
      <c r="T209" s="20"/>
      <c r="U209" s="20"/>
    </row>
    <row r="210" spans="2:21" x14ac:dyDescent="0.25">
      <c r="B210" s="20">
        <f>Разбивка_по_щитам!B210</f>
      </c>
      <c r="C210" s="20">
        <f>Разбивка_по_щитам!C210</f>
      </c>
      <c r="D210" s="20">
        <f>Разбивка_по_щитам!F210</f>
      </c>
      <c r="E210" s="20">
        <f>Разбивка_по_щитам!H210</f>
      </c>
      <c r="F210" s="20">
        <f>Разбивка_по_щитам!I210</f>
      </c>
      <c r="G210" s="20">
        <f>Разбивка_по_щитам!J210</f>
        <v/>
      </c>
      <c r="H210" s="20">
        <f>Разбивка_по_щитам!K210</f>
        <v/>
      </c>
      <c r="I210" s="20">
        <f>Разбивка_по_щитам!L210</f>
        <v/>
      </c>
      <c r="J210" s="20">
        <f>Разбивка_по_щитам!M210</f>
        <v/>
      </c>
      <c r="K210" s="20">
        <f>Разбивка_по_щитам!N210</f>
        <v/>
      </c>
      <c r="L210" s="20"/>
      <c r="M210" s="20">
        <f>Разбивка_по_щитам!P210</f>
        <v/>
      </c>
      <c r="N210" s="20"/>
      <c r="P210" s="20"/>
      <c r="Q210" s="20"/>
      <c r="R210" s="20"/>
      <c r="S210" s="20"/>
      <c r="T210" s="20"/>
      <c r="U210" s="20"/>
    </row>
    <row r="211" spans="2:21" x14ac:dyDescent="0.25">
      <c r="B211" s="20">
        <f>Разбивка_по_щитам!B211</f>
      </c>
      <c r="C211" s="20">
        <f>Разбивка_по_щитам!C211</f>
      </c>
      <c r="D211" s="20">
        <f>Разбивка_по_щитам!F211</f>
      </c>
      <c r="E211" s="20">
        <f>Разбивка_по_щитам!H211</f>
      </c>
      <c r="F211" s="20">
        <f>Разбивка_по_щитам!I211</f>
      </c>
      <c r="G211" s="20">
        <f>Разбивка_по_щитам!J211</f>
        <v/>
      </c>
      <c r="H211" s="20">
        <f>Разбивка_по_щитам!K211</f>
        <v/>
      </c>
      <c r="I211" s="20">
        <f>Разбивка_по_щитам!L211</f>
        <v/>
      </c>
      <c r="J211" s="20">
        <f>Разбивка_по_щитам!M211</f>
        <v/>
      </c>
      <c r="K211" s="20">
        <f>Разбивка_по_щитам!N211</f>
        <v/>
      </c>
      <c r="L211" s="20"/>
      <c r="M211" s="20">
        <f>Разбивка_по_щитам!P211</f>
        <v/>
      </c>
      <c r="N211" s="20"/>
      <c r="P211" s="20"/>
      <c r="Q211" s="20"/>
      <c r="R211" s="20"/>
      <c r="S211" s="20"/>
      <c r="T211" s="20"/>
      <c r="U211" s="20"/>
    </row>
    <row r="212" spans="2:21" x14ac:dyDescent="0.25">
      <c r="B212" s="20">
        <f>Разбивка_по_щитам!B212</f>
      </c>
      <c r="C212" s="20">
        <f>Разбивка_по_щитам!C212</f>
      </c>
      <c r="D212" s="20">
        <f>Разбивка_по_щитам!F212</f>
      </c>
      <c r="E212" s="20">
        <f>Разбивка_по_щитам!H212</f>
      </c>
      <c r="F212" s="20">
        <f>Разбивка_по_щитам!I212</f>
      </c>
      <c r="G212" s="20">
        <f>Разбивка_по_щитам!J212</f>
        <v/>
      </c>
      <c r="H212" s="20">
        <f>Разбивка_по_щитам!K212</f>
        <v/>
      </c>
      <c r="I212" s="20">
        <f>Разбивка_по_щитам!L212</f>
        <v/>
      </c>
      <c r="J212" s="20">
        <f>Разбивка_по_щитам!M212</f>
        <v/>
      </c>
      <c r="K212" s="20">
        <f>Разбивка_по_щитам!N212</f>
        <v/>
      </c>
      <c r="L212" s="20"/>
      <c r="M212" s="20">
        <f>Разбивка_по_щитам!P212</f>
        <v/>
      </c>
      <c r="N212" s="20"/>
      <c r="P212" s="20"/>
      <c r="Q212" s="20"/>
      <c r="R212" s="20"/>
      <c r="S212" s="20"/>
      <c r="T212" s="20"/>
      <c r="U212" s="20"/>
    </row>
    <row r="213" spans="2:21" x14ac:dyDescent="0.25">
      <c r="B213" s="20">
        <f>Разбивка_по_щитам!B213</f>
      </c>
      <c r="C213" s="20">
        <f>Разбивка_по_щитам!C213</f>
      </c>
      <c r="D213" s="20">
        <f>Разбивка_по_щитам!F213</f>
      </c>
      <c r="E213" s="20">
        <f>Разбивка_по_щитам!H213</f>
      </c>
      <c r="F213" s="20">
        <f>Разбивка_по_щитам!I213</f>
      </c>
      <c r="G213" s="20">
        <f>Разбивка_по_щитам!J213</f>
        <v/>
      </c>
      <c r="H213" s="20">
        <f>Разбивка_по_щитам!K213</f>
        <v/>
      </c>
      <c r="I213" s="20">
        <f>Разбивка_по_щитам!L213</f>
        <v/>
      </c>
      <c r="J213" s="20">
        <f>Разбивка_по_щитам!M213</f>
        <v/>
      </c>
      <c r="K213" s="20">
        <f>Разбивка_по_щитам!N213</f>
        <v/>
      </c>
      <c r="L213" s="20"/>
      <c r="M213" s="20">
        <f>Разбивка_по_щитам!P213</f>
        <v/>
      </c>
      <c r="N213" s="20"/>
      <c r="P213" s="20"/>
      <c r="Q213" s="20"/>
      <c r="R213" s="20"/>
      <c r="S213" s="20"/>
      <c r="T213" s="20"/>
      <c r="U213" s="20"/>
    </row>
    <row r="214" spans="2:21" x14ac:dyDescent="0.25">
      <c r="B214" s="20">
        <f>Разбивка_по_щитам!B214</f>
      </c>
      <c r="C214" s="20">
        <f>Разбивка_по_щитам!C214</f>
      </c>
      <c r="D214" s="20">
        <f>Разбивка_по_щитам!F214</f>
      </c>
      <c r="E214" s="20">
        <f>Разбивка_по_щитам!H214</f>
      </c>
      <c r="F214" s="20">
        <f>Разбивка_по_щитам!I214</f>
      </c>
      <c r="G214" s="20">
        <f>Разбивка_по_щитам!J214</f>
        <v/>
      </c>
      <c r="H214" s="20">
        <f>Разбивка_по_щитам!K214</f>
        <v/>
      </c>
      <c r="I214" s="20">
        <f>Разбивка_по_щитам!L214</f>
        <v/>
      </c>
      <c r="J214" s="20">
        <f>Разбивка_по_щитам!M214</f>
        <v/>
      </c>
      <c r="K214" s="20">
        <f>Разбивка_по_щитам!N214</f>
        <v/>
      </c>
      <c r="L214" s="20"/>
      <c r="M214" s="20">
        <f>Разбивка_по_щитам!P214</f>
        <v/>
      </c>
      <c r="N214" s="20"/>
      <c r="P214" s="20"/>
      <c r="Q214" s="20"/>
      <c r="R214" s="20"/>
      <c r="S214" s="20"/>
      <c r="T214" s="20"/>
      <c r="U214" s="20"/>
    </row>
    <row r="215" spans="2:21" x14ac:dyDescent="0.25">
      <c r="B215" s="20">
        <f>Разбивка_по_щитам!B215</f>
      </c>
      <c r="C215" s="20">
        <f>Разбивка_по_щитам!C215</f>
      </c>
      <c r="D215" s="20">
        <f>Разбивка_по_щитам!F215</f>
      </c>
      <c r="E215" s="20">
        <f>Разбивка_по_щитам!H215</f>
      </c>
      <c r="F215" s="20">
        <f>Разбивка_по_щитам!I215</f>
      </c>
      <c r="G215" s="20">
        <f>Разбивка_по_щитам!J215</f>
        <v/>
      </c>
      <c r="H215" s="20">
        <f>Разбивка_по_щитам!K215</f>
        <v/>
      </c>
      <c r="I215" s="20">
        <f>Разбивка_по_щитам!L215</f>
        <v/>
      </c>
      <c r="J215" s="20">
        <f>Разбивка_по_щитам!M215</f>
        <v/>
      </c>
      <c r="K215" s="20">
        <f>Разбивка_по_щитам!N215</f>
        <v/>
      </c>
      <c r="L215" s="20"/>
      <c r="M215" s="20">
        <f>Разбивка_по_щитам!P215</f>
        <v/>
      </c>
      <c r="N215" s="20"/>
      <c r="P215" s="20"/>
      <c r="Q215" s="20"/>
      <c r="R215" s="20"/>
      <c r="S215" s="20"/>
      <c r="T215" s="20"/>
      <c r="U215" s="20"/>
    </row>
    <row r="216" spans="2:21" x14ac:dyDescent="0.25">
      <c r="B216" s="20">
        <f>Разбивка_по_щитам!B216</f>
      </c>
      <c r="C216" s="20">
        <f>Разбивка_по_щитам!C216</f>
      </c>
      <c r="D216" s="20">
        <f>Разбивка_по_щитам!F216</f>
      </c>
      <c r="E216" s="20">
        <f>Разбивка_по_щитам!H216</f>
      </c>
      <c r="F216" s="20">
        <f>Разбивка_по_щитам!I216</f>
      </c>
      <c r="G216" s="20">
        <f>Разбивка_по_щитам!J216</f>
        <v/>
      </c>
      <c r="H216" s="20">
        <f>Разбивка_по_щитам!K216</f>
        <v/>
      </c>
      <c r="I216" s="20">
        <f>Разбивка_по_щитам!L216</f>
        <v/>
      </c>
      <c r="J216" s="20">
        <f>Разбивка_по_щитам!M216</f>
        <v/>
      </c>
      <c r="K216" s="20">
        <f>Разбивка_по_щитам!N216</f>
        <v/>
      </c>
      <c r="L216" s="20"/>
      <c r="M216" s="20">
        <f>Разбивка_по_щитам!P216</f>
        <v/>
      </c>
      <c r="N216" s="20"/>
      <c r="P216" s="20"/>
      <c r="Q216" s="20"/>
      <c r="R216" s="20"/>
      <c r="S216" s="20"/>
      <c r="T216" s="20"/>
      <c r="U216" s="20"/>
    </row>
    <row r="217" spans="2:21" x14ac:dyDescent="0.25">
      <c r="B217" s="20">
        <f>Разбивка_по_щитам!B217</f>
      </c>
      <c r="C217" s="20">
        <f>Разбивка_по_щитам!C217</f>
      </c>
      <c r="D217" s="20">
        <f>Разбивка_по_щитам!F217</f>
      </c>
      <c r="E217" s="20">
        <f>Разбивка_по_щитам!H217</f>
      </c>
      <c r="F217" s="20">
        <f>Разбивка_по_щитам!I217</f>
      </c>
      <c r="G217" s="20">
        <f>Разбивка_по_щитам!J217</f>
        <v/>
      </c>
      <c r="H217" s="20">
        <f>Разбивка_по_щитам!K217</f>
        <v/>
      </c>
      <c r="I217" s="20">
        <f>Разбивка_по_щитам!L217</f>
        <v/>
      </c>
      <c r="J217" s="20">
        <f>Разбивка_по_щитам!M217</f>
        <v/>
      </c>
      <c r="K217" s="20">
        <f>Разбивка_по_щитам!N217</f>
        <v/>
      </c>
      <c r="L217" s="20"/>
      <c r="M217" s="20">
        <f>Разбивка_по_щитам!P217</f>
        <v/>
      </c>
      <c r="N217" s="20"/>
      <c r="P217" s="20"/>
      <c r="Q217" s="20"/>
      <c r="R217" s="20"/>
      <c r="S217" s="20"/>
      <c r="T217" s="20"/>
      <c r="U217" s="20"/>
    </row>
    <row r="218" spans="2:21" x14ac:dyDescent="0.25">
      <c r="B218" s="20">
        <f>Разбивка_по_щитам!B218</f>
      </c>
      <c r="C218" s="20">
        <f>Разбивка_по_щитам!C218</f>
      </c>
      <c r="D218" s="20">
        <f>Разбивка_по_щитам!F218</f>
      </c>
      <c r="E218" s="20">
        <f>Разбивка_по_щитам!H218</f>
      </c>
      <c r="F218" s="20">
        <f>Разбивка_по_щитам!I218</f>
      </c>
      <c r="G218" s="20">
        <f>Разбивка_по_щитам!J218</f>
        <v/>
      </c>
      <c r="H218" s="20">
        <f>Разбивка_по_щитам!K218</f>
        <v/>
      </c>
      <c r="I218" s="20">
        <f>Разбивка_по_щитам!L218</f>
        <v/>
      </c>
      <c r="J218" s="20">
        <f>Разбивка_по_щитам!M218</f>
        <v/>
      </c>
      <c r="K218" s="20">
        <f>Разбивка_по_щитам!N218</f>
        <v/>
      </c>
      <c r="L218" s="20"/>
      <c r="M218" s="20">
        <f>Разбивка_по_щитам!P218</f>
        <v/>
      </c>
      <c r="N218" s="20"/>
      <c r="P218" s="20"/>
      <c r="Q218" s="20"/>
      <c r="R218" s="20"/>
      <c r="S218" s="20"/>
      <c r="T218" s="20"/>
      <c r="U218" s="20"/>
    </row>
    <row r="219" spans="2:21" x14ac:dyDescent="0.25">
      <c r="B219" s="20">
        <f>Разбивка_по_щитам!B219</f>
      </c>
      <c r="C219" s="20">
        <f>Разбивка_по_щитам!C219</f>
      </c>
      <c r="D219" s="20">
        <f>Разбивка_по_щитам!F219</f>
      </c>
      <c r="E219" s="20">
        <f>Разбивка_по_щитам!H219</f>
      </c>
      <c r="F219" s="20">
        <f>Разбивка_по_щитам!I219</f>
      </c>
      <c r="G219" s="20">
        <f>Разбивка_по_щитам!J219</f>
        <v/>
      </c>
      <c r="H219" s="20">
        <f>Разбивка_по_щитам!K219</f>
        <v/>
      </c>
      <c r="I219" s="20">
        <f>Разбивка_по_щитам!L219</f>
        <v/>
      </c>
      <c r="J219" s="20">
        <f>Разбивка_по_щитам!M219</f>
        <v/>
      </c>
      <c r="K219" s="20">
        <f>Разбивка_по_щитам!N219</f>
        <v/>
      </c>
      <c r="L219" s="20"/>
      <c r="M219" s="20">
        <f>Разбивка_по_щитам!P219</f>
        <v/>
      </c>
      <c r="N219" s="20"/>
      <c r="P219" s="20"/>
      <c r="Q219" s="20"/>
      <c r="R219" s="20"/>
      <c r="S219" s="20"/>
      <c r="T219" s="20"/>
      <c r="U219" s="20"/>
    </row>
    <row r="220" spans="2:21" x14ac:dyDescent="0.25">
      <c r="B220" s="20">
        <f>Разбивка_по_щитам!B220</f>
      </c>
      <c r="C220" s="20">
        <f>Разбивка_по_щитам!C220</f>
      </c>
      <c r="D220" s="20">
        <f>Разбивка_по_щитам!F220</f>
      </c>
      <c r="E220" s="20">
        <f>Разбивка_по_щитам!H220</f>
      </c>
      <c r="F220" s="20">
        <f>Разбивка_по_щитам!I220</f>
      </c>
      <c r="G220" s="20">
        <f>Разбивка_по_щитам!J220</f>
        <v/>
      </c>
      <c r="H220" s="20">
        <f>Разбивка_по_щитам!K220</f>
        <v/>
      </c>
      <c r="I220" s="20">
        <f>Разбивка_по_щитам!L220</f>
        <v/>
      </c>
      <c r="J220" s="20">
        <f>Разбивка_по_щитам!M220</f>
        <v/>
      </c>
      <c r="K220" s="20">
        <f>Разбивка_по_щитам!N220</f>
        <v/>
      </c>
      <c r="L220" s="20"/>
      <c r="M220" s="20">
        <f>Разбивка_по_щитам!P220</f>
        <v/>
      </c>
      <c r="N220" s="20"/>
      <c r="P220" s="20"/>
      <c r="Q220" s="20"/>
      <c r="R220" s="20"/>
      <c r="S220" s="20"/>
      <c r="T220" s="20"/>
      <c r="U220" s="20"/>
    </row>
    <row r="221" spans="2:21" x14ac:dyDescent="0.25">
      <c r="B221" s="20">
        <f>Разбивка_по_щитам!B221</f>
      </c>
      <c r="C221" s="20">
        <f>Разбивка_по_щитам!C221</f>
      </c>
      <c r="D221" s="20">
        <f>Разбивка_по_щитам!F221</f>
      </c>
      <c r="E221" s="20">
        <f>Разбивка_по_щитам!H221</f>
      </c>
      <c r="F221" s="20">
        <f>Разбивка_по_щитам!I221</f>
      </c>
      <c r="G221" s="20">
        <f>Разбивка_по_щитам!J221</f>
        <v/>
      </c>
      <c r="H221" s="20">
        <f>Разбивка_по_щитам!K221</f>
        <v/>
      </c>
      <c r="I221" s="20">
        <f>Разбивка_по_щитам!L221</f>
        <v/>
      </c>
      <c r="J221" s="20">
        <f>Разбивка_по_щитам!M221</f>
        <v/>
      </c>
      <c r="K221" s="20">
        <f>Разбивка_по_щитам!N221</f>
        <v/>
      </c>
      <c r="L221" s="20"/>
      <c r="M221" s="20">
        <f>Разбивка_по_щитам!P221</f>
        <v/>
      </c>
      <c r="N221" s="20"/>
      <c r="P221" s="20"/>
      <c r="Q221" s="20"/>
      <c r="R221" s="20"/>
      <c r="S221" s="20"/>
      <c r="T221" s="20"/>
      <c r="U221" s="20"/>
    </row>
    <row r="222" spans="2:21" x14ac:dyDescent="0.25">
      <c r="B222" s="20">
        <f>Разбивка_по_щитам!B222</f>
      </c>
      <c r="C222" s="20">
        <f>Разбивка_по_щитам!C222</f>
      </c>
      <c r="D222" s="20">
        <f>Разбивка_по_щитам!F222</f>
      </c>
      <c r="E222" s="20">
        <f>Разбивка_по_щитам!H222</f>
      </c>
      <c r="F222" s="20">
        <f>Разбивка_по_щитам!I222</f>
      </c>
      <c r="G222" s="20">
        <f>Разбивка_по_щитам!J222</f>
        <v/>
      </c>
      <c r="H222" s="20">
        <f>Разбивка_по_щитам!K222</f>
        <v/>
      </c>
      <c r="I222" s="20">
        <f>Разбивка_по_щитам!L222</f>
        <v/>
      </c>
      <c r="J222" s="20">
        <f>Разбивка_по_щитам!M222</f>
        <v/>
      </c>
      <c r="K222" s="20">
        <f>Разбивка_по_щитам!N222</f>
        <v/>
      </c>
      <c r="L222" s="20"/>
      <c r="M222" s="20">
        <f>Разбивка_по_щитам!P222</f>
        <v/>
      </c>
      <c r="N222" s="20"/>
      <c r="P222" s="20"/>
      <c r="Q222" s="20"/>
      <c r="R222" s="20"/>
      <c r="S222" s="20"/>
      <c r="T222" s="20"/>
      <c r="U222" s="20"/>
    </row>
    <row r="223" spans="2:21" x14ac:dyDescent="0.25">
      <c r="B223" s="20">
        <f>Разбивка_по_щитам!B223</f>
      </c>
      <c r="C223" s="20">
        <f>Разбивка_по_щитам!C223</f>
      </c>
      <c r="D223" s="20">
        <f>Разбивка_по_щитам!F223</f>
      </c>
      <c r="E223" s="20">
        <f>Разбивка_по_щитам!H223</f>
      </c>
      <c r="F223" s="20">
        <f>Разбивка_по_щитам!I223</f>
      </c>
      <c r="G223" s="20">
        <f>Разбивка_по_щитам!J223</f>
        <v/>
      </c>
      <c r="H223" s="20">
        <f>Разбивка_по_щитам!K223</f>
        <v/>
      </c>
      <c r="I223" s="20">
        <f>Разбивка_по_щитам!L223</f>
        <v/>
      </c>
      <c r="J223" s="20">
        <f>Разбивка_по_щитам!M223</f>
        <v/>
      </c>
      <c r="K223" s="20">
        <f>Разбивка_по_щитам!N223</f>
        <v/>
      </c>
      <c r="L223" s="20"/>
      <c r="M223" s="20">
        <f>Разбивка_по_щитам!P223</f>
        <v/>
      </c>
      <c r="N223" s="20"/>
      <c r="P223" s="20"/>
      <c r="Q223" s="20"/>
      <c r="R223" s="20"/>
      <c r="S223" s="20"/>
      <c r="T223" s="20"/>
      <c r="U223" s="20"/>
    </row>
    <row r="224" spans="2:21" x14ac:dyDescent="0.25">
      <c r="B224" s="20">
        <f>Разбивка_по_щитам!B224</f>
      </c>
      <c r="C224" s="20">
        <f>Разбивка_по_щитам!C224</f>
      </c>
      <c r="D224" s="20">
        <f>Разбивка_по_щитам!F224</f>
      </c>
      <c r="E224" s="20">
        <f>Разбивка_по_щитам!H224</f>
      </c>
      <c r="F224" s="20">
        <f>Разбивка_по_щитам!I224</f>
      </c>
      <c r="G224" s="20">
        <f>Разбивка_по_щитам!J224</f>
        <v/>
      </c>
      <c r="H224" s="20">
        <f>Разбивка_по_щитам!K224</f>
        <v/>
      </c>
      <c r="I224" s="20">
        <f>Разбивка_по_щитам!L224</f>
        <v/>
      </c>
      <c r="J224" s="20">
        <f>Разбивка_по_щитам!M224</f>
        <v/>
      </c>
      <c r="K224" s="20">
        <f>Разбивка_по_щитам!N224</f>
        <v/>
      </c>
      <c r="L224" s="20"/>
      <c r="M224" s="20">
        <f>Разбивка_по_щитам!P224</f>
        <v/>
      </c>
      <c r="N224" s="20"/>
      <c r="P224" s="20"/>
      <c r="Q224" s="20"/>
      <c r="R224" s="20"/>
      <c r="S224" s="20"/>
      <c r="T224" s="20"/>
      <c r="U224" s="20"/>
    </row>
    <row r="225" spans="2:21" x14ac:dyDescent="0.25">
      <c r="B225" s="20">
        <f>Разбивка_по_щитам!B225</f>
      </c>
      <c r="C225" s="20">
        <f>Разбивка_по_щитам!C225</f>
      </c>
      <c r="D225" s="20">
        <f>Разбивка_по_щитам!F225</f>
      </c>
      <c r="E225" s="20">
        <f>Разбивка_по_щитам!H225</f>
      </c>
      <c r="F225" s="20">
        <f>Разбивка_по_щитам!I225</f>
      </c>
      <c r="G225" s="20">
        <f>Разбивка_по_щитам!J225</f>
        <v/>
      </c>
      <c r="H225" s="20">
        <f>Разбивка_по_щитам!K225</f>
        <v/>
      </c>
      <c r="I225" s="20">
        <f>Разбивка_по_щитам!L225</f>
        <v/>
      </c>
      <c r="J225" s="20">
        <f>Разбивка_по_щитам!M225</f>
        <v/>
      </c>
      <c r="K225" s="20">
        <f>Разбивка_по_щитам!N225</f>
        <v/>
      </c>
      <c r="L225" s="20"/>
      <c r="M225" s="20">
        <f>Разбивка_по_щитам!P225</f>
        <v/>
      </c>
      <c r="N225" s="20"/>
      <c r="P225" s="20"/>
      <c r="Q225" s="20"/>
      <c r="R225" s="20"/>
      <c r="S225" s="20"/>
      <c r="T225" s="20"/>
      <c r="U225" s="20"/>
    </row>
    <row r="226" spans="2:21" x14ac:dyDescent="0.25">
      <c r="B226" s="20">
        <f>Разбивка_по_щитам!B226</f>
      </c>
      <c r="C226" s="20">
        <f>Разбивка_по_щитам!C226</f>
      </c>
      <c r="D226" s="20">
        <f>Разбивка_по_щитам!F226</f>
      </c>
      <c r="E226" s="20">
        <f>Разбивка_по_щитам!H226</f>
      </c>
      <c r="F226" s="20">
        <f>Разбивка_по_щитам!I226</f>
      </c>
      <c r="G226" s="20">
        <f>Разбивка_по_щитам!J226</f>
        <v/>
      </c>
      <c r="H226" s="20">
        <f>Разбивка_по_щитам!K226</f>
        <v/>
      </c>
      <c r="I226" s="20">
        <f>Разбивка_по_щитам!L226</f>
        <v/>
      </c>
      <c r="J226" s="20">
        <f>Разбивка_по_щитам!M226</f>
        <v/>
      </c>
      <c r="K226" s="20">
        <f>Разбивка_по_щитам!N226</f>
        <v/>
      </c>
      <c r="L226" s="20"/>
      <c r="M226" s="20">
        <f>Разбивка_по_щитам!P226</f>
        <v/>
      </c>
      <c r="N226" s="20"/>
      <c r="P226" s="20"/>
      <c r="Q226" s="20"/>
      <c r="R226" s="20"/>
      <c r="S226" s="20"/>
      <c r="T226" s="20"/>
      <c r="U226" s="20"/>
    </row>
    <row r="227" spans="2:21" x14ac:dyDescent="0.25">
      <c r="B227" s="20">
        <f>Разбивка_по_щитам!B227</f>
      </c>
      <c r="C227" s="20">
        <f>Разбивка_по_щитам!C227</f>
      </c>
      <c r="D227" s="20">
        <f>Разбивка_по_щитам!F227</f>
      </c>
      <c r="E227" s="20">
        <f>Разбивка_по_щитам!H227</f>
      </c>
      <c r="F227" s="20">
        <f>Разбивка_по_щитам!I227</f>
      </c>
      <c r="G227" s="20">
        <f>Разбивка_по_щитам!J227</f>
        <v/>
      </c>
      <c r="H227" s="20">
        <f>Разбивка_по_щитам!K227</f>
        <v/>
      </c>
      <c r="I227" s="20">
        <f>Разбивка_по_щитам!L227</f>
        <v/>
      </c>
      <c r="J227" s="20">
        <f>Разбивка_по_щитам!M227</f>
        <v/>
      </c>
      <c r="K227" s="20">
        <f>Разбивка_по_щитам!N227</f>
        <v/>
      </c>
      <c r="L227" s="20"/>
      <c r="M227" s="20">
        <f>Разбивка_по_щитам!P227</f>
        <v/>
      </c>
      <c r="N227" s="20"/>
      <c r="P227" s="20"/>
      <c r="Q227" s="20"/>
      <c r="R227" s="20"/>
      <c r="S227" s="20"/>
      <c r="T227" s="20"/>
      <c r="U227" s="20"/>
    </row>
    <row r="228" spans="2:21" x14ac:dyDescent="0.25">
      <c r="B228" s="20">
        <f>Разбивка_по_щитам!B228</f>
      </c>
      <c r="C228" s="20">
        <f>Разбивка_по_щитам!C228</f>
      </c>
      <c r="D228" s="20">
        <f>Разбивка_по_щитам!F228</f>
      </c>
      <c r="E228" s="20">
        <f>Разбивка_по_щитам!H228</f>
      </c>
      <c r="F228" s="20">
        <f>Разбивка_по_щитам!I228</f>
      </c>
      <c r="G228" s="20">
        <f>Разбивка_по_щитам!J228</f>
        <v/>
      </c>
      <c r="H228" s="20">
        <f>Разбивка_по_щитам!K228</f>
        <v/>
      </c>
      <c r="I228" s="20">
        <f>Разбивка_по_щитам!L228</f>
        <v/>
      </c>
      <c r="J228" s="20">
        <f>Разбивка_по_щитам!M228</f>
        <v/>
      </c>
      <c r="K228" s="20">
        <f>Разбивка_по_щитам!N228</f>
        <v/>
      </c>
      <c r="L228" s="20"/>
      <c r="M228" s="20">
        <f>Разбивка_по_щитам!P228</f>
        <v/>
      </c>
      <c r="N228" s="20"/>
      <c r="P228" s="20"/>
      <c r="Q228" s="20"/>
      <c r="R228" s="20"/>
      <c r="S228" s="20"/>
      <c r="T228" s="20"/>
      <c r="U228" s="20"/>
    </row>
    <row r="229" spans="2:21" x14ac:dyDescent="0.25">
      <c r="B229" s="20">
        <f>Разбивка_по_щитам!B229</f>
      </c>
      <c r="C229" s="20">
        <f>Разбивка_по_щитам!C229</f>
      </c>
      <c r="D229" s="20">
        <f>Разбивка_по_щитам!F229</f>
      </c>
      <c r="E229" s="20">
        <f>Разбивка_по_щитам!H229</f>
      </c>
      <c r="F229" s="20">
        <f>Разбивка_по_щитам!I229</f>
      </c>
      <c r="G229" s="20">
        <f>Разбивка_по_щитам!J229</f>
        <v/>
      </c>
      <c r="H229" s="20">
        <f>Разбивка_по_щитам!K229</f>
        <v/>
      </c>
      <c r="I229" s="20">
        <f>Разбивка_по_щитам!L229</f>
        <v/>
      </c>
      <c r="J229" s="20">
        <f>Разбивка_по_щитам!M229</f>
        <v/>
      </c>
      <c r="K229" s="20">
        <f>Разбивка_по_щитам!N229</f>
        <v/>
      </c>
      <c r="L229" s="20"/>
      <c r="M229" s="20">
        <f>Разбивка_по_щитам!P229</f>
        <v/>
      </c>
      <c r="N229" s="20"/>
      <c r="P229" s="20"/>
      <c r="Q229" s="20"/>
      <c r="R229" s="20"/>
      <c r="S229" s="20"/>
      <c r="T229" s="20"/>
      <c r="U229" s="20"/>
    </row>
    <row r="230" spans="2:21" x14ac:dyDescent="0.25">
      <c r="B230" s="20">
        <f>Разбивка_по_щитам!B230</f>
      </c>
      <c r="C230" s="20">
        <f>Разбивка_по_щитам!C230</f>
      </c>
      <c r="D230" s="20">
        <f>Разбивка_по_щитам!F230</f>
      </c>
      <c r="E230" s="20">
        <f>Разбивка_по_щитам!H230</f>
      </c>
      <c r="F230" s="20">
        <f>Разбивка_по_щитам!I230</f>
      </c>
      <c r="G230" s="20">
        <f>Разбивка_по_щитам!J230</f>
        <v/>
      </c>
      <c r="H230" s="20">
        <f>Разбивка_по_щитам!K230</f>
        <v/>
      </c>
      <c r="I230" s="20">
        <f>Разбивка_по_щитам!L230</f>
        <v/>
      </c>
      <c r="J230" s="20">
        <f>Разбивка_по_щитам!M230</f>
        <v/>
      </c>
      <c r="K230" s="20">
        <f>Разбивка_по_щитам!N230</f>
        <v/>
      </c>
      <c r="L230" s="20"/>
      <c r="M230" s="20">
        <f>Разбивка_по_щитам!P230</f>
        <v/>
      </c>
      <c r="N230" s="20"/>
      <c r="P230" s="20"/>
      <c r="Q230" s="20"/>
      <c r="R230" s="20"/>
      <c r="S230" s="20"/>
      <c r="T230" s="20"/>
      <c r="U230" s="20"/>
    </row>
    <row r="231" spans="2:21" x14ac:dyDescent="0.25">
      <c r="B231" s="20">
        <f>Разбивка_по_щитам!B231</f>
      </c>
      <c r="C231" s="20">
        <f>Разбивка_по_щитам!C231</f>
      </c>
      <c r="D231" s="20">
        <f>Разбивка_по_щитам!F231</f>
      </c>
      <c r="E231" s="20">
        <f>Разбивка_по_щитам!H231</f>
      </c>
      <c r="F231" s="20">
        <f>Разбивка_по_щитам!I231</f>
      </c>
      <c r="G231" s="20">
        <f>Разбивка_по_щитам!J231</f>
        <v/>
      </c>
      <c r="H231" s="20">
        <f>Разбивка_по_щитам!K231</f>
        <v/>
      </c>
      <c r="I231" s="20">
        <f>Разбивка_по_щитам!L231</f>
        <v/>
      </c>
      <c r="J231" s="20">
        <f>Разбивка_по_щитам!M231</f>
        <v/>
      </c>
      <c r="K231" s="20">
        <f>Разбивка_по_щитам!N231</f>
        <v/>
      </c>
      <c r="L231" s="20"/>
      <c r="M231" s="20">
        <f>Разбивка_по_щитам!P231</f>
        <v/>
      </c>
      <c r="N231" s="20"/>
      <c r="P231" s="20"/>
      <c r="Q231" s="20"/>
      <c r="R231" s="20"/>
      <c r="S231" s="20"/>
      <c r="T231" s="20"/>
      <c r="U231" s="20"/>
    </row>
    <row r="232" spans="2:21" x14ac:dyDescent="0.25">
      <c r="B232" s="20">
        <f>Разбивка_по_щитам!B232</f>
      </c>
      <c r="C232" s="20">
        <f>Разбивка_по_щитам!C232</f>
      </c>
      <c r="D232" s="20">
        <f>Разбивка_по_щитам!F232</f>
      </c>
      <c r="E232" s="20">
        <f>Разбивка_по_щитам!H232</f>
      </c>
      <c r="F232" s="20">
        <f>Разбивка_по_щитам!I232</f>
      </c>
      <c r="G232" s="20">
        <f>Разбивка_по_щитам!J232</f>
        <v/>
      </c>
      <c r="H232" s="20">
        <f>Разбивка_по_щитам!K232</f>
        <v/>
      </c>
      <c r="I232" s="20">
        <f>Разбивка_по_щитам!L232</f>
        <v/>
      </c>
      <c r="J232" s="20">
        <f>Разбивка_по_щитам!M232</f>
        <v/>
      </c>
      <c r="K232" s="20">
        <f>Разбивка_по_щитам!N232</f>
        <v/>
      </c>
      <c r="L232" s="20"/>
      <c r="M232" s="20">
        <f>Разбивка_по_щитам!P232</f>
        <v/>
      </c>
      <c r="N232" s="20"/>
      <c r="P232" s="20"/>
      <c r="Q232" s="20"/>
      <c r="R232" s="20"/>
      <c r="S232" s="20"/>
      <c r="T232" s="20"/>
      <c r="U232" s="20"/>
    </row>
    <row r="233" spans="2:21" x14ac:dyDescent="0.25">
      <c r="B233" s="20">
        <f>Разбивка_по_щитам!B233</f>
      </c>
      <c r="C233" s="20">
        <f>Разбивка_по_щитам!C233</f>
      </c>
      <c r="D233" s="20">
        <f>Разбивка_по_щитам!F233</f>
      </c>
      <c r="E233" s="20">
        <f>Разбивка_по_щитам!H233</f>
      </c>
      <c r="F233" s="20">
        <f>Разбивка_по_щитам!I233</f>
      </c>
      <c r="G233" s="20">
        <f>Разбивка_по_щитам!J233</f>
        <v/>
      </c>
      <c r="H233" s="20">
        <f>Разбивка_по_щитам!K233</f>
        <v/>
      </c>
      <c r="I233" s="20">
        <f>Разбивка_по_щитам!L233</f>
        <v/>
      </c>
      <c r="J233" s="20">
        <f>Разбивка_по_щитам!M233</f>
        <v/>
      </c>
      <c r="K233" s="20">
        <f>Разбивка_по_щитам!N233</f>
        <v/>
      </c>
      <c r="L233" s="20"/>
      <c r="M233" s="20">
        <f>Разбивка_по_щитам!P233</f>
        <v/>
      </c>
      <c r="N233" s="20"/>
      <c r="P233" s="20"/>
      <c r="Q233" s="20"/>
      <c r="R233" s="20"/>
      <c r="S233" s="20"/>
      <c r="T233" s="20"/>
      <c r="U233" s="20"/>
    </row>
    <row r="234" spans="2:21" x14ac:dyDescent="0.25">
      <c r="B234" s="20">
        <f>Разбивка_по_щитам!B234</f>
      </c>
      <c r="C234" s="20">
        <f>Разбивка_по_щитам!C234</f>
      </c>
      <c r="D234" s="20">
        <f>Разбивка_по_щитам!F234</f>
      </c>
      <c r="E234" s="20">
        <f>Разбивка_по_щитам!H234</f>
      </c>
      <c r="F234" s="20">
        <f>Разбивка_по_щитам!I234</f>
      </c>
      <c r="G234" s="20">
        <f>Разбивка_по_щитам!J234</f>
        <v/>
      </c>
      <c r="H234" s="20">
        <f>Разбивка_по_щитам!K234</f>
        <v/>
      </c>
      <c r="I234" s="20">
        <f>Разбивка_по_щитам!L234</f>
        <v/>
      </c>
      <c r="J234" s="20">
        <f>Разбивка_по_щитам!M234</f>
        <v/>
      </c>
      <c r="K234" s="20">
        <f>Разбивка_по_щитам!N234</f>
        <v/>
      </c>
      <c r="L234" s="20"/>
      <c r="M234" s="20">
        <f>Разбивка_по_щитам!P234</f>
        <v/>
      </c>
      <c r="N234" s="20"/>
      <c r="P234" s="20"/>
      <c r="Q234" s="20"/>
      <c r="R234" s="20"/>
      <c r="S234" s="20"/>
      <c r="T234" s="20"/>
      <c r="U234" s="20"/>
    </row>
    <row r="235" spans="2:21" x14ac:dyDescent="0.25">
      <c r="B235" s="20">
        <f>Разбивка_по_щитам!B235</f>
      </c>
      <c r="C235" s="20">
        <f>Разбивка_по_щитам!C235</f>
      </c>
      <c r="D235" s="20">
        <f>Разбивка_по_щитам!F235</f>
      </c>
      <c r="E235" s="20">
        <f>Разбивка_по_щитам!H235</f>
      </c>
      <c r="F235" s="20">
        <f>Разбивка_по_щитам!I235</f>
      </c>
      <c r="G235" s="20">
        <f>Разбивка_по_щитам!J235</f>
        <v/>
      </c>
      <c r="H235" s="20">
        <f>Разбивка_по_щитам!K235</f>
        <v/>
      </c>
      <c r="I235" s="20">
        <f>Разбивка_по_щитам!L235</f>
        <v/>
      </c>
      <c r="J235" s="20">
        <f>Разбивка_по_щитам!M235</f>
        <v/>
      </c>
      <c r="K235" s="20">
        <f>Разбивка_по_щитам!N235</f>
        <v/>
      </c>
      <c r="L235" s="20"/>
      <c r="M235" s="20">
        <f>Разбивка_по_щитам!P235</f>
        <v/>
      </c>
      <c r="N235" s="20"/>
      <c r="P235" s="20"/>
      <c r="Q235" s="20"/>
      <c r="R235" s="20"/>
      <c r="S235" s="20"/>
      <c r="T235" s="20"/>
      <c r="U235" s="20"/>
    </row>
    <row r="236" spans="2:21" x14ac:dyDescent="0.25">
      <c r="B236" s="20">
        <f>Разбивка_по_щитам!B236</f>
      </c>
      <c r="C236" s="20">
        <f>Разбивка_по_щитам!C236</f>
      </c>
      <c r="D236" s="20">
        <f>Разбивка_по_щитам!F236</f>
      </c>
      <c r="E236" s="20">
        <f>Разбивка_по_щитам!H236</f>
      </c>
      <c r="F236" s="20">
        <f>Разбивка_по_щитам!I236</f>
      </c>
      <c r="G236" s="20">
        <f>Разбивка_по_щитам!J236</f>
        <v/>
      </c>
      <c r="H236" s="20">
        <f>Разбивка_по_щитам!K236</f>
        <v/>
      </c>
      <c r="I236" s="20">
        <f>Разбивка_по_щитам!L236</f>
        <v/>
      </c>
      <c r="J236" s="20">
        <f>Разбивка_по_щитам!M236</f>
        <v/>
      </c>
      <c r="K236" s="20">
        <f>Разбивка_по_щитам!N236</f>
        <v/>
      </c>
      <c r="L236" s="20"/>
      <c r="M236" s="20">
        <f>Разбивка_по_щитам!P236</f>
        <v/>
      </c>
      <c r="N236" s="20"/>
      <c r="P236" s="20"/>
      <c r="Q236" s="20"/>
      <c r="R236" s="20"/>
      <c r="S236" s="20"/>
      <c r="T236" s="20"/>
      <c r="U236" s="20"/>
    </row>
    <row r="237" spans="2:21" x14ac:dyDescent="0.25">
      <c r="B237" s="20">
        <f>Разбивка_по_щитам!B237</f>
      </c>
      <c r="C237" s="20">
        <f>Разбивка_по_щитам!C237</f>
      </c>
      <c r="D237" s="20">
        <f>Разбивка_по_щитам!F237</f>
      </c>
      <c r="E237" s="20">
        <f>Разбивка_по_щитам!H237</f>
      </c>
      <c r="F237" s="20">
        <f>Разбивка_по_щитам!I237</f>
      </c>
      <c r="G237" s="20">
        <f>Разбивка_по_щитам!J237</f>
        <v/>
      </c>
      <c r="H237" s="20">
        <f>Разбивка_по_щитам!K237</f>
        <v/>
      </c>
      <c r="I237" s="20">
        <f>Разбивка_по_щитам!L237</f>
        <v/>
      </c>
      <c r="J237" s="20">
        <f>Разбивка_по_щитам!M237</f>
        <v/>
      </c>
      <c r="K237" s="20">
        <f>Разбивка_по_щитам!N237</f>
        <v/>
      </c>
      <c r="L237" s="20"/>
      <c r="M237" s="20">
        <f>Разбивка_по_щитам!P237</f>
        <v/>
      </c>
      <c r="N237" s="20"/>
      <c r="P237" s="20"/>
      <c r="Q237" s="20"/>
      <c r="R237" s="20"/>
      <c r="S237" s="20"/>
      <c r="T237" s="20"/>
      <c r="U237" s="20"/>
    </row>
    <row r="238" spans="2:21" x14ac:dyDescent="0.25">
      <c r="B238" s="20">
        <f>Разбивка_по_щитам!B238</f>
      </c>
      <c r="C238" s="20">
        <f>Разбивка_по_щитам!C238</f>
      </c>
      <c r="D238" s="20">
        <f>Разбивка_по_щитам!F238</f>
      </c>
      <c r="E238" s="20">
        <f>Разбивка_по_щитам!H238</f>
      </c>
      <c r="F238" s="20">
        <f>Разбивка_по_щитам!I238</f>
      </c>
      <c r="G238" s="20">
        <f>Разбивка_по_щитам!J238</f>
        <v/>
      </c>
      <c r="H238" s="20">
        <f>Разбивка_по_щитам!K238</f>
        <v/>
      </c>
      <c r="I238" s="20">
        <f>Разбивка_по_щитам!L238</f>
        <v/>
      </c>
      <c r="J238" s="20">
        <f>Разбивка_по_щитам!M238</f>
        <v/>
      </c>
      <c r="K238" s="20">
        <f>Разбивка_по_щитам!N238</f>
        <v/>
      </c>
      <c r="L238" s="20"/>
      <c r="M238" s="20">
        <f>Разбивка_по_щитам!P238</f>
        <v/>
      </c>
      <c r="N238" s="20"/>
      <c r="P238" s="20"/>
      <c r="Q238" s="20"/>
      <c r="R238" s="20"/>
      <c r="S238" s="20"/>
      <c r="T238" s="20"/>
      <c r="U238" s="20"/>
    </row>
    <row r="239" spans="2:21" x14ac:dyDescent="0.25">
      <c r="B239" s="20">
        <f>Разбивка_по_щитам!B239</f>
      </c>
      <c r="C239" s="20">
        <f>Разбивка_по_щитам!C239</f>
      </c>
      <c r="D239" s="20">
        <f>Разбивка_по_щитам!F239</f>
      </c>
      <c r="E239" s="20">
        <f>Разбивка_по_щитам!H239</f>
      </c>
      <c r="F239" s="20">
        <f>Разбивка_по_щитам!I239</f>
      </c>
      <c r="G239" s="20">
        <f>Разбивка_по_щитам!J239</f>
        <v/>
      </c>
      <c r="H239" s="20">
        <f>Разбивка_по_щитам!K239</f>
        <v/>
      </c>
      <c r="I239" s="20">
        <f>Разбивка_по_щитам!L239</f>
        <v/>
      </c>
      <c r="J239" s="20">
        <f>Разбивка_по_щитам!M239</f>
        <v/>
      </c>
      <c r="K239" s="20">
        <f>Разбивка_по_щитам!N239</f>
        <v/>
      </c>
      <c r="L239" s="20"/>
      <c r="M239" s="20">
        <f>Разбивка_по_щитам!P239</f>
        <v/>
      </c>
      <c r="N239" s="20"/>
      <c r="P239" s="20"/>
      <c r="Q239" s="20"/>
      <c r="R239" s="20"/>
      <c r="S239" s="20"/>
      <c r="T239" s="20"/>
      <c r="U239" s="20"/>
    </row>
    <row r="240" spans="2:21" x14ac:dyDescent="0.25">
      <c r="B240" s="20">
        <f>Разбивка_по_щитам!B240</f>
      </c>
      <c r="C240" s="20">
        <f>Разбивка_по_щитам!C240</f>
      </c>
      <c r="D240" s="20">
        <f>Разбивка_по_щитам!F240</f>
      </c>
      <c r="E240" s="20">
        <f>Разбивка_по_щитам!H240</f>
      </c>
      <c r="F240" s="20">
        <f>Разбивка_по_щитам!I240</f>
      </c>
      <c r="G240" s="20">
        <f>Разбивка_по_щитам!J240</f>
        <v/>
      </c>
      <c r="H240" s="20">
        <f>Разбивка_по_щитам!K240</f>
        <v/>
      </c>
      <c r="I240" s="20">
        <f>Разбивка_по_щитам!L240</f>
        <v/>
      </c>
      <c r="J240" s="20">
        <f>Разбивка_по_щитам!M240</f>
        <v/>
      </c>
      <c r="K240" s="20">
        <f>Разбивка_по_щитам!N240</f>
        <v/>
      </c>
      <c r="L240" s="20"/>
      <c r="M240" s="20">
        <f>Разбивка_по_щитам!P240</f>
        <v/>
      </c>
      <c r="N240" s="20"/>
      <c r="P240" s="20"/>
      <c r="Q240" s="20"/>
      <c r="R240" s="20"/>
      <c r="S240" s="20"/>
      <c r="T240" s="20"/>
      <c r="U240" s="20"/>
    </row>
    <row r="241" spans="2:21" x14ac:dyDescent="0.25">
      <c r="B241" s="20">
        <f>Разбивка_по_щитам!B241</f>
      </c>
      <c r="C241" s="20">
        <f>Разбивка_по_щитам!C241</f>
      </c>
      <c r="D241" s="20">
        <f>Разбивка_по_щитам!F241</f>
      </c>
      <c r="E241" s="20">
        <f>Разбивка_по_щитам!H241</f>
      </c>
      <c r="F241" s="20">
        <f>Разбивка_по_щитам!I241</f>
      </c>
      <c r="G241" s="20">
        <f>Разбивка_по_щитам!J241</f>
        <v/>
      </c>
      <c r="H241" s="20">
        <f>Разбивка_по_щитам!K241</f>
        <v/>
      </c>
      <c r="I241" s="20">
        <f>Разбивка_по_щитам!L241</f>
        <v/>
      </c>
      <c r="J241" s="20">
        <f>Разбивка_по_щитам!M241</f>
        <v/>
      </c>
      <c r="K241" s="20">
        <f>Разбивка_по_щитам!N241</f>
        <v/>
      </c>
      <c r="L241" s="20"/>
      <c r="M241" s="20">
        <f>Разбивка_по_щитам!P241</f>
        <v/>
      </c>
      <c r="N241" s="20"/>
      <c r="P241" s="20"/>
      <c r="Q241" s="20"/>
      <c r="R241" s="20"/>
      <c r="S241" s="20"/>
      <c r="T241" s="20"/>
      <c r="U241" s="20"/>
    </row>
    <row r="242" spans="2:21" x14ac:dyDescent="0.25">
      <c r="B242" s="20">
        <f>Разбивка_по_щитам!B242</f>
      </c>
      <c r="C242" s="20">
        <f>Разбивка_по_щитам!C242</f>
      </c>
      <c r="D242" s="20">
        <f>Разбивка_по_щитам!F242</f>
      </c>
      <c r="E242" s="20">
        <f>Разбивка_по_щитам!H242</f>
      </c>
      <c r="F242" s="20">
        <f>Разбивка_по_щитам!I242</f>
      </c>
      <c r="G242" s="20">
        <f>Разбивка_по_щитам!J242</f>
        <v/>
      </c>
      <c r="H242" s="20">
        <f>Разбивка_по_щитам!K242</f>
        <v/>
      </c>
      <c r="I242" s="20">
        <f>Разбивка_по_щитам!L242</f>
        <v/>
      </c>
      <c r="J242" s="20">
        <f>Разбивка_по_щитам!M242</f>
        <v/>
      </c>
      <c r="K242" s="20">
        <f>Разбивка_по_щитам!N242</f>
        <v/>
      </c>
      <c r="L242" s="20"/>
      <c r="M242" s="20">
        <f>Разбивка_по_щитам!P242</f>
        <v/>
      </c>
      <c r="N242" s="20"/>
      <c r="P242" s="20"/>
      <c r="Q242" s="20"/>
      <c r="R242" s="20"/>
      <c r="S242" s="20"/>
      <c r="T242" s="20"/>
      <c r="U242" s="20"/>
    </row>
    <row r="243" spans="2:21" x14ac:dyDescent="0.25">
      <c r="B243" s="20">
        <f>Разбивка_по_щитам!B243</f>
      </c>
      <c r="C243" s="20">
        <f>Разбивка_по_щитам!C243</f>
      </c>
      <c r="D243" s="20">
        <f>Разбивка_по_щитам!F243</f>
      </c>
      <c r="E243" s="20">
        <f>Разбивка_по_щитам!H243</f>
      </c>
      <c r="F243" s="20">
        <f>Разбивка_по_щитам!I243</f>
      </c>
      <c r="G243" s="20">
        <f>Разбивка_по_щитам!J243</f>
        <v/>
      </c>
      <c r="H243" s="20">
        <f>Разбивка_по_щитам!K243</f>
        <v/>
      </c>
      <c r="I243" s="20">
        <f>Разбивка_по_щитам!L243</f>
        <v/>
      </c>
      <c r="J243" s="20">
        <f>Разбивка_по_щитам!M243</f>
        <v/>
      </c>
      <c r="K243" s="20">
        <f>Разбивка_по_щитам!N243</f>
        <v/>
      </c>
      <c r="L243" s="20"/>
      <c r="M243" s="20">
        <f>Разбивка_по_щитам!P243</f>
        <v/>
      </c>
      <c r="N243" s="20"/>
      <c r="P243" s="20"/>
      <c r="Q243" s="20"/>
      <c r="R243" s="20"/>
      <c r="S243" s="20"/>
      <c r="T243" s="20"/>
      <c r="U243" s="20"/>
    </row>
    <row r="244" spans="2:21" x14ac:dyDescent="0.25">
      <c r="B244" s="20">
        <f>Разбивка_по_щитам!B244</f>
      </c>
      <c r="C244" s="20">
        <f>Разбивка_по_щитам!C244</f>
      </c>
      <c r="D244" s="20">
        <f>Разбивка_по_щитам!F244</f>
      </c>
      <c r="E244" s="20">
        <f>Разбивка_по_щитам!H244</f>
      </c>
      <c r="F244" s="20">
        <f>Разбивка_по_щитам!I244</f>
      </c>
      <c r="G244" s="20">
        <f>Разбивка_по_щитам!J244</f>
        <v/>
      </c>
      <c r="H244" s="20">
        <f>Разбивка_по_щитам!K244</f>
        <v/>
      </c>
      <c r="I244" s="20">
        <f>Разбивка_по_щитам!L244</f>
        <v/>
      </c>
      <c r="J244" s="20">
        <f>Разбивка_по_щитам!M244</f>
        <v/>
      </c>
      <c r="K244" s="20">
        <f>Разбивка_по_щитам!N244</f>
        <v/>
      </c>
      <c r="L244" s="20"/>
      <c r="M244" s="20">
        <f>Разбивка_по_щитам!P244</f>
        <v/>
      </c>
      <c r="N244" s="20"/>
      <c r="P244" s="20"/>
      <c r="Q244" s="20"/>
      <c r="R244" s="20"/>
      <c r="S244" s="20"/>
      <c r="T244" s="20"/>
      <c r="U244" s="20"/>
    </row>
    <row r="245" spans="2:21" x14ac:dyDescent="0.25">
      <c r="B245" s="20">
        <f>Разбивка_по_щитам!B245</f>
      </c>
      <c r="C245" s="20">
        <f>Разбивка_по_щитам!C245</f>
      </c>
      <c r="D245" s="20">
        <f>Разбивка_по_щитам!F245</f>
      </c>
      <c r="E245" s="20">
        <f>Разбивка_по_щитам!H245</f>
      </c>
      <c r="F245" s="20">
        <f>Разбивка_по_щитам!I245</f>
      </c>
      <c r="G245" s="20">
        <f>Разбивка_по_щитам!J245</f>
        <v/>
      </c>
      <c r="H245" s="20">
        <f>Разбивка_по_щитам!K245</f>
        <v/>
      </c>
      <c r="I245" s="20">
        <f>Разбивка_по_щитам!L245</f>
        <v/>
      </c>
      <c r="J245" s="20">
        <f>Разбивка_по_щитам!M245</f>
        <v/>
      </c>
      <c r="K245" s="20">
        <f>Разбивка_по_щитам!N245</f>
        <v/>
      </c>
      <c r="L245" s="20"/>
      <c r="M245" s="20">
        <f>Разбивка_по_щитам!P245</f>
        <v/>
      </c>
      <c r="N245" s="20"/>
      <c r="P245" s="20"/>
      <c r="Q245" s="20"/>
      <c r="R245" s="20"/>
      <c r="S245" s="20"/>
      <c r="T245" s="20"/>
      <c r="U245" s="20"/>
    </row>
    <row r="246" spans="2:21" x14ac:dyDescent="0.25">
      <c r="B246" s="20">
        <f>Разбивка_по_щитам!B246</f>
      </c>
      <c r="C246" s="20">
        <f>Разбивка_по_щитам!C246</f>
      </c>
      <c r="D246" s="20">
        <f>Разбивка_по_щитам!F246</f>
      </c>
      <c r="E246" s="20">
        <f>Разбивка_по_щитам!H246</f>
      </c>
      <c r="F246" s="20">
        <f>Разбивка_по_щитам!I246</f>
      </c>
      <c r="G246" s="20">
        <f>Разбивка_по_щитам!J246</f>
        <v/>
      </c>
      <c r="H246" s="20">
        <f>Разбивка_по_щитам!K246</f>
        <v/>
      </c>
      <c r="I246" s="20">
        <f>Разбивка_по_щитам!L246</f>
        <v/>
      </c>
      <c r="J246" s="20">
        <f>Разбивка_по_щитам!M246</f>
        <v/>
      </c>
      <c r="K246" s="20">
        <f>Разбивка_по_щитам!N246</f>
        <v/>
      </c>
      <c r="L246" s="20"/>
      <c r="M246" s="20">
        <f>Разбивка_по_щитам!P246</f>
        <v/>
      </c>
      <c r="N246" s="20"/>
      <c r="P246" s="20"/>
      <c r="Q246" s="20"/>
      <c r="R246" s="20"/>
      <c r="S246" s="20"/>
      <c r="T246" s="20"/>
      <c r="U246" s="20"/>
    </row>
    <row r="247" spans="2:21" x14ac:dyDescent="0.25">
      <c r="B247" s="20">
        <f>Разбивка_по_щитам!B247</f>
      </c>
      <c r="C247" s="20">
        <f>Разбивка_по_щитам!C247</f>
      </c>
      <c r="D247" s="20">
        <f>Разбивка_по_щитам!F247</f>
      </c>
      <c r="E247" s="20">
        <f>Разбивка_по_щитам!H247</f>
      </c>
      <c r="F247" s="20">
        <f>Разбивка_по_щитам!I247</f>
      </c>
      <c r="G247" s="20">
        <f>Разбивка_по_щитам!J247</f>
        <v/>
      </c>
      <c r="H247" s="20">
        <f>Разбивка_по_щитам!K247</f>
        <v/>
      </c>
      <c r="I247" s="20">
        <f>Разбивка_по_щитам!L247</f>
        <v/>
      </c>
      <c r="J247" s="20">
        <f>Разбивка_по_щитам!M247</f>
        <v/>
      </c>
      <c r="K247" s="20">
        <f>Разбивка_по_щитам!N247</f>
        <v/>
      </c>
      <c r="L247" s="20"/>
      <c r="M247" s="20">
        <f>Разбивка_по_щитам!P247</f>
        <v/>
      </c>
      <c r="N247" s="20"/>
      <c r="P247" s="20"/>
      <c r="Q247" s="20"/>
      <c r="R247" s="20"/>
      <c r="S247" s="20"/>
      <c r="T247" s="20"/>
      <c r="U247" s="20"/>
    </row>
    <row r="248" spans="2:21" x14ac:dyDescent="0.25">
      <c r="B248" s="20">
        <f>Разбивка_по_щитам!B248</f>
      </c>
      <c r="C248" s="20">
        <f>Разбивка_по_щитам!C248</f>
      </c>
      <c r="D248" s="20">
        <f>Разбивка_по_щитам!F248</f>
      </c>
      <c r="E248" s="20">
        <f>Разбивка_по_щитам!H248</f>
      </c>
      <c r="F248" s="20">
        <f>Разбивка_по_щитам!I248</f>
      </c>
      <c r="G248" s="20">
        <f>Разбивка_по_щитам!J248</f>
        <v/>
      </c>
      <c r="H248" s="20">
        <f>Разбивка_по_щитам!K248</f>
        <v/>
      </c>
      <c r="I248" s="20">
        <f>Разбивка_по_щитам!L248</f>
        <v/>
      </c>
      <c r="J248" s="20">
        <f>Разбивка_по_щитам!M248</f>
        <v/>
      </c>
      <c r="K248" s="20">
        <f>Разбивка_по_щитам!N248</f>
        <v/>
      </c>
      <c r="L248" s="20"/>
      <c r="M248" s="20">
        <f>Разбивка_по_щитам!P248</f>
        <v/>
      </c>
      <c r="N248" s="20"/>
      <c r="P248" s="20"/>
      <c r="Q248" s="20"/>
      <c r="R248" s="20"/>
      <c r="S248" s="20"/>
      <c r="T248" s="20"/>
      <c r="U248" s="20"/>
    </row>
    <row r="249" spans="2:21" x14ac:dyDescent="0.25">
      <c r="B249" s="20">
        <f>Разбивка_по_щитам!B249</f>
      </c>
      <c r="C249" s="20">
        <f>Разбивка_по_щитам!C249</f>
      </c>
      <c r="D249" s="20">
        <f>Разбивка_по_щитам!F249</f>
      </c>
      <c r="E249" s="20">
        <f>Разбивка_по_щитам!H249</f>
      </c>
      <c r="F249" s="20">
        <f>Разбивка_по_щитам!I249</f>
      </c>
      <c r="G249" s="20">
        <f>Разбивка_по_щитам!J249</f>
        <v/>
      </c>
      <c r="H249" s="20">
        <f>Разбивка_по_щитам!K249</f>
        <v/>
      </c>
      <c r="I249" s="20">
        <f>Разбивка_по_щитам!L249</f>
        <v/>
      </c>
      <c r="J249" s="20">
        <f>Разбивка_по_щитам!M249</f>
        <v/>
      </c>
      <c r="K249" s="20">
        <f>Разбивка_по_щитам!N249</f>
        <v/>
      </c>
      <c r="L249" s="20"/>
      <c r="M249" s="20">
        <f>Разбивка_по_щитам!P249</f>
        <v/>
      </c>
      <c r="N249" s="20"/>
      <c r="P249" s="20"/>
      <c r="Q249" s="20"/>
      <c r="R249" s="20"/>
      <c r="S249" s="20"/>
      <c r="T249" s="20"/>
      <c r="U249" s="20"/>
    </row>
    <row r="250" spans="2:21" x14ac:dyDescent="0.25">
      <c r="B250" s="20">
        <f>Разбивка_по_щитам!B250</f>
      </c>
      <c r="C250" s="20">
        <f>Разбивка_по_щитам!C250</f>
      </c>
      <c r="D250" s="20">
        <f>Разбивка_по_щитам!F250</f>
      </c>
      <c r="E250" s="20">
        <f>Разбивка_по_щитам!H250</f>
      </c>
      <c r="F250" s="20">
        <f>Разбивка_по_щитам!I250</f>
      </c>
      <c r="G250" s="20">
        <f>Разбивка_по_щитам!J250</f>
        <v/>
      </c>
      <c r="H250" s="20">
        <f>Разбивка_по_щитам!K250</f>
        <v/>
      </c>
      <c r="I250" s="20">
        <f>Разбивка_по_щитам!L250</f>
        <v/>
      </c>
      <c r="J250" s="20">
        <f>Разбивка_по_щитам!M250</f>
        <v/>
      </c>
      <c r="K250" s="20">
        <f>Разбивка_по_щитам!N250</f>
        <v/>
      </c>
      <c r="L250" s="20"/>
      <c r="M250" s="20">
        <f>Разбивка_по_щитам!P250</f>
        <v/>
      </c>
      <c r="N250" s="20"/>
      <c r="P250" s="20"/>
      <c r="Q250" s="20"/>
      <c r="R250" s="20"/>
      <c r="S250" s="20"/>
      <c r="T250" s="20"/>
      <c r="U250" s="20"/>
    </row>
    <row r="251" spans="2:21" x14ac:dyDescent="0.25">
      <c r="B251" s="20">
        <f>Разбивка_по_щитам!B251</f>
      </c>
      <c r="C251" s="20">
        <f>Разбивка_по_щитам!C251</f>
      </c>
      <c r="D251" s="20">
        <f>Разбивка_по_щитам!F251</f>
      </c>
      <c r="E251" s="20">
        <f>Разбивка_по_щитам!H251</f>
      </c>
      <c r="F251" s="20">
        <f>Разбивка_по_щитам!I251</f>
      </c>
      <c r="G251" s="20">
        <f>Разбивка_по_щитам!J251</f>
        <v/>
      </c>
      <c r="H251" s="20">
        <f>Разбивка_по_щитам!K251</f>
        <v/>
      </c>
      <c r="I251" s="20">
        <f>Разбивка_по_щитам!L251</f>
        <v/>
      </c>
      <c r="J251" s="20">
        <f>Разбивка_по_щитам!M251</f>
        <v/>
      </c>
      <c r="K251" s="20">
        <f>Разбивка_по_щитам!N251</f>
        <v/>
      </c>
      <c r="L251" s="20"/>
      <c r="M251" s="20">
        <f>Разбивка_по_щитам!P251</f>
        <v/>
      </c>
      <c r="N251" s="20"/>
      <c r="P251" s="20"/>
      <c r="Q251" s="20"/>
      <c r="R251" s="20"/>
      <c r="S251" s="20"/>
      <c r="T251" s="20"/>
      <c r="U251" s="20"/>
    </row>
    <row r="252" spans="2:21" x14ac:dyDescent="0.25">
      <c r="B252" s="20">
        <f>Разбивка_по_щитам!B252</f>
      </c>
      <c r="C252" s="20">
        <f>Разбивка_по_щитам!C252</f>
      </c>
      <c r="D252" s="20">
        <f>Разбивка_по_щитам!F252</f>
      </c>
      <c r="E252" s="20">
        <f>Разбивка_по_щитам!H252</f>
      </c>
      <c r="F252" s="20">
        <f>Разбивка_по_щитам!I252</f>
      </c>
      <c r="G252" s="20">
        <f>Разбивка_по_щитам!J252</f>
        <v/>
      </c>
      <c r="H252" s="20">
        <f>Разбивка_по_щитам!K252</f>
        <v/>
      </c>
      <c r="I252" s="20">
        <f>Разбивка_по_щитам!L252</f>
        <v/>
      </c>
      <c r="J252" s="20">
        <f>Разбивка_по_щитам!M252</f>
        <v/>
      </c>
      <c r="K252" s="20">
        <f>Разбивка_по_щитам!N252</f>
        <v/>
      </c>
      <c r="L252" s="20"/>
      <c r="M252" s="20">
        <f>Разбивка_по_щитам!P252</f>
        <v/>
      </c>
      <c r="N252" s="20"/>
      <c r="P252" s="20"/>
      <c r="Q252" s="20"/>
      <c r="R252" s="20"/>
      <c r="S252" s="20"/>
      <c r="T252" s="20"/>
      <c r="U252" s="20"/>
    </row>
    <row r="253" spans="2:21" x14ac:dyDescent="0.25">
      <c r="B253" s="20">
        <f>Разбивка_по_щитам!B253</f>
      </c>
      <c r="C253" s="20">
        <f>Разбивка_по_щитам!C253</f>
      </c>
      <c r="D253" s="20">
        <f>Разбивка_по_щитам!F253</f>
      </c>
      <c r="E253" s="20">
        <f>Разбивка_по_щитам!H253</f>
      </c>
      <c r="F253" s="20">
        <f>Разбивка_по_щитам!I253</f>
      </c>
      <c r="G253" s="20">
        <f>Разбивка_по_щитам!J253</f>
        <v/>
      </c>
      <c r="H253" s="20">
        <f>Разбивка_по_щитам!K253</f>
        <v/>
      </c>
      <c r="I253" s="20">
        <f>Разбивка_по_щитам!L253</f>
        <v/>
      </c>
      <c r="J253" s="20">
        <f>Разбивка_по_щитам!M253</f>
        <v/>
      </c>
      <c r="K253" s="20">
        <f>Разбивка_по_щитам!N253</f>
        <v/>
      </c>
      <c r="L253" s="20"/>
      <c r="M253" s="20">
        <f>Разбивка_по_щитам!P253</f>
        <v/>
      </c>
      <c r="N253" s="20"/>
      <c r="P253" s="20"/>
      <c r="Q253" s="20"/>
      <c r="R253" s="20"/>
      <c r="S253" s="20"/>
      <c r="T253" s="20"/>
      <c r="U253" s="20"/>
    </row>
    <row r="254" spans="2:21" x14ac:dyDescent="0.25">
      <c r="B254" s="20">
        <f>Разбивка_по_щитам!B254</f>
      </c>
      <c r="C254" s="20">
        <f>Разбивка_по_щитам!C254</f>
      </c>
      <c r="D254" s="20">
        <f>Разбивка_по_щитам!F254</f>
      </c>
      <c r="E254" s="20">
        <f>Разбивка_по_щитам!H254</f>
      </c>
      <c r="F254" s="20">
        <f>Разбивка_по_щитам!I254</f>
      </c>
      <c r="G254" s="20">
        <f>Разбивка_по_щитам!J254</f>
        <v/>
      </c>
      <c r="H254" s="20">
        <f>Разбивка_по_щитам!K254</f>
        <v/>
      </c>
      <c r="I254" s="20">
        <f>Разбивка_по_щитам!L254</f>
        <v/>
      </c>
      <c r="J254" s="20">
        <f>Разбивка_по_щитам!M254</f>
        <v/>
      </c>
      <c r="K254" s="20">
        <f>Разбивка_по_щитам!N254</f>
        <v/>
      </c>
      <c r="L254" s="20"/>
      <c r="M254" s="20">
        <f>Разбивка_по_щитам!P254</f>
        <v/>
      </c>
      <c r="N254" s="20"/>
      <c r="P254" s="20"/>
      <c r="Q254" s="20"/>
      <c r="R254" s="20"/>
      <c r="S254" s="20"/>
      <c r="T254" s="20"/>
      <c r="U254" s="20"/>
    </row>
    <row r="255" spans="2:21" x14ac:dyDescent="0.25">
      <c r="B255" s="20">
        <f>Разбивка_по_щитам!B255</f>
      </c>
      <c r="C255" s="20">
        <f>Разбивка_по_щитам!C255</f>
      </c>
      <c r="D255" s="20">
        <f>Разбивка_по_щитам!F255</f>
      </c>
      <c r="E255" s="20">
        <f>Разбивка_по_щитам!H255</f>
      </c>
      <c r="F255" s="20">
        <f>Разбивка_по_щитам!I255</f>
      </c>
      <c r="G255" s="20">
        <f>Разбивка_по_щитам!J255</f>
        <v/>
      </c>
      <c r="H255" s="20">
        <f>Разбивка_по_щитам!K255</f>
        <v/>
      </c>
      <c r="I255" s="20">
        <f>Разбивка_по_щитам!L255</f>
        <v/>
      </c>
      <c r="J255" s="20">
        <f>Разбивка_по_щитам!M255</f>
        <v/>
      </c>
      <c r="K255" s="20">
        <f>Разбивка_по_щитам!N255</f>
        <v/>
      </c>
      <c r="L255" s="20"/>
      <c r="M255" s="20">
        <f>Разбивка_по_щитам!P255</f>
        <v/>
      </c>
      <c r="N255" s="20"/>
      <c r="P255" s="20"/>
      <c r="Q255" s="20"/>
      <c r="R255" s="20"/>
      <c r="S255" s="20"/>
      <c r="T255" s="20"/>
      <c r="U255" s="20"/>
    </row>
    <row r="256" spans="2:21" x14ac:dyDescent="0.25">
      <c r="B256" s="20">
        <f>Разбивка_по_щитам!B256</f>
      </c>
      <c r="C256" s="20">
        <f>Разбивка_по_щитам!C256</f>
      </c>
      <c r="D256" s="20">
        <f>Разбивка_по_щитам!F256</f>
      </c>
      <c r="E256" s="20">
        <f>Разбивка_по_щитам!H256</f>
      </c>
      <c r="F256" s="20">
        <f>Разбивка_по_щитам!I256</f>
      </c>
      <c r="G256" s="20">
        <f>Разбивка_по_щитам!J256</f>
        <v/>
      </c>
      <c r="H256" s="20">
        <f>Разбивка_по_щитам!K256</f>
        <v/>
      </c>
      <c r="I256" s="20">
        <f>Разбивка_по_щитам!L256</f>
        <v/>
      </c>
      <c r="J256" s="20">
        <f>Разбивка_по_щитам!M256</f>
        <v/>
      </c>
      <c r="K256" s="20">
        <f>Разбивка_по_щитам!N256</f>
        <v/>
      </c>
      <c r="L256" s="20"/>
      <c r="M256" s="20">
        <f>Разбивка_по_щитам!P256</f>
        <v/>
      </c>
      <c r="N256" s="20"/>
    </row>
    <row r="257" spans="2:14" x14ac:dyDescent="0.25">
      <c r="B257" s="20">
        <f>Разбивка_по_щитам!B257</f>
      </c>
      <c r="C257" s="20">
        <f>Разбивка_по_щитам!C257</f>
      </c>
      <c r="D257" s="20">
        <f>Разбивка_по_щитам!F257</f>
      </c>
      <c r="E257" s="20">
        <f>Разбивка_по_щитам!H257</f>
      </c>
      <c r="F257" s="20">
        <f>Разбивка_по_щитам!I257</f>
      </c>
      <c r="G257" s="20">
        <f>Разбивка_по_щитам!J257</f>
        <v/>
      </c>
      <c r="H257" s="20">
        <f>Разбивка_по_щитам!K257</f>
        <v/>
      </c>
      <c r="I257" s="20">
        <f>Разбивка_по_щитам!L257</f>
        <v/>
      </c>
      <c r="J257" s="20">
        <f>Разбивка_по_щитам!M257</f>
        <v/>
      </c>
      <c r="K257" s="20">
        <f>Разбивка_по_щитам!N257</f>
        <v/>
      </c>
      <c r="L257" s="20"/>
      <c r="M257" s="20">
        <f>Разбивка_по_щитам!P257</f>
        <v/>
      </c>
      <c r="N257" s="20"/>
    </row>
    <row r="258" spans="2:14" x14ac:dyDescent="0.25">
      <c r="B258" s="20">
        <f>Разбивка_по_щитам!B258</f>
      </c>
      <c r="C258" s="20">
        <f>Разбивка_по_щитам!C258</f>
      </c>
      <c r="D258" s="20">
        <f>Разбивка_по_щитам!F258</f>
      </c>
      <c r="E258" s="20">
        <f>Разбивка_по_щитам!H258</f>
      </c>
      <c r="F258" s="20">
        <f>Разбивка_по_щитам!I258</f>
      </c>
      <c r="G258" s="20">
        <f>Разбивка_по_щитам!J258</f>
        <v/>
      </c>
      <c r="H258" s="20">
        <f>Разбивка_по_щитам!K258</f>
        <v/>
      </c>
      <c r="I258" s="20">
        <f>Разбивка_по_щитам!L258</f>
        <v/>
      </c>
      <c r="J258" s="20">
        <f>Разбивка_по_щитам!M258</f>
        <v/>
      </c>
      <c r="K258" s="20">
        <f>Разбивка_по_щитам!N258</f>
        <v/>
      </c>
      <c r="L258" s="20"/>
      <c r="M258" s="20">
        <f>Разбивка_по_щитам!P258</f>
        <v/>
      </c>
      <c r="N258" s="20"/>
    </row>
    <row r="259" spans="2:14" x14ac:dyDescent="0.25">
      <c r="B259" s="20">
        <f>Разбивка_по_щитам!B259</f>
      </c>
      <c r="C259" s="20">
        <f>Разбивка_по_щитам!C259</f>
      </c>
      <c r="D259" s="20">
        <f>Разбивка_по_щитам!F259</f>
      </c>
      <c r="E259" s="20">
        <f>Разбивка_по_щитам!H259</f>
      </c>
      <c r="F259" s="20">
        <f>Разбивка_по_щитам!I259</f>
      </c>
      <c r="G259" s="20">
        <f>Разбивка_по_щитам!J259</f>
        <v/>
      </c>
      <c r="H259" s="20">
        <f>Разбивка_по_щитам!K259</f>
        <v/>
      </c>
      <c r="I259" s="20">
        <f>Разбивка_по_щитам!L259</f>
        <v/>
      </c>
      <c r="J259" s="20">
        <f>Разбивка_по_щитам!M259</f>
        <v/>
      </c>
      <c r="K259" s="20">
        <f>Разбивка_по_щитам!N259</f>
        <v/>
      </c>
      <c r="L259" s="20"/>
      <c r="M259" s="20">
        <f>Разбивка_по_щитам!P259</f>
        <v/>
      </c>
      <c r="N259" s="20"/>
    </row>
    <row r="260" spans="2:14" x14ac:dyDescent="0.25">
      <c r="B260" s="20">
        <f>Разбивка_по_щитам!B260</f>
      </c>
      <c r="C260" s="20">
        <f>Разбивка_по_щитам!C260</f>
      </c>
      <c r="D260" s="20">
        <f>Разбивка_по_щитам!F260</f>
      </c>
      <c r="E260" s="20">
        <f>Разбивка_по_щитам!H260</f>
      </c>
      <c r="F260" s="20">
        <f>Разбивка_по_щитам!I260</f>
      </c>
      <c r="G260" s="20">
        <f>Разбивка_по_щитам!J260</f>
        <v/>
      </c>
      <c r="H260" s="20">
        <f>Разбивка_по_щитам!K260</f>
        <v/>
      </c>
      <c r="I260" s="20">
        <f>Разбивка_по_щитам!L260</f>
        <v/>
      </c>
      <c r="J260" s="20">
        <f>Разбивка_по_щитам!M260</f>
        <v/>
      </c>
      <c r="K260" s="20">
        <f>Разбивка_по_щитам!N260</f>
        <v/>
      </c>
      <c r="L260" s="20"/>
      <c r="M260" s="20">
        <f>Разбивка_по_щитам!P260</f>
        <v/>
      </c>
      <c r="N260" s="20"/>
    </row>
    <row r="261" spans="2:14" x14ac:dyDescent="0.25">
      <c r="B261" s="20">
        <f>Разбивка_по_щитам!B261</f>
      </c>
      <c r="C261" s="20">
        <f>Разбивка_по_щитам!C261</f>
      </c>
      <c r="D261" s="20">
        <f>Разбивка_по_щитам!F261</f>
      </c>
      <c r="E261" s="20">
        <f>Разбивка_по_щитам!H261</f>
      </c>
      <c r="F261" s="20">
        <f>Разбивка_по_щитам!I261</f>
      </c>
      <c r="G261" s="20">
        <f>Разбивка_по_щитам!J261</f>
        <v/>
      </c>
      <c r="H261" s="20">
        <f>Разбивка_по_щитам!K261</f>
        <v/>
      </c>
      <c r="I261" s="20">
        <f>Разбивка_по_щитам!L261</f>
        <v/>
      </c>
      <c r="J261" s="20">
        <f>Разбивка_по_щитам!M261</f>
        <v/>
      </c>
      <c r="K261" s="20">
        <f>Разбивка_по_щитам!N261</f>
        <v/>
      </c>
      <c r="L261" s="20"/>
      <c r="M261" s="20">
        <f>Разбивка_по_щитам!P261</f>
        <v/>
      </c>
      <c r="N261" s="20"/>
    </row>
    <row r="262" spans="2:14" x14ac:dyDescent="0.25">
      <c r="B262" s="20">
        <f>Разбивка_по_щитам!B262</f>
      </c>
      <c r="C262" s="20">
        <f>Разбивка_по_щитам!C262</f>
      </c>
      <c r="D262" s="20">
        <f>Разбивка_по_щитам!F262</f>
      </c>
      <c r="E262" s="20">
        <f>Разбивка_по_щитам!H262</f>
      </c>
      <c r="F262" s="20">
        <f>Разбивка_по_щитам!I262</f>
      </c>
      <c r="G262" s="20">
        <f>Разбивка_по_щитам!J262</f>
        <v/>
      </c>
      <c r="H262" s="20">
        <f>Разбивка_по_щитам!K262</f>
        <v/>
      </c>
      <c r="I262" s="20">
        <f>Разбивка_по_щитам!L262</f>
        <v/>
      </c>
      <c r="J262" s="20">
        <f>Разбивка_по_щитам!M262</f>
        <v/>
      </c>
      <c r="K262" s="20">
        <f>Разбивка_по_щитам!N262</f>
        <v/>
      </c>
      <c r="L262" s="20"/>
      <c r="M262" s="20">
        <f>Разбивка_по_щитам!P262</f>
        <v/>
      </c>
      <c r="N262" s="20"/>
    </row>
    <row r="263" spans="2:14" x14ac:dyDescent="0.25">
      <c r="B263" s="20">
        <f>Разбивка_по_щитам!B263</f>
      </c>
      <c r="C263" s="20">
        <f>Разбивка_по_щитам!C263</f>
      </c>
      <c r="D263" s="20">
        <f>Разбивка_по_щитам!F263</f>
      </c>
      <c r="E263" s="20">
        <f>Разбивка_по_щитам!H263</f>
      </c>
      <c r="F263" s="20">
        <f>Разбивка_по_щитам!I263</f>
      </c>
      <c r="G263" s="20">
        <f>Разбивка_по_щитам!J263</f>
        <v/>
      </c>
      <c r="H263" s="20">
        <f>Разбивка_по_щитам!K263</f>
        <v/>
      </c>
      <c r="I263" s="20">
        <f>Разбивка_по_щитам!L263</f>
        <v/>
      </c>
      <c r="J263" s="20">
        <f>Разбивка_по_щитам!M263</f>
        <v/>
      </c>
      <c r="K263" s="20">
        <f>Разбивка_по_щитам!N263</f>
        <v/>
      </c>
      <c r="L263" s="20"/>
      <c r="M263" s="20">
        <f>Разбивка_по_щитам!P263</f>
        <v/>
      </c>
      <c r="N263" s="20"/>
    </row>
    <row r="264" spans="2:14" x14ac:dyDescent="0.25">
      <c r="B264" s="20">
        <f>Разбивка_по_щитам!B264</f>
      </c>
      <c r="C264" s="20">
        <f>Разбивка_по_щитам!C264</f>
      </c>
      <c r="D264" s="20">
        <f>Разбивка_по_щитам!F264</f>
      </c>
      <c r="E264" s="20">
        <f>Разбивка_по_щитам!H264</f>
      </c>
      <c r="F264" s="20">
        <f>Разбивка_по_щитам!I264</f>
      </c>
      <c r="G264" s="20">
        <f>Разбивка_по_щитам!J264</f>
        <v/>
      </c>
      <c r="H264" s="20">
        <f>Разбивка_по_щитам!K264</f>
        <v/>
      </c>
      <c r="I264" s="20">
        <f>Разбивка_по_щитам!L264</f>
        <v/>
      </c>
      <c r="J264" s="20">
        <f>Разбивка_по_щитам!M264</f>
        <v/>
      </c>
      <c r="K264" s="20">
        <f>Разбивка_по_щитам!N264</f>
        <v/>
      </c>
      <c r="L264" s="20"/>
      <c r="M264" s="20">
        <f>Разбивка_по_щитам!P264</f>
        <v/>
      </c>
      <c r="N264" s="20"/>
    </row>
    <row r="265" spans="2:14" x14ac:dyDescent="0.25">
      <c r="B265" s="20">
        <f>Разбивка_по_щитам!B265</f>
      </c>
      <c r="C265" s="20">
        <f>Разбивка_по_щитам!C265</f>
      </c>
      <c r="D265" s="20">
        <f>Разбивка_по_щитам!F265</f>
      </c>
      <c r="E265" s="20">
        <f>Разбивка_по_щитам!H265</f>
      </c>
      <c r="F265" s="20">
        <f>Разбивка_по_щитам!I265</f>
      </c>
      <c r="G265" s="20">
        <f>Разбивка_по_щитам!J265</f>
        <v/>
      </c>
      <c r="H265" s="20">
        <f>Разбивка_по_щитам!K265</f>
        <v/>
      </c>
      <c r="I265" s="20">
        <f>Разбивка_по_щитам!L265</f>
        <v/>
      </c>
      <c r="J265" s="20">
        <f>Разбивка_по_щитам!M265</f>
        <v/>
      </c>
      <c r="K265" s="20">
        <f>Разбивка_по_щитам!N265</f>
        <v/>
      </c>
      <c r="L265" s="20"/>
      <c r="M265" s="20">
        <f>Разбивка_по_щитам!P265</f>
        <v/>
      </c>
      <c r="N265" s="20"/>
    </row>
    <row r="266" spans="2:14" x14ac:dyDescent="0.25">
      <c r="B266" s="20">
        <f>Разбивка_по_щитам!B266</f>
      </c>
      <c r="C266" s="20">
        <f>Разбивка_по_щитам!C266</f>
      </c>
      <c r="D266" s="20">
        <f>Разбивка_по_щитам!F266</f>
      </c>
      <c r="E266" s="20">
        <f>Разбивка_по_щитам!H266</f>
      </c>
      <c r="F266" s="20">
        <f>Разбивка_по_щитам!I266</f>
      </c>
      <c r="G266" s="20">
        <f>Разбивка_по_щитам!J266</f>
        <v/>
      </c>
      <c r="H266" s="20">
        <f>Разбивка_по_щитам!K266</f>
        <v/>
      </c>
      <c r="I266" s="20">
        <f>Разбивка_по_щитам!L266</f>
        <v/>
      </c>
      <c r="J266" s="20">
        <f>Разбивка_по_щитам!M266</f>
        <v/>
      </c>
      <c r="K266" s="20">
        <f>Разбивка_по_щитам!N266</f>
        <v/>
      </c>
      <c r="L266" s="20"/>
      <c r="M266" s="20">
        <f>Разбивка_по_щитам!P266</f>
        <v/>
      </c>
      <c r="N266" s="20"/>
    </row>
    <row r="267" spans="2:14" x14ac:dyDescent="0.25">
      <c r="B267" s="20">
        <f>Разбивка_по_щитам!B267</f>
      </c>
      <c r="C267" s="20">
        <f>Разбивка_по_щитам!C267</f>
      </c>
      <c r="D267" s="20">
        <f>Разбивка_по_щитам!F267</f>
      </c>
      <c r="E267" s="20">
        <f>Разбивка_по_щитам!H267</f>
      </c>
      <c r="F267" s="20">
        <f>Разбивка_по_щитам!I267</f>
      </c>
      <c r="G267" s="20">
        <f>Разбивка_по_щитам!J267</f>
        <v/>
      </c>
      <c r="H267" s="20">
        <f>Разбивка_по_щитам!K267</f>
        <v/>
      </c>
      <c r="I267" s="20">
        <f>Разбивка_по_щитам!L267</f>
        <v/>
      </c>
      <c r="J267" s="20">
        <f>Разбивка_по_щитам!M267</f>
        <v/>
      </c>
      <c r="K267" s="20">
        <f>Разбивка_по_щитам!N267</f>
        <v/>
      </c>
      <c r="L267" s="20"/>
      <c r="M267" s="20">
        <f>Разбивка_по_щитам!P267</f>
        <v/>
      </c>
      <c r="N267" s="20"/>
    </row>
    <row r="268" spans="2:14" x14ac:dyDescent="0.25">
      <c r="B268" s="20">
        <f>Разбивка_по_щитам!B268</f>
      </c>
      <c r="C268" s="20">
        <f>Разбивка_по_щитам!C268</f>
      </c>
      <c r="D268" s="20">
        <f>Разбивка_по_щитам!F268</f>
      </c>
      <c r="E268" s="20">
        <f>Разбивка_по_щитам!H268</f>
      </c>
      <c r="F268" s="20">
        <f>Разбивка_по_щитам!I268</f>
      </c>
      <c r="G268" s="20">
        <f>Разбивка_по_щитам!J268</f>
        <v/>
      </c>
      <c r="H268" s="20">
        <f>Разбивка_по_щитам!K268</f>
        <v/>
      </c>
      <c r="I268" s="20">
        <f>Разбивка_по_щитам!L268</f>
        <v/>
      </c>
      <c r="J268" s="20">
        <f>Разбивка_по_щитам!M268</f>
        <v/>
      </c>
      <c r="K268" s="20">
        <f>Разбивка_по_щитам!N268</f>
        <v/>
      </c>
      <c r="L268" s="20"/>
      <c r="M268" s="20">
        <f>Разбивка_по_щитам!P268</f>
        <v/>
      </c>
      <c r="N268" s="20"/>
    </row>
    <row r="269" spans="2:14" x14ac:dyDescent="0.25">
      <c r="B269" s="20">
        <f>Разбивка_по_щитам!B269</f>
      </c>
      <c r="C269" s="20">
        <f>Разбивка_по_щитам!C269</f>
      </c>
      <c r="D269" s="20">
        <f>Разбивка_по_щитам!F269</f>
      </c>
      <c r="E269" s="20">
        <f>Разбивка_по_щитам!H269</f>
      </c>
      <c r="F269" s="20">
        <f>Разбивка_по_щитам!I269</f>
      </c>
      <c r="G269" s="20">
        <f>Разбивка_по_щитам!J269</f>
        <v/>
      </c>
      <c r="H269" s="20">
        <f>Разбивка_по_щитам!K269</f>
        <v/>
      </c>
      <c r="I269" s="20">
        <f>Разбивка_по_щитам!L269</f>
        <v/>
      </c>
      <c r="J269" s="20">
        <f>Разбивка_по_щитам!M269</f>
        <v/>
      </c>
      <c r="K269" s="20">
        <f>Разбивка_по_щитам!N269</f>
        <v/>
      </c>
      <c r="L269" s="20"/>
      <c r="M269" s="20">
        <f>Разбивка_по_щитам!P269</f>
        <v/>
      </c>
      <c r="N269" s="20"/>
    </row>
    <row r="270" spans="2:14" x14ac:dyDescent="0.25">
      <c r="B270" s="20">
        <f>Разбивка_по_щитам!B270</f>
      </c>
      <c r="C270" s="20">
        <f>Разбивка_по_щитам!C270</f>
      </c>
      <c r="D270" s="20">
        <f>Разбивка_по_щитам!F270</f>
      </c>
      <c r="E270" s="20">
        <f>Разбивка_по_щитам!H270</f>
      </c>
      <c r="F270" s="20">
        <f>Разбивка_по_щитам!I270</f>
      </c>
      <c r="G270" s="20">
        <f>Разбивка_по_щитам!J270</f>
        <v/>
      </c>
      <c r="H270" s="20">
        <f>Разбивка_по_щитам!K270</f>
        <v/>
      </c>
      <c r="I270" s="20">
        <f>Разбивка_по_щитам!L270</f>
        <v/>
      </c>
      <c r="J270" s="20">
        <f>Разбивка_по_щитам!M270</f>
        <v/>
      </c>
      <c r="K270" s="20">
        <f>Разбивка_по_щитам!N270</f>
        <v/>
      </c>
      <c r="L270" s="20"/>
      <c r="M270" s="20">
        <f>Разбивка_по_щитам!P270</f>
        <v/>
      </c>
      <c r="N270" s="20"/>
    </row>
    <row r="271" spans="2:14" x14ac:dyDescent="0.25">
      <c r="B271" s="20">
        <f>Разбивка_по_щитам!B271</f>
      </c>
      <c r="C271" s="20">
        <f>Разбивка_по_щитам!C271</f>
      </c>
      <c r="D271" s="20">
        <f>Разбивка_по_щитам!F271</f>
      </c>
      <c r="E271" s="20">
        <f>Разбивка_по_щитам!H271</f>
      </c>
      <c r="F271" s="20">
        <f>Разбивка_по_щитам!I271</f>
      </c>
      <c r="G271" s="20">
        <f>Разбивка_по_щитам!J271</f>
        <v/>
      </c>
      <c r="H271" s="20">
        <f>Разбивка_по_щитам!K271</f>
        <v/>
      </c>
      <c r="I271" s="20">
        <f>Разбивка_по_щитам!L271</f>
        <v/>
      </c>
      <c r="J271" s="20">
        <f>Разбивка_по_щитам!M271</f>
        <v/>
      </c>
      <c r="K271" s="20">
        <f>Разбивка_по_щитам!N271</f>
        <v/>
      </c>
      <c r="L271" s="20"/>
      <c r="M271" s="20">
        <f>Разбивка_по_щитам!P271</f>
        <v/>
      </c>
      <c r="N271" s="20"/>
    </row>
    <row r="272" spans="2:14" x14ac:dyDescent="0.25">
      <c r="B272" s="20">
        <f>Разбивка_по_щитам!B272</f>
      </c>
      <c r="C272" s="20">
        <f>Разбивка_по_щитам!C272</f>
      </c>
      <c r="D272" s="20">
        <f>Разбивка_по_щитам!F272</f>
      </c>
      <c r="E272" s="20">
        <f>Разбивка_по_щитам!H272</f>
      </c>
      <c r="F272" s="20">
        <f>Разбивка_по_щитам!I272</f>
      </c>
      <c r="G272" s="20">
        <f>Разбивка_по_щитам!J272</f>
        <v/>
      </c>
      <c r="H272" s="20">
        <f>Разбивка_по_щитам!K272</f>
        <v/>
      </c>
      <c r="I272" s="20">
        <f>Разбивка_по_щитам!L272</f>
        <v/>
      </c>
      <c r="J272" s="20">
        <f>Разбивка_по_щитам!M272</f>
        <v/>
      </c>
      <c r="K272" s="20">
        <f>Разбивка_по_щитам!N272</f>
        <v/>
      </c>
      <c r="L272" s="20"/>
      <c r="M272" s="20">
        <f>Разбивка_по_щитам!P272</f>
        <v/>
      </c>
      <c r="N272" s="20"/>
    </row>
    <row r="273" spans="2:14" x14ac:dyDescent="0.25">
      <c r="B273" s="20">
        <f>Разбивка_по_щитам!B273</f>
      </c>
      <c r="C273" s="20">
        <f>Разбивка_по_щитам!C273</f>
      </c>
      <c r="D273" s="20">
        <f>Разбивка_по_щитам!F273</f>
      </c>
      <c r="E273" s="20">
        <f>Разбивка_по_щитам!H273</f>
      </c>
      <c r="F273" s="20">
        <f>Разбивка_по_щитам!I273</f>
      </c>
      <c r="G273" s="20">
        <f>Разбивка_по_щитам!J273</f>
        <v/>
      </c>
      <c r="H273" s="20">
        <f>Разбивка_по_щитам!K273</f>
        <v/>
      </c>
      <c r="I273" s="20">
        <f>Разбивка_по_щитам!L273</f>
        <v/>
      </c>
      <c r="J273" s="20">
        <f>Разбивка_по_щитам!M273</f>
        <v/>
      </c>
      <c r="K273" s="20">
        <f>Разбивка_по_щитам!N273</f>
        <v/>
      </c>
      <c r="L273" s="20"/>
      <c r="M273" s="20">
        <f>Разбивка_по_щитам!P273</f>
        <v/>
      </c>
      <c r="N273" s="20"/>
    </row>
    <row r="274" spans="2:14" x14ac:dyDescent="0.25">
      <c r="B274" s="20">
        <f>Разбивка_по_щитам!B274</f>
      </c>
      <c r="C274" s="20">
        <f>Разбивка_по_щитам!C274</f>
      </c>
      <c r="D274" s="20">
        <f>Разбивка_по_щитам!F274</f>
      </c>
      <c r="E274" s="20">
        <f>Разбивка_по_щитам!H274</f>
      </c>
      <c r="F274" s="20">
        <f>Разбивка_по_щитам!I274</f>
      </c>
      <c r="G274" s="20">
        <f>Разбивка_по_щитам!J274</f>
        <v/>
      </c>
      <c r="H274" s="20">
        <f>Разбивка_по_щитам!K274</f>
        <v/>
      </c>
      <c r="I274" s="20">
        <f>Разбивка_по_щитам!L274</f>
        <v/>
      </c>
      <c r="J274" s="20">
        <f>Разбивка_по_щитам!M274</f>
        <v/>
      </c>
      <c r="K274" s="20">
        <f>Разбивка_по_щитам!N274</f>
        <v/>
      </c>
      <c r="L274" s="20"/>
      <c r="M274" s="20">
        <f>Разбивка_по_щитам!P274</f>
        <v/>
      </c>
      <c r="N274" s="20"/>
    </row>
    <row r="275" spans="2:14" x14ac:dyDescent="0.25">
      <c r="B275" s="20">
        <f>Разбивка_по_щитам!B275</f>
      </c>
      <c r="C275" s="20">
        <f>Разбивка_по_щитам!C275</f>
      </c>
      <c r="D275" s="20">
        <f>Разбивка_по_щитам!F275</f>
      </c>
      <c r="E275" s="20">
        <f>Разбивка_по_щитам!H275</f>
      </c>
      <c r="F275" s="20">
        <f>Разбивка_по_щитам!I275</f>
      </c>
      <c r="G275" s="20">
        <f>Разбивка_по_щитам!J275</f>
        <v/>
      </c>
      <c r="H275" s="20">
        <f>Разбивка_по_щитам!K275</f>
        <v/>
      </c>
      <c r="I275" s="20">
        <f>Разбивка_по_щитам!L275</f>
        <v/>
      </c>
      <c r="J275" s="20">
        <f>Разбивка_по_щитам!M275</f>
        <v/>
      </c>
      <c r="K275" s="20">
        <f>Разбивка_по_щитам!N275</f>
        <v/>
      </c>
      <c r="L275" s="20"/>
      <c r="M275" s="20">
        <f>Разбивка_по_щитам!P275</f>
        <v/>
      </c>
      <c r="N275" s="20"/>
    </row>
    <row r="276" spans="2:14" x14ac:dyDescent="0.25">
      <c r="B276" s="20">
        <f>Разбивка_по_щитам!B276</f>
      </c>
      <c r="C276" s="20">
        <f>Разбивка_по_щитам!C276</f>
      </c>
      <c r="D276" s="20">
        <f>Разбивка_по_щитам!F276</f>
      </c>
      <c r="E276" s="20">
        <f>Разбивка_по_щитам!H276</f>
      </c>
      <c r="F276" s="20">
        <f>Разбивка_по_щитам!I276</f>
      </c>
      <c r="G276" s="20">
        <f>Разбивка_по_щитам!J276</f>
        <v/>
      </c>
      <c r="H276" s="20">
        <f>Разбивка_по_щитам!K276</f>
        <v/>
      </c>
      <c r="I276" s="20">
        <f>Разбивка_по_щитам!L276</f>
        <v/>
      </c>
      <c r="J276" s="20">
        <f>Разбивка_по_щитам!M276</f>
        <v/>
      </c>
      <c r="K276" s="20">
        <f>Разбивка_по_щитам!N276</f>
        <v/>
      </c>
      <c r="L276" s="20"/>
      <c r="M276" s="20">
        <f>Разбивка_по_щитам!P276</f>
        <v/>
      </c>
      <c r="N276" s="20"/>
    </row>
    <row r="277" spans="2:14" x14ac:dyDescent="0.25">
      <c r="B277" s="20">
        <f>Разбивка_по_щитам!B277</f>
      </c>
      <c r="C277" s="20">
        <f>Разбивка_по_щитам!C277</f>
      </c>
      <c r="D277" s="20">
        <f>Разбивка_по_щитам!F277</f>
      </c>
      <c r="E277" s="20">
        <f>Разбивка_по_щитам!H277</f>
      </c>
      <c r="F277" s="20">
        <f>Разбивка_по_щитам!I277</f>
      </c>
      <c r="G277" s="20">
        <f>Разбивка_по_щитам!J277</f>
        <v/>
      </c>
      <c r="H277" s="20">
        <f>Разбивка_по_щитам!K277</f>
        <v/>
      </c>
      <c r="I277" s="20">
        <f>Разбивка_по_щитам!L277</f>
        <v/>
      </c>
      <c r="J277" s="20">
        <f>Разбивка_по_щитам!M277</f>
        <v/>
      </c>
      <c r="K277" s="20">
        <f>Разбивка_по_щитам!N277</f>
        <v/>
      </c>
      <c r="L277" s="20"/>
      <c r="M277" s="20">
        <f>Разбивка_по_щитам!P277</f>
        <v/>
      </c>
      <c r="N277" s="20"/>
    </row>
    <row r="278" spans="2:14" x14ac:dyDescent="0.25">
      <c r="B278" s="20">
        <f>Разбивка_по_щитам!B278</f>
      </c>
      <c r="C278" s="20">
        <f>Разбивка_по_щитам!C278</f>
      </c>
      <c r="D278" s="20">
        <f>Разбивка_по_щитам!F278</f>
      </c>
      <c r="E278" s="20">
        <f>Разбивка_по_щитам!H278</f>
      </c>
      <c r="F278" s="20">
        <f>Разбивка_по_щитам!I278</f>
      </c>
      <c r="G278" s="20">
        <f>Разбивка_по_щитам!J278</f>
        <v/>
      </c>
      <c r="H278" s="20">
        <f>Разбивка_по_щитам!K278</f>
        <v/>
      </c>
      <c r="I278" s="20">
        <f>Разбивка_по_щитам!L278</f>
        <v/>
      </c>
      <c r="J278" s="20">
        <f>Разбивка_по_щитам!M278</f>
        <v/>
      </c>
      <c r="K278" s="20">
        <f>Разбивка_по_щитам!N278</f>
        <v/>
      </c>
      <c r="L278" s="20"/>
      <c r="M278" s="20">
        <f>Разбивка_по_щитам!P278</f>
        <v/>
      </c>
      <c r="N278" s="20"/>
    </row>
    <row r="279" spans="2:14" x14ac:dyDescent="0.25">
      <c r="B279" s="20">
        <f>Разбивка_по_щитам!B279</f>
      </c>
      <c r="C279" s="20">
        <f>Разбивка_по_щитам!C279</f>
      </c>
      <c r="D279" s="20">
        <f>Разбивка_по_щитам!F279</f>
      </c>
      <c r="E279" s="20">
        <f>Разбивка_по_щитам!H279</f>
      </c>
      <c r="F279" s="20">
        <f>Разбивка_по_щитам!I279</f>
      </c>
      <c r="G279" s="20">
        <f>Разбивка_по_щитам!J279</f>
        <v/>
      </c>
      <c r="H279" s="20">
        <f>Разбивка_по_щитам!K279</f>
        <v/>
      </c>
      <c r="I279" s="20">
        <f>Разбивка_по_щитам!L279</f>
        <v/>
      </c>
      <c r="J279" s="20">
        <f>Разбивка_по_щитам!M279</f>
        <v/>
      </c>
      <c r="K279" s="20">
        <f>Разбивка_по_щитам!N279</f>
        <v/>
      </c>
      <c r="L279" s="20"/>
      <c r="M279" s="20">
        <f>Разбивка_по_щитам!P279</f>
        <v/>
      </c>
      <c r="N279" s="20"/>
    </row>
    <row r="280" spans="2:14" x14ac:dyDescent="0.25">
      <c r="B280" s="20">
        <f>Разбивка_по_щитам!B280</f>
      </c>
      <c r="C280" s="20">
        <f>Разбивка_по_щитам!C280</f>
      </c>
      <c r="D280" s="20">
        <f>Разбивка_по_щитам!F280</f>
      </c>
      <c r="E280" s="20">
        <f>Разбивка_по_щитам!H280</f>
      </c>
      <c r="F280" s="20">
        <f>Разбивка_по_щитам!I280</f>
      </c>
      <c r="G280" s="20">
        <f>Разбивка_по_щитам!J280</f>
        <v/>
      </c>
      <c r="H280" s="20">
        <f>Разбивка_по_щитам!K280</f>
        <v/>
      </c>
      <c r="I280" s="20">
        <f>Разбивка_по_щитам!L280</f>
        <v/>
      </c>
      <c r="J280" s="20">
        <f>Разбивка_по_щитам!M280</f>
        <v/>
      </c>
      <c r="K280" s="20">
        <f>Разбивка_по_щитам!N280</f>
        <v/>
      </c>
      <c r="L280" s="20"/>
      <c r="M280" s="20">
        <f>Разбивка_по_щитам!P280</f>
        <v/>
      </c>
      <c r="N280" s="20"/>
    </row>
    <row r="281" spans="2:14" x14ac:dyDescent="0.25">
      <c r="B281" s="20">
        <f>Разбивка_по_щитам!B281</f>
      </c>
      <c r="C281" s="20">
        <f>Разбивка_по_щитам!C281</f>
      </c>
      <c r="D281" s="20">
        <f>Разбивка_по_щитам!F281</f>
      </c>
      <c r="E281" s="20">
        <f>Разбивка_по_щитам!H281</f>
      </c>
      <c r="F281" s="20">
        <f>Разбивка_по_щитам!I281</f>
      </c>
      <c r="G281" s="20">
        <f>Разбивка_по_щитам!J281</f>
        <v/>
      </c>
      <c r="H281" s="20">
        <f>Разбивка_по_щитам!K281</f>
        <v/>
      </c>
      <c r="I281" s="20">
        <f>Разбивка_по_щитам!L281</f>
        <v/>
      </c>
      <c r="J281" s="20">
        <f>Разбивка_по_щитам!M281</f>
        <v/>
      </c>
      <c r="K281" s="20">
        <f>Разбивка_по_щитам!N281</f>
        <v/>
      </c>
      <c r="L281" s="20"/>
      <c r="M281" s="20">
        <f>Разбивка_по_щитам!P281</f>
        <v/>
      </c>
      <c r="N281" s="20"/>
    </row>
    <row r="282" spans="2:14" x14ac:dyDescent="0.25">
      <c r="B282" s="20">
        <f>Разбивка_по_щитам!B282</f>
      </c>
      <c r="C282" s="20">
        <f>Разбивка_по_щитам!C282</f>
      </c>
      <c r="D282" s="20">
        <f>Разбивка_по_щитам!F282</f>
      </c>
      <c r="E282" s="20">
        <f>Разбивка_по_щитам!H282</f>
      </c>
      <c r="F282" s="20">
        <f>Разбивка_по_щитам!I282</f>
      </c>
      <c r="G282" s="20">
        <f>Разбивка_по_щитам!J282</f>
        <v/>
      </c>
      <c r="H282" s="20">
        <f>Разбивка_по_щитам!K282</f>
        <v/>
      </c>
      <c r="I282" s="20">
        <f>Разбивка_по_щитам!L282</f>
        <v/>
      </c>
      <c r="J282" s="20">
        <f>Разбивка_по_щитам!M282</f>
        <v/>
      </c>
      <c r="K282" s="20">
        <f>Разбивка_по_щитам!N282</f>
        <v/>
      </c>
      <c r="L282" s="20"/>
      <c r="M282" s="20">
        <f>Разбивка_по_щитам!P282</f>
        <v/>
      </c>
      <c r="N282" s="20"/>
    </row>
    <row r="283" spans="2:14" x14ac:dyDescent="0.25">
      <c r="B283" s="20">
        <f>Разбивка_по_щитам!B283</f>
      </c>
      <c r="C283" s="20">
        <f>Разбивка_по_щитам!C283</f>
      </c>
      <c r="D283" s="20">
        <f>Разбивка_по_щитам!F283</f>
      </c>
      <c r="E283" s="20">
        <f>Разбивка_по_щитам!H283</f>
      </c>
      <c r="F283" s="20">
        <f>Разбивка_по_щитам!I283</f>
      </c>
      <c r="G283" s="20">
        <f>Разбивка_по_щитам!J283</f>
        <v/>
      </c>
      <c r="H283" s="20">
        <f>Разбивка_по_щитам!K283</f>
        <v/>
      </c>
      <c r="I283" s="20">
        <f>Разбивка_по_щитам!L283</f>
        <v/>
      </c>
      <c r="J283" s="20">
        <f>Разбивка_по_щитам!M283</f>
        <v/>
      </c>
      <c r="K283" s="20">
        <f>Разбивка_по_щитам!N283</f>
        <v/>
      </c>
      <c r="L283" s="20"/>
      <c r="M283" s="20">
        <f>Разбивка_по_щитам!P283</f>
        <v/>
      </c>
      <c r="N283" s="20"/>
    </row>
    <row r="284" spans="2:14" x14ac:dyDescent="0.25">
      <c r="B284" s="20">
        <f>Разбивка_по_щитам!B284</f>
      </c>
      <c r="C284" s="20">
        <f>Разбивка_по_щитам!C284</f>
      </c>
      <c r="D284" s="20">
        <f>Разбивка_по_щитам!F284</f>
      </c>
      <c r="E284" s="20">
        <f>Разбивка_по_щитам!H284</f>
      </c>
      <c r="F284" s="20">
        <f>Разбивка_по_щитам!I284</f>
      </c>
      <c r="G284" s="20">
        <f>Разбивка_по_щитам!J284</f>
        <v/>
      </c>
      <c r="H284" s="20">
        <f>Разбивка_по_щитам!K284</f>
        <v/>
      </c>
      <c r="I284" s="20">
        <f>Разбивка_по_щитам!L284</f>
        <v/>
      </c>
      <c r="J284" s="20">
        <f>Разбивка_по_щитам!M284</f>
        <v/>
      </c>
      <c r="K284" s="20">
        <f>Разбивка_по_щитам!N284</f>
        <v/>
      </c>
      <c r="L284" s="20"/>
      <c r="M284" s="20">
        <f>Разбивка_по_щитам!P284</f>
        <v/>
      </c>
      <c r="N284" s="20"/>
    </row>
    <row r="285" spans="2:14" x14ac:dyDescent="0.25">
      <c r="B285" s="20">
        <f>Разбивка_по_щитам!B285</f>
      </c>
      <c r="C285" s="20">
        <f>Разбивка_по_щитам!C285</f>
      </c>
      <c r="D285" s="20">
        <f>Разбивка_по_щитам!F285</f>
      </c>
      <c r="E285" s="20">
        <f>Разбивка_по_щитам!H285</f>
      </c>
      <c r="F285" s="20">
        <f>Разбивка_по_щитам!I285</f>
      </c>
      <c r="G285" s="20">
        <f>Разбивка_по_щитам!J285</f>
        <v/>
      </c>
      <c r="H285" s="20">
        <f>Разбивка_по_щитам!K285</f>
        <v/>
      </c>
      <c r="I285" s="20">
        <f>Разбивка_по_щитам!L285</f>
        <v/>
      </c>
      <c r="J285" s="20">
        <f>Разбивка_по_щитам!M285</f>
        <v/>
      </c>
      <c r="K285" s="20">
        <f>Разбивка_по_щитам!N285</f>
        <v/>
      </c>
      <c r="L285" s="20"/>
      <c r="M285" s="20">
        <f>Разбивка_по_щитам!P285</f>
        <v/>
      </c>
      <c r="N285" s="20"/>
    </row>
    <row r="286" spans="2:14" x14ac:dyDescent="0.25">
      <c r="B286" s="20">
        <f>Разбивка_по_щитам!B286</f>
      </c>
      <c r="C286" s="20">
        <f>Разбивка_по_щитам!C286</f>
      </c>
      <c r="D286" s="20">
        <f>Разбивка_по_щитам!F286</f>
      </c>
      <c r="E286" s="20">
        <f>Разбивка_по_щитам!H286</f>
      </c>
      <c r="F286" s="20">
        <f>Разбивка_по_щитам!I286</f>
      </c>
      <c r="G286" s="20">
        <f>Разбивка_по_щитам!J286</f>
        <v/>
      </c>
      <c r="H286" s="20">
        <f>Разбивка_по_щитам!K286</f>
        <v/>
      </c>
      <c r="I286" s="20">
        <f>Разбивка_по_щитам!L286</f>
        <v/>
      </c>
      <c r="J286" s="20">
        <f>Разбивка_по_щитам!M286</f>
        <v/>
      </c>
      <c r="K286" s="20">
        <f>Разбивка_по_щитам!N286</f>
        <v/>
      </c>
      <c r="L286" s="20"/>
      <c r="M286" s="20">
        <f>Разбивка_по_щитам!P286</f>
        <v/>
      </c>
      <c r="N286" s="20"/>
    </row>
    <row r="287" spans="2:14" x14ac:dyDescent="0.25">
      <c r="B287" s="20">
        <f>Разбивка_по_щитам!B287</f>
      </c>
      <c r="C287" s="20">
        <f>Разбивка_по_щитам!C287</f>
      </c>
      <c r="D287" s="20">
        <f>Разбивка_по_щитам!F287</f>
      </c>
      <c r="E287" s="20">
        <f>Разбивка_по_щитам!H287</f>
      </c>
      <c r="F287" s="20">
        <f>Разбивка_по_щитам!I287</f>
      </c>
      <c r="G287" s="20">
        <f>Разбивка_по_щитам!J287</f>
        <v/>
      </c>
      <c r="H287" s="20">
        <f>Разбивка_по_щитам!K287</f>
        <v/>
      </c>
      <c r="I287" s="20">
        <f>Разбивка_по_щитам!L287</f>
        <v/>
      </c>
      <c r="J287" s="20">
        <f>Разбивка_по_щитам!M287</f>
        <v/>
      </c>
      <c r="K287" s="20">
        <f>Разбивка_по_щитам!N287</f>
        <v/>
      </c>
      <c r="L287" s="20"/>
      <c r="M287" s="20">
        <f>Разбивка_по_щитам!P287</f>
        <v/>
      </c>
      <c r="N287" s="20"/>
    </row>
    <row r="288" spans="2:14" x14ac:dyDescent="0.25">
      <c r="B288" s="20">
        <f>Разбивка_по_щитам!B288</f>
      </c>
      <c r="C288" s="20">
        <f>Разбивка_по_щитам!C288</f>
      </c>
      <c r="D288" s="20">
        <f>Разбивка_по_щитам!F288</f>
      </c>
      <c r="E288" s="20">
        <f>Разбивка_по_щитам!H288</f>
      </c>
      <c r="F288" s="20">
        <f>Разбивка_по_щитам!I288</f>
      </c>
      <c r="G288" s="20">
        <f>Разбивка_по_щитам!J288</f>
        <v/>
      </c>
      <c r="H288" s="20">
        <f>Разбивка_по_щитам!K288</f>
        <v/>
      </c>
      <c r="I288" s="20">
        <f>Разбивка_по_щитам!L288</f>
        <v/>
      </c>
      <c r="J288" s="20">
        <f>Разбивка_по_щитам!M288</f>
        <v/>
      </c>
      <c r="K288" s="20">
        <f>Разбивка_по_щитам!N288</f>
        <v/>
      </c>
      <c r="L288" s="20"/>
      <c r="M288" s="20">
        <f>Разбивка_по_щитам!P288</f>
        <v/>
      </c>
      <c r="N288" s="20"/>
    </row>
    <row r="289" spans="2:14" x14ac:dyDescent="0.25">
      <c r="B289" s="20">
        <f>Разбивка_по_щитам!B289</f>
      </c>
      <c r="C289" s="20">
        <f>Разбивка_по_щитам!C289</f>
      </c>
      <c r="D289" s="20">
        <f>Разбивка_по_щитам!F289</f>
      </c>
      <c r="E289" s="20">
        <f>Разбивка_по_щитам!H289</f>
      </c>
      <c r="F289" s="20">
        <f>Разбивка_по_щитам!I289</f>
      </c>
      <c r="G289" s="20">
        <f>Разбивка_по_щитам!J289</f>
        <v/>
      </c>
      <c r="H289" s="20">
        <f>Разбивка_по_щитам!K289</f>
        <v/>
      </c>
      <c r="I289" s="20">
        <f>Разбивка_по_щитам!L289</f>
        <v/>
      </c>
      <c r="J289" s="20">
        <f>Разбивка_по_щитам!M289</f>
        <v/>
      </c>
      <c r="K289" s="20">
        <f>Разбивка_по_щитам!N289</f>
        <v/>
      </c>
      <c r="L289" s="20"/>
      <c r="M289" s="20">
        <f>Разбивка_по_щитам!P289</f>
        <v/>
      </c>
      <c r="N289" s="20"/>
    </row>
    <row r="290" spans="2:14" x14ac:dyDescent="0.25">
      <c r="B290" s="20">
        <f>Разбивка_по_щитам!B290</f>
      </c>
      <c r="C290" s="20">
        <f>Разбивка_по_щитам!C290</f>
      </c>
      <c r="D290" s="20">
        <f>Разбивка_по_щитам!F290</f>
      </c>
      <c r="E290" s="20">
        <f>Разбивка_по_щитам!H290</f>
      </c>
      <c r="F290" s="20">
        <f>Разбивка_по_щитам!I290</f>
      </c>
      <c r="G290" s="20">
        <f>Разбивка_по_щитам!J290</f>
        <v/>
      </c>
      <c r="H290" s="20">
        <f>Разбивка_по_щитам!K290</f>
        <v/>
      </c>
      <c r="I290" s="20">
        <f>Разбивка_по_щитам!L290</f>
        <v/>
      </c>
      <c r="J290" s="20">
        <f>Разбивка_по_щитам!M290</f>
        <v/>
      </c>
      <c r="K290" s="20">
        <f>Разбивка_по_щитам!N290</f>
        <v/>
      </c>
      <c r="L290" s="20"/>
      <c r="M290" s="20">
        <f>Разбивка_по_щитам!P290</f>
        <v/>
      </c>
      <c r="N290" s="20"/>
    </row>
    <row r="291" spans="2:14" x14ac:dyDescent="0.25">
      <c r="B291" s="20">
        <f>Разбивка_по_щитам!B291</f>
      </c>
      <c r="C291" s="20">
        <f>Разбивка_по_щитам!C291</f>
      </c>
      <c r="D291" s="20">
        <f>Разбивка_по_щитам!F291</f>
      </c>
      <c r="E291" s="20">
        <f>Разбивка_по_щитам!H291</f>
      </c>
      <c r="F291" s="20">
        <f>Разбивка_по_щитам!I291</f>
      </c>
      <c r="G291" s="20">
        <f>Разбивка_по_щитам!J291</f>
        <v/>
      </c>
      <c r="H291" s="20">
        <f>Разбивка_по_щитам!K291</f>
        <v/>
      </c>
      <c r="I291" s="20">
        <f>Разбивка_по_щитам!L291</f>
        <v/>
      </c>
      <c r="J291" s="20">
        <f>Разбивка_по_щитам!M291</f>
        <v/>
      </c>
      <c r="K291" s="20">
        <f>Разбивка_по_щитам!N291</f>
        <v/>
      </c>
      <c r="L291" s="20"/>
      <c r="M291" s="20">
        <f>Разбивка_по_щитам!P291</f>
        <v/>
      </c>
      <c r="N291" s="20"/>
    </row>
    <row r="292" spans="2:14" x14ac:dyDescent="0.25">
      <c r="B292" s="20">
        <f>Разбивка_по_щитам!B292</f>
      </c>
      <c r="C292" s="20">
        <f>Разбивка_по_щитам!C292</f>
      </c>
      <c r="D292" s="20">
        <f>Разбивка_по_щитам!F292</f>
      </c>
      <c r="E292" s="20">
        <f>Разбивка_по_щитам!H292</f>
      </c>
      <c r="F292" s="20">
        <f>Разбивка_по_щитам!I292</f>
      </c>
      <c r="G292" s="20">
        <f>Разбивка_по_щитам!J292</f>
        <v/>
      </c>
      <c r="H292" s="20">
        <f>Разбивка_по_щитам!K292</f>
        <v/>
      </c>
      <c r="I292" s="20">
        <f>Разбивка_по_щитам!L292</f>
        <v/>
      </c>
      <c r="J292" s="20">
        <f>Разбивка_по_щитам!M292</f>
        <v/>
      </c>
      <c r="K292" s="20">
        <f>Разбивка_по_щитам!N292</f>
        <v/>
      </c>
      <c r="L292" s="20"/>
      <c r="M292" s="20">
        <f>Разбивка_по_щитам!P292</f>
        <v/>
      </c>
      <c r="N292" s="20"/>
    </row>
    <row r="293" spans="2:14" x14ac:dyDescent="0.25">
      <c r="B293" s="20">
        <f>Разбивка_по_щитам!B293</f>
      </c>
      <c r="C293" s="20">
        <f>Разбивка_по_щитам!C293</f>
      </c>
      <c r="D293" s="20">
        <f>Разбивка_по_щитам!F293</f>
      </c>
      <c r="E293" s="20">
        <f>Разбивка_по_щитам!H293</f>
      </c>
      <c r="F293" s="20">
        <f>Разбивка_по_щитам!I293</f>
      </c>
      <c r="G293" s="20">
        <f>Разбивка_по_щитам!J293</f>
        <v/>
      </c>
      <c r="H293" s="20">
        <f>Разбивка_по_щитам!K293</f>
        <v/>
      </c>
      <c r="I293" s="20">
        <f>Разбивка_по_щитам!L293</f>
        <v/>
      </c>
      <c r="J293" s="20">
        <f>Разбивка_по_щитам!M293</f>
        <v/>
      </c>
      <c r="K293" s="20">
        <f>Разбивка_по_щитам!N293</f>
        <v/>
      </c>
      <c r="L293" s="20"/>
      <c r="M293" s="20">
        <f>Разбивка_по_щитам!P293</f>
        <v/>
      </c>
      <c r="N293" s="20"/>
    </row>
    <row r="294" spans="2:14" x14ac:dyDescent="0.25">
      <c r="B294" s="20">
        <f>Разбивка_по_щитам!B294</f>
      </c>
      <c r="C294" s="20">
        <f>Разбивка_по_щитам!C294</f>
      </c>
      <c r="D294" s="20">
        <f>Разбивка_по_щитам!F294</f>
      </c>
      <c r="E294" s="20">
        <f>Разбивка_по_щитам!H294</f>
      </c>
      <c r="F294" s="20">
        <f>Разбивка_по_щитам!I294</f>
      </c>
      <c r="G294" s="20">
        <f>Разбивка_по_щитам!J294</f>
        <v/>
      </c>
      <c r="H294" s="20">
        <f>Разбивка_по_щитам!K294</f>
        <v/>
      </c>
      <c r="I294" s="20">
        <f>Разбивка_по_щитам!L294</f>
        <v/>
      </c>
      <c r="J294" s="20">
        <f>Разбивка_по_щитам!M294</f>
        <v/>
      </c>
      <c r="K294" s="20">
        <f>Разбивка_по_щитам!N294</f>
        <v/>
      </c>
      <c r="L294" s="20"/>
      <c r="M294" s="20">
        <f>Разбивка_по_щитам!P294</f>
        <v/>
      </c>
      <c r="N294" s="20"/>
    </row>
    <row r="295" spans="2:14" x14ac:dyDescent="0.25">
      <c r="B295" s="20">
        <f>Разбивка_по_щитам!B295</f>
      </c>
      <c r="C295" s="20">
        <f>Разбивка_по_щитам!C295</f>
      </c>
      <c r="D295" s="20">
        <f>Разбивка_по_щитам!F295</f>
      </c>
      <c r="E295" s="20">
        <f>Разбивка_по_щитам!H295</f>
      </c>
      <c r="F295" s="20">
        <f>Разбивка_по_щитам!I295</f>
      </c>
      <c r="G295" s="20">
        <f>Разбивка_по_щитам!J295</f>
        <v/>
      </c>
      <c r="H295" s="20">
        <f>Разбивка_по_щитам!K295</f>
        <v/>
      </c>
      <c r="I295" s="20">
        <f>Разбивка_по_щитам!L295</f>
        <v/>
      </c>
      <c r="J295" s="20">
        <f>Разбивка_по_щитам!M295</f>
        <v/>
      </c>
      <c r="K295" s="20">
        <f>Разбивка_по_щитам!N295</f>
        <v/>
      </c>
      <c r="L295" s="20"/>
      <c r="M295" s="20">
        <f>Разбивка_по_щитам!P295</f>
        <v/>
      </c>
      <c r="N295" s="20"/>
    </row>
    <row r="296" spans="2:14" x14ac:dyDescent="0.25">
      <c r="B296" s="20">
        <f>Разбивка_по_щитам!B296</f>
      </c>
      <c r="C296" s="20">
        <f>Разбивка_по_щитам!C296</f>
      </c>
      <c r="D296" s="20">
        <f>Разбивка_по_щитам!F296</f>
      </c>
      <c r="E296" s="20">
        <f>Разбивка_по_щитам!H296</f>
      </c>
      <c r="F296" s="20">
        <f>Разбивка_по_щитам!I296</f>
      </c>
      <c r="G296" s="20">
        <f>Разбивка_по_щитам!J296</f>
        <v/>
      </c>
      <c r="H296" s="20">
        <f>Разбивка_по_щитам!K296</f>
        <v/>
      </c>
      <c r="I296" s="20">
        <f>Разбивка_по_щитам!L296</f>
        <v/>
      </c>
      <c r="J296" s="20">
        <f>Разбивка_по_щитам!M296</f>
        <v/>
      </c>
      <c r="K296" s="20">
        <f>Разбивка_по_щитам!N296</f>
        <v/>
      </c>
      <c r="L296" s="20"/>
      <c r="M296" s="20">
        <f>Разбивка_по_щитам!P296</f>
        <v/>
      </c>
      <c r="N296" s="20"/>
    </row>
    <row r="297" spans="2:14" x14ac:dyDescent="0.25">
      <c r="B297" s="20">
        <f>Разбивка_по_щитам!B297</f>
      </c>
      <c r="C297" s="20">
        <f>Разбивка_по_щитам!C297</f>
      </c>
      <c r="D297" s="20">
        <f>Разбивка_по_щитам!F297</f>
      </c>
      <c r="E297" s="20">
        <f>Разбивка_по_щитам!H297</f>
      </c>
      <c r="F297" s="20">
        <f>Разбивка_по_щитам!I297</f>
      </c>
      <c r="G297" s="20">
        <f>Разбивка_по_щитам!J297</f>
        <v/>
      </c>
      <c r="H297" s="20">
        <f>Разбивка_по_щитам!K297</f>
        <v/>
      </c>
      <c r="I297" s="20">
        <f>Разбивка_по_щитам!L297</f>
        <v/>
      </c>
      <c r="J297" s="20">
        <f>Разбивка_по_щитам!M297</f>
        <v/>
      </c>
      <c r="K297" s="20">
        <f>Разбивка_по_щитам!N297</f>
        <v/>
      </c>
      <c r="L297" s="20"/>
      <c r="M297" s="20">
        <f>Разбивка_по_щитам!P297</f>
        <v/>
      </c>
      <c r="N297" s="20"/>
    </row>
    <row r="298" spans="2:14" x14ac:dyDescent="0.25">
      <c r="B298" s="20">
        <f>Разбивка_по_щитам!B298</f>
      </c>
      <c r="C298" s="20">
        <f>Разбивка_по_щитам!C298</f>
      </c>
      <c r="D298" s="20">
        <f>Разбивка_по_щитам!F298</f>
      </c>
      <c r="E298" s="20">
        <f>Разбивка_по_щитам!H298</f>
      </c>
      <c r="F298" s="20">
        <f>Разбивка_по_щитам!I298</f>
      </c>
      <c r="G298" s="20">
        <f>Разбивка_по_щитам!J298</f>
        <v/>
      </c>
      <c r="H298" s="20">
        <f>Разбивка_по_щитам!K298</f>
        <v/>
      </c>
      <c r="I298" s="20">
        <f>Разбивка_по_щитам!L298</f>
        <v/>
      </c>
      <c r="J298" s="20">
        <f>Разбивка_по_щитам!M298</f>
        <v/>
      </c>
      <c r="K298" s="20">
        <f>Разбивка_по_щитам!N298</f>
        <v/>
      </c>
      <c r="L298" s="20"/>
      <c r="M298" s="20">
        <f>Разбивка_по_щитам!P298</f>
        <v/>
      </c>
      <c r="N298" s="20"/>
    </row>
    <row r="299" spans="2:14" x14ac:dyDescent="0.25">
      <c r="B299" s="20">
        <f>Разбивка_по_щитам!B299</f>
      </c>
      <c r="C299" s="20">
        <f>Разбивка_по_щитам!C299</f>
      </c>
      <c r="D299" s="20">
        <f>Разбивка_по_щитам!F299</f>
      </c>
      <c r="E299" s="20">
        <f>Разбивка_по_щитам!H299</f>
      </c>
      <c r="F299" s="20">
        <f>Разбивка_по_щитам!I299</f>
      </c>
      <c r="G299" s="20">
        <f>Разбивка_по_щитам!J299</f>
        <v/>
      </c>
      <c r="H299" s="20">
        <f>Разбивка_по_щитам!K299</f>
        <v/>
      </c>
      <c r="I299" s="20">
        <f>Разбивка_по_щитам!L299</f>
        <v/>
      </c>
      <c r="J299" s="20">
        <f>Разбивка_по_щитам!M299</f>
        <v/>
      </c>
      <c r="K299" s="20">
        <f>Разбивка_по_щитам!N299</f>
        <v/>
      </c>
      <c r="L299" s="20"/>
      <c r="M299" s="20">
        <f>Разбивка_по_щитам!P299</f>
        <v/>
      </c>
      <c r="N299" s="20"/>
    </row>
    <row r="300" spans="2:14" x14ac:dyDescent="0.25">
      <c r="B300" s="20">
        <f>Разбивка_по_щитам!B300</f>
      </c>
      <c r="C300" s="20">
        <f>Разбивка_по_щитам!C300</f>
      </c>
      <c r="D300" s="20">
        <f>Разбивка_по_щитам!F300</f>
      </c>
      <c r="E300" s="20">
        <f>Разбивка_по_щитам!H300</f>
      </c>
      <c r="F300" s="20">
        <f>Разбивка_по_щитам!I300</f>
      </c>
      <c r="G300" s="20">
        <f>Разбивка_по_щитам!J300</f>
        <v/>
      </c>
      <c r="H300" s="20">
        <f>Разбивка_по_щитам!K300</f>
        <v/>
      </c>
      <c r="I300" s="20">
        <f>Разбивка_по_щитам!L300</f>
        <v/>
      </c>
      <c r="J300" s="20">
        <f>Разбивка_по_щитам!M300</f>
        <v/>
      </c>
      <c r="K300" s="20">
        <f>Разбивка_по_щитам!N300</f>
        <v/>
      </c>
      <c r="L300" s="20"/>
      <c r="M300" s="20">
        <f>Разбивка_по_щитам!P300</f>
        <v/>
      </c>
      <c r="N300" s="20"/>
    </row>
    <row r="301" spans="2:14" x14ac:dyDescent="0.25">
      <c r="B301" s="20">
        <f>Разбивка_по_щитам!B301</f>
      </c>
      <c r="C301" s="20">
        <f>Разбивка_по_щитам!C301</f>
      </c>
      <c r="D301" s="20">
        <f>Разбивка_по_щитам!F301</f>
      </c>
      <c r="E301" s="20">
        <f>Разбивка_по_щитам!H301</f>
      </c>
      <c r="F301" s="20">
        <f>Разбивка_по_щитам!I301</f>
      </c>
      <c r="G301" s="20">
        <f>Разбивка_по_щитам!J301</f>
        <v/>
      </c>
      <c r="H301" s="20">
        <f>Разбивка_по_щитам!K301</f>
        <v/>
      </c>
      <c r="I301" s="20">
        <f>Разбивка_по_щитам!L301</f>
        <v/>
      </c>
      <c r="J301" s="20">
        <f>Разбивка_по_щитам!M301</f>
        <v/>
      </c>
      <c r="K301" s="20">
        <f>Разбивка_по_щитам!N301</f>
        <v/>
      </c>
      <c r="L301" s="20"/>
      <c r="M301" s="20">
        <f>Разбивка_по_щитам!P301</f>
        <v/>
      </c>
      <c r="N301" s="20"/>
    </row>
    <row r="302" spans="2:14" x14ac:dyDescent="0.25">
      <c r="B302" s="20">
        <f>Разбивка_по_щитам!B302</f>
      </c>
      <c r="C302" s="20">
        <f>Разбивка_по_щитам!C302</f>
      </c>
      <c r="D302" s="20">
        <f>Разбивка_по_щитам!F302</f>
      </c>
      <c r="E302" s="20">
        <f>Разбивка_по_щитам!H302</f>
      </c>
      <c r="F302" s="20">
        <f>Разбивка_по_щитам!I302</f>
      </c>
      <c r="G302" s="20">
        <f>Разбивка_по_щитам!J302</f>
        <v/>
      </c>
      <c r="H302" s="20">
        <f>Разбивка_по_щитам!K302</f>
        <v/>
      </c>
      <c r="I302" s="20">
        <f>Разбивка_по_щитам!L302</f>
        <v/>
      </c>
      <c r="J302" s="20">
        <f>Разбивка_по_щитам!M302</f>
        <v/>
      </c>
      <c r="K302" s="20">
        <f>Разбивка_по_щитам!N302</f>
        <v/>
      </c>
      <c r="L302" s="20"/>
      <c r="M302" s="20">
        <f>Разбивка_по_щитам!P302</f>
        <v/>
      </c>
      <c r="N302" s="20"/>
    </row>
    <row r="303" spans="2:14" x14ac:dyDescent="0.25">
      <c r="B303" s="20">
        <f>Разбивка_по_щитам!B303</f>
      </c>
      <c r="C303" s="20">
        <f>Разбивка_по_щитам!C303</f>
      </c>
      <c r="D303" s="20">
        <f>Разбивка_по_щитам!F303</f>
      </c>
      <c r="E303" s="20">
        <f>Разбивка_по_щитам!H303</f>
      </c>
      <c r="F303" s="20">
        <f>Разбивка_по_щитам!I303</f>
      </c>
      <c r="G303" s="20">
        <f>Разбивка_по_щитам!J303</f>
        <v/>
      </c>
      <c r="H303" s="20">
        <f>Разбивка_по_щитам!K303</f>
        <v/>
      </c>
      <c r="I303" s="20">
        <f>Разбивка_по_щитам!L303</f>
        <v/>
      </c>
      <c r="J303" s="20">
        <f>Разбивка_по_щитам!M303</f>
        <v/>
      </c>
      <c r="K303" s="20">
        <f>Разбивка_по_щитам!N303</f>
        <v/>
      </c>
      <c r="L303" s="20"/>
      <c r="M303" s="20">
        <f>Разбивка_по_щитам!P303</f>
        <v/>
      </c>
      <c r="N303" s="20"/>
    </row>
    <row r="304" spans="2:14" x14ac:dyDescent="0.25">
      <c r="B304" s="20">
        <f>Разбивка_по_щитам!B304</f>
      </c>
      <c r="C304" s="20">
        <f>Разбивка_по_щитам!C304</f>
      </c>
      <c r="D304" s="20">
        <f>Разбивка_по_щитам!F304</f>
      </c>
      <c r="E304" s="20">
        <f>Разбивка_по_щитам!H304</f>
      </c>
      <c r="F304" s="20">
        <f>Разбивка_по_щитам!I304</f>
      </c>
      <c r="G304" s="20">
        <f>Разбивка_по_щитам!J304</f>
        <v/>
      </c>
      <c r="H304" s="20">
        <f>Разбивка_по_щитам!K304</f>
        <v/>
      </c>
      <c r="I304" s="20">
        <f>Разбивка_по_щитам!L304</f>
        <v/>
      </c>
      <c r="J304" s="20">
        <f>Разбивка_по_щитам!M304</f>
        <v/>
      </c>
      <c r="K304" s="20">
        <f>Разбивка_по_щитам!N304</f>
        <v/>
      </c>
      <c r="L304" s="20"/>
      <c r="M304" s="20">
        <f>Разбивка_по_щитам!P304</f>
        <v/>
      </c>
      <c r="N304" s="20"/>
    </row>
    <row r="305" spans="2:14" x14ac:dyDescent="0.25">
      <c r="B305" s="20">
        <f>Разбивка_по_щитам!B305</f>
      </c>
      <c r="C305" s="20">
        <f>Разбивка_по_щитам!C305</f>
      </c>
      <c r="D305" s="20">
        <f>Разбивка_по_щитам!F305</f>
      </c>
      <c r="E305" s="20">
        <f>Разбивка_по_щитам!H305</f>
      </c>
      <c r="F305" s="20">
        <f>Разбивка_по_щитам!I305</f>
      </c>
      <c r="G305" s="20">
        <f>Разбивка_по_щитам!J305</f>
        <v/>
      </c>
      <c r="H305" s="20">
        <f>Разбивка_по_щитам!K305</f>
        <v/>
      </c>
      <c r="I305" s="20">
        <f>Разбивка_по_щитам!L305</f>
        <v/>
      </c>
      <c r="J305" s="20">
        <f>Разбивка_по_щитам!M305</f>
        <v/>
      </c>
      <c r="K305" s="20">
        <f>Разбивка_по_щитам!N305</f>
        <v/>
      </c>
      <c r="L305" s="20"/>
      <c r="M305" s="20">
        <f>Разбивка_по_щитам!P305</f>
        <v/>
      </c>
      <c r="N305" s="20"/>
    </row>
    <row r="306" spans="2:14" x14ac:dyDescent="0.25">
      <c r="B306" s="20">
        <f>Разбивка_по_щитам!B306</f>
      </c>
      <c r="C306" s="20">
        <f>Разбивка_по_щитам!C306</f>
      </c>
      <c r="D306" s="20">
        <f>Разбивка_по_щитам!F306</f>
      </c>
      <c r="E306" s="20">
        <f>Разбивка_по_щитам!H306</f>
      </c>
      <c r="F306" s="20">
        <f>Разбивка_по_щитам!I306</f>
      </c>
      <c r="G306" s="20">
        <f>Разбивка_по_щитам!J306</f>
        <v/>
      </c>
      <c r="H306" s="20">
        <f>Разбивка_по_щитам!K306</f>
        <v/>
      </c>
      <c r="I306" s="20">
        <f>Разбивка_по_щитам!L306</f>
        <v/>
      </c>
      <c r="J306" s="20">
        <f>Разбивка_по_щитам!M306</f>
        <v/>
      </c>
      <c r="K306" s="20">
        <f>Разбивка_по_щитам!N306</f>
        <v/>
      </c>
      <c r="L306" s="20"/>
      <c r="M306" s="20">
        <f>Разбивка_по_щитам!P306</f>
        <v/>
      </c>
      <c r="N306" s="20"/>
    </row>
    <row r="307" spans="2:14" x14ac:dyDescent="0.25">
      <c r="B307" s="20">
        <f>Разбивка_по_щитам!B307</f>
      </c>
      <c r="C307" s="20">
        <f>Разбивка_по_щитам!C307</f>
      </c>
      <c r="D307" s="20">
        <f>Разбивка_по_щитам!F307</f>
      </c>
      <c r="E307" s="20">
        <f>Разбивка_по_щитам!H307</f>
      </c>
      <c r="F307" s="20">
        <f>Разбивка_по_щитам!I307</f>
      </c>
      <c r="G307" s="20">
        <f>Разбивка_по_щитам!J307</f>
        <v/>
      </c>
      <c r="H307" s="20">
        <f>Разбивка_по_щитам!K307</f>
        <v/>
      </c>
      <c r="I307" s="20">
        <f>Разбивка_по_щитам!L307</f>
        <v/>
      </c>
      <c r="J307" s="20">
        <f>Разбивка_по_щитам!M307</f>
        <v/>
      </c>
      <c r="K307" s="20">
        <f>Разбивка_по_щитам!N307</f>
        <v/>
      </c>
      <c r="L307" s="20"/>
      <c r="M307" s="20">
        <f>Разбивка_по_щитам!P307</f>
        <v/>
      </c>
      <c r="N307" s="20"/>
    </row>
    <row r="308" spans="2:14" x14ac:dyDescent="0.25">
      <c r="B308" s="20">
        <f>Разбивка_по_щитам!B308</f>
      </c>
      <c r="C308" s="20">
        <f>Разбивка_по_щитам!C308</f>
      </c>
      <c r="D308" s="20">
        <f>Разбивка_по_щитам!F308</f>
      </c>
      <c r="E308" s="20">
        <f>Разбивка_по_щитам!H308</f>
      </c>
      <c r="F308" s="20">
        <f>Разбивка_по_щитам!I308</f>
      </c>
      <c r="G308" s="20">
        <f>Разбивка_по_щитам!J308</f>
        <v/>
      </c>
      <c r="H308" s="20">
        <f>Разбивка_по_щитам!K308</f>
        <v/>
      </c>
      <c r="I308" s="20">
        <f>Разбивка_по_щитам!L308</f>
        <v/>
      </c>
      <c r="J308" s="20">
        <f>Разбивка_по_щитам!M308</f>
        <v/>
      </c>
      <c r="K308" s="20">
        <f>Разбивка_по_щитам!N308</f>
        <v/>
      </c>
      <c r="L308" s="20"/>
      <c r="M308" s="20">
        <f>Разбивка_по_щитам!P308</f>
        <v/>
      </c>
      <c r="N308" s="20"/>
    </row>
    <row r="309" spans="2:14" x14ac:dyDescent="0.25">
      <c r="B309" s="20">
        <f>Разбивка_по_щитам!B309</f>
      </c>
      <c r="C309" s="20">
        <f>Разбивка_по_щитам!C309</f>
      </c>
      <c r="D309" s="20">
        <f>Разбивка_по_щитам!F309</f>
      </c>
      <c r="E309" s="20">
        <f>Разбивка_по_щитам!H309</f>
      </c>
      <c r="F309" s="20">
        <f>Разбивка_по_щитам!I309</f>
      </c>
      <c r="G309" s="20">
        <f>Разбивка_по_щитам!J309</f>
        <v/>
      </c>
      <c r="H309" s="20">
        <f>Разбивка_по_щитам!K309</f>
        <v/>
      </c>
      <c r="I309" s="20">
        <f>Разбивка_по_щитам!L309</f>
        <v/>
      </c>
      <c r="J309" s="20">
        <f>Разбивка_по_щитам!M309</f>
        <v/>
      </c>
      <c r="K309" s="20">
        <f>Разбивка_по_щитам!N309</f>
        <v/>
      </c>
      <c r="L309" s="20"/>
      <c r="M309" s="20">
        <f>Разбивка_по_щитам!P309</f>
        <v/>
      </c>
      <c r="N309" s="20"/>
    </row>
    <row r="310" spans="2:14" x14ac:dyDescent="0.25">
      <c r="B310" s="20">
        <f>Разбивка_по_щитам!B310</f>
      </c>
      <c r="C310" s="20">
        <f>Разбивка_по_щитам!C310</f>
      </c>
      <c r="D310" s="20">
        <f>Разбивка_по_щитам!F310</f>
      </c>
      <c r="E310" s="20">
        <f>Разбивка_по_щитам!H310</f>
      </c>
      <c r="F310" s="20">
        <f>Разбивка_по_щитам!I310</f>
      </c>
      <c r="G310" s="20">
        <f>Разбивка_по_щитам!J310</f>
        <v/>
      </c>
      <c r="H310" s="20">
        <f>Разбивка_по_щитам!K310</f>
        <v/>
      </c>
      <c r="I310" s="20">
        <f>Разбивка_по_щитам!L310</f>
        <v/>
      </c>
      <c r="J310" s="20">
        <f>Разбивка_по_щитам!M310</f>
        <v/>
      </c>
      <c r="K310" s="20">
        <f>Разбивка_по_щитам!N310</f>
        <v/>
      </c>
      <c r="L310" s="20"/>
      <c r="M310" s="20">
        <f>Разбивка_по_щитам!P310</f>
        <v/>
      </c>
      <c r="N310" s="20"/>
    </row>
    <row r="311" spans="2:14" x14ac:dyDescent="0.25">
      <c r="B311" s="20">
        <f>Разбивка_по_щитам!B311</f>
      </c>
      <c r="C311" s="20">
        <f>Разбивка_по_щитам!C311</f>
      </c>
      <c r="D311" s="20">
        <f>Разбивка_по_щитам!F311</f>
      </c>
      <c r="E311" s="20">
        <f>Разбивка_по_щитам!H311</f>
      </c>
      <c r="F311" s="20">
        <f>Разбивка_по_щитам!I311</f>
      </c>
      <c r="G311" s="20">
        <f>Разбивка_по_щитам!J311</f>
        <v/>
      </c>
      <c r="H311" s="20">
        <f>Разбивка_по_щитам!K311</f>
        <v/>
      </c>
      <c r="I311" s="20">
        <f>Разбивка_по_щитам!L311</f>
        <v/>
      </c>
      <c r="J311" s="20">
        <f>Разбивка_по_щитам!M311</f>
        <v/>
      </c>
      <c r="K311" s="20">
        <f>Разбивка_по_щитам!N311</f>
        <v/>
      </c>
      <c r="L311" s="20"/>
      <c r="M311" s="20">
        <f>Разбивка_по_щитам!P311</f>
        <v/>
      </c>
      <c r="N311" s="20"/>
    </row>
    <row r="312" spans="2:14" x14ac:dyDescent="0.25">
      <c r="B312" s="20">
        <f>Разбивка_по_щитам!B312</f>
      </c>
      <c r="C312" s="20">
        <f>Разбивка_по_щитам!C312</f>
      </c>
      <c r="D312" s="20">
        <f>Разбивка_по_щитам!F312</f>
      </c>
      <c r="E312" s="20">
        <f>Разбивка_по_щитам!H312</f>
      </c>
      <c r="F312" s="20">
        <f>Разбивка_по_щитам!I312</f>
      </c>
      <c r="G312" s="20">
        <f>Разбивка_по_щитам!J312</f>
        <v/>
      </c>
      <c r="H312" s="20">
        <f>Разбивка_по_щитам!K312</f>
        <v/>
      </c>
      <c r="I312" s="20">
        <f>Разбивка_по_щитам!L312</f>
        <v/>
      </c>
      <c r="J312" s="20">
        <f>Разбивка_по_щитам!M312</f>
        <v/>
      </c>
      <c r="K312" s="20">
        <f>Разбивка_по_щитам!N312</f>
        <v/>
      </c>
      <c r="L312" s="20"/>
      <c r="M312" s="20">
        <f>Разбивка_по_щитам!P312</f>
        <v/>
      </c>
      <c r="N312" s="20"/>
    </row>
    <row r="313" spans="2:14" x14ac:dyDescent="0.25">
      <c r="B313" s="20">
        <f>Разбивка_по_щитам!B313</f>
      </c>
      <c r="C313" s="20">
        <f>Разбивка_по_щитам!C313</f>
      </c>
      <c r="D313" s="20">
        <f>Разбивка_по_щитам!F313</f>
      </c>
      <c r="E313" s="20">
        <f>Разбивка_по_щитам!H313</f>
      </c>
      <c r="F313" s="20">
        <f>Разбивка_по_щитам!I313</f>
      </c>
      <c r="G313" s="20">
        <f>Разбивка_по_щитам!J313</f>
        <v/>
      </c>
      <c r="H313" s="20">
        <f>Разбивка_по_щитам!K313</f>
        <v/>
      </c>
      <c r="I313" s="20">
        <f>Разбивка_по_щитам!L313</f>
        <v/>
      </c>
      <c r="J313" s="20">
        <f>Разбивка_по_щитам!M313</f>
        <v/>
      </c>
      <c r="K313" s="20">
        <f>Разбивка_по_щитам!N313</f>
        <v/>
      </c>
      <c r="L313" s="20"/>
      <c r="M313" s="20">
        <f>Разбивка_по_щитам!P313</f>
        <v/>
      </c>
      <c r="N313" s="20"/>
    </row>
    <row r="314" spans="2:14" x14ac:dyDescent="0.25">
      <c r="B314" s="20">
        <f>Разбивка_по_щитам!B314</f>
      </c>
      <c r="C314" s="20">
        <f>Разбивка_по_щитам!C314</f>
      </c>
      <c r="D314" s="20">
        <f>Разбивка_по_щитам!F314</f>
      </c>
      <c r="E314" s="20">
        <f>Разбивка_по_щитам!H314</f>
      </c>
      <c r="F314" s="20">
        <f>Разбивка_по_щитам!I314</f>
      </c>
      <c r="G314" s="20">
        <f>Разбивка_по_щитам!J314</f>
        <v/>
      </c>
      <c r="H314" s="20">
        <f>Разбивка_по_щитам!K314</f>
        <v/>
      </c>
      <c r="I314" s="20">
        <f>Разбивка_по_щитам!L314</f>
        <v/>
      </c>
      <c r="J314" s="20">
        <f>Разбивка_по_щитам!M314</f>
        <v/>
      </c>
      <c r="K314" s="20">
        <f>Разбивка_по_щитам!N314</f>
        <v/>
      </c>
      <c r="L314" s="20"/>
      <c r="M314" s="20">
        <f>Разбивка_по_щитам!P314</f>
        <v/>
      </c>
      <c r="N314" s="20"/>
    </row>
    <row r="315" spans="2:14" x14ac:dyDescent="0.25">
      <c r="B315" s="20">
        <f>Разбивка_по_щитам!B315</f>
      </c>
      <c r="C315" s="20">
        <f>Разбивка_по_щитам!C315</f>
      </c>
      <c r="D315" s="20">
        <f>Разбивка_по_щитам!F315</f>
      </c>
      <c r="E315" s="20">
        <f>Разбивка_по_щитам!H315</f>
      </c>
      <c r="F315" s="20">
        <f>Разбивка_по_щитам!I315</f>
      </c>
      <c r="G315" s="20">
        <f>Разбивка_по_щитам!J315</f>
        <v/>
      </c>
      <c r="H315" s="20">
        <f>Разбивка_по_щитам!K315</f>
        <v/>
      </c>
      <c r="I315" s="20">
        <f>Разбивка_по_щитам!L315</f>
        <v/>
      </c>
      <c r="J315" s="20">
        <f>Разбивка_по_щитам!M315</f>
        <v/>
      </c>
      <c r="K315" s="20">
        <f>Разбивка_по_щитам!N315</f>
        <v/>
      </c>
      <c r="L315" s="20"/>
      <c r="M315" s="20">
        <f>Разбивка_по_щитам!P315</f>
        <v/>
      </c>
      <c r="N315" s="20"/>
    </row>
    <row r="316" spans="2:14" x14ac:dyDescent="0.25">
      <c r="B316" s="20">
        <f>Разбивка_по_щитам!B316</f>
      </c>
      <c r="C316" s="20">
        <f>Разбивка_по_щитам!C316</f>
      </c>
      <c r="D316" s="20">
        <f>Разбивка_по_щитам!F316</f>
      </c>
      <c r="E316" s="20">
        <f>Разбивка_по_щитам!H316</f>
      </c>
      <c r="F316" s="20">
        <f>Разбивка_по_щитам!I316</f>
      </c>
      <c r="G316" s="20">
        <f>Разбивка_по_щитам!J316</f>
        <v/>
      </c>
      <c r="H316" s="20">
        <f>Разбивка_по_щитам!K316</f>
        <v/>
      </c>
      <c r="I316" s="20">
        <f>Разбивка_по_щитам!L316</f>
        <v/>
      </c>
      <c r="J316" s="20">
        <f>Разбивка_по_щитам!M316</f>
        <v/>
      </c>
      <c r="K316" s="20">
        <f>Разбивка_по_щитам!N316</f>
        <v/>
      </c>
      <c r="L316" s="20"/>
      <c r="M316" s="20">
        <f>Разбивка_по_щитам!P316</f>
        <v/>
      </c>
      <c r="N316" s="20"/>
    </row>
    <row r="317" spans="2:14" x14ac:dyDescent="0.25">
      <c r="B317" s="20">
        <f>Разбивка_по_щитам!B317</f>
      </c>
      <c r="C317" s="20">
        <f>Разбивка_по_щитам!C317</f>
      </c>
      <c r="D317" s="20">
        <f>Разбивка_по_щитам!F317</f>
      </c>
      <c r="E317" s="20">
        <f>Разбивка_по_щитам!H317</f>
      </c>
      <c r="F317" s="20">
        <f>Разбивка_по_щитам!I317</f>
      </c>
      <c r="G317" s="20">
        <f>Разбивка_по_щитам!J317</f>
        <v/>
      </c>
      <c r="H317" s="20">
        <f>Разбивка_по_щитам!K317</f>
        <v/>
      </c>
      <c r="I317" s="20">
        <f>Разбивка_по_щитам!L317</f>
        <v/>
      </c>
      <c r="J317" s="20">
        <f>Разбивка_по_щитам!M317</f>
        <v/>
      </c>
      <c r="K317" s="20">
        <f>Разбивка_по_щитам!N317</f>
        <v/>
      </c>
      <c r="L317" s="20"/>
      <c r="M317" s="20">
        <f>Разбивка_по_щитам!P317</f>
        <v/>
      </c>
      <c r="N317" s="20"/>
    </row>
    <row r="318" spans="2:14" x14ac:dyDescent="0.25">
      <c r="B318" s="20">
        <f>Разбивка_по_щитам!B318</f>
      </c>
      <c r="C318" s="20">
        <f>Разбивка_по_щитам!C318</f>
      </c>
      <c r="D318" s="20">
        <f>Разбивка_по_щитам!F318</f>
      </c>
      <c r="E318" s="20">
        <f>Разбивка_по_щитам!H318</f>
      </c>
      <c r="F318" s="20">
        <f>Разбивка_по_щитам!I318</f>
      </c>
      <c r="G318" s="20">
        <f>Разбивка_по_щитам!J318</f>
        <v/>
      </c>
      <c r="H318" s="20">
        <f>Разбивка_по_щитам!K318</f>
        <v/>
      </c>
      <c r="I318" s="20">
        <f>Разбивка_по_щитам!L318</f>
        <v/>
      </c>
      <c r="J318" s="20">
        <f>Разбивка_по_щитам!M318</f>
        <v/>
      </c>
      <c r="K318" s="20">
        <f>Разбивка_по_щитам!N318</f>
        <v/>
      </c>
      <c r="L318" s="20"/>
      <c r="M318" s="20">
        <f>Разбивка_по_щитам!P318</f>
        <v/>
      </c>
      <c r="N318" s="20"/>
    </row>
    <row r="319" spans="2:14" x14ac:dyDescent="0.25">
      <c r="B319" s="20">
        <f>Разбивка_по_щитам!B319</f>
      </c>
      <c r="C319" s="20">
        <f>Разбивка_по_щитам!C319</f>
      </c>
      <c r="D319" s="20">
        <f>Разбивка_по_щитам!F319</f>
      </c>
      <c r="E319" s="20">
        <f>Разбивка_по_щитам!H319</f>
      </c>
      <c r="F319" s="20">
        <f>Разбивка_по_щитам!I319</f>
      </c>
      <c r="G319" s="20">
        <f>Разбивка_по_щитам!J319</f>
        <v/>
      </c>
      <c r="H319" s="20">
        <f>Разбивка_по_щитам!K319</f>
        <v/>
      </c>
      <c r="I319" s="20">
        <f>Разбивка_по_щитам!L319</f>
        <v/>
      </c>
      <c r="J319" s="20">
        <f>Разбивка_по_щитам!M319</f>
        <v/>
      </c>
      <c r="K319" s="20">
        <f>Разбивка_по_щитам!N319</f>
        <v/>
      </c>
      <c r="L319" s="20"/>
      <c r="M319" s="20">
        <f>Разбивка_по_щитам!P319</f>
        <v/>
      </c>
      <c r="N319" s="20"/>
    </row>
    <row r="320" spans="2:14" x14ac:dyDescent="0.25">
      <c r="B320" s="20">
        <f>Разбивка_по_щитам!B320</f>
      </c>
      <c r="C320" s="20">
        <f>Разбивка_по_щитам!C320</f>
      </c>
      <c r="D320" s="20">
        <f>Разбивка_по_щитам!F320</f>
      </c>
      <c r="E320" s="20">
        <f>Разбивка_по_щитам!H320</f>
      </c>
      <c r="F320" s="20">
        <f>Разбивка_по_щитам!I320</f>
      </c>
      <c r="G320" s="20">
        <f>Разбивка_по_щитам!J320</f>
        <v/>
      </c>
      <c r="H320" s="20">
        <f>Разбивка_по_щитам!K320</f>
        <v/>
      </c>
      <c r="I320" s="20">
        <f>Разбивка_по_щитам!L320</f>
        <v/>
      </c>
      <c r="J320" s="20">
        <f>Разбивка_по_щитам!M320</f>
        <v/>
      </c>
      <c r="K320" s="20">
        <f>Разбивка_по_щитам!N320</f>
        <v/>
      </c>
      <c r="L320" s="20"/>
      <c r="M320" s="20">
        <f>Разбивка_по_щитам!P320</f>
        <v/>
      </c>
      <c r="N320" s="20"/>
    </row>
    <row r="321" spans="2:14" x14ac:dyDescent="0.25">
      <c r="B321" s="20">
        <f>Разбивка_по_щитам!B321</f>
      </c>
      <c r="C321" s="20">
        <f>Разбивка_по_щитам!C321</f>
      </c>
      <c r="D321" s="20">
        <f>Разбивка_по_щитам!F321</f>
      </c>
      <c r="E321" s="20">
        <f>Разбивка_по_щитам!H321</f>
      </c>
      <c r="F321" s="20">
        <f>Разбивка_по_щитам!I321</f>
      </c>
      <c r="G321" s="20">
        <f>Разбивка_по_щитам!J321</f>
        <v/>
      </c>
      <c r="H321" s="20">
        <f>Разбивка_по_щитам!K321</f>
        <v/>
      </c>
      <c r="I321" s="20">
        <f>Разбивка_по_щитам!L321</f>
        <v/>
      </c>
      <c r="J321" s="20">
        <f>Разбивка_по_щитам!M321</f>
        <v/>
      </c>
      <c r="K321" s="20">
        <f>Разбивка_по_щитам!N321</f>
        <v/>
      </c>
      <c r="L321" s="20"/>
      <c r="M321" s="20">
        <f>Разбивка_по_щитам!P321</f>
        <v/>
      </c>
      <c r="N321" s="20"/>
    </row>
    <row r="322" spans="2:14" x14ac:dyDescent="0.25">
      <c r="B322" s="20">
        <f>Разбивка_по_щитам!B322</f>
      </c>
      <c r="C322" s="20">
        <f>Разбивка_по_щитам!C322</f>
      </c>
      <c r="D322" s="20">
        <f>Разбивка_по_щитам!F322</f>
      </c>
      <c r="E322" s="20">
        <f>Разбивка_по_щитам!H322</f>
      </c>
      <c r="F322" s="20">
        <f>Разбивка_по_щитам!I322</f>
      </c>
      <c r="G322" s="20">
        <f>Разбивка_по_щитам!J322</f>
        <v/>
      </c>
      <c r="H322" s="20">
        <f>Разбивка_по_щитам!K322</f>
        <v/>
      </c>
      <c r="I322" s="20">
        <f>Разбивка_по_щитам!L322</f>
        <v/>
      </c>
      <c r="J322" s="20">
        <f>Разбивка_по_щитам!M322</f>
        <v/>
      </c>
      <c r="K322" s="20">
        <f>Разбивка_по_щитам!N322</f>
        <v/>
      </c>
      <c r="L322" s="20"/>
      <c r="M322" s="20">
        <f>Разбивка_по_щитам!P322</f>
        <v/>
      </c>
      <c r="N322" s="20"/>
    </row>
    <row r="323" spans="2:14" x14ac:dyDescent="0.25">
      <c r="B323" s="20">
        <f>Разбивка_по_щитам!B323</f>
      </c>
      <c r="C323" s="20">
        <f>Разбивка_по_щитам!C323</f>
      </c>
      <c r="D323" s="20">
        <f>Разбивка_по_щитам!F323</f>
      </c>
      <c r="E323" s="20">
        <f>Разбивка_по_щитам!H323</f>
      </c>
      <c r="F323" s="20">
        <f>Разбивка_по_щитам!I323</f>
      </c>
      <c r="G323" s="20">
        <f>Разбивка_по_щитам!J323</f>
        <v/>
      </c>
      <c r="H323" s="20">
        <f>Разбивка_по_щитам!K323</f>
        <v/>
      </c>
      <c r="I323" s="20">
        <f>Разбивка_по_щитам!L323</f>
        <v/>
      </c>
      <c r="J323" s="20">
        <f>Разбивка_по_щитам!M323</f>
        <v/>
      </c>
      <c r="K323" s="20">
        <f>Разбивка_по_щитам!N323</f>
        <v/>
      </c>
      <c r="L323" s="20"/>
      <c r="M323" s="20">
        <f>Разбивка_по_щитам!P323</f>
        <v/>
      </c>
      <c r="N323" s="20"/>
    </row>
    <row r="324" spans="2:14" x14ac:dyDescent="0.25">
      <c r="B324" s="20">
        <f>Разбивка_по_щитам!B324</f>
      </c>
      <c r="C324" s="20">
        <f>Разбивка_по_щитам!C324</f>
      </c>
      <c r="D324" s="20">
        <f>Разбивка_по_щитам!F324</f>
      </c>
      <c r="E324" s="20">
        <f>Разбивка_по_щитам!H324</f>
      </c>
      <c r="F324" s="20">
        <f>Разбивка_по_щитам!I324</f>
      </c>
      <c r="G324" s="20">
        <f>Разбивка_по_щитам!J324</f>
        <v/>
      </c>
      <c r="H324" s="20">
        <f>Разбивка_по_щитам!K324</f>
        <v/>
      </c>
      <c r="I324" s="20">
        <f>Разбивка_по_щитам!L324</f>
        <v/>
      </c>
      <c r="J324" s="20">
        <f>Разбивка_по_щитам!M324</f>
        <v/>
      </c>
      <c r="K324" s="20">
        <f>Разбивка_по_щитам!N324</f>
        <v/>
      </c>
      <c r="L324" s="20"/>
      <c r="M324" s="20">
        <f>Разбивка_по_щитам!P324</f>
        <v/>
      </c>
      <c r="N324" s="20"/>
    </row>
    <row r="325" spans="2:14" x14ac:dyDescent="0.25">
      <c r="B325" s="20">
        <f>Разбивка_по_щитам!B325</f>
      </c>
      <c r="C325" s="20">
        <f>Разбивка_по_щитам!C325</f>
      </c>
      <c r="D325" s="20">
        <f>Разбивка_по_щитам!F325</f>
      </c>
      <c r="E325" s="20">
        <f>Разбивка_по_щитам!H325</f>
      </c>
      <c r="F325" s="20">
        <f>Разбивка_по_щитам!I325</f>
      </c>
      <c r="G325" s="20">
        <f>Разбивка_по_щитам!J325</f>
        <v/>
      </c>
      <c r="H325" s="20">
        <f>Разбивка_по_щитам!K325</f>
        <v/>
      </c>
      <c r="I325" s="20">
        <f>Разбивка_по_щитам!L325</f>
        <v/>
      </c>
      <c r="J325" s="20">
        <f>Разбивка_по_щитам!M325</f>
        <v/>
      </c>
      <c r="K325" s="20">
        <f>Разбивка_по_щитам!N325</f>
        <v/>
      </c>
      <c r="L325" s="20"/>
      <c r="M325" s="20">
        <f>Разбивка_по_щитам!P325</f>
        <v/>
      </c>
      <c r="N325" s="20"/>
    </row>
    <row r="326" spans="2:14" x14ac:dyDescent="0.25">
      <c r="B326" s="20">
        <f>Разбивка_по_щитам!B326</f>
      </c>
      <c r="C326" s="20">
        <f>Разбивка_по_щитам!C326</f>
      </c>
      <c r="D326" s="20">
        <f>Разбивка_по_щитам!F326</f>
      </c>
      <c r="E326" s="20">
        <f>Разбивка_по_щитам!H326</f>
      </c>
      <c r="F326" s="20">
        <f>Разбивка_по_щитам!I326</f>
      </c>
      <c r="G326" s="20">
        <f>Разбивка_по_щитам!J326</f>
        <v/>
      </c>
      <c r="H326" s="20">
        <f>Разбивка_по_щитам!K326</f>
        <v/>
      </c>
      <c r="I326" s="20">
        <f>Разбивка_по_щитам!L326</f>
        <v/>
      </c>
      <c r="J326" s="20">
        <f>Разбивка_по_щитам!M326</f>
        <v/>
      </c>
      <c r="K326" s="20">
        <f>Разбивка_по_щитам!N326</f>
        <v/>
      </c>
      <c r="L326" s="20"/>
      <c r="M326" s="20">
        <f>Разбивка_по_щитам!P326</f>
        <v/>
      </c>
      <c r="N326" s="20"/>
    </row>
    <row r="327" spans="2:14" x14ac:dyDescent="0.25">
      <c r="B327" s="20">
        <f>Разбивка_по_щитам!B327</f>
      </c>
      <c r="C327" s="20">
        <f>Разбивка_по_щитам!C327</f>
      </c>
      <c r="D327" s="20">
        <f>Разбивка_по_щитам!F327</f>
      </c>
      <c r="E327" s="20">
        <f>Разбивка_по_щитам!H327</f>
      </c>
      <c r="F327" s="20">
        <f>Разбивка_по_щитам!I327</f>
      </c>
      <c r="G327" s="20">
        <f>Разбивка_по_щитам!J327</f>
        <v/>
      </c>
      <c r="H327" s="20">
        <f>Разбивка_по_щитам!K327</f>
        <v/>
      </c>
      <c r="I327" s="20">
        <f>Разбивка_по_щитам!L327</f>
        <v/>
      </c>
      <c r="J327" s="20">
        <f>Разбивка_по_щитам!M327</f>
        <v/>
      </c>
      <c r="K327" s="20">
        <f>Разбивка_по_щитам!N327</f>
        <v/>
      </c>
      <c r="L327" s="20"/>
      <c r="M327" s="20">
        <f>Разбивка_по_щитам!P327</f>
        <v/>
      </c>
      <c r="N327" s="20"/>
    </row>
    <row r="328" spans="2:14" x14ac:dyDescent="0.25">
      <c r="B328" s="20">
        <f>Разбивка_по_щитам!B328</f>
      </c>
      <c r="C328" s="20">
        <f>Разбивка_по_щитам!C328</f>
      </c>
      <c r="D328" s="20">
        <f>Разбивка_по_щитам!F328</f>
      </c>
      <c r="E328" s="20">
        <f>Разбивка_по_щитам!H328</f>
      </c>
      <c r="F328" s="20">
        <f>Разбивка_по_щитам!I328</f>
      </c>
      <c r="G328" s="20">
        <f>Разбивка_по_щитам!J328</f>
        <v/>
      </c>
      <c r="H328" s="20">
        <f>Разбивка_по_щитам!K328</f>
        <v/>
      </c>
      <c r="I328" s="20">
        <f>Разбивка_по_щитам!L328</f>
        <v/>
      </c>
      <c r="J328" s="20">
        <f>Разбивка_по_щитам!M328</f>
        <v/>
      </c>
      <c r="K328" s="20">
        <f>Разбивка_по_щитам!N328</f>
        <v/>
      </c>
      <c r="L328" s="20"/>
      <c r="M328" s="20">
        <f>Разбивка_по_щитам!P328</f>
        <v/>
      </c>
      <c r="N328" s="20"/>
    </row>
    <row r="329" spans="2:14" x14ac:dyDescent="0.25">
      <c r="B329" s="20">
        <f>Разбивка_по_щитам!B329</f>
      </c>
      <c r="C329" s="20">
        <f>Разбивка_по_щитам!C329</f>
      </c>
      <c r="D329" s="20">
        <f>Разбивка_по_щитам!F329</f>
      </c>
      <c r="E329" s="20">
        <f>Разбивка_по_щитам!H329</f>
      </c>
      <c r="F329" s="20">
        <f>Разбивка_по_щитам!I329</f>
      </c>
      <c r="G329" s="20">
        <f>Разбивка_по_щитам!J329</f>
        <v/>
      </c>
      <c r="H329" s="20">
        <f>Разбивка_по_щитам!K329</f>
        <v/>
      </c>
      <c r="I329" s="20">
        <f>Разбивка_по_щитам!L329</f>
        <v/>
      </c>
      <c r="J329" s="20">
        <f>Разбивка_по_щитам!M329</f>
        <v/>
      </c>
      <c r="K329" s="20">
        <f>Разбивка_по_щитам!N329</f>
        <v/>
      </c>
      <c r="L329" s="20"/>
      <c r="M329" s="20">
        <f>Разбивка_по_щитам!P329</f>
        <v/>
      </c>
      <c r="N329" s="20"/>
    </row>
    <row r="330" spans="2:14" x14ac:dyDescent="0.25">
      <c r="B330" s="20">
        <f>Разбивка_по_щитам!B330</f>
      </c>
      <c r="C330" s="20">
        <f>Разбивка_по_щитам!C330</f>
      </c>
      <c r="D330" s="20">
        <f>Разбивка_по_щитам!F330</f>
      </c>
      <c r="E330" s="20">
        <f>Разбивка_по_щитам!H330</f>
      </c>
      <c r="F330" s="20">
        <f>Разбивка_по_щитам!I330</f>
      </c>
      <c r="G330" s="20">
        <f>Разбивка_по_щитам!J330</f>
        <v/>
      </c>
      <c r="H330" s="20">
        <f>Разбивка_по_щитам!K330</f>
        <v/>
      </c>
      <c r="I330" s="20">
        <f>Разбивка_по_щитам!L330</f>
        <v/>
      </c>
      <c r="J330" s="20">
        <f>Разбивка_по_щитам!M330</f>
        <v/>
      </c>
      <c r="K330" s="20">
        <f>Разбивка_по_щитам!N330</f>
        <v/>
      </c>
      <c r="L330" s="20"/>
      <c r="M330" s="20">
        <f>Разбивка_по_щитам!P330</f>
        <v/>
      </c>
      <c r="N330" s="20"/>
    </row>
    <row r="331" spans="2:14" x14ac:dyDescent="0.25">
      <c r="B331" s="20">
        <f>Разбивка_по_щитам!B331</f>
      </c>
      <c r="C331" s="20">
        <f>Разбивка_по_щитам!C331</f>
      </c>
      <c r="D331" s="20">
        <f>Разбивка_по_щитам!F331</f>
      </c>
      <c r="E331" s="20">
        <f>Разбивка_по_щитам!H331</f>
      </c>
      <c r="F331" s="20">
        <f>Разбивка_по_щитам!I331</f>
      </c>
      <c r="G331" s="20">
        <f>Разбивка_по_щитам!J331</f>
        <v/>
      </c>
      <c r="H331" s="20">
        <f>Разбивка_по_щитам!K331</f>
        <v/>
      </c>
      <c r="I331" s="20">
        <f>Разбивка_по_щитам!L331</f>
        <v/>
      </c>
      <c r="J331" s="20">
        <f>Разбивка_по_щитам!M331</f>
        <v/>
      </c>
      <c r="K331" s="20">
        <f>Разбивка_по_щитам!N331</f>
        <v/>
      </c>
      <c r="L331" s="20"/>
      <c r="M331" s="20">
        <f>Разбивка_по_щитам!P331</f>
        <v/>
      </c>
      <c r="N331" s="20"/>
    </row>
    <row r="332" spans="2:14" x14ac:dyDescent="0.25">
      <c r="B332" s="20">
        <f>Разбивка_по_щитам!B332</f>
      </c>
      <c r="C332" s="20">
        <f>Разбивка_по_щитам!C332</f>
      </c>
      <c r="D332" s="20">
        <f>Разбивка_по_щитам!F332</f>
      </c>
      <c r="E332" s="20">
        <f>Разбивка_по_щитам!H332</f>
      </c>
      <c r="F332" s="20">
        <f>Разбивка_по_щитам!I332</f>
      </c>
      <c r="G332" s="20">
        <f>Разбивка_по_щитам!J332</f>
        <v/>
      </c>
      <c r="H332" s="20">
        <f>Разбивка_по_щитам!K332</f>
        <v/>
      </c>
      <c r="I332" s="20">
        <f>Разбивка_по_щитам!L332</f>
        <v/>
      </c>
      <c r="J332" s="20">
        <f>Разбивка_по_щитам!M332</f>
        <v/>
      </c>
      <c r="K332" s="20">
        <f>Разбивка_по_щитам!N332</f>
        <v/>
      </c>
      <c r="L332" s="20"/>
      <c r="M332" s="20">
        <f>Разбивка_по_щитам!P332</f>
        <v/>
      </c>
      <c r="N332" s="20"/>
    </row>
    <row r="333" spans="2:14" x14ac:dyDescent="0.25">
      <c r="B333" s="20">
        <f>Разбивка_по_щитам!B333</f>
      </c>
      <c r="C333" s="20">
        <f>Разбивка_по_щитам!C333</f>
      </c>
      <c r="D333" s="20">
        <f>Разбивка_по_щитам!F333</f>
      </c>
      <c r="E333" s="20">
        <f>Разбивка_по_щитам!H333</f>
      </c>
      <c r="F333" s="20">
        <f>Разбивка_по_щитам!I333</f>
      </c>
      <c r="G333" s="20">
        <f>Разбивка_по_щитам!J333</f>
        <v/>
      </c>
      <c r="H333" s="20">
        <f>Разбивка_по_щитам!K333</f>
        <v/>
      </c>
      <c r="I333" s="20">
        <f>Разбивка_по_щитам!L333</f>
        <v/>
      </c>
      <c r="J333" s="20">
        <f>Разбивка_по_щитам!M333</f>
        <v/>
      </c>
      <c r="K333" s="20">
        <f>Разбивка_по_щитам!N333</f>
        <v/>
      </c>
      <c r="L333" s="20"/>
      <c r="M333" s="20">
        <f>Разбивка_по_щитам!P333</f>
        <v/>
      </c>
      <c r="N333" s="20"/>
    </row>
    <row r="334" spans="2:14" x14ac:dyDescent="0.25">
      <c r="B334" s="20">
        <f>Разбивка_по_щитам!B334</f>
      </c>
      <c r="C334" s="20">
        <f>Разбивка_по_щитам!C334</f>
      </c>
      <c r="D334" s="20">
        <f>Разбивка_по_щитам!F334</f>
      </c>
      <c r="E334" s="20">
        <f>Разбивка_по_щитам!H334</f>
      </c>
      <c r="F334" s="20">
        <f>Разбивка_по_щитам!I334</f>
      </c>
      <c r="G334" s="20">
        <f>Разбивка_по_щитам!J334</f>
        <v/>
      </c>
      <c r="H334" s="20">
        <f>Разбивка_по_щитам!K334</f>
        <v/>
      </c>
      <c r="I334" s="20">
        <f>Разбивка_по_щитам!L334</f>
        <v/>
      </c>
      <c r="J334" s="20">
        <f>Разбивка_по_щитам!M334</f>
        <v/>
      </c>
      <c r="K334" s="20">
        <f>Разбивка_по_щитам!N334</f>
        <v/>
      </c>
      <c r="L334" s="20"/>
      <c r="M334" s="20">
        <f>Разбивка_по_щитам!P334</f>
        <v/>
      </c>
      <c r="N334" s="20"/>
    </row>
    <row r="335" spans="2:14" x14ac:dyDescent="0.25">
      <c r="B335" s="20">
        <f>Разбивка_по_щитам!B335</f>
      </c>
      <c r="C335" s="20">
        <f>Разбивка_по_щитам!C335</f>
      </c>
      <c r="D335" s="20">
        <f>Разбивка_по_щитам!F335</f>
      </c>
      <c r="E335" s="20">
        <f>Разбивка_по_щитам!H335</f>
      </c>
      <c r="F335" s="20">
        <f>Разбивка_по_щитам!I335</f>
      </c>
      <c r="G335" s="20">
        <f>Разбивка_по_щитам!J335</f>
        <v/>
      </c>
      <c r="H335" s="20">
        <f>Разбивка_по_щитам!K335</f>
        <v/>
      </c>
      <c r="I335" s="20">
        <f>Разбивка_по_щитам!L335</f>
        <v/>
      </c>
      <c r="J335" s="20">
        <f>Разбивка_по_щитам!M335</f>
        <v/>
      </c>
      <c r="K335" s="20">
        <f>Разбивка_по_щитам!N335</f>
        <v/>
      </c>
      <c r="L335" s="20"/>
      <c r="M335" s="20">
        <f>Разбивка_по_щитам!P335</f>
        <v/>
      </c>
      <c r="N335" s="20"/>
    </row>
    <row r="336" spans="2:14" x14ac:dyDescent="0.25">
      <c r="B336" s="20">
        <f>Разбивка_по_щитам!B336</f>
      </c>
      <c r="C336" s="20">
        <f>Разбивка_по_щитам!C336</f>
      </c>
      <c r="D336" s="20">
        <f>Разбивка_по_щитам!F336</f>
      </c>
      <c r="E336" s="20">
        <f>Разбивка_по_щитам!H336</f>
      </c>
      <c r="F336" s="20">
        <f>Разбивка_по_щитам!I336</f>
      </c>
      <c r="G336" s="20">
        <f>Разбивка_по_щитам!J336</f>
        <v/>
      </c>
      <c r="H336" s="20">
        <f>Разбивка_по_щитам!K336</f>
        <v/>
      </c>
      <c r="I336" s="20">
        <f>Разбивка_по_щитам!L336</f>
        <v/>
      </c>
      <c r="J336" s="20">
        <f>Разбивка_по_щитам!M336</f>
        <v/>
      </c>
      <c r="K336" s="20">
        <f>Разбивка_по_щитам!N336</f>
        <v/>
      </c>
      <c r="L336" s="20"/>
      <c r="M336" s="20">
        <f>Разбивка_по_щитам!P336</f>
        <v/>
      </c>
      <c r="N336" s="20"/>
    </row>
    <row r="337" spans="2:14" x14ac:dyDescent="0.25">
      <c r="B337" s="20">
        <f>Разбивка_по_щитам!B337</f>
      </c>
      <c r="C337" s="20">
        <f>Разбивка_по_щитам!C337</f>
      </c>
      <c r="D337" s="20">
        <f>Разбивка_по_щитам!F337</f>
      </c>
      <c r="E337" s="20">
        <f>Разбивка_по_щитам!H337</f>
      </c>
      <c r="F337" s="20">
        <f>Разбивка_по_щитам!I337</f>
      </c>
      <c r="G337" s="20">
        <f>Разбивка_по_щитам!J337</f>
        <v/>
      </c>
      <c r="H337" s="20">
        <f>Разбивка_по_щитам!K337</f>
        <v/>
      </c>
      <c r="I337" s="20">
        <f>Разбивка_по_щитам!L337</f>
        <v/>
      </c>
      <c r="J337" s="20">
        <f>Разбивка_по_щитам!M337</f>
        <v/>
      </c>
      <c r="K337" s="20">
        <f>Разбивка_по_щитам!N337</f>
        <v/>
      </c>
      <c r="L337" s="20"/>
      <c r="M337" s="20">
        <f>Разбивка_по_щитам!P337</f>
        <v/>
      </c>
      <c r="N337" s="20"/>
    </row>
    <row r="338" spans="2:14" x14ac:dyDescent="0.25">
      <c r="B338" s="20">
        <f>Разбивка_по_щитам!B338</f>
      </c>
      <c r="C338" s="20">
        <f>Разбивка_по_щитам!C338</f>
      </c>
      <c r="D338" s="20">
        <f>Разбивка_по_щитам!F338</f>
      </c>
      <c r="E338" s="20">
        <f>Разбивка_по_щитам!H338</f>
      </c>
      <c r="F338" s="20">
        <f>Разбивка_по_щитам!I338</f>
      </c>
      <c r="G338" s="20">
        <f>Разбивка_по_щитам!J338</f>
        <v/>
      </c>
      <c r="H338" s="20">
        <f>Разбивка_по_щитам!K338</f>
        <v/>
      </c>
      <c r="I338" s="20">
        <f>Разбивка_по_щитам!L338</f>
        <v/>
      </c>
      <c r="J338" s="20">
        <f>Разбивка_по_щитам!M338</f>
        <v/>
      </c>
      <c r="K338" s="20">
        <f>Разбивка_по_щитам!N338</f>
        <v/>
      </c>
      <c r="L338" s="20"/>
      <c r="M338" s="20">
        <f>Разбивка_по_щитам!P338</f>
        <v/>
      </c>
      <c r="N338" s="20"/>
    </row>
    <row r="339" spans="2:14" x14ac:dyDescent="0.25">
      <c r="B339" s="20">
        <f>Разбивка_по_щитам!B339</f>
      </c>
      <c r="C339" s="20">
        <f>Разбивка_по_щитам!C339</f>
      </c>
      <c r="D339" s="20">
        <f>Разбивка_по_щитам!F339</f>
      </c>
      <c r="E339" s="20">
        <f>Разбивка_по_щитам!H339</f>
      </c>
      <c r="F339" s="20">
        <f>Разбивка_по_щитам!I339</f>
      </c>
      <c r="G339" s="20">
        <f>Разбивка_по_щитам!J339</f>
        <v/>
      </c>
      <c r="H339" s="20">
        <f>Разбивка_по_щитам!K339</f>
        <v/>
      </c>
      <c r="I339" s="20">
        <f>Разбивка_по_щитам!L339</f>
        <v/>
      </c>
      <c r="J339" s="20">
        <f>Разбивка_по_щитам!M339</f>
        <v/>
      </c>
      <c r="K339" s="20">
        <f>Разбивка_по_щитам!N339</f>
        <v/>
      </c>
      <c r="L339" s="20"/>
      <c r="M339" s="20">
        <f>Разбивка_по_щитам!P339</f>
        <v/>
      </c>
      <c r="N339" s="20"/>
    </row>
    <row r="340" spans="2:14" x14ac:dyDescent="0.25">
      <c r="B340" s="20">
        <f>Разбивка_по_щитам!B340</f>
      </c>
      <c r="C340" s="20">
        <f>Разбивка_по_щитам!C340</f>
      </c>
      <c r="D340" s="20">
        <f>Разбивка_по_щитам!F340</f>
      </c>
      <c r="E340" s="20">
        <f>Разбивка_по_щитам!H340</f>
      </c>
      <c r="F340" s="20">
        <f>Разбивка_по_щитам!I340</f>
      </c>
      <c r="G340" s="20">
        <f>Разбивка_по_щитам!J340</f>
        <v/>
      </c>
      <c r="H340" s="20">
        <f>Разбивка_по_щитам!K340</f>
        <v/>
      </c>
      <c r="I340" s="20">
        <f>Разбивка_по_щитам!L340</f>
        <v/>
      </c>
      <c r="J340" s="20">
        <f>Разбивка_по_щитам!M340</f>
        <v/>
      </c>
      <c r="K340" s="20">
        <f>Разбивка_по_щитам!N340</f>
        <v/>
      </c>
      <c r="L340" s="20"/>
      <c r="M340" s="20">
        <f>Разбивка_по_щитам!P340</f>
        <v/>
      </c>
      <c r="N340" s="20"/>
    </row>
    <row r="341" spans="2:14" x14ac:dyDescent="0.25">
      <c r="B341" s="20">
        <f>Разбивка_по_щитам!B341</f>
      </c>
      <c r="C341" s="20">
        <f>Разбивка_по_щитам!C341</f>
      </c>
      <c r="D341" s="20">
        <f>Разбивка_по_щитам!F341</f>
      </c>
      <c r="E341" s="20">
        <f>Разбивка_по_щитам!H341</f>
      </c>
      <c r="F341" s="20">
        <f>Разбивка_по_щитам!I341</f>
      </c>
      <c r="G341" s="20">
        <f>Разбивка_по_щитам!J341</f>
        <v/>
      </c>
      <c r="H341" s="20">
        <f>Разбивка_по_щитам!K341</f>
        <v/>
      </c>
      <c r="I341" s="20">
        <f>Разбивка_по_щитам!L341</f>
        <v/>
      </c>
      <c r="J341" s="20">
        <f>Разбивка_по_щитам!M341</f>
        <v/>
      </c>
      <c r="K341" s="20">
        <f>Разбивка_по_щитам!N341</f>
        <v/>
      </c>
      <c r="L341" s="20"/>
      <c r="M341" s="20">
        <f>Разбивка_по_щитам!P341</f>
        <v/>
      </c>
      <c r="N341" s="20"/>
    </row>
    <row r="342" spans="2:14" x14ac:dyDescent="0.25">
      <c r="B342" s="20">
        <f>Разбивка_по_щитам!B342</f>
      </c>
      <c r="C342" s="20">
        <f>Разбивка_по_щитам!C342</f>
      </c>
      <c r="D342" s="20">
        <f>Разбивка_по_щитам!F342</f>
      </c>
      <c r="E342" s="20">
        <f>Разбивка_по_щитам!H342</f>
      </c>
      <c r="F342" s="20">
        <f>Разбивка_по_щитам!I342</f>
      </c>
      <c r="G342" s="20">
        <f>Разбивка_по_щитам!J342</f>
        <v/>
      </c>
      <c r="H342" s="20">
        <f>Разбивка_по_щитам!K342</f>
        <v/>
      </c>
      <c r="I342" s="20">
        <f>Разбивка_по_щитам!L342</f>
        <v/>
      </c>
      <c r="J342" s="20">
        <f>Разбивка_по_щитам!M342</f>
        <v/>
      </c>
      <c r="K342" s="20">
        <f>Разбивка_по_щитам!N342</f>
        <v/>
      </c>
      <c r="L342" s="20"/>
      <c r="M342" s="20">
        <f>Разбивка_по_щитам!P342</f>
        <v/>
      </c>
      <c r="N342" s="20"/>
    </row>
    <row r="343" spans="2:14" x14ac:dyDescent="0.25">
      <c r="B343" s="20">
        <f>Разбивка_по_щитам!B343</f>
      </c>
      <c r="C343" s="20">
        <f>Разбивка_по_щитам!C343</f>
      </c>
      <c r="D343" s="20">
        <f>Разбивка_по_щитам!F343</f>
      </c>
      <c r="E343" s="20">
        <f>Разбивка_по_щитам!H343</f>
      </c>
      <c r="F343" s="20">
        <f>Разбивка_по_щитам!I343</f>
      </c>
      <c r="G343" s="20">
        <f>Разбивка_по_щитам!J343</f>
        <v/>
      </c>
      <c r="H343" s="20">
        <f>Разбивка_по_щитам!K343</f>
        <v/>
      </c>
      <c r="I343" s="20">
        <f>Разбивка_по_щитам!L343</f>
        <v/>
      </c>
      <c r="J343" s="20">
        <f>Разбивка_по_щитам!M343</f>
        <v/>
      </c>
      <c r="K343" s="20">
        <f>Разбивка_по_щитам!N343</f>
        <v/>
      </c>
      <c r="L343" s="20"/>
      <c r="M343" s="20">
        <f>Разбивка_по_щитам!P343</f>
        <v/>
      </c>
      <c r="N343" s="20"/>
    </row>
    <row r="344" spans="2:14" x14ac:dyDescent="0.25">
      <c r="B344" s="20">
        <f>Разбивка_по_щитам!B344</f>
      </c>
      <c r="C344" s="20">
        <f>Разбивка_по_щитам!C344</f>
      </c>
      <c r="D344" s="20">
        <f>Разбивка_по_щитам!F344</f>
      </c>
      <c r="E344" s="20">
        <f>Разбивка_по_щитам!H344</f>
      </c>
      <c r="F344" s="20">
        <f>Разбивка_по_щитам!I344</f>
      </c>
      <c r="G344" s="20">
        <f>Разбивка_по_щитам!J344</f>
        <v/>
      </c>
      <c r="H344" s="20">
        <f>Разбивка_по_щитам!K344</f>
        <v/>
      </c>
      <c r="I344" s="20">
        <f>Разбивка_по_щитам!L344</f>
        <v/>
      </c>
      <c r="J344" s="20">
        <f>Разбивка_по_щитам!M344</f>
        <v/>
      </c>
      <c r="K344" s="20">
        <f>Разбивка_по_щитам!N344</f>
        <v/>
      </c>
      <c r="L344" s="20"/>
      <c r="M344" s="20">
        <f>Разбивка_по_щитам!P344</f>
        <v/>
      </c>
      <c r="N344" s="20"/>
    </row>
    <row r="345" spans="2:14" x14ac:dyDescent="0.25">
      <c r="B345" s="20">
        <f>Разбивка_по_щитам!B345</f>
      </c>
      <c r="C345" s="20">
        <f>Разбивка_по_щитам!C345</f>
      </c>
      <c r="D345" s="20">
        <f>Разбивка_по_щитам!F345</f>
      </c>
      <c r="E345" s="20">
        <f>Разбивка_по_щитам!H345</f>
      </c>
      <c r="F345" s="20">
        <f>Разбивка_по_щитам!I345</f>
      </c>
      <c r="G345" s="20">
        <f>Разбивка_по_щитам!J345</f>
        <v/>
      </c>
      <c r="H345" s="20">
        <f>Разбивка_по_щитам!K345</f>
        <v/>
      </c>
      <c r="I345" s="20">
        <f>Разбивка_по_щитам!L345</f>
        <v/>
      </c>
      <c r="J345" s="20">
        <f>Разбивка_по_щитам!M345</f>
        <v/>
      </c>
      <c r="K345" s="20">
        <f>Разбивка_по_щитам!N345</f>
        <v/>
      </c>
      <c r="L345" s="20"/>
      <c r="M345" s="20">
        <f>Разбивка_по_щитам!P345</f>
        <v/>
      </c>
      <c r="N345" s="20"/>
    </row>
    <row r="346" spans="2:14" x14ac:dyDescent="0.25">
      <c r="B346" s="20">
        <f>Разбивка_по_щитам!B346</f>
      </c>
      <c r="C346" s="20">
        <f>Разбивка_по_щитам!C346</f>
      </c>
      <c r="D346" s="20">
        <f>Разбивка_по_щитам!F346</f>
      </c>
      <c r="E346" s="20">
        <f>Разбивка_по_щитам!H346</f>
      </c>
      <c r="F346" s="20">
        <f>Разбивка_по_щитам!I346</f>
      </c>
      <c r="G346" s="20">
        <f>Разбивка_по_щитам!J346</f>
        <v/>
      </c>
      <c r="H346" s="20">
        <f>Разбивка_по_щитам!K346</f>
        <v/>
      </c>
      <c r="I346" s="20">
        <f>Разбивка_по_щитам!L346</f>
        <v/>
      </c>
      <c r="J346" s="20">
        <f>Разбивка_по_щитам!M346</f>
        <v/>
      </c>
      <c r="K346" s="20">
        <f>Разбивка_по_щитам!N346</f>
        <v/>
      </c>
      <c r="L346" s="20"/>
      <c r="M346" s="20">
        <f>Разбивка_по_щитам!P346</f>
        <v/>
      </c>
      <c r="N346" s="20"/>
    </row>
    <row r="347" spans="2:14" x14ac:dyDescent="0.25">
      <c r="B347" s="20">
        <f>Разбивка_по_щитам!B347</f>
      </c>
      <c r="C347" s="20">
        <f>Разбивка_по_щитам!C347</f>
      </c>
      <c r="D347" s="20">
        <f>Разбивка_по_щитам!F347</f>
      </c>
      <c r="E347" s="20">
        <f>Разбивка_по_щитам!H347</f>
      </c>
      <c r="F347" s="20">
        <f>Разбивка_по_щитам!I347</f>
      </c>
      <c r="G347" s="20">
        <f>Разбивка_по_щитам!J347</f>
        <v/>
      </c>
      <c r="H347" s="20">
        <f>Разбивка_по_щитам!K347</f>
        <v/>
      </c>
      <c r="I347" s="20">
        <f>Разбивка_по_щитам!L347</f>
        <v/>
      </c>
      <c r="J347" s="20">
        <f>Разбивка_по_щитам!M347</f>
        <v/>
      </c>
      <c r="K347" s="20">
        <f>Разбивка_по_щитам!N347</f>
        <v/>
      </c>
      <c r="L347" s="20"/>
      <c r="M347" s="20">
        <f>Разбивка_по_щитам!P347</f>
        <v/>
      </c>
      <c r="N347" s="20"/>
    </row>
    <row r="348" spans="2:14" x14ac:dyDescent="0.25">
      <c r="B348" s="20">
        <f>Разбивка_по_щитам!B348</f>
      </c>
      <c r="C348" s="20">
        <f>Разбивка_по_щитам!C348</f>
      </c>
      <c r="D348" s="20">
        <f>Разбивка_по_щитам!F348</f>
      </c>
      <c r="E348" s="20">
        <f>Разбивка_по_щитам!H348</f>
      </c>
      <c r="F348" s="20">
        <f>Разбивка_по_щитам!I348</f>
      </c>
      <c r="G348" s="20">
        <f>Разбивка_по_щитам!J348</f>
        <v/>
      </c>
      <c r="H348" s="20">
        <f>Разбивка_по_щитам!K348</f>
        <v/>
      </c>
      <c r="I348" s="20">
        <f>Разбивка_по_щитам!L348</f>
        <v/>
      </c>
      <c r="J348" s="20">
        <f>Разбивка_по_щитам!M348</f>
        <v/>
      </c>
      <c r="K348" s="20">
        <f>Разбивка_по_щитам!N348</f>
        <v/>
      </c>
      <c r="L348" s="20"/>
      <c r="M348" s="20">
        <f>Разбивка_по_щитам!P348</f>
        <v/>
      </c>
      <c r="N348" s="20"/>
    </row>
    <row r="349" spans="2:14" x14ac:dyDescent="0.25">
      <c r="B349" s="20">
        <f>Разбивка_по_щитам!B349</f>
      </c>
      <c r="C349" s="20">
        <f>Разбивка_по_щитам!C349</f>
      </c>
      <c r="D349" s="20">
        <f>Разбивка_по_щитам!F349</f>
      </c>
      <c r="E349" s="20">
        <f>Разбивка_по_щитам!H349</f>
      </c>
      <c r="F349" s="20">
        <f>Разбивка_по_щитам!I349</f>
      </c>
      <c r="G349" s="20">
        <f>Разбивка_по_щитам!J349</f>
        <v/>
      </c>
      <c r="H349" s="20">
        <f>Разбивка_по_щитам!K349</f>
        <v/>
      </c>
      <c r="I349" s="20">
        <f>Разбивка_по_щитам!L349</f>
        <v/>
      </c>
      <c r="J349" s="20">
        <f>Разбивка_по_щитам!M349</f>
        <v/>
      </c>
      <c r="K349" s="20">
        <f>Разбивка_по_щитам!N349</f>
        <v/>
      </c>
      <c r="L349" s="20"/>
      <c r="M349" s="20">
        <f>Разбивка_по_щитам!P349</f>
        <v/>
      </c>
      <c r="N349" s="20"/>
    </row>
    <row r="350" spans="2:14" x14ac:dyDescent="0.25">
      <c r="B350" s="20">
        <f>Разбивка_по_щитам!B350</f>
      </c>
      <c r="C350" s="20">
        <f>Разбивка_по_щитам!C350</f>
      </c>
      <c r="D350" s="20">
        <f>Разбивка_по_щитам!F350</f>
      </c>
      <c r="E350" s="20">
        <f>Разбивка_по_щитам!H350</f>
      </c>
      <c r="F350" s="20">
        <f>Разбивка_по_щитам!I350</f>
      </c>
      <c r="G350" s="20">
        <f>Разбивка_по_щитам!J350</f>
        <v/>
      </c>
      <c r="H350" s="20">
        <f>Разбивка_по_щитам!K350</f>
        <v/>
      </c>
      <c r="I350" s="20">
        <f>Разбивка_по_щитам!L350</f>
        <v/>
      </c>
      <c r="J350" s="20">
        <f>Разбивка_по_щитам!M350</f>
        <v/>
      </c>
      <c r="K350" s="20">
        <f>Разбивка_по_щитам!N350</f>
        <v/>
      </c>
      <c r="L350" s="20"/>
      <c r="M350" s="20">
        <f>Разбивка_по_щитам!P350</f>
        <v/>
      </c>
      <c r="N350" s="20"/>
    </row>
    <row r="351" spans="2:14" x14ac:dyDescent="0.25">
      <c r="B351" s="20">
        <f>Разбивка_по_щитам!B351</f>
      </c>
      <c r="C351" s="20">
        <f>Разбивка_по_щитам!C351</f>
      </c>
      <c r="D351" s="20">
        <f>Разбивка_по_щитам!F351</f>
      </c>
      <c r="E351" s="20">
        <f>Разбивка_по_щитам!H351</f>
      </c>
      <c r="F351" s="20">
        <f>Разбивка_по_щитам!I351</f>
      </c>
      <c r="G351" s="20">
        <f>Разбивка_по_щитам!J351</f>
        <v/>
      </c>
      <c r="H351" s="20">
        <f>Разбивка_по_щитам!K351</f>
        <v/>
      </c>
      <c r="I351" s="20">
        <f>Разбивка_по_щитам!L351</f>
        <v/>
      </c>
      <c r="J351" s="20">
        <f>Разбивка_по_щитам!M351</f>
        <v/>
      </c>
      <c r="K351" s="20">
        <f>Разбивка_по_щитам!N351</f>
        <v/>
      </c>
      <c r="L351" s="20"/>
      <c r="M351" s="20">
        <f>Разбивка_по_щитам!P351</f>
        <v/>
      </c>
      <c r="N351" s="20"/>
    </row>
    <row r="352" spans="2:14" x14ac:dyDescent="0.25">
      <c r="B352" s="20">
        <f>Разбивка_по_щитам!B352</f>
      </c>
      <c r="C352" s="20">
        <f>Разбивка_по_щитам!C352</f>
      </c>
      <c r="D352" s="20">
        <f>Разбивка_по_щитам!F352</f>
      </c>
      <c r="E352" s="20">
        <f>Разбивка_по_щитам!H352</f>
      </c>
      <c r="F352" s="20">
        <f>Разбивка_по_щитам!I352</f>
      </c>
      <c r="G352" s="20">
        <f>Разбивка_по_щитам!J352</f>
        <v/>
      </c>
      <c r="H352" s="20">
        <f>Разбивка_по_щитам!K352</f>
        <v/>
      </c>
      <c r="I352" s="20">
        <f>Разбивка_по_щитам!L352</f>
        <v/>
      </c>
      <c r="J352" s="20">
        <f>Разбивка_по_щитам!M352</f>
        <v/>
      </c>
      <c r="K352" s="20">
        <f>Разбивка_по_щитам!N352</f>
        <v/>
      </c>
      <c r="L352" s="20"/>
      <c r="M352" s="20">
        <f>Разбивка_по_щитам!P352</f>
        <v/>
      </c>
      <c r="N352" s="20"/>
    </row>
    <row r="353" spans="2:14" x14ac:dyDescent="0.25">
      <c r="B353" s="20">
        <f>Разбивка_по_щитам!B353</f>
      </c>
      <c r="C353" s="20">
        <f>Разбивка_по_щитам!C353</f>
      </c>
      <c r="D353" s="20">
        <f>Разбивка_по_щитам!F353</f>
      </c>
      <c r="E353" s="20">
        <f>Разбивка_по_щитам!H353</f>
      </c>
      <c r="F353" s="20">
        <f>Разбивка_по_щитам!I353</f>
      </c>
      <c r="G353" s="20">
        <f>Разбивка_по_щитам!J353</f>
        <v/>
      </c>
      <c r="H353" s="20">
        <f>Разбивка_по_щитам!K353</f>
        <v/>
      </c>
      <c r="I353" s="20">
        <f>Разбивка_по_щитам!L353</f>
        <v/>
      </c>
      <c r="J353" s="20">
        <f>Разбивка_по_щитам!M353</f>
        <v/>
      </c>
      <c r="K353" s="20">
        <f>Разбивка_по_щитам!N353</f>
        <v/>
      </c>
      <c r="L353" s="20"/>
      <c r="M353" s="20">
        <f>Разбивка_по_щитам!P353</f>
        <v/>
      </c>
      <c r="N353" s="20"/>
    </row>
    <row r="354" spans="2:14" x14ac:dyDescent="0.25">
      <c r="B354" s="20">
        <f>Разбивка_по_щитам!B354</f>
      </c>
      <c r="C354" s="20">
        <f>Разбивка_по_щитам!C354</f>
      </c>
      <c r="D354" s="20">
        <f>Разбивка_по_щитам!F354</f>
      </c>
      <c r="E354" s="20">
        <f>Разбивка_по_щитам!H354</f>
      </c>
      <c r="F354" s="20">
        <f>Разбивка_по_щитам!I354</f>
      </c>
      <c r="G354" s="20">
        <f>Разбивка_по_щитам!J354</f>
        <v/>
      </c>
      <c r="H354" s="20">
        <f>Разбивка_по_щитам!K354</f>
        <v/>
      </c>
      <c r="I354" s="20">
        <f>Разбивка_по_щитам!L354</f>
        <v/>
      </c>
      <c r="J354" s="20">
        <f>Разбивка_по_щитам!M354</f>
        <v/>
      </c>
      <c r="K354" s="20">
        <f>Разбивка_по_щитам!N354</f>
        <v/>
      </c>
      <c r="L354" s="20"/>
      <c r="M354" s="20">
        <f>Разбивка_по_щитам!P354</f>
        <v/>
      </c>
      <c r="N354" s="20"/>
    </row>
    <row r="355" spans="2:14" x14ac:dyDescent="0.25">
      <c r="B355" s="20">
        <f>Разбивка_по_щитам!B355</f>
      </c>
      <c r="C355" s="20">
        <f>Разбивка_по_щитам!C355</f>
      </c>
      <c r="D355" s="20">
        <f>Разбивка_по_щитам!F355</f>
      </c>
      <c r="E355" s="20">
        <f>Разбивка_по_щитам!H355</f>
      </c>
      <c r="F355" s="20">
        <f>Разбивка_по_щитам!I355</f>
      </c>
      <c r="G355" s="20">
        <f>Разбивка_по_щитам!J355</f>
        <v/>
      </c>
      <c r="H355" s="20">
        <f>Разбивка_по_щитам!K355</f>
        <v/>
      </c>
      <c r="I355" s="20">
        <f>Разбивка_по_щитам!L355</f>
        <v/>
      </c>
      <c r="J355" s="20">
        <f>Разбивка_по_щитам!M355</f>
        <v/>
      </c>
      <c r="K355" s="20">
        <f>Разбивка_по_щитам!N355</f>
        <v/>
      </c>
      <c r="L355" s="20"/>
      <c r="M355" s="20">
        <f>Разбивка_по_щитам!P355</f>
        <v/>
      </c>
      <c r="N355" s="20"/>
    </row>
    <row r="356" spans="2:14" x14ac:dyDescent="0.25">
      <c r="B356" s="20">
        <f>Разбивка_по_щитам!B356</f>
      </c>
      <c r="C356" s="20">
        <f>Разбивка_по_щитам!C356</f>
      </c>
      <c r="D356" s="20">
        <f>Разбивка_по_щитам!F356</f>
      </c>
      <c r="E356" s="20">
        <f>Разбивка_по_щитам!H356</f>
      </c>
      <c r="F356" s="20">
        <f>Разбивка_по_щитам!I356</f>
      </c>
      <c r="G356" s="20">
        <f>Разбивка_по_щитам!J356</f>
        <v/>
      </c>
      <c r="H356" s="20">
        <f>Разбивка_по_щитам!K356</f>
        <v/>
      </c>
      <c r="I356" s="20">
        <f>Разбивка_по_щитам!L356</f>
        <v/>
      </c>
      <c r="J356" s="20">
        <f>Разбивка_по_щитам!M356</f>
        <v/>
      </c>
      <c r="K356" s="20">
        <f>Разбивка_по_щитам!N356</f>
        <v/>
      </c>
      <c r="L356" s="20"/>
      <c r="M356" s="20">
        <f>Разбивка_по_щитам!P356</f>
        <v/>
      </c>
      <c r="N356" s="20"/>
    </row>
    <row r="357" spans="2:14" x14ac:dyDescent="0.25">
      <c r="B357" s="20">
        <f>Разбивка_по_щитам!B357</f>
      </c>
      <c r="C357" s="20">
        <f>Разбивка_по_щитам!C357</f>
      </c>
      <c r="D357" s="20">
        <f>Разбивка_по_щитам!F357</f>
      </c>
      <c r="E357" s="20">
        <f>Разбивка_по_щитам!H357</f>
      </c>
      <c r="F357" s="20">
        <f>Разбивка_по_щитам!I357</f>
      </c>
      <c r="G357" s="20">
        <f>Разбивка_по_щитам!J357</f>
        <v/>
      </c>
      <c r="H357" s="20">
        <f>Разбивка_по_щитам!K357</f>
        <v/>
      </c>
      <c r="I357" s="20">
        <f>Разбивка_по_щитам!L357</f>
        <v/>
      </c>
      <c r="J357" s="20">
        <f>Разбивка_по_щитам!M357</f>
        <v/>
      </c>
      <c r="K357" s="20">
        <f>Разбивка_по_щитам!N357</f>
        <v/>
      </c>
      <c r="L357" s="20"/>
      <c r="M357" s="20">
        <f>Разбивка_по_щитам!P357</f>
        <v/>
      </c>
      <c r="N357" s="20"/>
    </row>
    <row r="358" spans="2:14" x14ac:dyDescent="0.25">
      <c r="B358" s="20">
        <f>Разбивка_по_щитам!B358</f>
      </c>
      <c r="C358" s="20">
        <f>Разбивка_по_щитам!C358</f>
      </c>
      <c r="D358" s="20">
        <f>Разбивка_по_щитам!F358</f>
      </c>
      <c r="E358" s="20">
        <f>Разбивка_по_щитам!H358</f>
      </c>
      <c r="F358" s="20">
        <f>Разбивка_по_щитам!I358</f>
      </c>
      <c r="G358" s="20">
        <f>Разбивка_по_щитам!J358</f>
        <v/>
      </c>
      <c r="H358" s="20">
        <f>Разбивка_по_щитам!K358</f>
        <v/>
      </c>
      <c r="I358" s="20">
        <f>Разбивка_по_щитам!L358</f>
        <v/>
      </c>
      <c r="J358" s="20">
        <f>Разбивка_по_щитам!M358</f>
        <v/>
      </c>
      <c r="K358" s="20">
        <f>Разбивка_по_щитам!N358</f>
        <v/>
      </c>
      <c r="L358" s="20"/>
      <c r="M358" s="20">
        <f>Разбивка_по_щитам!P358</f>
        <v/>
      </c>
      <c r="N358" s="20"/>
    </row>
    <row r="359" spans="2:14" x14ac:dyDescent="0.25">
      <c r="B359" s="20">
        <f>Разбивка_по_щитам!B359</f>
      </c>
      <c r="C359" s="20">
        <f>Разбивка_по_щитам!C359</f>
      </c>
      <c r="D359" s="20">
        <f>Разбивка_по_щитам!F359</f>
      </c>
      <c r="E359" s="20">
        <f>Разбивка_по_щитам!H359</f>
      </c>
      <c r="F359" s="20">
        <f>Разбивка_по_щитам!I359</f>
      </c>
      <c r="G359" s="20">
        <f>Разбивка_по_щитам!J359</f>
        <v/>
      </c>
      <c r="H359" s="20">
        <f>Разбивка_по_щитам!K359</f>
        <v/>
      </c>
      <c r="I359" s="20">
        <f>Разбивка_по_щитам!L359</f>
        <v/>
      </c>
      <c r="J359" s="20">
        <f>Разбивка_по_щитам!M359</f>
        <v/>
      </c>
      <c r="K359" s="20">
        <f>Разбивка_по_щитам!N359</f>
        <v/>
      </c>
      <c r="L359" s="20"/>
      <c r="M359" s="20">
        <f>Разбивка_по_щитам!P359</f>
        <v/>
      </c>
      <c r="N359" s="20"/>
    </row>
    <row r="360" spans="2:14" x14ac:dyDescent="0.25">
      <c r="B360" s="20">
        <f>Разбивка_по_щитам!B360</f>
      </c>
      <c r="C360" s="20">
        <f>Разбивка_по_щитам!C360</f>
      </c>
      <c r="D360" s="20">
        <f>Разбивка_по_щитам!F360</f>
      </c>
      <c r="E360" s="20">
        <f>Разбивка_по_щитам!H360</f>
      </c>
      <c r="F360" s="20">
        <f>Разбивка_по_щитам!I360</f>
      </c>
      <c r="G360" s="20">
        <f>Разбивка_по_щитам!J360</f>
        <v/>
      </c>
      <c r="H360" s="20">
        <f>Разбивка_по_щитам!K360</f>
        <v/>
      </c>
      <c r="I360" s="20">
        <f>Разбивка_по_щитам!L360</f>
        <v/>
      </c>
      <c r="J360" s="20">
        <f>Разбивка_по_щитам!M360</f>
        <v/>
      </c>
      <c r="K360" s="20">
        <f>Разбивка_по_щитам!N360</f>
        <v/>
      </c>
      <c r="L360" s="20"/>
      <c r="M360" s="20">
        <f>Разбивка_по_щитам!P360</f>
        <v/>
      </c>
      <c r="N360" s="20"/>
    </row>
    <row r="361" spans="2:14" x14ac:dyDescent="0.25">
      <c r="B361" s="20">
        <f>Разбивка_по_щитам!B361</f>
      </c>
      <c r="C361" s="20">
        <f>Разбивка_по_щитам!C361</f>
      </c>
      <c r="D361" s="20">
        <f>Разбивка_по_щитам!F361</f>
      </c>
      <c r="E361" s="20">
        <f>Разбивка_по_щитам!H361</f>
      </c>
      <c r="F361" s="20">
        <f>Разбивка_по_щитам!I361</f>
      </c>
      <c r="G361" s="20">
        <f>Разбивка_по_щитам!J361</f>
        <v/>
      </c>
      <c r="H361" s="20">
        <f>Разбивка_по_щитам!K361</f>
        <v/>
      </c>
      <c r="I361" s="20">
        <f>Разбивка_по_щитам!L361</f>
        <v/>
      </c>
      <c r="J361" s="20">
        <f>Разбивка_по_щитам!M361</f>
        <v/>
      </c>
      <c r="K361" s="20">
        <f>Разбивка_по_щитам!N361</f>
        <v/>
      </c>
      <c r="L361" s="20"/>
      <c r="M361" s="20">
        <f>Разбивка_по_щитам!P361</f>
        <v/>
      </c>
      <c r="N361" s="20"/>
    </row>
    <row r="362" spans="2:14" x14ac:dyDescent="0.25">
      <c r="B362" s="20">
        <f>Разбивка_по_щитам!B362</f>
      </c>
      <c r="C362" s="20">
        <f>Разбивка_по_щитам!C362</f>
      </c>
      <c r="D362" s="20">
        <f>Разбивка_по_щитам!F362</f>
      </c>
      <c r="E362" s="20">
        <f>Разбивка_по_щитам!H362</f>
      </c>
      <c r="F362" s="20">
        <f>Разбивка_по_щитам!I362</f>
      </c>
      <c r="G362" s="20">
        <f>Разбивка_по_щитам!J362</f>
        <v/>
      </c>
      <c r="H362" s="20">
        <f>Разбивка_по_щитам!K362</f>
        <v/>
      </c>
      <c r="I362" s="20">
        <f>Разбивка_по_щитам!L362</f>
        <v/>
      </c>
      <c r="J362" s="20">
        <f>Разбивка_по_щитам!M362</f>
        <v/>
      </c>
      <c r="K362" s="20">
        <f>Разбивка_по_щитам!N362</f>
        <v/>
      </c>
      <c r="L362" s="20"/>
      <c r="M362" s="20">
        <f>Разбивка_по_щитам!P362</f>
        <v/>
      </c>
      <c r="N362" s="20"/>
    </row>
    <row r="363" spans="2:14" x14ac:dyDescent="0.25">
      <c r="B363" s="20">
        <f>Разбивка_по_щитам!B363</f>
      </c>
      <c r="C363" s="20">
        <f>Разбивка_по_щитам!C363</f>
      </c>
      <c r="D363" s="20">
        <f>Разбивка_по_щитам!F363</f>
      </c>
      <c r="E363" s="20">
        <f>Разбивка_по_щитам!H363</f>
      </c>
      <c r="F363" s="20">
        <f>Разбивка_по_щитам!I363</f>
      </c>
      <c r="G363" s="20">
        <f>Разбивка_по_щитам!J363</f>
        <v/>
      </c>
      <c r="H363" s="20">
        <f>Разбивка_по_щитам!K363</f>
        <v/>
      </c>
      <c r="I363" s="20">
        <f>Разбивка_по_щитам!L363</f>
        <v/>
      </c>
      <c r="J363" s="20">
        <f>Разбивка_по_щитам!M363</f>
        <v/>
      </c>
      <c r="K363" s="20">
        <f>Разбивка_по_щитам!N363</f>
        <v/>
      </c>
      <c r="L363" s="20"/>
      <c r="M363" s="20">
        <f>Разбивка_по_щитам!P363</f>
        <v/>
      </c>
      <c r="N363" s="20"/>
    </row>
    <row r="364" spans="2:14" x14ac:dyDescent="0.25">
      <c r="B364" s="20">
        <f>Разбивка_по_щитам!B364</f>
      </c>
      <c r="C364" s="20">
        <f>Разбивка_по_щитам!C364</f>
      </c>
      <c r="D364" s="20">
        <f>Разбивка_по_щитам!F364</f>
      </c>
      <c r="E364" s="20">
        <f>Разбивка_по_щитам!H364</f>
      </c>
      <c r="F364" s="20">
        <f>Разбивка_по_щитам!I364</f>
      </c>
      <c r="G364" s="20">
        <f>Разбивка_по_щитам!J364</f>
        <v/>
      </c>
      <c r="H364" s="20">
        <f>Разбивка_по_щитам!K364</f>
        <v/>
      </c>
      <c r="I364" s="20">
        <f>Разбивка_по_щитам!L364</f>
        <v/>
      </c>
      <c r="J364" s="20">
        <f>Разбивка_по_щитам!M364</f>
        <v/>
      </c>
      <c r="K364" s="20">
        <f>Разбивка_по_щитам!N364</f>
        <v/>
      </c>
      <c r="L364" s="20"/>
      <c r="M364" s="20">
        <f>Разбивка_по_щитам!P364</f>
        <v/>
      </c>
      <c r="N364" s="20"/>
    </row>
    <row r="365" spans="2:14" x14ac:dyDescent="0.25">
      <c r="B365" s="20">
        <f>Разбивка_по_щитам!B365</f>
      </c>
      <c r="C365" s="20">
        <f>Разбивка_по_щитам!C365</f>
      </c>
      <c r="D365" s="20">
        <f>Разбивка_по_щитам!F365</f>
      </c>
      <c r="E365" s="20">
        <f>Разбивка_по_щитам!H365</f>
      </c>
      <c r="F365" s="20">
        <f>Разбивка_по_щитам!I365</f>
      </c>
      <c r="G365" s="20">
        <f>Разбивка_по_щитам!J365</f>
        <v/>
      </c>
      <c r="H365" s="20">
        <f>Разбивка_по_щитам!K365</f>
        <v/>
      </c>
      <c r="I365" s="20">
        <f>Разбивка_по_щитам!L365</f>
        <v/>
      </c>
      <c r="J365" s="20">
        <f>Разбивка_по_щитам!M365</f>
        <v/>
      </c>
      <c r="K365" s="20">
        <f>Разбивка_по_щитам!N365</f>
        <v/>
      </c>
      <c r="L365" s="20"/>
      <c r="M365" s="20">
        <f>Разбивка_по_щитам!P365</f>
        <v/>
      </c>
      <c r="N365" s="20"/>
    </row>
    <row r="366" spans="2:14" x14ac:dyDescent="0.25">
      <c r="B366" s="20">
        <f>Разбивка_по_щитам!B366</f>
      </c>
      <c r="C366" s="20">
        <f>Разбивка_по_щитам!C366</f>
      </c>
      <c r="D366" s="20">
        <f>Разбивка_по_щитам!F366</f>
      </c>
      <c r="E366" s="20">
        <f>Разбивка_по_щитам!H366</f>
      </c>
      <c r="F366" s="20">
        <f>Разбивка_по_щитам!I366</f>
      </c>
      <c r="G366" s="20">
        <f>Разбивка_по_щитам!J366</f>
        <v/>
      </c>
      <c r="H366" s="20">
        <f>Разбивка_по_щитам!K366</f>
        <v/>
      </c>
      <c r="I366" s="20">
        <f>Разбивка_по_щитам!L366</f>
        <v/>
      </c>
      <c r="J366" s="20">
        <f>Разбивка_по_щитам!M366</f>
        <v/>
      </c>
      <c r="K366" s="20">
        <f>Разбивка_по_щитам!N366</f>
        <v/>
      </c>
      <c r="L366" s="20"/>
      <c r="M366" s="20">
        <f>Разбивка_по_щитам!P366</f>
        <v/>
      </c>
      <c r="N366" s="20"/>
    </row>
    <row r="367" spans="2:14" x14ac:dyDescent="0.25">
      <c r="B367" s="20">
        <f>Разбивка_по_щитам!B367</f>
      </c>
      <c r="C367" s="20">
        <f>Разбивка_по_щитам!C367</f>
      </c>
      <c r="D367" s="20">
        <f>Разбивка_по_щитам!F367</f>
      </c>
      <c r="E367" s="20">
        <f>Разбивка_по_щитам!H367</f>
      </c>
      <c r="F367" s="20">
        <f>Разбивка_по_щитам!I367</f>
      </c>
      <c r="G367" s="20">
        <f>Разбивка_по_щитам!J367</f>
        <v/>
      </c>
      <c r="H367" s="20">
        <f>Разбивка_по_щитам!K367</f>
        <v/>
      </c>
      <c r="I367" s="20">
        <f>Разбивка_по_щитам!L367</f>
        <v/>
      </c>
      <c r="J367" s="20">
        <f>Разбивка_по_щитам!M367</f>
        <v/>
      </c>
      <c r="K367" s="20">
        <f>Разбивка_по_щитам!N367</f>
        <v/>
      </c>
      <c r="L367" s="20"/>
      <c r="M367" s="20">
        <f>Разбивка_по_щитам!P367</f>
        <v/>
      </c>
      <c r="N367" s="20"/>
    </row>
    <row r="368" spans="2:14" x14ac:dyDescent="0.25">
      <c r="B368" s="20">
        <f>Разбивка_по_щитам!B368</f>
      </c>
      <c r="C368" s="20">
        <f>Разбивка_по_щитам!C368</f>
      </c>
      <c r="D368" s="20">
        <f>Разбивка_по_щитам!F368</f>
      </c>
      <c r="E368" s="20">
        <f>Разбивка_по_щитам!H368</f>
      </c>
      <c r="F368" s="20">
        <f>Разбивка_по_щитам!I368</f>
      </c>
      <c r="G368" s="20">
        <f>Разбивка_по_щитам!J368</f>
        <v/>
      </c>
      <c r="H368" s="20">
        <f>Разбивка_по_щитам!K368</f>
        <v/>
      </c>
      <c r="I368" s="20">
        <f>Разбивка_по_щитам!L368</f>
        <v/>
      </c>
      <c r="J368" s="20">
        <f>Разбивка_по_щитам!M368</f>
        <v/>
      </c>
      <c r="K368" s="20">
        <f>Разбивка_по_щитам!N368</f>
        <v/>
      </c>
      <c r="L368" s="20"/>
      <c r="M368" s="20">
        <f>Разбивка_по_щитам!P368</f>
        <v/>
      </c>
      <c r="N368" s="20"/>
    </row>
    <row r="369" spans="2:14" x14ac:dyDescent="0.25">
      <c r="B369" s="20">
        <f>Разбивка_по_щитам!B369</f>
      </c>
      <c r="C369" s="20">
        <f>Разбивка_по_щитам!C369</f>
      </c>
      <c r="D369" s="20">
        <f>Разбивка_по_щитам!F369</f>
      </c>
      <c r="E369" s="20">
        <f>Разбивка_по_щитам!H369</f>
      </c>
      <c r="F369" s="20">
        <f>Разбивка_по_щитам!I369</f>
      </c>
      <c r="G369" s="20">
        <f>Разбивка_по_щитам!J369</f>
        <v/>
      </c>
      <c r="H369" s="20">
        <f>Разбивка_по_щитам!K369</f>
        <v/>
      </c>
      <c r="I369" s="20">
        <f>Разбивка_по_щитам!L369</f>
        <v/>
      </c>
      <c r="J369" s="20">
        <f>Разбивка_по_щитам!M369</f>
        <v/>
      </c>
      <c r="K369" s="20">
        <f>Разбивка_по_щитам!N369</f>
        <v/>
      </c>
      <c r="L369" s="20"/>
      <c r="M369" s="20">
        <f>Разбивка_по_щитам!P369</f>
        <v/>
      </c>
      <c r="N369" s="20"/>
    </row>
    <row r="370" spans="2:14" x14ac:dyDescent="0.25">
      <c r="B370" s="20">
        <f>Разбивка_по_щитам!B370</f>
      </c>
      <c r="C370" s="20">
        <f>Разбивка_по_щитам!C370</f>
      </c>
      <c r="D370" s="20">
        <f>Разбивка_по_щитам!F370</f>
      </c>
      <c r="E370" s="20">
        <f>Разбивка_по_щитам!H370</f>
      </c>
      <c r="F370" s="20">
        <f>Разбивка_по_щитам!I370</f>
      </c>
      <c r="G370" s="20">
        <f>Разбивка_по_щитам!J370</f>
        <v/>
      </c>
      <c r="H370" s="20">
        <f>Разбивка_по_щитам!K370</f>
        <v/>
      </c>
      <c r="I370" s="20">
        <f>Разбивка_по_щитам!L370</f>
        <v/>
      </c>
      <c r="J370" s="20">
        <f>Разбивка_по_щитам!M370</f>
        <v/>
      </c>
      <c r="K370" s="20">
        <f>Разбивка_по_щитам!N370</f>
        <v/>
      </c>
      <c r="L370" s="20"/>
      <c r="M370" s="20">
        <f>Разбивка_по_щитам!P370</f>
        <v/>
      </c>
      <c r="N370" s="20"/>
    </row>
    <row r="371" spans="2:14" x14ac:dyDescent="0.25">
      <c r="B371" s="20">
        <f>Разбивка_по_щитам!B371</f>
      </c>
      <c r="C371" s="20">
        <f>Разбивка_по_щитам!C371</f>
      </c>
      <c r="D371" s="20">
        <f>Разбивка_по_щитам!F371</f>
      </c>
      <c r="E371" s="20">
        <f>Разбивка_по_щитам!H371</f>
      </c>
      <c r="F371" s="20">
        <f>Разбивка_по_щитам!I371</f>
      </c>
      <c r="G371" s="20">
        <f>Разбивка_по_щитам!J371</f>
        <v/>
      </c>
      <c r="H371" s="20">
        <f>Разбивка_по_щитам!K371</f>
        <v/>
      </c>
      <c r="I371" s="20">
        <f>Разбивка_по_щитам!L371</f>
        <v/>
      </c>
      <c r="J371" s="20">
        <f>Разбивка_по_щитам!M371</f>
        <v/>
      </c>
      <c r="K371" s="20">
        <f>Разбивка_по_щитам!N371</f>
        <v/>
      </c>
      <c r="L371" s="20"/>
      <c r="M371" s="20">
        <f>Разбивка_по_щитам!P371</f>
        <v/>
      </c>
      <c r="N371" s="20"/>
    </row>
    <row r="372" spans="2:14" x14ac:dyDescent="0.25">
      <c r="B372" s="20">
        <f>Разбивка_по_щитам!B372</f>
      </c>
      <c r="C372" s="20">
        <f>Разбивка_по_щитам!C372</f>
      </c>
      <c r="D372" s="20">
        <f>Разбивка_по_щитам!F372</f>
      </c>
      <c r="E372" s="20">
        <f>Разбивка_по_щитам!H372</f>
      </c>
      <c r="F372" s="20">
        <f>Разбивка_по_щитам!I372</f>
      </c>
      <c r="G372" s="20">
        <f>Разбивка_по_щитам!J372</f>
        <v/>
      </c>
      <c r="H372" s="20">
        <f>Разбивка_по_щитам!K372</f>
        <v/>
      </c>
      <c r="I372" s="20">
        <f>Разбивка_по_щитам!L372</f>
        <v/>
      </c>
      <c r="J372" s="20">
        <f>Разбивка_по_щитам!M372</f>
        <v/>
      </c>
      <c r="K372" s="20">
        <f>Разбивка_по_щитам!N372</f>
        <v/>
      </c>
      <c r="L372" s="20"/>
      <c r="M372" s="20">
        <f>Разбивка_по_щитам!P372</f>
        <v/>
      </c>
      <c r="N372" s="20"/>
    </row>
    <row r="373" spans="2:14" x14ac:dyDescent="0.25">
      <c r="B373" s="20">
        <f>Разбивка_по_щитам!B373</f>
      </c>
      <c r="C373" s="20">
        <f>Разбивка_по_щитам!C373</f>
      </c>
      <c r="D373" s="20">
        <f>Разбивка_по_щитам!F373</f>
      </c>
      <c r="E373" s="20">
        <f>Разбивка_по_щитам!H373</f>
      </c>
      <c r="F373" s="20">
        <f>Разбивка_по_щитам!I373</f>
      </c>
      <c r="G373" s="20">
        <f>Разбивка_по_щитам!J373</f>
        <v/>
      </c>
      <c r="H373" s="20">
        <f>Разбивка_по_щитам!K373</f>
        <v/>
      </c>
      <c r="I373" s="20">
        <f>Разбивка_по_щитам!L373</f>
        <v/>
      </c>
      <c r="J373" s="20">
        <f>Разбивка_по_щитам!M373</f>
        <v/>
      </c>
      <c r="K373" s="20">
        <f>Разбивка_по_щитам!N373</f>
        <v/>
      </c>
      <c r="L373" s="20"/>
      <c r="M373" s="20">
        <f>Разбивка_по_щитам!P373</f>
        <v/>
      </c>
      <c r="N373" s="20"/>
    </row>
    <row r="374" spans="2:14" x14ac:dyDescent="0.25">
      <c r="B374" s="20">
        <f>Разбивка_по_щитам!B374</f>
      </c>
      <c r="C374" s="20">
        <f>Разбивка_по_щитам!C374</f>
      </c>
      <c r="D374" s="20">
        <f>Разбивка_по_щитам!F374</f>
      </c>
      <c r="E374" s="20">
        <f>Разбивка_по_щитам!H374</f>
      </c>
      <c r="F374" s="20">
        <f>Разбивка_по_щитам!I374</f>
      </c>
      <c r="G374" s="20">
        <f>Разбивка_по_щитам!J374</f>
        <v/>
      </c>
      <c r="H374" s="20">
        <f>Разбивка_по_щитам!K374</f>
        <v/>
      </c>
      <c r="I374" s="20">
        <f>Разбивка_по_щитам!L374</f>
        <v/>
      </c>
      <c r="J374" s="20">
        <f>Разбивка_по_щитам!M374</f>
        <v/>
      </c>
      <c r="K374" s="20">
        <f>Разбивка_по_щитам!N374</f>
        <v/>
      </c>
      <c r="L374" s="20"/>
      <c r="M374" s="20">
        <f>Разбивка_по_щитам!P374</f>
        <v/>
      </c>
      <c r="N374" s="20"/>
    </row>
    <row r="375" spans="2:14" x14ac:dyDescent="0.25">
      <c r="B375" s="20">
        <f>Разбивка_по_щитам!B375</f>
      </c>
      <c r="C375" s="20">
        <f>Разбивка_по_щитам!C375</f>
      </c>
      <c r="D375" s="20">
        <f>Разбивка_по_щитам!F375</f>
      </c>
      <c r="E375" s="20">
        <f>Разбивка_по_щитам!H375</f>
      </c>
      <c r="F375" s="20">
        <f>Разбивка_по_щитам!I375</f>
      </c>
      <c r="G375" s="20">
        <f>Разбивка_по_щитам!J375</f>
        <v/>
      </c>
      <c r="H375" s="20">
        <f>Разбивка_по_щитам!K375</f>
        <v/>
      </c>
      <c r="I375" s="20">
        <f>Разбивка_по_щитам!L375</f>
        <v/>
      </c>
      <c r="J375" s="20">
        <f>Разбивка_по_щитам!M375</f>
        <v/>
      </c>
      <c r="K375" s="20">
        <f>Разбивка_по_щитам!N375</f>
        <v/>
      </c>
      <c r="L375" s="20"/>
      <c r="M375" s="20">
        <f>Разбивка_по_щитам!P375</f>
        <v/>
      </c>
      <c r="N375" s="20"/>
    </row>
    <row r="376" spans="2:14" x14ac:dyDescent="0.25">
      <c r="B376" s="20">
        <f>Разбивка_по_щитам!B376</f>
      </c>
      <c r="C376" s="20">
        <f>Разбивка_по_щитам!C376</f>
      </c>
      <c r="D376" s="20">
        <f>Разбивка_по_щитам!F376</f>
      </c>
      <c r="E376" s="20">
        <f>Разбивка_по_щитам!H376</f>
      </c>
      <c r="F376" s="20">
        <f>Разбивка_по_щитам!I376</f>
      </c>
      <c r="G376" s="20">
        <f>Разбивка_по_щитам!J376</f>
        <v/>
      </c>
      <c r="H376" s="20">
        <f>Разбивка_по_щитам!K376</f>
        <v/>
      </c>
      <c r="I376" s="20">
        <f>Разбивка_по_щитам!L376</f>
        <v/>
      </c>
      <c r="J376" s="20">
        <f>Разбивка_по_щитам!M376</f>
        <v/>
      </c>
      <c r="K376" s="20">
        <f>Разбивка_по_щитам!N376</f>
        <v/>
      </c>
      <c r="L376" s="20"/>
      <c r="M376" s="20">
        <f>Разбивка_по_щитам!P376</f>
        <v/>
      </c>
      <c r="N376" s="20"/>
    </row>
    <row r="377" spans="2:14" x14ac:dyDescent="0.25">
      <c r="B377" s="20">
        <f>Разбивка_по_щитам!B377</f>
      </c>
      <c r="C377" s="20">
        <f>Разбивка_по_щитам!C377</f>
      </c>
      <c r="D377" s="20">
        <f>Разбивка_по_щитам!F377</f>
      </c>
      <c r="E377" s="20">
        <f>Разбивка_по_щитам!H377</f>
      </c>
      <c r="F377" s="20">
        <f>Разбивка_по_щитам!I377</f>
      </c>
      <c r="G377" s="20">
        <f>Разбивка_по_щитам!J377</f>
        <v/>
      </c>
      <c r="H377" s="20">
        <f>Разбивка_по_щитам!K377</f>
        <v/>
      </c>
      <c r="I377" s="20">
        <f>Разбивка_по_щитам!L377</f>
        <v/>
      </c>
      <c r="J377" s="20">
        <f>Разбивка_по_щитам!M377</f>
        <v/>
      </c>
      <c r="K377" s="20">
        <f>Разбивка_по_щитам!N377</f>
        <v/>
      </c>
      <c r="L377" s="20"/>
      <c r="M377" s="20">
        <f>Разбивка_по_щитам!P377</f>
        <v/>
      </c>
      <c r="N377" s="20"/>
    </row>
    <row r="378" spans="2:14" x14ac:dyDescent="0.25">
      <c r="B378" s="20">
        <f>Разбивка_по_щитам!B378</f>
      </c>
      <c r="C378" s="20">
        <f>Разбивка_по_щитам!C378</f>
      </c>
      <c r="D378" s="20">
        <f>Разбивка_по_щитам!F378</f>
      </c>
      <c r="E378" s="20">
        <f>Разбивка_по_щитам!H378</f>
      </c>
      <c r="F378" s="20">
        <f>Разбивка_по_щитам!I378</f>
      </c>
      <c r="G378" s="20">
        <f>Разбивка_по_щитам!J378</f>
        <v/>
      </c>
      <c r="H378" s="20">
        <f>Разбивка_по_щитам!K378</f>
        <v/>
      </c>
      <c r="I378" s="20">
        <f>Разбивка_по_щитам!L378</f>
        <v/>
      </c>
      <c r="J378" s="20">
        <f>Разбивка_по_щитам!M378</f>
        <v/>
      </c>
      <c r="K378" s="20">
        <f>Разбивка_по_щитам!N378</f>
        <v/>
      </c>
      <c r="L378" s="20"/>
      <c r="M378" s="20">
        <f>Разбивка_по_щитам!P378</f>
        <v/>
      </c>
      <c r="N378" s="20"/>
    </row>
    <row r="379" spans="2:14" x14ac:dyDescent="0.25">
      <c r="B379" s="20">
        <f>Разбивка_по_щитам!B379</f>
      </c>
      <c r="C379" s="20">
        <f>Разбивка_по_щитам!C379</f>
      </c>
      <c r="D379" s="20">
        <f>Разбивка_по_щитам!F379</f>
      </c>
      <c r="E379" s="20">
        <f>Разбивка_по_щитам!H379</f>
      </c>
      <c r="F379" s="20">
        <f>Разбивка_по_щитам!I379</f>
      </c>
      <c r="G379" s="20">
        <f>Разбивка_по_щитам!J379</f>
        <v/>
      </c>
      <c r="H379" s="20">
        <f>Разбивка_по_щитам!K379</f>
        <v/>
      </c>
      <c r="I379" s="20">
        <f>Разбивка_по_щитам!L379</f>
        <v/>
      </c>
      <c r="J379" s="20">
        <f>Разбивка_по_щитам!M379</f>
        <v/>
      </c>
      <c r="K379" s="20">
        <f>Разбивка_по_щитам!N379</f>
        <v/>
      </c>
      <c r="L379" s="20"/>
      <c r="M379" s="20">
        <f>Разбивка_по_щитам!P379</f>
        <v/>
      </c>
      <c r="N379" s="20"/>
    </row>
    <row r="380" spans="2:14" x14ac:dyDescent="0.25">
      <c r="B380" s="20">
        <f>Разбивка_по_щитам!B380</f>
      </c>
      <c r="C380" s="20">
        <f>Разбивка_по_щитам!C380</f>
      </c>
      <c r="D380" s="20">
        <f>Разбивка_по_щитам!F380</f>
      </c>
      <c r="E380" s="20">
        <f>Разбивка_по_щитам!H380</f>
      </c>
      <c r="F380" s="20">
        <f>Разбивка_по_щитам!I380</f>
      </c>
      <c r="G380" s="20">
        <f>Разбивка_по_щитам!J380</f>
        <v/>
      </c>
      <c r="H380" s="20">
        <f>Разбивка_по_щитам!K380</f>
        <v/>
      </c>
      <c r="I380" s="20">
        <f>Разбивка_по_щитам!L380</f>
        <v/>
      </c>
      <c r="J380" s="20">
        <f>Разбивка_по_щитам!M380</f>
        <v/>
      </c>
      <c r="K380" s="20">
        <f>Разбивка_по_щитам!N380</f>
        <v/>
      </c>
      <c r="L380" s="20"/>
      <c r="M380" s="20">
        <f>Разбивка_по_щитам!P380</f>
        <v/>
      </c>
      <c r="N380" s="20"/>
    </row>
    <row r="381" spans="2:14" x14ac:dyDescent="0.25">
      <c r="B381" s="20">
        <f>Разбивка_по_щитам!B381</f>
      </c>
      <c r="C381" s="20">
        <f>Разбивка_по_щитам!C381</f>
      </c>
      <c r="D381" s="20">
        <f>Разбивка_по_щитам!F381</f>
      </c>
      <c r="E381" s="20">
        <f>Разбивка_по_щитам!H381</f>
      </c>
      <c r="F381" s="20">
        <f>Разбивка_по_щитам!I381</f>
      </c>
      <c r="G381" s="20">
        <f>Разбивка_по_щитам!J381</f>
        <v/>
      </c>
      <c r="H381" s="20">
        <f>Разбивка_по_щитам!K381</f>
        <v/>
      </c>
      <c r="I381" s="20">
        <f>Разбивка_по_щитам!L381</f>
        <v/>
      </c>
      <c r="J381" s="20">
        <f>Разбивка_по_щитам!M381</f>
        <v/>
      </c>
      <c r="K381" s="20">
        <f>Разбивка_по_щитам!N381</f>
        <v/>
      </c>
      <c r="L381" s="20"/>
      <c r="M381" s="20">
        <f>Разбивка_по_щитам!P381</f>
        <v/>
      </c>
      <c r="N381" s="20"/>
    </row>
    <row r="382" spans="2:14" x14ac:dyDescent="0.25">
      <c r="B382" s="20">
        <f>Разбивка_по_щитам!B382</f>
      </c>
      <c r="C382" s="20">
        <f>Разбивка_по_щитам!C382</f>
      </c>
      <c r="D382" s="20">
        <f>Разбивка_по_щитам!F382</f>
      </c>
      <c r="E382" s="20">
        <f>Разбивка_по_щитам!H382</f>
      </c>
      <c r="F382" s="20">
        <f>Разбивка_по_щитам!I382</f>
      </c>
      <c r="G382" s="20">
        <f>Разбивка_по_щитам!J382</f>
        <v/>
      </c>
      <c r="H382" s="20">
        <f>Разбивка_по_щитам!K382</f>
        <v/>
      </c>
      <c r="I382" s="20">
        <f>Разбивка_по_щитам!L382</f>
        <v/>
      </c>
      <c r="J382" s="20">
        <f>Разбивка_по_щитам!M382</f>
        <v/>
      </c>
      <c r="K382" s="20">
        <f>Разбивка_по_щитам!N382</f>
        <v/>
      </c>
      <c r="L382" s="20"/>
      <c r="M382" s="20">
        <f>Разбивка_по_щитам!P382</f>
        <v/>
      </c>
      <c r="N382" s="20"/>
    </row>
    <row r="383" spans="2:14" x14ac:dyDescent="0.25">
      <c r="B383" s="20">
        <f>Разбивка_по_щитам!B383</f>
      </c>
      <c r="C383" s="20">
        <f>Разбивка_по_щитам!C383</f>
      </c>
      <c r="D383" s="20">
        <f>Разбивка_по_щитам!F383</f>
      </c>
      <c r="E383" s="20">
        <f>Разбивка_по_щитам!H383</f>
      </c>
      <c r="F383" s="20">
        <f>Разбивка_по_щитам!I383</f>
      </c>
      <c r="G383" s="20">
        <f>Разбивка_по_щитам!J383</f>
        <v/>
      </c>
      <c r="H383" s="20">
        <f>Разбивка_по_щитам!K383</f>
        <v/>
      </c>
      <c r="I383" s="20">
        <f>Разбивка_по_щитам!L383</f>
        <v/>
      </c>
      <c r="J383" s="20">
        <f>Разбивка_по_щитам!M383</f>
        <v/>
      </c>
      <c r="K383" s="20">
        <f>Разбивка_по_щитам!N383</f>
        <v/>
      </c>
      <c r="L383" s="20"/>
      <c r="M383" s="20">
        <f>Разбивка_по_щитам!P383</f>
        <v/>
      </c>
      <c r="N383" s="20"/>
    </row>
    <row r="384" spans="2:14" x14ac:dyDescent="0.25">
      <c r="B384" s="20">
        <f>Разбивка_по_щитам!B384</f>
      </c>
      <c r="C384" s="20">
        <f>Разбивка_по_щитам!C384</f>
      </c>
      <c r="D384" s="20">
        <f>Разбивка_по_щитам!F384</f>
      </c>
      <c r="E384" s="20">
        <f>Разбивка_по_щитам!H384</f>
      </c>
      <c r="F384" s="20">
        <f>Разбивка_по_щитам!I384</f>
      </c>
      <c r="G384" s="20">
        <f>Разбивка_по_щитам!J384</f>
        <v/>
      </c>
      <c r="H384" s="20">
        <f>Разбивка_по_щитам!K384</f>
        <v/>
      </c>
      <c r="I384" s="20">
        <f>Разбивка_по_щитам!L384</f>
        <v/>
      </c>
      <c r="J384" s="20">
        <f>Разбивка_по_щитам!M384</f>
        <v/>
      </c>
      <c r="K384" s="20">
        <f>Разбивка_по_щитам!N384</f>
        <v/>
      </c>
      <c r="L384" s="20"/>
      <c r="M384" s="20">
        <f>Разбивка_по_щитам!P384</f>
        <v/>
      </c>
      <c r="N384" s="20"/>
    </row>
    <row r="385" spans="2:14" x14ac:dyDescent="0.25">
      <c r="B385" s="20">
        <f>Разбивка_по_щитам!B385</f>
      </c>
      <c r="C385" s="20">
        <f>Разбивка_по_щитам!C385</f>
      </c>
      <c r="D385" s="20">
        <f>Разбивка_по_щитам!F385</f>
      </c>
      <c r="E385" s="20">
        <f>Разбивка_по_щитам!H385</f>
      </c>
      <c r="F385" s="20">
        <f>Разбивка_по_щитам!I385</f>
      </c>
      <c r="G385" s="20">
        <f>Разбивка_по_щитам!J385</f>
        <v/>
      </c>
      <c r="H385" s="20">
        <f>Разбивка_по_щитам!K385</f>
        <v/>
      </c>
      <c r="I385" s="20">
        <f>Разбивка_по_щитам!L385</f>
        <v/>
      </c>
      <c r="J385" s="20">
        <f>Разбивка_по_щитам!M385</f>
        <v/>
      </c>
      <c r="K385" s="20">
        <f>Разбивка_по_щитам!N385</f>
        <v/>
      </c>
      <c r="L385" s="20"/>
      <c r="M385" s="20">
        <f>Разбивка_по_щитам!P385</f>
        <v/>
      </c>
      <c r="N385" s="20"/>
    </row>
    <row r="386" spans="2:14" x14ac:dyDescent="0.25">
      <c r="B386" s="20">
        <f>Разбивка_по_щитам!B386</f>
      </c>
      <c r="C386" s="20">
        <f>Разбивка_по_щитам!C386</f>
      </c>
      <c r="D386" s="20">
        <f>Разбивка_по_щитам!F386</f>
      </c>
      <c r="E386" s="20">
        <f>Разбивка_по_щитам!H386</f>
      </c>
      <c r="F386" s="20">
        <f>Разбивка_по_щитам!I386</f>
      </c>
      <c r="G386" s="20">
        <f>Разбивка_по_щитам!J386</f>
        <v/>
      </c>
      <c r="H386" s="20">
        <f>Разбивка_по_щитам!K386</f>
        <v/>
      </c>
      <c r="I386" s="20">
        <f>Разбивка_по_щитам!L386</f>
        <v/>
      </c>
      <c r="J386" s="20">
        <f>Разбивка_по_щитам!M386</f>
        <v/>
      </c>
      <c r="K386" s="20">
        <f>Разбивка_по_щитам!N386</f>
        <v/>
      </c>
      <c r="L386" s="20"/>
      <c r="M386" s="20">
        <f>Разбивка_по_щитам!P386</f>
        <v/>
      </c>
      <c r="N386" s="20"/>
    </row>
    <row r="387" spans="2:14" x14ac:dyDescent="0.25">
      <c r="B387" s="20">
        <f>Разбивка_по_щитам!B387</f>
      </c>
      <c r="C387" s="20">
        <f>Разбивка_по_щитам!C387</f>
      </c>
      <c r="D387" s="20">
        <f>Разбивка_по_щитам!F387</f>
      </c>
      <c r="E387" s="20">
        <f>Разбивка_по_щитам!H387</f>
      </c>
      <c r="F387" s="20">
        <f>Разбивка_по_щитам!I387</f>
      </c>
      <c r="G387" s="20">
        <f>Разбивка_по_щитам!J387</f>
        <v/>
      </c>
      <c r="H387" s="20">
        <f>Разбивка_по_щитам!K387</f>
        <v/>
      </c>
      <c r="I387" s="20">
        <f>Разбивка_по_щитам!L387</f>
        <v/>
      </c>
      <c r="J387" s="20">
        <f>Разбивка_по_щитам!M387</f>
        <v/>
      </c>
      <c r="K387" s="20">
        <f>Разбивка_по_щитам!N387</f>
        <v/>
      </c>
      <c r="L387" s="20"/>
      <c r="M387" s="20">
        <f>Разбивка_по_щитам!P387</f>
        <v/>
      </c>
      <c r="N387" s="20"/>
    </row>
    <row r="388" spans="2:14" x14ac:dyDescent="0.25">
      <c r="B388" s="20">
        <f>Разбивка_по_щитам!B388</f>
      </c>
      <c r="C388" s="20">
        <f>Разбивка_по_щитам!C388</f>
      </c>
      <c r="D388" s="20">
        <f>Разбивка_по_щитам!F388</f>
      </c>
      <c r="E388" s="20">
        <f>Разбивка_по_щитам!H388</f>
      </c>
      <c r="F388" s="20">
        <f>Разбивка_по_щитам!I388</f>
      </c>
      <c r="G388" s="20">
        <f>Разбивка_по_щитам!J388</f>
        <v/>
      </c>
      <c r="H388" s="20">
        <f>Разбивка_по_щитам!K388</f>
        <v/>
      </c>
      <c r="I388" s="20">
        <f>Разбивка_по_щитам!L388</f>
        <v/>
      </c>
      <c r="J388" s="20">
        <f>Разбивка_по_щитам!M388</f>
        <v/>
      </c>
      <c r="K388" s="20">
        <f>Разбивка_по_щитам!N388</f>
        <v/>
      </c>
      <c r="L388" s="20"/>
      <c r="M388" s="20">
        <f>Разбивка_по_щитам!P388</f>
        <v/>
      </c>
      <c r="N388" s="20"/>
    </row>
    <row r="389" spans="2:14" x14ac:dyDescent="0.25">
      <c r="B389" s="20">
        <f>Разбивка_по_щитам!B389</f>
      </c>
      <c r="C389" s="20">
        <f>Разбивка_по_щитам!C389</f>
      </c>
      <c r="D389" s="20">
        <f>Разбивка_по_щитам!F389</f>
      </c>
      <c r="E389" s="20">
        <f>Разбивка_по_щитам!H389</f>
      </c>
      <c r="F389" s="20">
        <f>Разбивка_по_щитам!I389</f>
      </c>
      <c r="G389" s="20">
        <f>Разбивка_по_щитам!J389</f>
        <v/>
      </c>
      <c r="H389" s="20">
        <f>Разбивка_по_щитам!K389</f>
        <v/>
      </c>
      <c r="I389" s="20">
        <f>Разбивка_по_щитам!L389</f>
        <v/>
      </c>
      <c r="J389" s="20">
        <f>Разбивка_по_щитам!M389</f>
        <v/>
      </c>
      <c r="K389" s="20">
        <f>Разбивка_по_щитам!N389</f>
        <v/>
      </c>
      <c r="L389" s="20"/>
      <c r="M389" s="20">
        <f>Разбивка_по_щитам!P389</f>
        <v/>
      </c>
      <c r="N389" s="20"/>
    </row>
    <row r="390" spans="2:14" x14ac:dyDescent="0.25">
      <c r="B390" s="20">
        <f>Разбивка_по_щитам!B390</f>
      </c>
      <c r="C390" s="20">
        <f>Разбивка_по_щитам!C390</f>
      </c>
      <c r="D390" s="20">
        <f>Разбивка_по_щитам!F390</f>
      </c>
      <c r="E390" s="20">
        <f>Разбивка_по_щитам!H390</f>
      </c>
      <c r="F390" s="20">
        <f>Разбивка_по_щитам!I390</f>
      </c>
      <c r="G390" s="20">
        <f>Разбивка_по_щитам!J390</f>
        <v/>
      </c>
      <c r="H390" s="20">
        <f>Разбивка_по_щитам!K390</f>
        <v/>
      </c>
      <c r="I390" s="20">
        <f>Разбивка_по_щитам!L390</f>
        <v/>
      </c>
      <c r="J390" s="20">
        <f>Разбивка_по_щитам!M390</f>
        <v/>
      </c>
      <c r="K390" s="20">
        <f>Разбивка_по_щитам!N390</f>
        <v/>
      </c>
      <c r="L390" s="20"/>
      <c r="M390" s="20">
        <f>Разбивка_по_щитам!P390</f>
        <v/>
      </c>
      <c r="N390" s="20"/>
    </row>
    <row r="391" spans="2:14" x14ac:dyDescent="0.25">
      <c r="B391" s="20">
        <f>Разбивка_по_щитам!B391</f>
      </c>
      <c r="C391" s="20">
        <f>Разбивка_по_щитам!C391</f>
      </c>
      <c r="D391" s="20">
        <f>Разбивка_по_щитам!F391</f>
      </c>
      <c r="E391" s="20">
        <f>Разбивка_по_щитам!H391</f>
      </c>
      <c r="F391" s="20">
        <f>Разбивка_по_щитам!I391</f>
      </c>
      <c r="G391" s="20">
        <f>Разбивка_по_щитам!J391</f>
        <v/>
      </c>
      <c r="H391" s="20">
        <f>Разбивка_по_щитам!K391</f>
        <v/>
      </c>
      <c r="I391" s="20">
        <f>Разбивка_по_щитам!L391</f>
        <v/>
      </c>
      <c r="J391" s="20">
        <f>Разбивка_по_щитам!M391</f>
        <v/>
      </c>
      <c r="K391" s="20">
        <f>Разбивка_по_щитам!N391</f>
        <v/>
      </c>
      <c r="L391" s="20"/>
      <c r="M391" s="20">
        <f>Разбивка_по_щитам!P391</f>
        <v/>
      </c>
      <c r="N391" s="20"/>
    </row>
    <row r="392" spans="2:14" x14ac:dyDescent="0.25">
      <c r="B392" s="20">
        <f>Разбивка_по_щитам!B392</f>
      </c>
      <c r="C392" s="20">
        <f>Разбивка_по_щитам!C392</f>
      </c>
      <c r="D392" s="20">
        <f>Разбивка_по_щитам!F392</f>
      </c>
      <c r="E392" s="20">
        <f>Разбивка_по_щитам!H392</f>
      </c>
      <c r="F392" s="20">
        <f>Разбивка_по_щитам!I392</f>
      </c>
      <c r="G392" s="20">
        <f>Разбивка_по_щитам!J392</f>
        <v/>
      </c>
      <c r="H392" s="20">
        <f>Разбивка_по_щитам!K392</f>
        <v/>
      </c>
      <c r="I392" s="20">
        <f>Разбивка_по_щитам!L392</f>
        <v/>
      </c>
      <c r="J392" s="20">
        <f>Разбивка_по_щитам!M392</f>
        <v/>
      </c>
      <c r="K392" s="20">
        <f>Разбивка_по_щитам!N392</f>
        <v/>
      </c>
      <c r="L392" s="20"/>
      <c r="M392" s="20">
        <f>Разбивка_по_щитам!P392</f>
        <v/>
      </c>
      <c r="N392" s="20"/>
    </row>
    <row r="393" spans="2:14" x14ac:dyDescent="0.25">
      <c r="B393" s="20">
        <f>Разбивка_по_щитам!B393</f>
      </c>
      <c r="C393" s="20">
        <f>Разбивка_по_щитам!C393</f>
      </c>
      <c r="D393" s="20">
        <f>Разбивка_по_щитам!F393</f>
      </c>
      <c r="E393" s="20">
        <f>Разбивка_по_щитам!H393</f>
      </c>
      <c r="F393" s="20">
        <f>Разбивка_по_щитам!I393</f>
      </c>
      <c r="G393" s="20">
        <f>Разбивка_по_щитам!J393</f>
        <v/>
      </c>
      <c r="H393" s="20">
        <f>Разбивка_по_щитам!K393</f>
        <v/>
      </c>
      <c r="I393" s="20">
        <f>Разбивка_по_щитам!L393</f>
        <v/>
      </c>
      <c r="J393" s="20">
        <f>Разбивка_по_щитам!M393</f>
        <v/>
      </c>
      <c r="K393" s="20">
        <f>Разбивка_по_щитам!N393</f>
        <v/>
      </c>
      <c r="L393" s="20"/>
      <c r="M393" s="20">
        <f>Разбивка_по_щитам!P393</f>
        <v/>
      </c>
      <c r="N393" s="20"/>
    </row>
    <row r="394" spans="2:14" x14ac:dyDescent="0.25">
      <c r="B394" s="20">
        <f>Разбивка_по_щитам!B394</f>
      </c>
      <c r="C394" s="20">
        <f>Разбивка_по_щитам!C394</f>
      </c>
      <c r="D394" s="20">
        <f>Разбивка_по_щитам!F394</f>
      </c>
      <c r="E394" s="20">
        <f>Разбивка_по_щитам!H394</f>
      </c>
      <c r="F394" s="20">
        <f>Разбивка_по_щитам!I394</f>
      </c>
      <c r="G394" s="20">
        <f>Разбивка_по_щитам!J394</f>
        <v/>
      </c>
      <c r="H394" s="20">
        <f>Разбивка_по_щитам!K394</f>
        <v/>
      </c>
      <c r="I394" s="20">
        <f>Разбивка_по_щитам!L394</f>
        <v/>
      </c>
      <c r="J394" s="20">
        <f>Разбивка_по_щитам!M394</f>
        <v/>
      </c>
      <c r="K394" s="20">
        <f>Разбивка_по_щитам!N394</f>
        <v/>
      </c>
      <c r="L394" s="20"/>
      <c r="M394" s="20">
        <f>Разбивка_по_щитам!P394</f>
        <v/>
      </c>
      <c r="N394" s="20"/>
    </row>
    <row r="395" spans="2:14" x14ac:dyDescent="0.25">
      <c r="B395" s="20">
        <f>Разбивка_по_щитам!B395</f>
      </c>
      <c r="C395" s="20">
        <f>Разбивка_по_щитам!C395</f>
      </c>
      <c r="D395" s="20">
        <f>Разбивка_по_щитам!F395</f>
      </c>
      <c r="E395" s="20">
        <f>Разбивка_по_щитам!H395</f>
      </c>
      <c r="F395" s="20">
        <f>Разбивка_по_щитам!I395</f>
      </c>
      <c r="G395" s="20">
        <f>Разбивка_по_щитам!J395</f>
        <v/>
      </c>
      <c r="H395" s="20">
        <f>Разбивка_по_щитам!K395</f>
        <v/>
      </c>
      <c r="I395" s="20">
        <f>Разбивка_по_щитам!L395</f>
        <v/>
      </c>
      <c r="J395" s="20">
        <f>Разбивка_по_щитам!M395</f>
        <v/>
      </c>
      <c r="K395" s="20">
        <f>Разбивка_по_щитам!N395</f>
        <v/>
      </c>
      <c r="L395" s="20"/>
      <c r="M395" s="20">
        <f>Разбивка_по_щитам!P395</f>
        <v/>
      </c>
      <c r="N395" s="20"/>
    </row>
    <row r="396" spans="2:14" x14ac:dyDescent="0.25">
      <c r="B396" s="20">
        <f>Разбивка_по_щитам!B396</f>
      </c>
      <c r="C396" s="20">
        <f>Разбивка_по_щитам!C396</f>
      </c>
      <c r="D396" s="20">
        <f>Разбивка_по_щитам!F396</f>
      </c>
      <c r="E396" s="20">
        <f>Разбивка_по_щитам!H396</f>
      </c>
      <c r="F396" s="20">
        <f>Разбивка_по_щитам!I396</f>
      </c>
      <c r="G396" s="20">
        <f>Разбивка_по_щитам!J396</f>
        <v/>
      </c>
      <c r="H396" s="20">
        <f>Разбивка_по_щитам!K396</f>
        <v/>
      </c>
      <c r="I396" s="20">
        <f>Разбивка_по_щитам!L396</f>
        <v/>
      </c>
      <c r="J396" s="20">
        <f>Разбивка_по_щитам!M396</f>
        <v/>
      </c>
      <c r="K396" s="20">
        <f>Разбивка_по_щитам!N396</f>
        <v/>
      </c>
      <c r="L396" s="20"/>
      <c r="M396" s="20">
        <f>Разбивка_по_щитам!P396</f>
        <v/>
      </c>
      <c r="N396" s="20"/>
    </row>
    <row r="397" spans="2:14" x14ac:dyDescent="0.25">
      <c r="B397" s="20">
        <f>Разбивка_по_щитам!B397</f>
      </c>
      <c r="C397" s="20">
        <f>Разбивка_по_щитам!C397</f>
      </c>
      <c r="D397" s="20">
        <f>Разбивка_по_щитам!F397</f>
      </c>
      <c r="E397" s="20">
        <f>Разбивка_по_щитам!H397</f>
      </c>
      <c r="F397" s="20">
        <f>Разбивка_по_щитам!I397</f>
      </c>
      <c r="G397" s="20">
        <f>Разбивка_по_щитам!J397</f>
        <v/>
      </c>
      <c r="H397" s="20">
        <f>Разбивка_по_щитам!K397</f>
        <v/>
      </c>
      <c r="I397" s="20">
        <f>Разбивка_по_щитам!L397</f>
        <v/>
      </c>
      <c r="J397" s="20">
        <f>Разбивка_по_щитам!M397</f>
        <v/>
      </c>
      <c r="K397" s="20">
        <f>Разбивка_по_щитам!N397</f>
        <v/>
      </c>
      <c r="L397" s="20"/>
      <c r="M397" s="20">
        <f>Разбивка_по_щитам!P397</f>
        <v/>
      </c>
      <c r="N397" s="20"/>
    </row>
    <row r="398" spans="2:14" x14ac:dyDescent="0.25">
      <c r="B398" s="20">
        <f>Разбивка_по_щитам!B398</f>
      </c>
      <c r="C398" s="20">
        <f>Разбивка_по_щитам!C398</f>
      </c>
      <c r="D398" s="20">
        <f>Разбивка_по_щитам!F398</f>
      </c>
      <c r="E398" s="20">
        <f>Разбивка_по_щитам!H398</f>
      </c>
      <c r="F398" s="20">
        <f>Разбивка_по_щитам!I398</f>
      </c>
      <c r="G398" s="20">
        <f>Разбивка_по_щитам!J398</f>
        <v/>
      </c>
      <c r="H398" s="20">
        <f>Разбивка_по_щитам!K398</f>
        <v/>
      </c>
      <c r="I398" s="20">
        <f>Разбивка_по_щитам!L398</f>
        <v/>
      </c>
      <c r="J398" s="20">
        <f>Разбивка_по_щитам!M398</f>
        <v/>
      </c>
      <c r="K398" s="20">
        <f>Разбивка_по_щитам!N398</f>
        <v/>
      </c>
      <c r="L398" s="20"/>
      <c r="M398" s="20">
        <f>Разбивка_по_щитам!P398</f>
        <v/>
      </c>
      <c r="N398" s="20"/>
    </row>
    <row r="399" spans="2:14" x14ac:dyDescent="0.25">
      <c r="B399" s="20">
        <f>Разбивка_по_щитам!B399</f>
      </c>
      <c r="C399" s="20">
        <f>Разбивка_по_щитам!C399</f>
      </c>
      <c r="D399" s="20">
        <f>Разбивка_по_щитам!F399</f>
      </c>
      <c r="E399" s="20">
        <f>Разбивка_по_щитам!H399</f>
      </c>
      <c r="F399" s="20">
        <f>Разбивка_по_щитам!I399</f>
      </c>
      <c r="G399" s="20">
        <f>Разбивка_по_щитам!J399</f>
        <v/>
      </c>
      <c r="H399" s="20">
        <f>Разбивка_по_щитам!K399</f>
        <v/>
      </c>
      <c r="I399" s="20">
        <f>Разбивка_по_щитам!L399</f>
        <v/>
      </c>
      <c r="J399" s="20">
        <f>Разбивка_по_щитам!M399</f>
        <v/>
      </c>
      <c r="K399" s="20">
        <f>Разбивка_по_щитам!N399</f>
        <v/>
      </c>
      <c r="L399" s="20"/>
      <c r="M399" s="20">
        <f>Разбивка_по_щитам!P399</f>
        <v/>
      </c>
      <c r="N399" s="20"/>
    </row>
    <row r="400" spans="2:14" x14ac:dyDescent="0.25">
      <c r="B400" s="20">
        <f>Разбивка_по_щитам!B400</f>
      </c>
      <c r="C400" s="20">
        <f>Разбивка_по_щитам!C400</f>
      </c>
      <c r="D400" s="20">
        <f>Разбивка_по_щитам!F400</f>
      </c>
      <c r="E400" s="20">
        <f>Разбивка_по_щитам!H400</f>
      </c>
      <c r="F400" s="20">
        <f>Разбивка_по_щитам!I400</f>
      </c>
      <c r="G400" s="20">
        <f>Разбивка_по_щитам!J400</f>
        <v/>
      </c>
      <c r="H400" s="20">
        <f>Разбивка_по_щитам!K400</f>
        <v/>
      </c>
      <c r="I400" s="20">
        <f>Разбивка_по_щитам!L400</f>
        <v/>
      </c>
      <c r="J400" s="20">
        <f>Разбивка_по_щитам!M400</f>
        <v/>
      </c>
      <c r="K400" s="20">
        <f>Разбивка_по_щитам!N400</f>
        <v/>
      </c>
      <c r="L400" s="20"/>
      <c r="M400" s="20">
        <f>Разбивка_по_щитам!P400</f>
        <v/>
      </c>
      <c r="N400" s="20"/>
    </row>
    <row r="401" spans="2:14" x14ac:dyDescent="0.25">
      <c r="B401" s="20">
        <f>Разбивка_по_щитам!B401</f>
      </c>
      <c r="C401" s="20">
        <f>Разбивка_по_щитам!C401</f>
      </c>
      <c r="D401" s="20">
        <f>Разбивка_по_щитам!F401</f>
      </c>
      <c r="E401" s="20">
        <f>Разбивка_по_щитам!H401</f>
      </c>
      <c r="F401" s="20">
        <f>Разбивка_по_щитам!I401</f>
      </c>
      <c r="G401" s="20">
        <f>Разбивка_по_щитам!J401</f>
        <v/>
      </c>
      <c r="H401" s="20">
        <f>Разбивка_по_щитам!K401</f>
        <v/>
      </c>
      <c r="I401" s="20">
        <f>Разбивка_по_щитам!L401</f>
        <v/>
      </c>
      <c r="J401" s="20">
        <f>Разбивка_по_щитам!M401</f>
        <v/>
      </c>
      <c r="K401" s="20">
        <f>Разбивка_по_щитам!N401</f>
        <v/>
      </c>
      <c r="L401" s="20"/>
      <c r="M401" s="20">
        <f>Разбивка_по_щитам!P401</f>
        <v/>
      </c>
      <c r="N401" s="20"/>
    </row>
    <row r="402" spans="2:14" x14ac:dyDescent="0.25">
      <c r="B402" s="20">
        <f>Разбивка_по_щитам!B402</f>
      </c>
      <c r="C402" s="20">
        <f>Разбивка_по_щитам!C402</f>
      </c>
      <c r="D402" s="20">
        <f>Разбивка_по_щитам!F402</f>
      </c>
      <c r="E402" s="20">
        <f>Разбивка_по_щитам!H402</f>
      </c>
      <c r="F402" s="20">
        <f>Разбивка_по_щитам!I402</f>
      </c>
      <c r="G402" s="20">
        <f>Разбивка_по_щитам!J402</f>
        <v/>
      </c>
      <c r="H402" s="20">
        <f>Разбивка_по_щитам!K402</f>
        <v/>
      </c>
      <c r="I402" s="20">
        <f>Разбивка_по_щитам!L402</f>
        <v/>
      </c>
      <c r="J402" s="20">
        <f>Разбивка_по_щитам!M402</f>
        <v/>
      </c>
      <c r="K402" s="20">
        <f>Разбивка_по_щитам!N402</f>
        <v/>
      </c>
      <c r="L402" s="20"/>
      <c r="M402" s="20">
        <f>Разбивка_по_щитам!P402</f>
        <v/>
      </c>
      <c r="N402" s="20"/>
    </row>
    <row r="403" spans="2:14" x14ac:dyDescent="0.25">
      <c r="B403" s="20">
        <f>Разбивка_по_щитам!B403</f>
      </c>
      <c r="C403" s="20">
        <f>Разбивка_по_щитам!C403</f>
      </c>
      <c r="D403" s="20">
        <f>Разбивка_по_щитам!F403</f>
      </c>
      <c r="E403" s="20">
        <f>Разбивка_по_щитам!H403</f>
      </c>
      <c r="F403" s="20">
        <f>Разбивка_по_щитам!I403</f>
      </c>
      <c r="G403" s="20">
        <f>Разбивка_по_щитам!J403</f>
        <v/>
      </c>
      <c r="H403" s="20">
        <f>Разбивка_по_щитам!K403</f>
        <v/>
      </c>
      <c r="I403" s="20">
        <f>Разбивка_по_щитам!L403</f>
        <v/>
      </c>
      <c r="J403" s="20">
        <f>Разбивка_по_щитам!M403</f>
        <v/>
      </c>
      <c r="K403" s="20">
        <f>Разбивка_по_щитам!N403</f>
        <v/>
      </c>
      <c r="L403" s="20"/>
      <c r="M403" s="20">
        <f>Разбивка_по_щитам!P403</f>
        <v/>
      </c>
      <c r="N403" s="20"/>
    </row>
    <row r="404" spans="2:14" x14ac:dyDescent="0.25">
      <c r="B404" s="20">
        <f>Разбивка_по_щитам!B404</f>
      </c>
      <c r="C404" s="20">
        <f>Разбивка_по_щитам!C404</f>
      </c>
      <c r="D404" s="20">
        <f>Разбивка_по_щитам!F404</f>
      </c>
      <c r="E404" s="20">
        <f>Разбивка_по_щитам!H404</f>
      </c>
      <c r="F404" s="20">
        <f>Разбивка_по_щитам!I404</f>
      </c>
      <c r="G404" s="20">
        <f>Разбивка_по_щитам!J404</f>
        <v/>
      </c>
      <c r="H404" s="20">
        <f>Разбивка_по_щитам!K404</f>
        <v/>
      </c>
      <c r="I404" s="20">
        <f>Разбивка_по_щитам!L404</f>
        <v/>
      </c>
      <c r="J404" s="20">
        <f>Разбивка_по_щитам!M404</f>
        <v/>
      </c>
      <c r="K404" s="20">
        <f>Разбивка_по_щитам!N404</f>
        <v/>
      </c>
      <c r="L404" s="20"/>
      <c r="M404" s="20">
        <f>Разбивка_по_щитам!P404</f>
        <v/>
      </c>
      <c r="N404" s="20"/>
    </row>
    <row r="405" spans="2:14" x14ac:dyDescent="0.25">
      <c r="B405" s="20">
        <f>Разбивка_по_щитам!B405</f>
      </c>
      <c r="C405" s="20">
        <f>Разбивка_по_щитам!C405</f>
      </c>
      <c r="D405" s="20">
        <f>Разбивка_по_щитам!F405</f>
      </c>
      <c r="E405" s="20">
        <f>Разбивка_по_щитам!H405</f>
      </c>
      <c r="F405" s="20">
        <f>Разбивка_по_щитам!I405</f>
      </c>
      <c r="G405" s="20">
        <f>Разбивка_по_щитам!J405</f>
        <v/>
      </c>
      <c r="H405" s="20">
        <f>Разбивка_по_щитам!K405</f>
        <v/>
      </c>
      <c r="I405" s="20">
        <f>Разбивка_по_щитам!L405</f>
        <v/>
      </c>
      <c r="J405" s="20">
        <f>Разбивка_по_щитам!M405</f>
        <v/>
      </c>
      <c r="K405" s="20">
        <f>Разбивка_по_щитам!N405</f>
        <v/>
      </c>
      <c r="L405" s="20"/>
      <c r="M405" s="20">
        <f>Разбивка_по_щитам!P405</f>
        <v/>
      </c>
      <c r="N405" s="20"/>
    </row>
    <row r="406" spans="2:14" x14ac:dyDescent="0.25">
      <c r="B406" s="20">
        <f>Разбивка_по_щитам!B406</f>
      </c>
      <c r="C406" s="20">
        <f>Разбивка_по_щитам!C406</f>
      </c>
      <c r="D406" s="20">
        <f>Разбивка_по_щитам!F406</f>
      </c>
      <c r="E406" s="20">
        <f>Разбивка_по_щитам!H406</f>
      </c>
      <c r="F406" s="20">
        <f>Разбивка_по_щитам!I406</f>
      </c>
      <c r="G406" s="20">
        <f>Разбивка_по_щитам!J406</f>
        <v/>
      </c>
      <c r="H406" s="20">
        <f>Разбивка_по_щитам!K406</f>
        <v/>
      </c>
      <c r="I406" s="20">
        <f>Разбивка_по_щитам!L406</f>
        <v/>
      </c>
      <c r="J406" s="20">
        <f>Разбивка_по_щитам!M406</f>
        <v/>
      </c>
      <c r="K406" s="20">
        <f>Разбивка_по_щитам!N406</f>
        <v/>
      </c>
      <c r="L406" s="20"/>
      <c r="M406" s="20">
        <f>Разбивка_по_щитам!P406</f>
        <v/>
      </c>
      <c r="N406" s="20"/>
    </row>
    <row r="407" spans="2:14" x14ac:dyDescent="0.25">
      <c r="B407" s="20">
        <f>Разбивка_по_щитам!B407</f>
      </c>
      <c r="C407" s="20">
        <f>Разбивка_по_щитам!C407</f>
      </c>
      <c r="D407" s="20">
        <f>Разбивка_по_щитам!F407</f>
      </c>
      <c r="E407" s="20">
        <f>Разбивка_по_щитам!H407</f>
      </c>
      <c r="F407" s="20">
        <f>Разбивка_по_щитам!I407</f>
      </c>
      <c r="G407" s="20">
        <f>Разбивка_по_щитам!J407</f>
        <v/>
      </c>
      <c r="H407" s="20">
        <f>Разбивка_по_щитам!K407</f>
        <v/>
      </c>
      <c r="I407" s="20">
        <f>Разбивка_по_щитам!L407</f>
        <v/>
      </c>
      <c r="J407" s="20">
        <f>Разбивка_по_щитам!M407</f>
        <v/>
      </c>
      <c r="K407" s="20">
        <f>Разбивка_по_щитам!N407</f>
        <v/>
      </c>
      <c r="L407" s="20"/>
      <c r="M407" s="20">
        <f>Разбивка_по_щитам!P407</f>
        <v/>
      </c>
      <c r="N407" s="20"/>
    </row>
    <row r="408" spans="2:14" x14ac:dyDescent="0.25">
      <c r="B408" s="20">
        <f>Разбивка_по_щитам!B408</f>
      </c>
      <c r="C408" s="20">
        <f>Разбивка_по_щитам!C408</f>
      </c>
      <c r="D408" s="20">
        <f>Разбивка_по_щитам!F408</f>
      </c>
      <c r="E408" s="20">
        <f>Разбивка_по_щитам!H408</f>
      </c>
      <c r="F408" s="20">
        <f>Разбивка_по_щитам!I408</f>
      </c>
      <c r="G408" s="20">
        <f>Разбивка_по_щитам!J408</f>
        <v/>
      </c>
      <c r="H408" s="20">
        <f>Разбивка_по_щитам!K408</f>
        <v/>
      </c>
      <c r="I408" s="20">
        <f>Разбивка_по_щитам!L408</f>
        <v/>
      </c>
      <c r="J408" s="20">
        <f>Разбивка_по_щитам!M408</f>
        <v/>
      </c>
      <c r="K408" s="20">
        <f>Разбивка_по_щитам!N408</f>
        <v/>
      </c>
      <c r="L408" s="20"/>
      <c r="M408" s="20">
        <f>Разбивка_по_щитам!P408</f>
        <v/>
      </c>
      <c r="N408" s="20"/>
    </row>
    <row r="409" spans="2:14" x14ac:dyDescent="0.25">
      <c r="B409" s="20">
        <f>Разбивка_по_щитам!B409</f>
      </c>
      <c r="C409" s="20">
        <f>Разбивка_по_щитам!C409</f>
      </c>
      <c r="D409" s="20">
        <f>Разбивка_по_щитам!F409</f>
      </c>
      <c r="E409" s="20">
        <f>Разбивка_по_щитам!H409</f>
      </c>
      <c r="F409" s="20">
        <f>Разбивка_по_щитам!I409</f>
      </c>
      <c r="G409" s="20">
        <f>Разбивка_по_щитам!J409</f>
        <v/>
      </c>
      <c r="H409" s="20">
        <f>Разбивка_по_щитам!K409</f>
        <v/>
      </c>
      <c r="I409" s="20">
        <f>Разбивка_по_щитам!L409</f>
        <v/>
      </c>
      <c r="J409" s="20">
        <f>Разбивка_по_щитам!M409</f>
        <v/>
      </c>
      <c r="K409" s="20">
        <f>Разбивка_по_щитам!N409</f>
        <v/>
      </c>
      <c r="L409" s="20"/>
      <c r="M409" s="20">
        <f>Разбивка_по_щитам!P409</f>
        <v/>
      </c>
      <c r="N409" s="20"/>
    </row>
    <row r="410" spans="2:14" x14ac:dyDescent="0.25">
      <c r="B410" s="20">
        <f>Разбивка_по_щитам!B410</f>
      </c>
      <c r="C410" s="20">
        <f>Разбивка_по_щитам!C410</f>
      </c>
      <c r="D410" s="20">
        <f>Разбивка_по_щитам!F410</f>
      </c>
      <c r="E410" s="20">
        <f>Разбивка_по_щитам!H410</f>
      </c>
      <c r="F410" s="20">
        <f>Разбивка_по_щитам!I410</f>
      </c>
      <c r="G410" s="20">
        <f>Разбивка_по_щитам!J410</f>
        <v/>
      </c>
      <c r="H410" s="20">
        <f>Разбивка_по_щитам!K410</f>
        <v/>
      </c>
      <c r="I410" s="20">
        <f>Разбивка_по_щитам!L410</f>
        <v/>
      </c>
      <c r="J410" s="20">
        <f>Разбивка_по_щитам!M410</f>
        <v/>
      </c>
      <c r="K410" s="20">
        <f>Разбивка_по_щитам!N410</f>
        <v/>
      </c>
      <c r="L410" s="20"/>
      <c r="M410" s="20">
        <f>Разбивка_по_щитам!P410</f>
        <v/>
      </c>
      <c r="N410" s="20"/>
    </row>
    <row r="411" spans="2:14" x14ac:dyDescent="0.25">
      <c r="B411" s="20">
        <f>Разбивка_по_щитам!B411</f>
      </c>
      <c r="C411" s="20">
        <f>Разбивка_по_щитам!C411</f>
      </c>
      <c r="D411" s="20">
        <f>Разбивка_по_щитам!F411</f>
      </c>
      <c r="E411" s="20">
        <f>Разбивка_по_щитам!H411</f>
      </c>
      <c r="F411" s="20">
        <f>Разбивка_по_щитам!I411</f>
      </c>
      <c r="G411" s="20">
        <f>Разбивка_по_щитам!J411</f>
        <v/>
      </c>
      <c r="H411" s="20">
        <f>Разбивка_по_щитам!K411</f>
        <v/>
      </c>
      <c r="I411" s="20">
        <f>Разбивка_по_щитам!L411</f>
        <v/>
      </c>
      <c r="J411" s="20">
        <f>Разбивка_по_щитам!M411</f>
        <v/>
      </c>
      <c r="K411" s="20">
        <f>Разбивка_по_щитам!N411</f>
        <v/>
      </c>
      <c r="L411" s="20"/>
      <c r="M411" s="20">
        <f>Разбивка_по_щитам!P411</f>
        <v/>
      </c>
      <c r="N411" s="20"/>
    </row>
    <row r="412" spans="2:14" x14ac:dyDescent="0.25">
      <c r="B412" s="20">
        <f>Разбивка_по_щитам!B412</f>
      </c>
      <c r="C412" s="20">
        <f>Разбивка_по_щитам!C412</f>
      </c>
      <c r="D412" s="20">
        <f>Разбивка_по_щитам!F412</f>
      </c>
      <c r="E412" s="20">
        <f>Разбивка_по_щитам!H412</f>
      </c>
      <c r="F412" s="20">
        <f>Разбивка_по_щитам!I412</f>
      </c>
      <c r="G412" s="20">
        <f>Разбивка_по_щитам!J412</f>
        <v/>
      </c>
      <c r="H412" s="20">
        <f>Разбивка_по_щитам!K412</f>
        <v/>
      </c>
      <c r="I412" s="20">
        <f>Разбивка_по_щитам!L412</f>
        <v/>
      </c>
      <c r="J412" s="20">
        <f>Разбивка_по_щитам!M412</f>
        <v/>
      </c>
      <c r="K412" s="20">
        <f>Разбивка_по_щитам!N412</f>
        <v/>
      </c>
      <c r="L412" s="20"/>
      <c r="M412" s="20">
        <f>Разбивка_по_щитам!P412</f>
        <v/>
      </c>
      <c r="N412" s="20"/>
    </row>
    <row r="413" spans="2:14" x14ac:dyDescent="0.25">
      <c r="B413" s="20">
        <f>Разбивка_по_щитам!B413</f>
      </c>
      <c r="C413" s="20">
        <f>Разбивка_по_щитам!C413</f>
      </c>
      <c r="D413" s="20">
        <f>Разбивка_по_щитам!F413</f>
      </c>
      <c r="E413" s="20">
        <f>Разбивка_по_щитам!H413</f>
      </c>
      <c r="F413" s="20">
        <f>Разбивка_по_щитам!I413</f>
      </c>
      <c r="G413" s="20">
        <f>Разбивка_по_щитам!J413</f>
        <v/>
      </c>
      <c r="H413" s="20">
        <f>Разбивка_по_щитам!K413</f>
        <v/>
      </c>
      <c r="I413" s="20">
        <f>Разбивка_по_щитам!L413</f>
        <v/>
      </c>
      <c r="J413" s="20">
        <f>Разбивка_по_щитам!M413</f>
        <v/>
      </c>
      <c r="K413" s="20">
        <f>Разбивка_по_щитам!N413</f>
        <v/>
      </c>
      <c r="L413" s="20"/>
      <c r="M413" s="20">
        <f>Разбивка_по_щитам!P413</f>
        <v/>
      </c>
      <c r="N413" s="20"/>
    </row>
    <row r="414" spans="2:14" x14ac:dyDescent="0.25">
      <c r="B414" s="20">
        <f>Разбивка_по_щитам!B414</f>
      </c>
      <c r="C414" s="20">
        <f>Разбивка_по_щитам!C414</f>
      </c>
      <c r="D414" s="20">
        <f>Разбивка_по_щитам!F414</f>
      </c>
      <c r="E414" s="20">
        <f>Разбивка_по_щитам!H414</f>
      </c>
      <c r="F414" s="20">
        <f>Разбивка_по_щитам!I414</f>
      </c>
      <c r="G414" s="20">
        <f>Разбивка_по_щитам!J414</f>
        <v/>
      </c>
      <c r="H414" s="20">
        <f>Разбивка_по_щитам!K414</f>
        <v/>
      </c>
      <c r="I414" s="20">
        <f>Разбивка_по_щитам!L414</f>
        <v/>
      </c>
      <c r="J414" s="20">
        <f>Разбивка_по_щитам!M414</f>
        <v/>
      </c>
      <c r="K414" s="20">
        <f>Разбивка_по_щитам!N414</f>
        <v/>
      </c>
      <c r="L414" s="20"/>
      <c r="M414" s="20">
        <f>Разбивка_по_щитам!P414</f>
        <v/>
      </c>
      <c r="N414" s="20"/>
    </row>
    <row r="415" spans="2:14" x14ac:dyDescent="0.25">
      <c r="B415" s="20">
        <f>Разбивка_по_щитам!B415</f>
      </c>
      <c r="C415" s="20">
        <f>Разбивка_по_щитам!C415</f>
      </c>
      <c r="D415" s="20">
        <f>Разбивка_по_щитам!F415</f>
      </c>
      <c r="E415" s="20">
        <f>Разбивка_по_щитам!H415</f>
      </c>
      <c r="F415" s="20">
        <f>Разбивка_по_щитам!I415</f>
      </c>
      <c r="G415" s="20">
        <f>Разбивка_по_щитам!J415</f>
        <v/>
      </c>
      <c r="H415" s="20">
        <f>Разбивка_по_щитам!K415</f>
        <v/>
      </c>
      <c r="I415" s="20">
        <f>Разбивка_по_щитам!L415</f>
        <v/>
      </c>
      <c r="J415" s="20">
        <f>Разбивка_по_щитам!M415</f>
        <v/>
      </c>
      <c r="K415" s="20">
        <f>Разбивка_по_щитам!N415</f>
        <v/>
      </c>
      <c r="L415" s="20"/>
      <c r="M415" s="20">
        <f>Разбивка_по_щитам!P415</f>
        <v/>
      </c>
      <c r="N415" s="20"/>
    </row>
    <row r="416" spans="2:14" x14ac:dyDescent="0.25">
      <c r="B416" s="20">
        <f>Разбивка_по_щитам!B416</f>
      </c>
      <c r="C416" s="20">
        <f>Разбивка_по_щитам!C416</f>
      </c>
      <c r="D416" s="20">
        <f>Разбивка_по_щитам!F416</f>
      </c>
      <c r="E416" s="20">
        <f>Разбивка_по_щитам!H416</f>
      </c>
      <c r="F416" s="20">
        <f>Разбивка_по_щитам!I416</f>
      </c>
      <c r="G416" s="20">
        <f>Разбивка_по_щитам!J416</f>
        <v/>
      </c>
      <c r="H416" s="20">
        <f>Разбивка_по_щитам!K416</f>
        <v/>
      </c>
      <c r="I416" s="20">
        <f>Разбивка_по_щитам!L416</f>
        <v/>
      </c>
      <c r="J416" s="20">
        <f>Разбивка_по_щитам!M416</f>
        <v/>
      </c>
      <c r="K416" s="20">
        <f>Разбивка_по_щитам!N416</f>
        <v/>
      </c>
      <c r="L416" s="20"/>
      <c r="M416" s="20">
        <f>Разбивка_по_щитам!P416</f>
        <v/>
      </c>
      <c r="N416" s="20"/>
    </row>
    <row r="417" spans="2:14" x14ac:dyDescent="0.25">
      <c r="B417" s="20">
        <f>Разбивка_по_щитам!B417</f>
      </c>
      <c r="C417" s="20">
        <f>Разбивка_по_щитам!C417</f>
      </c>
      <c r="D417" s="20">
        <f>Разбивка_по_щитам!F417</f>
      </c>
      <c r="E417" s="20">
        <f>Разбивка_по_щитам!H417</f>
      </c>
      <c r="F417" s="20">
        <f>Разбивка_по_щитам!I417</f>
      </c>
      <c r="G417" s="20">
        <f>Разбивка_по_щитам!J417</f>
        <v/>
      </c>
      <c r="H417" s="20">
        <f>Разбивка_по_щитам!K417</f>
        <v/>
      </c>
      <c r="I417" s="20">
        <f>Разбивка_по_щитам!L417</f>
        <v/>
      </c>
      <c r="J417" s="20">
        <f>Разбивка_по_щитам!M417</f>
        <v/>
      </c>
      <c r="K417" s="20">
        <f>Разбивка_по_щитам!N417</f>
        <v/>
      </c>
      <c r="L417" s="20"/>
      <c r="M417" s="20">
        <f>Разбивка_по_щитам!P417</f>
        <v/>
      </c>
      <c r="N417" s="20"/>
    </row>
    <row r="418" spans="2:14" x14ac:dyDescent="0.25">
      <c r="B418" s="20">
        <f>Разбивка_по_щитам!B418</f>
      </c>
      <c r="C418" s="20">
        <f>Разбивка_по_щитам!C418</f>
      </c>
      <c r="D418" s="20">
        <f>Разбивка_по_щитам!F418</f>
      </c>
      <c r="E418" s="20">
        <f>Разбивка_по_щитам!H418</f>
      </c>
      <c r="F418" s="20">
        <f>Разбивка_по_щитам!I418</f>
      </c>
      <c r="G418" s="20">
        <f>Разбивка_по_щитам!J418</f>
        <v/>
      </c>
      <c r="H418" s="20">
        <f>Разбивка_по_щитам!K418</f>
        <v/>
      </c>
      <c r="I418" s="20">
        <f>Разбивка_по_щитам!L418</f>
        <v/>
      </c>
      <c r="J418" s="20">
        <f>Разбивка_по_щитам!M418</f>
        <v/>
      </c>
      <c r="K418" s="20">
        <f>Разбивка_по_щитам!N418</f>
        <v/>
      </c>
      <c r="L418" s="20"/>
      <c r="M418" s="20">
        <f>Разбивка_по_щитам!P418</f>
        <v/>
      </c>
      <c r="N418" s="20"/>
    </row>
    <row r="419" spans="2:14" x14ac:dyDescent="0.25">
      <c r="B419" s="20">
        <f>Разбивка_по_щитам!B419</f>
      </c>
      <c r="C419" s="20">
        <f>Разбивка_по_щитам!C419</f>
      </c>
      <c r="D419" s="20">
        <f>Разбивка_по_щитам!F419</f>
      </c>
      <c r="E419" s="20">
        <f>Разбивка_по_щитам!H419</f>
      </c>
      <c r="F419" s="20">
        <f>Разбивка_по_щитам!I419</f>
      </c>
      <c r="G419" s="20">
        <f>Разбивка_по_щитам!J419</f>
        <v/>
      </c>
      <c r="H419" s="20">
        <f>Разбивка_по_щитам!K419</f>
        <v/>
      </c>
      <c r="I419" s="20">
        <f>Разбивка_по_щитам!L419</f>
        <v/>
      </c>
      <c r="J419" s="20">
        <f>Разбивка_по_щитам!M419</f>
        <v/>
      </c>
      <c r="K419" s="20">
        <f>Разбивка_по_щитам!N419</f>
        <v/>
      </c>
      <c r="L419" s="20"/>
      <c r="M419" s="20">
        <f>Разбивка_по_щитам!P419</f>
        <v/>
      </c>
      <c r="N419" s="20"/>
    </row>
    <row r="420" spans="2:14" x14ac:dyDescent="0.25">
      <c r="B420" s="20">
        <f>Разбивка_по_щитам!B420</f>
      </c>
      <c r="C420" s="20">
        <f>Разбивка_по_щитам!C420</f>
      </c>
      <c r="D420" s="20">
        <f>Разбивка_по_щитам!F420</f>
      </c>
      <c r="E420" s="20">
        <f>Разбивка_по_щитам!H420</f>
      </c>
      <c r="F420" s="20">
        <f>Разбивка_по_щитам!I420</f>
      </c>
      <c r="G420" s="20">
        <f>Разбивка_по_щитам!J420</f>
        <v/>
      </c>
      <c r="H420" s="20">
        <f>Разбивка_по_щитам!K420</f>
        <v/>
      </c>
      <c r="I420" s="20">
        <f>Разбивка_по_щитам!L420</f>
        <v/>
      </c>
      <c r="J420" s="20">
        <f>Разбивка_по_щитам!M420</f>
        <v/>
      </c>
      <c r="K420" s="20">
        <f>Разбивка_по_щитам!N420</f>
        <v/>
      </c>
      <c r="L420" s="20"/>
      <c r="M420" s="20">
        <f>Разбивка_по_щитам!P420</f>
        <v/>
      </c>
      <c r="N420" s="20"/>
    </row>
    <row r="421" spans="2:14" x14ac:dyDescent="0.25">
      <c r="B421" s="20">
        <f>Разбивка_по_щитам!B421</f>
      </c>
      <c r="C421" s="20">
        <f>Разбивка_по_щитам!C421</f>
      </c>
      <c r="D421" s="20">
        <f>Разбивка_по_щитам!F421</f>
      </c>
      <c r="E421" s="20">
        <f>Разбивка_по_щитам!H421</f>
      </c>
      <c r="F421" s="20">
        <f>Разбивка_по_щитам!I421</f>
      </c>
      <c r="G421" s="20">
        <f>Разбивка_по_щитам!J421</f>
        <v/>
      </c>
      <c r="H421" s="20">
        <f>Разбивка_по_щитам!K421</f>
        <v/>
      </c>
      <c r="I421" s="20">
        <f>Разбивка_по_щитам!L421</f>
        <v/>
      </c>
      <c r="J421" s="20">
        <f>Разбивка_по_щитам!M421</f>
        <v/>
      </c>
      <c r="K421" s="20">
        <f>Разбивка_по_щитам!N421</f>
        <v/>
      </c>
      <c r="L421" s="20"/>
      <c r="M421" s="20">
        <f>Разбивка_по_щитам!P421</f>
        <v/>
      </c>
      <c r="N421" s="20"/>
    </row>
    <row r="422" spans="2:14" x14ac:dyDescent="0.25">
      <c r="B422" s="20">
        <f>Разбивка_по_щитам!B422</f>
      </c>
      <c r="C422" s="20">
        <f>Разбивка_по_щитам!C422</f>
      </c>
      <c r="D422" s="20">
        <f>Разбивка_по_щитам!F422</f>
      </c>
      <c r="E422" s="20">
        <f>Разбивка_по_щитам!H422</f>
      </c>
      <c r="F422" s="20">
        <f>Разбивка_по_щитам!I422</f>
      </c>
      <c r="G422" s="20">
        <f>Разбивка_по_щитам!J422</f>
        <v/>
      </c>
      <c r="H422" s="20">
        <f>Разбивка_по_щитам!K422</f>
        <v/>
      </c>
      <c r="I422" s="20">
        <f>Разбивка_по_щитам!L422</f>
        <v/>
      </c>
      <c r="J422" s="20">
        <f>Разбивка_по_щитам!M422</f>
        <v/>
      </c>
      <c r="K422" s="20">
        <f>Разбивка_по_щитам!N422</f>
        <v/>
      </c>
      <c r="L422" s="20"/>
      <c r="M422" s="20">
        <f>Разбивка_по_щитам!P422</f>
        <v/>
      </c>
      <c r="N422" s="20"/>
    </row>
    <row r="423" spans="2:14" x14ac:dyDescent="0.25">
      <c r="B423" s="20">
        <f>Разбивка_по_щитам!B423</f>
      </c>
      <c r="C423" s="20">
        <f>Разбивка_по_щитам!C423</f>
      </c>
      <c r="D423" s="20">
        <f>Разбивка_по_щитам!F423</f>
      </c>
      <c r="E423" s="20">
        <f>Разбивка_по_щитам!H423</f>
      </c>
      <c r="F423" s="20">
        <f>Разбивка_по_щитам!I423</f>
      </c>
      <c r="G423" s="20">
        <f>Разбивка_по_щитам!J423</f>
        <v/>
      </c>
      <c r="H423" s="20">
        <f>Разбивка_по_щитам!K423</f>
        <v/>
      </c>
      <c r="I423" s="20">
        <f>Разбивка_по_щитам!L423</f>
        <v/>
      </c>
      <c r="J423" s="20">
        <f>Разбивка_по_щитам!M423</f>
        <v/>
      </c>
      <c r="K423" s="20">
        <f>Разбивка_по_щитам!N423</f>
        <v/>
      </c>
      <c r="L423" s="20"/>
      <c r="M423" s="20">
        <f>Разбивка_по_щитам!P423</f>
        <v/>
      </c>
      <c r="N423" s="20"/>
    </row>
    <row r="424" spans="2:14" x14ac:dyDescent="0.25">
      <c r="B424" s="20">
        <f>Разбивка_по_щитам!B424</f>
      </c>
      <c r="C424" s="20">
        <f>Разбивка_по_щитам!C424</f>
      </c>
      <c r="D424" s="20">
        <f>Разбивка_по_щитам!F424</f>
      </c>
      <c r="E424" s="20">
        <f>Разбивка_по_щитам!H424</f>
      </c>
      <c r="F424" s="20">
        <f>Разбивка_по_щитам!I424</f>
      </c>
      <c r="G424" s="20">
        <f>Разбивка_по_щитам!J424</f>
        <v/>
      </c>
      <c r="H424" s="20">
        <f>Разбивка_по_щитам!K424</f>
        <v/>
      </c>
      <c r="I424" s="20">
        <f>Разбивка_по_щитам!L424</f>
        <v/>
      </c>
      <c r="J424" s="20">
        <f>Разбивка_по_щитам!M424</f>
        <v/>
      </c>
      <c r="K424" s="20">
        <f>Разбивка_по_щитам!N424</f>
        <v/>
      </c>
      <c r="L424" s="20"/>
      <c r="M424" s="20">
        <f>Разбивка_по_щитам!P424</f>
        <v/>
      </c>
      <c r="N424" s="20"/>
    </row>
    <row r="425" spans="2:14" x14ac:dyDescent="0.25">
      <c r="B425" s="20">
        <f>Разбивка_по_щитам!B425</f>
      </c>
      <c r="C425" s="20">
        <f>Разбивка_по_щитам!C425</f>
      </c>
      <c r="D425" s="20">
        <f>Разбивка_по_щитам!F425</f>
      </c>
      <c r="E425" s="20">
        <f>Разбивка_по_щитам!H425</f>
      </c>
      <c r="F425" s="20">
        <f>Разбивка_по_щитам!I425</f>
      </c>
      <c r="G425" s="20">
        <f>Разбивка_по_щитам!J425</f>
        <v/>
      </c>
      <c r="H425" s="20">
        <f>Разбивка_по_щитам!K425</f>
        <v/>
      </c>
      <c r="I425" s="20">
        <f>Разбивка_по_щитам!L425</f>
        <v/>
      </c>
      <c r="J425" s="20">
        <f>Разбивка_по_щитам!M425</f>
        <v/>
      </c>
      <c r="K425" s="20">
        <f>Разбивка_по_щитам!N425</f>
        <v/>
      </c>
      <c r="L425" s="20"/>
      <c r="M425" s="20">
        <f>Разбивка_по_щитам!P425</f>
        <v/>
      </c>
      <c r="N425" s="20"/>
    </row>
    <row r="426" spans="2:14" x14ac:dyDescent="0.25">
      <c r="B426" s="20">
        <f>Разбивка_по_щитам!B426</f>
      </c>
      <c r="C426" s="20">
        <f>Разбивка_по_щитам!C426</f>
      </c>
      <c r="D426" s="20">
        <f>Разбивка_по_щитам!F426</f>
      </c>
      <c r="E426" s="20">
        <f>Разбивка_по_щитам!H426</f>
      </c>
      <c r="F426" s="20">
        <f>Разбивка_по_щитам!I426</f>
      </c>
      <c r="G426" s="20">
        <f>Разбивка_по_щитам!J426</f>
        <v/>
      </c>
      <c r="H426" s="20">
        <f>Разбивка_по_щитам!K426</f>
        <v/>
      </c>
      <c r="I426" s="20">
        <f>Разбивка_по_щитам!L426</f>
        <v/>
      </c>
      <c r="J426" s="20">
        <f>Разбивка_по_щитам!M426</f>
        <v/>
      </c>
      <c r="K426" s="20">
        <f>Разбивка_по_щитам!N426</f>
        <v/>
      </c>
      <c r="L426" s="20"/>
      <c r="M426" s="20">
        <f>Разбивка_по_щитам!P426</f>
        <v/>
      </c>
      <c r="N426" s="20"/>
    </row>
    <row r="427" spans="2:14" x14ac:dyDescent="0.25">
      <c r="B427" s="20">
        <f>Разбивка_по_щитам!B427</f>
      </c>
      <c r="C427" s="20">
        <f>Разбивка_по_щитам!C427</f>
      </c>
      <c r="D427" s="20">
        <f>Разбивка_по_щитам!F427</f>
      </c>
      <c r="E427" s="20">
        <f>Разбивка_по_щитам!H427</f>
      </c>
      <c r="F427" s="20">
        <f>Разбивка_по_щитам!I427</f>
      </c>
      <c r="G427" s="20">
        <f>Разбивка_по_щитам!J427</f>
        <v/>
      </c>
      <c r="H427" s="20">
        <f>Разбивка_по_щитам!K427</f>
        <v/>
      </c>
      <c r="I427" s="20">
        <f>Разбивка_по_щитам!L427</f>
        <v/>
      </c>
      <c r="J427" s="20">
        <f>Разбивка_по_щитам!M427</f>
        <v/>
      </c>
      <c r="K427" s="20">
        <f>Разбивка_по_щитам!N427</f>
        <v/>
      </c>
      <c r="L427" s="20"/>
      <c r="M427" s="20">
        <f>Разбивка_по_щитам!P427</f>
        <v/>
      </c>
      <c r="N427" s="20"/>
    </row>
    <row r="428" spans="2:14" x14ac:dyDescent="0.25">
      <c r="B428" s="20">
        <f>Разбивка_по_щитам!B428</f>
      </c>
      <c r="C428" s="20">
        <f>Разбивка_по_щитам!C428</f>
      </c>
      <c r="D428" s="20">
        <f>Разбивка_по_щитам!F428</f>
      </c>
      <c r="E428" s="20">
        <f>Разбивка_по_щитам!H428</f>
      </c>
      <c r="F428" s="20">
        <f>Разбивка_по_щитам!I428</f>
      </c>
      <c r="G428" s="20">
        <f>Разбивка_по_щитам!J428</f>
        <v/>
      </c>
      <c r="H428" s="20">
        <f>Разбивка_по_щитам!K428</f>
        <v/>
      </c>
      <c r="I428" s="20">
        <f>Разбивка_по_щитам!L428</f>
        <v/>
      </c>
      <c r="J428" s="20">
        <f>Разбивка_по_щитам!M428</f>
        <v/>
      </c>
      <c r="K428" s="20">
        <f>Разбивка_по_щитам!N428</f>
        <v/>
      </c>
      <c r="L428" s="20"/>
      <c r="M428" s="20">
        <f>Разбивка_по_щитам!P428</f>
        <v/>
      </c>
      <c r="N428" s="20"/>
    </row>
    <row r="429" spans="2:14" x14ac:dyDescent="0.25">
      <c r="B429" s="20">
        <f>Разбивка_по_щитам!B429</f>
      </c>
      <c r="C429" s="20">
        <f>Разбивка_по_щитам!C429</f>
      </c>
      <c r="D429" s="20">
        <f>Разбивка_по_щитам!F429</f>
      </c>
      <c r="E429" s="20">
        <f>Разбивка_по_щитам!H429</f>
      </c>
      <c r="F429" s="20">
        <f>Разбивка_по_щитам!I429</f>
      </c>
      <c r="G429" s="20">
        <f>Разбивка_по_щитам!J429</f>
        <v/>
      </c>
      <c r="H429" s="20">
        <f>Разбивка_по_щитам!K429</f>
        <v/>
      </c>
      <c r="I429" s="20">
        <f>Разбивка_по_щитам!L429</f>
        <v/>
      </c>
      <c r="J429" s="20">
        <f>Разбивка_по_щитам!M429</f>
        <v/>
      </c>
      <c r="K429" s="20">
        <f>Разбивка_по_щитам!N429</f>
        <v/>
      </c>
      <c r="L429" s="20"/>
      <c r="M429" s="20">
        <f>Разбивка_по_щитам!P429</f>
        <v/>
      </c>
      <c r="N429" s="20"/>
    </row>
    <row r="430" spans="2:14" x14ac:dyDescent="0.25">
      <c r="B430" s="20">
        <f>Разбивка_по_щитам!B430</f>
      </c>
      <c r="C430" s="20">
        <f>Разбивка_по_щитам!C430</f>
      </c>
      <c r="D430" s="20">
        <f>Разбивка_по_щитам!F430</f>
      </c>
      <c r="E430" s="20">
        <f>Разбивка_по_щитам!H430</f>
      </c>
      <c r="F430" s="20">
        <f>Разбивка_по_щитам!I430</f>
      </c>
      <c r="G430" s="20">
        <f>Разбивка_по_щитам!J430</f>
        <v/>
      </c>
      <c r="H430" s="20">
        <f>Разбивка_по_щитам!K430</f>
        <v/>
      </c>
      <c r="I430" s="20">
        <f>Разбивка_по_щитам!L430</f>
        <v/>
      </c>
      <c r="J430" s="20">
        <f>Разбивка_по_щитам!M430</f>
        <v/>
      </c>
      <c r="K430" s="20">
        <f>Разбивка_по_щитам!N430</f>
        <v/>
      </c>
      <c r="L430" s="20"/>
      <c r="M430" s="20">
        <f>Разбивка_по_щитам!P430</f>
        <v/>
      </c>
      <c r="N430" s="20"/>
    </row>
    <row r="431" spans="2:14" x14ac:dyDescent="0.25">
      <c r="B431" s="20">
        <f>Разбивка_по_щитам!B431</f>
      </c>
      <c r="C431" s="20">
        <f>Разбивка_по_щитам!C431</f>
      </c>
      <c r="D431" s="20">
        <f>Разбивка_по_щитам!F431</f>
      </c>
      <c r="E431" s="20">
        <f>Разбивка_по_щитам!H431</f>
      </c>
      <c r="F431" s="20">
        <f>Разбивка_по_щитам!I431</f>
      </c>
      <c r="G431" s="20">
        <f>Разбивка_по_щитам!J431</f>
        <v/>
      </c>
      <c r="H431" s="20">
        <f>Разбивка_по_щитам!K431</f>
        <v/>
      </c>
      <c r="I431" s="20">
        <f>Разбивка_по_щитам!L431</f>
        <v/>
      </c>
      <c r="J431" s="20">
        <f>Разбивка_по_щитам!M431</f>
        <v/>
      </c>
      <c r="K431" s="20">
        <f>Разбивка_по_щитам!N431</f>
        <v/>
      </c>
      <c r="L431" s="20"/>
      <c r="M431" s="20">
        <f>Разбивка_по_щитам!P431</f>
        <v/>
      </c>
      <c r="N431" s="20"/>
    </row>
    <row r="432" spans="2:14" x14ac:dyDescent="0.25">
      <c r="B432" s="20">
        <f>Разбивка_по_щитам!B432</f>
      </c>
      <c r="C432" s="20">
        <f>Разбивка_по_щитам!C432</f>
      </c>
      <c r="D432" s="20">
        <f>Разбивка_по_щитам!F432</f>
      </c>
      <c r="E432" s="20">
        <f>Разбивка_по_щитам!H432</f>
      </c>
      <c r="F432" s="20">
        <f>Разбивка_по_щитам!I432</f>
      </c>
      <c r="G432" s="20">
        <f>Разбивка_по_щитам!J432</f>
        <v/>
      </c>
      <c r="H432" s="20">
        <f>Разбивка_по_щитам!K432</f>
        <v/>
      </c>
      <c r="I432" s="20">
        <f>Разбивка_по_щитам!L432</f>
        <v/>
      </c>
      <c r="J432" s="20">
        <f>Разбивка_по_щитам!M432</f>
        <v/>
      </c>
      <c r="K432" s="20">
        <f>Разбивка_по_щитам!N432</f>
        <v/>
      </c>
      <c r="L432" s="20"/>
      <c r="M432" s="20">
        <f>Разбивка_по_щитам!P432</f>
        <v/>
      </c>
      <c r="N432" s="20"/>
    </row>
    <row r="433" spans="2:14" x14ac:dyDescent="0.25">
      <c r="B433" s="20">
        <f>Разбивка_по_щитам!B433</f>
      </c>
      <c r="C433" s="20">
        <f>Разбивка_по_щитам!C433</f>
      </c>
      <c r="D433" s="20">
        <f>Разбивка_по_щитам!F433</f>
      </c>
      <c r="E433" s="20">
        <f>Разбивка_по_щитам!H433</f>
      </c>
      <c r="F433" s="20">
        <f>Разбивка_по_щитам!I433</f>
      </c>
      <c r="G433" s="20">
        <f>Разбивка_по_щитам!J433</f>
        <v/>
      </c>
      <c r="H433" s="20">
        <f>Разбивка_по_щитам!K433</f>
        <v/>
      </c>
      <c r="I433" s="20">
        <f>Разбивка_по_щитам!L433</f>
        <v/>
      </c>
      <c r="J433" s="20">
        <f>Разбивка_по_щитам!M433</f>
        <v/>
      </c>
      <c r="K433" s="20">
        <f>Разбивка_по_щитам!N433</f>
        <v/>
      </c>
      <c r="L433" s="20"/>
      <c r="M433" s="20">
        <f>Разбивка_по_щитам!P433</f>
        <v/>
      </c>
      <c r="N433" s="20"/>
    </row>
    <row r="434" spans="2:14" x14ac:dyDescent="0.25">
      <c r="B434" s="20">
        <f>Разбивка_по_щитам!B434</f>
      </c>
      <c r="C434" s="20">
        <f>Разбивка_по_щитам!C434</f>
      </c>
      <c r="D434" s="20">
        <f>Разбивка_по_щитам!F434</f>
      </c>
      <c r="E434" s="20">
        <f>Разбивка_по_щитам!H434</f>
      </c>
      <c r="F434" s="20">
        <f>Разбивка_по_щитам!I434</f>
      </c>
      <c r="G434" s="20">
        <f>Разбивка_по_щитам!J434</f>
        <v/>
      </c>
      <c r="H434" s="20">
        <f>Разбивка_по_щитам!K434</f>
        <v/>
      </c>
      <c r="I434" s="20">
        <f>Разбивка_по_щитам!L434</f>
        <v/>
      </c>
      <c r="J434" s="20">
        <f>Разбивка_по_щитам!M434</f>
        <v/>
      </c>
      <c r="K434" s="20">
        <f>Разбивка_по_щитам!N434</f>
        <v/>
      </c>
      <c r="L434" s="20"/>
      <c r="M434" s="20">
        <f>Разбивка_по_щитам!P434</f>
        <v/>
      </c>
      <c r="N434" s="20"/>
    </row>
    <row r="435" spans="2:14" x14ac:dyDescent="0.25">
      <c r="B435" s="20">
        <f>Разбивка_по_щитам!B435</f>
      </c>
      <c r="C435" s="20">
        <f>Разбивка_по_щитам!C435</f>
      </c>
      <c r="D435" s="20">
        <f>Разбивка_по_щитам!F435</f>
      </c>
      <c r="E435" s="20">
        <f>Разбивка_по_щитам!H435</f>
      </c>
      <c r="F435" s="20">
        <f>Разбивка_по_щитам!I435</f>
      </c>
      <c r="G435" s="20">
        <f>Разбивка_по_щитам!J435</f>
        <v/>
      </c>
      <c r="H435" s="20">
        <f>Разбивка_по_щитам!K435</f>
        <v/>
      </c>
      <c r="I435" s="20">
        <f>Разбивка_по_щитам!L435</f>
        <v/>
      </c>
      <c r="J435" s="20">
        <f>Разбивка_по_щитам!M435</f>
        <v/>
      </c>
      <c r="K435" s="20">
        <f>Разбивка_по_щитам!N435</f>
        <v/>
      </c>
      <c r="L435" s="20"/>
      <c r="M435" s="20">
        <f>Разбивка_по_щитам!P435</f>
        <v/>
      </c>
      <c r="N435" s="20"/>
    </row>
    <row r="436" spans="2:14" x14ac:dyDescent="0.25">
      <c r="B436" s="20">
        <f>Разбивка_по_щитам!B436</f>
      </c>
      <c r="C436" s="20">
        <f>Разбивка_по_щитам!C436</f>
      </c>
      <c r="D436" s="20">
        <f>Разбивка_по_щитам!F436</f>
      </c>
      <c r="E436" s="20">
        <f>Разбивка_по_щитам!H436</f>
      </c>
      <c r="F436" s="20">
        <f>Разбивка_по_щитам!I436</f>
      </c>
      <c r="G436" s="20">
        <f>Разбивка_по_щитам!J436</f>
        <v/>
      </c>
      <c r="H436" s="20">
        <f>Разбивка_по_щитам!K436</f>
        <v/>
      </c>
      <c r="I436" s="20">
        <f>Разбивка_по_щитам!L436</f>
        <v/>
      </c>
      <c r="J436" s="20">
        <f>Разбивка_по_щитам!M436</f>
        <v/>
      </c>
      <c r="K436" s="20">
        <f>Разбивка_по_щитам!N436</f>
        <v/>
      </c>
      <c r="L436" s="20"/>
      <c r="M436" s="20">
        <f>Разбивка_по_щитам!P436</f>
        <v/>
      </c>
      <c r="N436" s="20"/>
    </row>
    <row r="437" spans="2:14" x14ac:dyDescent="0.25">
      <c r="B437" s="20">
        <f>Разбивка_по_щитам!B437</f>
      </c>
      <c r="C437" s="20">
        <f>Разбивка_по_щитам!C437</f>
      </c>
      <c r="D437" s="20">
        <f>Разбивка_по_щитам!F437</f>
      </c>
      <c r="E437" s="20">
        <f>Разбивка_по_щитам!H437</f>
      </c>
      <c r="F437" s="20">
        <f>Разбивка_по_щитам!I437</f>
      </c>
      <c r="G437" s="20">
        <f>Разбивка_по_щитам!J437</f>
        <v/>
      </c>
      <c r="H437" s="20">
        <f>Разбивка_по_щитам!K437</f>
        <v/>
      </c>
      <c r="I437" s="20">
        <f>Разбивка_по_щитам!L437</f>
        <v/>
      </c>
      <c r="J437" s="20">
        <f>Разбивка_по_щитам!M437</f>
        <v/>
      </c>
      <c r="K437" s="20">
        <f>Разбивка_по_щитам!N437</f>
        <v/>
      </c>
      <c r="L437" s="20"/>
      <c r="M437" s="20">
        <f>Разбивка_по_щитам!P437</f>
        <v/>
      </c>
      <c r="N437" s="20"/>
    </row>
    <row r="438" spans="2:14" x14ac:dyDescent="0.25">
      <c r="B438" s="20">
        <f>Разбивка_по_щитам!B438</f>
      </c>
      <c r="C438" s="20">
        <f>Разбивка_по_щитам!C438</f>
      </c>
      <c r="D438" s="20">
        <f>Разбивка_по_щитам!F438</f>
      </c>
      <c r="E438" s="20">
        <f>Разбивка_по_щитам!H438</f>
      </c>
      <c r="F438" s="20">
        <f>Разбивка_по_щитам!I438</f>
      </c>
      <c r="G438" s="20">
        <f>Разбивка_по_щитам!J438</f>
        <v/>
      </c>
      <c r="H438" s="20">
        <f>Разбивка_по_щитам!K438</f>
        <v/>
      </c>
      <c r="I438" s="20">
        <f>Разбивка_по_щитам!L438</f>
        <v/>
      </c>
      <c r="J438" s="20">
        <f>Разбивка_по_щитам!M438</f>
        <v/>
      </c>
      <c r="K438" s="20">
        <f>Разбивка_по_щитам!N438</f>
        <v/>
      </c>
      <c r="L438" s="20"/>
      <c r="M438" s="20">
        <f>Разбивка_по_щитам!P438</f>
        <v/>
      </c>
      <c r="N438" s="20"/>
    </row>
    <row r="439" spans="2:14" x14ac:dyDescent="0.25">
      <c r="B439" s="20">
        <f>Разбивка_по_щитам!B439</f>
      </c>
      <c r="C439" s="20">
        <f>Разбивка_по_щитам!C439</f>
      </c>
      <c r="D439" s="20">
        <f>Разбивка_по_щитам!F439</f>
      </c>
      <c r="E439" s="20">
        <f>Разбивка_по_щитам!H439</f>
      </c>
      <c r="F439" s="20">
        <f>Разбивка_по_щитам!I439</f>
      </c>
      <c r="G439" s="20">
        <f>Разбивка_по_щитам!J439</f>
        <v/>
      </c>
      <c r="H439" s="20">
        <f>Разбивка_по_щитам!K439</f>
        <v/>
      </c>
      <c r="I439" s="20">
        <f>Разбивка_по_щитам!L439</f>
        <v/>
      </c>
      <c r="J439" s="20">
        <f>Разбивка_по_щитам!M439</f>
        <v/>
      </c>
      <c r="K439" s="20">
        <f>Разбивка_по_щитам!N439</f>
        <v/>
      </c>
      <c r="L439" s="20"/>
      <c r="M439" s="20">
        <f>Разбивка_по_щитам!P439</f>
        <v/>
      </c>
      <c r="N439" s="20"/>
    </row>
    <row r="440" spans="2:14" x14ac:dyDescent="0.25">
      <c r="B440" s="20">
        <f>Разбивка_по_щитам!B440</f>
      </c>
      <c r="C440" s="20">
        <f>Разбивка_по_щитам!C440</f>
      </c>
      <c r="D440" s="20">
        <f>Разбивка_по_щитам!F440</f>
      </c>
      <c r="E440" s="20">
        <f>Разбивка_по_щитам!H440</f>
      </c>
      <c r="F440" s="20">
        <f>Разбивка_по_щитам!I440</f>
      </c>
      <c r="G440" s="20">
        <f>Разбивка_по_щитам!J440</f>
        <v/>
      </c>
      <c r="H440" s="20">
        <f>Разбивка_по_щитам!K440</f>
        <v/>
      </c>
      <c r="I440" s="20">
        <f>Разбивка_по_щитам!L440</f>
        <v/>
      </c>
      <c r="J440" s="20">
        <f>Разбивка_по_щитам!M440</f>
        <v/>
      </c>
      <c r="K440" s="20">
        <f>Разбивка_по_щитам!N440</f>
        <v/>
      </c>
      <c r="L440" s="20"/>
      <c r="M440" s="20">
        <f>Разбивка_по_щитам!P440</f>
        <v/>
      </c>
      <c r="N440" s="20"/>
    </row>
    <row r="441" spans="2:14" x14ac:dyDescent="0.25">
      <c r="B441" s="20">
        <f>Разбивка_по_щитам!B441</f>
      </c>
      <c r="C441" s="20">
        <f>Разбивка_по_щитам!C441</f>
      </c>
      <c r="D441" s="20">
        <f>Разбивка_по_щитам!F441</f>
      </c>
      <c r="E441" s="20">
        <f>Разбивка_по_щитам!H441</f>
      </c>
      <c r="F441" s="20">
        <f>Разбивка_по_щитам!I441</f>
      </c>
      <c r="G441" s="20">
        <f>Разбивка_по_щитам!J441</f>
        <v/>
      </c>
      <c r="H441" s="20">
        <f>Разбивка_по_щитам!K441</f>
        <v/>
      </c>
      <c r="I441" s="20">
        <f>Разбивка_по_щитам!L441</f>
        <v/>
      </c>
      <c r="J441" s="20">
        <f>Разбивка_по_щитам!M441</f>
        <v/>
      </c>
      <c r="K441" s="20">
        <f>Разбивка_по_щитам!N441</f>
        <v/>
      </c>
      <c r="L441" s="20"/>
      <c r="M441" s="20">
        <f>Разбивка_по_щитам!P441</f>
        <v/>
      </c>
      <c r="N441" s="20"/>
    </row>
    <row r="442" spans="2:14" x14ac:dyDescent="0.25">
      <c r="B442" s="20">
        <f>Разбивка_по_щитам!B442</f>
      </c>
      <c r="C442" s="20">
        <f>Разбивка_по_щитам!C442</f>
      </c>
      <c r="D442" s="20">
        <f>Разбивка_по_щитам!F442</f>
      </c>
      <c r="E442" s="20">
        <f>Разбивка_по_щитам!H442</f>
      </c>
      <c r="F442" s="20">
        <f>Разбивка_по_щитам!I442</f>
      </c>
      <c r="G442" s="20">
        <f>Разбивка_по_щитам!J442</f>
        <v/>
      </c>
      <c r="H442" s="20">
        <f>Разбивка_по_щитам!K442</f>
        <v/>
      </c>
      <c r="I442" s="20">
        <f>Разбивка_по_щитам!L442</f>
        <v/>
      </c>
      <c r="J442" s="20">
        <f>Разбивка_по_щитам!M442</f>
        <v/>
      </c>
      <c r="K442" s="20">
        <f>Разбивка_по_щитам!N442</f>
        <v/>
      </c>
      <c r="L442" s="20"/>
      <c r="M442" s="20">
        <f>Разбивка_по_щитам!P442</f>
        <v/>
      </c>
      <c r="N442" s="20"/>
    </row>
    <row r="443" spans="2:14" x14ac:dyDescent="0.25">
      <c r="B443" s="20">
        <f>Разбивка_по_щитам!B443</f>
      </c>
      <c r="C443" s="20">
        <f>Разбивка_по_щитам!C443</f>
      </c>
      <c r="D443" s="20">
        <f>Разбивка_по_щитам!F443</f>
      </c>
      <c r="E443" s="20">
        <f>Разбивка_по_щитам!H443</f>
      </c>
      <c r="F443" s="20">
        <f>Разбивка_по_щитам!I443</f>
      </c>
      <c r="G443" s="20">
        <f>Разбивка_по_щитам!J443</f>
        <v/>
      </c>
      <c r="H443" s="20">
        <f>Разбивка_по_щитам!K443</f>
        <v/>
      </c>
      <c r="I443" s="20">
        <f>Разбивка_по_щитам!L443</f>
        <v/>
      </c>
      <c r="J443" s="20">
        <f>Разбивка_по_щитам!M443</f>
        <v/>
      </c>
      <c r="K443" s="20">
        <f>Разбивка_по_щитам!N443</f>
        <v/>
      </c>
      <c r="L443" s="20"/>
      <c r="M443" s="20">
        <f>Разбивка_по_щитам!P443</f>
        <v/>
      </c>
      <c r="N443" s="20"/>
    </row>
    <row r="444" spans="2:14" x14ac:dyDescent="0.25">
      <c r="B444" s="20">
        <f>Разбивка_по_щитам!B444</f>
      </c>
      <c r="C444" s="20">
        <f>Разбивка_по_щитам!C444</f>
      </c>
      <c r="D444" s="20">
        <f>Разбивка_по_щитам!F444</f>
      </c>
      <c r="E444" s="20">
        <f>Разбивка_по_щитам!H444</f>
      </c>
      <c r="F444" s="20">
        <f>Разбивка_по_щитам!I444</f>
      </c>
      <c r="G444" s="20">
        <f>Разбивка_по_щитам!J444</f>
        <v/>
      </c>
      <c r="H444" s="20">
        <f>Разбивка_по_щитам!K444</f>
        <v/>
      </c>
      <c r="I444" s="20">
        <f>Разбивка_по_щитам!L444</f>
        <v/>
      </c>
      <c r="J444" s="20">
        <f>Разбивка_по_щитам!M444</f>
        <v/>
      </c>
      <c r="K444" s="20">
        <f>Разбивка_по_щитам!N444</f>
        <v/>
      </c>
      <c r="L444" s="20"/>
      <c r="M444" s="20">
        <f>Разбивка_по_щитам!P444</f>
        <v/>
      </c>
      <c r="N444" s="20"/>
    </row>
    <row r="445" spans="2:14" x14ac:dyDescent="0.25">
      <c r="B445" s="20">
        <f>Разбивка_по_щитам!B445</f>
      </c>
      <c r="C445" s="20">
        <f>Разбивка_по_щитам!C445</f>
      </c>
      <c r="D445" s="20">
        <f>Разбивка_по_щитам!F445</f>
      </c>
      <c r="E445" s="20">
        <f>Разбивка_по_щитам!H445</f>
      </c>
      <c r="F445" s="20">
        <f>Разбивка_по_щитам!I445</f>
      </c>
      <c r="G445" s="20">
        <f>Разбивка_по_щитам!J445</f>
        <v/>
      </c>
      <c r="H445" s="20">
        <f>Разбивка_по_щитам!K445</f>
        <v/>
      </c>
      <c r="I445" s="20">
        <f>Разбивка_по_щитам!L445</f>
        <v/>
      </c>
      <c r="J445" s="20">
        <f>Разбивка_по_щитам!M445</f>
        <v/>
      </c>
      <c r="K445" s="20">
        <f>Разбивка_по_щитам!N445</f>
        <v/>
      </c>
      <c r="L445" s="20"/>
      <c r="M445" s="20">
        <f>Разбивка_по_щитам!P445</f>
        <v/>
      </c>
      <c r="N445" s="20"/>
    </row>
    <row r="446" spans="2:14" x14ac:dyDescent="0.25">
      <c r="B446" s="20">
        <f>Разбивка_по_щитам!B446</f>
      </c>
      <c r="C446" s="20">
        <f>Разбивка_по_щитам!C446</f>
      </c>
      <c r="D446" s="20">
        <f>Разбивка_по_щитам!F446</f>
      </c>
      <c r="E446" s="20">
        <f>Разбивка_по_щитам!H446</f>
      </c>
      <c r="F446" s="20">
        <f>Разбивка_по_щитам!I446</f>
      </c>
      <c r="G446" s="20">
        <f>Разбивка_по_щитам!J446</f>
        <v/>
      </c>
      <c r="H446" s="20">
        <f>Разбивка_по_щитам!K446</f>
        <v/>
      </c>
      <c r="I446" s="20">
        <f>Разбивка_по_щитам!L446</f>
        <v/>
      </c>
      <c r="J446" s="20">
        <f>Разбивка_по_щитам!M446</f>
        <v/>
      </c>
      <c r="K446" s="20">
        <f>Разбивка_по_щитам!N446</f>
        <v/>
      </c>
      <c r="L446" s="20"/>
      <c r="M446" s="20">
        <f>Разбивка_по_щитам!P446</f>
        <v/>
      </c>
      <c r="N446" s="20"/>
    </row>
    <row r="447" spans="2:14" x14ac:dyDescent="0.25">
      <c r="B447" s="20">
        <f>Разбивка_по_щитам!B447</f>
      </c>
      <c r="C447" s="20">
        <f>Разбивка_по_щитам!C447</f>
      </c>
      <c r="D447" s="20">
        <f>Разбивка_по_щитам!F447</f>
      </c>
      <c r="E447" s="20">
        <f>Разбивка_по_щитам!H447</f>
      </c>
      <c r="F447" s="20">
        <f>Разбивка_по_щитам!I447</f>
      </c>
      <c r="G447" s="20">
        <f>Разбивка_по_щитам!J447</f>
        <v/>
      </c>
      <c r="H447" s="20">
        <f>Разбивка_по_щитам!K447</f>
        <v/>
      </c>
      <c r="I447" s="20">
        <f>Разбивка_по_щитам!L447</f>
        <v/>
      </c>
      <c r="J447" s="20">
        <f>Разбивка_по_щитам!M447</f>
        <v/>
      </c>
      <c r="K447" s="20">
        <f>Разбивка_по_щитам!N447</f>
        <v/>
      </c>
      <c r="L447" s="20"/>
      <c r="M447" s="20">
        <f>Разбивка_по_щитам!P447</f>
        <v/>
      </c>
      <c r="N447" s="20"/>
    </row>
    <row r="448" spans="2:14" x14ac:dyDescent="0.25">
      <c r="B448" s="20">
        <f>Разбивка_по_щитам!B448</f>
      </c>
      <c r="C448" s="20">
        <f>Разбивка_по_щитам!C448</f>
      </c>
      <c r="D448" s="20">
        <f>Разбивка_по_щитам!F448</f>
      </c>
      <c r="E448" s="20">
        <f>Разбивка_по_щитам!H448</f>
      </c>
      <c r="F448" s="20">
        <f>Разбивка_по_щитам!I448</f>
      </c>
      <c r="G448" s="20">
        <f>Разбивка_по_щитам!J448</f>
        <v/>
      </c>
      <c r="H448" s="20">
        <f>Разбивка_по_щитам!K448</f>
        <v/>
      </c>
      <c r="I448" s="20">
        <f>Разбивка_по_щитам!L448</f>
        <v/>
      </c>
      <c r="J448" s="20">
        <f>Разбивка_по_щитам!M448</f>
        <v/>
      </c>
      <c r="K448" s="20">
        <f>Разбивка_по_щитам!N448</f>
        <v/>
      </c>
      <c r="L448" s="20"/>
      <c r="M448" s="20">
        <f>Разбивка_по_щитам!P448</f>
        <v/>
      </c>
      <c r="N448" s="20"/>
    </row>
    <row r="449" spans="2:14" x14ac:dyDescent="0.25">
      <c r="B449" s="20">
        <f>Разбивка_по_щитам!B449</f>
      </c>
      <c r="C449" s="20">
        <f>Разбивка_по_щитам!C449</f>
      </c>
      <c r="D449" s="20">
        <f>Разбивка_по_щитам!F449</f>
      </c>
      <c r="E449" s="20">
        <f>Разбивка_по_щитам!H449</f>
      </c>
      <c r="F449" s="20">
        <f>Разбивка_по_щитам!I449</f>
      </c>
      <c r="G449" s="20">
        <f>Разбивка_по_щитам!J449</f>
        <v/>
      </c>
      <c r="H449" s="20">
        <f>Разбивка_по_щитам!K449</f>
        <v/>
      </c>
      <c r="I449" s="20">
        <f>Разбивка_по_щитам!L449</f>
        <v/>
      </c>
      <c r="J449" s="20">
        <f>Разбивка_по_щитам!M449</f>
        <v/>
      </c>
      <c r="K449" s="20">
        <f>Разбивка_по_щитам!N449</f>
        <v/>
      </c>
      <c r="L449" s="20"/>
      <c r="M449" s="20">
        <f>Разбивка_по_щитам!P449</f>
        <v/>
      </c>
      <c r="N449" s="20"/>
    </row>
    <row r="450" spans="2:14" x14ac:dyDescent="0.25">
      <c r="B450" s="20">
        <f>Разбивка_по_щитам!B450</f>
      </c>
      <c r="C450" s="20">
        <f>Разбивка_по_щитам!C450</f>
      </c>
      <c r="D450" s="20">
        <f>Разбивка_по_щитам!F450</f>
      </c>
      <c r="E450" s="20">
        <f>Разбивка_по_щитам!H450</f>
      </c>
      <c r="F450" s="20">
        <f>Разбивка_по_щитам!I450</f>
      </c>
      <c r="G450" s="20">
        <f>Разбивка_по_щитам!J450</f>
        <v/>
      </c>
      <c r="H450" s="20">
        <f>Разбивка_по_щитам!K450</f>
        <v/>
      </c>
      <c r="I450" s="20">
        <f>Разбивка_по_щитам!L450</f>
        <v/>
      </c>
      <c r="J450" s="20">
        <f>Разбивка_по_щитам!M450</f>
        <v/>
      </c>
      <c r="K450" s="20">
        <f>Разбивка_по_щитам!N450</f>
        <v/>
      </c>
      <c r="L450" s="20"/>
      <c r="M450" s="20">
        <f>Разбивка_по_щитам!P450</f>
        <v/>
      </c>
      <c r="N450" s="20"/>
    </row>
    <row r="451" spans="2:14" x14ac:dyDescent="0.25">
      <c r="B451" s="20">
        <f>Разбивка_по_щитам!B451</f>
      </c>
      <c r="C451" s="20">
        <f>Разбивка_по_щитам!C451</f>
      </c>
      <c r="D451" s="20">
        <f>Разбивка_по_щитам!F451</f>
      </c>
      <c r="E451" s="20">
        <f>Разбивка_по_щитам!H451</f>
      </c>
      <c r="F451" s="20">
        <f>Разбивка_по_щитам!I451</f>
      </c>
      <c r="G451" s="20">
        <f>Разбивка_по_щитам!J451</f>
        <v/>
      </c>
      <c r="H451" s="20">
        <f>Разбивка_по_щитам!K451</f>
        <v/>
      </c>
      <c r="I451" s="20">
        <f>Разбивка_по_щитам!L451</f>
        <v/>
      </c>
      <c r="J451" s="20">
        <f>Разбивка_по_щитам!M451</f>
        <v/>
      </c>
      <c r="K451" s="20">
        <f>Разбивка_по_щитам!N451</f>
        <v/>
      </c>
      <c r="L451" s="20"/>
      <c r="M451" s="20">
        <f>Разбивка_по_щитам!P451</f>
        <v/>
      </c>
      <c r="N451" s="20"/>
    </row>
    <row r="452" spans="2:14" x14ac:dyDescent="0.25">
      <c r="B452" s="20">
        <f>Разбивка_по_щитам!B452</f>
      </c>
      <c r="C452" s="20">
        <f>Разбивка_по_щитам!C452</f>
      </c>
      <c r="D452" s="20">
        <f>Разбивка_по_щитам!F452</f>
      </c>
      <c r="E452" s="20">
        <f>Разбивка_по_щитам!H452</f>
      </c>
      <c r="F452" s="20">
        <f>Разбивка_по_щитам!I452</f>
      </c>
      <c r="G452" s="20">
        <f>Разбивка_по_щитам!J452</f>
        <v/>
      </c>
      <c r="H452" s="20">
        <f>Разбивка_по_щитам!K452</f>
        <v/>
      </c>
      <c r="I452" s="20">
        <f>Разбивка_по_щитам!L452</f>
        <v/>
      </c>
      <c r="J452" s="20">
        <f>Разбивка_по_щитам!M452</f>
        <v/>
      </c>
      <c r="K452" s="20">
        <f>Разбивка_по_щитам!N452</f>
        <v/>
      </c>
      <c r="L452" s="20"/>
      <c r="M452" s="20">
        <f>Разбивка_по_щитам!P452</f>
        <v/>
      </c>
      <c r="N452" s="20"/>
    </row>
    <row r="453" spans="2:14" x14ac:dyDescent="0.25">
      <c r="B453" s="20">
        <f>Разбивка_по_щитам!B453</f>
      </c>
      <c r="C453" s="20">
        <f>Разбивка_по_щитам!C453</f>
      </c>
      <c r="D453" s="20">
        <f>Разбивка_по_щитам!F453</f>
      </c>
      <c r="E453" s="20">
        <f>Разбивка_по_щитам!H453</f>
      </c>
      <c r="F453" s="20">
        <f>Разбивка_по_щитам!I453</f>
      </c>
      <c r="G453" s="20">
        <f>Разбивка_по_щитам!J453</f>
        <v/>
      </c>
      <c r="H453" s="20">
        <f>Разбивка_по_щитам!K453</f>
        <v/>
      </c>
      <c r="I453" s="20">
        <f>Разбивка_по_щитам!L453</f>
        <v/>
      </c>
      <c r="J453" s="20">
        <f>Разбивка_по_щитам!M453</f>
        <v/>
      </c>
      <c r="K453" s="20">
        <f>Разбивка_по_щитам!N453</f>
        <v/>
      </c>
      <c r="L453" s="20"/>
      <c r="M453" s="20">
        <f>Разбивка_по_щитам!P453</f>
        <v/>
      </c>
      <c r="N453" s="20"/>
    </row>
    <row r="454" spans="2:14" x14ac:dyDescent="0.25">
      <c r="B454" s="20">
        <f>Разбивка_по_щитам!B454</f>
      </c>
      <c r="C454" s="20">
        <f>Разбивка_по_щитам!C454</f>
      </c>
      <c r="D454" s="20">
        <f>Разбивка_по_щитам!F454</f>
      </c>
      <c r="E454" s="20">
        <f>Разбивка_по_щитам!H454</f>
      </c>
      <c r="F454" s="20">
        <f>Разбивка_по_щитам!I454</f>
      </c>
      <c r="G454" s="20">
        <f>Разбивка_по_щитам!J454</f>
        <v/>
      </c>
      <c r="H454" s="20">
        <f>Разбивка_по_щитам!K454</f>
        <v/>
      </c>
      <c r="I454" s="20">
        <f>Разбивка_по_щитам!L454</f>
        <v/>
      </c>
      <c r="J454" s="20">
        <f>Разбивка_по_щитам!M454</f>
        <v/>
      </c>
      <c r="K454" s="20">
        <f>Разбивка_по_щитам!N454</f>
        <v/>
      </c>
      <c r="L454" s="20"/>
      <c r="M454" s="20">
        <f>Разбивка_по_щитам!P454</f>
        <v/>
      </c>
      <c r="N454" s="20"/>
    </row>
    <row r="455" spans="2:14" x14ac:dyDescent="0.25">
      <c r="B455" s="20">
        <f>Разбивка_по_щитам!B455</f>
      </c>
      <c r="C455" s="20">
        <f>Разбивка_по_щитам!C455</f>
      </c>
      <c r="D455" s="20">
        <f>Разбивка_по_щитам!F455</f>
      </c>
      <c r="E455" s="20">
        <f>Разбивка_по_щитам!H455</f>
      </c>
      <c r="F455" s="20">
        <f>Разбивка_по_щитам!I455</f>
      </c>
      <c r="G455" s="20">
        <f>Разбивка_по_щитам!J455</f>
        <v/>
      </c>
      <c r="H455" s="20">
        <f>Разбивка_по_щитам!K455</f>
        <v/>
      </c>
      <c r="I455" s="20">
        <f>Разбивка_по_щитам!L455</f>
        <v/>
      </c>
      <c r="J455" s="20">
        <f>Разбивка_по_щитам!M455</f>
        <v/>
      </c>
      <c r="K455" s="20">
        <f>Разбивка_по_щитам!N455</f>
        <v/>
      </c>
      <c r="L455" s="20"/>
      <c r="M455" s="20">
        <f>Разбивка_по_щитам!P455</f>
        <v/>
      </c>
      <c r="N455" s="20"/>
    </row>
    <row r="456" spans="2:14" x14ac:dyDescent="0.25">
      <c r="B456" s="20">
        <f>Разбивка_по_щитам!B456</f>
      </c>
      <c r="C456" s="20">
        <f>Разбивка_по_щитам!C456</f>
      </c>
      <c r="D456" s="20">
        <f>Разбивка_по_щитам!F456</f>
      </c>
      <c r="E456" s="20">
        <f>Разбивка_по_щитам!H456</f>
      </c>
      <c r="F456" s="20">
        <f>Разбивка_по_щитам!I456</f>
      </c>
      <c r="G456" s="20">
        <f>Разбивка_по_щитам!J456</f>
        <v/>
      </c>
      <c r="H456" s="20">
        <f>Разбивка_по_щитам!K456</f>
        <v/>
      </c>
      <c r="I456" s="20">
        <f>Разбивка_по_щитам!L456</f>
        <v/>
      </c>
      <c r="J456" s="20">
        <f>Разбивка_по_щитам!M456</f>
        <v/>
      </c>
      <c r="K456" s="20">
        <f>Разбивка_по_щитам!N456</f>
        <v/>
      </c>
      <c r="L456" s="20"/>
      <c r="M456" s="20">
        <f>Разбивка_по_щитам!P456</f>
        <v/>
      </c>
      <c r="N456" s="20"/>
    </row>
    <row r="457" spans="2:14" x14ac:dyDescent="0.25">
      <c r="B457" s="20">
        <f>Разбивка_по_щитам!B457</f>
      </c>
      <c r="C457" s="20">
        <f>Разбивка_по_щитам!C457</f>
      </c>
      <c r="D457" s="20">
        <f>Разбивка_по_щитам!F457</f>
      </c>
      <c r="E457" s="20">
        <f>Разбивка_по_щитам!H457</f>
      </c>
      <c r="F457" s="20">
        <f>Разбивка_по_щитам!I457</f>
      </c>
      <c r="G457" s="20">
        <f>Разбивка_по_щитам!J457</f>
        <v/>
      </c>
      <c r="H457" s="20">
        <f>Разбивка_по_щитам!K457</f>
        <v/>
      </c>
      <c r="I457" s="20">
        <f>Разбивка_по_щитам!L457</f>
        <v/>
      </c>
      <c r="J457" s="20">
        <f>Разбивка_по_щитам!M457</f>
        <v/>
      </c>
      <c r="K457" s="20">
        <f>Разбивка_по_щитам!N457</f>
        <v/>
      </c>
      <c r="L457" s="20"/>
      <c r="M457" s="20">
        <f>Разбивка_по_щитам!P457</f>
        <v/>
      </c>
      <c r="N457" s="20"/>
    </row>
    <row r="458" spans="2:14" x14ac:dyDescent="0.25">
      <c r="B458" s="20">
        <f>Разбивка_по_щитам!B458</f>
      </c>
      <c r="C458" s="20">
        <f>Разбивка_по_щитам!C458</f>
      </c>
      <c r="D458" s="20">
        <f>Разбивка_по_щитам!F458</f>
      </c>
      <c r="E458" s="20">
        <f>Разбивка_по_щитам!H458</f>
      </c>
      <c r="F458" s="20">
        <f>Разбивка_по_щитам!I458</f>
      </c>
      <c r="G458" s="20">
        <f>Разбивка_по_щитам!J458</f>
        <v/>
      </c>
      <c r="H458" s="20">
        <f>Разбивка_по_щитам!K458</f>
        <v/>
      </c>
      <c r="I458" s="20">
        <f>Разбивка_по_щитам!L458</f>
        <v/>
      </c>
      <c r="J458" s="20">
        <f>Разбивка_по_щитам!M458</f>
        <v/>
      </c>
      <c r="K458" s="20">
        <f>Разбивка_по_щитам!N458</f>
        <v/>
      </c>
      <c r="L458" s="20"/>
      <c r="M458" s="20">
        <f>Разбивка_по_щитам!P458</f>
        <v/>
      </c>
      <c r="N458" s="20"/>
    </row>
    <row r="459" spans="2:14" x14ac:dyDescent="0.25">
      <c r="B459" s="20">
        <f>Разбивка_по_щитам!B459</f>
      </c>
      <c r="C459" s="20">
        <f>Разбивка_по_щитам!C459</f>
      </c>
      <c r="D459" s="20">
        <f>Разбивка_по_щитам!F459</f>
      </c>
      <c r="E459" s="20">
        <f>Разбивка_по_щитам!H459</f>
      </c>
      <c r="F459" s="20">
        <f>Разбивка_по_щитам!I459</f>
      </c>
      <c r="G459" s="20">
        <f>Разбивка_по_щитам!J459</f>
        <v/>
      </c>
      <c r="H459" s="20">
        <f>Разбивка_по_щитам!K459</f>
        <v/>
      </c>
      <c r="I459" s="20">
        <f>Разбивка_по_щитам!L459</f>
        <v/>
      </c>
      <c r="J459" s="20">
        <f>Разбивка_по_щитам!M459</f>
        <v/>
      </c>
      <c r="K459" s="20">
        <f>Разбивка_по_щитам!N459</f>
        <v/>
      </c>
      <c r="L459" s="20"/>
      <c r="M459" s="20">
        <f>Разбивка_по_щитам!P459</f>
        <v/>
      </c>
      <c r="N459" s="20"/>
    </row>
    <row r="460" spans="2:14" x14ac:dyDescent="0.25">
      <c r="B460" s="20">
        <f>Разбивка_по_щитам!B460</f>
      </c>
      <c r="C460" s="20">
        <f>Разбивка_по_щитам!C460</f>
      </c>
      <c r="D460" s="20">
        <f>Разбивка_по_щитам!F460</f>
      </c>
      <c r="E460" s="20">
        <f>Разбивка_по_щитам!H460</f>
      </c>
      <c r="F460" s="20">
        <f>Разбивка_по_щитам!I460</f>
      </c>
      <c r="G460" s="20">
        <f>Разбивка_по_щитам!J460</f>
        <v/>
      </c>
      <c r="H460" s="20">
        <f>Разбивка_по_щитам!K460</f>
        <v/>
      </c>
      <c r="I460" s="20">
        <f>Разбивка_по_щитам!L460</f>
        <v/>
      </c>
      <c r="J460" s="20">
        <f>Разбивка_по_щитам!M460</f>
        <v/>
      </c>
      <c r="K460" s="20">
        <f>Разбивка_по_щитам!N460</f>
        <v/>
      </c>
      <c r="L460" s="20"/>
      <c r="M460" s="20">
        <f>Разбивка_по_щитам!P460</f>
        <v/>
      </c>
      <c r="N460" s="20"/>
    </row>
    <row r="461" spans="2:14" x14ac:dyDescent="0.25">
      <c r="B461" s="20">
        <f>Разбивка_по_щитам!B461</f>
      </c>
      <c r="C461" s="20">
        <f>Разбивка_по_щитам!C461</f>
      </c>
      <c r="D461" s="20">
        <f>Разбивка_по_щитам!F461</f>
      </c>
      <c r="E461" s="20">
        <f>Разбивка_по_щитам!H461</f>
      </c>
      <c r="F461" s="20">
        <f>Разбивка_по_щитам!I461</f>
      </c>
      <c r="G461" s="20">
        <f>Разбивка_по_щитам!J461</f>
        <v/>
      </c>
      <c r="H461" s="20">
        <f>Разбивка_по_щитам!K461</f>
        <v/>
      </c>
      <c r="I461" s="20">
        <f>Разбивка_по_щитам!L461</f>
        <v/>
      </c>
      <c r="J461" s="20">
        <f>Разбивка_по_щитам!M461</f>
        <v/>
      </c>
      <c r="K461" s="20">
        <f>Разбивка_по_щитам!N461</f>
        <v/>
      </c>
      <c r="L461" s="20"/>
      <c r="M461" s="20">
        <f>Разбивка_по_щитам!P461</f>
        <v/>
      </c>
      <c r="N461" s="20"/>
    </row>
    <row r="462" spans="2:14" x14ac:dyDescent="0.25">
      <c r="B462" s="20">
        <f>Разбивка_по_щитам!B462</f>
      </c>
      <c r="C462" s="20">
        <f>Разбивка_по_щитам!C462</f>
      </c>
      <c r="D462" s="20">
        <f>Разбивка_по_щитам!F462</f>
      </c>
      <c r="E462" s="20">
        <f>Разбивка_по_щитам!H462</f>
      </c>
      <c r="F462" s="20">
        <f>Разбивка_по_щитам!I462</f>
      </c>
      <c r="G462" s="20">
        <f>Разбивка_по_щитам!J462</f>
        <v/>
      </c>
      <c r="H462" s="20">
        <f>Разбивка_по_щитам!K462</f>
        <v/>
      </c>
      <c r="I462" s="20">
        <f>Разбивка_по_щитам!L462</f>
        <v/>
      </c>
      <c r="J462" s="20">
        <f>Разбивка_по_щитам!M462</f>
        <v/>
      </c>
      <c r="K462" s="20">
        <f>Разбивка_по_щитам!N462</f>
        <v/>
      </c>
      <c r="L462" s="20"/>
      <c r="M462" s="20">
        <f>Разбивка_по_щитам!P462</f>
        <v/>
      </c>
      <c r="N462" s="20"/>
    </row>
    <row r="463" spans="2:14" x14ac:dyDescent="0.25">
      <c r="B463" s="20">
        <f>Разбивка_по_щитам!B463</f>
      </c>
      <c r="C463" s="20">
        <f>Разбивка_по_щитам!C463</f>
      </c>
      <c r="D463" s="20">
        <f>Разбивка_по_щитам!F463</f>
      </c>
      <c r="E463" s="20">
        <f>Разбивка_по_щитам!H463</f>
      </c>
      <c r="F463" s="20">
        <f>Разбивка_по_щитам!I463</f>
      </c>
      <c r="G463" s="20">
        <f>Разбивка_по_щитам!J463</f>
        <v/>
      </c>
      <c r="H463" s="20">
        <f>Разбивка_по_щитам!K463</f>
        <v/>
      </c>
      <c r="I463" s="20">
        <f>Разбивка_по_щитам!L463</f>
        <v/>
      </c>
      <c r="J463" s="20">
        <f>Разбивка_по_щитам!M463</f>
        <v/>
      </c>
      <c r="K463" s="20">
        <f>Разбивка_по_щитам!N463</f>
        <v/>
      </c>
      <c r="L463" s="20"/>
      <c r="M463" s="20">
        <f>Разбивка_по_щитам!P463</f>
        <v/>
      </c>
      <c r="N463" s="20"/>
    </row>
    <row r="464" spans="2:14" x14ac:dyDescent="0.25">
      <c r="B464" s="20">
        <f>Разбивка_по_щитам!B464</f>
      </c>
      <c r="C464" s="20">
        <f>Разбивка_по_щитам!C464</f>
      </c>
      <c r="D464" s="20">
        <f>Разбивка_по_щитам!F464</f>
      </c>
      <c r="E464" s="20">
        <f>Разбивка_по_щитам!H464</f>
      </c>
      <c r="F464" s="20">
        <f>Разбивка_по_щитам!I464</f>
      </c>
      <c r="G464" s="20">
        <f>Разбивка_по_щитам!J464</f>
        <v/>
      </c>
      <c r="H464" s="20">
        <f>Разбивка_по_щитам!K464</f>
        <v/>
      </c>
      <c r="I464" s="20">
        <f>Разбивка_по_щитам!L464</f>
        <v/>
      </c>
      <c r="J464" s="20">
        <f>Разбивка_по_щитам!M464</f>
        <v/>
      </c>
      <c r="K464" s="20">
        <f>Разбивка_по_щитам!N464</f>
        <v/>
      </c>
      <c r="L464" s="20"/>
      <c r="M464" s="20">
        <f>Разбивка_по_щитам!P464</f>
        <v/>
      </c>
      <c r="N464" s="20"/>
    </row>
    <row r="465" spans="2:14" x14ac:dyDescent="0.25">
      <c r="B465" s="20">
        <f>Разбивка_по_щитам!B465</f>
      </c>
      <c r="C465" s="20">
        <f>Разбивка_по_щитам!C465</f>
      </c>
      <c r="D465" s="20">
        <f>Разбивка_по_щитам!F465</f>
      </c>
      <c r="E465" s="20">
        <f>Разбивка_по_щитам!H465</f>
      </c>
      <c r="F465" s="20">
        <f>Разбивка_по_щитам!I465</f>
      </c>
      <c r="G465" s="20">
        <f>Разбивка_по_щитам!J465</f>
        <v/>
      </c>
      <c r="H465" s="20">
        <f>Разбивка_по_щитам!K465</f>
        <v/>
      </c>
      <c r="I465" s="20">
        <f>Разбивка_по_щитам!L465</f>
        <v/>
      </c>
      <c r="J465" s="20">
        <f>Разбивка_по_щитам!M465</f>
        <v/>
      </c>
      <c r="K465" s="20">
        <f>Разбивка_по_щитам!N465</f>
        <v/>
      </c>
      <c r="L465" s="20"/>
      <c r="M465" s="20">
        <f>Разбивка_по_щитам!P465</f>
        <v/>
      </c>
      <c r="N465" s="20"/>
    </row>
    <row r="466" spans="2:14" x14ac:dyDescent="0.25">
      <c r="B466" s="20">
        <f>Разбивка_по_щитам!B466</f>
      </c>
      <c r="C466" s="20">
        <f>Разбивка_по_щитам!C466</f>
      </c>
      <c r="D466" s="20">
        <f>Разбивка_по_щитам!F466</f>
      </c>
      <c r="E466" s="20">
        <f>Разбивка_по_щитам!H466</f>
      </c>
      <c r="F466" s="20">
        <f>Разбивка_по_щитам!I466</f>
      </c>
      <c r="G466" s="20">
        <f>Разбивка_по_щитам!J466</f>
        <v/>
      </c>
      <c r="H466" s="20">
        <f>Разбивка_по_щитам!K466</f>
        <v/>
      </c>
      <c r="I466" s="20">
        <f>Разбивка_по_щитам!L466</f>
        <v/>
      </c>
      <c r="J466" s="20">
        <f>Разбивка_по_щитам!M466</f>
        <v/>
      </c>
      <c r="K466" s="20">
        <f>Разбивка_по_щитам!N466</f>
        <v/>
      </c>
      <c r="L466" s="20"/>
      <c r="M466" s="20">
        <f>Разбивка_по_щитам!P466</f>
        <v/>
      </c>
      <c r="N466" s="20"/>
    </row>
    <row r="467" spans="2:14" x14ac:dyDescent="0.25">
      <c r="B467" s="20">
        <f>Разбивка_по_щитам!B467</f>
        <v/>
      </c>
      <c r="C467" s="20">
        <f>Разбивка_по_щитам!C467</f>
      </c>
      <c r="D467" s="20">
        <f>Разбивка_по_щитам!F467</f>
      </c>
      <c r="E467" s="20">
        <f>Разбивка_по_щитам!H467</f>
      </c>
      <c r="F467" s="20">
        <f>Разбивка_по_щитам!I467</f>
      </c>
      <c r="G467" s="20">
        <f>Разбивка_по_щитам!J467</f>
        <v/>
      </c>
      <c r="H467" s="20">
        <f>Разбивка_по_щитам!K467</f>
        <v/>
      </c>
      <c r="I467" s="20">
        <f>Разбивка_по_щитам!L467</f>
        <v/>
      </c>
      <c r="J467" s="20">
        <f>Разбивка_по_щитам!M467</f>
        <v/>
      </c>
      <c r="K467" s="20">
        <f>Разбивка_по_щитам!N467</f>
        <v/>
      </c>
      <c r="L467" s="20"/>
      <c r="M467" s="20">
        <f>Разбивка_по_щитам!P467</f>
        <v/>
      </c>
      <c r="N467" s="20"/>
    </row>
    <row r="468" spans="2:14" x14ac:dyDescent="0.25">
      <c r="B468" s="20">
        <f>Разбивка_по_щитам!B468</f>
        <v/>
      </c>
      <c r="C468" s="20">
        <f>Разбивка_по_щитам!C468</f>
      </c>
      <c r="D468" s="20">
        <f>Разбивка_по_щитам!F468</f>
      </c>
      <c r="E468" s="20">
        <f>Разбивка_по_щитам!H468</f>
      </c>
      <c r="F468" s="20">
        <f>Разбивка_по_щитам!I468</f>
      </c>
      <c r="G468" s="20">
        <f>Разбивка_по_щитам!J468</f>
        <v/>
      </c>
      <c r="H468" s="20">
        <f>Разбивка_по_щитам!K468</f>
        <v/>
      </c>
      <c r="I468" s="20">
        <f>Разбивка_по_щитам!L468</f>
        <v/>
      </c>
      <c r="J468" s="20">
        <f>Разбивка_по_щитам!M468</f>
        <v/>
      </c>
      <c r="K468" s="20">
        <f>Разбивка_по_щитам!N468</f>
        <v/>
      </c>
      <c r="L468" s="20"/>
      <c r="M468" s="20">
        <f>Разбивка_по_щитам!P468</f>
        <v/>
      </c>
      <c r="N468" s="20"/>
    </row>
    <row r="469" spans="2:14" x14ac:dyDescent="0.25">
      <c r="B469" s="20">
        <f>Разбивка_по_щитам!B469</f>
        <v/>
      </c>
      <c r="C469" s="20">
        <f>Разбивка_по_щитам!C469</f>
      </c>
      <c r="D469" s="20">
        <f>Разбивка_по_щитам!F469</f>
      </c>
      <c r="E469" s="20">
        <f>Разбивка_по_щитам!H469</f>
      </c>
      <c r="F469" s="20">
        <f>Разбивка_по_щитам!I469</f>
      </c>
      <c r="G469" s="20">
        <f>Разбивка_по_щитам!J469</f>
        <v/>
      </c>
      <c r="H469" s="20">
        <f>Разбивка_по_щитам!K469</f>
        <v/>
      </c>
      <c r="I469" s="20">
        <f>Разбивка_по_щитам!L469</f>
        <v/>
      </c>
      <c r="J469" s="20">
        <f>Разбивка_по_щитам!M469</f>
        <v/>
      </c>
      <c r="K469" s="20">
        <f>Разбивка_по_щитам!N469</f>
        <v/>
      </c>
      <c r="L469" s="20"/>
      <c r="M469" s="20">
        <f>Разбивка_по_щитам!P469</f>
        <v/>
      </c>
      <c r="N469" s="20"/>
    </row>
    <row r="470" spans="2:14" x14ac:dyDescent="0.25">
      <c r="B470" s="20">
        <f>Разбивка_по_щитам!B470</f>
        <v/>
      </c>
      <c r="C470" s="20">
        <f>Разбивка_по_щитам!C470</f>
      </c>
      <c r="D470" s="20">
        <f>Разбивка_по_щитам!F470</f>
      </c>
      <c r="E470" s="20">
        <f>Разбивка_по_щитам!H470</f>
      </c>
      <c r="F470" s="20">
        <f>Разбивка_по_щитам!I470</f>
      </c>
      <c r="G470" s="20">
        <f>Разбивка_по_щитам!J470</f>
        <v/>
      </c>
      <c r="H470" s="20">
        <f>Разбивка_по_щитам!K470</f>
        <v/>
      </c>
      <c r="I470" s="20">
        <f>Разбивка_по_щитам!L470</f>
        <v/>
      </c>
      <c r="J470" s="20">
        <f>Разбивка_по_щитам!M470</f>
        <v/>
      </c>
      <c r="K470" s="20">
        <f>Разбивка_по_щитам!N470</f>
        <v/>
      </c>
      <c r="L470" s="20"/>
      <c r="M470" s="20">
        <f>Разбивка_по_щитам!P470</f>
        <v/>
      </c>
      <c r="N470" s="20"/>
    </row>
    <row r="471" spans="2:14" x14ac:dyDescent="0.25">
      <c r="B471" s="20">
        <f>Разбивка_по_щитам!B471</f>
        <v/>
      </c>
      <c r="C471" s="20">
        <f>Разбивка_по_щитам!C471</f>
      </c>
      <c r="D471" s="20">
        <f>Разбивка_по_щитам!F471</f>
      </c>
      <c r="E471" s="20">
        <f>Разбивка_по_щитам!H471</f>
      </c>
      <c r="F471" s="20">
        <f>Разбивка_по_щитам!I471</f>
      </c>
      <c r="G471" s="20">
        <f>Разбивка_по_щитам!J471</f>
        <v/>
      </c>
      <c r="H471" s="20">
        <f>Разбивка_по_щитам!K471</f>
        <v/>
      </c>
      <c r="I471" s="20">
        <f>Разбивка_по_щитам!L471</f>
        <v/>
      </c>
      <c r="J471" s="20">
        <f>Разбивка_по_щитам!M471</f>
        <v/>
      </c>
      <c r="K471" s="20">
        <f>Разбивка_по_щитам!N471</f>
        <v/>
      </c>
      <c r="L471" s="20"/>
      <c r="M471" s="20">
        <f>Разбивка_по_щитам!P471</f>
        <v/>
      </c>
      <c r="N471" s="20"/>
    </row>
    <row r="472" spans="2:14" x14ac:dyDescent="0.25">
      <c r="B472" s="20">
        <f>Разбивка_по_щитам!B477</f>
        <v/>
      </c>
      <c r="C472" s="20">
        <f>Разбивка_по_щитам!C477</f>
      </c>
      <c r="D472" s="20">
        <f>Разбивка_по_щитам!F477</f>
      </c>
      <c r="E472" s="20">
        <f>Разбивка_по_щитам!H477</f>
      </c>
      <c r="F472" s="20">
        <f>Разбивка_по_щитам!I477</f>
      </c>
      <c r="G472" s="20">
        <f>Разбивка_по_щитам!J477</f>
        <v/>
      </c>
      <c r="H472" s="20">
        <f>Разбивка_по_щитам!K477</f>
        <v/>
      </c>
      <c r="I472" s="20">
        <f>Разбивка_по_щитам!L477</f>
        <v/>
      </c>
      <c r="J472" s="20">
        <f>Разбивка_по_щитам!M477</f>
        <v/>
      </c>
      <c r="K472" s="20">
        <f>Разбивка_по_щитам!N477</f>
        <v/>
      </c>
      <c r="L472" s="20"/>
      <c r="M472" s="20">
        <f>Разбивка_по_щитам!P477</f>
        <v/>
      </c>
      <c r="N472" s="20"/>
    </row>
    <row r="473" spans="2:14" x14ac:dyDescent="0.25">
      <c r="B473" s="20">
        <f>Разбивка_по_щитам!B478</f>
        <v/>
      </c>
      <c r="C473" s="20">
        <f>Разбивка_по_щитам!C478</f>
      </c>
      <c r="D473" s="20">
        <f>Разбивка_по_щитам!F478</f>
      </c>
      <c r="E473" s="20">
        <f>Разбивка_по_щитам!H478</f>
      </c>
      <c r="F473" s="20">
        <f>Разбивка_по_щитам!I478</f>
      </c>
      <c r="G473" s="20">
        <f>Разбивка_по_щитам!J478</f>
        <v/>
      </c>
      <c r="H473" s="20">
        <f>Разбивка_по_щитам!K478</f>
        <v/>
      </c>
      <c r="I473" s="20">
        <f>Разбивка_по_щитам!L478</f>
        <v/>
      </c>
      <c r="J473" s="20">
        <f>Разбивка_по_щитам!M478</f>
        <v/>
      </c>
      <c r="K473" s="20">
        <f>Разбивка_по_щитам!N478</f>
        <v/>
      </c>
      <c r="L473" s="20"/>
      <c r="M473" s="20">
        <f>Разбивка_по_щитам!P478</f>
        <v/>
      </c>
      <c r="N473" s="20"/>
    </row>
    <row r="474" spans="2:14" x14ac:dyDescent="0.25">
      <c r="B474" s="20">
        <f>Разбивка_по_щитам!B479</f>
        <v/>
      </c>
      <c r="C474" s="20">
        <f>Разбивка_по_щитам!C479</f>
      </c>
      <c r="D474" s="20">
        <f>Разбивка_по_щитам!F479</f>
      </c>
      <c r="E474" s="20">
        <f>Разбивка_по_щитам!H479</f>
      </c>
      <c r="F474" s="20">
        <f>Разбивка_по_щитам!I479</f>
      </c>
      <c r="G474" s="20">
        <f>Разбивка_по_щитам!J479</f>
        <v/>
      </c>
      <c r="H474" s="20">
        <f>Разбивка_по_щитам!K479</f>
        <v/>
      </c>
      <c r="I474" s="20">
        <f>Разбивка_по_щитам!L479</f>
        <v/>
      </c>
      <c r="J474" s="20">
        <f>Разбивка_по_щитам!M479</f>
        <v/>
      </c>
      <c r="K474" s="20">
        <f>Разбивка_по_щитам!N479</f>
        <v/>
      </c>
      <c r="L474" s="20"/>
      <c r="M474" s="20">
        <f>Разбивка_по_щитам!P479</f>
        <v/>
      </c>
      <c r="N474" s="20"/>
    </row>
    <row r="475" spans="2:14" x14ac:dyDescent="0.25">
      <c r="B475" s="20">
        <f>Разбивка_по_щитам!B480</f>
        <v/>
      </c>
      <c r="C475" s="20">
        <f>Разбивка_по_щитам!C480</f>
      </c>
      <c r="D475" s="20">
        <f>Разбивка_по_щитам!F480</f>
      </c>
      <c r="E475" s="20">
        <f>Разбивка_по_щитам!H480</f>
      </c>
      <c r="F475" s="20">
        <f>Разбивка_по_щитам!I480</f>
      </c>
      <c r="G475" s="20">
        <f>Разбивка_по_щитам!J480</f>
        <v/>
      </c>
      <c r="H475" s="20">
        <f>Разбивка_по_щитам!K480</f>
        <v/>
      </c>
      <c r="I475" s="20">
        <f>Разбивка_по_щитам!L480</f>
        <v/>
      </c>
      <c r="J475" s="20">
        <f>Разбивка_по_щитам!M480</f>
        <v/>
      </c>
      <c r="K475" s="20">
        <f>Разбивка_по_щитам!N480</f>
        <v/>
      </c>
      <c r="L475" s="20"/>
      <c r="M475" s="20">
        <f>Разбивка_по_щитам!P480</f>
        <v/>
      </c>
      <c r="N475" s="20"/>
    </row>
    <row r="476" spans="2:14" x14ac:dyDescent="0.25">
      <c r="B476" s="20">
        <f>Разбивка_по_щитам!B481</f>
        <v/>
      </c>
      <c r="C476" s="20">
        <f>Разбивка_по_щитам!C481</f>
      </c>
      <c r="D476" s="20">
        <f>Разбивка_по_щитам!F481</f>
      </c>
      <c r="E476" s="20">
        <f>Разбивка_по_щитам!H481</f>
      </c>
      <c r="F476" s="20">
        <f>Разбивка_по_щитам!I481</f>
      </c>
      <c r="G476" s="20">
        <f>Разбивка_по_щитам!J481</f>
        <v/>
      </c>
      <c r="H476" s="20">
        <f>Разбивка_по_щитам!K481</f>
        <v/>
      </c>
      <c r="I476" s="20">
        <f>Разбивка_по_щитам!L481</f>
        <v/>
      </c>
      <c r="J476" s="20">
        <f>Разбивка_по_щитам!M481</f>
        <v/>
      </c>
      <c r="K476" s="20">
        <f>Разбивка_по_щитам!N481</f>
        <v/>
      </c>
      <c r="L476" s="20"/>
      <c r="M476" s="20">
        <f>Разбивка_по_щитам!P481</f>
        <v/>
      </c>
      <c r="N476" s="20"/>
    </row>
    <row r="477" spans="2:14" x14ac:dyDescent="0.25">
      <c r="B477" s="20">
        <f>Разбивка_по_щитам!B482</f>
        <v/>
      </c>
      <c r="C477" s="20">
        <f>Разбивка_по_щитам!C482</f>
      </c>
      <c r="D477" s="20">
        <f>Разбивка_по_щитам!F482</f>
      </c>
      <c r="E477" s="20">
        <f>Разбивка_по_щитам!H482</f>
      </c>
      <c r="F477" s="20">
        <f>Разбивка_по_щитам!I482</f>
      </c>
      <c r="G477" s="20">
        <f>Разбивка_по_щитам!J482</f>
        <v/>
      </c>
      <c r="H477" s="20">
        <f>Разбивка_по_щитам!K482</f>
        <v/>
      </c>
      <c r="I477" s="20">
        <f>Разбивка_по_щитам!L482</f>
        <v/>
      </c>
      <c r="J477" s="20">
        <f>Разбивка_по_щитам!M482</f>
        <v/>
      </c>
      <c r="K477" s="20">
        <f>Разбивка_по_щитам!N482</f>
        <v/>
      </c>
      <c r="L477" s="20"/>
      <c r="M477" s="20">
        <f>Разбивка_по_щитам!P482</f>
        <v/>
      </c>
      <c r="N477" s="20"/>
    </row>
    <row r="478" spans="2:14" x14ac:dyDescent="0.25">
      <c r="B478" s="20">
        <f>Разбивка_по_щитам!B483</f>
        <v/>
      </c>
      <c r="C478" s="20">
        <f>Разбивка_по_щитам!C483</f>
      </c>
      <c r="D478" s="20">
        <f>Разбивка_по_щитам!F483</f>
      </c>
      <c r="E478" s="20">
        <f>Разбивка_по_щитам!H483</f>
      </c>
      <c r="F478" s="20">
        <f>Разбивка_по_щитам!I483</f>
      </c>
      <c r="G478" s="20">
        <f>Разбивка_по_щитам!J483</f>
        <v/>
      </c>
      <c r="H478" s="20">
        <f>Разбивка_по_щитам!K483</f>
        <v/>
      </c>
      <c r="I478" s="20">
        <f>Разбивка_по_щитам!L483</f>
        <v/>
      </c>
      <c r="J478" s="20">
        <f>Разбивка_по_щитам!M483</f>
        <v/>
      </c>
      <c r="K478" s="20">
        <f>Разбивка_по_щитам!N483</f>
        <v/>
      </c>
      <c r="L478" s="20"/>
      <c r="M478" s="20">
        <f>Разбивка_по_щитам!P483</f>
        <v/>
      </c>
      <c r="N478" s="20"/>
    </row>
    <row r="479" spans="2:14" x14ac:dyDescent="0.25">
      <c r="B479" s="20">
        <f>Разбивка_по_щитам!B484</f>
        <v/>
      </c>
      <c r="C479" s="20">
        <f>Разбивка_по_щитам!C484</f>
      </c>
      <c r="D479" s="20">
        <f>Разбивка_по_щитам!F484</f>
      </c>
      <c r="E479" s="20">
        <f>Разбивка_по_щитам!H484</f>
      </c>
      <c r="F479" s="20">
        <f>Разбивка_по_щитам!I484</f>
      </c>
      <c r="G479" s="20">
        <f>Разбивка_по_щитам!J484</f>
        <v/>
      </c>
      <c r="H479" s="20">
        <f>Разбивка_по_щитам!K484</f>
        <v/>
      </c>
      <c r="I479" s="20">
        <f>Разбивка_по_щитам!L484</f>
        <v/>
      </c>
      <c r="J479" s="20">
        <f>Разбивка_по_щитам!M484</f>
        <v/>
      </c>
      <c r="K479" s="20">
        <f>Разбивка_по_щитам!N484</f>
        <v/>
      </c>
      <c r="L479" s="20"/>
      <c r="M479" s="20">
        <f>Разбивка_по_щитам!P484</f>
        <v/>
      </c>
      <c r="N479" s="20"/>
    </row>
    <row r="480" spans="2:14" x14ac:dyDescent="0.25">
      <c r="B480" s="20">
        <f>Разбивка_по_щитам!B485</f>
        <v/>
      </c>
      <c r="C480" s="20">
        <f>Разбивка_по_щитам!C485</f>
      </c>
      <c r="D480" s="20">
        <f>Разбивка_по_щитам!F485</f>
      </c>
      <c r="E480" s="20">
        <f>Разбивка_по_щитам!H485</f>
      </c>
      <c r="F480" s="20">
        <f>Разбивка_по_щитам!I485</f>
      </c>
      <c r="G480" s="20">
        <f>Разбивка_по_щитам!J485</f>
        <v/>
      </c>
      <c r="H480" s="20">
        <f>Разбивка_по_щитам!K485</f>
        <v/>
      </c>
      <c r="I480" s="20">
        <f>Разбивка_по_щитам!L485</f>
        <v/>
      </c>
      <c r="J480" s="20">
        <f>Разбивка_по_щитам!M485</f>
        <v/>
      </c>
      <c r="K480" s="20">
        <f>Разбивка_по_щитам!N485</f>
        <v/>
      </c>
      <c r="L480" s="20"/>
      <c r="M480" s="20">
        <f>Разбивка_по_щитам!P485</f>
        <v/>
      </c>
      <c r="N480" s="20"/>
    </row>
    <row r="481" spans="2:14" x14ac:dyDescent="0.25">
      <c r="B481" s="20">
        <f>Разбивка_по_щитам!B486</f>
        <v/>
      </c>
      <c r="C481" s="20">
        <f>Разбивка_по_щитам!C486</f>
      </c>
      <c r="D481" s="20">
        <f>Разбивка_по_щитам!F486</f>
      </c>
      <c r="E481" s="20">
        <f>Разбивка_по_щитам!H486</f>
      </c>
      <c r="F481" s="20">
        <f>Разбивка_по_щитам!I486</f>
      </c>
      <c r="G481" s="20">
        <f>Разбивка_по_щитам!J486</f>
        <v/>
      </c>
      <c r="H481" s="20">
        <f>Разбивка_по_щитам!K486</f>
        <v/>
      </c>
      <c r="I481" s="20">
        <f>Разбивка_по_щитам!L486</f>
        <v/>
      </c>
      <c r="J481" s="20">
        <f>Разбивка_по_щитам!M486</f>
        <v/>
      </c>
      <c r="K481" s="20">
        <f>Разбивка_по_щитам!N486</f>
        <v/>
      </c>
      <c r="L481" s="20"/>
      <c r="M481" s="20">
        <f>Разбивка_по_щитам!P486</f>
        <v/>
      </c>
      <c r="N481" s="20"/>
    </row>
    <row r="482" spans="2:14" x14ac:dyDescent="0.25">
      <c r="B482" s="20">
        <f>Разбивка_по_щитам!B487</f>
        <v/>
      </c>
      <c r="C482" s="20">
        <f>Разбивка_по_щитам!C487</f>
      </c>
      <c r="D482" s="20">
        <f>Разбивка_по_щитам!F487</f>
      </c>
      <c r="E482" s="20">
        <f>Разбивка_по_щитам!H487</f>
      </c>
      <c r="F482" s="20">
        <f>Разбивка_по_щитам!I487</f>
      </c>
      <c r="G482" s="20">
        <f>Разбивка_по_щитам!J487</f>
        <v/>
      </c>
      <c r="H482" s="20">
        <f>Разбивка_по_щитам!K487</f>
        <v/>
      </c>
      <c r="I482" s="20">
        <f>Разбивка_по_щитам!L487</f>
        <v/>
      </c>
      <c r="J482" s="20">
        <f>Разбивка_по_щитам!M487</f>
        <v/>
      </c>
      <c r="K482" s="20">
        <f>Разбивка_по_щитам!N487</f>
        <v/>
      </c>
      <c r="L482" s="20"/>
      <c r="M482" s="20">
        <f>Разбивка_по_щитам!P487</f>
        <v/>
      </c>
      <c r="N482" s="20"/>
    </row>
    <row r="483" spans="2:14" x14ac:dyDescent="0.25">
      <c r="B483" s="20">
        <f>Разбивка_по_щитам!B488</f>
        <v/>
      </c>
      <c r="C483" s="20">
        <f>Разбивка_по_щитам!C488</f>
      </c>
      <c r="D483" s="20">
        <f>Разбивка_по_щитам!F488</f>
      </c>
      <c r="E483" s="20">
        <f>Разбивка_по_щитам!H488</f>
      </c>
      <c r="F483" s="20">
        <f>Разбивка_по_щитам!I488</f>
      </c>
      <c r="G483" s="20">
        <f>Разбивка_по_щитам!J488</f>
        <v/>
      </c>
      <c r="H483" s="20">
        <f>Разбивка_по_щитам!K488</f>
        <v/>
      </c>
      <c r="I483" s="20">
        <f>Разбивка_по_щитам!L488</f>
        <v/>
      </c>
      <c r="J483" s="20">
        <f>Разбивка_по_щитам!M488</f>
        <v/>
      </c>
      <c r="K483" s="20">
        <f>Разбивка_по_щитам!N488</f>
        <v/>
      </c>
      <c r="L483" s="20"/>
      <c r="M483" s="20">
        <f>Разбивка_по_щитам!P488</f>
        <v/>
      </c>
      <c r="N483" s="20"/>
    </row>
    <row r="484" spans="2:14" x14ac:dyDescent="0.25">
      <c r="B484" s="20">
        <f>Разбивка_по_щитам!B489</f>
        <v/>
      </c>
      <c r="C484" s="20">
        <f>Разбивка_по_щитам!C489</f>
      </c>
      <c r="D484" s="20">
        <f>Разбивка_по_щитам!F489</f>
      </c>
      <c r="E484" s="20">
        <f>Разбивка_по_щитам!H489</f>
      </c>
      <c r="F484" s="20">
        <f>Разбивка_по_щитам!I489</f>
      </c>
      <c r="G484" s="20">
        <f>Разбивка_по_щитам!J489</f>
        <v/>
      </c>
      <c r="H484" s="20">
        <f>Разбивка_по_щитам!K489</f>
        <v/>
      </c>
      <c r="I484" s="20">
        <f>Разбивка_по_щитам!L489</f>
        <v/>
      </c>
      <c r="J484" s="20">
        <f>Разбивка_по_щитам!M489</f>
        <v/>
      </c>
      <c r="K484" s="20">
        <f>Разбивка_по_щитам!N489</f>
        <v/>
      </c>
      <c r="L484" s="20"/>
      <c r="M484" s="20">
        <f>Разбивка_по_щитам!P489</f>
        <v/>
      </c>
      <c r="N484" s="20"/>
    </row>
    <row r="485" spans="2:14" x14ac:dyDescent="0.25">
      <c r="B485" s="20">
        <f>Разбивка_по_щитам!B490</f>
        <v/>
      </c>
      <c r="C485" s="20">
        <f>Разбивка_по_щитам!C490</f>
      </c>
      <c r="D485" s="20">
        <f>Разбивка_по_щитам!F490</f>
      </c>
      <c r="E485" s="20">
        <f>Разбивка_по_щитам!H490</f>
      </c>
      <c r="F485" s="20">
        <f>Разбивка_по_щитам!I490</f>
      </c>
      <c r="G485" s="20">
        <f>Разбивка_по_щитам!J490</f>
        <v/>
      </c>
      <c r="H485" s="20">
        <f>Разбивка_по_щитам!K490</f>
        <v/>
      </c>
      <c r="I485" s="20">
        <f>Разбивка_по_щитам!L490</f>
        <v/>
      </c>
      <c r="J485" s="20">
        <f>Разбивка_по_щитам!M490</f>
        <v/>
      </c>
      <c r="K485" s="20">
        <f>Разбивка_по_щитам!N490</f>
        <v/>
      </c>
      <c r="L485" s="20"/>
      <c r="M485" s="20">
        <f>Разбивка_по_щитам!P490</f>
        <v/>
      </c>
      <c r="N485" s="20"/>
    </row>
    <row r="486" spans="2:14" x14ac:dyDescent="0.25">
      <c r="B486" s="20">
        <f>Разбивка_по_щитам!B491</f>
        <v/>
      </c>
      <c r="C486" s="20">
        <f>Разбивка_по_щитам!C491</f>
      </c>
      <c r="D486" s="20">
        <f>Разбивка_по_щитам!F491</f>
      </c>
      <c r="E486" s="20">
        <f>Разбивка_по_щитам!H491</f>
      </c>
      <c r="F486" s="20">
        <f>Разбивка_по_щитам!I491</f>
      </c>
      <c r="G486" s="20">
        <f>Разбивка_по_щитам!J491</f>
        <v/>
      </c>
      <c r="H486" s="20">
        <f>Разбивка_по_щитам!K491</f>
        <v/>
      </c>
      <c r="I486" s="20">
        <f>Разбивка_по_щитам!L491</f>
        <v/>
      </c>
      <c r="J486" s="20">
        <f>Разбивка_по_щитам!M491</f>
        <v/>
      </c>
      <c r="K486" s="20">
        <f>Разбивка_по_щитам!N491</f>
        <v/>
      </c>
      <c r="L486" s="20"/>
      <c r="M486" s="20">
        <f>Разбивка_по_щитам!P491</f>
        <v/>
      </c>
      <c r="N486" s="20"/>
    </row>
    <row r="487" spans="2:14" x14ac:dyDescent="0.25">
      <c r="B487" s="20">
        <f>Разбивка_по_щитам!B492</f>
        <v/>
      </c>
      <c r="C487" s="20">
        <f>Разбивка_по_щитам!C492</f>
      </c>
      <c r="D487" s="20">
        <f>Разбивка_по_щитам!F492</f>
      </c>
      <c r="E487" s="20">
        <f>Разбивка_по_щитам!H492</f>
      </c>
      <c r="F487" s="20">
        <f>Разбивка_по_щитам!I492</f>
      </c>
      <c r="G487" s="20">
        <f>Разбивка_по_щитам!J492</f>
        <v/>
      </c>
      <c r="H487" s="20">
        <f>Разбивка_по_щитам!K492</f>
        <v/>
      </c>
      <c r="I487" s="20">
        <f>Разбивка_по_щитам!L492</f>
        <v/>
      </c>
      <c r="J487" s="20">
        <f>Разбивка_по_щитам!M492</f>
        <v/>
      </c>
      <c r="K487" s="20">
        <f>Разбивка_по_щитам!N492</f>
        <v/>
      </c>
      <c r="L487" s="20"/>
      <c r="M487" s="20">
        <f>Разбивка_по_щитам!P492</f>
        <v/>
      </c>
      <c r="N487" s="20"/>
    </row>
    <row r="488" spans="2:14" x14ac:dyDescent="0.25">
      <c r="B488" s="20">
        <f>Разбивка_по_щитам!B493</f>
        <v/>
      </c>
      <c r="C488" s="20">
        <f>Разбивка_по_щитам!C493</f>
      </c>
      <c r="D488" s="20">
        <f>Разбивка_по_щитам!F493</f>
      </c>
      <c r="E488" s="20">
        <f>Разбивка_по_щитам!H493</f>
      </c>
      <c r="F488" s="20">
        <f>Разбивка_по_щитам!I493</f>
      </c>
      <c r="G488" s="20">
        <f>Разбивка_по_щитам!J493</f>
        <v/>
      </c>
      <c r="H488" s="20">
        <f>Разбивка_по_щитам!K493</f>
        <v/>
      </c>
      <c r="I488" s="20">
        <f>Разбивка_по_щитам!L493</f>
        <v/>
      </c>
      <c r="J488" s="20">
        <f>Разбивка_по_щитам!M493</f>
        <v/>
      </c>
      <c r="K488" s="20">
        <f>Разбивка_по_щитам!N493</f>
        <v/>
      </c>
      <c r="L488" s="20"/>
      <c r="M488" s="20">
        <f>Разбивка_по_щитам!P493</f>
        <v/>
      </c>
      <c r="N488" s="20"/>
    </row>
    <row r="489" spans="2:14" x14ac:dyDescent="0.25">
      <c r="B489" s="20">
        <f>Разбивка_по_щитам!B494</f>
        <v/>
      </c>
      <c r="C489" s="20">
        <f>Разбивка_по_щитам!C494</f>
      </c>
      <c r="D489" s="20">
        <f>Разбивка_по_щитам!F494</f>
      </c>
      <c r="E489" s="20">
        <f>Разбивка_по_щитам!H494</f>
      </c>
      <c r="F489" s="20">
        <f>Разбивка_по_щитам!I494</f>
      </c>
      <c r="G489" s="20">
        <f>Разбивка_по_щитам!J494</f>
        <v/>
      </c>
      <c r="H489" s="20">
        <f>Разбивка_по_щитам!K494</f>
        <v/>
      </c>
      <c r="I489" s="20">
        <f>Разбивка_по_щитам!L494</f>
        <v/>
      </c>
      <c r="J489" s="20">
        <f>Разбивка_по_щитам!M494</f>
        <v/>
      </c>
      <c r="K489" s="20">
        <f>Разбивка_по_щитам!N494</f>
        <v/>
      </c>
      <c r="L489" s="20"/>
      <c r="M489" s="20">
        <f>Разбивка_по_щитам!P494</f>
        <v/>
      </c>
      <c r="N489" s="20"/>
    </row>
    <row r="490" spans="2:14" x14ac:dyDescent="0.25">
      <c r="B490" s="20">
        <f>Разбивка_по_щитам!B495</f>
        <v/>
      </c>
      <c r="C490" s="20">
        <f>Разбивка_по_щитам!C495</f>
      </c>
      <c r="D490" s="20">
        <f>Разбивка_по_щитам!F495</f>
      </c>
      <c r="E490" s="20">
        <f>Разбивка_по_щитам!H495</f>
      </c>
      <c r="F490" s="20">
        <f>Разбивка_по_щитам!I495</f>
      </c>
      <c r="G490" s="20">
        <f>Разбивка_по_щитам!J495</f>
        <v/>
      </c>
      <c r="H490" s="20">
        <f>Разбивка_по_щитам!K495</f>
        <v/>
      </c>
      <c r="I490" s="20">
        <f>Разбивка_по_щитам!L495</f>
        <v/>
      </c>
      <c r="J490" s="20">
        <f>Разбивка_по_щитам!M495</f>
        <v/>
      </c>
      <c r="K490" s="20">
        <f>Разбивка_по_щитам!N495</f>
        <v/>
      </c>
      <c r="L490" s="20"/>
      <c r="M490" s="20">
        <f>Разбивка_по_щитам!P495</f>
        <v/>
      </c>
      <c r="N490" s="20"/>
    </row>
    <row r="491" spans="2:14" x14ac:dyDescent="0.25">
      <c r="B491" s="20">
        <f>Разбивка_по_щитам!B496</f>
        <v/>
      </c>
      <c r="C491" s="20">
        <f>Разбивка_по_щитам!C496</f>
      </c>
      <c r="D491" s="20">
        <f>Разбивка_по_щитам!F496</f>
      </c>
      <c r="E491" s="20">
        <f>Разбивка_по_щитам!H496</f>
      </c>
      <c r="F491" s="20">
        <f>Разбивка_по_щитам!I496</f>
      </c>
      <c r="G491" s="20">
        <f>Разбивка_по_щитам!J496</f>
        <v/>
      </c>
      <c r="H491" s="20">
        <f>Разбивка_по_щитам!K496</f>
        <v/>
      </c>
      <c r="I491" s="20">
        <f>Разбивка_по_щитам!L496</f>
        <v/>
      </c>
      <c r="J491" s="20">
        <f>Разбивка_по_щитам!M496</f>
        <v/>
      </c>
      <c r="K491" s="20">
        <f>Разбивка_по_щитам!N496</f>
        <v/>
      </c>
      <c r="L491" s="20"/>
      <c r="M491" s="20">
        <f>Разбивка_по_щитам!P496</f>
        <v/>
      </c>
      <c r="N491" s="20"/>
    </row>
    <row r="492" spans="2:14" x14ac:dyDescent="0.25">
      <c r="B492" s="20">
        <f>Разбивка_по_щитам!B497</f>
        <v/>
      </c>
      <c r="C492" s="20">
        <f>Разбивка_по_щитам!C497</f>
      </c>
      <c r="D492" s="20">
        <f>Разбивка_по_щитам!F497</f>
      </c>
      <c r="E492" s="20">
        <f>Разбивка_по_щитам!H497</f>
      </c>
      <c r="F492" s="20">
        <f>Разбивка_по_щитам!I497</f>
      </c>
      <c r="G492" s="20">
        <f>Разбивка_по_щитам!J497</f>
        <v/>
      </c>
      <c r="H492" s="20">
        <f>Разбивка_по_щитам!K497</f>
        <v/>
      </c>
      <c r="I492" s="20">
        <f>Разбивка_по_щитам!L497</f>
        <v/>
      </c>
      <c r="J492" s="20">
        <f>Разбивка_по_щитам!M497</f>
        <v/>
      </c>
      <c r="K492" s="20">
        <f>Разбивка_по_щитам!N497</f>
        <v/>
      </c>
      <c r="L492" s="20"/>
      <c r="M492" s="20">
        <f>Разбивка_по_щитам!P497</f>
        <v/>
      </c>
      <c r="N492" s="20"/>
    </row>
    <row r="493" spans="2:14" x14ac:dyDescent="0.25">
      <c r="B493" s="20">
        <f>Разбивка_по_щитам!B498</f>
        <v/>
      </c>
      <c r="C493" s="20">
        <f>Разбивка_по_щитам!C498</f>
      </c>
      <c r="D493" s="20">
        <f>Разбивка_по_щитам!F498</f>
      </c>
      <c r="E493" s="20">
        <f>Разбивка_по_щитам!H498</f>
      </c>
      <c r="F493" s="20">
        <f>Разбивка_по_щитам!I498</f>
      </c>
      <c r="G493" s="20">
        <f>Разбивка_по_щитам!J498</f>
        <v/>
      </c>
      <c r="H493" s="20">
        <f>Разбивка_по_щитам!K498</f>
        <v/>
      </c>
      <c r="I493" s="20">
        <f>Разбивка_по_щитам!L498</f>
        <v/>
      </c>
      <c r="J493" s="20">
        <f>Разбивка_по_щитам!M498</f>
        <v/>
      </c>
      <c r="K493" s="20">
        <f>Разбивка_по_щитам!N498</f>
        <v/>
      </c>
      <c r="L493" s="20"/>
      <c r="M493" s="20">
        <f>Разбивка_по_щитам!P498</f>
        <v/>
      </c>
      <c r="N493" s="20"/>
    </row>
    <row r="494" spans="2:14" x14ac:dyDescent="0.25">
      <c r="B494" s="20">
        <f>Разбивка_по_щитам!B499</f>
        <v/>
      </c>
      <c r="C494" s="20">
        <f>Разбивка_по_щитам!C499</f>
      </c>
      <c r="D494" s="20">
        <f>Разбивка_по_щитам!F499</f>
      </c>
      <c r="E494" s="20">
        <f>Разбивка_по_щитам!H499</f>
      </c>
      <c r="F494" s="20">
        <f>Разбивка_по_щитам!I499</f>
      </c>
      <c r="G494" s="20">
        <f>Разбивка_по_щитам!J499</f>
        <v/>
      </c>
      <c r="H494" s="20">
        <f>Разбивка_по_щитам!K499</f>
        <v/>
      </c>
      <c r="I494" s="20">
        <f>Разбивка_по_щитам!L499</f>
        <v/>
      </c>
      <c r="J494" s="20">
        <f>Разбивка_по_щитам!M499</f>
        <v/>
      </c>
      <c r="K494" s="20">
        <f>Разбивка_по_щитам!N499</f>
        <v/>
      </c>
      <c r="L494" s="20"/>
      <c r="M494" s="20">
        <f>Разбивка_по_щитам!P499</f>
        <v/>
      </c>
      <c r="N494" s="20"/>
    </row>
    <row r="495" spans="2:14" x14ac:dyDescent="0.25">
      <c r="B495" s="20">
        <f>Разбивка_по_щитам!B500</f>
        <v/>
      </c>
      <c r="C495" s="20">
        <f>Разбивка_по_щитам!C500</f>
      </c>
      <c r="D495" s="20">
        <f>Разбивка_по_щитам!F500</f>
      </c>
      <c r="E495" s="20">
        <f>Разбивка_по_щитам!H500</f>
      </c>
      <c r="F495" s="20">
        <f>Разбивка_по_щитам!I500</f>
      </c>
      <c r="G495" s="20">
        <f>Разбивка_по_щитам!J500</f>
        <v/>
      </c>
      <c r="H495" s="20">
        <f>Разбивка_по_щитам!K500</f>
        <v/>
      </c>
      <c r="I495" s="20">
        <f>Разбивка_по_щитам!L500</f>
        <v/>
      </c>
      <c r="J495" s="20">
        <f>Разбивка_по_щитам!M500</f>
        <v/>
      </c>
      <c r="K495" s="20">
        <f>Разбивка_по_щитам!N500</f>
        <v/>
      </c>
      <c r="L495" s="20"/>
      <c r="M495" s="20">
        <f>Разбивка_по_щитам!P500</f>
        <v/>
      </c>
      <c r="N495" s="20"/>
    </row>
    <row r="496" spans="2:14" x14ac:dyDescent="0.25">
      <c r="B496" s="20">
        <f>Разбивка_по_щитам!B501</f>
        <v/>
      </c>
      <c r="C496" s="20">
        <f>Разбивка_по_щитам!C501</f>
      </c>
      <c r="D496" s="20">
        <f>Разбивка_по_щитам!F501</f>
      </c>
      <c r="E496" s="20">
        <f>Разбивка_по_щитам!H501</f>
      </c>
      <c r="F496" s="20">
        <f>Разбивка_по_щитам!I501</f>
      </c>
      <c r="G496" s="20">
        <f>Разбивка_по_щитам!J501</f>
        <v/>
      </c>
      <c r="H496" s="20">
        <f>Разбивка_по_щитам!K501</f>
        <v/>
      </c>
      <c r="I496" s="20">
        <f>Разбивка_по_щитам!L501</f>
        <v/>
      </c>
      <c r="J496" s="20">
        <f>Разбивка_по_щитам!M501</f>
        <v/>
      </c>
      <c r="K496" s="20">
        <f>Разбивка_по_щитам!N501</f>
        <v/>
      </c>
      <c r="L496" s="20"/>
      <c r="M496" s="20">
        <f>Разбивка_по_щитам!P501</f>
        <v/>
      </c>
      <c r="N496" s="20"/>
    </row>
    <row r="497" spans="2:14" x14ac:dyDescent="0.25">
      <c r="B497" s="20">
        <f>Разбивка_по_щитам!B502</f>
        <v/>
      </c>
      <c r="C497" s="20">
        <f>Разбивка_по_щитам!C502</f>
      </c>
      <c r="D497" s="20">
        <f>Разбивка_по_щитам!F502</f>
      </c>
      <c r="E497" s="20">
        <f>Разбивка_по_щитам!H502</f>
      </c>
      <c r="F497" s="20">
        <f>Разбивка_по_щитам!I502</f>
      </c>
      <c r="G497" s="20">
        <f>Разбивка_по_щитам!J502</f>
        <v/>
      </c>
      <c r="H497" s="20">
        <f>Разбивка_по_щитам!K502</f>
        <v/>
      </c>
      <c r="I497" s="20">
        <f>Разбивка_по_щитам!L502</f>
        <v/>
      </c>
      <c r="J497" s="20">
        <f>Разбивка_по_щитам!M502</f>
        <v/>
      </c>
      <c r="K497" s="20">
        <f>Разбивка_по_щитам!N502</f>
        <v/>
      </c>
      <c r="L497" s="20"/>
      <c r="M497" s="20">
        <f>Разбивка_по_щитам!P502</f>
        <v/>
      </c>
      <c r="N497" s="20"/>
    </row>
    <row r="498" spans="2:14" x14ac:dyDescent="0.25">
      <c r="B498" s="20">
        <f>Разбивка_по_щитам!B503</f>
        <v/>
      </c>
      <c r="C498" s="20">
        <f>Разбивка_по_щитам!C503</f>
      </c>
      <c r="D498" s="20">
        <f>Разбивка_по_щитам!F503</f>
      </c>
      <c r="E498" s="20">
        <f>Разбивка_по_щитам!H503</f>
      </c>
      <c r="F498" s="20">
        <f>Разбивка_по_щитам!I503</f>
      </c>
      <c r="G498" s="20">
        <f>Разбивка_по_щитам!J503</f>
        <v/>
      </c>
      <c r="H498" s="20">
        <f>Разбивка_по_щитам!K503</f>
        <v/>
      </c>
      <c r="I498" s="20">
        <f>Разбивка_по_щитам!L503</f>
        <v/>
      </c>
      <c r="J498" s="20">
        <f>Разбивка_по_щитам!M503</f>
        <v/>
      </c>
      <c r="K498" s="20">
        <f>Разбивка_по_щитам!N503</f>
        <v/>
      </c>
      <c r="L498" s="20"/>
      <c r="M498" s="20">
        <f>Разбивка_по_щитам!P503</f>
        <v/>
      </c>
      <c r="N498" s="20"/>
    </row>
    <row r="499" spans="2:14" x14ac:dyDescent="0.25">
      <c r="B499" s="20">
        <f>Разбивка_по_щитам!B504</f>
        <v/>
      </c>
      <c r="C499" s="20">
        <f>Разбивка_по_щитам!C504</f>
      </c>
      <c r="D499" s="20">
        <f>Разбивка_по_щитам!F504</f>
      </c>
      <c r="E499" s="20">
        <f>Разбивка_по_щитам!H504</f>
      </c>
      <c r="F499" s="20">
        <f>Разбивка_по_щитам!I504</f>
      </c>
      <c r="G499" s="20">
        <f>Разбивка_по_щитам!J504</f>
        <v/>
      </c>
      <c r="H499" s="20">
        <f>Разбивка_по_щитам!K504</f>
        <v/>
      </c>
      <c r="I499" s="20">
        <f>Разбивка_по_щитам!L504</f>
        <v/>
      </c>
      <c r="J499" s="20">
        <f>Разбивка_по_щитам!M504</f>
        <v/>
      </c>
      <c r="K499" s="20">
        <f>Разбивка_по_щитам!N504</f>
        <v/>
      </c>
      <c r="L499" s="20"/>
      <c r="M499" s="20">
        <f>Разбивка_по_щитам!P504</f>
        <v/>
      </c>
      <c r="N499" s="20"/>
    </row>
    <row r="500" spans="2:14" x14ac:dyDescent="0.25">
      <c r="B500" s="20">
        <f>Разбивка_по_щитам!B505</f>
        <v/>
      </c>
      <c r="C500" s="20">
        <f>Разбивка_по_щитам!C505</f>
      </c>
      <c r="D500" s="20">
        <f>Разбивка_по_щитам!F505</f>
      </c>
      <c r="E500" s="20">
        <f>Разбивка_по_щитам!H505</f>
      </c>
      <c r="F500" s="20">
        <f>Разбивка_по_щитам!I505</f>
      </c>
      <c r="G500" s="20">
        <f>Разбивка_по_щитам!J505</f>
        <v/>
      </c>
      <c r="H500" s="20">
        <f>Разбивка_по_щитам!K505</f>
        <v/>
      </c>
      <c r="I500" s="20">
        <f>Разбивка_по_щитам!L505</f>
        <v/>
      </c>
      <c r="J500" s="20">
        <f>Разбивка_по_щитам!M505</f>
        <v/>
      </c>
      <c r="K500" s="20">
        <f>Разбивка_по_щитам!N505</f>
        <v/>
      </c>
      <c r="L500" s="20"/>
      <c r="M500" s="20">
        <f>Разбивка_по_щитам!P505</f>
        <v/>
      </c>
      <c r="N500" s="20"/>
    </row>
    <row r="501" spans="2:14" x14ac:dyDescent="0.25">
      <c r="B501" s="20">
        <f>Разбивка_по_щитам!B506</f>
        <v/>
      </c>
      <c r="C501" s="20">
        <f>Разбивка_по_щитам!C506</f>
      </c>
      <c r="D501" s="20">
        <f>Разбивка_по_щитам!F506</f>
      </c>
      <c r="E501" s="20">
        <f>Разбивка_по_щитам!H506</f>
      </c>
      <c r="F501" s="20">
        <f>Разбивка_по_щитам!I506</f>
      </c>
      <c r="G501" s="20">
        <f>Разбивка_по_щитам!J506</f>
        <v/>
      </c>
      <c r="H501" s="20">
        <f>Разбивка_по_щитам!K506</f>
        <v/>
      </c>
      <c r="I501" s="20">
        <f>Разбивка_по_щитам!L506</f>
        <v/>
      </c>
      <c r="J501" s="20">
        <f>Разбивка_по_щитам!M506</f>
        <v/>
      </c>
      <c r="K501" s="20">
        <f>Разбивка_по_щитам!N506</f>
        <v/>
      </c>
      <c r="L501" s="20"/>
      <c r="M501" s="20">
        <f>Разбивка_по_щитам!P506</f>
        <v/>
      </c>
      <c r="N501" s="20"/>
    </row>
    <row r="502" spans="2:14" x14ac:dyDescent="0.25">
      <c r="B502" s="20">
        <f>Разбивка_по_щитам!B507</f>
        <v/>
      </c>
      <c r="C502" s="20">
        <f>Разбивка_по_щитам!C507</f>
      </c>
      <c r="D502" s="20">
        <f>Разбивка_по_щитам!F507</f>
      </c>
      <c r="E502" s="20">
        <f>Разбивка_по_щитам!H507</f>
      </c>
      <c r="F502" s="20">
        <f>Разбивка_по_щитам!I507</f>
      </c>
      <c r="G502" s="20">
        <f>Разбивка_по_щитам!J507</f>
        <v/>
      </c>
      <c r="H502" s="20">
        <f>Разбивка_по_щитам!K507</f>
        <v/>
      </c>
      <c r="I502" s="20">
        <f>Разбивка_по_щитам!L507</f>
        <v/>
      </c>
      <c r="J502" s="20">
        <f>Разбивка_по_щитам!M507</f>
        <v/>
      </c>
      <c r="K502" s="20">
        <f>Разбивка_по_щитам!N507</f>
        <v/>
      </c>
      <c r="L502" s="20"/>
      <c r="M502" s="20">
        <f>Разбивка_по_щитам!P507</f>
        <v/>
      </c>
      <c r="N502" s="20"/>
    </row>
    <row r="503" spans="2:14" x14ac:dyDescent="0.25">
      <c r="B503" s="20">
        <f>Разбивка_по_щитам!B508</f>
        <v/>
      </c>
      <c r="C503" s="20">
        <f>Разбивка_по_щитам!C508</f>
      </c>
      <c r="D503" s="20">
        <f>Разбивка_по_щитам!F508</f>
      </c>
      <c r="E503" s="20">
        <f>Разбивка_по_щитам!H508</f>
      </c>
      <c r="F503" s="20">
        <f>Разбивка_по_щитам!I508</f>
      </c>
      <c r="G503" s="20">
        <f>Разбивка_по_щитам!J508</f>
        <v/>
      </c>
      <c r="H503" s="20">
        <f>Разбивка_по_щитам!K508</f>
        <v/>
      </c>
      <c r="I503" s="20">
        <f>Разбивка_по_щитам!L508</f>
        <v/>
      </c>
      <c r="J503" s="20">
        <f>Разбивка_по_щитам!M508</f>
        <v/>
      </c>
      <c r="K503" s="20">
        <f>Разбивка_по_щитам!N508</f>
        <v/>
      </c>
      <c r="L503" s="20"/>
      <c r="M503" s="20">
        <f>Разбивка_по_щитам!P508</f>
        <v/>
      </c>
      <c r="N503" s="20"/>
    </row>
    <row r="504" spans="2:14" x14ac:dyDescent="0.25">
      <c r="B504" s="20">
        <f>Разбивка_по_щитам!B509</f>
        <v/>
      </c>
      <c r="C504" s="20">
        <f>Разбивка_по_щитам!C509</f>
      </c>
      <c r="D504" s="20">
        <f>Разбивка_по_щитам!F509</f>
      </c>
      <c r="E504" s="20">
        <f>Разбивка_по_щитам!H509</f>
      </c>
      <c r="F504" s="20">
        <f>Разбивка_по_щитам!I509</f>
      </c>
      <c r="G504" s="20">
        <f>Разбивка_по_щитам!J509</f>
        <v/>
      </c>
      <c r="H504" s="20">
        <f>Разбивка_по_щитам!K509</f>
        <v/>
      </c>
      <c r="I504" s="20">
        <f>Разбивка_по_щитам!L509</f>
        <v/>
      </c>
      <c r="J504" s="20">
        <f>Разбивка_по_щитам!M509</f>
        <v/>
      </c>
      <c r="K504" s="20">
        <f>Разбивка_по_щитам!N509</f>
        <v/>
      </c>
      <c r="L504" s="20"/>
      <c r="M504" s="20">
        <f>Разбивка_по_щитам!P509</f>
        <v/>
      </c>
      <c r="N504" s="20"/>
    </row>
    <row r="505" spans="2:14" x14ac:dyDescent="0.25">
      <c r="B505" s="20">
        <f>Разбивка_по_щитам!B510</f>
        <v/>
      </c>
      <c r="C505" s="20">
        <f>Разбивка_по_щитам!C510</f>
      </c>
      <c r="D505" s="20">
        <f>Разбивка_по_щитам!F510</f>
      </c>
      <c r="E505" s="20">
        <f>Разбивка_по_щитам!H510</f>
      </c>
      <c r="F505" s="20">
        <f>Разбивка_по_щитам!I510</f>
      </c>
      <c r="G505" s="20">
        <f>Разбивка_по_щитам!J510</f>
        <v/>
      </c>
      <c r="H505" s="20">
        <f>Разбивка_по_щитам!K510</f>
        <v/>
      </c>
      <c r="I505" s="20">
        <f>Разбивка_по_щитам!L510</f>
        <v/>
      </c>
      <c r="J505" s="20">
        <f>Разбивка_по_щитам!M510</f>
        <v/>
      </c>
      <c r="K505" s="20">
        <f>Разбивка_по_щитам!N510</f>
        <v/>
      </c>
      <c r="L505" s="20"/>
      <c r="M505" s="20">
        <f>Разбивка_по_щитам!P510</f>
        <v/>
      </c>
      <c r="N505" s="20"/>
    </row>
    <row r="506" spans="2:14" x14ac:dyDescent="0.25">
      <c r="B506" s="20">
        <f>Разбивка_по_щитам!B511</f>
        <v/>
      </c>
      <c r="C506" s="20">
        <f>Разбивка_по_щитам!C511</f>
      </c>
      <c r="D506" s="20">
        <f>Разбивка_по_щитам!F511</f>
      </c>
      <c r="E506" s="20">
        <f>Разбивка_по_щитам!H511</f>
      </c>
      <c r="F506" s="20">
        <f>Разбивка_по_щитам!I511</f>
      </c>
      <c r="G506" s="20">
        <f>Разбивка_по_щитам!J511</f>
        <v/>
      </c>
      <c r="H506" s="20">
        <f>Разбивка_по_щитам!K511</f>
        <v/>
      </c>
      <c r="I506" s="20">
        <f>Разбивка_по_щитам!L511</f>
        <v/>
      </c>
      <c r="J506" s="20">
        <f>Разбивка_по_щитам!M511</f>
        <v/>
      </c>
      <c r="K506" s="20">
        <f>Разбивка_по_щитам!N511</f>
        <v/>
      </c>
      <c r="L506" s="20"/>
      <c r="M506" s="20">
        <f>Разбивка_по_щитам!P511</f>
        <v/>
      </c>
      <c r="N506" s="20"/>
    </row>
    <row r="507" spans="2:14" x14ac:dyDescent="0.25">
      <c r="B507" s="20">
        <f>Разбивка_по_щитам!B512</f>
        <v/>
      </c>
      <c r="C507" s="20">
        <f>Разбивка_по_щитам!C512</f>
      </c>
      <c r="D507" s="20">
        <f>Разбивка_по_щитам!F512</f>
      </c>
      <c r="E507" s="20">
        <f>Разбивка_по_щитам!H512</f>
      </c>
      <c r="F507" s="20">
        <f>Разбивка_по_щитам!I512</f>
      </c>
      <c r="G507" s="20">
        <f>Разбивка_по_щитам!J512</f>
        <v/>
      </c>
      <c r="H507" s="20">
        <f>Разбивка_по_щитам!K512</f>
        <v/>
      </c>
      <c r="I507" s="20">
        <f>Разбивка_по_щитам!L512</f>
        <v/>
      </c>
      <c r="J507" s="20">
        <f>Разбивка_по_щитам!M512</f>
        <v/>
      </c>
      <c r="K507" s="20">
        <f>Разбивка_по_щитам!N512</f>
        <v/>
      </c>
      <c r="L507" s="20"/>
      <c r="M507" s="20">
        <f>Разбивка_по_щитам!P512</f>
        <v/>
      </c>
      <c r="N507" s="20"/>
    </row>
    <row r="508" spans="2:14" x14ac:dyDescent="0.25">
      <c r="B508" s="20">
        <f>Разбивка_по_щитам!B513</f>
        <v/>
      </c>
      <c r="C508" s="20">
        <f>Разбивка_по_щитам!C513</f>
      </c>
      <c r="D508" s="20">
        <f>Разбивка_по_щитам!F513</f>
      </c>
      <c r="E508" s="20">
        <f>Разбивка_по_щитам!H513</f>
      </c>
      <c r="F508" s="20">
        <f>Разбивка_по_щитам!I513</f>
      </c>
      <c r="G508" s="20">
        <f>Разбивка_по_щитам!J513</f>
        <v/>
      </c>
      <c r="H508" s="20">
        <f>Разбивка_по_щитам!K513</f>
        <v/>
      </c>
      <c r="I508" s="20">
        <f>Разбивка_по_щитам!L513</f>
        <v/>
      </c>
      <c r="J508" s="20">
        <f>Разбивка_по_щитам!M513</f>
        <v/>
      </c>
      <c r="K508" s="20">
        <f>Разбивка_по_щитам!N513</f>
        <v/>
      </c>
      <c r="L508" s="20"/>
      <c r="M508" s="20">
        <f>Разбивка_по_щитам!P513</f>
        <v/>
      </c>
      <c r="N508" s="20"/>
    </row>
    <row r="509" spans="2:14" x14ac:dyDescent="0.25">
      <c r="B509" s="20">
        <f>Разбивка_по_щитам!B514</f>
        <v/>
      </c>
      <c r="C509" s="20">
        <f>Разбивка_по_щитам!C514</f>
      </c>
      <c r="D509" s="20">
        <f>Разбивка_по_щитам!F514</f>
      </c>
      <c r="E509" s="20">
        <f>Разбивка_по_щитам!H514</f>
      </c>
      <c r="F509" s="20">
        <f>Разбивка_по_щитам!I514</f>
      </c>
      <c r="G509" s="20">
        <f>Разбивка_по_щитам!J514</f>
        <v/>
      </c>
      <c r="H509" s="20">
        <f>Разбивка_по_щитам!K514</f>
        <v/>
      </c>
      <c r="I509" s="20">
        <f>Разбивка_по_щитам!L514</f>
        <v/>
      </c>
      <c r="J509" s="20">
        <f>Разбивка_по_щитам!M514</f>
        <v/>
      </c>
      <c r="K509" s="20">
        <f>Разбивка_по_щитам!N514</f>
        <v/>
      </c>
      <c r="L509" s="20"/>
      <c r="M509" s="20">
        <f>Разбивка_по_щитам!P514</f>
        <v/>
      </c>
      <c r="N509" s="20"/>
    </row>
    <row r="510" spans="2:14" x14ac:dyDescent="0.25">
      <c r="B510" s="20">
        <f>Разбивка_по_щитам!B515</f>
        <v/>
      </c>
      <c r="C510" s="20">
        <f>Разбивка_по_щитам!C515</f>
      </c>
      <c r="D510" s="20">
        <f>Разбивка_по_щитам!F515</f>
      </c>
      <c r="E510" s="20">
        <f>Разбивка_по_щитам!H515</f>
      </c>
      <c r="F510" s="20">
        <f>Разбивка_по_щитам!I515</f>
      </c>
      <c r="G510" s="20">
        <f>Разбивка_по_щитам!J515</f>
        <v/>
      </c>
      <c r="H510" s="20">
        <f>Разбивка_по_щитам!K515</f>
        <v/>
      </c>
      <c r="I510" s="20">
        <f>Разбивка_по_щитам!L515</f>
        <v/>
      </c>
      <c r="J510" s="20">
        <f>Разбивка_по_щитам!M515</f>
        <v/>
      </c>
      <c r="K510" s="20">
        <f>Разбивка_по_щитам!N515</f>
        <v/>
      </c>
      <c r="L510" s="20"/>
      <c r="M510" s="20">
        <f>Разбивка_по_щитам!P515</f>
        <v/>
      </c>
      <c r="N510" s="20"/>
    </row>
    <row r="511" spans="2:14" x14ac:dyDescent="0.25">
      <c r="B511" s="20">
        <f>Разбивка_по_щитам!B516</f>
        <v/>
      </c>
      <c r="C511" s="20">
        <f>Разбивка_по_щитам!C516</f>
      </c>
      <c r="D511" s="20">
        <f>Разбивка_по_щитам!F516</f>
      </c>
      <c r="E511" s="20">
        <f>Разбивка_по_щитам!H516</f>
      </c>
      <c r="F511" s="20">
        <f>Разбивка_по_щитам!I516</f>
      </c>
      <c r="G511" s="20">
        <f>Разбивка_по_щитам!J516</f>
        <v/>
      </c>
      <c r="H511" s="20">
        <f>Разбивка_по_щитам!K516</f>
        <v/>
      </c>
      <c r="I511" s="20">
        <f>Разбивка_по_щитам!L516</f>
        <v/>
      </c>
      <c r="J511" s="20">
        <f>Разбивка_по_щитам!M516</f>
        <v/>
      </c>
      <c r="K511" s="20">
        <f>Разбивка_по_щитам!N516</f>
        <v/>
      </c>
      <c r="L511" s="20"/>
      <c r="M511" s="20">
        <f>Разбивка_по_щитам!P516</f>
        <v/>
      </c>
      <c r="N511" s="20"/>
    </row>
    <row r="512" spans="2:14" x14ac:dyDescent="0.25">
      <c r="B512" s="20">
        <f>Разбивка_по_щитам!B517</f>
        <v/>
      </c>
      <c r="C512" s="20">
        <f>Разбивка_по_щитам!C517</f>
      </c>
      <c r="D512" s="20">
        <f>Разбивка_по_щитам!F517</f>
      </c>
      <c r="E512" s="20">
        <f>Разбивка_по_щитам!H517</f>
      </c>
      <c r="F512" s="20">
        <f>Разбивка_по_щитам!I517</f>
      </c>
      <c r="G512" s="20">
        <f>Разбивка_по_щитам!J517</f>
        <v/>
      </c>
      <c r="H512" s="20">
        <f>Разбивка_по_щитам!K517</f>
        <v/>
      </c>
      <c r="I512" s="20">
        <f>Разбивка_по_щитам!L517</f>
        <v/>
      </c>
      <c r="J512" s="20">
        <f>Разбивка_по_щитам!M517</f>
        <v/>
      </c>
      <c r="K512" s="20">
        <f>Разбивка_по_щитам!N517</f>
        <v/>
      </c>
      <c r="L512" s="20"/>
      <c r="M512" s="20">
        <f>Разбивка_по_щитам!P517</f>
        <v/>
      </c>
      <c r="N512" s="20"/>
    </row>
    <row r="513" spans="2:14" x14ac:dyDescent="0.25">
      <c r="B513" s="20">
        <f>Разбивка_по_щитам!B518</f>
        <v/>
      </c>
      <c r="C513" s="20">
        <f>Разбивка_по_щитам!C518</f>
      </c>
      <c r="D513" s="20">
        <f>Разбивка_по_щитам!F518</f>
      </c>
      <c r="E513" s="20">
        <f>Разбивка_по_щитам!H518</f>
      </c>
      <c r="F513" s="20">
        <f>Разбивка_по_щитам!I518</f>
      </c>
      <c r="G513" s="20">
        <f>Разбивка_по_щитам!J518</f>
        <v/>
      </c>
      <c r="H513" s="20">
        <f>Разбивка_по_щитам!K518</f>
        <v/>
      </c>
      <c r="I513" s="20">
        <f>Разбивка_по_щитам!L518</f>
        <v/>
      </c>
      <c r="J513" s="20">
        <f>Разбивка_по_щитам!M518</f>
        <v/>
      </c>
      <c r="K513" s="20">
        <f>Разбивка_по_щитам!N518</f>
        <v/>
      </c>
      <c r="L513" s="20"/>
      <c r="M513" s="20">
        <f>Разбивка_по_щитам!P518</f>
        <v/>
      </c>
      <c r="N513" s="20"/>
    </row>
    <row r="514" spans="2:14" x14ac:dyDescent="0.25">
      <c r="B514" s="20">
        <f>Разбивка_по_щитам!B519</f>
        <v/>
      </c>
      <c r="C514" s="20">
        <f>Разбивка_по_щитам!C519</f>
      </c>
      <c r="D514" s="20">
        <f>Разбивка_по_щитам!F519</f>
      </c>
      <c r="E514" s="20">
        <f>Разбивка_по_щитам!H519</f>
      </c>
      <c r="F514" s="20">
        <f>Разбивка_по_щитам!I519</f>
      </c>
      <c r="G514" s="20">
        <f>Разбивка_по_щитам!J519</f>
        <v/>
      </c>
      <c r="H514" s="20">
        <f>Разбивка_по_щитам!K519</f>
        <v/>
      </c>
      <c r="I514" s="20">
        <f>Разбивка_по_щитам!L519</f>
        <v/>
      </c>
      <c r="J514" s="20">
        <f>Разбивка_по_щитам!M519</f>
        <v/>
      </c>
      <c r="K514" s="20">
        <f>Разбивка_по_щитам!N519</f>
        <v/>
      </c>
      <c r="L514" s="20"/>
      <c r="M514" s="20">
        <f>Разбивка_по_щитам!P519</f>
        <v/>
      </c>
      <c r="N514" s="20"/>
    </row>
    <row r="515" spans="2:14" x14ac:dyDescent="0.25">
      <c r="B515" s="20">
        <f>Разбивка_по_щитам!B520</f>
        <v/>
      </c>
      <c r="C515" s="20">
        <f>Разбивка_по_щитам!C520</f>
      </c>
      <c r="D515" s="20">
        <f>Разбивка_по_щитам!F520</f>
      </c>
      <c r="E515" s="20">
        <f>Разбивка_по_щитам!H520</f>
      </c>
      <c r="F515" s="20">
        <f>Разбивка_по_щитам!I520</f>
      </c>
      <c r="G515" s="20">
        <f>Разбивка_по_щитам!J520</f>
        <v/>
      </c>
      <c r="H515" s="20">
        <f>Разбивка_по_щитам!K520</f>
        <v/>
      </c>
      <c r="I515" s="20">
        <f>Разбивка_по_щитам!L520</f>
        <v/>
      </c>
      <c r="J515" s="20">
        <f>Разбивка_по_щитам!M520</f>
        <v/>
      </c>
      <c r="K515" s="20">
        <f>Разбивка_по_щитам!N520</f>
        <v/>
      </c>
      <c r="L515" s="20"/>
      <c r="M515" s="20">
        <f>Разбивка_по_щитам!P520</f>
        <v/>
      </c>
      <c r="N515" s="20"/>
    </row>
    <row r="516" spans="2:14" x14ac:dyDescent="0.25">
      <c r="B516" s="20">
        <f>Разбивка_по_щитам!B521</f>
        <v/>
      </c>
      <c r="C516" s="20">
        <f>Разбивка_по_щитам!C521</f>
      </c>
      <c r="D516" s="20">
        <f>Разбивка_по_щитам!F521</f>
      </c>
      <c r="E516" s="20">
        <f>Разбивка_по_щитам!H521</f>
      </c>
      <c r="F516" s="20">
        <f>Разбивка_по_щитам!I521</f>
      </c>
      <c r="G516" s="20">
        <f>Разбивка_по_щитам!J521</f>
        <v/>
      </c>
      <c r="H516" s="20">
        <f>Разбивка_по_щитам!K521</f>
        <v/>
      </c>
      <c r="I516" s="20">
        <f>Разбивка_по_щитам!L521</f>
        <v/>
      </c>
      <c r="J516" s="20">
        <f>Разбивка_по_щитам!M521</f>
        <v/>
      </c>
      <c r="K516" s="20">
        <f>Разбивка_по_щитам!N521</f>
        <v/>
      </c>
      <c r="L516" s="20"/>
      <c r="M516" s="20">
        <f>Разбивка_по_щитам!P521</f>
        <v/>
      </c>
      <c r="N516" s="20"/>
    </row>
    <row r="517" spans="2:14" x14ac:dyDescent="0.25">
      <c r="B517" s="20">
        <f>Разбивка_по_щитам!B522</f>
        <v/>
      </c>
      <c r="C517" s="20">
        <f>Разбивка_по_щитам!C522</f>
      </c>
      <c r="D517" s="20">
        <f>Разбивка_по_щитам!F522</f>
      </c>
      <c r="E517" s="20">
        <f>Разбивка_по_щитам!H522</f>
      </c>
      <c r="F517" s="20">
        <f>Разбивка_по_щитам!I522</f>
      </c>
      <c r="G517" s="20">
        <f>Разбивка_по_щитам!J522</f>
        <v/>
      </c>
      <c r="H517" s="20">
        <f>Разбивка_по_щитам!K522</f>
        <v/>
      </c>
      <c r="I517" s="20">
        <f>Разбивка_по_щитам!L522</f>
        <v/>
      </c>
      <c r="J517" s="20">
        <f>Разбивка_по_щитам!M522</f>
        <v/>
      </c>
      <c r="K517" s="20">
        <f>Разбивка_по_щитам!N522</f>
        <v/>
      </c>
      <c r="L517" s="20"/>
      <c r="M517" s="20">
        <f>Разбивка_по_щитам!P522</f>
        <v/>
      </c>
      <c r="N517" s="20"/>
    </row>
    <row r="518" spans="2:14" x14ac:dyDescent="0.25">
      <c r="B518" s="20">
        <f>Разбивка_по_щитам!B523</f>
        <v/>
      </c>
      <c r="C518" s="20">
        <f>Разбивка_по_щитам!C523</f>
      </c>
      <c r="D518" s="20">
        <f>Разбивка_по_щитам!F523</f>
      </c>
      <c r="E518" s="20">
        <f>Разбивка_по_щитам!H523</f>
      </c>
      <c r="F518" s="20">
        <f>Разбивка_по_щитам!I523</f>
      </c>
      <c r="G518" s="20">
        <f>Разбивка_по_щитам!J523</f>
        <v/>
      </c>
      <c r="H518" s="20">
        <f>Разбивка_по_щитам!K523</f>
        <v/>
      </c>
      <c r="I518" s="20">
        <f>Разбивка_по_щитам!L523</f>
        <v/>
      </c>
      <c r="J518" s="20">
        <f>Разбивка_по_щитам!M523</f>
        <v/>
      </c>
      <c r="K518" s="20">
        <f>Разбивка_по_щитам!N523</f>
        <v/>
      </c>
      <c r="L518" s="20"/>
      <c r="M518" s="20">
        <f>Разбивка_по_щитам!P523</f>
        <v/>
      </c>
      <c r="N518" s="20"/>
    </row>
    <row r="519" spans="2:14" x14ac:dyDescent="0.25">
      <c r="B519" s="20">
        <f>Разбивка_по_щитам!B524</f>
        <v/>
      </c>
      <c r="C519" s="20">
        <f>Разбивка_по_щитам!C524</f>
      </c>
      <c r="D519" s="20">
        <f>Разбивка_по_щитам!F524</f>
      </c>
      <c r="E519" s="20">
        <f>Разбивка_по_щитам!H524</f>
      </c>
      <c r="F519" s="20">
        <f>Разбивка_по_щитам!I524</f>
      </c>
      <c r="G519" s="20">
        <f>Разбивка_по_щитам!J524</f>
        <v/>
      </c>
      <c r="H519" s="20">
        <f>Разбивка_по_щитам!K524</f>
        <v/>
      </c>
      <c r="I519" s="20">
        <f>Разбивка_по_щитам!L524</f>
        <v/>
      </c>
      <c r="J519" s="20">
        <f>Разбивка_по_щитам!M524</f>
        <v/>
      </c>
      <c r="K519" s="20">
        <f>Разбивка_по_щитам!N524</f>
        <v/>
      </c>
      <c r="L519" s="20"/>
      <c r="M519" s="20">
        <f>Разбивка_по_щитам!P524</f>
        <v/>
      </c>
      <c r="N519" s="20"/>
    </row>
    <row r="520" spans="2:14" x14ac:dyDescent="0.25">
      <c r="B520" s="20">
        <f>Разбивка_по_щитам!B525</f>
        <v/>
      </c>
      <c r="C520" s="20">
        <f>Разбивка_по_щитам!C525</f>
      </c>
      <c r="D520" s="20">
        <f>Разбивка_по_щитам!F525</f>
      </c>
      <c r="E520" s="20">
        <f>Разбивка_по_щитам!H525</f>
      </c>
      <c r="F520" s="20">
        <f>Разбивка_по_щитам!I525</f>
      </c>
      <c r="G520" s="20">
        <f>Разбивка_по_щитам!J525</f>
        <v/>
      </c>
      <c r="H520" s="20">
        <f>Разбивка_по_щитам!K525</f>
        <v/>
      </c>
      <c r="I520" s="20">
        <f>Разбивка_по_щитам!L525</f>
        <v/>
      </c>
      <c r="J520" s="20">
        <f>Разбивка_по_щитам!M525</f>
        <v/>
      </c>
      <c r="K520" s="20">
        <f>Разбивка_по_щитам!N525</f>
        <v/>
      </c>
      <c r="L520" s="20"/>
      <c r="M520" s="20">
        <f>Разбивка_по_щитам!P525</f>
        <v/>
      </c>
      <c r="N520" s="20"/>
    </row>
    <row r="521" spans="2:14" x14ac:dyDescent="0.25">
      <c r="B521" s="20">
        <f>Разбивка_по_щитам!B526</f>
        <v/>
      </c>
      <c r="C521" s="20">
        <f>Разбивка_по_щитам!C526</f>
      </c>
      <c r="D521" s="20">
        <f>Разбивка_по_щитам!F526</f>
      </c>
      <c r="E521" s="20">
        <f>Разбивка_по_щитам!H526</f>
      </c>
      <c r="F521" s="20">
        <f>Разбивка_по_щитам!I526</f>
      </c>
      <c r="G521" s="20">
        <f>Разбивка_по_щитам!J526</f>
        <v/>
      </c>
      <c r="H521" s="20">
        <f>Разбивка_по_щитам!K526</f>
        <v/>
      </c>
      <c r="I521" s="20">
        <f>Разбивка_по_щитам!L526</f>
        <v/>
      </c>
      <c r="J521" s="20">
        <f>Разбивка_по_щитам!M526</f>
        <v/>
      </c>
      <c r="K521" s="20">
        <f>Разбивка_по_щитам!N526</f>
        <v/>
      </c>
      <c r="L521" s="20"/>
      <c r="M521" s="20">
        <f>Разбивка_по_щитам!P526</f>
        <v/>
      </c>
      <c r="N521" s="20"/>
    </row>
    <row r="522" spans="2:14" x14ac:dyDescent="0.25">
      <c r="B522" s="20">
        <f>Разбивка_по_щитам!B527</f>
        <v/>
      </c>
      <c r="C522" s="20">
        <f>Разбивка_по_щитам!C527</f>
      </c>
      <c r="D522" s="20">
        <f>Разбивка_по_щитам!F527</f>
      </c>
      <c r="E522" s="20">
        <f>Разбивка_по_щитам!H527</f>
      </c>
      <c r="F522" s="20">
        <f>Разбивка_по_щитам!I527</f>
      </c>
      <c r="G522" s="20">
        <f>Разбивка_по_щитам!J527</f>
        <v/>
      </c>
      <c r="H522" s="20">
        <f>Разбивка_по_щитам!K527</f>
        <v/>
      </c>
      <c r="I522" s="20">
        <f>Разбивка_по_щитам!L527</f>
        <v/>
      </c>
      <c r="J522" s="20">
        <f>Разбивка_по_щитам!M527</f>
        <v/>
      </c>
      <c r="K522" s="20">
        <f>Разбивка_по_щитам!N527</f>
        <v/>
      </c>
      <c r="L522" s="20"/>
      <c r="M522" s="20">
        <f>Разбивка_по_щитам!P527</f>
        <v/>
      </c>
      <c r="N522" s="20"/>
    </row>
    <row r="523" spans="2:14" x14ac:dyDescent="0.25">
      <c r="B523" s="20">
        <f>Разбивка_по_щитам!B528</f>
        <v/>
      </c>
      <c r="C523" s="20">
        <f>Разбивка_по_щитам!C528</f>
      </c>
      <c r="D523" s="20">
        <f>Разбивка_по_щитам!F528</f>
      </c>
      <c r="E523" s="20">
        <f>Разбивка_по_щитам!H528</f>
      </c>
      <c r="F523" s="20">
        <f>Разбивка_по_щитам!I528</f>
      </c>
      <c r="G523" s="20">
        <f>Разбивка_по_щитам!J528</f>
        <v/>
      </c>
      <c r="H523" s="20">
        <f>Разбивка_по_щитам!K528</f>
        <v/>
      </c>
      <c r="I523" s="20">
        <f>Разбивка_по_щитам!L528</f>
        <v/>
      </c>
      <c r="J523" s="20">
        <f>Разбивка_по_щитам!M528</f>
        <v/>
      </c>
      <c r="K523" s="20">
        <f>Разбивка_по_щитам!N528</f>
        <v/>
      </c>
      <c r="L523" s="20"/>
      <c r="M523" s="20">
        <f>Разбивка_по_щитам!P528</f>
        <v/>
      </c>
      <c r="N523" s="20"/>
    </row>
    <row r="524" spans="2:14" x14ac:dyDescent="0.25">
      <c r="B524" s="20">
        <f>Разбивка_по_щитам!B529</f>
        <v/>
      </c>
      <c r="C524" s="20">
        <f>Разбивка_по_щитам!C529</f>
      </c>
      <c r="D524" s="20">
        <f>Разбивка_по_щитам!F529</f>
      </c>
      <c r="E524" s="20">
        <f>Разбивка_по_щитам!H529</f>
      </c>
      <c r="F524" s="20">
        <f>Разбивка_по_щитам!I529</f>
      </c>
      <c r="G524" s="20">
        <f>Разбивка_по_щитам!J529</f>
        <v/>
      </c>
      <c r="H524" s="20">
        <f>Разбивка_по_щитам!K529</f>
        <v/>
      </c>
      <c r="I524" s="20">
        <f>Разбивка_по_щитам!L529</f>
        <v/>
      </c>
      <c r="J524" s="20">
        <f>Разбивка_по_щитам!M529</f>
        <v/>
      </c>
      <c r="K524" s="20">
        <f>Разбивка_по_щитам!N529</f>
        <v/>
      </c>
      <c r="L524" s="20"/>
      <c r="M524" s="20">
        <f>Разбивка_по_щитам!P529</f>
        <v/>
      </c>
      <c r="N524" s="20"/>
    </row>
    <row r="525" spans="2:14" x14ac:dyDescent="0.25">
      <c r="B525" s="20">
        <f>Разбивка_по_щитам!B530</f>
        <v/>
      </c>
      <c r="C525" s="20">
        <f>Разбивка_по_щитам!C530</f>
      </c>
      <c r="D525" s="20">
        <f>Разбивка_по_щитам!F530</f>
      </c>
      <c r="E525" s="20">
        <f>Разбивка_по_щитам!H530</f>
      </c>
      <c r="F525" s="20">
        <f>Разбивка_по_щитам!I530</f>
      </c>
      <c r="G525" s="20">
        <f>Разбивка_по_щитам!J530</f>
        <v/>
      </c>
      <c r="H525" s="20">
        <f>Разбивка_по_щитам!K530</f>
        <v/>
      </c>
      <c r="I525" s="20">
        <f>Разбивка_по_щитам!L530</f>
        <v/>
      </c>
      <c r="J525" s="20">
        <f>Разбивка_по_щитам!M530</f>
        <v/>
      </c>
      <c r="K525" s="20">
        <f>Разбивка_по_щитам!N530</f>
        <v/>
      </c>
      <c r="L525" s="20"/>
      <c r="M525" s="20">
        <f>Разбивка_по_щитам!P530</f>
        <v/>
      </c>
      <c r="N525" s="20"/>
    </row>
    <row r="526" spans="2:14" x14ac:dyDescent="0.25">
      <c r="B526" s="20">
        <f>Разбивка_по_щитам!B531</f>
        <v/>
      </c>
      <c r="C526" s="20">
        <f>Разбивка_по_щитам!C531</f>
      </c>
      <c r="D526" s="20">
        <f>Разбивка_по_щитам!F531</f>
      </c>
      <c r="E526" s="20">
        <f>Разбивка_по_щитам!H531</f>
      </c>
      <c r="F526" s="20">
        <f>Разбивка_по_щитам!I531</f>
      </c>
      <c r="G526" s="20">
        <f>Разбивка_по_щитам!J531</f>
        <v/>
      </c>
      <c r="H526" s="20">
        <f>Разбивка_по_щитам!K531</f>
        <v/>
      </c>
      <c r="I526" s="20">
        <f>Разбивка_по_щитам!L531</f>
        <v/>
      </c>
      <c r="J526" s="20">
        <f>Разбивка_по_щитам!M531</f>
        <v/>
      </c>
      <c r="K526" s="20">
        <f>Разбивка_по_щитам!N531</f>
        <v/>
      </c>
      <c r="L526" s="20"/>
      <c r="M526" s="20">
        <f>Разбивка_по_щитам!P531</f>
        <v/>
      </c>
      <c r="N526" s="20"/>
    </row>
    <row r="527" spans="2:14" x14ac:dyDescent="0.25">
      <c r="B527" s="20">
        <f>Разбивка_по_щитам!B532</f>
        <v/>
      </c>
      <c r="C527" s="20">
        <f>Разбивка_по_щитам!C532</f>
      </c>
      <c r="D527" s="20">
        <f>Разбивка_по_щитам!F532</f>
      </c>
      <c r="E527" s="20">
        <f>Разбивка_по_щитам!H532</f>
      </c>
      <c r="F527" s="20">
        <f>Разбивка_по_щитам!I532</f>
      </c>
      <c r="G527" s="20">
        <f>Разбивка_по_щитам!J532</f>
        <v/>
      </c>
      <c r="H527" s="20">
        <f>Разбивка_по_щитам!K532</f>
        <v/>
      </c>
      <c r="I527" s="20">
        <f>Разбивка_по_щитам!L532</f>
        <v/>
      </c>
      <c r="J527" s="20">
        <f>Разбивка_по_щитам!M532</f>
        <v/>
      </c>
      <c r="K527" s="20">
        <f>Разбивка_по_щитам!N532</f>
        <v/>
      </c>
      <c r="L527" s="20"/>
      <c r="M527" s="20">
        <f>Разбивка_по_щитам!P532</f>
        <v/>
      </c>
      <c r="N527" s="20"/>
    </row>
    <row r="528" spans="2:14" x14ac:dyDescent="0.25">
      <c r="B528" s="20">
        <f>Разбивка_по_щитам!B533</f>
        <v/>
      </c>
      <c r="C528" s="20">
        <f>Разбивка_по_щитам!C533</f>
      </c>
      <c r="D528" s="20">
        <f>Разбивка_по_щитам!F533</f>
      </c>
      <c r="E528" s="20">
        <f>Разбивка_по_щитам!H533</f>
      </c>
      <c r="F528" s="20">
        <f>Разбивка_по_щитам!I533</f>
      </c>
      <c r="G528" s="20">
        <f>Разбивка_по_щитам!J533</f>
        <v/>
      </c>
      <c r="H528" s="20">
        <f>Разбивка_по_щитам!K533</f>
        <v/>
      </c>
      <c r="I528" s="20">
        <f>Разбивка_по_щитам!L533</f>
        <v/>
      </c>
      <c r="J528" s="20">
        <f>Разбивка_по_щитам!M533</f>
        <v/>
      </c>
      <c r="K528" s="20">
        <f>Разбивка_по_щитам!N533</f>
        <v/>
      </c>
      <c r="L528" s="20"/>
      <c r="M528" s="20">
        <f>Разбивка_по_щитам!P533</f>
        <v/>
      </c>
      <c r="N528" s="20"/>
    </row>
    <row r="529" spans="2:14" x14ac:dyDescent="0.25">
      <c r="B529" s="20">
        <f>Разбивка_по_щитам!B534</f>
        <v/>
      </c>
      <c r="C529" s="20">
        <f>Разбивка_по_щитам!C534</f>
      </c>
      <c r="D529" s="20">
        <f>Разбивка_по_щитам!F534</f>
      </c>
      <c r="E529" s="20">
        <f>Разбивка_по_щитам!H534</f>
      </c>
      <c r="F529" s="20">
        <f>Разбивка_по_щитам!I534</f>
      </c>
      <c r="G529" s="20">
        <f>Разбивка_по_щитам!J534</f>
        <v/>
      </c>
      <c r="H529" s="20">
        <f>Разбивка_по_щитам!K534</f>
        <v/>
      </c>
      <c r="I529" s="20">
        <f>Разбивка_по_щитам!L534</f>
        <v/>
      </c>
      <c r="J529" s="20">
        <f>Разбивка_по_щитам!M534</f>
        <v/>
      </c>
      <c r="K529" s="20">
        <f>Разбивка_по_щитам!N534</f>
        <v/>
      </c>
      <c r="L529" s="20"/>
      <c r="M529" s="20">
        <f>Разбивка_по_щитам!P534</f>
        <v/>
      </c>
      <c r="N529" s="20"/>
    </row>
    <row r="530" spans="2:14" x14ac:dyDescent="0.25">
      <c r="B530" s="20">
        <f>Разбивка_по_щитам!B535</f>
        <v/>
      </c>
      <c r="C530" s="20">
        <f>Разбивка_по_щитам!C535</f>
      </c>
      <c r="D530" s="20">
        <f>Разбивка_по_щитам!F535</f>
      </c>
      <c r="E530" s="20">
        <f>Разбивка_по_щитам!H535</f>
      </c>
      <c r="F530" s="20">
        <f>Разбивка_по_щитам!I535</f>
      </c>
      <c r="G530" s="20">
        <f>Разбивка_по_щитам!J535</f>
        <v/>
      </c>
      <c r="H530" s="20">
        <f>Разбивка_по_щитам!K535</f>
        <v/>
      </c>
      <c r="I530" s="20">
        <f>Разбивка_по_щитам!L535</f>
        <v/>
      </c>
      <c r="J530" s="20">
        <f>Разбивка_по_щитам!M535</f>
        <v/>
      </c>
      <c r="K530" s="20">
        <f>Разбивка_по_щитам!N535</f>
        <v/>
      </c>
      <c r="L530" s="20"/>
      <c r="M530" s="20">
        <f>Разбивка_по_щитам!P535</f>
        <v/>
      </c>
      <c r="N530" s="20"/>
    </row>
    <row r="531" spans="2:14" x14ac:dyDescent="0.25">
      <c r="B531" s="20">
        <f>Разбивка_по_щитам!B536</f>
        <v/>
      </c>
      <c r="C531" s="20">
        <f>Разбивка_по_щитам!C536</f>
      </c>
      <c r="D531" s="20">
        <f>Разбивка_по_щитам!F536</f>
      </c>
      <c r="E531" s="20">
        <f>Разбивка_по_щитам!H536</f>
      </c>
      <c r="F531" s="20">
        <f>Разбивка_по_щитам!I536</f>
      </c>
      <c r="G531" s="20">
        <f>Разбивка_по_щитам!J536</f>
        <v/>
      </c>
      <c r="H531" s="20">
        <f>Разбивка_по_щитам!K536</f>
        <v/>
      </c>
      <c r="I531" s="20">
        <f>Разбивка_по_щитам!L536</f>
        <v/>
      </c>
      <c r="J531" s="20">
        <f>Разбивка_по_щитам!M536</f>
        <v/>
      </c>
      <c r="K531" s="20">
        <f>Разбивка_по_щитам!N536</f>
        <v/>
      </c>
      <c r="L531" s="20"/>
      <c r="M531" s="20">
        <f>Разбивка_по_щитам!P536</f>
        <v/>
      </c>
      <c r="N531" s="20"/>
    </row>
    <row r="532" spans="2:14" x14ac:dyDescent="0.25">
      <c r="B532" s="20">
        <f>Разбивка_по_щитам!B537</f>
        <v/>
      </c>
      <c r="C532" s="20">
        <f>Разбивка_по_щитам!C537</f>
      </c>
      <c r="D532" s="20">
        <f>Разбивка_по_щитам!F537</f>
      </c>
      <c r="E532" s="20">
        <f>Разбивка_по_щитам!H537</f>
      </c>
      <c r="F532" s="20">
        <f>Разбивка_по_щитам!I537</f>
      </c>
      <c r="G532" s="20">
        <f>Разбивка_по_щитам!J537</f>
        <v/>
      </c>
      <c r="H532" s="20">
        <f>Разбивка_по_щитам!K537</f>
        <v/>
      </c>
      <c r="I532" s="20">
        <f>Разбивка_по_щитам!L537</f>
        <v/>
      </c>
      <c r="J532" s="20">
        <f>Разбивка_по_щитам!M537</f>
        <v/>
      </c>
      <c r="K532" s="20">
        <f>Разбивка_по_щитам!N537</f>
        <v/>
      </c>
      <c r="L532" s="20"/>
      <c r="M532" s="20">
        <f>Разбивка_по_щитам!P537</f>
        <v/>
      </c>
      <c r="N532" s="20"/>
    </row>
    <row r="533" spans="2:14" x14ac:dyDescent="0.25">
      <c r="B533" s="20">
        <f>Разбивка_по_щитам!B538</f>
        <v/>
      </c>
      <c r="C533" s="20">
        <f>Разбивка_по_щитам!C538</f>
      </c>
      <c r="D533" s="20">
        <f>Разбивка_по_щитам!F538</f>
      </c>
      <c r="E533" s="20">
        <f>Разбивка_по_щитам!H538</f>
      </c>
      <c r="F533" s="20">
        <f>Разбивка_по_щитам!I538</f>
      </c>
      <c r="G533" s="20">
        <f>Разбивка_по_щитам!J538</f>
        <v/>
      </c>
      <c r="H533" s="20">
        <f>Разбивка_по_щитам!K538</f>
        <v/>
      </c>
      <c r="I533" s="20">
        <f>Разбивка_по_щитам!L538</f>
        <v/>
      </c>
      <c r="J533" s="20">
        <f>Разбивка_по_щитам!M538</f>
        <v/>
      </c>
      <c r="K533" s="20">
        <f>Разбивка_по_щитам!N538</f>
        <v/>
      </c>
      <c r="L533" s="20"/>
      <c r="M533" s="20">
        <f>Разбивка_по_щитам!P538</f>
        <v/>
      </c>
      <c r="N533" s="20"/>
    </row>
    <row r="534" spans="2:14" x14ac:dyDescent="0.25">
      <c r="B534" s="20">
        <f>Разбивка_по_щитам!B539</f>
        <v/>
      </c>
      <c r="C534" s="20">
        <f>Разбивка_по_щитам!C539</f>
      </c>
      <c r="D534" s="20">
        <f>Разбивка_по_щитам!F539</f>
      </c>
      <c r="E534" s="20">
        <f>Разбивка_по_щитам!H539</f>
      </c>
      <c r="F534" s="20">
        <f>Разбивка_по_щитам!I539</f>
      </c>
      <c r="G534" s="20">
        <f>Разбивка_по_щитам!J539</f>
        <v/>
      </c>
      <c r="H534" s="20">
        <f>Разбивка_по_щитам!K539</f>
        <v/>
      </c>
      <c r="I534" s="20">
        <f>Разбивка_по_щитам!L539</f>
        <v/>
      </c>
      <c r="J534" s="20">
        <f>Разбивка_по_щитам!M539</f>
        <v/>
      </c>
      <c r="K534" s="20">
        <f>Разбивка_по_щитам!N539</f>
        <v/>
      </c>
      <c r="L534" s="20"/>
      <c r="M534" s="20">
        <f>Разбивка_по_щитам!P539</f>
        <v/>
      </c>
      <c r="N534" s="20"/>
    </row>
    <row r="535" spans="2:14" x14ac:dyDescent="0.25">
      <c r="B535" s="20">
        <f>Разбивка_по_щитам!B540</f>
        <v/>
      </c>
      <c r="C535" s="20">
        <f>Разбивка_по_щитам!C540</f>
      </c>
      <c r="D535" s="20">
        <f>Разбивка_по_щитам!F540</f>
      </c>
      <c r="E535" s="20">
        <f>Разбивка_по_щитам!H540</f>
      </c>
      <c r="F535" s="20">
        <f>Разбивка_по_щитам!I540</f>
      </c>
      <c r="G535" s="20">
        <f>Разбивка_по_щитам!J540</f>
        <v/>
      </c>
      <c r="H535" s="20">
        <f>Разбивка_по_щитам!K540</f>
        <v/>
      </c>
      <c r="I535" s="20">
        <f>Разбивка_по_щитам!L540</f>
        <v/>
      </c>
      <c r="J535" s="20">
        <f>Разбивка_по_щитам!M540</f>
        <v/>
      </c>
      <c r="K535" s="20">
        <f>Разбивка_по_щитам!N540</f>
        <v/>
      </c>
      <c r="L535" s="20"/>
      <c r="M535" s="20">
        <f>Разбивка_по_щитам!P540</f>
        <v/>
      </c>
      <c r="N535" s="20"/>
    </row>
    <row r="536" spans="2:14" x14ac:dyDescent="0.25">
      <c r="B536" s="20">
        <f>Разбивка_по_щитам!B541</f>
        <v/>
      </c>
      <c r="C536" s="20">
        <f>Разбивка_по_щитам!C541</f>
      </c>
      <c r="D536" s="20">
        <f>Разбивка_по_щитам!F541</f>
      </c>
      <c r="E536" s="20">
        <f>Разбивка_по_щитам!H541</f>
      </c>
      <c r="F536" s="20">
        <f>Разбивка_по_щитам!I541</f>
      </c>
      <c r="G536" s="20">
        <f>Разбивка_по_щитам!J541</f>
        <v/>
      </c>
      <c r="H536" s="20">
        <f>Разбивка_по_щитам!K541</f>
        <v/>
      </c>
      <c r="I536" s="20">
        <f>Разбивка_по_щитам!L541</f>
        <v/>
      </c>
      <c r="J536" s="20">
        <f>Разбивка_по_щитам!M541</f>
        <v/>
      </c>
      <c r="K536" s="20">
        <f>Разбивка_по_щитам!N541</f>
        <v/>
      </c>
      <c r="L536" s="20"/>
      <c r="M536" s="20">
        <f>Разбивка_по_щитам!P541</f>
        <v/>
      </c>
      <c r="N536" s="20"/>
    </row>
    <row r="537" spans="2:14" x14ac:dyDescent="0.25">
      <c r="B537" s="20">
        <f>Разбивка_по_щитам!B542</f>
        <v/>
      </c>
      <c r="C537" s="20">
        <f>Разбивка_по_щитам!C542</f>
      </c>
      <c r="D537" s="20">
        <f>Разбивка_по_щитам!F542</f>
      </c>
      <c r="E537" s="20">
        <f>Разбивка_по_щитам!H542</f>
      </c>
      <c r="F537" s="20">
        <f>Разбивка_по_щитам!I542</f>
      </c>
      <c r="G537" s="20">
        <f>Разбивка_по_щитам!J542</f>
        <v/>
      </c>
      <c r="H537" s="20">
        <f>Разбивка_по_щитам!K542</f>
        <v/>
      </c>
      <c r="I537" s="20">
        <f>Разбивка_по_щитам!L542</f>
        <v/>
      </c>
      <c r="J537" s="20">
        <f>Разбивка_по_щитам!M542</f>
        <v/>
      </c>
      <c r="K537" s="20">
        <f>Разбивка_по_щитам!N542</f>
        <v/>
      </c>
      <c r="L537" s="20"/>
      <c r="M537" s="20">
        <f>Разбивка_по_щитам!P542</f>
        <v/>
      </c>
      <c r="N537" s="20"/>
    </row>
    <row r="538" spans="2:14" x14ac:dyDescent="0.25">
      <c r="B538" s="20">
        <f>Разбивка_по_щитам!B543</f>
        <v/>
      </c>
      <c r="C538" s="20">
        <f>Разбивка_по_щитам!C543</f>
      </c>
      <c r="D538" s="20">
        <f>Разбивка_по_щитам!F543</f>
      </c>
      <c r="E538" s="20">
        <f>Разбивка_по_щитам!H543</f>
      </c>
      <c r="F538" s="20">
        <f>Разбивка_по_щитам!I543</f>
      </c>
      <c r="G538" s="20">
        <f>Разбивка_по_щитам!J543</f>
        <v/>
      </c>
      <c r="H538" s="20">
        <f>Разбивка_по_щитам!K543</f>
        <v/>
      </c>
      <c r="I538" s="20">
        <f>Разбивка_по_щитам!L543</f>
        <v/>
      </c>
      <c r="J538" s="20">
        <f>Разбивка_по_щитам!M543</f>
        <v/>
      </c>
      <c r="K538" s="20">
        <f>Разбивка_по_щитам!N543</f>
        <v/>
      </c>
      <c r="L538" s="20"/>
      <c r="M538" s="20">
        <f>Разбивка_по_щитам!P543</f>
        <v/>
      </c>
      <c r="N538" s="20"/>
    </row>
    <row r="539" spans="2:14" x14ac:dyDescent="0.25">
      <c r="B539" s="20">
        <f>Разбивка_по_щитам!B544</f>
        <v/>
      </c>
      <c r="C539" s="20">
        <f>Разбивка_по_щитам!C544</f>
      </c>
      <c r="D539" s="20">
        <f>Разбивка_по_щитам!F544</f>
      </c>
      <c r="E539" s="20">
        <f>Разбивка_по_щитам!H544</f>
      </c>
      <c r="F539" s="20">
        <f>Разбивка_по_щитам!I544</f>
      </c>
      <c r="G539" s="20">
        <f>Разбивка_по_щитам!J544</f>
        <v/>
      </c>
      <c r="H539" s="20">
        <f>Разбивка_по_щитам!K544</f>
        <v/>
      </c>
      <c r="I539" s="20">
        <f>Разбивка_по_щитам!L544</f>
        <v/>
      </c>
      <c r="J539" s="20">
        <f>Разбивка_по_щитам!M544</f>
        <v/>
      </c>
      <c r="K539" s="20">
        <f>Разбивка_по_щитам!N544</f>
        <v/>
      </c>
      <c r="L539" s="20"/>
      <c r="M539" s="20">
        <f>Разбивка_по_щитам!P544</f>
        <v/>
      </c>
      <c r="N539" s="20"/>
    </row>
    <row r="540" spans="2:14" x14ac:dyDescent="0.25">
      <c r="B540" s="20">
        <f>Разбивка_по_щитам!B545</f>
        <v/>
      </c>
      <c r="C540" s="20">
        <f>Разбивка_по_щитам!C545</f>
      </c>
      <c r="D540" s="20">
        <f>Разбивка_по_щитам!F545</f>
      </c>
      <c r="E540" s="20">
        <f>Разбивка_по_щитам!H545</f>
      </c>
      <c r="F540" s="20">
        <f>Разбивка_по_щитам!I545</f>
      </c>
      <c r="G540" s="20">
        <f>Разбивка_по_щитам!J545</f>
        <v/>
      </c>
      <c r="H540" s="20">
        <f>Разбивка_по_щитам!K545</f>
        <v/>
      </c>
      <c r="I540" s="20">
        <f>Разбивка_по_щитам!L545</f>
        <v/>
      </c>
      <c r="J540" s="20">
        <f>Разбивка_по_щитам!M545</f>
        <v/>
      </c>
      <c r="K540" s="20">
        <f>Разбивка_по_щитам!N545</f>
        <v/>
      </c>
      <c r="L540" s="20"/>
      <c r="M540" s="20">
        <f>Разбивка_по_щитам!P545</f>
        <v/>
      </c>
      <c r="N540" s="20"/>
    </row>
    <row r="541" spans="2:14" x14ac:dyDescent="0.25">
      <c r="B541" s="20">
        <f>Разбивка_по_щитам!B546</f>
        <v/>
      </c>
      <c r="C541" s="20">
        <f>Разбивка_по_щитам!C546</f>
      </c>
      <c r="D541" s="20">
        <f>Разбивка_по_щитам!F546</f>
      </c>
      <c r="E541" s="20">
        <f>Разбивка_по_щитам!H546</f>
      </c>
      <c r="F541" s="20">
        <f>Разбивка_по_щитам!I546</f>
      </c>
      <c r="G541" s="20">
        <f>Разбивка_по_щитам!J546</f>
        <v/>
      </c>
      <c r="H541" s="20">
        <f>Разбивка_по_щитам!K546</f>
        <v/>
      </c>
      <c r="I541" s="20">
        <f>Разбивка_по_щитам!L546</f>
        <v/>
      </c>
      <c r="J541" s="20">
        <f>Разбивка_по_щитам!M546</f>
        <v/>
      </c>
      <c r="K541" s="20">
        <f>Разбивка_по_щитам!N546</f>
        <v/>
      </c>
      <c r="L541" s="20"/>
      <c r="M541" s="20">
        <f>Разбивка_по_щитам!P546</f>
        <v/>
      </c>
      <c r="N541" s="20"/>
    </row>
    <row r="542" spans="2:14" x14ac:dyDescent="0.25">
      <c r="B542" s="20">
        <f>Разбивка_по_щитам!B547</f>
        <v/>
      </c>
      <c r="C542" s="20">
        <f>Разбивка_по_щитам!C547</f>
      </c>
      <c r="D542" s="20">
        <f>Разбивка_по_щитам!F547</f>
      </c>
      <c r="E542" s="20">
        <f>Разбивка_по_щитам!H547</f>
      </c>
      <c r="F542" s="20">
        <f>Разбивка_по_щитам!I547</f>
      </c>
      <c r="G542" s="20">
        <f>Разбивка_по_щитам!J547</f>
        <v/>
      </c>
      <c r="H542" s="20">
        <f>Разбивка_по_щитам!K547</f>
        <v/>
      </c>
      <c r="I542" s="20">
        <f>Разбивка_по_щитам!L547</f>
        <v/>
      </c>
      <c r="J542" s="20">
        <f>Разбивка_по_щитам!M547</f>
        <v/>
      </c>
      <c r="K542" s="20">
        <f>Разбивка_по_щитам!N547</f>
        <v/>
      </c>
      <c r="L542" s="20"/>
      <c r="M542" s="20">
        <f>Разбивка_по_щитам!P547</f>
        <v/>
      </c>
      <c r="N542" s="20"/>
    </row>
    <row r="543" spans="2:14" x14ac:dyDescent="0.25">
      <c r="B543" s="20">
        <f>Разбивка_по_щитам!B548</f>
        <v/>
      </c>
      <c r="C543" s="20">
        <f>Разбивка_по_щитам!C548</f>
      </c>
      <c r="D543" s="20">
        <f>Разбивка_по_щитам!F548</f>
      </c>
      <c r="E543" s="20">
        <f>Разбивка_по_щитам!H548</f>
      </c>
      <c r="F543" s="20">
        <f>Разбивка_по_щитам!I548</f>
      </c>
      <c r="G543" s="20">
        <f>Разбивка_по_щитам!J548</f>
        <v/>
      </c>
      <c r="H543" s="20">
        <f>Разбивка_по_щитам!K548</f>
        <v/>
      </c>
      <c r="I543" s="20">
        <f>Разбивка_по_щитам!L548</f>
        <v/>
      </c>
      <c r="J543" s="20">
        <f>Разбивка_по_щитам!M548</f>
        <v/>
      </c>
      <c r="K543" s="20">
        <f>Разбивка_по_щитам!N548</f>
        <v/>
      </c>
      <c r="L543" s="20"/>
      <c r="M543" s="20">
        <f>Разбивка_по_щитам!P548</f>
        <v/>
      </c>
      <c r="N543" s="20"/>
    </row>
    <row r="544" spans="2:14" x14ac:dyDescent="0.25">
      <c r="B544" s="20">
        <f>Разбивка_по_щитам!B549</f>
        <v/>
      </c>
      <c r="C544" s="20">
        <f>Разбивка_по_щитам!C549</f>
      </c>
      <c r="D544" s="20">
        <f>Разбивка_по_щитам!F549</f>
      </c>
      <c r="E544" s="20">
        <f>Разбивка_по_щитам!H549</f>
      </c>
      <c r="F544" s="20">
        <f>Разбивка_по_щитам!I549</f>
      </c>
      <c r="G544" s="20">
        <f>Разбивка_по_щитам!J549</f>
        <v/>
      </c>
      <c r="H544" s="20">
        <f>Разбивка_по_щитам!K549</f>
        <v/>
      </c>
      <c r="I544" s="20">
        <f>Разбивка_по_щитам!L549</f>
        <v/>
      </c>
      <c r="J544" s="20">
        <f>Разбивка_по_щитам!M549</f>
        <v/>
      </c>
      <c r="K544" s="20">
        <f>Разбивка_по_щитам!N549</f>
        <v/>
      </c>
      <c r="L544" s="20"/>
      <c r="M544" s="20">
        <f>Разбивка_по_щитам!P549</f>
        <v/>
      </c>
      <c r="N544" s="20"/>
    </row>
    <row r="545" spans="2:14" x14ac:dyDescent="0.25">
      <c r="B545" s="20">
        <f>Разбивка_по_щитам!B550</f>
        <v/>
      </c>
      <c r="C545" s="20">
        <f>Разбивка_по_щитам!C550</f>
      </c>
      <c r="D545" s="20">
        <f>Разбивка_по_щитам!F550</f>
      </c>
      <c r="E545" s="20">
        <f>Разбивка_по_щитам!H550</f>
      </c>
      <c r="F545" s="20">
        <f>Разбивка_по_щитам!I550</f>
      </c>
      <c r="G545" s="20">
        <f>Разбивка_по_щитам!J550</f>
        <v/>
      </c>
      <c r="H545" s="20">
        <f>Разбивка_по_щитам!K550</f>
        <v/>
      </c>
      <c r="I545" s="20">
        <f>Разбивка_по_щитам!L550</f>
        <v/>
      </c>
      <c r="J545" s="20">
        <f>Разбивка_по_щитам!M550</f>
        <v/>
      </c>
      <c r="K545" s="20">
        <f>Разбивка_по_щитам!N550</f>
        <v/>
      </c>
      <c r="L545" s="20"/>
      <c r="M545" s="20">
        <f>Разбивка_по_щитам!P550</f>
        <v/>
      </c>
      <c r="N545" s="20"/>
    </row>
    <row r="546" spans="2:14" x14ac:dyDescent="0.25">
      <c r="B546" s="20">
        <f>Разбивка_по_щитам!B551</f>
        <v/>
      </c>
      <c r="C546" s="20">
        <f>Разбивка_по_щитам!C551</f>
      </c>
      <c r="D546" s="20">
        <f>Разбивка_по_щитам!F551</f>
      </c>
      <c r="E546" s="20">
        <f>Разбивка_по_щитам!H551</f>
      </c>
      <c r="F546" s="20">
        <f>Разбивка_по_щитам!I551</f>
      </c>
      <c r="G546" s="20">
        <f>Разбивка_по_щитам!J551</f>
        <v/>
      </c>
      <c r="H546" s="20">
        <f>Разбивка_по_щитам!K551</f>
        <v/>
      </c>
      <c r="I546" s="20">
        <f>Разбивка_по_щитам!L551</f>
        <v/>
      </c>
      <c r="J546" s="20">
        <f>Разбивка_по_щитам!M551</f>
        <v/>
      </c>
      <c r="K546" s="20">
        <f>Разбивка_по_щитам!N551</f>
        <v/>
      </c>
      <c r="L546" s="20"/>
      <c r="M546" s="20">
        <f>Разбивка_по_щитам!P551</f>
        <v/>
      </c>
      <c r="N546" s="20"/>
    </row>
    <row r="547" spans="2:14" x14ac:dyDescent="0.25">
      <c r="B547" s="20">
        <f>Разбивка_по_щитам!B552</f>
        <v/>
      </c>
      <c r="C547" s="20">
        <f>Разбивка_по_щитам!C552</f>
      </c>
      <c r="D547" s="20">
        <f>Разбивка_по_щитам!F552</f>
      </c>
      <c r="E547" s="20">
        <f>Разбивка_по_щитам!H552</f>
      </c>
      <c r="F547" s="20">
        <f>Разбивка_по_щитам!I552</f>
      </c>
      <c r="G547" s="20">
        <f>Разбивка_по_щитам!J552</f>
        <v/>
      </c>
      <c r="H547" s="20">
        <f>Разбивка_по_щитам!K552</f>
        <v/>
      </c>
      <c r="I547" s="20">
        <f>Разбивка_по_щитам!L552</f>
        <v/>
      </c>
      <c r="J547" s="20">
        <f>Разбивка_по_щитам!M552</f>
        <v/>
      </c>
      <c r="K547" s="20">
        <f>Разбивка_по_щитам!N552</f>
        <v/>
      </c>
      <c r="L547" s="20"/>
      <c r="M547" s="20">
        <f>Разбивка_по_щитам!P552</f>
        <v/>
      </c>
      <c r="N547" s="20"/>
    </row>
    <row r="548" spans="2:14" x14ac:dyDescent="0.25">
      <c r="B548" s="20">
        <f>Разбивка_по_щитам!B553</f>
        <v/>
      </c>
      <c r="C548" s="20">
        <f>Разбивка_по_щитам!C553</f>
      </c>
      <c r="D548" s="20">
        <f>Разбивка_по_щитам!F553</f>
      </c>
      <c r="E548" s="20">
        <f>Разбивка_по_щитам!H553</f>
      </c>
      <c r="F548" s="20">
        <f>Разбивка_по_щитам!I553</f>
      </c>
      <c r="G548" s="20">
        <f>Разбивка_по_щитам!J553</f>
        <v/>
      </c>
      <c r="H548" s="20">
        <f>Разбивка_по_щитам!K553</f>
        <v/>
      </c>
      <c r="I548" s="20">
        <f>Разбивка_по_щитам!L553</f>
        <v/>
      </c>
      <c r="J548" s="20">
        <f>Разбивка_по_щитам!M553</f>
        <v/>
      </c>
      <c r="K548" s="20">
        <f>Разбивка_по_щитам!N553</f>
        <v/>
      </c>
      <c r="L548" s="20"/>
      <c r="M548" s="20">
        <f>Разбивка_по_щитам!P553</f>
        <v/>
      </c>
      <c r="N548" s="20"/>
    </row>
    <row r="549" spans="2:14" x14ac:dyDescent="0.25">
      <c r="B549" s="20">
        <f>Разбивка_по_щитам!B554</f>
        <v/>
      </c>
      <c r="C549" s="20">
        <f>Разбивка_по_щитам!C554</f>
      </c>
      <c r="D549" s="20">
        <f>Разбивка_по_щитам!F554</f>
      </c>
      <c r="E549" s="20">
        <f>Разбивка_по_щитам!H554</f>
      </c>
      <c r="F549" s="20">
        <f>Разбивка_по_щитам!I554</f>
      </c>
      <c r="G549" s="20">
        <f>Разбивка_по_щитам!J554</f>
        <v/>
      </c>
      <c r="H549" s="20">
        <f>Разбивка_по_щитам!K554</f>
        <v/>
      </c>
      <c r="I549" s="20">
        <f>Разбивка_по_щитам!L554</f>
        <v/>
      </c>
      <c r="J549" s="20">
        <f>Разбивка_по_щитам!M554</f>
        <v/>
      </c>
      <c r="K549" s="20">
        <f>Разбивка_по_щитам!N554</f>
        <v/>
      </c>
      <c r="L549" s="20"/>
      <c r="M549" s="20">
        <f>Разбивка_по_щитам!P554</f>
        <v/>
      </c>
      <c r="N549" s="20"/>
    </row>
    <row r="550" spans="2:14" x14ac:dyDescent="0.25">
      <c r="B550" s="20">
        <f>Разбивка_по_щитам!B555</f>
        <v/>
      </c>
      <c r="C550" s="20">
        <f>Разбивка_по_щитам!C555</f>
      </c>
      <c r="D550" s="20">
        <f>Разбивка_по_щитам!F555</f>
      </c>
      <c r="E550" s="20">
        <f>Разбивка_по_щитам!H555</f>
      </c>
      <c r="F550" s="20">
        <f>Разбивка_по_щитам!I555</f>
      </c>
      <c r="G550" s="20">
        <f>Разбивка_по_щитам!J555</f>
        <v/>
      </c>
      <c r="H550" s="20">
        <f>Разбивка_по_щитам!K555</f>
        <v/>
      </c>
      <c r="I550" s="20">
        <f>Разбивка_по_щитам!L555</f>
        <v/>
      </c>
      <c r="J550" s="20">
        <f>Разбивка_по_щитам!M555</f>
        <v/>
      </c>
      <c r="K550" s="20">
        <f>Разбивка_по_щитам!N555</f>
        <v/>
      </c>
      <c r="L550" s="20"/>
      <c r="M550" s="20">
        <f>Разбивка_по_щитам!P555</f>
        <v/>
      </c>
      <c r="N550" s="20"/>
    </row>
    <row r="551" spans="2:14" x14ac:dyDescent="0.25">
      <c r="B551" s="20">
        <f>Разбивка_по_щитам!B556</f>
        <v/>
      </c>
      <c r="C551" s="20">
        <f>Разбивка_по_щитам!C556</f>
      </c>
      <c r="D551" s="20">
        <f>Разбивка_по_щитам!F556</f>
      </c>
      <c r="E551" s="20">
        <f>Разбивка_по_щитам!H556</f>
      </c>
      <c r="F551" s="20">
        <f>Разбивка_по_щитам!I556</f>
      </c>
      <c r="G551" s="20">
        <f>Разбивка_по_щитам!J556</f>
        <v/>
      </c>
      <c r="H551" s="20">
        <f>Разбивка_по_щитам!K556</f>
        <v/>
      </c>
      <c r="I551" s="20">
        <f>Разбивка_по_щитам!L556</f>
        <v/>
      </c>
      <c r="J551" s="20">
        <f>Разбивка_по_щитам!M556</f>
        <v/>
      </c>
      <c r="K551" s="20">
        <f>Разбивка_по_щитам!N556</f>
        <v/>
      </c>
      <c r="L551" s="20"/>
      <c r="M551" s="20">
        <f>Разбивка_по_щитам!P556</f>
        <v/>
      </c>
      <c r="N551" s="20"/>
    </row>
    <row r="552" spans="2:14" x14ac:dyDescent="0.25">
      <c r="B552" s="20">
        <f>Разбивка_по_щитам!B557</f>
        <v/>
      </c>
      <c r="C552" s="20">
        <f>Разбивка_по_щитам!C557</f>
      </c>
      <c r="D552" s="20">
        <f>Разбивка_по_щитам!F557</f>
      </c>
      <c r="E552" s="20">
        <f>Разбивка_по_щитам!H557</f>
      </c>
      <c r="F552" s="20">
        <f>Разбивка_по_щитам!I557</f>
      </c>
      <c r="G552" s="20">
        <f>Разбивка_по_щитам!J557</f>
        <v/>
      </c>
      <c r="H552" s="20">
        <f>Разбивка_по_щитам!K557</f>
        <v/>
      </c>
      <c r="I552" s="20">
        <f>Разбивка_по_щитам!L557</f>
        <v/>
      </c>
      <c r="J552" s="20">
        <f>Разбивка_по_щитам!M557</f>
        <v/>
      </c>
      <c r="K552" s="20">
        <f>Разбивка_по_щитам!N557</f>
        <v/>
      </c>
      <c r="L552" s="20"/>
      <c r="M552" s="20">
        <f>Разбивка_по_щитам!P557</f>
        <v/>
      </c>
      <c r="N552" s="20"/>
    </row>
    <row r="553" spans="2:14" x14ac:dyDescent="0.25">
      <c r="B553" s="20">
        <f>Разбивка_по_щитам!B558</f>
        <v/>
      </c>
      <c r="C553" s="20">
        <f>Разбивка_по_щитам!C558</f>
      </c>
      <c r="D553" s="20">
        <f>Разбивка_по_щитам!F558</f>
      </c>
      <c r="E553" s="20">
        <f>Разбивка_по_щитам!H558</f>
      </c>
      <c r="F553" s="20">
        <f>Разбивка_по_щитам!I558</f>
      </c>
      <c r="G553" s="20">
        <f>Разбивка_по_щитам!J558</f>
        <v/>
      </c>
      <c r="H553" s="20">
        <f>Разбивка_по_щитам!K558</f>
        <v/>
      </c>
      <c r="I553" s="20">
        <f>Разбивка_по_щитам!L558</f>
        <v/>
      </c>
      <c r="J553" s="20">
        <f>Разбивка_по_щитам!M558</f>
        <v/>
      </c>
      <c r="K553" s="20">
        <f>Разбивка_по_щитам!N558</f>
        <v/>
      </c>
      <c r="L553" s="20"/>
      <c r="M553" s="20">
        <f>Разбивка_по_щитам!P558</f>
        <v/>
      </c>
      <c r="N553" s="20"/>
    </row>
    <row r="554" spans="2:14" x14ac:dyDescent="0.25">
      <c r="B554" s="20">
        <f>Разбивка_по_щитам!B559</f>
        <v/>
      </c>
      <c r="C554" s="20">
        <f>Разбивка_по_щитам!C559</f>
      </c>
      <c r="D554" s="20">
        <f>Разбивка_по_щитам!F559</f>
      </c>
      <c r="E554" s="20">
        <f>Разбивка_по_щитам!H559</f>
      </c>
      <c r="F554" s="20">
        <f>Разбивка_по_щитам!I559</f>
      </c>
      <c r="G554" s="20">
        <f>Разбивка_по_щитам!J559</f>
        <v/>
      </c>
      <c r="H554" s="20">
        <f>Разбивка_по_щитам!K559</f>
        <v/>
      </c>
      <c r="I554" s="20">
        <f>Разбивка_по_щитам!L559</f>
        <v/>
      </c>
      <c r="J554" s="20">
        <f>Разбивка_по_щитам!M559</f>
        <v/>
      </c>
      <c r="K554" s="20">
        <f>Разбивка_по_щитам!N559</f>
        <v/>
      </c>
      <c r="L554" s="20"/>
      <c r="M554" s="20">
        <f>Разбивка_по_щитам!P559</f>
        <v/>
      </c>
      <c r="N554" s="20"/>
    </row>
    <row r="555" spans="2:14" x14ac:dyDescent="0.25">
      <c r="B555" s="20">
        <f>Разбивка_по_щитам!B560</f>
        <v/>
      </c>
      <c r="C555" s="20">
        <f>Разбивка_по_щитам!C560</f>
      </c>
      <c r="D555" s="20">
        <f>Разбивка_по_щитам!F560</f>
      </c>
      <c r="E555" s="20">
        <f>Разбивка_по_щитам!H560</f>
      </c>
      <c r="F555" s="20">
        <f>Разбивка_по_щитам!I560</f>
      </c>
      <c r="G555" s="20">
        <f>Разбивка_по_щитам!J560</f>
        <v/>
      </c>
      <c r="H555" s="20">
        <f>Разбивка_по_щитам!K560</f>
        <v/>
      </c>
      <c r="I555" s="20">
        <f>Разбивка_по_щитам!L560</f>
        <v/>
      </c>
      <c r="J555" s="20">
        <f>Разбивка_по_щитам!M560</f>
        <v/>
      </c>
      <c r="K555" s="20">
        <f>Разбивка_по_щитам!N560</f>
        <v/>
      </c>
      <c r="L555" s="20"/>
      <c r="M555" s="20">
        <f>Разбивка_по_щитам!P560</f>
        <v/>
      </c>
      <c r="N555" s="20"/>
    </row>
    <row r="556" spans="2:14" x14ac:dyDescent="0.25">
      <c r="B556" s="20">
        <f>Разбивка_по_щитам!B561</f>
        <v/>
      </c>
      <c r="C556" s="20">
        <f>Разбивка_по_щитам!C561</f>
      </c>
      <c r="D556" s="20">
        <f>Разбивка_по_щитам!F561</f>
      </c>
      <c r="E556" s="20">
        <f>Разбивка_по_щитам!H561</f>
      </c>
      <c r="F556" s="20">
        <f>Разбивка_по_щитам!I561</f>
      </c>
      <c r="G556" s="20">
        <f>Разбивка_по_щитам!J561</f>
        <v/>
      </c>
      <c r="H556" s="20">
        <f>Разбивка_по_щитам!K561</f>
        <v/>
      </c>
      <c r="I556" s="20">
        <f>Разбивка_по_щитам!L561</f>
        <v/>
      </c>
      <c r="J556" s="20">
        <f>Разбивка_по_щитам!M561</f>
        <v/>
      </c>
      <c r="K556" s="20">
        <f>Разбивка_по_щитам!N561</f>
        <v/>
      </c>
      <c r="L556" s="20"/>
      <c r="M556" s="20">
        <f>Разбивка_по_щитам!P561</f>
        <v/>
      </c>
      <c r="N556" s="20"/>
    </row>
    <row r="557" spans="2:14" x14ac:dyDescent="0.25">
      <c r="B557" s="20">
        <f>Разбивка_по_щитам!B562</f>
        <v/>
      </c>
      <c r="C557" s="20">
        <f>Разбивка_по_щитам!C562</f>
      </c>
      <c r="D557" s="20">
        <f>Разбивка_по_щитам!F562</f>
      </c>
      <c r="E557" s="20">
        <f>Разбивка_по_щитам!H562</f>
      </c>
      <c r="F557" s="20">
        <f>Разбивка_по_щитам!I562</f>
      </c>
      <c r="G557" s="20">
        <f>Разбивка_по_щитам!J562</f>
        <v/>
      </c>
      <c r="H557" s="20">
        <f>Разбивка_по_щитам!K562</f>
        <v/>
      </c>
      <c r="I557" s="20">
        <f>Разбивка_по_щитам!L562</f>
        <v/>
      </c>
      <c r="J557" s="20">
        <f>Разбивка_по_щитам!M562</f>
        <v/>
      </c>
      <c r="K557" s="20">
        <f>Разбивка_по_щитам!N562</f>
        <v/>
      </c>
      <c r="L557" s="20"/>
      <c r="M557" s="20">
        <f>Разбивка_по_щитам!P562</f>
        <v/>
      </c>
      <c r="N557" s="20"/>
    </row>
    <row r="558" spans="2:14" x14ac:dyDescent="0.25">
      <c r="B558" s="20">
        <f>Разбивка_по_щитам!B563</f>
        <v/>
      </c>
      <c r="C558" s="20">
        <f>Разбивка_по_щитам!C563</f>
      </c>
      <c r="D558" s="20">
        <f>Разбивка_по_щитам!F563</f>
      </c>
      <c r="E558" s="20">
        <f>Разбивка_по_щитам!H563</f>
      </c>
      <c r="F558" s="20">
        <f>Разбивка_по_щитам!I563</f>
      </c>
      <c r="G558" s="20">
        <f>Разбивка_по_щитам!J563</f>
        <v/>
      </c>
      <c r="H558" s="20">
        <f>Разбивка_по_щитам!K563</f>
        <v/>
      </c>
      <c r="I558" s="20">
        <f>Разбивка_по_щитам!L563</f>
        <v/>
      </c>
      <c r="J558" s="20">
        <f>Разбивка_по_щитам!M563</f>
        <v/>
      </c>
      <c r="K558" s="20">
        <f>Разбивка_по_щитам!N563</f>
        <v/>
      </c>
      <c r="L558" s="20"/>
      <c r="M558" s="20">
        <f>Разбивка_по_щитам!P563</f>
        <v/>
      </c>
      <c r="N558" s="20"/>
    </row>
    <row r="559" spans="2:14" x14ac:dyDescent="0.25">
      <c r="B559" s="20">
        <f>Разбивка_по_щитам!B564</f>
        <v/>
      </c>
      <c r="C559" s="20">
        <f>Разбивка_по_щитам!C564</f>
      </c>
      <c r="D559" s="20">
        <f>Разбивка_по_щитам!F564</f>
      </c>
      <c r="E559" s="20">
        <f>Разбивка_по_щитам!H564</f>
      </c>
      <c r="F559" s="20">
        <f>Разбивка_по_щитам!I564</f>
      </c>
      <c r="G559" s="20">
        <f>Разбивка_по_щитам!J564</f>
        <v/>
      </c>
      <c r="H559" s="20">
        <f>Разбивка_по_щитам!K564</f>
        <v/>
      </c>
      <c r="I559" s="20">
        <f>Разбивка_по_щитам!L564</f>
        <v/>
      </c>
      <c r="J559" s="20">
        <f>Разбивка_по_щитам!M564</f>
        <v/>
      </c>
      <c r="K559" s="20">
        <f>Разбивка_по_щитам!N564</f>
        <v/>
      </c>
      <c r="L559" s="20"/>
      <c r="M559" s="20">
        <f>Разбивка_по_щитам!P564</f>
        <v/>
      </c>
      <c r="N559" s="20"/>
    </row>
    <row r="560" spans="2:14" x14ac:dyDescent="0.25">
      <c r="B560" s="20">
        <f>Разбивка_по_щитам!B565</f>
        <v/>
      </c>
      <c r="C560" s="20">
        <f>Разбивка_по_щитам!C565</f>
      </c>
      <c r="D560" s="20">
        <f>Разбивка_по_щитам!F565</f>
      </c>
      <c r="E560" s="20">
        <f>Разбивка_по_щитам!H565</f>
      </c>
      <c r="F560" s="20">
        <f>Разбивка_по_щитам!I565</f>
      </c>
      <c r="G560" s="20">
        <f>Разбивка_по_щитам!J565</f>
        <v/>
      </c>
      <c r="H560" s="20">
        <f>Разбивка_по_щитам!K565</f>
        <v/>
      </c>
      <c r="I560" s="20">
        <f>Разбивка_по_щитам!L565</f>
        <v/>
      </c>
      <c r="J560" s="20">
        <f>Разбивка_по_щитам!M565</f>
        <v/>
      </c>
      <c r="K560" s="20">
        <f>Разбивка_по_щитам!N565</f>
        <v/>
      </c>
      <c r="L560" s="20"/>
      <c r="M560" s="20">
        <f>Разбивка_по_щитам!P565</f>
        <v/>
      </c>
      <c r="N560" s="20"/>
    </row>
    <row r="561" spans="2:14" x14ac:dyDescent="0.25">
      <c r="B561" s="20">
        <f>Разбивка_по_щитам!B566</f>
        <v/>
      </c>
      <c r="C561" s="20">
        <f>Разбивка_по_щитам!C566</f>
      </c>
      <c r="D561" s="20">
        <f>Разбивка_по_щитам!F566</f>
      </c>
      <c r="E561" s="20">
        <f>Разбивка_по_щитам!H566</f>
      </c>
      <c r="F561" s="20">
        <f>Разбивка_по_щитам!I566</f>
      </c>
      <c r="G561" s="20">
        <f>Разбивка_по_щитам!J566</f>
        <v/>
      </c>
      <c r="H561" s="20">
        <f>Разбивка_по_щитам!K566</f>
        <v/>
      </c>
      <c r="I561" s="20">
        <f>Разбивка_по_щитам!L566</f>
        <v/>
      </c>
      <c r="J561" s="20">
        <f>Разбивка_по_щитам!M566</f>
        <v/>
      </c>
      <c r="K561" s="20">
        <f>Разбивка_по_щитам!N566</f>
        <v/>
      </c>
      <c r="L561" s="20"/>
      <c r="M561" s="20">
        <f>Разбивка_по_щитам!P566</f>
        <v/>
      </c>
      <c r="N561" s="20"/>
    </row>
    <row r="562" spans="2:14" x14ac:dyDescent="0.25">
      <c r="B562" s="20">
        <f>Разбивка_по_щитам!B567</f>
        <v/>
      </c>
      <c r="C562" s="20">
        <f>Разбивка_по_щитам!C567</f>
      </c>
      <c r="D562" s="20">
        <f>Разбивка_по_щитам!F567</f>
      </c>
      <c r="E562" s="20">
        <f>Разбивка_по_щитам!H567</f>
      </c>
      <c r="F562" s="20">
        <f>Разбивка_по_щитам!I567</f>
      </c>
      <c r="G562" s="20">
        <f>Разбивка_по_щитам!J567</f>
        <v/>
      </c>
      <c r="H562" s="20">
        <f>Разбивка_по_щитам!K567</f>
        <v/>
      </c>
      <c r="I562" s="20">
        <f>Разбивка_по_щитам!L567</f>
        <v/>
      </c>
      <c r="J562" s="20">
        <f>Разбивка_по_щитам!M567</f>
        <v/>
      </c>
      <c r="K562" s="20">
        <f>Разбивка_по_щитам!N567</f>
        <v/>
      </c>
      <c r="L562" s="20"/>
      <c r="M562" s="20">
        <f>Разбивка_по_щитам!P567</f>
        <v/>
      </c>
      <c r="N562" s="20"/>
    </row>
    <row r="563" spans="2:14" x14ac:dyDescent="0.25">
      <c r="B563" s="20">
        <f>Разбивка_по_щитам!B568</f>
        <v/>
      </c>
      <c r="C563" s="20">
        <f>Разбивка_по_щитам!C568</f>
      </c>
      <c r="D563" s="20">
        <f>Разбивка_по_щитам!F568</f>
      </c>
      <c r="E563" s="20">
        <f>Разбивка_по_щитам!H568</f>
      </c>
      <c r="F563" s="20">
        <f>Разбивка_по_щитам!I568</f>
      </c>
      <c r="G563" s="20">
        <f>Разбивка_по_щитам!J568</f>
        <v/>
      </c>
      <c r="H563" s="20">
        <f>Разбивка_по_щитам!K568</f>
        <v/>
      </c>
      <c r="I563" s="20">
        <f>Разбивка_по_щитам!L568</f>
        <v/>
      </c>
      <c r="J563" s="20">
        <f>Разбивка_по_щитам!M568</f>
        <v/>
      </c>
      <c r="K563" s="20">
        <f>Разбивка_по_щитам!N568</f>
        <v/>
      </c>
      <c r="L563" s="20"/>
      <c r="M563" s="20">
        <f>Разбивка_по_щитам!P568</f>
        <v/>
      </c>
      <c r="N563" s="20"/>
    </row>
    <row r="564" spans="2:14" x14ac:dyDescent="0.25">
      <c r="B564" s="20">
        <f>Разбивка_по_щитам!B569</f>
        <v/>
      </c>
      <c r="C564" s="20">
        <f>Разбивка_по_щитам!C569</f>
      </c>
      <c r="D564" s="20">
        <f>Разбивка_по_щитам!F569</f>
      </c>
      <c r="E564" s="20">
        <f>Разбивка_по_щитам!H569</f>
      </c>
      <c r="F564" s="20">
        <f>Разбивка_по_щитам!I569</f>
      </c>
      <c r="G564" s="20">
        <f>Разбивка_по_щитам!J569</f>
        <v/>
      </c>
      <c r="H564" s="20">
        <f>Разбивка_по_щитам!K569</f>
        <v/>
      </c>
      <c r="I564" s="20">
        <f>Разбивка_по_щитам!L569</f>
        <v/>
      </c>
      <c r="J564" s="20">
        <f>Разбивка_по_щитам!M569</f>
        <v/>
      </c>
      <c r="K564" s="20">
        <f>Разбивка_по_щитам!N569</f>
        <v/>
      </c>
      <c r="L564" s="20"/>
      <c r="M564" s="20">
        <f>Разбивка_по_щитам!P569</f>
        <v/>
      </c>
      <c r="N564" s="20"/>
    </row>
    <row r="565" spans="2:14" x14ac:dyDescent="0.25">
      <c r="B565" s="20">
        <f>Разбивка_по_щитам!B570</f>
        <v/>
      </c>
      <c r="C565" s="20">
        <f>Разбивка_по_щитам!C570</f>
      </c>
      <c r="D565" s="20">
        <f>Разбивка_по_щитам!F570</f>
      </c>
      <c r="E565" s="20">
        <f>Разбивка_по_щитам!H570</f>
      </c>
      <c r="F565" s="20">
        <f>Разбивка_по_щитам!I570</f>
      </c>
      <c r="G565" s="20">
        <f>Разбивка_по_щитам!J570</f>
        <v/>
      </c>
      <c r="H565" s="20">
        <f>Разбивка_по_щитам!K570</f>
        <v/>
      </c>
      <c r="I565" s="20">
        <f>Разбивка_по_щитам!L570</f>
        <v/>
      </c>
      <c r="J565" s="20">
        <f>Разбивка_по_щитам!M570</f>
        <v/>
      </c>
      <c r="K565" s="20">
        <f>Разбивка_по_щитам!N570</f>
        <v/>
      </c>
      <c r="L565" s="20"/>
      <c r="M565" s="20">
        <f>Разбивка_по_щитам!P570</f>
        <v/>
      </c>
      <c r="N565" s="20"/>
    </row>
    <row r="566" spans="2:14" x14ac:dyDescent="0.25">
      <c r="B566" s="20">
        <f>Разбивка_по_щитам!B571</f>
        <v/>
      </c>
      <c r="C566" s="20">
        <f>Разбивка_по_щитам!C571</f>
      </c>
      <c r="D566" s="20">
        <f>Разбивка_по_щитам!F571</f>
      </c>
      <c r="E566" s="20">
        <f>Разбивка_по_щитам!H571</f>
      </c>
      <c r="F566" s="20">
        <f>Разбивка_по_щитам!I571</f>
      </c>
      <c r="G566" s="20">
        <f>Разбивка_по_щитам!J571</f>
        <v/>
      </c>
      <c r="H566" s="20">
        <f>Разбивка_по_щитам!K571</f>
        <v/>
      </c>
      <c r="I566" s="20">
        <f>Разбивка_по_щитам!L571</f>
        <v/>
      </c>
      <c r="J566" s="20">
        <f>Разбивка_по_щитам!M571</f>
        <v/>
      </c>
      <c r="K566" s="20">
        <f>Разбивка_по_щитам!N571</f>
        <v/>
      </c>
      <c r="L566" s="20"/>
      <c r="M566" s="20">
        <f>Разбивка_по_щитам!P571</f>
        <v/>
      </c>
      <c r="N566" s="20"/>
    </row>
    <row r="567" spans="2:14" x14ac:dyDescent="0.25">
      <c r="B567" s="20">
        <f>Разбивка_по_щитам!B572</f>
        <v/>
      </c>
      <c r="C567" s="20">
        <f>Разбивка_по_щитам!C572</f>
      </c>
      <c r="D567" s="20">
        <f>Разбивка_по_щитам!F572</f>
      </c>
      <c r="E567" s="20">
        <f>Разбивка_по_щитам!H572</f>
      </c>
      <c r="F567" s="20">
        <f>Разбивка_по_щитам!I572</f>
      </c>
      <c r="G567" s="20">
        <f>Разбивка_по_щитам!J572</f>
        <v/>
      </c>
      <c r="H567" s="20">
        <f>Разбивка_по_щитам!K572</f>
        <v/>
      </c>
      <c r="I567" s="20">
        <f>Разбивка_по_щитам!L572</f>
        <v/>
      </c>
      <c r="J567" s="20">
        <f>Разбивка_по_щитам!M572</f>
        <v/>
      </c>
      <c r="K567" s="20">
        <f>Разбивка_по_щитам!N572</f>
        <v/>
      </c>
      <c r="L567" s="20"/>
      <c r="M567" s="20">
        <f>Разбивка_по_щитам!P572</f>
        <v/>
      </c>
      <c r="N567" s="20"/>
    </row>
    <row r="568" spans="2:14" x14ac:dyDescent="0.25">
      <c r="B568" s="20">
        <f>Разбивка_по_щитам!B573</f>
        <v/>
      </c>
      <c r="C568" s="20">
        <f>Разбивка_по_щитам!C573</f>
      </c>
      <c r="D568" s="20">
        <f>Разбивка_по_щитам!F573</f>
      </c>
      <c r="E568" s="20">
        <f>Разбивка_по_щитам!H573</f>
      </c>
      <c r="F568" s="20">
        <f>Разбивка_по_щитам!I573</f>
      </c>
      <c r="G568" s="20">
        <f>Разбивка_по_щитам!J573</f>
        <v/>
      </c>
      <c r="H568" s="20">
        <f>Разбивка_по_щитам!K573</f>
        <v/>
      </c>
      <c r="I568" s="20">
        <f>Разбивка_по_щитам!L573</f>
        <v/>
      </c>
      <c r="J568" s="20">
        <f>Разбивка_по_щитам!M573</f>
        <v/>
      </c>
      <c r="K568" s="20">
        <f>Разбивка_по_щитам!N573</f>
        <v/>
      </c>
      <c r="L568" s="20"/>
      <c r="M568" s="20">
        <f>Разбивка_по_щитам!P573</f>
        <v/>
      </c>
      <c r="N568" s="20"/>
    </row>
    <row r="569" spans="2:14" x14ac:dyDescent="0.25">
      <c r="B569" s="20">
        <f>Разбивка_по_щитам!B574</f>
        <v/>
      </c>
      <c r="C569" s="20">
        <f>Разбивка_по_щитам!C574</f>
      </c>
      <c r="D569" s="20">
        <f>Разбивка_по_щитам!F574</f>
      </c>
      <c r="E569" s="20">
        <f>Разбивка_по_щитам!H574</f>
      </c>
      <c r="F569" s="20">
        <f>Разбивка_по_щитам!I574</f>
      </c>
      <c r="G569" s="20">
        <f>Разбивка_по_щитам!J574</f>
        <v/>
      </c>
      <c r="H569" s="20">
        <f>Разбивка_по_щитам!K574</f>
        <v/>
      </c>
      <c r="I569" s="20">
        <f>Разбивка_по_щитам!L574</f>
        <v/>
      </c>
      <c r="J569" s="20">
        <f>Разбивка_по_щитам!M574</f>
        <v/>
      </c>
      <c r="K569" s="20">
        <f>Разбивка_по_щитам!N574</f>
        <v/>
      </c>
      <c r="L569" s="20"/>
      <c r="M569" s="20">
        <f>Разбивка_по_щитам!P574</f>
        <v/>
      </c>
      <c r="N569" s="20"/>
    </row>
    <row r="570" spans="2:14" x14ac:dyDescent="0.25">
      <c r="B570" s="20">
        <f>Разбивка_по_щитам!B575</f>
        <v/>
      </c>
      <c r="C570" s="20">
        <f>Разбивка_по_щитам!C575</f>
      </c>
      <c r="D570" s="20">
        <f>Разбивка_по_щитам!F575</f>
      </c>
      <c r="E570" s="20">
        <f>Разбивка_по_щитам!H575</f>
      </c>
      <c r="F570" s="20">
        <f>Разбивка_по_щитам!I575</f>
      </c>
      <c r="G570" s="20">
        <f>Разбивка_по_щитам!J575</f>
        <v/>
      </c>
      <c r="H570" s="20">
        <f>Разбивка_по_щитам!K575</f>
        <v/>
      </c>
      <c r="I570" s="20">
        <f>Разбивка_по_щитам!L575</f>
        <v/>
      </c>
      <c r="J570" s="20">
        <f>Разбивка_по_щитам!M575</f>
        <v/>
      </c>
      <c r="K570" s="20">
        <f>Разбивка_по_щитам!N575</f>
        <v/>
      </c>
      <c r="L570" s="20"/>
      <c r="M570" s="20">
        <f>Разбивка_по_щитам!P575</f>
        <v/>
      </c>
      <c r="N570" s="20"/>
    </row>
    <row r="571" spans="2:14" x14ac:dyDescent="0.25">
      <c r="B571" s="20">
        <f>Разбивка_по_щитам!B576</f>
        <v/>
      </c>
      <c r="C571" s="20">
        <f>Разбивка_по_щитам!C576</f>
      </c>
      <c r="D571" s="20">
        <f>Разбивка_по_щитам!F576</f>
      </c>
      <c r="E571" s="20">
        <f>Разбивка_по_щитам!H576</f>
      </c>
      <c r="F571" s="20">
        <f>Разбивка_по_щитам!I576</f>
      </c>
      <c r="G571" s="20">
        <f>Разбивка_по_щитам!J576</f>
        <v/>
      </c>
      <c r="H571" s="20">
        <f>Разбивка_по_щитам!K576</f>
        <v/>
      </c>
      <c r="I571" s="20">
        <f>Разбивка_по_щитам!L576</f>
        <v/>
      </c>
      <c r="J571" s="20">
        <f>Разбивка_по_щитам!M576</f>
        <v/>
      </c>
      <c r="K571" s="20">
        <f>Разбивка_по_щитам!N576</f>
        <v/>
      </c>
      <c r="L571" s="20"/>
      <c r="M571" s="20">
        <f>Разбивка_по_щитам!P576</f>
        <v/>
      </c>
      <c r="N571" s="20"/>
    </row>
    <row r="572" spans="2:14" x14ac:dyDescent="0.25">
      <c r="B572" s="20">
        <f>Разбивка_по_щитам!B577</f>
        <v/>
      </c>
      <c r="C572" s="20">
        <f>Разбивка_по_щитам!C577</f>
      </c>
      <c r="D572" s="20">
        <f>Разбивка_по_щитам!F577</f>
      </c>
      <c r="E572" s="20">
        <f>Разбивка_по_щитам!H577</f>
      </c>
      <c r="F572" s="20">
        <f>Разбивка_по_щитам!I577</f>
      </c>
      <c r="G572" s="20">
        <f>Разбивка_по_щитам!J577</f>
        <v/>
      </c>
      <c r="H572" s="20">
        <f>Разбивка_по_щитам!K577</f>
        <v/>
      </c>
      <c r="I572" s="20">
        <f>Разбивка_по_щитам!L577</f>
        <v/>
      </c>
      <c r="J572" s="20">
        <f>Разбивка_по_щитам!M577</f>
        <v/>
      </c>
      <c r="K572" s="20">
        <f>Разбивка_по_щитам!N577</f>
        <v/>
      </c>
      <c r="L572" s="20"/>
      <c r="M572" s="20">
        <f>Разбивка_по_щитам!P577</f>
        <v/>
      </c>
      <c r="N572" s="20"/>
    </row>
    <row r="573" spans="2:14" x14ac:dyDescent="0.25">
      <c r="B573" s="20">
        <f>Разбивка_по_щитам!B578</f>
        <v/>
      </c>
      <c r="C573" s="20">
        <f>Разбивка_по_щитам!C578</f>
      </c>
      <c r="D573" s="20">
        <f>Разбивка_по_щитам!F578</f>
      </c>
      <c r="E573" s="20">
        <f>Разбивка_по_щитам!H578</f>
      </c>
      <c r="F573" s="20">
        <f>Разбивка_по_щитам!I578</f>
      </c>
      <c r="G573" s="20">
        <f>Разбивка_по_щитам!J578</f>
        <v/>
      </c>
      <c r="H573" s="20">
        <f>Разбивка_по_щитам!K578</f>
        <v/>
      </c>
      <c r="I573" s="20">
        <f>Разбивка_по_щитам!L578</f>
        <v/>
      </c>
      <c r="J573" s="20">
        <f>Разбивка_по_щитам!M578</f>
        <v/>
      </c>
      <c r="K573" s="20">
        <f>Разбивка_по_щитам!N578</f>
        <v/>
      </c>
      <c r="L573" s="20"/>
      <c r="M573" s="20">
        <f>Разбивка_по_щитам!P578</f>
        <v/>
      </c>
      <c r="N573" s="20"/>
    </row>
    <row r="574" spans="2:14" x14ac:dyDescent="0.25">
      <c r="B574" s="20">
        <f>Разбивка_по_щитам!B579</f>
        <v/>
      </c>
      <c r="C574" s="20">
        <f>Разбивка_по_щитам!C579</f>
      </c>
      <c r="D574" s="20">
        <f>Разбивка_по_щитам!F579</f>
      </c>
      <c r="E574" s="20">
        <f>Разбивка_по_щитам!H579</f>
      </c>
      <c r="F574" s="20">
        <f>Разбивка_по_щитам!I579</f>
      </c>
      <c r="G574" s="20">
        <f>Разбивка_по_щитам!J579</f>
        <v/>
      </c>
      <c r="H574" s="20">
        <f>Разбивка_по_щитам!K579</f>
        <v/>
      </c>
      <c r="I574" s="20">
        <f>Разбивка_по_щитам!L579</f>
        <v/>
      </c>
      <c r="J574" s="20">
        <f>Разбивка_по_щитам!M579</f>
        <v/>
      </c>
      <c r="K574" s="20">
        <f>Разбивка_по_щитам!N579</f>
        <v/>
      </c>
      <c r="L574" s="20"/>
      <c r="M574" s="20">
        <f>Разбивка_по_щитам!P579</f>
        <v/>
      </c>
      <c r="N574" s="20"/>
    </row>
    <row r="575" spans="2:14" x14ac:dyDescent="0.25">
      <c r="B575" s="20">
        <f>Разбивка_по_щитам!B580</f>
        <v/>
      </c>
      <c r="C575" s="20">
        <f>Разбивка_по_щитам!C580</f>
      </c>
      <c r="D575" s="20">
        <f>Разбивка_по_щитам!F580</f>
      </c>
      <c r="E575" s="20">
        <f>Разбивка_по_щитам!H580</f>
      </c>
      <c r="F575" s="20">
        <f>Разбивка_по_щитам!I580</f>
      </c>
      <c r="G575" s="20">
        <f>Разбивка_по_щитам!J580</f>
        <v/>
      </c>
      <c r="H575" s="20">
        <f>Разбивка_по_щитам!K580</f>
        <v/>
      </c>
      <c r="I575" s="20">
        <f>Разбивка_по_щитам!L580</f>
        <v/>
      </c>
      <c r="J575" s="20">
        <f>Разбивка_по_щитам!M580</f>
        <v/>
      </c>
      <c r="K575" s="20">
        <f>Разбивка_по_щитам!N580</f>
        <v/>
      </c>
      <c r="L575" s="20"/>
      <c r="M575" s="20">
        <f>Разбивка_по_щитам!P580</f>
        <v/>
      </c>
      <c r="N575" s="20"/>
    </row>
    <row r="576" spans="2:14" x14ac:dyDescent="0.25">
      <c r="B576" s="20">
        <f>Разбивка_по_щитам!B581</f>
        <v/>
      </c>
      <c r="C576" s="20">
        <f>Разбивка_по_щитам!C581</f>
      </c>
      <c r="D576" s="20">
        <f>Разбивка_по_щитам!F581</f>
      </c>
      <c r="E576" s="20">
        <f>Разбивка_по_щитам!H581</f>
      </c>
      <c r="F576" s="20">
        <f>Разбивка_по_щитам!I581</f>
      </c>
      <c r="G576" s="20">
        <f>Разбивка_по_щитам!J581</f>
        <v/>
      </c>
      <c r="H576" s="20">
        <f>Разбивка_по_щитам!K581</f>
        <v/>
      </c>
      <c r="I576" s="20">
        <f>Разбивка_по_щитам!L581</f>
        <v/>
      </c>
      <c r="J576" s="20">
        <f>Разбивка_по_щитам!M581</f>
        <v/>
      </c>
      <c r="K576" s="20">
        <f>Разбивка_по_щитам!N581</f>
        <v/>
      </c>
      <c r="L576" s="20"/>
      <c r="M576" s="20">
        <f>Разбивка_по_щитам!P581</f>
        <v/>
      </c>
      <c r="N576" s="20"/>
    </row>
    <row r="577" spans="2:14" x14ac:dyDescent="0.25">
      <c r="B577" s="20">
        <f>Разбивка_по_щитам!B582</f>
        <v/>
      </c>
      <c r="C577" s="20">
        <f>Разбивка_по_щитам!C582</f>
      </c>
      <c r="D577" s="20">
        <f>Разбивка_по_щитам!F582</f>
      </c>
      <c r="E577" s="20">
        <f>Разбивка_по_щитам!H582</f>
      </c>
      <c r="F577" s="20">
        <f>Разбивка_по_щитам!I582</f>
      </c>
      <c r="G577" s="20">
        <f>Разбивка_по_щитам!J582</f>
        <v/>
      </c>
      <c r="H577" s="20">
        <f>Разбивка_по_щитам!K582</f>
        <v/>
      </c>
      <c r="I577" s="20">
        <f>Разбивка_по_щитам!L582</f>
        <v/>
      </c>
      <c r="J577" s="20">
        <f>Разбивка_по_щитам!M582</f>
        <v/>
      </c>
      <c r="K577" s="20">
        <f>Разбивка_по_щитам!N582</f>
        <v/>
      </c>
      <c r="L577" s="20"/>
      <c r="M577" s="20">
        <f>Разбивка_по_щитам!P582</f>
        <v/>
      </c>
      <c r="N577" s="20"/>
    </row>
    <row r="578" spans="2:14" x14ac:dyDescent="0.25">
      <c r="B578" s="20">
        <f>Разбивка_по_щитам!B583</f>
        <v/>
      </c>
      <c r="C578" s="20">
        <f>Разбивка_по_щитам!C583</f>
      </c>
      <c r="D578" s="20">
        <f>Разбивка_по_щитам!F583</f>
      </c>
      <c r="E578" s="20">
        <f>Разбивка_по_щитам!H583</f>
      </c>
      <c r="F578" s="20">
        <f>Разбивка_по_щитам!I583</f>
      </c>
      <c r="G578" s="20">
        <f>Разбивка_по_щитам!J583</f>
        <v/>
      </c>
      <c r="H578" s="20">
        <f>Разбивка_по_щитам!K583</f>
        <v/>
      </c>
      <c r="I578" s="20">
        <f>Разбивка_по_щитам!L583</f>
        <v/>
      </c>
      <c r="J578" s="20">
        <f>Разбивка_по_щитам!M583</f>
        <v/>
      </c>
      <c r="K578" s="20">
        <f>Разбивка_по_щитам!N583</f>
        <v/>
      </c>
      <c r="L578" s="20"/>
      <c r="M578" s="20">
        <f>Разбивка_по_щитам!P583</f>
        <v/>
      </c>
      <c r="N578" s="20"/>
    </row>
    <row r="579" spans="2:14" x14ac:dyDescent="0.25">
      <c r="B579" s="20">
        <f>Разбивка_по_щитам!B584</f>
        <v/>
      </c>
      <c r="C579" s="20">
        <f>Разбивка_по_щитам!C584</f>
      </c>
      <c r="D579" s="20">
        <f>Разбивка_по_щитам!F584</f>
      </c>
      <c r="E579" s="20">
        <f>Разбивка_по_щитам!H584</f>
      </c>
      <c r="F579" s="20">
        <f>Разбивка_по_щитам!I584</f>
      </c>
      <c r="G579" s="20">
        <f>Разбивка_по_щитам!J584</f>
        <v/>
      </c>
      <c r="H579" s="20">
        <f>Разбивка_по_щитам!K584</f>
        <v/>
      </c>
      <c r="I579" s="20">
        <f>Разбивка_по_щитам!L584</f>
        <v/>
      </c>
      <c r="J579" s="20">
        <f>Разбивка_по_щитам!M584</f>
        <v/>
      </c>
      <c r="K579" s="20">
        <f>Разбивка_по_щитам!N584</f>
        <v/>
      </c>
      <c r="L579" s="20"/>
      <c r="M579" s="20">
        <f>Разбивка_по_щитам!P584</f>
        <v/>
      </c>
      <c r="N579" s="20"/>
    </row>
    <row r="580" spans="2:14" x14ac:dyDescent="0.25">
      <c r="B580" s="20">
        <f>Разбивка_по_щитам!B585</f>
        <v/>
      </c>
      <c r="C580" s="20">
        <f>Разбивка_по_щитам!C585</f>
      </c>
      <c r="D580" s="20">
        <f>Разбивка_по_щитам!F585</f>
      </c>
      <c r="E580" s="20">
        <f>Разбивка_по_щитам!H585</f>
      </c>
      <c r="F580" s="20">
        <f>Разбивка_по_щитам!I585</f>
      </c>
      <c r="G580" s="20">
        <f>Разбивка_по_щитам!J585</f>
        <v/>
      </c>
      <c r="H580" s="20">
        <f>Разбивка_по_щитам!K585</f>
        <v/>
      </c>
      <c r="I580" s="20">
        <f>Разбивка_по_щитам!L585</f>
        <v/>
      </c>
      <c r="J580" s="20">
        <f>Разбивка_по_щитам!M585</f>
        <v/>
      </c>
      <c r="K580" s="20">
        <f>Разбивка_по_щитам!N585</f>
        <v/>
      </c>
      <c r="L580" s="20"/>
      <c r="M580" s="20">
        <f>Разбивка_по_щитам!P585</f>
        <v/>
      </c>
      <c r="N580" s="20"/>
    </row>
    <row r="581" spans="2:14" x14ac:dyDescent="0.25">
      <c r="B581" s="20">
        <f>Разбивка_по_щитам!B586</f>
        <v/>
      </c>
      <c r="C581" s="20">
        <f>Разбивка_по_щитам!C586</f>
      </c>
      <c r="D581" s="20">
        <f>Разбивка_по_щитам!F586</f>
      </c>
      <c r="E581" s="20">
        <f>Разбивка_по_щитам!H586</f>
      </c>
      <c r="F581" s="20">
        <f>Разбивка_по_щитам!I586</f>
      </c>
      <c r="G581" s="20">
        <f>Разбивка_по_щитам!J586</f>
        <v/>
      </c>
      <c r="H581" s="20">
        <f>Разбивка_по_щитам!K586</f>
        <v/>
      </c>
      <c r="I581" s="20">
        <f>Разбивка_по_щитам!L586</f>
        <v/>
      </c>
      <c r="J581" s="20">
        <f>Разбивка_по_щитам!M586</f>
        <v/>
      </c>
      <c r="K581" s="20">
        <f>Разбивка_по_щитам!N586</f>
        <v/>
      </c>
      <c r="L581" s="20"/>
      <c r="M581" s="20">
        <f>Разбивка_по_щитам!P586</f>
        <v/>
      </c>
      <c r="N581" s="20"/>
    </row>
    <row r="582" spans="2:14" x14ac:dyDescent="0.25">
      <c r="B582" s="20">
        <f>Разбивка_по_щитам!B587</f>
        <v/>
      </c>
      <c r="C582" s="20">
        <f>Разбивка_по_щитам!C587</f>
      </c>
      <c r="D582" s="20">
        <f>Разбивка_по_щитам!F587</f>
      </c>
      <c r="E582" s="20">
        <f>Разбивка_по_щитам!H587</f>
      </c>
      <c r="F582" s="20">
        <f>Разбивка_по_щитам!I587</f>
      </c>
      <c r="G582" s="20">
        <f>Разбивка_по_щитам!J587</f>
        <v/>
      </c>
      <c r="H582" s="20">
        <f>Разбивка_по_щитам!K587</f>
        <v/>
      </c>
      <c r="I582" s="20">
        <f>Разбивка_по_щитам!L587</f>
        <v/>
      </c>
      <c r="J582" s="20">
        <f>Разбивка_по_щитам!M587</f>
        <v/>
      </c>
      <c r="K582" s="20">
        <f>Разбивка_по_щитам!N587</f>
        <v/>
      </c>
      <c r="L582" s="20"/>
      <c r="M582" s="20">
        <f>Разбивка_по_щитам!P587</f>
        <v/>
      </c>
      <c r="N582" s="20"/>
    </row>
    <row r="583" spans="2:14" x14ac:dyDescent="0.25">
      <c r="B583" s="20">
        <f>Разбивка_по_щитам!B588</f>
        <v/>
      </c>
      <c r="C583" s="20">
        <f>Разбивка_по_щитам!C588</f>
      </c>
      <c r="D583" s="20">
        <f>Разбивка_по_щитам!F588</f>
      </c>
      <c r="E583" s="20">
        <f>Разбивка_по_щитам!H588</f>
      </c>
      <c r="F583" s="20">
        <f>Разбивка_по_щитам!I588</f>
      </c>
      <c r="G583" s="20">
        <f>Разбивка_по_щитам!J588</f>
        <v/>
      </c>
      <c r="H583" s="20">
        <f>Разбивка_по_щитам!K588</f>
        <v/>
      </c>
      <c r="I583" s="20">
        <f>Разбивка_по_щитам!L588</f>
        <v/>
      </c>
      <c r="J583" s="20">
        <f>Разбивка_по_щитам!M588</f>
        <v/>
      </c>
      <c r="K583" s="20">
        <f>Разбивка_по_щитам!N588</f>
        <v/>
      </c>
      <c r="L583" s="20"/>
      <c r="M583" s="20">
        <f>Разбивка_по_щитам!P588</f>
        <v/>
      </c>
      <c r="N583" s="20"/>
    </row>
    <row r="584" spans="2:14" x14ac:dyDescent="0.25">
      <c r="B584" s="20">
        <f>Разбивка_по_щитам!B589</f>
        <v/>
      </c>
      <c r="C584" s="20">
        <f>Разбивка_по_щитам!C589</f>
      </c>
      <c r="D584" s="20">
        <f>Разбивка_по_щитам!F589</f>
      </c>
      <c r="E584" s="20">
        <f>Разбивка_по_щитам!H589</f>
      </c>
      <c r="F584" s="20">
        <f>Разбивка_по_щитам!I589</f>
      </c>
      <c r="G584" s="20">
        <f>Разбивка_по_щитам!J589</f>
        <v/>
      </c>
      <c r="H584" s="20">
        <f>Разбивка_по_щитам!K589</f>
        <v/>
      </c>
      <c r="I584" s="20">
        <f>Разбивка_по_щитам!L589</f>
        <v/>
      </c>
      <c r="J584" s="20">
        <f>Разбивка_по_щитам!M589</f>
        <v/>
      </c>
      <c r="K584" s="20">
        <f>Разбивка_по_щитам!N589</f>
        <v/>
      </c>
      <c r="L584" s="20"/>
      <c r="M584" s="20">
        <f>Разбивка_по_щитам!P589</f>
        <v/>
      </c>
      <c r="N584" s="20"/>
    </row>
    <row r="585" spans="2:14" x14ac:dyDescent="0.25">
      <c r="B585" s="20">
        <f>Разбивка_по_щитам!B590</f>
        <v/>
      </c>
      <c r="C585" s="20">
        <f>Разбивка_по_щитам!C590</f>
      </c>
      <c r="D585" s="20">
        <f>Разбивка_по_щитам!F590</f>
      </c>
      <c r="E585" s="20">
        <f>Разбивка_по_щитам!H590</f>
      </c>
      <c r="F585" s="20">
        <f>Разбивка_по_щитам!I590</f>
      </c>
      <c r="G585" s="20">
        <f>Разбивка_по_щитам!J590</f>
        <v/>
      </c>
      <c r="H585" s="20">
        <f>Разбивка_по_щитам!K590</f>
        <v/>
      </c>
      <c r="I585" s="20">
        <f>Разбивка_по_щитам!L590</f>
        <v/>
      </c>
      <c r="J585" s="20">
        <f>Разбивка_по_щитам!M590</f>
        <v/>
      </c>
      <c r="K585" s="20">
        <f>Разбивка_по_щитам!N590</f>
        <v/>
      </c>
      <c r="L585" s="20"/>
      <c r="M585" s="20">
        <f>Разбивка_по_щитам!P590</f>
        <v/>
      </c>
      <c r="N585" s="20"/>
    </row>
    <row r="586" spans="2:14" x14ac:dyDescent="0.25">
      <c r="B586" s="20">
        <f>Разбивка_по_щитам!B591</f>
        <v/>
      </c>
      <c r="C586" s="20">
        <f>Разбивка_по_щитам!C591</f>
      </c>
      <c r="D586" s="20">
        <f>Разбивка_по_щитам!F591</f>
      </c>
      <c r="E586" s="20">
        <f>Разбивка_по_щитам!H591</f>
      </c>
      <c r="F586" s="20">
        <f>Разбивка_по_щитам!I591</f>
      </c>
      <c r="G586" s="20">
        <f>Разбивка_по_щитам!J591</f>
        <v/>
      </c>
      <c r="H586" s="20">
        <f>Разбивка_по_щитам!K591</f>
        <v/>
      </c>
      <c r="I586" s="20">
        <f>Разбивка_по_щитам!L591</f>
        <v/>
      </c>
      <c r="J586" s="20">
        <f>Разбивка_по_щитам!M591</f>
        <v/>
      </c>
      <c r="K586" s="20">
        <f>Разбивка_по_щитам!N591</f>
        <v/>
      </c>
      <c r="L586" s="20"/>
      <c r="M586" s="20">
        <f>Разбивка_по_щитам!P591</f>
        <v/>
      </c>
      <c r="N586" s="20"/>
    </row>
    <row r="587" spans="2:14" x14ac:dyDescent="0.25">
      <c r="B587" s="20">
        <f>Разбивка_по_щитам!B592</f>
        <v/>
      </c>
      <c r="C587" s="20">
        <f>Разбивка_по_щитам!C592</f>
      </c>
      <c r="D587" s="20">
        <f>Разбивка_по_щитам!F592</f>
      </c>
      <c r="E587" s="20">
        <f>Разбивка_по_щитам!H592</f>
      </c>
      <c r="F587" s="20">
        <f>Разбивка_по_щитам!I592</f>
      </c>
      <c r="G587" s="20">
        <f>Разбивка_по_щитам!J592</f>
        <v/>
      </c>
      <c r="H587" s="20">
        <f>Разбивка_по_щитам!K592</f>
        <v/>
      </c>
      <c r="I587" s="20">
        <f>Разбивка_по_щитам!L592</f>
        <v/>
      </c>
      <c r="J587" s="20">
        <f>Разбивка_по_щитам!M592</f>
        <v/>
      </c>
      <c r="K587" s="20">
        <f>Разбивка_по_щитам!N592</f>
        <v/>
      </c>
      <c r="L587" s="20"/>
      <c r="M587" s="20">
        <f>Разбивка_по_щитам!P592</f>
        <v/>
      </c>
      <c r="N587" s="20"/>
    </row>
    <row r="588" spans="2:14" x14ac:dyDescent="0.25">
      <c r="B588" s="20">
        <f>Разбивка_по_щитам!B593</f>
        <v/>
      </c>
      <c r="C588" s="20">
        <f>Разбивка_по_щитам!C593</f>
      </c>
      <c r="D588" s="20">
        <f>Разбивка_по_щитам!F593</f>
      </c>
      <c r="E588" s="20">
        <f>Разбивка_по_щитам!H593</f>
      </c>
      <c r="F588" s="20">
        <f>Разбивка_по_щитам!I593</f>
      </c>
      <c r="G588" s="20">
        <f>Разбивка_по_щитам!J593</f>
        <v/>
      </c>
      <c r="H588" s="20">
        <f>Разбивка_по_щитам!K593</f>
        <v/>
      </c>
      <c r="I588" s="20">
        <f>Разбивка_по_щитам!L593</f>
        <v/>
      </c>
      <c r="J588" s="20">
        <f>Разбивка_по_щитам!M593</f>
        <v/>
      </c>
      <c r="K588" s="20">
        <f>Разбивка_по_щитам!N593</f>
        <v/>
      </c>
      <c r="L588" s="20"/>
      <c r="M588" s="20">
        <f>Разбивка_по_щитам!P593</f>
        <v/>
      </c>
      <c r="N588" s="20"/>
    </row>
    <row r="589" spans="2:14" x14ac:dyDescent="0.25">
      <c r="B589" s="20">
        <f>Разбивка_по_щитам!B594</f>
        <v/>
      </c>
      <c r="C589" s="20">
        <f>Разбивка_по_щитам!C594</f>
      </c>
      <c r="D589" s="20">
        <f>Разбивка_по_щитам!F594</f>
      </c>
      <c r="E589" s="20">
        <f>Разбивка_по_щитам!H594</f>
      </c>
      <c r="F589" s="20">
        <f>Разбивка_по_щитам!I594</f>
      </c>
      <c r="G589" s="20">
        <f>Разбивка_по_щитам!J594</f>
        <v/>
      </c>
      <c r="H589" s="20">
        <f>Разбивка_по_щитам!K594</f>
        <v/>
      </c>
      <c r="I589" s="20">
        <f>Разбивка_по_щитам!L594</f>
        <v/>
      </c>
      <c r="J589" s="20">
        <f>Разбивка_по_щитам!M594</f>
        <v/>
      </c>
      <c r="K589" s="20">
        <f>Разбивка_по_щитам!N594</f>
        <v/>
      </c>
      <c r="L589" s="20"/>
      <c r="M589" s="20">
        <f>Разбивка_по_щитам!P594</f>
        <v/>
      </c>
      <c r="N589" s="20"/>
    </row>
    <row r="590" spans="2:14" x14ac:dyDescent="0.25">
      <c r="B590" s="20">
        <f>Разбивка_по_щитам!B595</f>
        <v/>
      </c>
      <c r="C590" s="20">
        <f>Разбивка_по_щитам!C595</f>
      </c>
      <c r="D590" s="20">
        <f>Разбивка_по_щитам!F595</f>
      </c>
      <c r="E590" s="20">
        <f>Разбивка_по_щитам!H595</f>
      </c>
      <c r="F590" s="20">
        <f>Разбивка_по_щитам!I595</f>
      </c>
      <c r="G590" s="20">
        <f>Разбивка_по_щитам!J595</f>
        <v/>
      </c>
      <c r="H590" s="20">
        <f>Разбивка_по_щитам!K595</f>
        <v/>
      </c>
      <c r="I590" s="20">
        <f>Разбивка_по_щитам!L595</f>
        <v/>
      </c>
      <c r="J590" s="20">
        <f>Разбивка_по_щитам!M595</f>
        <v/>
      </c>
      <c r="K590" s="20">
        <f>Разбивка_по_щитам!N595</f>
        <v/>
      </c>
      <c r="L590" s="20"/>
      <c r="M590" s="20">
        <f>Разбивка_по_щитам!P595</f>
        <v/>
      </c>
      <c r="N590" s="20"/>
    </row>
    <row r="591" spans="2:14" x14ac:dyDescent="0.25">
      <c r="B591" s="20">
        <f>Разбивка_по_щитам!B596</f>
        <v/>
      </c>
      <c r="C591" s="20">
        <f>Разбивка_по_щитам!C596</f>
      </c>
      <c r="D591" s="20">
        <f>Разбивка_по_щитам!F596</f>
      </c>
      <c r="E591" s="20">
        <f>Разбивка_по_щитам!H596</f>
      </c>
      <c r="F591" s="20">
        <f>Разбивка_по_щитам!I596</f>
      </c>
      <c r="G591" s="20">
        <f>Разбивка_по_щитам!J596</f>
        <v/>
      </c>
      <c r="H591" s="20">
        <f>Разбивка_по_щитам!K596</f>
        <v/>
      </c>
      <c r="I591" s="20">
        <f>Разбивка_по_щитам!L596</f>
        <v/>
      </c>
      <c r="J591" s="20">
        <f>Разбивка_по_щитам!M596</f>
        <v/>
      </c>
      <c r="K591" s="20">
        <f>Разбивка_по_щитам!N596</f>
        <v/>
      </c>
      <c r="L591" s="20"/>
      <c r="M591" s="20">
        <f>Разбивка_по_щитам!P596</f>
        <v/>
      </c>
      <c r="N591" s="20"/>
    </row>
    <row r="592" spans="2:14" x14ac:dyDescent="0.25">
      <c r="B592" s="20">
        <f>Разбивка_по_щитам!B597</f>
        <v/>
      </c>
      <c r="C592" s="20">
        <f>Разбивка_по_щитам!C597</f>
      </c>
      <c r="D592" s="20">
        <f>Разбивка_по_щитам!F597</f>
      </c>
      <c r="E592" s="20">
        <f>Разбивка_по_щитам!H597</f>
      </c>
      <c r="F592" s="20">
        <f>Разбивка_по_щитам!I597</f>
      </c>
      <c r="G592" s="20">
        <f>Разбивка_по_щитам!J597</f>
        <v/>
      </c>
      <c r="H592" s="20">
        <f>Разбивка_по_щитам!K597</f>
        <v/>
      </c>
      <c r="I592" s="20">
        <f>Разбивка_по_щитам!L597</f>
        <v/>
      </c>
      <c r="J592" s="20">
        <f>Разбивка_по_щитам!M597</f>
        <v/>
      </c>
      <c r="K592" s="20">
        <f>Разбивка_по_щитам!N597</f>
        <v/>
      </c>
      <c r="L592" s="20"/>
      <c r="M592" s="20">
        <f>Разбивка_по_щитам!P597</f>
        <v/>
      </c>
      <c r="N592" s="20"/>
    </row>
    <row r="593" spans="2:14" x14ac:dyDescent="0.25">
      <c r="B593" s="20">
        <f>Разбивка_по_щитам!B598</f>
        <v/>
      </c>
      <c r="C593" s="20">
        <f>Разбивка_по_щитам!C598</f>
      </c>
      <c r="D593" s="20">
        <f>Разбивка_по_щитам!F598</f>
      </c>
      <c r="E593" s="20">
        <f>Разбивка_по_щитам!H598</f>
      </c>
      <c r="F593" s="20">
        <f>Разбивка_по_щитам!I598</f>
      </c>
      <c r="G593" s="20">
        <f>Разбивка_по_щитам!J598</f>
        <v/>
      </c>
      <c r="H593" s="20">
        <f>Разбивка_по_щитам!K598</f>
        <v/>
      </c>
      <c r="I593" s="20">
        <f>Разбивка_по_щитам!L598</f>
        <v/>
      </c>
      <c r="J593" s="20">
        <f>Разбивка_по_щитам!M598</f>
        <v/>
      </c>
      <c r="K593" s="20">
        <f>Разбивка_по_щитам!N598</f>
        <v/>
      </c>
      <c r="L593" s="20"/>
      <c r="M593" s="20">
        <f>Разбивка_по_щитам!P598</f>
        <v/>
      </c>
      <c r="N593" s="20"/>
    </row>
    <row r="594" spans="2:14" x14ac:dyDescent="0.25">
      <c r="B594" s="20">
        <f>Разбивка_по_щитам!B599</f>
        <v/>
      </c>
      <c r="C594" s="20">
        <f>Разбивка_по_щитам!C599</f>
      </c>
      <c r="D594" s="20">
        <f>Разбивка_по_щитам!F599</f>
      </c>
      <c r="E594" s="20">
        <f>Разбивка_по_щитам!H599</f>
      </c>
      <c r="F594" s="20">
        <f>Разбивка_по_щитам!I599</f>
      </c>
      <c r="G594" s="20">
        <f>Разбивка_по_щитам!J599</f>
        <v/>
      </c>
      <c r="H594" s="20">
        <f>Разбивка_по_щитам!K599</f>
        <v/>
      </c>
      <c r="I594" s="20">
        <f>Разбивка_по_щитам!L599</f>
        <v/>
      </c>
      <c r="J594" s="20">
        <f>Разбивка_по_щитам!M599</f>
        <v/>
      </c>
      <c r="K594" s="20">
        <f>Разбивка_по_щитам!N599</f>
        <v/>
      </c>
      <c r="L594" s="20"/>
      <c r="M594" s="20">
        <f>Разбивка_по_щитам!P599</f>
        <v/>
      </c>
      <c r="N594" s="20"/>
    </row>
    <row r="595" spans="2:14" x14ac:dyDescent="0.25">
      <c r="B595" s="20">
        <f>Разбивка_по_щитам!B600</f>
        <v/>
      </c>
      <c r="C595" s="20">
        <f>Разбивка_по_щитам!C600</f>
      </c>
      <c r="D595" s="20">
        <f>Разбивка_по_щитам!F600</f>
      </c>
      <c r="E595" s="20">
        <f>Разбивка_по_щитам!H600</f>
      </c>
      <c r="F595" s="20">
        <f>Разбивка_по_щитам!I600</f>
      </c>
      <c r="G595" s="20">
        <f>Разбивка_по_щитам!J600</f>
        <v/>
      </c>
      <c r="H595" s="20">
        <f>Разбивка_по_щитам!K600</f>
        <v/>
      </c>
      <c r="I595" s="20">
        <f>Разбивка_по_щитам!L600</f>
        <v/>
      </c>
      <c r="J595" s="20">
        <f>Разбивка_по_щитам!M600</f>
        <v/>
      </c>
      <c r="K595" s="20">
        <f>Разбивка_по_щитам!N600</f>
        <v/>
      </c>
      <c r="L595" s="20"/>
      <c r="M595" s="20">
        <f>Разбивка_по_щитам!P600</f>
        <v/>
      </c>
      <c r="N595" s="20"/>
    </row>
    <row r="596" spans="2:14" x14ac:dyDescent="0.25">
      <c r="B596" s="20">
        <f>Разбивка_по_щитам!B601</f>
        <v/>
      </c>
      <c r="C596" s="20">
        <f>Разбивка_по_щитам!C601</f>
      </c>
      <c r="D596" s="20">
        <f>Разбивка_по_щитам!F601</f>
      </c>
      <c r="E596" s="20">
        <f>Разбивка_по_щитам!H601</f>
      </c>
      <c r="F596" s="20">
        <f>Разбивка_по_щитам!I601</f>
      </c>
      <c r="G596" s="20">
        <f>Разбивка_по_щитам!J601</f>
        <v/>
      </c>
      <c r="H596" s="20">
        <f>Разбивка_по_щитам!K601</f>
        <v/>
      </c>
      <c r="I596" s="20">
        <f>Разбивка_по_щитам!L601</f>
        <v/>
      </c>
      <c r="J596" s="20">
        <f>Разбивка_по_щитам!M601</f>
        <v/>
      </c>
      <c r="K596" s="20">
        <f>Разбивка_по_щитам!N601</f>
        <v/>
      </c>
      <c r="L596" s="20"/>
      <c r="M596" s="20">
        <f>Разбивка_по_щитам!P601</f>
        <v/>
      </c>
      <c r="N596" s="20"/>
    </row>
    <row r="597" spans="2:14" x14ac:dyDescent="0.25">
      <c r="B597" s="20">
        <f>Разбивка_по_щитам!B602</f>
        <v/>
      </c>
      <c r="C597" s="20">
        <f>Разбивка_по_щитам!C602</f>
      </c>
      <c r="D597" s="20">
        <f>Разбивка_по_щитам!F602</f>
      </c>
      <c r="E597" s="20">
        <f>Разбивка_по_щитам!H602</f>
      </c>
      <c r="F597" s="20">
        <f>Разбивка_по_щитам!I602</f>
      </c>
      <c r="G597" s="20">
        <f>Разбивка_по_щитам!J602</f>
        <v/>
      </c>
      <c r="H597" s="20">
        <f>Разбивка_по_щитам!K602</f>
        <v/>
      </c>
      <c r="I597" s="20">
        <f>Разбивка_по_щитам!L602</f>
        <v/>
      </c>
      <c r="J597" s="20">
        <f>Разбивка_по_щитам!M602</f>
        <v/>
      </c>
      <c r="K597" s="20">
        <f>Разбивка_по_щитам!N602</f>
        <v/>
      </c>
      <c r="L597" s="20"/>
      <c r="M597" s="20">
        <f>Разбивка_по_щитам!P602</f>
        <v/>
      </c>
      <c r="N597" s="20"/>
    </row>
    <row r="598" spans="2:14" x14ac:dyDescent="0.25">
      <c r="B598" s="20">
        <f>Разбивка_по_щитам!B603</f>
        <v/>
      </c>
      <c r="C598" s="20">
        <f>Разбивка_по_щитам!C603</f>
      </c>
      <c r="D598" s="20">
        <f>Разбивка_по_щитам!F603</f>
      </c>
      <c r="E598" s="20">
        <f>Разбивка_по_щитам!H603</f>
      </c>
      <c r="F598" s="20">
        <f>Разбивка_по_щитам!I603</f>
      </c>
      <c r="G598" s="20">
        <f>Разбивка_по_щитам!J603</f>
        <v/>
      </c>
      <c r="H598" s="20">
        <f>Разбивка_по_щитам!K603</f>
        <v/>
      </c>
      <c r="I598" s="20">
        <f>Разбивка_по_щитам!L603</f>
        <v/>
      </c>
      <c r="J598" s="20">
        <f>Разбивка_по_щитам!M603</f>
        <v/>
      </c>
      <c r="K598" s="20">
        <f>Разбивка_по_щитам!N603</f>
        <v/>
      </c>
      <c r="L598" s="20"/>
      <c r="M598" s="20">
        <f>Разбивка_по_щитам!P603</f>
        <v/>
      </c>
      <c r="N598" s="20"/>
    </row>
    <row r="599" spans="2:14" x14ac:dyDescent="0.25">
      <c r="B599" s="20">
        <f>Разбивка_по_щитам!B604</f>
        <v/>
      </c>
      <c r="C599" s="20">
        <f>Разбивка_по_щитам!C604</f>
      </c>
      <c r="D599" s="20">
        <f>Разбивка_по_щитам!F604</f>
      </c>
      <c r="E599" s="20">
        <f>Разбивка_по_щитам!H604</f>
      </c>
      <c r="F599" s="20">
        <f>Разбивка_по_щитам!I604</f>
      </c>
      <c r="G599" s="20">
        <f>Разбивка_по_щитам!J604</f>
        <v/>
      </c>
      <c r="H599" s="20">
        <f>Разбивка_по_щитам!K604</f>
        <v/>
      </c>
      <c r="I599" s="20">
        <f>Разбивка_по_щитам!L604</f>
        <v/>
      </c>
      <c r="J599" s="20">
        <f>Разбивка_по_щитам!M604</f>
        <v/>
      </c>
      <c r="K599" s="20">
        <f>Разбивка_по_щитам!N604</f>
        <v/>
      </c>
      <c r="L599" s="20"/>
      <c r="M599" s="20">
        <f>Разбивка_по_щитам!P604</f>
        <v/>
      </c>
      <c r="N599" s="20"/>
    </row>
    <row r="600" spans="2:14" x14ac:dyDescent="0.25">
      <c r="B600" s="20">
        <f>Разбивка_по_щитам!B605</f>
        <v/>
      </c>
      <c r="C600" s="20">
        <f>Разбивка_по_щитам!C605</f>
      </c>
      <c r="D600" s="20">
        <f>Разбивка_по_щитам!F605</f>
      </c>
      <c r="E600" s="20">
        <f>Разбивка_по_щитам!H605</f>
      </c>
      <c r="F600" s="20">
        <f>Разбивка_по_щитам!I605</f>
      </c>
      <c r="G600" s="20">
        <f>Разбивка_по_щитам!J605</f>
        <v/>
      </c>
      <c r="H600" s="20">
        <f>Разбивка_по_щитам!K605</f>
        <v/>
      </c>
      <c r="I600" s="20">
        <f>Разбивка_по_щитам!L605</f>
        <v/>
      </c>
      <c r="J600" s="20">
        <f>Разбивка_по_щитам!M605</f>
        <v/>
      </c>
      <c r="K600" s="20">
        <f>Разбивка_по_щитам!N605</f>
        <v/>
      </c>
      <c r="L600" s="20"/>
      <c r="M600" s="20">
        <f>Разбивка_по_щитам!P605</f>
        <v/>
      </c>
      <c r="N600" s="20"/>
    </row>
    <row r="601" spans="2:14" x14ac:dyDescent="0.25">
      <c r="B601" s="20">
        <f>Разбивка_по_щитам!B606</f>
        <v/>
      </c>
      <c r="C601" s="20">
        <f>Разбивка_по_щитам!C606</f>
      </c>
      <c r="D601" s="20">
        <f>Разбивка_по_щитам!F606</f>
      </c>
      <c r="E601" s="20">
        <f>Разбивка_по_щитам!H606</f>
      </c>
      <c r="F601" s="20">
        <f>Разбивка_по_щитам!I606</f>
      </c>
      <c r="G601" s="20">
        <f>Разбивка_по_щитам!J606</f>
        <v/>
      </c>
      <c r="H601" s="20">
        <f>Разбивка_по_щитам!K606</f>
        <v/>
      </c>
      <c r="I601" s="20">
        <f>Разбивка_по_щитам!L606</f>
        <v/>
      </c>
      <c r="J601" s="20">
        <f>Разбивка_по_щитам!M606</f>
        <v/>
      </c>
      <c r="K601" s="20">
        <f>Разбивка_по_щитам!N606</f>
        <v/>
      </c>
      <c r="L601" s="20"/>
      <c r="M601" s="20">
        <f>Разбивка_по_щитам!P606</f>
        <v/>
      </c>
      <c r="N601" s="20"/>
    </row>
    <row r="602" spans="2:14" x14ac:dyDescent="0.25">
      <c r="B602" s="20">
        <f>Разбивка_по_щитам!B607</f>
        <v/>
      </c>
      <c r="C602" s="20">
        <f>Разбивка_по_щитам!C607</f>
      </c>
      <c r="D602" s="20">
        <f>Разбивка_по_щитам!F607</f>
      </c>
      <c r="E602" s="20">
        <f>Разбивка_по_щитам!H607</f>
      </c>
      <c r="F602" s="20">
        <f>Разбивка_по_щитам!I607</f>
      </c>
      <c r="G602" s="20">
        <f>Разбивка_по_щитам!J607</f>
        <v/>
      </c>
      <c r="H602" s="20">
        <f>Разбивка_по_щитам!K607</f>
        <v/>
      </c>
      <c r="I602" s="20">
        <f>Разбивка_по_щитам!L607</f>
        <v/>
      </c>
      <c r="J602" s="20">
        <f>Разбивка_по_щитам!M607</f>
        <v/>
      </c>
      <c r="K602" s="20">
        <f>Разбивка_по_щитам!N607</f>
        <v/>
      </c>
      <c r="L602" s="20"/>
      <c r="M602" s="20">
        <f>Разбивка_по_щитам!P607</f>
        <v/>
      </c>
      <c r="N602" s="20"/>
    </row>
    <row r="603" spans="2:14" x14ac:dyDescent="0.25">
      <c r="B603" s="20">
        <f>Разбивка_по_щитам!B608</f>
        <v/>
      </c>
      <c r="C603" s="20">
        <f>Разбивка_по_щитам!C608</f>
      </c>
      <c r="D603" s="20">
        <f>Разбивка_по_щитам!F608</f>
      </c>
      <c r="E603" s="20">
        <f>Разбивка_по_щитам!H608</f>
      </c>
      <c r="F603" s="20">
        <f>Разбивка_по_щитам!I608</f>
      </c>
      <c r="G603" s="20">
        <f>Разбивка_по_щитам!J608</f>
        <v/>
      </c>
      <c r="H603" s="20">
        <f>Разбивка_по_щитам!K608</f>
        <v/>
      </c>
      <c r="I603" s="20">
        <f>Разбивка_по_щитам!L608</f>
        <v/>
      </c>
      <c r="J603" s="20">
        <f>Разбивка_по_щитам!M608</f>
        <v/>
      </c>
      <c r="K603" s="20">
        <f>Разбивка_по_щитам!N608</f>
        <v/>
      </c>
      <c r="L603" s="20"/>
      <c r="M603" s="20">
        <f>Разбивка_по_щитам!P608</f>
        <v/>
      </c>
      <c r="N603" s="20"/>
    </row>
    <row r="604" spans="2:14" x14ac:dyDescent="0.25">
      <c r="B604" s="20">
        <f>Разбивка_по_щитам!B609</f>
        <v/>
      </c>
      <c r="C604" s="20">
        <f>Разбивка_по_щитам!C609</f>
      </c>
      <c r="D604" s="20">
        <f>Разбивка_по_щитам!F609</f>
      </c>
      <c r="E604" s="20">
        <f>Разбивка_по_щитам!H609</f>
      </c>
      <c r="F604" s="20">
        <f>Разбивка_по_щитам!I609</f>
      </c>
      <c r="G604" s="20">
        <f>Разбивка_по_щитам!J609</f>
        <v/>
      </c>
      <c r="H604" s="20">
        <f>Разбивка_по_щитам!K609</f>
        <v/>
      </c>
      <c r="I604" s="20">
        <f>Разбивка_по_щитам!L609</f>
        <v/>
      </c>
      <c r="J604" s="20">
        <f>Разбивка_по_щитам!M609</f>
        <v/>
      </c>
      <c r="K604" s="20">
        <f>Разбивка_по_щитам!N609</f>
        <v/>
      </c>
      <c r="L604" s="20"/>
      <c r="M604" s="20">
        <f>Разбивка_по_щитам!P609</f>
        <v/>
      </c>
      <c r="N604" s="20"/>
    </row>
    <row r="605" spans="2:14" x14ac:dyDescent="0.25">
      <c r="B605" s="20">
        <f>Разбивка_по_щитам!B610</f>
        <v/>
      </c>
      <c r="C605" s="20">
        <f>Разбивка_по_щитам!C610</f>
      </c>
      <c r="D605" s="20">
        <f>Разбивка_по_щитам!F610</f>
      </c>
      <c r="E605" s="20">
        <f>Разбивка_по_щитам!H610</f>
      </c>
      <c r="F605" s="20">
        <f>Разбивка_по_щитам!I610</f>
      </c>
      <c r="G605" s="20">
        <f>Разбивка_по_щитам!J610</f>
        <v/>
      </c>
      <c r="H605" s="20">
        <f>Разбивка_по_щитам!K610</f>
        <v/>
      </c>
      <c r="I605" s="20">
        <f>Разбивка_по_щитам!L610</f>
        <v/>
      </c>
      <c r="J605" s="20">
        <f>Разбивка_по_щитам!M610</f>
        <v/>
      </c>
      <c r="K605" s="20">
        <f>Разбивка_по_щитам!N610</f>
        <v/>
      </c>
      <c r="L605" s="20"/>
      <c r="M605" s="20">
        <f>Разбивка_по_щитам!P610</f>
        <v/>
      </c>
      <c r="N605" s="20"/>
    </row>
    <row r="606" spans="2:14" x14ac:dyDescent="0.25">
      <c r="B606" s="20">
        <f>Разбивка_по_щитам!B611</f>
        <v/>
      </c>
      <c r="C606" s="20">
        <f>Разбивка_по_щитам!C611</f>
      </c>
      <c r="D606" s="20">
        <f>Разбивка_по_щитам!F611</f>
      </c>
      <c r="E606" s="20">
        <f>Разбивка_по_щитам!H611</f>
      </c>
      <c r="F606" s="20">
        <f>Разбивка_по_щитам!I611</f>
      </c>
      <c r="G606" s="20">
        <f>Разбивка_по_щитам!J611</f>
        <v/>
      </c>
      <c r="H606" s="20">
        <f>Разбивка_по_щитам!K611</f>
        <v/>
      </c>
      <c r="I606" s="20">
        <f>Разбивка_по_щитам!L611</f>
        <v/>
      </c>
      <c r="J606" s="20">
        <f>Разбивка_по_щитам!M611</f>
        <v/>
      </c>
      <c r="K606" s="20">
        <f>Разбивка_по_щитам!N611</f>
        <v/>
      </c>
      <c r="L606" s="20"/>
      <c r="M606" s="20">
        <f>Разбивка_по_щитам!P611</f>
        <v/>
      </c>
      <c r="N606" s="20"/>
    </row>
    <row r="607" spans="2:14" x14ac:dyDescent="0.25">
      <c r="B607" s="20">
        <f>Разбивка_по_щитам!B612</f>
        <v/>
      </c>
      <c r="C607" s="20">
        <f>Разбивка_по_щитам!C612</f>
      </c>
      <c r="D607" s="20">
        <f>Разбивка_по_щитам!F612</f>
      </c>
      <c r="E607" s="20">
        <f>Разбивка_по_щитам!H612</f>
      </c>
      <c r="F607" s="20">
        <f>Разбивка_по_щитам!I612</f>
      </c>
      <c r="G607" s="20">
        <f>Разбивка_по_щитам!J612</f>
        <v/>
      </c>
      <c r="H607" s="20">
        <f>Разбивка_по_щитам!K612</f>
        <v/>
      </c>
      <c r="I607" s="20">
        <f>Разбивка_по_щитам!L612</f>
        <v/>
      </c>
      <c r="J607" s="20">
        <f>Разбивка_по_щитам!M612</f>
        <v/>
      </c>
      <c r="K607" s="20">
        <f>Разбивка_по_щитам!N612</f>
        <v/>
      </c>
      <c r="L607" s="20"/>
      <c r="M607" s="20">
        <f>Разбивка_по_щитам!P612</f>
        <v/>
      </c>
      <c r="N607" s="20"/>
    </row>
    <row r="608" spans="2:14" x14ac:dyDescent="0.25">
      <c r="B608" s="20">
        <f>Разбивка_по_щитам!B613</f>
        <v/>
      </c>
      <c r="C608" s="20">
        <f>Разбивка_по_щитам!C613</f>
      </c>
      <c r="D608" s="20">
        <f>Разбивка_по_щитам!F613</f>
      </c>
      <c r="E608" s="20">
        <f>Разбивка_по_щитам!H613</f>
      </c>
      <c r="F608" s="20">
        <f>Разбивка_по_щитам!I613</f>
      </c>
      <c r="G608" s="20">
        <f>Разбивка_по_щитам!J613</f>
        <v/>
      </c>
      <c r="H608" s="20">
        <f>Разбивка_по_щитам!K613</f>
        <v/>
      </c>
      <c r="I608" s="20">
        <f>Разбивка_по_щитам!L613</f>
        <v/>
      </c>
      <c r="J608" s="20">
        <f>Разбивка_по_щитам!M613</f>
        <v/>
      </c>
      <c r="K608" s="20">
        <f>Разбивка_по_щитам!N613</f>
        <v/>
      </c>
      <c r="L608" s="20"/>
      <c r="M608" s="20">
        <f>Разбивка_по_щитам!P613</f>
        <v/>
      </c>
      <c r="N608" s="20"/>
    </row>
    <row r="609" spans="2:14" x14ac:dyDescent="0.25">
      <c r="B609" s="20">
        <f>Разбивка_по_щитам!B614</f>
        <v/>
      </c>
      <c r="C609" s="20">
        <f>Разбивка_по_щитам!C614</f>
      </c>
      <c r="D609" s="20">
        <f>Разбивка_по_щитам!F614</f>
      </c>
      <c r="E609" s="20">
        <f>Разбивка_по_щитам!H614</f>
      </c>
      <c r="F609" s="20">
        <f>Разбивка_по_щитам!I614</f>
      </c>
      <c r="G609" s="20">
        <f>Разбивка_по_щитам!J614</f>
        <v/>
      </c>
      <c r="H609" s="20">
        <f>Разбивка_по_щитам!K614</f>
        <v/>
      </c>
      <c r="I609" s="20">
        <f>Разбивка_по_щитам!L614</f>
        <v/>
      </c>
      <c r="J609" s="20">
        <f>Разбивка_по_щитам!M614</f>
        <v/>
      </c>
      <c r="K609" s="20">
        <f>Разбивка_по_щитам!N614</f>
        <v/>
      </c>
      <c r="L609" s="20"/>
      <c r="M609" s="20">
        <f>Разбивка_по_щитам!P614</f>
        <v/>
      </c>
      <c r="N609" s="20"/>
    </row>
    <row r="610" spans="2:14" x14ac:dyDescent="0.25">
      <c r="B610" s="20">
        <f>Разбивка_по_щитам!B615</f>
        <v/>
      </c>
      <c r="C610" s="20">
        <f>Разбивка_по_щитам!C615</f>
      </c>
      <c r="D610" s="20">
        <f>Разбивка_по_щитам!F615</f>
      </c>
      <c r="E610" s="20">
        <f>Разбивка_по_щитам!H615</f>
      </c>
      <c r="F610" s="20">
        <f>Разбивка_по_щитам!I615</f>
      </c>
      <c r="G610" s="20">
        <f>Разбивка_по_щитам!J615</f>
        <v/>
      </c>
      <c r="H610" s="20">
        <f>Разбивка_по_щитам!K615</f>
        <v/>
      </c>
      <c r="I610" s="20">
        <f>Разбивка_по_щитам!L615</f>
        <v/>
      </c>
      <c r="J610" s="20">
        <f>Разбивка_по_щитам!M615</f>
        <v/>
      </c>
      <c r="K610" s="20">
        <f>Разбивка_по_щитам!N615</f>
        <v/>
      </c>
      <c r="L610" s="20"/>
      <c r="M610" s="20">
        <f>Разбивка_по_щитам!P615</f>
        <v/>
      </c>
      <c r="N610" s="20"/>
    </row>
    <row r="611" spans="2:14" x14ac:dyDescent="0.25">
      <c r="B611" s="20">
        <f>Разбивка_по_щитам!B616</f>
        <v/>
      </c>
      <c r="C611" s="20">
        <f>Разбивка_по_щитам!C616</f>
      </c>
      <c r="D611" s="20">
        <f>Разбивка_по_щитам!F616</f>
      </c>
      <c r="E611" s="20">
        <f>Разбивка_по_щитам!H616</f>
      </c>
      <c r="F611" s="20">
        <f>Разбивка_по_щитам!I616</f>
      </c>
      <c r="G611" s="20">
        <f>Разбивка_по_щитам!J616</f>
        <v/>
      </c>
      <c r="H611" s="20">
        <f>Разбивка_по_щитам!K616</f>
        <v/>
      </c>
      <c r="I611" s="20">
        <f>Разбивка_по_щитам!L616</f>
        <v/>
      </c>
      <c r="J611" s="20">
        <f>Разбивка_по_щитам!M616</f>
        <v/>
      </c>
      <c r="K611" s="20">
        <f>Разбивка_по_щитам!N616</f>
        <v/>
      </c>
      <c r="L611" s="20"/>
      <c r="M611" s="20">
        <f>Разбивка_по_щитам!P616</f>
        <v/>
      </c>
      <c r="N611" s="20"/>
    </row>
    <row r="612" spans="2:14" x14ac:dyDescent="0.25">
      <c r="B612" s="20">
        <f>Разбивка_по_щитам!B617</f>
        <v/>
      </c>
      <c r="C612" s="20">
        <f>Разбивка_по_щитам!C617</f>
      </c>
      <c r="D612" s="20">
        <f>Разбивка_по_щитам!F617</f>
      </c>
      <c r="E612" s="20">
        <f>Разбивка_по_щитам!H617</f>
      </c>
      <c r="F612" s="20">
        <f>Разбивка_по_щитам!I617</f>
      </c>
      <c r="G612" s="20">
        <f>Разбивка_по_щитам!J617</f>
        <v/>
      </c>
      <c r="H612" s="20">
        <f>Разбивка_по_щитам!K617</f>
        <v/>
      </c>
      <c r="I612" s="20">
        <f>Разбивка_по_щитам!L617</f>
        <v/>
      </c>
      <c r="J612" s="20">
        <f>Разбивка_по_щитам!M617</f>
        <v/>
      </c>
      <c r="K612" s="20">
        <f>Разбивка_по_щитам!N617</f>
        <v/>
      </c>
      <c r="L612" s="20"/>
      <c r="M612" s="20">
        <f>Разбивка_по_щитам!P617</f>
        <v/>
      </c>
      <c r="N612" s="20"/>
    </row>
    <row r="613" spans="2:14" x14ac:dyDescent="0.25">
      <c r="B613" s="20">
        <f>Разбивка_по_щитам!B618</f>
        <v/>
      </c>
      <c r="C613" s="20">
        <f>Разбивка_по_щитам!C618</f>
      </c>
      <c r="D613" s="20">
        <f>Разбивка_по_щитам!F618</f>
      </c>
      <c r="E613" s="20">
        <f>Разбивка_по_щитам!H618</f>
      </c>
      <c r="F613" s="20">
        <f>Разбивка_по_щитам!I618</f>
      </c>
      <c r="G613" s="20">
        <f>Разбивка_по_щитам!J618</f>
        <v/>
      </c>
      <c r="H613" s="20">
        <f>Разбивка_по_щитам!K618</f>
        <v/>
      </c>
      <c r="I613" s="20">
        <f>Разбивка_по_щитам!L618</f>
        <v/>
      </c>
      <c r="J613" s="20">
        <f>Разбивка_по_щитам!M618</f>
        <v/>
      </c>
      <c r="K613" s="20">
        <f>Разбивка_по_щитам!N618</f>
        <v/>
      </c>
      <c r="L613" s="20"/>
      <c r="M613" s="20">
        <f>Разбивка_по_щитам!P618</f>
        <v/>
      </c>
      <c r="N613" s="20"/>
    </row>
    <row r="614" spans="2:14" x14ac:dyDescent="0.25">
      <c r="B614" s="20">
        <f>Разбивка_по_щитам!B619</f>
        <v/>
      </c>
      <c r="C614" s="20">
        <f>Разбивка_по_щитам!C619</f>
      </c>
      <c r="D614" s="20">
        <f>Разбивка_по_щитам!F619</f>
      </c>
      <c r="E614" s="20">
        <f>Разбивка_по_щитам!H619</f>
      </c>
      <c r="F614" s="20">
        <f>Разбивка_по_щитам!I619</f>
      </c>
      <c r="G614" s="20">
        <f>Разбивка_по_щитам!J619</f>
        <v/>
      </c>
      <c r="H614" s="20">
        <f>Разбивка_по_щитам!K619</f>
        <v/>
      </c>
      <c r="I614" s="20">
        <f>Разбивка_по_щитам!L619</f>
        <v/>
      </c>
      <c r="J614" s="20">
        <f>Разбивка_по_щитам!M619</f>
        <v/>
      </c>
      <c r="K614" s="20">
        <f>Разбивка_по_щитам!N619</f>
        <v/>
      </c>
      <c r="L614" s="20"/>
      <c r="M614" s="20">
        <f>Разбивка_по_щитам!P619</f>
        <v/>
      </c>
      <c r="N614" s="20"/>
    </row>
    <row r="615" spans="2:14" x14ac:dyDescent="0.25">
      <c r="B615" s="20">
        <f>Разбивка_по_щитам!B620</f>
        <v/>
      </c>
      <c r="C615" s="20">
        <f>Разбивка_по_щитам!C620</f>
      </c>
      <c r="D615" s="20">
        <f>Разбивка_по_щитам!F620</f>
      </c>
      <c r="E615" s="20">
        <f>Разбивка_по_щитам!H620</f>
      </c>
      <c r="F615" s="20">
        <f>Разбивка_по_щитам!I620</f>
      </c>
      <c r="G615" s="20">
        <f>Разбивка_по_щитам!J620</f>
        <v/>
      </c>
      <c r="H615" s="20">
        <f>Разбивка_по_щитам!K620</f>
        <v/>
      </c>
      <c r="I615" s="20">
        <f>Разбивка_по_щитам!L620</f>
        <v/>
      </c>
      <c r="J615" s="20">
        <f>Разбивка_по_щитам!M620</f>
        <v/>
      </c>
      <c r="K615" s="20">
        <f>Разбивка_по_щитам!N620</f>
        <v/>
      </c>
      <c r="L615" s="20"/>
      <c r="M615" s="20">
        <f>Разбивка_по_щитам!P620</f>
        <v/>
      </c>
      <c r="N615" s="20"/>
    </row>
    <row r="616" spans="2:14" x14ac:dyDescent="0.25">
      <c r="B616" s="20">
        <f>Разбивка_по_щитам!B621</f>
        <v/>
      </c>
      <c r="C616" s="20">
        <f>Разбивка_по_щитам!C621</f>
      </c>
      <c r="D616" s="20">
        <f>Разбивка_по_щитам!F621</f>
      </c>
      <c r="E616" s="20">
        <f>Разбивка_по_щитам!H621</f>
      </c>
      <c r="F616" s="20">
        <f>Разбивка_по_щитам!I621</f>
      </c>
      <c r="G616" s="20">
        <f>Разбивка_по_щитам!J621</f>
        <v/>
      </c>
      <c r="H616" s="20">
        <f>Разбивка_по_щитам!K621</f>
        <v/>
      </c>
      <c r="I616" s="20">
        <f>Разбивка_по_щитам!L621</f>
        <v/>
      </c>
      <c r="J616" s="20">
        <f>Разбивка_по_щитам!M621</f>
        <v/>
      </c>
      <c r="K616" s="20">
        <f>Разбивка_по_щитам!N621</f>
        <v/>
      </c>
      <c r="L616" s="20"/>
      <c r="M616" s="20">
        <f>Разбивка_по_щитам!P621</f>
        <v/>
      </c>
      <c r="N616" s="20"/>
    </row>
    <row r="617" spans="2:14" x14ac:dyDescent="0.25">
      <c r="B617" s="20">
        <f>Разбивка_по_щитам!B622</f>
        <v/>
      </c>
      <c r="C617" s="20">
        <f>Разбивка_по_щитам!C622</f>
      </c>
      <c r="D617" s="20">
        <f>Разбивка_по_щитам!F622</f>
      </c>
      <c r="E617" s="20">
        <f>Разбивка_по_щитам!H622</f>
      </c>
      <c r="F617" s="20">
        <f>Разбивка_по_щитам!I622</f>
      </c>
      <c r="G617" s="20">
        <f>Разбивка_по_щитам!J622</f>
        <v/>
      </c>
      <c r="H617" s="20">
        <f>Разбивка_по_щитам!K622</f>
        <v/>
      </c>
      <c r="I617" s="20">
        <f>Разбивка_по_щитам!L622</f>
        <v/>
      </c>
      <c r="J617" s="20">
        <f>Разбивка_по_щитам!M622</f>
        <v/>
      </c>
      <c r="K617" s="20">
        <f>Разбивка_по_щитам!N622</f>
        <v/>
      </c>
      <c r="L617" s="20"/>
      <c r="M617" s="20">
        <f>Разбивка_по_щитам!P622</f>
        <v/>
      </c>
      <c r="N617" s="20"/>
    </row>
    <row r="618" spans="2:14" x14ac:dyDescent="0.25">
      <c r="B618" s="20">
        <f>Разбивка_по_щитам!B623</f>
        <v/>
      </c>
      <c r="C618" s="20">
        <f>Разбивка_по_щитам!C623</f>
      </c>
      <c r="D618" s="20">
        <f>Разбивка_по_щитам!F623</f>
      </c>
      <c r="E618" s="20">
        <f>Разбивка_по_щитам!H623</f>
      </c>
      <c r="F618" s="20">
        <f>Разбивка_по_щитам!I623</f>
      </c>
      <c r="G618" s="20">
        <f>Разбивка_по_щитам!J623</f>
        <v/>
      </c>
      <c r="H618" s="20">
        <f>Разбивка_по_щитам!K623</f>
        <v/>
      </c>
      <c r="I618" s="20">
        <f>Разбивка_по_щитам!L623</f>
        <v/>
      </c>
      <c r="J618" s="20">
        <f>Разбивка_по_щитам!M623</f>
        <v/>
      </c>
      <c r="K618" s="20">
        <f>Разбивка_по_щитам!N623</f>
        <v/>
      </c>
      <c r="L618" s="20"/>
      <c r="M618" s="20">
        <f>Разбивка_по_щитам!P623</f>
        <v/>
      </c>
      <c r="N618" s="20"/>
    </row>
    <row r="619" spans="2:14" x14ac:dyDescent="0.25">
      <c r="B619" s="20">
        <f>Разбивка_по_щитам!B624</f>
        <v/>
      </c>
      <c r="C619" s="20">
        <f>Разбивка_по_щитам!C624</f>
      </c>
      <c r="D619" s="20">
        <f>Разбивка_по_щитам!F624</f>
      </c>
      <c r="E619" s="20">
        <f>Разбивка_по_щитам!H624</f>
      </c>
      <c r="F619" s="20">
        <f>Разбивка_по_щитам!I624</f>
      </c>
      <c r="G619" s="20">
        <f>Разбивка_по_щитам!J624</f>
        <v/>
      </c>
      <c r="H619" s="20">
        <f>Разбивка_по_щитам!K624</f>
        <v/>
      </c>
      <c r="I619" s="20">
        <f>Разбивка_по_щитам!L624</f>
        <v/>
      </c>
      <c r="J619" s="20">
        <f>Разбивка_по_щитам!M624</f>
        <v/>
      </c>
      <c r="K619" s="20">
        <f>Разбивка_по_щитам!N624</f>
        <v/>
      </c>
      <c r="L619" s="20"/>
      <c r="M619" s="20">
        <f>Разбивка_по_щитам!P624</f>
        <v/>
      </c>
      <c r="N619" s="20"/>
    </row>
    <row r="620" spans="2:14" x14ac:dyDescent="0.25">
      <c r="B620" s="20">
        <f>Разбивка_по_щитам!B625</f>
        <v/>
      </c>
      <c r="C620" s="20">
        <f>Разбивка_по_щитам!C625</f>
      </c>
      <c r="D620" s="20">
        <f>Разбивка_по_щитам!F625</f>
      </c>
      <c r="E620" s="20">
        <f>Разбивка_по_щитам!H625</f>
      </c>
      <c r="F620" s="20">
        <f>Разбивка_по_щитам!I625</f>
      </c>
      <c r="G620" s="20">
        <f>Разбивка_по_щитам!J625</f>
        <v/>
      </c>
      <c r="H620" s="20">
        <f>Разбивка_по_щитам!K625</f>
        <v/>
      </c>
      <c r="I620" s="20">
        <f>Разбивка_по_щитам!L625</f>
        <v/>
      </c>
      <c r="J620" s="20">
        <f>Разбивка_по_щитам!M625</f>
        <v/>
      </c>
      <c r="K620" s="20">
        <f>Разбивка_по_щитам!N625</f>
        <v/>
      </c>
      <c r="L620" s="20"/>
      <c r="M620" s="20">
        <f>Разбивка_по_щитам!P625</f>
        <v/>
      </c>
      <c r="N620" s="20"/>
    </row>
    <row r="621" spans="2:14" x14ac:dyDescent="0.25">
      <c r="B621" s="20">
        <f>Разбивка_по_щитам!B626</f>
        <v/>
      </c>
      <c r="C621" s="20">
        <f>Разбивка_по_щитам!C626</f>
      </c>
      <c r="D621" s="20">
        <f>Разбивка_по_щитам!F626</f>
      </c>
      <c r="E621" s="20">
        <f>Разбивка_по_щитам!H626</f>
      </c>
      <c r="F621" s="20">
        <f>Разбивка_по_щитам!I626</f>
      </c>
      <c r="G621" s="20">
        <f>Разбивка_по_щитам!J626</f>
        <v/>
      </c>
      <c r="H621" s="20">
        <f>Разбивка_по_щитам!K626</f>
        <v/>
      </c>
      <c r="I621" s="20">
        <f>Разбивка_по_щитам!L626</f>
        <v/>
      </c>
      <c r="J621" s="20">
        <f>Разбивка_по_щитам!M626</f>
        <v/>
      </c>
      <c r="K621" s="20">
        <f>Разбивка_по_щитам!N626</f>
        <v/>
      </c>
      <c r="L621" s="20"/>
      <c r="M621" s="20">
        <f>Разбивка_по_щитам!P626</f>
        <v/>
      </c>
      <c r="N621" s="20"/>
    </row>
    <row r="622" spans="2:14" x14ac:dyDescent="0.25">
      <c r="B622" s="20">
        <f>Разбивка_по_щитам!B627</f>
        <v/>
      </c>
      <c r="C622" s="20">
        <f>Разбивка_по_щитам!C627</f>
      </c>
      <c r="D622" s="20">
        <f>Разбивка_по_щитам!F627</f>
      </c>
      <c r="E622" s="20">
        <f>Разбивка_по_щитам!H627</f>
      </c>
      <c r="F622" s="20">
        <f>Разбивка_по_щитам!I627</f>
      </c>
      <c r="G622" s="20">
        <f>Разбивка_по_щитам!J627</f>
        <v/>
      </c>
      <c r="H622" s="20">
        <f>Разбивка_по_щитам!K627</f>
        <v/>
      </c>
      <c r="I622" s="20">
        <f>Разбивка_по_щитам!L627</f>
        <v/>
      </c>
      <c r="J622" s="20">
        <f>Разбивка_по_щитам!M627</f>
        <v/>
      </c>
      <c r="K622" s="20">
        <f>Разбивка_по_щитам!N627</f>
        <v/>
      </c>
      <c r="L622" s="20"/>
      <c r="M622" s="20">
        <f>Разбивка_по_щитам!P627</f>
        <v/>
      </c>
      <c r="N622" s="20"/>
    </row>
    <row r="623" spans="2:14" x14ac:dyDescent="0.25">
      <c r="B623" s="20">
        <f>Разбивка_по_щитам!B628</f>
        <v/>
      </c>
      <c r="C623" s="20">
        <f>Разбивка_по_щитам!C628</f>
      </c>
      <c r="D623" s="20">
        <f>Разбивка_по_щитам!F628</f>
      </c>
      <c r="E623" s="20">
        <f>Разбивка_по_щитам!H628</f>
      </c>
      <c r="F623" s="20">
        <f>Разбивка_по_щитам!I628</f>
      </c>
      <c r="G623" s="20">
        <f>Разбивка_по_щитам!J628</f>
        <v/>
      </c>
      <c r="H623" s="20">
        <f>Разбивка_по_щитам!K628</f>
        <v/>
      </c>
      <c r="I623" s="20">
        <f>Разбивка_по_щитам!L628</f>
        <v/>
      </c>
      <c r="J623" s="20">
        <f>Разбивка_по_щитам!M628</f>
        <v/>
      </c>
      <c r="K623" s="20">
        <f>Разбивка_по_щитам!N628</f>
        <v/>
      </c>
      <c r="L623" s="20"/>
      <c r="M623" s="20">
        <f>Разбивка_по_щитам!P628</f>
        <v/>
      </c>
      <c r="N623" s="20"/>
    </row>
    <row r="624" spans="2:14" x14ac:dyDescent="0.25">
      <c r="B624" s="20">
        <f>Разбивка_по_щитам!B629</f>
        <v/>
      </c>
      <c r="C624" s="20">
        <f>Разбивка_по_щитам!C629</f>
      </c>
      <c r="D624" s="20">
        <f>Разбивка_по_щитам!F629</f>
      </c>
      <c r="E624" s="20">
        <f>Разбивка_по_щитам!H629</f>
      </c>
      <c r="F624" s="20">
        <f>Разбивка_по_щитам!I629</f>
      </c>
      <c r="G624" s="20">
        <f>Разбивка_по_щитам!J629</f>
        <v/>
      </c>
      <c r="H624" s="20">
        <f>Разбивка_по_щитам!K629</f>
        <v/>
      </c>
      <c r="I624" s="20">
        <f>Разбивка_по_щитам!L629</f>
        <v/>
      </c>
      <c r="J624" s="20">
        <f>Разбивка_по_щитам!M629</f>
        <v/>
      </c>
      <c r="K624" s="20">
        <f>Разбивка_по_щитам!N629</f>
        <v/>
      </c>
      <c r="L624" s="20"/>
      <c r="M624" s="20">
        <f>Разбивка_по_щитам!P629</f>
        <v/>
      </c>
      <c r="N624" s="20"/>
    </row>
    <row r="625" spans="2:14" x14ac:dyDescent="0.25">
      <c r="B625" s="20">
        <f>Разбивка_по_щитам!B630</f>
        <v/>
      </c>
      <c r="C625" s="20">
        <f>Разбивка_по_щитам!C630</f>
      </c>
      <c r="D625" s="20">
        <f>Разбивка_по_щитам!F630</f>
      </c>
      <c r="E625" s="20">
        <f>Разбивка_по_щитам!H630</f>
      </c>
      <c r="F625" s="20">
        <f>Разбивка_по_щитам!I630</f>
      </c>
      <c r="G625" s="20">
        <f>Разбивка_по_щитам!J630</f>
        <v/>
      </c>
      <c r="H625" s="20">
        <f>Разбивка_по_щитам!K630</f>
        <v/>
      </c>
      <c r="I625" s="20">
        <f>Разбивка_по_щитам!L630</f>
        <v/>
      </c>
      <c r="J625" s="20">
        <f>Разбивка_по_щитам!M630</f>
        <v/>
      </c>
      <c r="K625" s="20">
        <f>Разбивка_по_щитам!N630</f>
        <v/>
      </c>
      <c r="L625" s="20"/>
      <c r="M625" s="20">
        <f>Разбивка_по_щитам!P630</f>
        <v/>
      </c>
      <c r="N625" s="20"/>
    </row>
    <row r="626" spans="2:14" x14ac:dyDescent="0.25">
      <c r="B626" s="20">
        <f>Разбивка_по_щитам!B631</f>
        <v/>
      </c>
      <c r="C626" s="20">
        <f>Разбивка_по_щитам!C631</f>
      </c>
      <c r="D626" s="20">
        <f>Разбивка_по_щитам!F631</f>
      </c>
      <c r="E626" s="20">
        <f>Разбивка_по_щитам!H631</f>
      </c>
      <c r="F626" s="20">
        <f>Разбивка_по_щитам!I631</f>
      </c>
      <c r="G626" s="20">
        <f>Разбивка_по_щитам!J631</f>
        <v/>
      </c>
      <c r="H626" s="20">
        <f>Разбивка_по_щитам!K631</f>
        <v/>
      </c>
      <c r="I626" s="20">
        <f>Разбивка_по_щитам!L631</f>
        <v/>
      </c>
      <c r="J626" s="20">
        <f>Разбивка_по_щитам!M631</f>
        <v/>
      </c>
      <c r="K626" s="20">
        <f>Разбивка_по_щитам!N631</f>
        <v/>
      </c>
      <c r="L626" s="20"/>
      <c r="M626" s="20">
        <f>Разбивка_по_щитам!P631</f>
        <v/>
      </c>
      <c r="N626" s="20"/>
    </row>
    <row r="627" spans="2:14" x14ac:dyDescent="0.25">
      <c r="B627" s="20">
        <f>Разбивка_по_щитам!B632</f>
        <v/>
      </c>
      <c r="C627" s="20">
        <f>Разбивка_по_щитам!C632</f>
      </c>
      <c r="D627" s="20">
        <f>Разбивка_по_щитам!F632</f>
      </c>
      <c r="E627" s="20">
        <f>Разбивка_по_щитам!H632</f>
      </c>
      <c r="F627" s="20">
        <f>Разбивка_по_щитам!I632</f>
      </c>
      <c r="G627" s="20">
        <f>Разбивка_по_щитам!J632</f>
        <v/>
      </c>
      <c r="H627" s="20">
        <f>Разбивка_по_щитам!K632</f>
        <v/>
      </c>
      <c r="I627" s="20">
        <f>Разбивка_по_щитам!L632</f>
        <v/>
      </c>
      <c r="J627" s="20">
        <f>Разбивка_по_щитам!M632</f>
        <v/>
      </c>
      <c r="K627" s="20">
        <f>Разбивка_по_щитам!N632</f>
        <v/>
      </c>
      <c r="L627" s="20"/>
      <c r="M627" s="20">
        <f>Разбивка_по_щитам!P632</f>
        <v/>
      </c>
      <c r="N627" s="20"/>
    </row>
    <row r="628" spans="2:14" x14ac:dyDescent="0.25">
      <c r="B628" s="20">
        <f>Разбивка_по_щитам!B633</f>
        <v/>
      </c>
      <c r="C628" s="20">
        <f>Разбивка_по_щитам!C633</f>
      </c>
      <c r="D628" s="20">
        <f>Разбивка_по_щитам!F633</f>
      </c>
      <c r="E628" s="20">
        <f>Разбивка_по_щитам!H633</f>
      </c>
      <c r="F628" s="20">
        <f>Разбивка_по_щитам!I633</f>
      </c>
      <c r="G628" s="20">
        <f>Разбивка_по_щитам!J633</f>
        <v/>
      </c>
      <c r="H628" s="20">
        <f>Разбивка_по_щитам!K633</f>
        <v/>
      </c>
      <c r="I628" s="20">
        <f>Разбивка_по_щитам!L633</f>
        <v/>
      </c>
      <c r="J628" s="20">
        <f>Разбивка_по_щитам!M633</f>
        <v/>
      </c>
      <c r="K628" s="20">
        <f>Разбивка_по_щитам!N633</f>
        <v/>
      </c>
      <c r="L628" s="20"/>
      <c r="M628" s="20">
        <f>Разбивка_по_щитам!P633</f>
        <v/>
      </c>
      <c r="N628" s="20"/>
    </row>
    <row r="629" spans="2:14" x14ac:dyDescent="0.25">
      <c r="B629" s="20">
        <f>Разбивка_по_щитам!B634</f>
        <v/>
      </c>
      <c r="C629" s="20">
        <f>Разбивка_по_щитам!C634</f>
      </c>
      <c r="D629" s="20">
        <f>Разбивка_по_щитам!F634</f>
      </c>
      <c r="E629" s="20">
        <f>Разбивка_по_щитам!H634</f>
      </c>
      <c r="F629" s="20">
        <f>Разбивка_по_щитам!I634</f>
      </c>
      <c r="G629" s="20">
        <f>Разбивка_по_щитам!J634</f>
        <v/>
      </c>
      <c r="H629" s="20">
        <f>Разбивка_по_щитам!K634</f>
        <v/>
      </c>
      <c r="I629" s="20">
        <f>Разбивка_по_щитам!L634</f>
        <v/>
      </c>
      <c r="J629" s="20">
        <f>Разбивка_по_щитам!M634</f>
        <v/>
      </c>
      <c r="K629" s="20">
        <f>Разбивка_по_щитам!N634</f>
        <v/>
      </c>
      <c r="L629" s="20"/>
      <c r="M629" s="20">
        <f>Разбивка_по_щитам!P634</f>
        <v/>
      </c>
      <c r="N629" s="20"/>
    </row>
    <row r="630" spans="2:14" x14ac:dyDescent="0.25">
      <c r="B630" s="20">
        <f>Разбивка_по_щитам!B635</f>
        <v/>
      </c>
      <c r="C630" s="20">
        <f>Разбивка_по_щитам!C635</f>
      </c>
      <c r="D630" s="20">
        <f>Разбивка_по_щитам!F635</f>
      </c>
      <c r="E630" s="20">
        <f>Разбивка_по_щитам!H635</f>
      </c>
      <c r="F630" s="20">
        <f>Разбивка_по_щитам!I635</f>
      </c>
      <c r="G630" s="20">
        <f>Разбивка_по_щитам!J635</f>
        <v/>
      </c>
      <c r="H630" s="20">
        <f>Разбивка_по_щитам!K635</f>
        <v/>
      </c>
      <c r="I630" s="20">
        <f>Разбивка_по_щитам!L635</f>
        <v/>
      </c>
      <c r="J630" s="20">
        <f>Разбивка_по_щитам!M635</f>
        <v/>
      </c>
      <c r="K630" s="20">
        <f>Разбивка_по_щитам!N635</f>
        <v/>
      </c>
      <c r="L630" s="20"/>
      <c r="M630" s="20">
        <f>Разбивка_по_щитам!P635</f>
        <v/>
      </c>
      <c r="N630" s="20"/>
    </row>
    <row r="631" spans="2:14" x14ac:dyDescent="0.25">
      <c r="B631" s="20">
        <f>Разбивка_по_щитам!B636</f>
        <v/>
      </c>
      <c r="C631" s="20">
        <f>Разбивка_по_щитам!C636</f>
      </c>
      <c r="D631" s="20">
        <f>Разбивка_по_щитам!F636</f>
      </c>
      <c r="E631" s="20">
        <f>Разбивка_по_щитам!H636</f>
      </c>
      <c r="F631" s="20">
        <f>Разбивка_по_щитам!I636</f>
      </c>
      <c r="G631" s="20">
        <f>Разбивка_по_щитам!J636</f>
        <v/>
      </c>
      <c r="H631" s="20">
        <f>Разбивка_по_щитам!K636</f>
        <v/>
      </c>
      <c r="I631" s="20">
        <f>Разбивка_по_щитам!L636</f>
        <v/>
      </c>
      <c r="J631" s="20">
        <f>Разбивка_по_щитам!M636</f>
        <v/>
      </c>
      <c r="K631" s="20">
        <f>Разбивка_по_щитам!N636</f>
        <v/>
      </c>
      <c r="L631" s="20"/>
      <c r="M631" s="20">
        <f>Разбивка_по_щитам!P636</f>
        <v/>
      </c>
      <c r="N631" s="20"/>
    </row>
    <row r="632" spans="2:14" x14ac:dyDescent="0.25">
      <c r="B632" s="20">
        <f>Разбивка_по_щитам!B637</f>
        <v/>
      </c>
      <c r="C632" s="20">
        <f>Разбивка_по_щитам!C637</f>
      </c>
      <c r="D632" s="20">
        <f>Разбивка_по_щитам!F637</f>
      </c>
      <c r="E632" s="20">
        <f>Разбивка_по_щитам!H637</f>
      </c>
      <c r="F632" s="20">
        <f>Разбивка_по_щитам!I637</f>
      </c>
      <c r="G632" s="20">
        <f>Разбивка_по_щитам!J637</f>
        <v/>
      </c>
      <c r="H632" s="20">
        <f>Разбивка_по_щитам!K637</f>
        <v/>
      </c>
      <c r="I632" s="20">
        <f>Разбивка_по_щитам!L637</f>
        <v/>
      </c>
      <c r="J632" s="20">
        <f>Разбивка_по_щитам!M637</f>
        <v/>
      </c>
      <c r="K632" s="20">
        <f>Разбивка_по_щитам!N637</f>
        <v/>
      </c>
      <c r="L632" s="20"/>
      <c r="M632" s="20">
        <f>Разбивка_по_щитам!P637</f>
        <v/>
      </c>
      <c r="N632" s="20"/>
    </row>
    <row r="633" spans="2:14" x14ac:dyDescent="0.25">
      <c r="B633" s="20">
        <f>Разбивка_по_щитам!B638</f>
        <v/>
      </c>
      <c r="C633" s="20">
        <f>Разбивка_по_щитам!C638</f>
      </c>
      <c r="D633" s="20">
        <f>Разбивка_по_щитам!F638</f>
      </c>
      <c r="E633" s="20">
        <f>Разбивка_по_щитам!H638</f>
      </c>
      <c r="F633" s="20">
        <f>Разбивка_по_щитам!I638</f>
      </c>
      <c r="G633" s="20">
        <f>Разбивка_по_щитам!J638</f>
        <v/>
      </c>
      <c r="H633" s="20">
        <f>Разбивка_по_щитам!K638</f>
        <v/>
      </c>
      <c r="I633" s="20">
        <f>Разбивка_по_щитам!L638</f>
        <v/>
      </c>
      <c r="J633" s="20">
        <f>Разбивка_по_щитам!M638</f>
        <v/>
      </c>
      <c r="K633" s="20">
        <f>Разбивка_по_щитам!N638</f>
        <v/>
      </c>
      <c r="L633" s="20"/>
      <c r="M633" s="20">
        <f>Разбивка_по_щитам!P638</f>
        <v/>
      </c>
      <c r="N633" s="20"/>
    </row>
    <row r="634" spans="2:14" x14ac:dyDescent="0.25">
      <c r="B634" s="20">
        <f>Разбивка_по_щитам!B639</f>
        <v/>
      </c>
      <c r="C634" s="20">
        <f>Разбивка_по_щитам!C639</f>
      </c>
      <c r="D634" s="20">
        <f>Разбивка_по_щитам!F639</f>
      </c>
      <c r="E634" s="20">
        <f>Разбивка_по_щитам!H639</f>
      </c>
      <c r="F634" s="20">
        <f>Разбивка_по_щитам!I639</f>
      </c>
      <c r="G634" s="20">
        <f>Разбивка_по_щитам!J639</f>
        <v/>
      </c>
      <c r="H634" s="20">
        <f>Разбивка_по_щитам!K639</f>
        <v/>
      </c>
      <c r="I634" s="20">
        <f>Разбивка_по_щитам!L639</f>
        <v/>
      </c>
      <c r="J634" s="20">
        <f>Разбивка_по_щитам!M639</f>
        <v/>
      </c>
      <c r="K634" s="20">
        <f>Разбивка_по_щитам!N639</f>
        <v/>
      </c>
      <c r="L634" s="20"/>
      <c r="M634" s="20">
        <f>Разбивка_по_щитам!P639</f>
        <v/>
      </c>
      <c r="N634" s="20"/>
    </row>
    <row r="635" spans="2:14" x14ac:dyDescent="0.25">
      <c r="B635" s="20">
        <f>Разбивка_по_щитам!B640</f>
        <v/>
      </c>
      <c r="C635" s="20">
        <f>Разбивка_по_щитам!C640</f>
      </c>
      <c r="D635" s="20">
        <f>Разбивка_по_щитам!F640</f>
      </c>
      <c r="E635" s="20">
        <f>Разбивка_по_щитам!H640</f>
      </c>
      <c r="F635" s="20">
        <f>Разбивка_по_щитам!I640</f>
      </c>
      <c r="G635" s="20">
        <f>Разбивка_по_щитам!J640</f>
        <v/>
      </c>
      <c r="H635" s="20">
        <f>Разбивка_по_щитам!K640</f>
        <v/>
      </c>
      <c r="I635" s="20">
        <f>Разбивка_по_щитам!L640</f>
        <v/>
      </c>
      <c r="J635" s="20">
        <f>Разбивка_по_щитам!M640</f>
        <v/>
      </c>
      <c r="K635" s="20">
        <f>Разбивка_по_щитам!N640</f>
        <v/>
      </c>
      <c r="L635" s="20"/>
      <c r="M635" s="20">
        <f>Разбивка_по_щитам!P640</f>
        <v/>
      </c>
      <c r="N635" s="20"/>
    </row>
    <row r="636" spans="2:14" x14ac:dyDescent="0.25">
      <c r="B636" s="20">
        <f>Разбивка_по_щитам!B641</f>
        <v/>
      </c>
      <c r="C636" s="20">
        <f>Разбивка_по_щитам!C641</f>
      </c>
      <c r="D636" s="20">
        <f>Разбивка_по_щитам!F641</f>
      </c>
      <c r="E636" s="20">
        <f>Разбивка_по_щитам!H641</f>
      </c>
      <c r="F636" s="20">
        <f>Разбивка_по_щитам!I641</f>
      </c>
      <c r="G636" s="20">
        <f>Разбивка_по_щитам!J641</f>
        <v/>
      </c>
      <c r="H636" s="20">
        <f>Разбивка_по_щитам!K641</f>
        <v/>
      </c>
      <c r="I636" s="20">
        <f>Разбивка_по_щитам!L641</f>
        <v/>
      </c>
      <c r="J636" s="20">
        <f>Разбивка_по_щитам!M641</f>
        <v/>
      </c>
      <c r="K636" s="20">
        <f>Разбивка_по_щитам!N641</f>
        <v/>
      </c>
      <c r="L636" s="20"/>
      <c r="M636" s="20">
        <f>Разбивка_по_щитам!P641</f>
        <v/>
      </c>
      <c r="N636" s="20"/>
    </row>
    <row r="637" spans="2:14" x14ac:dyDescent="0.25">
      <c r="B637" s="20">
        <f>Разбивка_по_щитам!B642</f>
        <v/>
      </c>
      <c r="C637" s="20">
        <f>Разбивка_по_щитам!C642</f>
      </c>
      <c r="D637" s="20">
        <f>Разбивка_по_щитам!F642</f>
      </c>
      <c r="E637" s="20">
        <f>Разбивка_по_щитам!H642</f>
      </c>
      <c r="F637" s="20">
        <f>Разбивка_по_щитам!I642</f>
      </c>
      <c r="G637" s="20">
        <f>Разбивка_по_щитам!J642</f>
        <v/>
      </c>
      <c r="H637" s="20">
        <f>Разбивка_по_щитам!K642</f>
        <v/>
      </c>
      <c r="I637" s="20">
        <f>Разбивка_по_щитам!L642</f>
        <v/>
      </c>
      <c r="J637" s="20">
        <f>Разбивка_по_щитам!M642</f>
        <v/>
      </c>
      <c r="K637" s="20">
        <f>Разбивка_по_щитам!N642</f>
        <v/>
      </c>
      <c r="L637" s="20"/>
      <c r="M637" s="20">
        <f>Разбивка_по_щитам!P642</f>
        <v/>
      </c>
      <c r="N637" s="20"/>
    </row>
    <row r="638" spans="2:14" x14ac:dyDescent="0.25">
      <c r="B638" s="20">
        <f>Разбивка_по_щитам!B643</f>
        <v/>
      </c>
      <c r="C638" s="20">
        <f>Разбивка_по_щитам!C643</f>
      </c>
      <c r="D638" s="20">
        <f>Разбивка_по_щитам!F643</f>
      </c>
      <c r="E638" s="20">
        <f>Разбивка_по_щитам!H643</f>
      </c>
      <c r="F638" s="20">
        <f>Разбивка_по_щитам!I643</f>
      </c>
      <c r="G638" s="20">
        <f>Разбивка_по_щитам!J643</f>
        <v/>
      </c>
      <c r="H638" s="20">
        <f>Разбивка_по_щитам!K643</f>
        <v/>
      </c>
      <c r="I638" s="20">
        <f>Разбивка_по_щитам!L643</f>
        <v/>
      </c>
      <c r="J638" s="20">
        <f>Разбивка_по_щитам!M643</f>
        <v/>
      </c>
      <c r="K638" s="20">
        <f>Разбивка_по_щитам!N643</f>
        <v/>
      </c>
      <c r="L638" s="20"/>
      <c r="M638" s="20">
        <f>Разбивка_по_щитам!P643</f>
        <v/>
      </c>
      <c r="N638" s="20"/>
    </row>
    <row r="639" spans="2:14" x14ac:dyDescent="0.25">
      <c r="B639" s="20">
        <f>Разбивка_по_щитам!B644</f>
        <v/>
      </c>
      <c r="C639" s="20">
        <f>Разбивка_по_щитам!C644</f>
      </c>
      <c r="D639" s="20">
        <f>Разбивка_по_щитам!F644</f>
      </c>
      <c r="E639" s="20">
        <f>Разбивка_по_щитам!H644</f>
      </c>
      <c r="F639" s="20">
        <f>Разбивка_по_щитам!I644</f>
      </c>
      <c r="G639" s="20">
        <f>Разбивка_по_щитам!J644</f>
        <v/>
      </c>
      <c r="H639" s="20">
        <f>Разбивка_по_щитам!K644</f>
        <v/>
      </c>
      <c r="I639" s="20">
        <f>Разбивка_по_щитам!L644</f>
        <v/>
      </c>
      <c r="J639" s="20">
        <f>Разбивка_по_щитам!M644</f>
        <v/>
      </c>
      <c r="K639" s="20">
        <f>Разбивка_по_щитам!N644</f>
        <v/>
      </c>
      <c r="L639" s="20"/>
      <c r="M639" s="20">
        <f>Разбивка_по_щитам!P644</f>
        <v/>
      </c>
      <c r="N639" s="20"/>
    </row>
    <row r="640" spans="2:14" x14ac:dyDescent="0.25">
      <c r="B640" s="20">
        <f>Разбивка_по_щитам!B645</f>
        <v/>
      </c>
      <c r="C640" s="20">
        <f>Разбивка_по_щитам!C645</f>
      </c>
      <c r="D640" s="20">
        <f>Разбивка_по_щитам!F645</f>
      </c>
      <c r="E640" s="20">
        <f>Разбивка_по_щитам!H645</f>
      </c>
      <c r="F640" s="20">
        <f>Разбивка_по_щитам!I645</f>
      </c>
      <c r="G640" s="20">
        <f>Разбивка_по_щитам!J645</f>
        <v/>
      </c>
      <c r="H640" s="20">
        <f>Разбивка_по_щитам!K645</f>
        <v/>
      </c>
      <c r="I640" s="20">
        <f>Разбивка_по_щитам!L645</f>
        <v/>
      </c>
      <c r="J640" s="20">
        <f>Разбивка_по_щитам!M645</f>
        <v/>
      </c>
      <c r="K640" s="20">
        <f>Разбивка_по_щитам!N645</f>
        <v/>
      </c>
      <c r="L640" s="20"/>
      <c r="M640" s="20">
        <f>Разбивка_по_щитам!P645</f>
        <v/>
      </c>
      <c r="N640" s="20"/>
    </row>
    <row r="641" spans="2:14" x14ac:dyDescent="0.25">
      <c r="B641" s="20">
        <f>Разбивка_по_щитам!B646</f>
        <v/>
      </c>
      <c r="C641" s="20">
        <f>Разбивка_по_щитам!C646</f>
      </c>
      <c r="D641" s="20">
        <f>Разбивка_по_щитам!F646</f>
      </c>
      <c r="E641" s="20">
        <f>Разбивка_по_щитам!H646</f>
      </c>
      <c r="F641" s="20">
        <f>Разбивка_по_щитам!I646</f>
      </c>
      <c r="G641" s="20">
        <f>Разбивка_по_щитам!J646</f>
        <v/>
      </c>
      <c r="H641" s="20">
        <f>Разбивка_по_щитам!K646</f>
        <v/>
      </c>
      <c r="I641" s="20">
        <f>Разбивка_по_щитам!L646</f>
        <v/>
      </c>
      <c r="J641" s="20">
        <f>Разбивка_по_щитам!M646</f>
        <v/>
      </c>
      <c r="K641" s="20">
        <f>Разбивка_по_щитам!N646</f>
        <v/>
      </c>
      <c r="L641" s="20"/>
      <c r="M641" s="20">
        <f>Разбивка_по_щитам!P646</f>
        <v/>
      </c>
      <c r="N641" s="20"/>
    </row>
    <row r="642" spans="2:14" x14ac:dyDescent="0.25">
      <c r="B642" s="20">
        <f>Разбивка_по_щитам!B647</f>
        <v/>
      </c>
      <c r="C642" s="20">
        <f>Разбивка_по_щитам!C647</f>
      </c>
      <c r="D642" s="20">
        <f>Разбивка_по_щитам!F647</f>
      </c>
      <c r="E642" s="20">
        <f>Разбивка_по_щитам!H647</f>
      </c>
      <c r="F642" s="20">
        <f>Разбивка_по_щитам!I647</f>
      </c>
      <c r="G642" s="20">
        <f>Разбивка_по_щитам!J647</f>
        <v/>
      </c>
      <c r="H642" s="20">
        <f>Разбивка_по_щитам!K647</f>
        <v/>
      </c>
      <c r="I642" s="20">
        <f>Разбивка_по_щитам!L647</f>
        <v/>
      </c>
      <c r="J642" s="20">
        <f>Разбивка_по_щитам!M647</f>
        <v/>
      </c>
      <c r="K642" s="20">
        <f>Разбивка_по_щитам!N647</f>
        <v/>
      </c>
      <c r="L642" s="20"/>
      <c r="M642" s="20">
        <f>Разбивка_по_щитам!P647</f>
        <v/>
      </c>
      <c r="N642" s="20"/>
    </row>
    <row r="643" spans="2:14" x14ac:dyDescent="0.25">
      <c r="B643" s="20">
        <f>Разбивка_по_щитам!B648</f>
        <v/>
      </c>
      <c r="C643" s="20">
        <f>Разбивка_по_щитам!C648</f>
      </c>
      <c r="D643" s="20">
        <f>Разбивка_по_щитам!F648</f>
      </c>
      <c r="E643" s="20">
        <f>Разбивка_по_щитам!H648</f>
      </c>
      <c r="F643" s="20">
        <f>Разбивка_по_щитам!I648</f>
      </c>
      <c r="G643" s="20">
        <f>Разбивка_по_щитам!J648</f>
        <v/>
      </c>
      <c r="H643" s="20">
        <f>Разбивка_по_щитам!K648</f>
        <v/>
      </c>
      <c r="I643" s="20">
        <f>Разбивка_по_щитам!L648</f>
        <v/>
      </c>
      <c r="J643" s="20">
        <f>Разбивка_по_щитам!M648</f>
        <v/>
      </c>
      <c r="K643" s="20">
        <f>Разбивка_по_щитам!N648</f>
        <v/>
      </c>
      <c r="L643" s="20"/>
      <c r="M643" s="20">
        <f>Разбивка_по_щитам!P648</f>
        <v/>
      </c>
      <c r="N643" s="20"/>
    </row>
    <row r="644" spans="2:14" x14ac:dyDescent="0.25">
      <c r="B644" s="20">
        <f>Разбивка_по_щитам!B649</f>
        <v/>
      </c>
      <c r="C644" s="20">
        <f>Разбивка_по_щитам!C649</f>
      </c>
      <c r="D644" s="20">
        <f>Разбивка_по_щитам!F649</f>
      </c>
      <c r="E644" s="20">
        <f>Разбивка_по_щитам!H649</f>
      </c>
      <c r="F644" s="20">
        <f>Разбивка_по_щитам!I649</f>
      </c>
      <c r="G644" s="20">
        <f>Разбивка_по_щитам!J649</f>
        <v/>
      </c>
      <c r="H644" s="20">
        <f>Разбивка_по_щитам!K649</f>
        <v/>
      </c>
      <c r="I644" s="20">
        <f>Разбивка_по_щитам!L649</f>
        <v/>
      </c>
      <c r="J644" s="20">
        <f>Разбивка_по_щитам!M649</f>
        <v/>
      </c>
      <c r="K644" s="20">
        <f>Разбивка_по_щитам!N649</f>
        <v/>
      </c>
      <c r="L644" s="20"/>
      <c r="M644" s="20">
        <f>Разбивка_по_щитам!P649</f>
        <v/>
      </c>
      <c r="N644" s="20"/>
    </row>
    <row r="645" spans="2:14" x14ac:dyDescent="0.25">
      <c r="B645" s="20">
        <f>Разбивка_по_щитам!B650</f>
        <v/>
      </c>
      <c r="C645" s="20">
        <f>Разбивка_по_щитам!C650</f>
      </c>
      <c r="D645" s="20">
        <f>Разбивка_по_щитам!F650</f>
      </c>
      <c r="E645" s="20">
        <f>Разбивка_по_щитам!H650</f>
      </c>
      <c r="F645" s="20">
        <f>Разбивка_по_щитам!I650</f>
      </c>
      <c r="G645" s="20">
        <f>Разбивка_по_щитам!J650</f>
        <v/>
      </c>
      <c r="H645" s="20">
        <f>Разбивка_по_щитам!K650</f>
        <v/>
      </c>
      <c r="I645" s="20">
        <f>Разбивка_по_щитам!L650</f>
        <v/>
      </c>
      <c r="J645" s="20">
        <f>Разбивка_по_щитам!M650</f>
        <v/>
      </c>
      <c r="K645" s="20">
        <f>Разбивка_по_щитам!N650</f>
        <v/>
      </c>
      <c r="L645" s="20"/>
      <c r="M645" s="20">
        <f>Разбивка_по_щитам!P650</f>
        <v/>
      </c>
      <c r="N645" s="20"/>
    </row>
    <row r="646" spans="2:14" x14ac:dyDescent="0.25">
      <c r="B646" s="20">
        <f>Разбивка_по_щитам!B651</f>
        <v/>
      </c>
      <c r="C646" s="20">
        <f>Разбивка_по_щитам!C651</f>
      </c>
      <c r="D646" s="20">
        <f>Разбивка_по_щитам!F651</f>
      </c>
      <c r="E646" s="20">
        <f>Разбивка_по_щитам!H651</f>
      </c>
      <c r="F646" s="20">
        <f>Разбивка_по_щитам!I651</f>
      </c>
      <c r="G646" s="20">
        <f>Разбивка_по_щитам!J651</f>
        <v/>
      </c>
      <c r="H646" s="20">
        <f>Разбивка_по_щитам!K651</f>
        <v/>
      </c>
      <c r="I646" s="20">
        <f>Разбивка_по_щитам!L651</f>
        <v/>
      </c>
      <c r="J646" s="20">
        <f>Разбивка_по_щитам!M651</f>
        <v/>
      </c>
      <c r="K646" s="20">
        <f>Разбивка_по_щитам!N651</f>
        <v/>
      </c>
      <c r="L646" s="20"/>
      <c r="M646" s="20">
        <f>Разбивка_по_щитам!P651</f>
        <v/>
      </c>
      <c r="N646" s="20"/>
    </row>
    <row r="647" spans="2:14" x14ac:dyDescent="0.25">
      <c r="B647" s="20">
        <f>Разбивка_по_щитам!B652</f>
        <v/>
      </c>
      <c r="C647" s="20">
        <f>Разбивка_по_щитам!C652</f>
      </c>
      <c r="D647" s="20">
        <f>Разбивка_по_щитам!F652</f>
      </c>
      <c r="E647" s="20">
        <f>Разбивка_по_щитам!H652</f>
      </c>
      <c r="F647" s="20">
        <f>Разбивка_по_щитам!I652</f>
      </c>
      <c r="G647" s="20">
        <f>Разбивка_по_щитам!J652</f>
        <v/>
      </c>
      <c r="H647" s="20">
        <f>Разбивка_по_щитам!K652</f>
        <v/>
      </c>
      <c r="I647" s="20">
        <f>Разбивка_по_щитам!L652</f>
        <v/>
      </c>
      <c r="J647" s="20">
        <f>Разбивка_по_щитам!M652</f>
        <v/>
      </c>
      <c r="K647" s="20">
        <f>Разбивка_по_щитам!N652</f>
        <v/>
      </c>
      <c r="L647" s="20"/>
      <c r="M647" s="20">
        <f>Разбивка_по_щитам!P652</f>
        <v/>
      </c>
      <c r="N647" s="20"/>
    </row>
    <row r="648" spans="2:14" x14ac:dyDescent="0.25">
      <c r="B648" s="20">
        <f>Разбивка_по_щитам!B653</f>
        <v/>
      </c>
      <c r="C648" s="20">
        <f>Разбивка_по_щитам!C653</f>
      </c>
      <c r="D648" s="20">
        <f>Разбивка_по_щитам!F653</f>
      </c>
      <c r="E648" s="20">
        <f>Разбивка_по_щитам!H653</f>
      </c>
      <c r="F648" s="20">
        <f>Разбивка_по_щитам!I653</f>
      </c>
      <c r="G648" s="20">
        <f>Разбивка_по_щитам!J653</f>
        <v/>
      </c>
      <c r="H648" s="20">
        <f>Разбивка_по_щитам!K653</f>
        <v/>
      </c>
      <c r="I648" s="20">
        <f>Разбивка_по_щитам!L653</f>
        <v/>
      </c>
      <c r="J648" s="20">
        <f>Разбивка_по_щитам!M653</f>
        <v/>
      </c>
      <c r="K648" s="20">
        <f>Разбивка_по_щитам!N653</f>
        <v/>
      </c>
      <c r="L648" s="20"/>
      <c r="M648" s="20">
        <f>Разбивка_по_щитам!P653</f>
        <v/>
      </c>
      <c r="N648" s="20"/>
    </row>
    <row r="649" spans="2:14" x14ac:dyDescent="0.25">
      <c r="B649" s="20">
        <f>Разбивка_по_щитам!B654</f>
        <v/>
      </c>
      <c r="C649" s="20">
        <f>Разбивка_по_щитам!C654</f>
      </c>
      <c r="D649" s="20">
        <f>Разбивка_по_щитам!F654</f>
      </c>
      <c r="E649" s="20">
        <f>Разбивка_по_щитам!H654</f>
      </c>
      <c r="F649" s="20">
        <f>Разбивка_по_щитам!I654</f>
      </c>
      <c r="G649" s="20">
        <f>Разбивка_по_щитам!J654</f>
        <v/>
      </c>
      <c r="H649" s="20">
        <f>Разбивка_по_щитам!K654</f>
        <v/>
      </c>
      <c r="I649" s="20">
        <f>Разбивка_по_щитам!L654</f>
        <v/>
      </c>
      <c r="J649" s="20">
        <f>Разбивка_по_щитам!M654</f>
        <v/>
      </c>
      <c r="K649" s="20">
        <f>Разбивка_по_щитам!N654</f>
        <v/>
      </c>
      <c r="L649" s="20"/>
      <c r="M649" s="20">
        <f>Разбивка_по_щитам!P654</f>
        <v/>
      </c>
      <c r="N649" s="20"/>
    </row>
    <row r="650" spans="2:14" x14ac:dyDescent="0.25">
      <c r="B650" s="20">
        <f>Разбивка_по_щитам!B655</f>
        <v/>
      </c>
      <c r="C650" s="20">
        <f>Разбивка_по_щитам!C655</f>
      </c>
      <c r="D650" s="20">
        <f>Разбивка_по_щитам!F655</f>
      </c>
      <c r="E650" s="20">
        <f>Разбивка_по_щитам!H655</f>
      </c>
      <c r="F650" s="20">
        <f>Разбивка_по_щитам!I655</f>
      </c>
      <c r="G650" s="20">
        <f>Разбивка_по_щитам!J655</f>
        <v/>
      </c>
      <c r="H650" s="20">
        <f>Разбивка_по_щитам!K655</f>
        <v/>
      </c>
      <c r="I650" s="20">
        <f>Разбивка_по_щитам!L655</f>
        <v/>
      </c>
      <c r="J650" s="20">
        <f>Разбивка_по_щитам!M655</f>
        <v/>
      </c>
      <c r="K650" s="20">
        <f>Разбивка_по_щитам!N655</f>
        <v/>
      </c>
      <c r="L650" s="20"/>
      <c r="M650" s="20">
        <f>Разбивка_по_щитам!P655</f>
        <v/>
      </c>
      <c r="N650" s="20"/>
    </row>
    <row r="651" spans="2:14" x14ac:dyDescent="0.25">
      <c r="B651" s="20">
        <f>Разбивка_по_щитам!B656</f>
        <v/>
      </c>
      <c r="C651" s="20">
        <f>Разбивка_по_щитам!C656</f>
      </c>
      <c r="D651" s="20">
        <f>Разбивка_по_щитам!F656</f>
      </c>
      <c r="E651" s="20">
        <f>Разбивка_по_щитам!H656</f>
      </c>
      <c r="F651" s="20">
        <f>Разбивка_по_щитам!I656</f>
      </c>
      <c r="G651" s="20">
        <f>Разбивка_по_щитам!J656</f>
        <v/>
      </c>
      <c r="H651" s="20">
        <f>Разбивка_по_щитам!K656</f>
        <v/>
      </c>
      <c r="I651" s="20">
        <f>Разбивка_по_щитам!L656</f>
        <v/>
      </c>
      <c r="J651" s="20">
        <f>Разбивка_по_щитам!M656</f>
        <v/>
      </c>
      <c r="K651" s="20">
        <f>Разбивка_по_щитам!N656</f>
        <v/>
      </c>
      <c r="L651" s="20"/>
      <c r="M651" s="20">
        <f>Разбивка_по_щитам!P656</f>
        <v/>
      </c>
      <c r="N651" s="20"/>
    </row>
    <row r="652" spans="2:14" x14ac:dyDescent="0.25">
      <c r="B652" s="20">
        <f>Разбивка_по_щитам!B657</f>
        <v/>
      </c>
      <c r="C652" s="20">
        <f>Разбивка_по_щитам!C657</f>
      </c>
      <c r="D652" s="20">
        <f>Разбивка_по_щитам!F657</f>
      </c>
      <c r="E652" s="20">
        <f>Разбивка_по_щитам!H657</f>
      </c>
      <c r="F652" s="20">
        <f>Разбивка_по_щитам!I657</f>
      </c>
      <c r="G652" s="20">
        <f>Разбивка_по_щитам!J657</f>
        <v/>
      </c>
      <c r="H652" s="20">
        <f>Разбивка_по_щитам!K657</f>
        <v/>
      </c>
      <c r="I652" s="20">
        <f>Разбивка_по_щитам!L657</f>
        <v/>
      </c>
      <c r="J652" s="20">
        <f>Разбивка_по_щитам!M657</f>
        <v/>
      </c>
      <c r="K652" s="20">
        <f>Разбивка_по_щитам!N657</f>
        <v/>
      </c>
      <c r="L652" s="20"/>
      <c r="M652" s="20">
        <f>Разбивка_по_щитам!P657</f>
        <v/>
      </c>
      <c r="N652" s="20"/>
    </row>
    <row r="653" spans="2:14" x14ac:dyDescent="0.25">
      <c r="B653" s="20">
        <f>Разбивка_по_щитам!B658</f>
        <v/>
      </c>
      <c r="C653" s="20">
        <f>Разбивка_по_щитам!C658</f>
      </c>
      <c r="D653" s="20">
        <f>Разбивка_по_щитам!F658</f>
      </c>
      <c r="E653" s="20">
        <f>Разбивка_по_щитам!H658</f>
      </c>
      <c r="F653" s="20">
        <f>Разбивка_по_щитам!I658</f>
      </c>
      <c r="G653" s="20">
        <f>Разбивка_по_щитам!J658</f>
        <v/>
      </c>
      <c r="H653" s="20">
        <f>Разбивка_по_щитам!K658</f>
        <v/>
      </c>
      <c r="I653" s="20">
        <f>Разбивка_по_щитам!L658</f>
        <v/>
      </c>
      <c r="J653" s="20">
        <f>Разбивка_по_щитам!M658</f>
        <v/>
      </c>
      <c r="K653" s="20">
        <f>Разбивка_по_щитам!N658</f>
        <v/>
      </c>
      <c r="L653" s="20"/>
      <c r="M653" s="20">
        <f>Разбивка_по_щитам!P658</f>
        <v/>
      </c>
      <c r="N653" s="20"/>
    </row>
    <row r="654" spans="2:14" x14ac:dyDescent="0.25">
      <c r="B654" s="20">
        <f>Разбивка_по_щитам!B659</f>
        <v/>
      </c>
      <c r="C654" s="20">
        <f>Разбивка_по_щитам!C659</f>
      </c>
      <c r="D654" s="20">
        <f>Разбивка_по_щитам!F659</f>
      </c>
      <c r="E654" s="20">
        <f>Разбивка_по_щитам!H659</f>
      </c>
      <c r="F654" s="20">
        <f>Разбивка_по_щитам!I659</f>
      </c>
      <c r="G654" s="20">
        <f>Разбивка_по_щитам!J659</f>
        <v/>
      </c>
      <c r="H654" s="20">
        <f>Разбивка_по_щитам!K659</f>
        <v/>
      </c>
      <c r="I654" s="20">
        <f>Разбивка_по_щитам!L659</f>
        <v/>
      </c>
      <c r="J654" s="20">
        <f>Разбивка_по_щитам!M659</f>
        <v/>
      </c>
      <c r="K654" s="20">
        <f>Разбивка_по_щитам!N659</f>
        <v/>
      </c>
      <c r="L654" s="20"/>
      <c r="M654" s="20">
        <f>Разбивка_по_щитам!P659</f>
        <v/>
      </c>
      <c r="N654" s="20"/>
    </row>
    <row r="655" spans="2:14" x14ac:dyDescent="0.25">
      <c r="B655" s="20">
        <f>Разбивка_по_щитам!B660</f>
        <v/>
      </c>
      <c r="C655" s="20">
        <f>Разбивка_по_щитам!C660</f>
      </c>
      <c r="D655" s="20">
        <f>Разбивка_по_щитам!F660</f>
      </c>
      <c r="E655" s="20">
        <f>Разбивка_по_щитам!H660</f>
      </c>
      <c r="F655" s="20">
        <f>Разбивка_по_щитам!I660</f>
      </c>
      <c r="G655" s="20">
        <f>Разбивка_по_щитам!J660</f>
        <v/>
      </c>
      <c r="H655" s="20">
        <f>Разбивка_по_щитам!K660</f>
        <v/>
      </c>
      <c r="I655" s="20">
        <f>Разбивка_по_щитам!L660</f>
        <v/>
      </c>
      <c r="J655" s="20">
        <f>Разбивка_по_щитам!M660</f>
        <v/>
      </c>
      <c r="K655" s="20">
        <f>Разбивка_по_щитам!N660</f>
        <v/>
      </c>
      <c r="L655" s="20"/>
      <c r="M655" s="20">
        <f>Разбивка_по_щитам!P660</f>
        <v/>
      </c>
      <c r="N655" s="20"/>
    </row>
    <row r="656" spans="2:14" x14ac:dyDescent="0.25">
      <c r="B656" s="20">
        <f>Разбивка_по_щитам!B661</f>
        <v/>
      </c>
      <c r="C656" s="20">
        <f>Разбивка_по_щитам!C661</f>
      </c>
      <c r="D656" s="20">
        <f>Разбивка_по_щитам!F661</f>
      </c>
      <c r="E656" s="20">
        <f>Разбивка_по_щитам!H661</f>
      </c>
      <c r="F656" s="20">
        <f>Разбивка_по_щитам!I661</f>
      </c>
      <c r="G656" s="20">
        <f>Разбивка_по_щитам!J661</f>
        <v/>
      </c>
      <c r="H656" s="20">
        <f>Разбивка_по_щитам!K661</f>
        <v/>
      </c>
      <c r="I656" s="20">
        <f>Разбивка_по_щитам!L661</f>
        <v/>
      </c>
      <c r="J656" s="20">
        <f>Разбивка_по_щитам!M661</f>
        <v/>
      </c>
      <c r="K656" s="20">
        <f>Разбивка_по_щитам!N661</f>
        <v/>
      </c>
      <c r="L656" s="20"/>
      <c r="M656" s="20">
        <f>Разбивка_по_щитам!P661</f>
        <v/>
      </c>
      <c r="N656" s="20"/>
    </row>
    <row r="657" spans="2:14" x14ac:dyDescent="0.25">
      <c r="B657" s="20">
        <f>Разбивка_по_щитам!B662</f>
        <v/>
      </c>
      <c r="C657" s="20">
        <f>Разбивка_по_щитам!C662</f>
      </c>
      <c r="D657" s="20">
        <f>Разбивка_по_щитам!F662</f>
      </c>
      <c r="E657" s="20">
        <f>Разбивка_по_щитам!H662</f>
      </c>
      <c r="F657" s="20">
        <f>Разбивка_по_щитам!I662</f>
      </c>
      <c r="G657" s="20">
        <f>Разбивка_по_щитам!J662</f>
        <v/>
      </c>
      <c r="H657" s="20">
        <f>Разбивка_по_щитам!K662</f>
        <v/>
      </c>
      <c r="I657" s="20">
        <f>Разбивка_по_щитам!L662</f>
        <v/>
      </c>
      <c r="J657" s="20">
        <f>Разбивка_по_щитам!M662</f>
        <v/>
      </c>
      <c r="K657" s="20">
        <f>Разбивка_по_щитам!N662</f>
        <v/>
      </c>
      <c r="L657" s="20"/>
      <c r="M657" s="20">
        <f>Разбивка_по_щитам!P662</f>
        <v/>
      </c>
      <c r="N657" s="20"/>
    </row>
    <row r="658" spans="2:14" x14ac:dyDescent="0.25">
      <c r="B658" s="20">
        <f>Разбивка_по_щитам!B663</f>
        <v/>
      </c>
      <c r="C658" s="20">
        <f>Разбивка_по_щитам!C663</f>
      </c>
      <c r="D658" s="20">
        <f>Разбивка_по_щитам!F663</f>
      </c>
      <c r="E658" s="20">
        <f>Разбивка_по_щитам!H663</f>
      </c>
      <c r="F658" s="20">
        <f>Разбивка_по_щитам!I663</f>
      </c>
      <c r="G658" s="20">
        <f>Разбивка_по_щитам!J663</f>
        <v/>
      </c>
      <c r="H658" s="20">
        <f>Разбивка_по_щитам!K663</f>
        <v/>
      </c>
      <c r="I658" s="20">
        <f>Разбивка_по_щитам!L663</f>
        <v/>
      </c>
      <c r="J658" s="20">
        <f>Разбивка_по_щитам!M663</f>
        <v/>
      </c>
      <c r="K658" s="20">
        <f>Разбивка_по_щитам!N663</f>
        <v/>
      </c>
      <c r="L658" s="20"/>
      <c r="M658" s="20">
        <f>Разбивка_по_щитам!P663</f>
        <v/>
      </c>
      <c r="N658" s="20"/>
    </row>
    <row r="659" spans="2:14" x14ac:dyDescent="0.25">
      <c r="B659" s="20">
        <f>Разбивка_по_щитам!B664</f>
        <v/>
      </c>
      <c r="C659" s="20">
        <f>Разбивка_по_щитам!C664</f>
      </c>
      <c r="D659" s="20">
        <f>Разбивка_по_щитам!F664</f>
      </c>
      <c r="E659" s="20">
        <f>Разбивка_по_щитам!H664</f>
      </c>
      <c r="F659" s="20">
        <f>Разбивка_по_щитам!I664</f>
      </c>
      <c r="G659" s="20">
        <f>Разбивка_по_щитам!J664</f>
        <v/>
      </c>
      <c r="H659" s="20">
        <f>Разбивка_по_щитам!K664</f>
        <v/>
      </c>
      <c r="I659" s="20">
        <f>Разбивка_по_щитам!L664</f>
        <v/>
      </c>
      <c r="J659" s="20">
        <f>Разбивка_по_щитам!M664</f>
        <v/>
      </c>
      <c r="K659" s="20">
        <f>Разбивка_по_щитам!N664</f>
        <v/>
      </c>
      <c r="L659" s="20"/>
      <c r="M659" s="20">
        <f>Разбивка_по_щитам!P664</f>
        <v/>
      </c>
      <c r="N659" s="20"/>
    </row>
    <row r="660" spans="2:14" x14ac:dyDescent="0.25">
      <c r="B660" s="20">
        <f>Разбивка_по_щитам!B665</f>
        <v/>
      </c>
      <c r="C660" s="20">
        <f>Разбивка_по_щитам!C665</f>
      </c>
      <c r="D660" s="20">
        <f>Разбивка_по_щитам!F665</f>
      </c>
      <c r="E660" s="20">
        <f>Разбивка_по_щитам!H665</f>
      </c>
      <c r="F660" s="20">
        <f>Разбивка_по_щитам!I665</f>
      </c>
      <c r="G660" s="20">
        <f>Разбивка_по_щитам!J665</f>
        <v/>
      </c>
      <c r="H660" s="20">
        <f>Разбивка_по_щитам!K665</f>
        <v/>
      </c>
      <c r="I660" s="20">
        <f>Разбивка_по_щитам!L665</f>
        <v/>
      </c>
      <c r="J660" s="20">
        <f>Разбивка_по_щитам!M665</f>
        <v/>
      </c>
      <c r="K660" s="20">
        <f>Разбивка_по_щитам!N665</f>
        <v/>
      </c>
      <c r="L660" s="20"/>
      <c r="M660" s="20">
        <f>Разбивка_по_щитам!P665</f>
        <v/>
      </c>
      <c r="N660" s="20"/>
    </row>
    <row r="661" spans="2:14" x14ac:dyDescent="0.25">
      <c r="B661" s="20">
        <f>Разбивка_по_щитам!B666</f>
        <v/>
      </c>
      <c r="C661" s="20">
        <f>Разбивка_по_щитам!C666</f>
      </c>
      <c r="D661" s="20">
        <f>Разбивка_по_щитам!F666</f>
      </c>
      <c r="E661" s="20">
        <f>Разбивка_по_щитам!H666</f>
      </c>
      <c r="F661" s="20">
        <f>Разбивка_по_щитам!I666</f>
      </c>
      <c r="G661" s="20">
        <f>Разбивка_по_щитам!J666</f>
        <v/>
      </c>
      <c r="H661" s="20">
        <f>Разбивка_по_щитам!K666</f>
        <v/>
      </c>
      <c r="I661" s="20">
        <f>Разбивка_по_щитам!L666</f>
        <v/>
      </c>
      <c r="J661" s="20">
        <f>Разбивка_по_щитам!M666</f>
        <v/>
      </c>
      <c r="K661" s="20">
        <f>Разбивка_по_щитам!N666</f>
        <v/>
      </c>
      <c r="L661" s="20"/>
      <c r="M661" s="20">
        <f>Разбивка_по_щитам!P666</f>
        <v/>
      </c>
      <c r="N661" s="20"/>
    </row>
    <row r="662" spans="2:14" x14ac:dyDescent="0.25">
      <c r="B662" s="20">
        <f>Разбивка_по_щитам!B667</f>
        <v/>
      </c>
      <c r="C662" s="20">
        <f>Разбивка_по_щитам!C667</f>
      </c>
      <c r="D662" s="20">
        <f>Разбивка_по_щитам!F667</f>
      </c>
      <c r="E662" s="20">
        <f>Разбивка_по_щитам!H667</f>
      </c>
      <c r="F662" s="20">
        <f>Разбивка_по_щитам!I667</f>
      </c>
      <c r="G662" s="20">
        <f>Разбивка_по_щитам!J667</f>
        <v/>
      </c>
      <c r="H662" s="20">
        <f>Разбивка_по_щитам!K667</f>
        <v/>
      </c>
      <c r="I662" s="20">
        <f>Разбивка_по_щитам!L667</f>
        <v/>
      </c>
      <c r="J662" s="20">
        <f>Разбивка_по_щитам!M667</f>
        <v/>
      </c>
      <c r="K662" s="20">
        <f>Разбивка_по_щитам!N667</f>
        <v/>
      </c>
      <c r="L662" s="20"/>
      <c r="M662" s="20">
        <f>Разбивка_по_щитам!P667</f>
        <v/>
      </c>
      <c r="N662" s="20"/>
    </row>
    <row r="663" spans="2:14" x14ac:dyDescent="0.25">
      <c r="B663" s="20">
        <f>Разбивка_по_щитам!B668</f>
        <v/>
      </c>
      <c r="C663" s="20">
        <f>Разбивка_по_щитам!C668</f>
      </c>
      <c r="D663" s="20">
        <f>Разбивка_по_щитам!F668</f>
      </c>
      <c r="E663" s="20">
        <f>Разбивка_по_щитам!H668</f>
      </c>
      <c r="F663" s="20">
        <f>Разбивка_по_щитам!I668</f>
      </c>
      <c r="G663" s="20">
        <f>Разбивка_по_щитам!J668</f>
        <v/>
      </c>
      <c r="H663" s="20">
        <f>Разбивка_по_щитам!K668</f>
        <v/>
      </c>
      <c r="I663" s="20">
        <f>Разбивка_по_щитам!L668</f>
        <v/>
      </c>
      <c r="J663" s="20">
        <f>Разбивка_по_щитам!M668</f>
        <v/>
      </c>
      <c r="K663" s="20">
        <f>Разбивка_по_щитам!N668</f>
        <v/>
      </c>
      <c r="L663" s="20"/>
      <c r="M663" s="20">
        <f>Разбивка_по_щитам!P668</f>
        <v/>
      </c>
      <c r="N663" s="20"/>
    </row>
    <row r="664" spans="2:14" x14ac:dyDescent="0.25">
      <c r="B664" s="20">
        <f>Разбивка_по_щитам!B669</f>
        <v/>
      </c>
      <c r="C664" s="20">
        <f>Разбивка_по_щитам!C669</f>
      </c>
      <c r="D664" s="20">
        <f>Разбивка_по_щитам!F669</f>
      </c>
      <c r="E664" s="20">
        <f>Разбивка_по_щитам!H669</f>
      </c>
      <c r="F664" s="20">
        <f>Разбивка_по_щитам!I669</f>
      </c>
      <c r="G664" s="20">
        <f>Разбивка_по_щитам!J669</f>
        <v/>
      </c>
      <c r="H664" s="20">
        <f>Разбивка_по_щитам!K669</f>
        <v/>
      </c>
      <c r="I664" s="20">
        <f>Разбивка_по_щитам!L669</f>
        <v/>
      </c>
      <c r="J664" s="20">
        <f>Разбивка_по_щитам!M669</f>
        <v/>
      </c>
      <c r="K664" s="20">
        <f>Разбивка_по_щитам!N669</f>
        <v/>
      </c>
      <c r="L664" s="20"/>
      <c r="M664" s="20">
        <f>Разбивка_по_щитам!P669</f>
        <v/>
      </c>
      <c r="N664" s="20"/>
    </row>
    <row r="665" spans="2:14" x14ac:dyDescent="0.25">
      <c r="B665" s="20">
        <f>Разбивка_по_щитам!B670</f>
        <v/>
      </c>
      <c r="C665" s="20">
        <f>Разбивка_по_щитам!C670</f>
      </c>
      <c r="D665" s="20">
        <f>Разбивка_по_щитам!F670</f>
      </c>
      <c r="E665" s="20">
        <f>Разбивка_по_щитам!H670</f>
      </c>
      <c r="F665" s="20">
        <f>Разбивка_по_щитам!I670</f>
      </c>
      <c r="G665" s="20">
        <f>Разбивка_по_щитам!J670</f>
        <v/>
      </c>
      <c r="H665" s="20">
        <f>Разбивка_по_щитам!K670</f>
        <v/>
      </c>
      <c r="I665" s="20">
        <f>Разбивка_по_щитам!L670</f>
        <v/>
      </c>
      <c r="J665" s="20">
        <f>Разбивка_по_щитам!M670</f>
        <v/>
      </c>
      <c r="K665" s="20">
        <f>Разбивка_по_щитам!N670</f>
        <v/>
      </c>
      <c r="L665" s="20"/>
      <c r="M665" s="20">
        <f>Разбивка_по_щитам!P670</f>
        <v/>
      </c>
      <c r="N665" s="20"/>
    </row>
    <row r="666" spans="2:14" x14ac:dyDescent="0.25">
      <c r="B666" s="20">
        <f>Разбивка_по_щитам!B671</f>
        <v/>
      </c>
      <c r="C666" s="20">
        <f>Разбивка_по_щитам!C671</f>
      </c>
      <c r="D666" s="20">
        <f>Разбивка_по_щитам!F671</f>
      </c>
      <c r="E666" s="20">
        <f>Разбивка_по_щитам!H671</f>
      </c>
      <c r="F666" s="20">
        <f>Разбивка_по_щитам!I671</f>
      </c>
      <c r="G666" s="20">
        <f>Разбивка_по_щитам!J671</f>
        <v/>
      </c>
      <c r="H666" s="20">
        <f>Разбивка_по_щитам!K671</f>
        <v/>
      </c>
      <c r="I666" s="20">
        <f>Разбивка_по_щитам!L671</f>
        <v/>
      </c>
      <c r="J666" s="20">
        <f>Разбивка_по_щитам!M671</f>
        <v/>
      </c>
      <c r="K666" s="20">
        <f>Разбивка_по_щитам!N671</f>
        <v/>
      </c>
      <c r="L666" s="20"/>
      <c r="M666" s="20">
        <f>Разбивка_по_щитам!P671</f>
        <v/>
      </c>
      <c r="N666" s="20"/>
    </row>
    <row r="667" spans="2:14" x14ac:dyDescent="0.25">
      <c r="B667" s="20">
        <f>Разбивка_по_щитам!B672</f>
        <v/>
      </c>
      <c r="C667" s="20">
        <f>Разбивка_по_щитам!C672</f>
      </c>
      <c r="D667" s="20">
        <f>Разбивка_по_щитам!F672</f>
      </c>
      <c r="E667" s="20">
        <f>Разбивка_по_щитам!H672</f>
      </c>
      <c r="F667" s="20">
        <f>Разбивка_по_щитам!I672</f>
      </c>
      <c r="G667" s="20">
        <f>Разбивка_по_щитам!J672</f>
        <v/>
      </c>
      <c r="H667" s="20">
        <f>Разбивка_по_щитам!K672</f>
        <v/>
      </c>
      <c r="I667" s="20">
        <f>Разбивка_по_щитам!L672</f>
        <v/>
      </c>
      <c r="J667" s="20">
        <f>Разбивка_по_щитам!M672</f>
        <v/>
      </c>
      <c r="K667" s="20">
        <f>Разбивка_по_щитам!N672</f>
        <v/>
      </c>
      <c r="L667" s="20"/>
      <c r="M667" s="20">
        <f>Разбивка_по_щитам!P672</f>
        <v/>
      </c>
      <c r="N667" s="20"/>
    </row>
    <row r="668" spans="2:14" x14ac:dyDescent="0.25">
      <c r="B668" s="20">
        <f>Разбивка_по_щитам!B673</f>
        <v/>
      </c>
      <c r="C668" s="20">
        <f>Разбивка_по_щитам!C673</f>
      </c>
      <c r="D668" s="20">
        <f>Разбивка_по_щитам!F673</f>
      </c>
      <c r="E668" s="20">
        <f>Разбивка_по_щитам!H673</f>
      </c>
      <c r="F668" s="20">
        <f>Разбивка_по_щитам!I673</f>
      </c>
      <c r="G668" s="20">
        <f>Разбивка_по_щитам!J673</f>
        <v/>
      </c>
      <c r="H668" s="20">
        <f>Разбивка_по_щитам!K673</f>
        <v/>
      </c>
      <c r="I668" s="20">
        <f>Разбивка_по_щитам!L673</f>
        <v/>
      </c>
      <c r="J668" s="20">
        <f>Разбивка_по_щитам!M673</f>
        <v/>
      </c>
      <c r="K668" s="20">
        <f>Разбивка_по_щитам!N673</f>
        <v/>
      </c>
      <c r="L668" s="20"/>
      <c r="M668" s="20">
        <f>Разбивка_по_щитам!P673</f>
        <v/>
      </c>
      <c r="N668" s="20"/>
    </row>
    <row r="669" spans="2:14" x14ac:dyDescent="0.25">
      <c r="B669" s="20">
        <f>Разбивка_по_щитам!B674</f>
        <v/>
      </c>
      <c r="C669" s="20">
        <f>Разбивка_по_щитам!C674</f>
      </c>
      <c r="D669" s="20">
        <f>Разбивка_по_щитам!F674</f>
      </c>
      <c r="E669" s="20">
        <f>Разбивка_по_щитам!H674</f>
      </c>
      <c r="F669" s="20">
        <f>Разбивка_по_щитам!I674</f>
      </c>
      <c r="G669" s="20">
        <f>Разбивка_по_щитам!J674</f>
        <v/>
      </c>
      <c r="H669" s="20">
        <f>Разбивка_по_щитам!K674</f>
        <v/>
      </c>
      <c r="I669" s="20">
        <f>Разбивка_по_щитам!L674</f>
        <v/>
      </c>
      <c r="J669" s="20">
        <f>Разбивка_по_щитам!M674</f>
        <v/>
      </c>
      <c r="K669" s="20">
        <f>Разбивка_по_щитам!N674</f>
        <v/>
      </c>
      <c r="L669" s="20"/>
      <c r="M669" s="20">
        <f>Разбивка_по_щитам!P674</f>
        <v/>
      </c>
      <c r="N669" s="20"/>
    </row>
    <row r="670" spans="2:14" x14ac:dyDescent="0.25">
      <c r="B670" s="20">
        <f>Разбивка_по_щитам!B675</f>
        <v/>
      </c>
      <c r="C670" s="20">
        <f>Разбивка_по_щитам!C675</f>
      </c>
      <c r="D670" s="20">
        <f>Разбивка_по_щитам!F675</f>
      </c>
      <c r="E670" s="20">
        <f>Разбивка_по_щитам!H675</f>
      </c>
      <c r="F670" s="20">
        <f>Разбивка_по_щитам!I675</f>
      </c>
      <c r="G670" s="20">
        <f>Разбивка_по_щитам!J675</f>
        <v/>
      </c>
      <c r="H670" s="20">
        <f>Разбивка_по_щитам!K675</f>
        <v/>
      </c>
      <c r="I670" s="20">
        <f>Разбивка_по_щитам!L675</f>
        <v/>
      </c>
      <c r="J670" s="20">
        <f>Разбивка_по_щитам!M675</f>
        <v/>
      </c>
      <c r="K670" s="20">
        <f>Разбивка_по_щитам!N675</f>
        <v/>
      </c>
      <c r="L670" s="20"/>
      <c r="M670" s="20">
        <f>Разбивка_по_щитам!P675</f>
        <v/>
      </c>
      <c r="N670" s="20"/>
    </row>
    <row r="671" spans="2:14" x14ac:dyDescent="0.25">
      <c r="B671" s="20">
        <f>Разбивка_по_щитам!B676</f>
        <v/>
      </c>
      <c r="C671" s="20">
        <f>Разбивка_по_щитам!C676</f>
      </c>
      <c r="D671" s="20">
        <f>Разбивка_по_щитам!F676</f>
      </c>
      <c r="E671" s="20">
        <f>Разбивка_по_щитам!H676</f>
      </c>
      <c r="F671" s="20">
        <f>Разбивка_по_щитам!I676</f>
      </c>
      <c r="G671" s="20">
        <f>Разбивка_по_щитам!J676</f>
        <v/>
      </c>
      <c r="H671" s="20">
        <f>Разбивка_по_щитам!K676</f>
        <v/>
      </c>
      <c r="I671" s="20">
        <f>Разбивка_по_щитам!L676</f>
        <v/>
      </c>
      <c r="J671" s="20">
        <f>Разбивка_по_щитам!M676</f>
        <v/>
      </c>
      <c r="K671" s="20">
        <f>Разбивка_по_щитам!N676</f>
        <v/>
      </c>
      <c r="L671" s="20"/>
      <c r="M671" s="20">
        <f>Разбивка_по_щитам!P676</f>
        <v/>
      </c>
      <c r="N671" s="20"/>
    </row>
    <row r="672" spans="2:14" x14ac:dyDescent="0.25">
      <c r="B672" s="20">
        <f>Разбивка_по_щитам!B677</f>
        <v/>
      </c>
      <c r="C672" s="20">
        <f>Разбивка_по_щитам!C677</f>
      </c>
      <c r="D672" s="20">
        <f>Разбивка_по_щитам!F677</f>
      </c>
      <c r="E672" s="20">
        <f>Разбивка_по_щитам!H677</f>
      </c>
      <c r="F672" s="20">
        <f>Разбивка_по_щитам!I677</f>
      </c>
      <c r="G672" s="20">
        <f>Разбивка_по_щитам!J677</f>
        <v/>
      </c>
      <c r="H672" s="20">
        <f>Разбивка_по_щитам!K677</f>
        <v/>
      </c>
      <c r="I672" s="20">
        <f>Разбивка_по_щитам!L677</f>
        <v/>
      </c>
      <c r="J672" s="20">
        <f>Разбивка_по_щитам!M677</f>
        <v/>
      </c>
      <c r="K672" s="20">
        <f>Разбивка_по_щитам!N677</f>
        <v/>
      </c>
      <c r="L672" s="20"/>
      <c r="M672" s="20">
        <f>Разбивка_по_щитам!P677</f>
        <v/>
      </c>
      <c r="N672" s="20"/>
    </row>
    <row r="673" spans="2:14" x14ac:dyDescent="0.25">
      <c r="B673" s="20">
        <f>Разбивка_по_щитам!B678</f>
        <v/>
      </c>
      <c r="C673" s="20">
        <f>Разбивка_по_щитам!C678</f>
      </c>
      <c r="D673" s="20">
        <f>Разбивка_по_щитам!F678</f>
      </c>
      <c r="E673" s="20">
        <f>Разбивка_по_щитам!H678</f>
      </c>
      <c r="F673" s="20">
        <f>Разбивка_по_щитам!I678</f>
      </c>
      <c r="G673" s="20">
        <f>Разбивка_по_щитам!J678</f>
        <v/>
      </c>
      <c r="H673" s="20">
        <f>Разбивка_по_щитам!K678</f>
        <v/>
      </c>
      <c r="I673" s="20">
        <f>Разбивка_по_щитам!L678</f>
        <v/>
      </c>
      <c r="J673" s="20">
        <f>Разбивка_по_щитам!M678</f>
        <v/>
      </c>
      <c r="K673" s="20">
        <f>Разбивка_по_щитам!N678</f>
        <v/>
      </c>
      <c r="L673" s="20"/>
      <c r="M673" s="20">
        <f>Разбивка_по_щитам!P678</f>
        <v/>
      </c>
      <c r="N673" s="20"/>
    </row>
    <row r="674" spans="2:14" x14ac:dyDescent="0.25">
      <c r="B674" s="20">
        <f>Разбивка_по_щитам!B679</f>
        <v/>
      </c>
      <c r="C674" s="20">
        <f>Разбивка_по_щитам!C679</f>
      </c>
      <c r="D674" s="20">
        <f>Разбивка_по_щитам!F679</f>
      </c>
      <c r="E674" s="20">
        <f>Разбивка_по_щитам!H679</f>
      </c>
      <c r="F674" s="20">
        <f>Разбивка_по_щитам!I679</f>
      </c>
      <c r="G674" s="20">
        <f>Разбивка_по_щитам!J679</f>
        <v/>
      </c>
      <c r="H674" s="20">
        <f>Разбивка_по_щитам!K679</f>
        <v/>
      </c>
      <c r="I674" s="20">
        <f>Разбивка_по_щитам!L679</f>
        <v/>
      </c>
      <c r="J674" s="20">
        <f>Разбивка_по_щитам!M679</f>
        <v/>
      </c>
      <c r="K674" s="20">
        <f>Разбивка_по_щитам!N679</f>
        <v/>
      </c>
      <c r="L674" s="20"/>
      <c r="M674" s="20">
        <f>Разбивка_по_щитам!P679</f>
        <v/>
      </c>
      <c r="N674" s="20"/>
    </row>
    <row r="675" spans="2:14" x14ac:dyDescent="0.25">
      <c r="B675" s="20">
        <f>Разбивка_по_щитам!B680</f>
        <v/>
      </c>
      <c r="C675" s="20">
        <f>Разбивка_по_щитам!C680</f>
      </c>
      <c r="D675" s="20">
        <f>Разбивка_по_щитам!F680</f>
      </c>
      <c r="E675" s="20">
        <f>Разбивка_по_щитам!H680</f>
      </c>
      <c r="F675" s="20">
        <f>Разбивка_по_щитам!I680</f>
      </c>
      <c r="G675" s="20">
        <f>Разбивка_по_щитам!J680</f>
        <v/>
      </c>
      <c r="H675" s="20">
        <f>Разбивка_по_щитам!K680</f>
        <v/>
      </c>
      <c r="I675" s="20">
        <f>Разбивка_по_щитам!L680</f>
        <v/>
      </c>
      <c r="J675" s="20">
        <f>Разбивка_по_щитам!M680</f>
        <v/>
      </c>
      <c r="K675" s="20">
        <f>Разбивка_по_щитам!N680</f>
        <v/>
      </c>
      <c r="L675" s="20"/>
      <c r="M675" s="20">
        <f>Разбивка_по_щитам!P680</f>
        <v/>
      </c>
      <c r="N675" s="20"/>
    </row>
    <row r="676" spans="2:14" x14ac:dyDescent="0.25">
      <c r="B676" s="20">
        <f>Разбивка_по_щитам!B681</f>
        <v/>
      </c>
      <c r="C676" s="20">
        <f>Разбивка_по_щитам!C681</f>
      </c>
      <c r="D676" s="20">
        <f>Разбивка_по_щитам!F681</f>
      </c>
      <c r="E676" s="20">
        <f>Разбивка_по_щитам!H681</f>
      </c>
      <c r="F676" s="20">
        <f>Разбивка_по_щитам!I681</f>
      </c>
      <c r="G676" s="20">
        <f>Разбивка_по_щитам!J681</f>
        <v/>
      </c>
      <c r="H676" s="20">
        <f>Разбивка_по_щитам!K681</f>
        <v/>
      </c>
      <c r="I676" s="20">
        <f>Разбивка_по_щитам!L681</f>
        <v/>
      </c>
      <c r="J676" s="20">
        <f>Разбивка_по_щитам!M681</f>
        <v/>
      </c>
      <c r="K676" s="20">
        <f>Разбивка_по_щитам!N681</f>
        <v/>
      </c>
      <c r="L676" s="20"/>
      <c r="M676" s="20">
        <f>Разбивка_по_щитам!P681</f>
        <v/>
      </c>
      <c r="N676" s="20"/>
    </row>
    <row r="677" spans="2:14" x14ac:dyDescent="0.25">
      <c r="B677" s="20">
        <f>Разбивка_по_щитам!B682</f>
        <v/>
      </c>
      <c r="C677" s="20">
        <f>Разбивка_по_щитам!C682</f>
      </c>
      <c r="D677" s="20">
        <f>Разбивка_по_щитам!F682</f>
      </c>
      <c r="E677" s="20">
        <f>Разбивка_по_щитам!H682</f>
      </c>
      <c r="F677" s="20">
        <f>Разбивка_по_щитам!I682</f>
      </c>
      <c r="G677" s="20">
        <f>Разбивка_по_щитам!J682</f>
        <v/>
      </c>
      <c r="H677" s="20">
        <f>Разбивка_по_щитам!K682</f>
        <v/>
      </c>
      <c r="I677" s="20">
        <f>Разбивка_по_щитам!L682</f>
        <v/>
      </c>
      <c r="J677" s="20">
        <f>Разбивка_по_щитам!M682</f>
        <v/>
      </c>
      <c r="K677" s="20">
        <f>Разбивка_по_щитам!N682</f>
        <v/>
      </c>
      <c r="L677" s="20"/>
      <c r="M677" s="20">
        <f>Разбивка_по_щитам!P682</f>
        <v/>
      </c>
      <c r="N677" s="20"/>
    </row>
    <row r="678" spans="2:14" x14ac:dyDescent="0.25">
      <c r="B678" s="20">
        <f>Разбивка_по_щитам!B683</f>
        <v/>
      </c>
      <c r="C678" s="20">
        <f>Разбивка_по_щитам!C683</f>
      </c>
      <c r="D678" s="20">
        <f>Разбивка_по_щитам!F683</f>
      </c>
      <c r="E678" s="20">
        <f>Разбивка_по_щитам!H683</f>
      </c>
      <c r="F678" s="20">
        <f>Разбивка_по_щитам!I683</f>
      </c>
      <c r="G678" s="20">
        <f>Разбивка_по_щитам!J683</f>
        <v/>
      </c>
      <c r="H678" s="20">
        <f>Разбивка_по_щитам!K683</f>
        <v/>
      </c>
      <c r="I678" s="20">
        <f>Разбивка_по_щитам!L683</f>
        <v/>
      </c>
      <c r="J678" s="20">
        <f>Разбивка_по_щитам!M683</f>
        <v/>
      </c>
      <c r="K678" s="20">
        <f>Разбивка_по_щитам!N683</f>
        <v/>
      </c>
      <c r="L678" s="20"/>
      <c r="M678" s="20">
        <f>Разбивка_по_щитам!P683</f>
        <v/>
      </c>
      <c r="N678" s="20"/>
    </row>
    <row r="679" spans="2:14" x14ac:dyDescent="0.25">
      <c r="B679" s="20">
        <f>Разбивка_по_щитам!B684</f>
        <v/>
      </c>
      <c r="C679" s="20">
        <f>Разбивка_по_щитам!C684</f>
      </c>
      <c r="D679" s="20">
        <f>Разбивка_по_щитам!F684</f>
      </c>
      <c r="E679" s="20">
        <f>Разбивка_по_щитам!H684</f>
      </c>
      <c r="F679" s="20">
        <f>Разбивка_по_щитам!I684</f>
      </c>
      <c r="G679" s="20">
        <f>Разбивка_по_щитам!J684</f>
        <v/>
      </c>
      <c r="H679" s="20">
        <f>Разбивка_по_щитам!K684</f>
        <v/>
      </c>
      <c r="I679" s="20">
        <f>Разбивка_по_щитам!L684</f>
        <v/>
      </c>
      <c r="J679" s="20">
        <f>Разбивка_по_щитам!M684</f>
        <v/>
      </c>
      <c r="K679" s="20">
        <f>Разбивка_по_щитам!N684</f>
        <v/>
      </c>
      <c r="L679" s="20"/>
      <c r="M679" s="20">
        <f>Разбивка_по_щитам!P684</f>
        <v/>
      </c>
      <c r="N679" s="20"/>
    </row>
    <row r="680" spans="2:14" x14ac:dyDescent="0.25">
      <c r="B680" s="20">
        <f>Разбивка_по_щитам!B685</f>
        <v/>
      </c>
      <c r="C680" s="20">
        <f>Разбивка_по_щитам!C685</f>
      </c>
      <c r="D680" s="20">
        <f>Разбивка_по_щитам!F685</f>
      </c>
      <c r="E680" s="20">
        <f>Разбивка_по_щитам!H685</f>
      </c>
      <c r="F680" s="20">
        <f>Разбивка_по_щитам!I685</f>
      </c>
      <c r="G680" s="20">
        <f>Разбивка_по_щитам!J685</f>
        <v/>
      </c>
      <c r="H680" s="20">
        <f>Разбивка_по_щитам!K685</f>
        <v/>
      </c>
      <c r="I680" s="20">
        <f>Разбивка_по_щитам!L685</f>
        <v/>
      </c>
      <c r="J680" s="20">
        <f>Разбивка_по_щитам!M685</f>
        <v/>
      </c>
      <c r="K680" s="20">
        <f>Разбивка_по_щитам!N685</f>
        <v/>
      </c>
      <c r="L680" s="20"/>
      <c r="M680" s="20">
        <f>Разбивка_по_щитам!P685</f>
        <v/>
      </c>
      <c r="N680" s="20"/>
    </row>
    <row r="681" spans="2:14" x14ac:dyDescent="0.25">
      <c r="B681" s="20">
        <f>Разбивка_по_щитам!B686</f>
        <v/>
      </c>
      <c r="C681" s="20">
        <f>Разбивка_по_щитам!C686</f>
      </c>
      <c r="D681" s="20">
        <f>Разбивка_по_щитам!F686</f>
      </c>
      <c r="E681" s="20">
        <f>Разбивка_по_щитам!H686</f>
      </c>
      <c r="F681" s="20">
        <f>Разбивка_по_щитам!I686</f>
      </c>
      <c r="G681" s="20">
        <f>Разбивка_по_щитам!J686</f>
        <v/>
      </c>
      <c r="H681" s="20">
        <f>Разбивка_по_щитам!K686</f>
        <v/>
      </c>
      <c r="I681" s="20">
        <f>Разбивка_по_щитам!L686</f>
        <v/>
      </c>
      <c r="J681" s="20">
        <f>Разбивка_по_щитам!M686</f>
        <v/>
      </c>
      <c r="K681" s="20">
        <f>Разбивка_по_щитам!N686</f>
        <v/>
      </c>
      <c r="L681" s="20"/>
      <c r="M681" s="20">
        <f>Разбивка_по_щитам!P686</f>
        <v/>
      </c>
      <c r="N681" s="20"/>
    </row>
    <row r="682" spans="2:14" x14ac:dyDescent="0.25">
      <c r="B682" s="20">
        <f>Разбивка_по_щитам!B687</f>
        <v/>
      </c>
      <c r="C682" s="20">
        <f>Разбивка_по_щитам!C687</f>
      </c>
      <c r="D682" s="20">
        <f>Разбивка_по_щитам!F687</f>
      </c>
      <c r="E682" s="20">
        <f>Разбивка_по_щитам!H687</f>
      </c>
      <c r="F682" s="20">
        <f>Разбивка_по_щитам!I687</f>
      </c>
      <c r="G682" s="20">
        <f>Разбивка_по_щитам!J687</f>
        <v/>
      </c>
      <c r="H682" s="20">
        <f>Разбивка_по_щитам!K687</f>
        <v/>
      </c>
      <c r="I682" s="20">
        <f>Разбивка_по_щитам!L687</f>
        <v/>
      </c>
      <c r="J682" s="20">
        <f>Разбивка_по_щитам!M687</f>
        <v/>
      </c>
      <c r="K682" s="20">
        <f>Разбивка_по_щитам!N687</f>
        <v/>
      </c>
      <c r="L682" s="20"/>
      <c r="M682" s="20">
        <f>Разбивка_по_щитам!P687</f>
        <v/>
      </c>
      <c r="N682" s="20"/>
    </row>
    <row r="683" spans="2:14" x14ac:dyDescent="0.25">
      <c r="B683" s="20">
        <f>Разбивка_по_щитам!B688</f>
        <v/>
      </c>
      <c r="C683" s="20">
        <f>Разбивка_по_щитам!C688</f>
      </c>
      <c r="D683" s="20">
        <f>Разбивка_по_щитам!F688</f>
      </c>
      <c r="E683" s="20">
        <f>Разбивка_по_щитам!H688</f>
      </c>
      <c r="F683" s="20">
        <f>Разбивка_по_щитам!I688</f>
      </c>
      <c r="G683" s="20">
        <f>Разбивка_по_щитам!J688</f>
        <v/>
      </c>
      <c r="H683" s="20">
        <f>Разбивка_по_щитам!K688</f>
        <v/>
      </c>
      <c r="I683" s="20">
        <f>Разбивка_по_щитам!L688</f>
        <v/>
      </c>
      <c r="J683" s="20">
        <f>Разбивка_по_щитам!M688</f>
        <v/>
      </c>
      <c r="K683" s="20">
        <f>Разбивка_по_щитам!N688</f>
        <v/>
      </c>
      <c r="L683" s="20"/>
      <c r="M683" s="20">
        <f>Разбивка_по_щитам!P688</f>
        <v/>
      </c>
      <c r="N683" s="20"/>
    </row>
    <row r="684" spans="2:14" x14ac:dyDescent="0.25">
      <c r="B684" s="20">
        <f>Разбивка_по_щитам!B689</f>
        <v/>
      </c>
      <c r="C684" s="20">
        <f>Разбивка_по_щитам!C689</f>
      </c>
      <c r="D684" s="20">
        <f>Разбивка_по_щитам!F689</f>
      </c>
      <c r="E684" s="20">
        <f>Разбивка_по_щитам!H689</f>
      </c>
      <c r="F684" s="20">
        <f>Разбивка_по_щитам!I689</f>
      </c>
      <c r="G684" s="20">
        <f>Разбивка_по_щитам!J689</f>
        <v/>
      </c>
      <c r="H684" s="20">
        <f>Разбивка_по_щитам!K689</f>
        <v/>
      </c>
      <c r="I684" s="20">
        <f>Разбивка_по_щитам!L689</f>
        <v/>
      </c>
      <c r="J684" s="20">
        <f>Разбивка_по_щитам!M689</f>
        <v/>
      </c>
      <c r="K684" s="20">
        <f>Разбивка_по_щитам!N689</f>
        <v/>
      </c>
      <c r="L684" s="20"/>
      <c r="M684" s="20">
        <f>Разбивка_по_щитам!P689</f>
        <v/>
      </c>
      <c r="N684" s="20"/>
    </row>
    <row r="685" spans="2:14" x14ac:dyDescent="0.25">
      <c r="B685" s="20">
        <f>Разбивка_по_щитам!B690</f>
        <v/>
      </c>
      <c r="C685" s="20">
        <f>Разбивка_по_щитам!C690</f>
      </c>
      <c r="D685" s="20">
        <f>Разбивка_по_щитам!F690</f>
      </c>
      <c r="E685" s="20">
        <f>Разбивка_по_щитам!H690</f>
      </c>
      <c r="F685" s="20">
        <f>Разбивка_по_щитам!I690</f>
      </c>
      <c r="G685" s="20">
        <f>Разбивка_по_щитам!J690</f>
        <v/>
      </c>
      <c r="H685" s="20">
        <f>Разбивка_по_щитам!K690</f>
        <v/>
      </c>
      <c r="I685" s="20">
        <f>Разбивка_по_щитам!L690</f>
        <v/>
      </c>
      <c r="J685" s="20">
        <f>Разбивка_по_щитам!M690</f>
        <v/>
      </c>
      <c r="K685" s="20">
        <f>Разбивка_по_щитам!N690</f>
        <v/>
      </c>
      <c r="L685" s="20"/>
      <c r="M685" s="20">
        <f>Разбивка_по_щитам!P690</f>
        <v/>
      </c>
      <c r="N685" s="20"/>
    </row>
    <row r="686" spans="2:14" x14ac:dyDescent="0.25">
      <c r="B686" s="20">
        <f>Разбивка_по_щитам!B691</f>
        <v/>
      </c>
      <c r="C686" s="20">
        <f>Разбивка_по_щитам!C691</f>
      </c>
      <c r="D686" s="20">
        <f>Разбивка_по_щитам!F691</f>
      </c>
      <c r="E686" s="20">
        <f>Разбивка_по_щитам!H691</f>
      </c>
      <c r="F686" s="20">
        <f>Разбивка_по_щитам!I691</f>
      </c>
      <c r="G686" s="20">
        <f>Разбивка_по_щитам!J691</f>
        <v/>
      </c>
      <c r="H686" s="20">
        <f>Разбивка_по_щитам!K691</f>
        <v/>
      </c>
      <c r="I686" s="20">
        <f>Разбивка_по_щитам!L691</f>
        <v/>
      </c>
      <c r="J686" s="20">
        <f>Разбивка_по_щитам!M691</f>
        <v/>
      </c>
      <c r="K686" s="20">
        <f>Разбивка_по_щитам!N691</f>
        <v/>
      </c>
      <c r="L686" s="20"/>
      <c r="M686" s="20">
        <f>Разбивка_по_щитам!P691</f>
        <v/>
      </c>
      <c r="N686" s="20"/>
    </row>
    <row r="687" spans="2:14" x14ac:dyDescent="0.25">
      <c r="B687" s="20">
        <f>Разбивка_по_щитам!B692</f>
        <v/>
      </c>
      <c r="C687" s="20">
        <f>Разбивка_по_щитам!C692</f>
      </c>
      <c r="D687" s="20">
        <f>Разбивка_по_щитам!F692</f>
      </c>
      <c r="E687" s="20">
        <f>Разбивка_по_щитам!H692</f>
      </c>
      <c r="F687" s="20">
        <f>Разбивка_по_щитам!I692</f>
      </c>
      <c r="G687" s="20">
        <f>Разбивка_по_щитам!J692</f>
        <v/>
      </c>
      <c r="H687" s="20">
        <f>Разбивка_по_щитам!K692</f>
        <v/>
      </c>
      <c r="I687" s="20">
        <f>Разбивка_по_щитам!L692</f>
        <v/>
      </c>
      <c r="J687" s="20">
        <f>Разбивка_по_щитам!M692</f>
        <v/>
      </c>
      <c r="K687" s="20">
        <f>Разбивка_по_щитам!N692</f>
        <v/>
      </c>
      <c r="L687" s="20"/>
      <c r="M687" s="20">
        <f>Разбивка_по_щитам!P692</f>
        <v/>
      </c>
      <c r="N687" s="20"/>
    </row>
    <row r="688" spans="2:14" x14ac:dyDescent="0.25">
      <c r="B688" s="20">
        <f>Разбивка_по_щитам!B693</f>
        <v/>
      </c>
      <c r="C688" s="20">
        <f>Разбивка_по_щитам!C693</f>
      </c>
      <c r="D688" s="20">
        <f>Разбивка_по_щитам!F693</f>
      </c>
      <c r="E688" s="20">
        <f>Разбивка_по_щитам!H693</f>
      </c>
      <c r="F688" s="20">
        <f>Разбивка_по_щитам!I693</f>
      </c>
      <c r="G688" s="20">
        <f>Разбивка_по_щитам!J693</f>
        <v/>
      </c>
      <c r="H688" s="20">
        <f>Разбивка_по_щитам!K693</f>
        <v/>
      </c>
      <c r="I688" s="20">
        <f>Разбивка_по_щитам!L693</f>
        <v/>
      </c>
      <c r="J688" s="20">
        <f>Разбивка_по_щитам!M693</f>
        <v/>
      </c>
      <c r="K688" s="20">
        <f>Разбивка_по_щитам!N693</f>
        <v/>
      </c>
      <c r="L688" s="20"/>
      <c r="M688" s="20">
        <f>Разбивка_по_щитам!P693</f>
        <v/>
      </c>
      <c r="N688" s="20"/>
    </row>
    <row r="689" spans="2:14" x14ac:dyDescent="0.25">
      <c r="B689" s="20">
        <f>Разбивка_по_щитам!B694</f>
        <v/>
      </c>
      <c r="C689" s="20">
        <f>Разбивка_по_щитам!C694</f>
      </c>
      <c r="D689" s="20">
        <f>Разбивка_по_щитам!F694</f>
      </c>
      <c r="E689" s="20">
        <f>Разбивка_по_щитам!H694</f>
      </c>
      <c r="F689" s="20">
        <f>Разбивка_по_щитам!I694</f>
      </c>
      <c r="G689" s="20">
        <f>Разбивка_по_щитам!J694</f>
        <v/>
      </c>
      <c r="H689" s="20">
        <f>Разбивка_по_щитам!K694</f>
        <v/>
      </c>
      <c r="I689" s="20">
        <f>Разбивка_по_щитам!L694</f>
        <v/>
      </c>
      <c r="J689" s="20">
        <f>Разбивка_по_щитам!M694</f>
        <v/>
      </c>
      <c r="K689" s="20">
        <f>Разбивка_по_щитам!N694</f>
        <v/>
      </c>
      <c r="L689" s="20"/>
      <c r="M689" s="20">
        <f>Разбивка_по_щитам!P694</f>
        <v/>
      </c>
      <c r="N689" s="20"/>
    </row>
    <row r="690" spans="2:14" x14ac:dyDescent="0.25">
      <c r="B690" s="20">
        <f>Разбивка_по_щитам!B695</f>
        <v/>
      </c>
      <c r="C690" s="20">
        <f>Разбивка_по_щитам!C695</f>
      </c>
      <c r="D690" s="20">
        <f>Разбивка_по_щитам!F695</f>
      </c>
      <c r="E690" s="20">
        <f>Разбивка_по_щитам!H695</f>
      </c>
      <c r="F690" s="20">
        <f>Разбивка_по_щитам!I695</f>
      </c>
      <c r="G690" s="20">
        <f>Разбивка_по_щитам!J695</f>
        <v/>
      </c>
      <c r="H690" s="20">
        <f>Разбивка_по_щитам!K695</f>
        <v/>
      </c>
      <c r="I690" s="20">
        <f>Разбивка_по_щитам!L695</f>
        <v/>
      </c>
      <c r="J690" s="20">
        <f>Разбивка_по_щитам!M695</f>
        <v/>
      </c>
      <c r="K690" s="20">
        <f>Разбивка_по_щитам!N695</f>
        <v/>
      </c>
      <c r="L690" s="20"/>
      <c r="M690" s="20">
        <f>Разбивка_по_щитам!P695</f>
        <v/>
      </c>
      <c r="N690" s="20"/>
    </row>
    <row r="691" spans="2:14" x14ac:dyDescent="0.25">
      <c r="B691" s="20">
        <f>Разбивка_по_щитам!B696</f>
        <v/>
      </c>
      <c r="C691" s="20">
        <f>Разбивка_по_щитам!C696</f>
      </c>
      <c r="D691" s="20">
        <f>Разбивка_по_щитам!F696</f>
      </c>
      <c r="E691" s="20">
        <f>Разбивка_по_щитам!H696</f>
      </c>
      <c r="F691" s="20">
        <f>Разбивка_по_щитам!I696</f>
      </c>
      <c r="G691" s="20">
        <f>Разбивка_по_щитам!J696</f>
        <v/>
      </c>
      <c r="H691" s="20">
        <f>Разбивка_по_щитам!K696</f>
        <v/>
      </c>
      <c r="I691" s="20">
        <f>Разбивка_по_щитам!L696</f>
        <v/>
      </c>
      <c r="J691" s="20">
        <f>Разбивка_по_щитам!M696</f>
        <v/>
      </c>
      <c r="K691" s="20">
        <f>Разбивка_по_щитам!N696</f>
        <v/>
      </c>
      <c r="L691" s="20"/>
      <c r="M691" s="20">
        <f>Разбивка_по_щитам!P696</f>
        <v/>
      </c>
      <c r="N691" s="20"/>
    </row>
    <row r="692" spans="2:14" x14ac:dyDescent="0.25">
      <c r="B692" s="20">
        <f>Разбивка_по_щитам!B697</f>
        <v/>
      </c>
      <c r="C692" s="20">
        <f>Разбивка_по_щитам!C697</f>
      </c>
      <c r="D692" s="20">
        <f>Разбивка_по_щитам!F697</f>
      </c>
      <c r="E692" s="20">
        <f>Разбивка_по_щитам!H697</f>
      </c>
      <c r="F692" s="20">
        <f>Разбивка_по_щитам!I697</f>
      </c>
      <c r="G692" s="20">
        <f>Разбивка_по_щитам!J697</f>
        <v/>
      </c>
      <c r="H692" s="20">
        <f>Разбивка_по_щитам!K697</f>
        <v/>
      </c>
      <c r="I692" s="20">
        <f>Разбивка_по_щитам!L697</f>
        <v/>
      </c>
      <c r="J692" s="20">
        <f>Разбивка_по_щитам!M697</f>
        <v/>
      </c>
      <c r="K692" s="20">
        <f>Разбивка_по_щитам!N697</f>
        <v/>
      </c>
      <c r="L692" s="20"/>
      <c r="M692" s="20">
        <f>Разбивка_по_щитам!P697</f>
        <v/>
      </c>
      <c r="N692" s="20"/>
    </row>
    <row r="693" spans="2:14" x14ac:dyDescent="0.25">
      <c r="B693" s="20">
        <f>Разбивка_по_щитам!B698</f>
        <v/>
      </c>
      <c r="C693" s="20">
        <f>Разбивка_по_щитам!C698</f>
      </c>
      <c r="D693" s="20">
        <f>Разбивка_по_щитам!F698</f>
      </c>
      <c r="E693" s="20">
        <f>Разбивка_по_щитам!H698</f>
      </c>
      <c r="F693" s="20">
        <f>Разбивка_по_щитам!I698</f>
      </c>
      <c r="G693" s="20">
        <f>Разбивка_по_щитам!J698</f>
        <v/>
      </c>
      <c r="H693" s="20">
        <f>Разбивка_по_щитам!K698</f>
        <v/>
      </c>
      <c r="I693" s="20">
        <f>Разбивка_по_щитам!L698</f>
        <v/>
      </c>
      <c r="J693" s="20">
        <f>Разбивка_по_щитам!M698</f>
        <v/>
      </c>
      <c r="K693" s="20">
        <f>Разбивка_по_щитам!N698</f>
        <v/>
      </c>
      <c r="L693" s="20"/>
      <c r="M693" s="20">
        <f>Разбивка_по_щитам!P698</f>
        <v/>
      </c>
      <c r="N693" s="20"/>
    </row>
    <row r="694" spans="2:14" x14ac:dyDescent="0.25">
      <c r="B694" s="20">
        <f>Разбивка_по_щитам!B699</f>
        <v/>
      </c>
      <c r="C694" s="20">
        <f>Разбивка_по_щитам!C699</f>
      </c>
      <c r="D694" s="20">
        <f>Разбивка_по_щитам!F699</f>
      </c>
      <c r="E694" s="20">
        <f>Разбивка_по_щитам!H699</f>
      </c>
      <c r="F694" s="20">
        <f>Разбивка_по_щитам!I699</f>
      </c>
      <c r="G694" s="20">
        <f>Разбивка_по_щитам!J699</f>
        <v/>
      </c>
      <c r="H694" s="20">
        <f>Разбивка_по_щитам!K699</f>
        <v/>
      </c>
      <c r="I694" s="20">
        <f>Разбивка_по_щитам!L699</f>
        <v/>
      </c>
      <c r="J694" s="20">
        <f>Разбивка_по_щитам!M699</f>
        <v/>
      </c>
      <c r="K694" s="20">
        <f>Разбивка_по_щитам!N699</f>
        <v/>
      </c>
      <c r="L694" s="20"/>
      <c r="M694" s="20">
        <f>Разбивка_по_щитам!P699</f>
        <v/>
      </c>
      <c r="N694" s="20"/>
    </row>
    <row r="695" spans="2:14" x14ac:dyDescent="0.25">
      <c r="B695" s="20">
        <f>Разбивка_по_щитам!B700</f>
        <v/>
      </c>
      <c r="C695" s="20">
        <f>Разбивка_по_щитам!C700</f>
      </c>
      <c r="D695" s="20">
        <f>Разбивка_по_щитам!F700</f>
      </c>
      <c r="E695" s="20">
        <f>Разбивка_по_щитам!H700</f>
      </c>
      <c r="F695" s="20">
        <f>Разбивка_по_щитам!I700</f>
      </c>
      <c r="G695" s="20">
        <f>Разбивка_по_щитам!J700</f>
        <v/>
      </c>
      <c r="H695" s="20">
        <f>Разбивка_по_щитам!K700</f>
        <v/>
      </c>
      <c r="I695" s="20">
        <f>Разбивка_по_щитам!L700</f>
        <v/>
      </c>
      <c r="J695" s="20">
        <f>Разбивка_по_щитам!M700</f>
        <v/>
      </c>
      <c r="K695" s="20">
        <f>Разбивка_по_щитам!N700</f>
        <v/>
      </c>
      <c r="L695" s="20"/>
      <c r="M695" s="20">
        <f>Разбивка_по_щитам!P700</f>
        <v/>
      </c>
      <c r="N695" s="20"/>
    </row>
    <row r="696" spans="2:14" x14ac:dyDescent="0.25">
      <c r="B696" s="20">
        <f>Разбивка_по_щитам!B701</f>
        <v/>
      </c>
      <c r="C696" s="20">
        <f>Разбивка_по_щитам!C701</f>
      </c>
      <c r="D696" s="20">
        <f>Разбивка_по_щитам!F701</f>
      </c>
      <c r="E696" s="20">
        <f>Разбивка_по_щитам!H701</f>
      </c>
      <c r="F696" s="20">
        <f>Разбивка_по_щитам!I701</f>
      </c>
      <c r="G696" s="20">
        <f>Разбивка_по_щитам!J701</f>
        <v/>
      </c>
      <c r="H696" s="20">
        <f>Разбивка_по_щитам!K701</f>
        <v/>
      </c>
      <c r="I696" s="20">
        <f>Разбивка_по_щитам!L701</f>
        <v/>
      </c>
      <c r="J696" s="20">
        <f>Разбивка_по_щитам!M701</f>
        <v/>
      </c>
      <c r="K696" s="20">
        <f>Разбивка_по_щитам!N701</f>
        <v/>
      </c>
      <c r="L696" s="20"/>
      <c r="M696" s="20">
        <f>Разбивка_по_щитам!P701</f>
        <v/>
      </c>
      <c r="N696" s="20"/>
    </row>
    <row r="697" spans="2:14" x14ac:dyDescent="0.25">
      <c r="B697" s="20">
        <f>Разбивка_по_щитам!B702</f>
        <v/>
      </c>
      <c r="C697" s="20">
        <f>Разбивка_по_щитам!C702</f>
      </c>
      <c r="D697" s="20">
        <f>Разбивка_по_щитам!F702</f>
      </c>
      <c r="E697" s="20">
        <f>Разбивка_по_щитам!H702</f>
      </c>
      <c r="F697" s="20">
        <f>Разбивка_по_щитам!I702</f>
      </c>
      <c r="G697" s="20">
        <f>Разбивка_по_щитам!J702</f>
        <v/>
      </c>
      <c r="H697" s="20">
        <f>Разбивка_по_щитам!K702</f>
        <v/>
      </c>
      <c r="I697" s="20">
        <f>Разбивка_по_щитам!L702</f>
        <v/>
      </c>
      <c r="J697" s="20">
        <f>Разбивка_по_щитам!M702</f>
        <v/>
      </c>
      <c r="K697" s="20">
        <f>Разбивка_по_щитам!N702</f>
        <v/>
      </c>
      <c r="L697" s="20"/>
      <c r="M697" s="20">
        <f>Разбивка_по_щитам!P702</f>
        <v/>
      </c>
      <c r="N697" s="20"/>
    </row>
    <row r="698" spans="2:14" x14ac:dyDescent="0.25">
      <c r="B698" s="20">
        <f>Разбивка_по_щитам!B703</f>
        <v/>
      </c>
      <c r="C698" s="20">
        <f>Разбивка_по_щитам!C703</f>
      </c>
      <c r="D698" s="20">
        <f>Разбивка_по_щитам!F703</f>
      </c>
      <c r="E698" s="20">
        <f>Разбивка_по_щитам!H703</f>
      </c>
      <c r="F698" s="20">
        <f>Разбивка_по_щитам!I703</f>
      </c>
      <c r="G698" s="20">
        <f>Разбивка_по_щитам!J703</f>
        <v/>
      </c>
      <c r="H698" s="20">
        <f>Разбивка_по_щитам!K703</f>
        <v/>
      </c>
      <c r="I698" s="20">
        <f>Разбивка_по_щитам!L703</f>
        <v/>
      </c>
      <c r="J698" s="20">
        <f>Разбивка_по_щитам!M703</f>
        <v/>
      </c>
      <c r="K698" s="20">
        <f>Разбивка_по_щитам!N703</f>
        <v/>
      </c>
      <c r="L698" s="20"/>
      <c r="M698" s="20">
        <f>Разбивка_по_щитам!P703</f>
        <v/>
      </c>
      <c r="N698" s="20"/>
    </row>
    <row r="699" spans="2:14" x14ac:dyDescent="0.25">
      <c r="B699" s="20">
        <f>Разбивка_по_щитам!B704</f>
        <v/>
      </c>
      <c r="C699" s="20">
        <f>Разбивка_по_щитам!C704</f>
      </c>
      <c r="D699" s="20">
        <f>Разбивка_по_щитам!F704</f>
      </c>
      <c r="E699" s="20">
        <f>Разбивка_по_щитам!H704</f>
      </c>
      <c r="F699" s="20">
        <f>Разбивка_по_щитам!I704</f>
      </c>
      <c r="G699" s="20">
        <f>Разбивка_по_щитам!J704</f>
        <v/>
      </c>
      <c r="H699" s="20">
        <f>Разбивка_по_щитам!K704</f>
        <v/>
      </c>
      <c r="I699" s="20">
        <f>Разбивка_по_щитам!L704</f>
        <v/>
      </c>
      <c r="J699" s="20">
        <f>Разбивка_по_щитам!M704</f>
        <v/>
      </c>
      <c r="K699" s="20">
        <f>Разбивка_по_щитам!N704</f>
        <v/>
      </c>
      <c r="L699" s="20"/>
      <c r="M699" s="20">
        <f>Разбивка_по_щитам!P704</f>
        <v/>
      </c>
      <c r="N699" s="20"/>
    </row>
    <row r="700" spans="2:14" x14ac:dyDescent="0.25">
      <c r="B700" s="20">
        <f>Разбивка_по_щитам!B705</f>
        <v/>
      </c>
      <c r="C700" s="20">
        <f>Разбивка_по_щитам!C705</f>
      </c>
      <c r="D700" s="20">
        <f>Разбивка_по_щитам!F705</f>
      </c>
      <c r="E700" s="20">
        <f>Разбивка_по_щитам!H705</f>
      </c>
      <c r="F700" s="20">
        <f>Разбивка_по_щитам!I705</f>
      </c>
      <c r="G700" s="20">
        <f>Разбивка_по_щитам!J705</f>
        <v/>
      </c>
      <c r="H700" s="20">
        <f>Разбивка_по_щитам!K705</f>
        <v/>
      </c>
      <c r="I700" s="20">
        <f>Разбивка_по_щитам!L705</f>
        <v/>
      </c>
      <c r="J700" s="20">
        <f>Разбивка_по_щитам!M705</f>
        <v/>
      </c>
      <c r="K700" s="20">
        <f>Разбивка_по_щитам!N705</f>
        <v/>
      </c>
      <c r="L700" s="20"/>
      <c r="M700" s="20">
        <f>Разбивка_по_щитам!P705</f>
        <v/>
      </c>
      <c r="N700" s="20"/>
    </row>
    <row r="701" spans="2:14" x14ac:dyDescent="0.25">
      <c r="B701" s="20">
        <f>Разбивка_по_щитам!B706</f>
        <v/>
      </c>
      <c r="C701" s="20">
        <f>Разбивка_по_щитам!C706</f>
      </c>
      <c r="D701" s="20">
        <f>Разбивка_по_щитам!F706</f>
      </c>
      <c r="E701" s="20">
        <f>Разбивка_по_щитам!H706</f>
      </c>
      <c r="F701" s="20">
        <f>Разбивка_по_щитам!I706</f>
      </c>
      <c r="G701" s="20">
        <f>Разбивка_по_щитам!J706</f>
        <v/>
      </c>
      <c r="H701" s="20">
        <f>Разбивка_по_щитам!K706</f>
        <v/>
      </c>
      <c r="I701" s="20">
        <f>Разбивка_по_щитам!L706</f>
        <v/>
      </c>
      <c r="J701" s="20">
        <f>Разбивка_по_щитам!M706</f>
        <v/>
      </c>
      <c r="K701" s="20">
        <f>Разбивка_по_щитам!N706</f>
        <v/>
      </c>
      <c r="L701" s="20"/>
      <c r="M701" s="20">
        <f>Разбивка_по_щитам!P706</f>
        <v/>
      </c>
      <c r="N701" s="20"/>
    </row>
    <row r="702" spans="2:14" x14ac:dyDescent="0.25">
      <c r="B702" s="20">
        <f>Разбивка_по_щитам!B707</f>
        <v/>
      </c>
      <c r="C702" s="20">
        <f>Разбивка_по_щитам!C707</f>
      </c>
      <c r="D702" s="20">
        <f>Разбивка_по_щитам!F707</f>
      </c>
      <c r="E702" s="20">
        <f>Разбивка_по_щитам!H707</f>
      </c>
      <c r="F702" s="20">
        <f>Разбивка_по_щитам!I707</f>
      </c>
      <c r="G702" s="20">
        <f>Разбивка_по_щитам!J707</f>
        <v/>
      </c>
      <c r="H702" s="20">
        <f>Разбивка_по_щитам!K707</f>
        <v/>
      </c>
      <c r="I702" s="20">
        <f>Разбивка_по_щитам!L707</f>
        <v/>
      </c>
      <c r="J702" s="20">
        <f>Разбивка_по_щитам!M707</f>
        <v/>
      </c>
      <c r="K702" s="20">
        <f>Разбивка_по_щитам!N707</f>
        <v/>
      </c>
      <c r="L702" s="20"/>
      <c r="M702" s="20">
        <f>Разбивка_по_щитам!P707</f>
        <v/>
      </c>
      <c r="N702" s="20"/>
    </row>
    <row r="703" spans="2:14" x14ac:dyDescent="0.25">
      <c r="B703" s="20">
        <f>Разбивка_по_щитам!B708</f>
        <v/>
      </c>
      <c r="C703" s="20">
        <f>Разбивка_по_щитам!C708</f>
      </c>
      <c r="D703" s="20">
        <f>Разбивка_по_щитам!F708</f>
      </c>
      <c r="E703" s="20">
        <f>Разбивка_по_щитам!H708</f>
      </c>
      <c r="F703" s="20">
        <f>Разбивка_по_щитам!I708</f>
      </c>
      <c r="G703" s="20">
        <f>Разбивка_по_щитам!J708</f>
        <v/>
      </c>
      <c r="H703" s="20">
        <f>Разбивка_по_щитам!K708</f>
        <v/>
      </c>
      <c r="I703" s="20">
        <f>Разбивка_по_щитам!L708</f>
        <v/>
      </c>
      <c r="J703" s="20">
        <f>Разбивка_по_щитам!M708</f>
        <v/>
      </c>
      <c r="K703" s="20">
        <f>Разбивка_по_щитам!N708</f>
        <v/>
      </c>
      <c r="L703" s="20"/>
      <c r="M703" s="20">
        <f>Разбивка_по_щитам!P708</f>
        <v/>
      </c>
      <c r="N703" s="20"/>
    </row>
    <row r="704" spans="2:14" x14ac:dyDescent="0.25">
      <c r="B704" s="20">
        <f>Разбивка_по_щитам!B709</f>
        <v/>
      </c>
      <c r="C704" s="20">
        <f>Разбивка_по_щитам!C709</f>
      </c>
      <c r="D704" s="20">
        <f>Разбивка_по_щитам!F709</f>
      </c>
      <c r="E704" s="20">
        <f>Разбивка_по_щитам!H709</f>
      </c>
      <c r="F704" s="20">
        <f>Разбивка_по_щитам!I709</f>
      </c>
      <c r="G704" s="20">
        <f>Разбивка_по_щитам!J709</f>
        <v/>
      </c>
      <c r="H704" s="20">
        <f>Разбивка_по_щитам!K709</f>
        <v/>
      </c>
      <c r="I704" s="20">
        <f>Разбивка_по_щитам!L709</f>
        <v/>
      </c>
      <c r="J704" s="20">
        <f>Разбивка_по_щитам!M709</f>
        <v/>
      </c>
      <c r="K704" s="20">
        <f>Разбивка_по_щитам!N709</f>
        <v/>
      </c>
      <c r="L704" s="20"/>
      <c r="M704" s="20">
        <f>Разбивка_по_щитам!P709</f>
        <v/>
      </c>
      <c r="N704" s="20"/>
    </row>
    <row r="705" spans="2:14" x14ac:dyDescent="0.25">
      <c r="B705" s="20">
        <f>Разбивка_по_щитам!B710</f>
        <v/>
      </c>
      <c r="C705" s="20">
        <f>Разбивка_по_щитам!C710</f>
      </c>
      <c r="D705" s="20">
        <f>Разбивка_по_щитам!F710</f>
      </c>
      <c r="E705" s="20">
        <f>Разбивка_по_щитам!H710</f>
      </c>
      <c r="F705" s="20">
        <f>Разбивка_по_щитам!I710</f>
      </c>
      <c r="G705" s="20">
        <f>Разбивка_по_щитам!J710</f>
        <v/>
      </c>
      <c r="H705" s="20">
        <f>Разбивка_по_щитам!K710</f>
        <v/>
      </c>
      <c r="I705" s="20">
        <f>Разбивка_по_щитам!L710</f>
        <v/>
      </c>
      <c r="J705" s="20">
        <f>Разбивка_по_щитам!M710</f>
        <v/>
      </c>
      <c r="K705" s="20">
        <f>Разбивка_по_щитам!N710</f>
        <v/>
      </c>
      <c r="L705" s="20"/>
      <c r="M705" s="20">
        <f>Разбивка_по_щитам!P710</f>
        <v/>
      </c>
      <c r="N705" s="20"/>
    </row>
    <row r="706" spans="2:14" x14ac:dyDescent="0.25">
      <c r="B706" s="20">
        <f>Разбивка_по_щитам!B711</f>
        <v/>
      </c>
      <c r="C706" s="20">
        <f>Разбивка_по_щитам!C711</f>
      </c>
      <c r="D706" s="20">
        <f>Разбивка_по_щитам!F711</f>
      </c>
      <c r="E706" s="20">
        <f>Разбивка_по_щитам!H711</f>
      </c>
      <c r="F706" s="20">
        <f>Разбивка_по_щитам!I711</f>
      </c>
      <c r="G706" s="20">
        <f>Разбивка_по_щитам!J711</f>
        <v/>
      </c>
      <c r="H706" s="20">
        <f>Разбивка_по_щитам!K711</f>
        <v/>
      </c>
      <c r="I706" s="20">
        <f>Разбивка_по_щитам!L711</f>
        <v/>
      </c>
      <c r="J706" s="20">
        <f>Разбивка_по_щитам!M711</f>
        <v/>
      </c>
      <c r="K706" s="20">
        <f>Разбивка_по_щитам!N711</f>
        <v/>
      </c>
      <c r="L706" s="20"/>
      <c r="M706" s="20">
        <f>Разбивка_по_щитам!P711</f>
        <v/>
      </c>
      <c r="N706" s="20"/>
    </row>
    <row r="707" spans="2:14" x14ac:dyDescent="0.25">
      <c r="B707" s="20">
        <f>Разбивка_по_щитам!B712</f>
        <v/>
      </c>
      <c r="C707" s="20">
        <f>Разбивка_по_щитам!C712</f>
      </c>
      <c r="D707" s="20">
        <f>Разбивка_по_щитам!F712</f>
      </c>
      <c r="E707" s="20">
        <f>Разбивка_по_щитам!H712</f>
      </c>
      <c r="F707" s="20">
        <f>Разбивка_по_щитам!I712</f>
      </c>
      <c r="G707" s="20">
        <f>Разбивка_по_щитам!J712</f>
        <v/>
      </c>
      <c r="H707" s="20">
        <f>Разбивка_по_щитам!K712</f>
        <v/>
      </c>
      <c r="I707" s="20">
        <f>Разбивка_по_щитам!L712</f>
        <v/>
      </c>
      <c r="J707" s="20">
        <f>Разбивка_по_щитам!M712</f>
        <v/>
      </c>
      <c r="K707" s="20">
        <f>Разбивка_по_щитам!N712</f>
        <v/>
      </c>
      <c r="L707" s="20"/>
      <c r="M707" s="20">
        <f>Разбивка_по_щитам!P712</f>
        <v/>
      </c>
      <c r="N707" s="20"/>
    </row>
    <row r="708" spans="2:14" x14ac:dyDescent="0.25">
      <c r="B708" s="20">
        <f>Разбивка_по_щитам!B713</f>
        <v/>
      </c>
      <c r="C708" s="20">
        <f>Разбивка_по_щитам!C713</f>
      </c>
      <c r="D708" s="20">
        <f>Разбивка_по_щитам!F713</f>
      </c>
      <c r="E708" s="20">
        <f>Разбивка_по_щитам!H713</f>
      </c>
      <c r="F708" s="20">
        <f>Разбивка_по_щитам!I713</f>
      </c>
      <c r="G708" s="20">
        <f>Разбивка_по_щитам!J713</f>
        <v/>
      </c>
      <c r="H708" s="20">
        <f>Разбивка_по_щитам!K713</f>
        <v/>
      </c>
      <c r="I708" s="20">
        <f>Разбивка_по_щитам!L713</f>
        <v/>
      </c>
      <c r="J708" s="20">
        <f>Разбивка_по_щитам!M713</f>
        <v/>
      </c>
      <c r="K708" s="20">
        <f>Разбивка_по_щитам!N713</f>
        <v/>
      </c>
      <c r="L708" s="20"/>
      <c r="M708" s="20">
        <f>Разбивка_по_щитам!P713</f>
        <v/>
      </c>
      <c r="N708" s="20"/>
    </row>
    <row r="709" spans="2:14" x14ac:dyDescent="0.25">
      <c r="B709" s="20">
        <f>Разбивка_по_щитам!B714</f>
        <v/>
      </c>
      <c r="C709" s="20">
        <f>Разбивка_по_щитам!C714</f>
      </c>
      <c r="D709" s="20">
        <f>Разбивка_по_щитам!F714</f>
      </c>
      <c r="E709" s="20">
        <f>Разбивка_по_щитам!H714</f>
      </c>
      <c r="F709" s="20">
        <f>Разбивка_по_щитам!I714</f>
      </c>
      <c r="G709" s="20">
        <f>Разбивка_по_щитам!J714</f>
        <v/>
      </c>
      <c r="H709" s="20">
        <f>Разбивка_по_щитам!K714</f>
        <v/>
      </c>
      <c r="I709" s="20">
        <f>Разбивка_по_щитам!L714</f>
        <v/>
      </c>
      <c r="J709" s="20">
        <f>Разбивка_по_щитам!M714</f>
        <v/>
      </c>
      <c r="K709" s="20">
        <f>Разбивка_по_щитам!N714</f>
        <v/>
      </c>
      <c r="L709" s="20"/>
      <c r="M709" s="20">
        <f>Разбивка_по_щитам!P714</f>
        <v/>
      </c>
      <c r="N709" s="20"/>
    </row>
    <row r="710" spans="2:14" x14ac:dyDescent="0.25">
      <c r="B710" s="20">
        <f>Разбивка_по_щитам!B715</f>
        <v/>
      </c>
      <c r="C710" s="20">
        <f>Разбивка_по_щитам!C715</f>
      </c>
      <c r="D710" s="20">
        <f>Разбивка_по_щитам!F715</f>
      </c>
      <c r="E710" s="20">
        <f>Разбивка_по_щитам!H715</f>
      </c>
      <c r="F710" s="20">
        <f>Разбивка_по_щитам!I715</f>
      </c>
      <c r="G710" s="20">
        <f>Разбивка_по_щитам!J715</f>
        <v/>
      </c>
      <c r="H710" s="20">
        <f>Разбивка_по_щитам!K715</f>
        <v/>
      </c>
      <c r="I710" s="20">
        <f>Разбивка_по_щитам!L715</f>
        <v/>
      </c>
      <c r="J710" s="20">
        <f>Разбивка_по_щитам!M715</f>
        <v/>
      </c>
      <c r="K710" s="20">
        <f>Разбивка_по_щитам!N715</f>
        <v/>
      </c>
      <c r="L710" s="20"/>
      <c r="M710" s="20">
        <f>Разбивка_по_щитам!P715</f>
        <v/>
      </c>
      <c r="N710" s="20"/>
    </row>
    <row r="711" spans="2:14" x14ac:dyDescent="0.25">
      <c r="B711" s="20">
        <f>Разбивка_по_щитам!B716</f>
        <v/>
      </c>
      <c r="C711" s="20">
        <f>Разбивка_по_щитам!C716</f>
      </c>
      <c r="D711" s="20">
        <f>Разбивка_по_щитам!F716</f>
      </c>
      <c r="E711" s="20">
        <f>Разбивка_по_щитам!H716</f>
      </c>
      <c r="F711" s="20">
        <f>Разбивка_по_щитам!I716</f>
      </c>
      <c r="G711" s="20">
        <f>Разбивка_по_щитам!J716</f>
        <v/>
      </c>
      <c r="H711" s="20">
        <f>Разбивка_по_щитам!K716</f>
        <v/>
      </c>
      <c r="I711" s="20">
        <f>Разбивка_по_щитам!L716</f>
        <v/>
      </c>
      <c r="J711" s="20">
        <f>Разбивка_по_щитам!M716</f>
        <v/>
      </c>
      <c r="K711" s="20">
        <f>Разбивка_по_щитам!N716</f>
        <v/>
      </c>
      <c r="L711" s="20"/>
      <c r="M711" s="20">
        <f>Разбивка_по_щитам!P716</f>
        <v/>
      </c>
      <c r="N711" s="20"/>
    </row>
    <row r="712" spans="2:14" x14ac:dyDescent="0.25">
      <c r="B712" s="20">
        <f>Разбивка_по_щитам!B717</f>
        <v/>
      </c>
      <c r="C712" s="20">
        <f>Разбивка_по_щитам!C717</f>
      </c>
      <c r="D712" s="20">
        <f>Разбивка_по_щитам!F717</f>
      </c>
      <c r="E712" s="20">
        <f>Разбивка_по_щитам!H717</f>
      </c>
      <c r="F712" s="20">
        <f>Разбивка_по_щитам!I717</f>
      </c>
      <c r="G712" s="20">
        <f>Разбивка_по_щитам!J717</f>
        <v/>
      </c>
      <c r="H712" s="20">
        <f>Разбивка_по_щитам!K717</f>
        <v/>
      </c>
      <c r="I712" s="20">
        <f>Разбивка_по_щитам!L717</f>
        <v/>
      </c>
      <c r="J712" s="20">
        <f>Разбивка_по_щитам!M717</f>
        <v/>
      </c>
      <c r="K712" s="20">
        <f>Разбивка_по_щитам!N717</f>
        <v/>
      </c>
      <c r="L712" s="20"/>
      <c r="M712" s="20">
        <f>Разбивка_по_щитам!P717</f>
        <v/>
      </c>
      <c r="N712" s="20"/>
    </row>
    <row r="713" spans="2:14" x14ac:dyDescent="0.25">
      <c r="B713" s="20">
        <f>Разбивка_по_щитам!B718</f>
        <v/>
      </c>
      <c r="C713" s="20">
        <f>Разбивка_по_щитам!C718</f>
      </c>
      <c r="D713" s="20">
        <f>Разбивка_по_щитам!F718</f>
      </c>
      <c r="E713" s="20">
        <f>Разбивка_по_щитам!H718</f>
      </c>
      <c r="F713" s="20">
        <f>Разбивка_по_щитам!I718</f>
      </c>
      <c r="G713" s="20">
        <f>Разбивка_по_щитам!J718</f>
        <v/>
      </c>
      <c r="H713" s="20">
        <f>Разбивка_по_щитам!K718</f>
        <v/>
      </c>
      <c r="I713" s="20">
        <f>Разбивка_по_щитам!L718</f>
        <v/>
      </c>
      <c r="J713" s="20">
        <f>Разбивка_по_щитам!M718</f>
        <v/>
      </c>
      <c r="K713" s="20">
        <f>Разбивка_по_щитам!N718</f>
        <v/>
      </c>
      <c r="L713" s="20"/>
      <c r="M713" s="20">
        <f>Разбивка_по_щитам!P718</f>
        <v/>
      </c>
      <c r="N713" s="20"/>
    </row>
    <row r="714" spans="2:14" x14ac:dyDescent="0.25">
      <c r="B714" s="20">
        <f>Разбивка_по_щитам!B719</f>
        <v/>
      </c>
      <c r="C714" s="20">
        <f>Разбивка_по_щитам!C719</f>
      </c>
      <c r="D714" s="20">
        <f>Разбивка_по_щитам!F719</f>
      </c>
      <c r="E714" s="20">
        <f>Разбивка_по_щитам!H719</f>
      </c>
      <c r="F714" s="20">
        <f>Разбивка_по_щитам!I719</f>
      </c>
      <c r="G714" s="20">
        <f>Разбивка_по_щитам!J719</f>
        <v/>
      </c>
      <c r="H714" s="20">
        <f>Разбивка_по_щитам!K719</f>
        <v/>
      </c>
      <c r="I714" s="20">
        <f>Разбивка_по_щитам!L719</f>
        <v/>
      </c>
      <c r="J714" s="20">
        <f>Разбивка_по_щитам!M719</f>
        <v/>
      </c>
      <c r="K714" s="20">
        <f>Разбивка_по_щитам!N719</f>
        <v/>
      </c>
      <c r="L714" s="20"/>
      <c r="M714" s="20">
        <f>Разбивка_по_щитам!P719</f>
        <v/>
      </c>
      <c r="N714" s="20"/>
    </row>
    <row r="715" spans="2:14" x14ac:dyDescent="0.25">
      <c r="B715" s="20">
        <f>Разбивка_по_щитам!B720</f>
        <v/>
      </c>
      <c r="C715" s="20">
        <f>Разбивка_по_щитам!C720</f>
      </c>
      <c r="D715" s="20">
        <f>Разбивка_по_щитам!F720</f>
      </c>
      <c r="E715" s="20">
        <f>Разбивка_по_щитам!H720</f>
      </c>
      <c r="F715" s="20">
        <f>Разбивка_по_щитам!I720</f>
      </c>
      <c r="G715" s="20">
        <f>Разбивка_по_щитам!J720</f>
        <v/>
      </c>
      <c r="H715" s="20">
        <f>Разбивка_по_щитам!K720</f>
        <v/>
      </c>
      <c r="I715" s="20">
        <f>Разбивка_по_щитам!L720</f>
        <v/>
      </c>
      <c r="J715" s="20">
        <f>Разбивка_по_щитам!M720</f>
        <v/>
      </c>
      <c r="K715" s="20">
        <f>Разбивка_по_щитам!N720</f>
        <v/>
      </c>
      <c r="L715" s="20"/>
      <c r="M715" s="20">
        <f>Разбивка_по_щитам!P720</f>
        <v/>
      </c>
      <c r="N715" s="20"/>
    </row>
    <row r="716" spans="2:14" x14ac:dyDescent="0.25">
      <c r="B716" s="20">
        <f>Разбивка_по_щитам!B721</f>
        <v/>
      </c>
      <c r="C716" s="20">
        <f>Разбивка_по_щитам!C721</f>
      </c>
      <c r="D716" s="20">
        <f>Разбивка_по_щитам!F721</f>
      </c>
      <c r="E716" s="20">
        <f>Разбивка_по_щитам!H721</f>
      </c>
      <c r="F716" s="20">
        <f>Разбивка_по_щитам!I721</f>
      </c>
      <c r="G716" s="20">
        <f>Разбивка_по_щитам!J721</f>
        <v/>
      </c>
      <c r="H716" s="20">
        <f>Разбивка_по_щитам!K721</f>
        <v/>
      </c>
      <c r="I716" s="20">
        <f>Разбивка_по_щитам!L721</f>
        <v/>
      </c>
      <c r="J716" s="20">
        <f>Разбивка_по_щитам!M721</f>
        <v/>
      </c>
      <c r="K716" s="20">
        <f>Разбивка_по_щитам!N721</f>
        <v/>
      </c>
      <c r="L716" s="20"/>
      <c r="M716" s="20">
        <f>Разбивка_по_щитам!P721</f>
        <v/>
      </c>
      <c r="N716" s="20"/>
    </row>
    <row r="717" spans="2:14" x14ac:dyDescent="0.25">
      <c r="B717" s="20">
        <f>Разбивка_по_щитам!B722</f>
        <v/>
      </c>
      <c r="C717" s="20">
        <f>Разбивка_по_щитам!C722</f>
      </c>
      <c r="D717" s="20">
        <f>Разбивка_по_щитам!F722</f>
      </c>
      <c r="E717" s="20">
        <f>Разбивка_по_щитам!H722</f>
      </c>
      <c r="F717" s="20">
        <f>Разбивка_по_щитам!I722</f>
      </c>
      <c r="G717" s="20">
        <f>Разбивка_по_щитам!J722</f>
        <v/>
      </c>
      <c r="H717" s="20">
        <f>Разбивка_по_щитам!K722</f>
        <v/>
      </c>
      <c r="I717" s="20">
        <f>Разбивка_по_щитам!L722</f>
        <v/>
      </c>
      <c r="J717" s="20">
        <f>Разбивка_по_щитам!M722</f>
        <v/>
      </c>
      <c r="K717" s="20">
        <f>Разбивка_по_щитам!N722</f>
        <v/>
      </c>
      <c r="L717" s="20"/>
      <c r="M717" s="20">
        <f>Разбивка_по_щитам!P722</f>
        <v/>
      </c>
      <c r="N717" s="20"/>
    </row>
    <row r="718" spans="2:14" x14ac:dyDescent="0.25">
      <c r="B718" s="20">
        <f>Разбивка_по_щитам!B723</f>
        <v/>
      </c>
      <c r="C718" s="20">
        <f>Разбивка_по_щитам!C723</f>
      </c>
      <c r="D718" s="20">
        <f>Разбивка_по_щитам!F723</f>
      </c>
      <c r="E718" s="20">
        <f>Разбивка_по_щитам!H723</f>
      </c>
      <c r="F718" s="20">
        <f>Разбивка_по_щитам!I723</f>
      </c>
      <c r="G718" s="20">
        <f>Разбивка_по_щитам!J723</f>
        <v/>
      </c>
      <c r="H718" s="20">
        <f>Разбивка_по_щитам!K723</f>
        <v/>
      </c>
      <c r="I718" s="20">
        <f>Разбивка_по_щитам!L723</f>
        <v/>
      </c>
      <c r="J718" s="20">
        <f>Разбивка_по_щитам!M723</f>
        <v/>
      </c>
      <c r="K718" s="20">
        <f>Разбивка_по_щитам!N723</f>
        <v/>
      </c>
      <c r="L718" s="20"/>
      <c r="M718" s="20">
        <f>Разбивка_по_щитам!P723</f>
        <v/>
      </c>
      <c r="N718" s="20"/>
    </row>
    <row r="719" spans="2:14" x14ac:dyDescent="0.25">
      <c r="B719" s="20">
        <f>Разбивка_по_щитам!B724</f>
        <v/>
      </c>
      <c r="C719" s="20">
        <f>Разбивка_по_щитам!C724</f>
      </c>
      <c r="D719" s="20">
        <f>Разбивка_по_щитам!F724</f>
      </c>
      <c r="E719" s="20">
        <f>Разбивка_по_щитам!H724</f>
      </c>
      <c r="F719" s="20">
        <f>Разбивка_по_щитам!I724</f>
      </c>
      <c r="G719" s="20">
        <f>Разбивка_по_щитам!J724</f>
        <v/>
      </c>
      <c r="H719" s="20">
        <f>Разбивка_по_щитам!K724</f>
        <v/>
      </c>
      <c r="I719" s="20">
        <f>Разбивка_по_щитам!L724</f>
        <v/>
      </c>
      <c r="J719" s="20">
        <f>Разбивка_по_щитам!M724</f>
        <v/>
      </c>
      <c r="K719" s="20">
        <f>Разбивка_по_щитам!N724</f>
        <v/>
      </c>
      <c r="L719" s="20"/>
      <c r="M719" s="20">
        <f>Разбивка_по_щитам!P724</f>
        <v/>
      </c>
      <c r="N719" s="20"/>
    </row>
    <row r="720" spans="2:14" x14ac:dyDescent="0.25">
      <c r="B720" s="20">
        <f>Разбивка_по_щитам!B725</f>
        <v/>
      </c>
      <c r="C720" s="20">
        <f>Разбивка_по_щитам!C725</f>
      </c>
      <c r="D720" s="20">
        <f>Разбивка_по_щитам!F725</f>
      </c>
      <c r="E720" s="20">
        <f>Разбивка_по_щитам!H725</f>
      </c>
      <c r="F720" s="20">
        <f>Разбивка_по_щитам!I725</f>
      </c>
      <c r="G720" s="20">
        <f>Разбивка_по_щитам!J725</f>
        <v/>
      </c>
      <c r="H720" s="20">
        <f>Разбивка_по_щитам!K725</f>
        <v/>
      </c>
      <c r="I720" s="20">
        <f>Разбивка_по_щитам!L725</f>
        <v/>
      </c>
      <c r="J720" s="20">
        <f>Разбивка_по_щитам!M725</f>
        <v/>
      </c>
      <c r="K720" s="20">
        <f>Разбивка_по_щитам!N725</f>
        <v/>
      </c>
      <c r="L720" s="20"/>
      <c r="M720" s="20">
        <f>Разбивка_по_щитам!P725</f>
        <v/>
      </c>
      <c r="N720" s="20"/>
    </row>
    <row r="721" spans="2:14" x14ac:dyDescent="0.25">
      <c r="B721" s="20">
        <f>Разбивка_по_щитам!B726</f>
        <v/>
      </c>
      <c r="C721" s="20">
        <f>Разбивка_по_щитам!C726</f>
      </c>
      <c r="D721" s="20">
        <f>Разбивка_по_щитам!F726</f>
      </c>
      <c r="E721" s="20">
        <f>Разбивка_по_щитам!H726</f>
      </c>
      <c r="F721" s="20">
        <f>Разбивка_по_щитам!I726</f>
      </c>
      <c r="G721" s="20">
        <f>Разбивка_по_щитам!J726</f>
        <v/>
      </c>
      <c r="H721" s="20">
        <f>Разбивка_по_щитам!K726</f>
        <v/>
      </c>
      <c r="I721" s="20">
        <f>Разбивка_по_щитам!L726</f>
        <v/>
      </c>
      <c r="J721" s="20">
        <f>Разбивка_по_щитам!M726</f>
        <v/>
      </c>
      <c r="K721" s="20">
        <f>Разбивка_по_щитам!N726</f>
        <v/>
      </c>
      <c r="L721" s="20"/>
      <c r="M721" s="20">
        <f>Разбивка_по_щитам!P726</f>
        <v/>
      </c>
      <c r="N721" s="20"/>
    </row>
    <row r="722" spans="2:14" x14ac:dyDescent="0.25">
      <c r="B722" s="20">
        <f>Разбивка_по_щитам!B727</f>
        <v/>
      </c>
      <c r="C722" s="20">
        <f>Разбивка_по_щитам!C727</f>
      </c>
      <c r="D722" s="20">
        <f>Разбивка_по_щитам!F727</f>
      </c>
      <c r="E722" s="20">
        <f>Разбивка_по_щитам!H727</f>
      </c>
      <c r="F722" s="20">
        <f>Разбивка_по_щитам!I727</f>
      </c>
      <c r="G722" s="20">
        <f>Разбивка_по_щитам!J727</f>
        <v/>
      </c>
      <c r="H722" s="20">
        <f>Разбивка_по_щитам!K727</f>
        <v/>
      </c>
      <c r="I722" s="20">
        <f>Разбивка_по_щитам!L727</f>
        <v/>
      </c>
      <c r="J722" s="20">
        <f>Разбивка_по_щитам!M727</f>
        <v/>
      </c>
      <c r="K722" s="20">
        <f>Разбивка_по_щитам!N727</f>
        <v/>
      </c>
      <c r="L722" s="20"/>
      <c r="M722" s="20">
        <f>Разбивка_по_щитам!P727</f>
        <v/>
      </c>
      <c r="N722" s="20"/>
    </row>
    <row r="723" spans="2:14" x14ac:dyDescent="0.25">
      <c r="B723" s="20">
        <f>Разбивка_по_щитам!B728</f>
        <v/>
      </c>
      <c r="C723" s="20">
        <f>Разбивка_по_щитам!C728</f>
      </c>
      <c r="D723" s="20">
        <f>Разбивка_по_щитам!F728</f>
      </c>
      <c r="E723" s="20">
        <f>Разбивка_по_щитам!H728</f>
      </c>
      <c r="F723" s="20">
        <f>Разбивка_по_щитам!I728</f>
      </c>
      <c r="G723" s="20">
        <f>Разбивка_по_щитам!J728</f>
        <v/>
      </c>
      <c r="H723" s="20">
        <f>Разбивка_по_щитам!K728</f>
        <v/>
      </c>
      <c r="I723" s="20">
        <f>Разбивка_по_щитам!L728</f>
        <v/>
      </c>
      <c r="J723" s="20">
        <f>Разбивка_по_щитам!M728</f>
        <v/>
      </c>
      <c r="K723" s="20">
        <f>Разбивка_по_щитам!N728</f>
        <v/>
      </c>
      <c r="L723" s="20"/>
      <c r="M723" s="20">
        <f>Разбивка_по_щитам!P728</f>
        <v/>
      </c>
      <c r="N723" s="20"/>
    </row>
    <row r="724" spans="2:14" x14ac:dyDescent="0.25">
      <c r="B724" s="20">
        <f>Разбивка_по_щитам!B729</f>
        <v/>
      </c>
      <c r="C724" s="20">
        <f>Разбивка_по_щитам!C729</f>
      </c>
      <c r="D724" s="20">
        <f>Разбивка_по_щитам!F729</f>
      </c>
      <c r="E724" s="20">
        <f>Разбивка_по_щитам!H729</f>
      </c>
      <c r="F724" s="20">
        <f>Разбивка_по_щитам!I729</f>
      </c>
      <c r="G724" s="20">
        <f>Разбивка_по_щитам!J729</f>
        <v/>
      </c>
      <c r="H724" s="20">
        <f>Разбивка_по_щитам!K729</f>
        <v/>
      </c>
      <c r="I724" s="20">
        <f>Разбивка_по_щитам!L729</f>
        <v/>
      </c>
      <c r="J724" s="20">
        <f>Разбивка_по_щитам!M729</f>
        <v/>
      </c>
      <c r="K724" s="20">
        <f>Разбивка_по_щитам!N729</f>
        <v/>
      </c>
      <c r="L724" s="20"/>
      <c r="M724" s="20">
        <f>Разбивка_по_щитам!P729</f>
        <v/>
      </c>
      <c r="N724" s="20"/>
    </row>
    <row r="725" spans="2:14" x14ac:dyDescent="0.25">
      <c r="B725" s="20">
        <f>Разбивка_по_щитам!B730</f>
        <v/>
      </c>
      <c r="C725" s="20">
        <f>Разбивка_по_щитам!C730</f>
      </c>
      <c r="D725" s="20">
        <f>Разбивка_по_щитам!F730</f>
      </c>
      <c r="E725" s="20">
        <f>Разбивка_по_щитам!H730</f>
      </c>
      <c r="F725" s="20">
        <f>Разбивка_по_щитам!I730</f>
      </c>
      <c r="G725" s="20">
        <f>Разбивка_по_щитам!J730</f>
        <v/>
      </c>
      <c r="H725" s="20">
        <f>Разбивка_по_щитам!K730</f>
        <v/>
      </c>
      <c r="I725" s="20">
        <f>Разбивка_по_щитам!L730</f>
        <v/>
      </c>
      <c r="J725" s="20">
        <f>Разбивка_по_щитам!M730</f>
        <v/>
      </c>
      <c r="K725" s="20">
        <f>Разбивка_по_щитам!N730</f>
        <v/>
      </c>
      <c r="L725" s="20"/>
      <c r="M725" s="20">
        <f>Разбивка_по_щитам!P730</f>
        <v/>
      </c>
      <c r="N725" s="20"/>
    </row>
    <row r="726" spans="2:14" x14ac:dyDescent="0.25">
      <c r="B726" s="20">
        <f>Разбивка_по_щитам!B731</f>
        <v/>
      </c>
      <c r="C726" s="20">
        <f>Разбивка_по_щитам!C731</f>
      </c>
      <c r="D726" s="20">
        <f>Разбивка_по_щитам!F731</f>
      </c>
      <c r="E726" s="20">
        <f>Разбивка_по_щитам!H731</f>
      </c>
      <c r="F726" s="20">
        <f>Разбивка_по_щитам!I731</f>
      </c>
      <c r="G726" s="20">
        <f>Разбивка_по_щитам!J731</f>
        <v/>
      </c>
      <c r="H726" s="20">
        <f>Разбивка_по_щитам!K731</f>
        <v/>
      </c>
      <c r="I726" s="20">
        <f>Разбивка_по_щитам!L731</f>
        <v/>
      </c>
      <c r="J726" s="20">
        <f>Разбивка_по_щитам!M731</f>
        <v/>
      </c>
      <c r="K726" s="20">
        <f>Разбивка_по_щитам!N731</f>
        <v/>
      </c>
      <c r="L726" s="20"/>
      <c r="M726" s="20">
        <f>Разбивка_по_щитам!P731</f>
        <v/>
      </c>
      <c r="N726" s="20"/>
    </row>
    <row r="727" spans="2:14" x14ac:dyDescent="0.25">
      <c r="B727" s="20">
        <f>Разбивка_по_щитам!B732</f>
        <v/>
      </c>
      <c r="C727" s="20">
        <f>Разбивка_по_щитам!C732</f>
      </c>
      <c r="D727" s="20">
        <f>Разбивка_по_щитам!F732</f>
      </c>
      <c r="E727" s="20">
        <f>Разбивка_по_щитам!H732</f>
      </c>
      <c r="F727" s="20">
        <f>Разбивка_по_щитам!I732</f>
      </c>
      <c r="G727" s="20">
        <f>Разбивка_по_щитам!J732</f>
        <v/>
      </c>
      <c r="H727" s="20">
        <f>Разбивка_по_щитам!K732</f>
        <v/>
      </c>
      <c r="I727" s="20">
        <f>Разбивка_по_щитам!L732</f>
        <v/>
      </c>
      <c r="J727" s="20">
        <f>Разбивка_по_щитам!M732</f>
        <v/>
      </c>
      <c r="K727" s="20">
        <f>Разбивка_по_щитам!N732</f>
        <v/>
      </c>
      <c r="L727" s="20"/>
      <c r="M727" s="20">
        <f>Разбивка_по_щитам!P732</f>
        <v/>
      </c>
      <c r="N727" s="20"/>
    </row>
    <row r="728" spans="2:14" x14ac:dyDescent="0.25">
      <c r="B728" s="20">
        <f>Разбивка_по_щитам!B733</f>
        <v/>
      </c>
      <c r="C728" s="20">
        <f>Разбивка_по_щитам!C733</f>
      </c>
      <c r="D728" s="20">
        <f>Разбивка_по_щитам!F733</f>
      </c>
      <c r="E728" s="20">
        <f>Разбивка_по_щитам!H733</f>
      </c>
      <c r="F728" s="20">
        <f>Разбивка_по_щитам!I733</f>
      </c>
      <c r="G728" s="20">
        <f>Разбивка_по_щитам!J733</f>
        <v/>
      </c>
      <c r="H728" s="20">
        <f>Разбивка_по_щитам!K733</f>
        <v/>
      </c>
      <c r="I728" s="20">
        <f>Разбивка_по_щитам!L733</f>
        <v/>
      </c>
      <c r="J728" s="20">
        <f>Разбивка_по_щитам!M733</f>
        <v/>
      </c>
      <c r="K728" s="20">
        <f>Разбивка_по_щитам!N733</f>
        <v/>
      </c>
      <c r="L728" s="20"/>
      <c r="M728" s="20">
        <f>Разбивка_по_щитам!P733</f>
        <v/>
      </c>
      <c r="N728" s="20"/>
    </row>
    <row r="729" spans="2:14" x14ac:dyDescent="0.25">
      <c r="B729" s="20">
        <f>Разбивка_по_щитам!B734</f>
        <v/>
      </c>
      <c r="C729" s="20">
        <f>Разбивка_по_щитам!C734</f>
      </c>
      <c r="D729" s="20">
        <f>Разбивка_по_щитам!F734</f>
      </c>
      <c r="E729" s="20">
        <f>Разбивка_по_щитам!H734</f>
      </c>
      <c r="F729" s="20">
        <f>Разбивка_по_щитам!I734</f>
      </c>
      <c r="G729" s="20">
        <f>Разбивка_по_щитам!J734</f>
        <v/>
      </c>
      <c r="H729" s="20">
        <f>Разбивка_по_щитам!K734</f>
        <v/>
      </c>
      <c r="I729" s="20">
        <f>Разбивка_по_щитам!L734</f>
        <v/>
      </c>
      <c r="J729" s="20">
        <f>Разбивка_по_щитам!M734</f>
        <v/>
      </c>
      <c r="K729" s="20">
        <f>Разбивка_по_щитам!N734</f>
        <v/>
      </c>
      <c r="L729" s="20"/>
      <c r="M729" s="20">
        <f>Разбивка_по_щитам!P734</f>
        <v/>
      </c>
      <c r="N729" s="20"/>
    </row>
    <row r="730" spans="2:14" x14ac:dyDescent="0.25">
      <c r="B730" s="20">
        <f>Разбивка_по_щитам!B735</f>
        <v/>
      </c>
      <c r="C730" s="20">
        <f>Разбивка_по_щитам!C735</f>
      </c>
      <c r="D730" s="20">
        <f>Разбивка_по_щитам!F735</f>
      </c>
      <c r="E730" s="20">
        <f>Разбивка_по_щитам!H735</f>
      </c>
      <c r="F730" s="20">
        <f>Разбивка_по_щитам!I735</f>
      </c>
      <c r="G730" s="20">
        <f>Разбивка_по_щитам!J735</f>
        <v/>
      </c>
      <c r="H730" s="20">
        <f>Разбивка_по_щитам!K735</f>
        <v/>
      </c>
      <c r="I730" s="20">
        <f>Разбивка_по_щитам!L735</f>
        <v/>
      </c>
      <c r="J730" s="20">
        <f>Разбивка_по_щитам!M735</f>
        <v/>
      </c>
      <c r="K730" s="20">
        <f>Разбивка_по_щитам!N735</f>
        <v/>
      </c>
      <c r="L730" s="20"/>
      <c r="M730" s="20">
        <f>Разбивка_по_щитам!P735</f>
        <v/>
      </c>
      <c r="N730" s="20"/>
    </row>
    <row r="731" spans="2:14" x14ac:dyDescent="0.25">
      <c r="B731" s="20">
        <f>Разбивка_по_щитам!B736</f>
        <v/>
      </c>
      <c r="C731" s="20">
        <f>Разбивка_по_щитам!C736</f>
      </c>
      <c r="D731" s="20">
        <f>Разбивка_по_щитам!F736</f>
      </c>
      <c r="E731" s="20">
        <f>Разбивка_по_щитам!H736</f>
      </c>
      <c r="F731" s="20">
        <f>Разбивка_по_щитам!I736</f>
      </c>
      <c r="G731" s="20">
        <f>Разбивка_по_щитам!J736</f>
        <v/>
      </c>
      <c r="H731" s="20">
        <f>Разбивка_по_щитам!K736</f>
        <v/>
      </c>
      <c r="I731" s="20">
        <f>Разбивка_по_щитам!L736</f>
        <v/>
      </c>
      <c r="J731" s="20">
        <f>Разбивка_по_щитам!M736</f>
        <v/>
      </c>
      <c r="K731" s="20">
        <f>Разбивка_по_щитам!N736</f>
        <v/>
      </c>
      <c r="L731" s="20"/>
      <c r="M731" s="20">
        <f>Разбивка_по_щитам!P736</f>
        <v/>
      </c>
      <c r="N731" s="20"/>
    </row>
    <row r="732" spans="2:14" x14ac:dyDescent="0.25">
      <c r="B732" s="20">
        <f>Разбивка_по_щитам!B737</f>
        <v/>
      </c>
      <c r="C732" s="20">
        <f>Разбивка_по_щитам!C737</f>
      </c>
      <c r="D732" s="20">
        <f>Разбивка_по_щитам!F737</f>
      </c>
      <c r="E732" s="20">
        <f>Разбивка_по_щитам!H737</f>
      </c>
      <c r="F732" s="20">
        <f>Разбивка_по_щитам!I737</f>
      </c>
      <c r="G732" s="20">
        <f>Разбивка_по_щитам!J737</f>
        <v/>
      </c>
      <c r="H732" s="20">
        <f>Разбивка_по_щитам!K737</f>
        <v/>
      </c>
      <c r="I732" s="20">
        <f>Разбивка_по_щитам!L737</f>
        <v/>
      </c>
      <c r="J732" s="20">
        <f>Разбивка_по_щитам!M737</f>
        <v/>
      </c>
      <c r="K732" s="20">
        <f>Разбивка_по_щитам!N737</f>
        <v/>
      </c>
      <c r="L732" s="20"/>
      <c r="M732" s="20">
        <f>Разбивка_по_щитам!P737</f>
        <v/>
      </c>
      <c r="N732" s="20"/>
    </row>
    <row r="733" spans="2:14" x14ac:dyDescent="0.25">
      <c r="B733" s="20">
        <f>Разбивка_по_щитам!B738</f>
        <v/>
      </c>
      <c r="C733" s="20">
        <f>Разбивка_по_щитам!C738</f>
      </c>
      <c r="D733" s="20">
        <f>Разбивка_по_щитам!F738</f>
      </c>
      <c r="E733" s="20">
        <f>Разбивка_по_щитам!H738</f>
      </c>
      <c r="F733" s="20">
        <f>Разбивка_по_щитам!I738</f>
      </c>
      <c r="G733" s="20">
        <f>Разбивка_по_щитам!J738</f>
        <v/>
      </c>
      <c r="H733" s="20">
        <f>Разбивка_по_щитам!K738</f>
        <v/>
      </c>
      <c r="I733" s="20">
        <f>Разбивка_по_щитам!L738</f>
        <v/>
      </c>
      <c r="J733" s="20">
        <f>Разбивка_по_щитам!M738</f>
        <v/>
      </c>
      <c r="K733" s="20">
        <f>Разбивка_по_щитам!N738</f>
        <v/>
      </c>
      <c r="L733" s="20"/>
      <c r="M733" s="20">
        <f>Разбивка_по_щитам!P738</f>
        <v/>
      </c>
      <c r="N733" s="20"/>
    </row>
    <row r="734" spans="2:14" x14ac:dyDescent="0.25">
      <c r="B734" s="20">
        <f>Разбивка_по_щитам!B739</f>
        <v/>
      </c>
      <c r="C734" s="20">
        <f>Разбивка_по_щитам!C739</f>
      </c>
      <c r="D734" s="20">
        <f>Разбивка_по_щитам!F739</f>
      </c>
      <c r="E734" s="20">
        <f>Разбивка_по_щитам!H739</f>
      </c>
      <c r="F734" s="20">
        <f>Разбивка_по_щитам!I739</f>
      </c>
      <c r="G734" s="20">
        <f>Разбивка_по_щитам!J739</f>
        <v/>
      </c>
      <c r="H734" s="20">
        <f>Разбивка_по_щитам!K739</f>
        <v/>
      </c>
      <c r="I734" s="20">
        <f>Разбивка_по_щитам!L739</f>
        <v/>
      </c>
      <c r="J734" s="20">
        <f>Разбивка_по_щитам!M739</f>
        <v/>
      </c>
      <c r="K734" s="20">
        <f>Разбивка_по_щитам!N739</f>
        <v/>
      </c>
      <c r="L734" s="20"/>
      <c r="M734" s="20">
        <f>Разбивка_по_щитам!P739</f>
        <v/>
      </c>
      <c r="N734" s="20"/>
    </row>
    <row r="735" spans="2:14" x14ac:dyDescent="0.25">
      <c r="B735" s="20">
        <f>Разбивка_по_щитам!B740</f>
        <v/>
      </c>
      <c r="C735" s="20">
        <f>Разбивка_по_щитам!C740</f>
      </c>
      <c r="D735" s="20">
        <f>Разбивка_по_щитам!F740</f>
      </c>
      <c r="E735" s="20">
        <f>Разбивка_по_щитам!H740</f>
      </c>
      <c r="F735" s="20">
        <f>Разбивка_по_щитам!I740</f>
      </c>
      <c r="G735" s="20">
        <f>Разбивка_по_щитам!J740</f>
        <v/>
      </c>
      <c r="H735" s="20">
        <f>Разбивка_по_щитам!K740</f>
        <v/>
      </c>
      <c r="I735" s="20">
        <f>Разбивка_по_щитам!L740</f>
        <v/>
      </c>
      <c r="J735" s="20">
        <f>Разбивка_по_щитам!M740</f>
        <v/>
      </c>
      <c r="K735" s="20">
        <f>Разбивка_по_щитам!N740</f>
        <v/>
      </c>
      <c r="L735" s="20"/>
      <c r="M735" s="20">
        <f>Разбивка_по_щитам!P740</f>
        <v/>
      </c>
      <c r="N735" s="20"/>
    </row>
    <row r="736" spans="2:14" x14ac:dyDescent="0.25">
      <c r="B736" s="20">
        <f>Разбивка_по_щитам!B741</f>
        <v/>
      </c>
      <c r="C736" s="20">
        <f>Разбивка_по_щитам!C741</f>
      </c>
      <c r="D736" s="20">
        <f>Разбивка_по_щитам!F741</f>
      </c>
      <c r="E736" s="20">
        <f>Разбивка_по_щитам!H741</f>
      </c>
      <c r="F736" s="20">
        <f>Разбивка_по_щитам!I741</f>
      </c>
      <c r="G736" s="20">
        <f>Разбивка_по_щитам!J741</f>
        <v/>
      </c>
      <c r="H736" s="20">
        <f>Разбивка_по_щитам!K741</f>
        <v/>
      </c>
      <c r="I736" s="20">
        <f>Разбивка_по_щитам!L741</f>
        <v/>
      </c>
      <c r="J736" s="20">
        <f>Разбивка_по_щитам!M741</f>
        <v/>
      </c>
      <c r="K736" s="20">
        <f>Разбивка_по_щитам!N741</f>
        <v/>
      </c>
      <c r="L736" s="20"/>
      <c r="M736" s="20">
        <f>Разбивка_по_щитам!P741</f>
        <v/>
      </c>
      <c r="N736" s="20"/>
    </row>
    <row r="737" spans="2:14" x14ac:dyDescent="0.25">
      <c r="B737" s="20">
        <f>Разбивка_по_щитам!B742</f>
        <v/>
      </c>
      <c r="C737" s="20">
        <f>Разбивка_по_щитам!C742</f>
      </c>
      <c r="D737" s="20">
        <f>Разбивка_по_щитам!F742</f>
      </c>
      <c r="E737" s="20">
        <f>Разбивка_по_щитам!H742</f>
      </c>
      <c r="F737" s="20">
        <f>Разбивка_по_щитам!I742</f>
      </c>
      <c r="G737" s="20">
        <f>Разбивка_по_щитам!J742</f>
        <v/>
      </c>
      <c r="H737" s="20">
        <f>Разбивка_по_щитам!K742</f>
        <v/>
      </c>
      <c r="I737" s="20">
        <f>Разбивка_по_щитам!L742</f>
        <v/>
      </c>
      <c r="J737" s="20">
        <f>Разбивка_по_щитам!M742</f>
        <v/>
      </c>
      <c r="K737" s="20">
        <f>Разбивка_по_щитам!N742</f>
        <v/>
      </c>
      <c r="L737" s="20"/>
      <c r="M737" s="20">
        <f>Разбивка_по_щитам!P742</f>
        <v/>
      </c>
      <c r="N737" s="20"/>
    </row>
    <row r="738" spans="2:14" x14ac:dyDescent="0.25">
      <c r="B738" s="20">
        <f>Разбивка_по_щитам!B743</f>
        <v/>
      </c>
      <c r="C738" s="20">
        <f>Разбивка_по_щитам!C743</f>
      </c>
      <c r="D738" s="20">
        <f>Разбивка_по_щитам!F743</f>
      </c>
      <c r="E738" s="20">
        <f>Разбивка_по_щитам!H743</f>
      </c>
      <c r="F738" s="20">
        <f>Разбивка_по_щитам!I743</f>
      </c>
      <c r="G738" s="20">
        <f>Разбивка_по_щитам!J743</f>
        <v/>
      </c>
      <c r="H738" s="20">
        <f>Разбивка_по_щитам!K743</f>
        <v/>
      </c>
      <c r="I738" s="20">
        <f>Разбивка_по_щитам!L743</f>
        <v/>
      </c>
      <c r="J738" s="20">
        <f>Разбивка_по_щитам!M743</f>
        <v/>
      </c>
      <c r="K738" s="20">
        <f>Разбивка_по_щитам!N743</f>
        <v/>
      </c>
      <c r="L738" s="20"/>
      <c r="M738" s="20">
        <f>Разбивка_по_щитам!P743</f>
        <v/>
      </c>
      <c r="N738" s="20"/>
    </row>
    <row r="739" spans="2:14" x14ac:dyDescent="0.25">
      <c r="B739" s="20">
        <f>Разбивка_по_щитам!B744</f>
        <v/>
      </c>
      <c r="C739" s="20">
        <f>Разбивка_по_щитам!C744</f>
      </c>
      <c r="D739" s="20">
        <f>Разбивка_по_щитам!F744</f>
      </c>
      <c r="E739" s="20">
        <f>Разбивка_по_щитам!H744</f>
      </c>
      <c r="F739" s="20">
        <f>Разбивка_по_щитам!I744</f>
      </c>
      <c r="G739" s="20">
        <f>Разбивка_по_щитам!J744</f>
        <v/>
      </c>
      <c r="H739" s="20">
        <f>Разбивка_по_щитам!K744</f>
        <v/>
      </c>
      <c r="I739" s="20">
        <f>Разбивка_по_щитам!L744</f>
        <v/>
      </c>
      <c r="J739" s="20">
        <f>Разбивка_по_щитам!M744</f>
        <v/>
      </c>
      <c r="K739" s="20">
        <f>Разбивка_по_щитам!N744</f>
        <v/>
      </c>
      <c r="L739" s="20"/>
      <c r="M739" s="20">
        <f>Разбивка_по_щитам!P744</f>
        <v/>
      </c>
      <c r="N739" s="20"/>
    </row>
    <row r="740" spans="2:14" x14ac:dyDescent="0.25">
      <c r="B740" s="20">
        <f>Разбивка_по_щитам!B745</f>
        <v/>
      </c>
      <c r="C740" s="20">
        <f>Разбивка_по_щитам!C745</f>
      </c>
      <c r="D740" s="20">
        <f>Разбивка_по_щитам!F745</f>
      </c>
      <c r="E740" s="20">
        <f>Разбивка_по_щитам!H745</f>
      </c>
      <c r="F740" s="20">
        <f>Разбивка_по_щитам!I745</f>
      </c>
      <c r="G740" s="20">
        <f>Разбивка_по_щитам!J745</f>
        <v/>
      </c>
      <c r="H740" s="20">
        <f>Разбивка_по_щитам!K745</f>
        <v/>
      </c>
      <c r="I740" s="20">
        <f>Разбивка_по_щитам!L745</f>
        <v/>
      </c>
      <c r="J740" s="20">
        <f>Разбивка_по_щитам!M745</f>
        <v/>
      </c>
      <c r="K740" s="20">
        <f>Разбивка_по_щитам!N745</f>
        <v/>
      </c>
      <c r="L740" s="20"/>
      <c r="M740" s="20">
        <f>Разбивка_по_щитам!P745</f>
        <v/>
      </c>
      <c r="N740" s="20"/>
    </row>
    <row r="741" spans="2:14" x14ac:dyDescent="0.25">
      <c r="B741" s="20">
        <f>Разбивка_по_щитам!B746</f>
        <v/>
      </c>
      <c r="C741" s="20">
        <f>Разбивка_по_щитам!C746</f>
      </c>
      <c r="D741" s="20">
        <f>Разбивка_по_щитам!F746</f>
      </c>
      <c r="E741" s="20">
        <f>Разбивка_по_щитам!H746</f>
      </c>
      <c r="F741" s="20">
        <f>Разбивка_по_щитам!I746</f>
      </c>
      <c r="G741" s="20">
        <f>Разбивка_по_щитам!J746</f>
        <v/>
      </c>
      <c r="H741" s="20">
        <f>Разбивка_по_щитам!K746</f>
        <v/>
      </c>
      <c r="I741" s="20">
        <f>Разбивка_по_щитам!L746</f>
        <v/>
      </c>
      <c r="J741" s="20">
        <f>Разбивка_по_щитам!M746</f>
        <v/>
      </c>
      <c r="K741" s="20">
        <f>Разбивка_по_щитам!N746</f>
        <v/>
      </c>
      <c r="L741" s="20"/>
      <c r="M741" s="20">
        <f>Разбивка_по_щитам!P746</f>
        <v/>
      </c>
      <c r="N741" s="20"/>
    </row>
    <row r="742" spans="2:14" x14ac:dyDescent="0.25">
      <c r="B742" s="20">
        <f>Разбивка_по_щитам!B747</f>
        <v/>
      </c>
      <c r="C742" s="20">
        <f>Разбивка_по_щитам!C747</f>
      </c>
      <c r="D742" s="20">
        <f>Разбивка_по_щитам!F747</f>
      </c>
      <c r="E742" s="20">
        <f>Разбивка_по_щитам!H747</f>
      </c>
      <c r="F742" s="20">
        <f>Разбивка_по_щитам!I747</f>
      </c>
      <c r="G742" s="20">
        <f>Разбивка_по_щитам!J747</f>
        <v/>
      </c>
      <c r="H742" s="20">
        <f>Разбивка_по_щитам!K747</f>
        <v/>
      </c>
      <c r="I742" s="20">
        <f>Разбивка_по_щитам!L747</f>
        <v/>
      </c>
      <c r="J742" s="20">
        <f>Разбивка_по_щитам!M747</f>
        <v/>
      </c>
      <c r="K742" s="20">
        <f>Разбивка_по_щитам!N747</f>
        <v/>
      </c>
      <c r="L742" s="20"/>
      <c r="M742" s="20">
        <f>Разбивка_по_щитам!P747</f>
        <v/>
      </c>
      <c r="N742" s="20"/>
    </row>
    <row r="743" spans="2:14" x14ac:dyDescent="0.25">
      <c r="B743" s="20">
        <f>Разбивка_по_щитам!B748</f>
        <v/>
      </c>
      <c r="C743" s="20">
        <f>Разбивка_по_щитам!C748</f>
      </c>
      <c r="D743" s="20">
        <f>Разбивка_по_щитам!F748</f>
      </c>
      <c r="E743" s="20">
        <f>Разбивка_по_щитам!H748</f>
      </c>
      <c r="F743" s="20">
        <f>Разбивка_по_щитам!I748</f>
      </c>
      <c r="G743" s="20">
        <f>Разбивка_по_щитам!J748</f>
        <v/>
      </c>
      <c r="H743" s="20">
        <f>Разбивка_по_щитам!K748</f>
        <v/>
      </c>
      <c r="I743" s="20">
        <f>Разбивка_по_щитам!L748</f>
        <v/>
      </c>
      <c r="J743" s="20">
        <f>Разбивка_по_щитам!M748</f>
        <v/>
      </c>
      <c r="K743" s="20">
        <f>Разбивка_по_щитам!N748</f>
        <v/>
      </c>
      <c r="L743" s="20"/>
      <c r="M743" s="20">
        <f>Разбивка_по_щитам!P748</f>
        <v/>
      </c>
      <c r="N743" s="20"/>
    </row>
    <row r="744" spans="2:14" x14ac:dyDescent="0.25">
      <c r="B744" s="20">
        <f>Разбивка_по_щитам!B749</f>
        <v/>
      </c>
      <c r="C744" s="20">
        <f>Разбивка_по_щитам!C749</f>
      </c>
      <c r="D744" s="20">
        <f>Разбивка_по_щитам!F749</f>
      </c>
      <c r="E744" s="20">
        <f>Разбивка_по_щитам!H749</f>
      </c>
      <c r="F744" s="20">
        <f>Разбивка_по_щитам!I749</f>
      </c>
      <c r="G744" s="20">
        <f>Разбивка_по_щитам!J749</f>
        <v/>
      </c>
      <c r="H744" s="20">
        <f>Разбивка_по_щитам!K749</f>
        <v/>
      </c>
      <c r="I744" s="20">
        <f>Разбивка_по_щитам!L749</f>
        <v/>
      </c>
      <c r="J744" s="20">
        <f>Разбивка_по_щитам!M749</f>
        <v/>
      </c>
      <c r="K744" s="20">
        <f>Разбивка_по_щитам!N749</f>
        <v/>
      </c>
      <c r="L744" s="20"/>
      <c r="M744" s="20">
        <f>Разбивка_по_щитам!P749</f>
        <v/>
      </c>
      <c r="N744" s="20"/>
    </row>
    <row r="745" spans="2:14" x14ac:dyDescent="0.25">
      <c r="B745" s="20">
        <f>Разбивка_по_щитам!B750</f>
        <v/>
      </c>
      <c r="C745" s="20">
        <f>Разбивка_по_щитам!C750</f>
      </c>
      <c r="D745" s="20">
        <f>Разбивка_по_щитам!F750</f>
      </c>
      <c r="E745" s="20">
        <f>Разбивка_по_щитам!H750</f>
      </c>
      <c r="F745" s="20">
        <f>Разбивка_по_щитам!I750</f>
      </c>
      <c r="G745" s="20">
        <f>Разбивка_по_щитам!J750</f>
        <v/>
      </c>
      <c r="H745" s="20">
        <f>Разбивка_по_щитам!K750</f>
        <v/>
      </c>
      <c r="I745" s="20">
        <f>Разбивка_по_щитам!L750</f>
        <v/>
      </c>
      <c r="J745" s="20">
        <f>Разбивка_по_щитам!M750</f>
        <v/>
      </c>
      <c r="K745" s="20">
        <f>Разбивка_по_щитам!N750</f>
        <v/>
      </c>
      <c r="L745" s="20"/>
      <c r="M745" s="20">
        <f>Разбивка_по_щитам!P750</f>
        <v/>
      </c>
      <c r="N745" s="20"/>
    </row>
    <row r="746" spans="2:14" x14ac:dyDescent="0.25">
      <c r="B746" s="20">
        <f>Разбивка_по_щитам!B751</f>
        <v/>
      </c>
      <c r="C746" s="20">
        <f>Разбивка_по_щитам!C751</f>
      </c>
      <c r="D746" s="20">
        <f>Разбивка_по_щитам!F751</f>
      </c>
      <c r="E746" s="20">
        <f>Разбивка_по_щитам!H751</f>
      </c>
      <c r="F746" s="20">
        <f>Разбивка_по_щитам!I751</f>
      </c>
      <c r="G746" s="20">
        <f>Разбивка_по_щитам!J751</f>
        <v/>
      </c>
      <c r="H746" s="20">
        <f>Разбивка_по_щитам!K751</f>
        <v/>
      </c>
      <c r="I746" s="20">
        <f>Разбивка_по_щитам!L751</f>
        <v/>
      </c>
      <c r="J746" s="20">
        <f>Разбивка_по_щитам!M751</f>
        <v/>
      </c>
      <c r="K746" s="20">
        <f>Разбивка_по_щитам!N751</f>
        <v/>
      </c>
      <c r="L746" s="20"/>
      <c r="M746" s="20">
        <f>Разбивка_по_щитам!P751</f>
        <v/>
      </c>
      <c r="N746" s="20"/>
    </row>
    <row r="747" spans="2:14" x14ac:dyDescent="0.25">
      <c r="B747" s="20">
        <f>Разбивка_по_щитам!B752</f>
        <v/>
      </c>
      <c r="C747" s="20">
        <f>Разбивка_по_щитам!C752</f>
      </c>
      <c r="D747" s="20">
        <f>Разбивка_по_щитам!F752</f>
      </c>
      <c r="E747" s="20">
        <f>Разбивка_по_щитам!H752</f>
      </c>
      <c r="F747" s="20">
        <f>Разбивка_по_щитам!I752</f>
      </c>
      <c r="G747" s="20">
        <f>Разбивка_по_щитам!J752</f>
        <v/>
      </c>
      <c r="H747" s="20">
        <f>Разбивка_по_щитам!K752</f>
        <v/>
      </c>
      <c r="I747" s="20">
        <f>Разбивка_по_щитам!L752</f>
        <v/>
      </c>
      <c r="J747" s="20">
        <f>Разбивка_по_щитам!M752</f>
        <v/>
      </c>
      <c r="K747" s="20">
        <f>Разбивка_по_щитам!N752</f>
        <v/>
      </c>
      <c r="L747" s="20"/>
      <c r="M747" s="20">
        <f>Разбивка_по_щитам!P752</f>
        <v/>
      </c>
      <c r="N747" s="20"/>
    </row>
    <row r="748" spans="2:14" x14ac:dyDescent="0.25">
      <c r="B748" s="20">
        <f>Разбивка_по_щитам!B753</f>
        <v/>
      </c>
      <c r="C748" s="20">
        <f>Разбивка_по_щитам!C753</f>
      </c>
      <c r="D748" s="20">
        <f>Разбивка_по_щитам!F753</f>
      </c>
      <c r="E748" s="20">
        <f>Разбивка_по_щитам!H753</f>
      </c>
      <c r="F748" s="20">
        <f>Разбивка_по_щитам!I753</f>
      </c>
      <c r="G748" s="20">
        <f>Разбивка_по_щитам!J753</f>
        <v/>
      </c>
      <c r="H748" s="20">
        <f>Разбивка_по_щитам!K753</f>
        <v/>
      </c>
      <c r="I748" s="20">
        <f>Разбивка_по_щитам!L753</f>
        <v/>
      </c>
      <c r="J748" s="20">
        <f>Разбивка_по_щитам!M753</f>
        <v/>
      </c>
      <c r="K748" s="20">
        <f>Разбивка_по_щитам!N753</f>
        <v/>
      </c>
      <c r="L748" s="20"/>
      <c r="M748" s="20">
        <f>Разбивка_по_щитам!P753</f>
        <v/>
      </c>
      <c r="N748" s="20"/>
    </row>
    <row r="749" spans="2:14" x14ac:dyDescent="0.25">
      <c r="B749" s="20">
        <f>Разбивка_по_щитам!B754</f>
        <v/>
      </c>
      <c r="C749" s="20">
        <f>Разбивка_по_щитам!C754</f>
      </c>
      <c r="D749" s="20">
        <f>Разбивка_по_щитам!F754</f>
      </c>
      <c r="E749" s="20">
        <f>Разбивка_по_щитам!H754</f>
      </c>
      <c r="F749" s="20">
        <f>Разбивка_по_щитам!I754</f>
      </c>
      <c r="G749" s="20">
        <f>Разбивка_по_щитам!J754</f>
        <v/>
      </c>
      <c r="H749" s="20">
        <f>Разбивка_по_щитам!K754</f>
        <v/>
      </c>
      <c r="I749" s="20">
        <f>Разбивка_по_щитам!L754</f>
        <v/>
      </c>
      <c r="J749" s="20">
        <f>Разбивка_по_щитам!M754</f>
        <v/>
      </c>
      <c r="K749" s="20">
        <f>Разбивка_по_щитам!N754</f>
        <v/>
      </c>
      <c r="L749" s="20"/>
      <c r="M749" s="20">
        <f>Разбивка_по_щитам!P754</f>
        <v/>
      </c>
      <c r="N749" s="20"/>
    </row>
    <row r="750" spans="2:14" x14ac:dyDescent="0.25">
      <c r="B750" s="20">
        <f>Разбивка_по_щитам!B755</f>
        <v/>
      </c>
      <c r="C750" s="20">
        <f>Разбивка_по_щитам!C755</f>
      </c>
      <c r="D750" s="20">
        <f>Разбивка_по_щитам!F755</f>
      </c>
      <c r="E750" s="20">
        <f>Разбивка_по_щитам!H755</f>
      </c>
      <c r="F750" s="20">
        <f>Разбивка_по_щитам!I755</f>
      </c>
      <c r="G750" s="20">
        <f>Разбивка_по_щитам!J755</f>
        <v/>
      </c>
      <c r="H750" s="20">
        <f>Разбивка_по_щитам!K755</f>
        <v/>
      </c>
      <c r="I750" s="20">
        <f>Разбивка_по_щитам!L755</f>
        <v/>
      </c>
      <c r="J750" s="20">
        <f>Разбивка_по_щитам!M755</f>
        <v/>
      </c>
      <c r="K750" s="20">
        <f>Разбивка_по_щитам!N755</f>
        <v/>
      </c>
      <c r="L750" s="20"/>
      <c r="M750" s="20">
        <f>Разбивка_по_щитам!P755</f>
        <v/>
      </c>
      <c r="N750" s="20"/>
    </row>
    <row r="751" spans="2:14" x14ac:dyDescent="0.25">
      <c r="B751" s="20">
        <f>Разбивка_по_щитам!B756</f>
        <v/>
      </c>
      <c r="C751" s="20">
        <f>Разбивка_по_щитам!C756</f>
      </c>
      <c r="D751" s="20">
        <f>Разбивка_по_щитам!F756</f>
      </c>
      <c r="E751" s="20">
        <f>Разбивка_по_щитам!H756</f>
      </c>
      <c r="F751" s="20">
        <f>Разбивка_по_щитам!I756</f>
      </c>
      <c r="G751" s="20">
        <f>Разбивка_по_щитам!J756</f>
        <v/>
      </c>
      <c r="H751" s="20">
        <f>Разбивка_по_щитам!K756</f>
        <v/>
      </c>
      <c r="I751" s="20">
        <f>Разбивка_по_щитам!L756</f>
        <v/>
      </c>
      <c r="J751" s="20">
        <f>Разбивка_по_щитам!M756</f>
        <v/>
      </c>
      <c r="K751" s="20">
        <f>Разбивка_по_щитам!N756</f>
        <v/>
      </c>
      <c r="L751" s="20"/>
      <c r="M751" s="20">
        <f>Разбивка_по_щитам!P756</f>
        <v/>
      </c>
      <c r="N751" s="20"/>
    </row>
    <row r="752" spans="2:14" x14ac:dyDescent="0.25">
      <c r="B752" s="20">
        <f>Разбивка_по_щитам!B757</f>
        <v/>
      </c>
      <c r="C752" s="20">
        <f>Разбивка_по_щитам!C757</f>
      </c>
      <c r="D752" s="20">
        <f>Разбивка_по_щитам!F757</f>
      </c>
      <c r="E752" s="20">
        <f>Разбивка_по_щитам!H757</f>
      </c>
      <c r="F752" s="20">
        <f>Разбивка_по_щитам!I757</f>
      </c>
      <c r="G752" s="20">
        <f>Разбивка_по_щитам!J757</f>
        <v/>
      </c>
      <c r="H752" s="20">
        <f>Разбивка_по_щитам!K757</f>
        <v/>
      </c>
      <c r="I752" s="20">
        <f>Разбивка_по_щитам!L757</f>
        <v/>
      </c>
      <c r="J752" s="20">
        <f>Разбивка_по_щитам!M757</f>
        <v/>
      </c>
      <c r="K752" s="20">
        <f>Разбивка_по_щитам!N757</f>
        <v/>
      </c>
      <c r="L752" s="20"/>
      <c r="M752" s="20">
        <f>Разбивка_по_щитам!P757</f>
        <v/>
      </c>
      <c r="N752" s="20"/>
    </row>
    <row r="753" spans="2:14" x14ac:dyDescent="0.25">
      <c r="B753" s="20">
        <f>Разбивка_по_щитам!B758</f>
        <v/>
      </c>
      <c r="C753" s="20">
        <f>Разбивка_по_щитам!C758</f>
      </c>
      <c r="D753" s="20">
        <f>Разбивка_по_щитам!F758</f>
      </c>
      <c r="E753" s="20">
        <f>Разбивка_по_щитам!H758</f>
      </c>
      <c r="F753" s="20">
        <f>Разбивка_по_щитам!I758</f>
      </c>
      <c r="G753" s="20">
        <f>Разбивка_по_щитам!J758</f>
        <v/>
      </c>
      <c r="H753" s="20">
        <f>Разбивка_по_щитам!K758</f>
        <v/>
      </c>
      <c r="I753" s="20">
        <f>Разбивка_по_щитам!L758</f>
        <v/>
      </c>
      <c r="J753" s="20">
        <f>Разбивка_по_щитам!M758</f>
        <v/>
      </c>
      <c r="K753" s="20">
        <f>Разбивка_по_щитам!N758</f>
        <v/>
      </c>
      <c r="L753" s="20"/>
      <c r="M753" s="20">
        <f>Разбивка_по_щитам!P758</f>
        <v/>
      </c>
      <c r="N753" s="20"/>
    </row>
    <row r="754" spans="2:14" x14ac:dyDescent="0.25">
      <c r="B754" s="20">
        <f>Разбивка_по_щитам!B759</f>
        <v/>
      </c>
      <c r="C754" s="20">
        <f>Разбивка_по_щитам!C759</f>
      </c>
      <c r="D754" s="20">
        <f>Разбивка_по_щитам!F759</f>
      </c>
      <c r="E754" s="20">
        <f>Разбивка_по_щитам!H759</f>
      </c>
      <c r="F754" s="20">
        <f>Разбивка_по_щитам!I759</f>
      </c>
      <c r="G754" s="20">
        <f>Разбивка_по_щитам!J759</f>
        <v/>
      </c>
      <c r="H754" s="20">
        <f>Разбивка_по_щитам!K759</f>
        <v/>
      </c>
      <c r="I754" s="20">
        <f>Разбивка_по_щитам!L759</f>
        <v/>
      </c>
      <c r="J754" s="20">
        <f>Разбивка_по_щитам!M759</f>
        <v/>
      </c>
      <c r="K754" s="20">
        <f>Разбивка_по_щитам!N759</f>
        <v/>
      </c>
      <c r="L754" s="20"/>
      <c r="M754" s="20">
        <f>Разбивка_по_щитам!P759</f>
        <v/>
      </c>
      <c r="N754" s="20"/>
    </row>
    <row r="755" spans="2:14" x14ac:dyDescent="0.25">
      <c r="B755" s="20">
        <f>Разбивка_по_щитам!B760</f>
        <v/>
      </c>
      <c r="C755" s="20">
        <f>Разбивка_по_щитам!C760</f>
      </c>
      <c r="D755" s="20">
        <f>Разбивка_по_щитам!F760</f>
      </c>
      <c r="E755" s="20">
        <f>Разбивка_по_щитам!H760</f>
      </c>
      <c r="F755" s="20">
        <f>Разбивка_по_щитам!I760</f>
      </c>
      <c r="G755" s="20">
        <f>Разбивка_по_щитам!J760</f>
        <v/>
      </c>
      <c r="H755" s="20">
        <f>Разбивка_по_щитам!K760</f>
        <v/>
      </c>
      <c r="I755" s="20">
        <f>Разбивка_по_щитам!L760</f>
        <v/>
      </c>
      <c r="J755" s="20">
        <f>Разбивка_по_щитам!M760</f>
        <v/>
      </c>
      <c r="K755" s="20">
        <f>Разбивка_по_щитам!N760</f>
        <v/>
      </c>
      <c r="L755" s="20"/>
      <c r="M755" s="20">
        <f>Разбивка_по_щитам!P760</f>
        <v/>
      </c>
      <c r="N755" s="20"/>
    </row>
    <row r="756" spans="2:14" x14ac:dyDescent="0.25">
      <c r="B756" s="20">
        <f>Разбивка_по_щитам!B761</f>
        <v/>
      </c>
      <c r="C756" s="20">
        <f>Разбивка_по_щитам!C761</f>
      </c>
      <c r="D756" s="20">
        <f>Разбивка_по_щитам!F761</f>
      </c>
      <c r="E756" s="20">
        <f>Разбивка_по_щитам!H761</f>
      </c>
      <c r="F756" s="20">
        <f>Разбивка_по_щитам!I761</f>
      </c>
      <c r="G756" s="20">
        <f>Разбивка_по_щитам!J761</f>
        <v/>
      </c>
      <c r="H756" s="20">
        <f>Разбивка_по_щитам!K761</f>
        <v/>
      </c>
      <c r="I756" s="20">
        <f>Разбивка_по_щитам!L761</f>
        <v/>
      </c>
      <c r="J756" s="20">
        <f>Разбивка_по_щитам!M761</f>
        <v/>
      </c>
      <c r="K756" s="20">
        <f>Разбивка_по_щитам!N761</f>
        <v/>
      </c>
      <c r="L756" s="20"/>
      <c r="M756" s="20">
        <f>Разбивка_по_щитам!P761</f>
        <v/>
      </c>
      <c r="N756" s="20"/>
    </row>
    <row r="757" spans="2:14" x14ac:dyDescent="0.25">
      <c r="B757" s="20">
        <f>Разбивка_по_щитам!B762</f>
        <v/>
      </c>
      <c r="C757" s="20">
        <f>Разбивка_по_щитам!C762</f>
      </c>
      <c r="D757" s="20">
        <f>Разбивка_по_щитам!F762</f>
      </c>
      <c r="E757" s="20">
        <f>Разбивка_по_щитам!H762</f>
      </c>
      <c r="F757" s="20">
        <f>Разбивка_по_щитам!I762</f>
      </c>
      <c r="G757" s="20">
        <f>Разбивка_по_щитам!J762</f>
        <v/>
      </c>
      <c r="H757" s="20">
        <f>Разбивка_по_щитам!K762</f>
        <v/>
      </c>
      <c r="I757" s="20">
        <f>Разбивка_по_щитам!L762</f>
        <v/>
      </c>
      <c r="J757" s="20">
        <f>Разбивка_по_щитам!M762</f>
        <v/>
      </c>
      <c r="K757" s="20">
        <f>Разбивка_по_щитам!N762</f>
        <v/>
      </c>
      <c r="L757" s="20"/>
      <c r="M757" s="20">
        <f>Разбивка_по_щитам!P762</f>
        <v/>
      </c>
      <c r="N757" s="20"/>
    </row>
    <row r="758" spans="2:14" x14ac:dyDescent="0.25">
      <c r="B758" s="20">
        <f>Разбивка_по_щитам!B763</f>
        <v/>
      </c>
      <c r="C758" s="20">
        <f>Разбивка_по_щитам!C763</f>
      </c>
      <c r="D758" s="20">
        <f>Разбивка_по_щитам!F763</f>
      </c>
      <c r="E758" s="20">
        <f>Разбивка_по_щитам!H763</f>
      </c>
      <c r="F758" s="20">
        <f>Разбивка_по_щитам!I763</f>
      </c>
      <c r="G758" s="20">
        <f>Разбивка_по_щитам!J763</f>
        <v/>
      </c>
      <c r="H758" s="20">
        <f>Разбивка_по_щитам!K763</f>
        <v/>
      </c>
      <c r="I758" s="20">
        <f>Разбивка_по_щитам!L763</f>
        <v/>
      </c>
      <c r="J758" s="20">
        <f>Разбивка_по_щитам!M763</f>
        <v/>
      </c>
      <c r="K758" s="20">
        <f>Разбивка_по_щитам!N763</f>
        <v/>
      </c>
      <c r="L758" s="20"/>
      <c r="M758" s="20">
        <f>Разбивка_по_щитам!P763</f>
        <v/>
      </c>
      <c r="N758" s="20"/>
    </row>
    <row r="759" spans="2:14" x14ac:dyDescent="0.25">
      <c r="B759" s="20">
        <f>Разбивка_по_щитам!B764</f>
        <v/>
      </c>
      <c r="C759" s="20">
        <f>Разбивка_по_щитам!C764</f>
      </c>
      <c r="D759" s="20">
        <f>Разбивка_по_щитам!F764</f>
      </c>
      <c r="E759" s="20">
        <f>Разбивка_по_щитам!H764</f>
      </c>
      <c r="F759" s="20">
        <f>Разбивка_по_щитам!I764</f>
      </c>
      <c r="G759" s="20">
        <f>Разбивка_по_щитам!J764</f>
        <v/>
      </c>
      <c r="H759" s="20">
        <f>Разбивка_по_щитам!K764</f>
        <v/>
      </c>
      <c r="I759" s="20">
        <f>Разбивка_по_щитам!L764</f>
        <v/>
      </c>
      <c r="J759" s="20">
        <f>Разбивка_по_щитам!M764</f>
        <v/>
      </c>
      <c r="K759" s="20">
        <f>Разбивка_по_щитам!N764</f>
        <v/>
      </c>
      <c r="L759" s="20"/>
      <c r="M759" s="20">
        <f>Разбивка_по_щитам!P764</f>
        <v/>
      </c>
      <c r="N759" s="20"/>
    </row>
    <row r="760" spans="2:14" x14ac:dyDescent="0.25">
      <c r="B760" s="20">
        <f>Разбивка_по_щитам!B765</f>
        <v/>
      </c>
      <c r="C760" s="20">
        <f>Разбивка_по_щитам!C765</f>
      </c>
      <c r="D760" s="20">
        <f>Разбивка_по_щитам!F765</f>
      </c>
      <c r="E760" s="20">
        <f>Разбивка_по_щитам!H765</f>
      </c>
      <c r="F760" s="20">
        <f>Разбивка_по_щитам!I765</f>
      </c>
      <c r="G760" s="20">
        <f>Разбивка_по_щитам!J765</f>
        <v/>
      </c>
      <c r="H760" s="20">
        <f>Разбивка_по_щитам!K765</f>
        <v/>
      </c>
      <c r="I760" s="20">
        <f>Разбивка_по_щитам!L765</f>
        <v/>
      </c>
      <c r="J760" s="20">
        <f>Разбивка_по_щитам!M765</f>
        <v/>
      </c>
      <c r="K760" s="20">
        <f>Разбивка_по_щитам!N765</f>
        <v/>
      </c>
      <c r="L760" s="20"/>
      <c r="M760" s="20">
        <f>Разбивка_по_щитам!P765</f>
        <v/>
      </c>
      <c r="N760" s="20"/>
    </row>
    <row r="761" spans="2:14" x14ac:dyDescent="0.25">
      <c r="B761" s="20">
        <f>Разбивка_по_щитам!B766</f>
        <v/>
      </c>
      <c r="C761" s="20">
        <f>Разбивка_по_щитам!C766</f>
      </c>
      <c r="D761" s="20">
        <f>Разбивка_по_щитам!F766</f>
      </c>
      <c r="E761" s="20">
        <f>Разбивка_по_щитам!H766</f>
      </c>
      <c r="F761" s="20">
        <f>Разбивка_по_щитам!I766</f>
      </c>
      <c r="G761" s="20">
        <f>Разбивка_по_щитам!J766</f>
        <v/>
      </c>
      <c r="H761" s="20">
        <f>Разбивка_по_щитам!K766</f>
        <v/>
      </c>
      <c r="I761" s="20">
        <f>Разбивка_по_щитам!L766</f>
        <v/>
      </c>
      <c r="J761" s="20">
        <f>Разбивка_по_щитам!M766</f>
        <v/>
      </c>
      <c r="K761" s="20">
        <f>Разбивка_по_щитам!N766</f>
        <v/>
      </c>
      <c r="L761" s="20"/>
      <c r="M761" s="20">
        <f>Разбивка_по_щитам!P766</f>
        <v/>
      </c>
      <c r="N761" s="20"/>
    </row>
    <row r="762" spans="2:14" x14ac:dyDescent="0.25">
      <c r="B762" s="20">
        <f>Разбивка_по_щитам!B767</f>
        <v/>
      </c>
      <c r="C762" s="20">
        <f>Разбивка_по_щитам!C767</f>
      </c>
      <c r="D762" s="20">
        <f>Разбивка_по_щитам!F767</f>
      </c>
      <c r="E762" s="20">
        <f>Разбивка_по_щитам!H767</f>
      </c>
      <c r="F762" s="20">
        <f>Разбивка_по_щитам!I767</f>
      </c>
      <c r="G762" s="20">
        <f>Разбивка_по_щитам!J767</f>
        <v/>
      </c>
      <c r="H762" s="20">
        <f>Разбивка_по_щитам!K767</f>
        <v/>
      </c>
      <c r="I762" s="20">
        <f>Разбивка_по_щитам!L767</f>
        <v/>
      </c>
      <c r="J762" s="20">
        <f>Разбивка_по_щитам!M767</f>
        <v/>
      </c>
      <c r="K762" s="20">
        <f>Разбивка_по_щитам!N767</f>
        <v/>
      </c>
      <c r="L762" s="20"/>
      <c r="M762" s="20">
        <f>Разбивка_по_щитам!P767</f>
        <v/>
      </c>
      <c r="N762" s="20"/>
    </row>
    <row r="763" spans="2:14" x14ac:dyDescent="0.25">
      <c r="B763" s="20">
        <f>Разбивка_по_щитам!B768</f>
        <v/>
      </c>
      <c r="C763" s="20">
        <f>Разбивка_по_щитам!C768</f>
      </c>
      <c r="D763" s="20">
        <f>Разбивка_по_щитам!F768</f>
      </c>
      <c r="E763" s="20">
        <f>Разбивка_по_щитам!H768</f>
      </c>
      <c r="F763" s="20">
        <f>Разбивка_по_щитам!I768</f>
      </c>
      <c r="G763" s="20">
        <f>Разбивка_по_щитам!J768</f>
        <v/>
      </c>
      <c r="H763" s="20">
        <f>Разбивка_по_щитам!K768</f>
        <v/>
      </c>
      <c r="I763" s="20">
        <f>Разбивка_по_щитам!L768</f>
        <v/>
      </c>
      <c r="J763" s="20">
        <f>Разбивка_по_щитам!M768</f>
        <v/>
      </c>
      <c r="K763" s="20">
        <f>Разбивка_по_щитам!N768</f>
        <v/>
      </c>
      <c r="L763" s="20"/>
      <c r="M763" s="20">
        <f>Разбивка_по_щитам!P768</f>
        <v/>
      </c>
      <c r="N763" s="20"/>
    </row>
    <row r="764" spans="2:14" x14ac:dyDescent="0.25">
      <c r="B764" s="20">
        <f>Разбивка_по_щитам!B769</f>
        <v/>
      </c>
      <c r="C764" s="20">
        <f>Разбивка_по_щитам!C769</f>
      </c>
      <c r="D764" s="20">
        <f>Разбивка_по_щитам!F769</f>
      </c>
      <c r="E764" s="20">
        <f>Разбивка_по_щитам!H769</f>
      </c>
      <c r="F764" s="20">
        <f>Разбивка_по_щитам!I769</f>
      </c>
      <c r="G764" s="20">
        <f>Разбивка_по_щитам!J769</f>
        <v/>
      </c>
      <c r="H764" s="20">
        <f>Разбивка_по_щитам!K769</f>
        <v/>
      </c>
      <c r="I764" s="20">
        <f>Разбивка_по_щитам!L769</f>
        <v/>
      </c>
      <c r="J764" s="20">
        <f>Разбивка_по_щитам!M769</f>
        <v/>
      </c>
      <c r="K764" s="20">
        <f>Разбивка_по_щитам!N769</f>
        <v/>
      </c>
      <c r="L764" s="20"/>
      <c r="M764" s="20">
        <f>Разбивка_по_щитам!P769</f>
        <v/>
      </c>
      <c r="N764" s="20"/>
    </row>
    <row r="765" spans="2:14" x14ac:dyDescent="0.25">
      <c r="B765" s="20">
        <f>Разбивка_по_щитам!B770</f>
        <v/>
      </c>
      <c r="C765" s="20">
        <f>Разбивка_по_щитам!C770</f>
      </c>
      <c r="D765" s="20">
        <f>Разбивка_по_щитам!F770</f>
      </c>
      <c r="E765" s="20">
        <f>Разбивка_по_щитам!H770</f>
      </c>
      <c r="F765" s="20">
        <f>Разбивка_по_щитам!I770</f>
      </c>
      <c r="G765" s="20">
        <f>Разбивка_по_щитам!J770</f>
        <v/>
      </c>
      <c r="H765" s="20">
        <f>Разбивка_по_щитам!K770</f>
        <v/>
      </c>
      <c r="I765" s="20">
        <f>Разбивка_по_щитам!L770</f>
        <v/>
      </c>
      <c r="J765" s="20">
        <f>Разбивка_по_щитам!M770</f>
        <v/>
      </c>
      <c r="K765" s="20">
        <f>Разбивка_по_щитам!N770</f>
        <v/>
      </c>
      <c r="L765" s="20"/>
      <c r="M765" s="20">
        <f>Разбивка_по_щитам!P770</f>
        <v/>
      </c>
      <c r="N765" s="20"/>
    </row>
    <row r="766" spans="2:14" x14ac:dyDescent="0.25">
      <c r="B766" s="20">
        <f>Разбивка_по_щитам!B771</f>
        <v/>
      </c>
      <c r="C766" s="20">
        <f>Разбивка_по_щитам!C771</f>
      </c>
      <c r="D766" s="20">
        <f>Разбивка_по_щитам!F771</f>
      </c>
      <c r="E766" s="20">
        <f>Разбивка_по_щитам!H771</f>
      </c>
      <c r="F766" s="20">
        <f>Разбивка_по_щитам!I771</f>
      </c>
      <c r="G766" s="20">
        <f>Разбивка_по_щитам!J771</f>
        <v/>
      </c>
      <c r="H766" s="20">
        <f>Разбивка_по_щитам!K771</f>
        <v/>
      </c>
      <c r="I766" s="20">
        <f>Разбивка_по_щитам!L771</f>
        <v/>
      </c>
      <c r="J766" s="20">
        <f>Разбивка_по_щитам!M771</f>
        <v/>
      </c>
      <c r="K766" s="20">
        <f>Разбивка_по_щитам!N771</f>
        <v/>
      </c>
      <c r="L766" s="20"/>
      <c r="M766" s="20">
        <f>Разбивка_по_щитам!P771</f>
        <v/>
      </c>
      <c r="N766" s="20"/>
    </row>
    <row r="767" spans="2:14" x14ac:dyDescent="0.25">
      <c r="B767" s="20">
        <f>Разбивка_по_щитам!B772</f>
        <v/>
      </c>
      <c r="C767" s="20">
        <f>Разбивка_по_щитам!C772</f>
      </c>
      <c r="D767" s="20">
        <f>Разбивка_по_щитам!F772</f>
      </c>
      <c r="E767" s="20">
        <f>Разбивка_по_щитам!H772</f>
      </c>
      <c r="F767" s="20">
        <f>Разбивка_по_щитам!I772</f>
      </c>
      <c r="G767" s="20">
        <f>Разбивка_по_щитам!J772</f>
        <v/>
      </c>
      <c r="H767" s="20">
        <f>Разбивка_по_щитам!K772</f>
        <v/>
      </c>
      <c r="I767" s="20">
        <f>Разбивка_по_щитам!L772</f>
        <v/>
      </c>
      <c r="J767" s="20">
        <f>Разбивка_по_щитам!M772</f>
        <v/>
      </c>
      <c r="K767" s="20">
        <f>Разбивка_по_щитам!N772</f>
        <v/>
      </c>
      <c r="L767" s="20"/>
      <c r="M767" s="20">
        <f>Разбивка_по_щитам!P772</f>
        <v/>
      </c>
      <c r="N767" s="20"/>
    </row>
    <row r="768" spans="2:14" x14ac:dyDescent="0.25">
      <c r="B768" s="20">
        <f>Разбивка_по_щитам!B773</f>
        <v/>
      </c>
      <c r="C768" s="20">
        <f>Разбивка_по_щитам!C773</f>
      </c>
      <c r="D768" s="20">
        <f>Разбивка_по_щитам!F773</f>
      </c>
      <c r="E768" s="20">
        <f>Разбивка_по_щитам!H773</f>
      </c>
      <c r="F768" s="20">
        <f>Разбивка_по_щитам!I773</f>
      </c>
      <c r="G768" s="20">
        <f>Разбивка_по_щитам!J773</f>
        <v/>
      </c>
      <c r="H768" s="20">
        <f>Разбивка_по_щитам!K773</f>
        <v/>
      </c>
      <c r="I768" s="20">
        <f>Разбивка_по_щитам!L773</f>
        <v/>
      </c>
      <c r="J768" s="20">
        <f>Разбивка_по_щитам!M773</f>
        <v/>
      </c>
      <c r="K768" s="20">
        <f>Разбивка_по_щитам!N773</f>
        <v/>
      </c>
      <c r="L768" s="20"/>
      <c r="M768" s="20">
        <f>Разбивка_по_щитам!P773</f>
        <v/>
      </c>
      <c r="N768" s="20"/>
    </row>
    <row r="769" spans="2:14" x14ac:dyDescent="0.25">
      <c r="B769" s="20">
        <f>Разбивка_по_щитам!B774</f>
        <v/>
      </c>
      <c r="C769" s="20">
        <f>Разбивка_по_щитам!C774</f>
      </c>
      <c r="D769" s="20">
        <f>Разбивка_по_щитам!F774</f>
      </c>
      <c r="E769" s="20">
        <f>Разбивка_по_щитам!H774</f>
      </c>
      <c r="F769" s="20">
        <f>Разбивка_по_щитам!I774</f>
      </c>
      <c r="G769" s="20">
        <f>Разбивка_по_щитам!J774</f>
        <v/>
      </c>
      <c r="H769" s="20">
        <f>Разбивка_по_щитам!K774</f>
        <v/>
      </c>
      <c r="I769" s="20">
        <f>Разбивка_по_щитам!L774</f>
        <v/>
      </c>
      <c r="J769" s="20">
        <f>Разбивка_по_щитам!M774</f>
        <v/>
      </c>
      <c r="K769" s="20">
        <f>Разбивка_по_щитам!N774</f>
        <v/>
      </c>
      <c r="L769" s="20"/>
      <c r="M769" s="20">
        <f>Разбивка_по_щитам!P774</f>
        <v/>
      </c>
      <c r="N769" s="20"/>
    </row>
    <row r="770" spans="2:14" x14ac:dyDescent="0.25">
      <c r="B770" s="20">
        <f>Разбивка_по_щитам!B775</f>
        <v/>
      </c>
      <c r="C770" s="20">
        <f>Разбивка_по_щитам!C775</f>
      </c>
      <c r="D770" s="20">
        <f>Разбивка_по_щитам!F775</f>
      </c>
      <c r="E770" s="20">
        <f>Разбивка_по_щитам!H775</f>
      </c>
      <c r="F770" s="20">
        <f>Разбивка_по_щитам!I775</f>
      </c>
      <c r="G770" s="20">
        <f>Разбивка_по_щитам!J775</f>
        <v/>
      </c>
      <c r="H770" s="20">
        <f>Разбивка_по_щитам!K775</f>
        <v/>
      </c>
      <c r="I770" s="20">
        <f>Разбивка_по_щитам!L775</f>
        <v/>
      </c>
      <c r="J770" s="20">
        <f>Разбивка_по_щитам!M775</f>
        <v/>
      </c>
      <c r="K770" s="20">
        <f>Разбивка_по_щитам!N775</f>
        <v/>
      </c>
      <c r="L770" s="20"/>
      <c r="M770" s="20">
        <f>Разбивка_по_щитам!P775</f>
        <v/>
      </c>
      <c r="N770" s="20"/>
    </row>
    <row r="771" spans="2:14" x14ac:dyDescent="0.25">
      <c r="B771" s="20">
        <f>Разбивка_по_щитам!B776</f>
        <v/>
      </c>
      <c r="C771" s="20">
        <f>Разбивка_по_щитам!C776</f>
      </c>
      <c r="D771" s="20">
        <f>Разбивка_по_щитам!F776</f>
      </c>
      <c r="E771" s="20">
        <f>Разбивка_по_щитам!H776</f>
      </c>
      <c r="F771" s="20">
        <f>Разбивка_по_щитам!I776</f>
      </c>
      <c r="G771" s="20">
        <f>Разбивка_по_щитам!J776</f>
        <v/>
      </c>
      <c r="H771" s="20">
        <f>Разбивка_по_щитам!K776</f>
        <v/>
      </c>
      <c r="I771" s="20">
        <f>Разбивка_по_щитам!L776</f>
        <v/>
      </c>
      <c r="J771" s="20">
        <f>Разбивка_по_щитам!M776</f>
        <v/>
      </c>
      <c r="K771" s="20">
        <f>Разбивка_по_щитам!N776</f>
        <v/>
      </c>
      <c r="L771" s="20"/>
      <c r="M771" s="20">
        <f>Разбивка_по_щитам!P776</f>
        <v/>
      </c>
      <c r="N771" s="20"/>
    </row>
    <row r="772" spans="2:14" x14ac:dyDescent="0.25">
      <c r="B772" s="20">
        <f>Разбивка_по_щитам!B777</f>
        <v/>
      </c>
      <c r="C772" s="20">
        <f>Разбивка_по_щитам!C777</f>
      </c>
      <c r="D772" s="20">
        <f>Разбивка_по_щитам!F777</f>
      </c>
      <c r="E772" s="20">
        <f>Разбивка_по_щитам!H777</f>
      </c>
      <c r="F772" s="20">
        <f>Разбивка_по_щитам!I777</f>
      </c>
      <c r="G772" s="20">
        <f>Разбивка_по_щитам!J777</f>
        <v/>
      </c>
      <c r="H772" s="20">
        <f>Разбивка_по_щитам!K777</f>
        <v/>
      </c>
      <c r="I772" s="20">
        <f>Разбивка_по_щитам!L777</f>
        <v/>
      </c>
      <c r="J772" s="20">
        <f>Разбивка_по_щитам!M777</f>
        <v/>
      </c>
      <c r="K772" s="20">
        <f>Разбивка_по_щитам!N777</f>
        <v/>
      </c>
      <c r="L772" s="20"/>
      <c r="M772" s="20">
        <f>Разбивка_по_щитам!P777</f>
        <v/>
      </c>
      <c r="N772" s="20"/>
    </row>
    <row r="773" spans="2:14" x14ac:dyDescent="0.25">
      <c r="B773" s="20">
        <f>Разбивка_по_щитам!B778</f>
        <v/>
      </c>
      <c r="C773" s="20">
        <f>Разбивка_по_щитам!C778</f>
      </c>
      <c r="D773" s="20">
        <f>Разбивка_по_щитам!F778</f>
      </c>
      <c r="E773" s="20">
        <f>Разбивка_по_щитам!H778</f>
      </c>
      <c r="F773" s="20">
        <f>Разбивка_по_щитам!I778</f>
      </c>
      <c r="G773" s="20">
        <f>Разбивка_по_щитам!J778</f>
        <v/>
      </c>
      <c r="H773" s="20">
        <f>Разбивка_по_щитам!K778</f>
        <v/>
      </c>
      <c r="I773" s="20">
        <f>Разбивка_по_щитам!L778</f>
        <v/>
      </c>
      <c r="J773" s="20">
        <f>Разбивка_по_щитам!M778</f>
        <v/>
      </c>
      <c r="K773" s="20">
        <f>Разбивка_по_щитам!N778</f>
        <v/>
      </c>
      <c r="L773" s="20"/>
      <c r="M773" s="20">
        <f>Разбивка_по_щитам!P778</f>
        <v/>
      </c>
      <c r="N773" s="20"/>
    </row>
    <row r="774" spans="2:14" x14ac:dyDescent="0.25">
      <c r="B774" s="20">
        <f>Разбивка_по_щитам!B779</f>
        <v/>
      </c>
      <c r="C774" s="20">
        <f>Разбивка_по_щитам!C779</f>
      </c>
      <c r="D774" s="20">
        <f>Разбивка_по_щитам!F779</f>
      </c>
      <c r="E774" s="20">
        <f>Разбивка_по_щитам!H779</f>
      </c>
      <c r="F774" s="20">
        <f>Разбивка_по_щитам!I779</f>
      </c>
      <c r="G774" s="20">
        <f>Разбивка_по_щитам!J779</f>
        <v/>
      </c>
      <c r="H774" s="20">
        <f>Разбивка_по_щитам!K779</f>
        <v/>
      </c>
      <c r="I774" s="20">
        <f>Разбивка_по_щитам!L779</f>
        <v/>
      </c>
      <c r="J774" s="20">
        <f>Разбивка_по_щитам!M779</f>
        <v/>
      </c>
      <c r="K774" s="20">
        <f>Разбивка_по_щитам!N779</f>
        <v/>
      </c>
      <c r="L774" s="20"/>
      <c r="M774" s="20">
        <f>Разбивка_по_щитам!P779</f>
        <v/>
      </c>
      <c r="N774" s="20"/>
    </row>
    <row r="775" spans="2:14" x14ac:dyDescent="0.25">
      <c r="B775" s="20">
        <f>Разбивка_по_щитам!B780</f>
        <v/>
      </c>
      <c r="C775" s="20">
        <f>Разбивка_по_щитам!C780</f>
      </c>
      <c r="D775" s="20">
        <f>Разбивка_по_щитам!F780</f>
      </c>
      <c r="E775" s="20">
        <f>Разбивка_по_щитам!H780</f>
      </c>
      <c r="F775" s="20">
        <f>Разбивка_по_щитам!I780</f>
      </c>
      <c r="G775" s="20">
        <f>Разбивка_по_щитам!J780</f>
        <v/>
      </c>
      <c r="H775" s="20">
        <f>Разбивка_по_щитам!K780</f>
        <v/>
      </c>
      <c r="I775" s="20">
        <f>Разбивка_по_щитам!L780</f>
        <v/>
      </c>
      <c r="J775" s="20">
        <f>Разбивка_по_щитам!M780</f>
        <v/>
      </c>
      <c r="K775" s="20">
        <f>Разбивка_по_щитам!N780</f>
        <v/>
      </c>
      <c r="L775" s="20"/>
      <c r="M775" s="20">
        <f>Разбивка_по_щитам!P780</f>
        <v/>
      </c>
      <c r="N775" s="20"/>
    </row>
    <row r="776" spans="2:14" x14ac:dyDescent="0.25">
      <c r="B776" s="20">
        <f>Разбивка_по_щитам!B781</f>
        <v/>
      </c>
      <c r="C776" s="20">
        <f>Разбивка_по_щитам!C781</f>
      </c>
      <c r="D776" s="20">
        <f>Разбивка_по_щитам!F781</f>
      </c>
      <c r="E776" s="20">
        <f>Разбивка_по_щитам!H781</f>
      </c>
      <c r="F776" s="20">
        <f>Разбивка_по_щитам!I781</f>
      </c>
      <c r="G776" s="20">
        <f>Разбивка_по_щитам!J781</f>
        <v/>
      </c>
      <c r="H776" s="20">
        <f>Разбивка_по_щитам!K781</f>
        <v/>
      </c>
      <c r="I776" s="20">
        <f>Разбивка_по_щитам!L781</f>
        <v/>
      </c>
      <c r="J776" s="20">
        <f>Разбивка_по_щитам!M781</f>
        <v/>
      </c>
      <c r="K776" s="20">
        <f>Разбивка_по_щитам!N781</f>
        <v/>
      </c>
      <c r="L776" s="20"/>
      <c r="M776" s="20">
        <f>Разбивка_по_щитам!P781</f>
        <v/>
      </c>
      <c r="N776" s="20"/>
    </row>
    <row r="777" spans="2:14" x14ac:dyDescent="0.25">
      <c r="B777" s="20">
        <f>Разбивка_по_щитам!B782</f>
        <v/>
      </c>
      <c r="C777" s="20">
        <f>Разбивка_по_щитам!C782</f>
      </c>
      <c r="D777" s="20">
        <f>Разбивка_по_щитам!F782</f>
      </c>
      <c r="E777" s="20">
        <f>Разбивка_по_щитам!H782</f>
      </c>
      <c r="F777" s="20">
        <f>Разбивка_по_щитам!I782</f>
      </c>
      <c r="G777" s="20">
        <f>Разбивка_по_щитам!J782</f>
        <v/>
      </c>
      <c r="H777" s="20">
        <f>Разбивка_по_щитам!K782</f>
        <v/>
      </c>
      <c r="I777" s="20">
        <f>Разбивка_по_щитам!L782</f>
        <v/>
      </c>
      <c r="J777" s="20">
        <f>Разбивка_по_щитам!M782</f>
        <v/>
      </c>
      <c r="K777" s="20">
        <f>Разбивка_по_щитам!N782</f>
        <v/>
      </c>
      <c r="L777" s="20"/>
      <c r="M777" s="20">
        <f>Разбивка_по_щитам!P782</f>
        <v/>
      </c>
      <c r="N777" s="20"/>
    </row>
    <row r="778" spans="2:14" x14ac:dyDescent="0.25">
      <c r="B778" s="20">
        <f>Разбивка_по_щитам!B783</f>
        <v/>
      </c>
      <c r="C778" s="20">
        <f>Разбивка_по_щитам!C783</f>
      </c>
      <c r="D778" s="20">
        <f>Разбивка_по_щитам!F783</f>
      </c>
      <c r="E778" s="20">
        <f>Разбивка_по_щитам!H783</f>
      </c>
      <c r="F778" s="20">
        <f>Разбивка_по_щитам!I783</f>
      </c>
      <c r="G778" s="20">
        <f>Разбивка_по_щитам!J783</f>
        <v/>
      </c>
      <c r="H778" s="20">
        <f>Разбивка_по_щитам!K783</f>
        <v/>
      </c>
      <c r="I778" s="20">
        <f>Разбивка_по_щитам!L783</f>
        <v/>
      </c>
      <c r="J778" s="20">
        <f>Разбивка_по_щитам!M783</f>
        <v/>
      </c>
      <c r="K778" s="20">
        <f>Разбивка_по_щитам!N783</f>
        <v/>
      </c>
      <c r="L778" s="20"/>
      <c r="M778" s="20">
        <f>Разбивка_по_щитам!P783</f>
        <v/>
      </c>
      <c r="N778" s="20"/>
    </row>
    <row r="779" spans="2:14" x14ac:dyDescent="0.25">
      <c r="B779" s="20">
        <f>Разбивка_по_щитам!B784</f>
        <v/>
      </c>
      <c r="C779" s="20">
        <f>Разбивка_по_щитам!C784</f>
      </c>
      <c r="D779" s="20">
        <f>Разбивка_по_щитам!F784</f>
      </c>
      <c r="E779" s="20">
        <f>Разбивка_по_щитам!H784</f>
      </c>
      <c r="F779" s="20">
        <f>Разбивка_по_щитам!I784</f>
      </c>
      <c r="G779" s="20">
        <f>Разбивка_по_щитам!J784</f>
        <v/>
      </c>
      <c r="H779" s="20">
        <f>Разбивка_по_щитам!K784</f>
        <v/>
      </c>
      <c r="I779" s="20">
        <f>Разбивка_по_щитам!L784</f>
        <v/>
      </c>
      <c r="J779" s="20">
        <f>Разбивка_по_щитам!M784</f>
        <v/>
      </c>
      <c r="K779" s="20">
        <f>Разбивка_по_щитам!N784</f>
        <v/>
      </c>
      <c r="L779" s="20"/>
      <c r="M779" s="20">
        <f>Разбивка_по_щитам!P784</f>
        <v/>
      </c>
      <c r="N779" s="20"/>
    </row>
    <row r="780" spans="2:14" x14ac:dyDescent="0.25">
      <c r="B780" s="20">
        <f>Разбивка_по_щитам!B785</f>
        <v/>
      </c>
      <c r="C780" s="20">
        <f>Разбивка_по_щитам!C785</f>
      </c>
      <c r="D780" s="20">
        <f>Разбивка_по_щитам!F785</f>
      </c>
      <c r="E780" s="20">
        <f>Разбивка_по_щитам!H785</f>
      </c>
      <c r="F780" s="20">
        <f>Разбивка_по_щитам!I785</f>
      </c>
      <c r="G780" s="20">
        <f>Разбивка_по_щитам!J785</f>
        <v/>
      </c>
      <c r="H780" s="20">
        <f>Разбивка_по_щитам!K785</f>
        <v/>
      </c>
      <c r="I780" s="20">
        <f>Разбивка_по_щитам!L785</f>
        <v/>
      </c>
      <c r="J780" s="20">
        <f>Разбивка_по_щитам!M785</f>
        <v/>
      </c>
      <c r="K780" s="20">
        <f>Разбивка_по_щитам!N785</f>
        <v/>
      </c>
      <c r="L780" s="20"/>
      <c r="M780" s="20">
        <f>Разбивка_по_щитам!P785</f>
        <v/>
      </c>
      <c r="N780" s="20"/>
    </row>
    <row r="781" spans="2:14" x14ac:dyDescent="0.25">
      <c r="B781" s="20">
        <f>Разбивка_по_щитам!B786</f>
        <v/>
      </c>
      <c r="C781" s="20">
        <f>Разбивка_по_щитам!C786</f>
      </c>
      <c r="D781" s="20">
        <f>Разбивка_по_щитам!F786</f>
      </c>
      <c r="E781" s="20">
        <f>Разбивка_по_щитам!H786</f>
      </c>
      <c r="F781" s="20">
        <f>Разбивка_по_щитам!I786</f>
      </c>
      <c r="G781" s="20">
        <f>Разбивка_по_щитам!J786</f>
        <v/>
      </c>
      <c r="H781" s="20">
        <f>Разбивка_по_щитам!K786</f>
        <v/>
      </c>
      <c r="I781" s="20">
        <f>Разбивка_по_щитам!L786</f>
        <v/>
      </c>
      <c r="J781" s="20">
        <f>Разбивка_по_щитам!M786</f>
        <v/>
      </c>
      <c r="K781" s="20">
        <f>Разбивка_по_щитам!N786</f>
        <v/>
      </c>
      <c r="L781" s="20"/>
      <c r="M781" s="20">
        <f>Разбивка_по_щитам!P786</f>
        <v/>
      </c>
      <c r="N781" s="20"/>
    </row>
    <row r="782" spans="2:14" x14ac:dyDescent="0.25">
      <c r="B782" s="20">
        <f>Разбивка_по_щитам!B787</f>
        <v/>
      </c>
      <c r="C782" s="20">
        <f>Разбивка_по_щитам!C787</f>
      </c>
      <c r="D782" s="20">
        <f>Разбивка_по_щитам!F787</f>
      </c>
      <c r="E782" s="20">
        <f>Разбивка_по_щитам!H787</f>
      </c>
      <c r="F782" s="20">
        <f>Разбивка_по_щитам!I787</f>
      </c>
      <c r="G782" s="20">
        <f>Разбивка_по_щитам!J787</f>
        <v/>
      </c>
      <c r="H782" s="20">
        <f>Разбивка_по_щитам!K787</f>
        <v/>
      </c>
      <c r="I782" s="20">
        <f>Разбивка_по_щитам!L787</f>
        <v/>
      </c>
      <c r="J782" s="20">
        <f>Разбивка_по_щитам!M787</f>
        <v/>
      </c>
      <c r="K782" s="20">
        <f>Разбивка_по_щитам!N787</f>
        <v/>
      </c>
      <c r="L782" s="20"/>
      <c r="M782" s="20">
        <f>Разбивка_по_щитам!P787</f>
        <v/>
      </c>
      <c r="N782" s="20"/>
    </row>
    <row r="783" spans="2:14" x14ac:dyDescent="0.25">
      <c r="B783" s="20">
        <f>Разбивка_по_щитам!B788</f>
        <v/>
      </c>
      <c r="C783" s="20">
        <f>Разбивка_по_щитам!C788</f>
      </c>
      <c r="D783" s="20">
        <f>Разбивка_по_щитам!F788</f>
      </c>
      <c r="E783" s="20">
        <f>Разбивка_по_щитам!H788</f>
      </c>
      <c r="F783" s="20">
        <f>Разбивка_по_щитам!I788</f>
      </c>
      <c r="G783" s="20">
        <f>Разбивка_по_щитам!J788</f>
        <v/>
      </c>
      <c r="H783" s="20">
        <f>Разбивка_по_щитам!K788</f>
        <v/>
      </c>
      <c r="I783" s="20">
        <f>Разбивка_по_щитам!L788</f>
        <v/>
      </c>
      <c r="J783" s="20">
        <f>Разбивка_по_щитам!M788</f>
        <v/>
      </c>
      <c r="K783" s="20">
        <f>Разбивка_по_щитам!N788</f>
        <v/>
      </c>
      <c r="L783" s="20"/>
      <c r="M783" s="20">
        <f>Разбивка_по_щитам!P788</f>
        <v/>
      </c>
      <c r="N783" s="20"/>
    </row>
    <row r="784" spans="2:14" x14ac:dyDescent="0.25">
      <c r="B784" s="20">
        <f>Разбивка_по_щитам!B789</f>
        <v/>
      </c>
      <c r="C784" s="20">
        <f>Разбивка_по_щитам!C789</f>
      </c>
      <c r="D784" s="20">
        <f>Разбивка_по_щитам!F789</f>
      </c>
      <c r="E784" s="20">
        <f>Разбивка_по_щитам!H789</f>
      </c>
      <c r="F784" s="20">
        <f>Разбивка_по_щитам!I789</f>
      </c>
      <c r="G784" s="20">
        <f>Разбивка_по_щитам!J789</f>
        <v/>
      </c>
      <c r="H784" s="20">
        <f>Разбивка_по_щитам!K789</f>
        <v/>
      </c>
      <c r="I784" s="20">
        <f>Разбивка_по_щитам!L789</f>
        <v/>
      </c>
      <c r="J784" s="20">
        <f>Разбивка_по_щитам!M789</f>
        <v/>
      </c>
      <c r="K784" s="20">
        <f>Разбивка_по_щитам!N789</f>
        <v/>
      </c>
      <c r="L784" s="20"/>
      <c r="M784" s="20">
        <f>Разбивка_по_щитам!P789</f>
        <v/>
      </c>
      <c r="N784" s="20"/>
    </row>
    <row r="785" spans="2:14" x14ac:dyDescent="0.25">
      <c r="B785" s="20">
        <f>Разбивка_по_щитам!B790</f>
        <v/>
      </c>
      <c r="C785" s="20">
        <f>Разбивка_по_щитам!C790</f>
      </c>
      <c r="D785" s="20">
        <f>Разбивка_по_щитам!F790</f>
      </c>
      <c r="E785" s="20">
        <f>Разбивка_по_щитам!H790</f>
      </c>
      <c r="F785" s="20">
        <f>Разбивка_по_щитам!I790</f>
      </c>
      <c r="G785" s="20">
        <f>Разбивка_по_щитам!J790</f>
        <v/>
      </c>
      <c r="H785" s="20">
        <f>Разбивка_по_щитам!K790</f>
        <v/>
      </c>
      <c r="I785" s="20">
        <f>Разбивка_по_щитам!L790</f>
        <v/>
      </c>
      <c r="J785" s="20">
        <f>Разбивка_по_щитам!M790</f>
        <v/>
      </c>
      <c r="K785" s="20">
        <f>Разбивка_по_щитам!N790</f>
        <v/>
      </c>
      <c r="L785" s="20"/>
      <c r="M785" s="20">
        <f>Разбивка_по_щитам!P790</f>
        <v/>
      </c>
      <c r="N785" s="20"/>
    </row>
    <row r="786" spans="2:14" x14ac:dyDescent="0.25">
      <c r="B786" s="20">
        <f>Разбивка_по_щитам!B791</f>
        <v/>
      </c>
      <c r="C786" s="20">
        <f>Разбивка_по_щитам!C791</f>
      </c>
      <c r="D786" s="20">
        <f>Разбивка_по_щитам!F791</f>
      </c>
      <c r="E786" s="20">
        <f>Разбивка_по_щитам!H791</f>
      </c>
      <c r="F786" s="20">
        <f>Разбивка_по_щитам!I791</f>
      </c>
      <c r="G786" s="20">
        <f>Разбивка_по_щитам!J791</f>
        <v/>
      </c>
      <c r="H786" s="20">
        <f>Разбивка_по_щитам!K791</f>
        <v/>
      </c>
      <c r="I786" s="20">
        <f>Разбивка_по_щитам!L791</f>
        <v/>
      </c>
      <c r="J786" s="20">
        <f>Разбивка_по_щитам!M791</f>
        <v/>
      </c>
      <c r="K786" s="20">
        <f>Разбивка_по_щитам!N791</f>
        <v/>
      </c>
      <c r="L786" s="20"/>
      <c r="M786" s="20">
        <f>Разбивка_по_щитам!P791</f>
        <v/>
      </c>
      <c r="N786" s="20"/>
    </row>
    <row r="787" spans="2:14" x14ac:dyDescent="0.25">
      <c r="B787" s="20">
        <f>Разбивка_по_щитам!B792</f>
        <v/>
      </c>
      <c r="C787" s="20">
        <f>Разбивка_по_щитам!C792</f>
      </c>
      <c r="D787" s="20">
        <f>Разбивка_по_щитам!F792</f>
      </c>
      <c r="E787" s="20">
        <f>Разбивка_по_щитам!H792</f>
      </c>
      <c r="F787" s="20">
        <f>Разбивка_по_щитам!I792</f>
      </c>
      <c r="G787" s="20">
        <f>Разбивка_по_щитам!J792</f>
        <v/>
      </c>
      <c r="H787" s="20">
        <f>Разбивка_по_щитам!K792</f>
        <v/>
      </c>
      <c r="I787" s="20">
        <f>Разбивка_по_щитам!L792</f>
        <v/>
      </c>
      <c r="J787" s="20">
        <f>Разбивка_по_щитам!M792</f>
        <v/>
      </c>
      <c r="K787" s="20">
        <f>Разбивка_по_щитам!N792</f>
        <v/>
      </c>
      <c r="L787" s="20"/>
      <c r="M787" s="20">
        <f>Разбивка_по_щитам!P792</f>
        <v/>
      </c>
      <c r="N787" s="20"/>
    </row>
    <row r="788" spans="2:14" x14ac:dyDescent="0.25">
      <c r="B788" s="20">
        <f>Разбивка_по_щитам!B793</f>
        <v/>
      </c>
      <c r="C788" s="20">
        <f>Разбивка_по_щитам!C793</f>
      </c>
      <c r="D788" s="20">
        <f>Разбивка_по_щитам!F793</f>
      </c>
      <c r="E788" s="20">
        <f>Разбивка_по_щитам!H793</f>
      </c>
      <c r="F788" s="20">
        <f>Разбивка_по_щитам!I793</f>
      </c>
      <c r="G788" s="20">
        <f>Разбивка_по_щитам!J793</f>
        <v/>
      </c>
      <c r="H788" s="20">
        <f>Разбивка_по_щитам!K793</f>
        <v/>
      </c>
      <c r="I788" s="20">
        <f>Разбивка_по_щитам!L793</f>
        <v/>
      </c>
      <c r="J788" s="20">
        <f>Разбивка_по_щитам!M793</f>
        <v/>
      </c>
      <c r="K788" s="20">
        <f>Разбивка_по_щитам!N793</f>
        <v/>
      </c>
      <c r="L788" s="20"/>
      <c r="M788" s="20">
        <f>Разбивка_по_щитам!P793</f>
        <v/>
      </c>
      <c r="N788" s="20"/>
    </row>
    <row r="789" spans="2:14" x14ac:dyDescent="0.25">
      <c r="B789" s="20">
        <f>Разбивка_по_щитам!B794</f>
        <v/>
      </c>
      <c r="C789" s="20">
        <f>Разбивка_по_щитам!C794</f>
      </c>
      <c r="D789" s="20">
        <f>Разбивка_по_щитам!F794</f>
      </c>
      <c r="E789" s="20">
        <f>Разбивка_по_щитам!H794</f>
      </c>
      <c r="F789" s="20">
        <f>Разбивка_по_щитам!I794</f>
      </c>
      <c r="G789" s="20">
        <f>Разбивка_по_щитам!J794</f>
        <v/>
      </c>
      <c r="H789" s="20">
        <f>Разбивка_по_щитам!K794</f>
        <v/>
      </c>
      <c r="I789" s="20">
        <f>Разбивка_по_щитам!L794</f>
        <v/>
      </c>
      <c r="J789" s="20">
        <f>Разбивка_по_щитам!M794</f>
        <v/>
      </c>
      <c r="K789" s="20">
        <f>Разбивка_по_щитам!N794</f>
        <v/>
      </c>
      <c r="L789" s="20"/>
      <c r="M789" s="20">
        <f>Разбивка_по_щитам!P794</f>
        <v/>
      </c>
      <c r="N789" s="20"/>
    </row>
    <row r="790" spans="2:14" x14ac:dyDescent="0.25">
      <c r="B790" s="20">
        <f>Разбивка_по_щитам!B795</f>
        <v/>
      </c>
      <c r="C790" s="20">
        <f>Разбивка_по_щитам!C795</f>
      </c>
      <c r="D790" s="20">
        <f>Разбивка_по_щитам!F795</f>
      </c>
      <c r="E790" s="20">
        <f>Разбивка_по_щитам!H795</f>
      </c>
      <c r="F790" s="20">
        <f>Разбивка_по_щитам!I795</f>
      </c>
      <c r="G790" s="20">
        <f>Разбивка_по_щитам!J795</f>
        <v/>
      </c>
      <c r="H790" s="20">
        <f>Разбивка_по_щитам!K795</f>
        <v/>
      </c>
      <c r="I790" s="20">
        <f>Разбивка_по_щитам!L795</f>
        <v/>
      </c>
      <c r="J790" s="20">
        <f>Разбивка_по_щитам!M795</f>
        <v/>
      </c>
      <c r="K790" s="20">
        <f>Разбивка_по_щитам!N795</f>
        <v/>
      </c>
      <c r="L790" s="20"/>
      <c r="M790" s="20">
        <f>Разбивка_по_щитам!P795</f>
        <v/>
      </c>
      <c r="N790" s="20"/>
    </row>
    <row r="791" spans="2:14" x14ac:dyDescent="0.25">
      <c r="B791" s="20">
        <f>Разбивка_по_щитам!B796</f>
        <v/>
      </c>
      <c r="C791" s="20">
        <f>Разбивка_по_щитам!C796</f>
      </c>
      <c r="D791" s="20">
        <f>Разбивка_по_щитам!F796</f>
      </c>
      <c r="E791" s="20">
        <f>Разбивка_по_щитам!H796</f>
      </c>
      <c r="F791" s="20">
        <f>Разбивка_по_щитам!I796</f>
      </c>
      <c r="G791" s="20">
        <f>Разбивка_по_щитам!J796</f>
        <v/>
      </c>
      <c r="H791" s="20">
        <f>Разбивка_по_щитам!K796</f>
        <v/>
      </c>
      <c r="I791" s="20">
        <f>Разбивка_по_щитам!L796</f>
        <v/>
      </c>
      <c r="J791" s="20">
        <f>Разбивка_по_щитам!M796</f>
        <v/>
      </c>
      <c r="K791" s="20">
        <f>Разбивка_по_щитам!N796</f>
        <v/>
      </c>
      <c r="L791" s="20"/>
      <c r="M791" s="20">
        <f>Разбивка_по_щитам!P796</f>
        <v/>
      </c>
      <c r="N791" s="20"/>
    </row>
    <row r="792" spans="2:14" x14ac:dyDescent="0.25">
      <c r="B792" s="20">
        <f>Разбивка_по_щитам!B797</f>
        <v/>
      </c>
      <c r="C792" s="20">
        <f>Разбивка_по_щитам!C797</f>
      </c>
      <c r="D792" s="20">
        <f>Разбивка_по_щитам!F797</f>
      </c>
      <c r="E792" s="20">
        <f>Разбивка_по_щитам!H797</f>
      </c>
      <c r="F792" s="20">
        <f>Разбивка_по_щитам!I797</f>
      </c>
      <c r="G792" s="20">
        <f>Разбивка_по_щитам!J797</f>
        <v/>
      </c>
      <c r="H792" s="20">
        <f>Разбивка_по_щитам!K797</f>
        <v/>
      </c>
      <c r="I792" s="20">
        <f>Разбивка_по_щитам!L797</f>
        <v/>
      </c>
      <c r="J792" s="20">
        <f>Разбивка_по_щитам!M797</f>
        <v/>
      </c>
      <c r="K792" s="20">
        <f>Разбивка_по_щитам!N797</f>
        <v/>
      </c>
      <c r="L792" s="20"/>
      <c r="M792" s="20">
        <f>Разбивка_по_щитам!P797</f>
        <v/>
      </c>
      <c r="N792" s="20"/>
    </row>
    <row r="793" spans="2:14" x14ac:dyDescent="0.25">
      <c r="B793" s="20">
        <f>Разбивка_по_щитам!B798</f>
        <v/>
      </c>
      <c r="C793" s="20">
        <f>Разбивка_по_щитам!C798</f>
      </c>
      <c r="D793" s="20">
        <f>Разбивка_по_щитам!F798</f>
      </c>
      <c r="E793" s="20">
        <f>Разбивка_по_щитам!H798</f>
      </c>
      <c r="F793" s="20">
        <f>Разбивка_по_щитам!I798</f>
      </c>
      <c r="G793" s="20">
        <f>Разбивка_по_щитам!J798</f>
        <v/>
      </c>
      <c r="H793" s="20">
        <f>Разбивка_по_щитам!K798</f>
        <v/>
      </c>
      <c r="I793" s="20">
        <f>Разбивка_по_щитам!L798</f>
        <v/>
      </c>
      <c r="J793" s="20">
        <f>Разбивка_по_щитам!M798</f>
        <v/>
      </c>
      <c r="K793" s="20">
        <f>Разбивка_по_щитам!N798</f>
        <v/>
      </c>
      <c r="L793" s="20"/>
      <c r="M793" s="20">
        <f>Разбивка_по_щитам!P798</f>
        <v/>
      </c>
      <c r="N793" s="20"/>
    </row>
    <row r="794" spans="2:14" x14ac:dyDescent="0.25">
      <c r="B794" s="20">
        <f>Разбивка_по_щитам!B799</f>
        <v/>
      </c>
      <c r="C794" s="20">
        <f>Разбивка_по_щитам!C799</f>
      </c>
      <c r="D794" s="20">
        <f>Разбивка_по_щитам!F799</f>
      </c>
      <c r="E794" s="20">
        <f>Разбивка_по_щитам!H799</f>
      </c>
      <c r="F794" s="20">
        <f>Разбивка_по_щитам!I799</f>
      </c>
      <c r="G794" s="20">
        <f>Разбивка_по_щитам!J799</f>
        <v/>
      </c>
      <c r="H794" s="20">
        <f>Разбивка_по_щитам!K799</f>
        <v/>
      </c>
      <c r="I794" s="20">
        <f>Разбивка_по_щитам!L799</f>
        <v/>
      </c>
      <c r="J794" s="20">
        <f>Разбивка_по_щитам!M799</f>
        <v/>
      </c>
      <c r="K794" s="20">
        <f>Разбивка_по_щитам!N799</f>
        <v/>
      </c>
      <c r="L794" s="20"/>
      <c r="M794" s="20">
        <f>Разбивка_по_щитам!P799</f>
        <v/>
      </c>
      <c r="N794" s="20"/>
    </row>
    <row r="795" spans="2:14" x14ac:dyDescent="0.25">
      <c r="B795" s="20">
        <f>Разбивка_по_щитам!B800</f>
        <v/>
      </c>
      <c r="C795" s="20">
        <f>Разбивка_по_щитам!C800</f>
      </c>
      <c r="D795" s="20">
        <f>Разбивка_по_щитам!F800</f>
      </c>
      <c r="E795" s="20">
        <f>Разбивка_по_щитам!H800</f>
      </c>
      <c r="F795" s="20">
        <f>Разбивка_по_щитам!I800</f>
      </c>
      <c r="G795" s="20">
        <f>Разбивка_по_щитам!J800</f>
        <v/>
      </c>
      <c r="H795" s="20">
        <f>Разбивка_по_щитам!K800</f>
        <v/>
      </c>
      <c r="I795" s="20">
        <f>Разбивка_по_щитам!L800</f>
        <v/>
      </c>
      <c r="J795" s="20">
        <f>Разбивка_по_щитам!M800</f>
        <v/>
      </c>
      <c r="K795" s="20">
        <f>Разбивка_по_щитам!N800</f>
        <v/>
      </c>
      <c r="L795" s="20"/>
      <c r="M795" s="20">
        <f>Разбивка_по_щитам!P800</f>
        <v/>
      </c>
      <c r="N795" s="20"/>
    </row>
    <row r="796" spans="2:14" x14ac:dyDescent="0.25">
      <c r="B796" s="20">
        <f>Разбивка_по_щитам!B801</f>
        <v/>
      </c>
      <c r="C796" s="20">
        <f>Разбивка_по_щитам!C801</f>
      </c>
      <c r="D796" s="20">
        <f>Разбивка_по_щитам!F801</f>
      </c>
      <c r="E796" s="20">
        <f>Разбивка_по_щитам!H801</f>
      </c>
      <c r="F796" s="20">
        <f>Разбивка_по_щитам!I801</f>
      </c>
      <c r="G796" s="20">
        <f>Разбивка_по_щитам!J801</f>
        <v/>
      </c>
      <c r="H796" s="20">
        <f>Разбивка_по_щитам!K801</f>
        <v/>
      </c>
      <c r="I796" s="20">
        <f>Разбивка_по_щитам!L801</f>
        <v/>
      </c>
      <c r="J796" s="20">
        <f>Разбивка_по_щитам!M801</f>
        <v/>
      </c>
      <c r="K796" s="20">
        <f>Разбивка_по_щитам!N801</f>
        <v/>
      </c>
      <c r="L796" s="20"/>
      <c r="M796" s="20">
        <f>Разбивка_по_щитам!P801</f>
        <v/>
      </c>
      <c r="N796" s="20"/>
    </row>
    <row r="797" spans="2:14" x14ac:dyDescent="0.25">
      <c r="B797" s="20">
        <f>Разбивка_по_щитам!B802</f>
        <v/>
      </c>
      <c r="C797" s="20">
        <f>Разбивка_по_щитам!C802</f>
      </c>
      <c r="D797" s="20">
        <f>Разбивка_по_щитам!F802</f>
      </c>
      <c r="E797" s="20">
        <f>Разбивка_по_щитам!H802</f>
      </c>
      <c r="F797" s="20">
        <f>Разбивка_по_щитам!I802</f>
      </c>
      <c r="G797" s="20">
        <f>Разбивка_по_щитам!J802</f>
        <v/>
      </c>
      <c r="H797" s="20">
        <f>Разбивка_по_щитам!K802</f>
        <v/>
      </c>
      <c r="I797" s="20">
        <f>Разбивка_по_щитам!L802</f>
        <v/>
      </c>
      <c r="J797" s="20">
        <f>Разбивка_по_щитам!M802</f>
        <v/>
      </c>
      <c r="K797" s="20">
        <f>Разбивка_по_щитам!N802</f>
        <v/>
      </c>
      <c r="L797" s="20"/>
      <c r="M797" s="20">
        <f>Разбивка_по_щитам!P802</f>
        <v/>
      </c>
      <c r="N797" s="20"/>
    </row>
    <row r="798" spans="2:14" x14ac:dyDescent="0.25">
      <c r="B798" s="20">
        <f>Разбивка_по_щитам!B803</f>
        <v/>
      </c>
      <c r="C798" s="20">
        <f>Разбивка_по_щитам!C803</f>
      </c>
      <c r="D798" s="20">
        <f>Разбивка_по_щитам!F803</f>
      </c>
      <c r="E798" s="20">
        <f>Разбивка_по_щитам!H803</f>
      </c>
      <c r="F798" s="20">
        <f>Разбивка_по_щитам!I803</f>
      </c>
      <c r="G798" s="20">
        <f>Разбивка_по_щитам!J803</f>
        <v/>
      </c>
      <c r="H798" s="20">
        <f>Разбивка_по_щитам!K803</f>
        <v/>
      </c>
      <c r="I798" s="20">
        <f>Разбивка_по_щитам!L803</f>
        <v/>
      </c>
      <c r="J798" s="20">
        <f>Разбивка_по_щитам!M803</f>
        <v/>
      </c>
      <c r="K798" s="20">
        <f>Разбивка_по_щитам!N803</f>
        <v/>
      </c>
      <c r="L798" s="20"/>
      <c r="M798" s="20">
        <f>Разбивка_по_щитам!P803</f>
        <v/>
      </c>
      <c r="N798" s="20"/>
    </row>
    <row r="799" spans="2:14" x14ac:dyDescent="0.25">
      <c r="B799" s="20">
        <f>Разбивка_по_щитам!B804</f>
        <v/>
      </c>
      <c r="C799" s="20">
        <f>Разбивка_по_щитам!C804</f>
      </c>
      <c r="D799" s="20">
        <f>Разбивка_по_щитам!F804</f>
      </c>
      <c r="E799" s="20">
        <f>Разбивка_по_щитам!H804</f>
      </c>
      <c r="F799" s="20">
        <f>Разбивка_по_щитам!I804</f>
      </c>
      <c r="G799" s="20">
        <f>Разбивка_по_щитам!J804</f>
        <v/>
      </c>
      <c r="H799" s="20">
        <f>Разбивка_по_щитам!K804</f>
        <v/>
      </c>
      <c r="I799" s="20">
        <f>Разбивка_по_щитам!L804</f>
        <v/>
      </c>
      <c r="J799" s="20">
        <f>Разбивка_по_щитам!M804</f>
        <v/>
      </c>
      <c r="K799" s="20">
        <f>Разбивка_по_щитам!N804</f>
        <v/>
      </c>
      <c r="L799" s="20"/>
      <c r="M799" s="20">
        <f>Разбивка_по_щитам!P804</f>
        <v/>
      </c>
      <c r="N799" s="20"/>
    </row>
    <row r="800" spans="2:14" x14ac:dyDescent="0.25">
      <c r="B800" s="20">
        <f>Разбивка_по_щитам!B805</f>
        <v/>
      </c>
      <c r="C800" s="20">
        <f>Разбивка_по_щитам!C805</f>
      </c>
      <c r="D800" s="20">
        <f>Разбивка_по_щитам!F805</f>
      </c>
      <c r="E800" s="20">
        <f>Разбивка_по_щитам!H805</f>
      </c>
      <c r="F800" s="20">
        <f>Разбивка_по_щитам!I805</f>
      </c>
      <c r="G800" s="20">
        <f>Разбивка_по_щитам!J805</f>
        <v/>
      </c>
      <c r="H800" s="20">
        <f>Разбивка_по_щитам!K805</f>
        <v/>
      </c>
      <c r="I800" s="20">
        <f>Разбивка_по_щитам!L805</f>
        <v/>
      </c>
      <c r="J800" s="20">
        <f>Разбивка_по_щитам!M805</f>
        <v/>
      </c>
      <c r="K800" s="20">
        <f>Разбивка_по_щитам!N805</f>
        <v/>
      </c>
      <c r="L800" s="20"/>
      <c r="M800" s="20">
        <f>Разбивка_по_щитам!P805</f>
        <v/>
      </c>
      <c r="N800" s="20"/>
    </row>
    <row r="801" spans="2:14" x14ac:dyDescent="0.25">
      <c r="B801" s="20">
        <f>Разбивка_по_щитам!B806</f>
        <v/>
      </c>
      <c r="C801" s="20">
        <f>Разбивка_по_щитам!C806</f>
      </c>
      <c r="D801" s="20">
        <f>Разбивка_по_щитам!F806</f>
      </c>
      <c r="E801" s="20">
        <f>Разбивка_по_щитам!H806</f>
      </c>
      <c r="F801" s="20">
        <f>Разбивка_по_щитам!I806</f>
      </c>
      <c r="G801" s="20">
        <f>Разбивка_по_щитам!J806</f>
        <v/>
      </c>
      <c r="H801" s="20">
        <f>Разбивка_по_щитам!K806</f>
        <v/>
      </c>
      <c r="I801" s="20">
        <f>Разбивка_по_щитам!L806</f>
        <v/>
      </c>
      <c r="J801" s="20">
        <f>Разбивка_по_щитам!M806</f>
        <v/>
      </c>
      <c r="K801" s="20">
        <f>Разбивка_по_щитам!N806</f>
        <v/>
      </c>
      <c r="L801" s="20"/>
      <c r="M801" s="20">
        <f>Разбивка_по_щитам!P806</f>
        <v/>
      </c>
      <c r="N801" s="20"/>
    </row>
    <row r="802" spans="2:14" x14ac:dyDescent="0.25">
      <c r="B802" s="20">
        <f>Разбивка_по_щитам!B807</f>
        <v/>
      </c>
      <c r="C802" s="20">
        <f>Разбивка_по_щитам!C807</f>
      </c>
      <c r="D802" s="20">
        <f>Разбивка_по_щитам!F807</f>
      </c>
      <c r="E802" s="20">
        <f>Разбивка_по_щитам!H807</f>
      </c>
      <c r="F802" s="20">
        <f>Разбивка_по_щитам!I807</f>
      </c>
      <c r="G802" s="20">
        <f>Разбивка_по_щитам!J807</f>
        <v/>
      </c>
      <c r="H802" s="20">
        <f>Разбивка_по_щитам!K807</f>
        <v/>
      </c>
      <c r="I802" s="20">
        <f>Разбивка_по_щитам!L807</f>
        <v/>
      </c>
      <c r="J802" s="20">
        <f>Разбивка_по_щитам!M807</f>
        <v/>
      </c>
      <c r="K802" s="20">
        <f>Разбивка_по_щитам!N807</f>
        <v/>
      </c>
      <c r="L802" s="20"/>
      <c r="M802" s="20">
        <f>Разбивка_по_щитам!P807</f>
        <v/>
      </c>
      <c r="N802" s="20"/>
    </row>
    <row r="803" spans="2:14" x14ac:dyDescent="0.25">
      <c r="B803" s="20">
        <f>Разбивка_по_щитам!B808</f>
        <v/>
      </c>
      <c r="C803" s="20">
        <f>Разбивка_по_щитам!C808</f>
      </c>
      <c r="D803" s="20">
        <f>Разбивка_по_щитам!F808</f>
      </c>
      <c r="E803" s="20">
        <f>Разбивка_по_щитам!H808</f>
      </c>
      <c r="F803" s="20">
        <f>Разбивка_по_щитам!I808</f>
      </c>
      <c r="G803" s="20">
        <f>Разбивка_по_щитам!J808</f>
        <v/>
      </c>
      <c r="H803" s="20">
        <f>Разбивка_по_щитам!K808</f>
        <v/>
      </c>
      <c r="I803" s="20">
        <f>Разбивка_по_щитам!L808</f>
        <v/>
      </c>
      <c r="J803" s="20">
        <f>Разбивка_по_щитам!M808</f>
        <v/>
      </c>
      <c r="K803" s="20">
        <f>Разбивка_по_щитам!N808</f>
        <v/>
      </c>
      <c r="L803" s="20"/>
      <c r="M803" s="20">
        <f>Разбивка_по_щитам!P808</f>
        <v/>
      </c>
      <c r="N803" s="20"/>
    </row>
    <row r="804" spans="2:14" x14ac:dyDescent="0.25">
      <c r="B804" s="20">
        <f>Разбивка_по_щитам!B809</f>
        <v/>
      </c>
      <c r="C804" s="20">
        <f>Разбивка_по_щитам!C809</f>
      </c>
      <c r="D804" s="20">
        <f>Разбивка_по_щитам!F809</f>
      </c>
      <c r="E804" s="20">
        <f>Разбивка_по_щитам!H809</f>
      </c>
      <c r="F804" s="20">
        <f>Разбивка_по_щитам!I809</f>
      </c>
      <c r="G804" s="20">
        <f>Разбивка_по_щитам!J809</f>
        <v/>
      </c>
      <c r="H804" s="20">
        <f>Разбивка_по_щитам!K809</f>
        <v/>
      </c>
      <c r="I804" s="20">
        <f>Разбивка_по_щитам!L809</f>
        <v/>
      </c>
      <c r="J804" s="20">
        <f>Разбивка_по_щитам!M809</f>
        <v/>
      </c>
      <c r="K804" s="20">
        <f>Разбивка_по_щитам!N809</f>
        <v/>
      </c>
      <c r="L804" s="20"/>
      <c r="M804" s="20">
        <f>Разбивка_по_щитам!P809</f>
        <v/>
      </c>
      <c r="N804" s="20"/>
    </row>
    <row r="805" spans="2:14" x14ac:dyDescent="0.25">
      <c r="B805" s="20">
        <f>Разбивка_по_щитам!B810</f>
        <v/>
      </c>
      <c r="C805" s="20">
        <f>Разбивка_по_щитам!C810</f>
      </c>
      <c r="D805" s="20">
        <f>Разбивка_по_щитам!F810</f>
      </c>
      <c r="E805" s="20">
        <f>Разбивка_по_щитам!H810</f>
      </c>
      <c r="F805" s="20">
        <f>Разбивка_по_щитам!I810</f>
      </c>
      <c r="G805" s="20">
        <f>Разбивка_по_щитам!J810</f>
        <v/>
      </c>
      <c r="H805" s="20">
        <f>Разбивка_по_щитам!K810</f>
        <v/>
      </c>
      <c r="I805" s="20">
        <f>Разбивка_по_щитам!L810</f>
        <v/>
      </c>
      <c r="J805" s="20">
        <f>Разбивка_по_щитам!M810</f>
        <v/>
      </c>
      <c r="K805" s="20">
        <f>Разбивка_по_щитам!N810</f>
        <v/>
      </c>
      <c r="L805" s="20"/>
      <c r="M805" s="20">
        <f>Разбивка_по_щитам!P810</f>
        <v/>
      </c>
      <c r="N805" s="20"/>
    </row>
    <row r="806" spans="2:14" x14ac:dyDescent="0.25">
      <c r="B806" s="20">
        <f>Разбивка_по_щитам!B811</f>
        <v/>
      </c>
      <c r="C806" s="20">
        <f>Разбивка_по_щитам!C811</f>
      </c>
      <c r="D806" s="20">
        <f>Разбивка_по_щитам!F811</f>
      </c>
      <c r="E806" s="20">
        <f>Разбивка_по_щитам!H811</f>
      </c>
      <c r="F806" s="20">
        <f>Разбивка_по_щитам!I811</f>
      </c>
      <c r="G806" s="20">
        <f>Разбивка_по_щитам!J811</f>
        <v/>
      </c>
      <c r="H806" s="20">
        <f>Разбивка_по_щитам!K811</f>
        <v/>
      </c>
      <c r="I806" s="20">
        <f>Разбивка_по_щитам!L811</f>
        <v/>
      </c>
      <c r="J806" s="20">
        <f>Разбивка_по_щитам!M811</f>
        <v/>
      </c>
      <c r="K806" s="20">
        <f>Разбивка_по_щитам!N811</f>
        <v/>
      </c>
      <c r="L806" s="20"/>
      <c r="M806" s="20">
        <f>Разбивка_по_щитам!P811</f>
        <v/>
      </c>
      <c r="N806" s="20"/>
    </row>
    <row r="807" spans="2:14" x14ac:dyDescent="0.25">
      <c r="B807" s="20">
        <f>Разбивка_по_щитам!B812</f>
        <v/>
      </c>
      <c r="C807" s="20">
        <f>Разбивка_по_щитам!C812</f>
      </c>
      <c r="D807" s="20">
        <f>Разбивка_по_щитам!F812</f>
      </c>
      <c r="E807" s="20">
        <f>Разбивка_по_щитам!H812</f>
      </c>
      <c r="F807" s="20">
        <f>Разбивка_по_щитам!I812</f>
      </c>
      <c r="G807" s="20">
        <f>Разбивка_по_щитам!J812</f>
        <v/>
      </c>
      <c r="H807" s="20">
        <f>Разбивка_по_щитам!K812</f>
        <v/>
      </c>
      <c r="I807" s="20">
        <f>Разбивка_по_щитам!L812</f>
        <v/>
      </c>
      <c r="J807" s="20">
        <f>Разбивка_по_щитам!M812</f>
        <v/>
      </c>
      <c r="K807" s="20">
        <f>Разбивка_по_щитам!N812</f>
        <v/>
      </c>
      <c r="L807" s="20"/>
      <c r="M807" s="20">
        <f>Разбивка_по_щитам!P812</f>
        <v/>
      </c>
      <c r="N807" s="20"/>
    </row>
    <row r="808" spans="2:14" x14ac:dyDescent="0.25">
      <c r="B808" s="20">
        <f>Разбивка_по_щитам!B813</f>
        <v/>
      </c>
      <c r="C808" s="20">
        <f>Разбивка_по_щитам!C813</f>
      </c>
      <c r="D808" s="20">
        <f>Разбивка_по_щитам!F813</f>
      </c>
      <c r="E808" s="20">
        <f>Разбивка_по_щитам!H813</f>
      </c>
      <c r="F808" s="20">
        <f>Разбивка_по_щитам!I813</f>
      </c>
      <c r="G808" s="20">
        <f>Разбивка_по_щитам!J813</f>
        <v/>
      </c>
      <c r="H808" s="20">
        <f>Разбивка_по_щитам!K813</f>
        <v/>
      </c>
      <c r="I808" s="20">
        <f>Разбивка_по_щитам!L813</f>
        <v/>
      </c>
      <c r="J808" s="20">
        <f>Разбивка_по_щитам!M813</f>
        <v/>
      </c>
      <c r="K808" s="20">
        <f>Разбивка_по_щитам!N813</f>
        <v/>
      </c>
      <c r="L808" s="20"/>
      <c r="M808" s="20">
        <f>Разбивка_по_щитам!P813</f>
        <v/>
      </c>
      <c r="N808" s="20"/>
    </row>
    <row r="809" spans="2:14" x14ac:dyDescent="0.25">
      <c r="B809" s="20">
        <f>Разбивка_по_щитам!B814</f>
        <v/>
      </c>
      <c r="C809" s="20">
        <f>Разбивка_по_щитам!C814</f>
      </c>
      <c r="D809" s="20">
        <f>Разбивка_по_щитам!F814</f>
      </c>
      <c r="E809" s="20">
        <f>Разбивка_по_щитам!H814</f>
      </c>
      <c r="F809" s="20">
        <f>Разбивка_по_щитам!I814</f>
      </c>
      <c r="G809" s="20">
        <f>Разбивка_по_щитам!J814</f>
        <v/>
      </c>
      <c r="H809" s="20">
        <f>Разбивка_по_щитам!K814</f>
        <v/>
      </c>
      <c r="I809" s="20">
        <f>Разбивка_по_щитам!L814</f>
        <v/>
      </c>
      <c r="J809" s="20">
        <f>Разбивка_по_щитам!M814</f>
        <v/>
      </c>
      <c r="K809" s="20">
        <f>Разбивка_по_щитам!N814</f>
        <v/>
      </c>
      <c r="L809" s="20"/>
      <c r="M809" s="20">
        <f>Разбивка_по_щитам!P814</f>
        <v/>
      </c>
      <c r="N809" s="20"/>
    </row>
    <row r="810" spans="2:14" x14ac:dyDescent="0.25">
      <c r="B810" s="20">
        <f>Разбивка_по_щитам!B815</f>
        <v/>
      </c>
      <c r="C810" s="20">
        <f>Разбивка_по_щитам!C815</f>
      </c>
      <c r="D810" s="20">
        <f>Разбивка_по_щитам!F815</f>
      </c>
      <c r="E810" s="20">
        <f>Разбивка_по_щитам!H815</f>
      </c>
      <c r="F810" s="20">
        <f>Разбивка_по_щитам!I815</f>
      </c>
      <c r="G810" s="20">
        <f>Разбивка_по_щитам!J815</f>
        <v/>
      </c>
      <c r="H810" s="20">
        <f>Разбивка_по_щитам!K815</f>
        <v/>
      </c>
      <c r="I810" s="20">
        <f>Разбивка_по_щитам!L815</f>
        <v/>
      </c>
      <c r="J810" s="20">
        <f>Разбивка_по_щитам!M815</f>
        <v/>
      </c>
      <c r="K810" s="20">
        <f>Разбивка_по_щитам!N815</f>
        <v/>
      </c>
      <c r="L810" s="20"/>
      <c r="M810" s="20">
        <f>Разбивка_по_щитам!P815</f>
        <v/>
      </c>
      <c r="N810" s="20"/>
    </row>
    <row r="811" spans="2:14" x14ac:dyDescent="0.25">
      <c r="B811" s="20">
        <f>Разбивка_по_щитам!B816</f>
        <v/>
      </c>
      <c r="C811" s="20">
        <f>Разбивка_по_щитам!C816</f>
      </c>
      <c r="D811" s="20">
        <f>Разбивка_по_щитам!F816</f>
      </c>
      <c r="E811" s="20">
        <f>Разбивка_по_щитам!H816</f>
      </c>
      <c r="F811" s="20">
        <f>Разбивка_по_щитам!I816</f>
      </c>
      <c r="G811" s="20">
        <f>Разбивка_по_щитам!J816</f>
        <v/>
      </c>
      <c r="H811" s="20">
        <f>Разбивка_по_щитам!K816</f>
        <v/>
      </c>
      <c r="I811" s="20">
        <f>Разбивка_по_щитам!L816</f>
        <v/>
      </c>
      <c r="J811" s="20">
        <f>Разбивка_по_щитам!M816</f>
        <v/>
      </c>
      <c r="K811" s="20">
        <f>Разбивка_по_щитам!N816</f>
        <v/>
      </c>
      <c r="L811" s="20"/>
      <c r="M811" s="20">
        <f>Разбивка_по_щитам!P816</f>
        <v/>
      </c>
      <c r="N811" s="20"/>
    </row>
    <row r="812" spans="2:14" x14ac:dyDescent="0.25">
      <c r="B812" s="20">
        <f>Разбивка_по_щитам!B817</f>
        <v/>
      </c>
      <c r="C812" s="20">
        <f>Разбивка_по_щитам!C817</f>
      </c>
      <c r="D812" s="20">
        <f>Разбивка_по_щитам!F817</f>
      </c>
      <c r="E812" s="20">
        <f>Разбивка_по_щитам!H817</f>
      </c>
      <c r="F812" s="20">
        <f>Разбивка_по_щитам!I817</f>
      </c>
      <c r="G812" s="20">
        <f>Разбивка_по_щитам!J817</f>
        <v/>
      </c>
      <c r="H812" s="20">
        <f>Разбивка_по_щитам!K817</f>
        <v/>
      </c>
      <c r="I812" s="20">
        <f>Разбивка_по_щитам!L817</f>
        <v/>
      </c>
      <c r="J812" s="20">
        <f>Разбивка_по_щитам!M817</f>
        <v/>
      </c>
      <c r="K812" s="20">
        <f>Разбивка_по_щитам!N817</f>
        <v/>
      </c>
      <c r="L812" s="20"/>
      <c r="M812" s="20">
        <f>Разбивка_по_щитам!P817</f>
        <v/>
      </c>
      <c r="N812" s="20"/>
    </row>
    <row r="813" spans="2:14" x14ac:dyDescent="0.25">
      <c r="B813" s="20">
        <f>Разбивка_по_щитам!B818</f>
        <v/>
      </c>
      <c r="C813" s="20">
        <f>Разбивка_по_щитам!C818</f>
      </c>
      <c r="D813" s="20">
        <f>Разбивка_по_щитам!F818</f>
      </c>
      <c r="E813" s="20">
        <f>Разбивка_по_щитам!H818</f>
      </c>
      <c r="F813" s="20">
        <f>Разбивка_по_щитам!I818</f>
      </c>
      <c r="G813" s="20">
        <f>Разбивка_по_щитам!J818</f>
        <v/>
      </c>
      <c r="H813" s="20">
        <f>Разбивка_по_щитам!K818</f>
        <v/>
      </c>
      <c r="I813" s="20">
        <f>Разбивка_по_щитам!L818</f>
        <v/>
      </c>
      <c r="J813" s="20">
        <f>Разбивка_по_щитам!M818</f>
        <v/>
      </c>
      <c r="K813" s="20">
        <f>Разбивка_по_щитам!N818</f>
        <v/>
      </c>
      <c r="L813" s="20"/>
      <c r="M813" s="20">
        <f>Разбивка_по_щитам!P818</f>
        <v/>
      </c>
      <c r="N813" s="20"/>
    </row>
    <row r="814" spans="2:14" x14ac:dyDescent="0.25">
      <c r="B814" s="20">
        <f>Разбивка_по_щитам!B819</f>
        <v/>
      </c>
      <c r="C814" s="20">
        <f>Разбивка_по_щитам!C819</f>
      </c>
      <c r="D814" s="20">
        <f>Разбивка_по_щитам!F819</f>
      </c>
      <c r="E814" s="20">
        <f>Разбивка_по_щитам!H819</f>
      </c>
      <c r="F814" s="20">
        <f>Разбивка_по_щитам!I819</f>
      </c>
      <c r="G814" s="20">
        <f>Разбивка_по_щитам!J819</f>
        <v/>
      </c>
      <c r="H814" s="20">
        <f>Разбивка_по_щитам!K819</f>
        <v/>
      </c>
      <c r="I814" s="20">
        <f>Разбивка_по_щитам!L819</f>
        <v/>
      </c>
      <c r="J814" s="20">
        <f>Разбивка_по_щитам!M819</f>
        <v/>
      </c>
      <c r="K814" s="20">
        <f>Разбивка_по_щитам!N819</f>
        <v/>
      </c>
      <c r="L814" s="20"/>
      <c r="M814" s="20">
        <f>Разбивка_по_щитам!P819</f>
        <v/>
      </c>
      <c r="N814" s="20"/>
    </row>
    <row r="815" spans="2:14" x14ac:dyDescent="0.25">
      <c r="B815" s="20">
        <f>Разбивка_по_щитам!B820</f>
        <v/>
      </c>
      <c r="C815" s="20">
        <f>Разбивка_по_щитам!C820</f>
      </c>
      <c r="D815" s="20">
        <f>Разбивка_по_щитам!F820</f>
      </c>
      <c r="E815" s="20">
        <f>Разбивка_по_щитам!H820</f>
      </c>
      <c r="F815" s="20">
        <f>Разбивка_по_щитам!I820</f>
      </c>
      <c r="G815" s="20">
        <f>Разбивка_по_щитам!J820</f>
        <v/>
      </c>
      <c r="H815" s="20">
        <f>Разбивка_по_щитам!K820</f>
        <v/>
      </c>
      <c r="I815" s="20">
        <f>Разбивка_по_щитам!L820</f>
        <v/>
      </c>
      <c r="J815" s="20">
        <f>Разбивка_по_щитам!M820</f>
        <v/>
      </c>
      <c r="K815" s="20">
        <f>Разбивка_по_щитам!N820</f>
        <v/>
      </c>
      <c r="L815" s="20"/>
      <c r="M815" s="20">
        <f>Разбивка_по_щитам!P820</f>
        <v/>
      </c>
      <c r="N815" s="20"/>
    </row>
    <row r="816" spans="2:14" x14ac:dyDescent="0.25">
      <c r="B816" s="20">
        <f>Разбивка_по_щитам!B821</f>
        <v/>
      </c>
      <c r="C816" s="20">
        <f>Разбивка_по_щитам!C821</f>
      </c>
      <c r="D816" s="20">
        <f>Разбивка_по_щитам!F821</f>
      </c>
      <c r="E816" s="20">
        <f>Разбивка_по_щитам!H821</f>
      </c>
      <c r="F816" s="20">
        <f>Разбивка_по_щитам!I821</f>
      </c>
      <c r="G816" s="20">
        <f>Разбивка_по_щитам!J821</f>
        <v/>
      </c>
      <c r="H816" s="20">
        <f>Разбивка_по_щитам!K821</f>
        <v/>
      </c>
      <c r="I816" s="20">
        <f>Разбивка_по_щитам!L821</f>
        <v/>
      </c>
      <c r="J816" s="20">
        <f>Разбивка_по_щитам!M821</f>
        <v/>
      </c>
      <c r="K816" s="20">
        <f>Разбивка_по_щитам!N821</f>
        <v/>
      </c>
      <c r="L816" s="20"/>
      <c r="M816" s="20">
        <f>Разбивка_по_щитам!P821</f>
        <v/>
      </c>
      <c r="N816" s="20"/>
    </row>
    <row r="817" spans="2:14" x14ac:dyDescent="0.25">
      <c r="B817" s="20">
        <f>Разбивка_по_щитам!B822</f>
        <v/>
      </c>
      <c r="C817" s="20">
        <f>Разбивка_по_щитам!C822</f>
      </c>
      <c r="D817" s="20">
        <f>Разбивка_по_щитам!F822</f>
      </c>
      <c r="E817" s="20">
        <f>Разбивка_по_щитам!H822</f>
      </c>
      <c r="F817" s="20">
        <f>Разбивка_по_щитам!I822</f>
      </c>
      <c r="G817" s="20">
        <f>Разбивка_по_щитам!J822</f>
        <v/>
      </c>
      <c r="H817" s="20">
        <f>Разбивка_по_щитам!K822</f>
        <v/>
      </c>
      <c r="I817" s="20">
        <f>Разбивка_по_щитам!L822</f>
        <v/>
      </c>
      <c r="J817" s="20">
        <f>Разбивка_по_щитам!M822</f>
        <v/>
      </c>
      <c r="K817" s="20">
        <f>Разбивка_по_щитам!N822</f>
        <v/>
      </c>
      <c r="L817" s="20"/>
      <c r="M817" s="20">
        <f>Разбивка_по_щитам!P822</f>
        <v/>
      </c>
      <c r="N817" s="20"/>
    </row>
    <row r="818" spans="2:14" x14ac:dyDescent="0.25">
      <c r="B818" s="20">
        <f>Разбивка_по_щитам!B823</f>
        <v/>
      </c>
      <c r="C818" s="20">
        <f>Разбивка_по_щитам!C823</f>
      </c>
      <c r="D818" s="20">
        <f>Разбивка_по_щитам!F823</f>
      </c>
      <c r="E818" s="20">
        <f>Разбивка_по_щитам!H823</f>
      </c>
      <c r="F818" s="20">
        <f>Разбивка_по_щитам!I823</f>
      </c>
      <c r="G818" s="20">
        <f>Разбивка_по_щитам!J823</f>
        <v/>
      </c>
      <c r="H818" s="20">
        <f>Разбивка_по_щитам!K823</f>
        <v/>
      </c>
      <c r="I818" s="20">
        <f>Разбивка_по_щитам!L823</f>
        <v/>
      </c>
      <c r="J818" s="20">
        <f>Разбивка_по_щитам!M823</f>
        <v/>
      </c>
      <c r="K818" s="20">
        <f>Разбивка_по_щитам!N823</f>
        <v/>
      </c>
      <c r="L818" s="20"/>
      <c r="M818" s="20">
        <f>Разбивка_по_щитам!P823</f>
        <v/>
      </c>
      <c r="N818" s="20"/>
    </row>
    <row r="819" spans="2:14" x14ac:dyDescent="0.25">
      <c r="B819" s="20">
        <f>Разбивка_по_щитам!B824</f>
        <v/>
      </c>
      <c r="C819" s="20">
        <f>Разбивка_по_щитам!C824</f>
      </c>
      <c r="D819" s="20">
        <f>Разбивка_по_щитам!F824</f>
      </c>
      <c r="E819" s="20">
        <f>Разбивка_по_щитам!H824</f>
      </c>
      <c r="F819" s="20">
        <f>Разбивка_по_щитам!I824</f>
      </c>
      <c r="G819" s="20">
        <f>Разбивка_по_щитам!J824</f>
        <v/>
      </c>
      <c r="H819" s="20">
        <f>Разбивка_по_щитам!K824</f>
        <v/>
      </c>
      <c r="I819" s="20">
        <f>Разбивка_по_щитам!L824</f>
        <v/>
      </c>
      <c r="J819" s="20">
        <f>Разбивка_по_щитам!M824</f>
        <v/>
      </c>
      <c r="K819" s="20">
        <f>Разбивка_по_щитам!N824</f>
        <v/>
      </c>
      <c r="L819" s="20"/>
      <c r="M819" s="20">
        <f>Разбивка_по_щитам!P824</f>
        <v/>
      </c>
      <c r="N819" s="20"/>
    </row>
    <row r="820" spans="2:14" x14ac:dyDescent="0.25">
      <c r="B820" s="20">
        <f>Разбивка_по_щитам!B825</f>
        <v/>
      </c>
      <c r="C820" s="20">
        <f>Разбивка_по_щитам!C825</f>
      </c>
      <c r="D820" s="20">
        <f>Разбивка_по_щитам!F825</f>
      </c>
      <c r="E820" s="20">
        <f>Разбивка_по_щитам!H825</f>
      </c>
      <c r="F820" s="20">
        <f>Разбивка_по_щитам!I825</f>
      </c>
      <c r="G820" s="20">
        <f>Разбивка_по_щитам!J825</f>
        <v/>
      </c>
      <c r="H820" s="20">
        <f>Разбивка_по_щитам!K825</f>
        <v/>
      </c>
      <c r="I820" s="20">
        <f>Разбивка_по_щитам!L825</f>
        <v/>
      </c>
      <c r="J820" s="20">
        <f>Разбивка_по_щитам!M825</f>
        <v/>
      </c>
      <c r="K820" s="20">
        <f>Разбивка_по_щитам!N825</f>
        <v/>
      </c>
      <c r="L820" s="20"/>
      <c r="M820" s="20">
        <f>Разбивка_по_щитам!P825</f>
        <v/>
      </c>
      <c r="N820" s="20"/>
    </row>
    <row r="821" spans="2:14" x14ac:dyDescent="0.25">
      <c r="B821" s="20">
        <f>Разбивка_по_щитам!B826</f>
        <v/>
      </c>
      <c r="C821" s="20">
        <f>Разбивка_по_щитам!C826</f>
      </c>
      <c r="D821" s="20">
        <f>Разбивка_по_щитам!F826</f>
      </c>
      <c r="E821" s="20">
        <f>Разбивка_по_щитам!H826</f>
      </c>
      <c r="F821" s="20">
        <f>Разбивка_по_щитам!I826</f>
      </c>
      <c r="G821" s="20">
        <f>Разбивка_по_щитам!J826</f>
        <v/>
      </c>
      <c r="H821" s="20">
        <f>Разбивка_по_щитам!K826</f>
        <v/>
      </c>
      <c r="I821" s="20">
        <f>Разбивка_по_щитам!L826</f>
        <v/>
      </c>
      <c r="J821" s="20">
        <f>Разбивка_по_щитам!M826</f>
        <v/>
      </c>
      <c r="K821" s="20">
        <f>Разбивка_по_щитам!N826</f>
        <v/>
      </c>
      <c r="L821" s="20"/>
      <c r="M821" s="20">
        <f>Разбивка_по_щитам!P826</f>
        <v/>
      </c>
      <c r="N821" s="20"/>
    </row>
    <row r="822" spans="2:14" x14ac:dyDescent="0.25">
      <c r="B822" s="20">
        <f>Разбивка_по_щитам!B827</f>
        <v/>
      </c>
      <c r="C822" s="20">
        <f>Разбивка_по_щитам!C827</f>
      </c>
      <c r="D822" s="20">
        <f>Разбивка_по_щитам!F827</f>
      </c>
      <c r="E822" s="20">
        <f>Разбивка_по_щитам!H827</f>
      </c>
      <c r="F822" s="20">
        <f>Разбивка_по_щитам!I827</f>
      </c>
      <c r="G822" s="20">
        <f>Разбивка_по_щитам!J827</f>
        <v/>
      </c>
      <c r="H822" s="20">
        <f>Разбивка_по_щитам!K827</f>
        <v/>
      </c>
      <c r="I822" s="20">
        <f>Разбивка_по_щитам!L827</f>
        <v/>
      </c>
      <c r="J822" s="20">
        <f>Разбивка_по_щитам!M827</f>
        <v/>
      </c>
      <c r="K822" s="20">
        <f>Разбивка_по_щитам!N827</f>
        <v/>
      </c>
      <c r="L822" s="20"/>
      <c r="M822" s="20">
        <f>Разбивка_по_щитам!P827</f>
        <v/>
      </c>
      <c r="N822" s="20"/>
    </row>
    <row r="823" spans="2:14" x14ac:dyDescent="0.25">
      <c r="B823" s="20">
        <f>Разбивка_по_щитам!B828</f>
        <v/>
      </c>
      <c r="C823" s="20">
        <f>Разбивка_по_щитам!C828</f>
      </c>
      <c r="D823" s="20">
        <f>Разбивка_по_щитам!F828</f>
      </c>
      <c r="E823" s="20">
        <f>Разбивка_по_щитам!H828</f>
      </c>
      <c r="F823" s="20">
        <f>Разбивка_по_щитам!I828</f>
      </c>
      <c r="G823" s="20">
        <f>Разбивка_по_щитам!J828</f>
        <v/>
      </c>
      <c r="H823" s="20">
        <f>Разбивка_по_щитам!K828</f>
        <v/>
      </c>
      <c r="I823" s="20">
        <f>Разбивка_по_щитам!L828</f>
        <v/>
      </c>
      <c r="J823" s="20">
        <f>Разбивка_по_щитам!M828</f>
        <v/>
      </c>
      <c r="K823" s="20">
        <f>Разбивка_по_щитам!N828</f>
        <v/>
      </c>
      <c r="L823" s="20"/>
      <c r="M823" s="20">
        <f>Разбивка_по_щитам!P828</f>
        <v/>
      </c>
      <c r="N823" s="20"/>
    </row>
    <row r="824" spans="2:14" x14ac:dyDescent="0.25">
      <c r="B824" s="20">
        <f>Разбивка_по_щитам!B829</f>
        <v/>
      </c>
      <c r="C824" s="20">
        <f>Разбивка_по_щитам!C829</f>
      </c>
      <c r="D824" s="20">
        <f>Разбивка_по_щитам!F829</f>
      </c>
      <c r="E824" s="20">
        <f>Разбивка_по_щитам!H829</f>
      </c>
      <c r="F824" s="20">
        <f>Разбивка_по_щитам!I829</f>
      </c>
      <c r="G824" s="20">
        <f>Разбивка_по_щитам!J829</f>
        <v/>
      </c>
      <c r="H824" s="20">
        <f>Разбивка_по_щитам!K829</f>
        <v/>
      </c>
      <c r="I824" s="20">
        <f>Разбивка_по_щитам!L829</f>
        <v/>
      </c>
      <c r="J824" s="20">
        <f>Разбивка_по_щитам!M829</f>
        <v/>
      </c>
      <c r="K824" s="20">
        <f>Разбивка_по_щитам!N829</f>
        <v/>
      </c>
      <c r="L824" s="20"/>
      <c r="M824" s="20">
        <f>Разбивка_по_щитам!P829</f>
        <v/>
      </c>
      <c r="N824" s="20"/>
    </row>
    <row r="825" spans="2:14" x14ac:dyDescent="0.25">
      <c r="B825" s="20">
        <f>Разбивка_по_щитам!B830</f>
        <v/>
      </c>
      <c r="C825" s="20">
        <f>Разбивка_по_щитам!C830</f>
      </c>
      <c r="D825" s="20">
        <f>Разбивка_по_щитам!F830</f>
      </c>
      <c r="E825" s="20">
        <f>Разбивка_по_щитам!H830</f>
      </c>
      <c r="F825" s="20">
        <f>Разбивка_по_щитам!I830</f>
      </c>
      <c r="G825" s="20">
        <f>Разбивка_по_щитам!J830</f>
        <v/>
      </c>
      <c r="H825" s="20">
        <f>Разбивка_по_щитам!K830</f>
        <v/>
      </c>
      <c r="I825" s="20">
        <f>Разбивка_по_щитам!L830</f>
        <v/>
      </c>
      <c r="J825" s="20">
        <f>Разбивка_по_щитам!M830</f>
        <v/>
      </c>
      <c r="K825" s="20">
        <f>Разбивка_по_щитам!N830</f>
        <v/>
      </c>
      <c r="L825" s="20"/>
      <c r="M825" s="20">
        <f>Разбивка_по_щитам!P830</f>
        <v/>
      </c>
      <c r="N825" s="20"/>
    </row>
    <row r="826" spans="2:14" x14ac:dyDescent="0.25">
      <c r="B826" s="20">
        <f>Разбивка_по_щитам!B831</f>
        <v/>
      </c>
      <c r="C826" s="20">
        <f>Разбивка_по_щитам!C831</f>
      </c>
      <c r="D826" s="20">
        <f>Разбивка_по_щитам!F831</f>
      </c>
      <c r="E826" s="20">
        <f>Разбивка_по_щитам!H831</f>
      </c>
      <c r="F826" s="20">
        <f>Разбивка_по_щитам!I831</f>
      </c>
      <c r="G826" s="20">
        <f>Разбивка_по_щитам!J831</f>
        <v/>
      </c>
      <c r="H826" s="20">
        <f>Разбивка_по_щитам!K831</f>
        <v/>
      </c>
      <c r="I826" s="20">
        <f>Разбивка_по_щитам!L831</f>
        <v/>
      </c>
      <c r="J826" s="20">
        <f>Разбивка_по_щитам!M831</f>
        <v/>
      </c>
      <c r="K826" s="20">
        <f>Разбивка_по_щитам!N831</f>
        <v/>
      </c>
      <c r="L826" s="20"/>
      <c r="M826" s="20">
        <f>Разбивка_по_щитам!P831</f>
        <v/>
      </c>
      <c r="N826" s="20"/>
    </row>
    <row r="827" spans="2:14" x14ac:dyDescent="0.25">
      <c r="B827" s="20">
        <f>Разбивка_по_щитам!B832</f>
        <v/>
      </c>
      <c r="C827" s="20">
        <f>Разбивка_по_щитам!C832</f>
      </c>
      <c r="D827" s="20">
        <f>Разбивка_по_щитам!F832</f>
      </c>
      <c r="E827" s="20">
        <f>Разбивка_по_щитам!H832</f>
      </c>
      <c r="F827" s="20">
        <f>Разбивка_по_щитам!I832</f>
      </c>
      <c r="G827" s="20">
        <f>Разбивка_по_щитам!J832</f>
        <v/>
      </c>
      <c r="H827" s="20">
        <f>Разбивка_по_щитам!K832</f>
        <v/>
      </c>
      <c r="I827" s="20">
        <f>Разбивка_по_щитам!L832</f>
        <v/>
      </c>
      <c r="J827" s="20">
        <f>Разбивка_по_щитам!M832</f>
        <v/>
      </c>
      <c r="K827" s="20">
        <f>Разбивка_по_щитам!N832</f>
        <v/>
      </c>
      <c r="L827" s="20"/>
      <c r="M827" s="20">
        <f>Разбивка_по_щитам!P832</f>
        <v/>
      </c>
      <c r="N827" s="20"/>
    </row>
    <row r="828" spans="2:14" x14ac:dyDescent="0.25">
      <c r="B828" s="20">
        <f>Разбивка_по_щитам!B833</f>
        <v/>
      </c>
      <c r="C828" s="20">
        <f>Разбивка_по_щитам!C833</f>
      </c>
      <c r="D828" s="20">
        <f>Разбивка_по_щитам!F833</f>
      </c>
      <c r="E828" s="20">
        <f>Разбивка_по_щитам!H833</f>
      </c>
      <c r="F828" s="20">
        <f>Разбивка_по_щитам!I833</f>
      </c>
      <c r="G828" s="20">
        <f>Разбивка_по_щитам!J833</f>
        <v/>
      </c>
      <c r="H828" s="20">
        <f>Разбивка_по_щитам!K833</f>
        <v/>
      </c>
      <c r="I828" s="20">
        <f>Разбивка_по_щитам!L833</f>
        <v/>
      </c>
      <c r="J828" s="20">
        <f>Разбивка_по_щитам!M833</f>
        <v/>
      </c>
      <c r="K828" s="20">
        <f>Разбивка_по_щитам!N833</f>
        <v/>
      </c>
      <c r="L828" s="20"/>
      <c r="M828" s="20">
        <f>Разбивка_по_щитам!P833</f>
        <v/>
      </c>
      <c r="N828" s="20"/>
    </row>
    <row r="829" spans="2:14" x14ac:dyDescent="0.25">
      <c r="B829" s="20">
        <f>Разбивка_по_щитам!B834</f>
        <v/>
      </c>
      <c r="C829" s="20">
        <f>Разбивка_по_щитам!C834</f>
      </c>
      <c r="D829" s="20">
        <f>Разбивка_по_щитам!F834</f>
      </c>
      <c r="E829" s="20">
        <f>Разбивка_по_щитам!H834</f>
      </c>
      <c r="F829" s="20">
        <f>Разбивка_по_щитам!I834</f>
      </c>
      <c r="G829" s="20">
        <f>Разбивка_по_щитам!J834</f>
        <v/>
      </c>
      <c r="H829" s="20">
        <f>Разбивка_по_щитам!K834</f>
        <v/>
      </c>
      <c r="I829" s="20">
        <f>Разбивка_по_щитам!L834</f>
        <v/>
      </c>
      <c r="J829" s="20">
        <f>Разбивка_по_щитам!M834</f>
        <v/>
      </c>
      <c r="K829" s="20">
        <f>Разбивка_по_щитам!N834</f>
        <v/>
      </c>
      <c r="L829" s="20"/>
      <c r="M829" s="20">
        <f>Разбивка_по_щитам!P834</f>
        <v/>
      </c>
      <c r="N829" s="20"/>
    </row>
    <row r="830" spans="2:14" x14ac:dyDescent="0.25">
      <c r="B830" s="20">
        <f>Разбивка_по_щитам!B835</f>
        <v/>
      </c>
      <c r="C830" s="20">
        <f>Разбивка_по_щитам!C835</f>
      </c>
      <c r="D830" s="20">
        <f>Разбивка_по_щитам!F835</f>
      </c>
      <c r="E830" s="20">
        <f>Разбивка_по_щитам!H835</f>
      </c>
      <c r="F830" s="20">
        <f>Разбивка_по_щитам!I835</f>
      </c>
      <c r="G830" s="20">
        <f>Разбивка_по_щитам!J835</f>
        <v/>
      </c>
      <c r="H830" s="20">
        <f>Разбивка_по_щитам!K835</f>
        <v/>
      </c>
      <c r="I830" s="20">
        <f>Разбивка_по_щитам!L835</f>
        <v/>
      </c>
      <c r="J830" s="20">
        <f>Разбивка_по_щитам!M835</f>
        <v/>
      </c>
      <c r="K830" s="20">
        <f>Разбивка_по_щитам!N835</f>
        <v/>
      </c>
      <c r="L830" s="20"/>
      <c r="M830" s="20">
        <f>Разбивка_по_щитам!P835</f>
        <v/>
      </c>
      <c r="N830" s="20"/>
    </row>
    <row r="831" spans="2:14" x14ac:dyDescent="0.25">
      <c r="B831" s="20">
        <f>Разбивка_по_щитам!B836</f>
        <v/>
      </c>
      <c r="C831" s="20">
        <f>Разбивка_по_щитам!C836</f>
      </c>
      <c r="D831" s="20">
        <f>Разбивка_по_щитам!F836</f>
      </c>
      <c r="E831" s="20">
        <f>Разбивка_по_щитам!H836</f>
      </c>
      <c r="F831" s="20">
        <f>Разбивка_по_щитам!I836</f>
      </c>
      <c r="G831" s="20">
        <f>Разбивка_по_щитам!J836</f>
        <v/>
      </c>
      <c r="H831" s="20">
        <f>Разбивка_по_щитам!K836</f>
        <v/>
      </c>
      <c r="I831" s="20">
        <f>Разбивка_по_щитам!L836</f>
        <v/>
      </c>
      <c r="J831" s="20">
        <f>Разбивка_по_щитам!M836</f>
        <v/>
      </c>
      <c r="K831" s="20">
        <f>Разбивка_по_щитам!N836</f>
        <v/>
      </c>
      <c r="L831" s="20"/>
      <c r="M831" s="20">
        <f>Разбивка_по_щитам!P836</f>
        <v/>
      </c>
      <c r="N831" s="20"/>
    </row>
    <row r="832" spans="2:14" x14ac:dyDescent="0.25">
      <c r="B832" s="20">
        <f>Разбивка_по_щитам!B837</f>
        <v/>
      </c>
      <c r="C832" s="20">
        <f>Разбивка_по_щитам!C837</f>
      </c>
      <c r="D832" s="20">
        <f>Разбивка_по_щитам!F837</f>
      </c>
      <c r="E832" s="20">
        <f>Разбивка_по_щитам!H837</f>
      </c>
      <c r="F832" s="20">
        <f>Разбивка_по_щитам!I837</f>
      </c>
      <c r="G832" s="20">
        <f>Разбивка_по_щитам!J837</f>
        <v/>
      </c>
      <c r="H832" s="20">
        <f>Разбивка_по_щитам!K837</f>
        <v/>
      </c>
      <c r="I832" s="20">
        <f>Разбивка_по_щитам!L837</f>
        <v/>
      </c>
      <c r="J832" s="20">
        <f>Разбивка_по_щитам!M837</f>
        <v/>
      </c>
      <c r="K832" s="20">
        <f>Разбивка_по_щитам!N837</f>
        <v/>
      </c>
      <c r="L832" s="20"/>
      <c r="M832" s="20">
        <f>Разбивка_по_щитам!P837</f>
        <v/>
      </c>
      <c r="N832" s="20"/>
    </row>
    <row r="833" spans="2:14" x14ac:dyDescent="0.25">
      <c r="B833" s="20">
        <f>Разбивка_по_щитам!B838</f>
        <v/>
      </c>
      <c r="C833" s="20">
        <f>Разбивка_по_щитам!C838</f>
      </c>
      <c r="D833" s="20">
        <f>Разбивка_по_щитам!F838</f>
      </c>
      <c r="E833" s="20">
        <f>Разбивка_по_щитам!H838</f>
      </c>
      <c r="F833" s="20">
        <f>Разбивка_по_щитам!I838</f>
      </c>
      <c r="G833" s="20">
        <f>Разбивка_по_щитам!J838</f>
        <v/>
      </c>
      <c r="H833" s="20">
        <f>Разбивка_по_щитам!K838</f>
        <v/>
      </c>
      <c r="I833" s="20">
        <f>Разбивка_по_щитам!L838</f>
        <v/>
      </c>
      <c r="J833" s="20">
        <f>Разбивка_по_щитам!M838</f>
        <v/>
      </c>
      <c r="K833" s="20">
        <f>Разбивка_по_щитам!N838</f>
        <v/>
      </c>
      <c r="L833" s="20"/>
      <c r="M833" s="20">
        <f>Разбивка_по_щитам!P838</f>
        <v/>
      </c>
      <c r="N833" s="20"/>
    </row>
    <row r="834" spans="2:14" x14ac:dyDescent="0.25">
      <c r="B834" s="20">
        <f>Разбивка_по_щитам!B839</f>
        <v/>
      </c>
      <c r="C834" s="20">
        <f>Разбивка_по_щитам!C839</f>
      </c>
      <c r="D834" s="20">
        <f>Разбивка_по_щитам!F839</f>
      </c>
      <c r="E834" s="20">
        <f>Разбивка_по_щитам!H839</f>
      </c>
      <c r="F834" s="20">
        <f>Разбивка_по_щитам!I839</f>
      </c>
      <c r="G834" s="20">
        <f>Разбивка_по_щитам!J839</f>
        <v/>
      </c>
      <c r="H834" s="20">
        <f>Разбивка_по_щитам!K839</f>
        <v/>
      </c>
      <c r="I834" s="20">
        <f>Разбивка_по_щитам!L839</f>
        <v/>
      </c>
      <c r="J834" s="20">
        <f>Разбивка_по_щитам!M839</f>
        <v/>
      </c>
      <c r="K834" s="20">
        <f>Разбивка_по_щитам!N839</f>
        <v/>
      </c>
      <c r="L834" s="20"/>
      <c r="M834" s="20">
        <f>Разбивка_по_щитам!P839</f>
        <v/>
      </c>
      <c r="N834" s="20"/>
    </row>
    <row r="835" spans="2:14" x14ac:dyDescent="0.25">
      <c r="B835" s="20">
        <f>Разбивка_по_щитам!B840</f>
        <v/>
      </c>
      <c r="C835" s="20">
        <f>Разбивка_по_щитам!C840</f>
      </c>
      <c r="D835" s="20">
        <f>Разбивка_по_щитам!F840</f>
      </c>
      <c r="E835" s="20">
        <f>Разбивка_по_щитам!H840</f>
      </c>
      <c r="F835" s="20">
        <f>Разбивка_по_щитам!I840</f>
      </c>
      <c r="G835" s="20">
        <f>Разбивка_по_щитам!J840</f>
        <v/>
      </c>
      <c r="H835" s="20">
        <f>Разбивка_по_щитам!K840</f>
        <v/>
      </c>
      <c r="I835" s="20">
        <f>Разбивка_по_щитам!L840</f>
        <v/>
      </c>
      <c r="J835" s="20">
        <f>Разбивка_по_щитам!M840</f>
        <v/>
      </c>
      <c r="K835" s="20">
        <f>Разбивка_по_щитам!N840</f>
        <v/>
      </c>
      <c r="L835" s="20"/>
      <c r="M835" s="20">
        <f>Разбивка_по_щитам!P840</f>
        <v/>
      </c>
      <c r="N835" s="20"/>
    </row>
    <row r="836" spans="2:14" x14ac:dyDescent="0.25">
      <c r="B836" s="20">
        <f>Разбивка_по_щитам!B841</f>
        <v/>
      </c>
      <c r="C836" s="20">
        <f>Разбивка_по_щитам!C841</f>
      </c>
      <c r="D836" s="20">
        <f>Разбивка_по_щитам!F841</f>
      </c>
      <c r="E836" s="20">
        <f>Разбивка_по_щитам!H841</f>
      </c>
      <c r="F836" s="20">
        <f>Разбивка_по_щитам!I841</f>
      </c>
      <c r="G836" s="20">
        <f>Разбивка_по_щитам!J841</f>
        <v/>
      </c>
      <c r="H836" s="20">
        <f>Разбивка_по_щитам!K841</f>
        <v/>
      </c>
      <c r="I836" s="20">
        <f>Разбивка_по_щитам!L841</f>
        <v/>
      </c>
      <c r="J836" s="20">
        <f>Разбивка_по_щитам!M841</f>
        <v/>
      </c>
      <c r="K836" s="20">
        <f>Разбивка_по_щитам!N841</f>
        <v/>
      </c>
      <c r="L836" s="20"/>
      <c r="M836" s="20">
        <f>Разбивка_по_щитам!P841</f>
        <v/>
      </c>
      <c r="N836" s="20"/>
    </row>
    <row r="837" spans="2:14" x14ac:dyDescent="0.25">
      <c r="B837" s="20">
        <f>Разбивка_по_щитам!B842</f>
        <v/>
      </c>
      <c r="C837" s="20">
        <f>Разбивка_по_щитам!C842</f>
      </c>
      <c r="D837" s="20">
        <f>Разбивка_по_щитам!F842</f>
      </c>
      <c r="E837" s="20">
        <f>Разбивка_по_щитам!H842</f>
      </c>
      <c r="F837" s="20">
        <f>Разбивка_по_щитам!I842</f>
      </c>
      <c r="G837" s="20">
        <f>Разбивка_по_щитам!J842</f>
        <v/>
      </c>
      <c r="H837" s="20">
        <f>Разбивка_по_щитам!K842</f>
        <v/>
      </c>
      <c r="I837" s="20">
        <f>Разбивка_по_щитам!L842</f>
        <v/>
      </c>
      <c r="J837" s="20">
        <f>Разбивка_по_щитам!M842</f>
        <v/>
      </c>
      <c r="K837" s="20">
        <f>Разбивка_по_щитам!N842</f>
        <v/>
      </c>
      <c r="L837" s="20"/>
      <c r="M837" s="20">
        <f>Разбивка_по_щитам!P842</f>
        <v/>
      </c>
      <c r="N837" s="20"/>
    </row>
    <row r="838" spans="2:14" x14ac:dyDescent="0.25">
      <c r="B838" s="20">
        <f>Разбивка_по_щитам!B843</f>
        <v/>
      </c>
      <c r="C838" s="20">
        <f>Разбивка_по_щитам!C843</f>
      </c>
      <c r="D838" s="20">
        <f>Разбивка_по_щитам!F843</f>
      </c>
      <c r="E838" s="20">
        <f>Разбивка_по_щитам!H843</f>
      </c>
      <c r="F838" s="20">
        <f>Разбивка_по_щитам!I843</f>
      </c>
      <c r="G838" s="20">
        <f>Разбивка_по_щитам!J843</f>
        <v/>
      </c>
      <c r="H838" s="20">
        <f>Разбивка_по_щитам!K843</f>
        <v/>
      </c>
      <c r="I838" s="20">
        <f>Разбивка_по_щитам!L843</f>
        <v/>
      </c>
      <c r="J838" s="20">
        <f>Разбивка_по_щитам!M843</f>
        <v/>
      </c>
      <c r="K838" s="20">
        <f>Разбивка_по_щитам!N843</f>
        <v/>
      </c>
      <c r="L838" s="20"/>
      <c r="M838" s="20">
        <f>Разбивка_по_щитам!P843</f>
        <v/>
      </c>
      <c r="N838" s="20"/>
    </row>
    <row r="839" spans="2:14" x14ac:dyDescent="0.25">
      <c r="B839" s="20">
        <f>Разбивка_по_щитам!B844</f>
        <v/>
      </c>
      <c r="C839" s="20">
        <f>Разбивка_по_щитам!C844</f>
      </c>
      <c r="D839" s="20">
        <f>Разбивка_по_щитам!F844</f>
      </c>
      <c r="E839" s="20">
        <f>Разбивка_по_щитам!H844</f>
      </c>
      <c r="F839" s="20">
        <f>Разбивка_по_щитам!I844</f>
      </c>
      <c r="G839" s="20">
        <f>Разбивка_по_щитам!J844</f>
        <v/>
      </c>
      <c r="H839" s="20">
        <f>Разбивка_по_щитам!K844</f>
        <v/>
      </c>
      <c r="I839" s="20">
        <f>Разбивка_по_щитам!L844</f>
        <v/>
      </c>
      <c r="J839" s="20">
        <f>Разбивка_по_щитам!M844</f>
        <v/>
      </c>
      <c r="K839" s="20">
        <f>Разбивка_по_щитам!N844</f>
        <v/>
      </c>
      <c r="L839" s="20"/>
      <c r="M839" s="20">
        <f>Разбивка_по_щитам!P844</f>
        <v/>
      </c>
      <c r="N839" s="20"/>
    </row>
    <row r="840" spans="2:14" x14ac:dyDescent="0.25">
      <c r="B840" s="20">
        <f>Разбивка_по_щитам!B845</f>
        <v/>
      </c>
      <c r="C840" s="20">
        <f>Разбивка_по_щитам!C845</f>
      </c>
      <c r="D840" s="20">
        <f>Разбивка_по_щитам!F845</f>
      </c>
      <c r="E840" s="20">
        <f>Разбивка_по_щитам!H845</f>
      </c>
      <c r="F840" s="20">
        <f>Разбивка_по_щитам!I845</f>
      </c>
      <c r="G840" s="20">
        <f>Разбивка_по_щитам!J845</f>
        <v/>
      </c>
      <c r="H840" s="20">
        <f>Разбивка_по_щитам!K845</f>
        <v/>
      </c>
      <c r="I840" s="20">
        <f>Разбивка_по_щитам!L845</f>
        <v/>
      </c>
      <c r="J840" s="20">
        <f>Разбивка_по_щитам!M845</f>
        <v/>
      </c>
      <c r="K840" s="20">
        <f>Разбивка_по_щитам!N845</f>
        <v/>
      </c>
      <c r="L840" s="20"/>
      <c r="M840" s="20">
        <f>Разбивка_по_щитам!P845</f>
        <v/>
      </c>
      <c r="N840" s="20"/>
    </row>
    <row r="841" spans="2:14" x14ac:dyDescent="0.25">
      <c r="B841" s="20">
        <f>Разбивка_по_щитам!B846</f>
        <v/>
      </c>
      <c r="C841" s="20">
        <f>Разбивка_по_щитам!C846</f>
      </c>
      <c r="D841" s="20">
        <f>Разбивка_по_щитам!F846</f>
      </c>
      <c r="E841" s="20">
        <f>Разбивка_по_щитам!H846</f>
      </c>
      <c r="F841" s="20">
        <f>Разбивка_по_щитам!I846</f>
      </c>
      <c r="G841" s="20">
        <f>Разбивка_по_щитам!J846</f>
        <v/>
      </c>
      <c r="H841" s="20">
        <f>Разбивка_по_щитам!K846</f>
        <v/>
      </c>
      <c r="I841" s="20">
        <f>Разбивка_по_щитам!L846</f>
        <v/>
      </c>
      <c r="J841" s="20">
        <f>Разбивка_по_щитам!M846</f>
        <v/>
      </c>
      <c r="K841" s="20">
        <f>Разбивка_по_щитам!N846</f>
        <v/>
      </c>
      <c r="L841" s="20"/>
      <c r="M841" s="20">
        <f>Разбивка_по_щитам!P846</f>
        <v/>
      </c>
      <c r="N841" s="20"/>
    </row>
    <row r="842" spans="2:14" x14ac:dyDescent="0.25">
      <c r="B842" s="20">
        <f>Разбивка_по_щитам!B847</f>
        <v/>
      </c>
      <c r="C842" s="20">
        <f>Разбивка_по_щитам!C847</f>
      </c>
      <c r="D842" s="20">
        <f>Разбивка_по_щитам!F847</f>
      </c>
      <c r="E842" s="20">
        <f>Разбивка_по_щитам!H847</f>
      </c>
      <c r="F842" s="20">
        <f>Разбивка_по_щитам!I847</f>
      </c>
      <c r="G842" s="20">
        <f>Разбивка_по_щитам!J847</f>
        <v/>
      </c>
      <c r="H842" s="20">
        <f>Разбивка_по_щитам!K847</f>
        <v/>
      </c>
      <c r="I842" s="20">
        <f>Разбивка_по_щитам!L847</f>
        <v/>
      </c>
      <c r="J842" s="20">
        <f>Разбивка_по_щитам!M847</f>
        <v/>
      </c>
      <c r="K842" s="20">
        <f>Разбивка_по_щитам!N847</f>
        <v/>
      </c>
      <c r="L842" s="20"/>
      <c r="M842" s="20">
        <f>Разбивка_по_щитам!P847</f>
        <v/>
      </c>
      <c r="N842" s="20"/>
    </row>
    <row r="843" spans="2:14" x14ac:dyDescent="0.25">
      <c r="B843" s="20">
        <f>Разбивка_по_щитам!B848</f>
        <v/>
      </c>
      <c r="C843" s="20">
        <f>Разбивка_по_щитам!C848</f>
      </c>
      <c r="D843" s="20">
        <f>Разбивка_по_щитам!F848</f>
      </c>
      <c r="E843" s="20">
        <f>Разбивка_по_щитам!H848</f>
      </c>
      <c r="F843" s="20">
        <f>Разбивка_по_щитам!I848</f>
      </c>
      <c r="G843" s="20">
        <f>Разбивка_по_щитам!J848</f>
        <v/>
      </c>
      <c r="H843" s="20">
        <f>Разбивка_по_щитам!K848</f>
        <v/>
      </c>
      <c r="I843" s="20">
        <f>Разбивка_по_щитам!L848</f>
        <v/>
      </c>
      <c r="J843" s="20">
        <f>Разбивка_по_щитам!M848</f>
        <v/>
      </c>
      <c r="K843" s="20">
        <f>Разбивка_по_щитам!N848</f>
        <v/>
      </c>
      <c r="L843" s="20"/>
      <c r="M843" s="20">
        <f>Разбивка_по_щитам!P848</f>
        <v/>
      </c>
      <c r="N843" s="20"/>
    </row>
    <row r="844" spans="2:14" x14ac:dyDescent="0.25">
      <c r="B844" s="20">
        <f>Разбивка_по_щитам!B849</f>
        <v/>
      </c>
      <c r="C844" s="20">
        <f>Разбивка_по_щитам!C849</f>
      </c>
      <c r="D844" s="20">
        <f>Разбивка_по_щитам!F849</f>
      </c>
      <c r="E844" s="20">
        <f>Разбивка_по_щитам!H849</f>
      </c>
      <c r="F844" s="20">
        <f>Разбивка_по_щитам!I849</f>
      </c>
      <c r="G844" s="20">
        <f>Разбивка_по_щитам!J849</f>
        <v/>
      </c>
      <c r="H844" s="20">
        <f>Разбивка_по_щитам!K849</f>
        <v/>
      </c>
      <c r="I844" s="20">
        <f>Разбивка_по_щитам!L849</f>
        <v/>
      </c>
      <c r="J844" s="20">
        <f>Разбивка_по_щитам!M849</f>
        <v/>
      </c>
      <c r="K844" s="20">
        <f>Разбивка_по_щитам!N849</f>
        <v/>
      </c>
      <c r="L844" s="20"/>
      <c r="M844" s="20">
        <f>Разбивка_по_щитам!P849</f>
        <v/>
      </c>
      <c r="N844" s="20"/>
    </row>
    <row r="845" spans="2:14" x14ac:dyDescent="0.25">
      <c r="B845" s="20">
        <f>Разбивка_по_щитам!B850</f>
        <v/>
      </c>
      <c r="C845" s="20">
        <f>Разбивка_по_щитам!C850</f>
      </c>
      <c r="D845" s="20">
        <f>Разбивка_по_щитам!F850</f>
      </c>
      <c r="E845" s="20">
        <f>Разбивка_по_щитам!H850</f>
      </c>
      <c r="F845" s="20">
        <f>Разбивка_по_щитам!I850</f>
      </c>
      <c r="G845" s="20">
        <f>Разбивка_по_щитам!J850</f>
        <v/>
      </c>
      <c r="H845" s="20">
        <f>Разбивка_по_щитам!K850</f>
        <v/>
      </c>
      <c r="I845" s="20">
        <f>Разбивка_по_щитам!L850</f>
        <v/>
      </c>
      <c r="J845" s="20">
        <f>Разбивка_по_щитам!M850</f>
        <v/>
      </c>
      <c r="K845" s="20">
        <f>Разбивка_по_щитам!N850</f>
        <v/>
      </c>
      <c r="L845" s="20"/>
      <c r="M845" s="20">
        <f>Разбивка_по_щитам!P850</f>
        <v/>
      </c>
      <c r="N845" s="20"/>
    </row>
    <row r="846" spans="2:14" x14ac:dyDescent="0.25">
      <c r="B846" s="20">
        <f>Разбивка_по_щитам!B851</f>
        <v/>
      </c>
      <c r="C846" s="20">
        <f>Разбивка_по_щитам!C851</f>
      </c>
      <c r="D846" s="20">
        <f>Разбивка_по_щитам!F851</f>
      </c>
      <c r="E846" s="20">
        <f>Разбивка_по_щитам!H851</f>
      </c>
      <c r="F846" s="20">
        <f>Разбивка_по_щитам!I851</f>
      </c>
      <c r="G846" s="20">
        <f>Разбивка_по_щитам!J851</f>
        <v/>
      </c>
      <c r="H846" s="20">
        <f>Разбивка_по_щитам!K851</f>
        <v/>
      </c>
      <c r="I846" s="20">
        <f>Разбивка_по_щитам!L851</f>
        <v/>
      </c>
      <c r="J846" s="20">
        <f>Разбивка_по_щитам!M851</f>
        <v/>
      </c>
      <c r="K846" s="20">
        <f>Разбивка_по_щитам!N851</f>
        <v/>
      </c>
      <c r="L846" s="20"/>
      <c r="M846" s="20">
        <f>Разбивка_по_щитам!P851</f>
        <v/>
      </c>
      <c r="N846" s="20"/>
    </row>
    <row r="847" spans="2:14" x14ac:dyDescent="0.25">
      <c r="B847" s="20">
        <f>Разбивка_по_щитам!B852</f>
        <v/>
      </c>
      <c r="C847" s="20">
        <f>Разбивка_по_щитам!C852</f>
      </c>
      <c r="D847" s="20">
        <f>Разбивка_по_щитам!F852</f>
      </c>
      <c r="E847" s="20">
        <f>Разбивка_по_щитам!H852</f>
      </c>
      <c r="F847" s="20">
        <f>Разбивка_по_щитам!I852</f>
      </c>
      <c r="G847" s="20">
        <f>Разбивка_по_щитам!J852</f>
        <v/>
      </c>
      <c r="H847" s="20">
        <f>Разбивка_по_щитам!K852</f>
        <v/>
      </c>
      <c r="I847" s="20">
        <f>Разбивка_по_щитам!L852</f>
        <v/>
      </c>
      <c r="J847" s="20">
        <f>Разбивка_по_щитам!M852</f>
        <v/>
      </c>
      <c r="K847" s="20">
        <f>Разбивка_по_щитам!N852</f>
        <v/>
      </c>
      <c r="L847" s="20"/>
      <c r="M847" s="20">
        <f>Разбивка_по_щитам!P852</f>
        <v/>
      </c>
      <c r="N847" s="20"/>
    </row>
    <row r="848" spans="2:14" x14ac:dyDescent="0.25">
      <c r="B848" s="20">
        <f>Разбивка_по_щитам!B853</f>
        <v/>
      </c>
      <c r="C848" s="20">
        <f>Разбивка_по_щитам!C853</f>
      </c>
      <c r="D848" s="20">
        <f>Разбивка_по_щитам!F853</f>
      </c>
      <c r="E848" s="20">
        <f>Разбивка_по_щитам!H853</f>
      </c>
      <c r="F848" s="20">
        <f>Разбивка_по_щитам!I853</f>
      </c>
      <c r="G848" s="20">
        <f>Разбивка_по_щитам!J853</f>
        <v/>
      </c>
      <c r="H848" s="20">
        <f>Разбивка_по_щитам!K853</f>
        <v/>
      </c>
      <c r="I848" s="20">
        <f>Разбивка_по_щитам!L853</f>
        <v/>
      </c>
      <c r="J848" s="20">
        <f>Разбивка_по_щитам!M853</f>
        <v/>
      </c>
      <c r="K848" s="20">
        <f>Разбивка_по_щитам!N853</f>
        <v/>
      </c>
      <c r="L848" s="20"/>
      <c r="M848" s="20">
        <f>Разбивка_по_щитам!P853</f>
        <v/>
      </c>
      <c r="N848" s="20"/>
    </row>
    <row r="849" spans="2:14" x14ac:dyDescent="0.25">
      <c r="B849" s="20">
        <f>Разбивка_по_щитам!B854</f>
        <v/>
      </c>
      <c r="C849" s="20">
        <f>Разбивка_по_щитам!C854</f>
      </c>
      <c r="D849" s="20">
        <f>Разбивка_по_щитам!F854</f>
      </c>
      <c r="E849" s="20">
        <f>Разбивка_по_щитам!H854</f>
      </c>
      <c r="F849" s="20">
        <f>Разбивка_по_щитам!I854</f>
      </c>
      <c r="G849" s="20">
        <f>Разбивка_по_щитам!J854</f>
        <v/>
      </c>
      <c r="H849" s="20">
        <f>Разбивка_по_щитам!K854</f>
        <v/>
      </c>
      <c r="I849" s="20">
        <f>Разбивка_по_щитам!L854</f>
        <v/>
      </c>
      <c r="J849" s="20">
        <f>Разбивка_по_щитам!M854</f>
        <v/>
      </c>
      <c r="K849" s="20">
        <f>Разбивка_по_щитам!N854</f>
        <v/>
      </c>
      <c r="L849" s="20"/>
      <c r="M849" s="20">
        <f>Разбивка_по_щитам!P854</f>
        <v/>
      </c>
      <c r="N849" s="20"/>
    </row>
    <row r="850" spans="2:14" x14ac:dyDescent="0.25">
      <c r="B850" s="20">
        <f>Разбивка_по_щитам!B855</f>
        <v/>
      </c>
      <c r="C850" s="20">
        <f>Разбивка_по_щитам!C855</f>
      </c>
      <c r="D850" s="20">
        <f>Разбивка_по_щитам!F855</f>
      </c>
      <c r="E850" s="20">
        <f>Разбивка_по_щитам!H855</f>
      </c>
      <c r="F850" s="20">
        <f>Разбивка_по_щитам!I855</f>
      </c>
      <c r="G850" s="20">
        <f>Разбивка_по_щитам!J855</f>
        <v/>
      </c>
      <c r="H850" s="20">
        <f>Разбивка_по_щитам!K855</f>
        <v/>
      </c>
      <c r="I850" s="20">
        <f>Разбивка_по_щитам!L855</f>
        <v/>
      </c>
      <c r="J850" s="20">
        <f>Разбивка_по_щитам!M855</f>
        <v/>
      </c>
      <c r="K850" s="20">
        <f>Разбивка_по_щитам!N855</f>
        <v/>
      </c>
      <c r="L850" s="20"/>
      <c r="M850" s="20">
        <f>Разбивка_по_щитам!P855</f>
        <v/>
      </c>
      <c r="N850" s="20"/>
    </row>
    <row r="851" spans="2:14" x14ac:dyDescent="0.25">
      <c r="B851" s="20">
        <f>Разбивка_по_щитам!B856</f>
        <v/>
      </c>
      <c r="C851" s="20">
        <f>Разбивка_по_щитам!C856</f>
      </c>
      <c r="D851" s="20">
        <f>Разбивка_по_щитам!F856</f>
      </c>
      <c r="E851" s="20">
        <f>Разбивка_по_щитам!H856</f>
      </c>
      <c r="F851" s="20">
        <f>Разбивка_по_щитам!I856</f>
      </c>
      <c r="G851" s="20">
        <f>Разбивка_по_щитам!J856</f>
        <v/>
      </c>
      <c r="H851" s="20">
        <f>Разбивка_по_щитам!K856</f>
        <v/>
      </c>
      <c r="I851" s="20">
        <f>Разбивка_по_щитам!L856</f>
        <v/>
      </c>
      <c r="J851" s="20">
        <f>Разбивка_по_щитам!M856</f>
        <v/>
      </c>
      <c r="K851" s="20">
        <f>Разбивка_по_щитам!N856</f>
        <v/>
      </c>
      <c r="L851" s="20"/>
      <c r="M851" s="20">
        <f>Разбивка_по_щитам!P856</f>
        <v/>
      </c>
      <c r="N851" s="20"/>
    </row>
    <row r="852" spans="2:14" x14ac:dyDescent="0.25">
      <c r="B852" s="20">
        <f>Разбивка_по_щитам!B857</f>
        <v/>
      </c>
      <c r="C852" s="20">
        <f>Разбивка_по_щитам!C857</f>
      </c>
      <c r="D852" s="20">
        <f>Разбивка_по_щитам!F857</f>
      </c>
      <c r="E852" s="20">
        <f>Разбивка_по_щитам!H857</f>
      </c>
      <c r="F852" s="20">
        <f>Разбивка_по_щитам!I857</f>
      </c>
      <c r="G852" s="20">
        <f>Разбивка_по_щитам!J857</f>
        <v/>
      </c>
      <c r="H852" s="20">
        <f>Разбивка_по_щитам!K857</f>
        <v/>
      </c>
      <c r="I852" s="20">
        <f>Разбивка_по_щитам!L857</f>
        <v/>
      </c>
      <c r="J852" s="20">
        <f>Разбивка_по_щитам!M857</f>
        <v/>
      </c>
      <c r="K852" s="20">
        <f>Разбивка_по_щитам!N857</f>
        <v/>
      </c>
      <c r="L852" s="20"/>
      <c r="M852" s="20">
        <f>Разбивка_по_щитам!P857</f>
        <v/>
      </c>
      <c r="N852" s="20"/>
    </row>
    <row r="853" spans="2:14" x14ac:dyDescent="0.25">
      <c r="B853" s="20">
        <f>Разбивка_по_щитам!B858</f>
        <v/>
      </c>
      <c r="C853" s="20">
        <f>Разбивка_по_щитам!C858</f>
      </c>
      <c r="D853" s="20">
        <f>Разбивка_по_щитам!F858</f>
      </c>
      <c r="E853" s="20">
        <f>Разбивка_по_щитам!H858</f>
      </c>
      <c r="F853" s="20">
        <f>Разбивка_по_щитам!I858</f>
      </c>
      <c r="G853" s="20">
        <f>Разбивка_по_щитам!J858</f>
        <v/>
      </c>
      <c r="H853" s="20">
        <f>Разбивка_по_щитам!K858</f>
        <v/>
      </c>
      <c r="I853" s="20">
        <f>Разбивка_по_щитам!L858</f>
        <v/>
      </c>
      <c r="J853" s="20">
        <f>Разбивка_по_щитам!M858</f>
        <v/>
      </c>
      <c r="K853" s="20">
        <f>Разбивка_по_щитам!N858</f>
        <v/>
      </c>
      <c r="L853" s="20"/>
      <c r="M853" s="20">
        <f>Разбивка_по_щитам!P858</f>
        <v/>
      </c>
      <c r="N853" s="20"/>
    </row>
    <row r="854" spans="2:14" x14ac:dyDescent="0.25">
      <c r="B854" s="20">
        <f>Разбивка_по_щитам!B859</f>
        <v/>
      </c>
      <c r="C854" s="20">
        <f>Разбивка_по_щитам!C859</f>
      </c>
      <c r="D854" s="20">
        <f>Разбивка_по_щитам!F859</f>
      </c>
      <c r="E854" s="20">
        <f>Разбивка_по_щитам!H859</f>
      </c>
      <c r="F854" s="20">
        <f>Разбивка_по_щитам!I859</f>
      </c>
      <c r="G854" s="20">
        <f>Разбивка_по_щитам!J859</f>
        <v/>
      </c>
      <c r="H854" s="20">
        <f>Разбивка_по_щитам!K859</f>
        <v/>
      </c>
      <c r="I854" s="20">
        <f>Разбивка_по_щитам!L859</f>
        <v/>
      </c>
      <c r="J854" s="20">
        <f>Разбивка_по_щитам!M859</f>
        <v/>
      </c>
      <c r="K854" s="20">
        <f>Разбивка_по_щитам!N859</f>
        <v/>
      </c>
      <c r="L854" s="20"/>
      <c r="M854" s="20">
        <f>Разбивка_по_щитам!P859</f>
        <v/>
      </c>
      <c r="N854" s="20"/>
    </row>
    <row r="855" spans="2:14" x14ac:dyDescent="0.25">
      <c r="B855" s="20">
        <f>Разбивка_по_щитам!B860</f>
        <v/>
      </c>
      <c r="C855" s="20">
        <f>Разбивка_по_щитам!C860</f>
      </c>
      <c r="D855" s="20">
        <f>Разбивка_по_щитам!F860</f>
      </c>
      <c r="E855" s="20">
        <f>Разбивка_по_щитам!H860</f>
      </c>
      <c r="F855" s="20">
        <f>Разбивка_по_щитам!I860</f>
      </c>
      <c r="G855" s="20">
        <f>Разбивка_по_щитам!J860</f>
        <v/>
      </c>
      <c r="H855" s="20">
        <f>Разбивка_по_щитам!K860</f>
        <v/>
      </c>
      <c r="I855" s="20">
        <f>Разбивка_по_щитам!L860</f>
        <v/>
      </c>
      <c r="J855" s="20">
        <f>Разбивка_по_щитам!M860</f>
        <v/>
      </c>
      <c r="K855" s="20">
        <f>Разбивка_по_щитам!N860</f>
        <v/>
      </c>
      <c r="L855" s="20"/>
      <c r="M855" s="20">
        <f>Разбивка_по_щитам!P860</f>
        <v/>
      </c>
      <c r="N855" s="20"/>
    </row>
    <row r="856" spans="2:14" x14ac:dyDescent="0.25">
      <c r="B856" s="20">
        <f>Разбивка_по_щитам!B861</f>
        <v/>
      </c>
      <c r="C856" s="20">
        <f>Разбивка_по_щитам!C861</f>
      </c>
      <c r="D856" s="20">
        <f>Разбивка_по_щитам!F861</f>
      </c>
      <c r="E856" s="20">
        <f>Разбивка_по_щитам!H861</f>
      </c>
      <c r="F856" s="20">
        <f>Разбивка_по_щитам!I861</f>
      </c>
      <c r="G856" s="20">
        <f>Разбивка_по_щитам!J861</f>
        <v/>
      </c>
      <c r="H856" s="20">
        <f>Разбивка_по_щитам!K861</f>
        <v/>
      </c>
      <c r="I856" s="20">
        <f>Разбивка_по_щитам!L861</f>
        <v/>
      </c>
      <c r="J856" s="20">
        <f>Разбивка_по_щитам!M861</f>
        <v/>
      </c>
      <c r="K856" s="20">
        <f>Разбивка_по_щитам!N861</f>
        <v/>
      </c>
      <c r="L856" s="20"/>
      <c r="M856" s="20">
        <f>Разбивка_по_щитам!P861</f>
        <v/>
      </c>
      <c r="N856" s="20"/>
    </row>
    <row r="857" spans="2:14" x14ac:dyDescent="0.25">
      <c r="B857" s="20">
        <f>Разбивка_по_щитам!B862</f>
        <v/>
      </c>
      <c r="C857" s="20">
        <f>Разбивка_по_щитам!C862</f>
      </c>
      <c r="D857" s="20">
        <f>Разбивка_по_щитам!F862</f>
      </c>
      <c r="E857" s="20">
        <f>Разбивка_по_щитам!H862</f>
      </c>
      <c r="F857" s="20">
        <f>Разбивка_по_щитам!I862</f>
      </c>
      <c r="G857" s="20">
        <f>Разбивка_по_щитам!J862</f>
        <v/>
      </c>
      <c r="H857" s="20">
        <f>Разбивка_по_щитам!K862</f>
        <v/>
      </c>
      <c r="I857" s="20">
        <f>Разбивка_по_щитам!L862</f>
        <v/>
      </c>
      <c r="J857" s="20">
        <f>Разбивка_по_щитам!M862</f>
        <v/>
      </c>
      <c r="K857" s="20">
        <f>Разбивка_по_щитам!N862</f>
        <v/>
      </c>
      <c r="L857" s="20"/>
      <c r="M857" s="20">
        <f>Разбивка_по_щитам!P862</f>
        <v/>
      </c>
      <c r="N857" s="20"/>
    </row>
    <row r="858" spans="2:14" x14ac:dyDescent="0.25">
      <c r="B858" s="20">
        <f>Разбивка_по_щитам!B863</f>
        <v/>
      </c>
      <c r="C858" s="20">
        <f>Разбивка_по_щитам!C863</f>
      </c>
      <c r="D858" s="20">
        <f>Разбивка_по_щитам!F863</f>
      </c>
      <c r="E858" s="20">
        <f>Разбивка_по_щитам!H863</f>
      </c>
      <c r="F858" s="20">
        <f>Разбивка_по_щитам!I863</f>
      </c>
      <c r="G858" s="20">
        <f>Разбивка_по_щитам!J863</f>
        <v/>
      </c>
      <c r="H858" s="20">
        <f>Разбивка_по_щитам!K863</f>
        <v/>
      </c>
      <c r="I858" s="20">
        <f>Разбивка_по_щитам!L863</f>
        <v/>
      </c>
      <c r="J858" s="20">
        <f>Разбивка_по_щитам!M863</f>
        <v/>
      </c>
      <c r="K858" s="20">
        <f>Разбивка_по_щитам!N863</f>
        <v/>
      </c>
      <c r="L858" s="20"/>
      <c r="M858" s="20">
        <f>Разбивка_по_щитам!P863</f>
        <v/>
      </c>
      <c r="N858" s="20"/>
    </row>
    <row r="859" spans="2:14" x14ac:dyDescent="0.25">
      <c r="B859" s="20">
        <f>Разбивка_по_щитам!B864</f>
        <v/>
      </c>
      <c r="C859" s="20">
        <f>Разбивка_по_щитам!C864</f>
      </c>
      <c r="D859" s="20">
        <f>Разбивка_по_щитам!F864</f>
      </c>
      <c r="E859" s="20">
        <f>Разбивка_по_щитам!H864</f>
      </c>
      <c r="F859" s="20">
        <f>Разбивка_по_щитам!I864</f>
      </c>
      <c r="G859" s="20">
        <f>Разбивка_по_щитам!J864</f>
        <v/>
      </c>
      <c r="H859" s="20">
        <f>Разбивка_по_щитам!K864</f>
        <v/>
      </c>
      <c r="I859" s="20">
        <f>Разбивка_по_щитам!L864</f>
        <v/>
      </c>
      <c r="J859" s="20">
        <f>Разбивка_по_щитам!M864</f>
        <v/>
      </c>
      <c r="K859" s="20">
        <f>Разбивка_по_щитам!N864</f>
        <v/>
      </c>
      <c r="L859" s="20"/>
      <c r="M859" s="20">
        <f>Разбивка_по_щитам!P864</f>
        <v/>
      </c>
      <c r="N859" s="20"/>
    </row>
    <row r="860" spans="2:14" x14ac:dyDescent="0.25">
      <c r="B860" s="20">
        <f>Разбивка_по_щитам!B865</f>
        <v/>
      </c>
      <c r="C860" s="20">
        <f>Разбивка_по_щитам!C865</f>
      </c>
      <c r="D860" s="20">
        <f>Разбивка_по_щитам!F865</f>
      </c>
      <c r="E860" s="20">
        <f>Разбивка_по_щитам!H865</f>
      </c>
      <c r="F860" s="20">
        <f>Разбивка_по_щитам!I865</f>
      </c>
      <c r="G860" s="20">
        <f>Разбивка_по_щитам!J865</f>
        <v/>
      </c>
      <c r="H860" s="20">
        <f>Разбивка_по_щитам!K865</f>
        <v/>
      </c>
      <c r="I860" s="20">
        <f>Разбивка_по_щитам!L865</f>
        <v/>
      </c>
      <c r="J860" s="20">
        <f>Разбивка_по_щитам!M865</f>
        <v/>
      </c>
      <c r="K860" s="20">
        <f>Разбивка_по_щитам!N865</f>
        <v/>
      </c>
      <c r="L860" s="20"/>
      <c r="M860" s="20">
        <f>Разбивка_по_щитам!P865</f>
        <v/>
      </c>
      <c r="N860" s="20"/>
    </row>
    <row r="861" spans="2:14" x14ac:dyDescent="0.25">
      <c r="B861" s="20">
        <f>Разбивка_по_щитам!B866</f>
        <v/>
      </c>
      <c r="C861" s="20">
        <f>Разбивка_по_щитам!C866</f>
      </c>
      <c r="D861" s="20">
        <f>Разбивка_по_щитам!F866</f>
      </c>
      <c r="E861" s="20">
        <f>Разбивка_по_щитам!H866</f>
      </c>
      <c r="F861" s="20">
        <f>Разбивка_по_щитам!I866</f>
      </c>
      <c r="G861" s="20">
        <f>Разбивка_по_щитам!J866</f>
        <v/>
      </c>
      <c r="H861" s="20">
        <f>Разбивка_по_щитам!K866</f>
        <v/>
      </c>
      <c r="I861" s="20">
        <f>Разбивка_по_щитам!L866</f>
        <v/>
      </c>
      <c r="J861" s="20">
        <f>Разбивка_по_щитам!M866</f>
        <v/>
      </c>
      <c r="K861" s="20">
        <f>Разбивка_по_щитам!N866</f>
        <v/>
      </c>
      <c r="L861" s="20"/>
      <c r="M861" s="20">
        <f>Разбивка_по_щитам!P866</f>
        <v/>
      </c>
      <c r="N861" s="20"/>
    </row>
    <row r="862" spans="2:14" x14ac:dyDescent="0.25">
      <c r="B862" s="20">
        <f>Разбивка_по_щитам!B867</f>
        <v/>
      </c>
      <c r="C862" s="20">
        <f>Разбивка_по_щитам!C867</f>
      </c>
      <c r="D862" s="20">
        <f>Разбивка_по_щитам!F867</f>
      </c>
      <c r="E862" s="20">
        <f>Разбивка_по_щитам!H867</f>
      </c>
      <c r="F862" s="20">
        <f>Разбивка_по_щитам!I867</f>
      </c>
      <c r="G862" s="20">
        <f>Разбивка_по_щитам!J867</f>
        <v/>
      </c>
      <c r="H862" s="20">
        <f>Разбивка_по_щитам!K867</f>
        <v/>
      </c>
      <c r="I862" s="20">
        <f>Разбивка_по_щитам!L867</f>
        <v/>
      </c>
      <c r="J862" s="20">
        <f>Разбивка_по_щитам!M867</f>
        <v/>
      </c>
      <c r="K862" s="20">
        <f>Разбивка_по_щитам!N867</f>
        <v/>
      </c>
      <c r="L862" s="20"/>
      <c r="M862" s="20">
        <f>Разбивка_по_щитам!P867</f>
        <v/>
      </c>
      <c r="N862" s="20"/>
    </row>
    <row r="863" spans="2:14" x14ac:dyDescent="0.25">
      <c r="B863" s="20">
        <f>Разбивка_по_щитам!B868</f>
        <v/>
      </c>
      <c r="C863" s="20">
        <f>Разбивка_по_щитам!C868</f>
      </c>
      <c r="D863" s="20">
        <f>Разбивка_по_щитам!F868</f>
      </c>
      <c r="E863" s="20">
        <f>Разбивка_по_щитам!H868</f>
      </c>
      <c r="F863" s="20">
        <f>Разбивка_по_щитам!I868</f>
      </c>
      <c r="G863" s="20">
        <f>Разбивка_по_щитам!J868</f>
        <v/>
      </c>
      <c r="H863" s="20">
        <f>Разбивка_по_щитам!K868</f>
        <v/>
      </c>
      <c r="I863" s="20">
        <f>Разбивка_по_щитам!L868</f>
        <v/>
      </c>
      <c r="J863" s="20">
        <f>Разбивка_по_щитам!M868</f>
        <v/>
      </c>
      <c r="K863" s="20">
        <f>Разбивка_по_щитам!N868</f>
        <v/>
      </c>
      <c r="L863" s="20"/>
      <c r="M863" s="20">
        <f>Разбивка_по_щитам!P868</f>
        <v/>
      </c>
      <c r="N863" s="20"/>
    </row>
    <row r="864" spans="2:14" x14ac:dyDescent="0.25">
      <c r="B864" s="20">
        <f>Разбивка_по_щитам!B869</f>
        <v/>
      </c>
      <c r="C864" s="20">
        <f>Разбивка_по_щитам!C869</f>
      </c>
      <c r="D864" s="20">
        <f>Разбивка_по_щитам!F869</f>
      </c>
      <c r="E864" s="20">
        <f>Разбивка_по_щитам!H869</f>
      </c>
      <c r="F864" s="20">
        <f>Разбивка_по_щитам!I869</f>
      </c>
      <c r="G864" s="20">
        <f>Разбивка_по_щитам!J869</f>
        <v/>
      </c>
      <c r="H864" s="20">
        <f>Разбивка_по_щитам!K869</f>
        <v/>
      </c>
      <c r="I864" s="20">
        <f>Разбивка_по_щитам!L869</f>
        <v/>
      </c>
      <c r="J864" s="20">
        <f>Разбивка_по_щитам!M869</f>
        <v/>
      </c>
      <c r="K864" s="20">
        <f>Разбивка_по_щитам!N869</f>
        <v/>
      </c>
      <c r="L864" s="20"/>
      <c r="M864" s="20">
        <f>Разбивка_по_щитам!P869</f>
        <v/>
      </c>
      <c r="N864" s="20"/>
    </row>
    <row r="865" spans="2:14" x14ac:dyDescent="0.25">
      <c r="B865" s="20">
        <f>Разбивка_по_щитам!B870</f>
        <v/>
      </c>
      <c r="C865" s="20">
        <f>Разбивка_по_щитам!C870</f>
      </c>
      <c r="D865" s="20">
        <f>Разбивка_по_щитам!F870</f>
      </c>
      <c r="E865" s="20">
        <f>Разбивка_по_щитам!H870</f>
      </c>
      <c r="F865" s="20">
        <f>Разбивка_по_щитам!I870</f>
      </c>
      <c r="G865" s="20">
        <f>Разбивка_по_щитам!J870</f>
        <v/>
      </c>
      <c r="H865" s="20">
        <f>Разбивка_по_щитам!K870</f>
        <v/>
      </c>
      <c r="I865" s="20">
        <f>Разбивка_по_щитам!L870</f>
        <v/>
      </c>
      <c r="J865" s="20">
        <f>Разбивка_по_щитам!M870</f>
        <v/>
      </c>
      <c r="K865" s="20">
        <f>Разбивка_по_щитам!N870</f>
        <v/>
      </c>
      <c r="L865" s="20"/>
      <c r="M865" s="20">
        <f>Разбивка_по_щитам!P870</f>
        <v/>
      </c>
      <c r="N865" s="20"/>
    </row>
    <row r="866" spans="2:14" x14ac:dyDescent="0.25">
      <c r="B866" s="20">
        <f>Разбивка_по_щитам!B871</f>
        <v/>
      </c>
      <c r="C866" s="20">
        <f>Разбивка_по_щитам!C871</f>
      </c>
      <c r="D866" s="20">
        <f>Разбивка_по_щитам!F871</f>
      </c>
      <c r="E866" s="20">
        <f>Разбивка_по_щитам!H871</f>
      </c>
      <c r="F866" s="20">
        <f>Разбивка_по_щитам!I871</f>
      </c>
      <c r="G866" s="20">
        <f>Разбивка_по_щитам!J871</f>
        <v/>
      </c>
      <c r="H866" s="20">
        <f>Разбивка_по_щитам!K871</f>
        <v/>
      </c>
      <c r="I866" s="20">
        <f>Разбивка_по_щитам!L871</f>
        <v/>
      </c>
      <c r="J866" s="20">
        <f>Разбивка_по_щитам!M871</f>
        <v/>
      </c>
      <c r="K866" s="20">
        <f>Разбивка_по_щитам!N871</f>
        <v/>
      </c>
      <c r="L866" s="20"/>
      <c r="M866" s="20">
        <f>Разбивка_по_щитам!P871</f>
        <v/>
      </c>
      <c r="N866" s="20"/>
    </row>
    <row r="867" spans="2:14" x14ac:dyDescent="0.25">
      <c r="B867" s="20">
        <f>Разбивка_по_щитам!B872</f>
        <v/>
      </c>
      <c r="C867" s="20">
        <f>Разбивка_по_щитам!C872</f>
      </c>
      <c r="D867" s="20">
        <f>Разбивка_по_щитам!F872</f>
      </c>
      <c r="E867" s="20">
        <f>Разбивка_по_щитам!H872</f>
      </c>
      <c r="F867" s="20">
        <f>Разбивка_по_щитам!I872</f>
      </c>
      <c r="G867" s="20">
        <f>Разбивка_по_щитам!J872</f>
        <v/>
      </c>
      <c r="H867" s="20">
        <f>Разбивка_по_щитам!K872</f>
        <v/>
      </c>
      <c r="I867" s="20">
        <f>Разбивка_по_щитам!L872</f>
        <v/>
      </c>
      <c r="J867" s="20">
        <f>Разбивка_по_щитам!M872</f>
        <v/>
      </c>
      <c r="K867" s="20">
        <f>Разбивка_по_щитам!N872</f>
        <v/>
      </c>
      <c r="L867" s="20"/>
      <c r="M867" s="20">
        <f>Разбивка_по_щитам!P872</f>
        <v/>
      </c>
      <c r="N867" s="20"/>
    </row>
    <row r="868" spans="2:14" x14ac:dyDescent="0.25">
      <c r="B868" s="20">
        <f>Разбивка_по_щитам!B873</f>
        <v/>
      </c>
      <c r="C868" s="20">
        <f>Разбивка_по_щитам!C873</f>
      </c>
      <c r="D868" s="20">
        <f>Разбивка_по_щитам!F873</f>
      </c>
      <c r="E868" s="20">
        <f>Разбивка_по_щитам!H873</f>
      </c>
      <c r="F868" s="20">
        <f>Разбивка_по_щитам!I873</f>
      </c>
      <c r="G868" s="20">
        <f>Разбивка_по_щитам!J873</f>
        <v/>
      </c>
      <c r="H868" s="20">
        <f>Разбивка_по_щитам!K873</f>
        <v/>
      </c>
      <c r="I868" s="20">
        <f>Разбивка_по_щитам!L873</f>
        <v/>
      </c>
      <c r="J868" s="20">
        <f>Разбивка_по_щитам!M873</f>
        <v/>
      </c>
      <c r="K868" s="20">
        <f>Разбивка_по_щитам!N873</f>
        <v/>
      </c>
      <c r="L868" s="20"/>
      <c r="M868" s="20">
        <f>Разбивка_по_щитам!P873</f>
        <v/>
      </c>
      <c r="N868" s="20"/>
    </row>
    <row r="869" spans="2:14" x14ac:dyDescent="0.25">
      <c r="B869" s="20">
        <f>Разбивка_по_щитам!B874</f>
        <v/>
      </c>
      <c r="C869" s="20">
        <f>Разбивка_по_щитам!C874</f>
      </c>
      <c r="D869" s="20">
        <f>Разбивка_по_щитам!F874</f>
      </c>
      <c r="E869" s="20">
        <f>Разбивка_по_щитам!H874</f>
      </c>
      <c r="F869" s="20">
        <f>Разбивка_по_щитам!I874</f>
      </c>
      <c r="G869" s="20">
        <f>Разбивка_по_щитам!J874</f>
        <v/>
      </c>
      <c r="H869" s="20">
        <f>Разбивка_по_щитам!K874</f>
        <v/>
      </c>
      <c r="I869" s="20">
        <f>Разбивка_по_щитам!L874</f>
        <v/>
      </c>
      <c r="J869" s="20">
        <f>Разбивка_по_щитам!M874</f>
        <v/>
      </c>
      <c r="K869" s="20">
        <f>Разбивка_по_щитам!N874</f>
        <v/>
      </c>
      <c r="L869" s="20"/>
      <c r="M869" s="20">
        <f>Разбивка_по_щитам!P874</f>
        <v/>
      </c>
      <c r="N869" s="20"/>
    </row>
    <row r="870" spans="2:14" x14ac:dyDescent="0.25">
      <c r="B870" s="20">
        <f>Разбивка_по_щитам!B875</f>
        <v/>
      </c>
      <c r="C870" s="20">
        <f>Разбивка_по_щитам!C875</f>
      </c>
      <c r="D870" s="20">
        <f>Разбивка_по_щитам!F875</f>
      </c>
      <c r="E870" s="20">
        <f>Разбивка_по_щитам!H875</f>
      </c>
      <c r="F870" s="20">
        <f>Разбивка_по_щитам!I875</f>
      </c>
      <c r="G870" s="20">
        <f>Разбивка_по_щитам!J875</f>
        <v/>
      </c>
      <c r="H870" s="20">
        <f>Разбивка_по_щитам!K875</f>
        <v/>
      </c>
      <c r="I870" s="20">
        <f>Разбивка_по_щитам!L875</f>
        <v/>
      </c>
      <c r="J870" s="20">
        <f>Разбивка_по_щитам!M875</f>
        <v/>
      </c>
      <c r="K870" s="20">
        <f>Разбивка_по_щитам!N875</f>
        <v/>
      </c>
      <c r="L870" s="20"/>
      <c r="M870" s="20">
        <f>Разбивка_по_щитам!P875</f>
        <v/>
      </c>
      <c r="N870" s="20"/>
    </row>
    <row r="871" spans="2:14" x14ac:dyDescent="0.25">
      <c r="B871" s="20">
        <f>Разбивка_по_щитам!B876</f>
        <v/>
      </c>
      <c r="C871" s="20">
        <f>Разбивка_по_щитам!C876</f>
      </c>
      <c r="D871" s="20">
        <f>Разбивка_по_щитам!F876</f>
      </c>
      <c r="E871" s="20">
        <f>Разбивка_по_щитам!H876</f>
      </c>
      <c r="F871" s="20">
        <f>Разбивка_по_щитам!I876</f>
      </c>
      <c r="G871" s="20">
        <f>Разбивка_по_щитам!J876</f>
        <v/>
      </c>
      <c r="H871" s="20">
        <f>Разбивка_по_щитам!K876</f>
        <v/>
      </c>
      <c r="I871" s="20">
        <f>Разбивка_по_щитам!L876</f>
        <v/>
      </c>
      <c r="J871" s="20">
        <f>Разбивка_по_щитам!M876</f>
        <v/>
      </c>
      <c r="K871" s="20">
        <f>Разбивка_по_щитам!N876</f>
        <v/>
      </c>
      <c r="L871" s="20"/>
      <c r="M871" s="20">
        <f>Разбивка_по_щитам!P876</f>
        <v/>
      </c>
      <c r="N871" s="20"/>
    </row>
    <row r="872" spans="2:14" x14ac:dyDescent="0.25">
      <c r="B872" s="20">
        <f>Разбивка_по_щитам!B877</f>
        <v/>
      </c>
      <c r="C872" s="20">
        <f>Разбивка_по_щитам!C877</f>
      </c>
      <c r="D872" s="20">
        <f>Разбивка_по_щитам!F877</f>
      </c>
      <c r="E872" s="20">
        <f>Разбивка_по_щитам!H877</f>
      </c>
      <c r="F872" s="20">
        <f>Разбивка_по_щитам!I877</f>
      </c>
      <c r="G872" s="20">
        <f>Разбивка_по_щитам!J877</f>
        <v/>
      </c>
      <c r="H872" s="20">
        <f>Разбивка_по_щитам!K877</f>
        <v/>
      </c>
      <c r="I872" s="20">
        <f>Разбивка_по_щитам!L877</f>
        <v/>
      </c>
      <c r="J872" s="20">
        <f>Разбивка_по_щитам!M877</f>
        <v/>
      </c>
      <c r="K872" s="20">
        <f>Разбивка_по_щитам!N877</f>
        <v/>
      </c>
      <c r="L872" s="20"/>
      <c r="M872" s="20">
        <f>Разбивка_по_щитам!P877</f>
        <v/>
      </c>
      <c r="N872" s="20"/>
    </row>
    <row r="873" spans="2:14" x14ac:dyDescent="0.25">
      <c r="B873" s="20">
        <f>Разбивка_по_щитам!B878</f>
        <v/>
      </c>
      <c r="C873" s="20">
        <f>Разбивка_по_щитам!C878</f>
      </c>
      <c r="D873" s="20">
        <f>Разбивка_по_щитам!F878</f>
      </c>
      <c r="E873" s="20">
        <f>Разбивка_по_щитам!H878</f>
      </c>
      <c r="F873" s="20">
        <f>Разбивка_по_щитам!I878</f>
      </c>
      <c r="G873" s="20">
        <f>Разбивка_по_щитам!J878</f>
        <v/>
      </c>
      <c r="H873" s="20">
        <f>Разбивка_по_щитам!K878</f>
        <v/>
      </c>
      <c r="I873" s="20">
        <f>Разбивка_по_щитам!L878</f>
        <v/>
      </c>
      <c r="J873" s="20">
        <f>Разбивка_по_щитам!M878</f>
        <v/>
      </c>
      <c r="K873" s="20">
        <f>Разбивка_по_щитам!N878</f>
        <v/>
      </c>
      <c r="L873" s="20"/>
      <c r="M873" s="20">
        <f>Разбивка_по_щитам!P878</f>
        <v/>
      </c>
      <c r="N873" s="20"/>
    </row>
    <row r="874" spans="2:14" x14ac:dyDescent="0.25">
      <c r="B874" s="20">
        <f>Разбивка_по_щитам!B879</f>
        <v/>
      </c>
      <c r="C874" s="20">
        <f>Разбивка_по_щитам!C879</f>
      </c>
      <c r="D874" s="20">
        <f>Разбивка_по_щитам!F879</f>
      </c>
      <c r="E874" s="20">
        <f>Разбивка_по_щитам!H879</f>
      </c>
      <c r="F874" s="20">
        <f>Разбивка_по_щитам!I879</f>
      </c>
      <c r="G874" s="20">
        <f>Разбивка_по_щитам!J879</f>
        <v/>
      </c>
      <c r="H874" s="20">
        <f>Разбивка_по_щитам!K879</f>
        <v/>
      </c>
      <c r="I874" s="20">
        <f>Разбивка_по_щитам!L879</f>
        <v/>
      </c>
      <c r="J874" s="20">
        <f>Разбивка_по_щитам!M879</f>
        <v/>
      </c>
      <c r="K874" s="20">
        <f>Разбивка_по_щитам!N879</f>
        <v/>
      </c>
      <c r="L874" s="20"/>
      <c r="M874" s="20">
        <f>Разбивка_по_щитам!P879</f>
        <v/>
      </c>
      <c r="N874" s="20"/>
    </row>
    <row r="875" spans="2:14" x14ac:dyDescent="0.25">
      <c r="B875" s="20">
        <f>Разбивка_по_щитам!B880</f>
        <v/>
      </c>
      <c r="C875" s="20">
        <f>Разбивка_по_щитам!C880</f>
      </c>
      <c r="D875" s="20">
        <f>Разбивка_по_щитам!F880</f>
      </c>
      <c r="E875" s="20">
        <f>Разбивка_по_щитам!H880</f>
      </c>
      <c r="F875" s="20">
        <f>Разбивка_по_щитам!I880</f>
      </c>
      <c r="G875" s="20">
        <f>Разбивка_по_щитам!J880</f>
        <v/>
      </c>
      <c r="H875" s="20">
        <f>Разбивка_по_щитам!K880</f>
        <v/>
      </c>
      <c r="I875" s="20">
        <f>Разбивка_по_щитам!L880</f>
        <v/>
      </c>
      <c r="J875" s="20">
        <f>Разбивка_по_щитам!M880</f>
        <v/>
      </c>
      <c r="K875" s="20">
        <f>Разбивка_по_щитам!N880</f>
        <v/>
      </c>
      <c r="L875" s="20"/>
      <c r="M875" s="20">
        <f>Разбивка_по_щитам!P880</f>
        <v/>
      </c>
      <c r="N875" s="20"/>
    </row>
    <row r="876" spans="2:14" x14ac:dyDescent="0.25">
      <c r="B876" s="20">
        <f>Разбивка_по_щитам!B881</f>
        <v/>
      </c>
      <c r="C876" s="20">
        <f>Разбивка_по_щитам!C881</f>
      </c>
      <c r="D876" s="20">
        <f>Разбивка_по_щитам!F881</f>
      </c>
      <c r="E876" s="20">
        <f>Разбивка_по_щитам!H881</f>
      </c>
      <c r="F876" s="20">
        <f>Разбивка_по_щитам!I881</f>
      </c>
      <c r="G876" s="20">
        <f>Разбивка_по_щитам!J881</f>
        <v/>
      </c>
      <c r="H876" s="20">
        <f>Разбивка_по_щитам!K881</f>
        <v/>
      </c>
      <c r="I876" s="20">
        <f>Разбивка_по_щитам!L881</f>
        <v/>
      </c>
      <c r="J876" s="20">
        <f>Разбивка_по_щитам!M881</f>
        <v/>
      </c>
      <c r="K876" s="20">
        <f>Разбивка_по_щитам!N881</f>
        <v/>
      </c>
      <c r="L876" s="20"/>
      <c r="M876" s="20">
        <f>Разбивка_по_щитам!P881</f>
        <v/>
      </c>
      <c r="N876" s="20"/>
    </row>
    <row r="877" spans="2:14" x14ac:dyDescent="0.25">
      <c r="B877" s="20">
        <f>Разбивка_по_щитам!B882</f>
        <v/>
      </c>
      <c r="C877" s="20">
        <f>Разбивка_по_щитам!C882</f>
      </c>
      <c r="D877" s="20">
        <f>Разбивка_по_щитам!F882</f>
      </c>
      <c r="E877" s="20">
        <f>Разбивка_по_щитам!H882</f>
      </c>
      <c r="F877" s="20">
        <f>Разбивка_по_щитам!I882</f>
      </c>
      <c r="G877" s="20">
        <f>Разбивка_по_щитам!J882</f>
        <v/>
      </c>
      <c r="H877" s="20">
        <f>Разбивка_по_щитам!K882</f>
        <v/>
      </c>
      <c r="I877" s="20">
        <f>Разбивка_по_щитам!L882</f>
        <v/>
      </c>
      <c r="J877" s="20">
        <f>Разбивка_по_щитам!M882</f>
        <v/>
      </c>
      <c r="K877" s="20">
        <f>Разбивка_по_щитам!N882</f>
        <v/>
      </c>
      <c r="L877" s="20"/>
      <c r="M877" s="20">
        <f>Разбивка_по_щитам!P882</f>
        <v/>
      </c>
      <c r="N877" s="20"/>
    </row>
    <row r="878" spans="2:14" x14ac:dyDescent="0.25">
      <c r="B878" s="20">
        <f>Разбивка_по_щитам!B883</f>
        <v/>
      </c>
      <c r="C878" s="20">
        <f>Разбивка_по_щитам!C883</f>
      </c>
      <c r="D878" s="20">
        <f>Разбивка_по_щитам!F883</f>
      </c>
      <c r="E878" s="20">
        <f>Разбивка_по_щитам!H883</f>
      </c>
      <c r="F878" s="20">
        <f>Разбивка_по_щитам!I883</f>
      </c>
      <c r="G878" s="20">
        <f>Разбивка_по_щитам!J883</f>
        <v/>
      </c>
      <c r="H878" s="20">
        <f>Разбивка_по_щитам!K883</f>
        <v/>
      </c>
      <c r="I878" s="20">
        <f>Разбивка_по_щитам!L883</f>
        <v/>
      </c>
      <c r="J878" s="20">
        <f>Разбивка_по_щитам!M883</f>
        <v/>
      </c>
      <c r="K878" s="20">
        <f>Разбивка_по_щитам!N883</f>
        <v/>
      </c>
      <c r="L878" s="20"/>
      <c r="M878" s="20">
        <f>Разбивка_по_щитам!P883</f>
        <v/>
      </c>
      <c r="N878" s="20"/>
    </row>
    <row r="879" spans="2:14" x14ac:dyDescent="0.25">
      <c r="B879" s="20">
        <f>Разбивка_по_щитам!B884</f>
        <v/>
      </c>
      <c r="C879" s="20">
        <f>Разбивка_по_щитам!C884</f>
      </c>
      <c r="D879" s="20">
        <f>Разбивка_по_щитам!F884</f>
      </c>
      <c r="E879" s="20">
        <f>Разбивка_по_щитам!H884</f>
      </c>
      <c r="F879" s="20">
        <f>Разбивка_по_щитам!I884</f>
      </c>
      <c r="G879" s="20">
        <f>Разбивка_по_щитам!J884</f>
        <v/>
      </c>
      <c r="H879" s="20">
        <f>Разбивка_по_щитам!K884</f>
        <v/>
      </c>
      <c r="I879" s="20">
        <f>Разбивка_по_щитам!L884</f>
        <v/>
      </c>
      <c r="J879" s="20">
        <f>Разбивка_по_щитам!M884</f>
        <v/>
      </c>
      <c r="K879" s="20">
        <f>Разбивка_по_щитам!N884</f>
        <v/>
      </c>
      <c r="L879" s="20"/>
      <c r="M879" s="20">
        <f>Разбивка_по_щитам!P884</f>
        <v/>
      </c>
      <c r="N879" s="20"/>
    </row>
    <row r="880" spans="2:14" x14ac:dyDescent="0.25">
      <c r="B880" s="20">
        <f>Разбивка_по_щитам!B885</f>
        <v/>
      </c>
      <c r="C880" s="20">
        <f>Разбивка_по_щитам!C885</f>
      </c>
      <c r="D880" s="20">
        <f>Разбивка_по_щитам!F885</f>
      </c>
      <c r="E880" s="20">
        <f>Разбивка_по_щитам!H885</f>
      </c>
      <c r="F880" s="20">
        <f>Разбивка_по_щитам!I885</f>
      </c>
      <c r="G880" s="20">
        <f>Разбивка_по_щитам!J885</f>
        <v/>
      </c>
      <c r="H880" s="20">
        <f>Разбивка_по_щитам!K885</f>
        <v/>
      </c>
      <c r="I880" s="20">
        <f>Разбивка_по_щитам!L885</f>
        <v/>
      </c>
      <c r="J880" s="20">
        <f>Разбивка_по_щитам!M885</f>
        <v/>
      </c>
      <c r="K880" s="20">
        <f>Разбивка_по_щитам!N885</f>
        <v/>
      </c>
      <c r="L880" s="20"/>
      <c r="M880" s="20">
        <f>Разбивка_по_щитам!P885</f>
        <v/>
      </c>
      <c r="N880" s="20"/>
    </row>
    <row r="881" spans="2:14" x14ac:dyDescent="0.25">
      <c r="B881" s="20">
        <f>Разбивка_по_щитам!B886</f>
        <v/>
      </c>
      <c r="C881" s="20">
        <f>Разбивка_по_щитам!C886</f>
      </c>
      <c r="D881" s="20">
        <f>Разбивка_по_щитам!F886</f>
      </c>
      <c r="E881" s="20">
        <f>Разбивка_по_щитам!H886</f>
      </c>
      <c r="F881" s="20">
        <f>Разбивка_по_щитам!I886</f>
      </c>
      <c r="G881" s="20">
        <f>Разбивка_по_щитам!J886</f>
        <v/>
      </c>
      <c r="H881" s="20">
        <f>Разбивка_по_щитам!K886</f>
        <v/>
      </c>
      <c r="I881" s="20">
        <f>Разбивка_по_щитам!L886</f>
        <v/>
      </c>
      <c r="J881" s="20">
        <f>Разбивка_по_щитам!M886</f>
        <v/>
      </c>
      <c r="K881" s="20">
        <f>Разбивка_по_щитам!N886</f>
        <v/>
      </c>
      <c r="L881" s="20"/>
      <c r="M881" s="20">
        <f>Разбивка_по_щитам!P886</f>
        <v/>
      </c>
      <c r="N881" s="20"/>
    </row>
    <row r="882" spans="2:14" x14ac:dyDescent="0.25">
      <c r="B882" s="20">
        <f>Разбивка_по_щитам!B887</f>
        <v/>
      </c>
      <c r="C882" s="20">
        <f>Разбивка_по_щитам!C887</f>
      </c>
      <c r="D882" s="20">
        <f>Разбивка_по_щитам!F887</f>
      </c>
      <c r="E882" s="20">
        <f>Разбивка_по_щитам!H887</f>
      </c>
      <c r="F882" s="20">
        <f>Разбивка_по_щитам!I887</f>
      </c>
      <c r="G882" s="20">
        <f>Разбивка_по_щитам!J887</f>
        <v/>
      </c>
      <c r="H882" s="20">
        <f>Разбивка_по_щитам!K887</f>
        <v/>
      </c>
      <c r="I882" s="20">
        <f>Разбивка_по_щитам!L887</f>
        <v/>
      </c>
      <c r="J882" s="20">
        <f>Разбивка_по_щитам!M887</f>
        <v/>
      </c>
      <c r="K882" s="20">
        <f>Разбивка_по_щитам!N887</f>
        <v/>
      </c>
      <c r="L882" s="20"/>
      <c r="M882" s="20">
        <f>Разбивка_по_щитам!P887</f>
        <v/>
      </c>
      <c r="N882" s="20"/>
    </row>
    <row r="883" spans="2:14" x14ac:dyDescent="0.25">
      <c r="B883" s="20">
        <f>Разбивка_по_щитам!B888</f>
        <v/>
      </c>
      <c r="C883" s="20">
        <f>Разбивка_по_щитам!C888</f>
      </c>
      <c r="D883" s="20">
        <f>Разбивка_по_щитам!F888</f>
      </c>
      <c r="E883" s="20">
        <f>Разбивка_по_щитам!H888</f>
      </c>
      <c r="F883" s="20">
        <f>Разбивка_по_щитам!I888</f>
      </c>
      <c r="G883" s="20">
        <f>Разбивка_по_щитам!J888</f>
        <v/>
      </c>
      <c r="H883" s="20">
        <f>Разбивка_по_щитам!K888</f>
        <v/>
      </c>
      <c r="I883" s="20">
        <f>Разбивка_по_щитам!L888</f>
        <v/>
      </c>
      <c r="J883" s="20">
        <f>Разбивка_по_щитам!M888</f>
        <v/>
      </c>
      <c r="K883" s="20">
        <f>Разбивка_по_щитам!N888</f>
        <v/>
      </c>
      <c r="L883" s="20"/>
      <c r="M883" s="20">
        <f>Разбивка_по_щитам!P888</f>
        <v/>
      </c>
      <c r="N883" s="20"/>
    </row>
    <row r="884" spans="2:14" x14ac:dyDescent="0.25">
      <c r="B884" s="20">
        <f>Разбивка_по_щитам!B889</f>
        <v/>
      </c>
      <c r="C884" s="20">
        <f>Разбивка_по_щитам!C889</f>
      </c>
      <c r="D884" s="20">
        <f>Разбивка_по_щитам!F889</f>
      </c>
      <c r="E884" s="20">
        <f>Разбивка_по_щитам!H889</f>
      </c>
      <c r="F884" s="20">
        <f>Разбивка_по_щитам!I889</f>
      </c>
      <c r="G884" s="20">
        <f>Разбивка_по_щитам!J889</f>
        <v/>
      </c>
      <c r="H884" s="20">
        <f>Разбивка_по_щитам!K889</f>
        <v/>
      </c>
      <c r="I884" s="20">
        <f>Разбивка_по_щитам!L889</f>
        <v/>
      </c>
      <c r="J884" s="20">
        <f>Разбивка_по_щитам!M889</f>
        <v/>
      </c>
      <c r="K884" s="20">
        <f>Разбивка_по_щитам!N889</f>
        <v/>
      </c>
      <c r="L884" s="20"/>
      <c r="M884" s="20">
        <f>Разбивка_по_щитам!P889</f>
        <v/>
      </c>
      <c r="N884" s="20"/>
    </row>
    <row r="885" spans="2:14" x14ac:dyDescent="0.25">
      <c r="B885" s="20">
        <f>Разбивка_по_щитам!B890</f>
        <v/>
      </c>
      <c r="C885" s="20">
        <f>Разбивка_по_щитам!C890</f>
      </c>
      <c r="D885" s="20">
        <f>Разбивка_по_щитам!F890</f>
      </c>
      <c r="E885" s="20">
        <f>Разбивка_по_щитам!H890</f>
      </c>
      <c r="F885" s="20">
        <f>Разбивка_по_щитам!I890</f>
      </c>
      <c r="G885" s="20">
        <f>Разбивка_по_щитам!J890</f>
        <v/>
      </c>
      <c r="H885" s="20">
        <f>Разбивка_по_щитам!K890</f>
        <v/>
      </c>
      <c r="I885" s="20">
        <f>Разбивка_по_щитам!L890</f>
        <v/>
      </c>
      <c r="J885" s="20">
        <f>Разбивка_по_щитам!M890</f>
        <v/>
      </c>
      <c r="K885" s="20">
        <f>Разбивка_по_щитам!N890</f>
        <v/>
      </c>
      <c r="L885" s="20"/>
      <c r="M885" s="20">
        <f>Разбивка_по_щитам!P890</f>
        <v/>
      </c>
      <c r="N885" s="20"/>
    </row>
    <row r="886" spans="2:14" x14ac:dyDescent="0.25">
      <c r="B886" s="20">
        <f>Разбивка_по_щитам!B891</f>
        <v/>
      </c>
      <c r="C886" s="20">
        <f>Разбивка_по_щитам!C891</f>
      </c>
      <c r="D886" s="20">
        <f>Разбивка_по_щитам!F891</f>
      </c>
      <c r="E886" s="20">
        <f>Разбивка_по_щитам!H891</f>
      </c>
      <c r="F886" s="20">
        <f>Разбивка_по_щитам!I891</f>
      </c>
      <c r="G886" s="20">
        <f>Разбивка_по_щитам!J891</f>
        <v/>
      </c>
      <c r="H886" s="20">
        <f>Разбивка_по_щитам!K891</f>
        <v/>
      </c>
      <c r="I886" s="20">
        <f>Разбивка_по_щитам!L891</f>
        <v/>
      </c>
      <c r="J886" s="20">
        <f>Разбивка_по_щитам!M891</f>
        <v/>
      </c>
      <c r="K886" s="20">
        <f>Разбивка_по_щитам!N891</f>
        <v/>
      </c>
      <c r="L886" s="20"/>
      <c r="M886" s="20">
        <f>Разбивка_по_щитам!P891</f>
        <v/>
      </c>
      <c r="N886" s="20"/>
    </row>
    <row r="887" spans="2:14" x14ac:dyDescent="0.25">
      <c r="B887" s="20">
        <f>Разбивка_по_щитам!B892</f>
        <v/>
      </c>
      <c r="C887" s="20">
        <f>Разбивка_по_щитам!C892</f>
      </c>
      <c r="D887" s="20">
        <f>Разбивка_по_щитам!F892</f>
      </c>
      <c r="E887" s="20">
        <f>Разбивка_по_щитам!H892</f>
      </c>
      <c r="F887" s="20">
        <f>Разбивка_по_щитам!I892</f>
      </c>
      <c r="G887" s="20">
        <f>Разбивка_по_щитам!J892</f>
        <v/>
      </c>
      <c r="H887" s="20">
        <f>Разбивка_по_щитам!K892</f>
        <v/>
      </c>
      <c r="I887" s="20">
        <f>Разбивка_по_щитам!L892</f>
        <v/>
      </c>
      <c r="J887" s="20">
        <f>Разбивка_по_щитам!M892</f>
        <v/>
      </c>
      <c r="K887" s="20">
        <f>Разбивка_по_щитам!N892</f>
        <v/>
      </c>
      <c r="L887" s="20"/>
      <c r="M887" s="20">
        <f>Разбивка_по_щитам!P892</f>
        <v/>
      </c>
      <c r="N887" s="20"/>
    </row>
    <row r="888" spans="2:14" x14ac:dyDescent="0.25">
      <c r="B888" s="20">
        <f>Разбивка_по_щитам!B893</f>
        <v/>
      </c>
      <c r="C888" s="20">
        <f>Разбивка_по_щитам!C893</f>
      </c>
      <c r="D888" s="20">
        <f>Разбивка_по_щитам!F893</f>
      </c>
      <c r="E888" s="20">
        <f>Разбивка_по_щитам!H893</f>
      </c>
      <c r="F888" s="20">
        <f>Разбивка_по_щитам!I893</f>
      </c>
      <c r="G888" s="20">
        <f>Разбивка_по_щитам!J893</f>
        <v/>
      </c>
      <c r="H888" s="20">
        <f>Разбивка_по_щитам!K893</f>
        <v/>
      </c>
      <c r="I888" s="20">
        <f>Разбивка_по_щитам!L893</f>
        <v/>
      </c>
      <c r="J888" s="20">
        <f>Разбивка_по_щитам!M893</f>
        <v/>
      </c>
      <c r="K888" s="20">
        <f>Разбивка_по_щитам!N893</f>
        <v/>
      </c>
      <c r="L888" s="20"/>
      <c r="M888" s="20">
        <f>Разбивка_по_щитам!P893</f>
        <v/>
      </c>
      <c r="N888" s="20"/>
    </row>
    <row r="889" spans="2:14" x14ac:dyDescent="0.25">
      <c r="B889" s="20">
        <f>Разбивка_по_щитам!B894</f>
        <v/>
      </c>
      <c r="C889" s="20">
        <f>Разбивка_по_щитам!C894</f>
      </c>
      <c r="D889" s="20">
        <f>Разбивка_по_щитам!F894</f>
      </c>
      <c r="E889" s="20">
        <f>Разбивка_по_щитам!H894</f>
      </c>
      <c r="F889" s="20">
        <f>Разбивка_по_щитам!I894</f>
      </c>
      <c r="G889" s="20">
        <f>Разбивка_по_щитам!J894</f>
        <v/>
      </c>
      <c r="H889" s="20">
        <f>Разбивка_по_щитам!K894</f>
        <v/>
      </c>
      <c r="I889" s="20">
        <f>Разбивка_по_щитам!L894</f>
        <v/>
      </c>
      <c r="J889" s="20">
        <f>Разбивка_по_щитам!M894</f>
        <v/>
      </c>
      <c r="K889" s="20">
        <f>Разбивка_по_щитам!N894</f>
        <v/>
      </c>
      <c r="L889" s="20"/>
      <c r="M889" s="20">
        <f>Разбивка_по_щитам!P894</f>
        <v/>
      </c>
      <c r="N889" s="20"/>
    </row>
    <row r="890" spans="2:14" x14ac:dyDescent="0.25">
      <c r="B890" s="20">
        <f>Разбивка_по_щитам!B895</f>
        <v/>
      </c>
      <c r="C890" s="20">
        <f>Разбивка_по_щитам!C895</f>
      </c>
      <c r="D890" s="20">
        <f>Разбивка_по_щитам!F895</f>
      </c>
      <c r="E890" s="20">
        <f>Разбивка_по_щитам!H895</f>
      </c>
      <c r="F890" s="20">
        <f>Разбивка_по_щитам!I895</f>
      </c>
      <c r="G890" s="20">
        <f>Разбивка_по_щитам!J895</f>
        <v/>
      </c>
      <c r="H890" s="20">
        <f>Разбивка_по_щитам!K895</f>
        <v/>
      </c>
      <c r="I890" s="20">
        <f>Разбивка_по_щитам!L895</f>
        <v/>
      </c>
      <c r="J890" s="20">
        <f>Разбивка_по_щитам!M895</f>
        <v/>
      </c>
      <c r="K890" s="20">
        <f>Разбивка_по_щитам!N895</f>
        <v/>
      </c>
      <c r="L890" s="20"/>
      <c r="M890" s="20">
        <f>Разбивка_по_щитам!P895</f>
        <v/>
      </c>
      <c r="N890" s="20"/>
    </row>
    <row r="891" spans="2:14" x14ac:dyDescent="0.25">
      <c r="B891" s="20">
        <f>Разбивка_по_щитам!B896</f>
        <v/>
      </c>
      <c r="C891" s="20">
        <f>Разбивка_по_щитам!C896</f>
      </c>
      <c r="D891" s="20">
        <f>Разбивка_по_щитам!F896</f>
      </c>
      <c r="E891" s="20">
        <f>Разбивка_по_щитам!H896</f>
      </c>
      <c r="F891" s="20">
        <f>Разбивка_по_щитам!I896</f>
      </c>
      <c r="G891" s="20">
        <f>Разбивка_по_щитам!J896</f>
        <v/>
      </c>
      <c r="H891" s="20">
        <f>Разбивка_по_щитам!K896</f>
        <v/>
      </c>
      <c r="I891" s="20">
        <f>Разбивка_по_щитам!L896</f>
        <v/>
      </c>
      <c r="J891" s="20">
        <f>Разбивка_по_щитам!M896</f>
        <v/>
      </c>
      <c r="K891" s="20">
        <f>Разбивка_по_щитам!N896</f>
        <v/>
      </c>
      <c r="L891" s="20"/>
      <c r="M891" s="20">
        <f>Разбивка_по_щитам!P896</f>
        <v/>
      </c>
      <c r="N891" s="20"/>
    </row>
    <row r="892" spans="2:14" x14ac:dyDescent="0.25">
      <c r="B892" s="20">
        <f>Разбивка_по_щитам!B897</f>
        <v/>
      </c>
      <c r="C892" s="20">
        <f>Разбивка_по_щитам!C897</f>
      </c>
      <c r="D892" s="20">
        <f>Разбивка_по_щитам!F897</f>
      </c>
      <c r="E892" s="20">
        <f>Разбивка_по_щитам!H897</f>
      </c>
      <c r="F892" s="20">
        <f>Разбивка_по_щитам!I897</f>
      </c>
      <c r="G892" s="20">
        <f>Разбивка_по_щитам!J897</f>
        <v/>
      </c>
      <c r="H892" s="20">
        <f>Разбивка_по_щитам!K897</f>
        <v/>
      </c>
      <c r="I892" s="20">
        <f>Разбивка_по_щитам!L897</f>
        <v/>
      </c>
      <c r="J892" s="20">
        <f>Разбивка_по_щитам!M897</f>
        <v/>
      </c>
      <c r="K892" s="20">
        <f>Разбивка_по_щитам!N897</f>
        <v/>
      </c>
      <c r="L892" s="20"/>
      <c r="M892" s="20">
        <f>Разбивка_по_щитам!P897</f>
        <v/>
      </c>
      <c r="N892" s="20"/>
    </row>
    <row r="893" spans="2:14" x14ac:dyDescent="0.25">
      <c r="B893" s="20">
        <f>Разбивка_по_щитам!B898</f>
        <v/>
      </c>
      <c r="C893" s="20">
        <f>Разбивка_по_щитам!C898</f>
      </c>
      <c r="D893" s="20">
        <f>Разбивка_по_щитам!F898</f>
      </c>
      <c r="E893" s="20">
        <f>Разбивка_по_щитам!H898</f>
      </c>
      <c r="F893" s="20">
        <f>Разбивка_по_щитам!I898</f>
      </c>
      <c r="G893" s="20">
        <f>Разбивка_по_щитам!J898</f>
        <v/>
      </c>
      <c r="H893" s="20">
        <f>Разбивка_по_щитам!K898</f>
        <v/>
      </c>
      <c r="I893" s="20">
        <f>Разбивка_по_щитам!L898</f>
        <v/>
      </c>
      <c r="J893" s="20">
        <f>Разбивка_по_щитам!M898</f>
        <v/>
      </c>
      <c r="K893" s="20">
        <f>Разбивка_по_щитам!N898</f>
        <v/>
      </c>
      <c r="L893" s="20"/>
      <c r="M893" s="20">
        <f>Разбивка_по_щитам!P898</f>
        <v/>
      </c>
      <c r="N893" s="20"/>
    </row>
    <row r="894" spans="2:14" x14ac:dyDescent="0.25">
      <c r="B894" s="20">
        <f>Разбивка_по_щитам!B899</f>
        <v/>
      </c>
      <c r="C894" s="20">
        <f>Разбивка_по_щитам!C899</f>
      </c>
      <c r="D894" s="20">
        <f>Разбивка_по_щитам!F899</f>
      </c>
      <c r="E894" s="20">
        <f>Разбивка_по_щитам!H899</f>
      </c>
      <c r="F894" s="20">
        <f>Разбивка_по_щитам!I899</f>
      </c>
      <c r="G894" s="20">
        <f>Разбивка_по_щитам!J899</f>
        <v/>
      </c>
      <c r="H894" s="20">
        <f>Разбивка_по_щитам!K899</f>
        <v/>
      </c>
      <c r="I894" s="20">
        <f>Разбивка_по_щитам!L899</f>
        <v/>
      </c>
      <c r="J894" s="20">
        <f>Разбивка_по_щитам!M899</f>
        <v/>
      </c>
      <c r="K894" s="20">
        <f>Разбивка_по_щитам!N899</f>
        <v/>
      </c>
      <c r="L894" s="20"/>
      <c r="M894" s="20">
        <f>Разбивка_по_щитам!P899</f>
        <v/>
      </c>
      <c r="N894" s="20"/>
    </row>
    <row r="895" spans="2:14" x14ac:dyDescent="0.25">
      <c r="B895" s="20">
        <f>Разбивка_по_щитам!B900</f>
        <v/>
      </c>
      <c r="C895" s="20">
        <f>Разбивка_по_щитам!C900</f>
      </c>
      <c r="D895" s="20">
        <f>Разбивка_по_щитам!F900</f>
      </c>
      <c r="E895" s="20">
        <f>Разбивка_по_щитам!H900</f>
      </c>
      <c r="F895" s="20">
        <f>Разбивка_по_щитам!I900</f>
      </c>
      <c r="G895" s="20">
        <f>Разбивка_по_щитам!J900</f>
        <v/>
      </c>
      <c r="H895" s="20">
        <f>Разбивка_по_щитам!K900</f>
        <v/>
      </c>
      <c r="I895" s="20">
        <f>Разбивка_по_щитам!L900</f>
        <v/>
      </c>
      <c r="J895" s="20">
        <f>Разбивка_по_щитам!M900</f>
        <v/>
      </c>
      <c r="K895" s="20">
        <f>Разбивка_по_щитам!N900</f>
        <v/>
      </c>
      <c r="L895" s="20"/>
      <c r="M895" s="20">
        <f>Разбивка_по_щитам!P900</f>
        <v/>
      </c>
      <c r="N895" s="20"/>
    </row>
    <row r="896" spans="2:14" x14ac:dyDescent="0.25">
      <c r="B896" s="20">
        <f>Разбивка_по_щитам!B901</f>
        <v/>
      </c>
      <c r="C896" s="20">
        <f>Разбивка_по_щитам!C901</f>
      </c>
      <c r="D896" s="20">
        <f>Разбивка_по_щитам!F901</f>
      </c>
      <c r="E896" s="20">
        <f>Разбивка_по_щитам!H901</f>
      </c>
      <c r="F896" s="20">
        <f>Разбивка_по_щитам!I901</f>
      </c>
      <c r="G896" s="20">
        <f>Разбивка_по_щитам!J901</f>
        <v/>
      </c>
      <c r="H896" s="20">
        <f>Разбивка_по_щитам!K901</f>
        <v/>
      </c>
      <c r="I896" s="20">
        <f>Разбивка_по_щитам!L901</f>
        <v/>
      </c>
      <c r="J896" s="20">
        <f>Разбивка_по_щитам!M901</f>
        <v/>
      </c>
      <c r="K896" s="20">
        <f>Разбивка_по_щитам!N901</f>
        <v/>
      </c>
      <c r="L896" s="20"/>
      <c r="M896" s="20">
        <f>Разбивка_по_щитам!P901</f>
        <v/>
      </c>
      <c r="N896" s="20"/>
    </row>
    <row r="897" spans="2:14" x14ac:dyDescent="0.25">
      <c r="B897" s="20">
        <f>Разбивка_по_щитам!B902</f>
        <v/>
      </c>
      <c r="C897" s="20">
        <f>Разбивка_по_щитам!C902</f>
      </c>
      <c r="D897" s="20">
        <f>Разбивка_по_щитам!F902</f>
      </c>
      <c r="E897" s="20">
        <f>Разбивка_по_щитам!H902</f>
      </c>
      <c r="F897" s="20">
        <f>Разбивка_по_щитам!I902</f>
      </c>
      <c r="G897" s="20">
        <f>Разбивка_по_щитам!J902</f>
        <v/>
      </c>
      <c r="H897" s="20">
        <f>Разбивка_по_щитам!K902</f>
        <v/>
      </c>
      <c r="I897" s="20">
        <f>Разбивка_по_щитам!L902</f>
        <v/>
      </c>
      <c r="J897" s="20">
        <f>Разбивка_по_щитам!M902</f>
        <v/>
      </c>
      <c r="K897" s="20">
        <f>Разбивка_по_щитам!N902</f>
        <v/>
      </c>
      <c r="L897" s="20"/>
      <c r="M897" s="20">
        <f>Разбивка_по_щитам!P902</f>
        <v/>
      </c>
      <c r="N897" s="20"/>
    </row>
    <row r="898" spans="2:14" x14ac:dyDescent="0.25">
      <c r="B898" s="20">
        <f>Разбивка_по_щитам!B903</f>
        <v/>
      </c>
      <c r="C898" s="20">
        <f>Разбивка_по_щитам!C903</f>
      </c>
      <c r="D898" s="20">
        <f>Разбивка_по_щитам!F903</f>
      </c>
      <c r="E898" s="20">
        <f>Разбивка_по_щитам!H903</f>
      </c>
      <c r="F898" s="20">
        <f>Разбивка_по_щитам!I903</f>
      </c>
      <c r="G898" s="20">
        <f>Разбивка_по_щитам!J903</f>
        <v/>
      </c>
      <c r="H898" s="20">
        <f>Разбивка_по_щитам!K903</f>
        <v/>
      </c>
      <c r="I898" s="20">
        <f>Разбивка_по_щитам!L903</f>
        <v/>
      </c>
      <c r="J898" s="20">
        <f>Разбивка_по_щитам!M903</f>
        <v/>
      </c>
      <c r="K898" s="20">
        <f>Разбивка_по_щитам!N903</f>
        <v/>
      </c>
      <c r="L898" s="20"/>
      <c r="M898" s="20">
        <f>Разбивка_по_щитам!P903</f>
        <v/>
      </c>
      <c r="N898" s="20"/>
    </row>
    <row r="899" spans="2:14" x14ac:dyDescent="0.25">
      <c r="B899" s="20">
        <f>Разбивка_по_щитам!B904</f>
        <v/>
      </c>
      <c r="C899" s="20">
        <f>Разбивка_по_щитам!C904</f>
      </c>
      <c r="D899" s="20">
        <f>Разбивка_по_щитам!F904</f>
      </c>
      <c r="E899" s="20">
        <f>Разбивка_по_щитам!H904</f>
      </c>
      <c r="F899" s="20">
        <f>Разбивка_по_щитам!I904</f>
      </c>
      <c r="G899" s="20">
        <f>Разбивка_по_щитам!J904</f>
        <v/>
      </c>
      <c r="H899" s="20">
        <f>Разбивка_по_щитам!K904</f>
        <v/>
      </c>
      <c r="I899" s="20">
        <f>Разбивка_по_щитам!L904</f>
        <v/>
      </c>
      <c r="J899" s="20">
        <f>Разбивка_по_щитам!M904</f>
        <v/>
      </c>
      <c r="K899" s="20">
        <f>Разбивка_по_щитам!N904</f>
        <v/>
      </c>
      <c r="L899" s="20"/>
      <c r="M899" s="20">
        <f>Разбивка_по_щитам!P904</f>
        <v/>
      </c>
      <c r="N899" s="20"/>
    </row>
    <row r="900" spans="2:14" x14ac:dyDescent="0.25">
      <c r="B900" s="20">
        <f>Разбивка_по_щитам!B905</f>
        <v/>
      </c>
      <c r="C900" s="20">
        <f>Разбивка_по_щитам!C905</f>
      </c>
      <c r="D900" s="20">
        <f>Разбивка_по_щитам!F905</f>
      </c>
      <c r="E900" s="20">
        <f>Разбивка_по_щитам!H905</f>
      </c>
      <c r="F900" s="20">
        <f>Разбивка_по_щитам!I905</f>
      </c>
      <c r="G900" s="20">
        <f>Разбивка_по_щитам!J905</f>
        <v/>
      </c>
      <c r="H900" s="20">
        <f>Разбивка_по_щитам!K905</f>
        <v/>
      </c>
      <c r="I900" s="20">
        <f>Разбивка_по_щитам!L905</f>
        <v/>
      </c>
      <c r="J900" s="20">
        <f>Разбивка_по_щитам!M905</f>
        <v/>
      </c>
      <c r="K900" s="20">
        <f>Разбивка_по_щитам!N905</f>
        <v/>
      </c>
      <c r="L900" s="20"/>
      <c r="M900" s="20">
        <f>Разбивка_по_щитам!P905</f>
        <v/>
      </c>
      <c r="N900" s="20"/>
    </row>
    <row r="901" spans="2:14" x14ac:dyDescent="0.25">
      <c r="B901" s="20">
        <f>Разбивка_по_щитам!B906</f>
        <v/>
      </c>
      <c r="C901" s="20">
        <f>Разбивка_по_щитам!C906</f>
      </c>
      <c r="D901" s="20">
        <f>Разбивка_по_щитам!F906</f>
      </c>
      <c r="E901" s="20">
        <f>Разбивка_по_щитам!H906</f>
      </c>
      <c r="F901" s="20">
        <f>Разбивка_по_щитам!I906</f>
      </c>
      <c r="G901" s="20">
        <f>Разбивка_по_щитам!J906</f>
        <v/>
      </c>
      <c r="H901" s="20">
        <f>Разбивка_по_щитам!K906</f>
        <v/>
      </c>
      <c r="I901" s="20">
        <f>Разбивка_по_щитам!L906</f>
        <v/>
      </c>
      <c r="J901" s="20">
        <f>Разбивка_по_щитам!M906</f>
        <v/>
      </c>
      <c r="K901" s="20">
        <f>Разбивка_по_щитам!N906</f>
        <v/>
      </c>
      <c r="L901" s="20"/>
      <c r="M901" s="20">
        <f>Разбивка_по_щитам!P906</f>
        <v/>
      </c>
      <c r="N901" s="20"/>
    </row>
    <row r="902" spans="2:14" x14ac:dyDescent="0.25">
      <c r="B902" s="20">
        <f>Разбивка_по_щитам!B907</f>
        <v/>
      </c>
      <c r="C902" s="20">
        <f>Разбивка_по_щитам!C907</f>
      </c>
      <c r="D902" s="20">
        <f>Разбивка_по_щитам!F907</f>
      </c>
      <c r="E902" s="20">
        <f>Разбивка_по_щитам!H907</f>
      </c>
      <c r="F902" s="20">
        <f>Разбивка_по_щитам!I907</f>
      </c>
      <c r="G902" s="20">
        <f>Разбивка_по_щитам!J907</f>
        <v/>
      </c>
      <c r="H902" s="20">
        <f>Разбивка_по_щитам!K907</f>
        <v/>
      </c>
      <c r="I902" s="20">
        <f>Разбивка_по_щитам!L907</f>
        <v/>
      </c>
      <c r="J902" s="20">
        <f>Разбивка_по_щитам!M907</f>
        <v/>
      </c>
      <c r="K902" s="20">
        <f>Разбивка_по_щитам!N907</f>
        <v/>
      </c>
      <c r="L902" s="20"/>
      <c r="M902" s="20">
        <f>Разбивка_по_щитам!P907</f>
        <v/>
      </c>
      <c r="N902" s="20"/>
    </row>
    <row r="903" spans="2:14" x14ac:dyDescent="0.25">
      <c r="B903" s="20">
        <f>Разбивка_по_щитам!B908</f>
        <v/>
      </c>
      <c r="C903" s="20">
        <f>Разбивка_по_щитам!C908</f>
      </c>
      <c r="D903" s="20">
        <f>Разбивка_по_щитам!F908</f>
      </c>
      <c r="E903" s="20">
        <f>Разбивка_по_щитам!H908</f>
      </c>
      <c r="F903" s="20">
        <f>Разбивка_по_щитам!I908</f>
      </c>
      <c r="G903" s="20">
        <f>Разбивка_по_щитам!J908</f>
        <v/>
      </c>
      <c r="H903" s="20">
        <f>Разбивка_по_щитам!K908</f>
        <v/>
      </c>
      <c r="I903" s="20">
        <f>Разбивка_по_щитам!L908</f>
        <v/>
      </c>
      <c r="J903" s="20">
        <f>Разбивка_по_щитам!M908</f>
        <v/>
      </c>
      <c r="K903" s="20">
        <f>Разбивка_по_щитам!N908</f>
        <v/>
      </c>
      <c r="L903" s="20"/>
      <c r="M903" s="20">
        <f>Разбивка_по_щитам!P908</f>
        <v/>
      </c>
      <c r="N903" s="20"/>
    </row>
    <row r="904" spans="2:14" x14ac:dyDescent="0.25">
      <c r="B904" s="20">
        <f>Разбивка_по_щитам!B909</f>
        <v/>
      </c>
      <c r="C904" s="20">
        <f>Разбивка_по_щитам!C909</f>
      </c>
      <c r="D904" s="20">
        <f>Разбивка_по_щитам!F909</f>
      </c>
      <c r="E904" s="20">
        <f>Разбивка_по_щитам!H909</f>
      </c>
      <c r="F904" s="20">
        <f>Разбивка_по_щитам!I909</f>
      </c>
      <c r="G904" s="20">
        <f>Разбивка_по_щитам!J909</f>
        <v/>
      </c>
      <c r="H904" s="20">
        <f>Разбивка_по_щитам!K909</f>
        <v/>
      </c>
      <c r="I904" s="20">
        <f>Разбивка_по_щитам!L909</f>
        <v/>
      </c>
      <c r="J904" s="20">
        <f>Разбивка_по_щитам!M909</f>
        <v/>
      </c>
      <c r="K904" s="20">
        <f>Разбивка_по_щитам!N909</f>
        <v/>
      </c>
      <c r="L904" s="20"/>
      <c r="M904" s="20">
        <f>Разбивка_по_щитам!P909</f>
        <v/>
      </c>
      <c r="N904" s="20"/>
    </row>
    <row r="905" spans="2:14" x14ac:dyDescent="0.25">
      <c r="B905" s="20">
        <f>Разбивка_по_щитам!B910</f>
        <v/>
      </c>
      <c r="C905" s="20">
        <f>Разбивка_по_щитам!C910</f>
      </c>
      <c r="D905" s="20">
        <f>Разбивка_по_щитам!F910</f>
      </c>
      <c r="E905" s="20">
        <f>Разбивка_по_щитам!H910</f>
      </c>
      <c r="F905" s="20">
        <f>Разбивка_по_щитам!I910</f>
      </c>
      <c r="G905" s="20">
        <f>Разбивка_по_щитам!J910</f>
        <v/>
      </c>
      <c r="H905" s="20">
        <f>Разбивка_по_щитам!K910</f>
        <v/>
      </c>
      <c r="I905" s="20">
        <f>Разбивка_по_щитам!L910</f>
        <v/>
      </c>
      <c r="J905" s="20">
        <f>Разбивка_по_щитам!M910</f>
        <v/>
      </c>
      <c r="K905" s="20">
        <f>Разбивка_по_щитам!N910</f>
        <v/>
      </c>
      <c r="L905" s="20"/>
      <c r="M905" s="20">
        <f>Разбивка_по_щитам!P910</f>
        <v/>
      </c>
      <c r="N905" s="20"/>
    </row>
    <row r="906" spans="2:14" x14ac:dyDescent="0.25">
      <c r="B906" s="20">
        <f>Разбивка_по_щитам!B911</f>
        <v/>
      </c>
      <c r="C906" s="20">
        <f>Разбивка_по_щитам!C911</f>
      </c>
      <c r="D906" s="20">
        <f>Разбивка_по_щитам!F911</f>
      </c>
      <c r="E906" s="20">
        <f>Разбивка_по_щитам!H911</f>
      </c>
      <c r="F906" s="20">
        <f>Разбивка_по_щитам!I911</f>
      </c>
      <c r="G906" s="20">
        <f>Разбивка_по_щитам!J911</f>
        <v/>
      </c>
      <c r="H906" s="20">
        <f>Разбивка_по_щитам!K911</f>
        <v/>
      </c>
      <c r="I906" s="20">
        <f>Разбивка_по_щитам!L911</f>
        <v/>
      </c>
      <c r="J906" s="20">
        <f>Разбивка_по_щитам!M911</f>
        <v/>
      </c>
      <c r="K906" s="20">
        <f>Разбивка_по_щитам!N911</f>
        <v/>
      </c>
      <c r="L906" s="20"/>
      <c r="M906" s="20">
        <f>Разбивка_по_щитам!P911</f>
        <v/>
      </c>
      <c r="N906" s="20"/>
    </row>
    <row r="907" spans="2:14" x14ac:dyDescent="0.25">
      <c r="B907" s="20">
        <f>Разбивка_по_щитам!B912</f>
        <v/>
      </c>
      <c r="C907" s="20">
        <f>Разбивка_по_щитам!C912</f>
      </c>
      <c r="D907" s="20">
        <f>Разбивка_по_щитам!F912</f>
      </c>
      <c r="E907" s="20">
        <f>Разбивка_по_щитам!H912</f>
      </c>
      <c r="F907" s="20">
        <f>Разбивка_по_щитам!I912</f>
      </c>
      <c r="G907" s="20">
        <f>Разбивка_по_щитам!J912</f>
        <v/>
      </c>
      <c r="H907" s="20">
        <f>Разбивка_по_щитам!K912</f>
        <v/>
      </c>
      <c r="I907" s="20">
        <f>Разбивка_по_щитам!L912</f>
        <v/>
      </c>
      <c r="J907" s="20">
        <f>Разбивка_по_щитам!M912</f>
        <v/>
      </c>
      <c r="K907" s="20">
        <f>Разбивка_по_щитам!N912</f>
        <v/>
      </c>
      <c r="L907" s="20"/>
      <c r="M907" s="20">
        <f>Разбивка_по_щитам!P912</f>
        <v/>
      </c>
      <c r="N907" s="20"/>
    </row>
    <row r="908" spans="2:14" x14ac:dyDescent="0.25">
      <c r="B908" s="20">
        <f>Разбивка_по_щитам!B913</f>
        <v/>
      </c>
      <c r="C908" s="20">
        <f>Разбивка_по_щитам!C913</f>
      </c>
      <c r="D908" s="20">
        <f>Разбивка_по_щитам!F913</f>
      </c>
      <c r="E908" s="20">
        <f>Разбивка_по_щитам!H913</f>
      </c>
      <c r="F908" s="20">
        <f>Разбивка_по_щитам!I913</f>
      </c>
      <c r="G908" s="20">
        <f>Разбивка_по_щитам!J913</f>
        <v/>
      </c>
      <c r="H908" s="20">
        <f>Разбивка_по_щитам!K913</f>
        <v/>
      </c>
      <c r="I908" s="20">
        <f>Разбивка_по_щитам!L913</f>
        <v/>
      </c>
      <c r="J908" s="20">
        <f>Разбивка_по_щитам!M913</f>
        <v/>
      </c>
      <c r="K908" s="20">
        <f>Разбивка_по_щитам!N913</f>
        <v/>
      </c>
      <c r="L908" s="20"/>
      <c r="M908" s="20">
        <f>Разбивка_по_щитам!P913</f>
        <v/>
      </c>
      <c r="N908" s="20"/>
    </row>
    <row r="909" spans="2:14" x14ac:dyDescent="0.25">
      <c r="B909" s="20">
        <f>Разбивка_по_щитам!B914</f>
        <v/>
      </c>
      <c r="C909" s="20">
        <f>Разбивка_по_щитам!C914</f>
      </c>
      <c r="D909" s="20">
        <f>Разбивка_по_щитам!F914</f>
      </c>
      <c r="E909" s="20">
        <f>Разбивка_по_щитам!H914</f>
      </c>
      <c r="F909" s="20">
        <f>Разбивка_по_щитам!I914</f>
      </c>
      <c r="G909" s="20">
        <f>Разбивка_по_щитам!J914</f>
        <v/>
      </c>
      <c r="H909" s="20">
        <f>Разбивка_по_щитам!K914</f>
        <v/>
      </c>
      <c r="I909" s="20">
        <f>Разбивка_по_щитам!L914</f>
        <v/>
      </c>
      <c r="J909" s="20">
        <f>Разбивка_по_щитам!M914</f>
        <v/>
      </c>
      <c r="K909" s="20">
        <f>Разбивка_по_щитам!N914</f>
        <v/>
      </c>
      <c r="L909" s="20"/>
      <c r="M909" s="20">
        <f>Разбивка_по_щитам!P914</f>
        <v/>
      </c>
      <c r="N909" s="20"/>
    </row>
    <row r="910" spans="2:14" x14ac:dyDescent="0.25">
      <c r="B910" s="20">
        <f>Разбивка_по_щитам!B915</f>
        <v/>
      </c>
      <c r="C910" s="20">
        <f>Разбивка_по_щитам!C915</f>
      </c>
      <c r="D910" s="20">
        <f>Разбивка_по_щитам!F915</f>
      </c>
      <c r="E910" s="20">
        <f>Разбивка_по_щитам!H915</f>
      </c>
      <c r="F910" s="20">
        <f>Разбивка_по_щитам!I915</f>
      </c>
      <c r="G910" s="20">
        <f>Разбивка_по_щитам!J915</f>
        <v/>
      </c>
      <c r="H910" s="20">
        <f>Разбивка_по_щитам!K915</f>
        <v/>
      </c>
      <c r="I910" s="20">
        <f>Разбивка_по_щитам!L915</f>
        <v/>
      </c>
      <c r="J910" s="20">
        <f>Разбивка_по_щитам!M915</f>
        <v/>
      </c>
      <c r="K910" s="20">
        <f>Разбивка_по_щитам!N915</f>
        <v/>
      </c>
      <c r="L910" s="20"/>
      <c r="M910" s="20">
        <f>Разбивка_по_щитам!P915</f>
        <v/>
      </c>
      <c r="N910" s="20"/>
    </row>
    <row r="911" spans="2:14" x14ac:dyDescent="0.25">
      <c r="B911" s="20">
        <f>Разбивка_по_щитам!B916</f>
        <v/>
      </c>
      <c r="C911" s="20">
        <f>Разбивка_по_щитам!C916</f>
      </c>
      <c r="D911" s="20">
        <f>Разбивка_по_щитам!F916</f>
      </c>
      <c r="E911" s="20">
        <f>Разбивка_по_щитам!H916</f>
      </c>
      <c r="F911" s="20">
        <f>Разбивка_по_щитам!I916</f>
      </c>
      <c r="G911" s="20">
        <f>Разбивка_по_щитам!J916</f>
        <v/>
      </c>
      <c r="H911" s="20">
        <f>Разбивка_по_щитам!K916</f>
        <v/>
      </c>
      <c r="I911" s="20">
        <f>Разбивка_по_щитам!L916</f>
        <v/>
      </c>
      <c r="J911" s="20">
        <f>Разбивка_по_щитам!M916</f>
        <v/>
      </c>
      <c r="K911" s="20">
        <f>Разбивка_по_щитам!N916</f>
        <v/>
      </c>
      <c r="L911" s="20"/>
      <c r="M911" s="20">
        <f>Разбивка_по_щитам!P916</f>
        <v/>
      </c>
      <c r="N911" s="20"/>
    </row>
    <row r="912" spans="2:14" x14ac:dyDescent="0.25">
      <c r="B912" s="20">
        <f>Разбивка_по_щитам!B917</f>
        <v/>
      </c>
      <c r="C912" s="20">
        <f>Разбивка_по_щитам!C917</f>
      </c>
      <c r="D912" s="20">
        <f>Разбивка_по_щитам!F917</f>
      </c>
      <c r="E912" s="20">
        <f>Разбивка_по_щитам!H917</f>
      </c>
      <c r="F912" s="20">
        <f>Разбивка_по_щитам!I917</f>
      </c>
      <c r="G912" s="20">
        <f>Разбивка_по_щитам!J917</f>
        <v/>
      </c>
      <c r="H912" s="20">
        <f>Разбивка_по_щитам!K917</f>
        <v/>
      </c>
      <c r="I912" s="20">
        <f>Разбивка_по_щитам!L917</f>
        <v/>
      </c>
      <c r="J912" s="20">
        <f>Разбивка_по_щитам!M917</f>
        <v/>
      </c>
      <c r="K912" s="20">
        <f>Разбивка_по_щитам!N917</f>
        <v/>
      </c>
      <c r="L912" s="20"/>
      <c r="M912" s="20">
        <f>Разбивка_по_щитам!P917</f>
        <v/>
      </c>
      <c r="N912" s="20"/>
    </row>
    <row r="913" spans="2:14" x14ac:dyDescent="0.25">
      <c r="B913" s="20">
        <f>Разбивка_по_щитам!B918</f>
        <v/>
      </c>
      <c r="C913" s="20">
        <f>Разбивка_по_щитам!C918</f>
      </c>
      <c r="D913" s="20">
        <f>Разбивка_по_щитам!F918</f>
      </c>
      <c r="E913" s="20">
        <f>Разбивка_по_щитам!H918</f>
      </c>
      <c r="F913" s="20">
        <f>Разбивка_по_щитам!I918</f>
      </c>
      <c r="G913" s="20">
        <f>Разбивка_по_щитам!J918</f>
        <v/>
      </c>
      <c r="H913" s="20">
        <f>Разбивка_по_щитам!K918</f>
        <v/>
      </c>
      <c r="I913" s="20">
        <f>Разбивка_по_щитам!L918</f>
        <v/>
      </c>
      <c r="J913" s="20">
        <f>Разбивка_по_щитам!M918</f>
        <v/>
      </c>
      <c r="K913" s="20">
        <f>Разбивка_по_щитам!N918</f>
        <v/>
      </c>
      <c r="L913" s="20"/>
      <c r="M913" s="20">
        <f>Разбивка_по_щитам!P918</f>
        <v/>
      </c>
      <c r="N913" s="20"/>
    </row>
    <row r="914" spans="2:14" x14ac:dyDescent="0.25">
      <c r="B914" s="20">
        <f>Разбивка_по_щитам!B919</f>
        <v/>
      </c>
      <c r="C914" s="20">
        <f>Разбивка_по_щитам!C919</f>
      </c>
      <c r="D914" s="20">
        <f>Разбивка_по_щитам!F919</f>
      </c>
      <c r="E914" s="20">
        <f>Разбивка_по_щитам!H919</f>
      </c>
      <c r="F914" s="20">
        <f>Разбивка_по_щитам!I919</f>
      </c>
      <c r="G914" s="20">
        <f>Разбивка_по_щитам!J919</f>
        <v/>
      </c>
      <c r="H914" s="20">
        <f>Разбивка_по_щитам!K919</f>
        <v/>
      </c>
      <c r="I914" s="20">
        <f>Разбивка_по_щитам!L919</f>
        <v/>
      </c>
      <c r="J914" s="20">
        <f>Разбивка_по_щитам!M919</f>
        <v/>
      </c>
      <c r="K914" s="20">
        <f>Разбивка_по_щитам!N919</f>
        <v/>
      </c>
      <c r="L914" s="20"/>
      <c r="M914" s="20">
        <f>Разбивка_по_щитам!P919</f>
        <v/>
      </c>
      <c r="N914" s="20"/>
    </row>
    <row r="915" spans="2:14" x14ac:dyDescent="0.25">
      <c r="B915" s="20">
        <f>Разбивка_по_щитам!B920</f>
        <v/>
      </c>
      <c r="C915" s="20">
        <f>Разбивка_по_щитам!C920</f>
      </c>
      <c r="D915" s="20">
        <f>Разбивка_по_щитам!F920</f>
      </c>
      <c r="E915" s="20">
        <f>Разбивка_по_щитам!H920</f>
      </c>
      <c r="F915" s="20">
        <f>Разбивка_по_щитам!I920</f>
      </c>
      <c r="G915" s="20">
        <f>Разбивка_по_щитам!J920</f>
        <v/>
      </c>
      <c r="H915" s="20">
        <f>Разбивка_по_щитам!K920</f>
        <v/>
      </c>
      <c r="I915" s="20">
        <f>Разбивка_по_щитам!L920</f>
        <v/>
      </c>
      <c r="J915" s="20">
        <f>Разбивка_по_щитам!M920</f>
        <v/>
      </c>
      <c r="K915" s="20">
        <f>Разбивка_по_щитам!N920</f>
        <v/>
      </c>
      <c r="L915" s="20"/>
      <c r="M915" s="20">
        <f>Разбивка_по_щитам!P920</f>
        <v/>
      </c>
      <c r="N915" s="20"/>
    </row>
    <row r="916" spans="2:14" x14ac:dyDescent="0.25">
      <c r="B916" s="20">
        <f>Разбивка_по_щитам!B921</f>
        <v/>
      </c>
      <c r="C916" s="20">
        <f>Разбивка_по_щитам!C921</f>
      </c>
      <c r="D916" s="20">
        <f>Разбивка_по_щитам!F921</f>
      </c>
      <c r="E916" s="20">
        <f>Разбивка_по_щитам!H921</f>
      </c>
      <c r="F916" s="20">
        <f>Разбивка_по_щитам!I921</f>
      </c>
      <c r="G916" s="20">
        <f>Разбивка_по_щитам!J921</f>
        <v/>
      </c>
      <c r="H916" s="20">
        <f>Разбивка_по_щитам!K921</f>
        <v/>
      </c>
      <c r="I916" s="20">
        <f>Разбивка_по_щитам!L921</f>
        <v/>
      </c>
      <c r="J916" s="20">
        <f>Разбивка_по_щитам!M921</f>
        <v/>
      </c>
      <c r="K916" s="20">
        <f>Разбивка_по_щитам!N921</f>
        <v/>
      </c>
      <c r="L916" s="20"/>
      <c r="M916" s="20">
        <f>Разбивка_по_щитам!P921</f>
        <v/>
      </c>
      <c r="N916" s="20"/>
    </row>
    <row r="917" spans="2:14" x14ac:dyDescent="0.25">
      <c r="B917" s="20">
        <f>Разбивка_по_щитам!B922</f>
        <v/>
      </c>
      <c r="C917" s="20">
        <f>Разбивка_по_щитам!C922</f>
      </c>
      <c r="D917" s="20">
        <f>Разбивка_по_щитам!F922</f>
      </c>
      <c r="E917" s="20">
        <f>Разбивка_по_щитам!H922</f>
      </c>
      <c r="F917" s="20">
        <f>Разбивка_по_щитам!I922</f>
      </c>
      <c r="G917" s="20">
        <f>Разбивка_по_щитам!J922</f>
        <v/>
      </c>
      <c r="H917" s="20">
        <f>Разбивка_по_щитам!K922</f>
        <v/>
      </c>
      <c r="I917" s="20">
        <f>Разбивка_по_щитам!L922</f>
        <v/>
      </c>
      <c r="J917" s="20">
        <f>Разбивка_по_щитам!M922</f>
        <v/>
      </c>
      <c r="K917" s="20">
        <f>Разбивка_по_щитам!N922</f>
        <v/>
      </c>
      <c r="L917" s="20"/>
      <c r="M917" s="20">
        <f>Разбивка_по_щитам!P922</f>
        <v/>
      </c>
      <c r="N917" s="20"/>
    </row>
    <row r="918" spans="2:14" x14ac:dyDescent="0.25">
      <c r="B918" s="20">
        <f>Разбивка_по_щитам!B923</f>
        <v/>
      </c>
      <c r="C918" s="20">
        <f>Разбивка_по_щитам!C923</f>
      </c>
      <c r="D918" s="20">
        <f>Разбивка_по_щитам!F923</f>
      </c>
      <c r="E918" s="20">
        <f>Разбивка_по_щитам!H923</f>
      </c>
      <c r="F918" s="20">
        <f>Разбивка_по_щитам!I923</f>
      </c>
      <c r="G918" s="20">
        <f>Разбивка_по_щитам!J923</f>
        <v/>
      </c>
      <c r="H918" s="20">
        <f>Разбивка_по_щитам!K923</f>
        <v/>
      </c>
      <c r="I918" s="20">
        <f>Разбивка_по_щитам!L923</f>
        <v/>
      </c>
      <c r="J918" s="20">
        <f>Разбивка_по_щитам!M923</f>
        <v/>
      </c>
      <c r="K918" s="20">
        <f>Разбивка_по_щитам!N923</f>
        <v/>
      </c>
      <c r="L918" s="20"/>
      <c r="M918" s="20">
        <f>Разбивка_по_щитам!P923</f>
        <v/>
      </c>
      <c r="N918" s="20"/>
    </row>
    <row r="919" spans="2:14" x14ac:dyDescent="0.25">
      <c r="B919" s="20">
        <f>Разбивка_по_щитам!B924</f>
        <v/>
      </c>
      <c r="C919" s="20">
        <f>Разбивка_по_щитам!C924</f>
      </c>
      <c r="D919" s="20">
        <f>Разбивка_по_щитам!F924</f>
      </c>
      <c r="E919" s="20">
        <f>Разбивка_по_щитам!H924</f>
      </c>
      <c r="F919" s="20">
        <f>Разбивка_по_щитам!I924</f>
      </c>
      <c r="G919" s="20">
        <f>Разбивка_по_щитам!J924</f>
        <v/>
      </c>
      <c r="H919" s="20">
        <f>Разбивка_по_щитам!K924</f>
        <v/>
      </c>
      <c r="I919" s="20">
        <f>Разбивка_по_щитам!L924</f>
        <v/>
      </c>
      <c r="J919" s="20">
        <f>Разбивка_по_щитам!M924</f>
        <v/>
      </c>
      <c r="K919" s="20">
        <f>Разбивка_по_щитам!N924</f>
        <v/>
      </c>
      <c r="L919" s="20"/>
      <c r="M919" s="20">
        <f>Разбивка_по_щитам!P924</f>
        <v/>
      </c>
      <c r="N919" s="20"/>
    </row>
    <row r="920" spans="2:14" x14ac:dyDescent="0.25">
      <c r="B920" s="20">
        <f>Разбивка_по_щитам!B925</f>
        <v/>
      </c>
      <c r="C920" s="20">
        <f>Разбивка_по_щитам!C925</f>
      </c>
      <c r="D920" s="20">
        <f>Разбивка_по_щитам!F925</f>
      </c>
      <c r="E920" s="20">
        <f>Разбивка_по_щитам!H925</f>
      </c>
      <c r="F920" s="20">
        <f>Разбивка_по_щитам!I925</f>
      </c>
      <c r="G920" s="20">
        <f>Разбивка_по_щитам!J925</f>
        <v/>
      </c>
      <c r="H920" s="20">
        <f>Разбивка_по_щитам!K925</f>
        <v/>
      </c>
      <c r="I920" s="20">
        <f>Разбивка_по_щитам!L925</f>
        <v/>
      </c>
      <c r="J920" s="20">
        <f>Разбивка_по_щитам!M925</f>
        <v/>
      </c>
      <c r="K920" s="20">
        <f>Разбивка_по_щитам!N925</f>
        <v/>
      </c>
      <c r="L920" s="20"/>
      <c r="M920" s="20">
        <f>Разбивка_по_щитам!P925</f>
        <v/>
      </c>
      <c r="N920" s="20"/>
    </row>
    <row r="921" spans="2:14" x14ac:dyDescent="0.25">
      <c r="B921" s="20">
        <f>Разбивка_по_щитам!B926</f>
        <v/>
      </c>
      <c r="C921" s="20">
        <f>Разбивка_по_щитам!C926</f>
      </c>
      <c r="D921" s="20">
        <f>Разбивка_по_щитам!F926</f>
      </c>
      <c r="E921" s="20">
        <f>Разбивка_по_щитам!H926</f>
      </c>
      <c r="F921" s="20">
        <f>Разбивка_по_щитам!I926</f>
      </c>
      <c r="G921" s="20">
        <f>Разбивка_по_щитам!J926</f>
        <v/>
      </c>
      <c r="H921" s="20">
        <f>Разбивка_по_щитам!K926</f>
        <v/>
      </c>
      <c r="I921" s="20">
        <f>Разбивка_по_щитам!L926</f>
        <v/>
      </c>
      <c r="J921" s="20">
        <f>Разбивка_по_щитам!M926</f>
        <v/>
      </c>
      <c r="K921" s="20">
        <f>Разбивка_по_щитам!N926</f>
        <v/>
      </c>
      <c r="L921" s="20"/>
      <c r="M921" s="20">
        <f>Разбивка_по_щитам!P926</f>
        <v/>
      </c>
      <c r="N921" s="20"/>
    </row>
    <row r="922" spans="2:14" x14ac:dyDescent="0.25">
      <c r="B922" s="20">
        <f>Разбивка_по_щитам!B927</f>
        <v/>
      </c>
      <c r="C922" s="20">
        <f>Разбивка_по_щитам!C927</f>
      </c>
      <c r="D922" s="20">
        <f>Разбивка_по_щитам!F927</f>
      </c>
      <c r="E922" s="20">
        <f>Разбивка_по_щитам!H927</f>
      </c>
      <c r="F922" s="20">
        <f>Разбивка_по_щитам!I927</f>
      </c>
      <c r="G922" s="20">
        <f>Разбивка_по_щитам!J927</f>
        <v/>
      </c>
      <c r="H922" s="20">
        <f>Разбивка_по_щитам!K927</f>
        <v/>
      </c>
      <c r="I922" s="20">
        <f>Разбивка_по_щитам!L927</f>
        <v/>
      </c>
      <c r="J922" s="20">
        <f>Разбивка_по_щитам!M927</f>
        <v/>
      </c>
      <c r="K922" s="20">
        <f>Разбивка_по_щитам!N927</f>
        <v/>
      </c>
      <c r="L922" s="20"/>
      <c r="M922" s="20">
        <f>Разбивка_по_щитам!P927</f>
        <v/>
      </c>
      <c r="N922" s="20"/>
    </row>
    <row r="923" spans="2:14" x14ac:dyDescent="0.25">
      <c r="B923" s="20">
        <f>Разбивка_по_щитам!B928</f>
        <v/>
      </c>
      <c r="C923" s="20">
        <f>Разбивка_по_щитам!C928</f>
      </c>
      <c r="D923" s="20">
        <f>Разбивка_по_щитам!F928</f>
      </c>
      <c r="E923" s="20">
        <f>Разбивка_по_щитам!H928</f>
      </c>
      <c r="F923" s="20">
        <f>Разбивка_по_щитам!I928</f>
      </c>
      <c r="G923" s="20">
        <f>Разбивка_по_щитам!J928</f>
        <v/>
      </c>
      <c r="H923" s="20">
        <f>Разбивка_по_щитам!K928</f>
        <v/>
      </c>
      <c r="I923" s="20">
        <f>Разбивка_по_щитам!L928</f>
        <v/>
      </c>
      <c r="J923" s="20">
        <f>Разбивка_по_щитам!M928</f>
        <v/>
      </c>
      <c r="K923" s="20">
        <f>Разбивка_по_щитам!N928</f>
        <v/>
      </c>
      <c r="L923" s="20"/>
      <c r="M923" s="20">
        <f>Разбивка_по_щитам!P928</f>
        <v/>
      </c>
      <c r="N923" s="20"/>
    </row>
    <row r="924" spans="2:14" x14ac:dyDescent="0.25">
      <c r="B924" s="20">
        <f>Разбивка_по_щитам!B929</f>
        <v/>
      </c>
      <c r="C924" s="20">
        <f>Разбивка_по_щитам!C929</f>
      </c>
      <c r="D924" s="20">
        <f>Разбивка_по_щитам!F929</f>
      </c>
      <c r="E924" s="20">
        <f>Разбивка_по_щитам!H929</f>
      </c>
      <c r="F924" s="20">
        <f>Разбивка_по_щитам!I929</f>
      </c>
      <c r="G924" s="20">
        <f>Разбивка_по_щитам!J929</f>
        <v/>
      </c>
      <c r="H924" s="20">
        <f>Разбивка_по_щитам!K929</f>
        <v/>
      </c>
      <c r="I924" s="20">
        <f>Разбивка_по_щитам!L929</f>
        <v/>
      </c>
      <c r="J924" s="20">
        <f>Разбивка_по_щитам!M929</f>
        <v/>
      </c>
      <c r="K924" s="20">
        <f>Разбивка_по_щитам!N929</f>
        <v/>
      </c>
      <c r="L924" s="20"/>
      <c r="M924" s="20">
        <f>Разбивка_по_щитам!P929</f>
        <v/>
      </c>
      <c r="N924" s="20"/>
    </row>
    <row r="925" spans="2:14" x14ac:dyDescent="0.25">
      <c r="B925" s="20">
        <f>Разбивка_по_щитам!B930</f>
        <v/>
      </c>
      <c r="C925" s="20">
        <f>Разбивка_по_щитам!C930</f>
      </c>
      <c r="D925" s="20">
        <f>Разбивка_по_щитам!F930</f>
      </c>
      <c r="E925" s="20">
        <f>Разбивка_по_щитам!H930</f>
      </c>
      <c r="F925" s="20">
        <f>Разбивка_по_щитам!I930</f>
      </c>
      <c r="G925" s="20">
        <f>Разбивка_по_щитам!J930</f>
        <v/>
      </c>
      <c r="H925" s="20">
        <f>Разбивка_по_щитам!K930</f>
        <v/>
      </c>
      <c r="I925" s="20">
        <f>Разбивка_по_щитам!L930</f>
        <v/>
      </c>
      <c r="J925" s="20">
        <f>Разбивка_по_щитам!M930</f>
        <v/>
      </c>
      <c r="K925" s="20">
        <f>Разбивка_по_щитам!N930</f>
        <v/>
      </c>
      <c r="L925" s="20"/>
      <c r="M925" s="20">
        <f>Разбивка_по_щитам!P930</f>
        <v/>
      </c>
      <c r="N925" s="20"/>
    </row>
    <row r="926" spans="2:14" x14ac:dyDescent="0.25">
      <c r="B926" s="20">
        <f>Разбивка_по_щитам!B931</f>
        <v/>
      </c>
      <c r="C926" s="20">
        <f>Разбивка_по_щитам!C931</f>
      </c>
      <c r="D926" s="20">
        <f>Разбивка_по_щитам!F931</f>
      </c>
      <c r="E926" s="20">
        <f>Разбивка_по_щитам!H931</f>
      </c>
      <c r="F926" s="20">
        <f>Разбивка_по_щитам!I931</f>
      </c>
      <c r="G926" s="20">
        <f>Разбивка_по_щитам!J931</f>
        <v/>
      </c>
      <c r="H926" s="20">
        <f>Разбивка_по_щитам!K931</f>
        <v/>
      </c>
      <c r="I926" s="20">
        <f>Разбивка_по_щитам!L931</f>
        <v/>
      </c>
      <c r="J926" s="20">
        <f>Разбивка_по_щитам!M931</f>
        <v/>
      </c>
      <c r="K926" s="20">
        <f>Разбивка_по_щитам!N931</f>
        <v/>
      </c>
      <c r="L926" s="20"/>
      <c r="M926" s="20">
        <f>Разбивка_по_щитам!P931</f>
        <v/>
      </c>
      <c r="N926" s="20"/>
    </row>
    <row r="927" spans="2:14" x14ac:dyDescent="0.25">
      <c r="B927" s="20">
        <f>Разбивка_по_щитам!B932</f>
        <v/>
      </c>
      <c r="C927" s="20">
        <f>Разбивка_по_щитам!C932</f>
      </c>
      <c r="D927" s="20">
        <f>Разбивка_по_щитам!F932</f>
      </c>
      <c r="E927" s="20">
        <f>Разбивка_по_щитам!H932</f>
      </c>
      <c r="F927" s="20">
        <f>Разбивка_по_щитам!I932</f>
      </c>
      <c r="G927" s="20">
        <f>Разбивка_по_щитам!J932</f>
        <v/>
      </c>
      <c r="H927" s="20">
        <f>Разбивка_по_щитам!K932</f>
        <v/>
      </c>
      <c r="I927" s="20">
        <f>Разбивка_по_щитам!L932</f>
        <v/>
      </c>
      <c r="J927" s="20">
        <f>Разбивка_по_щитам!M932</f>
        <v/>
      </c>
      <c r="K927" s="20">
        <f>Разбивка_по_щитам!N932</f>
        <v/>
      </c>
      <c r="L927" s="20"/>
      <c r="M927" s="20">
        <f>Разбивка_по_щитам!P932</f>
        <v/>
      </c>
      <c r="N927" s="20"/>
    </row>
    <row r="928" spans="2:14" x14ac:dyDescent="0.25">
      <c r="B928" s="20">
        <f>Разбивка_по_щитам!B933</f>
        <v/>
      </c>
      <c r="C928" s="20">
        <f>Разбивка_по_щитам!C933</f>
      </c>
      <c r="D928" s="20">
        <f>Разбивка_по_щитам!F933</f>
      </c>
      <c r="E928" s="20">
        <f>Разбивка_по_щитам!H933</f>
      </c>
      <c r="F928" s="20">
        <f>Разбивка_по_щитам!I933</f>
      </c>
      <c r="G928" s="20">
        <f>Разбивка_по_щитам!J933</f>
        <v/>
      </c>
      <c r="H928" s="20">
        <f>Разбивка_по_щитам!K933</f>
        <v/>
      </c>
      <c r="I928" s="20">
        <f>Разбивка_по_щитам!L933</f>
        <v/>
      </c>
      <c r="J928" s="20">
        <f>Разбивка_по_щитам!M933</f>
        <v/>
      </c>
      <c r="K928" s="20">
        <f>Разбивка_по_щитам!N933</f>
        <v/>
      </c>
      <c r="L928" s="20"/>
      <c r="M928" s="20">
        <f>Разбивка_по_щитам!P933</f>
        <v/>
      </c>
      <c r="N928" s="20"/>
    </row>
    <row r="929" spans="2:14" x14ac:dyDescent="0.25">
      <c r="B929" s="20">
        <f>Разбивка_по_щитам!B934</f>
        <v/>
      </c>
      <c r="C929" s="20">
        <f>Разбивка_по_щитам!C934</f>
      </c>
      <c r="D929" s="20">
        <f>Разбивка_по_щитам!F934</f>
      </c>
      <c r="E929" s="20">
        <f>Разбивка_по_щитам!H934</f>
      </c>
      <c r="F929" s="20">
        <f>Разбивка_по_щитам!I934</f>
      </c>
      <c r="G929" s="20">
        <f>Разбивка_по_щитам!J934</f>
        <v/>
      </c>
      <c r="H929" s="20">
        <f>Разбивка_по_щитам!K934</f>
        <v/>
      </c>
      <c r="I929" s="20">
        <f>Разбивка_по_щитам!L934</f>
        <v/>
      </c>
      <c r="J929" s="20">
        <f>Разбивка_по_щитам!M934</f>
        <v/>
      </c>
      <c r="K929" s="20">
        <f>Разбивка_по_щитам!N934</f>
        <v/>
      </c>
      <c r="L929" s="20"/>
      <c r="M929" s="20">
        <f>Разбивка_по_щитам!P934</f>
        <v/>
      </c>
      <c r="N929" s="20"/>
    </row>
    <row r="930" spans="2:14" x14ac:dyDescent="0.25">
      <c r="B930" s="20">
        <f>Разбивка_по_щитам!B935</f>
        <v/>
      </c>
      <c r="C930" s="20">
        <f>Разбивка_по_щитам!C935</f>
      </c>
      <c r="D930" s="20">
        <f>Разбивка_по_щитам!F935</f>
      </c>
      <c r="E930" s="20">
        <f>Разбивка_по_щитам!H935</f>
      </c>
      <c r="F930" s="20">
        <f>Разбивка_по_щитам!I935</f>
      </c>
      <c r="G930" s="20">
        <f>Разбивка_по_щитам!J935</f>
        <v/>
      </c>
      <c r="H930" s="20">
        <f>Разбивка_по_щитам!K935</f>
        <v/>
      </c>
      <c r="I930" s="20">
        <f>Разбивка_по_щитам!L935</f>
        <v/>
      </c>
      <c r="J930" s="20">
        <f>Разбивка_по_щитам!M935</f>
        <v/>
      </c>
      <c r="K930" s="20">
        <f>Разбивка_по_щитам!N935</f>
        <v/>
      </c>
      <c r="L930" s="20"/>
      <c r="M930" s="20">
        <f>Разбивка_по_щитам!P935</f>
        <v/>
      </c>
      <c r="N930" s="20"/>
    </row>
    <row r="931" spans="2:14" x14ac:dyDescent="0.25">
      <c r="B931" s="20">
        <f>Разбивка_по_щитам!B936</f>
        <v/>
      </c>
      <c r="C931" s="20">
        <f>Разбивка_по_щитам!C936</f>
      </c>
      <c r="D931" s="20">
        <f>Разбивка_по_щитам!F936</f>
      </c>
      <c r="E931" s="20">
        <f>Разбивка_по_щитам!H936</f>
      </c>
      <c r="F931" s="20">
        <f>Разбивка_по_щитам!I936</f>
      </c>
      <c r="G931" s="20">
        <f>Разбивка_по_щитам!J936</f>
        <v/>
      </c>
      <c r="H931" s="20">
        <f>Разбивка_по_щитам!K936</f>
        <v/>
      </c>
      <c r="I931" s="20">
        <f>Разбивка_по_щитам!L936</f>
        <v/>
      </c>
      <c r="J931" s="20">
        <f>Разбивка_по_щитам!M936</f>
        <v/>
      </c>
      <c r="K931" s="20">
        <f>Разбивка_по_щитам!N936</f>
        <v/>
      </c>
      <c r="L931" s="20"/>
      <c r="M931" s="20">
        <f>Разбивка_по_щитам!P936</f>
        <v/>
      </c>
      <c r="N931" s="20"/>
    </row>
    <row r="932" spans="2:14" x14ac:dyDescent="0.25">
      <c r="B932" s="20">
        <f>Разбивка_по_щитам!B937</f>
        <v/>
      </c>
      <c r="C932" s="20">
        <f>Разбивка_по_щитам!C937</f>
      </c>
      <c r="D932" s="20">
        <f>Разбивка_по_щитам!F937</f>
      </c>
      <c r="E932" s="20">
        <f>Разбивка_по_щитам!H937</f>
      </c>
      <c r="F932" s="20">
        <f>Разбивка_по_щитам!I937</f>
      </c>
      <c r="G932" s="20">
        <f>Разбивка_по_щитам!J937</f>
        <v/>
      </c>
      <c r="H932" s="20">
        <f>Разбивка_по_щитам!K937</f>
        <v/>
      </c>
      <c r="I932" s="20">
        <f>Разбивка_по_щитам!L937</f>
        <v/>
      </c>
      <c r="J932" s="20">
        <f>Разбивка_по_щитам!M937</f>
        <v/>
      </c>
      <c r="K932" s="20">
        <f>Разбивка_по_щитам!N937</f>
        <v/>
      </c>
      <c r="L932" s="20"/>
      <c r="M932" s="20">
        <f>Разбивка_по_щитам!P937</f>
        <v/>
      </c>
      <c r="N932" s="20"/>
    </row>
    <row r="933" spans="2:14" x14ac:dyDescent="0.25">
      <c r="B933" s="20">
        <f>Разбивка_по_щитам!B938</f>
        <v/>
      </c>
      <c r="C933" s="20">
        <f>Разбивка_по_щитам!C938</f>
      </c>
      <c r="D933" s="20">
        <f>Разбивка_по_щитам!F938</f>
      </c>
      <c r="E933" s="20">
        <f>Разбивка_по_щитам!H938</f>
      </c>
      <c r="F933" s="20">
        <f>Разбивка_по_щитам!I938</f>
      </c>
      <c r="G933" s="20">
        <f>Разбивка_по_щитам!J938</f>
        <v/>
      </c>
      <c r="H933" s="20">
        <f>Разбивка_по_щитам!K938</f>
        <v/>
      </c>
      <c r="I933" s="20">
        <f>Разбивка_по_щитам!L938</f>
        <v/>
      </c>
      <c r="J933" s="20">
        <f>Разбивка_по_щитам!M938</f>
        <v/>
      </c>
      <c r="K933" s="20">
        <f>Разбивка_по_щитам!N938</f>
        <v/>
      </c>
      <c r="L933" s="20"/>
      <c r="M933" s="20">
        <f>Разбивка_по_щитам!P938</f>
        <v/>
      </c>
      <c r="N933" s="20"/>
    </row>
    <row r="934" spans="2:14" x14ac:dyDescent="0.25">
      <c r="B934" s="20">
        <f>Разбивка_по_щитам!B939</f>
        <v/>
      </c>
      <c r="C934" s="20">
        <f>Разбивка_по_щитам!C939</f>
      </c>
      <c r="D934" s="20">
        <f>Разбивка_по_щитам!F939</f>
      </c>
      <c r="E934" s="20">
        <f>Разбивка_по_щитам!H939</f>
      </c>
      <c r="F934" s="20">
        <f>Разбивка_по_щитам!I939</f>
      </c>
      <c r="G934" s="20">
        <f>Разбивка_по_щитам!J939</f>
        <v/>
      </c>
      <c r="H934" s="20">
        <f>Разбивка_по_щитам!K939</f>
        <v/>
      </c>
      <c r="I934" s="20">
        <f>Разбивка_по_щитам!L939</f>
        <v/>
      </c>
      <c r="J934" s="20">
        <f>Разбивка_по_щитам!M939</f>
        <v/>
      </c>
      <c r="K934" s="20">
        <f>Разбивка_по_щитам!N939</f>
        <v/>
      </c>
      <c r="L934" s="20"/>
      <c r="M934" s="20">
        <f>Разбивка_по_щитам!P939</f>
        <v/>
      </c>
      <c r="N934" s="20"/>
    </row>
    <row r="935" spans="2:14" x14ac:dyDescent="0.25">
      <c r="B935" s="20">
        <f>Разбивка_по_щитам!B940</f>
        <v/>
      </c>
      <c r="C935" s="20">
        <f>Разбивка_по_щитам!C940</f>
      </c>
      <c r="D935" s="20">
        <f>Разбивка_по_щитам!F940</f>
      </c>
      <c r="E935" s="20">
        <f>Разбивка_по_щитам!H940</f>
      </c>
      <c r="F935" s="20">
        <f>Разбивка_по_щитам!I940</f>
      </c>
      <c r="G935" s="20">
        <f>Разбивка_по_щитам!J940</f>
        <v/>
      </c>
      <c r="H935" s="20">
        <f>Разбивка_по_щитам!K940</f>
        <v/>
      </c>
      <c r="I935" s="20">
        <f>Разбивка_по_щитам!L940</f>
        <v/>
      </c>
      <c r="J935" s="20">
        <f>Разбивка_по_щитам!M940</f>
        <v/>
      </c>
      <c r="K935" s="20">
        <f>Разбивка_по_щитам!N940</f>
        <v/>
      </c>
      <c r="L935" s="20"/>
      <c r="M935" s="20">
        <f>Разбивка_по_щитам!P940</f>
        <v/>
      </c>
      <c r="N935" s="20"/>
    </row>
    <row r="936" spans="2:14" x14ac:dyDescent="0.25">
      <c r="B936" s="20">
        <f>Разбивка_по_щитам!B941</f>
        <v/>
      </c>
      <c r="C936" s="20">
        <f>Разбивка_по_щитам!C941</f>
      </c>
      <c r="D936" s="20">
        <f>Разбивка_по_щитам!F941</f>
      </c>
      <c r="E936" s="20">
        <f>Разбивка_по_щитам!H941</f>
      </c>
      <c r="F936" s="20">
        <f>Разбивка_по_щитам!I941</f>
      </c>
      <c r="G936" s="20">
        <f>Разбивка_по_щитам!J941</f>
        <v/>
      </c>
      <c r="H936" s="20">
        <f>Разбивка_по_щитам!K941</f>
        <v/>
      </c>
      <c r="I936" s="20">
        <f>Разбивка_по_щитам!L941</f>
        <v/>
      </c>
      <c r="J936" s="20">
        <f>Разбивка_по_щитам!M941</f>
        <v/>
      </c>
      <c r="K936" s="20">
        <f>Разбивка_по_щитам!N941</f>
        <v/>
      </c>
      <c r="L936" s="20"/>
      <c r="M936" s="20">
        <f>Разбивка_по_щитам!P941</f>
        <v/>
      </c>
      <c r="N936" s="20"/>
    </row>
    <row r="937" spans="2:14" x14ac:dyDescent="0.25">
      <c r="B937" s="20">
        <f>Разбивка_по_щитам!B942</f>
        <v/>
      </c>
      <c r="C937" s="20">
        <f>Разбивка_по_щитам!C942</f>
      </c>
      <c r="D937" s="20">
        <f>Разбивка_по_щитам!F942</f>
      </c>
      <c r="E937" s="20">
        <f>Разбивка_по_щитам!H942</f>
      </c>
      <c r="F937" s="20">
        <f>Разбивка_по_щитам!I942</f>
      </c>
      <c r="G937" s="20">
        <f>Разбивка_по_щитам!J942</f>
        <v/>
      </c>
      <c r="H937" s="20">
        <f>Разбивка_по_щитам!K942</f>
        <v/>
      </c>
      <c r="I937" s="20">
        <f>Разбивка_по_щитам!L942</f>
        <v/>
      </c>
      <c r="J937" s="20">
        <f>Разбивка_по_щитам!M942</f>
        <v/>
      </c>
      <c r="K937" s="20">
        <f>Разбивка_по_щитам!N942</f>
        <v/>
      </c>
      <c r="L937" s="20"/>
      <c r="M937" s="20">
        <f>Разбивка_по_щитам!P942</f>
        <v/>
      </c>
      <c r="N937" s="20"/>
    </row>
    <row r="938" spans="2:14" x14ac:dyDescent="0.25">
      <c r="B938" s="20">
        <f>Разбивка_по_щитам!B943</f>
        <v/>
      </c>
      <c r="C938" s="20">
        <f>Разбивка_по_щитам!C943</f>
      </c>
      <c r="D938" s="20">
        <f>Разбивка_по_щитам!F943</f>
      </c>
      <c r="E938" s="20">
        <f>Разбивка_по_щитам!H943</f>
      </c>
      <c r="F938" s="20">
        <f>Разбивка_по_щитам!I943</f>
      </c>
      <c r="G938" s="20">
        <f>Разбивка_по_щитам!J943</f>
        <v/>
      </c>
      <c r="H938" s="20">
        <f>Разбивка_по_щитам!K943</f>
        <v/>
      </c>
      <c r="I938" s="20">
        <f>Разбивка_по_щитам!L943</f>
        <v/>
      </c>
      <c r="J938" s="20">
        <f>Разбивка_по_щитам!M943</f>
        <v/>
      </c>
      <c r="K938" s="20">
        <f>Разбивка_по_щитам!N943</f>
        <v/>
      </c>
      <c r="L938" s="20"/>
      <c r="M938" s="20">
        <f>Разбивка_по_щитам!P943</f>
        <v/>
      </c>
      <c r="N938" s="20"/>
    </row>
    <row r="939" spans="2:14" x14ac:dyDescent="0.25">
      <c r="B939" s="20">
        <f>Разбивка_по_щитам!B944</f>
        <v/>
      </c>
      <c r="C939" s="20">
        <f>Разбивка_по_щитам!C944</f>
      </c>
      <c r="D939" s="20">
        <f>Разбивка_по_щитам!F944</f>
      </c>
      <c r="E939" s="20">
        <f>Разбивка_по_щитам!H944</f>
      </c>
      <c r="F939" s="20">
        <f>Разбивка_по_щитам!I944</f>
      </c>
      <c r="G939" s="20">
        <f>Разбивка_по_щитам!J944</f>
        <v/>
      </c>
      <c r="H939" s="20">
        <f>Разбивка_по_щитам!K944</f>
        <v/>
      </c>
      <c r="I939" s="20">
        <f>Разбивка_по_щитам!L944</f>
        <v/>
      </c>
      <c r="J939" s="20">
        <f>Разбивка_по_щитам!M944</f>
        <v/>
      </c>
      <c r="K939" s="20">
        <f>Разбивка_по_щитам!N944</f>
        <v/>
      </c>
      <c r="L939" s="20"/>
      <c r="M939" s="20">
        <f>Разбивка_по_щитам!P944</f>
        <v/>
      </c>
      <c r="N939" s="20"/>
    </row>
    <row r="940" spans="2:14" x14ac:dyDescent="0.25">
      <c r="B940" s="20">
        <f>Разбивка_по_щитам!B945</f>
        <v/>
      </c>
      <c r="C940" s="20">
        <f>Разбивка_по_щитам!C945</f>
      </c>
      <c r="D940" s="20">
        <f>Разбивка_по_щитам!F945</f>
      </c>
      <c r="E940" s="20">
        <f>Разбивка_по_щитам!H945</f>
      </c>
      <c r="F940" s="20">
        <f>Разбивка_по_щитам!I945</f>
      </c>
      <c r="G940" s="20">
        <f>Разбивка_по_щитам!J945</f>
        <v/>
      </c>
      <c r="H940" s="20">
        <f>Разбивка_по_щитам!K945</f>
        <v/>
      </c>
      <c r="I940" s="20">
        <f>Разбивка_по_щитам!L945</f>
        <v/>
      </c>
      <c r="J940" s="20">
        <f>Разбивка_по_щитам!M945</f>
        <v/>
      </c>
      <c r="K940" s="20">
        <f>Разбивка_по_щитам!N945</f>
        <v/>
      </c>
      <c r="L940" s="20"/>
      <c r="M940" s="20">
        <f>Разбивка_по_щитам!P945</f>
        <v/>
      </c>
      <c r="N940" s="20"/>
    </row>
    <row r="941" spans="2:14" x14ac:dyDescent="0.25">
      <c r="B941" s="20">
        <f>Разбивка_по_щитам!B946</f>
        <v/>
      </c>
      <c r="C941" s="20">
        <f>Разбивка_по_щитам!C946</f>
      </c>
      <c r="D941" s="20">
        <f>Разбивка_по_щитам!F946</f>
      </c>
      <c r="E941" s="20">
        <f>Разбивка_по_щитам!H946</f>
      </c>
      <c r="F941" s="20">
        <f>Разбивка_по_щитам!I946</f>
      </c>
      <c r="G941" s="20">
        <f>Разбивка_по_щитам!J946</f>
        <v/>
      </c>
      <c r="H941" s="20">
        <f>Разбивка_по_щитам!K946</f>
        <v/>
      </c>
      <c r="I941" s="20">
        <f>Разбивка_по_щитам!L946</f>
        <v/>
      </c>
      <c r="J941" s="20">
        <f>Разбивка_по_щитам!M946</f>
        <v/>
      </c>
      <c r="K941" s="20">
        <f>Разбивка_по_щитам!N946</f>
        <v/>
      </c>
      <c r="L941" s="20"/>
      <c r="M941" s="20">
        <f>Разбивка_по_щитам!P946</f>
        <v/>
      </c>
      <c r="N941" s="20"/>
    </row>
    <row r="942" spans="2:14" x14ac:dyDescent="0.25">
      <c r="B942" s="20">
        <f>Разбивка_по_щитам!B947</f>
        <v/>
      </c>
      <c r="C942" s="20">
        <f>Разбивка_по_щитам!C947</f>
      </c>
      <c r="D942" s="20">
        <f>Разбивка_по_щитам!F947</f>
      </c>
      <c r="E942" s="20">
        <f>Разбивка_по_щитам!H947</f>
      </c>
      <c r="F942" s="20">
        <f>Разбивка_по_щитам!I947</f>
      </c>
      <c r="G942" s="20">
        <f>Разбивка_по_щитам!J947</f>
        <v/>
      </c>
      <c r="H942" s="20">
        <f>Разбивка_по_щитам!K947</f>
        <v/>
      </c>
      <c r="I942" s="20">
        <f>Разбивка_по_щитам!L947</f>
        <v/>
      </c>
      <c r="J942" s="20">
        <f>Разбивка_по_щитам!M947</f>
        <v/>
      </c>
      <c r="K942" s="20">
        <f>Разбивка_по_щитам!N947</f>
        <v/>
      </c>
      <c r="L942" s="20"/>
      <c r="M942" s="20">
        <f>Разбивка_по_щитам!P947</f>
        <v/>
      </c>
      <c r="N942" s="20"/>
    </row>
    <row r="943" spans="2:14" x14ac:dyDescent="0.25">
      <c r="B943" s="20">
        <f>Разбивка_по_щитам!B948</f>
        <v/>
      </c>
      <c r="C943" s="20">
        <f>Разбивка_по_щитам!C948</f>
      </c>
      <c r="D943" s="20">
        <f>Разбивка_по_щитам!F948</f>
      </c>
      <c r="E943" s="20">
        <f>Разбивка_по_щитам!H948</f>
      </c>
      <c r="F943" s="20">
        <f>Разбивка_по_щитам!I948</f>
      </c>
      <c r="G943" s="20">
        <f>Разбивка_по_щитам!J948</f>
        <v/>
      </c>
      <c r="H943" s="20">
        <f>Разбивка_по_щитам!K948</f>
        <v/>
      </c>
      <c r="I943" s="20">
        <f>Разбивка_по_щитам!L948</f>
        <v/>
      </c>
      <c r="J943" s="20">
        <f>Разбивка_по_щитам!M948</f>
        <v/>
      </c>
      <c r="K943" s="20">
        <f>Разбивка_по_щитам!N948</f>
        <v/>
      </c>
      <c r="L943" s="20"/>
      <c r="M943" s="20">
        <f>Разбивка_по_щитам!P948</f>
        <v/>
      </c>
      <c r="N943" s="20"/>
    </row>
    <row r="944" spans="2:14" x14ac:dyDescent="0.25">
      <c r="B944" s="20">
        <f>Разбивка_по_щитам!B949</f>
        <v/>
      </c>
      <c r="C944" s="20">
        <f>Разбивка_по_щитам!C949</f>
      </c>
      <c r="D944" s="20">
        <f>Разбивка_по_щитам!F949</f>
      </c>
      <c r="E944" s="20">
        <f>Разбивка_по_щитам!H949</f>
      </c>
      <c r="F944" s="20">
        <f>Разбивка_по_щитам!I949</f>
      </c>
      <c r="G944" s="20">
        <f>Разбивка_по_щитам!J949</f>
        <v/>
      </c>
      <c r="H944" s="20">
        <f>Разбивка_по_щитам!K949</f>
        <v/>
      </c>
      <c r="I944" s="20">
        <f>Разбивка_по_щитам!L949</f>
        <v/>
      </c>
      <c r="J944" s="20">
        <f>Разбивка_по_щитам!M949</f>
        <v/>
      </c>
      <c r="K944" s="20">
        <f>Разбивка_по_щитам!N949</f>
        <v/>
      </c>
      <c r="L944" s="20"/>
      <c r="M944" s="20">
        <f>Разбивка_по_щитам!P949</f>
        <v/>
      </c>
      <c r="N944" s="20"/>
    </row>
    <row r="945" spans="2:14" x14ac:dyDescent="0.25">
      <c r="B945" s="20">
        <f>Разбивка_по_щитам!B950</f>
        <v/>
      </c>
      <c r="C945" s="20">
        <f>Разбивка_по_щитам!C950</f>
      </c>
      <c r="D945" s="20">
        <f>Разбивка_по_щитам!F950</f>
      </c>
      <c r="E945" s="20">
        <f>Разбивка_по_щитам!H950</f>
      </c>
      <c r="F945" s="20">
        <f>Разбивка_по_щитам!I950</f>
      </c>
      <c r="G945" s="20">
        <f>Разбивка_по_щитам!J950</f>
        <v/>
      </c>
      <c r="H945" s="20">
        <f>Разбивка_по_щитам!K950</f>
        <v/>
      </c>
      <c r="I945" s="20">
        <f>Разбивка_по_щитам!L950</f>
        <v/>
      </c>
      <c r="J945" s="20">
        <f>Разбивка_по_щитам!M950</f>
        <v/>
      </c>
      <c r="K945" s="20">
        <f>Разбивка_по_щитам!N950</f>
        <v/>
      </c>
      <c r="L945" s="20"/>
      <c r="M945" s="20">
        <f>Разбивка_по_щитам!P950</f>
        <v/>
      </c>
      <c r="N945" s="20"/>
    </row>
    <row r="946" spans="2:14" x14ac:dyDescent="0.25">
      <c r="B946" s="20">
        <f>Разбивка_по_щитам!B951</f>
        <v/>
      </c>
      <c r="C946" s="20">
        <f>Разбивка_по_щитам!C951</f>
      </c>
      <c r="D946" s="20">
        <f>Разбивка_по_щитам!F951</f>
      </c>
      <c r="E946" s="20">
        <f>Разбивка_по_щитам!H951</f>
      </c>
      <c r="F946" s="20">
        <f>Разбивка_по_щитам!I951</f>
      </c>
      <c r="G946" s="20">
        <f>Разбивка_по_щитам!J951</f>
        <v/>
      </c>
      <c r="H946" s="20">
        <f>Разбивка_по_щитам!K951</f>
        <v/>
      </c>
      <c r="I946" s="20">
        <f>Разбивка_по_щитам!L951</f>
        <v/>
      </c>
      <c r="J946" s="20">
        <f>Разбивка_по_щитам!M951</f>
        <v/>
      </c>
      <c r="K946" s="20">
        <f>Разбивка_по_щитам!N951</f>
        <v/>
      </c>
      <c r="L946" s="20"/>
      <c r="M946" s="20">
        <f>Разбивка_по_щитам!P951</f>
        <v/>
      </c>
      <c r="N946" s="20"/>
    </row>
    <row r="947" spans="2:14" x14ac:dyDescent="0.25">
      <c r="B947" s="20">
        <f>Разбивка_по_щитам!B952</f>
        <v/>
      </c>
      <c r="C947" s="20">
        <f>Разбивка_по_щитам!C952</f>
      </c>
      <c r="D947" s="20">
        <f>Разбивка_по_щитам!F952</f>
      </c>
      <c r="E947" s="20">
        <f>Разбивка_по_щитам!H952</f>
      </c>
      <c r="F947" s="20">
        <f>Разбивка_по_щитам!I952</f>
      </c>
      <c r="G947" s="20">
        <f>Разбивка_по_щитам!J952</f>
        <v/>
      </c>
      <c r="H947" s="20">
        <f>Разбивка_по_щитам!K952</f>
        <v/>
      </c>
      <c r="I947" s="20">
        <f>Разбивка_по_щитам!L952</f>
        <v/>
      </c>
      <c r="J947" s="20">
        <f>Разбивка_по_щитам!M952</f>
        <v/>
      </c>
      <c r="K947" s="20">
        <f>Разбивка_по_щитам!N952</f>
        <v/>
      </c>
      <c r="L947" s="20"/>
      <c r="M947" s="20">
        <f>Разбивка_по_щитам!P952</f>
        <v/>
      </c>
      <c r="N947" s="20"/>
    </row>
    <row r="948" spans="2:14" x14ac:dyDescent="0.25">
      <c r="B948" s="20">
        <f>Разбивка_по_щитам!B953</f>
        <v/>
      </c>
      <c r="C948" s="20">
        <f>Разбивка_по_щитам!C953</f>
      </c>
      <c r="D948" s="20">
        <f>Разбивка_по_щитам!F953</f>
      </c>
      <c r="E948" s="20">
        <f>Разбивка_по_щитам!H953</f>
      </c>
      <c r="F948" s="20">
        <f>Разбивка_по_щитам!I953</f>
      </c>
      <c r="G948" s="20">
        <f>Разбивка_по_щитам!J953</f>
        <v/>
      </c>
      <c r="H948" s="20">
        <f>Разбивка_по_щитам!K953</f>
        <v/>
      </c>
      <c r="I948" s="20">
        <f>Разбивка_по_щитам!L953</f>
        <v/>
      </c>
      <c r="J948" s="20">
        <f>Разбивка_по_щитам!M953</f>
        <v/>
      </c>
      <c r="K948" s="20">
        <f>Разбивка_по_щитам!N953</f>
        <v/>
      </c>
      <c r="L948" s="20"/>
      <c r="M948" s="20">
        <f>Разбивка_по_щитам!P953</f>
        <v/>
      </c>
      <c r="N948" s="20"/>
    </row>
    <row r="949" spans="2:14" x14ac:dyDescent="0.25">
      <c r="B949" s="20">
        <f>Разбивка_по_щитам!B954</f>
        <v/>
      </c>
      <c r="C949" s="20">
        <f>Разбивка_по_щитам!C954</f>
      </c>
      <c r="D949" s="20">
        <f>Разбивка_по_щитам!F954</f>
      </c>
      <c r="E949" s="20">
        <f>Разбивка_по_щитам!H954</f>
      </c>
      <c r="F949" s="20">
        <f>Разбивка_по_щитам!I954</f>
      </c>
      <c r="G949" s="20">
        <f>Разбивка_по_щитам!J954</f>
        <v/>
      </c>
      <c r="H949" s="20">
        <f>Разбивка_по_щитам!K954</f>
        <v/>
      </c>
      <c r="I949" s="20">
        <f>Разбивка_по_щитам!L954</f>
        <v/>
      </c>
      <c r="J949" s="20">
        <f>Разбивка_по_щитам!M954</f>
        <v/>
      </c>
      <c r="K949" s="20">
        <f>Разбивка_по_щитам!N954</f>
        <v/>
      </c>
      <c r="L949" s="20"/>
      <c r="M949" s="20">
        <f>Разбивка_по_щитам!P954</f>
        <v/>
      </c>
      <c r="N949" s="20"/>
    </row>
    <row r="950" spans="2:14" x14ac:dyDescent="0.25">
      <c r="B950" s="20">
        <f>Разбивка_по_щитам!B955</f>
        <v/>
      </c>
      <c r="C950" s="20">
        <f>Разбивка_по_щитам!C955</f>
      </c>
      <c r="D950" s="20">
        <f>Разбивка_по_щитам!F955</f>
      </c>
      <c r="E950" s="20">
        <f>Разбивка_по_щитам!H955</f>
      </c>
      <c r="F950" s="20">
        <f>Разбивка_по_щитам!I955</f>
      </c>
      <c r="G950" s="20">
        <f>Разбивка_по_щитам!J955</f>
        <v/>
      </c>
      <c r="H950" s="20">
        <f>Разбивка_по_щитам!K955</f>
        <v/>
      </c>
      <c r="I950" s="20">
        <f>Разбивка_по_щитам!L955</f>
        <v/>
      </c>
      <c r="J950" s="20">
        <f>Разбивка_по_щитам!M955</f>
        <v/>
      </c>
      <c r="K950" s="20">
        <f>Разбивка_по_щитам!N955</f>
        <v/>
      </c>
      <c r="L950" s="20"/>
      <c r="M950" s="20">
        <f>Разбивка_по_щитам!P955</f>
        <v/>
      </c>
      <c r="N950" s="20"/>
    </row>
    <row r="951" spans="2:14" x14ac:dyDescent="0.25">
      <c r="B951" s="20">
        <f>Разбивка_по_щитам!B956</f>
        <v/>
      </c>
      <c r="C951" s="20">
        <f>Разбивка_по_щитам!C956</f>
      </c>
      <c r="D951" s="20">
        <f>Разбивка_по_щитам!F956</f>
      </c>
      <c r="E951" s="20">
        <f>Разбивка_по_щитам!H956</f>
      </c>
      <c r="F951" s="20">
        <f>Разбивка_по_щитам!I956</f>
      </c>
      <c r="G951" s="20">
        <f>Разбивка_по_щитам!J956</f>
        <v/>
      </c>
      <c r="H951" s="20">
        <f>Разбивка_по_щитам!K956</f>
        <v/>
      </c>
      <c r="I951" s="20">
        <f>Разбивка_по_щитам!L956</f>
        <v/>
      </c>
      <c r="J951" s="20">
        <f>Разбивка_по_щитам!M956</f>
        <v/>
      </c>
      <c r="K951" s="20">
        <f>Разбивка_по_щитам!N956</f>
        <v/>
      </c>
      <c r="L951" s="20"/>
      <c r="M951" s="20">
        <f>Разбивка_по_щитам!P956</f>
        <v/>
      </c>
      <c r="N951" s="20"/>
    </row>
    <row r="952" spans="2:14" x14ac:dyDescent="0.25">
      <c r="B952" s="20">
        <f>Разбивка_по_щитам!B957</f>
        <v/>
      </c>
      <c r="C952" s="20">
        <f>Разбивка_по_щитам!C957</f>
      </c>
      <c r="D952" s="20">
        <f>Разбивка_по_щитам!F957</f>
      </c>
      <c r="E952" s="20">
        <f>Разбивка_по_щитам!H957</f>
      </c>
      <c r="F952" s="20">
        <f>Разбивка_по_щитам!I957</f>
      </c>
      <c r="G952" s="20">
        <f>Разбивка_по_щитам!J957</f>
        <v/>
      </c>
      <c r="H952" s="20">
        <f>Разбивка_по_щитам!K957</f>
        <v/>
      </c>
      <c r="I952" s="20">
        <f>Разбивка_по_щитам!L957</f>
        <v/>
      </c>
      <c r="J952" s="20">
        <f>Разбивка_по_щитам!M957</f>
        <v/>
      </c>
      <c r="K952" s="20">
        <f>Разбивка_по_щитам!N957</f>
        <v/>
      </c>
      <c r="L952" s="20"/>
      <c r="M952" s="20">
        <f>Разбивка_по_щитам!P957</f>
        <v/>
      </c>
      <c r="N952" s="20"/>
    </row>
    <row r="953" spans="2:14" x14ac:dyDescent="0.25">
      <c r="B953" s="20">
        <f>Разбивка_по_щитам!B958</f>
        <v/>
      </c>
      <c r="C953" s="20">
        <f>Разбивка_по_щитам!C958</f>
      </c>
      <c r="D953" s="20">
        <f>Разбивка_по_щитам!F958</f>
      </c>
      <c r="E953" s="20">
        <f>Разбивка_по_щитам!H958</f>
      </c>
      <c r="F953" s="20">
        <f>Разбивка_по_щитам!I958</f>
      </c>
      <c r="G953" s="20">
        <f>Разбивка_по_щитам!J958</f>
        <v/>
      </c>
      <c r="H953" s="20">
        <f>Разбивка_по_щитам!K958</f>
        <v/>
      </c>
      <c r="I953" s="20">
        <f>Разбивка_по_щитам!L958</f>
        <v/>
      </c>
      <c r="J953" s="20">
        <f>Разбивка_по_щитам!M958</f>
        <v/>
      </c>
      <c r="K953" s="20">
        <f>Разбивка_по_щитам!N958</f>
        <v/>
      </c>
      <c r="L953" s="20"/>
      <c r="M953" s="20">
        <f>Разбивка_по_щитам!P958</f>
        <v/>
      </c>
      <c r="N953" s="20"/>
    </row>
    <row r="954" spans="2:14" x14ac:dyDescent="0.25">
      <c r="B954" s="20">
        <f>Разбивка_по_щитам!B959</f>
        <v/>
      </c>
      <c r="C954" s="20">
        <f>Разбивка_по_щитам!C959</f>
      </c>
      <c r="D954" s="20">
        <f>Разбивка_по_щитам!F959</f>
      </c>
      <c r="E954" s="20">
        <f>Разбивка_по_щитам!H959</f>
      </c>
      <c r="F954" s="20">
        <f>Разбивка_по_щитам!I959</f>
      </c>
      <c r="G954" s="20">
        <f>Разбивка_по_щитам!J959</f>
        <v/>
      </c>
      <c r="H954" s="20">
        <f>Разбивка_по_щитам!K959</f>
        <v/>
      </c>
      <c r="I954" s="20">
        <f>Разбивка_по_щитам!L959</f>
        <v/>
      </c>
      <c r="J954" s="20">
        <f>Разбивка_по_щитам!M959</f>
        <v/>
      </c>
      <c r="K954" s="20">
        <f>Разбивка_по_щитам!N959</f>
        <v/>
      </c>
      <c r="L954" s="20"/>
      <c r="M954" s="20">
        <f>Разбивка_по_щитам!P959</f>
        <v/>
      </c>
      <c r="N954" s="20"/>
    </row>
    <row r="955" spans="2:14" x14ac:dyDescent="0.25">
      <c r="B955" s="20">
        <f>Разбивка_по_щитам!B960</f>
        <v/>
      </c>
      <c r="C955" s="20">
        <f>Разбивка_по_щитам!C960</f>
      </c>
      <c r="D955" s="20">
        <f>Разбивка_по_щитам!F960</f>
      </c>
      <c r="E955" s="20">
        <f>Разбивка_по_щитам!H960</f>
      </c>
      <c r="F955" s="20">
        <f>Разбивка_по_щитам!I960</f>
      </c>
      <c r="G955" s="20">
        <f>Разбивка_по_щитам!J960</f>
        <v/>
      </c>
      <c r="H955" s="20">
        <f>Разбивка_по_щитам!K960</f>
        <v/>
      </c>
      <c r="I955" s="20">
        <f>Разбивка_по_щитам!L960</f>
        <v/>
      </c>
      <c r="J955" s="20">
        <f>Разбивка_по_щитам!M960</f>
        <v/>
      </c>
      <c r="K955" s="20">
        <f>Разбивка_по_щитам!N960</f>
        <v/>
      </c>
      <c r="L955" s="20"/>
      <c r="M955" s="20">
        <f>Разбивка_по_щитам!P960</f>
        <v/>
      </c>
      <c r="N955" s="20"/>
    </row>
    <row r="956" spans="2:14" x14ac:dyDescent="0.25">
      <c r="B956" s="20">
        <f>Разбивка_по_щитам!B961</f>
        <v/>
      </c>
      <c r="C956" s="20">
        <f>Разбивка_по_щитам!C961</f>
      </c>
      <c r="D956" s="20">
        <f>Разбивка_по_щитам!F961</f>
      </c>
      <c r="E956" s="20">
        <f>Разбивка_по_щитам!H961</f>
      </c>
      <c r="F956" s="20">
        <f>Разбивка_по_щитам!I961</f>
      </c>
      <c r="G956" s="20">
        <f>Разбивка_по_щитам!J961</f>
        <v/>
      </c>
      <c r="H956" s="20">
        <f>Разбивка_по_щитам!K961</f>
        <v/>
      </c>
      <c r="I956" s="20">
        <f>Разбивка_по_щитам!L961</f>
        <v/>
      </c>
      <c r="J956" s="20">
        <f>Разбивка_по_щитам!M961</f>
        <v/>
      </c>
      <c r="K956" s="20">
        <f>Разбивка_по_щитам!N961</f>
        <v/>
      </c>
      <c r="L956" s="20"/>
      <c r="M956" s="20">
        <f>Разбивка_по_щитам!P961</f>
        <v/>
      </c>
      <c r="N956" s="20"/>
    </row>
    <row r="957" spans="2:14" x14ac:dyDescent="0.25">
      <c r="B957" s="20">
        <f>Разбивка_по_щитам!B962</f>
        <v/>
      </c>
      <c r="C957" s="20">
        <f>Разбивка_по_щитам!C962</f>
      </c>
      <c r="D957" s="20">
        <f>Разбивка_по_щитам!F962</f>
      </c>
      <c r="E957" s="20">
        <f>Разбивка_по_щитам!H962</f>
      </c>
      <c r="F957" s="20">
        <f>Разбивка_по_щитам!I962</f>
      </c>
      <c r="G957" s="20">
        <f>Разбивка_по_щитам!J962</f>
        <v/>
      </c>
      <c r="H957" s="20">
        <f>Разбивка_по_щитам!K962</f>
        <v/>
      </c>
      <c r="I957" s="20">
        <f>Разбивка_по_щитам!L962</f>
        <v/>
      </c>
      <c r="J957" s="20">
        <f>Разбивка_по_щитам!M962</f>
        <v/>
      </c>
      <c r="K957" s="20">
        <f>Разбивка_по_щитам!N962</f>
        <v/>
      </c>
      <c r="L957" s="20"/>
      <c r="M957" s="20">
        <f>Разбивка_по_щитам!P962</f>
        <v/>
      </c>
      <c r="N957" s="20"/>
    </row>
    <row r="958" spans="2:14" x14ac:dyDescent="0.25">
      <c r="B958" s="20">
        <f>Разбивка_по_щитам!B963</f>
        <v/>
      </c>
      <c r="C958" s="20">
        <f>Разбивка_по_щитам!C963</f>
      </c>
      <c r="D958" s="20">
        <f>Разбивка_по_щитам!F963</f>
      </c>
      <c r="E958" s="20">
        <f>Разбивка_по_щитам!H963</f>
      </c>
      <c r="F958" s="20">
        <f>Разбивка_по_щитам!I963</f>
      </c>
      <c r="G958" s="20">
        <f>Разбивка_по_щитам!J963</f>
        <v/>
      </c>
      <c r="H958" s="20">
        <f>Разбивка_по_щитам!K963</f>
        <v/>
      </c>
      <c r="I958" s="20">
        <f>Разбивка_по_щитам!L963</f>
        <v/>
      </c>
      <c r="J958" s="20">
        <f>Разбивка_по_щитам!M963</f>
        <v/>
      </c>
      <c r="K958" s="20">
        <f>Разбивка_по_щитам!N963</f>
        <v/>
      </c>
      <c r="L958" s="20"/>
      <c r="M958" s="20">
        <f>Разбивка_по_щитам!P963</f>
        <v/>
      </c>
      <c r="N958" s="20"/>
    </row>
    <row r="959" spans="2:14" x14ac:dyDescent="0.25">
      <c r="B959" s="20">
        <f>Разбивка_по_щитам!B964</f>
        <v/>
      </c>
      <c r="C959" s="20">
        <f>Разбивка_по_щитам!C964</f>
      </c>
      <c r="D959" s="20">
        <f>Разбивка_по_щитам!F964</f>
      </c>
      <c r="E959" s="20">
        <f>Разбивка_по_щитам!H964</f>
      </c>
      <c r="F959" s="20">
        <f>Разбивка_по_щитам!I964</f>
      </c>
      <c r="G959" s="20">
        <f>Разбивка_по_щитам!J964</f>
        <v/>
      </c>
      <c r="H959" s="20">
        <f>Разбивка_по_щитам!K964</f>
        <v/>
      </c>
      <c r="I959" s="20">
        <f>Разбивка_по_щитам!L964</f>
        <v/>
      </c>
      <c r="J959" s="20">
        <f>Разбивка_по_щитам!M964</f>
        <v/>
      </c>
      <c r="K959" s="20">
        <f>Разбивка_по_щитам!N964</f>
        <v/>
      </c>
      <c r="L959" s="20"/>
      <c r="M959" s="20">
        <f>Разбивка_по_щитам!P964</f>
        <v/>
      </c>
      <c r="N959" s="20"/>
    </row>
    <row r="960" spans="2:14" x14ac:dyDescent="0.25">
      <c r="B960" s="20">
        <f>Разбивка_по_щитам!B965</f>
        <v/>
      </c>
      <c r="C960" s="20">
        <f>Разбивка_по_щитам!C965</f>
      </c>
      <c r="D960" s="20">
        <f>Разбивка_по_щитам!F965</f>
      </c>
      <c r="E960" s="20">
        <f>Разбивка_по_щитам!H965</f>
      </c>
      <c r="F960" s="20">
        <f>Разбивка_по_щитам!I965</f>
      </c>
      <c r="G960" s="20">
        <f>Разбивка_по_щитам!J965</f>
        <v/>
      </c>
      <c r="H960" s="20">
        <f>Разбивка_по_щитам!K965</f>
        <v/>
      </c>
      <c r="I960" s="20">
        <f>Разбивка_по_щитам!L965</f>
        <v/>
      </c>
      <c r="J960" s="20">
        <f>Разбивка_по_щитам!M965</f>
        <v/>
      </c>
      <c r="K960" s="20">
        <f>Разбивка_по_щитам!N965</f>
        <v/>
      </c>
      <c r="L960" s="20"/>
      <c r="M960" s="20">
        <f>Разбивка_по_щитам!P965</f>
        <v/>
      </c>
      <c r="N960" s="20"/>
    </row>
    <row r="961" spans="2:14" x14ac:dyDescent="0.25">
      <c r="B961" s="20">
        <f>Разбивка_по_щитам!B966</f>
        <v/>
      </c>
      <c r="C961" s="20">
        <f>Разбивка_по_щитам!C966</f>
      </c>
      <c r="D961" s="20">
        <f>Разбивка_по_щитам!F966</f>
      </c>
      <c r="E961" s="20">
        <f>Разбивка_по_щитам!H966</f>
      </c>
      <c r="F961" s="20">
        <f>Разбивка_по_щитам!I966</f>
      </c>
      <c r="G961" s="20">
        <f>Разбивка_по_щитам!J966</f>
        <v/>
      </c>
      <c r="H961" s="20">
        <f>Разбивка_по_щитам!K966</f>
        <v/>
      </c>
      <c r="I961" s="20">
        <f>Разбивка_по_щитам!L966</f>
        <v/>
      </c>
      <c r="J961" s="20">
        <f>Разбивка_по_щитам!M966</f>
        <v/>
      </c>
      <c r="K961" s="20">
        <f>Разбивка_по_щитам!N966</f>
        <v/>
      </c>
      <c r="L961" s="20"/>
      <c r="M961" s="20">
        <f>Разбивка_по_щитам!P966</f>
        <v/>
      </c>
      <c r="N961" s="20"/>
    </row>
    <row r="962" spans="2:14" x14ac:dyDescent="0.25">
      <c r="B962" s="20">
        <f>Разбивка_по_щитам!B967</f>
        <v/>
      </c>
      <c r="C962" s="20">
        <f>Разбивка_по_щитам!C967</f>
      </c>
      <c r="D962" s="20">
        <f>Разбивка_по_щитам!F967</f>
      </c>
      <c r="E962" s="20">
        <f>Разбивка_по_щитам!H967</f>
      </c>
      <c r="F962" s="20">
        <f>Разбивка_по_щитам!I967</f>
      </c>
      <c r="G962" s="20">
        <f>Разбивка_по_щитам!J967</f>
        <v/>
      </c>
      <c r="H962" s="20">
        <f>Разбивка_по_щитам!K967</f>
        <v/>
      </c>
      <c r="I962" s="20">
        <f>Разбивка_по_щитам!L967</f>
        <v/>
      </c>
      <c r="J962" s="20">
        <f>Разбивка_по_щитам!M967</f>
        <v/>
      </c>
      <c r="K962" s="20">
        <f>Разбивка_по_щитам!N967</f>
        <v/>
      </c>
      <c r="L962" s="20"/>
      <c r="M962" s="20">
        <f>Разбивка_по_щитам!P967</f>
        <v/>
      </c>
      <c r="N962" s="20"/>
    </row>
    <row r="963" spans="2:14" x14ac:dyDescent="0.25">
      <c r="B963" s="20">
        <f>Разбивка_по_щитам!B968</f>
        <v/>
      </c>
      <c r="C963" s="20">
        <f>Разбивка_по_щитам!C968</f>
      </c>
      <c r="D963" s="20">
        <f>Разбивка_по_щитам!F968</f>
      </c>
      <c r="E963" s="20">
        <f>Разбивка_по_щитам!H968</f>
      </c>
      <c r="F963" s="20">
        <f>Разбивка_по_щитам!I968</f>
      </c>
      <c r="G963" s="20">
        <f>Разбивка_по_щитам!J968</f>
        <v/>
      </c>
      <c r="H963" s="20">
        <f>Разбивка_по_щитам!K968</f>
        <v/>
      </c>
      <c r="I963" s="20">
        <f>Разбивка_по_щитам!L968</f>
        <v/>
      </c>
      <c r="J963" s="20">
        <f>Разбивка_по_щитам!M968</f>
        <v/>
      </c>
      <c r="K963" s="20">
        <f>Разбивка_по_щитам!N968</f>
        <v/>
      </c>
      <c r="L963" s="20"/>
      <c r="M963" s="20">
        <f>Разбивка_по_щитам!P968</f>
        <v/>
      </c>
      <c r="N963" s="20"/>
    </row>
    <row r="964" spans="2:14" x14ac:dyDescent="0.25">
      <c r="B964" s="20">
        <f>Разбивка_по_щитам!B969</f>
        <v/>
      </c>
      <c r="C964" s="20">
        <f>Разбивка_по_щитам!C969</f>
      </c>
      <c r="D964" s="20">
        <f>Разбивка_по_щитам!F969</f>
      </c>
      <c r="E964" s="20">
        <f>Разбивка_по_щитам!H969</f>
      </c>
      <c r="F964" s="20">
        <f>Разбивка_по_щитам!I969</f>
      </c>
      <c r="G964" s="20">
        <f>Разбивка_по_щитам!J969</f>
        <v/>
      </c>
      <c r="H964" s="20">
        <f>Разбивка_по_щитам!K969</f>
        <v/>
      </c>
      <c r="I964" s="20">
        <f>Разбивка_по_щитам!L969</f>
        <v/>
      </c>
      <c r="J964" s="20">
        <f>Разбивка_по_щитам!M969</f>
        <v/>
      </c>
      <c r="K964" s="20">
        <f>Разбивка_по_щитам!N969</f>
        <v/>
      </c>
      <c r="L964" s="20"/>
      <c r="M964" s="20">
        <f>Разбивка_по_щитам!P969</f>
        <v/>
      </c>
      <c r="N964" s="20"/>
    </row>
    <row r="965" spans="2:14" x14ac:dyDescent="0.25">
      <c r="B965" s="20">
        <f>Разбивка_по_щитам!B970</f>
        <v/>
      </c>
      <c r="C965" s="20">
        <f>Разбивка_по_щитам!C970</f>
      </c>
      <c r="D965" s="20">
        <f>Разбивка_по_щитам!F970</f>
      </c>
      <c r="E965" s="20">
        <f>Разбивка_по_щитам!H970</f>
      </c>
      <c r="F965" s="20">
        <f>Разбивка_по_щитам!I970</f>
      </c>
      <c r="G965" s="20">
        <f>Разбивка_по_щитам!J970</f>
        <v/>
      </c>
      <c r="H965" s="20">
        <f>Разбивка_по_щитам!K970</f>
        <v/>
      </c>
      <c r="I965" s="20">
        <f>Разбивка_по_щитам!L970</f>
        <v/>
      </c>
      <c r="J965" s="20">
        <f>Разбивка_по_щитам!M970</f>
        <v/>
      </c>
      <c r="K965" s="20">
        <f>Разбивка_по_щитам!N970</f>
        <v/>
      </c>
      <c r="L965" s="20"/>
      <c r="M965" s="20">
        <f>Разбивка_по_щитам!P970</f>
        <v/>
      </c>
      <c r="N965" s="20"/>
    </row>
    <row r="966" spans="2:14" x14ac:dyDescent="0.25">
      <c r="B966" s="20">
        <f>Разбивка_по_щитам!B971</f>
        <v/>
      </c>
      <c r="C966" s="20">
        <f>Разбивка_по_щитам!C971</f>
      </c>
      <c r="D966" s="20">
        <f>Разбивка_по_щитам!F971</f>
      </c>
      <c r="E966" s="20">
        <f>Разбивка_по_щитам!H971</f>
      </c>
      <c r="F966" s="20">
        <f>Разбивка_по_щитам!I971</f>
      </c>
      <c r="G966" s="20">
        <f>Разбивка_по_щитам!J971</f>
        <v/>
      </c>
      <c r="H966" s="20">
        <f>Разбивка_по_щитам!K971</f>
        <v/>
      </c>
      <c r="I966" s="20">
        <f>Разбивка_по_щитам!L971</f>
        <v/>
      </c>
      <c r="J966" s="20">
        <f>Разбивка_по_щитам!M971</f>
        <v/>
      </c>
      <c r="K966" s="20">
        <f>Разбивка_по_щитам!N971</f>
        <v/>
      </c>
      <c r="L966" s="20"/>
      <c r="M966" s="20">
        <f>Разбивка_по_щитам!P971</f>
        <v/>
      </c>
      <c r="N966" s="20"/>
    </row>
    <row r="967" spans="2:14" x14ac:dyDescent="0.25">
      <c r="B967" s="20">
        <f>Разбивка_по_щитам!B972</f>
        <v/>
      </c>
      <c r="C967" s="20">
        <f>Разбивка_по_щитам!C972</f>
      </c>
      <c r="D967" s="20">
        <f>Разбивка_по_щитам!F972</f>
      </c>
      <c r="E967" s="20">
        <f>Разбивка_по_щитам!H972</f>
      </c>
      <c r="F967" s="20">
        <f>Разбивка_по_щитам!I972</f>
      </c>
      <c r="G967" s="20">
        <f>Разбивка_по_щитам!J972</f>
        <v/>
      </c>
      <c r="H967" s="20">
        <f>Разбивка_по_щитам!K972</f>
        <v/>
      </c>
      <c r="I967" s="20">
        <f>Разбивка_по_щитам!L972</f>
        <v/>
      </c>
      <c r="J967" s="20">
        <f>Разбивка_по_щитам!M972</f>
        <v/>
      </c>
      <c r="K967" s="20">
        <f>Разбивка_по_щитам!N972</f>
        <v/>
      </c>
      <c r="L967" s="20"/>
      <c r="M967" s="20">
        <f>Разбивка_по_щитам!P972</f>
        <v/>
      </c>
      <c r="N967" s="20"/>
    </row>
    <row r="968" spans="2:14" x14ac:dyDescent="0.25">
      <c r="B968" s="20">
        <f>Разбивка_по_щитам!B973</f>
        <v/>
      </c>
      <c r="C968" s="20">
        <f>Разбивка_по_щитам!C973</f>
      </c>
      <c r="D968" s="20">
        <f>Разбивка_по_щитам!F973</f>
      </c>
      <c r="E968" s="20">
        <f>Разбивка_по_щитам!H973</f>
      </c>
      <c r="F968" s="20">
        <f>Разбивка_по_щитам!I973</f>
      </c>
      <c r="G968" s="20">
        <f>Разбивка_по_щитам!J973</f>
        <v/>
      </c>
      <c r="H968" s="20">
        <f>Разбивка_по_щитам!K973</f>
        <v/>
      </c>
      <c r="I968" s="20">
        <f>Разбивка_по_щитам!L973</f>
        <v/>
      </c>
      <c r="J968" s="20">
        <f>Разбивка_по_щитам!M973</f>
        <v/>
      </c>
      <c r="K968" s="20">
        <f>Разбивка_по_щитам!N973</f>
        <v/>
      </c>
      <c r="L968" s="20"/>
      <c r="M968" s="20">
        <f>Разбивка_по_щитам!P973</f>
        <v/>
      </c>
      <c r="N968" s="20"/>
    </row>
    <row r="969" spans="2:14" x14ac:dyDescent="0.25">
      <c r="B969" s="20">
        <f>Разбивка_по_щитам!B974</f>
        <v/>
      </c>
      <c r="C969" s="20">
        <f>Разбивка_по_щитам!C974</f>
      </c>
      <c r="D969" s="20">
        <f>Разбивка_по_щитам!F974</f>
      </c>
      <c r="E969" s="20">
        <f>Разбивка_по_щитам!H974</f>
      </c>
      <c r="F969" s="20">
        <f>Разбивка_по_щитам!I974</f>
      </c>
      <c r="G969" s="20">
        <f>Разбивка_по_щитам!J974</f>
        <v/>
      </c>
      <c r="H969" s="20">
        <f>Разбивка_по_щитам!K974</f>
        <v/>
      </c>
      <c r="I969" s="20">
        <f>Разбивка_по_щитам!L974</f>
        <v/>
      </c>
      <c r="J969" s="20">
        <f>Разбивка_по_щитам!M974</f>
        <v/>
      </c>
      <c r="K969" s="20">
        <f>Разбивка_по_щитам!N974</f>
        <v/>
      </c>
      <c r="L969" s="20"/>
      <c r="M969" s="20">
        <f>Разбивка_по_щитам!P974</f>
        <v/>
      </c>
      <c r="N969" s="20"/>
    </row>
    <row r="970" spans="2:14" x14ac:dyDescent="0.25">
      <c r="B970" s="20">
        <f>Разбивка_по_щитам!B975</f>
        <v/>
      </c>
      <c r="C970" s="20">
        <f>Разбивка_по_щитам!C975</f>
      </c>
      <c r="D970" s="20">
        <f>Разбивка_по_щитам!F975</f>
      </c>
      <c r="E970" s="20">
        <f>Разбивка_по_щитам!H975</f>
      </c>
      <c r="F970" s="20">
        <f>Разбивка_по_щитам!I975</f>
      </c>
      <c r="G970" s="20">
        <f>Разбивка_по_щитам!J975</f>
        <v/>
      </c>
      <c r="H970" s="20">
        <f>Разбивка_по_щитам!K975</f>
        <v/>
      </c>
      <c r="I970" s="20">
        <f>Разбивка_по_щитам!L975</f>
        <v/>
      </c>
      <c r="J970" s="20">
        <f>Разбивка_по_щитам!M975</f>
        <v/>
      </c>
      <c r="K970" s="20">
        <f>Разбивка_по_щитам!N975</f>
        <v/>
      </c>
      <c r="L970" s="20"/>
      <c r="M970" s="20">
        <f>Разбивка_по_щитам!P975</f>
        <v/>
      </c>
      <c r="N970" s="20"/>
    </row>
    <row r="971" spans="2:14" x14ac:dyDescent="0.25">
      <c r="B971" s="20">
        <f>Разбивка_по_щитам!B976</f>
        <v/>
      </c>
      <c r="C971" s="20">
        <f>Разбивка_по_щитам!C976</f>
      </c>
      <c r="D971" s="20">
        <f>Разбивка_по_щитам!F976</f>
      </c>
      <c r="E971" s="20">
        <f>Разбивка_по_щитам!H976</f>
      </c>
      <c r="F971" s="20">
        <f>Разбивка_по_щитам!I976</f>
      </c>
      <c r="G971" s="20">
        <f>Разбивка_по_щитам!J976</f>
        <v/>
      </c>
      <c r="H971" s="20">
        <f>Разбивка_по_щитам!K976</f>
        <v/>
      </c>
      <c r="I971" s="20">
        <f>Разбивка_по_щитам!L976</f>
        <v/>
      </c>
      <c r="J971" s="20">
        <f>Разбивка_по_щитам!M976</f>
        <v/>
      </c>
      <c r="K971" s="20">
        <f>Разбивка_по_щитам!N976</f>
        <v/>
      </c>
      <c r="L971" s="20"/>
      <c r="M971" s="20">
        <f>Разбивка_по_щитам!P976</f>
        <v/>
      </c>
      <c r="N971" s="20"/>
    </row>
    <row r="972" spans="2:14" x14ac:dyDescent="0.25">
      <c r="B972" s="20">
        <f>Разбивка_по_щитам!B977</f>
        <v/>
      </c>
      <c r="C972" s="20">
        <f>Разбивка_по_щитам!C977</f>
      </c>
      <c r="D972" s="20">
        <f>Разбивка_по_щитам!F977</f>
      </c>
      <c r="E972" s="20">
        <f>Разбивка_по_щитам!H977</f>
      </c>
      <c r="F972" s="20">
        <f>Разбивка_по_щитам!I977</f>
      </c>
      <c r="G972" s="20">
        <f>Разбивка_по_щитам!J977</f>
        <v/>
      </c>
      <c r="H972" s="20">
        <f>Разбивка_по_щитам!K977</f>
        <v/>
      </c>
      <c r="I972" s="20">
        <f>Разбивка_по_щитам!L977</f>
        <v/>
      </c>
      <c r="J972" s="20">
        <f>Разбивка_по_щитам!M977</f>
        <v/>
      </c>
      <c r="K972" s="20">
        <f>Разбивка_по_щитам!N977</f>
        <v/>
      </c>
      <c r="L972" s="20"/>
      <c r="M972" s="20">
        <f>Разбивка_по_щитам!P977</f>
        <v/>
      </c>
      <c r="N972" s="20"/>
    </row>
    <row r="973" spans="2:14" x14ac:dyDescent="0.25">
      <c r="B973" s="20">
        <f>Разбивка_по_щитам!B978</f>
        <v/>
      </c>
      <c r="C973" s="20">
        <f>Разбивка_по_щитам!C978</f>
      </c>
      <c r="D973" s="20">
        <f>Разбивка_по_щитам!F978</f>
      </c>
      <c r="E973" s="20">
        <f>Разбивка_по_щитам!H978</f>
      </c>
      <c r="F973" s="20">
        <f>Разбивка_по_щитам!I978</f>
      </c>
      <c r="G973" s="20">
        <f>Разбивка_по_щитам!J978</f>
        <v/>
      </c>
      <c r="H973" s="20">
        <f>Разбивка_по_щитам!K978</f>
        <v/>
      </c>
      <c r="I973" s="20">
        <f>Разбивка_по_щитам!L978</f>
        <v/>
      </c>
      <c r="J973" s="20">
        <f>Разбивка_по_щитам!M978</f>
        <v/>
      </c>
      <c r="K973" s="20">
        <f>Разбивка_по_щитам!N978</f>
        <v/>
      </c>
      <c r="L973" s="20"/>
      <c r="M973" s="20">
        <f>Разбивка_по_щитам!P978</f>
        <v/>
      </c>
      <c r="N973" s="20"/>
    </row>
    <row r="974" spans="2:14" x14ac:dyDescent="0.25">
      <c r="B974" s="20">
        <f>Разбивка_по_щитам!B979</f>
        <v/>
      </c>
      <c r="C974" s="20">
        <f>Разбивка_по_щитам!C979</f>
      </c>
      <c r="D974" s="20">
        <f>Разбивка_по_щитам!F979</f>
      </c>
      <c r="E974" s="20">
        <f>Разбивка_по_щитам!H979</f>
      </c>
      <c r="F974" s="20">
        <f>Разбивка_по_щитам!I979</f>
      </c>
      <c r="G974" s="20">
        <f>Разбивка_по_щитам!J979</f>
        <v/>
      </c>
      <c r="H974" s="20">
        <f>Разбивка_по_щитам!K979</f>
        <v/>
      </c>
      <c r="I974" s="20">
        <f>Разбивка_по_щитам!L979</f>
        <v/>
      </c>
      <c r="J974" s="20">
        <f>Разбивка_по_щитам!M979</f>
        <v/>
      </c>
      <c r="K974" s="20">
        <f>Разбивка_по_щитам!N979</f>
        <v/>
      </c>
      <c r="L974" s="20"/>
      <c r="M974" s="20">
        <f>Разбивка_по_щитам!P979</f>
        <v/>
      </c>
      <c r="N974" s="20"/>
    </row>
    <row r="975" spans="2:14" x14ac:dyDescent="0.25">
      <c r="B975" s="20">
        <f>Разбивка_по_щитам!B980</f>
        <v/>
      </c>
      <c r="C975" s="20">
        <f>Разбивка_по_щитам!C980</f>
      </c>
      <c r="D975" s="20">
        <f>Разбивка_по_щитам!F980</f>
      </c>
      <c r="E975" s="20">
        <f>Разбивка_по_щитам!H980</f>
      </c>
      <c r="F975" s="20">
        <f>Разбивка_по_щитам!I980</f>
      </c>
      <c r="G975" s="20">
        <f>Разбивка_по_щитам!J980</f>
        <v/>
      </c>
      <c r="H975" s="20">
        <f>Разбивка_по_щитам!K980</f>
        <v/>
      </c>
      <c r="I975" s="20">
        <f>Разбивка_по_щитам!L980</f>
        <v/>
      </c>
      <c r="J975" s="20">
        <f>Разбивка_по_щитам!M980</f>
        <v/>
      </c>
      <c r="K975" s="20">
        <f>Разбивка_по_щитам!N980</f>
        <v/>
      </c>
      <c r="L975" s="20"/>
      <c r="M975" s="20">
        <f>Разбивка_по_щитам!P980</f>
        <v/>
      </c>
      <c r="N975" s="20"/>
    </row>
    <row r="976" spans="2:14" x14ac:dyDescent="0.25">
      <c r="B976" s="20">
        <f>Разбивка_по_щитам!B981</f>
        <v/>
      </c>
      <c r="C976" s="20">
        <f>Разбивка_по_щитам!C981</f>
      </c>
      <c r="D976" s="20">
        <f>Разбивка_по_щитам!F981</f>
      </c>
      <c r="E976" s="20">
        <f>Разбивка_по_щитам!H981</f>
      </c>
      <c r="F976" s="20">
        <f>Разбивка_по_щитам!I981</f>
      </c>
      <c r="G976" s="20">
        <f>Разбивка_по_щитам!J981</f>
        <v/>
      </c>
      <c r="H976" s="20">
        <f>Разбивка_по_щитам!K981</f>
        <v/>
      </c>
      <c r="I976" s="20">
        <f>Разбивка_по_щитам!L981</f>
        <v/>
      </c>
      <c r="J976" s="20">
        <f>Разбивка_по_щитам!M981</f>
        <v/>
      </c>
      <c r="K976" s="20">
        <f>Разбивка_по_щитам!N981</f>
        <v/>
      </c>
      <c r="L976" s="20"/>
      <c r="M976" s="20">
        <f>Разбивка_по_щитам!P981</f>
        <v/>
      </c>
      <c r="N976" s="20"/>
    </row>
    <row r="977" spans="2:14" x14ac:dyDescent="0.25">
      <c r="B977" s="20">
        <f>Разбивка_по_щитам!B982</f>
        <v/>
      </c>
      <c r="C977" s="20">
        <f>Разбивка_по_щитам!C982</f>
      </c>
      <c r="D977" s="20">
        <f>Разбивка_по_щитам!F982</f>
      </c>
      <c r="E977" s="20">
        <f>Разбивка_по_щитам!H982</f>
      </c>
      <c r="F977" s="20">
        <f>Разбивка_по_щитам!I982</f>
      </c>
      <c r="G977" s="20">
        <f>Разбивка_по_щитам!J982</f>
        <v/>
      </c>
      <c r="H977" s="20">
        <f>Разбивка_по_щитам!K982</f>
        <v/>
      </c>
      <c r="I977" s="20">
        <f>Разбивка_по_щитам!L982</f>
        <v/>
      </c>
      <c r="J977" s="20">
        <f>Разбивка_по_щитам!M982</f>
        <v/>
      </c>
      <c r="K977" s="20">
        <f>Разбивка_по_щитам!N982</f>
        <v/>
      </c>
      <c r="L977" s="20"/>
      <c r="M977" s="20">
        <f>Разбивка_по_щитам!P982</f>
        <v/>
      </c>
      <c r="N977" s="20"/>
    </row>
    <row r="978" spans="2:14" x14ac:dyDescent="0.25">
      <c r="B978" s="20">
        <f>Разбивка_по_щитам!B983</f>
        <v/>
      </c>
      <c r="C978" s="20">
        <f>Разбивка_по_щитам!C983</f>
      </c>
      <c r="D978" s="20">
        <f>Разбивка_по_щитам!F983</f>
      </c>
      <c r="E978" s="20">
        <f>Разбивка_по_щитам!H983</f>
      </c>
      <c r="F978" s="20">
        <f>Разбивка_по_щитам!I983</f>
      </c>
      <c r="G978" s="20">
        <f>Разбивка_по_щитам!J983</f>
        <v/>
      </c>
      <c r="H978" s="20">
        <f>Разбивка_по_щитам!K983</f>
        <v/>
      </c>
      <c r="I978" s="20">
        <f>Разбивка_по_щитам!L983</f>
        <v/>
      </c>
      <c r="J978" s="20">
        <f>Разбивка_по_щитам!M983</f>
        <v/>
      </c>
      <c r="K978" s="20">
        <f>Разбивка_по_щитам!N983</f>
        <v/>
      </c>
      <c r="L978" s="20"/>
      <c r="M978" s="20">
        <f>Разбивка_по_щитам!P983</f>
        <v/>
      </c>
      <c r="N978" s="20"/>
    </row>
    <row r="979" spans="2:14" x14ac:dyDescent="0.25">
      <c r="B979" s="20">
        <f>Разбивка_по_щитам!B984</f>
        <v/>
      </c>
      <c r="C979" s="20">
        <f>Разбивка_по_щитам!C984</f>
      </c>
      <c r="D979" s="20">
        <f>Разбивка_по_щитам!F984</f>
      </c>
      <c r="E979" s="20">
        <f>Разбивка_по_щитам!H984</f>
      </c>
      <c r="F979" s="20">
        <f>Разбивка_по_щитам!I984</f>
      </c>
      <c r="G979" s="20">
        <f>Разбивка_по_щитам!J984</f>
        <v/>
      </c>
      <c r="H979" s="20">
        <f>Разбивка_по_щитам!K984</f>
        <v/>
      </c>
      <c r="I979" s="20">
        <f>Разбивка_по_щитам!L984</f>
        <v/>
      </c>
      <c r="J979" s="20">
        <f>Разбивка_по_щитам!M984</f>
        <v/>
      </c>
      <c r="K979" s="20">
        <f>Разбивка_по_щитам!N984</f>
        <v/>
      </c>
      <c r="L979" s="20"/>
      <c r="M979" s="20">
        <f>Разбивка_по_щитам!P984</f>
        <v/>
      </c>
      <c r="N979" s="20"/>
    </row>
    <row r="980" spans="2:14" x14ac:dyDescent="0.25">
      <c r="B980" s="20">
        <f>Разбивка_по_щитам!B985</f>
        <v/>
      </c>
      <c r="C980" s="20">
        <f>Разбивка_по_щитам!C985</f>
      </c>
      <c r="D980" s="20">
        <f>Разбивка_по_щитам!F985</f>
      </c>
      <c r="E980" s="20">
        <f>Разбивка_по_щитам!H985</f>
      </c>
      <c r="F980" s="20">
        <f>Разбивка_по_щитам!I985</f>
      </c>
      <c r="G980" s="20">
        <f>Разбивка_по_щитам!J985</f>
        <v/>
      </c>
      <c r="H980" s="20">
        <f>Разбивка_по_щитам!K985</f>
        <v/>
      </c>
      <c r="I980" s="20">
        <f>Разбивка_по_щитам!L985</f>
        <v/>
      </c>
      <c r="J980" s="20">
        <f>Разбивка_по_щитам!M985</f>
        <v/>
      </c>
      <c r="K980" s="20">
        <f>Разбивка_по_щитам!N985</f>
        <v/>
      </c>
      <c r="L980" s="20"/>
      <c r="M980" s="20">
        <f>Разбивка_по_щитам!P985</f>
        <v/>
      </c>
      <c r="N980" s="20"/>
    </row>
    <row r="981" spans="2:14" x14ac:dyDescent="0.25">
      <c r="B981" s="20">
        <f>Разбивка_по_щитам!B986</f>
        <v/>
      </c>
      <c r="C981" s="20">
        <f>Разбивка_по_щитам!C986</f>
      </c>
      <c r="D981" s="20">
        <f>Разбивка_по_щитам!F986</f>
      </c>
      <c r="E981" s="20">
        <f>Разбивка_по_щитам!H986</f>
      </c>
      <c r="F981" s="20">
        <f>Разбивка_по_щитам!I986</f>
      </c>
      <c r="G981" s="20">
        <f>Разбивка_по_щитам!J986</f>
        <v/>
      </c>
      <c r="H981" s="20">
        <f>Разбивка_по_щитам!K986</f>
        <v/>
      </c>
      <c r="I981" s="20">
        <f>Разбивка_по_щитам!L986</f>
        <v/>
      </c>
      <c r="J981" s="20">
        <f>Разбивка_по_щитам!M986</f>
        <v/>
      </c>
      <c r="K981" s="20">
        <f>Разбивка_по_щитам!N986</f>
        <v/>
      </c>
      <c r="L981" s="20"/>
      <c r="M981" s="20">
        <f>Разбивка_по_щитам!P986</f>
        <v/>
      </c>
      <c r="N981" s="20"/>
    </row>
    <row r="982" spans="2:14" x14ac:dyDescent="0.25">
      <c r="B982" s="20">
        <f>Разбивка_по_щитам!B987</f>
        <v/>
      </c>
      <c r="C982" s="20">
        <f>Разбивка_по_щитам!C987</f>
      </c>
      <c r="D982" s="20">
        <f>Разбивка_по_щитам!F987</f>
      </c>
      <c r="E982" s="20">
        <f>Разбивка_по_щитам!H987</f>
      </c>
      <c r="F982" s="20">
        <f>Разбивка_по_щитам!I987</f>
      </c>
      <c r="G982" s="20">
        <f>Разбивка_по_щитам!J987</f>
        <v/>
      </c>
      <c r="H982" s="20">
        <f>Разбивка_по_щитам!K987</f>
        <v/>
      </c>
      <c r="I982" s="20">
        <f>Разбивка_по_щитам!L987</f>
        <v/>
      </c>
      <c r="J982" s="20">
        <f>Разбивка_по_щитам!M987</f>
        <v/>
      </c>
      <c r="K982" s="20">
        <f>Разбивка_по_щитам!N987</f>
        <v/>
      </c>
      <c r="L982" s="20"/>
      <c r="M982" s="20">
        <f>Разбивка_по_щитам!P987</f>
        <v/>
      </c>
      <c r="N982" s="20"/>
    </row>
    <row r="983" spans="2:14" x14ac:dyDescent="0.25">
      <c r="B983" s="20">
        <f>Разбивка_по_щитам!B988</f>
        <v/>
      </c>
      <c r="C983" s="20">
        <f>Разбивка_по_щитам!C988</f>
      </c>
      <c r="D983" s="20">
        <f>Разбивка_по_щитам!F988</f>
      </c>
      <c r="E983" s="20">
        <f>Разбивка_по_щитам!H988</f>
      </c>
      <c r="F983" s="20">
        <f>Разбивка_по_щитам!I988</f>
      </c>
      <c r="G983" s="20">
        <f>Разбивка_по_щитам!J988</f>
        <v/>
      </c>
      <c r="H983" s="20">
        <f>Разбивка_по_щитам!K988</f>
        <v/>
      </c>
      <c r="I983" s="20">
        <f>Разбивка_по_щитам!L988</f>
        <v/>
      </c>
      <c r="J983" s="20">
        <f>Разбивка_по_щитам!M988</f>
        <v/>
      </c>
      <c r="K983" s="20">
        <f>Разбивка_по_щитам!N988</f>
        <v/>
      </c>
      <c r="L983" s="20"/>
      <c r="M983" s="20">
        <f>Разбивка_по_щитам!P988</f>
        <v/>
      </c>
      <c r="N983" s="20"/>
    </row>
    <row r="984" spans="2:14" x14ac:dyDescent="0.25">
      <c r="B984" s="20">
        <f>Разбивка_по_щитам!B989</f>
        <v/>
      </c>
      <c r="C984" s="20">
        <f>Разбивка_по_щитам!C989</f>
      </c>
      <c r="D984" s="20">
        <f>Разбивка_по_щитам!F989</f>
      </c>
      <c r="E984" s="20">
        <f>Разбивка_по_щитам!H989</f>
      </c>
      <c r="F984" s="20">
        <f>Разбивка_по_щитам!I989</f>
      </c>
      <c r="G984" s="20">
        <f>Разбивка_по_щитам!J989</f>
        <v/>
      </c>
      <c r="H984" s="20">
        <f>Разбивка_по_щитам!K989</f>
        <v/>
      </c>
      <c r="I984" s="20">
        <f>Разбивка_по_щитам!L989</f>
        <v/>
      </c>
      <c r="J984" s="20">
        <f>Разбивка_по_щитам!M989</f>
        <v/>
      </c>
      <c r="K984" s="20">
        <f>Разбивка_по_щитам!N989</f>
        <v/>
      </c>
      <c r="L984" s="20"/>
      <c r="M984" s="20">
        <f>Разбивка_по_щитам!P989</f>
        <v/>
      </c>
      <c r="N984" s="20"/>
    </row>
    <row r="985" spans="2:14" x14ac:dyDescent="0.25">
      <c r="B985" s="20">
        <f>Разбивка_по_щитам!B990</f>
        <v/>
      </c>
      <c r="C985" s="20">
        <f>Разбивка_по_щитам!C990</f>
      </c>
      <c r="D985" s="20">
        <f>Разбивка_по_щитам!F990</f>
      </c>
      <c r="E985" s="20">
        <f>Разбивка_по_щитам!H990</f>
      </c>
      <c r="F985" s="20">
        <f>Разбивка_по_щитам!I990</f>
      </c>
      <c r="G985" s="20">
        <f>Разбивка_по_щитам!J990</f>
        <v/>
      </c>
      <c r="H985" s="20">
        <f>Разбивка_по_щитам!K990</f>
        <v/>
      </c>
      <c r="I985" s="20">
        <f>Разбивка_по_щитам!L990</f>
        <v/>
      </c>
      <c r="J985" s="20">
        <f>Разбивка_по_щитам!M990</f>
        <v/>
      </c>
      <c r="K985" s="20">
        <f>Разбивка_по_щитам!N990</f>
        <v/>
      </c>
      <c r="L985" s="20"/>
      <c r="M985" s="20">
        <f>Разбивка_по_щитам!P990</f>
        <v/>
      </c>
      <c r="N985" s="20"/>
    </row>
    <row r="986" spans="2:14" x14ac:dyDescent="0.25">
      <c r="B986" s="20">
        <f>Разбивка_по_щитам!B991</f>
        <v/>
      </c>
      <c r="C986" s="20">
        <f>Разбивка_по_щитам!C991</f>
      </c>
      <c r="D986" s="20">
        <f>Разбивка_по_щитам!F991</f>
      </c>
      <c r="E986" s="20">
        <f>Разбивка_по_щитам!H991</f>
      </c>
      <c r="F986" s="20">
        <f>Разбивка_по_щитам!I991</f>
      </c>
      <c r="G986" s="20">
        <f>Разбивка_по_щитам!J991</f>
        <v/>
      </c>
      <c r="H986" s="20">
        <f>Разбивка_по_щитам!K991</f>
        <v/>
      </c>
      <c r="I986" s="20">
        <f>Разбивка_по_щитам!L991</f>
        <v/>
      </c>
      <c r="J986" s="20">
        <f>Разбивка_по_щитам!M991</f>
        <v/>
      </c>
      <c r="K986" s="20">
        <f>Разбивка_по_щитам!N991</f>
        <v/>
      </c>
      <c r="L986" s="20"/>
      <c r="M986" s="20">
        <f>Разбивка_по_щитам!P991</f>
        <v/>
      </c>
      <c r="N986" s="20"/>
    </row>
    <row r="987" spans="2:14" x14ac:dyDescent="0.25">
      <c r="B987" s="20">
        <f>Разбивка_по_щитам!B992</f>
        <v/>
      </c>
      <c r="C987" s="20">
        <f>Разбивка_по_щитам!C992</f>
      </c>
      <c r="D987" s="20">
        <f>Разбивка_по_щитам!F992</f>
      </c>
      <c r="E987" s="20">
        <f>Разбивка_по_щитам!H992</f>
      </c>
      <c r="F987" s="20">
        <f>Разбивка_по_щитам!I992</f>
      </c>
      <c r="G987" s="20">
        <f>Разбивка_по_щитам!J992</f>
        <v/>
      </c>
      <c r="H987" s="20">
        <f>Разбивка_по_щитам!K992</f>
        <v/>
      </c>
      <c r="I987" s="20">
        <f>Разбивка_по_щитам!L992</f>
        <v/>
      </c>
      <c r="J987" s="20">
        <f>Разбивка_по_щитам!M992</f>
        <v/>
      </c>
      <c r="K987" s="20">
        <f>Разбивка_по_щитам!N992</f>
        <v/>
      </c>
      <c r="L987" s="20"/>
      <c r="M987" s="20">
        <f>Разбивка_по_щитам!P992</f>
        <v/>
      </c>
      <c r="N987" s="20"/>
    </row>
    <row r="988" spans="2:14" x14ac:dyDescent="0.25">
      <c r="B988" s="20">
        <f>Разбивка_по_щитам!B993</f>
        <v/>
      </c>
      <c r="C988" s="20">
        <f>Разбивка_по_щитам!C993</f>
      </c>
      <c r="D988" s="20">
        <f>Разбивка_по_щитам!F993</f>
      </c>
      <c r="E988" s="20">
        <f>Разбивка_по_щитам!H993</f>
      </c>
      <c r="F988" s="20">
        <f>Разбивка_по_щитам!I993</f>
      </c>
      <c r="G988" s="20">
        <f>Разбивка_по_щитам!J993</f>
        <v/>
      </c>
      <c r="H988" s="20">
        <f>Разбивка_по_щитам!K993</f>
        <v/>
      </c>
      <c r="I988" s="20">
        <f>Разбивка_по_щитам!L993</f>
        <v/>
      </c>
      <c r="J988" s="20">
        <f>Разбивка_по_щитам!M993</f>
        <v/>
      </c>
      <c r="K988" s="20">
        <f>Разбивка_по_щитам!N993</f>
        <v/>
      </c>
      <c r="L988" s="20"/>
      <c r="M988" s="20">
        <f>Разбивка_по_щитам!P993</f>
        <v/>
      </c>
      <c r="N988" s="20"/>
    </row>
    <row r="989" spans="2:14" x14ac:dyDescent="0.25">
      <c r="B989" s="20">
        <f>Разбивка_по_щитам!B994</f>
        <v/>
      </c>
      <c r="C989" s="20">
        <f>Разбивка_по_щитам!C994</f>
      </c>
      <c r="D989" s="20">
        <f>Разбивка_по_щитам!F994</f>
      </c>
      <c r="E989" s="20">
        <f>Разбивка_по_щитам!H994</f>
      </c>
      <c r="F989" s="20">
        <f>Разбивка_по_щитам!I994</f>
      </c>
      <c r="G989" s="20">
        <f>Разбивка_по_щитам!J994</f>
        <v/>
      </c>
      <c r="H989" s="20">
        <f>Разбивка_по_щитам!K994</f>
        <v/>
      </c>
      <c r="I989" s="20">
        <f>Разбивка_по_щитам!L994</f>
        <v/>
      </c>
      <c r="J989" s="20">
        <f>Разбивка_по_щитам!M994</f>
        <v/>
      </c>
      <c r="K989" s="20">
        <f>Разбивка_по_щитам!N994</f>
        <v/>
      </c>
      <c r="L989" s="20"/>
      <c r="M989" s="20">
        <f>Разбивка_по_щитам!P994</f>
        <v/>
      </c>
      <c r="N989" s="20"/>
    </row>
    <row r="990" spans="2:14" x14ac:dyDescent="0.25">
      <c r="B990" s="20">
        <f>Разбивка_по_щитам!B995</f>
        <v/>
      </c>
      <c r="C990" s="20">
        <f>Разбивка_по_щитам!C995</f>
      </c>
      <c r="D990" s="20">
        <f>Разбивка_по_щитам!F995</f>
      </c>
      <c r="E990" s="20">
        <f>Разбивка_по_щитам!H995</f>
      </c>
      <c r="F990" s="20">
        <f>Разбивка_по_щитам!I995</f>
      </c>
      <c r="G990" s="20">
        <f>Разбивка_по_щитам!J995</f>
        <v/>
      </c>
      <c r="H990" s="20">
        <f>Разбивка_по_щитам!K995</f>
        <v/>
      </c>
      <c r="I990" s="20">
        <f>Разбивка_по_щитам!L995</f>
        <v/>
      </c>
      <c r="J990" s="20">
        <f>Разбивка_по_щитам!M995</f>
        <v/>
      </c>
      <c r="K990" s="20">
        <f>Разбивка_по_щитам!N995</f>
        <v/>
      </c>
      <c r="L990" s="20"/>
      <c r="M990" s="20">
        <f>Разбивка_по_щитам!P995</f>
        <v/>
      </c>
      <c r="N990" s="20"/>
    </row>
    <row r="991" spans="2:14" x14ac:dyDescent="0.25">
      <c r="B991" s="20">
        <f>Разбивка_по_щитам!B996</f>
        <v/>
      </c>
      <c r="C991" s="20">
        <f>Разбивка_по_щитам!C996</f>
      </c>
      <c r="D991" s="20">
        <f>Разбивка_по_щитам!F996</f>
      </c>
      <c r="E991" s="20">
        <f>Разбивка_по_щитам!H996</f>
      </c>
      <c r="F991" s="20">
        <f>Разбивка_по_щитам!I996</f>
      </c>
      <c r="G991" s="20">
        <f>Разбивка_по_щитам!J996</f>
        <v/>
      </c>
      <c r="H991" s="20">
        <f>Разбивка_по_щитам!K996</f>
        <v/>
      </c>
      <c r="I991" s="20">
        <f>Разбивка_по_щитам!L996</f>
        <v/>
      </c>
      <c r="J991" s="20">
        <f>Разбивка_по_щитам!M996</f>
        <v/>
      </c>
      <c r="K991" s="20">
        <f>Разбивка_по_щитам!N996</f>
        <v/>
      </c>
      <c r="L991" s="20"/>
      <c r="M991" s="20">
        <f>Разбивка_по_щитам!P996</f>
        <v/>
      </c>
      <c r="N991" s="20"/>
    </row>
    <row r="992" spans="2:14" x14ac:dyDescent="0.25">
      <c r="B992" s="20">
        <f>Разбивка_по_щитам!B997</f>
        <v/>
      </c>
      <c r="C992" s="20">
        <f>Разбивка_по_щитам!C997</f>
      </c>
      <c r="D992" s="20">
        <f>Разбивка_по_щитам!F997</f>
      </c>
      <c r="E992" s="20">
        <f>Разбивка_по_щитам!H997</f>
      </c>
      <c r="F992" s="20">
        <f>Разбивка_по_щитам!I997</f>
      </c>
      <c r="G992" s="20">
        <f>Разбивка_по_щитам!J997</f>
        <v/>
      </c>
      <c r="H992" s="20">
        <f>Разбивка_по_щитам!K997</f>
        <v/>
      </c>
      <c r="I992" s="20">
        <f>Разбивка_по_щитам!L997</f>
        <v/>
      </c>
      <c r="J992" s="20">
        <f>Разбивка_по_щитам!M997</f>
        <v/>
      </c>
      <c r="K992" s="20">
        <f>Разбивка_по_щитам!N997</f>
        <v/>
      </c>
      <c r="L992" s="20"/>
      <c r="M992" s="20">
        <f>Разбивка_по_щитам!P997</f>
        <v/>
      </c>
      <c r="N992" s="20"/>
    </row>
    <row r="993" spans="2:14" x14ac:dyDescent="0.25">
      <c r="B993" s="20">
        <f>Разбивка_по_щитам!B998</f>
        <v/>
      </c>
      <c r="C993" s="20">
        <f>Разбивка_по_щитам!C998</f>
      </c>
      <c r="D993" s="20">
        <f>Разбивка_по_щитам!F998</f>
      </c>
      <c r="E993" s="20">
        <f>Разбивка_по_щитам!H998</f>
      </c>
      <c r="F993" s="20">
        <f>Разбивка_по_щитам!I998</f>
      </c>
      <c r="G993" s="20">
        <f>Разбивка_по_щитам!J998</f>
        <v/>
      </c>
      <c r="H993" s="20">
        <f>Разбивка_по_щитам!K998</f>
        <v/>
      </c>
      <c r="I993" s="20">
        <f>Разбивка_по_щитам!L998</f>
        <v/>
      </c>
      <c r="J993" s="20">
        <f>Разбивка_по_щитам!M998</f>
        <v/>
      </c>
      <c r="K993" s="20">
        <f>Разбивка_по_щитам!N998</f>
        <v/>
      </c>
      <c r="L993" s="20"/>
      <c r="M993" s="20">
        <f>Разбивка_по_щитам!P998</f>
        <v/>
      </c>
      <c r="N993" s="20"/>
    </row>
    <row r="994" spans="2:14" x14ac:dyDescent="0.25">
      <c r="B994" s="20">
        <f>Разбивка_по_щитам!B999</f>
        <v/>
      </c>
      <c r="C994" s="20">
        <f>Разбивка_по_щитам!C999</f>
      </c>
      <c r="D994" s="20">
        <f>Разбивка_по_щитам!F999</f>
      </c>
      <c r="E994" s="20">
        <f>Разбивка_по_щитам!H999</f>
      </c>
      <c r="F994" s="20">
        <f>Разбивка_по_щитам!I999</f>
      </c>
      <c r="G994" s="20">
        <f>Разбивка_по_щитам!J999</f>
        <v/>
      </c>
      <c r="H994" s="20">
        <f>Разбивка_по_щитам!K999</f>
        <v/>
      </c>
      <c r="I994" s="20">
        <f>Разбивка_по_щитам!L999</f>
        <v/>
      </c>
      <c r="J994" s="20">
        <f>Разбивка_по_щитам!M999</f>
        <v/>
      </c>
      <c r="K994" s="20">
        <f>Разбивка_по_щитам!N999</f>
        <v/>
      </c>
      <c r="L994" s="20"/>
      <c r="M994" s="20">
        <f>Разбивка_по_щитам!P999</f>
        <v/>
      </c>
      <c r="N994" s="20"/>
    </row>
    <row r="995" spans="2:14" x14ac:dyDescent="0.25">
      <c r="B995" s="20">
        <f>Разбивка_по_щитам!B1000</f>
        <v/>
      </c>
      <c r="C995" s="20">
        <f>Разбивка_по_щитам!C1000</f>
      </c>
      <c r="D995" s="20">
        <f>Разбивка_по_щитам!F1000</f>
      </c>
      <c r="E995" s="20">
        <f>Разбивка_по_щитам!H1000</f>
      </c>
      <c r="F995" s="20">
        <f>Разбивка_по_щитам!I1000</f>
      </c>
      <c r="G995" s="20">
        <f>Разбивка_по_щитам!J1000</f>
        <v/>
      </c>
      <c r="H995" s="20">
        <f>Разбивка_по_щитам!K1000</f>
        <v/>
      </c>
      <c r="I995" s="20">
        <f>Разбивка_по_щитам!L1000</f>
        <v/>
      </c>
      <c r="J995" s="20">
        <f>Разбивка_по_щитам!M1000</f>
        <v/>
      </c>
      <c r="K995" s="20">
        <f>Разбивка_по_щитам!N1000</f>
        <v/>
      </c>
      <c r="L995" s="20"/>
      <c r="M995" s="20">
        <f>Разбивка_по_щитам!P1000</f>
        <v/>
      </c>
      <c r="N995" s="20"/>
    </row>
    <row r="996" spans="2:14" x14ac:dyDescent="0.25">
      <c r="B996" s="20">
        <f>Разбивка_по_щитам!B1001</f>
      </c>
      <c r="C996" s="20">
        <f>Разбивка_по_щитам!C1001</f>
      </c>
      <c r="D996" s="20">
        <f>Разбивка_по_щитам!F1001</f>
      </c>
      <c r="E996" s="20">
        <f>Разбивка_по_щитам!H1001</f>
      </c>
      <c r="F996" s="20">
        <f>Разбивка_по_щитам!I1001</f>
      </c>
      <c r="G996" s="20">
        <f>Разбивка_по_щитам!J1001</f>
      </c>
      <c r="H996" s="20">
        <f>Разбивка_по_щитам!K1001</f>
      </c>
      <c r="I996" s="20">
        <f>Разбивка_по_щитам!L1001</f>
      </c>
      <c r="J996" s="20">
        <f>Разбивка_по_щитам!M1001</f>
      </c>
      <c r="K996" s="20">
        <f>Разбивка_по_щитам!N1001</f>
      </c>
      <c r="L996" s="20"/>
      <c r="M996" s="20">
        <f>Разбивка_по_щитам!P1001</f>
      </c>
      <c r="N996" s="20"/>
    </row>
    <row r="997" spans="2:14" x14ac:dyDescent="0.25">
      <c r="B997" s="20">
        <f>Разбивка_по_щитам!B1002</f>
      </c>
      <c r="C997" s="20">
        <f>Разбивка_по_щитам!C1002</f>
      </c>
      <c r="D997" s="20">
        <f>Разбивка_по_щитам!F1002</f>
      </c>
      <c r="E997" s="20">
        <f>Разбивка_по_щитам!H1002</f>
      </c>
      <c r="F997" s="20">
        <f>Разбивка_по_щитам!I1002</f>
      </c>
      <c r="G997" s="20">
        <f>Разбивка_по_щитам!J1002</f>
      </c>
      <c r="H997" s="20">
        <f>Разбивка_по_щитам!K1002</f>
      </c>
      <c r="I997" s="20">
        <f>Разбивка_по_щитам!L1002</f>
      </c>
      <c r="J997" s="20">
        <f>Разбивка_по_щитам!M1002</f>
      </c>
      <c r="K997" s="20">
        <f>Разбивка_по_щитам!N1002</f>
      </c>
      <c r="L997" s="20"/>
      <c r="M997" s="20">
        <f>Разбивка_по_щитам!P1002</f>
      </c>
      <c r="N997" s="20"/>
    </row>
    <row r="998" spans="2:14" x14ac:dyDescent="0.25">
      <c r="B998" s="20">
        <f>Разбивка_по_щитам!B1003</f>
      </c>
      <c r="C998" s="20">
        <f>Разбивка_по_щитам!C1003</f>
      </c>
      <c r="D998" s="20">
        <f>Разбивка_по_щитам!F1003</f>
      </c>
      <c r="E998" s="20">
        <f>Разбивка_по_щитам!H1003</f>
      </c>
      <c r="F998" s="20">
        <f>Разбивка_по_щитам!I1003</f>
      </c>
      <c r="G998" s="20">
        <f>Разбивка_по_щитам!J1003</f>
      </c>
      <c r="H998" s="20">
        <f>Разбивка_по_щитам!K1003</f>
      </c>
      <c r="I998" s="20">
        <f>Разбивка_по_щитам!L1003</f>
      </c>
      <c r="J998" s="20">
        <f>Разбивка_по_щитам!M1003</f>
      </c>
      <c r="K998" s="20">
        <f>Разбивка_по_щитам!N1003</f>
      </c>
      <c r="L998" s="20"/>
      <c r="M998" s="20">
        <f>Разбивка_по_щитам!P1003</f>
      </c>
      <c r="N998" s="20"/>
    </row>
    <row r="999" spans="2:14" x14ac:dyDescent="0.25">
      <c r="B999" s="20">
        <f>Разбивка_по_щитам!B1004</f>
      </c>
      <c r="C999" s="20">
        <f>Разбивка_по_щитам!C1004</f>
      </c>
      <c r="D999" s="20">
        <f>Разбивка_по_щитам!F1004</f>
      </c>
      <c r="E999" s="20">
        <f>Разбивка_по_щитам!H1004</f>
      </c>
      <c r="F999" s="20">
        <f>Разбивка_по_щитам!I1004</f>
      </c>
      <c r="G999" s="20">
        <f>Разбивка_по_щитам!J1004</f>
      </c>
      <c r="H999" s="20">
        <f>Разбивка_по_щитам!K1004</f>
      </c>
      <c r="I999" s="20">
        <f>Разбивка_по_щитам!L1004</f>
      </c>
      <c r="J999" s="20">
        <f>Разбивка_по_щитам!M1004</f>
      </c>
      <c r="K999" s="20">
        <f>Разбивка_по_щитам!N1004</f>
      </c>
      <c r="L999" s="20"/>
      <c r="M999" s="20">
        <f>Разбивка_по_щитам!P1004</f>
      </c>
      <c r="N999" s="20"/>
    </row>
    <row r="1000" spans="2:14" x14ac:dyDescent="0.25">
      <c r="B1000" s="20">
        <f>Разбивка_по_щитам!B1005</f>
      </c>
      <c r="C1000" s="20">
        <f>Разбивка_по_щитам!C1005</f>
      </c>
      <c r="D1000" s="20">
        <f>Разбивка_по_щитам!F1005</f>
      </c>
      <c r="E1000" s="20">
        <f>Разбивка_по_щитам!H1005</f>
      </c>
      <c r="F1000" s="20">
        <f>Разбивка_по_щитам!I1005</f>
      </c>
      <c r="G1000" s="20">
        <f>Разбивка_по_щитам!J1005</f>
      </c>
      <c r="H1000" s="20">
        <f>Разбивка_по_щитам!K1005</f>
      </c>
      <c r="I1000" s="20">
        <f>Разбивка_по_щитам!L1005</f>
      </c>
      <c r="J1000" s="20">
        <f>Разбивка_по_щитам!M1005</f>
      </c>
      <c r="K1000" s="20">
        <f>Разбивка_по_щитам!N1005</f>
      </c>
      <c r="L1000" s="20"/>
      <c r="M1000" s="20">
        <f>Разбивка_по_щитам!P1005</f>
      </c>
      <c r="N1000" s="20"/>
    </row>
    <row r="1001" spans="2:14" x14ac:dyDescent="0.25">
      <c r="B1001" s="20">
        <f>Разбивка_по_щитам!B1006</f>
      </c>
      <c r="C1001" s="20">
        <f>Разбивка_по_щитам!C1006</f>
      </c>
      <c r="D1001" s="20">
        <f>Разбивка_по_щитам!F1006</f>
      </c>
      <c r="E1001" s="20">
        <f>Разбивка_по_щитам!H1006</f>
      </c>
      <c r="F1001" s="20">
        <f>Разбивка_по_щитам!I1006</f>
      </c>
      <c r="G1001" s="20">
        <f>Разбивка_по_щитам!J1006</f>
      </c>
      <c r="H1001" s="20">
        <f>Разбивка_по_щитам!K1006</f>
      </c>
      <c r="I1001" s="20">
        <f>Разбивка_по_щитам!L1006</f>
      </c>
      <c r="J1001" s="20">
        <f>Разбивка_по_щитам!M1006</f>
      </c>
      <c r="K1001" s="20">
        <f>Разбивка_по_щитам!N1006</f>
      </c>
      <c r="L1001" s="20"/>
      <c r="M1001" s="20">
        <f>Разбивка_по_щитам!P1006</f>
      </c>
      <c r="N1001" s="20"/>
    </row>
    <row r="1002" spans="2:14" x14ac:dyDescent="0.25">
      <c r="B1002" s="20">
        <f>Разбивка_по_щитам!B1007</f>
      </c>
      <c r="C1002" s="20">
        <f>Разбивка_по_щитам!C1007</f>
      </c>
      <c r="D1002" s="20">
        <f>Разбивка_по_щитам!F1007</f>
      </c>
      <c r="E1002" s="20">
        <f>Разбивка_по_щитам!H1007</f>
      </c>
      <c r="F1002" s="20">
        <f>Разбивка_по_щитам!I1007</f>
      </c>
      <c r="G1002" s="20">
        <f>Разбивка_по_щитам!J1007</f>
      </c>
      <c r="H1002" s="20">
        <f>Разбивка_по_щитам!K1007</f>
      </c>
      <c r="I1002" s="20">
        <f>Разбивка_по_щитам!L1007</f>
      </c>
      <c r="J1002" s="20">
        <f>Разбивка_по_щитам!M1007</f>
      </c>
      <c r="K1002" s="20">
        <f>Разбивка_по_щитам!N1007</f>
      </c>
      <c r="L1002" s="20"/>
      <c r="M1002" s="20">
        <f>Разбивка_по_щитам!P1007</f>
      </c>
      <c r="N1002" s="20"/>
    </row>
    <row r="1003" spans="2:14" x14ac:dyDescent="0.25">
      <c r="B1003" s="20">
        <f>Разбивка_по_щитам!B1008</f>
      </c>
      <c r="C1003" s="20">
        <f>Разбивка_по_щитам!C1008</f>
      </c>
      <c r="D1003" s="20">
        <f>Разбивка_по_щитам!F1008</f>
      </c>
      <c r="E1003" s="20">
        <f>Разбивка_по_щитам!H1008</f>
      </c>
      <c r="F1003" s="20">
        <f>Разбивка_по_щитам!I1008</f>
      </c>
      <c r="G1003" s="20">
        <f>Разбивка_по_щитам!J1008</f>
      </c>
      <c r="H1003" s="20">
        <f>Разбивка_по_щитам!K1008</f>
      </c>
      <c r="I1003" s="20">
        <f>Разбивка_по_щитам!L1008</f>
      </c>
      <c r="J1003" s="20">
        <f>Разбивка_по_щитам!M1008</f>
      </c>
      <c r="K1003" s="20">
        <f>Разбивка_по_щитам!N1008</f>
      </c>
      <c r="L1003" s="20"/>
      <c r="M1003" s="20">
        <f>Разбивка_по_щитам!P1008</f>
      </c>
      <c r="N1003" s="20"/>
    </row>
    <row r="1004" spans="2:14" x14ac:dyDescent="0.25">
      <c r="B1004" s="20">
        <f>Разбивка_по_щитам!B1009</f>
      </c>
      <c r="C1004" s="20">
        <f>Разбивка_по_щитам!C1009</f>
      </c>
      <c r="D1004" s="20">
        <f>Разбивка_по_щитам!F1009</f>
      </c>
      <c r="E1004" s="20">
        <f>Разбивка_по_щитам!H1009</f>
      </c>
      <c r="F1004" s="20">
        <f>Разбивка_по_щитам!I1009</f>
      </c>
      <c r="G1004" s="20">
        <f>Разбивка_по_щитам!J1009</f>
      </c>
      <c r="H1004" s="20">
        <f>Разбивка_по_щитам!K1009</f>
      </c>
      <c r="I1004" s="20">
        <f>Разбивка_по_щитам!L1009</f>
      </c>
      <c r="J1004" s="20">
        <f>Разбивка_по_щитам!M1009</f>
      </c>
      <c r="K1004" s="20">
        <f>Разбивка_по_щитам!N1009</f>
      </c>
      <c r="L1004" s="20"/>
      <c r="M1004" s="20">
        <f>Разбивка_по_щитам!P1009</f>
      </c>
      <c r="N1004" s="20"/>
    </row>
    <row r="1005" spans="2:14" x14ac:dyDescent="0.25">
      <c r="B1005" s="20">
        <f>Разбивка_по_щитам!B1010</f>
      </c>
      <c r="C1005" s="20">
        <f>Разбивка_по_щитам!C1010</f>
      </c>
      <c r="D1005" s="20">
        <f>Разбивка_по_щитам!F1010</f>
      </c>
      <c r="E1005" s="20">
        <f>Разбивка_по_щитам!H1010</f>
      </c>
      <c r="F1005" s="20">
        <f>Разбивка_по_щитам!I1010</f>
      </c>
      <c r="G1005" s="20">
        <f>Разбивка_по_щитам!J1010</f>
      </c>
      <c r="H1005" s="20">
        <f>Разбивка_по_щитам!K1010</f>
      </c>
      <c r="I1005" s="20">
        <f>Разбивка_по_щитам!L1010</f>
      </c>
      <c r="J1005" s="20">
        <f>Разбивка_по_щитам!M1010</f>
      </c>
      <c r="K1005" s="20">
        <f>Разбивка_по_щитам!N1010</f>
      </c>
      <c r="L1005" s="20"/>
      <c r="M1005" s="20">
        <f>Разбивка_по_щитам!P1010</f>
      </c>
      <c r="N1005" s="20"/>
    </row>
    <row r="1006" spans="2:14" x14ac:dyDescent="0.25">
      <c r="B1006" s="20">
        <f>Разбивка_по_щитам!B1011</f>
      </c>
      <c r="C1006" s="20">
        <f>Разбивка_по_щитам!C1011</f>
      </c>
      <c r="D1006" s="20">
        <f>Разбивка_по_щитам!F1011</f>
      </c>
      <c r="E1006" s="20">
        <f>Разбивка_по_щитам!H1011</f>
      </c>
      <c r="F1006" s="20">
        <f>Разбивка_по_щитам!I1011</f>
      </c>
      <c r="G1006" s="20">
        <f>Разбивка_по_щитам!J1011</f>
      </c>
      <c r="H1006" s="20">
        <f>Разбивка_по_щитам!K1011</f>
      </c>
      <c r="I1006" s="20">
        <f>Разбивка_по_щитам!L1011</f>
      </c>
      <c r="J1006" s="20">
        <f>Разбивка_по_щитам!M1011</f>
      </c>
      <c r="K1006" s="20">
        <f>Разбивка_по_щитам!N1011</f>
      </c>
      <c r="L1006" s="20"/>
      <c r="M1006" s="20">
        <f>Разбивка_по_щитам!P1011</f>
      </c>
      <c r="N1006" s="20"/>
    </row>
    <row r="1007" spans="2:14" x14ac:dyDescent="0.25">
      <c r="B1007" s="20">
        <f>Разбивка_по_щитам!B1012</f>
      </c>
      <c r="C1007" s="20">
        <f>Разбивка_по_щитам!C1012</f>
      </c>
      <c r="D1007" s="20">
        <f>Разбивка_по_щитам!F1012</f>
      </c>
      <c r="E1007" s="20">
        <f>Разбивка_по_щитам!H1012</f>
      </c>
      <c r="F1007" s="20">
        <f>Разбивка_по_щитам!I1012</f>
      </c>
      <c r="G1007" s="20">
        <f>Разбивка_по_щитам!J1012</f>
      </c>
      <c r="H1007" s="20">
        <f>Разбивка_по_щитам!K1012</f>
      </c>
      <c r="I1007" s="20">
        <f>Разбивка_по_щитам!L1012</f>
      </c>
      <c r="J1007" s="20">
        <f>Разбивка_по_щитам!M1012</f>
      </c>
      <c r="K1007" s="20">
        <f>Разбивка_по_щитам!N1012</f>
      </c>
      <c r="L1007" s="20"/>
      <c r="M1007" s="20">
        <f>Разбивка_по_щитам!P1012</f>
      </c>
      <c r="N1007" s="20"/>
    </row>
    <row r="1008" spans="2:14" x14ac:dyDescent="0.25">
      <c r="B1008" s="20">
        <f>Разбивка_по_щитам!B1013</f>
      </c>
      <c r="C1008" s="20">
        <f>Разбивка_по_щитам!C1013</f>
      </c>
      <c r="D1008" s="20">
        <f>Разбивка_по_щитам!F1013</f>
      </c>
      <c r="E1008" s="20">
        <f>Разбивка_по_щитам!H1013</f>
      </c>
      <c r="F1008" s="20">
        <f>Разбивка_по_щитам!I1013</f>
      </c>
      <c r="G1008" s="20">
        <f>Разбивка_по_щитам!J1013</f>
      </c>
      <c r="H1008" s="20">
        <f>Разбивка_по_щитам!K1013</f>
      </c>
      <c r="I1008" s="20">
        <f>Разбивка_по_щитам!L1013</f>
      </c>
      <c r="J1008" s="20">
        <f>Разбивка_по_щитам!M1013</f>
      </c>
      <c r="K1008" s="20">
        <f>Разбивка_по_щитам!N1013</f>
      </c>
      <c r="L1008" s="20"/>
      <c r="M1008" s="20">
        <f>Разбивка_по_щитам!P1013</f>
      </c>
      <c r="N1008" s="20"/>
    </row>
    <row r="1009" spans="2:14" x14ac:dyDescent="0.25">
      <c r="B1009" s="20">
        <f>Разбивка_по_щитам!B1014</f>
      </c>
      <c r="C1009" s="20">
        <f>Разбивка_по_щитам!C1014</f>
      </c>
      <c r="D1009" s="20">
        <f>Разбивка_по_щитам!F1014</f>
      </c>
      <c r="E1009" s="20">
        <f>Разбивка_по_щитам!H1014</f>
      </c>
      <c r="F1009" s="20">
        <f>Разбивка_по_щитам!I1014</f>
      </c>
      <c r="G1009" s="20">
        <f>Разбивка_по_щитам!J1014</f>
      </c>
      <c r="H1009" s="20">
        <f>Разбивка_по_щитам!K1014</f>
      </c>
      <c r="I1009" s="20">
        <f>Разбивка_по_щитам!L1014</f>
      </c>
      <c r="J1009" s="20">
        <f>Разбивка_по_щитам!M1014</f>
      </c>
      <c r="K1009" s="20">
        <f>Разбивка_по_щитам!N1014</f>
      </c>
      <c r="L1009" s="20"/>
      <c r="M1009" s="20">
        <f>Разбивка_по_щитам!P1014</f>
      </c>
      <c r="N1009" s="20"/>
    </row>
    <row r="1010" spans="2:14" x14ac:dyDescent="0.25">
      <c r="B1010" s="20">
        <f>Разбивка_по_щитам!B1015</f>
      </c>
      <c r="C1010" s="20">
        <f>Разбивка_по_щитам!C1015</f>
      </c>
      <c r="D1010" s="20">
        <f>Разбивка_по_щитам!F1015</f>
      </c>
      <c r="E1010" s="20">
        <f>Разбивка_по_щитам!H1015</f>
      </c>
      <c r="F1010" s="20">
        <f>Разбивка_по_щитам!I1015</f>
      </c>
      <c r="G1010" s="20">
        <f>Разбивка_по_щитам!J1015</f>
      </c>
      <c r="H1010" s="20">
        <f>Разбивка_по_щитам!K1015</f>
      </c>
      <c r="I1010" s="20">
        <f>Разбивка_по_щитам!L1015</f>
      </c>
      <c r="J1010" s="20">
        <f>Разбивка_по_щитам!M1015</f>
      </c>
      <c r="K1010" s="20">
        <f>Разбивка_по_щитам!N1015</f>
      </c>
      <c r="L1010" s="20"/>
      <c r="M1010" s="20">
        <f>Разбивка_по_щитам!P1015</f>
      </c>
      <c r="N1010" s="20"/>
    </row>
    <row r="1011" spans="2:14" x14ac:dyDescent="0.25">
      <c r="B1011" s="20">
        <f>Разбивка_по_щитам!B1016</f>
      </c>
      <c r="C1011" s="20">
        <f>Разбивка_по_щитам!C1016</f>
      </c>
      <c r="D1011" s="20">
        <f>Разбивка_по_щитам!F1016</f>
      </c>
      <c r="E1011" s="20">
        <f>Разбивка_по_щитам!H1016</f>
      </c>
      <c r="F1011" s="20">
        <f>Разбивка_по_щитам!I1016</f>
      </c>
      <c r="G1011" s="20">
        <f>Разбивка_по_щитам!J1016</f>
      </c>
      <c r="H1011" s="20">
        <f>Разбивка_по_щитам!K1016</f>
      </c>
      <c r="I1011" s="20">
        <f>Разбивка_по_щитам!L1016</f>
      </c>
      <c r="J1011" s="20">
        <f>Разбивка_по_щитам!M1016</f>
      </c>
      <c r="K1011" s="20">
        <f>Разбивка_по_щитам!N1016</f>
      </c>
      <c r="L1011" s="20"/>
      <c r="M1011" s="20">
        <f>Разбивка_по_щитам!P1016</f>
      </c>
      <c r="N1011" s="20"/>
    </row>
    <row r="1012" spans="2:14" x14ac:dyDescent="0.25">
      <c r="B1012" s="20">
        <f>Разбивка_по_щитам!B1017</f>
      </c>
      <c r="C1012" s="20">
        <f>Разбивка_по_щитам!C1017</f>
      </c>
      <c r="D1012" s="20">
        <f>Разбивка_по_щитам!F1017</f>
      </c>
      <c r="E1012" s="20">
        <f>Разбивка_по_щитам!H1017</f>
      </c>
      <c r="F1012" s="20">
        <f>Разбивка_по_щитам!I1017</f>
      </c>
      <c r="G1012" s="20">
        <f>Разбивка_по_щитам!J1017</f>
      </c>
      <c r="H1012" s="20">
        <f>Разбивка_по_щитам!K1017</f>
      </c>
      <c r="I1012" s="20">
        <f>Разбивка_по_щитам!L1017</f>
      </c>
      <c r="J1012" s="20">
        <f>Разбивка_по_щитам!M1017</f>
      </c>
      <c r="K1012" s="20">
        <f>Разбивка_по_щитам!N1017</f>
      </c>
      <c r="L1012" s="20"/>
      <c r="M1012" s="20">
        <f>Разбивка_по_щитам!P1017</f>
      </c>
      <c r="N1012" s="20"/>
    </row>
    <row r="1013" spans="2:14" x14ac:dyDescent="0.25">
      <c r="B1013" s="20">
        <f>Разбивка_по_щитам!B1018</f>
      </c>
      <c r="C1013" s="20">
        <f>Разбивка_по_щитам!C1018</f>
      </c>
      <c r="D1013" s="20">
        <f>Разбивка_по_щитам!F1018</f>
      </c>
      <c r="E1013" s="20">
        <f>Разбивка_по_щитам!H1018</f>
      </c>
      <c r="F1013" s="20">
        <f>Разбивка_по_щитам!I1018</f>
      </c>
      <c r="G1013" s="20">
        <f>Разбивка_по_щитам!J1018</f>
      </c>
      <c r="H1013" s="20">
        <f>Разбивка_по_щитам!K1018</f>
      </c>
      <c r="I1013" s="20">
        <f>Разбивка_по_щитам!L1018</f>
      </c>
      <c r="J1013" s="20">
        <f>Разбивка_по_щитам!M1018</f>
      </c>
      <c r="K1013" s="20">
        <f>Разбивка_по_щитам!N1018</f>
      </c>
      <c r="L1013" s="20"/>
      <c r="M1013" s="20">
        <f>Разбивка_по_щитам!P1018</f>
      </c>
      <c r="N1013" s="20"/>
    </row>
    <row r="1014" spans="2:14" x14ac:dyDescent="0.25">
      <c r="B1014" s="20">
        <f>Разбивка_по_щитам!B1019</f>
      </c>
      <c r="C1014" s="20">
        <f>Разбивка_по_щитам!C1019</f>
      </c>
      <c r="D1014" s="20">
        <f>Разбивка_по_щитам!F1019</f>
      </c>
      <c r="E1014" s="20">
        <f>Разбивка_по_щитам!H1019</f>
      </c>
      <c r="F1014" s="20">
        <f>Разбивка_по_щитам!I1019</f>
      </c>
      <c r="G1014" s="20">
        <f>Разбивка_по_щитам!J1019</f>
      </c>
      <c r="H1014" s="20">
        <f>Разбивка_по_щитам!K1019</f>
      </c>
      <c r="I1014" s="20">
        <f>Разбивка_по_щитам!L1019</f>
      </c>
      <c r="J1014" s="20">
        <f>Разбивка_по_щитам!M1019</f>
      </c>
      <c r="K1014" s="20">
        <f>Разбивка_по_щитам!N1019</f>
      </c>
      <c r="L1014" s="20"/>
      <c r="M1014" s="20">
        <f>Разбивка_по_щитам!P1019</f>
      </c>
      <c r="N1014" s="20"/>
    </row>
    <row r="1015" spans="2:14" x14ac:dyDescent="0.25">
      <c r="B1015" s="20">
        <f>Разбивка_по_щитам!B1020</f>
      </c>
      <c r="C1015" s="20">
        <f>Разбивка_по_щитам!C1020</f>
      </c>
      <c r="D1015" s="20">
        <f>Разбивка_по_щитам!F1020</f>
      </c>
      <c r="E1015" s="20">
        <f>Разбивка_по_щитам!H1020</f>
      </c>
      <c r="F1015" s="20">
        <f>Разбивка_по_щитам!I1020</f>
      </c>
      <c r="G1015" s="20">
        <f>Разбивка_по_щитам!J1020</f>
      </c>
      <c r="H1015" s="20">
        <f>Разбивка_по_щитам!K1020</f>
      </c>
      <c r="I1015" s="20">
        <f>Разбивка_по_щитам!L1020</f>
      </c>
      <c r="J1015" s="20">
        <f>Разбивка_по_щитам!M1020</f>
      </c>
      <c r="K1015" s="20">
        <f>Разбивка_по_щитам!N1020</f>
      </c>
      <c r="L1015" s="20"/>
      <c r="M1015" s="20">
        <f>Разбивка_по_щитам!P1020</f>
      </c>
      <c r="N1015" s="20"/>
    </row>
    <row r="1016" spans="2:14" x14ac:dyDescent="0.25">
      <c r="B1016" s="20">
        <f>Разбивка_по_щитам!B1021</f>
      </c>
      <c r="C1016" s="20">
        <f>Разбивка_по_щитам!C1021</f>
      </c>
      <c r="D1016" s="20">
        <f>Разбивка_по_щитам!F1021</f>
      </c>
      <c r="E1016" s="20">
        <f>Разбивка_по_щитам!H1021</f>
      </c>
      <c r="F1016" s="20">
        <f>Разбивка_по_щитам!I1021</f>
      </c>
      <c r="G1016" s="20">
        <f>Разбивка_по_щитам!J1021</f>
      </c>
      <c r="H1016" s="20">
        <f>Разбивка_по_щитам!K1021</f>
      </c>
      <c r="I1016" s="20">
        <f>Разбивка_по_щитам!L1021</f>
      </c>
      <c r="J1016" s="20">
        <f>Разбивка_по_щитам!M1021</f>
      </c>
      <c r="K1016" s="20">
        <f>Разбивка_по_щитам!N1021</f>
      </c>
      <c r="L1016" s="20"/>
      <c r="M1016" s="20">
        <f>Разбивка_по_щитам!P1021</f>
      </c>
      <c r="N1016" s="20"/>
    </row>
    <row r="1017" spans="2:14" x14ac:dyDescent="0.25">
      <c r="B1017" s="20">
        <f>Разбивка_по_щитам!B1022</f>
      </c>
      <c r="C1017" s="20">
        <f>Разбивка_по_щитам!C1022</f>
      </c>
      <c r="D1017" s="20">
        <f>Разбивка_по_щитам!F1022</f>
      </c>
      <c r="E1017" s="20">
        <f>Разбивка_по_щитам!H1022</f>
      </c>
      <c r="F1017" s="20">
        <f>Разбивка_по_щитам!I1022</f>
      </c>
      <c r="G1017" s="20">
        <f>Разбивка_по_щитам!J1022</f>
      </c>
      <c r="H1017" s="20">
        <f>Разбивка_по_щитам!K1022</f>
      </c>
      <c r="I1017" s="20">
        <f>Разбивка_по_щитам!L1022</f>
      </c>
      <c r="J1017" s="20">
        <f>Разбивка_по_щитам!M1022</f>
      </c>
      <c r="K1017" s="20">
        <f>Разбивка_по_щитам!N1022</f>
      </c>
      <c r="L1017" s="20"/>
      <c r="M1017" s="20">
        <f>Разбивка_по_щитам!P1022</f>
      </c>
      <c r="N1017" s="20"/>
    </row>
    <row r="1018" spans="2:14" x14ac:dyDescent="0.25">
      <c r="B1018" s="20">
        <f>Разбивка_по_щитам!B1023</f>
      </c>
      <c r="C1018" s="20">
        <f>Разбивка_по_щитам!C1023</f>
      </c>
      <c r="D1018" s="20">
        <f>Разбивка_по_щитам!F1023</f>
      </c>
      <c r="E1018" s="20">
        <f>Разбивка_по_щитам!H1023</f>
      </c>
      <c r="F1018" s="20">
        <f>Разбивка_по_щитам!I1023</f>
      </c>
      <c r="G1018" s="20">
        <f>Разбивка_по_щитам!J1023</f>
      </c>
      <c r="H1018" s="20">
        <f>Разбивка_по_щитам!K1023</f>
      </c>
      <c r="I1018" s="20">
        <f>Разбивка_по_щитам!L1023</f>
      </c>
      <c r="J1018" s="20">
        <f>Разбивка_по_щитам!M1023</f>
      </c>
      <c r="K1018" s="20">
        <f>Разбивка_по_щитам!N1023</f>
      </c>
      <c r="L1018" s="20"/>
      <c r="M1018" s="20">
        <f>Разбивка_по_щитам!P1023</f>
      </c>
      <c r="N1018" s="20"/>
    </row>
    <row r="1019" spans="2:14" x14ac:dyDescent="0.25">
      <c r="B1019" s="20">
        <f>Разбивка_по_щитам!B1024</f>
      </c>
      <c r="C1019" s="20">
        <f>Разбивка_по_щитам!C1024</f>
      </c>
      <c r="D1019" s="20">
        <f>Разбивка_по_щитам!F1024</f>
      </c>
      <c r="E1019" s="20">
        <f>Разбивка_по_щитам!H1024</f>
      </c>
      <c r="F1019" s="20">
        <f>Разбивка_по_щитам!I1024</f>
      </c>
      <c r="G1019" s="20">
        <f>Разбивка_по_щитам!J1024</f>
      </c>
      <c r="H1019" s="20">
        <f>Разбивка_по_щитам!K1024</f>
      </c>
      <c r="I1019" s="20">
        <f>Разбивка_по_щитам!L1024</f>
      </c>
      <c r="J1019" s="20">
        <f>Разбивка_по_щитам!M1024</f>
      </c>
      <c r="K1019" s="20">
        <f>Разбивка_по_щитам!N1024</f>
      </c>
      <c r="L1019" s="20"/>
      <c r="M1019" s="20">
        <f>Разбивка_по_щитам!P1024</f>
      </c>
      <c r="N1019" s="20"/>
    </row>
    <row r="1020" spans="2:14" x14ac:dyDescent="0.25">
      <c r="B1020" s="20">
        <f>Разбивка_по_щитам!B1025</f>
      </c>
      <c r="C1020" s="20">
        <f>Разбивка_по_щитам!C1025</f>
      </c>
      <c r="D1020" s="20">
        <f>Разбивка_по_щитам!F1025</f>
      </c>
      <c r="E1020" s="20">
        <f>Разбивка_по_щитам!H1025</f>
      </c>
      <c r="F1020" s="20">
        <f>Разбивка_по_щитам!I1025</f>
      </c>
      <c r="G1020" s="20">
        <f>Разбивка_по_щитам!J1025</f>
      </c>
      <c r="H1020" s="20">
        <f>Разбивка_по_щитам!K1025</f>
      </c>
      <c r="I1020" s="20">
        <f>Разбивка_по_щитам!L1025</f>
      </c>
      <c r="J1020" s="20">
        <f>Разбивка_по_щитам!M1025</f>
      </c>
      <c r="K1020" s="20">
        <f>Разбивка_по_щитам!N1025</f>
      </c>
      <c r="L1020" s="20"/>
      <c r="M1020" s="20">
        <f>Разбивка_по_щитам!P1025</f>
      </c>
      <c r="N1020" s="20"/>
    </row>
    <row r="1021" spans="2:14" x14ac:dyDescent="0.25">
      <c r="B1021" s="20">
        <f>Разбивка_по_щитам!B1026</f>
      </c>
      <c r="C1021" s="20">
        <f>Разбивка_по_щитам!C1026</f>
      </c>
      <c r="D1021" s="20">
        <f>Разбивка_по_щитам!F1026</f>
      </c>
      <c r="E1021" s="20">
        <f>Разбивка_по_щитам!H1026</f>
      </c>
      <c r="F1021" s="20">
        <f>Разбивка_по_щитам!I1026</f>
      </c>
      <c r="G1021" s="20">
        <f>Разбивка_по_щитам!J1026</f>
      </c>
      <c r="H1021" s="20">
        <f>Разбивка_по_щитам!K1026</f>
      </c>
      <c r="I1021" s="20">
        <f>Разбивка_по_щитам!L1026</f>
      </c>
      <c r="J1021" s="20">
        <f>Разбивка_по_щитам!M1026</f>
      </c>
      <c r="K1021" s="20">
        <f>Разбивка_по_щитам!N1026</f>
      </c>
      <c r="L1021" s="20"/>
      <c r="M1021" s="20">
        <f>Разбивка_по_щитам!P1026</f>
      </c>
      <c r="N1021" s="20"/>
    </row>
    <row r="1022" spans="2:14" x14ac:dyDescent="0.25">
      <c r="B1022" s="20">
        <f>Разбивка_по_щитам!B1027</f>
      </c>
      <c r="C1022" s="20">
        <f>Разбивка_по_щитам!C1027</f>
      </c>
      <c r="D1022" s="20">
        <f>Разбивка_по_щитам!F1027</f>
      </c>
      <c r="E1022" s="20">
        <f>Разбивка_по_щитам!H1027</f>
      </c>
      <c r="F1022" s="20">
        <f>Разбивка_по_щитам!I1027</f>
      </c>
      <c r="G1022" s="20">
        <f>Разбивка_по_щитам!J1027</f>
      </c>
      <c r="H1022" s="20">
        <f>Разбивка_по_щитам!K1027</f>
      </c>
      <c r="I1022" s="20">
        <f>Разбивка_по_щитам!L1027</f>
      </c>
      <c r="J1022" s="20">
        <f>Разбивка_по_щитам!M1027</f>
      </c>
      <c r="K1022" s="20">
        <f>Разбивка_по_щитам!N1027</f>
      </c>
      <c r="L1022" s="20"/>
      <c r="M1022" s="20">
        <f>Разбивка_по_щитам!P1027</f>
      </c>
      <c r="N1022" s="20"/>
    </row>
    <row r="1023" spans="2:14" x14ac:dyDescent="0.25">
      <c r="B1023" s="20">
        <f>Разбивка_по_щитам!B1028</f>
      </c>
      <c r="C1023" s="20">
        <f>Разбивка_по_щитам!C1028</f>
      </c>
      <c r="D1023" s="20">
        <f>Разбивка_по_щитам!F1028</f>
      </c>
      <c r="E1023" s="20">
        <f>Разбивка_по_щитам!H1028</f>
      </c>
      <c r="F1023" s="20">
        <f>Разбивка_по_щитам!I1028</f>
      </c>
      <c r="G1023" s="20">
        <f>Разбивка_по_щитам!J1028</f>
      </c>
      <c r="H1023" s="20">
        <f>Разбивка_по_щитам!K1028</f>
      </c>
      <c r="I1023" s="20">
        <f>Разбивка_по_щитам!L1028</f>
      </c>
      <c r="J1023" s="20">
        <f>Разбивка_по_щитам!M1028</f>
      </c>
      <c r="K1023" s="20">
        <f>Разбивка_по_щитам!N1028</f>
      </c>
      <c r="L1023" s="20"/>
      <c r="M1023" s="20">
        <f>Разбивка_по_щитам!P1028</f>
      </c>
      <c r="N1023" s="20"/>
    </row>
    <row r="1024" spans="2:14" x14ac:dyDescent="0.25">
      <c r="B1024" s="20">
        <f>Разбивка_по_щитам!B1029</f>
      </c>
      <c r="C1024" s="20">
        <f>Разбивка_по_щитам!C1029</f>
      </c>
      <c r="D1024" s="20">
        <f>Разбивка_по_щитам!F1029</f>
      </c>
      <c r="E1024" s="20">
        <f>Разбивка_по_щитам!H1029</f>
      </c>
      <c r="F1024" s="20">
        <f>Разбивка_по_щитам!I1029</f>
      </c>
      <c r="G1024" s="20">
        <f>Разбивка_по_щитам!J1029</f>
      </c>
      <c r="H1024" s="20">
        <f>Разбивка_по_щитам!K1029</f>
      </c>
      <c r="I1024" s="20">
        <f>Разбивка_по_щитам!L1029</f>
      </c>
      <c r="J1024" s="20">
        <f>Разбивка_по_щитам!M1029</f>
      </c>
      <c r="K1024" s="20">
        <f>Разбивка_по_щитам!N1029</f>
      </c>
      <c r="L1024" s="20"/>
      <c r="M1024" s="20">
        <f>Разбивка_по_щитам!P1029</f>
      </c>
      <c r="N1024" s="20"/>
    </row>
    <row r="1025" spans="2:14" x14ac:dyDescent="0.25">
      <c r="B1025" s="20">
        <f>Разбивка_по_щитам!B1030</f>
      </c>
      <c r="C1025" s="20">
        <f>Разбивка_по_щитам!C1030</f>
      </c>
      <c r="D1025" s="20">
        <f>Разбивка_по_щитам!F1030</f>
      </c>
      <c r="E1025" s="20">
        <f>Разбивка_по_щитам!H1030</f>
      </c>
      <c r="F1025" s="20">
        <f>Разбивка_по_щитам!I1030</f>
      </c>
      <c r="G1025" s="20">
        <f>Разбивка_по_щитам!J1030</f>
      </c>
      <c r="H1025" s="20">
        <f>Разбивка_по_щитам!K1030</f>
      </c>
      <c r="I1025" s="20">
        <f>Разбивка_по_щитам!L1030</f>
      </c>
      <c r="J1025" s="20">
        <f>Разбивка_по_щитам!M1030</f>
      </c>
      <c r="K1025" s="20">
        <f>Разбивка_по_щитам!N1030</f>
      </c>
      <c r="L1025" s="20"/>
      <c r="M1025" s="20">
        <f>Разбивка_по_щитам!P1030</f>
      </c>
      <c r="N1025" s="20"/>
    </row>
    <row r="1026" spans="2:14" x14ac:dyDescent="0.25">
      <c r="B1026" s="20">
        <f>Разбивка_по_щитам!B1031</f>
      </c>
      <c r="C1026" s="20">
        <f>Разбивка_по_щитам!C1031</f>
      </c>
      <c r="D1026" s="20">
        <f>Разбивка_по_щитам!F1031</f>
      </c>
      <c r="E1026" s="20">
        <f>Разбивка_по_щитам!H1031</f>
      </c>
      <c r="F1026" s="20">
        <f>Разбивка_по_щитам!I1031</f>
      </c>
      <c r="G1026" s="20">
        <f>Разбивка_по_щитам!J1031</f>
      </c>
      <c r="H1026" s="20">
        <f>Разбивка_по_щитам!K1031</f>
      </c>
      <c r="I1026" s="20">
        <f>Разбивка_по_щитам!L1031</f>
      </c>
      <c r="J1026" s="20">
        <f>Разбивка_по_щитам!M1031</f>
      </c>
      <c r="K1026" s="20">
        <f>Разбивка_по_щитам!N1031</f>
      </c>
      <c r="L1026" s="20"/>
      <c r="M1026" s="20">
        <f>Разбивка_по_щитам!P1031</f>
      </c>
      <c r="N1026" s="20"/>
    </row>
    <row r="1027" spans="2:14" x14ac:dyDescent="0.25">
      <c r="B1027" s="20">
        <f>Разбивка_по_щитам!B1032</f>
      </c>
      <c r="C1027" s="20">
        <f>Разбивка_по_щитам!C1032</f>
      </c>
      <c r="D1027" s="20">
        <f>Разбивка_по_щитам!F1032</f>
      </c>
      <c r="E1027" s="20">
        <f>Разбивка_по_щитам!H1032</f>
      </c>
      <c r="F1027" s="20">
        <f>Разбивка_по_щитам!I1032</f>
      </c>
      <c r="G1027" s="20">
        <f>Разбивка_по_щитам!J1032</f>
      </c>
      <c r="H1027" s="20">
        <f>Разбивка_по_щитам!K1032</f>
      </c>
      <c r="I1027" s="20">
        <f>Разбивка_по_щитам!L1032</f>
      </c>
      <c r="J1027" s="20">
        <f>Разбивка_по_щитам!M1032</f>
      </c>
      <c r="K1027" s="20">
        <f>Разбивка_по_щитам!N1032</f>
      </c>
      <c r="L1027" s="20"/>
      <c r="M1027" s="20">
        <f>Разбивка_по_щитам!P1032</f>
      </c>
      <c r="N1027" s="20"/>
    </row>
    <row r="1028" spans="2:14" x14ac:dyDescent="0.25">
      <c r="B1028" s="20">
        <f>Разбивка_по_щитам!B1033</f>
      </c>
      <c r="C1028" s="20">
        <f>Разбивка_по_щитам!C1033</f>
      </c>
      <c r="D1028" s="20">
        <f>Разбивка_по_щитам!F1033</f>
      </c>
      <c r="E1028" s="20">
        <f>Разбивка_по_щитам!H1033</f>
      </c>
      <c r="F1028" s="20">
        <f>Разбивка_по_щитам!I1033</f>
      </c>
      <c r="G1028" s="20">
        <f>Разбивка_по_щитам!J1033</f>
      </c>
      <c r="H1028" s="20">
        <f>Разбивка_по_щитам!K1033</f>
      </c>
      <c r="I1028" s="20">
        <f>Разбивка_по_щитам!L1033</f>
      </c>
      <c r="J1028" s="20">
        <f>Разбивка_по_щитам!M1033</f>
      </c>
      <c r="K1028" s="20">
        <f>Разбивка_по_щитам!N1033</f>
      </c>
      <c r="L1028" s="20"/>
      <c r="M1028" s="20">
        <f>Разбивка_по_щитам!P1033</f>
      </c>
      <c r="N1028" s="20"/>
    </row>
    <row r="1029" spans="2:14" x14ac:dyDescent="0.25">
      <c r="B1029" s="20">
        <f>Разбивка_по_щитам!B1034</f>
      </c>
      <c r="C1029" s="20">
        <f>Разбивка_по_щитам!C1034</f>
      </c>
      <c r="D1029" s="20">
        <f>Разбивка_по_щитам!F1034</f>
      </c>
      <c r="E1029" s="20">
        <f>Разбивка_по_щитам!H1034</f>
      </c>
      <c r="F1029" s="20">
        <f>Разбивка_по_щитам!I1034</f>
      </c>
      <c r="G1029" s="20">
        <f>Разбивка_по_щитам!J1034</f>
      </c>
      <c r="H1029" s="20">
        <f>Разбивка_по_щитам!K1034</f>
      </c>
      <c r="I1029" s="20">
        <f>Разбивка_по_щитам!L1034</f>
      </c>
      <c r="J1029" s="20">
        <f>Разбивка_по_щитам!M1034</f>
      </c>
      <c r="K1029" s="20">
        <f>Разбивка_по_щитам!N1034</f>
      </c>
      <c r="L1029" s="20"/>
      <c r="M1029" s="20">
        <f>Разбивка_по_щитам!P1034</f>
      </c>
      <c r="N1029" s="20"/>
    </row>
    <row r="1030" spans="2:14" x14ac:dyDescent="0.25">
      <c r="B1030" s="20">
        <f>Разбивка_по_щитам!B1035</f>
      </c>
      <c r="C1030" s="20">
        <f>Разбивка_по_щитам!C1035</f>
      </c>
      <c r="D1030" s="20">
        <f>Разбивка_по_щитам!F1035</f>
      </c>
      <c r="E1030" s="20">
        <f>Разбивка_по_щитам!H1035</f>
      </c>
      <c r="F1030" s="20">
        <f>Разбивка_по_щитам!I1035</f>
      </c>
      <c r="G1030" s="20">
        <f>Разбивка_по_щитам!J1035</f>
      </c>
      <c r="H1030" s="20">
        <f>Разбивка_по_щитам!K1035</f>
      </c>
      <c r="I1030" s="20">
        <f>Разбивка_по_щитам!L1035</f>
      </c>
      <c r="J1030" s="20">
        <f>Разбивка_по_щитам!M1035</f>
      </c>
      <c r="K1030" s="20">
        <f>Разбивка_по_щитам!N1035</f>
      </c>
      <c r="L1030" s="20"/>
      <c r="M1030" s="20">
        <f>Разбивка_по_щитам!P1035</f>
      </c>
      <c r="N1030" s="20"/>
    </row>
    <row r="1031" spans="2:14" x14ac:dyDescent="0.25">
      <c r="B1031" s="20">
        <f>Разбивка_по_щитам!B1036</f>
      </c>
      <c r="C1031" s="20">
        <f>Разбивка_по_щитам!C1036</f>
      </c>
      <c r="D1031" s="20">
        <f>Разбивка_по_щитам!F1036</f>
      </c>
      <c r="E1031" s="20">
        <f>Разбивка_по_щитам!H1036</f>
      </c>
      <c r="F1031" s="20">
        <f>Разбивка_по_щитам!I1036</f>
      </c>
      <c r="G1031" s="20">
        <f>Разбивка_по_щитам!J1036</f>
      </c>
      <c r="H1031" s="20">
        <f>Разбивка_по_щитам!K1036</f>
      </c>
      <c r="I1031" s="20">
        <f>Разбивка_по_щитам!L1036</f>
      </c>
      <c r="J1031" s="20">
        <f>Разбивка_по_щитам!M1036</f>
      </c>
      <c r="K1031" s="20">
        <f>Разбивка_по_щитам!N1036</f>
      </c>
      <c r="L1031" s="20"/>
      <c r="M1031" s="20">
        <f>Разбивка_по_щитам!P1036</f>
      </c>
      <c r="N1031" s="20"/>
    </row>
    <row r="1032" spans="2:14" x14ac:dyDescent="0.25">
      <c r="B1032" s="20">
        <f>Разбивка_по_щитам!B1037</f>
      </c>
      <c r="C1032" s="20">
        <f>Разбивка_по_щитам!C1037</f>
      </c>
      <c r="D1032" s="20">
        <f>Разбивка_по_щитам!F1037</f>
      </c>
      <c r="E1032" s="20">
        <f>Разбивка_по_щитам!H1037</f>
      </c>
      <c r="F1032" s="20">
        <f>Разбивка_по_щитам!I1037</f>
      </c>
      <c r="G1032" s="20">
        <f>Разбивка_по_щитам!J1037</f>
      </c>
      <c r="H1032" s="20">
        <f>Разбивка_по_щитам!K1037</f>
      </c>
      <c r="I1032" s="20">
        <f>Разбивка_по_щитам!L1037</f>
      </c>
      <c r="J1032" s="20">
        <f>Разбивка_по_щитам!M1037</f>
      </c>
      <c r="K1032" s="20">
        <f>Разбивка_по_щитам!N1037</f>
      </c>
      <c r="L1032" s="20"/>
      <c r="M1032" s="20">
        <f>Разбивка_по_щитам!P1037</f>
      </c>
      <c r="N1032" s="20"/>
    </row>
    <row r="1033" spans="2:14" x14ac:dyDescent="0.25">
      <c r="B1033" s="20">
        <f>Разбивка_по_щитам!B1038</f>
      </c>
      <c r="C1033" s="20">
        <f>Разбивка_по_щитам!C1038</f>
      </c>
      <c r="D1033" s="20">
        <f>Разбивка_по_щитам!F1038</f>
      </c>
      <c r="E1033" s="20">
        <f>Разбивка_по_щитам!H1038</f>
      </c>
      <c r="F1033" s="20">
        <f>Разбивка_по_щитам!I1038</f>
      </c>
      <c r="G1033" s="20">
        <f>Разбивка_по_щитам!J1038</f>
      </c>
      <c r="H1033" s="20">
        <f>Разбивка_по_щитам!K1038</f>
      </c>
      <c r="I1033" s="20">
        <f>Разбивка_по_щитам!L1038</f>
      </c>
      <c r="J1033" s="20">
        <f>Разбивка_по_щитам!M1038</f>
      </c>
      <c r="K1033" s="20">
        <f>Разбивка_по_щитам!N1038</f>
      </c>
      <c r="L1033" s="20"/>
      <c r="M1033" s="20">
        <f>Разбивка_по_щитам!P1038</f>
      </c>
      <c r="N1033" s="20"/>
    </row>
    <row r="1034" spans="2:14" x14ac:dyDescent="0.25">
      <c r="B1034" s="20">
        <f>Разбивка_по_щитам!B1039</f>
      </c>
      <c r="C1034" s="20">
        <f>Разбивка_по_щитам!C1039</f>
      </c>
      <c r="D1034" s="20">
        <f>Разбивка_по_щитам!F1039</f>
      </c>
      <c r="E1034" s="20">
        <f>Разбивка_по_щитам!H1039</f>
      </c>
      <c r="F1034" s="20">
        <f>Разбивка_по_щитам!I1039</f>
      </c>
      <c r="G1034" s="20">
        <f>Разбивка_по_щитам!J1039</f>
      </c>
      <c r="H1034" s="20">
        <f>Разбивка_по_щитам!K1039</f>
      </c>
      <c r="I1034" s="20">
        <f>Разбивка_по_щитам!L1039</f>
      </c>
      <c r="J1034" s="20">
        <f>Разбивка_по_щитам!M1039</f>
      </c>
      <c r="K1034" s="20">
        <f>Разбивка_по_щитам!N1039</f>
      </c>
      <c r="L1034" s="20"/>
      <c r="M1034" s="20">
        <f>Разбивка_по_щитам!P1039</f>
      </c>
      <c r="N1034" s="20"/>
    </row>
    <row r="1035" spans="2:14" x14ac:dyDescent="0.25">
      <c r="B1035" s="20">
        <f>Разбивка_по_щитам!B1040</f>
      </c>
      <c r="C1035" s="20">
        <f>Разбивка_по_щитам!C1040</f>
      </c>
      <c r="D1035" s="20">
        <f>Разбивка_по_щитам!F1040</f>
      </c>
      <c r="E1035" s="20">
        <f>Разбивка_по_щитам!H1040</f>
      </c>
      <c r="F1035" s="20">
        <f>Разбивка_по_щитам!I1040</f>
      </c>
      <c r="G1035" s="20">
        <f>Разбивка_по_щитам!J1040</f>
      </c>
      <c r="H1035" s="20">
        <f>Разбивка_по_щитам!K1040</f>
      </c>
      <c r="I1035" s="20">
        <f>Разбивка_по_щитам!L1040</f>
      </c>
      <c r="J1035" s="20">
        <f>Разбивка_по_щитам!M1040</f>
      </c>
      <c r="K1035" s="20">
        <f>Разбивка_по_щитам!N1040</f>
      </c>
      <c r="L1035" s="20"/>
      <c r="M1035" s="20">
        <f>Разбивка_по_щитам!P1040</f>
      </c>
      <c r="N1035" s="20"/>
    </row>
    <row r="1036" spans="2:14" x14ac:dyDescent="0.25">
      <c r="B1036" s="20">
        <f>Разбивка_по_щитам!B1041</f>
      </c>
      <c r="C1036" s="20">
        <f>Разбивка_по_щитам!C1041</f>
      </c>
      <c r="D1036" s="20">
        <f>Разбивка_по_щитам!F1041</f>
      </c>
      <c r="E1036" s="20">
        <f>Разбивка_по_щитам!H1041</f>
      </c>
      <c r="F1036" s="20">
        <f>Разбивка_по_щитам!I1041</f>
      </c>
      <c r="G1036" s="20">
        <f>Разбивка_по_щитам!J1041</f>
      </c>
      <c r="H1036" s="20">
        <f>Разбивка_по_щитам!K1041</f>
      </c>
      <c r="I1036" s="20">
        <f>Разбивка_по_щитам!L1041</f>
      </c>
      <c r="J1036" s="20">
        <f>Разбивка_по_щитам!M1041</f>
      </c>
      <c r="K1036" s="20">
        <f>Разбивка_по_щитам!N1041</f>
      </c>
      <c r="L1036" s="20"/>
      <c r="M1036" s="20">
        <f>Разбивка_по_щитам!P1041</f>
      </c>
      <c r="N1036" s="20"/>
    </row>
    <row r="1037" spans="2:14" x14ac:dyDescent="0.25">
      <c r="B1037" s="20">
        <f>Разбивка_по_щитам!B1042</f>
      </c>
      <c r="C1037" s="20">
        <f>Разбивка_по_щитам!C1042</f>
      </c>
      <c r="D1037" s="20">
        <f>Разбивка_по_щитам!F1042</f>
      </c>
      <c r="E1037" s="20">
        <f>Разбивка_по_щитам!H1042</f>
      </c>
      <c r="F1037" s="20">
        <f>Разбивка_по_щитам!I1042</f>
      </c>
      <c r="G1037" s="20">
        <f>Разбивка_по_щитам!J1042</f>
      </c>
      <c r="H1037" s="20">
        <f>Разбивка_по_щитам!K1042</f>
      </c>
      <c r="I1037" s="20">
        <f>Разбивка_по_щитам!L1042</f>
      </c>
      <c r="J1037" s="20">
        <f>Разбивка_по_щитам!M1042</f>
      </c>
      <c r="K1037" s="20">
        <f>Разбивка_по_щитам!N1042</f>
      </c>
      <c r="L1037" s="20"/>
      <c r="M1037" s="20">
        <f>Разбивка_по_щитам!P1042</f>
      </c>
      <c r="N1037" s="20"/>
    </row>
    <row r="1038" spans="2:14" x14ac:dyDescent="0.25">
      <c r="B1038" s="20">
        <f>Разбивка_по_щитам!B1043</f>
      </c>
      <c r="C1038" s="20">
        <f>Разбивка_по_щитам!C1043</f>
      </c>
      <c r="D1038" s="20">
        <f>Разбивка_по_щитам!F1043</f>
      </c>
      <c r="E1038" s="20">
        <f>Разбивка_по_щитам!H1043</f>
      </c>
      <c r="F1038" s="20">
        <f>Разбивка_по_щитам!I1043</f>
      </c>
      <c r="G1038" s="20">
        <f>Разбивка_по_щитам!J1043</f>
      </c>
      <c r="H1038" s="20">
        <f>Разбивка_по_щитам!K1043</f>
      </c>
      <c r="I1038" s="20">
        <f>Разбивка_по_щитам!L1043</f>
      </c>
      <c r="J1038" s="20">
        <f>Разбивка_по_щитам!M1043</f>
      </c>
      <c r="K1038" s="20">
        <f>Разбивка_по_щитам!N1043</f>
      </c>
      <c r="L1038" s="20"/>
      <c r="M1038" s="20">
        <f>Разбивка_по_щитам!P1043</f>
      </c>
      <c r="N1038" s="20"/>
    </row>
    <row r="1039" spans="2:14" x14ac:dyDescent="0.25">
      <c r="B1039" s="20">
        <f>Разбивка_по_щитам!B1044</f>
      </c>
      <c r="C1039" s="20">
        <f>Разбивка_по_щитам!C1044</f>
      </c>
      <c r="D1039" s="20">
        <f>Разбивка_по_щитам!F1044</f>
      </c>
      <c r="E1039" s="20">
        <f>Разбивка_по_щитам!H1044</f>
      </c>
      <c r="F1039" s="20">
        <f>Разбивка_по_щитам!I1044</f>
      </c>
      <c r="G1039" s="20">
        <f>Разбивка_по_щитам!J1044</f>
      </c>
      <c r="H1039" s="20">
        <f>Разбивка_по_щитам!K1044</f>
      </c>
      <c r="I1039" s="20">
        <f>Разбивка_по_щитам!L1044</f>
      </c>
      <c r="J1039" s="20">
        <f>Разбивка_по_щитам!M1044</f>
      </c>
      <c r="K1039" s="20">
        <f>Разбивка_по_щитам!N1044</f>
      </c>
      <c r="L1039" s="20"/>
      <c r="M1039" s="20">
        <f>Разбивка_по_щитам!P1044</f>
      </c>
      <c r="N1039" s="20"/>
    </row>
    <row r="1040" spans="2:14" x14ac:dyDescent="0.25">
      <c r="B1040" s="20">
        <f>Разбивка_по_щитам!B1045</f>
      </c>
      <c r="C1040" s="20">
        <f>Разбивка_по_щитам!C1045</f>
      </c>
      <c r="D1040" s="20">
        <f>Разбивка_по_щитам!F1045</f>
      </c>
      <c r="E1040" s="20">
        <f>Разбивка_по_щитам!H1045</f>
      </c>
      <c r="F1040" s="20">
        <f>Разбивка_по_щитам!I1045</f>
      </c>
      <c r="G1040" s="20">
        <f>Разбивка_по_щитам!J1045</f>
      </c>
      <c r="H1040" s="20">
        <f>Разбивка_по_щитам!K1045</f>
      </c>
      <c r="I1040" s="20">
        <f>Разбивка_по_щитам!L1045</f>
      </c>
      <c r="J1040" s="20">
        <f>Разбивка_по_щитам!M1045</f>
      </c>
      <c r="K1040" s="20">
        <f>Разбивка_по_щитам!N1045</f>
      </c>
      <c r="L1040" s="20"/>
      <c r="M1040" s="20">
        <f>Разбивка_по_щитам!P1045</f>
      </c>
      <c r="N1040" s="20"/>
    </row>
    <row r="1041" spans="2:14" x14ac:dyDescent="0.25">
      <c r="B1041" s="20">
        <f>Разбивка_по_щитам!B1046</f>
      </c>
      <c r="C1041" s="20">
        <f>Разбивка_по_щитам!C1046</f>
      </c>
      <c r="D1041" s="20">
        <f>Разбивка_по_щитам!F1046</f>
      </c>
      <c r="E1041" s="20">
        <f>Разбивка_по_щитам!H1046</f>
      </c>
      <c r="F1041" s="20">
        <f>Разбивка_по_щитам!I1046</f>
      </c>
      <c r="G1041" s="20">
        <f>Разбивка_по_щитам!J1046</f>
      </c>
      <c r="H1041" s="20">
        <f>Разбивка_по_щитам!K1046</f>
      </c>
      <c r="I1041" s="20">
        <f>Разбивка_по_щитам!L1046</f>
      </c>
      <c r="J1041" s="20">
        <f>Разбивка_по_щитам!M1046</f>
      </c>
      <c r="K1041" s="20">
        <f>Разбивка_по_щитам!N1046</f>
      </c>
      <c r="L1041" s="20"/>
      <c r="M1041" s="20">
        <f>Разбивка_по_щитам!P1046</f>
      </c>
      <c r="N1041" s="20"/>
    </row>
    <row r="1042" spans="2:14" x14ac:dyDescent="0.25">
      <c r="B1042" s="20">
        <f>Разбивка_по_щитам!B1047</f>
      </c>
      <c r="C1042" s="20">
        <f>Разбивка_по_щитам!C1047</f>
      </c>
      <c r="D1042" s="20">
        <f>Разбивка_по_щитам!F1047</f>
      </c>
      <c r="E1042" s="20">
        <f>Разбивка_по_щитам!H1047</f>
      </c>
      <c r="F1042" s="20">
        <f>Разбивка_по_щитам!I1047</f>
      </c>
      <c r="G1042" s="20">
        <f>Разбивка_по_щитам!J1047</f>
      </c>
      <c r="H1042" s="20">
        <f>Разбивка_по_щитам!K1047</f>
      </c>
      <c r="I1042" s="20">
        <f>Разбивка_по_щитам!L1047</f>
      </c>
      <c r="J1042" s="20">
        <f>Разбивка_по_щитам!M1047</f>
      </c>
      <c r="K1042" s="20">
        <f>Разбивка_по_щитам!N1047</f>
      </c>
      <c r="L1042" s="20"/>
      <c r="M1042" s="20">
        <f>Разбивка_по_щитам!P1047</f>
      </c>
      <c r="N1042" s="20"/>
    </row>
    <row r="1043" spans="2:14" x14ac:dyDescent="0.25">
      <c r="B1043" s="20">
        <f>Разбивка_по_щитам!B1048</f>
      </c>
      <c r="C1043" s="20">
        <f>Разбивка_по_щитам!C1048</f>
      </c>
      <c r="D1043" s="20">
        <f>Разбивка_по_щитам!F1048</f>
      </c>
      <c r="E1043" s="20">
        <f>Разбивка_по_щитам!H1048</f>
      </c>
      <c r="F1043" s="20">
        <f>Разбивка_по_щитам!I1048</f>
      </c>
      <c r="G1043" s="20">
        <f>Разбивка_по_щитам!J1048</f>
      </c>
      <c r="H1043" s="20">
        <f>Разбивка_по_щитам!K1048</f>
      </c>
      <c r="I1043" s="20">
        <f>Разбивка_по_щитам!L1048</f>
      </c>
      <c r="J1043" s="20">
        <f>Разбивка_по_щитам!M1048</f>
      </c>
      <c r="K1043" s="20">
        <f>Разбивка_по_щитам!N1048</f>
      </c>
      <c r="L1043" s="20"/>
      <c r="M1043" s="20">
        <f>Разбивка_по_щитам!P1048</f>
      </c>
      <c r="N1043" s="20"/>
    </row>
    <row r="1044" spans="2:14" x14ac:dyDescent="0.25">
      <c r="B1044" s="20">
        <f>Разбивка_по_щитам!B1049</f>
      </c>
      <c r="C1044" s="20">
        <f>Разбивка_по_щитам!C1049</f>
      </c>
      <c r="D1044" s="20">
        <f>Разбивка_по_щитам!F1049</f>
      </c>
      <c r="E1044" s="20">
        <f>Разбивка_по_щитам!H1049</f>
      </c>
      <c r="F1044" s="20">
        <f>Разбивка_по_щитам!I1049</f>
      </c>
      <c r="G1044" s="20">
        <f>Разбивка_по_щитам!J1049</f>
      </c>
      <c r="H1044" s="20">
        <f>Разбивка_по_щитам!K1049</f>
      </c>
      <c r="I1044" s="20">
        <f>Разбивка_по_щитам!L1049</f>
      </c>
      <c r="J1044" s="20">
        <f>Разбивка_по_щитам!M1049</f>
      </c>
      <c r="K1044" s="20">
        <f>Разбивка_по_щитам!N1049</f>
      </c>
      <c r="L1044" s="20"/>
      <c r="M1044" s="20">
        <f>Разбивка_по_щитам!P1049</f>
      </c>
      <c r="N1044" s="20"/>
    </row>
    <row r="1045" spans="2:14" x14ac:dyDescent="0.25">
      <c r="B1045" s="20">
        <f>Разбивка_по_щитам!B1050</f>
      </c>
      <c r="C1045" s="20">
        <f>Разбивка_по_щитам!C1050</f>
      </c>
      <c r="D1045" s="20">
        <f>Разбивка_по_щитам!F1050</f>
      </c>
      <c r="E1045" s="20">
        <f>Разбивка_по_щитам!H1050</f>
      </c>
      <c r="F1045" s="20">
        <f>Разбивка_по_щитам!I1050</f>
      </c>
      <c r="G1045" s="20">
        <f>Разбивка_по_щитам!J1050</f>
      </c>
      <c r="H1045" s="20">
        <f>Разбивка_по_щитам!K1050</f>
      </c>
      <c r="I1045" s="20">
        <f>Разбивка_по_щитам!L1050</f>
      </c>
      <c r="J1045" s="20">
        <f>Разбивка_по_щитам!M1050</f>
      </c>
      <c r="K1045" s="20">
        <f>Разбивка_по_щитам!N1050</f>
      </c>
      <c r="L1045" s="20"/>
      <c r="M1045" s="20">
        <f>Разбивка_по_щитам!P1050</f>
      </c>
      <c r="N1045" s="20"/>
    </row>
    <row r="1046" spans="2:14" x14ac:dyDescent="0.25">
      <c r="B1046" s="20">
        <f>Разбивка_по_щитам!B1051</f>
      </c>
      <c r="C1046" s="20">
        <f>Разбивка_по_щитам!C1051</f>
      </c>
      <c r="D1046" s="20">
        <f>Разбивка_по_щитам!F1051</f>
      </c>
      <c r="E1046" s="20">
        <f>Разбивка_по_щитам!H1051</f>
      </c>
      <c r="F1046" s="20">
        <f>Разбивка_по_щитам!I1051</f>
      </c>
      <c r="G1046" s="20">
        <f>Разбивка_по_щитам!J1051</f>
      </c>
      <c r="H1046" s="20">
        <f>Разбивка_по_щитам!K1051</f>
      </c>
      <c r="I1046" s="20">
        <f>Разбивка_по_щитам!L1051</f>
      </c>
      <c r="J1046" s="20">
        <f>Разбивка_по_щитам!M1051</f>
      </c>
      <c r="K1046" s="20">
        <f>Разбивка_по_щитам!N1051</f>
      </c>
      <c r="L1046" s="20"/>
      <c r="M1046" s="20">
        <f>Разбивка_по_щитам!P1051</f>
      </c>
      <c r="N1046" s="20"/>
    </row>
    <row r="1047" spans="2:14" x14ac:dyDescent="0.25">
      <c r="B1047" s="20">
        <f>Разбивка_по_щитам!B1052</f>
      </c>
      <c r="C1047" s="20">
        <f>Разбивка_по_щитам!C1052</f>
      </c>
      <c r="D1047" s="20">
        <f>Разбивка_по_щитам!F1052</f>
      </c>
      <c r="E1047" s="20">
        <f>Разбивка_по_щитам!H1052</f>
      </c>
      <c r="F1047" s="20">
        <f>Разбивка_по_щитам!I1052</f>
      </c>
      <c r="G1047" s="20">
        <f>Разбивка_по_щитам!J1052</f>
      </c>
      <c r="H1047" s="20">
        <f>Разбивка_по_щитам!K1052</f>
      </c>
      <c r="I1047" s="20">
        <f>Разбивка_по_щитам!L1052</f>
      </c>
      <c r="J1047" s="20">
        <f>Разбивка_по_щитам!M1052</f>
      </c>
      <c r="K1047" s="20">
        <f>Разбивка_по_щитам!N1052</f>
      </c>
      <c r="L1047" s="20"/>
      <c r="M1047" s="20">
        <f>Разбивка_по_щитам!P1052</f>
      </c>
      <c r="N1047" s="20"/>
    </row>
    <row r="1048" spans="2:14" x14ac:dyDescent="0.25">
      <c r="B1048" s="20">
        <f>Разбивка_по_щитам!B1053</f>
      </c>
      <c r="C1048" s="20">
        <f>Разбивка_по_щитам!C1053</f>
      </c>
      <c r="D1048" s="20">
        <f>Разбивка_по_щитам!F1053</f>
      </c>
      <c r="E1048" s="20">
        <f>Разбивка_по_щитам!H1053</f>
      </c>
      <c r="F1048" s="20">
        <f>Разбивка_по_щитам!I1053</f>
      </c>
      <c r="G1048" s="20">
        <f>Разбивка_по_щитам!J1053</f>
      </c>
      <c r="H1048" s="20">
        <f>Разбивка_по_щитам!K1053</f>
      </c>
      <c r="I1048" s="20">
        <f>Разбивка_по_щитам!L1053</f>
      </c>
      <c r="J1048" s="20">
        <f>Разбивка_по_щитам!M1053</f>
      </c>
      <c r="K1048" s="20">
        <f>Разбивка_по_щитам!N1053</f>
      </c>
      <c r="L1048" s="20"/>
      <c r="M1048" s="20">
        <f>Разбивка_по_щитам!P1053</f>
      </c>
      <c r="N1048" s="20"/>
    </row>
    <row r="1049" spans="2:14" x14ac:dyDescent="0.25">
      <c r="B1049" s="20">
        <f>Разбивка_по_щитам!B1054</f>
      </c>
      <c r="C1049" s="20">
        <f>Разбивка_по_щитам!C1054</f>
      </c>
      <c r="D1049" s="20">
        <f>Разбивка_по_щитам!F1054</f>
      </c>
      <c r="E1049" s="20">
        <f>Разбивка_по_щитам!H1054</f>
      </c>
      <c r="F1049" s="20">
        <f>Разбивка_по_щитам!I1054</f>
      </c>
      <c r="G1049" s="20">
        <f>Разбивка_по_щитам!J1054</f>
      </c>
      <c r="H1049" s="20">
        <f>Разбивка_по_щитам!K1054</f>
      </c>
      <c r="I1049" s="20">
        <f>Разбивка_по_щитам!L1054</f>
      </c>
      <c r="J1049" s="20">
        <f>Разбивка_по_щитам!M1054</f>
      </c>
      <c r="K1049" s="20">
        <f>Разбивка_по_щитам!N1054</f>
      </c>
      <c r="L1049" s="20"/>
      <c r="M1049" s="20">
        <f>Разбивка_по_щитам!P1054</f>
      </c>
      <c r="N1049" s="20"/>
    </row>
    <row r="1050" spans="2:14" x14ac:dyDescent="0.25">
      <c r="B1050" s="20">
        <f>Разбивка_по_щитам!B1055</f>
      </c>
      <c r="C1050" s="20">
        <f>Разбивка_по_щитам!C1055</f>
      </c>
      <c r="D1050" s="20">
        <f>Разбивка_по_щитам!F1055</f>
      </c>
      <c r="E1050" s="20">
        <f>Разбивка_по_щитам!H1055</f>
      </c>
      <c r="F1050" s="20">
        <f>Разбивка_по_щитам!I1055</f>
      </c>
      <c r="G1050" s="20">
        <f>Разбивка_по_щитам!J1055</f>
      </c>
      <c r="H1050" s="20">
        <f>Разбивка_по_щитам!K1055</f>
      </c>
      <c r="I1050" s="20">
        <f>Разбивка_по_щитам!L1055</f>
      </c>
      <c r="J1050" s="20">
        <f>Разбивка_по_щитам!M1055</f>
      </c>
      <c r="K1050" s="20">
        <f>Разбивка_по_щитам!N1055</f>
      </c>
      <c r="L1050" s="20"/>
      <c r="M1050" s="20">
        <f>Разбивка_по_щитам!P1055</f>
      </c>
      <c r="N1050" s="20"/>
    </row>
    <row r="1051" spans="2:14" x14ac:dyDescent="0.25">
      <c r="B1051" s="20">
        <f>Разбивка_по_щитам!B1056</f>
      </c>
      <c r="C1051" s="20">
        <f>Разбивка_по_щитам!C1056</f>
      </c>
      <c r="D1051" s="20">
        <f>Разбивка_по_щитам!F1056</f>
      </c>
      <c r="E1051" s="20">
        <f>Разбивка_по_щитам!H1056</f>
      </c>
      <c r="F1051" s="20">
        <f>Разбивка_по_щитам!I1056</f>
      </c>
      <c r="G1051" s="20">
        <f>Разбивка_по_щитам!J1056</f>
      </c>
      <c r="H1051" s="20">
        <f>Разбивка_по_щитам!K1056</f>
      </c>
      <c r="I1051" s="20">
        <f>Разбивка_по_щитам!L1056</f>
      </c>
      <c r="J1051" s="20">
        <f>Разбивка_по_щитам!M1056</f>
      </c>
      <c r="K1051" s="20">
        <f>Разбивка_по_щитам!N1056</f>
      </c>
      <c r="L1051" s="20"/>
      <c r="M1051" s="20">
        <f>Разбивка_по_щитам!P1056</f>
      </c>
      <c r="N1051" s="20"/>
    </row>
    <row r="1052" spans="2:14" x14ac:dyDescent="0.25">
      <c r="B1052" s="20">
        <f>Разбивка_по_щитам!B1057</f>
      </c>
      <c r="C1052" s="20">
        <f>Разбивка_по_щитам!C1057</f>
      </c>
      <c r="D1052" s="20">
        <f>Разбивка_по_щитам!F1057</f>
      </c>
      <c r="E1052" s="20">
        <f>Разбивка_по_щитам!H1057</f>
      </c>
      <c r="F1052" s="20">
        <f>Разбивка_по_щитам!I1057</f>
      </c>
      <c r="G1052" s="20">
        <f>Разбивка_по_щитам!J1057</f>
      </c>
      <c r="H1052" s="20">
        <f>Разбивка_по_щитам!K1057</f>
      </c>
      <c r="I1052" s="20">
        <f>Разбивка_по_щитам!L1057</f>
      </c>
      <c r="J1052" s="20">
        <f>Разбивка_по_щитам!M1057</f>
      </c>
      <c r="K1052" s="20">
        <f>Разбивка_по_щитам!N1057</f>
      </c>
      <c r="L1052" s="20"/>
      <c r="M1052" s="20">
        <f>Разбивка_по_щитам!P1057</f>
      </c>
      <c r="N1052" s="20"/>
    </row>
    <row r="1053" spans="2:14" x14ac:dyDescent="0.25">
      <c r="B1053" s="20">
        <f>Разбивка_по_щитам!B1058</f>
      </c>
      <c r="C1053" s="20">
        <f>Разбивка_по_щитам!C1058</f>
      </c>
      <c r="D1053" s="20">
        <f>Разбивка_по_щитам!F1058</f>
      </c>
      <c r="E1053" s="20">
        <f>Разбивка_по_щитам!H1058</f>
      </c>
      <c r="F1053" s="20">
        <f>Разбивка_по_щитам!I1058</f>
      </c>
      <c r="G1053" s="20">
        <f>Разбивка_по_щитам!J1058</f>
      </c>
      <c r="H1053" s="20">
        <f>Разбивка_по_щитам!K1058</f>
      </c>
      <c r="I1053" s="20">
        <f>Разбивка_по_щитам!L1058</f>
      </c>
      <c r="J1053" s="20">
        <f>Разбивка_по_щитам!M1058</f>
      </c>
      <c r="K1053" s="20">
        <f>Разбивка_по_щитам!N1058</f>
      </c>
      <c r="L1053" s="20"/>
      <c r="M1053" s="20">
        <f>Разбивка_по_щитам!P1058</f>
      </c>
      <c r="N1053" s="20"/>
    </row>
    <row r="1054" spans="2:14" x14ac:dyDescent="0.25">
      <c r="B1054" s="20">
        <f>Разбивка_по_щитам!B1059</f>
      </c>
      <c r="C1054" s="20">
        <f>Разбивка_по_щитам!C1059</f>
      </c>
      <c r="D1054" s="20">
        <f>Разбивка_по_щитам!F1059</f>
      </c>
      <c r="E1054" s="20">
        <f>Разбивка_по_щитам!H1059</f>
      </c>
      <c r="F1054" s="20">
        <f>Разбивка_по_щитам!I1059</f>
      </c>
      <c r="G1054" s="20">
        <f>Разбивка_по_щитам!J1059</f>
      </c>
      <c r="H1054" s="20">
        <f>Разбивка_по_щитам!K1059</f>
      </c>
      <c r="I1054" s="20">
        <f>Разбивка_по_щитам!L1059</f>
      </c>
      <c r="J1054" s="20">
        <f>Разбивка_по_щитам!M1059</f>
      </c>
      <c r="K1054" s="20">
        <f>Разбивка_по_щитам!N1059</f>
      </c>
      <c r="L1054" s="20"/>
      <c r="M1054" s="20">
        <f>Разбивка_по_щитам!P1059</f>
      </c>
      <c r="N1054" s="20"/>
    </row>
    <row r="1055" spans="2:14" x14ac:dyDescent="0.25">
      <c r="B1055" s="20">
        <f>Разбивка_по_щитам!B1060</f>
      </c>
      <c r="C1055" s="20">
        <f>Разбивка_по_щитам!C1060</f>
      </c>
      <c r="D1055" s="20">
        <f>Разбивка_по_щитам!F1060</f>
      </c>
      <c r="E1055" s="20">
        <f>Разбивка_по_щитам!H1060</f>
      </c>
      <c r="F1055" s="20">
        <f>Разбивка_по_щитам!I1060</f>
      </c>
      <c r="G1055" s="20">
        <f>Разбивка_по_щитам!J1060</f>
      </c>
      <c r="H1055" s="20">
        <f>Разбивка_по_щитам!K1060</f>
      </c>
      <c r="I1055" s="20">
        <f>Разбивка_по_щитам!L1060</f>
      </c>
      <c r="J1055" s="20">
        <f>Разбивка_по_щитам!M1060</f>
      </c>
      <c r="K1055" s="20">
        <f>Разбивка_по_щитам!N1060</f>
      </c>
      <c r="L1055" s="20"/>
      <c r="M1055" s="20">
        <f>Разбивка_по_щитам!P1060</f>
      </c>
      <c r="N1055" s="20"/>
    </row>
    <row r="1056" spans="2:14" x14ac:dyDescent="0.25">
      <c r="B1056" s="20">
        <f>Разбивка_по_щитам!B1061</f>
      </c>
      <c r="C1056" s="20">
        <f>Разбивка_по_щитам!C1061</f>
      </c>
      <c r="D1056" s="20">
        <f>Разбивка_по_щитам!F1061</f>
      </c>
      <c r="E1056" s="20">
        <f>Разбивка_по_щитам!H1061</f>
      </c>
      <c r="F1056" s="20">
        <f>Разбивка_по_щитам!I1061</f>
      </c>
      <c r="G1056" s="20">
        <f>Разбивка_по_щитам!J1061</f>
      </c>
      <c r="H1056" s="20">
        <f>Разбивка_по_щитам!K1061</f>
      </c>
      <c r="I1056" s="20">
        <f>Разбивка_по_щитам!L1061</f>
      </c>
      <c r="J1056" s="20">
        <f>Разбивка_по_щитам!M1061</f>
      </c>
      <c r="K1056" s="20">
        <f>Разбивка_по_щитам!N1061</f>
      </c>
      <c r="L1056" s="20"/>
      <c r="M1056" s="20">
        <f>Разбивка_по_щитам!P1061</f>
      </c>
      <c r="N1056" s="20"/>
    </row>
    <row r="1057" spans="2:14" x14ac:dyDescent="0.25">
      <c r="B1057" s="20">
        <f>Разбивка_по_щитам!B1062</f>
      </c>
      <c r="C1057" s="20">
        <f>Разбивка_по_щитам!C1062</f>
      </c>
      <c r="D1057" s="20">
        <f>Разбивка_по_щитам!F1062</f>
      </c>
      <c r="E1057" s="20">
        <f>Разбивка_по_щитам!H1062</f>
      </c>
      <c r="F1057" s="20">
        <f>Разбивка_по_щитам!I1062</f>
      </c>
      <c r="G1057" s="20">
        <f>Разбивка_по_щитам!J1062</f>
      </c>
      <c r="H1057" s="20">
        <f>Разбивка_по_щитам!K1062</f>
      </c>
      <c r="I1057" s="20">
        <f>Разбивка_по_щитам!L1062</f>
      </c>
      <c r="J1057" s="20">
        <f>Разбивка_по_щитам!M1062</f>
      </c>
      <c r="K1057" s="20">
        <f>Разбивка_по_щитам!N1062</f>
      </c>
      <c r="L1057" s="20"/>
      <c r="M1057" s="20">
        <f>Разбивка_по_щитам!P1062</f>
      </c>
      <c r="N1057" s="20"/>
    </row>
    <row r="1058" spans="2:14" x14ac:dyDescent="0.25">
      <c r="B1058" s="20">
        <f>Разбивка_по_щитам!B1063</f>
      </c>
      <c r="C1058" s="20">
        <f>Разбивка_по_щитам!C1063</f>
      </c>
      <c r="D1058" s="20">
        <f>Разбивка_по_щитам!F1063</f>
      </c>
      <c r="E1058" s="20">
        <f>Разбивка_по_щитам!H1063</f>
      </c>
      <c r="F1058" s="20">
        <f>Разбивка_по_щитам!I1063</f>
      </c>
      <c r="G1058" s="20">
        <f>Разбивка_по_щитам!J1063</f>
      </c>
      <c r="H1058" s="20">
        <f>Разбивка_по_щитам!K1063</f>
      </c>
      <c r="I1058" s="20">
        <f>Разбивка_по_щитам!L1063</f>
      </c>
      <c r="J1058" s="20">
        <f>Разбивка_по_щитам!M1063</f>
      </c>
      <c r="K1058" s="20">
        <f>Разбивка_по_щитам!N1063</f>
      </c>
      <c r="L1058" s="20"/>
      <c r="M1058" s="20">
        <f>Разбивка_по_щитам!P1063</f>
      </c>
      <c r="N1058" s="20"/>
    </row>
    <row r="1059" spans="2:14" x14ac:dyDescent="0.25">
      <c r="B1059" s="20">
        <f>Разбивка_по_щитам!B1064</f>
      </c>
      <c r="C1059" s="20">
        <f>Разбивка_по_щитам!C1064</f>
      </c>
      <c r="D1059" s="20">
        <f>Разбивка_по_щитам!F1064</f>
      </c>
      <c r="E1059" s="20">
        <f>Разбивка_по_щитам!H1064</f>
      </c>
      <c r="F1059" s="20">
        <f>Разбивка_по_щитам!I1064</f>
      </c>
      <c r="G1059" s="20">
        <f>Разбивка_по_щитам!J1064</f>
      </c>
      <c r="H1059" s="20">
        <f>Разбивка_по_щитам!K1064</f>
      </c>
      <c r="I1059" s="20">
        <f>Разбивка_по_щитам!L1064</f>
      </c>
      <c r="J1059" s="20">
        <f>Разбивка_по_щитам!M1064</f>
      </c>
      <c r="K1059" s="20">
        <f>Разбивка_по_щитам!N1064</f>
      </c>
      <c r="L1059" s="20"/>
      <c r="M1059" s="20">
        <f>Разбивка_по_щитам!P1064</f>
      </c>
      <c r="N1059" s="20"/>
    </row>
    <row r="1060" spans="2:14" x14ac:dyDescent="0.25">
      <c r="B1060" s="20">
        <f>Разбивка_по_щитам!B1065</f>
      </c>
      <c r="C1060" s="20">
        <f>Разбивка_по_щитам!C1065</f>
      </c>
      <c r="D1060" s="20">
        <f>Разбивка_по_щитам!F1065</f>
      </c>
      <c r="E1060" s="20">
        <f>Разбивка_по_щитам!H1065</f>
      </c>
      <c r="F1060" s="20">
        <f>Разбивка_по_щитам!I1065</f>
      </c>
      <c r="G1060" s="20">
        <f>Разбивка_по_щитам!J1065</f>
      </c>
      <c r="H1060" s="20">
        <f>Разбивка_по_щитам!K1065</f>
      </c>
      <c r="I1060" s="20">
        <f>Разбивка_по_щитам!L1065</f>
      </c>
      <c r="J1060" s="20">
        <f>Разбивка_по_щитам!M1065</f>
      </c>
      <c r="K1060" s="20">
        <f>Разбивка_по_щитам!N1065</f>
      </c>
      <c r="L1060" s="20"/>
      <c r="M1060" s="20">
        <f>Разбивка_по_щитам!P1065</f>
      </c>
      <c r="N1060" s="20"/>
    </row>
    <row r="1061" spans="2:14" x14ac:dyDescent="0.25">
      <c r="B1061" s="20">
        <f>Разбивка_по_щитам!B1066</f>
      </c>
      <c r="C1061" s="20">
        <f>Разбивка_по_щитам!C1066</f>
      </c>
      <c r="D1061" s="20">
        <f>Разбивка_по_щитам!F1066</f>
      </c>
      <c r="E1061" s="20">
        <f>Разбивка_по_щитам!H1066</f>
      </c>
      <c r="F1061" s="20">
        <f>Разбивка_по_щитам!I1066</f>
      </c>
      <c r="G1061" s="20">
        <f>Разбивка_по_щитам!J1066</f>
      </c>
      <c r="H1061" s="20">
        <f>Разбивка_по_щитам!K1066</f>
      </c>
      <c r="I1061" s="20">
        <f>Разбивка_по_щитам!L1066</f>
      </c>
      <c r="J1061" s="20">
        <f>Разбивка_по_щитам!M1066</f>
      </c>
      <c r="K1061" s="20">
        <f>Разбивка_по_щитам!N1066</f>
      </c>
      <c r="L1061" s="20"/>
      <c r="M1061" s="20">
        <f>Разбивка_по_щитам!P1066</f>
      </c>
      <c r="N1061" s="20"/>
    </row>
    <row r="1062" spans="2:14" x14ac:dyDescent="0.25">
      <c r="B1062" s="20">
        <f>Разбивка_по_щитам!B1067</f>
      </c>
      <c r="C1062" s="20">
        <f>Разбивка_по_щитам!C1067</f>
      </c>
      <c r="D1062" s="20">
        <f>Разбивка_по_щитам!F1067</f>
      </c>
      <c r="E1062" s="20">
        <f>Разбивка_по_щитам!H1067</f>
      </c>
      <c r="F1062" s="20">
        <f>Разбивка_по_щитам!I1067</f>
      </c>
      <c r="G1062" s="20">
        <f>Разбивка_по_щитам!J1067</f>
      </c>
      <c r="H1062" s="20">
        <f>Разбивка_по_щитам!K1067</f>
      </c>
      <c r="I1062" s="20">
        <f>Разбивка_по_щитам!L1067</f>
      </c>
      <c r="J1062" s="20">
        <f>Разбивка_по_щитам!M1067</f>
      </c>
      <c r="K1062" s="20">
        <f>Разбивка_по_щитам!N1067</f>
      </c>
      <c r="L1062" s="20"/>
      <c r="M1062" s="20">
        <f>Разбивка_по_щитам!P1067</f>
      </c>
      <c r="N1062" s="20"/>
    </row>
    <row r="1063" spans="2:14" x14ac:dyDescent="0.25">
      <c r="B1063" s="20">
        <f>Разбивка_по_щитам!B1068</f>
      </c>
      <c r="C1063" s="20">
        <f>Разбивка_по_щитам!C1068</f>
      </c>
      <c r="D1063" s="20">
        <f>Разбивка_по_щитам!F1068</f>
      </c>
      <c r="E1063" s="20">
        <f>Разбивка_по_щитам!H1068</f>
      </c>
      <c r="F1063" s="20">
        <f>Разбивка_по_щитам!I1068</f>
      </c>
      <c r="G1063" s="20">
        <f>Разбивка_по_щитам!J1068</f>
      </c>
      <c r="H1063" s="20">
        <f>Разбивка_по_щитам!K1068</f>
      </c>
      <c r="I1063" s="20">
        <f>Разбивка_по_щитам!L1068</f>
      </c>
      <c r="J1063" s="20">
        <f>Разбивка_по_щитам!M1068</f>
      </c>
      <c r="K1063" s="20">
        <f>Разбивка_по_щитам!N1068</f>
      </c>
      <c r="L1063" s="20"/>
      <c r="M1063" s="20">
        <f>Разбивка_по_щитам!P1068</f>
      </c>
      <c r="N1063" s="20"/>
    </row>
    <row r="1064" spans="2:14" x14ac:dyDescent="0.25">
      <c r="B1064" s="20">
        <f>Разбивка_по_щитам!B1069</f>
      </c>
      <c r="C1064" s="20">
        <f>Разбивка_по_щитам!C1069</f>
      </c>
      <c r="D1064" s="20">
        <f>Разбивка_по_щитам!F1069</f>
      </c>
      <c r="E1064" s="20">
        <f>Разбивка_по_щитам!H1069</f>
      </c>
      <c r="F1064" s="20">
        <f>Разбивка_по_щитам!I1069</f>
      </c>
      <c r="G1064" s="20">
        <f>Разбивка_по_щитам!J1069</f>
      </c>
      <c r="H1064" s="20">
        <f>Разбивка_по_щитам!K1069</f>
      </c>
      <c r="I1064" s="20">
        <f>Разбивка_по_щитам!L1069</f>
      </c>
      <c r="J1064" s="20">
        <f>Разбивка_по_щитам!M1069</f>
      </c>
      <c r="K1064" s="20">
        <f>Разбивка_по_щитам!N1069</f>
      </c>
      <c r="L1064" s="20"/>
      <c r="M1064" s="20">
        <f>Разбивка_по_щитам!P1069</f>
      </c>
      <c r="N1064" s="20"/>
    </row>
    <row r="1065" spans="2:14" x14ac:dyDescent="0.25">
      <c r="B1065" s="20">
        <f>Разбивка_по_щитам!B1070</f>
      </c>
      <c r="C1065" s="20">
        <f>Разбивка_по_щитам!C1070</f>
      </c>
      <c r="D1065" s="20">
        <f>Разбивка_по_щитам!F1070</f>
      </c>
      <c r="E1065" s="20">
        <f>Разбивка_по_щитам!H1070</f>
      </c>
      <c r="F1065" s="20">
        <f>Разбивка_по_щитам!I1070</f>
      </c>
      <c r="G1065" s="20">
        <f>Разбивка_по_щитам!J1070</f>
      </c>
      <c r="H1065" s="20">
        <f>Разбивка_по_щитам!K1070</f>
      </c>
      <c r="I1065" s="20">
        <f>Разбивка_по_щитам!L1070</f>
      </c>
      <c r="J1065" s="20">
        <f>Разбивка_по_щитам!M1070</f>
      </c>
      <c r="K1065" s="20">
        <f>Разбивка_по_щитам!N1070</f>
      </c>
      <c r="L1065" s="20"/>
      <c r="M1065" s="20">
        <f>Разбивка_по_щитам!P1070</f>
      </c>
      <c r="N1065" s="20"/>
    </row>
    <row r="1066" spans="2:14" x14ac:dyDescent="0.25">
      <c r="B1066" s="20">
        <f>Разбивка_по_щитам!B1071</f>
      </c>
      <c r="C1066" s="20">
        <f>Разбивка_по_щитам!C1071</f>
      </c>
      <c r="D1066" s="20">
        <f>Разбивка_по_щитам!F1071</f>
      </c>
      <c r="E1066" s="20">
        <f>Разбивка_по_щитам!H1071</f>
      </c>
      <c r="F1066" s="20">
        <f>Разбивка_по_щитам!I1071</f>
      </c>
      <c r="G1066" s="20">
        <f>Разбивка_по_щитам!J1071</f>
      </c>
      <c r="H1066" s="20">
        <f>Разбивка_по_щитам!K1071</f>
      </c>
      <c r="I1066" s="20">
        <f>Разбивка_по_щитам!L1071</f>
      </c>
      <c r="J1066" s="20">
        <f>Разбивка_по_щитам!M1071</f>
      </c>
      <c r="K1066" s="20">
        <f>Разбивка_по_щитам!N1071</f>
      </c>
      <c r="L1066" s="20"/>
      <c r="M1066" s="20">
        <f>Разбивка_по_щитам!P1071</f>
      </c>
      <c r="N1066" s="20"/>
    </row>
    <row r="1067" spans="2:14" x14ac:dyDescent="0.25">
      <c r="B1067" s="20">
        <f>Разбивка_по_щитам!B1072</f>
      </c>
      <c r="C1067" s="20">
        <f>Разбивка_по_щитам!C1072</f>
      </c>
      <c r="D1067" s="20">
        <f>Разбивка_по_щитам!F1072</f>
      </c>
      <c r="E1067" s="20">
        <f>Разбивка_по_щитам!H1072</f>
      </c>
      <c r="F1067" s="20">
        <f>Разбивка_по_щитам!I1072</f>
      </c>
      <c r="G1067" s="20">
        <f>Разбивка_по_щитам!J1072</f>
      </c>
      <c r="H1067" s="20">
        <f>Разбивка_по_щитам!K1072</f>
      </c>
      <c r="I1067" s="20">
        <f>Разбивка_по_щитам!L1072</f>
      </c>
      <c r="J1067" s="20">
        <f>Разбивка_по_щитам!M1072</f>
      </c>
      <c r="K1067" s="20">
        <f>Разбивка_по_щитам!N1072</f>
      </c>
      <c r="L1067" s="20"/>
      <c r="M1067" s="20">
        <f>Разбивка_по_щитам!P1072</f>
      </c>
      <c r="N1067" s="20"/>
    </row>
    <row r="1068" spans="2:14" x14ac:dyDescent="0.25">
      <c r="B1068" s="20">
        <f>Разбивка_по_щитам!B1073</f>
      </c>
      <c r="C1068" s="20">
        <f>Разбивка_по_щитам!C1073</f>
      </c>
      <c r="D1068" s="20">
        <f>Разбивка_по_щитам!F1073</f>
      </c>
      <c r="E1068" s="20">
        <f>Разбивка_по_щитам!H1073</f>
      </c>
      <c r="F1068" s="20">
        <f>Разбивка_по_щитам!I1073</f>
      </c>
      <c r="G1068" s="20">
        <f>Разбивка_по_щитам!J1073</f>
      </c>
      <c r="H1068" s="20">
        <f>Разбивка_по_щитам!K1073</f>
      </c>
      <c r="I1068" s="20">
        <f>Разбивка_по_щитам!L1073</f>
      </c>
      <c r="J1068" s="20">
        <f>Разбивка_по_щитам!M1073</f>
      </c>
      <c r="K1068" s="20">
        <f>Разбивка_по_щитам!N1073</f>
      </c>
      <c r="L1068" s="20"/>
      <c r="M1068" s="20">
        <f>Разбивка_по_щитам!P1073</f>
      </c>
      <c r="N1068" s="20"/>
    </row>
    <row r="1069" spans="2:14" x14ac:dyDescent="0.25">
      <c r="B1069" s="20">
        <f>Разбивка_по_щитам!B1074</f>
      </c>
      <c r="C1069" s="20">
        <f>Разбивка_по_щитам!C1074</f>
      </c>
      <c r="D1069" s="20">
        <f>Разбивка_по_щитам!F1074</f>
      </c>
      <c r="E1069" s="20">
        <f>Разбивка_по_щитам!H1074</f>
      </c>
      <c r="F1069" s="20">
        <f>Разбивка_по_щитам!I1074</f>
      </c>
      <c r="G1069" s="20">
        <f>Разбивка_по_щитам!J1074</f>
      </c>
      <c r="H1069" s="20">
        <f>Разбивка_по_щитам!K1074</f>
      </c>
      <c r="I1069" s="20">
        <f>Разбивка_по_щитам!L1074</f>
      </c>
      <c r="J1069" s="20">
        <f>Разбивка_по_щитам!M1074</f>
      </c>
      <c r="K1069" s="20">
        <f>Разбивка_по_щитам!N1074</f>
      </c>
      <c r="L1069" s="20"/>
      <c r="M1069" s="20">
        <f>Разбивка_по_щитам!P1074</f>
      </c>
      <c r="N1069" s="20"/>
    </row>
    <row r="1070" spans="2:14" x14ac:dyDescent="0.25">
      <c r="B1070" s="20">
        <f>Разбивка_по_щитам!B1075</f>
      </c>
      <c r="C1070" s="20">
        <f>Разбивка_по_щитам!C1075</f>
      </c>
      <c r="D1070" s="20">
        <f>Разбивка_по_щитам!F1075</f>
      </c>
      <c r="E1070" s="20">
        <f>Разбивка_по_щитам!H1075</f>
      </c>
      <c r="F1070" s="20">
        <f>Разбивка_по_щитам!I1075</f>
      </c>
      <c r="G1070" s="20">
        <f>Разбивка_по_щитам!J1075</f>
      </c>
      <c r="H1070" s="20">
        <f>Разбивка_по_щитам!K1075</f>
      </c>
      <c r="I1070" s="20">
        <f>Разбивка_по_щитам!L1075</f>
      </c>
      <c r="J1070" s="20">
        <f>Разбивка_по_щитам!M1075</f>
      </c>
      <c r="K1070" s="20">
        <f>Разбивка_по_щитам!N1075</f>
      </c>
      <c r="L1070" s="20"/>
      <c r="M1070" s="20">
        <f>Разбивка_по_щитам!P1075</f>
      </c>
      <c r="N1070" s="20"/>
    </row>
    <row r="1071" spans="2:14" x14ac:dyDescent="0.25">
      <c r="B1071" s="20">
        <f>Разбивка_по_щитам!B1076</f>
      </c>
      <c r="C1071" s="20">
        <f>Разбивка_по_щитам!C1076</f>
      </c>
      <c r="D1071" s="20">
        <f>Разбивка_по_щитам!F1076</f>
      </c>
      <c r="E1071" s="20">
        <f>Разбивка_по_щитам!H1076</f>
      </c>
      <c r="F1071" s="20">
        <f>Разбивка_по_щитам!I1076</f>
      </c>
      <c r="G1071" s="20">
        <f>Разбивка_по_щитам!J1076</f>
      </c>
      <c r="H1071" s="20">
        <f>Разбивка_по_щитам!K1076</f>
      </c>
      <c r="I1071" s="20">
        <f>Разбивка_по_щитам!L1076</f>
      </c>
      <c r="J1071" s="20">
        <f>Разбивка_по_щитам!M1076</f>
      </c>
      <c r="K1071" s="20">
        <f>Разбивка_по_щитам!N1076</f>
      </c>
      <c r="L1071" s="20"/>
      <c r="M1071" s="20">
        <f>Разбивка_по_щитам!P1076</f>
      </c>
      <c r="N1071" s="20"/>
    </row>
    <row r="1072" spans="2:14" x14ac:dyDescent="0.25">
      <c r="B1072" s="20">
        <f>Разбивка_по_щитам!B1077</f>
      </c>
      <c r="C1072" s="20">
        <f>Разбивка_по_щитам!C1077</f>
      </c>
      <c r="D1072" s="20">
        <f>Разбивка_по_щитам!F1077</f>
      </c>
      <c r="E1072" s="20">
        <f>Разбивка_по_щитам!H1077</f>
      </c>
      <c r="F1072" s="20">
        <f>Разбивка_по_щитам!I1077</f>
      </c>
      <c r="G1072" s="20">
        <f>Разбивка_по_щитам!J1077</f>
      </c>
      <c r="H1072" s="20">
        <f>Разбивка_по_щитам!K1077</f>
      </c>
      <c r="I1072" s="20">
        <f>Разбивка_по_щитам!L1077</f>
      </c>
      <c r="J1072" s="20">
        <f>Разбивка_по_щитам!M1077</f>
      </c>
      <c r="K1072" s="20">
        <f>Разбивка_по_щитам!N1077</f>
      </c>
      <c r="L1072" s="20"/>
      <c r="M1072" s="20">
        <f>Разбивка_по_щитам!P1077</f>
      </c>
      <c r="N1072" s="20"/>
    </row>
    <row r="1073" spans="2:14" x14ac:dyDescent="0.25">
      <c r="B1073" s="20">
        <f>Разбивка_по_щитам!B1078</f>
      </c>
      <c r="C1073" s="20">
        <f>Разбивка_по_щитам!C1078</f>
      </c>
      <c r="D1073" s="20">
        <f>Разбивка_по_щитам!F1078</f>
      </c>
      <c r="E1073" s="20">
        <f>Разбивка_по_щитам!H1078</f>
      </c>
      <c r="F1073" s="20">
        <f>Разбивка_по_щитам!I1078</f>
      </c>
      <c r="G1073" s="20">
        <f>Разбивка_по_щитам!J1078</f>
      </c>
      <c r="H1073" s="20">
        <f>Разбивка_по_щитам!K1078</f>
      </c>
      <c r="I1073" s="20">
        <f>Разбивка_по_щитам!L1078</f>
      </c>
      <c r="J1073" s="20">
        <f>Разбивка_по_щитам!M1078</f>
      </c>
      <c r="K1073" s="20">
        <f>Разбивка_по_щитам!N1078</f>
      </c>
      <c r="L1073" s="20"/>
      <c r="M1073" s="20">
        <f>Разбивка_по_щитам!P1078</f>
      </c>
      <c r="N1073" s="20"/>
    </row>
    <row r="1074" spans="2:14" x14ac:dyDescent="0.25">
      <c r="B1074" s="20">
        <f>Разбивка_по_щитам!B1079</f>
      </c>
      <c r="C1074" s="20">
        <f>Разбивка_по_щитам!C1079</f>
      </c>
      <c r="D1074" s="20">
        <f>Разбивка_по_щитам!F1079</f>
      </c>
      <c r="E1074" s="20">
        <f>Разбивка_по_щитам!H1079</f>
      </c>
      <c r="F1074" s="20">
        <f>Разбивка_по_щитам!I1079</f>
      </c>
      <c r="G1074" s="20">
        <f>Разбивка_по_щитам!J1079</f>
      </c>
      <c r="H1074" s="20">
        <f>Разбивка_по_щитам!K1079</f>
      </c>
      <c r="I1074" s="20">
        <f>Разбивка_по_щитам!L1079</f>
      </c>
      <c r="J1074" s="20">
        <f>Разбивка_по_щитам!M1079</f>
      </c>
      <c r="K1074" s="20">
        <f>Разбивка_по_щитам!N1079</f>
      </c>
      <c r="L1074" s="20"/>
      <c r="M1074" s="20">
        <f>Разбивка_по_щитам!P1079</f>
      </c>
      <c r="N1074" s="20"/>
    </row>
    <row r="1075" spans="2:14" x14ac:dyDescent="0.25">
      <c r="B1075" s="20">
        <f>Разбивка_по_щитам!B1080</f>
      </c>
      <c r="C1075" s="20">
        <f>Разбивка_по_щитам!C1080</f>
      </c>
      <c r="D1075" s="20">
        <f>Разбивка_по_щитам!F1080</f>
      </c>
      <c r="E1075" s="20">
        <f>Разбивка_по_щитам!H1080</f>
      </c>
      <c r="F1075" s="20">
        <f>Разбивка_по_щитам!I1080</f>
      </c>
      <c r="G1075" s="20">
        <f>Разбивка_по_щитам!J1080</f>
      </c>
      <c r="H1075" s="20">
        <f>Разбивка_по_щитам!K1080</f>
      </c>
      <c r="I1075" s="20">
        <f>Разбивка_по_щитам!L1080</f>
      </c>
      <c r="J1075" s="20">
        <f>Разбивка_по_щитам!M1080</f>
      </c>
      <c r="K1075" s="20">
        <f>Разбивка_по_щитам!N1080</f>
      </c>
      <c r="L1075" s="20"/>
      <c r="M1075" s="20">
        <f>Разбивка_по_щитам!P1080</f>
      </c>
      <c r="N1075" s="20"/>
    </row>
    <row r="1076" spans="2:14" x14ac:dyDescent="0.25">
      <c r="B1076" s="20">
        <f>Разбивка_по_щитам!B1081</f>
      </c>
      <c r="C1076" s="20">
        <f>Разбивка_по_щитам!C1081</f>
      </c>
      <c r="D1076" s="20">
        <f>Разбивка_по_щитам!F1081</f>
      </c>
      <c r="E1076" s="20">
        <f>Разбивка_по_щитам!H1081</f>
      </c>
      <c r="F1076" s="20">
        <f>Разбивка_по_щитам!I1081</f>
      </c>
      <c r="G1076" s="20">
        <f>Разбивка_по_щитам!J1081</f>
      </c>
      <c r="H1076" s="20">
        <f>Разбивка_по_щитам!K1081</f>
      </c>
      <c r="I1076" s="20">
        <f>Разбивка_по_щитам!L1081</f>
      </c>
      <c r="J1076" s="20">
        <f>Разбивка_по_щитам!M1081</f>
      </c>
      <c r="K1076" s="20">
        <f>Разбивка_по_щитам!N1081</f>
      </c>
      <c r="L1076" s="20"/>
      <c r="M1076" s="20">
        <f>Разбивка_по_щитам!P1081</f>
      </c>
      <c r="N1076" s="20"/>
    </row>
    <row r="1077" spans="2:14" x14ac:dyDescent="0.25">
      <c r="B1077" s="20">
        <f>Разбивка_по_щитам!B1082</f>
      </c>
      <c r="C1077" s="20">
        <f>Разбивка_по_щитам!C1082</f>
      </c>
      <c r="D1077" s="20">
        <f>Разбивка_по_щитам!F1082</f>
      </c>
      <c r="E1077" s="20">
        <f>Разбивка_по_щитам!H1082</f>
      </c>
      <c r="F1077" s="20">
        <f>Разбивка_по_щитам!I1082</f>
      </c>
      <c r="G1077" s="20">
        <f>Разбивка_по_щитам!J1082</f>
      </c>
      <c r="H1077" s="20">
        <f>Разбивка_по_щитам!K1082</f>
      </c>
      <c r="I1077" s="20">
        <f>Разбивка_по_щитам!L1082</f>
      </c>
      <c r="J1077" s="20">
        <f>Разбивка_по_щитам!M1082</f>
      </c>
      <c r="K1077" s="20">
        <f>Разбивка_по_щитам!N1082</f>
      </c>
      <c r="L1077" s="20"/>
      <c r="M1077" s="20">
        <f>Разбивка_по_щитам!P1082</f>
      </c>
      <c r="N1077" s="20"/>
    </row>
    <row r="1078" spans="2:14" x14ac:dyDescent="0.25">
      <c r="B1078" s="20">
        <f>Разбивка_по_щитам!B1083</f>
      </c>
      <c r="C1078" s="20">
        <f>Разбивка_по_щитам!C1083</f>
      </c>
      <c r="D1078" s="20">
        <f>Разбивка_по_щитам!F1083</f>
      </c>
      <c r="E1078" s="20">
        <f>Разбивка_по_щитам!H1083</f>
      </c>
      <c r="F1078" s="20">
        <f>Разбивка_по_щитам!I1083</f>
      </c>
      <c r="G1078" s="20">
        <f>Разбивка_по_щитам!J1083</f>
      </c>
      <c r="H1078" s="20">
        <f>Разбивка_по_щитам!K1083</f>
      </c>
      <c r="I1078" s="20">
        <f>Разбивка_по_щитам!L1083</f>
      </c>
      <c r="J1078" s="20">
        <f>Разбивка_по_щитам!M1083</f>
      </c>
      <c r="K1078" s="20">
        <f>Разбивка_по_щитам!N1083</f>
      </c>
      <c r="L1078" s="20"/>
      <c r="M1078" s="20">
        <f>Разбивка_по_щитам!P1083</f>
      </c>
      <c r="N1078" s="20"/>
    </row>
    <row r="1079" spans="2:14" x14ac:dyDescent="0.25">
      <c r="B1079" s="20">
        <f>Разбивка_по_щитам!B1084</f>
      </c>
      <c r="C1079" s="20">
        <f>Разбивка_по_щитам!C1084</f>
      </c>
      <c r="D1079" s="20">
        <f>Разбивка_по_щитам!F1084</f>
      </c>
      <c r="E1079" s="20">
        <f>Разбивка_по_щитам!H1084</f>
      </c>
      <c r="F1079" s="20">
        <f>Разбивка_по_щитам!I1084</f>
      </c>
      <c r="G1079" s="20">
        <f>Разбивка_по_щитам!J1084</f>
      </c>
      <c r="H1079" s="20">
        <f>Разбивка_по_щитам!K1084</f>
      </c>
      <c r="I1079" s="20">
        <f>Разбивка_по_щитам!L1084</f>
      </c>
      <c r="J1079" s="20">
        <f>Разбивка_по_щитам!M1084</f>
      </c>
      <c r="K1079" s="20">
        <f>Разбивка_по_щитам!N1084</f>
      </c>
      <c r="L1079" s="20"/>
      <c r="M1079" s="20">
        <f>Разбивка_по_щитам!P1084</f>
      </c>
      <c r="N1079" s="20"/>
    </row>
    <row r="1080" spans="2:14" x14ac:dyDescent="0.25">
      <c r="B1080" s="20">
        <f>Разбивка_по_щитам!B1085</f>
      </c>
      <c r="C1080" s="20">
        <f>Разбивка_по_щитам!C1085</f>
      </c>
      <c r="D1080" s="20">
        <f>Разбивка_по_щитам!F1085</f>
      </c>
      <c r="E1080" s="20">
        <f>Разбивка_по_щитам!H1085</f>
      </c>
      <c r="F1080" s="20">
        <f>Разбивка_по_щитам!I1085</f>
      </c>
      <c r="G1080" s="20">
        <f>Разбивка_по_щитам!J1085</f>
      </c>
      <c r="H1080" s="20">
        <f>Разбивка_по_щитам!K1085</f>
      </c>
      <c r="I1080" s="20">
        <f>Разбивка_по_щитам!L1085</f>
      </c>
      <c r="J1080" s="20">
        <f>Разбивка_по_щитам!M1085</f>
      </c>
      <c r="K1080" s="20">
        <f>Разбивка_по_щитам!N1085</f>
      </c>
      <c r="L1080" s="20"/>
      <c r="M1080" s="20">
        <f>Разбивка_по_щитам!P1085</f>
      </c>
      <c r="N1080" s="20"/>
    </row>
    <row r="1081" spans="2:14" x14ac:dyDescent="0.25">
      <c r="B1081" s="20">
        <f>Разбивка_по_щитам!B1086</f>
      </c>
      <c r="C1081" s="20">
        <f>Разбивка_по_щитам!C1086</f>
      </c>
      <c r="D1081" s="20">
        <f>Разбивка_по_щитам!F1086</f>
      </c>
      <c r="E1081" s="20">
        <f>Разбивка_по_щитам!H1086</f>
      </c>
      <c r="F1081" s="20">
        <f>Разбивка_по_щитам!I1086</f>
      </c>
      <c r="G1081" s="20">
        <f>Разбивка_по_щитам!J1086</f>
      </c>
      <c r="H1081" s="20">
        <f>Разбивка_по_щитам!K1086</f>
      </c>
      <c r="I1081" s="20">
        <f>Разбивка_по_щитам!L1086</f>
      </c>
      <c r="J1081" s="20">
        <f>Разбивка_по_щитам!M1086</f>
      </c>
      <c r="K1081" s="20">
        <f>Разбивка_по_щитам!N1086</f>
      </c>
      <c r="L1081" s="20"/>
      <c r="M1081" s="20">
        <f>Разбивка_по_щитам!P1086</f>
      </c>
      <c r="N1081" s="20"/>
    </row>
    <row r="1082" spans="2:14" x14ac:dyDescent="0.25">
      <c r="B1082" s="20">
        <f>Разбивка_по_щитам!B1087</f>
      </c>
      <c r="C1082" s="20">
        <f>Разбивка_по_щитам!C1087</f>
      </c>
      <c r="D1082" s="20">
        <f>Разбивка_по_щитам!F1087</f>
      </c>
      <c r="E1082" s="20">
        <f>Разбивка_по_щитам!H1087</f>
      </c>
      <c r="F1082" s="20">
        <f>Разбивка_по_щитам!I1087</f>
      </c>
      <c r="G1082" s="20">
        <f>Разбивка_по_щитам!J1087</f>
      </c>
      <c r="H1082" s="20">
        <f>Разбивка_по_щитам!K1087</f>
      </c>
      <c r="I1082" s="20">
        <f>Разбивка_по_щитам!L1087</f>
      </c>
      <c r="J1082" s="20">
        <f>Разбивка_по_щитам!M1087</f>
      </c>
      <c r="K1082" s="20">
        <f>Разбивка_по_щитам!N1087</f>
      </c>
      <c r="L1082" s="20"/>
      <c r="M1082" s="20">
        <f>Разбивка_по_щитам!P1087</f>
      </c>
      <c r="N1082" s="20"/>
    </row>
    <row r="1083" spans="2:14" x14ac:dyDescent="0.25">
      <c r="B1083" s="20">
        <f>Разбивка_по_щитам!B1088</f>
      </c>
      <c r="C1083" s="20">
        <f>Разбивка_по_щитам!C1088</f>
      </c>
      <c r="D1083" s="20">
        <f>Разбивка_по_щитам!F1088</f>
      </c>
      <c r="E1083" s="20">
        <f>Разбивка_по_щитам!H1088</f>
      </c>
      <c r="F1083" s="20">
        <f>Разбивка_по_щитам!I1088</f>
      </c>
      <c r="G1083" s="20">
        <f>Разбивка_по_щитам!J1088</f>
      </c>
      <c r="H1083" s="20">
        <f>Разбивка_по_щитам!K1088</f>
      </c>
      <c r="I1083" s="20">
        <f>Разбивка_по_щитам!L1088</f>
      </c>
      <c r="J1083" s="20">
        <f>Разбивка_по_щитам!M1088</f>
      </c>
      <c r="K1083" s="20">
        <f>Разбивка_по_щитам!N1088</f>
      </c>
      <c r="L1083" s="20"/>
      <c r="M1083" s="20">
        <f>Разбивка_по_щитам!P1088</f>
      </c>
      <c r="N1083" s="20"/>
    </row>
    <row r="1084" spans="2:14" x14ac:dyDescent="0.25">
      <c r="B1084" s="20">
        <f>Разбивка_по_щитам!B1089</f>
      </c>
      <c r="C1084" s="20">
        <f>Разбивка_по_щитам!C1089</f>
      </c>
      <c r="D1084" s="20">
        <f>Разбивка_по_щитам!F1089</f>
      </c>
      <c r="E1084" s="20">
        <f>Разбивка_по_щитам!H1089</f>
      </c>
      <c r="F1084" s="20">
        <f>Разбивка_по_щитам!I1089</f>
      </c>
      <c r="G1084" s="20">
        <f>Разбивка_по_щитам!J1089</f>
      </c>
      <c r="H1084" s="20">
        <f>Разбивка_по_щитам!K1089</f>
      </c>
      <c r="I1084" s="20">
        <f>Разбивка_по_щитам!L1089</f>
      </c>
      <c r="J1084" s="20">
        <f>Разбивка_по_щитам!M1089</f>
      </c>
      <c r="K1084" s="20">
        <f>Разбивка_по_щитам!N1089</f>
      </c>
      <c r="L1084" s="20"/>
      <c r="M1084" s="20">
        <f>Разбивка_по_щитам!P1089</f>
      </c>
      <c r="N1084" s="20"/>
    </row>
    <row r="1085" spans="2:14" x14ac:dyDescent="0.25">
      <c r="B1085" s="20">
        <f>Разбивка_по_щитам!B1090</f>
      </c>
      <c r="C1085" s="20">
        <f>Разбивка_по_щитам!C1090</f>
      </c>
      <c r="D1085" s="20">
        <f>Разбивка_по_щитам!F1090</f>
      </c>
      <c r="E1085" s="20">
        <f>Разбивка_по_щитам!H1090</f>
      </c>
      <c r="F1085" s="20">
        <f>Разбивка_по_щитам!I1090</f>
      </c>
      <c r="G1085" s="20">
        <f>Разбивка_по_щитам!J1090</f>
      </c>
      <c r="H1085" s="20">
        <f>Разбивка_по_щитам!K1090</f>
      </c>
      <c r="I1085" s="20">
        <f>Разбивка_по_щитам!L1090</f>
      </c>
      <c r="J1085" s="20">
        <f>Разбивка_по_щитам!M1090</f>
      </c>
      <c r="K1085" s="20">
        <f>Разбивка_по_щитам!N1090</f>
      </c>
      <c r="L1085" s="20"/>
      <c r="M1085" s="20">
        <f>Разбивка_по_щитам!P1090</f>
      </c>
      <c r="N1085" s="20"/>
    </row>
    <row r="1086" spans="2:14" x14ac:dyDescent="0.25">
      <c r="B1086" s="20">
        <f>Разбивка_по_щитам!B1091</f>
      </c>
      <c r="C1086" s="20">
        <f>Разбивка_по_щитам!C1091</f>
      </c>
      <c r="D1086" s="20">
        <f>Разбивка_по_щитам!F1091</f>
      </c>
      <c r="E1086" s="20">
        <f>Разбивка_по_щитам!H1091</f>
      </c>
      <c r="F1086" s="20">
        <f>Разбивка_по_щитам!I1091</f>
      </c>
      <c r="G1086" s="20">
        <f>Разбивка_по_щитам!J1091</f>
      </c>
      <c r="H1086" s="20">
        <f>Разбивка_по_щитам!K1091</f>
      </c>
      <c r="I1086" s="20">
        <f>Разбивка_по_щитам!L1091</f>
      </c>
      <c r="J1086" s="20">
        <f>Разбивка_по_щитам!M1091</f>
      </c>
      <c r="K1086" s="20">
        <f>Разбивка_по_щитам!N1091</f>
      </c>
      <c r="L1086" s="20"/>
      <c r="M1086" s="20">
        <f>Разбивка_по_щитам!P1091</f>
      </c>
      <c r="N1086" s="20"/>
    </row>
    <row r="1087" spans="2:14" x14ac:dyDescent="0.25">
      <c r="B1087" s="20">
        <f>Разбивка_по_щитам!B1092</f>
      </c>
      <c r="C1087" s="20">
        <f>Разбивка_по_щитам!C1092</f>
      </c>
      <c r="D1087" s="20">
        <f>Разбивка_по_щитам!F1092</f>
      </c>
      <c r="E1087" s="20">
        <f>Разбивка_по_щитам!H1092</f>
      </c>
      <c r="F1087" s="20">
        <f>Разбивка_по_щитам!I1092</f>
      </c>
      <c r="G1087" s="20">
        <f>Разбивка_по_щитам!J1092</f>
      </c>
      <c r="H1087" s="20">
        <f>Разбивка_по_щитам!K1092</f>
      </c>
      <c r="I1087" s="20">
        <f>Разбивка_по_щитам!L1092</f>
      </c>
      <c r="J1087" s="20">
        <f>Разбивка_по_щитам!M1092</f>
      </c>
      <c r="K1087" s="20">
        <f>Разбивка_по_щитам!N1092</f>
      </c>
      <c r="L1087" s="20"/>
      <c r="M1087" s="20">
        <f>Разбивка_по_щитам!P1092</f>
      </c>
      <c r="N1087" s="20"/>
    </row>
    <row r="1088" spans="2:14" x14ac:dyDescent="0.25">
      <c r="B1088" s="20">
        <f>Разбивка_по_щитам!B1093</f>
      </c>
      <c r="C1088" s="20">
        <f>Разбивка_по_щитам!C1093</f>
      </c>
      <c r="D1088" s="20">
        <f>Разбивка_по_щитам!F1093</f>
      </c>
      <c r="E1088" s="20">
        <f>Разбивка_по_щитам!H1093</f>
      </c>
      <c r="F1088" s="20">
        <f>Разбивка_по_щитам!I1093</f>
      </c>
      <c r="G1088" s="20">
        <f>Разбивка_по_щитам!J1093</f>
      </c>
      <c r="H1088" s="20">
        <f>Разбивка_по_щитам!K1093</f>
      </c>
      <c r="I1088" s="20">
        <f>Разбивка_по_щитам!L1093</f>
      </c>
      <c r="J1088" s="20">
        <f>Разбивка_по_щитам!M1093</f>
      </c>
      <c r="K1088" s="20">
        <f>Разбивка_по_щитам!N1093</f>
      </c>
      <c r="L1088" s="20"/>
      <c r="M1088" s="20">
        <f>Разбивка_по_щитам!P1093</f>
      </c>
      <c r="N1088" s="20"/>
    </row>
    <row r="1089" spans="2:14" x14ac:dyDescent="0.25">
      <c r="B1089" s="20">
        <f>Разбивка_по_щитам!B1094</f>
      </c>
      <c r="C1089" s="20">
        <f>Разбивка_по_щитам!C1094</f>
      </c>
      <c r="D1089" s="20">
        <f>Разбивка_по_щитам!F1094</f>
      </c>
      <c r="E1089" s="20">
        <f>Разбивка_по_щитам!H1094</f>
      </c>
      <c r="F1089" s="20">
        <f>Разбивка_по_щитам!I1094</f>
      </c>
      <c r="G1089" s="20">
        <f>Разбивка_по_щитам!J1094</f>
      </c>
      <c r="H1089" s="20">
        <f>Разбивка_по_щитам!K1094</f>
      </c>
      <c r="I1089" s="20">
        <f>Разбивка_по_щитам!L1094</f>
      </c>
      <c r="J1089" s="20">
        <f>Разбивка_по_щитам!M1094</f>
      </c>
      <c r="K1089" s="20">
        <f>Разбивка_по_щитам!N1094</f>
      </c>
      <c r="L1089" s="20"/>
      <c r="M1089" s="20">
        <f>Разбивка_по_щитам!P1094</f>
      </c>
      <c r="N1089" s="20"/>
    </row>
    <row r="1090" spans="2:14" x14ac:dyDescent="0.25">
      <c r="B1090" s="20">
        <f>Разбивка_по_щитам!B1095</f>
      </c>
      <c r="C1090" s="20">
        <f>Разбивка_по_щитам!C1095</f>
      </c>
      <c r="D1090" s="20">
        <f>Разбивка_по_щитам!F1095</f>
      </c>
      <c r="E1090" s="20">
        <f>Разбивка_по_щитам!H1095</f>
      </c>
      <c r="F1090" s="20">
        <f>Разбивка_по_щитам!I1095</f>
      </c>
      <c r="G1090" s="20">
        <f>Разбивка_по_щитам!J1095</f>
      </c>
      <c r="H1090" s="20">
        <f>Разбивка_по_щитам!K1095</f>
      </c>
      <c r="I1090" s="20">
        <f>Разбивка_по_щитам!L1095</f>
      </c>
      <c r="J1090" s="20">
        <f>Разбивка_по_щитам!M1095</f>
      </c>
      <c r="K1090" s="20">
        <f>Разбивка_по_щитам!N1095</f>
      </c>
      <c r="L1090" s="20"/>
      <c r="M1090" s="20">
        <f>Разбивка_по_щитам!P1095</f>
      </c>
      <c r="N1090" s="20"/>
    </row>
    <row r="1091" spans="2:14" x14ac:dyDescent="0.25">
      <c r="B1091" s="20">
        <f>Разбивка_по_щитам!B1096</f>
      </c>
      <c r="C1091" s="20">
        <f>Разбивка_по_щитам!C1096</f>
      </c>
      <c r="D1091" s="20">
        <f>Разбивка_по_щитам!F1096</f>
      </c>
      <c r="E1091" s="20">
        <f>Разбивка_по_щитам!H1096</f>
      </c>
      <c r="F1091" s="20">
        <f>Разбивка_по_щитам!I1096</f>
      </c>
      <c r="G1091" s="20">
        <f>Разбивка_по_щитам!J1096</f>
      </c>
      <c r="H1091" s="20">
        <f>Разбивка_по_щитам!K1096</f>
      </c>
      <c r="I1091" s="20">
        <f>Разбивка_по_щитам!L1096</f>
      </c>
      <c r="J1091" s="20">
        <f>Разбивка_по_щитам!M1096</f>
      </c>
      <c r="K1091" s="20">
        <f>Разбивка_по_щитам!N1096</f>
      </c>
      <c r="L1091" s="20"/>
      <c r="M1091" s="20">
        <f>Разбивка_по_щитам!P1096</f>
      </c>
      <c r="N1091" s="20"/>
    </row>
    <row r="1092" spans="2:14" x14ac:dyDescent="0.25">
      <c r="B1092" s="20">
        <f>Разбивка_по_щитам!B1097</f>
      </c>
      <c r="C1092" s="20">
        <f>Разбивка_по_щитам!C1097</f>
      </c>
      <c r="D1092" s="20">
        <f>Разбивка_по_щитам!F1097</f>
      </c>
      <c r="E1092" s="20">
        <f>Разбивка_по_щитам!H1097</f>
      </c>
      <c r="F1092" s="20">
        <f>Разбивка_по_щитам!I1097</f>
      </c>
      <c r="G1092" s="20">
        <f>Разбивка_по_щитам!J1097</f>
      </c>
      <c r="H1092" s="20">
        <f>Разбивка_по_щитам!K1097</f>
      </c>
      <c r="I1092" s="20">
        <f>Разбивка_по_щитам!L1097</f>
      </c>
      <c r="J1092" s="20">
        <f>Разбивка_по_щитам!M1097</f>
      </c>
      <c r="K1092" s="20">
        <f>Разбивка_по_щитам!N1097</f>
      </c>
      <c r="L1092" s="20"/>
      <c r="M1092" s="20">
        <f>Разбивка_по_щитам!P1097</f>
      </c>
      <c r="N1092" s="20"/>
    </row>
    <row r="1093" spans="2:14" x14ac:dyDescent="0.25">
      <c r="B1093" s="20">
        <f>Разбивка_по_щитам!B1098</f>
      </c>
      <c r="C1093" s="20">
        <f>Разбивка_по_щитам!C1098</f>
      </c>
      <c r="D1093" s="20">
        <f>Разбивка_по_щитам!F1098</f>
      </c>
      <c r="E1093" s="20">
        <f>Разбивка_по_щитам!H1098</f>
      </c>
      <c r="F1093" s="20">
        <f>Разбивка_по_щитам!I1098</f>
      </c>
      <c r="G1093" s="20">
        <f>Разбивка_по_щитам!J1098</f>
      </c>
      <c r="H1093" s="20">
        <f>Разбивка_по_щитам!K1098</f>
      </c>
      <c r="I1093" s="20">
        <f>Разбивка_по_щитам!L1098</f>
      </c>
      <c r="J1093" s="20">
        <f>Разбивка_по_щитам!M1098</f>
      </c>
      <c r="K1093" s="20">
        <f>Разбивка_по_щитам!N1098</f>
      </c>
      <c r="L1093" s="20"/>
      <c r="M1093" s="20">
        <f>Разбивка_по_щитам!P1098</f>
      </c>
      <c r="N1093" s="20"/>
    </row>
    <row r="1094" spans="2:14" x14ac:dyDescent="0.25">
      <c r="B1094" s="20">
        <f>Разбивка_по_щитам!B1099</f>
      </c>
      <c r="C1094" s="20">
        <f>Разбивка_по_щитам!C1099</f>
      </c>
      <c r="D1094" s="20">
        <f>Разбивка_по_щитам!F1099</f>
      </c>
      <c r="E1094" s="20">
        <f>Разбивка_по_щитам!H1099</f>
      </c>
      <c r="F1094" s="20">
        <f>Разбивка_по_щитам!I1099</f>
      </c>
      <c r="G1094" s="20">
        <f>Разбивка_по_щитам!J1099</f>
      </c>
      <c r="H1094" s="20">
        <f>Разбивка_по_щитам!K1099</f>
      </c>
      <c r="I1094" s="20">
        <f>Разбивка_по_щитам!L1099</f>
      </c>
      <c r="J1094" s="20">
        <f>Разбивка_по_щитам!M1099</f>
      </c>
      <c r="K1094" s="20">
        <f>Разбивка_по_щитам!N1099</f>
      </c>
      <c r="L1094" s="20"/>
      <c r="M1094" s="20">
        <f>Разбивка_по_щитам!P1099</f>
      </c>
      <c r="N1094" s="20"/>
    </row>
    <row r="1095" spans="2:14" x14ac:dyDescent="0.25">
      <c r="B1095" s="20">
        <f>Разбивка_по_щитам!B1100</f>
      </c>
      <c r="C1095" s="20">
        <f>Разбивка_по_щитам!C1100</f>
      </c>
      <c r="D1095" s="20">
        <f>Разбивка_по_щитам!F1100</f>
      </c>
      <c r="E1095" s="20">
        <f>Разбивка_по_щитам!H1100</f>
      </c>
      <c r="F1095" s="20">
        <f>Разбивка_по_щитам!I1100</f>
      </c>
      <c r="G1095" s="20">
        <f>Разбивка_по_щитам!J1100</f>
      </c>
      <c r="H1095" s="20">
        <f>Разбивка_по_щитам!K1100</f>
      </c>
      <c r="I1095" s="20">
        <f>Разбивка_по_щитам!L1100</f>
      </c>
      <c r="J1095" s="20">
        <f>Разбивка_по_щитам!M1100</f>
      </c>
      <c r="K1095" s="20">
        <f>Разбивка_по_щитам!N1100</f>
      </c>
      <c r="L1095" s="20"/>
      <c r="M1095" s="20">
        <f>Разбивка_по_щитам!P1100</f>
      </c>
      <c r="N1095" s="20"/>
    </row>
    <row r="1096" spans="2:14" x14ac:dyDescent="0.25">
      <c r="B1096" s="20">
        <f>Разбивка_по_щитам!B1101</f>
      </c>
      <c r="C1096" s="20">
        <f>Разбивка_по_щитам!C1101</f>
      </c>
      <c r="D1096" s="20">
        <f>Разбивка_по_щитам!F1101</f>
      </c>
      <c r="E1096" s="20">
        <f>Разбивка_по_щитам!H1101</f>
      </c>
      <c r="F1096" s="20">
        <f>Разбивка_по_щитам!I1101</f>
      </c>
      <c r="G1096" s="20">
        <f>Разбивка_по_щитам!J1101</f>
      </c>
      <c r="H1096" s="20">
        <f>Разбивка_по_щитам!K1101</f>
      </c>
      <c r="I1096" s="20">
        <f>Разбивка_по_щитам!L1101</f>
      </c>
      <c r="J1096" s="20">
        <f>Разбивка_по_щитам!M1101</f>
      </c>
      <c r="K1096" s="20">
        <f>Разбивка_по_щитам!N1101</f>
      </c>
      <c r="L1096" s="20"/>
      <c r="M1096" s="20">
        <f>Разбивка_по_щитам!P1101</f>
      </c>
      <c r="N1096" s="20"/>
    </row>
    <row r="1097" spans="2:14" x14ac:dyDescent="0.25">
      <c r="B1097" s="20">
        <f>Разбивка_по_щитам!B1102</f>
      </c>
      <c r="C1097" s="20">
        <f>Разбивка_по_щитам!C1102</f>
      </c>
      <c r="D1097" s="20">
        <f>Разбивка_по_щитам!F1102</f>
      </c>
      <c r="E1097" s="20">
        <f>Разбивка_по_щитам!H1102</f>
      </c>
      <c r="F1097" s="20">
        <f>Разбивка_по_щитам!I1102</f>
      </c>
      <c r="G1097" s="20">
        <f>Разбивка_по_щитам!J1102</f>
      </c>
      <c r="H1097" s="20">
        <f>Разбивка_по_щитам!K1102</f>
      </c>
      <c r="I1097" s="20">
        <f>Разбивка_по_щитам!L1102</f>
      </c>
      <c r="J1097" s="20">
        <f>Разбивка_по_щитам!M1102</f>
      </c>
      <c r="K1097" s="20">
        <f>Разбивка_по_щитам!N1102</f>
      </c>
      <c r="L1097" s="20"/>
      <c r="M1097" s="20">
        <f>Разбивка_по_щитам!P1102</f>
      </c>
      <c r="N1097" s="20"/>
    </row>
    <row r="1098" spans="2:14" x14ac:dyDescent="0.25">
      <c r="B1098" s="20">
        <f>Разбивка_по_щитам!B1103</f>
      </c>
      <c r="C1098" s="20">
        <f>Разбивка_по_щитам!C1103</f>
      </c>
      <c r="D1098" s="20">
        <f>Разбивка_по_щитам!F1103</f>
      </c>
      <c r="E1098" s="20">
        <f>Разбивка_по_щитам!H1103</f>
      </c>
      <c r="F1098" s="20">
        <f>Разбивка_по_щитам!I1103</f>
      </c>
      <c r="G1098" s="20">
        <f>Разбивка_по_щитам!J1103</f>
      </c>
      <c r="H1098" s="20">
        <f>Разбивка_по_щитам!K1103</f>
      </c>
      <c r="I1098" s="20">
        <f>Разбивка_по_щитам!L1103</f>
      </c>
      <c r="J1098" s="20">
        <f>Разбивка_по_щитам!M1103</f>
      </c>
      <c r="K1098" s="20">
        <f>Разбивка_по_щитам!N1103</f>
      </c>
      <c r="L1098" s="20"/>
      <c r="M1098" s="20">
        <f>Разбивка_по_щитам!P1103</f>
      </c>
      <c r="N1098" s="20"/>
    </row>
    <row r="1099" spans="2:14" x14ac:dyDescent="0.25">
      <c r="B1099" s="20">
        <f>Разбивка_по_щитам!B1104</f>
      </c>
      <c r="C1099" s="20">
        <f>Разбивка_по_щитам!C1104</f>
      </c>
      <c r="D1099" s="20">
        <f>Разбивка_по_щитам!F1104</f>
      </c>
      <c r="E1099" s="20">
        <f>Разбивка_по_щитам!H1104</f>
      </c>
      <c r="F1099" s="20">
        <f>Разбивка_по_щитам!I1104</f>
      </c>
      <c r="G1099" s="20">
        <f>Разбивка_по_щитам!J1104</f>
      </c>
      <c r="H1099" s="20">
        <f>Разбивка_по_щитам!K1104</f>
      </c>
      <c r="I1099" s="20">
        <f>Разбивка_по_щитам!L1104</f>
      </c>
      <c r="J1099" s="20">
        <f>Разбивка_по_щитам!M1104</f>
      </c>
      <c r="K1099" s="20">
        <f>Разбивка_по_щитам!N1104</f>
      </c>
      <c r="L1099" s="20"/>
      <c r="M1099" s="20">
        <f>Разбивка_по_щитам!P1104</f>
      </c>
      <c r="N1099" s="20"/>
    </row>
    <row r="1100" spans="2:14" x14ac:dyDescent="0.25">
      <c r="B1100" s="20">
        <f>Разбивка_по_щитам!B1105</f>
      </c>
      <c r="C1100" s="20">
        <f>Разбивка_по_щитам!C1105</f>
      </c>
      <c r="D1100" s="20">
        <f>Разбивка_по_щитам!F1105</f>
      </c>
      <c r="E1100" s="20">
        <f>Разбивка_по_щитам!H1105</f>
      </c>
      <c r="F1100" s="20">
        <f>Разбивка_по_щитам!I1105</f>
      </c>
      <c r="G1100" s="20">
        <f>Разбивка_по_щитам!J1105</f>
      </c>
      <c r="H1100" s="20">
        <f>Разбивка_по_щитам!K1105</f>
      </c>
      <c r="I1100" s="20">
        <f>Разбивка_по_щитам!L1105</f>
      </c>
      <c r="J1100" s="20">
        <f>Разбивка_по_щитам!M1105</f>
      </c>
      <c r="K1100" s="20">
        <f>Разбивка_по_щитам!N1105</f>
      </c>
      <c r="L1100" s="20"/>
      <c r="M1100" s="20">
        <f>Разбивка_по_щитам!P1105</f>
      </c>
      <c r="N1100" s="20"/>
    </row>
    <row r="1101" spans="2:14" x14ac:dyDescent="0.25">
      <c r="B1101" s="20">
        <f>Разбивка_по_щитам!B1106</f>
      </c>
      <c r="C1101" s="20">
        <f>Разбивка_по_щитам!C1106</f>
      </c>
      <c r="D1101" s="20">
        <f>Разбивка_по_щитам!F1106</f>
      </c>
      <c r="E1101" s="20">
        <f>Разбивка_по_щитам!H1106</f>
      </c>
      <c r="F1101" s="20">
        <f>Разбивка_по_щитам!I1106</f>
      </c>
      <c r="G1101" s="20">
        <f>Разбивка_по_щитам!J1106</f>
      </c>
      <c r="H1101" s="20">
        <f>Разбивка_по_щитам!K1106</f>
      </c>
      <c r="I1101" s="20">
        <f>Разбивка_по_щитам!L1106</f>
      </c>
      <c r="J1101" s="20">
        <f>Разбивка_по_щитам!M1106</f>
      </c>
      <c r="K1101" s="20">
        <f>Разбивка_по_щитам!N1106</f>
      </c>
      <c r="L1101" s="20"/>
      <c r="M1101" s="20">
        <f>Разбивка_по_щитам!P1106</f>
      </c>
      <c r="N1101" s="20"/>
    </row>
    <row r="1102" spans="2:14" x14ac:dyDescent="0.25">
      <c r="B1102" s="20">
        <f>Разбивка_по_щитам!B1107</f>
      </c>
      <c r="C1102" s="20">
        <f>Разбивка_по_щитам!C1107</f>
      </c>
      <c r="D1102" s="20">
        <f>Разбивка_по_щитам!F1107</f>
      </c>
      <c r="E1102" s="20">
        <f>Разбивка_по_щитам!H1107</f>
      </c>
      <c r="F1102" s="20">
        <f>Разбивка_по_щитам!I1107</f>
      </c>
      <c r="G1102" s="20">
        <f>Разбивка_по_щитам!J1107</f>
      </c>
      <c r="H1102" s="20">
        <f>Разбивка_по_щитам!K1107</f>
      </c>
      <c r="I1102" s="20">
        <f>Разбивка_по_щитам!L1107</f>
      </c>
      <c r="J1102" s="20">
        <f>Разбивка_по_щитам!M1107</f>
      </c>
      <c r="K1102" s="20">
        <f>Разбивка_по_щитам!N1107</f>
      </c>
      <c r="L1102" s="20"/>
      <c r="M1102" s="20">
        <f>Разбивка_по_щитам!P1107</f>
      </c>
      <c r="N1102" s="20"/>
    </row>
    <row r="1103" spans="2:14" x14ac:dyDescent="0.25">
      <c r="B1103" s="20">
        <f>Разбивка_по_щитам!B1108</f>
      </c>
      <c r="C1103" s="20">
        <f>Разбивка_по_щитам!C1108</f>
      </c>
      <c r="D1103" s="20">
        <f>Разбивка_по_щитам!F1108</f>
      </c>
      <c r="E1103" s="20">
        <f>Разбивка_по_щитам!H1108</f>
      </c>
      <c r="F1103" s="20">
        <f>Разбивка_по_щитам!I1108</f>
      </c>
      <c r="G1103" s="20">
        <f>Разбивка_по_щитам!J1108</f>
      </c>
      <c r="H1103" s="20">
        <f>Разбивка_по_щитам!K1108</f>
      </c>
      <c r="I1103" s="20">
        <f>Разбивка_по_щитам!L1108</f>
      </c>
      <c r="J1103" s="20">
        <f>Разбивка_по_щитам!M1108</f>
      </c>
      <c r="K1103" s="20">
        <f>Разбивка_по_щитам!N1108</f>
      </c>
      <c r="L1103" s="20"/>
      <c r="M1103" s="20">
        <f>Разбивка_по_щитам!P1108</f>
      </c>
      <c r="N1103" s="20"/>
    </row>
    <row r="1104" spans="2:14" x14ac:dyDescent="0.25">
      <c r="B1104" s="20">
        <f>Разбивка_по_щитам!B1109</f>
      </c>
      <c r="C1104" s="20">
        <f>Разбивка_по_щитам!C1109</f>
      </c>
      <c r="D1104" s="20">
        <f>Разбивка_по_щитам!F1109</f>
      </c>
      <c r="E1104" s="20">
        <f>Разбивка_по_щитам!H1109</f>
      </c>
      <c r="F1104" s="20">
        <f>Разбивка_по_щитам!I1109</f>
      </c>
      <c r="G1104" s="20">
        <f>Разбивка_по_щитам!J1109</f>
      </c>
      <c r="H1104" s="20">
        <f>Разбивка_по_щитам!K1109</f>
      </c>
      <c r="I1104" s="20">
        <f>Разбивка_по_щитам!L1109</f>
      </c>
      <c r="J1104" s="20">
        <f>Разбивка_по_щитам!M1109</f>
      </c>
      <c r="K1104" s="20">
        <f>Разбивка_по_щитам!N1109</f>
      </c>
      <c r="L1104" s="20"/>
      <c r="M1104" s="20">
        <f>Разбивка_по_щитам!P1109</f>
      </c>
      <c r="N1104" s="20"/>
    </row>
    <row r="1105" spans="2:14" x14ac:dyDescent="0.25">
      <c r="B1105" s="20">
        <f>Разбивка_по_щитам!B1110</f>
      </c>
      <c r="C1105" s="20">
        <f>Разбивка_по_щитам!C1110</f>
      </c>
      <c r="D1105" s="20">
        <f>Разбивка_по_щитам!F1110</f>
      </c>
      <c r="E1105" s="20">
        <f>Разбивка_по_щитам!H1110</f>
      </c>
      <c r="F1105" s="20">
        <f>Разбивка_по_щитам!I1110</f>
      </c>
      <c r="G1105" s="20">
        <f>Разбивка_по_щитам!J1110</f>
      </c>
      <c r="H1105" s="20">
        <f>Разбивка_по_щитам!K1110</f>
      </c>
      <c r="I1105" s="20">
        <f>Разбивка_по_щитам!L1110</f>
      </c>
      <c r="J1105" s="20">
        <f>Разбивка_по_щитам!M1110</f>
      </c>
      <c r="K1105" s="20">
        <f>Разбивка_по_щитам!N1110</f>
      </c>
      <c r="L1105" s="20"/>
      <c r="M1105" s="20">
        <f>Разбивка_по_щитам!P1110</f>
      </c>
      <c r="N1105" s="20"/>
    </row>
    <row r="1106" spans="2:14" x14ac:dyDescent="0.25">
      <c r="B1106" s="20">
        <f>Разбивка_по_щитам!B1111</f>
      </c>
      <c r="C1106" s="20">
        <f>Разбивка_по_щитам!C1111</f>
      </c>
      <c r="D1106" s="20">
        <f>Разбивка_по_щитам!F1111</f>
      </c>
      <c r="E1106" s="20">
        <f>Разбивка_по_щитам!H1111</f>
      </c>
      <c r="F1106" s="20">
        <f>Разбивка_по_щитам!I1111</f>
      </c>
      <c r="G1106" s="20">
        <f>Разбивка_по_щитам!J1111</f>
      </c>
      <c r="H1106" s="20">
        <f>Разбивка_по_щитам!K1111</f>
      </c>
      <c r="I1106" s="20">
        <f>Разбивка_по_щитам!L1111</f>
      </c>
      <c r="J1106" s="20">
        <f>Разбивка_по_щитам!M1111</f>
      </c>
      <c r="K1106" s="20">
        <f>Разбивка_по_щитам!N1111</f>
      </c>
      <c r="L1106" s="20"/>
      <c r="M1106" s="20">
        <f>Разбивка_по_щитам!P1111</f>
      </c>
      <c r="N1106" s="20"/>
    </row>
    <row r="1107" spans="2:14" x14ac:dyDescent="0.25">
      <c r="B1107" s="20">
        <f>Разбивка_по_щитам!B1112</f>
      </c>
      <c r="C1107" s="20">
        <f>Разбивка_по_щитам!C1112</f>
      </c>
      <c r="D1107" s="20">
        <f>Разбивка_по_щитам!F1112</f>
      </c>
      <c r="E1107" s="20">
        <f>Разбивка_по_щитам!H1112</f>
      </c>
      <c r="F1107" s="20">
        <f>Разбивка_по_щитам!I1112</f>
      </c>
      <c r="G1107" s="20">
        <f>Разбивка_по_щитам!J1112</f>
      </c>
      <c r="H1107" s="20">
        <f>Разбивка_по_щитам!K1112</f>
      </c>
      <c r="I1107" s="20">
        <f>Разбивка_по_щитам!L1112</f>
      </c>
      <c r="J1107" s="20">
        <f>Разбивка_по_щитам!M1112</f>
      </c>
      <c r="K1107" s="20">
        <f>Разбивка_по_щитам!N1112</f>
      </c>
      <c r="L1107" s="20"/>
      <c r="M1107" s="20">
        <f>Разбивка_по_щитам!P1112</f>
      </c>
      <c r="N1107" s="20"/>
    </row>
    <row r="1108" spans="2:14" x14ac:dyDescent="0.25">
      <c r="B1108" s="20">
        <f>Разбивка_по_щитам!B1113</f>
      </c>
      <c r="C1108" s="20">
        <f>Разбивка_по_щитам!C1113</f>
      </c>
      <c r="D1108" s="20">
        <f>Разбивка_по_щитам!F1113</f>
      </c>
      <c r="E1108" s="20">
        <f>Разбивка_по_щитам!H1113</f>
      </c>
      <c r="F1108" s="20">
        <f>Разбивка_по_щитам!I1113</f>
      </c>
      <c r="G1108" s="20">
        <f>Разбивка_по_щитам!J1113</f>
      </c>
      <c r="H1108" s="20">
        <f>Разбивка_по_щитам!K1113</f>
      </c>
      <c r="I1108" s="20">
        <f>Разбивка_по_щитам!L1113</f>
      </c>
      <c r="J1108" s="20">
        <f>Разбивка_по_щитам!M1113</f>
      </c>
      <c r="K1108" s="20">
        <f>Разбивка_по_щитам!N1113</f>
      </c>
      <c r="L1108" s="20"/>
      <c r="M1108" s="20">
        <f>Разбивка_по_щитам!P1113</f>
      </c>
      <c r="N1108" s="20"/>
    </row>
    <row r="1109" spans="2:14" x14ac:dyDescent="0.25">
      <c r="B1109" s="20">
        <f>Разбивка_по_щитам!B1114</f>
      </c>
      <c r="C1109" s="20">
        <f>Разбивка_по_щитам!C1114</f>
      </c>
      <c r="D1109" s="20">
        <f>Разбивка_по_щитам!F1114</f>
      </c>
      <c r="E1109" s="20">
        <f>Разбивка_по_щитам!H1114</f>
      </c>
      <c r="F1109" s="20">
        <f>Разбивка_по_щитам!I1114</f>
      </c>
      <c r="G1109" s="20">
        <f>Разбивка_по_щитам!J1114</f>
      </c>
      <c r="H1109" s="20">
        <f>Разбивка_по_щитам!K1114</f>
      </c>
      <c r="I1109" s="20">
        <f>Разбивка_по_щитам!L1114</f>
      </c>
      <c r="J1109" s="20">
        <f>Разбивка_по_щитам!M1114</f>
      </c>
      <c r="K1109" s="20">
        <f>Разбивка_по_щитам!N1114</f>
      </c>
      <c r="L1109" s="20"/>
      <c r="M1109" s="20">
        <f>Разбивка_по_щитам!P1114</f>
      </c>
      <c r="N1109" s="20"/>
    </row>
    <row r="1110" spans="2:14" x14ac:dyDescent="0.25">
      <c r="B1110" s="20">
        <f>Разбивка_по_щитам!B1115</f>
      </c>
      <c r="C1110" s="20">
        <f>Разбивка_по_щитам!C1115</f>
      </c>
      <c r="D1110" s="20">
        <f>Разбивка_по_щитам!F1115</f>
      </c>
      <c r="E1110" s="20">
        <f>Разбивка_по_щитам!H1115</f>
      </c>
      <c r="F1110" s="20">
        <f>Разбивка_по_щитам!I1115</f>
      </c>
      <c r="G1110" s="20">
        <f>Разбивка_по_щитам!J1115</f>
      </c>
      <c r="H1110" s="20">
        <f>Разбивка_по_щитам!K1115</f>
      </c>
      <c r="I1110" s="20">
        <f>Разбивка_по_щитам!L1115</f>
      </c>
      <c r="J1110" s="20">
        <f>Разбивка_по_щитам!M1115</f>
      </c>
      <c r="K1110" s="20">
        <f>Разбивка_по_щитам!N1115</f>
      </c>
      <c r="L1110" s="20"/>
      <c r="M1110" s="20">
        <f>Разбивка_по_щитам!P1115</f>
      </c>
      <c r="N1110" s="20"/>
    </row>
    <row r="1111" spans="2:14" x14ac:dyDescent="0.25">
      <c r="B1111" s="20">
        <f>Разбивка_по_щитам!B1116</f>
      </c>
      <c r="C1111" s="20">
        <f>Разбивка_по_щитам!C1116</f>
      </c>
      <c r="D1111" s="20">
        <f>Разбивка_по_щитам!F1116</f>
      </c>
      <c r="E1111" s="20">
        <f>Разбивка_по_щитам!H1116</f>
      </c>
      <c r="F1111" s="20">
        <f>Разбивка_по_щитам!I1116</f>
      </c>
      <c r="G1111" s="20">
        <f>Разбивка_по_щитам!J1116</f>
      </c>
      <c r="H1111" s="20">
        <f>Разбивка_по_щитам!K1116</f>
      </c>
      <c r="I1111" s="20">
        <f>Разбивка_по_щитам!L1116</f>
      </c>
      <c r="J1111" s="20">
        <f>Разбивка_по_щитам!M1116</f>
      </c>
      <c r="K1111" s="20">
        <f>Разбивка_по_щитам!N1116</f>
      </c>
      <c r="L1111" s="20"/>
      <c r="M1111" s="20">
        <f>Разбивка_по_щитам!P1116</f>
      </c>
      <c r="N1111" s="20"/>
    </row>
    <row r="1112" spans="2:14" x14ac:dyDescent="0.25">
      <c r="B1112" s="20">
        <f>Разбивка_по_щитам!B1117</f>
      </c>
      <c r="C1112" s="20">
        <f>Разбивка_по_щитам!C1117</f>
      </c>
      <c r="D1112" s="20">
        <f>Разбивка_по_щитам!F1117</f>
      </c>
      <c r="E1112" s="20">
        <f>Разбивка_по_щитам!H1117</f>
      </c>
      <c r="F1112" s="20">
        <f>Разбивка_по_щитам!I1117</f>
      </c>
      <c r="G1112" s="20">
        <f>Разбивка_по_щитам!J1117</f>
      </c>
      <c r="H1112" s="20">
        <f>Разбивка_по_щитам!K1117</f>
      </c>
      <c r="I1112" s="20">
        <f>Разбивка_по_щитам!L1117</f>
      </c>
      <c r="J1112" s="20">
        <f>Разбивка_по_щитам!M1117</f>
      </c>
      <c r="K1112" s="20">
        <f>Разбивка_по_щитам!N1117</f>
      </c>
      <c r="L1112" s="20"/>
      <c r="M1112" s="20">
        <f>Разбивка_по_щитам!P1117</f>
      </c>
      <c r="N1112" s="20"/>
    </row>
    <row r="1113" spans="2:14" x14ac:dyDescent="0.25">
      <c r="B1113" s="20">
        <f>Разбивка_по_щитам!B1118</f>
      </c>
      <c r="C1113" s="20">
        <f>Разбивка_по_щитам!C1118</f>
      </c>
      <c r="D1113" s="20">
        <f>Разбивка_по_щитам!F1118</f>
      </c>
      <c r="E1113" s="20">
        <f>Разбивка_по_щитам!H1118</f>
      </c>
      <c r="F1113" s="20">
        <f>Разбивка_по_щитам!I1118</f>
      </c>
      <c r="G1113" s="20">
        <f>Разбивка_по_щитам!J1118</f>
      </c>
      <c r="H1113" s="20">
        <f>Разбивка_по_щитам!K1118</f>
      </c>
      <c r="I1113" s="20">
        <f>Разбивка_по_щитам!L1118</f>
      </c>
      <c r="J1113" s="20">
        <f>Разбивка_по_щитам!M1118</f>
      </c>
      <c r="K1113" s="20">
        <f>Разбивка_по_щитам!N1118</f>
      </c>
      <c r="L1113" s="20"/>
      <c r="M1113" s="20">
        <f>Разбивка_по_щитам!P1118</f>
      </c>
      <c r="N1113" s="20"/>
    </row>
    <row r="1114" spans="2:14" x14ac:dyDescent="0.25">
      <c r="B1114" s="20">
        <f>Разбивка_по_щитам!B1119</f>
      </c>
      <c r="C1114" s="20">
        <f>Разбивка_по_щитам!C1119</f>
      </c>
      <c r="D1114" s="20">
        <f>Разбивка_по_щитам!F1119</f>
      </c>
      <c r="E1114" s="20">
        <f>Разбивка_по_щитам!H1119</f>
      </c>
      <c r="F1114" s="20">
        <f>Разбивка_по_щитам!I1119</f>
      </c>
      <c r="G1114" s="20">
        <f>Разбивка_по_щитам!J1119</f>
      </c>
      <c r="H1114" s="20">
        <f>Разбивка_по_щитам!K1119</f>
      </c>
      <c r="I1114" s="20">
        <f>Разбивка_по_щитам!L1119</f>
      </c>
      <c r="J1114" s="20">
        <f>Разбивка_по_щитам!M1119</f>
      </c>
      <c r="K1114" s="20">
        <f>Разбивка_по_щитам!N1119</f>
      </c>
      <c r="L1114" s="20"/>
      <c r="M1114" s="20">
        <f>Разбивка_по_щитам!P1119</f>
      </c>
      <c r="N1114" s="20"/>
    </row>
    <row r="1115" spans="2:14" x14ac:dyDescent="0.25">
      <c r="B1115" s="20">
        <f>Разбивка_по_щитам!B1120</f>
      </c>
      <c r="C1115" s="20">
        <f>Разбивка_по_щитам!C1120</f>
      </c>
      <c r="D1115" s="20">
        <f>Разбивка_по_щитам!F1120</f>
      </c>
      <c r="E1115" s="20">
        <f>Разбивка_по_щитам!H1120</f>
      </c>
      <c r="F1115" s="20">
        <f>Разбивка_по_щитам!I1120</f>
      </c>
      <c r="G1115" s="20">
        <f>Разбивка_по_щитам!J1120</f>
      </c>
      <c r="H1115" s="20">
        <f>Разбивка_по_щитам!K1120</f>
      </c>
      <c r="I1115" s="20">
        <f>Разбивка_по_щитам!L1120</f>
      </c>
      <c r="J1115" s="20">
        <f>Разбивка_по_щитам!M1120</f>
      </c>
      <c r="K1115" s="20">
        <f>Разбивка_по_щитам!N1120</f>
      </c>
      <c r="L1115" s="20"/>
      <c r="M1115" s="20">
        <f>Разбивка_по_щитам!P1120</f>
      </c>
      <c r="N1115" s="20"/>
    </row>
    <row r="1116" spans="2:14" x14ac:dyDescent="0.25">
      <c r="B1116" s="20">
        <f>Разбивка_по_щитам!B1121</f>
      </c>
      <c r="C1116" s="20">
        <f>Разбивка_по_щитам!C1121</f>
      </c>
      <c r="D1116" s="20">
        <f>Разбивка_по_щитам!F1121</f>
      </c>
      <c r="E1116" s="20">
        <f>Разбивка_по_щитам!H1121</f>
      </c>
      <c r="F1116" s="20">
        <f>Разбивка_по_щитам!I1121</f>
      </c>
      <c r="G1116" s="20">
        <f>Разбивка_по_щитам!J1121</f>
      </c>
      <c r="H1116" s="20">
        <f>Разбивка_по_щитам!K1121</f>
      </c>
      <c r="I1116" s="20">
        <f>Разбивка_по_щитам!L1121</f>
      </c>
      <c r="J1116" s="20">
        <f>Разбивка_по_щитам!M1121</f>
      </c>
      <c r="K1116" s="20">
        <f>Разбивка_по_щитам!N1121</f>
      </c>
      <c r="L1116" s="20"/>
      <c r="M1116" s="20">
        <f>Разбивка_по_щитам!P1121</f>
      </c>
      <c r="N1116" s="20"/>
    </row>
    <row r="1117" spans="2:14" x14ac:dyDescent="0.25">
      <c r="B1117" s="20">
        <f>Разбивка_по_щитам!B1122</f>
      </c>
      <c r="C1117" s="20">
        <f>Разбивка_по_щитам!C1122</f>
      </c>
      <c r="D1117" s="20">
        <f>Разбивка_по_щитам!F1122</f>
      </c>
      <c r="E1117" s="20">
        <f>Разбивка_по_щитам!H1122</f>
      </c>
      <c r="F1117" s="20">
        <f>Разбивка_по_щитам!I1122</f>
      </c>
      <c r="G1117" s="20">
        <f>Разбивка_по_щитам!J1122</f>
      </c>
      <c r="H1117" s="20">
        <f>Разбивка_по_щитам!K1122</f>
      </c>
      <c r="I1117" s="20">
        <f>Разбивка_по_щитам!L1122</f>
      </c>
      <c r="J1117" s="20">
        <f>Разбивка_по_щитам!M1122</f>
      </c>
      <c r="K1117" s="20">
        <f>Разбивка_по_щитам!N1122</f>
      </c>
      <c r="L1117" s="20"/>
      <c r="M1117" s="20">
        <f>Разбивка_по_щитам!P1122</f>
      </c>
      <c r="N1117" s="20"/>
    </row>
    <row r="1118" spans="2:14" x14ac:dyDescent="0.25">
      <c r="B1118" s="20">
        <f>Разбивка_по_щитам!B1123</f>
      </c>
      <c r="C1118" s="20">
        <f>Разбивка_по_щитам!C1123</f>
      </c>
      <c r="D1118" s="20">
        <f>Разбивка_по_щитам!F1123</f>
      </c>
      <c r="E1118" s="20">
        <f>Разбивка_по_щитам!H1123</f>
      </c>
      <c r="F1118" s="20">
        <f>Разбивка_по_щитам!I1123</f>
      </c>
      <c r="G1118" s="20">
        <f>Разбивка_по_щитам!J1123</f>
      </c>
      <c r="H1118" s="20">
        <f>Разбивка_по_щитам!K1123</f>
      </c>
      <c r="I1118" s="20">
        <f>Разбивка_по_щитам!L1123</f>
      </c>
      <c r="J1118" s="20">
        <f>Разбивка_по_щитам!M1123</f>
      </c>
      <c r="K1118" s="20">
        <f>Разбивка_по_щитам!N1123</f>
      </c>
      <c r="L1118" s="20"/>
      <c r="M1118" s="20">
        <f>Разбивка_по_щитам!P1123</f>
      </c>
      <c r="N1118" s="20"/>
    </row>
    <row r="1119" spans="2:14" x14ac:dyDescent="0.25">
      <c r="B1119" s="20">
        <f>Разбивка_по_щитам!B1124</f>
      </c>
      <c r="C1119" s="20">
        <f>Разбивка_по_щитам!C1124</f>
      </c>
      <c r="D1119" s="20">
        <f>Разбивка_по_щитам!F1124</f>
      </c>
      <c r="E1119" s="20">
        <f>Разбивка_по_щитам!H1124</f>
      </c>
      <c r="F1119" s="20">
        <f>Разбивка_по_щитам!I1124</f>
      </c>
      <c r="G1119" s="20">
        <f>Разбивка_по_щитам!J1124</f>
      </c>
      <c r="H1119" s="20">
        <f>Разбивка_по_щитам!K1124</f>
      </c>
      <c r="I1119" s="20">
        <f>Разбивка_по_щитам!L1124</f>
      </c>
      <c r="J1119" s="20">
        <f>Разбивка_по_щитам!M1124</f>
      </c>
      <c r="K1119" s="20">
        <f>Разбивка_по_щитам!N1124</f>
      </c>
      <c r="L1119" s="20"/>
      <c r="M1119" s="20">
        <f>Разбивка_по_щитам!P1124</f>
      </c>
      <c r="N1119" s="20"/>
    </row>
    <row r="1120" spans="2:14" x14ac:dyDescent="0.25">
      <c r="B1120" s="20">
        <f>Разбивка_по_щитам!B1125</f>
      </c>
      <c r="C1120" s="20">
        <f>Разбивка_по_щитам!C1125</f>
      </c>
      <c r="D1120" s="20">
        <f>Разбивка_по_щитам!F1125</f>
      </c>
      <c r="E1120" s="20">
        <f>Разбивка_по_щитам!H1125</f>
      </c>
      <c r="F1120" s="20">
        <f>Разбивка_по_щитам!I1125</f>
      </c>
      <c r="G1120" s="20">
        <f>Разбивка_по_щитам!J1125</f>
      </c>
      <c r="H1120" s="20">
        <f>Разбивка_по_щитам!K1125</f>
      </c>
      <c r="I1120" s="20">
        <f>Разбивка_по_щитам!L1125</f>
      </c>
      <c r="J1120" s="20">
        <f>Разбивка_по_щитам!M1125</f>
      </c>
      <c r="K1120" s="20">
        <f>Разбивка_по_щитам!N1125</f>
      </c>
      <c r="L1120" s="20"/>
      <c r="M1120" s="20">
        <f>Разбивка_по_щитам!P1125</f>
      </c>
      <c r="N1120" s="20"/>
    </row>
    <row r="1121" spans="2:14" x14ac:dyDescent="0.25">
      <c r="B1121" s="20">
        <f>Разбивка_по_щитам!B1126</f>
      </c>
      <c r="C1121" s="20">
        <f>Разбивка_по_щитам!C1126</f>
      </c>
      <c r="D1121" s="20">
        <f>Разбивка_по_щитам!F1126</f>
      </c>
      <c r="E1121" s="20">
        <f>Разбивка_по_щитам!H1126</f>
      </c>
      <c r="F1121" s="20">
        <f>Разбивка_по_щитам!I1126</f>
      </c>
      <c r="G1121" s="20">
        <f>Разбивка_по_щитам!J1126</f>
      </c>
      <c r="H1121" s="20">
        <f>Разбивка_по_щитам!K1126</f>
      </c>
      <c r="I1121" s="20">
        <f>Разбивка_по_щитам!L1126</f>
      </c>
      <c r="J1121" s="20">
        <f>Разбивка_по_щитам!M1126</f>
      </c>
      <c r="K1121" s="20">
        <f>Разбивка_по_щитам!N1126</f>
      </c>
      <c r="L1121" s="20"/>
      <c r="M1121" s="20">
        <f>Разбивка_по_щитам!P1126</f>
      </c>
      <c r="N1121" s="20"/>
    </row>
    <row r="1122" spans="2:14" x14ac:dyDescent="0.25">
      <c r="B1122" s="20">
        <f>Разбивка_по_щитам!B1127</f>
      </c>
      <c r="C1122" s="20">
        <f>Разбивка_по_щитам!C1127</f>
      </c>
      <c r="D1122" s="20">
        <f>Разбивка_по_щитам!F1127</f>
      </c>
      <c r="E1122" s="20">
        <f>Разбивка_по_щитам!H1127</f>
      </c>
      <c r="F1122" s="20">
        <f>Разбивка_по_щитам!I1127</f>
      </c>
      <c r="G1122" s="20">
        <f>Разбивка_по_щитам!J1127</f>
      </c>
      <c r="H1122" s="20">
        <f>Разбивка_по_щитам!K1127</f>
      </c>
      <c r="I1122" s="20">
        <f>Разбивка_по_щитам!L1127</f>
      </c>
      <c r="J1122" s="20">
        <f>Разбивка_по_щитам!M1127</f>
      </c>
      <c r="K1122" s="20">
        <f>Разбивка_по_щитам!N1127</f>
      </c>
      <c r="L1122" s="20"/>
      <c r="M1122" s="20">
        <f>Разбивка_по_щитам!P1127</f>
      </c>
      <c r="N1122" s="20"/>
    </row>
    <row r="1123" spans="2:14" x14ac:dyDescent="0.25">
      <c r="B1123" s="20">
        <f>Разбивка_по_щитам!B1128</f>
      </c>
      <c r="C1123" s="20">
        <f>Разбивка_по_щитам!C1128</f>
      </c>
      <c r="D1123" s="20">
        <f>Разбивка_по_щитам!F1128</f>
      </c>
      <c r="E1123" s="20">
        <f>Разбивка_по_щитам!H1128</f>
      </c>
      <c r="F1123" s="20">
        <f>Разбивка_по_щитам!I1128</f>
      </c>
      <c r="G1123" s="20">
        <f>Разбивка_по_щитам!J1128</f>
      </c>
      <c r="H1123" s="20">
        <f>Разбивка_по_щитам!K1128</f>
      </c>
      <c r="I1123" s="20">
        <f>Разбивка_по_щитам!L1128</f>
      </c>
      <c r="J1123" s="20">
        <f>Разбивка_по_щитам!M1128</f>
      </c>
      <c r="K1123" s="20">
        <f>Разбивка_по_щитам!N1128</f>
      </c>
      <c r="L1123" s="20"/>
      <c r="M1123" s="20">
        <f>Разбивка_по_щитам!P1128</f>
      </c>
      <c r="N1123" s="20"/>
    </row>
    <row r="1124" spans="2:14" x14ac:dyDescent="0.25">
      <c r="B1124" s="20">
        <f>Разбивка_по_щитам!B1129</f>
      </c>
      <c r="C1124" s="20">
        <f>Разбивка_по_щитам!C1129</f>
      </c>
      <c r="D1124" s="20">
        <f>Разбивка_по_щитам!F1129</f>
      </c>
      <c r="E1124" s="20">
        <f>Разбивка_по_щитам!H1129</f>
      </c>
      <c r="F1124" s="20">
        <f>Разбивка_по_щитам!I1129</f>
      </c>
      <c r="G1124" s="20">
        <f>Разбивка_по_щитам!J1129</f>
      </c>
      <c r="H1124" s="20">
        <f>Разбивка_по_щитам!K1129</f>
      </c>
      <c r="I1124" s="20">
        <f>Разбивка_по_щитам!L1129</f>
      </c>
      <c r="J1124" s="20">
        <f>Разбивка_по_щитам!M1129</f>
      </c>
      <c r="K1124" s="20">
        <f>Разбивка_по_щитам!N1129</f>
      </c>
      <c r="L1124" s="20"/>
      <c r="M1124" s="20">
        <f>Разбивка_по_щитам!P1129</f>
      </c>
      <c r="N1124" s="20"/>
    </row>
    <row r="1125" spans="2:14" x14ac:dyDescent="0.25">
      <c r="B1125" s="20">
        <f>Разбивка_по_щитам!B1130</f>
      </c>
      <c r="C1125" s="20">
        <f>Разбивка_по_щитам!C1130</f>
      </c>
      <c r="D1125" s="20">
        <f>Разбивка_по_щитам!F1130</f>
      </c>
      <c r="E1125" s="20">
        <f>Разбивка_по_щитам!H1130</f>
      </c>
      <c r="F1125" s="20">
        <f>Разбивка_по_щитам!I1130</f>
      </c>
      <c r="G1125" s="20">
        <f>Разбивка_по_щитам!J1130</f>
      </c>
      <c r="H1125" s="20">
        <f>Разбивка_по_щитам!K1130</f>
      </c>
      <c r="I1125" s="20">
        <f>Разбивка_по_щитам!L1130</f>
      </c>
      <c r="J1125" s="20">
        <f>Разбивка_по_щитам!M1130</f>
      </c>
      <c r="K1125" s="20">
        <f>Разбивка_по_щитам!N1130</f>
      </c>
      <c r="L1125" s="20"/>
      <c r="M1125" s="20">
        <f>Разбивка_по_щитам!P1130</f>
      </c>
      <c r="N1125" s="20"/>
    </row>
    <row r="1126" spans="2:14" x14ac:dyDescent="0.25">
      <c r="B1126" s="20">
        <f>Разбивка_по_щитам!B1131</f>
      </c>
      <c r="C1126" s="20">
        <f>Разбивка_по_щитам!C1131</f>
      </c>
      <c r="D1126" s="20">
        <f>Разбивка_по_щитам!F1131</f>
      </c>
      <c r="E1126" s="20">
        <f>Разбивка_по_щитам!H1131</f>
      </c>
      <c r="F1126" s="20">
        <f>Разбивка_по_щитам!I1131</f>
      </c>
      <c r="G1126" s="20">
        <f>Разбивка_по_щитам!J1131</f>
      </c>
      <c r="H1126" s="20">
        <f>Разбивка_по_щитам!K1131</f>
      </c>
      <c r="I1126" s="20">
        <f>Разбивка_по_щитам!L1131</f>
      </c>
      <c r="J1126" s="20">
        <f>Разбивка_по_щитам!M1131</f>
      </c>
      <c r="K1126" s="20">
        <f>Разбивка_по_щитам!N1131</f>
      </c>
      <c r="L1126" s="20"/>
      <c r="M1126" s="20">
        <f>Разбивка_по_щитам!P1131</f>
      </c>
      <c r="N1126" s="20"/>
    </row>
    <row r="1127" spans="2:14" x14ac:dyDescent="0.25">
      <c r="B1127" s="20">
        <f>Разбивка_по_щитам!B1132</f>
      </c>
      <c r="C1127" s="20">
        <f>Разбивка_по_щитам!C1132</f>
      </c>
      <c r="D1127" s="20">
        <f>Разбивка_по_щитам!F1132</f>
      </c>
      <c r="E1127" s="20">
        <f>Разбивка_по_щитам!H1132</f>
      </c>
      <c r="F1127" s="20">
        <f>Разбивка_по_щитам!I1132</f>
      </c>
      <c r="G1127" s="20">
        <f>Разбивка_по_щитам!J1132</f>
      </c>
      <c r="H1127" s="20">
        <f>Разбивка_по_щитам!K1132</f>
      </c>
      <c r="I1127" s="20">
        <f>Разбивка_по_щитам!L1132</f>
      </c>
      <c r="J1127" s="20">
        <f>Разбивка_по_щитам!M1132</f>
      </c>
      <c r="K1127" s="20">
        <f>Разбивка_по_щитам!N1132</f>
      </c>
      <c r="L1127" s="20"/>
      <c r="M1127" s="20">
        <f>Разбивка_по_щитам!P1132</f>
      </c>
      <c r="N1127" s="20"/>
    </row>
    <row r="1128" spans="2:14" x14ac:dyDescent="0.25">
      <c r="B1128" s="20">
        <f>Разбивка_по_щитам!B1133</f>
      </c>
      <c r="C1128" s="20">
        <f>Разбивка_по_щитам!C1133</f>
      </c>
      <c r="D1128" s="20">
        <f>Разбивка_по_щитам!F1133</f>
      </c>
      <c r="E1128" s="20">
        <f>Разбивка_по_щитам!H1133</f>
      </c>
      <c r="F1128" s="20">
        <f>Разбивка_по_щитам!I1133</f>
      </c>
      <c r="G1128" s="20">
        <f>Разбивка_по_щитам!J1133</f>
      </c>
      <c r="H1128" s="20">
        <f>Разбивка_по_щитам!K1133</f>
      </c>
      <c r="I1128" s="20">
        <f>Разбивка_по_щитам!L1133</f>
      </c>
      <c r="J1128" s="20">
        <f>Разбивка_по_щитам!M1133</f>
      </c>
      <c r="K1128" s="20">
        <f>Разбивка_по_щитам!N1133</f>
      </c>
      <c r="L1128" s="20"/>
      <c r="M1128" s="20">
        <f>Разбивка_по_щитам!P1133</f>
      </c>
      <c r="N1128" s="20"/>
    </row>
    <row r="1129" spans="2:14" x14ac:dyDescent="0.25">
      <c r="B1129" s="20">
        <f>Разбивка_по_щитам!B1134</f>
      </c>
      <c r="C1129" s="20">
        <f>Разбивка_по_щитам!C1134</f>
      </c>
      <c r="D1129" s="20">
        <f>Разбивка_по_щитам!F1134</f>
      </c>
      <c r="E1129" s="20">
        <f>Разбивка_по_щитам!H1134</f>
      </c>
      <c r="F1129" s="20">
        <f>Разбивка_по_щитам!I1134</f>
      </c>
      <c r="G1129" s="20">
        <f>Разбивка_по_щитам!J1134</f>
      </c>
      <c r="H1129" s="20">
        <f>Разбивка_по_щитам!K1134</f>
      </c>
      <c r="I1129" s="20">
        <f>Разбивка_по_щитам!L1134</f>
      </c>
      <c r="J1129" s="20">
        <f>Разбивка_по_щитам!M1134</f>
      </c>
      <c r="K1129" s="20">
        <f>Разбивка_по_щитам!N1134</f>
      </c>
      <c r="L1129" s="20"/>
      <c r="M1129" s="20">
        <f>Разбивка_по_щитам!P1134</f>
      </c>
      <c r="N1129" s="20"/>
    </row>
    <row r="1130" spans="2:14" x14ac:dyDescent="0.25">
      <c r="B1130" s="20">
        <f>Разбивка_по_щитам!B1135</f>
      </c>
      <c r="C1130" s="20">
        <f>Разбивка_по_щитам!C1135</f>
      </c>
      <c r="D1130" s="20">
        <f>Разбивка_по_щитам!F1135</f>
      </c>
      <c r="E1130" s="20">
        <f>Разбивка_по_щитам!H1135</f>
      </c>
      <c r="F1130" s="20">
        <f>Разбивка_по_щитам!I1135</f>
      </c>
      <c r="G1130" s="20">
        <f>Разбивка_по_щитам!J1135</f>
      </c>
      <c r="H1130" s="20">
        <f>Разбивка_по_щитам!K1135</f>
      </c>
      <c r="I1130" s="20">
        <f>Разбивка_по_щитам!L1135</f>
      </c>
      <c r="J1130" s="20">
        <f>Разбивка_по_щитам!M1135</f>
      </c>
      <c r="K1130" s="20">
        <f>Разбивка_по_щитам!N1135</f>
      </c>
      <c r="L1130" s="20"/>
      <c r="M1130" s="20">
        <f>Разбивка_по_щитам!P1135</f>
      </c>
      <c r="N1130" s="20"/>
    </row>
    <row r="1131" spans="2:14" x14ac:dyDescent="0.25">
      <c r="B1131" s="20">
        <f>Разбивка_по_щитам!B1136</f>
      </c>
      <c r="C1131" s="20">
        <f>Разбивка_по_щитам!C1136</f>
      </c>
      <c r="D1131" s="20">
        <f>Разбивка_по_щитам!F1136</f>
      </c>
      <c r="E1131" s="20">
        <f>Разбивка_по_щитам!H1136</f>
      </c>
      <c r="F1131" s="20">
        <f>Разбивка_по_щитам!I1136</f>
      </c>
      <c r="G1131" s="20">
        <f>Разбивка_по_щитам!J1136</f>
      </c>
      <c r="H1131" s="20">
        <f>Разбивка_по_щитам!K1136</f>
      </c>
      <c r="I1131" s="20">
        <f>Разбивка_по_щитам!L1136</f>
      </c>
      <c r="J1131" s="20">
        <f>Разбивка_по_щитам!M1136</f>
      </c>
      <c r="K1131" s="20">
        <f>Разбивка_по_щитам!N1136</f>
      </c>
      <c r="L1131" s="20"/>
      <c r="M1131" s="20">
        <f>Разбивка_по_щитам!P1136</f>
      </c>
      <c r="N1131" s="20"/>
    </row>
    <row r="1132" spans="2:14" x14ac:dyDescent="0.25">
      <c r="B1132" s="20">
        <f>Разбивка_по_щитам!B1137</f>
      </c>
      <c r="C1132" s="20">
        <f>Разбивка_по_щитам!C1137</f>
      </c>
      <c r="D1132" s="20">
        <f>Разбивка_по_щитам!F1137</f>
      </c>
      <c r="E1132" s="20">
        <f>Разбивка_по_щитам!H1137</f>
      </c>
      <c r="F1132" s="20">
        <f>Разбивка_по_щитам!I1137</f>
      </c>
      <c r="G1132" s="20">
        <f>Разбивка_по_щитам!J1137</f>
      </c>
      <c r="H1132" s="20">
        <f>Разбивка_по_щитам!K1137</f>
      </c>
      <c r="I1132" s="20">
        <f>Разбивка_по_щитам!L1137</f>
      </c>
      <c r="J1132" s="20">
        <f>Разбивка_по_щитам!M1137</f>
      </c>
      <c r="K1132" s="20">
        <f>Разбивка_по_щитам!N1137</f>
      </c>
      <c r="L1132" s="20"/>
      <c r="M1132" s="20">
        <f>Разбивка_по_щитам!P1137</f>
      </c>
      <c r="N1132" s="20"/>
    </row>
    <row r="1133" spans="2:14" x14ac:dyDescent="0.25">
      <c r="B1133" s="20">
        <f>Разбивка_по_щитам!B1138</f>
      </c>
      <c r="C1133" s="20">
        <f>Разбивка_по_щитам!C1138</f>
      </c>
      <c r="D1133" s="20">
        <f>Разбивка_по_щитам!F1138</f>
      </c>
      <c r="E1133" s="20">
        <f>Разбивка_по_щитам!H1138</f>
      </c>
      <c r="F1133" s="20">
        <f>Разбивка_по_щитам!I1138</f>
      </c>
      <c r="G1133" s="20">
        <f>Разбивка_по_щитам!J1138</f>
      </c>
      <c r="H1133" s="20">
        <f>Разбивка_по_щитам!K1138</f>
      </c>
      <c r="I1133" s="20">
        <f>Разбивка_по_щитам!L1138</f>
      </c>
      <c r="J1133" s="20">
        <f>Разбивка_по_щитам!M1138</f>
      </c>
      <c r="K1133" s="20">
        <f>Разбивка_по_щитам!N1138</f>
      </c>
      <c r="L1133" s="20"/>
      <c r="M1133" s="20">
        <f>Разбивка_по_щитам!P1138</f>
      </c>
      <c r="N1133" s="20"/>
    </row>
    <row r="1134" spans="2:14" x14ac:dyDescent="0.25">
      <c r="B1134" s="20">
        <f>Разбивка_по_щитам!B1139</f>
      </c>
      <c r="C1134" s="20">
        <f>Разбивка_по_щитам!C1139</f>
      </c>
      <c r="D1134" s="20">
        <f>Разбивка_по_щитам!F1139</f>
      </c>
      <c r="E1134" s="20">
        <f>Разбивка_по_щитам!H1139</f>
      </c>
      <c r="F1134" s="20">
        <f>Разбивка_по_щитам!I1139</f>
      </c>
      <c r="G1134" s="20">
        <f>Разбивка_по_щитам!J1139</f>
      </c>
      <c r="H1134" s="20">
        <f>Разбивка_по_щитам!K1139</f>
      </c>
      <c r="I1134" s="20">
        <f>Разбивка_по_щитам!L1139</f>
      </c>
      <c r="J1134" s="20">
        <f>Разбивка_по_щитам!M1139</f>
      </c>
      <c r="K1134" s="20">
        <f>Разбивка_по_щитам!N1139</f>
      </c>
      <c r="L1134" s="20"/>
      <c r="M1134" s="20">
        <f>Разбивка_по_щитам!P1139</f>
      </c>
      <c r="N1134" s="20"/>
    </row>
    <row r="1135" spans="2:14" x14ac:dyDescent="0.25">
      <c r="B1135" s="20">
        <f>Разбивка_по_щитам!B1140</f>
      </c>
      <c r="C1135" s="20">
        <f>Разбивка_по_щитам!C1140</f>
      </c>
      <c r="D1135" s="20">
        <f>Разбивка_по_щитам!F1140</f>
      </c>
      <c r="E1135" s="20">
        <f>Разбивка_по_щитам!H1140</f>
      </c>
      <c r="F1135" s="20">
        <f>Разбивка_по_щитам!I1140</f>
      </c>
      <c r="G1135" s="20">
        <f>Разбивка_по_щитам!J1140</f>
      </c>
      <c r="H1135" s="20">
        <f>Разбивка_по_щитам!K1140</f>
      </c>
      <c r="I1135" s="20">
        <f>Разбивка_по_щитам!L1140</f>
      </c>
      <c r="J1135" s="20">
        <f>Разбивка_по_щитам!M1140</f>
      </c>
      <c r="K1135" s="20">
        <f>Разбивка_по_щитам!N1140</f>
      </c>
      <c r="L1135" s="20"/>
      <c r="M1135" s="20">
        <f>Разбивка_по_щитам!P1140</f>
      </c>
      <c r="N1135" s="20"/>
    </row>
    <row r="1136" spans="2:14" x14ac:dyDescent="0.25">
      <c r="B1136" s="20">
        <f>Разбивка_по_щитам!B1141</f>
      </c>
      <c r="C1136" s="20">
        <f>Разбивка_по_щитам!C1141</f>
      </c>
      <c r="D1136" s="20">
        <f>Разбивка_по_щитам!F1141</f>
      </c>
      <c r="E1136" s="20">
        <f>Разбивка_по_щитам!H1141</f>
      </c>
      <c r="F1136" s="20">
        <f>Разбивка_по_щитам!I1141</f>
      </c>
      <c r="G1136" s="20">
        <f>Разбивка_по_щитам!J1141</f>
      </c>
      <c r="H1136" s="20">
        <f>Разбивка_по_щитам!K1141</f>
      </c>
      <c r="I1136" s="20">
        <f>Разбивка_по_щитам!L1141</f>
      </c>
      <c r="J1136" s="20">
        <f>Разбивка_по_щитам!M1141</f>
      </c>
      <c r="K1136" s="20">
        <f>Разбивка_по_щитам!N1141</f>
      </c>
      <c r="L1136" s="20"/>
      <c r="M1136" s="20">
        <f>Разбивка_по_щитам!P1141</f>
      </c>
      <c r="N1136" s="20"/>
    </row>
    <row r="1137" spans="2:14" x14ac:dyDescent="0.25">
      <c r="B1137" s="20">
        <f>Разбивка_по_щитам!B1142</f>
      </c>
      <c r="C1137" s="20">
        <f>Разбивка_по_щитам!C1142</f>
      </c>
      <c r="D1137" s="20">
        <f>Разбивка_по_щитам!F1142</f>
      </c>
      <c r="E1137" s="20">
        <f>Разбивка_по_щитам!H1142</f>
      </c>
      <c r="F1137" s="20">
        <f>Разбивка_по_щитам!I1142</f>
      </c>
      <c r="G1137" s="20">
        <f>Разбивка_по_щитам!J1142</f>
      </c>
      <c r="H1137" s="20">
        <f>Разбивка_по_щитам!K1142</f>
      </c>
      <c r="I1137" s="20">
        <f>Разбивка_по_щитам!L1142</f>
      </c>
      <c r="J1137" s="20">
        <f>Разбивка_по_щитам!M1142</f>
      </c>
      <c r="K1137" s="20">
        <f>Разбивка_по_щитам!N1142</f>
      </c>
      <c r="L1137" s="20"/>
      <c r="M1137" s="20">
        <f>Разбивка_по_щитам!P1142</f>
      </c>
      <c r="N1137" s="20"/>
    </row>
    <row r="1138" spans="2:14" x14ac:dyDescent="0.25">
      <c r="B1138" s="20">
        <f>Разбивка_по_щитам!B1143</f>
      </c>
      <c r="C1138" s="20">
        <f>Разбивка_по_щитам!C1143</f>
      </c>
      <c r="D1138" s="20">
        <f>Разбивка_по_щитам!F1143</f>
      </c>
      <c r="E1138" s="20">
        <f>Разбивка_по_щитам!H1143</f>
      </c>
      <c r="F1138" s="20">
        <f>Разбивка_по_щитам!I1143</f>
      </c>
      <c r="G1138" s="20">
        <f>Разбивка_по_щитам!J1143</f>
      </c>
      <c r="H1138" s="20">
        <f>Разбивка_по_щитам!K1143</f>
      </c>
      <c r="I1138" s="20">
        <f>Разбивка_по_щитам!L1143</f>
      </c>
      <c r="J1138" s="20">
        <f>Разбивка_по_щитам!M1143</f>
      </c>
      <c r="K1138" s="20">
        <f>Разбивка_по_щитам!N1143</f>
      </c>
      <c r="L1138" s="20"/>
      <c r="M1138" s="20">
        <f>Разбивка_по_щитам!P1143</f>
      </c>
      <c r="N1138" s="20"/>
    </row>
    <row r="1139" spans="2:14" x14ac:dyDescent="0.25">
      <c r="B1139" s="20">
        <f>Разбивка_по_щитам!B1144</f>
      </c>
      <c r="C1139" s="20">
        <f>Разбивка_по_щитам!C1144</f>
      </c>
      <c r="D1139" s="20">
        <f>Разбивка_по_щитам!F1144</f>
      </c>
      <c r="E1139" s="20">
        <f>Разбивка_по_щитам!H1144</f>
      </c>
      <c r="F1139" s="20">
        <f>Разбивка_по_щитам!I1144</f>
      </c>
      <c r="G1139" s="20">
        <f>Разбивка_по_щитам!J1144</f>
      </c>
      <c r="H1139" s="20">
        <f>Разбивка_по_щитам!K1144</f>
      </c>
      <c r="I1139" s="20">
        <f>Разбивка_по_щитам!L1144</f>
      </c>
      <c r="J1139" s="20">
        <f>Разбивка_по_щитам!M1144</f>
      </c>
      <c r="K1139" s="20">
        <f>Разбивка_по_щитам!N1144</f>
      </c>
      <c r="L1139" s="20"/>
      <c r="M1139" s="20">
        <f>Разбивка_по_щитам!P1144</f>
      </c>
      <c r="N1139" s="20"/>
    </row>
    <row r="1140" spans="2:14" x14ac:dyDescent="0.25">
      <c r="B1140" s="20">
        <f>Разбивка_по_щитам!B1145</f>
      </c>
      <c r="C1140" s="20">
        <f>Разбивка_по_щитам!C1145</f>
      </c>
      <c r="D1140" s="20">
        <f>Разбивка_по_щитам!F1145</f>
      </c>
      <c r="E1140" s="20">
        <f>Разбивка_по_щитам!H1145</f>
      </c>
      <c r="F1140" s="20">
        <f>Разбивка_по_щитам!I1145</f>
      </c>
      <c r="G1140" s="20">
        <f>Разбивка_по_щитам!J1145</f>
      </c>
      <c r="H1140" s="20">
        <f>Разбивка_по_щитам!K1145</f>
      </c>
      <c r="I1140" s="20">
        <f>Разбивка_по_щитам!L1145</f>
      </c>
      <c r="J1140" s="20">
        <f>Разбивка_по_щитам!M1145</f>
      </c>
      <c r="K1140" s="20">
        <f>Разбивка_по_щитам!N1145</f>
      </c>
      <c r="L1140" s="20"/>
      <c r="M1140" s="20">
        <f>Разбивка_по_щитам!P1145</f>
      </c>
      <c r="N1140" s="20"/>
    </row>
    <row r="1141" spans="2:14" x14ac:dyDescent="0.25">
      <c r="B1141" s="20">
        <f>Разбивка_по_щитам!B1146</f>
      </c>
      <c r="C1141" s="20">
        <f>Разбивка_по_щитам!C1146</f>
      </c>
      <c r="D1141" s="20">
        <f>Разбивка_по_щитам!F1146</f>
      </c>
      <c r="E1141" s="20">
        <f>Разбивка_по_щитам!H1146</f>
      </c>
      <c r="F1141" s="20">
        <f>Разбивка_по_щитам!I1146</f>
      </c>
      <c r="G1141" s="20">
        <f>Разбивка_по_щитам!J1146</f>
      </c>
      <c r="H1141" s="20">
        <f>Разбивка_по_щитам!K1146</f>
      </c>
      <c r="I1141" s="20">
        <f>Разбивка_по_щитам!L1146</f>
      </c>
      <c r="J1141" s="20">
        <f>Разбивка_по_щитам!M1146</f>
      </c>
      <c r="K1141" s="20">
        <f>Разбивка_по_щитам!N1146</f>
      </c>
      <c r="L1141" s="20"/>
      <c r="M1141" s="20">
        <f>Разбивка_по_щитам!P1146</f>
      </c>
      <c r="N1141" s="20"/>
    </row>
    <row r="1142" spans="2:14" x14ac:dyDescent="0.25">
      <c r="B1142" s="20">
        <f>Разбивка_по_щитам!B1147</f>
      </c>
      <c r="C1142" s="20">
        <f>Разбивка_по_щитам!C1147</f>
      </c>
      <c r="D1142" s="20">
        <f>Разбивка_по_щитам!F1147</f>
      </c>
      <c r="E1142" s="20">
        <f>Разбивка_по_щитам!H1147</f>
      </c>
      <c r="F1142" s="20">
        <f>Разбивка_по_щитам!I1147</f>
      </c>
      <c r="G1142" s="20">
        <f>Разбивка_по_щитам!J1147</f>
      </c>
      <c r="H1142" s="20">
        <f>Разбивка_по_щитам!K1147</f>
      </c>
      <c r="I1142" s="20">
        <f>Разбивка_по_щитам!L1147</f>
      </c>
      <c r="J1142" s="20">
        <f>Разбивка_по_щитам!M1147</f>
      </c>
      <c r="K1142" s="20">
        <f>Разбивка_по_щитам!N1147</f>
      </c>
      <c r="L1142" s="20"/>
      <c r="M1142" s="20">
        <f>Разбивка_по_щитам!P1147</f>
      </c>
      <c r="N1142" s="20"/>
    </row>
    <row r="1143" spans="2:14" x14ac:dyDescent="0.25">
      <c r="B1143" s="20">
        <f>Разбивка_по_щитам!B1148</f>
      </c>
      <c r="C1143" s="20">
        <f>Разбивка_по_щитам!C1148</f>
      </c>
      <c r="D1143" s="20">
        <f>Разбивка_по_щитам!F1148</f>
      </c>
      <c r="E1143" s="20">
        <f>Разбивка_по_щитам!H1148</f>
      </c>
      <c r="F1143" s="20">
        <f>Разбивка_по_щитам!I1148</f>
      </c>
      <c r="G1143" s="20">
        <f>Разбивка_по_щитам!J1148</f>
      </c>
      <c r="H1143" s="20">
        <f>Разбивка_по_щитам!K1148</f>
      </c>
      <c r="I1143" s="20">
        <f>Разбивка_по_щитам!L1148</f>
      </c>
      <c r="J1143" s="20">
        <f>Разбивка_по_щитам!M1148</f>
      </c>
      <c r="K1143" s="20">
        <f>Разбивка_по_щитам!N1148</f>
      </c>
      <c r="L1143" s="20"/>
      <c r="M1143" s="20">
        <f>Разбивка_по_щитам!P1148</f>
      </c>
      <c r="N1143" s="20"/>
    </row>
    <row r="1144" spans="2:14" x14ac:dyDescent="0.25">
      <c r="B1144" s="20">
        <f>Разбивка_по_щитам!B1149</f>
      </c>
      <c r="C1144" s="20">
        <f>Разбивка_по_щитам!C1149</f>
      </c>
      <c r="D1144" s="20">
        <f>Разбивка_по_щитам!F1149</f>
      </c>
      <c r="E1144" s="20">
        <f>Разбивка_по_щитам!H1149</f>
      </c>
      <c r="F1144" s="20">
        <f>Разбивка_по_щитам!I1149</f>
      </c>
      <c r="G1144" s="20">
        <f>Разбивка_по_щитам!J1149</f>
      </c>
      <c r="H1144" s="20">
        <f>Разбивка_по_щитам!K1149</f>
      </c>
      <c r="I1144" s="20">
        <f>Разбивка_по_щитам!L1149</f>
      </c>
      <c r="J1144" s="20">
        <f>Разбивка_по_щитам!M1149</f>
      </c>
      <c r="K1144" s="20">
        <f>Разбивка_по_щитам!N1149</f>
      </c>
      <c r="L1144" s="20"/>
      <c r="M1144" s="20">
        <f>Разбивка_по_щитам!P1149</f>
      </c>
      <c r="N1144" s="20"/>
    </row>
    <row r="1145" spans="2:14" x14ac:dyDescent="0.25">
      <c r="B1145" s="20">
        <f>Разбивка_по_щитам!B1150</f>
      </c>
      <c r="C1145" s="20">
        <f>Разбивка_по_щитам!C1150</f>
      </c>
      <c r="D1145" s="20">
        <f>Разбивка_по_щитам!F1150</f>
      </c>
      <c r="E1145" s="20">
        <f>Разбивка_по_щитам!H1150</f>
      </c>
      <c r="F1145" s="20">
        <f>Разбивка_по_щитам!I1150</f>
      </c>
      <c r="G1145" s="20">
        <f>Разбивка_по_щитам!J1150</f>
      </c>
      <c r="H1145" s="20">
        <f>Разбивка_по_щитам!K1150</f>
      </c>
      <c r="I1145" s="20">
        <f>Разбивка_по_щитам!L1150</f>
      </c>
      <c r="J1145" s="20">
        <f>Разбивка_по_щитам!M1150</f>
      </c>
      <c r="K1145" s="20">
        <f>Разбивка_по_щитам!N1150</f>
      </c>
      <c r="L1145" s="20"/>
      <c r="M1145" s="20">
        <f>Разбивка_по_щитам!P1150</f>
      </c>
      <c r="N1145" s="20"/>
    </row>
    <row r="1146" spans="2:14" x14ac:dyDescent="0.25">
      <c r="B1146" s="20">
        <f>Разбивка_по_щитам!B1151</f>
      </c>
      <c r="C1146" s="20">
        <f>Разбивка_по_щитам!C1151</f>
      </c>
      <c r="D1146" s="20">
        <f>Разбивка_по_щитам!F1151</f>
      </c>
      <c r="E1146" s="20">
        <f>Разбивка_по_щитам!H1151</f>
      </c>
      <c r="F1146" s="20">
        <f>Разбивка_по_щитам!I1151</f>
      </c>
      <c r="G1146" s="20">
        <f>Разбивка_по_щитам!J1151</f>
      </c>
      <c r="H1146" s="20">
        <f>Разбивка_по_щитам!K1151</f>
      </c>
      <c r="I1146" s="20">
        <f>Разбивка_по_щитам!L1151</f>
      </c>
      <c r="J1146" s="20">
        <f>Разбивка_по_щитам!M1151</f>
      </c>
      <c r="K1146" s="20">
        <f>Разбивка_по_щитам!N1151</f>
      </c>
      <c r="L1146" s="20"/>
      <c r="M1146" s="20">
        <f>Разбивка_по_щитам!P1151</f>
      </c>
      <c r="N1146" s="20"/>
    </row>
    <row r="1147" spans="2:14" x14ac:dyDescent="0.25">
      <c r="B1147" s="20">
        <f>Разбивка_по_щитам!B1152</f>
      </c>
      <c r="C1147" s="20">
        <f>Разбивка_по_щитам!C1152</f>
      </c>
      <c r="D1147" s="20">
        <f>Разбивка_по_щитам!F1152</f>
      </c>
      <c r="E1147" s="20">
        <f>Разбивка_по_щитам!H1152</f>
      </c>
      <c r="F1147" s="20">
        <f>Разбивка_по_щитам!I1152</f>
      </c>
      <c r="G1147" s="20">
        <f>Разбивка_по_щитам!J1152</f>
      </c>
      <c r="H1147" s="20">
        <f>Разбивка_по_щитам!K1152</f>
      </c>
      <c r="I1147" s="20">
        <f>Разбивка_по_щитам!L1152</f>
      </c>
      <c r="J1147" s="20">
        <f>Разбивка_по_щитам!M1152</f>
      </c>
      <c r="K1147" s="20">
        <f>Разбивка_по_щитам!N1152</f>
      </c>
      <c r="L1147" s="20"/>
      <c r="M1147" s="20">
        <f>Разбивка_по_щитам!P1152</f>
      </c>
      <c r="N1147" s="20"/>
    </row>
    <row r="1148" spans="2:14" x14ac:dyDescent="0.25">
      <c r="B1148" s="20">
        <f>Разбивка_по_щитам!B1153</f>
      </c>
      <c r="C1148" s="20">
        <f>Разбивка_по_щитам!C1153</f>
      </c>
      <c r="D1148" s="20">
        <f>Разбивка_по_щитам!F1153</f>
      </c>
      <c r="E1148" s="20">
        <f>Разбивка_по_щитам!H1153</f>
      </c>
      <c r="F1148" s="20">
        <f>Разбивка_по_щитам!I1153</f>
      </c>
      <c r="G1148" s="20">
        <f>Разбивка_по_щитам!J1153</f>
      </c>
      <c r="H1148" s="20">
        <f>Разбивка_по_щитам!K1153</f>
      </c>
      <c r="I1148" s="20">
        <f>Разбивка_по_щитам!L1153</f>
      </c>
      <c r="J1148" s="20">
        <f>Разбивка_по_щитам!M1153</f>
      </c>
      <c r="K1148" s="20">
        <f>Разбивка_по_щитам!N1153</f>
      </c>
      <c r="L1148" s="20"/>
      <c r="M1148" s="20">
        <f>Разбивка_по_щитам!P1153</f>
      </c>
      <c r="N1148" s="20"/>
    </row>
    <row r="1149" spans="2:14" x14ac:dyDescent="0.25">
      <c r="B1149" s="20">
        <f>Разбивка_по_щитам!B1154</f>
      </c>
      <c r="C1149" s="20">
        <f>Разбивка_по_щитам!C1154</f>
      </c>
      <c r="D1149" s="20">
        <f>Разбивка_по_щитам!F1154</f>
      </c>
      <c r="E1149" s="20">
        <f>Разбивка_по_щитам!H1154</f>
      </c>
      <c r="F1149" s="20">
        <f>Разбивка_по_щитам!I1154</f>
      </c>
      <c r="G1149" s="20">
        <f>Разбивка_по_щитам!J1154</f>
      </c>
      <c r="H1149" s="20">
        <f>Разбивка_по_щитам!K1154</f>
      </c>
      <c r="I1149" s="20">
        <f>Разбивка_по_щитам!L1154</f>
      </c>
      <c r="J1149" s="20">
        <f>Разбивка_по_щитам!M1154</f>
      </c>
      <c r="K1149" s="20">
        <f>Разбивка_по_щитам!N1154</f>
      </c>
      <c r="L1149" s="20"/>
      <c r="M1149" s="20">
        <f>Разбивка_по_щитам!P1154</f>
      </c>
      <c r="N1149" s="20"/>
    </row>
    <row r="1150" spans="2:14" x14ac:dyDescent="0.25">
      <c r="B1150" s="20">
        <f>Разбивка_по_щитам!B1155</f>
      </c>
      <c r="C1150" s="20">
        <f>Разбивка_по_щитам!C1155</f>
      </c>
      <c r="D1150" s="20">
        <f>Разбивка_по_щитам!F1155</f>
      </c>
      <c r="E1150" s="20">
        <f>Разбивка_по_щитам!H1155</f>
      </c>
      <c r="F1150" s="20">
        <f>Разбивка_по_щитам!I1155</f>
      </c>
      <c r="G1150" s="20">
        <f>Разбивка_по_щитам!J1155</f>
      </c>
      <c r="H1150" s="20">
        <f>Разбивка_по_щитам!K1155</f>
      </c>
      <c r="I1150" s="20">
        <f>Разбивка_по_щитам!L1155</f>
      </c>
      <c r="J1150" s="20">
        <f>Разбивка_по_щитам!M1155</f>
      </c>
      <c r="K1150" s="20">
        <f>Разбивка_по_щитам!N1155</f>
      </c>
      <c r="L1150" s="20"/>
      <c r="M1150" s="20">
        <f>Разбивка_по_щитам!P1155</f>
      </c>
      <c r="N1150" s="20"/>
    </row>
    <row r="1151" spans="2:14" x14ac:dyDescent="0.25">
      <c r="B1151" s="20">
        <f>Разбивка_по_щитам!B1156</f>
      </c>
      <c r="C1151" s="20">
        <f>Разбивка_по_щитам!C1156</f>
      </c>
      <c r="D1151" s="20">
        <f>Разбивка_по_щитам!F1156</f>
      </c>
      <c r="E1151" s="20">
        <f>Разбивка_по_щитам!H1156</f>
      </c>
      <c r="F1151" s="20">
        <f>Разбивка_по_щитам!I1156</f>
      </c>
      <c r="G1151" s="20">
        <f>Разбивка_по_щитам!J1156</f>
      </c>
      <c r="H1151" s="20">
        <f>Разбивка_по_щитам!K1156</f>
      </c>
      <c r="I1151" s="20">
        <f>Разбивка_по_щитам!L1156</f>
      </c>
      <c r="J1151" s="20">
        <f>Разбивка_по_щитам!M1156</f>
      </c>
      <c r="K1151" s="20">
        <f>Разбивка_по_щитам!N1156</f>
      </c>
      <c r="L1151" s="20"/>
      <c r="M1151" s="20">
        <f>Разбивка_по_щитам!P1156</f>
      </c>
      <c r="N1151" s="20"/>
    </row>
    <row r="1152" spans="2:14" x14ac:dyDescent="0.25">
      <c r="B1152" s="20">
        <f>Разбивка_по_щитам!B1157</f>
      </c>
      <c r="C1152" s="20">
        <f>Разбивка_по_щитам!C1157</f>
      </c>
      <c r="D1152" s="20">
        <f>Разбивка_по_щитам!F1157</f>
      </c>
      <c r="E1152" s="20">
        <f>Разбивка_по_щитам!H1157</f>
      </c>
      <c r="F1152" s="20">
        <f>Разбивка_по_щитам!I1157</f>
      </c>
      <c r="G1152" s="20">
        <f>Разбивка_по_щитам!J1157</f>
      </c>
      <c r="H1152" s="20">
        <f>Разбивка_по_щитам!K1157</f>
      </c>
      <c r="I1152" s="20">
        <f>Разбивка_по_щитам!L1157</f>
      </c>
      <c r="J1152" s="20">
        <f>Разбивка_по_щитам!M1157</f>
      </c>
      <c r="K1152" s="20">
        <f>Разбивка_по_щитам!N1157</f>
      </c>
      <c r="L1152" s="20"/>
      <c r="M1152" s="20">
        <f>Разбивка_по_щитам!P1157</f>
      </c>
      <c r="N1152" s="20"/>
    </row>
    <row r="1153" spans="2:14" x14ac:dyDescent="0.25">
      <c r="B1153" s="20">
        <f>Разбивка_по_щитам!B1158</f>
      </c>
      <c r="C1153" s="20">
        <f>Разбивка_по_щитам!C1158</f>
      </c>
      <c r="D1153" s="20">
        <f>Разбивка_по_щитам!F1158</f>
      </c>
      <c r="E1153" s="20">
        <f>Разбивка_по_щитам!H1158</f>
      </c>
      <c r="F1153" s="20">
        <f>Разбивка_по_щитам!I1158</f>
      </c>
      <c r="G1153" s="20">
        <f>Разбивка_по_щитам!J1158</f>
      </c>
      <c r="H1153" s="20">
        <f>Разбивка_по_щитам!K1158</f>
      </c>
      <c r="I1153" s="20">
        <f>Разбивка_по_щитам!L1158</f>
      </c>
      <c r="J1153" s="20">
        <f>Разбивка_по_щитам!M1158</f>
      </c>
      <c r="K1153" s="20">
        <f>Разбивка_по_щитам!N1158</f>
      </c>
      <c r="L1153" s="20"/>
      <c r="M1153" s="20">
        <f>Разбивка_по_щитам!P1158</f>
      </c>
      <c r="N1153" s="20"/>
    </row>
    <row r="1154" spans="2:14" x14ac:dyDescent="0.25">
      <c r="B1154" s="20">
        <f>Разбивка_по_щитам!B1159</f>
      </c>
      <c r="C1154" s="20">
        <f>Разбивка_по_щитам!C1159</f>
      </c>
      <c r="D1154" s="20">
        <f>Разбивка_по_щитам!F1159</f>
      </c>
      <c r="E1154" s="20">
        <f>Разбивка_по_щитам!H1159</f>
      </c>
      <c r="F1154" s="20">
        <f>Разбивка_по_щитам!I1159</f>
      </c>
      <c r="G1154" s="20">
        <f>Разбивка_по_щитам!J1159</f>
      </c>
      <c r="H1154" s="20">
        <f>Разбивка_по_щитам!K1159</f>
      </c>
      <c r="I1154" s="20">
        <f>Разбивка_по_щитам!L1159</f>
      </c>
      <c r="J1154" s="20">
        <f>Разбивка_по_щитам!M1159</f>
      </c>
      <c r="K1154" s="20">
        <f>Разбивка_по_щитам!N1159</f>
      </c>
      <c r="L1154" s="20"/>
      <c r="M1154" s="20">
        <f>Разбивка_по_щитам!P1159</f>
      </c>
      <c r="N1154" s="20"/>
    </row>
    <row r="1155" spans="2:14" x14ac:dyDescent="0.25">
      <c r="B1155" s="20">
        <f>Разбивка_по_щитам!B1160</f>
      </c>
      <c r="C1155" s="20">
        <f>Разбивка_по_щитам!C1160</f>
      </c>
      <c r="D1155" s="20">
        <f>Разбивка_по_щитам!F1160</f>
      </c>
      <c r="E1155" s="20">
        <f>Разбивка_по_щитам!H1160</f>
      </c>
      <c r="F1155" s="20">
        <f>Разбивка_по_щитам!I1160</f>
      </c>
      <c r="G1155" s="20">
        <f>Разбивка_по_щитам!J1160</f>
      </c>
      <c r="H1155" s="20">
        <f>Разбивка_по_щитам!K1160</f>
      </c>
      <c r="I1155" s="20">
        <f>Разбивка_по_щитам!L1160</f>
      </c>
      <c r="J1155" s="20">
        <f>Разбивка_по_щитам!M1160</f>
      </c>
      <c r="K1155" s="20">
        <f>Разбивка_по_щитам!N1160</f>
      </c>
      <c r="L1155" s="20"/>
      <c r="M1155" s="20">
        <f>Разбивка_по_щитам!P1160</f>
      </c>
      <c r="N1155" s="20"/>
    </row>
    <row r="1156" spans="2:14" x14ac:dyDescent="0.25">
      <c r="B1156" s="20">
        <f>Разбивка_по_щитам!B1161</f>
      </c>
      <c r="C1156" s="20">
        <f>Разбивка_по_щитам!C1161</f>
      </c>
      <c r="D1156" s="20">
        <f>Разбивка_по_щитам!F1161</f>
      </c>
      <c r="E1156" s="20">
        <f>Разбивка_по_щитам!H1161</f>
      </c>
      <c r="F1156" s="20">
        <f>Разбивка_по_щитам!I1161</f>
      </c>
      <c r="G1156" s="20">
        <f>Разбивка_по_щитам!J1161</f>
      </c>
      <c r="H1156" s="20">
        <f>Разбивка_по_щитам!K1161</f>
      </c>
      <c r="I1156" s="20">
        <f>Разбивка_по_щитам!L1161</f>
      </c>
      <c r="J1156" s="20">
        <f>Разбивка_по_щитам!M1161</f>
      </c>
      <c r="K1156" s="20">
        <f>Разбивка_по_щитам!N1161</f>
      </c>
      <c r="L1156" s="20"/>
      <c r="M1156" s="20">
        <f>Разбивка_по_щитам!P1161</f>
      </c>
      <c r="N1156" s="20"/>
    </row>
    <row r="1157" spans="2:14" x14ac:dyDescent="0.25">
      <c r="B1157" s="20">
        <f>Разбивка_по_щитам!B1162</f>
      </c>
      <c r="C1157" s="20">
        <f>Разбивка_по_щитам!C1162</f>
      </c>
      <c r="D1157" s="20">
        <f>Разбивка_по_щитам!F1162</f>
      </c>
      <c r="E1157" s="20">
        <f>Разбивка_по_щитам!H1162</f>
      </c>
      <c r="F1157" s="20">
        <f>Разбивка_по_щитам!I1162</f>
      </c>
      <c r="G1157" s="20">
        <f>Разбивка_по_щитам!J1162</f>
      </c>
      <c r="H1157" s="20">
        <f>Разбивка_по_щитам!K1162</f>
      </c>
      <c r="I1157" s="20">
        <f>Разбивка_по_щитам!L1162</f>
      </c>
      <c r="J1157" s="20">
        <f>Разбивка_по_щитам!M1162</f>
      </c>
      <c r="K1157" s="20">
        <f>Разбивка_по_щитам!N1162</f>
      </c>
      <c r="L1157" s="20"/>
      <c r="M1157" s="20">
        <f>Разбивка_по_щитам!P1162</f>
      </c>
      <c r="N1157" s="20"/>
    </row>
    <row r="1158" spans="2:14" x14ac:dyDescent="0.25">
      <c r="B1158" s="20">
        <f>Разбивка_по_щитам!B1163</f>
      </c>
      <c r="C1158" s="20">
        <f>Разбивка_по_щитам!C1163</f>
      </c>
      <c r="D1158" s="20">
        <f>Разбивка_по_щитам!F1163</f>
      </c>
      <c r="E1158" s="20">
        <f>Разбивка_по_щитам!H1163</f>
      </c>
      <c r="F1158" s="20">
        <f>Разбивка_по_щитам!I1163</f>
      </c>
      <c r="G1158" s="20">
        <f>Разбивка_по_щитам!J1163</f>
      </c>
      <c r="H1158" s="20">
        <f>Разбивка_по_щитам!K1163</f>
      </c>
      <c r="I1158" s="20">
        <f>Разбивка_по_щитам!L1163</f>
      </c>
      <c r="J1158" s="20">
        <f>Разбивка_по_щитам!M1163</f>
      </c>
      <c r="K1158" s="20">
        <f>Разбивка_по_щитам!N1163</f>
      </c>
      <c r="L1158" s="20"/>
      <c r="M1158" s="20">
        <f>Разбивка_по_щитам!P1163</f>
      </c>
      <c r="N1158" s="20"/>
    </row>
    <row r="1159" spans="2:14" x14ac:dyDescent="0.25">
      <c r="B1159" s="20">
        <f>Разбивка_по_щитам!B1164</f>
      </c>
      <c r="C1159" s="20">
        <f>Разбивка_по_щитам!C1164</f>
      </c>
      <c r="D1159" s="20">
        <f>Разбивка_по_щитам!F1164</f>
      </c>
      <c r="E1159" s="20">
        <f>Разбивка_по_щитам!H1164</f>
      </c>
      <c r="F1159" s="20">
        <f>Разбивка_по_щитам!I1164</f>
      </c>
      <c r="G1159" s="20">
        <f>Разбивка_по_щитам!J1164</f>
      </c>
      <c r="H1159" s="20">
        <f>Разбивка_по_щитам!K1164</f>
      </c>
      <c r="I1159" s="20">
        <f>Разбивка_по_щитам!L1164</f>
      </c>
      <c r="J1159" s="20">
        <f>Разбивка_по_щитам!M1164</f>
      </c>
      <c r="K1159" s="20">
        <f>Разбивка_по_щитам!N1164</f>
      </c>
      <c r="L1159" s="20"/>
      <c r="M1159" s="20">
        <f>Разбивка_по_щитам!P1164</f>
      </c>
      <c r="N1159" s="20"/>
    </row>
    <row r="1160" spans="2:14" x14ac:dyDescent="0.25">
      <c r="B1160" s="20">
        <f>Разбивка_по_щитам!B1165</f>
      </c>
      <c r="C1160" s="20">
        <f>Разбивка_по_щитам!C1165</f>
      </c>
      <c r="D1160" s="20">
        <f>Разбивка_по_щитам!F1165</f>
      </c>
      <c r="E1160" s="20">
        <f>Разбивка_по_щитам!H1165</f>
      </c>
      <c r="F1160" s="20">
        <f>Разбивка_по_щитам!I1165</f>
      </c>
      <c r="G1160" s="20">
        <f>Разбивка_по_щитам!J1165</f>
      </c>
      <c r="H1160" s="20">
        <f>Разбивка_по_щитам!K1165</f>
      </c>
      <c r="I1160" s="20">
        <f>Разбивка_по_щитам!L1165</f>
      </c>
      <c r="J1160" s="20">
        <f>Разбивка_по_щитам!M1165</f>
      </c>
      <c r="K1160" s="20">
        <f>Разбивка_по_щитам!N1165</f>
      </c>
      <c r="L1160" s="20"/>
      <c r="M1160" s="20">
        <f>Разбивка_по_щитам!P1165</f>
      </c>
      <c r="N1160" s="20"/>
    </row>
    <row r="1161" spans="2:14" x14ac:dyDescent="0.25">
      <c r="B1161" s="20">
        <f>Разбивка_по_щитам!B1166</f>
      </c>
      <c r="C1161" s="20">
        <f>Разбивка_по_щитам!C1166</f>
      </c>
      <c r="D1161" s="20">
        <f>Разбивка_по_щитам!F1166</f>
      </c>
      <c r="E1161" s="20">
        <f>Разбивка_по_щитам!H1166</f>
      </c>
      <c r="F1161" s="20">
        <f>Разбивка_по_щитам!I1166</f>
      </c>
      <c r="G1161" s="20">
        <f>Разбивка_по_щитам!J1166</f>
      </c>
      <c r="H1161" s="20">
        <f>Разбивка_по_щитам!K1166</f>
      </c>
      <c r="I1161" s="20">
        <f>Разбивка_по_щитам!L1166</f>
      </c>
      <c r="J1161" s="20">
        <f>Разбивка_по_щитам!M1166</f>
      </c>
      <c r="K1161" s="20">
        <f>Разбивка_по_щитам!N1166</f>
      </c>
      <c r="L1161" s="20"/>
      <c r="M1161" s="20">
        <f>Разбивка_по_щитам!P1166</f>
      </c>
      <c r="N1161" s="20"/>
    </row>
    <row r="1162" spans="2:14" x14ac:dyDescent="0.25">
      <c r="B1162" s="20">
        <f>Разбивка_по_щитам!B1167</f>
      </c>
      <c r="C1162" s="20">
        <f>Разбивка_по_щитам!C1167</f>
      </c>
      <c r="D1162" s="20">
        <f>Разбивка_по_щитам!F1167</f>
      </c>
      <c r="E1162" s="20">
        <f>Разбивка_по_щитам!H1167</f>
      </c>
      <c r="F1162" s="20">
        <f>Разбивка_по_щитам!I1167</f>
      </c>
      <c r="G1162" s="20">
        <f>Разбивка_по_щитам!J1167</f>
      </c>
      <c r="H1162" s="20">
        <f>Разбивка_по_щитам!K1167</f>
      </c>
      <c r="I1162" s="20">
        <f>Разбивка_по_щитам!L1167</f>
      </c>
      <c r="J1162" s="20">
        <f>Разбивка_по_щитам!M1167</f>
      </c>
      <c r="K1162" s="20">
        <f>Разбивка_по_щитам!N1167</f>
      </c>
      <c r="L1162" s="20"/>
      <c r="M1162" s="20">
        <f>Разбивка_по_щитам!P1167</f>
      </c>
      <c r="N1162" s="20"/>
    </row>
    <row r="1163" spans="2:14" x14ac:dyDescent="0.25">
      <c r="B1163" s="20">
        <f>Разбивка_по_щитам!B1168</f>
      </c>
      <c r="C1163" s="20">
        <f>Разбивка_по_щитам!C1168</f>
      </c>
      <c r="D1163" s="20">
        <f>Разбивка_по_щитам!F1168</f>
      </c>
      <c r="E1163" s="20">
        <f>Разбивка_по_щитам!H1168</f>
      </c>
      <c r="F1163" s="20">
        <f>Разбивка_по_щитам!I1168</f>
      </c>
      <c r="G1163" s="20">
        <f>Разбивка_по_щитам!J1168</f>
      </c>
      <c r="H1163" s="20">
        <f>Разбивка_по_щитам!K1168</f>
      </c>
      <c r="I1163" s="20">
        <f>Разбивка_по_щитам!L1168</f>
      </c>
      <c r="J1163" s="20">
        <f>Разбивка_по_щитам!M1168</f>
      </c>
      <c r="K1163" s="20">
        <f>Разбивка_по_щитам!N1168</f>
      </c>
      <c r="L1163" s="20"/>
      <c r="M1163" s="20">
        <f>Разбивка_по_щитам!P1168</f>
      </c>
      <c r="N1163" s="20"/>
    </row>
    <row r="1164" spans="2:14" x14ac:dyDescent="0.25">
      <c r="B1164" s="20">
        <f>Разбивка_по_щитам!B1169</f>
      </c>
      <c r="C1164" s="20">
        <f>Разбивка_по_щитам!C1169</f>
      </c>
      <c r="D1164" s="20">
        <f>Разбивка_по_щитам!F1169</f>
      </c>
      <c r="E1164" s="20">
        <f>Разбивка_по_щитам!H1169</f>
      </c>
      <c r="F1164" s="20">
        <f>Разбивка_по_щитам!I1169</f>
      </c>
      <c r="G1164" s="20">
        <f>Разбивка_по_щитам!J1169</f>
      </c>
      <c r="H1164" s="20">
        <f>Разбивка_по_щитам!K1169</f>
      </c>
      <c r="I1164" s="20">
        <f>Разбивка_по_щитам!L1169</f>
      </c>
      <c r="J1164" s="20">
        <f>Разбивка_по_щитам!M1169</f>
      </c>
      <c r="K1164" s="20">
        <f>Разбивка_по_щитам!N1169</f>
      </c>
      <c r="L1164" s="20"/>
      <c r="M1164" s="20">
        <f>Разбивка_по_щитам!P1169</f>
      </c>
      <c r="N1164" s="20"/>
    </row>
    <row r="1165" spans="2:14" x14ac:dyDescent="0.25">
      <c r="B1165" s="20">
        <f>Разбивка_по_щитам!B1170</f>
      </c>
      <c r="C1165" s="20">
        <f>Разбивка_по_щитам!C1170</f>
      </c>
      <c r="D1165" s="20">
        <f>Разбивка_по_щитам!F1170</f>
      </c>
      <c r="E1165" s="20">
        <f>Разбивка_по_щитам!H1170</f>
      </c>
      <c r="F1165" s="20">
        <f>Разбивка_по_щитам!I1170</f>
      </c>
      <c r="G1165" s="20">
        <f>Разбивка_по_щитам!J1170</f>
      </c>
      <c r="H1165" s="20">
        <f>Разбивка_по_щитам!K1170</f>
      </c>
      <c r="I1165" s="20">
        <f>Разбивка_по_щитам!L1170</f>
      </c>
      <c r="J1165" s="20">
        <f>Разбивка_по_щитам!M1170</f>
      </c>
      <c r="K1165" s="20">
        <f>Разбивка_по_щитам!N1170</f>
      </c>
      <c r="L1165" s="20"/>
      <c r="M1165" s="20">
        <f>Разбивка_по_щитам!P1170</f>
      </c>
      <c r="N1165" s="20"/>
    </row>
    <row r="1166" spans="2:14" x14ac:dyDescent="0.25">
      <c r="B1166" s="20">
        <f>Разбивка_по_щитам!B1171</f>
      </c>
      <c r="C1166" s="20">
        <f>Разбивка_по_щитам!C1171</f>
      </c>
      <c r="D1166" s="20">
        <f>Разбивка_по_щитам!F1171</f>
      </c>
      <c r="E1166" s="20">
        <f>Разбивка_по_щитам!H1171</f>
      </c>
      <c r="F1166" s="20">
        <f>Разбивка_по_щитам!I1171</f>
      </c>
      <c r="G1166" s="20">
        <f>Разбивка_по_щитам!J1171</f>
      </c>
      <c r="H1166" s="20">
        <f>Разбивка_по_щитам!K1171</f>
      </c>
      <c r="I1166" s="20">
        <f>Разбивка_по_щитам!L1171</f>
      </c>
      <c r="J1166" s="20">
        <f>Разбивка_по_щитам!M1171</f>
      </c>
      <c r="K1166" s="20">
        <f>Разбивка_по_щитам!N1171</f>
      </c>
      <c r="L1166" s="20"/>
      <c r="M1166" s="20">
        <f>Разбивка_по_щитам!P1171</f>
      </c>
      <c r="N1166" s="20"/>
    </row>
    <row r="1167" spans="2:14" x14ac:dyDescent="0.25">
      <c r="B1167" s="20">
        <f>Разбивка_по_щитам!B1172</f>
      </c>
      <c r="C1167" s="20">
        <f>Разбивка_по_щитам!C1172</f>
      </c>
      <c r="D1167" s="20">
        <f>Разбивка_по_щитам!F1172</f>
      </c>
      <c r="E1167" s="20">
        <f>Разбивка_по_щитам!H1172</f>
      </c>
      <c r="F1167" s="20">
        <f>Разбивка_по_щитам!I1172</f>
      </c>
      <c r="G1167" s="20">
        <f>Разбивка_по_щитам!J1172</f>
      </c>
      <c r="H1167" s="20">
        <f>Разбивка_по_щитам!K1172</f>
      </c>
      <c r="I1167" s="20">
        <f>Разбивка_по_щитам!L1172</f>
      </c>
      <c r="J1167" s="20">
        <f>Разбивка_по_щитам!M1172</f>
      </c>
      <c r="K1167" s="20">
        <f>Разбивка_по_щитам!N1172</f>
      </c>
      <c r="L1167" s="20"/>
      <c r="M1167" s="20">
        <f>Разбивка_по_щитам!P1172</f>
      </c>
      <c r="N1167" s="20"/>
    </row>
    <row r="1168" spans="2:14" x14ac:dyDescent="0.25">
      <c r="B1168" s="20">
        <f>Разбивка_по_щитам!B1173</f>
      </c>
      <c r="C1168" s="20">
        <f>Разбивка_по_щитам!C1173</f>
      </c>
      <c r="D1168" s="20">
        <f>Разбивка_по_щитам!F1173</f>
      </c>
      <c r="E1168" s="20">
        <f>Разбивка_по_щитам!H1173</f>
      </c>
      <c r="F1168" s="20">
        <f>Разбивка_по_щитам!I1173</f>
      </c>
      <c r="G1168" s="20">
        <f>Разбивка_по_щитам!J1173</f>
      </c>
      <c r="H1168" s="20">
        <f>Разбивка_по_щитам!K1173</f>
      </c>
      <c r="I1168" s="20">
        <f>Разбивка_по_щитам!L1173</f>
      </c>
      <c r="J1168" s="20">
        <f>Разбивка_по_щитам!M1173</f>
      </c>
      <c r="K1168" s="20">
        <f>Разбивка_по_щитам!N1173</f>
      </c>
      <c r="L1168" s="20"/>
      <c r="M1168" s="20">
        <f>Разбивка_по_щитам!P1173</f>
      </c>
      <c r="N1168" s="20"/>
    </row>
    <row r="1169" spans="2:14" x14ac:dyDescent="0.25">
      <c r="B1169" s="20">
        <f>Разбивка_по_щитам!B1174</f>
      </c>
      <c r="C1169" s="20">
        <f>Разбивка_по_щитам!C1174</f>
      </c>
      <c r="D1169" s="20">
        <f>Разбивка_по_щитам!F1174</f>
      </c>
      <c r="E1169" s="20">
        <f>Разбивка_по_щитам!H1174</f>
      </c>
      <c r="F1169" s="20">
        <f>Разбивка_по_щитам!I1174</f>
      </c>
      <c r="G1169" s="20">
        <f>Разбивка_по_щитам!J1174</f>
      </c>
      <c r="H1169" s="20">
        <f>Разбивка_по_щитам!K1174</f>
      </c>
      <c r="I1169" s="20">
        <f>Разбивка_по_щитам!L1174</f>
      </c>
      <c r="J1169" s="20">
        <f>Разбивка_по_щитам!M1174</f>
      </c>
      <c r="K1169" s="20">
        <f>Разбивка_по_щитам!N1174</f>
      </c>
      <c r="L1169" s="20"/>
      <c r="M1169" s="20">
        <f>Разбивка_по_щитам!P1174</f>
      </c>
      <c r="N1169" s="20"/>
    </row>
    <row r="1170" spans="2:14" x14ac:dyDescent="0.25">
      <c r="B1170" s="20">
        <f>Разбивка_по_щитам!B1175</f>
      </c>
      <c r="C1170" s="20">
        <f>Разбивка_по_щитам!C1175</f>
      </c>
      <c r="D1170" s="20">
        <f>Разбивка_по_щитам!F1175</f>
      </c>
      <c r="E1170" s="20">
        <f>Разбивка_по_щитам!H1175</f>
      </c>
      <c r="F1170" s="20">
        <f>Разбивка_по_щитам!I1175</f>
      </c>
      <c r="G1170" s="20">
        <f>Разбивка_по_щитам!J1175</f>
      </c>
      <c r="H1170" s="20">
        <f>Разбивка_по_щитам!K1175</f>
      </c>
      <c r="I1170" s="20">
        <f>Разбивка_по_щитам!L1175</f>
      </c>
      <c r="J1170" s="20">
        <f>Разбивка_по_щитам!M1175</f>
      </c>
      <c r="K1170" s="20">
        <f>Разбивка_по_щитам!N1175</f>
      </c>
      <c r="L1170" s="20"/>
      <c r="M1170" s="20">
        <f>Разбивка_по_щитам!P1175</f>
      </c>
      <c r="N1170" s="20"/>
    </row>
    <row r="1171" spans="2:14" x14ac:dyDescent="0.25">
      <c r="B1171" s="20">
        <f>Разбивка_по_щитам!B1176</f>
      </c>
      <c r="C1171" s="20">
        <f>Разбивка_по_щитам!C1176</f>
      </c>
      <c r="D1171" s="20">
        <f>Разбивка_по_щитам!F1176</f>
      </c>
      <c r="E1171" s="20">
        <f>Разбивка_по_щитам!H1176</f>
      </c>
      <c r="F1171" s="20">
        <f>Разбивка_по_щитам!I1176</f>
      </c>
      <c r="G1171" s="20">
        <f>Разбивка_по_щитам!J1176</f>
      </c>
      <c r="H1171" s="20">
        <f>Разбивка_по_щитам!K1176</f>
      </c>
      <c r="I1171" s="20">
        <f>Разбивка_по_щитам!L1176</f>
      </c>
      <c r="J1171" s="20">
        <f>Разбивка_по_щитам!M1176</f>
      </c>
      <c r="K1171" s="20">
        <f>Разбивка_по_щитам!N1176</f>
      </c>
      <c r="L1171" s="20"/>
      <c r="M1171" s="20">
        <f>Разбивка_по_щитам!P1176</f>
      </c>
      <c r="N1171" s="20"/>
    </row>
    <row r="1172" spans="2:14" x14ac:dyDescent="0.25">
      <c r="B1172" s="20">
        <f>Разбивка_по_щитам!B1177</f>
      </c>
      <c r="C1172" s="20">
        <f>Разбивка_по_щитам!C1177</f>
      </c>
      <c r="D1172" s="20">
        <f>Разбивка_по_щитам!F1177</f>
      </c>
      <c r="E1172" s="20">
        <f>Разбивка_по_щитам!H1177</f>
      </c>
      <c r="F1172" s="20">
        <f>Разбивка_по_щитам!I1177</f>
      </c>
      <c r="G1172" s="20">
        <f>Разбивка_по_щитам!J1177</f>
      </c>
      <c r="H1172" s="20">
        <f>Разбивка_по_щитам!K1177</f>
      </c>
      <c r="I1172" s="20">
        <f>Разбивка_по_щитам!L1177</f>
      </c>
      <c r="J1172" s="20">
        <f>Разбивка_по_щитам!M1177</f>
      </c>
      <c r="K1172" s="20">
        <f>Разбивка_по_щитам!N1177</f>
      </c>
      <c r="L1172" s="20"/>
      <c r="M1172" s="20">
        <f>Разбивка_по_щитам!P1177</f>
      </c>
      <c r="N1172" s="20"/>
    </row>
    <row r="1173" spans="2:14" x14ac:dyDescent="0.25">
      <c r="B1173" s="20">
        <f>Разбивка_по_щитам!B1178</f>
      </c>
      <c r="C1173" s="20">
        <f>Разбивка_по_щитам!C1178</f>
      </c>
      <c r="D1173" s="20">
        <f>Разбивка_по_щитам!F1178</f>
      </c>
      <c r="E1173" s="20">
        <f>Разбивка_по_щитам!H1178</f>
      </c>
      <c r="F1173" s="20">
        <f>Разбивка_по_щитам!I1178</f>
      </c>
      <c r="G1173" s="20">
        <f>Разбивка_по_щитам!J1178</f>
      </c>
      <c r="H1173" s="20">
        <f>Разбивка_по_щитам!K1178</f>
      </c>
      <c r="I1173" s="20">
        <f>Разбивка_по_щитам!L1178</f>
      </c>
      <c r="J1173" s="20">
        <f>Разбивка_по_щитам!M1178</f>
      </c>
      <c r="K1173" s="20">
        <f>Разбивка_по_щитам!N1178</f>
      </c>
      <c r="L1173" s="20"/>
      <c r="M1173" s="20">
        <f>Разбивка_по_щитам!P1178</f>
      </c>
      <c r="N1173" s="20"/>
    </row>
    <row r="1174" spans="2:14" x14ac:dyDescent="0.25">
      <c r="B1174" s="20">
        <f>Разбивка_по_щитам!B1179</f>
      </c>
      <c r="C1174" s="20">
        <f>Разбивка_по_щитам!C1179</f>
      </c>
      <c r="D1174" s="20">
        <f>Разбивка_по_щитам!F1179</f>
      </c>
      <c r="E1174" s="20">
        <f>Разбивка_по_щитам!H1179</f>
      </c>
      <c r="F1174" s="20">
        <f>Разбивка_по_щитам!I1179</f>
      </c>
      <c r="G1174" s="20">
        <f>Разбивка_по_щитам!J1179</f>
      </c>
      <c r="H1174" s="20">
        <f>Разбивка_по_щитам!K1179</f>
      </c>
      <c r="I1174" s="20">
        <f>Разбивка_по_щитам!L1179</f>
      </c>
      <c r="J1174" s="20">
        <f>Разбивка_по_щитам!M1179</f>
      </c>
      <c r="K1174" s="20">
        <f>Разбивка_по_щитам!N1179</f>
      </c>
      <c r="L1174" s="20"/>
      <c r="M1174" s="20">
        <f>Разбивка_по_щитам!P1179</f>
      </c>
      <c r="N1174" s="20"/>
    </row>
    <row r="1175" spans="2:14" x14ac:dyDescent="0.25">
      <c r="B1175" s="20">
        <f>Разбивка_по_щитам!B1180</f>
      </c>
      <c r="C1175" s="20">
        <f>Разбивка_по_щитам!C1180</f>
      </c>
      <c r="D1175" s="20">
        <f>Разбивка_по_щитам!F1180</f>
      </c>
      <c r="E1175" s="20">
        <f>Разбивка_по_щитам!H1180</f>
      </c>
      <c r="F1175" s="20">
        <f>Разбивка_по_щитам!I1180</f>
      </c>
      <c r="G1175" s="20">
        <f>Разбивка_по_щитам!J1180</f>
      </c>
      <c r="H1175" s="20">
        <f>Разбивка_по_щитам!K1180</f>
      </c>
      <c r="I1175" s="20">
        <f>Разбивка_по_щитам!L1180</f>
      </c>
      <c r="J1175" s="20">
        <f>Разбивка_по_щитам!M1180</f>
      </c>
      <c r="K1175" s="20">
        <f>Разбивка_по_щитам!N1180</f>
      </c>
      <c r="L1175" s="20"/>
      <c r="M1175" s="20">
        <f>Разбивка_по_щитам!P1180</f>
      </c>
      <c r="N1175" s="20"/>
    </row>
    <row r="1176" spans="2:14" x14ac:dyDescent="0.25">
      <c r="B1176" s="20">
        <f>Разбивка_по_щитам!B1181</f>
      </c>
      <c r="C1176" s="20">
        <f>Разбивка_по_щитам!C1181</f>
      </c>
      <c r="D1176" s="20">
        <f>Разбивка_по_щитам!F1181</f>
      </c>
      <c r="E1176" s="20">
        <f>Разбивка_по_щитам!H1181</f>
      </c>
      <c r="F1176" s="20">
        <f>Разбивка_по_щитам!I1181</f>
      </c>
      <c r="G1176" s="20">
        <f>Разбивка_по_щитам!J1181</f>
      </c>
      <c r="H1176" s="20">
        <f>Разбивка_по_щитам!K1181</f>
      </c>
      <c r="I1176" s="20">
        <f>Разбивка_по_щитам!L1181</f>
      </c>
      <c r="J1176" s="20">
        <f>Разбивка_по_щитам!M1181</f>
      </c>
      <c r="K1176" s="20">
        <f>Разбивка_по_щитам!N1181</f>
      </c>
      <c r="L1176" s="20"/>
      <c r="M1176" s="20">
        <f>Разбивка_по_щитам!P1181</f>
      </c>
      <c r="N1176" s="20"/>
    </row>
    <row r="1177" spans="2:14" x14ac:dyDescent="0.25">
      <c r="B1177" s="20">
        <f>Разбивка_по_щитам!B1182</f>
      </c>
      <c r="C1177" s="20">
        <f>Разбивка_по_щитам!C1182</f>
      </c>
      <c r="D1177" s="20">
        <f>Разбивка_по_щитам!F1182</f>
      </c>
      <c r="E1177" s="20">
        <f>Разбивка_по_щитам!H1182</f>
      </c>
      <c r="F1177" s="20">
        <f>Разбивка_по_щитам!I1182</f>
      </c>
      <c r="G1177" s="20">
        <f>Разбивка_по_щитам!J1182</f>
      </c>
      <c r="H1177" s="20">
        <f>Разбивка_по_щитам!K1182</f>
      </c>
      <c r="I1177" s="20">
        <f>Разбивка_по_щитам!L1182</f>
      </c>
      <c r="J1177" s="20">
        <f>Разбивка_по_щитам!M1182</f>
      </c>
      <c r="K1177" s="20">
        <f>Разбивка_по_щитам!N1182</f>
      </c>
      <c r="L1177" s="20"/>
      <c r="M1177" s="20">
        <f>Разбивка_по_щитам!P1182</f>
      </c>
      <c r="N1177" s="20"/>
    </row>
    <row r="1178" spans="2:14" x14ac:dyDescent="0.25">
      <c r="B1178" s="20">
        <f>Разбивка_по_щитам!B1183</f>
      </c>
      <c r="C1178" s="20">
        <f>Разбивка_по_щитам!C1183</f>
      </c>
      <c r="D1178" s="20">
        <f>Разбивка_по_щитам!F1183</f>
      </c>
      <c r="E1178" s="20">
        <f>Разбивка_по_щитам!H1183</f>
      </c>
      <c r="F1178" s="20">
        <f>Разбивка_по_щитам!I1183</f>
      </c>
      <c r="G1178" s="20">
        <f>Разбивка_по_щитам!J1183</f>
      </c>
      <c r="H1178" s="20">
        <f>Разбивка_по_щитам!K1183</f>
      </c>
      <c r="I1178" s="20">
        <f>Разбивка_по_щитам!L1183</f>
      </c>
      <c r="J1178" s="20">
        <f>Разбивка_по_щитам!M1183</f>
      </c>
      <c r="K1178" s="20">
        <f>Разбивка_по_щитам!N1183</f>
      </c>
      <c r="L1178" s="20"/>
      <c r="M1178" s="20">
        <f>Разбивка_по_щитам!P1183</f>
      </c>
      <c r="N1178" s="20"/>
    </row>
    <row r="1179" spans="2:14" x14ac:dyDescent="0.25">
      <c r="B1179" s="20">
        <f>Разбивка_по_щитам!B1184</f>
      </c>
      <c r="C1179" s="20">
        <f>Разбивка_по_щитам!C1184</f>
      </c>
      <c r="D1179" s="20">
        <f>Разбивка_по_щитам!F1184</f>
      </c>
      <c r="E1179" s="20">
        <f>Разбивка_по_щитам!H1184</f>
      </c>
      <c r="F1179" s="20">
        <f>Разбивка_по_щитам!I1184</f>
      </c>
      <c r="G1179" s="20">
        <f>Разбивка_по_щитам!J1184</f>
      </c>
      <c r="H1179" s="20">
        <f>Разбивка_по_щитам!K1184</f>
      </c>
      <c r="I1179" s="20">
        <f>Разбивка_по_щитам!L1184</f>
      </c>
      <c r="J1179" s="20">
        <f>Разбивка_по_щитам!M1184</f>
      </c>
      <c r="K1179" s="20">
        <f>Разбивка_по_щитам!N1184</f>
      </c>
      <c r="L1179" s="20"/>
      <c r="M1179" s="20">
        <f>Разбивка_по_щитам!P1184</f>
      </c>
      <c r="N1179" s="20"/>
    </row>
    <row r="1180" spans="2:14" x14ac:dyDescent="0.25">
      <c r="B1180" s="20">
        <f>Разбивка_по_щитам!B1185</f>
      </c>
      <c r="C1180" s="20">
        <f>Разбивка_по_щитам!C1185</f>
      </c>
      <c r="D1180" s="20">
        <f>Разбивка_по_щитам!F1185</f>
      </c>
      <c r="E1180" s="20">
        <f>Разбивка_по_щитам!H1185</f>
      </c>
      <c r="F1180" s="20">
        <f>Разбивка_по_щитам!I1185</f>
      </c>
      <c r="G1180" s="20">
        <f>Разбивка_по_щитам!J1185</f>
      </c>
      <c r="H1180" s="20">
        <f>Разбивка_по_щитам!K1185</f>
      </c>
      <c r="I1180" s="20">
        <f>Разбивка_по_щитам!L1185</f>
      </c>
      <c r="J1180" s="20">
        <f>Разбивка_по_щитам!M1185</f>
      </c>
      <c r="K1180" s="20">
        <f>Разбивка_по_щитам!N1185</f>
      </c>
      <c r="L1180" s="20"/>
      <c r="M1180" s="20">
        <f>Разбивка_по_щитам!P1185</f>
      </c>
      <c r="N1180" s="20"/>
    </row>
    <row r="1181" spans="2:14" x14ac:dyDescent="0.25">
      <c r="B1181" s="20">
        <f>Разбивка_по_щитам!B1186</f>
      </c>
      <c r="C1181" s="20">
        <f>Разбивка_по_щитам!C1186</f>
      </c>
      <c r="D1181" s="20">
        <f>Разбивка_по_щитам!F1186</f>
      </c>
      <c r="E1181" s="20">
        <f>Разбивка_по_щитам!H1186</f>
      </c>
      <c r="F1181" s="20">
        <f>Разбивка_по_щитам!I1186</f>
      </c>
      <c r="G1181" s="20">
        <f>Разбивка_по_щитам!J1186</f>
      </c>
      <c r="H1181" s="20">
        <f>Разбивка_по_щитам!K1186</f>
      </c>
      <c r="I1181" s="20">
        <f>Разбивка_по_щитам!L1186</f>
      </c>
      <c r="J1181" s="20">
        <f>Разбивка_по_щитам!M1186</f>
      </c>
      <c r="K1181" s="20">
        <f>Разбивка_по_щитам!N1186</f>
      </c>
      <c r="L1181" s="20"/>
      <c r="M1181" s="20">
        <f>Разбивка_по_щитам!P1186</f>
      </c>
      <c r="N1181" s="20"/>
    </row>
    <row r="1182" spans="2:14" x14ac:dyDescent="0.25">
      <c r="B1182" s="20">
        <f>Разбивка_по_щитам!B1187</f>
      </c>
      <c r="C1182" s="20">
        <f>Разбивка_по_щитам!C1187</f>
      </c>
      <c r="D1182" s="20">
        <f>Разбивка_по_щитам!F1187</f>
      </c>
      <c r="E1182" s="20">
        <f>Разбивка_по_щитам!H1187</f>
      </c>
      <c r="F1182" s="20">
        <f>Разбивка_по_щитам!I1187</f>
      </c>
      <c r="G1182" s="20">
        <f>Разбивка_по_щитам!J1187</f>
      </c>
      <c r="H1182" s="20">
        <f>Разбивка_по_щитам!K1187</f>
      </c>
      <c r="I1182" s="20">
        <f>Разбивка_по_щитам!L1187</f>
      </c>
      <c r="J1182" s="20">
        <f>Разбивка_по_щитам!M1187</f>
      </c>
      <c r="K1182" s="20">
        <f>Разбивка_по_щитам!N1187</f>
      </c>
      <c r="L1182" s="20"/>
      <c r="M1182" s="20">
        <f>Разбивка_по_щитам!P1187</f>
      </c>
      <c r="N1182" s="20"/>
    </row>
    <row r="1183" spans="2:14" x14ac:dyDescent="0.25">
      <c r="B1183" s="20">
        <f>Разбивка_по_щитам!B1188</f>
      </c>
      <c r="C1183" s="20">
        <f>Разбивка_по_щитам!C1188</f>
      </c>
      <c r="D1183" s="20">
        <f>Разбивка_по_щитам!F1188</f>
      </c>
      <c r="E1183" s="20">
        <f>Разбивка_по_щитам!H1188</f>
      </c>
      <c r="F1183" s="20">
        <f>Разбивка_по_щитам!I1188</f>
      </c>
      <c r="G1183" s="20">
        <f>Разбивка_по_щитам!J1188</f>
      </c>
      <c r="H1183" s="20">
        <f>Разбивка_по_щитам!K1188</f>
      </c>
      <c r="I1183" s="20">
        <f>Разбивка_по_щитам!L1188</f>
      </c>
      <c r="J1183" s="20">
        <f>Разбивка_по_щитам!M1188</f>
      </c>
      <c r="K1183" s="20">
        <f>Разбивка_по_щитам!N1188</f>
      </c>
      <c r="L1183" s="20"/>
      <c r="M1183" s="20">
        <f>Разбивка_по_щитам!P1188</f>
      </c>
      <c r="N1183" s="20"/>
    </row>
    <row r="1184" spans="2:14" x14ac:dyDescent="0.25">
      <c r="B1184" s="20">
        <f>Разбивка_по_щитам!B1189</f>
      </c>
      <c r="C1184" s="20">
        <f>Разбивка_по_щитам!C1189</f>
      </c>
      <c r="D1184" s="20">
        <f>Разбивка_по_щитам!F1189</f>
      </c>
      <c r="E1184" s="20">
        <f>Разбивка_по_щитам!H1189</f>
      </c>
      <c r="F1184" s="20">
        <f>Разбивка_по_щитам!I1189</f>
      </c>
      <c r="G1184" s="20">
        <f>Разбивка_по_щитам!J1189</f>
      </c>
      <c r="H1184" s="20">
        <f>Разбивка_по_щитам!K1189</f>
      </c>
      <c r="I1184" s="20">
        <f>Разбивка_по_щитам!L1189</f>
      </c>
      <c r="J1184" s="20">
        <f>Разбивка_по_щитам!M1189</f>
      </c>
      <c r="K1184" s="20">
        <f>Разбивка_по_щитам!N1189</f>
      </c>
      <c r="L1184" s="20"/>
      <c r="M1184" s="20">
        <f>Разбивка_по_щитам!P1189</f>
      </c>
      <c r="N1184" s="20"/>
    </row>
    <row r="1185" spans="2:14" x14ac:dyDescent="0.25">
      <c r="B1185" s="20">
        <f>Разбивка_по_щитам!B1190</f>
      </c>
      <c r="C1185" s="20">
        <f>Разбивка_по_щитам!C1190</f>
      </c>
      <c r="D1185" s="20">
        <f>Разбивка_по_щитам!F1190</f>
      </c>
      <c r="E1185" s="20">
        <f>Разбивка_по_щитам!H1190</f>
      </c>
      <c r="F1185" s="20">
        <f>Разбивка_по_щитам!I1190</f>
      </c>
      <c r="G1185" s="20">
        <f>Разбивка_по_щитам!J1190</f>
      </c>
      <c r="H1185" s="20">
        <f>Разбивка_по_щитам!K1190</f>
      </c>
      <c r="I1185" s="20">
        <f>Разбивка_по_щитам!L1190</f>
      </c>
      <c r="J1185" s="20">
        <f>Разбивка_по_щитам!M1190</f>
      </c>
      <c r="K1185" s="20">
        <f>Разбивка_по_щитам!N1190</f>
      </c>
      <c r="L1185" s="20"/>
      <c r="M1185" s="20">
        <f>Разбивка_по_щитам!P1190</f>
      </c>
      <c r="N1185" s="20"/>
    </row>
    <row r="1186" spans="2:14" x14ac:dyDescent="0.25">
      <c r="B1186" s="20">
        <f>Разбивка_по_щитам!B1191</f>
      </c>
      <c r="C1186" s="20">
        <f>Разбивка_по_щитам!C1191</f>
      </c>
      <c r="D1186" s="20">
        <f>Разбивка_по_щитам!F1191</f>
      </c>
      <c r="E1186" s="20">
        <f>Разбивка_по_щитам!H1191</f>
      </c>
      <c r="F1186" s="20">
        <f>Разбивка_по_щитам!I1191</f>
      </c>
      <c r="G1186" s="20">
        <f>Разбивка_по_щитам!J1191</f>
      </c>
      <c r="H1186" s="20">
        <f>Разбивка_по_щитам!K1191</f>
      </c>
      <c r="I1186" s="20">
        <f>Разбивка_по_щитам!L1191</f>
      </c>
      <c r="J1186" s="20">
        <f>Разбивка_по_щитам!M1191</f>
      </c>
      <c r="K1186" s="20">
        <f>Разбивка_по_щитам!N1191</f>
      </c>
      <c r="L1186" s="20"/>
      <c r="M1186" s="20">
        <f>Разбивка_по_щитам!P1191</f>
      </c>
      <c r="N1186" s="20"/>
    </row>
    <row r="1187" spans="2:14" x14ac:dyDescent="0.25">
      <c r="B1187" s="20">
        <f>Разбивка_по_щитам!B1192</f>
      </c>
      <c r="C1187" s="20">
        <f>Разбивка_по_щитам!C1192</f>
      </c>
      <c r="D1187" s="20">
        <f>Разбивка_по_щитам!F1192</f>
      </c>
      <c r="E1187" s="20">
        <f>Разбивка_по_щитам!H1192</f>
      </c>
      <c r="F1187" s="20">
        <f>Разбивка_по_щитам!I1192</f>
      </c>
      <c r="G1187" s="20">
        <f>Разбивка_по_щитам!J1192</f>
      </c>
      <c r="H1187" s="20">
        <f>Разбивка_по_щитам!K1192</f>
      </c>
      <c r="I1187" s="20">
        <f>Разбивка_по_щитам!L1192</f>
      </c>
      <c r="J1187" s="20">
        <f>Разбивка_по_щитам!M1192</f>
      </c>
      <c r="K1187" s="20">
        <f>Разбивка_по_щитам!N1192</f>
      </c>
      <c r="L1187" s="20"/>
      <c r="M1187" s="20">
        <f>Разбивка_по_щитам!P1192</f>
      </c>
      <c r="N1187" s="20"/>
    </row>
    <row r="1188" spans="2:14" x14ac:dyDescent="0.25">
      <c r="B1188" s="20">
        <f>Разбивка_по_щитам!B1193</f>
      </c>
      <c r="C1188" s="20">
        <f>Разбивка_по_щитам!C1193</f>
      </c>
      <c r="D1188" s="20">
        <f>Разбивка_по_щитам!F1193</f>
      </c>
      <c r="E1188" s="20">
        <f>Разбивка_по_щитам!H1193</f>
      </c>
      <c r="F1188" s="20">
        <f>Разбивка_по_щитам!I1193</f>
      </c>
      <c r="G1188" s="20">
        <f>Разбивка_по_щитам!J1193</f>
      </c>
      <c r="H1188" s="20">
        <f>Разбивка_по_щитам!K1193</f>
      </c>
      <c r="I1188" s="20">
        <f>Разбивка_по_щитам!L1193</f>
      </c>
      <c r="J1188" s="20">
        <f>Разбивка_по_щитам!M1193</f>
      </c>
      <c r="K1188" s="20">
        <f>Разбивка_по_щитам!N1193</f>
      </c>
      <c r="L1188" s="20"/>
      <c r="M1188" s="20">
        <f>Разбивка_по_щитам!P1193</f>
      </c>
      <c r="N1188" s="20"/>
    </row>
    <row r="1189" spans="2:14" x14ac:dyDescent="0.25">
      <c r="B1189" s="20">
        <f>Разбивка_по_щитам!B1194</f>
      </c>
      <c r="C1189" s="20">
        <f>Разбивка_по_щитам!C1194</f>
      </c>
      <c r="D1189" s="20">
        <f>Разбивка_по_щитам!F1194</f>
      </c>
      <c r="E1189" s="20">
        <f>Разбивка_по_щитам!H1194</f>
      </c>
      <c r="F1189" s="20">
        <f>Разбивка_по_щитам!I1194</f>
      </c>
      <c r="G1189" s="20">
        <f>Разбивка_по_щитам!J1194</f>
      </c>
      <c r="H1189" s="20">
        <f>Разбивка_по_щитам!K1194</f>
      </c>
      <c r="I1189" s="20">
        <f>Разбивка_по_щитам!L1194</f>
      </c>
      <c r="J1189" s="20">
        <f>Разбивка_по_щитам!M1194</f>
      </c>
      <c r="K1189" s="20">
        <f>Разбивка_по_щитам!N1194</f>
      </c>
      <c r="L1189" s="20"/>
      <c r="M1189" s="20">
        <f>Разбивка_по_щитам!P1194</f>
      </c>
      <c r="N1189" s="20"/>
    </row>
    <row r="1190" spans="2:14" x14ac:dyDescent="0.25">
      <c r="B1190" s="20">
        <f>Разбивка_по_щитам!B1195</f>
      </c>
      <c r="C1190" s="20">
        <f>Разбивка_по_щитам!C1195</f>
      </c>
      <c r="D1190" s="20">
        <f>Разбивка_по_щитам!F1195</f>
      </c>
      <c r="E1190" s="20">
        <f>Разбивка_по_щитам!H1195</f>
      </c>
      <c r="F1190" s="20">
        <f>Разбивка_по_щитам!I1195</f>
      </c>
      <c r="G1190" s="20">
        <f>Разбивка_по_щитам!J1195</f>
      </c>
      <c r="H1190" s="20">
        <f>Разбивка_по_щитам!K1195</f>
      </c>
      <c r="I1190" s="20">
        <f>Разбивка_по_щитам!L1195</f>
      </c>
      <c r="J1190" s="20">
        <f>Разбивка_по_щитам!M1195</f>
      </c>
      <c r="K1190" s="20">
        <f>Разбивка_по_щитам!N1195</f>
      </c>
      <c r="L1190" s="20"/>
      <c r="M1190" s="20">
        <f>Разбивка_по_щитам!P1195</f>
      </c>
      <c r="N1190" s="20"/>
    </row>
    <row r="1191" spans="2:14" x14ac:dyDescent="0.25">
      <c r="B1191" s="20">
        <f>Разбивка_по_щитам!B1196</f>
      </c>
      <c r="C1191" s="20">
        <f>Разбивка_по_щитам!C1196</f>
      </c>
      <c r="D1191" s="20">
        <f>Разбивка_по_щитам!F1196</f>
      </c>
      <c r="E1191" s="20">
        <f>Разбивка_по_щитам!H1196</f>
      </c>
      <c r="F1191" s="20">
        <f>Разбивка_по_щитам!I1196</f>
      </c>
      <c r="G1191" s="20">
        <f>Разбивка_по_щитам!J1196</f>
      </c>
      <c r="H1191" s="20">
        <f>Разбивка_по_щитам!K1196</f>
      </c>
      <c r="I1191" s="20">
        <f>Разбивка_по_щитам!L1196</f>
      </c>
      <c r="J1191" s="20">
        <f>Разбивка_по_щитам!M1196</f>
      </c>
      <c r="K1191" s="20">
        <f>Разбивка_по_щитам!N1196</f>
      </c>
      <c r="L1191" s="20"/>
      <c r="M1191" s="20">
        <f>Разбивка_по_щитам!P1196</f>
      </c>
      <c r="N1191" s="20"/>
    </row>
    <row r="1192" spans="2:14" x14ac:dyDescent="0.25">
      <c r="B1192" s="20">
        <f>Разбивка_по_щитам!B1197</f>
      </c>
      <c r="C1192" s="20">
        <f>Разбивка_по_щитам!C1197</f>
      </c>
      <c r="D1192" s="20">
        <f>Разбивка_по_щитам!F1197</f>
      </c>
      <c r="E1192" s="20">
        <f>Разбивка_по_щитам!H1197</f>
      </c>
      <c r="F1192" s="20">
        <f>Разбивка_по_щитам!I1197</f>
      </c>
      <c r="G1192" s="20">
        <f>Разбивка_по_щитам!J1197</f>
      </c>
      <c r="H1192" s="20">
        <f>Разбивка_по_щитам!K1197</f>
      </c>
      <c r="I1192" s="20">
        <f>Разбивка_по_щитам!L1197</f>
      </c>
      <c r="J1192" s="20">
        <f>Разбивка_по_щитам!M1197</f>
      </c>
      <c r="K1192" s="20">
        <f>Разбивка_по_щитам!N1197</f>
      </c>
      <c r="L1192" s="20"/>
      <c r="M1192" s="20">
        <f>Разбивка_по_щитам!P1197</f>
      </c>
      <c r="N1192" s="20"/>
    </row>
    <row r="1193" spans="2:14" x14ac:dyDescent="0.25">
      <c r="B1193" s="20">
        <f>Разбивка_по_щитам!B1198</f>
      </c>
      <c r="C1193" s="20">
        <f>Разбивка_по_щитам!C1198</f>
      </c>
      <c r="D1193" s="20">
        <f>Разбивка_по_щитам!F1198</f>
      </c>
      <c r="E1193" s="20">
        <f>Разбивка_по_щитам!H1198</f>
      </c>
      <c r="F1193" s="20">
        <f>Разбивка_по_щитам!I1198</f>
      </c>
      <c r="G1193" s="20">
        <f>Разбивка_по_щитам!J1198</f>
      </c>
      <c r="H1193" s="20">
        <f>Разбивка_по_щитам!K1198</f>
      </c>
      <c r="I1193" s="20">
        <f>Разбивка_по_щитам!L1198</f>
      </c>
      <c r="J1193" s="20">
        <f>Разбивка_по_щитам!M1198</f>
      </c>
      <c r="K1193" s="20">
        <f>Разбивка_по_щитам!N1198</f>
      </c>
      <c r="L1193" s="20"/>
      <c r="M1193" s="20">
        <f>Разбивка_по_щитам!P1198</f>
      </c>
      <c r="N1193" s="20"/>
    </row>
    <row r="1194" spans="2:14" x14ac:dyDescent="0.25">
      <c r="B1194" s="20">
        <f>Разбивка_по_щитам!B1199</f>
      </c>
      <c r="C1194" s="20">
        <f>Разбивка_по_щитам!C1199</f>
      </c>
      <c r="D1194" s="20">
        <f>Разбивка_по_щитам!F1199</f>
      </c>
      <c r="E1194" s="20">
        <f>Разбивка_по_щитам!H1199</f>
      </c>
      <c r="F1194" s="20">
        <f>Разбивка_по_щитам!I1199</f>
      </c>
      <c r="G1194" s="20">
        <f>Разбивка_по_щитам!J1199</f>
      </c>
      <c r="H1194" s="20">
        <f>Разбивка_по_щитам!K1199</f>
      </c>
      <c r="I1194" s="20">
        <f>Разбивка_по_щитам!L1199</f>
      </c>
      <c r="J1194" s="20">
        <f>Разбивка_по_щитам!M1199</f>
      </c>
      <c r="K1194" s="20">
        <f>Разбивка_по_щитам!N1199</f>
      </c>
      <c r="L1194" s="20"/>
      <c r="M1194" s="20">
        <f>Разбивка_по_щитам!P1199</f>
      </c>
      <c r="N1194" s="20"/>
    </row>
    <row r="1195" spans="2:14" x14ac:dyDescent="0.25">
      <c r="B1195" s="20">
        <f>Разбивка_по_щитам!B1200</f>
      </c>
      <c r="C1195" s="20">
        <f>Разбивка_по_щитам!C1200</f>
      </c>
      <c r="D1195" s="20">
        <f>Разбивка_по_щитам!F1200</f>
      </c>
      <c r="E1195" s="20">
        <f>Разбивка_по_щитам!H1200</f>
      </c>
      <c r="F1195" s="20">
        <f>Разбивка_по_щитам!I1200</f>
      </c>
      <c r="G1195" s="20">
        <f>Разбивка_по_щитам!J1200</f>
      </c>
      <c r="H1195" s="20">
        <f>Разбивка_по_щитам!K1200</f>
      </c>
      <c r="I1195" s="20">
        <f>Разбивка_по_щитам!L1200</f>
      </c>
      <c r="J1195" s="20">
        <f>Разбивка_по_щитам!M1200</f>
      </c>
      <c r="K1195" s="20">
        <f>Разбивка_по_щитам!N1200</f>
      </c>
      <c r="L1195" s="20"/>
      <c r="M1195" s="20">
        <f>Разбивка_по_щитам!P1200</f>
      </c>
      <c r="N1195" s="20"/>
    </row>
    <row r="1196" spans="2:14" x14ac:dyDescent="0.25">
      <c r="B1196" s="20">
        <f>Разбивка_по_щитам!B1201</f>
      </c>
      <c r="C1196" s="20">
        <f>Разбивка_по_щитам!C1201</f>
      </c>
      <c r="D1196" s="20">
        <f>Разбивка_по_щитам!F1201</f>
      </c>
      <c r="E1196" s="20">
        <f>Разбивка_по_щитам!H1201</f>
      </c>
      <c r="F1196" s="20">
        <f>Разбивка_по_щитам!I1201</f>
      </c>
      <c r="G1196" s="20">
        <f>Разбивка_по_щитам!J1201</f>
      </c>
      <c r="H1196" s="20">
        <f>Разбивка_по_щитам!K1201</f>
      </c>
      <c r="I1196" s="20">
        <f>Разбивка_по_щитам!L1201</f>
      </c>
      <c r="J1196" s="20">
        <f>Разбивка_по_щитам!M1201</f>
      </c>
      <c r="K1196" s="20">
        <f>Разбивка_по_щитам!N1201</f>
      </c>
      <c r="L1196" s="20"/>
      <c r="M1196" s="20">
        <f>Разбивка_по_щитам!P1201</f>
      </c>
      <c r="N1196" s="20"/>
    </row>
    <row r="1197" spans="2:14" x14ac:dyDescent="0.25">
      <c r="B1197" s="20">
        <f>Разбивка_по_щитам!B1202</f>
      </c>
      <c r="C1197" s="20">
        <f>Разбивка_по_щитам!C1202</f>
      </c>
      <c r="D1197" s="20">
        <f>Разбивка_по_щитам!F1202</f>
      </c>
      <c r="E1197" s="20">
        <f>Разбивка_по_щитам!H1202</f>
      </c>
      <c r="F1197" s="20">
        <f>Разбивка_по_щитам!I1202</f>
      </c>
      <c r="G1197" s="20">
        <f>Разбивка_по_щитам!J1202</f>
      </c>
      <c r="H1197" s="20">
        <f>Разбивка_по_щитам!K1202</f>
      </c>
      <c r="I1197" s="20">
        <f>Разбивка_по_щитам!L1202</f>
      </c>
      <c r="J1197" s="20">
        <f>Разбивка_по_щитам!M1202</f>
      </c>
      <c r="K1197" s="20">
        <f>Разбивка_по_щитам!N1202</f>
      </c>
      <c r="L1197" s="20"/>
      <c r="M1197" s="20">
        <f>Разбивка_по_щитам!P1202</f>
      </c>
      <c r="N1197" s="20"/>
    </row>
    <row r="1198" spans="2:14" x14ac:dyDescent="0.25">
      <c r="B1198" s="20">
        <f>Разбивка_по_щитам!B1203</f>
      </c>
      <c r="C1198" s="20">
        <f>Разбивка_по_щитам!C1203</f>
      </c>
      <c r="D1198" s="20">
        <f>Разбивка_по_щитам!F1203</f>
      </c>
      <c r="E1198" s="20">
        <f>Разбивка_по_щитам!H1203</f>
      </c>
      <c r="F1198" s="20">
        <f>Разбивка_по_щитам!I1203</f>
      </c>
      <c r="G1198" s="20">
        <f>Разбивка_по_щитам!J1203</f>
      </c>
      <c r="H1198" s="20">
        <f>Разбивка_по_щитам!K1203</f>
      </c>
      <c r="I1198" s="20">
        <f>Разбивка_по_щитам!L1203</f>
      </c>
      <c r="J1198" s="20">
        <f>Разбивка_по_щитам!M1203</f>
      </c>
      <c r="K1198" s="20">
        <f>Разбивка_по_щитам!N1203</f>
      </c>
      <c r="L1198" s="20"/>
      <c r="M1198" s="20">
        <f>Разбивка_по_щитам!P1203</f>
      </c>
      <c r="N1198" s="20"/>
    </row>
    <row r="1199" spans="2:14" x14ac:dyDescent="0.25">
      <c r="B1199" s="20">
        <f>Разбивка_по_щитам!B1204</f>
      </c>
      <c r="C1199" s="20">
        <f>Разбивка_по_щитам!C1204</f>
      </c>
      <c r="D1199" s="20">
        <f>Разбивка_по_щитам!F1204</f>
      </c>
      <c r="E1199" s="20">
        <f>Разбивка_по_щитам!H1204</f>
      </c>
      <c r="F1199" s="20">
        <f>Разбивка_по_щитам!I1204</f>
      </c>
      <c r="G1199" s="20">
        <f>Разбивка_по_щитам!J1204</f>
      </c>
      <c r="H1199" s="20">
        <f>Разбивка_по_щитам!K1204</f>
      </c>
      <c r="I1199" s="20">
        <f>Разбивка_по_щитам!L1204</f>
      </c>
      <c r="J1199" s="20">
        <f>Разбивка_по_щитам!M1204</f>
      </c>
      <c r="K1199" s="20">
        <f>Разбивка_по_щитам!N1204</f>
      </c>
      <c r="L1199" s="20"/>
      <c r="M1199" s="20">
        <f>Разбивка_по_щитам!P1204</f>
      </c>
      <c r="N1199" s="20"/>
    </row>
    <row r="1200" spans="2:14" x14ac:dyDescent="0.25">
      <c r="B1200" s="20">
        <f>Разбивка_по_щитам!B1205</f>
      </c>
      <c r="C1200" s="20">
        <f>Разбивка_по_щитам!C1205</f>
      </c>
      <c r="D1200" s="20">
        <f>Разбивка_по_щитам!F1205</f>
      </c>
      <c r="E1200" s="20">
        <f>Разбивка_по_щитам!H1205</f>
      </c>
      <c r="F1200" s="20">
        <f>Разбивка_по_щитам!I1205</f>
      </c>
      <c r="G1200" s="20">
        <f>Разбивка_по_щитам!J1205</f>
      </c>
      <c r="H1200" s="20">
        <f>Разбивка_по_щитам!K1205</f>
      </c>
      <c r="I1200" s="20">
        <f>Разбивка_по_щитам!L1205</f>
      </c>
      <c r="J1200" s="20">
        <f>Разбивка_по_щитам!M1205</f>
      </c>
      <c r="K1200" s="20">
        <f>Разбивка_по_щитам!N1205</f>
      </c>
      <c r="L1200" s="20"/>
      <c r="M1200" s="20">
        <f>Разбивка_по_щитам!P1205</f>
      </c>
      <c r="N1200" s="20"/>
    </row>
    <row r="1201" spans="2:14" x14ac:dyDescent="0.25">
      <c r="B1201" s="20">
        <f>Разбивка_по_щитам!B1206</f>
      </c>
      <c r="C1201" s="20">
        <f>Разбивка_по_щитам!C1206</f>
      </c>
      <c r="D1201" s="20">
        <f>Разбивка_по_щитам!F1206</f>
      </c>
      <c r="E1201" s="20">
        <f>Разбивка_по_щитам!H1206</f>
      </c>
      <c r="F1201" s="20">
        <f>Разбивка_по_щитам!I1206</f>
      </c>
      <c r="G1201" s="20">
        <f>Разбивка_по_щитам!J1206</f>
      </c>
      <c r="H1201" s="20">
        <f>Разбивка_по_щитам!K1206</f>
      </c>
      <c r="I1201" s="20">
        <f>Разбивка_по_щитам!L1206</f>
      </c>
      <c r="J1201" s="20">
        <f>Разбивка_по_щитам!M1206</f>
      </c>
      <c r="K1201" s="20">
        <f>Разбивка_по_щитам!N1206</f>
      </c>
      <c r="L1201" s="20"/>
      <c r="M1201" s="20">
        <f>Разбивка_по_щитам!P1206</f>
      </c>
      <c r="N1201" s="20"/>
    </row>
    <row r="1202" spans="2:14" x14ac:dyDescent="0.25">
      <c r="B1202" s="20">
        <f>Разбивка_по_щитам!B1207</f>
      </c>
      <c r="C1202" s="20">
        <f>Разбивка_по_щитам!C1207</f>
      </c>
      <c r="D1202" s="20">
        <f>Разбивка_по_щитам!F1207</f>
      </c>
      <c r="E1202" s="20">
        <f>Разбивка_по_щитам!H1207</f>
      </c>
      <c r="F1202" s="20">
        <f>Разбивка_по_щитам!I1207</f>
      </c>
      <c r="G1202" s="20">
        <f>Разбивка_по_щитам!J1207</f>
      </c>
      <c r="H1202" s="20">
        <f>Разбивка_по_щитам!K1207</f>
      </c>
      <c r="I1202" s="20">
        <f>Разбивка_по_щитам!L1207</f>
      </c>
      <c r="J1202" s="20">
        <f>Разбивка_по_щитам!M1207</f>
      </c>
      <c r="K1202" s="20">
        <f>Разбивка_по_щитам!N1207</f>
      </c>
      <c r="L1202" s="20"/>
      <c r="M1202" s="20">
        <f>Разбивка_по_щитам!P1207</f>
      </c>
      <c r="N1202" s="20"/>
    </row>
    <row r="1203" spans="2:14" x14ac:dyDescent="0.25">
      <c r="B1203" s="20">
        <f>Разбивка_по_щитам!B1208</f>
      </c>
      <c r="C1203" s="20">
        <f>Разбивка_по_щитам!C1208</f>
      </c>
      <c r="D1203" s="20">
        <f>Разбивка_по_щитам!F1208</f>
      </c>
      <c r="E1203" s="20">
        <f>Разбивка_по_щитам!H1208</f>
      </c>
      <c r="F1203" s="20">
        <f>Разбивка_по_щитам!I1208</f>
      </c>
      <c r="G1203" s="20">
        <f>Разбивка_по_щитам!J1208</f>
      </c>
      <c r="H1203" s="20">
        <f>Разбивка_по_щитам!K1208</f>
      </c>
      <c r="I1203" s="20">
        <f>Разбивка_по_щитам!L1208</f>
      </c>
      <c r="J1203" s="20">
        <f>Разбивка_по_щитам!M1208</f>
      </c>
      <c r="K1203" s="20">
        <f>Разбивка_по_щитам!N1208</f>
      </c>
      <c r="L1203" s="20"/>
      <c r="M1203" s="20">
        <f>Разбивка_по_щитам!P1208</f>
      </c>
      <c r="N1203" s="20"/>
    </row>
    <row r="1204" spans="2:14" x14ac:dyDescent="0.25">
      <c r="B1204" s="20">
        <f>Разбивка_по_щитам!B1209</f>
      </c>
      <c r="C1204" s="20">
        <f>Разбивка_по_щитам!C1209</f>
      </c>
      <c r="D1204" s="20">
        <f>Разбивка_по_щитам!F1209</f>
      </c>
      <c r="E1204" s="20">
        <f>Разбивка_по_щитам!H1209</f>
      </c>
      <c r="F1204" s="20">
        <f>Разбивка_по_щитам!I1209</f>
      </c>
      <c r="G1204" s="20">
        <f>Разбивка_по_щитам!J1209</f>
      </c>
      <c r="H1204" s="20">
        <f>Разбивка_по_щитам!K1209</f>
      </c>
      <c r="I1204" s="20">
        <f>Разбивка_по_щитам!L1209</f>
      </c>
      <c r="J1204" s="20">
        <f>Разбивка_по_щитам!M1209</f>
      </c>
      <c r="K1204" s="20">
        <f>Разбивка_по_щитам!N1209</f>
      </c>
      <c r="L1204" s="20"/>
      <c r="M1204" s="20">
        <f>Разбивка_по_щитам!P1209</f>
      </c>
      <c r="N1204" s="20"/>
    </row>
    <row r="1205" spans="2:14" x14ac:dyDescent="0.25">
      <c r="B1205" s="20">
        <f>Разбивка_по_щитам!B1210</f>
      </c>
      <c r="C1205" s="20">
        <f>Разбивка_по_щитам!C1210</f>
      </c>
      <c r="D1205" s="20">
        <f>Разбивка_по_щитам!F1210</f>
      </c>
      <c r="E1205" s="20">
        <f>Разбивка_по_щитам!H1210</f>
      </c>
      <c r="F1205" s="20">
        <f>Разбивка_по_щитам!I1210</f>
      </c>
      <c r="G1205" s="20">
        <f>Разбивка_по_щитам!J1210</f>
      </c>
      <c r="H1205" s="20">
        <f>Разбивка_по_щитам!K1210</f>
      </c>
      <c r="I1205" s="20">
        <f>Разбивка_по_щитам!L1210</f>
      </c>
      <c r="J1205" s="20">
        <f>Разбивка_по_щитам!M1210</f>
      </c>
      <c r="K1205" s="20">
        <f>Разбивка_по_щитам!N1210</f>
      </c>
      <c r="L1205" s="20"/>
      <c r="M1205" s="20">
        <f>Разбивка_по_щитам!P1210</f>
      </c>
      <c r="N1205" s="20"/>
    </row>
    <row r="1206" spans="2:14" x14ac:dyDescent="0.25">
      <c r="B1206" s="20">
        <f>Разбивка_по_щитам!B1211</f>
      </c>
      <c r="C1206" s="20">
        <f>Разбивка_по_щитам!C1211</f>
      </c>
      <c r="D1206" s="20">
        <f>Разбивка_по_щитам!F1211</f>
      </c>
      <c r="E1206" s="20">
        <f>Разбивка_по_щитам!H1211</f>
      </c>
      <c r="F1206" s="20">
        <f>Разбивка_по_щитам!I1211</f>
      </c>
      <c r="G1206" s="20">
        <f>Разбивка_по_щитам!J1211</f>
      </c>
      <c r="H1206" s="20">
        <f>Разбивка_по_щитам!K1211</f>
      </c>
      <c r="I1206" s="20">
        <f>Разбивка_по_щитам!L1211</f>
      </c>
      <c r="J1206" s="20">
        <f>Разбивка_по_щитам!M1211</f>
      </c>
      <c r="K1206" s="20">
        <f>Разбивка_по_щитам!N1211</f>
      </c>
      <c r="L1206" s="20"/>
      <c r="M1206" s="20">
        <f>Разбивка_по_щитам!P1211</f>
      </c>
      <c r="N1206" s="20"/>
    </row>
    <row r="1207" spans="2:14" x14ac:dyDescent="0.25">
      <c r="B1207" s="20">
        <f>Разбивка_по_щитам!B1212</f>
      </c>
      <c r="C1207" s="20">
        <f>Разбивка_по_щитам!C1212</f>
      </c>
      <c r="D1207" s="20">
        <f>Разбивка_по_щитам!F1212</f>
      </c>
      <c r="E1207" s="20">
        <f>Разбивка_по_щитам!H1212</f>
      </c>
      <c r="F1207" s="20">
        <f>Разбивка_по_щитам!I1212</f>
      </c>
      <c r="G1207" s="20">
        <f>Разбивка_по_щитам!J1212</f>
      </c>
      <c r="H1207" s="20">
        <f>Разбивка_по_щитам!K1212</f>
      </c>
      <c r="I1207" s="20">
        <f>Разбивка_по_щитам!L1212</f>
      </c>
      <c r="J1207" s="20">
        <f>Разбивка_по_щитам!M1212</f>
      </c>
      <c r="K1207" s="20">
        <f>Разбивка_по_щитам!N1212</f>
      </c>
      <c r="L1207" s="20"/>
      <c r="M1207" s="20">
        <f>Разбивка_по_щитам!P1212</f>
      </c>
      <c r="N1207" s="20"/>
    </row>
    <row r="1208" spans="2:14" x14ac:dyDescent="0.25">
      <c r="B1208" s="20">
        <f>Разбивка_по_щитам!B1213</f>
      </c>
      <c r="C1208" s="20">
        <f>Разбивка_по_щитам!C1213</f>
      </c>
      <c r="D1208" s="20">
        <f>Разбивка_по_щитам!F1213</f>
      </c>
      <c r="E1208" s="20">
        <f>Разбивка_по_щитам!H1213</f>
      </c>
      <c r="F1208" s="20">
        <f>Разбивка_по_щитам!I1213</f>
      </c>
      <c r="G1208" s="20">
        <f>Разбивка_по_щитам!J1213</f>
      </c>
      <c r="H1208" s="20">
        <f>Разбивка_по_щитам!K1213</f>
      </c>
      <c r="I1208" s="20">
        <f>Разбивка_по_щитам!L1213</f>
      </c>
      <c r="J1208" s="20">
        <f>Разбивка_по_щитам!M1213</f>
      </c>
      <c r="K1208" s="20">
        <f>Разбивка_по_щитам!N1213</f>
      </c>
      <c r="L1208" s="20"/>
      <c r="M1208" s="20">
        <f>Разбивка_по_щитам!P1213</f>
      </c>
      <c r="N1208" s="20"/>
    </row>
    <row r="1209" spans="2:14" x14ac:dyDescent="0.25">
      <c r="B1209" s="20">
        <f>Разбивка_по_щитам!B1214</f>
      </c>
      <c r="C1209" s="20">
        <f>Разбивка_по_щитам!C1214</f>
      </c>
      <c r="D1209" s="20">
        <f>Разбивка_по_щитам!F1214</f>
      </c>
      <c r="E1209" s="20">
        <f>Разбивка_по_щитам!H1214</f>
      </c>
      <c r="F1209" s="20">
        <f>Разбивка_по_щитам!I1214</f>
      </c>
      <c r="G1209" s="20">
        <f>Разбивка_по_щитам!J1214</f>
      </c>
      <c r="H1209" s="20">
        <f>Разбивка_по_щитам!K1214</f>
      </c>
      <c r="I1209" s="20">
        <f>Разбивка_по_щитам!L1214</f>
      </c>
      <c r="J1209" s="20">
        <f>Разбивка_по_щитам!M1214</f>
      </c>
      <c r="K1209" s="20">
        <f>Разбивка_по_щитам!N1214</f>
      </c>
      <c r="L1209" s="20"/>
      <c r="M1209" s="20">
        <f>Разбивка_по_щитам!P1214</f>
      </c>
      <c r="N1209" s="20"/>
    </row>
    <row r="1210" spans="2:14" x14ac:dyDescent="0.25">
      <c r="B1210" s="20">
        <f>Разбивка_по_щитам!B1215</f>
      </c>
      <c r="C1210" s="20">
        <f>Разбивка_по_щитам!C1215</f>
      </c>
      <c r="D1210" s="20">
        <f>Разбивка_по_щитам!F1215</f>
      </c>
      <c r="E1210" s="20">
        <f>Разбивка_по_щитам!H1215</f>
      </c>
      <c r="F1210" s="20">
        <f>Разбивка_по_щитам!I1215</f>
      </c>
      <c r="G1210" s="20">
        <f>Разбивка_по_щитам!J1215</f>
      </c>
      <c r="H1210" s="20">
        <f>Разбивка_по_щитам!K1215</f>
      </c>
      <c r="I1210" s="20">
        <f>Разбивка_по_щитам!L1215</f>
      </c>
      <c r="J1210" s="20">
        <f>Разбивка_по_щитам!M1215</f>
      </c>
      <c r="K1210" s="20">
        <f>Разбивка_по_щитам!N1215</f>
      </c>
      <c r="L1210" s="20"/>
      <c r="M1210" s="20">
        <f>Разбивка_по_щитам!P1215</f>
      </c>
      <c r="N1210" s="20"/>
    </row>
    <row r="1211" spans="2:14" x14ac:dyDescent="0.25">
      <c r="B1211" s="20">
        <f>Разбивка_по_щитам!B1216</f>
      </c>
      <c r="C1211" s="20">
        <f>Разбивка_по_щитам!C1216</f>
      </c>
      <c r="D1211" s="20">
        <f>Разбивка_по_щитам!F1216</f>
      </c>
      <c r="E1211" s="20">
        <f>Разбивка_по_щитам!H1216</f>
      </c>
      <c r="F1211" s="20">
        <f>Разбивка_по_щитам!I1216</f>
      </c>
      <c r="G1211" s="20">
        <f>Разбивка_по_щитам!J1216</f>
      </c>
      <c r="H1211" s="20">
        <f>Разбивка_по_щитам!K1216</f>
      </c>
      <c r="I1211" s="20">
        <f>Разбивка_по_щитам!L1216</f>
      </c>
      <c r="J1211" s="20">
        <f>Разбивка_по_щитам!M1216</f>
      </c>
      <c r="K1211" s="20">
        <f>Разбивка_по_щитам!N1216</f>
      </c>
      <c r="L1211" s="20"/>
      <c r="M1211" s="20">
        <f>Разбивка_по_щитам!P1216</f>
      </c>
      <c r="N1211" s="20"/>
    </row>
    <row r="1212" spans="2:14" x14ac:dyDescent="0.25">
      <c r="B1212" s="20">
        <f>Разбивка_по_щитам!B1217</f>
      </c>
      <c r="C1212" s="20">
        <f>Разбивка_по_щитам!C1217</f>
      </c>
      <c r="D1212" s="20">
        <f>Разбивка_по_щитам!F1217</f>
      </c>
      <c r="E1212" s="20">
        <f>Разбивка_по_щитам!H1217</f>
      </c>
      <c r="F1212" s="20">
        <f>Разбивка_по_щитам!I1217</f>
      </c>
      <c r="G1212" s="20">
        <f>Разбивка_по_щитам!J1217</f>
      </c>
      <c r="H1212" s="20">
        <f>Разбивка_по_щитам!K1217</f>
      </c>
      <c r="I1212" s="20">
        <f>Разбивка_по_щитам!L1217</f>
      </c>
      <c r="J1212" s="20">
        <f>Разбивка_по_щитам!M1217</f>
      </c>
      <c r="K1212" s="20">
        <f>Разбивка_по_щитам!N1217</f>
      </c>
      <c r="L1212" s="20"/>
      <c r="M1212" s="20">
        <f>Разбивка_по_щитам!P1217</f>
      </c>
      <c r="N1212" s="20"/>
    </row>
    <row r="1213" spans="2:14" x14ac:dyDescent="0.25">
      <c r="B1213" s="20">
        <f>Разбивка_по_щитам!B1218</f>
      </c>
      <c r="C1213" s="20">
        <f>Разбивка_по_щитам!C1218</f>
      </c>
      <c r="D1213" s="20">
        <f>Разбивка_по_щитам!F1218</f>
      </c>
      <c r="E1213" s="20">
        <f>Разбивка_по_щитам!H1218</f>
      </c>
      <c r="F1213" s="20">
        <f>Разбивка_по_щитам!I1218</f>
      </c>
      <c r="G1213" s="20">
        <f>Разбивка_по_щитам!J1218</f>
      </c>
      <c r="H1213" s="20">
        <f>Разбивка_по_щитам!K1218</f>
      </c>
      <c r="I1213" s="20">
        <f>Разбивка_по_щитам!L1218</f>
      </c>
      <c r="J1213" s="20">
        <f>Разбивка_по_щитам!M1218</f>
      </c>
      <c r="K1213" s="20">
        <f>Разбивка_по_щитам!N1218</f>
      </c>
      <c r="L1213" s="20"/>
      <c r="M1213" s="20">
        <f>Разбивка_по_щитам!P1218</f>
      </c>
      <c r="N1213" s="20"/>
    </row>
    <row r="1214" spans="2:14" x14ac:dyDescent="0.25">
      <c r="B1214" s="20">
        <f>Разбивка_по_щитам!B1219</f>
      </c>
      <c r="C1214" s="20">
        <f>Разбивка_по_щитам!C1219</f>
      </c>
      <c r="D1214" s="20">
        <f>Разбивка_по_щитам!F1219</f>
      </c>
      <c r="E1214" s="20">
        <f>Разбивка_по_щитам!H1219</f>
      </c>
      <c r="F1214" s="20">
        <f>Разбивка_по_щитам!I1219</f>
      </c>
      <c r="G1214" s="20">
        <f>Разбивка_по_щитам!J1219</f>
      </c>
      <c r="H1214" s="20">
        <f>Разбивка_по_щитам!K1219</f>
      </c>
      <c r="I1214" s="20">
        <f>Разбивка_по_щитам!L1219</f>
      </c>
      <c r="J1214" s="20">
        <f>Разбивка_по_щитам!M1219</f>
      </c>
      <c r="K1214" s="20">
        <f>Разбивка_по_щитам!N1219</f>
      </c>
      <c r="L1214" s="20"/>
      <c r="M1214" s="20">
        <f>Разбивка_по_щитам!P1219</f>
      </c>
      <c r="N1214" s="20"/>
    </row>
    <row r="1215" spans="2:14" x14ac:dyDescent="0.25">
      <c r="B1215" s="20">
        <f>Разбивка_по_щитам!B1220</f>
      </c>
      <c r="C1215" s="20">
        <f>Разбивка_по_щитам!C1220</f>
      </c>
      <c r="D1215" s="20">
        <f>Разбивка_по_щитам!F1220</f>
      </c>
      <c r="E1215" s="20">
        <f>Разбивка_по_щитам!H1220</f>
      </c>
      <c r="F1215" s="20">
        <f>Разбивка_по_щитам!I1220</f>
      </c>
      <c r="G1215" s="20">
        <f>Разбивка_по_щитам!J1220</f>
      </c>
      <c r="H1215" s="20">
        <f>Разбивка_по_щитам!K1220</f>
      </c>
      <c r="I1215" s="20">
        <f>Разбивка_по_щитам!L1220</f>
      </c>
      <c r="J1215" s="20">
        <f>Разбивка_по_щитам!M1220</f>
      </c>
      <c r="K1215" s="20">
        <f>Разбивка_по_щитам!N1220</f>
      </c>
      <c r="L1215" s="20"/>
      <c r="M1215" s="20">
        <f>Разбивка_по_щитам!P1220</f>
      </c>
      <c r="N1215" s="20"/>
    </row>
    <row r="1216" spans="2:14" x14ac:dyDescent="0.25">
      <c r="B1216" s="20">
        <f>Разбивка_по_щитам!B1221</f>
      </c>
      <c r="C1216" s="20">
        <f>Разбивка_по_щитам!C1221</f>
      </c>
      <c r="D1216" s="20">
        <f>Разбивка_по_щитам!F1221</f>
      </c>
      <c r="E1216" s="20">
        <f>Разбивка_по_щитам!H1221</f>
      </c>
      <c r="F1216" s="20">
        <f>Разбивка_по_щитам!I1221</f>
      </c>
      <c r="G1216" s="20">
        <f>Разбивка_по_щитам!J1221</f>
      </c>
      <c r="H1216" s="20">
        <f>Разбивка_по_щитам!K1221</f>
      </c>
      <c r="I1216" s="20">
        <f>Разбивка_по_щитам!L1221</f>
      </c>
      <c r="J1216" s="20">
        <f>Разбивка_по_щитам!M1221</f>
      </c>
      <c r="K1216" s="20">
        <f>Разбивка_по_щитам!N1221</f>
      </c>
      <c r="L1216" s="20"/>
      <c r="M1216" s="20">
        <f>Разбивка_по_щитам!P1221</f>
      </c>
      <c r="N1216" s="20"/>
    </row>
    <row r="1217" spans="2:14" x14ac:dyDescent="0.25">
      <c r="B1217" s="20">
        <f>Разбивка_по_щитам!B1222</f>
      </c>
      <c r="C1217" s="20">
        <f>Разбивка_по_щитам!C1222</f>
      </c>
      <c r="D1217" s="20">
        <f>Разбивка_по_щитам!F1222</f>
      </c>
      <c r="E1217" s="20">
        <f>Разбивка_по_щитам!H1222</f>
      </c>
      <c r="F1217" s="20">
        <f>Разбивка_по_щитам!I1222</f>
      </c>
      <c r="G1217" s="20">
        <f>Разбивка_по_щитам!J1222</f>
      </c>
      <c r="H1217" s="20">
        <f>Разбивка_по_щитам!K1222</f>
      </c>
      <c r="I1217" s="20">
        <f>Разбивка_по_щитам!L1222</f>
      </c>
      <c r="J1217" s="20">
        <f>Разбивка_по_щитам!M1222</f>
      </c>
      <c r="K1217" s="20">
        <f>Разбивка_по_щитам!N1222</f>
      </c>
      <c r="L1217" s="20"/>
      <c r="M1217" s="20">
        <f>Разбивка_по_щитам!P1222</f>
      </c>
      <c r="N1217" s="20"/>
    </row>
    <row r="1218" spans="2:14" x14ac:dyDescent="0.25">
      <c r="B1218" s="20">
        <f>Разбивка_по_щитам!B1223</f>
      </c>
      <c r="C1218" s="20">
        <f>Разбивка_по_щитам!C1223</f>
      </c>
      <c r="D1218" s="20">
        <f>Разбивка_по_щитам!F1223</f>
      </c>
      <c r="E1218" s="20">
        <f>Разбивка_по_щитам!H1223</f>
      </c>
      <c r="F1218" s="20">
        <f>Разбивка_по_щитам!I1223</f>
      </c>
      <c r="G1218" s="20">
        <f>Разбивка_по_щитам!J1223</f>
      </c>
      <c r="H1218" s="20">
        <f>Разбивка_по_щитам!K1223</f>
      </c>
      <c r="I1218" s="20">
        <f>Разбивка_по_щитам!L1223</f>
      </c>
      <c r="J1218" s="20">
        <f>Разбивка_по_щитам!M1223</f>
      </c>
      <c r="K1218" s="20">
        <f>Разбивка_по_щитам!N1223</f>
      </c>
      <c r="L1218" s="20"/>
      <c r="M1218" s="20">
        <f>Разбивка_по_щитам!P1223</f>
      </c>
      <c r="N1218" s="20"/>
    </row>
    <row r="1219" spans="2:14" x14ac:dyDescent="0.25">
      <c r="B1219" s="20">
        <f>Разбивка_по_щитам!B1224</f>
      </c>
      <c r="C1219" s="20">
        <f>Разбивка_по_щитам!C1224</f>
      </c>
      <c r="D1219" s="20">
        <f>Разбивка_по_щитам!F1224</f>
      </c>
      <c r="E1219" s="20">
        <f>Разбивка_по_щитам!H1224</f>
      </c>
      <c r="F1219" s="20">
        <f>Разбивка_по_щитам!I1224</f>
      </c>
      <c r="G1219" s="20">
        <f>Разбивка_по_щитам!J1224</f>
      </c>
      <c r="H1219" s="20">
        <f>Разбивка_по_щитам!K1224</f>
      </c>
      <c r="I1219" s="20">
        <f>Разбивка_по_щитам!L1224</f>
      </c>
      <c r="J1219" s="20">
        <f>Разбивка_по_щитам!M1224</f>
      </c>
      <c r="K1219" s="20">
        <f>Разбивка_по_щитам!N1224</f>
      </c>
      <c r="L1219" s="20"/>
      <c r="M1219" s="20">
        <f>Разбивка_по_щитам!P1224</f>
      </c>
      <c r="N1219" s="20"/>
    </row>
    <row r="1220" spans="2:14" x14ac:dyDescent="0.25">
      <c r="B1220" s="20">
        <f>Разбивка_по_щитам!B1225</f>
      </c>
      <c r="C1220" s="20">
        <f>Разбивка_по_щитам!C1225</f>
      </c>
      <c r="D1220" s="20">
        <f>Разбивка_по_щитам!F1225</f>
      </c>
      <c r="E1220" s="20">
        <f>Разбивка_по_щитам!H1225</f>
      </c>
      <c r="F1220" s="20">
        <f>Разбивка_по_щитам!I1225</f>
      </c>
      <c r="G1220" s="20">
        <f>Разбивка_по_щитам!J1225</f>
      </c>
      <c r="H1220" s="20">
        <f>Разбивка_по_щитам!K1225</f>
      </c>
      <c r="I1220" s="20">
        <f>Разбивка_по_щитам!L1225</f>
      </c>
      <c r="J1220" s="20">
        <f>Разбивка_по_щитам!M1225</f>
      </c>
      <c r="K1220" s="20">
        <f>Разбивка_по_щитам!N1225</f>
      </c>
      <c r="L1220" s="20"/>
      <c r="M1220" s="20">
        <f>Разбивка_по_щитам!P1225</f>
      </c>
      <c r="N1220" s="20"/>
    </row>
    <row r="1221" spans="2:14" x14ac:dyDescent="0.25">
      <c r="B1221" s="20">
        <f>Разбивка_по_щитам!B1226</f>
      </c>
      <c r="C1221" s="20">
        <f>Разбивка_по_щитам!C1226</f>
      </c>
      <c r="D1221" s="20">
        <f>Разбивка_по_щитам!F1226</f>
      </c>
      <c r="E1221" s="20">
        <f>Разбивка_по_щитам!H1226</f>
      </c>
      <c r="F1221" s="20">
        <f>Разбивка_по_щитам!I1226</f>
      </c>
      <c r="G1221" s="20">
        <f>Разбивка_по_щитам!J1226</f>
      </c>
      <c r="H1221" s="20">
        <f>Разбивка_по_щитам!K1226</f>
      </c>
      <c r="I1221" s="20">
        <f>Разбивка_по_щитам!L1226</f>
      </c>
      <c r="J1221" s="20">
        <f>Разбивка_по_щитам!M1226</f>
      </c>
      <c r="K1221" s="20">
        <f>Разбивка_по_щитам!N1226</f>
      </c>
      <c r="L1221" s="20"/>
      <c r="M1221" s="20">
        <f>Разбивка_по_щитам!P1226</f>
      </c>
      <c r="N1221" s="20"/>
    </row>
    <row r="1222" spans="2:14" x14ac:dyDescent="0.25">
      <c r="B1222" s="20">
        <f>Разбивка_по_щитам!B1227</f>
      </c>
      <c r="C1222" s="20">
        <f>Разбивка_по_щитам!C1227</f>
      </c>
      <c r="D1222" s="20">
        <f>Разбивка_по_щитам!F1227</f>
      </c>
      <c r="E1222" s="20">
        <f>Разбивка_по_щитам!H1227</f>
      </c>
      <c r="F1222" s="20">
        <f>Разбивка_по_щитам!I1227</f>
      </c>
      <c r="G1222" s="20">
        <f>Разбивка_по_щитам!J1227</f>
      </c>
      <c r="H1222" s="20">
        <f>Разбивка_по_щитам!K1227</f>
      </c>
      <c r="I1222" s="20">
        <f>Разбивка_по_щитам!L1227</f>
      </c>
      <c r="J1222" s="20">
        <f>Разбивка_по_щитам!M1227</f>
      </c>
      <c r="K1222" s="20">
        <f>Разбивка_по_щитам!N1227</f>
      </c>
      <c r="L1222" s="20"/>
      <c r="M1222" s="20">
        <f>Разбивка_по_щитам!P1227</f>
      </c>
      <c r="N1222" s="20"/>
    </row>
    <row r="1223" spans="2:14" x14ac:dyDescent="0.25">
      <c r="B1223" s="20">
        <f>Разбивка_по_щитам!B1228</f>
      </c>
      <c r="C1223" s="20">
        <f>Разбивка_по_щитам!C1228</f>
      </c>
      <c r="D1223" s="20">
        <f>Разбивка_по_щитам!F1228</f>
      </c>
      <c r="E1223" s="20">
        <f>Разбивка_по_щитам!H1228</f>
      </c>
      <c r="F1223" s="20">
        <f>Разбивка_по_щитам!I1228</f>
      </c>
      <c r="G1223" s="20">
        <f>Разбивка_по_щитам!J1228</f>
      </c>
      <c r="H1223" s="20">
        <f>Разбивка_по_щитам!K1228</f>
      </c>
      <c r="I1223" s="20">
        <f>Разбивка_по_щитам!L1228</f>
      </c>
      <c r="J1223" s="20">
        <f>Разбивка_по_щитам!M1228</f>
      </c>
      <c r="K1223" s="20">
        <f>Разбивка_по_щитам!N1228</f>
      </c>
      <c r="L1223" s="20"/>
      <c r="M1223" s="20">
        <f>Разбивка_по_щитам!P1228</f>
      </c>
      <c r="N1223" s="20"/>
    </row>
    <row r="1224" spans="2:14" x14ac:dyDescent="0.25">
      <c r="B1224" s="20">
        <f>Разбивка_по_щитам!B1229</f>
      </c>
      <c r="C1224" s="20">
        <f>Разбивка_по_щитам!C1229</f>
      </c>
      <c r="D1224" s="20">
        <f>Разбивка_по_щитам!F1229</f>
      </c>
      <c r="E1224" s="20">
        <f>Разбивка_по_щитам!H1229</f>
      </c>
      <c r="F1224" s="20">
        <f>Разбивка_по_щитам!I1229</f>
      </c>
      <c r="G1224" s="20">
        <f>Разбивка_по_щитам!J1229</f>
      </c>
      <c r="H1224" s="20">
        <f>Разбивка_по_щитам!K1229</f>
      </c>
      <c r="I1224" s="20">
        <f>Разбивка_по_щитам!L1229</f>
      </c>
      <c r="J1224" s="20">
        <f>Разбивка_по_щитам!M1229</f>
      </c>
      <c r="K1224" s="20">
        <f>Разбивка_по_щитам!N1229</f>
      </c>
      <c r="L1224" s="20"/>
      <c r="M1224" s="20">
        <f>Разбивка_по_щитам!P1229</f>
      </c>
      <c r="N1224" s="20"/>
    </row>
    <row r="1225" spans="2:14" x14ac:dyDescent="0.25">
      <c r="B1225" s="20">
        <f>Разбивка_по_щитам!B1230</f>
      </c>
      <c r="C1225" s="20">
        <f>Разбивка_по_щитам!C1230</f>
      </c>
      <c r="D1225" s="20">
        <f>Разбивка_по_щитам!F1230</f>
      </c>
      <c r="E1225" s="20">
        <f>Разбивка_по_щитам!H1230</f>
      </c>
      <c r="F1225" s="20">
        <f>Разбивка_по_щитам!I1230</f>
      </c>
      <c r="G1225" s="20">
        <f>Разбивка_по_щитам!J1230</f>
      </c>
      <c r="H1225" s="20">
        <f>Разбивка_по_щитам!K1230</f>
      </c>
      <c r="I1225" s="20">
        <f>Разбивка_по_щитам!L1230</f>
      </c>
      <c r="J1225" s="20">
        <f>Разбивка_по_щитам!M1230</f>
      </c>
      <c r="K1225" s="20">
        <f>Разбивка_по_щитам!N1230</f>
      </c>
      <c r="L1225" s="20"/>
      <c r="M1225" s="20">
        <f>Разбивка_по_щитам!P1230</f>
      </c>
      <c r="N1225" s="20"/>
    </row>
    <row r="1226" spans="2:14" x14ac:dyDescent="0.25">
      <c r="B1226" s="20">
        <f>Разбивка_по_щитам!B1231</f>
      </c>
      <c r="C1226" s="20">
        <f>Разбивка_по_щитам!C1231</f>
      </c>
      <c r="D1226" s="20">
        <f>Разбивка_по_щитам!F1231</f>
      </c>
      <c r="E1226" s="20">
        <f>Разбивка_по_щитам!H1231</f>
      </c>
      <c r="F1226" s="20">
        <f>Разбивка_по_щитам!I1231</f>
      </c>
      <c r="G1226" s="20">
        <f>Разбивка_по_щитам!J1231</f>
      </c>
      <c r="H1226" s="20">
        <f>Разбивка_по_щитам!K1231</f>
      </c>
      <c r="I1226" s="20">
        <f>Разбивка_по_щитам!L1231</f>
      </c>
      <c r="J1226" s="20">
        <f>Разбивка_по_щитам!M1231</f>
      </c>
      <c r="K1226" s="20">
        <f>Разбивка_по_щитам!N1231</f>
      </c>
      <c r="L1226" s="20"/>
      <c r="M1226" s="20">
        <f>Разбивка_по_щитам!P1231</f>
      </c>
      <c r="N1226" s="20"/>
    </row>
    <row r="1227" spans="2:14" x14ac:dyDescent="0.25">
      <c r="B1227" s="20">
        <f>Разбивка_по_щитам!B1232</f>
      </c>
      <c r="C1227" s="20">
        <f>Разбивка_по_щитам!C1232</f>
      </c>
      <c r="D1227" s="20">
        <f>Разбивка_по_щитам!F1232</f>
      </c>
      <c r="E1227" s="20">
        <f>Разбивка_по_щитам!H1232</f>
      </c>
      <c r="F1227" s="20">
        <f>Разбивка_по_щитам!I1232</f>
      </c>
      <c r="G1227" s="20">
        <f>Разбивка_по_щитам!J1232</f>
      </c>
      <c r="H1227" s="20">
        <f>Разбивка_по_щитам!K1232</f>
      </c>
      <c r="I1227" s="20">
        <f>Разбивка_по_щитам!L1232</f>
      </c>
      <c r="J1227" s="20">
        <f>Разбивка_по_щитам!M1232</f>
      </c>
      <c r="K1227" s="20">
        <f>Разбивка_по_щитам!N1232</f>
      </c>
      <c r="L1227" s="20"/>
      <c r="M1227" s="20">
        <f>Разбивка_по_щитам!P1232</f>
      </c>
      <c r="N1227" s="20"/>
    </row>
    <row r="1228" spans="2:14" x14ac:dyDescent="0.25">
      <c r="B1228" s="20">
        <f>Разбивка_по_щитам!B1233</f>
      </c>
      <c r="C1228" s="20">
        <f>Разбивка_по_щитам!C1233</f>
      </c>
      <c r="D1228" s="20">
        <f>Разбивка_по_щитам!F1233</f>
      </c>
      <c r="E1228" s="20">
        <f>Разбивка_по_щитам!H1233</f>
      </c>
      <c r="F1228" s="20">
        <f>Разбивка_по_щитам!I1233</f>
      </c>
      <c r="G1228" s="20">
        <f>Разбивка_по_щитам!J1233</f>
      </c>
      <c r="H1228" s="20">
        <f>Разбивка_по_щитам!K1233</f>
      </c>
      <c r="I1228" s="20">
        <f>Разбивка_по_щитам!L1233</f>
      </c>
      <c r="J1228" s="20">
        <f>Разбивка_по_щитам!M1233</f>
      </c>
      <c r="K1228" s="20">
        <f>Разбивка_по_щитам!N1233</f>
      </c>
      <c r="L1228" s="20"/>
      <c r="M1228" s="20">
        <f>Разбивка_по_щитам!P1233</f>
      </c>
      <c r="N1228" s="20"/>
    </row>
    <row r="1229" spans="2:14" x14ac:dyDescent="0.25">
      <c r="B1229" s="20">
        <f>Разбивка_по_щитам!B1234</f>
      </c>
      <c r="C1229" s="20">
        <f>Разбивка_по_щитам!C1234</f>
      </c>
      <c r="D1229" s="20">
        <f>Разбивка_по_щитам!F1234</f>
      </c>
      <c r="E1229" s="20">
        <f>Разбивка_по_щитам!H1234</f>
      </c>
      <c r="F1229" s="20">
        <f>Разбивка_по_щитам!I1234</f>
      </c>
      <c r="G1229" s="20">
        <f>Разбивка_по_щитам!J1234</f>
      </c>
      <c r="H1229" s="20">
        <f>Разбивка_по_щитам!K1234</f>
      </c>
      <c r="I1229" s="20">
        <f>Разбивка_по_щитам!L1234</f>
      </c>
      <c r="J1229" s="20">
        <f>Разбивка_по_щитам!M1234</f>
      </c>
      <c r="K1229" s="20">
        <f>Разбивка_по_щитам!N1234</f>
      </c>
      <c r="L1229" s="20"/>
      <c r="M1229" s="20">
        <f>Разбивка_по_щитам!P1234</f>
      </c>
      <c r="N1229" s="20"/>
    </row>
    <row r="1230" spans="2:14" x14ac:dyDescent="0.25">
      <c r="B1230" s="20">
        <f>Разбивка_по_щитам!B1235</f>
      </c>
      <c r="C1230" s="20">
        <f>Разбивка_по_щитам!C1235</f>
      </c>
      <c r="D1230" s="20">
        <f>Разбивка_по_щитам!F1235</f>
      </c>
      <c r="E1230" s="20">
        <f>Разбивка_по_щитам!H1235</f>
      </c>
      <c r="F1230" s="20">
        <f>Разбивка_по_щитам!I1235</f>
      </c>
      <c r="G1230" s="20">
        <f>Разбивка_по_щитам!J1235</f>
      </c>
      <c r="H1230" s="20">
        <f>Разбивка_по_щитам!K1235</f>
      </c>
      <c r="I1230" s="20">
        <f>Разбивка_по_щитам!L1235</f>
      </c>
      <c r="J1230" s="20">
        <f>Разбивка_по_щитам!M1235</f>
      </c>
      <c r="K1230" s="20">
        <f>Разбивка_по_щитам!N1235</f>
      </c>
      <c r="L1230" s="20"/>
      <c r="M1230" s="20">
        <f>Разбивка_по_щитам!P1235</f>
      </c>
      <c r="N1230" s="20"/>
    </row>
    <row r="1231" spans="2:14" x14ac:dyDescent="0.25">
      <c r="B1231" s="20">
        <f>Разбивка_по_щитам!B1236</f>
      </c>
      <c r="C1231" s="20">
        <f>Разбивка_по_щитам!C1236</f>
      </c>
      <c r="D1231" s="20">
        <f>Разбивка_по_щитам!F1236</f>
      </c>
      <c r="E1231" s="20">
        <f>Разбивка_по_щитам!H1236</f>
      </c>
      <c r="F1231" s="20">
        <f>Разбивка_по_щитам!I1236</f>
      </c>
      <c r="G1231" s="20">
        <f>Разбивка_по_щитам!J1236</f>
      </c>
      <c r="H1231" s="20">
        <f>Разбивка_по_щитам!K1236</f>
      </c>
      <c r="I1231" s="20">
        <f>Разбивка_по_щитам!L1236</f>
      </c>
      <c r="J1231" s="20">
        <f>Разбивка_по_щитам!M1236</f>
      </c>
      <c r="K1231" s="20">
        <f>Разбивка_по_щитам!N1236</f>
      </c>
      <c r="L1231" s="20"/>
      <c r="M1231" s="20">
        <f>Разбивка_по_щитам!P1236</f>
      </c>
      <c r="N1231" s="20"/>
    </row>
    <row r="1232" spans="2:14" x14ac:dyDescent="0.25">
      <c r="B1232" s="20">
        <f>Разбивка_по_щитам!B1237</f>
      </c>
      <c r="C1232" s="20">
        <f>Разбивка_по_щитам!C1237</f>
      </c>
      <c r="D1232" s="20">
        <f>Разбивка_по_щитам!F1237</f>
      </c>
      <c r="E1232" s="20">
        <f>Разбивка_по_щитам!H1237</f>
      </c>
      <c r="F1232" s="20">
        <f>Разбивка_по_щитам!I1237</f>
      </c>
      <c r="G1232" s="20">
        <f>Разбивка_по_щитам!J1237</f>
      </c>
      <c r="H1232" s="20">
        <f>Разбивка_по_щитам!K1237</f>
      </c>
      <c r="I1232" s="20">
        <f>Разбивка_по_щитам!L1237</f>
      </c>
      <c r="J1232" s="20">
        <f>Разбивка_по_щитам!M1237</f>
      </c>
      <c r="K1232" s="20">
        <f>Разбивка_по_щитам!N1237</f>
      </c>
      <c r="L1232" s="20"/>
      <c r="M1232" s="20">
        <f>Разбивка_по_щитам!P1237</f>
      </c>
      <c r="N1232" s="20"/>
    </row>
    <row r="1233" spans="2:14" x14ac:dyDescent="0.25">
      <c r="B1233" s="20">
        <f>Разбивка_по_щитам!B1238</f>
      </c>
      <c r="C1233" s="20">
        <f>Разбивка_по_щитам!C1238</f>
      </c>
      <c r="D1233" s="20">
        <f>Разбивка_по_щитам!F1238</f>
      </c>
      <c r="E1233" s="20">
        <f>Разбивка_по_щитам!H1238</f>
      </c>
      <c r="F1233" s="20">
        <f>Разбивка_по_щитам!I1238</f>
      </c>
      <c r="G1233" s="20">
        <f>Разбивка_по_щитам!J1238</f>
      </c>
      <c r="H1233" s="20">
        <f>Разбивка_по_щитам!K1238</f>
      </c>
      <c r="I1233" s="20">
        <f>Разбивка_по_щитам!L1238</f>
      </c>
      <c r="J1233" s="20">
        <f>Разбивка_по_щитам!M1238</f>
      </c>
      <c r="K1233" s="20">
        <f>Разбивка_по_щитам!N1238</f>
      </c>
      <c r="L1233" s="20"/>
      <c r="M1233" s="20">
        <f>Разбивка_по_щитам!P1238</f>
      </c>
      <c r="N1233" s="20"/>
    </row>
    <row r="1234" spans="2:14" x14ac:dyDescent="0.25">
      <c r="B1234" s="20">
        <f>Разбивка_по_щитам!B1239</f>
      </c>
      <c r="C1234" s="20">
        <f>Разбивка_по_щитам!C1239</f>
      </c>
      <c r="D1234" s="20">
        <f>Разбивка_по_щитам!F1239</f>
      </c>
      <c r="E1234" s="20">
        <f>Разбивка_по_щитам!H1239</f>
      </c>
      <c r="F1234" s="20">
        <f>Разбивка_по_щитам!I1239</f>
      </c>
      <c r="G1234" s="20">
        <f>Разбивка_по_щитам!J1239</f>
      </c>
      <c r="H1234" s="20">
        <f>Разбивка_по_щитам!K1239</f>
      </c>
      <c r="I1234" s="20">
        <f>Разбивка_по_щитам!L1239</f>
      </c>
      <c r="J1234" s="20">
        <f>Разбивка_по_щитам!M1239</f>
      </c>
      <c r="K1234" s="20">
        <f>Разбивка_по_щитам!N1239</f>
      </c>
      <c r="L1234" s="20"/>
      <c r="M1234" s="20">
        <f>Разбивка_по_щитам!P1239</f>
      </c>
      <c r="N1234" s="20"/>
    </row>
    <row r="1235" spans="2:14" x14ac:dyDescent="0.25">
      <c r="B1235" s="20">
        <f>Разбивка_по_щитам!B1240</f>
      </c>
      <c r="C1235" s="20">
        <f>Разбивка_по_щитам!C1240</f>
      </c>
      <c r="D1235" s="20">
        <f>Разбивка_по_щитам!F1240</f>
      </c>
      <c r="E1235" s="20">
        <f>Разбивка_по_щитам!H1240</f>
      </c>
      <c r="F1235" s="20">
        <f>Разбивка_по_щитам!I1240</f>
      </c>
      <c r="G1235" s="20">
        <f>Разбивка_по_щитам!J1240</f>
      </c>
      <c r="H1235" s="20">
        <f>Разбивка_по_щитам!K1240</f>
      </c>
      <c r="I1235" s="20">
        <f>Разбивка_по_щитам!L1240</f>
      </c>
      <c r="J1235" s="20">
        <f>Разбивка_по_щитам!M1240</f>
      </c>
      <c r="K1235" s="20">
        <f>Разбивка_по_щитам!N1240</f>
      </c>
      <c r="L1235" s="20"/>
      <c r="M1235" s="20">
        <f>Разбивка_по_щитам!P1240</f>
      </c>
      <c r="N1235" s="20"/>
    </row>
    <row r="1236" spans="2:14" x14ac:dyDescent="0.25">
      <c r="B1236" s="20">
        <f>Разбивка_по_щитам!B1241</f>
      </c>
      <c r="C1236" s="20">
        <f>Разбивка_по_щитам!C1241</f>
      </c>
      <c r="D1236" s="20">
        <f>Разбивка_по_щитам!F1241</f>
      </c>
      <c r="E1236" s="20">
        <f>Разбивка_по_щитам!H1241</f>
      </c>
      <c r="F1236" s="20">
        <f>Разбивка_по_щитам!I1241</f>
      </c>
      <c r="G1236" s="20">
        <f>Разбивка_по_щитам!J1241</f>
      </c>
      <c r="H1236" s="20">
        <f>Разбивка_по_щитам!K1241</f>
      </c>
      <c r="I1236" s="20">
        <f>Разбивка_по_щитам!L1241</f>
      </c>
      <c r="J1236" s="20">
        <f>Разбивка_по_щитам!M1241</f>
      </c>
      <c r="K1236" s="20">
        <f>Разбивка_по_щитам!N1241</f>
      </c>
      <c r="L1236" s="20"/>
      <c r="M1236" s="20">
        <f>Разбивка_по_щитам!P1241</f>
      </c>
      <c r="N1236" s="20"/>
    </row>
    <row r="1237" spans="2:14" x14ac:dyDescent="0.25">
      <c r="B1237" s="20">
        <f>Разбивка_по_щитам!B1242</f>
      </c>
      <c r="C1237" s="20">
        <f>Разбивка_по_щитам!C1242</f>
      </c>
      <c r="D1237" s="20">
        <f>Разбивка_по_щитам!F1242</f>
      </c>
      <c r="E1237" s="20">
        <f>Разбивка_по_щитам!H1242</f>
      </c>
      <c r="F1237" s="20">
        <f>Разбивка_по_щитам!I1242</f>
      </c>
      <c r="G1237" s="20">
        <f>Разбивка_по_щитам!J1242</f>
      </c>
      <c r="H1237" s="20">
        <f>Разбивка_по_щитам!K1242</f>
      </c>
      <c r="I1237" s="20">
        <f>Разбивка_по_щитам!L1242</f>
      </c>
      <c r="J1237" s="20">
        <f>Разбивка_по_щитам!M1242</f>
      </c>
      <c r="K1237" s="20">
        <f>Разбивка_по_щитам!N1242</f>
      </c>
      <c r="L1237" s="20"/>
      <c r="M1237" s="20">
        <f>Разбивка_по_щитам!P1242</f>
      </c>
      <c r="N1237" s="20"/>
    </row>
    <row r="1238" spans="2:14" x14ac:dyDescent="0.25">
      <c r="B1238" s="20">
        <f>Разбивка_по_щитам!B1243</f>
      </c>
      <c r="C1238" s="20">
        <f>Разбивка_по_щитам!C1243</f>
      </c>
      <c r="D1238" s="20">
        <f>Разбивка_по_щитам!F1243</f>
      </c>
      <c r="E1238" s="20">
        <f>Разбивка_по_щитам!H1243</f>
      </c>
      <c r="F1238" s="20">
        <f>Разбивка_по_щитам!I1243</f>
      </c>
      <c r="G1238" s="20">
        <f>Разбивка_по_щитам!J1243</f>
      </c>
      <c r="H1238" s="20">
        <f>Разбивка_по_щитам!K1243</f>
      </c>
      <c r="I1238" s="20">
        <f>Разбивка_по_щитам!L1243</f>
      </c>
      <c r="J1238" s="20">
        <f>Разбивка_по_щитам!M1243</f>
      </c>
      <c r="K1238" s="20">
        <f>Разбивка_по_щитам!N1243</f>
      </c>
      <c r="L1238" s="20"/>
      <c r="M1238" s="20">
        <f>Разбивка_по_щитам!P1243</f>
      </c>
      <c r="N1238" s="20"/>
    </row>
    <row r="1239" spans="2:14" x14ac:dyDescent="0.25">
      <c r="B1239" s="20">
        <f>Разбивка_по_щитам!B1244</f>
      </c>
      <c r="C1239" s="20">
        <f>Разбивка_по_щитам!C1244</f>
      </c>
      <c r="D1239" s="20">
        <f>Разбивка_по_щитам!F1244</f>
      </c>
      <c r="E1239" s="20">
        <f>Разбивка_по_щитам!H1244</f>
      </c>
      <c r="F1239" s="20">
        <f>Разбивка_по_щитам!I1244</f>
      </c>
      <c r="G1239" s="20">
        <f>Разбивка_по_щитам!J1244</f>
      </c>
      <c r="H1239" s="20">
        <f>Разбивка_по_щитам!K1244</f>
      </c>
      <c r="I1239" s="20">
        <f>Разбивка_по_щитам!L1244</f>
      </c>
      <c r="J1239" s="20">
        <f>Разбивка_по_щитам!M1244</f>
      </c>
      <c r="K1239" s="20">
        <f>Разбивка_по_щитам!N1244</f>
      </c>
      <c r="L1239" s="20"/>
      <c r="M1239" s="20">
        <f>Разбивка_по_щитам!P1244</f>
      </c>
      <c r="N1239" s="20"/>
    </row>
    <row r="1240" spans="2:14" x14ac:dyDescent="0.25">
      <c r="B1240" s="20">
        <f>Разбивка_по_щитам!B1245</f>
      </c>
      <c r="C1240" s="20">
        <f>Разбивка_по_щитам!C1245</f>
      </c>
      <c r="D1240" s="20">
        <f>Разбивка_по_щитам!F1245</f>
      </c>
      <c r="E1240" s="20">
        <f>Разбивка_по_щитам!H1245</f>
      </c>
      <c r="F1240" s="20">
        <f>Разбивка_по_щитам!I1245</f>
      </c>
      <c r="G1240" s="20">
        <f>Разбивка_по_щитам!J1245</f>
      </c>
      <c r="H1240" s="20">
        <f>Разбивка_по_щитам!K1245</f>
      </c>
      <c r="I1240" s="20">
        <f>Разбивка_по_щитам!L1245</f>
      </c>
      <c r="J1240" s="20">
        <f>Разбивка_по_щитам!M1245</f>
      </c>
      <c r="K1240" s="20">
        <f>Разбивка_по_щитам!N1245</f>
      </c>
      <c r="L1240" s="20"/>
      <c r="M1240" s="20">
        <f>Разбивка_по_щитам!P1245</f>
      </c>
      <c r="N1240" s="20"/>
    </row>
    <row r="1241" spans="2:14" x14ac:dyDescent="0.25">
      <c r="B1241" s="20">
        <f>Разбивка_по_щитам!B1246</f>
      </c>
      <c r="C1241" s="20">
        <f>Разбивка_по_щитам!C1246</f>
      </c>
      <c r="D1241" s="20">
        <f>Разбивка_по_щитам!F1246</f>
      </c>
      <c r="E1241" s="20">
        <f>Разбивка_по_щитам!H1246</f>
      </c>
      <c r="F1241" s="20">
        <f>Разбивка_по_щитам!I1246</f>
      </c>
      <c r="G1241" s="20">
        <f>Разбивка_по_щитам!J1246</f>
      </c>
      <c r="H1241" s="20">
        <f>Разбивка_по_щитам!K1246</f>
      </c>
      <c r="I1241" s="20">
        <f>Разбивка_по_щитам!L1246</f>
      </c>
      <c r="J1241" s="20">
        <f>Разбивка_по_щитам!M1246</f>
      </c>
      <c r="K1241" s="20">
        <f>Разбивка_по_щитам!N1246</f>
      </c>
      <c r="L1241" s="20"/>
      <c r="M1241" s="20">
        <f>Разбивка_по_щитам!P1246</f>
      </c>
      <c r="N1241" s="20"/>
    </row>
    <row r="1242" spans="2:14" x14ac:dyDescent="0.25">
      <c r="B1242" s="20">
        <f>Разбивка_по_щитам!B1247</f>
      </c>
      <c r="C1242" s="20">
        <f>Разбивка_по_щитам!C1247</f>
      </c>
      <c r="D1242" s="20">
        <f>Разбивка_по_щитам!F1247</f>
      </c>
      <c r="E1242" s="20">
        <f>Разбивка_по_щитам!H1247</f>
      </c>
      <c r="F1242" s="20">
        <f>Разбивка_по_щитам!I1247</f>
      </c>
      <c r="G1242" s="20">
        <f>Разбивка_по_щитам!J1247</f>
      </c>
      <c r="H1242" s="20">
        <f>Разбивка_по_щитам!K1247</f>
      </c>
      <c r="I1242" s="20">
        <f>Разбивка_по_щитам!L1247</f>
      </c>
      <c r="J1242" s="20">
        <f>Разбивка_по_щитам!M1247</f>
      </c>
      <c r="K1242" s="20">
        <f>Разбивка_по_щитам!N1247</f>
      </c>
      <c r="L1242" s="20"/>
      <c r="M1242" s="20">
        <f>Разбивка_по_щитам!P1247</f>
      </c>
      <c r="N1242" s="20"/>
    </row>
    <row r="1243" spans="2:14" x14ac:dyDescent="0.25">
      <c r="B1243" s="20">
        <f>Разбивка_по_щитам!B1248</f>
      </c>
      <c r="C1243" s="20">
        <f>Разбивка_по_щитам!C1248</f>
      </c>
      <c r="D1243" s="20">
        <f>Разбивка_по_щитам!F1248</f>
      </c>
      <c r="E1243" s="20">
        <f>Разбивка_по_щитам!H1248</f>
      </c>
      <c r="F1243" s="20">
        <f>Разбивка_по_щитам!I1248</f>
      </c>
      <c r="G1243" s="20">
        <f>Разбивка_по_щитам!J1248</f>
      </c>
      <c r="H1243" s="20">
        <f>Разбивка_по_щитам!K1248</f>
      </c>
      <c r="I1243" s="20">
        <f>Разбивка_по_щитам!L1248</f>
      </c>
      <c r="J1243" s="20">
        <f>Разбивка_по_щитам!M1248</f>
      </c>
      <c r="K1243" s="20">
        <f>Разбивка_по_щитам!N1248</f>
      </c>
      <c r="L1243" s="20"/>
      <c r="M1243" s="20">
        <f>Разбивка_по_щитам!P1248</f>
      </c>
      <c r="N1243" s="20"/>
    </row>
    <row r="1244" spans="2:14" x14ac:dyDescent="0.25">
      <c r="B1244" s="20">
        <f>Разбивка_по_щитам!B1249</f>
      </c>
      <c r="C1244" s="20">
        <f>Разбивка_по_щитам!C1249</f>
      </c>
      <c r="D1244" s="20">
        <f>Разбивка_по_щитам!F1249</f>
      </c>
      <c r="E1244" s="20">
        <f>Разбивка_по_щитам!H1249</f>
      </c>
      <c r="F1244" s="20">
        <f>Разбивка_по_щитам!I1249</f>
      </c>
      <c r="G1244" s="20">
        <f>Разбивка_по_щитам!J1249</f>
      </c>
      <c r="H1244" s="20">
        <f>Разбивка_по_щитам!K1249</f>
      </c>
      <c r="I1244" s="20">
        <f>Разбивка_по_щитам!L1249</f>
      </c>
      <c r="J1244" s="20">
        <f>Разбивка_по_щитам!M1249</f>
      </c>
      <c r="K1244" s="20">
        <f>Разбивка_по_щитам!N1249</f>
      </c>
      <c r="L1244" s="20"/>
      <c r="M1244" s="20">
        <f>Разбивка_по_щитам!P1249</f>
      </c>
      <c r="N1244" s="20"/>
    </row>
    <row r="1245" spans="2:14" x14ac:dyDescent="0.25">
      <c r="B1245" s="20">
        <f>Разбивка_по_щитам!B1250</f>
      </c>
      <c r="C1245" s="20">
        <f>Разбивка_по_щитам!C1250</f>
      </c>
      <c r="D1245" s="20">
        <f>Разбивка_по_щитам!F1250</f>
      </c>
      <c r="E1245" s="20">
        <f>Разбивка_по_щитам!H1250</f>
      </c>
      <c r="F1245" s="20">
        <f>Разбивка_по_щитам!I1250</f>
      </c>
      <c r="G1245" s="20">
        <f>Разбивка_по_щитам!J1250</f>
      </c>
      <c r="H1245" s="20">
        <f>Разбивка_по_щитам!K1250</f>
      </c>
      <c r="I1245" s="20">
        <f>Разбивка_по_щитам!L1250</f>
      </c>
      <c r="J1245" s="20">
        <f>Разбивка_по_щитам!M1250</f>
      </c>
      <c r="K1245" s="20">
        <f>Разбивка_по_щитам!N1250</f>
      </c>
      <c r="L1245" s="20"/>
      <c r="M1245" s="20">
        <f>Разбивка_по_щитам!P1250</f>
      </c>
      <c r="N1245" s="20"/>
    </row>
    <row r="1246" spans="2:14" x14ac:dyDescent="0.25">
      <c r="B1246" s="20">
        <f>Разбивка_по_щитам!B1251</f>
      </c>
      <c r="C1246" s="20">
        <f>Разбивка_по_щитам!C1251</f>
      </c>
      <c r="D1246" s="20">
        <f>Разбивка_по_щитам!F1251</f>
      </c>
      <c r="E1246" s="20">
        <f>Разбивка_по_щитам!H1251</f>
      </c>
      <c r="F1246" s="20">
        <f>Разбивка_по_щитам!I1251</f>
      </c>
      <c r="G1246" s="20">
        <f>Разбивка_по_щитам!J1251</f>
      </c>
      <c r="H1246" s="20">
        <f>Разбивка_по_щитам!K1251</f>
      </c>
      <c r="I1246" s="20">
        <f>Разбивка_по_щитам!L1251</f>
      </c>
      <c r="J1246" s="20">
        <f>Разбивка_по_щитам!M1251</f>
      </c>
      <c r="K1246" s="20">
        <f>Разбивка_по_щитам!N1251</f>
      </c>
      <c r="L1246" s="20"/>
      <c r="M1246" s="20">
        <f>Разбивка_по_щитам!P1251</f>
      </c>
      <c r="N1246" s="20"/>
    </row>
    <row r="1247" spans="2:14" x14ac:dyDescent="0.25">
      <c r="B1247" s="20">
        <f>Разбивка_по_щитам!B1252</f>
      </c>
      <c r="C1247" s="20">
        <f>Разбивка_по_щитам!C1252</f>
      </c>
      <c r="D1247" s="20">
        <f>Разбивка_по_щитам!F1252</f>
      </c>
      <c r="E1247" s="20">
        <f>Разбивка_по_щитам!H1252</f>
      </c>
      <c r="F1247" s="20">
        <f>Разбивка_по_щитам!I1252</f>
      </c>
      <c r="G1247" s="20">
        <f>Разбивка_по_щитам!J1252</f>
      </c>
      <c r="H1247" s="20">
        <f>Разбивка_по_щитам!K1252</f>
      </c>
      <c r="I1247" s="20">
        <f>Разбивка_по_щитам!L1252</f>
      </c>
      <c r="J1247" s="20">
        <f>Разбивка_по_щитам!M1252</f>
      </c>
      <c r="K1247" s="20">
        <f>Разбивка_по_щитам!N1252</f>
      </c>
      <c r="L1247" s="20"/>
      <c r="M1247" s="20">
        <f>Разбивка_по_щитам!P1252</f>
      </c>
      <c r="N1247" s="20"/>
    </row>
    <row r="1248" spans="2:14" x14ac:dyDescent="0.25">
      <c r="B1248" s="20">
        <f>Разбивка_по_щитам!B1253</f>
      </c>
      <c r="C1248" s="20">
        <f>Разбивка_по_щитам!C1253</f>
      </c>
      <c r="D1248" s="20">
        <f>Разбивка_по_щитам!F1253</f>
      </c>
      <c r="E1248" s="20">
        <f>Разбивка_по_щитам!H1253</f>
      </c>
      <c r="F1248" s="20">
        <f>Разбивка_по_щитам!I1253</f>
      </c>
      <c r="G1248" s="20">
        <f>Разбивка_по_щитам!J1253</f>
      </c>
      <c r="H1248" s="20">
        <f>Разбивка_по_щитам!K1253</f>
      </c>
      <c r="I1248" s="20">
        <f>Разбивка_по_щитам!L1253</f>
      </c>
      <c r="J1248" s="20">
        <f>Разбивка_по_щитам!M1253</f>
      </c>
      <c r="K1248" s="20">
        <f>Разбивка_по_щитам!N1253</f>
      </c>
      <c r="L1248" s="20"/>
      <c r="M1248" s="20">
        <f>Разбивка_по_щитам!P1253</f>
      </c>
      <c r="N1248" s="20"/>
    </row>
    <row r="1249" spans="2:14" x14ac:dyDescent="0.25">
      <c r="B1249" s="20">
        <f>Разбивка_по_щитам!B1254</f>
      </c>
      <c r="C1249" s="20">
        <f>Разбивка_по_щитам!C1254</f>
      </c>
      <c r="D1249" s="20">
        <f>Разбивка_по_щитам!F1254</f>
      </c>
      <c r="E1249" s="20">
        <f>Разбивка_по_щитам!H1254</f>
      </c>
      <c r="F1249" s="20">
        <f>Разбивка_по_щитам!I1254</f>
      </c>
      <c r="G1249" s="20">
        <f>Разбивка_по_щитам!J1254</f>
      </c>
      <c r="H1249" s="20">
        <f>Разбивка_по_щитам!K1254</f>
      </c>
      <c r="I1249" s="20">
        <f>Разбивка_по_щитам!L1254</f>
      </c>
      <c r="J1249" s="20">
        <f>Разбивка_по_щитам!M1254</f>
      </c>
      <c r="K1249" s="20">
        <f>Разбивка_по_щитам!N1254</f>
      </c>
      <c r="L1249" s="20"/>
      <c r="M1249" s="20">
        <f>Разбивка_по_щитам!P1254</f>
      </c>
      <c r="N1249" s="20"/>
    </row>
    <row r="1250" spans="2:14" x14ac:dyDescent="0.25">
      <c r="B1250" s="20">
        <f>Разбивка_по_щитам!B1255</f>
      </c>
      <c r="C1250" s="20">
        <f>Разбивка_по_щитам!C1255</f>
      </c>
      <c r="D1250" s="20">
        <f>Разбивка_по_щитам!F1255</f>
      </c>
      <c r="E1250" s="20">
        <f>Разбивка_по_щитам!H1255</f>
      </c>
      <c r="F1250" s="20">
        <f>Разбивка_по_щитам!I1255</f>
      </c>
      <c r="G1250" s="20">
        <f>Разбивка_по_щитам!J1255</f>
      </c>
      <c r="H1250" s="20">
        <f>Разбивка_по_щитам!K1255</f>
      </c>
      <c r="I1250" s="20">
        <f>Разбивка_по_щитам!L1255</f>
      </c>
      <c r="J1250" s="20">
        <f>Разбивка_по_щитам!M1255</f>
      </c>
      <c r="K1250" s="20">
        <f>Разбивка_по_щитам!N1255</f>
      </c>
      <c r="L1250" s="20"/>
      <c r="M1250" s="20">
        <f>Разбивка_по_щитам!P1255</f>
      </c>
      <c r="N1250" s="20"/>
    </row>
    <row r="1251" spans="2:14" x14ac:dyDescent="0.25">
      <c r="B1251" s="20">
        <f>Разбивка_по_щитам!B1256</f>
      </c>
      <c r="C1251" s="20">
        <f>Разбивка_по_щитам!C1256</f>
      </c>
      <c r="D1251" s="20">
        <f>Разбивка_по_щитам!F1256</f>
      </c>
      <c r="E1251" s="20">
        <f>Разбивка_по_щитам!H1256</f>
      </c>
      <c r="F1251" s="20">
        <f>Разбивка_по_щитам!I1256</f>
      </c>
      <c r="G1251" s="20">
        <f>Разбивка_по_щитам!J1256</f>
      </c>
      <c r="H1251" s="20">
        <f>Разбивка_по_щитам!K1256</f>
      </c>
      <c r="I1251" s="20">
        <f>Разбивка_по_щитам!L1256</f>
      </c>
      <c r="J1251" s="20">
        <f>Разбивка_по_щитам!M1256</f>
      </c>
      <c r="K1251" s="20">
        <f>Разбивка_по_щитам!N1256</f>
      </c>
      <c r="L1251" s="20"/>
      <c r="M1251" s="20">
        <f>Разбивка_по_щитам!P1256</f>
      </c>
      <c r="N1251" s="20"/>
    </row>
    <row r="1252" spans="2:14" x14ac:dyDescent="0.25">
      <c r="B1252" s="20">
        <f>Разбивка_по_щитам!B1257</f>
      </c>
      <c r="C1252" s="20">
        <f>Разбивка_по_щитам!C1257</f>
      </c>
      <c r="D1252" s="20">
        <f>Разбивка_по_щитам!F1257</f>
      </c>
      <c r="E1252" s="20">
        <f>Разбивка_по_щитам!H1257</f>
      </c>
      <c r="F1252" s="20">
        <f>Разбивка_по_щитам!I1257</f>
      </c>
      <c r="G1252" s="20">
        <f>Разбивка_по_щитам!J1257</f>
      </c>
      <c r="H1252" s="20">
        <f>Разбивка_по_щитам!K1257</f>
      </c>
      <c r="I1252" s="20">
        <f>Разбивка_по_щитам!L1257</f>
      </c>
      <c r="J1252" s="20">
        <f>Разбивка_по_щитам!M1257</f>
      </c>
      <c r="K1252" s="20">
        <f>Разбивка_по_щитам!N1257</f>
      </c>
      <c r="L1252" s="20"/>
      <c r="M1252" s="20">
        <f>Разбивка_по_щитам!P1257</f>
      </c>
      <c r="N1252" s="20"/>
    </row>
    <row r="1253" spans="2:14" x14ac:dyDescent="0.25">
      <c r="B1253" s="20">
        <f>Разбивка_по_щитам!B1258</f>
      </c>
      <c r="C1253" s="20">
        <f>Разбивка_по_щитам!C1258</f>
      </c>
      <c r="D1253" s="20">
        <f>Разбивка_по_щитам!F1258</f>
      </c>
      <c r="E1253" s="20">
        <f>Разбивка_по_щитам!H1258</f>
      </c>
      <c r="F1253" s="20">
        <f>Разбивка_по_щитам!I1258</f>
      </c>
      <c r="G1253" s="20">
        <f>Разбивка_по_щитам!J1258</f>
      </c>
      <c r="H1253" s="20">
        <f>Разбивка_по_щитам!K1258</f>
      </c>
      <c r="I1253" s="20">
        <f>Разбивка_по_щитам!L1258</f>
      </c>
      <c r="J1253" s="20">
        <f>Разбивка_по_щитам!M1258</f>
      </c>
      <c r="K1253" s="20">
        <f>Разбивка_по_щитам!N1258</f>
      </c>
      <c r="L1253" s="20"/>
      <c r="M1253" s="20">
        <f>Разбивка_по_щитам!P1258</f>
      </c>
      <c r="N1253" s="20"/>
    </row>
    <row r="1254" spans="2:14" x14ac:dyDescent="0.25">
      <c r="B1254" s="20">
        <f>Разбивка_по_щитам!B1259</f>
      </c>
      <c r="C1254" s="20">
        <f>Разбивка_по_щитам!C1259</f>
      </c>
      <c r="D1254" s="20">
        <f>Разбивка_по_щитам!F1259</f>
      </c>
      <c r="E1254" s="20">
        <f>Разбивка_по_щитам!H1259</f>
      </c>
      <c r="F1254" s="20">
        <f>Разбивка_по_щитам!I1259</f>
      </c>
      <c r="G1254" s="20">
        <f>Разбивка_по_щитам!J1259</f>
      </c>
      <c r="H1254" s="20">
        <f>Разбивка_по_щитам!K1259</f>
      </c>
      <c r="I1254" s="20">
        <f>Разбивка_по_щитам!L1259</f>
      </c>
      <c r="J1254" s="20">
        <f>Разбивка_по_щитам!M1259</f>
      </c>
      <c r="K1254" s="20">
        <f>Разбивка_по_щитам!N1259</f>
      </c>
      <c r="L1254" s="20"/>
      <c r="M1254" s="20">
        <f>Разбивка_по_щитам!P1259</f>
      </c>
      <c r="N1254" s="20"/>
    </row>
    <row r="1255" spans="2:14" x14ac:dyDescent="0.25">
      <c r="B1255" s="20">
        <f>Разбивка_по_щитам!B1260</f>
      </c>
      <c r="C1255" s="20">
        <f>Разбивка_по_щитам!C1260</f>
      </c>
      <c r="D1255" s="20">
        <f>Разбивка_по_щитам!F1260</f>
      </c>
      <c r="E1255" s="20">
        <f>Разбивка_по_щитам!H1260</f>
      </c>
      <c r="F1255" s="20">
        <f>Разбивка_по_щитам!I1260</f>
      </c>
      <c r="G1255" s="20">
        <f>Разбивка_по_щитам!J1260</f>
      </c>
      <c r="H1255" s="20">
        <f>Разбивка_по_щитам!K1260</f>
      </c>
      <c r="I1255" s="20">
        <f>Разбивка_по_щитам!L1260</f>
      </c>
      <c r="J1255" s="20">
        <f>Разбивка_по_щитам!M1260</f>
      </c>
      <c r="K1255" s="20">
        <f>Разбивка_по_щитам!N1260</f>
      </c>
      <c r="L1255" s="20"/>
      <c r="M1255" s="20">
        <f>Разбивка_по_щитам!P1260</f>
      </c>
      <c r="N1255" s="20"/>
    </row>
    <row r="1256" spans="2:14" x14ac:dyDescent="0.25">
      <c r="B1256" s="20">
        <f>Разбивка_по_щитам!B1261</f>
      </c>
      <c r="C1256" s="20">
        <f>Разбивка_по_щитам!C1261</f>
      </c>
      <c r="D1256" s="20">
        <f>Разбивка_по_щитам!F1261</f>
      </c>
      <c r="E1256" s="20">
        <f>Разбивка_по_щитам!H1261</f>
      </c>
      <c r="F1256" s="20">
        <f>Разбивка_по_щитам!I1261</f>
      </c>
      <c r="G1256" s="20">
        <f>Разбивка_по_щитам!J1261</f>
      </c>
      <c r="H1256" s="20">
        <f>Разбивка_по_щитам!K1261</f>
      </c>
      <c r="I1256" s="20">
        <f>Разбивка_по_щитам!L1261</f>
      </c>
      <c r="J1256" s="20">
        <f>Разбивка_по_щитам!M1261</f>
      </c>
      <c r="K1256" s="20">
        <f>Разбивка_по_щитам!N1261</f>
      </c>
      <c r="L1256" s="20"/>
      <c r="M1256" s="20">
        <f>Разбивка_по_щитам!P1261</f>
      </c>
      <c r="N1256" s="20"/>
    </row>
    <row r="1257" spans="2:14" x14ac:dyDescent="0.25">
      <c r="B1257" s="20">
        <f>Разбивка_по_щитам!B1262</f>
      </c>
      <c r="C1257" s="20">
        <f>Разбивка_по_щитам!C1262</f>
      </c>
      <c r="D1257" s="20">
        <f>Разбивка_по_щитам!F1262</f>
      </c>
      <c r="E1257" s="20">
        <f>Разбивка_по_щитам!H1262</f>
      </c>
      <c r="F1257" s="20">
        <f>Разбивка_по_щитам!I1262</f>
      </c>
      <c r="G1257" s="20">
        <f>Разбивка_по_щитам!J1262</f>
      </c>
      <c r="H1257" s="20">
        <f>Разбивка_по_щитам!K1262</f>
      </c>
      <c r="I1257" s="20">
        <f>Разбивка_по_щитам!L1262</f>
      </c>
      <c r="J1257" s="20">
        <f>Разбивка_по_щитам!M1262</f>
      </c>
      <c r="K1257" s="20">
        <f>Разбивка_по_щитам!N1262</f>
      </c>
      <c r="L1257" s="20"/>
      <c r="M1257" s="20">
        <f>Разбивка_по_щитам!P1262</f>
      </c>
      <c r="N1257" s="20"/>
    </row>
    <row r="1258" spans="2:14" x14ac:dyDescent="0.25">
      <c r="B1258" s="20">
        <f>Разбивка_по_щитам!B1263</f>
      </c>
      <c r="C1258" s="20">
        <f>Разбивка_по_щитам!C1263</f>
      </c>
      <c r="D1258" s="20">
        <f>Разбивка_по_щитам!F1263</f>
      </c>
      <c r="E1258" s="20">
        <f>Разбивка_по_щитам!H1263</f>
      </c>
      <c r="F1258" s="20">
        <f>Разбивка_по_щитам!I1263</f>
      </c>
      <c r="G1258" s="20">
        <f>Разбивка_по_щитам!J1263</f>
      </c>
      <c r="H1258" s="20">
        <f>Разбивка_по_щитам!K1263</f>
      </c>
      <c r="I1258" s="20">
        <f>Разбивка_по_щитам!L1263</f>
      </c>
      <c r="J1258" s="20">
        <f>Разбивка_по_щитам!M1263</f>
      </c>
      <c r="K1258" s="20">
        <f>Разбивка_по_щитам!N1263</f>
      </c>
      <c r="L1258" s="20"/>
      <c r="M1258" s="20">
        <f>Разбивка_по_щитам!P1263</f>
      </c>
      <c r="N1258" s="20"/>
    </row>
    <row r="1259" spans="2:14" x14ac:dyDescent="0.25">
      <c r="B1259" s="20">
        <f>Разбивка_по_щитам!B1264</f>
      </c>
      <c r="C1259" s="20">
        <f>Разбивка_по_щитам!C1264</f>
      </c>
      <c r="D1259" s="20">
        <f>Разбивка_по_щитам!F1264</f>
      </c>
      <c r="E1259" s="20">
        <f>Разбивка_по_щитам!H1264</f>
      </c>
      <c r="F1259" s="20">
        <f>Разбивка_по_щитам!I1264</f>
      </c>
      <c r="G1259" s="20">
        <f>Разбивка_по_щитам!J1264</f>
      </c>
      <c r="H1259" s="20">
        <f>Разбивка_по_щитам!K1264</f>
      </c>
      <c r="I1259" s="20">
        <f>Разбивка_по_щитам!L1264</f>
      </c>
      <c r="J1259" s="20">
        <f>Разбивка_по_щитам!M1264</f>
      </c>
      <c r="K1259" s="20">
        <f>Разбивка_по_щитам!N1264</f>
      </c>
      <c r="L1259" s="20"/>
      <c r="M1259" s="20">
        <f>Разбивка_по_щитам!P1264</f>
      </c>
      <c r="N1259" s="20"/>
    </row>
    <row r="1260" spans="2:14" x14ac:dyDescent="0.25">
      <c r="B1260" s="20">
        <f>Разбивка_по_щитам!B1265</f>
      </c>
      <c r="C1260" s="20">
        <f>Разбивка_по_щитам!C1265</f>
      </c>
      <c r="D1260" s="20">
        <f>Разбивка_по_щитам!F1265</f>
      </c>
      <c r="E1260" s="20">
        <f>Разбивка_по_щитам!H1265</f>
      </c>
      <c r="F1260" s="20">
        <f>Разбивка_по_щитам!I1265</f>
      </c>
      <c r="G1260" s="20">
        <f>Разбивка_по_щитам!J1265</f>
      </c>
      <c r="H1260" s="20">
        <f>Разбивка_по_щитам!K1265</f>
      </c>
      <c r="I1260" s="20">
        <f>Разбивка_по_щитам!L1265</f>
      </c>
      <c r="J1260" s="20">
        <f>Разбивка_по_щитам!M1265</f>
      </c>
      <c r="K1260" s="20">
        <f>Разбивка_по_щитам!N1265</f>
      </c>
      <c r="L1260" s="20"/>
      <c r="M1260" s="20">
        <f>Разбивка_по_щитам!P1265</f>
      </c>
      <c r="N1260" s="20"/>
    </row>
    <row r="1261" spans="2:14" x14ac:dyDescent="0.25">
      <c r="B1261" s="20">
        <f>Разбивка_по_щитам!B1266</f>
      </c>
      <c r="C1261" s="20">
        <f>Разбивка_по_щитам!C1266</f>
      </c>
      <c r="D1261" s="20">
        <f>Разбивка_по_щитам!F1266</f>
      </c>
      <c r="E1261" s="20">
        <f>Разбивка_по_щитам!H1266</f>
      </c>
      <c r="F1261" s="20">
        <f>Разбивка_по_щитам!I1266</f>
      </c>
      <c r="G1261" s="20">
        <f>Разбивка_по_щитам!J1266</f>
      </c>
      <c r="H1261" s="20">
        <f>Разбивка_по_щитам!K1266</f>
      </c>
      <c r="I1261" s="20">
        <f>Разбивка_по_щитам!L1266</f>
      </c>
      <c r="J1261" s="20">
        <f>Разбивка_по_щитам!M1266</f>
      </c>
      <c r="K1261" s="20">
        <f>Разбивка_по_щитам!N1266</f>
      </c>
      <c r="L1261" s="20"/>
      <c r="M1261" s="20">
        <f>Разбивка_по_щитам!P1266</f>
      </c>
      <c r="N1261" s="20"/>
    </row>
    <row r="1262" spans="2:14" x14ac:dyDescent="0.25">
      <c r="B1262" s="20">
        <f>Разбивка_по_щитам!B1267</f>
      </c>
      <c r="C1262" s="20">
        <f>Разбивка_по_щитам!C1267</f>
      </c>
      <c r="D1262" s="20">
        <f>Разбивка_по_щитам!F1267</f>
      </c>
      <c r="E1262" s="20">
        <f>Разбивка_по_щитам!H1267</f>
      </c>
      <c r="F1262" s="20">
        <f>Разбивка_по_щитам!I1267</f>
      </c>
      <c r="G1262" s="20">
        <f>Разбивка_по_щитам!J1267</f>
      </c>
      <c r="H1262" s="20">
        <f>Разбивка_по_щитам!K1267</f>
      </c>
      <c r="I1262" s="20">
        <f>Разбивка_по_щитам!L1267</f>
      </c>
      <c r="J1262" s="20">
        <f>Разбивка_по_щитам!M1267</f>
      </c>
      <c r="K1262" s="20">
        <f>Разбивка_по_щитам!N1267</f>
      </c>
      <c r="L1262" s="20"/>
      <c r="M1262" s="20">
        <f>Разбивка_по_щитам!P1267</f>
      </c>
      <c r="N1262" s="20"/>
    </row>
    <row r="1263" spans="2:14" x14ac:dyDescent="0.25">
      <c r="B1263" s="20">
        <f>Разбивка_по_щитам!B1268</f>
      </c>
      <c r="C1263" s="20">
        <f>Разбивка_по_щитам!C1268</f>
      </c>
      <c r="D1263" s="20">
        <f>Разбивка_по_щитам!F1268</f>
      </c>
      <c r="E1263" s="20">
        <f>Разбивка_по_щитам!H1268</f>
      </c>
      <c r="F1263" s="20">
        <f>Разбивка_по_щитам!I1268</f>
      </c>
      <c r="G1263" s="20">
        <f>Разбивка_по_щитам!J1268</f>
      </c>
      <c r="H1263" s="20">
        <f>Разбивка_по_щитам!K1268</f>
      </c>
      <c r="I1263" s="20">
        <f>Разбивка_по_щитам!L1268</f>
      </c>
      <c r="J1263" s="20">
        <f>Разбивка_по_щитам!M1268</f>
      </c>
      <c r="K1263" s="20">
        <f>Разбивка_по_щитам!N1268</f>
      </c>
      <c r="L1263" s="20"/>
      <c r="M1263" s="20">
        <f>Разбивка_по_щитам!P1268</f>
      </c>
      <c r="N1263" s="20"/>
    </row>
    <row r="1264" spans="2:14" x14ac:dyDescent="0.25">
      <c r="B1264" s="20">
        <f>Разбивка_по_щитам!B1269</f>
      </c>
      <c r="C1264" s="20">
        <f>Разбивка_по_щитам!C1269</f>
      </c>
      <c r="D1264" s="20">
        <f>Разбивка_по_щитам!F1269</f>
      </c>
      <c r="E1264" s="20">
        <f>Разбивка_по_щитам!H1269</f>
      </c>
      <c r="F1264" s="20">
        <f>Разбивка_по_щитам!I1269</f>
      </c>
      <c r="G1264" s="20">
        <f>Разбивка_по_щитам!J1269</f>
      </c>
      <c r="H1264" s="20">
        <f>Разбивка_по_щитам!K1269</f>
      </c>
      <c r="I1264" s="20">
        <f>Разбивка_по_щитам!L1269</f>
      </c>
      <c r="J1264" s="20">
        <f>Разбивка_по_щитам!M1269</f>
      </c>
      <c r="K1264" s="20">
        <f>Разбивка_по_щитам!N1269</f>
      </c>
      <c r="L1264" s="20"/>
      <c r="M1264" s="20">
        <f>Разбивка_по_щитам!P1269</f>
      </c>
      <c r="N1264" s="20"/>
    </row>
    <row r="1265" spans="2:14" x14ac:dyDescent="0.25">
      <c r="B1265" s="20">
        <f>Разбивка_по_щитам!B1270</f>
      </c>
      <c r="C1265" s="20">
        <f>Разбивка_по_щитам!C1270</f>
      </c>
      <c r="D1265" s="20">
        <f>Разбивка_по_щитам!F1270</f>
      </c>
      <c r="E1265" s="20">
        <f>Разбивка_по_щитам!H1270</f>
      </c>
      <c r="F1265" s="20">
        <f>Разбивка_по_щитам!I1270</f>
      </c>
      <c r="G1265" s="20">
        <f>Разбивка_по_щитам!J1270</f>
      </c>
      <c r="H1265" s="20">
        <f>Разбивка_по_щитам!K1270</f>
      </c>
      <c r="I1265" s="20">
        <f>Разбивка_по_щитам!L1270</f>
      </c>
      <c r="J1265" s="20">
        <f>Разбивка_по_щитам!M1270</f>
      </c>
      <c r="K1265" s="20">
        <f>Разбивка_по_щитам!N1270</f>
      </c>
      <c r="L1265" s="20"/>
      <c r="M1265" s="20">
        <f>Разбивка_по_щитам!P1270</f>
      </c>
      <c r="N1265" s="20"/>
    </row>
    <row r="1266" spans="2:14" x14ac:dyDescent="0.25">
      <c r="B1266" s="20">
        <f>Разбивка_по_щитам!B1271</f>
      </c>
      <c r="C1266" s="20">
        <f>Разбивка_по_щитам!C1271</f>
      </c>
      <c r="D1266" s="20">
        <f>Разбивка_по_щитам!F1271</f>
      </c>
      <c r="E1266" s="20">
        <f>Разбивка_по_щитам!H1271</f>
      </c>
      <c r="F1266" s="20">
        <f>Разбивка_по_щитам!I1271</f>
      </c>
      <c r="G1266" s="20">
        <f>Разбивка_по_щитам!J1271</f>
      </c>
      <c r="H1266" s="20">
        <f>Разбивка_по_щитам!K1271</f>
      </c>
      <c r="I1266" s="20">
        <f>Разбивка_по_щитам!L1271</f>
      </c>
      <c r="J1266" s="20">
        <f>Разбивка_по_щитам!M1271</f>
      </c>
      <c r="K1266" s="20">
        <f>Разбивка_по_щитам!N1271</f>
      </c>
      <c r="L1266" s="20"/>
      <c r="M1266" s="20">
        <f>Разбивка_по_щитам!P1271</f>
      </c>
      <c r="N1266" s="20"/>
    </row>
    <row r="1267" spans="2:14" x14ac:dyDescent="0.25">
      <c r="B1267" s="20">
        <f>Разбивка_по_щитам!B1272</f>
      </c>
      <c r="C1267" s="20">
        <f>Разбивка_по_щитам!C1272</f>
      </c>
      <c r="D1267" s="20">
        <f>Разбивка_по_щитам!F1272</f>
      </c>
      <c r="E1267" s="20">
        <f>Разбивка_по_щитам!H1272</f>
      </c>
      <c r="F1267" s="20">
        <f>Разбивка_по_щитам!I1272</f>
      </c>
      <c r="G1267" s="20">
        <f>Разбивка_по_щитам!J1272</f>
      </c>
      <c r="H1267" s="20">
        <f>Разбивка_по_щитам!K1272</f>
      </c>
      <c r="I1267" s="20">
        <f>Разбивка_по_щитам!L1272</f>
      </c>
      <c r="J1267" s="20">
        <f>Разбивка_по_щитам!M1272</f>
      </c>
      <c r="K1267" s="20">
        <f>Разбивка_по_щитам!N1272</f>
      </c>
      <c r="L1267" s="20"/>
      <c r="M1267" s="20">
        <f>Разбивка_по_щитам!P1272</f>
      </c>
      <c r="N1267" s="20"/>
    </row>
    <row r="1268" spans="2:14" x14ac:dyDescent="0.25">
      <c r="B1268" s="20">
        <f>Разбивка_по_щитам!B1273</f>
      </c>
      <c r="C1268" s="20">
        <f>Разбивка_по_щитам!C1273</f>
      </c>
      <c r="D1268" s="20">
        <f>Разбивка_по_щитам!F1273</f>
      </c>
      <c r="E1268" s="20">
        <f>Разбивка_по_щитам!H1273</f>
      </c>
      <c r="F1268" s="20">
        <f>Разбивка_по_щитам!I1273</f>
      </c>
      <c r="G1268" s="20">
        <f>Разбивка_по_щитам!J1273</f>
      </c>
      <c r="H1268" s="20">
        <f>Разбивка_по_щитам!K1273</f>
      </c>
      <c r="I1268" s="20">
        <f>Разбивка_по_щитам!L1273</f>
      </c>
      <c r="J1268" s="20">
        <f>Разбивка_по_щитам!M1273</f>
      </c>
      <c r="K1268" s="20">
        <f>Разбивка_по_щитам!N1273</f>
      </c>
      <c r="L1268" s="20"/>
      <c r="M1268" s="20">
        <f>Разбивка_по_щитам!P1273</f>
      </c>
      <c r="N1268" s="20"/>
    </row>
    <row r="1269" spans="2:14" x14ac:dyDescent="0.25">
      <c r="B1269" s="20">
        <f>Разбивка_по_щитам!B1274</f>
      </c>
      <c r="C1269" s="20">
        <f>Разбивка_по_щитам!C1274</f>
      </c>
      <c r="D1269" s="20">
        <f>Разбивка_по_щитам!F1274</f>
      </c>
      <c r="E1269" s="20">
        <f>Разбивка_по_щитам!H1274</f>
      </c>
      <c r="F1269" s="20">
        <f>Разбивка_по_щитам!I1274</f>
      </c>
      <c r="G1269" s="20">
        <f>Разбивка_по_щитам!J1274</f>
      </c>
      <c r="H1269" s="20">
        <f>Разбивка_по_щитам!K1274</f>
      </c>
      <c r="I1269" s="20">
        <f>Разбивка_по_щитам!L1274</f>
      </c>
      <c r="J1269" s="20">
        <f>Разбивка_по_щитам!M1274</f>
      </c>
      <c r="K1269" s="20">
        <f>Разбивка_по_щитам!N1274</f>
      </c>
      <c r="L1269" s="20"/>
      <c r="M1269" s="20">
        <f>Разбивка_по_щитам!P1274</f>
      </c>
      <c r="N1269" s="20"/>
    </row>
    <row r="1270" spans="2:14" x14ac:dyDescent="0.25">
      <c r="B1270" s="20">
        <f>Разбивка_по_щитам!B1275</f>
      </c>
      <c r="C1270" s="20">
        <f>Разбивка_по_щитам!C1275</f>
      </c>
      <c r="D1270" s="20">
        <f>Разбивка_по_щитам!F1275</f>
      </c>
      <c r="E1270" s="20">
        <f>Разбивка_по_щитам!H1275</f>
      </c>
      <c r="F1270" s="20">
        <f>Разбивка_по_щитам!I1275</f>
      </c>
      <c r="G1270" s="20">
        <f>Разбивка_по_щитам!J1275</f>
      </c>
      <c r="H1270" s="20">
        <f>Разбивка_по_щитам!K1275</f>
      </c>
      <c r="I1270" s="20">
        <f>Разбивка_по_щитам!L1275</f>
      </c>
      <c r="J1270" s="20">
        <f>Разбивка_по_щитам!M1275</f>
      </c>
      <c r="K1270" s="20">
        <f>Разбивка_по_щитам!N1275</f>
      </c>
      <c r="L1270" s="20"/>
      <c r="M1270" s="20">
        <f>Разбивка_по_щитам!P1275</f>
      </c>
      <c r="N1270" s="20"/>
    </row>
    <row r="1271" spans="2:14" x14ac:dyDescent="0.25">
      <c r="B1271" s="20">
        <f>Разбивка_по_щитам!B1276</f>
      </c>
      <c r="C1271" s="20">
        <f>Разбивка_по_щитам!C1276</f>
      </c>
      <c r="D1271" s="20">
        <f>Разбивка_по_щитам!F1276</f>
      </c>
      <c r="E1271" s="20">
        <f>Разбивка_по_щитам!H1276</f>
      </c>
      <c r="F1271" s="20">
        <f>Разбивка_по_щитам!I1276</f>
      </c>
      <c r="G1271" s="20">
        <f>Разбивка_по_щитам!J1276</f>
      </c>
      <c r="H1271" s="20">
        <f>Разбивка_по_щитам!K1276</f>
      </c>
      <c r="I1271" s="20">
        <f>Разбивка_по_щитам!L1276</f>
      </c>
      <c r="J1271" s="20">
        <f>Разбивка_по_щитам!M1276</f>
      </c>
      <c r="K1271" s="20">
        <f>Разбивка_по_щитам!N1276</f>
      </c>
      <c r="L1271" s="20"/>
      <c r="M1271" s="20">
        <f>Разбивка_по_щитам!P1276</f>
      </c>
      <c r="N1271" s="20"/>
    </row>
    <row r="1272" spans="2:14" x14ac:dyDescent="0.25">
      <c r="B1272" s="20">
        <f>Разбивка_по_щитам!B1277</f>
      </c>
      <c r="C1272" s="20">
        <f>Разбивка_по_щитам!C1277</f>
      </c>
      <c r="D1272" s="20">
        <f>Разбивка_по_щитам!F1277</f>
      </c>
      <c r="E1272" s="20">
        <f>Разбивка_по_щитам!H1277</f>
      </c>
      <c r="F1272" s="20">
        <f>Разбивка_по_щитам!I1277</f>
      </c>
      <c r="G1272" s="20">
        <f>Разбивка_по_щитам!J1277</f>
      </c>
      <c r="H1272" s="20">
        <f>Разбивка_по_щитам!K1277</f>
      </c>
      <c r="I1272" s="20">
        <f>Разбивка_по_щитам!L1277</f>
      </c>
      <c r="J1272" s="20">
        <f>Разбивка_по_щитам!M1277</f>
      </c>
      <c r="K1272" s="20">
        <f>Разбивка_по_щитам!N1277</f>
      </c>
      <c r="L1272" s="20"/>
      <c r="M1272" s="20">
        <f>Разбивка_по_щитам!P1277</f>
      </c>
      <c r="N1272" s="20"/>
    </row>
    <row r="1273" spans="2:14" x14ac:dyDescent="0.25">
      <c r="B1273" s="20">
        <f>Разбивка_по_щитам!B1278</f>
      </c>
      <c r="C1273" s="20">
        <f>Разбивка_по_щитам!C1278</f>
      </c>
      <c r="D1273" s="20">
        <f>Разбивка_по_щитам!F1278</f>
      </c>
      <c r="E1273" s="20">
        <f>Разбивка_по_щитам!H1278</f>
      </c>
      <c r="F1273" s="20">
        <f>Разбивка_по_щитам!I1278</f>
      </c>
      <c r="G1273" s="20">
        <f>Разбивка_по_щитам!J1278</f>
      </c>
      <c r="H1273" s="20">
        <f>Разбивка_по_щитам!K1278</f>
      </c>
      <c r="I1273" s="20">
        <f>Разбивка_по_щитам!L1278</f>
      </c>
      <c r="J1273" s="20">
        <f>Разбивка_по_щитам!M1278</f>
      </c>
      <c r="K1273" s="20">
        <f>Разбивка_по_щитам!N1278</f>
      </c>
      <c r="L1273" s="20"/>
      <c r="M1273" s="20">
        <f>Разбивка_по_щитам!P1278</f>
      </c>
      <c r="N1273" s="20"/>
    </row>
    <row r="1274" spans="2:14" x14ac:dyDescent="0.25">
      <c r="B1274" s="20">
        <f>Разбивка_по_щитам!B1279</f>
      </c>
      <c r="C1274" s="20">
        <f>Разбивка_по_щитам!C1279</f>
      </c>
      <c r="D1274" s="20">
        <f>Разбивка_по_щитам!F1279</f>
      </c>
      <c r="E1274" s="20">
        <f>Разбивка_по_щитам!H1279</f>
      </c>
      <c r="F1274" s="20">
        <f>Разбивка_по_щитам!I1279</f>
      </c>
      <c r="G1274" s="20">
        <f>Разбивка_по_щитам!J1279</f>
      </c>
      <c r="H1274" s="20">
        <f>Разбивка_по_щитам!K1279</f>
      </c>
      <c r="I1274" s="20">
        <f>Разбивка_по_щитам!L1279</f>
      </c>
      <c r="J1274" s="20">
        <f>Разбивка_по_щитам!M1279</f>
      </c>
      <c r="K1274" s="20">
        <f>Разбивка_по_щитам!N1279</f>
      </c>
      <c r="L1274" s="20"/>
      <c r="M1274" s="20">
        <f>Разбивка_по_щитам!P1279</f>
      </c>
      <c r="N1274" s="20"/>
    </row>
    <row r="1275" spans="2:14" x14ac:dyDescent="0.25">
      <c r="B1275" s="20">
        <f>Разбивка_по_щитам!B1280</f>
      </c>
      <c r="C1275" s="20">
        <f>Разбивка_по_щитам!C1280</f>
      </c>
      <c r="D1275" s="20">
        <f>Разбивка_по_щитам!F1280</f>
      </c>
      <c r="E1275" s="20">
        <f>Разбивка_по_щитам!H1280</f>
      </c>
      <c r="F1275" s="20">
        <f>Разбивка_по_щитам!I1280</f>
      </c>
      <c r="G1275" s="20">
        <f>Разбивка_по_щитам!J1280</f>
      </c>
      <c r="H1275" s="20">
        <f>Разбивка_по_щитам!K1280</f>
      </c>
      <c r="I1275" s="20">
        <f>Разбивка_по_щитам!L1280</f>
      </c>
      <c r="J1275" s="20">
        <f>Разбивка_по_щитам!M1280</f>
      </c>
      <c r="K1275" s="20">
        <f>Разбивка_по_щитам!N1280</f>
      </c>
      <c r="L1275" s="20"/>
      <c r="M1275" s="20">
        <f>Разбивка_по_щитам!P1280</f>
      </c>
      <c r="N1275" s="20"/>
    </row>
    <row r="1276" spans="2:14" x14ac:dyDescent="0.25">
      <c r="B1276" s="20">
        <f>Разбивка_по_щитам!B1281</f>
      </c>
      <c r="C1276" s="20">
        <f>Разбивка_по_щитам!C1281</f>
      </c>
      <c r="D1276" s="20">
        <f>Разбивка_по_щитам!F1281</f>
      </c>
      <c r="E1276" s="20">
        <f>Разбивка_по_щитам!H1281</f>
      </c>
      <c r="F1276" s="20">
        <f>Разбивка_по_щитам!I1281</f>
      </c>
      <c r="G1276" s="20">
        <f>Разбивка_по_щитам!J1281</f>
      </c>
      <c r="H1276" s="20">
        <f>Разбивка_по_щитам!K1281</f>
      </c>
      <c r="I1276" s="20">
        <f>Разбивка_по_щитам!L1281</f>
      </c>
      <c r="J1276" s="20">
        <f>Разбивка_по_щитам!M1281</f>
      </c>
      <c r="K1276" s="20">
        <f>Разбивка_по_щитам!N1281</f>
      </c>
      <c r="L1276" s="20"/>
      <c r="M1276" s="20">
        <f>Разбивка_по_щитам!P1281</f>
      </c>
      <c r="N1276" s="20"/>
    </row>
    <row r="1277" spans="2:14" x14ac:dyDescent="0.25">
      <c r="B1277" s="20">
        <f>Разбивка_по_щитам!B1282</f>
      </c>
      <c r="C1277" s="20">
        <f>Разбивка_по_щитам!C1282</f>
      </c>
      <c r="D1277" s="20">
        <f>Разбивка_по_щитам!F1282</f>
      </c>
      <c r="E1277" s="20">
        <f>Разбивка_по_щитам!H1282</f>
      </c>
      <c r="F1277" s="20">
        <f>Разбивка_по_щитам!I1282</f>
      </c>
      <c r="G1277" s="20">
        <f>Разбивка_по_щитам!J1282</f>
      </c>
      <c r="H1277" s="20">
        <f>Разбивка_по_щитам!K1282</f>
      </c>
      <c r="I1277" s="20">
        <f>Разбивка_по_щитам!L1282</f>
      </c>
      <c r="J1277" s="20">
        <f>Разбивка_по_щитам!M1282</f>
      </c>
      <c r="K1277" s="20">
        <f>Разбивка_по_щитам!N1282</f>
      </c>
      <c r="L1277" s="20"/>
      <c r="M1277" s="20">
        <f>Разбивка_по_щитам!P1282</f>
      </c>
      <c r="N1277" s="20"/>
    </row>
    <row r="1278" spans="2:14" x14ac:dyDescent="0.25">
      <c r="B1278" s="20">
        <f>Разбивка_по_щитам!B1283</f>
      </c>
      <c r="C1278" s="20">
        <f>Разбивка_по_щитам!C1283</f>
      </c>
      <c r="D1278" s="20">
        <f>Разбивка_по_щитам!F1283</f>
      </c>
      <c r="E1278" s="20">
        <f>Разбивка_по_щитам!H1283</f>
      </c>
      <c r="F1278" s="20">
        <f>Разбивка_по_щитам!I1283</f>
      </c>
      <c r="G1278" s="20">
        <f>Разбивка_по_щитам!J1283</f>
      </c>
      <c r="H1278" s="20">
        <f>Разбивка_по_щитам!K1283</f>
      </c>
      <c r="I1278" s="20">
        <f>Разбивка_по_щитам!L1283</f>
      </c>
      <c r="J1278" s="20">
        <f>Разбивка_по_щитам!M1283</f>
      </c>
      <c r="K1278" s="20">
        <f>Разбивка_по_щитам!N1283</f>
      </c>
      <c r="L1278" s="20"/>
      <c r="M1278" s="20">
        <f>Разбивка_по_щитам!P1283</f>
      </c>
      <c r="N1278" s="20"/>
    </row>
    <row r="1279" spans="2:14" x14ac:dyDescent="0.25">
      <c r="B1279" s="20">
        <f>Разбивка_по_щитам!B1284</f>
      </c>
      <c r="C1279" s="20">
        <f>Разбивка_по_щитам!C1284</f>
      </c>
      <c r="D1279" s="20">
        <f>Разбивка_по_щитам!F1284</f>
      </c>
      <c r="E1279" s="20">
        <f>Разбивка_по_щитам!H1284</f>
      </c>
      <c r="F1279" s="20">
        <f>Разбивка_по_щитам!I1284</f>
      </c>
      <c r="G1279" s="20">
        <f>Разбивка_по_щитам!J1284</f>
      </c>
      <c r="H1279" s="20">
        <f>Разбивка_по_щитам!K1284</f>
      </c>
      <c r="I1279" s="20">
        <f>Разбивка_по_щитам!L1284</f>
      </c>
      <c r="J1279" s="20">
        <f>Разбивка_по_щитам!M1284</f>
      </c>
      <c r="K1279" s="20">
        <f>Разбивка_по_щитам!N1284</f>
      </c>
      <c r="L1279" s="20"/>
      <c r="M1279" s="20">
        <f>Разбивка_по_щитам!P1284</f>
      </c>
      <c r="N1279" s="20"/>
    </row>
    <row r="1280" spans="2:14" x14ac:dyDescent="0.25">
      <c r="B1280" s="20">
        <f>Разбивка_по_щитам!B1285</f>
      </c>
      <c r="C1280" s="20">
        <f>Разбивка_по_щитам!C1285</f>
      </c>
      <c r="D1280" s="20">
        <f>Разбивка_по_щитам!F1285</f>
      </c>
      <c r="E1280" s="20">
        <f>Разбивка_по_щитам!H1285</f>
      </c>
      <c r="F1280" s="20">
        <f>Разбивка_по_щитам!I1285</f>
      </c>
      <c r="G1280" s="20">
        <f>Разбивка_по_щитам!J1285</f>
      </c>
      <c r="H1280" s="20">
        <f>Разбивка_по_щитам!K1285</f>
      </c>
      <c r="I1280" s="20">
        <f>Разбивка_по_щитам!L1285</f>
      </c>
      <c r="J1280" s="20">
        <f>Разбивка_по_щитам!M1285</f>
      </c>
      <c r="K1280" s="20">
        <f>Разбивка_по_щитам!N1285</f>
      </c>
      <c r="L1280" s="20"/>
      <c r="M1280" s="20">
        <f>Разбивка_по_щитам!P1285</f>
      </c>
      <c r="N1280" s="20"/>
    </row>
    <row r="1281" spans="2:14" x14ac:dyDescent="0.25">
      <c r="B1281" s="20">
        <f>Разбивка_по_щитам!B1286</f>
      </c>
      <c r="C1281" s="20">
        <f>Разбивка_по_щитам!C1286</f>
      </c>
      <c r="D1281" s="20">
        <f>Разбивка_по_щитам!F1286</f>
      </c>
      <c r="E1281" s="20">
        <f>Разбивка_по_щитам!H1286</f>
      </c>
      <c r="F1281" s="20">
        <f>Разбивка_по_щитам!I1286</f>
      </c>
      <c r="G1281" s="20">
        <f>Разбивка_по_щитам!J1286</f>
      </c>
      <c r="H1281" s="20">
        <f>Разбивка_по_щитам!K1286</f>
      </c>
      <c r="I1281" s="20">
        <f>Разбивка_по_щитам!L1286</f>
      </c>
      <c r="J1281" s="20">
        <f>Разбивка_по_щитам!M1286</f>
      </c>
      <c r="K1281" s="20">
        <f>Разбивка_по_щитам!N1286</f>
      </c>
      <c r="L1281" s="20"/>
      <c r="M1281" s="20">
        <f>Разбивка_по_щитам!P1286</f>
      </c>
      <c r="N1281" s="20"/>
    </row>
    <row r="1282" spans="2:14" x14ac:dyDescent="0.25">
      <c r="B1282" s="20">
        <f>Разбивка_по_щитам!B1287</f>
      </c>
      <c r="C1282" s="20">
        <f>Разбивка_по_щитам!C1287</f>
      </c>
      <c r="D1282" s="20">
        <f>Разбивка_по_щитам!F1287</f>
      </c>
      <c r="E1282" s="20">
        <f>Разбивка_по_щитам!H1287</f>
      </c>
      <c r="F1282" s="20">
        <f>Разбивка_по_щитам!I1287</f>
      </c>
      <c r="G1282" s="20">
        <f>Разбивка_по_щитам!J1287</f>
      </c>
      <c r="H1282" s="20">
        <f>Разбивка_по_щитам!K1287</f>
      </c>
      <c r="I1282" s="20">
        <f>Разбивка_по_щитам!L1287</f>
      </c>
      <c r="J1282" s="20">
        <f>Разбивка_по_щитам!M1287</f>
      </c>
      <c r="K1282" s="20">
        <f>Разбивка_по_щитам!N1287</f>
      </c>
      <c r="L1282" s="20"/>
      <c r="M1282" s="20">
        <f>Разбивка_по_щитам!P1287</f>
      </c>
      <c r="N1282" s="20"/>
    </row>
    <row r="1283" spans="2:14" x14ac:dyDescent="0.25">
      <c r="B1283" s="20">
        <f>Разбивка_по_щитам!B1288</f>
      </c>
      <c r="C1283" s="20">
        <f>Разбивка_по_щитам!C1288</f>
      </c>
      <c r="D1283" s="20">
        <f>Разбивка_по_щитам!F1288</f>
      </c>
      <c r="E1283" s="20">
        <f>Разбивка_по_щитам!H1288</f>
      </c>
      <c r="F1283" s="20">
        <f>Разбивка_по_щитам!I1288</f>
      </c>
      <c r="G1283" s="20">
        <f>Разбивка_по_щитам!J1288</f>
      </c>
      <c r="H1283" s="20">
        <f>Разбивка_по_щитам!K1288</f>
      </c>
      <c r="I1283" s="20">
        <f>Разбивка_по_щитам!L1288</f>
      </c>
      <c r="J1283" s="20">
        <f>Разбивка_по_щитам!M1288</f>
      </c>
      <c r="K1283" s="20">
        <f>Разбивка_по_щитам!N1288</f>
      </c>
      <c r="L1283" s="20"/>
      <c r="M1283" s="20">
        <f>Разбивка_по_щитам!P1288</f>
      </c>
      <c r="N1283" s="20"/>
    </row>
    <row r="1284" spans="2:14" x14ac:dyDescent="0.25">
      <c r="B1284" s="20">
        <f>Разбивка_по_щитам!B1289</f>
      </c>
      <c r="C1284" s="20">
        <f>Разбивка_по_щитам!C1289</f>
      </c>
      <c r="D1284" s="20">
        <f>Разбивка_по_щитам!F1289</f>
      </c>
      <c r="E1284" s="20">
        <f>Разбивка_по_щитам!H1289</f>
      </c>
      <c r="F1284" s="20">
        <f>Разбивка_по_щитам!I1289</f>
      </c>
      <c r="G1284" s="20">
        <f>Разбивка_по_щитам!J1289</f>
      </c>
      <c r="H1284" s="20">
        <f>Разбивка_по_щитам!K1289</f>
      </c>
      <c r="I1284" s="20">
        <f>Разбивка_по_щитам!L1289</f>
      </c>
      <c r="J1284" s="20">
        <f>Разбивка_по_щитам!M1289</f>
      </c>
      <c r="K1284" s="20">
        <f>Разбивка_по_щитам!N1289</f>
      </c>
      <c r="L1284" s="20"/>
      <c r="M1284" s="20">
        <f>Разбивка_по_щитам!P1289</f>
      </c>
      <c r="N1284" s="20"/>
    </row>
    <row r="1285" spans="2:14" x14ac:dyDescent="0.25">
      <c r="B1285" s="20">
        <f>Разбивка_по_щитам!B1290</f>
      </c>
      <c r="C1285" s="20">
        <f>Разбивка_по_щитам!C1290</f>
      </c>
      <c r="D1285" s="20">
        <f>Разбивка_по_щитам!F1290</f>
      </c>
      <c r="E1285" s="20">
        <f>Разбивка_по_щитам!H1290</f>
      </c>
      <c r="F1285" s="20">
        <f>Разбивка_по_щитам!I1290</f>
      </c>
      <c r="G1285" s="20">
        <f>Разбивка_по_щитам!J1290</f>
      </c>
      <c r="H1285" s="20">
        <f>Разбивка_по_щитам!K1290</f>
      </c>
      <c r="I1285" s="20">
        <f>Разбивка_по_щитам!L1290</f>
      </c>
      <c r="J1285" s="20">
        <f>Разбивка_по_щитам!M1290</f>
      </c>
      <c r="K1285" s="20">
        <f>Разбивка_по_щитам!N1290</f>
      </c>
      <c r="L1285" s="20"/>
      <c r="M1285" s="20">
        <f>Разбивка_по_щитам!P1290</f>
      </c>
      <c r="N1285" s="20"/>
    </row>
    <row r="1286" spans="2:14" x14ac:dyDescent="0.25">
      <c r="B1286" s="20">
        <f>Разбивка_по_щитам!B1291</f>
      </c>
      <c r="C1286" s="20">
        <f>Разбивка_по_щитам!C1291</f>
      </c>
      <c r="D1286" s="20">
        <f>Разбивка_по_щитам!F1291</f>
      </c>
      <c r="E1286" s="20">
        <f>Разбивка_по_щитам!H1291</f>
      </c>
      <c r="F1286" s="20">
        <f>Разбивка_по_щитам!I1291</f>
      </c>
      <c r="G1286" s="20">
        <f>Разбивка_по_щитам!J1291</f>
      </c>
      <c r="H1286" s="20">
        <f>Разбивка_по_щитам!K1291</f>
      </c>
      <c r="I1286" s="20">
        <f>Разбивка_по_щитам!L1291</f>
      </c>
      <c r="J1286" s="20">
        <f>Разбивка_по_щитам!M1291</f>
      </c>
      <c r="K1286" s="20">
        <f>Разбивка_по_щитам!N1291</f>
      </c>
      <c r="L1286" s="20"/>
      <c r="M1286" s="20">
        <f>Разбивка_по_щитам!P1291</f>
      </c>
      <c r="N1286" s="20"/>
    </row>
    <row r="1287" spans="2:14" x14ac:dyDescent="0.25">
      <c r="B1287" s="20">
        <f>Разбивка_по_щитам!B1292</f>
      </c>
      <c r="C1287" s="20">
        <f>Разбивка_по_щитам!C1292</f>
      </c>
      <c r="D1287" s="20">
        <f>Разбивка_по_щитам!F1292</f>
      </c>
      <c r="E1287" s="20">
        <f>Разбивка_по_щитам!H1292</f>
      </c>
      <c r="F1287" s="20">
        <f>Разбивка_по_щитам!I1292</f>
      </c>
      <c r="G1287" s="20">
        <f>Разбивка_по_щитам!J1292</f>
      </c>
      <c r="H1287" s="20">
        <f>Разбивка_по_щитам!K1292</f>
      </c>
      <c r="I1287" s="20">
        <f>Разбивка_по_щитам!L1292</f>
      </c>
      <c r="J1287" s="20">
        <f>Разбивка_по_щитам!M1292</f>
      </c>
      <c r="K1287" s="20">
        <f>Разбивка_по_щитам!N1292</f>
      </c>
      <c r="L1287" s="20"/>
      <c r="M1287" s="20">
        <f>Разбивка_по_щитам!P1292</f>
      </c>
      <c r="N1287" s="20"/>
    </row>
    <row r="1288" spans="2:14" x14ac:dyDescent="0.25">
      <c r="B1288" s="20">
        <f>Разбивка_по_щитам!B1293</f>
      </c>
      <c r="C1288" s="20">
        <f>Разбивка_по_щитам!C1293</f>
      </c>
      <c r="D1288" s="20">
        <f>Разбивка_по_щитам!F1293</f>
      </c>
      <c r="E1288" s="20">
        <f>Разбивка_по_щитам!H1293</f>
      </c>
      <c r="F1288" s="20">
        <f>Разбивка_по_щитам!I1293</f>
      </c>
      <c r="G1288" s="20">
        <f>Разбивка_по_щитам!J1293</f>
      </c>
      <c r="H1288" s="20">
        <f>Разбивка_по_щитам!K1293</f>
      </c>
      <c r="I1288" s="20">
        <f>Разбивка_по_щитам!L1293</f>
      </c>
      <c r="J1288" s="20">
        <f>Разбивка_по_щитам!M1293</f>
      </c>
      <c r="K1288" s="20">
        <f>Разбивка_по_щитам!N1293</f>
      </c>
      <c r="L1288" s="20"/>
      <c r="M1288" s="20">
        <f>Разбивка_по_щитам!P1293</f>
      </c>
      <c r="N1288" s="20"/>
    </row>
    <row r="1289" spans="2:14" x14ac:dyDescent="0.25">
      <c r="B1289" s="20">
        <f>Разбивка_по_щитам!B1294</f>
      </c>
      <c r="C1289" s="20">
        <f>Разбивка_по_щитам!C1294</f>
      </c>
      <c r="D1289" s="20">
        <f>Разбивка_по_щитам!F1294</f>
      </c>
      <c r="E1289" s="20">
        <f>Разбивка_по_щитам!H1294</f>
      </c>
      <c r="F1289" s="20">
        <f>Разбивка_по_щитам!I1294</f>
      </c>
      <c r="G1289" s="20">
        <f>Разбивка_по_щитам!J1294</f>
      </c>
      <c r="H1289" s="20">
        <f>Разбивка_по_щитам!K1294</f>
      </c>
      <c r="I1289" s="20">
        <f>Разбивка_по_щитам!L1294</f>
      </c>
      <c r="J1289" s="20">
        <f>Разбивка_по_щитам!M1294</f>
      </c>
      <c r="K1289" s="20">
        <f>Разбивка_по_щитам!N1294</f>
      </c>
      <c r="L1289" s="20"/>
      <c r="M1289" s="20">
        <f>Разбивка_по_щитам!P1294</f>
      </c>
      <c r="N1289" s="20"/>
    </row>
    <row r="1290" spans="2:14" x14ac:dyDescent="0.25">
      <c r="B1290" s="20">
        <f>Разбивка_по_щитам!B1295</f>
      </c>
      <c r="C1290" s="20">
        <f>Разбивка_по_щитам!C1295</f>
      </c>
      <c r="D1290" s="20">
        <f>Разбивка_по_щитам!F1295</f>
      </c>
      <c r="E1290" s="20">
        <f>Разбивка_по_щитам!H1295</f>
      </c>
      <c r="F1290" s="20">
        <f>Разбивка_по_щитам!I1295</f>
      </c>
      <c r="G1290" s="20">
        <f>Разбивка_по_щитам!J1295</f>
      </c>
      <c r="H1290" s="20">
        <f>Разбивка_по_щитам!K1295</f>
      </c>
      <c r="I1290" s="20">
        <f>Разбивка_по_щитам!L1295</f>
      </c>
      <c r="J1290" s="20">
        <f>Разбивка_по_щитам!M1295</f>
      </c>
      <c r="K1290" s="20">
        <f>Разбивка_по_щитам!N1295</f>
      </c>
      <c r="L1290" s="20"/>
      <c r="M1290" s="20">
        <f>Разбивка_по_щитам!P1295</f>
      </c>
      <c r="N1290" s="20"/>
    </row>
    <row r="1291" spans="2:14" x14ac:dyDescent="0.25">
      <c r="B1291" s="20">
        <f>Разбивка_по_щитам!B1296</f>
      </c>
      <c r="C1291" s="20">
        <f>Разбивка_по_щитам!C1296</f>
      </c>
      <c r="D1291" s="20">
        <f>Разбивка_по_щитам!F1296</f>
      </c>
      <c r="E1291" s="20">
        <f>Разбивка_по_щитам!H1296</f>
      </c>
      <c r="F1291" s="20">
        <f>Разбивка_по_щитам!I1296</f>
      </c>
      <c r="G1291" s="20">
        <f>Разбивка_по_щитам!J1296</f>
      </c>
      <c r="H1291" s="20">
        <f>Разбивка_по_щитам!K1296</f>
      </c>
      <c r="I1291" s="20">
        <f>Разбивка_по_щитам!L1296</f>
      </c>
      <c r="J1291" s="20">
        <f>Разбивка_по_щитам!M1296</f>
      </c>
      <c r="K1291" s="20">
        <f>Разбивка_по_щитам!N1296</f>
      </c>
      <c r="L1291" s="20"/>
      <c r="M1291" s="20">
        <f>Разбивка_по_щитам!P1296</f>
      </c>
      <c r="N1291" s="20"/>
    </row>
    <row r="1292" spans="2:14" x14ac:dyDescent="0.25">
      <c r="B1292" s="20">
        <f>Разбивка_по_щитам!B1297</f>
      </c>
      <c r="C1292" s="20">
        <f>Разбивка_по_щитам!C1297</f>
      </c>
      <c r="D1292" s="20">
        <f>Разбивка_по_щитам!F1297</f>
      </c>
      <c r="E1292" s="20">
        <f>Разбивка_по_щитам!H1297</f>
      </c>
      <c r="F1292" s="20">
        <f>Разбивка_по_щитам!I1297</f>
      </c>
      <c r="G1292" s="20">
        <f>Разбивка_по_щитам!J1297</f>
      </c>
      <c r="H1292" s="20">
        <f>Разбивка_по_щитам!K1297</f>
      </c>
      <c r="I1292" s="20">
        <f>Разбивка_по_щитам!L1297</f>
      </c>
      <c r="J1292" s="20">
        <f>Разбивка_по_щитам!M1297</f>
      </c>
      <c r="K1292" s="20">
        <f>Разбивка_по_щитам!N1297</f>
      </c>
      <c r="L1292" s="20"/>
      <c r="M1292" s="20">
        <f>Разбивка_по_щитам!P1297</f>
      </c>
      <c r="N1292" s="20"/>
    </row>
    <row r="1293" spans="2:14" x14ac:dyDescent="0.25">
      <c r="B1293" s="20">
        <f>Разбивка_по_щитам!B1298</f>
      </c>
      <c r="C1293" s="20">
        <f>Разбивка_по_щитам!C1298</f>
      </c>
      <c r="D1293" s="20">
        <f>Разбивка_по_щитам!F1298</f>
      </c>
      <c r="E1293" s="20">
        <f>Разбивка_по_щитам!H1298</f>
      </c>
      <c r="F1293" s="20">
        <f>Разбивка_по_щитам!I1298</f>
      </c>
      <c r="G1293" s="20">
        <f>Разбивка_по_щитам!J1298</f>
      </c>
      <c r="H1293" s="20">
        <f>Разбивка_по_щитам!K1298</f>
      </c>
      <c r="I1293" s="20">
        <f>Разбивка_по_щитам!L1298</f>
      </c>
      <c r="J1293" s="20">
        <f>Разбивка_по_щитам!M1298</f>
      </c>
      <c r="K1293" s="20">
        <f>Разбивка_по_щитам!N1298</f>
      </c>
      <c r="L1293" s="20"/>
      <c r="M1293" s="20">
        <f>Разбивка_по_щитам!P1298</f>
      </c>
      <c r="N1293" s="20"/>
    </row>
    <row r="1294" spans="2:14" x14ac:dyDescent="0.25">
      <c r="B1294" s="20">
        <f>Разбивка_по_щитам!B1299</f>
      </c>
      <c r="C1294" s="20">
        <f>Разбивка_по_щитам!C1299</f>
      </c>
      <c r="D1294" s="20">
        <f>Разбивка_по_щитам!F1299</f>
      </c>
      <c r="E1294" s="20">
        <f>Разбивка_по_щитам!H1299</f>
      </c>
      <c r="F1294" s="20">
        <f>Разбивка_по_щитам!I1299</f>
      </c>
      <c r="G1294" s="20">
        <f>Разбивка_по_щитам!J1299</f>
      </c>
      <c r="H1294" s="20">
        <f>Разбивка_по_щитам!K1299</f>
      </c>
      <c r="I1294" s="20">
        <f>Разбивка_по_щитам!L1299</f>
      </c>
      <c r="J1294" s="20">
        <f>Разбивка_по_щитам!M1299</f>
      </c>
      <c r="K1294" s="20">
        <f>Разбивка_по_щитам!N1299</f>
      </c>
      <c r="L1294" s="20"/>
      <c r="M1294" s="20">
        <f>Разбивка_по_щитам!P1299</f>
      </c>
      <c r="N1294" s="20"/>
    </row>
    <row r="1295" spans="2:14" x14ac:dyDescent="0.25">
      <c r="B1295" s="20">
        <f>Разбивка_по_щитам!B1300</f>
      </c>
      <c r="C1295" s="20">
        <f>Разбивка_по_щитам!C1300</f>
      </c>
      <c r="D1295" s="20">
        <f>Разбивка_по_щитам!F1300</f>
      </c>
      <c r="E1295" s="20">
        <f>Разбивка_по_щитам!H1300</f>
      </c>
      <c r="F1295" s="20">
        <f>Разбивка_по_щитам!I1300</f>
      </c>
      <c r="G1295" s="20">
        <f>Разбивка_по_щитам!J1300</f>
      </c>
      <c r="H1295" s="20">
        <f>Разбивка_по_щитам!K1300</f>
      </c>
      <c r="I1295" s="20">
        <f>Разбивка_по_щитам!L1300</f>
      </c>
      <c r="J1295" s="20">
        <f>Разбивка_по_щитам!M1300</f>
      </c>
      <c r="K1295" s="20">
        <f>Разбивка_по_щитам!N1300</f>
      </c>
      <c r="L1295" s="20"/>
      <c r="M1295" s="20">
        <f>Разбивка_по_щитам!P1300</f>
      </c>
      <c r="N1295" s="20"/>
    </row>
    <row r="1296" spans="2:14" x14ac:dyDescent="0.25">
      <c r="B1296" s="20">
        <f>Разбивка_по_щитам!B1301</f>
      </c>
      <c r="C1296" s="20">
        <f>Разбивка_по_щитам!C1301</f>
      </c>
      <c r="D1296" s="20">
        <f>Разбивка_по_щитам!F1301</f>
      </c>
      <c r="E1296" s="20">
        <f>Разбивка_по_щитам!H1301</f>
      </c>
      <c r="F1296" s="20">
        <f>Разбивка_по_щитам!I1301</f>
      </c>
      <c r="G1296" s="20">
        <f>Разбивка_по_щитам!J1301</f>
      </c>
      <c r="H1296" s="20">
        <f>Разбивка_по_щитам!K1301</f>
      </c>
      <c r="I1296" s="20">
        <f>Разбивка_по_щитам!L1301</f>
      </c>
      <c r="J1296" s="20">
        <f>Разбивка_по_щитам!M1301</f>
      </c>
      <c r="K1296" s="20">
        <f>Разбивка_по_щитам!N1301</f>
      </c>
      <c r="L1296" s="20"/>
      <c r="M1296" s="20">
        <f>Разбивка_по_щитам!P1301</f>
      </c>
      <c r="N1296" s="20"/>
    </row>
    <row r="1297" spans="2:14" x14ac:dyDescent="0.25">
      <c r="B1297" s="20">
        <f>Разбивка_по_щитам!B1302</f>
      </c>
      <c r="C1297" s="20">
        <f>Разбивка_по_щитам!C1302</f>
      </c>
      <c r="D1297" s="20">
        <f>Разбивка_по_щитам!F1302</f>
      </c>
      <c r="E1297" s="20">
        <f>Разбивка_по_щитам!H1302</f>
      </c>
      <c r="F1297" s="20">
        <f>Разбивка_по_щитам!I1302</f>
      </c>
      <c r="G1297" s="20">
        <f>Разбивка_по_щитам!J1302</f>
      </c>
      <c r="H1297" s="20">
        <f>Разбивка_по_щитам!K1302</f>
      </c>
      <c r="I1297" s="20">
        <f>Разбивка_по_щитам!L1302</f>
      </c>
      <c r="J1297" s="20">
        <f>Разбивка_по_щитам!M1302</f>
      </c>
      <c r="K1297" s="20">
        <f>Разбивка_по_щитам!N1302</f>
      </c>
      <c r="L1297" s="20"/>
      <c r="M1297" s="20">
        <f>Разбивка_по_щитам!P1302</f>
      </c>
      <c r="N1297" s="20"/>
    </row>
    <row r="1298" spans="2:14" x14ac:dyDescent="0.25">
      <c r="B1298" s="20">
        <f>Разбивка_по_щитам!B1303</f>
      </c>
      <c r="C1298" s="20">
        <f>Разбивка_по_щитам!C1303</f>
      </c>
      <c r="D1298" s="20">
        <f>Разбивка_по_щитам!F1303</f>
      </c>
      <c r="E1298" s="20">
        <f>Разбивка_по_щитам!H1303</f>
      </c>
      <c r="F1298" s="20">
        <f>Разбивка_по_щитам!I1303</f>
      </c>
      <c r="G1298" s="20">
        <f>Разбивка_по_щитам!J1303</f>
      </c>
      <c r="H1298" s="20">
        <f>Разбивка_по_щитам!K1303</f>
      </c>
      <c r="I1298" s="20">
        <f>Разбивка_по_щитам!L1303</f>
      </c>
      <c r="J1298" s="20">
        <f>Разбивка_по_щитам!M1303</f>
      </c>
      <c r="K1298" s="20">
        <f>Разбивка_по_щитам!N1303</f>
      </c>
      <c r="L1298" s="20"/>
      <c r="M1298" s="20">
        <f>Разбивка_по_щитам!P1303</f>
      </c>
      <c r="N1298" s="20"/>
    </row>
    <row r="1299" spans="2:14" x14ac:dyDescent="0.25">
      <c r="B1299" s="20">
        <f>Разбивка_по_щитам!B1304</f>
      </c>
      <c r="C1299" s="20">
        <f>Разбивка_по_щитам!C1304</f>
      </c>
      <c r="D1299" s="20">
        <f>Разбивка_по_щитам!F1304</f>
      </c>
      <c r="E1299" s="20">
        <f>Разбивка_по_щитам!H1304</f>
      </c>
      <c r="F1299" s="20">
        <f>Разбивка_по_щитам!I1304</f>
      </c>
      <c r="G1299" s="20">
        <f>Разбивка_по_щитам!J1304</f>
      </c>
      <c r="H1299" s="20">
        <f>Разбивка_по_щитам!K1304</f>
      </c>
      <c r="I1299" s="20">
        <f>Разбивка_по_щитам!L1304</f>
      </c>
      <c r="J1299" s="20">
        <f>Разбивка_по_щитам!M1304</f>
      </c>
      <c r="K1299" s="20">
        <f>Разбивка_по_щитам!N1304</f>
      </c>
      <c r="L1299" s="20"/>
      <c r="M1299" s="20">
        <f>Разбивка_по_щитам!P1304</f>
      </c>
      <c r="N1299" s="20"/>
    </row>
    <row r="1300" spans="2:14" x14ac:dyDescent="0.25">
      <c r="B1300" s="20">
        <f>Разбивка_по_щитам!B1305</f>
      </c>
      <c r="C1300" s="20">
        <f>Разбивка_по_щитам!C1305</f>
      </c>
      <c r="D1300" s="20">
        <f>Разбивка_по_щитам!F1305</f>
      </c>
      <c r="E1300" s="20">
        <f>Разбивка_по_щитам!H1305</f>
      </c>
      <c r="F1300" s="20">
        <f>Разбивка_по_щитам!I1305</f>
      </c>
      <c r="G1300" s="20">
        <f>Разбивка_по_щитам!J1305</f>
      </c>
      <c r="H1300" s="20">
        <f>Разбивка_по_щитам!K1305</f>
      </c>
      <c r="I1300" s="20">
        <f>Разбивка_по_щитам!L1305</f>
      </c>
      <c r="J1300" s="20">
        <f>Разбивка_по_щитам!M1305</f>
      </c>
      <c r="K1300" s="20">
        <f>Разбивка_по_щитам!N1305</f>
      </c>
      <c r="L1300" s="20"/>
      <c r="M1300" s="20">
        <f>Разбивка_по_щитам!P1305</f>
      </c>
      <c r="N1300" s="20"/>
    </row>
    <row r="1301" spans="2:14" x14ac:dyDescent="0.25">
      <c r="B1301" s="20">
        <f>Разбивка_по_щитам!B1306</f>
      </c>
      <c r="C1301" s="20">
        <f>Разбивка_по_щитам!C1306</f>
      </c>
      <c r="D1301" s="20">
        <f>Разбивка_по_щитам!F1306</f>
      </c>
      <c r="E1301" s="20">
        <f>Разбивка_по_щитам!H1306</f>
      </c>
      <c r="F1301" s="20">
        <f>Разбивка_по_щитам!I1306</f>
      </c>
      <c r="G1301" s="20">
        <f>Разбивка_по_щитам!J1306</f>
      </c>
      <c r="H1301" s="20">
        <f>Разбивка_по_щитам!K1306</f>
      </c>
      <c r="I1301" s="20">
        <f>Разбивка_по_щитам!L1306</f>
      </c>
      <c r="J1301" s="20">
        <f>Разбивка_по_щитам!M1306</f>
      </c>
      <c r="K1301" s="20">
        <f>Разбивка_по_щитам!N1306</f>
      </c>
      <c r="L1301" s="20"/>
      <c r="M1301" s="20">
        <f>Разбивка_по_щитам!P1306</f>
      </c>
      <c r="N1301" s="20"/>
    </row>
    <row r="1302" spans="2:14" x14ac:dyDescent="0.25">
      <c r="B1302" s="20">
        <f>Разбивка_по_щитам!B1307</f>
      </c>
      <c r="C1302" s="20">
        <f>Разбивка_по_щитам!C1307</f>
      </c>
      <c r="D1302" s="20">
        <f>Разбивка_по_щитам!F1307</f>
      </c>
      <c r="E1302" s="20">
        <f>Разбивка_по_щитам!H1307</f>
      </c>
      <c r="F1302" s="20">
        <f>Разбивка_по_щитам!I1307</f>
      </c>
      <c r="G1302" s="20">
        <f>Разбивка_по_щитам!J1307</f>
      </c>
      <c r="H1302" s="20">
        <f>Разбивка_по_щитам!K1307</f>
      </c>
      <c r="I1302" s="20">
        <f>Разбивка_по_щитам!L1307</f>
      </c>
      <c r="J1302" s="20">
        <f>Разбивка_по_щитам!M1307</f>
      </c>
      <c r="K1302" s="20">
        <f>Разбивка_по_щитам!N1307</f>
      </c>
      <c r="L1302" s="20"/>
      <c r="M1302" s="20">
        <f>Разбивка_по_щитам!P1307</f>
      </c>
      <c r="N1302" s="20"/>
    </row>
    <row r="1303" spans="2:14" x14ac:dyDescent="0.25">
      <c r="B1303" s="20">
        <f>Разбивка_по_щитам!B1308</f>
      </c>
      <c r="C1303" s="20">
        <f>Разбивка_по_щитам!C1308</f>
      </c>
      <c r="D1303" s="20">
        <f>Разбивка_по_щитам!F1308</f>
      </c>
      <c r="E1303" s="20">
        <f>Разбивка_по_щитам!H1308</f>
      </c>
      <c r="F1303" s="20">
        <f>Разбивка_по_щитам!I1308</f>
      </c>
      <c r="G1303" s="20">
        <f>Разбивка_по_щитам!J1308</f>
      </c>
      <c r="H1303" s="20">
        <f>Разбивка_по_щитам!K1308</f>
      </c>
      <c r="I1303" s="20">
        <f>Разбивка_по_щитам!L1308</f>
      </c>
      <c r="J1303" s="20">
        <f>Разбивка_по_щитам!M1308</f>
      </c>
      <c r="K1303" s="20">
        <f>Разбивка_по_щитам!N1308</f>
      </c>
      <c r="L1303" s="20"/>
      <c r="M1303" s="20">
        <f>Разбивка_по_щитам!P1308</f>
      </c>
      <c r="N1303" s="20"/>
    </row>
    <row r="1304" spans="2:14" x14ac:dyDescent="0.25">
      <c r="B1304" s="20">
        <f>Разбивка_по_щитам!B1309</f>
      </c>
      <c r="C1304" s="20">
        <f>Разбивка_по_щитам!C1309</f>
      </c>
      <c r="D1304" s="20">
        <f>Разбивка_по_щитам!F1309</f>
      </c>
      <c r="E1304" s="20">
        <f>Разбивка_по_щитам!H1309</f>
      </c>
      <c r="F1304" s="20">
        <f>Разбивка_по_щитам!I1309</f>
      </c>
      <c r="G1304" s="20">
        <f>Разбивка_по_щитам!J1309</f>
      </c>
      <c r="H1304" s="20">
        <f>Разбивка_по_щитам!K1309</f>
      </c>
      <c r="I1304" s="20">
        <f>Разбивка_по_щитам!L1309</f>
      </c>
      <c r="J1304" s="20">
        <f>Разбивка_по_щитам!M1309</f>
      </c>
      <c r="K1304" s="20">
        <f>Разбивка_по_щитам!N1309</f>
      </c>
      <c r="L1304" s="20"/>
      <c r="M1304" s="20">
        <f>Разбивка_по_щитам!P1309</f>
      </c>
      <c r="N1304" s="20"/>
    </row>
    <row r="1305" spans="2:14" x14ac:dyDescent="0.25">
      <c r="B1305" s="20">
        <f>Разбивка_по_щитам!B1310</f>
      </c>
      <c r="C1305" s="20">
        <f>Разбивка_по_щитам!C1310</f>
      </c>
      <c r="D1305" s="20">
        <f>Разбивка_по_щитам!F1310</f>
      </c>
      <c r="E1305" s="20">
        <f>Разбивка_по_щитам!H1310</f>
      </c>
      <c r="F1305" s="20">
        <f>Разбивка_по_щитам!I1310</f>
      </c>
      <c r="G1305" s="20">
        <f>Разбивка_по_щитам!J1310</f>
      </c>
      <c r="H1305" s="20">
        <f>Разбивка_по_щитам!K1310</f>
      </c>
      <c r="I1305" s="20">
        <f>Разбивка_по_щитам!L1310</f>
      </c>
      <c r="J1305" s="20">
        <f>Разбивка_по_щитам!M1310</f>
      </c>
      <c r="K1305" s="20">
        <f>Разбивка_по_щитам!N1310</f>
      </c>
      <c r="L1305" s="20"/>
      <c r="M1305" s="20">
        <f>Разбивка_по_щитам!P1310</f>
      </c>
      <c r="N1305" s="20"/>
    </row>
    <row r="1306" spans="2:14" x14ac:dyDescent="0.25">
      <c r="B1306" s="20">
        <f>Разбивка_по_щитам!B1311</f>
      </c>
      <c r="C1306" s="20">
        <f>Разбивка_по_щитам!C1311</f>
      </c>
      <c r="D1306" s="20">
        <f>Разбивка_по_щитам!F1311</f>
      </c>
      <c r="E1306" s="20">
        <f>Разбивка_по_щитам!H1311</f>
      </c>
      <c r="F1306" s="20">
        <f>Разбивка_по_щитам!I1311</f>
      </c>
      <c r="G1306" s="20">
        <f>Разбивка_по_щитам!J1311</f>
      </c>
      <c r="H1306" s="20">
        <f>Разбивка_по_щитам!K1311</f>
      </c>
      <c r="I1306" s="20">
        <f>Разбивка_по_щитам!L1311</f>
      </c>
      <c r="J1306" s="20">
        <f>Разбивка_по_щитам!M1311</f>
      </c>
      <c r="K1306" s="20">
        <f>Разбивка_по_щитам!N1311</f>
      </c>
      <c r="L1306" s="20"/>
      <c r="M1306" s="20">
        <f>Разбивка_по_щитам!P1311</f>
      </c>
      <c r="N1306" s="20"/>
    </row>
    <row r="1307" spans="2:14" x14ac:dyDescent="0.25">
      <c r="B1307" s="20">
        <f>Разбивка_по_щитам!B1312</f>
      </c>
      <c r="C1307" s="20">
        <f>Разбивка_по_щитам!C1312</f>
      </c>
      <c r="D1307" s="20">
        <f>Разбивка_по_щитам!F1312</f>
      </c>
      <c r="E1307" s="20">
        <f>Разбивка_по_щитам!H1312</f>
      </c>
      <c r="F1307" s="20">
        <f>Разбивка_по_щитам!I1312</f>
      </c>
      <c r="G1307" s="20">
        <f>Разбивка_по_щитам!J1312</f>
      </c>
      <c r="H1307" s="20">
        <f>Разбивка_по_щитам!K1312</f>
      </c>
      <c r="I1307" s="20">
        <f>Разбивка_по_щитам!L1312</f>
      </c>
      <c r="J1307" s="20">
        <f>Разбивка_по_щитам!M1312</f>
      </c>
      <c r="K1307" s="20">
        <f>Разбивка_по_щитам!N1312</f>
      </c>
      <c r="L1307" s="20"/>
      <c r="M1307" s="20">
        <f>Разбивка_по_щитам!P1312</f>
      </c>
      <c r="N1307" s="20"/>
    </row>
    <row r="1308" spans="2:14" x14ac:dyDescent="0.25">
      <c r="B1308" s="20">
        <f>Разбивка_по_щитам!B1313</f>
      </c>
      <c r="C1308" s="20">
        <f>Разбивка_по_щитам!C1313</f>
      </c>
      <c r="D1308" s="20">
        <f>Разбивка_по_щитам!F1313</f>
      </c>
      <c r="E1308" s="20">
        <f>Разбивка_по_щитам!H1313</f>
      </c>
      <c r="F1308" s="20">
        <f>Разбивка_по_щитам!I1313</f>
      </c>
      <c r="G1308" s="20">
        <f>Разбивка_по_щитам!J1313</f>
      </c>
      <c r="H1308" s="20">
        <f>Разбивка_по_щитам!K1313</f>
      </c>
      <c r="I1308" s="20">
        <f>Разбивка_по_щитам!L1313</f>
      </c>
      <c r="J1308" s="20">
        <f>Разбивка_по_щитам!M1313</f>
      </c>
      <c r="K1308" s="20">
        <f>Разбивка_по_щитам!N1313</f>
      </c>
      <c r="L1308" s="20"/>
      <c r="M1308" s="20">
        <f>Разбивка_по_щитам!P1313</f>
      </c>
      <c r="N1308" s="20"/>
    </row>
    <row r="1309" spans="2:14" x14ac:dyDescent="0.25">
      <c r="B1309" s="20">
        <f>Разбивка_по_щитам!B1314</f>
      </c>
      <c r="C1309" s="20">
        <f>Разбивка_по_щитам!C1314</f>
      </c>
      <c r="D1309" s="20">
        <f>Разбивка_по_щитам!F1314</f>
      </c>
      <c r="E1309" s="20">
        <f>Разбивка_по_щитам!H1314</f>
      </c>
      <c r="F1309" s="20">
        <f>Разбивка_по_щитам!I1314</f>
      </c>
      <c r="G1309" s="20">
        <f>Разбивка_по_щитам!J1314</f>
      </c>
      <c r="H1309" s="20">
        <f>Разбивка_по_щитам!K1314</f>
      </c>
      <c r="I1309" s="20">
        <f>Разбивка_по_щитам!L1314</f>
      </c>
      <c r="J1309" s="20">
        <f>Разбивка_по_щитам!M1314</f>
      </c>
      <c r="K1309" s="20">
        <f>Разбивка_по_щитам!N1314</f>
      </c>
      <c r="L1309" s="20"/>
      <c r="M1309" s="20">
        <f>Разбивка_по_щитам!P1314</f>
      </c>
      <c r="N1309" s="20"/>
    </row>
    <row r="1310" spans="2:14" x14ac:dyDescent="0.25">
      <c r="B1310" s="20">
        <f>Разбивка_по_щитам!B1315</f>
      </c>
      <c r="C1310" s="20">
        <f>Разбивка_по_щитам!C1315</f>
      </c>
      <c r="D1310" s="20">
        <f>Разбивка_по_щитам!F1315</f>
      </c>
      <c r="E1310" s="20">
        <f>Разбивка_по_щитам!H1315</f>
      </c>
      <c r="F1310" s="20">
        <f>Разбивка_по_щитам!I1315</f>
      </c>
      <c r="G1310" s="20">
        <f>Разбивка_по_щитам!J1315</f>
      </c>
      <c r="H1310" s="20">
        <f>Разбивка_по_щитам!K1315</f>
      </c>
      <c r="I1310" s="20">
        <f>Разбивка_по_щитам!L1315</f>
      </c>
      <c r="J1310" s="20">
        <f>Разбивка_по_щитам!M1315</f>
      </c>
      <c r="K1310" s="20">
        <f>Разбивка_по_щитам!N1315</f>
      </c>
      <c r="L1310" s="20"/>
      <c r="M1310" s="20">
        <f>Разбивка_по_щитам!P1315</f>
      </c>
      <c r="N1310" s="20"/>
    </row>
    <row r="1311" spans="2:14" x14ac:dyDescent="0.25">
      <c r="B1311" s="20">
        <f>Разбивка_по_щитам!B1316</f>
      </c>
      <c r="C1311" s="20">
        <f>Разбивка_по_щитам!C1316</f>
      </c>
      <c r="D1311" s="20">
        <f>Разбивка_по_щитам!F1316</f>
      </c>
      <c r="E1311" s="20">
        <f>Разбивка_по_щитам!H1316</f>
      </c>
      <c r="F1311" s="20">
        <f>Разбивка_по_щитам!I1316</f>
      </c>
      <c r="G1311" s="20">
        <f>Разбивка_по_щитам!J1316</f>
      </c>
      <c r="H1311" s="20">
        <f>Разбивка_по_щитам!K1316</f>
      </c>
      <c r="I1311" s="20">
        <f>Разбивка_по_щитам!L1316</f>
      </c>
      <c r="J1311" s="20">
        <f>Разбивка_по_щитам!M1316</f>
      </c>
      <c r="K1311" s="20">
        <f>Разбивка_по_щитам!N1316</f>
      </c>
      <c r="L1311" s="20"/>
      <c r="M1311" s="20">
        <f>Разбивка_по_щитам!P1316</f>
      </c>
      <c r="N1311" s="20"/>
    </row>
    <row r="1312" spans="2:14" x14ac:dyDescent="0.25">
      <c r="B1312" s="20">
        <f>Разбивка_по_щитам!B1317</f>
      </c>
      <c r="C1312" s="20">
        <f>Разбивка_по_щитам!C1317</f>
      </c>
      <c r="D1312" s="20">
        <f>Разбивка_по_щитам!F1317</f>
      </c>
      <c r="E1312" s="20">
        <f>Разбивка_по_щитам!H1317</f>
      </c>
      <c r="F1312" s="20">
        <f>Разбивка_по_щитам!I1317</f>
      </c>
      <c r="G1312" s="20">
        <f>Разбивка_по_щитам!J1317</f>
      </c>
      <c r="H1312" s="20">
        <f>Разбивка_по_щитам!K1317</f>
      </c>
      <c r="I1312" s="20">
        <f>Разбивка_по_щитам!L1317</f>
      </c>
      <c r="J1312" s="20">
        <f>Разбивка_по_щитам!M1317</f>
      </c>
      <c r="K1312" s="20">
        <f>Разбивка_по_щитам!N1317</f>
      </c>
      <c r="L1312" s="20"/>
      <c r="M1312" s="20">
        <f>Разбивка_по_щитам!P1317</f>
      </c>
      <c r="N1312" s="20"/>
    </row>
    <row r="1313" spans="2:14" x14ac:dyDescent="0.25">
      <c r="B1313" s="20">
        <f>Разбивка_по_щитам!B1318</f>
      </c>
      <c r="C1313" s="20">
        <f>Разбивка_по_щитам!C1318</f>
      </c>
      <c r="D1313" s="20">
        <f>Разбивка_по_щитам!F1318</f>
      </c>
      <c r="E1313" s="20">
        <f>Разбивка_по_щитам!H1318</f>
      </c>
      <c r="F1313" s="20">
        <f>Разбивка_по_щитам!I1318</f>
      </c>
      <c r="G1313" s="20">
        <f>Разбивка_по_щитам!J1318</f>
      </c>
      <c r="H1313" s="20">
        <f>Разбивка_по_щитам!K1318</f>
      </c>
      <c r="I1313" s="20">
        <f>Разбивка_по_щитам!L1318</f>
      </c>
      <c r="J1313" s="20">
        <f>Разбивка_по_щитам!M1318</f>
      </c>
      <c r="K1313" s="20">
        <f>Разбивка_по_щитам!N1318</f>
      </c>
      <c r="L1313" s="20"/>
      <c r="M1313" s="20">
        <f>Разбивка_по_щитам!P1318</f>
      </c>
      <c r="N1313" s="20"/>
    </row>
    <row r="1314" spans="2:14" x14ac:dyDescent="0.25">
      <c r="B1314" s="20">
        <f>Разбивка_по_щитам!B1319</f>
      </c>
      <c r="C1314" s="20">
        <f>Разбивка_по_щитам!C1319</f>
      </c>
      <c r="D1314" s="20">
        <f>Разбивка_по_щитам!F1319</f>
      </c>
      <c r="E1314" s="20">
        <f>Разбивка_по_щитам!H1319</f>
      </c>
      <c r="F1314" s="20">
        <f>Разбивка_по_щитам!I1319</f>
      </c>
      <c r="G1314" s="20">
        <f>Разбивка_по_щитам!J1319</f>
      </c>
      <c r="H1314" s="20">
        <f>Разбивка_по_щитам!K1319</f>
      </c>
      <c r="I1314" s="20">
        <f>Разбивка_по_щитам!L1319</f>
      </c>
      <c r="J1314" s="20">
        <f>Разбивка_по_щитам!M1319</f>
      </c>
      <c r="K1314" s="20">
        <f>Разбивка_по_щитам!N1319</f>
      </c>
      <c r="L1314" s="20"/>
      <c r="M1314" s="20">
        <f>Разбивка_по_щитам!P1319</f>
      </c>
      <c r="N1314" s="20"/>
    </row>
    <row r="1315" spans="2:14" x14ac:dyDescent="0.25">
      <c r="B1315" s="20">
        <f>Разбивка_по_щитам!B1320</f>
      </c>
      <c r="C1315" s="20">
        <f>Разбивка_по_щитам!C1320</f>
      </c>
      <c r="D1315" s="20">
        <f>Разбивка_по_щитам!F1320</f>
      </c>
      <c r="E1315" s="20">
        <f>Разбивка_по_щитам!H1320</f>
      </c>
      <c r="F1315" s="20">
        <f>Разбивка_по_щитам!I1320</f>
      </c>
      <c r="G1315" s="20">
        <f>Разбивка_по_щитам!J1320</f>
      </c>
      <c r="H1315" s="20">
        <f>Разбивка_по_щитам!K1320</f>
      </c>
      <c r="I1315" s="20">
        <f>Разбивка_по_щитам!L1320</f>
      </c>
      <c r="J1315" s="20">
        <f>Разбивка_по_щитам!M1320</f>
      </c>
      <c r="K1315" s="20">
        <f>Разбивка_по_щитам!N1320</f>
      </c>
      <c r="L1315" s="20"/>
      <c r="M1315" s="20">
        <f>Разбивка_по_щитам!P1320</f>
      </c>
      <c r="N1315" s="20"/>
    </row>
    <row r="1316" spans="2:14" x14ac:dyDescent="0.25">
      <c r="B1316" s="20">
        <f>Разбивка_по_щитам!B1321</f>
      </c>
      <c r="C1316" s="20">
        <f>Разбивка_по_щитам!C1321</f>
      </c>
      <c r="D1316" s="20">
        <f>Разбивка_по_щитам!F1321</f>
      </c>
      <c r="E1316" s="20">
        <f>Разбивка_по_щитам!H1321</f>
      </c>
      <c r="F1316" s="20">
        <f>Разбивка_по_щитам!I1321</f>
      </c>
      <c r="G1316" s="20">
        <f>Разбивка_по_щитам!J1321</f>
      </c>
      <c r="H1316" s="20">
        <f>Разбивка_по_щитам!K1321</f>
      </c>
      <c r="I1316" s="20">
        <f>Разбивка_по_щитам!L1321</f>
      </c>
      <c r="J1316" s="20">
        <f>Разбивка_по_щитам!M1321</f>
      </c>
      <c r="K1316" s="20">
        <f>Разбивка_по_щитам!N1321</f>
      </c>
      <c r="L1316" s="20"/>
      <c r="M1316" s="20">
        <f>Разбивка_по_щитам!P1321</f>
      </c>
      <c r="N1316" s="20"/>
    </row>
    <row r="1317" spans="2:14" x14ac:dyDescent="0.25">
      <c r="B1317" s="20">
        <f>Разбивка_по_щитам!B1322</f>
      </c>
      <c r="C1317" s="20">
        <f>Разбивка_по_щитам!C1322</f>
      </c>
      <c r="D1317" s="20">
        <f>Разбивка_по_щитам!F1322</f>
      </c>
      <c r="E1317" s="20">
        <f>Разбивка_по_щитам!H1322</f>
      </c>
      <c r="F1317" s="20">
        <f>Разбивка_по_щитам!I1322</f>
      </c>
      <c r="G1317" s="20">
        <f>Разбивка_по_щитам!J1322</f>
      </c>
      <c r="H1317" s="20">
        <f>Разбивка_по_щитам!K1322</f>
      </c>
      <c r="I1317" s="20">
        <f>Разбивка_по_щитам!L1322</f>
      </c>
      <c r="J1317" s="20">
        <f>Разбивка_по_щитам!M1322</f>
      </c>
      <c r="K1317" s="20">
        <f>Разбивка_по_щитам!N1322</f>
      </c>
      <c r="L1317" s="20"/>
      <c r="M1317" s="20">
        <f>Разбивка_по_щитам!P1322</f>
      </c>
      <c r="N1317" s="20"/>
    </row>
    <row r="1318" spans="2:14" x14ac:dyDescent="0.25">
      <c r="B1318" s="20">
        <f>Разбивка_по_щитам!B1323</f>
      </c>
      <c r="C1318" s="20">
        <f>Разбивка_по_щитам!C1323</f>
      </c>
      <c r="D1318" s="20">
        <f>Разбивка_по_щитам!F1323</f>
      </c>
      <c r="E1318" s="20">
        <f>Разбивка_по_щитам!H1323</f>
      </c>
      <c r="F1318" s="20">
        <f>Разбивка_по_щитам!I1323</f>
      </c>
      <c r="G1318" s="20">
        <f>Разбивка_по_щитам!J1323</f>
      </c>
      <c r="H1318" s="20">
        <f>Разбивка_по_щитам!K1323</f>
      </c>
      <c r="I1318" s="20">
        <f>Разбивка_по_щитам!L1323</f>
      </c>
      <c r="J1318" s="20">
        <f>Разбивка_по_щитам!M1323</f>
      </c>
      <c r="K1318" s="20">
        <f>Разбивка_по_щитам!N1323</f>
      </c>
      <c r="L1318" s="20"/>
      <c r="M1318" s="20">
        <f>Разбивка_по_щитам!P1323</f>
      </c>
      <c r="N1318" s="20"/>
    </row>
    <row r="1319" spans="2:14" x14ac:dyDescent="0.25">
      <c r="B1319" s="20">
        <f>Разбивка_по_щитам!B1324</f>
      </c>
      <c r="C1319" s="20">
        <f>Разбивка_по_щитам!C1324</f>
      </c>
      <c r="D1319" s="20">
        <f>Разбивка_по_щитам!F1324</f>
      </c>
      <c r="E1319" s="20">
        <f>Разбивка_по_щитам!H1324</f>
      </c>
      <c r="F1319" s="20">
        <f>Разбивка_по_щитам!I1324</f>
      </c>
      <c r="G1319" s="20">
        <f>Разбивка_по_щитам!J1324</f>
      </c>
      <c r="H1319" s="20">
        <f>Разбивка_по_щитам!K1324</f>
      </c>
      <c r="I1319" s="20">
        <f>Разбивка_по_щитам!L1324</f>
      </c>
      <c r="J1319" s="20">
        <f>Разбивка_по_щитам!M1324</f>
      </c>
      <c r="K1319" s="20">
        <f>Разбивка_по_щитам!N1324</f>
      </c>
      <c r="L1319" s="20"/>
      <c r="M1319" s="20">
        <f>Разбивка_по_щитам!P1324</f>
      </c>
      <c r="N1319" s="20"/>
    </row>
    <row r="1320" spans="2:14" x14ac:dyDescent="0.25">
      <c r="B1320" s="20">
        <f>Разбивка_по_щитам!B1325</f>
      </c>
      <c r="C1320" s="20">
        <f>Разбивка_по_щитам!C1325</f>
      </c>
      <c r="D1320" s="20">
        <f>Разбивка_по_щитам!F1325</f>
      </c>
      <c r="E1320" s="20">
        <f>Разбивка_по_щитам!H1325</f>
      </c>
      <c r="F1320" s="20">
        <f>Разбивка_по_щитам!I1325</f>
      </c>
      <c r="G1320" s="20">
        <f>Разбивка_по_щитам!J1325</f>
      </c>
      <c r="H1320" s="20">
        <f>Разбивка_по_щитам!K1325</f>
      </c>
      <c r="I1320" s="20">
        <f>Разбивка_по_щитам!L1325</f>
      </c>
      <c r="J1320" s="20">
        <f>Разбивка_по_щитам!M1325</f>
      </c>
      <c r="K1320" s="20">
        <f>Разбивка_по_щитам!N1325</f>
      </c>
      <c r="L1320" s="20"/>
      <c r="M1320" s="20">
        <f>Разбивка_по_щитам!P1325</f>
      </c>
      <c r="N1320" s="20"/>
    </row>
    <row r="1321" spans="2:14" x14ac:dyDescent="0.25">
      <c r="B1321" s="20">
        <f>Разбивка_по_щитам!B1326</f>
      </c>
      <c r="C1321" s="20">
        <f>Разбивка_по_щитам!C1326</f>
      </c>
      <c r="D1321" s="20">
        <f>Разбивка_по_щитам!F1326</f>
      </c>
      <c r="E1321" s="20">
        <f>Разбивка_по_щитам!H1326</f>
      </c>
      <c r="F1321" s="20">
        <f>Разбивка_по_щитам!I1326</f>
      </c>
      <c r="G1321" s="20">
        <f>Разбивка_по_щитам!J1326</f>
      </c>
      <c r="H1321" s="20">
        <f>Разбивка_по_щитам!K1326</f>
      </c>
      <c r="I1321" s="20">
        <f>Разбивка_по_щитам!L1326</f>
      </c>
      <c r="J1321" s="20">
        <f>Разбивка_по_щитам!M1326</f>
      </c>
      <c r="K1321" s="20">
        <f>Разбивка_по_щитам!N1326</f>
      </c>
      <c r="L1321" s="20"/>
      <c r="M1321" s="20">
        <f>Разбивка_по_щитам!P1326</f>
      </c>
      <c r="N1321" s="20"/>
    </row>
    <row r="1322" spans="2:14" x14ac:dyDescent="0.25">
      <c r="B1322" s="20">
        <f>Разбивка_по_щитам!B1327</f>
      </c>
      <c r="C1322" s="20">
        <f>Разбивка_по_щитам!C1327</f>
      </c>
      <c r="D1322" s="20">
        <f>Разбивка_по_щитам!F1327</f>
      </c>
      <c r="E1322" s="20">
        <f>Разбивка_по_щитам!H1327</f>
      </c>
      <c r="F1322" s="20">
        <f>Разбивка_по_щитам!I1327</f>
      </c>
      <c r="G1322" s="20">
        <f>Разбивка_по_щитам!J1327</f>
      </c>
      <c r="H1322" s="20">
        <f>Разбивка_по_щитам!K1327</f>
      </c>
      <c r="I1322" s="20">
        <f>Разбивка_по_щитам!L1327</f>
      </c>
      <c r="J1322" s="20">
        <f>Разбивка_по_щитам!M1327</f>
      </c>
      <c r="K1322" s="20">
        <f>Разбивка_по_щитам!N1327</f>
      </c>
      <c r="L1322" s="20"/>
      <c r="M1322" s="20">
        <f>Разбивка_по_щитам!P1327</f>
      </c>
      <c r="N1322" s="20"/>
    </row>
    <row r="1323" spans="2:14" x14ac:dyDescent="0.25">
      <c r="B1323" s="20">
        <f>Разбивка_по_щитам!B1328</f>
      </c>
      <c r="C1323" s="20">
        <f>Разбивка_по_щитам!C1328</f>
      </c>
      <c r="D1323" s="20">
        <f>Разбивка_по_щитам!F1328</f>
      </c>
      <c r="E1323" s="20">
        <f>Разбивка_по_щитам!H1328</f>
      </c>
      <c r="F1323" s="20">
        <f>Разбивка_по_щитам!I1328</f>
      </c>
      <c r="G1323" s="20">
        <f>Разбивка_по_щитам!J1328</f>
      </c>
      <c r="H1323" s="20">
        <f>Разбивка_по_щитам!K1328</f>
      </c>
      <c r="I1323" s="20">
        <f>Разбивка_по_щитам!L1328</f>
      </c>
      <c r="J1323" s="20">
        <f>Разбивка_по_щитам!M1328</f>
      </c>
      <c r="K1323" s="20">
        <f>Разбивка_по_щитам!N1328</f>
      </c>
      <c r="L1323" s="20"/>
      <c r="M1323" s="20">
        <f>Разбивка_по_щитам!P1328</f>
      </c>
      <c r="N1323" s="20"/>
    </row>
    <row r="1324" spans="2:14" x14ac:dyDescent="0.25">
      <c r="B1324" s="20">
        <f>Разбивка_по_щитам!B1329</f>
      </c>
      <c r="C1324" s="20">
        <f>Разбивка_по_щитам!C1329</f>
      </c>
      <c r="D1324" s="20">
        <f>Разбивка_по_щитам!F1329</f>
      </c>
      <c r="E1324" s="20">
        <f>Разбивка_по_щитам!H1329</f>
      </c>
      <c r="F1324" s="20">
        <f>Разбивка_по_щитам!I1329</f>
      </c>
      <c r="G1324" s="20">
        <f>Разбивка_по_щитам!J1329</f>
      </c>
      <c r="H1324" s="20">
        <f>Разбивка_по_щитам!K1329</f>
      </c>
      <c r="I1324" s="20">
        <f>Разбивка_по_щитам!L1329</f>
      </c>
      <c r="J1324" s="20">
        <f>Разбивка_по_щитам!M1329</f>
      </c>
      <c r="K1324" s="20">
        <f>Разбивка_по_щитам!N1329</f>
      </c>
      <c r="L1324" s="20"/>
      <c r="M1324" s="20">
        <f>Разбивка_по_щитам!P1329</f>
      </c>
      <c r="N1324" s="20"/>
    </row>
    <row r="1325" spans="2:14" x14ac:dyDescent="0.25">
      <c r="B1325" s="20">
        <f>Разбивка_по_щитам!B1330</f>
      </c>
      <c r="C1325" s="20">
        <f>Разбивка_по_щитам!C1330</f>
      </c>
      <c r="D1325" s="20">
        <f>Разбивка_по_щитам!F1330</f>
      </c>
      <c r="E1325" s="20">
        <f>Разбивка_по_щитам!H1330</f>
      </c>
      <c r="F1325" s="20">
        <f>Разбивка_по_щитам!I1330</f>
      </c>
      <c r="G1325" s="20">
        <f>Разбивка_по_щитам!J1330</f>
      </c>
      <c r="H1325" s="20">
        <f>Разбивка_по_щитам!K1330</f>
      </c>
      <c r="I1325" s="20">
        <f>Разбивка_по_щитам!L1330</f>
      </c>
      <c r="J1325" s="20">
        <f>Разбивка_по_щитам!M1330</f>
      </c>
      <c r="K1325" s="20">
        <f>Разбивка_по_щитам!N1330</f>
      </c>
      <c r="L1325" s="20"/>
      <c r="M1325" s="20">
        <f>Разбивка_по_щитам!P1330</f>
      </c>
      <c r="N1325" s="20"/>
    </row>
    <row r="1326" spans="2:14" x14ac:dyDescent="0.25">
      <c r="B1326" s="20">
        <f>Разбивка_по_щитам!B1331</f>
      </c>
      <c r="C1326" s="20">
        <f>Разбивка_по_щитам!C1331</f>
      </c>
      <c r="D1326" s="20">
        <f>Разбивка_по_щитам!F1331</f>
      </c>
      <c r="E1326" s="20">
        <f>Разбивка_по_щитам!H1331</f>
      </c>
      <c r="F1326" s="20">
        <f>Разбивка_по_щитам!I1331</f>
      </c>
      <c r="G1326" s="20">
        <f>Разбивка_по_щитам!J1331</f>
      </c>
      <c r="H1326" s="20">
        <f>Разбивка_по_щитам!K1331</f>
      </c>
      <c r="I1326" s="20">
        <f>Разбивка_по_щитам!L1331</f>
      </c>
      <c r="J1326" s="20">
        <f>Разбивка_по_щитам!M1331</f>
      </c>
      <c r="K1326" s="20">
        <f>Разбивка_по_щитам!N1331</f>
      </c>
      <c r="L1326" s="20"/>
      <c r="M1326" s="20">
        <f>Разбивка_по_щитам!P1331</f>
      </c>
      <c r="N1326" s="20"/>
    </row>
    <row r="1327" spans="2:14" x14ac:dyDescent="0.25">
      <c r="B1327" s="20">
        <f>Разбивка_по_щитам!B1332</f>
      </c>
      <c r="C1327" s="20">
        <f>Разбивка_по_щитам!C1332</f>
      </c>
      <c r="D1327" s="20">
        <f>Разбивка_по_щитам!F1332</f>
      </c>
      <c r="E1327" s="20">
        <f>Разбивка_по_щитам!H1332</f>
      </c>
      <c r="F1327" s="20">
        <f>Разбивка_по_щитам!I1332</f>
      </c>
      <c r="G1327" s="20">
        <f>Разбивка_по_щитам!J1332</f>
      </c>
      <c r="H1327" s="20">
        <f>Разбивка_по_щитам!K1332</f>
      </c>
      <c r="I1327" s="20">
        <f>Разбивка_по_щитам!L1332</f>
      </c>
      <c r="J1327" s="20">
        <f>Разбивка_по_щитам!M1332</f>
      </c>
      <c r="K1327" s="20">
        <f>Разбивка_по_щитам!N1332</f>
      </c>
      <c r="L1327" s="20"/>
      <c r="M1327" s="20">
        <f>Разбивка_по_щитам!P1332</f>
      </c>
      <c r="N1327" s="20"/>
    </row>
    <row r="1328" spans="2:14" x14ac:dyDescent="0.25">
      <c r="B1328" s="20">
        <f>Разбивка_по_щитам!B1333</f>
      </c>
      <c r="C1328" s="20">
        <f>Разбивка_по_щитам!C1333</f>
      </c>
      <c r="D1328" s="20">
        <f>Разбивка_по_щитам!F1333</f>
      </c>
      <c r="E1328" s="20">
        <f>Разбивка_по_щитам!H1333</f>
      </c>
      <c r="F1328" s="20">
        <f>Разбивка_по_щитам!I1333</f>
      </c>
      <c r="G1328" s="20">
        <f>Разбивка_по_щитам!J1333</f>
      </c>
      <c r="H1328" s="20">
        <f>Разбивка_по_щитам!K1333</f>
      </c>
      <c r="I1328" s="20">
        <f>Разбивка_по_щитам!L1333</f>
      </c>
      <c r="J1328" s="20">
        <f>Разбивка_по_щитам!M1333</f>
      </c>
      <c r="K1328" s="20">
        <f>Разбивка_по_щитам!N1333</f>
      </c>
      <c r="L1328" s="20"/>
      <c r="M1328" s="20">
        <f>Разбивка_по_щитам!P1333</f>
      </c>
      <c r="N1328" s="20"/>
    </row>
    <row r="1329" spans="2:14" x14ac:dyDescent="0.25">
      <c r="B1329" s="20">
        <f>Разбивка_по_щитам!B1334</f>
      </c>
      <c r="C1329" s="20">
        <f>Разбивка_по_щитам!C1334</f>
      </c>
      <c r="D1329" s="20">
        <f>Разбивка_по_щитам!F1334</f>
      </c>
      <c r="E1329" s="20">
        <f>Разбивка_по_щитам!H1334</f>
      </c>
      <c r="F1329" s="20">
        <f>Разбивка_по_щитам!I1334</f>
      </c>
      <c r="G1329" s="20">
        <f>Разбивка_по_щитам!J1334</f>
      </c>
      <c r="H1329" s="20">
        <f>Разбивка_по_щитам!K1334</f>
      </c>
      <c r="I1329" s="20">
        <f>Разбивка_по_щитам!L1334</f>
      </c>
      <c r="J1329" s="20">
        <f>Разбивка_по_щитам!M1334</f>
      </c>
      <c r="K1329" s="20">
        <f>Разбивка_по_щитам!N1334</f>
      </c>
      <c r="L1329" s="20"/>
      <c r="M1329" s="20">
        <f>Разбивка_по_щитам!P1334</f>
      </c>
      <c r="N1329" s="20"/>
    </row>
    <row r="1330" spans="2:14" x14ac:dyDescent="0.25">
      <c r="B1330" s="20">
        <f>Разбивка_по_щитам!B1335</f>
      </c>
      <c r="C1330" s="20">
        <f>Разбивка_по_щитам!C1335</f>
      </c>
      <c r="D1330" s="20">
        <f>Разбивка_по_щитам!F1335</f>
      </c>
      <c r="E1330" s="20">
        <f>Разбивка_по_щитам!H1335</f>
      </c>
      <c r="F1330" s="20">
        <f>Разбивка_по_щитам!I1335</f>
      </c>
      <c r="G1330" s="20">
        <f>Разбивка_по_щитам!J1335</f>
      </c>
      <c r="H1330" s="20">
        <f>Разбивка_по_щитам!K1335</f>
      </c>
      <c r="I1330" s="20">
        <f>Разбивка_по_щитам!L1335</f>
      </c>
      <c r="J1330" s="20">
        <f>Разбивка_по_щитам!M1335</f>
      </c>
      <c r="K1330" s="20">
        <f>Разбивка_по_щитам!N1335</f>
      </c>
      <c r="L1330" s="20"/>
      <c r="M1330" s="20">
        <f>Разбивка_по_щитам!P1335</f>
      </c>
      <c r="N1330" s="20"/>
    </row>
    <row r="1331" spans="2:14" x14ac:dyDescent="0.25">
      <c r="B1331" s="20">
        <f>Разбивка_по_щитам!B1336</f>
      </c>
      <c r="C1331" s="20">
        <f>Разбивка_по_щитам!C1336</f>
      </c>
      <c r="D1331" s="20">
        <f>Разбивка_по_щитам!F1336</f>
      </c>
      <c r="E1331" s="20">
        <f>Разбивка_по_щитам!H1336</f>
      </c>
      <c r="F1331" s="20">
        <f>Разбивка_по_щитам!I1336</f>
      </c>
      <c r="G1331" s="20">
        <f>Разбивка_по_щитам!J1336</f>
      </c>
      <c r="H1331" s="20">
        <f>Разбивка_по_щитам!K1336</f>
      </c>
      <c r="I1331" s="20">
        <f>Разбивка_по_щитам!L1336</f>
      </c>
      <c r="J1331" s="20">
        <f>Разбивка_по_щитам!M1336</f>
      </c>
      <c r="K1331" s="20">
        <f>Разбивка_по_щитам!N1336</f>
      </c>
      <c r="L1331" s="20"/>
      <c r="M1331" s="20">
        <f>Разбивка_по_щитам!P1336</f>
      </c>
      <c r="N1331" s="20"/>
    </row>
    <row r="1332" spans="2:14" x14ac:dyDescent="0.25">
      <c r="B1332" s="20">
        <f>Разбивка_по_щитам!B1337</f>
      </c>
      <c r="C1332" s="20">
        <f>Разбивка_по_щитам!C1337</f>
      </c>
      <c r="D1332" s="20">
        <f>Разбивка_по_щитам!F1337</f>
      </c>
      <c r="E1332" s="20">
        <f>Разбивка_по_щитам!H1337</f>
      </c>
      <c r="F1332" s="20">
        <f>Разбивка_по_щитам!I1337</f>
      </c>
      <c r="G1332" s="20">
        <f>Разбивка_по_щитам!J1337</f>
      </c>
      <c r="H1332" s="20">
        <f>Разбивка_по_щитам!K1337</f>
      </c>
      <c r="I1332" s="20">
        <f>Разбивка_по_щитам!L1337</f>
      </c>
      <c r="J1332" s="20">
        <f>Разбивка_по_щитам!M1337</f>
      </c>
      <c r="K1332" s="20">
        <f>Разбивка_по_щитам!N1337</f>
      </c>
      <c r="L1332" s="20"/>
      <c r="M1332" s="20">
        <f>Разбивка_по_щитам!P1337</f>
      </c>
      <c r="N1332" s="20"/>
    </row>
    <row r="1333" spans="2:14" x14ac:dyDescent="0.25">
      <c r="B1333" s="20">
        <f>Разбивка_по_щитам!B1338</f>
      </c>
      <c r="C1333" s="20">
        <f>Разбивка_по_щитам!C1338</f>
      </c>
      <c r="D1333" s="20">
        <f>Разбивка_по_щитам!F1338</f>
      </c>
      <c r="E1333" s="20">
        <f>Разбивка_по_щитам!H1338</f>
      </c>
      <c r="F1333" s="20">
        <f>Разбивка_по_щитам!I1338</f>
      </c>
      <c r="G1333" s="20">
        <f>Разбивка_по_щитам!J1338</f>
      </c>
      <c r="H1333" s="20">
        <f>Разбивка_по_щитам!K1338</f>
      </c>
      <c r="I1333" s="20">
        <f>Разбивка_по_щитам!L1338</f>
      </c>
      <c r="J1333" s="20">
        <f>Разбивка_по_щитам!M1338</f>
      </c>
      <c r="K1333" s="20">
        <f>Разбивка_по_щитам!N1338</f>
      </c>
      <c r="L1333" s="20"/>
      <c r="M1333" s="20">
        <f>Разбивка_по_щитам!P1338</f>
      </c>
      <c r="N1333" s="20"/>
    </row>
    <row r="1334" spans="2:14" x14ac:dyDescent="0.25">
      <c r="B1334" s="20">
        <f>Разбивка_по_щитам!B1339</f>
      </c>
      <c r="C1334" s="20">
        <f>Разбивка_по_щитам!C1339</f>
      </c>
      <c r="D1334" s="20">
        <f>Разбивка_по_щитам!F1339</f>
      </c>
      <c r="E1334" s="20">
        <f>Разбивка_по_щитам!H1339</f>
      </c>
      <c r="F1334" s="20">
        <f>Разбивка_по_щитам!I1339</f>
      </c>
      <c r="G1334" s="20">
        <f>Разбивка_по_щитам!J1339</f>
      </c>
      <c r="H1334" s="20">
        <f>Разбивка_по_щитам!K1339</f>
      </c>
      <c r="I1334" s="20">
        <f>Разбивка_по_щитам!L1339</f>
      </c>
      <c r="J1334" s="20">
        <f>Разбивка_по_щитам!M1339</f>
      </c>
      <c r="K1334" s="20">
        <f>Разбивка_по_щитам!N1339</f>
      </c>
      <c r="L1334" s="20"/>
      <c r="M1334" s="20">
        <f>Разбивка_по_щитам!P1339</f>
      </c>
      <c r="N1334" s="20"/>
    </row>
    <row r="1335" spans="2:14" x14ac:dyDescent="0.25">
      <c r="B1335" s="20">
        <f>Разбивка_по_щитам!B1340</f>
      </c>
      <c r="C1335" s="20">
        <f>Разбивка_по_щитам!C1340</f>
      </c>
      <c r="D1335" s="20">
        <f>Разбивка_по_щитам!F1340</f>
      </c>
      <c r="E1335" s="20">
        <f>Разбивка_по_щитам!H1340</f>
      </c>
      <c r="F1335" s="20">
        <f>Разбивка_по_щитам!I1340</f>
      </c>
      <c r="G1335" s="20">
        <f>Разбивка_по_щитам!J1340</f>
      </c>
      <c r="H1335" s="20">
        <f>Разбивка_по_щитам!K1340</f>
      </c>
      <c r="I1335" s="20">
        <f>Разбивка_по_щитам!L1340</f>
      </c>
      <c r="J1335" s="20">
        <f>Разбивка_по_щитам!M1340</f>
      </c>
      <c r="K1335" s="20">
        <f>Разбивка_по_щитам!N1340</f>
      </c>
      <c r="L1335" s="20"/>
      <c r="M1335" s="20">
        <f>Разбивка_по_щитам!P1340</f>
      </c>
      <c r="N1335" s="20"/>
    </row>
    <row r="1336" spans="2:14" x14ac:dyDescent="0.25">
      <c r="B1336" s="20">
        <f>Разбивка_по_щитам!B1341</f>
      </c>
      <c r="C1336" s="20">
        <f>Разбивка_по_щитам!C1341</f>
      </c>
      <c r="D1336" s="20">
        <f>Разбивка_по_щитам!F1341</f>
      </c>
      <c r="E1336" s="20">
        <f>Разбивка_по_щитам!H1341</f>
      </c>
      <c r="F1336" s="20">
        <f>Разбивка_по_щитам!I1341</f>
      </c>
      <c r="G1336" s="20">
        <f>Разбивка_по_щитам!J1341</f>
      </c>
      <c r="H1336" s="20">
        <f>Разбивка_по_щитам!K1341</f>
      </c>
      <c r="I1336" s="20">
        <f>Разбивка_по_щитам!L1341</f>
      </c>
      <c r="J1336" s="20">
        <f>Разбивка_по_щитам!M1341</f>
      </c>
      <c r="K1336" s="20">
        <f>Разбивка_по_щитам!N1341</f>
      </c>
      <c r="L1336" s="20"/>
      <c r="M1336" s="20">
        <f>Разбивка_по_щитам!P1341</f>
      </c>
      <c r="N1336" s="20"/>
    </row>
    <row r="1337" spans="2:14" x14ac:dyDescent="0.25">
      <c r="B1337" s="20">
        <f>Разбивка_по_щитам!B1342</f>
      </c>
      <c r="C1337" s="20">
        <f>Разбивка_по_щитам!C1342</f>
      </c>
      <c r="D1337" s="20">
        <f>Разбивка_по_щитам!F1342</f>
      </c>
      <c r="E1337" s="20">
        <f>Разбивка_по_щитам!H1342</f>
      </c>
      <c r="F1337" s="20">
        <f>Разбивка_по_щитам!I1342</f>
      </c>
      <c r="G1337" s="20">
        <f>Разбивка_по_щитам!J1342</f>
      </c>
      <c r="H1337" s="20">
        <f>Разбивка_по_щитам!K1342</f>
      </c>
      <c r="I1337" s="20">
        <f>Разбивка_по_щитам!L1342</f>
      </c>
      <c r="J1337" s="20">
        <f>Разбивка_по_щитам!M1342</f>
      </c>
      <c r="K1337" s="20">
        <f>Разбивка_по_щитам!N1342</f>
      </c>
      <c r="L1337" s="20"/>
      <c r="M1337" s="20">
        <f>Разбивка_по_щитам!P1342</f>
      </c>
      <c r="N1337" s="20"/>
    </row>
    <row r="1338" spans="2:14" x14ac:dyDescent="0.25">
      <c r="B1338" s="20">
        <f>Разбивка_по_щитам!B1343</f>
      </c>
      <c r="C1338" s="20">
        <f>Разбивка_по_щитам!C1343</f>
      </c>
      <c r="D1338" s="20">
        <f>Разбивка_по_щитам!F1343</f>
      </c>
      <c r="E1338" s="20">
        <f>Разбивка_по_щитам!H1343</f>
      </c>
      <c r="F1338" s="20">
        <f>Разбивка_по_щитам!I1343</f>
      </c>
      <c r="G1338" s="20">
        <f>Разбивка_по_щитам!J1343</f>
      </c>
      <c r="H1338" s="20">
        <f>Разбивка_по_щитам!K1343</f>
      </c>
      <c r="I1338" s="20">
        <f>Разбивка_по_щитам!L1343</f>
      </c>
      <c r="J1338" s="20">
        <f>Разбивка_по_щитам!M1343</f>
      </c>
      <c r="K1338" s="20">
        <f>Разбивка_по_щитам!N1343</f>
      </c>
      <c r="L1338" s="20"/>
      <c r="M1338" s="20">
        <f>Разбивка_по_щитам!P1343</f>
      </c>
      <c r="N1338" s="20"/>
    </row>
    <row r="1339" spans="2:14" x14ac:dyDescent="0.25">
      <c r="B1339" s="20">
        <f>Разбивка_по_щитам!B1344</f>
      </c>
      <c r="C1339" s="20">
        <f>Разбивка_по_щитам!C1344</f>
      </c>
      <c r="D1339" s="20">
        <f>Разбивка_по_щитам!F1344</f>
      </c>
      <c r="E1339" s="20">
        <f>Разбивка_по_щитам!H1344</f>
      </c>
      <c r="F1339" s="20">
        <f>Разбивка_по_щитам!I1344</f>
      </c>
      <c r="G1339" s="20">
        <f>Разбивка_по_щитам!J1344</f>
      </c>
      <c r="H1339" s="20">
        <f>Разбивка_по_щитам!K1344</f>
      </c>
      <c r="I1339" s="20">
        <f>Разбивка_по_щитам!L1344</f>
      </c>
      <c r="J1339" s="20">
        <f>Разбивка_по_щитам!M1344</f>
      </c>
      <c r="K1339" s="20">
        <f>Разбивка_по_щитам!N1344</f>
      </c>
      <c r="L1339" s="20"/>
      <c r="M1339" s="20">
        <f>Разбивка_по_щитам!P1344</f>
      </c>
      <c r="N1339" s="20"/>
    </row>
    <row r="1340" spans="2:14" x14ac:dyDescent="0.25">
      <c r="B1340" s="20">
        <f>Разбивка_по_щитам!B1345</f>
      </c>
      <c r="C1340" s="20">
        <f>Разбивка_по_щитам!C1345</f>
      </c>
      <c r="D1340" s="20">
        <f>Разбивка_по_щитам!F1345</f>
      </c>
      <c r="E1340" s="20">
        <f>Разбивка_по_щитам!H1345</f>
      </c>
      <c r="F1340" s="20">
        <f>Разбивка_по_щитам!I1345</f>
      </c>
      <c r="G1340" s="20">
        <f>Разбивка_по_щитам!J1345</f>
      </c>
      <c r="H1340" s="20">
        <f>Разбивка_по_щитам!K1345</f>
      </c>
      <c r="I1340" s="20">
        <f>Разбивка_по_щитам!L1345</f>
      </c>
      <c r="J1340" s="20">
        <f>Разбивка_по_щитам!M1345</f>
      </c>
      <c r="K1340" s="20">
        <f>Разбивка_по_щитам!N1345</f>
      </c>
      <c r="L1340" s="20"/>
      <c r="M1340" s="20">
        <f>Разбивка_по_щитам!P1345</f>
      </c>
      <c r="N1340" s="20"/>
    </row>
    <row r="1341" spans="2:14" x14ac:dyDescent="0.25">
      <c r="B1341" s="20">
        <f>Разбивка_по_щитам!B1346</f>
      </c>
      <c r="C1341" s="20">
        <f>Разбивка_по_щитам!C1346</f>
      </c>
      <c r="D1341" s="20">
        <f>Разбивка_по_щитам!F1346</f>
      </c>
      <c r="E1341" s="20">
        <f>Разбивка_по_щитам!H1346</f>
      </c>
      <c r="F1341" s="20">
        <f>Разбивка_по_щитам!I1346</f>
      </c>
      <c r="G1341" s="20">
        <f>Разбивка_по_щитам!J1346</f>
      </c>
      <c r="H1341" s="20">
        <f>Разбивка_по_щитам!K1346</f>
      </c>
      <c r="I1341" s="20">
        <f>Разбивка_по_щитам!L1346</f>
      </c>
      <c r="J1341" s="20">
        <f>Разбивка_по_щитам!M1346</f>
      </c>
      <c r="K1341" s="20">
        <f>Разбивка_по_щитам!N1346</f>
      </c>
      <c r="L1341" s="20"/>
      <c r="M1341" s="20">
        <f>Разбивка_по_щитам!P1346</f>
      </c>
      <c r="N1341" s="20"/>
    </row>
    <row r="1342" spans="2:14" x14ac:dyDescent="0.25">
      <c r="B1342" s="20">
        <f>Разбивка_по_щитам!B1347</f>
      </c>
      <c r="C1342" s="20">
        <f>Разбивка_по_щитам!C1347</f>
      </c>
      <c r="D1342" s="20">
        <f>Разбивка_по_щитам!F1347</f>
      </c>
      <c r="E1342" s="20">
        <f>Разбивка_по_щитам!H1347</f>
      </c>
      <c r="F1342" s="20">
        <f>Разбивка_по_щитам!I1347</f>
      </c>
      <c r="G1342" s="20">
        <f>Разбивка_по_щитам!J1347</f>
      </c>
      <c r="H1342" s="20">
        <f>Разбивка_по_щитам!K1347</f>
      </c>
      <c r="I1342" s="20">
        <f>Разбивка_по_щитам!L1347</f>
      </c>
      <c r="J1342" s="20">
        <f>Разбивка_по_щитам!M1347</f>
      </c>
      <c r="K1342" s="20">
        <f>Разбивка_по_щитам!N1347</f>
      </c>
      <c r="L1342" s="20"/>
      <c r="M1342" s="20">
        <f>Разбивка_по_щитам!P1347</f>
      </c>
      <c r="N1342" s="20"/>
    </row>
    <row r="1343" spans="2:14" x14ac:dyDescent="0.25">
      <c r="B1343" s="20">
        <f>Разбивка_по_щитам!B1348</f>
      </c>
      <c r="C1343" s="20">
        <f>Разбивка_по_щитам!C1348</f>
      </c>
      <c r="D1343" s="20">
        <f>Разбивка_по_щитам!F1348</f>
      </c>
      <c r="E1343" s="20">
        <f>Разбивка_по_щитам!H1348</f>
      </c>
      <c r="F1343" s="20">
        <f>Разбивка_по_щитам!I1348</f>
      </c>
      <c r="G1343" s="20">
        <f>Разбивка_по_щитам!J1348</f>
      </c>
      <c r="H1343" s="20">
        <f>Разбивка_по_щитам!K1348</f>
      </c>
      <c r="I1343" s="20">
        <f>Разбивка_по_щитам!L1348</f>
      </c>
      <c r="J1343" s="20">
        <f>Разбивка_по_щитам!M1348</f>
      </c>
      <c r="K1343" s="20">
        <f>Разбивка_по_щитам!N1348</f>
      </c>
      <c r="L1343" s="20"/>
      <c r="M1343" s="20">
        <f>Разбивка_по_щитам!P1348</f>
      </c>
      <c r="N1343" s="20"/>
    </row>
    <row r="1344" spans="2:14" x14ac:dyDescent="0.25">
      <c r="B1344" s="20">
        <f>Разбивка_по_щитам!B1349</f>
      </c>
      <c r="C1344" s="20">
        <f>Разбивка_по_щитам!C1349</f>
      </c>
      <c r="D1344" s="20">
        <f>Разбивка_по_щитам!F1349</f>
      </c>
      <c r="E1344" s="20">
        <f>Разбивка_по_щитам!H1349</f>
      </c>
      <c r="F1344" s="20">
        <f>Разбивка_по_щитам!I1349</f>
      </c>
      <c r="G1344" s="20">
        <f>Разбивка_по_щитам!J1349</f>
      </c>
      <c r="H1344" s="20">
        <f>Разбивка_по_щитам!K1349</f>
      </c>
      <c r="I1344" s="20">
        <f>Разбивка_по_щитам!L1349</f>
      </c>
      <c r="J1344" s="20">
        <f>Разбивка_по_щитам!M1349</f>
      </c>
      <c r="K1344" s="20">
        <f>Разбивка_по_щитам!N1349</f>
      </c>
      <c r="L1344" s="20"/>
      <c r="M1344" s="20">
        <f>Разбивка_по_щитам!P1349</f>
      </c>
      <c r="N1344" s="20"/>
    </row>
    <row r="1345" spans="2:14" x14ac:dyDescent="0.25">
      <c r="B1345" s="20">
        <f>Разбивка_по_щитам!B1350</f>
      </c>
      <c r="C1345" s="20">
        <f>Разбивка_по_щитам!C1350</f>
      </c>
      <c r="D1345" s="20">
        <f>Разбивка_по_щитам!F1350</f>
      </c>
      <c r="E1345" s="20">
        <f>Разбивка_по_щитам!H1350</f>
      </c>
      <c r="F1345" s="20">
        <f>Разбивка_по_щитам!I1350</f>
      </c>
      <c r="G1345" s="20">
        <f>Разбивка_по_щитам!J1350</f>
      </c>
      <c r="H1345" s="20">
        <f>Разбивка_по_щитам!K1350</f>
      </c>
      <c r="I1345" s="20">
        <f>Разбивка_по_щитам!L1350</f>
      </c>
      <c r="J1345" s="20">
        <f>Разбивка_по_щитам!M1350</f>
      </c>
      <c r="K1345" s="20">
        <f>Разбивка_по_щитам!N1350</f>
      </c>
      <c r="L1345" s="20"/>
      <c r="M1345" s="20">
        <f>Разбивка_по_щитам!P1350</f>
      </c>
      <c r="N1345" s="20"/>
    </row>
    <row r="1346" spans="2:14" x14ac:dyDescent="0.25">
      <c r="B1346" s="20">
        <f>Разбивка_по_щитам!B1351</f>
      </c>
      <c r="C1346" s="20">
        <f>Разбивка_по_щитам!C1351</f>
      </c>
      <c r="D1346" s="20">
        <f>Разбивка_по_щитам!F1351</f>
      </c>
      <c r="E1346" s="20">
        <f>Разбивка_по_щитам!H1351</f>
      </c>
      <c r="F1346" s="20">
        <f>Разбивка_по_щитам!I1351</f>
      </c>
      <c r="G1346" s="20">
        <f>Разбивка_по_щитам!J1351</f>
      </c>
      <c r="H1346" s="20">
        <f>Разбивка_по_щитам!K1351</f>
      </c>
      <c r="I1346" s="20">
        <f>Разбивка_по_щитам!L1351</f>
      </c>
      <c r="J1346" s="20">
        <f>Разбивка_по_щитам!M1351</f>
      </c>
      <c r="K1346" s="20">
        <f>Разбивка_по_щитам!N1351</f>
      </c>
      <c r="L1346" s="20"/>
      <c r="M1346" s="20">
        <f>Разбивка_по_щитам!P1351</f>
      </c>
      <c r="N1346" s="20"/>
    </row>
    <row r="1347" spans="2:14" x14ac:dyDescent="0.25">
      <c r="B1347" s="20">
        <f>Разбивка_по_щитам!B1352</f>
      </c>
      <c r="C1347" s="20">
        <f>Разбивка_по_щитам!C1352</f>
      </c>
      <c r="D1347" s="20">
        <f>Разбивка_по_щитам!F1352</f>
      </c>
      <c r="E1347" s="20">
        <f>Разбивка_по_щитам!H1352</f>
      </c>
      <c r="F1347" s="20">
        <f>Разбивка_по_щитам!I1352</f>
      </c>
      <c r="G1347" s="20">
        <f>Разбивка_по_щитам!J1352</f>
      </c>
      <c r="H1347" s="20">
        <f>Разбивка_по_щитам!K1352</f>
      </c>
      <c r="I1347" s="20">
        <f>Разбивка_по_щитам!L1352</f>
      </c>
      <c r="J1347" s="20">
        <f>Разбивка_по_щитам!M1352</f>
      </c>
      <c r="K1347" s="20">
        <f>Разбивка_по_щитам!N1352</f>
      </c>
      <c r="L1347" s="20"/>
      <c r="M1347" s="20">
        <f>Разбивка_по_щитам!P1352</f>
      </c>
      <c r="N1347" s="20"/>
    </row>
    <row r="1348" spans="2:14" x14ac:dyDescent="0.25">
      <c r="B1348" s="20">
        <f>Разбивка_по_щитам!B1353</f>
      </c>
      <c r="C1348" s="20">
        <f>Разбивка_по_щитам!C1353</f>
      </c>
      <c r="D1348" s="20">
        <f>Разбивка_по_щитам!F1353</f>
      </c>
      <c r="E1348" s="20">
        <f>Разбивка_по_щитам!H1353</f>
      </c>
      <c r="F1348" s="20">
        <f>Разбивка_по_щитам!I1353</f>
      </c>
      <c r="G1348" s="20">
        <f>Разбивка_по_щитам!J1353</f>
      </c>
      <c r="H1348" s="20">
        <f>Разбивка_по_щитам!K1353</f>
      </c>
      <c r="I1348" s="20">
        <f>Разбивка_по_щитам!L1353</f>
      </c>
      <c r="J1348" s="20">
        <f>Разбивка_по_щитам!M1353</f>
      </c>
      <c r="K1348" s="20">
        <f>Разбивка_по_щитам!N1353</f>
      </c>
      <c r="L1348" s="20"/>
      <c r="M1348" s="20">
        <f>Разбивка_по_щитам!P1353</f>
      </c>
      <c r="N1348" s="20"/>
    </row>
    <row r="1349" spans="2:14" x14ac:dyDescent="0.25">
      <c r="B1349" s="20">
        <f>Разбивка_по_щитам!B1354</f>
      </c>
      <c r="C1349" s="20">
        <f>Разбивка_по_щитам!C1354</f>
      </c>
      <c r="D1349" s="20">
        <f>Разбивка_по_щитам!F1354</f>
      </c>
      <c r="E1349" s="20">
        <f>Разбивка_по_щитам!H1354</f>
      </c>
      <c r="F1349" s="20">
        <f>Разбивка_по_щитам!I1354</f>
      </c>
      <c r="G1349" s="20">
        <f>Разбивка_по_щитам!J1354</f>
      </c>
      <c r="H1349" s="20">
        <f>Разбивка_по_щитам!K1354</f>
      </c>
      <c r="I1349" s="20">
        <f>Разбивка_по_щитам!L1354</f>
      </c>
      <c r="J1349" s="20">
        <f>Разбивка_по_щитам!M1354</f>
      </c>
      <c r="K1349" s="20">
        <f>Разбивка_по_щитам!N1354</f>
      </c>
      <c r="L1349" s="20"/>
      <c r="M1349" s="20">
        <f>Разбивка_по_щитам!P1354</f>
      </c>
      <c r="N1349" s="20"/>
    </row>
    <row r="1350" spans="2:14" x14ac:dyDescent="0.25">
      <c r="B1350" s="20">
        <f>Разбивка_по_щитам!B1355</f>
      </c>
      <c r="C1350" s="20">
        <f>Разбивка_по_щитам!C1355</f>
      </c>
      <c r="D1350" s="20">
        <f>Разбивка_по_щитам!F1355</f>
      </c>
      <c r="E1350" s="20">
        <f>Разбивка_по_щитам!H1355</f>
      </c>
      <c r="F1350" s="20">
        <f>Разбивка_по_щитам!I1355</f>
      </c>
      <c r="G1350" s="20">
        <f>Разбивка_по_щитам!J1355</f>
      </c>
      <c r="H1350" s="20">
        <f>Разбивка_по_щитам!K1355</f>
      </c>
      <c r="I1350" s="20">
        <f>Разбивка_по_щитам!L1355</f>
      </c>
      <c r="J1350" s="20">
        <f>Разбивка_по_щитам!M1355</f>
      </c>
      <c r="K1350" s="20">
        <f>Разбивка_по_щитам!N1355</f>
      </c>
      <c r="L1350" s="20"/>
      <c r="M1350" s="20">
        <f>Разбивка_по_щитам!P1355</f>
      </c>
      <c r="N1350" s="20"/>
    </row>
    <row r="1351" spans="2:14" x14ac:dyDescent="0.25">
      <c r="B1351" s="20">
        <f>Разбивка_по_щитам!B1356</f>
      </c>
      <c r="C1351" s="20">
        <f>Разбивка_по_щитам!C1356</f>
      </c>
      <c r="D1351" s="20">
        <f>Разбивка_по_щитам!F1356</f>
      </c>
      <c r="E1351" s="20">
        <f>Разбивка_по_щитам!H1356</f>
      </c>
      <c r="F1351" s="20">
        <f>Разбивка_по_щитам!I1356</f>
      </c>
      <c r="G1351" s="20">
        <f>Разбивка_по_щитам!J1356</f>
      </c>
      <c r="H1351" s="20">
        <f>Разбивка_по_щитам!K1356</f>
      </c>
      <c r="I1351" s="20">
        <f>Разбивка_по_щитам!L1356</f>
      </c>
      <c r="J1351" s="20">
        <f>Разбивка_по_щитам!M1356</f>
      </c>
      <c r="K1351" s="20">
        <f>Разбивка_по_щитам!N1356</f>
      </c>
      <c r="L1351" s="20"/>
      <c r="M1351" s="20">
        <f>Разбивка_по_щитам!P1356</f>
      </c>
      <c r="N1351" s="20"/>
    </row>
    <row r="1352" spans="2:14" x14ac:dyDescent="0.25">
      <c r="B1352" s="20">
        <f>Разбивка_по_щитам!B1357</f>
      </c>
      <c r="C1352" s="20">
        <f>Разбивка_по_щитам!C1357</f>
      </c>
      <c r="D1352" s="20">
        <f>Разбивка_по_щитам!F1357</f>
      </c>
      <c r="E1352" s="20">
        <f>Разбивка_по_щитам!H1357</f>
      </c>
      <c r="F1352" s="20">
        <f>Разбивка_по_щитам!I1357</f>
      </c>
      <c r="G1352" s="20">
        <f>Разбивка_по_щитам!J1357</f>
      </c>
      <c r="H1352" s="20">
        <f>Разбивка_по_щитам!K1357</f>
      </c>
      <c r="I1352" s="20">
        <f>Разбивка_по_щитам!L1357</f>
      </c>
      <c r="J1352" s="20">
        <f>Разбивка_по_щитам!M1357</f>
      </c>
      <c r="K1352" s="20">
        <f>Разбивка_по_щитам!N1357</f>
      </c>
      <c r="L1352" s="20"/>
      <c r="M1352" s="20">
        <f>Разбивка_по_щитам!P1357</f>
      </c>
      <c r="N1352" s="20"/>
    </row>
    <row r="1353" spans="2:14" x14ac:dyDescent="0.25">
      <c r="B1353" s="20">
        <f>Разбивка_по_щитам!B1358</f>
      </c>
      <c r="C1353" s="20">
        <f>Разбивка_по_щитам!C1358</f>
      </c>
      <c r="D1353" s="20">
        <f>Разбивка_по_щитам!F1358</f>
      </c>
      <c r="E1353" s="20">
        <f>Разбивка_по_щитам!H1358</f>
      </c>
      <c r="F1353" s="20">
        <f>Разбивка_по_щитам!I1358</f>
      </c>
      <c r="G1353" s="20">
        <f>Разбивка_по_щитам!J1358</f>
      </c>
      <c r="H1353" s="20">
        <f>Разбивка_по_щитам!K1358</f>
      </c>
      <c r="I1353" s="20">
        <f>Разбивка_по_щитам!L1358</f>
      </c>
      <c r="J1353" s="20">
        <f>Разбивка_по_щитам!M1358</f>
      </c>
      <c r="K1353" s="20">
        <f>Разбивка_по_щитам!N1358</f>
      </c>
      <c r="L1353" s="20"/>
      <c r="M1353" s="20">
        <f>Разбивка_по_щитам!P1358</f>
      </c>
      <c r="N1353" s="20"/>
    </row>
    <row r="1354" spans="2:14" x14ac:dyDescent="0.25">
      <c r="B1354" s="20">
        <f>Разбивка_по_щитам!B1359</f>
      </c>
      <c r="C1354" s="20">
        <f>Разбивка_по_щитам!C1359</f>
      </c>
      <c r="D1354" s="20">
        <f>Разбивка_по_щитам!F1359</f>
      </c>
      <c r="E1354" s="20">
        <f>Разбивка_по_щитам!H1359</f>
      </c>
      <c r="F1354" s="20">
        <f>Разбивка_по_щитам!I1359</f>
      </c>
      <c r="G1354" s="20">
        <f>Разбивка_по_щитам!J1359</f>
      </c>
      <c r="H1354" s="20">
        <f>Разбивка_по_щитам!K1359</f>
      </c>
      <c r="I1354" s="20">
        <f>Разбивка_по_щитам!L1359</f>
      </c>
      <c r="J1354" s="20">
        <f>Разбивка_по_щитам!M1359</f>
      </c>
      <c r="K1354" s="20">
        <f>Разбивка_по_щитам!N1359</f>
      </c>
      <c r="L1354" s="20"/>
      <c r="M1354" s="20">
        <f>Разбивка_по_щитам!P1359</f>
      </c>
      <c r="N1354" s="20"/>
    </row>
    <row r="1355" spans="2:14" x14ac:dyDescent="0.25">
      <c r="B1355" s="20">
        <f>Разбивка_по_щитам!B1360</f>
      </c>
      <c r="C1355" s="20">
        <f>Разбивка_по_щитам!C1360</f>
      </c>
      <c r="D1355" s="20">
        <f>Разбивка_по_щитам!F1360</f>
      </c>
      <c r="E1355" s="20">
        <f>Разбивка_по_щитам!H1360</f>
      </c>
      <c r="F1355" s="20">
        <f>Разбивка_по_щитам!I1360</f>
      </c>
      <c r="G1355" s="20">
        <f>Разбивка_по_щитам!J1360</f>
      </c>
      <c r="H1355" s="20">
        <f>Разбивка_по_щитам!K1360</f>
      </c>
      <c r="I1355" s="20">
        <f>Разбивка_по_щитам!L1360</f>
      </c>
      <c r="J1355" s="20">
        <f>Разбивка_по_щитам!M1360</f>
      </c>
      <c r="K1355" s="20">
        <f>Разбивка_по_щитам!N1360</f>
      </c>
      <c r="L1355" s="20"/>
      <c r="M1355" s="20">
        <f>Разбивка_по_щитам!P1360</f>
      </c>
      <c r="N1355" s="20"/>
    </row>
    <row r="1356" spans="2:14" x14ac:dyDescent="0.25">
      <c r="B1356" s="20">
        <f>Разбивка_по_щитам!B1361</f>
      </c>
      <c r="C1356" s="20">
        <f>Разбивка_по_щитам!C1361</f>
      </c>
      <c r="D1356" s="20">
        <f>Разбивка_по_щитам!F1361</f>
      </c>
      <c r="E1356" s="20">
        <f>Разбивка_по_щитам!H1361</f>
      </c>
      <c r="F1356" s="20">
        <f>Разбивка_по_щитам!I1361</f>
      </c>
      <c r="G1356" s="20">
        <f>Разбивка_по_щитам!J1361</f>
      </c>
      <c r="H1356" s="20">
        <f>Разбивка_по_щитам!K1361</f>
      </c>
      <c r="I1356" s="20">
        <f>Разбивка_по_щитам!L1361</f>
      </c>
      <c r="J1356" s="20">
        <f>Разбивка_по_щитам!M1361</f>
      </c>
      <c r="K1356" s="20">
        <f>Разбивка_по_щитам!N1361</f>
      </c>
      <c r="L1356" s="20"/>
      <c r="M1356" s="20">
        <f>Разбивка_по_щитам!P1361</f>
      </c>
      <c r="N1356" s="20"/>
    </row>
    <row r="1357" spans="2:14" x14ac:dyDescent="0.25">
      <c r="B1357" s="20">
        <f>Разбивка_по_щитам!B1362</f>
      </c>
      <c r="C1357" s="20">
        <f>Разбивка_по_щитам!C1362</f>
      </c>
      <c r="D1357" s="20">
        <f>Разбивка_по_щитам!F1362</f>
      </c>
      <c r="E1357" s="20">
        <f>Разбивка_по_щитам!H1362</f>
      </c>
      <c r="F1357" s="20">
        <f>Разбивка_по_щитам!I1362</f>
      </c>
      <c r="G1357" s="20">
        <f>Разбивка_по_щитам!J1362</f>
      </c>
      <c r="H1357" s="20">
        <f>Разбивка_по_щитам!K1362</f>
      </c>
      <c r="I1357" s="20">
        <f>Разбивка_по_щитам!L1362</f>
      </c>
      <c r="J1357" s="20">
        <f>Разбивка_по_щитам!M1362</f>
      </c>
      <c r="K1357" s="20">
        <f>Разбивка_по_щитам!N1362</f>
      </c>
      <c r="L1357" s="20"/>
      <c r="M1357" s="20">
        <f>Разбивка_по_щитам!P1362</f>
      </c>
      <c r="N1357" s="20"/>
    </row>
    <row r="1358" spans="2:14" x14ac:dyDescent="0.25">
      <c r="B1358" s="20">
        <f>Разбивка_по_щитам!B1363</f>
      </c>
      <c r="C1358" s="20">
        <f>Разбивка_по_щитам!C1363</f>
      </c>
      <c r="D1358" s="20">
        <f>Разбивка_по_щитам!F1363</f>
      </c>
      <c r="E1358" s="20">
        <f>Разбивка_по_щитам!H1363</f>
      </c>
      <c r="F1358" s="20">
        <f>Разбивка_по_щитам!I1363</f>
      </c>
      <c r="G1358" s="20">
        <f>Разбивка_по_щитам!J1363</f>
      </c>
      <c r="H1358" s="20">
        <f>Разбивка_по_щитам!K1363</f>
      </c>
      <c r="I1358" s="20">
        <f>Разбивка_по_щитам!L1363</f>
      </c>
      <c r="J1358" s="20">
        <f>Разбивка_по_щитам!M1363</f>
      </c>
      <c r="K1358" s="20">
        <f>Разбивка_по_щитам!N1363</f>
      </c>
      <c r="L1358" s="20"/>
      <c r="M1358" s="20">
        <f>Разбивка_по_щитам!P1363</f>
      </c>
      <c r="N1358" s="20"/>
    </row>
    <row r="1359" spans="2:14" x14ac:dyDescent="0.25">
      <c r="B1359" s="20">
        <f>Разбивка_по_щитам!B1364</f>
      </c>
      <c r="C1359" s="20">
        <f>Разбивка_по_щитам!C1364</f>
      </c>
      <c r="D1359" s="20">
        <f>Разбивка_по_щитам!F1364</f>
      </c>
      <c r="E1359" s="20">
        <f>Разбивка_по_щитам!H1364</f>
      </c>
      <c r="F1359" s="20">
        <f>Разбивка_по_щитам!I1364</f>
      </c>
      <c r="G1359" s="20">
        <f>Разбивка_по_щитам!J1364</f>
      </c>
      <c r="H1359" s="20">
        <f>Разбивка_по_щитам!K1364</f>
      </c>
      <c r="I1359" s="20">
        <f>Разбивка_по_щитам!L1364</f>
      </c>
      <c r="J1359" s="20">
        <f>Разбивка_по_щитам!M1364</f>
      </c>
      <c r="K1359" s="20">
        <f>Разбивка_по_щитам!N1364</f>
      </c>
      <c r="L1359" s="20"/>
      <c r="M1359" s="20">
        <f>Разбивка_по_щитам!P1364</f>
      </c>
      <c r="N1359" s="20"/>
    </row>
    <row r="1360" spans="2:14" x14ac:dyDescent="0.25">
      <c r="B1360" s="20">
        <f>Разбивка_по_щитам!B1365</f>
      </c>
      <c r="C1360" s="20">
        <f>Разбивка_по_щитам!C1365</f>
      </c>
      <c r="D1360" s="20">
        <f>Разбивка_по_щитам!F1365</f>
      </c>
      <c r="E1360" s="20">
        <f>Разбивка_по_щитам!H1365</f>
      </c>
      <c r="F1360" s="20">
        <f>Разбивка_по_щитам!I1365</f>
      </c>
      <c r="G1360" s="20">
        <f>Разбивка_по_щитам!J1365</f>
      </c>
      <c r="H1360" s="20">
        <f>Разбивка_по_щитам!K1365</f>
      </c>
      <c r="I1360" s="20">
        <f>Разбивка_по_щитам!L1365</f>
      </c>
      <c r="J1360" s="20">
        <f>Разбивка_по_щитам!M1365</f>
      </c>
      <c r="K1360" s="20">
        <f>Разбивка_по_щитам!N1365</f>
      </c>
      <c r="L1360" s="20"/>
      <c r="M1360" s="20">
        <f>Разбивка_по_щитам!P1365</f>
      </c>
      <c r="N1360" s="20"/>
    </row>
    <row r="1361" spans="2:14" x14ac:dyDescent="0.25">
      <c r="B1361" s="20">
        <f>Разбивка_по_щитам!B1366</f>
      </c>
      <c r="C1361" s="20">
        <f>Разбивка_по_щитам!C1366</f>
      </c>
      <c r="D1361" s="20">
        <f>Разбивка_по_щитам!F1366</f>
      </c>
      <c r="E1361" s="20">
        <f>Разбивка_по_щитам!H1366</f>
      </c>
      <c r="F1361" s="20">
        <f>Разбивка_по_щитам!I1366</f>
      </c>
      <c r="G1361" s="20">
        <f>Разбивка_по_щитам!J1366</f>
      </c>
      <c r="H1361" s="20">
        <f>Разбивка_по_щитам!K1366</f>
      </c>
      <c r="I1361" s="20">
        <f>Разбивка_по_щитам!L1366</f>
      </c>
      <c r="J1361" s="20">
        <f>Разбивка_по_щитам!M1366</f>
      </c>
      <c r="K1361" s="20">
        <f>Разбивка_по_щитам!N1366</f>
      </c>
      <c r="L1361" s="20"/>
      <c r="M1361" s="20">
        <f>Разбивка_по_щитам!P1366</f>
      </c>
      <c r="N1361" s="20"/>
    </row>
    <row r="1362" spans="2:14" x14ac:dyDescent="0.25">
      <c r="B1362" s="20">
        <f>Разбивка_по_щитам!B1367</f>
      </c>
      <c r="C1362" s="20">
        <f>Разбивка_по_щитам!C1367</f>
      </c>
      <c r="D1362" s="20">
        <f>Разбивка_по_щитам!F1367</f>
      </c>
      <c r="E1362" s="20">
        <f>Разбивка_по_щитам!H1367</f>
      </c>
      <c r="F1362" s="20">
        <f>Разбивка_по_щитам!I1367</f>
      </c>
      <c r="G1362" s="20">
        <f>Разбивка_по_щитам!J1367</f>
      </c>
      <c r="H1362" s="20">
        <f>Разбивка_по_щитам!K1367</f>
      </c>
      <c r="I1362" s="20">
        <f>Разбивка_по_щитам!L1367</f>
      </c>
      <c r="J1362" s="20">
        <f>Разбивка_по_щитам!M1367</f>
      </c>
      <c r="K1362" s="20">
        <f>Разбивка_по_щитам!N1367</f>
      </c>
      <c r="L1362" s="20"/>
      <c r="M1362" s="20">
        <f>Разбивка_по_щитам!P1367</f>
      </c>
      <c r="N1362" s="20"/>
    </row>
    <row r="1363" spans="2:14" x14ac:dyDescent="0.25">
      <c r="B1363" s="20">
        <f>Разбивка_по_щитам!B1368</f>
      </c>
      <c r="C1363" s="20">
        <f>Разбивка_по_щитам!C1368</f>
      </c>
      <c r="D1363" s="20">
        <f>Разбивка_по_щитам!F1368</f>
      </c>
      <c r="E1363" s="20">
        <f>Разбивка_по_щитам!H1368</f>
      </c>
      <c r="F1363" s="20">
        <f>Разбивка_по_щитам!I1368</f>
      </c>
      <c r="G1363" s="20">
        <f>Разбивка_по_щитам!J1368</f>
      </c>
      <c r="H1363" s="20">
        <f>Разбивка_по_щитам!K1368</f>
      </c>
      <c r="I1363" s="20">
        <f>Разбивка_по_щитам!L1368</f>
      </c>
      <c r="J1363" s="20">
        <f>Разбивка_по_щитам!M1368</f>
      </c>
      <c r="K1363" s="20">
        <f>Разбивка_по_щитам!N1368</f>
      </c>
      <c r="L1363" s="20"/>
      <c r="M1363" s="20">
        <f>Разбивка_по_щитам!P1368</f>
      </c>
      <c r="N1363" s="20"/>
    </row>
    <row r="1364" spans="2:14" x14ac:dyDescent="0.25">
      <c r="B1364" s="20">
        <f>Разбивка_по_щитам!B1369</f>
      </c>
      <c r="C1364" s="20">
        <f>Разбивка_по_щитам!C1369</f>
      </c>
      <c r="D1364" s="20">
        <f>Разбивка_по_щитам!F1369</f>
      </c>
      <c r="E1364" s="20">
        <f>Разбивка_по_щитам!H1369</f>
      </c>
      <c r="F1364" s="20">
        <f>Разбивка_по_щитам!I1369</f>
      </c>
      <c r="G1364" s="20">
        <f>Разбивка_по_щитам!J1369</f>
      </c>
      <c r="H1364" s="20">
        <f>Разбивка_по_щитам!K1369</f>
      </c>
      <c r="I1364" s="20">
        <f>Разбивка_по_щитам!L1369</f>
      </c>
      <c r="J1364" s="20">
        <f>Разбивка_по_щитам!M1369</f>
      </c>
      <c r="K1364" s="20">
        <f>Разбивка_по_щитам!N1369</f>
      </c>
      <c r="L1364" s="20"/>
      <c r="M1364" s="20">
        <f>Разбивка_по_щитам!P1369</f>
      </c>
      <c r="N1364" s="20"/>
    </row>
    <row r="1365" spans="2:14" x14ac:dyDescent="0.25">
      <c r="B1365" s="20">
        <f>Разбивка_по_щитам!B1370</f>
      </c>
      <c r="C1365" s="20">
        <f>Разбивка_по_щитам!C1370</f>
      </c>
      <c r="D1365" s="20">
        <f>Разбивка_по_щитам!F1370</f>
      </c>
      <c r="E1365" s="20">
        <f>Разбивка_по_щитам!H1370</f>
      </c>
      <c r="F1365" s="20">
        <f>Разбивка_по_щитам!I1370</f>
      </c>
      <c r="G1365" s="20">
        <f>Разбивка_по_щитам!J1370</f>
      </c>
      <c r="H1365" s="20">
        <f>Разбивка_по_щитам!K1370</f>
      </c>
      <c r="I1365" s="20">
        <f>Разбивка_по_щитам!L1370</f>
      </c>
      <c r="J1365" s="20">
        <f>Разбивка_по_щитам!M1370</f>
      </c>
      <c r="K1365" s="20">
        <f>Разбивка_по_щитам!N1370</f>
      </c>
      <c r="L1365" s="20"/>
      <c r="M1365" s="20">
        <f>Разбивка_по_щитам!P1370</f>
      </c>
      <c r="N1365" s="20"/>
    </row>
    <row r="1366" spans="2:14" x14ac:dyDescent="0.25">
      <c r="B1366" s="20">
        <f>Разбивка_по_щитам!B1371</f>
      </c>
      <c r="C1366" s="20">
        <f>Разбивка_по_щитам!C1371</f>
      </c>
      <c r="D1366" s="20">
        <f>Разбивка_по_щитам!F1371</f>
      </c>
      <c r="E1366" s="20">
        <f>Разбивка_по_щитам!H1371</f>
      </c>
      <c r="F1366" s="20">
        <f>Разбивка_по_щитам!I1371</f>
      </c>
      <c r="G1366" s="20">
        <f>Разбивка_по_щитам!J1371</f>
      </c>
      <c r="H1366" s="20">
        <f>Разбивка_по_щитам!K1371</f>
      </c>
      <c r="I1366" s="20">
        <f>Разбивка_по_щитам!L1371</f>
      </c>
      <c r="J1366" s="20">
        <f>Разбивка_по_щитам!M1371</f>
      </c>
      <c r="K1366" s="20">
        <f>Разбивка_по_щитам!N1371</f>
      </c>
      <c r="L1366" s="20"/>
      <c r="M1366" s="20">
        <f>Разбивка_по_щитам!P1371</f>
      </c>
      <c r="N1366" s="20"/>
    </row>
    <row r="1367" spans="2:14" x14ac:dyDescent="0.25">
      <c r="B1367" s="20">
        <f>Разбивка_по_щитам!B1372</f>
      </c>
      <c r="C1367" s="20">
        <f>Разбивка_по_щитам!C1372</f>
      </c>
      <c r="D1367" s="20">
        <f>Разбивка_по_щитам!F1372</f>
      </c>
      <c r="E1367" s="20">
        <f>Разбивка_по_щитам!H1372</f>
      </c>
      <c r="F1367" s="20">
        <f>Разбивка_по_щитам!I1372</f>
      </c>
      <c r="G1367" s="20">
        <f>Разбивка_по_щитам!J1372</f>
      </c>
      <c r="H1367" s="20">
        <f>Разбивка_по_щитам!K1372</f>
      </c>
      <c r="I1367" s="20">
        <f>Разбивка_по_щитам!L1372</f>
      </c>
      <c r="J1367" s="20">
        <f>Разбивка_по_щитам!M1372</f>
      </c>
      <c r="K1367" s="20">
        <f>Разбивка_по_щитам!N1372</f>
      </c>
      <c r="L1367" s="20"/>
      <c r="M1367" s="20">
        <f>Разбивка_по_щитам!P1372</f>
      </c>
      <c r="N1367" s="20"/>
    </row>
    <row r="1368" spans="2:14" x14ac:dyDescent="0.25">
      <c r="B1368" s="20">
        <f>Разбивка_по_щитам!B1373</f>
      </c>
      <c r="C1368" s="20">
        <f>Разбивка_по_щитам!C1373</f>
      </c>
      <c r="D1368" s="20">
        <f>Разбивка_по_щитам!F1373</f>
      </c>
      <c r="E1368" s="20">
        <f>Разбивка_по_щитам!H1373</f>
      </c>
      <c r="F1368" s="20">
        <f>Разбивка_по_щитам!I1373</f>
      </c>
      <c r="G1368" s="20">
        <f>Разбивка_по_щитам!J1373</f>
      </c>
      <c r="H1368" s="20">
        <f>Разбивка_по_щитам!K1373</f>
      </c>
      <c r="I1368" s="20">
        <f>Разбивка_по_щитам!L1373</f>
      </c>
      <c r="J1368" s="20">
        <f>Разбивка_по_щитам!M1373</f>
      </c>
      <c r="K1368" s="20">
        <f>Разбивка_по_щитам!N1373</f>
      </c>
      <c r="L1368" s="20"/>
      <c r="M1368" s="20">
        <f>Разбивка_по_щитам!P1373</f>
      </c>
      <c r="N1368" s="20"/>
    </row>
    <row r="1369" spans="2:14" x14ac:dyDescent="0.25">
      <c r="B1369" s="20">
        <f>Разбивка_по_щитам!B1374</f>
      </c>
      <c r="C1369" s="20">
        <f>Разбивка_по_щитам!C1374</f>
      </c>
      <c r="D1369" s="20">
        <f>Разбивка_по_щитам!F1374</f>
      </c>
      <c r="E1369" s="20">
        <f>Разбивка_по_щитам!H1374</f>
      </c>
      <c r="F1369" s="20">
        <f>Разбивка_по_щитам!I1374</f>
      </c>
      <c r="G1369" s="20">
        <f>Разбивка_по_щитам!J1374</f>
      </c>
      <c r="H1369" s="20">
        <f>Разбивка_по_щитам!K1374</f>
      </c>
      <c r="I1369" s="20">
        <f>Разбивка_по_щитам!L1374</f>
      </c>
      <c r="J1369" s="20">
        <f>Разбивка_по_щитам!M1374</f>
      </c>
      <c r="K1369" s="20">
        <f>Разбивка_по_щитам!N1374</f>
      </c>
      <c r="L1369" s="20"/>
      <c r="M1369" s="20">
        <f>Разбивка_по_щитам!P1374</f>
      </c>
      <c r="N1369" s="20"/>
    </row>
    <row r="1370" spans="2:14" x14ac:dyDescent="0.25">
      <c r="B1370" s="20">
        <f>Разбивка_по_щитам!B1375</f>
      </c>
      <c r="C1370" s="20">
        <f>Разбивка_по_щитам!C1375</f>
      </c>
      <c r="D1370" s="20">
        <f>Разбивка_по_щитам!F1375</f>
      </c>
      <c r="E1370" s="20">
        <f>Разбивка_по_щитам!H1375</f>
      </c>
      <c r="F1370" s="20">
        <f>Разбивка_по_щитам!I1375</f>
      </c>
      <c r="G1370" s="20">
        <f>Разбивка_по_щитам!J1375</f>
      </c>
      <c r="H1370" s="20">
        <f>Разбивка_по_щитам!K1375</f>
      </c>
      <c r="I1370" s="20">
        <f>Разбивка_по_щитам!L1375</f>
      </c>
      <c r="J1370" s="20">
        <f>Разбивка_по_щитам!M1375</f>
      </c>
      <c r="K1370" s="20">
        <f>Разбивка_по_щитам!N1375</f>
      </c>
      <c r="L1370" s="20"/>
      <c r="M1370" s="20">
        <f>Разбивка_по_щитам!P1375</f>
      </c>
      <c r="N1370" s="20"/>
    </row>
    <row r="1371" spans="2:14" x14ac:dyDescent="0.25">
      <c r="B1371" s="20">
        <f>Разбивка_по_щитам!B1376</f>
      </c>
      <c r="C1371" s="20">
        <f>Разбивка_по_щитам!C1376</f>
      </c>
      <c r="D1371" s="20">
        <f>Разбивка_по_щитам!F1376</f>
      </c>
      <c r="E1371" s="20">
        <f>Разбивка_по_щитам!H1376</f>
      </c>
      <c r="F1371" s="20">
        <f>Разбивка_по_щитам!I1376</f>
      </c>
      <c r="G1371" s="20">
        <f>Разбивка_по_щитам!J1376</f>
      </c>
      <c r="H1371" s="20">
        <f>Разбивка_по_щитам!K1376</f>
      </c>
      <c r="I1371" s="20">
        <f>Разбивка_по_щитам!L1376</f>
      </c>
      <c r="J1371" s="20">
        <f>Разбивка_по_щитам!M1376</f>
      </c>
      <c r="K1371" s="20">
        <f>Разбивка_по_щитам!N1376</f>
      </c>
      <c r="L1371" s="20"/>
      <c r="M1371" s="20">
        <f>Разбивка_по_щитам!P1376</f>
      </c>
      <c r="N1371" s="20"/>
    </row>
    <row r="1372" spans="2:14" x14ac:dyDescent="0.25">
      <c r="B1372" s="20">
        <f>Разбивка_по_щитам!B1377</f>
      </c>
      <c r="C1372" s="20">
        <f>Разбивка_по_щитам!C1377</f>
      </c>
      <c r="D1372" s="20">
        <f>Разбивка_по_щитам!F1377</f>
      </c>
      <c r="E1372" s="20">
        <f>Разбивка_по_щитам!H1377</f>
      </c>
      <c r="F1372" s="20">
        <f>Разбивка_по_щитам!I1377</f>
      </c>
      <c r="G1372" s="20">
        <f>Разбивка_по_щитам!J1377</f>
      </c>
      <c r="H1372" s="20">
        <f>Разбивка_по_щитам!K1377</f>
      </c>
      <c r="I1372" s="20">
        <f>Разбивка_по_щитам!L1377</f>
      </c>
      <c r="J1372" s="20">
        <f>Разбивка_по_щитам!M1377</f>
      </c>
      <c r="K1372" s="20">
        <f>Разбивка_по_щитам!N1377</f>
      </c>
      <c r="L1372" s="20"/>
      <c r="M1372" s="20">
        <f>Разбивка_по_щитам!P1377</f>
      </c>
      <c r="N1372" s="20"/>
    </row>
    <row r="1373" spans="2:14" x14ac:dyDescent="0.25">
      <c r="B1373" s="20">
        <f>Разбивка_по_щитам!B1378</f>
      </c>
      <c r="C1373" s="20">
        <f>Разбивка_по_щитам!C1378</f>
      </c>
      <c r="D1373" s="20">
        <f>Разбивка_по_щитам!F1378</f>
      </c>
      <c r="E1373" s="20">
        <f>Разбивка_по_щитам!H1378</f>
      </c>
      <c r="F1373" s="20">
        <f>Разбивка_по_щитам!I1378</f>
      </c>
      <c r="G1373" s="20">
        <f>Разбивка_по_щитам!J1378</f>
      </c>
      <c r="H1373" s="20">
        <f>Разбивка_по_щитам!K1378</f>
      </c>
      <c r="I1373" s="20">
        <f>Разбивка_по_щитам!L1378</f>
      </c>
      <c r="J1373" s="20">
        <f>Разбивка_по_щитам!M1378</f>
      </c>
      <c r="K1373" s="20">
        <f>Разбивка_по_щитам!N1378</f>
      </c>
      <c r="L1373" s="20"/>
      <c r="M1373" s="20">
        <f>Разбивка_по_щитам!P1378</f>
      </c>
      <c r="N1373" s="20"/>
    </row>
    <row r="1374" spans="2:14" x14ac:dyDescent="0.25">
      <c r="B1374" s="20">
        <f>Разбивка_по_щитам!B1379</f>
      </c>
      <c r="C1374" s="20">
        <f>Разбивка_по_щитам!C1379</f>
      </c>
      <c r="D1374" s="20">
        <f>Разбивка_по_щитам!F1379</f>
      </c>
      <c r="E1374" s="20">
        <f>Разбивка_по_щитам!H1379</f>
      </c>
      <c r="F1374" s="20">
        <f>Разбивка_по_щитам!I1379</f>
      </c>
      <c r="G1374" s="20">
        <f>Разбивка_по_щитам!J1379</f>
      </c>
      <c r="H1374" s="20">
        <f>Разбивка_по_щитам!K1379</f>
      </c>
      <c r="I1374" s="20">
        <f>Разбивка_по_щитам!L1379</f>
      </c>
      <c r="J1374" s="20">
        <f>Разбивка_по_щитам!M1379</f>
      </c>
      <c r="K1374" s="20">
        <f>Разбивка_по_щитам!N1379</f>
      </c>
      <c r="L1374" s="20"/>
      <c r="M1374" s="20">
        <f>Разбивка_по_щитам!P1379</f>
      </c>
      <c r="N1374" s="20"/>
    </row>
    <row r="1375" spans="2:14" x14ac:dyDescent="0.25">
      <c r="B1375" s="20">
        <f>Разбивка_по_щитам!B1380</f>
      </c>
      <c r="C1375" s="20">
        <f>Разбивка_по_щитам!C1380</f>
      </c>
      <c r="D1375" s="20">
        <f>Разбивка_по_щитам!F1380</f>
      </c>
      <c r="E1375" s="20">
        <f>Разбивка_по_щитам!H1380</f>
      </c>
      <c r="F1375" s="20">
        <f>Разбивка_по_щитам!I1380</f>
      </c>
      <c r="G1375" s="20">
        <f>Разбивка_по_щитам!J1380</f>
      </c>
      <c r="H1375" s="20">
        <f>Разбивка_по_щитам!K1380</f>
      </c>
      <c r="I1375" s="20">
        <f>Разбивка_по_щитам!L1380</f>
      </c>
      <c r="J1375" s="20">
        <f>Разбивка_по_щитам!M1380</f>
      </c>
      <c r="K1375" s="20">
        <f>Разбивка_по_щитам!N1380</f>
      </c>
      <c r="L1375" s="20"/>
      <c r="M1375" s="20">
        <f>Разбивка_по_щитам!P1380</f>
      </c>
      <c r="N1375" s="20"/>
    </row>
    <row r="1376" spans="2:14" x14ac:dyDescent="0.25">
      <c r="B1376" s="20">
        <f>Разбивка_по_щитам!B1381</f>
      </c>
      <c r="C1376" s="20">
        <f>Разбивка_по_щитам!C1381</f>
      </c>
      <c r="D1376" s="20">
        <f>Разбивка_по_щитам!F1381</f>
      </c>
      <c r="E1376" s="20">
        <f>Разбивка_по_щитам!H1381</f>
      </c>
      <c r="F1376" s="20">
        <f>Разбивка_по_щитам!I1381</f>
      </c>
      <c r="G1376" s="20">
        <f>Разбивка_по_щитам!J1381</f>
      </c>
      <c r="H1376" s="20">
        <f>Разбивка_по_щитам!K1381</f>
      </c>
      <c r="I1376" s="20">
        <f>Разбивка_по_щитам!L1381</f>
      </c>
      <c r="J1376" s="20">
        <f>Разбивка_по_щитам!M1381</f>
      </c>
      <c r="K1376" s="20">
        <f>Разбивка_по_щитам!N1381</f>
      </c>
      <c r="L1376" s="20"/>
      <c r="M1376" s="20">
        <f>Разбивка_по_щитам!P1381</f>
      </c>
      <c r="N1376" s="20"/>
    </row>
    <row r="1377" spans="2:14" x14ac:dyDescent="0.25">
      <c r="B1377" s="20">
        <f>Разбивка_по_щитам!B1382</f>
      </c>
      <c r="C1377" s="20">
        <f>Разбивка_по_щитам!C1382</f>
      </c>
      <c r="D1377" s="20">
        <f>Разбивка_по_щитам!F1382</f>
      </c>
      <c r="E1377" s="20">
        <f>Разбивка_по_щитам!H1382</f>
      </c>
      <c r="F1377" s="20">
        <f>Разбивка_по_щитам!I1382</f>
      </c>
      <c r="G1377" s="20">
        <f>Разбивка_по_щитам!J1382</f>
      </c>
      <c r="H1377" s="20">
        <f>Разбивка_по_щитам!K1382</f>
      </c>
      <c r="I1377" s="20">
        <f>Разбивка_по_щитам!L1382</f>
      </c>
      <c r="J1377" s="20">
        <f>Разбивка_по_щитам!M1382</f>
      </c>
      <c r="K1377" s="20">
        <f>Разбивка_по_щитам!N1382</f>
      </c>
      <c r="L1377" s="20"/>
      <c r="M1377" s="20">
        <f>Разбивка_по_щитам!P1382</f>
      </c>
      <c r="N1377" s="20"/>
    </row>
    <row r="1378" spans="2:14" x14ac:dyDescent="0.25">
      <c r="B1378" s="20">
        <f>Разбивка_по_щитам!B1383</f>
      </c>
      <c r="C1378" s="20">
        <f>Разбивка_по_щитам!C1383</f>
      </c>
      <c r="D1378" s="20">
        <f>Разбивка_по_щитам!F1383</f>
      </c>
      <c r="E1378" s="20">
        <f>Разбивка_по_щитам!H1383</f>
      </c>
      <c r="F1378" s="20">
        <f>Разбивка_по_щитам!I1383</f>
      </c>
      <c r="G1378" s="20">
        <f>Разбивка_по_щитам!J1383</f>
      </c>
      <c r="H1378" s="20">
        <f>Разбивка_по_щитам!K1383</f>
      </c>
      <c r="I1378" s="20">
        <f>Разбивка_по_щитам!L1383</f>
      </c>
      <c r="J1378" s="20">
        <f>Разбивка_по_щитам!M1383</f>
      </c>
      <c r="K1378" s="20">
        <f>Разбивка_по_щитам!N1383</f>
      </c>
      <c r="L1378" s="20"/>
      <c r="M1378" s="20">
        <f>Разбивка_по_щитам!P1383</f>
      </c>
      <c r="N1378" s="20"/>
    </row>
    <row r="1379" spans="2:14" x14ac:dyDescent="0.25">
      <c r="B1379" s="20">
        <f>Разбивка_по_щитам!B1384</f>
      </c>
      <c r="C1379" s="20">
        <f>Разбивка_по_щитам!C1384</f>
      </c>
      <c r="D1379" s="20">
        <f>Разбивка_по_щитам!F1384</f>
      </c>
      <c r="E1379" s="20">
        <f>Разбивка_по_щитам!H1384</f>
      </c>
      <c r="F1379" s="20">
        <f>Разбивка_по_щитам!I1384</f>
      </c>
      <c r="G1379" s="20">
        <f>Разбивка_по_щитам!J1384</f>
      </c>
      <c r="H1379" s="20">
        <f>Разбивка_по_щитам!K1384</f>
      </c>
      <c r="I1379" s="20">
        <f>Разбивка_по_щитам!L1384</f>
      </c>
      <c r="J1379" s="20">
        <f>Разбивка_по_щитам!M1384</f>
      </c>
      <c r="K1379" s="20">
        <f>Разбивка_по_щитам!N1384</f>
      </c>
      <c r="L1379" s="20"/>
      <c r="M1379" s="20">
        <f>Разбивка_по_щитам!P1384</f>
      </c>
      <c r="N1379" s="20"/>
    </row>
    <row r="1380" spans="2:14" x14ac:dyDescent="0.25">
      <c r="B1380" s="20">
        <f>Разбивка_по_щитам!B1385</f>
      </c>
      <c r="C1380" s="20">
        <f>Разбивка_по_щитам!C1385</f>
      </c>
      <c r="D1380" s="20">
        <f>Разбивка_по_щитам!F1385</f>
      </c>
      <c r="E1380" s="20">
        <f>Разбивка_по_щитам!H1385</f>
      </c>
      <c r="F1380" s="20">
        <f>Разбивка_по_щитам!I1385</f>
      </c>
      <c r="G1380" s="20">
        <f>Разбивка_по_щитам!J1385</f>
      </c>
      <c r="H1380" s="20">
        <f>Разбивка_по_щитам!K1385</f>
      </c>
      <c r="I1380" s="20">
        <f>Разбивка_по_щитам!L1385</f>
      </c>
      <c r="J1380" s="20">
        <f>Разбивка_по_щитам!M1385</f>
      </c>
      <c r="K1380" s="20">
        <f>Разбивка_по_щитам!N1385</f>
      </c>
      <c r="L1380" s="20"/>
      <c r="M1380" s="20">
        <f>Разбивка_по_щитам!P1385</f>
      </c>
      <c r="N1380" s="20"/>
    </row>
    <row r="1381" spans="2:14" x14ac:dyDescent="0.25">
      <c r="B1381" s="20">
        <f>Разбивка_по_щитам!B1386</f>
      </c>
      <c r="C1381" s="20">
        <f>Разбивка_по_щитам!C1386</f>
      </c>
      <c r="D1381" s="20">
        <f>Разбивка_по_щитам!F1386</f>
      </c>
      <c r="E1381" s="20">
        <f>Разбивка_по_щитам!H1386</f>
      </c>
      <c r="F1381" s="20">
        <f>Разбивка_по_щитам!I1386</f>
      </c>
      <c r="G1381" s="20">
        <f>Разбивка_по_щитам!J1386</f>
      </c>
      <c r="H1381" s="20">
        <f>Разбивка_по_щитам!K1386</f>
      </c>
      <c r="I1381" s="20">
        <f>Разбивка_по_щитам!L1386</f>
      </c>
      <c r="J1381" s="20">
        <f>Разбивка_по_щитам!M1386</f>
      </c>
      <c r="K1381" s="20">
        <f>Разбивка_по_щитам!N1386</f>
      </c>
      <c r="L1381" s="20"/>
      <c r="M1381" s="20">
        <f>Разбивка_по_щитам!P1386</f>
      </c>
      <c r="N1381" s="20"/>
    </row>
    <row r="1382" spans="2:14" x14ac:dyDescent="0.25">
      <c r="B1382" s="20">
        <f>Разбивка_по_щитам!B1387</f>
      </c>
      <c r="C1382" s="20">
        <f>Разбивка_по_щитам!C1387</f>
      </c>
      <c r="D1382" s="20">
        <f>Разбивка_по_щитам!F1387</f>
      </c>
      <c r="E1382" s="20">
        <f>Разбивка_по_щитам!H1387</f>
      </c>
      <c r="F1382" s="20">
        <f>Разбивка_по_щитам!I1387</f>
      </c>
      <c r="G1382" s="20">
        <f>Разбивка_по_щитам!J1387</f>
      </c>
      <c r="H1382" s="20">
        <f>Разбивка_по_щитам!K1387</f>
      </c>
      <c r="I1382" s="20">
        <f>Разбивка_по_щитам!L1387</f>
      </c>
      <c r="J1382" s="20">
        <f>Разбивка_по_щитам!M1387</f>
      </c>
      <c r="K1382" s="20">
        <f>Разбивка_по_щитам!N1387</f>
      </c>
      <c r="L1382" s="20"/>
      <c r="M1382" s="20">
        <f>Разбивка_по_щитам!P1387</f>
      </c>
      <c r="N1382" s="20"/>
    </row>
    <row r="1383" spans="2:14" x14ac:dyDescent="0.25">
      <c r="B1383" s="20">
        <f>Разбивка_по_щитам!B1388</f>
      </c>
      <c r="C1383" s="20">
        <f>Разбивка_по_щитам!C1388</f>
      </c>
      <c r="D1383" s="20">
        <f>Разбивка_по_щитам!F1388</f>
      </c>
      <c r="E1383" s="20">
        <f>Разбивка_по_щитам!H1388</f>
      </c>
      <c r="F1383" s="20">
        <f>Разбивка_по_щитам!I1388</f>
      </c>
      <c r="G1383" s="20">
        <f>Разбивка_по_щитам!J1388</f>
      </c>
      <c r="H1383" s="20">
        <f>Разбивка_по_щитам!K1388</f>
      </c>
      <c r="I1383" s="20">
        <f>Разбивка_по_щитам!L1388</f>
      </c>
      <c r="J1383" s="20">
        <f>Разбивка_по_щитам!M1388</f>
      </c>
      <c r="K1383" s="20">
        <f>Разбивка_по_щитам!N1388</f>
      </c>
      <c r="L1383" s="20"/>
      <c r="M1383" s="20">
        <f>Разбивка_по_щитам!P1388</f>
      </c>
      <c r="N1383" s="20"/>
    </row>
    <row r="1384" spans="2:14" x14ac:dyDescent="0.25">
      <c r="B1384" s="20">
        <f>Разбивка_по_щитам!B1389</f>
      </c>
      <c r="C1384" s="20">
        <f>Разбивка_по_щитам!C1389</f>
      </c>
      <c r="D1384" s="20">
        <f>Разбивка_по_щитам!F1389</f>
      </c>
      <c r="E1384" s="20">
        <f>Разбивка_по_щитам!H1389</f>
      </c>
      <c r="F1384" s="20">
        <f>Разбивка_по_щитам!I1389</f>
      </c>
      <c r="G1384" s="20">
        <f>Разбивка_по_щитам!J1389</f>
      </c>
      <c r="H1384" s="20">
        <f>Разбивка_по_щитам!K1389</f>
      </c>
      <c r="I1384" s="20">
        <f>Разбивка_по_щитам!L1389</f>
      </c>
      <c r="J1384" s="20">
        <f>Разбивка_по_щитам!M1389</f>
      </c>
      <c r="K1384" s="20">
        <f>Разбивка_по_щитам!N1389</f>
      </c>
      <c r="L1384" s="20"/>
      <c r="M1384" s="20">
        <f>Разбивка_по_щитам!P1389</f>
      </c>
      <c r="N1384" s="20"/>
    </row>
    <row r="1385" spans="2:14" x14ac:dyDescent="0.25">
      <c r="B1385" s="20">
        <f>Разбивка_по_щитам!B1390</f>
      </c>
      <c r="C1385" s="20">
        <f>Разбивка_по_щитам!C1390</f>
      </c>
      <c r="D1385" s="20">
        <f>Разбивка_по_щитам!F1390</f>
      </c>
      <c r="E1385" s="20">
        <f>Разбивка_по_щитам!H1390</f>
      </c>
      <c r="F1385" s="20">
        <f>Разбивка_по_щитам!I1390</f>
      </c>
      <c r="G1385" s="20">
        <f>Разбивка_по_щитам!J1390</f>
      </c>
      <c r="H1385" s="20">
        <f>Разбивка_по_щитам!K1390</f>
      </c>
      <c r="I1385" s="20">
        <f>Разбивка_по_щитам!L1390</f>
      </c>
      <c r="J1385" s="20">
        <f>Разбивка_по_щитам!M1390</f>
      </c>
      <c r="K1385" s="20">
        <f>Разбивка_по_щитам!N1390</f>
      </c>
      <c r="L1385" s="20"/>
      <c r="M1385" s="20">
        <f>Разбивка_по_щитам!P1390</f>
      </c>
      <c r="N1385" s="20"/>
    </row>
    <row r="1386" spans="2:14" x14ac:dyDescent="0.25">
      <c r="B1386" s="20">
        <f>Разбивка_по_щитам!B1391</f>
      </c>
      <c r="C1386" s="20">
        <f>Разбивка_по_щитам!C1391</f>
      </c>
      <c r="D1386" s="20">
        <f>Разбивка_по_щитам!F1391</f>
      </c>
      <c r="E1386" s="20">
        <f>Разбивка_по_щитам!H1391</f>
      </c>
      <c r="F1386" s="20">
        <f>Разбивка_по_щитам!I1391</f>
      </c>
      <c r="G1386" s="20">
        <f>Разбивка_по_щитам!J1391</f>
      </c>
      <c r="H1386" s="20">
        <f>Разбивка_по_щитам!K1391</f>
      </c>
      <c r="I1386" s="20">
        <f>Разбивка_по_щитам!L1391</f>
      </c>
      <c r="J1386" s="20">
        <f>Разбивка_по_щитам!M1391</f>
      </c>
      <c r="K1386" s="20">
        <f>Разбивка_по_щитам!N1391</f>
      </c>
      <c r="L1386" s="20"/>
      <c r="M1386" s="20">
        <f>Разбивка_по_щитам!P1391</f>
      </c>
      <c r="N1386" s="20"/>
    </row>
    <row r="1387" spans="2:14" x14ac:dyDescent="0.25">
      <c r="B1387" s="20">
        <f>Разбивка_по_щитам!B1392</f>
      </c>
      <c r="C1387" s="20">
        <f>Разбивка_по_щитам!C1392</f>
      </c>
      <c r="D1387" s="20">
        <f>Разбивка_по_щитам!F1392</f>
      </c>
      <c r="E1387" s="20">
        <f>Разбивка_по_щитам!H1392</f>
      </c>
      <c r="F1387" s="20">
        <f>Разбивка_по_щитам!I1392</f>
      </c>
      <c r="G1387" s="20">
        <f>Разбивка_по_щитам!J1392</f>
      </c>
      <c r="H1387" s="20">
        <f>Разбивка_по_щитам!K1392</f>
      </c>
      <c r="I1387" s="20">
        <f>Разбивка_по_щитам!L1392</f>
      </c>
      <c r="J1387" s="20">
        <f>Разбивка_по_щитам!M1392</f>
      </c>
      <c r="K1387" s="20">
        <f>Разбивка_по_щитам!N1392</f>
      </c>
      <c r="L1387" s="20"/>
      <c r="M1387" s="20">
        <f>Разбивка_по_щитам!P1392</f>
      </c>
      <c r="N1387" s="20"/>
    </row>
    <row r="1388" spans="2:14" x14ac:dyDescent="0.25">
      <c r="B1388" s="20">
        <f>Разбивка_по_щитам!B1393</f>
      </c>
      <c r="C1388" s="20">
        <f>Разбивка_по_щитам!C1393</f>
      </c>
      <c r="D1388" s="20">
        <f>Разбивка_по_щитам!F1393</f>
      </c>
      <c r="E1388" s="20">
        <f>Разбивка_по_щитам!H1393</f>
      </c>
      <c r="F1388" s="20">
        <f>Разбивка_по_щитам!I1393</f>
      </c>
      <c r="G1388" s="20">
        <f>Разбивка_по_щитам!J1393</f>
      </c>
      <c r="H1388" s="20">
        <f>Разбивка_по_щитам!K1393</f>
      </c>
      <c r="I1388" s="20">
        <f>Разбивка_по_щитам!L1393</f>
      </c>
      <c r="J1388" s="20">
        <f>Разбивка_по_щитам!M1393</f>
      </c>
      <c r="K1388" s="20">
        <f>Разбивка_по_щитам!N1393</f>
      </c>
      <c r="L1388" s="20"/>
      <c r="M1388" s="20">
        <f>Разбивка_по_щитам!P1393</f>
      </c>
      <c r="N1388" s="20"/>
    </row>
    <row r="1389" spans="2:14" x14ac:dyDescent="0.25">
      <c r="B1389" s="20">
        <f>Разбивка_по_щитам!B1394</f>
      </c>
      <c r="C1389" s="20">
        <f>Разбивка_по_щитам!C1394</f>
      </c>
      <c r="D1389" s="20">
        <f>Разбивка_по_щитам!F1394</f>
      </c>
      <c r="E1389" s="20">
        <f>Разбивка_по_щитам!H1394</f>
      </c>
      <c r="F1389" s="20">
        <f>Разбивка_по_щитам!I1394</f>
      </c>
      <c r="G1389" s="20">
        <f>Разбивка_по_щитам!J1394</f>
      </c>
      <c r="H1389" s="20">
        <f>Разбивка_по_щитам!K1394</f>
      </c>
      <c r="I1389" s="20">
        <f>Разбивка_по_щитам!L1394</f>
      </c>
      <c r="J1389" s="20">
        <f>Разбивка_по_щитам!M1394</f>
      </c>
      <c r="K1389" s="20">
        <f>Разбивка_по_щитам!N1394</f>
      </c>
      <c r="L1389" s="20"/>
      <c r="M1389" s="20">
        <f>Разбивка_по_щитам!P1394</f>
      </c>
      <c r="N1389" s="20"/>
    </row>
    <row r="1390" spans="2:14" x14ac:dyDescent="0.25">
      <c r="B1390" s="20">
        <f>Разбивка_по_щитам!B1395</f>
      </c>
      <c r="C1390" s="20">
        <f>Разбивка_по_щитам!C1395</f>
      </c>
      <c r="D1390" s="20">
        <f>Разбивка_по_щитам!F1395</f>
      </c>
      <c r="E1390" s="20">
        <f>Разбивка_по_щитам!H1395</f>
      </c>
      <c r="F1390" s="20">
        <f>Разбивка_по_щитам!I1395</f>
      </c>
      <c r="G1390" s="20">
        <f>Разбивка_по_щитам!J1395</f>
      </c>
      <c r="H1390" s="20">
        <f>Разбивка_по_щитам!K1395</f>
      </c>
      <c r="I1390" s="20">
        <f>Разбивка_по_щитам!L1395</f>
      </c>
      <c r="J1390" s="20">
        <f>Разбивка_по_щитам!M1395</f>
      </c>
      <c r="K1390" s="20">
        <f>Разбивка_по_щитам!N1395</f>
      </c>
      <c r="L1390" s="20"/>
      <c r="M1390" s="20">
        <f>Разбивка_по_щитам!P1395</f>
      </c>
      <c r="N1390" s="20"/>
    </row>
    <row r="1391" spans="2:14" x14ac:dyDescent="0.25">
      <c r="B1391" s="20">
        <f>Разбивка_по_щитам!B1396</f>
      </c>
      <c r="C1391" s="20">
        <f>Разбивка_по_щитам!C1396</f>
      </c>
      <c r="D1391" s="20">
        <f>Разбивка_по_щитам!F1396</f>
      </c>
      <c r="E1391" s="20">
        <f>Разбивка_по_щитам!H1396</f>
      </c>
      <c r="F1391" s="20">
        <f>Разбивка_по_щитам!I1396</f>
      </c>
      <c r="G1391" s="20">
        <f>Разбивка_по_щитам!J1396</f>
      </c>
      <c r="H1391" s="20">
        <f>Разбивка_по_щитам!K1396</f>
      </c>
      <c r="I1391" s="20">
        <f>Разбивка_по_щитам!L1396</f>
      </c>
      <c r="J1391" s="20">
        <f>Разбивка_по_щитам!M1396</f>
      </c>
      <c r="K1391" s="20">
        <f>Разбивка_по_щитам!N1396</f>
      </c>
      <c r="L1391" s="20"/>
      <c r="M1391" s="20">
        <f>Разбивка_по_щитам!P1396</f>
      </c>
      <c r="N1391" s="20"/>
    </row>
    <row r="1392" spans="2:14" x14ac:dyDescent="0.25">
      <c r="B1392" s="20">
        <f>Разбивка_по_щитам!B1397</f>
      </c>
      <c r="C1392" s="20">
        <f>Разбивка_по_щитам!C1397</f>
      </c>
      <c r="D1392" s="20">
        <f>Разбивка_по_щитам!F1397</f>
      </c>
      <c r="E1392" s="20">
        <f>Разбивка_по_щитам!H1397</f>
      </c>
      <c r="F1392" s="20">
        <f>Разбивка_по_щитам!I1397</f>
      </c>
      <c r="G1392" s="20">
        <f>Разбивка_по_щитам!J1397</f>
      </c>
      <c r="H1392" s="20">
        <f>Разбивка_по_щитам!K1397</f>
      </c>
      <c r="I1392" s="20">
        <f>Разбивка_по_щитам!L1397</f>
      </c>
      <c r="J1392" s="20">
        <f>Разбивка_по_щитам!M1397</f>
      </c>
      <c r="K1392" s="20">
        <f>Разбивка_по_щитам!N1397</f>
      </c>
      <c r="L1392" s="20"/>
      <c r="M1392" s="20">
        <f>Разбивка_по_щитам!P1397</f>
      </c>
      <c r="N1392" s="20"/>
    </row>
    <row r="1393" spans="2:14" x14ac:dyDescent="0.25">
      <c r="B1393" s="20">
        <f>Разбивка_по_щитам!B1398</f>
      </c>
      <c r="C1393" s="20">
        <f>Разбивка_по_щитам!C1398</f>
      </c>
      <c r="D1393" s="20">
        <f>Разбивка_по_щитам!F1398</f>
      </c>
      <c r="E1393" s="20">
        <f>Разбивка_по_щитам!H1398</f>
      </c>
      <c r="F1393" s="20">
        <f>Разбивка_по_щитам!I1398</f>
      </c>
      <c r="G1393" s="20">
        <f>Разбивка_по_щитам!J1398</f>
      </c>
      <c r="H1393" s="20">
        <f>Разбивка_по_щитам!K1398</f>
      </c>
      <c r="I1393" s="20">
        <f>Разбивка_по_щитам!L1398</f>
      </c>
      <c r="J1393" s="20">
        <f>Разбивка_по_щитам!M1398</f>
      </c>
      <c r="K1393" s="20">
        <f>Разбивка_по_щитам!N1398</f>
      </c>
      <c r="L1393" s="20"/>
      <c r="M1393" s="20">
        <f>Разбивка_по_щитам!P1398</f>
      </c>
      <c r="N1393" s="20"/>
    </row>
    <row r="1394" spans="2:14" x14ac:dyDescent="0.25">
      <c r="B1394" s="20">
        <f>Разбивка_по_щитам!B1399</f>
      </c>
      <c r="C1394" s="20">
        <f>Разбивка_по_щитам!C1399</f>
      </c>
      <c r="D1394" s="20">
        <f>Разбивка_по_щитам!F1399</f>
      </c>
      <c r="E1394" s="20">
        <f>Разбивка_по_щитам!H1399</f>
      </c>
      <c r="F1394" s="20">
        <f>Разбивка_по_щитам!I1399</f>
      </c>
      <c r="G1394" s="20">
        <f>Разбивка_по_щитам!J1399</f>
      </c>
      <c r="H1394" s="20">
        <f>Разбивка_по_щитам!K1399</f>
      </c>
      <c r="I1394" s="20">
        <f>Разбивка_по_щитам!L1399</f>
      </c>
      <c r="J1394" s="20">
        <f>Разбивка_по_щитам!M1399</f>
      </c>
      <c r="K1394" s="20">
        <f>Разбивка_по_щитам!N1399</f>
      </c>
      <c r="L1394" s="20"/>
      <c r="M1394" s="20">
        <f>Разбивка_по_щитам!P1399</f>
      </c>
      <c r="N1394" s="20"/>
    </row>
    <row r="1395" spans="2:14" x14ac:dyDescent="0.25">
      <c r="B1395" s="20">
        <f>Разбивка_по_щитам!B1400</f>
      </c>
      <c r="C1395" s="20">
        <f>Разбивка_по_щитам!C1400</f>
      </c>
      <c r="D1395" s="20">
        <f>Разбивка_по_щитам!F1400</f>
      </c>
      <c r="E1395" s="20">
        <f>Разбивка_по_щитам!H1400</f>
      </c>
      <c r="F1395" s="20">
        <f>Разбивка_по_щитам!I1400</f>
      </c>
      <c r="G1395" s="20">
        <f>Разбивка_по_щитам!J1400</f>
      </c>
      <c r="H1395" s="20">
        <f>Разбивка_по_щитам!K1400</f>
      </c>
      <c r="I1395" s="20">
        <f>Разбивка_по_щитам!L1400</f>
      </c>
      <c r="J1395" s="20">
        <f>Разбивка_по_щитам!M1400</f>
      </c>
      <c r="K1395" s="20">
        <f>Разбивка_по_щитам!N1400</f>
      </c>
      <c r="L1395" s="20"/>
      <c r="M1395" s="20">
        <f>Разбивка_по_щитам!P1400</f>
      </c>
      <c r="N1395" s="20"/>
    </row>
    <row r="1396" spans="2:14" x14ac:dyDescent="0.25">
      <c r="B1396" s="20">
        <f>Разбивка_по_щитам!B1401</f>
      </c>
      <c r="C1396" s="20">
        <f>Разбивка_по_щитам!C1401</f>
      </c>
      <c r="D1396" s="20">
        <f>Разбивка_по_щитам!F1401</f>
      </c>
      <c r="E1396" s="20">
        <f>Разбивка_по_щитам!H1401</f>
      </c>
      <c r="F1396" s="20">
        <f>Разбивка_по_щитам!I1401</f>
      </c>
      <c r="G1396" s="20">
        <f>Разбивка_по_щитам!J1401</f>
      </c>
      <c r="H1396" s="20">
        <f>Разбивка_по_щитам!K1401</f>
      </c>
      <c r="I1396" s="20">
        <f>Разбивка_по_щитам!L1401</f>
      </c>
      <c r="J1396" s="20">
        <f>Разбивка_по_щитам!M1401</f>
      </c>
      <c r="K1396" s="20">
        <f>Разбивка_по_щитам!N1401</f>
      </c>
      <c r="L1396" s="20"/>
      <c r="M1396" s="20">
        <f>Разбивка_по_щитам!P1401</f>
      </c>
      <c r="N1396" s="20"/>
    </row>
    <row r="1397" spans="2:14" x14ac:dyDescent="0.25">
      <c r="B1397" s="20">
        <f>Разбивка_по_щитам!B1402</f>
      </c>
      <c r="C1397" s="20">
        <f>Разбивка_по_щитам!C1402</f>
      </c>
      <c r="D1397" s="20">
        <f>Разбивка_по_щитам!F1402</f>
      </c>
      <c r="E1397" s="20">
        <f>Разбивка_по_щитам!H1402</f>
      </c>
      <c r="F1397" s="20">
        <f>Разбивка_по_щитам!I1402</f>
      </c>
      <c r="G1397" s="20">
        <f>Разбивка_по_щитам!J1402</f>
      </c>
      <c r="H1397" s="20">
        <f>Разбивка_по_щитам!K1402</f>
      </c>
      <c r="I1397" s="20">
        <f>Разбивка_по_щитам!L1402</f>
      </c>
      <c r="J1397" s="20">
        <f>Разбивка_по_щитам!M1402</f>
      </c>
      <c r="K1397" s="20">
        <f>Разбивка_по_щитам!N1402</f>
      </c>
      <c r="L1397" s="20"/>
      <c r="M1397" s="20">
        <f>Разбивка_по_щитам!P1402</f>
      </c>
      <c r="N1397" s="20"/>
    </row>
    <row r="1398" spans="2:14" x14ac:dyDescent="0.25">
      <c r="B1398" s="20">
        <f>Разбивка_по_щитам!B1403</f>
      </c>
      <c r="C1398" s="20">
        <f>Разбивка_по_щитам!C1403</f>
      </c>
      <c r="D1398" s="20">
        <f>Разбивка_по_щитам!F1403</f>
      </c>
      <c r="E1398" s="20">
        <f>Разбивка_по_щитам!H1403</f>
      </c>
      <c r="F1398" s="20">
        <f>Разбивка_по_щитам!I1403</f>
      </c>
      <c r="G1398" s="20">
        <f>Разбивка_по_щитам!J1403</f>
      </c>
      <c r="H1398" s="20">
        <f>Разбивка_по_щитам!K1403</f>
      </c>
      <c r="I1398" s="20">
        <f>Разбивка_по_щитам!L1403</f>
      </c>
      <c r="J1398" s="20">
        <f>Разбивка_по_щитам!M1403</f>
      </c>
      <c r="K1398" s="20">
        <f>Разбивка_по_щитам!N1403</f>
      </c>
      <c r="L1398" s="20"/>
      <c r="M1398" s="20">
        <f>Разбивка_по_щитам!P1403</f>
      </c>
      <c r="N1398" s="20"/>
    </row>
    <row r="1399" spans="2:14" x14ac:dyDescent="0.25">
      <c r="B1399" s="20">
        <f>Разбивка_по_щитам!B1404</f>
      </c>
      <c r="C1399" s="20">
        <f>Разбивка_по_щитам!C1404</f>
      </c>
      <c r="D1399" s="20">
        <f>Разбивка_по_щитам!F1404</f>
      </c>
      <c r="E1399" s="20">
        <f>Разбивка_по_щитам!H1404</f>
      </c>
      <c r="F1399" s="20">
        <f>Разбивка_по_щитам!I1404</f>
      </c>
      <c r="G1399" s="20">
        <f>Разбивка_по_щитам!J1404</f>
      </c>
      <c r="H1399" s="20">
        <f>Разбивка_по_щитам!K1404</f>
      </c>
      <c r="I1399" s="20">
        <f>Разбивка_по_щитам!L1404</f>
      </c>
      <c r="J1399" s="20">
        <f>Разбивка_по_щитам!M1404</f>
      </c>
      <c r="K1399" s="20">
        <f>Разбивка_по_щитам!N1404</f>
      </c>
      <c r="L1399" s="20"/>
      <c r="M1399" s="20">
        <f>Разбивка_по_щитам!P1404</f>
      </c>
      <c r="N1399" s="20"/>
    </row>
    <row r="1400" spans="2:14" x14ac:dyDescent="0.25">
      <c r="B1400" s="20">
        <f>Разбивка_по_щитам!B1405</f>
      </c>
      <c r="C1400" s="20">
        <f>Разбивка_по_щитам!C1405</f>
      </c>
      <c r="D1400" s="20">
        <f>Разбивка_по_щитам!F1405</f>
      </c>
      <c r="E1400" s="20">
        <f>Разбивка_по_щитам!H1405</f>
      </c>
      <c r="F1400" s="20">
        <f>Разбивка_по_щитам!I1405</f>
      </c>
      <c r="G1400" s="20">
        <f>Разбивка_по_щитам!J1405</f>
      </c>
      <c r="H1400" s="20">
        <f>Разбивка_по_щитам!K1405</f>
      </c>
      <c r="I1400" s="20">
        <f>Разбивка_по_щитам!L1405</f>
      </c>
      <c r="J1400" s="20">
        <f>Разбивка_по_щитам!M1405</f>
      </c>
      <c r="K1400" s="20">
        <f>Разбивка_по_щитам!N1405</f>
      </c>
      <c r="L1400" s="20"/>
      <c r="M1400" s="20">
        <f>Разбивка_по_щитам!P1405</f>
      </c>
      <c r="N1400" s="20"/>
    </row>
    <row r="1401" spans="2:14" x14ac:dyDescent="0.25">
      <c r="B1401" s="20">
        <f>Разбивка_по_щитам!B1406</f>
      </c>
      <c r="C1401" s="20">
        <f>Разбивка_по_щитам!C1406</f>
      </c>
      <c r="D1401" s="20">
        <f>Разбивка_по_щитам!F1406</f>
      </c>
      <c r="E1401" s="20">
        <f>Разбивка_по_щитам!H1406</f>
      </c>
      <c r="F1401" s="20">
        <f>Разбивка_по_щитам!I1406</f>
      </c>
      <c r="G1401" s="20">
        <f>Разбивка_по_щитам!J1406</f>
      </c>
      <c r="H1401" s="20">
        <f>Разбивка_по_щитам!K1406</f>
      </c>
      <c r="I1401" s="20">
        <f>Разбивка_по_щитам!L1406</f>
      </c>
      <c r="J1401" s="20">
        <f>Разбивка_по_щитам!M1406</f>
      </c>
      <c r="K1401" s="20">
        <f>Разбивка_по_щитам!N1406</f>
      </c>
      <c r="L1401" s="20"/>
      <c r="M1401" s="20">
        <f>Разбивка_по_щитам!P1406</f>
      </c>
      <c r="N1401" s="20"/>
    </row>
    <row r="1402" spans="2:14" x14ac:dyDescent="0.25">
      <c r="B1402" s="20">
        <f>Разбивка_по_щитам!B1407</f>
      </c>
      <c r="C1402" s="20">
        <f>Разбивка_по_щитам!C1407</f>
      </c>
      <c r="D1402" s="20">
        <f>Разбивка_по_щитам!F1407</f>
      </c>
      <c r="E1402" s="20">
        <f>Разбивка_по_щитам!H1407</f>
      </c>
      <c r="F1402" s="20">
        <f>Разбивка_по_щитам!I1407</f>
      </c>
      <c r="G1402" s="20">
        <f>Разбивка_по_щитам!J1407</f>
      </c>
      <c r="H1402" s="20">
        <f>Разбивка_по_щитам!K1407</f>
      </c>
      <c r="I1402" s="20">
        <f>Разбивка_по_щитам!L1407</f>
      </c>
      <c r="J1402" s="20">
        <f>Разбивка_по_щитам!M1407</f>
      </c>
      <c r="K1402" s="20">
        <f>Разбивка_по_щитам!N1407</f>
      </c>
      <c r="L1402" s="20"/>
      <c r="M1402" s="20">
        <f>Разбивка_по_щитам!P1407</f>
      </c>
      <c r="N1402" s="20"/>
    </row>
    <row r="1403" spans="2:14" x14ac:dyDescent="0.25">
      <c r="B1403" s="20">
        <f>Разбивка_по_щитам!B1408</f>
      </c>
      <c r="C1403" s="20">
        <f>Разбивка_по_щитам!C1408</f>
      </c>
      <c r="D1403" s="20">
        <f>Разбивка_по_щитам!F1408</f>
      </c>
      <c r="E1403" s="20">
        <f>Разбивка_по_щитам!H1408</f>
      </c>
      <c r="F1403" s="20">
        <f>Разбивка_по_щитам!I1408</f>
      </c>
      <c r="G1403" s="20">
        <f>Разбивка_по_щитам!J1408</f>
      </c>
      <c r="H1403" s="20">
        <f>Разбивка_по_щитам!K1408</f>
      </c>
      <c r="I1403" s="20">
        <f>Разбивка_по_щитам!L1408</f>
      </c>
      <c r="J1403" s="20">
        <f>Разбивка_по_щитам!M1408</f>
      </c>
      <c r="K1403" s="20">
        <f>Разбивка_по_щитам!N1408</f>
      </c>
      <c r="L1403" s="20"/>
      <c r="M1403" s="20">
        <f>Разбивка_по_щитам!P1408</f>
      </c>
      <c r="N1403" s="20"/>
    </row>
    <row r="1404" spans="2:14" x14ac:dyDescent="0.25">
      <c r="B1404" s="20">
        <f>Разбивка_по_щитам!B1409</f>
      </c>
      <c r="C1404" s="20">
        <f>Разбивка_по_щитам!C1409</f>
      </c>
      <c r="D1404" s="20">
        <f>Разбивка_по_щитам!F1409</f>
      </c>
      <c r="E1404" s="20">
        <f>Разбивка_по_щитам!H1409</f>
      </c>
      <c r="F1404" s="20">
        <f>Разбивка_по_щитам!I1409</f>
      </c>
      <c r="G1404" s="20">
        <f>Разбивка_по_щитам!J1409</f>
      </c>
      <c r="H1404" s="20">
        <f>Разбивка_по_щитам!K1409</f>
      </c>
      <c r="I1404" s="20">
        <f>Разбивка_по_щитам!L1409</f>
      </c>
      <c r="J1404" s="20">
        <f>Разбивка_по_щитам!M1409</f>
      </c>
      <c r="K1404" s="20">
        <f>Разбивка_по_щитам!N1409</f>
      </c>
      <c r="L1404" s="20"/>
      <c r="M1404" s="20">
        <f>Разбивка_по_щитам!P1409</f>
      </c>
      <c r="N1404" s="20"/>
    </row>
    <row r="1405" spans="2:14" x14ac:dyDescent="0.25">
      <c r="B1405" s="20">
        <f>Разбивка_по_щитам!B1410</f>
      </c>
      <c r="C1405" s="20">
        <f>Разбивка_по_щитам!C1410</f>
      </c>
      <c r="D1405" s="20">
        <f>Разбивка_по_щитам!F1410</f>
      </c>
      <c r="E1405" s="20">
        <f>Разбивка_по_щитам!H1410</f>
      </c>
      <c r="F1405" s="20">
        <f>Разбивка_по_щитам!I1410</f>
      </c>
      <c r="G1405" s="20">
        <f>Разбивка_по_щитам!J1410</f>
      </c>
      <c r="H1405" s="20">
        <f>Разбивка_по_щитам!K1410</f>
      </c>
      <c r="I1405" s="20">
        <f>Разбивка_по_щитам!L1410</f>
      </c>
      <c r="J1405" s="20">
        <f>Разбивка_по_щитам!M1410</f>
      </c>
      <c r="K1405" s="20">
        <f>Разбивка_по_щитам!N1410</f>
      </c>
      <c r="L1405" s="20"/>
      <c r="M1405" s="20">
        <f>Разбивка_по_щитам!P1410</f>
      </c>
      <c r="N1405" s="20"/>
    </row>
    <row r="1406" spans="2:14" x14ac:dyDescent="0.25">
      <c r="B1406" s="20">
        <f>Разбивка_по_щитам!B1411</f>
      </c>
      <c r="C1406" s="20">
        <f>Разбивка_по_щитам!C1411</f>
      </c>
      <c r="D1406" s="20">
        <f>Разбивка_по_щитам!F1411</f>
      </c>
      <c r="E1406" s="20">
        <f>Разбивка_по_щитам!H1411</f>
      </c>
      <c r="F1406" s="20">
        <f>Разбивка_по_щитам!I1411</f>
      </c>
      <c r="G1406" s="20">
        <f>Разбивка_по_щитам!J1411</f>
      </c>
      <c r="H1406" s="20">
        <f>Разбивка_по_щитам!K1411</f>
      </c>
      <c r="I1406" s="20">
        <f>Разбивка_по_щитам!L1411</f>
      </c>
      <c r="J1406" s="20">
        <f>Разбивка_по_щитам!M1411</f>
      </c>
      <c r="K1406" s="20">
        <f>Разбивка_по_щитам!N1411</f>
      </c>
      <c r="L1406" s="20"/>
      <c r="M1406" s="20">
        <f>Разбивка_по_щитам!P1411</f>
      </c>
      <c r="N1406" s="20"/>
    </row>
    <row r="1407" spans="2:14" x14ac:dyDescent="0.25">
      <c r="B1407" s="20">
        <f>Разбивка_по_щитам!B1412</f>
      </c>
      <c r="C1407" s="20">
        <f>Разбивка_по_щитам!C1412</f>
      </c>
      <c r="D1407" s="20">
        <f>Разбивка_по_щитам!F1412</f>
      </c>
      <c r="E1407" s="20">
        <f>Разбивка_по_щитам!H1412</f>
      </c>
      <c r="F1407" s="20">
        <f>Разбивка_по_щитам!I1412</f>
      </c>
      <c r="G1407" s="20">
        <f>Разбивка_по_щитам!J1412</f>
      </c>
      <c r="H1407" s="20">
        <f>Разбивка_по_щитам!K1412</f>
      </c>
      <c r="I1407" s="20">
        <f>Разбивка_по_щитам!L1412</f>
      </c>
      <c r="J1407" s="20">
        <f>Разбивка_по_щитам!M1412</f>
      </c>
      <c r="K1407" s="20">
        <f>Разбивка_по_щитам!N1412</f>
      </c>
      <c r="L1407" s="20"/>
      <c r="M1407" s="20">
        <f>Разбивка_по_щитам!P1412</f>
      </c>
      <c r="N1407" s="20"/>
    </row>
    <row r="1408" spans="2:14" x14ac:dyDescent="0.25">
      <c r="B1408" s="20">
        <f>Разбивка_по_щитам!B1413</f>
      </c>
      <c r="C1408" s="20">
        <f>Разбивка_по_щитам!C1413</f>
      </c>
      <c r="D1408" s="20">
        <f>Разбивка_по_щитам!F1413</f>
      </c>
      <c r="E1408" s="20">
        <f>Разбивка_по_щитам!H1413</f>
      </c>
      <c r="F1408" s="20">
        <f>Разбивка_по_щитам!I1413</f>
      </c>
      <c r="G1408" s="20">
        <f>Разбивка_по_щитам!J1413</f>
      </c>
      <c r="H1408" s="20">
        <f>Разбивка_по_щитам!K1413</f>
      </c>
      <c r="I1408" s="20">
        <f>Разбивка_по_щитам!L1413</f>
      </c>
      <c r="J1408" s="20">
        <f>Разбивка_по_щитам!M1413</f>
      </c>
      <c r="K1408" s="20">
        <f>Разбивка_по_щитам!N1413</f>
      </c>
      <c r="L1408" s="20"/>
      <c r="M1408" s="20">
        <f>Разбивка_по_щитам!P1413</f>
      </c>
      <c r="N1408" s="20"/>
    </row>
    <row r="1409" spans="2:14" x14ac:dyDescent="0.25">
      <c r="B1409" s="20">
        <f>Разбивка_по_щитам!B1414</f>
      </c>
      <c r="C1409" s="20">
        <f>Разбивка_по_щитам!C1414</f>
      </c>
      <c r="D1409" s="20">
        <f>Разбивка_по_щитам!F1414</f>
      </c>
      <c r="E1409" s="20">
        <f>Разбивка_по_щитам!H1414</f>
      </c>
      <c r="F1409" s="20">
        <f>Разбивка_по_щитам!I1414</f>
      </c>
      <c r="G1409" s="20">
        <f>Разбивка_по_щитам!J1414</f>
      </c>
      <c r="H1409" s="20">
        <f>Разбивка_по_щитам!K1414</f>
      </c>
      <c r="I1409" s="20">
        <f>Разбивка_по_щитам!L1414</f>
      </c>
      <c r="J1409" s="20">
        <f>Разбивка_по_щитам!M1414</f>
      </c>
      <c r="K1409" s="20">
        <f>Разбивка_по_щитам!N1414</f>
      </c>
      <c r="L1409" s="20"/>
      <c r="M1409" s="20">
        <f>Разбивка_по_щитам!P1414</f>
      </c>
      <c r="N1409" s="20"/>
    </row>
    <row r="1410" spans="2:14" x14ac:dyDescent="0.25">
      <c r="B1410" s="20">
        <f>Разбивка_по_щитам!B1415</f>
      </c>
      <c r="C1410" s="20">
        <f>Разбивка_по_щитам!C1415</f>
      </c>
      <c r="D1410" s="20">
        <f>Разбивка_по_щитам!F1415</f>
      </c>
      <c r="E1410" s="20">
        <f>Разбивка_по_щитам!H1415</f>
      </c>
      <c r="F1410" s="20">
        <f>Разбивка_по_щитам!I1415</f>
      </c>
      <c r="G1410" s="20">
        <f>Разбивка_по_щитам!J1415</f>
      </c>
      <c r="H1410" s="20">
        <f>Разбивка_по_щитам!K1415</f>
      </c>
      <c r="I1410" s="20">
        <f>Разбивка_по_щитам!L1415</f>
      </c>
      <c r="J1410" s="20">
        <f>Разбивка_по_щитам!M1415</f>
      </c>
      <c r="K1410" s="20">
        <f>Разбивка_по_щитам!N1415</f>
      </c>
      <c r="L1410" s="20"/>
      <c r="M1410" s="20">
        <f>Разбивка_по_щитам!P1415</f>
      </c>
      <c r="N1410" s="20"/>
    </row>
    <row r="1411" spans="2:14" x14ac:dyDescent="0.25">
      <c r="B1411" s="20">
        <f>Разбивка_по_щитам!B1416</f>
      </c>
      <c r="C1411" s="20">
        <f>Разбивка_по_щитам!C1416</f>
      </c>
      <c r="D1411" s="20">
        <f>Разбивка_по_щитам!F1416</f>
      </c>
      <c r="E1411" s="20">
        <f>Разбивка_по_щитам!H1416</f>
      </c>
      <c r="F1411" s="20">
        <f>Разбивка_по_щитам!I1416</f>
      </c>
      <c r="G1411" s="20">
        <f>Разбивка_по_щитам!J1416</f>
      </c>
      <c r="H1411" s="20">
        <f>Разбивка_по_щитам!K1416</f>
      </c>
      <c r="I1411" s="20">
        <f>Разбивка_по_щитам!L1416</f>
      </c>
      <c r="J1411" s="20">
        <f>Разбивка_по_щитам!M1416</f>
      </c>
      <c r="K1411" s="20">
        <f>Разбивка_по_щитам!N1416</f>
      </c>
      <c r="L1411" s="20"/>
      <c r="M1411" s="20">
        <f>Разбивка_по_щитам!P1416</f>
      </c>
      <c r="N1411" s="20"/>
    </row>
    <row r="1412" spans="2:14" x14ac:dyDescent="0.25">
      <c r="B1412" s="20">
        <f>Разбивка_по_щитам!B1417</f>
      </c>
      <c r="C1412" s="20">
        <f>Разбивка_по_щитам!C1417</f>
      </c>
      <c r="D1412" s="20">
        <f>Разбивка_по_щитам!F1417</f>
      </c>
      <c r="E1412" s="20">
        <f>Разбивка_по_щитам!H1417</f>
      </c>
      <c r="F1412" s="20">
        <f>Разбивка_по_щитам!I1417</f>
      </c>
      <c r="G1412" s="20">
        <f>Разбивка_по_щитам!J1417</f>
      </c>
      <c r="H1412" s="20">
        <f>Разбивка_по_щитам!K1417</f>
      </c>
      <c r="I1412" s="20">
        <f>Разбивка_по_щитам!L1417</f>
      </c>
      <c r="J1412" s="20">
        <f>Разбивка_по_щитам!M1417</f>
      </c>
      <c r="K1412" s="20">
        <f>Разбивка_по_щитам!N1417</f>
      </c>
      <c r="L1412" s="20"/>
      <c r="M1412" s="20">
        <f>Разбивка_по_щитам!P1417</f>
      </c>
      <c r="N1412" s="20"/>
    </row>
    <row r="1413" spans="2:14" x14ac:dyDescent="0.25">
      <c r="B1413" s="20">
        <f>Разбивка_по_щитам!B1418</f>
      </c>
      <c r="C1413" s="20">
        <f>Разбивка_по_щитам!C1418</f>
      </c>
      <c r="D1413" s="20">
        <f>Разбивка_по_щитам!F1418</f>
      </c>
      <c r="E1413" s="20">
        <f>Разбивка_по_щитам!H1418</f>
      </c>
      <c r="F1413" s="20">
        <f>Разбивка_по_щитам!I1418</f>
      </c>
      <c r="G1413" s="20">
        <f>Разбивка_по_щитам!J1418</f>
      </c>
      <c r="H1413" s="20">
        <f>Разбивка_по_щитам!K1418</f>
      </c>
      <c r="I1413" s="20">
        <f>Разбивка_по_щитам!L1418</f>
      </c>
      <c r="J1413" s="20">
        <f>Разбивка_по_щитам!M1418</f>
      </c>
      <c r="K1413" s="20">
        <f>Разбивка_по_щитам!N1418</f>
      </c>
      <c r="L1413" s="20"/>
      <c r="M1413" s="20">
        <f>Разбивка_по_щитам!P1418</f>
      </c>
      <c r="N1413" s="20"/>
    </row>
    <row r="1414" spans="2:14" x14ac:dyDescent="0.25">
      <c r="B1414" s="20">
        <f>Разбивка_по_щитам!B1419</f>
      </c>
      <c r="C1414" s="20">
        <f>Разбивка_по_щитам!C1419</f>
      </c>
      <c r="D1414" s="20">
        <f>Разбивка_по_щитам!F1419</f>
      </c>
      <c r="E1414" s="20">
        <f>Разбивка_по_щитам!H1419</f>
      </c>
      <c r="F1414" s="20">
        <f>Разбивка_по_щитам!I1419</f>
      </c>
      <c r="G1414" s="20">
        <f>Разбивка_по_щитам!J1419</f>
      </c>
      <c r="H1414" s="20">
        <f>Разбивка_по_щитам!K1419</f>
      </c>
      <c r="I1414" s="20">
        <f>Разбивка_по_щитам!L1419</f>
      </c>
      <c r="J1414" s="20">
        <f>Разбивка_по_щитам!M1419</f>
      </c>
      <c r="K1414" s="20">
        <f>Разбивка_по_щитам!N1419</f>
      </c>
      <c r="L1414" s="20"/>
      <c r="M1414" s="20">
        <f>Разбивка_по_щитам!P1419</f>
      </c>
      <c r="N1414" s="20"/>
    </row>
    <row r="1415" spans="2:14" x14ac:dyDescent="0.25">
      <c r="B1415" s="20">
        <f>Разбивка_по_щитам!B1420</f>
      </c>
      <c r="C1415" s="20">
        <f>Разбивка_по_щитам!C1420</f>
      </c>
      <c r="D1415" s="20">
        <f>Разбивка_по_щитам!F1420</f>
      </c>
      <c r="E1415" s="20">
        <f>Разбивка_по_щитам!H1420</f>
      </c>
      <c r="F1415" s="20">
        <f>Разбивка_по_щитам!I1420</f>
      </c>
      <c r="G1415" s="20">
        <f>Разбивка_по_щитам!J1420</f>
      </c>
      <c r="H1415" s="20">
        <f>Разбивка_по_щитам!K1420</f>
      </c>
      <c r="I1415" s="20">
        <f>Разбивка_по_щитам!L1420</f>
      </c>
      <c r="J1415" s="20">
        <f>Разбивка_по_щитам!M1420</f>
      </c>
      <c r="K1415" s="20">
        <f>Разбивка_по_щитам!N1420</f>
      </c>
      <c r="L1415" s="20"/>
      <c r="M1415" s="20">
        <f>Разбивка_по_щитам!P1420</f>
      </c>
      <c r="N1415" s="20"/>
    </row>
    <row r="1416" spans="2:14" x14ac:dyDescent="0.25">
      <c r="B1416" s="20">
        <f>Разбивка_по_щитам!B1421</f>
      </c>
      <c r="C1416" s="20">
        <f>Разбивка_по_щитам!C1421</f>
      </c>
      <c r="D1416" s="20">
        <f>Разбивка_по_щитам!F1421</f>
      </c>
      <c r="E1416" s="20">
        <f>Разбивка_по_щитам!H1421</f>
      </c>
      <c r="F1416" s="20">
        <f>Разбивка_по_щитам!I1421</f>
      </c>
      <c r="G1416" s="20">
        <f>Разбивка_по_щитам!J1421</f>
      </c>
      <c r="H1416" s="20">
        <f>Разбивка_по_щитам!K1421</f>
      </c>
      <c r="I1416" s="20">
        <f>Разбивка_по_щитам!L1421</f>
      </c>
      <c r="J1416" s="20">
        <f>Разбивка_по_щитам!M1421</f>
      </c>
      <c r="K1416" s="20">
        <f>Разбивка_по_щитам!N1421</f>
      </c>
      <c r="L1416" s="20"/>
      <c r="M1416" s="20">
        <f>Разбивка_по_щитам!P1421</f>
      </c>
      <c r="N1416" s="20"/>
    </row>
    <row r="1417" spans="2:14" x14ac:dyDescent="0.25">
      <c r="B1417" s="20">
        <f>Разбивка_по_щитам!B1422</f>
      </c>
      <c r="C1417" s="20">
        <f>Разбивка_по_щитам!C1422</f>
      </c>
      <c r="D1417" s="20">
        <f>Разбивка_по_щитам!F1422</f>
      </c>
      <c r="E1417" s="20">
        <f>Разбивка_по_щитам!H1422</f>
      </c>
      <c r="F1417" s="20">
        <f>Разбивка_по_щитам!I1422</f>
      </c>
      <c r="G1417" s="20">
        <f>Разбивка_по_щитам!J1422</f>
      </c>
      <c r="H1417" s="20">
        <f>Разбивка_по_щитам!K1422</f>
      </c>
      <c r="I1417" s="20">
        <f>Разбивка_по_щитам!L1422</f>
      </c>
      <c r="J1417" s="20">
        <f>Разбивка_по_щитам!M1422</f>
      </c>
      <c r="K1417" s="20">
        <f>Разбивка_по_щитам!N1422</f>
      </c>
      <c r="L1417" s="20"/>
      <c r="M1417" s="20">
        <f>Разбивка_по_щитам!P1422</f>
      </c>
      <c r="N1417" s="20"/>
    </row>
    <row r="1418" spans="2:14" x14ac:dyDescent="0.25">
      <c r="B1418" s="20">
        <f>Разбивка_по_щитам!B1423</f>
      </c>
      <c r="C1418" s="20">
        <f>Разбивка_по_щитам!C1423</f>
      </c>
      <c r="D1418" s="20">
        <f>Разбивка_по_щитам!F1423</f>
      </c>
      <c r="E1418" s="20">
        <f>Разбивка_по_щитам!H1423</f>
      </c>
      <c r="F1418" s="20">
        <f>Разбивка_по_щитам!I1423</f>
      </c>
      <c r="G1418" s="20">
        <f>Разбивка_по_щитам!J1423</f>
      </c>
      <c r="H1418" s="20">
        <f>Разбивка_по_щитам!K1423</f>
      </c>
      <c r="I1418" s="20">
        <f>Разбивка_по_щитам!L1423</f>
      </c>
      <c r="J1418" s="20">
        <f>Разбивка_по_щитам!M1423</f>
      </c>
      <c r="K1418" s="20">
        <f>Разбивка_по_щитам!N1423</f>
      </c>
      <c r="L1418" s="20"/>
      <c r="M1418" s="20">
        <f>Разбивка_по_щитам!P1423</f>
      </c>
      <c r="N1418" s="20"/>
    </row>
    <row r="1419" spans="2:14" x14ac:dyDescent="0.25">
      <c r="B1419" s="20">
        <f>Разбивка_по_щитам!B1424</f>
      </c>
      <c r="C1419" s="20">
        <f>Разбивка_по_щитам!C1424</f>
      </c>
      <c r="D1419" s="20">
        <f>Разбивка_по_щитам!F1424</f>
      </c>
      <c r="E1419" s="20">
        <f>Разбивка_по_щитам!H1424</f>
      </c>
      <c r="F1419" s="20">
        <f>Разбивка_по_щитам!I1424</f>
      </c>
      <c r="G1419" s="20">
        <f>Разбивка_по_щитам!J1424</f>
      </c>
      <c r="H1419" s="20">
        <f>Разбивка_по_щитам!K1424</f>
      </c>
      <c r="I1419" s="20">
        <f>Разбивка_по_щитам!L1424</f>
      </c>
      <c r="J1419" s="20">
        <f>Разбивка_по_щитам!M1424</f>
      </c>
      <c r="K1419" s="20">
        <f>Разбивка_по_щитам!N1424</f>
      </c>
      <c r="L1419" s="20"/>
      <c r="M1419" s="20">
        <f>Разбивка_по_щитам!P1424</f>
      </c>
      <c r="N1419" s="20"/>
    </row>
    <row r="1420" spans="2:14" x14ac:dyDescent="0.25">
      <c r="B1420" s="20">
        <f>Разбивка_по_щитам!B1425</f>
      </c>
      <c r="C1420" s="20">
        <f>Разбивка_по_щитам!C1425</f>
      </c>
      <c r="D1420" s="20">
        <f>Разбивка_по_щитам!F1425</f>
      </c>
      <c r="E1420" s="20">
        <f>Разбивка_по_щитам!H1425</f>
      </c>
      <c r="F1420" s="20">
        <f>Разбивка_по_щитам!I1425</f>
      </c>
      <c r="G1420" s="20">
        <f>Разбивка_по_щитам!J1425</f>
      </c>
      <c r="H1420" s="20">
        <f>Разбивка_по_щитам!K1425</f>
      </c>
      <c r="I1420" s="20">
        <f>Разбивка_по_щитам!L1425</f>
      </c>
      <c r="J1420" s="20">
        <f>Разбивка_по_щитам!M1425</f>
      </c>
      <c r="K1420" s="20">
        <f>Разбивка_по_щитам!N1425</f>
      </c>
      <c r="L1420" s="20"/>
      <c r="M1420" s="20">
        <f>Разбивка_по_щитам!P1425</f>
      </c>
      <c r="N1420" s="20"/>
    </row>
    <row r="1421" spans="2:14" x14ac:dyDescent="0.25">
      <c r="B1421" s="20">
        <f>Разбивка_по_щитам!B1426</f>
      </c>
      <c r="C1421" s="20">
        <f>Разбивка_по_щитам!C1426</f>
      </c>
      <c r="D1421" s="20">
        <f>Разбивка_по_щитам!F1426</f>
      </c>
      <c r="E1421" s="20">
        <f>Разбивка_по_щитам!H1426</f>
      </c>
      <c r="F1421" s="20">
        <f>Разбивка_по_щитам!I1426</f>
      </c>
      <c r="G1421" s="20">
        <f>Разбивка_по_щитам!J1426</f>
      </c>
      <c r="H1421" s="20">
        <f>Разбивка_по_щитам!K1426</f>
      </c>
      <c r="I1421" s="20">
        <f>Разбивка_по_щитам!L1426</f>
      </c>
      <c r="J1421" s="20">
        <f>Разбивка_по_щитам!M1426</f>
      </c>
      <c r="K1421" s="20">
        <f>Разбивка_по_щитам!N1426</f>
      </c>
      <c r="L1421" s="20"/>
      <c r="M1421" s="20">
        <f>Разбивка_по_щитам!P1426</f>
      </c>
      <c r="N1421" s="20"/>
    </row>
    <row r="1422" spans="2:14" x14ac:dyDescent="0.25">
      <c r="B1422" s="20">
        <f>Разбивка_по_щитам!B1427</f>
      </c>
      <c r="C1422" s="20">
        <f>Разбивка_по_щитам!C1427</f>
      </c>
      <c r="D1422" s="20">
        <f>Разбивка_по_щитам!F1427</f>
      </c>
      <c r="E1422" s="20">
        <f>Разбивка_по_щитам!H1427</f>
      </c>
      <c r="F1422" s="20">
        <f>Разбивка_по_щитам!I1427</f>
      </c>
      <c r="G1422" s="20">
        <f>Разбивка_по_щитам!J1427</f>
      </c>
      <c r="H1422" s="20">
        <f>Разбивка_по_щитам!K1427</f>
      </c>
      <c r="I1422" s="20">
        <f>Разбивка_по_щитам!L1427</f>
      </c>
      <c r="J1422" s="20">
        <f>Разбивка_по_щитам!M1427</f>
      </c>
      <c r="K1422" s="20">
        <f>Разбивка_по_щитам!N1427</f>
      </c>
      <c r="L1422" s="20"/>
      <c r="M1422" s="20">
        <f>Разбивка_по_щитам!P1427</f>
      </c>
      <c r="N1422" s="20"/>
    </row>
    <row r="1423" spans="2:14" x14ac:dyDescent="0.25">
      <c r="B1423" s="20">
        <f>Разбивка_по_щитам!B1428</f>
      </c>
      <c r="C1423" s="20">
        <f>Разбивка_по_щитам!C1428</f>
      </c>
      <c r="D1423" s="20">
        <f>Разбивка_по_щитам!F1428</f>
      </c>
      <c r="E1423" s="20">
        <f>Разбивка_по_щитам!H1428</f>
      </c>
      <c r="F1423" s="20">
        <f>Разбивка_по_щитам!I1428</f>
      </c>
      <c r="G1423" s="20">
        <f>Разбивка_по_щитам!J1428</f>
      </c>
      <c r="H1423" s="20">
        <f>Разбивка_по_щитам!K1428</f>
      </c>
      <c r="I1423" s="20">
        <f>Разбивка_по_щитам!L1428</f>
      </c>
      <c r="J1423" s="20">
        <f>Разбивка_по_щитам!M1428</f>
      </c>
      <c r="K1423" s="20">
        <f>Разбивка_по_щитам!N1428</f>
      </c>
      <c r="L1423" s="20"/>
      <c r="M1423" s="20">
        <f>Разбивка_по_щитам!P1428</f>
      </c>
      <c r="N1423" s="20"/>
    </row>
    <row r="1424" spans="2:14" x14ac:dyDescent="0.25">
      <c r="B1424" s="20">
        <f>Разбивка_по_щитам!B1429</f>
      </c>
      <c r="C1424" s="20">
        <f>Разбивка_по_щитам!C1429</f>
      </c>
      <c r="D1424" s="20">
        <f>Разбивка_по_щитам!F1429</f>
      </c>
      <c r="E1424" s="20">
        <f>Разбивка_по_щитам!H1429</f>
      </c>
      <c r="F1424" s="20">
        <f>Разбивка_по_щитам!I1429</f>
      </c>
      <c r="G1424" s="20">
        <f>Разбивка_по_щитам!J1429</f>
      </c>
      <c r="H1424" s="20">
        <f>Разбивка_по_щитам!K1429</f>
      </c>
      <c r="I1424" s="20">
        <f>Разбивка_по_щитам!L1429</f>
      </c>
      <c r="J1424" s="20">
        <f>Разбивка_по_щитам!M1429</f>
      </c>
      <c r="K1424" s="20">
        <f>Разбивка_по_щитам!N1429</f>
      </c>
      <c r="L1424" s="20"/>
      <c r="M1424" s="20">
        <f>Разбивка_по_щитам!P1429</f>
      </c>
      <c r="N1424" s="20"/>
    </row>
    <row r="1425" spans="2:14" x14ac:dyDescent="0.25">
      <c r="B1425" s="20">
        <f>Разбивка_по_щитам!B1430</f>
      </c>
      <c r="C1425" s="20">
        <f>Разбивка_по_щитам!C1430</f>
      </c>
      <c r="D1425" s="20">
        <f>Разбивка_по_щитам!F1430</f>
      </c>
      <c r="E1425" s="20">
        <f>Разбивка_по_щитам!H1430</f>
      </c>
      <c r="F1425" s="20">
        <f>Разбивка_по_щитам!I1430</f>
      </c>
      <c r="G1425" s="20">
        <f>Разбивка_по_щитам!J1430</f>
      </c>
      <c r="H1425" s="20">
        <f>Разбивка_по_щитам!K1430</f>
      </c>
      <c r="I1425" s="20">
        <f>Разбивка_по_щитам!L1430</f>
      </c>
      <c r="J1425" s="20">
        <f>Разбивка_по_щитам!M1430</f>
      </c>
      <c r="K1425" s="20">
        <f>Разбивка_по_щитам!N1430</f>
      </c>
      <c r="L1425" s="20"/>
      <c r="M1425" s="20">
        <f>Разбивка_по_щитам!P1430</f>
      </c>
      <c r="N1425" s="20"/>
    </row>
    <row r="1426" spans="2:14" x14ac:dyDescent="0.25">
      <c r="B1426" s="20">
        <f>Разбивка_по_щитам!B1431</f>
      </c>
      <c r="C1426" s="20">
        <f>Разбивка_по_щитам!C1431</f>
      </c>
      <c r="D1426" s="20">
        <f>Разбивка_по_щитам!F1431</f>
      </c>
      <c r="E1426" s="20">
        <f>Разбивка_по_щитам!H1431</f>
      </c>
      <c r="F1426" s="20">
        <f>Разбивка_по_щитам!I1431</f>
      </c>
      <c r="G1426" s="20">
        <f>Разбивка_по_щитам!J1431</f>
      </c>
      <c r="H1426" s="20">
        <f>Разбивка_по_щитам!K1431</f>
      </c>
      <c r="I1426" s="20">
        <f>Разбивка_по_щитам!L1431</f>
      </c>
      <c r="J1426" s="20">
        <f>Разбивка_по_щитам!M1431</f>
      </c>
      <c r="K1426" s="20">
        <f>Разбивка_по_щитам!N1431</f>
      </c>
      <c r="L1426" s="20"/>
      <c r="M1426" s="20">
        <f>Разбивка_по_щитам!P1431</f>
      </c>
      <c r="N1426" s="20"/>
    </row>
    <row r="1427" spans="2:14" x14ac:dyDescent="0.25">
      <c r="B1427" s="20">
        <f>Разбивка_по_щитам!B1432</f>
      </c>
      <c r="C1427" s="20">
        <f>Разбивка_по_щитам!C1432</f>
      </c>
      <c r="D1427" s="20">
        <f>Разбивка_по_щитам!F1432</f>
      </c>
      <c r="E1427" s="20">
        <f>Разбивка_по_щитам!H1432</f>
      </c>
      <c r="F1427" s="20">
        <f>Разбивка_по_щитам!I1432</f>
      </c>
      <c r="G1427" s="20">
        <f>Разбивка_по_щитам!J1432</f>
      </c>
      <c r="H1427" s="20">
        <f>Разбивка_по_щитам!K1432</f>
      </c>
      <c r="I1427" s="20">
        <f>Разбивка_по_щитам!L1432</f>
      </c>
      <c r="J1427" s="20">
        <f>Разбивка_по_щитам!M1432</f>
      </c>
      <c r="K1427" s="20">
        <f>Разбивка_по_щитам!N1432</f>
      </c>
      <c r="L1427" s="20"/>
      <c r="M1427" s="20">
        <f>Разбивка_по_щитам!P1432</f>
      </c>
      <c r="N1427" s="20"/>
    </row>
    <row r="1428" spans="2:14" x14ac:dyDescent="0.25">
      <c r="B1428" s="20">
        <f>Разбивка_по_щитам!B1433</f>
      </c>
      <c r="C1428" s="20">
        <f>Разбивка_по_щитам!C1433</f>
      </c>
      <c r="D1428" s="20">
        <f>Разбивка_по_щитам!F1433</f>
      </c>
      <c r="E1428" s="20">
        <f>Разбивка_по_щитам!H1433</f>
      </c>
      <c r="F1428" s="20">
        <f>Разбивка_по_щитам!I1433</f>
      </c>
      <c r="G1428" s="20">
        <f>Разбивка_по_щитам!J1433</f>
      </c>
      <c r="H1428" s="20">
        <f>Разбивка_по_щитам!K1433</f>
      </c>
      <c r="I1428" s="20">
        <f>Разбивка_по_щитам!L1433</f>
      </c>
      <c r="J1428" s="20">
        <f>Разбивка_по_щитам!M1433</f>
      </c>
      <c r="K1428" s="20">
        <f>Разбивка_по_щитам!N1433</f>
      </c>
      <c r="L1428" s="20"/>
      <c r="M1428" s="20">
        <f>Разбивка_по_щитам!P1433</f>
      </c>
      <c r="N1428" s="20"/>
    </row>
    <row r="1429" spans="2:14" x14ac:dyDescent="0.25">
      <c r="B1429" s="20">
        <f>Разбивка_по_щитам!B1434</f>
      </c>
      <c r="C1429" s="20">
        <f>Разбивка_по_щитам!C1434</f>
      </c>
      <c r="D1429" s="20">
        <f>Разбивка_по_щитам!F1434</f>
      </c>
      <c r="E1429" s="20">
        <f>Разбивка_по_щитам!H1434</f>
      </c>
      <c r="F1429" s="20">
        <f>Разбивка_по_щитам!I1434</f>
      </c>
      <c r="G1429" s="20">
        <f>Разбивка_по_щитам!J1434</f>
      </c>
      <c r="H1429" s="20">
        <f>Разбивка_по_щитам!K1434</f>
      </c>
      <c r="I1429" s="20">
        <f>Разбивка_по_щитам!L1434</f>
      </c>
      <c r="J1429" s="20">
        <f>Разбивка_по_щитам!M1434</f>
      </c>
      <c r="K1429" s="20">
        <f>Разбивка_по_щитам!N1434</f>
      </c>
      <c r="L1429" s="20"/>
      <c r="M1429" s="20">
        <f>Разбивка_по_щитам!P1434</f>
      </c>
      <c r="N1429" s="20"/>
    </row>
    <row r="1430" spans="2:14" x14ac:dyDescent="0.25">
      <c r="B1430" s="20">
        <f>Разбивка_по_щитам!B1435</f>
      </c>
      <c r="C1430" s="20">
        <f>Разбивка_по_щитам!C1435</f>
      </c>
      <c r="D1430" s="20">
        <f>Разбивка_по_щитам!F1435</f>
      </c>
      <c r="E1430" s="20">
        <f>Разбивка_по_щитам!H1435</f>
      </c>
      <c r="F1430" s="20">
        <f>Разбивка_по_щитам!I1435</f>
      </c>
      <c r="G1430" s="20">
        <f>Разбивка_по_щитам!J1435</f>
      </c>
      <c r="H1430" s="20">
        <f>Разбивка_по_щитам!K1435</f>
      </c>
      <c r="I1430" s="20">
        <f>Разбивка_по_щитам!L1435</f>
      </c>
      <c r="J1430" s="20">
        <f>Разбивка_по_щитам!M1435</f>
      </c>
      <c r="K1430" s="20">
        <f>Разбивка_по_щитам!N1435</f>
      </c>
      <c r="L1430" s="20"/>
      <c r="M1430" s="20">
        <f>Разбивка_по_щитам!P1435</f>
      </c>
      <c r="N1430" s="20"/>
    </row>
    <row r="1431" spans="2:14" x14ac:dyDescent="0.25">
      <c r="B1431" s="20">
        <f>Разбивка_по_щитам!B1436</f>
      </c>
      <c r="C1431" s="20">
        <f>Разбивка_по_щитам!C1436</f>
      </c>
      <c r="D1431" s="20">
        <f>Разбивка_по_щитам!F1436</f>
      </c>
      <c r="E1431" s="20">
        <f>Разбивка_по_щитам!H1436</f>
      </c>
      <c r="F1431" s="20">
        <f>Разбивка_по_щитам!I1436</f>
      </c>
      <c r="G1431" s="20">
        <f>Разбивка_по_щитам!J1436</f>
      </c>
      <c r="H1431" s="20">
        <f>Разбивка_по_щитам!K1436</f>
      </c>
      <c r="I1431" s="20">
        <f>Разбивка_по_щитам!L1436</f>
      </c>
      <c r="J1431" s="20">
        <f>Разбивка_по_щитам!M1436</f>
      </c>
      <c r="K1431" s="20">
        <f>Разбивка_по_щитам!N1436</f>
      </c>
      <c r="L1431" s="20"/>
      <c r="M1431" s="20">
        <f>Разбивка_по_щитам!P1436</f>
      </c>
      <c r="N1431" s="20"/>
    </row>
    <row r="1432" spans="2:14" x14ac:dyDescent="0.25">
      <c r="B1432" s="20">
        <f>Разбивка_по_щитам!B1437</f>
      </c>
      <c r="C1432" s="20">
        <f>Разбивка_по_щитам!C1437</f>
      </c>
      <c r="D1432" s="20">
        <f>Разбивка_по_щитам!F1437</f>
      </c>
      <c r="E1432" s="20">
        <f>Разбивка_по_щитам!H1437</f>
      </c>
      <c r="F1432" s="20">
        <f>Разбивка_по_щитам!I1437</f>
      </c>
      <c r="G1432" s="20">
        <f>Разбивка_по_щитам!J1437</f>
      </c>
      <c r="H1432" s="20">
        <f>Разбивка_по_щитам!K1437</f>
      </c>
      <c r="I1432" s="20">
        <f>Разбивка_по_щитам!L1437</f>
      </c>
      <c r="J1432" s="20">
        <f>Разбивка_по_щитам!M1437</f>
      </c>
      <c r="K1432" s="20">
        <f>Разбивка_по_щитам!N1437</f>
      </c>
      <c r="L1432" s="20"/>
      <c r="M1432" s="20">
        <f>Разбивка_по_щитам!P1437</f>
      </c>
      <c r="N1432" s="20"/>
    </row>
    <row r="1433" spans="2:14" x14ac:dyDescent="0.25">
      <c r="B1433" s="20">
        <f>Разбивка_по_щитам!B1438</f>
      </c>
      <c r="C1433" s="20">
        <f>Разбивка_по_щитам!C1438</f>
      </c>
      <c r="D1433" s="20">
        <f>Разбивка_по_щитам!F1438</f>
      </c>
      <c r="E1433" s="20">
        <f>Разбивка_по_щитам!H1438</f>
      </c>
      <c r="F1433" s="20">
        <f>Разбивка_по_щитам!I1438</f>
      </c>
      <c r="G1433" s="20">
        <f>Разбивка_по_щитам!J1438</f>
      </c>
      <c r="H1433" s="20">
        <f>Разбивка_по_щитам!K1438</f>
      </c>
      <c r="I1433" s="20">
        <f>Разбивка_по_щитам!L1438</f>
      </c>
      <c r="J1433" s="20">
        <f>Разбивка_по_щитам!M1438</f>
      </c>
      <c r="K1433" s="20">
        <f>Разбивка_по_щитам!N1438</f>
      </c>
      <c r="L1433" s="20"/>
      <c r="M1433" s="20">
        <f>Разбивка_по_щитам!P1438</f>
      </c>
      <c r="N1433" s="20"/>
    </row>
    <row r="1434" spans="2:14" x14ac:dyDescent="0.25">
      <c r="B1434" s="20">
        <f>Разбивка_по_щитам!B1439</f>
      </c>
      <c r="C1434" s="20">
        <f>Разбивка_по_щитам!C1439</f>
      </c>
      <c r="D1434" s="20">
        <f>Разбивка_по_щитам!F1439</f>
      </c>
      <c r="E1434" s="20">
        <f>Разбивка_по_щитам!H1439</f>
      </c>
      <c r="F1434" s="20">
        <f>Разбивка_по_щитам!I1439</f>
      </c>
      <c r="G1434" s="20">
        <f>Разбивка_по_щитам!J1439</f>
      </c>
      <c r="H1434" s="20">
        <f>Разбивка_по_щитам!K1439</f>
      </c>
      <c r="I1434" s="20">
        <f>Разбивка_по_щитам!L1439</f>
      </c>
      <c r="J1434" s="20">
        <f>Разбивка_по_щитам!M1439</f>
      </c>
      <c r="K1434" s="20">
        <f>Разбивка_по_щитам!N1439</f>
      </c>
      <c r="L1434" s="20"/>
      <c r="M1434" s="20">
        <f>Разбивка_по_щитам!P1439</f>
      </c>
      <c r="N1434" s="20"/>
    </row>
    <row r="1435" spans="2:14" x14ac:dyDescent="0.25">
      <c r="B1435" s="20">
        <f>Разбивка_по_щитам!B1440</f>
      </c>
      <c r="C1435" s="20">
        <f>Разбивка_по_щитам!C1440</f>
      </c>
      <c r="D1435" s="20">
        <f>Разбивка_по_щитам!F1440</f>
      </c>
      <c r="E1435" s="20">
        <f>Разбивка_по_щитам!H1440</f>
      </c>
      <c r="F1435" s="20">
        <f>Разбивка_по_щитам!I1440</f>
      </c>
      <c r="G1435" s="20">
        <f>Разбивка_по_щитам!J1440</f>
      </c>
      <c r="H1435" s="20">
        <f>Разбивка_по_щитам!K1440</f>
      </c>
      <c r="I1435" s="20">
        <f>Разбивка_по_щитам!L1440</f>
      </c>
      <c r="J1435" s="20">
        <f>Разбивка_по_щитам!M1440</f>
      </c>
      <c r="K1435" s="20">
        <f>Разбивка_по_щитам!N1440</f>
      </c>
      <c r="L1435" s="20"/>
      <c r="M1435" s="20">
        <f>Разбивка_по_щитам!P1440</f>
      </c>
      <c r="N1435" s="20"/>
    </row>
    <row r="1436" spans="2:14" x14ac:dyDescent="0.25">
      <c r="B1436" s="20">
        <f>Разбивка_по_щитам!B1441</f>
      </c>
      <c r="C1436" s="20">
        <f>Разбивка_по_щитам!C1441</f>
      </c>
      <c r="D1436" s="20">
        <f>Разбивка_по_щитам!F1441</f>
      </c>
      <c r="E1436" s="20">
        <f>Разбивка_по_щитам!H1441</f>
      </c>
      <c r="F1436" s="20">
        <f>Разбивка_по_щитам!I1441</f>
      </c>
      <c r="G1436" s="20">
        <f>Разбивка_по_щитам!J1441</f>
      </c>
      <c r="H1436" s="20">
        <f>Разбивка_по_щитам!K1441</f>
      </c>
      <c r="I1436" s="20">
        <f>Разбивка_по_щитам!L1441</f>
      </c>
      <c r="J1436" s="20">
        <f>Разбивка_по_щитам!M1441</f>
      </c>
      <c r="K1436" s="20">
        <f>Разбивка_по_щитам!N1441</f>
      </c>
      <c r="L1436" s="20"/>
      <c r="M1436" s="20">
        <f>Разбивка_по_щитам!P1441</f>
      </c>
      <c r="N1436" s="20"/>
    </row>
    <row r="1437" spans="2:14" x14ac:dyDescent="0.25">
      <c r="B1437" s="20">
        <f>Разбивка_по_щитам!B1442</f>
      </c>
      <c r="C1437" s="20">
        <f>Разбивка_по_щитам!C1442</f>
      </c>
      <c r="D1437" s="20">
        <f>Разбивка_по_щитам!F1442</f>
      </c>
      <c r="E1437" s="20">
        <f>Разбивка_по_щитам!H1442</f>
      </c>
      <c r="F1437" s="20">
        <f>Разбивка_по_щитам!I1442</f>
      </c>
      <c r="G1437" s="20">
        <f>Разбивка_по_щитам!J1442</f>
      </c>
      <c r="H1437" s="20">
        <f>Разбивка_по_щитам!K1442</f>
      </c>
      <c r="I1437" s="20">
        <f>Разбивка_по_щитам!L1442</f>
      </c>
      <c r="J1437" s="20">
        <f>Разбивка_по_щитам!M1442</f>
      </c>
      <c r="K1437" s="20">
        <f>Разбивка_по_щитам!N1442</f>
      </c>
      <c r="L1437" s="20"/>
      <c r="M1437" s="20">
        <f>Разбивка_по_щитам!P1442</f>
      </c>
      <c r="N1437" s="20"/>
    </row>
    <row r="1438" spans="2:14" x14ac:dyDescent="0.25">
      <c r="B1438" s="20">
        <f>Разбивка_по_щитам!B1443</f>
      </c>
      <c r="C1438" s="20">
        <f>Разбивка_по_щитам!C1443</f>
      </c>
      <c r="D1438" s="20">
        <f>Разбивка_по_щитам!F1443</f>
      </c>
      <c r="E1438" s="20">
        <f>Разбивка_по_щитам!H1443</f>
      </c>
      <c r="F1438" s="20">
        <f>Разбивка_по_щитам!I1443</f>
      </c>
      <c r="G1438" s="20">
        <f>Разбивка_по_щитам!J1443</f>
      </c>
      <c r="H1438" s="20">
        <f>Разбивка_по_щитам!K1443</f>
      </c>
      <c r="I1438" s="20">
        <f>Разбивка_по_щитам!L1443</f>
      </c>
      <c r="J1438" s="20">
        <f>Разбивка_по_щитам!M1443</f>
      </c>
      <c r="K1438" s="20">
        <f>Разбивка_по_щитам!N1443</f>
      </c>
      <c r="L1438" s="20"/>
      <c r="M1438" s="20">
        <f>Разбивка_по_щитам!P1443</f>
      </c>
      <c r="N1438" s="20"/>
    </row>
    <row r="1439" spans="2:14" x14ac:dyDescent="0.25">
      <c r="B1439" s="20">
        <f>Разбивка_по_щитам!B1444</f>
      </c>
      <c r="C1439" s="20">
        <f>Разбивка_по_щитам!C1444</f>
      </c>
      <c r="D1439" s="20">
        <f>Разбивка_по_щитам!F1444</f>
      </c>
      <c r="E1439" s="20">
        <f>Разбивка_по_щитам!H1444</f>
      </c>
      <c r="F1439" s="20">
        <f>Разбивка_по_щитам!I1444</f>
      </c>
      <c r="G1439" s="20">
        <f>Разбивка_по_щитам!J1444</f>
      </c>
      <c r="H1439" s="20">
        <f>Разбивка_по_щитам!K1444</f>
      </c>
      <c r="I1439" s="20">
        <f>Разбивка_по_щитам!L1444</f>
      </c>
      <c r="J1439" s="20">
        <f>Разбивка_по_щитам!M1444</f>
      </c>
      <c r="K1439" s="20">
        <f>Разбивка_по_щитам!N1444</f>
      </c>
      <c r="L1439" s="20"/>
      <c r="M1439" s="20">
        <f>Разбивка_по_щитам!P1444</f>
      </c>
      <c r="N1439" s="20"/>
    </row>
    <row r="1440" spans="2:14" x14ac:dyDescent="0.25">
      <c r="B1440" s="20">
        <f>Разбивка_по_щитам!B1445</f>
      </c>
      <c r="C1440" s="20">
        <f>Разбивка_по_щитам!C1445</f>
      </c>
      <c r="D1440" s="20">
        <f>Разбивка_по_щитам!F1445</f>
      </c>
      <c r="E1440" s="20">
        <f>Разбивка_по_щитам!H1445</f>
      </c>
      <c r="F1440" s="20">
        <f>Разбивка_по_щитам!I1445</f>
      </c>
      <c r="G1440" s="20">
        <f>Разбивка_по_щитам!J1445</f>
      </c>
      <c r="H1440" s="20">
        <f>Разбивка_по_щитам!K1445</f>
      </c>
      <c r="I1440" s="20">
        <f>Разбивка_по_щитам!L1445</f>
      </c>
      <c r="J1440" s="20">
        <f>Разбивка_по_щитам!M1445</f>
      </c>
      <c r="K1440" s="20">
        <f>Разбивка_по_щитам!N1445</f>
      </c>
      <c r="L1440" s="20"/>
      <c r="M1440" s="20">
        <f>Разбивка_по_щитам!P1445</f>
      </c>
      <c r="N1440" s="20"/>
    </row>
    <row r="1441" spans="2:14" x14ac:dyDescent="0.25">
      <c r="B1441" s="20">
        <f>Разбивка_по_щитам!B1446</f>
      </c>
      <c r="C1441" s="20">
        <f>Разбивка_по_щитам!C1446</f>
      </c>
      <c r="D1441" s="20">
        <f>Разбивка_по_щитам!F1446</f>
      </c>
      <c r="E1441" s="20">
        <f>Разбивка_по_щитам!H1446</f>
      </c>
      <c r="F1441" s="20">
        <f>Разбивка_по_щитам!I1446</f>
      </c>
      <c r="G1441" s="20">
        <f>Разбивка_по_щитам!J1446</f>
      </c>
      <c r="H1441" s="20">
        <f>Разбивка_по_щитам!K1446</f>
      </c>
      <c r="I1441" s="20">
        <f>Разбивка_по_щитам!L1446</f>
      </c>
      <c r="J1441" s="20">
        <f>Разбивка_по_щитам!M1446</f>
      </c>
      <c r="K1441" s="20">
        <f>Разбивка_по_щитам!N1446</f>
      </c>
      <c r="L1441" s="20"/>
      <c r="M1441" s="20">
        <f>Разбивка_по_щитам!P1446</f>
      </c>
      <c r="N1441" s="20"/>
    </row>
    <row r="1442" spans="2:14" x14ac:dyDescent="0.25">
      <c r="B1442" s="20">
        <f>Разбивка_по_щитам!B1447</f>
      </c>
      <c r="C1442" s="20">
        <f>Разбивка_по_щитам!C1447</f>
      </c>
      <c r="D1442" s="20">
        <f>Разбивка_по_щитам!F1447</f>
      </c>
      <c r="E1442" s="20">
        <f>Разбивка_по_щитам!H1447</f>
      </c>
      <c r="F1442" s="20">
        <f>Разбивка_по_щитам!I1447</f>
      </c>
      <c r="G1442" s="20">
        <f>Разбивка_по_щитам!J1447</f>
      </c>
      <c r="H1442" s="20">
        <f>Разбивка_по_щитам!K1447</f>
      </c>
      <c r="I1442" s="20">
        <f>Разбивка_по_щитам!L1447</f>
      </c>
      <c r="J1442" s="20">
        <f>Разбивка_по_щитам!M1447</f>
      </c>
      <c r="K1442" s="20">
        <f>Разбивка_по_щитам!N1447</f>
      </c>
      <c r="L1442" s="20"/>
      <c r="M1442" s="20">
        <f>Разбивка_по_щитам!P1447</f>
      </c>
      <c r="N1442" s="20"/>
    </row>
    <row r="1443" spans="2:14" x14ac:dyDescent="0.25">
      <c r="B1443" s="20">
        <f>Разбивка_по_щитам!B1448</f>
      </c>
      <c r="C1443" s="20">
        <f>Разбивка_по_щитам!C1448</f>
      </c>
      <c r="D1443" s="20">
        <f>Разбивка_по_щитам!F1448</f>
      </c>
      <c r="E1443" s="20">
        <f>Разбивка_по_щитам!H1448</f>
      </c>
      <c r="F1443" s="20">
        <f>Разбивка_по_щитам!I1448</f>
      </c>
      <c r="G1443" s="20">
        <f>Разбивка_по_щитам!J1448</f>
      </c>
      <c r="H1443" s="20">
        <f>Разбивка_по_щитам!K1448</f>
      </c>
      <c r="I1443" s="20">
        <f>Разбивка_по_щитам!L1448</f>
      </c>
      <c r="J1443" s="20">
        <f>Разбивка_по_щитам!M1448</f>
      </c>
      <c r="K1443" s="20">
        <f>Разбивка_по_щитам!N1448</f>
      </c>
      <c r="L1443" s="20"/>
      <c r="M1443" s="20">
        <f>Разбивка_по_щитам!P1448</f>
      </c>
      <c r="N1443" s="20"/>
    </row>
    <row r="1444" spans="2:14" x14ac:dyDescent="0.25">
      <c r="B1444" s="20">
        <f>Разбивка_по_щитам!B1449</f>
      </c>
      <c r="C1444" s="20">
        <f>Разбивка_по_щитам!C1449</f>
      </c>
      <c r="D1444" s="20">
        <f>Разбивка_по_щитам!F1449</f>
      </c>
      <c r="E1444" s="20">
        <f>Разбивка_по_щитам!H1449</f>
      </c>
      <c r="F1444" s="20">
        <f>Разбивка_по_щитам!I1449</f>
      </c>
      <c r="G1444" s="20">
        <f>Разбивка_по_щитам!J1449</f>
      </c>
      <c r="H1444" s="20">
        <f>Разбивка_по_щитам!K1449</f>
      </c>
      <c r="I1444" s="20">
        <f>Разбивка_по_щитам!L1449</f>
      </c>
      <c r="J1444" s="20">
        <f>Разбивка_по_щитам!M1449</f>
      </c>
      <c r="K1444" s="20">
        <f>Разбивка_по_щитам!N1449</f>
      </c>
      <c r="L1444" s="20"/>
      <c r="M1444" s="20">
        <f>Разбивка_по_щитам!P1449</f>
      </c>
      <c r="N1444" s="20"/>
    </row>
    <row r="1445" spans="2:14" x14ac:dyDescent="0.25">
      <c r="B1445" s="20">
        <f>Разбивка_по_щитам!B1450</f>
      </c>
      <c r="C1445" s="20">
        <f>Разбивка_по_щитам!C1450</f>
      </c>
      <c r="D1445" s="20">
        <f>Разбивка_по_щитам!F1450</f>
      </c>
      <c r="E1445" s="20">
        <f>Разбивка_по_щитам!H1450</f>
      </c>
      <c r="F1445" s="20">
        <f>Разбивка_по_щитам!I1450</f>
      </c>
      <c r="G1445" s="20">
        <f>Разбивка_по_щитам!J1450</f>
      </c>
      <c r="H1445" s="20">
        <f>Разбивка_по_щитам!K1450</f>
      </c>
      <c r="I1445" s="20">
        <f>Разбивка_по_щитам!L1450</f>
      </c>
      <c r="J1445" s="20">
        <f>Разбивка_по_щитам!M1450</f>
      </c>
      <c r="K1445" s="20">
        <f>Разбивка_по_щитам!N1450</f>
      </c>
      <c r="L1445" s="20"/>
      <c r="M1445" s="20">
        <f>Разбивка_по_щитам!P1450</f>
      </c>
      <c r="N1445" s="20"/>
    </row>
    <row r="1446" spans="2:14" x14ac:dyDescent="0.25">
      <c r="B1446" s="20">
        <f>Разбивка_по_щитам!B1451</f>
      </c>
      <c r="C1446" s="20">
        <f>Разбивка_по_щитам!C1451</f>
      </c>
      <c r="D1446" s="20">
        <f>Разбивка_по_щитам!F1451</f>
      </c>
      <c r="E1446" s="20">
        <f>Разбивка_по_щитам!H1451</f>
      </c>
      <c r="F1446" s="20">
        <f>Разбивка_по_щитам!I1451</f>
      </c>
      <c r="G1446" s="20">
        <f>Разбивка_по_щитам!J1451</f>
      </c>
      <c r="H1446" s="20">
        <f>Разбивка_по_щитам!K1451</f>
      </c>
      <c r="I1446" s="20">
        <f>Разбивка_по_щитам!L1451</f>
      </c>
      <c r="J1446" s="20">
        <f>Разбивка_по_щитам!M1451</f>
      </c>
      <c r="K1446" s="20">
        <f>Разбивка_по_щитам!N1451</f>
      </c>
      <c r="L1446" s="20"/>
      <c r="M1446" s="20">
        <f>Разбивка_по_щитам!P1451</f>
      </c>
      <c r="N1446" s="20"/>
    </row>
    <row r="1447" spans="2:14" x14ac:dyDescent="0.25">
      <c r="B1447" s="20">
        <f>Разбивка_по_щитам!B1452</f>
      </c>
      <c r="C1447" s="20">
        <f>Разбивка_по_щитам!C1452</f>
      </c>
      <c r="D1447" s="20">
        <f>Разбивка_по_щитам!F1452</f>
      </c>
      <c r="E1447" s="20">
        <f>Разбивка_по_щитам!H1452</f>
      </c>
      <c r="F1447" s="20">
        <f>Разбивка_по_щитам!I1452</f>
      </c>
      <c r="G1447" s="20">
        <f>Разбивка_по_щитам!J1452</f>
      </c>
      <c r="H1447" s="20">
        <f>Разбивка_по_щитам!K1452</f>
      </c>
      <c r="I1447" s="20">
        <f>Разбивка_по_щитам!L1452</f>
      </c>
      <c r="J1447" s="20">
        <f>Разбивка_по_щитам!M1452</f>
      </c>
      <c r="K1447" s="20">
        <f>Разбивка_по_щитам!N1452</f>
      </c>
      <c r="L1447" s="20"/>
      <c r="M1447" s="20">
        <f>Разбивка_по_щитам!P1452</f>
      </c>
      <c r="N1447" s="20"/>
    </row>
    <row r="1448" spans="2:14" x14ac:dyDescent="0.25">
      <c r="B1448" s="20">
        <f>Разбивка_по_щитам!B1453</f>
      </c>
      <c r="C1448" s="20">
        <f>Разбивка_по_щитам!C1453</f>
      </c>
      <c r="D1448" s="20">
        <f>Разбивка_по_щитам!F1453</f>
      </c>
      <c r="E1448" s="20">
        <f>Разбивка_по_щитам!H1453</f>
      </c>
      <c r="F1448" s="20">
        <f>Разбивка_по_щитам!I1453</f>
      </c>
      <c r="G1448" s="20">
        <f>Разбивка_по_щитам!J1453</f>
      </c>
      <c r="H1448" s="20">
        <f>Разбивка_по_щитам!K1453</f>
      </c>
      <c r="I1448" s="20">
        <f>Разбивка_по_щитам!L1453</f>
      </c>
      <c r="J1448" s="20">
        <f>Разбивка_по_щитам!M1453</f>
      </c>
      <c r="K1448" s="20">
        <f>Разбивка_по_щитам!N1453</f>
      </c>
      <c r="L1448" s="20"/>
      <c r="M1448" s="20">
        <f>Разбивка_по_щитам!P1453</f>
      </c>
      <c r="N1448" s="20"/>
    </row>
    <row r="1449" spans="2:14" x14ac:dyDescent="0.25">
      <c r="B1449" s="20">
        <f>Разбивка_по_щитам!B1454</f>
      </c>
      <c r="C1449" s="20">
        <f>Разбивка_по_щитам!C1454</f>
      </c>
      <c r="D1449" s="20">
        <f>Разбивка_по_щитам!F1454</f>
      </c>
      <c r="E1449" s="20">
        <f>Разбивка_по_щитам!H1454</f>
      </c>
      <c r="F1449" s="20">
        <f>Разбивка_по_щитам!I1454</f>
      </c>
      <c r="G1449" s="20">
        <f>Разбивка_по_щитам!J1454</f>
      </c>
      <c r="H1449" s="20">
        <f>Разбивка_по_щитам!K1454</f>
      </c>
      <c r="I1449" s="20">
        <f>Разбивка_по_щитам!L1454</f>
      </c>
      <c r="J1449" s="20">
        <f>Разбивка_по_щитам!M1454</f>
      </c>
      <c r="K1449" s="20">
        <f>Разбивка_по_щитам!N1454</f>
      </c>
      <c r="L1449" s="20"/>
      <c r="M1449" s="20">
        <f>Разбивка_по_щитам!P1454</f>
      </c>
      <c r="N1449" s="20"/>
    </row>
    <row r="1450" spans="2:14" x14ac:dyDescent="0.25">
      <c r="B1450" s="20">
        <f>Разбивка_по_щитам!B1455</f>
      </c>
      <c r="C1450" s="20">
        <f>Разбивка_по_щитам!C1455</f>
      </c>
      <c r="D1450" s="20">
        <f>Разбивка_по_щитам!F1455</f>
      </c>
      <c r="E1450" s="20">
        <f>Разбивка_по_щитам!H1455</f>
      </c>
      <c r="F1450" s="20">
        <f>Разбивка_по_щитам!I1455</f>
      </c>
      <c r="G1450" s="20">
        <f>Разбивка_по_щитам!J1455</f>
      </c>
      <c r="H1450" s="20">
        <f>Разбивка_по_щитам!K1455</f>
      </c>
      <c r="I1450" s="20">
        <f>Разбивка_по_щитам!L1455</f>
      </c>
      <c r="J1450" s="20">
        <f>Разбивка_по_щитам!M1455</f>
      </c>
      <c r="K1450" s="20">
        <f>Разбивка_по_щитам!N1455</f>
      </c>
      <c r="L1450" s="20"/>
      <c r="M1450" s="20">
        <f>Разбивка_по_щитам!P1455</f>
      </c>
      <c r="N1450" s="20"/>
    </row>
    <row r="1451" spans="2:14" x14ac:dyDescent="0.25">
      <c r="B1451" s="20">
        <f>Разбивка_по_щитам!B1456</f>
      </c>
      <c r="C1451" s="20">
        <f>Разбивка_по_щитам!C1456</f>
      </c>
      <c r="D1451" s="20">
        <f>Разбивка_по_щитам!F1456</f>
      </c>
      <c r="E1451" s="20">
        <f>Разбивка_по_щитам!H1456</f>
      </c>
      <c r="F1451" s="20">
        <f>Разбивка_по_щитам!I1456</f>
      </c>
      <c r="G1451" s="20">
        <f>Разбивка_по_щитам!J1456</f>
      </c>
      <c r="H1451" s="20">
        <f>Разбивка_по_щитам!K1456</f>
      </c>
      <c r="I1451" s="20">
        <f>Разбивка_по_щитам!L1456</f>
      </c>
      <c r="J1451" s="20">
        <f>Разбивка_по_щитам!M1456</f>
      </c>
      <c r="K1451" s="20">
        <f>Разбивка_по_щитам!N1456</f>
      </c>
      <c r="L1451" s="20"/>
      <c r="M1451" s="20">
        <f>Разбивка_по_щитам!P1456</f>
      </c>
      <c r="N1451" s="20"/>
    </row>
    <row r="1452" spans="2:14" x14ac:dyDescent="0.25">
      <c r="B1452" s="20">
        <f>Разбивка_по_щитам!B1457</f>
      </c>
      <c r="C1452" s="20">
        <f>Разбивка_по_щитам!C1457</f>
      </c>
      <c r="D1452" s="20">
        <f>Разбивка_по_щитам!F1457</f>
      </c>
      <c r="E1452" s="20">
        <f>Разбивка_по_щитам!H1457</f>
      </c>
      <c r="F1452" s="20">
        <f>Разбивка_по_щитам!I1457</f>
      </c>
      <c r="G1452" s="20">
        <f>Разбивка_по_щитам!J1457</f>
      </c>
      <c r="H1452" s="20">
        <f>Разбивка_по_щитам!K1457</f>
      </c>
      <c r="I1452" s="20">
        <f>Разбивка_по_щитам!L1457</f>
      </c>
      <c r="J1452" s="20">
        <f>Разбивка_по_щитам!M1457</f>
      </c>
      <c r="K1452" s="20">
        <f>Разбивка_по_щитам!N1457</f>
      </c>
      <c r="L1452" s="20"/>
      <c r="M1452" s="20">
        <f>Разбивка_по_щитам!P1457</f>
      </c>
      <c r="N1452" s="20"/>
    </row>
    <row r="1453" spans="2:14" x14ac:dyDescent="0.25">
      <c r="B1453" s="20">
        <f>Разбивка_по_щитам!B1458</f>
      </c>
      <c r="C1453" s="20">
        <f>Разбивка_по_щитам!C1458</f>
      </c>
      <c r="D1453" s="20">
        <f>Разбивка_по_щитам!F1458</f>
      </c>
      <c r="E1453" s="20">
        <f>Разбивка_по_щитам!H1458</f>
      </c>
      <c r="F1453" s="20">
        <f>Разбивка_по_щитам!I1458</f>
      </c>
      <c r="G1453" s="20">
        <f>Разбивка_по_щитам!J1458</f>
      </c>
      <c r="H1453" s="20">
        <f>Разбивка_по_щитам!K1458</f>
      </c>
      <c r="I1453" s="20">
        <f>Разбивка_по_щитам!L1458</f>
      </c>
      <c r="J1453" s="20">
        <f>Разбивка_по_щитам!M1458</f>
      </c>
      <c r="K1453" s="20">
        <f>Разбивка_по_щитам!N1458</f>
      </c>
      <c r="L1453" s="20"/>
      <c r="M1453" s="20">
        <f>Разбивка_по_щитам!P1458</f>
      </c>
      <c r="N1453" s="20"/>
    </row>
    <row r="1454" spans="2:14" x14ac:dyDescent="0.25">
      <c r="B1454" s="20">
        <f>Разбивка_по_щитам!B1459</f>
      </c>
      <c r="C1454" s="20">
        <f>Разбивка_по_щитам!C1459</f>
      </c>
      <c r="D1454" s="20">
        <f>Разбивка_по_щитам!F1459</f>
      </c>
      <c r="E1454" s="20">
        <f>Разбивка_по_щитам!H1459</f>
      </c>
      <c r="F1454" s="20">
        <f>Разбивка_по_щитам!I1459</f>
      </c>
      <c r="G1454" s="20">
        <f>Разбивка_по_щитам!J1459</f>
      </c>
      <c r="H1454" s="20">
        <f>Разбивка_по_щитам!K1459</f>
      </c>
      <c r="I1454" s="20">
        <f>Разбивка_по_щитам!L1459</f>
      </c>
      <c r="J1454" s="20">
        <f>Разбивка_по_щитам!M1459</f>
      </c>
      <c r="K1454" s="20">
        <f>Разбивка_по_щитам!N1459</f>
      </c>
      <c r="L1454" s="20"/>
      <c r="M1454" s="20">
        <f>Разбивка_по_щитам!P1459</f>
      </c>
      <c r="N1454" s="20"/>
    </row>
    <row r="1455" spans="2:14" x14ac:dyDescent="0.25">
      <c r="B1455" s="20">
        <f>Разбивка_по_щитам!B1460</f>
      </c>
      <c r="C1455" s="20">
        <f>Разбивка_по_щитам!C1460</f>
      </c>
      <c r="D1455" s="20">
        <f>Разбивка_по_щитам!F1460</f>
      </c>
      <c r="E1455" s="20">
        <f>Разбивка_по_щитам!H1460</f>
      </c>
      <c r="F1455" s="20">
        <f>Разбивка_по_щитам!I1460</f>
      </c>
      <c r="G1455" s="20">
        <f>Разбивка_по_щитам!J1460</f>
      </c>
      <c r="H1455" s="20">
        <f>Разбивка_по_щитам!K1460</f>
      </c>
      <c r="I1455" s="20">
        <f>Разбивка_по_щитам!L1460</f>
      </c>
      <c r="J1455" s="20">
        <f>Разбивка_по_щитам!M1460</f>
      </c>
      <c r="K1455" s="20">
        <f>Разбивка_по_щитам!N1460</f>
      </c>
      <c r="L1455" s="20"/>
      <c r="M1455" s="20">
        <f>Разбивка_по_щитам!P1460</f>
      </c>
      <c r="N1455" s="20"/>
    </row>
    <row r="1456" spans="2:14" x14ac:dyDescent="0.25">
      <c r="B1456" s="20">
        <f>Разбивка_по_щитам!B1461</f>
      </c>
      <c r="C1456" s="20">
        <f>Разбивка_по_щитам!C1461</f>
      </c>
      <c r="D1456" s="20">
        <f>Разбивка_по_щитам!F1461</f>
      </c>
      <c r="E1456" s="20">
        <f>Разбивка_по_щитам!H1461</f>
      </c>
      <c r="F1456" s="20">
        <f>Разбивка_по_щитам!I1461</f>
      </c>
      <c r="G1456" s="20">
        <f>Разбивка_по_щитам!J1461</f>
      </c>
      <c r="H1456" s="20">
        <f>Разбивка_по_щитам!K1461</f>
      </c>
      <c r="I1456" s="20">
        <f>Разбивка_по_щитам!L1461</f>
      </c>
      <c r="J1456" s="20">
        <f>Разбивка_по_щитам!M1461</f>
      </c>
      <c r="K1456" s="20">
        <f>Разбивка_по_щитам!N1461</f>
      </c>
      <c r="L1456" s="20"/>
      <c r="M1456" s="20">
        <f>Разбивка_по_щитам!P1461</f>
      </c>
      <c r="N1456" s="20"/>
    </row>
    <row r="1457" spans="2:14" x14ac:dyDescent="0.25">
      <c r="B1457" s="20">
        <f>Разбивка_по_щитам!B1462</f>
      </c>
      <c r="C1457" s="20">
        <f>Разбивка_по_щитам!C1462</f>
      </c>
      <c r="D1457" s="20">
        <f>Разбивка_по_щитам!F1462</f>
      </c>
      <c r="E1457" s="20">
        <f>Разбивка_по_щитам!H1462</f>
      </c>
      <c r="F1457" s="20">
        <f>Разбивка_по_щитам!I1462</f>
      </c>
      <c r="G1457" s="20">
        <f>Разбивка_по_щитам!J1462</f>
      </c>
      <c r="H1457" s="20">
        <f>Разбивка_по_щитам!K1462</f>
      </c>
      <c r="I1457" s="20">
        <f>Разбивка_по_щитам!L1462</f>
      </c>
      <c r="J1457" s="20">
        <f>Разбивка_по_щитам!M1462</f>
      </c>
      <c r="K1457" s="20">
        <f>Разбивка_по_щитам!N1462</f>
      </c>
      <c r="L1457" s="20"/>
      <c r="M1457" s="20">
        <f>Разбивка_по_щитам!P1462</f>
      </c>
      <c r="N1457" s="20"/>
    </row>
    <row r="1458" spans="2:14" x14ac:dyDescent="0.25">
      <c r="B1458" s="20">
        <f>Разбивка_по_щитам!B1463</f>
      </c>
      <c r="C1458" s="20">
        <f>Разбивка_по_щитам!C1463</f>
      </c>
      <c r="D1458" s="20">
        <f>Разбивка_по_щитам!F1463</f>
      </c>
      <c r="E1458" s="20">
        <f>Разбивка_по_щитам!H1463</f>
      </c>
      <c r="F1458" s="20">
        <f>Разбивка_по_щитам!I1463</f>
      </c>
      <c r="G1458" s="20">
        <f>Разбивка_по_щитам!J1463</f>
      </c>
      <c r="H1458" s="20">
        <f>Разбивка_по_щитам!K1463</f>
      </c>
      <c r="I1458" s="20">
        <f>Разбивка_по_щитам!L1463</f>
      </c>
      <c r="J1458" s="20">
        <f>Разбивка_по_щитам!M1463</f>
      </c>
      <c r="K1458" s="20">
        <f>Разбивка_по_щитам!N1463</f>
      </c>
      <c r="L1458" s="20"/>
      <c r="M1458" s="20">
        <f>Разбивка_по_щитам!P1463</f>
      </c>
      <c r="N1458" s="20"/>
    </row>
    <row r="1459" spans="2:14" x14ac:dyDescent="0.25">
      <c r="B1459" s="20">
        <f>Разбивка_по_щитам!B1464</f>
      </c>
      <c r="C1459" s="20">
        <f>Разбивка_по_щитам!C1464</f>
      </c>
      <c r="D1459" s="20">
        <f>Разбивка_по_щитам!F1464</f>
      </c>
      <c r="E1459" s="20">
        <f>Разбивка_по_щитам!H1464</f>
      </c>
      <c r="F1459" s="20">
        <f>Разбивка_по_щитам!I1464</f>
      </c>
      <c r="G1459" s="20">
        <f>Разбивка_по_щитам!J1464</f>
      </c>
      <c r="H1459" s="20">
        <f>Разбивка_по_щитам!K1464</f>
      </c>
      <c r="I1459" s="20">
        <f>Разбивка_по_щитам!L1464</f>
      </c>
      <c r="J1459" s="20">
        <f>Разбивка_по_щитам!M1464</f>
      </c>
      <c r="K1459" s="20">
        <f>Разбивка_по_щитам!N1464</f>
      </c>
      <c r="L1459" s="20"/>
      <c r="M1459" s="20">
        <f>Разбивка_по_щитам!P1464</f>
      </c>
      <c r="N1459" s="20"/>
    </row>
    <row r="1460" spans="2:14" x14ac:dyDescent="0.25">
      <c r="B1460" s="20">
        <f>Разбивка_по_щитам!B1465</f>
      </c>
      <c r="C1460" s="20">
        <f>Разбивка_по_щитам!C1465</f>
      </c>
      <c r="D1460" s="20">
        <f>Разбивка_по_щитам!F1465</f>
      </c>
      <c r="E1460" s="20">
        <f>Разбивка_по_щитам!H1465</f>
      </c>
      <c r="F1460" s="20">
        <f>Разбивка_по_щитам!I1465</f>
      </c>
      <c r="G1460" s="20">
        <f>Разбивка_по_щитам!J1465</f>
      </c>
      <c r="H1460" s="20">
        <f>Разбивка_по_щитам!K1465</f>
      </c>
      <c r="I1460" s="20">
        <f>Разбивка_по_щитам!L1465</f>
      </c>
      <c r="J1460" s="20">
        <f>Разбивка_по_щитам!M1465</f>
      </c>
      <c r="K1460" s="20">
        <f>Разбивка_по_щитам!N1465</f>
      </c>
      <c r="L1460" s="20"/>
      <c r="M1460" s="20">
        <f>Разбивка_по_щитам!P1465</f>
      </c>
      <c r="N1460" s="20"/>
    </row>
    <row r="1461" spans="2:14" x14ac:dyDescent="0.25">
      <c r="B1461" s="20">
        <f>Разбивка_по_щитам!B1466</f>
      </c>
      <c r="C1461" s="20">
        <f>Разбивка_по_щитам!C1466</f>
      </c>
      <c r="D1461" s="20">
        <f>Разбивка_по_щитам!F1466</f>
      </c>
      <c r="E1461" s="20">
        <f>Разбивка_по_щитам!H1466</f>
      </c>
      <c r="F1461" s="20">
        <f>Разбивка_по_щитам!I1466</f>
      </c>
      <c r="G1461" s="20">
        <f>Разбивка_по_щитам!J1466</f>
      </c>
      <c r="H1461" s="20">
        <f>Разбивка_по_щитам!K1466</f>
      </c>
      <c r="I1461" s="20">
        <f>Разбивка_по_щитам!L1466</f>
      </c>
      <c r="J1461" s="20">
        <f>Разбивка_по_щитам!M1466</f>
      </c>
      <c r="K1461" s="20">
        <f>Разбивка_по_щитам!N1466</f>
      </c>
      <c r="L1461" s="20"/>
      <c r="M1461" s="20">
        <f>Разбивка_по_щитам!P1466</f>
      </c>
      <c r="N1461" s="20"/>
    </row>
    <row r="1462" spans="2:14" x14ac:dyDescent="0.25">
      <c r="B1462" s="20">
        <f>Разбивка_по_щитам!B1467</f>
      </c>
      <c r="C1462" s="20">
        <f>Разбивка_по_щитам!C1467</f>
      </c>
      <c r="D1462" s="20">
        <f>Разбивка_по_щитам!F1467</f>
      </c>
      <c r="E1462" s="20">
        <f>Разбивка_по_щитам!H1467</f>
      </c>
      <c r="F1462" s="20">
        <f>Разбивка_по_щитам!I1467</f>
      </c>
      <c r="G1462" s="20">
        <f>Разбивка_по_щитам!J1467</f>
      </c>
      <c r="H1462" s="20">
        <f>Разбивка_по_щитам!K1467</f>
      </c>
      <c r="I1462" s="20">
        <f>Разбивка_по_щитам!L1467</f>
      </c>
      <c r="J1462" s="20">
        <f>Разбивка_по_щитам!M1467</f>
      </c>
      <c r="K1462" s="20">
        <f>Разбивка_по_щитам!N1467</f>
      </c>
      <c r="L1462" s="20"/>
      <c r="M1462" s="20">
        <f>Разбивка_по_щитам!P1467</f>
      </c>
      <c r="N1462" s="20"/>
    </row>
    <row r="1463" spans="2:14" x14ac:dyDescent="0.25">
      <c r="B1463" s="20">
        <f>Разбивка_по_щитам!B1468</f>
      </c>
      <c r="C1463" s="20">
        <f>Разбивка_по_щитам!C1468</f>
      </c>
      <c r="D1463" s="20">
        <f>Разбивка_по_щитам!F1468</f>
      </c>
      <c r="E1463" s="20">
        <f>Разбивка_по_щитам!H1468</f>
      </c>
      <c r="F1463" s="20">
        <f>Разбивка_по_щитам!I1468</f>
      </c>
      <c r="G1463" s="20">
        <f>Разбивка_по_щитам!J1468</f>
      </c>
      <c r="H1463" s="20">
        <f>Разбивка_по_щитам!K1468</f>
      </c>
      <c r="I1463" s="20">
        <f>Разбивка_по_щитам!L1468</f>
      </c>
      <c r="J1463" s="20">
        <f>Разбивка_по_щитам!M1468</f>
      </c>
      <c r="K1463" s="20">
        <f>Разбивка_по_щитам!N1468</f>
      </c>
      <c r="L1463" s="20"/>
      <c r="M1463" s="20">
        <f>Разбивка_по_щитам!P1468</f>
      </c>
      <c r="N1463" s="20"/>
    </row>
    <row r="1464" spans="2:14" x14ac:dyDescent="0.25">
      <c r="B1464" s="20">
        <f>Разбивка_по_щитам!B1469</f>
      </c>
      <c r="C1464" s="20">
        <f>Разбивка_по_щитам!C1469</f>
      </c>
      <c r="D1464" s="20">
        <f>Разбивка_по_щитам!F1469</f>
      </c>
      <c r="E1464" s="20">
        <f>Разбивка_по_щитам!H1469</f>
      </c>
      <c r="F1464" s="20">
        <f>Разбивка_по_щитам!I1469</f>
      </c>
      <c r="G1464" s="20">
        <f>Разбивка_по_щитам!J1469</f>
      </c>
      <c r="H1464" s="20">
        <f>Разбивка_по_щитам!K1469</f>
      </c>
      <c r="I1464" s="20">
        <f>Разбивка_по_щитам!L1469</f>
      </c>
      <c r="J1464" s="20">
        <f>Разбивка_по_щитам!M1469</f>
      </c>
      <c r="K1464" s="20">
        <f>Разбивка_по_щитам!N1469</f>
      </c>
      <c r="L1464" s="20"/>
      <c r="M1464" s="20">
        <f>Разбивка_по_щитам!P1469</f>
      </c>
      <c r="N1464" s="20"/>
    </row>
    <row r="1465" spans="2:14" x14ac:dyDescent="0.25">
      <c r="B1465" s="20">
        <f>Разбивка_по_щитам!B1470</f>
      </c>
      <c r="C1465" s="20">
        <f>Разбивка_по_щитам!C1470</f>
      </c>
      <c r="D1465" s="20">
        <f>Разбивка_по_щитам!F1470</f>
      </c>
      <c r="E1465" s="20">
        <f>Разбивка_по_щитам!H1470</f>
      </c>
      <c r="F1465" s="20">
        <f>Разбивка_по_щитам!I1470</f>
      </c>
      <c r="G1465" s="20">
        <f>Разбивка_по_щитам!J1470</f>
      </c>
      <c r="H1465" s="20">
        <f>Разбивка_по_щитам!K1470</f>
      </c>
      <c r="I1465" s="20">
        <f>Разбивка_по_щитам!L1470</f>
      </c>
      <c r="J1465" s="20">
        <f>Разбивка_по_щитам!M1470</f>
      </c>
      <c r="K1465" s="20">
        <f>Разбивка_по_щитам!N1470</f>
      </c>
      <c r="L1465" s="20"/>
      <c r="M1465" s="20">
        <f>Разбивка_по_щитам!P1470</f>
      </c>
      <c r="N1465" s="20"/>
    </row>
    <row r="1466" spans="2:14" x14ac:dyDescent="0.25">
      <c r="B1466" s="20">
        <f>Разбивка_по_щитам!B1471</f>
      </c>
      <c r="C1466" s="20">
        <f>Разбивка_по_щитам!C1471</f>
      </c>
      <c r="D1466" s="20">
        <f>Разбивка_по_щитам!F1471</f>
      </c>
      <c r="E1466" s="20">
        <f>Разбивка_по_щитам!H1471</f>
      </c>
      <c r="F1466" s="20">
        <f>Разбивка_по_щитам!I1471</f>
      </c>
      <c r="G1466" s="20">
        <f>Разбивка_по_щитам!J1471</f>
      </c>
      <c r="H1466" s="20">
        <f>Разбивка_по_щитам!K1471</f>
      </c>
      <c r="I1466" s="20">
        <f>Разбивка_по_щитам!L1471</f>
      </c>
      <c r="J1466" s="20">
        <f>Разбивка_по_щитам!M1471</f>
      </c>
      <c r="K1466" s="20">
        <f>Разбивка_по_щитам!N1471</f>
      </c>
      <c r="L1466" s="20"/>
      <c r="M1466" s="20">
        <f>Разбивка_по_щитам!P1471</f>
      </c>
      <c r="N1466" s="20"/>
    </row>
    <row r="1467" spans="2:14" x14ac:dyDescent="0.25">
      <c r="B1467" s="20">
        <f>Разбивка_по_щитам!B1472</f>
      </c>
      <c r="C1467" s="20">
        <f>Разбивка_по_щитам!C1472</f>
      </c>
      <c r="D1467" s="20">
        <f>Разбивка_по_щитам!F1472</f>
      </c>
      <c r="E1467" s="20">
        <f>Разбивка_по_щитам!H1472</f>
      </c>
      <c r="F1467" s="20">
        <f>Разбивка_по_щитам!I1472</f>
      </c>
      <c r="G1467" s="20">
        <f>Разбивка_по_щитам!J1472</f>
      </c>
      <c r="H1467" s="20">
        <f>Разбивка_по_щитам!K1472</f>
      </c>
      <c r="I1467" s="20">
        <f>Разбивка_по_щитам!L1472</f>
      </c>
      <c r="J1467" s="20">
        <f>Разбивка_по_щитам!M1472</f>
      </c>
      <c r="K1467" s="20">
        <f>Разбивка_по_щитам!N1472</f>
      </c>
      <c r="L1467" s="20"/>
      <c r="M1467" s="20">
        <f>Разбивка_по_щитам!P1472</f>
      </c>
      <c r="N1467" s="20"/>
    </row>
    <row r="1468" spans="2:14" x14ac:dyDescent="0.25">
      <c r="B1468" s="20">
        <f>Разбивка_по_щитам!B1473</f>
      </c>
      <c r="C1468" s="20">
        <f>Разбивка_по_щитам!C1473</f>
      </c>
      <c r="D1468" s="20">
        <f>Разбивка_по_щитам!F1473</f>
      </c>
      <c r="E1468" s="20">
        <f>Разбивка_по_щитам!H1473</f>
      </c>
      <c r="F1468" s="20">
        <f>Разбивка_по_щитам!I1473</f>
      </c>
      <c r="G1468" s="20">
        <f>Разбивка_по_щитам!J1473</f>
      </c>
      <c r="H1468" s="20">
        <f>Разбивка_по_щитам!K1473</f>
      </c>
      <c r="I1468" s="20">
        <f>Разбивка_по_щитам!L1473</f>
      </c>
      <c r="J1468" s="20">
        <f>Разбивка_по_щитам!M1473</f>
      </c>
      <c r="K1468" s="20">
        <f>Разбивка_по_щитам!N1473</f>
      </c>
      <c r="L1468" s="20"/>
      <c r="M1468" s="20">
        <f>Разбивка_по_щитам!P1473</f>
      </c>
      <c r="N1468" s="20"/>
    </row>
    <row r="1469" spans="2:14" x14ac:dyDescent="0.25">
      <c r="B1469" s="20">
        <f>Разбивка_по_щитам!B1474</f>
      </c>
      <c r="C1469" s="20">
        <f>Разбивка_по_щитам!C1474</f>
      </c>
      <c r="D1469" s="20">
        <f>Разбивка_по_щитам!F1474</f>
      </c>
      <c r="E1469" s="20">
        <f>Разбивка_по_щитам!H1474</f>
      </c>
      <c r="F1469" s="20">
        <f>Разбивка_по_щитам!I1474</f>
      </c>
      <c r="G1469" s="20">
        <f>Разбивка_по_щитам!J1474</f>
      </c>
      <c r="H1469" s="20">
        <f>Разбивка_по_щитам!K1474</f>
      </c>
      <c r="I1469" s="20">
        <f>Разбивка_по_щитам!L1474</f>
      </c>
      <c r="J1469" s="20">
        <f>Разбивка_по_щитам!M1474</f>
      </c>
      <c r="K1469" s="20">
        <f>Разбивка_по_щитам!N1474</f>
      </c>
      <c r="L1469" s="20"/>
      <c r="M1469" s="20">
        <f>Разбивка_по_щитам!P1474</f>
      </c>
      <c r="N1469" s="20"/>
    </row>
    <row r="1470" spans="2:14" x14ac:dyDescent="0.25">
      <c r="B1470" s="20">
        <f>Разбивка_по_щитам!B1475</f>
      </c>
      <c r="C1470" s="20">
        <f>Разбивка_по_щитам!C1475</f>
      </c>
      <c r="D1470" s="20">
        <f>Разбивка_по_щитам!F1475</f>
      </c>
      <c r="E1470" s="20">
        <f>Разбивка_по_щитам!H1475</f>
      </c>
      <c r="F1470" s="20">
        <f>Разбивка_по_щитам!I1475</f>
      </c>
      <c r="G1470" s="20">
        <f>Разбивка_по_щитам!J1475</f>
      </c>
      <c r="H1470" s="20">
        <f>Разбивка_по_щитам!K1475</f>
      </c>
      <c r="I1470" s="20">
        <f>Разбивка_по_щитам!L1475</f>
      </c>
      <c r="J1470" s="20">
        <f>Разбивка_по_щитам!M1475</f>
      </c>
      <c r="K1470" s="20">
        <f>Разбивка_по_щитам!N1475</f>
      </c>
      <c r="L1470" s="20"/>
      <c r="M1470" s="20">
        <f>Разбивка_по_щитам!P1475</f>
      </c>
      <c r="N1470" s="20"/>
    </row>
    <row r="1471" spans="2:14" x14ac:dyDescent="0.25">
      <c r="B1471" s="20">
        <f>Разбивка_по_щитам!B1476</f>
      </c>
      <c r="C1471" s="20">
        <f>Разбивка_по_щитам!C1476</f>
      </c>
      <c r="D1471" s="20">
        <f>Разбивка_по_щитам!F1476</f>
      </c>
      <c r="E1471" s="20">
        <f>Разбивка_по_щитам!H1476</f>
      </c>
      <c r="F1471" s="20">
        <f>Разбивка_по_щитам!I1476</f>
      </c>
      <c r="G1471" s="20">
        <f>Разбивка_по_щитам!J1476</f>
      </c>
      <c r="H1471" s="20">
        <f>Разбивка_по_щитам!K1476</f>
      </c>
      <c r="I1471" s="20">
        <f>Разбивка_по_щитам!L1476</f>
      </c>
      <c r="J1471" s="20">
        <f>Разбивка_по_щитам!M1476</f>
      </c>
      <c r="K1471" s="20">
        <f>Разбивка_по_щитам!N1476</f>
      </c>
      <c r="L1471" s="20"/>
      <c r="M1471" s="20">
        <f>Разбивка_по_щитам!P1476</f>
      </c>
      <c r="N1471" s="20"/>
    </row>
    <row r="1472" spans="2:14" x14ac:dyDescent="0.25">
      <c r="B1472" s="20">
        <f>Разбивка_по_щитам!B1477</f>
      </c>
      <c r="C1472" s="20">
        <f>Разбивка_по_щитам!C1477</f>
      </c>
      <c r="D1472" s="20">
        <f>Разбивка_по_щитам!F1477</f>
      </c>
      <c r="E1472" s="20">
        <f>Разбивка_по_щитам!H1477</f>
      </c>
      <c r="F1472" s="20">
        <f>Разбивка_по_щитам!I1477</f>
      </c>
      <c r="G1472" s="20">
        <f>Разбивка_по_щитам!J1477</f>
      </c>
      <c r="H1472" s="20">
        <f>Разбивка_по_щитам!K1477</f>
      </c>
      <c r="I1472" s="20">
        <f>Разбивка_по_щитам!L1477</f>
      </c>
      <c r="J1472" s="20">
        <f>Разбивка_по_щитам!M1477</f>
      </c>
      <c r="K1472" s="20">
        <f>Разбивка_по_щитам!N1477</f>
      </c>
      <c r="L1472" s="20"/>
      <c r="M1472" s="20">
        <f>Разбивка_по_щитам!P1477</f>
      </c>
      <c r="N1472" s="20"/>
    </row>
    <row r="1473" spans="2:14" x14ac:dyDescent="0.25">
      <c r="B1473" s="20">
        <f>Разбивка_по_щитам!B1478</f>
      </c>
      <c r="C1473" s="20">
        <f>Разбивка_по_щитам!C1478</f>
      </c>
      <c r="D1473" s="20">
        <f>Разбивка_по_щитам!F1478</f>
      </c>
      <c r="E1473" s="20">
        <f>Разбивка_по_щитам!H1478</f>
      </c>
      <c r="F1473" s="20">
        <f>Разбивка_по_щитам!I1478</f>
      </c>
      <c r="G1473" s="20">
        <f>Разбивка_по_щитам!J1478</f>
      </c>
      <c r="H1473" s="20">
        <f>Разбивка_по_щитам!K1478</f>
      </c>
      <c r="I1473" s="20">
        <f>Разбивка_по_щитам!L1478</f>
      </c>
      <c r="J1473" s="20">
        <f>Разбивка_по_щитам!M1478</f>
      </c>
      <c r="K1473" s="20">
        <f>Разбивка_по_щитам!N1478</f>
      </c>
      <c r="L1473" s="20"/>
      <c r="M1473" s="20">
        <f>Разбивка_по_щитам!P1478</f>
      </c>
      <c r="N1473" s="20"/>
    </row>
    <row r="1474" spans="2:14" x14ac:dyDescent="0.25">
      <c r="B1474" s="20">
        <f>Разбивка_по_щитам!B1479</f>
      </c>
      <c r="C1474" s="20">
        <f>Разбивка_по_щитам!C1479</f>
      </c>
      <c r="D1474" s="20">
        <f>Разбивка_по_щитам!F1479</f>
      </c>
      <c r="E1474" s="20">
        <f>Разбивка_по_щитам!H1479</f>
      </c>
      <c r="F1474" s="20">
        <f>Разбивка_по_щитам!I1479</f>
      </c>
      <c r="G1474" s="20">
        <f>Разбивка_по_щитам!J1479</f>
      </c>
      <c r="H1474" s="20">
        <f>Разбивка_по_щитам!K1479</f>
      </c>
      <c r="I1474" s="20">
        <f>Разбивка_по_щитам!L1479</f>
      </c>
      <c r="J1474" s="20">
        <f>Разбивка_по_щитам!M1479</f>
      </c>
      <c r="K1474" s="20">
        <f>Разбивка_по_щитам!N1479</f>
      </c>
      <c r="L1474" s="20"/>
      <c r="M1474" s="20">
        <f>Разбивка_по_щитам!P1479</f>
      </c>
      <c r="N1474" s="20"/>
    </row>
    <row r="1475" spans="2:14" x14ac:dyDescent="0.25">
      <c r="B1475" s="20">
        <f>Разбивка_по_щитам!B1480</f>
      </c>
      <c r="C1475" s="20">
        <f>Разбивка_по_щитам!C1480</f>
      </c>
      <c r="D1475" s="20">
        <f>Разбивка_по_щитам!F1480</f>
      </c>
      <c r="E1475" s="20">
        <f>Разбивка_по_щитам!H1480</f>
      </c>
      <c r="F1475" s="20">
        <f>Разбивка_по_щитам!I1480</f>
      </c>
      <c r="G1475" s="20">
        <f>Разбивка_по_щитам!J1480</f>
      </c>
      <c r="H1475" s="20">
        <f>Разбивка_по_щитам!K1480</f>
      </c>
      <c r="I1475" s="20">
        <f>Разбивка_по_щитам!L1480</f>
      </c>
      <c r="J1475" s="20">
        <f>Разбивка_по_щитам!M1480</f>
      </c>
      <c r="K1475" s="20">
        <f>Разбивка_по_щитам!N1480</f>
      </c>
      <c r="L1475" s="20"/>
      <c r="M1475" s="20">
        <f>Разбивка_по_щитам!P1480</f>
      </c>
      <c r="N1475" s="20"/>
    </row>
    <row r="1476" spans="2:14" x14ac:dyDescent="0.25">
      <c r="B1476" s="20">
        <f>Разбивка_по_щитам!B1481</f>
      </c>
      <c r="C1476" s="20">
        <f>Разбивка_по_щитам!C1481</f>
      </c>
      <c r="D1476" s="20">
        <f>Разбивка_по_щитам!F1481</f>
      </c>
      <c r="E1476" s="20">
        <f>Разбивка_по_щитам!H1481</f>
      </c>
      <c r="F1476" s="20">
        <f>Разбивка_по_щитам!I1481</f>
      </c>
      <c r="G1476" s="20">
        <f>Разбивка_по_щитам!J1481</f>
      </c>
      <c r="H1476" s="20">
        <f>Разбивка_по_щитам!K1481</f>
      </c>
      <c r="I1476" s="20">
        <f>Разбивка_по_щитам!L1481</f>
      </c>
      <c r="J1476" s="20">
        <f>Разбивка_по_щитам!M1481</f>
      </c>
      <c r="K1476" s="20">
        <f>Разбивка_по_щитам!N1481</f>
      </c>
      <c r="L1476" s="20"/>
      <c r="M1476" s="20">
        <f>Разбивка_по_щитам!P1481</f>
      </c>
      <c r="N1476" s="20"/>
    </row>
    <row r="1477" spans="2:14" x14ac:dyDescent="0.25">
      <c r="B1477" s="20">
        <f>Разбивка_по_щитам!B1482</f>
      </c>
      <c r="C1477" s="20">
        <f>Разбивка_по_щитам!C1482</f>
      </c>
      <c r="D1477" s="20">
        <f>Разбивка_по_щитам!F1482</f>
      </c>
      <c r="E1477" s="20">
        <f>Разбивка_по_щитам!H1482</f>
      </c>
      <c r="F1477" s="20">
        <f>Разбивка_по_щитам!I1482</f>
      </c>
      <c r="G1477" s="20">
        <f>Разбивка_по_щитам!J1482</f>
      </c>
      <c r="H1477" s="20">
        <f>Разбивка_по_щитам!K1482</f>
      </c>
      <c r="I1477" s="20">
        <f>Разбивка_по_щитам!L1482</f>
      </c>
      <c r="J1477" s="20">
        <f>Разбивка_по_щитам!M1482</f>
      </c>
      <c r="K1477" s="20">
        <f>Разбивка_по_щитам!N1482</f>
      </c>
      <c r="L1477" s="20"/>
      <c r="M1477" s="20">
        <f>Разбивка_по_щитам!P1482</f>
      </c>
      <c r="N1477" s="20"/>
    </row>
    <row r="1478" spans="2:14" x14ac:dyDescent="0.25">
      <c r="B1478" s="20">
        <f>Разбивка_по_щитам!B1483</f>
      </c>
      <c r="C1478" s="20">
        <f>Разбивка_по_щитам!C1483</f>
      </c>
      <c r="D1478" s="20">
        <f>Разбивка_по_щитам!F1483</f>
      </c>
      <c r="E1478" s="20">
        <f>Разбивка_по_щитам!H1483</f>
      </c>
      <c r="F1478" s="20">
        <f>Разбивка_по_щитам!I1483</f>
      </c>
      <c r="G1478" s="20">
        <f>Разбивка_по_щитам!J1483</f>
      </c>
      <c r="H1478" s="20">
        <f>Разбивка_по_щитам!K1483</f>
      </c>
      <c r="I1478" s="20">
        <f>Разбивка_по_щитам!L1483</f>
      </c>
      <c r="J1478" s="20">
        <f>Разбивка_по_щитам!M1483</f>
      </c>
      <c r="K1478" s="20">
        <f>Разбивка_по_щитам!N1483</f>
      </c>
      <c r="L1478" s="20"/>
      <c r="M1478" s="20">
        <f>Разбивка_по_щитам!P1483</f>
      </c>
      <c r="N1478" s="20"/>
    </row>
    <row r="1479" spans="2:14" x14ac:dyDescent="0.25">
      <c r="B1479" s="20">
        <f>Разбивка_по_щитам!B1484</f>
      </c>
      <c r="C1479" s="20">
        <f>Разбивка_по_щитам!C1484</f>
      </c>
      <c r="D1479" s="20">
        <f>Разбивка_по_щитам!F1484</f>
      </c>
      <c r="E1479" s="20">
        <f>Разбивка_по_щитам!H1484</f>
      </c>
      <c r="F1479" s="20">
        <f>Разбивка_по_щитам!I1484</f>
      </c>
      <c r="G1479" s="20">
        <f>Разбивка_по_щитам!J1484</f>
      </c>
      <c r="H1479" s="20">
        <f>Разбивка_по_щитам!K1484</f>
      </c>
      <c r="I1479" s="20">
        <f>Разбивка_по_щитам!L1484</f>
      </c>
      <c r="J1479" s="20">
        <f>Разбивка_по_щитам!M1484</f>
      </c>
      <c r="K1479" s="20">
        <f>Разбивка_по_щитам!N1484</f>
      </c>
      <c r="L1479" s="20"/>
      <c r="M1479" s="20">
        <f>Разбивка_по_щитам!P1484</f>
      </c>
      <c r="N1479" s="20"/>
    </row>
    <row r="1480" spans="2:14" x14ac:dyDescent="0.25">
      <c r="B1480" s="20">
        <f>Разбивка_по_щитам!B1485</f>
      </c>
      <c r="C1480" s="20">
        <f>Разбивка_по_щитам!C1485</f>
      </c>
      <c r="D1480" s="20">
        <f>Разбивка_по_щитам!F1485</f>
      </c>
      <c r="E1480" s="20">
        <f>Разбивка_по_щитам!H1485</f>
      </c>
      <c r="F1480" s="20">
        <f>Разбивка_по_щитам!I1485</f>
      </c>
      <c r="G1480" s="20">
        <f>Разбивка_по_щитам!J1485</f>
      </c>
      <c r="H1480" s="20">
        <f>Разбивка_по_щитам!K1485</f>
      </c>
      <c r="I1480" s="20">
        <f>Разбивка_по_щитам!L1485</f>
      </c>
      <c r="J1480" s="20">
        <f>Разбивка_по_щитам!M1485</f>
      </c>
      <c r="K1480" s="20">
        <f>Разбивка_по_щитам!N1485</f>
      </c>
      <c r="L1480" s="20"/>
      <c r="M1480" s="20">
        <f>Разбивка_по_щитам!P1485</f>
      </c>
      <c r="N1480" s="20"/>
    </row>
    <row r="1481" spans="2:14" x14ac:dyDescent="0.25">
      <c r="B1481" s="20">
        <f>Разбивка_по_щитам!B1486</f>
      </c>
      <c r="C1481" s="20">
        <f>Разбивка_по_щитам!C1486</f>
      </c>
      <c r="D1481" s="20">
        <f>Разбивка_по_щитам!F1486</f>
      </c>
      <c r="E1481" s="20">
        <f>Разбивка_по_щитам!H1486</f>
      </c>
      <c r="F1481" s="20">
        <f>Разбивка_по_щитам!I1486</f>
      </c>
      <c r="G1481" s="20">
        <f>Разбивка_по_щитам!J1486</f>
      </c>
      <c r="H1481" s="20">
        <f>Разбивка_по_щитам!K1486</f>
      </c>
      <c r="I1481" s="20">
        <f>Разбивка_по_щитам!L1486</f>
      </c>
      <c r="J1481" s="20">
        <f>Разбивка_по_щитам!M1486</f>
      </c>
      <c r="K1481" s="20">
        <f>Разбивка_по_щитам!N1486</f>
      </c>
      <c r="L1481" s="20"/>
      <c r="M1481" s="20">
        <f>Разбивка_по_щитам!P1486</f>
      </c>
      <c r="N1481" s="20"/>
    </row>
    <row r="1482" spans="2:14" x14ac:dyDescent="0.25">
      <c r="B1482" s="20">
        <f>Разбивка_по_щитам!B1487</f>
      </c>
      <c r="C1482" s="20">
        <f>Разбивка_по_щитам!C1487</f>
      </c>
      <c r="D1482" s="20">
        <f>Разбивка_по_щитам!F1487</f>
      </c>
      <c r="E1482" s="20">
        <f>Разбивка_по_щитам!H1487</f>
      </c>
      <c r="F1482" s="20">
        <f>Разбивка_по_щитам!I1487</f>
      </c>
      <c r="G1482" s="20">
        <f>Разбивка_по_щитам!J1487</f>
      </c>
      <c r="H1482" s="20">
        <f>Разбивка_по_щитам!K1487</f>
      </c>
      <c r="I1482" s="20">
        <f>Разбивка_по_щитам!L1487</f>
      </c>
      <c r="J1482" s="20">
        <f>Разбивка_по_щитам!M1487</f>
      </c>
      <c r="K1482" s="20">
        <f>Разбивка_по_щитам!N1487</f>
      </c>
      <c r="L1482" s="20"/>
      <c r="M1482" s="20">
        <f>Разбивка_по_щитам!P1487</f>
      </c>
      <c r="N1482" s="20"/>
    </row>
    <row r="1483" spans="2:14" x14ac:dyDescent="0.25">
      <c r="B1483" s="20">
        <f>Разбивка_по_щитам!B1488</f>
      </c>
      <c r="C1483" s="20">
        <f>Разбивка_по_щитам!C1488</f>
      </c>
      <c r="D1483" s="20">
        <f>Разбивка_по_щитам!F1488</f>
      </c>
      <c r="E1483" s="20">
        <f>Разбивка_по_щитам!H1488</f>
      </c>
      <c r="F1483" s="20">
        <f>Разбивка_по_щитам!I1488</f>
      </c>
      <c r="G1483" s="20">
        <f>Разбивка_по_щитам!J1488</f>
      </c>
      <c r="H1483" s="20">
        <f>Разбивка_по_щитам!K1488</f>
      </c>
      <c r="I1483" s="20">
        <f>Разбивка_по_щитам!L1488</f>
      </c>
      <c r="J1483" s="20">
        <f>Разбивка_по_щитам!M1488</f>
      </c>
      <c r="K1483" s="20">
        <f>Разбивка_по_щитам!N1488</f>
      </c>
      <c r="L1483" s="20"/>
      <c r="M1483" s="20">
        <f>Разбивка_по_щитам!P1488</f>
      </c>
      <c r="N1483" s="20"/>
    </row>
    <row r="1484" spans="2:14" x14ac:dyDescent="0.25">
      <c r="B1484" s="20">
        <f>Разбивка_по_щитам!B1489</f>
      </c>
      <c r="C1484" s="20">
        <f>Разбивка_по_щитам!C1489</f>
      </c>
      <c r="D1484" s="20">
        <f>Разбивка_по_щитам!F1489</f>
      </c>
      <c r="E1484" s="20">
        <f>Разбивка_по_щитам!H1489</f>
      </c>
      <c r="F1484" s="20">
        <f>Разбивка_по_щитам!I1489</f>
      </c>
      <c r="G1484" s="20">
        <f>Разбивка_по_щитам!J1489</f>
      </c>
      <c r="H1484" s="20">
        <f>Разбивка_по_щитам!K1489</f>
      </c>
      <c r="I1484" s="20">
        <f>Разбивка_по_щитам!L1489</f>
      </c>
      <c r="J1484" s="20">
        <f>Разбивка_по_щитам!M1489</f>
      </c>
      <c r="K1484" s="20">
        <f>Разбивка_по_щитам!N1489</f>
      </c>
      <c r="L1484" s="20"/>
      <c r="M1484" s="20">
        <f>Разбивка_по_щитам!P1489</f>
      </c>
      <c r="N1484" s="20"/>
    </row>
    <row r="1485" spans="2:14" x14ac:dyDescent="0.25">
      <c r="B1485" s="20">
        <f>Разбивка_по_щитам!B1490</f>
      </c>
      <c r="C1485" s="20">
        <f>Разбивка_по_щитам!C1490</f>
      </c>
      <c r="D1485" s="20">
        <f>Разбивка_по_щитам!F1490</f>
      </c>
      <c r="E1485" s="20">
        <f>Разбивка_по_щитам!H1490</f>
      </c>
      <c r="F1485" s="20">
        <f>Разбивка_по_щитам!I1490</f>
      </c>
      <c r="G1485" s="20">
        <f>Разбивка_по_щитам!J1490</f>
      </c>
      <c r="H1485" s="20">
        <f>Разбивка_по_щитам!K1490</f>
      </c>
      <c r="I1485" s="20">
        <f>Разбивка_по_щитам!L1490</f>
      </c>
      <c r="J1485" s="20">
        <f>Разбивка_по_щитам!M1490</f>
      </c>
      <c r="K1485" s="20">
        <f>Разбивка_по_щитам!N1490</f>
      </c>
      <c r="L1485" s="20"/>
      <c r="M1485" s="20">
        <f>Разбивка_по_щитам!P1490</f>
      </c>
      <c r="N1485" s="20"/>
    </row>
    <row r="1486" spans="2:14" x14ac:dyDescent="0.25">
      <c r="B1486" s="20">
        <f>Разбивка_по_щитам!B1491</f>
      </c>
      <c r="C1486" s="20">
        <f>Разбивка_по_щитам!C1491</f>
      </c>
      <c r="D1486" s="20">
        <f>Разбивка_по_щитам!F1491</f>
      </c>
      <c r="E1486" s="20">
        <f>Разбивка_по_щитам!H1491</f>
      </c>
      <c r="F1486" s="20">
        <f>Разбивка_по_щитам!I1491</f>
      </c>
      <c r="G1486" s="20">
        <f>Разбивка_по_щитам!J1491</f>
      </c>
      <c r="H1486" s="20">
        <f>Разбивка_по_щитам!K1491</f>
      </c>
      <c r="I1486" s="20">
        <f>Разбивка_по_щитам!L1491</f>
      </c>
      <c r="J1486" s="20">
        <f>Разбивка_по_щитам!M1491</f>
      </c>
      <c r="K1486" s="20">
        <f>Разбивка_по_щитам!N1491</f>
      </c>
      <c r="L1486" s="20"/>
      <c r="M1486" s="20">
        <f>Разбивка_по_щитам!P1491</f>
      </c>
      <c r="N1486" s="20"/>
    </row>
    <row r="1487" spans="2:14" x14ac:dyDescent="0.25">
      <c r="B1487" s="20">
        <f>Разбивка_по_щитам!B1492</f>
      </c>
      <c r="C1487" s="20">
        <f>Разбивка_по_щитам!C1492</f>
      </c>
      <c r="D1487" s="20">
        <f>Разбивка_по_щитам!F1492</f>
      </c>
      <c r="E1487" s="20">
        <f>Разбивка_по_щитам!H1492</f>
      </c>
      <c r="F1487" s="20">
        <f>Разбивка_по_щитам!I1492</f>
      </c>
      <c r="G1487" s="20">
        <f>Разбивка_по_щитам!J1492</f>
      </c>
      <c r="H1487" s="20">
        <f>Разбивка_по_щитам!K1492</f>
      </c>
      <c r="I1487" s="20">
        <f>Разбивка_по_щитам!L1492</f>
      </c>
      <c r="J1487" s="20">
        <f>Разбивка_по_щитам!M1492</f>
      </c>
      <c r="K1487" s="20">
        <f>Разбивка_по_щитам!N1492</f>
      </c>
      <c r="L1487" s="20"/>
      <c r="M1487" s="20">
        <f>Разбивка_по_щитам!P1492</f>
      </c>
      <c r="N1487" s="20"/>
    </row>
    <row r="1488" spans="2:14" x14ac:dyDescent="0.25">
      <c r="B1488" s="20">
        <f>Разбивка_по_щитам!B1493</f>
      </c>
      <c r="C1488" s="20">
        <f>Разбивка_по_щитам!C1493</f>
      </c>
      <c r="D1488" s="20">
        <f>Разбивка_по_щитам!F1493</f>
      </c>
      <c r="E1488" s="20">
        <f>Разбивка_по_щитам!H1493</f>
      </c>
      <c r="F1488" s="20">
        <f>Разбивка_по_щитам!I1493</f>
      </c>
      <c r="G1488" s="20">
        <f>Разбивка_по_щитам!J1493</f>
      </c>
      <c r="H1488" s="20">
        <f>Разбивка_по_щитам!K1493</f>
      </c>
      <c r="I1488" s="20">
        <f>Разбивка_по_щитам!L1493</f>
      </c>
      <c r="J1488" s="20">
        <f>Разбивка_по_щитам!M1493</f>
      </c>
      <c r="K1488" s="20">
        <f>Разбивка_по_щитам!N1493</f>
      </c>
      <c r="L1488" s="20"/>
      <c r="M1488" s="20">
        <f>Разбивка_по_щитам!P1493</f>
      </c>
      <c r="N1488" s="20"/>
    </row>
    <row r="1489" spans="2:14" x14ac:dyDescent="0.25">
      <c r="B1489" s="20">
        <f>Разбивка_по_щитам!B1494</f>
      </c>
      <c r="C1489" s="20">
        <f>Разбивка_по_щитам!C1494</f>
      </c>
      <c r="D1489" s="20">
        <f>Разбивка_по_щитам!F1494</f>
      </c>
      <c r="E1489" s="20">
        <f>Разбивка_по_щитам!H1494</f>
      </c>
      <c r="F1489" s="20">
        <f>Разбивка_по_щитам!I1494</f>
      </c>
      <c r="G1489" s="20">
        <f>Разбивка_по_щитам!J1494</f>
      </c>
      <c r="H1489" s="20">
        <f>Разбивка_по_щитам!K1494</f>
      </c>
      <c r="I1489" s="20">
        <f>Разбивка_по_щитам!L1494</f>
      </c>
      <c r="J1489" s="20">
        <f>Разбивка_по_щитам!M1494</f>
      </c>
      <c r="K1489" s="20">
        <f>Разбивка_по_щитам!N1494</f>
      </c>
      <c r="L1489" s="20"/>
      <c r="M1489" s="20">
        <f>Разбивка_по_щитам!P1494</f>
      </c>
      <c r="N1489" s="20"/>
    </row>
    <row r="1490" spans="2:14" x14ac:dyDescent="0.25">
      <c r="B1490" s="20">
        <f>Разбивка_по_щитам!B1495</f>
      </c>
      <c r="C1490" s="20">
        <f>Разбивка_по_щитам!C1495</f>
      </c>
      <c r="D1490" s="20">
        <f>Разбивка_по_щитам!F1495</f>
      </c>
      <c r="E1490" s="20">
        <f>Разбивка_по_щитам!H1495</f>
      </c>
      <c r="F1490" s="20">
        <f>Разбивка_по_щитам!I1495</f>
      </c>
      <c r="G1490" s="20">
        <f>Разбивка_по_щитам!J1495</f>
      </c>
      <c r="H1490" s="20">
        <f>Разбивка_по_щитам!K1495</f>
      </c>
      <c r="I1490" s="20">
        <f>Разбивка_по_щитам!L1495</f>
      </c>
      <c r="J1490" s="20">
        <f>Разбивка_по_щитам!M1495</f>
      </c>
      <c r="K1490" s="20">
        <f>Разбивка_по_щитам!N1495</f>
      </c>
      <c r="L1490" s="20"/>
      <c r="M1490" s="20">
        <f>Разбивка_по_щитам!P1495</f>
      </c>
      <c r="N1490" s="20"/>
    </row>
    <row r="1491" spans="2:14" x14ac:dyDescent="0.25">
      <c r="B1491" s="20">
        <f>Разбивка_по_щитам!B1496</f>
      </c>
      <c r="C1491" s="20">
        <f>Разбивка_по_щитам!C1496</f>
      </c>
      <c r="D1491" s="20">
        <f>Разбивка_по_щитам!F1496</f>
      </c>
      <c r="E1491" s="20">
        <f>Разбивка_по_щитам!H1496</f>
      </c>
      <c r="F1491" s="20">
        <f>Разбивка_по_щитам!I1496</f>
      </c>
      <c r="G1491" s="20">
        <f>Разбивка_по_щитам!J1496</f>
      </c>
      <c r="H1491" s="20">
        <f>Разбивка_по_щитам!K1496</f>
      </c>
      <c r="I1491" s="20">
        <f>Разбивка_по_щитам!L1496</f>
      </c>
      <c r="J1491" s="20">
        <f>Разбивка_по_щитам!M1496</f>
      </c>
      <c r="K1491" s="20">
        <f>Разбивка_по_щитам!N1496</f>
      </c>
      <c r="L1491" s="20"/>
      <c r="M1491" s="20">
        <f>Разбивка_по_щитам!P1496</f>
      </c>
      <c r="N1491" s="20"/>
    </row>
    <row r="1492" spans="2:14" x14ac:dyDescent="0.25">
      <c r="B1492" s="20">
        <f>Разбивка_по_щитам!B1497</f>
      </c>
      <c r="C1492" s="20">
        <f>Разбивка_по_щитам!C1497</f>
      </c>
      <c r="D1492" s="20">
        <f>Разбивка_по_щитам!F1497</f>
      </c>
      <c r="E1492" s="20">
        <f>Разбивка_по_щитам!H1497</f>
      </c>
      <c r="F1492" s="20">
        <f>Разбивка_по_щитам!I1497</f>
      </c>
      <c r="G1492" s="20">
        <f>Разбивка_по_щитам!J1497</f>
      </c>
      <c r="H1492" s="20">
        <f>Разбивка_по_щитам!K1497</f>
      </c>
      <c r="I1492" s="20">
        <f>Разбивка_по_щитам!L1497</f>
      </c>
      <c r="J1492" s="20">
        <f>Разбивка_по_щитам!M1497</f>
      </c>
      <c r="K1492" s="20">
        <f>Разбивка_по_щитам!N1497</f>
      </c>
      <c r="L1492" s="20"/>
      <c r="M1492" s="20">
        <f>Разбивка_по_щитам!P1497</f>
      </c>
      <c r="N1492" s="20"/>
    </row>
    <row r="1493" spans="2:14" x14ac:dyDescent="0.25">
      <c r="B1493" s="20">
        <f>Разбивка_по_щитам!B1498</f>
      </c>
      <c r="C1493" s="20">
        <f>Разбивка_по_щитам!C1498</f>
      </c>
      <c r="D1493" s="20">
        <f>Разбивка_по_щитам!F1498</f>
      </c>
      <c r="E1493" s="20">
        <f>Разбивка_по_щитам!H1498</f>
      </c>
      <c r="F1493" s="20">
        <f>Разбивка_по_щитам!I1498</f>
      </c>
      <c r="G1493" s="20">
        <f>Разбивка_по_щитам!J1498</f>
      </c>
      <c r="H1493" s="20">
        <f>Разбивка_по_щитам!K1498</f>
      </c>
      <c r="I1493" s="20">
        <f>Разбивка_по_щитам!L1498</f>
      </c>
      <c r="J1493" s="20">
        <f>Разбивка_по_щитам!M1498</f>
      </c>
      <c r="K1493" s="20">
        <f>Разбивка_по_щитам!N1498</f>
      </c>
      <c r="L1493" s="20"/>
      <c r="M1493" s="20">
        <f>Разбивка_по_щитам!P1498</f>
      </c>
      <c r="N1493" s="20"/>
    </row>
    <row r="1494" spans="2:14" x14ac:dyDescent="0.25">
      <c r="B1494" s="20">
        <f>Разбивка_по_щитам!B1499</f>
      </c>
      <c r="C1494" s="20">
        <f>Разбивка_по_щитам!C1499</f>
      </c>
      <c r="D1494" s="20">
        <f>Разбивка_по_щитам!F1499</f>
      </c>
      <c r="E1494" s="20">
        <f>Разбивка_по_щитам!H1499</f>
      </c>
      <c r="F1494" s="20">
        <f>Разбивка_по_щитам!I1499</f>
      </c>
      <c r="G1494" s="20">
        <f>Разбивка_по_щитам!J1499</f>
      </c>
      <c r="H1494" s="20">
        <f>Разбивка_по_щитам!K1499</f>
      </c>
      <c r="I1494" s="20">
        <f>Разбивка_по_щитам!L1499</f>
      </c>
      <c r="J1494" s="20">
        <f>Разбивка_по_щитам!M1499</f>
      </c>
      <c r="K1494" s="20">
        <f>Разбивка_по_щитам!N1499</f>
      </c>
      <c r="L1494" s="20"/>
      <c r="M1494" s="20">
        <f>Разбивка_по_щитам!P1499</f>
      </c>
      <c r="N1494" s="20"/>
    </row>
    <row r="1495" spans="2:14" x14ac:dyDescent="0.25">
      <c r="B1495" s="20">
        <f>Разбивка_по_щитам!B1500</f>
      </c>
      <c r="C1495" s="20">
        <f>Разбивка_по_щитам!C1500</f>
      </c>
      <c r="D1495" s="20">
        <f>Разбивка_по_щитам!F1500</f>
      </c>
      <c r="E1495" s="20">
        <f>Разбивка_по_щитам!H1500</f>
      </c>
      <c r="F1495" s="20">
        <f>Разбивка_по_щитам!I1500</f>
      </c>
      <c r="G1495" s="20">
        <f>Разбивка_по_щитам!J1500</f>
      </c>
      <c r="H1495" s="20">
        <f>Разбивка_по_щитам!K1500</f>
      </c>
      <c r="I1495" s="20">
        <f>Разбивка_по_щитам!L1500</f>
      </c>
      <c r="J1495" s="20">
        <f>Разбивка_по_щитам!M1500</f>
      </c>
      <c r="K1495" s="20">
        <f>Разбивка_по_щитам!N1500</f>
      </c>
      <c r="L1495" s="20"/>
      <c r="M1495" s="20">
        <f>Разбивка_по_щитам!P1500</f>
      </c>
      <c r="N1495" s="20"/>
    </row>
    <row r="1496" spans="2:14" x14ac:dyDescent="0.25">
      <c r="B1496" s="20">
        <f>Разбивка_по_щитам!B1501</f>
      </c>
      <c r="C1496" s="20">
        <f>Разбивка_по_щитам!C1501</f>
      </c>
      <c r="D1496" s="20">
        <f>Разбивка_по_щитам!F1501</f>
      </c>
      <c r="E1496" s="20">
        <f>Разбивка_по_щитам!H1501</f>
      </c>
      <c r="F1496" s="20">
        <f>Разбивка_по_щитам!I1501</f>
      </c>
      <c r="G1496" s="20">
        <f>Разбивка_по_щитам!J1501</f>
      </c>
      <c r="H1496" s="20">
        <f>Разбивка_по_щитам!K1501</f>
      </c>
      <c r="I1496" s="20">
        <f>Разбивка_по_щитам!L1501</f>
      </c>
      <c r="J1496" s="20">
        <f>Разбивка_по_щитам!M1501</f>
      </c>
      <c r="K1496" s="20">
        <f>Разбивка_по_щитам!N1501</f>
      </c>
      <c r="L1496" s="20"/>
      <c r="M1496" s="20">
        <f>Разбивка_по_щитам!P1501</f>
      </c>
      <c r="N1496" s="20"/>
    </row>
    <row r="1497" spans="2:14" x14ac:dyDescent="0.25">
      <c r="B1497" s="20">
        <f>Разбивка_по_щитам!B1502</f>
      </c>
      <c r="C1497" s="20">
        <f>Разбивка_по_щитам!C1502</f>
      </c>
      <c r="D1497" s="20">
        <f>Разбивка_по_щитам!F1502</f>
      </c>
      <c r="E1497" s="20">
        <f>Разбивка_по_щитам!H1502</f>
      </c>
      <c r="F1497" s="20">
        <f>Разбивка_по_щитам!I1502</f>
      </c>
      <c r="G1497" s="20">
        <f>Разбивка_по_щитам!J1502</f>
      </c>
      <c r="H1497" s="20">
        <f>Разбивка_по_щитам!K1502</f>
      </c>
      <c r="I1497" s="20">
        <f>Разбивка_по_щитам!L1502</f>
      </c>
      <c r="J1497" s="20">
        <f>Разбивка_по_щитам!M1502</f>
      </c>
      <c r="K1497" s="20">
        <f>Разбивка_по_щитам!N1502</f>
      </c>
      <c r="L1497" s="20"/>
      <c r="M1497" s="20">
        <f>Разбивка_по_щитам!P1502</f>
      </c>
      <c r="N1497" s="20"/>
    </row>
    <row r="1498" spans="2:14" x14ac:dyDescent="0.25">
      <c r="B1498" s="20">
        <f>Разбивка_по_щитам!B1503</f>
      </c>
      <c r="C1498" s="20">
        <f>Разбивка_по_щитам!C1503</f>
      </c>
      <c r="D1498" s="20">
        <f>Разбивка_по_щитам!F1503</f>
      </c>
      <c r="E1498" s="20">
        <f>Разбивка_по_щитам!H1503</f>
      </c>
      <c r="F1498" s="20">
        <f>Разбивка_по_щитам!I1503</f>
      </c>
      <c r="G1498" s="20">
        <f>Разбивка_по_щитам!J1503</f>
      </c>
      <c r="H1498" s="20">
        <f>Разбивка_по_щитам!K1503</f>
      </c>
      <c r="I1498" s="20">
        <f>Разбивка_по_щитам!L1503</f>
      </c>
      <c r="J1498" s="20">
        <f>Разбивка_по_щитам!M1503</f>
      </c>
      <c r="K1498" s="20">
        <f>Разбивка_по_щитам!N1503</f>
      </c>
      <c r="L1498" s="20"/>
      <c r="M1498" s="20">
        <f>Разбивка_по_щитам!P1503</f>
      </c>
      <c r="N1498" s="20"/>
    </row>
    <row r="1499" spans="2:14" x14ac:dyDescent="0.25">
      <c r="B1499" s="20">
        <f>Разбивка_по_щитам!B1504</f>
      </c>
      <c r="C1499" s="20">
        <f>Разбивка_по_щитам!C1504</f>
      </c>
      <c r="D1499" s="20">
        <f>Разбивка_по_щитам!F1504</f>
      </c>
      <c r="E1499" s="20">
        <f>Разбивка_по_щитам!H1504</f>
      </c>
      <c r="F1499" s="20">
        <f>Разбивка_по_щитам!I1504</f>
      </c>
      <c r="G1499" s="20">
        <f>Разбивка_по_щитам!J1504</f>
      </c>
      <c r="H1499" s="20">
        <f>Разбивка_по_щитам!K1504</f>
      </c>
      <c r="I1499" s="20">
        <f>Разбивка_по_щитам!L1504</f>
      </c>
      <c r="J1499" s="20">
        <f>Разбивка_по_щитам!M1504</f>
      </c>
      <c r="K1499" s="20">
        <f>Разбивка_по_щитам!N1504</f>
      </c>
      <c r="L1499" s="20"/>
      <c r="M1499" s="20">
        <f>Разбивка_по_щитам!P1504</f>
      </c>
      <c r="N1499" s="20"/>
    </row>
    <row r="1500" spans="2:14" x14ac:dyDescent="0.25">
      <c r="B1500" s="20">
        <f>Разбивка_по_щитам!B1505</f>
      </c>
      <c r="C1500" s="20">
        <f>Разбивка_по_щитам!C1505</f>
      </c>
      <c r="D1500" s="20">
        <f>Разбивка_по_щитам!F1505</f>
      </c>
      <c r="E1500" s="20">
        <f>Разбивка_по_щитам!H1505</f>
      </c>
      <c r="F1500" s="20">
        <f>Разбивка_по_щитам!I1505</f>
      </c>
      <c r="G1500" s="20">
        <f>Разбивка_по_щитам!J1505</f>
      </c>
      <c r="H1500" s="20">
        <f>Разбивка_по_щитам!K1505</f>
      </c>
      <c r="I1500" s="20">
        <f>Разбивка_по_щитам!L1505</f>
      </c>
      <c r="J1500" s="20">
        <f>Разбивка_по_щитам!M1505</f>
      </c>
      <c r="K1500" s="20">
        <f>Разбивка_по_щитам!N1505</f>
      </c>
      <c r="L1500" s="20"/>
      <c r="M1500" s="20">
        <f>Разбивка_по_щитам!P1505</f>
      </c>
      <c r="N1500" s="20"/>
    </row>
    <row r="1501" spans="2:14" x14ac:dyDescent="0.25">
      <c r="B1501" s="20">
        <f>Разбивка_по_щитам!B1506</f>
      </c>
      <c r="C1501" s="20">
        <f>Разбивка_по_щитам!C1506</f>
      </c>
      <c r="D1501" s="20">
        <f>Разбивка_по_щитам!F1506</f>
      </c>
      <c r="E1501" s="20">
        <f>Разбивка_по_щитам!H1506</f>
      </c>
      <c r="F1501" s="20">
        <f>Разбивка_по_щитам!I1506</f>
      </c>
      <c r="G1501" s="20">
        <f>Разбивка_по_щитам!J1506</f>
      </c>
      <c r="H1501" s="20">
        <f>Разбивка_по_щитам!K1506</f>
      </c>
      <c r="I1501" s="20">
        <f>Разбивка_по_щитам!L1506</f>
      </c>
      <c r="J1501" s="20">
        <f>Разбивка_по_щитам!M1506</f>
      </c>
      <c r="K1501" s="20">
        <f>Разбивка_по_щитам!N1506</f>
      </c>
      <c r="L1501" s="20"/>
      <c r="M1501" s="20">
        <f>Разбивка_по_щитам!P1506</f>
      </c>
      <c r="N1501" s="20"/>
    </row>
    <row r="1502" spans="2:14" x14ac:dyDescent="0.25">
      <c r="B1502" s="20">
        <f>Разбивка_по_щитам!B1507</f>
      </c>
      <c r="C1502" s="20">
        <f>Разбивка_по_щитам!C1507</f>
      </c>
      <c r="D1502" s="20">
        <f>Разбивка_по_щитам!F1507</f>
      </c>
      <c r="E1502" s="20">
        <f>Разбивка_по_щитам!H1507</f>
      </c>
      <c r="F1502" s="20">
        <f>Разбивка_по_щитам!I1507</f>
      </c>
      <c r="G1502" s="20">
        <f>Разбивка_по_щитам!J1507</f>
      </c>
      <c r="H1502" s="20">
        <f>Разбивка_по_щитам!K1507</f>
      </c>
      <c r="I1502" s="20">
        <f>Разбивка_по_щитам!L1507</f>
      </c>
      <c r="J1502" s="20">
        <f>Разбивка_по_щитам!M1507</f>
      </c>
      <c r="K1502" s="20">
        <f>Разбивка_по_щитам!N1507</f>
      </c>
      <c r="L1502" s="20"/>
      <c r="M1502" s="20">
        <f>Разбивка_по_щитам!P1507</f>
      </c>
      <c r="N1502" s="20"/>
    </row>
    <row r="1503" spans="2:14" x14ac:dyDescent="0.25">
      <c r="B1503" s="20">
        <f>Разбивка_по_щитам!B1508</f>
      </c>
      <c r="C1503" s="20">
        <f>Разбивка_по_щитам!C1508</f>
      </c>
      <c r="D1503" s="20">
        <f>Разбивка_по_щитам!F1508</f>
      </c>
      <c r="E1503" s="20">
        <f>Разбивка_по_щитам!H1508</f>
      </c>
      <c r="F1503" s="20">
        <f>Разбивка_по_щитам!I1508</f>
      </c>
      <c r="G1503" s="20">
        <f>Разбивка_по_щитам!J1508</f>
      </c>
      <c r="H1503" s="20">
        <f>Разбивка_по_щитам!K1508</f>
      </c>
      <c r="I1503" s="20">
        <f>Разбивка_по_щитам!L1508</f>
      </c>
      <c r="J1503" s="20">
        <f>Разбивка_по_щитам!M1508</f>
      </c>
      <c r="K1503" s="20">
        <f>Разбивка_по_щитам!N1508</f>
      </c>
      <c r="L1503" s="20"/>
      <c r="M1503" s="20">
        <f>Разбивка_по_щитам!P1508</f>
      </c>
      <c r="N1503" s="20"/>
    </row>
    <row r="1504" spans="2:14" x14ac:dyDescent="0.25">
      <c r="B1504" s="20">
        <f>Разбивка_по_щитам!B1509</f>
      </c>
      <c r="C1504" s="20">
        <f>Разбивка_по_щитам!C1509</f>
      </c>
      <c r="D1504" s="20">
        <f>Разбивка_по_щитам!F1509</f>
      </c>
      <c r="E1504" s="20">
        <f>Разбивка_по_щитам!H1509</f>
      </c>
      <c r="F1504" s="20">
        <f>Разбивка_по_щитам!I1509</f>
      </c>
      <c r="G1504" s="20">
        <f>Разбивка_по_щитам!J1509</f>
      </c>
      <c r="H1504" s="20">
        <f>Разбивка_по_щитам!K1509</f>
      </c>
      <c r="I1504" s="20">
        <f>Разбивка_по_щитам!L1509</f>
      </c>
      <c r="J1504" s="20">
        <f>Разбивка_по_щитам!M1509</f>
      </c>
      <c r="K1504" s="20">
        <f>Разбивка_по_щитам!N1509</f>
      </c>
      <c r="L1504" s="20"/>
      <c r="M1504" s="20">
        <f>Разбивка_по_щитам!P1509</f>
      </c>
      <c r="N1504" s="20"/>
    </row>
    <row r="1505" spans="2:14" x14ac:dyDescent="0.25">
      <c r="B1505" s="20">
        <f>Разбивка_по_щитам!B1510</f>
      </c>
      <c r="C1505" s="20">
        <f>Разбивка_по_щитам!C1510</f>
      </c>
      <c r="D1505" s="20">
        <f>Разбивка_по_щитам!F1510</f>
      </c>
      <c r="E1505" s="20">
        <f>Разбивка_по_щитам!H1510</f>
      </c>
      <c r="F1505" s="20">
        <f>Разбивка_по_щитам!I1510</f>
      </c>
      <c r="G1505" s="20">
        <f>Разбивка_по_щитам!J1510</f>
      </c>
      <c r="H1505" s="20">
        <f>Разбивка_по_щитам!K1510</f>
      </c>
      <c r="I1505" s="20">
        <f>Разбивка_по_щитам!L1510</f>
      </c>
      <c r="J1505" s="20">
        <f>Разбивка_по_щитам!M1510</f>
      </c>
      <c r="K1505" s="20">
        <f>Разбивка_по_щитам!N1510</f>
      </c>
      <c r="L1505" s="20"/>
      <c r="M1505" s="20">
        <f>Разбивка_по_щитам!P1510</f>
      </c>
      <c r="N1505" s="20"/>
    </row>
    <row r="1506" spans="2:14" x14ac:dyDescent="0.25">
      <c r="B1506" s="20">
        <f>Разбивка_по_щитам!B1511</f>
      </c>
      <c r="C1506" s="20">
        <f>Разбивка_по_щитам!C1511</f>
      </c>
      <c r="D1506" s="20">
        <f>Разбивка_по_щитам!F1511</f>
      </c>
      <c r="E1506" s="20">
        <f>Разбивка_по_щитам!H1511</f>
      </c>
      <c r="F1506" s="20">
        <f>Разбивка_по_щитам!I1511</f>
      </c>
      <c r="G1506" s="20">
        <f>Разбивка_по_щитам!J1511</f>
      </c>
      <c r="H1506" s="20">
        <f>Разбивка_по_щитам!K1511</f>
      </c>
      <c r="I1506" s="20">
        <f>Разбивка_по_щитам!L1511</f>
      </c>
      <c r="J1506" s="20">
        <f>Разбивка_по_щитам!M1511</f>
      </c>
      <c r="K1506" s="20">
        <f>Разбивка_по_щитам!N1511</f>
      </c>
      <c r="L1506" s="20"/>
      <c r="M1506" s="20">
        <f>Разбивка_по_щитам!P1511</f>
      </c>
      <c r="N1506" s="20"/>
    </row>
    <row r="1507" spans="2:14" x14ac:dyDescent="0.25">
      <c r="B1507" s="20">
        <f>Разбивка_по_щитам!B1512</f>
      </c>
      <c r="C1507" s="20">
        <f>Разбивка_по_щитам!C1512</f>
      </c>
      <c r="D1507" s="20">
        <f>Разбивка_по_щитам!F1512</f>
      </c>
      <c r="E1507" s="20">
        <f>Разбивка_по_щитам!H1512</f>
      </c>
      <c r="F1507" s="20">
        <f>Разбивка_по_щитам!I1512</f>
      </c>
      <c r="G1507" s="20">
        <f>Разбивка_по_щитам!J1512</f>
      </c>
      <c r="H1507" s="20">
        <f>Разбивка_по_щитам!K1512</f>
      </c>
      <c r="I1507" s="20">
        <f>Разбивка_по_щитам!L1512</f>
      </c>
      <c r="J1507" s="20">
        <f>Разбивка_по_щитам!M1512</f>
      </c>
      <c r="K1507" s="20">
        <f>Разбивка_по_щитам!N1512</f>
      </c>
      <c r="L1507" s="20"/>
      <c r="M1507" s="20">
        <f>Разбивка_по_щитам!P1512</f>
      </c>
      <c r="N1507" s="20"/>
    </row>
    <row r="1508" spans="2:14" x14ac:dyDescent="0.25">
      <c r="B1508" s="20">
        <f>Разбивка_по_щитам!B1513</f>
      </c>
      <c r="C1508" s="20">
        <f>Разбивка_по_щитам!C1513</f>
      </c>
      <c r="D1508" s="20">
        <f>Разбивка_по_щитам!F1513</f>
      </c>
      <c r="E1508" s="20">
        <f>Разбивка_по_щитам!H1513</f>
      </c>
      <c r="F1508" s="20">
        <f>Разбивка_по_щитам!I1513</f>
      </c>
      <c r="G1508" s="20">
        <f>Разбивка_по_щитам!J1513</f>
      </c>
      <c r="H1508" s="20">
        <f>Разбивка_по_щитам!K1513</f>
      </c>
      <c r="I1508" s="20">
        <f>Разбивка_по_щитам!L1513</f>
      </c>
      <c r="J1508" s="20">
        <f>Разбивка_по_щитам!M1513</f>
      </c>
      <c r="K1508" s="20">
        <f>Разбивка_по_щитам!N1513</f>
      </c>
      <c r="L1508" s="20"/>
      <c r="M1508" s="20">
        <f>Разбивка_по_щитам!P1513</f>
      </c>
      <c r="N1508" s="20"/>
    </row>
    <row r="1509" spans="2:14" x14ac:dyDescent="0.25">
      <c r="B1509" s="20">
        <f>Разбивка_по_щитам!B1514</f>
      </c>
      <c r="C1509" s="20">
        <f>Разбивка_по_щитам!C1514</f>
      </c>
      <c r="D1509" s="20">
        <f>Разбивка_по_щитам!F1514</f>
      </c>
      <c r="E1509" s="20">
        <f>Разбивка_по_щитам!H1514</f>
      </c>
      <c r="F1509" s="20">
        <f>Разбивка_по_щитам!I1514</f>
      </c>
      <c r="G1509" s="20">
        <f>Разбивка_по_щитам!J1514</f>
      </c>
      <c r="H1509" s="20">
        <f>Разбивка_по_щитам!K1514</f>
      </c>
      <c r="I1509" s="20">
        <f>Разбивка_по_щитам!L1514</f>
      </c>
      <c r="J1509" s="20">
        <f>Разбивка_по_щитам!M1514</f>
      </c>
      <c r="K1509" s="20">
        <f>Разбивка_по_щитам!N1514</f>
      </c>
      <c r="L1509" s="20"/>
      <c r="M1509" s="20">
        <f>Разбивка_по_щитам!P1514</f>
      </c>
      <c r="N1509" s="20"/>
    </row>
    <row r="1510" spans="2:14" x14ac:dyDescent="0.25">
      <c r="B1510" s="20">
        <f>Разбивка_по_щитам!B1515</f>
      </c>
      <c r="C1510" s="20">
        <f>Разбивка_по_щитам!C1515</f>
      </c>
      <c r="D1510" s="20">
        <f>Разбивка_по_щитам!F1515</f>
      </c>
      <c r="E1510" s="20">
        <f>Разбивка_по_щитам!H1515</f>
      </c>
      <c r="F1510" s="20">
        <f>Разбивка_по_щитам!I1515</f>
      </c>
      <c r="G1510" s="20">
        <f>Разбивка_по_щитам!J1515</f>
      </c>
      <c r="H1510" s="20">
        <f>Разбивка_по_щитам!K1515</f>
      </c>
      <c r="I1510" s="20">
        <f>Разбивка_по_щитам!L1515</f>
      </c>
      <c r="J1510" s="20">
        <f>Разбивка_по_щитам!M1515</f>
      </c>
      <c r="K1510" s="20">
        <f>Разбивка_по_щитам!N1515</f>
      </c>
      <c r="L1510" s="20"/>
      <c r="M1510" s="20">
        <f>Разбивка_по_щитам!P1515</f>
      </c>
      <c r="N1510" s="20"/>
    </row>
    <row r="1511" spans="2:14" x14ac:dyDescent="0.25">
      <c r="B1511" s="20">
        <f>Разбивка_по_щитам!B1516</f>
      </c>
      <c r="C1511" s="20">
        <f>Разбивка_по_щитам!C1516</f>
      </c>
      <c r="D1511" s="20">
        <f>Разбивка_по_щитам!F1516</f>
      </c>
      <c r="E1511" s="20">
        <f>Разбивка_по_щитам!H1516</f>
      </c>
      <c r="F1511" s="20">
        <f>Разбивка_по_щитам!I1516</f>
      </c>
      <c r="G1511" s="20">
        <f>Разбивка_по_щитам!J1516</f>
      </c>
      <c r="H1511" s="20">
        <f>Разбивка_по_щитам!K1516</f>
      </c>
      <c r="I1511" s="20">
        <f>Разбивка_по_щитам!L1516</f>
      </c>
      <c r="J1511" s="20">
        <f>Разбивка_по_щитам!M1516</f>
      </c>
      <c r="K1511" s="20">
        <f>Разбивка_по_щитам!N1516</f>
      </c>
      <c r="L1511" s="20"/>
      <c r="M1511" s="20">
        <f>Разбивка_по_щитам!P1516</f>
      </c>
      <c r="N1511" s="20"/>
    </row>
    <row r="1512" spans="2:14" x14ac:dyDescent="0.25">
      <c r="B1512" s="20">
        <f>Разбивка_по_щитам!B1517</f>
      </c>
      <c r="C1512" s="20">
        <f>Разбивка_по_щитам!C1517</f>
      </c>
      <c r="D1512" s="20">
        <f>Разбивка_по_щитам!F1517</f>
      </c>
      <c r="E1512" s="20">
        <f>Разбивка_по_щитам!H1517</f>
      </c>
      <c r="F1512" s="20">
        <f>Разбивка_по_щитам!I1517</f>
      </c>
      <c r="G1512" s="20">
        <f>Разбивка_по_щитам!J1517</f>
      </c>
      <c r="H1512" s="20">
        <f>Разбивка_по_щитам!K1517</f>
      </c>
      <c r="I1512" s="20">
        <f>Разбивка_по_щитам!L1517</f>
      </c>
      <c r="J1512" s="20">
        <f>Разбивка_по_щитам!M1517</f>
      </c>
      <c r="K1512" s="20">
        <f>Разбивка_по_щитам!N1517</f>
      </c>
      <c r="L1512" s="20"/>
      <c r="M1512" s="20">
        <f>Разбивка_по_щитам!P1517</f>
      </c>
      <c r="N1512" s="20"/>
    </row>
    <row r="1513" spans="2:14" x14ac:dyDescent="0.25">
      <c r="B1513" s="20">
        <f>Разбивка_по_щитам!B1518</f>
      </c>
      <c r="C1513" s="20">
        <f>Разбивка_по_щитам!C1518</f>
      </c>
      <c r="D1513" s="20">
        <f>Разбивка_по_щитам!F1518</f>
      </c>
      <c r="E1513" s="20">
        <f>Разбивка_по_щитам!H1518</f>
      </c>
      <c r="F1513" s="20">
        <f>Разбивка_по_щитам!I1518</f>
      </c>
      <c r="G1513" s="20">
        <f>Разбивка_по_щитам!J1518</f>
      </c>
      <c r="H1513" s="20">
        <f>Разбивка_по_щитам!K1518</f>
      </c>
      <c r="I1513" s="20">
        <f>Разбивка_по_щитам!L1518</f>
      </c>
      <c r="J1513" s="20">
        <f>Разбивка_по_щитам!M1518</f>
      </c>
      <c r="K1513" s="20">
        <f>Разбивка_по_щитам!N1518</f>
      </c>
      <c r="L1513" s="20"/>
      <c r="M1513" s="20">
        <f>Разбивка_по_щитам!P1518</f>
      </c>
      <c r="N1513" s="20"/>
    </row>
    <row r="1514" spans="2:14" x14ac:dyDescent="0.25">
      <c r="B1514" s="20">
        <f>Разбивка_по_щитам!B1519</f>
      </c>
      <c r="C1514" s="20">
        <f>Разбивка_по_щитам!C1519</f>
      </c>
      <c r="D1514" s="20">
        <f>Разбивка_по_щитам!F1519</f>
      </c>
      <c r="E1514" s="20">
        <f>Разбивка_по_щитам!H1519</f>
      </c>
      <c r="F1514" s="20">
        <f>Разбивка_по_щитам!I1519</f>
      </c>
      <c r="G1514" s="20">
        <f>Разбивка_по_щитам!J1519</f>
      </c>
      <c r="H1514" s="20">
        <f>Разбивка_по_щитам!K1519</f>
      </c>
      <c r="I1514" s="20">
        <f>Разбивка_по_щитам!L1519</f>
      </c>
      <c r="J1514" s="20">
        <f>Разбивка_по_щитам!M1519</f>
      </c>
      <c r="K1514" s="20">
        <f>Разбивка_по_щитам!N1519</f>
      </c>
      <c r="L1514" s="20"/>
      <c r="M1514" s="20">
        <f>Разбивка_по_щитам!P1519</f>
      </c>
      <c r="N1514" s="20"/>
    </row>
    <row r="1515" spans="2:14" x14ac:dyDescent="0.25">
      <c r="B1515" s="20">
        <f>Разбивка_по_щитам!B1520</f>
      </c>
      <c r="C1515" s="20">
        <f>Разбивка_по_щитам!C1520</f>
      </c>
      <c r="D1515" s="20">
        <f>Разбивка_по_щитам!F1520</f>
      </c>
      <c r="E1515" s="20">
        <f>Разбивка_по_щитам!H1520</f>
      </c>
      <c r="F1515" s="20">
        <f>Разбивка_по_щитам!I1520</f>
      </c>
      <c r="G1515" s="20">
        <f>Разбивка_по_щитам!J1520</f>
      </c>
      <c r="H1515" s="20">
        <f>Разбивка_по_щитам!K1520</f>
      </c>
      <c r="I1515" s="20">
        <f>Разбивка_по_щитам!L1520</f>
      </c>
      <c r="J1515" s="20">
        <f>Разбивка_по_щитам!M1520</f>
      </c>
      <c r="K1515" s="20">
        <f>Разбивка_по_щитам!N1520</f>
      </c>
      <c r="L1515" s="20"/>
      <c r="M1515" s="20">
        <f>Разбивка_по_щитам!P1520</f>
      </c>
      <c r="N1515" s="20"/>
    </row>
    <row r="1516" spans="2:14" x14ac:dyDescent="0.25">
      <c r="B1516" s="20">
        <f>Разбивка_по_щитам!B1521</f>
      </c>
      <c r="C1516" s="20">
        <f>Разбивка_по_щитам!C1521</f>
      </c>
      <c r="D1516" s="20">
        <f>Разбивка_по_щитам!F1521</f>
      </c>
      <c r="E1516" s="20">
        <f>Разбивка_по_щитам!H1521</f>
      </c>
      <c r="F1516" s="20">
        <f>Разбивка_по_щитам!I1521</f>
      </c>
      <c r="G1516" s="20">
        <f>Разбивка_по_щитам!J1521</f>
      </c>
      <c r="H1516" s="20">
        <f>Разбивка_по_щитам!K1521</f>
      </c>
      <c r="I1516" s="20">
        <f>Разбивка_по_щитам!L1521</f>
      </c>
      <c r="J1516" s="20">
        <f>Разбивка_по_щитам!M1521</f>
      </c>
      <c r="K1516" s="20">
        <f>Разбивка_по_щитам!N1521</f>
      </c>
      <c r="L1516" s="20"/>
      <c r="M1516" s="20">
        <f>Разбивка_по_щитам!P1521</f>
      </c>
      <c r="N1516" s="20"/>
    </row>
    <row r="1517" spans="2:14" x14ac:dyDescent="0.25">
      <c r="B1517" s="20">
        <f>Разбивка_по_щитам!B1522</f>
      </c>
      <c r="C1517" s="20">
        <f>Разбивка_по_щитам!C1522</f>
      </c>
      <c r="D1517" s="20">
        <f>Разбивка_по_щитам!F1522</f>
      </c>
      <c r="E1517" s="20">
        <f>Разбивка_по_щитам!H1522</f>
      </c>
      <c r="F1517" s="20">
        <f>Разбивка_по_щитам!I1522</f>
      </c>
      <c r="G1517" s="20">
        <f>Разбивка_по_щитам!J1522</f>
      </c>
      <c r="H1517" s="20">
        <f>Разбивка_по_щитам!K1522</f>
      </c>
      <c r="I1517" s="20">
        <f>Разбивка_по_щитам!L1522</f>
      </c>
      <c r="J1517" s="20">
        <f>Разбивка_по_щитам!M1522</f>
      </c>
      <c r="K1517" s="20">
        <f>Разбивка_по_щитам!N1522</f>
      </c>
      <c r="L1517" s="20"/>
      <c r="M1517" s="20">
        <f>Разбивка_по_щитам!P1522</f>
      </c>
      <c r="N1517" s="20"/>
    </row>
    <row r="1518" spans="2:14" x14ac:dyDescent="0.25">
      <c r="B1518" s="20">
        <f>Разбивка_по_щитам!B1523</f>
      </c>
      <c r="C1518" s="20">
        <f>Разбивка_по_щитам!C1523</f>
      </c>
      <c r="D1518" s="20">
        <f>Разбивка_по_щитам!F1523</f>
      </c>
      <c r="E1518" s="20">
        <f>Разбивка_по_щитам!H1523</f>
      </c>
      <c r="F1518" s="20">
        <f>Разбивка_по_щитам!I1523</f>
      </c>
      <c r="G1518" s="20">
        <f>Разбивка_по_щитам!J1523</f>
      </c>
      <c r="H1518" s="20">
        <f>Разбивка_по_щитам!K1523</f>
      </c>
      <c r="I1518" s="20">
        <f>Разбивка_по_щитам!L1523</f>
      </c>
      <c r="J1518" s="20">
        <f>Разбивка_по_щитам!M1523</f>
      </c>
      <c r="K1518" s="20">
        <f>Разбивка_по_щитам!N1523</f>
      </c>
      <c r="L1518" s="20"/>
      <c r="M1518" s="20">
        <f>Разбивка_по_щитам!P1523</f>
      </c>
      <c r="N1518" s="20"/>
    </row>
    <row r="1519" spans="2:14" x14ac:dyDescent="0.25">
      <c r="B1519" s="20">
        <f>Разбивка_по_щитам!B1524</f>
      </c>
      <c r="C1519" s="20">
        <f>Разбивка_по_щитам!C1524</f>
      </c>
      <c r="D1519" s="20">
        <f>Разбивка_по_щитам!F1524</f>
      </c>
      <c r="E1519" s="20">
        <f>Разбивка_по_щитам!H1524</f>
      </c>
      <c r="F1519" s="20">
        <f>Разбивка_по_щитам!I1524</f>
      </c>
      <c r="G1519" s="20">
        <f>Разбивка_по_щитам!J1524</f>
      </c>
      <c r="H1519" s="20">
        <f>Разбивка_по_щитам!K1524</f>
      </c>
      <c r="I1519" s="20">
        <f>Разбивка_по_щитам!L1524</f>
      </c>
      <c r="J1519" s="20">
        <f>Разбивка_по_щитам!M1524</f>
      </c>
      <c r="K1519" s="20">
        <f>Разбивка_по_щитам!N1524</f>
      </c>
      <c r="L1519" s="20"/>
      <c r="M1519" s="20">
        <f>Разбивка_по_щитам!P1524</f>
      </c>
      <c r="N1519" s="20"/>
    </row>
    <row r="1520" spans="2:14" x14ac:dyDescent="0.25">
      <c r="B1520" s="20">
        <f>Разбивка_по_щитам!B1525</f>
      </c>
      <c r="C1520" s="20">
        <f>Разбивка_по_щитам!C1525</f>
      </c>
      <c r="D1520" s="20">
        <f>Разбивка_по_щитам!F1525</f>
      </c>
      <c r="E1520" s="20">
        <f>Разбивка_по_щитам!H1525</f>
      </c>
      <c r="F1520" s="20">
        <f>Разбивка_по_щитам!I1525</f>
      </c>
      <c r="G1520" s="20">
        <f>Разбивка_по_щитам!J1525</f>
      </c>
      <c r="H1520" s="20">
        <f>Разбивка_по_щитам!K1525</f>
      </c>
      <c r="I1520" s="20">
        <f>Разбивка_по_щитам!L1525</f>
      </c>
      <c r="J1520" s="20">
        <f>Разбивка_по_щитам!M1525</f>
      </c>
      <c r="K1520" s="20">
        <f>Разбивка_по_щитам!N1525</f>
      </c>
      <c r="L1520" s="20"/>
      <c r="M1520" s="20">
        <f>Разбивка_по_щитам!P1525</f>
      </c>
      <c r="N1520" s="20"/>
    </row>
    <row r="1521" spans="2:14" x14ac:dyDescent="0.25">
      <c r="B1521" s="20">
        <f>Разбивка_по_щитам!B1526</f>
      </c>
      <c r="C1521" s="20">
        <f>Разбивка_по_щитам!C1526</f>
      </c>
      <c r="D1521" s="20">
        <f>Разбивка_по_щитам!F1526</f>
      </c>
      <c r="E1521" s="20">
        <f>Разбивка_по_щитам!H1526</f>
      </c>
      <c r="F1521" s="20">
        <f>Разбивка_по_щитам!I1526</f>
      </c>
      <c r="G1521" s="20">
        <f>Разбивка_по_щитам!J1526</f>
      </c>
      <c r="H1521" s="20">
        <f>Разбивка_по_щитам!K1526</f>
      </c>
      <c r="I1521" s="20">
        <f>Разбивка_по_щитам!L1526</f>
      </c>
      <c r="J1521" s="20">
        <f>Разбивка_по_щитам!M1526</f>
      </c>
      <c r="K1521" s="20">
        <f>Разбивка_по_щитам!N1526</f>
      </c>
      <c r="L1521" s="20"/>
      <c r="M1521" s="20">
        <f>Разбивка_по_щитам!P1526</f>
      </c>
      <c r="N1521" s="20"/>
    </row>
    <row r="1522" spans="2:14" x14ac:dyDescent="0.25">
      <c r="B1522" s="20">
        <f>Разбивка_по_щитам!B1527</f>
      </c>
      <c r="C1522" s="20">
        <f>Разбивка_по_щитам!C1527</f>
      </c>
      <c r="D1522" s="20">
        <f>Разбивка_по_щитам!F1527</f>
      </c>
      <c r="E1522" s="20">
        <f>Разбивка_по_щитам!H1527</f>
      </c>
      <c r="F1522" s="20">
        <f>Разбивка_по_щитам!I1527</f>
      </c>
      <c r="G1522" s="20">
        <f>Разбивка_по_щитам!J1527</f>
      </c>
      <c r="H1522" s="20">
        <f>Разбивка_по_щитам!K1527</f>
      </c>
      <c r="I1522" s="20">
        <f>Разбивка_по_щитам!L1527</f>
      </c>
      <c r="J1522" s="20">
        <f>Разбивка_по_щитам!M1527</f>
      </c>
      <c r="K1522" s="20">
        <f>Разбивка_по_щитам!N1527</f>
      </c>
      <c r="L1522" s="20"/>
      <c r="M1522" s="20">
        <f>Разбивка_по_щитам!P1527</f>
      </c>
      <c r="N1522" s="20"/>
    </row>
    <row r="1523" spans="2:14" x14ac:dyDescent="0.25">
      <c r="B1523" s="20">
        <f>Разбивка_по_щитам!B1528</f>
      </c>
      <c r="C1523" s="20">
        <f>Разбивка_по_щитам!C1528</f>
      </c>
      <c r="D1523" s="20">
        <f>Разбивка_по_щитам!F1528</f>
      </c>
      <c r="E1523" s="20">
        <f>Разбивка_по_щитам!H1528</f>
      </c>
      <c r="F1523" s="20">
        <f>Разбивка_по_щитам!I1528</f>
      </c>
      <c r="G1523" s="20">
        <f>Разбивка_по_щитам!J1528</f>
      </c>
      <c r="H1523" s="20">
        <f>Разбивка_по_щитам!K1528</f>
      </c>
      <c r="I1523" s="20">
        <f>Разбивка_по_щитам!L1528</f>
      </c>
      <c r="J1523" s="20">
        <f>Разбивка_по_щитам!M1528</f>
      </c>
      <c r="K1523" s="20">
        <f>Разбивка_по_щитам!N1528</f>
      </c>
      <c r="L1523" s="20"/>
      <c r="M1523" s="20">
        <f>Разбивка_по_щитам!P1528</f>
      </c>
      <c r="N1523" s="20"/>
    </row>
    <row r="1524" spans="2:14" x14ac:dyDescent="0.25">
      <c r="B1524" s="20">
        <f>Разбивка_по_щитам!B1529</f>
      </c>
      <c r="C1524" s="20">
        <f>Разбивка_по_щитам!C1529</f>
      </c>
      <c r="D1524" s="20">
        <f>Разбивка_по_щитам!F1529</f>
      </c>
      <c r="E1524" s="20">
        <f>Разбивка_по_щитам!H1529</f>
      </c>
      <c r="F1524" s="20">
        <f>Разбивка_по_щитам!I1529</f>
      </c>
      <c r="G1524" s="20">
        <f>Разбивка_по_щитам!J1529</f>
      </c>
      <c r="H1524" s="20">
        <f>Разбивка_по_щитам!K1529</f>
      </c>
      <c r="I1524" s="20">
        <f>Разбивка_по_щитам!L1529</f>
      </c>
      <c r="J1524" s="20">
        <f>Разбивка_по_щитам!M1529</f>
      </c>
      <c r="K1524" s="20">
        <f>Разбивка_по_щитам!N1529</f>
      </c>
      <c r="L1524" s="20"/>
      <c r="M1524" s="20">
        <f>Разбивка_по_щитам!P1529</f>
      </c>
      <c r="N1524" s="20"/>
    </row>
    <row r="1525" spans="2:14" x14ac:dyDescent="0.25">
      <c r="B1525" s="20">
        <f>Разбивка_по_щитам!B1530</f>
      </c>
      <c r="C1525" s="20">
        <f>Разбивка_по_щитам!C1530</f>
      </c>
      <c r="D1525" s="20">
        <f>Разбивка_по_щитам!F1530</f>
      </c>
      <c r="E1525" s="20">
        <f>Разбивка_по_щитам!H1530</f>
      </c>
      <c r="F1525" s="20">
        <f>Разбивка_по_щитам!I1530</f>
      </c>
      <c r="G1525" s="20">
        <f>Разбивка_по_щитам!J1530</f>
      </c>
      <c r="H1525" s="20">
        <f>Разбивка_по_щитам!K1530</f>
      </c>
      <c r="I1525" s="20">
        <f>Разбивка_по_щитам!L1530</f>
      </c>
      <c r="J1525" s="20">
        <f>Разбивка_по_щитам!M1530</f>
      </c>
      <c r="K1525" s="20">
        <f>Разбивка_по_щитам!N1530</f>
      </c>
      <c r="L1525" s="20"/>
      <c r="M1525" s="20">
        <f>Разбивка_по_щитам!P1530</f>
      </c>
      <c r="N1525" s="20"/>
    </row>
    <row r="1526" spans="2:14" x14ac:dyDescent="0.25">
      <c r="B1526" s="20">
        <f>Разбивка_по_щитам!B1531</f>
      </c>
      <c r="C1526" s="20">
        <f>Разбивка_по_щитам!C1531</f>
      </c>
      <c r="D1526" s="20">
        <f>Разбивка_по_щитам!F1531</f>
      </c>
      <c r="E1526" s="20">
        <f>Разбивка_по_щитам!H1531</f>
      </c>
      <c r="F1526" s="20">
        <f>Разбивка_по_щитам!I1531</f>
      </c>
      <c r="G1526" s="20">
        <f>Разбивка_по_щитам!J1531</f>
      </c>
      <c r="H1526" s="20">
        <f>Разбивка_по_щитам!K1531</f>
      </c>
      <c r="I1526" s="20">
        <f>Разбивка_по_щитам!L1531</f>
      </c>
      <c r="J1526" s="20">
        <f>Разбивка_по_щитам!M1531</f>
      </c>
      <c r="K1526" s="20">
        <f>Разбивка_по_щитам!N1531</f>
      </c>
      <c r="L1526" s="20"/>
      <c r="M1526" s="20">
        <f>Разбивка_по_щитам!P1531</f>
      </c>
      <c r="N1526" s="20"/>
    </row>
    <row r="1527" spans="2:14" x14ac:dyDescent="0.25">
      <c r="B1527" s="20">
        <f>Разбивка_по_щитам!B1532</f>
      </c>
      <c r="C1527" s="20">
        <f>Разбивка_по_щитам!C1532</f>
      </c>
      <c r="D1527" s="20">
        <f>Разбивка_по_щитам!F1532</f>
      </c>
      <c r="E1527" s="20">
        <f>Разбивка_по_щитам!H1532</f>
      </c>
      <c r="F1527" s="20">
        <f>Разбивка_по_щитам!I1532</f>
      </c>
      <c r="G1527" s="20">
        <f>Разбивка_по_щитам!J1532</f>
      </c>
      <c r="H1527" s="20">
        <f>Разбивка_по_щитам!K1532</f>
      </c>
      <c r="I1527" s="20">
        <f>Разбивка_по_щитам!L1532</f>
      </c>
      <c r="J1527" s="20">
        <f>Разбивка_по_щитам!M1532</f>
      </c>
      <c r="K1527" s="20">
        <f>Разбивка_по_щитам!N1532</f>
      </c>
      <c r="L1527" s="20"/>
      <c r="M1527" s="20">
        <f>Разбивка_по_щитам!P1532</f>
      </c>
      <c r="N1527" s="20"/>
    </row>
    <row r="1528" spans="2:14" x14ac:dyDescent="0.25">
      <c r="B1528" s="20">
        <f>Разбивка_по_щитам!B1533</f>
      </c>
      <c r="C1528" s="20">
        <f>Разбивка_по_щитам!C1533</f>
      </c>
      <c r="D1528" s="20">
        <f>Разбивка_по_щитам!F1533</f>
      </c>
      <c r="E1528" s="20">
        <f>Разбивка_по_щитам!H1533</f>
      </c>
      <c r="F1528" s="20">
        <f>Разбивка_по_щитам!I1533</f>
      </c>
      <c r="G1528" s="20">
        <f>Разбивка_по_щитам!J1533</f>
      </c>
      <c r="H1528" s="20">
        <f>Разбивка_по_щитам!K1533</f>
      </c>
      <c r="I1528" s="20">
        <f>Разбивка_по_щитам!L1533</f>
      </c>
      <c r="J1528" s="20">
        <f>Разбивка_по_щитам!M1533</f>
      </c>
      <c r="K1528" s="20">
        <f>Разбивка_по_щитам!N1533</f>
      </c>
      <c r="L1528" s="20"/>
      <c r="M1528" s="20">
        <f>Разбивка_по_щитам!P1533</f>
      </c>
      <c r="N1528" s="20"/>
    </row>
    <row r="1529" spans="2:14" x14ac:dyDescent="0.25">
      <c r="B1529" s="20">
        <f>Разбивка_по_щитам!B1534</f>
      </c>
      <c r="C1529" s="20">
        <f>Разбивка_по_щитам!C1534</f>
      </c>
      <c r="D1529" s="20">
        <f>Разбивка_по_щитам!F1534</f>
      </c>
      <c r="E1529" s="20">
        <f>Разбивка_по_щитам!H1534</f>
      </c>
      <c r="F1529" s="20">
        <f>Разбивка_по_щитам!I1534</f>
      </c>
      <c r="G1529" s="20">
        <f>Разбивка_по_щитам!J1534</f>
      </c>
      <c r="H1529" s="20">
        <f>Разбивка_по_щитам!K1534</f>
      </c>
      <c r="I1529" s="20">
        <f>Разбивка_по_щитам!L1534</f>
      </c>
      <c r="J1529" s="20">
        <f>Разбивка_по_щитам!M1534</f>
      </c>
      <c r="K1529" s="20">
        <f>Разбивка_по_щитам!N1534</f>
      </c>
      <c r="L1529" s="20"/>
      <c r="M1529" s="20">
        <f>Разбивка_по_щитам!P1534</f>
      </c>
      <c r="N1529" s="20"/>
    </row>
    <row r="1530" spans="2:14" x14ac:dyDescent="0.25">
      <c r="B1530" s="20">
        <f>Разбивка_по_щитам!B1535</f>
      </c>
      <c r="C1530" s="20">
        <f>Разбивка_по_щитам!C1535</f>
      </c>
      <c r="D1530" s="20">
        <f>Разбивка_по_щитам!F1535</f>
      </c>
      <c r="E1530" s="20">
        <f>Разбивка_по_щитам!H1535</f>
      </c>
      <c r="F1530" s="20">
        <f>Разбивка_по_щитам!I1535</f>
      </c>
      <c r="G1530" s="20">
        <f>Разбивка_по_щитам!J1535</f>
      </c>
      <c r="H1530" s="20">
        <f>Разбивка_по_щитам!K1535</f>
      </c>
      <c r="I1530" s="20">
        <f>Разбивка_по_щитам!L1535</f>
      </c>
      <c r="J1530" s="20">
        <f>Разбивка_по_щитам!M1535</f>
      </c>
      <c r="K1530" s="20">
        <f>Разбивка_по_щитам!N1535</f>
      </c>
      <c r="L1530" s="20"/>
      <c r="M1530" s="20">
        <f>Разбивка_по_щитам!P1535</f>
      </c>
      <c r="N1530" s="20"/>
    </row>
    <row r="1531" spans="2:14" x14ac:dyDescent="0.25">
      <c r="B1531" s="20">
        <f>Разбивка_по_щитам!B1536</f>
      </c>
      <c r="C1531" s="20">
        <f>Разбивка_по_щитам!C1536</f>
      </c>
      <c r="D1531" s="20">
        <f>Разбивка_по_щитам!F1536</f>
      </c>
      <c r="E1531" s="20">
        <f>Разбивка_по_щитам!H1536</f>
      </c>
      <c r="F1531" s="20">
        <f>Разбивка_по_щитам!I1536</f>
      </c>
      <c r="G1531" s="20">
        <f>Разбивка_по_щитам!J1536</f>
      </c>
      <c r="H1531" s="20">
        <f>Разбивка_по_щитам!K1536</f>
      </c>
      <c r="I1531" s="20">
        <f>Разбивка_по_щитам!L1536</f>
      </c>
      <c r="J1531" s="20">
        <f>Разбивка_по_щитам!M1536</f>
      </c>
      <c r="K1531" s="20">
        <f>Разбивка_по_щитам!N1536</f>
      </c>
      <c r="L1531" s="20"/>
      <c r="M1531" s="20">
        <f>Разбивка_по_щитам!P1536</f>
      </c>
      <c r="N1531" s="20"/>
    </row>
    <row r="1532" spans="2:14" x14ac:dyDescent="0.25">
      <c r="B1532" s="20">
        <f>Разбивка_по_щитам!B1537</f>
      </c>
      <c r="C1532" s="20">
        <f>Разбивка_по_щитам!C1537</f>
      </c>
      <c r="D1532" s="20">
        <f>Разбивка_по_щитам!F1537</f>
      </c>
      <c r="E1532" s="20">
        <f>Разбивка_по_щитам!H1537</f>
      </c>
      <c r="F1532" s="20">
        <f>Разбивка_по_щитам!I1537</f>
      </c>
      <c r="G1532" s="20">
        <f>Разбивка_по_щитам!J1537</f>
      </c>
      <c r="H1532" s="20">
        <f>Разбивка_по_щитам!K1537</f>
      </c>
      <c r="I1532" s="20">
        <f>Разбивка_по_щитам!L1537</f>
      </c>
      <c r="J1532" s="20">
        <f>Разбивка_по_щитам!M1537</f>
      </c>
      <c r="K1532" s="20">
        <f>Разбивка_по_щитам!N1537</f>
      </c>
      <c r="L1532" s="20"/>
      <c r="M1532" s="20">
        <f>Разбивка_по_щитам!P1537</f>
      </c>
      <c r="N1532" s="20"/>
    </row>
    <row r="1533" spans="2:14" x14ac:dyDescent="0.25">
      <c r="B1533" s="20">
        <f>Разбивка_по_щитам!B1538</f>
      </c>
      <c r="C1533" s="20">
        <f>Разбивка_по_щитам!C1538</f>
      </c>
      <c r="D1533" s="20">
        <f>Разбивка_по_щитам!F1538</f>
      </c>
      <c r="E1533" s="20">
        <f>Разбивка_по_щитам!H1538</f>
      </c>
      <c r="F1533" s="20">
        <f>Разбивка_по_щитам!I1538</f>
      </c>
      <c r="G1533" s="20">
        <f>Разбивка_по_щитам!J1538</f>
      </c>
      <c r="H1533" s="20">
        <f>Разбивка_по_щитам!K1538</f>
      </c>
      <c r="I1533" s="20">
        <f>Разбивка_по_щитам!L1538</f>
      </c>
      <c r="J1533" s="20">
        <f>Разбивка_по_щитам!M1538</f>
      </c>
      <c r="K1533" s="20">
        <f>Разбивка_по_щитам!N1538</f>
      </c>
      <c r="L1533" s="20"/>
      <c r="M1533" s="20">
        <f>Разбивка_по_щитам!P1538</f>
      </c>
      <c r="N1533" s="20"/>
    </row>
    <row r="1534" spans="2:14" x14ac:dyDescent="0.25">
      <c r="B1534" s="20">
        <f>Разбивка_по_щитам!B1539</f>
      </c>
      <c r="C1534" s="20">
        <f>Разбивка_по_щитам!C1539</f>
      </c>
      <c r="D1534" s="20">
        <f>Разбивка_по_щитам!F1539</f>
      </c>
      <c r="E1534" s="20">
        <f>Разбивка_по_щитам!H1539</f>
      </c>
      <c r="F1534" s="20">
        <f>Разбивка_по_щитам!I1539</f>
      </c>
      <c r="G1534" s="20">
        <f>Разбивка_по_щитам!J1539</f>
      </c>
      <c r="H1534" s="20">
        <f>Разбивка_по_щитам!K1539</f>
      </c>
      <c r="I1534" s="20">
        <f>Разбивка_по_щитам!L1539</f>
      </c>
      <c r="J1534" s="20">
        <f>Разбивка_по_щитам!M1539</f>
      </c>
      <c r="K1534" s="20">
        <f>Разбивка_по_щитам!N1539</f>
      </c>
      <c r="L1534" s="20"/>
      <c r="M1534" s="20">
        <f>Разбивка_по_щитам!P1539</f>
      </c>
      <c r="N1534" s="20"/>
    </row>
    <row r="1535" spans="2:14" x14ac:dyDescent="0.25">
      <c r="B1535" s="20">
        <f>Разбивка_по_щитам!B1540</f>
      </c>
      <c r="C1535" s="20">
        <f>Разбивка_по_щитам!C1540</f>
      </c>
      <c r="D1535" s="20">
        <f>Разбивка_по_щитам!F1540</f>
      </c>
      <c r="E1535" s="20">
        <f>Разбивка_по_щитам!H1540</f>
      </c>
      <c r="F1535" s="20">
        <f>Разбивка_по_щитам!I1540</f>
      </c>
      <c r="G1535" s="20">
        <f>Разбивка_по_щитам!J1540</f>
      </c>
      <c r="H1535" s="20">
        <f>Разбивка_по_щитам!K1540</f>
      </c>
      <c r="I1535" s="20">
        <f>Разбивка_по_щитам!L1540</f>
      </c>
      <c r="J1535" s="20">
        <f>Разбивка_по_щитам!M1540</f>
      </c>
      <c r="K1535" s="20">
        <f>Разбивка_по_щитам!N1540</f>
      </c>
      <c r="L1535" s="20"/>
      <c r="M1535" s="20">
        <f>Разбивка_по_щитам!P1540</f>
      </c>
      <c r="N1535" s="20"/>
    </row>
    <row r="1536" spans="2:14" x14ac:dyDescent="0.25">
      <c r="B1536" s="20">
        <f>Разбивка_по_щитам!B1541</f>
      </c>
      <c r="C1536" s="20">
        <f>Разбивка_по_щитам!C1541</f>
      </c>
      <c r="D1536" s="20">
        <f>Разбивка_по_щитам!F1541</f>
      </c>
      <c r="E1536" s="20">
        <f>Разбивка_по_щитам!H1541</f>
      </c>
      <c r="F1536" s="20">
        <f>Разбивка_по_щитам!I1541</f>
      </c>
      <c r="G1536" s="20">
        <f>Разбивка_по_щитам!J1541</f>
      </c>
      <c r="H1536" s="20">
        <f>Разбивка_по_щитам!K1541</f>
      </c>
      <c r="I1536" s="20">
        <f>Разбивка_по_щитам!L1541</f>
      </c>
      <c r="J1536" s="20">
        <f>Разбивка_по_щитам!M1541</f>
      </c>
      <c r="K1536" s="20">
        <f>Разбивка_по_щитам!N1541</f>
      </c>
      <c r="L1536" s="20"/>
      <c r="M1536" s="20">
        <f>Разбивка_по_щитам!P1541</f>
      </c>
      <c r="N1536" s="20"/>
    </row>
    <row r="1537" spans="2:14" x14ac:dyDescent="0.25">
      <c r="B1537" s="20">
        <f>Разбивка_по_щитам!B1542</f>
      </c>
      <c r="C1537" s="20">
        <f>Разбивка_по_щитам!C1542</f>
      </c>
      <c r="D1537" s="20">
        <f>Разбивка_по_щитам!F1542</f>
      </c>
      <c r="E1537" s="20">
        <f>Разбивка_по_щитам!H1542</f>
      </c>
      <c r="F1537" s="20">
        <f>Разбивка_по_щитам!I1542</f>
      </c>
      <c r="G1537" s="20">
        <f>Разбивка_по_щитам!J1542</f>
      </c>
      <c r="H1537" s="20">
        <f>Разбивка_по_щитам!K1542</f>
      </c>
      <c r="I1537" s="20">
        <f>Разбивка_по_щитам!L1542</f>
      </c>
      <c r="J1537" s="20">
        <f>Разбивка_по_щитам!M1542</f>
      </c>
      <c r="K1537" s="20">
        <f>Разбивка_по_щитам!N1542</f>
      </c>
      <c r="L1537" s="20"/>
      <c r="M1537" s="20">
        <f>Разбивка_по_щитам!P1542</f>
      </c>
      <c r="N1537" s="20"/>
    </row>
    <row r="1538" spans="2:14" x14ac:dyDescent="0.25">
      <c r="B1538" s="20">
        <f>Разбивка_по_щитам!B1543</f>
      </c>
      <c r="C1538" s="20">
        <f>Разбивка_по_щитам!C1543</f>
      </c>
      <c r="D1538" s="20">
        <f>Разбивка_по_щитам!F1543</f>
      </c>
      <c r="E1538" s="20">
        <f>Разбивка_по_щитам!H1543</f>
      </c>
      <c r="F1538" s="20">
        <f>Разбивка_по_щитам!I1543</f>
      </c>
      <c r="G1538" s="20">
        <f>Разбивка_по_щитам!J1543</f>
      </c>
      <c r="H1538" s="20">
        <f>Разбивка_по_щитам!K1543</f>
      </c>
      <c r="I1538" s="20">
        <f>Разбивка_по_щитам!L1543</f>
      </c>
      <c r="J1538" s="20">
        <f>Разбивка_по_щитам!M1543</f>
      </c>
      <c r="K1538" s="20">
        <f>Разбивка_по_щитам!N1543</f>
      </c>
      <c r="L1538" s="20"/>
      <c r="M1538" s="20">
        <f>Разбивка_по_щитам!P1543</f>
      </c>
      <c r="N1538" s="20"/>
    </row>
    <row r="1539" spans="2:14" x14ac:dyDescent="0.25">
      <c r="B1539" s="20">
        <f>Разбивка_по_щитам!B1544</f>
      </c>
      <c r="C1539" s="20">
        <f>Разбивка_по_щитам!C1544</f>
      </c>
      <c r="D1539" s="20">
        <f>Разбивка_по_щитам!F1544</f>
      </c>
      <c r="E1539" s="20">
        <f>Разбивка_по_щитам!H1544</f>
      </c>
      <c r="F1539" s="20">
        <f>Разбивка_по_щитам!I1544</f>
      </c>
      <c r="G1539" s="20">
        <f>Разбивка_по_щитам!J1544</f>
      </c>
      <c r="H1539" s="20">
        <f>Разбивка_по_щитам!K1544</f>
      </c>
      <c r="I1539" s="20">
        <f>Разбивка_по_щитам!L1544</f>
      </c>
      <c r="J1539" s="20">
        <f>Разбивка_по_щитам!M1544</f>
      </c>
      <c r="K1539" s="20">
        <f>Разбивка_по_щитам!N1544</f>
      </c>
      <c r="L1539" s="20"/>
      <c r="M1539" s="20">
        <f>Разбивка_по_щитам!P1544</f>
      </c>
      <c r="N1539" s="20"/>
    </row>
    <row r="1540" spans="2:14" x14ac:dyDescent="0.25">
      <c r="B1540" s="20">
        <f>Разбивка_по_щитам!B1545</f>
      </c>
      <c r="C1540" s="20">
        <f>Разбивка_по_щитам!C1545</f>
      </c>
      <c r="D1540" s="20">
        <f>Разбивка_по_щитам!F1545</f>
      </c>
      <c r="E1540" s="20">
        <f>Разбивка_по_щитам!H1545</f>
      </c>
      <c r="F1540" s="20">
        <f>Разбивка_по_щитам!I1545</f>
      </c>
      <c r="G1540" s="20">
        <f>Разбивка_по_щитам!J1545</f>
      </c>
      <c r="H1540" s="20">
        <f>Разбивка_по_щитам!K1545</f>
      </c>
      <c r="I1540" s="20">
        <f>Разбивка_по_щитам!L1545</f>
      </c>
      <c r="J1540" s="20">
        <f>Разбивка_по_щитам!M1545</f>
      </c>
      <c r="K1540" s="20">
        <f>Разбивка_по_щитам!N1545</f>
      </c>
      <c r="L1540" s="20"/>
      <c r="M1540" s="20">
        <f>Разбивка_по_щитам!P1545</f>
      </c>
      <c r="N1540" s="20"/>
    </row>
    <row r="1541" spans="2:14" x14ac:dyDescent="0.25">
      <c r="B1541" s="20">
        <f>Разбивка_по_щитам!B1546</f>
      </c>
      <c r="C1541" s="20">
        <f>Разбивка_по_щитам!C1546</f>
      </c>
      <c r="D1541" s="20">
        <f>Разбивка_по_щитам!F1546</f>
      </c>
      <c r="E1541" s="20">
        <f>Разбивка_по_щитам!H1546</f>
      </c>
      <c r="F1541" s="20">
        <f>Разбивка_по_щитам!I1546</f>
      </c>
      <c r="G1541" s="20">
        <f>Разбивка_по_щитам!J1546</f>
      </c>
      <c r="H1541" s="20">
        <f>Разбивка_по_щитам!K1546</f>
      </c>
      <c r="I1541" s="20">
        <f>Разбивка_по_щитам!L1546</f>
      </c>
      <c r="J1541" s="20">
        <f>Разбивка_по_щитам!M1546</f>
      </c>
      <c r="K1541" s="20">
        <f>Разбивка_по_щитам!N1546</f>
      </c>
      <c r="L1541" s="20"/>
      <c r="M1541" s="20">
        <f>Разбивка_по_щитам!P1546</f>
      </c>
      <c r="N1541" s="20"/>
    </row>
    <row r="1542" spans="2:14" x14ac:dyDescent="0.25">
      <c r="B1542" s="20">
        <f>Разбивка_по_щитам!B1547</f>
      </c>
      <c r="C1542" s="20">
        <f>Разбивка_по_щитам!C1547</f>
      </c>
      <c r="D1542" s="20">
        <f>Разбивка_по_щитам!F1547</f>
      </c>
      <c r="E1542" s="20">
        <f>Разбивка_по_щитам!H1547</f>
      </c>
      <c r="F1542" s="20">
        <f>Разбивка_по_щитам!I1547</f>
      </c>
      <c r="G1542" s="20">
        <f>Разбивка_по_щитам!J1547</f>
      </c>
      <c r="H1542" s="20">
        <f>Разбивка_по_щитам!K1547</f>
      </c>
      <c r="I1542" s="20">
        <f>Разбивка_по_щитам!L1547</f>
      </c>
      <c r="J1542" s="20">
        <f>Разбивка_по_щитам!M1547</f>
      </c>
      <c r="K1542" s="20">
        <f>Разбивка_по_щитам!N1547</f>
      </c>
      <c r="L1542" s="20"/>
      <c r="M1542" s="20">
        <f>Разбивка_по_щитам!P1547</f>
      </c>
      <c r="N1542" s="20"/>
    </row>
    <row r="1543" spans="2:14" x14ac:dyDescent="0.25">
      <c r="B1543" s="20">
        <f>Разбивка_по_щитам!B1548</f>
      </c>
      <c r="C1543" s="20">
        <f>Разбивка_по_щитам!C1548</f>
      </c>
      <c r="D1543" s="20">
        <f>Разбивка_по_щитам!F1548</f>
      </c>
      <c r="E1543" s="20">
        <f>Разбивка_по_щитам!H1548</f>
      </c>
      <c r="F1543" s="20">
        <f>Разбивка_по_щитам!I1548</f>
      </c>
      <c r="G1543" s="20">
        <f>Разбивка_по_щитам!J1548</f>
      </c>
      <c r="H1543" s="20">
        <f>Разбивка_по_щитам!K1548</f>
      </c>
      <c r="I1543" s="20">
        <f>Разбивка_по_щитам!L1548</f>
      </c>
      <c r="J1543" s="20">
        <f>Разбивка_по_щитам!M1548</f>
      </c>
      <c r="K1543" s="20">
        <f>Разбивка_по_щитам!N1548</f>
      </c>
      <c r="L1543" s="20"/>
      <c r="M1543" s="20">
        <f>Разбивка_по_щитам!P1548</f>
      </c>
      <c r="N1543" s="20"/>
    </row>
    <row r="1544" spans="2:14" x14ac:dyDescent="0.25">
      <c r="B1544" s="20">
        <f>Разбивка_по_щитам!B1549</f>
      </c>
      <c r="C1544" s="20">
        <f>Разбивка_по_щитам!C1549</f>
      </c>
      <c r="D1544" s="20">
        <f>Разбивка_по_щитам!F1549</f>
      </c>
      <c r="E1544" s="20">
        <f>Разбивка_по_щитам!H1549</f>
      </c>
      <c r="F1544" s="20">
        <f>Разбивка_по_щитам!I1549</f>
      </c>
      <c r="G1544" s="20">
        <f>Разбивка_по_щитам!J1549</f>
      </c>
      <c r="H1544" s="20">
        <f>Разбивка_по_щитам!K1549</f>
      </c>
      <c r="I1544" s="20">
        <f>Разбивка_по_щитам!L1549</f>
      </c>
      <c r="J1544" s="20">
        <f>Разбивка_по_щитам!M1549</f>
      </c>
      <c r="K1544" s="20">
        <f>Разбивка_по_щитам!N1549</f>
      </c>
      <c r="L1544" s="20"/>
      <c r="M1544" s="20">
        <f>Разбивка_по_щитам!P1549</f>
      </c>
      <c r="N1544" s="20"/>
    </row>
    <row r="1545" spans="2:14" x14ac:dyDescent="0.25">
      <c r="B1545" s="20">
        <f>Разбивка_по_щитам!B1550</f>
      </c>
      <c r="C1545" s="20">
        <f>Разбивка_по_щитам!C1550</f>
      </c>
      <c r="D1545" s="20">
        <f>Разбивка_по_щитам!F1550</f>
      </c>
      <c r="E1545" s="20">
        <f>Разбивка_по_щитам!H1550</f>
      </c>
      <c r="F1545" s="20">
        <f>Разбивка_по_щитам!I1550</f>
      </c>
      <c r="G1545" s="20">
        <f>Разбивка_по_щитам!J1550</f>
      </c>
      <c r="H1545" s="20">
        <f>Разбивка_по_щитам!K1550</f>
      </c>
      <c r="I1545" s="20">
        <f>Разбивка_по_щитам!L1550</f>
      </c>
      <c r="J1545" s="20">
        <f>Разбивка_по_щитам!M1550</f>
      </c>
      <c r="K1545" s="20">
        <f>Разбивка_по_щитам!N1550</f>
      </c>
      <c r="L1545" s="20"/>
      <c r="M1545" s="20">
        <f>Разбивка_по_щитам!P1550</f>
      </c>
      <c r="N1545" s="20"/>
    </row>
    <row r="1546" spans="2:14" x14ac:dyDescent="0.25">
      <c r="B1546" s="20">
        <f>Разбивка_по_щитам!B1551</f>
      </c>
      <c r="C1546" s="20">
        <f>Разбивка_по_щитам!C1551</f>
      </c>
      <c r="D1546" s="20">
        <f>Разбивка_по_щитам!F1551</f>
      </c>
      <c r="E1546" s="20">
        <f>Разбивка_по_щитам!H1551</f>
      </c>
      <c r="F1546" s="20">
        <f>Разбивка_по_щитам!I1551</f>
      </c>
      <c r="G1546" s="20">
        <f>Разбивка_по_щитам!J1551</f>
      </c>
      <c r="H1546" s="20">
        <f>Разбивка_по_щитам!K1551</f>
      </c>
      <c r="I1546" s="20">
        <f>Разбивка_по_щитам!L1551</f>
      </c>
      <c r="J1546" s="20">
        <f>Разбивка_по_щитам!M1551</f>
      </c>
      <c r="K1546" s="20">
        <f>Разбивка_по_щитам!N1551</f>
      </c>
      <c r="L1546" s="20"/>
      <c r="M1546" s="20">
        <f>Разбивка_по_щитам!P1551</f>
      </c>
      <c r="N1546" s="20"/>
    </row>
    <row r="1547" spans="2:14" x14ac:dyDescent="0.25">
      <c r="B1547" s="20">
        <f>Разбивка_по_щитам!B1552</f>
      </c>
      <c r="C1547" s="20">
        <f>Разбивка_по_щитам!C1552</f>
      </c>
      <c r="D1547" s="20">
        <f>Разбивка_по_щитам!F1552</f>
      </c>
      <c r="E1547" s="20">
        <f>Разбивка_по_щитам!H1552</f>
      </c>
      <c r="F1547" s="20">
        <f>Разбивка_по_щитам!I1552</f>
      </c>
      <c r="G1547" s="20">
        <f>Разбивка_по_щитам!J1552</f>
      </c>
      <c r="H1547" s="20">
        <f>Разбивка_по_щитам!K1552</f>
      </c>
      <c r="I1547" s="20">
        <f>Разбивка_по_щитам!L1552</f>
      </c>
      <c r="J1547" s="20">
        <f>Разбивка_по_щитам!M1552</f>
      </c>
      <c r="K1547" s="20">
        <f>Разбивка_по_щитам!N1552</f>
      </c>
      <c r="L1547" s="20"/>
      <c r="M1547" s="20">
        <f>Разбивка_по_щитам!P1552</f>
      </c>
      <c r="N1547" s="20"/>
    </row>
    <row r="1548" spans="2:14" x14ac:dyDescent="0.25">
      <c r="B1548" s="20">
        <f>Разбивка_по_щитам!B1553</f>
      </c>
      <c r="C1548" s="20">
        <f>Разбивка_по_щитам!C1553</f>
      </c>
      <c r="D1548" s="20">
        <f>Разбивка_по_щитам!F1553</f>
      </c>
      <c r="E1548" s="20">
        <f>Разбивка_по_щитам!H1553</f>
      </c>
      <c r="F1548" s="20">
        <f>Разбивка_по_щитам!I1553</f>
      </c>
      <c r="G1548" s="20">
        <f>Разбивка_по_щитам!J1553</f>
      </c>
      <c r="H1548" s="20">
        <f>Разбивка_по_щитам!K1553</f>
      </c>
      <c r="I1548" s="20">
        <f>Разбивка_по_щитам!L1553</f>
      </c>
      <c r="J1548" s="20">
        <f>Разбивка_по_щитам!M1553</f>
      </c>
      <c r="K1548" s="20">
        <f>Разбивка_по_щитам!N1553</f>
      </c>
      <c r="L1548" s="20"/>
      <c r="M1548" s="20">
        <f>Разбивка_по_щитам!P1553</f>
      </c>
      <c r="N1548" s="20"/>
    </row>
    <row r="1549" spans="2:14" x14ac:dyDescent="0.25">
      <c r="B1549" s="20">
        <f>Разбивка_по_щитам!B1554</f>
      </c>
      <c r="C1549" s="20">
        <f>Разбивка_по_щитам!C1554</f>
      </c>
      <c r="D1549" s="20">
        <f>Разбивка_по_щитам!F1554</f>
      </c>
      <c r="E1549" s="20">
        <f>Разбивка_по_щитам!H1554</f>
      </c>
      <c r="F1549" s="20">
        <f>Разбивка_по_щитам!I1554</f>
      </c>
      <c r="G1549" s="20">
        <f>Разбивка_по_щитам!J1554</f>
      </c>
      <c r="H1549" s="20">
        <f>Разбивка_по_щитам!K1554</f>
      </c>
      <c r="I1549" s="20">
        <f>Разбивка_по_щитам!L1554</f>
      </c>
      <c r="J1549" s="20">
        <f>Разбивка_по_щитам!M1554</f>
      </c>
      <c r="K1549" s="20">
        <f>Разбивка_по_щитам!N1554</f>
      </c>
      <c r="L1549" s="20"/>
      <c r="M1549" s="20">
        <f>Разбивка_по_щитам!P1554</f>
      </c>
      <c r="N1549" s="20"/>
    </row>
    <row r="1550" spans="2:14" x14ac:dyDescent="0.25">
      <c r="B1550" s="20">
        <f>Разбивка_по_щитам!B1555</f>
      </c>
      <c r="C1550" s="20">
        <f>Разбивка_по_щитам!C1555</f>
      </c>
      <c r="D1550" s="20">
        <f>Разбивка_по_щитам!F1555</f>
      </c>
      <c r="E1550" s="20">
        <f>Разбивка_по_щитам!H1555</f>
      </c>
      <c r="F1550" s="20">
        <f>Разбивка_по_щитам!I1555</f>
      </c>
      <c r="G1550" s="20">
        <f>Разбивка_по_щитам!J1555</f>
      </c>
      <c r="H1550" s="20">
        <f>Разбивка_по_щитам!K1555</f>
      </c>
      <c r="I1550" s="20">
        <f>Разбивка_по_щитам!L1555</f>
      </c>
      <c r="J1550" s="20">
        <f>Разбивка_по_щитам!M1555</f>
      </c>
      <c r="K1550" s="20">
        <f>Разбивка_по_щитам!N1555</f>
      </c>
      <c r="L1550" s="20"/>
      <c r="M1550" s="20">
        <f>Разбивка_по_щитам!P1555</f>
      </c>
      <c r="N1550" s="20"/>
    </row>
    <row r="1551" spans="2:14" x14ac:dyDescent="0.25">
      <c r="B1551" s="20">
        <f>Разбивка_по_щитам!B1556</f>
      </c>
      <c r="C1551" s="20">
        <f>Разбивка_по_щитам!C1556</f>
      </c>
      <c r="D1551" s="20">
        <f>Разбивка_по_щитам!F1556</f>
      </c>
      <c r="E1551" s="20">
        <f>Разбивка_по_щитам!H1556</f>
      </c>
      <c r="F1551" s="20">
        <f>Разбивка_по_щитам!I1556</f>
      </c>
      <c r="G1551" s="20">
        <f>Разбивка_по_щитам!J1556</f>
      </c>
      <c r="H1551" s="20">
        <f>Разбивка_по_щитам!K1556</f>
      </c>
      <c r="I1551" s="20">
        <f>Разбивка_по_щитам!L1556</f>
      </c>
      <c r="J1551" s="20">
        <f>Разбивка_по_щитам!M1556</f>
      </c>
      <c r="K1551" s="20">
        <f>Разбивка_по_щитам!N1556</f>
      </c>
      <c r="L1551" s="20"/>
      <c r="M1551" s="20">
        <f>Разбивка_по_щитам!P1556</f>
      </c>
      <c r="N1551" s="20"/>
    </row>
    <row r="1552" spans="2:14" x14ac:dyDescent="0.25">
      <c r="B1552" s="20">
        <f>Разбивка_по_щитам!B1557</f>
      </c>
      <c r="C1552" s="20">
        <f>Разбивка_по_щитам!C1557</f>
      </c>
      <c r="D1552" s="20">
        <f>Разбивка_по_щитам!F1557</f>
      </c>
      <c r="E1552" s="20">
        <f>Разбивка_по_щитам!H1557</f>
      </c>
      <c r="F1552" s="20">
        <f>Разбивка_по_щитам!I1557</f>
      </c>
      <c r="G1552" s="20">
        <f>Разбивка_по_щитам!J1557</f>
      </c>
      <c r="H1552" s="20">
        <f>Разбивка_по_щитам!K1557</f>
      </c>
      <c r="I1552" s="20">
        <f>Разбивка_по_щитам!L1557</f>
      </c>
      <c r="J1552" s="20">
        <f>Разбивка_по_щитам!M1557</f>
      </c>
      <c r="K1552" s="20">
        <f>Разбивка_по_щитам!N1557</f>
      </c>
      <c r="L1552" s="20"/>
      <c r="M1552" s="20">
        <f>Разбивка_по_щитам!P1557</f>
      </c>
      <c r="N1552" s="20"/>
    </row>
    <row r="1553" spans="2:14" x14ac:dyDescent="0.25">
      <c r="B1553" s="20">
        <f>Разбивка_по_щитам!B1558</f>
      </c>
      <c r="C1553" s="20">
        <f>Разбивка_по_щитам!C1558</f>
      </c>
      <c r="D1553" s="20">
        <f>Разбивка_по_щитам!F1558</f>
      </c>
      <c r="E1553" s="20">
        <f>Разбивка_по_щитам!H1558</f>
      </c>
      <c r="F1553" s="20">
        <f>Разбивка_по_щитам!I1558</f>
      </c>
      <c r="G1553" s="20">
        <f>Разбивка_по_щитам!J1558</f>
      </c>
      <c r="H1553" s="20">
        <f>Разбивка_по_щитам!K1558</f>
      </c>
      <c r="I1553" s="20">
        <f>Разбивка_по_щитам!L1558</f>
      </c>
      <c r="J1553" s="20">
        <f>Разбивка_по_щитам!M1558</f>
      </c>
      <c r="K1553" s="20">
        <f>Разбивка_по_щитам!N1558</f>
      </c>
      <c r="L1553" s="20"/>
      <c r="M1553" s="20">
        <f>Разбивка_по_щитам!P1558</f>
      </c>
      <c r="N1553" s="20"/>
    </row>
    <row r="1554" spans="2:14" x14ac:dyDescent="0.25">
      <c r="B1554" s="20">
        <f>Разбивка_по_щитам!B1559</f>
      </c>
      <c r="C1554" s="20">
        <f>Разбивка_по_щитам!C1559</f>
      </c>
      <c r="D1554" s="20">
        <f>Разбивка_по_щитам!F1559</f>
      </c>
      <c r="E1554" s="20">
        <f>Разбивка_по_щитам!H1559</f>
      </c>
      <c r="F1554" s="20">
        <f>Разбивка_по_щитам!I1559</f>
      </c>
      <c r="G1554" s="20">
        <f>Разбивка_по_щитам!J1559</f>
      </c>
      <c r="H1554" s="20">
        <f>Разбивка_по_щитам!K1559</f>
      </c>
      <c r="I1554" s="20">
        <f>Разбивка_по_щитам!L1559</f>
      </c>
      <c r="J1554" s="20">
        <f>Разбивка_по_щитам!M1559</f>
      </c>
      <c r="K1554" s="20">
        <f>Разбивка_по_щитам!N1559</f>
      </c>
      <c r="L1554" s="20"/>
      <c r="M1554" s="20">
        <f>Разбивка_по_щитам!P1559</f>
      </c>
      <c r="N1554" s="20"/>
    </row>
    <row r="1555" spans="2:14" x14ac:dyDescent="0.25">
      <c r="B1555" s="20">
        <f>Разбивка_по_щитам!B1560</f>
      </c>
      <c r="C1555" s="20">
        <f>Разбивка_по_щитам!C1560</f>
      </c>
      <c r="D1555" s="20">
        <f>Разбивка_по_щитам!F1560</f>
      </c>
      <c r="E1555" s="20">
        <f>Разбивка_по_щитам!H1560</f>
      </c>
      <c r="F1555" s="20">
        <f>Разбивка_по_щитам!I1560</f>
      </c>
      <c r="G1555" s="20">
        <f>Разбивка_по_щитам!J1560</f>
      </c>
      <c r="H1555" s="20">
        <f>Разбивка_по_щитам!K1560</f>
      </c>
      <c r="I1555" s="20">
        <f>Разбивка_по_щитам!L1560</f>
      </c>
      <c r="J1555" s="20">
        <f>Разбивка_по_щитам!M1560</f>
      </c>
      <c r="K1555" s="20">
        <f>Разбивка_по_щитам!N1560</f>
      </c>
      <c r="L1555" s="20"/>
      <c r="M1555" s="20">
        <f>Разбивка_по_щитам!P1560</f>
      </c>
      <c r="N1555" s="20"/>
    </row>
    <row r="1556" spans="2:14" x14ac:dyDescent="0.25">
      <c r="B1556" s="20">
        <f>Разбивка_по_щитам!B1561</f>
      </c>
      <c r="C1556" s="20">
        <f>Разбивка_по_щитам!C1561</f>
      </c>
      <c r="D1556" s="20">
        <f>Разбивка_по_щитам!F1561</f>
      </c>
      <c r="E1556" s="20">
        <f>Разбивка_по_щитам!H1561</f>
      </c>
      <c r="F1556" s="20">
        <f>Разбивка_по_щитам!I1561</f>
      </c>
      <c r="G1556" s="20">
        <f>Разбивка_по_щитам!J1561</f>
      </c>
      <c r="H1556" s="20">
        <f>Разбивка_по_щитам!K1561</f>
      </c>
      <c r="I1556" s="20">
        <f>Разбивка_по_щитам!L1561</f>
      </c>
      <c r="J1556" s="20">
        <f>Разбивка_по_щитам!M1561</f>
      </c>
      <c r="K1556" s="20">
        <f>Разбивка_по_щитам!N1561</f>
      </c>
      <c r="L1556" s="20"/>
      <c r="M1556" s="20">
        <f>Разбивка_по_щитам!P1561</f>
      </c>
      <c r="N1556" s="20"/>
    </row>
    <row r="1557" spans="2:14" x14ac:dyDescent="0.25">
      <c r="B1557" s="20">
        <f>Разбивка_по_щитам!B1562</f>
      </c>
      <c r="C1557" s="20">
        <f>Разбивка_по_щитам!C1562</f>
      </c>
      <c r="D1557" s="20">
        <f>Разбивка_по_щитам!F1562</f>
      </c>
      <c r="E1557" s="20">
        <f>Разбивка_по_щитам!H1562</f>
      </c>
      <c r="F1557" s="20">
        <f>Разбивка_по_щитам!I1562</f>
      </c>
      <c r="G1557" s="20">
        <f>Разбивка_по_щитам!J1562</f>
      </c>
      <c r="H1557" s="20">
        <f>Разбивка_по_щитам!K1562</f>
      </c>
      <c r="I1557" s="20">
        <f>Разбивка_по_щитам!L1562</f>
      </c>
      <c r="J1557" s="20">
        <f>Разбивка_по_щитам!M1562</f>
      </c>
      <c r="K1557" s="20">
        <f>Разбивка_по_щитам!N1562</f>
      </c>
      <c r="L1557" s="20"/>
      <c r="M1557" s="20">
        <f>Разбивка_по_щитам!P1562</f>
      </c>
      <c r="N1557" s="20"/>
    </row>
    <row r="1558" spans="2:14" x14ac:dyDescent="0.25">
      <c r="B1558" s="20">
        <f>Разбивка_по_щитам!B1563</f>
      </c>
      <c r="C1558" s="20">
        <f>Разбивка_по_щитам!C1563</f>
      </c>
      <c r="D1558" s="20">
        <f>Разбивка_по_щитам!F1563</f>
      </c>
      <c r="E1558" s="20">
        <f>Разбивка_по_щитам!H1563</f>
      </c>
      <c r="F1558" s="20">
        <f>Разбивка_по_щитам!I1563</f>
      </c>
      <c r="G1558" s="20">
        <f>Разбивка_по_щитам!J1563</f>
      </c>
      <c r="H1558" s="20">
        <f>Разбивка_по_щитам!K1563</f>
      </c>
      <c r="I1558" s="20">
        <f>Разбивка_по_щитам!L1563</f>
      </c>
      <c r="J1558" s="20">
        <f>Разбивка_по_щитам!M1563</f>
      </c>
      <c r="K1558" s="20">
        <f>Разбивка_по_щитам!N1563</f>
      </c>
      <c r="L1558" s="20"/>
      <c r="M1558" s="20">
        <f>Разбивка_по_щитам!P1563</f>
      </c>
      <c r="N1558" s="20"/>
    </row>
    <row r="1559" spans="2:14" x14ac:dyDescent="0.25">
      <c r="B1559" s="20">
        <f>Разбивка_по_щитам!B1564</f>
      </c>
      <c r="C1559" s="20">
        <f>Разбивка_по_щитам!C1564</f>
      </c>
      <c r="D1559" s="20">
        <f>Разбивка_по_щитам!F1564</f>
      </c>
      <c r="E1559" s="20">
        <f>Разбивка_по_щитам!H1564</f>
      </c>
      <c r="F1559" s="20">
        <f>Разбивка_по_щитам!I1564</f>
      </c>
      <c r="G1559" s="20">
        <f>Разбивка_по_щитам!J1564</f>
      </c>
      <c r="H1559" s="20">
        <f>Разбивка_по_щитам!K1564</f>
      </c>
      <c r="I1559" s="20">
        <f>Разбивка_по_щитам!L1564</f>
      </c>
      <c r="J1559" s="20">
        <f>Разбивка_по_щитам!M1564</f>
      </c>
      <c r="K1559" s="20">
        <f>Разбивка_по_щитам!N1564</f>
      </c>
      <c r="L1559" s="20"/>
      <c r="M1559" s="20">
        <f>Разбивка_по_щитам!P1564</f>
      </c>
      <c r="N1559" s="20"/>
    </row>
    <row r="1560" spans="2:14" x14ac:dyDescent="0.25">
      <c r="B1560" s="20">
        <f>Разбивка_по_щитам!B1565</f>
      </c>
      <c r="C1560" s="20">
        <f>Разбивка_по_щитам!C1565</f>
      </c>
      <c r="D1560" s="20">
        <f>Разбивка_по_щитам!F1565</f>
      </c>
      <c r="E1560" s="20">
        <f>Разбивка_по_щитам!H1565</f>
      </c>
      <c r="F1560" s="20">
        <f>Разбивка_по_щитам!I1565</f>
      </c>
      <c r="G1560" s="20">
        <f>Разбивка_по_щитам!J1565</f>
      </c>
      <c r="H1560" s="20">
        <f>Разбивка_по_щитам!K1565</f>
      </c>
      <c r="I1560" s="20">
        <f>Разбивка_по_щитам!L1565</f>
      </c>
      <c r="J1560" s="20">
        <f>Разбивка_по_щитам!M1565</f>
      </c>
      <c r="K1560" s="20">
        <f>Разбивка_по_щитам!N1565</f>
      </c>
      <c r="L1560" s="20"/>
      <c r="M1560" s="20">
        <f>Разбивка_по_щитам!P1565</f>
      </c>
      <c r="N1560" s="20"/>
    </row>
    <row r="1561" spans="2:14" x14ac:dyDescent="0.25">
      <c r="B1561" s="20">
        <f>Разбивка_по_щитам!B1566</f>
      </c>
      <c r="C1561" s="20">
        <f>Разбивка_по_щитам!C1566</f>
      </c>
      <c r="D1561" s="20">
        <f>Разбивка_по_щитам!F1566</f>
      </c>
      <c r="E1561" s="20">
        <f>Разбивка_по_щитам!H1566</f>
      </c>
      <c r="F1561" s="20">
        <f>Разбивка_по_щитам!I1566</f>
      </c>
      <c r="G1561" s="20">
        <f>Разбивка_по_щитам!J1566</f>
      </c>
      <c r="H1561" s="20">
        <f>Разбивка_по_щитам!K1566</f>
      </c>
      <c r="I1561" s="20">
        <f>Разбивка_по_щитам!L1566</f>
      </c>
      <c r="J1561" s="20">
        <f>Разбивка_по_щитам!M1566</f>
      </c>
      <c r="K1561" s="20">
        <f>Разбивка_по_щитам!N1566</f>
      </c>
      <c r="L1561" s="20"/>
      <c r="M1561" s="20">
        <f>Разбивка_по_щитам!P1566</f>
      </c>
      <c r="N1561" s="20"/>
    </row>
    <row r="1562" spans="2:14" x14ac:dyDescent="0.25">
      <c r="B1562" s="20">
        <f>Разбивка_по_щитам!B1567</f>
      </c>
      <c r="C1562" s="20">
        <f>Разбивка_по_щитам!C1567</f>
      </c>
      <c r="D1562" s="20">
        <f>Разбивка_по_щитам!F1567</f>
      </c>
      <c r="E1562" s="20">
        <f>Разбивка_по_щитам!H1567</f>
      </c>
      <c r="F1562" s="20">
        <f>Разбивка_по_щитам!I1567</f>
      </c>
      <c r="G1562" s="20">
        <f>Разбивка_по_щитам!J1567</f>
      </c>
      <c r="H1562" s="20">
        <f>Разбивка_по_щитам!K1567</f>
      </c>
      <c r="I1562" s="20">
        <f>Разбивка_по_щитам!L1567</f>
      </c>
      <c r="J1562" s="20">
        <f>Разбивка_по_щитам!M1567</f>
      </c>
      <c r="K1562" s="20">
        <f>Разбивка_по_щитам!N1567</f>
      </c>
      <c r="L1562" s="20"/>
      <c r="M1562" s="20">
        <f>Разбивка_по_щитам!P1567</f>
      </c>
      <c r="N1562" s="20"/>
    </row>
    <row r="1563" spans="2:14" x14ac:dyDescent="0.25">
      <c r="B1563" s="20">
        <f>Разбивка_по_щитам!B1568</f>
      </c>
      <c r="C1563" s="20">
        <f>Разбивка_по_щитам!C1568</f>
      </c>
      <c r="D1563" s="20">
        <f>Разбивка_по_щитам!F1568</f>
      </c>
      <c r="E1563" s="20">
        <f>Разбивка_по_щитам!H1568</f>
      </c>
      <c r="F1563" s="20">
        <f>Разбивка_по_щитам!I1568</f>
      </c>
      <c r="G1563" s="20">
        <f>Разбивка_по_щитам!J1568</f>
      </c>
      <c r="H1563" s="20">
        <f>Разбивка_по_щитам!K1568</f>
      </c>
      <c r="I1563" s="20">
        <f>Разбивка_по_щитам!L1568</f>
      </c>
      <c r="J1563" s="20">
        <f>Разбивка_по_щитам!M1568</f>
      </c>
      <c r="K1563" s="20">
        <f>Разбивка_по_щитам!N1568</f>
      </c>
      <c r="L1563" s="20"/>
      <c r="M1563" s="20">
        <f>Разбивка_по_щитам!P1568</f>
      </c>
      <c r="N1563" s="20"/>
    </row>
    <row r="1564" spans="2:14" x14ac:dyDescent="0.25">
      <c r="B1564" s="20">
        <f>Разбивка_по_щитам!B1569</f>
      </c>
      <c r="C1564" s="20">
        <f>Разбивка_по_щитам!C1569</f>
      </c>
      <c r="D1564" s="20">
        <f>Разбивка_по_щитам!F1569</f>
      </c>
      <c r="E1564" s="20">
        <f>Разбивка_по_щитам!H1569</f>
      </c>
      <c r="F1564" s="20">
        <f>Разбивка_по_щитам!I1569</f>
      </c>
      <c r="G1564" s="20">
        <f>Разбивка_по_щитам!J1569</f>
      </c>
      <c r="H1564" s="20">
        <f>Разбивка_по_щитам!K1569</f>
      </c>
      <c r="I1564" s="20">
        <f>Разбивка_по_щитам!L1569</f>
      </c>
      <c r="J1564" s="20">
        <f>Разбивка_по_щитам!M1569</f>
      </c>
      <c r="K1564" s="20">
        <f>Разбивка_по_щитам!N1569</f>
      </c>
      <c r="L1564" s="20"/>
      <c r="M1564" s="20">
        <f>Разбивка_по_щитам!P1569</f>
      </c>
      <c r="N1564" s="20"/>
    </row>
    <row r="1565" spans="2:14" x14ac:dyDescent="0.25">
      <c r="B1565" s="20">
        <f>Разбивка_по_щитам!B1570</f>
      </c>
      <c r="C1565" s="20">
        <f>Разбивка_по_щитам!C1570</f>
      </c>
      <c r="D1565" s="20">
        <f>Разбивка_по_щитам!F1570</f>
      </c>
      <c r="E1565" s="20">
        <f>Разбивка_по_щитам!H1570</f>
      </c>
      <c r="F1565" s="20">
        <f>Разбивка_по_щитам!I1570</f>
      </c>
      <c r="G1565" s="20">
        <f>Разбивка_по_щитам!J1570</f>
      </c>
      <c r="H1565" s="20">
        <f>Разбивка_по_щитам!K1570</f>
      </c>
      <c r="I1565" s="20">
        <f>Разбивка_по_щитам!L1570</f>
      </c>
      <c r="J1565" s="20">
        <f>Разбивка_по_щитам!M1570</f>
      </c>
      <c r="K1565" s="20">
        <f>Разбивка_по_щитам!N1570</f>
      </c>
      <c r="L1565" s="20"/>
      <c r="M1565" s="20">
        <f>Разбивка_по_щитам!P1570</f>
      </c>
      <c r="N1565" s="20"/>
    </row>
    <row r="1566" spans="2:14" x14ac:dyDescent="0.25">
      <c r="B1566" s="20">
        <f>Разбивка_по_щитам!B1571</f>
      </c>
      <c r="C1566" s="20">
        <f>Разбивка_по_щитам!C1571</f>
      </c>
      <c r="D1566" s="20">
        <f>Разбивка_по_щитам!F1571</f>
      </c>
      <c r="E1566" s="20">
        <f>Разбивка_по_щитам!H1571</f>
      </c>
      <c r="F1566" s="20">
        <f>Разбивка_по_щитам!I1571</f>
      </c>
      <c r="G1566" s="20">
        <f>Разбивка_по_щитам!J1571</f>
      </c>
      <c r="H1566" s="20">
        <f>Разбивка_по_щитам!K1571</f>
      </c>
      <c r="I1566" s="20">
        <f>Разбивка_по_щитам!L1571</f>
      </c>
      <c r="J1566" s="20">
        <f>Разбивка_по_щитам!M1571</f>
      </c>
      <c r="K1566" s="20">
        <f>Разбивка_по_щитам!N1571</f>
      </c>
      <c r="L1566" s="20"/>
      <c r="M1566" s="20">
        <f>Разбивка_по_щитам!P1571</f>
      </c>
      <c r="N1566" s="20"/>
    </row>
    <row r="1567" spans="2:14" x14ac:dyDescent="0.25">
      <c r="B1567" s="20">
        <f>Разбивка_по_щитам!B1572</f>
      </c>
      <c r="C1567" s="20">
        <f>Разбивка_по_щитам!C1572</f>
      </c>
      <c r="D1567" s="20">
        <f>Разбивка_по_щитам!F1572</f>
      </c>
      <c r="E1567" s="20">
        <f>Разбивка_по_щитам!H1572</f>
      </c>
      <c r="F1567" s="20">
        <f>Разбивка_по_щитам!I1572</f>
      </c>
      <c r="G1567" s="20">
        <f>Разбивка_по_щитам!J1572</f>
      </c>
      <c r="H1567" s="20">
        <f>Разбивка_по_щитам!K1572</f>
      </c>
      <c r="I1567" s="20">
        <f>Разбивка_по_щитам!L1572</f>
      </c>
      <c r="J1567" s="20">
        <f>Разбивка_по_щитам!M1572</f>
      </c>
      <c r="K1567" s="20">
        <f>Разбивка_по_щитам!N1572</f>
      </c>
      <c r="L1567" s="20"/>
      <c r="M1567" s="20">
        <f>Разбивка_по_щитам!P1572</f>
      </c>
      <c r="N1567" s="20"/>
    </row>
    <row r="1568" spans="2:14" x14ac:dyDescent="0.25">
      <c r="B1568" s="20">
        <f>Разбивка_по_щитам!B1573</f>
      </c>
      <c r="C1568" s="20">
        <f>Разбивка_по_щитам!C1573</f>
      </c>
      <c r="D1568" s="20">
        <f>Разбивка_по_щитам!F1573</f>
      </c>
      <c r="E1568" s="20">
        <f>Разбивка_по_щитам!H1573</f>
      </c>
      <c r="F1568" s="20">
        <f>Разбивка_по_щитам!I1573</f>
      </c>
      <c r="G1568" s="20">
        <f>Разбивка_по_щитам!J1573</f>
      </c>
      <c r="H1568" s="20">
        <f>Разбивка_по_щитам!K1573</f>
      </c>
      <c r="I1568" s="20">
        <f>Разбивка_по_щитам!L1573</f>
      </c>
      <c r="J1568" s="20">
        <f>Разбивка_по_щитам!M1573</f>
      </c>
      <c r="K1568" s="20">
        <f>Разбивка_по_щитам!N1573</f>
      </c>
      <c r="L1568" s="20"/>
      <c r="M1568" s="20">
        <f>Разбивка_по_щитам!P1573</f>
      </c>
      <c r="N1568" s="20"/>
    </row>
    <row r="1569" spans="2:14" x14ac:dyDescent="0.25">
      <c r="B1569" s="20">
        <f>Разбивка_по_щитам!B1574</f>
      </c>
      <c r="C1569" s="20">
        <f>Разбивка_по_щитам!C1574</f>
      </c>
      <c r="D1569" s="20">
        <f>Разбивка_по_щитам!F1574</f>
      </c>
      <c r="E1569" s="20">
        <f>Разбивка_по_щитам!H1574</f>
      </c>
      <c r="F1569" s="20">
        <f>Разбивка_по_щитам!I1574</f>
      </c>
      <c r="G1569" s="20">
        <f>Разбивка_по_щитам!J1574</f>
      </c>
      <c r="H1569" s="20">
        <f>Разбивка_по_щитам!K1574</f>
      </c>
      <c r="I1569" s="20">
        <f>Разбивка_по_щитам!L1574</f>
      </c>
      <c r="J1569" s="20">
        <f>Разбивка_по_щитам!M1574</f>
      </c>
      <c r="K1569" s="20">
        <f>Разбивка_по_щитам!N1574</f>
      </c>
      <c r="L1569" s="20"/>
      <c r="M1569" s="20">
        <f>Разбивка_по_щитам!P1574</f>
      </c>
      <c r="N1569" s="20"/>
    </row>
    <row r="1570" spans="2:14" x14ac:dyDescent="0.25">
      <c r="B1570" s="20">
        <f>Разбивка_по_щитам!B1575</f>
      </c>
      <c r="C1570" s="20">
        <f>Разбивка_по_щитам!C1575</f>
      </c>
      <c r="D1570" s="20">
        <f>Разбивка_по_щитам!F1575</f>
      </c>
      <c r="E1570" s="20">
        <f>Разбивка_по_щитам!H1575</f>
      </c>
      <c r="F1570" s="20">
        <f>Разбивка_по_щитам!I1575</f>
      </c>
      <c r="G1570" s="20">
        <f>Разбивка_по_щитам!J1575</f>
      </c>
      <c r="H1570" s="20">
        <f>Разбивка_по_щитам!K1575</f>
      </c>
      <c r="I1570" s="20">
        <f>Разбивка_по_щитам!L1575</f>
      </c>
      <c r="J1570" s="20">
        <f>Разбивка_по_щитам!M1575</f>
      </c>
      <c r="K1570" s="20">
        <f>Разбивка_по_щитам!N1575</f>
      </c>
      <c r="L1570" s="20"/>
      <c r="M1570" s="20">
        <f>Разбивка_по_щитам!P1575</f>
      </c>
      <c r="N1570" s="20"/>
    </row>
    <row r="1571" spans="2:14" x14ac:dyDescent="0.25">
      <c r="B1571" s="20">
        <f>Разбивка_по_щитам!B1576</f>
      </c>
      <c r="C1571" s="20">
        <f>Разбивка_по_щитам!C1576</f>
      </c>
      <c r="D1571" s="20">
        <f>Разбивка_по_щитам!F1576</f>
      </c>
      <c r="E1571" s="20">
        <f>Разбивка_по_щитам!H1576</f>
      </c>
      <c r="F1571" s="20">
        <f>Разбивка_по_щитам!I1576</f>
      </c>
      <c r="G1571" s="20">
        <f>Разбивка_по_щитам!J1576</f>
      </c>
      <c r="H1571" s="20">
        <f>Разбивка_по_щитам!K1576</f>
      </c>
      <c r="I1571" s="20">
        <f>Разбивка_по_щитам!L1576</f>
      </c>
      <c r="J1571" s="20">
        <f>Разбивка_по_щитам!M1576</f>
      </c>
      <c r="K1571" s="20">
        <f>Разбивка_по_щитам!N1576</f>
      </c>
      <c r="L1571" s="20"/>
      <c r="M1571" s="20">
        <f>Разбивка_по_щитам!P1576</f>
      </c>
      <c r="N1571" s="20"/>
    </row>
    <row r="1572" spans="2:14" x14ac:dyDescent="0.25">
      <c r="B1572" s="20">
        <f>Разбивка_по_щитам!B1577</f>
      </c>
      <c r="C1572" s="20">
        <f>Разбивка_по_щитам!C1577</f>
      </c>
      <c r="D1572" s="20">
        <f>Разбивка_по_щитам!F1577</f>
      </c>
      <c r="E1572" s="20">
        <f>Разбивка_по_щитам!H1577</f>
      </c>
      <c r="F1572" s="20">
        <f>Разбивка_по_щитам!I1577</f>
      </c>
      <c r="G1572" s="20">
        <f>Разбивка_по_щитам!J1577</f>
      </c>
      <c r="H1572" s="20">
        <f>Разбивка_по_щитам!K1577</f>
      </c>
      <c r="I1572" s="20">
        <f>Разбивка_по_щитам!L1577</f>
      </c>
      <c r="J1572" s="20">
        <f>Разбивка_по_щитам!M1577</f>
      </c>
      <c r="K1572" s="20">
        <f>Разбивка_по_щитам!N1577</f>
      </c>
      <c r="L1572" s="20"/>
      <c r="M1572" s="20">
        <f>Разбивка_по_щитам!P1577</f>
      </c>
      <c r="N1572" s="20"/>
    </row>
    <row r="1573" spans="2:14" x14ac:dyDescent="0.25">
      <c r="B1573" s="20">
        <f>Разбивка_по_щитам!B1578</f>
      </c>
      <c r="C1573" s="20">
        <f>Разбивка_по_щитам!C1578</f>
      </c>
      <c r="D1573" s="20">
        <f>Разбивка_по_щитам!F1578</f>
      </c>
      <c r="E1573" s="20">
        <f>Разбивка_по_щитам!H1578</f>
      </c>
      <c r="F1573" s="20">
        <f>Разбивка_по_щитам!I1578</f>
      </c>
      <c r="G1573" s="20">
        <f>Разбивка_по_щитам!J1578</f>
      </c>
      <c r="H1573" s="20">
        <f>Разбивка_по_щитам!K1578</f>
      </c>
      <c r="I1573" s="20">
        <f>Разбивка_по_щитам!L1578</f>
      </c>
      <c r="J1573" s="20">
        <f>Разбивка_по_щитам!M1578</f>
      </c>
      <c r="K1573" s="20">
        <f>Разбивка_по_щитам!N1578</f>
      </c>
      <c r="L1573" s="20"/>
      <c r="M1573" s="20">
        <f>Разбивка_по_щитам!P1578</f>
      </c>
      <c r="N1573" s="20"/>
    </row>
    <row r="1574" spans="2:14" x14ac:dyDescent="0.25">
      <c r="B1574" s="20">
        <f>Разбивка_по_щитам!B1579</f>
      </c>
      <c r="C1574" s="20">
        <f>Разбивка_по_щитам!C1579</f>
      </c>
      <c r="D1574" s="20">
        <f>Разбивка_по_щитам!F1579</f>
      </c>
      <c r="E1574" s="20">
        <f>Разбивка_по_щитам!H1579</f>
      </c>
      <c r="F1574" s="20">
        <f>Разбивка_по_щитам!I1579</f>
      </c>
      <c r="G1574" s="20">
        <f>Разбивка_по_щитам!J1579</f>
      </c>
      <c r="H1574" s="20">
        <f>Разбивка_по_щитам!K1579</f>
      </c>
      <c r="I1574" s="20">
        <f>Разбивка_по_щитам!L1579</f>
      </c>
      <c r="J1574" s="20">
        <f>Разбивка_по_щитам!M1579</f>
      </c>
      <c r="K1574" s="20">
        <f>Разбивка_по_щитам!N1579</f>
      </c>
      <c r="L1574" s="20"/>
      <c r="M1574" s="20">
        <f>Разбивка_по_щитам!P1579</f>
      </c>
      <c r="N1574" s="20"/>
    </row>
    <row r="1575" spans="2:14" x14ac:dyDescent="0.25">
      <c r="B1575" s="20">
        <f>Разбивка_по_щитам!B1580</f>
      </c>
      <c r="C1575" s="20">
        <f>Разбивка_по_щитам!C1580</f>
      </c>
      <c r="D1575" s="20">
        <f>Разбивка_по_щитам!F1580</f>
      </c>
      <c r="E1575" s="20">
        <f>Разбивка_по_щитам!H1580</f>
      </c>
      <c r="F1575" s="20">
        <f>Разбивка_по_щитам!I1580</f>
      </c>
      <c r="G1575" s="20">
        <f>Разбивка_по_щитам!J1580</f>
      </c>
      <c r="H1575" s="20">
        <f>Разбивка_по_щитам!K1580</f>
      </c>
      <c r="I1575" s="20">
        <f>Разбивка_по_щитам!L1580</f>
      </c>
      <c r="J1575" s="20">
        <f>Разбивка_по_щитам!M1580</f>
      </c>
      <c r="K1575" s="20">
        <f>Разбивка_по_щитам!N1580</f>
      </c>
      <c r="L1575" s="20"/>
      <c r="M1575" s="20">
        <f>Разбивка_по_щитам!P1580</f>
      </c>
      <c r="N1575" s="20"/>
    </row>
    <row r="1576" spans="2:14" x14ac:dyDescent="0.25">
      <c r="B1576" s="20">
        <f>Разбивка_по_щитам!B1581</f>
      </c>
      <c r="C1576" s="20">
        <f>Разбивка_по_щитам!C1581</f>
      </c>
      <c r="D1576" s="20">
        <f>Разбивка_по_щитам!F1581</f>
      </c>
      <c r="E1576" s="20">
        <f>Разбивка_по_щитам!H1581</f>
      </c>
      <c r="F1576" s="20">
        <f>Разбивка_по_щитам!I1581</f>
      </c>
      <c r="G1576" s="20">
        <f>Разбивка_по_щитам!J1581</f>
      </c>
      <c r="H1576" s="20">
        <f>Разбивка_по_щитам!K1581</f>
      </c>
      <c r="I1576" s="20">
        <f>Разбивка_по_щитам!L1581</f>
      </c>
      <c r="J1576" s="20">
        <f>Разбивка_по_щитам!M1581</f>
      </c>
      <c r="K1576" s="20">
        <f>Разбивка_по_щитам!N1581</f>
      </c>
      <c r="L1576" s="20"/>
      <c r="M1576" s="20">
        <f>Разбивка_по_щитам!P1581</f>
      </c>
      <c r="N1576" s="20"/>
    </row>
    <row r="1577" spans="2:14" x14ac:dyDescent="0.25">
      <c r="B1577" s="20">
        <f>Разбивка_по_щитам!B1582</f>
      </c>
      <c r="C1577" s="20">
        <f>Разбивка_по_щитам!C1582</f>
      </c>
      <c r="D1577" s="20">
        <f>Разбивка_по_щитам!F1582</f>
      </c>
      <c r="E1577" s="20">
        <f>Разбивка_по_щитам!H1582</f>
      </c>
      <c r="F1577" s="20">
        <f>Разбивка_по_щитам!I1582</f>
      </c>
      <c r="G1577" s="20">
        <f>Разбивка_по_щитам!J1582</f>
      </c>
      <c r="H1577" s="20">
        <f>Разбивка_по_щитам!K1582</f>
      </c>
      <c r="I1577" s="20">
        <f>Разбивка_по_щитам!L1582</f>
      </c>
      <c r="J1577" s="20">
        <f>Разбивка_по_щитам!M1582</f>
      </c>
      <c r="K1577" s="20">
        <f>Разбивка_по_щитам!N1582</f>
      </c>
      <c r="L1577" s="20"/>
      <c r="M1577" s="20">
        <f>Разбивка_по_щитам!P1582</f>
      </c>
      <c r="N1577" s="20"/>
    </row>
    <row r="1578" spans="2:14" x14ac:dyDescent="0.25">
      <c r="B1578" s="20">
        <f>Разбивка_по_щитам!B1583</f>
      </c>
      <c r="C1578" s="20">
        <f>Разбивка_по_щитам!C1583</f>
      </c>
      <c r="D1578" s="20">
        <f>Разбивка_по_щитам!F1583</f>
      </c>
      <c r="E1578" s="20">
        <f>Разбивка_по_щитам!H1583</f>
      </c>
      <c r="F1578" s="20">
        <f>Разбивка_по_щитам!I1583</f>
      </c>
      <c r="G1578" s="20">
        <f>Разбивка_по_щитам!J1583</f>
      </c>
      <c r="H1578" s="20">
        <f>Разбивка_по_щитам!K1583</f>
      </c>
      <c r="I1578" s="20">
        <f>Разбивка_по_щитам!L1583</f>
      </c>
      <c r="J1578" s="20">
        <f>Разбивка_по_щитам!M1583</f>
      </c>
      <c r="K1578" s="20">
        <f>Разбивка_по_щитам!N1583</f>
      </c>
      <c r="L1578" s="20"/>
      <c r="M1578" s="20">
        <f>Разбивка_по_щитам!P1583</f>
      </c>
      <c r="N1578" s="20"/>
    </row>
    <row r="1579" spans="2:14" x14ac:dyDescent="0.25">
      <c r="B1579" s="20">
        <f>Разбивка_по_щитам!B1584</f>
      </c>
      <c r="C1579" s="20">
        <f>Разбивка_по_щитам!C1584</f>
      </c>
      <c r="D1579" s="20">
        <f>Разбивка_по_щитам!F1584</f>
      </c>
      <c r="E1579" s="20">
        <f>Разбивка_по_щитам!H1584</f>
      </c>
      <c r="F1579" s="20">
        <f>Разбивка_по_щитам!I1584</f>
      </c>
      <c r="G1579" s="20">
        <f>Разбивка_по_щитам!J1584</f>
      </c>
      <c r="H1579" s="20">
        <f>Разбивка_по_щитам!K1584</f>
      </c>
      <c r="I1579" s="20">
        <f>Разбивка_по_щитам!L1584</f>
      </c>
      <c r="J1579" s="20">
        <f>Разбивка_по_щитам!M1584</f>
      </c>
      <c r="K1579" s="20">
        <f>Разбивка_по_щитам!N1584</f>
      </c>
      <c r="L1579" s="20"/>
      <c r="M1579" s="20">
        <f>Разбивка_по_щитам!P1584</f>
      </c>
      <c r="N1579" s="20"/>
    </row>
    <row r="1580" spans="2:14" x14ac:dyDescent="0.25">
      <c r="B1580" s="20">
        <f>Разбивка_по_щитам!B1585</f>
      </c>
      <c r="C1580" s="20">
        <f>Разбивка_по_щитам!C1585</f>
      </c>
      <c r="D1580" s="20">
        <f>Разбивка_по_щитам!F1585</f>
      </c>
      <c r="E1580" s="20">
        <f>Разбивка_по_щитам!H1585</f>
      </c>
      <c r="F1580" s="20">
        <f>Разбивка_по_щитам!I1585</f>
      </c>
      <c r="G1580" s="20">
        <f>Разбивка_по_щитам!J1585</f>
      </c>
      <c r="H1580" s="20">
        <f>Разбивка_по_щитам!K1585</f>
      </c>
      <c r="I1580" s="20">
        <f>Разбивка_по_щитам!L1585</f>
      </c>
      <c r="J1580" s="20">
        <f>Разбивка_по_щитам!M1585</f>
      </c>
      <c r="K1580" s="20">
        <f>Разбивка_по_щитам!N1585</f>
      </c>
      <c r="L1580" s="20"/>
      <c r="M1580" s="20">
        <f>Разбивка_по_щитам!P1585</f>
      </c>
      <c r="N1580" s="20"/>
    </row>
    <row r="1581" spans="2:14" x14ac:dyDescent="0.25">
      <c r="B1581" s="20">
        <f>Разбивка_по_щитам!B1586</f>
      </c>
      <c r="C1581" s="20">
        <f>Разбивка_по_щитам!C1586</f>
      </c>
      <c r="D1581" s="20">
        <f>Разбивка_по_щитам!F1586</f>
      </c>
      <c r="E1581" s="20">
        <f>Разбивка_по_щитам!H1586</f>
      </c>
      <c r="F1581" s="20">
        <f>Разбивка_по_щитам!I1586</f>
      </c>
      <c r="G1581" s="20">
        <f>Разбивка_по_щитам!J1586</f>
      </c>
      <c r="H1581" s="20">
        <f>Разбивка_по_щитам!K1586</f>
      </c>
      <c r="I1581" s="20">
        <f>Разбивка_по_щитам!L1586</f>
      </c>
      <c r="J1581" s="20">
        <f>Разбивка_по_щитам!M1586</f>
      </c>
      <c r="K1581" s="20">
        <f>Разбивка_по_щитам!N1586</f>
      </c>
      <c r="L1581" s="20"/>
      <c r="M1581" s="20">
        <f>Разбивка_по_щитам!P1586</f>
      </c>
      <c r="N1581" s="20"/>
    </row>
    <row r="1582" spans="2:14" x14ac:dyDescent="0.25">
      <c r="B1582" s="20">
        <f>Разбивка_по_щитам!B1587</f>
      </c>
      <c r="C1582" s="20">
        <f>Разбивка_по_щитам!C1587</f>
      </c>
      <c r="D1582" s="20">
        <f>Разбивка_по_щитам!F1587</f>
      </c>
      <c r="E1582" s="20">
        <f>Разбивка_по_щитам!H1587</f>
      </c>
      <c r="F1582" s="20">
        <f>Разбивка_по_щитам!I1587</f>
      </c>
      <c r="G1582" s="20">
        <f>Разбивка_по_щитам!J1587</f>
      </c>
      <c r="H1582" s="20">
        <f>Разбивка_по_щитам!K1587</f>
      </c>
      <c r="I1582" s="20">
        <f>Разбивка_по_щитам!L1587</f>
      </c>
      <c r="J1582" s="20">
        <f>Разбивка_по_щитам!M1587</f>
      </c>
      <c r="K1582" s="20">
        <f>Разбивка_по_щитам!N1587</f>
      </c>
      <c r="L1582" s="20"/>
      <c r="M1582" s="20">
        <f>Разбивка_по_щитам!P1587</f>
      </c>
      <c r="N1582" s="20"/>
    </row>
    <row r="1583" spans="2:14" x14ac:dyDescent="0.25">
      <c r="B1583" s="20">
        <f>Разбивка_по_щитам!B1588</f>
      </c>
      <c r="C1583" s="20">
        <f>Разбивка_по_щитам!C1588</f>
      </c>
      <c r="D1583" s="20">
        <f>Разбивка_по_щитам!F1588</f>
      </c>
      <c r="E1583" s="20">
        <f>Разбивка_по_щитам!H1588</f>
      </c>
      <c r="F1583" s="20">
        <f>Разбивка_по_щитам!I1588</f>
      </c>
      <c r="G1583" s="20">
        <f>Разбивка_по_щитам!J1588</f>
      </c>
      <c r="H1583" s="20">
        <f>Разбивка_по_щитам!K1588</f>
      </c>
      <c r="I1583" s="20">
        <f>Разбивка_по_щитам!L1588</f>
      </c>
      <c r="J1583" s="20">
        <f>Разбивка_по_щитам!M1588</f>
      </c>
      <c r="K1583" s="20">
        <f>Разбивка_по_щитам!N1588</f>
      </c>
      <c r="L1583" s="20"/>
      <c r="M1583" s="20">
        <f>Разбивка_по_щитам!P1588</f>
      </c>
      <c r="N1583" s="20"/>
    </row>
    <row r="1584" spans="2:14" x14ac:dyDescent="0.25">
      <c r="B1584" s="20">
        <f>Разбивка_по_щитам!B1589</f>
      </c>
      <c r="C1584" s="20">
        <f>Разбивка_по_щитам!C1589</f>
      </c>
      <c r="D1584" s="20">
        <f>Разбивка_по_щитам!F1589</f>
      </c>
      <c r="E1584" s="20">
        <f>Разбивка_по_щитам!H1589</f>
      </c>
      <c r="F1584" s="20">
        <f>Разбивка_по_щитам!I1589</f>
      </c>
      <c r="G1584" s="20">
        <f>Разбивка_по_щитам!J1589</f>
      </c>
      <c r="H1584" s="20">
        <f>Разбивка_по_щитам!K1589</f>
      </c>
      <c r="I1584" s="20">
        <f>Разбивка_по_щитам!L1589</f>
      </c>
      <c r="J1584" s="20">
        <f>Разбивка_по_щитам!M1589</f>
      </c>
      <c r="K1584" s="20">
        <f>Разбивка_по_щитам!N1589</f>
      </c>
      <c r="L1584" s="20"/>
      <c r="M1584" s="20">
        <f>Разбивка_по_щитам!P1589</f>
      </c>
      <c r="N1584" s="20"/>
    </row>
    <row r="1585" spans="2:14" x14ac:dyDescent="0.25">
      <c r="B1585" s="20">
        <f>Разбивка_по_щитам!B1590</f>
      </c>
      <c r="C1585" s="20">
        <f>Разбивка_по_щитам!C1590</f>
      </c>
      <c r="D1585" s="20">
        <f>Разбивка_по_щитам!F1590</f>
      </c>
      <c r="E1585" s="20">
        <f>Разбивка_по_щитам!H1590</f>
      </c>
      <c r="F1585" s="20">
        <f>Разбивка_по_щитам!I1590</f>
      </c>
      <c r="G1585" s="20">
        <f>Разбивка_по_щитам!J1590</f>
      </c>
      <c r="H1585" s="20">
        <f>Разбивка_по_щитам!K1590</f>
      </c>
      <c r="I1585" s="20">
        <f>Разбивка_по_щитам!L1590</f>
      </c>
      <c r="J1585" s="20">
        <f>Разбивка_по_щитам!M1590</f>
      </c>
      <c r="K1585" s="20">
        <f>Разбивка_по_щитам!N1590</f>
      </c>
      <c r="L1585" s="20"/>
      <c r="M1585" s="20">
        <f>Разбивка_по_щитам!P1590</f>
      </c>
      <c r="N1585" s="20"/>
    </row>
    <row r="1586" spans="2:14" x14ac:dyDescent="0.25">
      <c r="B1586" s="20">
        <f>Разбивка_по_щитам!B1591</f>
      </c>
      <c r="C1586" s="20">
        <f>Разбивка_по_щитам!C1591</f>
      </c>
      <c r="D1586" s="20">
        <f>Разбивка_по_щитам!F1591</f>
      </c>
      <c r="E1586" s="20">
        <f>Разбивка_по_щитам!H1591</f>
      </c>
      <c r="F1586" s="20">
        <f>Разбивка_по_щитам!I1591</f>
      </c>
      <c r="G1586" s="20">
        <f>Разбивка_по_щитам!J1591</f>
      </c>
      <c r="H1586" s="20">
        <f>Разбивка_по_щитам!K1591</f>
      </c>
      <c r="I1586" s="20">
        <f>Разбивка_по_щитам!L1591</f>
      </c>
      <c r="J1586" s="20">
        <f>Разбивка_по_щитам!M1591</f>
      </c>
      <c r="K1586" s="20">
        <f>Разбивка_по_щитам!N1591</f>
      </c>
      <c r="L1586" s="20"/>
      <c r="M1586" s="20">
        <f>Разбивка_по_щитам!P1591</f>
      </c>
      <c r="N1586" s="20"/>
    </row>
    <row r="1587" spans="2:14" x14ac:dyDescent="0.25">
      <c r="B1587" s="20">
        <f>Разбивка_по_щитам!B1592</f>
      </c>
      <c r="C1587" s="20">
        <f>Разбивка_по_щитам!C1592</f>
      </c>
      <c r="D1587" s="20">
        <f>Разбивка_по_щитам!F1592</f>
      </c>
      <c r="E1587" s="20">
        <f>Разбивка_по_щитам!H1592</f>
      </c>
      <c r="F1587" s="20">
        <f>Разбивка_по_щитам!I1592</f>
      </c>
      <c r="G1587" s="20">
        <f>Разбивка_по_щитам!J1592</f>
      </c>
      <c r="H1587" s="20">
        <f>Разбивка_по_щитам!K1592</f>
      </c>
      <c r="I1587" s="20">
        <f>Разбивка_по_щитам!L1592</f>
      </c>
      <c r="J1587" s="20">
        <f>Разбивка_по_щитам!M1592</f>
      </c>
      <c r="K1587" s="20">
        <f>Разбивка_по_щитам!N1592</f>
      </c>
      <c r="L1587" s="20"/>
      <c r="M1587" s="20">
        <f>Разбивка_по_щитам!P1592</f>
      </c>
      <c r="N1587" s="20"/>
    </row>
    <row r="1588" spans="2:14" x14ac:dyDescent="0.25">
      <c r="B1588" s="20">
        <f>Разбивка_по_щитам!B1593</f>
      </c>
      <c r="C1588" s="20">
        <f>Разбивка_по_щитам!C1593</f>
      </c>
      <c r="D1588" s="20">
        <f>Разбивка_по_щитам!F1593</f>
      </c>
      <c r="E1588" s="20">
        <f>Разбивка_по_щитам!H1593</f>
      </c>
      <c r="F1588" s="20">
        <f>Разбивка_по_щитам!I1593</f>
      </c>
      <c r="G1588" s="20">
        <f>Разбивка_по_щитам!J1593</f>
      </c>
      <c r="H1588" s="20">
        <f>Разбивка_по_щитам!K1593</f>
      </c>
      <c r="I1588" s="20">
        <f>Разбивка_по_щитам!L1593</f>
      </c>
      <c r="J1588" s="20">
        <f>Разбивка_по_щитам!M1593</f>
      </c>
      <c r="K1588" s="20">
        <f>Разбивка_по_щитам!N1593</f>
      </c>
      <c r="L1588" s="20"/>
      <c r="M1588" s="20">
        <f>Разбивка_по_щитам!P1593</f>
      </c>
      <c r="N1588" s="20"/>
    </row>
    <row r="1589" spans="2:14" x14ac:dyDescent="0.25">
      <c r="B1589" s="20">
        <f>Разбивка_по_щитам!B1594</f>
      </c>
      <c r="C1589" s="20">
        <f>Разбивка_по_щитам!C1594</f>
      </c>
      <c r="D1589" s="20">
        <f>Разбивка_по_щитам!F1594</f>
      </c>
      <c r="E1589" s="20">
        <f>Разбивка_по_щитам!H1594</f>
      </c>
      <c r="F1589" s="20">
        <f>Разбивка_по_щитам!I1594</f>
      </c>
      <c r="G1589" s="20">
        <f>Разбивка_по_щитам!J1594</f>
      </c>
      <c r="H1589" s="20">
        <f>Разбивка_по_щитам!K1594</f>
      </c>
      <c r="I1589" s="20">
        <f>Разбивка_по_щитам!L1594</f>
      </c>
      <c r="J1589" s="20">
        <f>Разбивка_по_щитам!M1594</f>
      </c>
      <c r="K1589" s="20">
        <f>Разбивка_по_щитам!N1594</f>
      </c>
      <c r="L1589" s="20"/>
      <c r="M1589" s="20">
        <f>Разбивка_по_щитам!P1594</f>
      </c>
      <c r="N1589" s="20"/>
    </row>
    <row r="1590" spans="2:14" x14ac:dyDescent="0.25">
      <c r="B1590" s="20">
        <f>Разбивка_по_щитам!B1595</f>
      </c>
      <c r="C1590" s="20">
        <f>Разбивка_по_щитам!C1595</f>
      </c>
      <c r="D1590" s="20">
        <f>Разбивка_по_щитам!F1595</f>
      </c>
      <c r="E1590" s="20">
        <f>Разбивка_по_щитам!H1595</f>
      </c>
      <c r="F1590" s="20">
        <f>Разбивка_по_щитам!I1595</f>
      </c>
      <c r="G1590" s="20">
        <f>Разбивка_по_щитам!J1595</f>
      </c>
      <c r="H1590" s="20">
        <f>Разбивка_по_щитам!K1595</f>
      </c>
      <c r="I1590" s="20">
        <f>Разбивка_по_щитам!L1595</f>
      </c>
      <c r="J1590" s="20">
        <f>Разбивка_по_щитам!M1595</f>
      </c>
      <c r="K1590" s="20">
        <f>Разбивка_по_щитам!N1595</f>
      </c>
      <c r="L1590" s="20"/>
      <c r="M1590" s="20">
        <f>Разбивка_по_щитам!P1595</f>
      </c>
      <c r="N1590" s="20"/>
    </row>
    <row r="1591" spans="2:14" x14ac:dyDescent="0.25">
      <c r="B1591" s="20">
        <f>Разбивка_по_щитам!B1596</f>
      </c>
      <c r="C1591" s="20">
        <f>Разбивка_по_щитам!C1596</f>
      </c>
      <c r="D1591" s="20">
        <f>Разбивка_по_щитам!F1596</f>
      </c>
      <c r="E1591" s="20">
        <f>Разбивка_по_щитам!H1596</f>
      </c>
      <c r="F1591" s="20">
        <f>Разбивка_по_щитам!I1596</f>
      </c>
      <c r="G1591" s="20">
        <f>Разбивка_по_щитам!J1596</f>
      </c>
      <c r="H1591" s="20">
        <f>Разбивка_по_щитам!K1596</f>
      </c>
      <c r="I1591" s="20">
        <f>Разбивка_по_щитам!L1596</f>
      </c>
      <c r="J1591" s="20">
        <f>Разбивка_по_щитам!M1596</f>
      </c>
      <c r="K1591" s="20">
        <f>Разбивка_по_щитам!N1596</f>
      </c>
      <c r="L1591" s="20"/>
      <c r="M1591" s="20">
        <f>Разбивка_по_щитам!P1596</f>
      </c>
      <c r="N1591" s="20"/>
    </row>
    <row r="1592" spans="2:14" x14ac:dyDescent="0.25">
      <c r="B1592" s="20">
        <f>Разбивка_по_щитам!B1597</f>
      </c>
      <c r="C1592" s="20">
        <f>Разбивка_по_щитам!C1597</f>
      </c>
      <c r="D1592" s="20">
        <f>Разбивка_по_щитам!F1597</f>
      </c>
      <c r="E1592" s="20">
        <f>Разбивка_по_щитам!H1597</f>
      </c>
      <c r="F1592" s="20">
        <f>Разбивка_по_щитам!I1597</f>
      </c>
      <c r="G1592" s="20">
        <f>Разбивка_по_щитам!J1597</f>
      </c>
      <c r="H1592" s="20">
        <f>Разбивка_по_щитам!K1597</f>
      </c>
      <c r="I1592" s="20">
        <f>Разбивка_по_щитам!L1597</f>
      </c>
      <c r="J1592" s="20">
        <f>Разбивка_по_щитам!M1597</f>
      </c>
      <c r="K1592" s="20">
        <f>Разбивка_по_щитам!N1597</f>
      </c>
      <c r="L1592" s="20"/>
      <c r="M1592" s="20">
        <f>Разбивка_по_щитам!P1597</f>
      </c>
      <c r="N1592" s="20"/>
    </row>
    <row r="1593" spans="2:14" x14ac:dyDescent="0.25">
      <c r="B1593" s="20">
        <f>Разбивка_по_щитам!B1598</f>
      </c>
      <c r="C1593" s="20">
        <f>Разбивка_по_щитам!C1598</f>
      </c>
      <c r="D1593" s="20">
        <f>Разбивка_по_щитам!F1598</f>
      </c>
      <c r="E1593" s="20">
        <f>Разбивка_по_щитам!H1598</f>
      </c>
      <c r="F1593" s="20">
        <f>Разбивка_по_щитам!I1598</f>
      </c>
      <c r="G1593" s="20">
        <f>Разбивка_по_щитам!J1598</f>
      </c>
      <c r="H1593" s="20">
        <f>Разбивка_по_щитам!K1598</f>
      </c>
      <c r="I1593" s="20">
        <f>Разбивка_по_щитам!L1598</f>
      </c>
      <c r="J1593" s="20">
        <f>Разбивка_по_щитам!M1598</f>
      </c>
      <c r="K1593" s="20">
        <f>Разбивка_по_щитам!N1598</f>
      </c>
      <c r="L1593" s="20"/>
      <c r="M1593" s="20">
        <f>Разбивка_по_щитам!P1598</f>
      </c>
      <c r="N1593" s="20"/>
    </row>
    <row r="1594" spans="2:14" x14ac:dyDescent="0.25">
      <c r="B1594" s="20">
        <f>Разбивка_по_щитам!B1599</f>
      </c>
      <c r="C1594" s="20">
        <f>Разбивка_по_щитам!C1599</f>
      </c>
      <c r="D1594" s="20">
        <f>Разбивка_по_щитам!F1599</f>
      </c>
      <c r="E1594" s="20">
        <f>Разбивка_по_щитам!H1599</f>
      </c>
      <c r="F1594" s="20">
        <f>Разбивка_по_щитам!I1599</f>
      </c>
      <c r="G1594" s="20">
        <f>Разбивка_по_щитам!J1599</f>
      </c>
      <c r="H1594" s="20">
        <f>Разбивка_по_щитам!K1599</f>
      </c>
      <c r="I1594" s="20">
        <f>Разбивка_по_щитам!L1599</f>
      </c>
      <c r="J1594" s="20">
        <f>Разбивка_по_щитам!M1599</f>
      </c>
      <c r="K1594" s="20">
        <f>Разбивка_по_щитам!N1599</f>
      </c>
      <c r="L1594" s="20"/>
      <c r="M1594" s="20">
        <f>Разбивка_по_щитам!P1599</f>
      </c>
      <c r="N1594" s="20"/>
    </row>
    <row r="1595" spans="2:14" x14ac:dyDescent="0.25">
      <c r="B1595" s="20">
        <f>Разбивка_по_щитам!B1600</f>
      </c>
      <c r="C1595" s="20">
        <f>Разбивка_по_щитам!C1600</f>
      </c>
      <c r="D1595" s="20">
        <f>Разбивка_по_щитам!F1600</f>
      </c>
      <c r="E1595" s="20">
        <f>Разбивка_по_щитам!H1600</f>
      </c>
      <c r="F1595" s="20">
        <f>Разбивка_по_щитам!I1600</f>
      </c>
      <c r="G1595" s="20">
        <f>Разбивка_по_щитам!J1600</f>
      </c>
      <c r="H1595" s="20">
        <f>Разбивка_по_щитам!K1600</f>
      </c>
      <c r="I1595" s="20">
        <f>Разбивка_по_щитам!L1600</f>
      </c>
      <c r="J1595" s="20">
        <f>Разбивка_по_щитам!M1600</f>
      </c>
      <c r="K1595" s="20">
        <f>Разбивка_по_щитам!N1600</f>
      </c>
      <c r="L1595" s="20"/>
      <c r="M1595" s="20">
        <f>Разбивка_по_щитам!P1600</f>
      </c>
      <c r="N1595" s="20"/>
    </row>
    <row r="1596" spans="2:14" x14ac:dyDescent="0.25">
      <c r="B1596" s="20">
        <f>Разбивка_по_щитам!B1601</f>
      </c>
      <c r="C1596" s="20">
        <f>Разбивка_по_щитам!C1601</f>
      </c>
      <c r="D1596" s="20">
        <f>Разбивка_по_щитам!F1601</f>
      </c>
      <c r="E1596" s="20">
        <f>Разбивка_по_щитам!H1601</f>
      </c>
      <c r="F1596" s="20">
        <f>Разбивка_по_щитам!I1601</f>
      </c>
      <c r="G1596" s="20">
        <f>Разбивка_по_щитам!J1601</f>
      </c>
      <c r="H1596" s="20">
        <f>Разбивка_по_щитам!K1601</f>
      </c>
      <c r="I1596" s="20">
        <f>Разбивка_по_щитам!L1601</f>
      </c>
      <c r="J1596" s="20">
        <f>Разбивка_по_щитам!M1601</f>
      </c>
      <c r="K1596" s="20">
        <f>Разбивка_по_щитам!N1601</f>
      </c>
      <c r="L1596" s="20"/>
      <c r="M1596" s="20">
        <f>Разбивка_по_щитам!P1601</f>
      </c>
      <c r="N1596" s="20"/>
    </row>
    <row r="1597" spans="2:14" x14ac:dyDescent="0.25">
      <c r="B1597" s="20">
        <f>Разбивка_по_щитам!B1602</f>
      </c>
      <c r="C1597" s="20">
        <f>Разбивка_по_щитам!C1602</f>
      </c>
      <c r="D1597" s="20">
        <f>Разбивка_по_щитам!F1602</f>
      </c>
      <c r="E1597" s="20">
        <f>Разбивка_по_щитам!H1602</f>
      </c>
      <c r="F1597" s="20">
        <f>Разбивка_по_щитам!I1602</f>
      </c>
      <c r="G1597" s="20">
        <f>Разбивка_по_щитам!J1602</f>
      </c>
      <c r="H1597" s="20">
        <f>Разбивка_по_щитам!K1602</f>
      </c>
      <c r="I1597" s="20">
        <f>Разбивка_по_щитам!L1602</f>
      </c>
      <c r="J1597" s="20">
        <f>Разбивка_по_щитам!M1602</f>
      </c>
      <c r="K1597" s="20">
        <f>Разбивка_по_щитам!N1602</f>
      </c>
      <c r="L1597" s="20"/>
      <c r="M1597" s="20">
        <f>Разбивка_по_щитам!P1602</f>
      </c>
      <c r="N1597" s="20"/>
    </row>
    <row r="1598" spans="2:14" x14ac:dyDescent="0.25">
      <c r="B1598" s="20">
        <f>Разбивка_по_щитам!B1603</f>
      </c>
      <c r="C1598" s="20">
        <f>Разбивка_по_щитам!C1603</f>
      </c>
      <c r="D1598" s="20">
        <f>Разбивка_по_щитам!F1603</f>
      </c>
      <c r="E1598" s="20">
        <f>Разбивка_по_щитам!H1603</f>
      </c>
      <c r="F1598" s="20">
        <f>Разбивка_по_щитам!I1603</f>
      </c>
      <c r="G1598" s="20">
        <f>Разбивка_по_щитам!J1603</f>
      </c>
      <c r="H1598" s="20">
        <f>Разбивка_по_щитам!K1603</f>
      </c>
      <c r="I1598" s="20">
        <f>Разбивка_по_щитам!L1603</f>
      </c>
      <c r="J1598" s="20">
        <f>Разбивка_по_щитам!M1603</f>
      </c>
      <c r="K1598" s="20">
        <f>Разбивка_по_щитам!N1603</f>
      </c>
      <c r="L1598" s="20"/>
      <c r="M1598" s="20">
        <f>Разбивка_по_щитам!P1603</f>
      </c>
      <c r="N1598" s="20"/>
    </row>
    <row r="1599" spans="2:14" x14ac:dyDescent="0.25">
      <c r="B1599" s="20">
        <f>Разбивка_по_щитам!B1604</f>
      </c>
      <c r="C1599" s="20">
        <f>Разбивка_по_щитам!C1604</f>
      </c>
      <c r="D1599" s="20">
        <f>Разбивка_по_щитам!F1604</f>
      </c>
      <c r="E1599" s="20">
        <f>Разбивка_по_щитам!H1604</f>
      </c>
      <c r="F1599" s="20">
        <f>Разбивка_по_щитам!I1604</f>
      </c>
      <c r="G1599" s="20">
        <f>Разбивка_по_щитам!J1604</f>
      </c>
      <c r="H1599" s="20">
        <f>Разбивка_по_щитам!K1604</f>
      </c>
      <c r="I1599" s="20">
        <f>Разбивка_по_щитам!L1604</f>
      </c>
      <c r="J1599" s="20">
        <f>Разбивка_по_щитам!M1604</f>
      </c>
      <c r="K1599" s="20">
        <f>Разбивка_по_щитам!N1604</f>
      </c>
      <c r="L1599" s="20"/>
      <c r="M1599" s="20">
        <f>Разбивка_по_щитам!P1604</f>
      </c>
      <c r="N1599" s="20"/>
    </row>
    <row r="1600" spans="2:14" x14ac:dyDescent="0.25">
      <c r="B1600" s="20">
        <f>Разбивка_по_щитам!B1605</f>
      </c>
      <c r="C1600" s="20">
        <f>Разбивка_по_щитам!C1605</f>
      </c>
      <c r="D1600" s="20">
        <f>Разбивка_по_щитам!F1605</f>
      </c>
      <c r="E1600" s="20">
        <f>Разбивка_по_щитам!H1605</f>
      </c>
      <c r="F1600" s="20">
        <f>Разбивка_по_щитам!I1605</f>
      </c>
      <c r="G1600" s="20">
        <f>Разбивка_по_щитам!J1605</f>
      </c>
      <c r="H1600" s="20">
        <f>Разбивка_по_щитам!K1605</f>
      </c>
      <c r="I1600" s="20">
        <f>Разбивка_по_щитам!L1605</f>
      </c>
      <c r="J1600" s="20">
        <f>Разбивка_по_щитам!M1605</f>
      </c>
      <c r="K1600" s="20">
        <f>Разбивка_по_щитам!N1605</f>
      </c>
      <c r="L1600" s="20"/>
      <c r="M1600" s="20">
        <f>Разбивка_по_щитам!P1605</f>
      </c>
      <c r="N1600" s="20"/>
    </row>
    <row r="1601" spans="2:14" x14ac:dyDescent="0.25">
      <c r="B1601" s="20">
        <f>Разбивка_по_щитам!B1606</f>
      </c>
      <c r="C1601" s="20">
        <f>Разбивка_по_щитам!C1606</f>
      </c>
      <c r="D1601" s="20">
        <f>Разбивка_по_щитам!F1606</f>
      </c>
      <c r="E1601" s="20">
        <f>Разбивка_по_щитам!H1606</f>
      </c>
      <c r="F1601" s="20">
        <f>Разбивка_по_щитам!I1606</f>
      </c>
      <c r="G1601" s="20">
        <f>Разбивка_по_щитам!J1606</f>
      </c>
      <c r="H1601" s="20">
        <f>Разбивка_по_щитам!K1606</f>
      </c>
      <c r="I1601" s="20">
        <f>Разбивка_по_щитам!L1606</f>
      </c>
      <c r="J1601" s="20">
        <f>Разбивка_по_щитам!M1606</f>
      </c>
      <c r="K1601" s="20">
        <f>Разбивка_по_щитам!N1606</f>
      </c>
      <c r="L1601" s="20"/>
      <c r="M1601" s="20">
        <f>Разбивка_по_щитам!P1606</f>
      </c>
      <c r="N1601" s="20"/>
    </row>
    <row r="1602" spans="2:14" x14ac:dyDescent="0.25">
      <c r="B1602" s="20">
        <f>Разбивка_по_щитам!B1607</f>
      </c>
      <c r="C1602" s="20">
        <f>Разбивка_по_щитам!C1607</f>
      </c>
      <c r="D1602" s="20">
        <f>Разбивка_по_щитам!F1607</f>
      </c>
      <c r="E1602" s="20">
        <f>Разбивка_по_щитам!H1607</f>
      </c>
      <c r="F1602" s="20">
        <f>Разбивка_по_щитам!I1607</f>
      </c>
      <c r="G1602" s="20">
        <f>Разбивка_по_щитам!J1607</f>
      </c>
      <c r="H1602" s="20">
        <f>Разбивка_по_щитам!K1607</f>
      </c>
      <c r="I1602" s="20">
        <f>Разбивка_по_щитам!L1607</f>
      </c>
      <c r="J1602" s="20">
        <f>Разбивка_по_щитам!M1607</f>
      </c>
      <c r="K1602" s="20">
        <f>Разбивка_по_щитам!N1607</f>
      </c>
      <c r="L1602" s="20"/>
      <c r="M1602" s="20">
        <f>Разбивка_по_щитам!P1607</f>
      </c>
      <c r="N1602" s="20"/>
    </row>
    <row r="1603" spans="2:14" x14ac:dyDescent="0.25">
      <c r="B1603" s="20">
        <f>Разбивка_по_щитам!B1608</f>
      </c>
      <c r="C1603" s="20">
        <f>Разбивка_по_щитам!C1608</f>
      </c>
      <c r="D1603" s="20">
        <f>Разбивка_по_щитам!F1608</f>
      </c>
      <c r="E1603" s="20">
        <f>Разбивка_по_щитам!H1608</f>
      </c>
      <c r="F1603" s="20">
        <f>Разбивка_по_щитам!I1608</f>
      </c>
      <c r="G1603" s="20">
        <f>Разбивка_по_щитам!J1608</f>
      </c>
      <c r="H1603" s="20">
        <f>Разбивка_по_щитам!K1608</f>
      </c>
      <c r="I1603" s="20">
        <f>Разбивка_по_щитам!L1608</f>
      </c>
      <c r="J1603" s="20">
        <f>Разбивка_по_щитам!M1608</f>
      </c>
      <c r="K1603" s="20">
        <f>Разбивка_по_щитам!N1608</f>
      </c>
      <c r="L1603" s="20"/>
      <c r="M1603" s="20">
        <f>Разбивка_по_щитам!P1608</f>
      </c>
      <c r="N1603" s="20"/>
    </row>
    <row r="1604" spans="2:14" x14ac:dyDescent="0.25">
      <c r="B1604" s="20">
        <f>Разбивка_по_щитам!B1609</f>
      </c>
      <c r="C1604" s="20">
        <f>Разбивка_по_щитам!C1609</f>
      </c>
      <c r="D1604" s="20">
        <f>Разбивка_по_щитам!F1609</f>
      </c>
      <c r="E1604" s="20">
        <f>Разбивка_по_щитам!H1609</f>
      </c>
      <c r="F1604" s="20">
        <f>Разбивка_по_щитам!I1609</f>
      </c>
      <c r="G1604" s="20">
        <f>Разбивка_по_щитам!J1609</f>
      </c>
      <c r="H1604" s="20">
        <f>Разбивка_по_щитам!K1609</f>
      </c>
      <c r="I1604" s="20">
        <f>Разбивка_по_щитам!L1609</f>
      </c>
      <c r="J1604" s="20">
        <f>Разбивка_по_щитам!M1609</f>
      </c>
      <c r="K1604" s="20">
        <f>Разбивка_по_щитам!N1609</f>
      </c>
      <c r="L1604" s="20"/>
      <c r="M1604" s="20">
        <f>Разбивка_по_щитам!P1609</f>
      </c>
      <c r="N1604" s="20"/>
    </row>
    <row r="1605" spans="2:14" x14ac:dyDescent="0.25">
      <c r="B1605" s="20">
        <f>Разбивка_по_щитам!B1610</f>
      </c>
      <c r="C1605" s="20">
        <f>Разбивка_по_щитам!C1610</f>
      </c>
      <c r="D1605" s="20">
        <f>Разбивка_по_щитам!F1610</f>
      </c>
      <c r="E1605" s="20">
        <f>Разбивка_по_щитам!H1610</f>
      </c>
      <c r="F1605" s="20">
        <f>Разбивка_по_щитам!I1610</f>
      </c>
      <c r="G1605" s="20">
        <f>Разбивка_по_щитам!J1610</f>
      </c>
      <c r="H1605" s="20">
        <f>Разбивка_по_щитам!K1610</f>
      </c>
      <c r="I1605" s="20">
        <f>Разбивка_по_щитам!L1610</f>
      </c>
      <c r="J1605" s="20">
        <f>Разбивка_по_щитам!M1610</f>
      </c>
      <c r="K1605" s="20">
        <f>Разбивка_по_щитам!N1610</f>
      </c>
      <c r="L1605" s="20"/>
      <c r="M1605" s="20">
        <f>Разбивка_по_щитам!P1610</f>
      </c>
      <c r="N1605" s="20"/>
    </row>
    <row r="1606" spans="2:14" x14ac:dyDescent="0.25">
      <c r="B1606" s="20">
        <f>Разбивка_по_щитам!B1611</f>
      </c>
      <c r="C1606" s="20">
        <f>Разбивка_по_щитам!C1611</f>
      </c>
      <c r="D1606" s="20">
        <f>Разбивка_по_щитам!F1611</f>
      </c>
      <c r="E1606" s="20">
        <f>Разбивка_по_щитам!H1611</f>
      </c>
      <c r="F1606" s="20">
        <f>Разбивка_по_щитам!I1611</f>
      </c>
      <c r="G1606" s="20">
        <f>Разбивка_по_щитам!J1611</f>
      </c>
      <c r="H1606" s="20">
        <f>Разбивка_по_щитам!K1611</f>
      </c>
      <c r="I1606" s="20">
        <f>Разбивка_по_щитам!L1611</f>
      </c>
      <c r="J1606" s="20">
        <f>Разбивка_по_щитам!M1611</f>
      </c>
      <c r="K1606" s="20">
        <f>Разбивка_по_щитам!N1611</f>
      </c>
      <c r="L1606" s="20"/>
      <c r="M1606" s="20">
        <f>Разбивка_по_щитам!P1611</f>
      </c>
      <c r="N1606" s="20"/>
    </row>
    <row r="1607" spans="2:14" x14ac:dyDescent="0.25">
      <c r="B1607" s="20">
        <f>Разбивка_по_щитам!B1612</f>
      </c>
      <c r="C1607" s="20">
        <f>Разбивка_по_щитам!C1612</f>
      </c>
      <c r="D1607" s="20">
        <f>Разбивка_по_щитам!F1612</f>
      </c>
      <c r="E1607" s="20">
        <f>Разбивка_по_щитам!H1612</f>
      </c>
      <c r="F1607" s="20">
        <f>Разбивка_по_щитам!I1612</f>
      </c>
      <c r="G1607" s="20">
        <f>Разбивка_по_щитам!J1612</f>
      </c>
      <c r="H1607" s="20">
        <f>Разбивка_по_щитам!K1612</f>
      </c>
      <c r="I1607" s="20">
        <f>Разбивка_по_щитам!L1612</f>
      </c>
      <c r="J1607" s="20">
        <f>Разбивка_по_щитам!M1612</f>
      </c>
      <c r="K1607" s="20">
        <f>Разбивка_по_щитам!N1612</f>
      </c>
      <c r="L1607" s="20"/>
      <c r="M1607" s="20">
        <f>Разбивка_по_щитам!P1612</f>
      </c>
      <c r="N1607" s="20"/>
    </row>
    <row r="1608" spans="2:14" x14ac:dyDescent="0.25">
      <c r="B1608" s="20">
        <f>Разбивка_по_щитам!B1613</f>
      </c>
      <c r="C1608" s="20">
        <f>Разбивка_по_щитам!C1613</f>
      </c>
      <c r="D1608" s="20">
        <f>Разбивка_по_щитам!F1613</f>
      </c>
      <c r="E1608" s="20">
        <f>Разбивка_по_щитам!H1613</f>
      </c>
      <c r="F1608" s="20">
        <f>Разбивка_по_щитам!I1613</f>
      </c>
      <c r="G1608" s="20">
        <f>Разбивка_по_щитам!J1613</f>
      </c>
      <c r="H1608" s="20">
        <f>Разбивка_по_щитам!K1613</f>
      </c>
      <c r="I1608" s="20">
        <f>Разбивка_по_щитам!L1613</f>
      </c>
      <c r="J1608" s="20">
        <f>Разбивка_по_щитам!M1613</f>
      </c>
      <c r="K1608" s="20">
        <f>Разбивка_по_щитам!N1613</f>
      </c>
      <c r="L1608" s="20"/>
      <c r="M1608" s="20">
        <f>Разбивка_по_щитам!P1613</f>
      </c>
      <c r="N1608" s="20"/>
    </row>
    <row r="1609" spans="2:14" x14ac:dyDescent="0.25">
      <c r="B1609" s="20">
        <f>Разбивка_по_щитам!B1614</f>
      </c>
      <c r="C1609" s="20">
        <f>Разбивка_по_щитам!C1614</f>
      </c>
      <c r="D1609" s="20">
        <f>Разбивка_по_щитам!F1614</f>
      </c>
      <c r="E1609" s="20">
        <f>Разбивка_по_щитам!H1614</f>
      </c>
      <c r="F1609" s="20">
        <f>Разбивка_по_щитам!I1614</f>
      </c>
      <c r="G1609" s="20">
        <f>Разбивка_по_щитам!J1614</f>
      </c>
      <c r="H1609" s="20">
        <f>Разбивка_по_щитам!K1614</f>
      </c>
      <c r="I1609" s="20">
        <f>Разбивка_по_щитам!L1614</f>
      </c>
      <c r="J1609" s="20">
        <f>Разбивка_по_щитам!M1614</f>
      </c>
      <c r="K1609" s="20">
        <f>Разбивка_по_щитам!N1614</f>
      </c>
      <c r="L1609" s="20"/>
      <c r="M1609" s="20">
        <f>Разбивка_по_щитам!P1614</f>
      </c>
      <c r="N1609" s="20"/>
    </row>
    <row r="1610" spans="2:14" x14ac:dyDescent="0.25">
      <c r="B1610" s="20">
        <f>Разбивка_по_щитам!B1615</f>
      </c>
      <c r="C1610" s="20">
        <f>Разбивка_по_щитам!C1615</f>
      </c>
      <c r="D1610" s="20">
        <f>Разбивка_по_щитам!F1615</f>
      </c>
      <c r="E1610" s="20">
        <f>Разбивка_по_щитам!H1615</f>
      </c>
      <c r="F1610" s="20">
        <f>Разбивка_по_щитам!I1615</f>
      </c>
      <c r="G1610" s="20">
        <f>Разбивка_по_щитам!J1615</f>
      </c>
      <c r="H1610" s="20">
        <f>Разбивка_по_щитам!K1615</f>
      </c>
      <c r="I1610" s="20">
        <f>Разбивка_по_щитам!L1615</f>
      </c>
      <c r="J1610" s="20">
        <f>Разбивка_по_щитам!M1615</f>
      </c>
      <c r="K1610" s="20">
        <f>Разбивка_по_щитам!N1615</f>
      </c>
      <c r="L1610" s="20"/>
      <c r="M1610" s="20">
        <f>Разбивка_по_щитам!P1615</f>
      </c>
      <c r="N1610" s="20"/>
    </row>
    <row r="1611" spans="2:14" x14ac:dyDescent="0.25">
      <c r="B1611" s="20">
        <f>Разбивка_по_щитам!B1616</f>
      </c>
      <c r="C1611" s="20">
        <f>Разбивка_по_щитам!C1616</f>
      </c>
      <c r="D1611" s="20">
        <f>Разбивка_по_щитам!F1616</f>
      </c>
      <c r="E1611" s="20">
        <f>Разбивка_по_щитам!H1616</f>
      </c>
      <c r="F1611" s="20">
        <f>Разбивка_по_щитам!I1616</f>
      </c>
      <c r="G1611" s="20">
        <f>Разбивка_по_щитам!J1616</f>
      </c>
      <c r="H1611" s="20">
        <f>Разбивка_по_щитам!K1616</f>
      </c>
      <c r="I1611" s="20">
        <f>Разбивка_по_щитам!L1616</f>
      </c>
      <c r="J1611" s="20">
        <f>Разбивка_по_щитам!M1616</f>
      </c>
      <c r="K1611" s="20">
        <f>Разбивка_по_щитам!N1616</f>
      </c>
      <c r="L1611" s="20"/>
      <c r="M1611" s="20">
        <f>Разбивка_по_щитам!P1616</f>
      </c>
      <c r="N1611" s="20"/>
    </row>
    <row r="1612" spans="2:14" x14ac:dyDescent="0.25">
      <c r="B1612" s="20">
        <f>Разбивка_по_щитам!B1617</f>
      </c>
      <c r="C1612" s="20">
        <f>Разбивка_по_щитам!C1617</f>
      </c>
      <c r="D1612" s="20">
        <f>Разбивка_по_щитам!F1617</f>
      </c>
      <c r="E1612" s="20">
        <f>Разбивка_по_щитам!H1617</f>
      </c>
      <c r="F1612" s="20">
        <f>Разбивка_по_щитам!I1617</f>
      </c>
      <c r="G1612" s="20">
        <f>Разбивка_по_щитам!J1617</f>
      </c>
      <c r="H1612" s="20">
        <f>Разбивка_по_щитам!K1617</f>
      </c>
      <c r="I1612" s="20">
        <f>Разбивка_по_щитам!L1617</f>
      </c>
      <c r="J1612" s="20">
        <f>Разбивка_по_щитам!M1617</f>
      </c>
      <c r="K1612" s="20">
        <f>Разбивка_по_щитам!N1617</f>
      </c>
      <c r="L1612" s="20"/>
      <c r="M1612" s="20">
        <f>Разбивка_по_щитам!P1617</f>
      </c>
      <c r="N1612" s="20"/>
    </row>
    <row r="1613" spans="2:14" x14ac:dyDescent="0.25">
      <c r="B1613" s="20">
        <f>Разбивка_по_щитам!B1618</f>
      </c>
      <c r="C1613" s="20">
        <f>Разбивка_по_щитам!C1618</f>
      </c>
      <c r="D1613" s="20">
        <f>Разбивка_по_щитам!F1618</f>
      </c>
      <c r="E1613" s="20">
        <f>Разбивка_по_щитам!H1618</f>
      </c>
      <c r="F1613" s="20">
        <f>Разбивка_по_щитам!I1618</f>
      </c>
      <c r="G1613" s="20">
        <f>Разбивка_по_щитам!J1618</f>
      </c>
      <c r="H1613" s="20">
        <f>Разбивка_по_щитам!K1618</f>
      </c>
      <c r="I1613" s="20">
        <f>Разбивка_по_щитам!L1618</f>
      </c>
      <c r="J1613" s="20">
        <f>Разбивка_по_щитам!M1618</f>
      </c>
      <c r="K1613" s="20">
        <f>Разбивка_по_щитам!N1618</f>
      </c>
      <c r="L1613" s="20"/>
      <c r="M1613" s="20">
        <f>Разбивка_по_щитам!P1618</f>
      </c>
      <c r="N1613" s="20"/>
    </row>
    <row r="1614" spans="2:14" x14ac:dyDescent="0.25">
      <c r="B1614" s="20">
        <f>Разбивка_по_щитам!B1619</f>
      </c>
      <c r="C1614" s="20">
        <f>Разбивка_по_щитам!C1619</f>
      </c>
      <c r="D1614" s="20">
        <f>Разбивка_по_щитам!F1619</f>
      </c>
      <c r="E1614" s="20">
        <f>Разбивка_по_щитам!H1619</f>
      </c>
      <c r="F1614" s="20">
        <f>Разбивка_по_щитам!I1619</f>
      </c>
      <c r="G1614" s="20">
        <f>Разбивка_по_щитам!J1619</f>
      </c>
      <c r="H1614" s="20">
        <f>Разбивка_по_щитам!K1619</f>
      </c>
      <c r="I1614" s="20">
        <f>Разбивка_по_щитам!L1619</f>
      </c>
      <c r="J1614" s="20">
        <f>Разбивка_по_щитам!M1619</f>
      </c>
      <c r="K1614" s="20">
        <f>Разбивка_по_щитам!N1619</f>
      </c>
      <c r="L1614" s="20"/>
      <c r="M1614" s="20">
        <f>Разбивка_по_щитам!P1619</f>
      </c>
      <c r="N1614" s="20"/>
    </row>
    <row r="1615" spans="2:14" x14ac:dyDescent="0.25">
      <c r="B1615" s="20">
        <f>Разбивка_по_щитам!B1620</f>
      </c>
      <c r="C1615" s="20">
        <f>Разбивка_по_щитам!C1620</f>
      </c>
      <c r="D1615" s="20">
        <f>Разбивка_по_щитам!F1620</f>
      </c>
      <c r="E1615" s="20">
        <f>Разбивка_по_щитам!H1620</f>
      </c>
      <c r="F1615" s="20">
        <f>Разбивка_по_щитам!I1620</f>
      </c>
      <c r="G1615" s="20">
        <f>Разбивка_по_щитам!J1620</f>
      </c>
      <c r="H1615" s="20">
        <f>Разбивка_по_щитам!K1620</f>
      </c>
      <c r="I1615" s="20">
        <f>Разбивка_по_щитам!L1620</f>
      </c>
      <c r="J1615" s="20">
        <f>Разбивка_по_щитам!M1620</f>
      </c>
      <c r="K1615" s="20">
        <f>Разбивка_по_щитам!N1620</f>
      </c>
      <c r="L1615" s="20"/>
      <c r="M1615" s="20">
        <f>Разбивка_по_щитам!P1620</f>
      </c>
      <c r="N1615" s="20"/>
    </row>
    <row r="1616" spans="2:14" x14ac:dyDescent="0.25">
      <c r="B1616" s="20">
        <f>Разбивка_по_щитам!B1621</f>
      </c>
      <c r="C1616" s="20">
        <f>Разбивка_по_щитам!C1621</f>
      </c>
      <c r="D1616" s="20">
        <f>Разбивка_по_щитам!F1621</f>
      </c>
      <c r="E1616" s="20">
        <f>Разбивка_по_щитам!H1621</f>
      </c>
      <c r="F1616" s="20">
        <f>Разбивка_по_щитам!I1621</f>
      </c>
      <c r="G1616" s="20">
        <f>Разбивка_по_щитам!J1621</f>
      </c>
      <c r="H1616" s="20">
        <f>Разбивка_по_щитам!K1621</f>
      </c>
      <c r="I1616" s="20">
        <f>Разбивка_по_щитам!L1621</f>
      </c>
      <c r="J1616" s="20">
        <f>Разбивка_по_щитам!M1621</f>
      </c>
      <c r="K1616" s="20">
        <f>Разбивка_по_щитам!N1621</f>
      </c>
      <c r="L1616" s="20"/>
      <c r="M1616" s="20">
        <f>Разбивка_по_щитам!P1621</f>
      </c>
      <c r="N1616" s="20"/>
    </row>
    <row r="1617" spans="2:14" x14ac:dyDescent="0.25">
      <c r="B1617" s="20">
        <f>Разбивка_по_щитам!B1622</f>
      </c>
      <c r="C1617" s="20">
        <f>Разбивка_по_щитам!C1622</f>
      </c>
      <c r="D1617" s="20">
        <f>Разбивка_по_щитам!F1622</f>
      </c>
      <c r="E1617" s="20">
        <f>Разбивка_по_щитам!H1622</f>
      </c>
      <c r="F1617" s="20">
        <f>Разбивка_по_щитам!I1622</f>
      </c>
      <c r="G1617" s="20">
        <f>Разбивка_по_щитам!J1622</f>
      </c>
      <c r="H1617" s="20">
        <f>Разбивка_по_щитам!K1622</f>
      </c>
      <c r="I1617" s="20">
        <f>Разбивка_по_щитам!L1622</f>
      </c>
      <c r="J1617" s="20">
        <f>Разбивка_по_щитам!M1622</f>
      </c>
      <c r="K1617" s="20">
        <f>Разбивка_по_щитам!N1622</f>
      </c>
      <c r="L1617" s="20"/>
      <c r="M1617" s="20">
        <f>Разбивка_по_щитам!P1622</f>
      </c>
      <c r="N1617" s="20"/>
    </row>
    <row r="1618" spans="2:14" x14ac:dyDescent="0.25">
      <c r="B1618" s="20">
        <f>Разбивка_по_щитам!B1623</f>
      </c>
      <c r="C1618" s="20">
        <f>Разбивка_по_щитам!C1623</f>
      </c>
      <c r="D1618" s="20">
        <f>Разбивка_по_щитам!F1623</f>
      </c>
      <c r="E1618" s="20">
        <f>Разбивка_по_щитам!H1623</f>
      </c>
      <c r="F1618" s="20">
        <f>Разбивка_по_щитам!I1623</f>
      </c>
      <c r="G1618" s="20">
        <f>Разбивка_по_щитам!J1623</f>
      </c>
      <c r="H1618" s="20">
        <f>Разбивка_по_щитам!K1623</f>
      </c>
      <c r="I1618" s="20">
        <f>Разбивка_по_щитам!L1623</f>
      </c>
      <c r="J1618" s="20">
        <f>Разбивка_по_щитам!M1623</f>
      </c>
      <c r="K1618" s="20">
        <f>Разбивка_по_щитам!N1623</f>
      </c>
      <c r="L1618" s="20"/>
      <c r="M1618" s="20">
        <f>Разбивка_по_щитам!P1623</f>
      </c>
      <c r="N1618" s="20"/>
    </row>
    <row r="1619" spans="2:14" x14ac:dyDescent="0.25">
      <c r="B1619" s="20">
        <f>Разбивка_по_щитам!B1624</f>
      </c>
      <c r="C1619" s="20">
        <f>Разбивка_по_щитам!C1624</f>
      </c>
      <c r="D1619" s="20">
        <f>Разбивка_по_щитам!F1624</f>
      </c>
      <c r="E1619" s="20">
        <f>Разбивка_по_щитам!H1624</f>
      </c>
      <c r="F1619" s="20">
        <f>Разбивка_по_щитам!I1624</f>
      </c>
      <c r="G1619" s="20">
        <f>Разбивка_по_щитам!J1624</f>
      </c>
      <c r="H1619" s="20">
        <f>Разбивка_по_щитам!K1624</f>
      </c>
      <c r="I1619" s="20">
        <f>Разбивка_по_щитам!L1624</f>
      </c>
      <c r="J1619" s="20">
        <f>Разбивка_по_щитам!M1624</f>
      </c>
      <c r="K1619" s="20">
        <f>Разбивка_по_щитам!N1624</f>
      </c>
      <c r="L1619" s="20"/>
      <c r="M1619" s="20">
        <f>Разбивка_по_щитам!P1624</f>
      </c>
      <c r="N1619" s="20"/>
    </row>
    <row r="1620" spans="2:14" x14ac:dyDescent="0.25">
      <c r="B1620" s="20">
        <f>Разбивка_по_щитам!B1625</f>
      </c>
      <c r="C1620" s="20">
        <f>Разбивка_по_щитам!C1625</f>
      </c>
      <c r="D1620" s="20">
        <f>Разбивка_по_щитам!F1625</f>
      </c>
      <c r="E1620" s="20">
        <f>Разбивка_по_щитам!H1625</f>
      </c>
      <c r="F1620" s="20">
        <f>Разбивка_по_щитам!I1625</f>
      </c>
      <c r="G1620" s="20">
        <f>Разбивка_по_щитам!J1625</f>
      </c>
      <c r="H1620" s="20">
        <f>Разбивка_по_щитам!K1625</f>
      </c>
      <c r="I1620" s="20">
        <f>Разбивка_по_щитам!L1625</f>
      </c>
      <c r="J1620" s="20">
        <f>Разбивка_по_щитам!M1625</f>
      </c>
      <c r="K1620" s="20">
        <f>Разбивка_по_щитам!N1625</f>
      </c>
      <c r="L1620" s="20"/>
      <c r="M1620" s="20">
        <f>Разбивка_по_щитам!P1625</f>
      </c>
      <c r="N1620" s="20"/>
    </row>
    <row r="1621" spans="2:14" x14ac:dyDescent="0.25">
      <c r="B1621" s="20">
        <f>Разбивка_по_щитам!B1626</f>
      </c>
      <c r="C1621" s="20">
        <f>Разбивка_по_щитам!C1626</f>
      </c>
      <c r="D1621" s="20">
        <f>Разбивка_по_щитам!F1626</f>
      </c>
      <c r="E1621" s="20">
        <f>Разбивка_по_щитам!H1626</f>
      </c>
      <c r="F1621" s="20">
        <f>Разбивка_по_щитам!I1626</f>
      </c>
      <c r="G1621" s="20">
        <f>Разбивка_по_щитам!J1626</f>
      </c>
      <c r="H1621" s="20">
        <f>Разбивка_по_щитам!K1626</f>
      </c>
      <c r="I1621" s="20">
        <f>Разбивка_по_щитам!L1626</f>
      </c>
      <c r="J1621" s="20">
        <f>Разбивка_по_щитам!M1626</f>
      </c>
      <c r="K1621" s="20">
        <f>Разбивка_по_щитам!N1626</f>
      </c>
      <c r="L1621" s="20"/>
      <c r="M1621" s="20">
        <f>Разбивка_по_щитам!P1626</f>
      </c>
      <c r="N1621" s="20"/>
    </row>
    <row r="1622" spans="2:14" x14ac:dyDescent="0.25">
      <c r="B1622" s="20">
        <f>Разбивка_по_щитам!B1627</f>
      </c>
      <c r="C1622" s="20">
        <f>Разбивка_по_щитам!C1627</f>
      </c>
      <c r="D1622" s="20">
        <f>Разбивка_по_щитам!F1627</f>
      </c>
      <c r="E1622" s="20">
        <f>Разбивка_по_щитам!H1627</f>
      </c>
      <c r="F1622" s="20">
        <f>Разбивка_по_щитам!I1627</f>
      </c>
      <c r="G1622" s="20">
        <f>Разбивка_по_щитам!J1627</f>
      </c>
      <c r="H1622" s="20">
        <f>Разбивка_по_щитам!K1627</f>
      </c>
      <c r="I1622" s="20">
        <f>Разбивка_по_щитам!L1627</f>
      </c>
      <c r="J1622" s="20">
        <f>Разбивка_по_щитам!M1627</f>
      </c>
      <c r="K1622" s="20">
        <f>Разбивка_по_щитам!N1627</f>
      </c>
      <c r="L1622" s="20"/>
      <c r="M1622" s="20">
        <f>Разбивка_по_щитам!P1627</f>
      </c>
      <c r="N1622" s="20"/>
    </row>
    <row r="1623" spans="2:14" x14ac:dyDescent="0.25">
      <c r="B1623" s="20">
        <f>Разбивка_по_щитам!B1628</f>
      </c>
      <c r="C1623" s="20">
        <f>Разбивка_по_щитам!C1628</f>
      </c>
      <c r="D1623" s="20">
        <f>Разбивка_по_щитам!F1628</f>
      </c>
      <c r="E1623" s="20">
        <f>Разбивка_по_щитам!H1628</f>
      </c>
      <c r="F1623" s="20">
        <f>Разбивка_по_щитам!I1628</f>
      </c>
      <c r="G1623" s="20">
        <f>Разбивка_по_щитам!J1628</f>
      </c>
      <c r="H1623" s="20">
        <f>Разбивка_по_щитам!K1628</f>
      </c>
      <c r="I1623" s="20">
        <f>Разбивка_по_щитам!L1628</f>
      </c>
      <c r="J1623" s="20">
        <f>Разбивка_по_щитам!M1628</f>
      </c>
      <c r="K1623" s="20">
        <f>Разбивка_по_щитам!N1628</f>
      </c>
      <c r="L1623" s="20"/>
      <c r="M1623" s="20">
        <f>Разбивка_по_щитам!P1628</f>
      </c>
      <c r="N1623" s="20"/>
    </row>
    <row r="1624" spans="2:14" x14ac:dyDescent="0.25">
      <c r="B1624" s="20">
        <f>Разбивка_по_щитам!B1629</f>
      </c>
      <c r="C1624" s="20">
        <f>Разбивка_по_щитам!C1629</f>
      </c>
      <c r="D1624" s="20">
        <f>Разбивка_по_щитам!F1629</f>
      </c>
      <c r="E1624" s="20">
        <f>Разбивка_по_щитам!H1629</f>
      </c>
      <c r="F1624" s="20">
        <f>Разбивка_по_щитам!I1629</f>
      </c>
      <c r="G1624" s="20">
        <f>Разбивка_по_щитам!J1629</f>
      </c>
      <c r="H1624" s="20">
        <f>Разбивка_по_щитам!K1629</f>
      </c>
      <c r="I1624" s="20">
        <f>Разбивка_по_щитам!L1629</f>
      </c>
      <c r="J1624" s="20">
        <f>Разбивка_по_щитам!M1629</f>
      </c>
      <c r="K1624" s="20">
        <f>Разбивка_по_щитам!N1629</f>
      </c>
      <c r="L1624" s="20"/>
      <c r="M1624" s="20">
        <f>Разбивка_по_щитам!P1629</f>
      </c>
      <c r="N1624" s="20"/>
    </row>
    <row r="1625" spans="2:14" x14ac:dyDescent="0.25">
      <c r="B1625" s="20">
        <f>Разбивка_по_щитам!B1630</f>
      </c>
      <c r="C1625" s="20">
        <f>Разбивка_по_щитам!C1630</f>
      </c>
      <c r="D1625" s="20">
        <f>Разбивка_по_щитам!F1630</f>
      </c>
      <c r="E1625" s="20">
        <f>Разбивка_по_щитам!H1630</f>
      </c>
      <c r="F1625" s="20">
        <f>Разбивка_по_щитам!I1630</f>
      </c>
      <c r="G1625" s="20">
        <f>Разбивка_по_щитам!J1630</f>
      </c>
      <c r="H1625" s="20">
        <f>Разбивка_по_щитам!K1630</f>
      </c>
      <c r="I1625" s="20">
        <f>Разбивка_по_щитам!L1630</f>
      </c>
      <c r="J1625" s="20">
        <f>Разбивка_по_щитам!M1630</f>
      </c>
      <c r="K1625" s="20">
        <f>Разбивка_по_щитам!N1630</f>
      </c>
      <c r="L1625" s="20"/>
      <c r="M1625" s="20">
        <f>Разбивка_по_щитам!P1630</f>
      </c>
      <c r="N1625" s="20"/>
    </row>
    <row r="1626" spans="2:14" x14ac:dyDescent="0.25">
      <c r="B1626" s="20">
        <f>Разбивка_по_щитам!B1631</f>
      </c>
      <c r="C1626" s="20">
        <f>Разбивка_по_щитам!C1631</f>
      </c>
      <c r="D1626" s="20">
        <f>Разбивка_по_щитам!F1631</f>
      </c>
      <c r="E1626" s="20">
        <f>Разбивка_по_щитам!H1631</f>
      </c>
      <c r="F1626" s="20">
        <f>Разбивка_по_щитам!I1631</f>
      </c>
      <c r="G1626" s="20">
        <f>Разбивка_по_щитам!J1631</f>
      </c>
      <c r="H1626" s="20">
        <f>Разбивка_по_щитам!K1631</f>
      </c>
      <c r="I1626" s="20">
        <f>Разбивка_по_щитам!L1631</f>
      </c>
      <c r="J1626" s="20">
        <f>Разбивка_по_щитам!M1631</f>
      </c>
      <c r="K1626" s="20">
        <f>Разбивка_по_щитам!N1631</f>
      </c>
      <c r="L1626" s="20"/>
      <c r="M1626" s="20">
        <f>Разбивка_по_щитам!P1631</f>
      </c>
      <c r="N1626" s="20"/>
    </row>
    <row r="1627" spans="2:14" x14ac:dyDescent="0.25">
      <c r="B1627" s="20">
        <f>Разбивка_по_щитам!B1632</f>
      </c>
      <c r="C1627" s="20">
        <f>Разбивка_по_щитам!C1632</f>
      </c>
      <c r="D1627" s="20">
        <f>Разбивка_по_щитам!F1632</f>
      </c>
      <c r="E1627" s="20">
        <f>Разбивка_по_щитам!H1632</f>
      </c>
      <c r="F1627" s="20">
        <f>Разбивка_по_щитам!I1632</f>
      </c>
      <c r="G1627" s="20">
        <f>Разбивка_по_щитам!J1632</f>
      </c>
      <c r="H1627" s="20">
        <f>Разбивка_по_щитам!K1632</f>
      </c>
      <c r="I1627" s="20">
        <f>Разбивка_по_щитам!L1632</f>
      </c>
      <c r="J1627" s="20">
        <f>Разбивка_по_щитам!M1632</f>
      </c>
      <c r="K1627" s="20">
        <f>Разбивка_по_щитам!N1632</f>
      </c>
      <c r="L1627" s="20"/>
      <c r="M1627" s="20">
        <f>Разбивка_по_щитам!P1632</f>
      </c>
      <c r="N1627" s="20"/>
    </row>
    <row r="1628" spans="2:14" x14ac:dyDescent="0.25">
      <c r="B1628" s="20">
        <f>Разбивка_по_щитам!B1633</f>
      </c>
      <c r="C1628" s="20">
        <f>Разбивка_по_щитам!C1633</f>
      </c>
      <c r="D1628" s="20">
        <f>Разбивка_по_щитам!F1633</f>
      </c>
      <c r="E1628" s="20">
        <f>Разбивка_по_щитам!H1633</f>
      </c>
      <c r="F1628" s="20">
        <f>Разбивка_по_щитам!I1633</f>
      </c>
      <c r="G1628" s="20">
        <f>Разбивка_по_щитам!J1633</f>
      </c>
      <c r="H1628" s="20">
        <f>Разбивка_по_щитам!K1633</f>
      </c>
      <c r="I1628" s="20">
        <f>Разбивка_по_щитам!L1633</f>
      </c>
      <c r="J1628" s="20">
        <f>Разбивка_по_щитам!M1633</f>
      </c>
      <c r="K1628" s="20">
        <f>Разбивка_по_щитам!N1633</f>
      </c>
      <c r="L1628" s="20"/>
      <c r="M1628" s="20">
        <f>Разбивка_по_щитам!P1633</f>
      </c>
      <c r="N1628" s="20"/>
    </row>
    <row r="1629" spans="2:14" x14ac:dyDescent="0.25">
      <c r="B1629" s="20">
        <f>Разбивка_по_щитам!B1634</f>
      </c>
      <c r="C1629" s="20">
        <f>Разбивка_по_щитам!C1634</f>
      </c>
      <c r="D1629" s="20">
        <f>Разбивка_по_щитам!F1634</f>
      </c>
      <c r="E1629" s="20">
        <f>Разбивка_по_щитам!H1634</f>
      </c>
      <c r="F1629" s="20">
        <f>Разбивка_по_щитам!I1634</f>
      </c>
      <c r="G1629" s="20">
        <f>Разбивка_по_щитам!J1634</f>
      </c>
      <c r="H1629" s="20">
        <f>Разбивка_по_щитам!K1634</f>
      </c>
      <c r="I1629" s="20">
        <f>Разбивка_по_щитам!L1634</f>
      </c>
      <c r="J1629" s="20">
        <f>Разбивка_по_щитам!M1634</f>
      </c>
      <c r="K1629" s="20">
        <f>Разбивка_по_щитам!N1634</f>
      </c>
      <c r="L1629" s="20"/>
      <c r="M1629" s="20">
        <f>Разбивка_по_щитам!P1634</f>
      </c>
      <c r="N1629" s="20"/>
    </row>
    <row r="1630" spans="2:14" x14ac:dyDescent="0.25">
      <c r="B1630" s="20">
        <f>Разбивка_по_щитам!B1635</f>
      </c>
      <c r="C1630" s="20">
        <f>Разбивка_по_щитам!C1635</f>
      </c>
      <c r="D1630" s="20">
        <f>Разбивка_по_щитам!F1635</f>
      </c>
      <c r="E1630" s="20">
        <f>Разбивка_по_щитам!H1635</f>
      </c>
      <c r="F1630" s="20">
        <f>Разбивка_по_щитам!I1635</f>
      </c>
      <c r="G1630" s="20">
        <f>Разбивка_по_щитам!J1635</f>
      </c>
      <c r="H1630" s="20">
        <f>Разбивка_по_щитам!K1635</f>
      </c>
      <c r="I1630" s="20">
        <f>Разбивка_по_щитам!L1635</f>
      </c>
      <c r="J1630" s="20">
        <f>Разбивка_по_щитам!M1635</f>
      </c>
      <c r="K1630" s="20">
        <f>Разбивка_по_щитам!N1635</f>
      </c>
      <c r="L1630" s="20"/>
      <c r="M1630" s="20">
        <f>Разбивка_по_щитам!P1635</f>
      </c>
      <c r="N1630" s="20"/>
    </row>
    <row r="1631" spans="2:14" x14ac:dyDescent="0.25">
      <c r="B1631" s="20">
        <f>Разбивка_по_щитам!B1636</f>
      </c>
      <c r="C1631" s="20">
        <f>Разбивка_по_щитам!C1636</f>
      </c>
      <c r="D1631" s="20">
        <f>Разбивка_по_щитам!F1636</f>
      </c>
      <c r="E1631" s="20">
        <f>Разбивка_по_щитам!H1636</f>
      </c>
      <c r="F1631" s="20">
        <f>Разбивка_по_щитам!I1636</f>
      </c>
      <c r="G1631" s="20">
        <f>Разбивка_по_щитам!J1636</f>
      </c>
      <c r="H1631" s="20">
        <f>Разбивка_по_щитам!K1636</f>
      </c>
      <c r="I1631" s="20">
        <f>Разбивка_по_щитам!L1636</f>
      </c>
      <c r="J1631" s="20">
        <f>Разбивка_по_щитам!M1636</f>
      </c>
      <c r="K1631" s="20">
        <f>Разбивка_по_щитам!N1636</f>
      </c>
      <c r="L1631" s="20"/>
      <c r="M1631" s="20">
        <f>Разбивка_по_щитам!P1636</f>
      </c>
      <c r="N1631" s="20"/>
    </row>
    <row r="1632" spans="2:14" x14ac:dyDescent="0.25">
      <c r="B1632" s="20">
        <f>Разбивка_по_щитам!B1637</f>
      </c>
      <c r="C1632" s="20">
        <f>Разбивка_по_щитам!C1637</f>
      </c>
      <c r="D1632" s="20">
        <f>Разбивка_по_щитам!F1637</f>
      </c>
      <c r="E1632" s="20">
        <f>Разбивка_по_щитам!H1637</f>
      </c>
      <c r="F1632" s="20">
        <f>Разбивка_по_щитам!I1637</f>
      </c>
      <c r="G1632" s="20">
        <f>Разбивка_по_щитам!J1637</f>
      </c>
      <c r="H1632" s="20">
        <f>Разбивка_по_щитам!K1637</f>
      </c>
      <c r="I1632" s="20">
        <f>Разбивка_по_щитам!L1637</f>
      </c>
      <c r="J1632" s="20">
        <f>Разбивка_по_щитам!M1637</f>
      </c>
      <c r="K1632" s="20">
        <f>Разбивка_по_щитам!N1637</f>
      </c>
      <c r="L1632" s="20"/>
      <c r="M1632" s="20">
        <f>Разбивка_по_щитам!P1637</f>
      </c>
      <c r="N1632" s="20"/>
    </row>
    <row r="1633" spans="2:14" x14ac:dyDescent="0.25">
      <c r="B1633" s="20">
        <f>Разбивка_по_щитам!B1638</f>
      </c>
      <c r="C1633" s="20">
        <f>Разбивка_по_щитам!C1638</f>
      </c>
      <c r="D1633" s="20">
        <f>Разбивка_по_щитам!F1638</f>
      </c>
      <c r="E1633" s="20">
        <f>Разбивка_по_щитам!H1638</f>
      </c>
      <c r="F1633" s="20">
        <f>Разбивка_по_щитам!I1638</f>
      </c>
      <c r="G1633" s="20">
        <f>Разбивка_по_щитам!J1638</f>
      </c>
      <c r="H1633" s="20">
        <f>Разбивка_по_щитам!K1638</f>
      </c>
      <c r="I1633" s="20">
        <f>Разбивка_по_щитам!L1638</f>
      </c>
      <c r="J1633" s="20">
        <f>Разбивка_по_щитам!M1638</f>
      </c>
      <c r="K1633" s="20">
        <f>Разбивка_по_щитам!N1638</f>
      </c>
      <c r="L1633" s="20"/>
      <c r="M1633" s="20">
        <f>Разбивка_по_щитам!P1638</f>
      </c>
      <c r="N1633" s="20"/>
    </row>
    <row r="1634" spans="2:14" x14ac:dyDescent="0.25">
      <c r="B1634" s="20">
        <f>Разбивка_по_щитам!B1639</f>
      </c>
      <c r="C1634" s="20">
        <f>Разбивка_по_щитам!C1639</f>
      </c>
      <c r="D1634" s="20">
        <f>Разбивка_по_щитам!F1639</f>
      </c>
      <c r="E1634" s="20">
        <f>Разбивка_по_щитам!H1639</f>
      </c>
      <c r="F1634" s="20">
        <f>Разбивка_по_щитам!I1639</f>
      </c>
      <c r="G1634" s="20">
        <f>Разбивка_по_щитам!J1639</f>
      </c>
      <c r="H1634" s="20">
        <f>Разбивка_по_щитам!K1639</f>
      </c>
      <c r="I1634" s="20">
        <f>Разбивка_по_щитам!L1639</f>
      </c>
      <c r="J1634" s="20">
        <f>Разбивка_по_щитам!M1639</f>
      </c>
      <c r="K1634" s="20">
        <f>Разбивка_по_щитам!N1639</f>
      </c>
      <c r="L1634" s="20"/>
      <c r="M1634" s="20">
        <f>Разбивка_по_щитам!P1639</f>
      </c>
      <c r="N1634" s="20"/>
    </row>
    <row r="1635" spans="2:14" x14ac:dyDescent="0.25">
      <c r="B1635" s="20">
        <f>Разбивка_по_щитам!B1640</f>
      </c>
      <c r="C1635" s="20">
        <f>Разбивка_по_щитам!C1640</f>
      </c>
      <c r="D1635" s="20">
        <f>Разбивка_по_щитам!F1640</f>
      </c>
      <c r="E1635" s="20">
        <f>Разбивка_по_щитам!H1640</f>
      </c>
      <c r="F1635" s="20">
        <f>Разбивка_по_щитам!I1640</f>
      </c>
      <c r="G1635" s="20">
        <f>Разбивка_по_щитам!J1640</f>
      </c>
      <c r="H1635" s="20">
        <f>Разбивка_по_щитам!K1640</f>
      </c>
      <c r="I1635" s="20">
        <f>Разбивка_по_щитам!L1640</f>
      </c>
      <c r="J1635" s="20">
        <f>Разбивка_по_щитам!M1640</f>
      </c>
      <c r="K1635" s="20">
        <f>Разбивка_по_щитам!N1640</f>
      </c>
      <c r="L1635" s="20"/>
      <c r="M1635" s="20">
        <f>Разбивка_по_щитам!P1640</f>
      </c>
      <c r="N1635" s="20"/>
    </row>
    <row r="1636" spans="2:14" x14ac:dyDescent="0.25">
      <c r="B1636" s="20">
        <f>Разбивка_по_щитам!B1641</f>
      </c>
      <c r="C1636" s="20">
        <f>Разбивка_по_щитам!C1641</f>
      </c>
      <c r="D1636" s="20">
        <f>Разбивка_по_щитам!F1641</f>
      </c>
      <c r="E1636" s="20">
        <f>Разбивка_по_щитам!H1641</f>
      </c>
      <c r="F1636" s="20">
        <f>Разбивка_по_щитам!I1641</f>
      </c>
      <c r="G1636" s="20">
        <f>Разбивка_по_щитам!J1641</f>
      </c>
      <c r="H1636" s="20">
        <f>Разбивка_по_щитам!K1641</f>
      </c>
      <c r="I1636" s="20">
        <f>Разбивка_по_щитам!L1641</f>
      </c>
      <c r="J1636" s="20">
        <f>Разбивка_по_щитам!M1641</f>
      </c>
      <c r="K1636" s="20">
        <f>Разбивка_по_щитам!N1641</f>
      </c>
      <c r="L1636" s="20"/>
      <c r="M1636" s="20">
        <f>Разбивка_по_щитам!P1641</f>
      </c>
      <c r="N1636" s="20"/>
    </row>
    <row r="1637" spans="2:14" x14ac:dyDescent="0.25">
      <c r="B1637" s="20">
        <f>Разбивка_по_щитам!B1642</f>
      </c>
      <c r="C1637" s="20">
        <f>Разбивка_по_щитам!C1642</f>
      </c>
      <c r="D1637" s="20">
        <f>Разбивка_по_щитам!F1642</f>
      </c>
      <c r="E1637" s="20">
        <f>Разбивка_по_щитам!H1642</f>
      </c>
      <c r="F1637" s="20">
        <f>Разбивка_по_щитам!I1642</f>
      </c>
      <c r="G1637" s="20">
        <f>Разбивка_по_щитам!J1642</f>
      </c>
      <c r="H1637" s="20">
        <f>Разбивка_по_щитам!K1642</f>
      </c>
      <c r="I1637" s="20">
        <f>Разбивка_по_щитам!L1642</f>
      </c>
      <c r="J1637" s="20">
        <f>Разбивка_по_щитам!M1642</f>
      </c>
      <c r="K1637" s="20">
        <f>Разбивка_по_щитам!N1642</f>
      </c>
      <c r="L1637" s="20"/>
      <c r="M1637" s="20">
        <f>Разбивка_по_щитам!P1642</f>
      </c>
      <c r="N1637" s="20"/>
    </row>
    <row r="1638" spans="2:14" x14ac:dyDescent="0.25">
      <c r="B1638" s="20">
        <f>Разбивка_по_щитам!B1643</f>
      </c>
      <c r="C1638" s="20">
        <f>Разбивка_по_щитам!C1643</f>
      </c>
      <c r="D1638" s="20">
        <f>Разбивка_по_щитам!F1643</f>
      </c>
      <c r="E1638" s="20">
        <f>Разбивка_по_щитам!H1643</f>
      </c>
      <c r="F1638" s="20">
        <f>Разбивка_по_щитам!I1643</f>
      </c>
      <c r="G1638" s="20">
        <f>Разбивка_по_щитам!J1643</f>
      </c>
      <c r="H1638" s="20">
        <f>Разбивка_по_щитам!K1643</f>
      </c>
      <c r="I1638" s="20">
        <f>Разбивка_по_щитам!L1643</f>
      </c>
      <c r="J1638" s="20">
        <f>Разбивка_по_щитам!M1643</f>
      </c>
      <c r="K1638" s="20">
        <f>Разбивка_по_щитам!N1643</f>
      </c>
      <c r="L1638" s="20"/>
      <c r="M1638" s="20">
        <f>Разбивка_по_щитам!P1643</f>
      </c>
      <c r="N1638" s="20"/>
    </row>
    <row r="1639" spans="2:14" x14ac:dyDescent="0.25">
      <c r="B1639" s="20">
        <f>Разбивка_по_щитам!B1644</f>
      </c>
      <c r="C1639" s="20">
        <f>Разбивка_по_щитам!C1644</f>
      </c>
      <c r="D1639" s="20">
        <f>Разбивка_по_щитам!F1644</f>
      </c>
      <c r="E1639" s="20">
        <f>Разбивка_по_щитам!H1644</f>
      </c>
      <c r="F1639" s="20">
        <f>Разбивка_по_щитам!I1644</f>
      </c>
      <c r="G1639" s="20">
        <f>Разбивка_по_щитам!J1644</f>
      </c>
      <c r="H1639" s="20">
        <f>Разбивка_по_щитам!K1644</f>
      </c>
      <c r="I1639" s="20">
        <f>Разбивка_по_щитам!L1644</f>
      </c>
      <c r="J1639" s="20">
        <f>Разбивка_по_щитам!M1644</f>
      </c>
      <c r="K1639" s="20">
        <f>Разбивка_по_щитам!N1644</f>
      </c>
      <c r="L1639" s="20"/>
      <c r="M1639" s="20">
        <f>Разбивка_по_щитам!P1644</f>
      </c>
      <c r="N1639" s="20"/>
    </row>
    <row r="1640" spans="2:14" x14ac:dyDescent="0.25">
      <c r="B1640" s="20">
        <f>Разбивка_по_щитам!B1645</f>
      </c>
      <c r="C1640" s="20">
        <f>Разбивка_по_щитам!C1645</f>
      </c>
      <c r="D1640" s="20">
        <f>Разбивка_по_щитам!F1645</f>
      </c>
      <c r="E1640" s="20">
        <f>Разбивка_по_щитам!H1645</f>
      </c>
      <c r="F1640" s="20">
        <f>Разбивка_по_щитам!I1645</f>
      </c>
      <c r="G1640" s="20">
        <f>Разбивка_по_щитам!J1645</f>
      </c>
      <c r="H1640" s="20">
        <f>Разбивка_по_щитам!K1645</f>
      </c>
      <c r="I1640" s="20">
        <f>Разбивка_по_щитам!L1645</f>
      </c>
      <c r="J1640" s="20">
        <f>Разбивка_по_щитам!M1645</f>
      </c>
      <c r="K1640" s="20">
        <f>Разбивка_по_щитам!N1645</f>
      </c>
      <c r="L1640" s="20"/>
      <c r="M1640" s="20">
        <f>Разбивка_по_щитам!P1645</f>
      </c>
      <c r="N1640" s="20"/>
    </row>
    <row r="1641" spans="2:14" x14ac:dyDescent="0.25">
      <c r="B1641" s="20">
        <f>Разбивка_по_щитам!B1646</f>
      </c>
      <c r="C1641" s="20">
        <f>Разбивка_по_щитам!C1646</f>
      </c>
      <c r="D1641" s="20">
        <f>Разбивка_по_щитам!F1646</f>
      </c>
      <c r="E1641" s="20">
        <f>Разбивка_по_щитам!H1646</f>
      </c>
      <c r="F1641" s="20">
        <f>Разбивка_по_щитам!I1646</f>
      </c>
      <c r="G1641" s="20">
        <f>Разбивка_по_щитам!J1646</f>
      </c>
      <c r="H1641" s="20">
        <f>Разбивка_по_щитам!K1646</f>
      </c>
      <c r="I1641" s="20">
        <f>Разбивка_по_щитам!L1646</f>
      </c>
      <c r="J1641" s="20">
        <f>Разбивка_по_щитам!M1646</f>
      </c>
      <c r="K1641" s="20">
        <f>Разбивка_по_щитам!N1646</f>
      </c>
      <c r="L1641" s="20"/>
      <c r="M1641" s="20">
        <f>Разбивка_по_щитам!P1646</f>
      </c>
      <c r="N1641" s="20"/>
    </row>
    <row r="1642" spans="2:14" x14ac:dyDescent="0.25">
      <c r="B1642" s="20">
        <f>Разбивка_по_щитам!B1647</f>
      </c>
      <c r="C1642" s="20">
        <f>Разбивка_по_щитам!C1647</f>
      </c>
      <c r="D1642" s="20">
        <f>Разбивка_по_щитам!F1647</f>
      </c>
      <c r="E1642" s="20">
        <f>Разбивка_по_щитам!H1647</f>
      </c>
      <c r="F1642" s="20">
        <f>Разбивка_по_щитам!I1647</f>
      </c>
      <c r="G1642" s="20">
        <f>Разбивка_по_щитам!J1647</f>
      </c>
      <c r="H1642" s="20">
        <f>Разбивка_по_щитам!K1647</f>
      </c>
      <c r="I1642" s="20">
        <f>Разбивка_по_щитам!L1647</f>
      </c>
      <c r="J1642" s="20">
        <f>Разбивка_по_щитам!M1647</f>
      </c>
      <c r="K1642" s="20">
        <f>Разбивка_по_щитам!N1647</f>
      </c>
      <c r="L1642" s="20"/>
      <c r="M1642" s="20">
        <f>Разбивка_по_щитам!P1647</f>
      </c>
      <c r="N1642" s="20"/>
    </row>
    <row r="1643" spans="2:14" x14ac:dyDescent="0.25">
      <c r="B1643" s="20">
        <f>Разбивка_по_щитам!B1648</f>
      </c>
      <c r="C1643" s="20">
        <f>Разбивка_по_щитам!C1648</f>
      </c>
      <c r="D1643" s="20">
        <f>Разбивка_по_щитам!F1648</f>
      </c>
      <c r="E1643" s="20">
        <f>Разбивка_по_щитам!H1648</f>
      </c>
      <c r="F1643" s="20">
        <f>Разбивка_по_щитам!I1648</f>
      </c>
      <c r="G1643" s="20">
        <f>Разбивка_по_щитам!J1648</f>
      </c>
      <c r="H1643" s="20">
        <f>Разбивка_по_щитам!K1648</f>
      </c>
      <c r="I1643" s="20">
        <f>Разбивка_по_щитам!L1648</f>
      </c>
      <c r="J1643" s="20">
        <f>Разбивка_по_щитам!M1648</f>
      </c>
      <c r="K1643" s="20">
        <f>Разбивка_по_щитам!N1648</f>
      </c>
      <c r="L1643" s="20"/>
      <c r="M1643" s="20">
        <f>Разбивка_по_щитам!P1648</f>
      </c>
      <c r="N1643" s="20"/>
    </row>
    <row r="1644" spans="2:14" x14ac:dyDescent="0.25">
      <c r="B1644" s="20">
        <f>Разбивка_по_щитам!B1649</f>
      </c>
      <c r="C1644" s="20">
        <f>Разбивка_по_щитам!C1649</f>
      </c>
      <c r="D1644" s="20">
        <f>Разбивка_по_щитам!F1649</f>
      </c>
      <c r="E1644" s="20">
        <f>Разбивка_по_щитам!H1649</f>
      </c>
      <c r="F1644" s="20">
        <f>Разбивка_по_щитам!I1649</f>
      </c>
      <c r="G1644" s="20">
        <f>Разбивка_по_щитам!J1649</f>
      </c>
      <c r="H1644" s="20">
        <f>Разбивка_по_щитам!K1649</f>
      </c>
      <c r="I1644" s="20">
        <f>Разбивка_по_щитам!L1649</f>
      </c>
      <c r="J1644" s="20">
        <f>Разбивка_по_щитам!M1649</f>
      </c>
      <c r="K1644" s="20">
        <f>Разбивка_по_щитам!N1649</f>
      </c>
      <c r="L1644" s="20"/>
      <c r="M1644" s="20">
        <f>Разбивка_по_щитам!P1649</f>
      </c>
      <c r="N1644" s="20"/>
    </row>
    <row r="1645" spans="2:14" x14ac:dyDescent="0.25">
      <c r="B1645" s="20">
        <f>Разбивка_по_щитам!B1650</f>
      </c>
      <c r="C1645" s="20">
        <f>Разбивка_по_щитам!C1650</f>
      </c>
      <c r="D1645" s="20">
        <f>Разбивка_по_щитам!F1650</f>
      </c>
      <c r="E1645" s="20">
        <f>Разбивка_по_щитам!H1650</f>
      </c>
      <c r="F1645" s="20">
        <f>Разбивка_по_щитам!I1650</f>
      </c>
      <c r="G1645" s="20">
        <f>Разбивка_по_щитам!J1650</f>
      </c>
      <c r="H1645" s="20">
        <f>Разбивка_по_щитам!K1650</f>
      </c>
      <c r="I1645" s="20">
        <f>Разбивка_по_щитам!L1650</f>
      </c>
      <c r="J1645" s="20">
        <f>Разбивка_по_щитам!M1650</f>
      </c>
      <c r="K1645" s="20">
        <f>Разбивка_по_щитам!N1650</f>
      </c>
      <c r="L1645" s="20"/>
      <c r="M1645" s="20">
        <f>Разбивка_по_щитам!P1650</f>
      </c>
      <c r="N1645" s="20"/>
    </row>
    <row r="1646" spans="2:14" x14ac:dyDescent="0.25">
      <c r="B1646" s="20">
        <f>Разбивка_по_щитам!B1651</f>
      </c>
      <c r="C1646" s="20">
        <f>Разбивка_по_щитам!C1651</f>
      </c>
      <c r="D1646" s="20">
        <f>Разбивка_по_щитам!F1651</f>
      </c>
      <c r="E1646" s="20">
        <f>Разбивка_по_щитам!H1651</f>
      </c>
      <c r="F1646" s="20">
        <f>Разбивка_по_щитам!I1651</f>
      </c>
      <c r="G1646" s="20">
        <f>Разбивка_по_щитам!J1651</f>
      </c>
      <c r="H1646" s="20">
        <f>Разбивка_по_щитам!K1651</f>
      </c>
      <c r="I1646" s="20">
        <f>Разбивка_по_щитам!L1651</f>
      </c>
      <c r="J1646" s="20">
        <f>Разбивка_по_щитам!M1651</f>
      </c>
      <c r="K1646" s="20">
        <f>Разбивка_по_щитам!N1651</f>
      </c>
      <c r="L1646" s="20"/>
      <c r="M1646" s="20">
        <f>Разбивка_по_щитам!P1651</f>
      </c>
      <c r="N1646" s="20"/>
    </row>
    <row r="1647" spans="2:14" x14ac:dyDescent="0.25">
      <c r="B1647" s="20">
        <f>Разбивка_по_щитам!B1652</f>
      </c>
      <c r="C1647" s="20">
        <f>Разбивка_по_щитам!C1652</f>
      </c>
      <c r="D1647" s="20">
        <f>Разбивка_по_щитам!F1652</f>
      </c>
      <c r="E1647" s="20">
        <f>Разбивка_по_щитам!H1652</f>
      </c>
      <c r="F1647" s="20">
        <f>Разбивка_по_щитам!I1652</f>
      </c>
      <c r="G1647" s="20">
        <f>Разбивка_по_щитам!J1652</f>
      </c>
      <c r="H1647" s="20">
        <f>Разбивка_по_щитам!K1652</f>
      </c>
      <c r="I1647" s="20">
        <f>Разбивка_по_щитам!L1652</f>
      </c>
      <c r="J1647" s="20">
        <f>Разбивка_по_щитам!M1652</f>
      </c>
      <c r="K1647" s="20">
        <f>Разбивка_по_щитам!N1652</f>
      </c>
      <c r="L1647" s="20"/>
      <c r="M1647" s="20">
        <f>Разбивка_по_щитам!P1652</f>
      </c>
      <c r="N1647" s="20"/>
    </row>
    <row r="1648" spans="2:14" x14ac:dyDescent="0.25">
      <c r="B1648" s="20">
        <f>Разбивка_по_щитам!B1653</f>
      </c>
      <c r="C1648" s="20">
        <f>Разбивка_по_щитам!C1653</f>
      </c>
      <c r="D1648" s="20">
        <f>Разбивка_по_щитам!F1653</f>
      </c>
      <c r="E1648" s="20">
        <f>Разбивка_по_щитам!H1653</f>
      </c>
      <c r="F1648" s="20">
        <f>Разбивка_по_щитам!I1653</f>
      </c>
      <c r="G1648" s="20">
        <f>Разбивка_по_щитам!J1653</f>
      </c>
      <c r="H1648" s="20">
        <f>Разбивка_по_щитам!K1653</f>
      </c>
      <c r="I1648" s="20">
        <f>Разбивка_по_щитам!L1653</f>
      </c>
      <c r="J1648" s="20">
        <f>Разбивка_по_щитам!M1653</f>
      </c>
      <c r="K1648" s="20">
        <f>Разбивка_по_щитам!N1653</f>
      </c>
      <c r="L1648" s="20"/>
      <c r="M1648" s="20">
        <f>Разбивка_по_щитам!P1653</f>
      </c>
      <c r="N1648" s="20"/>
    </row>
    <row r="1649" spans="2:14" x14ac:dyDescent="0.25">
      <c r="B1649" s="20">
        <f>Разбивка_по_щитам!B1654</f>
      </c>
      <c r="C1649" s="20">
        <f>Разбивка_по_щитам!C1654</f>
      </c>
      <c r="D1649" s="20">
        <f>Разбивка_по_щитам!F1654</f>
      </c>
      <c r="E1649" s="20">
        <f>Разбивка_по_щитам!H1654</f>
      </c>
      <c r="F1649" s="20">
        <f>Разбивка_по_щитам!I1654</f>
      </c>
      <c r="G1649" s="20">
        <f>Разбивка_по_щитам!J1654</f>
      </c>
      <c r="H1649" s="20">
        <f>Разбивка_по_щитам!K1654</f>
      </c>
      <c r="I1649" s="20">
        <f>Разбивка_по_щитам!L1654</f>
      </c>
      <c r="J1649" s="20">
        <f>Разбивка_по_щитам!M1654</f>
      </c>
      <c r="K1649" s="20">
        <f>Разбивка_по_щитам!N1654</f>
      </c>
      <c r="L1649" s="20"/>
      <c r="M1649" s="20">
        <f>Разбивка_по_щитам!P1654</f>
      </c>
      <c r="N1649" s="20"/>
    </row>
    <row r="1650" spans="2:14" x14ac:dyDescent="0.25">
      <c r="B1650" s="20">
        <f>Разбивка_по_щитам!B1655</f>
      </c>
      <c r="C1650" s="20">
        <f>Разбивка_по_щитам!C1655</f>
      </c>
      <c r="D1650" s="20">
        <f>Разбивка_по_щитам!F1655</f>
      </c>
      <c r="E1650" s="20">
        <f>Разбивка_по_щитам!H1655</f>
      </c>
      <c r="F1650" s="20">
        <f>Разбивка_по_щитам!I1655</f>
      </c>
      <c r="G1650" s="20">
        <f>Разбивка_по_щитам!J1655</f>
      </c>
      <c r="H1650" s="20">
        <f>Разбивка_по_щитам!K1655</f>
      </c>
      <c r="I1650" s="20">
        <f>Разбивка_по_щитам!L1655</f>
      </c>
      <c r="J1650" s="20">
        <f>Разбивка_по_щитам!M1655</f>
      </c>
      <c r="K1650" s="20">
        <f>Разбивка_по_щитам!N1655</f>
      </c>
      <c r="L1650" s="20"/>
      <c r="M1650" s="20">
        <f>Разбивка_по_щитам!P1655</f>
      </c>
      <c r="N1650" s="20"/>
    </row>
    <row r="1651" spans="2:14" x14ac:dyDescent="0.25">
      <c r="B1651" s="20">
        <f>Разбивка_по_щитам!B1656</f>
      </c>
      <c r="C1651" s="20">
        <f>Разбивка_по_щитам!C1656</f>
      </c>
      <c r="D1651" s="20">
        <f>Разбивка_по_щитам!F1656</f>
      </c>
      <c r="E1651" s="20">
        <f>Разбивка_по_щитам!H1656</f>
      </c>
      <c r="F1651" s="20">
        <f>Разбивка_по_щитам!I1656</f>
      </c>
      <c r="G1651" s="20">
        <f>Разбивка_по_щитам!J1656</f>
      </c>
      <c r="H1651" s="20">
        <f>Разбивка_по_щитам!K1656</f>
      </c>
      <c r="I1651" s="20">
        <f>Разбивка_по_щитам!L1656</f>
      </c>
      <c r="J1651" s="20">
        <f>Разбивка_по_щитам!M1656</f>
      </c>
      <c r="K1651" s="20">
        <f>Разбивка_по_щитам!N1656</f>
      </c>
      <c r="L1651" s="20"/>
      <c r="M1651" s="20">
        <f>Разбивка_по_щитам!P1656</f>
      </c>
      <c r="N1651" s="20"/>
    </row>
    <row r="1652" spans="2:14" x14ac:dyDescent="0.25">
      <c r="B1652" s="20">
        <f>Разбивка_по_щитам!B1657</f>
      </c>
      <c r="C1652" s="20">
        <f>Разбивка_по_щитам!C1657</f>
      </c>
      <c r="D1652" s="20">
        <f>Разбивка_по_щитам!F1657</f>
      </c>
      <c r="E1652" s="20">
        <f>Разбивка_по_щитам!H1657</f>
      </c>
      <c r="F1652" s="20">
        <f>Разбивка_по_щитам!I1657</f>
      </c>
      <c r="G1652" s="20">
        <f>Разбивка_по_щитам!J1657</f>
      </c>
      <c r="H1652" s="20">
        <f>Разбивка_по_щитам!K1657</f>
      </c>
      <c r="I1652" s="20">
        <f>Разбивка_по_щитам!L1657</f>
      </c>
      <c r="J1652" s="20">
        <f>Разбивка_по_щитам!M1657</f>
      </c>
      <c r="K1652" s="20">
        <f>Разбивка_по_щитам!N1657</f>
      </c>
      <c r="L1652" s="20"/>
      <c r="M1652" s="20">
        <f>Разбивка_по_щитам!P1657</f>
      </c>
      <c r="N1652" s="20"/>
    </row>
    <row r="1653" spans="2:14" x14ac:dyDescent="0.25">
      <c r="B1653" s="20">
        <f>Разбивка_по_щитам!B1658</f>
      </c>
      <c r="C1653" s="20">
        <f>Разбивка_по_щитам!C1658</f>
      </c>
      <c r="D1653" s="20">
        <f>Разбивка_по_щитам!F1658</f>
      </c>
      <c r="E1653" s="20">
        <f>Разбивка_по_щитам!H1658</f>
      </c>
      <c r="F1653" s="20">
        <f>Разбивка_по_щитам!I1658</f>
      </c>
      <c r="G1653" s="20">
        <f>Разбивка_по_щитам!J1658</f>
      </c>
      <c r="H1653" s="20">
        <f>Разбивка_по_щитам!K1658</f>
      </c>
      <c r="I1653" s="20">
        <f>Разбивка_по_щитам!L1658</f>
      </c>
      <c r="J1653" s="20">
        <f>Разбивка_по_щитам!M1658</f>
      </c>
      <c r="K1653" s="20">
        <f>Разбивка_по_щитам!N1658</f>
      </c>
      <c r="L1653" s="20"/>
      <c r="M1653" s="20">
        <f>Разбивка_по_щитам!P1658</f>
      </c>
      <c r="N1653" s="20"/>
    </row>
    <row r="1654" spans="2:14" x14ac:dyDescent="0.25">
      <c r="B1654" s="20">
        <f>Разбивка_по_щитам!B1659</f>
      </c>
      <c r="C1654" s="20">
        <f>Разбивка_по_щитам!C1659</f>
      </c>
      <c r="D1654" s="20">
        <f>Разбивка_по_щитам!F1659</f>
      </c>
      <c r="E1654" s="20">
        <f>Разбивка_по_щитам!H1659</f>
      </c>
      <c r="F1654" s="20">
        <f>Разбивка_по_щитам!I1659</f>
      </c>
      <c r="G1654" s="20">
        <f>Разбивка_по_щитам!J1659</f>
      </c>
      <c r="H1654" s="20">
        <f>Разбивка_по_щитам!K1659</f>
      </c>
      <c r="I1654" s="20">
        <f>Разбивка_по_щитам!L1659</f>
      </c>
      <c r="J1654" s="20">
        <f>Разбивка_по_щитам!M1659</f>
      </c>
      <c r="K1654" s="20">
        <f>Разбивка_по_щитам!N1659</f>
      </c>
      <c r="L1654" s="20"/>
      <c r="M1654" s="20">
        <f>Разбивка_по_щитам!P1659</f>
      </c>
      <c r="N1654" s="20"/>
    </row>
    <row r="1655" spans="2:14" x14ac:dyDescent="0.25">
      <c r="B1655" s="20">
        <f>Разбивка_по_щитам!B1660</f>
      </c>
      <c r="C1655" s="20">
        <f>Разбивка_по_щитам!C1660</f>
      </c>
      <c r="D1655" s="20">
        <f>Разбивка_по_щитам!F1660</f>
      </c>
      <c r="E1655" s="20">
        <f>Разбивка_по_щитам!H1660</f>
      </c>
      <c r="F1655" s="20">
        <f>Разбивка_по_щитам!I1660</f>
      </c>
      <c r="G1655" s="20">
        <f>Разбивка_по_щитам!J1660</f>
      </c>
      <c r="H1655" s="20">
        <f>Разбивка_по_щитам!K1660</f>
      </c>
      <c r="I1655" s="20">
        <f>Разбивка_по_щитам!L1660</f>
      </c>
      <c r="J1655" s="20">
        <f>Разбивка_по_щитам!M1660</f>
      </c>
      <c r="K1655" s="20">
        <f>Разбивка_по_щитам!N1660</f>
      </c>
      <c r="L1655" s="20"/>
      <c r="M1655" s="20">
        <f>Разбивка_по_щитам!P1660</f>
      </c>
      <c r="N1655" s="20"/>
    </row>
    <row r="1656" spans="2:14" x14ac:dyDescent="0.25">
      <c r="B1656" s="20">
        <f>Разбивка_по_щитам!B1661</f>
      </c>
      <c r="C1656" s="20">
        <f>Разбивка_по_щитам!C1661</f>
      </c>
      <c r="D1656" s="20">
        <f>Разбивка_по_щитам!F1661</f>
      </c>
      <c r="E1656" s="20">
        <f>Разбивка_по_щитам!H1661</f>
      </c>
      <c r="F1656" s="20">
        <f>Разбивка_по_щитам!I1661</f>
      </c>
      <c r="G1656" s="20">
        <f>Разбивка_по_щитам!J1661</f>
      </c>
      <c r="H1656" s="20">
        <f>Разбивка_по_щитам!K1661</f>
      </c>
      <c r="I1656" s="20">
        <f>Разбивка_по_щитам!L1661</f>
      </c>
      <c r="J1656" s="20">
        <f>Разбивка_по_щитам!M1661</f>
      </c>
      <c r="K1656" s="20">
        <f>Разбивка_по_щитам!N1661</f>
      </c>
      <c r="L1656" s="20"/>
      <c r="M1656" s="20">
        <f>Разбивка_по_щитам!P1661</f>
      </c>
      <c r="N1656" s="20"/>
    </row>
    <row r="1657" spans="2:14" x14ac:dyDescent="0.25">
      <c r="B1657" s="20">
        <f>Разбивка_по_щитам!B1662</f>
      </c>
      <c r="C1657" s="20">
        <f>Разбивка_по_щитам!C1662</f>
      </c>
      <c r="D1657" s="20">
        <f>Разбивка_по_щитам!F1662</f>
      </c>
      <c r="E1657" s="20">
        <f>Разбивка_по_щитам!H1662</f>
      </c>
      <c r="F1657" s="20">
        <f>Разбивка_по_щитам!I1662</f>
      </c>
      <c r="G1657" s="20">
        <f>Разбивка_по_щитам!J1662</f>
      </c>
      <c r="H1657" s="20">
        <f>Разбивка_по_щитам!K1662</f>
      </c>
      <c r="I1657" s="20">
        <f>Разбивка_по_щитам!L1662</f>
      </c>
      <c r="J1657" s="20">
        <f>Разбивка_по_щитам!M1662</f>
      </c>
      <c r="K1657" s="20">
        <f>Разбивка_по_щитам!N1662</f>
      </c>
      <c r="L1657" s="20"/>
      <c r="M1657" s="20">
        <f>Разбивка_по_щитам!P1662</f>
      </c>
      <c r="N1657" s="20"/>
    </row>
    <row r="1658" spans="2:14" x14ac:dyDescent="0.25">
      <c r="B1658" s="20">
        <f>Разбивка_по_щитам!B1663</f>
      </c>
      <c r="C1658" s="20">
        <f>Разбивка_по_щитам!C1663</f>
      </c>
      <c r="D1658" s="20">
        <f>Разбивка_по_щитам!F1663</f>
      </c>
      <c r="E1658" s="20">
        <f>Разбивка_по_щитам!H1663</f>
      </c>
      <c r="F1658" s="20">
        <f>Разбивка_по_щитам!I1663</f>
      </c>
      <c r="G1658" s="20">
        <f>Разбивка_по_щитам!J1663</f>
      </c>
      <c r="H1658" s="20">
        <f>Разбивка_по_щитам!K1663</f>
      </c>
      <c r="I1658" s="20">
        <f>Разбивка_по_щитам!L1663</f>
      </c>
      <c r="J1658" s="20">
        <f>Разбивка_по_щитам!M1663</f>
      </c>
      <c r="K1658" s="20">
        <f>Разбивка_по_щитам!N1663</f>
      </c>
      <c r="L1658" s="20"/>
      <c r="M1658" s="20">
        <f>Разбивка_по_щитам!P1663</f>
      </c>
      <c r="N1658" s="20"/>
    </row>
    <row r="1659" spans="2:14" x14ac:dyDescent="0.25">
      <c r="B1659" s="20">
        <f>Разбивка_по_щитам!B1664</f>
      </c>
      <c r="C1659" s="20">
        <f>Разбивка_по_щитам!C1664</f>
      </c>
      <c r="D1659" s="20">
        <f>Разбивка_по_щитам!F1664</f>
      </c>
      <c r="E1659" s="20">
        <f>Разбивка_по_щитам!H1664</f>
      </c>
      <c r="F1659" s="20">
        <f>Разбивка_по_щитам!I1664</f>
      </c>
      <c r="G1659" s="20">
        <f>Разбивка_по_щитам!J1664</f>
      </c>
      <c r="H1659" s="20">
        <f>Разбивка_по_щитам!K1664</f>
      </c>
      <c r="I1659" s="20">
        <f>Разбивка_по_щитам!L1664</f>
      </c>
      <c r="J1659" s="20">
        <f>Разбивка_по_щитам!M1664</f>
      </c>
      <c r="K1659" s="20">
        <f>Разбивка_по_щитам!N1664</f>
      </c>
      <c r="L1659" s="20"/>
      <c r="M1659" s="20">
        <f>Разбивка_по_щитам!P1664</f>
      </c>
      <c r="N1659" s="20"/>
    </row>
    <row r="1660" spans="2:14" x14ac:dyDescent="0.25">
      <c r="B1660" s="20">
        <f>Разбивка_по_щитам!B1665</f>
      </c>
      <c r="C1660" s="20">
        <f>Разбивка_по_щитам!C1665</f>
      </c>
      <c r="D1660" s="20">
        <f>Разбивка_по_щитам!F1665</f>
      </c>
      <c r="E1660" s="20">
        <f>Разбивка_по_щитам!H1665</f>
      </c>
      <c r="F1660" s="20">
        <f>Разбивка_по_щитам!I1665</f>
      </c>
      <c r="G1660" s="20">
        <f>Разбивка_по_щитам!J1665</f>
      </c>
      <c r="H1660" s="20">
        <f>Разбивка_по_щитам!K1665</f>
      </c>
      <c r="I1660" s="20">
        <f>Разбивка_по_щитам!L1665</f>
      </c>
      <c r="J1660" s="20">
        <f>Разбивка_по_щитам!M1665</f>
      </c>
      <c r="K1660" s="20">
        <f>Разбивка_по_щитам!N1665</f>
      </c>
      <c r="L1660" s="20"/>
      <c r="M1660" s="20">
        <f>Разбивка_по_щитам!P1665</f>
      </c>
      <c r="N1660" s="20"/>
    </row>
    <row r="1661" spans="2:14" x14ac:dyDescent="0.25">
      <c r="B1661" s="20">
        <f>Разбивка_по_щитам!B1666</f>
      </c>
      <c r="C1661" s="20">
        <f>Разбивка_по_щитам!C1666</f>
      </c>
      <c r="D1661" s="20">
        <f>Разбивка_по_щитам!F1666</f>
      </c>
      <c r="E1661" s="20">
        <f>Разбивка_по_щитам!H1666</f>
      </c>
      <c r="F1661" s="20">
        <f>Разбивка_по_щитам!I1666</f>
      </c>
      <c r="G1661" s="20">
        <f>Разбивка_по_щитам!J1666</f>
      </c>
      <c r="H1661" s="20">
        <f>Разбивка_по_щитам!K1666</f>
      </c>
      <c r="I1661" s="20">
        <f>Разбивка_по_щитам!L1666</f>
      </c>
      <c r="J1661" s="20">
        <f>Разбивка_по_щитам!M1666</f>
      </c>
      <c r="K1661" s="20">
        <f>Разбивка_по_щитам!N1666</f>
      </c>
      <c r="L1661" s="20"/>
      <c r="M1661" s="20">
        <f>Разбивка_по_щитам!P1666</f>
      </c>
      <c r="N1661" s="20"/>
    </row>
    <row r="1662" spans="2:14" x14ac:dyDescent="0.25">
      <c r="B1662" s="20">
        <f>Разбивка_по_щитам!B1667</f>
      </c>
      <c r="C1662" s="20">
        <f>Разбивка_по_щитам!C1667</f>
      </c>
      <c r="D1662" s="20">
        <f>Разбивка_по_щитам!F1667</f>
      </c>
      <c r="E1662" s="20">
        <f>Разбивка_по_щитам!H1667</f>
      </c>
      <c r="F1662" s="20">
        <f>Разбивка_по_щитам!I1667</f>
      </c>
      <c r="G1662" s="20">
        <f>Разбивка_по_щитам!J1667</f>
      </c>
      <c r="H1662" s="20">
        <f>Разбивка_по_щитам!K1667</f>
      </c>
      <c r="I1662" s="20">
        <f>Разбивка_по_щитам!L1667</f>
      </c>
      <c r="J1662" s="20">
        <f>Разбивка_по_щитам!M1667</f>
      </c>
      <c r="K1662" s="20">
        <f>Разбивка_по_щитам!N1667</f>
      </c>
      <c r="L1662" s="20"/>
      <c r="M1662" s="20">
        <f>Разбивка_по_щитам!P1667</f>
      </c>
      <c r="N1662" s="20"/>
    </row>
    <row r="1663" spans="2:14" x14ac:dyDescent="0.25">
      <c r="B1663" s="20">
        <f>Разбивка_по_щитам!B1668</f>
      </c>
      <c r="C1663" s="20">
        <f>Разбивка_по_щитам!C1668</f>
      </c>
      <c r="D1663" s="20">
        <f>Разбивка_по_щитам!F1668</f>
      </c>
      <c r="E1663" s="20">
        <f>Разбивка_по_щитам!H1668</f>
      </c>
      <c r="F1663" s="20">
        <f>Разбивка_по_щитам!I1668</f>
      </c>
      <c r="G1663" s="20">
        <f>Разбивка_по_щитам!J1668</f>
      </c>
      <c r="H1663" s="20">
        <f>Разбивка_по_щитам!K1668</f>
      </c>
      <c r="I1663" s="20">
        <f>Разбивка_по_щитам!L1668</f>
      </c>
      <c r="J1663" s="20">
        <f>Разбивка_по_щитам!M1668</f>
      </c>
      <c r="K1663" s="20">
        <f>Разбивка_по_щитам!N1668</f>
      </c>
      <c r="L1663" s="20"/>
      <c r="M1663" s="20">
        <f>Разбивка_по_щитам!P1668</f>
      </c>
      <c r="N1663" s="20"/>
    </row>
    <row r="1664" spans="2:14" x14ac:dyDescent="0.25">
      <c r="B1664" s="20">
        <f>Разбивка_по_щитам!B1669</f>
      </c>
      <c r="C1664" s="20">
        <f>Разбивка_по_щитам!C1669</f>
      </c>
      <c r="D1664" s="20">
        <f>Разбивка_по_щитам!F1669</f>
      </c>
      <c r="E1664" s="20">
        <f>Разбивка_по_щитам!H1669</f>
      </c>
      <c r="F1664" s="20">
        <f>Разбивка_по_щитам!I1669</f>
      </c>
      <c r="G1664" s="20">
        <f>Разбивка_по_щитам!J1669</f>
      </c>
      <c r="H1664" s="20">
        <f>Разбивка_по_щитам!K1669</f>
      </c>
      <c r="I1664" s="20">
        <f>Разбивка_по_щитам!L1669</f>
      </c>
      <c r="J1664" s="20">
        <f>Разбивка_по_щитам!M1669</f>
      </c>
      <c r="K1664" s="20">
        <f>Разбивка_по_щитам!N1669</f>
      </c>
      <c r="L1664" s="20"/>
      <c r="M1664" s="20">
        <f>Разбивка_по_щитам!P1669</f>
      </c>
      <c r="N1664" s="20"/>
    </row>
    <row r="1665" spans="2:14" x14ac:dyDescent="0.25">
      <c r="B1665" s="20">
        <f>Разбивка_по_щитам!B1670</f>
      </c>
      <c r="C1665" s="20">
        <f>Разбивка_по_щитам!C1670</f>
      </c>
      <c r="D1665" s="20">
        <f>Разбивка_по_щитам!F1670</f>
      </c>
      <c r="E1665" s="20">
        <f>Разбивка_по_щитам!H1670</f>
      </c>
      <c r="F1665" s="20">
        <f>Разбивка_по_щитам!I1670</f>
      </c>
      <c r="G1665" s="20">
        <f>Разбивка_по_щитам!J1670</f>
      </c>
      <c r="H1665" s="20">
        <f>Разбивка_по_щитам!K1670</f>
      </c>
      <c r="I1665" s="20">
        <f>Разбивка_по_щитам!L1670</f>
      </c>
      <c r="J1665" s="20">
        <f>Разбивка_по_щитам!M1670</f>
      </c>
      <c r="K1665" s="20">
        <f>Разбивка_по_щитам!N1670</f>
      </c>
      <c r="L1665" s="20"/>
      <c r="M1665" s="20">
        <f>Разбивка_по_щитам!P1670</f>
      </c>
      <c r="N1665" s="20"/>
    </row>
    <row r="1666" spans="2:14" x14ac:dyDescent="0.25">
      <c r="B1666" s="20">
        <f>Разбивка_по_щитам!B1671</f>
      </c>
      <c r="C1666" s="20">
        <f>Разбивка_по_щитам!C1671</f>
      </c>
      <c r="D1666" s="20">
        <f>Разбивка_по_щитам!F1671</f>
      </c>
      <c r="E1666" s="20">
        <f>Разбивка_по_щитам!H1671</f>
      </c>
      <c r="F1666" s="20">
        <f>Разбивка_по_щитам!I1671</f>
      </c>
      <c r="G1666" s="20">
        <f>Разбивка_по_щитам!J1671</f>
      </c>
      <c r="H1666" s="20">
        <f>Разбивка_по_щитам!K1671</f>
      </c>
      <c r="I1666" s="20">
        <f>Разбивка_по_щитам!L1671</f>
      </c>
      <c r="J1666" s="20">
        <f>Разбивка_по_щитам!M1671</f>
      </c>
      <c r="K1666" s="20">
        <f>Разбивка_по_щитам!N1671</f>
      </c>
      <c r="L1666" s="20"/>
      <c r="M1666" s="20">
        <f>Разбивка_по_щитам!P1671</f>
      </c>
      <c r="N1666" s="20"/>
    </row>
    <row r="1667" spans="2:14" x14ac:dyDescent="0.25">
      <c r="B1667" s="20">
        <f>Разбивка_по_щитам!B1672</f>
      </c>
      <c r="C1667" s="20">
        <f>Разбивка_по_щитам!C1672</f>
      </c>
      <c r="D1667" s="20">
        <f>Разбивка_по_щитам!F1672</f>
      </c>
      <c r="E1667" s="20">
        <f>Разбивка_по_щитам!H1672</f>
      </c>
      <c r="F1667" s="20">
        <f>Разбивка_по_щитам!I1672</f>
      </c>
      <c r="G1667" s="20">
        <f>Разбивка_по_щитам!J1672</f>
      </c>
      <c r="H1667" s="20">
        <f>Разбивка_по_щитам!K1672</f>
      </c>
      <c r="I1667" s="20">
        <f>Разбивка_по_щитам!L1672</f>
      </c>
      <c r="J1667" s="20">
        <f>Разбивка_по_щитам!M1672</f>
      </c>
      <c r="K1667" s="20">
        <f>Разбивка_по_щитам!N1672</f>
      </c>
      <c r="L1667" s="20"/>
      <c r="M1667" s="20">
        <f>Разбивка_по_щитам!P1672</f>
      </c>
      <c r="N1667" s="20"/>
    </row>
    <row r="1668" spans="2:14" x14ac:dyDescent="0.25">
      <c r="B1668" s="20">
        <f>Разбивка_по_щитам!B1673</f>
      </c>
      <c r="C1668" s="20">
        <f>Разбивка_по_щитам!C1673</f>
      </c>
      <c r="D1668" s="20">
        <f>Разбивка_по_щитам!F1673</f>
      </c>
      <c r="E1668" s="20">
        <f>Разбивка_по_щитам!H1673</f>
      </c>
      <c r="F1668" s="20">
        <f>Разбивка_по_щитам!I1673</f>
      </c>
      <c r="G1668" s="20">
        <f>Разбивка_по_щитам!J1673</f>
      </c>
      <c r="H1668" s="20">
        <f>Разбивка_по_щитам!K1673</f>
      </c>
      <c r="I1668" s="20">
        <f>Разбивка_по_щитам!L1673</f>
      </c>
      <c r="J1668" s="20">
        <f>Разбивка_по_щитам!M1673</f>
      </c>
      <c r="K1668" s="20">
        <f>Разбивка_по_щитам!N1673</f>
      </c>
      <c r="L1668" s="20"/>
      <c r="M1668" s="20">
        <f>Разбивка_по_щитам!P1673</f>
      </c>
      <c r="N1668" s="20"/>
    </row>
    <row r="1669" spans="2:14" x14ac:dyDescent="0.25">
      <c r="B1669" s="20">
        <f>Разбивка_по_щитам!B1674</f>
      </c>
      <c r="C1669" s="20">
        <f>Разбивка_по_щитам!C1674</f>
      </c>
      <c r="D1669" s="20">
        <f>Разбивка_по_щитам!F1674</f>
      </c>
      <c r="E1669" s="20">
        <f>Разбивка_по_щитам!H1674</f>
      </c>
      <c r="F1669" s="20">
        <f>Разбивка_по_щитам!I1674</f>
      </c>
      <c r="G1669" s="20">
        <f>Разбивка_по_щитам!J1674</f>
      </c>
      <c r="H1669" s="20">
        <f>Разбивка_по_щитам!K1674</f>
      </c>
      <c r="I1669" s="20">
        <f>Разбивка_по_щитам!L1674</f>
      </c>
      <c r="J1669" s="20">
        <f>Разбивка_по_щитам!M1674</f>
      </c>
      <c r="K1669" s="20">
        <f>Разбивка_по_щитам!N1674</f>
      </c>
      <c r="L1669" s="20"/>
      <c r="M1669" s="20">
        <f>Разбивка_по_щитам!P1674</f>
      </c>
      <c r="N1669" s="20"/>
    </row>
    <row r="1670" spans="2:14" x14ac:dyDescent="0.25">
      <c r="B1670" s="20">
        <f>Разбивка_по_щитам!B1675</f>
      </c>
      <c r="C1670" s="20">
        <f>Разбивка_по_щитам!C1675</f>
      </c>
      <c r="D1670" s="20">
        <f>Разбивка_по_щитам!F1675</f>
      </c>
      <c r="E1670" s="20">
        <f>Разбивка_по_щитам!H1675</f>
      </c>
      <c r="F1670" s="20">
        <f>Разбивка_по_щитам!I1675</f>
      </c>
      <c r="G1670" s="20">
        <f>Разбивка_по_щитам!J1675</f>
      </c>
      <c r="H1670" s="20">
        <f>Разбивка_по_щитам!K1675</f>
      </c>
      <c r="I1670" s="20">
        <f>Разбивка_по_щитам!L1675</f>
      </c>
      <c r="J1670" s="20">
        <f>Разбивка_по_щитам!M1675</f>
      </c>
      <c r="K1670" s="20">
        <f>Разбивка_по_щитам!N1675</f>
      </c>
      <c r="L1670" s="20"/>
      <c r="M1670" s="20">
        <f>Разбивка_по_щитам!P1675</f>
      </c>
      <c r="N1670" s="20"/>
    </row>
    <row r="1671" spans="2:14" x14ac:dyDescent="0.25">
      <c r="B1671" s="20">
        <f>Разбивка_по_щитам!B1676</f>
      </c>
      <c r="C1671" s="20">
        <f>Разбивка_по_щитам!C1676</f>
      </c>
      <c r="D1671" s="20">
        <f>Разбивка_по_щитам!F1676</f>
      </c>
      <c r="E1671" s="20">
        <f>Разбивка_по_щитам!H1676</f>
      </c>
      <c r="F1671" s="20">
        <f>Разбивка_по_щитам!I1676</f>
      </c>
      <c r="G1671" s="20">
        <f>Разбивка_по_щитам!J1676</f>
      </c>
      <c r="H1671" s="20">
        <f>Разбивка_по_щитам!K1676</f>
      </c>
      <c r="I1671" s="20">
        <f>Разбивка_по_щитам!L1676</f>
      </c>
      <c r="J1671" s="20">
        <f>Разбивка_по_щитам!M1676</f>
      </c>
      <c r="K1671" s="20">
        <f>Разбивка_по_щитам!N1676</f>
      </c>
      <c r="L1671" s="20"/>
      <c r="M1671" s="20">
        <f>Разбивка_по_щитам!P1676</f>
      </c>
      <c r="N1671" s="20"/>
    </row>
    <row r="1672" spans="2:14" x14ac:dyDescent="0.25">
      <c r="B1672" s="20">
        <f>Разбивка_по_щитам!B1677</f>
      </c>
      <c r="C1672" s="20">
        <f>Разбивка_по_щитам!C1677</f>
      </c>
      <c r="D1672" s="20">
        <f>Разбивка_по_щитам!F1677</f>
      </c>
      <c r="E1672" s="20">
        <f>Разбивка_по_щитам!H1677</f>
      </c>
      <c r="F1672" s="20">
        <f>Разбивка_по_щитам!I1677</f>
      </c>
      <c r="G1672" s="20">
        <f>Разбивка_по_щитам!J1677</f>
      </c>
      <c r="H1672" s="20">
        <f>Разбивка_по_щитам!K1677</f>
      </c>
      <c r="I1672" s="20">
        <f>Разбивка_по_щитам!L1677</f>
      </c>
      <c r="J1672" s="20">
        <f>Разбивка_по_щитам!M1677</f>
      </c>
      <c r="K1672" s="20">
        <f>Разбивка_по_щитам!N1677</f>
      </c>
      <c r="L1672" s="20"/>
      <c r="M1672" s="20">
        <f>Разбивка_по_щитам!P1677</f>
      </c>
      <c r="N1672" s="20"/>
    </row>
    <row r="1673" spans="2:14" x14ac:dyDescent="0.25">
      <c r="B1673" s="20">
        <f>Разбивка_по_щитам!B1678</f>
      </c>
      <c r="C1673" s="20">
        <f>Разбивка_по_щитам!C1678</f>
      </c>
      <c r="D1673" s="20">
        <f>Разбивка_по_щитам!F1678</f>
      </c>
      <c r="E1673" s="20">
        <f>Разбивка_по_щитам!H1678</f>
      </c>
      <c r="F1673" s="20">
        <f>Разбивка_по_щитам!I1678</f>
      </c>
      <c r="G1673" s="20">
        <f>Разбивка_по_щитам!J1678</f>
      </c>
      <c r="H1673" s="20">
        <f>Разбивка_по_щитам!K1678</f>
      </c>
      <c r="I1673" s="20">
        <f>Разбивка_по_щитам!L1678</f>
      </c>
      <c r="J1673" s="20">
        <f>Разбивка_по_щитам!M1678</f>
      </c>
      <c r="K1673" s="20">
        <f>Разбивка_по_щитам!N1678</f>
      </c>
      <c r="L1673" s="20"/>
      <c r="M1673" s="20">
        <f>Разбивка_по_щитам!P1678</f>
      </c>
      <c r="N1673" s="20"/>
    </row>
    <row r="1674" spans="2:14" x14ac:dyDescent="0.25">
      <c r="B1674" s="20">
        <f>Разбивка_по_щитам!B1679</f>
      </c>
      <c r="C1674" s="20">
        <f>Разбивка_по_щитам!C1679</f>
      </c>
      <c r="D1674" s="20">
        <f>Разбивка_по_щитам!F1679</f>
      </c>
      <c r="E1674" s="20">
        <f>Разбивка_по_щитам!H1679</f>
      </c>
      <c r="F1674" s="20">
        <f>Разбивка_по_щитам!I1679</f>
      </c>
      <c r="G1674" s="20">
        <f>Разбивка_по_щитам!J1679</f>
      </c>
      <c r="H1674" s="20">
        <f>Разбивка_по_щитам!K1679</f>
      </c>
      <c r="I1674" s="20">
        <f>Разбивка_по_щитам!L1679</f>
      </c>
      <c r="J1674" s="20">
        <f>Разбивка_по_щитам!M1679</f>
      </c>
      <c r="K1674" s="20">
        <f>Разбивка_по_щитам!N1679</f>
      </c>
      <c r="L1674" s="20"/>
      <c r="M1674" s="20">
        <f>Разбивка_по_щитам!P1679</f>
      </c>
      <c r="N1674" s="20"/>
    </row>
    <row r="1675" spans="2:14" x14ac:dyDescent="0.25">
      <c r="B1675" s="20">
        <f>Разбивка_по_щитам!B1680</f>
      </c>
      <c r="C1675" s="20">
        <f>Разбивка_по_щитам!C1680</f>
      </c>
      <c r="D1675" s="20">
        <f>Разбивка_по_щитам!F1680</f>
      </c>
      <c r="E1675" s="20">
        <f>Разбивка_по_щитам!H1680</f>
      </c>
      <c r="F1675" s="20">
        <f>Разбивка_по_щитам!I1680</f>
      </c>
      <c r="G1675" s="20">
        <f>Разбивка_по_щитам!J1680</f>
      </c>
      <c r="H1675" s="20">
        <f>Разбивка_по_щитам!K1680</f>
      </c>
      <c r="I1675" s="20">
        <f>Разбивка_по_щитам!L1680</f>
      </c>
      <c r="J1675" s="20">
        <f>Разбивка_по_щитам!M1680</f>
      </c>
      <c r="K1675" s="20">
        <f>Разбивка_по_щитам!N1680</f>
      </c>
      <c r="L1675" s="20"/>
      <c r="M1675" s="20">
        <f>Разбивка_по_щитам!P1680</f>
      </c>
      <c r="N1675" s="20"/>
    </row>
    <row r="1676" spans="2:14" x14ac:dyDescent="0.25">
      <c r="B1676" s="20">
        <f>Разбивка_по_щитам!B1681</f>
      </c>
      <c r="C1676" s="20">
        <f>Разбивка_по_щитам!C1681</f>
      </c>
      <c r="D1676" s="20">
        <f>Разбивка_по_щитам!F1681</f>
      </c>
      <c r="E1676" s="20">
        <f>Разбивка_по_щитам!H1681</f>
      </c>
      <c r="F1676" s="20">
        <f>Разбивка_по_щитам!I1681</f>
      </c>
      <c r="G1676" s="20">
        <f>Разбивка_по_щитам!J1681</f>
      </c>
      <c r="H1676" s="20">
        <f>Разбивка_по_щитам!K1681</f>
      </c>
      <c r="I1676" s="20">
        <f>Разбивка_по_щитам!L1681</f>
      </c>
      <c r="J1676" s="20">
        <f>Разбивка_по_щитам!M1681</f>
      </c>
      <c r="K1676" s="20">
        <f>Разбивка_по_щитам!N1681</f>
      </c>
      <c r="L1676" s="20"/>
      <c r="M1676" s="20">
        <f>Разбивка_по_щитам!P1681</f>
      </c>
      <c r="N1676" s="20"/>
    </row>
    <row r="1677" spans="2:14" x14ac:dyDescent="0.25">
      <c r="B1677" s="20">
        <f>Разбивка_по_щитам!B1682</f>
      </c>
      <c r="C1677" s="20">
        <f>Разбивка_по_щитам!C1682</f>
      </c>
      <c r="D1677" s="20">
        <f>Разбивка_по_щитам!F1682</f>
      </c>
      <c r="E1677" s="20">
        <f>Разбивка_по_щитам!H1682</f>
      </c>
      <c r="F1677" s="20">
        <f>Разбивка_по_щитам!I1682</f>
      </c>
      <c r="G1677" s="20">
        <f>Разбивка_по_щитам!J1682</f>
      </c>
      <c r="H1677" s="20">
        <f>Разбивка_по_щитам!K1682</f>
      </c>
      <c r="I1677" s="20">
        <f>Разбивка_по_щитам!L1682</f>
      </c>
      <c r="J1677" s="20">
        <f>Разбивка_по_щитам!M1682</f>
      </c>
      <c r="K1677" s="20">
        <f>Разбивка_по_щитам!N1682</f>
      </c>
      <c r="L1677" s="20"/>
      <c r="M1677" s="20">
        <f>Разбивка_по_щитам!P1682</f>
      </c>
      <c r="N1677" s="20"/>
    </row>
    <row r="1678" spans="2:14" x14ac:dyDescent="0.25">
      <c r="B1678" s="20">
        <f>Разбивка_по_щитам!B1683</f>
      </c>
      <c r="C1678" s="20">
        <f>Разбивка_по_щитам!C1683</f>
      </c>
      <c r="D1678" s="20">
        <f>Разбивка_по_щитам!F1683</f>
      </c>
      <c r="E1678" s="20">
        <f>Разбивка_по_щитам!H1683</f>
      </c>
      <c r="F1678" s="20">
        <f>Разбивка_по_щитам!I1683</f>
      </c>
      <c r="G1678" s="20">
        <f>Разбивка_по_щитам!J1683</f>
      </c>
      <c r="H1678" s="20">
        <f>Разбивка_по_щитам!K1683</f>
      </c>
      <c r="I1678" s="20">
        <f>Разбивка_по_щитам!L1683</f>
      </c>
      <c r="J1678" s="20">
        <f>Разбивка_по_щитам!M1683</f>
      </c>
      <c r="K1678" s="20">
        <f>Разбивка_по_щитам!N1683</f>
      </c>
      <c r="L1678" s="20"/>
      <c r="M1678" s="20">
        <f>Разбивка_по_щитам!P1683</f>
      </c>
      <c r="N1678" s="20"/>
    </row>
    <row r="1679" spans="2:14" x14ac:dyDescent="0.25">
      <c r="B1679" s="20">
        <f>Разбивка_по_щитам!B1684</f>
      </c>
      <c r="C1679" s="20">
        <f>Разбивка_по_щитам!C1684</f>
      </c>
      <c r="D1679" s="20">
        <f>Разбивка_по_щитам!F1684</f>
      </c>
      <c r="E1679" s="20">
        <f>Разбивка_по_щитам!H1684</f>
      </c>
      <c r="F1679" s="20">
        <f>Разбивка_по_щитам!I1684</f>
      </c>
      <c r="G1679" s="20">
        <f>Разбивка_по_щитам!J1684</f>
      </c>
      <c r="H1679" s="20">
        <f>Разбивка_по_щитам!K1684</f>
      </c>
      <c r="I1679" s="20">
        <f>Разбивка_по_щитам!L1684</f>
      </c>
      <c r="J1679" s="20">
        <f>Разбивка_по_щитам!M1684</f>
      </c>
      <c r="K1679" s="20">
        <f>Разбивка_по_щитам!N1684</f>
      </c>
      <c r="L1679" s="20"/>
      <c r="M1679" s="20">
        <f>Разбивка_по_щитам!P1684</f>
      </c>
      <c r="N1679" s="20"/>
    </row>
    <row r="1680" spans="2:14" x14ac:dyDescent="0.25">
      <c r="B1680" s="20">
        <f>Разбивка_по_щитам!B1685</f>
      </c>
      <c r="C1680" s="20">
        <f>Разбивка_по_щитам!C1685</f>
      </c>
      <c r="D1680" s="20">
        <f>Разбивка_по_щитам!F1685</f>
      </c>
      <c r="E1680" s="20">
        <f>Разбивка_по_щитам!H1685</f>
      </c>
      <c r="F1680" s="20">
        <f>Разбивка_по_щитам!I1685</f>
      </c>
      <c r="G1680" s="20">
        <f>Разбивка_по_щитам!J1685</f>
      </c>
      <c r="H1680" s="20">
        <f>Разбивка_по_щитам!K1685</f>
      </c>
      <c r="I1680" s="20">
        <f>Разбивка_по_щитам!L1685</f>
      </c>
      <c r="J1680" s="20">
        <f>Разбивка_по_щитам!M1685</f>
      </c>
      <c r="K1680" s="20">
        <f>Разбивка_по_щитам!N1685</f>
      </c>
      <c r="L1680" s="20"/>
      <c r="M1680" s="20">
        <f>Разбивка_по_щитам!P1685</f>
      </c>
      <c r="N1680" s="20"/>
    </row>
    <row r="1681" spans="2:14" x14ac:dyDescent="0.25">
      <c r="B1681" s="20">
        <f>Разбивка_по_щитам!B1686</f>
      </c>
      <c r="C1681" s="20">
        <f>Разбивка_по_щитам!C1686</f>
      </c>
      <c r="D1681" s="20">
        <f>Разбивка_по_щитам!F1686</f>
      </c>
      <c r="E1681" s="20">
        <f>Разбивка_по_щитам!H1686</f>
      </c>
      <c r="F1681" s="20">
        <f>Разбивка_по_щитам!I1686</f>
      </c>
      <c r="G1681" s="20">
        <f>Разбивка_по_щитам!J1686</f>
      </c>
      <c r="H1681" s="20">
        <f>Разбивка_по_щитам!K1686</f>
      </c>
      <c r="I1681" s="20">
        <f>Разбивка_по_щитам!L1686</f>
      </c>
      <c r="J1681" s="20">
        <f>Разбивка_по_щитам!M1686</f>
      </c>
      <c r="K1681" s="20">
        <f>Разбивка_по_щитам!N1686</f>
      </c>
      <c r="L1681" s="20"/>
      <c r="M1681" s="20">
        <f>Разбивка_по_щитам!P1686</f>
      </c>
      <c r="N1681" s="20"/>
    </row>
    <row r="1682" spans="2:14" x14ac:dyDescent="0.25">
      <c r="B1682" s="20">
        <f>Разбивка_по_щитам!B1687</f>
      </c>
      <c r="C1682" s="20">
        <f>Разбивка_по_щитам!C1687</f>
      </c>
      <c r="D1682" s="20">
        <f>Разбивка_по_щитам!F1687</f>
      </c>
      <c r="E1682" s="20">
        <f>Разбивка_по_щитам!H1687</f>
      </c>
      <c r="F1682" s="20">
        <f>Разбивка_по_щитам!I1687</f>
      </c>
      <c r="G1682" s="20">
        <f>Разбивка_по_щитам!J1687</f>
      </c>
      <c r="H1682" s="20">
        <f>Разбивка_по_щитам!K1687</f>
      </c>
      <c r="I1682" s="20">
        <f>Разбивка_по_щитам!L1687</f>
      </c>
      <c r="J1682" s="20">
        <f>Разбивка_по_щитам!M1687</f>
      </c>
      <c r="K1682" s="20">
        <f>Разбивка_по_щитам!N1687</f>
      </c>
      <c r="L1682" s="20"/>
      <c r="M1682" s="20">
        <f>Разбивка_по_щитам!P1687</f>
      </c>
      <c r="N1682" s="20"/>
    </row>
    <row r="1683" spans="2:14" x14ac:dyDescent="0.25">
      <c r="B1683" s="20">
        <f>Разбивка_по_щитам!B1688</f>
      </c>
      <c r="C1683" s="20">
        <f>Разбивка_по_щитам!C1688</f>
      </c>
      <c r="D1683" s="20">
        <f>Разбивка_по_щитам!F1688</f>
      </c>
      <c r="E1683" s="20">
        <f>Разбивка_по_щитам!H1688</f>
      </c>
      <c r="F1683" s="20">
        <f>Разбивка_по_щитам!I1688</f>
      </c>
      <c r="G1683" s="20">
        <f>Разбивка_по_щитам!J1688</f>
      </c>
      <c r="H1683" s="20">
        <f>Разбивка_по_щитам!K1688</f>
      </c>
      <c r="I1683" s="20">
        <f>Разбивка_по_щитам!L1688</f>
      </c>
      <c r="J1683" s="20">
        <f>Разбивка_по_щитам!M1688</f>
      </c>
      <c r="K1683" s="20">
        <f>Разбивка_по_щитам!N1688</f>
      </c>
      <c r="L1683" s="20"/>
      <c r="M1683" s="20">
        <f>Разбивка_по_щитам!P1688</f>
      </c>
      <c r="N1683" s="20"/>
    </row>
    <row r="1684" spans="2:14" x14ac:dyDescent="0.25">
      <c r="B1684" s="20">
        <f>Разбивка_по_щитам!B1689</f>
      </c>
      <c r="C1684" s="20">
        <f>Разбивка_по_щитам!C1689</f>
      </c>
      <c r="D1684" s="20">
        <f>Разбивка_по_щитам!F1689</f>
      </c>
      <c r="E1684" s="20">
        <f>Разбивка_по_щитам!H1689</f>
      </c>
      <c r="F1684" s="20">
        <f>Разбивка_по_щитам!I1689</f>
      </c>
      <c r="G1684" s="20">
        <f>Разбивка_по_щитам!J1689</f>
      </c>
      <c r="H1684" s="20">
        <f>Разбивка_по_щитам!K1689</f>
      </c>
      <c r="I1684" s="20">
        <f>Разбивка_по_щитам!L1689</f>
      </c>
      <c r="J1684" s="20">
        <f>Разбивка_по_щитам!M1689</f>
      </c>
      <c r="K1684" s="20">
        <f>Разбивка_по_щитам!N1689</f>
      </c>
      <c r="L1684" s="20"/>
      <c r="M1684" s="20">
        <f>Разбивка_по_щитам!P1689</f>
      </c>
      <c r="N1684" s="20"/>
    </row>
    <row r="1685" spans="2:14" x14ac:dyDescent="0.25">
      <c r="B1685" s="20">
        <f>Разбивка_по_щитам!B1690</f>
      </c>
      <c r="C1685" s="20">
        <f>Разбивка_по_щитам!C1690</f>
      </c>
      <c r="D1685" s="20">
        <f>Разбивка_по_щитам!F1690</f>
      </c>
      <c r="E1685" s="20">
        <f>Разбивка_по_щитам!H1690</f>
      </c>
      <c r="F1685" s="20">
        <f>Разбивка_по_щитам!I1690</f>
      </c>
      <c r="G1685" s="20">
        <f>Разбивка_по_щитам!J1690</f>
      </c>
      <c r="H1685" s="20">
        <f>Разбивка_по_щитам!K1690</f>
      </c>
      <c r="I1685" s="20">
        <f>Разбивка_по_щитам!L1690</f>
      </c>
      <c r="J1685" s="20">
        <f>Разбивка_по_щитам!M1690</f>
      </c>
      <c r="K1685" s="20">
        <f>Разбивка_по_щитам!N1690</f>
      </c>
      <c r="L1685" s="20"/>
      <c r="M1685" s="20">
        <f>Разбивка_по_щитам!P1690</f>
      </c>
      <c r="N1685" s="20"/>
    </row>
    <row r="1686" spans="2:14" x14ac:dyDescent="0.25">
      <c r="B1686" s="20">
        <f>Разбивка_по_щитам!B1691</f>
      </c>
      <c r="C1686" s="20">
        <f>Разбивка_по_щитам!C1691</f>
      </c>
      <c r="D1686" s="20">
        <f>Разбивка_по_щитам!F1691</f>
      </c>
      <c r="E1686" s="20">
        <f>Разбивка_по_щитам!H1691</f>
      </c>
      <c r="F1686" s="20">
        <f>Разбивка_по_щитам!I1691</f>
      </c>
      <c r="G1686" s="20">
        <f>Разбивка_по_щитам!J1691</f>
      </c>
      <c r="H1686" s="20">
        <f>Разбивка_по_щитам!K1691</f>
      </c>
      <c r="I1686" s="20">
        <f>Разбивка_по_щитам!L1691</f>
      </c>
      <c r="J1686" s="20">
        <f>Разбивка_по_щитам!M1691</f>
      </c>
      <c r="K1686" s="20">
        <f>Разбивка_по_щитам!N1691</f>
      </c>
      <c r="L1686" s="20"/>
      <c r="M1686" s="20">
        <f>Разбивка_по_щитам!P1691</f>
      </c>
      <c r="N1686" s="20"/>
    </row>
    <row r="1687" spans="2:14" x14ac:dyDescent="0.25">
      <c r="B1687" s="20">
        <f>Разбивка_по_щитам!B1692</f>
      </c>
      <c r="C1687" s="20">
        <f>Разбивка_по_щитам!C1692</f>
      </c>
      <c r="D1687" s="20">
        <f>Разбивка_по_щитам!F1692</f>
      </c>
      <c r="E1687" s="20">
        <f>Разбивка_по_щитам!H1692</f>
      </c>
      <c r="F1687" s="20">
        <f>Разбивка_по_щитам!I1692</f>
      </c>
      <c r="G1687" s="20">
        <f>Разбивка_по_щитам!J1692</f>
      </c>
      <c r="H1687" s="20">
        <f>Разбивка_по_щитам!K1692</f>
      </c>
      <c r="I1687" s="20">
        <f>Разбивка_по_щитам!L1692</f>
      </c>
      <c r="J1687" s="20">
        <f>Разбивка_по_щитам!M1692</f>
      </c>
      <c r="K1687" s="20">
        <f>Разбивка_по_щитам!N1692</f>
      </c>
      <c r="L1687" s="20"/>
      <c r="M1687" s="20">
        <f>Разбивка_по_щитам!P1692</f>
      </c>
      <c r="N1687" s="20"/>
    </row>
    <row r="1688" spans="2:14" x14ac:dyDescent="0.25">
      <c r="B1688" s="20">
        <f>Разбивка_по_щитам!B1693</f>
      </c>
      <c r="C1688" s="20">
        <f>Разбивка_по_щитам!C1693</f>
      </c>
      <c r="D1688" s="20">
        <f>Разбивка_по_щитам!F1693</f>
      </c>
      <c r="E1688" s="20">
        <f>Разбивка_по_щитам!H1693</f>
      </c>
      <c r="F1688" s="20">
        <f>Разбивка_по_щитам!I1693</f>
      </c>
      <c r="G1688" s="20">
        <f>Разбивка_по_щитам!J1693</f>
      </c>
      <c r="H1688" s="20">
        <f>Разбивка_по_щитам!K1693</f>
      </c>
      <c r="I1688" s="20">
        <f>Разбивка_по_щитам!L1693</f>
      </c>
      <c r="J1688" s="20">
        <f>Разбивка_по_щитам!M1693</f>
      </c>
      <c r="K1688" s="20">
        <f>Разбивка_по_щитам!N1693</f>
      </c>
      <c r="L1688" s="20"/>
      <c r="M1688" s="20">
        <f>Разбивка_по_щитам!P1693</f>
      </c>
      <c r="N1688" s="20"/>
    </row>
    <row r="1689" spans="2:14" x14ac:dyDescent="0.25">
      <c r="B1689" s="20">
        <f>Разбивка_по_щитам!B1694</f>
      </c>
      <c r="C1689" s="20">
        <f>Разбивка_по_щитам!C1694</f>
      </c>
      <c r="D1689" s="20">
        <f>Разбивка_по_щитам!F1694</f>
      </c>
      <c r="E1689" s="20">
        <f>Разбивка_по_щитам!H1694</f>
      </c>
      <c r="F1689" s="20">
        <f>Разбивка_по_щитам!I1694</f>
      </c>
      <c r="G1689" s="20">
        <f>Разбивка_по_щитам!J1694</f>
      </c>
      <c r="H1689" s="20">
        <f>Разбивка_по_щитам!K1694</f>
      </c>
      <c r="I1689" s="20">
        <f>Разбивка_по_щитам!L1694</f>
      </c>
      <c r="J1689" s="20">
        <f>Разбивка_по_щитам!M1694</f>
      </c>
      <c r="K1689" s="20">
        <f>Разбивка_по_щитам!N1694</f>
      </c>
      <c r="L1689" s="20"/>
      <c r="M1689" s="20">
        <f>Разбивка_по_щитам!P1694</f>
      </c>
      <c r="N1689" s="20"/>
    </row>
    <row r="1690" spans="2:14" x14ac:dyDescent="0.25">
      <c r="B1690" s="20">
        <f>Разбивка_по_щитам!B1695</f>
      </c>
      <c r="C1690" s="20">
        <f>Разбивка_по_щитам!C1695</f>
      </c>
      <c r="D1690" s="20">
        <f>Разбивка_по_щитам!F1695</f>
      </c>
      <c r="E1690" s="20">
        <f>Разбивка_по_щитам!H1695</f>
      </c>
      <c r="F1690" s="20">
        <f>Разбивка_по_щитам!I1695</f>
      </c>
      <c r="G1690" s="20">
        <f>Разбивка_по_щитам!J1695</f>
      </c>
      <c r="H1690" s="20">
        <f>Разбивка_по_щитам!K1695</f>
      </c>
      <c r="I1690" s="20">
        <f>Разбивка_по_щитам!L1695</f>
      </c>
      <c r="J1690" s="20">
        <f>Разбивка_по_щитам!M1695</f>
      </c>
      <c r="K1690" s="20">
        <f>Разбивка_по_щитам!N1695</f>
      </c>
      <c r="L1690" s="20"/>
      <c r="M1690" s="20">
        <f>Разбивка_по_щитам!P1695</f>
      </c>
      <c r="N1690" s="20"/>
    </row>
    <row r="1691" spans="2:14" x14ac:dyDescent="0.25">
      <c r="B1691" s="20">
        <f>Разбивка_по_щитам!B1696</f>
      </c>
      <c r="C1691" s="20">
        <f>Разбивка_по_щитам!C1696</f>
      </c>
      <c r="D1691" s="20">
        <f>Разбивка_по_щитам!F1696</f>
      </c>
      <c r="E1691" s="20">
        <f>Разбивка_по_щитам!H1696</f>
      </c>
      <c r="F1691" s="20">
        <f>Разбивка_по_щитам!I1696</f>
      </c>
      <c r="G1691" s="20">
        <f>Разбивка_по_щитам!J1696</f>
      </c>
      <c r="H1691" s="20">
        <f>Разбивка_по_щитам!K1696</f>
      </c>
      <c r="I1691" s="20">
        <f>Разбивка_по_щитам!L1696</f>
      </c>
      <c r="J1691" s="20">
        <f>Разбивка_по_щитам!M1696</f>
      </c>
      <c r="K1691" s="20">
        <f>Разбивка_по_щитам!N1696</f>
      </c>
      <c r="L1691" s="20"/>
      <c r="M1691" s="20">
        <f>Разбивка_по_щитам!P1696</f>
      </c>
      <c r="N1691" s="20"/>
    </row>
    <row r="1692" spans="2:14" x14ac:dyDescent="0.25">
      <c r="B1692" s="20">
        <f>Разбивка_по_щитам!B1697</f>
      </c>
      <c r="C1692" s="20">
        <f>Разбивка_по_щитам!C1697</f>
      </c>
      <c r="D1692" s="20">
        <f>Разбивка_по_щитам!F1697</f>
      </c>
      <c r="E1692" s="20">
        <f>Разбивка_по_щитам!H1697</f>
      </c>
      <c r="F1692" s="20">
        <f>Разбивка_по_щитам!I1697</f>
      </c>
      <c r="G1692" s="20">
        <f>Разбивка_по_щитам!J1697</f>
      </c>
      <c r="H1692" s="20">
        <f>Разбивка_по_щитам!K1697</f>
      </c>
      <c r="I1692" s="20">
        <f>Разбивка_по_щитам!L1697</f>
      </c>
      <c r="J1692" s="20">
        <f>Разбивка_по_щитам!M1697</f>
      </c>
      <c r="K1692" s="20">
        <f>Разбивка_по_щитам!N1697</f>
      </c>
      <c r="L1692" s="20"/>
      <c r="M1692" s="20">
        <f>Разбивка_по_щитам!P1697</f>
      </c>
      <c r="N1692" s="20"/>
    </row>
    <row r="1693" spans="2:14" x14ac:dyDescent="0.25">
      <c r="B1693" s="20">
        <f>Разбивка_по_щитам!B1698</f>
      </c>
      <c r="C1693" s="20">
        <f>Разбивка_по_щитам!C1698</f>
      </c>
      <c r="D1693" s="20">
        <f>Разбивка_по_щитам!F1698</f>
      </c>
      <c r="E1693" s="20">
        <f>Разбивка_по_щитам!H1698</f>
      </c>
      <c r="F1693" s="20">
        <f>Разбивка_по_щитам!I1698</f>
      </c>
      <c r="G1693" s="20">
        <f>Разбивка_по_щитам!J1698</f>
      </c>
      <c r="H1693" s="20">
        <f>Разбивка_по_щитам!K1698</f>
      </c>
      <c r="I1693" s="20">
        <f>Разбивка_по_щитам!L1698</f>
      </c>
      <c r="J1693" s="20">
        <f>Разбивка_по_щитам!M1698</f>
      </c>
      <c r="K1693" s="20">
        <f>Разбивка_по_щитам!N1698</f>
      </c>
      <c r="L1693" s="20"/>
      <c r="M1693" s="20">
        <f>Разбивка_по_щитам!P1698</f>
      </c>
      <c r="N1693" s="20"/>
    </row>
    <row r="1694" spans="2:14" x14ac:dyDescent="0.25">
      <c r="B1694" s="20">
        <f>Разбивка_по_щитам!B1699</f>
      </c>
      <c r="C1694" s="20">
        <f>Разбивка_по_щитам!C1699</f>
      </c>
      <c r="D1694" s="20">
        <f>Разбивка_по_щитам!F1699</f>
      </c>
      <c r="E1694" s="20">
        <f>Разбивка_по_щитам!H1699</f>
      </c>
      <c r="F1694" s="20">
        <f>Разбивка_по_щитам!I1699</f>
      </c>
      <c r="G1694" s="20">
        <f>Разбивка_по_щитам!J1699</f>
      </c>
      <c r="H1694" s="20">
        <f>Разбивка_по_щитам!K1699</f>
      </c>
      <c r="I1694" s="20">
        <f>Разбивка_по_щитам!L1699</f>
      </c>
      <c r="J1694" s="20">
        <f>Разбивка_по_щитам!M1699</f>
      </c>
      <c r="K1694" s="20">
        <f>Разбивка_по_щитам!N1699</f>
      </c>
      <c r="L1694" s="20"/>
      <c r="M1694" s="20">
        <f>Разбивка_по_щитам!P1699</f>
      </c>
      <c r="N1694" s="20"/>
    </row>
    <row r="1695" spans="2:14" x14ac:dyDescent="0.25">
      <c r="B1695" s="20">
        <f>Разбивка_по_щитам!B1700</f>
      </c>
      <c r="C1695" s="20">
        <f>Разбивка_по_щитам!C1700</f>
      </c>
      <c r="D1695" s="20">
        <f>Разбивка_по_щитам!F1700</f>
      </c>
      <c r="E1695" s="20">
        <f>Разбивка_по_щитам!H1700</f>
      </c>
      <c r="F1695" s="20">
        <f>Разбивка_по_щитам!I1700</f>
      </c>
      <c r="G1695" s="20">
        <f>Разбивка_по_щитам!J1700</f>
      </c>
      <c r="H1695" s="20">
        <f>Разбивка_по_щитам!K1700</f>
      </c>
      <c r="I1695" s="20">
        <f>Разбивка_по_щитам!L1700</f>
      </c>
      <c r="J1695" s="20">
        <f>Разбивка_по_щитам!M1700</f>
      </c>
      <c r="K1695" s="20">
        <f>Разбивка_по_щитам!N1700</f>
      </c>
      <c r="L1695" s="20"/>
      <c r="M1695" s="20">
        <f>Разбивка_по_щитам!P1700</f>
      </c>
      <c r="N1695" s="20"/>
    </row>
    <row r="1696" spans="2:14" x14ac:dyDescent="0.25">
      <c r="B1696" s="20">
        <f>Разбивка_по_щитам!B1701</f>
      </c>
      <c r="C1696" s="20">
        <f>Разбивка_по_щитам!C1701</f>
      </c>
      <c r="D1696" s="20">
        <f>Разбивка_по_щитам!F1701</f>
      </c>
      <c r="E1696" s="20">
        <f>Разбивка_по_щитам!H1701</f>
      </c>
      <c r="F1696" s="20">
        <f>Разбивка_по_щитам!I1701</f>
      </c>
      <c r="G1696" s="20">
        <f>Разбивка_по_щитам!J1701</f>
      </c>
      <c r="H1696" s="20">
        <f>Разбивка_по_щитам!K1701</f>
      </c>
      <c r="I1696" s="20">
        <f>Разбивка_по_щитам!L1701</f>
      </c>
      <c r="J1696" s="20">
        <f>Разбивка_по_щитам!M1701</f>
      </c>
      <c r="K1696" s="20">
        <f>Разбивка_по_щитам!N1701</f>
      </c>
      <c r="L1696" s="20"/>
      <c r="M1696" s="20">
        <f>Разбивка_по_щитам!P1701</f>
      </c>
      <c r="N1696" s="20"/>
    </row>
    <row r="1697" spans="2:14" x14ac:dyDescent="0.25">
      <c r="B1697" s="20">
        <f>Разбивка_по_щитам!B1702</f>
      </c>
      <c r="C1697" s="20">
        <f>Разбивка_по_щитам!C1702</f>
      </c>
      <c r="D1697" s="20">
        <f>Разбивка_по_щитам!F1702</f>
      </c>
      <c r="E1697" s="20">
        <f>Разбивка_по_щитам!H1702</f>
      </c>
      <c r="F1697" s="20">
        <f>Разбивка_по_щитам!I1702</f>
      </c>
      <c r="G1697" s="20">
        <f>Разбивка_по_щитам!J1702</f>
      </c>
      <c r="H1697" s="20">
        <f>Разбивка_по_щитам!K1702</f>
      </c>
      <c r="I1697" s="20">
        <f>Разбивка_по_щитам!L1702</f>
      </c>
      <c r="J1697" s="20">
        <f>Разбивка_по_щитам!M1702</f>
      </c>
      <c r="K1697" s="20">
        <f>Разбивка_по_щитам!N1702</f>
      </c>
      <c r="L1697" s="20"/>
      <c r="M1697" s="20">
        <f>Разбивка_по_щитам!P1702</f>
      </c>
      <c r="N1697" s="20"/>
    </row>
    <row r="1698" spans="2:14" x14ac:dyDescent="0.25">
      <c r="B1698" s="20">
        <f>Разбивка_по_щитам!B1703</f>
      </c>
      <c r="C1698" s="20">
        <f>Разбивка_по_щитам!C1703</f>
      </c>
      <c r="D1698" s="20">
        <f>Разбивка_по_щитам!F1703</f>
      </c>
      <c r="E1698" s="20">
        <f>Разбивка_по_щитам!H1703</f>
      </c>
      <c r="F1698" s="20">
        <f>Разбивка_по_щитам!I1703</f>
      </c>
      <c r="G1698" s="20">
        <f>Разбивка_по_щитам!J1703</f>
      </c>
      <c r="H1698" s="20">
        <f>Разбивка_по_щитам!K1703</f>
      </c>
      <c r="I1698" s="20">
        <f>Разбивка_по_щитам!L1703</f>
      </c>
      <c r="J1698" s="20">
        <f>Разбивка_по_щитам!M1703</f>
      </c>
      <c r="K1698" s="20">
        <f>Разбивка_по_щитам!N1703</f>
      </c>
      <c r="L1698" s="20"/>
      <c r="M1698" s="20">
        <f>Разбивка_по_щитам!P1703</f>
      </c>
      <c r="N1698" s="20"/>
    </row>
    <row r="1699" spans="2:14" x14ac:dyDescent="0.25">
      <c r="B1699" s="20">
        <f>Разбивка_по_щитам!B1704</f>
      </c>
      <c r="C1699" s="20">
        <f>Разбивка_по_щитам!C1704</f>
      </c>
      <c r="D1699" s="20">
        <f>Разбивка_по_щитам!F1704</f>
      </c>
      <c r="E1699" s="20">
        <f>Разбивка_по_щитам!H1704</f>
      </c>
      <c r="F1699" s="20">
        <f>Разбивка_по_щитам!I1704</f>
      </c>
      <c r="G1699" s="20">
        <f>Разбивка_по_щитам!J1704</f>
      </c>
      <c r="H1699" s="20">
        <f>Разбивка_по_щитам!K1704</f>
      </c>
      <c r="I1699" s="20">
        <f>Разбивка_по_щитам!L1704</f>
      </c>
      <c r="J1699" s="20">
        <f>Разбивка_по_щитам!M1704</f>
      </c>
      <c r="K1699" s="20">
        <f>Разбивка_по_щитам!N1704</f>
      </c>
      <c r="L1699" s="20"/>
      <c r="M1699" s="20">
        <f>Разбивка_по_щитам!P1704</f>
      </c>
      <c r="N1699" s="20"/>
    </row>
    <row r="1700" spans="2:14" x14ac:dyDescent="0.25">
      <c r="B1700" s="20">
        <f>Разбивка_по_щитам!B1705</f>
      </c>
      <c r="C1700" s="20">
        <f>Разбивка_по_щитам!C1705</f>
      </c>
      <c r="D1700" s="20">
        <f>Разбивка_по_щитам!F1705</f>
      </c>
      <c r="E1700" s="20">
        <f>Разбивка_по_щитам!H1705</f>
      </c>
      <c r="F1700" s="20">
        <f>Разбивка_по_щитам!I1705</f>
      </c>
      <c r="G1700" s="20">
        <f>Разбивка_по_щитам!J1705</f>
      </c>
      <c r="H1700" s="20">
        <f>Разбивка_по_щитам!K1705</f>
      </c>
      <c r="I1700" s="20">
        <f>Разбивка_по_щитам!L1705</f>
      </c>
      <c r="J1700" s="20">
        <f>Разбивка_по_щитам!M1705</f>
      </c>
      <c r="K1700" s="20">
        <f>Разбивка_по_щитам!N1705</f>
      </c>
      <c r="L1700" s="20"/>
      <c r="M1700" s="20">
        <f>Разбивка_по_щитам!P1705</f>
      </c>
      <c r="N1700" s="20"/>
    </row>
    <row r="1701" spans="2:14" x14ac:dyDescent="0.25">
      <c r="B1701" s="20">
        <f>Разбивка_по_щитам!B1706</f>
      </c>
      <c r="C1701" s="20">
        <f>Разбивка_по_щитам!C1706</f>
      </c>
      <c r="D1701" s="20">
        <f>Разбивка_по_щитам!F1706</f>
      </c>
      <c r="E1701" s="20">
        <f>Разбивка_по_щитам!H1706</f>
      </c>
      <c r="F1701" s="20">
        <f>Разбивка_по_щитам!I1706</f>
      </c>
      <c r="G1701" s="20">
        <f>Разбивка_по_щитам!J1706</f>
      </c>
      <c r="H1701" s="20">
        <f>Разбивка_по_щитам!K1706</f>
      </c>
      <c r="I1701" s="20">
        <f>Разбивка_по_щитам!L1706</f>
      </c>
      <c r="J1701" s="20">
        <f>Разбивка_по_щитам!M1706</f>
      </c>
      <c r="K1701" s="20">
        <f>Разбивка_по_щитам!N1706</f>
      </c>
      <c r="L1701" s="20"/>
      <c r="M1701" s="20">
        <f>Разбивка_по_щитам!P1706</f>
      </c>
      <c r="N1701" s="20"/>
    </row>
    <row r="1702" spans="2:14" x14ac:dyDescent="0.25">
      <c r="B1702" s="20">
        <f>Разбивка_по_щитам!B1707</f>
      </c>
      <c r="C1702" s="20">
        <f>Разбивка_по_щитам!C1707</f>
      </c>
      <c r="D1702" s="20">
        <f>Разбивка_по_щитам!F1707</f>
      </c>
      <c r="E1702" s="20">
        <f>Разбивка_по_щитам!H1707</f>
      </c>
      <c r="F1702" s="20">
        <f>Разбивка_по_щитам!I1707</f>
      </c>
      <c r="G1702" s="20">
        <f>Разбивка_по_щитам!J1707</f>
      </c>
      <c r="H1702" s="20">
        <f>Разбивка_по_щитам!K1707</f>
      </c>
      <c r="I1702" s="20">
        <f>Разбивка_по_щитам!L1707</f>
      </c>
      <c r="J1702" s="20">
        <f>Разбивка_по_щитам!M1707</f>
      </c>
      <c r="K1702" s="20">
        <f>Разбивка_по_щитам!N1707</f>
      </c>
      <c r="L1702" s="20"/>
      <c r="M1702" s="20">
        <f>Разбивка_по_щитам!P1707</f>
      </c>
      <c r="N1702" s="20"/>
    </row>
    <row r="1703" spans="2:14" x14ac:dyDescent="0.25">
      <c r="B1703" s="20">
        <f>Разбивка_по_щитам!B1708</f>
      </c>
      <c r="C1703" s="20">
        <f>Разбивка_по_щитам!C1708</f>
      </c>
      <c r="D1703" s="20">
        <f>Разбивка_по_щитам!F1708</f>
      </c>
      <c r="E1703" s="20">
        <f>Разбивка_по_щитам!H1708</f>
      </c>
      <c r="F1703" s="20">
        <f>Разбивка_по_щитам!I1708</f>
      </c>
      <c r="G1703" s="20">
        <f>Разбивка_по_щитам!J1708</f>
      </c>
      <c r="H1703" s="20">
        <f>Разбивка_по_щитам!K1708</f>
      </c>
      <c r="I1703" s="20">
        <f>Разбивка_по_щитам!L1708</f>
      </c>
      <c r="J1703" s="20">
        <f>Разбивка_по_щитам!M1708</f>
      </c>
      <c r="K1703" s="20">
        <f>Разбивка_по_щитам!N1708</f>
      </c>
      <c r="L1703" s="20"/>
      <c r="M1703" s="20">
        <f>Разбивка_по_щитам!P1708</f>
      </c>
      <c r="N1703" s="20"/>
    </row>
    <row r="1704" spans="2:14" x14ac:dyDescent="0.25">
      <c r="B1704" s="20">
        <f>Разбивка_по_щитам!B1709</f>
      </c>
      <c r="C1704" s="20">
        <f>Разбивка_по_щитам!C1709</f>
      </c>
      <c r="D1704" s="20">
        <f>Разбивка_по_щитам!F1709</f>
      </c>
      <c r="E1704" s="20">
        <f>Разбивка_по_щитам!H1709</f>
      </c>
      <c r="F1704" s="20">
        <f>Разбивка_по_щитам!I1709</f>
      </c>
      <c r="G1704" s="20">
        <f>Разбивка_по_щитам!J1709</f>
      </c>
      <c r="H1704" s="20">
        <f>Разбивка_по_щитам!K1709</f>
      </c>
      <c r="I1704" s="20">
        <f>Разбивка_по_щитам!L1709</f>
      </c>
      <c r="J1704" s="20">
        <f>Разбивка_по_щитам!M1709</f>
      </c>
      <c r="K1704" s="20">
        <f>Разбивка_по_щитам!N1709</f>
      </c>
      <c r="L1704" s="20"/>
      <c r="M1704" s="20">
        <f>Разбивка_по_щитам!P1709</f>
      </c>
      <c r="N1704" s="20"/>
    </row>
    <row r="1705" spans="2:14" x14ac:dyDescent="0.25">
      <c r="B1705" s="20">
        <f>Разбивка_по_щитам!B1710</f>
      </c>
      <c r="C1705" s="20">
        <f>Разбивка_по_щитам!C1710</f>
      </c>
      <c r="D1705" s="20">
        <f>Разбивка_по_щитам!F1710</f>
      </c>
      <c r="E1705" s="20">
        <f>Разбивка_по_щитам!H1710</f>
      </c>
      <c r="F1705" s="20">
        <f>Разбивка_по_щитам!I1710</f>
      </c>
      <c r="G1705" s="20">
        <f>Разбивка_по_щитам!J1710</f>
      </c>
      <c r="H1705" s="20">
        <f>Разбивка_по_щитам!K1710</f>
      </c>
      <c r="I1705" s="20">
        <f>Разбивка_по_щитам!L1710</f>
      </c>
      <c r="J1705" s="20">
        <f>Разбивка_по_щитам!M1710</f>
      </c>
      <c r="K1705" s="20">
        <f>Разбивка_по_щитам!N1710</f>
      </c>
      <c r="L1705" s="20"/>
      <c r="M1705" s="20">
        <f>Разбивка_по_щитам!P1710</f>
      </c>
      <c r="N1705" s="20"/>
    </row>
    <row r="1706" spans="2:14" x14ac:dyDescent="0.25">
      <c r="B1706" s="20">
        <f>Разбивка_по_щитам!B1711</f>
      </c>
      <c r="C1706" s="20">
        <f>Разбивка_по_щитам!C1711</f>
      </c>
      <c r="D1706" s="20">
        <f>Разбивка_по_щитам!F1711</f>
      </c>
      <c r="E1706" s="20">
        <f>Разбивка_по_щитам!H1711</f>
      </c>
      <c r="F1706" s="20">
        <f>Разбивка_по_щитам!I1711</f>
      </c>
      <c r="G1706" s="20">
        <f>Разбивка_по_щитам!J1711</f>
      </c>
      <c r="H1706" s="20">
        <f>Разбивка_по_щитам!K1711</f>
      </c>
      <c r="I1706" s="20">
        <f>Разбивка_по_щитам!L1711</f>
      </c>
      <c r="J1706" s="20">
        <f>Разбивка_по_щитам!M1711</f>
      </c>
      <c r="K1706" s="20">
        <f>Разбивка_по_щитам!N1711</f>
      </c>
      <c r="L1706" s="20"/>
      <c r="M1706" s="20">
        <f>Разбивка_по_щитам!P1711</f>
      </c>
      <c r="N1706" s="20"/>
    </row>
    <row r="1707" spans="2:14" x14ac:dyDescent="0.25">
      <c r="B1707" s="20">
        <f>Разбивка_по_щитам!B1712</f>
      </c>
      <c r="C1707" s="20">
        <f>Разбивка_по_щитам!C1712</f>
      </c>
      <c r="D1707" s="20">
        <f>Разбивка_по_щитам!F1712</f>
      </c>
      <c r="E1707" s="20">
        <f>Разбивка_по_щитам!H1712</f>
      </c>
      <c r="F1707" s="20">
        <f>Разбивка_по_щитам!I1712</f>
      </c>
      <c r="G1707" s="20">
        <f>Разбивка_по_щитам!J1712</f>
      </c>
      <c r="H1707" s="20">
        <f>Разбивка_по_щитам!K1712</f>
      </c>
      <c r="I1707" s="20">
        <f>Разбивка_по_щитам!L1712</f>
      </c>
      <c r="J1707" s="20">
        <f>Разбивка_по_щитам!M1712</f>
      </c>
      <c r="K1707" s="20">
        <f>Разбивка_по_щитам!N1712</f>
      </c>
      <c r="L1707" s="20"/>
      <c r="M1707" s="20">
        <f>Разбивка_по_щитам!P1712</f>
      </c>
      <c r="N1707" s="20"/>
    </row>
    <row r="1708" spans="2:14" x14ac:dyDescent="0.25">
      <c r="B1708" s="20">
        <f>Разбивка_по_щитам!B1713</f>
      </c>
      <c r="C1708" s="20">
        <f>Разбивка_по_щитам!C1713</f>
      </c>
      <c r="D1708" s="20">
        <f>Разбивка_по_щитам!F1713</f>
      </c>
      <c r="E1708" s="20">
        <f>Разбивка_по_щитам!H1713</f>
      </c>
      <c r="F1708" s="20">
        <f>Разбивка_по_щитам!I1713</f>
      </c>
      <c r="G1708" s="20">
        <f>Разбивка_по_щитам!J1713</f>
      </c>
      <c r="H1708" s="20">
        <f>Разбивка_по_щитам!K1713</f>
      </c>
      <c r="I1708" s="20">
        <f>Разбивка_по_щитам!L1713</f>
      </c>
      <c r="J1708" s="20">
        <f>Разбивка_по_щитам!M1713</f>
      </c>
      <c r="K1708" s="20">
        <f>Разбивка_по_щитам!N1713</f>
      </c>
      <c r="L1708" s="20"/>
      <c r="M1708" s="20">
        <f>Разбивка_по_щитам!P1713</f>
      </c>
      <c r="N1708" s="20"/>
    </row>
    <row r="1709" spans="2:14" x14ac:dyDescent="0.25">
      <c r="B1709" s="20">
        <f>Разбивка_по_щитам!B1714</f>
      </c>
      <c r="C1709" s="20">
        <f>Разбивка_по_щитам!C1714</f>
      </c>
      <c r="D1709" s="20">
        <f>Разбивка_по_щитам!F1714</f>
      </c>
      <c r="E1709" s="20">
        <f>Разбивка_по_щитам!H1714</f>
      </c>
      <c r="F1709" s="20">
        <f>Разбивка_по_щитам!I1714</f>
      </c>
      <c r="G1709" s="20">
        <f>Разбивка_по_щитам!J1714</f>
      </c>
      <c r="H1709" s="20">
        <f>Разбивка_по_щитам!K1714</f>
      </c>
      <c r="I1709" s="20">
        <f>Разбивка_по_щитам!L1714</f>
      </c>
      <c r="J1709" s="20">
        <f>Разбивка_по_щитам!M1714</f>
      </c>
      <c r="K1709" s="20">
        <f>Разбивка_по_щитам!N1714</f>
      </c>
      <c r="L1709" s="20"/>
      <c r="M1709" s="20">
        <f>Разбивка_по_щитам!P1714</f>
      </c>
      <c r="N1709" s="20"/>
    </row>
    <row r="1710" spans="2:14" x14ac:dyDescent="0.25">
      <c r="B1710" s="20">
        <f>Разбивка_по_щитам!B1715</f>
      </c>
      <c r="C1710" s="20">
        <f>Разбивка_по_щитам!C1715</f>
      </c>
      <c r="D1710" s="20">
        <f>Разбивка_по_щитам!F1715</f>
      </c>
      <c r="E1710" s="20">
        <f>Разбивка_по_щитам!H1715</f>
      </c>
      <c r="F1710" s="20">
        <f>Разбивка_по_щитам!I1715</f>
      </c>
      <c r="G1710" s="20">
        <f>Разбивка_по_щитам!J1715</f>
      </c>
      <c r="H1710" s="20">
        <f>Разбивка_по_щитам!K1715</f>
      </c>
      <c r="I1710" s="20">
        <f>Разбивка_по_щитам!L1715</f>
      </c>
      <c r="J1710" s="20">
        <f>Разбивка_по_щитам!M1715</f>
      </c>
      <c r="K1710" s="20">
        <f>Разбивка_по_щитам!N1715</f>
      </c>
      <c r="L1710" s="20"/>
      <c r="M1710" s="20">
        <f>Разбивка_по_щитам!P1715</f>
      </c>
      <c r="N1710" s="20"/>
    </row>
    <row r="1711" spans="2:14" x14ac:dyDescent="0.25">
      <c r="B1711" s="20">
        <f>Разбивка_по_щитам!B1716</f>
      </c>
      <c r="C1711" s="20">
        <f>Разбивка_по_щитам!C1716</f>
      </c>
      <c r="D1711" s="20">
        <f>Разбивка_по_щитам!F1716</f>
      </c>
      <c r="E1711" s="20">
        <f>Разбивка_по_щитам!H1716</f>
      </c>
      <c r="F1711" s="20">
        <f>Разбивка_по_щитам!I1716</f>
      </c>
      <c r="G1711" s="20">
        <f>Разбивка_по_щитам!J1716</f>
      </c>
      <c r="H1711" s="20">
        <f>Разбивка_по_щитам!K1716</f>
      </c>
      <c r="I1711" s="20">
        <f>Разбивка_по_щитам!L1716</f>
      </c>
      <c r="J1711" s="20">
        <f>Разбивка_по_щитам!M1716</f>
      </c>
      <c r="K1711" s="20">
        <f>Разбивка_по_щитам!N1716</f>
      </c>
      <c r="L1711" s="20"/>
      <c r="M1711" s="20">
        <f>Разбивка_по_щитам!P1716</f>
      </c>
      <c r="N1711" s="20"/>
    </row>
    <row r="1712" spans="2:14" x14ac:dyDescent="0.25">
      <c r="B1712" s="20">
        <f>Разбивка_по_щитам!B1717</f>
      </c>
      <c r="C1712" s="20">
        <f>Разбивка_по_щитам!C1717</f>
      </c>
      <c r="D1712" s="20">
        <f>Разбивка_по_щитам!F1717</f>
      </c>
      <c r="E1712" s="20">
        <f>Разбивка_по_щитам!H1717</f>
      </c>
      <c r="F1712" s="20">
        <f>Разбивка_по_щитам!I1717</f>
      </c>
      <c r="G1712" s="20">
        <f>Разбивка_по_щитам!J1717</f>
      </c>
      <c r="H1712" s="20">
        <f>Разбивка_по_щитам!K1717</f>
      </c>
      <c r="I1712" s="20">
        <f>Разбивка_по_щитам!L1717</f>
      </c>
      <c r="J1712" s="20">
        <f>Разбивка_по_щитам!M1717</f>
      </c>
      <c r="K1712" s="20">
        <f>Разбивка_по_щитам!N1717</f>
      </c>
      <c r="L1712" s="20"/>
      <c r="M1712" s="20">
        <f>Разбивка_по_щитам!P1717</f>
      </c>
      <c r="N1712" s="20"/>
    </row>
    <row r="1713" spans="2:14" x14ac:dyDescent="0.25">
      <c r="B1713" s="20">
        <f>Разбивка_по_щитам!B1718</f>
      </c>
      <c r="C1713" s="20">
        <f>Разбивка_по_щитам!C1718</f>
      </c>
      <c r="D1713" s="20">
        <f>Разбивка_по_щитам!F1718</f>
      </c>
      <c r="E1713" s="20">
        <f>Разбивка_по_щитам!H1718</f>
      </c>
      <c r="F1713" s="20">
        <f>Разбивка_по_щитам!I1718</f>
      </c>
      <c r="G1713" s="20">
        <f>Разбивка_по_щитам!J1718</f>
      </c>
      <c r="H1713" s="20">
        <f>Разбивка_по_щитам!K1718</f>
      </c>
      <c r="I1713" s="20">
        <f>Разбивка_по_щитам!L1718</f>
      </c>
      <c r="J1713" s="20">
        <f>Разбивка_по_щитам!M1718</f>
      </c>
      <c r="K1713" s="20">
        <f>Разбивка_по_щитам!N1718</f>
      </c>
      <c r="L1713" s="20"/>
      <c r="M1713" s="20">
        <f>Разбивка_по_щитам!P1718</f>
      </c>
      <c r="N1713" s="20"/>
    </row>
    <row r="1714" spans="2:14" x14ac:dyDescent="0.25">
      <c r="B1714" s="20">
        <f>Разбивка_по_щитам!B1719</f>
      </c>
      <c r="C1714" s="20">
        <f>Разбивка_по_щитам!C1719</f>
      </c>
      <c r="D1714" s="20">
        <f>Разбивка_по_щитам!F1719</f>
      </c>
      <c r="E1714" s="20">
        <f>Разбивка_по_щитам!H1719</f>
      </c>
      <c r="F1714" s="20">
        <f>Разбивка_по_щитам!I1719</f>
      </c>
      <c r="G1714" s="20">
        <f>Разбивка_по_щитам!J1719</f>
      </c>
      <c r="H1714" s="20">
        <f>Разбивка_по_щитам!K1719</f>
      </c>
      <c r="I1714" s="20">
        <f>Разбивка_по_щитам!L1719</f>
      </c>
      <c r="J1714" s="20">
        <f>Разбивка_по_щитам!M1719</f>
      </c>
      <c r="K1714" s="20">
        <f>Разбивка_по_щитам!N1719</f>
      </c>
      <c r="L1714" s="20"/>
      <c r="M1714" s="20">
        <f>Разбивка_по_щитам!P1719</f>
      </c>
      <c r="N1714" s="20"/>
    </row>
    <row r="1715" spans="2:14" x14ac:dyDescent="0.25">
      <c r="B1715" s="20">
        <f>Разбивка_по_щитам!B1720</f>
      </c>
      <c r="C1715" s="20">
        <f>Разбивка_по_щитам!C1720</f>
      </c>
      <c r="D1715" s="20">
        <f>Разбивка_по_щитам!F1720</f>
      </c>
      <c r="E1715" s="20">
        <f>Разбивка_по_щитам!H1720</f>
      </c>
      <c r="F1715" s="20">
        <f>Разбивка_по_щитам!I1720</f>
      </c>
      <c r="G1715" s="20">
        <f>Разбивка_по_щитам!J1720</f>
      </c>
      <c r="H1715" s="20">
        <f>Разбивка_по_щитам!K1720</f>
      </c>
      <c r="I1715" s="20">
        <f>Разбивка_по_щитам!L1720</f>
      </c>
      <c r="J1715" s="20">
        <f>Разбивка_по_щитам!M1720</f>
      </c>
      <c r="K1715" s="20">
        <f>Разбивка_по_щитам!N1720</f>
      </c>
      <c r="L1715" s="20"/>
      <c r="M1715" s="20">
        <f>Разбивка_по_щитам!P1720</f>
      </c>
      <c r="N1715" s="20"/>
    </row>
    <row r="1716" spans="2:14" x14ac:dyDescent="0.25">
      <c r="B1716" s="20">
        <f>Разбивка_по_щитам!B1721</f>
      </c>
      <c r="C1716" s="20">
        <f>Разбивка_по_щитам!C1721</f>
      </c>
      <c r="D1716" s="20">
        <f>Разбивка_по_щитам!F1721</f>
      </c>
      <c r="E1716" s="20">
        <f>Разбивка_по_щитам!H1721</f>
      </c>
      <c r="F1716" s="20">
        <f>Разбивка_по_щитам!I1721</f>
      </c>
      <c r="G1716" s="20">
        <f>Разбивка_по_щитам!J1721</f>
      </c>
      <c r="H1716" s="20">
        <f>Разбивка_по_щитам!K1721</f>
      </c>
      <c r="I1716" s="20">
        <f>Разбивка_по_щитам!L1721</f>
      </c>
      <c r="J1716" s="20">
        <f>Разбивка_по_щитам!M1721</f>
      </c>
      <c r="K1716" s="20">
        <f>Разбивка_по_щитам!N1721</f>
      </c>
      <c r="L1716" s="20"/>
      <c r="M1716" s="20">
        <f>Разбивка_по_щитам!P1721</f>
      </c>
      <c r="N1716" s="20"/>
    </row>
    <row r="1717" spans="2:14" x14ac:dyDescent="0.25">
      <c r="B1717" s="20">
        <f>Разбивка_по_щитам!B1722</f>
      </c>
      <c r="C1717" s="20">
        <f>Разбивка_по_щитам!C1722</f>
      </c>
      <c r="D1717" s="20">
        <f>Разбивка_по_щитам!F1722</f>
      </c>
      <c r="E1717" s="20">
        <f>Разбивка_по_щитам!H1722</f>
      </c>
      <c r="F1717" s="20">
        <f>Разбивка_по_щитам!I1722</f>
      </c>
      <c r="G1717" s="20">
        <f>Разбивка_по_щитам!J1722</f>
      </c>
      <c r="H1717" s="20">
        <f>Разбивка_по_щитам!K1722</f>
      </c>
      <c r="I1717" s="20">
        <f>Разбивка_по_щитам!L1722</f>
      </c>
      <c r="J1717" s="20">
        <f>Разбивка_по_щитам!M1722</f>
      </c>
      <c r="K1717" s="20">
        <f>Разбивка_по_щитам!N1722</f>
      </c>
      <c r="L1717" s="20"/>
      <c r="M1717" s="20">
        <f>Разбивка_по_щитам!P1722</f>
      </c>
      <c r="N1717" s="20"/>
    </row>
    <row r="1718" spans="2:14" x14ac:dyDescent="0.25">
      <c r="B1718" s="20">
        <f>Разбивка_по_щитам!B1723</f>
      </c>
      <c r="C1718" s="20">
        <f>Разбивка_по_щитам!C1723</f>
      </c>
      <c r="D1718" s="20">
        <f>Разбивка_по_щитам!F1723</f>
      </c>
      <c r="E1718" s="20">
        <f>Разбивка_по_щитам!H1723</f>
      </c>
      <c r="F1718" s="20">
        <f>Разбивка_по_щитам!I1723</f>
      </c>
      <c r="G1718" s="20">
        <f>Разбивка_по_щитам!J1723</f>
      </c>
      <c r="H1718" s="20">
        <f>Разбивка_по_щитам!K1723</f>
      </c>
      <c r="I1718" s="20">
        <f>Разбивка_по_щитам!L1723</f>
      </c>
      <c r="J1718" s="20">
        <f>Разбивка_по_щитам!M1723</f>
      </c>
      <c r="K1718" s="20">
        <f>Разбивка_по_щитам!N1723</f>
      </c>
      <c r="L1718" s="20"/>
      <c r="M1718" s="20">
        <f>Разбивка_по_щитам!P1723</f>
      </c>
      <c r="N1718" s="20"/>
    </row>
    <row r="1719" spans="2:14" x14ac:dyDescent="0.25">
      <c r="B1719" s="20">
        <f>Разбивка_по_щитам!B1724</f>
      </c>
      <c r="C1719" s="20">
        <f>Разбивка_по_щитам!C1724</f>
      </c>
      <c r="D1719" s="20">
        <f>Разбивка_по_щитам!F1724</f>
      </c>
      <c r="E1719" s="20">
        <f>Разбивка_по_щитам!H1724</f>
      </c>
      <c r="F1719" s="20">
        <f>Разбивка_по_щитам!I1724</f>
      </c>
      <c r="G1719" s="20">
        <f>Разбивка_по_щитам!J1724</f>
      </c>
      <c r="H1719" s="20">
        <f>Разбивка_по_щитам!K1724</f>
      </c>
      <c r="I1719" s="20">
        <f>Разбивка_по_щитам!L1724</f>
      </c>
      <c r="J1719" s="20">
        <f>Разбивка_по_щитам!M1724</f>
      </c>
      <c r="K1719" s="20">
        <f>Разбивка_по_щитам!N1724</f>
      </c>
      <c r="L1719" s="20"/>
      <c r="M1719" s="20">
        <f>Разбивка_по_щитам!P1724</f>
      </c>
      <c r="N1719" s="20"/>
    </row>
    <row r="1720" spans="2:14" x14ac:dyDescent="0.25">
      <c r="B1720" s="20">
        <f>Разбивка_по_щитам!B1725</f>
      </c>
      <c r="C1720" s="20">
        <f>Разбивка_по_щитам!C1725</f>
      </c>
      <c r="D1720" s="20">
        <f>Разбивка_по_щитам!F1725</f>
      </c>
      <c r="E1720" s="20">
        <f>Разбивка_по_щитам!H1725</f>
      </c>
      <c r="F1720" s="20">
        <f>Разбивка_по_щитам!I1725</f>
      </c>
      <c r="G1720" s="20">
        <f>Разбивка_по_щитам!J1725</f>
      </c>
      <c r="H1720" s="20">
        <f>Разбивка_по_щитам!K1725</f>
      </c>
      <c r="I1720" s="20">
        <f>Разбивка_по_щитам!L1725</f>
      </c>
      <c r="J1720" s="20">
        <f>Разбивка_по_щитам!M1725</f>
      </c>
      <c r="K1720" s="20">
        <f>Разбивка_по_щитам!N1725</f>
      </c>
      <c r="L1720" s="20"/>
      <c r="M1720" s="20">
        <f>Разбивка_по_щитам!P1725</f>
      </c>
      <c r="N1720" s="20"/>
    </row>
    <row r="1721" spans="2:14" x14ac:dyDescent="0.25">
      <c r="B1721" s="20">
        <f>Разбивка_по_щитам!B1726</f>
      </c>
      <c r="C1721" s="20">
        <f>Разбивка_по_щитам!C1726</f>
      </c>
      <c r="D1721" s="20">
        <f>Разбивка_по_щитам!F1726</f>
      </c>
      <c r="E1721" s="20">
        <f>Разбивка_по_щитам!H1726</f>
      </c>
      <c r="F1721" s="20">
        <f>Разбивка_по_щитам!I1726</f>
      </c>
      <c r="G1721" s="20">
        <f>Разбивка_по_щитам!J1726</f>
      </c>
      <c r="H1721" s="20">
        <f>Разбивка_по_щитам!K1726</f>
      </c>
      <c r="I1721" s="20">
        <f>Разбивка_по_щитам!L1726</f>
      </c>
      <c r="J1721" s="20">
        <f>Разбивка_по_щитам!M1726</f>
      </c>
      <c r="K1721" s="20">
        <f>Разбивка_по_щитам!N1726</f>
      </c>
      <c r="L1721" s="20"/>
      <c r="M1721" s="20">
        <f>Разбивка_по_щитам!P1726</f>
      </c>
      <c r="N1721" s="20"/>
    </row>
    <row r="1722" spans="2:14" x14ac:dyDescent="0.25">
      <c r="B1722" s="20">
        <f>Разбивка_по_щитам!B1727</f>
      </c>
      <c r="C1722" s="20">
        <f>Разбивка_по_щитам!C1727</f>
      </c>
      <c r="D1722" s="20">
        <f>Разбивка_по_щитам!F1727</f>
      </c>
      <c r="E1722" s="20">
        <f>Разбивка_по_щитам!H1727</f>
      </c>
      <c r="F1722" s="20">
        <f>Разбивка_по_щитам!I1727</f>
      </c>
      <c r="G1722" s="20">
        <f>Разбивка_по_щитам!J1727</f>
      </c>
      <c r="H1722" s="20">
        <f>Разбивка_по_щитам!K1727</f>
      </c>
      <c r="I1722" s="20">
        <f>Разбивка_по_щитам!L1727</f>
      </c>
      <c r="J1722" s="20">
        <f>Разбивка_по_щитам!M1727</f>
      </c>
      <c r="K1722" s="20">
        <f>Разбивка_по_щитам!N1727</f>
      </c>
      <c r="L1722" s="20"/>
      <c r="M1722" s="20">
        <f>Разбивка_по_щитам!P1727</f>
      </c>
      <c r="N1722" s="20"/>
    </row>
    <row r="1723" spans="2:14" x14ac:dyDescent="0.25">
      <c r="B1723" s="20">
        <f>Разбивка_по_щитам!B1728</f>
      </c>
      <c r="C1723" s="20">
        <f>Разбивка_по_щитам!C1728</f>
      </c>
      <c r="D1723" s="20">
        <f>Разбивка_по_щитам!F1728</f>
      </c>
      <c r="E1723" s="20">
        <f>Разбивка_по_щитам!H1728</f>
      </c>
      <c r="F1723" s="20">
        <f>Разбивка_по_щитам!I1728</f>
      </c>
      <c r="G1723" s="20">
        <f>Разбивка_по_щитам!J1728</f>
      </c>
      <c r="H1723" s="20">
        <f>Разбивка_по_щитам!K1728</f>
      </c>
      <c r="I1723" s="20">
        <f>Разбивка_по_щитам!L1728</f>
      </c>
      <c r="J1723" s="20">
        <f>Разбивка_по_щитам!M1728</f>
      </c>
      <c r="K1723" s="20">
        <f>Разбивка_по_щитам!N1728</f>
      </c>
      <c r="L1723" s="20"/>
      <c r="M1723" s="20">
        <f>Разбивка_по_щитам!P1728</f>
      </c>
      <c r="N1723" s="20"/>
    </row>
    <row r="1724" spans="2:14" x14ac:dyDescent="0.25">
      <c r="B1724" s="20">
        <f>Разбивка_по_щитам!B1729</f>
      </c>
      <c r="C1724" s="20">
        <f>Разбивка_по_щитам!C1729</f>
      </c>
      <c r="D1724" s="20">
        <f>Разбивка_по_щитам!F1729</f>
      </c>
      <c r="E1724" s="20">
        <f>Разбивка_по_щитам!H1729</f>
      </c>
      <c r="F1724" s="20">
        <f>Разбивка_по_щитам!I1729</f>
      </c>
      <c r="G1724" s="20">
        <f>Разбивка_по_щитам!J1729</f>
      </c>
      <c r="H1724" s="20">
        <f>Разбивка_по_щитам!K1729</f>
      </c>
      <c r="I1724" s="20">
        <f>Разбивка_по_щитам!L1729</f>
      </c>
      <c r="J1724" s="20">
        <f>Разбивка_по_щитам!M1729</f>
      </c>
      <c r="K1724" s="20">
        <f>Разбивка_по_щитам!N1729</f>
      </c>
      <c r="L1724" s="20"/>
      <c r="M1724" s="20">
        <f>Разбивка_по_щитам!P1729</f>
      </c>
      <c r="N1724" s="20"/>
    </row>
    <row r="1725" spans="2:14" x14ac:dyDescent="0.25">
      <c r="B1725" s="20">
        <f>Разбивка_по_щитам!B1730</f>
      </c>
      <c r="C1725" s="20">
        <f>Разбивка_по_щитам!C1730</f>
      </c>
      <c r="D1725" s="20">
        <f>Разбивка_по_щитам!F1730</f>
      </c>
      <c r="E1725" s="20">
        <f>Разбивка_по_щитам!H1730</f>
      </c>
      <c r="F1725" s="20">
        <f>Разбивка_по_щитам!I1730</f>
      </c>
      <c r="G1725" s="20">
        <f>Разбивка_по_щитам!J1730</f>
      </c>
      <c r="H1725" s="20">
        <f>Разбивка_по_щитам!K1730</f>
      </c>
      <c r="I1725" s="20">
        <f>Разбивка_по_щитам!L1730</f>
      </c>
      <c r="J1725" s="20">
        <f>Разбивка_по_щитам!M1730</f>
      </c>
      <c r="K1725" s="20">
        <f>Разбивка_по_щитам!N1730</f>
      </c>
      <c r="L1725" s="20"/>
      <c r="M1725" s="20">
        <f>Разбивка_по_щитам!P1730</f>
      </c>
      <c r="N1725" s="20"/>
    </row>
    <row r="1726" spans="2:14" x14ac:dyDescent="0.25">
      <c r="B1726" s="20">
        <f>Разбивка_по_щитам!B1731</f>
      </c>
      <c r="C1726" s="20">
        <f>Разбивка_по_щитам!C1731</f>
      </c>
      <c r="D1726" s="20">
        <f>Разбивка_по_щитам!F1731</f>
      </c>
      <c r="E1726" s="20">
        <f>Разбивка_по_щитам!H1731</f>
      </c>
      <c r="F1726" s="20">
        <f>Разбивка_по_щитам!I1731</f>
      </c>
      <c r="G1726" s="20">
        <f>Разбивка_по_щитам!J1731</f>
      </c>
      <c r="H1726" s="20">
        <f>Разбивка_по_щитам!K1731</f>
      </c>
      <c r="I1726" s="20">
        <f>Разбивка_по_щитам!L1731</f>
      </c>
      <c r="J1726" s="20">
        <f>Разбивка_по_щитам!M1731</f>
      </c>
      <c r="K1726" s="20">
        <f>Разбивка_по_щитам!N1731</f>
      </c>
      <c r="L1726" s="20"/>
      <c r="M1726" s="20">
        <f>Разбивка_по_щитам!P1731</f>
      </c>
      <c r="N1726" s="20"/>
    </row>
    <row r="1727" spans="2:14" x14ac:dyDescent="0.25">
      <c r="B1727" s="20">
        <f>Разбивка_по_щитам!B1732</f>
      </c>
      <c r="C1727" s="20">
        <f>Разбивка_по_щитам!C1732</f>
      </c>
      <c r="D1727" s="20">
        <f>Разбивка_по_щитам!F1732</f>
      </c>
      <c r="E1727" s="20">
        <f>Разбивка_по_щитам!H1732</f>
      </c>
      <c r="F1727" s="20">
        <f>Разбивка_по_щитам!I1732</f>
      </c>
      <c r="G1727" s="20">
        <f>Разбивка_по_щитам!J1732</f>
      </c>
      <c r="H1727" s="20">
        <f>Разбивка_по_щитам!K1732</f>
      </c>
      <c r="I1727" s="20">
        <f>Разбивка_по_щитам!L1732</f>
      </c>
      <c r="J1727" s="20">
        <f>Разбивка_по_щитам!M1732</f>
      </c>
      <c r="K1727" s="20">
        <f>Разбивка_по_щитам!N1732</f>
      </c>
      <c r="L1727" s="20"/>
      <c r="M1727" s="20">
        <f>Разбивка_по_щитам!P1732</f>
      </c>
      <c r="N1727" s="20"/>
    </row>
    <row r="1728" spans="2:14" x14ac:dyDescent="0.25">
      <c r="B1728" s="20">
        <f>Разбивка_по_щитам!B1733</f>
      </c>
      <c r="C1728" s="20">
        <f>Разбивка_по_щитам!C1733</f>
      </c>
      <c r="D1728" s="20">
        <f>Разбивка_по_щитам!F1733</f>
      </c>
      <c r="E1728" s="20">
        <f>Разбивка_по_щитам!H1733</f>
      </c>
      <c r="F1728" s="20">
        <f>Разбивка_по_щитам!I1733</f>
      </c>
      <c r="G1728" s="20">
        <f>Разбивка_по_щитам!J1733</f>
      </c>
      <c r="H1728" s="20">
        <f>Разбивка_по_щитам!K1733</f>
      </c>
      <c r="I1728" s="20">
        <f>Разбивка_по_щитам!L1733</f>
      </c>
      <c r="J1728" s="20">
        <f>Разбивка_по_щитам!M1733</f>
      </c>
      <c r="K1728" s="20">
        <f>Разбивка_по_щитам!N1733</f>
      </c>
      <c r="L1728" s="20"/>
      <c r="M1728" s="20">
        <f>Разбивка_по_щитам!P1733</f>
      </c>
      <c r="N1728" s="20"/>
    </row>
    <row r="1729" spans="2:14" x14ac:dyDescent="0.25">
      <c r="B1729" s="20">
        <f>Разбивка_по_щитам!B1734</f>
      </c>
      <c r="C1729" s="20">
        <f>Разбивка_по_щитам!C1734</f>
      </c>
      <c r="D1729" s="20">
        <f>Разбивка_по_щитам!F1734</f>
      </c>
      <c r="E1729" s="20">
        <f>Разбивка_по_щитам!H1734</f>
      </c>
      <c r="F1729" s="20">
        <f>Разбивка_по_щитам!I1734</f>
      </c>
      <c r="G1729" s="20">
        <f>Разбивка_по_щитам!J1734</f>
      </c>
      <c r="H1729" s="20">
        <f>Разбивка_по_щитам!K1734</f>
      </c>
      <c r="I1729" s="20">
        <f>Разбивка_по_щитам!L1734</f>
      </c>
      <c r="J1729" s="20">
        <f>Разбивка_по_щитам!M1734</f>
      </c>
      <c r="K1729" s="20">
        <f>Разбивка_по_щитам!N1734</f>
      </c>
      <c r="L1729" s="20"/>
      <c r="M1729" s="20">
        <f>Разбивка_по_щитам!P1734</f>
      </c>
      <c r="N1729" s="20"/>
    </row>
    <row r="1730" spans="2:14" x14ac:dyDescent="0.25">
      <c r="B1730" s="20">
        <f>Разбивка_по_щитам!B1735</f>
      </c>
      <c r="C1730" s="20">
        <f>Разбивка_по_щитам!C1735</f>
      </c>
      <c r="D1730" s="20">
        <f>Разбивка_по_щитам!F1735</f>
      </c>
      <c r="E1730" s="20">
        <f>Разбивка_по_щитам!H1735</f>
      </c>
      <c r="F1730" s="20">
        <f>Разбивка_по_щитам!I1735</f>
      </c>
      <c r="G1730" s="20">
        <f>Разбивка_по_щитам!J1735</f>
      </c>
      <c r="H1730" s="20">
        <f>Разбивка_по_щитам!K1735</f>
      </c>
      <c r="I1730" s="20">
        <f>Разбивка_по_щитам!L1735</f>
      </c>
      <c r="J1730" s="20">
        <f>Разбивка_по_щитам!M1735</f>
      </c>
      <c r="K1730" s="20">
        <f>Разбивка_по_щитам!N1735</f>
      </c>
      <c r="L1730" s="20"/>
      <c r="M1730" s="20">
        <f>Разбивка_по_щитам!P1735</f>
      </c>
      <c r="N1730" s="20"/>
    </row>
    <row r="1731" spans="2:14" x14ac:dyDescent="0.25">
      <c r="B1731" s="20">
        <f>Разбивка_по_щитам!B1736</f>
      </c>
      <c r="C1731" s="20">
        <f>Разбивка_по_щитам!C1736</f>
      </c>
      <c r="D1731" s="20">
        <f>Разбивка_по_щитам!F1736</f>
      </c>
      <c r="E1731" s="20">
        <f>Разбивка_по_щитам!H1736</f>
      </c>
      <c r="F1731" s="20">
        <f>Разбивка_по_щитам!I1736</f>
      </c>
      <c r="G1731" s="20">
        <f>Разбивка_по_щитам!J1736</f>
      </c>
      <c r="H1731" s="20">
        <f>Разбивка_по_щитам!K1736</f>
      </c>
      <c r="I1731" s="20">
        <f>Разбивка_по_щитам!L1736</f>
      </c>
      <c r="J1731" s="20">
        <f>Разбивка_по_щитам!M1736</f>
      </c>
      <c r="K1731" s="20">
        <f>Разбивка_по_щитам!N1736</f>
      </c>
      <c r="L1731" s="20"/>
      <c r="M1731" s="20">
        <f>Разбивка_по_щитам!P1736</f>
      </c>
      <c r="N1731" s="20"/>
    </row>
    <row r="1732" spans="2:14" x14ac:dyDescent="0.25">
      <c r="B1732" s="20">
        <f>Разбивка_по_щитам!B1737</f>
      </c>
      <c r="C1732" s="20">
        <f>Разбивка_по_щитам!C1737</f>
      </c>
      <c r="D1732" s="20">
        <f>Разбивка_по_щитам!F1737</f>
      </c>
      <c r="E1732" s="20">
        <f>Разбивка_по_щитам!H1737</f>
      </c>
      <c r="F1732" s="20">
        <f>Разбивка_по_щитам!I1737</f>
      </c>
      <c r="G1732" s="20">
        <f>Разбивка_по_щитам!J1737</f>
      </c>
      <c r="H1732" s="20">
        <f>Разбивка_по_щитам!K1737</f>
      </c>
      <c r="I1732" s="20">
        <f>Разбивка_по_щитам!L1737</f>
      </c>
      <c r="J1732" s="20">
        <f>Разбивка_по_щитам!M1737</f>
      </c>
      <c r="K1732" s="20">
        <f>Разбивка_по_щитам!N1737</f>
      </c>
      <c r="L1732" s="20"/>
      <c r="M1732" s="20">
        <f>Разбивка_по_щитам!P1737</f>
      </c>
      <c r="N1732" s="20"/>
    </row>
    <row r="1733" spans="2:14" x14ac:dyDescent="0.25">
      <c r="B1733" s="20">
        <f>Разбивка_по_щитам!B1738</f>
      </c>
      <c r="C1733" s="20">
        <f>Разбивка_по_щитам!C1738</f>
      </c>
      <c r="D1733" s="20">
        <f>Разбивка_по_щитам!F1738</f>
      </c>
      <c r="E1733" s="20">
        <f>Разбивка_по_щитам!H1738</f>
      </c>
      <c r="F1733" s="20">
        <f>Разбивка_по_щитам!I1738</f>
      </c>
      <c r="G1733" s="20">
        <f>Разбивка_по_щитам!J1738</f>
      </c>
      <c r="H1733" s="20">
        <f>Разбивка_по_щитам!K1738</f>
      </c>
      <c r="I1733" s="20">
        <f>Разбивка_по_щитам!L1738</f>
      </c>
      <c r="J1733" s="20">
        <f>Разбивка_по_щитам!M1738</f>
      </c>
      <c r="K1733" s="20">
        <f>Разбивка_по_щитам!N1738</f>
      </c>
      <c r="L1733" s="20"/>
      <c r="M1733" s="20">
        <f>Разбивка_по_щитам!P1738</f>
      </c>
      <c r="N1733" s="20"/>
    </row>
    <row r="1734" spans="2:14" x14ac:dyDescent="0.25">
      <c r="B1734" s="20">
        <f>Разбивка_по_щитам!B1739</f>
      </c>
      <c r="C1734" s="20">
        <f>Разбивка_по_щитам!C1739</f>
      </c>
      <c r="D1734" s="20">
        <f>Разбивка_по_щитам!F1739</f>
      </c>
      <c r="E1734" s="20">
        <f>Разбивка_по_щитам!H1739</f>
      </c>
      <c r="F1734" s="20">
        <f>Разбивка_по_щитам!I1739</f>
      </c>
      <c r="G1734" s="20">
        <f>Разбивка_по_щитам!J1739</f>
      </c>
      <c r="H1734" s="20">
        <f>Разбивка_по_щитам!K1739</f>
      </c>
      <c r="I1734" s="20">
        <f>Разбивка_по_щитам!L1739</f>
      </c>
      <c r="J1734" s="20">
        <f>Разбивка_по_щитам!M1739</f>
      </c>
      <c r="K1734" s="20">
        <f>Разбивка_по_щитам!N1739</f>
      </c>
      <c r="L1734" s="20"/>
      <c r="M1734" s="20">
        <f>Разбивка_по_щитам!P1739</f>
      </c>
      <c r="N1734" s="20"/>
    </row>
    <row r="1735" spans="2:14" x14ac:dyDescent="0.25">
      <c r="B1735" s="20">
        <f>Разбивка_по_щитам!B1740</f>
      </c>
      <c r="C1735" s="20">
        <f>Разбивка_по_щитам!C1740</f>
      </c>
      <c r="D1735" s="20">
        <f>Разбивка_по_щитам!F1740</f>
      </c>
      <c r="E1735" s="20">
        <f>Разбивка_по_щитам!H1740</f>
      </c>
      <c r="F1735" s="20">
        <f>Разбивка_по_щитам!I1740</f>
      </c>
      <c r="G1735" s="20">
        <f>Разбивка_по_щитам!J1740</f>
      </c>
      <c r="H1735" s="20">
        <f>Разбивка_по_щитам!K1740</f>
      </c>
      <c r="I1735" s="20">
        <f>Разбивка_по_щитам!L1740</f>
      </c>
      <c r="J1735" s="20">
        <f>Разбивка_по_щитам!M1740</f>
      </c>
      <c r="K1735" s="20">
        <f>Разбивка_по_щитам!N1740</f>
      </c>
      <c r="L1735" s="20"/>
      <c r="M1735" s="20">
        <f>Разбивка_по_щитам!P1740</f>
      </c>
      <c r="N1735" s="20"/>
    </row>
    <row r="1736" spans="2:14" x14ac:dyDescent="0.25">
      <c r="B1736" s="20">
        <f>Разбивка_по_щитам!B1741</f>
      </c>
      <c r="C1736" s="20">
        <f>Разбивка_по_щитам!C1741</f>
      </c>
      <c r="D1736" s="20">
        <f>Разбивка_по_щитам!F1741</f>
      </c>
      <c r="E1736" s="20">
        <f>Разбивка_по_щитам!H1741</f>
      </c>
      <c r="F1736" s="20">
        <f>Разбивка_по_щитам!I1741</f>
      </c>
      <c r="G1736" s="20">
        <f>Разбивка_по_щитам!J1741</f>
      </c>
      <c r="H1736" s="20">
        <f>Разбивка_по_щитам!K1741</f>
      </c>
      <c r="I1736" s="20">
        <f>Разбивка_по_щитам!L1741</f>
      </c>
      <c r="J1736" s="20">
        <f>Разбивка_по_щитам!M1741</f>
      </c>
      <c r="K1736" s="20">
        <f>Разбивка_по_щитам!N1741</f>
      </c>
      <c r="L1736" s="20"/>
      <c r="M1736" s="20">
        <f>Разбивка_по_щитам!P1741</f>
      </c>
      <c r="N1736" s="20"/>
    </row>
    <row r="1737" spans="2:14" x14ac:dyDescent="0.25">
      <c r="B1737" s="20">
        <f>Разбивка_по_щитам!B1742</f>
      </c>
      <c r="C1737" s="20">
        <f>Разбивка_по_щитам!C1742</f>
      </c>
      <c r="D1737" s="20">
        <f>Разбивка_по_щитам!F1742</f>
      </c>
      <c r="E1737" s="20">
        <f>Разбивка_по_щитам!H1742</f>
      </c>
      <c r="F1737" s="20">
        <f>Разбивка_по_щитам!I1742</f>
      </c>
      <c r="G1737" s="20">
        <f>Разбивка_по_щитам!J1742</f>
      </c>
      <c r="H1737" s="20">
        <f>Разбивка_по_щитам!K1742</f>
      </c>
      <c r="I1737" s="20">
        <f>Разбивка_по_щитам!L1742</f>
      </c>
      <c r="J1737" s="20">
        <f>Разбивка_по_щитам!M1742</f>
      </c>
      <c r="K1737" s="20">
        <f>Разбивка_по_щитам!N1742</f>
      </c>
      <c r="L1737" s="20"/>
      <c r="M1737" s="20">
        <f>Разбивка_по_щитам!P1742</f>
      </c>
      <c r="N1737" s="20"/>
    </row>
    <row r="1738" spans="2:14" x14ac:dyDescent="0.25">
      <c r="B1738" s="20">
        <f>Разбивка_по_щитам!B1743</f>
      </c>
      <c r="C1738" s="20">
        <f>Разбивка_по_щитам!C1743</f>
      </c>
      <c r="D1738" s="20">
        <f>Разбивка_по_щитам!F1743</f>
      </c>
      <c r="E1738" s="20">
        <f>Разбивка_по_щитам!H1743</f>
      </c>
      <c r="F1738" s="20">
        <f>Разбивка_по_щитам!I1743</f>
      </c>
      <c r="G1738" s="20">
        <f>Разбивка_по_щитам!J1743</f>
      </c>
      <c r="H1738" s="20">
        <f>Разбивка_по_щитам!K1743</f>
      </c>
      <c r="I1738" s="20">
        <f>Разбивка_по_щитам!L1743</f>
      </c>
      <c r="J1738" s="20">
        <f>Разбивка_по_щитам!M1743</f>
      </c>
      <c r="K1738" s="20">
        <f>Разбивка_по_щитам!N1743</f>
      </c>
      <c r="L1738" s="20"/>
      <c r="M1738" s="20">
        <f>Разбивка_по_щитам!P1743</f>
      </c>
      <c r="N1738" s="20"/>
    </row>
    <row r="1739" spans="2:14" x14ac:dyDescent="0.25">
      <c r="B1739" s="20">
        <f>Разбивка_по_щитам!B1744</f>
      </c>
      <c r="C1739" s="20">
        <f>Разбивка_по_щитам!C1744</f>
      </c>
      <c r="D1739" s="20">
        <f>Разбивка_по_щитам!F1744</f>
      </c>
      <c r="E1739" s="20">
        <f>Разбивка_по_щитам!H1744</f>
      </c>
      <c r="F1739" s="20">
        <f>Разбивка_по_щитам!I1744</f>
      </c>
      <c r="G1739" s="20">
        <f>Разбивка_по_щитам!J1744</f>
      </c>
      <c r="H1739" s="20">
        <f>Разбивка_по_щитам!K1744</f>
      </c>
      <c r="I1739" s="20">
        <f>Разбивка_по_щитам!L1744</f>
      </c>
      <c r="J1739" s="20">
        <f>Разбивка_по_щитам!M1744</f>
      </c>
      <c r="K1739" s="20">
        <f>Разбивка_по_щитам!N1744</f>
      </c>
      <c r="L1739" s="20"/>
      <c r="M1739" s="20">
        <f>Разбивка_по_щитам!P1744</f>
      </c>
      <c r="N1739" s="20"/>
    </row>
    <row r="1740" spans="2:14" x14ac:dyDescent="0.25">
      <c r="B1740" s="20">
        <f>Разбивка_по_щитам!B1745</f>
      </c>
      <c r="C1740" s="20">
        <f>Разбивка_по_щитам!C1745</f>
      </c>
      <c r="D1740" s="20">
        <f>Разбивка_по_щитам!F1745</f>
      </c>
      <c r="E1740" s="20">
        <f>Разбивка_по_щитам!H1745</f>
      </c>
      <c r="F1740" s="20">
        <f>Разбивка_по_щитам!I1745</f>
      </c>
      <c r="G1740" s="20">
        <f>Разбивка_по_щитам!J1745</f>
      </c>
      <c r="H1740" s="20">
        <f>Разбивка_по_щитам!K1745</f>
      </c>
      <c r="I1740" s="20">
        <f>Разбивка_по_щитам!L1745</f>
      </c>
      <c r="J1740" s="20">
        <f>Разбивка_по_щитам!M1745</f>
      </c>
      <c r="K1740" s="20">
        <f>Разбивка_по_щитам!N1745</f>
      </c>
      <c r="L1740" s="20"/>
      <c r="M1740" s="20">
        <f>Разбивка_по_щитам!P1745</f>
      </c>
      <c r="N1740" s="20"/>
    </row>
    <row r="1741" spans="2:14" x14ac:dyDescent="0.25">
      <c r="B1741" s="20">
        <f>Разбивка_по_щитам!B1746</f>
      </c>
      <c r="C1741" s="20">
        <f>Разбивка_по_щитам!C1746</f>
      </c>
      <c r="D1741" s="20">
        <f>Разбивка_по_щитам!F1746</f>
      </c>
      <c r="E1741" s="20">
        <f>Разбивка_по_щитам!H1746</f>
      </c>
      <c r="F1741" s="20">
        <f>Разбивка_по_щитам!I1746</f>
      </c>
      <c r="G1741" s="20">
        <f>Разбивка_по_щитам!J1746</f>
      </c>
      <c r="H1741" s="20">
        <f>Разбивка_по_щитам!K1746</f>
      </c>
      <c r="I1741" s="20">
        <f>Разбивка_по_щитам!L1746</f>
      </c>
      <c r="J1741" s="20">
        <f>Разбивка_по_щитам!M1746</f>
      </c>
      <c r="K1741" s="20">
        <f>Разбивка_по_щитам!N1746</f>
      </c>
      <c r="L1741" s="20"/>
      <c r="M1741" s="20">
        <f>Разбивка_по_щитам!P1746</f>
      </c>
      <c r="N1741" s="20"/>
    </row>
    <row r="1742" spans="2:14" x14ac:dyDescent="0.25">
      <c r="B1742" s="20">
        <f>Разбивка_по_щитам!B1747</f>
      </c>
      <c r="C1742" s="20">
        <f>Разбивка_по_щитам!C1747</f>
      </c>
      <c r="D1742" s="20">
        <f>Разбивка_по_щитам!F1747</f>
      </c>
      <c r="E1742" s="20">
        <f>Разбивка_по_щитам!H1747</f>
      </c>
      <c r="F1742" s="20">
        <f>Разбивка_по_щитам!I1747</f>
      </c>
      <c r="G1742" s="20">
        <f>Разбивка_по_щитам!J1747</f>
      </c>
      <c r="H1742" s="20">
        <f>Разбивка_по_щитам!K1747</f>
      </c>
      <c r="I1742" s="20">
        <f>Разбивка_по_щитам!L1747</f>
      </c>
      <c r="J1742" s="20">
        <f>Разбивка_по_щитам!M1747</f>
      </c>
      <c r="K1742" s="20">
        <f>Разбивка_по_щитам!N1747</f>
      </c>
      <c r="L1742" s="20"/>
      <c r="M1742" s="20">
        <f>Разбивка_по_щитам!P1747</f>
      </c>
      <c r="N1742" s="20"/>
    </row>
    <row r="1743" spans="2:14" x14ac:dyDescent="0.25">
      <c r="B1743" s="20">
        <f>Разбивка_по_щитам!B1748</f>
      </c>
      <c r="C1743" s="20">
        <f>Разбивка_по_щитам!C1748</f>
      </c>
      <c r="D1743" s="20">
        <f>Разбивка_по_щитам!F1748</f>
      </c>
      <c r="E1743" s="20">
        <f>Разбивка_по_щитам!H1748</f>
      </c>
      <c r="F1743" s="20">
        <f>Разбивка_по_щитам!I1748</f>
      </c>
      <c r="G1743" s="20">
        <f>Разбивка_по_щитам!J1748</f>
      </c>
      <c r="H1743" s="20">
        <f>Разбивка_по_щитам!K1748</f>
      </c>
      <c r="I1743" s="20">
        <f>Разбивка_по_щитам!L1748</f>
      </c>
      <c r="J1743" s="20">
        <f>Разбивка_по_щитам!M1748</f>
      </c>
      <c r="K1743" s="20">
        <f>Разбивка_по_щитам!N1748</f>
      </c>
      <c r="L1743" s="20"/>
      <c r="M1743" s="20">
        <f>Разбивка_по_щитам!P1748</f>
      </c>
      <c r="N1743" s="20"/>
    </row>
    <row r="1744" spans="2:14" x14ac:dyDescent="0.25">
      <c r="B1744" s="20">
        <f>Разбивка_по_щитам!B1749</f>
      </c>
      <c r="C1744" s="20">
        <f>Разбивка_по_щитам!C1749</f>
      </c>
      <c r="D1744" s="20">
        <f>Разбивка_по_щитам!F1749</f>
      </c>
      <c r="E1744" s="20">
        <f>Разбивка_по_щитам!H1749</f>
      </c>
      <c r="F1744" s="20">
        <f>Разбивка_по_щитам!I1749</f>
      </c>
      <c r="G1744" s="20">
        <f>Разбивка_по_щитам!J1749</f>
      </c>
      <c r="H1744" s="20">
        <f>Разбивка_по_щитам!K1749</f>
      </c>
      <c r="I1744" s="20">
        <f>Разбивка_по_щитам!L1749</f>
      </c>
      <c r="J1744" s="20">
        <f>Разбивка_по_щитам!M1749</f>
      </c>
      <c r="K1744" s="20">
        <f>Разбивка_по_щитам!N1749</f>
      </c>
      <c r="L1744" s="20"/>
      <c r="M1744" s="20">
        <f>Разбивка_по_щитам!P1749</f>
      </c>
      <c r="N1744" s="20"/>
    </row>
    <row r="1745" spans="2:14" x14ac:dyDescent="0.25">
      <c r="B1745" s="20">
        <f>Разбивка_по_щитам!B1750</f>
      </c>
      <c r="C1745" s="20">
        <f>Разбивка_по_щитам!C1750</f>
      </c>
      <c r="D1745" s="20">
        <f>Разбивка_по_щитам!F1750</f>
      </c>
      <c r="E1745" s="20">
        <f>Разбивка_по_щитам!H1750</f>
      </c>
      <c r="F1745" s="20">
        <f>Разбивка_по_щитам!I1750</f>
      </c>
      <c r="G1745" s="20">
        <f>Разбивка_по_щитам!J1750</f>
      </c>
      <c r="H1745" s="20">
        <f>Разбивка_по_щитам!K1750</f>
      </c>
      <c r="I1745" s="20">
        <f>Разбивка_по_щитам!L1750</f>
      </c>
      <c r="J1745" s="20">
        <f>Разбивка_по_щитам!M1750</f>
      </c>
      <c r="K1745" s="20">
        <f>Разбивка_по_щитам!N1750</f>
      </c>
      <c r="L1745" s="20"/>
      <c r="M1745" s="20">
        <f>Разбивка_по_щитам!P1750</f>
      </c>
      <c r="N1745" s="20"/>
    </row>
    <row r="1746" spans="2:14" x14ac:dyDescent="0.25">
      <c r="B1746" s="20">
        <f>Разбивка_по_щитам!B1751</f>
      </c>
      <c r="C1746" s="20">
        <f>Разбивка_по_щитам!C1751</f>
      </c>
      <c r="D1746" s="20">
        <f>Разбивка_по_щитам!F1751</f>
      </c>
      <c r="E1746" s="20">
        <f>Разбивка_по_щитам!H1751</f>
      </c>
      <c r="F1746" s="20">
        <f>Разбивка_по_щитам!I1751</f>
      </c>
      <c r="G1746" s="20">
        <f>Разбивка_по_щитам!J1751</f>
      </c>
      <c r="H1746" s="20">
        <f>Разбивка_по_щитам!K1751</f>
      </c>
      <c r="I1746" s="20">
        <f>Разбивка_по_щитам!L1751</f>
      </c>
      <c r="J1746" s="20">
        <f>Разбивка_по_щитам!M1751</f>
      </c>
      <c r="K1746" s="20">
        <f>Разбивка_по_щитам!N1751</f>
      </c>
      <c r="L1746" s="20"/>
      <c r="M1746" s="20">
        <f>Разбивка_по_щитам!P1751</f>
      </c>
      <c r="N1746" s="20"/>
    </row>
    <row r="1747" spans="2:14" x14ac:dyDescent="0.25">
      <c r="B1747" s="20">
        <f>Разбивка_по_щитам!B1752</f>
      </c>
      <c r="C1747" s="20">
        <f>Разбивка_по_щитам!C1752</f>
      </c>
      <c r="D1747" s="20">
        <f>Разбивка_по_щитам!F1752</f>
      </c>
      <c r="E1747" s="20">
        <f>Разбивка_по_щитам!H1752</f>
      </c>
      <c r="F1747" s="20">
        <f>Разбивка_по_щитам!I1752</f>
      </c>
      <c r="G1747" s="20">
        <f>Разбивка_по_щитам!J1752</f>
      </c>
      <c r="H1747" s="20">
        <f>Разбивка_по_щитам!K1752</f>
      </c>
      <c r="I1747" s="20">
        <f>Разбивка_по_щитам!L1752</f>
      </c>
      <c r="J1747" s="20">
        <f>Разбивка_по_щитам!M1752</f>
      </c>
      <c r="K1747" s="20">
        <f>Разбивка_по_щитам!N1752</f>
      </c>
      <c r="L1747" s="20"/>
      <c r="M1747" s="20">
        <f>Разбивка_по_щитам!P1752</f>
      </c>
      <c r="N1747" s="20"/>
    </row>
    <row r="1748" spans="2:14" x14ac:dyDescent="0.25">
      <c r="B1748" s="20">
        <f>Разбивка_по_щитам!B1753</f>
      </c>
      <c r="C1748" s="20">
        <f>Разбивка_по_щитам!C1753</f>
      </c>
      <c r="D1748" s="20">
        <f>Разбивка_по_щитам!F1753</f>
      </c>
      <c r="E1748" s="20">
        <f>Разбивка_по_щитам!H1753</f>
      </c>
      <c r="F1748" s="20">
        <f>Разбивка_по_щитам!I1753</f>
      </c>
      <c r="G1748" s="20">
        <f>Разбивка_по_щитам!J1753</f>
      </c>
      <c r="H1748" s="20">
        <f>Разбивка_по_щитам!K1753</f>
      </c>
      <c r="I1748" s="20">
        <f>Разбивка_по_щитам!L1753</f>
      </c>
      <c r="J1748" s="20">
        <f>Разбивка_по_щитам!M1753</f>
      </c>
      <c r="K1748" s="20">
        <f>Разбивка_по_щитам!N1753</f>
      </c>
      <c r="L1748" s="20"/>
      <c r="M1748" s="20">
        <f>Разбивка_по_щитам!P1753</f>
      </c>
      <c r="N1748" s="20"/>
    </row>
    <row r="1749" spans="2:14" x14ac:dyDescent="0.25">
      <c r="B1749" s="20">
        <f>Разбивка_по_щитам!B1754</f>
      </c>
      <c r="C1749" s="20">
        <f>Разбивка_по_щитам!C1754</f>
      </c>
      <c r="D1749" s="20">
        <f>Разбивка_по_щитам!F1754</f>
      </c>
      <c r="E1749" s="20">
        <f>Разбивка_по_щитам!H1754</f>
      </c>
      <c r="F1749" s="20">
        <f>Разбивка_по_щитам!I1754</f>
      </c>
      <c r="G1749" s="20">
        <f>Разбивка_по_щитам!J1754</f>
      </c>
      <c r="H1749" s="20">
        <f>Разбивка_по_щитам!K1754</f>
      </c>
      <c r="I1749" s="20">
        <f>Разбивка_по_щитам!L1754</f>
      </c>
      <c r="J1749" s="20">
        <f>Разбивка_по_щитам!M1754</f>
      </c>
      <c r="K1749" s="20">
        <f>Разбивка_по_щитам!N1754</f>
      </c>
      <c r="L1749" s="20"/>
      <c r="M1749" s="20">
        <f>Разбивка_по_щитам!P1754</f>
      </c>
      <c r="N1749" s="20"/>
    </row>
    <row r="1750" spans="2:14" x14ac:dyDescent="0.25">
      <c r="B1750" s="20">
        <f>Разбивка_по_щитам!B1755</f>
      </c>
      <c r="C1750" s="20">
        <f>Разбивка_по_щитам!C1755</f>
      </c>
      <c r="D1750" s="20">
        <f>Разбивка_по_щитам!F1755</f>
      </c>
      <c r="E1750" s="20">
        <f>Разбивка_по_щитам!H1755</f>
      </c>
      <c r="F1750" s="20">
        <f>Разбивка_по_щитам!I1755</f>
      </c>
      <c r="G1750" s="20">
        <f>Разбивка_по_щитам!J1755</f>
      </c>
      <c r="H1750" s="20">
        <f>Разбивка_по_щитам!K1755</f>
      </c>
      <c r="I1750" s="20">
        <f>Разбивка_по_щитам!L1755</f>
      </c>
      <c r="J1750" s="20">
        <f>Разбивка_по_щитам!M1755</f>
      </c>
      <c r="K1750" s="20">
        <f>Разбивка_по_щитам!N1755</f>
      </c>
      <c r="L1750" s="20"/>
      <c r="M1750" s="20">
        <f>Разбивка_по_щитам!P1755</f>
      </c>
      <c r="N1750" s="20"/>
    </row>
    <row r="1751" spans="2:14" x14ac:dyDescent="0.25">
      <c r="B1751" s="20">
        <f>Разбивка_по_щитам!B1756</f>
      </c>
      <c r="C1751" s="20">
        <f>Разбивка_по_щитам!C1756</f>
      </c>
      <c r="D1751" s="20">
        <f>Разбивка_по_щитам!F1756</f>
      </c>
      <c r="E1751" s="20">
        <f>Разбивка_по_щитам!H1756</f>
      </c>
      <c r="F1751" s="20">
        <f>Разбивка_по_щитам!I1756</f>
      </c>
      <c r="G1751" s="20">
        <f>Разбивка_по_щитам!J1756</f>
      </c>
      <c r="H1751" s="20">
        <f>Разбивка_по_щитам!K1756</f>
      </c>
      <c r="I1751" s="20">
        <f>Разбивка_по_щитам!L1756</f>
      </c>
      <c r="J1751" s="20">
        <f>Разбивка_по_щитам!M1756</f>
      </c>
      <c r="K1751" s="20">
        <f>Разбивка_по_щитам!N1756</f>
      </c>
      <c r="L1751" s="20"/>
      <c r="M1751" s="20">
        <f>Разбивка_по_щитам!P1756</f>
      </c>
      <c r="N1751" s="20"/>
    </row>
    <row r="1752" spans="2:14" x14ac:dyDescent="0.25">
      <c r="B1752" s="20">
        <f>Разбивка_по_щитам!B1757</f>
      </c>
      <c r="C1752" s="20">
        <f>Разбивка_по_щитам!C1757</f>
      </c>
      <c r="D1752" s="20">
        <f>Разбивка_по_щитам!F1757</f>
      </c>
      <c r="E1752" s="20">
        <f>Разбивка_по_щитам!H1757</f>
      </c>
      <c r="F1752" s="20">
        <f>Разбивка_по_щитам!I1757</f>
      </c>
      <c r="G1752" s="20">
        <f>Разбивка_по_щитам!J1757</f>
      </c>
      <c r="H1752" s="20">
        <f>Разбивка_по_щитам!K1757</f>
      </c>
      <c r="I1752" s="20">
        <f>Разбивка_по_щитам!L1757</f>
      </c>
      <c r="J1752" s="20">
        <f>Разбивка_по_щитам!M1757</f>
      </c>
      <c r="K1752" s="20">
        <f>Разбивка_по_щитам!N1757</f>
      </c>
      <c r="L1752" s="20"/>
      <c r="M1752" s="20">
        <f>Разбивка_по_щитам!P1757</f>
      </c>
      <c r="N1752" s="20"/>
    </row>
    <row r="1753" spans="2:14" x14ac:dyDescent="0.25">
      <c r="B1753" s="20">
        <f>Разбивка_по_щитам!B1758</f>
      </c>
      <c r="C1753" s="20">
        <f>Разбивка_по_щитам!C1758</f>
      </c>
      <c r="D1753" s="20">
        <f>Разбивка_по_щитам!F1758</f>
      </c>
      <c r="E1753" s="20">
        <f>Разбивка_по_щитам!H1758</f>
      </c>
      <c r="F1753" s="20">
        <f>Разбивка_по_щитам!I1758</f>
      </c>
      <c r="G1753" s="20">
        <f>Разбивка_по_щитам!J1758</f>
      </c>
      <c r="H1753" s="20">
        <f>Разбивка_по_щитам!K1758</f>
      </c>
      <c r="I1753" s="20">
        <f>Разбивка_по_щитам!L1758</f>
      </c>
      <c r="J1753" s="20">
        <f>Разбивка_по_щитам!M1758</f>
      </c>
      <c r="K1753" s="20">
        <f>Разбивка_по_щитам!N1758</f>
      </c>
      <c r="L1753" s="20"/>
      <c r="M1753" s="20">
        <f>Разбивка_по_щитам!P1758</f>
      </c>
      <c r="N1753" s="20"/>
    </row>
    <row r="1754" spans="2:14" x14ac:dyDescent="0.25">
      <c r="B1754" s="20">
        <f>Разбивка_по_щитам!B1759</f>
      </c>
      <c r="C1754" s="20">
        <f>Разбивка_по_щитам!C1759</f>
      </c>
      <c r="D1754" s="20">
        <f>Разбивка_по_щитам!F1759</f>
      </c>
      <c r="E1754" s="20">
        <f>Разбивка_по_щитам!H1759</f>
      </c>
      <c r="F1754" s="20">
        <f>Разбивка_по_щитам!I1759</f>
      </c>
      <c r="G1754" s="20">
        <f>Разбивка_по_щитам!J1759</f>
      </c>
      <c r="H1754" s="20">
        <f>Разбивка_по_щитам!K1759</f>
      </c>
      <c r="I1754" s="20">
        <f>Разбивка_по_щитам!L1759</f>
      </c>
      <c r="J1754" s="20">
        <f>Разбивка_по_щитам!M1759</f>
      </c>
      <c r="K1754" s="20">
        <f>Разбивка_по_щитам!N1759</f>
      </c>
      <c r="L1754" s="20"/>
      <c r="M1754" s="20">
        <f>Разбивка_по_щитам!P1759</f>
      </c>
      <c r="N1754" s="20"/>
    </row>
    <row r="1755" spans="2:14" x14ac:dyDescent="0.25">
      <c r="B1755" s="20">
        <f>Разбивка_по_щитам!B1760</f>
      </c>
      <c r="C1755" s="20">
        <f>Разбивка_по_щитам!C1760</f>
      </c>
      <c r="D1755" s="20">
        <f>Разбивка_по_щитам!F1760</f>
      </c>
      <c r="E1755" s="20">
        <f>Разбивка_по_щитам!H1760</f>
      </c>
      <c r="F1755" s="20">
        <f>Разбивка_по_щитам!I1760</f>
      </c>
      <c r="G1755" s="20">
        <f>Разбивка_по_щитам!J1760</f>
      </c>
      <c r="H1755" s="20">
        <f>Разбивка_по_щитам!K1760</f>
      </c>
      <c r="I1755" s="20">
        <f>Разбивка_по_щитам!L1760</f>
      </c>
      <c r="J1755" s="20">
        <f>Разбивка_по_щитам!M1760</f>
      </c>
      <c r="K1755" s="20">
        <f>Разбивка_по_щитам!N1760</f>
      </c>
      <c r="L1755" s="20"/>
      <c r="M1755" s="20">
        <f>Разбивка_по_щитам!P1760</f>
      </c>
      <c r="N1755" s="20"/>
    </row>
    <row r="1756" spans="2:14" x14ac:dyDescent="0.25">
      <c r="B1756" s="20">
        <f>Разбивка_по_щитам!B1761</f>
      </c>
      <c r="C1756" s="20">
        <f>Разбивка_по_щитам!C1761</f>
      </c>
      <c r="D1756" s="20">
        <f>Разбивка_по_щитам!F1761</f>
      </c>
      <c r="E1756" s="20">
        <f>Разбивка_по_щитам!H1761</f>
      </c>
      <c r="F1756" s="20">
        <f>Разбивка_по_щитам!I1761</f>
      </c>
      <c r="G1756" s="20">
        <f>Разбивка_по_щитам!J1761</f>
      </c>
      <c r="H1756" s="20">
        <f>Разбивка_по_щитам!K1761</f>
      </c>
      <c r="I1756" s="20">
        <f>Разбивка_по_щитам!L1761</f>
      </c>
      <c r="J1756" s="20">
        <f>Разбивка_по_щитам!M1761</f>
      </c>
      <c r="K1756" s="20">
        <f>Разбивка_по_щитам!N1761</f>
      </c>
      <c r="L1756" s="20"/>
      <c r="M1756" s="20">
        <f>Разбивка_по_щитам!P1761</f>
      </c>
      <c r="N1756" s="20"/>
    </row>
    <row r="1757" spans="2:14" x14ac:dyDescent="0.25">
      <c r="B1757" s="20">
        <f>Разбивка_по_щитам!B1762</f>
      </c>
      <c r="C1757" s="20">
        <f>Разбивка_по_щитам!C1762</f>
      </c>
      <c r="D1757" s="20">
        <f>Разбивка_по_щитам!F1762</f>
      </c>
      <c r="E1757" s="20">
        <f>Разбивка_по_щитам!H1762</f>
      </c>
      <c r="F1757" s="20">
        <f>Разбивка_по_щитам!I1762</f>
      </c>
      <c r="G1757" s="20">
        <f>Разбивка_по_щитам!J1762</f>
      </c>
      <c r="H1757" s="20">
        <f>Разбивка_по_щитам!K1762</f>
      </c>
      <c r="I1757" s="20">
        <f>Разбивка_по_щитам!L1762</f>
      </c>
      <c r="J1757" s="20">
        <f>Разбивка_по_щитам!M1762</f>
      </c>
      <c r="K1757" s="20">
        <f>Разбивка_по_щитам!N1762</f>
      </c>
      <c r="L1757" s="20"/>
      <c r="M1757" s="20">
        <f>Разбивка_по_щитам!P1762</f>
      </c>
      <c r="N1757" s="20"/>
    </row>
    <row r="1758" spans="2:14" x14ac:dyDescent="0.25">
      <c r="B1758" s="20">
        <f>Разбивка_по_щитам!B1763</f>
      </c>
      <c r="C1758" s="20">
        <f>Разбивка_по_щитам!C1763</f>
      </c>
      <c r="D1758" s="20">
        <f>Разбивка_по_щитам!F1763</f>
      </c>
      <c r="E1758" s="20">
        <f>Разбивка_по_щитам!H1763</f>
      </c>
      <c r="F1758" s="20">
        <f>Разбивка_по_щитам!I1763</f>
      </c>
      <c r="G1758" s="20">
        <f>Разбивка_по_щитам!J1763</f>
      </c>
      <c r="H1758" s="20">
        <f>Разбивка_по_щитам!K1763</f>
      </c>
      <c r="I1758" s="20">
        <f>Разбивка_по_щитам!L1763</f>
      </c>
      <c r="J1758" s="20">
        <f>Разбивка_по_щитам!M1763</f>
      </c>
      <c r="K1758" s="20">
        <f>Разбивка_по_щитам!N1763</f>
      </c>
      <c r="L1758" s="20"/>
      <c r="M1758" s="20">
        <f>Разбивка_по_щитам!P1763</f>
      </c>
      <c r="N1758" s="20"/>
    </row>
    <row r="1759" spans="2:14" x14ac:dyDescent="0.25">
      <c r="B1759" s="20">
        <f>Разбивка_по_щитам!B1764</f>
      </c>
      <c r="C1759" s="20">
        <f>Разбивка_по_щитам!C1764</f>
      </c>
      <c r="D1759" s="20">
        <f>Разбивка_по_щитам!F1764</f>
      </c>
      <c r="E1759" s="20">
        <f>Разбивка_по_щитам!H1764</f>
      </c>
      <c r="F1759" s="20">
        <f>Разбивка_по_щитам!I1764</f>
      </c>
      <c r="G1759" s="20">
        <f>Разбивка_по_щитам!J1764</f>
      </c>
      <c r="H1759" s="20">
        <f>Разбивка_по_щитам!K1764</f>
      </c>
      <c r="I1759" s="20">
        <f>Разбивка_по_щитам!L1764</f>
      </c>
      <c r="J1759" s="20">
        <f>Разбивка_по_щитам!M1764</f>
      </c>
      <c r="K1759" s="20">
        <f>Разбивка_по_щитам!N1764</f>
      </c>
      <c r="L1759" s="20"/>
      <c r="M1759" s="20">
        <f>Разбивка_по_щитам!P1764</f>
      </c>
      <c r="N1759" s="20"/>
    </row>
    <row r="1760" spans="2:14" x14ac:dyDescent="0.25">
      <c r="B1760" s="20">
        <f>Разбивка_по_щитам!B1765</f>
      </c>
      <c r="C1760" s="20">
        <f>Разбивка_по_щитам!C1765</f>
      </c>
      <c r="D1760" s="20">
        <f>Разбивка_по_щитам!F1765</f>
      </c>
      <c r="E1760" s="20">
        <f>Разбивка_по_щитам!H1765</f>
      </c>
      <c r="F1760" s="20">
        <f>Разбивка_по_щитам!I1765</f>
      </c>
      <c r="G1760" s="20">
        <f>Разбивка_по_щитам!J1765</f>
      </c>
      <c r="H1760" s="20">
        <f>Разбивка_по_щитам!K1765</f>
      </c>
      <c r="I1760" s="20">
        <f>Разбивка_по_щитам!L1765</f>
      </c>
      <c r="J1760" s="20">
        <f>Разбивка_по_щитам!M1765</f>
      </c>
      <c r="K1760" s="20">
        <f>Разбивка_по_щитам!N1765</f>
      </c>
      <c r="L1760" s="20"/>
      <c r="M1760" s="20">
        <f>Разбивка_по_щитам!P1765</f>
      </c>
      <c r="N1760" s="20"/>
    </row>
    <row r="1761" spans="2:14" x14ac:dyDescent="0.25">
      <c r="B1761" s="20">
        <f>Разбивка_по_щитам!B1766</f>
      </c>
      <c r="C1761" s="20">
        <f>Разбивка_по_щитам!C1766</f>
      </c>
      <c r="D1761" s="20">
        <f>Разбивка_по_щитам!F1766</f>
      </c>
      <c r="E1761" s="20">
        <f>Разбивка_по_щитам!H1766</f>
      </c>
      <c r="F1761" s="20">
        <f>Разбивка_по_щитам!I1766</f>
      </c>
      <c r="G1761" s="20">
        <f>Разбивка_по_щитам!J1766</f>
      </c>
      <c r="H1761" s="20">
        <f>Разбивка_по_щитам!K1766</f>
      </c>
      <c r="I1761" s="20">
        <f>Разбивка_по_щитам!L1766</f>
      </c>
      <c r="J1761" s="20">
        <f>Разбивка_по_щитам!M1766</f>
      </c>
      <c r="K1761" s="20">
        <f>Разбивка_по_щитам!N1766</f>
      </c>
      <c r="L1761" s="20"/>
      <c r="M1761" s="20">
        <f>Разбивка_по_щитам!P1766</f>
      </c>
      <c r="N1761" s="20"/>
    </row>
    <row r="1762" spans="2:14" x14ac:dyDescent="0.25">
      <c r="B1762" s="20">
        <f>Разбивка_по_щитам!B1767</f>
      </c>
      <c r="C1762" s="20">
        <f>Разбивка_по_щитам!C1767</f>
      </c>
      <c r="D1762" s="20">
        <f>Разбивка_по_щитам!F1767</f>
      </c>
      <c r="E1762" s="20">
        <f>Разбивка_по_щитам!H1767</f>
      </c>
      <c r="F1762" s="20">
        <f>Разбивка_по_щитам!I1767</f>
      </c>
      <c r="G1762" s="20">
        <f>Разбивка_по_щитам!J1767</f>
      </c>
      <c r="H1762" s="20">
        <f>Разбивка_по_щитам!K1767</f>
      </c>
      <c r="I1762" s="20">
        <f>Разбивка_по_щитам!L1767</f>
      </c>
      <c r="J1762" s="20">
        <f>Разбивка_по_щитам!M1767</f>
      </c>
      <c r="K1762" s="20">
        <f>Разбивка_по_щитам!N1767</f>
      </c>
      <c r="L1762" s="20"/>
      <c r="M1762" s="20">
        <f>Разбивка_по_щитам!P1767</f>
      </c>
      <c r="N1762" s="20"/>
    </row>
    <row r="1763" spans="2:14" x14ac:dyDescent="0.25">
      <c r="B1763" s="20">
        <f>Разбивка_по_щитам!B1768</f>
      </c>
      <c r="C1763" s="20">
        <f>Разбивка_по_щитам!C1768</f>
      </c>
      <c r="D1763" s="20">
        <f>Разбивка_по_щитам!F1768</f>
      </c>
      <c r="E1763" s="20">
        <f>Разбивка_по_щитам!H1768</f>
      </c>
      <c r="F1763" s="20">
        <f>Разбивка_по_щитам!I1768</f>
      </c>
      <c r="G1763" s="20">
        <f>Разбивка_по_щитам!J1768</f>
      </c>
      <c r="H1763" s="20">
        <f>Разбивка_по_щитам!K1768</f>
      </c>
      <c r="I1763" s="20">
        <f>Разбивка_по_щитам!L1768</f>
      </c>
      <c r="J1763" s="20">
        <f>Разбивка_по_щитам!M1768</f>
      </c>
      <c r="K1763" s="20">
        <f>Разбивка_по_щитам!N1768</f>
      </c>
      <c r="L1763" s="20"/>
      <c r="M1763" s="20">
        <f>Разбивка_по_щитам!P1768</f>
      </c>
      <c r="N1763" s="20"/>
    </row>
    <row r="1764" spans="2:14" x14ac:dyDescent="0.25">
      <c r="B1764" s="20">
        <f>Разбивка_по_щитам!B1769</f>
      </c>
      <c r="C1764" s="20">
        <f>Разбивка_по_щитам!C1769</f>
      </c>
      <c r="D1764" s="20">
        <f>Разбивка_по_щитам!F1769</f>
      </c>
      <c r="E1764" s="20">
        <f>Разбивка_по_щитам!H1769</f>
      </c>
      <c r="F1764" s="20">
        <f>Разбивка_по_щитам!I1769</f>
      </c>
      <c r="G1764" s="20">
        <f>Разбивка_по_щитам!J1769</f>
      </c>
      <c r="H1764" s="20">
        <f>Разбивка_по_щитам!K1769</f>
      </c>
      <c r="I1764" s="20">
        <f>Разбивка_по_щитам!L1769</f>
      </c>
      <c r="J1764" s="20">
        <f>Разбивка_по_щитам!M1769</f>
      </c>
      <c r="K1764" s="20">
        <f>Разбивка_по_щитам!N1769</f>
      </c>
      <c r="L1764" s="20"/>
      <c r="M1764" s="20">
        <f>Разбивка_по_щитам!P1769</f>
      </c>
      <c r="N1764" s="20"/>
    </row>
    <row r="1765" spans="2:14" x14ac:dyDescent="0.25">
      <c r="B1765" s="20">
        <f>Разбивка_по_щитам!B1770</f>
      </c>
      <c r="C1765" s="20">
        <f>Разбивка_по_щитам!C1770</f>
      </c>
      <c r="D1765" s="20">
        <f>Разбивка_по_щитам!F1770</f>
      </c>
      <c r="E1765" s="20">
        <f>Разбивка_по_щитам!H1770</f>
      </c>
      <c r="F1765" s="20">
        <f>Разбивка_по_щитам!I1770</f>
      </c>
      <c r="G1765" s="20">
        <f>Разбивка_по_щитам!J1770</f>
      </c>
      <c r="H1765" s="20">
        <f>Разбивка_по_щитам!K1770</f>
      </c>
      <c r="I1765" s="20">
        <f>Разбивка_по_щитам!L1770</f>
      </c>
      <c r="J1765" s="20">
        <f>Разбивка_по_щитам!M1770</f>
      </c>
      <c r="K1765" s="20">
        <f>Разбивка_по_щитам!N1770</f>
      </c>
      <c r="L1765" s="20"/>
      <c r="M1765" s="20">
        <f>Разбивка_по_щитам!P1770</f>
      </c>
      <c r="N1765" s="20"/>
    </row>
    <row r="1766" spans="2:14" x14ac:dyDescent="0.25">
      <c r="B1766" s="20">
        <f>Разбивка_по_щитам!B1771</f>
      </c>
      <c r="C1766" s="20">
        <f>Разбивка_по_щитам!C1771</f>
      </c>
      <c r="D1766" s="20">
        <f>Разбивка_по_щитам!F1771</f>
      </c>
      <c r="E1766" s="20">
        <f>Разбивка_по_щитам!H1771</f>
      </c>
      <c r="F1766" s="20">
        <f>Разбивка_по_щитам!I1771</f>
      </c>
      <c r="G1766" s="20">
        <f>Разбивка_по_щитам!J1771</f>
      </c>
      <c r="H1766" s="20">
        <f>Разбивка_по_щитам!K1771</f>
      </c>
      <c r="I1766" s="20">
        <f>Разбивка_по_щитам!L1771</f>
      </c>
      <c r="J1766" s="20">
        <f>Разбивка_по_щитам!M1771</f>
      </c>
      <c r="K1766" s="20">
        <f>Разбивка_по_щитам!N1771</f>
      </c>
      <c r="L1766" s="20"/>
      <c r="M1766" s="20">
        <f>Разбивка_по_щитам!P1771</f>
      </c>
      <c r="N1766" s="20"/>
    </row>
    <row r="1767" spans="2:14" x14ac:dyDescent="0.25">
      <c r="B1767" s="20">
        <f>Разбивка_по_щитам!B1772</f>
      </c>
      <c r="C1767" s="20">
        <f>Разбивка_по_щитам!C1772</f>
      </c>
      <c r="D1767" s="20">
        <f>Разбивка_по_щитам!F1772</f>
      </c>
      <c r="E1767" s="20">
        <f>Разбивка_по_щитам!H1772</f>
      </c>
      <c r="F1767" s="20">
        <f>Разбивка_по_щитам!I1772</f>
      </c>
      <c r="G1767" s="20">
        <f>Разбивка_по_щитам!J1772</f>
      </c>
      <c r="H1767" s="20">
        <f>Разбивка_по_щитам!K1772</f>
      </c>
      <c r="I1767" s="20">
        <f>Разбивка_по_щитам!L1772</f>
      </c>
      <c r="J1767" s="20">
        <f>Разбивка_по_щитам!M1772</f>
      </c>
      <c r="K1767" s="20">
        <f>Разбивка_по_щитам!N1772</f>
      </c>
      <c r="L1767" s="20"/>
      <c r="M1767" s="20">
        <f>Разбивка_по_щитам!P1772</f>
      </c>
      <c r="N1767" s="20"/>
    </row>
    <row r="1768" spans="2:14" x14ac:dyDescent="0.25">
      <c r="B1768" s="20">
        <f>Разбивка_по_щитам!B1773</f>
      </c>
      <c r="C1768" s="20">
        <f>Разбивка_по_щитам!C1773</f>
      </c>
      <c r="D1768" s="20">
        <f>Разбивка_по_щитам!F1773</f>
      </c>
      <c r="E1768" s="20">
        <f>Разбивка_по_щитам!H1773</f>
      </c>
      <c r="F1768" s="20">
        <f>Разбивка_по_щитам!I1773</f>
      </c>
      <c r="G1768" s="20">
        <f>Разбивка_по_щитам!J1773</f>
      </c>
      <c r="H1768" s="20">
        <f>Разбивка_по_щитам!K1773</f>
      </c>
      <c r="I1768" s="20">
        <f>Разбивка_по_щитам!L1773</f>
      </c>
      <c r="J1768" s="20">
        <f>Разбивка_по_щитам!M1773</f>
      </c>
      <c r="K1768" s="20">
        <f>Разбивка_по_щитам!N1773</f>
      </c>
      <c r="L1768" s="20"/>
      <c r="M1768" s="20">
        <f>Разбивка_по_щитам!P1773</f>
      </c>
      <c r="N1768" s="20"/>
    </row>
    <row r="1769" spans="2:14" x14ac:dyDescent="0.25">
      <c r="B1769" s="20">
        <f>Разбивка_по_щитам!B1774</f>
      </c>
      <c r="C1769" s="20">
        <f>Разбивка_по_щитам!C1774</f>
      </c>
      <c r="D1769" s="20">
        <f>Разбивка_по_щитам!F1774</f>
      </c>
      <c r="E1769" s="20">
        <f>Разбивка_по_щитам!H1774</f>
      </c>
      <c r="F1769" s="20">
        <f>Разбивка_по_щитам!I1774</f>
      </c>
      <c r="G1769" s="20">
        <f>Разбивка_по_щитам!J1774</f>
      </c>
      <c r="H1769" s="20">
        <f>Разбивка_по_щитам!K1774</f>
      </c>
      <c r="I1769" s="20">
        <f>Разбивка_по_щитам!L1774</f>
      </c>
      <c r="J1769" s="20">
        <f>Разбивка_по_щитам!M1774</f>
      </c>
      <c r="K1769" s="20">
        <f>Разбивка_по_щитам!N1774</f>
      </c>
      <c r="L1769" s="20"/>
      <c r="M1769" s="20">
        <f>Разбивка_по_щитам!P1774</f>
      </c>
      <c r="N1769" s="20"/>
    </row>
    <row r="1770" spans="2:14" x14ac:dyDescent="0.25">
      <c r="B1770" s="20">
        <f>Разбивка_по_щитам!B1775</f>
      </c>
      <c r="C1770" s="20">
        <f>Разбивка_по_щитам!C1775</f>
      </c>
      <c r="D1770" s="20">
        <f>Разбивка_по_щитам!F1775</f>
      </c>
      <c r="E1770" s="20">
        <f>Разбивка_по_щитам!H1775</f>
      </c>
      <c r="F1770" s="20">
        <f>Разбивка_по_щитам!I1775</f>
      </c>
      <c r="G1770" s="20">
        <f>Разбивка_по_щитам!J1775</f>
      </c>
      <c r="H1770" s="20">
        <f>Разбивка_по_щитам!K1775</f>
      </c>
      <c r="I1770" s="20">
        <f>Разбивка_по_щитам!L1775</f>
      </c>
      <c r="J1770" s="20">
        <f>Разбивка_по_щитам!M1775</f>
      </c>
      <c r="K1770" s="20">
        <f>Разбивка_по_щитам!N1775</f>
      </c>
      <c r="L1770" s="20"/>
      <c r="M1770" s="20">
        <f>Разбивка_по_щитам!P1775</f>
      </c>
      <c r="N1770" s="20"/>
    </row>
    <row r="1771" spans="2:14" x14ac:dyDescent="0.25">
      <c r="B1771" s="20">
        <f>Разбивка_по_щитам!B1776</f>
      </c>
      <c r="C1771" s="20">
        <f>Разбивка_по_щитам!C1776</f>
      </c>
      <c r="D1771" s="20">
        <f>Разбивка_по_щитам!F1776</f>
      </c>
      <c r="E1771" s="20">
        <f>Разбивка_по_щитам!H1776</f>
      </c>
      <c r="F1771" s="20">
        <f>Разбивка_по_щитам!I1776</f>
      </c>
      <c r="G1771" s="20">
        <f>Разбивка_по_щитам!J1776</f>
      </c>
      <c r="H1771" s="20">
        <f>Разбивка_по_щитам!K1776</f>
      </c>
      <c r="I1771" s="20">
        <f>Разбивка_по_щитам!L1776</f>
      </c>
      <c r="J1771" s="20">
        <f>Разбивка_по_щитам!M1776</f>
      </c>
      <c r="K1771" s="20">
        <f>Разбивка_по_щитам!N1776</f>
      </c>
      <c r="L1771" s="20"/>
      <c r="M1771" s="20">
        <f>Разбивка_по_щитам!P1776</f>
      </c>
      <c r="N1771" s="20"/>
    </row>
    <row r="1772" spans="2:14" x14ac:dyDescent="0.25">
      <c r="B1772" s="20">
        <f>Разбивка_по_щитам!B1777</f>
      </c>
      <c r="C1772" s="20">
        <f>Разбивка_по_щитам!C1777</f>
      </c>
      <c r="D1772" s="20">
        <f>Разбивка_по_щитам!F1777</f>
      </c>
      <c r="E1772" s="20">
        <f>Разбивка_по_щитам!H1777</f>
      </c>
      <c r="F1772" s="20">
        <f>Разбивка_по_щитам!I1777</f>
      </c>
      <c r="G1772" s="20">
        <f>Разбивка_по_щитам!J1777</f>
      </c>
      <c r="H1772" s="20">
        <f>Разбивка_по_щитам!K1777</f>
      </c>
      <c r="I1772" s="20">
        <f>Разбивка_по_щитам!L1777</f>
      </c>
      <c r="J1772" s="20">
        <f>Разбивка_по_щитам!M1777</f>
      </c>
      <c r="K1772" s="20">
        <f>Разбивка_по_щитам!N1777</f>
      </c>
      <c r="L1772" s="20"/>
      <c r="M1772" s="20">
        <f>Разбивка_по_щитам!P1777</f>
      </c>
      <c r="N1772" s="20"/>
    </row>
    <row r="1773" spans="2:14" x14ac:dyDescent="0.25">
      <c r="B1773" s="20">
        <f>Разбивка_по_щитам!B1778</f>
      </c>
      <c r="C1773" s="20">
        <f>Разбивка_по_щитам!C1778</f>
      </c>
      <c r="D1773" s="20">
        <f>Разбивка_по_щитам!F1778</f>
      </c>
      <c r="E1773" s="20">
        <f>Разбивка_по_щитам!H1778</f>
      </c>
      <c r="F1773" s="20">
        <f>Разбивка_по_щитам!I1778</f>
      </c>
      <c r="G1773" s="20">
        <f>Разбивка_по_щитам!J1778</f>
      </c>
      <c r="H1773" s="20">
        <f>Разбивка_по_щитам!K1778</f>
      </c>
      <c r="I1773" s="20">
        <f>Разбивка_по_щитам!L1778</f>
      </c>
      <c r="J1773" s="20">
        <f>Разбивка_по_щитам!M1778</f>
      </c>
      <c r="K1773" s="20">
        <f>Разбивка_по_щитам!N1778</f>
      </c>
      <c r="L1773" s="20"/>
      <c r="M1773" s="20">
        <f>Разбивка_по_щитам!P1778</f>
      </c>
      <c r="N1773" s="20"/>
    </row>
    <row r="1774" spans="2:14" x14ac:dyDescent="0.25">
      <c r="B1774" s="20">
        <f>Разбивка_по_щитам!B1779</f>
      </c>
      <c r="C1774" s="20">
        <f>Разбивка_по_щитам!C1779</f>
      </c>
      <c r="D1774" s="20">
        <f>Разбивка_по_щитам!F1779</f>
      </c>
      <c r="E1774" s="20">
        <f>Разбивка_по_щитам!H1779</f>
      </c>
      <c r="F1774" s="20">
        <f>Разбивка_по_щитам!I1779</f>
      </c>
      <c r="G1774" s="20">
        <f>Разбивка_по_щитам!J1779</f>
      </c>
      <c r="H1774" s="20">
        <f>Разбивка_по_щитам!K1779</f>
      </c>
      <c r="I1774" s="20">
        <f>Разбивка_по_щитам!L1779</f>
      </c>
      <c r="J1774" s="20">
        <f>Разбивка_по_щитам!M1779</f>
      </c>
      <c r="K1774" s="20">
        <f>Разбивка_по_щитам!N1779</f>
      </c>
      <c r="L1774" s="20"/>
      <c r="M1774" s="20">
        <f>Разбивка_по_щитам!P1779</f>
      </c>
      <c r="N1774" s="20"/>
    </row>
    <row r="1775" spans="2:14" x14ac:dyDescent="0.25">
      <c r="B1775" s="20">
        <f>Разбивка_по_щитам!B1780</f>
      </c>
      <c r="C1775" s="20">
        <f>Разбивка_по_щитам!C1780</f>
      </c>
      <c r="D1775" s="20">
        <f>Разбивка_по_щитам!F1780</f>
      </c>
      <c r="E1775" s="20">
        <f>Разбивка_по_щитам!H1780</f>
      </c>
      <c r="F1775" s="20">
        <f>Разбивка_по_щитам!I1780</f>
      </c>
      <c r="G1775" s="20">
        <f>Разбивка_по_щитам!J1780</f>
      </c>
      <c r="H1775" s="20">
        <f>Разбивка_по_щитам!K1780</f>
      </c>
      <c r="I1775" s="20">
        <f>Разбивка_по_щитам!L1780</f>
      </c>
      <c r="J1775" s="20">
        <f>Разбивка_по_щитам!M1780</f>
      </c>
      <c r="K1775" s="20">
        <f>Разбивка_по_щитам!N1780</f>
      </c>
      <c r="L1775" s="20"/>
      <c r="M1775" s="20">
        <f>Разбивка_по_щитам!P1780</f>
      </c>
      <c r="N1775" s="20"/>
    </row>
    <row r="1776" spans="2:14" x14ac:dyDescent="0.25">
      <c r="B1776" s="20">
        <f>Разбивка_по_щитам!B1781</f>
      </c>
      <c r="C1776" s="20">
        <f>Разбивка_по_щитам!C1781</f>
      </c>
      <c r="D1776" s="20">
        <f>Разбивка_по_щитам!F1781</f>
      </c>
      <c r="E1776" s="20">
        <f>Разбивка_по_щитам!H1781</f>
      </c>
      <c r="F1776" s="20">
        <f>Разбивка_по_щитам!I1781</f>
      </c>
      <c r="G1776" s="20">
        <f>Разбивка_по_щитам!J1781</f>
      </c>
      <c r="H1776" s="20">
        <f>Разбивка_по_щитам!K1781</f>
      </c>
      <c r="I1776" s="20">
        <f>Разбивка_по_щитам!L1781</f>
      </c>
      <c r="J1776" s="20">
        <f>Разбивка_по_щитам!M1781</f>
      </c>
      <c r="K1776" s="20">
        <f>Разбивка_по_щитам!N1781</f>
      </c>
      <c r="L1776" s="20"/>
      <c r="M1776" s="20">
        <f>Разбивка_по_щитам!P1781</f>
      </c>
      <c r="N1776" s="20"/>
    </row>
    <row r="1777" spans="2:14" x14ac:dyDescent="0.25">
      <c r="B1777" s="20">
        <f>Разбивка_по_щитам!B1782</f>
      </c>
      <c r="C1777" s="20">
        <f>Разбивка_по_щитам!C1782</f>
      </c>
      <c r="D1777" s="20">
        <f>Разбивка_по_щитам!F1782</f>
      </c>
      <c r="E1777" s="20">
        <f>Разбивка_по_щитам!H1782</f>
      </c>
      <c r="F1777" s="20">
        <f>Разбивка_по_щитам!I1782</f>
      </c>
      <c r="G1777" s="20">
        <f>Разбивка_по_щитам!J1782</f>
      </c>
      <c r="H1777" s="20">
        <f>Разбивка_по_щитам!K1782</f>
      </c>
      <c r="I1777" s="20">
        <f>Разбивка_по_щитам!L1782</f>
      </c>
      <c r="J1777" s="20">
        <f>Разбивка_по_щитам!M1782</f>
      </c>
      <c r="K1777" s="20">
        <f>Разбивка_по_щитам!N1782</f>
      </c>
      <c r="L1777" s="20"/>
      <c r="M1777" s="20">
        <f>Разбивка_по_щитам!P1782</f>
      </c>
      <c r="N1777" s="20"/>
    </row>
    <row r="1778" spans="2:14" x14ac:dyDescent="0.25">
      <c r="B1778" s="20">
        <f>Разбивка_по_щитам!B1783</f>
      </c>
      <c r="C1778" s="20">
        <f>Разбивка_по_щитам!C1783</f>
      </c>
      <c r="D1778" s="20">
        <f>Разбивка_по_щитам!F1783</f>
      </c>
      <c r="E1778" s="20">
        <f>Разбивка_по_щитам!H1783</f>
      </c>
      <c r="F1778" s="20">
        <f>Разбивка_по_щитам!I1783</f>
      </c>
      <c r="G1778" s="20">
        <f>Разбивка_по_щитам!J1783</f>
      </c>
      <c r="H1778" s="20">
        <f>Разбивка_по_щитам!K1783</f>
      </c>
      <c r="I1778" s="20">
        <f>Разбивка_по_щитам!L1783</f>
      </c>
      <c r="J1778" s="20">
        <f>Разбивка_по_щитам!M1783</f>
      </c>
      <c r="K1778" s="20">
        <f>Разбивка_по_щитам!N1783</f>
      </c>
      <c r="L1778" s="20"/>
      <c r="M1778" s="20">
        <f>Разбивка_по_щитам!P1783</f>
      </c>
      <c r="N1778" s="20"/>
    </row>
    <row r="1779" spans="2:14" x14ac:dyDescent="0.25">
      <c r="B1779" s="20">
        <f>Разбивка_по_щитам!B1784</f>
      </c>
      <c r="C1779" s="20">
        <f>Разбивка_по_щитам!C1784</f>
      </c>
      <c r="D1779" s="20">
        <f>Разбивка_по_щитам!F1784</f>
      </c>
      <c r="E1779" s="20">
        <f>Разбивка_по_щитам!H1784</f>
      </c>
      <c r="F1779" s="20">
        <f>Разбивка_по_щитам!I1784</f>
      </c>
      <c r="G1779" s="20">
        <f>Разбивка_по_щитам!J1784</f>
      </c>
      <c r="H1779" s="20">
        <f>Разбивка_по_щитам!K1784</f>
      </c>
      <c r="I1779" s="20">
        <f>Разбивка_по_щитам!L1784</f>
      </c>
      <c r="J1779" s="20">
        <f>Разбивка_по_щитам!M1784</f>
      </c>
      <c r="K1779" s="20">
        <f>Разбивка_по_щитам!N1784</f>
      </c>
      <c r="L1779" s="20"/>
      <c r="M1779" s="20">
        <f>Разбивка_по_щитам!P1784</f>
      </c>
      <c r="N1779" s="20"/>
    </row>
    <row r="1780" spans="2:14" x14ac:dyDescent="0.25">
      <c r="B1780" s="20">
        <f>Разбивка_по_щитам!B1785</f>
      </c>
      <c r="C1780" s="20">
        <f>Разбивка_по_щитам!C1785</f>
      </c>
      <c r="D1780" s="20">
        <f>Разбивка_по_щитам!F1785</f>
      </c>
      <c r="E1780" s="20">
        <f>Разбивка_по_щитам!H1785</f>
      </c>
      <c r="F1780" s="20">
        <f>Разбивка_по_щитам!I1785</f>
      </c>
      <c r="G1780" s="20">
        <f>Разбивка_по_щитам!J1785</f>
      </c>
      <c r="H1780" s="20">
        <f>Разбивка_по_щитам!K1785</f>
      </c>
      <c r="I1780" s="20">
        <f>Разбивка_по_щитам!L1785</f>
      </c>
      <c r="J1780" s="20">
        <f>Разбивка_по_щитам!M1785</f>
      </c>
      <c r="K1780" s="20">
        <f>Разбивка_по_щитам!N1785</f>
      </c>
      <c r="L1780" s="20"/>
      <c r="M1780" s="20">
        <f>Разбивка_по_щитам!P1785</f>
      </c>
      <c r="N1780" s="20"/>
    </row>
    <row r="1781" spans="2:14" x14ac:dyDescent="0.25">
      <c r="B1781" s="20">
        <f>Разбивка_по_щитам!B1786</f>
      </c>
      <c r="C1781" s="20">
        <f>Разбивка_по_щитам!C1786</f>
      </c>
      <c r="D1781" s="20">
        <f>Разбивка_по_щитам!F1786</f>
      </c>
      <c r="E1781" s="20">
        <f>Разбивка_по_щитам!H1786</f>
      </c>
      <c r="F1781" s="20">
        <f>Разбивка_по_щитам!I1786</f>
      </c>
      <c r="G1781" s="20">
        <f>Разбивка_по_щитам!J1786</f>
      </c>
      <c r="H1781" s="20">
        <f>Разбивка_по_щитам!K1786</f>
      </c>
      <c r="I1781" s="20">
        <f>Разбивка_по_щитам!L1786</f>
      </c>
      <c r="J1781" s="20">
        <f>Разбивка_по_щитам!M1786</f>
      </c>
      <c r="K1781" s="20">
        <f>Разбивка_по_щитам!N1786</f>
      </c>
      <c r="L1781" s="20"/>
      <c r="M1781" s="20">
        <f>Разбивка_по_щитам!P1786</f>
      </c>
      <c r="N1781" s="20"/>
    </row>
    <row r="1782" spans="2:14" x14ac:dyDescent="0.25">
      <c r="B1782" s="20">
        <f>Разбивка_по_щитам!B1787</f>
      </c>
      <c r="C1782" s="20">
        <f>Разбивка_по_щитам!C1787</f>
      </c>
      <c r="D1782" s="20">
        <f>Разбивка_по_щитам!F1787</f>
      </c>
      <c r="E1782" s="20">
        <f>Разбивка_по_щитам!H1787</f>
      </c>
      <c r="F1782" s="20">
        <f>Разбивка_по_щитам!I1787</f>
      </c>
      <c r="G1782" s="20">
        <f>Разбивка_по_щитам!J1787</f>
      </c>
      <c r="H1782" s="20">
        <f>Разбивка_по_щитам!K1787</f>
      </c>
      <c r="I1782" s="20">
        <f>Разбивка_по_щитам!L1787</f>
      </c>
      <c r="J1782" s="20">
        <f>Разбивка_по_щитам!M1787</f>
      </c>
      <c r="K1782" s="20">
        <f>Разбивка_по_щитам!N1787</f>
      </c>
      <c r="L1782" s="20"/>
      <c r="M1782" s="20">
        <f>Разбивка_по_щитам!P1787</f>
      </c>
      <c r="N1782" s="20"/>
    </row>
    <row r="1783" spans="2:14" x14ac:dyDescent="0.25">
      <c r="B1783" s="20">
        <f>Разбивка_по_щитам!B1788</f>
      </c>
      <c r="C1783" s="20">
        <f>Разбивка_по_щитам!C1788</f>
      </c>
      <c r="D1783" s="20">
        <f>Разбивка_по_щитам!F1788</f>
      </c>
      <c r="E1783" s="20">
        <f>Разбивка_по_щитам!H1788</f>
      </c>
      <c r="F1783" s="20">
        <f>Разбивка_по_щитам!I1788</f>
      </c>
      <c r="G1783" s="20">
        <f>Разбивка_по_щитам!J1788</f>
      </c>
      <c r="H1783" s="20">
        <f>Разбивка_по_щитам!K1788</f>
      </c>
      <c r="I1783" s="20">
        <f>Разбивка_по_щитам!L1788</f>
      </c>
      <c r="J1783" s="20">
        <f>Разбивка_по_щитам!M1788</f>
      </c>
      <c r="K1783" s="20">
        <f>Разбивка_по_щитам!N1788</f>
      </c>
      <c r="L1783" s="20"/>
      <c r="M1783" s="20">
        <f>Разбивка_по_щитам!P1788</f>
      </c>
      <c r="N1783" s="20"/>
    </row>
    <row r="1784" spans="2:14" x14ac:dyDescent="0.25">
      <c r="B1784" s="20">
        <f>Разбивка_по_щитам!B1789</f>
      </c>
      <c r="C1784" s="20">
        <f>Разбивка_по_щитам!C1789</f>
      </c>
      <c r="D1784" s="20">
        <f>Разбивка_по_щитам!F1789</f>
      </c>
      <c r="E1784" s="20">
        <f>Разбивка_по_щитам!H1789</f>
      </c>
      <c r="F1784" s="20">
        <f>Разбивка_по_щитам!I1789</f>
      </c>
      <c r="G1784" s="20">
        <f>Разбивка_по_щитам!J1789</f>
      </c>
      <c r="H1784" s="20">
        <f>Разбивка_по_щитам!K1789</f>
      </c>
      <c r="I1784" s="20">
        <f>Разбивка_по_щитам!L1789</f>
      </c>
      <c r="J1784" s="20">
        <f>Разбивка_по_щитам!M1789</f>
      </c>
      <c r="K1784" s="20">
        <f>Разбивка_по_щитам!N1789</f>
      </c>
      <c r="L1784" s="20"/>
      <c r="M1784" s="20">
        <f>Разбивка_по_щитам!P1789</f>
      </c>
      <c r="N1784" s="20"/>
    </row>
    <row r="1785" spans="2:14" x14ac:dyDescent="0.25">
      <c r="B1785" s="20">
        <f>Разбивка_по_щитам!B1790</f>
      </c>
      <c r="C1785" s="20">
        <f>Разбивка_по_щитам!C1790</f>
      </c>
      <c r="D1785" s="20">
        <f>Разбивка_по_щитам!F1790</f>
      </c>
      <c r="E1785" s="20">
        <f>Разбивка_по_щитам!H1790</f>
      </c>
      <c r="F1785" s="20">
        <f>Разбивка_по_щитам!I1790</f>
      </c>
      <c r="G1785" s="20">
        <f>Разбивка_по_щитам!J1790</f>
      </c>
      <c r="H1785" s="20">
        <f>Разбивка_по_щитам!K1790</f>
      </c>
      <c r="I1785" s="20">
        <f>Разбивка_по_щитам!L1790</f>
      </c>
      <c r="J1785" s="20">
        <f>Разбивка_по_щитам!M1790</f>
      </c>
      <c r="K1785" s="20">
        <f>Разбивка_по_щитам!N1790</f>
      </c>
      <c r="L1785" s="20"/>
      <c r="M1785" s="20">
        <f>Разбивка_по_щитам!P1790</f>
      </c>
      <c r="N1785" s="20"/>
    </row>
    <row r="1786" spans="2:14" x14ac:dyDescent="0.25">
      <c r="B1786" s="20">
        <f>Разбивка_по_щитам!B1791</f>
      </c>
      <c r="C1786" s="20">
        <f>Разбивка_по_щитам!C1791</f>
      </c>
      <c r="D1786" s="20">
        <f>Разбивка_по_щитам!F1791</f>
      </c>
      <c r="E1786" s="20">
        <f>Разбивка_по_щитам!H1791</f>
      </c>
      <c r="F1786" s="20">
        <f>Разбивка_по_щитам!I1791</f>
      </c>
      <c r="G1786" s="20">
        <f>Разбивка_по_щитам!J1791</f>
      </c>
      <c r="H1786" s="20">
        <f>Разбивка_по_щитам!K1791</f>
      </c>
      <c r="I1786" s="20">
        <f>Разбивка_по_щитам!L1791</f>
      </c>
      <c r="J1786" s="20">
        <f>Разбивка_по_щитам!M1791</f>
      </c>
      <c r="K1786" s="20">
        <f>Разбивка_по_щитам!N1791</f>
      </c>
      <c r="L1786" s="20"/>
      <c r="M1786" s="20">
        <f>Разбивка_по_щитам!P1791</f>
      </c>
      <c r="N1786" s="20"/>
    </row>
    <row r="1787" spans="2:14" x14ac:dyDescent="0.25">
      <c r="B1787" s="20">
        <f>Разбивка_по_щитам!B1792</f>
      </c>
      <c r="C1787" s="20">
        <f>Разбивка_по_щитам!C1792</f>
      </c>
      <c r="D1787" s="20">
        <f>Разбивка_по_щитам!F1792</f>
      </c>
      <c r="E1787" s="20">
        <f>Разбивка_по_щитам!H1792</f>
      </c>
      <c r="F1787" s="20">
        <f>Разбивка_по_щитам!I1792</f>
      </c>
      <c r="G1787" s="20">
        <f>Разбивка_по_щитам!J1792</f>
      </c>
      <c r="H1787" s="20">
        <f>Разбивка_по_щитам!K1792</f>
      </c>
      <c r="I1787" s="20">
        <f>Разбивка_по_щитам!L1792</f>
      </c>
      <c r="J1787" s="20">
        <f>Разбивка_по_щитам!M1792</f>
      </c>
      <c r="K1787" s="20">
        <f>Разбивка_по_щитам!N1792</f>
      </c>
      <c r="L1787" s="20"/>
      <c r="M1787" s="20">
        <f>Разбивка_по_щитам!P1792</f>
      </c>
      <c r="N1787" s="20"/>
    </row>
    <row r="1788" spans="2:14" x14ac:dyDescent="0.25">
      <c r="B1788" s="20">
        <f>Разбивка_по_щитам!B1793</f>
      </c>
      <c r="C1788" s="20">
        <f>Разбивка_по_щитам!C1793</f>
      </c>
      <c r="D1788" s="20">
        <f>Разбивка_по_щитам!F1793</f>
      </c>
      <c r="E1788" s="20">
        <f>Разбивка_по_щитам!H1793</f>
      </c>
      <c r="F1788" s="20">
        <f>Разбивка_по_щитам!I1793</f>
      </c>
      <c r="G1788" s="20">
        <f>Разбивка_по_щитам!J1793</f>
      </c>
      <c r="H1788" s="20">
        <f>Разбивка_по_щитам!K1793</f>
      </c>
      <c r="I1788" s="20">
        <f>Разбивка_по_щитам!L1793</f>
      </c>
      <c r="J1788" s="20">
        <f>Разбивка_по_щитам!M1793</f>
      </c>
      <c r="K1788" s="20">
        <f>Разбивка_по_щитам!N1793</f>
      </c>
      <c r="L1788" s="20"/>
      <c r="M1788" s="20">
        <f>Разбивка_по_щитам!P1793</f>
      </c>
      <c r="N1788" s="20"/>
    </row>
    <row r="1789" spans="2:14" x14ac:dyDescent="0.25">
      <c r="B1789" s="20">
        <f>Разбивка_по_щитам!B1794</f>
      </c>
      <c r="C1789" s="20">
        <f>Разбивка_по_щитам!C1794</f>
      </c>
      <c r="D1789" s="20">
        <f>Разбивка_по_щитам!F1794</f>
      </c>
      <c r="E1789" s="20">
        <f>Разбивка_по_щитам!H1794</f>
      </c>
      <c r="F1789" s="20">
        <f>Разбивка_по_щитам!I1794</f>
      </c>
      <c r="G1789" s="20">
        <f>Разбивка_по_щитам!J1794</f>
      </c>
      <c r="H1789" s="20">
        <f>Разбивка_по_щитам!K1794</f>
      </c>
      <c r="I1789" s="20">
        <f>Разбивка_по_щитам!L1794</f>
      </c>
      <c r="J1789" s="20">
        <f>Разбивка_по_щитам!M1794</f>
      </c>
      <c r="K1789" s="20">
        <f>Разбивка_по_щитам!N1794</f>
      </c>
      <c r="L1789" s="20"/>
      <c r="M1789" s="20">
        <f>Разбивка_по_щитам!P1794</f>
      </c>
      <c r="N1789" s="20"/>
    </row>
    <row r="1790" spans="2:14" x14ac:dyDescent="0.25">
      <c r="B1790" s="20">
        <f>Разбивка_по_щитам!B1795</f>
      </c>
      <c r="C1790" s="20">
        <f>Разбивка_по_щитам!C1795</f>
      </c>
      <c r="D1790" s="20">
        <f>Разбивка_по_щитам!F1795</f>
      </c>
      <c r="E1790" s="20">
        <f>Разбивка_по_щитам!H1795</f>
      </c>
      <c r="F1790" s="20">
        <f>Разбивка_по_щитам!I1795</f>
      </c>
      <c r="G1790" s="20">
        <f>Разбивка_по_щитам!J1795</f>
      </c>
      <c r="H1790" s="20">
        <f>Разбивка_по_щитам!K1795</f>
      </c>
      <c r="I1790" s="20">
        <f>Разбивка_по_щитам!L1795</f>
      </c>
      <c r="J1790" s="20">
        <f>Разбивка_по_щитам!M1795</f>
      </c>
      <c r="K1790" s="20">
        <f>Разбивка_по_щитам!N1795</f>
      </c>
      <c r="L1790" s="20"/>
      <c r="M1790" s="20">
        <f>Разбивка_по_щитам!P1795</f>
      </c>
      <c r="N1790" s="20"/>
    </row>
    <row r="1791" spans="2:14" x14ac:dyDescent="0.25">
      <c r="B1791" s="20">
        <f>Разбивка_по_щитам!B1796</f>
      </c>
      <c r="C1791" s="20">
        <f>Разбивка_по_щитам!C1796</f>
      </c>
      <c r="D1791" s="20">
        <f>Разбивка_по_щитам!F1796</f>
      </c>
      <c r="E1791" s="20">
        <f>Разбивка_по_щитам!H1796</f>
      </c>
      <c r="F1791" s="20">
        <f>Разбивка_по_щитам!I1796</f>
      </c>
      <c r="G1791" s="20">
        <f>Разбивка_по_щитам!J1796</f>
      </c>
      <c r="H1791" s="20">
        <f>Разбивка_по_щитам!K1796</f>
      </c>
      <c r="I1791" s="20">
        <f>Разбивка_по_щитам!L1796</f>
      </c>
      <c r="J1791" s="20">
        <f>Разбивка_по_щитам!M1796</f>
      </c>
      <c r="K1791" s="20">
        <f>Разбивка_по_щитам!N1796</f>
      </c>
      <c r="L1791" s="20"/>
      <c r="M1791" s="20">
        <f>Разбивка_по_щитам!P1796</f>
      </c>
      <c r="N1791" s="20"/>
    </row>
    <row r="1792" spans="2:14" x14ac:dyDescent="0.25">
      <c r="B1792" s="20">
        <f>Разбивка_по_щитам!B1797</f>
      </c>
      <c r="C1792" s="20">
        <f>Разбивка_по_щитам!C1797</f>
      </c>
      <c r="D1792" s="20">
        <f>Разбивка_по_щитам!F1797</f>
      </c>
      <c r="E1792" s="20">
        <f>Разбивка_по_щитам!H1797</f>
      </c>
      <c r="F1792" s="20">
        <f>Разбивка_по_щитам!I1797</f>
      </c>
      <c r="G1792" s="20">
        <f>Разбивка_по_щитам!J1797</f>
      </c>
      <c r="H1792" s="20">
        <f>Разбивка_по_щитам!K1797</f>
      </c>
      <c r="I1792" s="20">
        <f>Разбивка_по_щитам!L1797</f>
      </c>
      <c r="J1792" s="20">
        <f>Разбивка_по_щитам!M1797</f>
      </c>
      <c r="K1792" s="20">
        <f>Разбивка_по_щитам!N1797</f>
      </c>
      <c r="L1792" s="20"/>
      <c r="M1792" s="20">
        <f>Разбивка_по_щитам!P1797</f>
      </c>
      <c r="N1792" s="20"/>
    </row>
    <row r="1793" spans="2:14" x14ac:dyDescent="0.25">
      <c r="B1793" s="20">
        <f>Разбивка_по_щитам!B1798</f>
      </c>
      <c r="C1793" s="20">
        <f>Разбивка_по_щитам!C1798</f>
      </c>
      <c r="D1793" s="20">
        <f>Разбивка_по_щитам!F1798</f>
      </c>
      <c r="E1793" s="20">
        <f>Разбивка_по_щитам!H1798</f>
      </c>
      <c r="F1793" s="20">
        <f>Разбивка_по_щитам!I1798</f>
      </c>
      <c r="G1793" s="20">
        <f>Разбивка_по_щитам!J1798</f>
      </c>
      <c r="H1793" s="20">
        <f>Разбивка_по_щитам!K1798</f>
      </c>
      <c r="I1793" s="20">
        <f>Разбивка_по_щитам!L1798</f>
      </c>
      <c r="J1793" s="20">
        <f>Разбивка_по_щитам!M1798</f>
      </c>
      <c r="K1793" s="20">
        <f>Разбивка_по_щитам!N1798</f>
      </c>
      <c r="L1793" s="20"/>
      <c r="M1793" s="20">
        <f>Разбивка_по_щитам!P1798</f>
      </c>
      <c r="N1793" s="20"/>
    </row>
    <row r="1794" spans="2:14" x14ac:dyDescent="0.25">
      <c r="B1794" s="20">
        <f>Разбивка_по_щитам!B1799</f>
      </c>
      <c r="C1794" s="20">
        <f>Разбивка_по_щитам!C1799</f>
      </c>
      <c r="D1794" s="20">
        <f>Разбивка_по_щитам!F1799</f>
      </c>
      <c r="E1794" s="20">
        <f>Разбивка_по_щитам!H1799</f>
      </c>
      <c r="F1794" s="20">
        <f>Разбивка_по_щитам!I1799</f>
      </c>
      <c r="G1794" s="20">
        <f>Разбивка_по_щитам!J1799</f>
      </c>
      <c r="H1794" s="20">
        <f>Разбивка_по_щитам!K1799</f>
      </c>
      <c r="I1794" s="20">
        <f>Разбивка_по_щитам!L1799</f>
      </c>
      <c r="J1794" s="20">
        <f>Разбивка_по_щитам!M1799</f>
      </c>
      <c r="K1794" s="20">
        <f>Разбивка_по_щитам!N1799</f>
      </c>
      <c r="L1794" s="20"/>
      <c r="M1794" s="20">
        <f>Разбивка_по_щитам!P1799</f>
      </c>
      <c r="N1794" s="20"/>
    </row>
    <row r="1795" spans="2:14" x14ac:dyDescent="0.25">
      <c r="B1795" s="20">
        <f>Разбивка_по_щитам!B1800</f>
      </c>
      <c r="C1795" s="20">
        <f>Разбивка_по_щитам!C1800</f>
      </c>
      <c r="D1795" s="20">
        <f>Разбивка_по_щитам!F1800</f>
      </c>
      <c r="E1795" s="20">
        <f>Разбивка_по_щитам!H1800</f>
      </c>
      <c r="F1795" s="20">
        <f>Разбивка_по_щитам!I1800</f>
      </c>
      <c r="G1795" s="20">
        <f>Разбивка_по_щитам!J1800</f>
      </c>
      <c r="H1795" s="20">
        <f>Разбивка_по_щитам!K1800</f>
      </c>
      <c r="I1795" s="20">
        <f>Разбивка_по_щитам!L1800</f>
      </c>
      <c r="J1795" s="20">
        <f>Разбивка_по_щитам!M1800</f>
      </c>
      <c r="K1795" s="20">
        <f>Разбивка_по_щитам!N1800</f>
      </c>
      <c r="L1795" s="20"/>
      <c r="M1795" s="20">
        <f>Разбивка_по_щитам!P1800</f>
      </c>
      <c r="N1795" s="20"/>
    </row>
    <row r="1796" spans="2:14" x14ac:dyDescent="0.25">
      <c r="B1796" s="20">
        <f>Разбивка_по_щитам!B1801</f>
      </c>
      <c r="C1796" s="20">
        <f>Разбивка_по_щитам!C1801</f>
      </c>
      <c r="D1796" s="20">
        <f>Разбивка_по_щитам!F1801</f>
      </c>
      <c r="E1796" s="20">
        <f>Разбивка_по_щитам!H1801</f>
      </c>
      <c r="F1796" s="20">
        <f>Разбивка_по_щитам!I1801</f>
      </c>
      <c r="G1796" s="20">
        <f>Разбивка_по_щитам!J1801</f>
      </c>
      <c r="H1796" s="20">
        <f>Разбивка_по_щитам!K1801</f>
      </c>
      <c r="I1796" s="20">
        <f>Разбивка_по_щитам!L1801</f>
      </c>
      <c r="J1796" s="20">
        <f>Разбивка_по_щитам!M1801</f>
      </c>
      <c r="K1796" s="20">
        <f>Разбивка_по_щитам!N1801</f>
      </c>
      <c r="L1796" s="20"/>
      <c r="M1796" s="20">
        <f>Разбивка_по_щитам!P1801</f>
      </c>
      <c r="N1796" s="20"/>
    </row>
    <row r="1797" spans="2:14" x14ac:dyDescent="0.25">
      <c r="B1797" s="20">
        <f>Разбивка_по_щитам!B1802</f>
      </c>
      <c r="C1797" s="20">
        <f>Разбивка_по_щитам!C1802</f>
      </c>
      <c r="D1797" s="20">
        <f>Разбивка_по_щитам!F1802</f>
      </c>
      <c r="E1797" s="20">
        <f>Разбивка_по_щитам!H1802</f>
      </c>
      <c r="F1797" s="20">
        <f>Разбивка_по_щитам!I1802</f>
      </c>
      <c r="G1797" s="20">
        <f>Разбивка_по_щитам!J1802</f>
      </c>
      <c r="H1797" s="20">
        <f>Разбивка_по_щитам!K1802</f>
      </c>
      <c r="I1797" s="20">
        <f>Разбивка_по_щитам!L1802</f>
      </c>
      <c r="J1797" s="20">
        <f>Разбивка_по_щитам!M1802</f>
      </c>
      <c r="K1797" s="20">
        <f>Разбивка_по_щитам!N1802</f>
      </c>
      <c r="L1797" s="20"/>
      <c r="M1797" s="20">
        <f>Разбивка_по_щитам!P1802</f>
      </c>
      <c r="N1797" s="20"/>
    </row>
    <row r="1798" spans="2:14" x14ac:dyDescent="0.25">
      <c r="B1798" s="20">
        <f>Разбивка_по_щитам!B1803</f>
      </c>
      <c r="C1798" s="20">
        <f>Разбивка_по_щитам!C1803</f>
      </c>
      <c r="D1798" s="20">
        <f>Разбивка_по_щитам!F1803</f>
      </c>
      <c r="E1798" s="20">
        <f>Разбивка_по_щитам!H1803</f>
      </c>
      <c r="F1798" s="20">
        <f>Разбивка_по_щитам!I1803</f>
      </c>
      <c r="G1798" s="20">
        <f>Разбивка_по_щитам!J1803</f>
      </c>
      <c r="H1798" s="20">
        <f>Разбивка_по_щитам!K1803</f>
      </c>
      <c r="I1798" s="20">
        <f>Разбивка_по_щитам!L1803</f>
      </c>
      <c r="J1798" s="20">
        <f>Разбивка_по_щитам!M1803</f>
      </c>
      <c r="K1798" s="20">
        <f>Разбивка_по_щитам!N1803</f>
      </c>
      <c r="L1798" s="20"/>
      <c r="M1798" s="20">
        <f>Разбивка_по_щитам!P1803</f>
      </c>
      <c r="N1798" s="20"/>
    </row>
    <row r="1799" spans="2:14" x14ac:dyDescent="0.25">
      <c r="B1799" s="20">
        <f>Разбивка_по_щитам!B1804</f>
      </c>
      <c r="C1799" s="20">
        <f>Разбивка_по_щитам!C1804</f>
      </c>
      <c r="D1799" s="20">
        <f>Разбивка_по_щитам!F1804</f>
      </c>
      <c r="E1799" s="20">
        <f>Разбивка_по_щитам!H1804</f>
      </c>
      <c r="F1799" s="20">
        <f>Разбивка_по_щитам!I1804</f>
      </c>
      <c r="G1799" s="20">
        <f>Разбивка_по_щитам!J1804</f>
      </c>
      <c r="H1799" s="20">
        <f>Разбивка_по_щитам!K1804</f>
      </c>
      <c r="I1799" s="20">
        <f>Разбивка_по_щитам!L1804</f>
      </c>
      <c r="J1799" s="20">
        <f>Разбивка_по_щитам!M1804</f>
      </c>
      <c r="K1799" s="20">
        <f>Разбивка_по_щитам!N1804</f>
      </c>
      <c r="L1799" s="20"/>
      <c r="M1799" s="20">
        <f>Разбивка_по_щитам!P1804</f>
      </c>
      <c r="N1799" s="20"/>
    </row>
    <row r="1800" spans="2:14" x14ac:dyDescent="0.25">
      <c r="B1800" s="20">
        <f>Разбивка_по_щитам!B1805</f>
      </c>
      <c r="C1800" s="20">
        <f>Разбивка_по_щитам!C1805</f>
      </c>
      <c r="D1800" s="20">
        <f>Разбивка_по_щитам!F1805</f>
      </c>
      <c r="E1800" s="20">
        <f>Разбивка_по_щитам!H1805</f>
      </c>
      <c r="F1800" s="20">
        <f>Разбивка_по_щитам!I1805</f>
      </c>
      <c r="G1800" s="20">
        <f>Разбивка_по_щитам!J1805</f>
      </c>
      <c r="H1800" s="20">
        <f>Разбивка_по_щитам!K1805</f>
      </c>
      <c r="I1800" s="20">
        <f>Разбивка_по_щитам!L1805</f>
      </c>
      <c r="J1800" s="20">
        <f>Разбивка_по_щитам!M1805</f>
      </c>
      <c r="K1800" s="20">
        <f>Разбивка_по_щитам!N1805</f>
      </c>
      <c r="L1800" s="20"/>
      <c r="M1800" s="20">
        <f>Разбивка_по_щитам!P1805</f>
      </c>
      <c r="N1800" s="20"/>
    </row>
    <row r="1801" spans="2:14" x14ac:dyDescent="0.25">
      <c r="B1801" s="20">
        <f>Разбивка_по_щитам!B1806</f>
      </c>
      <c r="C1801" s="20">
        <f>Разбивка_по_щитам!C1806</f>
      </c>
      <c r="D1801" s="20">
        <f>Разбивка_по_щитам!F1806</f>
      </c>
      <c r="E1801" s="20">
        <f>Разбивка_по_щитам!H1806</f>
      </c>
      <c r="F1801" s="20">
        <f>Разбивка_по_щитам!I1806</f>
      </c>
      <c r="G1801" s="20">
        <f>Разбивка_по_щитам!J1806</f>
      </c>
      <c r="H1801" s="20">
        <f>Разбивка_по_щитам!K1806</f>
      </c>
      <c r="I1801" s="20">
        <f>Разбивка_по_щитам!L1806</f>
      </c>
      <c r="J1801" s="20">
        <f>Разбивка_по_щитам!M1806</f>
      </c>
      <c r="K1801" s="20">
        <f>Разбивка_по_щитам!N1806</f>
      </c>
      <c r="L1801" s="20"/>
      <c r="M1801" s="20">
        <f>Разбивка_по_щитам!P1806</f>
      </c>
      <c r="N1801" s="20"/>
    </row>
    <row r="1802" spans="2:14" x14ac:dyDescent="0.25">
      <c r="B1802" s="20">
        <f>Разбивка_по_щитам!B1807</f>
      </c>
      <c r="C1802" s="20">
        <f>Разбивка_по_щитам!C1807</f>
      </c>
      <c r="D1802" s="20">
        <f>Разбивка_по_щитам!F1807</f>
      </c>
      <c r="E1802" s="20">
        <f>Разбивка_по_щитам!H1807</f>
      </c>
      <c r="F1802" s="20">
        <f>Разбивка_по_щитам!I1807</f>
      </c>
      <c r="G1802" s="20">
        <f>Разбивка_по_щитам!J1807</f>
      </c>
      <c r="H1802" s="20">
        <f>Разбивка_по_щитам!K1807</f>
      </c>
      <c r="I1802" s="20">
        <f>Разбивка_по_щитам!L1807</f>
      </c>
      <c r="J1802" s="20">
        <f>Разбивка_по_щитам!M1807</f>
      </c>
      <c r="K1802" s="20">
        <f>Разбивка_по_щитам!N1807</f>
      </c>
      <c r="L1802" s="20"/>
      <c r="M1802" s="20">
        <f>Разбивка_по_щитам!P1807</f>
      </c>
      <c r="N1802" s="20"/>
    </row>
    <row r="1803" spans="2:14" x14ac:dyDescent="0.25">
      <c r="B1803" s="20">
        <f>Разбивка_по_щитам!B1808</f>
      </c>
      <c r="C1803" s="20">
        <f>Разбивка_по_щитам!C1808</f>
      </c>
      <c r="D1803" s="20">
        <f>Разбивка_по_щитам!F1808</f>
      </c>
      <c r="E1803" s="20">
        <f>Разбивка_по_щитам!H1808</f>
      </c>
      <c r="F1803" s="20">
        <f>Разбивка_по_щитам!I1808</f>
      </c>
      <c r="G1803" s="20">
        <f>Разбивка_по_щитам!J1808</f>
      </c>
      <c r="H1803" s="20">
        <f>Разбивка_по_щитам!K1808</f>
      </c>
      <c r="I1803" s="20">
        <f>Разбивка_по_щитам!L1808</f>
      </c>
      <c r="J1803" s="20">
        <f>Разбивка_по_щитам!M1808</f>
      </c>
      <c r="K1803" s="20">
        <f>Разбивка_по_щитам!N1808</f>
      </c>
      <c r="L1803" s="20"/>
      <c r="M1803" s="20">
        <f>Разбивка_по_щитам!P1808</f>
      </c>
      <c r="N1803" s="20"/>
    </row>
    <row r="1804" spans="2:14" x14ac:dyDescent="0.25">
      <c r="B1804" s="20">
        <f>Разбивка_по_щитам!B1809</f>
      </c>
      <c r="C1804" s="20">
        <f>Разбивка_по_щитам!C1809</f>
      </c>
      <c r="D1804" s="20">
        <f>Разбивка_по_щитам!F1809</f>
      </c>
      <c r="E1804" s="20">
        <f>Разбивка_по_щитам!H1809</f>
      </c>
      <c r="F1804" s="20">
        <f>Разбивка_по_щитам!I1809</f>
      </c>
      <c r="G1804" s="20">
        <f>Разбивка_по_щитам!J1809</f>
      </c>
      <c r="H1804" s="20">
        <f>Разбивка_по_щитам!K1809</f>
      </c>
      <c r="I1804" s="20">
        <f>Разбивка_по_щитам!L1809</f>
      </c>
      <c r="J1804" s="20">
        <f>Разбивка_по_щитам!M1809</f>
      </c>
      <c r="K1804" s="20">
        <f>Разбивка_по_щитам!N1809</f>
      </c>
      <c r="L1804" s="20"/>
      <c r="M1804" s="20">
        <f>Разбивка_по_щитам!P1809</f>
      </c>
      <c r="N1804" s="20"/>
    </row>
    <row r="1805" spans="2:14" x14ac:dyDescent="0.25">
      <c r="B1805" s="20">
        <f>Разбивка_по_щитам!B1810</f>
      </c>
      <c r="C1805" s="20">
        <f>Разбивка_по_щитам!C1810</f>
      </c>
      <c r="D1805" s="20">
        <f>Разбивка_по_щитам!F1810</f>
      </c>
      <c r="E1805" s="20">
        <f>Разбивка_по_щитам!H1810</f>
      </c>
      <c r="F1805" s="20">
        <f>Разбивка_по_щитам!I1810</f>
      </c>
      <c r="G1805" s="20">
        <f>Разбивка_по_щитам!J1810</f>
      </c>
      <c r="H1805" s="20">
        <f>Разбивка_по_щитам!K1810</f>
      </c>
      <c r="I1805" s="20">
        <f>Разбивка_по_щитам!L1810</f>
      </c>
      <c r="J1805" s="20">
        <f>Разбивка_по_щитам!M1810</f>
      </c>
      <c r="K1805" s="20">
        <f>Разбивка_по_щитам!N1810</f>
      </c>
      <c r="L1805" s="20"/>
      <c r="M1805" s="20">
        <f>Разбивка_по_щитам!P1810</f>
      </c>
      <c r="N1805" s="20"/>
    </row>
    <row r="1806" spans="2:14" x14ac:dyDescent="0.25">
      <c r="B1806" s="20">
        <f>Разбивка_по_щитам!B1811</f>
      </c>
      <c r="C1806" s="20">
        <f>Разбивка_по_щитам!C1811</f>
      </c>
      <c r="D1806" s="20">
        <f>Разбивка_по_щитам!F1811</f>
      </c>
      <c r="E1806" s="20">
        <f>Разбивка_по_щитам!H1811</f>
      </c>
      <c r="F1806" s="20">
        <f>Разбивка_по_щитам!I1811</f>
      </c>
      <c r="G1806" s="20">
        <f>Разбивка_по_щитам!J1811</f>
      </c>
      <c r="H1806" s="20">
        <f>Разбивка_по_щитам!K1811</f>
      </c>
      <c r="I1806" s="20">
        <f>Разбивка_по_щитам!L1811</f>
      </c>
      <c r="J1806" s="20">
        <f>Разбивка_по_щитам!M1811</f>
      </c>
      <c r="K1806" s="20">
        <f>Разбивка_по_щитам!N1811</f>
      </c>
      <c r="L1806" s="20"/>
      <c r="M1806" s="20">
        <f>Разбивка_по_щитам!P1811</f>
      </c>
      <c r="N1806" s="20"/>
    </row>
    <row r="1807" spans="2:14" x14ac:dyDescent="0.25">
      <c r="B1807" s="20">
        <f>Разбивка_по_щитам!B1812</f>
      </c>
      <c r="C1807" s="20">
        <f>Разбивка_по_щитам!C1812</f>
      </c>
      <c r="D1807" s="20">
        <f>Разбивка_по_щитам!F1812</f>
      </c>
      <c r="E1807" s="20">
        <f>Разбивка_по_щитам!H1812</f>
      </c>
      <c r="F1807" s="20">
        <f>Разбивка_по_щитам!I1812</f>
      </c>
      <c r="G1807" s="20">
        <f>Разбивка_по_щитам!J1812</f>
      </c>
      <c r="H1807" s="20">
        <f>Разбивка_по_щитам!K1812</f>
      </c>
      <c r="I1807" s="20">
        <f>Разбивка_по_щитам!L1812</f>
      </c>
      <c r="J1807" s="20">
        <f>Разбивка_по_щитам!M1812</f>
      </c>
      <c r="K1807" s="20">
        <f>Разбивка_по_щитам!N1812</f>
      </c>
      <c r="L1807" s="20"/>
      <c r="M1807" s="20">
        <f>Разбивка_по_щитам!P1812</f>
      </c>
      <c r="N1807" s="20"/>
    </row>
    <row r="1808" spans="2:14" x14ac:dyDescent="0.25">
      <c r="B1808" s="20">
        <f>Разбивка_по_щитам!B1813</f>
      </c>
      <c r="C1808" s="20">
        <f>Разбивка_по_щитам!C1813</f>
      </c>
      <c r="D1808" s="20">
        <f>Разбивка_по_щитам!F1813</f>
      </c>
      <c r="E1808" s="20">
        <f>Разбивка_по_щитам!H1813</f>
      </c>
      <c r="F1808" s="20">
        <f>Разбивка_по_щитам!I1813</f>
      </c>
      <c r="G1808" s="20">
        <f>Разбивка_по_щитам!J1813</f>
      </c>
      <c r="H1808" s="20">
        <f>Разбивка_по_щитам!K1813</f>
      </c>
      <c r="I1808" s="20">
        <f>Разбивка_по_щитам!L1813</f>
      </c>
      <c r="J1808" s="20">
        <f>Разбивка_по_щитам!M1813</f>
      </c>
      <c r="K1808" s="20">
        <f>Разбивка_по_щитам!N1813</f>
      </c>
      <c r="L1808" s="20"/>
      <c r="M1808" s="20">
        <f>Разбивка_по_щитам!P1813</f>
      </c>
      <c r="N1808" s="20"/>
    </row>
    <row r="1809" spans="2:14" x14ac:dyDescent="0.25">
      <c r="B1809" s="20">
        <f>Разбивка_по_щитам!B1814</f>
      </c>
      <c r="C1809" s="20">
        <f>Разбивка_по_щитам!C1814</f>
      </c>
      <c r="D1809" s="20">
        <f>Разбивка_по_щитам!F1814</f>
      </c>
      <c r="E1809" s="20">
        <f>Разбивка_по_щитам!H1814</f>
      </c>
      <c r="F1809" s="20">
        <f>Разбивка_по_щитам!I1814</f>
      </c>
      <c r="G1809" s="20">
        <f>Разбивка_по_щитам!J1814</f>
      </c>
      <c r="H1809" s="20">
        <f>Разбивка_по_щитам!K1814</f>
      </c>
      <c r="I1809" s="20">
        <f>Разбивка_по_щитам!L1814</f>
      </c>
      <c r="J1809" s="20">
        <f>Разбивка_по_щитам!M1814</f>
      </c>
      <c r="K1809" s="20">
        <f>Разбивка_по_щитам!N1814</f>
      </c>
      <c r="L1809" s="20"/>
      <c r="M1809" s="20">
        <f>Разбивка_по_щитам!P1814</f>
      </c>
      <c r="N1809" s="20"/>
    </row>
    <row r="1810" spans="2:14" x14ac:dyDescent="0.25">
      <c r="B1810" s="20">
        <f>Разбивка_по_щитам!B1815</f>
      </c>
      <c r="C1810" s="20">
        <f>Разбивка_по_щитам!C1815</f>
      </c>
      <c r="D1810" s="20">
        <f>Разбивка_по_щитам!F1815</f>
      </c>
      <c r="E1810" s="20">
        <f>Разбивка_по_щитам!H1815</f>
      </c>
      <c r="F1810" s="20">
        <f>Разбивка_по_щитам!I1815</f>
      </c>
      <c r="G1810" s="20">
        <f>Разбивка_по_щитам!J1815</f>
      </c>
      <c r="H1810" s="20">
        <f>Разбивка_по_щитам!K1815</f>
      </c>
      <c r="I1810" s="20">
        <f>Разбивка_по_щитам!L1815</f>
      </c>
      <c r="J1810" s="20">
        <f>Разбивка_по_щитам!M1815</f>
      </c>
      <c r="K1810" s="20">
        <f>Разбивка_по_щитам!N1815</f>
      </c>
      <c r="L1810" s="20"/>
      <c r="M1810" s="20">
        <f>Разбивка_по_щитам!P1815</f>
      </c>
      <c r="N1810" s="20"/>
    </row>
    <row r="1811" spans="2:14" x14ac:dyDescent="0.25">
      <c r="B1811" s="20">
        <f>Разбивка_по_щитам!B1816</f>
      </c>
      <c r="C1811" s="20">
        <f>Разбивка_по_щитам!C1816</f>
      </c>
      <c r="D1811" s="20">
        <f>Разбивка_по_щитам!F1816</f>
      </c>
      <c r="E1811" s="20">
        <f>Разбивка_по_щитам!H1816</f>
      </c>
      <c r="F1811" s="20">
        <f>Разбивка_по_щитам!I1816</f>
      </c>
      <c r="G1811" s="20">
        <f>Разбивка_по_щитам!J1816</f>
      </c>
      <c r="H1811" s="20">
        <f>Разбивка_по_щитам!K1816</f>
      </c>
      <c r="I1811" s="20">
        <f>Разбивка_по_щитам!L1816</f>
      </c>
      <c r="J1811" s="20">
        <f>Разбивка_по_щитам!M1816</f>
      </c>
      <c r="K1811" s="20">
        <f>Разбивка_по_щитам!N1816</f>
      </c>
      <c r="L1811" s="20"/>
      <c r="M1811" s="20">
        <f>Разбивка_по_щитам!P1816</f>
      </c>
      <c r="N1811" s="20"/>
    </row>
    <row r="1812" spans="2:14" x14ac:dyDescent="0.25">
      <c r="B1812" s="20">
        <f>Разбивка_по_щитам!B1817</f>
      </c>
      <c r="C1812" s="20">
        <f>Разбивка_по_щитам!C1817</f>
      </c>
      <c r="D1812" s="20">
        <f>Разбивка_по_щитам!F1817</f>
      </c>
      <c r="E1812" s="20">
        <f>Разбивка_по_щитам!H1817</f>
      </c>
      <c r="F1812" s="20">
        <f>Разбивка_по_щитам!I1817</f>
      </c>
      <c r="G1812" s="20">
        <f>Разбивка_по_щитам!J1817</f>
      </c>
      <c r="H1812" s="20">
        <f>Разбивка_по_щитам!K1817</f>
      </c>
      <c r="I1812" s="20">
        <f>Разбивка_по_щитам!L1817</f>
      </c>
      <c r="J1812" s="20">
        <f>Разбивка_по_щитам!M1817</f>
      </c>
      <c r="K1812" s="20">
        <f>Разбивка_по_щитам!N1817</f>
      </c>
      <c r="L1812" s="20"/>
      <c r="M1812" s="20">
        <f>Разбивка_по_щитам!P1817</f>
      </c>
      <c r="N1812" s="20"/>
    </row>
    <row r="1813" spans="2:14" x14ac:dyDescent="0.25">
      <c r="B1813" s="20">
        <f>Разбивка_по_щитам!B1818</f>
      </c>
      <c r="C1813" s="20">
        <f>Разбивка_по_щитам!C1818</f>
      </c>
      <c r="D1813" s="20">
        <f>Разбивка_по_щитам!F1818</f>
      </c>
      <c r="E1813" s="20">
        <f>Разбивка_по_щитам!H1818</f>
      </c>
      <c r="F1813" s="20">
        <f>Разбивка_по_щитам!I1818</f>
      </c>
      <c r="G1813" s="20">
        <f>Разбивка_по_щитам!J1818</f>
      </c>
      <c r="H1813" s="20">
        <f>Разбивка_по_щитам!K1818</f>
      </c>
      <c r="I1813" s="20">
        <f>Разбивка_по_щитам!L1818</f>
      </c>
      <c r="J1813" s="20">
        <f>Разбивка_по_щитам!M1818</f>
      </c>
      <c r="K1813" s="20">
        <f>Разбивка_по_щитам!N1818</f>
      </c>
      <c r="L1813" s="20"/>
      <c r="M1813" s="20">
        <f>Разбивка_по_щитам!P1818</f>
      </c>
      <c r="N1813" s="20"/>
    </row>
    <row r="1814" spans="2:14" x14ac:dyDescent="0.25">
      <c r="B1814" s="20">
        <f>Разбивка_по_щитам!B1819</f>
      </c>
      <c r="C1814" s="20">
        <f>Разбивка_по_щитам!C1819</f>
      </c>
      <c r="D1814" s="20">
        <f>Разбивка_по_щитам!F1819</f>
      </c>
      <c r="E1814" s="20">
        <f>Разбивка_по_щитам!H1819</f>
      </c>
      <c r="F1814" s="20">
        <f>Разбивка_по_щитам!I1819</f>
      </c>
      <c r="G1814" s="20">
        <f>Разбивка_по_щитам!J1819</f>
      </c>
      <c r="H1814" s="20">
        <f>Разбивка_по_щитам!K1819</f>
      </c>
      <c r="I1814" s="20">
        <f>Разбивка_по_щитам!L1819</f>
      </c>
      <c r="J1814" s="20">
        <f>Разбивка_по_щитам!M1819</f>
      </c>
      <c r="K1814" s="20">
        <f>Разбивка_по_щитам!N1819</f>
      </c>
      <c r="L1814" s="20"/>
      <c r="M1814" s="20">
        <f>Разбивка_по_щитам!P1819</f>
      </c>
      <c r="N1814" s="20"/>
    </row>
    <row r="1815" spans="2:14" x14ac:dyDescent="0.25">
      <c r="B1815" s="20">
        <f>Разбивка_по_щитам!B1820</f>
      </c>
      <c r="C1815" s="20">
        <f>Разбивка_по_щитам!C1820</f>
      </c>
      <c r="D1815" s="20">
        <f>Разбивка_по_щитам!F1820</f>
      </c>
      <c r="E1815" s="20">
        <f>Разбивка_по_щитам!H1820</f>
      </c>
      <c r="F1815" s="20">
        <f>Разбивка_по_щитам!I1820</f>
      </c>
      <c r="G1815" s="20">
        <f>Разбивка_по_щитам!J1820</f>
      </c>
      <c r="H1815" s="20">
        <f>Разбивка_по_щитам!K1820</f>
      </c>
      <c r="I1815" s="20">
        <f>Разбивка_по_щитам!L1820</f>
      </c>
      <c r="J1815" s="20">
        <f>Разбивка_по_щитам!M1820</f>
      </c>
      <c r="K1815" s="20">
        <f>Разбивка_по_щитам!N1820</f>
      </c>
      <c r="L1815" s="20"/>
      <c r="M1815" s="20">
        <f>Разбивка_по_щитам!P1820</f>
      </c>
      <c r="N1815" s="20"/>
    </row>
    <row r="1816" spans="2:14" x14ac:dyDescent="0.25">
      <c r="B1816" s="20">
        <f>Разбивка_по_щитам!B1821</f>
      </c>
      <c r="C1816" s="20">
        <f>Разбивка_по_щитам!C1821</f>
      </c>
      <c r="D1816" s="20">
        <f>Разбивка_по_щитам!F1821</f>
      </c>
      <c r="E1816" s="20">
        <f>Разбивка_по_щитам!H1821</f>
      </c>
      <c r="F1816" s="20">
        <f>Разбивка_по_щитам!I1821</f>
      </c>
      <c r="G1816" s="20">
        <f>Разбивка_по_щитам!J1821</f>
      </c>
      <c r="H1816" s="20">
        <f>Разбивка_по_щитам!K1821</f>
      </c>
      <c r="I1816" s="20">
        <f>Разбивка_по_щитам!L1821</f>
      </c>
      <c r="J1816" s="20">
        <f>Разбивка_по_щитам!M1821</f>
      </c>
      <c r="K1816" s="20">
        <f>Разбивка_по_щитам!N1821</f>
      </c>
      <c r="L1816" s="20"/>
      <c r="M1816" s="20">
        <f>Разбивка_по_щитам!P1821</f>
      </c>
      <c r="N1816" s="20"/>
    </row>
    <row r="1817" spans="2:14" x14ac:dyDescent="0.25">
      <c r="B1817" s="20">
        <f>Разбивка_по_щитам!B1822</f>
      </c>
      <c r="C1817" s="20">
        <f>Разбивка_по_щитам!C1822</f>
      </c>
      <c r="D1817" s="20">
        <f>Разбивка_по_щитам!F1822</f>
      </c>
      <c r="E1817" s="20">
        <f>Разбивка_по_щитам!H1822</f>
      </c>
      <c r="F1817" s="20">
        <f>Разбивка_по_щитам!I1822</f>
      </c>
      <c r="G1817" s="20">
        <f>Разбивка_по_щитам!J1822</f>
      </c>
      <c r="H1817" s="20">
        <f>Разбивка_по_щитам!K1822</f>
      </c>
      <c r="I1817" s="20">
        <f>Разбивка_по_щитам!L1822</f>
      </c>
      <c r="J1817" s="20">
        <f>Разбивка_по_щитам!M1822</f>
      </c>
      <c r="K1817" s="20">
        <f>Разбивка_по_щитам!N1822</f>
      </c>
      <c r="L1817" s="20"/>
      <c r="M1817" s="20">
        <f>Разбивка_по_щитам!P1822</f>
      </c>
      <c r="N1817" s="20"/>
    </row>
    <row r="1818" spans="2:14" x14ac:dyDescent="0.25">
      <c r="B1818" s="20">
        <f>Разбивка_по_щитам!B1823</f>
      </c>
      <c r="C1818" s="20">
        <f>Разбивка_по_щитам!C1823</f>
      </c>
      <c r="D1818" s="20">
        <f>Разбивка_по_щитам!F1823</f>
      </c>
      <c r="E1818" s="20">
        <f>Разбивка_по_щитам!H1823</f>
      </c>
      <c r="F1818" s="20">
        <f>Разбивка_по_щитам!I1823</f>
      </c>
      <c r="G1818" s="20">
        <f>Разбивка_по_щитам!J1823</f>
      </c>
      <c r="H1818" s="20">
        <f>Разбивка_по_щитам!K1823</f>
      </c>
      <c r="I1818" s="20">
        <f>Разбивка_по_щитам!L1823</f>
      </c>
      <c r="J1818" s="20">
        <f>Разбивка_по_щитам!M1823</f>
      </c>
      <c r="K1818" s="20">
        <f>Разбивка_по_щитам!N1823</f>
      </c>
      <c r="L1818" s="20"/>
      <c r="M1818" s="20">
        <f>Разбивка_по_щитам!P1823</f>
      </c>
      <c r="N1818" s="20"/>
    </row>
    <row r="1819" spans="2:14" x14ac:dyDescent="0.25">
      <c r="B1819" s="20">
        <f>Разбивка_по_щитам!B1824</f>
      </c>
      <c r="C1819" s="20">
        <f>Разбивка_по_щитам!C1824</f>
      </c>
      <c r="D1819" s="20">
        <f>Разбивка_по_щитам!F1824</f>
      </c>
      <c r="E1819" s="20">
        <f>Разбивка_по_щитам!H1824</f>
      </c>
      <c r="F1819" s="20">
        <f>Разбивка_по_щитам!I1824</f>
      </c>
      <c r="G1819" s="20">
        <f>Разбивка_по_щитам!J1824</f>
      </c>
      <c r="H1819" s="20">
        <f>Разбивка_по_щитам!K1824</f>
      </c>
      <c r="I1819" s="20">
        <f>Разбивка_по_щитам!L1824</f>
      </c>
      <c r="J1819" s="20">
        <f>Разбивка_по_щитам!M1824</f>
      </c>
      <c r="K1819" s="20">
        <f>Разбивка_по_щитам!N1824</f>
      </c>
      <c r="L1819" s="20"/>
      <c r="M1819" s="20">
        <f>Разбивка_по_щитам!P1824</f>
      </c>
      <c r="N1819" s="20"/>
    </row>
    <row r="1820" spans="2:14" x14ac:dyDescent="0.25">
      <c r="B1820" s="20">
        <f>Разбивка_по_щитам!B1825</f>
      </c>
      <c r="C1820" s="20">
        <f>Разбивка_по_щитам!C1825</f>
      </c>
      <c r="D1820" s="20">
        <f>Разбивка_по_щитам!F1825</f>
      </c>
      <c r="E1820" s="20">
        <f>Разбивка_по_щитам!H1825</f>
      </c>
      <c r="F1820" s="20">
        <f>Разбивка_по_щитам!I1825</f>
      </c>
      <c r="G1820" s="20">
        <f>Разбивка_по_щитам!J1825</f>
      </c>
      <c r="H1820" s="20">
        <f>Разбивка_по_щитам!K1825</f>
      </c>
      <c r="I1820" s="20">
        <f>Разбивка_по_щитам!L1825</f>
      </c>
      <c r="J1820" s="20">
        <f>Разбивка_по_щитам!M1825</f>
      </c>
      <c r="K1820" s="20">
        <f>Разбивка_по_щитам!N1825</f>
      </c>
      <c r="L1820" s="20"/>
      <c r="M1820" s="20">
        <f>Разбивка_по_щитам!P1825</f>
      </c>
      <c r="N1820" s="20"/>
    </row>
    <row r="1821" spans="2:14" x14ac:dyDescent="0.25">
      <c r="B1821" s="20">
        <f>Разбивка_по_щитам!B1826</f>
      </c>
      <c r="C1821" s="20">
        <f>Разбивка_по_щитам!C1826</f>
      </c>
      <c r="D1821" s="20">
        <f>Разбивка_по_щитам!F1826</f>
      </c>
      <c r="E1821" s="20">
        <f>Разбивка_по_щитам!H1826</f>
      </c>
      <c r="F1821" s="20">
        <f>Разбивка_по_щитам!I1826</f>
      </c>
      <c r="G1821" s="20">
        <f>Разбивка_по_щитам!J1826</f>
      </c>
      <c r="H1821" s="20">
        <f>Разбивка_по_щитам!K1826</f>
      </c>
      <c r="I1821" s="20">
        <f>Разбивка_по_щитам!L1826</f>
      </c>
      <c r="J1821" s="20">
        <f>Разбивка_по_щитам!M1826</f>
      </c>
      <c r="K1821" s="20">
        <f>Разбивка_по_щитам!N1826</f>
      </c>
      <c r="L1821" s="20"/>
      <c r="M1821" s="20">
        <f>Разбивка_по_щитам!P1826</f>
      </c>
      <c r="N1821" s="20"/>
    </row>
    <row r="1822" spans="2:14" x14ac:dyDescent="0.25">
      <c r="B1822" s="20">
        <f>Разбивка_по_щитам!B1827</f>
      </c>
      <c r="C1822" s="20">
        <f>Разбивка_по_щитам!C1827</f>
      </c>
      <c r="D1822" s="20">
        <f>Разбивка_по_щитам!F1827</f>
      </c>
      <c r="E1822" s="20">
        <f>Разбивка_по_щитам!H1827</f>
      </c>
      <c r="F1822" s="20">
        <f>Разбивка_по_щитам!I1827</f>
      </c>
      <c r="G1822" s="20">
        <f>Разбивка_по_щитам!J1827</f>
      </c>
      <c r="H1822" s="20">
        <f>Разбивка_по_щитам!K1827</f>
      </c>
      <c r="I1822" s="20">
        <f>Разбивка_по_щитам!L1827</f>
      </c>
      <c r="J1822" s="20">
        <f>Разбивка_по_щитам!M1827</f>
      </c>
      <c r="K1822" s="20">
        <f>Разбивка_по_щитам!N1827</f>
      </c>
      <c r="L1822" s="20"/>
      <c r="M1822" s="20">
        <f>Разбивка_по_щитам!P1827</f>
      </c>
      <c r="N1822" s="20"/>
    </row>
    <row r="1823" spans="2:14" x14ac:dyDescent="0.25">
      <c r="B1823" s="20">
        <f>Разбивка_по_щитам!B1828</f>
      </c>
      <c r="C1823" s="20">
        <f>Разбивка_по_щитам!C1828</f>
      </c>
      <c r="D1823" s="20">
        <f>Разбивка_по_щитам!F1828</f>
      </c>
      <c r="E1823" s="20">
        <f>Разбивка_по_щитам!H1828</f>
      </c>
      <c r="F1823" s="20">
        <f>Разбивка_по_щитам!I1828</f>
      </c>
      <c r="G1823" s="20">
        <f>Разбивка_по_щитам!J1828</f>
      </c>
      <c r="H1823" s="20">
        <f>Разбивка_по_щитам!K1828</f>
      </c>
      <c r="I1823" s="20">
        <f>Разбивка_по_щитам!L1828</f>
      </c>
      <c r="J1823" s="20">
        <f>Разбивка_по_щитам!M1828</f>
      </c>
      <c r="K1823" s="20">
        <f>Разбивка_по_щитам!N1828</f>
      </c>
      <c r="L1823" s="20"/>
      <c r="M1823" s="20">
        <f>Разбивка_по_щитам!P1828</f>
      </c>
      <c r="N1823" s="20"/>
    </row>
    <row r="1824" spans="2:14" x14ac:dyDescent="0.25">
      <c r="B1824" s="20">
        <f>Разбивка_по_щитам!B1829</f>
      </c>
      <c r="C1824" s="20">
        <f>Разбивка_по_щитам!C1829</f>
      </c>
      <c r="D1824" s="20">
        <f>Разбивка_по_щитам!F1829</f>
      </c>
      <c r="E1824" s="20">
        <f>Разбивка_по_щитам!H1829</f>
      </c>
      <c r="F1824" s="20">
        <f>Разбивка_по_щитам!I1829</f>
      </c>
      <c r="G1824" s="20">
        <f>Разбивка_по_щитам!J1829</f>
      </c>
      <c r="H1824" s="20">
        <f>Разбивка_по_щитам!K1829</f>
      </c>
      <c r="I1824" s="20">
        <f>Разбивка_по_щитам!L1829</f>
      </c>
      <c r="J1824" s="20">
        <f>Разбивка_по_щитам!M1829</f>
      </c>
      <c r="K1824" s="20">
        <f>Разбивка_по_щитам!N1829</f>
      </c>
      <c r="L1824" s="20"/>
      <c r="M1824" s="20">
        <f>Разбивка_по_щитам!P1829</f>
      </c>
      <c r="N1824" s="20"/>
    </row>
    <row r="1825" spans="2:14" x14ac:dyDescent="0.25">
      <c r="B1825" s="20">
        <f>Разбивка_по_щитам!B1830</f>
      </c>
      <c r="C1825" s="20">
        <f>Разбивка_по_щитам!C1830</f>
      </c>
      <c r="D1825" s="20">
        <f>Разбивка_по_щитам!F1830</f>
      </c>
      <c r="E1825" s="20">
        <f>Разбивка_по_щитам!H1830</f>
      </c>
      <c r="F1825" s="20">
        <f>Разбивка_по_щитам!I1830</f>
      </c>
      <c r="G1825" s="20">
        <f>Разбивка_по_щитам!J1830</f>
      </c>
      <c r="H1825" s="20">
        <f>Разбивка_по_щитам!K1830</f>
      </c>
      <c r="I1825" s="20">
        <f>Разбивка_по_щитам!L1830</f>
      </c>
      <c r="J1825" s="20">
        <f>Разбивка_по_щитам!M1830</f>
      </c>
      <c r="K1825" s="20">
        <f>Разбивка_по_щитам!N1830</f>
      </c>
      <c r="L1825" s="20"/>
      <c r="M1825" s="20">
        <f>Разбивка_по_щитам!P1830</f>
      </c>
      <c r="N1825" s="20"/>
    </row>
    <row r="1826" spans="2:14" x14ac:dyDescent="0.25">
      <c r="B1826" s="20">
        <f>Разбивка_по_щитам!B1831</f>
      </c>
      <c r="C1826" s="20">
        <f>Разбивка_по_щитам!C1831</f>
      </c>
      <c r="D1826" s="20">
        <f>Разбивка_по_щитам!F1831</f>
      </c>
      <c r="E1826" s="20">
        <f>Разбивка_по_щитам!H1831</f>
      </c>
      <c r="F1826" s="20">
        <f>Разбивка_по_щитам!I1831</f>
      </c>
      <c r="G1826" s="20">
        <f>Разбивка_по_щитам!J1831</f>
      </c>
      <c r="H1826" s="20">
        <f>Разбивка_по_щитам!K1831</f>
      </c>
      <c r="I1826" s="20">
        <f>Разбивка_по_щитам!L1831</f>
      </c>
      <c r="J1826" s="20">
        <f>Разбивка_по_щитам!M1831</f>
      </c>
      <c r="K1826" s="20">
        <f>Разбивка_по_щитам!N1831</f>
      </c>
      <c r="L1826" s="20"/>
      <c r="M1826" s="20">
        <f>Разбивка_по_щитам!P1831</f>
      </c>
      <c r="N1826" s="20"/>
    </row>
    <row r="1827" spans="2:14" x14ac:dyDescent="0.25">
      <c r="B1827" s="20">
        <f>Разбивка_по_щитам!B1832</f>
      </c>
      <c r="C1827" s="20">
        <f>Разбивка_по_щитам!C1832</f>
      </c>
      <c r="D1827" s="20">
        <f>Разбивка_по_щитам!F1832</f>
      </c>
      <c r="E1827" s="20">
        <f>Разбивка_по_щитам!H1832</f>
      </c>
      <c r="F1827" s="20">
        <f>Разбивка_по_щитам!I1832</f>
      </c>
      <c r="G1827" s="20">
        <f>Разбивка_по_щитам!J1832</f>
      </c>
      <c r="H1827" s="20">
        <f>Разбивка_по_щитам!K1832</f>
      </c>
      <c r="I1827" s="20">
        <f>Разбивка_по_щитам!L1832</f>
      </c>
      <c r="J1827" s="20">
        <f>Разбивка_по_щитам!M1832</f>
      </c>
      <c r="K1827" s="20">
        <f>Разбивка_по_щитам!N1832</f>
      </c>
      <c r="L1827" s="20"/>
      <c r="M1827" s="20">
        <f>Разбивка_по_щитам!P1832</f>
      </c>
      <c r="N1827" s="20"/>
    </row>
    <row r="1828" spans="2:14" x14ac:dyDescent="0.25">
      <c r="B1828" s="20">
        <f>Разбивка_по_щитам!B1833</f>
      </c>
      <c r="C1828" s="20">
        <f>Разбивка_по_щитам!C1833</f>
      </c>
      <c r="D1828" s="20">
        <f>Разбивка_по_щитам!F1833</f>
      </c>
      <c r="E1828" s="20">
        <f>Разбивка_по_щитам!H1833</f>
      </c>
      <c r="F1828" s="20">
        <f>Разбивка_по_щитам!I1833</f>
      </c>
      <c r="G1828" s="20">
        <f>Разбивка_по_щитам!J1833</f>
      </c>
      <c r="H1828" s="20">
        <f>Разбивка_по_щитам!K1833</f>
      </c>
      <c r="I1828" s="20">
        <f>Разбивка_по_щитам!L1833</f>
      </c>
      <c r="J1828" s="20">
        <f>Разбивка_по_щитам!M1833</f>
      </c>
      <c r="K1828" s="20">
        <f>Разбивка_по_щитам!N1833</f>
      </c>
      <c r="L1828" s="20"/>
      <c r="M1828" s="20">
        <f>Разбивка_по_щитам!P1833</f>
      </c>
      <c r="N1828" s="20"/>
    </row>
    <row r="1829" spans="2:14" x14ac:dyDescent="0.25">
      <c r="B1829" s="20">
        <f>Разбивка_по_щитам!B1834</f>
      </c>
      <c r="C1829" s="20">
        <f>Разбивка_по_щитам!C1834</f>
      </c>
      <c r="D1829" s="20">
        <f>Разбивка_по_щитам!F1834</f>
      </c>
      <c r="E1829" s="20">
        <f>Разбивка_по_щитам!H1834</f>
      </c>
      <c r="F1829" s="20">
        <f>Разбивка_по_щитам!I1834</f>
      </c>
      <c r="G1829" s="20">
        <f>Разбивка_по_щитам!J1834</f>
      </c>
      <c r="H1829" s="20">
        <f>Разбивка_по_щитам!K1834</f>
      </c>
      <c r="I1829" s="20">
        <f>Разбивка_по_щитам!L1834</f>
      </c>
      <c r="J1829" s="20">
        <f>Разбивка_по_щитам!M1834</f>
      </c>
      <c r="K1829" s="20">
        <f>Разбивка_по_щитам!N1834</f>
      </c>
      <c r="L1829" s="20"/>
      <c r="M1829" s="20">
        <f>Разбивка_по_щитам!P1834</f>
      </c>
      <c r="N1829" s="20"/>
    </row>
    <row r="1830" spans="2:14" x14ac:dyDescent="0.25">
      <c r="B1830" s="20">
        <f>Разбивка_по_щитам!B1835</f>
      </c>
      <c r="C1830" s="20">
        <f>Разбивка_по_щитам!C1835</f>
      </c>
      <c r="D1830" s="20">
        <f>Разбивка_по_щитам!F1835</f>
      </c>
      <c r="E1830" s="20">
        <f>Разбивка_по_щитам!H1835</f>
      </c>
      <c r="F1830" s="20">
        <f>Разбивка_по_щитам!I1835</f>
      </c>
      <c r="G1830" s="20">
        <f>Разбивка_по_щитам!J1835</f>
      </c>
      <c r="H1830" s="20">
        <f>Разбивка_по_щитам!K1835</f>
      </c>
      <c r="I1830" s="20">
        <f>Разбивка_по_щитам!L1835</f>
      </c>
      <c r="J1830" s="20">
        <f>Разбивка_по_щитам!M1835</f>
      </c>
      <c r="K1830" s="20">
        <f>Разбивка_по_щитам!N1835</f>
      </c>
      <c r="L1830" s="20"/>
      <c r="M1830" s="20">
        <f>Разбивка_по_щитам!P1835</f>
      </c>
      <c r="N1830" s="20"/>
    </row>
    <row r="1831" spans="2:14" x14ac:dyDescent="0.25">
      <c r="B1831" s="20">
        <f>Разбивка_по_щитам!B1836</f>
      </c>
      <c r="C1831" s="20">
        <f>Разбивка_по_щитам!C1836</f>
      </c>
      <c r="D1831" s="20">
        <f>Разбивка_по_щитам!F1836</f>
      </c>
      <c r="E1831" s="20">
        <f>Разбивка_по_щитам!H1836</f>
      </c>
      <c r="F1831" s="20">
        <f>Разбивка_по_щитам!I1836</f>
      </c>
      <c r="G1831" s="20">
        <f>Разбивка_по_щитам!J1836</f>
      </c>
      <c r="H1831" s="20">
        <f>Разбивка_по_щитам!K1836</f>
      </c>
      <c r="I1831" s="20">
        <f>Разбивка_по_щитам!L1836</f>
      </c>
      <c r="J1831" s="20">
        <f>Разбивка_по_щитам!M1836</f>
      </c>
      <c r="K1831" s="20">
        <f>Разбивка_по_щитам!N1836</f>
      </c>
      <c r="L1831" s="20"/>
      <c r="M1831" s="20">
        <f>Разбивка_по_щитам!P1836</f>
      </c>
      <c r="N1831" s="20"/>
    </row>
    <row r="1832" spans="2:14" x14ac:dyDescent="0.25">
      <c r="B1832" s="20">
        <f>Разбивка_по_щитам!B1837</f>
      </c>
      <c r="C1832" s="20">
        <f>Разбивка_по_щитам!C1837</f>
      </c>
      <c r="D1832" s="20">
        <f>Разбивка_по_щитам!F1837</f>
      </c>
      <c r="E1832" s="20">
        <f>Разбивка_по_щитам!H1837</f>
      </c>
      <c r="F1832" s="20">
        <f>Разбивка_по_щитам!I1837</f>
      </c>
      <c r="G1832" s="20">
        <f>Разбивка_по_щитам!J1837</f>
      </c>
      <c r="H1832" s="20">
        <f>Разбивка_по_щитам!K1837</f>
      </c>
      <c r="I1832" s="20">
        <f>Разбивка_по_щитам!L1837</f>
      </c>
      <c r="J1832" s="20">
        <f>Разбивка_по_щитам!M1837</f>
      </c>
      <c r="K1832" s="20">
        <f>Разбивка_по_щитам!N1837</f>
      </c>
      <c r="L1832" s="20"/>
      <c r="M1832" s="20">
        <f>Разбивка_по_щитам!P1837</f>
      </c>
      <c r="N1832" s="20"/>
    </row>
    <row r="1833" spans="2:14" x14ac:dyDescent="0.25">
      <c r="B1833" s="20">
        <f>Разбивка_по_щитам!B1838</f>
      </c>
      <c r="C1833" s="20">
        <f>Разбивка_по_щитам!C1838</f>
      </c>
      <c r="D1833" s="20">
        <f>Разбивка_по_щитам!F1838</f>
      </c>
      <c r="E1833" s="20">
        <f>Разбивка_по_щитам!H1838</f>
      </c>
      <c r="F1833" s="20">
        <f>Разбивка_по_щитам!I1838</f>
      </c>
      <c r="G1833" s="20">
        <f>Разбивка_по_щитам!J1838</f>
      </c>
      <c r="H1833" s="20">
        <f>Разбивка_по_щитам!K1838</f>
      </c>
      <c r="I1833" s="20">
        <f>Разбивка_по_щитам!L1838</f>
      </c>
      <c r="J1833" s="20">
        <f>Разбивка_по_щитам!M1838</f>
      </c>
      <c r="K1833" s="20">
        <f>Разбивка_по_щитам!N1838</f>
      </c>
      <c r="L1833" s="20"/>
      <c r="M1833" s="20">
        <f>Разбивка_по_щитам!P1838</f>
      </c>
      <c r="N1833" s="20"/>
    </row>
    <row r="1834" spans="2:14" x14ac:dyDescent="0.25">
      <c r="B1834" s="20">
        <f>Разбивка_по_щитам!B1839</f>
      </c>
      <c r="C1834" s="20">
        <f>Разбивка_по_щитам!C1839</f>
      </c>
      <c r="D1834" s="20">
        <f>Разбивка_по_щитам!F1839</f>
      </c>
      <c r="E1834" s="20">
        <f>Разбивка_по_щитам!H1839</f>
      </c>
      <c r="F1834" s="20">
        <f>Разбивка_по_щитам!I1839</f>
      </c>
      <c r="G1834" s="20">
        <f>Разбивка_по_щитам!J1839</f>
      </c>
      <c r="H1834" s="20">
        <f>Разбивка_по_щитам!K1839</f>
      </c>
      <c r="I1834" s="20">
        <f>Разбивка_по_щитам!L1839</f>
      </c>
      <c r="J1834" s="20">
        <f>Разбивка_по_щитам!M1839</f>
      </c>
      <c r="K1834" s="20">
        <f>Разбивка_по_щитам!N1839</f>
      </c>
      <c r="L1834" s="20"/>
      <c r="M1834" s="20">
        <f>Разбивка_по_щитам!P1839</f>
      </c>
      <c r="N1834" s="20"/>
    </row>
    <row r="1835" spans="2:14" x14ac:dyDescent="0.25">
      <c r="B1835" s="20">
        <f>Разбивка_по_щитам!B1840</f>
      </c>
      <c r="C1835" s="20">
        <f>Разбивка_по_щитам!C1840</f>
      </c>
      <c r="D1835" s="20">
        <f>Разбивка_по_щитам!F1840</f>
      </c>
      <c r="E1835" s="20">
        <f>Разбивка_по_щитам!H1840</f>
      </c>
      <c r="F1835" s="20">
        <f>Разбивка_по_щитам!I1840</f>
      </c>
      <c r="G1835" s="20">
        <f>Разбивка_по_щитам!J1840</f>
      </c>
      <c r="H1835" s="20">
        <f>Разбивка_по_щитам!K1840</f>
      </c>
      <c r="I1835" s="20">
        <f>Разбивка_по_щитам!L1840</f>
      </c>
      <c r="J1835" s="20">
        <f>Разбивка_по_щитам!M1840</f>
      </c>
      <c r="K1835" s="20">
        <f>Разбивка_по_щитам!N1840</f>
      </c>
      <c r="L1835" s="20"/>
      <c r="M1835" s="20">
        <f>Разбивка_по_щитам!P1840</f>
      </c>
      <c r="N1835" s="20"/>
    </row>
    <row r="1836" spans="2:14" x14ac:dyDescent="0.25">
      <c r="B1836" s="20">
        <f>Разбивка_по_щитам!B1841</f>
      </c>
      <c r="C1836" s="20">
        <f>Разбивка_по_щитам!C1841</f>
      </c>
      <c r="D1836" s="20">
        <f>Разбивка_по_щитам!F1841</f>
      </c>
      <c r="E1836" s="20">
        <f>Разбивка_по_щитам!H1841</f>
      </c>
      <c r="F1836" s="20">
        <f>Разбивка_по_щитам!I1841</f>
      </c>
      <c r="G1836" s="20">
        <f>Разбивка_по_щитам!J1841</f>
      </c>
      <c r="H1836" s="20">
        <f>Разбивка_по_щитам!K1841</f>
      </c>
      <c r="I1836" s="20">
        <f>Разбивка_по_щитам!L1841</f>
      </c>
      <c r="J1836" s="20">
        <f>Разбивка_по_щитам!M1841</f>
      </c>
      <c r="K1836" s="20">
        <f>Разбивка_по_щитам!N1841</f>
      </c>
      <c r="L1836" s="20"/>
      <c r="M1836" s="20">
        <f>Разбивка_по_щитам!P1841</f>
      </c>
      <c r="N1836" s="20"/>
    </row>
    <row r="1837" spans="2:14" x14ac:dyDescent="0.25">
      <c r="B1837" s="20">
        <f>Разбивка_по_щитам!B1842</f>
      </c>
      <c r="C1837" s="20">
        <f>Разбивка_по_щитам!C1842</f>
      </c>
      <c r="D1837" s="20">
        <f>Разбивка_по_щитам!F1842</f>
      </c>
      <c r="E1837" s="20">
        <f>Разбивка_по_щитам!H1842</f>
      </c>
      <c r="F1837" s="20">
        <f>Разбивка_по_щитам!I1842</f>
      </c>
      <c r="G1837" s="20">
        <f>Разбивка_по_щитам!J1842</f>
      </c>
      <c r="H1837" s="20">
        <f>Разбивка_по_щитам!K1842</f>
      </c>
      <c r="I1837" s="20">
        <f>Разбивка_по_щитам!L1842</f>
      </c>
      <c r="J1837" s="20">
        <f>Разбивка_по_щитам!M1842</f>
      </c>
      <c r="K1837" s="20">
        <f>Разбивка_по_щитам!N1842</f>
      </c>
      <c r="L1837" s="20"/>
      <c r="M1837" s="20">
        <f>Разбивка_по_щитам!P1842</f>
      </c>
      <c r="N1837" s="20"/>
    </row>
    <row r="1838" spans="2:14" x14ac:dyDescent="0.25">
      <c r="B1838" s="20">
        <f>Разбивка_по_щитам!B1843</f>
      </c>
      <c r="C1838" s="20">
        <f>Разбивка_по_щитам!C1843</f>
      </c>
      <c r="D1838" s="20">
        <f>Разбивка_по_щитам!F1843</f>
      </c>
      <c r="E1838" s="20">
        <f>Разбивка_по_щитам!H1843</f>
      </c>
      <c r="F1838" s="20">
        <f>Разбивка_по_щитам!I1843</f>
      </c>
      <c r="G1838" s="20">
        <f>Разбивка_по_щитам!J1843</f>
      </c>
      <c r="H1838" s="20">
        <f>Разбивка_по_щитам!K1843</f>
      </c>
      <c r="I1838" s="20">
        <f>Разбивка_по_щитам!L1843</f>
      </c>
      <c r="J1838" s="20">
        <f>Разбивка_по_щитам!M1843</f>
      </c>
      <c r="K1838" s="20">
        <f>Разбивка_по_щитам!N1843</f>
      </c>
      <c r="L1838" s="20"/>
      <c r="M1838" s="20">
        <f>Разбивка_по_щитам!P1843</f>
      </c>
      <c r="N1838" s="20"/>
    </row>
    <row r="1839" spans="2:14" x14ac:dyDescent="0.25">
      <c r="B1839" s="20">
        <f>Разбивка_по_щитам!B1844</f>
      </c>
      <c r="C1839" s="20">
        <f>Разбивка_по_щитам!C1844</f>
      </c>
      <c r="D1839" s="20">
        <f>Разбивка_по_щитам!F1844</f>
      </c>
      <c r="E1839" s="20">
        <f>Разбивка_по_щитам!H1844</f>
      </c>
      <c r="F1839" s="20">
        <f>Разбивка_по_щитам!I1844</f>
      </c>
      <c r="G1839" s="20">
        <f>Разбивка_по_щитам!J1844</f>
      </c>
      <c r="H1839" s="20">
        <f>Разбивка_по_щитам!K1844</f>
      </c>
      <c r="I1839" s="20">
        <f>Разбивка_по_щитам!L1844</f>
      </c>
      <c r="J1839" s="20">
        <f>Разбивка_по_щитам!M1844</f>
      </c>
      <c r="K1839" s="20">
        <f>Разбивка_по_щитам!N1844</f>
      </c>
      <c r="L1839" s="20"/>
      <c r="M1839" s="20">
        <f>Разбивка_по_щитам!P1844</f>
      </c>
      <c r="N1839" s="20"/>
    </row>
    <row r="1840" spans="2:14" x14ac:dyDescent="0.25">
      <c r="B1840" s="20">
        <f>Разбивка_по_щитам!B1845</f>
      </c>
      <c r="C1840" s="20">
        <f>Разбивка_по_щитам!C1845</f>
      </c>
      <c r="D1840" s="20">
        <f>Разбивка_по_щитам!F1845</f>
      </c>
      <c r="E1840" s="20">
        <f>Разбивка_по_щитам!H1845</f>
      </c>
      <c r="F1840" s="20">
        <f>Разбивка_по_щитам!I1845</f>
      </c>
      <c r="G1840" s="20">
        <f>Разбивка_по_щитам!J1845</f>
      </c>
      <c r="H1840" s="20">
        <f>Разбивка_по_щитам!K1845</f>
      </c>
      <c r="I1840" s="20">
        <f>Разбивка_по_щитам!L1845</f>
      </c>
      <c r="J1840" s="20">
        <f>Разбивка_по_щитам!M1845</f>
      </c>
      <c r="K1840" s="20">
        <f>Разбивка_по_щитам!N1845</f>
      </c>
      <c r="L1840" s="20"/>
      <c r="M1840" s="20">
        <f>Разбивка_по_щитам!P1845</f>
      </c>
      <c r="N1840" s="20"/>
    </row>
    <row r="1841" spans="2:14" x14ac:dyDescent="0.25">
      <c r="B1841" s="20">
        <f>Разбивка_по_щитам!B1846</f>
      </c>
      <c r="C1841" s="20">
        <f>Разбивка_по_щитам!C1846</f>
      </c>
      <c r="D1841" s="20">
        <f>Разбивка_по_щитам!F1846</f>
      </c>
      <c r="E1841" s="20">
        <f>Разбивка_по_щитам!H1846</f>
      </c>
      <c r="F1841" s="20">
        <f>Разбивка_по_щитам!I1846</f>
      </c>
      <c r="G1841" s="20">
        <f>Разбивка_по_щитам!J1846</f>
      </c>
      <c r="H1841" s="20">
        <f>Разбивка_по_щитам!K1846</f>
      </c>
      <c r="I1841" s="20">
        <f>Разбивка_по_щитам!L1846</f>
      </c>
      <c r="J1841" s="20">
        <f>Разбивка_по_щитам!M1846</f>
      </c>
      <c r="K1841" s="20">
        <f>Разбивка_по_щитам!N1846</f>
      </c>
      <c r="L1841" s="20"/>
      <c r="M1841" s="20">
        <f>Разбивка_по_щитам!P1846</f>
      </c>
      <c r="N1841" s="20"/>
    </row>
    <row r="1842" spans="2:14" x14ac:dyDescent="0.25">
      <c r="B1842" s="20">
        <f>Разбивка_по_щитам!B1847</f>
      </c>
      <c r="C1842" s="20">
        <f>Разбивка_по_щитам!C1847</f>
      </c>
      <c r="D1842" s="20">
        <f>Разбивка_по_щитам!F1847</f>
      </c>
      <c r="E1842" s="20">
        <f>Разбивка_по_щитам!H1847</f>
      </c>
      <c r="F1842" s="20">
        <f>Разбивка_по_щитам!I1847</f>
      </c>
      <c r="G1842" s="20">
        <f>Разбивка_по_щитам!J1847</f>
      </c>
      <c r="H1842" s="20">
        <f>Разбивка_по_щитам!K1847</f>
      </c>
      <c r="I1842" s="20">
        <f>Разбивка_по_щитам!L1847</f>
      </c>
      <c r="J1842" s="20">
        <f>Разбивка_по_щитам!M1847</f>
      </c>
      <c r="K1842" s="20">
        <f>Разбивка_по_щитам!N1847</f>
      </c>
      <c r="L1842" s="20"/>
      <c r="M1842" s="20">
        <f>Разбивка_по_щитам!P1847</f>
      </c>
      <c r="N1842" s="20"/>
    </row>
    <row r="1843" spans="2:14" x14ac:dyDescent="0.25">
      <c r="B1843" s="20">
        <f>Разбивка_по_щитам!B1848</f>
      </c>
      <c r="C1843" s="20">
        <f>Разбивка_по_щитам!C1848</f>
      </c>
      <c r="D1843" s="20">
        <f>Разбивка_по_щитам!F1848</f>
      </c>
      <c r="E1843" s="20">
        <f>Разбивка_по_щитам!H1848</f>
      </c>
      <c r="F1843" s="20">
        <f>Разбивка_по_щитам!I1848</f>
      </c>
      <c r="G1843" s="20">
        <f>Разбивка_по_щитам!J1848</f>
      </c>
      <c r="H1843" s="20">
        <f>Разбивка_по_щитам!K1848</f>
      </c>
      <c r="I1843" s="20">
        <f>Разбивка_по_щитам!L1848</f>
      </c>
      <c r="J1843" s="20">
        <f>Разбивка_по_щитам!M1848</f>
      </c>
      <c r="K1843" s="20">
        <f>Разбивка_по_щитам!N1848</f>
      </c>
      <c r="L1843" s="20"/>
      <c r="M1843" s="20">
        <f>Разбивка_по_щитам!P1848</f>
      </c>
      <c r="N1843" s="20"/>
    </row>
    <row r="1844" spans="2:14" x14ac:dyDescent="0.25">
      <c r="B1844" s="20">
        <f>Разбивка_по_щитам!B1849</f>
      </c>
      <c r="C1844" s="20">
        <f>Разбивка_по_щитам!C1849</f>
      </c>
      <c r="D1844" s="20">
        <f>Разбивка_по_щитам!F1849</f>
      </c>
      <c r="E1844" s="20">
        <f>Разбивка_по_щитам!H1849</f>
      </c>
      <c r="F1844" s="20">
        <f>Разбивка_по_щитам!I1849</f>
      </c>
      <c r="G1844" s="20">
        <f>Разбивка_по_щитам!J1849</f>
      </c>
      <c r="H1844" s="20">
        <f>Разбивка_по_щитам!K1849</f>
      </c>
      <c r="I1844" s="20">
        <f>Разбивка_по_щитам!L1849</f>
      </c>
      <c r="J1844" s="20">
        <f>Разбивка_по_щитам!M1849</f>
      </c>
      <c r="K1844" s="20">
        <f>Разбивка_по_щитам!N1849</f>
      </c>
      <c r="L1844" s="20"/>
      <c r="M1844" s="20">
        <f>Разбивка_по_щитам!P1849</f>
      </c>
      <c r="N1844" s="20"/>
    </row>
    <row r="1845" spans="2:14" x14ac:dyDescent="0.25">
      <c r="B1845" s="20">
        <f>Разбивка_по_щитам!B1850</f>
      </c>
      <c r="C1845" s="20">
        <f>Разбивка_по_щитам!C1850</f>
      </c>
      <c r="D1845" s="20">
        <f>Разбивка_по_щитам!F1850</f>
      </c>
      <c r="E1845" s="20">
        <f>Разбивка_по_щитам!H1850</f>
      </c>
      <c r="F1845" s="20">
        <f>Разбивка_по_щитам!I1850</f>
      </c>
      <c r="G1845" s="20">
        <f>Разбивка_по_щитам!J1850</f>
      </c>
      <c r="H1845" s="20">
        <f>Разбивка_по_щитам!K1850</f>
      </c>
      <c r="I1845" s="20">
        <f>Разбивка_по_щитам!L1850</f>
      </c>
      <c r="J1845" s="20">
        <f>Разбивка_по_щитам!M1850</f>
      </c>
      <c r="K1845" s="20">
        <f>Разбивка_по_щитам!N1850</f>
      </c>
      <c r="L1845" s="20"/>
      <c r="M1845" s="20">
        <f>Разбивка_по_щитам!P1850</f>
      </c>
      <c r="N1845" s="20"/>
    </row>
    <row r="1846" spans="2:14" x14ac:dyDescent="0.25">
      <c r="B1846" s="20">
        <f>Разбивка_по_щитам!B1851</f>
      </c>
      <c r="C1846" s="20">
        <f>Разбивка_по_щитам!C1851</f>
      </c>
      <c r="D1846" s="20">
        <f>Разбивка_по_щитам!F1851</f>
      </c>
      <c r="E1846" s="20">
        <f>Разбивка_по_щитам!H1851</f>
      </c>
      <c r="F1846" s="20">
        <f>Разбивка_по_щитам!I1851</f>
      </c>
      <c r="G1846" s="20">
        <f>Разбивка_по_щитам!J1851</f>
      </c>
      <c r="H1846" s="20">
        <f>Разбивка_по_щитам!K1851</f>
      </c>
      <c r="I1846" s="20">
        <f>Разбивка_по_щитам!L1851</f>
      </c>
      <c r="J1846" s="20">
        <f>Разбивка_по_щитам!M1851</f>
      </c>
      <c r="K1846" s="20">
        <f>Разбивка_по_щитам!N1851</f>
      </c>
      <c r="L1846" s="20"/>
      <c r="M1846" s="20">
        <f>Разбивка_по_щитам!P1851</f>
      </c>
      <c r="N1846" s="20"/>
    </row>
    <row r="1847" spans="2:14" x14ac:dyDescent="0.25">
      <c r="B1847" s="20">
        <f>Разбивка_по_щитам!B1852</f>
      </c>
      <c r="C1847" s="20">
        <f>Разбивка_по_щитам!C1852</f>
      </c>
      <c r="D1847" s="20">
        <f>Разбивка_по_щитам!F1852</f>
      </c>
      <c r="E1847" s="20">
        <f>Разбивка_по_щитам!H1852</f>
      </c>
      <c r="F1847" s="20">
        <f>Разбивка_по_щитам!I1852</f>
      </c>
      <c r="G1847" s="20">
        <f>Разбивка_по_щитам!J1852</f>
      </c>
      <c r="H1847" s="20">
        <f>Разбивка_по_щитам!K1852</f>
      </c>
      <c r="I1847" s="20">
        <f>Разбивка_по_щитам!L1852</f>
      </c>
      <c r="J1847" s="20">
        <f>Разбивка_по_щитам!M1852</f>
      </c>
      <c r="K1847" s="20">
        <f>Разбивка_по_щитам!N1852</f>
      </c>
      <c r="L1847" s="20"/>
      <c r="M1847" s="20">
        <f>Разбивка_по_щитам!P1852</f>
      </c>
      <c r="N1847" s="20"/>
    </row>
    <row r="1848" spans="2:14" x14ac:dyDescent="0.25">
      <c r="B1848" s="20">
        <f>Разбивка_по_щитам!B1853</f>
      </c>
      <c r="C1848" s="20">
        <f>Разбивка_по_щитам!C1853</f>
      </c>
      <c r="D1848" s="20">
        <f>Разбивка_по_щитам!F1853</f>
      </c>
      <c r="E1848" s="20">
        <f>Разбивка_по_щитам!H1853</f>
      </c>
      <c r="F1848" s="20">
        <f>Разбивка_по_щитам!I1853</f>
      </c>
      <c r="G1848" s="20">
        <f>Разбивка_по_щитам!J1853</f>
      </c>
      <c r="H1848" s="20">
        <f>Разбивка_по_щитам!K1853</f>
      </c>
      <c r="I1848" s="20">
        <f>Разбивка_по_щитам!L1853</f>
      </c>
      <c r="J1848" s="20">
        <f>Разбивка_по_щитам!M1853</f>
      </c>
      <c r="K1848" s="20">
        <f>Разбивка_по_щитам!N1853</f>
      </c>
      <c r="L1848" s="20"/>
      <c r="M1848" s="20">
        <f>Разбивка_по_щитам!P1853</f>
      </c>
      <c r="N1848" s="20"/>
    </row>
    <row r="1849" spans="2:14" x14ac:dyDescent="0.25">
      <c r="B1849" s="20">
        <f>Разбивка_по_щитам!B1854</f>
      </c>
      <c r="C1849" s="20">
        <f>Разбивка_по_щитам!C1854</f>
      </c>
      <c r="D1849" s="20">
        <f>Разбивка_по_щитам!F1854</f>
      </c>
      <c r="E1849" s="20">
        <f>Разбивка_по_щитам!H1854</f>
      </c>
      <c r="F1849" s="20">
        <f>Разбивка_по_щитам!I1854</f>
      </c>
      <c r="G1849" s="20">
        <f>Разбивка_по_щитам!J1854</f>
      </c>
      <c r="H1849" s="20">
        <f>Разбивка_по_щитам!K1854</f>
      </c>
      <c r="I1849" s="20">
        <f>Разбивка_по_щитам!L1854</f>
      </c>
      <c r="J1849" s="20">
        <f>Разбивка_по_щитам!M1854</f>
      </c>
      <c r="K1849" s="20">
        <f>Разбивка_по_щитам!N1854</f>
      </c>
      <c r="L1849" s="20"/>
      <c r="M1849" s="20">
        <f>Разбивка_по_щитам!P1854</f>
      </c>
      <c r="N1849" s="20"/>
    </row>
    <row r="1850" spans="2:14" x14ac:dyDescent="0.25">
      <c r="B1850" s="20">
        <f>Разбивка_по_щитам!B1855</f>
      </c>
      <c r="C1850" s="20">
        <f>Разбивка_по_щитам!C1855</f>
      </c>
      <c r="D1850" s="20">
        <f>Разбивка_по_щитам!F1855</f>
      </c>
      <c r="E1850" s="20">
        <f>Разбивка_по_щитам!H1855</f>
      </c>
      <c r="F1850" s="20">
        <f>Разбивка_по_щитам!I1855</f>
      </c>
      <c r="G1850" s="20">
        <f>Разбивка_по_щитам!J1855</f>
      </c>
      <c r="H1850" s="20">
        <f>Разбивка_по_щитам!K1855</f>
      </c>
      <c r="I1850" s="20">
        <f>Разбивка_по_щитам!L1855</f>
      </c>
      <c r="J1850" s="20">
        <f>Разбивка_по_щитам!M1855</f>
      </c>
      <c r="K1850" s="20">
        <f>Разбивка_по_щитам!N1855</f>
      </c>
      <c r="L1850" s="20"/>
      <c r="M1850" s="20">
        <f>Разбивка_по_щитам!P1855</f>
      </c>
      <c r="N1850" s="20"/>
    </row>
    <row r="1851" spans="2:14" x14ac:dyDescent="0.25">
      <c r="B1851" s="20">
        <f>Разбивка_по_щитам!B1856</f>
      </c>
      <c r="C1851" s="20">
        <f>Разбивка_по_щитам!C1856</f>
      </c>
      <c r="D1851" s="20">
        <f>Разбивка_по_щитам!F1856</f>
      </c>
      <c r="E1851" s="20">
        <f>Разбивка_по_щитам!H1856</f>
      </c>
      <c r="F1851" s="20">
        <f>Разбивка_по_щитам!I1856</f>
      </c>
      <c r="G1851" s="20">
        <f>Разбивка_по_щитам!J1856</f>
      </c>
      <c r="H1851" s="20">
        <f>Разбивка_по_щитам!K1856</f>
      </c>
      <c r="I1851" s="20">
        <f>Разбивка_по_щитам!L1856</f>
      </c>
      <c r="J1851" s="20">
        <f>Разбивка_по_щитам!M1856</f>
      </c>
      <c r="K1851" s="20">
        <f>Разбивка_по_щитам!N1856</f>
      </c>
      <c r="L1851" s="20"/>
      <c r="M1851" s="20">
        <f>Разбивка_по_щитам!P1856</f>
      </c>
      <c r="N1851" s="20"/>
    </row>
    <row r="1852" spans="2:14" x14ac:dyDescent="0.25">
      <c r="B1852" s="20">
        <f>Разбивка_по_щитам!B1857</f>
      </c>
      <c r="C1852" s="20">
        <f>Разбивка_по_щитам!C1857</f>
      </c>
      <c r="D1852" s="20">
        <f>Разбивка_по_щитам!F1857</f>
      </c>
      <c r="E1852" s="20">
        <f>Разбивка_по_щитам!H1857</f>
      </c>
      <c r="F1852" s="20">
        <f>Разбивка_по_щитам!I1857</f>
      </c>
      <c r="G1852" s="20">
        <f>Разбивка_по_щитам!J1857</f>
      </c>
      <c r="H1852" s="20">
        <f>Разбивка_по_щитам!K1857</f>
      </c>
      <c r="I1852" s="20">
        <f>Разбивка_по_щитам!L1857</f>
      </c>
      <c r="J1852" s="20">
        <f>Разбивка_по_щитам!M1857</f>
      </c>
      <c r="K1852" s="20">
        <f>Разбивка_по_щитам!N1857</f>
      </c>
      <c r="L1852" s="20"/>
      <c r="M1852" s="20">
        <f>Разбивка_по_щитам!P1857</f>
      </c>
      <c r="N1852" s="20"/>
    </row>
    <row r="1853" spans="2:14" x14ac:dyDescent="0.25">
      <c r="B1853" s="20">
        <f>Разбивка_по_щитам!B1858</f>
      </c>
      <c r="C1853" s="20">
        <f>Разбивка_по_щитам!C1858</f>
      </c>
      <c r="D1853" s="20">
        <f>Разбивка_по_щитам!F1858</f>
      </c>
      <c r="E1853" s="20">
        <f>Разбивка_по_щитам!H1858</f>
      </c>
      <c r="F1853" s="20">
        <f>Разбивка_по_щитам!I1858</f>
      </c>
      <c r="G1853" s="20">
        <f>Разбивка_по_щитам!J1858</f>
      </c>
      <c r="H1853" s="20">
        <f>Разбивка_по_щитам!K1858</f>
      </c>
      <c r="I1853" s="20">
        <f>Разбивка_по_щитам!L1858</f>
      </c>
      <c r="J1853" s="20">
        <f>Разбивка_по_щитам!M1858</f>
      </c>
      <c r="K1853" s="20">
        <f>Разбивка_по_щитам!N1858</f>
      </c>
      <c r="L1853" s="20"/>
      <c r="M1853" s="20">
        <f>Разбивка_по_щитам!P1858</f>
      </c>
      <c r="N1853" s="20"/>
    </row>
    <row r="1854" spans="2:14" x14ac:dyDescent="0.25">
      <c r="B1854" s="20">
        <f>Разбивка_по_щитам!B1859</f>
      </c>
      <c r="C1854" s="20">
        <f>Разбивка_по_щитам!C1859</f>
      </c>
      <c r="D1854" s="20">
        <f>Разбивка_по_щитам!F1859</f>
      </c>
      <c r="E1854" s="20">
        <f>Разбивка_по_щитам!H1859</f>
      </c>
      <c r="F1854" s="20">
        <f>Разбивка_по_щитам!I1859</f>
      </c>
      <c r="G1854" s="20">
        <f>Разбивка_по_щитам!J1859</f>
      </c>
      <c r="H1854" s="20">
        <f>Разбивка_по_щитам!K1859</f>
      </c>
      <c r="I1854" s="20">
        <f>Разбивка_по_щитам!L1859</f>
      </c>
      <c r="J1854" s="20">
        <f>Разбивка_по_щитам!M1859</f>
      </c>
      <c r="K1854" s="20">
        <f>Разбивка_по_щитам!N1859</f>
      </c>
      <c r="L1854" s="20"/>
      <c r="M1854" s="20">
        <f>Разбивка_по_щитам!P1859</f>
      </c>
      <c r="N1854" s="20"/>
    </row>
    <row r="1855" spans="2:14" x14ac:dyDescent="0.25">
      <c r="B1855" s="20">
        <f>Разбивка_по_щитам!B1860</f>
      </c>
      <c r="C1855" s="20">
        <f>Разбивка_по_щитам!C1860</f>
      </c>
      <c r="D1855" s="20">
        <f>Разбивка_по_щитам!F1860</f>
      </c>
      <c r="E1855" s="20">
        <f>Разбивка_по_щитам!H1860</f>
      </c>
      <c r="F1855" s="20">
        <f>Разбивка_по_щитам!I1860</f>
      </c>
      <c r="G1855" s="20">
        <f>Разбивка_по_щитам!J1860</f>
      </c>
      <c r="H1855" s="20">
        <f>Разбивка_по_щитам!K1860</f>
      </c>
      <c r="I1855" s="20">
        <f>Разбивка_по_щитам!L1860</f>
      </c>
      <c r="J1855" s="20">
        <f>Разбивка_по_щитам!M1860</f>
      </c>
      <c r="K1855" s="20">
        <f>Разбивка_по_щитам!N1860</f>
      </c>
      <c r="L1855" s="20"/>
      <c r="M1855" s="20">
        <f>Разбивка_по_щитам!P1860</f>
      </c>
      <c r="N1855" s="20"/>
    </row>
    <row r="1856" spans="2:14" x14ac:dyDescent="0.25">
      <c r="B1856" s="20">
        <f>Разбивка_по_щитам!B1861</f>
      </c>
      <c r="C1856" s="20">
        <f>Разбивка_по_щитам!C1861</f>
      </c>
      <c r="D1856" s="20">
        <f>Разбивка_по_щитам!F1861</f>
      </c>
      <c r="E1856" s="20">
        <f>Разбивка_по_щитам!H1861</f>
      </c>
      <c r="F1856" s="20">
        <f>Разбивка_по_щитам!I1861</f>
      </c>
      <c r="G1856" s="20">
        <f>Разбивка_по_щитам!J1861</f>
      </c>
      <c r="H1856" s="20">
        <f>Разбивка_по_щитам!K1861</f>
      </c>
      <c r="I1856" s="20">
        <f>Разбивка_по_щитам!L1861</f>
      </c>
      <c r="J1856" s="20">
        <f>Разбивка_по_щитам!M1861</f>
      </c>
      <c r="K1856" s="20">
        <f>Разбивка_по_щитам!N1861</f>
      </c>
      <c r="L1856" s="20"/>
      <c r="M1856" s="20">
        <f>Разбивка_по_щитам!P1861</f>
      </c>
      <c r="N1856" s="20"/>
    </row>
    <row r="1857" spans="2:14" x14ac:dyDescent="0.25">
      <c r="B1857" s="20">
        <f>Разбивка_по_щитам!B1862</f>
      </c>
      <c r="C1857" s="20">
        <f>Разбивка_по_щитам!C1862</f>
      </c>
      <c r="D1857" s="20">
        <f>Разбивка_по_щитам!F1862</f>
      </c>
      <c r="E1857" s="20">
        <f>Разбивка_по_щитам!H1862</f>
      </c>
      <c r="F1857" s="20">
        <f>Разбивка_по_щитам!I1862</f>
      </c>
      <c r="G1857" s="20">
        <f>Разбивка_по_щитам!J1862</f>
      </c>
      <c r="H1857" s="20">
        <f>Разбивка_по_щитам!K1862</f>
      </c>
      <c r="I1857" s="20">
        <f>Разбивка_по_щитам!L1862</f>
      </c>
      <c r="J1857" s="20">
        <f>Разбивка_по_щитам!M1862</f>
      </c>
      <c r="K1857" s="20">
        <f>Разбивка_по_щитам!N1862</f>
      </c>
      <c r="L1857" s="20"/>
      <c r="M1857" s="20">
        <f>Разбивка_по_щитам!P1862</f>
      </c>
      <c r="N1857" s="20"/>
    </row>
    <row r="1858" spans="2:14" x14ac:dyDescent="0.25">
      <c r="B1858" s="20">
        <f>Разбивка_по_щитам!B1863</f>
      </c>
      <c r="C1858" s="20">
        <f>Разбивка_по_щитам!C1863</f>
      </c>
      <c r="D1858" s="20">
        <f>Разбивка_по_щитам!F1863</f>
      </c>
      <c r="E1858" s="20">
        <f>Разбивка_по_щитам!H1863</f>
      </c>
      <c r="F1858" s="20">
        <f>Разбивка_по_щитам!I1863</f>
      </c>
      <c r="G1858" s="20">
        <f>Разбивка_по_щитам!J1863</f>
      </c>
      <c r="H1858" s="20">
        <f>Разбивка_по_щитам!K1863</f>
      </c>
      <c r="I1858" s="20">
        <f>Разбивка_по_щитам!L1863</f>
      </c>
      <c r="J1858" s="20">
        <f>Разбивка_по_щитам!M1863</f>
      </c>
      <c r="K1858" s="20">
        <f>Разбивка_по_щитам!N1863</f>
      </c>
      <c r="L1858" s="20"/>
      <c r="M1858" s="20">
        <f>Разбивка_по_щитам!P1863</f>
      </c>
      <c r="N1858" s="20"/>
    </row>
    <row r="1859" spans="2:14" x14ac:dyDescent="0.25">
      <c r="B1859" s="20">
        <f>Разбивка_по_щитам!B1864</f>
      </c>
      <c r="C1859" s="20">
        <f>Разбивка_по_щитам!C1864</f>
      </c>
      <c r="D1859" s="20">
        <f>Разбивка_по_щитам!F1864</f>
      </c>
      <c r="E1859" s="20">
        <f>Разбивка_по_щитам!H1864</f>
      </c>
      <c r="F1859" s="20">
        <f>Разбивка_по_щитам!I1864</f>
      </c>
      <c r="G1859" s="20">
        <f>Разбивка_по_щитам!J1864</f>
      </c>
      <c r="H1859" s="20">
        <f>Разбивка_по_щитам!K1864</f>
      </c>
      <c r="I1859" s="20">
        <f>Разбивка_по_щитам!L1864</f>
      </c>
      <c r="J1859" s="20">
        <f>Разбивка_по_щитам!M1864</f>
      </c>
      <c r="K1859" s="20">
        <f>Разбивка_по_щитам!N1864</f>
      </c>
      <c r="L1859" s="20"/>
      <c r="M1859" s="20">
        <f>Разбивка_по_щитам!P1864</f>
      </c>
      <c r="N1859" s="20"/>
    </row>
    <row r="1860" spans="2:14" x14ac:dyDescent="0.25">
      <c r="B1860" s="20">
        <f>Разбивка_по_щитам!B1865</f>
      </c>
      <c r="C1860" s="20">
        <f>Разбивка_по_щитам!C1865</f>
      </c>
      <c r="D1860" s="20">
        <f>Разбивка_по_щитам!F1865</f>
      </c>
      <c r="E1860" s="20">
        <f>Разбивка_по_щитам!H1865</f>
      </c>
      <c r="F1860" s="20">
        <f>Разбивка_по_щитам!I1865</f>
      </c>
      <c r="G1860" s="20">
        <f>Разбивка_по_щитам!J1865</f>
      </c>
      <c r="H1860" s="20">
        <f>Разбивка_по_щитам!K1865</f>
      </c>
      <c r="I1860" s="20">
        <f>Разбивка_по_щитам!L1865</f>
      </c>
      <c r="J1860" s="20">
        <f>Разбивка_по_щитам!M1865</f>
      </c>
      <c r="K1860" s="20">
        <f>Разбивка_по_щитам!N1865</f>
      </c>
      <c r="L1860" s="20"/>
      <c r="M1860" s="20">
        <f>Разбивка_по_щитам!P1865</f>
      </c>
      <c r="N1860" s="20"/>
    </row>
    <row r="1861" spans="2:14" x14ac:dyDescent="0.25">
      <c r="B1861" s="20">
        <f>Разбивка_по_щитам!B1866</f>
      </c>
      <c r="C1861" s="20">
        <f>Разбивка_по_щитам!C1866</f>
      </c>
      <c r="D1861" s="20">
        <f>Разбивка_по_щитам!F1866</f>
      </c>
      <c r="E1861" s="20">
        <f>Разбивка_по_щитам!H1866</f>
      </c>
      <c r="F1861" s="20">
        <f>Разбивка_по_щитам!I1866</f>
      </c>
      <c r="G1861" s="20">
        <f>Разбивка_по_щитам!J1866</f>
      </c>
      <c r="H1861" s="20">
        <f>Разбивка_по_щитам!K1866</f>
      </c>
      <c r="I1861" s="20">
        <f>Разбивка_по_щитам!L1866</f>
      </c>
      <c r="J1861" s="20">
        <f>Разбивка_по_щитам!M1866</f>
      </c>
      <c r="K1861" s="20">
        <f>Разбивка_по_щитам!N1866</f>
      </c>
      <c r="L1861" s="20"/>
      <c r="M1861" s="20">
        <f>Разбивка_по_щитам!P1866</f>
      </c>
      <c r="N1861" s="20"/>
    </row>
    <row r="1862" spans="2:14" x14ac:dyDescent="0.25">
      <c r="B1862" s="20">
        <f>Разбивка_по_щитам!B1867</f>
      </c>
      <c r="C1862" s="20">
        <f>Разбивка_по_щитам!C1867</f>
      </c>
      <c r="D1862" s="20">
        <f>Разбивка_по_щитам!F1867</f>
      </c>
      <c r="E1862" s="20">
        <f>Разбивка_по_щитам!H1867</f>
      </c>
      <c r="F1862" s="20">
        <f>Разбивка_по_щитам!I1867</f>
      </c>
      <c r="G1862" s="20">
        <f>Разбивка_по_щитам!J1867</f>
      </c>
      <c r="H1862" s="20">
        <f>Разбивка_по_щитам!K1867</f>
      </c>
      <c r="I1862" s="20">
        <f>Разбивка_по_щитам!L1867</f>
      </c>
      <c r="J1862" s="20">
        <f>Разбивка_по_щитам!M1867</f>
      </c>
      <c r="K1862" s="20">
        <f>Разбивка_по_щитам!N1867</f>
      </c>
      <c r="L1862" s="20"/>
      <c r="M1862" s="20">
        <f>Разбивка_по_щитам!P1867</f>
      </c>
      <c r="N1862" s="20"/>
    </row>
    <row r="1863" spans="2:14" x14ac:dyDescent="0.25">
      <c r="B1863" s="20">
        <f>Разбивка_по_щитам!B1868</f>
      </c>
      <c r="C1863" s="20">
        <f>Разбивка_по_щитам!C1868</f>
      </c>
      <c r="D1863" s="20">
        <f>Разбивка_по_щитам!F1868</f>
      </c>
      <c r="E1863" s="20">
        <f>Разбивка_по_щитам!H1868</f>
      </c>
      <c r="F1863" s="20">
        <f>Разбивка_по_щитам!I1868</f>
      </c>
      <c r="G1863" s="20">
        <f>Разбивка_по_щитам!J1868</f>
      </c>
      <c r="H1863" s="20">
        <f>Разбивка_по_щитам!K1868</f>
      </c>
      <c r="I1863" s="20">
        <f>Разбивка_по_щитам!L1868</f>
      </c>
      <c r="J1863" s="20">
        <f>Разбивка_по_щитам!M1868</f>
      </c>
      <c r="K1863" s="20">
        <f>Разбивка_по_щитам!N1868</f>
      </c>
      <c r="L1863" s="20"/>
      <c r="M1863" s="20">
        <f>Разбивка_по_щитам!P1868</f>
      </c>
      <c r="N1863" s="20"/>
    </row>
    <row r="1864" spans="2:14" x14ac:dyDescent="0.25">
      <c r="B1864" s="20">
        <f>Разбивка_по_щитам!B1869</f>
      </c>
      <c r="C1864" s="20">
        <f>Разбивка_по_щитам!C1869</f>
      </c>
      <c r="D1864" s="20">
        <f>Разбивка_по_щитам!F1869</f>
      </c>
      <c r="E1864" s="20">
        <f>Разбивка_по_щитам!H1869</f>
      </c>
      <c r="F1864" s="20">
        <f>Разбивка_по_щитам!I1869</f>
      </c>
      <c r="G1864" s="20">
        <f>Разбивка_по_щитам!J1869</f>
      </c>
      <c r="H1864" s="20">
        <f>Разбивка_по_щитам!K1869</f>
      </c>
      <c r="I1864" s="20">
        <f>Разбивка_по_щитам!L1869</f>
      </c>
      <c r="J1864" s="20">
        <f>Разбивка_по_щитам!M1869</f>
      </c>
      <c r="K1864" s="20">
        <f>Разбивка_по_щитам!N1869</f>
      </c>
      <c r="L1864" s="20"/>
      <c r="M1864" s="20">
        <f>Разбивка_по_щитам!P1869</f>
      </c>
      <c r="N1864" s="20"/>
    </row>
    <row r="1865" spans="2:14" x14ac:dyDescent="0.25">
      <c r="B1865" s="20">
        <f>Разбивка_по_щитам!B1870</f>
      </c>
      <c r="C1865" s="20">
        <f>Разбивка_по_щитам!C1870</f>
      </c>
      <c r="D1865" s="20">
        <f>Разбивка_по_щитам!F1870</f>
      </c>
      <c r="E1865" s="20">
        <f>Разбивка_по_щитам!H1870</f>
      </c>
      <c r="F1865" s="20">
        <f>Разбивка_по_щитам!I1870</f>
      </c>
      <c r="G1865" s="20">
        <f>Разбивка_по_щитам!J1870</f>
      </c>
      <c r="H1865" s="20">
        <f>Разбивка_по_щитам!K1870</f>
      </c>
      <c r="I1865" s="20">
        <f>Разбивка_по_щитам!L1870</f>
      </c>
      <c r="J1865" s="20">
        <f>Разбивка_по_щитам!M1870</f>
      </c>
      <c r="K1865" s="20">
        <f>Разбивка_по_щитам!N1870</f>
      </c>
      <c r="L1865" s="20"/>
      <c r="M1865" s="20">
        <f>Разбивка_по_щитам!P1870</f>
      </c>
      <c r="N1865" s="20"/>
    </row>
    <row r="1866" spans="2:14" x14ac:dyDescent="0.25">
      <c r="B1866" s="20">
        <f>Разбивка_по_щитам!B1871</f>
      </c>
      <c r="C1866" s="20">
        <f>Разбивка_по_щитам!C1871</f>
      </c>
      <c r="D1866" s="20">
        <f>Разбивка_по_щитам!F1871</f>
      </c>
      <c r="E1866" s="20">
        <f>Разбивка_по_щитам!H1871</f>
      </c>
      <c r="F1866" s="20">
        <f>Разбивка_по_щитам!I1871</f>
      </c>
      <c r="G1866" s="20">
        <f>Разбивка_по_щитам!J1871</f>
      </c>
      <c r="H1866" s="20">
        <f>Разбивка_по_щитам!K1871</f>
      </c>
      <c r="I1866" s="20">
        <f>Разбивка_по_щитам!L1871</f>
      </c>
      <c r="J1866" s="20">
        <f>Разбивка_по_щитам!M1871</f>
      </c>
      <c r="K1866" s="20">
        <f>Разбивка_по_щитам!N1871</f>
      </c>
      <c r="L1866" s="20"/>
      <c r="M1866" s="20">
        <f>Разбивка_по_щитам!P1871</f>
      </c>
      <c r="N1866" s="20"/>
    </row>
    <row r="1867" spans="2:14" x14ac:dyDescent="0.25">
      <c r="B1867" s="20">
        <f>Разбивка_по_щитам!B1872</f>
      </c>
      <c r="C1867" s="20">
        <f>Разбивка_по_щитам!C1872</f>
      </c>
      <c r="D1867" s="20">
        <f>Разбивка_по_щитам!F1872</f>
      </c>
      <c r="E1867" s="20">
        <f>Разбивка_по_щитам!H1872</f>
      </c>
      <c r="F1867" s="20">
        <f>Разбивка_по_щитам!I1872</f>
      </c>
      <c r="G1867" s="20">
        <f>Разбивка_по_щитам!J1872</f>
      </c>
      <c r="H1867" s="20">
        <f>Разбивка_по_щитам!K1872</f>
      </c>
      <c r="I1867" s="20">
        <f>Разбивка_по_щитам!L1872</f>
      </c>
      <c r="J1867" s="20">
        <f>Разбивка_по_щитам!M1872</f>
      </c>
      <c r="K1867" s="20">
        <f>Разбивка_по_щитам!N1872</f>
      </c>
      <c r="L1867" s="20"/>
      <c r="M1867" s="20">
        <f>Разбивка_по_щитам!P1872</f>
      </c>
      <c r="N1867" s="20"/>
    </row>
    <row r="1868" spans="2:14" x14ac:dyDescent="0.25">
      <c r="B1868" s="20">
        <f>Разбивка_по_щитам!B1873</f>
      </c>
      <c r="C1868" s="20">
        <f>Разбивка_по_щитам!C1873</f>
      </c>
      <c r="D1868" s="20">
        <f>Разбивка_по_щитам!F1873</f>
      </c>
      <c r="E1868" s="20">
        <f>Разбивка_по_щитам!H1873</f>
      </c>
      <c r="F1868" s="20">
        <f>Разбивка_по_щитам!I1873</f>
      </c>
      <c r="G1868" s="20">
        <f>Разбивка_по_щитам!J1873</f>
      </c>
      <c r="H1868" s="20">
        <f>Разбивка_по_щитам!K1873</f>
      </c>
      <c r="I1868" s="20">
        <f>Разбивка_по_щитам!L1873</f>
      </c>
      <c r="J1868" s="20">
        <f>Разбивка_по_щитам!M1873</f>
      </c>
      <c r="K1868" s="20">
        <f>Разбивка_по_щитам!N1873</f>
      </c>
      <c r="L1868" s="20"/>
      <c r="M1868" s="20">
        <f>Разбивка_по_щитам!P1873</f>
      </c>
      <c r="N1868" s="20"/>
    </row>
    <row r="1869" spans="2:14" x14ac:dyDescent="0.25">
      <c r="B1869" s="20">
        <f>Разбивка_по_щитам!B1874</f>
      </c>
      <c r="C1869" s="20">
        <f>Разбивка_по_щитам!C1874</f>
      </c>
      <c r="D1869" s="20">
        <f>Разбивка_по_щитам!F1874</f>
      </c>
      <c r="E1869" s="20">
        <f>Разбивка_по_щитам!H1874</f>
      </c>
      <c r="F1869" s="20">
        <f>Разбивка_по_щитам!I1874</f>
      </c>
      <c r="G1869" s="20">
        <f>Разбивка_по_щитам!J1874</f>
      </c>
      <c r="H1869" s="20">
        <f>Разбивка_по_щитам!K1874</f>
      </c>
      <c r="I1869" s="20">
        <f>Разбивка_по_щитам!L1874</f>
      </c>
      <c r="J1869" s="20">
        <f>Разбивка_по_щитам!M1874</f>
      </c>
      <c r="K1869" s="20">
        <f>Разбивка_по_щитам!N1874</f>
      </c>
      <c r="L1869" s="20"/>
      <c r="M1869" s="20">
        <f>Разбивка_по_щитам!P1874</f>
      </c>
      <c r="N1869" s="20"/>
    </row>
    <row r="1870" spans="2:14" x14ac:dyDescent="0.25">
      <c r="B1870" s="20">
        <f>Разбивка_по_щитам!B1875</f>
      </c>
      <c r="C1870" s="20">
        <f>Разбивка_по_щитам!C1875</f>
      </c>
      <c r="D1870" s="20">
        <f>Разбивка_по_щитам!F1875</f>
      </c>
      <c r="E1870" s="20">
        <f>Разбивка_по_щитам!H1875</f>
      </c>
      <c r="F1870" s="20">
        <f>Разбивка_по_щитам!I1875</f>
      </c>
      <c r="G1870" s="20">
        <f>Разбивка_по_щитам!J1875</f>
      </c>
      <c r="H1870" s="20">
        <f>Разбивка_по_щитам!K1875</f>
      </c>
      <c r="I1870" s="20">
        <f>Разбивка_по_щитам!L1875</f>
      </c>
      <c r="J1870" s="20">
        <f>Разбивка_по_щитам!M1875</f>
      </c>
      <c r="K1870" s="20">
        <f>Разбивка_по_щитам!N1875</f>
      </c>
      <c r="L1870" s="20"/>
      <c r="M1870" s="20">
        <f>Разбивка_по_щитам!P1875</f>
      </c>
      <c r="N1870" s="20"/>
    </row>
    <row r="1871" spans="2:14" x14ac:dyDescent="0.25">
      <c r="B1871" s="20">
        <f>Разбивка_по_щитам!B1876</f>
      </c>
      <c r="C1871" s="20">
        <f>Разбивка_по_щитам!C1876</f>
      </c>
      <c r="D1871" s="20">
        <f>Разбивка_по_щитам!F1876</f>
      </c>
      <c r="E1871" s="20">
        <f>Разбивка_по_щитам!H1876</f>
      </c>
      <c r="F1871" s="20">
        <f>Разбивка_по_щитам!I1876</f>
      </c>
      <c r="G1871" s="20">
        <f>Разбивка_по_щитам!J1876</f>
      </c>
      <c r="H1871" s="20">
        <f>Разбивка_по_щитам!K1876</f>
      </c>
      <c r="I1871" s="20">
        <f>Разбивка_по_щитам!L1876</f>
      </c>
      <c r="J1871" s="20">
        <f>Разбивка_по_щитам!M1876</f>
      </c>
      <c r="K1871" s="20">
        <f>Разбивка_по_щитам!N1876</f>
      </c>
      <c r="L1871" s="20"/>
      <c r="M1871" s="20">
        <f>Разбивка_по_щитам!P1876</f>
      </c>
      <c r="N1871" s="20"/>
    </row>
    <row r="1872" spans="2:14" x14ac:dyDescent="0.25">
      <c r="B1872" s="20">
        <f>Разбивка_по_щитам!B1877</f>
      </c>
      <c r="C1872" s="20">
        <f>Разбивка_по_щитам!C1877</f>
      </c>
      <c r="D1872" s="20">
        <f>Разбивка_по_щитам!F1877</f>
      </c>
      <c r="E1872" s="20">
        <f>Разбивка_по_щитам!H1877</f>
      </c>
      <c r="F1872" s="20">
        <f>Разбивка_по_щитам!I1877</f>
      </c>
      <c r="G1872" s="20">
        <f>Разбивка_по_щитам!J1877</f>
      </c>
      <c r="H1872" s="20">
        <f>Разбивка_по_щитам!K1877</f>
      </c>
      <c r="I1872" s="20">
        <f>Разбивка_по_щитам!L1877</f>
      </c>
      <c r="J1872" s="20">
        <f>Разбивка_по_щитам!M1877</f>
      </c>
      <c r="K1872" s="20">
        <f>Разбивка_по_щитам!N1877</f>
      </c>
      <c r="L1872" s="20"/>
      <c r="M1872" s="20">
        <f>Разбивка_по_щитам!P1877</f>
      </c>
      <c r="N1872" s="20"/>
    </row>
    <row r="1873" spans="2:14" x14ac:dyDescent="0.25">
      <c r="B1873" s="20">
        <f>Разбивка_по_щитам!B1878</f>
      </c>
      <c r="C1873" s="20">
        <f>Разбивка_по_щитам!C1878</f>
      </c>
      <c r="D1873" s="20">
        <f>Разбивка_по_щитам!F1878</f>
      </c>
      <c r="E1873" s="20">
        <f>Разбивка_по_щитам!H1878</f>
      </c>
      <c r="F1873" s="20">
        <f>Разбивка_по_щитам!I1878</f>
      </c>
      <c r="G1873" s="20">
        <f>Разбивка_по_щитам!J1878</f>
      </c>
      <c r="H1873" s="20">
        <f>Разбивка_по_щитам!K1878</f>
      </c>
      <c r="I1873" s="20">
        <f>Разбивка_по_щитам!L1878</f>
      </c>
      <c r="J1873" s="20">
        <f>Разбивка_по_щитам!M1878</f>
      </c>
      <c r="K1873" s="20">
        <f>Разбивка_по_щитам!N1878</f>
      </c>
      <c r="L1873" s="20"/>
      <c r="M1873" s="20">
        <f>Разбивка_по_щитам!P1878</f>
      </c>
      <c r="N1873" s="20"/>
    </row>
    <row r="1874" spans="2:14" x14ac:dyDescent="0.25">
      <c r="B1874" s="20">
        <f>Разбивка_по_щитам!B1879</f>
      </c>
      <c r="C1874" s="20">
        <f>Разбивка_по_щитам!C1879</f>
      </c>
      <c r="D1874" s="20">
        <f>Разбивка_по_щитам!F1879</f>
      </c>
      <c r="E1874" s="20">
        <f>Разбивка_по_щитам!H1879</f>
      </c>
      <c r="F1874" s="20">
        <f>Разбивка_по_щитам!I1879</f>
      </c>
      <c r="G1874" s="20">
        <f>Разбивка_по_щитам!J1879</f>
      </c>
      <c r="H1874" s="20">
        <f>Разбивка_по_щитам!K1879</f>
      </c>
      <c r="I1874" s="20">
        <f>Разбивка_по_щитам!L1879</f>
      </c>
      <c r="J1874" s="20">
        <f>Разбивка_по_щитам!M1879</f>
      </c>
      <c r="K1874" s="20">
        <f>Разбивка_по_щитам!N1879</f>
      </c>
      <c r="L1874" s="20"/>
      <c r="M1874" s="20">
        <f>Разбивка_по_щитам!P1879</f>
      </c>
      <c r="N1874" s="20"/>
    </row>
    <row r="1875" spans="2:14" x14ac:dyDescent="0.25">
      <c r="B1875" s="20">
        <f>Разбивка_по_щитам!B1880</f>
      </c>
      <c r="C1875" s="20">
        <f>Разбивка_по_щитам!C1880</f>
      </c>
      <c r="D1875" s="20">
        <f>Разбивка_по_щитам!F1880</f>
      </c>
      <c r="E1875" s="20">
        <f>Разбивка_по_щитам!H1880</f>
      </c>
      <c r="F1875" s="20">
        <f>Разбивка_по_щитам!I1880</f>
      </c>
      <c r="G1875" s="20">
        <f>Разбивка_по_щитам!J1880</f>
      </c>
      <c r="H1875" s="20">
        <f>Разбивка_по_щитам!K1880</f>
      </c>
      <c r="I1875" s="20">
        <f>Разбивка_по_щитам!L1880</f>
      </c>
      <c r="J1875" s="20">
        <f>Разбивка_по_щитам!M1880</f>
      </c>
      <c r="K1875" s="20">
        <f>Разбивка_по_щитам!N1880</f>
      </c>
      <c r="L1875" s="20"/>
      <c r="M1875" s="20">
        <f>Разбивка_по_щитам!P1880</f>
      </c>
      <c r="N1875" s="20"/>
    </row>
    <row r="1876" spans="2:14" x14ac:dyDescent="0.25">
      <c r="B1876" s="20">
        <f>Разбивка_по_щитам!B1881</f>
      </c>
      <c r="C1876" s="20">
        <f>Разбивка_по_щитам!C1881</f>
      </c>
      <c r="D1876" s="20">
        <f>Разбивка_по_щитам!F1881</f>
      </c>
      <c r="E1876" s="20">
        <f>Разбивка_по_щитам!H1881</f>
      </c>
      <c r="F1876" s="20">
        <f>Разбивка_по_щитам!I1881</f>
      </c>
      <c r="G1876" s="20">
        <f>Разбивка_по_щитам!J1881</f>
      </c>
      <c r="H1876" s="20">
        <f>Разбивка_по_щитам!K1881</f>
      </c>
      <c r="I1876" s="20">
        <f>Разбивка_по_щитам!L1881</f>
      </c>
      <c r="J1876" s="20">
        <f>Разбивка_по_щитам!M1881</f>
      </c>
      <c r="K1876" s="20">
        <f>Разбивка_по_щитам!N1881</f>
      </c>
      <c r="L1876" s="20"/>
      <c r="M1876" s="20">
        <f>Разбивка_по_щитам!P1881</f>
      </c>
      <c r="N1876" s="20"/>
    </row>
    <row r="1877" spans="2:14" x14ac:dyDescent="0.25">
      <c r="B1877" s="20">
        <f>Разбивка_по_щитам!B1882</f>
      </c>
      <c r="C1877" s="20">
        <f>Разбивка_по_щитам!C1882</f>
      </c>
      <c r="D1877" s="20">
        <f>Разбивка_по_щитам!F1882</f>
      </c>
      <c r="E1877" s="20">
        <f>Разбивка_по_щитам!H1882</f>
      </c>
      <c r="F1877" s="20">
        <f>Разбивка_по_щитам!I1882</f>
      </c>
      <c r="G1877" s="20">
        <f>Разбивка_по_щитам!J1882</f>
      </c>
      <c r="H1877" s="20">
        <f>Разбивка_по_щитам!K1882</f>
      </c>
      <c r="I1877" s="20">
        <f>Разбивка_по_щитам!L1882</f>
      </c>
      <c r="J1877" s="20">
        <f>Разбивка_по_щитам!M1882</f>
      </c>
      <c r="K1877" s="20">
        <f>Разбивка_по_щитам!N1882</f>
      </c>
      <c r="L1877" s="20"/>
      <c r="M1877" s="20">
        <f>Разбивка_по_щитам!P1882</f>
      </c>
      <c r="N1877" s="20"/>
    </row>
    <row r="1878" spans="2:14" x14ac:dyDescent="0.25">
      <c r="B1878" s="20">
        <f>Разбивка_по_щитам!B1883</f>
      </c>
      <c r="C1878" s="20">
        <f>Разбивка_по_щитам!C1883</f>
      </c>
      <c r="D1878" s="20">
        <f>Разбивка_по_щитам!F1883</f>
      </c>
      <c r="E1878" s="20">
        <f>Разбивка_по_щитам!H1883</f>
      </c>
      <c r="F1878" s="20">
        <f>Разбивка_по_щитам!I1883</f>
      </c>
      <c r="G1878" s="20">
        <f>Разбивка_по_щитам!J1883</f>
      </c>
      <c r="H1878" s="20">
        <f>Разбивка_по_щитам!K1883</f>
      </c>
      <c r="I1878" s="20">
        <f>Разбивка_по_щитам!L1883</f>
      </c>
      <c r="J1878" s="20">
        <f>Разбивка_по_щитам!M1883</f>
      </c>
      <c r="K1878" s="20">
        <f>Разбивка_по_щитам!N1883</f>
      </c>
      <c r="L1878" s="20"/>
      <c r="M1878" s="20">
        <f>Разбивка_по_щитам!P1883</f>
      </c>
      <c r="N1878" s="20"/>
    </row>
    <row r="1879" spans="2:14" x14ac:dyDescent="0.25">
      <c r="B1879" s="20">
        <f>Разбивка_по_щитам!B1884</f>
      </c>
      <c r="C1879" s="20">
        <f>Разбивка_по_щитам!C1884</f>
      </c>
      <c r="D1879" s="20">
        <f>Разбивка_по_щитам!F1884</f>
      </c>
      <c r="E1879" s="20">
        <f>Разбивка_по_щитам!H1884</f>
      </c>
      <c r="F1879" s="20">
        <f>Разбивка_по_щитам!I1884</f>
      </c>
      <c r="G1879" s="20">
        <f>Разбивка_по_щитам!J1884</f>
      </c>
      <c r="H1879" s="20">
        <f>Разбивка_по_щитам!K1884</f>
      </c>
      <c r="I1879" s="20">
        <f>Разбивка_по_щитам!L1884</f>
      </c>
      <c r="J1879" s="20">
        <f>Разбивка_по_щитам!M1884</f>
      </c>
      <c r="K1879" s="20">
        <f>Разбивка_по_щитам!N1884</f>
      </c>
      <c r="L1879" s="20"/>
      <c r="M1879" s="20">
        <f>Разбивка_по_щитам!P1884</f>
      </c>
      <c r="N1879" s="20"/>
    </row>
    <row r="1880" spans="2:14" x14ac:dyDescent="0.25">
      <c r="B1880" s="20">
        <f>Разбивка_по_щитам!B1885</f>
      </c>
      <c r="C1880" s="20">
        <f>Разбивка_по_щитам!C1885</f>
      </c>
      <c r="D1880" s="20">
        <f>Разбивка_по_щитам!F1885</f>
      </c>
      <c r="E1880" s="20">
        <f>Разбивка_по_щитам!H1885</f>
      </c>
      <c r="F1880" s="20">
        <f>Разбивка_по_щитам!I1885</f>
      </c>
      <c r="G1880" s="20">
        <f>Разбивка_по_щитам!J1885</f>
      </c>
      <c r="H1880" s="20">
        <f>Разбивка_по_щитам!K1885</f>
      </c>
      <c r="I1880" s="20">
        <f>Разбивка_по_щитам!L1885</f>
      </c>
      <c r="J1880" s="20">
        <f>Разбивка_по_щитам!M1885</f>
      </c>
      <c r="K1880" s="20">
        <f>Разбивка_по_щитам!N1885</f>
      </c>
      <c r="L1880" s="20"/>
      <c r="M1880" s="20">
        <f>Разбивка_по_щитам!P1885</f>
      </c>
      <c r="N1880" s="20"/>
    </row>
    <row r="1881" spans="2:14" x14ac:dyDescent="0.25">
      <c r="B1881" s="20">
        <f>Разбивка_по_щитам!B1886</f>
      </c>
      <c r="C1881" s="20">
        <f>Разбивка_по_щитам!C1886</f>
      </c>
      <c r="D1881" s="20">
        <f>Разбивка_по_щитам!F1886</f>
      </c>
      <c r="E1881" s="20">
        <f>Разбивка_по_щитам!H1886</f>
      </c>
      <c r="F1881" s="20">
        <f>Разбивка_по_щитам!I1886</f>
      </c>
      <c r="G1881" s="20">
        <f>Разбивка_по_щитам!J1886</f>
      </c>
      <c r="H1881" s="20">
        <f>Разбивка_по_щитам!K1886</f>
      </c>
      <c r="I1881" s="20">
        <f>Разбивка_по_щитам!L1886</f>
      </c>
      <c r="J1881" s="20">
        <f>Разбивка_по_щитам!M1886</f>
      </c>
      <c r="K1881" s="20">
        <f>Разбивка_по_щитам!N1886</f>
      </c>
      <c r="L1881" s="20"/>
      <c r="M1881" s="20">
        <f>Разбивка_по_щитам!P1886</f>
      </c>
      <c r="N1881" s="20"/>
    </row>
    <row r="1882" spans="2:14" x14ac:dyDescent="0.25">
      <c r="B1882" s="20">
        <f>Разбивка_по_щитам!B1887</f>
      </c>
      <c r="C1882" s="20">
        <f>Разбивка_по_щитам!C1887</f>
      </c>
      <c r="D1882" s="20">
        <f>Разбивка_по_щитам!F1887</f>
      </c>
      <c r="E1882" s="20">
        <f>Разбивка_по_щитам!H1887</f>
      </c>
      <c r="F1882" s="20">
        <f>Разбивка_по_щитам!I1887</f>
      </c>
      <c r="G1882" s="20">
        <f>Разбивка_по_щитам!J1887</f>
      </c>
      <c r="H1882" s="20">
        <f>Разбивка_по_щитам!K1887</f>
      </c>
      <c r="I1882" s="20">
        <f>Разбивка_по_щитам!L1887</f>
      </c>
      <c r="J1882" s="20">
        <f>Разбивка_по_щитам!M1887</f>
      </c>
      <c r="K1882" s="20">
        <f>Разбивка_по_щитам!N1887</f>
      </c>
      <c r="L1882" s="20"/>
      <c r="M1882" s="20">
        <f>Разбивка_по_щитам!P1887</f>
      </c>
      <c r="N1882" s="20"/>
    </row>
    <row r="1883" spans="2:14" x14ac:dyDescent="0.25">
      <c r="B1883" s="20">
        <f>Разбивка_по_щитам!B1888</f>
      </c>
      <c r="C1883" s="20">
        <f>Разбивка_по_щитам!C1888</f>
      </c>
      <c r="D1883" s="20">
        <f>Разбивка_по_щитам!F1888</f>
      </c>
      <c r="E1883" s="20">
        <f>Разбивка_по_щитам!H1888</f>
      </c>
      <c r="F1883" s="20">
        <f>Разбивка_по_щитам!I1888</f>
      </c>
      <c r="G1883" s="20">
        <f>Разбивка_по_щитам!J1888</f>
      </c>
      <c r="H1883" s="20">
        <f>Разбивка_по_щитам!K1888</f>
      </c>
      <c r="I1883" s="20">
        <f>Разбивка_по_щитам!L1888</f>
      </c>
      <c r="J1883" s="20">
        <f>Разбивка_по_щитам!M1888</f>
      </c>
      <c r="K1883" s="20">
        <f>Разбивка_по_щитам!N1888</f>
      </c>
      <c r="L1883" s="20"/>
      <c r="M1883" s="20">
        <f>Разбивка_по_щитам!P1888</f>
      </c>
      <c r="N1883" s="20"/>
    </row>
    <row r="1884" spans="2:14" x14ac:dyDescent="0.25">
      <c r="B1884" s="20">
        <f>Разбивка_по_щитам!B1889</f>
      </c>
      <c r="C1884" s="20">
        <f>Разбивка_по_щитам!C1889</f>
      </c>
      <c r="D1884" s="20">
        <f>Разбивка_по_щитам!F1889</f>
      </c>
      <c r="E1884" s="20">
        <f>Разбивка_по_щитам!H1889</f>
      </c>
      <c r="F1884" s="20">
        <f>Разбивка_по_щитам!I1889</f>
      </c>
      <c r="G1884" s="20">
        <f>Разбивка_по_щитам!J1889</f>
      </c>
      <c r="H1884" s="20">
        <f>Разбивка_по_щитам!K1889</f>
      </c>
      <c r="I1884" s="20">
        <f>Разбивка_по_щитам!L1889</f>
      </c>
      <c r="J1884" s="20">
        <f>Разбивка_по_щитам!M1889</f>
      </c>
      <c r="K1884" s="20">
        <f>Разбивка_по_щитам!N1889</f>
      </c>
      <c r="L1884" s="20"/>
      <c r="M1884" s="20">
        <f>Разбивка_по_щитам!P1889</f>
      </c>
      <c r="N1884" s="20"/>
    </row>
    <row r="1885" spans="2:14" x14ac:dyDescent="0.25">
      <c r="B1885" s="20">
        <f>Разбивка_по_щитам!B1890</f>
      </c>
      <c r="C1885" s="20">
        <f>Разбивка_по_щитам!C1890</f>
      </c>
      <c r="D1885" s="20">
        <f>Разбивка_по_щитам!F1890</f>
      </c>
      <c r="E1885" s="20">
        <f>Разбивка_по_щитам!H1890</f>
      </c>
      <c r="F1885" s="20">
        <f>Разбивка_по_щитам!I1890</f>
      </c>
      <c r="G1885" s="20">
        <f>Разбивка_по_щитам!J1890</f>
      </c>
      <c r="H1885" s="20">
        <f>Разбивка_по_щитам!K1890</f>
      </c>
      <c r="I1885" s="20">
        <f>Разбивка_по_щитам!L1890</f>
      </c>
      <c r="J1885" s="20">
        <f>Разбивка_по_щитам!M1890</f>
      </c>
      <c r="K1885" s="20">
        <f>Разбивка_по_щитам!N1890</f>
      </c>
      <c r="L1885" s="20"/>
      <c r="M1885" s="20">
        <f>Разбивка_по_щитам!P1890</f>
      </c>
      <c r="N1885" s="20"/>
    </row>
    <row r="1886" spans="2:14" x14ac:dyDescent="0.25">
      <c r="B1886" s="20">
        <f>Разбивка_по_щитам!B1891</f>
      </c>
      <c r="C1886" s="20">
        <f>Разбивка_по_щитам!C1891</f>
      </c>
      <c r="D1886" s="20">
        <f>Разбивка_по_щитам!F1891</f>
      </c>
      <c r="E1886" s="20">
        <f>Разбивка_по_щитам!H1891</f>
      </c>
      <c r="F1886" s="20">
        <f>Разбивка_по_щитам!I1891</f>
      </c>
      <c r="G1886" s="20">
        <f>Разбивка_по_щитам!J1891</f>
      </c>
      <c r="H1886" s="20">
        <f>Разбивка_по_щитам!K1891</f>
      </c>
      <c r="I1886" s="20">
        <f>Разбивка_по_щитам!L1891</f>
      </c>
      <c r="J1886" s="20">
        <f>Разбивка_по_щитам!M1891</f>
      </c>
      <c r="K1886" s="20">
        <f>Разбивка_по_щитам!N1891</f>
      </c>
      <c r="L1886" s="20"/>
      <c r="M1886" s="20">
        <f>Разбивка_по_щитам!P1891</f>
      </c>
      <c r="N1886" s="20"/>
    </row>
    <row r="1887" spans="2:14" x14ac:dyDescent="0.25">
      <c r="B1887" s="20">
        <f>Разбивка_по_щитам!B1892</f>
      </c>
      <c r="C1887" s="20">
        <f>Разбивка_по_щитам!C1892</f>
      </c>
      <c r="D1887" s="20">
        <f>Разбивка_по_щитам!F1892</f>
      </c>
      <c r="E1887" s="20">
        <f>Разбивка_по_щитам!H1892</f>
      </c>
      <c r="F1887" s="20">
        <f>Разбивка_по_щитам!I1892</f>
      </c>
      <c r="G1887" s="20">
        <f>Разбивка_по_щитам!J1892</f>
      </c>
      <c r="H1887" s="20">
        <f>Разбивка_по_щитам!K1892</f>
      </c>
      <c r="I1887" s="20">
        <f>Разбивка_по_щитам!L1892</f>
      </c>
      <c r="J1887" s="20">
        <f>Разбивка_по_щитам!M1892</f>
      </c>
      <c r="K1887" s="20">
        <f>Разбивка_по_щитам!N1892</f>
      </c>
      <c r="L1887" s="20"/>
      <c r="M1887" s="20">
        <f>Разбивка_по_щитам!P1892</f>
      </c>
      <c r="N1887" s="20"/>
    </row>
    <row r="1888" spans="2:14" x14ac:dyDescent="0.25">
      <c r="B1888" s="20">
        <f>Разбивка_по_щитам!B1893</f>
      </c>
      <c r="C1888" s="20">
        <f>Разбивка_по_щитам!C1893</f>
      </c>
      <c r="D1888" s="20">
        <f>Разбивка_по_щитам!F1893</f>
      </c>
      <c r="E1888" s="20">
        <f>Разбивка_по_щитам!H1893</f>
      </c>
      <c r="F1888" s="20">
        <f>Разбивка_по_щитам!I1893</f>
      </c>
      <c r="G1888" s="20">
        <f>Разбивка_по_щитам!J1893</f>
      </c>
      <c r="H1888" s="20">
        <f>Разбивка_по_щитам!K1893</f>
      </c>
      <c r="I1888" s="20">
        <f>Разбивка_по_щитам!L1893</f>
      </c>
      <c r="J1888" s="20">
        <f>Разбивка_по_щитам!M1893</f>
      </c>
      <c r="K1888" s="20">
        <f>Разбивка_по_щитам!N1893</f>
      </c>
      <c r="L1888" s="20"/>
      <c r="M1888" s="20">
        <f>Разбивка_по_щитам!P1893</f>
      </c>
      <c r="N1888" s="20"/>
    </row>
    <row r="1889" spans="2:14" x14ac:dyDescent="0.25">
      <c r="B1889" s="20">
        <f>Разбивка_по_щитам!B1894</f>
      </c>
      <c r="C1889" s="20">
        <f>Разбивка_по_щитам!C1894</f>
      </c>
      <c r="D1889" s="20">
        <f>Разбивка_по_щитам!F1894</f>
      </c>
      <c r="E1889" s="20">
        <f>Разбивка_по_щитам!H1894</f>
      </c>
      <c r="F1889" s="20">
        <f>Разбивка_по_щитам!I1894</f>
      </c>
      <c r="G1889" s="20">
        <f>Разбивка_по_щитам!J1894</f>
      </c>
      <c r="H1889" s="20">
        <f>Разбивка_по_щитам!K1894</f>
      </c>
      <c r="I1889" s="20">
        <f>Разбивка_по_щитам!L1894</f>
      </c>
      <c r="J1889" s="20">
        <f>Разбивка_по_щитам!M1894</f>
      </c>
      <c r="K1889" s="20">
        <f>Разбивка_по_щитам!N1894</f>
      </c>
      <c r="L1889" s="20"/>
      <c r="M1889" s="20">
        <f>Разбивка_по_щитам!P1894</f>
      </c>
      <c r="N1889" s="20"/>
    </row>
    <row r="1890" spans="2:14" x14ac:dyDescent="0.25">
      <c r="B1890" s="20">
        <f>Разбивка_по_щитам!B1895</f>
      </c>
      <c r="C1890" s="20">
        <f>Разбивка_по_щитам!C1895</f>
      </c>
      <c r="D1890" s="20">
        <f>Разбивка_по_щитам!F1895</f>
      </c>
      <c r="E1890" s="20">
        <f>Разбивка_по_щитам!H1895</f>
      </c>
      <c r="F1890" s="20">
        <f>Разбивка_по_щитам!I1895</f>
      </c>
      <c r="G1890" s="20">
        <f>Разбивка_по_щитам!J1895</f>
      </c>
      <c r="H1890" s="20">
        <f>Разбивка_по_щитам!K1895</f>
      </c>
      <c r="I1890" s="20">
        <f>Разбивка_по_щитам!L1895</f>
      </c>
      <c r="J1890" s="20">
        <f>Разбивка_по_щитам!M1895</f>
      </c>
      <c r="K1890" s="20">
        <f>Разбивка_по_щитам!N1895</f>
      </c>
      <c r="L1890" s="20"/>
      <c r="M1890" s="20">
        <f>Разбивка_по_щитам!P1895</f>
      </c>
      <c r="N1890" s="20"/>
    </row>
    <row r="1891" spans="2:14" x14ac:dyDescent="0.25">
      <c r="B1891" s="20">
        <f>Разбивка_по_щитам!B1896</f>
      </c>
      <c r="C1891" s="20">
        <f>Разбивка_по_щитам!C1896</f>
      </c>
      <c r="D1891" s="20">
        <f>Разбивка_по_щитам!F1896</f>
      </c>
      <c r="E1891" s="20">
        <f>Разбивка_по_щитам!H1896</f>
      </c>
      <c r="F1891" s="20">
        <f>Разбивка_по_щитам!I1896</f>
      </c>
      <c r="G1891" s="20">
        <f>Разбивка_по_щитам!J1896</f>
      </c>
      <c r="H1891" s="20">
        <f>Разбивка_по_щитам!K1896</f>
      </c>
      <c r="I1891" s="20">
        <f>Разбивка_по_щитам!L1896</f>
      </c>
      <c r="J1891" s="20">
        <f>Разбивка_по_щитам!M1896</f>
      </c>
      <c r="K1891" s="20">
        <f>Разбивка_по_щитам!N1896</f>
      </c>
      <c r="L1891" s="20"/>
      <c r="M1891" s="20">
        <f>Разбивка_по_щитам!P1896</f>
      </c>
      <c r="N1891" s="20"/>
    </row>
    <row r="1892" spans="2:14" x14ac:dyDescent="0.25">
      <c r="B1892" s="20">
        <f>Разбивка_по_щитам!B1897</f>
      </c>
      <c r="C1892" s="20">
        <f>Разбивка_по_щитам!C1897</f>
      </c>
      <c r="D1892" s="20">
        <f>Разбивка_по_щитам!F1897</f>
      </c>
      <c r="E1892" s="20">
        <f>Разбивка_по_щитам!H1897</f>
      </c>
      <c r="F1892" s="20">
        <f>Разбивка_по_щитам!I1897</f>
      </c>
      <c r="G1892" s="20">
        <f>Разбивка_по_щитам!J1897</f>
      </c>
      <c r="H1892" s="20">
        <f>Разбивка_по_щитам!K1897</f>
      </c>
      <c r="I1892" s="20">
        <f>Разбивка_по_щитам!L1897</f>
      </c>
      <c r="J1892" s="20">
        <f>Разбивка_по_щитам!M1897</f>
      </c>
      <c r="K1892" s="20">
        <f>Разбивка_по_щитам!N1897</f>
      </c>
      <c r="L1892" s="20"/>
      <c r="M1892" s="20">
        <f>Разбивка_по_щитам!P1897</f>
      </c>
      <c r="N1892" s="20"/>
    </row>
    <row r="1893" spans="2:14" x14ac:dyDescent="0.25">
      <c r="B1893" s="20">
        <f>Разбивка_по_щитам!B1898</f>
      </c>
      <c r="C1893" s="20">
        <f>Разбивка_по_щитам!C1898</f>
      </c>
      <c r="D1893" s="20">
        <f>Разбивка_по_щитам!F1898</f>
      </c>
      <c r="E1893" s="20">
        <f>Разбивка_по_щитам!H1898</f>
      </c>
      <c r="F1893" s="20">
        <f>Разбивка_по_щитам!I1898</f>
      </c>
      <c r="G1893" s="20">
        <f>Разбивка_по_щитам!J1898</f>
      </c>
      <c r="H1893" s="20">
        <f>Разбивка_по_щитам!K1898</f>
      </c>
      <c r="I1893" s="20">
        <f>Разбивка_по_щитам!L1898</f>
      </c>
      <c r="J1893" s="20">
        <f>Разбивка_по_щитам!M1898</f>
      </c>
      <c r="K1893" s="20">
        <f>Разбивка_по_щитам!N1898</f>
      </c>
      <c r="L1893" s="20"/>
      <c r="M1893" s="20">
        <f>Разбивка_по_щитам!P1898</f>
      </c>
      <c r="N1893" s="20"/>
    </row>
    <row r="1894" spans="2:14" x14ac:dyDescent="0.25">
      <c r="B1894" s="20">
        <f>Разбивка_по_щитам!B1899</f>
      </c>
      <c r="C1894" s="20">
        <f>Разбивка_по_щитам!C1899</f>
      </c>
      <c r="D1894" s="20">
        <f>Разбивка_по_щитам!F1899</f>
      </c>
      <c r="E1894" s="20">
        <f>Разбивка_по_щитам!H1899</f>
      </c>
      <c r="F1894" s="20">
        <f>Разбивка_по_щитам!I1899</f>
      </c>
      <c r="G1894" s="20">
        <f>Разбивка_по_щитам!J1899</f>
      </c>
      <c r="H1894" s="20">
        <f>Разбивка_по_щитам!K1899</f>
      </c>
      <c r="I1894" s="20">
        <f>Разбивка_по_щитам!L1899</f>
      </c>
      <c r="J1894" s="20">
        <f>Разбивка_по_щитам!M1899</f>
      </c>
      <c r="K1894" s="20">
        <f>Разбивка_по_щитам!N1899</f>
      </c>
      <c r="L1894" s="20"/>
      <c r="M1894" s="20">
        <f>Разбивка_по_щитам!P1899</f>
      </c>
      <c r="N1894" s="20"/>
    </row>
    <row r="1895" spans="2:14" x14ac:dyDescent="0.25">
      <c r="B1895" s="20">
        <f>Разбивка_по_щитам!B1900</f>
      </c>
      <c r="C1895" s="20">
        <f>Разбивка_по_щитам!C1900</f>
      </c>
      <c r="D1895" s="20">
        <f>Разбивка_по_щитам!F1900</f>
      </c>
      <c r="E1895" s="20">
        <f>Разбивка_по_щитам!H1900</f>
      </c>
      <c r="F1895" s="20">
        <f>Разбивка_по_щитам!I1900</f>
      </c>
      <c r="G1895" s="20">
        <f>Разбивка_по_щитам!J1900</f>
      </c>
      <c r="H1895" s="20">
        <f>Разбивка_по_щитам!K1900</f>
      </c>
      <c r="I1895" s="20">
        <f>Разбивка_по_щитам!L1900</f>
      </c>
      <c r="J1895" s="20">
        <f>Разбивка_по_щитам!M1900</f>
      </c>
      <c r="K1895" s="20">
        <f>Разбивка_по_щитам!N1900</f>
      </c>
      <c r="L1895" s="20"/>
      <c r="M1895" s="20">
        <f>Разбивка_по_щитам!P1900</f>
      </c>
      <c r="N1895" s="20"/>
    </row>
    <row r="1896" spans="2:14" x14ac:dyDescent="0.25">
      <c r="B1896" s="20">
        <f>Разбивка_по_щитам!B1901</f>
      </c>
      <c r="C1896" s="20">
        <f>Разбивка_по_щитам!C1901</f>
      </c>
      <c r="D1896" s="20">
        <f>Разбивка_по_щитам!F1901</f>
      </c>
      <c r="E1896" s="20">
        <f>Разбивка_по_щитам!H1901</f>
      </c>
      <c r="F1896" s="20">
        <f>Разбивка_по_щитам!I1901</f>
      </c>
      <c r="G1896" s="20">
        <f>Разбивка_по_щитам!J1901</f>
      </c>
      <c r="H1896" s="20">
        <f>Разбивка_по_щитам!K1901</f>
      </c>
      <c r="I1896" s="20">
        <f>Разбивка_по_щитам!L1901</f>
      </c>
      <c r="J1896" s="20">
        <f>Разбивка_по_щитам!M1901</f>
      </c>
      <c r="K1896" s="20">
        <f>Разбивка_по_щитам!N1901</f>
      </c>
      <c r="L1896" s="20"/>
      <c r="M1896" s="20">
        <f>Разбивка_по_щитам!P1901</f>
      </c>
      <c r="N1896" s="20"/>
    </row>
    <row r="1897" spans="2:14" x14ac:dyDescent="0.25">
      <c r="B1897" s="20">
        <f>Разбивка_по_щитам!B1902</f>
      </c>
      <c r="C1897" s="20">
        <f>Разбивка_по_щитам!C1902</f>
      </c>
      <c r="D1897" s="20">
        <f>Разбивка_по_щитам!F1902</f>
      </c>
      <c r="E1897" s="20">
        <f>Разбивка_по_щитам!H1902</f>
      </c>
      <c r="F1897" s="20">
        <f>Разбивка_по_щитам!I1902</f>
      </c>
      <c r="G1897" s="20">
        <f>Разбивка_по_щитам!J1902</f>
      </c>
      <c r="H1897" s="20">
        <f>Разбивка_по_щитам!K1902</f>
      </c>
      <c r="I1897" s="20">
        <f>Разбивка_по_щитам!L1902</f>
      </c>
      <c r="J1897" s="20">
        <f>Разбивка_по_щитам!M1902</f>
      </c>
      <c r="K1897" s="20">
        <f>Разбивка_по_щитам!N1902</f>
      </c>
      <c r="L1897" s="20"/>
      <c r="M1897" s="20">
        <f>Разбивка_по_щитам!P1902</f>
      </c>
      <c r="N1897" s="20"/>
    </row>
    <row r="1898" spans="2:14" x14ac:dyDescent="0.25">
      <c r="B1898" s="20">
        <f>Разбивка_по_щитам!B1903</f>
      </c>
      <c r="C1898" s="20">
        <f>Разбивка_по_щитам!C1903</f>
      </c>
      <c r="D1898" s="20">
        <f>Разбивка_по_щитам!F1903</f>
      </c>
      <c r="E1898" s="20">
        <f>Разбивка_по_щитам!H1903</f>
      </c>
      <c r="F1898" s="20">
        <f>Разбивка_по_щитам!I1903</f>
      </c>
      <c r="G1898" s="20">
        <f>Разбивка_по_щитам!J1903</f>
      </c>
      <c r="H1898" s="20">
        <f>Разбивка_по_щитам!K1903</f>
      </c>
      <c r="I1898" s="20">
        <f>Разбивка_по_щитам!L1903</f>
      </c>
      <c r="J1898" s="20">
        <f>Разбивка_по_щитам!M1903</f>
      </c>
      <c r="K1898" s="20">
        <f>Разбивка_по_щитам!N1903</f>
      </c>
      <c r="L1898" s="20"/>
      <c r="M1898" s="20">
        <f>Разбивка_по_щитам!P1903</f>
      </c>
      <c r="N1898" s="20"/>
    </row>
    <row r="1899" spans="2:14" x14ac:dyDescent="0.25">
      <c r="B1899" s="20">
        <f>Разбивка_по_щитам!B1904</f>
      </c>
      <c r="C1899" s="20">
        <f>Разбивка_по_щитам!C1904</f>
      </c>
      <c r="D1899" s="20">
        <f>Разбивка_по_щитам!F1904</f>
      </c>
      <c r="E1899" s="20">
        <f>Разбивка_по_щитам!H1904</f>
      </c>
      <c r="F1899" s="20">
        <f>Разбивка_по_щитам!I1904</f>
      </c>
      <c r="G1899" s="20">
        <f>Разбивка_по_щитам!J1904</f>
      </c>
      <c r="H1899" s="20">
        <f>Разбивка_по_щитам!K1904</f>
      </c>
      <c r="I1899" s="20">
        <f>Разбивка_по_щитам!L1904</f>
      </c>
      <c r="J1899" s="20">
        <f>Разбивка_по_щитам!M1904</f>
      </c>
      <c r="K1899" s="20">
        <f>Разбивка_по_щитам!N1904</f>
      </c>
      <c r="L1899" s="20"/>
      <c r="M1899" s="20">
        <f>Разбивка_по_щитам!P1904</f>
      </c>
      <c r="N1899" s="20"/>
    </row>
    <row r="1900" spans="2:14" x14ac:dyDescent="0.25">
      <c r="B1900" s="20">
        <f>Разбивка_по_щитам!B1905</f>
      </c>
      <c r="C1900" s="20">
        <f>Разбивка_по_щитам!C1905</f>
      </c>
      <c r="D1900" s="20">
        <f>Разбивка_по_щитам!F1905</f>
      </c>
      <c r="E1900" s="20">
        <f>Разбивка_по_щитам!H1905</f>
      </c>
      <c r="F1900" s="20">
        <f>Разбивка_по_щитам!I1905</f>
      </c>
      <c r="G1900" s="20">
        <f>Разбивка_по_щитам!J1905</f>
      </c>
      <c r="H1900" s="20">
        <f>Разбивка_по_щитам!K1905</f>
      </c>
      <c r="I1900" s="20">
        <f>Разбивка_по_щитам!L1905</f>
      </c>
      <c r="J1900" s="20">
        <f>Разбивка_по_щитам!M1905</f>
      </c>
      <c r="K1900" s="20">
        <f>Разбивка_по_щитам!N1905</f>
      </c>
      <c r="L1900" s="20"/>
      <c r="M1900" s="20">
        <f>Разбивка_по_щитам!P1905</f>
      </c>
      <c r="N1900" s="20"/>
    </row>
    <row r="1901" spans="2:14" x14ac:dyDescent="0.25">
      <c r="B1901" s="20">
        <f>Разбивка_по_щитам!B1906</f>
      </c>
      <c r="C1901" s="20">
        <f>Разбивка_по_щитам!C1906</f>
      </c>
      <c r="D1901" s="20">
        <f>Разбивка_по_щитам!F1906</f>
      </c>
      <c r="E1901" s="20">
        <f>Разбивка_по_щитам!H1906</f>
      </c>
      <c r="F1901" s="20">
        <f>Разбивка_по_щитам!I1906</f>
      </c>
      <c r="G1901" s="20">
        <f>Разбивка_по_щитам!J1906</f>
      </c>
      <c r="H1901" s="20">
        <f>Разбивка_по_щитам!K1906</f>
      </c>
      <c r="I1901" s="20">
        <f>Разбивка_по_щитам!L1906</f>
      </c>
      <c r="J1901" s="20">
        <f>Разбивка_по_щитам!M1906</f>
      </c>
      <c r="K1901" s="20">
        <f>Разбивка_по_щитам!N1906</f>
      </c>
      <c r="L1901" s="20"/>
      <c r="M1901" s="20">
        <f>Разбивка_по_щитам!P1906</f>
      </c>
      <c r="N1901" s="20"/>
    </row>
    <row r="1902" spans="2:14" x14ac:dyDescent="0.25">
      <c r="B1902" s="20">
        <f>Разбивка_по_щитам!B1907</f>
      </c>
      <c r="C1902" s="20">
        <f>Разбивка_по_щитам!C1907</f>
      </c>
      <c r="D1902" s="20">
        <f>Разбивка_по_щитам!F1907</f>
      </c>
      <c r="E1902" s="20">
        <f>Разбивка_по_щитам!H1907</f>
      </c>
      <c r="F1902" s="20">
        <f>Разбивка_по_щитам!I1907</f>
      </c>
      <c r="G1902" s="20">
        <f>Разбивка_по_щитам!J1907</f>
      </c>
      <c r="H1902" s="20">
        <f>Разбивка_по_щитам!K1907</f>
      </c>
      <c r="I1902" s="20">
        <f>Разбивка_по_щитам!L1907</f>
      </c>
      <c r="J1902" s="20">
        <f>Разбивка_по_щитам!M1907</f>
      </c>
      <c r="K1902" s="20">
        <f>Разбивка_по_щитам!N1907</f>
      </c>
      <c r="L1902" s="20"/>
      <c r="M1902" s="20">
        <f>Разбивка_по_щитам!P1907</f>
      </c>
      <c r="N1902" s="20"/>
    </row>
    <row r="1903" spans="2:14" x14ac:dyDescent="0.25">
      <c r="B1903" s="20">
        <f>Разбивка_по_щитам!B1908</f>
      </c>
      <c r="C1903" s="20">
        <f>Разбивка_по_щитам!C1908</f>
      </c>
      <c r="D1903" s="20">
        <f>Разбивка_по_щитам!F1908</f>
      </c>
      <c r="E1903" s="20">
        <f>Разбивка_по_щитам!H1908</f>
      </c>
      <c r="F1903" s="20">
        <f>Разбивка_по_щитам!I1908</f>
      </c>
      <c r="G1903" s="20">
        <f>Разбивка_по_щитам!J1908</f>
      </c>
      <c r="H1903" s="20">
        <f>Разбивка_по_щитам!K1908</f>
      </c>
      <c r="I1903" s="20">
        <f>Разбивка_по_щитам!L1908</f>
      </c>
      <c r="J1903" s="20">
        <f>Разбивка_по_щитам!M1908</f>
      </c>
      <c r="K1903" s="20">
        <f>Разбивка_по_щитам!N1908</f>
      </c>
      <c r="L1903" s="20"/>
      <c r="M1903" s="20">
        <f>Разбивка_по_щитам!P1908</f>
      </c>
      <c r="N1903" s="20"/>
    </row>
    <row r="1904" spans="2:14" x14ac:dyDescent="0.25">
      <c r="B1904" s="20">
        <f>Разбивка_по_щитам!B1909</f>
      </c>
      <c r="C1904" s="20">
        <f>Разбивка_по_щитам!C1909</f>
      </c>
      <c r="D1904" s="20">
        <f>Разбивка_по_щитам!F1909</f>
      </c>
      <c r="E1904" s="20">
        <f>Разбивка_по_щитам!H1909</f>
      </c>
      <c r="F1904" s="20">
        <f>Разбивка_по_щитам!I1909</f>
      </c>
      <c r="G1904" s="20">
        <f>Разбивка_по_щитам!J1909</f>
      </c>
      <c r="H1904" s="20">
        <f>Разбивка_по_щитам!K1909</f>
      </c>
      <c r="I1904" s="20">
        <f>Разбивка_по_щитам!L1909</f>
      </c>
      <c r="J1904" s="20">
        <f>Разбивка_по_щитам!M1909</f>
      </c>
      <c r="K1904" s="20">
        <f>Разбивка_по_щитам!N1909</f>
      </c>
      <c r="L1904" s="20"/>
      <c r="M1904" s="20">
        <f>Разбивка_по_щитам!P1909</f>
      </c>
      <c r="N1904" s="20"/>
    </row>
    <row r="1905" spans="2:14" x14ac:dyDescent="0.25">
      <c r="B1905" s="20">
        <f>Разбивка_по_щитам!B1910</f>
      </c>
      <c r="C1905" s="20">
        <f>Разбивка_по_щитам!C1910</f>
      </c>
      <c r="D1905" s="20">
        <f>Разбивка_по_щитам!F1910</f>
      </c>
      <c r="E1905" s="20">
        <f>Разбивка_по_щитам!H1910</f>
      </c>
      <c r="F1905" s="20">
        <f>Разбивка_по_щитам!I1910</f>
      </c>
      <c r="G1905" s="20">
        <f>Разбивка_по_щитам!J1910</f>
      </c>
      <c r="H1905" s="20">
        <f>Разбивка_по_щитам!K1910</f>
      </c>
      <c r="I1905" s="20">
        <f>Разбивка_по_щитам!L1910</f>
      </c>
      <c r="J1905" s="20">
        <f>Разбивка_по_щитам!M1910</f>
      </c>
      <c r="K1905" s="20">
        <f>Разбивка_по_щитам!N1910</f>
      </c>
      <c r="L1905" s="20"/>
      <c r="M1905" s="20">
        <f>Разбивка_по_щитам!P1910</f>
      </c>
      <c r="N1905" s="20"/>
    </row>
    <row r="1906" spans="2:14" x14ac:dyDescent="0.25">
      <c r="B1906" s="20">
        <f>Разбивка_по_щитам!B1911</f>
      </c>
      <c r="C1906" s="20">
        <f>Разбивка_по_щитам!C1911</f>
      </c>
      <c r="D1906" s="20">
        <f>Разбивка_по_щитам!F1911</f>
      </c>
      <c r="E1906" s="20">
        <f>Разбивка_по_щитам!H1911</f>
      </c>
      <c r="F1906" s="20">
        <f>Разбивка_по_щитам!I1911</f>
      </c>
      <c r="G1906" s="20">
        <f>Разбивка_по_щитам!J1911</f>
      </c>
      <c r="H1906" s="20">
        <f>Разбивка_по_щитам!K1911</f>
      </c>
      <c r="I1906" s="20">
        <f>Разбивка_по_щитам!L1911</f>
      </c>
      <c r="J1906" s="20">
        <f>Разбивка_по_щитам!M1911</f>
      </c>
      <c r="K1906" s="20">
        <f>Разбивка_по_щитам!N1911</f>
      </c>
      <c r="L1906" s="20"/>
      <c r="M1906" s="20">
        <f>Разбивка_по_щитам!P1911</f>
      </c>
      <c r="N1906" s="20"/>
    </row>
    <row r="1907" spans="2:14" x14ac:dyDescent="0.25">
      <c r="B1907" s="20">
        <f>Разбивка_по_щитам!B1912</f>
      </c>
      <c r="C1907" s="20">
        <f>Разбивка_по_щитам!C1912</f>
      </c>
      <c r="D1907" s="20">
        <f>Разбивка_по_щитам!F1912</f>
      </c>
      <c r="E1907" s="20">
        <f>Разбивка_по_щитам!H1912</f>
      </c>
      <c r="F1907" s="20">
        <f>Разбивка_по_щитам!I1912</f>
      </c>
      <c r="G1907" s="20">
        <f>Разбивка_по_щитам!J1912</f>
      </c>
      <c r="H1907" s="20">
        <f>Разбивка_по_щитам!K1912</f>
      </c>
      <c r="I1907" s="20">
        <f>Разбивка_по_щитам!L1912</f>
      </c>
      <c r="J1907" s="20">
        <f>Разбивка_по_щитам!M1912</f>
      </c>
      <c r="K1907" s="20">
        <f>Разбивка_по_щитам!N1912</f>
      </c>
      <c r="L1907" s="20"/>
      <c r="M1907" s="20">
        <f>Разбивка_по_щитам!P1912</f>
      </c>
      <c r="N1907" s="20"/>
    </row>
    <row r="1908" spans="2:14" x14ac:dyDescent="0.25">
      <c r="B1908" s="20">
        <f>Разбивка_по_щитам!B1913</f>
      </c>
      <c r="C1908" s="20">
        <f>Разбивка_по_щитам!C1913</f>
      </c>
      <c r="D1908" s="20">
        <f>Разбивка_по_щитам!F1913</f>
      </c>
      <c r="E1908" s="20">
        <f>Разбивка_по_щитам!H1913</f>
      </c>
      <c r="F1908" s="20">
        <f>Разбивка_по_щитам!I1913</f>
      </c>
      <c r="G1908" s="20">
        <f>Разбивка_по_щитам!J1913</f>
      </c>
      <c r="H1908" s="20">
        <f>Разбивка_по_щитам!K1913</f>
      </c>
      <c r="I1908" s="20">
        <f>Разбивка_по_щитам!L1913</f>
      </c>
      <c r="J1908" s="20">
        <f>Разбивка_по_щитам!M1913</f>
      </c>
      <c r="K1908" s="20">
        <f>Разбивка_по_щитам!N1913</f>
      </c>
      <c r="L1908" s="20"/>
      <c r="M1908" s="20">
        <f>Разбивка_по_щитам!P1913</f>
      </c>
      <c r="N1908" s="20"/>
    </row>
    <row r="1909" spans="2:14" x14ac:dyDescent="0.25">
      <c r="B1909" s="20">
        <f>Разбивка_по_щитам!B1914</f>
      </c>
      <c r="C1909" s="20">
        <f>Разбивка_по_щитам!C1914</f>
      </c>
      <c r="D1909" s="20">
        <f>Разбивка_по_щитам!F1914</f>
      </c>
      <c r="E1909" s="20">
        <f>Разбивка_по_щитам!H1914</f>
      </c>
      <c r="F1909" s="20">
        <f>Разбивка_по_щитам!I1914</f>
      </c>
      <c r="G1909" s="20">
        <f>Разбивка_по_щитам!J1914</f>
      </c>
      <c r="H1909" s="20">
        <f>Разбивка_по_щитам!K1914</f>
      </c>
      <c r="I1909" s="20">
        <f>Разбивка_по_щитам!L1914</f>
      </c>
      <c r="J1909" s="20">
        <f>Разбивка_по_щитам!M1914</f>
      </c>
      <c r="K1909" s="20">
        <f>Разбивка_по_щитам!N1914</f>
      </c>
      <c r="L1909" s="20"/>
      <c r="M1909" s="20">
        <f>Разбивка_по_щитам!P1914</f>
      </c>
      <c r="N1909" s="20"/>
    </row>
    <row r="1910" spans="2:14" x14ac:dyDescent="0.25">
      <c r="B1910" s="20">
        <f>Разбивка_по_щитам!B1915</f>
      </c>
      <c r="C1910" s="20">
        <f>Разбивка_по_щитам!C1915</f>
      </c>
      <c r="D1910" s="20">
        <f>Разбивка_по_щитам!F1915</f>
      </c>
      <c r="E1910" s="20">
        <f>Разбивка_по_щитам!H1915</f>
      </c>
      <c r="F1910" s="20">
        <f>Разбивка_по_щитам!I1915</f>
      </c>
      <c r="G1910" s="20">
        <f>Разбивка_по_щитам!J1915</f>
      </c>
      <c r="H1910" s="20">
        <f>Разбивка_по_щитам!K1915</f>
      </c>
      <c r="I1910" s="20">
        <f>Разбивка_по_щитам!L1915</f>
      </c>
      <c r="J1910" s="20">
        <f>Разбивка_по_щитам!M1915</f>
      </c>
      <c r="K1910" s="20">
        <f>Разбивка_по_щитам!N1915</f>
      </c>
      <c r="L1910" s="20"/>
      <c r="M1910" s="20">
        <f>Разбивка_по_щитам!P1915</f>
      </c>
      <c r="N1910" s="20"/>
    </row>
    <row r="1911" spans="2:14" x14ac:dyDescent="0.25">
      <c r="B1911" s="20">
        <f>Разбивка_по_щитам!B1916</f>
      </c>
      <c r="C1911" s="20">
        <f>Разбивка_по_щитам!C1916</f>
      </c>
      <c r="D1911" s="20">
        <f>Разбивка_по_щитам!F1916</f>
      </c>
      <c r="E1911" s="20">
        <f>Разбивка_по_щитам!H1916</f>
      </c>
      <c r="F1911" s="20">
        <f>Разбивка_по_щитам!I1916</f>
      </c>
      <c r="G1911" s="20">
        <f>Разбивка_по_щитам!J1916</f>
      </c>
      <c r="H1911" s="20">
        <f>Разбивка_по_щитам!K1916</f>
      </c>
      <c r="I1911" s="20">
        <f>Разбивка_по_щитам!L1916</f>
      </c>
      <c r="J1911" s="20">
        <f>Разбивка_по_щитам!M1916</f>
      </c>
      <c r="K1911" s="20">
        <f>Разбивка_по_щитам!N1916</f>
      </c>
      <c r="L1911" s="20"/>
      <c r="M1911" s="20">
        <f>Разбивка_по_щитам!P1916</f>
      </c>
      <c r="N1911" s="20"/>
    </row>
    <row r="1912" spans="2:14" x14ac:dyDescent="0.25">
      <c r="B1912" s="20">
        <f>Разбивка_по_щитам!B1917</f>
      </c>
      <c r="C1912" s="20">
        <f>Разбивка_по_щитам!C1917</f>
      </c>
      <c r="D1912" s="20">
        <f>Разбивка_по_щитам!F1917</f>
      </c>
      <c r="E1912" s="20">
        <f>Разбивка_по_щитам!H1917</f>
      </c>
      <c r="F1912" s="20">
        <f>Разбивка_по_щитам!I1917</f>
      </c>
      <c r="G1912" s="20">
        <f>Разбивка_по_щитам!J1917</f>
      </c>
      <c r="H1912" s="20">
        <f>Разбивка_по_щитам!K1917</f>
      </c>
      <c r="I1912" s="20">
        <f>Разбивка_по_щитам!L1917</f>
      </c>
      <c r="J1912" s="20">
        <f>Разбивка_по_щитам!M1917</f>
      </c>
      <c r="K1912" s="20">
        <f>Разбивка_по_щитам!N1917</f>
      </c>
      <c r="L1912" s="20"/>
      <c r="M1912" s="20">
        <f>Разбивка_по_щитам!P1917</f>
      </c>
      <c r="N1912" s="20"/>
    </row>
    <row r="1913" spans="2:14" x14ac:dyDescent="0.25">
      <c r="B1913" s="20">
        <f>Разбивка_по_щитам!B1918</f>
      </c>
      <c r="C1913" s="20">
        <f>Разбивка_по_щитам!C1918</f>
      </c>
      <c r="D1913" s="20">
        <f>Разбивка_по_щитам!F1918</f>
      </c>
      <c r="E1913" s="20">
        <f>Разбивка_по_щитам!H1918</f>
      </c>
      <c r="F1913" s="20">
        <f>Разбивка_по_щитам!I1918</f>
      </c>
      <c r="G1913" s="20">
        <f>Разбивка_по_щитам!J1918</f>
      </c>
      <c r="H1913" s="20">
        <f>Разбивка_по_щитам!K1918</f>
      </c>
      <c r="I1913" s="20">
        <f>Разбивка_по_щитам!L1918</f>
      </c>
      <c r="J1913" s="20">
        <f>Разбивка_по_щитам!M1918</f>
      </c>
      <c r="K1913" s="20">
        <f>Разбивка_по_щитам!N1918</f>
      </c>
      <c r="L1913" s="20"/>
      <c r="M1913" s="20">
        <f>Разбивка_по_щитам!P1918</f>
      </c>
      <c r="N1913" s="20"/>
    </row>
    <row r="1914" spans="2:14" x14ac:dyDescent="0.25">
      <c r="B1914" s="20">
        <f>Разбивка_по_щитам!B1919</f>
      </c>
      <c r="C1914" s="20">
        <f>Разбивка_по_щитам!C1919</f>
      </c>
      <c r="D1914" s="20">
        <f>Разбивка_по_щитам!F1919</f>
      </c>
      <c r="E1914" s="20">
        <f>Разбивка_по_щитам!H1919</f>
      </c>
      <c r="F1914" s="20">
        <f>Разбивка_по_щитам!I1919</f>
      </c>
      <c r="G1914" s="20">
        <f>Разбивка_по_щитам!J1919</f>
      </c>
      <c r="H1914" s="20">
        <f>Разбивка_по_щитам!K1919</f>
      </c>
      <c r="I1914" s="20">
        <f>Разбивка_по_щитам!L1919</f>
      </c>
      <c r="J1914" s="20">
        <f>Разбивка_по_щитам!M1919</f>
      </c>
      <c r="K1914" s="20">
        <f>Разбивка_по_щитам!N1919</f>
      </c>
      <c r="L1914" s="20"/>
      <c r="M1914" s="20">
        <f>Разбивка_по_щитам!P1919</f>
      </c>
      <c r="N1914" s="20"/>
    </row>
    <row r="1915" spans="2:14" x14ac:dyDescent="0.25">
      <c r="B1915" s="20">
        <f>Разбивка_по_щитам!B1920</f>
      </c>
      <c r="C1915" s="20">
        <f>Разбивка_по_щитам!C1920</f>
      </c>
      <c r="D1915" s="20">
        <f>Разбивка_по_щитам!F1920</f>
      </c>
      <c r="E1915" s="20">
        <f>Разбивка_по_щитам!H1920</f>
      </c>
      <c r="F1915" s="20">
        <f>Разбивка_по_щитам!I1920</f>
      </c>
      <c r="G1915" s="20">
        <f>Разбивка_по_щитам!J1920</f>
      </c>
      <c r="H1915" s="20">
        <f>Разбивка_по_щитам!K1920</f>
      </c>
      <c r="I1915" s="20">
        <f>Разбивка_по_щитам!L1920</f>
      </c>
      <c r="J1915" s="20">
        <f>Разбивка_по_щитам!M1920</f>
      </c>
      <c r="K1915" s="20">
        <f>Разбивка_по_щитам!N1920</f>
      </c>
      <c r="L1915" s="20"/>
      <c r="M1915" s="20">
        <f>Разбивка_по_щитам!P1920</f>
      </c>
      <c r="N1915" s="20"/>
    </row>
    <row r="1916" spans="2:14" x14ac:dyDescent="0.25">
      <c r="B1916" s="20">
        <f>Разбивка_по_щитам!B1921</f>
      </c>
      <c r="C1916" s="20">
        <f>Разбивка_по_щитам!C1921</f>
      </c>
      <c r="D1916" s="20">
        <f>Разбивка_по_щитам!F1921</f>
      </c>
      <c r="E1916" s="20">
        <f>Разбивка_по_щитам!H1921</f>
      </c>
      <c r="F1916" s="20">
        <f>Разбивка_по_щитам!I1921</f>
      </c>
      <c r="G1916" s="20">
        <f>Разбивка_по_щитам!J1921</f>
      </c>
      <c r="H1916" s="20">
        <f>Разбивка_по_щитам!K1921</f>
      </c>
      <c r="I1916" s="20">
        <f>Разбивка_по_щитам!L1921</f>
      </c>
      <c r="J1916" s="20">
        <f>Разбивка_по_щитам!M1921</f>
      </c>
      <c r="K1916" s="20">
        <f>Разбивка_по_щитам!N1921</f>
      </c>
      <c r="L1916" s="20"/>
      <c r="M1916" s="20">
        <f>Разбивка_по_щитам!P1921</f>
      </c>
      <c r="N1916" s="20"/>
    </row>
    <row r="1917" spans="2:14" x14ac:dyDescent="0.25">
      <c r="B1917" s="20">
        <f>Разбивка_по_щитам!B1922</f>
      </c>
      <c r="C1917" s="20">
        <f>Разбивка_по_щитам!C1922</f>
      </c>
      <c r="D1917" s="20">
        <f>Разбивка_по_щитам!F1922</f>
      </c>
      <c r="E1917" s="20">
        <f>Разбивка_по_щитам!H1922</f>
      </c>
      <c r="F1917" s="20">
        <f>Разбивка_по_щитам!I1922</f>
      </c>
      <c r="G1917" s="20">
        <f>Разбивка_по_щитам!J1922</f>
      </c>
      <c r="H1917" s="20">
        <f>Разбивка_по_щитам!K1922</f>
      </c>
      <c r="I1917" s="20">
        <f>Разбивка_по_щитам!L1922</f>
      </c>
      <c r="J1917" s="20">
        <f>Разбивка_по_щитам!M1922</f>
      </c>
      <c r="K1917" s="20">
        <f>Разбивка_по_щитам!N1922</f>
      </c>
      <c r="L1917" s="20"/>
      <c r="M1917" s="20">
        <f>Разбивка_по_щитам!P1922</f>
      </c>
      <c r="N1917" s="20"/>
    </row>
    <row r="1918" spans="2:14" x14ac:dyDescent="0.25">
      <c r="B1918" s="20">
        <f>Разбивка_по_щитам!B1923</f>
      </c>
      <c r="C1918" s="20">
        <f>Разбивка_по_щитам!C1923</f>
      </c>
      <c r="D1918" s="20">
        <f>Разбивка_по_щитам!F1923</f>
      </c>
      <c r="E1918" s="20">
        <f>Разбивка_по_щитам!H1923</f>
      </c>
      <c r="F1918" s="20">
        <f>Разбивка_по_щитам!I1923</f>
      </c>
      <c r="G1918" s="20">
        <f>Разбивка_по_щитам!J1923</f>
      </c>
      <c r="H1918" s="20">
        <f>Разбивка_по_щитам!K1923</f>
      </c>
      <c r="I1918" s="20">
        <f>Разбивка_по_щитам!L1923</f>
      </c>
      <c r="J1918" s="20">
        <f>Разбивка_по_щитам!M1923</f>
      </c>
      <c r="K1918" s="20">
        <f>Разбивка_по_щитам!N1923</f>
      </c>
      <c r="L1918" s="20"/>
      <c r="M1918" s="20">
        <f>Разбивка_по_щитам!P1923</f>
      </c>
      <c r="N1918" s="20"/>
    </row>
    <row r="1919" spans="2:14" x14ac:dyDescent="0.25">
      <c r="B1919" s="20">
        <f>Разбивка_по_щитам!B1924</f>
      </c>
      <c r="C1919" s="20">
        <f>Разбивка_по_щитам!C1924</f>
      </c>
      <c r="D1919" s="20">
        <f>Разбивка_по_щитам!F1924</f>
      </c>
      <c r="E1919" s="20">
        <f>Разбивка_по_щитам!H1924</f>
      </c>
      <c r="F1919" s="20">
        <f>Разбивка_по_щитам!I1924</f>
      </c>
      <c r="G1919" s="20">
        <f>Разбивка_по_щитам!J1924</f>
      </c>
      <c r="H1919" s="20">
        <f>Разбивка_по_щитам!K1924</f>
      </c>
      <c r="I1919" s="20">
        <f>Разбивка_по_щитам!L1924</f>
      </c>
      <c r="J1919" s="20">
        <f>Разбивка_по_щитам!M1924</f>
      </c>
      <c r="K1919" s="20">
        <f>Разбивка_по_щитам!N1924</f>
      </c>
      <c r="L1919" s="20"/>
      <c r="M1919" s="20">
        <f>Разбивка_по_щитам!P1924</f>
      </c>
      <c r="N1919" s="20"/>
    </row>
    <row r="1920" spans="2:14" x14ac:dyDescent="0.25">
      <c r="B1920" s="20">
        <f>Разбивка_по_щитам!B1925</f>
      </c>
      <c r="C1920" s="20">
        <f>Разбивка_по_щитам!C1925</f>
      </c>
      <c r="D1920" s="20">
        <f>Разбивка_по_щитам!F1925</f>
      </c>
      <c r="E1920" s="20">
        <f>Разбивка_по_щитам!H1925</f>
      </c>
      <c r="F1920" s="20">
        <f>Разбивка_по_щитам!I1925</f>
      </c>
      <c r="G1920" s="20">
        <f>Разбивка_по_щитам!J1925</f>
      </c>
      <c r="H1920" s="20">
        <f>Разбивка_по_щитам!K1925</f>
      </c>
      <c r="I1920" s="20">
        <f>Разбивка_по_щитам!L1925</f>
      </c>
      <c r="J1920" s="20">
        <f>Разбивка_по_щитам!M1925</f>
      </c>
      <c r="K1920" s="20">
        <f>Разбивка_по_щитам!N1925</f>
      </c>
      <c r="L1920" s="20"/>
      <c r="M1920" s="20">
        <f>Разбивка_по_щитам!P1925</f>
      </c>
      <c r="N1920" s="20"/>
    </row>
    <row r="1921" spans="2:14" x14ac:dyDescent="0.25">
      <c r="B1921" s="20">
        <f>Разбивка_по_щитам!B1926</f>
      </c>
      <c r="C1921" s="20">
        <f>Разбивка_по_щитам!C1926</f>
      </c>
      <c r="D1921" s="20">
        <f>Разбивка_по_щитам!F1926</f>
      </c>
      <c r="E1921" s="20">
        <f>Разбивка_по_щитам!H1926</f>
      </c>
      <c r="F1921" s="20">
        <f>Разбивка_по_щитам!I1926</f>
      </c>
      <c r="G1921" s="20">
        <f>Разбивка_по_щитам!J1926</f>
      </c>
      <c r="H1921" s="20">
        <f>Разбивка_по_щитам!K1926</f>
      </c>
      <c r="I1921" s="20">
        <f>Разбивка_по_щитам!L1926</f>
      </c>
      <c r="J1921" s="20">
        <f>Разбивка_по_щитам!M1926</f>
      </c>
      <c r="K1921" s="20">
        <f>Разбивка_по_щитам!N1926</f>
      </c>
      <c r="L1921" s="20"/>
      <c r="M1921" s="20">
        <f>Разбивка_по_щитам!P1926</f>
      </c>
      <c r="N1921" s="20"/>
    </row>
    <row r="1922" spans="2:14" x14ac:dyDescent="0.25">
      <c r="B1922" s="20">
        <f>Разбивка_по_щитам!B1927</f>
      </c>
      <c r="C1922" s="20">
        <f>Разбивка_по_щитам!C1927</f>
      </c>
      <c r="D1922" s="20">
        <f>Разбивка_по_щитам!F1927</f>
      </c>
      <c r="E1922" s="20">
        <f>Разбивка_по_щитам!H1927</f>
      </c>
      <c r="F1922" s="20">
        <f>Разбивка_по_щитам!I1927</f>
      </c>
      <c r="G1922" s="20">
        <f>Разбивка_по_щитам!J1927</f>
      </c>
      <c r="H1922" s="20">
        <f>Разбивка_по_щитам!K1927</f>
      </c>
      <c r="I1922" s="20">
        <f>Разбивка_по_щитам!L1927</f>
      </c>
      <c r="J1922" s="20">
        <f>Разбивка_по_щитам!M1927</f>
      </c>
      <c r="K1922" s="20">
        <f>Разбивка_по_щитам!N1927</f>
      </c>
      <c r="L1922" s="20"/>
      <c r="M1922" s="20">
        <f>Разбивка_по_щитам!P1927</f>
      </c>
      <c r="N1922" s="20"/>
    </row>
    <row r="1923" spans="2:14" x14ac:dyDescent="0.25">
      <c r="B1923" s="20">
        <f>Разбивка_по_щитам!B1928</f>
      </c>
      <c r="C1923" s="20">
        <f>Разбивка_по_щитам!C1928</f>
      </c>
      <c r="D1923" s="20">
        <f>Разбивка_по_щитам!F1928</f>
      </c>
      <c r="E1923" s="20">
        <f>Разбивка_по_щитам!H1928</f>
      </c>
      <c r="F1923" s="20">
        <f>Разбивка_по_щитам!I1928</f>
      </c>
      <c r="G1923" s="20">
        <f>Разбивка_по_щитам!J1928</f>
      </c>
      <c r="H1923" s="20">
        <f>Разбивка_по_щитам!K1928</f>
      </c>
      <c r="I1923" s="20">
        <f>Разбивка_по_щитам!L1928</f>
      </c>
      <c r="J1923" s="20">
        <f>Разбивка_по_щитам!M1928</f>
      </c>
      <c r="K1923" s="20">
        <f>Разбивка_по_щитам!N1928</f>
      </c>
      <c r="L1923" s="20"/>
      <c r="M1923" s="20">
        <f>Разбивка_по_щитам!P1928</f>
      </c>
      <c r="N1923" s="20"/>
    </row>
    <row r="1924" spans="2:14" x14ac:dyDescent="0.25">
      <c r="B1924" s="20">
        <f>Разбивка_по_щитам!B1929</f>
      </c>
      <c r="C1924" s="20">
        <f>Разбивка_по_щитам!C1929</f>
      </c>
      <c r="D1924" s="20">
        <f>Разбивка_по_щитам!F1929</f>
      </c>
      <c r="E1924" s="20">
        <f>Разбивка_по_щитам!H1929</f>
      </c>
      <c r="F1924" s="20">
        <f>Разбивка_по_щитам!I1929</f>
      </c>
      <c r="G1924" s="20">
        <f>Разбивка_по_щитам!J1929</f>
      </c>
      <c r="H1924" s="20">
        <f>Разбивка_по_щитам!K1929</f>
      </c>
      <c r="I1924" s="20">
        <f>Разбивка_по_щитам!L1929</f>
      </c>
      <c r="J1924" s="20">
        <f>Разбивка_по_щитам!M1929</f>
      </c>
      <c r="K1924" s="20">
        <f>Разбивка_по_щитам!N1929</f>
      </c>
      <c r="L1924" s="20"/>
      <c r="M1924" s="20">
        <f>Разбивка_по_щитам!P1929</f>
      </c>
      <c r="N1924" s="20"/>
    </row>
    <row r="1925" spans="2:14" x14ac:dyDescent="0.25">
      <c r="B1925" s="20">
        <f>Разбивка_по_щитам!B1930</f>
      </c>
      <c r="C1925" s="20">
        <f>Разбивка_по_щитам!C1930</f>
      </c>
      <c r="D1925" s="20">
        <f>Разбивка_по_щитам!F1930</f>
      </c>
      <c r="E1925" s="20">
        <f>Разбивка_по_щитам!H1930</f>
      </c>
      <c r="F1925" s="20">
        <f>Разбивка_по_щитам!I1930</f>
      </c>
      <c r="G1925" s="20">
        <f>Разбивка_по_щитам!J1930</f>
      </c>
      <c r="H1925" s="20">
        <f>Разбивка_по_щитам!K1930</f>
      </c>
      <c r="I1925" s="20">
        <f>Разбивка_по_щитам!L1930</f>
      </c>
      <c r="J1925" s="20">
        <f>Разбивка_по_щитам!M1930</f>
      </c>
      <c r="K1925" s="20">
        <f>Разбивка_по_щитам!N1930</f>
      </c>
      <c r="L1925" s="20"/>
      <c r="M1925" s="20">
        <f>Разбивка_по_щитам!P1930</f>
      </c>
      <c r="N1925" s="20"/>
    </row>
    <row r="1926" spans="2:14" x14ac:dyDescent="0.25">
      <c r="B1926" s="20">
        <f>Разбивка_по_щитам!B1931</f>
      </c>
      <c r="C1926" s="20">
        <f>Разбивка_по_щитам!C1931</f>
      </c>
      <c r="D1926" s="20">
        <f>Разбивка_по_щитам!F1931</f>
      </c>
      <c r="E1926" s="20">
        <f>Разбивка_по_щитам!H1931</f>
      </c>
      <c r="F1926" s="20">
        <f>Разбивка_по_щитам!I1931</f>
      </c>
      <c r="G1926" s="20">
        <f>Разбивка_по_щитам!J1931</f>
      </c>
      <c r="H1926" s="20">
        <f>Разбивка_по_щитам!K1931</f>
      </c>
      <c r="I1926" s="20">
        <f>Разбивка_по_щитам!L1931</f>
      </c>
      <c r="J1926" s="20">
        <f>Разбивка_по_щитам!M1931</f>
      </c>
      <c r="K1926" s="20">
        <f>Разбивка_по_щитам!N1931</f>
      </c>
      <c r="L1926" s="20"/>
      <c r="M1926" s="20">
        <f>Разбивка_по_щитам!P1931</f>
      </c>
      <c r="N1926" s="20"/>
    </row>
    <row r="1927" spans="2:14" x14ac:dyDescent="0.25">
      <c r="B1927" s="20">
        <f>Разбивка_по_щитам!B1932</f>
      </c>
      <c r="C1927" s="20">
        <f>Разбивка_по_щитам!C1932</f>
      </c>
      <c r="D1927" s="20">
        <f>Разбивка_по_щитам!F1932</f>
      </c>
      <c r="E1927" s="20">
        <f>Разбивка_по_щитам!H1932</f>
      </c>
      <c r="F1927" s="20">
        <f>Разбивка_по_щитам!I1932</f>
      </c>
      <c r="G1927" s="20">
        <f>Разбивка_по_щитам!J1932</f>
      </c>
      <c r="H1927" s="20">
        <f>Разбивка_по_щитам!K1932</f>
      </c>
      <c r="I1927" s="20">
        <f>Разбивка_по_щитам!L1932</f>
      </c>
      <c r="J1927" s="20">
        <f>Разбивка_по_щитам!M1932</f>
      </c>
      <c r="K1927" s="20">
        <f>Разбивка_по_щитам!N1932</f>
      </c>
      <c r="L1927" s="20"/>
      <c r="M1927" s="20">
        <f>Разбивка_по_щитам!P1932</f>
      </c>
      <c r="N1927" s="20"/>
    </row>
    <row r="1928" spans="2:14" x14ac:dyDescent="0.25">
      <c r="B1928" s="20">
        <f>Разбивка_по_щитам!B1933</f>
      </c>
      <c r="C1928" s="20">
        <f>Разбивка_по_щитам!C1933</f>
      </c>
      <c r="D1928" s="20">
        <f>Разбивка_по_щитам!F1933</f>
      </c>
      <c r="E1928" s="20">
        <f>Разбивка_по_щитам!H1933</f>
      </c>
      <c r="F1928" s="20">
        <f>Разбивка_по_щитам!I1933</f>
      </c>
      <c r="G1928" s="20">
        <f>Разбивка_по_щитам!J1933</f>
      </c>
      <c r="H1928" s="20">
        <f>Разбивка_по_щитам!K1933</f>
      </c>
      <c r="I1928" s="20">
        <f>Разбивка_по_щитам!L1933</f>
      </c>
      <c r="J1928" s="20">
        <f>Разбивка_по_щитам!M1933</f>
      </c>
      <c r="K1928" s="20">
        <f>Разбивка_по_щитам!N1933</f>
      </c>
      <c r="L1928" s="20"/>
      <c r="M1928" s="20">
        <f>Разбивка_по_щитам!P1933</f>
      </c>
      <c r="N1928" s="20"/>
    </row>
    <row r="1929" spans="2:14" x14ac:dyDescent="0.25">
      <c r="B1929" s="20">
        <f>Разбивка_по_щитам!B1934</f>
      </c>
      <c r="C1929" s="20">
        <f>Разбивка_по_щитам!C1934</f>
      </c>
      <c r="D1929" s="20">
        <f>Разбивка_по_щитам!F1934</f>
      </c>
      <c r="E1929" s="20">
        <f>Разбивка_по_щитам!H1934</f>
      </c>
      <c r="F1929" s="20">
        <f>Разбивка_по_щитам!I1934</f>
      </c>
      <c r="G1929" s="20">
        <f>Разбивка_по_щитам!J1934</f>
      </c>
      <c r="H1929" s="20">
        <f>Разбивка_по_щитам!K1934</f>
      </c>
      <c r="I1929" s="20">
        <f>Разбивка_по_щитам!L1934</f>
      </c>
      <c r="J1929" s="20">
        <f>Разбивка_по_щитам!M1934</f>
      </c>
      <c r="K1929" s="20">
        <f>Разбивка_по_щитам!N1934</f>
      </c>
      <c r="L1929" s="20"/>
      <c r="M1929" s="20">
        <f>Разбивка_по_щитам!P1934</f>
      </c>
      <c r="N1929" s="20"/>
    </row>
    <row r="1930" spans="2:14" x14ac:dyDescent="0.25">
      <c r="B1930" s="20">
        <f>Разбивка_по_щитам!B1935</f>
      </c>
      <c r="C1930" s="20">
        <f>Разбивка_по_щитам!C1935</f>
      </c>
      <c r="D1930" s="20">
        <f>Разбивка_по_щитам!F1935</f>
      </c>
      <c r="E1930" s="20">
        <f>Разбивка_по_щитам!H1935</f>
      </c>
      <c r="F1930" s="20">
        <f>Разбивка_по_щитам!I1935</f>
      </c>
      <c r="G1930" s="20">
        <f>Разбивка_по_щитам!J1935</f>
      </c>
      <c r="H1930" s="20">
        <f>Разбивка_по_щитам!K1935</f>
      </c>
      <c r="I1930" s="20">
        <f>Разбивка_по_щитам!L1935</f>
      </c>
      <c r="J1930" s="20">
        <f>Разбивка_по_щитам!M1935</f>
      </c>
      <c r="K1930" s="20">
        <f>Разбивка_по_щитам!N1935</f>
      </c>
      <c r="L1930" s="20"/>
      <c r="M1930" s="20">
        <f>Разбивка_по_щитам!P1935</f>
      </c>
      <c r="N1930" s="20"/>
    </row>
    <row r="1931" spans="2:14" x14ac:dyDescent="0.25">
      <c r="B1931" s="20">
        <f>Разбивка_по_щитам!B1936</f>
      </c>
      <c r="C1931" s="20">
        <f>Разбивка_по_щитам!C1936</f>
      </c>
      <c r="D1931" s="20">
        <f>Разбивка_по_щитам!F1936</f>
      </c>
      <c r="E1931" s="20">
        <f>Разбивка_по_щитам!H1936</f>
      </c>
      <c r="F1931" s="20">
        <f>Разбивка_по_щитам!I1936</f>
      </c>
      <c r="G1931" s="20">
        <f>Разбивка_по_щитам!J1936</f>
      </c>
      <c r="H1931" s="20">
        <f>Разбивка_по_щитам!K1936</f>
      </c>
      <c r="I1931" s="20">
        <f>Разбивка_по_щитам!L1936</f>
      </c>
      <c r="J1931" s="20">
        <f>Разбивка_по_щитам!M1936</f>
      </c>
      <c r="K1931" s="20">
        <f>Разбивка_по_щитам!N1936</f>
      </c>
      <c r="L1931" s="20"/>
      <c r="M1931" s="20">
        <f>Разбивка_по_щитам!P1936</f>
      </c>
      <c r="N1931" s="20"/>
    </row>
    <row r="1932" spans="2:14" x14ac:dyDescent="0.25">
      <c r="B1932" s="20">
        <f>Разбивка_по_щитам!B1937</f>
      </c>
      <c r="C1932" s="20">
        <f>Разбивка_по_щитам!C1937</f>
      </c>
      <c r="D1932" s="20">
        <f>Разбивка_по_щитам!F1937</f>
      </c>
      <c r="E1932" s="20">
        <f>Разбивка_по_щитам!H1937</f>
      </c>
      <c r="F1932" s="20">
        <f>Разбивка_по_щитам!I1937</f>
      </c>
      <c r="G1932" s="20">
        <f>Разбивка_по_щитам!J1937</f>
      </c>
      <c r="H1932" s="20">
        <f>Разбивка_по_щитам!K1937</f>
      </c>
      <c r="I1932" s="20">
        <f>Разбивка_по_щитам!L1937</f>
      </c>
      <c r="J1932" s="20">
        <f>Разбивка_по_щитам!M1937</f>
      </c>
      <c r="K1932" s="20">
        <f>Разбивка_по_щитам!N1937</f>
      </c>
      <c r="L1932" s="20"/>
      <c r="M1932" s="20">
        <f>Разбивка_по_щитам!P1937</f>
      </c>
      <c r="N1932" s="20"/>
    </row>
    <row r="1933" spans="2:14" x14ac:dyDescent="0.25">
      <c r="B1933" s="20">
        <f>Разбивка_по_щитам!B1938</f>
      </c>
      <c r="C1933" s="20">
        <f>Разбивка_по_щитам!C1938</f>
      </c>
      <c r="D1933" s="20">
        <f>Разбивка_по_щитам!F1938</f>
      </c>
      <c r="E1933" s="20">
        <f>Разбивка_по_щитам!H1938</f>
      </c>
      <c r="F1933" s="20">
        <f>Разбивка_по_щитам!I1938</f>
      </c>
      <c r="G1933" s="20">
        <f>Разбивка_по_щитам!J1938</f>
      </c>
      <c r="H1933" s="20">
        <f>Разбивка_по_щитам!K1938</f>
      </c>
      <c r="I1933" s="20">
        <f>Разбивка_по_щитам!L1938</f>
      </c>
      <c r="J1933" s="20">
        <f>Разбивка_по_щитам!M1938</f>
      </c>
      <c r="K1933" s="20">
        <f>Разбивка_по_щитам!N1938</f>
      </c>
      <c r="L1933" s="20"/>
      <c r="M1933" s="20">
        <f>Разбивка_по_щитам!P1938</f>
      </c>
      <c r="N1933" s="20"/>
    </row>
    <row r="1934" spans="2:14" x14ac:dyDescent="0.25">
      <c r="B1934" s="20">
        <f>Разбивка_по_щитам!B1939</f>
      </c>
      <c r="C1934" s="20">
        <f>Разбивка_по_щитам!C1939</f>
      </c>
      <c r="D1934" s="20">
        <f>Разбивка_по_щитам!F1939</f>
      </c>
      <c r="E1934" s="20">
        <f>Разбивка_по_щитам!H1939</f>
      </c>
      <c r="F1934" s="20">
        <f>Разбивка_по_щитам!I1939</f>
      </c>
      <c r="G1934" s="20">
        <f>Разбивка_по_щитам!J1939</f>
      </c>
      <c r="H1934" s="20">
        <f>Разбивка_по_щитам!K1939</f>
      </c>
      <c r="I1934" s="20">
        <f>Разбивка_по_щитам!L1939</f>
      </c>
      <c r="J1934" s="20">
        <f>Разбивка_по_щитам!M1939</f>
      </c>
      <c r="K1934" s="20">
        <f>Разбивка_по_щитам!N1939</f>
      </c>
      <c r="L1934" s="20"/>
      <c r="M1934" s="20">
        <f>Разбивка_по_щитам!P1939</f>
      </c>
      <c r="N1934" s="20"/>
    </row>
    <row r="1935" spans="2:14" x14ac:dyDescent="0.25">
      <c r="B1935" s="20">
        <f>Разбивка_по_щитам!B1940</f>
      </c>
      <c r="C1935" s="20">
        <f>Разбивка_по_щитам!C1940</f>
      </c>
      <c r="D1935" s="20">
        <f>Разбивка_по_щитам!F1940</f>
      </c>
      <c r="E1935" s="20">
        <f>Разбивка_по_щитам!H1940</f>
      </c>
      <c r="F1935" s="20">
        <f>Разбивка_по_щитам!I1940</f>
      </c>
      <c r="G1935" s="20">
        <f>Разбивка_по_щитам!J1940</f>
      </c>
      <c r="H1935" s="20">
        <f>Разбивка_по_щитам!K1940</f>
      </c>
      <c r="I1935" s="20">
        <f>Разбивка_по_щитам!L1940</f>
      </c>
      <c r="J1935" s="20">
        <f>Разбивка_по_щитам!M1940</f>
      </c>
      <c r="K1935" s="20">
        <f>Разбивка_по_щитам!N1940</f>
      </c>
      <c r="L1935" s="20"/>
      <c r="M1935" s="20">
        <f>Разбивка_по_щитам!P1940</f>
      </c>
      <c r="N1935" s="20"/>
    </row>
    <row r="1936" spans="2:14" x14ac:dyDescent="0.25">
      <c r="B1936" s="20">
        <f>Разбивка_по_щитам!B1941</f>
      </c>
      <c r="C1936" s="20">
        <f>Разбивка_по_щитам!C1941</f>
      </c>
      <c r="D1936" s="20">
        <f>Разбивка_по_щитам!F1941</f>
      </c>
      <c r="E1936" s="20">
        <f>Разбивка_по_щитам!H1941</f>
      </c>
      <c r="F1936" s="20">
        <f>Разбивка_по_щитам!I1941</f>
      </c>
      <c r="G1936" s="20">
        <f>Разбивка_по_щитам!J1941</f>
      </c>
      <c r="H1936" s="20">
        <f>Разбивка_по_щитам!K1941</f>
      </c>
      <c r="I1936" s="20">
        <f>Разбивка_по_щитам!L1941</f>
      </c>
      <c r="J1936" s="20">
        <f>Разбивка_по_щитам!M1941</f>
      </c>
      <c r="K1936" s="20">
        <f>Разбивка_по_щитам!N1941</f>
      </c>
      <c r="L1936" s="20"/>
      <c r="M1936" s="20">
        <f>Разбивка_по_щитам!P1941</f>
      </c>
      <c r="N1936" s="20"/>
    </row>
    <row r="1937" spans="2:14" x14ac:dyDescent="0.25">
      <c r="B1937" s="20">
        <f>Разбивка_по_щитам!B1942</f>
      </c>
      <c r="C1937" s="20">
        <f>Разбивка_по_щитам!C1942</f>
      </c>
      <c r="D1937" s="20">
        <f>Разбивка_по_щитам!F1942</f>
      </c>
      <c r="E1937" s="20">
        <f>Разбивка_по_щитам!H1942</f>
      </c>
      <c r="F1937" s="20">
        <f>Разбивка_по_щитам!I1942</f>
      </c>
      <c r="G1937" s="20">
        <f>Разбивка_по_щитам!J1942</f>
      </c>
      <c r="H1937" s="20">
        <f>Разбивка_по_щитам!K1942</f>
      </c>
      <c r="I1937" s="20">
        <f>Разбивка_по_щитам!L1942</f>
      </c>
      <c r="J1937" s="20">
        <f>Разбивка_по_щитам!M1942</f>
      </c>
      <c r="K1937" s="20">
        <f>Разбивка_по_щитам!N1942</f>
      </c>
      <c r="L1937" s="20"/>
      <c r="M1937" s="20">
        <f>Разбивка_по_щитам!P1942</f>
      </c>
      <c r="N1937" s="20"/>
    </row>
    <row r="1938" spans="2:14" x14ac:dyDescent="0.25">
      <c r="B1938" s="20">
        <f>Разбивка_по_щитам!B1943</f>
      </c>
      <c r="C1938" s="20">
        <f>Разбивка_по_щитам!C1943</f>
      </c>
      <c r="D1938" s="20">
        <f>Разбивка_по_щитам!F1943</f>
      </c>
      <c r="E1938" s="20">
        <f>Разбивка_по_щитам!H1943</f>
      </c>
      <c r="F1938" s="20">
        <f>Разбивка_по_щитам!I1943</f>
      </c>
      <c r="G1938" s="20">
        <f>Разбивка_по_щитам!J1943</f>
      </c>
      <c r="H1938" s="20">
        <f>Разбивка_по_щитам!K1943</f>
      </c>
      <c r="I1938" s="20">
        <f>Разбивка_по_щитам!L1943</f>
      </c>
      <c r="J1938" s="20">
        <f>Разбивка_по_щитам!M1943</f>
      </c>
      <c r="K1938" s="20">
        <f>Разбивка_по_щитам!N1943</f>
      </c>
      <c r="L1938" s="20"/>
      <c r="M1938" s="20">
        <f>Разбивка_по_щитам!P1943</f>
      </c>
      <c r="N1938" s="20"/>
    </row>
    <row r="1939" spans="2:14" x14ac:dyDescent="0.25">
      <c r="B1939" s="20">
        <f>Разбивка_по_щитам!B1944</f>
      </c>
      <c r="C1939" s="20">
        <f>Разбивка_по_щитам!C1944</f>
      </c>
      <c r="D1939" s="20">
        <f>Разбивка_по_щитам!F1944</f>
      </c>
      <c r="E1939" s="20">
        <f>Разбивка_по_щитам!H1944</f>
      </c>
      <c r="F1939" s="20">
        <f>Разбивка_по_щитам!I1944</f>
      </c>
      <c r="G1939" s="20">
        <f>Разбивка_по_щитам!J1944</f>
      </c>
      <c r="H1939" s="20">
        <f>Разбивка_по_щитам!K1944</f>
      </c>
      <c r="I1939" s="20">
        <f>Разбивка_по_щитам!L1944</f>
      </c>
      <c r="J1939" s="20">
        <f>Разбивка_по_щитам!M1944</f>
      </c>
      <c r="K1939" s="20">
        <f>Разбивка_по_щитам!N1944</f>
      </c>
      <c r="L1939" s="20"/>
      <c r="M1939" s="20">
        <f>Разбивка_по_щитам!P1944</f>
      </c>
      <c r="N1939" s="20"/>
    </row>
    <row r="1940" spans="2:14" x14ac:dyDescent="0.25">
      <c r="B1940" s="20">
        <f>Разбивка_по_щитам!B1945</f>
      </c>
      <c r="C1940" s="20">
        <f>Разбивка_по_щитам!C1945</f>
      </c>
      <c r="D1940" s="20">
        <f>Разбивка_по_щитам!F1945</f>
      </c>
      <c r="E1940" s="20">
        <f>Разбивка_по_щитам!H1945</f>
      </c>
      <c r="F1940" s="20">
        <f>Разбивка_по_щитам!I1945</f>
      </c>
      <c r="G1940" s="20">
        <f>Разбивка_по_щитам!J1945</f>
      </c>
      <c r="H1940" s="20">
        <f>Разбивка_по_щитам!K1945</f>
      </c>
      <c r="I1940" s="20">
        <f>Разбивка_по_щитам!L1945</f>
      </c>
      <c r="J1940" s="20">
        <f>Разбивка_по_щитам!M1945</f>
      </c>
      <c r="K1940" s="20">
        <f>Разбивка_по_щитам!N1945</f>
      </c>
      <c r="L1940" s="20"/>
      <c r="M1940" s="20">
        <f>Разбивка_по_щитам!P1945</f>
      </c>
      <c r="N1940" s="20"/>
    </row>
    <row r="1941" spans="2:14" x14ac:dyDescent="0.25">
      <c r="B1941" s="20">
        <f>Разбивка_по_щитам!B1946</f>
      </c>
      <c r="C1941" s="20">
        <f>Разбивка_по_щитам!C1946</f>
      </c>
      <c r="D1941" s="20">
        <f>Разбивка_по_щитам!F1946</f>
      </c>
      <c r="E1941" s="20">
        <f>Разбивка_по_щитам!H1946</f>
      </c>
      <c r="F1941" s="20">
        <f>Разбивка_по_щитам!I1946</f>
      </c>
      <c r="G1941" s="20">
        <f>Разбивка_по_щитам!J1946</f>
      </c>
      <c r="H1941" s="20">
        <f>Разбивка_по_щитам!K1946</f>
      </c>
      <c r="I1941" s="20">
        <f>Разбивка_по_щитам!L1946</f>
      </c>
      <c r="J1941" s="20">
        <f>Разбивка_по_щитам!M1946</f>
      </c>
      <c r="K1941" s="20">
        <f>Разбивка_по_щитам!N1946</f>
      </c>
      <c r="L1941" s="20"/>
      <c r="M1941" s="20">
        <f>Разбивка_по_щитам!P1946</f>
      </c>
      <c r="N1941" s="20"/>
    </row>
    <row r="1942" spans="2:14" x14ac:dyDescent="0.25">
      <c r="B1942" s="20">
        <f>Разбивка_по_щитам!B1947</f>
      </c>
      <c r="C1942" s="20">
        <f>Разбивка_по_щитам!C1947</f>
      </c>
      <c r="D1942" s="20">
        <f>Разбивка_по_щитам!F1947</f>
      </c>
      <c r="E1942" s="20">
        <f>Разбивка_по_щитам!H1947</f>
      </c>
      <c r="F1942" s="20">
        <f>Разбивка_по_щитам!I1947</f>
      </c>
      <c r="G1942" s="20">
        <f>Разбивка_по_щитам!J1947</f>
      </c>
      <c r="H1942" s="20">
        <f>Разбивка_по_щитам!K1947</f>
      </c>
      <c r="I1942" s="20">
        <f>Разбивка_по_щитам!L1947</f>
      </c>
      <c r="J1942" s="20">
        <f>Разбивка_по_щитам!M1947</f>
      </c>
      <c r="K1942" s="20">
        <f>Разбивка_по_щитам!N1947</f>
      </c>
      <c r="L1942" s="20"/>
      <c r="M1942" s="20">
        <f>Разбивка_по_щитам!P1947</f>
      </c>
      <c r="N1942" s="20"/>
    </row>
    <row r="1943" spans="2:14" x14ac:dyDescent="0.25">
      <c r="B1943" s="20">
        <f>Разбивка_по_щитам!B1948</f>
      </c>
      <c r="C1943" s="20">
        <f>Разбивка_по_щитам!C1948</f>
      </c>
      <c r="D1943" s="20">
        <f>Разбивка_по_щитам!F1948</f>
      </c>
      <c r="E1943" s="20">
        <f>Разбивка_по_щитам!H1948</f>
      </c>
      <c r="F1943" s="20">
        <f>Разбивка_по_щитам!I1948</f>
      </c>
      <c r="G1943" s="20">
        <f>Разбивка_по_щитам!J1948</f>
      </c>
      <c r="H1943" s="20">
        <f>Разбивка_по_щитам!K1948</f>
      </c>
      <c r="I1943" s="20">
        <f>Разбивка_по_щитам!L1948</f>
      </c>
      <c r="J1943" s="20">
        <f>Разбивка_по_щитам!M1948</f>
      </c>
      <c r="K1943" s="20">
        <f>Разбивка_по_щитам!N1948</f>
      </c>
      <c r="L1943" s="20"/>
      <c r="M1943" s="20">
        <f>Разбивка_по_щитам!P1948</f>
      </c>
      <c r="N1943" s="20"/>
    </row>
    <row r="1944" spans="2:14" x14ac:dyDescent="0.25">
      <c r="B1944" s="20">
        <f>Разбивка_по_щитам!B1949</f>
      </c>
      <c r="C1944" s="20">
        <f>Разбивка_по_щитам!C1949</f>
      </c>
      <c r="D1944" s="20">
        <f>Разбивка_по_щитам!F1949</f>
      </c>
      <c r="E1944" s="20">
        <f>Разбивка_по_щитам!H1949</f>
      </c>
      <c r="F1944" s="20">
        <f>Разбивка_по_щитам!I1949</f>
      </c>
      <c r="G1944" s="20">
        <f>Разбивка_по_щитам!J1949</f>
      </c>
      <c r="H1944" s="20">
        <f>Разбивка_по_щитам!K1949</f>
      </c>
      <c r="I1944" s="20">
        <f>Разбивка_по_щитам!L1949</f>
      </c>
      <c r="J1944" s="20">
        <f>Разбивка_по_щитам!M1949</f>
      </c>
      <c r="K1944" s="20">
        <f>Разбивка_по_щитам!N1949</f>
      </c>
      <c r="L1944" s="20"/>
      <c r="M1944" s="20">
        <f>Разбивка_по_щитам!P1949</f>
      </c>
      <c r="N1944" s="20"/>
    </row>
    <row r="1945" spans="2:14" x14ac:dyDescent="0.25">
      <c r="B1945" s="20">
        <f>Разбивка_по_щитам!B1950</f>
      </c>
      <c r="C1945" s="20">
        <f>Разбивка_по_щитам!C1950</f>
      </c>
      <c r="D1945" s="20">
        <f>Разбивка_по_щитам!F1950</f>
      </c>
      <c r="E1945" s="20">
        <f>Разбивка_по_щитам!H1950</f>
      </c>
      <c r="F1945" s="20">
        <f>Разбивка_по_щитам!I1950</f>
      </c>
      <c r="G1945" s="20">
        <f>Разбивка_по_щитам!J1950</f>
      </c>
      <c r="H1945" s="20">
        <f>Разбивка_по_щитам!K1950</f>
      </c>
      <c r="I1945" s="20">
        <f>Разбивка_по_щитам!L1950</f>
      </c>
      <c r="J1945" s="20">
        <f>Разбивка_по_щитам!M1950</f>
      </c>
      <c r="K1945" s="20">
        <f>Разбивка_по_щитам!N1950</f>
      </c>
      <c r="L1945" s="20"/>
      <c r="M1945" s="20">
        <f>Разбивка_по_щитам!P1950</f>
      </c>
      <c r="N1945" s="20"/>
    </row>
    <row r="1946" spans="2:14" x14ac:dyDescent="0.25">
      <c r="B1946" s="20">
        <f>Разбивка_по_щитам!B1951</f>
      </c>
      <c r="C1946" s="20">
        <f>Разбивка_по_щитам!C1951</f>
      </c>
      <c r="D1946" s="20">
        <f>Разбивка_по_щитам!F1951</f>
      </c>
      <c r="E1946" s="20">
        <f>Разбивка_по_щитам!H1951</f>
      </c>
      <c r="F1946" s="20">
        <f>Разбивка_по_щитам!I1951</f>
      </c>
      <c r="G1946" s="20">
        <f>Разбивка_по_щитам!J1951</f>
      </c>
      <c r="H1946" s="20">
        <f>Разбивка_по_щитам!K1951</f>
      </c>
      <c r="I1946" s="20">
        <f>Разбивка_по_щитам!L1951</f>
      </c>
      <c r="J1946" s="20">
        <f>Разбивка_по_щитам!M1951</f>
      </c>
      <c r="K1946" s="20">
        <f>Разбивка_по_щитам!N1951</f>
      </c>
      <c r="L1946" s="20"/>
      <c r="M1946" s="20">
        <f>Разбивка_по_щитам!P1951</f>
      </c>
      <c r="N1946" s="20"/>
    </row>
    <row r="1947" spans="2:14" x14ac:dyDescent="0.25">
      <c r="B1947" s="20">
        <f>Разбивка_по_щитам!B1952</f>
      </c>
      <c r="C1947" s="20">
        <f>Разбивка_по_щитам!C1952</f>
      </c>
      <c r="D1947" s="20">
        <f>Разбивка_по_щитам!F1952</f>
      </c>
      <c r="E1947" s="20">
        <f>Разбивка_по_щитам!H1952</f>
      </c>
      <c r="F1947" s="20">
        <f>Разбивка_по_щитам!I1952</f>
      </c>
      <c r="G1947" s="20">
        <f>Разбивка_по_щитам!J1952</f>
      </c>
      <c r="H1947" s="20">
        <f>Разбивка_по_щитам!K1952</f>
      </c>
      <c r="I1947" s="20">
        <f>Разбивка_по_щитам!L1952</f>
      </c>
      <c r="J1947" s="20">
        <f>Разбивка_по_щитам!M1952</f>
      </c>
      <c r="K1947" s="20">
        <f>Разбивка_по_щитам!N1952</f>
      </c>
      <c r="L1947" s="20"/>
      <c r="M1947" s="20">
        <f>Разбивка_по_щитам!P1952</f>
      </c>
      <c r="N1947" s="20"/>
    </row>
    <row r="1948" spans="2:14" x14ac:dyDescent="0.25">
      <c r="B1948" s="20">
        <f>Разбивка_по_щитам!B1953</f>
      </c>
      <c r="C1948" s="20">
        <f>Разбивка_по_щитам!C1953</f>
      </c>
      <c r="D1948" s="20">
        <f>Разбивка_по_щитам!F1953</f>
      </c>
      <c r="E1948" s="20">
        <f>Разбивка_по_щитам!H1953</f>
      </c>
      <c r="F1948" s="20">
        <f>Разбивка_по_щитам!I1953</f>
      </c>
      <c r="G1948" s="20">
        <f>Разбивка_по_щитам!J1953</f>
      </c>
      <c r="H1948" s="20">
        <f>Разбивка_по_щитам!K1953</f>
      </c>
      <c r="I1948" s="20">
        <f>Разбивка_по_щитам!L1953</f>
      </c>
      <c r="J1948" s="20">
        <f>Разбивка_по_щитам!M1953</f>
      </c>
      <c r="K1948" s="20">
        <f>Разбивка_по_щитам!N1953</f>
      </c>
      <c r="L1948" s="20"/>
      <c r="M1948" s="20">
        <f>Разбивка_по_щитам!P1953</f>
      </c>
      <c r="N1948" s="20"/>
    </row>
    <row r="1949" spans="2:14" x14ac:dyDescent="0.25">
      <c r="B1949" s="20">
        <f>Разбивка_по_щитам!B1954</f>
      </c>
      <c r="C1949" s="20">
        <f>Разбивка_по_щитам!C1954</f>
      </c>
      <c r="D1949" s="20">
        <f>Разбивка_по_щитам!F1954</f>
      </c>
      <c r="E1949" s="20">
        <f>Разбивка_по_щитам!H1954</f>
      </c>
      <c r="F1949" s="20">
        <f>Разбивка_по_щитам!I1954</f>
      </c>
      <c r="G1949" s="20">
        <f>Разбивка_по_щитам!J1954</f>
      </c>
      <c r="H1949" s="20">
        <f>Разбивка_по_щитам!K1954</f>
      </c>
      <c r="I1949" s="20">
        <f>Разбивка_по_щитам!L1954</f>
      </c>
      <c r="J1949" s="20">
        <f>Разбивка_по_щитам!M1954</f>
      </c>
      <c r="K1949" s="20">
        <f>Разбивка_по_щитам!N1954</f>
      </c>
      <c r="L1949" s="20"/>
      <c r="M1949" s="20">
        <f>Разбивка_по_щитам!P1954</f>
      </c>
      <c r="N1949" s="20"/>
    </row>
    <row r="1950" spans="2:14" x14ac:dyDescent="0.25">
      <c r="B1950" s="20">
        <f>Разбивка_по_щитам!B1955</f>
      </c>
      <c r="C1950" s="20">
        <f>Разбивка_по_щитам!C1955</f>
      </c>
      <c r="D1950" s="20">
        <f>Разбивка_по_щитам!F1955</f>
      </c>
      <c r="E1950" s="20">
        <f>Разбивка_по_щитам!H1955</f>
      </c>
      <c r="F1950" s="20">
        <f>Разбивка_по_щитам!I1955</f>
      </c>
      <c r="G1950" s="20">
        <f>Разбивка_по_щитам!J1955</f>
      </c>
      <c r="H1950" s="20">
        <f>Разбивка_по_щитам!K1955</f>
      </c>
      <c r="I1950" s="20">
        <f>Разбивка_по_щитам!L1955</f>
      </c>
      <c r="J1950" s="20">
        <f>Разбивка_по_щитам!M1955</f>
      </c>
      <c r="K1950" s="20">
        <f>Разбивка_по_щитам!N1955</f>
      </c>
      <c r="L1950" s="20"/>
      <c r="M1950" s="20">
        <f>Разбивка_по_щитам!P1955</f>
      </c>
      <c r="N1950" s="20"/>
    </row>
    <row r="1951" spans="2:14" x14ac:dyDescent="0.25">
      <c r="B1951" s="20">
        <f>Разбивка_по_щитам!B1956</f>
      </c>
      <c r="C1951" s="20">
        <f>Разбивка_по_щитам!C1956</f>
      </c>
      <c r="D1951" s="20">
        <f>Разбивка_по_щитам!F1956</f>
      </c>
      <c r="E1951" s="20">
        <f>Разбивка_по_щитам!H1956</f>
      </c>
      <c r="F1951" s="20">
        <f>Разбивка_по_щитам!I1956</f>
      </c>
      <c r="G1951" s="20">
        <f>Разбивка_по_щитам!J1956</f>
      </c>
      <c r="H1951" s="20">
        <f>Разбивка_по_щитам!K1956</f>
      </c>
      <c r="I1951" s="20">
        <f>Разбивка_по_щитам!L1956</f>
      </c>
      <c r="J1951" s="20">
        <f>Разбивка_по_щитам!M1956</f>
      </c>
      <c r="K1951" s="20">
        <f>Разбивка_по_щитам!N1956</f>
      </c>
      <c r="L1951" s="20"/>
      <c r="M1951" s="20">
        <f>Разбивка_по_щитам!P1956</f>
      </c>
      <c r="N1951" s="20"/>
    </row>
    <row r="1952" spans="2:14" x14ac:dyDescent="0.25">
      <c r="B1952" s="20">
        <f>Разбивка_по_щитам!B1957</f>
      </c>
      <c r="C1952" s="20">
        <f>Разбивка_по_щитам!C1957</f>
      </c>
      <c r="D1952" s="20">
        <f>Разбивка_по_щитам!F1957</f>
      </c>
      <c r="E1952" s="20">
        <f>Разбивка_по_щитам!H1957</f>
      </c>
      <c r="F1952" s="20">
        <f>Разбивка_по_щитам!I1957</f>
      </c>
      <c r="G1952" s="20">
        <f>Разбивка_по_щитам!J1957</f>
      </c>
      <c r="H1952" s="20">
        <f>Разбивка_по_щитам!K1957</f>
      </c>
      <c r="I1952" s="20">
        <f>Разбивка_по_щитам!L1957</f>
      </c>
      <c r="J1952" s="20">
        <f>Разбивка_по_щитам!M1957</f>
      </c>
      <c r="K1952" s="20">
        <f>Разбивка_по_щитам!N1957</f>
      </c>
      <c r="L1952" s="20"/>
      <c r="M1952" s="20">
        <f>Разбивка_по_щитам!P1957</f>
      </c>
      <c r="N1952" s="20"/>
    </row>
    <row r="1953" spans="2:14" x14ac:dyDescent="0.25">
      <c r="B1953" s="20">
        <f>Разбивка_по_щитам!B1958</f>
      </c>
      <c r="C1953" s="20">
        <f>Разбивка_по_щитам!C1958</f>
      </c>
      <c r="D1953" s="20">
        <f>Разбивка_по_щитам!F1958</f>
      </c>
      <c r="E1953" s="20">
        <f>Разбивка_по_щитам!H1958</f>
      </c>
      <c r="F1953" s="20">
        <f>Разбивка_по_щитам!I1958</f>
      </c>
      <c r="G1953" s="20">
        <f>Разбивка_по_щитам!J1958</f>
      </c>
      <c r="H1953" s="20">
        <f>Разбивка_по_щитам!K1958</f>
      </c>
      <c r="I1953" s="20">
        <f>Разбивка_по_щитам!L1958</f>
      </c>
      <c r="J1953" s="20">
        <f>Разбивка_по_щитам!M1958</f>
      </c>
      <c r="K1953" s="20">
        <f>Разбивка_по_щитам!N1958</f>
      </c>
      <c r="L1953" s="20"/>
      <c r="M1953" s="20">
        <f>Разбивка_по_щитам!P1958</f>
      </c>
      <c r="N1953" s="20"/>
    </row>
    <row r="1954" spans="2:14" x14ac:dyDescent="0.25">
      <c r="B1954" s="20">
        <f>Разбивка_по_щитам!B1959</f>
      </c>
      <c r="C1954" s="20">
        <f>Разбивка_по_щитам!C1959</f>
      </c>
      <c r="D1954" s="20">
        <f>Разбивка_по_щитам!F1959</f>
      </c>
      <c r="E1954" s="20">
        <f>Разбивка_по_щитам!H1959</f>
      </c>
      <c r="F1954" s="20">
        <f>Разбивка_по_щитам!I1959</f>
      </c>
      <c r="G1954" s="20">
        <f>Разбивка_по_щитам!J1959</f>
      </c>
      <c r="H1954" s="20">
        <f>Разбивка_по_щитам!K1959</f>
      </c>
      <c r="I1954" s="20">
        <f>Разбивка_по_щитам!L1959</f>
      </c>
      <c r="J1954" s="20">
        <f>Разбивка_по_щитам!M1959</f>
      </c>
      <c r="K1954" s="20">
        <f>Разбивка_по_щитам!N1959</f>
      </c>
      <c r="L1954" s="20"/>
      <c r="M1954" s="20">
        <f>Разбивка_по_щитам!P1959</f>
      </c>
      <c r="N1954" s="20"/>
    </row>
    <row r="1955" spans="2:14" x14ac:dyDescent="0.25">
      <c r="B1955" s="20">
        <f>Разбивка_по_щитам!B1960</f>
      </c>
      <c r="C1955" s="20">
        <f>Разбивка_по_щитам!C1960</f>
      </c>
      <c r="D1955" s="20">
        <f>Разбивка_по_щитам!F1960</f>
      </c>
      <c r="E1955" s="20">
        <f>Разбивка_по_щитам!H1960</f>
      </c>
      <c r="F1955" s="20">
        <f>Разбивка_по_щитам!I1960</f>
      </c>
      <c r="G1955" s="20">
        <f>Разбивка_по_щитам!J1960</f>
      </c>
      <c r="H1955" s="20">
        <f>Разбивка_по_щитам!K1960</f>
      </c>
      <c r="I1955" s="20">
        <f>Разбивка_по_щитам!L1960</f>
      </c>
      <c r="J1955" s="20">
        <f>Разбивка_по_щитам!M1960</f>
      </c>
      <c r="K1955" s="20">
        <f>Разбивка_по_щитам!N1960</f>
      </c>
      <c r="L1955" s="20"/>
      <c r="M1955" s="20">
        <f>Разбивка_по_щитам!P1960</f>
      </c>
      <c r="N1955" s="20"/>
    </row>
    <row r="1956" spans="2:14" x14ac:dyDescent="0.25">
      <c r="B1956" s="20">
        <f>Разбивка_по_щитам!B1961</f>
      </c>
      <c r="C1956" s="20">
        <f>Разбивка_по_щитам!C1961</f>
      </c>
      <c r="D1956" s="20">
        <f>Разбивка_по_щитам!F1961</f>
      </c>
      <c r="E1956" s="20">
        <f>Разбивка_по_щитам!H1961</f>
      </c>
      <c r="F1956" s="20">
        <f>Разбивка_по_щитам!I1961</f>
      </c>
      <c r="G1956" s="20">
        <f>Разбивка_по_щитам!J1961</f>
      </c>
      <c r="H1956" s="20">
        <f>Разбивка_по_щитам!K1961</f>
      </c>
      <c r="I1956" s="20">
        <f>Разбивка_по_щитам!L1961</f>
      </c>
      <c r="J1956" s="20">
        <f>Разбивка_по_щитам!M1961</f>
      </c>
      <c r="K1956" s="20">
        <f>Разбивка_по_щитам!N1961</f>
      </c>
      <c r="L1956" s="20"/>
      <c r="M1956" s="20">
        <f>Разбивка_по_щитам!P1961</f>
      </c>
      <c r="N1956" s="20"/>
    </row>
    <row r="1957" spans="2:14" x14ac:dyDescent="0.25">
      <c r="B1957" s="20">
        <f>Разбивка_по_щитам!B1962</f>
      </c>
      <c r="C1957" s="20">
        <f>Разбивка_по_щитам!C1962</f>
      </c>
      <c r="D1957" s="20">
        <f>Разбивка_по_щитам!F1962</f>
      </c>
      <c r="E1957" s="20">
        <f>Разбивка_по_щитам!H1962</f>
      </c>
      <c r="F1957" s="20">
        <f>Разбивка_по_щитам!I1962</f>
      </c>
      <c r="G1957" s="20">
        <f>Разбивка_по_щитам!J1962</f>
      </c>
      <c r="H1957" s="20">
        <f>Разбивка_по_щитам!K1962</f>
      </c>
      <c r="I1957" s="20">
        <f>Разбивка_по_щитам!L1962</f>
      </c>
      <c r="J1957" s="20">
        <f>Разбивка_по_щитам!M1962</f>
      </c>
      <c r="K1957" s="20">
        <f>Разбивка_по_щитам!N1962</f>
      </c>
      <c r="L1957" s="20"/>
      <c r="M1957" s="20">
        <f>Разбивка_по_щитам!P1962</f>
      </c>
      <c r="N1957" s="20"/>
    </row>
    <row r="1958" spans="2:14" x14ac:dyDescent="0.25">
      <c r="B1958" s="20">
        <f>Разбивка_по_щитам!B1963</f>
      </c>
      <c r="C1958" s="20">
        <f>Разбивка_по_щитам!C1963</f>
      </c>
      <c r="D1958" s="20">
        <f>Разбивка_по_щитам!F1963</f>
      </c>
      <c r="E1958" s="20">
        <f>Разбивка_по_щитам!H1963</f>
      </c>
      <c r="F1958" s="20">
        <f>Разбивка_по_щитам!I1963</f>
      </c>
      <c r="G1958" s="20">
        <f>Разбивка_по_щитам!J1963</f>
      </c>
      <c r="H1958" s="20">
        <f>Разбивка_по_щитам!K1963</f>
      </c>
      <c r="I1958" s="20">
        <f>Разбивка_по_щитам!L1963</f>
      </c>
      <c r="J1958" s="20">
        <f>Разбивка_по_щитам!M1963</f>
      </c>
      <c r="K1958" s="20">
        <f>Разбивка_по_щитам!N1963</f>
      </c>
      <c r="L1958" s="20"/>
      <c r="M1958" s="20">
        <f>Разбивка_по_щитам!P1963</f>
      </c>
      <c r="N1958" s="20"/>
    </row>
    <row r="1959" spans="2:14" x14ac:dyDescent="0.25">
      <c r="B1959" s="20">
        <f>Разбивка_по_щитам!B1964</f>
      </c>
      <c r="C1959" s="20">
        <f>Разбивка_по_щитам!C1964</f>
      </c>
      <c r="D1959" s="20">
        <f>Разбивка_по_щитам!F1964</f>
      </c>
      <c r="E1959" s="20">
        <f>Разбивка_по_щитам!H1964</f>
      </c>
      <c r="F1959" s="20">
        <f>Разбивка_по_щитам!I1964</f>
      </c>
      <c r="G1959" s="20">
        <f>Разбивка_по_щитам!J1964</f>
      </c>
      <c r="H1959" s="20">
        <f>Разбивка_по_щитам!K1964</f>
      </c>
      <c r="I1959" s="20">
        <f>Разбивка_по_щитам!L1964</f>
      </c>
      <c r="J1959" s="20">
        <f>Разбивка_по_щитам!M1964</f>
      </c>
      <c r="K1959" s="20">
        <f>Разбивка_по_щитам!N1964</f>
      </c>
      <c r="L1959" s="20"/>
      <c r="M1959" s="20">
        <f>Разбивка_по_щитам!P1964</f>
      </c>
      <c r="N1959" s="20"/>
    </row>
    <row r="1960" spans="2:14" x14ac:dyDescent="0.25">
      <c r="B1960" s="20">
        <f>Разбивка_по_щитам!B1965</f>
      </c>
      <c r="C1960" s="20">
        <f>Разбивка_по_щитам!C1965</f>
      </c>
      <c r="D1960" s="20">
        <f>Разбивка_по_щитам!F1965</f>
      </c>
      <c r="E1960" s="20">
        <f>Разбивка_по_щитам!H1965</f>
      </c>
      <c r="F1960" s="20">
        <f>Разбивка_по_щитам!I1965</f>
      </c>
      <c r="G1960" s="20">
        <f>Разбивка_по_щитам!J1965</f>
      </c>
      <c r="H1960" s="20">
        <f>Разбивка_по_щитам!K1965</f>
      </c>
      <c r="I1960" s="20">
        <f>Разбивка_по_щитам!L1965</f>
      </c>
      <c r="J1960" s="20">
        <f>Разбивка_по_щитам!M1965</f>
      </c>
      <c r="K1960" s="20">
        <f>Разбивка_по_щитам!N1965</f>
      </c>
      <c r="L1960" s="20"/>
      <c r="M1960" s="20">
        <f>Разбивка_по_щитам!P1965</f>
      </c>
      <c r="N1960" s="20"/>
    </row>
    <row r="1961" spans="2:14" x14ac:dyDescent="0.25">
      <c r="B1961" s="20">
        <f>Разбивка_по_щитам!B1966</f>
      </c>
      <c r="C1961" s="20">
        <f>Разбивка_по_щитам!C1966</f>
      </c>
      <c r="D1961" s="20">
        <f>Разбивка_по_щитам!F1966</f>
      </c>
      <c r="E1961" s="20">
        <f>Разбивка_по_щитам!H1966</f>
      </c>
      <c r="F1961" s="20">
        <f>Разбивка_по_щитам!I1966</f>
      </c>
      <c r="G1961" s="20">
        <f>Разбивка_по_щитам!J1966</f>
      </c>
      <c r="H1961" s="20">
        <f>Разбивка_по_щитам!K1966</f>
      </c>
      <c r="I1961" s="20">
        <f>Разбивка_по_щитам!L1966</f>
      </c>
      <c r="J1961" s="20">
        <f>Разбивка_по_щитам!M1966</f>
      </c>
      <c r="K1961" s="20">
        <f>Разбивка_по_щитам!N1966</f>
      </c>
      <c r="L1961" s="20"/>
      <c r="M1961" s="20">
        <f>Разбивка_по_щитам!P1966</f>
      </c>
      <c r="N1961" s="20"/>
    </row>
    <row r="1962" spans="2:14" x14ac:dyDescent="0.25">
      <c r="B1962" s="20">
        <f>Разбивка_по_щитам!B1967</f>
      </c>
      <c r="C1962" s="20">
        <f>Разбивка_по_щитам!C1967</f>
      </c>
      <c r="D1962" s="20">
        <f>Разбивка_по_щитам!F1967</f>
      </c>
      <c r="E1962" s="20">
        <f>Разбивка_по_щитам!H1967</f>
      </c>
      <c r="F1962" s="20">
        <f>Разбивка_по_щитам!I1967</f>
      </c>
      <c r="G1962" s="20">
        <f>Разбивка_по_щитам!J1967</f>
      </c>
      <c r="H1962" s="20">
        <f>Разбивка_по_щитам!K1967</f>
      </c>
      <c r="I1962" s="20">
        <f>Разбивка_по_щитам!L1967</f>
      </c>
      <c r="J1962" s="20">
        <f>Разбивка_по_щитам!M1967</f>
      </c>
      <c r="K1962" s="20">
        <f>Разбивка_по_щитам!N1967</f>
      </c>
      <c r="L1962" s="20"/>
      <c r="M1962" s="20">
        <f>Разбивка_по_щитам!P1967</f>
      </c>
      <c r="N1962" s="20"/>
    </row>
    <row r="1963" spans="2:14" x14ac:dyDescent="0.25">
      <c r="B1963" s="20">
        <f>Разбивка_по_щитам!B1968</f>
      </c>
      <c r="C1963" s="20">
        <f>Разбивка_по_щитам!C1968</f>
      </c>
      <c r="D1963" s="20">
        <f>Разбивка_по_щитам!F1968</f>
      </c>
      <c r="E1963" s="20">
        <f>Разбивка_по_щитам!H1968</f>
      </c>
      <c r="F1963" s="20">
        <f>Разбивка_по_щитам!I1968</f>
      </c>
      <c r="G1963" s="20">
        <f>Разбивка_по_щитам!J1968</f>
      </c>
      <c r="H1963" s="20">
        <f>Разбивка_по_щитам!K1968</f>
      </c>
      <c r="I1963" s="20">
        <f>Разбивка_по_щитам!L1968</f>
      </c>
      <c r="J1963" s="20">
        <f>Разбивка_по_щитам!M1968</f>
      </c>
      <c r="K1963" s="20">
        <f>Разбивка_по_щитам!N1968</f>
      </c>
      <c r="L1963" s="20"/>
      <c r="M1963" s="20">
        <f>Разбивка_по_щитам!P1968</f>
      </c>
      <c r="N1963" s="20"/>
    </row>
    <row r="1964" spans="2:14" x14ac:dyDescent="0.25">
      <c r="B1964" s="20">
        <f>Разбивка_по_щитам!B1969</f>
      </c>
      <c r="C1964" s="20">
        <f>Разбивка_по_щитам!C1969</f>
      </c>
      <c r="D1964" s="20">
        <f>Разбивка_по_щитам!F1969</f>
      </c>
      <c r="E1964" s="20">
        <f>Разбивка_по_щитам!H1969</f>
      </c>
      <c r="F1964" s="20">
        <f>Разбивка_по_щитам!I1969</f>
      </c>
      <c r="G1964" s="20">
        <f>Разбивка_по_щитам!J1969</f>
      </c>
      <c r="H1964" s="20">
        <f>Разбивка_по_щитам!K1969</f>
      </c>
      <c r="I1964" s="20">
        <f>Разбивка_по_щитам!L1969</f>
      </c>
      <c r="J1964" s="20">
        <f>Разбивка_по_щитам!M1969</f>
      </c>
      <c r="K1964" s="20">
        <f>Разбивка_по_щитам!N1969</f>
      </c>
      <c r="L1964" s="20"/>
      <c r="M1964" s="20">
        <f>Разбивка_по_щитам!P1969</f>
      </c>
      <c r="N1964" s="20"/>
    </row>
    <row r="1965" spans="2:14" x14ac:dyDescent="0.25">
      <c r="B1965" s="20">
        <f>Разбивка_по_щитам!B1970</f>
      </c>
      <c r="C1965" s="20">
        <f>Разбивка_по_щитам!C1970</f>
      </c>
      <c r="D1965" s="20">
        <f>Разбивка_по_щитам!F1970</f>
      </c>
      <c r="E1965" s="20">
        <f>Разбивка_по_щитам!H1970</f>
      </c>
      <c r="F1965" s="20">
        <f>Разбивка_по_щитам!I1970</f>
      </c>
      <c r="G1965" s="20">
        <f>Разбивка_по_щитам!J1970</f>
      </c>
      <c r="H1965" s="20">
        <f>Разбивка_по_щитам!K1970</f>
      </c>
      <c r="I1965" s="20">
        <f>Разбивка_по_щитам!L1970</f>
      </c>
      <c r="J1965" s="20">
        <f>Разбивка_по_щитам!M1970</f>
      </c>
      <c r="K1965" s="20">
        <f>Разбивка_по_щитам!N1970</f>
      </c>
      <c r="L1965" s="20"/>
      <c r="M1965" s="20">
        <f>Разбивка_по_щитам!P1970</f>
      </c>
      <c r="N1965" s="20"/>
    </row>
    <row r="1966" spans="2:14" x14ac:dyDescent="0.25">
      <c r="B1966" s="20">
        <f>Разбивка_по_щитам!B1971</f>
      </c>
      <c r="C1966" s="20">
        <f>Разбивка_по_щитам!C1971</f>
      </c>
      <c r="D1966" s="20">
        <f>Разбивка_по_щитам!F1971</f>
      </c>
      <c r="E1966" s="20">
        <f>Разбивка_по_щитам!H1971</f>
      </c>
      <c r="F1966" s="20">
        <f>Разбивка_по_щитам!I1971</f>
      </c>
      <c r="G1966" s="20">
        <f>Разбивка_по_щитам!J1971</f>
      </c>
      <c r="H1966" s="20">
        <f>Разбивка_по_щитам!K1971</f>
      </c>
      <c r="I1966" s="20">
        <f>Разбивка_по_щитам!L1971</f>
      </c>
      <c r="J1966" s="20">
        <f>Разбивка_по_щитам!M1971</f>
      </c>
      <c r="K1966" s="20">
        <f>Разбивка_по_щитам!N1971</f>
      </c>
      <c r="L1966" s="20"/>
      <c r="M1966" s="20">
        <f>Разбивка_по_щитам!P1971</f>
      </c>
      <c r="N1966" s="20"/>
    </row>
    <row r="1967" spans="2:14" x14ac:dyDescent="0.25">
      <c r="B1967" s="20">
        <f>Разбивка_по_щитам!B1972</f>
      </c>
      <c r="C1967" s="20">
        <f>Разбивка_по_щитам!C1972</f>
      </c>
      <c r="D1967" s="20">
        <f>Разбивка_по_щитам!F1972</f>
      </c>
      <c r="E1967" s="20">
        <f>Разбивка_по_щитам!H1972</f>
      </c>
      <c r="F1967" s="20">
        <f>Разбивка_по_щитам!I1972</f>
      </c>
      <c r="G1967" s="20">
        <f>Разбивка_по_щитам!J1972</f>
      </c>
      <c r="H1967" s="20">
        <f>Разбивка_по_щитам!K1972</f>
      </c>
      <c r="I1967" s="20">
        <f>Разбивка_по_щитам!L1972</f>
      </c>
      <c r="J1967" s="20">
        <f>Разбивка_по_щитам!M1972</f>
      </c>
      <c r="K1967" s="20">
        <f>Разбивка_по_щитам!N1972</f>
      </c>
      <c r="L1967" s="20"/>
      <c r="M1967" s="20">
        <f>Разбивка_по_щитам!P1972</f>
      </c>
      <c r="N1967" s="20"/>
    </row>
    <row r="1968" spans="2:14" x14ac:dyDescent="0.25">
      <c r="B1968" s="20">
        <f>Разбивка_по_щитам!B1973</f>
      </c>
      <c r="C1968" s="20">
        <f>Разбивка_по_щитам!C1973</f>
      </c>
      <c r="D1968" s="20">
        <f>Разбивка_по_щитам!F1973</f>
      </c>
      <c r="E1968" s="20">
        <f>Разбивка_по_щитам!H1973</f>
      </c>
      <c r="F1968" s="20">
        <f>Разбивка_по_щитам!I1973</f>
      </c>
      <c r="G1968" s="20">
        <f>Разбивка_по_щитам!J1973</f>
      </c>
      <c r="H1968" s="20">
        <f>Разбивка_по_щитам!K1973</f>
      </c>
      <c r="I1968" s="20">
        <f>Разбивка_по_щитам!L1973</f>
      </c>
      <c r="J1968" s="20">
        <f>Разбивка_по_щитам!M1973</f>
      </c>
      <c r="K1968" s="20">
        <f>Разбивка_по_щитам!N1973</f>
      </c>
      <c r="L1968" s="20"/>
      <c r="M1968" s="20">
        <f>Разбивка_по_щитам!P1973</f>
      </c>
      <c r="N1968" s="20"/>
    </row>
    <row r="1969" spans="2:14" x14ac:dyDescent="0.25">
      <c r="B1969" s="20">
        <f>Разбивка_по_щитам!B1974</f>
      </c>
      <c r="C1969" s="20">
        <f>Разбивка_по_щитам!C1974</f>
      </c>
      <c r="D1969" s="20">
        <f>Разбивка_по_щитам!F1974</f>
      </c>
      <c r="E1969" s="20">
        <f>Разбивка_по_щитам!H1974</f>
      </c>
      <c r="F1969" s="20">
        <f>Разбивка_по_щитам!I1974</f>
      </c>
      <c r="G1969" s="20">
        <f>Разбивка_по_щитам!J1974</f>
      </c>
      <c r="H1969" s="20">
        <f>Разбивка_по_щитам!K1974</f>
      </c>
      <c r="I1969" s="20">
        <f>Разбивка_по_щитам!L1974</f>
      </c>
      <c r="J1969" s="20">
        <f>Разбивка_по_щитам!M1974</f>
      </c>
      <c r="K1969" s="20">
        <f>Разбивка_по_щитам!N1974</f>
      </c>
      <c r="L1969" s="20"/>
      <c r="M1969" s="20">
        <f>Разбивка_по_щитам!P1974</f>
      </c>
      <c r="N1969" s="20"/>
    </row>
    <row r="1970" spans="2:14" x14ac:dyDescent="0.25">
      <c r="B1970" s="20">
        <f>Разбивка_по_щитам!B1975</f>
      </c>
      <c r="C1970" s="20">
        <f>Разбивка_по_щитам!C1975</f>
      </c>
      <c r="D1970" s="20">
        <f>Разбивка_по_щитам!F1975</f>
      </c>
      <c r="E1970" s="20">
        <f>Разбивка_по_щитам!H1975</f>
      </c>
      <c r="F1970" s="20">
        <f>Разбивка_по_щитам!I1975</f>
      </c>
      <c r="G1970" s="20">
        <f>Разбивка_по_щитам!J1975</f>
      </c>
      <c r="H1970" s="20">
        <f>Разбивка_по_щитам!K1975</f>
      </c>
      <c r="I1970" s="20">
        <f>Разбивка_по_щитам!L1975</f>
      </c>
      <c r="J1970" s="20">
        <f>Разбивка_по_щитам!M1975</f>
      </c>
      <c r="K1970" s="20">
        <f>Разбивка_по_щитам!N1975</f>
      </c>
      <c r="L1970" s="20"/>
      <c r="M1970" s="20">
        <f>Разбивка_по_щитам!P1975</f>
      </c>
      <c r="N1970" s="20"/>
    </row>
    <row r="1971" spans="2:14" x14ac:dyDescent="0.25">
      <c r="B1971" s="20">
        <f>Разбивка_по_щитам!B1976</f>
      </c>
      <c r="C1971" s="20">
        <f>Разбивка_по_щитам!C1976</f>
      </c>
      <c r="D1971" s="20">
        <f>Разбивка_по_щитам!F1976</f>
      </c>
      <c r="E1971" s="20">
        <f>Разбивка_по_щитам!H1976</f>
      </c>
      <c r="F1971" s="20">
        <f>Разбивка_по_щитам!I1976</f>
      </c>
      <c r="G1971" s="20">
        <f>Разбивка_по_щитам!J1976</f>
      </c>
      <c r="H1971" s="20">
        <f>Разбивка_по_щитам!K1976</f>
      </c>
      <c r="I1971" s="20">
        <f>Разбивка_по_щитам!L1976</f>
      </c>
      <c r="J1971" s="20">
        <f>Разбивка_по_щитам!M1976</f>
      </c>
      <c r="K1971" s="20">
        <f>Разбивка_по_щитам!N1976</f>
      </c>
      <c r="L1971" s="20"/>
      <c r="M1971" s="20">
        <f>Разбивка_по_щитам!P1976</f>
      </c>
      <c r="N1971" s="20"/>
    </row>
    <row r="1972" spans="2:14" x14ac:dyDescent="0.25">
      <c r="B1972" s="20">
        <f>Разбивка_по_щитам!B1977</f>
      </c>
      <c r="C1972" s="20">
        <f>Разбивка_по_щитам!C1977</f>
      </c>
      <c r="D1972" s="20">
        <f>Разбивка_по_щитам!F1977</f>
      </c>
      <c r="E1972" s="20">
        <f>Разбивка_по_щитам!H1977</f>
      </c>
      <c r="F1972" s="20">
        <f>Разбивка_по_щитам!I1977</f>
      </c>
      <c r="G1972" s="20">
        <f>Разбивка_по_щитам!J1977</f>
      </c>
      <c r="H1972" s="20">
        <f>Разбивка_по_щитам!K1977</f>
      </c>
      <c r="I1972" s="20">
        <f>Разбивка_по_щитам!L1977</f>
      </c>
      <c r="J1972" s="20">
        <f>Разбивка_по_щитам!M1977</f>
      </c>
      <c r="K1972" s="20">
        <f>Разбивка_по_щитам!N1977</f>
      </c>
      <c r="L1972" s="20"/>
      <c r="M1972" s="20">
        <f>Разбивка_по_щитам!P1977</f>
      </c>
      <c r="N1972" s="20"/>
    </row>
    <row r="1973" spans="2:14" x14ac:dyDescent="0.25">
      <c r="B1973" s="20">
        <f>Разбивка_по_щитам!B1978</f>
      </c>
      <c r="C1973" s="20">
        <f>Разбивка_по_щитам!C1978</f>
      </c>
      <c r="D1973" s="20">
        <f>Разбивка_по_щитам!F1978</f>
      </c>
      <c r="E1973" s="20">
        <f>Разбивка_по_щитам!H1978</f>
      </c>
      <c r="F1973" s="20">
        <f>Разбивка_по_щитам!I1978</f>
      </c>
      <c r="G1973" s="20">
        <f>Разбивка_по_щитам!J1978</f>
      </c>
      <c r="H1973" s="20">
        <f>Разбивка_по_щитам!K1978</f>
      </c>
      <c r="I1973" s="20">
        <f>Разбивка_по_щитам!L1978</f>
      </c>
      <c r="J1973" s="20">
        <f>Разбивка_по_щитам!M1978</f>
      </c>
      <c r="K1973" s="20">
        <f>Разбивка_по_щитам!N1978</f>
      </c>
      <c r="L1973" s="20"/>
      <c r="M1973" s="20">
        <f>Разбивка_по_щитам!P1978</f>
      </c>
      <c r="N1973" s="20"/>
    </row>
    <row r="1974" spans="2:14" x14ac:dyDescent="0.25">
      <c r="B1974" s="20">
        <f>Разбивка_по_щитам!B1979</f>
      </c>
      <c r="C1974" s="20">
        <f>Разбивка_по_щитам!C1979</f>
      </c>
      <c r="D1974" s="20">
        <f>Разбивка_по_щитам!F1979</f>
      </c>
      <c r="E1974" s="20">
        <f>Разбивка_по_щитам!H1979</f>
      </c>
      <c r="F1974" s="20">
        <f>Разбивка_по_щитам!I1979</f>
      </c>
      <c r="G1974" s="20">
        <f>Разбивка_по_щитам!J1979</f>
      </c>
      <c r="H1974" s="20">
        <f>Разбивка_по_щитам!K1979</f>
      </c>
      <c r="I1974" s="20">
        <f>Разбивка_по_щитам!L1979</f>
      </c>
      <c r="J1974" s="20">
        <f>Разбивка_по_щитам!M1979</f>
      </c>
      <c r="K1974" s="20">
        <f>Разбивка_по_щитам!N1979</f>
      </c>
      <c r="L1974" s="20"/>
      <c r="M1974" s="20">
        <f>Разбивка_по_щитам!P1979</f>
      </c>
      <c r="N1974" s="20"/>
    </row>
    <row r="1975" spans="2:14" x14ac:dyDescent="0.25">
      <c r="B1975" s="20">
        <f>Разбивка_по_щитам!B1980</f>
      </c>
      <c r="C1975" s="20">
        <f>Разбивка_по_щитам!C1980</f>
      </c>
      <c r="D1975" s="20">
        <f>Разбивка_по_щитам!F1980</f>
      </c>
      <c r="E1975" s="20">
        <f>Разбивка_по_щитам!H1980</f>
      </c>
      <c r="F1975" s="20">
        <f>Разбивка_по_щитам!I1980</f>
      </c>
      <c r="G1975" s="20">
        <f>Разбивка_по_щитам!J1980</f>
      </c>
      <c r="H1975" s="20">
        <f>Разбивка_по_щитам!K1980</f>
      </c>
      <c r="I1975" s="20">
        <f>Разбивка_по_щитам!L1980</f>
      </c>
      <c r="J1975" s="20">
        <f>Разбивка_по_щитам!M1980</f>
      </c>
      <c r="K1975" s="20">
        <f>Разбивка_по_щитам!N1980</f>
      </c>
      <c r="L1975" s="20"/>
      <c r="M1975" s="20">
        <f>Разбивка_по_щитам!P1980</f>
      </c>
      <c r="N1975" s="20"/>
    </row>
    <row r="1976" spans="2:14" x14ac:dyDescent="0.25">
      <c r="B1976" s="20">
        <f>Разбивка_по_щитам!B1981</f>
      </c>
      <c r="C1976" s="20">
        <f>Разбивка_по_щитам!C1981</f>
      </c>
      <c r="D1976" s="20">
        <f>Разбивка_по_щитам!F1981</f>
      </c>
      <c r="E1976" s="20">
        <f>Разбивка_по_щитам!H1981</f>
      </c>
      <c r="F1976" s="20">
        <f>Разбивка_по_щитам!I1981</f>
      </c>
      <c r="G1976" s="20">
        <f>Разбивка_по_щитам!J1981</f>
      </c>
      <c r="H1976" s="20">
        <f>Разбивка_по_щитам!K1981</f>
      </c>
      <c r="I1976" s="20">
        <f>Разбивка_по_щитам!L1981</f>
      </c>
      <c r="J1976" s="20">
        <f>Разбивка_по_щитам!M1981</f>
      </c>
      <c r="K1976" s="20">
        <f>Разбивка_по_щитам!N1981</f>
      </c>
      <c r="L1976" s="20"/>
      <c r="M1976" s="20">
        <f>Разбивка_по_щитам!P1981</f>
      </c>
      <c r="N1976" s="20"/>
    </row>
    <row r="1977" spans="2:14" x14ac:dyDescent="0.25">
      <c r="B1977" s="20">
        <f>Разбивка_по_щитам!B1982</f>
      </c>
      <c r="C1977" s="20">
        <f>Разбивка_по_щитам!C1982</f>
      </c>
      <c r="D1977" s="20">
        <f>Разбивка_по_щитам!F1982</f>
      </c>
      <c r="E1977" s="20">
        <f>Разбивка_по_щитам!H1982</f>
      </c>
      <c r="F1977" s="20">
        <f>Разбивка_по_щитам!I1982</f>
      </c>
      <c r="G1977" s="20">
        <f>Разбивка_по_щитам!J1982</f>
      </c>
      <c r="H1977" s="20">
        <f>Разбивка_по_щитам!K1982</f>
      </c>
      <c r="I1977" s="20">
        <f>Разбивка_по_щитам!L1982</f>
      </c>
      <c r="J1977" s="20">
        <f>Разбивка_по_щитам!M1982</f>
      </c>
      <c r="K1977" s="20">
        <f>Разбивка_по_щитам!N1982</f>
      </c>
      <c r="L1977" s="20"/>
      <c r="M1977" s="20">
        <f>Разбивка_по_щитам!P1982</f>
      </c>
      <c r="N1977" s="20"/>
    </row>
    <row r="1978" spans="2:14" x14ac:dyDescent="0.25">
      <c r="B1978" s="20">
        <f>Разбивка_по_щитам!B1983</f>
      </c>
      <c r="C1978" s="20">
        <f>Разбивка_по_щитам!C1983</f>
      </c>
      <c r="D1978" s="20">
        <f>Разбивка_по_щитам!F1983</f>
      </c>
      <c r="E1978" s="20">
        <f>Разбивка_по_щитам!H1983</f>
      </c>
      <c r="F1978" s="20">
        <f>Разбивка_по_щитам!I1983</f>
      </c>
      <c r="G1978" s="20">
        <f>Разбивка_по_щитам!J1983</f>
      </c>
      <c r="H1978" s="20">
        <f>Разбивка_по_щитам!K1983</f>
      </c>
      <c r="I1978" s="20">
        <f>Разбивка_по_щитам!L1983</f>
      </c>
      <c r="J1978" s="20">
        <f>Разбивка_по_щитам!M1983</f>
      </c>
      <c r="K1978" s="20">
        <f>Разбивка_по_щитам!N1983</f>
      </c>
      <c r="L1978" s="20"/>
      <c r="M1978" s="20">
        <f>Разбивка_по_щитам!P1983</f>
      </c>
      <c r="N1978" s="20"/>
    </row>
    <row r="1979" spans="2:14" x14ac:dyDescent="0.25">
      <c r="B1979" s="20">
        <f>Разбивка_по_щитам!B1984</f>
      </c>
      <c r="C1979" s="20">
        <f>Разбивка_по_щитам!C1984</f>
      </c>
      <c r="D1979" s="20">
        <f>Разбивка_по_щитам!F1984</f>
      </c>
      <c r="E1979" s="20">
        <f>Разбивка_по_щитам!H1984</f>
      </c>
      <c r="F1979" s="20">
        <f>Разбивка_по_щитам!I1984</f>
      </c>
      <c r="G1979" s="20">
        <f>Разбивка_по_щитам!J1984</f>
      </c>
      <c r="H1979" s="20">
        <f>Разбивка_по_щитам!K1984</f>
      </c>
      <c r="I1979" s="20">
        <f>Разбивка_по_щитам!L1984</f>
      </c>
      <c r="J1979" s="20">
        <f>Разбивка_по_щитам!M1984</f>
      </c>
      <c r="K1979" s="20">
        <f>Разбивка_по_щитам!N1984</f>
      </c>
      <c r="L1979" s="20"/>
      <c r="M1979" s="20">
        <f>Разбивка_по_щитам!P1984</f>
      </c>
      <c r="N1979" s="20"/>
    </row>
    <row r="1980" spans="2:14" x14ac:dyDescent="0.25">
      <c r="B1980" s="20">
        <f>Разбивка_по_щитам!B1985</f>
      </c>
      <c r="C1980" s="20">
        <f>Разбивка_по_щитам!C1985</f>
      </c>
      <c r="D1980" s="20">
        <f>Разбивка_по_щитам!F1985</f>
      </c>
      <c r="E1980" s="20">
        <f>Разбивка_по_щитам!H1985</f>
      </c>
      <c r="F1980" s="20">
        <f>Разбивка_по_щитам!I1985</f>
      </c>
      <c r="G1980" s="20">
        <f>Разбивка_по_щитам!J1985</f>
      </c>
      <c r="H1980" s="20">
        <f>Разбивка_по_щитам!K1985</f>
      </c>
      <c r="I1980" s="20">
        <f>Разбивка_по_щитам!L1985</f>
      </c>
      <c r="J1980" s="20">
        <f>Разбивка_по_щитам!M1985</f>
      </c>
      <c r="K1980" s="20">
        <f>Разбивка_по_щитам!N1985</f>
      </c>
      <c r="L1980" s="20"/>
      <c r="M1980" s="20">
        <f>Разбивка_по_щитам!P1985</f>
      </c>
      <c r="N1980" s="20"/>
    </row>
    <row r="1981" spans="2:14" x14ac:dyDescent="0.25">
      <c r="B1981" s="20">
        <f>Разбивка_по_щитам!B1986</f>
      </c>
      <c r="C1981" s="20">
        <f>Разбивка_по_щитам!C1986</f>
      </c>
      <c r="D1981" s="20">
        <f>Разбивка_по_щитам!F1986</f>
      </c>
      <c r="E1981" s="20">
        <f>Разбивка_по_щитам!H1986</f>
      </c>
      <c r="F1981" s="20">
        <f>Разбивка_по_щитам!I1986</f>
      </c>
      <c r="G1981" s="20">
        <f>Разбивка_по_щитам!J1986</f>
      </c>
      <c r="H1981" s="20">
        <f>Разбивка_по_щитам!K1986</f>
      </c>
      <c r="I1981" s="20">
        <f>Разбивка_по_щитам!L1986</f>
      </c>
      <c r="J1981" s="20">
        <f>Разбивка_по_щитам!M1986</f>
      </c>
      <c r="K1981" s="20">
        <f>Разбивка_по_щитам!N1986</f>
      </c>
      <c r="L1981" s="20"/>
      <c r="M1981" s="20">
        <f>Разбивка_по_щитам!P1986</f>
      </c>
      <c r="N1981" s="20"/>
    </row>
    <row r="1982" spans="2:14" x14ac:dyDescent="0.25">
      <c r="B1982" s="20">
        <f>Разбивка_по_щитам!B1987</f>
      </c>
      <c r="C1982" s="20">
        <f>Разбивка_по_щитам!C1987</f>
      </c>
      <c r="D1982" s="20">
        <f>Разбивка_по_щитам!F1987</f>
      </c>
      <c r="E1982" s="20">
        <f>Разбивка_по_щитам!H1987</f>
      </c>
      <c r="F1982" s="20">
        <f>Разбивка_по_щитам!I1987</f>
      </c>
      <c r="G1982" s="20">
        <f>Разбивка_по_щитам!J1987</f>
      </c>
      <c r="H1982" s="20">
        <f>Разбивка_по_щитам!K1987</f>
      </c>
      <c r="I1982" s="20">
        <f>Разбивка_по_щитам!L1987</f>
      </c>
      <c r="J1982" s="20">
        <f>Разбивка_по_щитам!M1987</f>
      </c>
      <c r="K1982" s="20">
        <f>Разбивка_по_щитам!N1987</f>
      </c>
      <c r="L1982" s="20"/>
      <c r="M1982" s="20">
        <f>Разбивка_по_щитам!P1987</f>
      </c>
      <c r="N1982" s="20"/>
    </row>
    <row r="1983" spans="2:14" x14ac:dyDescent="0.25">
      <c r="B1983" s="20">
        <f>Разбивка_по_щитам!B1988</f>
      </c>
      <c r="C1983" s="20">
        <f>Разбивка_по_щитам!C1988</f>
      </c>
      <c r="D1983" s="20">
        <f>Разбивка_по_щитам!F1988</f>
      </c>
      <c r="E1983" s="20">
        <f>Разбивка_по_щитам!H1988</f>
      </c>
      <c r="F1983" s="20">
        <f>Разбивка_по_щитам!I1988</f>
      </c>
      <c r="G1983" s="20">
        <f>Разбивка_по_щитам!J1988</f>
      </c>
      <c r="H1983" s="20">
        <f>Разбивка_по_щитам!K1988</f>
      </c>
      <c r="I1983" s="20">
        <f>Разбивка_по_щитам!L1988</f>
      </c>
      <c r="J1983" s="20">
        <f>Разбивка_по_щитам!M1988</f>
      </c>
      <c r="K1983" s="20">
        <f>Разбивка_по_щитам!N1988</f>
      </c>
      <c r="L1983" s="20"/>
      <c r="M1983" s="20">
        <f>Разбивка_по_щитам!P1988</f>
      </c>
      <c r="N1983" s="20"/>
    </row>
    <row r="1984" spans="2:14" x14ac:dyDescent="0.25">
      <c r="B1984" s="20">
        <f>Разбивка_по_щитам!B1989</f>
      </c>
      <c r="C1984" s="20">
        <f>Разбивка_по_щитам!C1989</f>
      </c>
      <c r="D1984" s="20">
        <f>Разбивка_по_щитам!F1989</f>
      </c>
      <c r="E1984" s="20">
        <f>Разбивка_по_щитам!H1989</f>
      </c>
      <c r="F1984" s="20">
        <f>Разбивка_по_щитам!I1989</f>
      </c>
      <c r="G1984" s="20">
        <f>Разбивка_по_щитам!J1989</f>
      </c>
      <c r="H1984" s="20">
        <f>Разбивка_по_щитам!K1989</f>
      </c>
      <c r="I1984" s="20">
        <f>Разбивка_по_щитам!L1989</f>
      </c>
      <c r="J1984" s="20">
        <f>Разбивка_по_щитам!M1989</f>
      </c>
      <c r="K1984" s="20">
        <f>Разбивка_по_щитам!N1989</f>
      </c>
      <c r="L1984" s="20"/>
      <c r="M1984" s="20">
        <f>Разбивка_по_щитам!P1989</f>
      </c>
      <c r="N1984" s="20"/>
    </row>
    <row r="1985" spans="2:14" x14ac:dyDescent="0.25">
      <c r="B1985" s="20">
        <f>Разбивка_по_щитам!B1990</f>
      </c>
      <c r="C1985" s="20">
        <f>Разбивка_по_щитам!C1990</f>
      </c>
      <c r="D1985" s="20">
        <f>Разбивка_по_щитам!F1990</f>
      </c>
      <c r="E1985" s="20">
        <f>Разбивка_по_щитам!H1990</f>
      </c>
      <c r="F1985" s="20">
        <f>Разбивка_по_щитам!I1990</f>
      </c>
      <c r="G1985" s="20">
        <f>Разбивка_по_щитам!J1990</f>
      </c>
      <c r="H1985" s="20">
        <f>Разбивка_по_щитам!K1990</f>
      </c>
      <c r="I1985" s="20">
        <f>Разбивка_по_щитам!L1990</f>
      </c>
      <c r="J1985" s="20">
        <f>Разбивка_по_щитам!M1990</f>
      </c>
      <c r="K1985" s="20">
        <f>Разбивка_по_щитам!N1990</f>
      </c>
      <c r="L1985" s="20"/>
      <c r="M1985" s="20">
        <f>Разбивка_по_щитам!P1990</f>
      </c>
      <c r="N1985" s="20"/>
    </row>
    <row r="1986" spans="2:14" x14ac:dyDescent="0.25">
      <c r="B1986" s="20">
        <f>Разбивка_по_щитам!B1991</f>
      </c>
      <c r="C1986" s="20">
        <f>Разбивка_по_щитам!C1991</f>
      </c>
      <c r="D1986" s="20">
        <f>Разбивка_по_щитам!F1991</f>
      </c>
      <c r="E1986" s="20">
        <f>Разбивка_по_щитам!H1991</f>
      </c>
      <c r="F1986" s="20">
        <f>Разбивка_по_щитам!I1991</f>
      </c>
      <c r="G1986" s="20">
        <f>Разбивка_по_щитам!J1991</f>
      </c>
      <c r="H1986" s="20">
        <f>Разбивка_по_щитам!K1991</f>
      </c>
      <c r="I1986" s="20">
        <f>Разбивка_по_щитам!L1991</f>
      </c>
      <c r="J1986" s="20">
        <f>Разбивка_по_щитам!M1991</f>
      </c>
      <c r="K1986" s="20">
        <f>Разбивка_по_щитам!N1991</f>
      </c>
      <c r="L1986" s="20"/>
      <c r="M1986" s="20">
        <f>Разбивка_по_щитам!P1991</f>
      </c>
      <c r="N1986" s="20"/>
    </row>
    <row r="1987" spans="2:14" x14ac:dyDescent="0.25">
      <c r="B1987" s="20">
        <f>Разбивка_по_щитам!B1992</f>
      </c>
      <c r="C1987" s="20">
        <f>Разбивка_по_щитам!C1992</f>
      </c>
      <c r="D1987" s="20">
        <f>Разбивка_по_щитам!F1992</f>
      </c>
      <c r="E1987" s="20">
        <f>Разбивка_по_щитам!H1992</f>
      </c>
      <c r="F1987" s="20">
        <f>Разбивка_по_щитам!I1992</f>
      </c>
      <c r="G1987" s="20">
        <f>Разбивка_по_щитам!J1992</f>
      </c>
      <c r="H1987" s="20">
        <f>Разбивка_по_щитам!K1992</f>
      </c>
      <c r="I1987" s="20">
        <f>Разбивка_по_щитам!L1992</f>
      </c>
      <c r="J1987" s="20">
        <f>Разбивка_по_щитам!M1992</f>
      </c>
      <c r="K1987" s="20">
        <f>Разбивка_по_щитам!N1992</f>
      </c>
      <c r="L1987" s="20"/>
      <c r="M1987" s="20">
        <f>Разбивка_по_щитам!P1992</f>
      </c>
      <c r="N1987" s="20"/>
    </row>
    <row r="1988" spans="2:14" x14ac:dyDescent="0.25">
      <c r="B1988" s="20">
        <f>Разбивка_по_щитам!B1993</f>
      </c>
      <c r="C1988" s="20">
        <f>Разбивка_по_щитам!C1993</f>
      </c>
      <c r="D1988" s="20">
        <f>Разбивка_по_щитам!F1993</f>
      </c>
      <c r="E1988" s="20">
        <f>Разбивка_по_щитам!H1993</f>
      </c>
      <c r="F1988" s="20">
        <f>Разбивка_по_щитам!I1993</f>
      </c>
      <c r="G1988" s="20">
        <f>Разбивка_по_щитам!J1993</f>
      </c>
      <c r="H1988" s="20">
        <f>Разбивка_по_щитам!K1993</f>
      </c>
      <c r="I1988" s="20">
        <f>Разбивка_по_щитам!L1993</f>
      </c>
      <c r="J1988" s="20">
        <f>Разбивка_по_щитам!M1993</f>
      </c>
      <c r="K1988" s="20">
        <f>Разбивка_по_щитам!N1993</f>
      </c>
      <c r="L1988" s="20"/>
      <c r="M1988" s="20">
        <f>Разбивка_по_щитам!P1993</f>
      </c>
      <c r="N1988" s="20"/>
    </row>
    <row r="1989" spans="2:14" x14ac:dyDescent="0.25">
      <c r="B1989" s="20">
        <f>Разбивка_по_щитам!B1994</f>
      </c>
      <c r="C1989" s="20">
        <f>Разбивка_по_щитам!C1994</f>
      </c>
      <c r="D1989" s="20">
        <f>Разбивка_по_щитам!F1994</f>
      </c>
      <c r="E1989" s="20">
        <f>Разбивка_по_щитам!H1994</f>
      </c>
      <c r="F1989" s="20">
        <f>Разбивка_по_щитам!I1994</f>
      </c>
      <c r="G1989" s="20">
        <f>Разбивка_по_щитам!J1994</f>
      </c>
      <c r="H1989" s="20">
        <f>Разбивка_по_щитам!K1994</f>
      </c>
      <c r="I1989" s="20">
        <f>Разбивка_по_щитам!L1994</f>
      </c>
      <c r="J1989" s="20">
        <f>Разбивка_по_щитам!M1994</f>
      </c>
      <c r="K1989" s="20">
        <f>Разбивка_по_щитам!N1994</f>
      </c>
      <c r="L1989" s="20"/>
      <c r="M1989" s="20">
        <f>Разбивка_по_щитам!P1994</f>
      </c>
      <c r="N1989" s="20"/>
    </row>
    <row r="1990" spans="2:14" x14ac:dyDescent="0.25">
      <c r="B1990" s="20">
        <f>Разбивка_по_щитам!B1995</f>
      </c>
      <c r="C1990" s="20">
        <f>Разбивка_по_щитам!C1995</f>
      </c>
      <c r="D1990" s="20">
        <f>Разбивка_по_щитам!F1995</f>
      </c>
      <c r="E1990" s="20">
        <f>Разбивка_по_щитам!H1995</f>
      </c>
      <c r="F1990" s="20">
        <f>Разбивка_по_щитам!I1995</f>
      </c>
      <c r="G1990" s="20">
        <f>Разбивка_по_щитам!J1995</f>
      </c>
      <c r="H1990" s="20">
        <f>Разбивка_по_щитам!K1995</f>
      </c>
      <c r="I1990" s="20">
        <f>Разбивка_по_щитам!L1995</f>
      </c>
      <c r="J1990" s="20">
        <f>Разбивка_по_щитам!M1995</f>
      </c>
      <c r="K1990" s="20">
        <f>Разбивка_по_щитам!N1995</f>
      </c>
      <c r="L1990" s="20"/>
      <c r="M1990" s="20">
        <f>Разбивка_по_щитам!P1995</f>
      </c>
      <c r="N1990" s="20"/>
    </row>
    <row r="1991" spans="2:14" x14ac:dyDescent="0.25">
      <c r="B1991" s="20">
        <f>Разбивка_по_щитам!B1996</f>
      </c>
      <c r="C1991" s="20">
        <f>Разбивка_по_щитам!C1996</f>
      </c>
      <c r="D1991" s="20">
        <f>Разбивка_по_щитам!F1996</f>
      </c>
      <c r="E1991" s="20">
        <f>Разбивка_по_щитам!H1996</f>
      </c>
      <c r="F1991" s="20">
        <f>Разбивка_по_щитам!I1996</f>
      </c>
      <c r="G1991" s="20">
        <f>Разбивка_по_щитам!J1996</f>
      </c>
      <c r="H1991" s="20">
        <f>Разбивка_по_щитам!K1996</f>
      </c>
      <c r="I1991" s="20">
        <f>Разбивка_по_щитам!L1996</f>
      </c>
      <c r="J1991" s="20">
        <f>Разбивка_по_щитам!M1996</f>
      </c>
      <c r="K1991" s="20">
        <f>Разбивка_по_щитам!N1996</f>
      </c>
      <c r="L1991" s="20"/>
      <c r="M1991" s="20">
        <f>Разбивка_по_щитам!P1996</f>
      </c>
      <c r="N1991" s="20"/>
    </row>
    <row r="1992" spans="2:14" x14ac:dyDescent="0.25">
      <c r="B1992" s="20">
        <f>Разбивка_по_щитам!B1997</f>
      </c>
      <c r="C1992" s="20">
        <f>Разбивка_по_щитам!C1997</f>
      </c>
      <c r="D1992" s="20">
        <f>Разбивка_по_щитам!F1997</f>
      </c>
      <c r="E1992" s="20">
        <f>Разбивка_по_щитам!H1997</f>
      </c>
      <c r="F1992" s="20">
        <f>Разбивка_по_щитам!I1997</f>
      </c>
      <c r="G1992" s="20">
        <f>Разбивка_по_щитам!J1997</f>
      </c>
      <c r="H1992" s="20">
        <f>Разбивка_по_щитам!K1997</f>
      </c>
      <c r="I1992" s="20">
        <f>Разбивка_по_щитам!L1997</f>
      </c>
      <c r="J1992" s="20">
        <f>Разбивка_по_щитам!M1997</f>
      </c>
      <c r="K1992" s="20">
        <f>Разбивка_по_щитам!N1997</f>
      </c>
      <c r="L1992" s="20"/>
      <c r="M1992" s="20">
        <f>Разбивка_по_щитам!P1997</f>
      </c>
      <c r="N1992" s="20"/>
    </row>
    <row r="1993" spans="2:14" x14ac:dyDescent="0.25">
      <c r="B1993" s="20">
        <f>Разбивка_по_щитам!B1998</f>
      </c>
      <c r="C1993" s="20">
        <f>Разбивка_по_щитам!C1998</f>
      </c>
      <c r="D1993" s="20">
        <f>Разбивка_по_щитам!F1998</f>
      </c>
      <c r="E1993" s="20">
        <f>Разбивка_по_щитам!H1998</f>
      </c>
      <c r="F1993" s="20">
        <f>Разбивка_по_щитам!I1998</f>
      </c>
      <c r="G1993" s="20">
        <f>Разбивка_по_щитам!J1998</f>
      </c>
      <c r="H1993" s="20">
        <f>Разбивка_по_щитам!K1998</f>
      </c>
      <c r="I1993" s="20">
        <f>Разбивка_по_щитам!L1998</f>
      </c>
      <c r="J1993" s="20">
        <f>Разбивка_по_щитам!M1998</f>
      </c>
      <c r="K1993" s="20">
        <f>Разбивка_по_щитам!N1998</f>
      </c>
      <c r="L1993" s="20"/>
      <c r="M1993" s="20">
        <f>Разбивка_по_щитам!P1998</f>
      </c>
      <c r="N1993" s="20"/>
    </row>
    <row r="1994" spans="2:14" x14ac:dyDescent="0.25">
      <c r="B1994" s="20">
        <f>Разбивка_по_щитам!B1999</f>
      </c>
      <c r="C1994" s="20">
        <f>Разбивка_по_щитам!C1999</f>
      </c>
      <c r="D1994" s="20">
        <f>Разбивка_по_щитам!F1999</f>
      </c>
      <c r="E1994" s="20">
        <f>Разбивка_по_щитам!H1999</f>
      </c>
      <c r="F1994" s="20">
        <f>Разбивка_по_щитам!I1999</f>
      </c>
      <c r="G1994" s="20">
        <f>Разбивка_по_щитам!J1999</f>
      </c>
      <c r="H1994" s="20">
        <f>Разбивка_по_щитам!K1999</f>
      </c>
      <c r="I1994" s="20">
        <f>Разбивка_по_щитам!L1999</f>
      </c>
      <c r="J1994" s="20">
        <f>Разбивка_по_щитам!M1999</f>
      </c>
      <c r="K1994" s="20">
        <f>Разбивка_по_щитам!N1999</f>
      </c>
      <c r="L1994" s="20"/>
      <c r="M1994" s="20">
        <f>Разбивка_по_щитам!P1999</f>
      </c>
      <c r="N1994" s="20"/>
    </row>
    <row r="1995" spans="2:14" x14ac:dyDescent="0.25">
      <c r="B1995" s="20">
        <f>Разбивка_по_щитам!B2000</f>
      </c>
      <c r="C1995" s="20">
        <f>Разбивка_по_щитам!C2000</f>
      </c>
      <c r="D1995" s="20">
        <f>Разбивка_по_щитам!F2000</f>
      </c>
      <c r="E1995" s="20">
        <f>Разбивка_по_щитам!H2000</f>
      </c>
      <c r="F1995" s="20">
        <f>Разбивка_по_щитам!I2000</f>
      </c>
      <c r="G1995" s="20">
        <f>Разбивка_по_щитам!J2000</f>
      </c>
      <c r="H1995" s="20">
        <f>Разбивка_по_щитам!K2000</f>
      </c>
      <c r="I1995" s="20">
        <f>Разбивка_по_щитам!L2000</f>
      </c>
      <c r="J1995" s="20">
        <f>Разбивка_по_щитам!M2000</f>
      </c>
      <c r="K1995" s="20">
        <f>Разбивка_по_щитам!N2000</f>
      </c>
      <c r="L1995" s="20"/>
      <c r="M1995" s="20">
        <f>Разбивка_по_щитам!P2000</f>
      </c>
      <c r="N1995" s="20"/>
    </row>
    <row r="1996" spans="2:14" x14ac:dyDescent="0.25">
      <c r="B1996" s="20">
        <f>Разбивка_по_щитам!B2001</f>
      </c>
      <c r="C1996" s="20">
        <f>Разбивка_по_щитам!C2001</f>
      </c>
      <c r="D1996" s="20">
        <f>Разбивка_по_щитам!F2001</f>
      </c>
      <c r="E1996" s="20">
        <f>Разбивка_по_щитам!H2001</f>
      </c>
      <c r="F1996" s="20">
        <f>Разбивка_по_щитам!I2001</f>
      </c>
      <c r="G1996" s="20">
        <f>Разбивка_по_щитам!J2001</f>
      </c>
      <c r="H1996" s="20">
        <f>Разбивка_по_щитам!K2001</f>
      </c>
      <c r="I1996" s="20">
        <f>Разбивка_по_щитам!L2001</f>
      </c>
      <c r="J1996" s="20">
        <f>Разбивка_по_щитам!M2001</f>
      </c>
      <c r="K1996" s="20">
        <f>Разбивка_по_щитам!N2001</f>
      </c>
      <c r="L1996" s="20"/>
      <c r="M1996" s="20">
        <f>Разбивка_по_щитам!P2001</f>
      </c>
      <c r="N1996" s="20"/>
    </row>
    <row r="1997" spans="2:14" x14ac:dyDescent="0.25">
      <c r="B1997" s="20">
        <f>Разбивка_по_щитам!B2002</f>
      </c>
      <c r="C1997" s="20">
        <f>Разбивка_по_щитам!C2002</f>
      </c>
      <c r="D1997" s="20">
        <f>Разбивка_по_щитам!F2002</f>
      </c>
      <c r="E1997" s="20">
        <f>Разбивка_по_щитам!H2002</f>
      </c>
      <c r="F1997" s="20">
        <f>Разбивка_по_щитам!I2002</f>
      </c>
      <c r="G1997" s="20">
        <f>Разбивка_по_щитам!J2002</f>
      </c>
      <c r="H1997" s="20">
        <f>Разбивка_по_щитам!K2002</f>
      </c>
      <c r="I1997" s="20">
        <f>Разбивка_по_щитам!L2002</f>
      </c>
      <c r="J1997" s="20">
        <f>Разбивка_по_щитам!M2002</f>
      </c>
      <c r="K1997" s="20">
        <f>Разбивка_по_щитам!N2002</f>
      </c>
      <c r="L1997" s="20"/>
      <c r="M1997" s="20">
        <f>Разбивка_по_щитам!P2002</f>
      </c>
      <c r="N1997" s="20"/>
    </row>
    <row r="1998" spans="2:14" x14ac:dyDescent="0.25">
      <c r="B1998" s="20">
        <f>Разбивка_по_щитам!B2003</f>
      </c>
      <c r="C1998" s="20">
        <f>Разбивка_по_щитам!C2003</f>
      </c>
      <c r="D1998" s="20">
        <f>Разбивка_по_щитам!F2003</f>
      </c>
      <c r="E1998" s="20">
        <f>Разбивка_по_щитам!H2003</f>
      </c>
      <c r="F1998" s="20">
        <f>Разбивка_по_щитам!I2003</f>
      </c>
      <c r="G1998" s="20">
        <f>Разбивка_по_щитам!J2003</f>
      </c>
      <c r="H1998" s="20">
        <f>Разбивка_по_щитам!K2003</f>
      </c>
      <c r="I1998" s="20">
        <f>Разбивка_по_щитам!L2003</f>
      </c>
      <c r="J1998" s="20">
        <f>Разбивка_по_щитам!M2003</f>
      </c>
      <c r="K1998" s="20">
        <f>Разбивка_по_щитам!N2003</f>
      </c>
      <c r="L1998" s="20"/>
      <c r="M1998" s="20">
        <f>Разбивка_по_щитам!P2003</f>
      </c>
      <c r="N1998" s="20"/>
    </row>
    <row r="1999" spans="2:14" x14ac:dyDescent="0.25">
      <c r="B1999" s="20">
        <f>Разбивка_по_щитам!B2004</f>
      </c>
      <c r="C1999" s="20">
        <f>Разбивка_по_щитам!C2004</f>
      </c>
      <c r="D1999" s="20">
        <f>Разбивка_по_щитам!F2004</f>
      </c>
      <c r="E1999" s="20">
        <f>Разбивка_по_щитам!H2004</f>
      </c>
      <c r="F1999" s="20">
        <f>Разбивка_по_щитам!I2004</f>
      </c>
      <c r="G1999" s="20">
        <f>Разбивка_по_щитам!J2004</f>
      </c>
      <c r="H1999" s="20">
        <f>Разбивка_по_щитам!K2004</f>
      </c>
      <c r="I1999" s="20">
        <f>Разбивка_по_щитам!L2004</f>
      </c>
      <c r="J1999" s="20">
        <f>Разбивка_по_щитам!M2004</f>
      </c>
      <c r="K1999" s="20">
        <f>Разбивка_по_щитам!N2004</f>
      </c>
      <c r="L1999" s="20"/>
      <c r="M1999" s="20">
        <f>Разбивка_по_щитам!P2004</f>
      </c>
      <c r="N1999" s="20"/>
    </row>
    <row r="2000" spans="2:14" x14ac:dyDescent="0.25">
      <c r="B2000" s="20">
        <f>Разбивка_по_щитам!B2005</f>
      </c>
      <c r="C2000" s="20">
        <f>Разбивка_по_щитам!C2005</f>
      </c>
      <c r="D2000" s="20">
        <f>Разбивка_по_щитам!F2005</f>
      </c>
      <c r="E2000" s="20">
        <f>Разбивка_по_щитам!H2005</f>
      </c>
      <c r="F2000" s="20">
        <f>Разбивка_по_щитам!I2005</f>
      </c>
      <c r="G2000" s="20">
        <f>Разбивка_по_щитам!J2005</f>
      </c>
      <c r="H2000" s="20">
        <f>Разбивка_по_щитам!K2005</f>
      </c>
      <c r="I2000" s="20">
        <f>Разбивка_по_щитам!L2005</f>
      </c>
      <c r="J2000" s="20">
        <f>Разбивка_по_щитам!M2005</f>
      </c>
      <c r="K2000" s="20">
        <f>Разбивка_по_щитам!N2005</f>
      </c>
      <c r="L2000" s="20"/>
      <c r="M2000" s="20">
        <f>Разбивка_по_щитам!P2005</f>
      </c>
      <c r="N2000" s="20"/>
    </row>
    <row r="2001" spans="2:14" x14ac:dyDescent="0.25">
      <c r="B2001" s="20">
        <f>Разбивка_по_щитам!B2006</f>
      </c>
      <c r="C2001" s="20">
        <f>Разбивка_по_щитам!C2006</f>
      </c>
      <c r="D2001" s="20">
        <f>Разбивка_по_щитам!F2006</f>
      </c>
      <c r="E2001" s="20">
        <f>Разбивка_по_щитам!H2006</f>
      </c>
      <c r="F2001" s="20">
        <f>Разбивка_по_щитам!I2006</f>
      </c>
      <c r="G2001" s="20">
        <f>Разбивка_по_щитам!J2006</f>
      </c>
      <c r="H2001" s="20">
        <f>Разбивка_по_щитам!K2006</f>
      </c>
      <c r="I2001" s="20">
        <f>Разбивка_по_щитам!L2006</f>
      </c>
      <c r="J2001" s="20">
        <f>Разбивка_по_щитам!M2006</f>
      </c>
      <c r="K2001" s="20">
        <f>Разбивка_по_щитам!N2006</f>
      </c>
      <c r="L2001" s="20"/>
      <c r="M2001" s="20">
        <f>Разбивка_по_щитам!P2006</f>
      </c>
      <c r="N2001" s="20"/>
    </row>
    <row r="2002" spans="2:14" x14ac:dyDescent="0.25">
      <c r="B2002" s="20">
        <f>Разбивка_по_щитам!B2007</f>
      </c>
      <c r="C2002" s="20">
        <f>Разбивка_по_щитам!C2007</f>
      </c>
      <c r="D2002" s="20">
        <f>Разбивка_по_щитам!F2007</f>
      </c>
      <c r="E2002" s="20">
        <f>Разбивка_по_щитам!H2007</f>
      </c>
      <c r="F2002" s="20">
        <f>Разбивка_по_щитам!I2007</f>
      </c>
      <c r="G2002" s="20">
        <f>Разбивка_по_щитам!J2007</f>
      </c>
      <c r="H2002" s="20">
        <f>Разбивка_по_щитам!K2007</f>
      </c>
      <c r="I2002" s="20">
        <f>Разбивка_по_щитам!L2007</f>
      </c>
      <c r="J2002" s="20">
        <f>Разбивка_по_щитам!M2007</f>
      </c>
      <c r="K2002" s="20">
        <f>Разбивка_по_щитам!N2007</f>
      </c>
      <c r="L2002" s="20"/>
      <c r="M2002" s="20">
        <f>Разбивка_по_щитам!P2007</f>
      </c>
      <c r="N2002" s="20"/>
    </row>
    <row r="2003" spans="2:14" x14ac:dyDescent="0.25">
      <c r="B2003" s="20">
        <f>Разбивка_по_щитам!B2008</f>
      </c>
      <c r="C2003" s="20">
        <f>Разбивка_по_щитам!C2008</f>
      </c>
      <c r="D2003" s="20">
        <f>Разбивка_по_щитам!F2008</f>
      </c>
      <c r="E2003" s="20">
        <f>Разбивка_по_щитам!H2008</f>
      </c>
      <c r="F2003" s="20">
        <f>Разбивка_по_щитам!I2008</f>
      </c>
      <c r="G2003" s="20">
        <f>Разбивка_по_щитам!J2008</f>
      </c>
      <c r="H2003" s="20">
        <f>Разбивка_по_щитам!K2008</f>
      </c>
      <c r="I2003" s="20">
        <f>Разбивка_по_щитам!L2008</f>
      </c>
      <c r="J2003" s="20">
        <f>Разбивка_по_щитам!M2008</f>
      </c>
      <c r="K2003" s="20">
        <f>Разбивка_по_щитам!N2008</f>
      </c>
      <c r="L2003" s="20"/>
      <c r="M2003" s="20">
        <f>Разбивка_по_щитам!P2008</f>
      </c>
      <c r="N2003" s="20"/>
    </row>
    <row r="2004" spans="2:14" x14ac:dyDescent="0.25">
      <c r="B2004" s="20">
        <f>Разбивка_по_щитам!B2009</f>
      </c>
      <c r="C2004" s="20">
        <f>Разбивка_по_щитам!C2009</f>
      </c>
      <c r="D2004" s="20">
        <f>Разбивка_по_щитам!F2009</f>
      </c>
      <c r="E2004" s="20">
        <f>Разбивка_по_щитам!H2009</f>
      </c>
      <c r="F2004" s="20">
        <f>Разбивка_по_щитам!I2009</f>
      </c>
      <c r="G2004" s="20">
        <f>Разбивка_по_щитам!J2009</f>
      </c>
      <c r="H2004" s="20">
        <f>Разбивка_по_щитам!K2009</f>
      </c>
      <c r="I2004" s="20">
        <f>Разбивка_по_щитам!L2009</f>
      </c>
      <c r="J2004" s="20">
        <f>Разбивка_по_щитам!M2009</f>
      </c>
      <c r="K2004" s="20">
        <f>Разбивка_по_щитам!N2009</f>
      </c>
      <c r="L2004" s="20"/>
      <c r="M2004" s="20">
        <f>Разбивка_по_щитам!P2009</f>
      </c>
      <c r="N2004" s="20"/>
    </row>
    <row r="2005" spans="2:14" x14ac:dyDescent="0.25">
      <c r="B2005" s="20">
        <f>Разбивка_по_щитам!B2010</f>
      </c>
      <c r="C2005" s="20">
        <f>Разбивка_по_щитам!C2010</f>
      </c>
      <c r="D2005" s="20">
        <f>Разбивка_по_щитам!F2010</f>
      </c>
      <c r="E2005" s="20">
        <f>Разбивка_по_щитам!H2010</f>
      </c>
      <c r="F2005" s="20">
        <f>Разбивка_по_щитам!I2010</f>
      </c>
      <c r="G2005" s="20">
        <f>Разбивка_по_щитам!J2010</f>
      </c>
      <c r="H2005" s="20">
        <f>Разбивка_по_щитам!K2010</f>
      </c>
      <c r="I2005" s="20">
        <f>Разбивка_по_щитам!L2010</f>
      </c>
      <c r="J2005" s="20">
        <f>Разбивка_по_щитам!M2010</f>
      </c>
      <c r="K2005" s="20">
        <f>Разбивка_по_щитам!N2010</f>
      </c>
      <c r="L2005" s="20"/>
      <c r="M2005" s="20">
        <f>Разбивка_по_щитам!P2010</f>
      </c>
      <c r="N2005" s="20"/>
    </row>
    <row r="2006" spans="2:14" x14ac:dyDescent="0.25">
      <c r="B2006" s="20">
        <f>Разбивка_по_щитам!B2011</f>
      </c>
      <c r="C2006" s="20">
        <f>Разбивка_по_щитам!C2011</f>
      </c>
      <c r="D2006" s="20">
        <f>Разбивка_по_щитам!F2011</f>
      </c>
      <c r="E2006" s="20">
        <f>Разбивка_по_щитам!H2011</f>
      </c>
      <c r="F2006" s="20">
        <f>Разбивка_по_щитам!I2011</f>
      </c>
      <c r="G2006" s="20">
        <f>Разбивка_по_щитам!J2011</f>
      </c>
      <c r="H2006" s="20">
        <f>Разбивка_по_щитам!K2011</f>
      </c>
      <c r="I2006" s="20">
        <f>Разбивка_по_щитам!L2011</f>
      </c>
      <c r="J2006" s="20">
        <f>Разбивка_по_щитам!M2011</f>
      </c>
      <c r="K2006" s="20">
        <f>Разбивка_по_щитам!N2011</f>
      </c>
      <c r="L2006" s="20"/>
      <c r="M2006" s="20">
        <f>Разбивка_по_щитам!P2011</f>
      </c>
      <c r="N2006" s="20"/>
    </row>
    <row r="2007" spans="2:14" x14ac:dyDescent="0.25">
      <c r="B2007" s="20">
        <f>Разбивка_по_щитам!B2012</f>
      </c>
      <c r="C2007" s="20">
        <f>Разбивка_по_щитам!C2012</f>
      </c>
      <c r="D2007" s="20">
        <f>Разбивка_по_щитам!F2012</f>
      </c>
      <c r="E2007" s="20">
        <f>Разбивка_по_щитам!H2012</f>
      </c>
      <c r="F2007" s="20">
        <f>Разбивка_по_щитам!I2012</f>
      </c>
      <c r="G2007" s="20">
        <f>Разбивка_по_щитам!J2012</f>
      </c>
      <c r="H2007" s="20">
        <f>Разбивка_по_щитам!K2012</f>
      </c>
      <c r="I2007" s="20">
        <f>Разбивка_по_щитам!L2012</f>
      </c>
      <c r="J2007" s="20">
        <f>Разбивка_по_щитам!M2012</f>
      </c>
      <c r="K2007" s="20">
        <f>Разбивка_по_щитам!N2012</f>
      </c>
      <c r="L2007" s="20"/>
      <c r="M2007" s="20">
        <f>Разбивка_по_щитам!P2012</f>
      </c>
      <c r="N2007" s="20"/>
    </row>
    <row r="2008" spans="2:14" x14ac:dyDescent="0.25">
      <c r="B2008" s="20">
        <f>Разбивка_по_щитам!B2013</f>
      </c>
      <c r="C2008" s="20">
        <f>Разбивка_по_щитам!C2013</f>
      </c>
      <c r="D2008" s="20">
        <f>Разбивка_по_щитам!F2013</f>
      </c>
      <c r="E2008" s="20">
        <f>Разбивка_по_щитам!H2013</f>
      </c>
      <c r="F2008" s="20">
        <f>Разбивка_по_щитам!I2013</f>
      </c>
      <c r="G2008" s="20">
        <f>Разбивка_по_щитам!J2013</f>
      </c>
      <c r="H2008" s="20">
        <f>Разбивка_по_щитам!K2013</f>
      </c>
      <c r="I2008" s="20">
        <f>Разбивка_по_щитам!L2013</f>
      </c>
      <c r="J2008" s="20">
        <f>Разбивка_по_щитам!M2013</f>
      </c>
      <c r="K2008" s="20">
        <f>Разбивка_по_щитам!N2013</f>
      </c>
      <c r="L2008" s="20"/>
      <c r="M2008" s="20">
        <f>Разбивка_по_щитам!P2013</f>
      </c>
      <c r="N2008" s="20"/>
    </row>
    <row r="2009" spans="2:14" x14ac:dyDescent="0.25">
      <c r="B2009" s="20">
        <f>Разбивка_по_щитам!B2014</f>
      </c>
      <c r="C2009" s="20">
        <f>Разбивка_по_щитам!C2014</f>
      </c>
      <c r="D2009" s="20">
        <f>Разбивка_по_щитам!F2014</f>
      </c>
      <c r="E2009" s="20">
        <f>Разбивка_по_щитам!H2014</f>
      </c>
      <c r="F2009" s="20">
        <f>Разбивка_по_щитам!I2014</f>
      </c>
      <c r="G2009" s="20">
        <f>Разбивка_по_щитам!J2014</f>
      </c>
      <c r="H2009" s="20">
        <f>Разбивка_по_щитам!K2014</f>
      </c>
      <c r="I2009" s="20">
        <f>Разбивка_по_щитам!L2014</f>
      </c>
      <c r="J2009" s="20">
        <f>Разбивка_по_щитам!M2014</f>
      </c>
      <c r="K2009" s="20">
        <f>Разбивка_по_щитам!N2014</f>
      </c>
      <c r="L2009" s="20"/>
      <c r="M2009" s="20">
        <f>Разбивка_по_щитам!P2014</f>
      </c>
      <c r="N2009" s="20"/>
    </row>
    <row r="2010" spans="2:14" x14ac:dyDescent="0.25">
      <c r="B2010" s="20">
        <f>Разбивка_по_щитам!B2015</f>
      </c>
      <c r="C2010" s="20">
        <f>Разбивка_по_щитам!C2015</f>
      </c>
      <c r="D2010" s="20">
        <f>Разбивка_по_щитам!F2015</f>
      </c>
      <c r="E2010" s="20">
        <f>Разбивка_по_щитам!H2015</f>
      </c>
      <c r="F2010" s="20">
        <f>Разбивка_по_щитам!I2015</f>
      </c>
      <c r="G2010" s="20">
        <f>Разбивка_по_щитам!J2015</f>
      </c>
      <c r="H2010" s="20">
        <f>Разбивка_по_щитам!K2015</f>
      </c>
      <c r="I2010" s="20">
        <f>Разбивка_по_щитам!L2015</f>
      </c>
      <c r="J2010" s="20">
        <f>Разбивка_по_щитам!M2015</f>
      </c>
      <c r="K2010" s="20">
        <f>Разбивка_по_щитам!N2015</f>
      </c>
      <c r="L2010" s="20"/>
      <c r="M2010" s="20">
        <f>Разбивка_по_щитам!P2015</f>
      </c>
      <c r="N2010" s="20"/>
    </row>
    <row r="2011" spans="2:14" x14ac:dyDescent="0.25">
      <c r="B2011" s="20">
        <f>Разбивка_по_щитам!B2016</f>
      </c>
      <c r="C2011" s="20">
        <f>Разбивка_по_щитам!C2016</f>
      </c>
      <c r="D2011" s="20">
        <f>Разбивка_по_щитам!F2016</f>
      </c>
      <c r="E2011" s="20">
        <f>Разбивка_по_щитам!H2016</f>
      </c>
      <c r="F2011" s="20">
        <f>Разбивка_по_щитам!I2016</f>
      </c>
      <c r="G2011" s="20">
        <f>Разбивка_по_щитам!J2016</f>
      </c>
      <c r="H2011" s="20">
        <f>Разбивка_по_щитам!K2016</f>
      </c>
      <c r="I2011" s="20">
        <f>Разбивка_по_щитам!L2016</f>
      </c>
      <c r="J2011" s="20">
        <f>Разбивка_по_щитам!M2016</f>
      </c>
      <c r="K2011" s="20">
        <f>Разбивка_по_щитам!N2016</f>
      </c>
      <c r="L2011" s="20"/>
      <c r="M2011" s="20">
        <f>Разбивка_по_щитам!P2016</f>
      </c>
      <c r="N2011" s="20"/>
    </row>
    <row r="2012" spans="2:14" x14ac:dyDescent="0.25">
      <c r="B2012" s="20">
        <f>Разбивка_по_щитам!B2017</f>
      </c>
      <c r="C2012" s="20">
        <f>Разбивка_по_щитам!C2017</f>
      </c>
      <c r="D2012" s="20">
        <f>Разбивка_по_щитам!F2017</f>
      </c>
      <c r="E2012" s="20">
        <f>Разбивка_по_щитам!H2017</f>
      </c>
      <c r="F2012" s="20">
        <f>Разбивка_по_щитам!I2017</f>
      </c>
      <c r="G2012" s="20">
        <f>Разбивка_по_щитам!J2017</f>
      </c>
      <c r="H2012" s="20">
        <f>Разбивка_по_щитам!K2017</f>
      </c>
      <c r="I2012" s="20">
        <f>Разбивка_по_щитам!L2017</f>
      </c>
      <c r="J2012" s="20">
        <f>Разбивка_по_щитам!M2017</f>
      </c>
      <c r="K2012" s="20">
        <f>Разбивка_по_щитам!N2017</f>
      </c>
      <c r="L2012" s="20"/>
      <c r="M2012" s="20">
        <f>Разбивка_по_щитам!P2017</f>
      </c>
      <c r="N2012" s="20"/>
    </row>
    <row r="2013" spans="2:14" x14ac:dyDescent="0.25">
      <c r="B2013" s="20">
        <f>Разбивка_по_щитам!B2018</f>
      </c>
      <c r="C2013" s="20">
        <f>Разбивка_по_щитам!C2018</f>
      </c>
      <c r="D2013" s="20">
        <f>Разбивка_по_щитам!F2018</f>
      </c>
      <c r="E2013" s="20">
        <f>Разбивка_по_щитам!H2018</f>
      </c>
      <c r="F2013" s="20">
        <f>Разбивка_по_щитам!I2018</f>
      </c>
      <c r="G2013" s="20">
        <f>Разбивка_по_щитам!J2018</f>
      </c>
      <c r="H2013" s="20">
        <f>Разбивка_по_щитам!K2018</f>
      </c>
      <c r="I2013" s="20">
        <f>Разбивка_по_щитам!L2018</f>
      </c>
      <c r="J2013" s="20">
        <f>Разбивка_по_щитам!M2018</f>
      </c>
      <c r="K2013" s="20">
        <f>Разбивка_по_щитам!N2018</f>
      </c>
      <c r="L2013" s="20"/>
      <c r="M2013" s="20">
        <f>Разбивка_по_щитам!P2018</f>
      </c>
      <c r="N2013" s="20"/>
    </row>
    <row r="2014" spans="2:14" x14ac:dyDescent="0.25">
      <c r="B2014" s="20">
        <f>Разбивка_по_щитам!B2019</f>
      </c>
      <c r="C2014" s="20">
        <f>Разбивка_по_щитам!C2019</f>
      </c>
      <c r="D2014" s="20">
        <f>Разбивка_по_щитам!F2019</f>
      </c>
      <c r="E2014" s="20">
        <f>Разбивка_по_щитам!H2019</f>
      </c>
      <c r="F2014" s="20">
        <f>Разбивка_по_щитам!I2019</f>
      </c>
      <c r="G2014" s="20">
        <f>Разбивка_по_щитам!J2019</f>
      </c>
      <c r="H2014" s="20">
        <f>Разбивка_по_щитам!K2019</f>
      </c>
      <c r="I2014" s="20">
        <f>Разбивка_по_щитам!L2019</f>
      </c>
      <c r="J2014" s="20">
        <f>Разбивка_по_щитам!M2019</f>
      </c>
      <c r="K2014" s="20">
        <f>Разбивка_по_щитам!N2019</f>
      </c>
      <c r="L2014" s="20"/>
      <c r="M2014" s="20">
        <f>Разбивка_по_щитам!P2019</f>
      </c>
      <c r="N2014" s="20"/>
    </row>
    <row r="2015" spans="2:14" x14ac:dyDescent="0.25">
      <c r="B2015" s="20">
        <f>Разбивка_по_щитам!B2020</f>
      </c>
      <c r="C2015" s="20">
        <f>Разбивка_по_щитам!C2020</f>
      </c>
      <c r="D2015" s="20">
        <f>Разбивка_по_щитам!F2020</f>
      </c>
      <c r="E2015" s="20">
        <f>Разбивка_по_щитам!H2020</f>
      </c>
      <c r="F2015" s="20">
        <f>Разбивка_по_щитам!I2020</f>
      </c>
      <c r="G2015" s="20">
        <f>Разбивка_по_щитам!J2020</f>
      </c>
      <c r="H2015" s="20">
        <f>Разбивка_по_щитам!K2020</f>
      </c>
      <c r="I2015" s="20">
        <f>Разбивка_по_щитам!L2020</f>
      </c>
      <c r="J2015" s="20">
        <f>Разбивка_по_щитам!M2020</f>
      </c>
      <c r="K2015" s="20">
        <f>Разбивка_по_щитам!N2020</f>
      </c>
      <c r="L2015" s="20"/>
      <c r="M2015" s="20">
        <f>Разбивка_по_щитам!P2020</f>
      </c>
      <c r="N2015" s="20"/>
    </row>
    <row r="2016" spans="2:14" x14ac:dyDescent="0.25">
      <c r="B2016" s="20">
        <f>Разбивка_по_щитам!B2021</f>
      </c>
      <c r="C2016" s="20">
        <f>Разбивка_по_щитам!C2021</f>
      </c>
      <c r="D2016" s="20">
        <f>Разбивка_по_щитам!F2021</f>
      </c>
      <c r="E2016" s="20">
        <f>Разбивка_по_щитам!H2021</f>
      </c>
      <c r="F2016" s="20">
        <f>Разбивка_по_щитам!I2021</f>
      </c>
      <c r="G2016" s="20">
        <f>Разбивка_по_щитам!J2021</f>
      </c>
      <c r="H2016" s="20">
        <f>Разбивка_по_щитам!K2021</f>
      </c>
      <c r="I2016" s="20">
        <f>Разбивка_по_щитам!L2021</f>
      </c>
      <c r="J2016" s="20">
        <f>Разбивка_по_щитам!M2021</f>
      </c>
      <c r="K2016" s="20">
        <f>Разбивка_по_щитам!N2021</f>
      </c>
      <c r="L2016" s="20"/>
      <c r="M2016" s="20">
        <f>Разбивка_по_щитам!P2021</f>
      </c>
      <c r="N2016" s="20"/>
    </row>
    <row r="2017" spans="2:14" x14ac:dyDescent="0.25">
      <c r="B2017" s="20">
        <f>Разбивка_по_щитам!B2022</f>
      </c>
      <c r="C2017" s="20">
        <f>Разбивка_по_щитам!C2022</f>
      </c>
      <c r="D2017" s="20">
        <f>Разбивка_по_щитам!F2022</f>
      </c>
      <c r="E2017" s="20">
        <f>Разбивка_по_щитам!H2022</f>
      </c>
      <c r="F2017" s="20">
        <f>Разбивка_по_щитам!I2022</f>
      </c>
      <c r="G2017" s="20">
        <f>Разбивка_по_щитам!J2022</f>
      </c>
      <c r="H2017" s="20">
        <f>Разбивка_по_щитам!K2022</f>
      </c>
      <c r="I2017" s="20">
        <f>Разбивка_по_щитам!L2022</f>
      </c>
      <c r="J2017" s="20">
        <f>Разбивка_по_щитам!M2022</f>
      </c>
      <c r="K2017" s="20">
        <f>Разбивка_по_щитам!N2022</f>
      </c>
      <c r="L2017" s="20"/>
      <c r="M2017" s="20">
        <f>Разбивка_по_щитам!P2022</f>
      </c>
      <c r="N2017" s="20"/>
    </row>
    <row r="2018" spans="2:14" x14ac:dyDescent="0.25">
      <c r="B2018" s="20">
        <f>Разбивка_по_щитам!B2023</f>
      </c>
      <c r="C2018" s="20">
        <f>Разбивка_по_щитам!C2023</f>
      </c>
      <c r="D2018" s="20">
        <f>Разбивка_по_щитам!F2023</f>
      </c>
      <c r="E2018" s="20">
        <f>Разбивка_по_щитам!H2023</f>
      </c>
      <c r="F2018" s="20">
        <f>Разбивка_по_щитам!I2023</f>
      </c>
      <c r="G2018" s="20">
        <f>Разбивка_по_щитам!J2023</f>
      </c>
      <c r="H2018" s="20">
        <f>Разбивка_по_щитам!K2023</f>
      </c>
      <c r="I2018" s="20">
        <f>Разбивка_по_щитам!L2023</f>
      </c>
      <c r="J2018" s="20">
        <f>Разбивка_по_щитам!M2023</f>
      </c>
      <c r="K2018" s="20">
        <f>Разбивка_по_щитам!N2023</f>
      </c>
      <c r="L2018" s="20"/>
      <c r="M2018" s="20">
        <f>Разбивка_по_щитам!P2023</f>
      </c>
      <c r="N2018" s="20"/>
    </row>
    <row r="2019" spans="2:14" x14ac:dyDescent="0.25">
      <c r="B2019" s="20">
        <f>Разбивка_по_щитам!B2024</f>
      </c>
      <c r="C2019" s="20">
        <f>Разбивка_по_щитам!C2024</f>
      </c>
      <c r="D2019" s="20">
        <f>Разбивка_по_щитам!F2024</f>
      </c>
      <c r="E2019" s="20">
        <f>Разбивка_по_щитам!H2024</f>
      </c>
      <c r="F2019" s="20">
        <f>Разбивка_по_щитам!I2024</f>
      </c>
      <c r="G2019" s="20">
        <f>Разбивка_по_щитам!J2024</f>
      </c>
      <c r="H2019" s="20">
        <f>Разбивка_по_щитам!K2024</f>
      </c>
      <c r="I2019" s="20">
        <f>Разбивка_по_щитам!L2024</f>
      </c>
      <c r="J2019" s="20">
        <f>Разбивка_по_щитам!M2024</f>
      </c>
      <c r="K2019" s="20">
        <f>Разбивка_по_щитам!N2024</f>
      </c>
      <c r="L2019" s="20"/>
      <c r="M2019" s="20">
        <f>Разбивка_по_щитам!P2024</f>
      </c>
      <c r="N2019" s="20"/>
    </row>
    <row r="2020" spans="2:14" x14ac:dyDescent="0.25">
      <c r="B2020" s="20">
        <f>Разбивка_по_щитам!B2025</f>
      </c>
      <c r="C2020" s="20">
        <f>Разбивка_по_щитам!C2025</f>
      </c>
      <c r="D2020" s="20">
        <f>Разбивка_по_щитам!F2025</f>
      </c>
      <c r="E2020" s="20">
        <f>Разбивка_по_щитам!H2025</f>
      </c>
      <c r="F2020" s="20">
        <f>Разбивка_по_щитам!I2025</f>
      </c>
      <c r="G2020" s="20">
        <f>Разбивка_по_щитам!J2025</f>
      </c>
      <c r="H2020" s="20">
        <f>Разбивка_по_щитам!K2025</f>
      </c>
      <c r="I2020" s="20">
        <f>Разбивка_по_щитам!L2025</f>
      </c>
      <c r="J2020" s="20">
        <f>Разбивка_по_щитам!M2025</f>
      </c>
      <c r="K2020" s="20">
        <f>Разбивка_по_щитам!N2025</f>
      </c>
      <c r="L2020" s="20"/>
      <c r="M2020" s="20">
        <f>Разбивка_по_щитам!P2025</f>
      </c>
      <c r="N2020" s="20"/>
    </row>
    <row r="2021" spans="2:14" x14ac:dyDescent="0.25">
      <c r="B2021" s="20">
        <f>Разбивка_по_щитам!B2026</f>
      </c>
      <c r="C2021" s="20">
        <f>Разбивка_по_щитам!C2026</f>
      </c>
      <c r="D2021" s="20">
        <f>Разбивка_по_щитам!F2026</f>
      </c>
      <c r="E2021" s="20">
        <f>Разбивка_по_щитам!H2026</f>
      </c>
      <c r="F2021" s="20">
        <f>Разбивка_по_щитам!I2026</f>
      </c>
      <c r="G2021" s="20">
        <f>Разбивка_по_щитам!J2026</f>
      </c>
      <c r="H2021" s="20">
        <f>Разбивка_по_щитам!K2026</f>
      </c>
      <c r="I2021" s="20">
        <f>Разбивка_по_щитам!L2026</f>
      </c>
      <c r="J2021" s="20">
        <f>Разбивка_по_щитам!M2026</f>
      </c>
      <c r="K2021" s="20">
        <f>Разбивка_по_щитам!N2026</f>
      </c>
      <c r="L2021" s="20"/>
      <c r="M2021" s="20">
        <f>Разбивка_по_щитам!P2026</f>
      </c>
      <c r="N2021" s="20"/>
    </row>
    <row r="2022" spans="2:14" x14ac:dyDescent="0.25">
      <c r="B2022" s="20">
        <f>Разбивка_по_щитам!B2027</f>
      </c>
      <c r="C2022" s="20">
        <f>Разбивка_по_щитам!C2027</f>
      </c>
      <c r="D2022" s="20">
        <f>Разбивка_по_щитам!F2027</f>
      </c>
      <c r="E2022" s="20">
        <f>Разбивка_по_щитам!H2027</f>
      </c>
      <c r="F2022" s="20">
        <f>Разбивка_по_щитам!I2027</f>
      </c>
      <c r="G2022" s="20">
        <f>Разбивка_по_щитам!J2027</f>
      </c>
      <c r="H2022" s="20">
        <f>Разбивка_по_щитам!K2027</f>
      </c>
      <c r="I2022" s="20">
        <f>Разбивка_по_щитам!L2027</f>
      </c>
      <c r="J2022" s="20">
        <f>Разбивка_по_щитам!M2027</f>
      </c>
      <c r="K2022" s="20">
        <f>Разбивка_по_щитам!N2027</f>
      </c>
      <c r="L2022" s="20"/>
      <c r="M2022" s="20">
        <f>Разбивка_по_щитам!P2027</f>
      </c>
      <c r="N2022" s="20"/>
    </row>
    <row r="2023" spans="2:14" x14ac:dyDescent="0.25">
      <c r="B2023" s="20">
        <f>Разбивка_по_щитам!B2028</f>
      </c>
      <c r="C2023" s="20">
        <f>Разбивка_по_щитам!C2028</f>
      </c>
      <c r="D2023" s="20">
        <f>Разбивка_по_щитам!F2028</f>
      </c>
      <c r="E2023" s="20">
        <f>Разбивка_по_щитам!H2028</f>
      </c>
      <c r="F2023" s="20">
        <f>Разбивка_по_щитам!I2028</f>
      </c>
      <c r="G2023" s="20">
        <f>Разбивка_по_щитам!J2028</f>
      </c>
      <c r="H2023" s="20">
        <f>Разбивка_по_щитам!K2028</f>
      </c>
      <c r="I2023" s="20">
        <f>Разбивка_по_щитам!L2028</f>
      </c>
      <c r="J2023" s="20">
        <f>Разбивка_по_щитам!M2028</f>
      </c>
      <c r="K2023" s="20">
        <f>Разбивка_по_щитам!N2028</f>
      </c>
      <c r="L2023" s="20"/>
      <c r="M2023" s="20">
        <f>Разбивка_по_щитам!P2028</f>
      </c>
      <c r="N2023" s="20"/>
    </row>
    <row r="2024" spans="2:14" x14ac:dyDescent="0.25">
      <c r="B2024" s="20">
        <f>Разбивка_по_щитам!B2029</f>
      </c>
      <c r="C2024" s="20">
        <f>Разбивка_по_щитам!C2029</f>
      </c>
      <c r="D2024" s="20">
        <f>Разбивка_по_щитам!F2029</f>
      </c>
      <c r="E2024" s="20">
        <f>Разбивка_по_щитам!H2029</f>
      </c>
      <c r="F2024" s="20">
        <f>Разбивка_по_щитам!I2029</f>
      </c>
      <c r="G2024" s="20">
        <f>Разбивка_по_щитам!J2029</f>
      </c>
      <c r="H2024" s="20">
        <f>Разбивка_по_щитам!K2029</f>
      </c>
      <c r="I2024" s="20">
        <f>Разбивка_по_щитам!L2029</f>
      </c>
      <c r="J2024" s="20">
        <f>Разбивка_по_щитам!M2029</f>
      </c>
      <c r="K2024" s="20">
        <f>Разбивка_по_щитам!N2029</f>
      </c>
      <c r="L2024" s="20"/>
      <c r="M2024" s="20">
        <f>Разбивка_по_щитам!P2029</f>
      </c>
      <c r="N2024" s="20"/>
    </row>
    <row r="2025" spans="2:14" x14ac:dyDescent="0.25">
      <c r="B2025" s="20">
        <f>Разбивка_по_щитам!B2030</f>
      </c>
      <c r="C2025" s="20">
        <f>Разбивка_по_щитам!C2030</f>
      </c>
      <c r="D2025" s="20">
        <f>Разбивка_по_щитам!F2030</f>
      </c>
      <c r="E2025" s="20">
        <f>Разбивка_по_щитам!H2030</f>
      </c>
      <c r="F2025" s="20">
        <f>Разбивка_по_щитам!I2030</f>
      </c>
      <c r="G2025" s="20">
        <f>Разбивка_по_щитам!J2030</f>
      </c>
      <c r="H2025" s="20">
        <f>Разбивка_по_щитам!K2030</f>
      </c>
      <c r="I2025" s="20">
        <f>Разбивка_по_щитам!L2030</f>
      </c>
      <c r="J2025" s="20">
        <f>Разбивка_по_щитам!M2030</f>
      </c>
      <c r="K2025" s="20">
        <f>Разбивка_по_щитам!N2030</f>
      </c>
      <c r="L2025" s="20"/>
      <c r="M2025" s="20">
        <f>Разбивка_по_щитам!P2030</f>
      </c>
      <c r="N2025" s="20"/>
    </row>
    <row r="2026" spans="2:14" x14ac:dyDescent="0.25">
      <c r="B2026" s="20">
        <f>Разбивка_по_щитам!B2031</f>
      </c>
      <c r="C2026" s="20">
        <f>Разбивка_по_щитам!C2031</f>
      </c>
      <c r="D2026" s="20">
        <f>Разбивка_по_щитам!F2031</f>
      </c>
      <c r="E2026" s="20">
        <f>Разбивка_по_щитам!H2031</f>
      </c>
      <c r="F2026" s="20">
        <f>Разбивка_по_щитам!I2031</f>
      </c>
      <c r="G2026" s="20">
        <f>Разбивка_по_щитам!J2031</f>
      </c>
      <c r="H2026" s="20">
        <f>Разбивка_по_щитам!K2031</f>
      </c>
      <c r="I2026" s="20">
        <f>Разбивка_по_щитам!L2031</f>
      </c>
      <c r="J2026" s="20">
        <f>Разбивка_по_щитам!M2031</f>
      </c>
      <c r="K2026" s="20">
        <f>Разбивка_по_щитам!N2031</f>
      </c>
      <c r="L2026" s="20"/>
      <c r="M2026" s="20">
        <f>Разбивка_по_щитам!P2031</f>
      </c>
      <c r="N2026" s="20"/>
    </row>
    <row r="2027" spans="2:14" x14ac:dyDescent="0.25">
      <c r="B2027" s="20">
        <f>Разбивка_по_щитам!B2032</f>
      </c>
      <c r="C2027" s="20">
        <f>Разбивка_по_щитам!C2032</f>
      </c>
      <c r="D2027" s="20">
        <f>Разбивка_по_щитам!F2032</f>
      </c>
      <c r="E2027" s="20">
        <f>Разбивка_по_щитам!H2032</f>
      </c>
      <c r="F2027" s="20">
        <f>Разбивка_по_щитам!I2032</f>
      </c>
      <c r="G2027" s="20">
        <f>Разбивка_по_щитам!J2032</f>
      </c>
      <c r="H2027" s="20">
        <f>Разбивка_по_щитам!K2032</f>
      </c>
      <c r="I2027" s="20">
        <f>Разбивка_по_щитам!L2032</f>
      </c>
      <c r="J2027" s="20">
        <f>Разбивка_по_щитам!M2032</f>
      </c>
      <c r="K2027" s="20">
        <f>Разбивка_по_щитам!N2032</f>
      </c>
      <c r="L2027" s="20"/>
      <c r="M2027" s="20">
        <f>Разбивка_по_щитам!P2032</f>
      </c>
      <c r="N2027" s="20"/>
    </row>
    <row r="2028" spans="2:14" x14ac:dyDescent="0.25">
      <c r="B2028" s="20">
        <f>Разбивка_по_щитам!B2033</f>
      </c>
      <c r="C2028" s="20">
        <f>Разбивка_по_щитам!C2033</f>
      </c>
      <c r="D2028" s="20">
        <f>Разбивка_по_щитам!F2033</f>
      </c>
      <c r="E2028" s="20">
        <f>Разбивка_по_щитам!H2033</f>
      </c>
      <c r="F2028" s="20">
        <f>Разбивка_по_щитам!I2033</f>
      </c>
      <c r="G2028" s="20">
        <f>Разбивка_по_щитам!J2033</f>
      </c>
      <c r="H2028" s="20">
        <f>Разбивка_по_щитам!K2033</f>
      </c>
      <c r="I2028" s="20">
        <f>Разбивка_по_щитам!L2033</f>
      </c>
      <c r="J2028" s="20">
        <f>Разбивка_по_щитам!M2033</f>
      </c>
      <c r="K2028" s="20">
        <f>Разбивка_по_щитам!N2033</f>
      </c>
      <c r="L2028" s="20"/>
      <c r="M2028" s="20">
        <f>Разбивка_по_щитам!P2033</f>
      </c>
      <c r="N2028" s="20"/>
    </row>
    <row r="2029" spans="2:14" x14ac:dyDescent="0.25">
      <c r="B2029" s="20">
        <f>Разбивка_по_щитам!B2034</f>
      </c>
      <c r="C2029" s="20">
        <f>Разбивка_по_щитам!C2034</f>
      </c>
      <c r="D2029" s="20">
        <f>Разбивка_по_щитам!F2034</f>
      </c>
      <c r="E2029" s="20">
        <f>Разбивка_по_щитам!H2034</f>
      </c>
      <c r="F2029" s="20">
        <f>Разбивка_по_щитам!I2034</f>
      </c>
      <c r="G2029" s="20">
        <f>Разбивка_по_щитам!J2034</f>
      </c>
      <c r="H2029" s="20">
        <f>Разбивка_по_щитам!K2034</f>
      </c>
      <c r="I2029" s="20">
        <f>Разбивка_по_щитам!L2034</f>
      </c>
      <c r="J2029" s="20">
        <f>Разбивка_по_щитам!M2034</f>
      </c>
      <c r="K2029" s="20">
        <f>Разбивка_по_щитам!N2034</f>
      </c>
      <c r="L2029" s="20"/>
      <c r="M2029" s="20">
        <f>Разбивка_по_щитам!P2034</f>
      </c>
      <c r="N2029" s="20"/>
    </row>
    <row r="2030" spans="2:14" x14ac:dyDescent="0.25">
      <c r="B2030" s="20">
        <f>Разбивка_по_щитам!B2035</f>
      </c>
      <c r="C2030" s="20">
        <f>Разбивка_по_щитам!C2035</f>
      </c>
      <c r="D2030" s="20">
        <f>Разбивка_по_щитам!F2035</f>
      </c>
      <c r="E2030" s="20">
        <f>Разбивка_по_щитам!H2035</f>
      </c>
      <c r="F2030" s="20">
        <f>Разбивка_по_щитам!I2035</f>
      </c>
      <c r="G2030" s="20">
        <f>Разбивка_по_щитам!J2035</f>
      </c>
      <c r="H2030" s="20">
        <f>Разбивка_по_щитам!K2035</f>
      </c>
      <c r="I2030" s="20">
        <f>Разбивка_по_щитам!L2035</f>
      </c>
      <c r="J2030" s="20">
        <f>Разбивка_по_щитам!M2035</f>
      </c>
      <c r="K2030" s="20">
        <f>Разбивка_по_щитам!N2035</f>
      </c>
      <c r="L2030" s="20"/>
      <c r="M2030" s="20">
        <f>Разбивка_по_щитам!P2035</f>
      </c>
      <c r="N2030" s="20"/>
    </row>
    <row r="2031" spans="2:14" x14ac:dyDescent="0.25">
      <c r="B2031" s="20">
        <f>Разбивка_по_щитам!B2036</f>
      </c>
      <c r="C2031" s="20">
        <f>Разбивка_по_щитам!C2036</f>
      </c>
      <c r="D2031" s="20">
        <f>Разбивка_по_щитам!F2036</f>
      </c>
      <c r="E2031" s="20">
        <f>Разбивка_по_щитам!H2036</f>
      </c>
      <c r="F2031" s="20">
        <f>Разбивка_по_щитам!I2036</f>
      </c>
      <c r="G2031" s="20">
        <f>Разбивка_по_щитам!J2036</f>
      </c>
      <c r="H2031" s="20">
        <f>Разбивка_по_щитам!K2036</f>
      </c>
      <c r="I2031" s="20">
        <f>Разбивка_по_щитам!L2036</f>
      </c>
      <c r="J2031" s="20">
        <f>Разбивка_по_щитам!M2036</f>
      </c>
      <c r="K2031" s="20">
        <f>Разбивка_по_щитам!N2036</f>
      </c>
      <c r="L2031" s="20"/>
      <c r="M2031" s="20">
        <f>Разбивка_по_щитам!P2036</f>
      </c>
      <c r="N2031" s="20"/>
    </row>
    <row r="2032" spans="2:14" x14ac:dyDescent="0.25">
      <c r="B2032" s="20">
        <f>Разбивка_по_щитам!B2037</f>
      </c>
      <c r="C2032" s="20">
        <f>Разбивка_по_щитам!C2037</f>
      </c>
      <c r="D2032" s="20">
        <f>Разбивка_по_щитам!F2037</f>
      </c>
      <c r="E2032" s="20">
        <f>Разбивка_по_щитам!H2037</f>
      </c>
      <c r="F2032" s="20">
        <f>Разбивка_по_щитам!I2037</f>
      </c>
      <c r="G2032" s="20">
        <f>Разбивка_по_щитам!J2037</f>
      </c>
      <c r="H2032" s="20">
        <f>Разбивка_по_щитам!K2037</f>
      </c>
      <c r="I2032" s="20">
        <f>Разбивка_по_щитам!L2037</f>
      </c>
      <c r="J2032" s="20">
        <f>Разбивка_по_щитам!M2037</f>
      </c>
      <c r="K2032" s="20">
        <f>Разбивка_по_щитам!N2037</f>
      </c>
      <c r="L2032" s="20"/>
      <c r="M2032" s="20">
        <f>Разбивка_по_щитам!P2037</f>
      </c>
      <c r="N2032" s="20"/>
    </row>
    <row r="2033" spans="2:14" x14ac:dyDescent="0.25">
      <c r="B2033" s="20">
        <f>Разбивка_по_щитам!B2038</f>
      </c>
      <c r="C2033" s="20">
        <f>Разбивка_по_щитам!C2038</f>
      </c>
      <c r="D2033" s="20">
        <f>Разбивка_по_щитам!F2038</f>
      </c>
      <c r="E2033" s="20">
        <f>Разбивка_по_щитам!H2038</f>
      </c>
      <c r="F2033" s="20">
        <f>Разбивка_по_щитам!I2038</f>
      </c>
      <c r="G2033" s="20">
        <f>Разбивка_по_щитам!J2038</f>
      </c>
      <c r="H2033" s="20">
        <f>Разбивка_по_щитам!K2038</f>
      </c>
      <c r="I2033" s="20">
        <f>Разбивка_по_щитам!L2038</f>
      </c>
      <c r="J2033" s="20">
        <f>Разбивка_по_щитам!M2038</f>
      </c>
      <c r="K2033" s="20">
        <f>Разбивка_по_щитам!N2038</f>
      </c>
      <c r="L2033" s="20"/>
      <c r="M2033" s="20">
        <f>Разбивка_по_щитам!P2038</f>
      </c>
      <c r="N2033" s="20"/>
    </row>
    <row r="2034" spans="2:14" x14ac:dyDescent="0.25">
      <c r="B2034" s="20">
        <f>Разбивка_по_щитам!B2039</f>
      </c>
      <c r="C2034" s="20">
        <f>Разбивка_по_щитам!C2039</f>
      </c>
      <c r="D2034" s="20">
        <f>Разбивка_по_щитам!F2039</f>
      </c>
      <c r="E2034" s="20">
        <f>Разбивка_по_щитам!H2039</f>
      </c>
      <c r="F2034" s="20">
        <f>Разбивка_по_щитам!I2039</f>
      </c>
      <c r="G2034" s="20">
        <f>Разбивка_по_щитам!J2039</f>
      </c>
      <c r="H2034" s="20">
        <f>Разбивка_по_щитам!K2039</f>
      </c>
      <c r="I2034" s="20">
        <f>Разбивка_по_щитам!L2039</f>
      </c>
      <c r="J2034" s="20">
        <f>Разбивка_по_щитам!M2039</f>
      </c>
      <c r="K2034" s="20">
        <f>Разбивка_по_щитам!N2039</f>
      </c>
      <c r="L2034" s="20"/>
      <c r="M2034" s="20">
        <f>Разбивка_по_щитам!P2039</f>
      </c>
      <c r="N2034" s="20"/>
    </row>
    <row r="2035" spans="2:14" x14ac:dyDescent="0.25">
      <c r="B2035" s="20">
        <f>Разбивка_по_щитам!B2040</f>
      </c>
      <c r="C2035" s="20">
        <f>Разбивка_по_щитам!C2040</f>
      </c>
      <c r="D2035" s="20">
        <f>Разбивка_по_щитам!F2040</f>
      </c>
      <c r="E2035" s="20">
        <f>Разбивка_по_щитам!H2040</f>
      </c>
      <c r="F2035" s="20">
        <f>Разбивка_по_щитам!I2040</f>
      </c>
      <c r="G2035" s="20">
        <f>Разбивка_по_щитам!J2040</f>
      </c>
      <c r="H2035" s="20">
        <f>Разбивка_по_щитам!K2040</f>
      </c>
      <c r="I2035" s="20">
        <f>Разбивка_по_щитам!L2040</f>
      </c>
      <c r="J2035" s="20">
        <f>Разбивка_по_щитам!M2040</f>
      </c>
      <c r="K2035" s="20">
        <f>Разбивка_по_щитам!N2040</f>
      </c>
      <c r="L2035" s="20"/>
      <c r="M2035" s="20">
        <f>Разбивка_по_щитам!P2040</f>
      </c>
      <c r="N2035" s="20"/>
    </row>
    <row r="2036" spans="2:14" x14ac:dyDescent="0.25">
      <c r="B2036" s="20">
        <f>Разбивка_по_щитам!B2041</f>
      </c>
      <c r="C2036" s="20">
        <f>Разбивка_по_щитам!C2041</f>
      </c>
      <c r="D2036" s="20">
        <f>Разбивка_по_щитам!F2041</f>
      </c>
      <c r="E2036" s="20">
        <f>Разбивка_по_щитам!H2041</f>
      </c>
      <c r="F2036" s="20">
        <f>Разбивка_по_щитам!I2041</f>
      </c>
      <c r="G2036" s="20">
        <f>Разбивка_по_щитам!J2041</f>
      </c>
      <c r="H2036" s="20">
        <f>Разбивка_по_щитам!K2041</f>
      </c>
      <c r="I2036" s="20">
        <f>Разбивка_по_щитам!L2041</f>
      </c>
      <c r="J2036" s="20">
        <f>Разбивка_по_щитам!M2041</f>
      </c>
      <c r="K2036" s="20">
        <f>Разбивка_по_щитам!N2041</f>
      </c>
      <c r="L2036" s="20"/>
      <c r="M2036" s="20">
        <f>Разбивка_по_щитам!P2041</f>
      </c>
      <c r="N2036" s="20"/>
    </row>
    <row r="2037" spans="2:14" x14ac:dyDescent="0.25">
      <c r="B2037" s="20">
        <f>Разбивка_по_щитам!B2042</f>
      </c>
      <c r="C2037" s="20">
        <f>Разбивка_по_щитам!C2042</f>
      </c>
      <c r="D2037" s="20">
        <f>Разбивка_по_щитам!F2042</f>
      </c>
      <c r="E2037" s="20">
        <f>Разбивка_по_щитам!H2042</f>
      </c>
      <c r="F2037" s="20">
        <f>Разбивка_по_щитам!I2042</f>
      </c>
      <c r="G2037" s="20">
        <f>Разбивка_по_щитам!J2042</f>
      </c>
      <c r="H2037" s="20">
        <f>Разбивка_по_щитам!K2042</f>
      </c>
      <c r="I2037" s="20">
        <f>Разбивка_по_щитам!L2042</f>
      </c>
      <c r="J2037" s="20">
        <f>Разбивка_по_щитам!M2042</f>
      </c>
      <c r="K2037" s="20">
        <f>Разбивка_по_щитам!N2042</f>
      </c>
      <c r="L2037" s="20"/>
      <c r="M2037" s="20">
        <f>Разбивка_по_щитам!P2042</f>
      </c>
      <c r="N2037" s="20"/>
    </row>
    <row r="2038" spans="2:14" x14ac:dyDescent="0.25">
      <c r="B2038" s="20">
        <f>Разбивка_по_щитам!B2043</f>
      </c>
      <c r="C2038" s="20">
        <f>Разбивка_по_щитам!C2043</f>
      </c>
      <c r="D2038" s="20">
        <f>Разбивка_по_щитам!F2043</f>
      </c>
      <c r="E2038" s="20">
        <f>Разбивка_по_щитам!H2043</f>
      </c>
      <c r="F2038" s="20">
        <f>Разбивка_по_щитам!I2043</f>
      </c>
      <c r="G2038" s="20">
        <f>Разбивка_по_щитам!J2043</f>
      </c>
      <c r="H2038" s="20">
        <f>Разбивка_по_щитам!K2043</f>
      </c>
      <c r="I2038" s="20">
        <f>Разбивка_по_щитам!L2043</f>
      </c>
      <c r="J2038" s="20">
        <f>Разбивка_по_щитам!M2043</f>
      </c>
      <c r="K2038" s="20">
        <f>Разбивка_по_щитам!N2043</f>
      </c>
      <c r="L2038" s="20"/>
      <c r="M2038" s="20">
        <f>Разбивка_по_щитам!P2043</f>
      </c>
      <c r="N2038" s="20"/>
    </row>
    <row r="2039" spans="2:14" x14ac:dyDescent="0.25">
      <c r="B2039" s="20">
        <f>Разбивка_по_щитам!B2044</f>
      </c>
      <c r="C2039" s="20">
        <f>Разбивка_по_щитам!C2044</f>
      </c>
      <c r="D2039" s="20">
        <f>Разбивка_по_щитам!F2044</f>
      </c>
      <c r="E2039" s="20">
        <f>Разбивка_по_щитам!H2044</f>
      </c>
      <c r="F2039" s="20">
        <f>Разбивка_по_щитам!I2044</f>
      </c>
      <c r="G2039" s="20">
        <f>Разбивка_по_щитам!J2044</f>
      </c>
      <c r="H2039" s="20">
        <f>Разбивка_по_щитам!K2044</f>
      </c>
      <c r="I2039" s="20">
        <f>Разбивка_по_щитам!L2044</f>
      </c>
      <c r="J2039" s="20">
        <f>Разбивка_по_щитам!M2044</f>
      </c>
      <c r="K2039" s="20">
        <f>Разбивка_по_щитам!N2044</f>
      </c>
      <c r="L2039" s="20"/>
      <c r="M2039" s="20">
        <f>Разбивка_по_щитам!P2044</f>
      </c>
      <c r="N2039" s="20"/>
    </row>
    <row r="2040" spans="2:14" x14ac:dyDescent="0.25">
      <c r="B2040" s="20">
        <f>Разбивка_по_щитам!B2045</f>
      </c>
      <c r="C2040" s="20">
        <f>Разбивка_по_щитам!C2045</f>
      </c>
      <c r="D2040" s="20">
        <f>Разбивка_по_щитам!F2045</f>
      </c>
      <c r="E2040" s="20">
        <f>Разбивка_по_щитам!H2045</f>
      </c>
      <c r="F2040" s="20">
        <f>Разбивка_по_щитам!I2045</f>
      </c>
      <c r="G2040" s="20">
        <f>Разбивка_по_щитам!J2045</f>
      </c>
      <c r="H2040" s="20">
        <f>Разбивка_по_щитам!K2045</f>
      </c>
      <c r="I2040" s="20">
        <f>Разбивка_по_щитам!L2045</f>
      </c>
      <c r="J2040" s="20">
        <f>Разбивка_по_щитам!M2045</f>
      </c>
      <c r="K2040" s="20">
        <f>Разбивка_по_щитам!N2045</f>
      </c>
      <c r="L2040" s="20"/>
      <c r="M2040" s="20">
        <f>Разбивка_по_щитам!P2045</f>
      </c>
      <c r="N2040" s="20"/>
    </row>
    <row r="2041" spans="2:14" x14ac:dyDescent="0.25">
      <c r="B2041" s="20">
        <f>Разбивка_по_щитам!B2046</f>
      </c>
      <c r="C2041" s="20">
        <f>Разбивка_по_щитам!C2046</f>
      </c>
      <c r="D2041" s="20">
        <f>Разбивка_по_щитам!F2046</f>
      </c>
      <c r="E2041" s="20">
        <f>Разбивка_по_щитам!H2046</f>
      </c>
      <c r="F2041" s="20">
        <f>Разбивка_по_щитам!I2046</f>
      </c>
      <c r="G2041" s="20">
        <f>Разбивка_по_щитам!J2046</f>
      </c>
      <c r="H2041" s="20">
        <f>Разбивка_по_щитам!K2046</f>
      </c>
      <c r="I2041" s="20">
        <f>Разбивка_по_щитам!L2046</f>
      </c>
      <c r="J2041" s="20">
        <f>Разбивка_по_щитам!M2046</f>
      </c>
      <c r="K2041" s="20">
        <f>Разбивка_по_щитам!N2046</f>
      </c>
      <c r="L2041" s="20"/>
      <c r="M2041" s="20">
        <f>Разбивка_по_щитам!P2046</f>
      </c>
      <c r="N2041" s="20"/>
    </row>
    <row r="2042" spans="2:14" x14ac:dyDescent="0.25">
      <c r="B2042" s="20">
        <f>Разбивка_по_щитам!B2047</f>
      </c>
      <c r="C2042" s="20">
        <f>Разбивка_по_щитам!C2047</f>
      </c>
      <c r="D2042" s="20">
        <f>Разбивка_по_щитам!F2047</f>
      </c>
      <c r="E2042" s="20">
        <f>Разбивка_по_щитам!H2047</f>
      </c>
      <c r="F2042" s="20">
        <f>Разбивка_по_щитам!I2047</f>
      </c>
      <c r="G2042" s="20">
        <f>Разбивка_по_щитам!J2047</f>
      </c>
      <c r="H2042" s="20">
        <f>Разбивка_по_щитам!K2047</f>
      </c>
      <c r="I2042" s="20">
        <f>Разбивка_по_щитам!L2047</f>
      </c>
      <c r="J2042" s="20">
        <f>Разбивка_по_щитам!M2047</f>
      </c>
      <c r="K2042" s="20">
        <f>Разбивка_по_щитам!N2047</f>
      </c>
      <c r="L2042" s="20"/>
      <c r="M2042" s="20">
        <f>Разбивка_по_щитам!P2047</f>
      </c>
      <c r="N2042" s="20"/>
    </row>
    <row r="2043" spans="2:14" x14ac:dyDescent="0.25">
      <c r="B2043" s="20">
        <f>Разбивка_по_щитам!B2048</f>
      </c>
      <c r="C2043" s="20">
        <f>Разбивка_по_щитам!C2048</f>
      </c>
      <c r="D2043" s="20">
        <f>Разбивка_по_щитам!F2048</f>
      </c>
      <c r="E2043" s="20">
        <f>Разбивка_по_щитам!H2048</f>
      </c>
      <c r="F2043" s="20">
        <f>Разбивка_по_щитам!I2048</f>
      </c>
      <c r="G2043" s="20">
        <f>Разбивка_по_щитам!J2048</f>
      </c>
      <c r="H2043" s="20">
        <f>Разбивка_по_щитам!K2048</f>
      </c>
      <c r="I2043" s="20">
        <f>Разбивка_по_щитам!L2048</f>
      </c>
      <c r="J2043" s="20">
        <f>Разбивка_по_щитам!M2048</f>
      </c>
      <c r="K2043" s="20">
        <f>Разбивка_по_щитам!N2048</f>
      </c>
      <c r="L2043" s="20"/>
      <c r="M2043" s="20">
        <f>Разбивка_по_щитам!P2048</f>
      </c>
      <c r="N2043" s="20"/>
    </row>
    <row r="2044" spans="2:14" x14ac:dyDescent="0.25">
      <c r="B2044" s="20">
        <f>Разбивка_по_щитам!B2049</f>
      </c>
      <c r="C2044" s="20">
        <f>Разбивка_по_щитам!C2049</f>
      </c>
      <c r="D2044" s="20">
        <f>Разбивка_по_щитам!F2049</f>
      </c>
      <c r="E2044" s="20">
        <f>Разбивка_по_щитам!H2049</f>
      </c>
      <c r="F2044" s="20">
        <f>Разбивка_по_щитам!I2049</f>
      </c>
      <c r="G2044" s="20">
        <f>Разбивка_по_щитам!J2049</f>
      </c>
      <c r="H2044" s="20">
        <f>Разбивка_по_щитам!K2049</f>
      </c>
      <c r="I2044" s="20">
        <f>Разбивка_по_щитам!L2049</f>
      </c>
      <c r="J2044" s="20">
        <f>Разбивка_по_щитам!M2049</f>
      </c>
      <c r="K2044" s="20">
        <f>Разбивка_по_щитам!N2049</f>
      </c>
      <c r="L2044" s="20"/>
      <c r="M2044" s="20">
        <f>Разбивка_по_щитам!P2049</f>
      </c>
      <c r="N2044" s="20"/>
    </row>
    <row r="2045" spans="2:14" x14ac:dyDescent="0.25">
      <c r="B2045" s="20">
        <f>Разбивка_по_щитам!B2050</f>
      </c>
      <c r="C2045" s="20">
        <f>Разбивка_по_щитам!C2050</f>
      </c>
      <c r="D2045" s="20">
        <f>Разбивка_по_щитам!F2050</f>
      </c>
      <c r="E2045" s="20">
        <f>Разбивка_по_щитам!H2050</f>
      </c>
      <c r="F2045" s="20">
        <f>Разбивка_по_щитам!I2050</f>
      </c>
      <c r="G2045" s="20">
        <f>Разбивка_по_щитам!J2050</f>
      </c>
      <c r="H2045" s="20">
        <f>Разбивка_по_щитам!K2050</f>
      </c>
      <c r="I2045" s="20">
        <f>Разбивка_по_щитам!L2050</f>
      </c>
      <c r="J2045" s="20">
        <f>Разбивка_по_щитам!M2050</f>
      </c>
      <c r="K2045" s="20">
        <f>Разбивка_по_щитам!N2050</f>
      </c>
      <c r="L2045" s="20"/>
      <c r="M2045" s="20">
        <f>Разбивка_по_щитам!P2050</f>
      </c>
      <c r="N2045" s="20"/>
    </row>
    <row r="2046" spans="2:14" x14ac:dyDescent="0.25">
      <c r="B2046" s="20">
        <f>Разбивка_по_щитам!B2051</f>
      </c>
      <c r="C2046" s="20">
        <f>Разбивка_по_щитам!C2051</f>
      </c>
      <c r="D2046" s="20">
        <f>Разбивка_по_щитам!F2051</f>
      </c>
      <c r="E2046" s="20">
        <f>Разбивка_по_щитам!H2051</f>
      </c>
      <c r="F2046" s="20">
        <f>Разбивка_по_щитам!I2051</f>
      </c>
      <c r="G2046" s="20">
        <f>Разбивка_по_щитам!J2051</f>
      </c>
      <c r="H2046" s="20">
        <f>Разбивка_по_щитам!K2051</f>
      </c>
      <c r="I2046" s="20">
        <f>Разбивка_по_щитам!L2051</f>
      </c>
      <c r="J2046" s="20">
        <f>Разбивка_по_щитам!M2051</f>
      </c>
      <c r="K2046" s="20">
        <f>Разбивка_по_щитам!N2051</f>
      </c>
      <c r="L2046" s="20"/>
      <c r="M2046" s="20">
        <f>Разбивка_по_щитам!P2051</f>
      </c>
      <c r="N2046" s="20"/>
    </row>
    <row r="2047" spans="2:14" x14ac:dyDescent="0.25">
      <c r="B2047" s="20">
        <f>Разбивка_по_щитам!B2052</f>
      </c>
      <c r="C2047" s="20">
        <f>Разбивка_по_щитам!C2052</f>
      </c>
      <c r="D2047" s="20">
        <f>Разбивка_по_щитам!F2052</f>
      </c>
      <c r="E2047" s="20">
        <f>Разбивка_по_щитам!H2052</f>
      </c>
      <c r="F2047" s="20">
        <f>Разбивка_по_щитам!I2052</f>
      </c>
      <c r="G2047" s="20">
        <f>Разбивка_по_щитам!J2052</f>
      </c>
      <c r="H2047" s="20">
        <f>Разбивка_по_щитам!K2052</f>
      </c>
      <c r="I2047" s="20">
        <f>Разбивка_по_щитам!L2052</f>
      </c>
      <c r="J2047" s="20">
        <f>Разбивка_по_щитам!M2052</f>
      </c>
      <c r="K2047" s="20">
        <f>Разбивка_по_щитам!N2052</f>
      </c>
      <c r="L2047" s="20"/>
      <c r="M2047" s="20">
        <f>Разбивка_по_щитам!P2052</f>
      </c>
      <c r="N2047" s="20"/>
    </row>
    <row r="2048" spans="2:14" x14ac:dyDescent="0.25">
      <c r="B2048" s="20">
        <f>Разбивка_по_щитам!B2053</f>
      </c>
      <c r="C2048" s="20">
        <f>Разбивка_по_щитам!C2053</f>
      </c>
      <c r="D2048" s="20">
        <f>Разбивка_по_щитам!F2053</f>
      </c>
      <c r="E2048" s="20">
        <f>Разбивка_по_щитам!H2053</f>
      </c>
      <c r="F2048" s="20">
        <f>Разбивка_по_щитам!I2053</f>
      </c>
      <c r="G2048" s="20">
        <f>Разбивка_по_щитам!J2053</f>
      </c>
      <c r="H2048" s="20">
        <f>Разбивка_по_щитам!K2053</f>
      </c>
      <c r="I2048" s="20">
        <f>Разбивка_по_щитам!L2053</f>
      </c>
      <c r="J2048" s="20">
        <f>Разбивка_по_щитам!M2053</f>
      </c>
      <c r="K2048" s="20">
        <f>Разбивка_по_щитам!N2053</f>
      </c>
      <c r="L2048" s="20"/>
      <c r="M2048" s="20">
        <f>Разбивка_по_щитам!P2053</f>
      </c>
      <c r="N2048" s="20"/>
    </row>
    <row r="2049" spans="2:14" x14ac:dyDescent="0.25">
      <c r="B2049" s="20">
        <f>Разбивка_по_щитам!B2054</f>
      </c>
      <c r="C2049" s="20">
        <f>Разбивка_по_щитам!C2054</f>
      </c>
      <c r="D2049" s="20">
        <f>Разбивка_по_щитам!F2054</f>
      </c>
      <c r="E2049" s="20">
        <f>Разбивка_по_щитам!H2054</f>
      </c>
      <c r="F2049" s="20">
        <f>Разбивка_по_щитам!I2054</f>
      </c>
      <c r="G2049" s="20">
        <f>Разбивка_по_щитам!J2054</f>
      </c>
      <c r="H2049" s="20">
        <f>Разбивка_по_щитам!K2054</f>
      </c>
      <c r="I2049" s="20">
        <f>Разбивка_по_щитам!L2054</f>
      </c>
      <c r="J2049" s="20">
        <f>Разбивка_по_щитам!M2054</f>
      </c>
      <c r="K2049" s="20">
        <f>Разбивка_по_щитам!N2054</f>
      </c>
      <c r="L2049" s="20"/>
      <c r="M2049" s="20">
        <f>Разбивка_по_щитам!P2054</f>
      </c>
      <c r="N2049" s="20"/>
    </row>
    <row r="2050" spans="2:14" x14ac:dyDescent="0.25">
      <c r="B2050" s="20">
        <f>Разбивка_по_щитам!B2055</f>
      </c>
      <c r="C2050" s="20">
        <f>Разбивка_по_щитам!C2055</f>
      </c>
      <c r="D2050" s="20">
        <f>Разбивка_по_щитам!F2055</f>
      </c>
      <c r="E2050" s="20">
        <f>Разбивка_по_щитам!H2055</f>
      </c>
      <c r="F2050" s="20">
        <f>Разбивка_по_щитам!I2055</f>
      </c>
      <c r="G2050" s="20">
        <f>Разбивка_по_щитам!J2055</f>
      </c>
      <c r="H2050" s="20">
        <f>Разбивка_по_щитам!K2055</f>
      </c>
      <c r="I2050" s="20">
        <f>Разбивка_по_щитам!L2055</f>
      </c>
      <c r="J2050" s="20">
        <f>Разбивка_по_щитам!M2055</f>
      </c>
      <c r="K2050" s="20">
        <f>Разбивка_по_щитам!N2055</f>
      </c>
      <c r="L2050" s="20"/>
      <c r="M2050" s="20">
        <f>Разбивка_по_щитам!P2055</f>
      </c>
      <c r="N2050" s="20"/>
    </row>
    <row r="2051" spans="2:14" x14ac:dyDescent="0.25">
      <c r="B2051" s="20">
        <f>Разбивка_по_щитам!B2056</f>
      </c>
      <c r="C2051" s="20">
        <f>Разбивка_по_щитам!C2056</f>
      </c>
      <c r="D2051" s="20">
        <f>Разбивка_по_щитам!F2056</f>
      </c>
      <c r="E2051" s="20">
        <f>Разбивка_по_щитам!H2056</f>
      </c>
      <c r="F2051" s="20">
        <f>Разбивка_по_щитам!I2056</f>
      </c>
      <c r="G2051" s="20">
        <f>Разбивка_по_щитам!J2056</f>
      </c>
      <c r="H2051" s="20">
        <f>Разбивка_по_щитам!K2056</f>
      </c>
      <c r="I2051" s="20">
        <f>Разбивка_по_щитам!L2056</f>
      </c>
      <c r="J2051" s="20">
        <f>Разбивка_по_щитам!M2056</f>
      </c>
      <c r="K2051" s="20">
        <f>Разбивка_по_щитам!N2056</f>
      </c>
      <c r="L2051" s="20"/>
      <c r="M2051" s="20">
        <f>Разбивка_по_щитам!P2056</f>
      </c>
      <c r="N2051" s="20"/>
    </row>
    <row r="2052" spans="2:14" x14ac:dyDescent="0.25">
      <c r="B2052" s="20">
        <f>Разбивка_по_щитам!B2057</f>
      </c>
      <c r="C2052" s="20">
        <f>Разбивка_по_щитам!C2057</f>
      </c>
      <c r="D2052" s="20">
        <f>Разбивка_по_щитам!F2057</f>
      </c>
      <c r="E2052" s="20">
        <f>Разбивка_по_щитам!H2057</f>
      </c>
      <c r="F2052" s="20">
        <f>Разбивка_по_щитам!I2057</f>
      </c>
      <c r="G2052" s="20">
        <f>Разбивка_по_щитам!J2057</f>
      </c>
      <c r="H2052" s="20">
        <f>Разбивка_по_щитам!K2057</f>
      </c>
      <c r="I2052" s="20">
        <f>Разбивка_по_щитам!L2057</f>
      </c>
      <c r="J2052" s="20">
        <f>Разбивка_по_щитам!M2057</f>
      </c>
      <c r="K2052" s="20">
        <f>Разбивка_по_щитам!N2057</f>
      </c>
      <c r="L2052" s="20"/>
      <c r="M2052" s="20">
        <f>Разбивка_по_щитам!P2057</f>
      </c>
      <c r="N2052" s="20"/>
    </row>
    <row r="2053" spans="2:14" x14ac:dyDescent="0.25">
      <c r="B2053" s="20">
        <f>Разбивка_по_щитам!B2058</f>
      </c>
      <c r="C2053" s="20">
        <f>Разбивка_по_щитам!C2058</f>
      </c>
      <c r="D2053" s="20">
        <f>Разбивка_по_щитам!F2058</f>
      </c>
      <c r="E2053" s="20">
        <f>Разбивка_по_щитам!H2058</f>
      </c>
      <c r="F2053" s="20">
        <f>Разбивка_по_щитам!I2058</f>
      </c>
      <c r="G2053" s="20">
        <f>Разбивка_по_щитам!J2058</f>
      </c>
      <c r="H2053" s="20">
        <f>Разбивка_по_щитам!K2058</f>
      </c>
      <c r="I2053" s="20">
        <f>Разбивка_по_щитам!L2058</f>
      </c>
      <c r="J2053" s="20">
        <f>Разбивка_по_щитам!M2058</f>
      </c>
      <c r="K2053" s="20">
        <f>Разбивка_по_щитам!N2058</f>
      </c>
      <c r="L2053" s="20"/>
      <c r="M2053" s="20">
        <f>Разбивка_по_щитам!P2058</f>
      </c>
      <c r="N2053" s="20"/>
    </row>
    <row r="2054" spans="2:14" x14ac:dyDescent="0.25">
      <c r="B2054" s="20">
        <f>Разбивка_по_щитам!B2059</f>
      </c>
      <c r="C2054" s="20">
        <f>Разбивка_по_щитам!C2059</f>
      </c>
      <c r="D2054" s="20">
        <f>Разбивка_по_щитам!F2059</f>
      </c>
      <c r="E2054" s="20">
        <f>Разбивка_по_щитам!H2059</f>
      </c>
      <c r="F2054" s="20">
        <f>Разбивка_по_щитам!I2059</f>
      </c>
      <c r="G2054" s="20">
        <f>Разбивка_по_щитам!J2059</f>
      </c>
      <c r="H2054" s="20">
        <f>Разбивка_по_щитам!K2059</f>
      </c>
      <c r="I2054" s="20">
        <f>Разбивка_по_щитам!L2059</f>
      </c>
      <c r="J2054" s="20">
        <f>Разбивка_по_щитам!M2059</f>
      </c>
      <c r="K2054" s="20">
        <f>Разбивка_по_щитам!N2059</f>
      </c>
      <c r="L2054" s="20"/>
      <c r="M2054" s="20">
        <f>Разбивка_по_щитам!P2059</f>
      </c>
      <c r="N2054" s="20"/>
    </row>
    <row r="2055" spans="2:14" x14ac:dyDescent="0.25">
      <c r="B2055" s="20">
        <f>Разбивка_по_щитам!B2060</f>
      </c>
      <c r="C2055" s="20">
        <f>Разбивка_по_щитам!C2060</f>
      </c>
      <c r="D2055" s="20">
        <f>Разбивка_по_щитам!F2060</f>
      </c>
      <c r="E2055" s="20">
        <f>Разбивка_по_щитам!H2060</f>
      </c>
      <c r="F2055" s="20">
        <f>Разбивка_по_щитам!I2060</f>
      </c>
      <c r="G2055" s="20">
        <f>Разбивка_по_щитам!J2060</f>
      </c>
      <c r="H2055" s="20">
        <f>Разбивка_по_щитам!K2060</f>
      </c>
      <c r="I2055" s="20">
        <f>Разбивка_по_щитам!L2060</f>
      </c>
      <c r="J2055" s="20">
        <f>Разбивка_по_щитам!M2060</f>
      </c>
      <c r="K2055" s="20">
        <f>Разбивка_по_щитам!N2060</f>
      </c>
      <c r="L2055" s="20"/>
      <c r="M2055" s="20">
        <f>Разбивка_по_щитам!P2060</f>
      </c>
      <c r="N2055" s="20"/>
    </row>
    <row r="2056" spans="2:14" x14ac:dyDescent="0.25">
      <c r="B2056" s="20">
        <f>Разбивка_по_щитам!B2061</f>
      </c>
      <c r="C2056" s="20">
        <f>Разбивка_по_щитам!C2061</f>
      </c>
      <c r="D2056" s="20">
        <f>Разбивка_по_щитам!F2061</f>
      </c>
      <c r="E2056" s="20">
        <f>Разбивка_по_щитам!H2061</f>
      </c>
      <c r="F2056" s="20">
        <f>Разбивка_по_щитам!I2061</f>
      </c>
      <c r="G2056" s="20">
        <f>Разбивка_по_щитам!J2061</f>
      </c>
      <c r="H2056" s="20">
        <f>Разбивка_по_щитам!K2061</f>
      </c>
      <c r="I2056" s="20">
        <f>Разбивка_по_щитам!L2061</f>
      </c>
      <c r="J2056" s="20">
        <f>Разбивка_по_щитам!M2061</f>
      </c>
      <c r="K2056" s="20">
        <f>Разбивка_по_щитам!N2061</f>
      </c>
      <c r="L2056" s="20"/>
      <c r="M2056" s="20">
        <f>Разбивка_по_щитам!P2061</f>
      </c>
      <c r="N2056" s="20"/>
    </row>
    <row r="2057" spans="2:14" x14ac:dyDescent="0.25">
      <c r="B2057" s="20">
        <f>Разбивка_по_щитам!B2062</f>
      </c>
      <c r="C2057" s="20">
        <f>Разбивка_по_щитам!C2062</f>
      </c>
      <c r="D2057" s="20">
        <f>Разбивка_по_щитам!F2062</f>
      </c>
      <c r="E2057" s="20">
        <f>Разбивка_по_щитам!H2062</f>
      </c>
      <c r="F2057" s="20">
        <f>Разбивка_по_щитам!I2062</f>
      </c>
      <c r="G2057" s="20">
        <f>Разбивка_по_щитам!J2062</f>
      </c>
      <c r="H2057" s="20">
        <f>Разбивка_по_щитам!K2062</f>
      </c>
      <c r="I2057" s="20">
        <f>Разбивка_по_щитам!L2062</f>
      </c>
      <c r="J2057" s="20">
        <f>Разбивка_по_щитам!M2062</f>
      </c>
      <c r="K2057" s="20">
        <f>Разбивка_по_щитам!N2062</f>
      </c>
      <c r="L2057" s="20"/>
      <c r="M2057" s="20">
        <f>Разбивка_по_щитам!P2062</f>
      </c>
      <c r="N2057" s="20"/>
    </row>
    <row r="2058" spans="2:14" x14ac:dyDescent="0.25">
      <c r="B2058" s="20">
        <f>Разбивка_по_щитам!B2063</f>
      </c>
      <c r="C2058" s="20">
        <f>Разбивка_по_щитам!C2063</f>
      </c>
      <c r="D2058" s="20">
        <f>Разбивка_по_щитам!F2063</f>
      </c>
      <c r="E2058" s="20">
        <f>Разбивка_по_щитам!H2063</f>
      </c>
      <c r="F2058" s="20">
        <f>Разбивка_по_щитам!I2063</f>
      </c>
      <c r="G2058" s="20">
        <f>Разбивка_по_щитам!J2063</f>
      </c>
      <c r="H2058" s="20">
        <f>Разбивка_по_щитам!K2063</f>
      </c>
      <c r="I2058" s="20">
        <f>Разбивка_по_щитам!L2063</f>
      </c>
      <c r="J2058" s="20">
        <f>Разбивка_по_щитам!M2063</f>
      </c>
      <c r="K2058" s="20">
        <f>Разбивка_по_щитам!N2063</f>
      </c>
      <c r="L2058" s="20"/>
      <c r="M2058" s="20">
        <f>Разбивка_по_щитам!P2063</f>
      </c>
      <c r="N2058" s="20"/>
    </row>
    <row r="2059" spans="2:14" x14ac:dyDescent="0.25">
      <c r="B2059" s="20">
        <f>Разбивка_по_щитам!B2064</f>
      </c>
      <c r="C2059" s="20">
        <f>Разбивка_по_щитам!C2064</f>
      </c>
      <c r="D2059" s="20">
        <f>Разбивка_по_щитам!F2064</f>
      </c>
      <c r="E2059" s="20">
        <f>Разбивка_по_щитам!H2064</f>
      </c>
      <c r="F2059" s="20">
        <f>Разбивка_по_щитам!I2064</f>
      </c>
      <c r="G2059" s="20">
        <f>Разбивка_по_щитам!J2064</f>
      </c>
      <c r="H2059" s="20">
        <f>Разбивка_по_щитам!K2064</f>
      </c>
      <c r="I2059" s="20">
        <f>Разбивка_по_щитам!L2064</f>
      </c>
      <c r="J2059" s="20">
        <f>Разбивка_по_щитам!M2064</f>
      </c>
      <c r="K2059" s="20">
        <f>Разбивка_по_щитам!N2064</f>
      </c>
      <c r="L2059" s="20"/>
      <c r="M2059" s="20">
        <f>Разбивка_по_щитам!P2064</f>
      </c>
      <c r="N2059" s="20"/>
    </row>
    <row r="2060" spans="2:14" x14ac:dyDescent="0.25">
      <c r="B2060" s="20">
        <f>Разбивка_по_щитам!B2065</f>
      </c>
      <c r="C2060" s="20">
        <f>Разбивка_по_щитам!C2065</f>
      </c>
      <c r="D2060" s="20">
        <f>Разбивка_по_щитам!F2065</f>
      </c>
      <c r="E2060" s="20">
        <f>Разбивка_по_щитам!H2065</f>
      </c>
      <c r="F2060" s="20">
        <f>Разбивка_по_щитам!I2065</f>
      </c>
      <c r="G2060" s="20">
        <f>Разбивка_по_щитам!J2065</f>
      </c>
      <c r="H2060" s="20">
        <f>Разбивка_по_щитам!K2065</f>
      </c>
      <c r="I2060" s="20">
        <f>Разбивка_по_щитам!L2065</f>
      </c>
      <c r="J2060" s="20">
        <f>Разбивка_по_щитам!M2065</f>
      </c>
      <c r="K2060" s="20">
        <f>Разбивка_по_щитам!N2065</f>
      </c>
      <c r="L2060" s="20"/>
      <c r="M2060" s="20">
        <f>Разбивка_по_щитам!P2065</f>
      </c>
      <c r="N2060" s="20"/>
    </row>
    <row r="2061" spans="2:14" x14ac:dyDescent="0.25">
      <c r="B2061" s="20">
        <f>Разбивка_по_щитам!B2066</f>
      </c>
      <c r="C2061" s="20">
        <f>Разбивка_по_щитам!C2066</f>
      </c>
      <c r="D2061" s="20">
        <f>Разбивка_по_щитам!F2066</f>
      </c>
      <c r="E2061" s="20">
        <f>Разбивка_по_щитам!H2066</f>
      </c>
      <c r="F2061" s="20">
        <f>Разбивка_по_щитам!I2066</f>
      </c>
      <c r="G2061" s="20">
        <f>Разбивка_по_щитам!J2066</f>
      </c>
      <c r="H2061" s="20">
        <f>Разбивка_по_щитам!K2066</f>
      </c>
      <c r="I2061" s="20">
        <f>Разбивка_по_щитам!L2066</f>
      </c>
      <c r="J2061" s="20">
        <f>Разбивка_по_щитам!M2066</f>
      </c>
      <c r="K2061" s="20">
        <f>Разбивка_по_щитам!N2066</f>
      </c>
      <c r="L2061" s="20"/>
      <c r="M2061" s="20">
        <f>Разбивка_по_щитам!P2066</f>
      </c>
      <c r="N2061" s="20"/>
    </row>
    <row r="2062" spans="2:14" x14ac:dyDescent="0.25">
      <c r="B2062" s="20">
        <f>Разбивка_по_щитам!B2067</f>
      </c>
      <c r="C2062" s="20">
        <f>Разбивка_по_щитам!C2067</f>
      </c>
      <c r="D2062" s="20">
        <f>Разбивка_по_щитам!F2067</f>
      </c>
      <c r="E2062" s="20">
        <f>Разбивка_по_щитам!H2067</f>
      </c>
      <c r="F2062" s="20">
        <f>Разбивка_по_щитам!I2067</f>
      </c>
      <c r="G2062" s="20">
        <f>Разбивка_по_щитам!J2067</f>
      </c>
      <c r="H2062" s="20">
        <f>Разбивка_по_щитам!K2067</f>
      </c>
      <c r="I2062" s="20">
        <f>Разбивка_по_щитам!L2067</f>
      </c>
      <c r="J2062" s="20">
        <f>Разбивка_по_щитам!M2067</f>
      </c>
      <c r="K2062" s="20">
        <f>Разбивка_по_щитам!N2067</f>
      </c>
      <c r="L2062" s="20"/>
      <c r="M2062" s="20">
        <f>Разбивка_по_щитам!P2067</f>
      </c>
      <c r="N2062" s="20"/>
    </row>
    <row r="2063" spans="2:14" x14ac:dyDescent="0.25">
      <c r="B2063" s="20">
        <f>Разбивка_по_щитам!B2068</f>
      </c>
      <c r="C2063" s="20">
        <f>Разбивка_по_щитам!C2068</f>
      </c>
      <c r="D2063" s="20">
        <f>Разбивка_по_щитам!F2068</f>
      </c>
      <c r="E2063" s="20">
        <f>Разбивка_по_щитам!H2068</f>
      </c>
      <c r="F2063" s="20">
        <f>Разбивка_по_щитам!I2068</f>
      </c>
      <c r="G2063" s="20">
        <f>Разбивка_по_щитам!J2068</f>
      </c>
      <c r="H2063" s="20">
        <f>Разбивка_по_щитам!K2068</f>
      </c>
      <c r="I2063" s="20">
        <f>Разбивка_по_щитам!L2068</f>
      </c>
      <c r="J2063" s="20">
        <f>Разбивка_по_щитам!M2068</f>
      </c>
      <c r="K2063" s="20">
        <f>Разбивка_по_щитам!N2068</f>
      </c>
      <c r="L2063" s="20"/>
      <c r="M2063" s="20">
        <f>Разбивка_по_щитам!P2068</f>
      </c>
      <c r="N2063" s="20"/>
    </row>
    <row r="2064" spans="2:14" x14ac:dyDescent="0.25">
      <c r="B2064" s="20">
        <f>Разбивка_по_щитам!B2069</f>
      </c>
      <c r="C2064" s="20">
        <f>Разбивка_по_щитам!C2069</f>
      </c>
      <c r="D2064" s="20">
        <f>Разбивка_по_щитам!F2069</f>
      </c>
      <c r="E2064" s="20">
        <f>Разбивка_по_щитам!H2069</f>
      </c>
      <c r="F2064" s="20">
        <f>Разбивка_по_щитам!I2069</f>
      </c>
      <c r="G2064" s="20">
        <f>Разбивка_по_щитам!J2069</f>
      </c>
      <c r="H2064" s="20">
        <f>Разбивка_по_щитам!K2069</f>
      </c>
      <c r="I2064" s="20">
        <f>Разбивка_по_щитам!L2069</f>
      </c>
      <c r="J2064" s="20">
        <f>Разбивка_по_щитам!M2069</f>
      </c>
      <c r="K2064" s="20">
        <f>Разбивка_по_щитам!N2069</f>
      </c>
      <c r="L2064" s="20"/>
      <c r="M2064" s="20">
        <f>Разбивка_по_щитам!P2069</f>
      </c>
      <c r="N2064" s="20"/>
    </row>
    <row r="2065" spans="2:14" x14ac:dyDescent="0.25">
      <c r="B2065" s="20">
        <f>Разбивка_по_щитам!B2070</f>
      </c>
      <c r="C2065" s="20">
        <f>Разбивка_по_щитам!C2070</f>
      </c>
      <c r="D2065" s="20">
        <f>Разбивка_по_щитам!F2070</f>
      </c>
      <c r="E2065" s="20">
        <f>Разбивка_по_щитам!H2070</f>
      </c>
      <c r="F2065" s="20">
        <f>Разбивка_по_щитам!I2070</f>
      </c>
      <c r="G2065" s="20">
        <f>Разбивка_по_щитам!J2070</f>
      </c>
      <c r="H2065" s="20">
        <f>Разбивка_по_щитам!K2070</f>
      </c>
      <c r="I2065" s="20">
        <f>Разбивка_по_щитам!L2070</f>
      </c>
      <c r="J2065" s="20">
        <f>Разбивка_по_щитам!M2070</f>
      </c>
      <c r="K2065" s="20">
        <f>Разбивка_по_щитам!N2070</f>
      </c>
      <c r="L2065" s="20"/>
      <c r="M2065" s="20">
        <f>Разбивка_по_щитам!P2070</f>
      </c>
      <c r="N2065" s="20"/>
    </row>
    <row r="2066" spans="2:14" x14ac:dyDescent="0.25">
      <c r="B2066" s="20">
        <f>Разбивка_по_щитам!B2071</f>
      </c>
      <c r="C2066" s="20">
        <f>Разбивка_по_щитам!C2071</f>
      </c>
      <c r="D2066" s="20">
        <f>Разбивка_по_щитам!F2071</f>
      </c>
      <c r="E2066" s="20">
        <f>Разбивка_по_щитам!H2071</f>
      </c>
      <c r="F2066" s="20">
        <f>Разбивка_по_щитам!I2071</f>
      </c>
      <c r="G2066" s="20">
        <f>Разбивка_по_щитам!J2071</f>
      </c>
      <c r="H2066" s="20">
        <f>Разбивка_по_щитам!K2071</f>
      </c>
      <c r="I2066" s="20">
        <f>Разбивка_по_щитам!L2071</f>
      </c>
      <c r="J2066" s="20">
        <f>Разбивка_по_щитам!M2071</f>
      </c>
      <c r="K2066" s="20">
        <f>Разбивка_по_щитам!N2071</f>
      </c>
      <c r="L2066" s="20"/>
      <c r="M2066" s="20">
        <f>Разбивка_по_щитам!P2071</f>
      </c>
      <c r="N2066" s="20"/>
    </row>
    <row r="2067" spans="2:14" x14ac:dyDescent="0.25">
      <c r="B2067" s="20">
        <f>Разбивка_по_щитам!B2072</f>
      </c>
      <c r="C2067" s="20">
        <f>Разбивка_по_щитам!C2072</f>
      </c>
      <c r="D2067" s="20">
        <f>Разбивка_по_щитам!F2072</f>
      </c>
      <c r="E2067" s="20">
        <f>Разбивка_по_щитам!H2072</f>
      </c>
      <c r="F2067" s="20">
        <f>Разбивка_по_щитам!I2072</f>
      </c>
      <c r="G2067" s="20">
        <f>Разбивка_по_щитам!J2072</f>
      </c>
      <c r="H2067" s="20">
        <f>Разбивка_по_щитам!K2072</f>
      </c>
      <c r="I2067" s="20">
        <f>Разбивка_по_щитам!L2072</f>
      </c>
      <c r="J2067" s="20">
        <f>Разбивка_по_щитам!M2072</f>
      </c>
      <c r="K2067" s="20">
        <f>Разбивка_по_щитам!N2072</f>
      </c>
      <c r="L2067" s="20"/>
      <c r="M2067" s="20">
        <f>Разбивка_по_щитам!P2072</f>
      </c>
      <c r="N2067" s="20"/>
    </row>
    <row r="2068" spans="2:14" x14ac:dyDescent="0.25">
      <c r="B2068" s="20">
        <f>Разбивка_по_щитам!B2073</f>
      </c>
      <c r="C2068" s="20">
        <f>Разбивка_по_щитам!C2073</f>
      </c>
      <c r="D2068" s="20">
        <f>Разбивка_по_щитам!F2073</f>
      </c>
      <c r="E2068" s="20">
        <f>Разбивка_по_щитам!H2073</f>
      </c>
      <c r="F2068" s="20">
        <f>Разбивка_по_щитам!I2073</f>
      </c>
      <c r="G2068" s="20">
        <f>Разбивка_по_щитам!J2073</f>
      </c>
      <c r="H2068" s="20">
        <f>Разбивка_по_щитам!K2073</f>
      </c>
      <c r="I2068" s="20">
        <f>Разбивка_по_щитам!L2073</f>
      </c>
      <c r="J2068" s="20">
        <f>Разбивка_по_щитам!M2073</f>
      </c>
      <c r="K2068" s="20">
        <f>Разбивка_по_щитам!N2073</f>
      </c>
      <c r="L2068" s="20"/>
      <c r="M2068" s="20">
        <f>Разбивка_по_щитам!P2073</f>
      </c>
      <c r="N2068" s="20"/>
    </row>
    <row r="2069" spans="2:14" x14ac:dyDescent="0.25">
      <c r="B2069" s="20">
        <f>Разбивка_по_щитам!B2074</f>
      </c>
      <c r="C2069" s="20">
        <f>Разбивка_по_щитам!C2074</f>
      </c>
      <c r="D2069" s="20">
        <f>Разбивка_по_щитам!F2074</f>
      </c>
      <c r="E2069" s="20">
        <f>Разбивка_по_щитам!H2074</f>
      </c>
      <c r="F2069" s="20">
        <f>Разбивка_по_щитам!I2074</f>
      </c>
      <c r="G2069" s="20">
        <f>Разбивка_по_щитам!J2074</f>
      </c>
      <c r="H2069" s="20">
        <f>Разбивка_по_щитам!K2074</f>
      </c>
      <c r="I2069" s="20">
        <f>Разбивка_по_щитам!L2074</f>
      </c>
      <c r="J2069" s="20">
        <f>Разбивка_по_щитам!M2074</f>
      </c>
      <c r="K2069" s="20">
        <f>Разбивка_по_щитам!N2074</f>
      </c>
      <c r="L2069" s="20"/>
      <c r="M2069" s="20">
        <f>Разбивка_по_щитам!P2074</f>
      </c>
      <c r="N2069" s="20"/>
    </row>
    <row r="2070" spans="2:14" x14ac:dyDescent="0.25">
      <c r="B2070" s="20">
        <f>Разбивка_по_щитам!B2075</f>
      </c>
      <c r="C2070" s="20">
        <f>Разбивка_по_щитам!C2075</f>
      </c>
      <c r="D2070" s="20">
        <f>Разбивка_по_щитам!F2075</f>
      </c>
      <c r="E2070" s="20">
        <f>Разбивка_по_щитам!H2075</f>
      </c>
      <c r="F2070" s="20">
        <f>Разбивка_по_щитам!I2075</f>
      </c>
      <c r="G2070" s="20">
        <f>Разбивка_по_щитам!J2075</f>
      </c>
      <c r="H2070" s="20">
        <f>Разбивка_по_щитам!K2075</f>
      </c>
      <c r="I2070" s="20">
        <f>Разбивка_по_щитам!L2075</f>
      </c>
      <c r="J2070" s="20">
        <f>Разбивка_по_щитам!M2075</f>
      </c>
      <c r="K2070" s="20">
        <f>Разбивка_по_щитам!N2075</f>
      </c>
      <c r="L2070" s="20"/>
      <c r="M2070" s="20">
        <f>Разбивка_по_щитам!P2075</f>
      </c>
      <c r="N2070" s="20"/>
    </row>
    <row r="2071" spans="2:14" x14ac:dyDescent="0.25">
      <c r="B2071" s="20">
        <f>Разбивка_по_щитам!B2076</f>
      </c>
      <c r="C2071" s="20">
        <f>Разбивка_по_щитам!C2076</f>
      </c>
      <c r="D2071" s="20">
        <f>Разбивка_по_щитам!F2076</f>
      </c>
      <c r="E2071" s="20">
        <f>Разбивка_по_щитам!H2076</f>
      </c>
      <c r="F2071" s="20">
        <f>Разбивка_по_щитам!I2076</f>
      </c>
      <c r="G2071" s="20">
        <f>Разбивка_по_щитам!J2076</f>
      </c>
      <c r="H2071" s="20">
        <f>Разбивка_по_щитам!K2076</f>
      </c>
      <c r="I2071" s="20">
        <f>Разбивка_по_щитам!L2076</f>
      </c>
      <c r="J2071" s="20">
        <f>Разбивка_по_щитам!M2076</f>
      </c>
      <c r="K2071" s="20">
        <f>Разбивка_по_щитам!N2076</f>
      </c>
      <c r="L2071" s="20"/>
      <c r="M2071" s="20">
        <f>Разбивка_по_щитам!P2076</f>
      </c>
      <c r="N2071" s="20"/>
    </row>
    <row r="2072" spans="2:14" x14ac:dyDescent="0.25">
      <c r="B2072" s="20">
        <f>Разбивка_по_щитам!B2077</f>
      </c>
      <c r="C2072" s="20">
        <f>Разбивка_по_щитам!C2077</f>
      </c>
      <c r="D2072" s="20">
        <f>Разбивка_по_щитам!F2077</f>
      </c>
      <c r="E2072" s="20">
        <f>Разбивка_по_щитам!H2077</f>
      </c>
      <c r="F2072" s="20">
        <f>Разбивка_по_щитам!I2077</f>
      </c>
      <c r="G2072" s="20">
        <f>Разбивка_по_щитам!J2077</f>
      </c>
      <c r="H2072" s="20">
        <f>Разбивка_по_щитам!K2077</f>
      </c>
      <c r="I2072" s="20">
        <f>Разбивка_по_щитам!L2077</f>
      </c>
      <c r="J2072" s="20">
        <f>Разбивка_по_щитам!M2077</f>
      </c>
      <c r="K2072" s="20">
        <f>Разбивка_по_щитам!N2077</f>
      </c>
      <c r="L2072" s="20"/>
      <c r="M2072" s="20">
        <f>Разбивка_по_щитам!P2077</f>
      </c>
      <c r="N2072" s="20"/>
    </row>
    <row r="2073" spans="2:14" x14ac:dyDescent="0.25">
      <c r="B2073" s="20">
        <f>Разбивка_по_щитам!B2078</f>
      </c>
      <c r="C2073" s="20">
        <f>Разбивка_по_щитам!C2078</f>
      </c>
      <c r="D2073" s="20">
        <f>Разбивка_по_щитам!F2078</f>
      </c>
      <c r="E2073" s="20">
        <f>Разбивка_по_щитам!H2078</f>
      </c>
      <c r="F2073" s="20">
        <f>Разбивка_по_щитам!I2078</f>
      </c>
      <c r="G2073" s="20">
        <f>Разбивка_по_щитам!J2078</f>
      </c>
      <c r="H2073" s="20">
        <f>Разбивка_по_щитам!K2078</f>
      </c>
      <c r="I2073" s="20">
        <f>Разбивка_по_щитам!L2078</f>
      </c>
      <c r="J2073" s="20">
        <f>Разбивка_по_щитам!M2078</f>
      </c>
      <c r="K2073" s="20">
        <f>Разбивка_по_щитам!N2078</f>
      </c>
      <c r="L2073" s="20"/>
      <c r="M2073" s="20">
        <f>Разбивка_по_щитам!P2078</f>
      </c>
      <c r="N2073" s="20"/>
    </row>
    <row r="2074" spans="2:14" x14ac:dyDescent="0.25">
      <c r="B2074" s="20">
        <f>Разбивка_по_щитам!B2079</f>
      </c>
      <c r="C2074" s="20">
        <f>Разбивка_по_щитам!C2079</f>
      </c>
      <c r="D2074" s="20">
        <f>Разбивка_по_щитам!F2079</f>
      </c>
      <c r="E2074" s="20">
        <f>Разбивка_по_щитам!H2079</f>
      </c>
      <c r="F2074" s="20">
        <f>Разбивка_по_щитам!I2079</f>
      </c>
      <c r="G2074" s="20">
        <f>Разбивка_по_щитам!J2079</f>
      </c>
      <c r="H2074" s="20">
        <f>Разбивка_по_щитам!K2079</f>
      </c>
      <c r="I2074" s="20">
        <f>Разбивка_по_щитам!L2079</f>
      </c>
      <c r="J2074" s="20">
        <f>Разбивка_по_щитам!M2079</f>
      </c>
      <c r="K2074" s="20">
        <f>Разбивка_по_щитам!N2079</f>
      </c>
      <c r="L2074" s="20"/>
      <c r="M2074" s="20">
        <f>Разбивка_по_щитам!P2079</f>
      </c>
      <c r="N2074" s="20"/>
    </row>
    <row r="2075" spans="2:14" x14ac:dyDescent="0.25">
      <c r="B2075" s="20">
        <f>Разбивка_по_щитам!B2080</f>
      </c>
      <c r="C2075" s="20">
        <f>Разбивка_по_щитам!C2080</f>
      </c>
      <c r="D2075" s="20">
        <f>Разбивка_по_щитам!F2080</f>
      </c>
      <c r="E2075" s="20">
        <f>Разбивка_по_щитам!H2080</f>
      </c>
      <c r="F2075" s="20">
        <f>Разбивка_по_щитам!I2080</f>
      </c>
      <c r="G2075" s="20">
        <f>Разбивка_по_щитам!J2080</f>
      </c>
      <c r="H2075" s="20">
        <f>Разбивка_по_щитам!K2080</f>
      </c>
      <c r="I2075" s="20">
        <f>Разбивка_по_щитам!L2080</f>
      </c>
      <c r="J2075" s="20">
        <f>Разбивка_по_щитам!M2080</f>
      </c>
      <c r="K2075" s="20">
        <f>Разбивка_по_щитам!N2080</f>
      </c>
      <c r="L2075" s="20"/>
      <c r="M2075" s="20">
        <f>Разбивка_по_щитам!P2080</f>
      </c>
      <c r="N2075" s="20"/>
    </row>
    <row r="2076" spans="2:14" x14ac:dyDescent="0.25">
      <c r="B2076" s="20">
        <f>Разбивка_по_щитам!B2081</f>
      </c>
      <c r="C2076" s="20">
        <f>Разбивка_по_щитам!C2081</f>
      </c>
      <c r="D2076" s="20">
        <f>Разбивка_по_щитам!F2081</f>
      </c>
      <c r="E2076" s="20">
        <f>Разбивка_по_щитам!H2081</f>
      </c>
      <c r="F2076" s="20">
        <f>Разбивка_по_щитам!I2081</f>
      </c>
      <c r="G2076" s="20">
        <f>Разбивка_по_щитам!J2081</f>
      </c>
      <c r="H2076" s="20">
        <f>Разбивка_по_щитам!K2081</f>
      </c>
      <c r="I2076" s="20">
        <f>Разбивка_по_щитам!L2081</f>
      </c>
      <c r="J2076" s="20">
        <f>Разбивка_по_щитам!M2081</f>
      </c>
      <c r="K2076" s="20">
        <f>Разбивка_по_щитам!N2081</f>
      </c>
      <c r="L2076" s="20"/>
      <c r="M2076" s="20">
        <f>Разбивка_по_щитам!P2081</f>
      </c>
      <c r="N2076" s="20"/>
    </row>
    <row r="2077" spans="2:14" x14ac:dyDescent="0.25">
      <c r="B2077" s="20">
        <f>Разбивка_по_щитам!B2082</f>
      </c>
      <c r="C2077" s="20">
        <f>Разбивка_по_щитам!C2082</f>
      </c>
      <c r="D2077" s="20">
        <f>Разбивка_по_щитам!F2082</f>
      </c>
      <c r="E2077" s="20">
        <f>Разбивка_по_щитам!H2082</f>
      </c>
      <c r="F2077" s="20">
        <f>Разбивка_по_щитам!I2082</f>
      </c>
      <c r="G2077" s="20">
        <f>Разбивка_по_щитам!J2082</f>
      </c>
      <c r="H2077" s="20">
        <f>Разбивка_по_щитам!K2082</f>
      </c>
      <c r="I2077" s="20">
        <f>Разбивка_по_щитам!L2082</f>
      </c>
      <c r="J2077" s="20">
        <f>Разбивка_по_щитам!M2082</f>
      </c>
      <c r="K2077" s="20">
        <f>Разбивка_по_щитам!N2082</f>
      </c>
      <c r="L2077" s="20"/>
      <c r="M2077" s="20">
        <f>Разбивка_по_щитам!P2082</f>
      </c>
      <c r="N2077" s="20"/>
    </row>
    <row r="2078" spans="2:14" x14ac:dyDescent="0.25">
      <c r="B2078" s="20">
        <f>Разбивка_по_щитам!B2083</f>
      </c>
      <c r="C2078" s="20">
        <f>Разбивка_по_щитам!C2083</f>
      </c>
      <c r="D2078" s="20">
        <f>Разбивка_по_щитам!F2083</f>
      </c>
      <c r="E2078" s="20">
        <f>Разбивка_по_щитам!H2083</f>
      </c>
      <c r="F2078" s="20">
        <f>Разбивка_по_щитам!I2083</f>
      </c>
      <c r="G2078" s="20">
        <f>Разбивка_по_щитам!J2083</f>
      </c>
      <c r="H2078" s="20">
        <f>Разбивка_по_щитам!K2083</f>
      </c>
      <c r="I2078" s="20">
        <f>Разбивка_по_щитам!L2083</f>
      </c>
      <c r="J2078" s="20">
        <f>Разбивка_по_щитам!M2083</f>
      </c>
      <c r="K2078" s="20">
        <f>Разбивка_по_щитам!N2083</f>
      </c>
      <c r="L2078" s="20"/>
      <c r="M2078" s="20">
        <f>Разбивка_по_щитам!P2083</f>
      </c>
      <c r="N2078" s="20"/>
    </row>
    <row r="2079" spans="2:14" x14ac:dyDescent="0.25">
      <c r="B2079" s="20">
        <f>Разбивка_по_щитам!B2084</f>
      </c>
      <c r="C2079" s="20">
        <f>Разбивка_по_щитам!C2084</f>
      </c>
      <c r="D2079" s="20">
        <f>Разбивка_по_щитам!F2084</f>
      </c>
      <c r="E2079" s="20">
        <f>Разбивка_по_щитам!H2084</f>
      </c>
      <c r="F2079" s="20">
        <f>Разбивка_по_щитам!I2084</f>
      </c>
      <c r="G2079" s="20">
        <f>Разбивка_по_щитам!J2084</f>
      </c>
      <c r="H2079" s="20">
        <f>Разбивка_по_щитам!K2084</f>
      </c>
      <c r="I2079" s="20">
        <f>Разбивка_по_щитам!L2084</f>
      </c>
      <c r="J2079" s="20">
        <f>Разбивка_по_щитам!M2084</f>
      </c>
      <c r="K2079" s="20">
        <f>Разбивка_по_щитам!N2084</f>
      </c>
      <c r="L2079" s="20"/>
      <c r="M2079" s="20">
        <f>Разбивка_по_щитам!P2084</f>
      </c>
      <c r="N2079" s="20"/>
    </row>
    <row r="2080" spans="2:14" x14ac:dyDescent="0.25">
      <c r="B2080" s="20">
        <f>Разбивка_по_щитам!B2085</f>
      </c>
      <c r="C2080" s="20">
        <f>Разбивка_по_щитам!C2085</f>
      </c>
      <c r="D2080" s="20">
        <f>Разбивка_по_щитам!F2085</f>
      </c>
      <c r="E2080" s="20">
        <f>Разбивка_по_щитам!H2085</f>
      </c>
      <c r="F2080" s="20">
        <f>Разбивка_по_щитам!I2085</f>
      </c>
      <c r="G2080" s="20">
        <f>Разбивка_по_щитам!J2085</f>
      </c>
      <c r="H2080" s="20">
        <f>Разбивка_по_щитам!K2085</f>
      </c>
      <c r="I2080" s="20">
        <f>Разбивка_по_щитам!L2085</f>
      </c>
      <c r="J2080" s="20">
        <f>Разбивка_по_щитам!M2085</f>
      </c>
      <c r="K2080" s="20">
        <f>Разбивка_по_щитам!N2085</f>
      </c>
      <c r="L2080" s="20"/>
      <c r="M2080" s="20">
        <f>Разбивка_по_щитам!P2085</f>
      </c>
      <c r="N2080" s="20"/>
    </row>
    <row r="2081" spans="2:14" x14ac:dyDescent="0.25">
      <c r="B2081" s="20">
        <f>Разбивка_по_щитам!B2086</f>
      </c>
      <c r="C2081" s="20">
        <f>Разбивка_по_щитам!C2086</f>
      </c>
      <c r="D2081" s="20">
        <f>Разбивка_по_щитам!F2086</f>
      </c>
      <c r="E2081" s="20">
        <f>Разбивка_по_щитам!H2086</f>
      </c>
      <c r="F2081" s="20">
        <f>Разбивка_по_щитам!I2086</f>
      </c>
      <c r="G2081" s="20">
        <f>Разбивка_по_щитам!J2086</f>
      </c>
      <c r="H2081" s="20">
        <f>Разбивка_по_щитам!K2086</f>
      </c>
      <c r="I2081" s="20">
        <f>Разбивка_по_щитам!L2086</f>
      </c>
      <c r="J2081" s="20">
        <f>Разбивка_по_щитам!M2086</f>
      </c>
      <c r="K2081" s="20">
        <f>Разбивка_по_щитам!N2086</f>
      </c>
      <c r="L2081" s="20"/>
      <c r="M2081" s="20">
        <f>Разбивка_по_щитам!P2086</f>
      </c>
      <c r="N2081" s="20"/>
    </row>
    <row r="2082" spans="2:14" x14ac:dyDescent="0.25">
      <c r="B2082" s="20">
        <f>Разбивка_по_щитам!B2087</f>
      </c>
      <c r="C2082" s="20">
        <f>Разбивка_по_щитам!C2087</f>
      </c>
      <c r="D2082" s="20">
        <f>Разбивка_по_щитам!F2087</f>
      </c>
      <c r="E2082" s="20">
        <f>Разбивка_по_щитам!H2087</f>
      </c>
      <c r="F2082" s="20">
        <f>Разбивка_по_щитам!I2087</f>
      </c>
      <c r="G2082" s="20">
        <f>Разбивка_по_щитам!J2087</f>
      </c>
      <c r="H2082" s="20">
        <f>Разбивка_по_щитам!K2087</f>
      </c>
      <c r="I2082" s="20">
        <f>Разбивка_по_щитам!L2087</f>
      </c>
      <c r="J2082" s="20">
        <f>Разбивка_по_щитам!M2087</f>
      </c>
      <c r="K2082" s="20">
        <f>Разбивка_по_щитам!N2087</f>
      </c>
      <c r="L2082" s="20"/>
      <c r="M2082" s="20">
        <f>Разбивка_по_щитам!P2087</f>
      </c>
      <c r="N2082" s="20"/>
    </row>
    <row r="2083" spans="2:14" x14ac:dyDescent="0.25">
      <c r="B2083" s="20">
        <f>Разбивка_по_щитам!B2088</f>
      </c>
      <c r="C2083" s="20">
        <f>Разбивка_по_щитам!C2088</f>
      </c>
      <c r="D2083" s="20">
        <f>Разбивка_по_щитам!F2088</f>
      </c>
      <c r="E2083" s="20">
        <f>Разбивка_по_щитам!H2088</f>
      </c>
      <c r="F2083" s="20">
        <f>Разбивка_по_щитам!I2088</f>
      </c>
      <c r="G2083" s="20">
        <f>Разбивка_по_щитам!J2088</f>
      </c>
      <c r="H2083" s="20">
        <f>Разбивка_по_щитам!K2088</f>
      </c>
      <c r="I2083" s="20">
        <f>Разбивка_по_щитам!L2088</f>
      </c>
      <c r="J2083" s="20">
        <f>Разбивка_по_щитам!M2088</f>
      </c>
      <c r="K2083" s="20">
        <f>Разбивка_по_щитам!N2088</f>
      </c>
      <c r="L2083" s="20"/>
      <c r="M2083" s="20">
        <f>Разбивка_по_щитам!P2088</f>
      </c>
      <c r="N2083" s="20"/>
    </row>
    <row r="2084" spans="2:14" x14ac:dyDescent="0.25">
      <c r="B2084" s="20">
        <f>Разбивка_по_щитам!B2089</f>
      </c>
      <c r="C2084" s="20">
        <f>Разбивка_по_щитам!C2089</f>
      </c>
      <c r="D2084" s="20">
        <f>Разбивка_по_щитам!F2089</f>
      </c>
      <c r="E2084" s="20">
        <f>Разбивка_по_щитам!H2089</f>
      </c>
      <c r="F2084" s="20">
        <f>Разбивка_по_щитам!I2089</f>
      </c>
      <c r="G2084" s="20">
        <f>Разбивка_по_щитам!J2089</f>
      </c>
      <c r="H2084" s="20">
        <f>Разбивка_по_щитам!K2089</f>
      </c>
      <c r="I2084" s="20">
        <f>Разбивка_по_щитам!L2089</f>
      </c>
      <c r="J2084" s="20">
        <f>Разбивка_по_щитам!M2089</f>
      </c>
      <c r="K2084" s="20">
        <f>Разбивка_по_щитам!N2089</f>
      </c>
      <c r="L2084" s="20"/>
      <c r="M2084" s="20">
        <f>Разбивка_по_щитам!P2089</f>
      </c>
      <c r="N2084" s="20"/>
    </row>
    <row r="2085" spans="2:14" x14ac:dyDescent="0.25">
      <c r="B2085" s="20">
        <f>Разбивка_по_щитам!B2090</f>
      </c>
      <c r="C2085" s="20">
        <f>Разбивка_по_щитам!C2090</f>
      </c>
      <c r="D2085" s="20">
        <f>Разбивка_по_щитам!F2090</f>
      </c>
      <c r="E2085" s="20">
        <f>Разбивка_по_щитам!H2090</f>
      </c>
      <c r="F2085" s="20">
        <f>Разбивка_по_щитам!I2090</f>
      </c>
      <c r="G2085" s="20">
        <f>Разбивка_по_щитам!J2090</f>
      </c>
      <c r="H2085" s="20">
        <f>Разбивка_по_щитам!K2090</f>
      </c>
      <c r="I2085" s="20">
        <f>Разбивка_по_щитам!L2090</f>
      </c>
      <c r="J2085" s="20">
        <f>Разбивка_по_щитам!M2090</f>
      </c>
      <c r="K2085" s="20">
        <f>Разбивка_по_щитам!N2090</f>
      </c>
      <c r="L2085" s="20"/>
      <c r="M2085" s="20">
        <f>Разбивка_по_щитам!P2090</f>
      </c>
      <c r="N2085" s="20"/>
    </row>
    <row r="2086" spans="2:14" x14ac:dyDescent="0.25">
      <c r="B2086" s="20">
        <f>Разбивка_по_щитам!B2091</f>
      </c>
      <c r="C2086" s="20">
        <f>Разбивка_по_щитам!C2091</f>
      </c>
      <c r="D2086" s="20">
        <f>Разбивка_по_щитам!F2091</f>
      </c>
      <c r="E2086" s="20">
        <f>Разбивка_по_щитам!H2091</f>
      </c>
      <c r="F2086" s="20">
        <f>Разбивка_по_щитам!I2091</f>
      </c>
      <c r="G2086" s="20">
        <f>Разбивка_по_щитам!J2091</f>
      </c>
      <c r="H2086" s="20">
        <f>Разбивка_по_щитам!K2091</f>
      </c>
      <c r="I2086" s="20">
        <f>Разбивка_по_щитам!L2091</f>
      </c>
      <c r="J2086" s="20">
        <f>Разбивка_по_щитам!M2091</f>
      </c>
      <c r="K2086" s="20">
        <f>Разбивка_по_щитам!N2091</f>
      </c>
      <c r="L2086" s="20"/>
      <c r="M2086" s="20">
        <f>Разбивка_по_щитам!P2091</f>
      </c>
      <c r="N2086" s="20"/>
    </row>
    <row r="2087" spans="2:14" x14ac:dyDescent="0.25">
      <c r="B2087" s="20">
        <f>Разбивка_по_щитам!B2092</f>
      </c>
      <c r="C2087" s="20">
        <f>Разбивка_по_щитам!C2092</f>
      </c>
      <c r="D2087" s="20">
        <f>Разбивка_по_щитам!F2092</f>
      </c>
      <c r="E2087" s="20">
        <f>Разбивка_по_щитам!H2092</f>
      </c>
      <c r="F2087" s="20">
        <f>Разбивка_по_щитам!I2092</f>
      </c>
      <c r="G2087" s="20">
        <f>Разбивка_по_щитам!J2092</f>
      </c>
      <c r="H2087" s="20">
        <f>Разбивка_по_щитам!K2092</f>
      </c>
      <c r="I2087" s="20">
        <f>Разбивка_по_щитам!L2092</f>
      </c>
      <c r="J2087" s="20">
        <f>Разбивка_по_щитам!M2092</f>
      </c>
      <c r="K2087" s="20">
        <f>Разбивка_по_щитам!N2092</f>
      </c>
      <c r="L2087" s="20"/>
      <c r="M2087" s="20">
        <f>Разбивка_по_щитам!P2092</f>
      </c>
      <c r="N2087" s="20"/>
    </row>
    <row r="2088" spans="2:14" x14ac:dyDescent="0.25">
      <c r="B2088" s="20">
        <f>Разбивка_по_щитам!B2093</f>
      </c>
      <c r="C2088" s="20">
        <f>Разбивка_по_щитам!C2093</f>
      </c>
      <c r="D2088" s="20">
        <f>Разбивка_по_щитам!F2093</f>
      </c>
      <c r="E2088" s="20">
        <f>Разбивка_по_щитам!H2093</f>
      </c>
      <c r="F2088" s="20">
        <f>Разбивка_по_щитам!I2093</f>
      </c>
      <c r="G2088" s="20">
        <f>Разбивка_по_щитам!J2093</f>
      </c>
      <c r="H2088" s="20">
        <f>Разбивка_по_щитам!K2093</f>
      </c>
      <c r="I2088" s="20">
        <f>Разбивка_по_щитам!L2093</f>
      </c>
      <c r="J2088" s="20">
        <f>Разбивка_по_щитам!M2093</f>
      </c>
      <c r="K2088" s="20">
        <f>Разбивка_по_щитам!N2093</f>
      </c>
      <c r="L2088" s="20"/>
      <c r="M2088" s="20">
        <f>Разбивка_по_щитам!P2093</f>
      </c>
      <c r="N2088" s="20"/>
    </row>
    <row r="2089" spans="2:14" x14ac:dyDescent="0.25">
      <c r="B2089" s="20">
        <f>Разбивка_по_щитам!B2094</f>
      </c>
      <c r="C2089" s="20">
        <f>Разбивка_по_щитам!C2094</f>
      </c>
      <c r="D2089" s="20">
        <f>Разбивка_по_щитам!F2094</f>
      </c>
      <c r="E2089" s="20">
        <f>Разбивка_по_щитам!H2094</f>
      </c>
      <c r="F2089" s="20">
        <f>Разбивка_по_щитам!I2094</f>
      </c>
      <c r="G2089" s="20">
        <f>Разбивка_по_щитам!J2094</f>
      </c>
      <c r="H2089" s="20">
        <f>Разбивка_по_щитам!K2094</f>
      </c>
      <c r="I2089" s="20">
        <f>Разбивка_по_щитам!L2094</f>
      </c>
      <c r="J2089" s="20">
        <f>Разбивка_по_щитам!M2094</f>
      </c>
      <c r="K2089" s="20">
        <f>Разбивка_по_щитам!N2094</f>
      </c>
      <c r="L2089" s="20"/>
      <c r="M2089" s="20">
        <f>Разбивка_по_щитам!P2094</f>
      </c>
      <c r="N2089" s="20"/>
    </row>
    <row r="2090" spans="2:14" x14ac:dyDescent="0.25">
      <c r="B2090" s="20">
        <f>Разбивка_по_щитам!B2095</f>
      </c>
      <c r="C2090" s="20">
        <f>Разбивка_по_щитам!C2095</f>
      </c>
      <c r="D2090" s="20">
        <f>Разбивка_по_щитам!F2095</f>
      </c>
      <c r="E2090" s="20">
        <f>Разбивка_по_щитам!H2095</f>
      </c>
      <c r="F2090" s="20">
        <f>Разбивка_по_щитам!I2095</f>
      </c>
      <c r="G2090" s="20">
        <f>Разбивка_по_щитам!J2095</f>
      </c>
      <c r="H2090" s="20">
        <f>Разбивка_по_щитам!K2095</f>
      </c>
      <c r="I2090" s="20">
        <f>Разбивка_по_щитам!L2095</f>
      </c>
      <c r="J2090" s="20">
        <f>Разбивка_по_щитам!M2095</f>
      </c>
      <c r="K2090" s="20">
        <f>Разбивка_по_щитам!N2095</f>
      </c>
      <c r="L2090" s="20"/>
      <c r="M2090" s="20">
        <f>Разбивка_по_щитам!P2095</f>
      </c>
      <c r="N2090" s="20"/>
    </row>
    <row r="2091" spans="2:14" x14ac:dyDescent="0.25">
      <c r="B2091" s="20">
        <f>Разбивка_по_щитам!B2096</f>
      </c>
      <c r="C2091" s="20">
        <f>Разбивка_по_щитам!C2096</f>
      </c>
      <c r="D2091" s="20">
        <f>Разбивка_по_щитам!F2096</f>
      </c>
      <c r="E2091" s="20">
        <f>Разбивка_по_щитам!H2096</f>
      </c>
      <c r="F2091" s="20">
        <f>Разбивка_по_щитам!I2096</f>
      </c>
      <c r="G2091" s="20">
        <f>Разбивка_по_щитам!J2096</f>
      </c>
      <c r="H2091" s="20">
        <f>Разбивка_по_щитам!K2096</f>
      </c>
      <c r="I2091" s="20">
        <f>Разбивка_по_щитам!L2096</f>
      </c>
      <c r="J2091" s="20">
        <f>Разбивка_по_щитам!M2096</f>
      </c>
      <c r="K2091" s="20">
        <f>Разбивка_по_щитам!N2096</f>
      </c>
      <c r="L2091" s="20"/>
      <c r="M2091" s="20">
        <f>Разбивка_по_щитам!P2096</f>
      </c>
      <c r="N2091" s="20"/>
    </row>
    <row r="2092" spans="2:14" x14ac:dyDescent="0.25">
      <c r="B2092" s="20">
        <f>Разбивка_по_щитам!B2097</f>
      </c>
      <c r="C2092" s="20">
        <f>Разбивка_по_щитам!C2097</f>
      </c>
      <c r="D2092" s="20">
        <f>Разбивка_по_щитам!F2097</f>
      </c>
      <c r="E2092" s="20">
        <f>Разбивка_по_щитам!H2097</f>
      </c>
      <c r="F2092" s="20">
        <f>Разбивка_по_щитам!I2097</f>
      </c>
      <c r="G2092" s="20">
        <f>Разбивка_по_щитам!J2097</f>
      </c>
      <c r="H2092" s="20">
        <f>Разбивка_по_щитам!K2097</f>
      </c>
      <c r="I2092" s="20">
        <f>Разбивка_по_щитам!L2097</f>
      </c>
      <c r="J2092" s="20">
        <f>Разбивка_по_щитам!M2097</f>
      </c>
      <c r="K2092" s="20">
        <f>Разбивка_по_щитам!N2097</f>
      </c>
      <c r="L2092" s="20"/>
      <c r="M2092" s="20">
        <f>Разбивка_по_щитам!P2097</f>
      </c>
      <c r="N2092" s="20"/>
    </row>
    <row r="2093" spans="2:14" x14ac:dyDescent="0.25">
      <c r="B2093" s="20">
        <f>Разбивка_по_щитам!B2098</f>
      </c>
      <c r="C2093" s="20">
        <f>Разбивка_по_щитам!C2098</f>
      </c>
      <c r="D2093" s="20">
        <f>Разбивка_по_щитам!F2098</f>
      </c>
      <c r="E2093" s="20">
        <f>Разбивка_по_щитам!H2098</f>
      </c>
      <c r="F2093" s="20">
        <f>Разбивка_по_щитам!I2098</f>
      </c>
      <c r="G2093" s="20">
        <f>Разбивка_по_щитам!J2098</f>
      </c>
      <c r="H2093" s="20">
        <f>Разбивка_по_щитам!K2098</f>
      </c>
      <c r="I2093" s="20">
        <f>Разбивка_по_щитам!L2098</f>
      </c>
      <c r="J2093" s="20">
        <f>Разбивка_по_щитам!M2098</f>
      </c>
      <c r="K2093" s="20">
        <f>Разбивка_по_щитам!N2098</f>
      </c>
      <c r="L2093" s="20"/>
      <c r="M2093" s="20">
        <f>Разбивка_по_щитам!P2098</f>
      </c>
      <c r="N2093" s="20"/>
    </row>
    <row r="2094" spans="2:14" x14ac:dyDescent="0.25">
      <c r="B2094" s="20">
        <f>Разбивка_по_щитам!B2099</f>
      </c>
      <c r="C2094" s="20">
        <f>Разбивка_по_щитам!C2099</f>
      </c>
      <c r="D2094" s="20">
        <f>Разбивка_по_щитам!F2099</f>
      </c>
      <c r="E2094" s="20">
        <f>Разбивка_по_щитам!H2099</f>
      </c>
      <c r="F2094" s="20">
        <f>Разбивка_по_щитам!I2099</f>
      </c>
      <c r="G2094" s="20">
        <f>Разбивка_по_щитам!J2099</f>
      </c>
      <c r="H2094" s="20">
        <f>Разбивка_по_щитам!K2099</f>
      </c>
      <c r="I2094" s="20">
        <f>Разбивка_по_щитам!L2099</f>
      </c>
      <c r="J2094" s="20">
        <f>Разбивка_по_щитам!M2099</f>
      </c>
      <c r="K2094" s="20">
        <f>Разбивка_по_щитам!N2099</f>
      </c>
      <c r="L2094" s="20"/>
      <c r="M2094" s="20">
        <f>Разбивка_по_щитам!P2099</f>
      </c>
      <c r="N2094" s="20"/>
    </row>
    <row r="2095" spans="2:14" x14ac:dyDescent="0.25">
      <c r="B2095" s="20">
        <f>Разбивка_по_щитам!B2100</f>
      </c>
      <c r="C2095" s="20">
        <f>Разбивка_по_щитам!C2100</f>
      </c>
      <c r="D2095" s="20">
        <f>Разбивка_по_щитам!F2100</f>
      </c>
      <c r="E2095" s="20">
        <f>Разбивка_по_щитам!H2100</f>
      </c>
      <c r="F2095" s="20">
        <f>Разбивка_по_щитам!I2100</f>
      </c>
      <c r="G2095" s="20">
        <f>Разбивка_по_щитам!J2100</f>
      </c>
      <c r="H2095" s="20">
        <f>Разбивка_по_щитам!K2100</f>
      </c>
      <c r="I2095" s="20">
        <f>Разбивка_по_щитам!L2100</f>
      </c>
      <c r="J2095" s="20">
        <f>Разбивка_по_щитам!M2100</f>
      </c>
      <c r="K2095" s="20">
        <f>Разбивка_по_щитам!N2100</f>
      </c>
      <c r="L2095" s="20"/>
      <c r="M2095" s="20">
        <f>Разбивка_по_щитам!P2100</f>
      </c>
      <c r="N2095" s="20"/>
    </row>
    <row r="2096" spans="2:14" x14ac:dyDescent="0.25">
      <c r="B2096" s="20">
        <f>Разбивка_по_щитам!B2101</f>
      </c>
      <c r="C2096" s="20">
        <f>Разбивка_по_щитам!C2101</f>
      </c>
      <c r="D2096" s="20">
        <f>Разбивка_по_щитам!F2101</f>
      </c>
      <c r="E2096" s="20">
        <f>Разбивка_по_щитам!H2101</f>
      </c>
      <c r="F2096" s="20">
        <f>Разбивка_по_щитам!I2101</f>
      </c>
      <c r="G2096" s="20">
        <f>Разбивка_по_щитам!J2101</f>
      </c>
      <c r="H2096" s="20">
        <f>Разбивка_по_щитам!K2101</f>
      </c>
      <c r="I2096" s="20">
        <f>Разбивка_по_щитам!L2101</f>
      </c>
      <c r="J2096" s="20">
        <f>Разбивка_по_щитам!M2101</f>
      </c>
      <c r="K2096" s="20">
        <f>Разбивка_по_щитам!N2101</f>
      </c>
      <c r="L2096" s="20"/>
      <c r="M2096" s="20">
        <f>Разбивка_по_щитам!P2101</f>
      </c>
      <c r="N2096" s="20"/>
    </row>
    <row r="2097" spans="2:14" x14ac:dyDescent="0.25">
      <c r="B2097" s="20">
        <f>Разбивка_по_щитам!B2102</f>
      </c>
      <c r="C2097" s="20">
        <f>Разбивка_по_щитам!C2102</f>
      </c>
      <c r="D2097" s="20">
        <f>Разбивка_по_щитам!F2102</f>
      </c>
      <c r="E2097" s="20">
        <f>Разбивка_по_щитам!H2102</f>
      </c>
      <c r="F2097" s="20">
        <f>Разбивка_по_щитам!I2102</f>
      </c>
      <c r="G2097" s="20">
        <f>Разбивка_по_щитам!J2102</f>
      </c>
      <c r="H2097" s="20">
        <f>Разбивка_по_щитам!K2102</f>
      </c>
      <c r="I2097" s="20">
        <f>Разбивка_по_щитам!L2102</f>
      </c>
      <c r="J2097" s="20">
        <f>Разбивка_по_щитам!M2102</f>
      </c>
      <c r="K2097" s="20">
        <f>Разбивка_по_щитам!N2102</f>
      </c>
      <c r="L2097" s="20"/>
      <c r="M2097" s="20">
        <f>Разбивка_по_щитам!P2102</f>
      </c>
      <c r="N2097" s="20"/>
    </row>
    <row r="2098" spans="2:14" x14ac:dyDescent="0.25">
      <c r="B2098" s="20">
        <f>Разбивка_по_щитам!B2103</f>
      </c>
      <c r="C2098" s="20">
        <f>Разбивка_по_щитам!C2103</f>
      </c>
      <c r="D2098" s="20">
        <f>Разбивка_по_щитам!F2103</f>
      </c>
      <c r="E2098" s="20">
        <f>Разбивка_по_щитам!H2103</f>
      </c>
      <c r="F2098" s="20">
        <f>Разбивка_по_щитам!I2103</f>
      </c>
      <c r="G2098" s="20">
        <f>Разбивка_по_щитам!J2103</f>
      </c>
      <c r="H2098" s="20">
        <f>Разбивка_по_щитам!K2103</f>
      </c>
      <c r="I2098" s="20">
        <f>Разбивка_по_щитам!L2103</f>
      </c>
      <c r="J2098" s="20">
        <f>Разбивка_по_щитам!M2103</f>
      </c>
      <c r="K2098" s="20">
        <f>Разбивка_по_щитам!N2103</f>
      </c>
      <c r="L2098" s="20"/>
      <c r="M2098" s="20">
        <f>Разбивка_по_щитам!P2103</f>
      </c>
      <c r="N2098" s="20"/>
    </row>
    <row r="2099" spans="2:14" x14ac:dyDescent="0.25">
      <c r="B2099" s="20">
        <f>Разбивка_по_щитам!B2104</f>
      </c>
      <c r="C2099" s="20">
        <f>Разбивка_по_щитам!C2104</f>
      </c>
      <c r="D2099" s="20">
        <f>Разбивка_по_щитам!F2104</f>
      </c>
      <c r="E2099" s="20">
        <f>Разбивка_по_щитам!H2104</f>
      </c>
      <c r="F2099" s="20">
        <f>Разбивка_по_щитам!I2104</f>
      </c>
      <c r="G2099" s="20">
        <f>Разбивка_по_щитам!J2104</f>
      </c>
      <c r="H2099" s="20">
        <f>Разбивка_по_щитам!K2104</f>
      </c>
      <c r="I2099" s="20">
        <f>Разбивка_по_щитам!L2104</f>
      </c>
      <c r="J2099" s="20">
        <f>Разбивка_по_щитам!M2104</f>
      </c>
      <c r="K2099" s="20">
        <f>Разбивка_по_щитам!N2104</f>
      </c>
      <c r="L2099" s="20"/>
      <c r="M2099" s="20">
        <f>Разбивка_по_щитам!P2104</f>
      </c>
      <c r="N2099" s="20"/>
    </row>
    <row r="2100" spans="2:14" x14ac:dyDescent="0.25">
      <c r="B2100" s="20">
        <f>Разбивка_по_щитам!B2105</f>
      </c>
      <c r="C2100" s="20">
        <f>Разбивка_по_щитам!C2105</f>
      </c>
      <c r="D2100" s="20">
        <f>Разбивка_по_щитам!F2105</f>
      </c>
      <c r="E2100" s="20">
        <f>Разбивка_по_щитам!H2105</f>
      </c>
      <c r="F2100" s="20">
        <f>Разбивка_по_щитам!I2105</f>
      </c>
      <c r="G2100" s="20">
        <f>Разбивка_по_щитам!J2105</f>
      </c>
      <c r="H2100" s="20">
        <f>Разбивка_по_щитам!K2105</f>
      </c>
      <c r="I2100" s="20">
        <f>Разбивка_по_щитам!L2105</f>
      </c>
      <c r="J2100" s="20">
        <f>Разбивка_по_щитам!M2105</f>
      </c>
      <c r="K2100" s="20">
        <f>Разбивка_по_щитам!N2105</f>
      </c>
      <c r="L2100" s="20"/>
      <c r="M2100" s="20">
        <f>Разбивка_по_щитам!P2105</f>
      </c>
      <c r="N2100" s="20"/>
    </row>
    <row r="2101" spans="2:14" x14ac:dyDescent="0.25">
      <c r="B2101" s="20">
        <f>Разбивка_по_щитам!B2106</f>
      </c>
      <c r="C2101" s="20">
        <f>Разбивка_по_щитам!C2106</f>
      </c>
      <c r="D2101" s="20">
        <f>Разбивка_по_щитам!F2106</f>
      </c>
      <c r="E2101" s="20">
        <f>Разбивка_по_щитам!H2106</f>
      </c>
      <c r="F2101" s="20">
        <f>Разбивка_по_щитам!I2106</f>
      </c>
      <c r="G2101" s="20">
        <f>Разбивка_по_щитам!J2106</f>
      </c>
      <c r="H2101" s="20">
        <f>Разбивка_по_щитам!K2106</f>
      </c>
      <c r="I2101" s="20">
        <f>Разбивка_по_щитам!L2106</f>
      </c>
      <c r="J2101" s="20">
        <f>Разбивка_по_щитам!M2106</f>
      </c>
      <c r="K2101" s="20">
        <f>Разбивка_по_щитам!N2106</f>
      </c>
      <c r="L2101" s="20"/>
      <c r="M2101" s="20">
        <f>Разбивка_по_щитам!P2106</f>
      </c>
      <c r="N2101" s="20"/>
    </row>
    <row r="2102" spans="2:14" x14ac:dyDescent="0.25">
      <c r="B2102" s="20">
        <f>Разбивка_по_щитам!B2107</f>
      </c>
      <c r="C2102" s="20">
        <f>Разбивка_по_щитам!C2107</f>
      </c>
      <c r="D2102" s="20">
        <f>Разбивка_по_щитам!F2107</f>
      </c>
      <c r="E2102" s="20">
        <f>Разбивка_по_щитам!H2107</f>
      </c>
      <c r="F2102" s="20">
        <f>Разбивка_по_щитам!I2107</f>
      </c>
      <c r="G2102" s="20">
        <f>Разбивка_по_щитам!J2107</f>
      </c>
      <c r="H2102" s="20">
        <f>Разбивка_по_щитам!K2107</f>
      </c>
      <c r="I2102" s="20">
        <f>Разбивка_по_щитам!L2107</f>
      </c>
      <c r="J2102" s="20">
        <f>Разбивка_по_щитам!M2107</f>
      </c>
      <c r="K2102" s="20">
        <f>Разбивка_по_щитам!N2107</f>
      </c>
      <c r="L2102" s="20"/>
      <c r="M2102" s="20">
        <f>Разбивка_по_щитам!P2107</f>
      </c>
      <c r="N2102" s="20"/>
    </row>
    <row r="2103" spans="2:14" x14ac:dyDescent="0.25">
      <c r="B2103" s="20">
        <f>Разбивка_по_щитам!B2108</f>
      </c>
      <c r="C2103" s="20">
        <f>Разбивка_по_щитам!C2108</f>
      </c>
      <c r="D2103" s="20">
        <f>Разбивка_по_щитам!F2108</f>
      </c>
      <c r="E2103" s="20">
        <f>Разбивка_по_щитам!H2108</f>
      </c>
      <c r="F2103" s="20">
        <f>Разбивка_по_щитам!I2108</f>
      </c>
      <c r="G2103" s="20">
        <f>Разбивка_по_щитам!J2108</f>
      </c>
      <c r="H2103" s="20">
        <f>Разбивка_по_щитам!K2108</f>
      </c>
      <c r="I2103" s="20">
        <f>Разбивка_по_щитам!L2108</f>
      </c>
      <c r="J2103" s="20">
        <f>Разбивка_по_щитам!M2108</f>
      </c>
      <c r="K2103" s="20">
        <f>Разбивка_по_щитам!N2108</f>
      </c>
      <c r="L2103" s="20"/>
      <c r="M2103" s="20">
        <f>Разбивка_по_щитам!P2108</f>
      </c>
      <c r="N2103" s="20"/>
    </row>
    <row r="2104" spans="2:14" x14ac:dyDescent="0.25">
      <c r="B2104" s="20">
        <f>Разбивка_по_щитам!B2109</f>
      </c>
      <c r="C2104" s="20">
        <f>Разбивка_по_щитам!C2109</f>
      </c>
      <c r="D2104" s="20">
        <f>Разбивка_по_щитам!F2109</f>
      </c>
      <c r="E2104" s="20">
        <f>Разбивка_по_щитам!H2109</f>
      </c>
      <c r="F2104" s="20">
        <f>Разбивка_по_щитам!I2109</f>
      </c>
      <c r="G2104" s="20">
        <f>Разбивка_по_щитам!J2109</f>
      </c>
      <c r="H2104" s="20">
        <f>Разбивка_по_щитам!K2109</f>
      </c>
      <c r="I2104" s="20">
        <f>Разбивка_по_щитам!L2109</f>
      </c>
      <c r="J2104" s="20">
        <f>Разбивка_по_щитам!M2109</f>
      </c>
      <c r="K2104" s="20">
        <f>Разбивка_по_щитам!N2109</f>
      </c>
      <c r="L2104" s="20"/>
      <c r="M2104" s="20">
        <f>Разбивка_по_щитам!P2109</f>
      </c>
      <c r="N2104" s="20"/>
    </row>
    <row r="2105" spans="2:14" x14ac:dyDescent="0.25">
      <c r="B2105" s="20">
        <f>Разбивка_по_щитам!B2110</f>
      </c>
      <c r="C2105" s="20">
        <f>Разбивка_по_щитам!C2110</f>
      </c>
      <c r="D2105" s="20">
        <f>Разбивка_по_щитам!F2110</f>
      </c>
      <c r="E2105" s="20">
        <f>Разбивка_по_щитам!H2110</f>
      </c>
      <c r="F2105" s="20">
        <f>Разбивка_по_щитам!I2110</f>
      </c>
      <c r="G2105" s="20">
        <f>Разбивка_по_щитам!J2110</f>
      </c>
      <c r="H2105" s="20">
        <f>Разбивка_по_щитам!K2110</f>
      </c>
      <c r="I2105" s="20">
        <f>Разбивка_по_щитам!L2110</f>
      </c>
      <c r="J2105" s="20">
        <f>Разбивка_по_щитам!M2110</f>
      </c>
      <c r="K2105" s="20">
        <f>Разбивка_по_щитам!N2110</f>
      </c>
      <c r="L2105" s="20"/>
      <c r="M2105" s="20">
        <f>Разбивка_по_щитам!P2110</f>
      </c>
      <c r="N2105" s="20"/>
    </row>
    <row r="2106" spans="2:14" x14ac:dyDescent="0.25">
      <c r="B2106" s="20">
        <f>Разбивка_по_щитам!B2111</f>
      </c>
      <c r="C2106" s="20">
        <f>Разбивка_по_щитам!C2111</f>
      </c>
      <c r="D2106" s="20">
        <f>Разбивка_по_щитам!F2111</f>
      </c>
      <c r="E2106" s="20">
        <f>Разбивка_по_щитам!H2111</f>
      </c>
      <c r="F2106" s="20">
        <f>Разбивка_по_щитам!I2111</f>
      </c>
      <c r="G2106" s="20">
        <f>Разбивка_по_щитам!J2111</f>
      </c>
      <c r="H2106" s="20">
        <f>Разбивка_по_щитам!K2111</f>
      </c>
      <c r="I2106" s="20">
        <f>Разбивка_по_щитам!L2111</f>
      </c>
      <c r="J2106" s="20">
        <f>Разбивка_по_щитам!M2111</f>
      </c>
      <c r="K2106" s="20">
        <f>Разбивка_по_щитам!N2111</f>
      </c>
      <c r="L2106" s="20"/>
      <c r="M2106" s="20">
        <f>Разбивка_по_щитам!P2111</f>
      </c>
      <c r="N2106" s="20"/>
    </row>
    <row r="2107" spans="2:14" x14ac:dyDescent="0.25">
      <c r="B2107" s="20">
        <f>Разбивка_по_щитам!B2112</f>
      </c>
      <c r="C2107" s="20">
        <f>Разбивка_по_щитам!C2112</f>
      </c>
      <c r="D2107" s="20">
        <f>Разбивка_по_щитам!F2112</f>
      </c>
      <c r="E2107" s="20">
        <f>Разбивка_по_щитам!H2112</f>
      </c>
      <c r="F2107" s="20">
        <f>Разбивка_по_щитам!I2112</f>
      </c>
      <c r="G2107" s="20">
        <f>Разбивка_по_щитам!J2112</f>
      </c>
      <c r="H2107" s="20">
        <f>Разбивка_по_щитам!K2112</f>
      </c>
      <c r="I2107" s="20">
        <f>Разбивка_по_щитам!L2112</f>
      </c>
      <c r="J2107" s="20">
        <f>Разбивка_по_щитам!M2112</f>
      </c>
      <c r="K2107" s="20">
        <f>Разбивка_по_щитам!N2112</f>
      </c>
      <c r="L2107" s="20"/>
      <c r="M2107" s="20">
        <f>Разбивка_по_щитам!P2112</f>
      </c>
      <c r="N2107" s="20"/>
    </row>
    <row r="2108" spans="2:14" x14ac:dyDescent="0.25">
      <c r="B2108" s="20">
        <f>Разбивка_по_щитам!B2113</f>
      </c>
      <c r="C2108" s="20">
        <f>Разбивка_по_щитам!C2113</f>
      </c>
      <c r="D2108" s="20">
        <f>Разбивка_по_щитам!F2113</f>
      </c>
      <c r="E2108" s="20">
        <f>Разбивка_по_щитам!H2113</f>
      </c>
      <c r="F2108" s="20">
        <f>Разбивка_по_щитам!I2113</f>
      </c>
      <c r="G2108" s="20">
        <f>Разбивка_по_щитам!J2113</f>
      </c>
      <c r="H2108" s="20">
        <f>Разбивка_по_щитам!K2113</f>
      </c>
      <c r="I2108" s="20">
        <f>Разбивка_по_щитам!L2113</f>
      </c>
      <c r="J2108" s="20">
        <f>Разбивка_по_щитам!M2113</f>
      </c>
      <c r="K2108" s="20">
        <f>Разбивка_по_щитам!N2113</f>
      </c>
      <c r="L2108" s="20"/>
      <c r="M2108" s="20">
        <f>Разбивка_по_щитам!P2113</f>
      </c>
      <c r="N2108" s="20"/>
    </row>
    <row r="2109" spans="2:14" x14ac:dyDescent="0.25">
      <c r="B2109" s="20">
        <f>Разбивка_по_щитам!B2114</f>
      </c>
      <c r="C2109" s="20">
        <f>Разбивка_по_щитам!C2114</f>
      </c>
      <c r="D2109" s="20">
        <f>Разбивка_по_щитам!F2114</f>
      </c>
      <c r="E2109" s="20">
        <f>Разбивка_по_щитам!H2114</f>
      </c>
      <c r="F2109" s="20">
        <f>Разбивка_по_щитам!I2114</f>
      </c>
      <c r="G2109" s="20">
        <f>Разбивка_по_щитам!J2114</f>
      </c>
      <c r="H2109" s="20">
        <f>Разбивка_по_щитам!K2114</f>
      </c>
      <c r="I2109" s="20">
        <f>Разбивка_по_щитам!L2114</f>
      </c>
      <c r="J2109" s="20">
        <f>Разбивка_по_щитам!M2114</f>
      </c>
      <c r="K2109" s="20">
        <f>Разбивка_по_щитам!N2114</f>
      </c>
      <c r="L2109" s="20"/>
      <c r="M2109" s="20">
        <f>Разбивка_по_щитам!P2114</f>
      </c>
      <c r="N2109" s="20"/>
    </row>
    <row r="2110" spans="2:14" x14ac:dyDescent="0.25">
      <c r="B2110" s="20">
        <f>Разбивка_по_щитам!B2115</f>
      </c>
      <c r="C2110" s="20">
        <f>Разбивка_по_щитам!C2115</f>
      </c>
      <c r="D2110" s="20">
        <f>Разбивка_по_щитам!F2115</f>
      </c>
      <c r="E2110" s="20">
        <f>Разбивка_по_щитам!H2115</f>
      </c>
      <c r="F2110" s="20">
        <f>Разбивка_по_щитам!I2115</f>
      </c>
      <c r="G2110" s="20">
        <f>Разбивка_по_щитам!J2115</f>
      </c>
      <c r="H2110" s="20">
        <f>Разбивка_по_щитам!K2115</f>
      </c>
      <c r="I2110" s="20">
        <f>Разбивка_по_щитам!L2115</f>
      </c>
      <c r="J2110" s="20">
        <f>Разбивка_по_щитам!M2115</f>
      </c>
      <c r="K2110" s="20">
        <f>Разбивка_по_щитам!N2115</f>
      </c>
      <c r="L2110" s="20"/>
      <c r="M2110" s="20">
        <f>Разбивка_по_щитам!P2115</f>
      </c>
      <c r="N2110" s="20"/>
    </row>
    <row r="2111" spans="2:14" x14ac:dyDescent="0.25">
      <c r="B2111" s="20">
        <f>Разбивка_по_щитам!B2116</f>
      </c>
      <c r="C2111" s="20">
        <f>Разбивка_по_щитам!C2116</f>
      </c>
      <c r="D2111" s="20">
        <f>Разбивка_по_щитам!F2116</f>
      </c>
      <c r="E2111" s="20">
        <f>Разбивка_по_щитам!H2116</f>
      </c>
      <c r="F2111" s="20">
        <f>Разбивка_по_щитам!I2116</f>
      </c>
      <c r="G2111" s="20">
        <f>Разбивка_по_щитам!J2116</f>
      </c>
      <c r="H2111" s="20">
        <f>Разбивка_по_щитам!K2116</f>
      </c>
      <c r="I2111" s="20">
        <f>Разбивка_по_щитам!L2116</f>
      </c>
      <c r="J2111" s="20">
        <f>Разбивка_по_щитам!M2116</f>
      </c>
      <c r="K2111" s="20">
        <f>Разбивка_по_щитам!N2116</f>
      </c>
      <c r="L2111" s="20"/>
      <c r="M2111" s="20">
        <f>Разбивка_по_щитам!P2116</f>
      </c>
      <c r="N2111" s="20"/>
    </row>
    <row r="2112" spans="2:14" x14ac:dyDescent="0.25">
      <c r="B2112" s="20">
        <f>Разбивка_по_щитам!B2117</f>
      </c>
      <c r="C2112" s="20">
        <f>Разбивка_по_щитам!C2117</f>
      </c>
      <c r="D2112" s="20">
        <f>Разбивка_по_щитам!F2117</f>
      </c>
      <c r="E2112" s="20">
        <f>Разбивка_по_щитам!H2117</f>
      </c>
      <c r="F2112" s="20">
        <f>Разбивка_по_щитам!I2117</f>
      </c>
      <c r="G2112" s="20">
        <f>Разбивка_по_щитам!J2117</f>
      </c>
      <c r="H2112" s="20">
        <f>Разбивка_по_щитам!K2117</f>
      </c>
      <c r="I2112" s="20">
        <f>Разбивка_по_щитам!L2117</f>
      </c>
      <c r="J2112" s="20">
        <f>Разбивка_по_щитам!M2117</f>
      </c>
      <c r="K2112" s="20">
        <f>Разбивка_по_щитам!N2117</f>
      </c>
      <c r="L2112" s="20"/>
      <c r="M2112" s="20">
        <f>Разбивка_по_щитам!P2117</f>
      </c>
      <c r="N2112" s="20"/>
    </row>
    <row r="2113" spans="2:14" x14ac:dyDescent="0.25">
      <c r="B2113" s="20">
        <f>Разбивка_по_щитам!B2118</f>
      </c>
      <c r="C2113" s="20">
        <f>Разбивка_по_щитам!C2118</f>
      </c>
      <c r="D2113" s="20">
        <f>Разбивка_по_щитам!F2118</f>
      </c>
      <c r="E2113" s="20">
        <f>Разбивка_по_щитам!H2118</f>
      </c>
      <c r="F2113" s="20">
        <f>Разбивка_по_щитам!I2118</f>
      </c>
      <c r="G2113" s="20">
        <f>Разбивка_по_щитам!J2118</f>
      </c>
      <c r="H2113" s="20">
        <f>Разбивка_по_щитам!K2118</f>
      </c>
      <c r="I2113" s="20">
        <f>Разбивка_по_щитам!L2118</f>
      </c>
      <c r="J2113" s="20">
        <f>Разбивка_по_щитам!M2118</f>
      </c>
      <c r="K2113" s="20">
        <f>Разбивка_по_щитам!N2118</f>
      </c>
      <c r="L2113" s="20"/>
      <c r="M2113" s="20">
        <f>Разбивка_по_щитам!P2118</f>
      </c>
      <c r="N2113" s="20"/>
    </row>
    <row r="2114" spans="2:14" x14ac:dyDescent="0.25">
      <c r="B2114" s="20">
        <f>Разбивка_по_щитам!B2119</f>
      </c>
      <c r="C2114" s="20">
        <f>Разбивка_по_щитам!C2119</f>
      </c>
      <c r="D2114" s="20">
        <f>Разбивка_по_щитам!F2119</f>
      </c>
      <c r="E2114" s="20">
        <f>Разбивка_по_щитам!H2119</f>
      </c>
      <c r="F2114" s="20">
        <f>Разбивка_по_щитам!I2119</f>
      </c>
      <c r="G2114" s="20">
        <f>Разбивка_по_щитам!J2119</f>
      </c>
      <c r="H2114" s="20">
        <f>Разбивка_по_щитам!K2119</f>
      </c>
      <c r="I2114" s="20">
        <f>Разбивка_по_щитам!L2119</f>
      </c>
      <c r="J2114" s="20">
        <f>Разбивка_по_щитам!M2119</f>
      </c>
      <c r="K2114" s="20">
        <f>Разбивка_по_щитам!N2119</f>
      </c>
      <c r="L2114" s="20"/>
      <c r="M2114" s="20">
        <f>Разбивка_по_щитам!P2119</f>
      </c>
      <c r="N2114" s="20"/>
    </row>
    <row r="2115" spans="2:14" x14ac:dyDescent="0.25">
      <c r="B2115" s="20">
        <f>Разбивка_по_щитам!B2120</f>
      </c>
      <c r="C2115" s="20">
        <f>Разбивка_по_щитам!C2120</f>
      </c>
      <c r="D2115" s="20">
        <f>Разбивка_по_щитам!F2120</f>
      </c>
      <c r="E2115" s="20">
        <f>Разбивка_по_щитам!H2120</f>
      </c>
      <c r="F2115" s="20">
        <f>Разбивка_по_щитам!I2120</f>
      </c>
      <c r="G2115" s="20">
        <f>Разбивка_по_щитам!J2120</f>
      </c>
      <c r="H2115" s="20">
        <f>Разбивка_по_щитам!K2120</f>
      </c>
      <c r="I2115" s="20">
        <f>Разбивка_по_щитам!L2120</f>
      </c>
      <c r="J2115" s="20">
        <f>Разбивка_по_щитам!M2120</f>
      </c>
      <c r="K2115" s="20">
        <f>Разбивка_по_щитам!N2120</f>
      </c>
      <c r="L2115" s="20"/>
      <c r="M2115" s="20">
        <f>Разбивка_по_щитам!P2120</f>
      </c>
      <c r="N2115" s="20"/>
    </row>
    <row r="2116" spans="2:14" x14ac:dyDescent="0.25">
      <c r="B2116" s="20">
        <f>Разбивка_по_щитам!B2121</f>
      </c>
      <c r="C2116" s="20">
        <f>Разбивка_по_щитам!C2121</f>
      </c>
      <c r="D2116" s="20">
        <f>Разбивка_по_щитам!F2121</f>
      </c>
      <c r="E2116" s="20">
        <f>Разбивка_по_щитам!H2121</f>
      </c>
      <c r="F2116" s="20">
        <f>Разбивка_по_щитам!I2121</f>
      </c>
      <c r="G2116" s="20">
        <f>Разбивка_по_щитам!J2121</f>
      </c>
      <c r="H2116" s="20">
        <f>Разбивка_по_щитам!K2121</f>
      </c>
      <c r="I2116" s="20">
        <f>Разбивка_по_щитам!L2121</f>
      </c>
      <c r="J2116" s="20">
        <f>Разбивка_по_щитам!M2121</f>
      </c>
      <c r="K2116" s="20">
        <f>Разбивка_по_щитам!N2121</f>
      </c>
      <c r="L2116" s="20"/>
      <c r="M2116" s="20">
        <f>Разбивка_по_щитам!P2121</f>
      </c>
      <c r="N2116" s="20"/>
    </row>
    <row r="2117" spans="2:14" x14ac:dyDescent="0.25">
      <c r="B2117" s="20">
        <f>Разбивка_по_щитам!B2122</f>
      </c>
      <c r="C2117" s="20">
        <f>Разбивка_по_щитам!C2122</f>
      </c>
      <c r="D2117" s="20">
        <f>Разбивка_по_щитам!F2122</f>
      </c>
      <c r="E2117" s="20">
        <f>Разбивка_по_щитам!H2122</f>
      </c>
      <c r="F2117" s="20">
        <f>Разбивка_по_щитам!I2122</f>
      </c>
      <c r="G2117" s="20">
        <f>Разбивка_по_щитам!J2122</f>
      </c>
      <c r="H2117" s="20">
        <f>Разбивка_по_щитам!K2122</f>
      </c>
      <c r="I2117" s="20">
        <f>Разбивка_по_щитам!L2122</f>
      </c>
      <c r="J2117" s="20">
        <f>Разбивка_по_щитам!M2122</f>
      </c>
      <c r="K2117" s="20">
        <f>Разбивка_по_щитам!N2122</f>
      </c>
      <c r="L2117" s="20"/>
      <c r="M2117" s="20">
        <f>Разбивка_по_щитам!P2122</f>
      </c>
      <c r="N2117" s="20"/>
    </row>
    <row r="2118" spans="2:14" x14ac:dyDescent="0.25">
      <c r="B2118" s="20">
        <f>Разбивка_по_щитам!B2123</f>
      </c>
      <c r="C2118" s="20">
        <f>Разбивка_по_щитам!C2123</f>
      </c>
      <c r="D2118" s="20">
        <f>Разбивка_по_щитам!F2123</f>
      </c>
      <c r="E2118" s="20">
        <f>Разбивка_по_щитам!H2123</f>
      </c>
      <c r="F2118" s="20">
        <f>Разбивка_по_щитам!I2123</f>
      </c>
      <c r="G2118" s="20">
        <f>Разбивка_по_щитам!J2123</f>
      </c>
      <c r="H2118" s="20">
        <f>Разбивка_по_щитам!K2123</f>
      </c>
      <c r="I2118" s="20">
        <f>Разбивка_по_щитам!L2123</f>
      </c>
      <c r="J2118" s="20">
        <f>Разбивка_по_щитам!M2123</f>
      </c>
      <c r="K2118" s="20">
        <f>Разбивка_по_щитам!N2123</f>
      </c>
      <c r="L2118" s="20"/>
      <c r="M2118" s="20">
        <f>Разбивка_по_щитам!P2123</f>
      </c>
      <c r="N2118" s="20"/>
    </row>
    <row r="2119" spans="2:14" x14ac:dyDescent="0.25">
      <c r="B2119" s="20">
        <f>Разбивка_по_щитам!B2124</f>
      </c>
      <c r="C2119" s="20">
        <f>Разбивка_по_щитам!C2124</f>
      </c>
      <c r="D2119" s="20">
        <f>Разбивка_по_щитам!F2124</f>
      </c>
      <c r="E2119" s="20">
        <f>Разбивка_по_щитам!H2124</f>
      </c>
      <c r="F2119" s="20">
        <f>Разбивка_по_щитам!I2124</f>
      </c>
      <c r="G2119" s="20">
        <f>Разбивка_по_щитам!J2124</f>
      </c>
      <c r="H2119" s="20">
        <f>Разбивка_по_щитам!K2124</f>
      </c>
      <c r="I2119" s="20">
        <f>Разбивка_по_щитам!L2124</f>
      </c>
      <c r="J2119" s="20">
        <f>Разбивка_по_щитам!M2124</f>
      </c>
      <c r="K2119" s="20">
        <f>Разбивка_по_щитам!N2124</f>
      </c>
      <c r="L2119" s="20"/>
      <c r="M2119" s="20">
        <f>Разбивка_по_щитам!P2124</f>
      </c>
      <c r="N2119" s="20"/>
    </row>
    <row r="2120" spans="2:14" x14ac:dyDescent="0.25">
      <c r="B2120" s="20">
        <f>Разбивка_по_щитам!B2125</f>
      </c>
      <c r="C2120" s="20">
        <f>Разбивка_по_щитам!C2125</f>
      </c>
      <c r="D2120" s="20">
        <f>Разбивка_по_щитам!F2125</f>
      </c>
      <c r="E2120" s="20">
        <f>Разбивка_по_щитам!H2125</f>
      </c>
      <c r="F2120" s="20">
        <f>Разбивка_по_щитам!I2125</f>
      </c>
      <c r="G2120" s="20">
        <f>Разбивка_по_щитам!J2125</f>
      </c>
      <c r="H2120" s="20">
        <f>Разбивка_по_щитам!K2125</f>
      </c>
      <c r="I2120" s="20">
        <f>Разбивка_по_щитам!L2125</f>
      </c>
      <c r="J2120" s="20">
        <f>Разбивка_по_щитам!M2125</f>
      </c>
      <c r="K2120" s="20">
        <f>Разбивка_по_щитам!N2125</f>
      </c>
      <c r="L2120" s="20"/>
      <c r="M2120" s="20">
        <f>Разбивка_по_щитам!P2125</f>
      </c>
      <c r="N2120" s="20"/>
    </row>
    <row r="2121" spans="2:14" x14ac:dyDescent="0.25">
      <c r="B2121" s="20">
        <f>Разбивка_по_щитам!B2126</f>
      </c>
      <c r="C2121" s="20">
        <f>Разбивка_по_щитам!C2126</f>
      </c>
      <c r="D2121" s="20">
        <f>Разбивка_по_щитам!F2126</f>
      </c>
      <c r="E2121" s="20">
        <f>Разбивка_по_щитам!H2126</f>
      </c>
      <c r="F2121" s="20">
        <f>Разбивка_по_щитам!I2126</f>
      </c>
      <c r="G2121" s="20">
        <f>Разбивка_по_щитам!J2126</f>
      </c>
      <c r="H2121" s="20">
        <f>Разбивка_по_щитам!K2126</f>
      </c>
      <c r="I2121" s="20">
        <f>Разбивка_по_щитам!L2126</f>
      </c>
      <c r="J2121" s="20">
        <f>Разбивка_по_щитам!M2126</f>
      </c>
      <c r="K2121" s="20">
        <f>Разбивка_по_щитам!N2126</f>
      </c>
      <c r="L2121" s="20"/>
      <c r="M2121" s="20">
        <f>Разбивка_по_щитам!P2126</f>
      </c>
      <c r="N2121" s="20"/>
    </row>
    <row r="2122" spans="2:14" x14ac:dyDescent="0.25">
      <c r="B2122" s="20">
        <f>Разбивка_по_щитам!B2127</f>
      </c>
      <c r="C2122" s="20">
        <f>Разбивка_по_щитам!C2127</f>
      </c>
      <c r="D2122" s="20">
        <f>Разбивка_по_щитам!F2127</f>
      </c>
      <c r="E2122" s="20">
        <f>Разбивка_по_щитам!H2127</f>
      </c>
      <c r="F2122" s="20">
        <f>Разбивка_по_щитам!I2127</f>
      </c>
      <c r="G2122" s="20">
        <f>Разбивка_по_щитам!J2127</f>
      </c>
      <c r="H2122" s="20">
        <f>Разбивка_по_щитам!K2127</f>
      </c>
      <c r="I2122" s="20">
        <f>Разбивка_по_щитам!L2127</f>
      </c>
      <c r="J2122" s="20">
        <f>Разбивка_по_щитам!M2127</f>
      </c>
      <c r="K2122" s="20">
        <f>Разбивка_по_щитам!N2127</f>
      </c>
      <c r="L2122" s="20"/>
      <c r="M2122" s="20">
        <f>Разбивка_по_щитам!P2127</f>
      </c>
      <c r="N2122" s="20"/>
    </row>
    <row r="2123" spans="2:14" x14ac:dyDescent="0.25">
      <c r="B2123" s="20">
        <f>Разбивка_по_щитам!B2128</f>
      </c>
      <c r="C2123" s="20">
        <f>Разбивка_по_щитам!C2128</f>
      </c>
      <c r="D2123" s="20">
        <f>Разбивка_по_щитам!F2128</f>
      </c>
      <c r="E2123" s="20">
        <f>Разбивка_по_щитам!H2128</f>
      </c>
      <c r="F2123" s="20">
        <f>Разбивка_по_щитам!I2128</f>
      </c>
      <c r="G2123" s="20">
        <f>Разбивка_по_щитам!J2128</f>
      </c>
      <c r="H2123" s="20">
        <f>Разбивка_по_щитам!K2128</f>
      </c>
      <c r="I2123" s="20">
        <f>Разбивка_по_щитам!L2128</f>
      </c>
      <c r="J2123" s="20">
        <f>Разбивка_по_щитам!M2128</f>
      </c>
      <c r="K2123" s="20">
        <f>Разбивка_по_щитам!N2128</f>
      </c>
      <c r="L2123" s="20"/>
      <c r="M2123" s="20">
        <f>Разбивка_по_щитам!P2128</f>
      </c>
      <c r="N2123" s="20"/>
    </row>
    <row r="2124" spans="2:14" x14ac:dyDescent="0.25">
      <c r="B2124" s="20">
        <f>Разбивка_по_щитам!B2129</f>
      </c>
      <c r="C2124" s="20">
        <f>Разбивка_по_щитам!C2129</f>
      </c>
      <c r="D2124" s="20">
        <f>Разбивка_по_щитам!F2129</f>
      </c>
      <c r="E2124" s="20">
        <f>Разбивка_по_щитам!H2129</f>
      </c>
      <c r="F2124" s="20">
        <f>Разбивка_по_щитам!I2129</f>
      </c>
      <c r="G2124" s="20">
        <f>Разбивка_по_щитам!J2129</f>
      </c>
      <c r="H2124" s="20">
        <f>Разбивка_по_щитам!K2129</f>
      </c>
      <c r="I2124" s="20">
        <f>Разбивка_по_щитам!L2129</f>
      </c>
      <c r="J2124" s="20">
        <f>Разбивка_по_щитам!M2129</f>
      </c>
      <c r="K2124" s="20">
        <f>Разбивка_по_щитам!N2129</f>
      </c>
      <c r="L2124" s="20"/>
      <c r="M2124" s="20">
        <f>Разбивка_по_щитам!P2129</f>
      </c>
      <c r="N2124" s="20"/>
    </row>
    <row r="2125" spans="2:14" x14ac:dyDescent="0.25">
      <c r="B2125" s="20">
        <f>Разбивка_по_щитам!B2130</f>
      </c>
      <c r="C2125" s="20">
        <f>Разбивка_по_щитам!C2130</f>
      </c>
      <c r="D2125" s="20">
        <f>Разбивка_по_щитам!F2130</f>
      </c>
      <c r="E2125" s="20">
        <f>Разбивка_по_щитам!H2130</f>
      </c>
      <c r="F2125" s="20">
        <f>Разбивка_по_щитам!I2130</f>
      </c>
      <c r="G2125" s="20">
        <f>Разбивка_по_щитам!J2130</f>
      </c>
      <c r="H2125" s="20">
        <f>Разбивка_по_щитам!K2130</f>
      </c>
      <c r="I2125" s="20">
        <f>Разбивка_по_щитам!L2130</f>
      </c>
      <c r="J2125" s="20">
        <f>Разбивка_по_щитам!M2130</f>
      </c>
      <c r="K2125" s="20">
        <f>Разбивка_по_щитам!N2130</f>
      </c>
      <c r="L2125" s="20"/>
      <c r="M2125" s="20">
        <f>Разбивка_по_щитам!P2130</f>
      </c>
      <c r="N2125" s="20"/>
    </row>
    <row r="2126" spans="2:14" x14ac:dyDescent="0.25">
      <c r="B2126" s="20">
        <f>Разбивка_по_щитам!B2131</f>
      </c>
      <c r="C2126" s="20">
        <f>Разбивка_по_щитам!C2131</f>
      </c>
      <c r="D2126" s="20">
        <f>Разбивка_по_щитам!F2131</f>
      </c>
      <c r="E2126" s="20">
        <f>Разбивка_по_щитам!H2131</f>
      </c>
      <c r="F2126" s="20">
        <f>Разбивка_по_щитам!I2131</f>
      </c>
      <c r="G2126" s="20">
        <f>Разбивка_по_щитам!J2131</f>
      </c>
      <c r="H2126" s="20">
        <f>Разбивка_по_щитам!K2131</f>
      </c>
      <c r="I2126" s="20">
        <f>Разбивка_по_щитам!L2131</f>
      </c>
      <c r="J2126" s="20">
        <f>Разбивка_по_щитам!M2131</f>
      </c>
      <c r="K2126" s="20">
        <f>Разбивка_по_щитам!N2131</f>
      </c>
      <c r="L2126" s="20"/>
      <c r="M2126" s="20">
        <f>Разбивка_по_щитам!P2131</f>
      </c>
      <c r="N2126" s="20"/>
    </row>
    <row r="2127" spans="2:14" x14ac:dyDescent="0.25">
      <c r="B2127" s="20">
        <f>Разбивка_по_щитам!B2132</f>
      </c>
      <c r="C2127" s="20">
        <f>Разбивка_по_щитам!C2132</f>
      </c>
      <c r="D2127" s="20">
        <f>Разбивка_по_щитам!F2132</f>
      </c>
      <c r="E2127" s="20">
        <f>Разбивка_по_щитам!H2132</f>
      </c>
      <c r="F2127" s="20">
        <f>Разбивка_по_щитам!I2132</f>
      </c>
      <c r="G2127" s="20">
        <f>Разбивка_по_щитам!J2132</f>
      </c>
      <c r="H2127" s="20">
        <f>Разбивка_по_щитам!K2132</f>
      </c>
      <c r="I2127" s="20">
        <f>Разбивка_по_щитам!L2132</f>
      </c>
      <c r="J2127" s="20">
        <f>Разбивка_по_щитам!M2132</f>
      </c>
      <c r="K2127" s="20">
        <f>Разбивка_по_щитам!N2132</f>
      </c>
      <c r="L2127" s="20"/>
      <c r="M2127" s="20">
        <f>Разбивка_по_щитам!P2132</f>
      </c>
      <c r="N2127" s="20"/>
    </row>
    <row r="2128" spans="2:14" x14ac:dyDescent="0.25">
      <c r="B2128" s="20">
        <f>Разбивка_по_щитам!B2133</f>
      </c>
      <c r="C2128" s="20">
        <f>Разбивка_по_щитам!C2133</f>
      </c>
      <c r="D2128" s="20">
        <f>Разбивка_по_щитам!F2133</f>
      </c>
      <c r="E2128" s="20">
        <f>Разбивка_по_щитам!H2133</f>
      </c>
      <c r="F2128" s="20">
        <f>Разбивка_по_щитам!I2133</f>
      </c>
      <c r="G2128" s="20">
        <f>Разбивка_по_щитам!J2133</f>
      </c>
      <c r="H2128" s="20">
        <f>Разбивка_по_щитам!K2133</f>
      </c>
      <c r="I2128" s="20">
        <f>Разбивка_по_щитам!L2133</f>
      </c>
      <c r="J2128" s="20">
        <f>Разбивка_по_щитам!M2133</f>
      </c>
      <c r="K2128" s="20">
        <f>Разбивка_по_щитам!N2133</f>
      </c>
      <c r="L2128" s="20"/>
      <c r="M2128" s="20">
        <f>Разбивка_по_щитам!P2133</f>
      </c>
      <c r="N2128" s="20"/>
    </row>
    <row r="2129" spans="2:14" x14ac:dyDescent="0.25">
      <c r="B2129" s="20">
        <f>Разбивка_по_щитам!B2134</f>
      </c>
      <c r="C2129" s="20">
        <f>Разбивка_по_щитам!C2134</f>
      </c>
      <c r="D2129" s="20">
        <f>Разбивка_по_щитам!F2134</f>
      </c>
      <c r="E2129" s="20">
        <f>Разбивка_по_щитам!H2134</f>
      </c>
      <c r="F2129" s="20">
        <f>Разбивка_по_щитам!I2134</f>
      </c>
      <c r="G2129" s="20">
        <f>Разбивка_по_щитам!J2134</f>
      </c>
      <c r="H2129" s="20">
        <f>Разбивка_по_щитам!K2134</f>
      </c>
      <c r="I2129" s="20">
        <f>Разбивка_по_щитам!L2134</f>
      </c>
      <c r="J2129" s="20">
        <f>Разбивка_по_щитам!M2134</f>
      </c>
      <c r="K2129" s="20">
        <f>Разбивка_по_щитам!N2134</f>
      </c>
      <c r="L2129" s="20"/>
      <c r="M2129" s="20">
        <f>Разбивка_по_щитам!P2134</f>
      </c>
      <c r="N2129" s="20"/>
    </row>
    <row r="2130" spans="2:14" x14ac:dyDescent="0.25">
      <c r="B2130" s="20">
        <f>Разбивка_по_щитам!B2135</f>
      </c>
      <c r="C2130" s="20">
        <f>Разбивка_по_щитам!C2135</f>
      </c>
      <c r="D2130" s="20">
        <f>Разбивка_по_щитам!F2135</f>
      </c>
      <c r="E2130" s="20">
        <f>Разбивка_по_щитам!H2135</f>
      </c>
      <c r="F2130" s="20">
        <f>Разбивка_по_щитам!I2135</f>
      </c>
      <c r="G2130" s="20">
        <f>Разбивка_по_щитам!J2135</f>
      </c>
      <c r="H2130" s="20">
        <f>Разбивка_по_щитам!K2135</f>
      </c>
      <c r="I2130" s="20">
        <f>Разбивка_по_щитам!L2135</f>
      </c>
      <c r="J2130" s="20">
        <f>Разбивка_по_щитам!M2135</f>
      </c>
      <c r="K2130" s="20">
        <f>Разбивка_по_щитам!N2135</f>
      </c>
      <c r="L2130" s="20"/>
      <c r="M2130" s="20">
        <f>Разбивка_по_щитам!P2135</f>
      </c>
      <c r="N2130" s="20"/>
    </row>
    <row r="2131" spans="2:14" x14ac:dyDescent="0.25">
      <c r="B2131" s="20">
        <f>Разбивка_по_щитам!B2136</f>
      </c>
      <c r="C2131" s="20">
        <f>Разбивка_по_щитам!C2136</f>
      </c>
      <c r="D2131" s="20">
        <f>Разбивка_по_щитам!F2136</f>
      </c>
      <c r="E2131" s="20">
        <f>Разбивка_по_щитам!H2136</f>
      </c>
      <c r="F2131" s="20">
        <f>Разбивка_по_щитам!I2136</f>
      </c>
      <c r="G2131" s="20">
        <f>Разбивка_по_щитам!J2136</f>
      </c>
      <c r="H2131" s="20">
        <f>Разбивка_по_щитам!K2136</f>
      </c>
      <c r="I2131" s="20">
        <f>Разбивка_по_щитам!L2136</f>
      </c>
      <c r="J2131" s="20">
        <f>Разбивка_по_щитам!M2136</f>
      </c>
      <c r="K2131" s="20">
        <f>Разбивка_по_щитам!N2136</f>
      </c>
      <c r="L2131" s="20"/>
      <c r="M2131" s="20">
        <f>Разбивка_по_щитам!P2136</f>
      </c>
      <c r="N2131" s="20"/>
    </row>
    <row r="2132" spans="2:14" x14ac:dyDescent="0.25">
      <c r="B2132" s="20">
        <f>Разбивка_по_щитам!B2137</f>
      </c>
      <c r="C2132" s="20">
        <f>Разбивка_по_щитам!C2137</f>
      </c>
      <c r="D2132" s="20">
        <f>Разбивка_по_щитам!F2137</f>
      </c>
      <c r="E2132" s="20">
        <f>Разбивка_по_щитам!H2137</f>
      </c>
      <c r="F2132" s="20">
        <f>Разбивка_по_щитам!I2137</f>
      </c>
      <c r="G2132" s="20">
        <f>Разбивка_по_щитам!J2137</f>
      </c>
      <c r="H2132" s="20">
        <f>Разбивка_по_щитам!K2137</f>
      </c>
      <c r="I2132" s="20">
        <f>Разбивка_по_щитам!L2137</f>
      </c>
      <c r="J2132" s="20">
        <f>Разбивка_по_щитам!M2137</f>
      </c>
      <c r="K2132" s="20">
        <f>Разбивка_по_щитам!N2137</f>
      </c>
      <c r="L2132" s="20"/>
      <c r="M2132" s="20">
        <f>Разбивка_по_щитам!P2137</f>
      </c>
      <c r="N2132" s="20"/>
    </row>
    <row r="2133" spans="2:14" x14ac:dyDescent="0.25">
      <c r="B2133" s="20">
        <f>Разбивка_по_щитам!B2138</f>
      </c>
      <c r="C2133" s="20">
        <f>Разбивка_по_щитам!C2138</f>
      </c>
      <c r="D2133" s="20">
        <f>Разбивка_по_щитам!F2138</f>
      </c>
      <c r="E2133" s="20">
        <f>Разбивка_по_щитам!H2138</f>
      </c>
      <c r="F2133" s="20">
        <f>Разбивка_по_щитам!I2138</f>
      </c>
      <c r="G2133" s="20">
        <f>Разбивка_по_щитам!J2138</f>
      </c>
      <c r="H2133" s="20">
        <f>Разбивка_по_щитам!K2138</f>
      </c>
      <c r="I2133" s="20">
        <f>Разбивка_по_щитам!L2138</f>
      </c>
      <c r="J2133" s="20">
        <f>Разбивка_по_щитам!M2138</f>
      </c>
      <c r="K2133" s="20">
        <f>Разбивка_по_щитам!N2138</f>
      </c>
      <c r="L2133" s="20"/>
      <c r="M2133" s="20">
        <f>Разбивка_по_щитам!P2138</f>
      </c>
      <c r="N2133" s="20"/>
    </row>
    <row r="2134" spans="2:14" x14ac:dyDescent="0.25">
      <c r="B2134" s="20">
        <f>Разбивка_по_щитам!B2139</f>
      </c>
      <c r="C2134" s="20">
        <f>Разбивка_по_щитам!C2139</f>
      </c>
      <c r="D2134" s="20">
        <f>Разбивка_по_щитам!F2139</f>
      </c>
      <c r="E2134" s="20">
        <f>Разбивка_по_щитам!H2139</f>
      </c>
      <c r="F2134" s="20">
        <f>Разбивка_по_щитам!I2139</f>
      </c>
      <c r="G2134" s="20">
        <f>Разбивка_по_щитам!J2139</f>
      </c>
      <c r="H2134" s="20">
        <f>Разбивка_по_щитам!K2139</f>
      </c>
      <c r="I2134" s="20">
        <f>Разбивка_по_щитам!L2139</f>
      </c>
      <c r="J2134" s="20">
        <f>Разбивка_по_щитам!M2139</f>
      </c>
      <c r="K2134" s="20">
        <f>Разбивка_по_щитам!N2139</f>
      </c>
      <c r="L2134" s="20"/>
      <c r="M2134" s="20">
        <f>Разбивка_по_щитам!P2139</f>
      </c>
      <c r="N2134" s="20"/>
    </row>
    <row r="2135" spans="2:14" x14ac:dyDescent="0.25">
      <c r="B2135" s="20">
        <f>Разбивка_по_щитам!B2140</f>
      </c>
      <c r="C2135" s="20">
        <f>Разбивка_по_щитам!C2140</f>
      </c>
      <c r="D2135" s="20">
        <f>Разбивка_по_щитам!F2140</f>
      </c>
      <c r="E2135" s="20">
        <f>Разбивка_по_щитам!H2140</f>
      </c>
      <c r="F2135" s="20">
        <f>Разбивка_по_щитам!I2140</f>
      </c>
      <c r="G2135" s="20">
        <f>Разбивка_по_щитам!J2140</f>
      </c>
      <c r="H2135" s="20">
        <f>Разбивка_по_щитам!K2140</f>
      </c>
      <c r="I2135" s="20">
        <f>Разбивка_по_щитам!L2140</f>
      </c>
      <c r="J2135" s="20">
        <f>Разбивка_по_щитам!M2140</f>
      </c>
      <c r="K2135" s="20">
        <f>Разбивка_по_щитам!N2140</f>
      </c>
      <c r="L2135" s="20"/>
      <c r="M2135" s="20">
        <f>Разбивка_по_щитам!P2140</f>
      </c>
      <c r="N2135" s="20"/>
    </row>
    <row r="2136" spans="2:14" x14ac:dyDescent="0.25">
      <c r="B2136" s="20">
        <f>Разбивка_по_щитам!B2141</f>
      </c>
      <c r="C2136" s="20">
        <f>Разбивка_по_щитам!C2141</f>
      </c>
      <c r="D2136" s="20">
        <f>Разбивка_по_щитам!F2141</f>
      </c>
      <c r="E2136" s="20">
        <f>Разбивка_по_щитам!H2141</f>
      </c>
      <c r="F2136" s="20">
        <f>Разбивка_по_щитам!I2141</f>
      </c>
      <c r="G2136" s="20">
        <f>Разбивка_по_щитам!J2141</f>
      </c>
      <c r="H2136" s="20">
        <f>Разбивка_по_щитам!K2141</f>
      </c>
      <c r="I2136" s="20">
        <f>Разбивка_по_щитам!L2141</f>
      </c>
      <c r="J2136" s="20">
        <f>Разбивка_по_щитам!M2141</f>
      </c>
      <c r="K2136" s="20">
        <f>Разбивка_по_щитам!N2141</f>
      </c>
      <c r="L2136" s="20"/>
      <c r="M2136" s="20">
        <f>Разбивка_по_щитам!P2141</f>
      </c>
      <c r="N2136" s="20"/>
    </row>
    <row r="2137" spans="2:14" x14ac:dyDescent="0.25">
      <c r="B2137" s="20">
        <f>Разбивка_по_щитам!B2142</f>
      </c>
      <c r="C2137" s="20">
        <f>Разбивка_по_щитам!C2142</f>
      </c>
      <c r="D2137" s="20">
        <f>Разбивка_по_щитам!F2142</f>
      </c>
      <c r="E2137" s="20">
        <f>Разбивка_по_щитам!H2142</f>
      </c>
      <c r="F2137" s="20">
        <f>Разбивка_по_щитам!I2142</f>
      </c>
      <c r="G2137" s="20">
        <f>Разбивка_по_щитам!J2142</f>
      </c>
      <c r="H2137" s="20">
        <f>Разбивка_по_щитам!K2142</f>
      </c>
      <c r="I2137" s="20">
        <f>Разбивка_по_щитам!L2142</f>
      </c>
      <c r="J2137" s="20">
        <f>Разбивка_по_щитам!M2142</f>
      </c>
      <c r="K2137" s="20">
        <f>Разбивка_по_щитам!N2142</f>
      </c>
      <c r="L2137" s="20"/>
      <c r="M2137" s="20">
        <f>Разбивка_по_щитам!P2142</f>
      </c>
      <c r="N2137" s="20"/>
    </row>
    <row r="2138" spans="2:14" x14ac:dyDescent="0.25">
      <c r="B2138" s="20">
        <f>Разбивка_по_щитам!B2143</f>
      </c>
      <c r="C2138" s="20">
        <f>Разбивка_по_щитам!C2143</f>
      </c>
      <c r="D2138" s="20">
        <f>Разбивка_по_щитам!F2143</f>
      </c>
      <c r="E2138" s="20">
        <f>Разбивка_по_щитам!H2143</f>
      </c>
      <c r="F2138" s="20">
        <f>Разбивка_по_щитам!I2143</f>
      </c>
      <c r="G2138" s="20">
        <f>Разбивка_по_щитам!J2143</f>
      </c>
      <c r="H2138" s="20">
        <f>Разбивка_по_щитам!K2143</f>
      </c>
      <c r="I2138" s="20">
        <f>Разбивка_по_щитам!L2143</f>
      </c>
      <c r="J2138" s="20">
        <f>Разбивка_по_щитам!M2143</f>
      </c>
      <c r="K2138" s="20">
        <f>Разбивка_по_щитам!N2143</f>
      </c>
      <c r="L2138" s="20"/>
      <c r="M2138" s="20">
        <f>Разбивка_по_щитам!P2143</f>
      </c>
      <c r="N2138" s="20"/>
    </row>
    <row r="2139" spans="2:14" x14ac:dyDescent="0.25">
      <c r="B2139" s="20">
        <f>Разбивка_по_щитам!B2144</f>
      </c>
      <c r="C2139" s="20">
        <f>Разбивка_по_щитам!C2144</f>
      </c>
      <c r="D2139" s="20">
        <f>Разбивка_по_щитам!F2144</f>
      </c>
      <c r="E2139" s="20">
        <f>Разбивка_по_щитам!H2144</f>
      </c>
      <c r="F2139" s="20">
        <f>Разбивка_по_щитам!I2144</f>
      </c>
      <c r="G2139" s="20">
        <f>Разбивка_по_щитам!J2144</f>
      </c>
      <c r="H2139" s="20">
        <f>Разбивка_по_щитам!K2144</f>
      </c>
      <c r="I2139" s="20">
        <f>Разбивка_по_щитам!L2144</f>
      </c>
      <c r="J2139" s="20">
        <f>Разбивка_по_щитам!M2144</f>
      </c>
      <c r="K2139" s="20">
        <f>Разбивка_по_щитам!N2144</f>
      </c>
      <c r="L2139" s="20"/>
      <c r="M2139" s="20">
        <f>Разбивка_по_щитам!P2144</f>
      </c>
      <c r="N2139" s="20"/>
    </row>
    <row r="2140" spans="2:14" x14ac:dyDescent="0.25">
      <c r="B2140" s="20">
        <f>Разбивка_по_щитам!B2145</f>
      </c>
      <c r="C2140" s="20">
        <f>Разбивка_по_щитам!C2145</f>
      </c>
      <c r="D2140" s="20">
        <f>Разбивка_по_щитам!F2145</f>
      </c>
      <c r="E2140" s="20">
        <f>Разбивка_по_щитам!H2145</f>
      </c>
      <c r="F2140" s="20">
        <f>Разбивка_по_щитам!I2145</f>
      </c>
      <c r="G2140" s="20">
        <f>Разбивка_по_щитам!J2145</f>
      </c>
      <c r="H2140" s="20">
        <f>Разбивка_по_щитам!K2145</f>
      </c>
      <c r="I2140" s="20">
        <f>Разбивка_по_щитам!L2145</f>
      </c>
      <c r="J2140" s="20">
        <f>Разбивка_по_щитам!M2145</f>
      </c>
      <c r="K2140" s="20">
        <f>Разбивка_по_щитам!N2145</f>
      </c>
      <c r="L2140" s="20"/>
      <c r="M2140" s="20">
        <f>Разбивка_по_щитам!P2145</f>
      </c>
      <c r="N2140" s="20"/>
    </row>
    <row r="2141" spans="2:14" x14ac:dyDescent="0.25">
      <c r="B2141" s="20">
        <f>Разбивка_по_щитам!B2146</f>
      </c>
      <c r="C2141" s="20">
        <f>Разбивка_по_щитам!C2146</f>
      </c>
      <c r="D2141" s="20">
        <f>Разбивка_по_щитам!F2146</f>
      </c>
      <c r="E2141" s="20">
        <f>Разбивка_по_щитам!H2146</f>
      </c>
      <c r="F2141" s="20">
        <f>Разбивка_по_щитам!I2146</f>
      </c>
      <c r="G2141" s="20">
        <f>Разбивка_по_щитам!J2146</f>
      </c>
      <c r="H2141" s="20">
        <f>Разбивка_по_щитам!K2146</f>
      </c>
      <c r="I2141" s="20">
        <f>Разбивка_по_щитам!L2146</f>
      </c>
      <c r="J2141" s="20">
        <f>Разбивка_по_щитам!M2146</f>
      </c>
      <c r="K2141" s="20">
        <f>Разбивка_по_щитам!N2146</f>
      </c>
      <c r="L2141" s="20"/>
      <c r="M2141" s="20">
        <f>Разбивка_по_щитам!P2146</f>
      </c>
      <c r="N2141" s="20"/>
    </row>
    <row r="2142" spans="2:14" x14ac:dyDescent="0.25">
      <c r="B2142" s="20">
        <f>Разбивка_по_щитам!B2147</f>
      </c>
      <c r="C2142" s="20">
        <f>Разбивка_по_щитам!C2147</f>
      </c>
      <c r="D2142" s="20">
        <f>Разбивка_по_щитам!F2147</f>
      </c>
      <c r="E2142" s="20">
        <f>Разбивка_по_щитам!H2147</f>
      </c>
      <c r="F2142" s="20">
        <f>Разбивка_по_щитам!I2147</f>
      </c>
      <c r="G2142" s="20">
        <f>Разбивка_по_щитам!J2147</f>
      </c>
      <c r="H2142" s="20">
        <f>Разбивка_по_щитам!K2147</f>
      </c>
      <c r="I2142" s="20">
        <f>Разбивка_по_щитам!L2147</f>
      </c>
      <c r="J2142" s="20">
        <f>Разбивка_по_щитам!M2147</f>
      </c>
      <c r="K2142" s="20">
        <f>Разбивка_по_щитам!N2147</f>
      </c>
      <c r="L2142" s="20"/>
      <c r="M2142" s="20">
        <f>Разбивка_по_щитам!P2147</f>
      </c>
      <c r="N2142" s="20"/>
    </row>
    <row r="2143" spans="2:14" x14ac:dyDescent="0.25">
      <c r="B2143" s="20">
        <f>Разбивка_по_щитам!B2148</f>
      </c>
      <c r="C2143" s="20">
        <f>Разбивка_по_щитам!C2148</f>
      </c>
      <c r="D2143" s="20">
        <f>Разбивка_по_щитам!F2148</f>
      </c>
      <c r="E2143" s="20">
        <f>Разбивка_по_щитам!H2148</f>
      </c>
      <c r="F2143" s="20">
        <f>Разбивка_по_щитам!I2148</f>
      </c>
      <c r="G2143" s="20">
        <f>Разбивка_по_щитам!J2148</f>
      </c>
      <c r="H2143" s="20">
        <f>Разбивка_по_щитам!K2148</f>
      </c>
      <c r="I2143" s="20">
        <f>Разбивка_по_щитам!L2148</f>
      </c>
      <c r="J2143" s="20">
        <f>Разбивка_по_щитам!M2148</f>
      </c>
      <c r="K2143" s="20">
        <f>Разбивка_по_щитам!N2148</f>
      </c>
      <c r="L2143" s="20"/>
      <c r="M2143" s="20">
        <f>Разбивка_по_щитам!P2148</f>
      </c>
      <c r="N2143" s="20"/>
    </row>
    <row r="2144" spans="2:14" x14ac:dyDescent="0.25">
      <c r="B2144" s="20">
        <f>Разбивка_по_щитам!B2149</f>
      </c>
      <c r="C2144" s="20">
        <f>Разбивка_по_щитам!C2149</f>
      </c>
      <c r="D2144" s="20">
        <f>Разбивка_по_щитам!F2149</f>
      </c>
      <c r="E2144" s="20">
        <f>Разбивка_по_щитам!H2149</f>
      </c>
      <c r="F2144" s="20">
        <f>Разбивка_по_щитам!I2149</f>
      </c>
      <c r="G2144" s="20">
        <f>Разбивка_по_щитам!J2149</f>
      </c>
      <c r="H2144" s="20">
        <f>Разбивка_по_щитам!K2149</f>
      </c>
      <c r="I2144" s="20">
        <f>Разбивка_по_щитам!L2149</f>
      </c>
      <c r="J2144" s="20">
        <f>Разбивка_по_щитам!M2149</f>
      </c>
      <c r="K2144" s="20">
        <f>Разбивка_по_щитам!N2149</f>
      </c>
      <c r="L2144" s="20"/>
      <c r="M2144" s="20">
        <f>Разбивка_по_щитам!P2149</f>
      </c>
      <c r="N2144" s="20"/>
    </row>
    <row r="2145" spans="2:14" x14ac:dyDescent="0.25">
      <c r="B2145" s="20">
        <f>Разбивка_по_щитам!B2150</f>
      </c>
      <c r="C2145" s="20">
        <f>Разбивка_по_щитам!C2150</f>
      </c>
      <c r="D2145" s="20">
        <f>Разбивка_по_щитам!F2150</f>
      </c>
      <c r="E2145" s="20">
        <f>Разбивка_по_щитам!H2150</f>
      </c>
      <c r="F2145" s="20">
        <f>Разбивка_по_щитам!I2150</f>
      </c>
      <c r="G2145" s="20">
        <f>Разбивка_по_щитам!J2150</f>
      </c>
      <c r="H2145" s="20">
        <f>Разбивка_по_щитам!K2150</f>
      </c>
      <c r="I2145" s="20">
        <f>Разбивка_по_щитам!L2150</f>
      </c>
      <c r="J2145" s="20">
        <f>Разбивка_по_щитам!M2150</f>
      </c>
      <c r="K2145" s="20">
        <f>Разбивка_по_щитам!N2150</f>
      </c>
      <c r="L2145" s="20"/>
      <c r="M2145" s="20">
        <f>Разбивка_по_щитам!P2150</f>
      </c>
      <c r="N2145" s="20"/>
    </row>
    <row r="2146" spans="2:14" x14ac:dyDescent="0.25">
      <c r="B2146" s="20">
        <f>Разбивка_по_щитам!B2151</f>
      </c>
      <c r="C2146" s="20">
        <f>Разбивка_по_щитам!C2151</f>
      </c>
      <c r="D2146" s="20">
        <f>Разбивка_по_щитам!F2151</f>
      </c>
      <c r="E2146" s="20">
        <f>Разбивка_по_щитам!H2151</f>
      </c>
      <c r="F2146" s="20">
        <f>Разбивка_по_щитам!I2151</f>
      </c>
      <c r="G2146" s="20">
        <f>Разбивка_по_щитам!J2151</f>
      </c>
      <c r="H2146" s="20">
        <f>Разбивка_по_щитам!K2151</f>
      </c>
      <c r="I2146" s="20">
        <f>Разбивка_по_щитам!L2151</f>
      </c>
      <c r="J2146" s="20">
        <f>Разбивка_по_щитам!M2151</f>
      </c>
      <c r="K2146" s="20">
        <f>Разбивка_по_щитам!N2151</f>
      </c>
      <c r="L2146" s="20"/>
      <c r="M2146" s="20">
        <f>Разбивка_по_щитам!P2151</f>
      </c>
      <c r="N2146" s="20"/>
    </row>
    <row r="2147" spans="2:14" x14ac:dyDescent="0.25">
      <c r="B2147" s="20">
        <f>Разбивка_по_щитам!B2152</f>
      </c>
      <c r="C2147" s="20">
        <f>Разбивка_по_щитам!C2152</f>
      </c>
      <c r="D2147" s="20">
        <f>Разбивка_по_щитам!F2152</f>
      </c>
      <c r="E2147" s="20">
        <f>Разбивка_по_щитам!H2152</f>
      </c>
      <c r="F2147" s="20">
        <f>Разбивка_по_щитам!I2152</f>
      </c>
      <c r="G2147" s="20">
        <f>Разбивка_по_щитам!J2152</f>
      </c>
      <c r="H2147" s="20">
        <f>Разбивка_по_щитам!K2152</f>
      </c>
      <c r="I2147" s="20">
        <f>Разбивка_по_щитам!L2152</f>
      </c>
      <c r="J2147" s="20">
        <f>Разбивка_по_щитам!M2152</f>
      </c>
      <c r="K2147" s="20">
        <f>Разбивка_по_щитам!N2152</f>
      </c>
      <c r="L2147" s="20"/>
      <c r="M2147" s="20">
        <f>Разбивка_по_щитам!P2152</f>
      </c>
      <c r="N2147" s="20"/>
    </row>
    <row r="2148" spans="2:14" x14ac:dyDescent="0.25">
      <c r="B2148" s="20">
        <f>Разбивка_по_щитам!B2153</f>
      </c>
      <c r="C2148" s="20">
        <f>Разбивка_по_щитам!C2153</f>
      </c>
      <c r="D2148" s="20">
        <f>Разбивка_по_щитам!F2153</f>
      </c>
      <c r="E2148" s="20">
        <f>Разбивка_по_щитам!H2153</f>
      </c>
      <c r="F2148" s="20">
        <f>Разбивка_по_щитам!I2153</f>
      </c>
      <c r="G2148" s="20">
        <f>Разбивка_по_щитам!J2153</f>
      </c>
      <c r="H2148" s="20">
        <f>Разбивка_по_щитам!K2153</f>
      </c>
      <c r="I2148" s="20">
        <f>Разбивка_по_щитам!L2153</f>
      </c>
      <c r="J2148" s="20">
        <f>Разбивка_по_щитам!M2153</f>
      </c>
      <c r="K2148" s="20">
        <f>Разбивка_по_щитам!N2153</f>
      </c>
      <c r="L2148" s="20"/>
      <c r="M2148" s="20">
        <f>Разбивка_по_щитам!P2153</f>
      </c>
      <c r="N2148" s="20"/>
    </row>
    <row r="2149" spans="2:14" x14ac:dyDescent="0.25">
      <c r="B2149" s="20">
        <f>Разбивка_по_щитам!B2154</f>
      </c>
      <c r="C2149" s="20">
        <f>Разбивка_по_щитам!C2154</f>
      </c>
      <c r="D2149" s="20">
        <f>Разбивка_по_щитам!F2154</f>
      </c>
      <c r="E2149" s="20">
        <f>Разбивка_по_щитам!H2154</f>
      </c>
      <c r="F2149" s="20">
        <f>Разбивка_по_щитам!I2154</f>
      </c>
      <c r="G2149" s="20">
        <f>Разбивка_по_щитам!J2154</f>
      </c>
      <c r="H2149" s="20">
        <f>Разбивка_по_щитам!K2154</f>
      </c>
      <c r="I2149" s="20">
        <f>Разбивка_по_щитам!L2154</f>
      </c>
      <c r="J2149" s="20">
        <f>Разбивка_по_щитам!M2154</f>
      </c>
      <c r="K2149" s="20">
        <f>Разбивка_по_щитам!N2154</f>
      </c>
      <c r="L2149" s="20"/>
      <c r="M2149" s="20">
        <f>Разбивка_по_щитам!P2154</f>
      </c>
      <c r="N2149" s="20"/>
    </row>
    <row r="2150" spans="2:14" x14ac:dyDescent="0.25">
      <c r="B2150" s="20">
        <f>Разбивка_по_щитам!B2155</f>
      </c>
      <c r="C2150" s="20">
        <f>Разбивка_по_щитам!C2155</f>
      </c>
      <c r="D2150" s="20">
        <f>Разбивка_по_щитам!F2155</f>
      </c>
      <c r="E2150" s="20">
        <f>Разбивка_по_щитам!H2155</f>
      </c>
      <c r="F2150" s="20">
        <f>Разбивка_по_щитам!I2155</f>
      </c>
      <c r="G2150" s="20">
        <f>Разбивка_по_щитам!J2155</f>
      </c>
      <c r="H2150" s="20">
        <f>Разбивка_по_щитам!K2155</f>
      </c>
      <c r="I2150" s="20">
        <f>Разбивка_по_щитам!L2155</f>
      </c>
      <c r="J2150" s="20">
        <f>Разбивка_по_щитам!M2155</f>
      </c>
      <c r="K2150" s="20">
        <f>Разбивка_по_щитам!N2155</f>
      </c>
      <c r="L2150" s="20"/>
      <c r="M2150" s="20">
        <f>Разбивка_по_щитам!P2155</f>
      </c>
      <c r="N2150" s="20"/>
    </row>
    <row r="2151" spans="2:14" x14ac:dyDescent="0.25">
      <c r="B2151" s="20">
        <f>Разбивка_по_щитам!B2156</f>
      </c>
      <c r="C2151" s="20">
        <f>Разбивка_по_щитам!C2156</f>
      </c>
      <c r="D2151" s="20">
        <f>Разбивка_по_щитам!F2156</f>
      </c>
      <c r="E2151" s="20">
        <f>Разбивка_по_щитам!H2156</f>
      </c>
      <c r="F2151" s="20">
        <f>Разбивка_по_щитам!I2156</f>
      </c>
      <c r="G2151" s="20">
        <f>Разбивка_по_щитам!J2156</f>
      </c>
      <c r="H2151" s="20">
        <f>Разбивка_по_щитам!K2156</f>
      </c>
      <c r="I2151" s="20">
        <f>Разбивка_по_щитам!L2156</f>
      </c>
      <c r="J2151" s="20">
        <f>Разбивка_по_щитам!M2156</f>
      </c>
      <c r="K2151" s="20">
        <f>Разбивка_по_щитам!N2156</f>
      </c>
      <c r="L2151" s="20"/>
      <c r="M2151" s="20">
        <f>Разбивка_по_щитам!P2156</f>
      </c>
      <c r="N2151" s="20"/>
    </row>
    <row r="2152" spans="2:14" x14ac:dyDescent="0.25">
      <c r="B2152" s="20">
        <f>Разбивка_по_щитам!B2157</f>
      </c>
      <c r="C2152" s="20">
        <f>Разбивка_по_щитам!C2157</f>
      </c>
      <c r="D2152" s="20">
        <f>Разбивка_по_щитам!F2157</f>
      </c>
      <c r="E2152" s="20">
        <f>Разбивка_по_щитам!H2157</f>
      </c>
      <c r="F2152" s="20">
        <f>Разбивка_по_щитам!I2157</f>
      </c>
      <c r="G2152" s="20">
        <f>Разбивка_по_щитам!J2157</f>
      </c>
      <c r="H2152" s="20">
        <f>Разбивка_по_щитам!K2157</f>
      </c>
      <c r="I2152" s="20">
        <f>Разбивка_по_щитам!L2157</f>
      </c>
      <c r="J2152" s="20">
        <f>Разбивка_по_щитам!M2157</f>
      </c>
      <c r="K2152" s="20">
        <f>Разбивка_по_щитам!N2157</f>
      </c>
      <c r="L2152" s="20"/>
      <c r="M2152" s="20">
        <f>Разбивка_по_щитам!P2157</f>
      </c>
      <c r="N2152" s="20"/>
    </row>
    <row r="2153" spans="2:14" x14ac:dyDescent="0.25">
      <c r="B2153" s="20">
        <f>Разбивка_по_щитам!B2158</f>
      </c>
      <c r="C2153" s="20">
        <f>Разбивка_по_щитам!C2158</f>
      </c>
      <c r="D2153" s="20">
        <f>Разбивка_по_щитам!F2158</f>
      </c>
      <c r="E2153" s="20">
        <f>Разбивка_по_щитам!H2158</f>
      </c>
      <c r="F2153" s="20">
        <f>Разбивка_по_щитам!I2158</f>
      </c>
      <c r="G2153" s="20">
        <f>Разбивка_по_щитам!J2158</f>
      </c>
      <c r="H2153" s="20">
        <f>Разбивка_по_щитам!K2158</f>
      </c>
      <c r="I2153" s="20">
        <f>Разбивка_по_щитам!L2158</f>
      </c>
      <c r="J2153" s="20">
        <f>Разбивка_по_щитам!M2158</f>
      </c>
      <c r="K2153" s="20">
        <f>Разбивка_по_щитам!N2158</f>
      </c>
      <c r="L2153" s="20"/>
      <c r="M2153" s="20">
        <f>Разбивка_по_щитам!P2158</f>
      </c>
      <c r="N2153" s="20"/>
    </row>
    <row r="2154" spans="2:14" x14ac:dyDescent="0.25">
      <c r="B2154" s="20">
        <f>Разбивка_по_щитам!B2159</f>
      </c>
      <c r="C2154" s="20">
        <f>Разбивка_по_щитам!C2159</f>
      </c>
      <c r="D2154" s="20">
        <f>Разбивка_по_щитам!F2159</f>
      </c>
      <c r="E2154" s="20">
        <f>Разбивка_по_щитам!H2159</f>
      </c>
      <c r="F2154" s="20">
        <f>Разбивка_по_щитам!I2159</f>
      </c>
      <c r="G2154" s="20">
        <f>Разбивка_по_щитам!J2159</f>
      </c>
      <c r="H2154" s="20">
        <f>Разбивка_по_щитам!K2159</f>
      </c>
      <c r="I2154" s="20">
        <f>Разбивка_по_щитам!L2159</f>
      </c>
      <c r="J2154" s="20">
        <f>Разбивка_по_щитам!M2159</f>
      </c>
      <c r="K2154" s="20">
        <f>Разбивка_по_щитам!N2159</f>
      </c>
      <c r="L2154" s="20"/>
      <c r="M2154" s="20">
        <f>Разбивка_по_щитам!P2159</f>
      </c>
      <c r="N2154" s="20"/>
    </row>
    <row r="2155" spans="2:14" x14ac:dyDescent="0.25">
      <c r="B2155" s="20">
        <f>Разбивка_по_щитам!B2160</f>
      </c>
      <c r="C2155" s="20">
        <f>Разбивка_по_щитам!C2160</f>
      </c>
      <c r="D2155" s="20">
        <f>Разбивка_по_щитам!F2160</f>
      </c>
      <c r="E2155" s="20">
        <f>Разбивка_по_щитам!H2160</f>
      </c>
      <c r="F2155" s="20">
        <f>Разбивка_по_щитам!I2160</f>
      </c>
      <c r="G2155" s="20">
        <f>Разбивка_по_щитам!J2160</f>
      </c>
      <c r="H2155" s="20">
        <f>Разбивка_по_щитам!K2160</f>
      </c>
      <c r="I2155" s="20">
        <f>Разбивка_по_щитам!L2160</f>
      </c>
      <c r="J2155" s="20">
        <f>Разбивка_по_щитам!M2160</f>
      </c>
      <c r="K2155" s="20">
        <f>Разбивка_по_щитам!N2160</f>
      </c>
      <c r="L2155" s="20"/>
      <c r="M2155" s="20">
        <f>Разбивка_по_щитам!P2160</f>
      </c>
      <c r="N2155" s="20"/>
    </row>
    <row r="2156" spans="2:14" x14ac:dyDescent="0.25">
      <c r="B2156" s="20">
        <f>Разбивка_по_щитам!B2161</f>
      </c>
      <c r="C2156" s="20">
        <f>Разбивка_по_щитам!C2161</f>
      </c>
      <c r="D2156" s="20">
        <f>Разбивка_по_щитам!F2161</f>
      </c>
      <c r="E2156" s="20">
        <f>Разбивка_по_щитам!H2161</f>
      </c>
      <c r="F2156" s="20">
        <f>Разбивка_по_щитам!I2161</f>
      </c>
      <c r="G2156" s="20">
        <f>Разбивка_по_щитам!J2161</f>
      </c>
      <c r="H2156" s="20">
        <f>Разбивка_по_щитам!K2161</f>
      </c>
      <c r="I2156" s="20">
        <f>Разбивка_по_щитам!L2161</f>
      </c>
      <c r="J2156" s="20">
        <f>Разбивка_по_щитам!M2161</f>
      </c>
      <c r="K2156" s="20">
        <f>Разбивка_по_щитам!N2161</f>
      </c>
      <c r="L2156" s="20"/>
      <c r="M2156" s="20">
        <f>Разбивка_по_щитам!P2161</f>
      </c>
      <c r="N2156" s="20"/>
    </row>
    <row r="2157" spans="2:14" x14ac:dyDescent="0.25">
      <c r="B2157" s="20">
        <f>Разбивка_по_щитам!B2162</f>
      </c>
      <c r="C2157" s="20">
        <f>Разбивка_по_щитам!C2162</f>
      </c>
      <c r="D2157" s="20">
        <f>Разбивка_по_щитам!F2162</f>
      </c>
      <c r="E2157" s="20">
        <f>Разбивка_по_щитам!H2162</f>
      </c>
      <c r="F2157" s="20">
        <f>Разбивка_по_щитам!I2162</f>
      </c>
      <c r="G2157" s="20">
        <f>Разбивка_по_щитам!J2162</f>
      </c>
      <c r="H2157" s="20">
        <f>Разбивка_по_щитам!K2162</f>
      </c>
      <c r="I2157" s="20">
        <f>Разбивка_по_щитам!L2162</f>
      </c>
      <c r="J2157" s="20">
        <f>Разбивка_по_щитам!M2162</f>
      </c>
      <c r="K2157" s="20">
        <f>Разбивка_по_щитам!N2162</f>
      </c>
      <c r="L2157" s="20"/>
      <c r="M2157" s="20">
        <f>Разбивка_по_щитам!P2162</f>
      </c>
      <c r="N2157" s="20"/>
    </row>
    <row r="2158" spans="2:14" x14ac:dyDescent="0.25">
      <c r="B2158" s="20">
        <f>Разбивка_по_щитам!B2163</f>
      </c>
      <c r="C2158" s="20">
        <f>Разбивка_по_щитам!C2163</f>
      </c>
      <c r="D2158" s="20">
        <f>Разбивка_по_щитам!F2163</f>
      </c>
      <c r="E2158" s="20">
        <f>Разбивка_по_щитам!H2163</f>
      </c>
      <c r="F2158" s="20">
        <f>Разбивка_по_щитам!I2163</f>
      </c>
      <c r="G2158" s="20">
        <f>Разбивка_по_щитам!J2163</f>
      </c>
      <c r="H2158" s="20">
        <f>Разбивка_по_щитам!K2163</f>
      </c>
      <c r="I2158" s="20">
        <f>Разбивка_по_щитам!L2163</f>
      </c>
      <c r="J2158" s="20">
        <f>Разбивка_по_щитам!M2163</f>
      </c>
      <c r="K2158" s="20">
        <f>Разбивка_по_щитам!N2163</f>
      </c>
      <c r="L2158" s="20"/>
      <c r="M2158" s="20">
        <f>Разбивка_по_щитам!P2163</f>
      </c>
      <c r="N2158" s="20"/>
    </row>
    <row r="2159" spans="2:14" x14ac:dyDescent="0.25">
      <c r="B2159" s="20">
        <f>Разбивка_по_щитам!B2164</f>
      </c>
      <c r="C2159" s="20">
        <f>Разбивка_по_щитам!C2164</f>
      </c>
      <c r="D2159" s="20">
        <f>Разбивка_по_щитам!F2164</f>
      </c>
      <c r="E2159" s="20">
        <f>Разбивка_по_щитам!H2164</f>
      </c>
      <c r="F2159" s="20">
        <f>Разбивка_по_щитам!I2164</f>
      </c>
      <c r="G2159" s="20">
        <f>Разбивка_по_щитам!J2164</f>
      </c>
      <c r="H2159" s="20">
        <f>Разбивка_по_щитам!K2164</f>
      </c>
      <c r="I2159" s="20">
        <f>Разбивка_по_щитам!L2164</f>
      </c>
      <c r="J2159" s="20">
        <f>Разбивка_по_щитам!M2164</f>
      </c>
      <c r="K2159" s="20">
        <f>Разбивка_по_щитам!N2164</f>
      </c>
      <c r="L2159" s="20"/>
      <c r="M2159" s="20">
        <f>Разбивка_по_щитам!P2164</f>
      </c>
      <c r="N2159" s="20"/>
    </row>
    <row r="2160" spans="2:14" x14ac:dyDescent="0.25">
      <c r="B2160" s="20">
        <f>Разбивка_по_щитам!B2165</f>
      </c>
      <c r="C2160" s="20">
        <f>Разбивка_по_щитам!C2165</f>
      </c>
      <c r="D2160" s="20">
        <f>Разбивка_по_щитам!F2165</f>
      </c>
      <c r="E2160" s="20">
        <f>Разбивка_по_щитам!H2165</f>
      </c>
      <c r="F2160" s="20">
        <f>Разбивка_по_щитам!I2165</f>
      </c>
      <c r="G2160" s="20">
        <f>Разбивка_по_щитам!J2165</f>
      </c>
      <c r="H2160" s="20">
        <f>Разбивка_по_щитам!K2165</f>
      </c>
      <c r="I2160" s="20">
        <f>Разбивка_по_щитам!L2165</f>
      </c>
      <c r="J2160" s="20">
        <f>Разбивка_по_щитам!M2165</f>
      </c>
      <c r="K2160" s="20">
        <f>Разбивка_по_щитам!N2165</f>
      </c>
      <c r="L2160" s="20"/>
      <c r="M2160" s="20">
        <f>Разбивка_по_щитам!P2165</f>
      </c>
      <c r="N2160" s="20"/>
    </row>
    <row r="2161" spans="2:14" x14ac:dyDescent="0.25">
      <c r="B2161" s="20">
        <f>Разбивка_по_щитам!B2166</f>
      </c>
      <c r="C2161" s="20">
        <f>Разбивка_по_щитам!C2166</f>
      </c>
      <c r="D2161" s="20">
        <f>Разбивка_по_щитам!F2166</f>
      </c>
      <c r="E2161" s="20">
        <f>Разбивка_по_щитам!H2166</f>
      </c>
      <c r="F2161" s="20">
        <f>Разбивка_по_щитам!I2166</f>
      </c>
      <c r="G2161" s="20">
        <f>Разбивка_по_щитам!J2166</f>
      </c>
      <c r="H2161" s="20">
        <f>Разбивка_по_щитам!K2166</f>
      </c>
      <c r="I2161" s="20">
        <f>Разбивка_по_щитам!L2166</f>
      </c>
      <c r="J2161" s="20">
        <f>Разбивка_по_щитам!M2166</f>
      </c>
      <c r="K2161" s="20">
        <f>Разбивка_по_щитам!N2166</f>
      </c>
      <c r="L2161" s="20"/>
      <c r="M2161" s="20">
        <f>Разбивка_по_щитам!P2166</f>
      </c>
      <c r="N2161" s="20"/>
    </row>
    <row r="2162" spans="2:14" x14ac:dyDescent="0.25">
      <c r="B2162" s="20">
        <f>Разбивка_по_щитам!B2167</f>
      </c>
      <c r="C2162" s="20">
        <f>Разбивка_по_щитам!C2167</f>
      </c>
      <c r="D2162" s="20">
        <f>Разбивка_по_щитам!F2167</f>
      </c>
      <c r="E2162" s="20">
        <f>Разбивка_по_щитам!H2167</f>
      </c>
      <c r="F2162" s="20">
        <f>Разбивка_по_щитам!I2167</f>
      </c>
      <c r="G2162" s="20">
        <f>Разбивка_по_щитам!J2167</f>
      </c>
      <c r="H2162" s="20">
        <f>Разбивка_по_щитам!K2167</f>
      </c>
      <c r="I2162" s="20">
        <f>Разбивка_по_щитам!L2167</f>
      </c>
      <c r="J2162" s="20">
        <f>Разбивка_по_щитам!M2167</f>
      </c>
      <c r="K2162" s="20">
        <f>Разбивка_по_щитам!N2167</f>
      </c>
      <c r="L2162" s="20"/>
      <c r="M2162" s="20">
        <f>Разбивка_по_щитам!P2167</f>
      </c>
      <c r="N2162" s="20"/>
    </row>
    <row r="2163" spans="2:14" x14ac:dyDescent="0.25">
      <c r="B2163" s="20">
        <f>Разбивка_по_щитам!B2168</f>
      </c>
      <c r="C2163" s="20">
        <f>Разбивка_по_щитам!C2168</f>
      </c>
      <c r="D2163" s="20">
        <f>Разбивка_по_щитам!F2168</f>
      </c>
      <c r="E2163" s="20">
        <f>Разбивка_по_щитам!H2168</f>
      </c>
      <c r="F2163" s="20">
        <f>Разбивка_по_щитам!I2168</f>
      </c>
      <c r="G2163" s="20">
        <f>Разбивка_по_щитам!J2168</f>
      </c>
      <c r="H2163" s="20">
        <f>Разбивка_по_щитам!K2168</f>
      </c>
      <c r="I2163" s="20">
        <f>Разбивка_по_щитам!L2168</f>
      </c>
      <c r="J2163" s="20">
        <f>Разбивка_по_щитам!M2168</f>
      </c>
      <c r="K2163" s="20">
        <f>Разбивка_по_щитам!N2168</f>
      </c>
      <c r="L2163" s="20"/>
      <c r="M2163" s="20">
        <f>Разбивка_по_щитам!P2168</f>
      </c>
      <c r="N2163" s="20"/>
    </row>
    <row r="2164" spans="2:14" x14ac:dyDescent="0.25">
      <c r="B2164" s="20">
        <f>Разбивка_по_щитам!B2169</f>
      </c>
      <c r="C2164" s="20">
        <f>Разбивка_по_щитам!C2169</f>
      </c>
      <c r="D2164" s="20">
        <f>Разбивка_по_щитам!F2169</f>
      </c>
      <c r="E2164" s="20">
        <f>Разбивка_по_щитам!H2169</f>
      </c>
      <c r="F2164" s="20">
        <f>Разбивка_по_щитам!I2169</f>
      </c>
      <c r="G2164" s="20">
        <f>Разбивка_по_щитам!J2169</f>
      </c>
      <c r="H2164" s="20">
        <f>Разбивка_по_щитам!K2169</f>
      </c>
      <c r="I2164" s="20">
        <f>Разбивка_по_щитам!L2169</f>
      </c>
      <c r="J2164" s="20">
        <f>Разбивка_по_щитам!M2169</f>
      </c>
      <c r="K2164" s="20">
        <f>Разбивка_по_щитам!N2169</f>
      </c>
      <c r="L2164" s="20"/>
      <c r="M2164" s="20">
        <f>Разбивка_по_щитам!P2169</f>
      </c>
      <c r="N2164" s="20"/>
    </row>
    <row r="2165" spans="2:14" x14ac:dyDescent="0.25">
      <c r="B2165" s="20">
        <f>Разбивка_по_щитам!B2170</f>
      </c>
      <c r="C2165" s="20">
        <f>Разбивка_по_щитам!C2170</f>
      </c>
      <c r="D2165" s="20">
        <f>Разбивка_по_щитам!F2170</f>
      </c>
      <c r="E2165" s="20">
        <f>Разбивка_по_щитам!H2170</f>
      </c>
      <c r="F2165" s="20">
        <f>Разбивка_по_щитам!I2170</f>
      </c>
      <c r="G2165" s="20">
        <f>Разбивка_по_щитам!J2170</f>
      </c>
      <c r="H2165" s="20">
        <f>Разбивка_по_щитам!K2170</f>
      </c>
      <c r="I2165" s="20">
        <f>Разбивка_по_щитам!L2170</f>
      </c>
      <c r="J2165" s="20">
        <f>Разбивка_по_щитам!M2170</f>
      </c>
      <c r="K2165" s="20">
        <f>Разбивка_по_щитам!N2170</f>
      </c>
      <c r="L2165" s="20"/>
      <c r="M2165" s="20">
        <f>Разбивка_по_щитам!P2170</f>
      </c>
      <c r="N2165" s="20"/>
    </row>
    <row r="2166" spans="2:14" x14ac:dyDescent="0.25">
      <c r="B2166" s="20">
        <f>Разбивка_по_щитам!B2171</f>
      </c>
      <c r="C2166" s="20">
        <f>Разбивка_по_щитам!C2171</f>
      </c>
      <c r="D2166" s="20">
        <f>Разбивка_по_щитам!F2171</f>
      </c>
      <c r="E2166" s="20">
        <f>Разбивка_по_щитам!H2171</f>
      </c>
      <c r="F2166" s="20">
        <f>Разбивка_по_щитам!I2171</f>
      </c>
      <c r="G2166" s="20">
        <f>Разбивка_по_щитам!J2171</f>
      </c>
      <c r="H2166" s="20">
        <f>Разбивка_по_щитам!K2171</f>
      </c>
      <c r="I2166" s="20">
        <f>Разбивка_по_щитам!L2171</f>
      </c>
      <c r="J2166" s="20">
        <f>Разбивка_по_щитам!M2171</f>
      </c>
      <c r="K2166" s="20">
        <f>Разбивка_по_щитам!N2171</f>
      </c>
      <c r="L2166" s="20"/>
      <c r="M2166" s="20">
        <f>Разбивка_по_щитам!P2171</f>
      </c>
      <c r="N2166" s="20"/>
    </row>
    <row r="2167" spans="2:14" x14ac:dyDescent="0.25">
      <c r="B2167" s="20">
        <f>Разбивка_по_щитам!B2172</f>
      </c>
      <c r="C2167" s="20">
        <f>Разбивка_по_щитам!C2172</f>
      </c>
      <c r="D2167" s="20">
        <f>Разбивка_по_щитам!F2172</f>
      </c>
      <c r="E2167" s="20">
        <f>Разбивка_по_щитам!H2172</f>
      </c>
      <c r="F2167" s="20">
        <f>Разбивка_по_щитам!I2172</f>
      </c>
      <c r="G2167" s="20">
        <f>Разбивка_по_щитам!J2172</f>
      </c>
      <c r="H2167" s="20">
        <f>Разбивка_по_щитам!K2172</f>
      </c>
      <c r="I2167" s="20">
        <f>Разбивка_по_щитам!L2172</f>
      </c>
      <c r="J2167" s="20">
        <f>Разбивка_по_щитам!M2172</f>
      </c>
      <c r="K2167" s="20">
        <f>Разбивка_по_щитам!N2172</f>
      </c>
      <c r="L2167" s="20"/>
      <c r="M2167" s="20">
        <f>Разбивка_по_щитам!P2172</f>
      </c>
      <c r="N2167" s="20"/>
    </row>
    <row r="2168" spans="2:14" x14ac:dyDescent="0.25">
      <c r="B2168" s="20">
        <f>Разбивка_по_щитам!B2173</f>
      </c>
      <c r="C2168" s="20">
        <f>Разбивка_по_щитам!C2173</f>
      </c>
      <c r="D2168" s="20">
        <f>Разбивка_по_щитам!F2173</f>
      </c>
      <c r="E2168" s="20">
        <f>Разбивка_по_щитам!H2173</f>
      </c>
      <c r="F2168" s="20">
        <f>Разбивка_по_щитам!I2173</f>
      </c>
      <c r="G2168" s="20">
        <f>Разбивка_по_щитам!J2173</f>
      </c>
      <c r="H2168" s="20">
        <f>Разбивка_по_щитам!K2173</f>
      </c>
      <c r="I2168" s="20">
        <f>Разбивка_по_щитам!L2173</f>
      </c>
      <c r="J2168" s="20">
        <f>Разбивка_по_щитам!M2173</f>
      </c>
      <c r="K2168" s="20">
        <f>Разбивка_по_щитам!N2173</f>
      </c>
      <c r="L2168" s="20"/>
      <c r="M2168" s="20">
        <f>Разбивка_по_щитам!P2173</f>
      </c>
      <c r="N2168" s="20"/>
    </row>
    <row r="2169" spans="2:14" x14ac:dyDescent="0.25">
      <c r="B2169" s="20">
        <f>Разбивка_по_щитам!B2174</f>
      </c>
      <c r="C2169" s="20">
        <f>Разбивка_по_щитам!C2174</f>
      </c>
      <c r="D2169" s="20">
        <f>Разбивка_по_щитам!F2174</f>
      </c>
      <c r="E2169" s="20">
        <f>Разбивка_по_щитам!H2174</f>
      </c>
      <c r="F2169" s="20">
        <f>Разбивка_по_щитам!I2174</f>
      </c>
      <c r="G2169" s="20">
        <f>Разбивка_по_щитам!J2174</f>
      </c>
      <c r="H2169" s="20">
        <f>Разбивка_по_щитам!K2174</f>
      </c>
      <c r="I2169" s="20">
        <f>Разбивка_по_щитам!L2174</f>
      </c>
      <c r="J2169" s="20">
        <f>Разбивка_по_щитам!M2174</f>
      </c>
      <c r="K2169" s="20">
        <f>Разбивка_по_щитам!N2174</f>
      </c>
      <c r="L2169" s="20"/>
      <c r="M2169" s="20">
        <f>Разбивка_по_щитам!P2174</f>
      </c>
      <c r="N2169" s="20"/>
    </row>
    <row r="2170" spans="2:14" x14ac:dyDescent="0.25">
      <c r="B2170" s="20">
        <f>Разбивка_по_щитам!B2175</f>
      </c>
      <c r="C2170" s="20">
        <f>Разбивка_по_щитам!C2175</f>
      </c>
      <c r="D2170" s="20">
        <f>Разбивка_по_щитам!F2175</f>
      </c>
      <c r="E2170" s="20">
        <f>Разбивка_по_щитам!H2175</f>
      </c>
      <c r="F2170" s="20">
        <f>Разбивка_по_щитам!I2175</f>
      </c>
      <c r="G2170" s="20">
        <f>Разбивка_по_щитам!J2175</f>
      </c>
      <c r="H2170" s="20">
        <f>Разбивка_по_щитам!K2175</f>
      </c>
      <c r="I2170" s="20">
        <f>Разбивка_по_щитам!L2175</f>
      </c>
      <c r="J2170" s="20">
        <f>Разбивка_по_щитам!M2175</f>
      </c>
      <c r="K2170" s="20">
        <f>Разбивка_по_щитам!N2175</f>
      </c>
      <c r="L2170" s="20"/>
      <c r="M2170" s="20">
        <f>Разбивка_по_щитам!P2175</f>
      </c>
      <c r="N2170" s="20"/>
    </row>
    <row r="2171" spans="2:14" x14ac:dyDescent="0.25">
      <c r="B2171" s="20">
        <f>Разбивка_по_щитам!B2176</f>
      </c>
      <c r="C2171" s="20">
        <f>Разбивка_по_щитам!C2176</f>
      </c>
      <c r="D2171" s="20">
        <f>Разбивка_по_щитам!F2176</f>
      </c>
      <c r="E2171" s="20">
        <f>Разбивка_по_щитам!H2176</f>
      </c>
      <c r="F2171" s="20">
        <f>Разбивка_по_щитам!I2176</f>
      </c>
      <c r="G2171" s="20">
        <f>Разбивка_по_щитам!J2176</f>
      </c>
      <c r="H2171" s="20">
        <f>Разбивка_по_щитам!K2176</f>
      </c>
      <c r="I2171" s="20">
        <f>Разбивка_по_щитам!L2176</f>
      </c>
      <c r="J2171" s="20">
        <f>Разбивка_по_щитам!M2176</f>
      </c>
      <c r="K2171" s="20">
        <f>Разбивка_по_щитам!N2176</f>
      </c>
      <c r="L2171" s="20"/>
      <c r="M2171" s="20">
        <f>Разбивка_по_щитам!P2176</f>
      </c>
      <c r="N2171" s="20"/>
    </row>
    <row r="2172" spans="2:14" x14ac:dyDescent="0.25">
      <c r="B2172" s="20">
        <f>Разбивка_по_щитам!B2177</f>
      </c>
      <c r="C2172" s="20">
        <f>Разбивка_по_щитам!C2177</f>
      </c>
      <c r="D2172" s="20">
        <f>Разбивка_по_щитам!F2177</f>
      </c>
      <c r="E2172" s="20">
        <f>Разбивка_по_щитам!H2177</f>
      </c>
      <c r="F2172" s="20">
        <f>Разбивка_по_щитам!I2177</f>
      </c>
      <c r="G2172" s="20">
        <f>Разбивка_по_щитам!J2177</f>
      </c>
      <c r="H2172" s="20">
        <f>Разбивка_по_щитам!K2177</f>
      </c>
      <c r="I2172" s="20">
        <f>Разбивка_по_щитам!L2177</f>
      </c>
      <c r="J2172" s="20">
        <f>Разбивка_по_щитам!M2177</f>
      </c>
      <c r="K2172" s="20">
        <f>Разбивка_по_щитам!N2177</f>
      </c>
      <c r="L2172" s="20"/>
      <c r="M2172" s="20">
        <f>Разбивка_по_щитам!P2177</f>
      </c>
      <c r="N2172" s="20"/>
    </row>
    <row r="2173" spans="2:14" x14ac:dyDescent="0.25">
      <c r="B2173" s="20">
        <f>Разбивка_по_щитам!B2178</f>
      </c>
      <c r="C2173" s="20">
        <f>Разбивка_по_щитам!C2178</f>
      </c>
      <c r="D2173" s="20">
        <f>Разбивка_по_щитам!F2178</f>
      </c>
      <c r="E2173" s="20">
        <f>Разбивка_по_щитам!H2178</f>
      </c>
      <c r="F2173" s="20">
        <f>Разбивка_по_щитам!I2178</f>
      </c>
      <c r="G2173" s="20">
        <f>Разбивка_по_щитам!J2178</f>
      </c>
      <c r="H2173" s="20">
        <f>Разбивка_по_щитам!K2178</f>
      </c>
      <c r="I2173" s="20">
        <f>Разбивка_по_щитам!L2178</f>
      </c>
      <c r="J2173" s="20">
        <f>Разбивка_по_щитам!M2178</f>
      </c>
      <c r="K2173" s="20">
        <f>Разбивка_по_щитам!N2178</f>
      </c>
      <c r="L2173" s="20"/>
      <c r="M2173" s="20">
        <f>Разбивка_по_щитам!P2178</f>
      </c>
      <c r="N2173" s="20"/>
    </row>
    <row r="2174" spans="2:14" x14ac:dyDescent="0.25">
      <c r="B2174" s="20">
        <f>Разбивка_по_щитам!B2179</f>
      </c>
      <c r="C2174" s="20">
        <f>Разбивка_по_щитам!C2179</f>
      </c>
      <c r="D2174" s="20">
        <f>Разбивка_по_щитам!F2179</f>
      </c>
      <c r="E2174" s="20">
        <f>Разбивка_по_щитам!H2179</f>
      </c>
      <c r="F2174" s="20">
        <f>Разбивка_по_щитам!I2179</f>
      </c>
      <c r="G2174" s="20">
        <f>Разбивка_по_щитам!J2179</f>
      </c>
      <c r="H2174" s="20">
        <f>Разбивка_по_щитам!K2179</f>
      </c>
      <c r="I2174" s="20">
        <f>Разбивка_по_щитам!L2179</f>
      </c>
      <c r="J2174" s="20">
        <f>Разбивка_по_щитам!M2179</f>
      </c>
      <c r="K2174" s="20">
        <f>Разбивка_по_щитам!N2179</f>
      </c>
      <c r="L2174" s="20"/>
      <c r="M2174" s="20">
        <f>Разбивка_по_щитам!P2179</f>
      </c>
      <c r="N2174" s="20"/>
    </row>
    <row r="2175" spans="2:14" x14ac:dyDescent="0.25">
      <c r="B2175" s="20">
        <f>Разбивка_по_щитам!B2180</f>
      </c>
      <c r="C2175" s="20">
        <f>Разбивка_по_щитам!C2180</f>
      </c>
      <c r="D2175" s="20">
        <f>Разбивка_по_щитам!F2180</f>
      </c>
      <c r="E2175" s="20">
        <f>Разбивка_по_щитам!H2180</f>
      </c>
      <c r="F2175" s="20">
        <f>Разбивка_по_щитам!I2180</f>
      </c>
      <c r="G2175" s="20">
        <f>Разбивка_по_щитам!J2180</f>
      </c>
      <c r="H2175" s="20">
        <f>Разбивка_по_щитам!K2180</f>
      </c>
      <c r="I2175" s="20">
        <f>Разбивка_по_щитам!L2180</f>
      </c>
      <c r="J2175" s="20">
        <f>Разбивка_по_щитам!M2180</f>
      </c>
      <c r="K2175" s="20">
        <f>Разбивка_по_щитам!N2180</f>
      </c>
      <c r="L2175" s="20"/>
      <c r="M2175" s="20">
        <f>Разбивка_по_щитам!P2180</f>
      </c>
      <c r="N2175" s="20"/>
    </row>
    <row r="2176" spans="2:14" x14ac:dyDescent="0.25">
      <c r="B2176" s="20">
        <f>Разбивка_по_щитам!B2181</f>
      </c>
      <c r="C2176" s="20">
        <f>Разбивка_по_щитам!C2181</f>
      </c>
      <c r="D2176" s="20">
        <f>Разбивка_по_щитам!F2181</f>
      </c>
      <c r="E2176" s="20">
        <f>Разбивка_по_щитам!H2181</f>
      </c>
      <c r="F2176" s="20">
        <f>Разбивка_по_щитам!I2181</f>
      </c>
      <c r="G2176" s="20">
        <f>Разбивка_по_щитам!J2181</f>
      </c>
      <c r="H2176" s="20">
        <f>Разбивка_по_щитам!K2181</f>
      </c>
      <c r="I2176" s="20">
        <f>Разбивка_по_щитам!L2181</f>
      </c>
      <c r="J2176" s="20">
        <f>Разбивка_по_щитам!M2181</f>
      </c>
      <c r="K2176" s="20">
        <f>Разбивка_по_щитам!N2181</f>
      </c>
      <c r="L2176" s="20"/>
      <c r="M2176" s="20">
        <f>Разбивка_по_щитам!P2181</f>
      </c>
      <c r="N2176" s="20"/>
    </row>
    <row r="2177" spans="2:14" x14ac:dyDescent="0.25">
      <c r="B2177" s="20">
        <f>Разбивка_по_щитам!B2182</f>
      </c>
      <c r="C2177" s="20">
        <f>Разбивка_по_щитам!C2182</f>
      </c>
      <c r="D2177" s="20">
        <f>Разбивка_по_щитам!F2182</f>
      </c>
      <c r="E2177" s="20">
        <f>Разбивка_по_щитам!H2182</f>
      </c>
      <c r="F2177" s="20">
        <f>Разбивка_по_щитам!I2182</f>
      </c>
      <c r="G2177" s="20">
        <f>Разбивка_по_щитам!J2182</f>
      </c>
      <c r="H2177" s="20">
        <f>Разбивка_по_щитам!K2182</f>
      </c>
      <c r="I2177" s="20">
        <f>Разбивка_по_щитам!L2182</f>
      </c>
      <c r="J2177" s="20">
        <f>Разбивка_по_щитам!M2182</f>
      </c>
      <c r="K2177" s="20">
        <f>Разбивка_по_щитам!N2182</f>
      </c>
      <c r="L2177" s="20"/>
      <c r="M2177" s="20">
        <f>Разбивка_по_щитам!P2182</f>
      </c>
      <c r="N2177" s="20"/>
    </row>
    <row r="2178" spans="2:14" x14ac:dyDescent="0.25">
      <c r="B2178" s="20">
        <f>Разбивка_по_щитам!B2183</f>
      </c>
      <c r="C2178" s="20">
        <f>Разбивка_по_щитам!C2183</f>
      </c>
      <c r="D2178" s="20">
        <f>Разбивка_по_щитам!F2183</f>
      </c>
      <c r="E2178" s="20">
        <f>Разбивка_по_щитам!H2183</f>
      </c>
      <c r="F2178" s="20">
        <f>Разбивка_по_щитам!I2183</f>
      </c>
      <c r="G2178" s="20">
        <f>Разбивка_по_щитам!J2183</f>
      </c>
      <c r="H2178" s="20">
        <f>Разбивка_по_щитам!K2183</f>
      </c>
      <c r="I2178" s="20">
        <f>Разбивка_по_щитам!L2183</f>
      </c>
      <c r="J2178" s="20">
        <f>Разбивка_по_щитам!M2183</f>
      </c>
      <c r="K2178" s="20">
        <f>Разбивка_по_щитам!N2183</f>
      </c>
      <c r="L2178" s="20"/>
      <c r="M2178" s="20">
        <f>Разбивка_по_щитам!P2183</f>
      </c>
      <c r="N2178" s="20"/>
    </row>
    <row r="2179" spans="2:14" x14ac:dyDescent="0.25">
      <c r="B2179" s="20">
        <f>Разбивка_по_щитам!B2184</f>
      </c>
      <c r="C2179" s="20">
        <f>Разбивка_по_щитам!C2184</f>
      </c>
      <c r="D2179" s="20">
        <f>Разбивка_по_щитам!F2184</f>
      </c>
      <c r="E2179" s="20">
        <f>Разбивка_по_щитам!H2184</f>
      </c>
      <c r="F2179" s="20">
        <f>Разбивка_по_щитам!I2184</f>
      </c>
      <c r="G2179" s="20">
        <f>Разбивка_по_щитам!J2184</f>
      </c>
      <c r="H2179" s="20">
        <f>Разбивка_по_щитам!K2184</f>
      </c>
      <c r="I2179" s="20">
        <f>Разбивка_по_щитам!L2184</f>
      </c>
      <c r="J2179" s="20">
        <f>Разбивка_по_щитам!M2184</f>
      </c>
      <c r="K2179" s="20">
        <f>Разбивка_по_щитам!N2184</f>
      </c>
      <c r="L2179" s="20"/>
      <c r="M2179" s="20">
        <f>Разбивка_по_щитам!P2184</f>
      </c>
      <c r="N2179" s="20"/>
    </row>
    <row r="2180" spans="2:14" x14ac:dyDescent="0.25">
      <c r="B2180" s="20">
        <f>Разбивка_по_щитам!B2185</f>
      </c>
      <c r="C2180" s="20">
        <f>Разбивка_по_щитам!C2185</f>
      </c>
      <c r="D2180" s="20">
        <f>Разбивка_по_щитам!F2185</f>
      </c>
      <c r="E2180" s="20">
        <f>Разбивка_по_щитам!H2185</f>
      </c>
      <c r="F2180" s="20">
        <f>Разбивка_по_щитам!I2185</f>
      </c>
      <c r="G2180" s="20">
        <f>Разбивка_по_щитам!J2185</f>
      </c>
      <c r="H2180" s="20">
        <f>Разбивка_по_щитам!K2185</f>
      </c>
      <c r="I2180" s="20">
        <f>Разбивка_по_щитам!L2185</f>
      </c>
      <c r="J2180" s="20">
        <f>Разбивка_по_щитам!M2185</f>
      </c>
      <c r="K2180" s="20">
        <f>Разбивка_по_щитам!N2185</f>
      </c>
      <c r="L2180" s="20"/>
      <c r="M2180" s="20">
        <f>Разбивка_по_щитам!P2185</f>
      </c>
      <c r="N2180" s="20"/>
    </row>
    <row r="2181" spans="2:14" x14ac:dyDescent="0.25">
      <c r="B2181" s="20">
        <f>Разбивка_по_щитам!B2186</f>
      </c>
      <c r="C2181" s="20">
        <f>Разбивка_по_щитам!C2186</f>
      </c>
      <c r="D2181" s="20">
        <f>Разбивка_по_щитам!F2186</f>
      </c>
      <c r="E2181" s="20">
        <f>Разбивка_по_щитам!H2186</f>
      </c>
      <c r="F2181" s="20">
        <f>Разбивка_по_щитам!I2186</f>
      </c>
      <c r="G2181" s="20">
        <f>Разбивка_по_щитам!J2186</f>
      </c>
      <c r="H2181" s="20">
        <f>Разбивка_по_щитам!K2186</f>
      </c>
      <c r="I2181" s="20">
        <f>Разбивка_по_щитам!L2186</f>
      </c>
      <c r="J2181" s="20">
        <f>Разбивка_по_щитам!M2186</f>
      </c>
      <c r="K2181" s="20">
        <f>Разбивка_по_щитам!N2186</f>
      </c>
      <c r="L2181" s="20"/>
      <c r="M2181" s="20">
        <f>Разбивка_по_щитам!P2186</f>
      </c>
      <c r="N2181" s="20"/>
    </row>
    <row r="2182" spans="2:14" x14ac:dyDescent="0.25">
      <c r="B2182" s="20">
        <f>Разбивка_по_щитам!B2187</f>
      </c>
      <c r="C2182" s="20">
        <f>Разбивка_по_щитам!C2187</f>
      </c>
      <c r="D2182" s="20">
        <f>Разбивка_по_щитам!F2187</f>
      </c>
      <c r="E2182" s="20">
        <f>Разбивка_по_щитам!H2187</f>
      </c>
      <c r="F2182" s="20">
        <f>Разбивка_по_щитам!I2187</f>
      </c>
      <c r="G2182" s="20">
        <f>Разбивка_по_щитам!J2187</f>
      </c>
      <c r="H2182" s="20">
        <f>Разбивка_по_щитам!K2187</f>
      </c>
      <c r="I2182" s="20">
        <f>Разбивка_по_щитам!L2187</f>
      </c>
      <c r="J2182" s="20">
        <f>Разбивка_по_щитам!M2187</f>
      </c>
      <c r="K2182" s="20">
        <f>Разбивка_по_щитам!N2187</f>
      </c>
      <c r="L2182" s="20"/>
      <c r="M2182" s="20">
        <f>Разбивка_по_щитам!P2187</f>
      </c>
      <c r="N2182" s="20"/>
    </row>
    <row r="2183" spans="2:14" x14ac:dyDescent="0.25">
      <c r="B2183" s="20">
        <f>Разбивка_по_щитам!B2188</f>
      </c>
      <c r="C2183" s="20">
        <f>Разбивка_по_щитам!C2188</f>
      </c>
      <c r="D2183" s="20">
        <f>Разбивка_по_щитам!F2188</f>
      </c>
      <c r="E2183" s="20">
        <f>Разбивка_по_щитам!H2188</f>
      </c>
      <c r="F2183" s="20">
        <f>Разбивка_по_щитам!I2188</f>
      </c>
      <c r="G2183" s="20">
        <f>Разбивка_по_щитам!J2188</f>
      </c>
      <c r="H2183" s="20">
        <f>Разбивка_по_щитам!K2188</f>
      </c>
      <c r="I2183" s="20">
        <f>Разбивка_по_щитам!L2188</f>
      </c>
      <c r="J2183" s="20">
        <f>Разбивка_по_щитам!M2188</f>
      </c>
      <c r="K2183" s="20">
        <f>Разбивка_по_щитам!N2188</f>
      </c>
      <c r="L2183" s="20"/>
      <c r="M2183" s="20">
        <f>Разбивка_по_щитам!P2188</f>
      </c>
      <c r="N2183" s="20"/>
    </row>
    <row r="2184" spans="2:14" x14ac:dyDescent="0.25">
      <c r="B2184" s="20">
        <f>Разбивка_по_щитам!B2189</f>
      </c>
      <c r="C2184" s="20">
        <f>Разбивка_по_щитам!C2189</f>
      </c>
      <c r="D2184" s="20">
        <f>Разбивка_по_щитам!F2189</f>
      </c>
      <c r="E2184" s="20">
        <f>Разбивка_по_щитам!H2189</f>
      </c>
      <c r="F2184" s="20">
        <f>Разбивка_по_щитам!I2189</f>
      </c>
      <c r="G2184" s="20">
        <f>Разбивка_по_щитам!J2189</f>
      </c>
      <c r="H2184" s="20">
        <f>Разбивка_по_щитам!K2189</f>
      </c>
      <c r="I2184" s="20">
        <f>Разбивка_по_щитам!L2189</f>
      </c>
      <c r="J2184" s="20">
        <f>Разбивка_по_щитам!M2189</f>
      </c>
      <c r="K2184" s="20">
        <f>Разбивка_по_щитам!N2189</f>
      </c>
      <c r="L2184" s="20"/>
      <c r="M2184" s="20">
        <f>Разбивка_по_щитам!P2189</f>
      </c>
      <c r="N2184" s="20"/>
    </row>
    <row r="2185" spans="2:14" x14ac:dyDescent="0.25">
      <c r="B2185" s="20">
        <f>Разбивка_по_щитам!B2190</f>
      </c>
      <c r="C2185" s="20">
        <f>Разбивка_по_щитам!C2190</f>
      </c>
      <c r="D2185" s="20">
        <f>Разбивка_по_щитам!F2190</f>
      </c>
      <c r="E2185" s="20">
        <f>Разбивка_по_щитам!H2190</f>
      </c>
      <c r="F2185" s="20">
        <f>Разбивка_по_щитам!I2190</f>
      </c>
      <c r="G2185" s="20">
        <f>Разбивка_по_щитам!J2190</f>
      </c>
      <c r="H2185" s="20">
        <f>Разбивка_по_щитам!K2190</f>
      </c>
      <c r="I2185" s="20">
        <f>Разбивка_по_щитам!L2190</f>
      </c>
      <c r="J2185" s="20">
        <f>Разбивка_по_щитам!M2190</f>
      </c>
      <c r="K2185" s="20">
        <f>Разбивка_по_щитам!N2190</f>
      </c>
      <c r="L2185" s="20"/>
      <c r="M2185" s="20">
        <f>Разбивка_по_щитам!P2190</f>
      </c>
      <c r="N2185" s="20"/>
    </row>
    <row r="2186" spans="2:14" x14ac:dyDescent="0.25">
      <c r="B2186" s="20">
        <f>Разбивка_по_щитам!B2191</f>
      </c>
      <c r="C2186" s="20">
        <f>Разбивка_по_щитам!C2191</f>
      </c>
      <c r="D2186" s="20">
        <f>Разбивка_по_щитам!F2191</f>
      </c>
      <c r="E2186" s="20">
        <f>Разбивка_по_щитам!H2191</f>
      </c>
      <c r="F2186" s="20">
        <f>Разбивка_по_щитам!I2191</f>
      </c>
      <c r="G2186" s="20">
        <f>Разбивка_по_щитам!J2191</f>
      </c>
      <c r="H2186" s="20">
        <f>Разбивка_по_щитам!K2191</f>
      </c>
      <c r="I2186" s="20">
        <f>Разбивка_по_щитам!L2191</f>
      </c>
      <c r="J2186" s="20">
        <f>Разбивка_по_щитам!M2191</f>
      </c>
      <c r="K2186" s="20">
        <f>Разбивка_по_щитам!N2191</f>
      </c>
      <c r="L2186" s="20"/>
      <c r="M2186" s="20">
        <f>Разбивка_по_щитам!P2191</f>
      </c>
      <c r="N2186" s="20"/>
    </row>
    <row r="2187" spans="2:14" x14ac:dyDescent="0.25">
      <c r="B2187" s="20">
        <f>Разбивка_по_щитам!B2192</f>
      </c>
      <c r="C2187" s="20">
        <f>Разбивка_по_щитам!C2192</f>
      </c>
      <c r="D2187" s="20">
        <f>Разбивка_по_щитам!F2192</f>
      </c>
      <c r="E2187" s="20">
        <f>Разбивка_по_щитам!H2192</f>
      </c>
      <c r="F2187" s="20">
        <f>Разбивка_по_щитам!I2192</f>
      </c>
      <c r="G2187" s="20">
        <f>Разбивка_по_щитам!J2192</f>
      </c>
      <c r="H2187" s="20">
        <f>Разбивка_по_щитам!K2192</f>
      </c>
      <c r="I2187" s="20">
        <f>Разбивка_по_щитам!L2192</f>
      </c>
      <c r="J2187" s="20">
        <f>Разбивка_по_щитам!M2192</f>
      </c>
      <c r="K2187" s="20">
        <f>Разбивка_по_щитам!N2192</f>
      </c>
      <c r="L2187" s="20"/>
      <c r="M2187" s="20">
        <f>Разбивка_по_щитам!P2192</f>
      </c>
      <c r="N2187" s="20"/>
    </row>
    <row r="2188" spans="2:14" x14ac:dyDescent="0.25">
      <c r="B2188" s="20">
        <f>Разбивка_по_щитам!B2193</f>
      </c>
      <c r="C2188" s="20">
        <f>Разбивка_по_щитам!C2193</f>
      </c>
      <c r="D2188" s="20">
        <f>Разбивка_по_щитам!F2193</f>
      </c>
      <c r="E2188" s="20">
        <f>Разбивка_по_щитам!H2193</f>
      </c>
      <c r="F2188" s="20">
        <f>Разбивка_по_щитам!I2193</f>
      </c>
      <c r="G2188" s="20">
        <f>Разбивка_по_щитам!J2193</f>
      </c>
      <c r="H2188" s="20">
        <f>Разбивка_по_щитам!K2193</f>
      </c>
      <c r="I2188" s="20">
        <f>Разбивка_по_щитам!L2193</f>
      </c>
      <c r="J2188" s="20">
        <f>Разбивка_по_щитам!M2193</f>
      </c>
      <c r="K2188" s="20">
        <f>Разбивка_по_щитам!N2193</f>
      </c>
      <c r="L2188" s="20"/>
      <c r="M2188" s="20">
        <f>Разбивка_по_щитам!P2193</f>
      </c>
      <c r="N2188" s="20"/>
    </row>
    <row r="2189" spans="2:14" x14ac:dyDescent="0.25">
      <c r="B2189" s="20">
        <f>Разбивка_по_щитам!B2194</f>
      </c>
      <c r="C2189" s="20">
        <f>Разбивка_по_щитам!C2194</f>
      </c>
      <c r="D2189" s="20">
        <f>Разбивка_по_щитам!F2194</f>
      </c>
      <c r="E2189" s="20">
        <f>Разбивка_по_щитам!H2194</f>
      </c>
      <c r="F2189" s="20">
        <f>Разбивка_по_щитам!I2194</f>
      </c>
      <c r="G2189" s="20">
        <f>Разбивка_по_щитам!J2194</f>
      </c>
      <c r="H2189" s="20">
        <f>Разбивка_по_щитам!K2194</f>
      </c>
      <c r="I2189" s="20">
        <f>Разбивка_по_щитам!L2194</f>
      </c>
      <c r="J2189" s="20">
        <f>Разбивка_по_щитам!M2194</f>
      </c>
      <c r="K2189" s="20">
        <f>Разбивка_по_щитам!N2194</f>
      </c>
      <c r="L2189" s="20"/>
      <c r="M2189" s="20">
        <f>Разбивка_по_щитам!P2194</f>
      </c>
      <c r="N2189" s="20"/>
    </row>
    <row r="2190" spans="2:14" x14ac:dyDescent="0.25">
      <c r="B2190" s="20">
        <f>Разбивка_по_щитам!B2195</f>
      </c>
      <c r="C2190" s="20">
        <f>Разбивка_по_щитам!C2195</f>
      </c>
      <c r="D2190" s="20">
        <f>Разбивка_по_щитам!F2195</f>
      </c>
      <c r="E2190" s="20">
        <f>Разбивка_по_щитам!H2195</f>
      </c>
      <c r="F2190" s="20">
        <f>Разбивка_по_щитам!I2195</f>
      </c>
      <c r="G2190" s="20">
        <f>Разбивка_по_щитам!J2195</f>
      </c>
      <c r="H2190" s="20">
        <f>Разбивка_по_щитам!K2195</f>
      </c>
      <c r="I2190" s="20">
        <f>Разбивка_по_щитам!L2195</f>
      </c>
      <c r="J2190" s="20">
        <f>Разбивка_по_щитам!M2195</f>
      </c>
      <c r="K2190" s="20">
        <f>Разбивка_по_щитам!N2195</f>
      </c>
      <c r="L2190" s="20"/>
      <c r="M2190" s="20">
        <f>Разбивка_по_щитам!P2195</f>
      </c>
      <c r="N2190" s="20"/>
    </row>
    <row r="2191" spans="2:14" x14ac:dyDescent="0.25">
      <c r="B2191" s="20">
        <f>Разбивка_по_щитам!B2196</f>
      </c>
      <c r="C2191" s="20">
        <f>Разбивка_по_щитам!C2196</f>
      </c>
      <c r="D2191" s="20">
        <f>Разбивка_по_щитам!F2196</f>
      </c>
      <c r="E2191" s="20">
        <f>Разбивка_по_щитам!H2196</f>
      </c>
      <c r="F2191" s="20">
        <f>Разбивка_по_щитам!I2196</f>
      </c>
      <c r="G2191" s="20">
        <f>Разбивка_по_щитам!J2196</f>
      </c>
      <c r="H2191" s="20">
        <f>Разбивка_по_щитам!K2196</f>
      </c>
      <c r="I2191" s="20">
        <f>Разбивка_по_щитам!L2196</f>
      </c>
      <c r="J2191" s="20">
        <f>Разбивка_по_щитам!M2196</f>
      </c>
      <c r="K2191" s="20">
        <f>Разбивка_по_щитам!N2196</f>
      </c>
      <c r="L2191" s="20"/>
      <c r="M2191" s="20">
        <f>Разбивка_по_щитам!P2196</f>
      </c>
      <c r="N2191" s="20"/>
    </row>
    <row r="2192" spans="2:14" x14ac:dyDescent="0.25">
      <c r="B2192" s="20">
        <f>Разбивка_по_щитам!B2197</f>
      </c>
      <c r="C2192" s="20">
        <f>Разбивка_по_щитам!C2197</f>
      </c>
      <c r="D2192" s="20">
        <f>Разбивка_по_щитам!F2197</f>
      </c>
      <c r="E2192" s="20">
        <f>Разбивка_по_щитам!H2197</f>
      </c>
      <c r="F2192" s="20">
        <f>Разбивка_по_щитам!I2197</f>
      </c>
      <c r="G2192" s="20">
        <f>Разбивка_по_щитам!J2197</f>
      </c>
      <c r="H2192" s="20">
        <f>Разбивка_по_щитам!K2197</f>
      </c>
      <c r="I2192" s="20">
        <f>Разбивка_по_щитам!L2197</f>
      </c>
      <c r="J2192" s="20">
        <f>Разбивка_по_щитам!M2197</f>
      </c>
      <c r="K2192" s="20">
        <f>Разбивка_по_щитам!N2197</f>
      </c>
      <c r="L2192" s="20"/>
      <c r="M2192" s="20">
        <f>Разбивка_по_щитам!P2197</f>
      </c>
      <c r="N2192" s="20"/>
    </row>
    <row r="2193" spans="2:14" x14ac:dyDescent="0.25">
      <c r="B2193" s="20">
        <f>Разбивка_по_щитам!B2198</f>
      </c>
      <c r="C2193" s="20">
        <f>Разбивка_по_щитам!C2198</f>
      </c>
      <c r="D2193" s="20">
        <f>Разбивка_по_щитам!F2198</f>
      </c>
      <c r="E2193" s="20">
        <f>Разбивка_по_щитам!H2198</f>
      </c>
      <c r="F2193" s="20">
        <f>Разбивка_по_щитам!I2198</f>
      </c>
      <c r="G2193" s="20">
        <f>Разбивка_по_щитам!J2198</f>
      </c>
      <c r="H2193" s="20">
        <f>Разбивка_по_щитам!K2198</f>
      </c>
      <c r="I2193" s="20">
        <f>Разбивка_по_щитам!L2198</f>
      </c>
      <c r="J2193" s="20">
        <f>Разбивка_по_щитам!M2198</f>
      </c>
      <c r="K2193" s="20">
        <f>Разбивка_по_щитам!N2198</f>
      </c>
      <c r="L2193" s="20"/>
      <c r="M2193" s="20">
        <f>Разбивка_по_щитам!P2198</f>
      </c>
      <c r="N2193" s="20"/>
    </row>
    <row r="2194" spans="2:14" x14ac:dyDescent="0.25">
      <c r="B2194" s="20">
        <f>Разбивка_по_щитам!B2199</f>
      </c>
      <c r="C2194" s="20">
        <f>Разбивка_по_щитам!C2199</f>
      </c>
      <c r="D2194" s="20">
        <f>Разбивка_по_щитам!F2199</f>
      </c>
      <c r="E2194" s="20">
        <f>Разбивка_по_щитам!H2199</f>
      </c>
      <c r="F2194" s="20">
        <f>Разбивка_по_щитам!I2199</f>
      </c>
      <c r="G2194" s="20">
        <f>Разбивка_по_щитам!J2199</f>
      </c>
      <c r="H2194" s="20">
        <f>Разбивка_по_щитам!K2199</f>
      </c>
      <c r="I2194" s="20">
        <f>Разбивка_по_щитам!L2199</f>
      </c>
      <c r="J2194" s="20">
        <f>Разбивка_по_щитам!M2199</f>
      </c>
      <c r="K2194" s="20">
        <f>Разбивка_по_щитам!N2199</f>
      </c>
      <c r="L2194" s="20"/>
      <c r="M2194" s="20">
        <f>Разбивка_по_щитам!P2199</f>
      </c>
      <c r="N2194" s="20"/>
    </row>
    <row r="2195" spans="2:14" x14ac:dyDescent="0.25">
      <c r="B2195" s="20">
        <f>Разбивка_по_щитам!B2200</f>
      </c>
      <c r="C2195" s="20">
        <f>Разбивка_по_щитам!C2200</f>
      </c>
      <c r="D2195" s="20">
        <f>Разбивка_по_щитам!F2200</f>
      </c>
      <c r="E2195" s="20">
        <f>Разбивка_по_щитам!H2200</f>
      </c>
      <c r="F2195" s="20">
        <f>Разбивка_по_щитам!I2200</f>
      </c>
      <c r="G2195" s="20">
        <f>Разбивка_по_щитам!J2200</f>
      </c>
      <c r="H2195" s="20">
        <f>Разбивка_по_щитам!K2200</f>
      </c>
      <c r="I2195" s="20">
        <f>Разбивка_по_щитам!L2200</f>
      </c>
      <c r="J2195" s="20">
        <f>Разбивка_по_щитам!M2200</f>
      </c>
      <c r="K2195" s="20">
        <f>Разбивка_по_щитам!N2200</f>
      </c>
      <c r="L2195" s="20"/>
      <c r="M2195" s="20">
        <f>Разбивка_по_щитам!P2200</f>
      </c>
      <c r="N2195" s="20"/>
    </row>
    <row r="2196" spans="2:14" x14ac:dyDescent="0.25">
      <c r="B2196" s="20">
        <f>Разбивка_по_щитам!B2201</f>
      </c>
      <c r="C2196" s="20">
        <f>Разбивка_по_щитам!C2201</f>
      </c>
      <c r="D2196" s="20">
        <f>Разбивка_по_щитам!F2201</f>
      </c>
      <c r="E2196" s="20">
        <f>Разбивка_по_щитам!H2201</f>
      </c>
      <c r="F2196" s="20">
        <f>Разбивка_по_щитам!I2201</f>
      </c>
      <c r="G2196" s="20">
        <f>Разбивка_по_щитам!J2201</f>
      </c>
      <c r="H2196" s="20">
        <f>Разбивка_по_щитам!K2201</f>
      </c>
      <c r="I2196" s="20">
        <f>Разбивка_по_щитам!L2201</f>
      </c>
      <c r="J2196" s="20">
        <f>Разбивка_по_щитам!M2201</f>
      </c>
      <c r="K2196" s="20">
        <f>Разбивка_по_щитам!N2201</f>
      </c>
      <c r="L2196" s="20"/>
      <c r="M2196" s="20">
        <f>Разбивка_по_щитам!P2201</f>
      </c>
      <c r="N2196" s="20"/>
    </row>
    <row r="2197" spans="2:14" x14ac:dyDescent="0.25">
      <c r="B2197" s="20">
        <f>Разбивка_по_щитам!B2202</f>
      </c>
      <c r="C2197" s="20">
        <f>Разбивка_по_щитам!C2202</f>
      </c>
      <c r="D2197" s="20">
        <f>Разбивка_по_щитам!F2202</f>
      </c>
      <c r="E2197" s="20">
        <f>Разбивка_по_щитам!H2202</f>
      </c>
      <c r="F2197" s="20">
        <f>Разбивка_по_щитам!I2202</f>
      </c>
      <c r="G2197" s="20">
        <f>Разбивка_по_щитам!J2202</f>
      </c>
      <c r="H2197" s="20">
        <f>Разбивка_по_щитам!K2202</f>
      </c>
      <c r="I2197" s="20">
        <f>Разбивка_по_щитам!L2202</f>
      </c>
      <c r="J2197" s="20">
        <f>Разбивка_по_щитам!M2202</f>
      </c>
      <c r="K2197" s="20">
        <f>Разбивка_по_щитам!N2202</f>
      </c>
      <c r="L2197" s="20"/>
      <c r="M2197" s="20">
        <f>Разбивка_по_щитам!P2202</f>
      </c>
      <c r="N2197" s="20"/>
    </row>
    <row r="2198" spans="2:14" x14ac:dyDescent="0.25">
      <c r="B2198" s="20">
        <f>Разбивка_по_щитам!B2203</f>
      </c>
      <c r="C2198" s="20">
        <f>Разбивка_по_щитам!C2203</f>
      </c>
      <c r="D2198" s="20">
        <f>Разбивка_по_щитам!F2203</f>
      </c>
      <c r="E2198" s="20">
        <f>Разбивка_по_щитам!H2203</f>
      </c>
      <c r="F2198" s="20">
        <f>Разбивка_по_щитам!I2203</f>
      </c>
      <c r="G2198" s="20">
        <f>Разбивка_по_щитам!J2203</f>
      </c>
      <c r="H2198" s="20">
        <f>Разбивка_по_щитам!K2203</f>
      </c>
      <c r="I2198" s="20">
        <f>Разбивка_по_щитам!L2203</f>
      </c>
      <c r="J2198" s="20">
        <f>Разбивка_по_щитам!M2203</f>
      </c>
      <c r="K2198" s="20">
        <f>Разбивка_по_щитам!N2203</f>
      </c>
      <c r="L2198" s="20"/>
      <c r="M2198" s="20">
        <f>Разбивка_по_щитам!P2203</f>
      </c>
      <c r="N2198" s="20"/>
    </row>
    <row r="2199" spans="2:14" x14ac:dyDescent="0.25">
      <c r="B2199" s="20">
        <f>Разбивка_по_щитам!B2204</f>
      </c>
      <c r="C2199" s="20">
        <f>Разбивка_по_щитам!C2204</f>
      </c>
      <c r="D2199" s="20">
        <f>Разбивка_по_щитам!F2204</f>
      </c>
      <c r="E2199" s="20">
        <f>Разбивка_по_щитам!H2204</f>
      </c>
      <c r="F2199" s="20">
        <f>Разбивка_по_щитам!I2204</f>
      </c>
      <c r="G2199" s="20">
        <f>Разбивка_по_щитам!J2204</f>
      </c>
      <c r="H2199" s="20">
        <f>Разбивка_по_щитам!K2204</f>
      </c>
      <c r="I2199" s="20">
        <f>Разбивка_по_щитам!L2204</f>
      </c>
      <c r="J2199" s="20">
        <f>Разбивка_по_щитам!M2204</f>
      </c>
      <c r="K2199" s="20">
        <f>Разбивка_по_щитам!N2204</f>
      </c>
      <c r="L2199" s="20"/>
      <c r="M2199" s="20">
        <f>Разбивка_по_щитам!P2204</f>
      </c>
      <c r="N2199" s="20"/>
    </row>
    <row r="2200" spans="2:14" x14ac:dyDescent="0.25">
      <c r="B2200" s="20">
        <f>Разбивка_по_щитам!B2205</f>
      </c>
      <c r="C2200" s="20">
        <f>Разбивка_по_щитам!C2205</f>
      </c>
      <c r="D2200" s="20">
        <f>Разбивка_по_щитам!F2205</f>
      </c>
      <c r="E2200" s="20">
        <f>Разбивка_по_щитам!H2205</f>
      </c>
      <c r="F2200" s="20">
        <f>Разбивка_по_щитам!I2205</f>
      </c>
      <c r="G2200" s="20">
        <f>Разбивка_по_щитам!J2205</f>
      </c>
      <c r="H2200" s="20">
        <f>Разбивка_по_щитам!K2205</f>
      </c>
      <c r="I2200" s="20">
        <f>Разбивка_по_щитам!L2205</f>
      </c>
      <c r="J2200" s="20">
        <f>Разбивка_по_щитам!M2205</f>
      </c>
      <c r="K2200" s="20">
        <f>Разбивка_по_щитам!N2205</f>
      </c>
      <c r="L2200" s="20"/>
      <c r="M2200" s="20">
        <f>Разбивка_по_щитам!P2205</f>
      </c>
      <c r="N2200" s="20"/>
    </row>
    <row r="2201" spans="2:14" x14ac:dyDescent="0.25">
      <c r="B2201" s="20">
        <f>Разбивка_по_щитам!B2206</f>
      </c>
      <c r="C2201" s="20">
        <f>Разбивка_по_щитам!C2206</f>
      </c>
      <c r="D2201" s="20">
        <f>Разбивка_по_щитам!F2206</f>
      </c>
      <c r="E2201" s="20">
        <f>Разбивка_по_щитам!H2206</f>
      </c>
      <c r="F2201" s="20">
        <f>Разбивка_по_щитам!I2206</f>
      </c>
      <c r="G2201" s="20">
        <f>Разбивка_по_щитам!J2206</f>
      </c>
      <c r="H2201" s="20">
        <f>Разбивка_по_щитам!K2206</f>
      </c>
      <c r="I2201" s="20">
        <f>Разбивка_по_щитам!L2206</f>
      </c>
      <c r="J2201" s="20">
        <f>Разбивка_по_щитам!M2206</f>
      </c>
      <c r="K2201" s="20">
        <f>Разбивка_по_щитам!N2206</f>
      </c>
      <c r="L2201" s="20"/>
      <c r="M2201" s="20">
        <f>Разбивка_по_щитам!P2206</f>
      </c>
      <c r="N2201" s="20"/>
    </row>
    <row r="2202" spans="2:14" x14ac:dyDescent="0.25">
      <c r="B2202" s="20">
        <f>Разбивка_по_щитам!B2207</f>
      </c>
      <c r="C2202" s="20">
        <f>Разбивка_по_щитам!C2207</f>
      </c>
      <c r="D2202" s="20">
        <f>Разбивка_по_щитам!F2207</f>
      </c>
      <c r="E2202" s="20">
        <f>Разбивка_по_щитам!H2207</f>
      </c>
      <c r="F2202" s="20">
        <f>Разбивка_по_щитам!I2207</f>
      </c>
      <c r="G2202" s="20">
        <f>Разбивка_по_щитам!J2207</f>
      </c>
      <c r="H2202" s="20">
        <f>Разбивка_по_щитам!K2207</f>
      </c>
      <c r="I2202" s="20">
        <f>Разбивка_по_щитам!L2207</f>
      </c>
      <c r="J2202" s="20">
        <f>Разбивка_по_щитам!M2207</f>
      </c>
      <c r="K2202" s="20">
        <f>Разбивка_по_щитам!N2207</f>
      </c>
      <c r="L2202" s="20"/>
      <c r="M2202" s="20">
        <f>Разбивка_по_щитам!P2207</f>
      </c>
      <c r="N2202" s="20"/>
    </row>
    <row r="2203" spans="2:14" x14ac:dyDescent="0.25">
      <c r="B2203" s="20">
        <f>Разбивка_по_щитам!B2208</f>
      </c>
      <c r="C2203" s="20">
        <f>Разбивка_по_щитам!C2208</f>
      </c>
      <c r="D2203" s="20">
        <f>Разбивка_по_щитам!F2208</f>
      </c>
      <c r="E2203" s="20">
        <f>Разбивка_по_щитам!H2208</f>
      </c>
      <c r="F2203" s="20">
        <f>Разбивка_по_щитам!I2208</f>
      </c>
      <c r="G2203" s="20">
        <f>Разбивка_по_щитам!J2208</f>
      </c>
      <c r="H2203" s="20">
        <f>Разбивка_по_щитам!K2208</f>
      </c>
      <c r="I2203" s="20">
        <f>Разбивка_по_щитам!L2208</f>
      </c>
      <c r="J2203" s="20">
        <f>Разбивка_по_щитам!M2208</f>
      </c>
      <c r="K2203" s="20">
        <f>Разбивка_по_щитам!N2208</f>
      </c>
      <c r="L2203" s="20"/>
      <c r="M2203" s="20">
        <f>Разбивка_по_щитам!P2208</f>
      </c>
      <c r="N2203" s="20"/>
    </row>
    <row r="2204" spans="2:14" x14ac:dyDescent="0.25">
      <c r="B2204" s="20">
        <f>Разбивка_по_щитам!B2209</f>
      </c>
      <c r="C2204" s="20">
        <f>Разбивка_по_щитам!C2209</f>
      </c>
      <c r="D2204" s="20">
        <f>Разбивка_по_щитам!F2209</f>
      </c>
      <c r="E2204" s="20">
        <f>Разбивка_по_щитам!H2209</f>
      </c>
      <c r="F2204" s="20">
        <f>Разбивка_по_щитам!I2209</f>
      </c>
      <c r="G2204" s="20">
        <f>Разбивка_по_щитам!J2209</f>
      </c>
      <c r="H2204" s="20">
        <f>Разбивка_по_щитам!K2209</f>
      </c>
      <c r="I2204" s="20">
        <f>Разбивка_по_щитам!L2209</f>
      </c>
      <c r="J2204" s="20">
        <f>Разбивка_по_щитам!M2209</f>
      </c>
      <c r="K2204" s="20">
        <f>Разбивка_по_щитам!N2209</f>
      </c>
      <c r="L2204" s="20"/>
      <c r="M2204" s="20">
        <f>Разбивка_по_щитам!P2209</f>
      </c>
      <c r="N2204" s="20"/>
    </row>
    <row r="2205" spans="2:14" x14ac:dyDescent="0.25">
      <c r="B2205" s="20">
        <f>Разбивка_по_щитам!B2210</f>
      </c>
      <c r="C2205" s="20">
        <f>Разбивка_по_щитам!C2210</f>
      </c>
      <c r="D2205" s="20">
        <f>Разбивка_по_щитам!F2210</f>
      </c>
      <c r="E2205" s="20">
        <f>Разбивка_по_щитам!H2210</f>
      </c>
      <c r="F2205" s="20">
        <f>Разбивка_по_щитам!I2210</f>
      </c>
      <c r="G2205" s="20">
        <f>Разбивка_по_щитам!J2210</f>
      </c>
      <c r="H2205" s="20">
        <f>Разбивка_по_щитам!K2210</f>
      </c>
      <c r="I2205" s="20">
        <f>Разбивка_по_щитам!L2210</f>
      </c>
      <c r="J2205" s="20">
        <f>Разбивка_по_щитам!M2210</f>
      </c>
      <c r="K2205" s="20">
        <f>Разбивка_по_щитам!N2210</f>
      </c>
      <c r="L2205" s="20"/>
      <c r="M2205" s="20">
        <f>Разбивка_по_щитам!P2210</f>
      </c>
      <c r="N2205" s="20"/>
    </row>
    <row r="2206" spans="2:14" x14ac:dyDescent="0.25">
      <c r="B2206" s="20">
        <f>Разбивка_по_щитам!B2211</f>
      </c>
      <c r="C2206" s="20">
        <f>Разбивка_по_щитам!C2211</f>
      </c>
      <c r="D2206" s="20">
        <f>Разбивка_по_щитам!F2211</f>
      </c>
      <c r="E2206" s="20">
        <f>Разбивка_по_щитам!H2211</f>
      </c>
      <c r="F2206" s="20">
        <f>Разбивка_по_щитам!I2211</f>
      </c>
      <c r="G2206" s="20">
        <f>Разбивка_по_щитам!J2211</f>
      </c>
      <c r="H2206" s="20">
        <f>Разбивка_по_щитам!K2211</f>
      </c>
      <c r="I2206" s="20">
        <f>Разбивка_по_щитам!L2211</f>
      </c>
      <c r="J2206" s="20">
        <f>Разбивка_по_щитам!M2211</f>
      </c>
      <c r="K2206" s="20">
        <f>Разбивка_по_щитам!N2211</f>
      </c>
      <c r="L2206" s="20"/>
      <c r="M2206" s="20">
        <f>Разбивка_по_щитам!P2211</f>
      </c>
      <c r="N2206" s="20"/>
    </row>
    <row r="2207" spans="2:14" x14ac:dyDescent="0.25">
      <c r="B2207" s="20">
        <f>Разбивка_по_щитам!B2212</f>
      </c>
      <c r="C2207" s="20">
        <f>Разбивка_по_щитам!C2212</f>
      </c>
      <c r="D2207" s="20">
        <f>Разбивка_по_щитам!F2212</f>
      </c>
      <c r="E2207" s="20">
        <f>Разбивка_по_щитам!H2212</f>
      </c>
      <c r="F2207" s="20">
        <f>Разбивка_по_щитам!I2212</f>
      </c>
      <c r="G2207" s="20">
        <f>Разбивка_по_щитам!J2212</f>
      </c>
      <c r="H2207" s="20">
        <f>Разбивка_по_щитам!K2212</f>
      </c>
      <c r="I2207" s="20">
        <f>Разбивка_по_щитам!L2212</f>
      </c>
      <c r="J2207" s="20">
        <f>Разбивка_по_щитам!M2212</f>
      </c>
      <c r="K2207" s="20">
        <f>Разбивка_по_щитам!N2212</f>
      </c>
      <c r="L2207" s="20"/>
      <c r="M2207" s="20">
        <f>Разбивка_по_щитам!P2212</f>
      </c>
      <c r="N2207" s="20"/>
    </row>
    <row r="2208" spans="2:14" x14ac:dyDescent="0.25">
      <c r="B2208" s="20">
        <f>Разбивка_по_щитам!B2213</f>
      </c>
      <c r="C2208" s="20">
        <f>Разбивка_по_щитам!C2213</f>
      </c>
      <c r="D2208" s="20">
        <f>Разбивка_по_щитам!F2213</f>
      </c>
      <c r="E2208" s="20">
        <f>Разбивка_по_щитам!H2213</f>
      </c>
      <c r="F2208" s="20">
        <f>Разбивка_по_щитам!I2213</f>
      </c>
      <c r="G2208" s="20">
        <f>Разбивка_по_щитам!J2213</f>
      </c>
      <c r="H2208" s="20">
        <f>Разбивка_по_щитам!K2213</f>
      </c>
      <c r="I2208" s="20">
        <f>Разбивка_по_щитам!L2213</f>
      </c>
      <c r="J2208" s="20">
        <f>Разбивка_по_щитам!M2213</f>
      </c>
      <c r="K2208" s="20">
        <f>Разбивка_по_щитам!N2213</f>
      </c>
      <c r="L2208" s="20"/>
      <c r="M2208" s="20">
        <f>Разбивка_по_щитам!P2213</f>
      </c>
      <c r="N2208" s="20"/>
    </row>
    <row r="2209" spans="2:14" x14ac:dyDescent="0.25">
      <c r="B2209" s="20">
        <f>Разбивка_по_щитам!B2214</f>
      </c>
      <c r="C2209" s="20">
        <f>Разбивка_по_щитам!C2214</f>
      </c>
      <c r="D2209" s="20">
        <f>Разбивка_по_щитам!F2214</f>
      </c>
      <c r="E2209" s="20">
        <f>Разбивка_по_щитам!H2214</f>
      </c>
      <c r="F2209" s="20">
        <f>Разбивка_по_щитам!I2214</f>
      </c>
      <c r="G2209" s="20">
        <f>Разбивка_по_щитам!J2214</f>
      </c>
      <c r="H2209" s="20">
        <f>Разбивка_по_щитам!K2214</f>
      </c>
      <c r="I2209" s="20">
        <f>Разбивка_по_щитам!L2214</f>
      </c>
      <c r="J2209" s="20">
        <f>Разбивка_по_щитам!M2214</f>
      </c>
      <c r="K2209" s="20">
        <f>Разбивка_по_щитам!N2214</f>
      </c>
      <c r="L2209" s="20"/>
      <c r="M2209" s="20">
        <f>Разбивка_по_щитам!P2214</f>
      </c>
      <c r="N2209" s="20"/>
    </row>
    <row r="2210" spans="2:14" x14ac:dyDescent="0.25">
      <c r="B2210" s="20">
        <f>Разбивка_по_щитам!B2215</f>
      </c>
      <c r="C2210" s="20">
        <f>Разбивка_по_щитам!C2215</f>
      </c>
      <c r="D2210" s="20">
        <f>Разбивка_по_щитам!F2215</f>
      </c>
      <c r="E2210" s="20">
        <f>Разбивка_по_щитам!H2215</f>
      </c>
      <c r="F2210" s="20">
        <f>Разбивка_по_щитам!I2215</f>
      </c>
      <c r="G2210" s="20">
        <f>Разбивка_по_щитам!J2215</f>
      </c>
      <c r="H2210" s="20">
        <f>Разбивка_по_щитам!K2215</f>
      </c>
      <c r="I2210" s="20">
        <f>Разбивка_по_щитам!L2215</f>
      </c>
      <c r="J2210" s="20">
        <f>Разбивка_по_щитам!M2215</f>
      </c>
      <c r="K2210" s="20">
        <f>Разбивка_по_щитам!N2215</f>
      </c>
      <c r="L2210" s="20"/>
      <c r="M2210" s="20">
        <f>Разбивка_по_щитам!P2215</f>
      </c>
      <c r="N2210" s="20"/>
    </row>
    <row r="2211" spans="2:14" x14ac:dyDescent="0.25">
      <c r="B2211" s="20">
        <f>Разбивка_по_щитам!B2216</f>
      </c>
      <c r="C2211" s="20">
        <f>Разбивка_по_щитам!C2216</f>
      </c>
      <c r="D2211" s="20">
        <f>Разбивка_по_щитам!F2216</f>
      </c>
      <c r="E2211" s="20">
        <f>Разбивка_по_щитам!H2216</f>
      </c>
      <c r="F2211" s="20">
        <f>Разбивка_по_щитам!I2216</f>
      </c>
      <c r="G2211" s="20">
        <f>Разбивка_по_щитам!J2216</f>
      </c>
      <c r="H2211" s="20">
        <f>Разбивка_по_щитам!K2216</f>
      </c>
      <c r="I2211" s="20">
        <f>Разбивка_по_щитам!L2216</f>
      </c>
      <c r="J2211" s="20">
        <f>Разбивка_по_щитам!M2216</f>
      </c>
      <c r="K2211" s="20">
        <f>Разбивка_по_щитам!N2216</f>
      </c>
      <c r="L2211" s="20"/>
      <c r="M2211" s="20">
        <f>Разбивка_по_щитам!P2216</f>
      </c>
      <c r="N2211" s="20"/>
    </row>
    <row r="2212" spans="2:14" x14ac:dyDescent="0.25">
      <c r="B2212" s="20">
        <f>Разбивка_по_щитам!B2217</f>
      </c>
      <c r="C2212" s="20">
        <f>Разбивка_по_щитам!C2217</f>
      </c>
      <c r="D2212" s="20">
        <f>Разбивка_по_щитам!F2217</f>
      </c>
      <c r="E2212" s="20">
        <f>Разбивка_по_щитам!H2217</f>
      </c>
      <c r="F2212" s="20">
        <f>Разбивка_по_щитам!I2217</f>
      </c>
      <c r="G2212" s="20">
        <f>Разбивка_по_щитам!J2217</f>
      </c>
      <c r="H2212" s="20">
        <f>Разбивка_по_щитам!K2217</f>
      </c>
      <c r="I2212" s="20">
        <f>Разбивка_по_щитам!L2217</f>
      </c>
      <c r="J2212" s="20">
        <f>Разбивка_по_щитам!M2217</f>
      </c>
      <c r="K2212" s="20">
        <f>Разбивка_по_щитам!N2217</f>
      </c>
      <c r="L2212" s="20"/>
      <c r="M2212" s="20">
        <f>Разбивка_по_щитам!P2217</f>
      </c>
      <c r="N2212" s="20"/>
    </row>
    <row r="2213" spans="2:14" x14ac:dyDescent="0.25">
      <c r="B2213" s="20">
        <f>Разбивка_по_щитам!B2218</f>
      </c>
      <c r="C2213" s="20">
        <f>Разбивка_по_щитам!C2218</f>
      </c>
      <c r="D2213" s="20">
        <f>Разбивка_по_щитам!F2218</f>
      </c>
      <c r="E2213" s="20">
        <f>Разбивка_по_щитам!H2218</f>
      </c>
      <c r="F2213" s="20">
        <f>Разбивка_по_щитам!I2218</f>
      </c>
      <c r="G2213" s="20">
        <f>Разбивка_по_щитам!J2218</f>
      </c>
      <c r="H2213" s="20">
        <f>Разбивка_по_щитам!K2218</f>
      </c>
      <c r="I2213" s="20">
        <f>Разбивка_по_щитам!L2218</f>
      </c>
      <c r="J2213" s="20">
        <f>Разбивка_по_щитам!M2218</f>
      </c>
      <c r="K2213" s="20">
        <f>Разбивка_по_щитам!N2218</f>
      </c>
      <c r="L2213" s="20"/>
      <c r="M2213" s="20">
        <f>Разбивка_по_щитам!P2218</f>
      </c>
      <c r="N2213" s="20"/>
    </row>
    <row r="2214" spans="2:14" x14ac:dyDescent="0.25">
      <c r="B2214" s="20">
        <f>Разбивка_по_щитам!B2219</f>
      </c>
      <c r="C2214" s="20">
        <f>Разбивка_по_щитам!C2219</f>
      </c>
      <c r="D2214" s="20">
        <f>Разбивка_по_щитам!F2219</f>
      </c>
      <c r="E2214" s="20">
        <f>Разбивка_по_щитам!H2219</f>
      </c>
      <c r="F2214" s="20">
        <f>Разбивка_по_щитам!I2219</f>
      </c>
      <c r="G2214" s="20">
        <f>Разбивка_по_щитам!J2219</f>
      </c>
      <c r="H2214" s="20">
        <f>Разбивка_по_щитам!K2219</f>
      </c>
      <c r="I2214" s="20">
        <f>Разбивка_по_щитам!L2219</f>
      </c>
      <c r="J2214" s="20">
        <f>Разбивка_по_щитам!M2219</f>
      </c>
      <c r="K2214" s="20">
        <f>Разбивка_по_щитам!N2219</f>
      </c>
      <c r="L2214" s="20"/>
      <c r="M2214" s="20">
        <f>Разбивка_по_щитам!P2219</f>
      </c>
      <c r="N2214" s="20"/>
    </row>
    <row r="2215" spans="2:14" x14ac:dyDescent="0.25">
      <c r="B2215" s="20">
        <f>Разбивка_по_щитам!B2220</f>
      </c>
      <c r="C2215" s="20">
        <f>Разбивка_по_щитам!C2220</f>
      </c>
      <c r="D2215" s="20">
        <f>Разбивка_по_щитам!F2220</f>
      </c>
      <c r="E2215" s="20">
        <f>Разбивка_по_щитам!H2220</f>
      </c>
      <c r="F2215" s="20">
        <f>Разбивка_по_щитам!I2220</f>
      </c>
      <c r="G2215" s="20">
        <f>Разбивка_по_щитам!J2220</f>
      </c>
      <c r="H2215" s="20">
        <f>Разбивка_по_щитам!K2220</f>
      </c>
      <c r="I2215" s="20">
        <f>Разбивка_по_щитам!L2220</f>
      </c>
      <c r="J2215" s="20">
        <f>Разбивка_по_щитам!M2220</f>
      </c>
      <c r="K2215" s="20">
        <f>Разбивка_по_щитам!N2220</f>
      </c>
      <c r="L2215" s="20"/>
      <c r="M2215" s="20">
        <f>Разбивка_по_щитам!P2220</f>
      </c>
      <c r="N2215" s="20"/>
    </row>
    <row r="2216" spans="2:14" x14ac:dyDescent="0.25">
      <c r="B2216" s="20">
        <f>Разбивка_по_щитам!B2221</f>
      </c>
      <c r="C2216" s="20">
        <f>Разбивка_по_щитам!C2221</f>
      </c>
      <c r="D2216" s="20">
        <f>Разбивка_по_щитам!F2221</f>
      </c>
      <c r="E2216" s="20">
        <f>Разбивка_по_щитам!H2221</f>
      </c>
      <c r="F2216" s="20">
        <f>Разбивка_по_щитам!I2221</f>
      </c>
      <c r="G2216" s="20">
        <f>Разбивка_по_щитам!J2221</f>
      </c>
      <c r="H2216" s="20">
        <f>Разбивка_по_щитам!K2221</f>
      </c>
      <c r="I2216" s="20">
        <f>Разбивка_по_щитам!L2221</f>
      </c>
      <c r="J2216" s="20">
        <f>Разбивка_по_щитам!M2221</f>
      </c>
      <c r="K2216" s="20">
        <f>Разбивка_по_щитам!N2221</f>
      </c>
      <c r="L2216" s="20"/>
      <c r="M2216" s="20">
        <f>Разбивка_по_щитам!P2221</f>
      </c>
      <c r="N2216" s="20"/>
    </row>
    <row r="2217" spans="2:14" x14ac:dyDescent="0.25">
      <c r="B2217" s="20">
        <f>Разбивка_по_щитам!B2222</f>
      </c>
      <c r="C2217" s="20">
        <f>Разбивка_по_щитам!C2222</f>
      </c>
      <c r="D2217" s="20">
        <f>Разбивка_по_щитам!F2222</f>
      </c>
      <c r="E2217" s="20">
        <f>Разбивка_по_щитам!H2222</f>
      </c>
      <c r="F2217" s="20">
        <f>Разбивка_по_щитам!I2222</f>
      </c>
      <c r="G2217" s="20">
        <f>Разбивка_по_щитам!J2222</f>
      </c>
      <c r="H2217" s="20">
        <f>Разбивка_по_щитам!K2222</f>
      </c>
      <c r="I2217" s="20">
        <f>Разбивка_по_щитам!L2222</f>
      </c>
      <c r="J2217" s="20">
        <f>Разбивка_по_щитам!M2222</f>
      </c>
      <c r="K2217" s="20">
        <f>Разбивка_по_щитам!N2222</f>
      </c>
      <c r="L2217" s="20"/>
      <c r="M2217" s="20">
        <f>Разбивка_по_щитам!P2222</f>
      </c>
      <c r="N2217" s="20"/>
    </row>
    <row r="2218" spans="2:14" x14ac:dyDescent="0.25">
      <c r="B2218" s="20">
        <f>Разбивка_по_щитам!B2223</f>
      </c>
      <c r="C2218" s="20">
        <f>Разбивка_по_щитам!C2223</f>
      </c>
      <c r="D2218" s="20">
        <f>Разбивка_по_щитам!F2223</f>
      </c>
      <c r="E2218" s="20">
        <f>Разбивка_по_щитам!H2223</f>
      </c>
      <c r="F2218" s="20">
        <f>Разбивка_по_щитам!I2223</f>
      </c>
      <c r="G2218" s="20">
        <f>Разбивка_по_щитам!J2223</f>
      </c>
      <c r="H2218" s="20">
        <f>Разбивка_по_щитам!K2223</f>
      </c>
      <c r="I2218" s="20">
        <f>Разбивка_по_щитам!L2223</f>
      </c>
      <c r="J2218" s="20">
        <f>Разбивка_по_щитам!M2223</f>
      </c>
      <c r="K2218" s="20">
        <f>Разбивка_по_щитам!N2223</f>
      </c>
      <c r="L2218" s="20"/>
      <c r="M2218" s="20">
        <f>Разбивка_по_щитам!P2223</f>
      </c>
      <c r="N2218" s="20"/>
    </row>
    <row r="2219" spans="2:14" x14ac:dyDescent="0.25">
      <c r="B2219" s="20">
        <f>Разбивка_по_щитам!B2224</f>
      </c>
      <c r="C2219" s="20">
        <f>Разбивка_по_щитам!C2224</f>
      </c>
      <c r="D2219" s="20">
        <f>Разбивка_по_щитам!F2224</f>
      </c>
      <c r="E2219" s="20">
        <f>Разбивка_по_щитам!H2224</f>
      </c>
      <c r="F2219" s="20">
        <f>Разбивка_по_щитам!I2224</f>
      </c>
      <c r="G2219" s="20">
        <f>Разбивка_по_щитам!J2224</f>
      </c>
      <c r="H2219" s="20">
        <f>Разбивка_по_щитам!K2224</f>
      </c>
      <c r="I2219" s="20">
        <f>Разбивка_по_щитам!L2224</f>
      </c>
      <c r="J2219" s="20">
        <f>Разбивка_по_щитам!M2224</f>
      </c>
      <c r="K2219" s="20">
        <f>Разбивка_по_щитам!N2224</f>
      </c>
      <c r="L2219" s="20"/>
      <c r="M2219" s="20">
        <f>Разбивка_по_щитам!P2224</f>
      </c>
      <c r="N2219" s="20"/>
    </row>
    <row r="2220" spans="2:14" x14ac:dyDescent="0.25">
      <c r="B2220" s="20">
        <f>Разбивка_по_щитам!B2225</f>
      </c>
      <c r="C2220" s="20">
        <f>Разбивка_по_щитам!C2225</f>
      </c>
      <c r="D2220" s="20">
        <f>Разбивка_по_щитам!F2225</f>
      </c>
      <c r="E2220" s="20">
        <f>Разбивка_по_щитам!H2225</f>
      </c>
      <c r="F2220" s="20">
        <f>Разбивка_по_щитам!I2225</f>
      </c>
      <c r="G2220" s="20">
        <f>Разбивка_по_щитам!J2225</f>
      </c>
      <c r="H2220" s="20">
        <f>Разбивка_по_щитам!K2225</f>
      </c>
      <c r="I2220" s="20">
        <f>Разбивка_по_щитам!L2225</f>
      </c>
      <c r="J2220" s="20">
        <f>Разбивка_по_щитам!M2225</f>
      </c>
      <c r="K2220" s="20">
        <f>Разбивка_по_щитам!N2225</f>
      </c>
      <c r="L2220" s="20"/>
      <c r="M2220" s="20">
        <f>Разбивка_по_щитам!P2225</f>
      </c>
      <c r="N2220" s="20"/>
    </row>
    <row r="2221" spans="2:14" x14ac:dyDescent="0.25">
      <c r="B2221" s="20">
        <f>Разбивка_по_щитам!B2226</f>
      </c>
      <c r="C2221" s="20">
        <f>Разбивка_по_щитам!C2226</f>
      </c>
      <c r="D2221" s="20">
        <f>Разбивка_по_щитам!F2226</f>
      </c>
      <c r="E2221" s="20">
        <f>Разбивка_по_щитам!H2226</f>
      </c>
      <c r="F2221" s="20">
        <f>Разбивка_по_щитам!I2226</f>
      </c>
      <c r="G2221" s="20">
        <f>Разбивка_по_щитам!J2226</f>
      </c>
      <c r="H2221" s="20">
        <f>Разбивка_по_щитам!K2226</f>
      </c>
      <c r="I2221" s="20">
        <f>Разбивка_по_щитам!L2226</f>
      </c>
      <c r="J2221" s="20">
        <f>Разбивка_по_щитам!M2226</f>
      </c>
      <c r="K2221" s="20">
        <f>Разбивка_по_щитам!N2226</f>
      </c>
      <c r="L2221" s="20"/>
      <c r="M2221" s="20">
        <f>Разбивка_по_щитам!P2226</f>
      </c>
      <c r="N2221" s="20"/>
    </row>
    <row r="2222" spans="2:14" x14ac:dyDescent="0.25">
      <c r="B2222" s="20">
        <f>Разбивка_по_щитам!B2227</f>
      </c>
      <c r="C2222" s="20">
        <f>Разбивка_по_щитам!C2227</f>
      </c>
      <c r="D2222" s="20">
        <f>Разбивка_по_щитам!F2227</f>
      </c>
      <c r="E2222" s="20">
        <f>Разбивка_по_щитам!H2227</f>
      </c>
      <c r="F2222" s="20">
        <f>Разбивка_по_щитам!I2227</f>
      </c>
      <c r="G2222" s="20">
        <f>Разбивка_по_щитам!J2227</f>
      </c>
      <c r="H2222" s="20">
        <f>Разбивка_по_щитам!K2227</f>
      </c>
      <c r="I2222" s="20">
        <f>Разбивка_по_щитам!L2227</f>
      </c>
      <c r="J2222" s="20">
        <f>Разбивка_по_щитам!M2227</f>
      </c>
      <c r="K2222" s="20">
        <f>Разбивка_по_щитам!N2227</f>
      </c>
      <c r="L2222" s="20"/>
      <c r="M2222" s="20">
        <f>Разбивка_по_щитам!P2227</f>
      </c>
      <c r="N2222" s="20"/>
    </row>
    <row r="2223" spans="2:14" x14ac:dyDescent="0.25">
      <c r="B2223" s="20">
        <f>Разбивка_по_щитам!B2228</f>
      </c>
      <c r="C2223" s="20">
        <f>Разбивка_по_щитам!C2228</f>
      </c>
      <c r="D2223" s="20">
        <f>Разбивка_по_щитам!F2228</f>
      </c>
      <c r="E2223" s="20">
        <f>Разбивка_по_щитам!H2228</f>
      </c>
      <c r="F2223" s="20">
        <f>Разбивка_по_щитам!I2228</f>
      </c>
      <c r="G2223" s="20">
        <f>Разбивка_по_щитам!J2228</f>
      </c>
      <c r="H2223" s="20">
        <f>Разбивка_по_щитам!K2228</f>
      </c>
      <c r="I2223" s="20">
        <f>Разбивка_по_щитам!L2228</f>
      </c>
      <c r="J2223" s="20">
        <f>Разбивка_по_щитам!M2228</f>
      </c>
      <c r="K2223" s="20">
        <f>Разбивка_по_щитам!N2228</f>
      </c>
      <c r="L2223" s="20"/>
      <c r="M2223" s="20">
        <f>Разбивка_по_щитам!P2228</f>
      </c>
      <c r="N2223" s="20"/>
    </row>
    <row r="2224" spans="2:14" x14ac:dyDescent="0.25">
      <c r="B2224" s="20">
        <f>Разбивка_по_щитам!B2229</f>
      </c>
      <c r="C2224" s="20">
        <f>Разбивка_по_щитам!C2229</f>
      </c>
      <c r="D2224" s="20">
        <f>Разбивка_по_щитам!F2229</f>
      </c>
      <c r="E2224" s="20">
        <f>Разбивка_по_щитам!H2229</f>
      </c>
      <c r="F2224" s="20">
        <f>Разбивка_по_щитам!I2229</f>
      </c>
      <c r="G2224" s="20">
        <f>Разбивка_по_щитам!J2229</f>
      </c>
      <c r="H2224" s="20">
        <f>Разбивка_по_щитам!K2229</f>
      </c>
      <c r="I2224" s="20">
        <f>Разбивка_по_щитам!L2229</f>
      </c>
      <c r="J2224" s="20">
        <f>Разбивка_по_щитам!M2229</f>
      </c>
      <c r="K2224" s="20">
        <f>Разбивка_по_щитам!N2229</f>
      </c>
      <c r="L2224" s="20"/>
      <c r="M2224" s="20">
        <f>Разбивка_по_щитам!P2229</f>
      </c>
      <c r="N2224" s="20"/>
    </row>
    <row r="2225" spans="2:14" x14ac:dyDescent="0.25">
      <c r="B2225" s="20">
        <f>Разбивка_по_щитам!B2230</f>
      </c>
      <c r="C2225" s="20">
        <f>Разбивка_по_щитам!C2230</f>
      </c>
      <c r="D2225" s="20">
        <f>Разбивка_по_щитам!F2230</f>
      </c>
      <c r="E2225" s="20">
        <f>Разбивка_по_щитам!H2230</f>
      </c>
      <c r="F2225" s="20">
        <f>Разбивка_по_щитам!I2230</f>
      </c>
      <c r="G2225" s="20">
        <f>Разбивка_по_щитам!J2230</f>
      </c>
      <c r="H2225" s="20">
        <f>Разбивка_по_щитам!K2230</f>
      </c>
      <c r="I2225" s="20">
        <f>Разбивка_по_щитам!L2230</f>
      </c>
      <c r="J2225" s="20">
        <f>Разбивка_по_щитам!M2230</f>
      </c>
      <c r="K2225" s="20">
        <f>Разбивка_по_щитам!N2230</f>
      </c>
      <c r="L2225" s="20"/>
      <c r="M2225" s="20">
        <f>Разбивка_по_щитам!P2230</f>
      </c>
      <c r="N2225" s="20"/>
    </row>
    <row r="2226" spans="2:14" x14ac:dyDescent="0.25">
      <c r="B2226" s="20">
        <f>Разбивка_по_щитам!B2231</f>
      </c>
      <c r="C2226" s="20">
        <f>Разбивка_по_щитам!C2231</f>
      </c>
      <c r="D2226" s="20">
        <f>Разбивка_по_щитам!F2231</f>
      </c>
      <c r="E2226" s="20">
        <f>Разбивка_по_щитам!H2231</f>
      </c>
      <c r="F2226" s="20">
        <f>Разбивка_по_щитам!I2231</f>
      </c>
      <c r="G2226" s="20">
        <f>Разбивка_по_щитам!J2231</f>
      </c>
      <c r="H2226" s="20">
        <f>Разбивка_по_щитам!K2231</f>
      </c>
      <c r="I2226" s="20">
        <f>Разбивка_по_щитам!L2231</f>
      </c>
      <c r="J2226" s="20">
        <f>Разбивка_по_щитам!M2231</f>
      </c>
      <c r="K2226" s="20">
        <f>Разбивка_по_щитам!N2231</f>
      </c>
      <c r="L2226" s="20"/>
      <c r="M2226" s="20">
        <f>Разбивка_по_щитам!P2231</f>
      </c>
      <c r="N2226" s="20"/>
    </row>
    <row r="2227" spans="2:14" x14ac:dyDescent="0.25">
      <c r="B2227" s="20">
        <f>Разбивка_по_щитам!B2232</f>
      </c>
      <c r="C2227" s="20">
        <f>Разбивка_по_щитам!C2232</f>
      </c>
      <c r="D2227" s="20">
        <f>Разбивка_по_щитам!F2232</f>
      </c>
      <c r="E2227" s="20">
        <f>Разбивка_по_щитам!H2232</f>
      </c>
      <c r="F2227" s="20">
        <f>Разбивка_по_щитам!I2232</f>
      </c>
      <c r="G2227" s="20">
        <f>Разбивка_по_щитам!J2232</f>
      </c>
      <c r="H2227" s="20">
        <f>Разбивка_по_щитам!K2232</f>
      </c>
      <c r="I2227" s="20">
        <f>Разбивка_по_щитам!L2232</f>
      </c>
      <c r="J2227" s="20">
        <f>Разбивка_по_щитам!M2232</f>
      </c>
      <c r="K2227" s="20">
        <f>Разбивка_по_щитам!N2232</f>
      </c>
      <c r="L2227" s="20"/>
      <c r="M2227" s="20">
        <f>Разбивка_по_щитам!P2232</f>
      </c>
      <c r="N2227" s="20"/>
    </row>
    <row r="2228" spans="2:14" x14ac:dyDescent="0.25">
      <c r="B2228" s="20">
        <f>Разбивка_по_щитам!B2233</f>
      </c>
      <c r="C2228" s="20">
        <f>Разбивка_по_щитам!C2233</f>
      </c>
      <c r="D2228" s="20">
        <f>Разбивка_по_щитам!F2233</f>
      </c>
      <c r="E2228" s="20">
        <f>Разбивка_по_щитам!H2233</f>
      </c>
      <c r="F2228" s="20">
        <f>Разбивка_по_щитам!I2233</f>
      </c>
      <c r="G2228" s="20">
        <f>Разбивка_по_щитам!J2233</f>
      </c>
      <c r="H2228" s="20">
        <f>Разбивка_по_щитам!K2233</f>
      </c>
      <c r="I2228" s="20">
        <f>Разбивка_по_щитам!L2233</f>
      </c>
      <c r="J2228" s="20">
        <f>Разбивка_по_щитам!M2233</f>
      </c>
      <c r="K2228" s="20">
        <f>Разбивка_по_щитам!N2233</f>
      </c>
      <c r="L2228" s="20"/>
      <c r="M2228" s="20">
        <f>Разбивка_по_щитам!P2233</f>
      </c>
      <c r="N2228" s="20"/>
    </row>
    <row r="2229" spans="2:14" x14ac:dyDescent="0.25">
      <c r="B2229" s="20">
        <f>Разбивка_по_щитам!B2234</f>
      </c>
      <c r="C2229" s="20">
        <f>Разбивка_по_щитам!C2234</f>
      </c>
      <c r="D2229" s="20">
        <f>Разбивка_по_щитам!F2234</f>
      </c>
      <c r="E2229" s="20">
        <f>Разбивка_по_щитам!H2234</f>
      </c>
      <c r="F2229" s="20">
        <f>Разбивка_по_щитам!I2234</f>
      </c>
      <c r="G2229" s="20">
        <f>Разбивка_по_щитам!J2234</f>
      </c>
      <c r="H2229" s="20">
        <f>Разбивка_по_щитам!K2234</f>
      </c>
      <c r="I2229" s="20">
        <f>Разбивка_по_щитам!L2234</f>
      </c>
      <c r="J2229" s="20">
        <f>Разбивка_по_щитам!M2234</f>
      </c>
      <c r="K2229" s="20">
        <f>Разбивка_по_щитам!N2234</f>
      </c>
      <c r="L2229" s="20"/>
      <c r="M2229" s="20">
        <f>Разбивка_по_щитам!P2234</f>
      </c>
      <c r="N2229" s="20"/>
    </row>
    <row r="2230" spans="2:14" x14ac:dyDescent="0.25">
      <c r="B2230" s="20">
        <f>Разбивка_по_щитам!B2235</f>
      </c>
      <c r="C2230" s="20">
        <f>Разбивка_по_щитам!C2235</f>
      </c>
      <c r="D2230" s="20">
        <f>Разбивка_по_щитам!F2235</f>
      </c>
      <c r="E2230" s="20">
        <f>Разбивка_по_щитам!H2235</f>
      </c>
      <c r="F2230" s="20">
        <f>Разбивка_по_щитам!I2235</f>
      </c>
      <c r="G2230" s="20">
        <f>Разбивка_по_щитам!J2235</f>
      </c>
      <c r="H2230" s="20">
        <f>Разбивка_по_щитам!K2235</f>
      </c>
      <c r="I2230" s="20">
        <f>Разбивка_по_щитам!L2235</f>
      </c>
      <c r="J2230" s="20">
        <f>Разбивка_по_щитам!M2235</f>
      </c>
      <c r="K2230" s="20">
        <f>Разбивка_по_щитам!N2235</f>
      </c>
      <c r="L2230" s="20"/>
      <c r="M2230" s="20">
        <f>Разбивка_по_щитам!P2235</f>
      </c>
      <c r="N2230" s="20"/>
    </row>
    <row r="2231" spans="2:14" x14ac:dyDescent="0.25">
      <c r="B2231" s="20">
        <f>Разбивка_по_щитам!B2236</f>
      </c>
      <c r="C2231" s="20">
        <f>Разбивка_по_щитам!C2236</f>
      </c>
      <c r="D2231" s="20">
        <f>Разбивка_по_щитам!F2236</f>
      </c>
      <c r="E2231" s="20">
        <f>Разбивка_по_щитам!H2236</f>
      </c>
      <c r="F2231" s="20">
        <f>Разбивка_по_щитам!I2236</f>
      </c>
      <c r="G2231" s="20">
        <f>Разбивка_по_щитам!J2236</f>
      </c>
      <c r="H2231" s="20">
        <f>Разбивка_по_щитам!K2236</f>
      </c>
      <c r="I2231" s="20">
        <f>Разбивка_по_щитам!L2236</f>
      </c>
      <c r="J2231" s="20">
        <f>Разбивка_по_щитам!M2236</f>
      </c>
      <c r="K2231" s="20">
        <f>Разбивка_по_щитам!N2236</f>
      </c>
      <c r="L2231" s="20"/>
      <c r="M2231" s="20">
        <f>Разбивка_по_щитам!P2236</f>
      </c>
      <c r="N2231" s="20"/>
    </row>
    <row r="2232" spans="2:14" x14ac:dyDescent="0.25">
      <c r="B2232" s="20">
        <f>Разбивка_по_щитам!B2237</f>
      </c>
      <c r="C2232" s="20">
        <f>Разбивка_по_щитам!C2237</f>
      </c>
      <c r="D2232" s="20">
        <f>Разбивка_по_щитам!F2237</f>
      </c>
      <c r="E2232" s="20">
        <f>Разбивка_по_щитам!H2237</f>
      </c>
      <c r="F2232" s="20">
        <f>Разбивка_по_щитам!I2237</f>
      </c>
      <c r="G2232" s="20">
        <f>Разбивка_по_щитам!J2237</f>
      </c>
      <c r="H2232" s="20">
        <f>Разбивка_по_щитам!K2237</f>
      </c>
      <c r="I2232" s="20">
        <f>Разбивка_по_щитам!L2237</f>
      </c>
      <c r="J2232" s="20">
        <f>Разбивка_по_щитам!M2237</f>
      </c>
      <c r="K2232" s="20">
        <f>Разбивка_по_щитам!N2237</f>
      </c>
      <c r="L2232" s="20"/>
      <c r="M2232" s="20">
        <f>Разбивка_по_щитам!P2237</f>
      </c>
      <c r="N2232" s="20"/>
    </row>
    <row r="2233" spans="2:14" x14ac:dyDescent="0.25">
      <c r="B2233" s="20">
        <f>Разбивка_по_щитам!B2238</f>
      </c>
      <c r="C2233" s="20">
        <f>Разбивка_по_щитам!C2238</f>
      </c>
      <c r="D2233" s="20">
        <f>Разбивка_по_щитам!F2238</f>
      </c>
      <c r="E2233" s="20">
        <f>Разбивка_по_щитам!H2238</f>
      </c>
      <c r="F2233" s="20">
        <f>Разбивка_по_щитам!I2238</f>
      </c>
      <c r="G2233" s="20">
        <f>Разбивка_по_щитам!J2238</f>
      </c>
      <c r="H2233" s="20">
        <f>Разбивка_по_щитам!K2238</f>
      </c>
      <c r="I2233" s="20">
        <f>Разбивка_по_щитам!L2238</f>
      </c>
      <c r="J2233" s="20">
        <f>Разбивка_по_щитам!M2238</f>
      </c>
      <c r="K2233" s="20">
        <f>Разбивка_по_щитам!N2238</f>
      </c>
      <c r="L2233" s="20"/>
      <c r="M2233" s="20">
        <f>Разбивка_по_щитам!P2238</f>
      </c>
      <c r="N2233" s="20"/>
    </row>
    <row r="2234" spans="2:14" x14ac:dyDescent="0.25">
      <c r="B2234" s="20">
        <f>Разбивка_по_щитам!B2239</f>
      </c>
      <c r="C2234" s="20">
        <f>Разбивка_по_щитам!C2239</f>
      </c>
      <c r="D2234" s="20">
        <f>Разбивка_по_щитам!F2239</f>
      </c>
      <c r="E2234" s="20">
        <f>Разбивка_по_щитам!H2239</f>
      </c>
      <c r="F2234" s="20">
        <f>Разбивка_по_щитам!I2239</f>
      </c>
      <c r="G2234" s="20">
        <f>Разбивка_по_щитам!J2239</f>
      </c>
      <c r="H2234" s="20">
        <f>Разбивка_по_щитам!K2239</f>
      </c>
      <c r="I2234" s="20">
        <f>Разбивка_по_щитам!L2239</f>
      </c>
      <c r="J2234" s="20">
        <f>Разбивка_по_щитам!M2239</f>
      </c>
      <c r="K2234" s="20">
        <f>Разбивка_по_щитам!N2239</f>
      </c>
      <c r="L2234" s="20"/>
      <c r="M2234" s="20">
        <f>Разбивка_по_щитам!P2239</f>
      </c>
      <c r="N2234" s="20"/>
    </row>
    <row r="2235" spans="2:14" x14ac:dyDescent="0.25">
      <c r="B2235" s="20">
        <f>Разбивка_по_щитам!B2240</f>
      </c>
      <c r="C2235" s="20">
        <f>Разбивка_по_щитам!C2240</f>
      </c>
      <c r="D2235" s="20">
        <f>Разбивка_по_щитам!F2240</f>
      </c>
      <c r="E2235" s="20">
        <f>Разбивка_по_щитам!H2240</f>
      </c>
      <c r="F2235" s="20">
        <f>Разбивка_по_щитам!I2240</f>
      </c>
      <c r="G2235" s="20">
        <f>Разбивка_по_щитам!J2240</f>
      </c>
      <c r="H2235" s="20">
        <f>Разбивка_по_щитам!K2240</f>
      </c>
      <c r="I2235" s="20">
        <f>Разбивка_по_щитам!L2240</f>
      </c>
      <c r="J2235" s="20">
        <f>Разбивка_по_щитам!M2240</f>
      </c>
      <c r="K2235" s="20">
        <f>Разбивка_по_щитам!N2240</f>
      </c>
      <c r="L2235" s="20"/>
      <c r="M2235" s="20">
        <f>Разбивка_по_щитам!P2240</f>
      </c>
      <c r="N2235" s="20"/>
    </row>
    <row r="2236" spans="2:14" x14ac:dyDescent="0.25">
      <c r="B2236" s="20">
        <f>Разбивка_по_щитам!B2241</f>
      </c>
      <c r="C2236" s="20">
        <f>Разбивка_по_щитам!C2241</f>
      </c>
      <c r="D2236" s="20">
        <f>Разбивка_по_щитам!F2241</f>
      </c>
      <c r="E2236" s="20">
        <f>Разбивка_по_щитам!H2241</f>
      </c>
      <c r="F2236" s="20">
        <f>Разбивка_по_щитам!I2241</f>
      </c>
      <c r="G2236" s="20">
        <f>Разбивка_по_щитам!J2241</f>
      </c>
      <c r="H2236" s="20">
        <f>Разбивка_по_щитам!K2241</f>
      </c>
      <c r="I2236" s="20">
        <f>Разбивка_по_щитам!L2241</f>
      </c>
      <c r="J2236" s="20">
        <f>Разбивка_по_щитам!M2241</f>
      </c>
      <c r="K2236" s="20">
        <f>Разбивка_по_щитам!N2241</f>
      </c>
      <c r="L2236" s="20"/>
      <c r="M2236" s="20">
        <f>Разбивка_по_щитам!P2241</f>
      </c>
      <c r="N2236" s="20"/>
    </row>
    <row r="2237" spans="2:14" x14ac:dyDescent="0.25">
      <c r="B2237" s="20">
        <f>Разбивка_по_щитам!B2242</f>
      </c>
      <c r="C2237" s="20">
        <f>Разбивка_по_щитам!C2242</f>
      </c>
      <c r="D2237" s="20">
        <f>Разбивка_по_щитам!F2242</f>
      </c>
      <c r="E2237" s="20">
        <f>Разбивка_по_щитам!H2242</f>
      </c>
      <c r="F2237" s="20">
        <f>Разбивка_по_щитам!I2242</f>
      </c>
      <c r="G2237" s="20">
        <f>Разбивка_по_щитам!J2242</f>
      </c>
      <c r="H2237" s="20">
        <f>Разбивка_по_щитам!K2242</f>
      </c>
      <c r="I2237" s="20">
        <f>Разбивка_по_щитам!L2242</f>
      </c>
      <c r="J2237" s="20">
        <f>Разбивка_по_щитам!M2242</f>
      </c>
      <c r="K2237" s="20">
        <f>Разбивка_по_щитам!N2242</f>
      </c>
      <c r="L2237" s="20"/>
      <c r="M2237" s="20">
        <f>Разбивка_по_щитам!P2242</f>
      </c>
      <c r="N2237" s="20"/>
    </row>
    <row r="2238" spans="2:14" x14ac:dyDescent="0.25">
      <c r="B2238" s="20">
        <f>Разбивка_по_щитам!B2243</f>
      </c>
      <c r="C2238" s="20">
        <f>Разбивка_по_щитам!C2243</f>
      </c>
      <c r="D2238" s="20">
        <f>Разбивка_по_щитам!F2243</f>
      </c>
      <c r="E2238" s="20">
        <f>Разбивка_по_щитам!H2243</f>
      </c>
      <c r="F2238" s="20">
        <f>Разбивка_по_щитам!I2243</f>
      </c>
      <c r="G2238" s="20">
        <f>Разбивка_по_щитам!J2243</f>
      </c>
      <c r="H2238" s="20">
        <f>Разбивка_по_щитам!K2243</f>
      </c>
      <c r="I2238" s="20">
        <f>Разбивка_по_щитам!L2243</f>
      </c>
      <c r="J2238" s="20">
        <f>Разбивка_по_щитам!M2243</f>
      </c>
      <c r="K2238" s="20">
        <f>Разбивка_по_щитам!N2243</f>
      </c>
      <c r="L2238" s="20"/>
      <c r="M2238" s="20">
        <f>Разбивка_по_щитам!P2243</f>
      </c>
      <c r="N2238" s="20"/>
    </row>
    <row r="2239" spans="2:14" x14ac:dyDescent="0.25">
      <c r="B2239" s="20">
        <f>Разбивка_по_щитам!B2244</f>
      </c>
      <c r="C2239" s="20">
        <f>Разбивка_по_щитам!C2244</f>
      </c>
      <c r="D2239" s="20">
        <f>Разбивка_по_щитам!F2244</f>
      </c>
      <c r="E2239" s="20">
        <f>Разбивка_по_щитам!H2244</f>
      </c>
      <c r="F2239" s="20">
        <f>Разбивка_по_щитам!I2244</f>
      </c>
      <c r="G2239" s="20">
        <f>Разбивка_по_щитам!J2244</f>
      </c>
      <c r="H2239" s="20">
        <f>Разбивка_по_щитам!K2244</f>
      </c>
      <c r="I2239" s="20">
        <f>Разбивка_по_щитам!L2244</f>
      </c>
      <c r="J2239" s="20">
        <f>Разбивка_по_щитам!M2244</f>
      </c>
      <c r="K2239" s="20">
        <f>Разбивка_по_щитам!N2244</f>
      </c>
      <c r="L2239" s="20"/>
      <c r="M2239" s="20">
        <f>Разбивка_по_щитам!P2244</f>
      </c>
      <c r="N2239" s="20"/>
    </row>
    <row r="2240" spans="2:14" x14ac:dyDescent="0.25">
      <c r="B2240" s="20">
        <f>Разбивка_по_щитам!B2245</f>
      </c>
      <c r="C2240" s="20">
        <f>Разбивка_по_щитам!C2245</f>
      </c>
      <c r="D2240" s="20">
        <f>Разбивка_по_щитам!F2245</f>
      </c>
      <c r="E2240" s="20">
        <f>Разбивка_по_щитам!H2245</f>
      </c>
      <c r="F2240" s="20">
        <f>Разбивка_по_щитам!I2245</f>
      </c>
      <c r="G2240" s="20">
        <f>Разбивка_по_щитам!J2245</f>
      </c>
      <c r="H2240" s="20">
        <f>Разбивка_по_щитам!K2245</f>
      </c>
      <c r="I2240" s="20">
        <f>Разбивка_по_щитам!L2245</f>
      </c>
      <c r="J2240" s="20">
        <f>Разбивка_по_щитам!M2245</f>
      </c>
      <c r="K2240" s="20">
        <f>Разбивка_по_щитам!N2245</f>
      </c>
      <c r="L2240" s="20"/>
      <c r="M2240" s="20">
        <f>Разбивка_по_щитам!P2245</f>
      </c>
      <c r="N2240" s="20"/>
    </row>
    <row r="2241" spans="2:14" x14ac:dyDescent="0.25">
      <c r="B2241" s="20">
        <f>Разбивка_по_щитам!B2246</f>
      </c>
      <c r="C2241" s="20">
        <f>Разбивка_по_щитам!C2246</f>
      </c>
      <c r="D2241" s="20">
        <f>Разбивка_по_щитам!F2246</f>
      </c>
      <c r="E2241" s="20">
        <f>Разбивка_по_щитам!H2246</f>
      </c>
      <c r="F2241" s="20">
        <f>Разбивка_по_щитам!I2246</f>
      </c>
      <c r="G2241" s="20">
        <f>Разбивка_по_щитам!J2246</f>
      </c>
      <c r="H2241" s="20">
        <f>Разбивка_по_щитам!K2246</f>
      </c>
      <c r="I2241" s="20">
        <f>Разбивка_по_щитам!L2246</f>
      </c>
      <c r="J2241" s="20">
        <f>Разбивка_по_щитам!M2246</f>
      </c>
      <c r="K2241" s="20">
        <f>Разбивка_по_щитам!N2246</f>
      </c>
      <c r="L2241" s="20"/>
      <c r="M2241" s="20">
        <f>Разбивка_по_щитам!P2246</f>
      </c>
      <c r="N2241" s="20"/>
    </row>
    <row r="2242" spans="2:14" x14ac:dyDescent="0.25">
      <c r="B2242" s="20">
        <f>Разбивка_по_щитам!B2247</f>
      </c>
      <c r="C2242" s="20">
        <f>Разбивка_по_щитам!C2247</f>
      </c>
      <c r="D2242" s="20">
        <f>Разбивка_по_щитам!F2247</f>
      </c>
      <c r="E2242" s="20">
        <f>Разбивка_по_щитам!H2247</f>
      </c>
      <c r="F2242" s="20">
        <f>Разбивка_по_щитам!I2247</f>
      </c>
      <c r="G2242" s="20">
        <f>Разбивка_по_щитам!J2247</f>
      </c>
      <c r="H2242" s="20">
        <f>Разбивка_по_щитам!K2247</f>
      </c>
      <c r="I2242" s="20">
        <f>Разбивка_по_щитам!L2247</f>
      </c>
      <c r="J2242" s="20">
        <f>Разбивка_по_щитам!M2247</f>
      </c>
      <c r="K2242" s="20">
        <f>Разбивка_по_щитам!N2247</f>
      </c>
      <c r="L2242" s="20"/>
      <c r="M2242" s="20">
        <f>Разбивка_по_щитам!P2247</f>
      </c>
      <c r="N2242" s="20"/>
    </row>
    <row r="2243" spans="2:14" x14ac:dyDescent="0.25">
      <c r="B2243" s="20">
        <f>Разбивка_по_щитам!B2248</f>
      </c>
      <c r="C2243" s="20">
        <f>Разбивка_по_щитам!C2248</f>
      </c>
      <c r="D2243" s="20">
        <f>Разбивка_по_щитам!F2248</f>
      </c>
      <c r="E2243" s="20">
        <f>Разбивка_по_щитам!H2248</f>
      </c>
      <c r="F2243" s="20">
        <f>Разбивка_по_щитам!I2248</f>
      </c>
      <c r="G2243" s="20">
        <f>Разбивка_по_щитам!J2248</f>
      </c>
      <c r="H2243" s="20">
        <f>Разбивка_по_щитам!K2248</f>
      </c>
      <c r="I2243" s="20">
        <f>Разбивка_по_щитам!L2248</f>
      </c>
      <c r="J2243" s="20">
        <f>Разбивка_по_щитам!M2248</f>
      </c>
      <c r="K2243" s="20">
        <f>Разбивка_по_щитам!N2248</f>
      </c>
      <c r="L2243" s="20"/>
      <c r="M2243" s="20">
        <f>Разбивка_по_щитам!P2248</f>
      </c>
      <c r="N2243" s="20"/>
    </row>
    <row r="2244" spans="2:14" x14ac:dyDescent="0.25">
      <c r="B2244" s="20">
        <f>Разбивка_по_щитам!B2249</f>
      </c>
      <c r="C2244" s="20">
        <f>Разбивка_по_щитам!C2249</f>
      </c>
      <c r="D2244" s="20">
        <f>Разбивка_по_щитам!F2249</f>
      </c>
      <c r="E2244" s="20">
        <f>Разбивка_по_щитам!H2249</f>
      </c>
      <c r="F2244" s="20">
        <f>Разбивка_по_щитам!I2249</f>
      </c>
      <c r="G2244" s="20">
        <f>Разбивка_по_щитам!J2249</f>
      </c>
      <c r="H2244" s="20">
        <f>Разбивка_по_щитам!K2249</f>
      </c>
      <c r="I2244" s="20">
        <f>Разбивка_по_щитам!L2249</f>
      </c>
      <c r="J2244" s="20">
        <f>Разбивка_по_щитам!M2249</f>
      </c>
      <c r="K2244" s="20">
        <f>Разбивка_по_щитам!N2249</f>
      </c>
      <c r="L2244" s="20"/>
      <c r="M2244" s="20">
        <f>Разбивка_по_щитам!P2249</f>
      </c>
      <c r="N2244" s="20"/>
    </row>
    <row r="2245" spans="2:14" x14ac:dyDescent="0.25">
      <c r="B2245" s="20">
        <f>Разбивка_по_щитам!B2250</f>
      </c>
      <c r="C2245" s="20">
        <f>Разбивка_по_щитам!C2250</f>
      </c>
      <c r="D2245" s="20">
        <f>Разбивка_по_щитам!F2250</f>
      </c>
      <c r="E2245" s="20">
        <f>Разбивка_по_щитам!H2250</f>
      </c>
      <c r="F2245" s="20">
        <f>Разбивка_по_щитам!I2250</f>
      </c>
      <c r="G2245" s="20">
        <f>Разбивка_по_щитам!J2250</f>
      </c>
      <c r="H2245" s="20">
        <f>Разбивка_по_щитам!K2250</f>
      </c>
      <c r="I2245" s="20">
        <f>Разбивка_по_щитам!L2250</f>
      </c>
      <c r="J2245" s="20">
        <f>Разбивка_по_щитам!M2250</f>
      </c>
      <c r="K2245" s="20">
        <f>Разбивка_по_щитам!N2250</f>
      </c>
      <c r="L2245" s="20"/>
      <c r="M2245" s="20">
        <f>Разбивка_по_щитам!P2250</f>
      </c>
      <c r="N2245" s="20"/>
    </row>
    <row r="2246" spans="2:14" x14ac:dyDescent="0.25">
      <c r="B2246" s="20">
        <f>Разбивка_по_щитам!B2251</f>
      </c>
      <c r="C2246" s="20">
        <f>Разбивка_по_щитам!C2251</f>
      </c>
      <c r="D2246" s="20">
        <f>Разбивка_по_щитам!F2251</f>
      </c>
      <c r="E2246" s="20">
        <f>Разбивка_по_щитам!H2251</f>
      </c>
      <c r="F2246" s="20">
        <f>Разбивка_по_щитам!I2251</f>
      </c>
      <c r="G2246" s="20">
        <f>Разбивка_по_щитам!J2251</f>
      </c>
      <c r="H2246" s="20">
        <f>Разбивка_по_щитам!K2251</f>
      </c>
      <c r="I2246" s="20">
        <f>Разбивка_по_щитам!L2251</f>
      </c>
      <c r="J2246" s="20">
        <f>Разбивка_по_щитам!M2251</f>
      </c>
      <c r="K2246" s="20">
        <f>Разбивка_по_щитам!N2251</f>
      </c>
      <c r="L2246" s="20"/>
      <c r="M2246" s="20">
        <f>Разбивка_по_щитам!P2251</f>
      </c>
      <c r="N2246" s="20"/>
    </row>
    <row r="2247" spans="2:14" x14ac:dyDescent="0.25">
      <c r="B2247" s="20">
        <f>Разбивка_по_щитам!B2252</f>
      </c>
      <c r="C2247" s="20">
        <f>Разбивка_по_щитам!C2252</f>
      </c>
      <c r="D2247" s="20">
        <f>Разбивка_по_щитам!F2252</f>
      </c>
      <c r="E2247" s="20">
        <f>Разбивка_по_щитам!H2252</f>
      </c>
      <c r="F2247" s="20">
        <f>Разбивка_по_щитам!I2252</f>
      </c>
      <c r="G2247" s="20">
        <f>Разбивка_по_щитам!J2252</f>
      </c>
      <c r="H2247" s="20">
        <f>Разбивка_по_щитам!K2252</f>
      </c>
      <c r="I2247" s="20">
        <f>Разбивка_по_щитам!L2252</f>
      </c>
      <c r="J2247" s="20">
        <f>Разбивка_по_щитам!M2252</f>
      </c>
      <c r="K2247" s="20">
        <f>Разбивка_по_щитам!N2252</f>
      </c>
      <c r="L2247" s="20"/>
      <c r="M2247" s="20">
        <f>Разбивка_по_щитам!P2252</f>
      </c>
      <c r="N2247" s="20"/>
    </row>
    <row r="2248" spans="2:14" x14ac:dyDescent="0.25">
      <c r="B2248" s="20">
        <f>Разбивка_по_щитам!B2253</f>
      </c>
      <c r="C2248" s="20">
        <f>Разбивка_по_щитам!C2253</f>
      </c>
      <c r="D2248" s="20">
        <f>Разбивка_по_щитам!F2253</f>
      </c>
      <c r="E2248" s="20">
        <f>Разбивка_по_щитам!H2253</f>
      </c>
      <c r="F2248" s="20">
        <f>Разбивка_по_щитам!I2253</f>
      </c>
      <c r="G2248" s="20">
        <f>Разбивка_по_щитам!J2253</f>
      </c>
      <c r="H2248" s="20">
        <f>Разбивка_по_щитам!K2253</f>
      </c>
      <c r="I2248" s="20">
        <f>Разбивка_по_щитам!L2253</f>
      </c>
      <c r="J2248" s="20">
        <f>Разбивка_по_щитам!M2253</f>
      </c>
      <c r="K2248" s="20">
        <f>Разбивка_по_щитам!N2253</f>
      </c>
      <c r="L2248" s="20"/>
      <c r="M2248" s="20">
        <f>Разбивка_по_щитам!P2253</f>
      </c>
      <c r="N2248" s="20"/>
    </row>
    <row r="2249" spans="2:14" x14ac:dyDescent="0.25">
      <c r="B2249" s="20">
        <f>Разбивка_по_щитам!B2254</f>
      </c>
      <c r="C2249" s="20">
        <f>Разбивка_по_щитам!C2254</f>
      </c>
      <c r="D2249" s="20">
        <f>Разбивка_по_щитам!F2254</f>
      </c>
      <c r="E2249" s="20">
        <f>Разбивка_по_щитам!H2254</f>
      </c>
      <c r="F2249" s="20">
        <f>Разбивка_по_щитам!I2254</f>
      </c>
      <c r="G2249" s="20">
        <f>Разбивка_по_щитам!J2254</f>
      </c>
      <c r="H2249" s="20">
        <f>Разбивка_по_щитам!K2254</f>
      </c>
      <c r="I2249" s="20">
        <f>Разбивка_по_щитам!L2254</f>
      </c>
      <c r="J2249" s="20">
        <f>Разбивка_по_щитам!M2254</f>
      </c>
      <c r="K2249" s="20">
        <f>Разбивка_по_щитам!N2254</f>
      </c>
      <c r="L2249" s="20"/>
      <c r="M2249" s="20">
        <f>Разбивка_по_щитам!P2254</f>
      </c>
      <c r="N2249" s="20"/>
    </row>
    <row r="2250" spans="2:14" x14ac:dyDescent="0.25">
      <c r="B2250" s="20">
        <f>Разбивка_по_щитам!B2255</f>
      </c>
      <c r="C2250" s="20">
        <f>Разбивка_по_щитам!C2255</f>
      </c>
      <c r="D2250" s="20">
        <f>Разбивка_по_щитам!F2255</f>
      </c>
      <c r="E2250" s="20">
        <f>Разбивка_по_щитам!H2255</f>
      </c>
      <c r="F2250" s="20">
        <f>Разбивка_по_щитам!I2255</f>
      </c>
      <c r="G2250" s="20">
        <f>Разбивка_по_щитам!J2255</f>
      </c>
      <c r="H2250" s="20">
        <f>Разбивка_по_щитам!K2255</f>
      </c>
      <c r="I2250" s="20">
        <f>Разбивка_по_щитам!L2255</f>
      </c>
      <c r="J2250" s="20">
        <f>Разбивка_по_щитам!M2255</f>
      </c>
      <c r="K2250" s="20">
        <f>Разбивка_по_щитам!N2255</f>
      </c>
      <c r="L2250" s="20"/>
      <c r="M2250" s="20">
        <f>Разбивка_по_щитам!P2255</f>
      </c>
      <c r="N2250" s="20"/>
    </row>
    <row r="2251" spans="2:14" x14ac:dyDescent="0.25">
      <c r="B2251" s="20">
        <f>Разбивка_по_щитам!B2256</f>
      </c>
      <c r="C2251" s="20">
        <f>Разбивка_по_щитам!C2256</f>
      </c>
      <c r="D2251" s="20">
        <f>Разбивка_по_щитам!F2256</f>
      </c>
      <c r="E2251" s="20">
        <f>Разбивка_по_щитам!H2256</f>
      </c>
      <c r="F2251" s="20">
        <f>Разбивка_по_щитам!I2256</f>
      </c>
      <c r="G2251" s="20">
        <f>Разбивка_по_щитам!J2256</f>
      </c>
      <c r="H2251" s="20">
        <f>Разбивка_по_щитам!K2256</f>
      </c>
      <c r="I2251" s="20">
        <f>Разбивка_по_щитам!L2256</f>
      </c>
      <c r="J2251" s="20">
        <f>Разбивка_по_щитам!M2256</f>
      </c>
      <c r="K2251" s="20">
        <f>Разбивка_по_щитам!N2256</f>
      </c>
      <c r="L2251" s="20"/>
      <c r="M2251" s="20">
        <f>Разбивка_по_щитам!P2256</f>
      </c>
      <c r="N2251" s="20"/>
    </row>
    <row r="2252" spans="2:14" x14ac:dyDescent="0.25">
      <c r="B2252" s="20">
        <f>Разбивка_по_щитам!B2257</f>
      </c>
      <c r="C2252" s="20">
        <f>Разбивка_по_щитам!C2257</f>
      </c>
      <c r="D2252" s="20">
        <f>Разбивка_по_щитам!F2257</f>
      </c>
      <c r="E2252" s="20">
        <f>Разбивка_по_щитам!H2257</f>
      </c>
      <c r="F2252" s="20">
        <f>Разбивка_по_щитам!I2257</f>
      </c>
      <c r="G2252" s="20">
        <f>Разбивка_по_щитам!J2257</f>
      </c>
      <c r="H2252" s="20">
        <f>Разбивка_по_щитам!K2257</f>
      </c>
      <c r="I2252" s="20">
        <f>Разбивка_по_щитам!L2257</f>
      </c>
      <c r="J2252" s="20">
        <f>Разбивка_по_щитам!M2257</f>
      </c>
      <c r="K2252" s="20">
        <f>Разбивка_по_щитам!N2257</f>
      </c>
      <c r="L2252" s="20"/>
      <c r="M2252" s="20">
        <f>Разбивка_по_щитам!P2257</f>
      </c>
      <c r="N2252" s="20"/>
    </row>
    <row r="2253" spans="2:14" x14ac:dyDescent="0.25">
      <c r="B2253" s="20">
        <f>Разбивка_по_щитам!B2258</f>
      </c>
      <c r="C2253" s="20">
        <f>Разбивка_по_щитам!C2258</f>
      </c>
      <c r="D2253" s="20">
        <f>Разбивка_по_щитам!F2258</f>
      </c>
      <c r="E2253" s="20">
        <f>Разбивка_по_щитам!H2258</f>
      </c>
      <c r="F2253" s="20">
        <f>Разбивка_по_щитам!I2258</f>
      </c>
      <c r="G2253" s="20">
        <f>Разбивка_по_щитам!J2258</f>
      </c>
      <c r="H2253" s="20">
        <f>Разбивка_по_щитам!K2258</f>
      </c>
      <c r="I2253" s="20">
        <f>Разбивка_по_щитам!L2258</f>
      </c>
      <c r="J2253" s="20">
        <f>Разбивка_по_щитам!M2258</f>
      </c>
      <c r="K2253" s="20">
        <f>Разбивка_по_щитам!N2258</f>
      </c>
      <c r="L2253" s="20"/>
      <c r="M2253" s="20">
        <f>Разбивка_по_щитам!P2258</f>
      </c>
      <c r="N2253" s="20"/>
    </row>
    <row r="2254" spans="2:14" x14ac:dyDescent="0.25">
      <c r="B2254" s="20">
        <f>Разбивка_по_щитам!B2259</f>
      </c>
      <c r="C2254" s="20">
        <f>Разбивка_по_щитам!C2259</f>
      </c>
      <c r="D2254" s="20">
        <f>Разбивка_по_щитам!F2259</f>
      </c>
      <c r="E2254" s="20">
        <f>Разбивка_по_щитам!H2259</f>
      </c>
      <c r="F2254" s="20">
        <f>Разбивка_по_щитам!I2259</f>
      </c>
      <c r="G2254" s="20">
        <f>Разбивка_по_щитам!J2259</f>
      </c>
      <c r="H2254" s="20">
        <f>Разбивка_по_щитам!K2259</f>
      </c>
      <c r="I2254" s="20">
        <f>Разбивка_по_щитам!L2259</f>
      </c>
      <c r="J2254" s="20">
        <f>Разбивка_по_щитам!M2259</f>
      </c>
      <c r="K2254" s="20">
        <f>Разбивка_по_щитам!N2259</f>
      </c>
      <c r="L2254" s="20"/>
      <c r="M2254" s="20">
        <f>Разбивка_по_щитам!P2259</f>
      </c>
      <c r="N2254" s="20"/>
    </row>
    <row r="2255" spans="2:14" x14ac:dyDescent="0.25">
      <c r="B2255" s="20">
        <f>Разбивка_по_щитам!B2260</f>
      </c>
      <c r="C2255" s="20">
        <f>Разбивка_по_щитам!C2260</f>
      </c>
      <c r="D2255" s="20">
        <f>Разбивка_по_щитам!F2260</f>
      </c>
      <c r="E2255" s="20">
        <f>Разбивка_по_щитам!H2260</f>
      </c>
      <c r="F2255" s="20">
        <f>Разбивка_по_щитам!I2260</f>
      </c>
      <c r="G2255" s="20">
        <f>Разбивка_по_щитам!J2260</f>
      </c>
      <c r="H2255" s="20">
        <f>Разбивка_по_щитам!K2260</f>
      </c>
      <c r="I2255" s="20">
        <f>Разбивка_по_щитам!L2260</f>
      </c>
      <c r="J2255" s="20">
        <f>Разбивка_по_щитам!M2260</f>
      </c>
      <c r="K2255" s="20">
        <f>Разбивка_по_щитам!N2260</f>
      </c>
      <c r="L2255" s="20"/>
      <c r="M2255" s="20">
        <f>Разбивка_по_щитам!P2260</f>
      </c>
      <c r="N2255" s="20"/>
    </row>
    <row r="2256" spans="2:14" x14ac:dyDescent="0.25">
      <c r="B2256" s="20">
        <f>Разбивка_по_щитам!B2261</f>
      </c>
      <c r="C2256" s="20">
        <f>Разбивка_по_щитам!C2261</f>
      </c>
      <c r="D2256" s="20">
        <f>Разбивка_по_щитам!F2261</f>
      </c>
      <c r="E2256" s="20">
        <f>Разбивка_по_щитам!H2261</f>
      </c>
      <c r="F2256" s="20">
        <f>Разбивка_по_щитам!I2261</f>
      </c>
      <c r="G2256" s="20">
        <f>Разбивка_по_щитам!J2261</f>
      </c>
      <c r="H2256" s="20">
        <f>Разбивка_по_щитам!K2261</f>
      </c>
      <c r="I2256" s="20">
        <f>Разбивка_по_щитам!L2261</f>
      </c>
      <c r="J2256" s="20">
        <f>Разбивка_по_щитам!M2261</f>
      </c>
      <c r="K2256" s="20">
        <f>Разбивка_по_щитам!N2261</f>
      </c>
      <c r="L2256" s="20"/>
      <c r="M2256" s="20">
        <f>Разбивка_по_щитам!P2261</f>
      </c>
      <c r="N2256" s="20"/>
    </row>
    <row r="2257" spans="2:14" x14ac:dyDescent="0.25">
      <c r="B2257" s="20">
        <f>Разбивка_по_щитам!B2262</f>
      </c>
      <c r="C2257" s="20">
        <f>Разбивка_по_щитам!C2262</f>
      </c>
      <c r="D2257" s="20">
        <f>Разбивка_по_щитам!F2262</f>
      </c>
      <c r="E2257" s="20">
        <f>Разбивка_по_щитам!H2262</f>
      </c>
      <c r="F2257" s="20">
        <f>Разбивка_по_щитам!I2262</f>
      </c>
      <c r="G2257" s="20">
        <f>Разбивка_по_щитам!J2262</f>
      </c>
      <c r="H2257" s="20">
        <f>Разбивка_по_щитам!K2262</f>
      </c>
      <c r="I2257" s="20">
        <f>Разбивка_по_щитам!L2262</f>
      </c>
      <c r="J2257" s="20">
        <f>Разбивка_по_щитам!M2262</f>
      </c>
      <c r="K2257" s="20">
        <f>Разбивка_по_щитам!N2262</f>
      </c>
      <c r="L2257" s="20"/>
      <c r="M2257" s="20">
        <f>Разбивка_по_щитам!P2262</f>
      </c>
      <c r="N2257" s="20"/>
    </row>
    <row r="2258" spans="2:14" x14ac:dyDescent="0.25">
      <c r="B2258" s="20">
        <f>Разбивка_по_щитам!B2263</f>
      </c>
      <c r="C2258" s="20">
        <f>Разбивка_по_щитам!C2263</f>
      </c>
      <c r="D2258" s="20">
        <f>Разбивка_по_щитам!F2263</f>
      </c>
      <c r="E2258" s="20">
        <f>Разбивка_по_щитам!H2263</f>
      </c>
      <c r="F2258" s="20">
        <f>Разбивка_по_щитам!I2263</f>
      </c>
      <c r="G2258" s="20">
        <f>Разбивка_по_щитам!J2263</f>
      </c>
      <c r="H2258" s="20">
        <f>Разбивка_по_щитам!K2263</f>
      </c>
      <c r="I2258" s="20">
        <f>Разбивка_по_щитам!L2263</f>
      </c>
      <c r="J2258" s="20">
        <f>Разбивка_по_щитам!M2263</f>
      </c>
      <c r="K2258" s="20">
        <f>Разбивка_по_щитам!N2263</f>
      </c>
      <c r="L2258" s="20"/>
      <c r="M2258" s="20">
        <f>Разбивка_по_щитам!P2263</f>
      </c>
      <c r="N2258" s="20"/>
    </row>
    <row r="2259" spans="2:14" x14ac:dyDescent="0.25">
      <c r="B2259" s="20">
        <f>Разбивка_по_щитам!B2264</f>
      </c>
      <c r="C2259" s="20">
        <f>Разбивка_по_щитам!C2264</f>
      </c>
      <c r="D2259" s="20">
        <f>Разбивка_по_щитам!F2264</f>
      </c>
      <c r="E2259" s="20">
        <f>Разбивка_по_щитам!H2264</f>
      </c>
      <c r="F2259" s="20">
        <f>Разбивка_по_щитам!I2264</f>
      </c>
      <c r="G2259" s="20">
        <f>Разбивка_по_щитам!J2264</f>
      </c>
      <c r="H2259" s="20">
        <f>Разбивка_по_щитам!K2264</f>
      </c>
      <c r="I2259" s="20">
        <f>Разбивка_по_щитам!L2264</f>
      </c>
      <c r="J2259" s="20">
        <f>Разбивка_по_щитам!M2264</f>
      </c>
      <c r="K2259" s="20">
        <f>Разбивка_по_щитам!N2264</f>
      </c>
      <c r="L2259" s="20"/>
      <c r="M2259" s="20">
        <f>Разбивка_по_щитам!P2264</f>
      </c>
      <c r="N2259" s="20"/>
    </row>
    <row r="2260" spans="2:14" x14ac:dyDescent="0.25">
      <c r="B2260" s="20">
        <f>Разбивка_по_щитам!B2265</f>
      </c>
      <c r="C2260" s="20">
        <f>Разбивка_по_щитам!C2265</f>
      </c>
      <c r="D2260" s="20">
        <f>Разбивка_по_щитам!F2265</f>
      </c>
      <c r="E2260" s="20">
        <f>Разбивка_по_щитам!H2265</f>
      </c>
      <c r="F2260" s="20">
        <f>Разбивка_по_щитам!I2265</f>
      </c>
      <c r="G2260" s="20">
        <f>Разбивка_по_щитам!J2265</f>
      </c>
      <c r="H2260" s="20">
        <f>Разбивка_по_щитам!K2265</f>
      </c>
      <c r="I2260" s="20">
        <f>Разбивка_по_щитам!L2265</f>
      </c>
      <c r="J2260" s="20">
        <f>Разбивка_по_щитам!M2265</f>
      </c>
      <c r="K2260" s="20">
        <f>Разбивка_по_щитам!N2265</f>
      </c>
      <c r="L2260" s="20"/>
      <c r="M2260" s="20">
        <f>Разбивка_по_щитам!P2265</f>
      </c>
      <c r="N2260" s="20"/>
    </row>
    <row r="2261" spans="2:14" x14ac:dyDescent="0.25">
      <c r="B2261" s="20">
        <f>Разбивка_по_щитам!B2266</f>
      </c>
      <c r="C2261" s="20">
        <f>Разбивка_по_щитам!C2266</f>
      </c>
      <c r="D2261" s="20">
        <f>Разбивка_по_щитам!F2266</f>
      </c>
      <c r="E2261" s="20">
        <f>Разбивка_по_щитам!H2266</f>
      </c>
      <c r="F2261" s="20">
        <f>Разбивка_по_щитам!I2266</f>
      </c>
      <c r="G2261" s="20">
        <f>Разбивка_по_щитам!J2266</f>
      </c>
      <c r="H2261" s="20">
        <f>Разбивка_по_щитам!K2266</f>
      </c>
      <c r="I2261" s="20">
        <f>Разбивка_по_щитам!L2266</f>
      </c>
      <c r="J2261" s="20">
        <f>Разбивка_по_щитам!M2266</f>
      </c>
      <c r="K2261" s="20">
        <f>Разбивка_по_щитам!N2266</f>
      </c>
      <c r="L2261" s="20"/>
      <c r="M2261" s="20">
        <f>Разбивка_по_щитам!P2266</f>
      </c>
      <c r="N2261" s="20"/>
    </row>
    <row r="2262" spans="2:14" x14ac:dyDescent="0.25">
      <c r="B2262" s="20">
        <f>Разбивка_по_щитам!B2267</f>
      </c>
      <c r="C2262" s="20">
        <f>Разбивка_по_щитам!C2267</f>
      </c>
      <c r="D2262" s="20">
        <f>Разбивка_по_щитам!F2267</f>
      </c>
      <c r="E2262" s="20">
        <f>Разбивка_по_щитам!H2267</f>
      </c>
      <c r="F2262" s="20">
        <f>Разбивка_по_щитам!I2267</f>
      </c>
      <c r="G2262" s="20">
        <f>Разбивка_по_щитам!J2267</f>
      </c>
      <c r="H2262" s="20">
        <f>Разбивка_по_щитам!K2267</f>
      </c>
      <c r="I2262" s="20">
        <f>Разбивка_по_щитам!L2267</f>
      </c>
      <c r="J2262" s="20">
        <f>Разбивка_по_щитам!M2267</f>
      </c>
      <c r="K2262" s="20">
        <f>Разбивка_по_щитам!N2267</f>
      </c>
      <c r="L2262" s="20"/>
      <c r="M2262" s="20">
        <f>Разбивка_по_щитам!P2267</f>
      </c>
      <c r="N2262" s="20"/>
    </row>
    <row r="2263" spans="2:14" x14ac:dyDescent="0.25">
      <c r="B2263" s="20">
        <f>Разбивка_по_щитам!B2268</f>
      </c>
      <c r="C2263" s="20">
        <f>Разбивка_по_щитам!C2268</f>
      </c>
      <c r="D2263" s="20">
        <f>Разбивка_по_щитам!F2268</f>
      </c>
      <c r="E2263" s="20">
        <f>Разбивка_по_щитам!H2268</f>
      </c>
      <c r="F2263" s="20">
        <f>Разбивка_по_щитам!I2268</f>
      </c>
      <c r="G2263" s="20">
        <f>Разбивка_по_щитам!J2268</f>
      </c>
      <c r="H2263" s="20">
        <f>Разбивка_по_щитам!K2268</f>
      </c>
      <c r="I2263" s="20">
        <f>Разбивка_по_щитам!L2268</f>
      </c>
      <c r="J2263" s="20">
        <f>Разбивка_по_щитам!M2268</f>
      </c>
      <c r="K2263" s="20">
        <f>Разбивка_по_щитам!N2268</f>
      </c>
      <c r="L2263" s="20"/>
      <c r="M2263" s="20">
        <f>Разбивка_по_щитам!P2268</f>
      </c>
      <c r="N2263" s="20"/>
    </row>
    <row r="2264" spans="2:14" x14ac:dyDescent="0.25">
      <c r="B2264" s="20">
        <f>Разбивка_по_щитам!B2269</f>
      </c>
      <c r="C2264" s="20">
        <f>Разбивка_по_щитам!C2269</f>
      </c>
      <c r="D2264" s="20">
        <f>Разбивка_по_щитам!F2269</f>
      </c>
      <c r="E2264" s="20">
        <f>Разбивка_по_щитам!H2269</f>
      </c>
      <c r="F2264" s="20">
        <f>Разбивка_по_щитам!I2269</f>
      </c>
      <c r="G2264" s="20">
        <f>Разбивка_по_щитам!J2269</f>
      </c>
      <c r="H2264" s="20">
        <f>Разбивка_по_щитам!K2269</f>
      </c>
      <c r="I2264" s="20">
        <f>Разбивка_по_щитам!L2269</f>
      </c>
      <c r="J2264" s="20">
        <f>Разбивка_по_щитам!M2269</f>
      </c>
      <c r="K2264" s="20">
        <f>Разбивка_по_щитам!N2269</f>
      </c>
      <c r="L2264" s="20"/>
      <c r="M2264" s="20">
        <f>Разбивка_по_щитам!P2269</f>
      </c>
      <c r="N2264" s="20"/>
    </row>
    <row r="2265" spans="2:14" x14ac:dyDescent="0.25">
      <c r="B2265" s="20">
        <f>Разбивка_по_щитам!B2270</f>
      </c>
      <c r="C2265" s="20">
        <f>Разбивка_по_щитам!C2270</f>
      </c>
      <c r="D2265" s="20">
        <f>Разбивка_по_щитам!F2270</f>
      </c>
      <c r="E2265" s="20">
        <f>Разбивка_по_щитам!H2270</f>
      </c>
      <c r="F2265" s="20">
        <f>Разбивка_по_щитам!I2270</f>
      </c>
      <c r="G2265" s="20">
        <f>Разбивка_по_щитам!J2270</f>
      </c>
      <c r="H2265" s="20">
        <f>Разбивка_по_щитам!K2270</f>
      </c>
      <c r="I2265" s="20">
        <f>Разбивка_по_щитам!L2270</f>
      </c>
      <c r="J2265" s="20">
        <f>Разбивка_по_щитам!M2270</f>
      </c>
      <c r="K2265" s="20">
        <f>Разбивка_по_щитам!N2270</f>
      </c>
      <c r="L2265" s="20"/>
      <c r="M2265" s="20">
        <f>Разбивка_по_щитам!P2270</f>
      </c>
      <c r="N2265" s="20"/>
    </row>
    <row r="2266" spans="2:14" x14ac:dyDescent="0.25">
      <c r="B2266" s="20">
        <f>Разбивка_по_щитам!B2271</f>
      </c>
      <c r="C2266" s="20">
        <f>Разбивка_по_щитам!C2271</f>
      </c>
      <c r="D2266" s="20">
        <f>Разбивка_по_щитам!F2271</f>
      </c>
      <c r="E2266" s="20">
        <f>Разбивка_по_щитам!H2271</f>
      </c>
      <c r="F2266" s="20">
        <f>Разбивка_по_щитам!I2271</f>
      </c>
      <c r="G2266" s="20">
        <f>Разбивка_по_щитам!J2271</f>
      </c>
      <c r="H2266" s="20">
        <f>Разбивка_по_щитам!K2271</f>
      </c>
      <c r="I2266" s="20">
        <f>Разбивка_по_щитам!L2271</f>
      </c>
      <c r="J2266" s="20">
        <f>Разбивка_по_щитам!M2271</f>
      </c>
      <c r="K2266" s="20">
        <f>Разбивка_по_щитам!N2271</f>
      </c>
      <c r="L2266" s="20"/>
      <c r="M2266" s="20">
        <f>Разбивка_по_щитам!P2271</f>
      </c>
      <c r="N2266" s="20"/>
    </row>
    <row r="2267" spans="2:14" x14ac:dyDescent="0.25">
      <c r="B2267" s="20">
        <f>Разбивка_по_щитам!B2272</f>
      </c>
      <c r="C2267" s="20">
        <f>Разбивка_по_щитам!C2272</f>
      </c>
      <c r="D2267" s="20">
        <f>Разбивка_по_щитам!F2272</f>
      </c>
      <c r="E2267" s="20">
        <f>Разбивка_по_щитам!H2272</f>
      </c>
      <c r="F2267" s="20">
        <f>Разбивка_по_щитам!I2272</f>
      </c>
      <c r="G2267" s="20">
        <f>Разбивка_по_щитам!J2272</f>
      </c>
      <c r="H2267" s="20">
        <f>Разбивка_по_щитам!K2272</f>
      </c>
      <c r="I2267" s="20">
        <f>Разбивка_по_щитам!L2272</f>
      </c>
      <c r="J2267" s="20">
        <f>Разбивка_по_щитам!M2272</f>
      </c>
      <c r="K2267" s="20">
        <f>Разбивка_по_щитам!N2272</f>
      </c>
      <c r="L2267" s="20"/>
      <c r="M2267" s="20">
        <f>Разбивка_по_щитам!P2272</f>
      </c>
      <c r="N2267" s="20"/>
    </row>
    <row r="2268" spans="2:14" x14ac:dyDescent="0.25">
      <c r="B2268" s="20">
        <f>Разбивка_по_щитам!B2273</f>
      </c>
      <c r="C2268" s="20">
        <f>Разбивка_по_щитам!C2273</f>
      </c>
      <c r="D2268" s="20">
        <f>Разбивка_по_щитам!F2273</f>
      </c>
      <c r="E2268" s="20">
        <f>Разбивка_по_щитам!H2273</f>
      </c>
      <c r="F2268" s="20">
        <f>Разбивка_по_щитам!I2273</f>
      </c>
      <c r="G2268" s="20">
        <f>Разбивка_по_щитам!J2273</f>
      </c>
      <c r="H2268" s="20">
        <f>Разбивка_по_щитам!K2273</f>
      </c>
      <c r="I2268" s="20">
        <f>Разбивка_по_щитам!L2273</f>
      </c>
      <c r="J2268" s="20">
        <f>Разбивка_по_щитам!M2273</f>
      </c>
      <c r="K2268" s="20">
        <f>Разбивка_по_щитам!N2273</f>
      </c>
      <c r="L2268" s="20"/>
      <c r="M2268" s="20">
        <f>Разбивка_по_щитам!P2273</f>
      </c>
      <c r="N2268" s="20"/>
    </row>
    <row r="2269" spans="2:14" x14ac:dyDescent="0.25">
      <c r="B2269" s="20">
        <f>Разбивка_по_щитам!B2274</f>
      </c>
      <c r="C2269" s="20">
        <f>Разбивка_по_щитам!C2274</f>
      </c>
      <c r="D2269" s="20">
        <f>Разбивка_по_щитам!F2274</f>
      </c>
      <c r="E2269" s="20">
        <f>Разбивка_по_щитам!H2274</f>
      </c>
      <c r="F2269" s="20">
        <f>Разбивка_по_щитам!I2274</f>
      </c>
      <c r="G2269" s="20">
        <f>Разбивка_по_щитам!J2274</f>
      </c>
      <c r="H2269" s="20">
        <f>Разбивка_по_щитам!K2274</f>
      </c>
      <c r="I2269" s="20">
        <f>Разбивка_по_щитам!L2274</f>
      </c>
      <c r="J2269" s="20">
        <f>Разбивка_по_щитам!M2274</f>
      </c>
      <c r="K2269" s="20">
        <f>Разбивка_по_щитам!N2274</f>
      </c>
      <c r="L2269" s="20"/>
      <c r="M2269" s="20">
        <f>Разбивка_по_щитам!P2274</f>
      </c>
      <c r="N2269" s="20"/>
    </row>
    <row r="2270" spans="2:14" x14ac:dyDescent="0.25">
      <c r="B2270" s="20">
        <f>Разбивка_по_щитам!B2275</f>
      </c>
      <c r="C2270" s="20">
        <f>Разбивка_по_щитам!C2275</f>
      </c>
      <c r="D2270" s="20">
        <f>Разбивка_по_щитам!F2275</f>
      </c>
      <c r="E2270" s="20">
        <f>Разбивка_по_щитам!H2275</f>
      </c>
      <c r="F2270" s="20">
        <f>Разбивка_по_щитам!I2275</f>
      </c>
      <c r="G2270" s="20">
        <f>Разбивка_по_щитам!J2275</f>
      </c>
      <c r="H2270" s="20">
        <f>Разбивка_по_щитам!K2275</f>
      </c>
      <c r="I2270" s="20">
        <f>Разбивка_по_щитам!L2275</f>
      </c>
      <c r="J2270" s="20">
        <f>Разбивка_по_щитам!M2275</f>
      </c>
      <c r="K2270" s="20">
        <f>Разбивка_по_щитам!N2275</f>
      </c>
      <c r="L2270" s="20"/>
      <c r="M2270" s="20">
        <f>Разбивка_по_щитам!P2275</f>
      </c>
      <c r="N2270" s="20"/>
    </row>
    <row r="2271" spans="2:14" x14ac:dyDescent="0.25">
      <c r="B2271" s="20">
        <f>Разбивка_по_щитам!B2276</f>
      </c>
      <c r="C2271" s="20">
        <f>Разбивка_по_щитам!C2276</f>
      </c>
      <c r="D2271" s="20">
        <f>Разбивка_по_щитам!F2276</f>
      </c>
      <c r="E2271" s="20">
        <f>Разбивка_по_щитам!H2276</f>
      </c>
      <c r="F2271" s="20">
        <f>Разбивка_по_щитам!I2276</f>
      </c>
      <c r="G2271" s="20">
        <f>Разбивка_по_щитам!J2276</f>
      </c>
      <c r="H2271" s="20">
        <f>Разбивка_по_щитам!K2276</f>
      </c>
      <c r="I2271" s="20">
        <f>Разбивка_по_щитам!L2276</f>
      </c>
      <c r="J2271" s="20">
        <f>Разбивка_по_щитам!M2276</f>
      </c>
      <c r="K2271" s="20">
        <f>Разбивка_по_щитам!N2276</f>
      </c>
      <c r="L2271" s="20"/>
      <c r="M2271" s="20">
        <f>Разбивка_по_щитам!P2276</f>
      </c>
      <c r="N2271" s="20"/>
    </row>
    <row r="2272" spans="2:14" x14ac:dyDescent="0.25">
      <c r="B2272" s="20">
        <f>Разбивка_по_щитам!B2277</f>
      </c>
      <c r="C2272" s="20">
        <f>Разбивка_по_щитам!C2277</f>
      </c>
      <c r="D2272" s="20">
        <f>Разбивка_по_щитам!F2277</f>
      </c>
      <c r="E2272" s="20">
        <f>Разбивка_по_щитам!H2277</f>
      </c>
      <c r="F2272" s="20">
        <f>Разбивка_по_щитам!I2277</f>
      </c>
      <c r="G2272" s="20">
        <f>Разбивка_по_щитам!J2277</f>
      </c>
      <c r="H2272" s="20">
        <f>Разбивка_по_щитам!K2277</f>
      </c>
      <c r="I2272" s="20">
        <f>Разбивка_по_щитам!L2277</f>
      </c>
      <c r="J2272" s="20">
        <f>Разбивка_по_щитам!M2277</f>
      </c>
      <c r="K2272" s="20">
        <f>Разбивка_по_щитам!N2277</f>
      </c>
      <c r="L2272" s="20"/>
      <c r="M2272" s="20">
        <f>Разбивка_по_щитам!P2277</f>
      </c>
      <c r="N2272" s="20"/>
    </row>
    <row r="2273" spans="2:14" x14ac:dyDescent="0.25">
      <c r="B2273" s="20">
        <f>Разбивка_по_щитам!B2278</f>
      </c>
      <c r="C2273" s="20">
        <f>Разбивка_по_щитам!C2278</f>
      </c>
      <c r="D2273" s="20">
        <f>Разбивка_по_щитам!F2278</f>
      </c>
      <c r="E2273" s="20">
        <f>Разбивка_по_щитам!H2278</f>
      </c>
      <c r="F2273" s="20">
        <f>Разбивка_по_щитам!I2278</f>
      </c>
      <c r="G2273" s="20">
        <f>Разбивка_по_щитам!J2278</f>
      </c>
      <c r="H2273" s="20">
        <f>Разбивка_по_щитам!K2278</f>
      </c>
      <c r="I2273" s="20">
        <f>Разбивка_по_щитам!L2278</f>
      </c>
      <c r="J2273" s="20">
        <f>Разбивка_по_щитам!M2278</f>
      </c>
      <c r="K2273" s="20">
        <f>Разбивка_по_щитам!N2278</f>
      </c>
      <c r="L2273" s="20"/>
      <c r="M2273" s="20">
        <f>Разбивка_по_щитам!P2278</f>
      </c>
      <c r="N2273" s="20"/>
    </row>
    <row r="2274" spans="2:14" x14ac:dyDescent="0.25">
      <c r="B2274" s="20">
        <f>Разбивка_по_щитам!B2279</f>
      </c>
      <c r="C2274" s="20">
        <f>Разбивка_по_щитам!C2279</f>
      </c>
      <c r="D2274" s="20">
        <f>Разбивка_по_щитам!F2279</f>
      </c>
      <c r="E2274" s="20">
        <f>Разбивка_по_щитам!H2279</f>
      </c>
      <c r="F2274" s="20">
        <f>Разбивка_по_щитам!I2279</f>
      </c>
      <c r="G2274" s="20">
        <f>Разбивка_по_щитам!J2279</f>
      </c>
      <c r="H2274" s="20">
        <f>Разбивка_по_щитам!K2279</f>
      </c>
      <c r="I2274" s="20">
        <f>Разбивка_по_щитам!L2279</f>
      </c>
      <c r="J2274" s="20">
        <f>Разбивка_по_щитам!M2279</f>
      </c>
      <c r="K2274" s="20">
        <f>Разбивка_по_щитам!N2279</f>
      </c>
      <c r="L2274" s="20"/>
      <c r="M2274" s="20">
        <f>Разбивка_по_щитам!P2279</f>
      </c>
      <c r="N2274" s="20"/>
    </row>
    <row r="2275" spans="2:14" x14ac:dyDescent="0.25">
      <c r="B2275" s="20">
        <f>Разбивка_по_щитам!B2280</f>
      </c>
      <c r="C2275" s="20">
        <f>Разбивка_по_щитам!C2280</f>
      </c>
      <c r="D2275" s="20">
        <f>Разбивка_по_щитам!F2280</f>
      </c>
      <c r="E2275" s="20">
        <f>Разбивка_по_щитам!H2280</f>
      </c>
      <c r="F2275" s="20">
        <f>Разбивка_по_щитам!I2280</f>
      </c>
      <c r="G2275" s="20">
        <f>Разбивка_по_щитам!J2280</f>
      </c>
      <c r="H2275" s="20">
        <f>Разбивка_по_щитам!K2280</f>
      </c>
      <c r="I2275" s="20">
        <f>Разбивка_по_щитам!L2280</f>
      </c>
      <c r="J2275" s="20">
        <f>Разбивка_по_щитам!M2280</f>
      </c>
      <c r="K2275" s="20">
        <f>Разбивка_по_щитам!N2280</f>
      </c>
      <c r="L2275" s="20"/>
      <c r="M2275" s="20">
        <f>Разбивка_по_щитам!P2280</f>
      </c>
      <c r="N2275" s="20"/>
    </row>
    <row r="2276" spans="2:14" x14ac:dyDescent="0.25">
      <c r="B2276" s="20">
        <f>Разбивка_по_щитам!B2281</f>
      </c>
      <c r="C2276" s="20">
        <f>Разбивка_по_щитам!C2281</f>
      </c>
      <c r="D2276" s="20">
        <f>Разбивка_по_щитам!F2281</f>
      </c>
      <c r="E2276" s="20">
        <f>Разбивка_по_щитам!H2281</f>
      </c>
      <c r="F2276" s="20">
        <f>Разбивка_по_щитам!I2281</f>
      </c>
      <c r="G2276" s="20">
        <f>Разбивка_по_щитам!J2281</f>
      </c>
      <c r="H2276" s="20">
        <f>Разбивка_по_щитам!K2281</f>
      </c>
      <c r="I2276" s="20">
        <f>Разбивка_по_щитам!L2281</f>
      </c>
      <c r="J2276" s="20">
        <f>Разбивка_по_щитам!M2281</f>
      </c>
      <c r="K2276" s="20">
        <f>Разбивка_по_щитам!N2281</f>
      </c>
      <c r="L2276" s="20"/>
      <c r="M2276" s="20">
        <f>Разбивка_по_щитам!P2281</f>
      </c>
      <c r="N2276" s="20"/>
    </row>
    <row r="2277" spans="2:14" x14ac:dyDescent="0.25">
      <c r="B2277" s="20">
        <f>Разбивка_по_щитам!B2282</f>
      </c>
      <c r="C2277" s="20">
        <f>Разбивка_по_щитам!C2282</f>
      </c>
      <c r="D2277" s="20">
        <f>Разбивка_по_щитам!F2282</f>
      </c>
      <c r="E2277" s="20">
        <f>Разбивка_по_щитам!H2282</f>
      </c>
      <c r="F2277" s="20">
        <f>Разбивка_по_щитам!I2282</f>
      </c>
      <c r="G2277" s="20">
        <f>Разбивка_по_щитам!J2282</f>
      </c>
      <c r="H2277" s="20">
        <f>Разбивка_по_щитам!K2282</f>
      </c>
      <c r="I2277" s="20">
        <f>Разбивка_по_щитам!L2282</f>
      </c>
      <c r="J2277" s="20">
        <f>Разбивка_по_щитам!M2282</f>
      </c>
      <c r="K2277" s="20">
        <f>Разбивка_по_щитам!N2282</f>
      </c>
      <c r="L2277" s="20"/>
      <c r="M2277" s="20">
        <f>Разбивка_по_щитам!P2282</f>
      </c>
      <c r="N2277" s="20"/>
    </row>
    <row r="2278" spans="2:14" x14ac:dyDescent="0.25">
      <c r="B2278" s="20">
        <f>Разбивка_по_щитам!B2283</f>
      </c>
      <c r="C2278" s="20">
        <f>Разбивка_по_щитам!C2283</f>
      </c>
      <c r="D2278" s="20">
        <f>Разбивка_по_щитам!F2283</f>
      </c>
      <c r="E2278" s="20">
        <f>Разбивка_по_щитам!H2283</f>
      </c>
      <c r="F2278" s="20">
        <f>Разбивка_по_щитам!I2283</f>
      </c>
      <c r="G2278" s="20">
        <f>Разбивка_по_щитам!J2283</f>
      </c>
      <c r="H2278" s="20">
        <f>Разбивка_по_щитам!K2283</f>
      </c>
      <c r="I2278" s="20">
        <f>Разбивка_по_щитам!L2283</f>
      </c>
      <c r="J2278" s="20">
        <f>Разбивка_по_щитам!M2283</f>
      </c>
      <c r="K2278" s="20">
        <f>Разбивка_по_щитам!N2283</f>
      </c>
      <c r="L2278" s="20"/>
      <c r="M2278" s="20">
        <f>Разбивка_по_щитам!P2283</f>
      </c>
      <c r="N2278" s="20"/>
    </row>
    <row r="2279" spans="2:14" x14ac:dyDescent="0.25">
      <c r="B2279" s="20">
        <f>Разбивка_по_щитам!B2284</f>
      </c>
      <c r="C2279" s="20">
        <f>Разбивка_по_щитам!C2284</f>
      </c>
      <c r="D2279" s="20">
        <f>Разбивка_по_щитам!F2284</f>
      </c>
      <c r="E2279" s="20">
        <f>Разбивка_по_щитам!H2284</f>
      </c>
      <c r="F2279" s="20">
        <f>Разбивка_по_щитам!I2284</f>
      </c>
      <c r="G2279" s="20">
        <f>Разбивка_по_щитам!J2284</f>
      </c>
      <c r="H2279" s="20">
        <f>Разбивка_по_щитам!K2284</f>
      </c>
      <c r="I2279" s="20">
        <f>Разбивка_по_щитам!L2284</f>
      </c>
      <c r="J2279" s="20">
        <f>Разбивка_по_щитам!M2284</f>
      </c>
      <c r="K2279" s="20">
        <f>Разбивка_по_щитам!N2284</f>
      </c>
      <c r="L2279" s="20"/>
      <c r="M2279" s="20">
        <f>Разбивка_по_щитам!P2284</f>
      </c>
      <c r="N2279" s="20"/>
    </row>
    <row r="2280" spans="2:14" x14ac:dyDescent="0.25">
      <c r="B2280" s="20">
        <f>Разбивка_по_щитам!B2285</f>
      </c>
      <c r="C2280" s="20">
        <f>Разбивка_по_щитам!C2285</f>
      </c>
      <c r="D2280" s="20">
        <f>Разбивка_по_щитам!F2285</f>
      </c>
      <c r="E2280" s="20">
        <f>Разбивка_по_щитам!H2285</f>
      </c>
      <c r="F2280" s="20">
        <f>Разбивка_по_щитам!I2285</f>
      </c>
      <c r="G2280" s="20">
        <f>Разбивка_по_щитам!J2285</f>
      </c>
      <c r="H2280" s="20">
        <f>Разбивка_по_щитам!K2285</f>
      </c>
      <c r="I2280" s="20">
        <f>Разбивка_по_щитам!L2285</f>
      </c>
      <c r="J2280" s="20">
        <f>Разбивка_по_щитам!M2285</f>
      </c>
      <c r="K2280" s="20">
        <f>Разбивка_по_щитам!N2285</f>
      </c>
      <c r="L2280" s="20"/>
      <c r="M2280" s="20">
        <f>Разбивка_по_щитам!P2285</f>
      </c>
      <c r="N2280" s="20"/>
    </row>
    <row r="2281" spans="2:14" x14ac:dyDescent="0.25">
      <c r="B2281" s="20">
        <f>Разбивка_по_щитам!B2286</f>
      </c>
      <c r="C2281" s="20">
        <f>Разбивка_по_щитам!C2286</f>
      </c>
      <c r="D2281" s="20">
        <f>Разбивка_по_щитам!F2286</f>
      </c>
      <c r="E2281" s="20">
        <f>Разбивка_по_щитам!H2286</f>
      </c>
      <c r="F2281" s="20">
        <f>Разбивка_по_щитам!I2286</f>
      </c>
      <c r="G2281" s="20">
        <f>Разбивка_по_щитам!J2286</f>
      </c>
      <c r="H2281" s="20">
        <f>Разбивка_по_щитам!K2286</f>
      </c>
      <c r="I2281" s="20">
        <f>Разбивка_по_щитам!L2286</f>
      </c>
      <c r="J2281" s="20">
        <f>Разбивка_по_щитам!M2286</f>
      </c>
      <c r="K2281" s="20">
        <f>Разбивка_по_щитам!N2286</f>
      </c>
      <c r="L2281" s="20"/>
      <c r="M2281" s="20">
        <f>Разбивка_по_щитам!P2286</f>
      </c>
      <c r="N2281" s="20"/>
    </row>
    <row r="2282" spans="2:14" x14ac:dyDescent="0.25">
      <c r="B2282" s="20">
        <f>Разбивка_по_щитам!B2287</f>
      </c>
      <c r="C2282" s="20">
        <f>Разбивка_по_щитам!C2287</f>
      </c>
      <c r="D2282" s="20">
        <f>Разбивка_по_щитам!F2287</f>
      </c>
      <c r="E2282" s="20">
        <f>Разбивка_по_щитам!H2287</f>
      </c>
      <c r="F2282" s="20">
        <f>Разбивка_по_щитам!I2287</f>
      </c>
      <c r="G2282" s="20">
        <f>Разбивка_по_щитам!J2287</f>
      </c>
      <c r="H2282" s="20">
        <f>Разбивка_по_щитам!K2287</f>
      </c>
      <c r="I2282" s="20">
        <f>Разбивка_по_щитам!L2287</f>
      </c>
      <c r="J2282" s="20">
        <f>Разбивка_по_щитам!M2287</f>
      </c>
      <c r="K2282" s="20">
        <f>Разбивка_по_щитам!N2287</f>
      </c>
      <c r="L2282" s="20"/>
      <c r="M2282" s="20">
        <f>Разбивка_по_щитам!P2287</f>
      </c>
      <c r="N2282" s="20"/>
    </row>
    <row r="2283" spans="2:14" x14ac:dyDescent="0.25">
      <c r="B2283" s="20">
        <f>Разбивка_по_щитам!B2288</f>
      </c>
      <c r="C2283" s="20">
        <f>Разбивка_по_щитам!C2288</f>
      </c>
      <c r="D2283" s="20">
        <f>Разбивка_по_щитам!F2288</f>
      </c>
      <c r="E2283" s="20">
        <f>Разбивка_по_щитам!H2288</f>
      </c>
      <c r="F2283" s="20">
        <f>Разбивка_по_щитам!I2288</f>
      </c>
      <c r="G2283" s="20">
        <f>Разбивка_по_щитам!J2288</f>
      </c>
      <c r="H2283" s="20">
        <f>Разбивка_по_щитам!K2288</f>
      </c>
      <c r="I2283" s="20">
        <f>Разбивка_по_щитам!L2288</f>
      </c>
      <c r="J2283" s="20">
        <f>Разбивка_по_щитам!M2288</f>
      </c>
      <c r="K2283" s="20">
        <f>Разбивка_по_щитам!N2288</f>
      </c>
      <c r="L2283" s="20"/>
      <c r="M2283" s="20">
        <f>Разбивка_по_щитам!P2288</f>
      </c>
      <c r="N2283" s="20"/>
    </row>
    <row r="2284" spans="2:14" x14ac:dyDescent="0.25">
      <c r="B2284" s="20">
        <f>Разбивка_по_щитам!B2289</f>
      </c>
      <c r="C2284" s="20">
        <f>Разбивка_по_щитам!C2289</f>
      </c>
      <c r="D2284" s="20">
        <f>Разбивка_по_щитам!F2289</f>
      </c>
      <c r="E2284" s="20">
        <f>Разбивка_по_щитам!H2289</f>
      </c>
      <c r="F2284" s="20">
        <f>Разбивка_по_щитам!I2289</f>
      </c>
      <c r="G2284" s="20">
        <f>Разбивка_по_щитам!J2289</f>
      </c>
      <c r="H2284" s="20">
        <f>Разбивка_по_щитам!K2289</f>
      </c>
      <c r="I2284" s="20">
        <f>Разбивка_по_щитам!L2289</f>
      </c>
      <c r="J2284" s="20">
        <f>Разбивка_по_щитам!M2289</f>
      </c>
      <c r="K2284" s="20">
        <f>Разбивка_по_щитам!N2289</f>
      </c>
      <c r="L2284" s="20"/>
      <c r="M2284" s="20">
        <f>Разбивка_по_щитам!P2289</f>
      </c>
      <c r="N2284" s="20"/>
    </row>
    <row r="2285" spans="2:14" x14ac:dyDescent="0.25">
      <c r="B2285" s="20">
        <f>Разбивка_по_щитам!B2290</f>
      </c>
      <c r="C2285" s="20">
        <f>Разбивка_по_щитам!C2290</f>
      </c>
      <c r="D2285" s="20">
        <f>Разбивка_по_щитам!F2290</f>
      </c>
      <c r="E2285" s="20">
        <f>Разбивка_по_щитам!H2290</f>
      </c>
      <c r="F2285" s="20">
        <f>Разбивка_по_щитам!I2290</f>
      </c>
      <c r="G2285" s="20">
        <f>Разбивка_по_щитам!J2290</f>
      </c>
      <c r="H2285" s="20">
        <f>Разбивка_по_щитам!K2290</f>
      </c>
      <c r="I2285" s="20">
        <f>Разбивка_по_щитам!L2290</f>
      </c>
      <c r="J2285" s="20">
        <f>Разбивка_по_щитам!M2290</f>
      </c>
      <c r="K2285" s="20">
        <f>Разбивка_по_щитам!N2290</f>
      </c>
      <c r="L2285" s="20"/>
      <c r="M2285" s="20">
        <f>Разбивка_по_щитам!P2290</f>
      </c>
      <c r="N2285" s="20"/>
    </row>
    <row r="2286" spans="2:14" x14ac:dyDescent="0.25">
      <c r="B2286" s="20">
        <f>Разбивка_по_щитам!B2291</f>
      </c>
      <c r="C2286" s="20">
        <f>Разбивка_по_щитам!C2291</f>
      </c>
      <c r="D2286" s="20">
        <f>Разбивка_по_щитам!F2291</f>
      </c>
      <c r="E2286" s="20">
        <f>Разбивка_по_щитам!H2291</f>
      </c>
      <c r="F2286" s="20">
        <f>Разбивка_по_щитам!I2291</f>
      </c>
      <c r="G2286" s="20">
        <f>Разбивка_по_щитам!J2291</f>
      </c>
      <c r="H2286" s="20">
        <f>Разбивка_по_щитам!K2291</f>
      </c>
      <c r="I2286" s="20">
        <f>Разбивка_по_щитам!L2291</f>
      </c>
      <c r="J2286" s="20">
        <f>Разбивка_по_щитам!M2291</f>
      </c>
      <c r="K2286" s="20">
        <f>Разбивка_по_щитам!N2291</f>
      </c>
      <c r="L2286" s="20"/>
      <c r="M2286" s="20">
        <f>Разбивка_по_щитам!P2291</f>
      </c>
      <c r="N2286" s="20"/>
    </row>
    <row r="2287" spans="2:14" x14ac:dyDescent="0.25">
      <c r="B2287" s="20">
        <f>Разбивка_по_щитам!B2292</f>
      </c>
      <c r="C2287" s="20">
        <f>Разбивка_по_щитам!C2292</f>
      </c>
      <c r="D2287" s="20">
        <f>Разбивка_по_щитам!F2292</f>
      </c>
      <c r="E2287" s="20">
        <f>Разбивка_по_щитам!H2292</f>
      </c>
      <c r="F2287" s="20">
        <f>Разбивка_по_щитам!I2292</f>
      </c>
      <c r="G2287" s="20">
        <f>Разбивка_по_щитам!J2292</f>
      </c>
      <c r="H2287" s="20">
        <f>Разбивка_по_щитам!K2292</f>
      </c>
      <c r="I2287" s="20">
        <f>Разбивка_по_щитам!L2292</f>
      </c>
      <c r="J2287" s="20">
        <f>Разбивка_по_щитам!M2292</f>
      </c>
      <c r="K2287" s="20">
        <f>Разбивка_по_щитам!N2292</f>
      </c>
      <c r="L2287" s="20"/>
      <c r="M2287" s="20">
        <f>Разбивка_по_щитам!P2292</f>
      </c>
      <c r="N2287" s="20"/>
    </row>
    <row r="2288" spans="2:14" x14ac:dyDescent="0.25">
      <c r="B2288" s="20">
        <f>Разбивка_по_щитам!B2293</f>
      </c>
      <c r="C2288" s="20">
        <f>Разбивка_по_щитам!C2293</f>
      </c>
      <c r="D2288" s="20">
        <f>Разбивка_по_щитам!F2293</f>
      </c>
      <c r="E2288" s="20">
        <f>Разбивка_по_щитам!H2293</f>
      </c>
      <c r="F2288" s="20">
        <f>Разбивка_по_щитам!I2293</f>
      </c>
      <c r="G2288" s="20">
        <f>Разбивка_по_щитам!J2293</f>
      </c>
      <c r="H2288" s="20">
        <f>Разбивка_по_щитам!K2293</f>
      </c>
      <c r="I2288" s="20">
        <f>Разбивка_по_щитам!L2293</f>
      </c>
      <c r="J2288" s="20">
        <f>Разбивка_по_щитам!M2293</f>
      </c>
      <c r="K2288" s="20">
        <f>Разбивка_по_щитам!N2293</f>
      </c>
      <c r="L2288" s="20"/>
      <c r="M2288" s="20">
        <f>Разбивка_по_щитам!P2293</f>
      </c>
      <c r="N2288" s="20"/>
    </row>
    <row r="2289" spans="2:14" x14ac:dyDescent="0.25">
      <c r="B2289" s="20">
        <f>Разбивка_по_щитам!B2294</f>
      </c>
      <c r="C2289" s="20">
        <f>Разбивка_по_щитам!C2294</f>
      </c>
      <c r="D2289" s="20">
        <f>Разбивка_по_щитам!F2294</f>
      </c>
      <c r="E2289" s="20">
        <f>Разбивка_по_щитам!H2294</f>
      </c>
      <c r="F2289" s="20">
        <f>Разбивка_по_щитам!I2294</f>
      </c>
      <c r="G2289" s="20">
        <f>Разбивка_по_щитам!J2294</f>
      </c>
      <c r="H2289" s="20">
        <f>Разбивка_по_щитам!K2294</f>
      </c>
      <c r="I2289" s="20">
        <f>Разбивка_по_щитам!L2294</f>
      </c>
      <c r="J2289" s="20">
        <f>Разбивка_по_щитам!M2294</f>
      </c>
      <c r="K2289" s="20">
        <f>Разбивка_по_щитам!N2294</f>
      </c>
      <c r="L2289" s="20"/>
      <c r="M2289" s="20">
        <f>Разбивка_по_щитам!P2294</f>
      </c>
      <c r="N2289" s="20"/>
    </row>
    <row r="2290" spans="2:14" x14ac:dyDescent="0.25">
      <c r="B2290" s="20">
        <f>Разбивка_по_щитам!B2295</f>
      </c>
      <c r="C2290" s="20">
        <f>Разбивка_по_щитам!C2295</f>
      </c>
      <c r="D2290" s="20">
        <f>Разбивка_по_щитам!F2295</f>
      </c>
      <c r="E2290" s="20">
        <f>Разбивка_по_щитам!H2295</f>
      </c>
      <c r="F2290" s="20">
        <f>Разбивка_по_щитам!I2295</f>
      </c>
      <c r="G2290" s="20">
        <f>Разбивка_по_щитам!J2295</f>
      </c>
      <c r="H2290" s="20">
        <f>Разбивка_по_щитам!K2295</f>
      </c>
      <c r="I2290" s="20">
        <f>Разбивка_по_щитам!L2295</f>
      </c>
      <c r="J2290" s="20">
        <f>Разбивка_по_щитам!M2295</f>
      </c>
      <c r="K2290" s="20">
        <f>Разбивка_по_щитам!N2295</f>
      </c>
      <c r="L2290" s="20"/>
      <c r="M2290" s="20">
        <f>Разбивка_по_щитам!P2295</f>
      </c>
      <c r="N2290" s="20"/>
    </row>
    <row r="2291" spans="2:14" x14ac:dyDescent="0.25">
      <c r="B2291" s="20">
        <f>Разбивка_по_щитам!B2296</f>
      </c>
      <c r="C2291" s="20">
        <f>Разбивка_по_щитам!C2296</f>
      </c>
      <c r="D2291" s="20">
        <f>Разбивка_по_щитам!F2296</f>
      </c>
      <c r="E2291" s="20">
        <f>Разбивка_по_щитам!H2296</f>
      </c>
      <c r="F2291" s="20">
        <f>Разбивка_по_щитам!I2296</f>
      </c>
      <c r="G2291" s="20">
        <f>Разбивка_по_щитам!J2296</f>
      </c>
      <c r="H2291" s="20">
        <f>Разбивка_по_щитам!K2296</f>
      </c>
      <c r="I2291" s="20">
        <f>Разбивка_по_щитам!L2296</f>
      </c>
      <c r="J2291" s="20">
        <f>Разбивка_по_щитам!M2296</f>
      </c>
      <c r="K2291" s="20">
        <f>Разбивка_по_щитам!N2296</f>
      </c>
      <c r="L2291" s="20"/>
      <c r="M2291" s="20">
        <f>Разбивка_по_щитам!P2296</f>
      </c>
      <c r="N2291" s="20"/>
    </row>
    <row r="2292" spans="2:14" x14ac:dyDescent="0.25">
      <c r="B2292" s="20">
        <f>Разбивка_по_щитам!B2297</f>
      </c>
      <c r="C2292" s="20">
        <f>Разбивка_по_щитам!C2297</f>
      </c>
      <c r="D2292" s="20">
        <f>Разбивка_по_щитам!F2297</f>
      </c>
      <c r="E2292" s="20">
        <f>Разбивка_по_щитам!H2297</f>
      </c>
      <c r="F2292" s="20">
        <f>Разбивка_по_щитам!I2297</f>
      </c>
      <c r="G2292" s="20">
        <f>Разбивка_по_щитам!J2297</f>
      </c>
      <c r="H2292" s="20">
        <f>Разбивка_по_щитам!K2297</f>
      </c>
      <c r="I2292" s="20">
        <f>Разбивка_по_щитам!L2297</f>
      </c>
      <c r="J2292" s="20">
        <f>Разбивка_по_щитам!M2297</f>
      </c>
      <c r="K2292" s="20">
        <f>Разбивка_по_щитам!N2297</f>
      </c>
      <c r="L2292" s="20"/>
      <c r="M2292" s="20">
        <f>Разбивка_по_щитам!P2297</f>
      </c>
      <c r="N2292" s="20"/>
    </row>
    <row r="2293" spans="2:14" x14ac:dyDescent="0.25">
      <c r="B2293" s="20">
        <f>Разбивка_по_щитам!B2298</f>
      </c>
      <c r="C2293" s="20">
        <f>Разбивка_по_щитам!C2298</f>
      </c>
      <c r="D2293" s="20">
        <f>Разбивка_по_щитам!F2298</f>
      </c>
      <c r="E2293" s="20">
        <f>Разбивка_по_щитам!H2298</f>
      </c>
      <c r="F2293" s="20">
        <f>Разбивка_по_щитам!I2298</f>
      </c>
      <c r="G2293" s="20">
        <f>Разбивка_по_щитам!J2298</f>
      </c>
      <c r="H2293" s="20">
        <f>Разбивка_по_щитам!K2298</f>
      </c>
      <c r="I2293" s="20">
        <f>Разбивка_по_щитам!L2298</f>
      </c>
      <c r="J2293" s="20">
        <f>Разбивка_по_щитам!M2298</f>
      </c>
      <c r="K2293" s="20">
        <f>Разбивка_по_щитам!N2298</f>
      </c>
      <c r="L2293" s="20"/>
      <c r="M2293" s="20">
        <f>Разбивка_по_щитам!P2298</f>
      </c>
      <c r="N2293" s="20"/>
    </row>
    <row r="2294" spans="2:14" x14ac:dyDescent="0.25">
      <c r="B2294" s="20">
        <f>Разбивка_по_щитам!B2299</f>
      </c>
      <c r="C2294" s="20">
        <f>Разбивка_по_щитам!C2299</f>
      </c>
      <c r="D2294" s="20">
        <f>Разбивка_по_щитам!F2299</f>
      </c>
      <c r="E2294" s="20">
        <f>Разбивка_по_щитам!H2299</f>
      </c>
      <c r="F2294" s="20">
        <f>Разбивка_по_щитам!I2299</f>
      </c>
      <c r="G2294" s="20">
        <f>Разбивка_по_щитам!J2299</f>
      </c>
      <c r="H2294" s="20">
        <f>Разбивка_по_щитам!K2299</f>
      </c>
      <c r="I2294" s="20">
        <f>Разбивка_по_щитам!L2299</f>
      </c>
      <c r="J2294" s="20">
        <f>Разбивка_по_щитам!M2299</f>
      </c>
      <c r="K2294" s="20">
        <f>Разбивка_по_щитам!N2299</f>
      </c>
      <c r="L2294" s="20"/>
      <c r="M2294" s="20">
        <f>Разбивка_по_щитам!P2299</f>
      </c>
      <c r="N2294" s="20"/>
    </row>
    <row r="2295" spans="2:14" x14ac:dyDescent="0.25">
      <c r="B2295" s="20">
        <f>Разбивка_по_щитам!B2300</f>
      </c>
      <c r="C2295" s="20">
        <f>Разбивка_по_щитам!C2300</f>
      </c>
      <c r="D2295" s="20">
        <f>Разбивка_по_щитам!F2300</f>
      </c>
      <c r="E2295" s="20">
        <f>Разбивка_по_щитам!H2300</f>
      </c>
      <c r="F2295" s="20">
        <f>Разбивка_по_щитам!I2300</f>
      </c>
      <c r="G2295" s="20">
        <f>Разбивка_по_щитам!J2300</f>
      </c>
      <c r="H2295" s="20">
        <f>Разбивка_по_щитам!K2300</f>
      </c>
      <c r="I2295" s="20">
        <f>Разбивка_по_щитам!L2300</f>
      </c>
      <c r="J2295" s="20">
        <f>Разбивка_по_щитам!M2300</f>
      </c>
      <c r="K2295" s="20">
        <f>Разбивка_по_щитам!N2300</f>
      </c>
      <c r="L2295" s="20"/>
      <c r="M2295" s="20">
        <f>Разбивка_по_щитам!P2300</f>
      </c>
      <c r="N2295" s="20"/>
    </row>
    <row r="2296" spans="2:14" x14ac:dyDescent="0.25">
      <c r="B2296" s="20">
        <f>Разбивка_по_щитам!B2301</f>
      </c>
      <c r="C2296" s="20">
        <f>Разбивка_по_щитам!C2301</f>
      </c>
      <c r="D2296" s="20">
        <f>Разбивка_по_щитам!F2301</f>
      </c>
      <c r="E2296" s="20">
        <f>Разбивка_по_щитам!H2301</f>
      </c>
      <c r="F2296" s="20">
        <f>Разбивка_по_щитам!I2301</f>
      </c>
      <c r="G2296" s="20">
        <f>Разбивка_по_щитам!J2301</f>
      </c>
      <c r="H2296" s="20">
        <f>Разбивка_по_щитам!K2301</f>
      </c>
      <c r="I2296" s="20">
        <f>Разбивка_по_щитам!L2301</f>
      </c>
      <c r="J2296" s="20">
        <f>Разбивка_по_щитам!M2301</f>
      </c>
      <c r="K2296" s="20">
        <f>Разбивка_по_щитам!N2301</f>
      </c>
      <c r="L2296" s="20"/>
      <c r="M2296" s="20">
        <f>Разбивка_по_щитам!P2301</f>
      </c>
      <c r="N2296" s="20"/>
    </row>
    <row r="2297" spans="2:14" x14ac:dyDescent="0.25">
      <c r="B2297" s="20">
        <f>Разбивка_по_щитам!B2302</f>
      </c>
      <c r="C2297" s="20">
        <f>Разбивка_по_щитам!C2302</f>
      </c>
      <c r="D2297" s="20">
        <f>Разбивка_по_щитам!F2302</f>
      </c>
      <c r="E2297" s="20">
        <f>Разбивка_по_щитам!H2302</f>
      </c>
      <c r="F2297" s="20">
        <f>Разбивка_по_щитам!I2302</f>
      </c>
      <c r="G2297" s="20">
        <f>Разбивка_по_щитам!J2302</f>
      </c>
      <c r="H2297" s="20">
        <f>Разбивка_по_щитам!K2302</f>
      </c>
      <c r="I2297" s="20">
        <f>Разбивка_по_щитам!L2302</f>
      </c>
      <c r="J2297" s="20">
        <f>Разбивка_по_щитам!M2302</f>
      </c>
      <c r="K2297" s="20">
        <f>Разбивка_по_щитам!N2302</f>
      </c>
      <c r="L2297" s="20"/>
      <c r="M2297" s="20">
        <f>Разбивка_по_щитам!P2302</f>
      </c>
      <c r="N2297" s="20"/>
    </row>
    <row r="2298" spans="2:14" x14ac:dyDescent="0.25">
      <c r="B2298" s="20">
        <f>Разбивка_по_щитам!B2303</f>
      </c>
      <c r="C2298" s="20">
        <f>Разбивка_по_щитам!C2303</f>
      </c>
      <c r="D2298" s="20">
        <f>Разбивка_по_щитам!F2303</f>
      </c>
      <c r="E2298" s="20">
        <f>Разбивка_по_щитам!H2303</f>
      </c>
      <c r="F2298" s="20">
        <f>Разбивка_по_щитам!I2303</f>
      </c>
      <c r="G2298" s="20">
        <f>Разбивка_по_щитам!J2303</f>
      </c>
      <c r="H2298" s="20">
        <f>Разбивка_по_щитам!K2303</f>
      </c>
      <c r="I2298" s="20">
        <f>Разбивка_по_щитам!L2303</f>
      </c>
      <c r="J2298" s="20">
        <f>Разбивка_по_щитам!M2303</f>
      </c>
      <c r="K2298" s="20">
        <f>Разбивка_по_щитам!N2303</f>
      </c>
      <c r="L2298" s="20"/>
      <c r="M2298" s="20">
        <f>Разбивка_по_щитам!P2303</f>
      </c>
      <c r="N2298" s="20"/>
    </row>
    <row r="2299" spans="2:14" x14ac:dyDescent="0.25">
      <c r="B2299" s="20">
        <f>Разбивка_по_щитам!B2304</f>
      </c>
      <c r="C2299" s="20">
        <f>Разбивка_по_щитам!C2304</f>
      </c>
      <c r="D2299" s="20">
        <f>Разбивка_по_щитам!F2304</f>
      </c>
      <c r="E2299" s="20">
        <f>Разбивка_по_щитам!H2304</f>
      </c>
      <c r="F2299" s="20">
        <f>Разбивка_по_щитам!I2304</f>
      </c>
      <c r="G2299" s="20">
        <f>Разбивка_по_щитам!J2304</f>
      </c>
      <c r="H2299" s="20">
        <f>Разбивка_по_щитам!K2304</f>
      </c>
      <c r="I2299" s="20">
        <f>Разбивка_по_щитам!L2304</f>
      </c>
      <c r="J2299" s="20">
        <f>Разбивка_по_щитам!M2304</f>
      </c>
      <c r="K2299" s="20">
        <f>Разбивка_по_щитам!N2304</f>
      </c>
      <c r="L2299" s="20"/>
      <c r="M2299" s="20">
        <f>Разбивка_по_щитам!P2304</f>
      </c>
      <c r="N2299" s="20"/>
    </row>
    <row r="2300" spans="2:14" x14ac:dyDescent="0.25">
      <c r="B2300" s="20">
        <f>Разбивка_по_щитам!B2305</f>
      </c>
      <c r="C2300" s="20">
        <f>Разбивка_по_щитам!C2305</f>
      </c>
      <c r="D2300" s="20">
        <f>Разбивка_по_щитам!F2305</f>
      </c>
      <c r="E2300" s="20">
        <f>Разбивка_по_щитам!H2305</f>
      </c>
      <c r="F2300" s="20">
        <f>Разбивка_по_щитам!I2305</f>
      </c>
      <c r="G2300" s="20">
        <f>Разбивка_по_щитам!J2305</f>
      </c>
      <c r="H2300" s="20">
        <f>Разбивка_по_щитам!K2305</f>
      </c>
      <c r="I2300" s="20">
        <f>Разбивка_по_щитам!L2305</f>
      </c>
      <c r="J2300" s="20">
        <f>Разбивка_по_щитам!M2305</f>
      </c>
      <c r="K2300" s="20">
        <f>Разбивка_по_щитам!N2305</f>
      </c>
      <c r="L2300" s="20"/>
      <c r="M2300" s="20">
        <f>Разбивка_по_щитам!P2305</f>
      </c>
      <c r="N2300" s="20"/>
    </row>
    <row r="2301" spans="2:14" x14ac:dyDescent="0.25">
      <c r="B2301" s="20">
        <f>Разбивка_по_щитам!B2306</f>
      </c>
      <c r="C2301" s="20">
        <f>Разбивка_по_щитам!C2306</f>
      </c>
      <c r="D2301" s="20">
        <f>Разбивка_по_щитам!F2306</f>
      </c>
      <c r="E2301" s="20">
        <f>Разбивка_по_щитам!H2306</f>
      </c>
      <c r="F2301" s="20">
        <f>Разбивка_по_щитам!I2306</f>
      </c>
      <c r="G2301" s="20">
        <f>Разбивка_по_щитам!J2306</f>
      </c>
      <c r="H2301" s="20">
        <f>Разбивка_по_щитам!K2306</f>
      </c>
      <c r="I2301" s="20">
        <f>Разбивка_по_щитам!L2306</f>
      </c>
      <c r="J2301" s="20">
        <f>Разбивка_по_щитам!M2306</f>
      </c>
      <c r="K2301" s="20">
        <f>Разбивка_по_щитам!N2306</f>
      </c>
      <c r="L2301" s="20"/>
      <c r="M2301" s="20">
        <f>Разбивка_по_щитам!P2306</f>
      </c>
      <c r="N2301" s="20"/>
    </row>
    <row r="2302" spans="2:14" x14ac:dyDescent="0.25">
      <c r="B2302" s="20">
        <f>Разбивка_по_щитам!B2307</f>
      </c>
      <c r="C2302" s="20">
        <f>Разбивка_по_щитам!C2307</f>
      </c>
      <c r="D2302" s="20">
        <f>Разбивка_по_щитам!F2307</f>
      </c>
      <c r="E2302" s="20">
        <f>Разбивка_по_щитам!H2307</f>
      </c>
      <c r="F2302" s="20">
        <f>Разбивка_по_щитам!I2307</f>
      </c>
      <c r="G2302" s="20">
        <f>Разбивка_по_щитам!J2307</f>
      </c>
      <c r="H2302" s="20">
        <f>Разбивка_по_щитам!K2307</f>
      </c>
      <c r="I2302" s="20">
        <f>Разбивка_по_щитам!L2307</f>
      </c>
      <c r="J2302" s="20">
        <f>Разбивка_по_щитам!M2307</f>
      </c>
      <c r="K2302" s="20">
        <f>Разбивка_по_щитам!N2307</f>
      </c>
      <c r="L2302" s="20"/>
      <c r="M2302" s="20">
        <f>Разбивка_по_щитам!P2307</f>
      </c>
      <c r="N2302" s="20"/>
    </row>
    <row r="2303" spans="2:14" x14ac:dyDescent="0.25">
      <c r="B2303" s="20">
        <f>Разбивка_по_щитам!B2308</f>
      </c>
      <c r="C2303" s="20">
        <f>Разбивка_по_щитам!C2308</f>
      </c>
      <c r="D2303" s="20">
        <f>Разбивка_по_щитам!F2308</f>
      </c>
      <c r="E2303" s="20">
        <f>Разбивка_по_щитам!H2308</f>
      </c>
      <c r="F2303" s="20">
        <f>Разбивка_по_щитам!I2308</f>
      </c>
      <c r="G2303" s="20">
        <f>Разбивка_по_щитам!J2308</f>
      </c>
      <c r="H2303" s="20">
        <f>Разбивка_по_щитам!K2308</f>
      </c>
      <c r="I2303" s="20">
        <f>Разбивка_по_щитам!L2308</f>
      </c>
      <c r="J2303" s="20">
        <f>Разбивка_по_щитам!M2308</f>
      </c>
      <c r="K2303" s="20">
        <f>Разбивка_по_щитам!N2308</f>
      </c>
      <c r="L2303" s="20"/>
      <c r="M2303" s="20">
        <f>Разбивка_по_щитам!P2308</f>
      </c>
      <c r="N2303" s="20"/>
    </row>
    <row r="2304" spans="2:14" x14ac:dyDescent="0.25">
      <c r="B2304" s="20">
        <f>Разбивка_по_щитам!B2309</f>
      </c>
      <c r="C2304" s="20">
        <f>Разбивка_по_щитам!C2309</f>
      </c>
      <c r="D2304" s="20">
        <f>Разбивка_по_щитам!F2309</f>
      </c>
      <c r="E2304" s="20">
        <f>Разбивка_по_щитам!H2309</f>
      </c>
      <c r="F2304" s="20">
        <f>Разбивка_по_щитам!I2309</f>
      </c>
      <c r="G2304" s="20">
        <f>Разбивка_по_щитам!J2309</f>
      </c>
      <c r="H2304" s="20">
        <f>Разбивка_по_щитам!K2309</f>
      </c>
      <c r="I2304" s="20">
        <f>Разбивка_по_щитам!L2309</f>
      </c>
      <c r="J2304" s="20">
        <f>Разбивка_по_щитам!M2309</f>
      </c>
      <c r="K2304" s="20">
        <f>Разбивка_по_щитам!N2309</f>
      </c>
      <c r="L2304" s="20"/>
      <c r="M2304" s="20">
        <f>Разбивка_по_щитам!P2309</f>
      </c>
      <c r="N2304" s="20"/>
    </row>
    <row r="2305" spans="2:14" x14ac:dyDescent="0.25">
      <c r="B2305" s="20">
        <f>Разбивка_по_щитам!B2310</f>
      </c>
      <c r="C2305" s="20">
        <f>Разбивка_по_щитам!C2310</f>
      </c>
      <c r="D2305" s="20">
        <f>Разбивка_по_щитам!F2310</f>
      </c>
      <c r="E2305" s="20">
        <f>Разбивка_по_щитам!H2310</f>
      </c>
      <c r="F2305" s="20">
        <f>Разбивка_по_щитам!I2310</f>
      </c>
      <c r="G2305" s="20">
        <f>Разбивка_по_щитам!J2310</f>
      </c>
      <c r="H2305" s="20">
        <f>Разбивка_по_щитам!K2310</f>
      </c>
      <c r="I2305" s="20">
        <f>Разбивка_по_щитам!L2310</f>
      </c>
      <c r="J2305" s="20">
        <f>Разбивка_по_щитам!M2310</f>
      </c>
      <c r="K2305" s="20">
        <f>Разбивка_по_щитам!N2310</f>
      </c>
      <c r="L2305" s="20"/>
      <c r="M2305" s="20">
        <f>Разбивка_по_щитам!P2310</f>
      </c>
      <c r="N2305" s="20"/>
    </row>
    <row r="2306" spans="2:14" x14ac:dyDescent="0.25">
      <c r="B2306" s="20">
        <f>Разбивка_по_щитам!B2311</f>
      </c>
      <c r="C2306" s="20">
        <f>Разбивка_по_щитам!C2311</f>
      </c>
      <c r="D2306" s="20">
        <f>Разбивка_по_щитам!F2311</f>
      </c>
      <c r="E2306" s="20">
        <f>Разбивка_по_щитам!H2311</f>
      </c>
      <c r="F2306" s="20">
        <f>Разбивка_по_щитам!I2311</f>
      </c>
      <c r="G2306" s="20">
        <f>Разбивка_по_щитам!J2311</f>
      </c>
      <c r="H2306" s="20">
        <f>Разбивка_по_щитам!K2311</f>
      </c>
      <c r="I2306" s="20">
        <f>Разбивка_по_щитам!L2311</f>
      </c>
      <c r="J2306" s="20">
        <f>Разбивка_по_щитам!M2311</f>
      </c>
      <c r="K2306" s="20">
        <f>Разбивка_по_щитам!N2311</f>
      </c>
      <c r="L2306" s="20"/>
      <c r="M2306" s="20">
        <f>Разбивка_по_щитам!P2311</f>
      </c>
      <c r="N2306" s="20"/>
    </row>
    <row r="2307" spans="2:14" x14ac:dyDescent="0.25">
      <c r="B2307" s="20">
        <f>Разбивка_по_щитам!B2312</f>
      </c>
      <c r="C2307" s="20">
        <f>Разбивка_по_щитам!C2312</f>
      </c>
      <c r="D2307" s="20">
        <f>Разбивка_по_щитам!F2312</f>
      </c>
      <c r="E2307" s="20">
        <f>Разбивка_по_щитам!H2312</f>
      </c>
      <c r="F2307" s="20">
        <f>Разбивка_по_щитам!I2312</f>
      </c>
      <c r="G2307" s="20">
        <f>Разбивка_по_щитам!J2312</f>
      </c>
      <c r="H2307" s="20">
        <f>Разбивка_по_щитам!K2312</f>
      </c>
      <c r="I2307" s="20">
        <f>Разбивка_по_щитам!L2312</f>
      </c>
      <c r="J2307" s="20">
        <f>Разбивка_по_щитам!M2312</f>
      </c>
      <c r="K2307" s="20">
        <f>Разбивка_по_щитам!N2312</f>
      </c>
      <c r="L2307" s="20"/>
      <c r="M2307" s="20">
        <f>Разбивка_по_щитам!P2312</f>
      </c>
      <c r="N2307" s="20"/>
    </row>
    <row r="2308" spans="2:14" x14ac:dyDescent="0.25">
      <c r="B2308" s="20">
        <f>Разбивка_по_щитам!B2313</f>
      </c>
      <c r="C2308" s="20">
        <f>Разбивка_по_щитам!C2313</f>
      </c>
      <c r="D2308" s="20">
        <f>Разбивка_по_щитам!F2313</f>
      </c>
      <c r="E2308" s="20">
        <f>Разбивка_по_щитам!H2313</f>
      </c>
      <c r="F2308" s="20">
        <f>Разбивка_по_щитам!I2313</f>
      </c>
      <c r="G2308" s="20">
        <f>Разбивка_по_щитам!J2313</f>
      </c>
      <c r="H2308" s="20">
        <f>Разбивка_по_щитам!K2313</f>
      </c>
      <c r="I2308" s="20">
        <f>Разбивка_по_щитам!L2313</f>
      </c>
      <c r="J2308" s="20">
        <f>Разбивка_по_щитам!M2313</f>
      </c>
      <c r="K2308" s="20">
        <f>Разбивка_по_щитам!N2313</f>
      </c>
      <c r="L2308" s="20"/>
      <c r="M2308" s="20">
        <f>Разбивка_по_щитам!P2313</f>
      </c>
      <c r="N2308" s="20"/>
    </row>
    <row r="2309" spans="2:14" x14ac:dyDescent="0.25">
      <c r="B2309" s="20">
        <f>Разбивка_по_щитам!B2314</f>
      </c>
      <c r="C2309" s="20">
        <f>Разбивка_по_щитам!C2314</f>
      </c>
      <c r="D2309" s="20">
        <f>Разбивка_по_щитам!F2314</f>
      </c>
      <c r="E2309" s="20">
        <f>Разбивка_по_щитам!H2314</f>
      </c>
      <c r="F2309" s="20">
        <f>Разбивка_по_щитам!I2314</f>
      </c>
      <c r="G2309" s="20">
        <f>Разбивка_по_щитам!J2314</f>
      </c>
      <c r="H2309" s="20">
        <f>Разбивка_по_щитам!K2314</f>
      </c>
      <c r="I2309" s="20">
        <f>Разбивка_по_щитам!L2314</f>
      </c>
      <c r="J2309" s="20">
        <f>Разбивка_по_щитам!M2314</f>
      </c>
      <c r="K2309" s="20">
        <f>Разбивка_по_щитам!N2314</f>
      </c>
      <c r="L2309" s="20"/>
      <c r="M2309" s="20">
        <f>Разбивка_по_щитам!P2314</f>
      </c>
      <c r="N2309" s="20"/>
    </row>
    <row r="2310" spans="2:14" x14ac:dyDescent="0.25">
      <c r="B2310" s="20">
        <f>Разбивка_по_щитам!B2315</f>
      </c>
      <c r="C2310" s="20">
        <f>Разбивка_по_щитам!C2315</f>
      </c>
      <c r="D2310" s="20">
        <f>Разбивка_по_щитам!F2315</f>
      </c>
      <c r="E2310" s="20">
        <f>Разбивка_по_щитам!H2315</f>
      </c>
      <c r="F2310" s="20">
        <f>Разбивка_по_щитам!I2315</f>
      </c>
      <c r="G2310" s="20">
        <f>Разбивка_по_щитам!J2315</f>
      </c>
      <c r="H2310" s="20">
        <f>Разбивка_по_щитам!K2315</f>
      </c>
      <c r="I2310" s="20">
        <f>Разбивка_по_щитам!L2315</f>
      </c>
      <c r="J2310" s="20">
        <f>Разбивка_по_щитам!M2315</f>
      </c>
      <c r="K2310" s="20">
        <f>Разбивка_по_щитам!N2315</f>
      </c>
      <c r="L2310" s="20"/>
      <c r="M2310" s="20">
        <f>Разбивка_по_щитам!P2315</f>
      </c>
      <c r="N2310" s="20"/>
    </row>
    <row r="2311" spans="2:14" x14ac:dyDescent="0.25">
      <c r="B2311" s="20">
        <f>Разбивка_по_щитам!B2316</f>
      </c>
      <c r="C2311" s="20">
        <f>Разбивка_по_щитам!C2316</f>
      </c>
      <c r="D2311" s="20">
        <f>Разбивка_по_щитам!F2316</f>
      </c>
      <c r="E2311" s="20">
        <f>Разбивка_по_щитам!H2316</f>
      </c>
      <c r="F2311" s="20">
        <f>Разбивка_по_щитам!I2316</f>
      </c>
      <c r="G2311" s="20">
        <f>Разбивка_по_щитам!J2316</f>
      </c>
      <c r="H2311" s="20">
        <f>Разбивка_по_щитам!K2316</f>
      </c>
      <c r="I2311" s="20">
        <f>Разбивка_по_щитам!L2316</f>
      </c>
      <c r="J2311" s="20">
        <f>Разбивка_по_щитам!M2316</f>
      </c>
      <c r="K2311" s="20">
        <f>Разбивка_по_щитам!N2316</f>
      </c>
      <c r="L2311" s="20"/>
      <c r="M2311" s="20">
        <f>Разбивка_по_щитам!P2316</f>
      </c>
      <c r="N2311" s="20"/>
    </row>
    <row r="2312" spans="2:14" x14ac:dyDescent="0.25">
      <c r="B2312" s="20">
        <f>Разбивка_по_щитам!B2317</f>
      </c>
      <c r="C2312" s="20">
        <f>Разбивка_по_щитам!C2317</f>
      </c>
      <c r="D2312" s="20">
        <f>Разбивка_по_щитам!F2317</f>
      </c>
      <c r="E2312" s="20">
        <f>Разбивка_по_щитам!H2317</f>
      </c>
      <c r="F2312" s="20">
        <f>Разбивка_по_щитам!I2317</f>
      </c>
      <c r="G2312" s="20">
        <f>Разбивка_по_щитам!J2317</f>
      </c>
      <c r="H2312" s="20">
        <f>Разбивка_по_щитам!K2317</f>
      </c>
      <c r="I2312" s="20">
        <f>Разбивка_по_щитам!L2317</f>
      </c>
      <c r="J2312" s="20">
        <f>Разбивка_по_щитам!M2317</f>
      </c>
      <c r="K2312" s="20">
        <f>Разбивка_по_щитам!N2317</f>
      </c>
      <c r="L2312" s="20"/>
      <c r="M2312" s="20">
        <f>Разбивка_по_щитам!P2317</f>
      </c>
      <c r="N2312" s="20"/>
    </row>
    <row r="2313" spans="2:14" x14ac:dyDescent="0.25">
      <c r="B2313" s="20">
        <f>Разбивка_по_щитам!B2318</f>
      </c>
      <c r="C2313" s="20">
        <f>Разбивка_по_щитам!C2318</f>
      </c>
      <c r="D2313" s="20">
        <f>Разбивка_по_щитам!F2318</f>
      </c>
      <c r="E2313" s="20">
        <f>Разбивка_по_щитам!H2318</f>
      </c>
      <c r="F2313" s="20">
        <f>Разбивка_по_щитам!I2318</f>
      </c>
      <c r="G2313" s="20">
        <f>Разбивка_по_щитам!J2318</f>
      </c>
      <c r="H2313" s="20">
        <f>Разбивка_по_щитам!K2318</f>
      </c>
      <c r="I2313" s="20">
        <f>Разбивка_по_щитам!L2318</f>
      </c>
      <c r="J2313" s="20">
        <f>Разбивка_по_щитам!M2318</f>
      </c>
      <c r="K2313" s="20">
        <f>Разбивка_по_щитам!N2318</f>
      </c>
      <c r="L2313" s="20"/>
      <c r="M2313" s="20">
        <f>Разбивка_по_щитам!P2318</f>
      </c>
      <c r="N2313" s="20"/>
    </row>
    <row r="2314" spans="2:14" x14ac:dyDescent="0.25">
      <c r="B2314" s="20">
        <f>Разбивка_по_щитам!B2319</f>
      </c>
      <c r="C2314" s="20">
        <f>Разбивка_по_щитам!C2319</f>
      </c>
      <c r="D2314" s="20">
        <f>Разбивка_по_щитам!F2319</f>
      </c>
      <c r="E2314" s="20">
        <f>Разбивка_по_щитам!H2319</f>
      </c>
      <c r="F2314" s="20">
        <f>Разбивка_по_щитам!I2319</f>
      </c>
      <c r="G2314" s="20">
        <f>Разбивка_по_щитам!J2319</f>
      </c>
      <c r="H2314" s="20">
        <f>Разбивка_по_щитам!K2319</f>
      </c>
      <c r="I2314" s="20">
        <f>Разбивка_по_щитам!L2319</f>
      </c>
      <c r="J2314" s="20">
        <f>Разбивка_по_щитам!M2319</f>
      </c>
      <c r="K2314" s="20">
        <f>Разбивка_по_щитам!N2319</f>
      </c>
      <c r="L2314" s="20"/>
      <c r="M2314" s="20">
        <f>Разбивка_по_щитам!P2319</f>
      </c>
      <c r="N2314" s="20"/>
    </row>
    <row r="2315" spans="2:14" x14ac:dyDescent="0.25">
      <c r="B2315" s="20">
        <f>Разбивка_по_щитам!B2320</f>
      </c>
      <c r="C2315" s="20">
        <f>Разбивка_по_щитам!C2320</f>
      </c>
      <c r="D2315" s="20">
        <f>Разбивка_по_щитам!F2320</f>
      </c>
      <c r="E2315" s="20">
        <f>Разбивка_по_щитам!H2320</f>
      </c>
      <c r="F2315" s="20">
        <f>Разбивка_по_щитам!I2320</f>
      </c>
      <c r="G2315" s="20">
        <f>Разбивка_по_щитам!J2320</f>
      </c>
      <c r="H2315" s="20">
        <f>Разбивка_по_щитам!K2320</f>
      </c>
      <c r="I2315" s="20">
        <f>Разбивка_по_щитам!L2320</f>
      </c>
      <c r="J2315" s="20">
        <f>Разбивка_по_щитам!M2320</f>
      </c>
      <c r="K2315" s="20">
        <f>Разбивка_по_щитам!N2320</f>
      </c>
      <c r="L2315" s="20"/>
      <c r="M2315" s="20">
        <f>Разбивка_по_щитам!P2320</f>
      </c>
      <c r="N2315" s="20"/>
    </row>
    <row r="2316" spans="2:14" x14ac:dyDescent="0.25">
      <c r="B2316" s="20">
        <f>Разбивка_по_щитам!B2321</f>
      </c>
      <c r="C2316" s="20">
        <f>Разбивка_по_щитам!C2321</f>
      </c>
      <c r="D2316" s="20">
        <f>Разбивка_по_щитам!F2321</f>
      </c>
      <c r="E2316" s="20">
        <f>Разбивка_по_щитам!H2321</f>
      </c>
      <c r="F2316" s="20">
        <f>Разбивка_по_щитам!I2321</f>
      </c>
      <c r="G2316" s="20">
        <f>Разбивка_по_щитам!J2321</f>
      </c>
      <c r="H2316" s="20">
        <f>Разбивка_по_щитам!K2321</f>
      </c>
      <c r="I2316" s="20">
        <f>Разбивка_по_щитам!L2321</f>
      </c>
      <c r="J2316" s="20">
        <f>Разбивка_по_щитам!M2321</f>
      </c>
      <c r="K2316" s="20">
        <f>Разбивка_по_щитам!N2321</f>
      </c>
      <c r="L2316" s="20"/>
      <c r="M2316" s="20">
        <f>Разбивка_по_щитам!P2321</f>
      </c>
      <c r="N2316" s="20"/>
    </row>
    <row r="2317" spans="2:14" x14ac:dyDescent="0.25">
      <c r="B2317" s="20">
        <f>Разбивка_по_щитам!B2322</f>
      </c>
      <c r="C2317" s="20">
        <f>Разбивка_по_щитам!C2322</f>
      </c>
      <c r="D2317" s="20">
        <f>Разбивка_по_щитам!F2322</f>
      </c>
      <c r="E2317" s="20">
        <f>Разбивка_по_щитам!H2322</f>
      </c>
      <c r="F2317" s="20">
        <f>Разбивка_по_щитам!I2322</f>
      </c>
      <c r="G2317" s="20">
        <f>Разбивка_по_щитам!J2322</f>
      </c>
      <c r="H2317" s="20">
        <f>Разбивка_по_щитам!K2322</f>
      </c>
      <c r="I2317" s="20">
        <f>Разбивка_по_щитам!L2322</f>
      </c>
      <c r="J2317" s="20">
        <f>Разбивка_по_щитам!M2322</f>
      </c>
      <c r="K2317" s="20">
        <f>Разбивка_по_щитам!N2322</f>
      </c>
      <c r="L2317" s="20"/>
      <c r="M2317" s="20">
        <f>Разбивка_по_щитам!P2322</f>
      </c>
      <c r="N2317" s="20"/>
    </row>
    <row r="2318" spans="2:14" x14ac:dyDescent="0.25">
      <c r="B2318" s="20">
        <f>Разбивка_по_щитам!B2323</f>
      </c>
      <c r="C2318" s="20">
        <f>Разбивка_по_щитам!C2323</f>
      </c>
      <c r="D2318" s="20">
        <f>Разбивка_по_щитам!F2323</f>
      </c>
      <c r="E2318" s="20">
        <f>Разбивка_по_щитам!H2323</f>
      </c>
      <c r="F2318" s="20">
        <f>Разбивка_по_щитам!I2323</f>
      </c>
      <c r="G2318" s="20">
        <f>Разбивка_по_щитам!J2323</f>
      </c>
      <c r="H2318" s="20">
        <f>Разбивка_по_щитам!K2323</f>
      </c>
      <c r="I2318" s="20">
        <f>Разбивка_по_щитам!L2323</f>
      </c>
      <c r="J2318" s="20">
        <f>Разбивка_по_щитам!M2323</f>
      </c>
      <c r="K2318" s="20">
        <f>Разбивка_по_щитам!N2323</f>
      </c>
      <c r="L2318" s="20"/>
      <c r="M2318" s="20">
        <f>Разбивка_по_щитам!P2323</f>
      </c>
      <c r="N2318" s="20"/>
    </row>
    <row r="2319" spans="2:14" x14ac:dyDescent="0.25">
      <c r="B2319" s="20">
        <f>Разбивка_по_щитам!B2324</f>
      </c>
      <c r="C2319" s="20">
        <f>Разбивка_по_щитам!C2324</f>
      </c>
      <c r="D2319" s="20">
        <f>Разбивка_по_щитам!F2324</f>
      </c>
      <c r="E2319" s="20">
        <f>Разбивка_по_щитам!H2324</f>
      </c>
      <c r="F2319" s="20">
        <f>Разбивка_по_щитам!I2324</f>
      </c>
      <c r="G2319" s="20">
        <f>Разбивка_по_щитам!J2324</f>
      </c>
      <c r="H2319" s="20">
        <f>Разбивка_по_щитам!K2324</f>
      </c>
      <c r="I2319" s="20">
        <f>Разбивка_по_щитам!L2324</f>
      </c>
      <c r="J2319" s="20">
        <f>Разбивка_по_щитам!M2324</f>
      </c>
      <c r="K2319" s="20">
        <f>Разбивка_по_щитам!N2324</f>
      </c>
      <c r="L2319" s="20"/>
      <c r="M2319" s="20">
        <f>Разбивка_по_щитам!P2324</f>
      </c>
      <c r="N2319" s="20"/>
    </row>
    <row r="2320" spans="2:14" x14ac:dyDescent="0.25">
      <c r="B2320" s="20">
        <f>Разбивка_по_щитам!B2325</f>
      </c>
      <c r="C2320" s="20">
        <f>Разбивка_по_щитам!C2325</f>
      </c>
      <c r="D2320" s="20">
        <f>Разбивка_по_щитам!F2325</f>
      </c>
      <c r="E2320" s="20">
        <f>Разбивка_по_щитам!H2325</f>
      </c>
      <c r="F2320" s="20">
        <f>Разбивка_по_щитам!I2325</f>
      </c>
      <c r="G2320" s="20">
        <f>Разбивка_по_щитам!J2325</f>
      </c>
      <c r="H2320" s="20">
        <f>Разбивка_по_щитам!K2325</f>
      </c>
      <c r="I2320" s="20">
        <f>Разбивка_по_щитам!L2325</f>
      </c>
      <c r="J2320" s="20">
        <f>Разбивка_по_щитам!M2325</f>
      </c>
      <c r="K2320" s="20">
        <f>Разбивка_по_щитам!N2325</f>
      </c>
      <c r="L2320" s="20"/>
      <c r="M2320" s="20">
        <f>Разбивка_по_щитам!P2325</f>
      </c>
      <c r="N2320" s="20"/>
    </row>
    <row r="2321" spans="2:14" x14ac:dyDescent="0.25">
      <c r="B2321" s="20">
        <f>Разбивка_по_щитам!B2326</f>
      </c>
      <c r="C2321" s="20">
        <f>Разбивка_по_щитам!C2326</f>
      </c>
      <c r="D2321" s="20">
        <f>Разбивка_по_щитам!F2326</f>
      </c>
      <c r="E2321" s="20">
        <f>Разбивка_по_щитам!H2326</f>
      </c>
      <c r="F2321" s="20">
        <f>Разбивка_по_щитам!I2326</f>
      </c>
      <c r="G2321" s="20">
        <f>Разбивка_по_щитам!J2326</f>
      </c>
      <c r="H2321" s="20">
        <f>Разбивка_по_щитам!K2326</f>
      </c>
      <c r="I2321" s="20">
        <f>Разбивка_по_щитам!L2326</f>
      </c>
      <c r="J2321" s="20">
        <f>Разбивка_по_щитам!M2326</f>
      </c>
      <c r="K2321" s="20">
        <f>Разбивка_по_щитам!N2326</f>
      </c>
      <c r="L2321" s="20"/>
      <c r="M2321" s="20">
        <f>Разбивка_по_щитам!P2326</f>
      </c>
      <c r="N2321" s="20"/>
    </row>
    <row r="2322" spans="2:14" x14ac:dyDescent="0.25">
      <c r="B2322" s="20">
        <f>Разбивка_по_щитам!B2327</f>
      </c>
      <c r="C2322" s="20">
        <f>Разбивка_по_щитам!C2327</f>
      </c>
      <c r="D2322" s="20">
        <f>Разбивка_по_щитам!F2327</f>
      </c>
      <c r="E2322" s="20">
        <f>Разбивка_по_щитам!H2327</f>
      </c>
      <c r="F2322" s="20">
        <f>Разбивка_по_щитам!I2327</f>
      </c>
      <c r="G2322" s="20">
        <f>Разбивка_по_щитам!J2327</f>
      </c>
      <c r="H2322" s="20">
        <f>Разбивка_по_щитам!K2327</f>
      </c>
      <c r="I2322" s="20">
        <f>Разбивка_по_щитам!L2327</f>
      </c>
      <c r="J2322" s="20">
        <f>Разбивка_по_щитам!M2327</f>
      </c>
      <c r="K2322" s="20">
        <f>Разбивка_по_щитам!N2327</f>
      </c>
      <c r="L2322" s="20"/>
      <c r="M2322" s="20">
        <f>Разбивка_по_щитам!P2327</f>
      </c>
      <c r="N2322" s="20"/>
    </row>
    <row r="2323" spans="2:14" x14ac:dyDescent="0.25">
      <c r="B2323" s="20">
        <f>Разбивка_по_щитам!B2328</f>
      </c>
      <c r="C2323" s="20">
        <f>Разбивка_по_щитам!C2328</f>
      </c>
      <c r="D2323" s="20">
        <f>Разбивка_по_щитам!F2328</f>
      </c>
      <c r="E2323" s="20">
        <f>Разбивка_по_щитам!H2328</f>
      </c>
      <c r="F2323" s="20">
        <f>Разбивка_по_щитам!I2328</f>
      </c>
      <c r="G2323" s="20">
        <f>Разбивка_по_щитам!J2328</f>
      </c>
      <c r="H2323" s="20">
        <f>Разбивка_по_щитам!K2328</f>
      </c>
      <c r="I2323" s="20">
        <f>Разбивка_по_щитам!L2328</f>
      </c>
      <c r="J2323" s="20">
        <f>Разбивка_по_щитам!M2328</f>
      </c>
      <c r="K2323" s="20">
        <f>Разбивка_по_щитам!N2328</f>
      </c>
      <c r="L2323" s="20"/>
      <c r="M2323" s="20">
        <f>Разбивка_по_щитам!P2328</f>
      </c>
      <c r="N2323" s="20"/>
    </row>
    <row r="2324" spans="2:14" x14ac:dyDescent="0.25">
      <c r="B2324" s="20">
        <f>Разбивка_по_щитам!B2329</f>
      </c>
      <c r="C2324" s="20">
        <f>Разбивка_по_щитам!C2329</f>
      </c>
      <c r="D2324" s="20">
        <f>Разбивка_по_щитам!F2329</f>
      </c>
      <c r="E2324" s="20">
        <f>Разбивка_по_щитам!H2329</f>
      </c>
      <c r="F2324" s="20">
        <f>Разбивка_по_щитам!I2329</f>
      </c>
      <c r="G2324" s="20">
        <f>Разбивка_по_щитам!J2329</f>
      </c>
      <c r="H2324" s="20">
        <f>Разбивка_по_щитам!K2329</f>
      </c>
      <c r="I2324" s="20">
        <f>Разбивка_по_щитам!L2329</f>
      </c>
      <c r="J2324" s="20">
        <f>Разбивка_по_щитам!M2329</f>
      </c>
      <c r="K2324" s="20">
        <f>Разбивка_по_щитам!N2329</f>
      </c>
      <c r="L2324" s="20"/>
      <c r="M2324" s="20">
        <f>Разбивка_по_щитам!P2329</f>
      </c>
      <c r="N2324" s="20"/>
    </row>
    <row r="2325" spans="2:14" x14ac:dyDescent="0.25">
      <c r="B2325" s="20">
        <f>Разбивка_по_щитам!B2330</f>
      </c>
      <c r="C2325" s="20">
        <f>Разбивка_по_щитам!C2330</f>
      </c>
      <c r="D2325" s="20">
        <f>Разбивка_по_щитам!F2330</f>
      </c>
      <c r="E2325" s="20">
        <f>Разбивка_по_щитам!H2330</f>
      </c>
      <c r="F2325" s="20">
        <f>Разбивка_по_щитам!I2330</f>
      </c>
      <c r="G2325" s="20">
        <f>Разбивка_по_щитам!J2330</f>
      </c>
      <c r="H2325" s="20">
        <f>Разбивка_по_щитам!K2330</f>
      </c>
      <c r="I2325" s="20">
        <f>Разбивка_по_щитам!L2330</f>
      </c>
      <c r="J2325" s="20">
        <f>Разбивка_по_щитам!M2330</f>
      </c>
      <c r="K2325" s="20">
        <f>Разбивка_по_щитам!N2330</f>
      </c>
      <c r="L2325" s="20"/>
      <c r="M2325" s="20">
        <f>Разбивка_по_щитам!P2330</f>
      </c>
      <c r="N2325" s="20"/>
    </row>
    <row r="2326" spans="2:14" x14ac:dyDescent="0.25">
      <c r="B2326" s="20">
        <f>Разбивка_по_щитам!B2331</f>
      </c>
      <c r="C2326" s="20">
        <f>Разбивка_по_щитам!C2331</f>
      </c>
      <c r="D2326" s="20">
        <f>Разбивка_по_щитам!F2331</f>
      </c>
      <c r="E2326" s="20">
        <f>Разбивка_по_щитам!H2331</f>
      </c>
      <c r="F2326" s="20">
        <f>Разбивка_по_щитам!I2331</f>
      </c>
      <c r="G2326" s="20">
        <f>Разбивка_по_щитам!J2331</f>
      </c>
      <c r="H2326" s="20">
        <f>Разбивка_по_щитам!K2331</f>
      </c>
      <c r="I2326" s="20">
        <f>Разбивка_по_щитам!L2331</f>
      </c>
      <c r="J2326" s="20">
        <f>Разбивка_по_щитам!M2331</f>
      </c>
      <c r="K2326" s="20">
        <f>Разбивка_по_щитам!N2331</f>
      </c>
      <c r="L2326" s="20"/>
      <c r="M2326" s="20">
        <f>Разбивка_по_щитам!P2331</f>
      </c>
      <c r="N2326" s="20"/>
    </row>
    <row r="2327" spans="2:14" x14ac:dyDescent="0.25">
      <c r="B2327" s="20">
        <f>Разбивка_по_щитам!B2332</f>
      </c>
      <c r="C2327" s="20">
        <f>Разбивка_по_щитам!C2332</f>
      </c>
      <c r="D2327" s="20">
        <f>Разбивка_по_щитам!F2332</f>
      </c>
      <c r="E2327" s="20">
        <f>Разбивка_по_щитам!H2332</f>
      </c>
      <c r="F2327" s="20">
        <f>Разбивка_по_щитам!I2332</f>
      </c>
      <c r="G2327" s="20">
        <f>Разбивка_по_щитам!J2332</f>
      </c>
      <c r="H2327" s="20">
        <f>Разбивка_по_щитам!K2332</f>
      </c>
      <c r="I2327" s="20">
        <f>Разбивка_по_щитам!L2332</f>
      </c>
      <c r="J2327" s="20">
        <f>Разбивка_по_щитам!M2332</f>
      </c>
      <c r="K2327" s="20">
        <f>Разбивка_по_щитам!N2332</f>
      </c>
      <c r="L2327" s="20"/>
      <c r="M2327" s="20">
        <f>Разбивка_по_щитам!P2332</f>
      </c>
      <c r="N2327" s="20"/>
    </row>
    <row r="2328" spans="2:14" x14ac:dyDescent="0.25">
      <c r="B2328" s="20">
        <f>Разбивка_по_щитам!B2333</f>
      </c>
      <c r="C2328" s="20">
        <f>Разбивка_по_щитам!C2333</f>
      </c>
      <c r="D2328" s="20">
        <f>Разбивка_по_щитам!F2333</f>
      </c>
      <c r="E2328" s="20">
        <f>Разбивка_по_щитам!H2333</f>
      </c>
      <c r="F2328" s="20">
        <f>Разбивка_по_щитам!I2333</f>
      </c>
      <c r="G2328" s="20">
        <f>Разбивка_по_щитам!J2333</f>
      </c>
      <c r="H2328" s="20">
        <f>Разбивка_по_щитам!K2333</f>
      </c>
      <c r="I2328" s="20">
        <f>Разбивка_по_щитам!L2333</f>
      </c>
      <c r="J2328" s="20">
        <f>Разбивка_по_щитам!M2333</f>
      </c>
      <c r="K2328" s="20">
        <f>Разбивка_по_щитам!N2333</f>
      </c>
      <c r="L2328" s="20"/>
      <c r="M2328" s="20">
        <f>Разбивка_по_щитам!P2333</f>
      </c>
      <c r="N2328" s="20"/>
    </row>
    <row r="2329" spans="2:14" x14ac:dyDescent="0.25">
      <c r="B2329" s="20">
        <f>Разбивка_по_щитам!B2334</f>
      </c>
      <c r="C2329" s="20">
        <f>Разбивка_по_щитам!C2334</f>
      </c>
      <c r="D2329" s="20">
        <f>Разбивка_по_щитам!F2334</f>
      </c>
      <c r="E2329" s="20">
        <f>Разбивка_по_щитам!H2334</f>
      </c>
      <c r="F2329" s="20">
        <f>Разбивка_по_щитам!I2334</f>
      </c>
      <c r="G2329" s="20">
        <f>Разбивка_по_щитам!J2334</f>
      </c>
      <c r="H2329" s="20">
        <f>Разбивка_по_щитам!K2334</f>
      </c>
      <c r="I2329" s="20">
        <f>Разбивка_по_щитам!L2334</f>
      </c>
      <c r="J2329" s="20">
        <f>Разбивка_по_щитам!M2334</f>
      </c>
      <c r="K2329" s="20">
        <f>Разбивка_по_щитам!N2334</f>
      </c>
      <c r="L2329" s="20"/>
      <c r="M2329" s="20">
        <f>Разбивка_по_щитам!P2334</f>
      </c>
      <c r="N2329" s="20"/>
    </row>
    <row r="2330" spans="2:14" x14ac:dyDescent="0.25">
      <c r="B2330" s="20">
        <f>Разбивка_по_щитам!B2335</f>
      </c>
      <c r="C2330" s="20">
        <f>Разбивка_по_щитам!C2335</f>
      </c>
      <c r="D2330" s="20">
        <f>Разбивка_по_щитам!F2335</f>
      </c>
      <c r="E2330" s="20">
        <f>Разбивка_по_щитам!H2335</f>
      </c>
      <c r="F2330" s="20">
        <f>Разбивка_по_щитам!I2335</f>
      </c>
      <c r="G2330" s="20">
        <f>Разбивка_по_щитам!J2335</f>
      </c>
      <c r="H2330" s="20">
        <f>Разбивка_по_щитам!K2335</f>
      </c>
      <c r="I2330" s="20">
        <f>Разбивка_по_щитам!L2335</f>
      </c>
      <c r="J2330" s="20">
        <f>Разбивка_по_щитам!M2335</f>
      </c>
      <c r="K2330" s="20">
        <f>Разбивка_по_щитам!N2335</f>
      </c>
      <c r="L2330" s="20"/>
      <c r="M2330" s="20">
        <f>Разбивка_по_щитам!P2335</f>
      </c>
      <c r="N2330" s="20"/>
    </row>
    <row r="2331" spans="2:14" x14ac:dyDescent="0.25">
      <c r="B2331" s="20">
        <f>Разбивка_по_щитам!B2336</f>
      </c>
      <c r="C2331" s="20">
        <f>Разбивка_по_щитам!C2336</f>
      </c>
      <c r="D2331" s="20">
        <f>Разбивка_по_щитам!F2336</f>
      </c>
      <c r="E2331" s="20">
        <f>Разбивка_по_щитам!H2336</f>
      </c>
      <c r="F2331" s="20">
        <f>Разбивка_по_щитам!I2336</f>
      </c>
      <c r="G2331" s="20">
        <f>Разбивка_по_щитам!J2336</f>
      </c>
      <c r="H2331" s="20">
        <f>Разбивка_по_щитам!K2336</f>
      </c>
      <c r="I2331" s="20">
        <f>Разбивка_по_щитам!L2336</f>
      </c>
      <c r="J2331" s="20">
        <f>Разбивка_по_щитам!M2336</f>
      </c>
      <c r="K2331" s="20">
        <f>Разбивка_по_щитам!N2336</f>
      </c>
      <c r="L2331" s="20"/>
      <c r="M2331" s="20">
        <f>Разбивка_по_щитам!P2336</f>
      </c>
      <c r="N2331" s="20"/>
    </row>
    <row r="2332" spans="2:14" x14ac:dyDescent="0.25">
      <c r="B2332" s="20">
        <f>Разбивка_по_щитам!B2337</f>
      </c>
      <c r="C2332" s="20">
        <f>Разбивка_по_щитам!C2337</f>
      </c>
      <c r="D2332" s="20">
        <f>Разбивка_по_щитам!F2337</f>
      </c>
      <c r="E2332" s="20">
        <f>Разбивка_по_щитам!H2337</f>
      </c>
      <c r="F2332" s="20">
        <f>Разбивка_по_щитам!I2337</f>
      </c>
      <c r="G2332" s="20">
        <f>Разбивка_по_щитам!J2337</f>
      </c>
      <c r="H2332" s="20">
        <f>Разбивка_по_щитам!K2337</f>
      </c>
      <c r="I2332" s="20">
        <f>Разбивка_по_щитам!L2337</f>
      </c>
      <c r="J2332" s="20">
        <f>Разбивка_по_щитам!M2337</f>
      </c>
      <c r="K2332" s="20">
        <f>Разбивка_по_щитам!N2337</f>
      </c>
      <c r="L2332" s="20"/>
      <c r="M2332" s="20">
        <f>Разбивка_по_щитам!P2337</f>
      </c>
      <c r="N2332" s="20"/>
    </row>
    <row r="2333" spans="2:14" x14ac:dyDescent="0.25">
      <c r="B2333" s="20">
        <f>Разбивка_по_щитам!B2338</f>
      </c>
      <c r="C2333" s="20">
        <f>Разбивка_по_щитам!C2338</f>
      </c>
      <c r="D2333" s="20">
        <f>Разбивка_по_щитам!F2338</f>
      </c>
      <c r="E2333" s="20">
        <f>Разбивка_по_щитам!H2338</f>
      </c>
      <c r="F2333" s="20">
        <f>Разбивка_по_щитам!I2338</f>
      </c>
      <c r="G2333" s="20">
        <f>Разбивка_по_щитам!J2338</f>
      </c>
      <c r="H2333" s="20">
        <f>Разбивка_по_щитам!K2338</f>
      </c>
      <c r="I2333" s="20">
        <f>Разбивка_по_щитам!L2338</f>
      </c>
      <c r="J2333" s="20">
        <f>Разбивка_по_щитам!M2338</f>
      </c>
      <c r="K2333" s="20">
        <f>Разбивка_по_щитам!N2338</f>
      </c>
      <c r="L2333" s="20"/>
      <c r="M2333" s="20">
        <f>Разбивка_по_щитам!P2338</f>
      </c>
      <c r="N2333" s="20"/>
    </row>
    <row r="2334" spans="2:14" x14ac:dyDescent="0.25">
      <c r="B2334" s="20">
        <f>Разбивка_по_щитам!B2339</f>
      </c>
      <c r="C2334" s="20">
        <f>Разбивка_по_щитам!C2339</f>
      </c>
      <c r="D2334" s="20">
        <f>Разбивка_по_щитам!F2339</f>
      </c>
      <c r="E2334" s="20">
        <f>Разбивка_по_щитам!H2339</f>
      </c>
      <c r="F2334" s="20">
        <f>Разбивка_по_щитам!I2339</f>
      </c>
      <c r="G2334" s="20">
        <f>Разбивка_по_щитам!J2339</f>
      </c>
      <c r="H2334" s="20">
        <f>Разбивка_по_щитам!K2339</f>
      </c>
      <c r="I2334" s="20">
        <f>Разбивка_по_щитам!L2339</f>
      </c>
      <c r="J2334" s="20">
        <f>Разбивка_по_щитам!M2339</f>
      </c>
      <c r="K2334" s="20">
        <f>Разбивка_по_щитам!N2339</f>
      </c>
      <c r="L2334" s="20"/>
      <c r="M2334" s="20">
        <f>Разбивка_по_щитам!P2339</f>
      </c>
      <c r="N2334" s="20"/>
    </row>
    <row r="2335" spans="2:14" x14ac:dyDescent="0.25">
      <c r="B2335" s="20">
        <f>Разбивка_по_щитам!B2340</f>
      </c>
      <c r="C2335" s="20">
        <f>Разбивка_по_щитам!C2340</f>
      </c>
      <c r="D2335" s="20">
        <f>Разбивка_по_щитам!F2340</f>
      </c>
      <c r="E2335" s="20">
        <f>Разбивка_по_щитам!H2340</f>
      </c>
      <c r="F2335" s="20">
        <f>Разбивка_по_щитам!I2340</f>
      </c>
      <c r="G2335" s="20">
        <f>Разбивка_по_щитам!J2340</f>
      </c>
      <c r="H2335" s="20">
        <f>Разбивка_по_щитам!K2340</f>
      </c>
      <c r="I2335" s="20">
        <f>Разбивка_по_щитам!L2340</f>
      </c>
      <c r="J2335" s="20">
        <f>Разбивка_по_щитам!M2340</f>
      </c>
      <c r="K2335" s="20">
        <f>Разбивка_по_щитам!N2340</f>
      </c>
      <c r="L2335" s="20"/>
      <c r="M2335" s="20">
        <f>Разбивка_по_щитам!P2340</f>
      </c>
      <c r="N2335" s="20"/>
    </row>
    <row r="2336" spans="2:14" x14ac:dyDescent="0.25">
      <c r="B2336" s="20">
        <f>Разбивка_по_щитам!B2341</f>
      </c>
      <c r="C2336" s="20">
        <f>Разбивка_по_щитам!C2341</f>
      </c>
      <c r="D2336" s="20">
        <f>Разбивка_по_щитам!F2341</f>
      </c>
      <c r="E2336" s="20">
        <f>Разбивка_по_щитам!H2341</f>
      </c>
      <c r="F2336" s="20">
        <f>Разбивка_по_щитам!I2341</f>
      </c>
      <c r="G2336" s="20">
        <f>Разбивка_по_щитам!J2341</f>
      </c>
      <c r="H2336" s="20">
        <f>Разбивка_по_щитам!K2341</f>
      </c>
      <c r="I2336" s="20">
        <f>Разбивка_по_щитам!L2341</f>
      </c>
      <c r="J2336" s="20">
        <f>Разбивка_по_щитам!M2341</f>
      </c>
      <c r="K2336" s="20">
        <f>Разбивка_по_щитам!N2341</f>
      </c>
      <c r="L2336" s="20"/>
      <c r="M2336" s="20">
        <f>Разбивка_по_щитам!P2341</f>
      </c>
      <c r="N2336" s="20"/>
    </row>
    <row r="2337" spans="2:14" x14ac:dyDescent="0.25">
      <c r="B2337" s="20">
        <f>Разбивка_по_щитам!B2342</f>
      </c>
      <c r="C2337" s="20">
        <f>Разбивка_по_щитам!C2342</f>
      </c>
      <c r="D2337" s="20">
        <f>Разбивка_по_щитам!F2342</f>
      </c>
      <c r="E2337" s="20">
        <f>Разбивка_по_щитам!H2342</f>
      </c>
      <c r="F2337" s="20">
        <f>Разбивка_по_щитам!I2342</f>
      </c>
      <c r="G2337" s="20">
        <f>Разбивка_по_щитам!J2342</f>
      </c>
      <c r="H2337" s="20">
        <f>Разбивка_по_щитам!K2342</f>
      </c>
      <c r="I2337" s="20">
        <f>Разбивка_по_щитам!L2342</f>
      </c>
      <c r="J2337" s="20">
        <f>Разбивка_по_щитам!M2342</f>
      </c>
      <c r="K2337" s="20">
        <f>Разбивка_по_щитам!N2342</f>
      </c>
      <c r="L2337" s="20"/>
      <c r="M2337" s="20">
        <f>Разбивка_по_щитам!P2342</f>
      </c>
      <c r="N2337" s="20"/>
    </row>
    <row r="2338" spans="2:14" x14ac:dyDescent="0.25">
      <c r="B2338" s="20">
        <f>Разбивка_по_щитам!B2343</f>
      </c>
      <c r="C2338" s="20">
        <f>Разбивка_по_щитам!C2343</f>
      </c>
      <c r="D2338" s="20">
        <f>Разбивка_по_щитам!F2343</f>
      </c>
      <c r="E2338" s="20">
        <f>Разбивка_по_щитам!H2343</f>
      </c>
      <c r="F2338" s="20">
        <f>Разбивка_по_щитам!I2343</f>
      </c>
      <c r="G2338" s="20">
        <f>Разбивка_по_щитам!J2343</f>
      </c>
      <c r="H2338" s="20">
        <f>Разбивка_по_щитам!K2343</f>
      </c>
      <c r="I2338" s="20">
        <f>Разбивка_по_щитам!L2343</f>
      </c>
      <c r="J2338" s="20">
        <f>Разбивка_по_щитам!M2343</f>
      </c>
      <c r="K2338" s="20">
        <f>Разбивка_по_щитам!N2343</f>
      </c>
      <c r="L2338" s="20"/>
      <c r="M2338" s="20">
        <f>Разбивка_по_щитам!P2343</f>
      </c>
      <c r="N2338" s="20"/>
    </row>
    <row r="2339" spans="2:14" x14ac:dyDescent="0.25">
      <c r="B2339" s="20">
        <f>Разбивка_по_щитам!B2344</f>
      </c>
      <c r="C2339" s="20">
        <f>Разбивка_по_щитам!C2344</f>
      </c>
      <c r="D2339" s="20">
        <f>Разбивка_по_щитам!F2344</f>
      </c>
      <c r="E2339" s="20">
        <f>Разбивка_по_щитам!H2344</f>
      </c>
      <c r="F2339" s="20">
        <f>Разбивка_по_щитам!I2344</f>
      </c>
      <c r="G2339" s="20">
        <f>Разбивка_по_щитам!J2344</f>
      </c>
      <c r="H2339" s="20">
        <f>Разбивка_по_щитам!K2344</f>
      </c>
      <c r="I2339" s="20">
        <f>Разбивка_по_щитам!L2344</f>
      </c>
      <c r="J2339" s="20">
        <f>Разбивка_по_щитам!M2344</f>
      </c>
      <c r="K2339" s="20">
        <f>Разбивка_по_щитам!N2344</f>
      </c>
      <c r="L2339" s="20"/>
      <c r="M2339" s="20">
        <f>Разбивка_по_щитам!P2344</f>
      </c>
      <c r="N2339" s="20"/>
    </row>
    <row r="2340" spans="2:14" x14ac:dyDescent="0.25">
      <c r="B2340" s="20">
        <f>Разбивка_по_щитам!B2345</f>
      </c>
      <c r="C2340" s="20">
        <f>Разбивка_по_щитам!C2345</f>
      </c>
      <c r="D2340" s="20">
        <f>Разбивка_по_щитам!F2345</f>
      </c>
      <c r="E2340" s="20">
        <f>Разбивка_по_щитам!H2345</f>
      </c>
      <c r="F2340" s="20">
        <f>Разбивка_по_щитам!I2345</f>
      </c>
      <c r="G2340" s="20">
        <f>Разбивка_по_щитам!J2345</f>
      </c>
      <c r="H2340" s="20">
        <f>Разбивка_по_щитам!K2345</f>
      </c>
      <c r="I2340" s="20">
        <f>Разбивка_по_щитам!L2345</f>
      </c>
      <c r="J2340" s="20">
        <f>Разбивка_по_щитам!M2345</f>
      </c>
      <c r="K2340" s="20">
        <f>Разбивка_по_щитам!N2345</f>
      </c>
      <c r="L2340" s="20"/>
      <c r="M2340" s="20">
        <f>Разбивка_по_щитам!P2345</f>
      </c>
      <c r="N2340" s="20"/>
    </row>
    <row r="2341" spans="2:14" x14ac:dyDescent="0.25">
      <c r="B2341" s="20">
        <f>Разбивка_по_щитам!B2346</f>
      </c>
      <c r="C2341" s="20">
        <f>Разбивка_по_щитам!C2346</f>
      </c>
      <c r="D2341" s="20">
        <f>Разбивка_по_щитам!F2346</f>
      </c>
      <c r="E2341" s="20">
        <f>Разбивка_по_щитам!H2346</f>
      </c>
      <c r="F2341" s="20">
        <f>Разбивка_по_щитам!I2346</f>
      </c>
      <c r="G2341" s="20">
        <f>Разбивка_по_щитам!J2346</f>
      </c>
      <c r="H2341" s="20">
        <f>Разбивка_по_щитам!K2346</f>
      </c>
      <c r="I2341" s="20">
        <f>Разбивка_по_щитам!L2346</f>
      </c>
      <c r="J2341" s="20">
        <f>Разбивка_по_щитам!M2346</f>
      </c>
      <c r="K2341" s="20">
        <f>Разбивка_по_щитам!N2346</f>
      </c>
      <c r="L2341" s="20"/>
      <c r="M2341" s="20">
        <f>Разбивка_по_щитам!P2346</f>
      </c>
      <c r="N2341" s="20"/>
    </row>
    <row r="2342" spans="2:14" x14ac:dyDescent="0.25">
      <c r="B2342" s="20">
        <f>Разбивка_по_щитам!B2347</f>
      </c>
      <c r="C2342" s="20">
        <f>Разбивка_по_щитам!C2347</f>
      </c>
      <c r="D2342" s="20">
        <f>Разбивка_по_щитам!F2347</f>
      </c>
      <c r="E2342" s="20">
        <f>Разбивка_по_щитам!H2347</f>
      </c>
      <c r="F2342" s="20">
        <f>Разбивка_по_щитам!I2347</f>
      </c>
      <c r="G2342" s="20">
        <f>Разбивка_по_щитам!J2347</f>
      </c>
      <c r="H2342" s="20">
        <f>Разбивка_по_щитам!K2347</f>
      </c>
      <c r="I2342" s="20">
        <f>Разбивка_по_щитам!L2347</f>
      </c>
      <c r="J2342" s="20">
        <f>Разбивка_по_щитам!M2347</f>
      </c>
      <c r="K2342" s="20">
        <f>Разбивка_по_щитам!N2347</f>
      </c>
      <c r="L2342" s="20"/>
      <c r="M2342" s="20">
        <f>Разбивка_по_щитам!P2347</f>
      </c>
      <c r="N2342" s="20"/>
    </row>
    <row r="2343" spans="2:14" x14ac:dyDescent="0.25">
      <c r="B2343" s="20">
        <f>Разбивка_по_щитам!B2348</f>
      </c>
      <c r="C2343" s="20">
        <f>Разбивка_по_щитам!C2348</f>
      </c>
      <c r="D2343" s="20">
        <f>Разбивка_по_щитам!F2348</f>
      </c>
      <c r="E2343" s="20">
        <f>Разбивка_по_щитам!H2348</f>
      </c>
      <c r="F2343" s="20">
        <f>Разбивка_по_щитам!I2348</f>
      </c>
      <c r="G2343" s="20">
        <f>Разбивка_по_щитам!J2348</f>
      </c>
      <c r="H2343" s="20">
        <f>Разбивка_по_щитам!K2348</f>
      </c>
      <c r="I2343" s="20">
        <f>Разбивка_по_щитам!L2348</f>
      </c>
      <c r="J2343" s="20">
        <f>Разбивка_по_щитам!M2348</f>
      </c>
      <c r="K2343" s="20">
        <f>Разбивка_по_щитам!N2348</f>
      </c>
      <c r="L2343" s="20"/>
      <c r="M2343" s="20">
        <f>Разбивка_по_щитам!P2348</f>
      </c>
      <c r="N2343" s="20"/>
    </row>
    <row r="2344" spans="2:14" x14ac:dyDescent="0.25">
      <c r="B2344" s="20">
        <f>Разбивка_по_щитам!B2349</f>
      </c>
      <c r="C2344" s="20">
        <f>Разбивка_по_щитам!C2349</f>
      </c>
      <c r="D2344" s="20">
        <f>Разбивка_по_щитам!F2349</f>
      </c>
      <c r="E2344" s="20">
        <f>Разбивка_по_щитам!H2349</f>
      </c>
      <c r="F2344" s="20">
        <f>Разбивка_по_щитам!I2349</f>
      </c>
      <c r="G2344" s="20">
        <f>Разбивка_по_щитам!J2349</f>
      </c>
      <c r="H2344" s="20">
        <f>Разбивка_по_щитам!K2349</f>
      </c>
      <c r="I2344" s="20">
        <f>Разбивка_по_щитам!L2349</f>
      </c>
      <c r="J2344" s="20">
        <f>Разбивка_по_щитам!M2349</f>
      </c>
      <c r="K2344" s="20">
        <f>Разбивка_по_щитам!N2349</f>
      </c>
      <c r="L2344" s="20"/>
      <c r="M2344" s="20">
        <f>Разбивка_по_щитам!P2349</f>
      </c>
      <c r="N2344" s="20"/>
    </row>
    <row r="2345" spans="2:14" x14ac:dyDescent="0.25">
      <c r="B2345" s="20">
        <f>Разбивка_по_щитам!B2350</f>
      </c>
      <c r="C2345" s="20">
        <f>Разбивка_по_щитам!C2350</f>
      </c>
      <c r="D2345" s="20">
        <f>Разбивка_по_щитам!F2350</f>
      </c>
      <c r="E2345" s="20">
        <f>Разбивка_по_щитам!H2350</f>
      </c>
      <c r="F2345" s="20">
        <f>Разбивка_по_щитам!I2350</f>
      </c>
      <c r="G2345" s="20">
        <f>Разбивка_по_щитам!J2350</f>
      </c>
      <c r="H2345" s="20">
        <f>Разбивка_по_щитам!K2350</f>
      </c>
      <c r="I2345" s="20">
        <f>Разбивка_по_щитам!L2350</f>
      </c>
      <c r="J2345" s="20">
        <f>Разбивка_по_щитам!M2350</f>
      </c>
      <c r="K2345" s="20">
        <f>Разбивка_по_щитам!N2350</f>
      </c>
      <c r="L2345" s="20"/>
      <c r="M2345" s="20">
        <f>Разбивка_по_щитам!P2350</f>
      </c>
      <c r="N2345" s="20"/>
    </row>
    <row r="2346" spans="2:14" x14ac:dyDescent="0.25">
      <c r="B2346" s="20">
        <f>Разбивка_по_щитам!B2351</f>
      </c>
      <c r="C2346" s="20">
        <f>Разбивка_по_щитам!C2351</f>
      </c>
      <c r="D2346" s="20">
        <f>Разбивка_по_щитам!F2351</f>
      </c>
      <c r="E2346" s="20">
        <f>Разбивка_по_щитам!H2351</f>
      </c>
      <c r="F2346" s="20">
        <f>Разбивка_по_щитам!I2351</f>
      </c>
      <c r="G2346" s="20">
        <f>Разбивка_по_щитам!J2351</f>
      </c>
      <c r="H2346" s="20">
        <f>Разбивка_по_щитам!K2351</f>
      </c>
      <c r="I2346" s="20">
        <f>Разбивка_по_щитам!L2351</f>
      </c>
      <c r="J2346" s="20">
        <f>Разбивка_по_щитам!M2351</f>
      </c>
      <c r="K2346" s="20">
        <f>Разбивка_по_щитам!N2351</f>
      </c>
      <c r="L2346" s="20"/>
      <c r="M2346" s="20">
        <f>Разбивка_по_щитам!P2351</f>
      </c>
      <c r="N2346" s="20"/>
    </row>
    <row r="2347" spans="2:14" x14ac:dyDescent="0.25">
      <c r="B2347" s="20">
        <f>Разбивка_по_щитам!B2352</f>
      </c>
      <c r="C2347" s="20">
        <f>Разбивка_по_щитам!C2352</f>
      </c>
      <c r="D2347" s="20">
        <f>Разбивка_по_щитам!F2352</f>
      </c>
      <c r="E2347" s="20">
        <f>Разбивка_по_щитам!H2352</f>
      </c>
      <c r="F2347" s="20">
        <f>Разбивка_по_щитам!I2352</f>
      </c>
      <c r="G2347" s="20">
        <f>Разбивка_по_щитам!J2352</f>
      </c>
      <c r="H2347" s="20">
        <f>Разбивка_по_щитам!K2352</f>
      </c>
      <c r="I2347" s="20">
        <f>Разбивка_по_щитам!L2352</f>
      </c>
      <c r="J2347" s="20">
        <f>Разбивка_по_щитам!M2352</f>
      </c>
      <c r="K2347" s="20">
        <f>Разбивка_по_щитам!N2352</f>
      </c>
      <c r="L2347" s="20"/>
      <c r="M2347" s="20">
        <f>Разбивка_по_щитам!P2352</f>
      </c>
      <c r="N2347" s="20"/>
    </row>
    <row r="2348" spans="2:14" x14ac:dyDescent="0.25">
      <c r="B2348" s="20">
        <f>Разбивка_по_щитам!B2353</f>
      </c>
      <c r="C2348" s="20">
        <f>Разбивка_по_щитам!C2353</f>
      </c>
      <c r="D2348" s="20">
        <f>Разбивка_по_щитам!F2353</f>
      </c>
      <c r="E2348" s="20">
        <f>Разбивка_по_щитам!H2353</f>
      </c>
      <c r="F2348" s="20">
        <f>Разбивка_по_щитам!I2353</f>
      </c>
      <c r="G2348" s="20">
        <f>Разбивка_по_щитам!J2353</f>
      </c>
      <c r="H2348" s="20">
        <f>Разбивка_по_щитам!K2353</f>
      </c>
      <c r="I2348" s="20">
        <f>Разбивка_по_щитам!L2353</f>
      </c>
      <c r="J2348" s="20">
        <f>Разбивка_по_щитам!M2353</f>
      </c>
      <c r="K2348" s="20">
        <f>Разбивка_по_щитам!N2353</f>
      </c>
      <c r="L2348" s="20"/>
      <c r="M2348" s="20">
        <f>Разбивка_по_щитам!P2353</f>
      </c>
      <c r="N2348" s="20"/>
    </row>
    <row r="2349" spans="2:14" x14ac:dyDescent="0.25">
      <c r="B2349" s="20">
        <f>Разбивка_по_щитам!B2354</f>
      </c>
      <c r="C2349" s="20">
        <f>Разбивка_по_щитам!C2354</f>
      </c>
      <c r="D2349" s="20">
        <f>Разбивка_по_щитам!F2354</f>
      </c>
      <c r="E2349" s="20">
        <f>Разбивка_по_щитам!H2354</f>
      </c>
      <c r="F2349" s="20">
        <f>Разбивка_по_щитам!I2354</f>
      </c>
      <c r="G2349" s="20">
        <f>Разбивка_по_щитам!J2354</f>
      </c>
      <c r="H2349" s="20">
        <f>Разбивка_по_щитам!K2354</f>
      </c>
      <c r="I2349" s="20">
        <f>Разбивка_по_щитам!L2354</f>
      </c>
      <c r="J2349" s="20">
        <f>Разбивка_по_щитам!M2354</f>
      </c>
      <c r="K2349" s="20">
        <f>Разбивка_по_щитам!N2354</f>
      </c>
      <c r="L2349" s="20"/>
      <c r="M2349" s="20">
        <f>Разбивка_по_щитам!P2354</f>
      </c>
      <c r="N2349" s="20"/>
    </row>
    <row r="2350" spans="2:14" x14ac:dyDescent="0.25">
      <c r="B2350" s="20">
        <f>Разбивка_по_щитам!B2355</f>
      </c>
      <c r="C2350" s="20">
        <f>Разбивка_по_щитам!C2355</f>
      </c>
      <c r="D2350" s="20">
        <f>Разбивка_по_щитам!F2355</f>
      </c>
      <c r="E2350" s="20">
        <f>Разбивка_по_щитам!H2355</f>
      </c>
      <c r="F2350" s="20">
        <f>Разбивка_по_щитам!I2355</f>
      </c>
      <c r="G2350" s="20">
        <f>Разбивка_по_щитам!J2355</f>
      </c>
      <c r="H2350" s="20">
        <f>Разбивка_по_щитам!K2355</f>
      </c>
      <c r="I2350" s="20">
        <f>Разбивка_по_щитам!L2355</f>
      </c>
      <c r="J2350" s="20">
        <f>Разбивка_по_щитам!M2355</f>
      </c>
      <c r="K2350" s="20">
        <f>Разбивка_по_щитам!N2355</f>
      </c>
      <c r="L2350" s="20"/>
      <c r="M2350" s="20">
        <f>Разбивка_по_щитам!P2355</f>
      </c>
      <c r="N2350" s="20"/>
    </row>
    <row r="2351" spans="2:14" x14ac:dyDescent="0.25">
      <c r="B2351" s="20">
        <f>Разбивка_по_щитам!B2356</f>
      </c>
      <c r="C2351" s="20">
        <f>Разбивка_по_щитам!C2356</f>
      </c>
      <c r="D2351" s="20">
        <f>Разбивка_по_щитам!F2356</f>
      </c>
      <c r="E2351" s="20">
        <f>Разбивка_по_щитам!H2356</f>
      </c>
      <c r="F2351" s="20">
        <f>Разбивка_по_щитам!I2356</f>
      </c>
      <c r="G2351" s="20">
        <f>Разбивка_по_щитам!J2356</f>
      </c>
      <c r="H2351" s="20">
        <f>Разбивка_по_щитам!K2356</f>
      </c>
      <c r="I2351" s="20">
        <f>Разбивка_по_щитам!L2356</f>
      </c>
      <c r="J2351" s="20">
        <f>Разбивка_по_щитам!M2356</f>
      </c>
      <c r="K2351" s="20">
        <f>Разбивка_по_щитам!N2356</f>
      </c>
      <c r="L2351" s="20"/>
      <c r="M2351" s="20">
        <f>Разбивка_по_щитам!P2356</f>
      </c>
      <c r="N2351" s="20"/>
    </row>
    <row r="2352" spans="2:14" x14ac:dyDescent="0.25">
      <c r="B2352" s="20">
        <f>Разбивка_по_щитам!B2357</f>
      </c>
      <c r="C2352" s="20">
        <f>Разбивка_по_щитам!C2357</f>
      </c>
      <c r="D2352" s="20">
        <f>Разбивка_по_щитам!F2357</f>
      </c>
      <c r="E2352" s="20">
        <f>Разбивка_по_щитам!H2357</f>
      </c>
      <c r="F2352" s="20">
        <f>Разбивка_по_щитам!I2357</f>
      </c>
      <c r="G2352" s="20">
        <f>Разбивка_по_щитам!J2357</f>
      </c>
      <c r="H2352" s="20">
        <f>Разбивка_по_щитам!K2357</f>
      </c>
      <c r="I2352" s="20">
        <f>Разбивка_по_щитам!L2357</f>
      </c>
      <c r="J2352" s="20">
        <f>Разбивка_по_щитам!M2357</f>
      </c>
      <c r="K2352" s="20">
        <f>Разбивка_по_щитам!N2357</f>
      </c>
      <c r="L2352" s="20"/>
      <c r="M2352" s="20">
        <f>Разбивка_по_щитам!P2357</f>
      </c>
      <c r="N2352" s="20"/>
    </row>
    <row r="2353" spans="2:14" x14ac:dyDescent="0.25">
      <c r="B2353" s="20">
        <f>Разбивка_по_щитам!B2358</f>
      </c>
      <c r="C2353" s="20">
        <f>Разбивка_по_щитам!C2358</f>
      </c>
      <c r="D2353" s="20">
        <f>Разбивка_по_щитам!F2358</f>
      </c>
      <c r="E2353" s="20">
        <f>Разбивка_по_щитам!H2358</f>
      </c>
      <c r="F2353" s="20">
        <f>Разбивка_по_щитам!I2358</f>
      </c>
      <c r="G2353" s="20">
        <f>Разбивка_по_щитам!J2358</f>
      </c>
      <c r="H2353" s="20">
        <f>Разбивка_по_щитам!K2358</f>
      </c>
      <c r="I2353" s="20">
        <f>Разбивка_по_щитам!L2358</f>
      </c>
      <c r="J2353" s="20">
        <f>Разбивка_по_щитам!M2358</f>
      </c>
      <c r="K2353" s="20">
        <f>Разбивка_по_щитам!N2358</f>
      </c>
      <c r="L2353" s="20"/>
      <c r="M2353" s="20">
        <f>Разбивка_по_щитам!P2358</f>
      </c>
      <c r="N2353" s="20"/>
    </row>
    <row r="2354" spans="2:14" x14ac:dyDescent="0.25">
      <c r="B2354" s="20">
        <f>Разбивка_по_щитам!B2359</f>
      </c>
      <c r="C2354" s="20">
        <f>Разбивка_по_щитам!C2359</f>
      </c>
      <c r="D2354" s="20">
        <f>Разбивка_по_щитам!F2359</f>
      </c>
      <c r="E2354" s="20">
        <f>Разбивка_по_щитам!H2359</f>
      </c>
      <c r="F2354" s="20">
        <f>Разбивка_по_щитам!I2359</f>
      </c>
      <c r="G2354" s="20">
        <f>Разбивка_по_щитам!J2359</f>
      </c>
      <c r="H2354" s="20">
        <f>Разбивка_по_щитам!K2359</f>
      </c>
      <c r="I2354" s="20">
        <f>Разбивка_по_щитам!L2359</f>
      </c>
      <c r="J2354" s="20">
        <f>Разбивка_по_щитам!M2359</f>
      </c>
      <c r="K2354" s="20">
        <f>Разбивка_по_щитам!N2359</f>
      </c>
      <c r="L2354" s="20"/>
      <c r="M2354" s="20">
        <f>Разбивка_по_щитам!P2359</f>
      </c>
      <c r="N2354" s="20"/>
    </row>
    <row r="2355" spans="2:14" x14ac:dyDescent="0.25">
      <c r="B2355" s="20">
        <f>Разбивка_по_щитам!B2360</f>
      </c>
      <c r="C2355" s="20">
        <f>Разбивка_по_щитам!C2360</f>
      </c>
      <c r="D2355" s="20">
        <f>Разбивка_по_щитам!F2360</f>
      </c>
      <c r="E2355" s="20">
        <f>Разбивка_по_щитам!H2360</f>
      </c>
      <c r="F2355" s="20">
        <f>Разбивка_по_щитам!I2360</f>
      </c>
      <c r="G2355" s="20">
        <f>Разбивка_по_щитам!J2360</f>
      </c>
      <c r="H2355" s="20">
        <f>Разбивка_по_щитам!K2360</f>
      </c>
      <c r="I2355" s="20">
        <f>Разбивка_по_щитам!L2360</f>
      </c>
      <c r="J2355" s="20">
        <f>Разбивка_по_щитам!M2360</f>
      </c>
      <c r="K2355" s="20">
        <f>Разбивка_по_щитам!N2360</f>
      </c>
      <c r="L2355" s="20"/>
      <c r="M2355" s="20">
        <f>Разбивка_по_щитам!P2360</f>
      </c>
      <c r="N2355" s="20"/>
    </row>
    <row r="2356" spans="2:14" x14ac:dyDescent="0.25">
      <c r="B2356" s="20">
        <f>Разбивка_по_щитам!B2361</f>
      </c>
      <c r="C2356" s="20">
        <f>Разбивка_по_щитам!C2361</f>
      </c>
      <c r="D2356" s="20">
        <f>Разбивка_по_щитам!F2361</f>
      </c>
      <c r="E2356" s="20">
        <f>Разбивка_по_щитам!H2361</f>
      </c>
      <c r="F2356" s="20">
        <f>Разбивка_по_щитам!I2361</f>
      </c>
      <c r="G2356" s="20">
        <f>Разбивка_по_щитам!J2361</f>
      </c>
      <c r="H2356" s="20">
        <f>Разбивка_по_щитам!K2361</f>
      </c>
      <c r="I2356" s="20">
        <f>Разбивка_по_щитам!L2361</f>
      </c>
      <c r="J2356" s="20">
        <f>Разбивка_по_щитам!M2361</f>
      </c>
      <c r="K2356" s="20">
        <f>Разбивка_по_щитам!N2361</f>
      </c>
      <c r="L2356" s="20"/>
      <c r="M2356" s="20">
        <f>Разбивка_по_щитам!P2361</f>
      </c>
      <c r="N2356" s="20"/>
    </row>
    <row r="2357" spans="2:14" x14ac:dyDescent="0.25">
      <c r="B2357" s="20">
        <f>Разбивка_по_щитам!B2362</f>
      </c>
      <c r="C2357" s="20">
        <f>Разбивка_по_щитам!C2362</f>
      </c>
      <c r="D2357" s="20">
        <f>Разбивка_по_щитам!F2362</f>
      </c>
      <c r="E2357" s="20">
        <f>Разбивка_по_щитам!H2362</f>
      </c>
      <c r="F2357" s="20">
        <f>Разбивка_по_щитам!I2362</f>
      </c>
      <c r="G2357" s="20">
        <f>Разбивка_по_щитам!J2362</f>
      </c>
      <c r="H2357" s="20">
        <f>Разбивка_по_щитам!K2362</f>
      </c>
      <c r="I2357" s="20">
        <f>Разбивка_по_щитам!L2362</f>
      </c>
      <c r="J2357" s="20">
        <f>Разбивка_по_щитам!M2362</f>
      </c>
      <c r="K2357" s="20">
        <f>Разбивка_по_щитам!N2362</f>
      </c>
      <c r="L2357" s="20"/>
      <c r="M2357" s="20">
        <f>Разбивка_по_щитам!P2362</f>
      </c>
      <c r="N2357" s="20"/>
    </row>
    <row r="2358" spans="2:14" x14ac:dyDescent="0.25">
      <c r="B2358" s="20">
        <f>Разбивка_по_щитам!B2363</f>
      </c>
      <c r="C2358" s="20">
        <f>Разбивка_по_щитам!C2363</f>
      </c>
      <c r="D2358" s="20">
        <f>Разбивка_по_щитам!F2363</f>
      </c>
      <c r="E2358" s="20">
        <f>Разбивка_по_щитам!H2363</f>
      </c>
      <c r="F2358" s="20">
        <f>Разбивка_по_щитам!I2363</f>
      </c>
      <c r="G2358" s="20">
        <f>Разбивка_по_щитам!J2363</f>
      </c>
      <c r="H2358" s="20">
        <f>Разбивка_по_щитам!K2363</f>
      </c>
      <c r="I2358" s="20">
        <f>Разбивка_по_щитам!L2363</f>
      </c>
      <c r="J2358" s="20">
        <f>Разбивка_по_щитам!M2363</f>
      </c>
      <c r="K2358" s="20">
        <f>Разбивка_по_щитам!N2363</f>
      </c>
      <c r="L2358" s="20"/>
      <c r="M2358" s="20">
        <f>Разбивка_по_щитам!P2363</f>
      </c>
      <c r="N2358" s="20"/>
    </row>
    <row r="2359" spans="2:14" x14ac:dyDescent="0.25">
      <c r="B2359" s="20">
        <f>Разбивка_по_щитам!B2364</f>
      </c>
      <c r="C2359" s="20">
        <f>Разбивка_по_щитам!C2364</f>
      </c>
      <c r="D2359" s="20">
        <f>Разбивка_по_щитам!F2364</f>
      </c>
      <c r="E2359" s="20">
        <f>Разбивка_по_щитам!H2364</f>
      </c>
      <c r="F2359" s="20">
        <f>Разбивка_по_щитам!I2364</f>
      </c>
      <c r="G2359" s="20">
        <f>Разбивка_по_щитам!J2364</f>
      </c>
      <c r="H2359" s="20">
        <f>Разбивка_по_щитам!K2364</f>
      </c>
      <c r="I2359" s="20">
        <f>Разбивка_по_щитам!L2364</f>
      </c>
      <c r="J2359" s="20">
        <f>Разбивка_по_щитам!M2364</f>
      </c>
      <c r="K2359" s="20">
        <f>Разбивка_по_щитам!N2364</f>
      </c>
      <c r="L2359" s="20"/>
      <c r="M2359" s="20">
        <f>Разбивка_по_щитам!P2364</f>
      </c>
      <c r="N2359" s="20"/>
    </row>
    <row r="2360" spans="2:14" x14ac:dyDescent="0.25">
      <c r="B2360" s="20">
        <f>Разбивка_по_щитам!B2365</f>
      </c>
      <c r="C2360" s="20">
        <f>Разбивка_по_щитам!C2365</f>
      </c>
      <c r="D2360" s="20">
        <f>Разбивка_по_щитам!F2365</f>
      </c>
      <c r="E2360" s="20">
        <f>Разбивка_по_щитам!H2365</f>
      </c>
      <c r="F2360" s="20">
        <f>Разбивка_по_щитам!I2365</f>
      </c>
      <c r="G2360" s="20">
        <f>Разбивка_по_щитам!J2365</f>
      </c>
      <c r="H2360" s="20">
        <f>Разбивка_по_щитам!K2365</f>
      </c>
      <c r="I2360" s="20">
        <f>Разбивка_по_щитам!L2365</f>
      </c>
      <c r="J2360" s="20">
        <f>Разбивка_по_щитам!M2365</f>
      </c>
      <c r="K2360" s="20">
        <f>Разбивка_по_щитам!N2365</f>
      </c>
      <c r="L2360" s="20"/>
      <c r="M2360" s="20">
        <f>Разбивка_по_щитам!P2365</f>
      </c>
      <c r="N2360" s="20"/>
    </row>
    <row r="2361" spans="2:14" x14ac:dyDescent="0.25">
      <c r="B2361" s="20">
        <f>Разбивка_по_щитам!B2366</f>
      </c>
      <c r="C2361" s="20">
        <f>Разбивка_по_щитам!C2366</f>
      </c>
      <c r="D2361" s="20">
        <f>Разбивка_по_щитам!F2366</f>
      </c>
      <c r="E2361" s="20">
        <f>Разбивка_по_щитам!H2366</f>
      </c>
      <c r="F2361" s="20">
        <f>Разбивка_по_щитам!I2366</f>
      </c>
      <c r="G2361" s="20">
        <f>Разбивка_по_щитам!J2366</f>
      </c>
      <c r="H2361" s="20">
        <f>Разбивка_по_щитам!K2366</f>
      </c>
      <c r="I2361" s="20">
        <f>Разбивка_по_щитам!L2366</f>
      </c>
      <c r="J2361" s="20">
        <f>Разбивка_по_щитам!M2366</f>
      </c>
      <c r="K2361" s="20">
        <f>Разбивка_по_щитам!N2366</f>
      </c>
      <c r="L2361" s="20"/>
      <c r="M2361" s="20">
        <f>Разбивка_по_щитам!P2366</f>
      </c>
      <c r="N2361" s="20"/>
    </row>
    <row r="2362" spans="2:14" x14ac:dyDescent="0.25">
      <c r="B2362" s="20">
        <f>Разбивка_по_щитам!B2367</f>
      </c>
      <c r="C2362" s="20">
        <f>Разбивка_по_щитам!C2367</f>
      </c>
      <c r="D2362" s="20">
        <f>Разбивка_по_щитам!F2367</f>
      </c>
      <c r="E2362" s="20">
        <f>Разбивка_по_щитам!H2367</f>
      </c>
      <c r="F2362" s="20">
        <f>Разбивка_по_щитам!I2367</f>
      </c>
      <c r="G2362" s="20">
        <f>Разбивка_по_щитам!J2367</f>
      </c>
      <c r="H2362" s="20">
        <f>Разбивка_по_щитам!K2367</f>
      </c>
      <c r="I2362" s="20">
        <f>Разбивка_по_щитам!L2367</f>
      </c>
      <c r="J2362" s="20">
        <f>Разбивка_по_щитам!M2367</f>
      </c>
      <c r="K2362" s="20">
        <f>Разбивка_по_щитам!N2367</f>
      </c>
      <c r="L2362" s="20"/>
      <c r="M2362" s="20">
        <f>Разбивка_по_щитам!P2367</f>
      </c>
      <c r="N2362" s="20"/>
    </row>
    <row r="2363" spans="2:14" x14ac:dyDescent="0.25">
      <c r="B2363" s="20">
        <f>Разбивка_по_щитам!B2368</f>
      </c>
      <c r="C2363" s="20">
        <f>Разбивка_по_щитам!C2368</f>
      </c>
      <c r="D2363" s="20">
        <f>Разбивка_по_щитам!F2368</f>
      </c>
      <c r="E2363" s="20">
        <f>Разбивка_по_щитам!H2368</f>
      </c>
      <c r="F2363" s="20">
        <f>Разбивка_по_щитам!I2368</f>
      </c>
      <c r="G2363" s="20">
        <f>Разбивка_по_щитам!J2368</f>
      </c>
      <c r="H2363" s="20">
        <f>Разбивка_по_щитам!K2368</f>
      </c>
      <c r="I2363" s="20">
        <f>Разбивка_по_щитам!L2368</f>
      </c>
      <c r="J2363" s="20">
        <f>Разбивка_по_щитам!M2368</f>
      </c>
      <c r="K2363" s="20">
        <f>Разбивка_по_щитам!N2368</f>
      </c>
      <c r="L2363" s="20"/>
      <c r="M2363" s="20">
        <f>Разбивка_по_щитам!P2368</f>
      </c>
      <c r="N2363" s="20"/>
    </row>
    <row r="2364" spans="2:14" x14ac:dyDescent="0.25">
      <c r="B2364" s="20">
        <f>Разбивка_по_щитам!B2369</f>
      </c>
      <c r="C2364" s="20">
        <f>Разбивка_по_щитам!C2369</f>
      </c>
      <c r="D2364" s="20">
        <f>Разбивка_по_щитам!F2369</f>
      </c>
      <c r="E2364" s="20">
        <f>Разбивка_по_щитам!H2369</f>
      </c>
      <c r="F2364" s="20">
        <f>Разбивка_по_щитам!I2369</f>
      </c>
      <c r="G2364" s="20">
        <f>Разбивка_по_щитам!J2369</f>
      </c>
      <c r="H2364" s="20">
        <f>Разбивка_по_щитам!K2369</f>
      </c>
      <c r="I2364" s="20">
        <f>Разбивка_по_щитам!L2369</f>
      </c>
      <c r="J2364" s="20">
        <f>Разбивка_по_щитам!M2369</f>
      </c>
      <c r="K2364" s="20">
        <f>Разбивка_по_щитам!N2369</f>
      </c>
      <c r="L2364" s="20"/>
      <c r="M2364" s="20">
        <f>Разбивка_по_щитам!P2369</f>
      </c>
      <c r="N2364" s="20"/>
    </row>
    <row r="2365" spans="2:14" x14ac:dyDescent="0.25">
      <c r="B2365" s="20">
        <f>Разбивка_по_щитам!B2370</f>
      </c>
      <c r="C2365" s="20">
        <f>Разбивка_по_щитам!C2370</f>
      </c>
      <c r="D2365" s="20">
        <f>Разбивка_по_щитам!F2370</f>
      </c>
      <c r="E2365" s="20">
        <f>Разбивка_по_щитам!H2370</f>
      </c>
      <c r="F2365" s="20">
        <f>Разбивка_по_щитам!I2370</f>
      </c>
      <c r="G2365" s="20">
        <f>Разбивка_по_щитам!J2370</f>
      </c>
      <c r="H2365" s="20">
        <f>Разбивка_по_щитам!K2370</f>
      </c>
      <c r="I2365" s="20">
        <f>Разбивка_по_щитам!L2370</f>
      </c>
      <c r="J2365" s="20">
        <f>Разбивка_по_щитам!M2370</f>
      </c>
      <c r="K2365" s="20">
        <f>Разбивка_по_щитам!N2370</f>
      </c>
      <c r="L2365" s="20"/>
      <c r="M2365" s="20">
        <f>Разбивка_по_щитам!P2370</f>
      </c>
      <c r="N2365" s="20"/>
    </row>
    <row r="2366" spans="2:14" x14ac:dyDescent="0.25">
      <c r="B2366" s="20">
        <f>Разбивка_по_щитам!B2371</f>
      </c>
      <c r="C2366" s="20">
        <f>Разбивка_по_щитам!C2371</f>
      </c>
      <c r="D2366" s="20">
        <f>Разбивка_по_щитам!F2371</f>
      </c>
      <c r="E2366" s="20">
        <f>Разбивка_по_щитам!H2371</f>
      </c>
      <c r="F2366" s="20">
        <f>Разбивка_по_щитам!I2371</f>
      </c>
      <c r="G2366" s="20">
        <f>Разбивка_по_щитам!J2371</f>
      </c>
      <c r="H2366" s="20">
        <f>Разбивка_по_щитам!K2371</f>
      </c>
      <c r="I2366" s="20">
        <f>Разбивка_по_щитам!L2371</f>
      </c>
      <c r="J2366" s="20">
        <f>Разбивка_по_щитам!M2371</f>
      </c>
      <c r="K2366" s="20">
        <f>Разбивка_по_щитам!N2371</f>
      </c>
      <c r="L2366" s="20"/>
      <c r="M2366" s="20">
        <f>Разбивка_по_щитам!P2371</f>
      </c>
      <c r="N2366" s="20"/>
    </row>
    <row r="2367" spans="2:14" x14ac:dyDescent="0.25">
      <c r="B2367" s="20">
        <f>Разбивка_по_щитам!B2372</f>
      </c>
      <c r="C2367" s="20">
        <f>Разбивка_по_щитам!C2372</f>
      </c>
      <c r="D2367" s="20">
        <f>Разбивка_по_щитам!F2372</f>
      </c>
      <c r="E2367" s="20">
        <f>Разбивка_по_щитам!H2372</f>
      </c>
      <c r="F2367" s="20">
        <f>Разбивка_по_щитам!I2372</f>
      </c>
      <c r="G2367" s="20">
        <f>Разбивка_по_щитам!J2372</f>
      </c>
      <c r="H2367" s="20">
        <f>Разбивка_по_щитам!K2372</f>
      </c>
      <c r="I2367" s="20">
        <f>Разбивка_по_щитам!L2372</f>
      </c>
      <c r="J2367" s="20">
        <f>Разбивка_по_щитам!M2372</f>
      </c>
      <c r="K2367" s="20">
        <f>Разбивка_по_щитам!N2372</f>
      </c>
      <c r="L2367" s="20"/>
      <c r="M2367" s="20">
        <f>Разбивка_по_щитам!P2372</f>
      </c>
      <c r="N2367" s="20"/>
    </row>
    <row r="2368" spans="2:14" x14ac:dyDescent="0.25">
      <c r="B2368" s="20">
        <f>Разбивка_по_щитам!B2373</f>
      </c>
      <c r="C2368" s="20">
        <f>Разбивка_по_щитам!C2373</f>
      </c>
      <c r="D2368" s="20">
        <f>Разбивка_по_щитам!F2373</f>
      </c>
      <c r="E2368" s="20">
        <f>Разбивка_по_щитам!H2373</f>
      </c>
      <c r="F2368" s="20">
        <f>Разбивка_по_щитам!I2373</f>
      </c>
      <c r="G2368" s="20">
        <f>Разбивка_по_щитам!J2373</f>
      </c>
      <c r="H2368" s="20">
        <f>Разбивка_по_щитам!K2373</f>
      </c>
      <c r="I2368" s="20">
        <f>Разбивка_по_щитам!L2373</f>
      </c>
      <c r="J2368" s="20">
        <f>Разбивка_по_щитам!M2373</f>
      </c>
      <c r="K2368" s="20">
        <f>Разбивка_по_щитам!N2373</f>
      </c>
      <c r="L2368" s="20"/>
      <c r="M2368" s="20">
        <f>Разбивка_по_щитам!P2373</f>
      </c>
      <c r="N2368" s="20"/>
    </row>
    <row r="2369" spans="2:14" x14ac:dyDescent="0.25">
      <c r="B2369" s="20">
        <f>Разбивка_по_щитам!B2374</f>
      </c>
      <c r="C2369" s="20">
        <f>Разбивка_по_щитам!C2374</f>
      </c>
      <c r="D2369" s="20">
        <f>Разбивка_по_щитам!F2374</f>
      </c>
      <c r="E2369" s="20">
        <f>Разбивка_по_щитам!H2374</f>
      </c>
      <c r="F2369" s="20">
        <f>Разбивка_по_щитам!I2374</f>
      </c>
      <c r="G2369" s="20">
        <f>Разбивка_по_щитам!J2374</f>
      </c>
      <c r="H2369" s="20">
        <f>Разбивка_по_щитам!K2374</f>
      </c>
      <c r="I2369" s="20">
        <f>Разбивка_по_щитам!L2374</f>
      </c>
      <c r="J2369" s="20">
        <f>Разбивка_по_щитам!M2374</f>
      </c>
      <c r="K2369" s="20">
        <f>Разбивка_по_щитам!N2374</f>
      </c>
      <c r="L2369" s="20"/>
      <c r="M2369" s="20">
        <f>Разбивка_по_щитам!P2374</f>
      </c>
      <c r="N2369" s="20"/>
    </row>
    <row r="2370" spans="2:14" x14ac:dyDescent="0.25">
      <c r="B2370" s="20">
        <f>Разбивка_по_щитам!B2375</f>
      </c>
      <c r="C2370" s="20">
        <f>Разбивка_по_щитам!C2375</f>
      </c>
      <c r="D2370" s="20">
        <f>Разбивка_по_щитам!F2375</f>
      </c>
      <c r="E2370" s="20">
        <f>Разбивка_по_щитам!H2375</f>
      </c>
      <c r="F2370" s="20">
        <f>Разбивка_по_щитам!I2375</f>
      </c>
      <c r="G2370" s="20">
        <f>Разбивка_по_щитам!J2375</f>
      </c>
      <c r="H2370" s="20">
        <f>Разбивка_по_щитам!K2375</f>
      </c>
      <c r="I2370" s="20">
        <f>Разбивка_по_щитам!L2375</f>
      </c>
      <c r="J2370" s="20">
        <f>Разбивка_по_щитам!M2375</f>
      </c>
      <c r="K2370" s="20">
        <f>Разбивка_по_щитам!N2375</f>
      </c>
      <c r="L2370" s="20"/>
      <c r="M2370" s="20">
        <f>Разбивка_по_щитам!P2375</f>
      </c>
      <c r="N2370" s="20"/>
    </row>
    <row r="2371" spans="2:14" x14ac:dyDescent="0.25">
      <c r="B2371" s="20">
        <f>Разбивка_по_щитам!B2376</f>
      </c>
      <c r="C2371" s="20">
        <f>Разбивка_по_щитам!C2376</f>
      </c>
      <c r="D2371" s="20">
        <f>Разбивка_по_щитам!F2376</f>
      </c>
      <c r="E2371" s="20">
        <f>Разбивка_по_щитам!H2376</f>
      </c>
      <c r="F2371" s="20">
        <f>Разбивка_по_щитам!I2376</f>
      </c>
      <c r="G2371" s="20">
        <f>Разбивка_по_щитам!J2376</f>
      </c>
      <c r="H2371" s="20">
        <f>Разбивка_по_щитам!K2376</f>
      </c>
      <c r="I2371" s="20">
        <f>Разбивка_по_щитам!L2376</f>
      </c>
      <c r="J2371" s="20">
        <f>Разбивка_по_щитам!M2376</f>
      </c>
      <c r="K2371" s="20">
        <f>Разбивка_по_щитам!N2376</f>
      </c>
      <c r="L2371" s="20"/>
      <c r="M2371" s="20">
        <f>Разбивка_по_щитам!P2376</f>
      </c>
      <c r="N2371" s="20"/>
    </row>
    <row r="2372" spans="2:14" x14ac:dyDescent="0.25">
      <c r="B2372" s="20">
        <f>Разбивка_по_щитам!B2377</f>
      </c>
      <c r="C2372" s="20">
        <f>Разбивка_по_щитам!C2377</f>
      </c>
      <c r="D2372" s="20">
        <f>Разбивка_по_щитам!F2377</f>
      </c>
      <c r="E2372" s="20">
        <f>Разбивка_по_щитам!H2377</f>
      </c>
      <c r="F2372" s="20">
        <f>Разбивка_по_щитам!I2377</f>
      </c>
      <c r="G2372" s="20">
        <f>Разбивка_по_щитам!J2377</f>
      </c>
      <c r="H2372" s="20">
        <f>Разбивка_по_щитам!K2377</f>
      </c>
      <c r="I2372" s="20">
        <f>Разбивка_по_щитам!L2377</f>
      </c>
      <c r="J2372" s="20">
        <f>Разбивка_по_щитам!M2377</f>
      </c>
      <c r="K2372" s="20">
        <f>Разбивка_по_щитам!N2377</f>
      </c>
      <c r="L2372" s="20"/>
      <c r="M2372" s="20">
        <f>Разбивка_по_щитам!P2377</f>
      </c>
      <c r="N2372" s="20"/>
    </row>
    <row r="2373" spans="2:14" x14ac:dyDescent="0.25">
      <c r="B2373" s="20">
        <f>Разбивка_по_щитам!B2378</f>
      </c>
      <c r="C2373" s="20">
        <f>Разбивка_по_щитам!C2378</f>
      </c>
      <c r="D2373" s="20">
        <f>Разбивка_по_щитам!F2378</f>
      </c>
      <c r="E2373" s="20">
        <f>Разбивка_по_щитам!H2378</f>
      </c>
      <c r="F2373" s="20">
        <f>Разбивка_по_щитам!I2378</f>
      </c>
      <c r="G2373" s="20">
        <f>Разбивка_по_щитам!J2378</f>
      </c>
      <c r="H2373" s="20">
        <f>Разбивка_по_щитам!K2378</f>
      </c>
      <c r="I2373" s="20">
        <f>Разбивка_по_щитам!L2378</f>
      </c>
      <c r="J2373" s="20">
        <f>Разбивка_по_щитам!M2378</f>
      </c>
      <c r="K2373" s="20">
        <f>Разбивка_по_щитам!N2378</f>
      </c>
      <c r="L2373" s="20"/>
      <c r="M2373" s="20">
        <f>Разбивка_по_щитам!P2378</f>
      </c>
      <c r="N2373" s="20"/>
    </row>
    <row r="2374" spans="2:14" x14ac:dyDescent="0.25">
      <c r="B2374" s="20">
        <f>Разбивка_по_щитам!B2379</f>
      </c>
      <c r="C2374" s="20">
        <f>Разбивка_по_щитам!C2379</f>
      </c>
      <c r="D2374" s="20">
        <f>Разбивка_по_щитам!F2379</f>
      </c>
      <c r="E2374" s="20">
        <f>Разбивка_по_щитам!H2379</f>
      </c>
      <c r="F2374" s="20">
        <f>Разбивка_по_щитам!I2379</f>
      </c>
      <c r="G2374" s="20">
        <f>Разбивка_по_щитам!J2379</f>
      </c>
      <c r="H2374" s="20">
        <f>Разбивка_по_щитам!K2379</f>
      </c>
      <c r="I2374" s="20">
        <f>Разбивка_по_щитам!L2379</f>
      </c>
      <c r="J2374" s="20">
        <f>Разбивка_по_щитам!M2379</f>
      </c>
      <c r="K2374" s="20">
        <f>Разбивка_по_щитам!N2379</f>
      </c>
      <c r="L2374" s="20"/>
      <c r="M2374" s="20">
        <f>Разбивка_по_щитам!P2379</f>
      </c>
      <c r="N2374" s="20"/>
    </row>
    <row r="2375" spans="2:14" x14ac:dyDescent="0.25">
      <c r="B2375" s="20">
        <f>Разбивка_по_щитам!B2380</f>
      </c>
      <c r="C2375" s="20">
        <f>Разбивка_по_щитам!C2380</f>
      </c>
      <c r="D2375" s="20">
        <f>Разбивка_по_щитам!F2380</f>
      </c>
      <c r="E2375" s="20">
        <f>Разбивка_по_щитам!H2380</f>
      </c>
      <c r="F2375" s="20">
        <f>Разбивка_по_щитам!I2380</f>
      </c>
      <c r="G2375" s="20">
        <f>Разбивка_по_щитам!J2380</f>
      </c>
      <c r="H2375" s="20">
        <f>Разбивка_по_щитам!K2380</f>
      </c>
      <c r="I2375" s="20">
        <f>Разбивка_по_щитам!L2380</f>
      </c>
      <c r="J2375" s="20">
        <f>Разбивка_по_щитам!M2380</f>
      </c>
      <c r="K2375" s="20">
        <f>Разбивка_по_щитам!N2380</f>
      </c>
      <c r="L2375" s="20"/>
      <c r="M2375" s="20">
        <f>Разбивка_по_щитам!P2380</f>
      </c>
      <c r="N2375" s="20"/>
    </row>
    <row r="2376" spans="2:14" x14ac:dyDescent="0.25">
      <c r="B2376" s="20">
        <f>Разбивка_по_щитам!B2381</f>
      </c>
      <c r="C2376" s="20">
        <f>Разбивка_по_щитам!C2381</f>
      </c>
      <c r="D2376" s="20">
        <f>Разбивка_по_щитам!F2381</f>
      </c>
      <c r="E2376" s="20">
        <f>Разбивка_по_щитам!H2381</f>
      </c>
      <c r="F2376" s="20">
        <f>Разбивка_по_щитам!I2381</f>
      </c>
      <c r="G2376" s="20">
        <f>Разбивка_по_щитам!J2381</f>
      </c>
      <c r="H2376" s="20">
        <f>Разбивка_по_щитам!K2381</f>
      </c>
      <c r="I2376" s="20">
        <f>Разбивка_по_щитам!L2381</f>
      </c>
      <c r="J2376" s="20">
        <f>Разбивка_по_щитам!M2381</f>
      </c>
      <c r="K2376" s="20">
        <f>Разбивка_по_щитам!N2381</f>
      </c>
      <c r="L2376" s="20"/>
      <c r="M2376" s="20">
        <f>Разбивка_по_щитам!P2381</f>
      </c>
      <c r="N2376" s="20"/>
    </row>
    <row r="2377" spans="2:14" x14ac:dyDescent="0.25">
      <c r="B2377" s="20">
        <f>Разбивка_по_щитам!B2382</f>
      </c>
      <c r="C2377" s="20">
        <f>Разбивка_по_щитам!C2382</f>
      </c>
      <c r="D2377" s="20">
        <f>Разбивка_по_щитам!F2382</f>
      </c>
      <c r="E2377" s="20">
        <f>Разбивка_по_щитам!H2382</f>
      </c>
      <c r="F2377" s="20">
        <f>Разбивка_по_щитам!I2382</f>
      </c>
      <c r="G2377" s="20">
        <f>Разбивка_по_щитам!J2382</f>
      </c>
      <c r="H2377" s="20">
        <f>Разбивка_по_щитам!K2382</f>
      </c>
      <c r="I2377" s="20">
        <f>Разбивка_по_щитам!L2382</f>
      </c>
      <c r="J2377" s="20">
        <f>Разбивка_по_щитам!M2382</f>
      </c>
      <c r="K2377" s="20">
        <f>Разбивка_по_щитам!N2382</f>
      </c>
      <c r="L2377" s="20"/>
      <c r="M2377" s="20">
        <f>Разбивка_по_щитам!P2382</f>
      </c>
      <c r="N2377" s="20"/>
    </row>
    <row r="2378" spans="2:14" x14ac:dyDescent="0.25">
      <c r="B2378" s="20">
        <f>Разбивка_по_щитам!B2383</f>
      </c>
      <c r="C2378" s="20">
        <f>Разбивка_по_щитам!C2383</f>
      </c>
      <c r="D2378" s="20">
        <f>Разбивка_по_щитам!F2383</f>
      </c>
      <c r="E2378" s="20">
        <f>Разбивка_по_щитам!H2383</f>
      </c>
      <c r="F2378" s="20">
        <f>Разбивка_по_щитам!I2383</f>
      </c>
      <c r="G2378" s="20">
        <f>Разбивка_по_щитам!J2383</f>
      </c>
      <c r="H2378" s="20">
        <f>Разбивка_по_щитам!K2383</f>
      </c>
      <c r="I2378" s="20">
        <f>Разбивка_по_щитам!L2383</f>
      </c>
      <c r="J2378" s="20">
        <f>Разбивка_по_щитам!M2383</f>
      </c>
      <c r="K2378" s="20">
        <f>Разбивка_по_щитам!N2383</f>
      </c>
      <c r="L2378" s="20"/>
      <c r="M2378" s="20">
        <f>Разбивка_по_щитам!P2383</f>
      </c>
      <c r="N2378" s="20"/>
    </row>
    <row r="2379" spans="2:14" x14ac:dyDescent="0.25">
      <c r="B2379" s="20">
        <f>Разбивка_по_щитам!B2384</f>
      </c>
      <c r="C2379" s="20">
        <f>Разбивка_по_щитам!C2384</f>
      </c>
      <c r="D2379" s="20">
        <f>Разбивка_по_щитам!F2384</f>
      </c>
      <c r="E2379" s="20">
        <f>Разбивка_по_щитам!H2384</f>
      </c>
      <c r="F2379" s="20">
        <f>Разбивка_по_щитам!I2384</f>
      </c>
      <c r="G2379" s="20">
        <f>Разбивка_по_щитам!J2384</f>
      </c>
      <c r="H2379" s="20">
        <f>Разбивка_по_щитам!K2384</f>
      </c>
      <c r="I2379" s="20">
        <f>Разбивка_по_щитам!L2384</f>
      </c>
      <c r="J2379" s="20">
        <f>Разбивка_по_щитам!M2384</f>
      </c>
      <c r="K2379" s="20">
        <f>Разбивка_по_щитам!N2384</f>
      </c>
      <c r="L2379" s="20"/>
      <c r="M2379" s="20">
        <f>Разбивка_по_щитам!P2384</f>
      </c>
      <c r="N2379" s="20"/>
    </row>
    <row r="2380" spans="2:14" x14ac:dyDescent="0.25">
      <c r="B2380" s="20">
        <f>Разбивка_по_щитам!B2385</f>
      </c>
      <c r="C2380" s="20">
        <f>Разбивка_по_щитам!C2385</f>
      </c>
      <c r="D2380" s="20">
        <f>Разбивка_по_щитам!F2385</f>
      </c>
      <c r="E2380" s="20">
        <f>Разбивка_по_щитам!H2385</f>
      </c>
      <c r="F2380" s="20">
        <f>Разбивка_по_щитам!I2385</f>
      </c>
      <c r="G2380" s="20">
        <f>Разбивка_по_щитам!J2385</f>
      </c>
      <c r="H2380" s="20">
        <f>Разбивка_по_щитам!K2385</f>
      </c>
      <c r="I2380" s="20">
        <f>Разбивка_по_щитам!L2385</f>
      </c>
      <c r="J2380" s="20">
        <f>Разбивка_по_щитам!M2385</f>
      </c>
      <c r="K2380" s="20">
        <f>Разбивка_по_щитам!N2385</f>
      </c>
      <c r="L2380" s="20"/>
      <c r="M2380" s="20">
        <f>Разбивка_по_щитам!P2385</f>
      </c>
      <c r="N2380" s="20"/>
    </row>
    <row r="2381" spans="2:14" x14ac:dyDescent="0.25">
      <c r="B2381" s="20">
        <f>Разбивка_по_щитам!B2386</f>
      </c>
      <c r="C2381" s="20">
        <f>Разбивка_по_щитам!C2386</f>
      </c>
      <c r="D2381" s="20">
        <f>Разбивка_по_щитам!F2386</f>
      </c>
      <c r="E2381" s="20">
        <f>Разбивка_по_щитам!H2386</f>
      </c>
      <c r="F2381" s="20">
        <f>Разбивка_по_щитам!I2386</f>
      </c>
      <c r="G2381" s="20">
        <f>Разбивка_по_щитам!J2386</f>
      </c>
      <c r="H2381" s="20">
        <f>Разбивка_по_щитам!K2386</f>
      </c>
      <c r="I2381" s="20">
        <f>Разбивка_по_щитам!L2386</f>
      </c>
      <c r="J2381" s="20">
        <f>Разбивка_по_щитам!M2386</f>
      </c>
      <c r="K2381" s="20">
        <f>Разбивка_по_щитам!N2386</f>
      </c>
      <c r="L2381" s="20"/>
      <c r="M2381" s="20">
        <f>Разбивка_по_щитам!P2386</f>
      </c>
      <c r="N2381" s="20"/>
    </row>
    <row r="2382" spans="2:14" x14ac:dyDescent="0.25">
      <c r="B2382" s="20">
        <f>Разбивка_по_щитам!B2387</f>
      </c>
      <c r="C2382" s="20">
        <f>Разбивка_по_щитам!C2387</f>
      </c>
      <c r="D2382" s="20">
        <f>Разбивка_по_щитам!F2387</f>
      </c>
      <c r="E2382" s="20">
        <f>Разбивка_по_щитам!H2387</f>
      </c>
      <c r="F2382" s="20">
        <f>Разбивка_по_щитам!I2387</f>
      </c>
      <c r="G2382" s="20">
        <f>Разбивка_по_щитам!J2387</f>
      </c>
      <c r="H2382" s="20">
        <f>Разбивка_по_щитам!K2387</f>
      </c>
      <c r="I2382" s="20">
        <f>Разбивка_по_щитам!L2387</f>
      </c>
      <c r="J2382" s="20">
        <f>Разбивка_по_щитам!M2387</f>
      </c>
      <c r="K2382" s="20">
        <f>Разбивка_по_щитам!N2387</f>
      </c>
      <c r="L2382" s="20"/>
      <c r="M2382" s="20">
        <f>Разбивка_по_щитам!P2387</f>
      </c>
      <c r="N2382" s="20"/>
    </row>
    <row r="2383" spans="2:14" x14ac:dyDescent="0.25">
      <c r="B2383" s="20">
        <f>Разбивка_по_щитам!B2388</f>
      </c>
      <c r="C2383" s="20">
        <f>Разбивка_по_щитам!C2388</f>
      </c>
      <c r="D2383" s="20">
        <f>Разбивка_по_щитам!F2388</f>
      </c>
      <c r="E2383" s="20">
        <f>Разбивка_по_щитам!H2388</f>
      </c>
      <c r="F2383" s="20">
        <f>Разбивка_по_щитам!I2388</f>
      </c>
      <c r="G2383" s="20">
        <f>Разбивка_по_щитам!J2388</f>
      </c>
      <c r="H2383" s="20">
        <f>Разбивка_по_щитам!K2388</f>
      </c>
      <c r="I2383" s="20">
        <f>Разбивка_по_щитам!L2388</f>
      </c>
      <c r="J2383" s="20">
        <f>Разбивка_по_щитам!M2388</f>
      </c>
      <c r="K2383" s="20">
        <f>Разбивка_по_щитам!N2388</f>
      </c>
      <c r="L2383" s="20"/>
      <c r="M2383" s="20">
        <f>Разбивка_по_щитам!P2388</f>
      </c>
      <c r="N2383" s="20"/>
    </row>
    <row r="2384" spans="2:14" x14ac:dyDescent="0.25">
      <c r="B2384" s="20">
        <f>Разбивка_по_щитам!B2389</f>
      </c>
      <c r="C2384" s="20">
        <f>Разбивка_по_щитам!C2389</f>
      </c>
      <c r="D2384" s="20">
        <f>Разбивка_по_щитам!F2389</f>
      </c>
      <c r="E2384" s="20">
        <f>Разбивка_по_щитам!H2389</f>
      </c>
      <c r="F2384" s="20">
        <f>Разбивка_по_щитам!I2389</f>
      </c>
      <c r="G2384" s="20">
        <f>Разбивка_по_щитам!J2389</f>
      </c>
      <c r="H2384" s="20">
        <f>Разбивка_по_щитам!K2389</f>
      </c>
      <c r="I2384" s="20">
        <f>Разбивка_по_щитам!L2389</f>
      </c>
      <c r="J2384" s="20">
        <f>Разбивка_по_щитам!M2389</f>
      </c>
      <c r="K2384" s="20">
        <f>Разбивка_по_щитам!N2389</f>
      </c>
      <c r="L2384" s="20"/>
      <c r="M2384" s="20">
        <f>Разбивка_по_щитам!P2389</f>
      </c>
      <c r="N2384" s="20"/>
    </row>
    <row r="2385" spans="2:14" x14ac:dyDescent="0.25">
      <c r="B2385" s="20">
        <f>Разбивка_по_щитам!B2390</f>
      </c>
      <c r="C2385" s="20">
        <f>Разбивка_по_щитам!C2390</f>
      </c>
      <c r="D2385" s="20">
        <f>Разбивка_по_щитам!F2390</f>
      </c>
      <c r="E2385" s="20">
        <f>Разбивка_по_щитам!H2390</f>
      </c>
      <c r="F2385" s="20">
        <f>Разбивка_по_щитам!I2390</f>
      </c>
      <c r="G2385" s="20">
        <f>Разбивка_по_щитам!J2390</f>
      </c>
      <c r="H2385" s="20">
        <f>Разбивка_по_щитам!K2390</f>
      </c>
      <c r="I2385" s="20">
        <f>Разбивка_по_щитам!L2390</f>
      </c>
      <c r="J2385" s="20">
        <f>Разбивка_по_щитам!M2390</f>
      </c>
      <c r="K2385" s="20">
        <f>Разбивка_по_щитам!N2390</f>
      </c>
      <c r="L2385" s="20"/>
      <c r="M2385" s="20">
        <f>Разбивка_по_щитам!P2390</f>
      </c>
      <c r="N2385" s="20"/>
    </row>
    <row r="2386" spans="2:14" x14ac:dyDescent="0.25">
      <c r="B2386" s="20">
        <f>Разбивка_по_щитам!B2391</f>
      </c>
      <c r="C2386" s="20">
        <f>Разбивка_по_щитам!C2391</f>
      </c>
      <c r="D2386" s="20">
        <f>Разбивка_по_щитам!F2391</f>
      </c>
      <c r="E2386" s="20">
        <f>Разбивка_по_щитам!H2391</f>
      </c>
      <c r="F2386" s="20">
        <f>Разбивка_по_щитам!I2391</f>
      </c>
      <c r="G2386" s="20">
        <f>Разбивка_по_щитам!J2391</f>
      </c>
      <c r="H2386" s="20">
        <f>Разбивка_по_щитам!K2391</f>
      </c>
      <c r="I2386" s="20">
        <f>Разбивка_по_щитам!L2391</f>
      </c>
      <c r="J2386" s="20">
        <f>Разбивка_по_щитам!M2391</f>
      </c>
      <c r="K2386" s="20">
        <f>Разбивка_по_щитам!N2391</f>
      </c>
      <c r="L2386" s="20"/>
      <c r="M2386" s="20">
        <f>Разбивка_по_щитам!P2391</f>
      </c>
      <c r="N2386" s="20"/>
    </row>
    <row r="2387" spans="2:14" x14ac:dyDescent="0.25">
      <c r="B2387" s="20">
        <f>Разбивка_по_щитам!B2392</f>
      </c>
      <c r="C2387" s="20">
        <f>Разбивка_по_щитам!C2392</f>
      </c>
      <c r="D2387" s="20">
        <f>Разбивка_по_щитам!F2392</f>
      </c>
      <c r="E2387" s="20">
        <f>Разбивка_по_щитам!H2392</f>
      </c>
      <c r="F2387" s="20">
        <f>Разбивка_по_щитам!I2392</f>
      </c>
      <c r="G2387" s="20">
        <f>Разбивка_по_щитам!J2392</f>
      </c>
      <c r="H2387" s="20">
        <f>Разбивка_по_щитам!K2392</f>
      </c>
      <c r="I2387" s="20">
        <f>Разбивка_по_щитам!L2392</f>
      </c>
      <c r="J2387" s="20">
        <f>Разбивка_по_щитам!M2392</f>
      </c>
      <c r="K2387" s="20">
        <f>Разбивка_по_щитам!N2392</f>
      </c>
      <c r="L2387" s="20"/>
      <c r="M2387" s="20">
        <f>Разбивка_по_щитам!P2392</f>
      </c>
      <c r="N2387" s="20"/>
    </row>
    <row r="2388" spans="2:14" x14ac:dyDescent="0.25">
      <c r="B2388" s="20">
        <f>Разбивка_по_щитам!B2393</f>
      </c>
      <c r="C2388" s="20">
        <f>Разбивка_по_щитам!C2393</f>
      </c>
      <c r="D2388" s="20">
        <f>Разбивка_по_щитам!F2393</f>
      </c>
      <c r="E2388" s="20">
        <f>Разбивка_по_щитам!H2393</f>
      </c>
      <c r="F2388" s="20">
        <f>Разбивка_по_щитам!I2393</f>
      </c>
      <c r="G2388" s="20">
        <f>Разбивка_по_щитам!J2393</f>
      </c>
      <c r="H2388" s="20">
        <f>Разбивка_по_щитам!K2393</f>
      </c>
      <c r="I2388" s="20">
        <f>Разбивка_по_щитам!L2393</f>
      </c>
      <c r="J2388" s="20">
        <f>Разбивка_по_щитам!M2393</f>
      </c>
      <c r="K2388" s="20">
        <f>Разбивка_по_щитам!N2393</f>
      </c>
      <c r="L2388" s="20"/>
      <c r="M2388" s="20">
        <f>Разбивка_по_щитам!P2393</f>
      </c>
      <c r="N2388" s="20"/>
    </row>
    <row r="2389" spans="2:14" x14ac:dyDescent="0.25">
      <c r="B2389" s="20">
        <f>Разбивка_по_щитам!B2394</f>
      </c>
      <c r="C2389" s="20">
        <f>Разбивка_по_щитам!C2394</f>
      </c>
      <c r="D2389" s="20">
        <f>Разбивка_по_щитам!F2394</f>
      </c>
      <c r="E2389" s="20">
        <f>Разбивка_по_щитам!H2394</f>
      </c>
      <c r="F2389" s="20">
        <f>Разбивка_по_щитам!I2394</f>
      </c>
      <c r="G2389" s="20">
        <f>Разбивка_по_щитам!J2394</f>
      </c>
      <c r="H2389" s="20">
        <f>Разбивка_по_щитам!K2394</f>
      </c>
      <c r="I2389" s="20">
        <f>Разбивка_по_щитам!L2394</f>
      </c>
      <c r="J2389" s="20">
        <f>Разбивка_по_щитам!M2394</f>
      </c>
      <c r="K2389" s="20">
        <f>Разбивка_по_щитам!N2394</f>
      </c>
      <c r="L2389" s="20"/>
      <c r="M2389" s="20">
        <f>Разбивка_по_щитам!P2394</f>
      </c>
      <c r="N2389" s="20"/>
    </row>
    <row r="2390" spans="2:14" x14ac:dyDescent="0.25">
      <c r="B2390" s="20">
        <f>Разбивка_по_щитам!B2395</f>
      </c>
      <c r="C2390" s="20">
        <f>Разбивка_по_щитам!C2395</f>
      </c>
      <c r="D2390" s="20">
        <f>Разбивка_по_щитам!F2395</f>
      </c>
      <c r="E2390" s="20">
        <f>Разбивка_по_щитам!H2395</f>
      </c>
      <c r="F2390" s="20">
        <f>Разбивка_по_щитам!I2395</f>
      </c>
      <c r="G2390" s="20">
        <f>Разбивка_по_щитам!J2395</f>
      </c>
      <c r="H2390" s="20">
        <f>Разбивка_по_щитам!K2395</f>
      </c>
      <c r="I2390" s="20">
        <f>Разбивка_по_щитам!L2395</f>
      </c>
      <c r="J2390" s="20">
        <f>Разбивка_по_щитам!M2395</f>
      </c>
      <c r="K2390" s="20">
        <f>Разбивка_по_щитам!N2395</f>
      </c>
      <c r="L2390" s="20"/>
      <c r="M2390" s="20">
        <f>Разбивка_по_щитам!P2395</f>
      </c>
      <c r="N2390" s="20"/>
    </row>
    <row r="2391" spans="2:14" x14ac:dyDescent="0.25">
      <c r="B2391" s="20">
        <f>Разбивка_по_щитам!B2396</f>
      </c>
      <c r="C2391" s="20">
        <f>Разбивка_по_щитам!C2396</f>
      </c>
      <c r="D2391" s="20">
        <f>Разбивка_по_щитам!F2396</f>
      </c>
      <c r="E2391" s="20">
        <f>Разбивка_по_щитам!H2396</f>
      </c>
      <c r="F2391" s="20">
        <f>Разбивка_по_щитам!I2396</f>
      </c>
      <c r="G2391" s="20">
        <f>Разбивка_по_щитам!J2396</f>
      </c>
      <c r="H2391" s="20">
        <f>Разбивка_по_щитам!K2396</f>
      </c>
      <c r="I2391" s="20">
        <f>Разбивка_по_щитам!L2396</f>
      </c>
      <c r="J2391" s="20">
        <f>Разбивка_по_щитам!M2396</f>
      </c>
      <c r="K2391" s="20">
        <f>Разбивка_по_щитам!N2396</f>
      </c>
      <c r="L2391" s="20"/>
      <c r="M2391" s="20">
        <f>Разбивка_по_щитам!P2396</f>
      </c>
      <c r="N2391" s="20"/>
    </row>
    <row r="2392" spans="2:14" x14ac:dyDescent="0.25">
      <c r="B2392" s="20">
        <f>Разбивка_по_щитам!B2397</f>
      </c>
      <c r="C2392" s="20">
        <f>Разбивка_по_щитам!C2397</f>
      </c>
      <c r="D2392" s="20">
        <f>Разбивка_по_щитам!F2397</f>
      </c>
      <c r="E2392" s="20">
        <f>Разбивка_по_щитам!H2397</f>
      </c>
      <c r="F2392" s="20">
        <f>Разбивка_по_щитам!I2397</f>
      </c>
      <c r="G2392" s="20">
        <f>Разбивка_по_щитам!J2397</f>
      </c>
      <c r="H2392" s="20">
        <f>Разбивка_по_щитам!K2397</f>
      </c>
      <c r="I2392" s="20">
        <f>Разбивка_по_щитам!L2397</f>
      </c>
      <c r="J2392" s="20">
        <f>Разбивка_по_щитам!M2397</f>
      </c>
      <c r="K2392" s="20">
        <f>Разбивка_по_щитам!N2397</f>
      </c>
      <c r="L2392" s="20"/>
      <c r="M2392" s="20">
        <f>Разбивка_по_щитам!P2397</f>
      </c>
      <c r="N2392" s="20"/>
    </row>
    <row r="2393" spans="2:14" x14ac:dyDescent="0.25">
      <c r="B2393" s="20">
        <f>Разбивка_по_щитам!B2398</f>
      </c>
      <c r="C2393" s="20">
        <f>Разбивка_по_щитам!C2398</f>
      </c>
      <c r="D2393" s="20">
        <f>Разбивка_по_щитам!F2398</f>
      </c>
      <c r="E2393" s="20">
        <f>Разбивка_по_щитам!H2398</f>
      </c>
      <c r="F2393" s="20">
        <f>Разбивка_по_щитам!I2398</f>
      </c>
      <c r="G2393" s="20">
        <f>Разбивка_по_щитам!J2398</f>
      </c>
      <c r="H2393" s="20">
        <f>Разбивка_по_щитам!K2398</f>
      </c>
      <c r="I2393" s="20">
        <f>Разбивка_по_щитам!L2398</f>
      </c>
      <c r="J2393" s="20">
        <f>Разбивка_по_щитам!M2398</f>
      </c>
      <c r="K2393" s="20">
        <f>Разбивка_по_щитам!N2398</f>
      </c>
      <c r="L2393" s="20"/>
      <c r="M2393" s="20">
        <f>Разбивка_по_щитам!P2398</f>
      </c>
      <c r="N2393" s="20"/>
    </row>
    <row r="2394" spans="2:14" x14ac:dyDescent="0.25">
      <c r="B2394" s="20">
        <f>Разбивка_по_щитам!B2399</f>
      </c>
      <c r="C2394" s="20">
        <f>Разбивка_по_щитам!C2399</f>
      </c>
      <c r="D2394" s="20">
        <f>Разбивка_по_щитам!F2399</f>
      </c>
      <c r="E2394" s="20">
        <f>Разбивка_по_щитам!H2399</f>
      </c>
      <c r="F2394" s="20">
        <f>Разбивка_по_щитам!I2399</f>
      </c>
      <c r="G2394" s="20">
        <f>Разбивка_по_щитам!J2399</f>
      </c>
      <c r="H2394" s="20">
        <f>Разбивка_по_щитам!K2399</f>
      </c>
      <c r="I2394" s="20">
        <f>Разбивка_по_щитам!L2399</f>
      </c>
      <c r="J2394" s="20">
        <f>Разбивка_по_щитам!M2399</f>
      </c>
      <c r="K2394" s="20">
        <f>Разбивка_по_щитам!N2399</f>
      </c>
      <c r="L2394" s="20"/>
      <c r="M2394" s="20">
        <f>Разбивка_по_щитам!P2399</f>
      </c>
      <c r="N2394" s="20"/>
    </row>
    <row r="2395" spans="2:14" x14ac:dyDescent="0.25">
      <c r="B2395" s="20">
        <f>Разбивка_по_щитам!B2400</f>
      </c>
      <c r="C2395" s="20">
        <f>Разбивка_по_щитам!C2400</f>
      </c>
      <c r="D2395" s="20">
        <f>Разбивка_по_щитам!F2400</f>
      </c>
      <c r="E2395" s="20">
        <f>Разбивка_по_щитам!H2400</f>
      </c>
      <c r="F2395" s="20">
        <f>Разбивка_по_щитам!I2400</f>
      </c>
      <c r="G2395" s="20">
        <f>Разбивка_по_щитам!J2400</f>
      </c>
      <c r="H2395" s="20">
        <f>Разбивка_по_щитам!K2400</f>
      </c>
      <c r="I2395" s="20">
        <f>Разбивка_по_щитам!L2400</f>
      </c>
      <c r="J2395" s="20">
        <f>Разбивка_по_щитам!M2400</f>
      </c>
      <c r="K2395" s="20">
        <f>Разбивка_по_щитам!N2400</f>
      </c>
      <c r="L2395" s="20"/>
      <c r="M2395" s="20">
        <f>Разбивка_по_щитам!P2400</f>
      </c>
      <c r="N2395" s="20"/>
    </row>
    <row r="2396" spans="2:14" x14ac:dyDescent="0.25">
      <c r="B2396" s="20">
        <f>Разбивка_по_щитам!B2401</f>
      </c>
      <c r="C2396" s="20">
        <f>Разбивка_по_щитам!C2401</f>
      </c>
      <c r="D2396" s="20">
        <f>Разбивка_по_щитам!F2401</f>
      </c>
      <c r="E2396" s="20">
        <f>Разбивка_по_щитам!H2401</f>
      </c>
      <c r="F2396" s="20">
        <f>Разбивка_по_щитам!I2401</f>
      </c>
      <c r="G2396" s="20">
        <f>Разбивка_по_щитам!J2401</f>
      </c>
      <c r="H2396" s="20">
        <f>Разбивка_по_щитам!K2401</f>
      </c>
      <c r="I2396" s="20">
        <f>Разбивка_по_щитам!L2401</f>
      </c>
      <c r="J2396" s="20">
        <f>Разбивка_по_щитам!M2401</f>
      </c>
      <c r="K2396" s="20">
        <f>Разбивка_по_щитам!N2401</f>
      </c>
      <c r="L2396" s="20"/>
      <c r="M2396" s="20">
        <f>Разбивка_по_щитам!P2401</f>
      </c>
      <c r="N2396" s="20"/>
    </row>
    <row r="2397" spans="2:14" x14ac:dyDescent="0.25">
      <c r="B2397" s="20">
        <f>Разбивка_по_щитам!B2402</f>
      </c>
      <c r="C2397" s="20">
        <f>Разбивка_по_щитам!C2402</f>
      </c>
      <c r="D2397" s="20">
        <f>Разбивка_по_щитам!F2402</f>
      </c>
      <c r="E2397" s="20">
        <f>Разбивка_по_щитам!H2402</f>
      </c>
      <c r="F2397" s="20">
        <f>Разбивка_по_щитам!I2402</f>
      </c>
      <c r="G2397" s="20">
        <f>Разбивка_по_щитам!J2402</f>
      </c>
      <c r="H2397" s="20">
        <f>Разбивка_по_щитам!K2402</f>
      </c>
      <c r="I2397" s="20">
        <f>Разбивка_по_щитам!L2402</f>
      </c>
      <c r="J2397" s="20">
        <f>Разбивка_по_щитам!M2402</f>
      </c>
      <c r="K2397" s="20">
        <f>Разбивка_по_щитам!N2402</f>
      </c>
      <c r="L2397" s="20"/>
      <c r="M2397" s="20">
        <f>Разбивка_по_щитам!P2402</f>
      </c>
      <c r="N2397" s="20"/>
    </row>
    <row r="2398" spans="2:14" x14ac:dyDescent="0.25">
      <c r="B2398" s="20">
        <f>Разбивка_по_щитам!B2403</f>
      </c>
      <c r="C2398" s="20">
        <f>Разбивка_по_щитам!C2403</f>
      </c>
      <c r="D2398" s="20">
        <f>Разбивка_по_щитам!F2403</f>
      </c>
      <c r="E2398" s="20">
        <f>Разбивка_по_щитам!H2403</f>
      </c>
      <c r="F2398" s="20">
        <f>Разбивка_по_щитам!I2403</f>
      </c>
      <c r="G2398" s="20">
        <f>Разбивка_по_щитам!J2403</f>
      </c>
      <c r="H2398" s="20">
        <f>Разбивка_по_щитам!K2403</f>
      </c>
      <c r="I2398" s="20">
        <f>Разбивка_по_щитам!L2403</f>
      </c>
      <c r="J2398" s="20">
        <f>Разбивка_по_щитам!M2403</f>
      </c>
      <c r="K2398" s="20">
        <f>Разбивка_по_щитам!N2403</f>
      </c>
      <c r="L2398" s="20"/>
      <c r="M2398" s="20">
        <f>Разбивка_по_щитам!P2403</f>
      </c>
      <c r="N2398" s="20"/>
    </row>
    <row r="2399" spans="2:14" x14ac:dyDescent="0.25">
      <c r="B2399" s="20">
        <f>Разбивка_по_щитам!B2404</f>
      </c>
      <c r="C2399" s="20">
        <f>Разбивка_по_щитам!C2404</f>
      </c>
      <c r="D2399" s="20">
        <f>Разбивка_по_щитам!F2404</f>
      </c>
      <c r="E2399" s="20">
        <f>Разбивка_по_щитам!H2404</f>
      </c>
      <c r="F2399" s="20">
        <f>Разбивка_по_щитам!I2404</f>
      </c>
      <c r="G2399" s="20">
        <f>Разбивка_по_щитам!J2404</f>
      </c>
      <c r="H2399" s="20">
        <f>Разбивка_по_щитам!K2404</f>
      </c>
      <c r="I2399" s="20">
        <f>Разбивка_по_щитам!L2404</f>
      </c>
      <c r="J2399" s="20">
        <f>Разбивка_по_щитам!M2404</f>
      </c>
      <c r="K2399" s="20">
        <f>Разбивка_по_щитам!N2404</f>
      </c>
      <c r="L2399" s="20"/>
      <c r="M2399" s="20">
        <f>Разбивка_по_щитам!P2404</f>
      </c>
      <c r="N2399" s="20"/>
    </row>
    <row r="2400" spans="2:14" x14ac:dyDescent="0.25">
      <c r="B2400" s="20">
        <f>Разбивка_по_щитам!B2405</f>
      </c>
      <c r="C2400" s="20">
        <f>Разбивка_по_щитам!C2405</f>
      </c>
      <c r="D2400" s="20">
        <f>Разбивка_по_щитам!F2405</f>
      </c>
      <c r="E2400" s="20">
        <f>Разбивка_по_щитам!H2405</f>
      </c>
      <c r="F2400" s="20">
        <f>Разбивка_по_щитам!I2405</f>
      </c>
      <c r="G2400" s="20">
        <f>Разбивка_по_щитам!J2405</f>
      </c>
      <c r="H2400" s="20">
        <f>Разбивка_по_щитам!K2405</f>
      </c>
      <c r="I2400" s="20">
        <f>Разбивка_по_щитам!L2405</f>
      </c>
      <c r="J2400" s="20">
        <f>Разбивка_по_щитам!M2405</f>
      </c>
      <c r="K2400" s="20">
        <f>Разбивка_по_щитам!N2405</f>
      </c>
      <c r="L2400" s="20"/>
      <c r="M2400" s="20">
        <f>Разбивка_по_щитам!P2405</f>
      </c>
      <c r="N2400" s="20"/>
    </row>
    <row r="2401" spans="2:14" x14ac:dyDescent="0.25">
      <c r="B2401" s="20">
        <f>Разбивка_по_щитам!B2406</f>
      </c>
      <c r="C2401" s="20">
        <f>Разбивка_по_щитам!C2406</f>
      </c>
      <c r="D2401" s="20">
        <f>Разбивка_по_щитам!F2406</f>
      </c>
      <c r="E2401" s="20">
        <f>Разбивка_по_щитам!H2406</f>
      </c>
      <c r="F2401" s="20">
        <f>Разбивка_по_щитам!I2406</f>
      </c>
      <c r="G2401" s="20">
        <f>Разбивка_по_щитам!J2406</f>
      </c>
      <c r="H2401" s="20">
        <f>Разбивка_по_щитам!K2406</f>
      </c>
      <c r="I2401" s="20">
        <f>Разбивка_по_щитам!L2406</f>
      </c>
      <c r="J2401" s="20">
        <f>Разбивка_по_щитам!M2406</f>
      </c>
      <c r="K2401" s="20">
        <f>Разбивка_по_щитам!N2406</f>
      </c>
      <c r="L2401" s="20"/>
      <c r="M2401" s="20">
        <f>Разбивка_по_щитам!P2406</f>
      </c>
      <c r="N2401" s="20"/>
    </row>
    <row r="2402" spans="2:14" x14ac:dyDescent="0.25">
      <c r="B2402" s="20">
        <f>Разбивка_по_щитам!B2407</f>
      </c>
      <c r="C2402" s="20">
        <f>Разбивка_по_щитам!C2407</f>
      </c>
      <c r="D2402" s="20">
        <f>Разбивка_по_щитам!F2407</f>
      </c>
      <c r="E2402" s="20">
        <f>Разбивка_по_щитам!H2407</f>
      </c>
      <c r="F2402" s="20">
        <f>Разбивка_по_щитам!I2407</f>
      </c>
      <c r="G2402" s="20">
        <f>Разбивка_по_щитам!J2407</f>
      </c>
      <c r="H2402" s="20">
        <f>Разбивка_по_щитам!K2407</f>
      </c>
      <c r="I2402" s="20">
        <f>Разбивка_по_щитам!L2407</f>
      </c>
      <c r="J2402" s="20">
        <f>Разбивка_по_щитам!M2407</f>
      </c>
      <c r="K2402" s="20">
        <f>Разбивка_по_щитам!N2407</f>
      </c>
      <c r="L2402" s="20"/>
      <c r="M2402" s="20">
        <f>Разбивка_по_щитам!P2407</f>
      </c>
      <c r="N2402" s="20"/>
    </row>
    <row r="2403" spans="2:14" x14ac:dyDescent="0.25">
      <c r="B2403" s="20">
        <f>Разбивка_по_щитам!B2408</f>
      </c>
      <c r="C2403" s="20">
        <f>Разбивка_по_щитам!C2408</f>
      </c>
      <c r="D2403" s="20">
        <f>Разбивка_по_щитам!F2408</f>
      </c>
      <c r="E2403" s="20">
        <f>Разбивка_по_щитам!H2408</f>
      </c>
      <c r="F2403" s="20">
        <f>Разбивка_по_щитам!I2408</f>
      </c>
      <c r="G2403" s="20">
        <f>Разбивка_по_щитам!J2408</f>
      </c>
      <c r="H2403" s="20">
        <f>Разбивка_по_щитам!K2408</f>
      </c>
      <c r="I2403" s="20">
        <f>Разбивка_по_щитам!L2408</f>
      </c>
      <c r="J2403" s="20">
        <f>Разбивка_по_щитам!M2408</f>
      </c>
      <c r="K2403" s="20">
        <f>Разбивка_по_щитам!N2408</f>
      </c>
      <c r="L2403" s="20"/>
      <c r="M2403" s="20">
        <f>Разбивка_по_щитам!P2408</f>
      </c>
      <c r="N2403" s="20"/>
    </row>
    <row r="2404" spans="2:14" x14ac:dyDescent="0.25">
      <c r="B2404" s="20">
        <f>Разбивка_по_щитам!B2409</f>
      </c>
      <c r="C2404" s="20">
        <f>Разбивка_по_щитам!C2409</f>
      </c>
      <c r="D2404" s="20">
        <f>Разбивка_по_щитам!F2409</f>
      </c>
      <c r="E2404" s="20">
        <f>Разбивка_по_щитам!H2409</f>
      </c>
      <c r="F2404" s="20">
        <f>Разбивка_по_щитам!I2409</f>
      </c>
      <c r="G2404" s="20">
        <f>Разбивка_по_щитам!J2409</f>
      </c>
      <c r="H2404" s="20">
        <f>Разбивка_по_щитам!K2409</f>
      </c>
      <c r="I2404" s="20">
        <f>Разбивка_по_щитам!L2409</f>
      </c>
      <c r="J2404" s="20">
        <f>Разбивка_по_щитам!M2409</f>
      </c>
      <c r="K2404" s="20">
        <f>Разбивка_по_щитам!N2409</f>
      </c>
      <c r="L2404" s="20"/>
      <c r="M2404" s="20">
        <f>Разбивка_по_щитам!P2409</f>
      </c>
      <c r="N2404" s="20"/>
    </row>
    <row r="2405" spans="2:14" x14ac:dyDescent="0.25">
      <c r="B2405" s="20">
        <f>Разбивка_по_щитам!B2410</f>
      </c>
      <c r="C2405" s="20">
        <f>Разбивка_по_щитам!C2410</f>
      </c>
      <c r="D2405" s="20">
        <f>Разбивка_по_щитам!F2410</f>
      </c>
      <c r="E2405" s="20">
        <f>Разбивка_по_щитам!H2410</f>
      </c>
      <c r="F2405" s="20">
        <f>Разбивка_по_щитам!I2410</f>
      </c>
      <c r="G2405" s="20">
        <f>Разбивка_по_щитам!J2410</f>
      </c>
      <c r="H2405" s="20">
        <f>Разбивка_по_щитам!K2410</f>
      </c>
      <c r="I2405" s="20">
        <f>Разбивка_по_щитам!L2410</f>
      </c>
      <c r="J2405" s="20">
        <f>Разбивка_по_щитам!M2410</f>
      </c>
      <c r="K2405" s="20">
        <f>Разбивка_по_щитам!N2410</f>
      </c>
      <c r="L2405" s="20"/>
      <c r="M2405" s="20">
        <f>Разбивка_по_щитам!P2410</f>
      </c>
      <c r="N2405" s="20"/>
    </row>
    <row r="2406" spans="2:14" x14ac:dyDescent="0.25">
      <c r="B2406" s="20">
        <f>Разбивка_по_щитам!B2411</f>
      </c>
      <c r="C2406" s="20">
        <f>Разбивка_по_щитам!C2411</f>
      </c>
      <c r="D2406" s="20">
        <f>Разбивка_по_щитам!F2411</f>
      </c>
      <c r="E2406" s="20">
        <f>Разбивка_по_щитам!H2411</f>
      </c>
      <c r="F2406" s="20">
        <f>Разбивка_по_щитам!I2411</f>
      </c>
      <c r="G2406" s="20">
        <f>Разбивка_по_щитам!J2411</f>
      </c>
      <c r="H2406" s="20">
        <f>Разбивка_по_щитам!K2411</f>
      </c>
      <c r="I2406" s="20">
        <f>Разбивка_по_щитам!L2411</f>
      </c>
      <c r="J2406" s="20">
        <f>Разбивка_по_щитам!M2411</f>
      </c>
      <c r="K2406" s="20">
        <f>Разбивка_по_щитам!N2411</f>
      </c>
      <c r="L2406" s="20"/>
      <c r="M2406" s="20">
        <f>Разбивка_по_щитам!P2411</f>
      </c>
      <c r="N2406" s="20"/>
    </row>
    <row r="2407" spans="2:14" x14ac:dyDescent="0.25">
      <c r="B2407" s="20">
        <f>Разбивка_по_щитам!B2412</f>
      </c>
      <c r="C2407" s="20">
        <f>Разбивка_по_щитам!C2412</f>
      </c>
      <c r="D2407" s="20">
        <f>Разбивка_по_щитам!F2412</f>
      </c>
      <c r="E2407" s="20">
        <f>Разбивка_по_щитам!H2412</f>
      </c>
      <c r="F2407" s="20">
        <f>Разбивка_по_щитам!I2412</f>
      </c>
      <c r="G2407" s="20">
        <f>Разбивка_по_щитам!J2412</f>
      </c>
      <c r="H2407" s="20">
        <f>Разбивка_по_щитам!K2412</f>
      </c>
      <c r="I2407" s="20">
        <f>Разбивка_по_щитам!L2412</f>
      </c>
      <c r="J2407" s="20">
        <f>Разбивка_по_щитам!M2412</f>
      </c>
      <c r="K2407" s="20">
        <f>Разбивка_по_щитам!N2412</f>
      </c>
      <c r="L2407" s="20"/>
      <c r="M2407" s="20">
        <f>Разбивка_по_щитам!P2412</f>
      </c>
      <c r="N2407" s="20"/>
    </row>
    <row r="2408" spans="2:14" x14ac:dyDescent="0.25">
      <c r="B2408" s="20">
        <f>Разбивка_по_щитам!B2413</f>
      </c>
      <c r="C2408" s="20">
        <f>Разбивка_по_щитам!C2413</f>
      </c>
      <c r="D2408" s="20">
        <f>Разбивка_по_щитам!F2413</f>
      </c>
      <c r="E2408" s="20">
        <f>Разбивка_по_щитам!H2413</f>
      </c>
      <c r="F2408" s="20">
        <f>Разбивка_по_щитам!I2413</f>
      </c>
      <c r="G2408" s="20">
        <f>Разбивка_по_щитам!J2413</f>
      </c>
      <c r="H2408" s="20">
        <f>Разбивка_по_щитам!K2413</f>
      </c>
      <c r="I2408" s="20">
        <f>Разбивка_по_щитам!L2413</f>
      </c>
      <c r="J2408" s="20">
        <f>Разбивка_по_щитам!M2413</f>
      </c>
      <c r="K2408" s="20">
        <f>Разбивка_по_щитам!N2413</f>
      </c>
      <c r="L2408" s="20"/>
      <c r="M2408" s="20">
        <f>Разбивка_по_щитам!P2413</f>
      </c>
      <c r="N2408" s="20"/>
    </row>
    <row r="2409" spans="2:14" x14ac:dyDescent="0.25">
      <c r="B2409" s="20">
        <f>Разбивка_по_щитам!B2414</f>
      </c>
      <c r="C2409" s="20">
        <f>Разбивка_по_щитам!C2414</f>
      </c>
      <c r="D2409" s="20">
        <f>Разбивка_по_щитам!F2414</f>
      </c>
      <c r="E2409" s="20">
        <f>Разбивка_по_щитам!H2414</f>
      </c>
      <c r="F2409" s="20">
        <f>Разбивка_по_щитам!I2414</f>
      </c>
      <c r="G2409" s="20">
        <f>Разбивка_по_щитам!J2414</f>
      </c>
      <c r="H2409" s="20">
        <f>Разбивка_по_щитам!K2414</f>
      </c>
      <c r="I2409" s="20">
        <f>Разбивка_по_щитам!L2414</f>
      </c>
      <c r="J2409" s="20">
        <f>Разбивка_по_щитам!M2414</f>
      </c>
      <c r="K2409" s="20">
        <f>Разбивка_по_щитам!N2414</f>
      </c>
      <c r="L2409" s="20"/>
      <c r="M2409" s="20">
        <f>Разбивка_по_щитам!P2414</f>
      </c>
      <c r="N2409" s="20"/>
    </row>
    <row r="2410" spans="2:14" x14ac:dyDescent="0.25">
      <c r="B2410" s="20">
        <f>Разбивка_по_щитам!B2415</f>
      </c>
      <c r="C2410" s="20">
        <f>Разбивка_по_щитам!C2415</f>
      </c>
      <c r="D2410" s="20">
        <f>Разбивка_по_щитам!F2415</f>
      </c>
      <c r="E2410" s="20">
        <f>Разбивка_по_щитам!H2415</f>
      </c>
      <c r="F2410" s="20">
        <f>Разбивка_по_щитам!I2415</f>
      </c>
      <c r="G2410" s="20">
        <f>Разбивка_по_щитам!J2415</f>
      </c>
      <c r="H2410" s="20">
        <f>Разбивка_по_щитам!K2415</f>
      </c>
      <c r="I2410" s="20">
        <f>Разбивка_по_щитам!L2415</f>
      </c>
      <c r="J2410" s="20">
        <f>Разбивка_по_щитам!M2415</f>
      </c>
      <c r="K2410" s="20">
        <f>Разбивка_по_щитам!N2415</f>
      </c>
      <c r="L2410" s="20"/>
      <c r="M2410" s="20">
        <f>Разбивка_по_щитам!P2415</f>
      </c>
      <c r="N2410" s="20"/>
    </row>
    <row r="2411" spans="2:14" x14ac:dyDescent="0.25">
      <c r="B2411" s="20">
        <f>Разбивка_по_щитам!B2416</f>
      </c>
      <c r="C2411" s="20">
        <f>Разбивка_по_щитам!C2416</f>
      </c>
      <c r="D2411" s="20">
        <f>Разбивка_по_щитам!F2416</f>
      </c>
      <c r="E2411" s="20">
        <f>Разбивка_по_щитам!H2416</f>
      </c>
      <c r="F2411" s="20">
        <f>Разбивка_по_щитам!I2416</f>
      </c>
      <c r="G2411" s="20">
        <f>Разбивка_по_щитам!J2416</f>
      </c>
      <c r="H2411" s="20">
        <f>Разбивка_по_щитам!K2416</f>
      </c>
      <c r="I2411" s="20">
        <f>Разбивка_по_щитам!L2416</f>
      </c>
      <c r="J2411" s="20">
        <f>Разбивка_по_щитам!M2416</f>
      </c>
      <c r="K2411" s="20">
        <f>Разбивка_по_щитам!N2416</f>
      </c>
      <c r="L2411" s="20"/>
      <c r="M2411" s="20">
        <f>Разбивка_по_щитам!P2416</f>
      </c>
      <c r="N2411" s="20"/>
    </row>
    <row r="2412" spans="2:14" x14ac:dyDescent="0.25">
      <c r="B2412" s="20">
        <f>Разбивка_по_щитам!B2417</f>
      </c>
      <c r="C2412" s="20">
        <f>Разбивка_по_щитам!C2417</f>
      </c>
      <c r="D2412" s="20">
        <f>Разбивка_по_щитам!F2417</f>
      </c>
      <c r="E2412" s="20">
        <f>Разбивка_по_щитам!H2417</f>
      </c>
      <c r="F2412" s="20">
        <f>Разбивка_по_щитам!I2417</f>
      </c>
      <c r="G2412" s="20">
        <f>Разбивка_по_щитам!J2417</f>
      </c>
      <c r="H2412" s="20">
        <f>Разбивка_по_щитам!K2417</f>
      </c>
      <c r="I2412" s="20">
        <f>Разбивка_по_щитам!L2417</f>
      </c>
      <c r="J2412" s="20">
        <f>Разбивка_по_щитам!M2417</f>
      </c>
      <c r="K2412" s="20">
        <f>Разбивка_по_щитам!N2417</f>
      </c>
      <c r="L2412" s="20"/>
      <c r="M2412" s="20">
        <f>Разбивка_по_щитам!P2417</f>
      </c>
      <c r="N2412" s="20"/>
    </row>
    <row r="2413" spans="2:14" x14ac:dyDescent="0.25">
      <c r="B2413" s="20">
        <f>Разбивка_по_щитам!B2418</f>
      </c>
      <c r="C2413" s="20">
        <f>Разбивка_по_щитам!C2418</f>
      </c>
      <c r="D2413" s="20">
        <f>Разбивка_по_щитам!F2418</f>
      </c>
      <c r="E2413" s="20">
        <f>Разбивка_по_щитам!H2418</f>
      </c>
      <c r="F2413" s="20">
        <f>Разбивка_по_щитам!I2418</f>
      </c>
      <c r="G2413" s="20">
        <f>Разбивка_по_щитам!J2418</f>
      </c>
      <c r="H2413" s="20">
        <f>Разбивка_по_щитам!K2418</f>
      </c>
      <c r="I2413" s="20">
        <f>Разбивка_по_щитам!L2418</f>
      </c>
      <c r="J2413" s="20">
        <f>Разбивка_по_щитам!M2418</f>
      </c>
      <c r="K2413" s="20">
        <f>Разбивка_по_щитам!N2418</f>
      </c>
      <c r="L2413" s="20"/>
      <c r="M2413" s="20">
        <f>Разбивка_по_щитам!P2418</f>
      </c>
      <c r="N2413" s="20"/>
    </row>
    <row r="2414" spans="2:14" x14ac:dyDescent="0.25">
      <c r="B2414" s="20">
        <f>Разбивка_по_щитам!B2419</f>
      </c>
      <c r="C2414" s="20">
        <f>Разбивка_по_щитам!C2419</f>
      </c>
      <c r="D2414" s="20">
        <f>Разбивка_по_щитам!F2419</f>
      </c>
      <c r="E2414" s="20">
        <f>Разбивка_по_щитам!H2419</f>
      </c>
      <c r="F2414" s="20">
        <f>Разбивка_по_щитам!I2419</f>
      </c>
      <c r="G2414" s="20">
        <f>Разбивка_по_щитам!J2419</f>
      </c>
      <c r="H2414" s="20">
        <f>Разбивка_по_щитам!K2419</f>
      </c>
      <c r="I2414" s="20">
        <f>Разбивка_по_щитам!L2419</f>
      </c>
      <c r="J2414" s="20">
        <f>Разбивка_по_щитам!M2419</f>
      </c>
      <c r="K2414" s="20">
        <f>Разбивка_по_щитам!N2419</f>
      </c>
      <c r="L2414" s="20"/>
      <c r="M2414" s="20">
        <f>Разбивка_по_щитам!P2419</f>
      </c>
      <c r="N2414" s="20"/>
    </row>
    <row r="2415" spans="2:14" x14ac:dyDescent="0.25">
      <c r="B2415" s="20">
        <f>Разбивка_по_щитам!B2420</f>
      </c>
      <c r="C2415" s="20">
        <f>Разбивка_по_щитам!C2420</f>
      </c>
      <c r="D2415" s="20">
        <f>Разбивка_по_щитам!F2420</f>
      </c>
      <c r="E2415" s="20">
        <f>Разбивка_по_щитам!H2420</f>
      </c>
      <c r="F2415" s="20">
        <f>Разбивка_по_щитам!I2420</f>
      </c>
      <c r="G2415" s="20">
        <f>Разбивка_по_щитам!J2420</f>
      </c>
      <c r="H2415" s="20">
        <f>Разбивка_по_щитам!K2420</f>
      </c>
      <c r="I2415" s="20">
        <f>Разбивка_по_щитам!L2420</f>
      </c>
      <c r="J2415" s="20">
        <f>Разбивка_по_щитам!M2420</f>
      </c>
      <c r="K2415" s="20">
        <f>Разбивка_по_щитам!N2420</f>
      </c>
      <c r="L2415" s="20"/>
      <c r="M2415" s="20">
        <f>Разбивка_по_щитам!P2420</f>
      </c>
      <c r="N2415" s="20"/>
    </row>
    <row r="2416" spans="2:14" x14ac:dyDescent="0.25">
      <c r="B2416" s="20">
        <f>Разбивка_по_щитам!B2421</f>
      </c>
      <c r="C2416" s="20">
        <f>Разбивка_по_щитам!C2421</f>
      </c>
      <c r="D2416" s="20">
        <f>Разбивка_по_щитам!F2421</f>
      </c>
      <c r="E2416" s="20">
        <f>Разбивка_по_щитам!H2421</f>
      </c>
      <c r="F2416" s="20">
        <f>Разбивка_по_щитам!I2421</f>
      </c>
      <c r="G2416" s="20">
        <f>Разбивка_по_щитам!J2421</f>
      </c>
      <c r="H2416" s="20">
        <f>Разбивка_по_щитам!K2421</f>
      </c>
      <c r="I2416" s="20">
        <f>Разбивка_по_щитам!L2421</f>
      </c>
      <c r="J2416" s="20">
        <f>Разбивка_по_щитам!M2421</f>
      </c>
      <c r="K2416" s="20">
        <f>Разбивка_по_щитам!N2421</f>
      </c>
      <c r="L2416" s="20"/>
      <c r="M2416" s="20">
        <f>Разбивка_по_щитам!P2421</f>
      </c>
      <c r="N2416" s="20"/>
    </row>
    <row r="2417" spans="2:14" x14ac:dyDescent="0.25">
      <c r="B2417" s="20">
        <f>Разбивка_по_щитам!B2422</f>
      </c>
      <c r="C2417" s="20">
        <f>Разбивка_по_щитам!C2422</f>
      </c>
      <c r="D2417" s="20">
        <f>Разбивка_по_щитам!F2422</f>
      </c>
      <c r="E2417" s="20">
        <f>Разбивка_по_щитам!H2422</f>
      </c>
      <c r="F2417" s="20">
        <f>Разбивка_по_щитам!I2422</f>
      </c>
      <c r="G2417" s="20">
        <f>Разбивка_по_щитам!J2422</f>
      </c>
      <c r="H2417" s="20">
        <f>Разбивка_по_щитам!K2422</f>
      </c>
      <c r="I2417" s="20">
        <f>Разбивка_по_щитам!L2422</f>
      </c>
      <c r="J2417" s="20">
        <f>Разбивка_по_щитам!M2422</f>
      </c>
      <c r="K2417" s="20">
        <f>Разбивка_по_щитам!N2422</f>
      </c>
      <c r="L2417" s="20"/>
      <c r="M2417" s="20">
        <f>Разбивка_по_щитам!P2422</f>
      </c>
      <c r="N2417" s="20"/>
    </row>
    <row r="2418" spans="2:14" x14ac:dyDescent="0.25">
      <c r="B2418" s="20">
        <f>Разбивка_по_щитам!B2423</f>
      </c>
      <c r="C2418" s="20">
        <f>Разбивка_по_щитам!C2423</f>
      </c>
      <c r="D2418" s="20">
        <f>Разбивка_по_щитам!F2423</f>
      </c>
      <c r="E2418" s="20">
        <f>Разбивка_по_щитам!H2423</f>
      </c>
      <c r="F2418" s="20">
        <f>Разбивка_по_щитам!I2423</f>
      </c>
      <c r="G2418" s="20">
        <f>Разбивка_по_щитам!J2423</f>
      </c>
      <c r="H2418" s="20">
        <f>Разбивка_по_щитам!K2423</f>
      </c>
      <c r="I2418" s="20">
        <f>Разбивка_по_щитам!L2423</f>
      </c>
      <c r="J2418" s="20">
        <f>Разбивка_по_щитам!M2423</f>
      </c>
      <c r="K2418" s="20">
        <f>Разбивка_по_щитам!N2423</f>
      </c>
      <c r="L2418" s="20"/>
      <c r="M2418" s="20">
        <f>Разбивка_по_щитам!P2423</f>
      </c>
      <c r="N2418" s="20"/>
    </row>
    <row r="2419" spans="2:14" x14ac:dyDescent="0.25">
      <c r="B2419" s="20">
        <f>Разбивка_по_щитам!B2424</f>
      </c>
      <c r="C2419" s="20">
        <f>Разбивка_по_щитам!C2424</f>
      </c>
      <c r="D2419" s="20">
        <f>Разбивка_по_щитам!F2424</f>
      </c>
      <c r="E2419" s="20">
        <f>Разбивка_по_щитам!H2424</f>
      </c>
      <c r="F2419" s="20">
        <f>Разбивка_по_щитам!I2424</f>
      </c>
      <c r="G2419" s="20">
        <f>Разбивка_по_щитам!J2424</f>
      </c>
      <c r="H2419" s="20">
        <f>Разбивка_по_щитам!K2424</f>
      </c>
      <c r="I2419" s="20">
        <f>Разбивка_по_щитам!L2424</f>
      </c>
      <c r="J2419" s="20">
        <f>Разбивка_по_щитам!M2424</f>
      </c>
      <c r="K2419" s="20">
        <f>Разбивка_по_щитам!N2424</f>
      </c>
      <c r="L2419" s="20"/>
      <c r="M2419" s="20">
        <f>Разбивка_по_щитам!P2424</f>
      </c>
      <c r="N2419" s="20"/>
    </row>
    <row r="2420" spans="2:14" x14ac:dyDescent="0.25">
      <c r="B2420" s="20">
        <f>Разбивка_по_щитам!B2425</f>
      </c>
      <c r="C2420" s="20">
        <f>Разбивка_по_щитам!C2425</f>
      </c>
      <c r="D2420" s="20">
        <f>Разбивка_по_щитам!F2425</f>
      </c>
      <c r="E2420" s="20">
        <f>Разбивка_по_щитам!H2425</f>
      </c>
      <c r="F2420" s="20">
        <f>Разбивка_по_щитам!I2425</f>
      </c>
      <c r="G2420" s="20">
        <f>Разбивка_по_щитам!J2425</f>
      </c>
      <c r="H2420" s="20">
        <f>Разбивка_по_щитам!K2425</f>
      </c>
      <c r="I2420" s="20">
        <f>Разбивка_по_щитам!L2425</f>
      </c>
      <c r="J2420" s="20">
        <f>Разбивка_по_щитам!M2425</f>
      </c>
      <c r="K2420" s="20">
        <f>Разбивка_по_щитам!N2425</f>
      </c>
      <c r="L2420" s="20"/>
      <c r="M2420" s="20">
        <f>Разбивка_по_щитам!P2425</f>
      </c>
      <c r="N2420" s="20"/>
    </row>
    <row r="2421" spans="2:14" x14ac:dyDescent="0.25">
      <c r="B2421" s="20">
        <f>Разбивка_по_щитам!B2426</f>
      </c>
      <c r="C2421" s="20">
        <f>Разбивка_по_щитам!C2426</f>
      </c>
      <c r="D2421" s="20">
        <f>Разбивка_по_щитам!F2426</f>
      </c>
      <c r="E2421" s="20">
        <f>Разбивка_по_щитам!H2426</f>
      </c>
      <c r="F2421" s="20">
        <f>Разбивка_по_щитам!I2426</f>
      </c>
      <c r="G2421" s="20">
        <f>Разбивка_по_щитам!J2426</f>
      </c>
      <c r="H2421" s="20">
        <f>Разбивка_по_щитам!K2426</f>
      </c>
      <c r="I2421" s="20">
        <f>Разбивка_по_щитам!L2426</f>
      </c>
      <c r="J2421" s="20">
        <f>Разбивка_по_щитам!M2426</f>
      </c>
      <c r="K2421" s="20">
        <f>Разбивка_по_щитам!N2426</f>
      </c>
      <c r="L2421" s="20"/>
      <c r="M2421" s="20">
        <f>Разбивка_по_щитам!P2426</f>
      </c>
      <c r="N2421" s="20"/>
    </row>
    <row r="2422" spans="2:14" x14ac:dyDescent="0.25">
      <c r="B2422" s="20">
        <f>Разбивка_по_щитам!B2427</f>
      </c>
      <c r="C2422" s="20">
        <f>Разбивка_по_щитам!C2427</f>
      </c>
      <c r="D2422" s="20">
        <f>Разбивка_по_щитам!F2427</f>
      </c>
      <c r="E2422" s="20">
        <f>Разбивка_по_щитам!H2427</f>
      </c>
      <c r="F2422" s="20">
        <f>Разбивка_по_щитам!I2427</f>
      </c>
      <c r="G2422" s="20">
        <f>Разбивка_по_щитам!J2427</f>
      </c>
      <c r="H2422" s="20">
        <f>Разбивка_по_щитам!K2427</f>
      </c>
      <c r="I2422" s="20">
        <f>Разбивка_по_щитам!L2427</f>
      </c>
      <c r="J2422" s="20">
        <f>Разбивка_по_щитам!M2427</f>
      </c>
      <c r="K2422" s="20">
        <f>Разбивка_по_щитам!N2427</f>
      </c>
      <c r="L2422" s="20"/>
      <c r="M2422" s="20">
        <f>Разбивка_по_щитам!P2427</f>
      </c>
      <c r="N2422" s="20"/>
    </row>
    <row r="2423" spans="2:14" x14ac:dyDescent="0.25">
      <c r="B2423" s="20">
        <f>Разбивка_по_щитам!B2428</f>
      </c>
      <c r="C2423" s="20">
        <f>Разбивка_по_щитам!C2428</f>
      </c>
      <c r="D2423" s="20">
        <f>Разбивка_по_щитам!F2428</f>
      </c>
      <c r="E2423" s="20">
        <f>Разбивка_по_щитам!H2428</f>
      </c>
      <c r="F2423" s="20">
        <f>Разбивка_по_щитам!I2428</f>
      </c>
      <c r="G2423" s="20">
        <f>Разбивка_по_щитам!J2428</f>
      </c>
      <c r="H2423" s="20">
        <f>Разбивка_по_щитам!K2428</f>
      </c>
      <c r="I2423" s="20">
        <f>Разбивка_по_щитам!L2428</f>
      </c>
      <c r="J2423" s="20">
        <f>Разбивка_по_щитам!M2428</f>
      </c>
      <c r="K2423" s="20">
        <f>Разбивка_по_щитам!N2428</f>
      </c>
      <c r="L2423" s="20"/>
      <c r="M2423" s="20">
        <f>Разбивка_по_щитам!P2428</f>
      </c>
      <c r="N2423" s="20"/>
    </row>
    <row r="2424" spans="2:14" x14ac:dyDescent="0.25">
      <c r="B2424" s="20">
        <f>Разбивка_по_щитам!B2429</f>
      </c>
      <c r="C2424" s="20">
        <f>Разбивка_по_щитам!C2429</f>
      </c>
      <c r="D2424" s="20">
        <f>Разбивка_по_щитам!F2429</f>
      </c>
      <c r="E2424" s="20">
        <f>Разбивка_по_щитам!H2429</f>
      </c>
      <c r="F2424" s="20">
        <f>Разбивка_по_щитам!I2429</f>
      </c>
      <c r="G2424" s="20">
        <f>Разбивка_по_щитам!J2429</f>
      </c>
      <c r="H2424" s="20">
        <f>Разбивка_по_щитам!K2429</f>
      </c>
      <c r="I2424" s="20">
        <f>Разбивка_по_щитам!L2429</f>
      </c>
      <c r="J2424" s="20">
        <f>Разбивка_по_щитам!M2429</f>
      </c>
      <c r="K2424" s="20">
        <f>Разбивка_по_щитам!N2429</f>
      </c>
      <c r="L2424" s="20"/>
      <c r="M2424" s="20">
        <f>Разбивка_по_щитам!P2429</f>
      </c>
      <c r="N2424" s="20"/>
    </row>
    <row r="2425" spans="2:14" x14ac:dyDescent="0.25">
      <c r="B2425" s="20">
        <f>Разбивка_по_щитам!B2430</f>
      </c>
      <c r="C2425" s="20">
        <f>Разбивка_по_щитам!C2430</f>
      </c>
      <c r="D2425" s="20">
        <f>Разбивка_по_щитам!F2430</f>
      </c>
      <c r="E2425" s="20">
        <f>Разбивка_по_щитам!H2430</f>
      </c>
      <c r="F2425" s="20">
        <f>Разбивка_по_щитам!I2430</f>
      </c>
      <c r="G2425" s="20">
        <f>Разбивка_по_щитам!J2430</f>
      </c>
      <c r="H2425" s="20">
        <f>Разбивка_по_щитам!K2430</f>
      </c>
      <c r="I2425" s="20">
        <f>Разбивка_по_щитам!L2430</f>
      </c>
      <c r="J2425" s="20">
        <f>Разбивка_по_щитам!M2430</f>
      </c>
      <c r="K2425" s="20">
        <f>Разбивка_по_щитам!N2430</f>
      </c>
      <c r="L2425" s="20"/>
      <c r="M2425" s="20">
        <f>Разбивка_по_щитам!P2430</f>
      </c>
      <c r="N2425" s="20"/>
    </row>
    <row r="2426" spans="2:14" x14ac:dyDescent="0.25">
      <c r="B2426" s="20">
        <f>Разбивка_по_щитам!B2431</f>
      </c>
      <c r="C2426" s="20">
        <f>Разбивка_по_щитам!C2431</f>
      </c>
      <c r="D2426" s="20">
        <f>Разбивка_по_щитам!F2431</f>
      </c>
      <c r="E2426" s="20">
        <f>Разбивка_по_щитам!H2431</f>
      </c>
      <c r="F2426" s="20">
        <f>Разбивка_по_щитам!I2431</f>
      </c>
      <c r="G2426" s="20">
        <f>Разбивка_по_щитам!J2431</f>
      </c>
      <c r="H2426" s="20">
        <f>Разбивка_по_щитам!K2431</f>
      </c>
      <c r="I2426" s="20">
        <f>Разбивка_по_щитам!L2431</f>
      </c>
      <c r="J2426" s="20">
        <f>Разбивка_по_щитам!M2431</f>
      </c>
      <c r="K2426" s="20">
        <f>Разбивка_по_щитам!N2431</f>
      </c>
      <c r="L2426" s="20"/>
      <c r="M2426" s="20">
        <f>Разбивка_по_щитам!P2431</f>
      </c>
      <c r="N2426" s="20"/>
    </row>
    <row r="2427" spans="2:14" x14ac:dyDescent="0.25">
      <c r="B2427" s="20">
        <f>Разбивка_по_щитам!B2432</f>
      </c>
      <c r="C2427" s="20">
        <f>Разбивка_по_щитам!C2432</f>
      </c>
      <c r="D2427" s="20">
        <f>Разбивка_по_щитам!F2432</f>
      </c>
      <c r="E2427" s="20">
        <f>Разбивка_по_щитам!H2432</f>
      </c>
      <c r="F2427" s="20">
        <f>Разбивка_по_щитам!I2432</f>
      </c>
      <c r="G2427" s="20">
        <f>Разбивка_по_щитам!J2432</f>
      </c>
      <c r="H2427" s="20">
        <f>Разбивка_по_щитам!K2432</f>
      </c>
      <c r="I2427" s="20">
        <f>Разбивка_по_щитам!L2432</f>
      </c>
      <c r="J2427" s="20">
        <f>Разбивка_по_щитам!M2432</f>
      </c>
      <c r="K2427" s="20">
        <f>Разбивка_по_щитам!N2432</f>
      </c>
      <c r="L2427" s="20"/>
      <c r="M2427" s="20">
        <f>Разбивка_по_щитам!P2432</f>
      </c>
      <c r="N2427" s="20"/>
    </row>
    <row r="2428" spans="2:14" x14ac:dyDescent="0.25">
      <c r="B2428" s="20">
        <f>Разбивка_по_щитам!B2433</f>
      </c>
      <c r="C2428" s="20">
        <f>Разбивка_по_щитам!C2433</f>
      </c>
      <c r="D2428" s="20">
        <f>Разбивка_по_щитам!F2433</f>
      </c>
      <c r="E2428" s="20">
        <f>Разбивка_по_щитам!H2433</f>
      </c>
      <c r="F2428" s="20">
        <f>Разбивка_по_щитам!I2433</f>
      </c>
      <c r="G2428" s="20">
        <f>Разбивка_по_щитам!J2433</f>
      </c>
      <c r="H2428" s="20">
        <f>Разбивка_по_щитам!K2433</f>
      </c>
      <c r="I2428" s="20">
        <f>Разбивка_по_щитам!L2433</f>
      </c>
      <c r="J2428" s="20">
        <f>Разбивка_по_щитам!M2433</f>
      </c>
      <c r="K2428" s="20">
        <f>Разбивка_по_щитам!N2433</f>
      </c>
      <c r="L2428" s="20"/>
      <c r="M2428" s="20">
        <f>Разбивка_по_щитам!P2433</f>
      </c>
      <c r="N2428" s="20"/>
    </row>
    <row r="2429" spans="2:14" x14ac:dyDescent="0.25">
      <c r="B2429" s="20">
        <f>Разбивка_по_щитам!B2434</f>
      </c>
      <c r="C2429" s="20">
        <f>Разбивка_по_щитам!C2434</f>
      </c>
      <c r="D2429" s="20">
        <f>Разбивка_по_щитам!F2434</f>
      </c>
      <c r="E2429" s="20">
        <f>Разбивка_по_щитам!H2434</f>
      </c>
      <c r="F2429" s="20">
        <f>Разбивка_по_щитам!I2434</f>
      </c>
      <c r="G2429" s="20">
        <f>Разбивка_по_щитам!J2434</f>
      </c>
      <c r="H2429" s="20">
        <f>Разбивка_по_щитам!K2434</f>
      </c>
      <c r="I2429" s="20">
        <f>Разбивка_по_щитам!L2434</f>
      </c>
      <c r="J2429" s="20">
        <f>Разбивка_по_щитам!M2434</f>
      </c>
      <c r="K2429" s="20">
        <f>Разбивка_по_щитам!N2434</f>
      </c>
      <c r="L2429" s="20"/>
      <c r="M2429" s="20">
        <f>Разбивка_по_щитам!P2434</f>
      </c>
      <c r="N2429" s="20"/>
    </row>
    <row r="2430" spans="2:14" x14ac:dyDescent="0.25">
      <c r="B2430" s="20">
        <f>Разбивка_по_щитам!B2435</f>
      </c>
      <c r="C2430" s="20">
        <f>Разбивка_по_щитам!C2435</f>
      </c>
      <c r="D2430" s="20">
        <f>Разбивка_по_щитам!F2435</f>
      </c>
      <c r="E2430" s="20">
        <f>Разбивка_по_щитам!H2435</f>
      </c>
      <c r="F2430" s="20">
        <f>Разбивка_по_щитам!I2435</f>
      </c>
      <c r="G2430" s="20">
        <f>Разбивка_по_щитам!J2435</f>
      </c>
      <c r="H2430" s="20">
        <f>Разбивка_по_щитам!K2435</f>
      </c>
      <c r="I2430" s="20">
        <f>Разбивка_по_щитам!L2435</f>
      </c>
      <c r="J2430" s="20">
        <f>Разбивка_по_щитам!M2435</f>
      </c>
      <c r="K2430" s="20">
        <f>Разбивка_по_щитам!N2435</f>
      </c>
      <c r="L2430" s="20"/>
      <c r="M2430" s="20">
        <f>Разбивка_по_щитам!P2435</f>
      </c>
      <c r="N2430" s="20"/>
    </row>
    <row r="2431" spans="2:14" x14ac:dyDescent="0.25">
      <c r="B2431" s="20">
        <f>Разбивка_по_щитам!B2436</f>
      </c>
      <c r="C2431" s="20">
        <f>Разбивка_по_щитам!C2436</f>
      </c>
      <c r="D2431" s="20">
        <f>Разбивка_по_щитам!F2436</f>
      </c>
      <c r="E2431" s="20">
        <f>Разбивка_по_щитам!H2436</f>
      </c>
      <c r="F2431" s="20">
        <f>Разбивка_по_щитам!I2436</f>
      </c>
      <c r="G2431" s="20">
        <f>Разбивка_по_щитам!J2436</f>
      </c>
      <c r="H2431" s="20">
        <f>Разбивка_по_щитам!K2436</f>
      </c>
      <c r="I2431" s="20">
        <f>Разбивка_по_щитам!L2436</f>
      </c>
      <c r="J2431" s="20">
        <f>Разбивка_по_щитам!M2436</f>
      </c>
      <c r="K2431" s="20">
        <f>Разбивка_по_щитам!N2436</f>
      </c>
      <c r="L2431" s="20"/>
      <c r="M2431" s="20">
        <f>Разбивка_по_щитам!P2436</f>
      </c>
      <c r="N2431" s="20"/>
    </row>
    <row r="2432" spans="2:14" x14ac:dyDescent="0.25">
      <c r="B2432" s="20">
        <f>Разбивка_по_щитам!B2437</f>
      </c>
      <c r="C2432" s="20">
        <f>Разбивка_по_щитам!C2437</f>
      </c>
      <c r="D2432" s="20">
        <f>Разбивка_по_щитам!F2437</f>
      </c>
      <c r="E2432" s="20">
        <f>Разбивка_по_щитам!H2437</f>
      </c>
      <c r="F2432" s="20">
        <f>Разбивка_по_щитам!I2437</f>
      </c>
      <c r="G2432" s="20">
        <f>Разбивка_по_щитам!J2437</f>
      </c>
      <c r="H2432" s="20">
        <f>Разбивка_по_щитам!K2437</f>
      </c>
      <c r="I2432" s="20">
        <f>Разбивка_по_щитам!L2437</f>
      </c>
      <c r="J2432" s="20">
        <f>Разбивка_по_щитам!M2437</f>
      </c>
      <c r="K2432" s="20">
        <f>Разбивка_по_щитам!N2437</f>
      </c>
      <c r="L2432" s="20"/>
      <c r="M2432" s="20">
        <f>Разбивка_по_щитам!P2437</f>
      </c>
      <c r="N2432" s="20"/>
    </row>
    <row r="2433" spans="2:14" x14ac:dyDescent="0.25">
      <c r="B2433" s="20">
        <f>Разбивка_по_щитам!B2438</f>
      </c>
      <c r="C2433" s="20">
        <f>Разбивка_по_щитам!C2438</f>
      </c>
      <c r="D2433" s="20">
        <f>Разбивка_по_щитам!F2438</f>
      </c>
      <c r="E2433" s="20">
        <f>Разбивка_по_щитам!H2438</f>
      </c>
      <c r="F2433" s="20">
        <f>Разбивка_по_щитам!I2438</f>
      </c>
      <c r="G2433" s="20">
        <f>Разбивка_по_щитам!J2438</f>
      </c>
      <c r="H2433" s="20">
        <f>Разбивка_по_щитам!K2438</f>
      </c>
      <c r="I2433" s="20">
        <f>Разбивка_по_щитам!L2438</f>
      </c>
      <c r="J2433" s="20">
        <f>Разбивка_по_щитам!M2438</f>
      </c>
      <c r="K2433" s="20">
        <f>Разбивка_по_щитам!N2438</f>
      </c>
      <c r="L2433" s="20"/>
      <c r="M2433" s="20">
        <f>Разбивка_по_щитам!P2438</f>
      </c>
      <c r="N2433" s="20"/>
    </row>
    <row r="2434" spans="2:14" x14ac:dyDescent="0.25">
      <c r="B2434" s="20">
        <f>Разбивка_по_щитам!B2439</f>
      </c>
      <c r="C2434" s="20">
        <f>Разбивка_по_щитам!C2439</f>
      </c>
      <c r="D2434" s="20">
        <f>Разбивка_по_щитам!F2439</f>
      </c>
      <c r="E2434" s="20">
        <f>Разбивка_по_щитам!H2439</f>
      </c>
      <c r="F2434" s="20">
        <f>Разбивка_по_щитам!I2439</f>
      </c>
      <c r="G2434" s="20">
        <f>Разбивка_по_щитам!J2439</f>
      </c>
      <c r="H2434" s="20">
        <f>Разбивка_по_щитам!K2439</f>
      </c>
      <c r="I2434" s="20">
        <f>Разбивка_по_щитам!L2439</f>
      </c>
      <c r="J2434" s="20">
        <f>Разбивка_по_щитам!M2439</f>
      </c>
      <c r="K2434" s="20">
        <f>Разбивка_по_щитам!N2439</f>
      </c>
      <c r="L2434" s="20"/>
      <c r="M2434" s="20">
        <f>Разбивка_по_щитам!P2439</f>
      </c>
      <c r="N2434" s="20"/>
    </row>
    <row r="2435" spans="2:14" x14ac:dyDescent="0.25">
      <c r="B2435" s="20">
        <f>Разбивка_по_щитам!B2440</f>
      </c>
      <c r="C2435" s="20">
        <f>Разбивка_по_щитам!C2440</f>
      </c>
      <c r="D2435" s="20">
        <f>Разбивка_по_щитам!F2440</f>
      </c>
      <c r="E2435" s="20">
        <f>Разбивка_по_щитам!H2440</f>
      </c>
      <c r="F2435" s="20">
        <f>Разбивка_по_щитам!I2440</f>
      </c>
      <c r="G2435" s="20">
        <f>Разбивка_по_щитам!J2440</f>
      </c>
      <c r="H2435" s="20">
        <f>Разбивка_по_щитам!K2440</f>
      </c>
      <c r="I2435" s="20">
        <f>Разбивка_по_щитам!L2440</f>
      </c>
      <c r="J2435" s="20">
        <f>Разбивка_по_щитам!M2440</f>
      </c>
      <c r="K2435" s="20">
        <f>Разбивка_по_щитам!N2440</f>
      </c>
      <c r="L2435" s="20"/>
      <c r="M2435" s="20">
        <f>Разбивка_по_щитам!P2440</f>
      </c>
      <c r="N2435" s="20"/>
    </row>
    <row r="2436" spans="2:14" x14ac:dyDescent="0.25">
      <c r="B2436" s="20">
        <f>Разбивка_по_щитам!B2441</f>
      </c>
      <c r="C2436" s="20">
        <f>Разбивка_по_щитам!C2441</f>
      </c>
      <c r="D2436" s="20">
        <f>Разбивка_по_щитам!F2441</f>
      </c>
      <c r="E2436" s="20">
        <f>Разбивка_по_щитам!H2441</f>
      </c>
      <c r="F2436" s="20">
        <f>Разбивка_по_щитам!I2441</f>
      </c>
      <c r="G2436" s="20">
        <f>Разбивка_по_щитам!J2441</f>
      </c>
      <c r="H2436" s="20">
        <f>Разбивка_по_щитам!K2441</f>
      </c>
      <c r="I2436" s="20">
        <f>Разбивка_по_щитам!L2441</f>
      </c>
      <c r="J2436" s="20">
        <f>Разбивка_по_щитам!M2441</f>
      </c>
      <c r="K2436" s="20">
        <f>Разбивка_по_щитам!N2441</f>
      </c>
      <c r="L2436" s="20"/>
      <c r="M2436" s="20">
        <f>Разбивка_по_щитам!P2441</f>
      </c>
      <c r="N2436" s="20"/>
    </row>
    <row r="2437" spans="2:14" x14ac:dyDescent="0.25">
      <c r="B2437" s="20">
        <f>Разбивка_по_щитам!B2442</f>
      </c>
      <c r="C2437" s="20">
        <f>Разбивка_по_щитам!C2442</f>
      </c>
      <c r="D2437" s="20">
        <f>Разбивка_по_щитам!F2442</f>
      </c>
      <c r="E2437" s="20">
        <f>Разбивка_по_щитам!H2442</f>
      </c>
      <c r="F2437" s="20">
        <f>Разбивка_по_щитам!I2442</f>
      </c>
      <c r="G2437" s="20">
        <f>Разбивка_по_щитам!J2442</f>
      </c>
      <c r="H2437" s="20">
        <f>Разбивка_по_щитам!K2442</f>
      </c>
      <c r="I2437" s="20">
        <f>Разбивка_по_щитам!L2442</f>
      </c>
      <c r="J2437" s="20">
        <f>Разбивка_по_щитам!M2442</f>
      </c>
      <c r="K2437" s="20">
        <f>Разбивка_по_щитам!N2442</f>
      </c>
      <c r="L2437" s="20"/>
      <c r="M2437" s="20">
        <f>Разбивка_по_щитам!P2442</f>
      </c>
      <c r="N2437" s="20"/>
    </row>
    <row r="2438" spans="2:14" x14ac:dyDescent="0.25">
      <c r="B2438" s="20">
        <f>Разбивка_по_щитам!B2443</f>
      </c>
      <c r="C2438" s="20">
        <f>Разбивка_по_щитам!C2443</f>
      </c>
      <c r="D2438" s="20">
        <f>Разбивка_по_щитам!F2443</f>
      </c>
      <c r="E2438" s="20">
        <f>Разбивка_по_щитам!H2443</f>
      </c>
      <c r="F2438" s="20">
        <f>Разбивка_по_щитам!I2443</f>
      </c>
      <c r="G2438" s="20">
        <f>Разбивка_по_щитам!J2443</f>
      </c>
      <c r="H2438" s="20">
        <f>Разбивка_по_щитам!K2443</f>
      </c>
      <c r="I2438" s="20">
        <f>Разбивка_по_щитам!L2443</f>
      </c>
      <c r="J2438" s="20">
        <f>Разбивка_по_щитам!M2443</f>
      </c>
      <c r="K2438" s="20">
        <f>Разбивка_по_щитам!N2443</f>
      </c>
      <c r="L2438" s="20"/>
      <c r="M2438" s="20">
        <f>Разбивка_по_щитам!P2443</f>
      </c>
      <c r="N2438" s="20"/>
    </row>
    <row r="2439" spans="2:14" x14ac:dyDescent="0.25">
      <c r="B2439" s="20">
        <f>Разбивка_по_щитам!B2444</f>
      </c>
      <c r="C2439" s="20">
        <f>Разбивка_по_щитам!C2444</f>
      </c>
      <c r="D2439" s="20">
        <f>Разбивка_по_щитам!F2444</f>
      </c>
      <c r="E2439" s="20">
        <f>Разбивка_по_щитам!H2444</f>
      </c>
      <c r="F2439" s="20">
        <f>Разбивка_по_щитам!I2444</f>
      </c>
      <c r="G2439" s="20">
        <f>Разбивка_по_щитам!J2444</f>
      </c>
      <c r="H2439" s="20">
        <f>Разбивка_по_щитам!K2444</f>
      </c>
      <c r="I2439" s="20">
        <f>Разбивка_по_щитам!L2444</f>
      </c>
      <c r="J2439" s="20">
        <f>Разбивка_по_щитам!M2444</f>
      </c>
      <c r="K2439" s="20">
        <f>Разбивка_по_щитам!N2444</f>
      </c>
      <c r="L2439" s="20"/>
      <c r="M2439" s="20">
        <f>Разбивка_по_щитам!P2444</f>
      </c>
      <c r="N2439" s="20"/>
    </row>
    <row r="2440" spans="2:14" x14ac:dyDescent="0.25">
      <c r="B2440" s="20">
        <f>Разбивка_по_щитам!B2445</f>
      </c>
      <c r="C2440" s="20">
        <f>Разбивка_по_щитам!C2445</f>
      </c>
      <c r="D2440" s="20">
        <f>Разбивка_по_щитам!F2445</f>
      </c>
      <c r="E2440" s="20">
        <f>Разбивка_по_щитам!H2445</f>
      </c>
      <c r="F2440" s="20">
        <f>Разбивка_по_щитам!I2445</f>
      </c>
      <c r="G2440" s="20">
        <f>Разбивка_по_щитам!J2445</f>
      </c>
      <c r="H2440" s="20">
        <f>Разбивка_по_щитам!K2445</f>
      </c>
      <c r="I2440" s="20">
        <f>Разбивка_по_щитам!L2445</f>
      </c>
      <c r="J2440" s="20">
        <f>Разбивка_по_щитам!M2445</f>
      </c>
      <c r="K2440" s="20">
        <f>Разбивка_по_щитам!N2445</f>
      </c>
      <c r="L2440" s="20"/>
      <c r="M2440" s="20">
        <f>Разбивка_по_щитам!P2445</f>
      </c>
      <c r="N2440" s="20"/>
    </row>
    <row r="2441" spans="2:14" x14ac:dyDescent="0.25">
      <c r="B2441" s="20">
        <f>Разбивка_по_щитам!B2446</f>
      </c>
      <c r="C2441" s="20">
        <f>Разбивка_по_щитам!C2446</f>
      </c>
      <c r="D2441" s="20">
        <f>Разбивка_по_щитам!F2446</f>
      </c>
      <c r="E2441" s="20">
        <f>Разбивка_по_щитам!H2446</f>
      </c>
      <c r="F2441" s="20">
        <f>Разбивка_по_щитам!I2446</f>
      </c>
      <c r="G2441" s="20">
        <f>Разбивка_по_щитам!J2446</f>
      </c>
      <c r="H2441" s="20">
        <f>Разбивка_по_щитам!K2446</f>
      </c>
      <c r="I2441" s="20">
        <f>Разбивка_по_щитам!L2446</f>
      </c>
      <c r="J2441" s="20">
        <f>Разбивка_по_щитам!M2446</f>
      </c>
      <c r="K2441" s="20">
        <f>Разбивка_по_щитам!N2446</f>
      </c>
      <c r="L2441" s="20"/>
      <c r="M2441" s="20">
        <f>Разбивка_по_щитам!P2446</f>
      </c>
      <c r="N2441" s="20"/>
    </row>
    <row r="2442" spans="2:14" x14ac:dyDescent="0.25">
      <c r="B2442" s="20">
        <f>Разбивка_по_щитам!B2447</f>
      </c>
      <c r="C2442" s="20">
        <f>Разбивка_по_щитам!C2447</f>
      </c>
      <c r="D2442" s="20">
        <f>Разбивка_по_щитам!F2447</f>
      </c>
      <c r="E2442" s="20">
        <f>Разбивка_по_щитам!H2447</f>
      </c>
      <c r="F2442" s="20">
        <f>Разбивка_по_щитам!I2447</f>
      </c>
      <c r="G2442" s="20">
        <f>Разбивка_по_щитам!J2447</f>
      </c>
      <c r="H2442" s="20">
        <f>Разбивка_по_щитам!K2447</f>
      </c>
      <c r="I2442" s="20">
        <f>Разбивка_по_щитам!L2447</f>
      </c>
      <c r="J2442" s="20">
        <f>Разбивка_по_щитам!M2447</f>
      </c>
      <c r="K2442" s="20">
        <f>Разбивка_по_щитам!N2447</f>
      </c>
      <c r="L2442" s="20"/>
      <c r="M2442" s="20">
        <f>Разбивка_по_щитам!P2447</f>
      </c>
      <c r="N2442" s="20"/>
    </row>
    <row r="2443" spans="2:14" x14ac:dyDescent="0.25">
      <c r="B2443" s="20">
        <f>Разбивка_по_щитам!B2448</f>
      </c>
      <c r="C2443" s="20">
        <f>Разбивка_по_щитам!C2448</f>
      </c>
      <c r="D2443" s="20">
        <f>Разбивка_по_щитам!F2448</f>
      </c>
      <c r="E2443" s="20">
        <f>Разбивка_по_щитам!H2448</f>
      </c>
      <c r="F2443" s="20">
        <f>Разбивка_по_щитам!I2448</f>
      </c>
      <c r="G2443" s="20">
        <f>Разбивка_по_щитам!J2448</f>
      </c>
      <c r="H2443" s="20">
        <f>Разбивка_по_щитам!K2448</f>
      </c>
      <c r="I2443" s="20">
        <f>Разбивка_по_щитам!L2448</f>
      </c>
      <c r="J2443" s="20">
        <f>Разбивка_по_щитам!M2448</f>
      </c>
      <c r="K2443" s="20">
        <f>Разбивка_по_щитам!N2448</f>
      </c>
      <c r="L2443" s="20"/>
      <c r="M2443" s="20">
        <f>Разбивка_по_щитам!P2448</f>
      </c>
      <c r="N2443" s="20"/>
    </row>
    <row r="2444" spans="2:14" x14ac:dyDescent="0.25">
      <c r="B2444" s="20">
        <f>Разбивка_по_щитам!B2449</f>
      </c>
      <c r="C2444" s="20">
        <f>Разбивка_по_щитам!C2449</f>
      </c>
      <c r="D2444" s="20">
        <f>Разбивка_по_щитам!F2449</f>
      </c>
      <c r="E2444" s="20">
        <f>Разбивка_по_щитам!H2449</f>
      </c>
      <c r="F2444" s="20">
        <f>Разбивка_по_щитам!I2449</f>
      </c>
      <c r="G2444" s="20">
        <f>Разбивка_по_щитам!J2449</f>
      </c>
      <c r="H2444" s="20">
        <f>Разбивка_по_щитам!K2449</f>
      </c>
      <c r="I2444" s="20">
        <f>Разбивка_по_щитам!L2449</f>
      </c>
      <c r="J2444" s="20">
        <f>Разбивка_по_щитам!M2449</f>
      </c>
      <c r="K2444" s="20">
        <f>Разбивка_по_щитам!N2449</f>
      </c>
      <c r="L2444" s="20"/>
      <c r="M2444" s="20">
        <f>Разбивка_по_щитам!P2449</f>
      </c>
      <c r="N2444" s="20"/>
    </row>
    <row r="2445" spans="2:14" x14ac:dyDescent="0.25">
      <c r="B2445" s="20">
        <f>Разбивка_по_щитам!B2450</f>
      </c>
      <c r="C2445" s="20">
        <f>Разбивка_по_щитам!C2450</f>
      </c>
      <c r="D2445" s="20">
        <f>Разбивка_по_щитам!F2450</f>
      </c>
      <c r="E2445" s="20">
        <f>Разбивка_по_щитам!H2450</f>
      </c>
      <c r="F2445" s="20">
        <f>Разбивка_по_щитам!I2450</f>
      </c>
      <c r="G2445" s="20">
        <f>Разбивка_по_щитам!J2450</f>
      </c>
      <c r="H2445" s="20">
        <f>Разбивка_по_щитам!K2450</f>
      </c>
      <c r="I2445" s="20">
        <f>Разбивка_по_щитам!L2450</f>
      </c>
      <c r="J2445" s="20">
        <f>Разбивка_по_щитам!M2450</f>
      </c>
      <c r="K2445" s="20">
        <f>Разбивка_по_щитам!N2450</f>
      </c>
      <c r="L2445" s="20"/>
      <c r="M2445" s="20">
        <f>Разбивка_по_щитам!P2450</f>
      </c>
      <c r="N2445" s="20"/>
    </row>
    <row r="2446" spans="2:14" x14ac:dyDescent="0.25">
      <c r="B2446" s="20">
        <f>Разбивка_по_щитам!B2451</f>
      </c>
      <c r="C2446" s="20">
        <f>Разбивка_по_щитам!C2451</f>
      </c>
      <c r="D2446" s="20">
        <f>Разбивка_по_щитам!F2451</f>
      </c>
      <c r="E2446" s="20">
        <f>Разбивка_по_щитам!H2451</f>
      </c>
      <c r="F2446" s="20">
        <f>Разбивка_по_щитам!I2451</f>
      </c>
      <c r="G2446" s="20">
        <f>Разбивка_по_щитам!J2451</f>
      </c>
      <c r="H2446" s="20">
        <f>Разбивка_по_щитам!K2451</f>
      </c>
      <c r="I2446" s="20">
        <f>Разбивка_по_щитам!L2451</f>
      </c>
      <c r="J2446" s="20">
        <f>Разбивка_по_щитам!M2451</f>
      </c>
      <c r="K2446" s="20">
        <f>Разбивка_по_щитам!N2451</f>
      </c>
      <c r="L2446" s="20"/>
      <c r="M2446" s="20">
        <f>Разбивка_по_щитам!P2451</f>
      </c>
      <c r="N2446" s="20"/>
    </row>
    <row r="2447" spans="2:14" x14ac:dyDescent="0.25">
      <c r="B2447" s="20">
        <f>Разбивка_по_щитам!B2452</f>
      </c>
      <c r="C2447" s="20">
        <f>Разбивка_по_щитам!C2452</f>
      </c>
      <c r="D2447" s="20">
        <f>Разбивка_по_щитам!F2452</f>
      </c>
      <c r="E2447" s="20">
        <f>Разбивка_по_щитам!H2452</f>
      </c>
      <c r="F2447" s="20">
        <f>Разбивка_по_щитам!I2452</f>
      </c>
      <c r="G2447" s="20">
        <f>Разбивка_по_щитам!J2452</f>
      </c>
      <c r="H2447" s="20">
        <f>Разбивка_по_щитам!K2452</f>
      </c>
      <c r="I2447" s="20">
        <f>Разбивка_по_щитам!L2452</f>
      </c>
      <c r="J2447" s="20">
        <f>Разбивка_по_щитам!M2452</f>
      </c>
      <c r="K2447" s="20">
        <f>Разбивка_по_щитам!N2452</f>
      </c>
      <c r="L2447" s="20"/>
      <c r="M2447" s="20">
        <f>Разбивка_по_щитам!P2452</f>
      </c>
      <c r="N2447" s="20"/>
    </row>
    <row r="2448" spans="2:14" x14ac:dyDescent="0.25">
      <c r="B2448" s="20">
        <f>Разбивка_по_щитам!B2453</f>
      </c>
      <c r="C2448" s="20">
        <f>Разбивка_по_щитам!C2453</f>
      </c>
      <c r="D2448" s="20">
        <f>Разбивка_по_щитам!F2453</f>
      </c>
      <c r="E2448" s="20">
        <f>Разбивка_по_щитам!H2453</f>
      </c>
      <c r="F2448" s="20">
        <f>Разбивка_по_щитам!I2453</f>
      </c>
      <c r="G2448" s="20">
        <f>Разбивка_по_щитам!J2453</f>
      </c>
      <c r="H2448" s="20">
        <f>Разбивка_по_щитам!K2453</f>
      </c>
      <c r="I2448" s="20">
        <f>Разбивка_по_щитам!L2453</f>
      </c>
      <c r="J2448" s="20">
        <f>Разбивка_по_щитам!M2453</f>
      </c>
      <c r="K2448" s="20">
        <f>Разбивка_по_щитам!N2453</f>
      </c>
      <c r="L2448" s="20"/>
      <c r="M2448" s="20">
        <f>Разбивка_по_щитам!P2453</f>
      </c>
      <c r="N2448" s="20"/>
    </row>
    <row r="2449" spans="2:14" x14ac:dyDescent="0.25">
      <c r="B2449" s="20">
        <f>Разбивка_по_щитам!B2454</f>
      </c>
      <c r="C2449" s="20">
        <f>Разбивка_по_щитам!C2454</f>
      </c>
      <c r="D2449" s="20">
        <f>Разбивка_по_щитам!F2454</f>
      </c>
      <c r="E2449" s="20">
        <f>Разбивка_по_щитам!H2454</f>
      </c>
      <c r="F2449" s="20">
        <f>Разбивка_по_щитам!I2454</f>
      </c>
      <c r="G2449" s="20">
        <f>Разбивка_по_щитам!J2454</f>
      </c>
      <c r="H2449" s="20">
        <f>Разбивка_по_щитам!K2454</f>
      </c>
      <c r="I2449" s="20">
        <f>Разбивка_по_щитам!L2454</f>
      </c>
      <c r="J2449" s="20">
        <f>Разбивка_по_щитам!M2454</f>
      </c>
      <c r="K2449" s="20">
        <f>Разбивка_по_щитам!N2454</f>
      </c>
      <c r="L2449" s="20"/>
      <c r="M2449" s="20">
        <f>Разбивка_по_щитам!P2454</f>
      </c>
      <c r="N2449" s="20"/>
    </row>
    <row r="2450" spans="2:14" x14ac:dyDescent="0.25">
      <c r="B2450" s="20">
        <f>Разбивка_по_щитам!B2455</f>
      </c>
      <c r="C2450" s="20">
        <f>Разбивка_по_щитам!C2455</f>
      </c>
      <c r="D2450" s="20">
        <f>Разбивка_по_щитам!F2455</f>
      </c>
      <c r="E2450" s="20">
        <f>Разбивка_по_щитам!H2455</f>
      </c>
      <c r="F2450" s="20">
        <f>Разбивка_по_щитам!I2455</f>
      </c>
      <c r="G2450" s="20">
        <f>Разбивка_по_щитам!J2455</f>
      </c>
      <c r="H2450" s="20">
        <f>Разбивка_по_щитам!K2455</f>
      </c>
      <c r="I2450" s="20">
        <f>Разбивка_по_щитам!L2455</f>
      </c>
      <c r="J2450" s="20">
        <f>Разбивка_по_щитам!M2455</f>
      </c>
      <c r="K2450" s="20">
        <f>Разбивка_по_щитам!N2455</f>
      </c>
      <c r="L2450" s="20"/>
      <c r="M2450" s="20">
        <f>Разбивка_по_щитам!P2455</f>
      </c>
      <c r="N2450" s="20"/>
    </row>
    <row r="2451" spans="2:14" x14ac:dyDescent="0.25">
      <c r="B2451" s="20">
        <f>Разбивка_по_щитам!B2456</f>
      </c>
      <c r="C2451" s="20">
        <f>Разбивка_по_щитам!C2456</f>
      </c>
      <c r="D2451" s="20">
        <f>Разбивка_по_щитам!F2456</f>
      </c>
      <c r="E2451" s="20">
        <f>Разбивка_по_щитам!H2456</f>
      </c>
      <c r="F2451" s="20">
        <f>Разбивка_по_щитам!I2456</f>
      </c>
      <c r="G2451" s="20">
        <f>Разбивка_по_щитам!J2456</f>
      </c>
      <c r="H2451" s="20">
        <f>Разбивка_по_щитам!K2456</f>
      </c>
      <c r="I2451" s="20">
        <f>Разбивка_по_щитам!L2456</f>
      </c>
      <c r="J2451" s="20">
        <f>Разбивка_по_щитам!M2456</f>
      </c>
      <c r="K2451" s="20">
        <f>Разбивка_по_щитам!N2456</f>
      </c>
      <c r="L2451" s="20"/>
      <c r="M2451" s="20">
        <f>Разбивка_по_щитам!P2456</f>
      </c>
      <c r="N2451" s="20"/>
    </row>
    <row r="2452" spans="2:14" x14ac:dyDescent="0.25">
      <c r="B2452" s="20">
        <f>Разбивка_по_щитам!B2457</f>
      </c>
      <c r="C2452" s="20">
        <f>Разбивка_по_щитам!C2457</f>
      </c>
      <c r="D2452" s="20">
        <f>Разбивка_по_щитам!F2457</f>
      </c>
      <c r="E2452" s="20">
        <f>Разбивка_по_щитам!H2457</f>
      </c>
      <c r="F2452" s="20">
        <f>Разбивка_по_щитам!I2457</f>
      </c>
      <c r="G2452" s="20">
        <f>Разбивка_по_щитам!J2457</f>
      </c>
      <c r="H2452" s="20">
        <f>Разбивка_по_щитам!K2457</f>
      </c>
      <c r="I2452" s="20">
        <f>Разбивка_по_щитам!L2457</f>
      </c>
      <c r="J2452" s="20">
        <f>Разбивка_по_щитам!M2457</f>
      </c>
      <c r="K2452" s="20">
        <f>Разбивка_по_щитам!N2457</f>
      </c>
      <c r="L2452" s="20"/>
      <c r="M2452" s="20">
        <f>Разбивка_по_щитам!P2457</f>
      </c>
      <c r="N2452" s="20"/>
    </row>
    <row r="2453" spans="2:14" x14ac:dyDescent="0.25">
      <c r="B2453" s="20">
        <f>Разбивка_по_щитам!B2458</f>
      </c>
      <c r="C2453" s="20">
        <f>Разбивка_по_щитам!C2458</f>
      </c>
      <c r="D2453" s="20">
        <f>Разбивка_по_щитам!F2458</f>
      </c>
      <c r="E2453" s="20">
        <f>Разбивка_по_щитам!H2458</f>
      </c>
      <c r="F2453" s="20">
        <f>Разбивка_по_щитам!I2458</f>
      </c>
      <c r="G2453" s="20">
        <f>Разбивка_по_щитам!J2458</f>
      </c>
      <c r="H2453" s="20">
        <f>Разбивка_по_щитам!K2458</f>
      </c>
      <c r="I2453" s="20">
        <f>Разбивка_по_щитам!L2458</f>
      </c>
      <c r="J2453" s="20">
        <f>Разбивка_по_щитам!M2458</f>
      </c>
      <c r="K2453" s="20">
        <f>Разбивка_по_щитам!N2458</f>
      </c>
      <c r="L2453" s="20"/>
      <c r="M2453" s="20">
        <f>Разбивка_по_щитам!P2458</f>
      </c>
      <c r="N2453" s="20"/>
    </row>
    <row r="2454" spans="2:14" x14ac:dyDescent="0.25">
      <c r="B2454" s="20">
        <f>Разбивка_по_щитам!B2459</f>
      </c>
      <c r="C2454" s="20">
        <f>Разбивка_по_щитам!C2459</f>
      </c>
      <c r="D2454" s="20">
        <f>Разбивка_по_щитам!F2459</f>
      </c>
      <c r="E2454" s="20">
        <f>Разбивка_по_щитам!H2459</f>
      </c>
      <c r="F2454" s="20">
        <f>Разбивка_по_щитам!I2459</f>
      </c>
      <c r="G2454" s="20">
        <f>Разбивка_по_щитам!J2459</f>
      </c>
      <c r="H2454" s="20">
        <f>Разбивка_по_щитам!K2459</f>
      </c>
      <c r="I2454" s="20">
        <f>Разбивка_по_щитам!L2459</f>
      </c>
      <c r="J2454" s="20">
        <f>Разбивка_по_щитам!M2459</f>
      </c>
      <c r="K2454" s="20">
        <f>Разбивка_по_щитам!N2459</f>
      </c>
      <c r="L2454" s="20"/>
      <c r="M2454" s="20">
        <f>Разбивка_по_щитам!P2459</f>
      </c>
      <c r="N2454" s="20"/>
    </row>
    <row r="2455" spans="2:14" x14ac:dyDescent="0.25">
      <c r="B2455" s="20">
        <f>Разбивка_по_щитам!B2460</f>
      </c>
      <c r="C2455" s="20">
        <f>Разбивка_по_щитам!C2460</f>
      </c>
      <c r="D2455" s="20">
        <f>Разбивка_по_щитам!F2460</f>
      </c>
      <c r="E2455" s="20">
        <f>Разбивка_по_щитам!H2460</f>
      </c>
      <c r="F2455" s="20">
        <f>Разбивка_по_щитам!I2460</f>
      </c>
      <c r="G2455" s="20">
        <f>Разбивка_по_щитам!J2460</f>
      </c>
      <c r="H2455" s="20">
        <f>Разбивка_по_щитам!K2460</f>
      </c>
      <c r="I2455" s="20">
        <f>Разбивка_по_щитам!L2460</f>
      </c>
      <c r="J2455" s="20">
        <f>Разбивка_по_щитам!M2460</f>
      </c>
      <c r="K2455" s="20">
        <f>Разбивка_по_щитам!N2460</f>
      </c>
      <c r="L2455" s="20"/>
      <c r="M2455" s="20">
        <f>Разбивка_по_щитам!P2460</f>
      </c>
      <c r="N2455" s="20"/>
    </row>
    <row r="2456" spans="2:14" x14ac:dyDescent="0.25">
      <c r="B2456" s="20">
        <f>Разбивка_по_щитам!B2461</f>
      </c>
      <c r="C2456" s="20">
        <f>Разбивка_по_щитам!C2461</f>
      </c>
      <c r="D2456" s="20">
        <f>Разбивка_по_щитам!F2461</f>
      </c>
      <c r="E2456" s="20">
        <f>Разбивка_по_щитам!H2461</f>
      </c>
      <c r="F2456" s="20">
        <f>Разбивка_по_щитам!I2461</f>
      </c>
      <c r="G2456" s="20">
        <f>Разбивка_по_щитам!J2461</f>
      </c>
      <c r="H2456" s="20">
        <f>Разбивка_по_щитам!K2461</f>
      </c>
      <c r="I2456" s="20">
        <f>Разбивка_по_щитам!L2461</f>
      </c>
      <c r="J2456" s="20">
        <f>Разбивка_по_щитам!M2461</f>
      </c>
      <c r="K2456" s="20">
        <f>Разбивка_по_щитам!N2461</f>
      </c>
      <c r="L2456" s="20"/>
      <c r="M2456" s="20">
        <f>Разбивка_по_щитам!P2461</f>
      </c>
      <c r="N2456" s="20"/>
    </row>
    <row r="2457" spans="2:14" x14ac:dyDescent="0.25">
      <c r="B2457" s="20">
        <f>Разбивка_по_щитам!B2462</f>
      </c>
      <c r="C2457" s="20">
        <f>Разбивка_по_щитам!C2462</f>
      </c>
      <c r="D2457" s="20">
        <f>Разбивка_по_щитам!F2462</f>
      </c>
      <c r="E2457" s="20">
        <f>Разбивка_по_щитам!H2462</f>
      </c>
      <c r="F2457" s="20">
        <f>Разбивка_по_щитам!I2462</f>
      </c>
      <c r="G2457" s="20">
        <f>Разбивка_по_щитам!J2462</f>
      </c>
      <c r="H2457" s="20">
        <f>Разбивка_по_щитам!K2462</f>
      </c>
      <c r="I2457" s="20">
        <f>Разбивка_по_щитам!L2462</f>
      </c>
      <c r="J2457" s="20">
        <f>Разбивка_по_щитам!M2462</f>
      </c>
      <c r="K2457" s="20">
        <f>Разбивка_по_щитам!N2462</f>
      </c>
      <c r="L2457" s="20"/>
      <c r="M2457" s="20">
        <f>Разбивка_по_щитам!P2462</f>
      </c>
      <c r="N2457" s="20"/>
    </row>
    <row r="2458" spans="2:14" x14ac:dyDescent="0.25">
      <c r="B2458" s="20">
        <f>Разбивка_по_щитам!B2463</f>
      </c>
      <c r="C2458" s="20">
        <f>Разбивка_по_щитам!C2463</f>
      </c>
      <c r="D2458" s="20">
        <f>Разбивка_по_щитам!F2463</f>
      </c>
      <c r="E2458" s="20">
        <f>Разбивка_по_щитам!H2463</f>
      </c>
      <c r="F2458" s="20">
        <f>Разбивка_по_щитам!I2463</f>
      </c>
      <c r="G2458" s="20">
        <f>Разбивка_по_щитам!J2463</f>
      </c>
      <c r="H2458" s="20">
        <f>Разбивка_по_щитам!K2463</f>
      </c>
      <c r="I2458" s="20">
        <f>Разбивка_по_щитам!L2463</f>
      </c>
      <c r="J2458" s="20">
        <f>Разбивка_по_щитам!M2463</f>
      </c>
      <c r="K2458" s="20">
        <f>Разбивка_по_щитам!N2463</f>
      </c>
      <c r="L2458" s="20"/>
      <c r="M2458" s="20">
        <f>Разбивка_по_щитам!P2463</f>
      </c>
      <c r="N2458" s="20"/>
    </row>
    <row r="2459" spans="2:14" x14ac:dyDescent="0.25">
      <c r="B2459" s="20">
        <f>Разбивка_по_щитам!B2464</f>
      </c>
      <c r="C2459" s="20">
        <f>Разбивка_по_щитам!C2464</f>
      </c>
      <c r="D2459" s="20">
        <f>Разбивка_по_щитам!F2464</f>
      </c>
      <c r="E2459" s="20">
        <f>Разбивка_по_щитам!H2464</f>
      </c>
      <c r="F2459" s="20">
        <f>Разбивка_по_щитам!I2464</f>
      </c>
      <c r="G2459" s="20">
        <f>Разбивка_по_щитам!J2464</f>
      </c>
      <c r="H2459" s="20">
        <f>Разбивка_по_щитам!K2464</f>
      </c>
      <c r="I2459" s="20">
        <f>Разбивка_по_щитам!L2464</f>
      </c>
      <c r="J2459" s="20">
        <f>Разбивка_по_щитам!M2464</f>
      </c>
      <c r="K2459" s="20">
        <f>Разбивка_по_щитам!N2464</f>
      </c>
      <c r="L2459" s="20"/>
      <c r="M2459" s="20">
        <f>Разбивка_по_щитам!P2464</f>
      </c>
      <c r="N2459" s="20"/>
    </row>
    <row r="2460" spans="2:14" x14ac:dyDescent="0.25">
      <c r="B2460" s="20">
        <f>Разбивка_по_щитам!B2465</f>
      </c>
      <c r="C2460" s="20">
        <f>Разбивка_по_щитам!C2465</f>
      </c>
      <c r="D2460" s="20">
        <f>Разбивка_по_щитам!F2465</f>
      </c>
      <c r="E2460" s="20">
        <f>Разбивка_по_щитам!H2465</f>
      </c>
      <c r="F2460" s="20">
        <f>Разбивка_по_щитам!I2465</f>
      </c>
      <c r="G2460" s="20">
        <f>Разбивка_по_щитам!J2465</f>
      </c>
      <c r="H2460" s="20">
        <f>Разбивка_по_щитам!K2465</f>
      </c>
      <c r="I2460" s="20">
        <f>Разбивка_по_щитам!L2465</f>
      </c>
      <c r="J2460" s="20">
        <f>Разбивка_по_щитам!M2465</f>
      </c>
      <c r="K2460" s="20">
        <f>Разбивка_по_щитам!N2465</f>
      </c>
      <c r="L2460" s="20"/>
      <c r="M2460" s="20">
        <f>Разбивка_по_щитам!P2465</f>
      </c>
      <c r="N2460" s="20"/>
    </row>
    <row r="2461" spans="2:14" x14ac:dyDescent="0.25">
      <c r="B2461" s="20">
        <f>Разбивка_по_щитам!B2466</f>
      </c>
      <c r="C2461" s="20">
        <f>Разбивка_по_щитам!C2466</f>
      </c>
      <c r="D2461" s="20">
        <f>Разбивка_по_щитам!F2466</f>
      </c>
      <c r="E2461" s="20">
        <f>Разбивка_по_щитам!H2466</f>
      </c>
      <c r="F2461" s="20">
        <f>Разбивка_по_щитам!I2466</f>
      </c>
      <c r="G2461" s="20">
        <f>Разбивка_по_щитам!J2466</f>
      </c>
      <c r="H2461" s="20">
        <f>Разбивка_по_щитам!K2466</f>
      </c>
      <c r="I2461" s="20">
        <f>Разбивка_по_щитам!L2466</f>
      </c>
      <c r="J2461" s="20">
        <f>Разбивка_по_щитам!M2466</f>
      </c>
      <c r="K2461" s="20">
        <f>Разбивка_по_щитам!N2466</f>
      </c>
      <c r="L2461" s="20"/>
      <c r="M2461" s="20">
        <f>Разбивка_по_щитам!P2466</f>
      </c>
      <c r="N2461" s="20"/>
    </row>
    <row r="2462" spans="2:14" x14ac:dyDescent="0.25">
      <c r="B2462" s="20">
        <f>Разбивка_по_щитам!B2467</f>
      </c>
      <c r="C2462" s="20">
        <f>Разбивка_по_щитам!C2467</f>
      </c>
      <c r="D2462" s="20">
        <f>Разбивка_по_щитам!F2467</f>
      </c>
      <c r="E2462" s="20">
        <f>Разбивка_по_щитам!H2467</f>
      </c>
      <c r="F2462" s="20">
        <f>Разбивка_по_щитам!I2467</f>
      </c>
      <c r="G2462" s="20">
        <f>Разбивка_по_щитам!J2467</f>
      </c>
      <c r="H2462" s="20">
        <f>Разбивка_по_щитам!K2467</f>
      </c>
      <c r="I2462" s="20">
        <f>Разбивка_по_щитам!L2467</f>
      </c>
      <c r="J2462" s="20">
        <f>Разбивка_по_щитам!M2467</f>
      </c>
      <c r="K2462" s="20">
        <f>Разбивка_по_щитам!N2467</f>
      </c>
      <c r="L2462" s="20"/>
      <c r="M2462" s="20">
        <f>Разбивка_по_щитам!P2467</f>
      </c>
      <c r="N2462" s="20"/>
    </row>
    <row r="2463" spans="2:14" x14ac:dyDescent="0.25">
      <c r="B2463" s="20">
        <f>Разбивка_по_щитам!B2468</f>
      </c>
      <c r="C2463" s="20">
        <f>Разбивка_по_щитам!C2468</f>
      </c>
      <c r="D2463" s="20">
        <f>Разбивка_по_щитам!F2468</f>
      </c>
      <c r="E2463" s="20">
        <f>Разбивка_по_щитам!H2468</f>
      </c>
      <c r="F2463" s="20">
        <f>Разбивка_по_щитам!I2468</f>
      </c>
      <c r="G2463" s="20">
        <f>Разбивка_по_щитам!J2468</f>
      </c>
      <c r="H2463" s="20">
        <f>Разбивка_по_щитам!K2468</f>
      </c>
      <c r="I2463" s="20">
        <f>Разбивка_по_щитам!L2468</f>
      </c>
      <c r="J2463" s="20">
        <f>Разбивка_по_щитам!M2468</f>
      </c>
      <c r="K2463" s="20">
        <f>Разбивка_по_щитам!N2468</f>
      </c>
      <c r="L2463" s="20"/>
      <c r="M2463" s="20">
        <f>Разбивка_по_щитам!P2468</f>
      </c>
      <c r="N2463" s="20"/>
    </row>
    <row r="2464" spans="2:14" x14ac:dyDescent="0.25">
      <c r="B2464" s="20">
        <f>Разбивка_по_щитам!B2469</f>
      </c>
      <c r="C2464" s="20">
        <f>Разбивка_по_щитам!C2469</f>
      </c>
      <c r="D2464" s="20">
        <f>Разбивка_по_щитам!F2469</f>
      </c>
      <c r="E2464" s="20">
        <f>Разбивка_по_щитам!H2469</f>
      </c>
      <c r="F2464" s="20">
        <f>Разбивка_по_щитам!I2469</f>
      </c>
      <c r="G2464" s="20">
        <f>Разбивка_по_щитам!J2469</f>
      </c>
      <c r="H2464" s="20">
        <f>Разбивка_по_щитам!K2469</f>
      </c>
      <c r="I2464" s="20">
        <f>Разбивка_по_щитам!L2469</f>
      </c>
      <c r="J2464" s="20">
        <f>Разбивка_по_щитам!M2469</f>
      </c>
      <c r="K2464" s="20">
        <f>Разбивка_по_щитам!N2469</f>
      </c>
      <c r="L2464" s="20"/>
      <c r="M2464" s="20">
        <f>Разбивка_по_щитам!P2469</f>
      </c>
      <c r="N2464" s="20"/>
    </row>
    <row r="2465" spans="2:14" x14ac:dyDescent="0.25">
      <c r="B2465" s="20">
        <f>Разбивка_по_щитам!B2470</f>
      </c>
      <c r="C2465" s="20">
        <f>Разбивка_по_щитам!C2470</f>
      </c>
      <c r="D2465" s="20">
        <f>Разбивка_по_щитам!F2470</f>
      </c>
      <c r="E2465" s="20">
        <f>Разбивка_по_щитам!H2470</f>
      </c>
      <c r="F2465" s="20">
        <f>Разбивка_по_щитам!I2470</f>
      </c>
      <c r="G2465" s="20">
        <f>Разбивка_по_щитам!J2470</f>
      </c>
      <c r="H2465" s="20">
        <f>Разбивка_по_щитам!K2470</f>
      </c>
      <c r="I2465" s="20">
        <f>Разбивка_по_щитам!L2470</f>
      </c>
      <c r="J2465" s="20">
        <f>Разбивка_по_щитам!M2470</f>
      </c>
      <c r="K2465" s="20">
        <f>Разбивка_по_щитам!N2470</f>
      </c>
      <c r="L2465" s="20"/>
      <c r="M2465" s="20">
        <f>Разбивка_по_щитам!P2470</f>
      </c>
      <c r="N2465" s="20"/>
    </row>
    <row r="2466" spans="2:14" x14ac:dyDescent="0.25">
      <c r="B2466" s="20">
        <f>Разбивка_по_щитам!B2471</f>
      </c>
      <c r="C2466" s="20">
        <f>Разбивка_по_щитам!C2471</f>
      </c>
      <c r="D2466" s="20">
        <f>Разбивка_по_щитам!F2471</f>
      </c>
      <c r="E2466" s="20">
        <f>Разбивка_по_щитам!H2471</f>
      </c>
      <c r="F2466" s="20">
        <f>Разбивка_по_щитам!I2471</f>
      </c>
      <c r="G2466" s="20">
        <f>Разбивка_по_щитам!J2471</f>
      </c>
      <c r="H2466" s="20">
        <f>Разбивка_по_щитам!K2471</f>
      </c>
      <c r="I2466" s="20">
        <f>Разбивка_по_щитам!L2471</f>
      </c>
      <c r="J2466" s="20">
        <f>Разбивка_по_щитам!M2471</f>
      </c>
      <c r="K2466" s="20">
        <f>Разбивка_по_щитам!N2471</f>
      </c>
      <c r="L2466" s="20"/>
      <c r="M2466" s="20">
        <f>Разбивка_по_щитам!P2471</f>
      </c>
      <c r="N2466" s="20"/>
    </row>
    <row r="2467" spans="2:14" x14ac:dyDescent="0.25">
      <c r="B2467" s="20">
        <f>Разбивка_по_щитам!B2472</f>
      </c>
      <c r="C2467" s="20">
        <f>Разбивка_по_щитам!C2472</f>
      </c>
      <c r="D2467" s="20">
        <f>Разбивка_по_щитам!F2472</f>
      </c>
      <c r="E2467" s="20">
        <f>Разбивка_по_щитам!H2472</f>
      </c>
      <c r="F2467" s="20">
        <f>Разбивка_по_щитам!I2472</f>
      </c>
      <c r="G2467" s="20">
        <f>Разбивка_по_щитам!J2472</f>
      </c>
      <c r="H2467" s="20">
        <f>Разбивка_по_щитам!K2472</f>
      </c>
      <c r="I2467" s="20">
        <f>Разбивка_по_щитам!L2472</f>
      </c>
      <c r="J2467" s="20">
        <f>Разбивка_по_щитам!M2472</f>
      </c>
      <c r="K2467" s="20">
        <f>Разбивка_по_щитам!N2472</f>
      </c>
      <c r="L2467" s="20"/>
      <c r="M2467" s="20">
        <f>Разбивка_по_щитам!P2472</f>
      </c>
      <c r="N2467" s="20"/>
    </row>
    <row r="2468" spans="2:14" x14ac:dyDescent="0.25">
      <c r="B2468" s="20">
        <f>Разбивка_по_щитам!B2473</f>
      </c>
      <c r="C2468" s="20">
        <f>Разбивка_по_щитам!C2473</f>
      </c>
      <c r="D2468" s="20">
        <f>Разбивка_по_щитам!F2473</f>
      </c>
      <c r="E2468" s="20">
        <f>Разбивка_по_щитам!H2473</f>
      </c>
      <c r="F2468" s="20">
        <f>Разбивка_по_щитам!I2473</f>
      </c>
      <c r="G2468" s="20">
        <f>Разбивка_по_щитам!J2473</f>
      </c>
      <c r="H2468" s="20">
        <f>Разбивка_по_щитам!K2473</f>
      </c>
      <c r="I2468" s="20">
        <f>Разбивка_по_щитам!L2473</f>
      </c>
      <c r="J2468" s="20">
        <f>Разбивка_по_щитам!M2473</f>
      </c>
      <c r="K2468" s="20">
        <f>Разбивка_по_щитам!N2473</f>
      </c>
      <c r="L2468" s="20"/>
      <c r="M2468" s="20">
        <f>Разбивка_по_щитам!P2473</f>
      </c>
      <c r="N2468" s="20"/>
    </row>
    <row r="2469" spans="2:14" x14ac:dyDescent="0.25">
      <c r="B2469" s="20">
        <f>Разбивка_по_щитам!B2474</f>
      </c>
      <c r="C2469" s="20">
        <f>Разбивка_по_щитам!C2474</f>
      </c>
      <c r="D2469" s="20">
        <f>Разбивка_по_щитам!F2474</f>
      </c>
      <c r="E2469" s="20">
        <f>Разбивка_по_щитам!H2474</f>
      </c>
      <c r="F2469" s="20">
        <f>Разбивка_по_щитам!I2474</f>
      </c>
      <c r="G2469" s="20">
        <f>Разбивка_по_щитам!J2474</f>
      </c>
      <c r="H2469" s="20">
        <f>Разбивка_по_щитам!K2474</f>
      </c>
      <c r="I2469" s="20">
        <f>Разбивка_по_щитам!L2474</f>
      </c>
      <c r="J2469" s="20">
        <f>Разбивка_по_щитам!M2474</f>
      </c>
      <c r="K2469" s="20">
        <f>Разбивка_по_щитам!N2474</f>
      </c>
      <c r="L2469" s="20"/>
      <c r="M2469" s="20">
        <f>Разбивка_по_щитам!P2474</f>
      </c>
      <c r="N2469" s="20"/>
    </row>
    <row r="2470" spans="2:14" x14ac:dyDescent="0.25">
      <c r="B2470" s="20">
        <f>Разбивка_по_щитам!B2475</f>
      </c>
      <c r="C2470" s="20">
        <f>Разбивка_по_щитам!C2475</f>
      </c>
      <c r="D2470" s="20">
        <f>Разбивка_по_щитам!F2475</f>
      </c>
      <c r="E2470" s="20">
        <f>Разбивка_по_щитам!H2475</f>
      </c>
      <c r="F2470" s="20">
        <f>Разбивка_по_щитам!I2475</f>
      </c>
      <c r="G2470" s="20">
        <f>Разбивка_по_щитам!J2475</f>
      </c>
      <c r="H2470" s="20">
        <f>Разбивка_по_щитам!K2475</f>
      </c>
      <c r="I2470" s="20">
        <f>Разбивка_по_щитам!L2475</f>
      </c>
      <c r="J2470" s="20">
        <f>Разбивка_по_щитам!M2475</f>
      </c>
      <c r="K2470" s="20">
        <f>Разбивка_по_щитам!N2475</f>
      </c>
      <c r="L2470" s="20"/>
      <c r="M2470" s="20">
        <f>Разбивка_по_щитам!P2475</f>
      </c>
      <c r="N2470" s="20"/>
    </row>
    <row r="2471" spans="2:14" x14ac:dyDescent="0.25">
      <c r="B2471" s="20">
        <f>Разбивка_по_щитам!B2476</f>
      </c>
      <c r="C2471" s="20">
        <f>Разбивка_по_щитам!C2476</f>
      </c>
      <c r="D2471" s="20">
        <f>Разбивка_по_щитам!F2476</f>
      </c>
      <c r="E2471" s="20">
        <f>Разбивка_по_щитам!H2476</f>
      </c>
      <c r="F2471" s="20">
        <f>Разбивка_по_щитам!I2476</f>
      </c>
      <c r="G2471" s="20">
        <f>Разбивка_по_щитам!J2476</f>
      </c>
      <c r="H2471" s="20">
        <f>Разбивка_по_щитам!K2476</f>
      </c>
      <c r="I2471" s="20">
        <f>Разбивка_по_щитам!L2476</f>
      </c>
      <c r="J2471" s="20">
        <f>Разбивка_по_щитам!M2476</f>
      </c>
      <c r="K2471" s="20">
        <f>Разбивка_по_щитам!N2476</f>
      </c>
      <c r="L2471" s="20"/>
      <c r="M2471" s="20">
        <f>Разбивка_по_щитам!P2476</f>
      </c>
      <c r="N2471" s="20"/>
    </row>
    <row r="2472" spans="2:14" x14ac:dyDescent="0.25">
      <c r="B2472" s="20">
        <f>Разбивка_по_щитам!B2477</f>
      </c>
      <c r="C2472" s="20">
        <f>Разбивка_по_щитам!C2477</f>
      </c>
      <c r="D2472" s="20">
        <f>Разбивка_по_щитам!F2477</f>
      </c>
      <c r="E2472" s="20">
        <f>Разбивка_по_щитам!H2477</f>
      </c>
      <c r="F2472" s="20">
        <f>Разбивка_по_щитам!I2477</f>
      </c>
      <c r="G2472" s="20">
        <f>Разбивка_по_щитам!J2477</f>
      </c>
      <c r="H2472" s="20">
        <f>Разбивка_по_щитам!K2477</f>
      </c>
      <c r="I2472" s="20">
        <f>Разбивка_по_щитам!L2477</f>
      </c>
      <c r="J2472" s="20">
        <f>Разбивка_по_щитам!M2477</f>
      </c>
      <c r="K2472" s="20">
        <f>Разбивка_по_щитам!N2477</f>
      </c>
      <c r="L2472" s="20"/>
      <c r="M2472" s="20">
        <f>Разбивка_по_щитам!P2477</f>
      </c>
      <c r="N2472" s="20"/>
    </row>
    <row r="2473" spans="2:14" x14ac:dyDescent="0.25">
      <c r="B2473" s="20">
        <f>Разбивка_по_щитам!B2478</f>
      </c>
      <c r="C2473" s="20">
        <f>Разбивка_по_щитам!C2478</f>
      </c>
      <c r="D2473" s="20">
        <f>Разбивка_по_щитам!F2478</f>
      </c>
      <c r="E2473" s="20">
        <f>Разбивка_по_щитам!H2478</f>
      </c>
      <c r="F2473" s="20">
        <f>Разбивка_по_щитам!I2478</f>
      </c>
      <c r="G2473" s="20">
        <f>Разбивка_по_щитам!J2478</f>
      </c>
      <c r="H2473" s="20">
        <f>Разбивка_по_щитам!K2478</f>
      </c>
      <c r="I2473" s="20">
        <f>Разбивка_по_щитам!L2478</f>
      </c>
      <c r="J2473" s="20">
        <f>Разбивка_по_щитам!M2478</f>
      </c>
      <c r="K2473" s="20">
        <f>Разбивка_по_щитам!N2478</f>
      </c>
      <c r="L2473" s="20"/>
      <c r="M2473" s="20">
        <f>Разбивка_по_щитам!P2478</f>
      </c>
      <c r="N2473" s="20"/>
    </row>
    <row r="2474" spans="2:14" x14ac:dyDescent="0.25">
      <c r="B2474" s="20">
        <f>Разбивка_по_щитам!B2479</f>
      </c>
      <c r="C2474" s="20">
        <f>Разбивка_по_щитам!C2479</f>
      </c>
      <c r="D2474" s="20">
        <f>Разбивка_по_щитам!F2479</f>
      </c>
      <c r="E2474" s="20">
        <f>Разбивка_по_щитам!H2479</f>
      </c>
      <c r="F2474" s="20">
        <f>Разбивка_по_щитам!I2479</f>
      </c>
      <c r="G2474" s="20">
        <f>Разбивка_по_щитам!J2479</f>
      </c>
      <c r="H2474" s="20">
        <f>Разбивка_по_щитам!K2479</f>
      </c>
      <c r="I2474" s="20">
        <f>Разбивка_по_щитам!L2479</f>
      </c>
      <c r="J2474" s="20">
        <f>Разбивка_по_щитам!M2479</f>
      </c>
      <c r="K2474" s="20">
        <f>Разбивка_по_щитам!N2479</f>
      </c>
      <c r="L2474" s="20"/>
      <c r="M2474" s="20">
        <f>Разбивка_по_щитам!P2479</f>
      </c>
      <c r="N2474" s="20"/>
    </row>
    <row r="2475" spans="2:14" x14ac:dyDescent="0.25">
      <c r="B2475" s="20">
        <f>Разбивка_по_щитам!B2480</f>
      </c>
      <c r="C2475" s="20">
        <f>Разбивка_по_щитам!C2480</f>
      </c>
      <c r="D2475" s="20">
        <f>Разбивка_по_щитам!F2480</f>
      </c>
      <c r="E2475" s="20">
        <f>Разбивка_по_щитам!H2480</f>
      </c>
      <c r="F2475" s="20">
        <f>Разбивка_по_щитам!I2480</f>
      </c>
      <c r="G2475" s="20">
        <f>Разбивка_по_щитам!J2480</f>
      </c>
      <c r="H2475" s="20">
        <f>Разбивка_по_щитам!K2480</f>
      </c>
      <c r="I2475" s="20">
        <f>Разбивка_по_щитам!L2480</f>
      </c>
      <c r="J2475" s="20">
        <f>Разбивка_по_щитам!M2480</f>
      </c>
      <c r="K2475" s="20">
        <f>Разбивка_по_щитам!N2480</f>
      </c>
      <c r="L2475" s="20"/>
      <c r="M2475" s="20">
        <f>Разбивка_по_щитам!P2480</f>
      </c>
      <c r="N2475" s="20"/>
    </row>
    <row r="2476" spans="2:14" x14ac:dyDescent="0.25">
      <c r="B2476" s="20">
        <f>Разбивка_по_щитам!B2481</f>
      </c>
      <c r="C2476" s="20">
        <f>Разбивка_по_щитам!C2481</f>
      </c>
      <c r="D2476" s="20">
        <f>Разбивка_по_щитам!F2481</f>
      </c>
      <c r="E2476" s="20">
        <f>Разбивка_по_щитам!H2481</f>
      </c>
      <c r="F2476" s="20">
        <f>Разбивка_по_щитам!I2481</f>
      </c>
      <c r="G2476" s="20">
        <f>Разбивка_по_щитам!J2481</f>
      </c>
      <c r="H2476" s="20">
        <f>Разбивка_по_щитам!K2481</f>
      </c>
      <c r="I2476" s="20">
        <f>Разбивка_по_щитам!L2481</f>
      </c>
      <c r="J2476" s="20">
        <f>Разбивка_по_щитам!M2481</f>
      </c>
      <c r="K2476" s="20">
        <f>Разбивка_по_щитам!N2481</f>
      </c>
      <c r="L2476" s="20"/>
      <c r="M2476" s="20">
        <f>Разбивка_по_щитам!P2481</f>
      </c>
      <c r="N2476" s="20"/>
    </row>
    <row r="2477" spans="2:14" x14ac:dyDescent="0.25">
      <c r="B2477" s="20">
        <f>Разбивка_по_щитам!B2482</f>
      </c>
      <c r="C2477" s="20">
        <f>Разбивка_по_щитам!C2482</f>
      </c>
      <c r="D2477" s="20">
        <f>Разбивка_по_щитам!F2482</f>
      </c>
      <c r="E2477" s="20">
        <f>Разбивка_по_щитам!H2482</f>
      </c>
      <c r="F2477" s="20">
        <f>Разбивка_по_щитам!I2482</f>
      </c>
      <c r="G2477" s="20">
        <f>Разбивка_по_щитам!J2482</f>
      </c>
      <c r="H2477" s="20">
        <f>Разбивка_по_щитам!K2482</f>
      </c>
      <c r="I2477" s="20">
        <f>Разбивка_по_щитам!L2482</f>
      </c>
      <c r="J2477" s="20">
        <f>Разбивка_по_щитам!M2482</f>
      </c>
      <c r="K2477" s="20">
        <f>Разбивка_по_щитам!N2482</f>
      </c>
      <c r="L2477" s="20"/>
      <c r="M2477" s="20">
        <f>Разбивка_по_щитам!P2482</f>
      </c>
      <c r="N2477" s="20"/>
    </row>
    <row r="2478" spans="2:14" x14ac:dyDescent="0.25">
      <c r="B2478" s="20">
        <f>Разбивка_по_щитам!B2483</f>
      </c>
      <c r="C2478" s="20">
        <f>Разбивка_по_щитам!C2483</f>
      </c>
      <c r="D2478" s="20">
        <f>Разбивка_по_щитам!F2483</f>
      </c>
      <c r="E2478" s="20">
        <f>Разбивка_по_щитам!H2483</f>
      </c>
      <c r="F2478" s="20">
        <f>Разбивка_по_щитам!I2483</f>
      </c>
      <c r="G2478" s="20">
        <f>Разбивка_по_щитам!J2483</f>
      </c>
      <c r="H2478" s="20">
        <f>Разбивка_по_щитам!K2483</f>
      </c>
      <c r="I2478" s="20">
        <f>Разбивка_по_щитам!L2483</f>
      </c>
      <c r="J2478" s="20">
        <f>Разбивка_по_щитам!M2483</f>
      </c>
      <c r="K2478" s="20">
        <f>Разбивка_по_щитам!N2483</f>
      </c>
      <c r="L2478" s="20"/>
      <c r="M2478" s="20">
        <f>Разбивка_по_щитам!P2483</f>
      </c>
      <c r="N2478" s="20"/>
    </row>
    <row r="2479" spans="2:14" x14ac:dyDescent="0.25">
      <c r="B2479" s="20">
        <f>Разбивка_по_щитам!B2484</f>
      </c>
      <c r="C2479" s="20">
        <f>Разбивка_по_щитам!C2484</f>
      </c>
      <c r="D2479" s="20">
        <f>Разбивка_по_щитам!F2484</f>
      </c>
      <c r="E2479" s="20">
        <f>Разбивка_по_щитам!H2484</f>
      </c>
      <c r="F2479" s="20">
        <f>Разбивка_по_щитам!I2484</f>
      </c>
      <c r="G2479" s="20">
        <f>Разбивка_по_щитам!J2484</f>
      </c>
      <c r="H2479" s="20">
        <f>Разбивка_по_щитам!K2484</f>
      </c>
      <c r="I2479" s="20">
        <f>Разбивка_по_щитам!L2484</f>
      </c>
      <c r="J2479" s="20">
        <f>Разбивка_по_щитам!M2484</f>
      </c>
      <c r="K2479" s="20">
        <f>Разбивка_по_щитам!N2484</f>
      </c>
      <c r="L2479" s="20"/>
      <c r="M2479" s="20">
        <f>Разбивка_по_щитам!P2484</f>
      </c>
      <c r="N2479" s="20"/>
    </row>
    <row r="2480" spans="2:14" x14ac:dyDescent="0.25">
      <c r="B2480" s="20">
        <f>Разбивка_по_щитам!B2485</f>
      </c>
      <c r="C2480" s="20">
        <f>Разбивка_по_щитам!C2485</f>
      </c>
      <c r="D2480" s="20">
        <f>Разбивка_по_щитам!F2485</f>
      </c>
      <c r="E2480" s="20">
        <f>Разбивка_по_щитам!H2485</f>
      </c>
      <c r="F2480" s="20">
        <f>Разбивка_по_щитам!I2485</f>
      </c>
      <c r="G2480" s="20">
        <f>Разбивка_по_щитам!J2485</f>
      </c>
      <c r="H2480" s="20">
        <f>Разбивка_по_щитам!K2485</f>
      </c>
      <c r="I2480" s="20">
        <f>Разбивка_по_щитам!L2485</f>
      </c>
      <c r="J2480" s="20">
        <f>Разбивка_по_щитам!M2485</f>
      </c>
      <c r="K2480" s="20">
        <f>Разбивка_по_щитам!N2485</f>
      </c>
      <c r="L2480" s="20"/>
      <c r="M2480" s="20">
        <f>Разбивка_по_щитам!P2485</f>
      </c>
      <c r="N2480" s="20"/>
    </row>
    <row r="2481" spans="2:14" x14ac:dyDescent="0.25">
      <c r="B2481" s="20">
        <f>Разбивка_по_щитам!B2486</f>
      </c>
      <c r="C2481" s="20">
        <f>Разбивка_по_щитам!C2486</f>
      </c>
      <c r="D2481" s="20">
        <f>Разбивка_по_щитам!F2486</f>
      </c>
      <c r="E2481" s="20">
        <f>Разбивка_по_щитам!H2486</f>
      </c>
      <c r="F2481" s="20">
        <f>Разбивка_по_щитам!I2486</f>
      </c>
      <c r="G2481" s="20">
        <f>Разбивка_по_щитам!J2486</f>
      </c>
      <c r="H2481" s="20">
        <f>Разбивка_по_щитам!K2486</f>
      </c>
      <c r="I2481" s="20">
        <f>Разбивка_по_щитам!L2486</f>
      </c>
      <c r="J2481" s="20">
        <f>Разбивка_по_щитам!M2486</f>
      </c>
      <c r="K2481" s="20">
        <f>Разбивка_по_щитам!N2486</f>
      </c>
      <c r="L2481" s="20"/>
      <c r="M2481" s="20">
        <f>Разбивка_по_щитам!P2486</f>
      </c>
      <c r="N2481" s="20"/>
    </row>
    <row r="2482" spans="2:14" x14ac:dyDescent="0.25">
      <c r="B2482" s="20">
        <f>Разбивка_по_щитам!B2487</f>
      </c>
      <c r="C2482" s="20">
        <f>Разбивка_по_щитам!C2487</f>
      </c>
      <c r="D2482" s="20">
        <f>Разбивка_по_щитам!F2487</f>
      </c>
      <c r="E2482" s="20">
        <f>Разбивка_по_щитам!H2487</f>
      </c>
      <c r="F2482" s="20">
        <f>Разбивка_по_щитам!I2487</f>
      </c>
      <c r="G2482" s="20">
        <f>Разбивка_по_щитам!J2487</f>
      </c>
      <c r="H2482" s="20">
        <f>Разбивка_по_щитам!K2487</f>
      </c>
      <c r="I2482" s="20">
        <f>Разбивка_по_щитам!L2487</f>
      </c>
      <c r="J2482" s="20">
        <f>Разбивка_по_щитам!M2487</f>
      </c>
      <c r="K2482" s="20">
        <f>Разбивка_по_щитам!N2487</f>
      </c>
      <c r="L2482" s="20"/>
      <c r="M2482" s="20">
        <f>Разбивка_по_щитам!P2487</f>
      </c>
      <c r="N2482" s="20"/>
    </row>
    <row r="2483" spans="2:14" x14ac:dyDescent="0.25">
      <c r="B2483" s="20">
        <f>Разбивка_по_щитам!B2488</f>
      </c>
      <c r="C2483" s="20">
        <f>Разбивка_по_щитам!C2488</f>
      </c>
      <c r="D2483" s="20">
        <f>Разбивка_по_щитам!F2488</f>
      </c>
      <c r="E2483" s="20">
        <f>Разбивка_по_щитам!H2488</f>
      </c>
      <c r="F2483" s="20">
        <f>Разбивка_по_щитам!I2488</f>
      </c>
      <c r="G2483" s="20">
        <f>Разбивка_по_щитам!J2488</f>
      </c>
      <c r="H2483" s="20">
        <f>Разбивка_по_щитам!K2488</f>
      </c>
      <c r="I2483" s="20">
        <f>Разбивка_по_щитам!L2488</f>
      </c>
      <c r="J2483" s="20">
        <f>Разбивка_по_щитам!M2488</f>
      </c>
      <c r="K2483" s="20">
        <f>Разбивка_по_щитам!N2488</f>
      </c>
      <c r="L2483" s="20"/>
      <c r="M2483" s="20">
        <f>Разбивка_по_щитам!P2488</f>
      </c>
      <c r="N2483" s="20"/>
    </row>
    <row r="2484" spans="2:14" x14ac:dyDescent="0.25">
      <c r="B2484" s="20">
        <f>Разбивка_по_щитам!B2489</f>
      </c>
      <c r="C2484" s="20">
        <f>Разбивка_по_щитам!C2489</f>
      </c>
      <c r="D2484" s="20">
        <f>Разбивка_по_щитам!F2489</f>
      </c>
      <c r="E2484" s="20">
        <f>Разбивка_по_щитам!H2489</f>
      </c>
      <c r="F2484" s="20">
        <f>Разбивка_по_щитам!I2489</f>
      </c>
      <c r="G2484" s="20">
        <f>Разбивка_по_щитам!J2489</f>
      </c>
      <c r="H2484" s="20">
        <f>Разбивка_по_щитам!K2489</f>
      </c>
      <c r="I2484" s="20">
        <f>Разбивка_по_щитам!L2489</f>
      </c>
      <c r="J2484" s="20">
        <f>Разбивка_по_щитам!M2489</f>
      </c>
      <c r="K2484" s="20">
        <f>Разбивка_по_щитам!N2489</f>
      </c>
      <c r="L2484" s="20"/>
      <c r="M2484" s="20">
        <f>Разбивка_по_щитам!P2489</f>
      </c>
      <c r="N2484" s="20"/>
    </row>
    <row r="2485" spans="2:14" x14ac:dyDescent="0.25">
      <c r="B2485" s="20">
        <f>Разбивка_по_щитам!B2490</f>
      </c>
      <c r="C2485" s="20">
        <f>Разбивка_по_щитам!C2490</f>
      </c>
      <c r="D2485" s="20">
        <f>Разбивка_по_щитам!F2490</f>
      </c>
      <c r="E2485" s="20">
        <f>Разбивка_по_щитам!H2490</f>
      </c>
      <c r="F2485" s="20">
        <f>Разбивка_по_щитам!I2490</f>
      </c>
      <c r="G2485" s="20">
        <f>Разбивка_по_щитам!J2490</f>
      </c>
      <c r="H2485" s="20">
        <f>Разбивка_по_щитам!K2490</f>
      </c>
      <c r="I2485" s="20">
        <f>Разбивка_по_щитам!L2490</f>
      </c>
      <c r="J2485" s="20">
        <f>Разбивка_по_щитам!M2490</f>
      </c>
      <c r="K2485" s="20">
        <f>Разбивка_по_щитам!N2490</f>
      </c>
      <c r="L2485" s="20"/>
      <c r="M2485" s="20">
        <f>Разбивка_по_щитам!P2490</f>
      </c>
      <c r="N2485" s="20"/>
    </row>
    <row r="2486" spans="2:14" x14ac:dyDescent="0.25">
      <c r="B2486" s="20">
        <f>Разбивка_по_щитам!B2491</f>
      </c>
      <c r="C2486" s="20">
        <f>Разбивка_по_щитам!C2491</f>
      </c>
      <c r="D2486" s="20">
        <f>Разбивка_по_щитам!F2491</f>
      </c>
      <c r="E2486" s="20">
        <f>Разбивка_по_щитам!H2491</f>
      </c>
      <c r="F2486" s="20">
        <f>Разбивка_по_щитам!I2491</f>
      </c>
      <c r="G2486" s="20">
        <f>Разбивка_по_щитам!J2491</f>
      </c>
      <c r="H2486" s="20">
        <f>Разбивка_по_щитам!K2491</f>
      </c>
      <c r="I2486" s="20">
        <f>Разбивка_по_щитам!L2491</f>
      </c>
      <c r="J2486" s="20">
        <f>Разбивка_по_щитам!M2491</f>
      </c>
      <c r="K2486" s="20">
        <f>Разбивка_по_щитам!N2491</f>
      </c>
      <c r="L2486" s="20"/>
      <c r="M2486" s="20">
        <f>Разбивка_по_щитам!P2491</f>
      </c>
      <c r="N2486" s="20"/>
    </row>
    <row r="2487" spans="2:14" x14ac:dyDescent="0.25">
      <c r="B2487" s="20">
        <f>Разбивка_по_щитам!B2492</f>
      </c>
      <c r="C2487" s="20">
        <f>Разбивка_по_щитам!C2492</f>
      </c>
      <c r="D2487" s="20">
        <f>Разбивка_по_щитам!F2492</f>
      </c>
      <c r="E2487" s="20">
        <f>Разбивка_по_щитам!H2492</f>
      </c>
      <c r="F2487" s="20">
        <f>Разбивка_по_щитам!I2492</f>
      </c>
      <c r="G2487" s="20">
        <f>Разбивка_по_щитам!J2492</f>
      </c>
      <c r="H2487" s="20">
        <f>Разбивка_по_щитам!K2492</f>
      </c>
      <c r="I2487" s="20">
        <f>Разбивка_по_щитам!L2492</f>
      </c>
      <c r="J2487" s="20">
        <f>Разбивка_по_щитам!M2492</f>
      </c>
      <c r="K2487" s="20">
        <f>Разбивка_по_щитам!N2492</f>
      </c>
      <c r="L2487" s="20"/>
      <c r="M2487" s="20">
        <f>Разбивка_по_щитам!P2492</f>
      </c>
      <c r="N2487" s="20"/>
    </row>
    <row r="2488" spans="2:14" x14ac:dyDescent="0.25">
      <c r="B2488" s="20">
        <f>Разбивка_по_щитам!B2493</f>
      </c>
      <c r="C2488" s="20">
        <f>Разбивка_по_щитам!C2493</f>
      </c>
      <c r="D2488" s="20">
        <f>Разбивка_по_щитам!F2493</f>
      </c>
      <c r="E2488" s="20">
        <f>Разбивка_по_щитам!H2493</f>
      </c>
      <c r="F2488" s="20">
        <f>Разбивка_по_щитам!I2493</f>
      </c>
      <c r="G2488" s="20">
        <f>Разбивка_по_щитам!J2493</f>
      </c>
      <c r="H2488" s="20">
        <f>Разбивка_по_щитам!K2493</f>
      </c>
      <c r="I2488" s="20">
        <f>Разбивка_по_щитам!L2493</f>
      </c>
      <c r="J2488" s="20">
        <f>Разбивка_по_щитам!M2493</f>
      </c>
      <c r="K2488" s="20">
        <f>Разбивка_по_щитам!N2493</f>
      </c>
      <c r="L2488" s="20"/>
      <c r="M2488" s="20">
        <f>Разбивка_по_щитам!P2493</f>
      </c>
      <c r="N2488" s="20"/>
    </row>
    <row r="2489" spans="2:14" x14ac:dyDescent="0.25">
      <c r="B2489" s="20">
        <f>Разбивка_по_щитам!B2494</f>
      </c>
      <c r="C2489" s="20">
        <f>Разбивка_по_щитам!C2494</f>
      </c>
      <c r="D2489" s="20">
        <f>Разбивка_по_щитам!F2494</f>
      </c>
      <c r="E2489" s="20">
        <f>Разбивка_по_щитам!H2494</f>
      </c>
      <c r="F2489" s="20">
        <f>Разбивка_по_щитам!I2494</f>
      </c>
      <c r="G2489" s="20">
        <f>Разбивка_по_щитам!J2494</f>
      </c>
      <c r="H2489" s="20">
        <f>Разбивка_по_щитам!K2494</f>
      </c>
      <c r="I2489" s="20">
        <f>Разбивка_по_щитам!L2494</f>
      </c>
      <c r="J2489" s="20">
        <f>Разбивка_по_щитам!M2494</f>
      </c>
      <c r="K2489" s="20">
        <f>Разбивка_по_щитам!N2494</f>
      </c>
      <c r="L2489" s="20"/>
      <c r="M2489" s="20">
        <f>Разбивка_по_щитам!P2494</f>
      </c>
      <c r="N2489" s="20"/>
    </row>
    <row r="2490" spans="2:14" x14ac:dyDescent="0.25">
      <c r="B2490" s="20">
        <f>Разбивка_по_щитам!B2495</f>
      </c>
      <c r="C2490" s="20">
        <f>Разбивка_по_щитам!C2495</f>
      </c>
      <c r="D2490" s="20">
        <f>Разбивка_по_щитам!F2495</f>
      </c>
      <c r="E2490" s="20">
        <f>Разбивка_по_щитам!H2495</f>
      </c>
      <c r="F2490" s="20">
        <f>Разбивка_по_щитам!I2495</f>
      </c>
      <c r="G2490" s="20">
        <f>Разбивка_по_щитам!J2495</f>
      </c>
      <c r="H2490" s="20">
        <f>Разбивка_по_щитам!K2495</f>
      </c>
      <c r="I2490" s="20">
        <f>Разбивка_по_щитам!L2495</f>
      </c>
      <c r="J2490" s="20">
        <f>Разбивка_по_щитам!M2495</f>
      </c>
      <c r="K2490" s="20">
        <f>Разбивка_по_щитам!N2495</f>
      </c>
      <c r="L2490" s="20"/>
      <c r="M2490" s="20">
        <f>Разбивка_по_щитам!P2495</f>
      </c>
      <c r="N2490" s="20"/>
    </row>
    <row r="2491" spans="2:14" x14ac:dyDescent="0.25">
      <c r="B2491" s="20">
        <f>Разбивка_по_щитам!B2496</f>
      </c>
      <c r="C2491" s="20">
        <f>Разбивка_по_щитам!C2496</f>
      </c>
      <c r="D2491" s="20">
        <f>Разбивка_по_щитам!F2496</f>
      </c>
      <c r="E2491" s="20">
        <f>Разбивка_по_щитам!H2496</f>
      </c>
      <c r="F2491" s="20">
        <f>Разбивка_по_щитам!I2496</f>
      </c>
      <c r="G2491" s="20">
        <f>Разбивка_по_щитам!J2496</f>
      </c>
      <c r="H2491" s="20">
        <f>Разбивка_по_щитам!K2496</f>
      </c>
      <c r="I2491" s="20">
        <f>Разбивка_по_щитам!L2496</f>
      </c>
      <c r="J2491" s="20">
        <f>Разбивка_по_щитам!M2496</f>
      </c>
      <c r="K2491" s="20">
        <f>Разбивка_по_щитам!N2496</f>
      </c>
      <c r="L2491" s="20"/>
      <c r="M2491" s="20">
        <f>Разбивка_по_щитам!P2496</f>
      </c>
      <c r="N2491" s="20"/>
    </row>
    <row r="2492" spans="2:14" x14ac:dyDescent="0.25">
      <c r="B2492" s="20">
        <f>Разбивка_по_щитам!B2497</f>
      </c>
      <c r="C2492" s="20">
        <f>Разбивка_по_щитам!C2497</f>
      </c>
      <c r="D2492" s="20">
        <f>Разбивка_по_щитам!F2497</f>
      </c>
      <c r="E2492" s="20">
        <f>Разбивка_по_щитам!H2497</f>
      </c>
      <c r="F2492" s="20">
        <f>Разбивка_по_щитам!I2497</f>
      </c>
      <c r="G2492" s="20">
        <f>Разбивка_по_щитам!J2497</f>
      </c>
      <c r="H2492" s="20">
        <f>Разбивка_по_щитам!K2497</f>
      </c>
      <c r="I2492" s="20">
        <f>Разбивка_по_щитам!L2497</f>
      </c>
      <c r="J2492" s="20">
        <f>Разбивка_по_щитам!M2497</f>
      </c>
      <c r="K2492" s="20">
        <f>Разбивка_по_щитам!N2497</f>
      </c>
      <c r="L2492" s="20"/>
      <c r="M2492" s="20">
        <f>Разбивка_по_щитам!P2497</f>
      </c>
      <c r="N2492" s="20"/>
    </row>
    <row r="2493" spans="2:14" x14ac:dyDescent="0.25">
      <c r="B2493" s="20">
        <f>Разбивка_по_щитам!B2498</f>
      </c>
      <c r="C2493" s="20">
        <f>Разбивка_по_щитам!C2498</f>
      </c>
      <c r="D2493" s="20">
        <f>Разбивка_по_щитам!F2498</f>
      </c>
      <c r="E2493" s="20">
        <f>Разбивка_по_щитам!H2498</f>
      </c>
      <c r="F2493" s="20">
        <f>Разбивка_по_щитам!I2498</f>
      </c>
      <c r="G2493" s="20">
        <f>Разбивка_по_щитам!J2498</f>
      </c>
      <c r="H2493" s="20">
        <f>Разбивка_по_щитам!K2498</f>
      </c>
      <c r="I2493" s="20">
        <f>Разбивка_по_щитам!L2498</f>
      </c>
      <c r="J2493" s="20">
        <f>Разбивка_по_щитам!M2498</f>
      </c>
      <c r="K2493" s="20">
        <f>Разбивка_по_щитам!N2498</f>
      </c>
      <c r="L2493" s="20"/>
      <c r="M2493" s="20">
        <f>Разбивка_по_щитам!P2498</f>
      </c>
      <c r="N2493" s="20"/>
    </row>
    <row r="2494" spans="2:14" x14ac:dyDescent="0.25">
      <c r="B2494" s="20">
        <f>Разбивка_по_щитам!B2499</f>
      </c>
      <c r="C2494" s="20">
        <f>Разбивка_по_щитам!C2499</f>
      </c>
      <c r="D2494" s="20">
        <f>Разбивка_по_щитам!F2499</f>
      </c>
      <c r="E2494" s="20">
        <f>Разбивка_по_щитам!H2499</f>
      </c>
      <c r="F2494" s="20">
        <f>Разбивка_по_щитам!I2499</f>
      </c>
      <c r="G2494" s="20">
        <f>Разбивка_по_щитам!J2499</f>
      </c>
      <c r="H2494" s="20">
        <f>Разбивка_по_щитам!K2499</f>
      </c>
      <c r="I2494" s="20">
        <f>Разбивка_по_щитам!L2499</f>
      </c>
      <c r="J2494" s="20">
        <f>Разбивка_по_щитам!M2499</f>
      </c>
      <c r="K2494" s="20">
        <f>Разбивка_по_щитам!N2499</f>
      </c>
      <c r="L2494" s="20"/>
      <c r="M2494" s="20">
        <f>Разбивка_по_щитам!P2499</f>
      </c>
      <c r="N2494" s="20"/>
    </row>
    <row r="2495" spans="2:14" x14ac:dyDescent="0.25">
      <c r="B2495" s="20">
        <f>Разбивка_по_щитам!B2500</f>
      </c>
      <c r="C2495" s="20">
        <f>Разбивка_по_щитам!C2500</f>
      </c>
      <c r="D2495" s="20">
        <f>Разбивка_по_щитам!F2500</f>
      </c>
      <c r="E2495" s="20">
        <f>Разбивка_по_щитам!H2500</f>
      </c>
      <c r="F2495" s="20">
        <f>Разбивка_по_щитам!I2500</f>
      </c>
      <c r="G2495" s="20">
        <f>Разбивка_по_щитам!J2500</f>
      </c>
      <c r="H2495" s="20">
        <f>Разбивка_по_щитам!K2500</f>
      </c>
      <c r="I2495" s="20">
        <f>Разбивка_по_щитам!L2500</f>
      </c>
      <c r="J2495" s="20">
        <f>Разбивка_по_щитам!M2500</f>
      </c>
      <c r="K2495" s="20">
        <f>Разбивка_по_щитам!N2500</f>
      </c>
      <c r="L2495" s="20"/>
      <c r="M2495" s="20">
        <f>Разбивка_по_щитам!P2500</f>
      </c>
      <c r="N2495" s="20"/>
    </row>
    <row r="2496" spans="2:14" x14ac:dyDescent="0.25">
      <c r="B2496" s="20">
        <f>Разбивка_по_щитам!B2501</f>
      </c>
      <c r="C2496" s="20">
        <f>Разбивка_по_щитам!C2501</f>
      </c>
      <c r="D2496" s="20">
        <f>Разбивка_по_щитам!F2501</f>
      </c>
      <c r="E2496" s="20">
        <f>Разбивка_по_щитам!H2501</f>
      </c>
      <c r="F2496" s="20">
        <f>Разбивка_по_щитам!I2501</f>
      </c>
      <c r="G2496" s="20">
        <f>Разбивка_по_щитам!J2501</f>
      </c>
      <c r="H2496" s="20">
        <f>Разбивка_по_щитам!K2501</f>
      </c>
      <c r="I2496" s="20">
        <f>Разбивка_по_щитам!L2501</f>
      </c>
      <c r="J2496" s="20">
        <f>Разбивка_по_щитам!M2501</f>
      </c>
      <c r="K2496" s="20">
        <f>Разбивка_по_щитам!N2501</f>
      </c>
      <c r="L2496" s="20"/>
      <c r="M2496" s="20">
        <f>Разбивка_по_щитам!P2501</f>
      </c>
      <c r="N2496" s="20"/>
    </row>
    <row r="2497" spans="2:14" x14ac:dyDescent="0.25">
      <c r="B2497" s="20">
        <f>Разбивка_по_щитам!B2502</f>
      </c>
      <c r="C2497" s="20">
        <f>Разбивка_по_щитам!C2502</f>
      </c>
      <c r="D2497" s="20">
        <f>Разбивка_по_щитам!F2502</f>
      </c>
      <c r="E2497" s="20">
        <f>Разбивка_по_щитам!H2502</f>
      </c>
      <c r="F2497" s="20">
        <f>Разбивка_по_щитам!I2502</f>
      </c>
      <c r="G2497" s="20">
        <f>Разбивка_по_щитам!J2502</f>
      </c>
      <c r="H2497" s="20">
        <f>Разбивка_по_щитам!K2502</f>
      </c>
      <c r="I2497" s="20">
        <f>Разбивка_по_щитам!L2502</f>
      </c>
      <c r="J2497" s="20">
        <f>Разбивка_по_щитам!M2502</f>
      </c>
      <c r="K2497" s="20">
        <f>Разбивка_по_щитам!N2502</f>
      </c>
      <c r="L2497" s="20"/>
      <c r="M2497" s="20">
        <f>Разбивка_по_щитам!P2502</f>
      </c>
      <c r="N2497" s="20"/>
    </row>
    <row r="2498" spans="2:14" x14ac:dyDescent="0.25">
      <c r="B2498" s="20">
        <f>Разбивка_по_щитам!B2503</f>
      </c>
      <c r="C2498" s="20">
        <f>Разбивка_по_щитам!C2503</f>
      </c>
      <c r="D2498" s="20">
        <f>Разбивка_по_щитам!F2503</f>
      </c>
      <c r="E2498" s="20">
        <f>Разбивка_по_щитам!H2503</f>
      </c>
      <c r="F2498" s="20">
        <f>Разбивка_по_щитам!I2503</f>
      </c>
      <c r="G2498" s="20">
        <f>Разбивка_по_щитам!J2503</f>
      </c>
      <c r="H2498" s="20">
        <f>Разбивка_по_щитам!K2503</f>
      </c>
      <c r="I2498" s="20">
        <f>Разбивка_по_щитам!L2503</f>
      </c>
      <c r="J2498" s="20">
        <f>Разбивка_по_щитам!M2503</f>
      </c>
      <c r="K2498" s="20">
        <f>Разбивка_по_щитам!N2503</f>
      </c>
      <c r="L2498" s="20"/>
      <c r="M2498" s="20">
        <f>Разбивка_по_щитам!P2503</f>
      </c>
      <c r="N2498" s="20"/>
    </row>
    <row r="2499" spans="2:14" x14ac:dyDescent="0.25">
      <c r="B2499" s="20">
        <f>Разбивка_по_щитам!B2504</f>
      </c>
      <c r="C2499" s="20">
        <f>Разбивка_по_щитам!C2504</f>
      </c>
      <c r="D2499" s="20">
        <f>Разбивка_по_щитам!F2504</f>
      </c>
      <c r="E2499" s="20">
        <f>Разбивка_по_щитам!H2504</f>
      </c>
      <c r="F2499" s="20">
        <f>Разбивка_по_щитам!I2504</f>
      </c>
      <c r="G2499" s="20">
        <f>Разбивка_по_щитам!J2504</f>
      </c>
      <c r="H2499" s="20">
        <f>Разбивка_по_щитам!K2504</f>
      </c>
      <c r="I2499" s="20">
        <f>Разбивка_по_щитам!L2504</f>
      </c>
      <c r="J2499" s="20">
        <f>Разбивка_по_щитам!M2504</f>
      </c>
      <c r="K2499" s="20">
        <f>Разбивка_по_щитам!N2504</f>
      </c>
      <c r="L2499" s="20"/>
      <c r="M2499" s="20">
        <f>Разбивка_по_щитам!P2504</f>
      </c>
      <c r="N2499" s="20"/>
    </row>
    <row r="2500" spans="2:14" x14ac:dyDescent="0.25">
      <c r="B2500" s="20">
        <f>Разбивка_по_щитам!B2505</f>
      </c>
      <c r="C2500" s="20">
        <f>Разбивка_по_щитам!C2505</f>
      </c>
      <c r="D2500" s="20">
        <f>Разбивка_по_щитам!F2505</f>
      </c>
      <c r="E2500" s="20">
        <f>Разбивка_по_щитам!H2505</f>
      </c>
      <c r="F2500" s="20">
        <f>Разбивка_по_щитам!I2505</f>
      </c>
      <c r="G2500" s="20">
        <f>Разбивка_по_щитам!J2505</f>
      </c>
      <c r="H2500" s="20">
        <f>Разбивка_по_щитам!K2505</f>
      </c>
      <c r="I2500" s="20">
        <f>Разбивка_по_щитам!L2505</f>
      </c>
      <c r="J2500" s="20">
        <f>Разбивка_по_щитам!M2505</f>
      </c>
      <c r="K2500" s="20">
        <f>Разбивка_по_щитам!N2505</f>
      </c>
      <c r="L2500" s="20"/>
      <c r="M2500" s="20">
        <f>Разбивка_по_щитам!P2505</f>
      </c>
      <c r="N2500" s="20"/>
    </row>
    <row r="2501" spans="2:14" x14ac:dyDescent="0.25">
      <c r="B2501" s="20">
        <f>Разбивка_по_щитам!B2506</f>
      </c>
      <c r="C2501" s="20">
        <f>Разбивка_по_щитам!C2506</f>
      </c>
      <c r="D2501" s="20">
        <f>Разбивка_по_щитам!F2506</f>
      </c>
      <c r="E2501" s="20">
        <f>Разбивка_по_щитам!H2506</f>
      </c>
      <c r="F2501" s="20">
        <f>Разбивка_по_щитам!I2506</f>
      </c>
      <c r="G2501" s="20">
        <f>Разбивка_по_щитам!J2506</f>
      </c>
      <c r="H2501" s="20">
        <f>Разбивка_по_щитам!K2506</f>
      </c>
      <c r="I2501" s="20">
        <f>Разбивка_по_щитам!L2506</f>
      </c>
      <c r="J2501" s="20">
        <f>Разбивка_по_щитам!M2506</f>
      </c>
      <c r="K2501" s="20">
        <f>Разбивка_по_щитам!N2506</f>
      </c>
      <c r="L2501" s="20"/>
      <c r="M2501" s="20">
        <f>Разбивка_по_щитам!P2506</f>
      </c>
      <c r="N2501" s="20"/>
    </row>
    <row r="2502" spans="2:14" x14ac:dyDescent="0.25">
      <c r="B2502" s="20">
        <f>Разбивка_по_щитам!B2507</f>
      </c>
      <c r="C2502" s="20">
        <f>Разбивка_по_щитам!C2507</f>
      </c>
      <c r="D2502" s="20">
        <f>Разбивка_по_щитам!F2507</f>
      </c>
      <c r="E2502" s="20">
        <f>Разбивка_по_щитам!H2507</f>
      </c>
      <c r="F2502" s="20">
        <f>Разбивка_по_щитам!I2507</f>
      </c>
      <c r="G2502" s="20">
        <f>Разбивка_по_щитам!J2507</f>
      </c>
      <c r="H2502" s="20">
        <f>Разбивка_по_щитам!K2507</f>
      </c>
      <c r="I2502" s="20">
        <f>Разбивка_по_щитам!L2507</f>
      </c>
      <c r="J2502" s="20">
        <f>Разбивка_по_щитам!M2507</f>
      </c>
      <c r="K2502" s="20">
        <f>Разбивка_по_щитам!N2507</f>
      </c>
      <c r="L2502" s="20"/>
      <c r="M2502" s="20">
        <f>Разбивка_по_щитам!P2507</f>
      </c>
      <c r="N2502" s="20"/>
    </row>
    <row r="2503" spans="2:14" x14ac:dyDescent="0.25">
      <c r="B2503" s="20">
        <f>Разбивка_по_щитам!B2508</f>
      </c>
      <c r="C2503" s="20">
        <f>Разбивка_по_щитам!C2508</f>
      </c>
      <c r="D2503" s="20">
        <f>Разбивка_по_щитам!F2508</f>
      </c>
      <c r="E2503" s="20">
        <f>Разбивка_по_щитам!H2508</f>
      </c>
      <c r="F2503" s="20">
        <f>Разбивка_по_щитам!I2508</f>
      </c>
      <c r="G2503" s="20">
        <f>Разбивка_по_щитам!J2508</f>
      </c>
      <c r="H2503" s="20">
        <f>Разбивка_по_щитам!K2508</f>
      </c>
      <c r="I2503" s="20">
        <f>Разбивка_по_щитам!L2508</f>
      </c>
      <c r="J2503" s="20">
        <f>Разбивка_по_щитам!M2508</f>
      </c>
      <c r="K2503" s="20">
        <f>Разбивка_по_щитам!N2508</f>
      </c>
      <c r="L2503" s="20"/>
      <c r="M2503" s="20">
        <f>Разбивка_по_щитам!P2508</f>
      </c>
      <c r="N2503" s="20"/>
    </row>
    <row r="2504" spans="2:14" x14ac:dyDescent="0.25">
      <c r="B2504" s="20">
        <f>Разбивка_по_щитам!B2509</f>
      </c>
      <c r="C2504" s="20">
        <f>Разбивка_по_щитам!C2509</f>
      </c>
      <c r="D2504" s="20">
        <f>Разбивка_по_щитам!F2509</f>
      </c>
      <c r="E2504" s="20">
        <f>Разбивка_по_щитам!H2509</f>
      </c>
      <c r="F2504" s="20">
        <f>Разбивка_по_щитам!I2509</f>
      </c>
      <c r="G2504" s="20">
        <f>Разбивка_по_щитам!J2509</f>
      </c>
      <c r="H2504" s="20">
        <f>Разбивка_по_щитам!K2509</f>
      </c>
      <c r="I2504" s="20">
        <f>Разбивка_по_щитам!L2509</f>
      </c>
      <c r="J2504" s="20">
        <f>Разбивка_по_щитам!M2509</f>
      </c>
      <c r="K2504" s="20">
        <f>Разбивка_по_щитам!N2509</f>
      </c>
      <c r="L2504" s="20"/>
      <c r="M2504" s="20">
        <f>Разбивка_по_щитам!P2509</f>
      </c>
      <c r="N2504" s="20"/>
    </row>
    <row r="2505" spans="2:14" x14ac:dyDescent="0.25">
      <c r="B2505" s="20">
        <f>Разбивка_по_щитам!B2510</f>
      </c>
      <c r="C2505" s="20">
        <f>Разбивка_по_щитам!C2510</f>
      </c>
      <c r="D2505" s="20">
        <f>Разбивка_по_щитам!F2510</f>
      </c>
      <c r="E2505" s="20">
        <f>Разбивка_по_щитам!H2510</f>
      </c>
      <c r="F2505" s="20">
        <f>Разбивка_по_щитам!I2510</f>
      </c>
      <c r="G2505" s="20">
        <f>Разбивка_по_щитам!J2510</f>
      </c>
      <c r="H2505" s="20">
        <f>Разбивка_по_щитам!K2510</f>
      </c>
      <c r="I2505" s="20">
        <f>Разбивка_по_щитам!L2510</f>
      </c>
      <c r="J2505" s="20">
        <f>Разбивка_по_щитам!M2510</f>
      </c>
      <c r="K2505" s="20">
        <f>Разбивка_по_щитам!N2510</f>
      </c>
      <c r="L2505" s="20"/>
      <c r="M2505" s="20">
        <f>Разбивка_по_щитам!P2510</f>
      </c>
      <c r="N2505" s="20"/>
    </row>
    <row r="2506" spans="2:14" x14ac:dyDescent="0.25">
      <c r="B2506" s="20">
        <f>Разбивка_по_щитам!B2511</f>
      </c>
      <c r="C2506" s="20">
        <f>Разбивка_по_щитам!C2511</f>
      </c>
      <c r="D2506" s="20">
        <f>Разбивка_по_щитам!F2511</f>
      </c>
      <c r="E2506" s="20">
        <f>Разбивка_по_щитам!H2511</f>
      </c>
      <c r="F2506" s="20">
        <f>Разбивка_по_щитам!I2511</f>
      </c>
      <c r="G2506" s="20">
        <f>Разбивка_по_щитам!J2511</f>
      </c>
      <c r="H2506" s="20">
        <f>Разбивка_по_щитам!K2511</f>
      </c>
      <c r="I2506" s="20">
        <f>Разбивка_по_щитам!L2511</f>
      </c>
      <c r="J2506" s="20">
        <f>Разбивка_по_щитам!M2511</f>
      </c>
      <c r="K2506" s="20">
        <f>Разбивка_по_щитам!N2511</f>
      </c>
      <c r="L2506" s="20"/>
      <c r="M2506" s="20">
        <f>Разбивка_по_щитам!P2511</f>
      </c>
      <c r="N2506" s="20"/>
    </row>
    <row r="2507" spans="2:14" x14ac:dyDescent="0.25">
      <c r="B2507" s="20">
        <f>Разбивка_по_щитам!B2512</f>
      </c>
      <c r="C2507" s="20">
        <f>Разбивка_по_щитам!C2512</f>
      </c>
      <c r="D2507" s="20">
        <f>Разбивка_по_щитам!F2512</f>
      </c>
      <c r="E2507" s="20">
        <f>Разбивка_по_щитам!H2512</f>
      </c>
      <c r="F2507" s="20">
        <f>Разбивка_по_щитам!I2512</f>
      </c>
      <c r="G2507" s="20">
        <f>Разбивка_по_щитам!J2512</f>
      </c>
      <c r="H2507" s="20">
        <f>Разбивка_по_щитам!K2512</f>
      </c>
      <c r="I2507" s="20">
        <f>Разбивка_по_щитам!L2512</f>
      </c>
      <c r="J2507" s="20">
        <f>Разбивка_по_щитам!M2512</f>
      </c>
      <c r="K2507" s="20">
        <f>Разбивка_по_щитам!N2512</f>
      </c>
      <c r="L2507" s="20"/>
      <c r="M2507" s="20">
        <f>Разбивка_по_щитам!P2512</f>
      </c>
      <c r="N2507" s="20"/>
    </row>
    <row r="2508" spans="2:14" x14ac:dyDescent="0.25">
      <c r="B2508" s="20">
        <f>Разбивка_по_щитам!B2513</f>
      </c>
      <c r="C2508" s="20">
        <f>Разбивка_по_щитам!C2513</f>
      </c>
      <c r="D2508" s="20">
        <f>Разбивка_по_щитам!F2513</f>
      </c>
      <c r="E2508" s="20">
        <f>Разбивка_по_щитам!H2513</f>
      </c>
      <c r="F2508" s="20">
        <f>Разбивка_по_щитам!I2513</f>
      </c>
      <c r="G2508" s="20">
        <f>Разбивка_по_щитам!J2513</f>
      </c>
      <c r="H2508" s="20">
        <f>Разбивка_по_щитам!K2513</f>
      </c>
      <c r="I2508" s="20">
        <f>Разбивка_по_щитам!L2513</f>
      </c>
      <c r="J2508" s="20">
        <f>Разбивка_по_щитам!M2513</f>
      </c>
      <c r="K2508" s="20">
        <f>Разбивка_по_щитам!N2513</f>
      </c>
      <c r="L2508" s="20"/>
      <c r="M2508" s="20">
        <f>Разбивка_по_щитам!P2513</f>
      </c>
      <c r="N2508" s="20"/>
    </row>
    <row r="2509" spans="2:14" x14ac:dyDescent="0.25">
      <c r="B2509" s="20">
        <f>Разбивка_по_щитам!B2514</f>
      </c>
      <c r="C2509" s="20">
        <f>Разбивка_по_щитам!C2514</f>
      </c>
      <c r="D2509" s="20">
        <f>Разбивка_по_щитам!F2514</f>
      </c>
      <c r="E2509" s="20">
        <f>Разбивка_по_щитам!H2514</f>
      </c>
      <c r="F2509" s="20">
        <f>Разбивка_по_щитам!I2514</f>
      </c>
      <c r="G2509" s="20">
        <f>Разбивка_по_щитам!J2514</f>
      </c>
      <c r="H2509" s="20">
        <f>Разбивка_по_щитам!K2514</f>
      </c>
      <c r="I2509" s="20">
        <f>Разбивка_по_щитам!L2514</f>
      </c>
      <c r="J2509" s="20">
        <f>Разбивка_по_щитам!M2514</f>
      </c>
      <c r="K2509" s="20">
        <f>Разбивка_по_щитам!N2514</f>
      </c>
      <c r="L2509" s="20"/>
      <c r="M2509" s="20">
        <f>Разбивка_по_щитам!P2514</f>
      </c>
      <c r="N2509" s="20"/>
    </row>
    <row r="2510" spans="2:14" x14ac:dyDescent="0.25">
      <c r="B2510" s="20">
        <f>Разбивка_по_щитам!B2515</f>
      </c>
      <c r="C2510" s="20">
        <f>Разбивка_по_щитам!C2515</f>
      </c>
      <c r="D2510" s="20">
        <f>Разбивка_по_щитам!F2515</f>
      </c>
      <c r="E2510" s="20">
        <f>Разбивка_по_щитам!H2515</f>
      </c>
      <c r="F2510" s="20">
        <f>Разбивка_по_щитам!I2515</f>
      </c>
      <c r="G2510" s="20">
        <f>Разбивка_по_щитам!J2515</f>
      </c>
      <c r="H2510" s="20">
        <f>Разбивка_по_щитам!K2515</f>
      </c>
      <c r="I2510" s="20">
        <f>Разбивка_по_щитам!L2515</f>
      </c>
      <c r="J2510" s="20">
        <f>Разбивка_по_щитам!M2515</f>
      </c>
      <c r="K2510" s="20">
        <f>Разбивка_по_щитам!N2515</f>
      </c>
      <c r="L2510" s="20"/>
      <c r="M2510" s="20">
        <f>Разбивка_по_щитам!P2515</f>
      </c>
      <c r="N2510" s="20"/>
    </row>
    <row r="2511" spans="2:14" x14ac:dyDescent="0.25">
      <c r="B2511" s="20">
        <f>Разбивка_по_щитам!B2516</f>
      </c>
      <c r="C2511" s="20">
        <f>Разбивка_по_щитам!C2516</f>
      </c>
      <c r="D2511" s="20">
        <f>Разбивка_по_щитам!F2516</f>
      </c>
      <c r="E2511" s="20">
        <f>Разбивка_по_щитам!H2516</f>
      </c>
      <c r="F2511" s="20">
        <f>Разбивка_по_щитам!I2516</f>
      </c>
      <c r="G2511" s="20">
        <f>Разбивка_по_щитам!J2516</f>
      </c>
      <c r="H2511" s="20">
        <f>Разбивка_по_щитам!K2516</f>
      </c>
      <c r="I2511" s="20">
        <f>Разбивка_по_щитам!L2516</f>
      </c>
      <c r="J2511" s="20">
        <f>Разбивка_по_щитам!M2516</f>
      </c>
      <c r="K2511" s="20">
        <f>Разбивка_по_щитам!N2516</f>
      </c>
      <c r="L2511" s="20"/>
      <c r="M2511" s="20">
        <f>Разбивка_по_щитам!P2516</f>
      </c>
      <c r="N2511" s="20"/>
    </row>
    <row r="2512" spans="2:14" x14ac:dyDescent="0.25">
      <c r="B2512" s="20">
        <f>Разбивка_по_щитам!B2517</f>
      </c>
      <c r="C2512" s="20">
        <f>Разбивка_по_щитам!C2517</f>
      </c>
      <c r="D2512" s="20">
        <f>Разбивка_по_щитам!F2517</f>
      </c>
      <c r="E2512" s="20">
        <f>Разбивка_по_щитам!H2517</f>
      </c>
      <c r="F2512" s="20">
        <f>Разбивка_по_щитам!I2517</f>
      </c>
      <c r="G2512" s="20">
        <f>Разбивка_по_щитам!J2517</f>
      </c>
      <c r="H2512" s="20">
        <f>Разбивка_по_щитам!K2517</f>
      </c>
      <c r="I2512" s="20">
        <f>Разбивка_по_щитам!L2517</f>
      </c>
      <c r="J2512" s="20">
        <f>Разбивка_по_щитам!M2517</f>
      </c>
      <c r="K2512" s="20">
        <f>Разбивка_по_щитам!N2517</f>
      </c>
      <c r="L2512" s="20"/>
      <c r="M2512" s="20">
        <f>Разбивка_по_щитам!P2517</f>
      </c>
      <c r="N2512" s="20"/>
    </row>
    <row r="2513" spans="2:14" x14ac:dyDescent="0.25">
      <c r="B2513" s="20">
        <f>Разбивка_по_щитам!B2518</f>
      </c>
      <c r="C2513" s="20">
        <f>Разбивка_по_щитам!C2518</f>
      </c>
      <c r="D2513" s="20">
        <f>Разбивка_по_щитам!F2518</f>
      </c>
      <c r="E2513" s="20">
        <f>Разбивка_по_щитам!H2518</f>
      </c>
      <c r="F2513" s="20">
        <f>Разбивка_по_щитам!I2518</f>
      </c>
      <c r="G2513" s="20">
        <f>Разбивка_по_щитам!J2518</f>
      </c>
      <c r="H2513" s="20">
        <f>Разбивка_по_щитам!K2518</f>
      </c>
      <c r="I2513" s="20">
        <f>Разбивка_по_щитам!L2518</f>
      </c>
      <c r="J2513" s="20">
        <f>Разбивка_по_щитам!M2518</f>
      </c>
      <c r="K2513" s="20">
        <f>Разбивка_по_щитам!N2518</f>
      </c>
      <c r="L2513" s="20"/>
      <c r="M2513" s="20">
        <f>Разбивка_по_щитам!P2518</f>
      </c>
      <c r="N2513" s="20"/>
    </row>
    <row r="2514" spans="2:14" x14ac:dyDescent="0.25">
      <c r="B2514" s="20">
        <f>Разбивка_по_щитам!B2519</f>
      </c>
      <c r="C2514" s="20">
        <f>Разбивка_по_щитам!C2519</f>
      </c>
      <c r="D2514" s="20">
        <f>Разбивка_по_щитам!F2519</f>
      </c>
      <c r="E2514" s="20">
        <f>Разбивка_по_щитам!H2519</f>
      </c>
      <c r="F2514" s="20">
        <f>Разбивка_по_щитам!I2519</f>
      </c>
      <c r="G2514" s="20">
        <f>Разбивка_по_щитам!J2519</f>
      </c>
      <c r="H2514" s="20">
        <f>Разбивка_по_щитам!K2519</f>
      </c>
      <c r="I2514" s="20">
        <f>Разбивка_по_щитам!L2519</f>
      </c>
      <c r="J2514" s="20">
        <f>Разбивка_по_щитам!M2519</f>
      </c>
      <c r="K2514" s="20">
        <f>Разбивка_по_щитам!N2519</f>
      </c>
      <c r="L2514" s="20"/>
      <c r="M2514" s="20">
        <f>Разбивка_по_щитам!P2519</f>
      </c>
      <c r="N2514" s="20"/>
    </row>
    <row r="2515" spans="2:14" x14ac:dyDescent="0.25">
      <c r="B2515" s="20">
        <f>Разбивка_по_щитам!B2520</f>
      </c>
      <c r="C2515" s="20">
        <f>Разбивка_по_щитам!C2520</f>
      </c>
      <c r="D2515" s="20">
        <f>Разбивка_по_щитам!F2520</f>
      </c>
      <c r="E2515" s="20">
        <f>Разбивка_по_щитам!H2520</f>
      </c>
      <c r="F2515" s="20">
        <f>Разбивка_по_щитам!I2520</f>
      </c>
      <c r="G2515" s="20">
        <f>Разбивка_по_щитам!J2520</f>
      </c>
      <c r="H2515" s="20">
        <f>Разбивка_по_щитам!K2520</f>
      </c>
      <c r="I2515" s="20">
        <f>Разбивка_по_щитам!L2520</f>
      </c>
      <c r="J2515" s="20">
        <f>Разбивка_по_щитам!M2520</f>
      </c>
      <c r="K2515" s="20">
        <f>Разбивка_по_щитам!N2520</f>
      </c>
      <c r="L2515" s="20"/>
      <c r="M2515" s="20">
        <f>Разбивка_по_щитам!P2520</f>
      </c>
      <c r="N2515" s="20"/>
    </row>
    <row r="2516" spans="2:14" x14ac:dyDescent="0.25">
      <c r="B2516" s="20">
        <f>Разбивка_по_щитам!B2521</f>
      </c>
      <c r="C2516" s="20">
        <f>Разбивка_по_щитам!C2521</f>
      </c>
      <c r="D2516" s="20">
        <f>Разбивка_по_щитам!F2521</f>
      </c>
      <c r="E2516" s="20">
        <f>Разбивка_по_щитам!H2521</f>
      </c>
      <c r="F2516" s="20">
        <f>Разбивка_по_щитам!I2521</f>
      </c>
      <c r="G2516" s="20">
        <f>Разбивка_по_щитам!J2521</f>
      </c>
      <c r="H2516" s="20">
        <f>Разбивка_по_щитам!K2521</f>
      </c>
      <c r="I2516" s="20">
        <f>Разбивка_по_щитам!L2521</f>
      </c>
      <c r="J2516" s="20">
        <f>Разбивка_по_щитам!M2521</f>
      </c>
      <c r="K2516" s="20">
        <f>Разбивка_по_щитам!N2521</f>
      </c>
      <c r="L2516" s="20"/>
      <c r="M2516" s="20">
        <f>Разбивка_по_щитам!P2521</f>
      </c>
      <c r="N2516" s="20"/>
    </row>
    <row r="2517" spans="2:14" x14ac:dyDescent="0.25">
      <c r="B2517" s="20">
        <f>Разбивка_по_щитам!B2522</f>
      </c>
      <c r="C2517" s="20">
        <f>Разбивка_по_щитам!C2522</f>
      </c>
      <c r="D2517" s="20">
        <f>Разбивка_по_щитам!F2522</f>
      </c>
      <c r="E2517" s="20">
        <f>Разбивка_по_щитам!H2522</f>
      </c>
      <c r="F2517" s="20">
        <f>Разбивка_по_щитам!I2522</f>
      </c>
      <c r="G2517" s="20">
        <f>Разбивка_по_щитам!J2522</f>
      </c>
      <c r="H2517" s="20">
        <f>Разбивка_по_щитам!K2522</f>
      </c>
      <c r="I2517" s="20">
        <f>Разбивка_по_щитам!L2522</f>
      </c>
      <c r="J2517" s="20">
        <f>Разбивка_по_щитам!M2522</f>
      </c>
      <c r="K2517" s="20">
        <f>Разбивка_по_щитам!N2522</f>
      </c>
      <c r="L2517" s="20"/>
      <c r="M2517" s="20">
        <f>Разбивка_по_щитам!P2522</f>
      </c>
      <c r="N2517" s="20"/>
    </row>
    <row r="2518" spans="2:14" x14ac:dyDescent="0.25">
      <c r="B2518" s="20">
        <f>Разбивка_по_щитам!B2523</f>
      </c>
      <c r="C2518" s="20">
        <f>Разбивка_по_щитам!C2523</f>
      </c>
      <c r="D2518" s="20">
        <f>Разбивка_по_щитам!F2523</f>
      </c>
      <c r="E2518" s="20">
        <f>Разбивка_по_щитам!H2523</f>
      </c>
      <c r="F2518" s="20">
        <f>Разбивка_по_щитам!I2523</f>
      </c>
      <c r="G2518" s="20">
        <f>Разбивка_по_щитам!J2523</f>
      </c>
      <c r="H2518" s="20">
        <f>Разбивка_по_щитам!K2523</f>
      </c>
      <c r="I2518" s="20">
        <f>Разбивка_по_щитам!L2523</f>
      </c>
      <c r="J2518" s="20">
        <f>Разбивка_по_щитам!M2523</f>
      </c>
      <c r="K2518" s="20">
        <f>Разбивка_по_щитам!N2523</f>
      </c>
      <c r="L2518" s="20"/>
      <c r="M2518" s="20">
        <f>Разбивка_по_щитам!P2523</f>
      </c>
      <c r="N2518" s="20"/>
    </row>
    <row r="2519" spans="2:14" x14ac:dyDescent="0.25">
      <c r="B2519" s="20">
        <f>Разбивка_по_щитам!B2524</f>
      </c>
      <c r="C2519" s="20">
        <f>Разбивка_по_щитам!C2524</f>
      </c>
      <c r="D2519" s="20">
        <f>Разбивка_по_щитам!F2524</f>
      </c>
      <c r="E2519" s="20">
        <f>Разбивка_по_щитам!H2524</f>
      </c>
      <c r="F2519" s="20">
        <f>Разбивка_по_щитам!I2524</f>
      </c>
      <c r="G2519" s="20">
        <f>Разбивка_по_щитам!J2524</f>
      </c>
      <c r="H2519" s="20">
        <f>Разбивка_по_щитам!K2524</f>
      </c>
      <c r="I2519" s="20">
        <f>Разбивка_по_щитам!L2524</f>
      </c>
      <c r="J2519" s="20">
        <f>Разбивка_по_щитам!M2524</f>
      </c>
      <c r="K2519" s="20">
        <f>Разбивка_по_щитам!N2524</f>
      </c>
      <c r="L2519" s="20"/>
      <c r="M2519" s="20">
        <f>Разбивка_по_щитам!P2524</f>
      </c>
      <c r="N2519" s="20"/>
    </row>
    <row r="2520" spans="2:14" x14ac:dyDescent="0.25">
      <c r="B2520" s="20">
        <f>Разбивка_по_щитам!B2525</f>
      </c>
      <c r="C2520" s="20">
        <f>Разбивка_по_щитам!C2525</f>
      </c>
      <c r="D2520" s="20">
        <f>Разбивка_по_щитам!F2525</f>
      </c>
      <c r="E2520" s="20">
        <f>Разбивка_по_щитам!H2525</f>
      </c>
      <c r="F2520" s="20">
        <f>Разбивка_по_щитам!I2525</f>
      </c>
      <c r="G2520" s="20">
        <f>Разбивка_по_щитам!J2525</f>
      </c>
      <c r="H2520" s="20">
        <f>Разбивка_по_щитам!K2525</f>
      </c>
      <c r="I2520" s="20">
        <f>Разбивка_по_щитам!L2525</f>
      </c>
      <c r="J2520" s="20">
        <f>Разбивка_по_щитам!M2525</f>
      </c>
      <c r="K2520" s="20">
        <f>Разбивка_по_щитам!N2525</f>
      </c>
      <c r="L2520" s="20"/>
      <c r="M2520" s="20">
        <f>Разбивка_по_щитам!P2525</f>
      </c>
      <c r="N2520" s="20"/>
    </row>
    <row r="2521" spans="2:14" x14ac:dyDescent="0.25">
      <c r="B2521" s="20">
        <f>Разбивка_по_щитам!B2526</f>
      </c>
      <c r="C2521" s="20">
        <f>Разбивка_по_щитам!C2526</f>
      </c>
      <c r="D2521" s="20">
        <f>Разбивка_по_щитам!F2526</f>
      </c>
      <c r="E2521" s="20">
        <f>Разбивка_по_щитам!H2526</f>
      </c>
      <c r="F2521" s="20">
        <f>Разбивка_по_щитам!I2526</f>
      </c>
      <c r="G2521" s="20">
        <f>Разбивка_по_щитам!J2526</f>
      </c>
      <c r="H2521" s="20">
        <f>Разбивка_по_щитам!K2526</f>
      </c>
      <c r="I2521" s="20">
        <f>Разбивка_по_щитам!L2526</f>
      </c>
      <c r="J2521" s="20">
        <f>Разбивка_по_щитам!M2526</f>
      </c>
      <c r="K2521" s="20">
        <f>Разбивка_по_щитам!N2526</f>
      </c>
      <c r="L2521" s="20"/>
      <c r="M2521" s="20">
        <f>Разбивка_по_щитам!P2526</f>
      </c>
      <c r="N2521" s="20"/>
    </row>
    <row r="2522" spans="2:14" x14ac:dyDescent="0.25">
      <c r="B2522" s="20">
        <f>Разбивка_по_щитам!B2527</f>
      </c>
      <c r="C2522" s="20">
        <f>Разбивка_по_щитам!C2527</f>
      </c>
      <c r="D2522" s="20">
        <f>Разбивка_по_щитам!F2527</f>
      </c>
      <c r="E2522" s="20">
        <f>Разбивка_по_щитам!H2527</f>
      </c>
      <c r="F2522" s="20">
        <f>Разбивка_по_щитам!I2527</f>
      </c>
      <c r="G2522" s="20">
        <f>Разбивка_по_щитам!J2527</f>
      </c>
      <c r="H2522" s="20">
        <f>Разбивка_по_щитам!K2527</f>
      </c>
      <c r="I2522" s="20">
        <f>Разбивка_по_щитам!L2527</f>
      </c>
      <c r="J2522" s="20">
        <f>Разбивка_по_щитам!M2527</f>
      </c>
      <c r="K2522" s="20">
        <f>Разбивка_по_щитам!N2527</f>
      </c>
      <c r="L2522" s="20"/>
      <c r="M2522" s="20">
        <f>Разбивка_по_щитам!P2527</f>
      </c>
      <c r="N2522" s="20"/>
    </row>
    <row r="2523" spans="2:14" x14ac:dyDescent="0.25">
      <c r="B2523" s="20">
        <f>Разбивка_по_щитам!B2528</f>
      </c>
      <c r="C2523" s="20">
        <f>Разбивка_по_щитам!C2528</f>
      </c>
      <c r="D2523" s="20">
        <f>Разбивка_по_щитам!F2528</f>
      </c>
      <c r="E2523" s="20">
        <f>Разбивка_по_щитам!H2528</f>
      </c>
      <c r="F2523" s="20">
        <f>Разбивка_по_щитам!I2528</f>
      </c>
      <c r="G2523" s="20">
        <f>Разбивка_по_щитам!J2528</f>
      </c>
      <c r="H2523" s="20">
        <f>Разбивка_по_щитам!K2528</f>
      </c>
      <c r="I2523" s="20">
        <f>Разбивка_по_щитам!L2528</f>
      </c>
      <c r="J2523" s="20">
        <f>Разбивка_по_щитам!M2528</f>
      </c>
      <c r="K2523" s="20">
        <f>Разбивка_по_щитам!N2528</f>
      </c>
      <c r="L2523" s="20"/>
      <c r="M2523" s="20">
        <f>Разбивка_по_щитам!P2528</f>
      </c>
      <c r="N2523" s="20"/>
    </row>
    <row r="2524" spans="2:14" x14ac:dyDescent="0.25">
      <c r="B2524" s="20">
        <f>Разбивка_по_щитам!B2529</f>
      </c>
      <c r="C2524" s="20">
        <f>Разбивка_по_щитам!C2529</f>
      </c>
      <c r="D2524" s="20">
        <f>Разбивка_по_щитам!F2529</f>
      </c>
      <c r="E2524" s="20">
        <f>Разбивка_по_щитам!H2529</f>
      </c>
      <c r="F2524" s="20">
        <f>Разбивка_по_щитам!I2529</f>
      </c>
      <c r="G2524" s="20">
        <f>Разбивка_по_щитам!J2529</f>
      </c>
      <c r="H2524" s="20">
        <f>Разбивка_по_щитам!K2529</f>
      </c>
      <c r="I2524" s="20">
        <f>Разбивка_по_щитам!L2529</f>
      </c>
      <c r="J2524" s="20">
        <f>Разбивка_по_щитам!M2529</f>
      </c>
      <c r="K2524" s="20">
        <f>Разбивка_по_щитам!N2529</f>
      </c>
      <c r="L2524" s="20"/>
      <c r="M2524" s="20">
        <f>Разбивка_по_щитам!P2529</f>
      </c>
      <c r="N2524" s="20"/>
    </row>
    <row r="2525" spans="2:14" x14ac:dyDescent="0.25">
      <c r="B2525" s="20">
        <f>Разбивка_по_щитам!B2530</f>
      </c>
      <c r="C2525" s="20">
        <f>Разбивка_по_щитам!C2530</f>
      </c>
      <c r="D2525" s="20">
        <f>Разбивка_по_щитам!F2530</f>
      </c>
      <c r="E2525" s="20">
        <f>Разбивка_по_щитам!H2530</f>
      </c>
      <c r="F2525" s="20">
        <f>Разбивка_по_щитам!I2530</f>
      </c>
      <c r="G2525" s="20">
        <f>Разбивка_по_щитам!J2530</f>
      </c>
      <c r="H2525" s="20">
        <f>Разбивка_по_щитам!K2530</f>
      </c>
      <c r="I2525" s="20">
        <f>Разбивка_по_щитам!L2530</f>
      </c>
      <c r="J2525" s="20">
        <f>Разбивка_по_щитам!M2530</f>
      </c>
      <c r="K2525" s="20">
        <f>Разбивка_по_щитам!N2530</f>
      </c>
      <c r="L2525" s="20"/>
      <c r="M2525" s="20">
        <f>Разбивка_по_щитам!P2530</f>
      </c>
      <c r="N2525" s="20"/>
    </row>
    <row r="2526" spans="2:14" x14ac:dyDescent="0.25">
      <c r="B2526" s="20">
        <f>Разбивка_по_щитам!B2531</f>
      </c>
      <c r="C2526" s="20">
        <f>Разбивка_по_щитам!C2531</f>
      </c>
      <c r="D2526" s="20">
        <f>Разбивка_по_щитам!F2531</f>
      </c>
      <c r="E2526" s="20">
        <f>Разбивка_по_щитам!H2531</f>
      </c>
      <c r="F2526" s="20">
        <f>Разбивка_по_щитам!I2531</f>
      </c>
      <c r="G2526" s="20">
        <f>Разбивка_по_щитам!J2531</f>
      </c>
      <c r="H2526" s="20">
        <f>Разбивка_по_щитам!K2531</f>
      </c>
      <c r="I2526" s="20">
        <f>Разбивка_по_щитам!L2531</f>
      </c>
      <c r="J2526" s="20">
        <f>Разбивка_по_щитам!M2531</f>
      </c>
      <c r="K2526" s="20">
        <f>Разбивка_по_щитам!N2531</f>
      </c>
      <c r="L2526" s="20"/>
      <c r="M2526" s="20">
        <f>Разбивка_по_щитам!P2531</f>
      </c>
      <c r="N2526" s="20"/>
    </row>
    <row r="2527" spans="2:14" x14ac:dyDescent="0.25">
      <c r="B2527" s="20">
        <f>Разбивка_по_щитам!B2532</f>
      </c>
      <c r="C2527" s="20">
        <f>Разбивка_по_щитам!C2532</f>
      </c>
      <c r="D2527" s="20">
        <f>Разбивка_по_щитам!F2532</f>
      </c>
      <c r="E2527" s="20">
        <f>Разбивка_по_щитам!H2532</f>
      </c>
      <c r="F2527" s="20">
        <f>Разбивка_по_щитам!I2532</f>
      </c>
      <c r="G2527" s="20">
        <f>Разбивка_по_щитам!J2532</f>
      </c>
      <c r="H2527" s="20">
        <f>Разбивка_по_щитам!K2532</f>
      </c>
      <c r="I2527" s="20">
        <f>Разбивка_по_щитам!L2532</f>
      </c>
      <c r="J2527" s="20">
        <f>Разбивка_по_щитам!M2532</f>
      </c>
      <c r="K2527" s="20">
        <f>Разбивка_по_щитам!N2532</f>
      </c>
      <c r="L2527" s="20"/>
      <c r="M2527" s="20">
        <f>Разбивка_по_щитам!P2532</f>
      </c>
      <c r="N2527" s="20"/>
    </row>
    <row r="2528" spans="2:14" x14ac:dyDescent="0.25">
      <c r="B2528" s="20">
        <f>Разбивка_по_щитам!B2533</f>
      </c>
      <c r="C2528" s="20">
        <f>Разбивка_по_щитам!C2533</f>
      </c>
      <c r="D2528" s="20">
        <f>Разбивка_по_щитам!F2533</f>
      </c>
      <c r="E2528" s="20">
        <f>Разбивка_по_щитам!H2533</f>
      </c>
      <c r="F2528" s="20">
        <f>Разбивка_по_щитам!I2533</f>
      </c>
      <c r="G2528" s="20">
        <f>Разбивка_по_щитам!J2533</f>
      </c>
      <c r="H2528" s="20">
        <f>Разбивка_по_щитам!K2533</f>
      </c>
      <c r="I2528" s="20">
        <f>Разбивка_по_щитам!L2533</f>
      </c>
      <c r="J2528" s="20">
        <f>Разбивка_по_щитам!M2533</f>
      </c>
      <c r="K2528" s="20">
        <f>Разбивка_по_щитам!N2533</f>
      </c>
      <c r="L2528" s="20"/>
      <c r="M2528" s="20">
        <f>Разбивка_по_щитам!P2533</f>
      </c>
      <c r="N2528" s="20"/>
    </row>
    <row r="2529" spans="2:14" x14ac:dyDescent="0.25">
      <c r="B2529" s="20">
        <f>Разбивка_по_щитам!B2534</f>
      </c>
      <c r="C2529" s="20">
        <f>Разбивка_по_щитам!C2534</f>
      </c>
      <c r="D2529" s="20">
        <f>Разбивка_по_щитам!F2534</f>
      </c>
      <c r="E2529" s="20">
        <f>Разбивка_по_щитам!H2534</f>
      </c>
      <c r="F2529" s="20">
        <f>Разбивка_по_щитам!I2534</f>
      </c>
      <c r="G2529" s="20">
        <f>Разбивка_по_щитам!J2534</f>
      </c>
      <c r="H2529" s="20">
        <f>Разбивка_по_щитам!K2534</f>
      </c>
      <c r="I2529" s="20">
        <f>Разбивка_по_щитам!L2534</f>
      </c>
      <c r="J2529" s="20">
        <f>Разбивка_по_щитам!M2534</f>
      </c>
      <c r="K2529" s="20">
        <f>Разбивка_по_щитам!N2534</f>
      </c>
      <c r="L2529" s="20"/>
      <c r="M2529" s="20">
        <f>Разбивка_по_щитам!P2534</f>
      </c>
      <c r="N2529" s="20"/>
    </row>
    <row r="2530" spans="2:14" x14ac:dyDescent="0.25">
      <c r="B2530" s="20">
        <f>Разбивка_по_щитам!B2535</f>
      </c>
      <c r="C2530" s="20">
        <f>Разбивка_по_щитам!C2535</f>
      </c>
      <c r="D2530" s="20">
        <f>Разбивка_по_щитам!F2535</f>
      </c>
      <c r="E2530" s="20">
        <f>Разбивка_по_щитам!H2535</f>
      </c>
      <c r="F2530" s="20">
        <f>Разбивка_по_щитам!I2535</f>
      </c>
      <c r="G2530" s="20">
        <f>Разбивка_по_щитам!J2535</f>
      </c>
      <c r="H2530" s="20">
        <f>Разбивка_по_щитам!K2535</f>
      </c>
      <c r="I2530" s="20">
        <f>Разбивка_по_щитам!L2535</f>
      </c>
      <c r="J2530" s="20">
        <f>Разбивка_по_щитам!M2535</f>
      </c>
      <c r="K2530" s="20">
        <f>Разбивка_по_щитам!N2535</f>
      </c>
      <c r="L2530" s="20"/>
      <c r="M2530" s="20">
        <f>Разбивка_по_щитам!P2535</f>
      </c>
      <c r="N2530" s="20"/>
    </row>
    <row r="2531" spans="2:14" x14ac:dyDescent="0.25">
      <c r="B2531" s="20">
        <f>Разбивка_по_щитам!B2536</f>
      </c>
      <c r="C2531" s="20">
        <f>Разбивка_по_щитам!C2536</f>
      </c>
      <c r="D2531" s="20">
        <f>Разбивка_по_щитам!F2536</f>
      </c>
      <c r="E2531" s="20">
        <f>Разбивка_по_щитам!H2536</f>
      </c>
      <c r="F2531" s="20">
        <f>Разбивка_по_щитам!I2536</f>
      </c>
      <c r="G2531" s="20">
        <f>Разбивка_по_щитам!J2536</f>
      </c>
      <c r="H2531" s="20">
        <f>Разбивка_по_щитам!K2536</f>
      </c>
      <c r="I2531" s="20">
        <f>Разбивка_по_щитам!L2536</f>
      </c>
      <c r="J2531" s="20">
        <f>Разбивка_по_щитам!M2536</f>
      </c>
      <c r="K2531" s="20">
        <f>Разбивка_по_щитам!N2536</f>
      </c>
      <c r="L2531" s="20"/>
      <c r="M2531" s="20">
        <f>Разбивка_по_щитам!P2536</f>
      </c>
      <c r="N2531" s="20"/>
    </row>
    <row r="2532" spans="2:14" x14ac:dyDescent="0.25">
      <c r="B2532" s="20">
        <f>Разбивка_по_щитам!B2537</f>
      </c>
      <c r="C2532" s="20">
        <f>Разбивка_по_щитам!C2537</f>
      </c>
      <c r="D2532" s="20">
        <f>Разбивка_по_щитам!F2537</f>
      </c>
      <c r="E2532" s="20">
        <f>Разбивка_по_щитам!H2537</f>
      </c>
      <c r="F2532" s="20">
        <f>Разбивка_по_щитам!I2537</f>
      </c>
      <c r="G2532" s="20">
        <f>Разбивка_по_щитам!J2537</f>
      </c>
      <c r="H2532" s="20">
        <f>Разбивка_по_щитам!K2537</f>
      </c>
      <c r="I2532" s="20">
        <f>Разбивка_по_щитам!L2537</f>
      </c>
      <c r="J2532" s="20">
        <f>Разбивка_по_щитам!M2537</f>
      </c>
      <c r="K2532" s="20">
        <f>Разбивка_по_щитам!N2537</f>
      </c>
      <c r="L2532" s="20"/>
      <c r="M2532" s="20">
        <f>Разбивка_по_щитам!P2537</f>
      </c>
      <c r="N2532" s="20"/>
    </row>
    <row r="2533" spans="2:14" x14ac:dyDescent="0.25">
      <c r="B2533" s="20">
        <f>Разбивка_по_щитам!B2538</f>
      </c>
      <c r="C2533" s="20">
        <f>Разбивка_по_щитам!C2538</f>
      </c>
      <c r="D2533" s="20">
        <f>Разбивка_по_щитам!F2538</f>
      </c>
      <c r="E2533" s="20">
        <f>Разбивка_по_щитам!H2538</f>
      </c>
      <c r="F2533" s="20">
        <f>Разбивка_по_щитам!I2538</f>
      </c>
      <c r="G2533" s="20">
        <f>Разбивка_по_щитам!J2538</f>
      </c>
      <c r="H2533" s="20">
        <f>Разбивка_по_щитам!K2538</f>
      </c>
      <c r="I2533" s="20">
        <f>Разбивка_по_щитам!L2538</f>
      </c>
      <c r="J2533" s="20">
        <f>Разбивка_по_щитам!M2538</f>
      </c>
      <c r="K2533" s="20">
        <f>Разбивка_по_щитам!N2538</f>
      </c>
      <c r="L2533" s="20"/>
      <c r="M2533" s="20">
        <f>Разбивка_по_щитам!P2538</f>
      </c>
      <c r="N2533" s="20"/>
    </row>
    <row r="2534" spans="2:14" x14ac:dyDescent="0.25">
      <c r="B2534" s="20">
        <f>Разбивка_по_щитам!B2539</f>
      </c>
      <c r="C2534" s="20">
        <f>Разбивка_по_щитам!C2539</f>
      </c>
      <c r="D2534" s="20">
        <f>Разбивка_по_щитам!F2539</f>
      </c>
      <c r="E2534" s="20">
        <f>Разбивка_по_щитам!H2539</f>
      </c>
      <c r="F2534" s="20">
        <f>Разбивка_по_щитам!I2539</f>
      </c>
      <c r="G2534" s="20">
        <f>Разбивка_по_щитам!J2539</f>
      </c>
      <c r="H2534" s="20">
        <f>Разбивка_по_щитам!K2539</f>
      </c>
      <c r="I2534" s="20">
        <f>Разбивка_по_щитам!L2539</f>
      </c>
      <c r="J2534" s="20">
        <f>Разбивка_по_щитам!M2539</f>
      </c>
      <c r="K2534" s="20">
        <f>Разбивка_по_щитам!N2539</f>
      </c>
      <c r="L2534" s="20"/>
      <c r="M2534" s="20">
        <f>Разбивка_по_щитам!P2539</f>
      </c>
      <c r="N2534" s="20"/>
    </row>
    <row r="2535" spans="2:14" x14ac:dyDescent="0.25">
      <c r="B2535" s="20">
        <f>Разбивка_по_щитам!B2540</f>
      </c>
      <c r="C2535" s="20">
        <f>Разбивка_по_щитам!C2540</f>
      </c>
      <c r="D2535" s="20">
        <f>Разбивка_по_щитам!F2540</f>
      </c>
      <c r="E2535" s="20">
        <f>Разбивка_по_щитам!H2540</f>
      </c>
      <c r="F2535" s="20">
        <f>Разбивка_по_щитам!I2540</f>
      </c>
      <c r="G2535" s="20">
        <f>Разбивка_по_щитам!J2540</f>
      </c>
      <c r="H2535" s="20">
        <f>Разбивка_по_щитам!K2540</f>
      </c>
      <c r="I2535" s="20">
        <f>Разбивка_по_щитам!L2540</f>
      </c>
      <c r="J2535" s="20">
        <f>Разбивка_по_щитам!M2540</f>
      </c>
      <c r="K2535" s="20">
        <f>Разбивка_по_щитам!N2540</f>
      </c>
      <c r="L2535" s="20"/>
      <c r="M2535" s="20">
        <f>Разбивка_по_щитам!P2540</f>
      </c>
      <c r="N2535" s="20"/>
    </row>
    <row r="2536" spans="2:14" x14ac:dyDescent="0.25">
      <c r="B2536" s="20">
        <f>Разбивка_по_щитам!B2541</f>
      </c>
      <c r="C2536" s="20">
        <f>Разбивка_по_щитам!C2541</f>
      </c>
      <c r="D2536" s="20">
        <f>Разбивка_по_щитам!F2541</f>
      </c>
      <c r="E2536" s="20">
        <f>Разбивка_по_щитам!H2541</f>
      </c>
      <c r="F2536" s="20">
        <f>Разбивка_по_щитам!I2541</f>
      </c>
      <c r="G2536" s="20">
        <f>Разбивка_по_щитам!J2541</f>
      </c>
      <c r="H2536" s="20">
        <f>Разбивка_по_щитам!K2541</f>
      </c>
      <c r="I2536" s="20">
        <f>Разбивка_по_щитам!L2541</f>
      </c>
      <c r="J2536" s="20">
        <f>Разбивка_по_щитам!M2541</f>
      </c>
      <c r="K2536" s="20">
        <f>Разбивка_по_щитам!N2541</f>
      </c>
      <c r="L2536" s="20"/>
      <c r="M2536" s="20">
        <f>Разбивка_по_щитам!P2541</f>
      </c>
      <c r="N2536" s="20"/>
    </row>
    <row r="2537" spans="2:14" x14ac:dyDescent="0.25">
      <c r="B2537" s="20">
        <f>Разбивка_по_щитам!B2542</f>
      </c>
      <c r="C2537" s="20">
        <f>Разбивка_по_щитам!C2542</f>
      </c>
      <c r="D2537" s="20">
        <f>Разбивка_по_щитам!F2542</f>
      </c>
      <c r="E2537" s="20">
        <f>Разбивка_по_щитам!H2542</f>
      </c>
      <c r="F2537" s="20">
        <f>Разбивка_по_щитам!I2542</f>
      </c>
      <c r="G2537" s="20">
        <f>Разбивка_по_щитам!J2542</f>
      </c>
      <c r="H2537" s="20">
        <f>Разбивка_по_щитам!K2542</f>
      </c>
      <c r="I2537" s="20">
        <f>Разбивка_по_щитам!L2542</f>
      </c>
      <c r="J2537" s="20">
        <f>Разбивка_по_щитам!M2542</f>
      </c>
      <c r="K2537" s="20">
        <f>Разбивка_по_щитам!N2542</f>
      </c>
      <c r="L2537" s="20"/>
      <c r="M2537" s="20">
        <f>Разбивка_по_щитам!P2542</f>
      </c>
      <c r="N2537" s="20"/>
    </row>
    <row r="2538" spans="2:14" x14ac:dyDescent="0.25">
      <c r="B2538" s="20">
        <f>Разбивка_по_щитам!B2543</f>
      </c>
      <c r="C2538" s="20">
        <f>Разбивка_по_щитам!C2543</f>
      </c>
      <c r="D2538" s="20">
        <f>Разбивка_по_щитам!F2543</f>
      </c>
      <c r="E2538" s="20">
        <f>Разбивка_по_щитам!H2543</f>
      </c>
      <c r="F2538" s="20">
        <f>Разбивка_по_щитам!I2543</f>
      </c>
      <c r="G2538" s="20">
        <f>Разбивка_по_щитам!J2543</f>
      </c>
      <c r="H2538" s="20">
        <f>Разбивка_по_щитам!K2543</f>
      </c>
      <c r="I2538" s="20">
        <f>Разбивка_по_щитам!L2543</f>
      </c>
      <c r="J2538" s="20">
        <f>Разбивка_по_щитам!M2543</f>
      </c>
      <c r="K2538" s="20">
        <f>Разбивка_по_щитам!N2543</f>
      </c>
      <c r="L2538" s="20"/>
      <c r="M2538" s="20">
        <f>Разбивка_по_щитам!P2543</f>
      </c>
      <c r="N2538" s="20"/>
    </row>
    <row r="2539" spans="2:14" x14ac:dyDescent="0.25">
      <c r="B2539" s="20">
        <f>Разбивка_по_щитам!B2544</f>
      </c>
      <c r="C2539" s="20">
        <f>Разбивка_по_щитам!C2544</f>
      </c>
      <c r="D2539" s="20">
        <f>Разбивка_по_щитам!F2544</f>
      </c>
      <c r="E2539" s="20">
        <f>Разбивка_по_щитам!H2544</f>
      </c>
      <c r="F2539" s="20">
        <f>Разбивка_по_щитам!I2544</f>
      </c>
      <c r="G2539" s="20">
        <f>Разбивка_по_щитам!J2544</f>
      </c>
      <c r="H2539" s="20">
        <f>Разбивка_по_щитам!K2544</f>
      </c>
      <c r="I2539" s="20">
        <f>Разбивка_по_щитам!L2544</f>
      </c>
      <c r="J2539" s="20">
        <f>Разбивка_по_щитам!M2544</f>
      </c>
      <c r="K2539" s="20">
        <f>Разбивка_по_щитам!N2544</f>
      </c>
      <c r="L2539" s="20"/>
      <c r="M2539" s="20">
        <f>Разбивка_по_щитам!P2544</f>
      </c>
      <c r="N2539" s="20"/>
    </row>
    <row r="2540" spans="2:14" x14ac:dyDescent="0.25">
      <c r="B2540" s="20">
        <f>Разбивка_по_щитам!B2545</f>
      </c>
      <c r="C2540" s="20">
        <f>Разбивка_по_щитам!C2545</f>
      </c>
      <c r="D2540" s="20">
        <f>Разбивка_по_щитам!F2545</f>
      </c>
      <c r="E2540" s="20">
        <f>Разбивка_по_щитам!H2545</f>
      </c>
      <c r="F2540" s="20">
        <f>Разбивка_по_щитам!I2545</f>
      </c>
      <c r="G2540" s="20">
        <f>Разбивка_по_щитам!J2545</f>
      </c>
      <c r="H2540" s="20">
        <f>Разбивка_по_щитам!K2545</f>
      </c>
      <c r="I2540" s="20">
        <f>Разбивка_по_щитам!L2545</f>
      </c>
      <c r="J2540" s="20">
        <f>Разбивка_по_щитам!M2545</f>
      </c>
      <c r="K2540" s="20">
        <f>Разбивка_по_щитам!N2545</f>
      </c>
      <c r="L2540" s="20"/>
      <c r="M2540" s="20">
        <f>Разбивка_по_щитам!P2545</f>
      </c>
      <c r="N2540" s="20"/>
    </row>
    <row r="2541" spans="2:14" x14ac:dyDescent="0.25">
      <c r="B2541" s="20">
        <f>Разбивка_по_щитам!B2546</f>
      </c>
      <c r="C2541" s="20">
        <f>Разбивка_по_щитам!C2546</f>
      </c>
      <c r="D2541" s="20">
        <f>Разбивка_по_щитам!F2546</f>
      </c>
      <c r="E2541" s="20">
        <f>Разбивка_по_щитам!H2546</f>
      </c>
      <c r="F2541" s="20">
        <f>Разбивка_по_щитам!I2546</f>
      </c>
      <c r="G2541" s="20">
        <f>Разбивка_по_щитам!J2546</f>
      </c>
      <c r="H2541" s="20">
        <f>Разбивка_по_щитам!K2546</f>
      </c>
      <c r="I2541" s="20">
        <f>Разбивка_по_щитам!L2546</f>
      </c>
      <c r="J2541" s="20">
        <f>Разбивка_по_щитам!M2546</f>
      </c>
      <c r="K2541" s="20">
        <f>Разбивка_по_щитам!N2546</f>
      </c>
      <c r="L2541" s="20"/>
      <c r="M2541" s="20">
        <f>Разбивка_по_щитам!P2546</f>
      </c>
      <c r="N2541" s="20"/>
    </row>
    <row r="2542" spans="2:14" x14ac:dyDescent="0.25">
      <c r="B2542" s="20">
        <f>Разбивка_по_щитам!B2547</f>
      </c>
      <c r="C2542" s="20">
        <f>Разбивка_по_щитам!C2547</f>
      </c>
      <c r="D2542" s="20">
        <f>Разбивка_по_щитам!F2547</f>
      </c>
      <c r="E2542" s="20">
        <f>Разбивка_по_щитам!H2547</f>
      </c>
      <c r="F2542" s="20">
        <f>Разбивка_по_щитам!I2547</f>
      </c>
      <c r="G2542" s="20">
        <f>Разбивка_по_щитам!J2547</f>
      </c>
      <c r="H2542" s="20">
        <f>Разбивка_по_щитам!K2547</f>
      </c>
      <c r="I2542" s="20">
        <f>Разбивка_по_щитам!L2547</f>
      </c>
      <c r="J2542" s="20">
        <f>Разбивка_по_щитам!M2547</f>
      </c>
      <c r="K2542" s="20">
        <f>Разбивка_по_щитам!N2547</f>
      </c>
      <c r="L2542" s="20"/>
      <c r="M2542" s="20">
        <f>Разбивка_по_щитам!P2547</f>
      </c>
      <c r="N2542" s="20"/>
    </row>
    <row r="2543" spans="2:14" x14ac:dyDescent="0.25">
      <c r="B2543" s="20">
        <f>Разбивка_по_щитам!B2548</f>
      </c>
      <c r="C2543" s="20">
        <f>Разбивка_по_щитам!C2548</f>
      </c>
      <c r="D2543" s="20">
        <f>Разбивка_по_щитам!F2548</f>
      </c>
      <c r="E2543" s="20">
        <f>Разбивка_по_щитам!H2548</f>
      </c>
      <c r="F2543" s="20">
        <f>Разбивка_по_щитам!I2548</f>
      </c>
      <c r="G2543" s="20">
        <f>Разбивка_по_щитам!J2548</f>
      </c>
      <c r="H2543" s="20">
        <f>Разбивка_по_щитам!K2548</f>
      </c>
      <c r="I2543" s="20">
        <f>Разбивка_по_щитам!L2548</f>
      </c>
      <c r="J2543" s="20">
        <f>Разбивка_по_щитам!M2548</f>
      </c>
      <c r="K2543" s="20">
        <f>Разбивка_по_щитам!N2548</f>
      </c>
      <c r="L2543" s="20"/>
      <c r="M2543" s="20">
        <f>Разбивка_по_щитам!P2548</f>
      </c>
      <c r="N2543" s="20"/>
    </row>
    <row r="2544" spans="2:14" x14ac:dyDescent="0.25">
      <c r="B2544" s="20">
        <f>Разбивка_по_щитам!B2549</f>
      </c>
      <c r="C2544" s="20">
        <f>Разбивка_по_щитам!C2549</f>
      </c>
      <c r="D2544" s="20">
        <f>Разбивка_по_щитам!F2549</f>
      </c>
      <c r="E2544" s="20">
        <f>Разбивка_по_щитам!H2549</f>
      </c>
      <c r="F2544" s="20">
        <f>Разбивка_по_щитам!I2549</f>
      </c>
      <c r="G2544" s="20">
        <f>Разбивка_по_щитам!J2549</f>
      </c>
      <c r="H2544" s="20">
        <f>Разбивка_по_щитам!K2549</f>
      </c>
      <c r="I2544" s="20">
        <f>Разбивка_по_щитам!L2549</f>
      </c>
      <c r="J2544" s="20">
        <f>Разбивка_по_щитам!M2549</f>
      </c>
      <c r="K2544" s="20">
        <f>Разбивка_по_щитам!N2549</f>
      </c>
      <c r="L2544" s="20"/>
      <c r="M2544" s="20">
        <f>Разбивка_по_щитам!P2549</f>
      </c>
      <c r="N2544" s="20"/>
    </row>
    <row r="2545" spans="2:14" x14ac:dyDescent="0.25">
      <c r="B2545" s="20">
        <f>Разбивка_по_щитам!B2550</f>
      </c>
      <c r="C2545" s="20">
        <f>Разбивка_по_щитам!C2550</f>
      </c>
      <c r="D2545" s="20">
        <f>Разбивка_по_щитам!F2550</f>
      </c>
      <c r="E2545" s="20">
        <f>Разбивка_по_щитам!H2550</f>
      </c>
      <c r="F2545" s="20">
        <f>Разбивка_по_щитам!I2550</f>
      </c>
      <c r="G2545" s="20">
        <f>Разбивка_по_щитам!J2550</f>
      </c>
      <c r="H2545" s="20">
        <f>Разбивка_по_щитам!K2550</f>
      </c>
      <c r="I2545" s="20">
        <f>Разбивка_по_щитам!L2550</f>
      </c>
      <c r="J2545" s="20">
        <f>Разбивка_по_щитам!M2550</f>
      </c>
      <c r="K2545" s="20">
        <f>Разбивка_по_щитам!N2550</f>
      </c>
      <c r="L2545" s="20"/>
      <c r="M2545" s="20">
        <f>Разбивка_по_щитам!P2550</f>
      </c>
      <c r="N2545" s="20"/>
    </row>
    <row r="2546" spans="2:14" x14ac:dyDescent="0.25">
      <c r="B2546" s="20">
        <f>Разбивка_по_щитам!B2551</f>
      </c>
      <c r="C2546" s="20">
        <f>Разбивка_по_щитам!C2551</f>
      </c>
      <c r="D2546" s="20">
        <f>Разбивка_по_щитам!F2551</f>
      </c>
      <c r="E2546" s="20">
        <f>Разбивка_по_щитам!H2551</f>
      </c>
      <c r="F2546" s="20">
        <f>Разбивка_по_щитам!I2551</f>
      </c>
      <c r="G2546" s="20">
        <f>Разбивка_по_щитам!J2551</f>
      </c>
      <c r="H2546" s="20">
        <f>Разбивка_по_щитам!K2551</f>
      </c>
      <c r="I2546" s="20">
        <f>Разбивка_по_щитам!L2551</f>
      </c>
      <c r="J2546" s="20">
        <f>Разбивка_по_щитам!M2551</f>
      </c>
      <c r="K2546" s="20">
        <f>Разбивка_по_щитам!N2551</f>
      </c>
      <c r="L2546" s="20"/>
      <c r="M2546" s="20">
        <f>Разбивка_по_щитам!P2551</f>
      </c>
      <c r="N2546" s="20"/>
    </row>
    <row r="2547" spans="2:14" x14ac:dyDescent="0.25">
      <c r="B2547" s="20">
        <f>Разбивка_по_щитам!B2552</f>
      </c>
      <c r="C2547" s="20">
        <f>Разбивка_по_щитам!C2552</f>
      </c>
      <c r="D2547" s="20">
        <f>Разбивка_по_щитам!F2552</f>
      </c>
      <c r="E2547" s="20">
        <f>Разбивка_по_щитам!H2552</f>
      </c>
      <c r="F2547" s="20">
        <f>Разбивка_по_щитам!I2552</f>
      </c>
      <c r="G2547" s="20">
        <f>Разбивка_по_щитам!J2552</f>
      </c>
      <c r="H2547" s="20">
        <f>Разбивка_по_щитам!K2552</f>
      </c>
      <c r="I2547" s="20">
        <f>Разбивка_по_щитам!L2552</f>
      </c>
      <c r="J2547" s="20">
        <f>Разбивка_по_щитам!M2552</f>
      </c>
      <c r="K2547" s="20">
        <f>Разбивка_по_щитам!N2552</f>
      </c>
      <c r="L2547" s="20"/>
      <c r="M2547" s="20">
        <f>Разбивка_по_щитам!P2552</f>
      </c>
      <c r="N2547" s="20"/>
    </row>
    <row r="2548" spans="2:14" x14ac:dyDescent="0.25">
      <c r="B2548" s="20">
        <f>Разбивка_по_щитам!B2553</f>
      </c>
      <c r="C2548" s="20">
        <f>Разбивка_по_щитам!C2553</f>
      </c>
      <c r="D2548" s="20">
        <f>Разбивка_по_щитам!F2553</f>
      </c>
      <c r="E2548" s="20">
        <f>Разбивка_по_щитам!H2553</f>
      </c>
      <c r="F2548" s="20">
        <f>Разбивка_по_щитам!I2553</f>
      </c>
      <c r="G2548" s="20">
        <f>Разбивка_по_щитам!J2553</f>
      </c>
      <c r="H2548" s="20">
        <f>Разбивка_по_щитам!K2553</f>
      </c>
      <c r="I2548" s="20">
        <f>Разбивка_по_щитам!L2553</f>
      </c>
      <c r="J2548" s="20">
        <f>Разбивка_по_щитам!M2553</f>
      </c>
      <c r="K2548" s="20">
        <f>Разбивка_по_щитам!N2553</f>
      </c>
      <c r="L2548" s="20"/>
      <c r="M2548" s="20">
        <f>Разбивка_по_щитам!P2553</f>
      </c>
      <c r="N2548" s="20"/>
    </row>
    <row r="2549" spans="2:14" x14ac:dyDescent="0.25">
      <c r="B2549" s="20">
        <f>Разбивка_по_щитам!B2554</f>
      </c>
      <c r="C2549" s="20">
        <f>Разбивка_по_щитам!C2554</f>
      </c>
      <c r="D2549" s="20">
        <f>Разбивка_по_щитам!F2554</f>
      </c>
      <c r="E2549" s="20">
        <f>Разбивка_по_щитам!H2554</f>
      </c>
      <c r="F2549" s="20">
        <f>Разбивка_по_щитам!I2554</f>
      </c>
      <c r="G2549" s="20">
        <f>Разбивка_по_щитам!J2554</f>
      </c>
      <c r="H2549" s="20">
        <f>Разбивка_по_щитам!K2554</f>
      </c>
      <c r="I2549" s="20">
        <f>Разбивка_по_щитам!L2554</f>
      </c>
      <c r="J2549" s="20">
        <f>Разбивка_по_щитам!M2554</f>
      </c>
      <c r="K2549" s="20">
        <f>Разбивка_по_щитам!N2554</f>
      </c>
      <c r="L2549" s="20"/>
      <c r="M2549" s="20">
        <f>Разбивка_по_щитам!P2554</f>
      </c>
      <c r="N2549" s="20"/>
    </row>
    <row r="2550" spans="2:14" x14ac:dyDescent="0.25">
      <c r="B2550" s="20">
        <f>Разбивка_по_щитам!B2555</f>
      </c>
      <c r="C2550" s="20">
        <f>Разбивка_по_щитам!C2555</f>
      </c>
      <c r="D2550" s="20">
        <f>Разбивка_по_щитам!F2555</f>
      </c>
      <c r="E2550" s="20">
        <f>Разбивка_по_щитам!H2555</f>
      </c>
      <c r="F2550" s="20">
        <f>Разбивка_по_щитам!I2555</f>
      </c>
      <c r="G2550" s="20">
        <f>Разбивка_по_щитам!J2555</f>
      </c>
      <c r="H2550" s="20">
        <f>Разбивка_по_щитам!K2555</f>
      </c>
      <c r="I2550" s="20">
        <f>Разбивка_по_щитам!L2555</f>
      </c>
      <c r="J2550" s="20">
        <f>Разбивка_по_щитам!M2555</f>
      </c>
      <c r="K2550" s="20">
        <f>Разбивка_по_щитам!N2555</f>
      </c>
      <c r="L2550" s="20"/>
      <c r="M2550" s="20">
        <f>Разбивка_по_щитам!P2555</f>
      </c>
      <c r="N2550" s="20"/>
    </row>
    <row r="2551" spans="2:14" x14ac:dyDescent="0.25">
      <c r="B2551" s="20">
        <f>Разбивка_по_щитам!B2556</f>
      </c>
      <c r="C2551" s="20">
        <f>Разбивка_по_щитам!C2556</f>
      </c>
      <c r="D2551" s="20">
        <f>Разбивка_по_щитам!F2556</f>
      </c>
      <c r="E2551" s="20">
        <f>Разбивка_по_щитам!H2556</f>
      </c>
      <c r="F2551" s="20">
        <f>Разбивка_по_щитам!I2556</f>
      </c>
      <c r="G2551" s="20">
        <f>Разбивка_по_щитам!J2556</f>
      </c>
      <c r="H2551" s="20">
        <f>Разбивка_по_щитам!K2556</f>
      </c>
      <c r="I2551" s="20">
        <f>Разбивка_по_щитам!L2556</f>
      </c>
      <c r="J2551" s="20">
        <f>Разбивка_по_щитам!M2556</f>
      </c>
      <c r="K2551" s="20">
        <f>Разбивка_по_щитам!N2556</f>
      </c>
      <c r="L2551" s="20"/>
      <c r="M2551" s="20">
        <f>Разбивка_по_щитам!P2556</f>
      </c>
      <c r="N2551" s="20"/>
    </row>
    <row r="2552" spans="2:14" x14ac:dyDescent="0.25">
      <c r="B2552" s="20">
        <f>Разбивка_по_щитам!B2557</f>
      </c>
      <c r="C2552" s="20">
        <f>Разбивка_по_щитам!C2557</f>
      </c>
      <c r="D2552" s="20">
        <f>Разбивка_по_щитам!F2557</f>
      </c>
      <c r="E2552" s="20">
        <f>Разбивка_по_щитам!H2557</f>
      </c>
      <c r="F2552" s="20">
        <f>Разбивка_по_щитам!I2557</f>
      </c>
      <c r="G2552" s="20">
        <f>Разбивка_по_щитам!J2557</f>
      </c>
      <c r="H2552" s="20">
        <f>Разбивка_по_щитам!K2557</f>
      </c>
      <c r="I2552" s="20">
        <f>Разбивка_по_щитам!L2557</f>
      </c>
      <c r="J2552" s="20">
        <f>Разбивка_по_щитам!M2557</f>
      </c>
      <c r="K2552" s="20">
        <f>Разбивка_по_щитам!N2557</f>
      </c>
      <c r="L2552" s="20"/>
      <c r="M2552" s="20">
        <f>Разбивка_по_щитам!P2557</f>
      </c>
      <c r="N2552" s="20"/>
    </row>
    <row r="2553" spans="2:14" x14ac:dyDescent="0.25">
      <c r="B2553" s="20">
        <f>Разбивка_по_щитам!B2558</f>
      </c>
      <c r="C2553" s="20">
        <f>Разбивка_по_щитам!C2558</f>
      </c>
      <c r="D2553" s="20">
        <f>Разбивка_по_щитам!F2558</f>
      </c>
      <c r="E2553" s="20">
        <f>Разбивка_по_щитам!H2558</f>
      </c>
      <c r="F2553" s="20">
        <f>Разбивка_по_щитам!I2558</f>
      </c>
      <c r="G2553" s="20">
        <f>Разбивка_по_щитам!J2558</f>
      </c>
      <c r="H2553" s="20">
        <f>Разбивка_по_щитам!K2558</f>
      </c>
      <c r="I2553" s="20">
        <f>Разбивка_по_щитам!L2558</f>
      </c>
      <c r="J2553" s="20">
        <f>Разбивка_по_щитам!M2558</f>
      </c>
      <c r="K2553" s="20">
        <f>Разбивка_по_щитам!N2558</f>
      </c>
      <c r="L2553" s="20"/>
      <c r="M2553" s="20">
        <f>Разбивка_по_щитам!P2558</f>
      </c>
      <c r="N2553" s="20"/>
    </row>
    <row r="2554" spans="2:14" x14ac:dyDescent="0.25">
      <c r="B2554" s="20">
        <f>Разбивка_по_щитам!B2559</f>
      </c>
      <c r="C2554" s="20">
        <f>Разбивка_по_щитам!C2559</f>
      </c>
      <c r="D2554" s="20">
        <f>Разбивка_по_щитам!F2559</f>
      </c>
      <c r="E2554" s="20">
        <f>Разбивка_по_щитам!H2559</f>
      </c>
      <c r="F2554" s="20">
        <f>Разбивка_по_щитам!I2559</f>
      </c>
      <c r="G2554" s="20">
        <f>Разбивка_по_щитам!J2559</f>
      </c>
      <c r="H2554" s="20">
        <f>Разбивка_по_щитам!K2559</f>
      </c>
      <c r="I2554" s="20">
        <f>Разбивка_по_щитам!L2559</f>
      </c>
      <c r="J2554" s="20">
        <f>Разбивка_по_щитам!M2559</f>
      </c>
      <c r="K2554" s="20">
        <f>Разбивка_по_щитам!N2559</f>
      </c>
      <c r="L2554" s="20"/>
      <c r="M2554" s="20">
        <f>Разбивка_по_щитам!P2559</f>
      </c>
      <c r="N2554" s="20"/>
    </row>
    <row r="2555" spans="2:14" x14ac:dyDescent="0.25">
      <c r="B2555" s="20">
        <f>Разбивка_по_щитам!B2560</f>
      </c>
      <c r="C2555" s="20">
        <f>Разбивка_по_щитам!C2560</f>
      </c>
      <c r="D2555" s="20">
        <f>Разбивка_по_щитам!F2560</f>
      </c>
      <c r="E2555" s="20">
        <f>Разбивка_по_щитам!H2560</f>
      </c>
      <c r="F2555" s="20">
        <f>Разбивка_по_щитам!I2560</f>
      </c>
      <c r="G2555" s="20">
        <f>Разбивка_по_щитам!J2560</f>
      </c>
      <c r="H2555" s="20">
        <f>Разбивка_по_щитам!K2560</f>
      </c>
      <c r="I2555" s="20">
        <f>Разбивка_по_щитам!L2560</f>
      </c>
      <c r="J2555" s="20">
        <f>Разбивка_по_щитам!M2560</f>
      </c>
      <c r="K2555" s="20">
        <f>Разбивка_по_щитам!N2560</f>
      </c>
      <c r="L2555" s="20"/>
      <c r="M2555" s="20">
        <f>Разбивка_по_щитам!P2560</f>
      </c>
      <c r="N2555" s="20"/>
    </row>
    <row r="2556" spans="2:14" x14ac:dyDescent="0.25">
      <c r="B2556" s="20">
        <f>Разбивка_по_щитам!B2561</f>
      </c>
      <c r="C2556" s="20">
        <f>Разбивка_по_щитам!C2561</f>
      </c>
      <c r="D2556" s="20">
        <f>Разбивка_по_щитам!F2561</f>
      </c>
      <c r="E2556" s="20">
        <f>Разбивка_по_щитам!H2561</f>
      </c>
      <c r="F2556" s="20">
        <f>Разбивка_по_щитам!I2561</f>
      </c>
      <c r="G2556" s="20">
        <f>Разбивка_по_щитам!J2561</f>
      </c>
      <c r="H2556" s="20">
        <f>Разбивка_по_щитам!K2561</f>
      </c>
      <c r="I2556" s="20">
        <f>Разбивка_по_щитам!L2561</f>
      </c>
      <c r="J2556" s="20">
        <f>Разбивка_по_щитам!M2561</f>
      </c>
      <c r="K2556" s="20">
        <f>Разбивка_по_щитам!N2561</f>
      </c>
      <c r="L2556" s="20"/>
      <c r="M2556" s="20">
        <f>Разбивка_по_щитам!P2561</f>
      </c>
      <c r="N2556" s="20"/>
    </row>
    <row r="2557" spans="2:14" x14ac:dyDescent="0.25">
      <c r="B2557" s="20">
        <f>Разбивка_по_щитам!B2562</f>
      </c>
      <c r="C2557" s="20">
        <f>Разбивка_по_щитам!C2562</f>
      </c>
      <c r="D2557" s="20">
        <f>Разбивка_по_щитам!F2562</f>
      </c>
      <c r="E2557" s="20">
        <f>Разбивка_по_щитам!H2562</f>
      </c>
      <c r="F2557" s="20">
        <f>Разбивка_по_щитам!I2562</f>
      </c>
      <c r="G2557" s="20">
        <f>Разбивка_по_щитам!J2562</f>
      </c>
      <c r="H2557" s="20">
        <f>Разбивка_по_щитам!K2562</f>
      </c>
      <c r="I2557" s="20">
        <f>Разбивка_по_щитам!L2562</f>
      </c>
      <c r="J2557" s="20">
        <f>Разбивка_по_щитам!M2562</f>
      </c>
      <c r="K2557" s="20">
        <f>Разбивка_по_щитам!N2562</f>
      </c>
      <c r="L2557" s="20"/>
      <c r="M2557" s="20">
        <f>Разбивка_по_щитам!P2562</f>
      </c>
      <c r="N2557" s="20"/>
    </row>
    <row r="2558" spans="2:14" x14ac:dyDescent="0.25">
      <c r="B2558" s="20">
        <f>Разбивка_по_щитам!B2563</f>
      </c>
      <c r="C2558" s="20">
        <f>Разбивка_по_щитам!C2563</f>
      </c>
      <c r="D2558" s="20">
        <f>Разбивка_по_щитам!F2563</f>
      </c>
      <c r="E2558" s="20">
        <f>Разбивка_по_щитам!H2563</f>
      </c>
      <c r="F2558" s="20">
        <f>Разбивка_по_щитам!I2563</f>
      </c>
      <c r="G2558" s="20">
        <f>Разбивка_по_щитам!J2563</f>
      </c>
      <c r="H2558" s="20">
        <f>Разбивка_по_щитам!K2563</f>
      </c>
      <c r="I2558" s="20">
        <f>Разбивка_по_щитам!L2563</f>
      </c>
      <c r="J2558" s="20">
        <f>Разбивка_по_щитам!M2563</f>
      </c>
      <c r="K2558" s="20">
        <f>Разбивка_по_щитам!N2563</f>
      </c>
      <c r="L2558" s="20"/>
      <c r="M2558" s="20">
        <f>Разбивка_по_щитам!P2563</f>
      </c>
      <c r="N2558" s="20"/>
    </row>
    <row r="2559" spans="2:14" x14ac:dyDescent="0.25">
      <c r="B2559" s="20">
        <f>Разбивка_по_щитам!B2564</f>
      </c>
      <c r="C2559" s="20">
        <f>Разбивка_по_щитам!C2564</f>
      </c>
      <c r="D2559" s="20">
        <f>Разбивка_по_щитам!F2564</f>
      </c>
      <c r="E2559" s="20">
        <f>Разбивка_по_щитам!H2564</f>
      </c>
      <c r="F2559" s="20">
        <f>Разбивка_по_щитам!I2564</f>
      </c>
      <c r="G2559" s="20">
        <f>Разбивка_по_щитам!J2564</f>
      </c>
      <c r="H2559" s="20">
        <f>Разбивка_по_щитам!K2564</f>
      </c>
      <c r="I2559" s="20">
        <f>Разбивка_по_щитам!L2564</f>
      </c>
      <c r="J2559" s="20">
        <f>Разбивка_по_щитам!M2564</f>
      </c>
      <c r="K2559" s="20">
        <f>Разбивка_по_щитам!N2564</f>
      </c>
      <c r="L2559" s="20"/>
      <c r="M2559" s="20">
        <f>Разбивка_по_щитам!P2564</f>
      </c>
      <c r="N2559" s="20"/>
    </row>
    <row r="2560" spans="2:14" x14ac:dyDescent="0.25">
      <c r="B2560" s="20">
        <f>Разбивка_по_щитам!B2565</f>
      </c>
      <c r="C2560" s="20">
        <f>Разбивка_по_щитам!C2565</f>
      </c>
      <c r="D2560" s="20">
        <f>Разбивка_по_щитам!F2565</f>
      </c>
      <c r="E2560" s="20">
        <f>Разбивка_по_щитам!H2565</f>
      </c>
      <c r="F2560" s="20">
        <f>Разбивка_по_щитам!I2565</f>
      </c>
      <c r="G2560" s="20">
        <f>Разбивка_по_щитам!J2565</f>
      </c>
      <c r="H2560" s="20">
        <f>Разбивка_по_щитам!K2565</f>
      </c>
      <c r="I2560" s="20">
        <f>Разбивка_по_щитам!L2565</f>
      </c>
      <c r="J2560" s="20">
        <f>Разбивка_по_щитам!M2565</f>
      </c>
      <c r="K2560" s="20">
        <f>Разбивка_по_щитам!N2565</f>
      </c>
      <c r="L2560" s="20"/>
      <c r="M2560" s="20">
        <f>Разбивка_по_щитам!P2565</f>
      </c>
      <c r="N2560" s="20"/>
    </row>
    <row r="2561" spans="2:14" x14ac:dyDescent="0.25">
      <c r="B2561" s="20">
        <f>Разбивка_по_щитам!B2566</f>
      </c>
      <c r="C2561" s="20">
        <f>Разбивка_по_щитам!C2566</f>
      </c>
      <c r="D2561" s="20">
        <f>Разбивка_по_щитам!F2566</f>
      </c>
      <c r="E2561" s="20">
        <f>Разбивка_по_щитам!H2566</f>
      </c>
      <c r="F2561" s="20">
        <f>Разбивка_по_щитам!I2566</f>
      </c>
      <c r="G2561" s="20">
        <f>Разбивка_по_щитам!J2566</f>
      </c>
      <c r="H2561" s="20">
        <f>Разбивка_по_щитам!K2566</f>
      </c>
      <c r="I2561" s="20">
        <f>Разбивка_по_щитам!L2566</f>
      </c>
      <c r="J2561" s="20">
        <f>Разбивка_по_щитам!M2566</f>
      </c>
      <c r="K2561" s="20">
        <f>Разбивка_по_щитам!N2566</f>
      </c>
      <c r="L2561" s="20"/>
      <c r="M2561" s="20">
        <f>Разбивка_по_щитам!P2566</f>
      </c>
      <c r="N2561" s="20"/>
    </row>
    <row r="2562" spans="2:14" x14ac:dyDescent="0.25">
      <c r="B2562" s="20">
        <f>Разбивка_по_щитам!B2567</f>
      </c>
      <c r="C2562" s="20">
        <f>Разбивка_по_щитам!C2567</f>
      </c>
      <c r="D2562" s="20">
        <f>Разбивка_по_щитам!F2567</f>
      </c>
      <c r="E2562" s="20">
        <f>Разбивка_по_щитам!H2567</f>
      </c>
      <c r="F2562" s="20">
        <f>Разбивка_по_щитам!I2567</f>
      </c>
      <c r="G2562" s="20">
        <f>Разбивка_по_щитам!J2567</f>
      </c>
      <c r="H2562" s="20">
        <f>Разбивка_по_щитам!K2567</f>
      </c>
      <c r="I2562" s="20">
        <f>Разбивка_по_щитам!L2567</f>
      </c>
      <c r="J2562" s="20">
        <f>Разбивка_по_щитам!M2567</f>
      </c>
      <c r="K2562" s="20">
        <f>Разбивка_по_щитам!N2567</f>
      </c>
      <c r="L2562" s="20"/>
      <c r="M2562" s="20">
        <f>Разбивка_по_щитам!P2567</f>
      </c>
      <c r="N2562" s="20"/>
    </row>
    <row r="2563" spans="2:14" x14ac:dyDescent="0.25">
      <c r="B2563" s="20">
        <f>Разбивка_по_щитам!B2568</f>
      </c>
      <c r="C2563" s="20">
        <f>Разбивка_по_щитам!C2568</f>
      </c>
      <c r="D2563" s="20">
        <f>Разбивка_по_щитам!F2568</f>
      </c>
      <c r="E2563" s="20">
        <f>Разбивка_по_щитам!H2568</f>
      </c>
      <c r="F2563" s="20">
        <f>Разбивка_по_щитам!I2568</f>
      </c>
      <c r="G2563" s="20">
        <f>Разбивка_по_щитам!J2568</f>
      </c>
      <c r="H2563" s="20">
        <f>Разбивка_по_щитам!K2568</f>
      </c>
      <c r="I2563" s="20">
        <f>Разбивка_по_щитам!L2568</f>
      </c>
      <c r="J2563" s="20">
        <f>Разбивка_по_щитам!M2568</f>
      </c>
      <c r="K2563" s="20">
        <f>Разбивка_по_щитам!N2568</f>
      </c>
      <c r="L2563" s="20"/>
      <c r="M2563" s="20">
        <f>Разбивка_по_щитам!P2568</f>
      </c>
      <c r="N2563" s="20"/>
    </row>
    <row r="2564" spans="2:14" x14ac:dyDescent="0.25">
      <c r="B2564" s="20">
        <f>Разбивка_по_щитам!B2569</f>
      </c>
      <c r="C2564" s="20">
        <f>Разбивка_по_щитам!C2569</f>
      </c>
      <c r="D2564" s="20">
        <f>Разбивка_по_щитам!F2569</f>
      </c>
      <c r="E2564" s="20">
        <f>Разбивка_по_щитам!H2569</f>
      </c>
      <c r="F2564" s="20">
        <f>Разбивка_по_щитам!I2569</f>
      </c>
      <c r="G2564" s="20">
        <f>Разбивка_по_щитам!J2569</f>
      </c>
      <c r="H2564" s="20">
        <f>Разбивка_по_щитам!K2569</f>
      </c>
      <c r="I2564" s="20">
        <f>Разбивка_по_щитам!L2569</f>
      </c>
      <c r="J2564" s="20">
        <f>Разбивка_по_щитам!M2569</f>
      </c>
      <c r="K2564" s="20">
        <f>Разбивка_по_щитам!N2569</f>
      </c>
      <c r="L2564" s="20"/>
      <c r="M2564" s="20">
        <f>Разбивка_по_щитам!P2569</f>
      </c>
      <c r="N2564" s="20"/>
    </row>
    <row r="2565" spans="2:14" x14ac:dyDescent="0.25">
      <c r="B2565" s="20">
        <f>Разбивка_по_щитам!B2570</f>
      </c>
      <c r="C2565" s="20">
        <f>Разбивка_по_щитам!C2570</f>
      </c>
      <c r="D2565" s="20">
        <f>Разбивка_по_щитам!F2570</f>
      </c>
      <c r="E2565" s="20">
        <f>Разбивка_по_щитам!H2570</f>
      </c>
      <c r="F2565" s="20">
        <f>Разбивка_по_щитам!I2570</f>
      </c>
      <c r="G2565" s="20">
        <f>Разбивка_по_щитам!J2570</f>
      </c>
      <c r="H2565" s="20">
        <f>Разбивка_по_щитам!K2570</f>
      </c>
      <c r="I2565" s="20">
        <f>Разбивка_по_щитам!L2570</f>
      </c>
      <c r="J2565" s="20">
        <f>Разбивка_по_щитам!M2570</f>
      </c>
      <c r="K2565" s="20">
        <f>Разбивка_по_щитам!N2570</f>
      </c>
      <c r="L2565" s="20"/>
      <c r="M2565" s="20">
        <f>Разбивка_по_щитам!P2570</f>
      </c>
      <c r="N2565" s="20"/>
    </row>
    <row r="2566" spans="2:14" x14ac:dyDescent="0.25">
      <c r="B2566" s="20">
        <f>Разбивка_по_щитам!B2571</f>
      </c>
      <c r="C2566" s="20">
        <f>Разбивка_по_щитам!C2571</f>
      </c>
      <c r="D2566" s="20">
        <f>Разбивка_по_щитам!F2571</f>
      </c>
      <c r="E2566" s="20">
        <f>Разбивка_по_щитам!H2571</f>
      </c>
      <c r="F2566" s="20">
        <f>Разбивка_по_щитам!I2571</f>
      </c>
      <c r="G2566" s="20">
        <f>Разбивка_по_щитам!J2571</f>
      </c>
      <c r="H2566" s="20">
        <f>Разбивка_по_щитам!K2571</f>
      </c>
      <c r="I2566" s="20">
        <f>Разбивка_по_щитам!L2571</f>
      </c>
      <c r="J2566" s="20">
        <f>Разбивка_по_щитам!M2571</f>
      </c>
      <c r="K2566" s="20">
        <f>Разбивка_по_щитам!N2571</f>
      </c>
      <c r="L2566" s="20"/>
      <c r="M2566" s="20">
        <f>Разбивка_по_щитам!P2571</f>
      </c>
      <c r="N2566" s="20"/>
    </row>
    <row r="2567" spans="2:14" x14ac:dyDescent="0.25">
      <c r="B2567" s="20">
        <f>Разбивка_по_щитам!B2572</f>
      </c>
      <c r="C2567" s="20">
        <f>Разбивка_по_щитам!C2572</f>
      </c>
      <c r="D2567" s="20">
        <f>Разбивка_по_щитам!F2572</f>
      </c>
      <c r="E2567" s="20">
        <f>Разбивка_по_щитам!H2572</f>
      </c>
      <c r="F2567" s="20">
        <f>Разбивка_по_щитам!I2572</f>
      </c>
      <c r="G2567" s="20">
        <f>Разбивка_по_щитам!J2572</f>
      </c>
      <c r="H2567" s="20">
        <f>Разбивка_по_щитам!K2572</f>
      </c>
      <c r="I2567" s="20">
        <f>Разбивка_по_щитам!L2572</f>
      </c>
      <c r="J2567" s="20">
        <f>Разбивка_по_щитам!M2572</f>
      </c>
      <c r="K2567" s="20">
        <f>Разбивка_по_щитам!N2572</f>
      </c>
      <c r="L2567" s="20"/>
      <c r="M2567" s="20">
        <f>Разбивка_по_щитам!P2572</f>
      </c>
      <c r="N2567" s="20"/>
    </row>
    <row r="2568" spans="2:14" x14ac:dyDescent="0.25">
      <c r="B2568" s="20">
        <f>Разбивка_по_щитам!B2573</f>
      </c>
      <c r="C2568" s="20">
        <f>Разбивка_по_щитам!C2573</f>
      </c>
      <c r="D2568" s="20">
        <f>Разбивка_по_щитам!F2573</f>
      </c>
      <c r="E2568" s="20">
        <f>Разбивка_по_щитам!H2573</f>
      </c>
      <c r="F2568" s="20">
        <f>Разбивка_по_щитам!I2573</f>
      </c>
      <c r="G2568" s="20">
        <f>Разбивка_по_щитам!J2573</f>
      </c>
      <c r="H2568" s="20">
        <f>Разбивка_по_щитам!K2573</f>
      </c>
      <c r="I2568" s="20">
        <f>Разбивка_по_щитам!L2573</f>
      </c>
      <c r="J2568" s="20">
        <f>Разбивка_по_щитам!M2573</f>
      </c>
      <c r="K2568" s="20">
        <f>Разбивка_по_щитам!N2573</f>
      </c>
      <c r="L2568" s="20"/>
      <c r="M2568" s="20">
        <f>Разбивка_по_щитам!P2573</f>
      </c>
      <c r="N2568" s="20"/>
    </row>
    <row r="2569" spans="2:14" x14ac:dyDescent="0.25">
      <c r="B2569" s="20">
        <f>Разбивка_по_щитам!B2574</f>
      </c>
      <c r="C2569" s="20">
        <f>Разбивка_по_щитам!C2574</f>
      </c>
      <c r="D2569" s="20">
        <f>Разбивка_по_щитам!F2574</f>
      </c>
      <c r="E2569" s="20">
        <f>Разбивка_по_щитам!H2574</f>
      </c>
      <c r="F2569" s="20">
        <f>Разбивка_по_щитам!I2574</f>
      </c>
      <c r="G2569" s="20">
        <f>Разбивка_по_щитам!J2574</f>
      </c>
      <c r="H2569" s="20">
        <f>Разбивка_по_щитам!K2574</f>
      </c>
      <c r="I2569" s="20">
        <f>Разбивка_по_щитам!L2574</f>
      </c>
      <c r="J2569" s="20">
        <f>Разбивка_по_щитам!M2574</f>
      </c>
      <c r="K2569" s="20">
        <f>Разбивка_по_щитам!N2574</f>
      </c>
      <c r="L2569" s="20"/>
      <c r="M2569" s="20">
        <f>Разбивка_по_щитам!P2574</f>
      </c>
      <c r="N2569" s="20"/>
    </row>
    <row r="2570" spans="2:14" x14ac:dyDescent="0.25">
      <c r="B2570" s="20">
        <f>Разбивка_по_щитам!B2575</f>
      </c>
      <c r="C2570" s="20">
        <f>Разбивка_по_щитам!C2575</f>
      </c>
      <c r="D2570" s="20">
        <f>Разбивка_по_щитам!F2575</f>
      </c>
      <c r="E2570" s="20">
        <f>Разбивка_по_щитам!H2575</f>
      </c>
      <c r="F2570" s="20">
        <f>Разбивка_по_щитам!I2575</f>
      </c>
      <c r="G2570" s="20">
        <f>Разбивка_по_щитам!J2575</f>
      </c>
      <c r="H2570" s="20">
        <f>Разбивка_по_щитам!K2575</f>
      </c>
      <c r="I2570" s="20">
        <f>Разбивка_по_щитам!L2575</f>
      </c>
      <c r="J2570" s="20">
        <f>Разбивка_по_щитам!M2575</f>
      </c>
      <c r="K2570" s="20">
        <f>Разбивка_по_щитам!N2575</f>
      </c>
      <c r="L2570" s="20"/>
      <c r="M2570" s="20">
        <f>Разбивка_по_щитам!P2575</f>
      </c>
      <c r="N2570" s="20"/>
    </row>
    <row r="2571" spans="2:14" x14ac:dyDescent="0.25">
      <c r="B2571" s="20">
        <f>Разбивка_по_щитам!B2576</f>
      </c>
      <c r="C2571" s="20">
        <f>Разбивка_по_щитам!C2576</f>
      </c>
      <c r="D2571" s="20">
        <f>Разбивка_по_щитам!F2576</f>
      </c>
      <c r="E2571" s="20">
        <f>Разбивка_по_щитам!H2576</f>
      </c>
      <c r="F2571" s="20">
        <f>Разбивка_по_щитам!I2576</f>
      </c>
      <c r="G2571" s="20">
        <f>Разбивка_по_щитам!J2576</f>
      </c>
      <c r="H2571" s="20">
        <f>Разбивка_по_щитам!K2576</f>
      </c>
      <c r="I2571" s="20">
        <f>Разбивка_по_щитам!L2576</f>
      </c>
      <c r="J2571" s="20">
        <f>Разбивка_по_щитам!M2576</f>
      </c>
      <c r="K2571" s="20">
        <f>Разбивка_по_щитам!N2576</f>
      </c>
      <c r="L2571" s="20"/>
      <c r="M2571" s="20">
        <f>Разбивка_по_щитам!P2576</f>
      </c>
      <c r="N2571" s="20"/>
    </row>
    <row r="2572" spans="2:14" x14ac:dyDescent="0.25">
      <c r="B2572" s="20">
        <f>Разбивка_по_щитам!B2577</f>
      </c>
      <c r="C2572" s="20">
        <f>Разбивка_по_щитам!C2577</f>
      </c>
      <c r="D2572" s="20">
        <f>Разбивка_по_щитам!F2577</f>
      </c>
      <c r="E2572" s="20">
        <f>Разбивка_по_щитам!H2577</f>
      </c>
      <c r="F2572" s="20">
        <f>Разбивка_по_щитам!I2577</f>
      </c>
      <c r="G2572" s="20">
        <f>Разбивка_по_щитам!J2577</f>
      </c>
      <c r="H2572" s="20">
        <f>Разбивка_по_щитам!K2577</f>
      </c>
      <c r="I2572" s="20">
        <f>Разбивка_по_щитам!L2577</f>
      </c>
      <c r="J2572" s="20">
        <f>Разбивка_по_щитам!M2577</f>
      </c>
      <c r="K2572" s="20">
        <f>Разбивка_по_щитам!N2577</f>
      </c>
      <c r="L2572" s="20"/>
      <c r="M2572" s="20">
        <f>Разбивка_по_щитам!P2577</f>
      </c>
      <c r="N2572" s="20"/>
    </row>
    <row r="2573" spans="2:14" x14ac:dyDescent="0.25">
      <c r="B2573" s="20">
        <f>Разбивка_по_щитам!B2578</f>
      </c>
      <c r="C2573" s="20">
        <f>Разбивка_по_щитам!C2578</f>
      </c>
      <c r="D2573" s="20">
        <f>Разбивка_по_щитам!F2578</f>
      </c>
      <c r="E2573" s="20">
        <f>Разбивка_по_щитам!H2578</f>
      </c>
      <c r="F2573" s="20">
        <f>Разбивка_по_щитам!I2578</f>
      </c>
      <c r="G2573" s="20">
        <f>Разбивка_по_щитам!J2578</f>
      </c>
      <c r="H2573" s="20">
        <f>Разбивка_по_щитам!K2578</f>
      </c>
      <c r="I2573" s="20">
        <f>Разбивка_по_щитам!L2578</f>
      </c>
      <c r="J2573" s="20">
        <f>Разбивка_по_щитам!M2578</f>
      </c>
      <c r="K2573" s="20">
        <f>Разбивка_по_щитам!N2578</f>
      </c>
      <c r="L2573" s="20"/>
      <c r="M2573" s="20">
        <f>Разбивка_по_щитам!P2578</f>
      </c>
      <c r="N2573" s="20"/>
    </row>
    <row r="2574" spans="2:14" x14ac:dyDescent="0.25">
      <c r="B2574" s="20">
        <f>Разбивка_по_щитам!B2579</f>
      </c>
      <c r="C2574" s="20">
        <f>Разбивка_по_щитам!C2579</f>
      </c>
      <c r="D2574" s="20">
        <f>Разбивка_по_щитам!F2579</f>
      </c>
      <c r="E2574" s="20">
        <f>Разбивка_по_щитам!H2579</f>
      </c>
      <c r="F2574" s="20">
        <f>Разбивка_по_щитам!I2579</f>
      </c>
      <c r="G2574" s="20">
        <f>Разбивка_по_щитам!J2579</f>
      </c>
      <c r="H2574" s="20">
        <f>Разбивка_по_щитам!K2579</f>
      </c>
      <c r="I2574" s="20">
        <f>Разбивка_по_щитам!L2579</f>
      </c>
      <c r="J2574" s="20">
        <f>Разбивка_по_щитам!M2579</f>
      </c>
      <c r="K2574" s="20">
        <f>Разбивка_по_щитам!N2579</f>
      </c>
      <c r="L2574" s="20"/>
      <c r="M2574" s="20">
        <f>Разбивка_по_щитам!P2579</f>
      </c>
      <c r="N2574" s="20"/>
    </row>
    <row r="2575" spans="2:14" x14ac:dyDescent="0.25">
      <c r="B2575" s="20">
        <f>Разбивка_по_щитам!B2580</f>
      </c>
      <c r="C2575" s="20">
        <f>Разбивка_по_щитам!C2580</f>
      </c>
      <c r="D2575" s="20">
        <f>Разбивка_по_щитам!F2580</f>
      </c>
      <c r="E2575" s="20">
        <f>Разбивка_по_щитам!H2580</f>
      </c>
      <c r="F2575" s="20">
        <f>Разбивка_по_щитам!I2580</f>
      </c>
      <c r="G2575" s="20">
        <f>Разбивка_по_щитам!J2580</f>
      </c>
      <c r="H2575" s="20">
        <f>Разбивка_по_щитам!K2580</f>
      </c>
      <c r="I2575" s="20">
        <f>Разбивка_по_щитам!L2580</f>
      </c>
      <c r="J2575" s="20">
        <f>Разбивка_по_щитам!M2580</f>
      </c>
      <c r="K2575" s="20">
        <f>Разбивка_по_щитам!N2580</f>
      </c>
      <c r="L2575" s="20"/>
      <c r="M2575" s="20">
        <f>Разбивка_по_щитам!P2580</f>
      </c>
      <c r="N2575" s="20"/>
    </row>
    <row r="2576" spans="2:14" x14ac:dyDescent="0.25">
      <c r="B2576" s="20">
        <f>Разбивка_по_щитам!B2581</f>
      </c>
      <c r="C2576" s="20">
        <f>Разбивка_по_щитам!C2581</f>
      </c>
      <c r="D2576" s="20">
        <f>Разбивка_по_щитам!F2581</f>
      </c>
      <c r="E2576" s="20">
        <f>Разбивка_по_щитам!H2581</f>
      </c>
      <c r="F2576" s="20">
        <f>Разбивка_по_щитам!I2581</f>
      </c>
      <c r="G2576" s="20">
        <f>Разбивка_по_щитам!J2581</f>
      </c>
      <c r="H2576" s="20">
        <f>Разбивка_по_щитам!K2581</f>
      </c>
      <c r="I2576" s="20">
        <f>Разбивка_по_щитам!L2581</f>
      </c>
      <c r="J2576" s="20">
        <f>Разбивка_по_щитам!M2581</f>
      </c>
      <c r="K2576" s="20">
        <f>Разбивка_по_щитам!N2581</f>
      </c>
      <c r="L2576" s="20"/>
      <c r="M2576" s="20">
        <f>Разбивка_по_щитам!P2581</f>
      </c>
      <c r="N2576" s="20"/>
    </row>
    <row r="2577" spans="2:14" x14ac:dyDescent="0.25">
      <c r="B2577" s="20">
        <f>Разбивка_по_щитам!B2582</f>
      </c>
      <c r="C2577" s="20">
        <f>Разбивка_по_щитам!C2582</f>
      </c>
      <c r="D2577" s="20">
        <f>Разбивка_по_щитам!F2582</f>
      </c>
      <c r="E2577" s="20">
        <f>Разбивка_по_щитам!H2582</f>
      </c>
      <c r="F2577" s="20">
        <f>Разбивка_по_щитам!I2582</f>
      </c>
      <c r="G2577" s="20">
        <f>Разбивка_по_щитам!J2582</f>
      </c>
      <c r="H2577" s="20">
        <f>Разбивка_по_щитам!K2582</f>
      </c>
      <c r="I2577" s="20">
        <f>Разбивка_по_щитам!L2582</f>
      </c>
      <c r="J2577" s="20">
        <f>Разбивка_по_щитам!M2582</f>
      </c>
      <c r="K2577" s="20">
        <f>Разбивка_по_щитам!N2582</f>
      </c>
      <c r="L2577" s="20"/>
      <c r="M2577" s="20">
        <f>Разбивка_по_щитам!P2582</f>
      </c>
      <c r="N2577" s="20"/>
    </row>
    <row r="2578" spans="2:14" x14ac:dyDescent="0.25">
      <c r="B2578" s="20">
        <f>Разбивка_по_щитам!B2583</f>
      </c>
      <c r="C2578" s="20">
        <f>Разбивка_по_щитам!C2583</f>
      </c>
      <c r="D2578" s="20">
        <f>Разбивка_по_щитам!F2583</f>
      </c>
      <c r="E2578" s="20">
        <f>Разбивка_по_щитам!H2583</f>
      </c>
      <c r="F2578" s="20">
        <f>Разбивка_по_щитам!I2583</f>
      </c>
      <c r="G2578" s="20">
        <f>Разбивка_по_щитам!J2583</f>
      </c>
      <c r="H2578" s="20">
        <f>Разбивка_по_щитам!K2583</f>
      </c>
      <c r="I2578" s="20">
        <f>Разбивка_по_щитам!L2583</f>
      </c>
      <c r="J2578" s="20">
        <f>Разбивка_по_щитам!M2583</f>
      </c>
      <c r="K2578" s="20">
        <f>Разбивка_по_щитам!N2583</f>
      </c>
      <c r="L2578" s="20"/>
      <c r="M2578" s="20">
        <f>Разбивка_по_щитам!P2583</f>
      </c>
      <c r="N2578" s="20"/>
    </row>
    <row r="2579" spans="2:14" x14ac:dyDescent="0.25">
      <c r="B2579" s="20">
        <f>Разбивка_по_щитам!B2584</f>
      </c>
      <c r="C2579" s="20">
        <f>Разбивка_по_щитам!C2584</f>
      </c>
      <c r="D2579" s="20">
        <f>Разбивка_по_щитам!F2584</f>
      </c>
      <c r="E2579" s="20">
        <f>Разбивка_по_щитам!H2584</f>
      </c>
      <c r="F2579" s="20">
        <f>Разбивка_по_щитам!I2584</f>
      </c>
      <c r="G2579" s="20">
        <f>Разбивка_по_щитам!J2584</f>
      </c>
      <c r="H2579" s="20">
        <f>Разбивка_по_щитам!K2584</f>
      </c>
      <c r="I2579" s="20">
        <f>Разбивка_по_щитам!L2584</f>
      </c>
      <c r="J2579" s="20">
        <f>Разбивка_по_щитам!M2584</f>
      </c>
      <c r="K2579" s="20">
        <f>Разбивка_по_щитам!N2584</f>
      </c>
      <c r="L2579" s="20"/>
      <c r="M2579" s="20">
        <f>Разбивка_по_щитам!P2584</f>
      </c>
      <c r="N2579" s="20"/>
    </row>
    <row r="2580" spans="2:14" x14ac:dyDescent="0.25">
      <c r="B2580" s="20">
        <f>Разбивка_по_щитам!B2585</f>
      </c>
      <c r="C2580" s="20">
        <f>Разбивка_по_щитам!C2585</f>
      </c>
      <c r="D2580" s="20">
        <f>Разбивка_по_щитам!F2585</f>
      </c>
      <c r="E2580" s="20">
        <f>Разбивка_по_щитам!H2585</f>
      </c>
      <c r="F2580" s="20">
        <f>Разбивка_по_щитам!I2585</f>
      </c>
      <c r="G2580" s="20">
        <f>Разбивка_по_щитам!J2585</f>
      </c>
      <c r="H2580" s="20">
        <f>Разбивка_по_щитам!K2585</f>
      </c>
      <c r="I2580" s="20">
        <f>Разбивка_по_щитам!L2585</f>
      </c>
      <c r="J2580" s="20">
        <f>Разбивка_по_щитам!M2585</f>
      </c>
      <c r="K2580" s="20">
        <f>Разбивка_по_щитам!N2585</f>
      </c>
      <c r="L2580" s="20"/>
      <c r="M2580" s="20">
        <f>Разбивка_по_щитам!P2585</f>
      </c>
      <c r="N2580" s="20"/>
    </row>
    <row r="2581" spans="2:14" x14ac:dyDescent="0.25">
      <c r="B2581" s="20">
        <f>Разбивка_по_щитам!B2586</f>
      </c>
      <c r="C2581" s="20">
        <f>Разбивка_по_щитам!C2586</f>
      </c>
      <c r="D2581" s="20">
        <f>Разбивка_по_щитам!F2586</f>
      </c>
      <c r="E2581" s="20">
        <f>Разбивка_по_щитам!H2586</f>
      </c>
      <c r="F2581" s="20">
        <f>Разбивка_по_щитам!I2586</f>
      </c>
      <c r="G2581" s="20">
        <f>Разбивка_по_щитам!J2586</f>
      </c>
      <c r="H2581" s="20">
        <f>Разбивка_по_щитам!K2586</f>
      </c>
      <c r="I2581" s="20">
        <f>Разбивка_по_щитам!L2586</f>
      </c>
      <c r="J2581" s="20">
        <f>Разбивка_по_щитам!M2586</f>
      </c>
      <c r="K2581" s="20">
        <f>Разбивка_по_щитам!N2586</f>
      </c>
      <c r="L2581" s="20"/>
      <c r="M2581" s="20">
        <f>Разбивка_по_щитам!P2586</f>
      </c>
      <c r="N2581" s="20"/>
    </row>
    <row r="2582" spans="2:14" x14ac:dyDescent="0.25">
      <c r="B2582" s="20">
        <f>Разбивка_по_щитам!B2587</f>
      </c>
      <c r="C2582" s="20">
        <f>Разбивка_по_щитам!C2587</f>
      </c>
      <c r="D2582" s="20">
        <f>Разбивка_по_щитам!F2587</f>
      </c>
      <c r="E2582" s="20">
        <f>Разбивка_по_щитам!H2587</f>
      </c>
      <c r="F2582" s="20">
        <f>Разбивка_по_щитам!I2587</f>
      </c>
      <c r="G2582" s="20">
        <f>Разбивка_по_щитам!J2587</f>
      </c>
      <c r="H2582" s="20">
        <f>Разбивка_по_щитам!K2587</f>
      </c>
      <c r="I2582" s="20">
        <f>Разбивка_по_щитам!L2587</f>
      </c>
      <c r="J2582" s="20">
        <f>Разбивка_по_щитам!M2587</f>
      </c>
      <c r="K2582" s="20">
        <f>Разбивка_по_щитам!N2587</f>
      </c>
      <c r="L2582" s="20"/>
      <c r="M2582" s="20">
        <f>Разбивка_по_щитам!P2587</f>
      </c>
      <c r="N2582" s="20"/>
    </row>
    <row r="2583" spans="2:14" x14ac:dyDescent="0.25">
      <c r="B2583" s="20">
        <f>Разбивка_по_щитам!B2588</f>
      </c>
      <c r="C2583" s="20">
        <f>Разбивка_по_щитам!C2588</f>
      </c>
      <c r="D2583" s="20">
        <f>Разбивка_по_щитам!F2588</f>
      </c>
      <c r="E2583" s="20">
        <f>Разбивка_по_щитам!H2588</f>
      </c>
      <c r="F2583" s="20">
        <f>Разбивка_по_щитам!I2588</f>
      </c>
      <c r="G2583" s="20">
        <f>Разбивка_по_щитам!J2588</f>
      </c>
      <c r="H2583" s="20">
        <f>Разбивка_по_щитам!K2588</f>
      </c>
      <c r="I2583" s="20">
        <f>Разбивка_по_щитам!L2588</f>
      </c>
      <c r="J2583" s="20">
        <f>Разбивка_по_щитам!M2588</f>
      </c>
      <c r="K2583" s="20">
        <f>Разбивка_по_щитам!N2588</f>
      </c>
      <c r="L2583" s="20"/>
      <c r="M2583" s="20">
        <f>Разбивка_по_щитам!P2588</f>
      </c>
      <c r="N2583" s="20"/>
    </row>
    <row r="2584" spans="2:14" x14ac:dyDescent="0.25">
      <c r="B2584" s="20">
        <f>Разбивка_по_щитам!B2589</f>
      </c>
      <c r="C2584" s="20">
        <f>Разбивка_по_щитам!C2589</f>
      </c>
      <c r="D2584" s="20">
        <f>Разбивка_по_щитам!F2589</f>
      </c>
      <c r="E2584" s="20">
        <f>Разбивка_по_щитам!H2589</f>
      </c>
      <c r="F2584" s="20">
        <f>Разбивка_по_щитам!I2589</f>
      </c>
      <c r="G2584" s="20">
        <f>Разбивка_по_щитам!J2589</f>
      </c>
      <c r="H2584" s="20">
        <f>Разбивка_по_щитам!K2589</f>
      </c>
      <c r="I2584" s="20">
        <f>Разбивка_по_щитам!L2589</f>
      </c>
      <c r="J2584" s="20">
        <f>Разбивка_по_щитам!M2589</f>
      </c>
      <c r="K2584" s="20">
        <f>Разбивка_по_щитам!N2589</f>
      </c>
      <c r="L2584" s="20"/>
      <c r="M2584" s="20">
        <f>Разбивка_по_щитам!P2589</f>
      </c>
      <c r="N2584" s="20"/>
    </row>
    <row r="2585" spans="2:14" x14ac:dyDescent="0.25">
      <c r="B2585" s="20">
        <f>Разбивка_по_щитам!B2590</f>
      </c>
      <c r="C2585" s="20">
        <f>Разбивка_по_щитам!C2590</f>
      </c>
      <c r="D2585" s="20">
        <f>Разбивка_по_щитам!F2590</f>
      </c>
      <c r="E2585" s="20">
        <f>Разбивка_по_щитам!H2590</f>
      </c>
      <c r="F2585" s="20">
        <f>Разбивка_по_щитам!I2590</f>
      </c>
      <c r="G2585" s="20">
        <f>Разбивка_по_щитам!J2590</f>
      </c>
      <c r="H2585" s="20">
        <f>Разбивка_по_щитам!K2590</f>
      </c>
      <c r="I2585" s="20">
        <f>Разбивка_по_щитам!L2590</f>
      </c>
      <c r="J2585" s="20">
        <f>Разбивка_по_щитам!M2590</f>
      </c>
      <c r="K2585" s="20">
        <f>Разбивка_по_щитам!N2590</f>
      </c>
      <c r="L2585" s="20"/>
      <c r="M2585" s="20">
        <f>Разбивка_по_щитам!P2590</f>
      </c>
      <c r="N2585" s="20"/>
    </row>
    <row r="2586" spans="2:14" x14ac:dyDescent="0.25">
      <c r="B2586" s="20">
        <f>Разбивка_по_щитам!B2591</f>
      </c>
      <c r="C2586" s="20">
        <f>Разбивка_по_щитам!C2591</f>
      </c>
      <c r="D2586" s="20">
        <f>Разбивка_по_щитам!F2591</f>
      </c>
      <c r="E2586" s="20">
        <f>Разбивка_по_щитам!H2591</f>
      </c>
      <c r="F2586" s="20">
        <f>Разбивка_по_щитам!I2591</f>
      </c>
      <c r="G2586" s="20">
        <f>Разбивка_по_щитам!J2591</f>
      </c>
      <c r="H2586" s="20">
        <f>Разбивка_по_щитам!K2591</f>
      </c>
      <c r="I2586" s="20">
        <f>Разбивка_по_щитам!L2591</f>
      </c>
      <c r="J2586" s="20">
        <f>Разбивка_по_щитам!M2591</f>
      </c>
      <c r="K2586" s="20">
        <f>Разбивка_по_щитам!N2591</f>
      </c>
      <c r="L2586" s="20"/>
      <c r="M2586" s="20">
        <f>Разбивка_по_щитам!P2591</f>
      </c>
      <c r="N2586" s="20"/>
    </row>
    <row r="2587" spans="2:14" x14ac:dyDescent="0.25">
      <c r="B2587" s="20">
        <f>Разбивка_по_щитам!B2592</f>
      </c>
      <c r="C2587" s="20">
        <f>Разбивка_по_щитам!C2592</f>
      </c>
      <c r="D2587" s="20">
        <f>Разбивка_по_щитам!F2592</f>
      </c>
      <c r="E2587" s="20">
        <f>Разбивка_по_щитам!H2592</f>
      </c>
      <c r="F2587" s="20">
        <f>Разбивка_по_щитам!I2592</f>
      </c>
      <c r="G2587" s="20">
        <f>Разбивка_по_щитам!J2592</f>
      </c>
      <c r="H2587" s="20">
        <f>Разбивка_по_щитам!K2592</f>
      </c>
      <c r="I2587" s="20">
        <f>Разбивка_по_щитам!L2592</f>
      </c>
      <c r="J2587" s="20">
        <f>Разбивка_по_щитам!M2592</f>
      </c>
      <c r="K2587" s="20">
        <f>Разбивка_по_щитам!N2592</f>
      </c>
      <c r="L2587" s="20"/>
      <c r="M2587" s="20">
        <f>Разбивка_по_щитам!P2592</f>
      </c>
      <c r="N2587" s="20"/>
    </row>
    <row r="2588" spans="2:14" x14ac:dyDescent="0.25">
      <c r="B2588" s="20">
        <f>Разбивка_по_щитам!B2593</f>
      </c>
      <c r="C2588" s="20">
        <f>Разбивка_по_щитам!C2593</f>
      </c>
      <c r="D2588" s="20">
        <f>Разбивка_по_щитам!F2593</f>
      </c>
      <c r="E2588" s="20">
        <f>Разбивка_по_щитам!H2593</f>
      </c>
      <c r="F2588" s="20">
        <f>Разбивка_по_щитам!I2593</f>
      </c>
      <c r="G2588" s="20">
        <f>Разбивка_по_щитам!J2593</f>
      </c>
      <c r="H2588" s="20">
        <f>Разбивка_по_щитам!K2593</f>
      </c>
      <c r="I2588" s="20">
        <f>Разбивка_по_щитам!L2593</f>
      </c>
      <c r="J2588" s="20">
        <f>Разбивка_по_щитам!M2593</f>
      </c>
      <c r="K2588" s="20">
        <f>Разбивка_по_щитам!N2593</f>
      </c>
      <c r="L2588" s="20"/>
      <c r="M2588" s="20">
        <f>Разбивка_по_щитам!P2593</f>
      </c>
      <c r="N2588" s="20"/>
    </row>
    <row r="2589" spans="2:14" x14ac:dyDescent="0.25">
      <c r="B2589" s="20">
        <f>Разбивка_по_щитам!B2594</f>
      </c>
      <c r="C2589" s="20">
        <f>Разбивка_по_щитам!C2594</f>
      </c>
      <c r="D2589" s="20">
        <f>Разбивка_по_щитам!F2594</f>
      </c>
      <c r="E2589" s="20">
        <f>Разбивка_по_щитам!H2594</f>
      </c>
      <c r="F2589" s="20">
        <f>Разбивка_по_щитам!I2594</f>
      </c>
      <c r="G2589" s="20">
        <f>Разбивка_по_щитам!J2594</f>
      </c>
      <c r="H2589" s="20">
        <f>Разбивка_по_щитам!K2594</f>
      </c>
      <c r="I2589" s="20">
        <f>Разбивка_по_щитам!L2594</f>
      </c>
      <c r="J2589" s="20">
        <f>Разбивка_по_щитам!M2594</f>
      </c>
      <c r="K2589" s="20">
        <f>Разбивка_по_щитам!N2594</f>
      </c>
      <c r="L2589" s="20"/>
      <c r="M2589" s="20">
        <f>Разбивка_по_щитам!P2594</f>
      </c>
      <c r="N2589" s="20"/>
    </row>
    <row r="2590" spans="2:14" x14ac:dyDescent="0.25">
      <c r="B2590" s="20">
        <f>Разбивка_по_щитам!B2595</f>
      </c>
      <c r="C2590" s="20">
        <f>Разбивка_по_щитам!C2595</f>
      </c>
      <c r="D2590" s="20">
        <f>Разбивка_по_щитам!F2595</f>
      </c>
      <c r="E2590" s="20">
        <f>Разбивка_по_щитам!H2595</f>
      </c>
      <c r="F2590" s="20">
        <f>Разбивка_по_щитам!I2595</f>
      </c>
      <c r="G2590" s="20">
        <f>Разбивка_по_щитам!J2595</f>
      </c>
      <c r="H2590" s="20">
        <f>Разбивка_по_щитам!K2595</f>
      </c>
      <c r="I2590" s="20">
        <f>Разбивка_по_щитам!L2595</f>
      </c>
      <c r="J2590" s="20">
        <f>Разбивка_по_щитам!M2595</f>
      </c>
      <c r="K2590" s="20">
        <f>Разбивка_по_щитам!N2595</f>
      </c>
      <c r="L2590" s="20"/>
      <c r="M2590" s="20">
        <f>Разбивка_по_щитам!P2595</f>
      </c>
      <c r="N2590" s="20"/>
    </row>
    <row r="2591" spans="2:14" x14ac:dyDescent="0.25">
      <c r="B2591" s="20">
        <f>Разбивка_по_щитам!B2596</f>
      </c>
      <c r="C2591" s="20">
        <f>Разбивка_по_щитам!C2596</f>
      </c>
      <c r="D2591" s="20">
        <f>Разбивка_по_щитам!F2596</f>
      </c>
      <c r="E2591" s="20">
        <f>Разбивка_по_щитам!H2596</f>
      </c>
      <c r="F2591" s="20">
        <f>Разбивка_по_щитам!I2596</f>
      </c>
      <c r="G2591" s="20">
        <f>Разбивка_по_щитам!J2596</f>
      </c>
      <c r="H2591" s="20">
        <f>Разбивка_по_щитам!K2596</f>
      </c>
      <c r="I2591" s="20">
        <f>Разбивка_по_щитам!L2596</f>
      </c>
      <c r="J2591" s="20">
        <f>Разбивка_по_щитам!M2596</f>
      </c>
      <c r="K2591" s="20">
        <f>Разбивка_по_щитам!N2596</f>
      </c>
      <c r="L2591" s="20"/>
      <c r="M2591" s="20">
        <f>Разбивка_по_щитам!P2596</f>
      </c>
      <c r="N2591" s="20"/>
    </row>
    <row r="2592" spans="2:14" x14ac:dyDescent="0.25">
      <c r="B2592" s="20">
        <f>Разбивка_по_щитам!B2597</f>
      </c>
      <c r="C2592" s="20">
        <f>Разбивка_по_щитам!C2597</f>
      </c>
      <c r="D2592" s="20">
        <f>Разбивка_по_щитам!F2597</f>
      </c>
      <c r="E2592" s="20">
        <f>Разбивка_по_щитам!H2597</f>
      </c>
      <c r="F2592" s="20">
        <f>Разбивка_по_щитам!I2597</f>
      </c>
      <c r="G2592" s="20">
        <f>Разбивка_по_щитам!J2597</f>
      </c>
      <c r="H2592" s="20">
        <f>Разбивка_по_щитам!K2597</f>
      </c>
      <c r="I2592" s="20">
        <f>Разбивка_по_щитам!L2597</f>
      </c>
      <c r="J2592" s="20">
        <f>Разбивка_по_щитам!M2597</f>
      </c>
      <c r="K2592" s="20">
        <f>Разбивка_по_щитам!N2597</f>
      </c>
      <c r="L2592" s="20"/>
      <c r="M2592" s="20">
        <f>Разбивка_по_щитам!P2597</f>
      </c>
      <c r="N2592" s="20"/>
    </row>
    <row r="2593" spans="2:14" x14ac:dyDescent="0.25">
      <c r="B2593" s="20">
        <f>Разбивка_по_щитам!B2598</f>
      </c>
      <c r="C2593" s="20">
        <f>Разбивка_по_щитам!C2598</f>
      </c>
      <c r="D2593" s="20">
        <f>Разбивка_по_щитам!F2598</f>
      </c>
      <c r="E2593" s="20">
        <f>Разбивка_по_щитам!H2598</f>
      </c>
      <c r="F2593" s="20">
        <f>Разбивка_по_щитам!I2598</f>
      </c>
      <c r="G2593" s="20">
        <f>Разбивка_по_щитам!J2598</f>
      </c>
      <c r="H2593" s="20">
        <f>Разбивка_по_щитам!K2598</f>
      </c>
      <c r="I2593" s="20">
        <f>Разбивка_по_щитам!L2598</f>
      </c>
      <c r="J2593" s="20">
        <f>Разбивка_по_щитам!M2598</f>
      </c>
      <c r="K2593" s="20">
        <f>Разбивка_по_щитам!N2598</f>
      </c>
      <c r="L2593" s="20"/>
      <c r="M2593" s="20">
        <f>Разбивка_по_щитам!P2598</f>
      </c>
      <c r="N2593" s="20"/>
    </row>
    <row r="2594" spans="2:14" x14ac:dyDescent="0.25">
      <c r="B2594" s="20">
        <f>Разбивка_по_щитам!B2599</f>
      </c>
      <c r="C2594" s="20">
        <f>Разбивка_по_щитам!C2599</f>
      </c>
      <c r="D2594" s="20">
        <f>Разбивка_по_щитам!F2599</f>
      </c>
      <c r="E2594" s="20">
        <f>Разбивка_по_щитам!H2599</f>
      </c>
      <c r="F2594" s="20">
        <f>Разбивка_по_щитам!I2599</f>
      </c>
      <c r="G2594" s="20">
        <f>Разбивка_по_щитам!J2599</f>
      </c>
      <c r="H2594" s="20">
        <f>Разбивка_по_щитам!K2599</f>
      </c>
      <c r="I2594" s="20">
        <f>Разбивка_по_щитам!L2599</f>
      </c>
      <c r="J2594" s="20">
        <f>Разбивка_по_щитам!M2599</f>
      </c>
      <c r="K2594" s="20">
        <f>Разбивка_по_щитам!N2599</f>
      </c>
      <c r="L2594" s="20"/>
      <c r="M2594" s="20">
        <f>Разбивка_по_щитам!P2599</f>
      </c>
      <c r="N2594" s="20"/>
    </row>
    <row r="2595" spans="2:14" x14ac:dyDescent="0.25">
      <c r="B2595" s="20">
        <f>Разбивка_по_щитам!B2600</f>
      </c>
      <c r="C2595" s="20">
        <f>Разбивка_по_щитам!C2600</f>
      </c>
      <c r="D2595" s="20">
        <f>Разбивка_по_щитам!F2600</f>
      </c>
      <c r="E2595" s="20">
        <f>Разбивка_по_щитам!H2600</f>
      </c>
      <c r="F2595" s="20">
        <f>Разбивка_по_щитам!I2600</f>
      </c>
      <c r="G2595" s="20">
        <f>Разбивка_по_щитам!J2600</f>
      </c>
      <c r="H2595" s="20">
        <f>Разбивка_по_щитам!K2600</f>
      </c>
      <c r="I2595" s="20">
        <f>Разбивка_по_щитам!L2600</f>
      </c>
      <c r="J2595" s="20">
        <f>Разбивка_по_щитам!M2600</f>
      </c>
      <c r="K2595" s="20">
        <f>Разбивка_по_щитам!N2600</f>
      </c>
      <c r="L2595" s="20"/>
      <c r="M2595" s="20">
        <f>Разбивка_по_щитам!P2600</f>
      </c>
      <c r="N2595" s="20"/>
    </row>
    <row r="2596" spans="2:14" x14ac:dyDescent="0.25">
      <c r="B2596" s="20">
        <f>Разбивка_по_щитам!B2601</f>
      </c>
      <c r="C2596" s="20">
        <f>Разбивка_по_щитам!C2601</f>
      </c>
      <c r="D2596" s="20">
        <f>Разбивка_по_щитам!F2601</f>
      </c>
      <c r="E2596" s="20">
        <f>Разбивка_по_щитам!H2601</f>
      </c>
      <c r="F2596" s="20">
        <f>Разбивка_по_щитам!I2601</f>
      </c>
      <c r="G2596" s="20">
        <f>Разбивка_по_щитам!J2601</f>
      </c>
      <c r="H2596" s="20">
        <f>Разбивка_по_щитам!K2601</f>
      </c>
      <c r="I2596" s="20">
        <f>Разбивка_по_щитам!L2601</f>
      </c>
      <c r="J2596" s="20">
        <f>Разбивка_по_щитам!M2601</f>
      </c>
      <c r="K2596" s="20">
        <f>Разбивка_по_щитам!N2601</f>
      </c>
      <c r="L2596" s="20"/>
      <c r="M2596" s="20">
        <f>Разбивка_по_щитам!P2601</f>
      </c>
      <c r="N2596" s="20"/>
    </row>
    <row r="2597" spans="2:14" x14ac:dyDescent="0.25">
      <c r="B2597" s="20">
        <f>Разбивка_по_щитам!B2602</f>
      </c>
      <c r="C2597" s="20">
        <f>Разбивка_по_щитам!C2602</f>
      </c>
      <c r="D2597" s="20">
        <f>Разбивка_по_щитам!F2602</f>
      </c>
      <c r="E2597" s="20">
        <f>Разбивка_по_щитам!H2602</f>
      </c>
      <c r="F2597" s="20">
        <f>Разбивка_по_щитам!I2602</f>
      </c>
      <c r="G2597" s="20">
        <f>Разбивка_по_щитам!J2602</f>
      </c>
      <c r="H2597" s="20">
        <f>Разбивка_по_щитам!K2602</f>
      </c>
      <c r="I2597" s="20">
        <f>Разбивка_по_щитам!L2602</f>
      </c>
      <c r="J2597" s="20">
        <f>Разбивка_по_щитам!M2602</f>
      </c>
      <c r="K2597" s="20">
        <f>Разбивка_по_щитам!N2602</f>
      </c>
      <c r="L2597" s="20"/>
      <c r="M2597" s="20">
        <f>Разбивка_по_щитам!P2602</f>
      </c>
      <c r="N2597" s="20"/>
    </row>
    <row r="2598" spans="2:14" x14ac:dyDescent="0.25">
      <c r="B2598" s="20">
        <f>Разбивка_по_щитам!B2603</f>
      </c>
      <c r="C2598" s="20">
        <f>Разбивка_по_щитам!C2603</f>
      </c>
      <c r="D2598" s="20">
        <f>Разбивка_по_щитам!F2603</f>
      </c>
      <c r="E2598" s="20">
        <f>Разбивка_по_щитам!H2603</f>
      </c>
      <c r="F2598" s="20">
        <f>Разбивка_по_щитам!I2603</f>
      </c>
      <c r="G2598" s="20">
        <f>Разбивка_по_щитам!J2603</f>
      </c>
      <c r="H2598" s="20">
        <f>Разбивка_по_щитам!K2603</f>
      </c>
      <c r="I2598" s="20">
        <f>Разбивка_по_щитам!L2603</f>
      </c>
      <c r="J2598" s="20">
        <f>Разбивка_по_щитам!M2603</f>
      </c>
      <c r="K2598" s="20">
        <f>Разбивка_по_щитам!N2603</f>
      </c>
      <c r="L2598" s="20"/>
      <c r="M2598" s="20">
        <f>Разбивка_по_щитам!P2603</f>
      </c>
      <c r="N2598" s="20"/>
    </row>
    <row r="2599" spans="2:14" x14ac:dyDescent="0.25">
      <c r="B2599" s="20">
        <f>Разбивка_по_щитам!B2604</f>
      </c>
      <c r="C2599" s="20">
        <f>Разбивка_по_щитам!C2604</f>
      </c>
      <c r="D2599" s="20">
        <f>Разбивка_по_щитам!F2604</f>
      </c>
      <c r="E2599" s="20">
        <f>Разбивка_по_щитам!H2604</f>
      </c>
      <c r="F2599" s="20">
        <f>Разбивка_по_щитам!I2604</f>
      </c>
      <c r="G2599" s="20">
        <f>Разбивка_по_щитам!J2604</f>
      </c>
      <c r="H2599" s="20">
        <f>Разбивка_по_щитам!K2604</f>
      </c>
      <c r="I2599" s="20">
        <f>Разбивка_по_щитам!L2604</f>
      </c>
      <c r="J2599" s="20">
        <f>Разбивка_по_щитам!M2604</f>
      </c>
      <c r="K2599" s="20">
        <f>Разбивка_по_щитам!N2604</f>
      </c>
      <c r="L2599" s="20"/>
      <c r="M2599" s="20">
        <f>Разбивка_по_щитам!P2604</f>
      </c>
      <c r="N2599" s="20"/>
    </row>
    <row r="2600" spans="2:14" x14ac:dyDescent="0.25">
      <c r="B2600" s="20">
        <f>Разбивка_по_щитам!B2605</f>
      </c>
      <c r="C2600" s="20">
        <f>Разбивка_по_щитам!C2605</f>
      </c>
      <c r="D2600" s="20">
        <f>Разбивка_по_щитам!F2605</f>
      </c>
      <c r="E2600" s="20">
        <f>Разбивка_по_щитам!H2605</f>
      </c>
      <c r="F2600" s="20">
        <f>Разбивка_по_щитам!I2605</f>
      </c>
      <c r="G2600" s="20">
        <f>Разбивка_по_щитам!J2605</f>
      </c>
      <c r="H2600" s="20">
        <f>Разбивка_по_щитам!K2605</f>
      </c>
      <c r="I2600" s="20">
        <f>Разбивка_по_щитам!L2605</f>
      </c>
      <c r="J2600" s="20">
        <f>Разбивка_по_щитам!M2605</f>
      </c>
      <c r="K2600" s="20">
        <f>Разбивка_по_щитам!N2605</f>
      </c>
      <c r="L2600" s="20"/>
      <c r="M2600" s="20">
        <f>Разбивка_по_щитам!P2605</f>
      </c>
      <c r="N2600" s="20"/>
    </row>
    <row r="2601" spans="2:14" x14ac:dyDescent="0.25">
      <c r="B2601" s="20">
        <f>Разбивка_по_щитам!B2606</f>
      </c>
      <c r="C2601" s="20">
        <f>Разбивка_по_щитам!C2606</f>
      </c>
      <c r="D2601" s="20">
        <f>Разбивка_по_щитам!F2606</f>
      </c>
      <c r="E2601" s="20">
        <f>Разбивка_по_щитам!H2606</f>
      </c>
      <c r="F2601" s="20">
        <f>Разбивка_по_щитам!I2606</f>
      </c>
      <c r="G2601" s="20">
        <f>Разбивка_по_щитам!J2606</f>
      </c>
      <c r="H2601" s="20">
        <f>Разбивка_по_щитам!K2606</f>
      </c>
      <c r="I2601" s="20">
        <f>Разбивка_по_щитам!L2606</f>
      </c>
      <c r="J2601" s="20">
        <f>Разбивка_по_щитам!M2606</f>
      </c>
      <c r="K2601" s="20">
        <f>Разбивка_по_щитам!N2606</f>
      </c>
      <c r="L2601" s="20"/>
      <c r="M2601" s="20">
        <f>Разбивка_по_щитам!P2606</f>
      </c>
      <c r="N2601" s="20"/>
    </row>
    <row r="2602" spans="2:14" x14ac:dyDescent="0.25">
      <c r="B2602" s="20">
        <f>Разбивка_по_щитам!B2607</f>
      </c>
      <c r="C2602" s="20">
        <f>Разбивка_по_щитам!C2607</f>
      </c>
      <c r="D2602" s="20">
        <f>Разбивка_по_щитам!F2607</f>
      </c>
      <c r="E2602" s="20">
        <f>Разбивка_по_щитам!H2607</f>
      </c>
      <c r="F2602" s="20">
        <f>Разбивка_по_щитам!I2607</f>
      </c>
      <c r="G2602" s="20">
        <f>Разбивка_по_щитам!J2607</f>
      </c>
      <c r="H2602" s="20">
        <f>Разбивка_по_щитам!K2607</f>
      </c>
      <c r="I2602" s="20">
        <f>Разбивка_по_щитам!L2607</f>
      </c>
      <c r="J2602" s="20">
        <f>Разбивка_по_щитам!M2607</f>
      </c>
      <c r="K2602" s="20">
        <f>Разбивка_по_щитам!N2607</f>
      </c>
      <c r="L2602" s="20"/>
      <c r="M2602" s="20">
        <f>Разбивка_по_щитам!P2607</f>
      </c>
      <c r="N2602" s="20"/>
    </row>
    <row r="2603" spans="2:14" x14ac:dyDescent="0.25">
      <c r="B2603" s="20">
        <f>Разбивка_по_щитам!B2608</f>
      </c>
      <c r="C2603" s="20">
        <f>Разбивка_по_щитам!C2608</f>
      </c>
      <c r="D2603" s="20">
        <f>Разбивка_по_щитам!F2608</f>
      </c>
      <c r="E2603" s="20">
        <f>Разбивка_по_щитам!H2608</f>
      </c>
      <c r="F2603" s="20">
        <f>Разбивка_по_щитам!I2608</f>
      </c>
      <c r="G2603" s="20">
        <f>Разбивка_по_щитам!J2608</f>
      </c>
      <c r="H2603" s="20">
        <f>Разбивка_по_щитам!K2608</f>
      </c>
      <c r="I2603" s="20">
        <f>Разбивка_по_щитам!L2608</f>
      </c>
      <c r="J2603" s="20">
        <f>Разбивка_по_щитам!M2608</f>
      </c>
      <c r="K2603" s="20">
        <f>Разбивка_по_щитам!N2608</f>
      </c>
      <c r="L2603" s="20"/>
      <c r="M2603" s="20">
        <f>Разбивка_по_щитам!P2608</f>
      </c>
      <c r="N2603" s="20"/>
    </row>
    <row r="2604" spans="2:14" x14ac:dyDescent="0.25">
      <c r="B2604" s="20">
        <f>Разбивка_по_щитам!B2609</f>
      </c>
      <c r="C2604" s="20">
        <f>Разбивка_по_щитам!C2609</f>
      </c>
      <c r="D2604" s="20">
        <f>Разбивка_по_щитам!F2609</f>
      </c>
      <c r="E2604" s="20">
        <f>Разбивка_по_щитам!H2609</f>
      </c>
      <c r="F2604" s="20">
        <f>Разбивка_по_щитам!I2609</f>
      </c>
      <c r="G2604" s="20">
        <f>Разбивка_по_щитам!J2609</f>
      </c>
      <c r="H2604" s="20">
        <f>Разбивка_по_щитам!K2609</f>
      </c>
      <c r="I2604" s="20">
        <f>Разбивка_по_щитам!L2609</f>
      </c>
      <c r="J2604" s="20">
        <f>Разбивка_по_щитам!M2609</f>
      </c>
      <c r="K2604" s="20">
        <f>Разбивка_по_щитам!N2609</f>
      </c>
      <c r="L2604" s="20"/>
      <c r="M2604" s="20">
        <f>Разбивка_по_щитам!P2609</f>
      </c>
      <c r="N2604" s="20"/>
    </row>
    <row r="2605" spans="2:14" x14ac:dyDescent="0.25">
      <c r="B2605" s="20">
        <f>Разбивка_по_щитам!B2610</f>
      </c>
      <c r="C2605" s="20">
        <f>Разбивка_по_щитам!C2610</f>
      </c>
      <c r="D2605" s="20">
        <f>Разбивка_по_щитам!F2610</f>
      </c>
      <c r="E2605" s="20">
        <f>Разбивка_по_щитам!H2610</f>
      </c>
      <c r="F2605" s="20">
        <f>Разбивка_по_щитам!I2610</f>
      </c>
      <c r="G2605" s="20">
        <f>Разбивка_по_щитам!J2610</f>
      </c>
      <c r="H2605" s="20">
        <f>Разбивка_по_щитам!K2610</f>
      </c>
      <c r="I2605" s="20">
        <f>Разбивка_по_щитам!L2610</f>
      </c>
      <c r="J2605" s="20">
        <f>Разбивка_по_щитам!M2610</f>
      </c>
      <c r="K2605" s="20">
        <f>Разбивка_по_щитам!N2610</f>
      </c>
      <c r="L2605" s="20"/>
      <c r="M2605" s="20">
        <f>Разбивка_по_щитам!P2610</f>
      </c>
      <c r="N2605" s="20"/>
    </row>
    <row r="2606" spans="2:14" x14ac:dyDescent="0.25">
      <c r="B2606" s="20">
        <f>Разбивка_по_щитам!B2611</f>
      </c>
      <c r="C2606" s="20">
        <f>Разбивка_по_щитам!C2611</f>
      </c>
      <c r="D2606" s="20">
        <f>Разбивка_по_щитам!F2611</f>
      </c>
      <c r="E2606" s="20">
        <f>Разбивка_по_щитам!H2611</f>
      </c>
      <c r="F2606" s="20">
        <f>Разбивка_по_щитам!I2611</f>
      </c>
      <c r="G2606" s="20">
        <f>Разбивка_по_щитам!J2611</f>
      </c>
      <c r="H2606" s="20">
        <f>Разбивка_по_щитам!K2611</f>
      </c>
      <c r="I2606" s="20">
        <f>Разбивка_по_щитам!L2611</f>
      </c>
      <c r="J2606" s="20">
        <f>Разбивка_по_щитам!M2611</f>
      </c>
      <c r="K2606" s="20">
        <f>Разбивка_по_щитам!N2611</f>
      </c>
      <c r="L2606" s="20"/>
      <c r="M2606" s="20">
        <f>Разбивка_по_щитам!P2611</f>
      </c>
      <c r="N2606" s="20"/>
    </row>
    <row r="2607" spans="2:14" x14ac:dyDescent="0.25">
      <c r="B2607" s="20">
        <f>Разбивка_по_щитам!B2612</f>
      </c>
      <c r="C2607" s="20">
        <f>Разбивка_по_щитам!C2612</f>
      </c>
      <c r="D2607" s="20">
        <f>Разбивка_по_щитам!F2612</f>
      </c>
      <c r="E2607" s="20">
        <f>Разбивка_по_щитам!H2612</f>
      </c>
      <c r="F2607" s="20">
        <f>Разбивка_по_щитам!I2612</f>
      </c>
      <c r="G2607" s="20">
        <f>Разбивка_по_щитам!J2612</f>
      </c>
      <c r="H2607" s="20">
        <f>Разбивка_по_щитам!K2612</f>
      </c>
      <c r="I2607" s="20">
        <f>Разбивка_по_щитам!L2612</f>
      </c>
      <c r="J2607" s="20">
        <f>Разбивка_по_щитам!M2612</f>
      </c>
      <c r="K2607" s="20">
        <f>Разбивка_по_щитам!N2612</f>
      </c>
      <c r="L2607" s="20"/>
      <c r="M2607" s="20">
        <f>Разбивка_по_щитам!P2612</f>
      </c>
      <c r="N2607" s="20"/>
    </row>
    <row r="2608" spans="2:14" x14ac:dyDescent="0.25">
      <c r="B2608" s="20">
        <f>Разбивка_по_щитам!B2613</f>
      </c>
      <c r="C2608" s="20">
        <f>Разбивка_по_щитам!C2613</f>
      </c>
      <c r="D2608" s="20">
        <f>Разбивка_по_щитам!F2613</f>
      </c>
      <c r="E2608" s="20">
        <f>Разбивка_по_щитам!H2613</f>
      </c>
      <c r="F2608" s="20">
        <f>Разбивка_по_щитам!I2613</f>
      </c>
      <c r="G2608" s="20">
        <f>Разбивка_по_щитам!J2613</f>
      </c>
      <c r="H2608" s="20">
        <f>Разбивка_по_щитам!K2613</f>
      </c>
      <c r="I2608" s="20">
        <f>Разбивка_по_щитам!L2613</f>
      </c>
      <c r="J2608" s="20">
        <f>Разбивка_по_щитам!M2613</f>
      </c>
      <c r="K2608" s="20">
        <f>Разбивка_по_щитам!N2613</f>
      </c>
      <c r="L2608" s="20"/>
      <c r="M2608" s="20">
        <f>Разбивка_по_щитам!P2613</f>
      </c>
      <c r="N2608" s="20"/>
    </row>
    <row r="2609" spans="2:14" x14ac:dyDescent="0.25">
      <c r="B2609" s="20">
        <f>Разбивка_по_щитам!B2614</f>
      </c>
      <c r="C2609" s="20">
        <f>Разбивка_по_щитам!C2614</f>
      </c>
      <c r="D2609" s="20">
        <f>Разбивка_по_щитам!F2614</f>
      </c>
      <c r="E2609" s="20">
        <f>Разбивка_по_щитам!H2614</f>
      </c>
      <c r="F2609" s="20">
        <f>Разбивка_по_щитам!I2614</f>
      </c>
      <c r="G2609" s="20">
        <f>Разбивка_по_щитам!J2614</f>
      </c>
      <c r="H2609" s="20">
        <f>Разбивка_по_щитам!K2614</f>
      </c>
      <c r="I2609" s="20">
        <f>Разбивка_по_щитам!L2614</f>
      </c>
      <c r="J2609" s="20">
        <f>Разбивка_по_щитам!M2614</f>
      </c>
      <c r="K2609" s="20">
        <f>Разбивка_по_щитам!N2614</f>
      </c>
      <c r="L2609" s="20"/>
      <c r="M2609" s="20">
        <f>Разбивка_по_щитам!P2614</f>
      </c>
      <c r="N2609" s="20"/>
    </row>
    <row r="2610" spans="2:14" x14ac:dyDescent="0.25">
      <c r="B2610" s="20">
        <f>Разбивка_по_щитам!B2615</f>
      </c>
      <c r="C2610" s="20">
        <f>Разбивка_по_щитам!C2615</f>
      </c>
      <c r="D2610" s="20">
        <f>Разбивка_по_щитам!F2615</f>
      </c>
      <c r="E2610" s="20">
        <f>Разбивка_по_щитам!H2615</f>
      </c>
      <c r="F2610" s="20">
        <f>Разбивка_по_щитам!I2615</f>
      </c>
      <c r="G2610" s="20">
        <f>Разбивка_по_щитам!J2615</f>
      </c>
      <c r="H2610" s="20">
        <f>Разбивка_по_щитам!K2615</f>
      </c>
      <c r="I2610" s="20">
        <f>Разбивка_по_щитам!L2615</f>
      </c>
      <c r="J2610" s="20">
        <f>Разбивка_по_щитам!M2615</f>
      </c>
      <c r="K2610" s="20">
        <f>Разбивка_по_щитам!N2615</f>
      </c>
      <c r="L2610" s="20"/>
      <c r="M2610" s="20">
        <f>Разбивка_по_щитам!P2615</f>
      </c>
      <c r="N2610" s="20"/>
    </row>
    <row r="2611" spans="2:14" x14ac:dyDescent="0.25">
      <c r="B2611" s="20">
        <f>Разбивка_по_щитам!B2616</f>
      </c>
      <c r="C2611" s="20">
        <f>Разбивка_по_щитам!C2616</f>
      </c>
      <c r="D2611" s="20">
        <f>Разбивка_по_щитам!F2616</f>
      </c>
      <c r="E2611" s="20">
        <f>Разбивка_по_щитам!H2616</f>
      </c>
      <c r="F2611" s="20">
        <f>Разбивка_по_щитам!I2616</f>
      </c>
      <c r="G2611" s="20">
        <f>Разбивка_по_щитам!J2616</f>
      </c>
      <c r="H2611" s="20">
        <f>Разбивка_по_щитам!K2616</f>
      </c>
      <c r="I2611" s="20">
        <f>Разбивка_по_щитам!L2616</f>
      </c>
      <c r="J2611" s="20">
        <f>Разбивка_по_щитам!M2616</f>
      </c>
      <c r="K2611" s="20">
        <f>Разбивка_по_щитам!N2616</f>
      </c>
      <c r="L2611" s="20"/>
      <c r="M2611" s="20">
        <f>Разбивка_по_щитам!P2616</f>
      </c>
      <c r="N2611" s="20"/>
    </row>
    <row r="2612" spans="2:14" x14ac:dyDescent="0.25">
      <c r="B2612" s="20">
        <f>Разбивка_по_щитам!B2617</f>
      </c>
      <c r="C2612" s="20">
        <f>Разбивка_по_щитам!C2617</f>
      </c>
      <c r="D2612" s="20">
        <f>Разбивка_по_щитам!F2617</f>
      </c>
      <c r="E2612" s="20">
        <f>Разбивка_по_щитам!H2617</f>
      </c>
      <c r="F2612" s="20">
        <f>Разбивка_по_щитам!I2617</f>
      </c>
      <c r="G2612" s="20">
        <f>Разбивка_по_щитам!J2617</f>
      </c>
      <c r="H2612" s="20">
        <f>Разбивка_по_щитам!K2617</f>
      </c>
      <c r="I2612" s="20">
        <f>Разбивка_по_щитам!L2617</f>
      </c>
      <c r="J2612" s="20">
        <f>Разбивка_по_щитам!M2617</f>
      </c>
      <c r="K2612" s="20">
        <f>Разбивка_по_щитам!N2617</f>
      </c>
      <c r="L2612" s="20"/>
      <c r="M2612" s="20">
        <f>Разбивка_по_щитам!P2617</f>
      </c>
      <c r="N2612" s="20"/>
    </row>
    <row r="2613" spans="2:14" x14ac:dyDescent="0.25">
      <c r="B2613" s="20">
        <f>Разбивка_по_щитам!B2618</f>
      </c>
      <c r="C2613" s="20">
        <f>Разбивка_по_щитам!C2618</f>
      </c>
      <c r="D2613" s="20">
        <f>Разбивка_по_щитам!F2618</f>
      </c>
      <c r="E2613" s="20">
        <f>Разбивка_по_щитам!H2618</f>
      </c>
      <c r="F2613" s="20">
        <f>Разбивка_по_щитам!I2618</f>
      </c>
      <c r="G2613" s="20">
        <f>Разбивка_по_щитам!J2618</f>
      </c>
      <c r="H2613" s="20">
        <f>Разбивка_по_щитам!K2618</f>
      </c>
      <c r="I2613" s="20">
        <f>Разбивка_по_щитам!L2618</f>
      </c>
      <c r="J2613" s="20">
        <f>Разбивка_по_щитам!M2618</f>
      </c>
      <c r="K2613" s="20">
        <f>Разбивка_по_щитам!N2618</f>
      </c>
      <c r="L2613" s="20"/>
      <c r="M2613" s="20">
        <f>Разбивка_по_щитам!P2618</f>
      </c>
      <c r="N2613" s="20"/>
    </row>
    <row r="2614" spans="2:14" x14ac:dyDescent="0.25">
      <c r="B2614" s="20">
        <f>Разбивка_по_щитам!B2619</f>
      </c>
      <c r="C2614" s="20">
        <f>Разбивка_по_щитам!C2619</f>
      </c>
      <c r="D2614" s="20">
        <f>Разбивка_по_щитам!F2619</f>
      </c>
      <c r="E2614" s="20">
        <f>Разбивка_по_щитам!H2619</f>
      </c>
      <c r="F2614" s="20">
        <f>Разбивка_по_щитам!I2619</f>
      </c>
      <c r="G2614" s="20">
        <f>Разбивка_по_щитам!J2619</f>
      </c>
      <c r="H2614" s="20">
        <f>Разбивка_по_щитам!K2619</f>
      </c>
      <c r="I2614" s="20">
        <f>Разбивка_по_щитам!L2619</f>
      </c>
      <c r="J2614" s="20">
        <f>Разбивка_по_щитам!M2619</f>
      </c>
      <c r="K2614" s="20">
        <f>Разбивка_по_щитам!N2619</f>
      </c>
      <c r="L2614" s="20"/>
      <c r="M2614" s="20">
        <f>Разбивка_по_щитам!P2619</f>
      </c>
      <c r="N2614" s="20"/>
    </row>
    <row r="2615" spans="2:14" x14ac:dyDescent="0.25">
      <c r="B2615" s="20">
        <f>Разбивка_по_щитам!B2620</f>
      </c>
      <c r="C2615" s="20">
        <f>Разбивка_по_щитам!C2620</f>
      </c>
      <c r="D2615" s="20">
        <f>Разбивка_по_щитам!F2620</f>
      </c>
      <c r="E2615" s="20">
        <f>Разбивка_по_щитам!H2620</f>
      </c>
      <c r="F2615" s="20">
        <f>Разбивка_по_щитам!I2620</f>
      </c>
      <c r="G2615" s="20">
        <f>Разбивка_по_щитам!J2620</f>
      </c>
      <c r="H2615" s="20">
        <f>Разбивка_по_щитам!K2620</f>
      </c>
      <c r="I2615" s="20">
        <f>Разбивка_по_щитам!L2620</f>
      </c>
      <c r="J2615" s="20">
        <f>Разбивка_по_щитам!M2620</f>
      </c>
      <c r="K2615" s="20">
        <f>Разбивка_по_щитам!N2620</f>
      </c>
      <c r="L2615" s="20"/>
      <c r="M2615" s="20">
        <f>Разбивка_по_щитам!P2620</f>
      </c>
      <c r="N2615" s="20"/>
    </row>
    <row r="2616" spans="2:14" x14ac:dyDescent="0.25">
      <c r="B2616" s="20">
        <f>Разбивка_по_щитам!B2621</f>
      </c>
      <c r="C2616" s="20">
        <f>Разбивка_по_щитам!C2621</f>
      </c>
      <c r="D2616" s="20">
        <f>Разбивка_по_щитам!F2621</f>
      </c>
      <c r="E2616" s="20">
        <f>Разбивка_по_щитам!H2621</f>
      </c>
      <c r="F2616" s="20">
        <f>Разбивка_по_щитам!I2621</f>
      </c>
      <c r="G2616" s="20">
        <f>Разбивка_по_щитам!J2621</f>
      </c>
      <c r="H2616" s="20">
        <f>Разбивка_по_щитам!K2621</f>
      </c>
      <c r="I2616" s="20">
        <f>Разбивка_по_щитам!L2621</f>
      </c>
      <c r="J2616" s="20">
        <f>Разбивка_по_щитам!M2621</f>
      </c>
      <c r="K2616" s="20">
        <f>Разбивка_по_щитам!N2621</f>
      </c>
      <c r="L2616" s="20"/>
      <c r="M2616" s="20">
        <f>Разбивка_по_щитам!P2621</f>
      </c>
      <c r="N2616" s="20"/>
    </row>
    <row r="2617" spans="2:14" x14ac:dyDescent="0.25">
      <c r="B2617" s="20">
        <f>Разбивка_по_щитам!B2622</f>
      </c>
      <c r="C2617" s="20">
        <f>Разбивка_по_щитам!C2622</f>
      </c>
      <c r="D2617" s="20">
        <f>Разбивка_по_щитам!F2622</f>
      </c>
      <c r="E2617" s="20">
        <f>Разбивка_по_щитам!H2622</f>
      </c>
      <c r="F2617" s="20">
        <f>Разбивка_по_щитам!I2622</f>
      </c>
      <c r="G2617" s="20">
        <f>Разбивка_по_щитам!J2622</f>
      </c>
      <c r="H2617" s="20">
        <f>Разбивка_по_щитам!K2622</f>
      </c>
      <c r="I2617" s="20">
        <f>Разбивка_по_щитам!L2622</f>
      </c>
      <c r="J2617" s="20">
        <f>Разбивка_по_щитам!M2622</f>
      </c>
      <c r="K2617" s="20">
        <f>Разбивка_по_щитам!N2622</f>
      </c>
      <c r="L2617" s="20"/>
      <c r="M2617" s="20">
        <f>Разбивка_по_щитам!P2622</f>
      </c>
      <c r="N2617" s="20"/>
    </row>
    <row r="2618" spans="2:14" x14ac:dyDescent="0.25">
      <c r="B2618" s="20">
        <f>Разбивка_по_щитам!B2623</f>
      </c>
      <c r="C2618" s="20">
        <f>Разбивка_по_щитам!C2623</f>
      </c>
      <c r="D2618" s="20">
        <f>Разбивка_по_щитам!F2623</f>
      </c>
      <c r="E2618" s="20">
        <f>Разбивка_по_щитам!H2623</f>
      </c>
      <c r="F2618" s="20">
        <f>Разбивка_по_щитам!I2623</f>
      </c>
      <c r="G2618" s="20">
        <f>Разбивка_по_щитам!J2623</f>
      </c>
      <c r="H2618" s="20">
        <f>Разбивка_по_щитам!K2623</f>
      </c>
      <c r="I2618" s="20">
        <f>Разбивка_по_щитам!L2623</f>
      </c>
      <c r="J2618" s="20">
        <f>Разбивка_по_щитам!M2623</f>
      </c>
      <c r="K2618" s="20">
        <f>Разбивка_по_щитам!N2623</f>
      </c>
      <c r="L2618" s="20"/>
      <c r="M2618" s="20">
        <f>Разбивка_по_щитам!P2623</f>
      </c>
      <c r="N2618" s="20"/>
    </row>
    <row r="2619" spans="2:14" x14ac:dyDescent="0.25">
      <c r="B2619" s="20">
        <f>Разбивка_по_щитам!B2624</f>
      </c>
      <c r="C2619" s="20">
        <f>Разбивка_по_щитам!C2624</f>
      </c>
      <c r="D2619" s="20">
        <f>Разбивка_по_щитам!F2624</f>
      </c>
      <c r="E2619" s="20">
        <f>Разбивка_по_щитам!H2624</f>
      </c>
      <c r="F2619" s="20">
        <f>Разбивка_по_щитам!I2624</f>
      </c>
      <c r="G2619" s="20">
        <f>Разбивка_по_щитам!J2624</f>
      </c>
      <c r="H2619" s="20">
        <f>Разбивка_по_щитам!K2624</f>
      </c>
      <c r="I2619" s="20">
        <f>Разбивка_по_щитам!L2624</f>
      </c>
      <c r="J2619" s="20">
        <f>Разбивка_по_щитам!M2624</f>
      </c>
      <c r="K2619" s="20">
        <f>Разбивка_по_щитам!N2624</f>
      </c>
      <c r="L2619" s="20"/>
      <c r="M2619" s="20">
        <f>Разбивка_по_щитам!P2624</f>
      </c>
      <c r="N2619" s="20"/>
    </row>
    <row r="2620" spans="2:14" x14ac:dyDescent="0.25">
      <c r="B2620" s="20">
        <f>Разбивка_по_щитам!B2625</f>
      </c>
      <c r="C2620" s="20">
        <f>Разбивка_по_щитам!C2625</f>
      </c>
      <c r="D2620" s="20">
        <f>Разбивка_по_щитам!F2625</f>
      </c>
      <c r="E2620" s="20">
        <f>Разбивка_по_щитам!H2625</f>
      </c>
      <c r="F2620" s="20">
        <f>Разбивка_по_щитам!I2625</f>
      </c>
      <c r="G2620" s="20">
        <f>Разбивка_по_щитам!J2625</f>
      </c>
      <c r="H2620" s="20">
        <f>Разбивка_по_щитам!K2625</f>
      </c>
      <c r="I2620" s="20">
        <f>Разбивка_по_щитам!L2625</f>
      </c>
      <c r="J2620" s="20">
        <f>Разбивка_по_щитам!M2625</f>
      </c>
      <c r="K2620" s="20">
        <f>Разбивка_по_щитам!N2625</f>
      </c>
      <c r="L2620" s="20"/>
      <c r="M2620" s="20">
        <f>Разбивка_по_щитам!P2625</f>
      </c>
      <c r="N2620" s="20"/>
    </row>
    <row r="2621" spans="2:14" x14ac:dyDescent="0.25">
      <c r="B2621" s="20">
        <f>Разбивка_по_щитам!B2626</f>
      </c>
      <c r="C2621" s="20">
        <f>Разбивка_по_щитам!C2626</f>
      </c>
      <c r="D2621" s="20">
        <f>Разбивка_по_щитам!F2626</f>
      </c>
      <c r="E2621" s="20">
        <f>Разбивка_по_щитам!H2626</f>
      </c>
      <c r="F2621" s="20">
        <f>Разбивка_по_щитам!I2626</f>
      </c>
      <c r="G2621" s="20">
        <f>Разбивка_по_щитам!J2626</f>
      </c>
      <c r="H2621" s="20">
        <f>Разбивка_по_щитам!K2626</f>
      </c>
      <c r="I2621" s="20">
        <f>Разбивка_по_щитам!L2626</f>
      </c>
      <c r="J2621" s="20">
        <f>Разбивка_по_щитам!M2626</f>
      </c>
      <c r="K2621" s="20">
        <f>Разбивка_по_щитам!N2626</f>
      </c>
      <c r="L2621" s="20"/>
      <c r="M2621" s="20">
        <f>Разбивка_по_щитам!P2626</f>
      </c>
      <c r="N2621" s="20"/>
    </row>
    <row r="2622" spans="2:14" x14ac:dyDescent="0.25">
      <c r="B2622" s="20">
        <f>Разбивка_по_щитам!B2627</f>
      </c>
      <c r="C2622" s="20">
        <f>Разбивка_по_щитам!C2627</f>
      </c>
      <c r="D2622" s="20">
        <f>Разбивка_по_щитам!F2627</f>
      </c>
      <c r="E2622" s="20">
        <f>Разбивка_по_щитам!H2627</f>
      </c>
      <c r="F2622" s="20">
        <f>Разбивка_по_щитам!I2627</f>
      </c>
      <c r="G2622" s="20">
        <f>Разбивка_по_щитам!J2627</f>
      </c>
      <c r="H2622" s="20">
        <f>Разбивка_по_щитам!K2627</f>
      </c>
      <c r="I2622" s="20">
        <f>Разбивка_по_щитам!L2627</f>
      </c>
      <c r="J2622" s="20">
        <f>Разбивка_по_щитам!M2627</f>
      </c>
      <c r="K2622" s="20">
        <f>Разбивка_по_щитам!N2627</f>
      </c>
      <c r="L2622" s="20"/>
      <c r="M2622" s="20">
        <f>Разбивка_по_щитам!P2627</f>
      </c>
      <c r="N2622" s="20"/>
    </row>
    <row r="2623" spans="2:14" x14ac:dyDescent="0.25">
      <c r="B2623" s="20">
        <f>Разбивка_по_щитам!B2628</f>
      </c>
      <c r="C2623" s="20">
        <f>Разбивка_по_щитам!C2628</f>
      </c>
      <c r="D2623" s="20">
        <f>Разбивка_по_щитам!F2628</f>
      </c>
      <c r="E2623" s="20">
        <f>Разбивка_по_щитам!H2628</f>
      </c>
      <c r="F2623" s="20">
        <f>Разбивка_по_щитам!I2628</f>
      </c>
      <c r="G2623" s="20">
        <f>Разбивка_по_щитам!J2628</f>
      </c>
      <c r="H2623" s="20">
        <f>Разбивка_по_щитам!K2628</f>
      </c>
      <c r="I2623" s="20">
        <f>Разбивка_по_щитам!L2628</f>
      </c>
      <c r="J2623" s="20">
        <f>Разбивка_по_щитам!M2628</f>
      </c>
      <c r="K2623" s="20">
        <f>Разбивка_по_щитам!N2628</f>
      </c>
      <c r="L2623" s="20"/>
      <c r="M2623" s="20">
        <f>Разбивка_по_щитам!P2628</f>
      </c>
      <c r="N2623" s="20"/>
    </row>
    <row r="2624" spans="2:14" x14ac:dyDescent="0.25">
      <c r="B2624" s="20">
        <f>Разбивка_по_щитам!B2629</f>
      </c>
      <c r="C2624" s="20">
        <f>Разбивка_по_щитам!C2629</f>
      </c>
      <c r="D2624" s="20">
        <f>Разбивка_по_щитам!F2629</f>
      </c>
      <c r="E2624" s="20">
        <f>Разбивка_по_щитам!H2629</f>
      </c>
      <c r="F2624" s="20">
        <f>Разбивка_по_щитам!I2629</f>
      </c>
      <c r="G2624" s="20">
        <f>Разбивка_по_щитам!J2629</f>
      </c>
      <c r="H2624" s="20">
        <f>Разбивка_по_щитам!K2629</f>
      </c>
      <c r="I2624" s="20">
        <f>Разбивка_по_щитам!L2629</f>
      </c>
      <c r="J2624" s="20">
        <f>Разбивка_по_щитам!M2629</f>
      </c>
      <c r="K2624" s="20">
        <f>Разбивка_по_щитам!N2629</f>
      </c>
      <c r="L2624" s="20"/>
      <c r="M2624" s="20">
        <f>Разбивка_по_щитам!P2629</f>
      </c>
      <c r="N2624" s="20"/>
    </row>
    <row r="2625" spans="2:14" x14ac:dyDescent="0.25">
      <c r="B2625" s="20">
        <f>Разбивка_по_щитам!B2630</f>
      </c>
      <c r="C2625" s="20">
        <f>Разбивка_по_щитам!C2630</f>
      </c>
      <c r="D2625" s="20">
        <f>Разбивка_по_щитам!F2630</f>
      </c>
      <c r="E2625" s="20">
        <f>Разбивка_по_щитам!H2630</f>
      </c>
      <c r="F2625" s="20">
        <f>Разбивка_по_щитам!I2630</f>
      </c>
      <c r="G2625" s="20">
        <f>Разбивка_по_щитам!J2630</f>
      </c>
      <c r="H2625" s="20">
        <f>Разбивка_по_щитам!K2630</f>
      </c>
      <c r="I2625" s="20">
        <f>Разбивка_по_щитам!L2630</f>
      </c>
      <c r="J2625" s="20">
        <f>Разбивка_по_щитам!M2630</f>
      </c>
      <c r="K2625" s="20">
        <f>Разбивка_по_щитам!N2630</f>
      </c>
      <c r="L2625" s="20"/>
      <c r="M2625" s="20">
        <f>Разбивка_по_щитам!P2630</f>
      </c>
      <c r="N2625" s="20"/>
    </row>
    <row r="2626" spans="2:14" x14ac:dyDescent="0.25">
      <c r="B2626" s="20">
        <f>Разбивка_по_щитам!B2631</f>
      </c>
      <c r="C2626" s="20">
        <f>Разбивка_по_щитам!C2631</f>
      </c>
      <c r="D2626" s="20">
        <f>Разбивка_по_щитам!F2631</f>
      </c>
      <c r="E2626" s="20">
        <f>Разбивка_по_щитам!H2631</f>
      </c>
      <c r="F2626" s="20">
        <f>Разбивка_по_щитам!I2631</f>
      </c>
      <c r="G2626" s="20">
        <f>Разбивка_по_щитам!J2631</f>
      </c>
      <c r="H2626" s="20">
        <f>Разбивка_по_щитам!K2631</f>
      </c>
      <c r="I2626" s="20">
        <f>Разбивка_по_щитам!L2631</f>
      </c>
      <c r="J2626" s="20">
        <f>Разбивка_по_щитам!M2631</f>
      </c>
      <c r="K2626" s="20">
        <f>Разбивка_по_щитам!N2631</f>
      </c>
      <c r="L2626" s="20"/>
      <c r="M2626" s="20">
        <f>Разбивка_по_щитам!P2631</f>
      </c>
      <c r="N2626" s="20"/>
    </row>
    <row r="2627" spans="2:14" x14ac:dyDescent="0.25">
      <c r="B2627" s="20">
        <f>Разбивка_по_щитам!B2632</f>
      </c>
      <c r="C2627" s="20">
        <f>Разбивка_по_щитам!C2632</f>
      </c>
      <c r="D2627" s="20">
        <f>Разбивка_по_щитам!F2632</f>
      </c>
      <c r="E2627" s="20">
        <f>Разбивка_по_щитам!H2632</f>
      </c>
      <c r="F2627" s="20">
        <f>Разбивка_по_щитам!I2632</f>
      </c>
      <c r="G2627" s="20">
        <f>Разбивка_по_щитам!J2632</f>
      </c>
      <c r="H2627" s="20">
        <f>Разбивка_по_щитам!K2632</f>
      </c>
      <c r="I2627" s="20">
        <f>Разбивка_по_щитам!L2632</f>
      </c>
      <c r="J2627" s="20">
        <f>Разбивка_по_щитам!M2632</f>
      </c>
      <c r="K2627" s="20">
        <f>Разбивка_по_щитам!N2632</f>
      </c>
      <c r="L2627" s="20"/>
      <c r="M2627" s="20">
        <f>Разбивка_по_щитам!P2632</f>
      </c>
      <c r="N2627" s="20"/>
    </row>
    <row r="2628" spans="2:14" x14ac:dyDescent="0.25">
      <c r="B2628" s="20">
        <f>Разбивка_по_щитам!B2633</f>
      </c>
      <c r="C2628" s="20">
        <f>Разбивка_по_щитам!C2633</f>
      </c>
      <c r="D2628" s="20">
        <f>Разбивка_по_щитам!F2633</f>
      </c>
      <c r="E2628" s="20">
        <f>Разбивка_по_щитам!H2633</f>
      </c>
      <c r="F2628" s="20">
        <f>Разбивка_по_щитам!I2633</f>
      </c>
      <c r="G2628" s="20">
        <f>Разбивка_по_щитам!J2633</f>
      </c>
      <c r="H2628" s="20">
        <f>Разбивка_по_щитам!K2633</f>
      </c>
      <c r="I2628" s="20">
        <f>Разбивка_по_щитам!L2633</f>
      </c>
      <c r="J2628" s="20">
        <f>Разбивка_по_щитам!M2633</f>
      </c>
      <c r="K2628" s="20">
        <f>Разбивка_по_щитам!N2633</f>
      </c>
      <c r="L2628" s="20"/>
      <c r="M2628" s="20">
        <f>Разбивка_по_щитам!P2633</f>
      </c>
      <c r="N2628" s="20"/>
    </row>
    <row r="2629" spans="2:14" x14ac:dyDescent="0.25">
      <c r="B2629" s="20">
        <f>Разбивка_по_щитам!B2634</f>
      </c>
      <c r="C2629" s="20">
        <f>Разбивка_по_щитам!C2634</f>
      </c>
      <c r="D2629" s="20">
        <f>Разбивка_по_щитам!F2634</f>
      </c>
      <c r="E2629" s="20">
        <f>Разбивка_по_щитам!H2634</f>
      </c>
      <c r="F2629" s="20">
        <f>Разбивка_по_щитам!I2634</f>
      </c>
      <c r="G2629" s="20">
        <f>Разбивка_по_щитам!J2634</f>
      </c>
      <c r="H2629" s="20">
        <f>Разбивка_по_щитам!K2634</f>
      </c>
      <c r="I2629" s="20">
        <f>Разбивка_по_щитам!L2634</f>
      </c>
      <c r="J2629" s="20">
        <f>Разбивка_по_щитам!M2634</f>
      </c>
      <c r="K2629" s="20">
        <f>Разбивка_по_щитам!N2634</f>
      </c>
      <c r="L2629" s="20"/>
      <c r="M2629" s="20">
        <f>Разбивка_по_щитам!P2634</f>
      </c>
      <c r="N2629" s="20"/>
    </row>
    <row r="2630" spans="2:14" x14ac:dyDescent="0.25">
      <c r="B2630" s="20">
        <f>Разбивка_по_щитам!B2635</f>
      </c>
      <c r="C2630" s="20">
        <f>Разбивка_по_щитам!C2635</f>
      </c>
      <c r="D2630" s="20">
        <f>Разбивка_по_щитам!F2635</f>
      </c>
      <c r="E2630" s="20">
        <f>Разбивка_по_щитам!H2635</f>
      </c>
      <c r="F2630" s="20">
        <f>Разбивка_по_щитам!I2635</f>
      </c>
      <c r="G2630" s="20">
        <f>Разбивка_по_щитам!J2635</f>
      </c>
      <c r="H2630" s="20">
        <f>Разбивка_по_щитам!K2635</f>
      </c>
      <c r="I2630" s="20">
        <f>Разбивка_по_щитам!L2635</f>
      </c>
      <c r="J2630" s="20">
        <f>Разбивка_по_щитам!M2635</f>
      </c>
      <c r="K2630" s="20">
        <f>Разбивка_по_щитам!N2635</f>
      </c>
      <c r="L2630" s="20"/>
      <c r="M2630" s="20">
        <f>Разбивка_по_щитам!P2635</f>
      </c>
      <c r="N2630" s="20"/>
    </row>
    <row r="2631" spans="2:14" x14ac:dyDescent="0.25">
      <c r="B2631" s="20">
        <f>Разбивка_по_щитам!B2636</f>
      </c>
      <c r="C2631" s="20">
        <f>Разбивка_по_щитам!C2636</f>
      </c>
      <c r="D2631" s="20">
        <f>Разбивка_по_щитам!F2636</f>
      </c>
      <c r="E2631" s="20">
        <f>Разбивка_по_щитам!H2636</f>
      </c>
      <c r="F2631" s="20">
        <f>Разбивка_по_щитам!I2636</f>
      </c>
      <c r="G2631" s="20">
        <f>Разбивка_по_щитам!J2636</f>
      </c>
      <c r="H2631" s="20">
        <f>Разбивка_по_щитам!K2636</f>
      </c>
      <c r="I2631" s="20">
        <f>Разбивка_по_щитам!L2636</f>
      </c>
      <c r="J2631" s="20">
        <f>Разбивка_по_щитам!M2636</f>
      </c>
      <c r="K2631" s="20">
        <f>Разбивка_по_щитам!N2636</f>
      </c>
      <c r="L2631" s="20"/>
      <c r="M2631" s="20">
        <f>Разбивка_по_щитам!P2636</f>
      </c>
      <c r="N2631" s="20"/>
    </row>
    <row r="2632" spans="2:14" x14ac:dyDescent="0.25">
      <c r="B2632" s="20">
        <f>Разбивка_по_щитам!B2637</f>
      </c>
      <c r="C2632" s="20">
        <f>Разбивка_по_щитам!C2637</f>
      </c>
      <c r="D2632" s="20">
        <f>Разбивка_по_щитам!F2637</f>
      </c>
      <c r="E2632" s="20">
        <f>Разбивка_по_щитам!H2637</f>
      </c>
      <c r="F2632" s="20">
        <f>Разбивка_по_щитам!I2637</f>
      </c>
      <c r="G2632" s="20">
        <f>Разбивка_по_щитам!J2637</f>
      </c>
      <c r="H2632" s="20">
        <f>Разбивка_по_щитам!K2637</f>
      </c>
      <c r="I2632" s="20">
        <f>Разбивка_по_щитам!L2637</f>
      </c>
      <c r="J2632" s="20">
        <f>Разбивка_по_щитам!M2637</f>
      </c>
      <c r="K2632" s="20">
        <f>Разбивка_по_щитам!N2637</f>
      </c>
      <c r="L2632" s="20"/>
      <c r="M2632" s="20">
        <f>Разбивка_по_щитам!P2637</f>
      </c>
      <c r="N2632" s="20"/>
    </row>
    <row r="2633" spans="2:14" x14ac:dyDescent="0.25">
      <c r="B2633" s="20">
        <f>Разбивка_по_щитам!B2638</f>
      </c>
      <c r="C2633" s="20">
        <f>Разбивка_по_щитам!C2638</f>
      </c>
      <c r="D2633" s="20">
        <f>Разбивка_по_щитам!F2638</f>
      </c>
      <c r="E2633" s="20">
        <f>Разбивка_по_щитам!H2638</f>
      </c>
      <c r="F2633" s="20">
        <f>Разбивка_по_щитам!I2638</f>
      </c>
      <c r="G2633" s="20">
        <f>Разбивка_по_щитам!J2638</f>
      </c>
      <c r="H2633" s="20">
        <f>Разбивка_по_щитам!K2638</f>
      </c>
      <c r="I2633" s="20">
        <f>Разбивка_по_щитам!L2638</f>
      </c>
      <c r="J2633" s="20">
        <f>Разбивка_по_щитам!M2638</f>
      </c>
      <c r="K2633" s="20">
        <f>Разбивка_по_щитам!N2638</f>
      </c>
      <c r="L2633" s="20"/>
      <c r="M2633" s="20">
        <f>Разбивка_по_щитам!P2638</f>
      </c>
      <c r="N2633" s="20"/>
    </row>
    <row r="2634" spans="2:14" x14ac:dyDescent="0.25">
      <c r="B2634" s="20">
        <f>Разбивка_по_щитам!B2639</f>
      </c>
      <c r="C2634" s="20">
        <f>Разбивка_по_щитам!C2639</f>
      </c>
      <c r="D2634" s="20">
        <f>Разбивка_по_щитам!F2639</f>
      </c>
      <c r="E2634" s="20">
        <f>Разбивка_по_щитам!H2639</f>
      </c>
      <c r="F2634" s="20">
        <f>Разбивка_по_щитам!I2639</f>
      </c>
      <c r="G2634" s="20">
        <f>Разбивка_по_щитам!J2639</f>
      </c>
      <c r="H2634" s="20">
        <f>Разбивка_по_щитам!K2639</f>
      </c>
      <c r="I2634" s="20">
        <f>Разбивка_по_щитам!L2639</f>
      </c>
      <c r="J2634" s="20">
        <f>Разбивка_по_щитам!M2639</f>
      </c>
      <c r="K2634" s="20">
        <f>Разбивка_по_щитам!N2639</f>
      </c>
      <c r="L2634" s="20"/>
      <c r="M2634" s="20">
        <f>Разбивка_по_щитам!P2639</f>
      </c>
      <c r="N2634" s="20"/>
    </row>
    <row r="2635" spans="2:14" x14ac:dyDescent="0.25">
      <c r="B2635" s="20">
        <f>Разбивка_по_щитам!B2640</f>
      </c>
      <c r="C2635" s="20">
        <f>Разбивка_по_щитам!C2640</f>
      </c>
      <c r="D2635" s="20">
        <f>Разбивка_по_щитам!F2640</f>
      </c>
      <c r="E2635" s="20">
        <f>Разбивка_по_щитам!H2640</f>
      </c>
      <c r="F2635" s="20">
        <f>Разбивка_по_щитам!I2640</f>
      </c>
      <c r="G2635" s="20">
        <f>Разбивка_по_щитам!J2640</f>
      </c>
      <c r="H2635" s="20">
        <f>Разбивка_по_щитам!K2640</f>
      </c>
      <c r="I2635" s="20">
        <f>Разбивка_по_щитам!L2640</f>
      </c>
      <c r="J2635" s="20">
        <f>Разбивка_по_щитам!M2640</f>
      </c>
      <c r="K2635" s="20">
        <f>Разбивка_по_щитам!N2640</f>
      </c>
      <c r="L2635" s="20"/>
      <c r="M2635" s="20">
        <f>Разбивка_по_щитам!P2640</f>
      </c>
      <c r="N2635" s="20"/>
    </row>
    <row r="2636" spans="2:14" x14ac:dyDescent="0.25">
      <c r="B2636" s="20">
        <f>Разбивка_по_щитам!B2641</f>
      </c>
      <c r="C2636" s="20">
        <f>Разбивка_по_щитам!C2641</f>
      </c>
      <c r="D2636" s="20">
        <f>Разбивка_по_щитам!F2641</f>
      </c>
      <c r="E2636" s="20">
        <f>Разбивка_по_щитам!H2641</f>
      </c>
      <c r="F2636" s="20">
        <f>Разбивка_по_щитам!I2641</f>
      </c>
      <c r="G2636" s="20">
        <f>Разбивка_по_щитам!J2641</f>
      </c>
      <c r="H2636" s="20">
        <f>Разбивка_по_щитам!K2641</f>
      </c>
      <c r="I2636" s="20">
        <f>Разбивка_по_щитам!L2641</f>
      </c>
      <c r="J2636" s="20">
        <f>Разбивка_по_щитам!M2641</f>
      </c>
      <c r="K2636" s="20">
        <f>Разбивка_по_щитам!N2641</f>
      </c>
      <c r="L2636" s="20"/>
      <c r="M2636" s="20">
        <f>Разбивка_по_щитам!P2641</f>
      </c>
      <c r="N2636" s="20"/>
    </row>
    <row r="2637" spans="2:14" x14ac:dyDescent="0.25">
      <c r="B2637" s="20">
        <f>Разбивка_по_щитам!B2642</f>
      </c>
      <c r="C2637" s="20">
        <f>Разбивка_по_щитам!C2642</f>
      </c>
      <c r="D2637" s="20">
        <f>Разбивка_по_щитам!F2642</f>
      </c>
      <c r="E2637" s="20">
        <f>Разбивка_по_щитам!H2642</f>
      </c>
      <c r="F2637" s="20">
        <f>Разбивка_по_щитам!I2642</f>
      </c>
      <c r="G2637" s="20">
        <f>Разбивка_по_щитам!J2642</f>
      </c>
      <c r="H2637" s="20">
        <f>Разбивка_по_щитам!K2642</f>
      </c>
      <c r="I2637" s="20">
        <f>Разбивка_по_щитам!L2642</f>
      </c>
      <c r="J2637" s="20">
        <f>Разбивка_по_щитам!M2642</f>
      </c>
      <c r="K2637" s="20">
        <f>Разбивка_по_щитам!N2642</f>
      </c>
      <c r="L2637" s="20"/>
      <c r="M2637" s="20">
        <f>Разбивка_по_щитам!P2642</f>
      </c>
      <c r="N2637" s="20"/>
    </row>
    <row r="2638" spans="2:14" x14ac:dyDescent="0.25">
      <c r="B2638" s="20">
        <f>Разбивка_по_щитам!B2643</f>
      </c>
      <c r="C2638" s="20">
        <f>Разбивка_по_щитам!C2643</f>
      </c>
      <c r="D2638" s="20">
        <f>Разбивка_по_щитам!F2643</f>
      </c>
      <c r="E2638" s="20">
        <f>Разбивка_по_щитам!H2643</f>
      </c>
      <c r="F2638" s="20">
        <f>Разбивка_по_щитам!I2643</f>
      </c>
      <c r="G2638" s="20">
        <f>Разбивка_по_щитам!J2643</f>
      </c>
      <c r="H2638" s="20">
        <f>Разбивка_по_щитам!K2643</f>
      </c>
      <c r="I2638" s="20">
        <f>Разбивка_по_щитам!L2643</f>
      </c>
      <c r="J2638" s="20">
        <f>Разбивка_по_щитам!M2643</f>
      </c>
      <c r="K2638" s="20">
        <f>Разбивка_по_щитам!N2643</f>
      </c>
      <c r="L2638" s="20"/>
      <c r="M2638" s="20">
        <f>Разбивка_по_щитам!P2643</f>
      </c>
      <c r="N2638" s="20"/>
    </row>
    <row r="2639" spans="2:14" x14ac:dyDescent="0.25">
      <c r="B2639" s="20">
        <f>Разбивка_по_щитам!B2644</f>
      </c>
      <c r="C2639" s="20">
        <f>Разбивка_по_щитам!C2644</f>
      </c>
      <c r="D2639" s="20">
        <f>Разбивка_по_щитам!F2644</f>
      </c>
      <c r="E2639" s="20">
        <f>Разбивка_по_щитам!H2644</f>
      </c>
      <c r="F2639" s="20">
        <f>Разбивка_по_щитам!I2644</f>
      </c>
      <c r="G2639" s="20">
        <f>Разбивка_по_щитам!J2644</f>
      </c>
      <c r="H2639" s="20">
        <f>Разбивка_по_щитам!K2644</f>
      </c>
      <c r="I2639" s="20">
        <f>Разбивка_по_щитам!L2644</f>
      </c>
      <c r="J2639" s="20">
        <f>Разбивка_по_щитам!M2644</f>
      </c>
      <c r="K2639" s="20">
        <f>Разбивка_по_щитам!N2644</f>
      </c>
      <c r="L2639" s="20"/>
      <c r="M2639" s="20">
        <f>Разбивка_по_щитам!P2644</f>
      </c>
      <c r="N2639" s="20"/>
    </row>
    <row r="2640" spans="2:14" x14ac:dyDescent="0.25">
      <c r="B2640" s="20">
        <f>Разбивка_по_щитам!B2645</f>
      </c>
      <c r="C2640" s="20">
        <f>Разбивка_по_щитам!C2645</f>
      </c>
      <c r="D2640" s="20">
        <f>Разбивка_по_щитам!F2645</f>
      </c>
      <c r="E2640" s="20">
        <f>Разбивка_по_щитам!H2645</f>
      </c>
      <c r="F2640" s="20">
        <f>Разбивка_по_щитам!I2645</f>
      </c>
      <c r="G2640" s="20">
        <f>Разбивка_по_щитам!J2645</f>
      </c>
      <c r="H2640" s="20">
        <f>Разбивка_по_щитам!K2645</f>
      </c>
      <c r="I2640" s="20">
        <f>Разбивка_по_щитам!L2645</f>
      </c>
      <c r="J2640" s="20">
        <f>Разбивка_по_щитам!M2645</f>
      </c>
      <c r="K2640" s="20">
        <f>Разбивка_по_щитам!N2645</f>
      </c>
      <c r="L2640" s="20"/>
      <c r="M2640" s="20">
        <f>Разбивка_по_щитам!P2645</f>
      </c>
      <c r="N2640" s="20"/>
    </row>
    <row r="2641" spans="2:14" x14ac:dyDescent="0.25">
      <c r="B2641" s="20">
        <f>Разбивка_по_щитам!B2646</f>
      </c>
      <c r="C2641" s="20">
        <f>Разбивка_по_щитам!C2646</f>
      </c>
      <c r="D2641" s="20">
        <f>Разбивка_по_щитам!F2646</f>
      </c>
      <c r="E2641" s="20">
        <f>Разбивка_по_щитам!H2646</f>
      </c>
      <c r="F2641" s="20">
        <f>Разбивка_по_щитам!I2646</f>
      </c>
      <c r="G2641" s="20">
        <f>Разбивка_по_щитам!J2646</f>
      </c>
      <c r="H2641" s="20">
        <f>Разбивка_по_щитам!K2646</f>
      </c>
      <c r="I2641" s="20">
        <f>Разбивка_по_щитам!L2646</f>
      </c>
      <c r="J2641" s="20">
        <f>Разбивка_по_щитам!M2646</f>
      </c>
      <c r="K2641" s="20">
        <f>Разбивка_по_щитам!N2646</f>
      </c>
      <c r="L2641" s="20"/>
      <c r="M2641" s="20">
        <f>Разбивка_по_щитам!P2646</f>
      </c>
      <c r="N2641" s="20"/>
    </row>
    <row r="2642" spans="2:14" x14ac:dyDescent="0.25">
      <c r="B2642" s="20">
        <f>Разбивка_по_щитам!B2647</f>
      </c>
      <c r="C2642" s="20">
        <f>Разбивка_по_щитам!C2647</f>
      </c>
      <c r="D2642" s="20">
        <f>Разбивка_по_щитам!F2647</f>
      </c>
      <c r="E2642" s="20">
        <f>Разбивка_по_щитам!H2647</f>
      </c>
      <c r="F2642" s="20">
        <f>Разбивка_по_щитам!I2647</f>
      </c>
      <c r="G2642" s="20">
        <f>Разбивка_по_щитам!J2647</f>
      </c>
      <c r="H2642" s="20">
        <f>Разбивка_по_щитам!K2647</f>
      </c>
      <c r="I2642" s="20">
        <f>Разбивка_по_щитам!L2647</f>
      </c>
      <c r="J2642" s="20">
        <f>Разбивка_по_щитам!M2647</f>
      </c>
      <c r="K2642" s="20">
        <f>Разбивка_по_щитам!N2647</f>
      </c>
      <c r="L2642" s="20"/>
      <c r="M2642" s="20">
        <f>Разбивка_по_щитам!P2647</f>
      </c>
      <c r="N2642" s="20"/>
    </row>
    <row r="2643" spans="2:14" x14ac:dyDescent="0.25">
      <c r="B2643" s="20">
        <f>Разбивка_по_щитам!B2648</f>
      </c>
      <c r="C2643" s="20">
        <f>Разбивка_по_щитам!C2648</f>
      </c>
      <c r="D2643" s="20">
        <f>Разбивка_по_щитам!F2648</f>
      </c>
      <c r="E2643" s="20">
        <f>Разбивка_по_щитам!H2648</f>
      </c>
      <c r="F2643" s="20">
        <f>Разбивка_по_щитам!I2648</f>
      </c>
      <c r="G2643" s="20">
        <f>Разбивка_по_щитам!J2648</f>
      </c>
      <c r="H2643" s="20">
        <f>Разбивка_по_щитам!K2648</f>
      </c>
      <c r="I2643" s="20">
        <f>Разбивка_по_щитам!L2648</f>
      </c>
      <c r="J2643" s="20">
        <f>Разбивка_по_щитам!M2648</f>
      </c>
      <c r="K2643" s="20">
        <f>Разбивка_по_щитам!N2648</f>
      </c>
      <c r="L2643" s="20"/>
      <c r="M2643" s="20">
        <f>Разбивка_по_щитам!P2648</f>
      </c>
      <c r="N2643" s="20"/>
    </row>
    <row r="2644" spans="2:14" x14ac:dyDescent="0.25">
      <c r="B2644" s="20">
        <f>Разбивка_по_щитам!B2649</f>
      </c>
      <c r="C2644" s="20">
        <f>Разбивка_по_щитам!C2649</f>
      </c>
      <c r="D2644" s="20">
        <f>Разбивка_по_щитам!F2649</f>
      </c>
      <c r="E2644" s="20">
        <f>Разбивка_по_щитам!H2649</f>
      </c>
      <c r="F2644" s="20">
        <f>Разбивка_по_щитам!I2649</f>
      </c>
      <c r="G2644" s="20">
        <f>Разбивка_по_щитам!J2649</f>
      </c>
      <c r="H2644" s="20">
        <f>Разбивка_по_щитам!K2649</f>
      </c>
      <c r="I2644" s="20">
        <f>Разбивка_по_щитам!L2649</f>
      </c>
      <c r="J2644" s="20">
        <f>Разбивка_по_щитам!M2649</f>
      </c>
      <c r="K2644" s="20">
        <f>Разбивка_по_щитам!N2649</f>
      </c>
      <c r="L2644" s="20"/>
      <c r="M2644" s="20">
        <f>Разбивка_по_щитам!P2649</f>
      </c>
      <c r="N2644" s="20"/>
    </row>
    <row r="2645" spans="2:14" x14ac:dyDescent="0.25">
      <c r="B2645" s="20">
        <f>Разбивка_по_щитам!B2650</f>
      </c>
      <c r="C2645" s="20">
        <f>Разбивка_по_щитам!C2650</f>
      </c>
      <c r="D2645" s="20">
        <f>Разбивка_по_щитам!F2650</f>
      </c>
      <c r="E2645" s="20">
        <f>Разбивка_по_щитам!H2650</f>
      </c>
      <c r="F2645" s="20">
        <f>Разбивка_по_щитам!I2650</f>
      </c>
      <c r="G2645" s="20">
        <f>Разбивка_по_щитам!J2650</f>
      </c>
      <c r="H2645" s="20">
        <f>Разбивка_по_щитам!K2650</f>
      </c>
      <c r="I2645" s="20">
        <f>Разбивка_по_щитам!L2650</f>
      </c>
      <c r="J2645" s="20">
        <f>Разбивка_по_щитам!M2650</f>
      </c>
      <c r="K2645" s="20">
        <f>Разбивка_по_щитам!N2650</f>
      </c>
      <c r="L2645" s="20"/>
      <c r="M2645" s="20">
        <f>Разбивка_по_щитам!P2650</f>
      </c>
      <c r="N2645" s="20"/>
    </row>
    <row r="2646" spans="2:14" x14ac:dyDescent="0.25">
      <c r="B2646" s="20">
        <f>Разбивка_по_щитам!B2651</f>
      </c>
      <c r="C2646" s="20">
        <f>Разбивка_по_щитам!C2651</f>
      </c>
      <c r="D2646" s="20">
        <f>Разбивка_по_щитам!F2651</f>
      </c>
      <c r="E2646" s="20">
        <f>Разбивка_по_щитам!H2651</f>
      </c>
      <c r="F2646" s="20">
        <f>Разбивка_по_щитам!I2651</f>
      </c>
      <c r="G2646" s="20">
        <f>Разбивка_по_щитам!J2651</f>
      </c>
      <c r="H2646" s="20">
        <f>Разбивка_по_щитам!K2651</f>
      </c>
      <c r="I2646" s="20">
        <f>Разбивка_по_щитам!L2651</f>
      </c>
      <c r="J2646" s="20">
        <f>Разбивка_по_щитам!M2651</f>
      </c>
      <c r="K2646" s="20">
        <f>Разбивка_по_щитам!N2651</f>
      </c>
      <c r="L2646" s="20"/>
      <c r="M2646" s="20">
        <f>Разбивка_по_щитам!P2651</f>
      </c>
      <c r="N2646" s="20"/>
    </row>
    <row r="2647" spans="2:14" x14ac:dyDescent="0.25">
      <c r="B2647" s="20">
        <f>Разбивка_по_щитам!B2652</f>
      </c>
      <c r="C2647" s="20">
        <f>Разбивка_по_щитам!C2652</f>
      </c>
      <c r="D2647" s="20">
        <f>Разбивка_по_щитам!F2652</f>
      </c>
      <c r="E2647" s="20">
        <f>Разбивка_по_щитам!H2652</f>
      </c>
      <c r="F2647" s="20">
        <f>Разбивка_по_щитам!I2652</f>
      </c>
      <c r="G2647" s="20">
        <f>Разбивка_по_щитам!J2652</f>
      </c>
      <c r="H2647" s="20">
        <f>Разбивка_по_щитам!K2652</f>
      </c>
      <c r="I2647" s="20">
        <f>Разбивка_по_щитам!L2652</f>
      </c>
      <c r="J2647" s="20">
        <f>Разбивка_по_щитам!M2652</f>
      </c>
      <c r="K2647" s="20">
        <f>Разбивка_по_щитам!N2652</f>
      </c>
      <c r="L2647" s="20"/>
      <c r="M2647" s="20">
        <f>Разбивка_по_щитам!P2652</f>
      </c>
      <c r="N2647" s="20"/>
    </row>
    <row r="2648" spans="2:14" x14ac:dyDescent="0.25">
      <c r="B2648" s="20">
        <f>Разбивка_по_щитам!B2653</f>
      </c>
      <c r="C2648" s="20">
        <f>Разбивка_по_щитам!C2653</f>
      </c>
      <c r="D2648" s="20">
        <f>Разбивка_по_щитам!F2653</f>
      </c>
      <c r="E2648" s="20">
        <f>Разбивка_по_щитам!H2653</f>
      </c>
      <c r="F2648" s="20">
        <f>Разбивка_по_щитам!I2653</f>
      </c>
      <c r="G2648" s="20">
        <f>Разбивка_по_щитам!J2653</f>
      </c>
      <c r="H2648" s="20">
        <f>Разбивка_по_щитам!K2653</f>
      </c>
      <c r="I2648" s="20">
        <f>Разбивка_по_щитам!L2653</f>
      </c>
      <c r="J2648" s="20">
        <f>Разбивка_по_щитам!M2653</f>
      </c>
      <c r="K2648" s="20">
        <f>Разбивка_по_щитам!N2653</f>
      </c>
      <c r="L2648" s="20"/>
      <c r="M2648" s="20">
        <f>Разбивка_по_щитам!P2653</f>
      </c>
      <c r="N2648" s="20"/>
    </row>
    <row r="2649" spans="2:14" x14ac:dyDescent="0.25">
      <c r="B2649" s="20">
        <f>Разбивка_по_щитам!B2654</f>
      </c>
      <c r="C2649" s="20">
        <f>Разбивка_по_щитам!C2654</f>
      </c>
      <c r="D2649" s="20">
        <f>Разбивка_по_щитам!F2654</f>
      </c>
      <c r="E2649" s="20">
        <f>Разбивка_по_щитам!H2654</f>
      </c>
      <c r="F2649" s="20">
        <f>Разбивка_по_щитам!I2654</f>
      </c>
      <c r="G2649" s="20">
        <f>Разбивка_по_щитам!J2654</f>
      </c>
      <c r="H2649" s="20">
        <f>Разбивка_по_щитам!K2654</f>
      </c>
      <c r="I2649" s="20">
        <f>Разбивка_по_щитам!L2654</f>
      </c>
      <c r="J2649" s="20">
        <f>Разбивка_по_щитам!M2654</f>
      </c>
      <c r="K2649" s="20">
        <f>Разбивка_по_щитам!N2654</f>
      </c>
      <c r="L2649" s="20"/>
      <c r="M2649" s="20">
        <f>Разбивка_по_щитам!P2654</f>
      </c>
      <c r="N2649" s="20"/>
    </row>
    <row r="2650" spans="2:14" x14ac:dyDescent="0.25">
      <c r="B2650" s="20">
        <f>Разбивка_по_щитам!B2655</f>
      </c>
      <c r="C2650" s="20">
        <f>Разбивка_по_щитам!C2655</f>
      </c>
      <c r="D2650" s="20">
        <f>Разбивка_по_щитам!F2655</f>
      </c>
      <c r="E2650" s="20">
        <f>Разбивка_по_щитам!H2655</f>
      </c>
      <c r="F2650" s="20">
        <f>Разбивка_по_щитам!I2655</f>
      </c>
      <c r="G2650" s="20">
        <f>Разбивка_по_щитам!J2655</f>
      </c>
      <c r="H2650" s="20">
        <f>Разбивка_по_щитам!K2655</f>
      </c>
      <c r="I2650" s="20">
        <f>Разбивка_по_щитам!L2655</f>
      </c>
      <c r="J2650" s="20">
        <f>Разбивка_по_щитам!M2655</f>
      </c>
      <c r="K2650" s="20">
        <f>Разбивка_по_щитам!N2655</f>
      </c>
      <c r="L2650" s="20"/>
      <c r="M2650" s="20">
        <f>Разбивка_по_щитам!P2655</f>
      </c>
      <c r="N2650" s="20"/>
    </row>
    <row r="2651" spans="2:14" x14ac:dyDescent="0.25">
      <c r="B2651" s="20">
        <f>Разбивка_по_щитам!B2656</f>
      </c>
      <c r="C2651" s="20">
        <f>Разбивка_по_щитам!C2656</f>
      </c>
      <c r="D2651" s="20">
        <f>Разбивка_по_щитам!F2656</f>
      </c>
      <c r="E2651" s="20">
        <f>Разбивка_по_щитам!H2656</f>
      </c>
      <c r="F2651" s="20">
        <f>Разбивка_по_щитам!I2656</f>
      </c>
      <c r="G2651" s="20">
        <f>Разбивка_по_щитам!J2656</f>
      </c>
      <c r="H2651" s="20">
        <f>Разбивка_по_щитам!K2656</f>
      </c>
      <c r="I2651" s="20">
        <f>Разбивка_по_щитам!L2656</f>
      </c>
      <c r="J2651" s="20">
        <f>Разбивка_по_щитам!M2656</f>
      </c>
      <c r="K2651" s="20">
        <f>Разбивка_по_щитам!N2656</f>
      </c>
      <c r="L2651" s="20"/>
      <c r="M2651" s="20">
        <f>Разбивка_по_щитам!P2656</f>
      </c>
      <c r="N2651" s="20"/>
    </row>
    <row r="2652" spans="2:14" x14ac:dyDescent="0.25">
      <c r="B2652" s="20">
        <f>Разбивка_по_щитам!B2657</f>
      </c>
      <c r="C2652" s="20">
        <f>Разбивка_по_щитам!C2657</f>
      </c>
      <c r="D2652" s="20">
        <f>Разбивка_по_щитам!F2657</f>
      </c>
      <c r="E2652" s="20">
        <f>Разбивка_по_щитам!H2657</f>
      </c>
      <c r="F2652" s="20">
        <f>Разбивка_по_щитам!I2657</f>
      </c>
      <c r="G2652" s="20">
        <f>Разбивка_по_щитам!J2657</f>
      </c>
      <c r="H2652" s="20">
        <f>Разбивка_по_щитам!K2657</f>
      </c>
      <c r="I2652" s="20">
        <f>Разбивка_по_щитам!L2657</f>
      </c>
      <c r="J2652" s="20">
        <f>Разбивка_по_щитам!M2657</f>
      </c>
      <c r="K2652" s="20">
        <f>Разбивка_по_щитам!N2657</f>
      </c>
      <c r="L2652" s="20"/>
      <c r="M2652" s="20">
        <f>Разбивка_по_щитам!P2657</f>
      </c>
      <c r="N2652" s="20"/>
    </row>
    <row r="2653" spans="2:14" x14ac:dyDescent="0.25">
      <c r="B2653" s="20">
        <f>Разбивка_по_щитам!B2658</f>
      </c>
      <c r="C2653" s="20">
        <f>Разбивка_по_щитам!C2658</f>
      </c>
      <c r="D2653" s="20">
        <f>Разбивка_по_щитам!F2658</f>
      </c>
      <c r="E2653" s="20">
        <f>Разбивка_по_щитам!H2658</f>
      </c>
      <c r="F2653" s="20">
        <f>Разбивка_по_щитам!I2658</f>
      </c>
      <c r="G2653" s="20">
        <f>Разбивка_по_щитам!J2658</f>
      </c>
      <c r="H2653" s="20">
        <f>Разбивка_по_щитам!K2658</f>
      </c>
      <c r="I2653" s="20">
        <f>Разбивка_по_щитам!L2658</f>
      </c>
      <c r="J2653" s="20">
        <f>Разбивка_по_щитам!M2658</f>
      </c>
      <c r="K2653" s="20">
        <f>Разбивка_по_щитам!N2658</f>
      </c>
      <c r="L2653" s="20"/>
      <c r="M2653" s="20">
        <f>Разбивка_по_щитам!P2658</f>
      </c>
      <c r="N2653" s="20"/>
    </row>
    <row r="2654" spans="2:14" x14ac:dyDescent="0.25">
      <c r="B2654" s="20">
        <f>Разбивка_по_щитам!B2659</f>
      </c>
      <c r="C2654" s="20">
        <f>Разбивка_по_щитам!C2659</f>
      </c>
      <c r="D2654" s="20">
        <f>Разбивка_по_щитам!F2659</f>
      </c>
      <c r="E2654" s="20">
        <f>Разбивка_по_щитам!H2659</f>
      </c>
      <c r="F2654" s="20">
        <f>Разбивка_по_щитам!I2659</f>
      </c>
      <c r="G2654" s="20">
        <f>Разбивка_по_щитам!J2659</f>
      </c>
      <c r="H2654" s="20">
        <f>Разбивка_по_щитам!K2659</f>
      </c>
      <c r="I2654" s="20">
        <f>Разбивка_по_щитам!L2659</f>
      </c>
      <c r="J2654" s="20">
        <f>Разбивка_по_щитам!M2659</f>
      </c>
      <c r="K2654" s="20">
        <f>Разбивка_по_щитам!N2659</f>
      </c>
      <c r="L2654" s="20"/>
      <c r="M2654" s="20">
        <f>Разбивка_по_щитам!P2659</f>
      </c>
      <c r="N2654" s="20"/>
    </row>
    <row r="2655" spans="2:14" x14ac:dyDescent="0.25">
      <c r="B2655" s="20">
        <f>Разбивка_по_щитам!B2660</f>
      </c>
      <c r="C2655" s="20">
        <f>Разбивка_по_щитам!C2660</f>
      </c>
      <c r="D2655" s="20">
        <f>Разбивка_по_щитам!F2660</f>
      </c>
      <c r="E2655" s="20">
        <f>Разбивка_по_щитам!H2660</f>
      </c>
      <c r="F2655" s="20">
        <f>Разбивка_по_щитам!I2660</f>
      </c>
      <c r="G2655" s="20">
        <f>Разбивка_по_щитам!J2660</f>
      </c>
      <c r="H2655" s="20">
        <f>Разбивка_по_щитам!K2660</f>
      </c>
      <c r="I2655" s="20">
        <f>Разбивка_по_щитам!L2660</f>
      </c>
      <c r="J2655" s="20">
        <f>Разбивка_по_щитам!M2660</f>
      </c>
      <c r="K2655" s="20">
        <f>Разбивка_по_щитам!N2660</f>
      </c>
      <c r="L2655" s="20"/>
      <c r="M2655" s="20">
        <f>Разбивка_по_щитам!P2660</f>
      </c>
      <c r="N2655" s="20"/>
    </row>
    <row r="2656" spans="2:14" x14ac:dyDescent="0.25">
      <c r="B2656" s="20">
        <f>Разбивка_по_щитам!B2661</f>
      </c>
      <c r="C2656" s="20">
        <f>Разбивка_по_щитам!C2661</f>
      </c>
      <c r="D2656" s="20">
        <f>Разбивка_по_щитам!F2661</f>
      </c>
      <c r="E2656" s="20">
        <f>Разбивка_по_щитам!H2661</f>
      </c>
      <c r="F2656" s="20">
        <f>Разбивка_по_щитам!I2661</f>
      </c>
      <c r="G2656" s="20">
        <f>Разбивка_по_щитам!J2661</f>
      </c>
      <c r="H2656" s="20">
        <f>Разбивка_по_щитам!K2661</f>
      </c>
      <c r="I2656" s="20">
        <f>Разбивка_по_щитам!L2661</f>
      </c>
      <c r="J2656" s="20">
        <f>Разбивка_по_щитам!M2661</f>
      </c>
      <c r="K2656" s="20">
        <f>Разбивка_по_щитам!N2661</f>
      </c>
      <c r="L2656" s="20"/>
      <c r="M2656" s="20">
        <f>Разбивка_по_щитам!P2661</f>
      </c>
      <c r="N2656" s="20"/>
    </row>
    <row r="2657" spans="2:14" x14ac:dyDescent="0.25">
      <c r="B2657" s="20">
        <f>Разбивка_по_щитам!B2662</f>
      </c>
      <c r="C2657" s="20">
        <f>Разбивка_по_щитам!C2662</f>
      </c>
      <c r="D2657" s="20">
        <f>Разбивка_по_щитам!F2662</f>
      </c>
      <c r="E2657" s="20">
        <f>Разбивка_по_щитам!H2662</f>
      </c>
      <c r="F2657" s="20">
        <f>Разбивка_по_щитам!I2662</f>
      </c>
      <c r="G2657" s="20">
        <f>Разбивка_по_щитам!J2662</f>
      </c>
      <c r="H2657" s="20">
        <f>Разбивка_по_щитам!K2662</f>
      </c>
      <c r="I2657" s="20">
        <f>Разбивка_по_щитам!L2662</f>
      </c>
      <c r="J2657" s="20">
        <f>Разбивка_по_щитам!M2662</f>
      </c>
      <c r="K2657" s="20">
        <f>Разбивка_по_щитам!N2662</f>
      </c>
      <c r="L2657" s="20"/>
      <c r="M2657" s="20">
        <f>Разбивка_по_щитам!P2662</f>
      </c>
      <c r="N2657" s="20"/>
    </row>
    <row r="2658" spans="2:14" x14ac:dyDescent="0.25">
      <c r="B2658" s="20">
        <f>Разбивка_по_щитам!B2663</f>
      </c>
      <c r="C2658" s="20">
        <f>Разбивка_по_щитам!C2663</f>
      </c>
      <c r="D2658" s="20">
        <f>Разбивка_по_щитам!F2663</f>
      </c>
      <c r="E2658" s="20">
        <f>Разбивка_по_щитам!H2663</f>
      </c>
      <c r="F2658" s="20">
        <f>Разбивка_по_щитам!I2663</f>
      </c>
      <c r="G2658" s="20">
        <f>Разбивка_по_щитам!J2663</f>
      </c>
      <c r="H2658" s="20">
        <f>Разбивка_по_щитам!K2663</f>
      </c>
      <c r="I2658" s="20">
        <f>Разбивка_по_щитам!L2663</f>
      </c>
      <c r="J2658" s="20">
        <f>Разбивка_по_щитам!M2663</f>
      </c>
      <c r="K2658" s="20">
        <f>Разбивка_по_щитам!N2663</f>
      </c>
      <c r="L2658" s="20"/>
      <c r="M2658" s="20">
        <f>Разбивка_по_щитам!P2663</f>
      </c>
      <c r="N2658" s="20"/>
    </row>
    <row r="2659" spans="2:14" x14ac:dyDescent="0.25">
      <c r="B2659" s="20">
        <f>Разбивка_по_щитам!B2664</f>
      </c>
      <c r="C2659" s="20">
        <f>Разбивка_по_щитам!C2664</f>
      </c>
      <c r="D2659" s="20">
        <f>Разбивка_по_щитам!F2664</f>
      </c>
      <c r="E2659" s="20">
        <f>Разбивка_по_щитам!H2664</f>
      </c>
      <c r="F2659" s="20">
        <f>Разбивка_по_щитам!I2664</f>
      </c>
      <c r="G2659" s="20">
        <f>Разбивка_по_щитам!J2664</f>
      </c>
      <c r="H2659" s="20">
        <f>Разбивка_по_щитам!K2664</f>
      </c>
      <c r="I2659" s="20">
        <f>Разбивка_по_щитам!L2664</f>
      </c>
      <c r="J2659" s="20">
        <f>Разбивка_по_щитам!M2664</f>
      </c>
      <c r="K2659" s="20">
        <f>Разбивка_по_щитам!N2664</f>
      </c>
      <c r="L2659" s="20"/>
      <c r="M2659" s="20">
        <f>Разбивка_по_щитам!P2664</f>
      </c>
      <c r="N2659" s="20"/>
    </row>
    <row r="2660" spans="2:14" x14ac:dyDescent="0.25">
      <c r="B2660" s="20">
        <f>Разбивка_по_щитам!B2665</f>
      </c>
      <c r="C2660" s="20">
        <f>Разбивка_по_щитам!C2665</f>
      </c>
      <c r="D2660" s="20">
        <f>Разбивка_по_щитам!F2665</f>
      </c>
      <c r="E2660" s="20">
        <f>Разбивка_по_щитам!H2665</f>
      </c>
      <c r="F2660" s="20">
        <f>Разбивка_по_щитам!I2665</f>
      </c>
      <c r="G2660" s="20">
        <f>Разбивка_по_щитам!J2665</f>
      </c>
      <c r="H2660" s="20">
        <f>Разбивка_по_щитам!K2665</f>
      </c>
      <c r="I2660" s="20">
        <f>Разбивка_по_щитам!L2665</f>
      </c>
      <c r="J2660" s="20">
        <f>Разбивка_по_щитам!M2665</f>
      </c>
      <c r="K2660" s="20">
        <f>Разбивка_по_щитам!N2665</f>
      </c>
      <c r="L2660" s="20"/>
      <c r="M2660" s="20">
        <f>Разбивка_по_щитам!P2665</f>
      </c>
      <c r="N2660" s="20"/>
    </row>
    <row r="2661" spans="2:14" x14ac:dyDescent="0.25">
      <c r="B2661" s="20">
        <f>Разбивка_по_щитам!B2666</f>
      </c>
      <c r="C2661" s="20">
        <f>Разбивка_по_щитам!C2666</f>
      </c>
      <c r="D2661" s="20">
        <f>Разбивка_по_щитам!F2666</f>
      </c>
      <c r="E2661" s="20">
        <f>Разбивка_по_щитам!H2666</f>
      </c>
      <c r="F2661" s="20">
        <f>Разбивка_по_щитам!I2666</f>
      </c>
      <c r="G2661" s="20">
        <f>Разбивка_по_щитам!J2666</f>
      </c>
      <c r="H2661" s="20">
        <f>Разбивка_по_щитам!K2666</f>
      </c>
      <c r="I2661" s="20">
        <f>Разбивка_по_щитам!L2666</f>
      </c>
      <c r="J2661" s="20">
        <f>Разбивка_по_щитам!M2666</f>
      </c>
      <c r="K2661" s="20">
        <f>Разбивка_по_щитам!N2666</f>
      </c>
      <c r="L2661" s="20"/>
      <c r="M2661" s="20">
        <f>Разбивка_по_щитам!P2666</f>
      </c>
      <c r="N2661" s="20"/>
    </row>
    <row r="2662" spans="2:14" x14ac:dyDescent="0.25">
      <c r="B2662" s="20">
        <f>Разбивка_по_щитам!B2667</f>
      </c>
      <c r="C2662" s="20">
        <f>Разбивка_по_щитам!C2667</f>
      </c>
      <c r="D2662" s="20">
        <f>Разбивка_по_щитам!F2667</f>
      </c>
      <c r="E2662" s="20">
        <f>Разбивка_по_щитам!H2667</f>
      </c>
      <c r="F2662" s="20">
        <f>Разбивка_по_щитам!I2667</f>
      </c>
      <c r="G2662" s="20">
        <f>Разбивка_по_щитам!J2667</f>
      </c>
      <c r="H2662" s="20">
        <f>Разбивка_по_щитам!K2667</f>
      </c>
      <c r="I2662" s="20">
        <f>Разбивка_по_щитам!L2667</f>
      </c>
      <c r="J2662" s="20">
        <f>Разбивка_по_щитам!M2667</f>
      </c>
      <c r="K2662" s="20">
        <f>Разбивка_по_щитам!N2667</f>
      </c>
      <c r="L2662" s="20"/>
      <c r="M2662" s="20">
        <f>Разбивка_по_щитам!P2667</f>
      </c>
      <c r="N2662" s="20"/>
    </row>
    <row r="2663" spans="2:14" x14ac:dyDescent="0.25">
      <c r="B2663" s="20">
        <f>Разбивка_по_щитам!B2668</f>
      </c>
      <c r="C2663" s="20">
        <f>Разбивка_по_щитам!C2668</f>
      </c>
      <c r="D2663" s="20">
        <f>Разбивка_по_щитам!F2668</f>
      </c>
      <c r="E2663" s="20">
        <f>Разбивка_по_щитам!H2668</f>
      </c>
      <c r="F2663" s="20">
        <f>Разбивка_по_щитам!I2668</f>
      </c>
      <c r="G2663" s="20">
        <f>Разбивка_по_щитам!J2668</f>
      </c>
      <c r="H2663" s="20">
        <f>Разбивка_по_щитам!K2668</f>
      </c>
      <c r="I2663" s="20">
        <f>Разбивка_по_щитам!L2668</f>
      </c>
      <c r="J2663" s="20">
        <f>Разбивка_по_щитам!M2668</f>
      </c>
      <c r="K2663" s="20">
        <f>Разбивка_по_щитам!N2668</f>
      </c>
      <c r="L2663" s="20"/>
      <c r="M2663" s="20">
        <f>Разбивка_по_щитам!P2668</f>
      </c>
      <c r="N2663" s="20"/>
    </row>
    <row r="2664" spans="2:14" x14ac:dyDescent="0.25">
      <c r="B2664" s="20">
        <f>Разбивка_по_щитам!B2669</f>
      </c>
      <c r="C2664" s="20">
        <f>Разбивка_по_щитам!C2669</f>
      </c>
      <c r="D2664" s="20">
        <f>Разбивка_по_щитам!F2669</f>
      </c>
      <c r="E2664" s="20">
        <f>Разбивка_по_щитам!H2669</f>
      </c>
      <c r="F2664" s="20">
        <f>Разбивка_по_щитам!I2669</f>
      </c>
      <c r="G2664" s="20">
        <f>Разбивка_по_щитам!J2669</f>
      </c>
      <c r="H2664" s="20">
        <f>Разбивка_по_щитам!K2669</f>
      </c>
      <c r="I2664" s="20">
        <f>Разбивка_по_щитам!L2669</f>
      </c>
      <c r="J2664" s="20">
        <f>Разбивка_по_щитам!M2669</f>
      </c>
      <c r="K2664" s="20">
        <f>Разбивка_по_щитам!N2669</f>
      </c>
      <c r="L2664" s="20"/>
      <c r="M2664" s="20">
        <f>Разбивка_по_щитам!P2669</f>
      </c>
      <c r="N2664" s="20"/>
    </row>
    <row r="2665" spans="2:14" x14ac:dyDescent="0.25">
      <c r="B2665" s="20">
        <f>Разбивка_по_щитам!B2670</f>
      </c>
      <c r="C2665" s="20">
        <f>Разбивка_по_щитам!C2670</f>
      </c>
      <c r="D2665" s="20">
        <f>Разбивка_по_щитам!F2670</f>
      </c>
      <c r="E2665" s="20">
        <f>Разбивка_по_щитам!H2670</f>
      </c>
      <c r="F2665" s="20">
        <f>Разбивка_по_щитам!I2670</f>
      </c>
      <c r="G2665" s="20">
        <f>Разбивка_по_щитам!J2670</f>
      </c>
      <c r="H2665" s="20">
        <f>Разбивка_по_щитам!K2670</f>
      </c>
      <c r="I2665" s="20">
        <f>Разбивка_по_щитам!L2670</f>
      </c>
      <c r="J2665" s="20">
        <f>Разбивка_по_щитам!M2670</f>
      </c>
      <c r="K2665" s="20">
        <f>Разбивка_по_щитам!N2670</f>
      </c>
      <c r="L2665" s="20"/>
      <c r="M2665" s="20">
        <f>Разбивка_по_щитам!P2670</f>
      </c>
      <c r="N2665" s="20"/>
    </row>
    <row r="2666" spans="2:14" x14ac:dyDescent="0.25">
      <c r="B2666" s="20">
        <f>Разбивка_по_щитам!B2671</f>
      </c>
      <c r="C2666" s="20">
        <f>Разбивка_по_щитам!C2671</f>
      </c>
      <c r="D2666" s="20">
        <f>Разбивка_по_щитам!F2671</f>
      </c>
      <c r="E2666" s="20">
        <f>Разбивка_по_щитам!H2671</f>
      </c>
      <c r="F2666" s="20">
        <f>Разбивка_по_щитам!I2671</f>
      </c>
      <c r="G2666" s="20">
        <f>Разбивка_по_щитам!J2671</f>
      </c>
      <c r="H2666" s="20">
        <f>Разбивка_по_щитам!K2671</f>
      </c>
      <c r="I2666" s="20">
        <f>Разбивка_по_щитам!L2671</f>
      </c>
      <c r="J2666" s="20">
        <f>Разбивка_по_щитам!M2671</f>
      </c>
      <c r="K2666" s="20">
        <f>Разбивка_по_щитам!N2671</f>
      </c>
      <c r="L2666" s="20"/>
      <c r="M2666" s="20">
        <f>Разбивка_по_щитам!P2671</f>
      </c>
      <c r="N2666" s="20"/>
    </row>
    <row r="2667" spans="2:14" x14ac:dyDescent="0.25">
      <c r="B2667" s="20">
        <f>Разбивка_по_щитам!B2672</f>
      </c>
      <c r="C2667" s="20">
        <f>Разбивка_по_щитам!C2672</f>
      </c>
      <c r="D2667" s="20">
        <f>Разбивка_по_щитам!F2672</f>
      </c>
      <c r="E2667" s="20">
        <f>Разбивка_по_щитам!H2672</f>
      </c>
      <c r="F2667" s="20">
        <f>Разбивка_по_щитам!I2672</f>
      </c>
      <c r="G2667" s="20">
        <f>Разбивка_по_щитам!J2672</f>
      </c>
      <c r="H2667" s="20">
        <f>Разбивка_по_щитам!K2672</f>
      </c>
      <c r="I2667" s="20">
        <f>Разбивка_по_щитам!L2672</f>
      </c>
      <c r="J2667" s="20">
        <f>Разбивка_по_щитам!M2672</f>
      </c>
      <c r="K2667" s="20">
        <f>Разбивка_по_щитам!N2672</f>
      </c>
      <c r="L2667" s="20"/>
      <c r="M2667" s="20">
        <f>Разбивка_по_щитам!P2672</f>
      </c>
      <c r="N2667" s="20"/>
    </row>
    <row r="2668" spans="2:14" x14ac:dyDescent="0.25">
      <c r="B2668" s="20">
        <f>Разбивка_по_щитам!B2673</f>
      </c>
      <c r="C2668" s="20">
        <f>Разбивка_по_щитам!C2673</f>
      </c>
      <c r="D2668" s="20">
        <f>Разбивка_по_щитам!F2673</f>
      </c>
      <c r="E2668" s="20">
        <f>Разбивка_по_щитам!H2673</f>
      </c>
      <c r="F2668" s="20">
        <f>Разбивка_по_щитам!I2673</f>
      </c>
      <c r="G2668" s="20">
        <f>Разбивка_по_щитам!J2673</f>
      </c>
      <c r="H2668" s="20">
        <f>Разбивка_по_щитам!K2673</f>
      </c>
      <c r="I2668" s="20">
        <f>Разбивка_по_щитам!L2673</f>
      </c>
      <c r="J2668" s="20">
        <f>Разбивка_по_щитам!M2673</f>
      </c>
      <c r="K2668" s="20">
        <f>Разбивка_по_щитам!N2673</f>
      </c>
      <c r="L2668" s="20"/>
      <c r="M2668" s="20">
        <f>Разбивка_по_щитам!P2673</f>
      </c>
      <c r="N2668" s="20"/>
    </row>
    <row r="2669" spans="2:14" x14ac:dyDescent="0.25">
      <c r="B2669" s="20">
        <f>Разбивка_по_щитам!B2674</f>
      </c>
      <c r="C2669" s="20">
        <f>Разбивка_по_щитам!C2674</f>
      </c>
      <c r="D2669" s="20">
        <f>Разбивка_по_щитам!F2674</f>
      </c>
      <c r="E2669" s="20">
        <f>Разбивка_по_щитам!H2674</f>
      </c>
      <c r="F2669" s="20">
        <f>Разбивка_по_щитам!I2674</f>
      </c>
      <c r="G2669" s="20">
        <f>Разбивка_по_щитам!J2674</f>
      </c>
      <c r="H2669" s="20">
        <f>Разбивка_по_щитам!K2674</f>
      </c>
      <c r="I2669" s="20">
        <f>Разбивка_по_щитам!L2674</f>
      </c>
      <c r="J2669" s="20">
        <f>Разбивка_по_щитам!M2674</f>
      </c>
      <c r="K2669" s="20">
        <f>Разбивка_по_щитам!N2674</f>
      </c>
      <c r="L2669" s="20"/>
      <c r="M2669" s="20">
        <f>Разбивка_по_щитам!P2674</f>
      </c>
      <c r="N2669" s="20"/>
    </row>
    <row r="2670" spans="2:14" x14ac:dyDescent="0.25">
      <c r="B2670" s="20">
        <f>Разбивка_по_щитам!B2675</f>
      </c>
      <c r="C2670" s="20">
        <f>Разбивка_по_щитам!C2675</f>
      </c>
      <c r="D2670" s="20">
        <f>Разбивка_по_щитам!F2675</f>
      </c>
      <c r="E2670" s="20">
        <f>Разбивка_по_щитам!H2675</f>
      </c>
      <c r="F2670" s="20">
        <f>Разбивка_по_щитам!I2675</f>
      </c>
      <c r="G2670" s="20">
        <f>Разбивка_по_щитам!J2675</f>
      </c>
      <c r="H2670" s="20">
        <f>Разбивка_по_щитам!K2675</f>
      </c>
      <c r="I2670" s="20">
        <f>Разбивка_по_щитам!L2675</f>
      </c>
      <c r="J2670" s="20">
        <f>Разбивка_по_щитам!M2675</f>
      </c>
      <c r="K2670" s="20">
        <f>Разбивка_по_щитам!N2675</f>
      </c>
      <c r="L2670" s="20"/>
      <c r="M2670" s="20">
        <f>Разбивка_по_щитам!P2675</f>
      </c>
      <c r="N2670" s="20"/>
    </row>
    <row r="2671" spans="2:14" x14ac:dyDescent="0.25">
      <c r="B2671" s="20">
        <f>Разбивка_по_щитам!B2676</f>
      </c>
      <c r="C2671" s="20">
        <f>Разбивка_по_щитам!C2676</f>
      </c>
      <c r="D2671" s="20">
        <f>Разбивка_по_щитам!F2676</f>
      </c>
      <c r="E2671" s="20">
        <f>Разбивка_по_щитам!H2676</f>
      </c>
      <c r="F2671" s="20">
        <f>Разбивка_по_щитам!I2676</f>
      </c>
      <c r="G2671" s="20">
        <f>Разбивка_по_щитам!J2676</f>
      </c>
      <c r="H2671" s="20">
        <f>Разбивка_по_щитам!K2676</f>
      </c>
      <c r="I2671" s="20">
        <f>Разбивка_по_щитам!L2676</f>
      </c>
      <c r="J2671" s="20">
        <f>Разбивка_по_щитам!M2676</f>
      </c>
      <c r="K2671" s="20">
        <f>Разбивка_по_щитам!N2676</f>
      </c>
      <c r="L2671" s="20"/>
      <c r="M2671" s="20">
        <f>Разбивка_по_щитам!P2676</f>
      </c>
      <c r="N2671" s="20"/>
    </row>
    <row r="2672" spans="2:14" x14ac:dyDescent="0.25">
      <c r="B2672" s="20">
        <f>Разбивка_по_щитам!B2677</f>
      </c>
      <c r="C2672" s="20">
        <f>Разбивка_по_щитам!C2677</f>
      </c>
      <c r="D2672" s="20">
        <f>Разбивка_по_щитам!F2677</f>
      </c>
      <c r="E2672" s="20">
        <f>Разбивка_по_щитам!H2677</f>
      </c>
      <c r="F2672" s="20">
        <f>Разбивка_по_щитам!I2677</f>
      </c>
      <c r="G2672" s="20">
        <f>Разбивка_по_щитам!J2677</f>
      </c>
      <c r="H2672" s="20">
        <f>Разбивка_по_щитам!K2677</f>
      </c>
      <c r="I2672" s="20">
        <f>Разбивка_по_щитам!L2677</f>
      </c>
      <c r="J2672" s="20">
        <f>Разбивка_по_щитам!M2677</f>
      </c>
      <c r="K2672" s="20">
        <f>Разбивка_по_щитам!N2677</f>
      </c>
      <c r="L2672" s="20"/>
      <c r="M2672" s="20">
        <f>Разбивка_по_щитам!P2677</f>
      </c>
      <c r="N2672" s="20"/>
    </row>
    <row r="2673" spans="2:14" x14ac:dyDescent="0.25">
      <c r="B2673" s="20">
        <f>Разбивка_по_щитам!B2678</f>
      </c>
      <c r="C2673" s="20">
        <f>Разбивка_по_щитам!C2678</f>
      </c>
      <c r="D2673" s="20">
        <f>Разбивка_по_щитам!F2678</f>
      </c>
      <c r="E2673" s="20">
        <f>Разбивка_по_щитам!H2678</f>
      </c>
      <c r="F2673" s="20">
        <f>Разбивка_по_щитам!I2678</f>
      </c>
      <c r="G2673" s="20">
        <f>Разбивка_по_щитам!J2678</f>
      </c>
      <c r="H2673" s="20">
        <f>Разбивка_по_щитам!K2678</f>
      </c>
      <c r="I2673" s="20">
        <f>Разбивка_по_щитам!L2678</f>
      </c>
      <c r="J2673" s="20">
        <f>Разбивка_по_щитам!M2678</f>
      </c>
      <c r="K2673" s="20">
        <f>Разбивка_по_щитам!N2678</f>
      </c>
      <c r="L2673" s="20"/>
      <c r="M2673" s="20">
        <f>Разбивка_по_щитам!P2678</f>
      </c>
      <c r="N2673" s="20"/>
    </row>
    <row r="2674" spans="2:14" x14ac:dyDescent="0.25">
      <c r="B2674" s="20">
        <f>Разбивка_по_щитам!B2679</f>
      </c>
      <c r="C2674" s="20">
        <f>Разбивка_по_щитам!C2679</f>
      </c>
      <c r="D2674" s="20">
        <f>Разбивка_по_щитам!F2679</f>
      </c>
      <c r="E2674" s="20">
        <f>Разбивка_по_щитам!H2679</f>
      </c>
      <c r="F2674" s="20">
        <f>Разбивка_по_щитам!I2679</f>
      </c>
      <c r="G2674" s="20">
        <f>Разбивка_по_щитам!J2679</f>
      </c>
      <c r="H2674" s="20">
        <f>Разбивка_по_щитам!K2679</f>
      </c>
      <c r="I2674" s="20">
        <f>Разбивка_по_щитам!L2679</f>
      </c>
      <c r="J2674" s="20">
        <f>Разбивка_по_щитам!M2679</f>
      </c>
      <c r="K2674" s="20">
        <f>Разбивка_по_щитам!N2679</f>
      </c>
      <c r="L2674" s="20"/>
      <c r="M2674" s="20">
        <f>Разбивка_по_щитам!P2679</f>
      </c>
      <c r="N2674" s="20"/>
    </row>
    <row r="2675" spans="2:14" x14ac:dyDescent="0.25">
      <c r="B2675" s="20">
        <f>Разбивка_по_щитам!B2680</f>
      </c>
      <c r="C2675" s="20">
        <f>Разбивка_по_щитам!C2680</f>
      </c>
      <c r="D2675" s="20">
        <f>Разбивка_по_щитам!F2680</f>
      </c>
      <c r="E2675" s="20">
        <f>Разбивка_по_щитам!H2680</f>
      </c>
      <c r="F2675" s="20">
        <f>Разбивка_по_щитам!I2680</f>
      </c>
      <c r="G2675" s="20">
        <f>Разбивка_по_щитам!J2680</f>
      </c>
      <c r="H2675" s="20">
        <f>Разбивка_по_щитам!K2680</f>
      </c>
      <c r="I2675" s="20">
        <f>Разбивка_по_щитам!L2680</f>
      </c>
      <c r="J2675" s="20">
        <f>Разбивка_по_щитам!M2680</f>
      </c>
      <c r="K2675" s="20">
        <f>Разбивка_по_щитам!N2680</f>
      </c>
      <c r="L2675" s="20"/>
      <c r="M2675" s="20">
        <f>Разбивка_по_щитам!P2680</f>
      </c>
      <c r="N2675" s="20"/>
    </row>
    <row r="2676" spans="2:14" x14ac:dyDescent="0.25">
      <c r="B2676" s="20">
        <f>Разбивка_по_щитам!B2681</f>
      </c>
      <c r="C2676" s="20">
        <f>Разбивка_по_щитам!C2681</f>
      </c>
      <c r="D2676" s="20">
        <f>Разбивка_по_щитам!F2681</f>
      </c>
      <c r="E2676" s="20">
        <f>Разбивка_по_щитам!H2681</f>
      </c>
      <c r="F2676" s="20">
        <f>Разбивка_по_щитам!I2681</f>
      </c>
      <c r="G2676" s="20">
        <f>Разбивка_по_щитам!J2681</f>
      </c>
      <c r="H2676" s="20">
        <f>Разбивка_по_щитам!K2681</f>
      </c>
      <c r="I2676" s="20">
        <f>Разбивка_по_щитам!L2681</f>
      </c>
      <c r="J2676" s="20">
        <f>Разбивка_по_щитам!M2681</f>
      </c>
      <c r="K2676" s="20">
        <f>Разбивка_по_щитам!N2681</f>
      </c>
      <c r="L2676" s="20"/>
      <c r="M2676" s="20">
        <f>Разбивка_по_щитам!P2681</f>
      </c>
      <c r="N2676" s="20"/>
    </row>
    <row r="2677" spans="2:14" x14ac:dyDescent="0.25">
      <c r="B2677" s="20">
        <f>Разбивка_по_щитам!B2682</f>
      </c>
      <c r="C2677" s="20">
        <f>Разбивка_по_щитам!C2682</f>
      </c>
      <c r="D2677" s="20">
        <f>Разбивка_по_щитам!F2682</f>
      </c>
      <c r="E2677" s="20">
        <f>Разбивка_по_щитам!H2682</f>
      </c>
      <c r="F2677" s="20">
        <f>Разбивка_по_щитам!I2682</f>
      </c>
      <c r="G2677" s="20">
        <f>Разбивка_по_щитам!J2682</f>
      </c>
      <c r="H2677" s="20">
        <f>Разбивка_по_щитам!K2682</f>
      </c>
      <c r="I2677" s="20">
        <f>Разбивка_по_щитам!L2682</f>
      </c>
      <c r="J2677" s="20">
        <f>Разбивка_по_щитам!M2682</f>
      </c>
      <c r="K2677" s="20">
        <f>Разбивка_по_щитам!N2682</f>
      </c>
      <c r="L2677" s="20"/>
      <c r="M2677" s="20">
        <f>Разбивка_по_щитам!P2682</f>
      </c>
      <c r="N2677" s="20"/>
    </row>
    <row r="2678" spans="2:14" x14ac:dyDescent="0.25">
      <c r="B2678" s="20">
        <f>Разбивка_по_щитам!B2683</f>
      </c>
      <c r="C2678" s="20">
        <f>Разбивка_по_щитам!C2683</f>
      </c>
      <c r="D2678" s="20">
        <f>Разбивка_по_щитам!F2683</f>
      </c>
      <c r="E2678" s="20">
        <f>Разбивка_по_щитам!H2683</f>
      </c>
      <c r="F2678" s="20">
        <f>Разбивка_по_щитам!I2683</f>
      </c>
      <c r="G2678" s="20">
        <f>Разбивка_по_щитам!J2683</f>
      </c>
      <c r="H2678" s="20">
        <f>Разбивка_по_щитам!K2683</f>
      </c>
      <c r="I2678" s="20">
        <f>Разбивка_по_щитам!L2683</f>
      </c>
      <c r="J2678" s="20">
        <f>Разбивка_по_щитам!M2683</f>
      </c>
      <c r="K2678" s="20">
        <f>Разбивка_по_щитам!N2683</f>
      </c>
      <c r="L2678" s="20"/>
      <c r="M2678" s="20">
        <f>Разбивка_по_щитам!P2683</f>
      </c>
      <c r="N2678" s="20"/>
    </row>
    <row r="2679" spans="2:14" x14ac:dyDescent="0.25">
      <c r="B2679" s="20">
        <f>Разбивка_по_щитам!B2684</f>
      </c>
      <c r="C2679" s="20">
        <f>Разбивка_по_щитам!C2684</f>
      </c>
      <c r="D2679" s="20">
        <f>Разбивка_по_щитам!F2684</f>
      </c>
      <c r="E2679" s="20">
        <f>Разбивка_по_щитам!H2684</f>
      </c>
      <c r="F2679" s="20">
        <f>Разбивка_по_щитам!I2684</f>
      </c>
      <c r="G2679" s="20">
        <f>Разбивка_по_щитам!J2684</f>
      </c>
      <c r="H2679" s="20">
        <f>Разбивка_по_щитам!K2684</f>
      </c>
      <c r="I2679" s="20">
        <f>Разбивка_по_щитам!L2684</f>
      </c>
      <c r="J2679" s="20">
        <f>Разбивка_по_щитам!M2684</f>
      </c>
      <c r="K2679" s="20">
        <f>Разбивка_по_щитам!N2684</f>
      </c>
      <c r="L2679" s="20"/>
      <c r="M2679" s="20">
        <f>Разбивка_по_щитам!P2684</f>
      </c>
      <c r="N2679" s="20"/>
    </row>
    <row r="2680" spans="2:14" x14ac:dyDescent="0.25">
      <c r="B2680" s="20">
        <f>Разбивка_по_щитам!B2685</f>
      </c>
      <c r="C2680" s="20">
        <f>Разбивка_по_щитам!C2685</f>
      </c>
      <c r="D2680" s="20">
        <f>Разбивка_по_щитам!F2685</f>
      </c>
      <c r="E2680" s="20">
        <f>Разбивка_по_щитам!H2685</f>
      </c>
      <c r="F2680" s="20">
        <f>Разбивка_по_щитам!I2685</f>
      </c>
      <c r="G2680" s="20">
        <f>Разбивка_по_щитам!J2685</f>
      </c>
      <c r="H2680" s="20">
        <f>Разбивка_по_щитам!K2685</f>
      </c>
      <c r="I2680" s="20">
        <f>Разбивка_по_щитам!L2685</f>
      </c>
      <c r="J2680" s="20">
        <f>Разбивка_по_щитам!M2685</f>
      </c>
      <c r="K2680" s="20">
        <f>Разбивка_по_щитам!N2685</f>
      </c>
      <c r="L2680" s="20"/>
      <c r="M2680" s="20">
        <f>Разбивка_по_щитам!P2685</f>
      </c>
      <c r="N2680" s="20"/>
    </row>
    <row r="2681" spans="2:14" x14ac:dyDescent="0.25">
      <c r="B2681" s="20">
        <f>Разбивка_по_щитам!B2686</f>
      </c>
      <c r="C2681" s="20">
        <f>Разбивка_по_щитам!C2686</f>
      </c>
      <c r="D2681" s="20">
        <f>Разбивка_по_щитам!F2686</f>
      </c>
      <c r="E2681" s="20">
        <f>Разбивка_по_щитам!H2686</f>
      </c>
      <c r="F2681" s="20">
        <f>Разбивка_по_щитам!I2686</f>
      </c>
      <c r="G2681" s="20">
        <f>Разбивка_по_щитам!J2686</f>
      </c>
      <c r="H2681" s="20">
        <f>Разбивка_по_щитам!K2686</f>
      </c>
      <c r="I2681" s="20">
        <f>Разбивка_по_щитам!L2686</f>
      </c>
      <c r="J2681" s="20">
        <f>Разбивка_по_щитам!M2686</f>
      </c>
      <c r="K2681" s="20">
        <f>Разбивка_по_щитам!N2686</f>
      </c>
      <c r="L2681" s="20"/>
      <c r="M2681" s="20">
        <f>Разбивка_по_щитам!P2686</f>
      </c>
      <c r="N2681" s="20"/>
    </row>
    <row r="2682" spans="2:14" x14ac:dyDescent="0.25">
      <c r="B2682" s="20">
        <f>Разбивка_по_щитам!B2687</f>
      </c>
      <c r="C2682" s="20">
        <f>Разбивка_по_щитам!C2687</f>
      </c>
      <c r="D2682" s="20">
        <f>Разбивка_по_щитам!F2687</f>
      </c>
      <c r="E2682" s="20">
        <f>Разбивка_по_щитам!H2687</f>
      </c>
      <c r="F2682" s="20">
        <f>Разбивка_по_щитам!I2687</f>
      </c>
      <c r="G2682" s="20">
        <f>Разбивка_по_щитам!J2687</f>
      </c>
      <c r="H2682" s="20">
        <f>Разбивка_по_щитам!K2687</f>
      </c>
      <c r="I2682" s="20">
        <f>Разбивка_по_щитам!L2687</f>
      </c>
      <c r="J2682" s="20">
        <f>Разбивка_по_щитам!M2687</f>
      </c>
      <c r="K2682" s="20">
        <f>Разбивка_по_щитам!N2687</f>
      </c>
      <c r="L2682" s="20"/>
      <c r="M2682" s="20">
        <f>Разбивка_по_щитам!P2687</f>
      </c>
      <c r="N2682" s="20"/>
    </row>
    <row r="2683" spans="2:14" x14ac:dyDescent="0.25">
      <c r="B2683" s="20">
        <f>Разбивка_по_щитам!B2688</f>
      </c>
      <c r="C2683" s="20">
        <f>Разбивка_по_щитам!C2688</f>
      </c>
      <c r="D2683" s="20">
        <f>Разбивка_по_щитам!F2688</f>
      </c>
      <c r="E2683" s="20">
        <f>Разбивка_по_щитам!H2688</f>
      </c>
      <c r="F2683" s="20">
        <f>Разбивка_по_щитам!I2688</f>
      </c>
      <c r="G2683" s="20">
        <f>Разбивка_по_щитам!J2688</f>
      </c>
      <c r="H2683" s="20">
        <f>Разбивка_по_щитам!K2688</f>
      </c>
      <c r="I2683" s="20">
        <f>Разбивка_по_щитам!L2688</f>
      </c>
      <c r="J2683" s="20">
        <f>Разбивка_по_щитам!M2688</f>
      </c>
      <c r="K2683" s="20">
        <f>Разбивка_по_щитам!N2688</f>
      </c>
      <c r="L2683" s="20"/>
      <c r="M2683" s="20">
        <f>Разбивка_по_щитам!P2688</f>
      </c>
      <c r="N2683" s="20"/>
    </row>
    <row r="2684" spans="2:14" x14ac:dyDescent="0.25">
      <c r="B2684" s="20">
        <f>Разбивка_по_щитам!B2689</f>
      </c>
      <c r="C2684" s="20">
        <f>Разбивка_по_щитам!C2689</f>
      </c>
      <c r="D2684" s="20">
        <f>Разбивка_по_щитам!F2689</f>
      </c>
      <c r="E2684" s="20">
        <f>Разбивка_по_щитам!H2689</f>
      </c>
      <c r="F2684" s="20">
        <f>Разбивка_по_щитам!I2689</f>
      </c>
      <c r="G2684" s="20">
        <f>Разбивка_по_щитам!J2689</f>
      </c>
      <c r="H2684" s="20">
        <f>Разбивка_по_щитам!K2689</f>
      </c>
      <c r="I2684" s="20">
        <f>Разбивка_по_щитам!L2689</f>
      </c>
      <c r="J2684" s="20">
        <f>Разбивка_по_щитам!M2689</f>
      </c>
      <c r="K2684" s="20">
        <f>Разбивка_по_щитам!N2689</f>
      </c>
      <c r="L2684" s="20"/>
      <c r="M2684" s="20">
        <f>Разбивка_по_щитам!P2689</f>
      </c>
      <c r="N2684" s="20"/>
    </row>
    <row r="2685" spans="2:14" x14ac:dyDescent="0.25">
      <c r="B2685" s="20">
        <f>Разбивка_по_щитам!B2690</f>
      </c>
      <c r="C2685" s="20">
        <f>Разбивка_по_щитам!C2690</f>
      </c>
      <c r="D2685" s="20">
        <f>Разбивка_по_щитам!F2690</f>
      </c>
      <c r="E2685" s="20">
        <f>Разбивка_по_щитам!H2690</f>
      </c>
      <c r="F2685" s="20">
        <f>Разбивка_по_щитам!I2690</f>
      </c>
      <c r="G2685" s="20">
        <f>Разбивка_по_щитам!J2690</f>
      </c>
      <c r="H2685" s="20">
        <f>Разбивка_по_щитам!K2690</f>
      </c>
      <c r="I2685" s="20">
        <f>Разбивка_по_щитам!L2690</f>
      </c>
      <c r="J2685" s="20">
        <f>Разбивка_по_щитам!M2690</f>
      </c>
      <c r="K2685" s="20">
        <f>Разбивка_по_щитам!N2690</f>
      </c>
      <c r="L2685" s="20"/>
      <c r="M2685" s="20">
        <f>Разбивка_по_щитам!P2690</f>
      </c>
      <c r="N2685" s="20"/>
    </row>
    <row r="2686" spans="2:14" x14ac:dyDescent="0.25">
      <c r="B2686" s="20">
        <f>Разбивка_по_щитам!B2691</f>
      </c>
      <c r="C2686" s="20">
        <f>Разбивка_по_щитам!C2691</f>
      </c>
      <c r="D2686" s="20">
        <f>Разбивка_по_щитам!F2691</f>
      </c>
      <c r="E2686" s="20">
        <f>Разбивка_по_щитам!H2691</f>
      </c>
      <c r="F2686" s="20">
        <f>Разбивка_по_щитам!I2691</f>
      </c>
      <c r="G2686" s="20">
        <f>Разбивка_по_щитам!J2691</f>
      </c>
      <c r="H2686" s="20">
        <f>Разбивка_по_щитам!K2691</f>
      </c>
      <c r="I2686" s="20">
        <f>Разбивка_по_щитам!L2691</f>
      </c>
      <c r="J2686" s="20">
        <f>Разбивка_по_щитам!M2691</f>
      </c>
      <c r="K2686" s="20">
        <f>Разбивка_по_щитам!N2691</f>
      </c>
      <c r="L2686" s="20"/>
      <c r="M2686" s="20">
        <f>Разбивка_по_щитам!P2691</f>
      </c>
      <c r="N2686" s="20"/>
    </row>
    <row r="2687" spans="2:14" x14ac:dyDescent="0.25">
      <c r="B2687" s="20">
        <f>Разбивка_по_щитам!B2692</f>
      </c>
      <c r="C2687" s="20">
        <f>Разбивка_по_щитам!C2692</f>
      </c>
      <c r="D2687" s="20">
        <f>Разбивка_по_щитам!F2692</f>
      </c>
      <c r="E2687" s="20">
        <f>Разбивка_по_щитам!H2692</f>
      </c>
      <c r="F2687" s="20">
        <f>Разбивка_по_щитам!I2692</f>
      </c>
      <c r="G2687" s="20">
        <f>Разбивка_по_щитам!J2692</f>
      </c>
      <c r="H2687" s="20">
        <f>Разбивка_по_щитам!K2692</f>
      </c>
      <c r="I2687" s="20">
        <f>Разбивка_по_щитам!L2692</f>
      </c>
      <c r="J2687" s="20">
        <f>Разбивка_по_щитам!M2692</f>
      </c>
      <c r="K2687" s="20">
        <f>Разбивка_по_щитам!N2692</f>
      </c>
      <c r="L2687" s="20"/>
      <c r="M2687" s="20">
        <f>Разбивка_по_щитам!P2692</f>
      </c>
      <c r="N2687" s="20"/>
    </row>
    <row r="2688" spans="2:14" x14ac:dyDescent="0.25">
      <c r="B2688" s="20">
        <f>Разбивка_по_щитам!B2693</f>
      </c>
      <c r="C2688" s="20">
        <f>Разбивка_по_щитам!C2693</f>
      </c>
      <c r="D2688" s="20">
        <f>Разбивка_по_щитам!F2693</f>
      </c>
      <c r="E2688" s="20">
        <f>Разбивка_по_щитам!H2693</f>
      </c>
      <c r="F2688" s="20">
        <f>Разбивка_по_щитам!I2693</f>
      </c>
      <c r="G2688" s="20">
        <f>Разбивка_по_щитам!J2693</f>
      </c>
      <c r="H2688" s="20">
        <f>Разбивка_по_щитам!K2693</f>
      </c>
      <c r="I2688" s="20">
        <f>Разбивка_по_щитам!L2693</f>
      </c>
      <c r="J2688" s="20">
        <f>Разбивка_по_щитам!M2693</f>
      </c>
      <c r="K2688" s="20">
        <f>Разбивка_по_щитам!N2693</f>
      </c>
      <c r="L2688" s="20"/>
      <c r="M2688" s="20">
        <f>Разбивка_по_щитам!P2693</f>
      </c>
      <c r="N2688" s="20"/>
    </row>
    <row r="2689" spans="2:14" x14ac:dyDescent="0.25">
      <c r="B2689" s="20">
        <f>Разбивка_по_щитам!B2694</f>
      </c>
      <c r="C2689" s="20">
        <f>Разбивка_по_щитам!C2694</f>
      </c>
      <c r="D2689" s="20">
        <f>Разбивка_по_щитам!F2694</f>
      </c>
      <c r="E2689" s="20">
        <f>Разбивка_по_щитам!H2694</f>
      </c>
      <c r="F2689" s="20">
        <f>Разбивка_по_щитам!I2694</f>
      </c>
      <c r="G2689" s="20">
        <f>Разбивка_по_щитам!J2694</f>
      </c>
      <c r="H2689" s="20">
        <f>Разбивка_по_щитам!K2694</f>
      </c>
      <c r="I2689" s="20">
        <f>Разбивка_по_щитам!L2694</f>
      </c>
      <c r="J2689" s="20">
        <f>Разбивка_по_щитам!M2694</f>
      </c>
      <c r="K2689" s="20">
        <f>Разбивка_по_щитам!N2694</f>
      </c>
      <c r="L2689" s="20"/>
      <c r="M2689" s="20">
        <f>Разбивка_по_щитам!P2694</f>
      </c>
      <c r="N2689" s="20"/>
    </row>
    <row r="2690" spans="2:14" x14ac:dyDescent="0.25">
      <c r="B2690" s="20">
        <f>Разбивка_по_щитам!B2695</f>
      </c>
      <c r="C2690" s="20">
        <f>Разбивка_по_щитам!C2695</f>
      </c>
      <c r="D2690" s="20">
        <f>Разбивка_по_щитам!F2695</f>
      </c>
      <c r="E2690" s="20">
        <f>Разбивка_по_щитам!H2695</f>
      </c>
      <c r="F2690" s="20">
        <f>Разбивка_по_щитам!I2695</f>
      </c>
      <c r="G2690" s="20">
        <f>Разбивка_по_щитам!J2695</f>
      </c>
      <c r="H2690" s="20">
        <f>Разбивка_по_щитам!K2695</f>
      </c>
      <c r="I2690" s="20">
        <f>Разбивка_по_щитам!L2695</f>
      </c>
      <c r="J2690" s="20">
        <f>Разбивка_по_щитам!M2695</f>
      </c>
      <c r="K2690" s="20">
        <f>Разбивка_по_щитам!N2695</f>
      </c>
      <c r="L2690" s="20"/>
      <c r="M2690" s="20">
        <f>Разбивка_по_щитам!P2695</f>
      </c>
      <c r="N2690" s="20"/>
    </row>
    <row r="2691" spans="2:14" x14ac:dyDescent="0.25">
      <c r="B2691" s="20">
        <f>Разбивка_по_щитам!B2696</f>
      </c>
      <c r="C2691" s="20">
        <f>Разбивка_по_щитам!C2696</f>
      </c>
      <c r="D2691" s="20">
        <f>Разбивка_по_щитам!F2696</f>
      </c>
      <c r="E2691" s="20">
        <f>Разбивка_по_щитам!H2696</f>
      </c>
      <c r="F2691" s="20">
        <f>Разбивка_по_щитам!I2696</f>
      </c>
      <c r="G2691" s="20">
        <f>Разбивка_по_щитам!J2696</f>
      </c>
      <c r="H2691" s="20">
        <f>Разбивка_по_щитам!K2696</f>
      </c>
      <c r="I2691" s="20">
        <f>Разбивка_по_щитам!L2696</f>
      </c>
      <c r="J2691" s="20">
        <f>Разбивка_по_щитам!M2696</f>
      </c>
      <c r="K2691" s="20">
        <f>Разбивка_по_щитам!N2696</f>
      </c>
      <c r="L2691" s="20"/>
      <c r="M2691" s="20">
        <f>Разбивка_по_щитам!P2696</f>
      </c>
      <c r="N2691" s="20"/>
    </row>
    <row r="2692" spans="2:14" x14ac:dyDescent="0.25">
      <c r="B2692" s="20">
        <f>Разбивка_по_щитам!B2697</f>
      </c>
      <c r="C2692" s="20">
        <f>Разбивка_по_щитам!C2697</f>
      </c>
      <c r="D2692" s="20">
        <f>Разбивка_по_щитам!F2697</f>
      </c>
      <c r="E2692" s="20">
        <f>Разбивка_по_щитам!H2697</f>
      </c>
      <c r="F2692" s="20">
        <f>Разбивка_по_щитам!I2697</f>
      </c>
      <c r="G2692" s="20">
        <f>Разбивка_по_щитам!J2697</f>
      </c>
      <c r="H2692" s="20">
        <f>Разбивка_по_щитам!K2697</f>
      </c>
      <c r="I2692" s="20">
        <f>Разбивка_по_щитам!L2697</f>
      </c>
      <c r="J2692" s="20">
        <f>Разбивка_по_щитам!M2697</f>
      </c>
      <c r="K2692" s="20">
        <f>Разбивка_по_щитам!N2697</f>
      </c>
      <c r="L2692" s="20"/>
      <c r="M2692" s="20">
        <f>Разбивка_по_щитам!P2697</f>
      </c>
      <c r="N2692" s="20"/>
    </row>
    <row r="2693" spans="2:14" x14ac:dyDescent="0.25">
      <c r="B2693" s="20">
        <f>Разбивка_по_щитам!B2698</f>
      </c>
      <c r="C2693" s="20">
        <f>Разбивка_по_щитам!C2698</f>
      </c>
      <c r="D2693" s="20">
        <f>Разбивка_по_щитам!F2698</f>
      </c>
      <c r="E2693" s="20">
        <f>Разбивка_по_щитам!H2698</f>
      </c>
      <c r="F2693" s="20">
        <f>Разбивка_по_щитам!I2698</f>
      </c>
      <c r="G2693" s="20">
        <f>Разбивка_по_щитам!J2698</f>
      </c>
      <c r="H2693" s="20">
        <f>Разбивка_по_щитам!K2698</f>
      </c>
      <c r="I2693" s="20">
        <f>Разбивка_по_щитам!L2698</f>
      </c>
      <c r="J2693" s="20">
        <f>Разбивка_по_щитам!M2698</f>
      </c>
      <c r="K2693" s="20">
        <f>Разбивка_по_щитам!N2698</f>
      </c>
      <c r="L2693" s="20"/>
      <c r="M2693" s="20">
        <f>Разбивка_по_щитам!P2698</f>
      </c>
      <c r="N2693" s="20"/>
    </row>
    <row r="2694" spans="2:14" x14ac:dyDescent="0.25">
      <c r="B2694" s="20">
        <f>Разбивка_по_щитам!B2699</f>
      </c>
      <c r="C2694" s="20">
        <f>Разбивка_по_щитам!C2699</f>
      </c>
      <c r="D2694" s="20">
        <f>Разбивка_по_щитам!F2699</f>
      </c>
      <c r="E2694" s="20">
        <f>Разбивка_по_щитам!H2699</f>
      </c>
      <c r="F2694" s="20">
        <f>Разбивка_по_щитам!I2699</f>
      </c>
      <c r="G2694" s="20">
        <f>Разбивка_по_щитам!J2699</f>
      </c>
      <c r="H2694" s="20">
        <f>Разбивка_по_щитам!K2699</f>
      </c>
      <c r="I2694" s="20">
        <f>Разбивка_по_щитам!L2699</f>
      </c>
      <c r="J2694" s="20">
        <f>Разбивка_по_щитам!M2699</f>
      </c>
      <c r="K2694" s="20">
        <f>Разбивка_по_щитам!N2699</f>
      </c>
      <c r="L2694" s="20"/>
      <c r="M2694" s="20">
        <f>Разбивка_по_щитам!P2699</f>
      </c>
      <c r="N2694" s="20"/>
    </row>
    <row r="2695" spans="2:14" x14ac:dyDescent="0.25">
      <c r="B2695" s="20">
        <f>Разбивка_по_щитам!B2700</f>
      </c>
      <c r="C2695" s="20">
        <f>Разбивка_по_щитам!C2700</f>
      </c>
      <c r="D2695" s="20">
        <f>Разбивка_по_щитам!F2700</f>
      </c>
      <c r="E2695" s="20">
        <f>Разбивка_по_щитам!H2700</f>
      </c>
      <c r="F2695" s="20">
        <f>Разбивка_по_щитам!I2700</f>
      </c>
      <c r="G2695" s="20">
        <f>Разбивка_по_щитам!J2700</f>
      </c>
      <c r="H2695" s="20">
        <f>Разбивка_по_щитам!K2700</f>
      </c>
      <c r="I2695" s="20">
        <f>Разбивка_по_щитам!L2700</f>
      </c>
      <c r="J2695" s="20">
        <f>Разбивка_по_щитам!M2700</f>
      </c>
      <c r="K2695" s="20">
        <f>Разбивка_по_щитам!N2700</f>
      </c>
      <c r="L2695" s="20"/>
      <c r="M2695" s="20">
        <f>Разбивка_по_щитам!P2700</f>
      </c>
      <c r="N2695" s="20"/>
    </row>
    <row r="2696" spans="2:14" x14ac:dyDescent="0.25">
      <c r="B2696" s="20">
        <f>Разбивка_по_щитам!B2701</f>
      </c>
      <c r="C2696" s="20">
        <f>Разбивка_по_щитам!C2701</f>
      </c>
      <c r="D2696" s="20">
        <f>Разбивка_по_щитам!F2701</f>
      </c>
      <c r="E2696" s="20">
        <f>Разбивка_по_щитам!H2701</f>
      </c>
      <c r="F2696" s="20">
        <f>Разбивка_по_щитам!I2701</f>
      </c>
      <c r="G2696" s="20">
        <f>Разбивка_по_щитам!J2701</f>
      </c>
      <c r="H2696" s="20">
        <f>Разбивка_по_щитам!K2701</f>
      </c>
      <c r="I2696" s="20">
        <f>Разбивка_по_щитам!L2701</f>
      </c>
      <c r="J2696" s="20">
        <f>Разбивка_по_щитам!M2701</f>
      </c>
      <c r="K2696" s="20">
        <f>Разбивка_по_щитам!N2701</f>
      </c>
      <c r="L2696" s="20"/>
      <c r="M2696" s="20">
        <f>Разбивка_по_щитам!P2701</f>
      </c>
      <c r="N2696" s="20"/>
    </row>
    <row r="2697" spans="2:14" x14ac:dyDescent="0.25">
      <c r="B2697" s="20">
        <f>Разбивка_по_щитам!B2702</f>
      </c>
      <c r="C2697" s="20">
        <f>Разбивка_по_щитам!C2702</f>
      </c>
      <c r="D2697" s="20">
        <f>Разбивка_по_щитам!F2702</f>
      </c>
      <c r="E2697" s="20">
        <f>Разбивка_по_щитам!H2702</f>
      </c>
      <c r="F2697" s="20">
        <f>Разбивка_по_щитам!I2702</f>
      </c>
      <c r="G2697" s="20">
        <f>Разбивка_по_щитам!J2702</f>
      </c>
      <c r="H2697" s="20">
        <f>Разбивка_по_щитам!K2702</f>
      </c>
      <c r="I2697" s="20">
        <f>Разбивка_по_щитам!L2702</f>
      </c>
      <c r="J2697" s="20">
        <f>Разбивка_по_щитам!M2702</f>
      </c>
      <c r="K2697" s="20">
        <f>Разбивка_по_щитам!N2702</f>
      </c>
      <c r="L2697" s="20"/>
      <c r="M2697" s="20">
        <f>Разбивка_по_щитам!P2702</f>
      </c>
      <c r="N2697" s="20"/>
    </row>
    <row r="2698" spans="2:14" x14ac:dyDescent="0.25">
      <c r="B2698" s="20">
        <f>Разбивка_по_щитам!B2703</f>
      </c>
      <c r="C2698" s="20">
        <f>Разбивка_по_щитам!C2703</f>
      </c>
      <c r="D2698" s="20">
        <f>Разбивка_по_щитам!F2703</f>
      </c>
      <c r="E2698" s="20">
        <f>Разбивка_по_щитам!H2703</f>
      </c>
      <c r="F2698" s="20">
        <f>Разбивка_по_щитам!I2703</f>
      </c>
      <c r="G2698" s="20">
        <f>Разбивка_по_щитам!J2703</f>
      </c>
      <c r="H2698" s="20">
        <f>Разбивка_по_щитам!K2703</f>
      </c>
      <c r="I2698" s="20">
        <f>Разбивка_по_щитам!L2703</f>
      </c>
      <c r="J2698" s="20">
        <f>Разбивка_по_щитам!M2703</f>
      </c>
      <c r="K2698" s="20">
        <f>Разбивка_по_щитам!N2703</f>
      </c>
      <c r="L2698" s="20"/>
      <c r="M2698" s="20">
        <f>Разбивка_по_щитам!P2703</f>
      </c>
      <c r="N2698" s="20"/>
    </row>
    <row r="2699" spans="2:14" x14ac:dyDescent="0.25">
      <c r="B2699" s="20">
        <f>Разбивка_по_щитам!B2704</f>
      </c>
      <c r="C2699" s="20">
        <f>Разбивка_по_щитам!C2704</f>
      </c>
      <c r="D2699" s="20">
        <f>Разбивка_по_щитам!F2704</f>
      </c>
      <c r="E2699" s="20">
        <f>Разбивка_по_щитам!H2704</f>
      </c>
      <c r="F2699" s="20">
        <f>Разбивка_по_щитам!I2704</f>
      </c>
      <c r="G2699" s="20">
        <f>Разбивка_по_щитам!J2704</f>
      </c>
      <c r="H2699" s="20">
        <f>Разбивка_по_щитам!K2704</f>
      </c>
      <c r="I2699" s="20">
        <f>Разбивка_по_щитам!L2704</f>
      </c>
      <c r="J2699" s="20">
        <f>Разбивка_по_щитам!M2704</f>
      </c>
      <c r="K2699" s="20">
        <f>Разбивка_по_щитам!N2704</f>
      </c>
      <c r="L2699" s="20"/>
      <c r="M2699" s="20">
        <f>Разбивка_по_щитам!P2704</f>
      </c>
      <c r="N2699" s="20"/>
    </row>
    <row r="2700" spans="2:14" x14ac:dyDescent="0.25">
      <c r="B2700" s="20">
        <f>Разбивка_по_щитам!B2705</f>
      </c>
      <c r="C2700" s="20">
        <f>Разбивка_по_щитам!C2705</f>
      </c>
      <c r="D2700" s="20">
        <f>Разбивка_по_щитам!F2705</f>
      </c>
      <c r="E2700" s="20">
        <f>Разбивка_по_щитам!H2705</f>
      </c>
      <c r="F2700" s="20">
        <f>Разбивка_по_щитам!I2705</f>
      </c>
      <c r="G2700" s="20">
        <f>Разбивка_по_щитам!J2705</f>
      </c>
      <c r="H2700" s="20">
        <f>Разбивка_по_щитам!K2705</f>
      </c>
      <c r="I2700" s="20">
        <f>Разбивка_по_щитам!L2705</f>
      </c>
      <c r="J2700" s="20">
        <f>Разбивка_по_щитам!M2705</f>
      </c>
      <c r="K2700" s="20">
        <f>Разбивка_по_щитам!N2705</f>
      </c>
      <c r="L2700" s="20"/>
      <c r="M2700" s="20">
        <f>Разбивка_по_щитам!P2705</f>
      </c>
      <c r="N2700" s="20"/>
    </row>
    <row r="2701" spans="2:14" x14ac:dyDescent="0.25">
      <c r="B2701" s="20">
        <f>Разбивка_по_щитам!B2706</f>
      </c>
      <c r="C2701" s="20">
        <f>Разбивка_по_щитам!C2706</f>
      </c>
      <c r="D2701" s="20">
        <f>Разбивка_по_щитам!F2706</f>
      </c>
      <c r="E2701" s="20">
        <f>Разбивка_по_щитам!H2706</f>
      </c>
      <c r="F2701" s="20">
        <f>Разбивка_по_щитам!I2706</f>
      </c>
      <c r="G2701" s="20">
        <f>Разбивка_по_щитам!J2706</f>
      </c>
      <c r="H2701" s="20">
        <f>Разбивка_по_щитам!K2706</f>
      </c>
      <c r="I2701" s="20">
        <f>Разбивка_по_щитам!L2706</f>
      </c>
      <c r="J2701" s="20">
        <f>Разбивка_по_щитам!M2706</f>
      </c>
      <c r="K2701" s="20">
        <f>Разбивка_по_щитам!N2706</f>
      </c>
      <c r="L2701" s="20"/>
      <c r="M2701" s="20">
        <f>Разбивка_по_щитам!P2706</f>
      </c>
      <c r="N2701" s="20"/>
    </row>
    <row r="2702" spans="2:14" x14ac:dyDescent="0.25">
      <c r="B2702" s="20">
        <f>Разбивка_по_щитам!B2707</f>
      </c>
      <c r="C2702" s="20">
        <f>Разбивка_по_щитам!C2707</f>
      </c>
      <c r="D2702" s="20">
        <f>Разбивка_по_щитам!F2707</f>
      </c>
      <c r="E2702" s="20">
        <f>Разбивка_по_щитам!H2707</f>
      </c>
      <c r="F2702" s="20">
        <f>Разбивка_по_щитам!I2707</f>
      </c>
      <c r="G2702" s="20">
        <f>Разбивка_по_щитам!J2707</f>
      </c>
      <c r="H2702" s="20">
        <f>Разбивка_по_щитам!K2707</f>
      </c>
      <c r="I2702" s="20">
        <f>Разбивка_по_щитам!L2707</f>
      </c>
      <c r="J2702" s="20">
        <f>Разбивка_по_щитам!M2707</f>
      </c>
      <c r="K2702" s="20">
        <f>Разбивка_по_щитам!N2707</f>
      </c>
      <c r="L2702" s="20"/>
      <c r="M2702" s="20">
        <f>Разбивка_по_щитам!P2707</f>
      </c>
      <c r="N2702" s="20"/>
    </row>
    <row r="2703" spans="2:14" x14ac:dyDescent="0.25">
      <c r="B2703" s="20">
        <f>Разбивка_по_щитам!B2708</f>
      </c>
      <c r="C2703" s="20">
        <f>Разбивка_по_щитам!C2708</f>
      </c>
      <c r="D2703" s="20">
        <f>Разбивка_по_щитам!F2708</f>
      </c>
      <c r="E2703" s="20">
        <f>Разбивка_по_щитам!H2708</f>
      </c>
      <c r="F2703" s="20">
        <f>Разбивка_по_щитам!I2708</f>
      </c>
      <c r="G2703" s="20">
        <f>Разбивка_по_щитам!J2708</f>
      </c>
      <c r="H2703" s="20">
        <f>Разбивка_по_щитам!K2708</f>
      </c>
      <c r="I2703" s="20">
        <f>Разбивка_по_щитам!L2708</f>
      </c>
      <c r="J2703" s="20">
        <f>Разбивка_по_щитам!M2708</f>
      </c>
      <c r="K2703" s="20">
        <f>Разбивка_по_щитам!N2708</f>
      </c>
      <c r="L2703" s="20"/>
      <c r="M2703" s="20">
        <f>Разбивка_по_щитам!P2708</f>
      </c>
      <c r="N2703" s="20"/>
    </row>
    <row r="2704" spans="2:14" x14ac:dyDescent="0.25">
      <c r="B2704" s="20">
        <f>Разбивка_по_щитам!B2709</f>
      </c>
      <c r="C2704" s="20">
        <f>Разбивка_по_щитам!C2709</f>
      </c>
      <c r="D2704" s="20">
        <f>Разбивка_по_щитам!F2709</f>
      </c>
      <c r="E2704" s="20">
        <f>Разбивка_по_щитам!H2709</f>
      </c>
      <c r="F2704" s="20">
        <f>Разбивка_по_щитам!I2709</f>
      </c>
      <c r="G2704" s="20">
        <f>Разбивка_по_щитам!J2709</f>
      </c>
      <c r="H2704" s="20">
        <f>Разбивка_по_щитам!K2709</f>
      </c>
      <c r="I2704" s="20">
        <f>Разбивка_по_щитам!L2709</f>
      </c>
      <c r="J2704" s="20">
        <f>Разбивка_по_щитам!M2709</f>
      </c>
      <c r="K2704" s="20">
        <f>Разбивка_по_щитам!N2709</f>
      </c>
      <c r="L2704" s="20"/>
      <c r="M2704" s="20">
        <f>Разбивка_по_щитам!P2709</f>
      </c>
      <c r="N2704" s="20"/>
    </row>
    <row r="2705" spans="2:14" x14ac:dyDescent="0.25">
      <c r="B2705" s="20">
        <f>Разбивка_по_щитам!B2710</f>
      </c>
      <c r="C2705" s="20">
        <f>Разбивка_по_щитам!C2710</f>
      </c>
      <c r="D2705" s="20">
        <f>Разбивка_по_щитам!F2710</f>
      </c>
      <c r="E2705" s="20">
        <f>Разбивка_по_щитам!H2710</f>
      </c>
      <c r="F2705" s="20">
        <f>Разбивка_по_щитам!I2710</f>
      </c>
      <c r="G2705" s="20">
        <f>Разбивка_по_щитам!J2710</f>
      </c>
      <c r="H2705" s="20">
        <f>Разбивка_по_щитам!K2710</f>
      </c>
      <c r="I2705" s="20">
        <f>Разбивка_по_щитам!L2710</f>
      </c>
      <c r="J2705" s="20">
        <f>Разбивка_по_щитам!M2710</f>
      </c>
      <c r="K2705" s="20">
        <f>Разбивка_по_щитам!N2710</f>
      </c>
      <c r="L2705" s="20"/>
      <c r="M2705" s="20">
        <f>Разбивка_по_щитам!P2710</f>
      </c>
      <c r="N2705" s="20"/>
    </row>
    <row r="2706" spans="2:14" x14ac:dyDescent="0.25">
      <c r="B2706" s="20">
        <f>Разбивка_по_щитам!B2711</f>
      </c>
      <c r="C2706" s="20">
        <f>Разбивка_по_щитам!C2711</f>
      </c>
      <c r="D2706" s="20">
        <f>Разбивка_по_щитам!F2711</f>
      </c>
      <c r="E2706" s="20">
        <f>Разбивка_по_щитам!H2711</f>
      </c>
      <c r="F2706" s="20">
        <f>Разбивка_по_щитам!I2711</f>
      </c>
      <c r="G2706" s="20">
        <f>Разбивка_по_щитам!J2711</f>
      </c>
      <c r="H2706" s="20">
        <f>Разбивка_по_щитам!K2711</f>
      </c>
      <c r="I2706" s="20">
        <f>Разбивка_по_щитам!L2711</f>
      </c>
      <c r="J2706" s="20">
        <f>Разбивка_по_щитам!M2711</f>
      </c>
      <c r="K2706" s="20">
        <f>Разбивка_по_щитам!N2711</f>
      </c>
      <c r="L2706" s="20"/>
      <c r="M2706" s="20">
        <f>Разбивка_по_щитам!P2711</f>
      </c>
      <c r="N2706" s="20"/>
    </row>
    <row r="2707" spans="2:14" x14ac:dyDescent="0.25">
      <c r="B2707" s="20">
        <f>Разбивка_по_щитам!B2712</f>
      </c>
      <c r="C2707" s="20">
        <f>Разбивка_по_щитам!C2712</f>
      </c>
      <c r="D2707" s="20">
        <f>Разбивка_по_щитам!F2712</f>
      </c>
      <c r="E2707" s="20">
        <f>Разбивка_по_щитам!H2712</f>
      </c>
      <c r="F2707" s="20">
        <f>Разбивка_по_щитам!I2712</f>
      </c>
      <c r="G2707" s="20">
        <f>Разбивка_по_щитам!J2712</f>
      </c>
      <c r="H2707" s="20">
        <f>Разбивка_по_щитам!K2712</f>
      </c>
      <c r="I2707" s="20">
        <f>Разбивка_по_щитам!L2712</f>
      </c>
      <c r="J2707" s="20">
        <f>Разбивка_по_щитам!M2712</f>
      </c>
      <c r="K2707" s="20">
        <f>Разбивка_по_щитам!N2712</f>
      </c>
      <c r="L2707" s="20"/>
      <c r="M2707" s="20">
        <f>Разбивка_по_щитам!P2712</f>
      </c>
      <c r="N2707" s="20"/>
    </row>
    <row r="2708" spans="2:14" x14ac:dyDescent="0.25">
      <c r="B2708" s="20">
        <f>Разбивка_по_щитам!B2713</f>
      </c>
      <c r="C2708" s="20">
        <f>Разбивка_по_щитам!C2713</f>
      </c>
      <c r="D2708" s="20">
        <f>Разбивка_по_щитам!F2713</f>
      </c>
      <c r="E2708" s="20">
        <f>Разбивка_по_щитам!H2713</f>
      </c>
      <c r="F2708" s="20">
        <f>Разбивка_по_щитам!I2713</f>
      </c>
      <c r="G2708" s="20">
        <f>Разбивка_по_щитам!J2713</f>
      </c>
      <c r="H2708" s="20">
        <f>Разбивка_по_щитам!K2713</f>
      </c>
      <c r="I2708" s="20">
        <f>Разбивка_по_щитам!L2713</f>
      </c>
      <c r="J2708" s="20">
        <f>Разбивка_по_щитам!M2713</f>
      </c>
      <c r="K2708" s="20">
        <f>Разбивка_по_щитам!N2713</f>
      </c>
      <c r="L2708" s="20"/>
      <c r="M2708" s="20">
        <f>Разбивка_по_щитам!P2713</f>
      </c>
      <c r="N2708" s="20"/>
    </row>
    <row r="2709" spans="2:14" x14ac:dyDescent="0.25">
      <c r="B2709" s="20">
        <f>Разбивка_по_щитам!B2714</f>
      </c>
      <c r="C2709" s="20">
        <f>Разбивка_по_щитам!C2714</f>
      </c>
      <c r="D2709" s="20">
        <f>Разбивка_по_щитам!F2714</f>
      </c>
      <c r="E2709" s="20">
        <f>Разбивка_по_щитам!H2714</f>
      </c>
      <c r="F2709" s="20">
        <f>Разбивка_по_щитам!I2714</f>
      </c>
      <c r="G2709" s="20">
        <f>Разбивка_по_щитам!J2714</f>
      </c>
      <c r="H2709" s="20">
        <f>Разбивка_по_щитам!K2714</f>
      </c>
      <c r="I2709" s="20">
        <f>Разбивка_по_щитам!L2714</f>
      </c>
      <c r="J2709" s="20">
        <f>Разбивка_по_щитам!M2714</f>
      </c>
      <c r="K2709" s="20">
        <f>Разбивка_по_щитам!N2714</f>
      </c>
      <c r="L2709" s="20"/>
      <c r="M2709" s="20">
        <f>Разбивка_по_щитам!P2714</f>
      </c>
      <c r="N2709" s="20"/>
    </row>
    <row r="2710" spans="2:14" x14ac:dyDescent="0.25">
      <c r="B2710" s="20">
        <f>Разбивка_по_щитам!B2715</f>
      </c>
      <c r="C2710" s="20">
        <f>Разбивка_по_щитам!C2715</f>
      </c>
      <c r="D2710" s="20">
        <f>Разбивка_по_щитам!F2715</f>
      </c>
      <c r="E2710" s="20">
        <f>Разбивка_по_щитам!H2715</f>
      </c>
      <c r="F2710" s="20">
        <f>Разбивка_по_щитам!I2715</f>
      </c>
      <c r="G2710" s="20">
        <f>Разбивка_по_щитам!J2715</f>
      </c>
      <c r="H2710" s="20">
        <f>Разбивка_по_щитам!K2715</f>
      </c>
      <c r="I2710" s="20">
        <f>Разбивка_по_щитам!L2715</f>
      </c>
      <c r="J2710" s="20">
        <f>Разбивка_по_щитам!M2715</f>
      </c>
      <c r="K2710" s="20">
        <f>Разбивка_по_щитам!N2715</f>
      </c>
      <c r="L2710" s="20"/>
      <c r="M2710" s="20">
        <f>Разбивка_по_щитам!P2715</f>
      </c>
      <c r="N2710" s="20"/>
    </row>
    <row r="2711" spans="2:14" x14ac:dyDescent="0.25">
      <c r="B2711" s="20">
        <f>Разбивка_по_щитам!B2716</f>
      </c>
      <c r="C2711" s="20">
        <f>Разбивка_по_щитам!C2716</f>
      </c>
      <c r="D2711" s="20">
        <f>Разбивка_по_щитам!F2716</f>
      </c>
      <c r="E2711" s="20">
        <f>Разбивка_по_щитам!H2716</f>
      </c>
      <c r="F2711" s="20">
        <f>Разбивка_по_щитам!I2716</f>
      </c>
      <c r="G2711" s="20">
        <f>Разбивка_по_щитам!J2716</f>
      </c>
      <c r="H2711" s="20">
        <f>Разбивка_по_щитам!K2716</f>
      </c>
      <c r="I2711" s="20">
        <f>Разбивка_по_щитам!L2716</f>
      </c>
      <c r="J2711" s="20">
        <f>Разбивка_по_щитам!M2716</f>
      </c>
      <c r="K2711" s="20">
        <f>Разбивка_по_щитам!N2716</f>
      </c>
      <c r="L2711" s="20"/>
      <c r="M2711" s="20">
        <f>Разбивка_по_щитам!P2716</f>
      </c>
      <c r="N2711" s="20"/>
    </row>
    <row r="2712" spans="2:14" x14ac:dyDescent="0.25">
      <c r="B2712" s="20">
        <f>Разбивка_по_щитам!B2717</f>
      </c>
      <c r="C2712" s="20">
        <f>Разбивка_по_щитам!C2717</f>
      </c>
      <c r="D2712" s="20">
        <f>Разбивка_по_щитам!F2717</f>
      </c>
      <c r="E2712" s="20">
        <f>Разбивка_по_щитам!H2717</f>
      </c>
      <c r="F2712" s="20">
        <f>Разбивка_по_щитам!I2717</f>
      </c>
      <c r="G2712" s="20">
        <f>Разбивка_по_щитам!J2717</f>
      </c>
      <c r="H2712" s="20">
        <f>Разбивка_по_щитам!K2717</f>
      </c>
      <c r="I2712" s="20">
        <f>Разбивка_по_щитам!L2717</f>
      </c>
      <c r="J2712" s="20">
        <f>Разбивка_по_щитам!M2717</f>
      </c>
      <c r="K2712" s="20">
        <f>Разбивка_по_щитам!N2717</f>
      </c>
      <c r="L2712" s="20"/>
      <c r="M2712" s="20">
        <f>Разбивка_по_щитам!P2717</f>
      </c>
      <c r="N2712" s="20"/>
    </row>
    <row r="2713" spans="2:14" x14ac:dyDescent="0.25">
      <c r="B2713" s="20">
        <f>Разбивка_по_щитам!B2718</f>
      </c>
      <c r="C2713" s="20">
        <f>Разбивка_по_щитам!C2718</f>
      </c>
      <c r="D2713" s="20">
        <f>Разбивка_по_щитам!F2718</f>
      </c>
      <c r="E2713" s="20">
        <f>Разбивка_по_щитам!H2718</f>
      </c>
      <c r="F2713" s="20">
        <f>Разбивка_по_щитам!I2718</f>
      </c>
      <c r="G2713" s="20">
        <f>Разбивка_по_щитам!J2718</f>
      </c>
      <c r="H2713" s="20">
        <f>Разбивка_по_щитам!K2718</f>
      </c>
      <c r="I2713" s="20">
        <f>Разбивка_по_щитам!L2718</f>
      </c>
      <c r="J2713" s="20">
        <f>Разбивка_по_щитам!M2718</f>
      </c>
      <c r="K2713" s="20">
        <f>Разбивка_по_щитам!N2718</f>
      </c>
      <c r="L2713" s="20"/>
      <c r="M2713" s="20">
        <f>Разбивка_по_щитам!P2718</f>
      </c>
      <c r="N2713" s="20"/>
    </row>
    <row r="2714" spans="2:14" x14ac:dyDescent="0.25">
      <c r="B2714" s="20">
        <f>Разбивка_по_щитам!B2719</f>
      </c>
      <c r="C2714" s="20">
        <f>Разбивка_по_щитам!C2719</f>
      </c>
      <c r="D2714" s="20">
        <f>Разбивка_по_щитам!F2719</f>
      </c>
      <c r="E2714" s="20">
        <f>Разбивка_по_щитам!H2719</f>
      </c>
      <c r="F2714" s="20">
        <f>Разбивка_по_щитам!I2719</f>
      </c>
      <c r="G2714" s="20">
        <f>Разбивка_по_щитам!J2719</f>
      </c>
      <c r="H2714" s="20">
        <f>Разбивка_по_щитам!K2719</f>
      </c>
      <c r="I2714" s="20">
        <f>Разбивка_по_щитам!L2719</f>
      </c>
      <c r="J2714" s="20">
        <f>Разбивка_по_щитам!M2719</f>
      </c>
      <c r="K2714" s="20">
        <f>Разбивка_по_щитам!N2719</f>
      </c>
      <c r="L2714" s="20"/>
      <c r="M2714" s="20">
        <f>Разбивка_по_щитам!P2719</f>
      </c>
      <c r="N2714" s="20"/>
    </row>
    <row r="2715" spans="2:14" x14ac:dyDescent="0.25">
      <c r="B2715" s="20">
        <f>Разбивка_по_щитам!B2720</f>
      </c>
      <c r="C2715" s="20">
        <f>Разбивка_по_щитам!C2720</f>
      </c>
      <c r="D2715" s="20">
        <f>Разбивка_по_щитам!F2720</f>
      </c>
      <c r="E2715" s="20">
        <f>Разбивка_по_щитам!H2720</f>
      </c>
      <c r="F2715" s="20">
        <f>Разбивка_по_щитам!I2720</f>
      </c>
      <c r="G2715" s="20">
        <f>Разбивка_по_щитам!J2720</f>
      </c>
      <c r="H2715" s="20">
        <f>Разбивка_по_щитам!K2720</f>
      </c>
      <c r="I2715" s="20">
        <f>Разбивка_по_щитам!L2720</f>
      </c>
      <c r="J2715" s="20">
        <f>Разбивка_по_щитам!M2720</f>
      </c>
      <c r="K2715" s="20">
        <f>Разбивка_по_щитам!N2720</f>
      </c>
      <c r="L2715" s="20"/>
      <c r="M2715" s="20">
        <f>Разбивка_по_щитам!P2720</f>
      </c>
      <c r="N2715" s="20"/>
    </row>
    <row r="2716" spans="2:14" x14ac:dyDescent="0.25">
      <c r="B2716" s="20">
        <f>Разбивка_по_щитам!B2721</f>
      </c>
      <c r="C2716" s="20">
        <f>Разбивка_по_щитам!C2721</f>
      </c>
      <c r="D2716" s="20">
        <f>Разбивка_по_щитам!F2721</f>
      </c>
      <c r="E2716" s="20">
        <f>Разбивка_по_щитам!H2721</f>
      </c>
      <c r="F2716" s="20">
        <f>Разбивка_по_щитам!I2721</f>
      </c>
      <c r="G2716" s="20">
        <f>Разбивка_по_щитам!J2721</f>
      </c>
      <c r="H2716" s="20">
        <f>Разбивка_по_щитам!K2721</f>
      </c>
      <c r="I2716" s="20">
        <f>Разбивка_по_щитам!L2721</f>
      </c>
      <c r="J2716" s="20">
        <f>Разбивка_по_щитам!M2721</f>
      </c>
      <c r="K2716" s="20">
        <f>Разбивка_по_щитам!N2721</f>
      </c>
      <c r="L2716" s="20"/>
      <c r="M2716" s="20">
        <f>Разбивка_по_щитам!P2721</f>
      </c>
      <c r="N2716" s="20"/>
    </row>
    <row r="2717" spans="2:14" x14ac:dyDescent="0.25">
      <c r="B2717" s="20">
        <f>Разбивка_по_щитам!B2722</f>
      </c>
      <c r="C2717" s="20">
        <f>Разбивка_по_щитам!C2722</f>
      </c>
      <c r="D2717" s="20">
        <f>Разбивка_по_щитам!F2722</f>
      </c>
      <c r="E2717" s="20">
        <f>Разбивка_по_щитам!H2722</f>
      </c>
      <c r="F2717" s="20">
        <f>Разбивка_по_щитам!I2722</f>
      </c>
      <c r="G2717" s="20">
        <f>Разбивка_по_щитам!J2722</f>
      </c>
      <c r="H2717" s="20">
        <f>Разбивка_по_щитам!K2722</f>
      </c>
      <c r="I2717" s="20">
        <f>Разбивка_по_щитам!L2722</f>
      </c>
      <c r="J2717" s="20">
        <f>Разбивка_по_щитам!M2722</f>
      </c>
      <c r="K2717" s="20">
        <f>Разбивка_по_щитам!N2722</f>
      </c>
      <c r="L2717" s="20"/>
      <c r="M2717" s="20">
        <f>Разбивка_по_щитам!P2722</f>
      </c>
      <c r="N2717" s="20"/>
    </row>
    <row r="2718" spans="2:14" x14ac:dyDescent="0.25">
      <c r="B2718" s="20">
        <f>Разбивка_по_щитам!B2723</f>
      </c>
      <c r="C2718" s="20">
        <f>Разбивка_по_щитам!C2723</f>
      </c>
      <c r="D2718" s="20">
        <f>Разбивка_по_щитам!F2723</f>
      </c>
      <c r="E2718" s="20">
        <f>Разбивка_по_щитам!H2723</f>
      </c>
      <c r="F2718" s="20">
        <f>Разбивка_по_щитам!I2723</f>
      </c>
      <c r="G2718" s="20">
        <f>Разбивка_по_щитам!J2723</f>
      </c>
      <c r="H2718" s="20">
        <f>Разбивка_по_щитам!K2723</f>
      </c>
      <c r="I2718" s="20">
        <f>Разбивка_по_щитам!L2723</f>
      </c>
      <c r="J2718" s="20">
        <f>Разбивка_по_щитам!M2723</f>
      </c>
      <c r="K2718" s="20">
        <f>Разбивка_по_щитам!N2723</f>
      </c>
      <c r="L2718" s="20"/>
      <c r="M2718" s="20">
        <f>Разбивка_по_щитам!P2723</f>
      </c>
      <c r="N2718" s="20"/>
    </row>
    <row r="2719" spans="2:14" x14ac:dyDescent="0.25">
      <c r="B2719" s="20">
        <f>Разбивка_по_щитам!B2724</f>
      </c>
      <c r="C2719" s="20">
        <f>Разбивка_по_щитам!C2724</f>
      </c>
      <c r="D2719" s="20">
        <f>Разбивка_по_щитам!F2724</f>
      </c>
      <c r="E2719" s="20">
        <f>Разбивка_по_щитам!H2724</f>
      </c>
      <c r="F2719" s="20">
        <f>Разбивка_по_щитам!I2724</f>
      </c>
      <c r="G2719" s="20">
        <f>Разбивка_по_щитам!J2724</f>
      </c>
      <c r="H2719" s="20">
        <f>Разбивка_по_щитам!K2724</f>
      </c>
      <c r="I2719" s="20">
        <f>Разбивка_по_щитам!L2724</f>
      </c>
      <c r="J2719" s="20">
        <f>Разбивка_по_щитам!M2724</f>
      </c>
      <c r="K2719" s="20">
        <f>Разбивка_по_щитам!N2724</f>
      </c>
      <c r="L2719" s="20"/>
      <c r="M2719" s="20">
        <f>Разбивка_по_щитам!P2724</f>
      </c>
      <c r="N2719" s="20"/>
    </row>
    <row r="2720" spans="2:14" x14ac:dyDescent="0.25">
      <c r="B2720" s="20">
        <f>Разбивка_по_щитам!B2725</f>
      </c>
      <c r="C2720" s="20">
        <f>Разбивка_по_щитам!C2725</f>
      </c>
      <c r="D2720" s="20">
        <f>Разбивка_по_щитам!F2725</f>
      </c>
      <c r="E2720" s="20">
        <f>Разбивка_по_щитам!H2725</f>
      </c>
      <c r="F2720" s="20">
        <f>Разбивка_по_щитам!I2725</f>
      </c>
      <c r="G2720" s="20">
        <f>Разбивка_по_щитам!J2725</f>
      </c>
      <c r="H2720" s="20">
        <f>Разбивка_по_щитам!K2725</f>
      </c>
      <c r="I2720" s="20">
        <f>Разбивка_по_щитам!L2725</f>
      </c>
      <c r="J2720" s="20">
        <f>Разбивка_по_щитам!M2725</f>
      </c>
      <c r="K2720" s="20">
        <f>Разбивка_по_щитам!N2725</f>
      </c>
      <c r="L2720" s="20"/>
      <c r="M2720" s="20">
        <f>Разбивка_по_щитам!P2725</f>
      </c>
      <c r="N2720" s="20"/>
    </row>
    <row r="2721" spans="2:14" x14ac:dyDescent="0.25">
      <c r="B2721" s="20">
        <f>Разбивка_по_щитам!B2726</f>
      </c>
      <c r="C2721" s="20">
        <f>Разбивка_по_щитам!C2726</f>
      </c>
      <c r="D2721" s="20">
        <f>Разбивка_по_щитам!F2726</f>
      </c>
      <c r="E2721" s="20">
        <f>Разбивка_по_щитам!H2726</f>
      </c>
      <c r="F2721" s="20">
        <f>Разбивка_по_щитам!I2726</f>
      </c>
      <c r="G2721" s="20">
        <f>Разбивка_по_щитам!J2726</f>
      </c>
      <c r="H2721" s="20">
        <f>Разбивка_по_щитам!K2726</f>
      </c>
      <c r="I2721" s="20">
        <f>Разбивка_по_щитам!L2726</f>
      </c>
      <c r="J2721" s="20">
        <f>Разбивка_по_щитам!M2726</f>
      </c>
      <c r="K2721" s="20">
        <f>Разбивка_по_щитам!N2726</f>
      </c>
      <c r="L2721" s="20"/>
      <c r="M2721" s="20">
        <f>Разбивка_по_щитам!P2726</f>
      </c>
      <c r="N2721" s="20"/>
    </row>
    <row r="2722" spans="2:14" x14ac:dyDescent="0.25">
      <c r="B2722" s="20">
        <f>Разбивка_по_щитам!B2727</f>
      </c>
      <c r="C2722" s="20">
        <f>Разбивка_по_щитам!C2727</f>
      </c>
      <c r="D2722" s="20">
        <f>Разбивка_по_щитам!F2727</f>
      </c>
      <c r="E2722" s="20">
        <f>Разбивка_по_щитам!H2727</f>
      </c>
      <c r="F2722" s="20">
        <f>Разбивка_по_щитам!I2727</f>
      </c>
      <c r="G2722" s="20">
        <f>Разбивка_по_щитам!J2727</f>
      </c>
      <c r="H2722" s="20">
        <f>Разбивка_по_щитам!K2727</f>
      </c>
      <c r="I2722" s="20">
        <f>Разбивка_по_щитам!L2727</f>
      </c>
      <c r="J2722" s="20">
        <f>Разбивка_по_щитам!M2727</f>
      </c>
      <c r="K2722" s="20">
        <f>Разбивка_по_щитам!N2727</f>
      </c>
      <c r="L2722" s="20"/>
      <c r="M2722" s="20">
        <f>Разбивка_по_щитам!P2727</f>
      </c>
      <c r="N2722" s="20"/>
    </row>
    <row r="2723" spans="2:14" x14ac:dyDescent="0.25">
      <c r="B2723" s="20">
        <f>Разбивка_по_щитам!B2728</f>
      </c>
      <c r="C2723" s="20">
        <f>Разбивка_по_щитам!C2728</f>
      </c>
      <c r="D2723" s="20">
        <f>Разбивка_по_щитам!F2728</f>
      </c>
      <c r="E2723" s="20">
        <f>Разбивка_по_щитам!H2728</f>
      </c>
      <c r="F2723" s="20">
        <f>Разбивка_по_щитам!I2728</f>
      </c>
      <c r="G2723" s="20">
        <f>Разбивка_по_щитам!J2728</f>
      </c>
      <c r="H2723" s="20">
        <f>Разбивка_по_щитам!K2728</f>
      </c>
      <c r="I2723" s="20">
        <f>Разбивка_по_щитам!L2728</f>
      </c>
      <c r="J2723" s="20">
        <f>Разбивка_по_щитам!M2728</f>
      </c>
      <c r="K2723" s="20">
        <f>Разбивка_по_щитам!N2728</f>
      </c>
      <c r="L2723" s="20"/>
      <c r="M2723" s="20">
        <f>Разбивка_по_щитам!P2728</f>
      </c>
      <c r="N2723" s="20"/>
    </row>
    <row r="2724" spans="2:14" x14ac:dyDescent="0.25">
      <c r="B2724" s="20">
        <f>Разбивка_по_щитам!B2729</f>
      </c>
      <c r="C2724" s="20">
        <f>Разбивка_по_щитам!C2729</f>
      </c>
      <c r="D2724" s="20">
        <f>Разбивка_по_щитам!F2729</f>
      </c>
      <c r="E2724" s="20">
        <f>Разбивка_по_щитам!H2729</f>
      </c>
      <c r="F2724" s="20">
        <f>Разбивка_по_щитам!I2729</f>
      </c>
      <c r="G2724" s="20">
        <f>Разбивка_по_щитам!J2729</f>
      </c>
      <c r="H2724" s="20">
        <f>Разбивка_по_щитам!K2729</f>
      </c>
      <c r="I2724" s="20">
        <f>Разбивка_по_щитам!L2729</f>
      </c>
      <c r="J2724" s="20">
        <f>Разбивка_по_щитам!M2729</f>
      </c>
      <c r="K2724" s="20">
        <f>Разбивка_по_щитам!N2729</f>
      </c>
      <c r="L2724" s="20"/>
      <c r="M2724" s="20">
        <f>Разбивка_по_щитам!P2729</f>
      </c>
      <c r="N2724" s="20"/>
    </row>
    <row r="2725" spans="2:14" x14ac:dyDescent="0.25">
      <c r="B2725" s="20">
        <f>Разбивка_по_щитам!B2730</f>
      </c>
      <c r="C2725" s="20">
        <f>Разбивка_по_щитам!C2730</f>
      </c>
      <c r="D2725" s="20">
        <f>Разбивка_по_щитам!F2730</f>
      </c>
      <c r="E2725" s="20">
        <f>Разбивка_по_щитам!H2730</f>
      </c>
      <c r="F2725" s="20">
        <f>Разбивка_по_щитам!I2730</f>
      </c>
      <c r="G2725" s="20">
        <f>Разбивка_по_щитам!J2730</f>
      </c>
      <c r="H2725" s="20">
        <f>Разбивка_по_щитам!K2730</f>
      </c>
      <c r="I2725" s="20">
        <f>Разбивка_по_щитам!L2730</f>
      </c>
      <c r="J2725" s="20">
        <f>Разбивка_по_щитам!M2730</f>
      </c>
      <c r="K2725" s="20">
        <f>Разбивка_по_щитам!N2730</f>
      </c>
      <c r="L2725" s="20"/>
      <c r="M2725" s="20">
        <f>Разбивка_по_щитам!P2730</f>
      </c>
      <c r="N2725" s="20"/>
    </row>
    <row r="2726" spans="2:14" x14ac:dyDescent="0.25">
      <c r="B2726" s="20">
        <f>Разбивка_по_щитам!B2731</f>
      </c>
      <c r="C2726" s="20">
        <f>Разбивка_по_щитам!C2731</f>
      </c>
      <c r="D2726" s="20">
        <f>Разбивка_по_щитам!F2731</f>
      </c>
      <c r="E2726" s="20">
        <f>Разбивка_по_щитам!H2731</f>
      </c>
      <c r="F2726" s="20">
        <f>Разбивка_по_щитам!I2731</f>
      </c>
      <c r="G2726" s="20">
        <f>Разбивка_по_щитам!J2731</f>
      </c>
      <c r="H2726" s="20">
        <f>Разбивка_по_щитам!K2731</f>
      </c>
      <c r="I2726" s="20">
        <f>Разбивка_по_щитам!L2731</f>
      </c>
      <c r="J2726" s="20">
        <f>Разбивка_по_щитам!M2731</f>
      </c>
      <c r="K2726" s="20">
        <f>Разбивка_по_щитам!N2731</f>
      </c>
      <c r="L2726" s="20"/>
      <c r="M2726" s="20">
        <f>Разбивка_по_щитам!P2731</f>
      </c>
      <c r="N2726" s="20"/>
    </row>
    <row r="2727" spans="2:14" x14ac:dyDescent="0.25">
      <c r="B2727" s="20">
        <f>Разбивка_по_щитам!B2732</f>
      </c>
      <c r="C2727" s="20">
        <f>Разбивка_по_щитам!C2732</f>
      </c>
      <c r="D2727" s="20">
        <f>Разбивка_по_щитам!F2732</f>
      </c>
      <c r="E2727" s="20">
        <f>Разбивка_по_щитам!H2732</f>
      </c>
      <c r="F2727" s="20">
        <f>Разбивка_по_щитам!I2732</f>
      </c>
      <c r="G2727" s="20">
        <f>Разбивка_по_щитам!J2732</f>
      </c>
      <c r="H2727" s="20">
        <f>Разбивка_по_щитам!K2732</f>
      </c>
      <c r="I2727" s="20">
        <f>Разбивка_по_щитам!L2732</f>
      </c>
      <c r="J2727" s="20">
        <f>Разбивка_по_щитам!M2732</f>
      </c>
      <c r="K2727" s="20">
        <f>Разбивка_по_щитам!N2732</f>
      </c>
      <c r="L2727" s="20"/>
      <c r="M2727" s="20">
        <f>Разбивка_по_щитам!P2732</f>
      </c>
      <c r="N2727" s="20"/>
    </row>
    <row r="2728" spans="2:14" x14ac:dyDescent="0.25">
      <c r="B2728" s="20">
        <f>Разбивка_по_щитам!B2733</f>
      </c>
      <c r="C2728" s="20">
        <f>Разбивка_по_щитам!C2733</f>
      </c>
      <c r="D2728" s="20">
        <f>Разбивка_по_щитам!F2733</f>
      </c>
      <c r="E2728" s="20">
        <f>Разбивка_по_щитам!H2733</f>
      </c>
      <c r="F2728" s="20">
        <f>Разбивка_по_щитам!I2733</f>
      </c>
      <c r="G2728" s="20">
        <f>Разбивка_по_щитам!J2733</f>
      </c>
      <c r="H2728" s="20">
        <f>Разбивка_по_щитам!K2733</f>
      </c>
      <c r="I2728" s="20">
        <f>Разбивка_по_щитам!L2733</f>
      </c>
      <c r="J2728" s="20">
        <f>Разбивка_по_щитам!M2733</f>
      </c>
      <c r="K2728" s="20">
        <f>Разбивка_по_щитам!N2733</f>
      </c>
      <c r="L2728" s="20"/>
      <c r="M2728" s="20">
        <f>Разбивка_по_щитам!P2733</f>
      </c>
      <c r="N2728" s="20"/>
    </row>
    <row r="2729" spans="2:14" x14ac:dyDescent="0.25">
      <c r="B2729" s="20">
        <f>Разбивка_по_щитам!B2734</f>
      </c>
      <c r="C2729" s="20">
        <f>Разбивка_по_щитам!C2734</f>
      </c>
      <c r="D2729" s="20">
        <f>Разбивка_по_щитам!F2734</f>
      </c>
      <c r="E2729" s="20">
        <f>Разбивка_по_щитам!H2734</f>
      </c>
      <c r="F2729" s="20">
        <f>Разбивка_по_щитам!I2734</f>
      </c>
      <c r="G2729" s="20">
        <f>Разбивка_по_щитам!J2734</f>
      </c>
      <c r="H2729" s="20">
        <f>Разбивка_по_щитам!K2734</f>
      </c>
      <c r="I2729" s="20">
        <f>Разбивка_по_щитам!L2734</f>
      </c>
      <c r="J2729" s="20">
        <f>Разбивка_по_щитам!M2734</f>
      </c>
      <c r="K2729" s="20">
        <f>Разбивка_по_щитам!N2734</f>
      </c>
      <c r="L2729" s="20"/>
      <c r="M2729" s="20">
        <f>Разбивка_по_щитам!P2734</f>
      </c>
      <c r="N2729" s="20"/>
    </row>
    <row r="2730" spans="2:14" x14ac:dyDescent="0.25">
      <c r="B2730" s="20">
        <f>Разбивка_по_щитам!B2735</f>
      </c>
      <c r="C2730" s="20">
        <f>Разбивка_по_щитам!C2735</f>
      </c>
      <c r="D2730" s="20">
        <f>Разбивка_по_щитам!F2735</f>
      </c>
      <c r="E2730" s="20">
        <f>Разбивка_по_щитам!H2735</f>
      </c>
      <c r="F2730" s="20">
        <f>Разбивка_по_щитам!I2735</f>
      </c>
      <c r="G2730" s="20">
        <f>Разбивка_по_щитам!J2735</f>
      </c>
      <c r="H2730" s="20">
        <f>Разбивка_по_щитам!K2735</f>
      </c>
      <c r="I2730" s="20">
        <f>Разбивка_по_щитам!L2735</f>
      </c>
      <c r="J2730" s="20">
        <f>Разбивка_по_щитам!M2735</f>
      </c>
      <c r="K2730" s="20">
        <f>Разбивка_по_щитам!N2735</f>
      </c>
      <c r="L2730" s="20"/>
      <c r="M2730" s="20">
        <f>Разбивка_по_щитам!P2735</f>
      </c>
      <c r="N2730" s="20"/>
    </row>
    <row r="2731" spans="2:14" x14ac:dyDescent="0.25">
      <c r="B2731" s="20">
        <f>Разбивка_по_щитам!B2736</f>
      </c>
      <c r="C2731" s="20">
        <f>Разбивка_по_щитам!C2736</f>
      </c>
      <c r="D2731" s="20">
        <f>Разбивка_по_щитам!F2736</f>
      </c>
      <c r="E2731" s="20">
        <f>Разбивка_по_щитам!H2736</f>
      </c>
      <c r="F2731" s="20">
        <f>Разбивка_по_щитам!I2736</f>
      </c>
      <c r="G2731" s="20">
        <f>Разбивка_по_щитам!J2736</f>
      </c>
      <c r="H2731" s="20">
        <f>Разбивка_по_щитам!K2736</f>
      </c>
      <c r="I2731" s="20">
        <f>Разбивка_по_щитам!L2736</f>
      </c>
      <c r="J2731" s="20">
        <f>Разбивка_по_щитам!M2736</f>
      </c>
      <c r="K2731" s="20">
        <f>Разбивка_по_щитам!N2736</f>
      </c>
      <c r="L2731" s="20"/>
      <c r="M2731" s="20">
        <f>Разбивка_по_щитам!P2736</f>
      </c>
      <c r="N2731" s="20"/>
    </row>
    <row r="2732" spans="2:14" x14ac:dyDescent="0.25">
      <c r="B2732" s="20">
        <f>Разбивка_по_щитам!B2737</f>
      </c>
      <c r="C2732" s="20">
        <f>Разбивка_по_щитам!C2737</f>
      </c>
      <c r="D2732" s="20">
        <f>Разбивка_по_щитам!F2737</f>
      </c>
      <c r="E2732" s="20">
        <f>Разбивка_по_щитам!H2737</f>
      </c>
      <c r="F2732" s="20">
        <f>Разбивка_по_щитам!I2737</f>
      </c>
      <c r="G2732" s="20">
        <f>Разбивка_по_щитам!J2737</f>
      </c>
      <c r="H2732" s="20">
        <f>Разбивка_по_щитам!K2737</f>
      </c>
      <c r="I2732" s="20">
        <f>Разбивка_по_щитам!L2737</f>
      </c>
      <c r="J2732" s="20">
        <f>Разбивка_по_щитам!M2737</f>
      </c>
      <c r="K2732" s="20">
        <f>Разбивка_по_щитам!N2737</f>
      </c>
      <c r="L2732" s="20"/>
      <c r="M2732" s="20">
        <f>Разбивка_по_щитам!P2737</f>
      </c>
      <c r="N2732" s="20"/>
    </row>
    <row r="2733" spans="2:14" x14ac:dyDescent="0.25">
      <c r="B2733" s="20">
        <f>Разбивка_по_щитам!B2738</f>
      </c>
      <c r="C2733" s="20">
        <f>Разбивка_по_щитам!C2738</f>
      </c>
      <c r="D2733" s="20">
        <f>Разбивка_по_щитам!F2738</f>
      </c>
      <c r="E2733" s="20">
        <f>Разбивка_по_щитам!H2738</f>
      </c>
      <c r="F2733" s="20">
        <f>Разбивка_по_щитам!I2738</f>
      </c>
      <c r="G2733" s="20">
        <f>Разбивка_по_щитам!J2738</f>
      </c>
      <c r="H2733" s="20">
        <f>Разбивка_по_щитам!K2738</f>
      </c>
      <c r="I2733" s="20">
        <f>Разбивка_по_щитам!L2738</f>
      </c>
      <c r="J2733" s="20">
        <f>Разбивка_по_щитам!M2738</f>
      </c>
      <c r="K2733" s="20">
        <f>Разбивка_по_щитам!N2738</f>
      </c>
      <c r="L2733" s="20"/>
      <c r="M2733" s="20">
        <f>Разбивка_по_щитам!P2738</f>
      </c>
      <c r="N2733" s="20"/>
    </row>
    <row r="2734" spans="2:14" x14ac:dyDescent="0.25">
      <c r="B2734" s="20">
        <f>Разбивка_по_щитам!B2739</f>
      </c>
      <c r="C2734" s="20">
        <f>Разбивка_по_щитам!C2739</f>
      </c>
      <c r="D2734" s="20">
        <f>Разбивка_по_щитам!F2739</f>
      </c>
      <c r="E2734" s="20">
        <f>Разбивка_по_щитам!H2739</f>
      </c>
      <c r="F2734" s="20">
        <f>Разбивка_по_щитам!I2739</f>
      </c>
      <c r="G2734" s="20">
        <f>Разбивка_по_щитам!J2739</f>
      </c>
      <c r="H2734" s="20">
        <f>Разбивка_по_щитам!K2739</f>
      </c>
      <c r="I2734" s="20">
        <f>Разбивка_по_щитам!L2739</f>
      </c>
      <c r="J2734" s="20">
        <f>Разбивка_по_щитам!M2739</f>
      </c>
      <c r="K2734" s="20">
        <f>Разбивка_по_щитам!N2739</f>
      </c>
      <c r="L2734" s="20"/>
      <c r="M2734" s="20">
        <f>Разбивка_по_щитам!P2739</f>
      </c>
      <c r="N2734" s="20"/>
    </row>
    <row r="2735" spans="2:14" x14ac:dyDescent="0.25">
      <c r="B2735" s="20">
        <f>Разбивка_по_щитам!B2740</f>
      </c>
      <c r="C2735" s="20">
        <f>Разбивка_по_щитам!C2740</f>
      </c>
      <c r="D2735" s="20">
        <f>Разбивка_по_щитам!F2740</f>
      </c>
      <c r="E2735" s="20">
        <f>Разбивка_по_щитам!H2740</f>
      </c>
      <c r="F2735" s="20">
        <f>Разбивка_по_щитам!I2740</f>
      </c>
      <c r="G2735" s="20">
        <f>Разбивка_по_щитам!J2740</f>
      </c>
      <c r="H2735" s="20">
        <f>Разбивка_по_щитам!K2740</f>
      </c>
      <c r="I2735" s="20">
        <f>Разбивка_по_щитам!L2740</f>
      </c>
      <c r="J2735" s="20">
        <f>Разбивка_по_щитам!M2740</f>
      </c>
      <c r="K2735" s="20">
        <f>Разбивка_по_щитам!N2740</f>
      </c>
      <c r="L2735" s="20"/>
      <c r="M2735" s="20">
        <f>Разбивка_по_щитам!P2740</f>
      </c>
      <c r="N2735" s="20"/>
    </row>
    <row r="2736" spans="2:14" x14ac:dyDescent="0.25">
      <c r="B2736" s="20">
        <f>Разбивка_по_щитам!B2741</f>
      </c>
      <c r="C2736" s="20">
        <f>Разбивка_по_щитам!C2741</f>
      </c>
      <c r="D2736" s="20">
        <f>Разбивка_по_щитам!F2741</f>
      </c>
      <c r="E2736" s="20">
        <f>Разбивка_по_щитам!H2741</f>
      </c>
      <c r="F2736" s="20">
        <f>Разбивка_по_щитам!I2741</f>
      </c>
      <c r="G2736" s="20">
        <f>Разбивка_по_щитам!J2741</f>
      </c>
      <c r="H2736" s="20">
        <f>Разбивка_по_щитам!K2741</f>
      </c>
      <c r="I2736" s="20">
        <f>Разбивка_по_щитам!L2741</f>
      </c>
      <c r="J2736" s="20">
        <f>Разбивка_по_щитам!M2741</f>
      </c>
      <c r="K2736" s="20">
        <f>Разбивка_по_щитам!N2741</f>
      </c>
      <c r="L2736" s="20"/>
      <c r="M2736" s="20">
        <f>Разбивка_по_щитам!P2741</f>
      </c>
      <c r="N2736" s="20"/>
    </row>
    <row r="2737" spans="2:14" x14ac:dyDescent="0.25">
      <c r="B2737" s="20">
        <f>Разбивка_по_щитам!B2742</f>
      </c>
      <c r="C2737" s="20">
        <f>Разбивка_по_щитам!C2742</f>
      </c>
      <c r="D2737" s="20">
        <f>Разбивка_по_щитам!F2742</f>
      </c>
      <c r="E2737" s="20">
        <f>Разбивка_по_щитам!H2742</f>
      </c>
      <c r="F2737" s="20">
        <f>Разбивка_по_щитам!I2742</f>
      </c>
      <c r="G2737" s="20">
        <f>Разбивка_по_щитам!J2742</f>
      </c>
      <c r="H2737" s="20">
        <f>Разбивка_по_щитам!K2742</f>
      </c>
      <c r="I2737" s="20">
        <f>Разбивка_по_щитам!L2742</f>
      </c>
      <c r="J2737" s="20">
        <f>Разбивка_по_щитам!M2742</f>
      </c>
      <c r="K2737" s="20">
        <f>Разбивка_по_щитам!N2742</f>
      </c>
      <c r="L2737" s="20"/>
      <c r="M2737" s="20">
        <f>Разбивка_по_щитам!P2742</f>
      </c>
      <c r="N2737" s="20"/>
    </row>
    <row r="2738" spans="2:14" x14ac:dyDescent="0.25">
      <c r="B2738" s="20">
        <f>Разбивка_по_щитам!B2743</f>
      </c>
      <c r="C2738" s="20">
        <f>Разбивка_по_щитам!C2743</f>
      </c>
      <c r="D2738" s="20">
        <f>Разбивка_по_щитам!F2743</f>
      </c>
      <c r="E2738" s="20">
        <f>Разбивка_по_щитам!H2743</f>
      </c>
      <c r="F2738" s="20">
        <f>Разбивка_по_щитам!I2743</f>
      </c>
      <c r="G2738" s="20">
        <f>Разбивка_по_щитам!J2743</f>
      </c>
      <c r="H2738" s="20">
        <f>Разбивка_по_щитам!K2743</f>
      </c>
      <c r="I2738" s="20">
        <f>Разбивка_по_щитам!L2743</f>
      </c>
      <c r="J2738" s="20">
        <f>Разбивка_по_щитам!M2743</f>
      </c>
      <c r="K2738" s="20">
        <f>Разбивка_по_щитам!N2743</f>
      </c>
      <c r="L2738" s="20"/>
      <c r="M2738" s="20">
        <f>Разбивка_по_щитам!P2743</f>
      </c>
      <c r="N2738" s="20"/>
    </row>
    <row r="2739" spans="2:14" x14ac:dyDescent="0.25">
      <c r="B2739" s="20">
        <f>Разбивка_по_щитам!B2744</f>
      </c>
      <c r="C2739" s="20">
        <f>Разбивка_по_щитам!C2744</f>
      </c>
      <c r="D2739" s="20">
        <f>Разбивка_по_щитам!F2744</f>
      </c>
      <c r="E2739" s="20">
        <f>Разбивка_по_щитам!H2744</f>
      </c>
      <c r="F2739" s="20">
        <f>Разбивка_по_щитам!I2744</f>
      </c>
      <c r="G2739" s="20">
        <f>Разбивка_по_щитам!J2744</f>
      </c>
      <c r="H2739" s="20">
        <f>Разбивка_по_щитам!K2744</f>
      </c>
      <c r="I2739" s="20">
        <f>Разбивка_по_щитам!L2744</f>
      </c>
      <c r="J2739" s="20">
        <f>Разбивка_по_щитам!M2744</f>
      </c>
      <c r="K2739" s="20">
        <f>Разбивка_по_щитам!N2744</f>
      </c>
      <c r="L2739" s="20"/>
      <c r="M2739" s="20">
        <f>Разбивка_по_щитам!P2744</f>
      </c>
      <c r="N2739" s="20"/>
    </row>
    <row r="2740" spans="2:14" x14ac:dyDescent="0.25">
      <c r="B2740" s="20">
        <f>Разбивка_по_щитам!B2745</f>
      </c>
      <c r="C2740" s="20">
        <f>Разбивка_по_щитам!C2745</f>
      </c>
      <c r="D2740" s="20">
        <f>Разбивка_по_щитам!F2745</f>
      </c>
      <c r="E2740" s="20">
        <f>Разбивка_по_щитам!H2745</f>
      </c>
      <c r="F2740" s="20">
        <f>Разбивка_по_щитам!I2745</f>
      </c>
      <c r="G2740" s="20">
        <f>Разбивка_по_щитам!J2745</f>
      </c>
      <c r="H2740" s="20">
        <f>Разбивка_по_щитам!K2745</f>
      </c>
      <c r="I2740" s="20">
        <f>Разбивка_по_щитам!L2745</f>
      </c>
      <c r="J2740" s="20">
        <f>Разбивка_по_щитам!M2745</f>
      </c>
      <c r="K2740" s="20">
        <f>Разбивка_по_щитам!N2745</f>
      </c>
      <c r="L2740" s="20"/>
      <c r="M2740" s="20">
        <f>Разбивка_по_щитам!P2745</f>
      </c>
      <c r="N2740" s="20"/>
    </row>
    <row r="2741" spans="2:14" x14ac:dyDescent="0.25">
      <c r="B2741" s="20">
        <f>Разбивка_по_щитам!B2746</f>
      </c>
      <c r="C2741" s="20">
        <f>Разбивка_по_щитам!C2746</f>
      </c>
      <c r="D2741" s="20">
        <f>Разбивка_по_щитам!F2746</f>
      </c>
      <c r="E2741" s="20">
        <f>Разбивка_по_щитам!H2746</f>
      </c>
      <c r="F2741" s="20">
        <f>Разбивка_по_щитам!I2746</f>
      </c>
      <c r="G2741" s="20">
        <f>Разбивка_по_щитам!J2746</f>
      </c>
      <c r="H2741" s="20">
        <f>Разбивка_по_щитам!K2746</f>
      </c>
      <c r="I2741" s="20">
        <f>Разбивка_по_щитам!L2746</f>
      </c>
      <c r="J2741" s="20">
        <f>Разбивка_по_щитам!M2746</f>
      </c>
      <c r="K2741" s="20">
        <f>Разбивка_по_щитам!N2746</f>
      </c>
      <c r="L2741" s="20"/>
      <c r="M2741" s="20">
        <f>Разбивка_по_щитам!P2746</f>
      </c>
      <c r="N2741" s="20"/>
    </row>
    <row r="2742" spans="2:14" x14ac:dyDescent="0.25">
      <c r="B2742" s="20">
        <f>Разбивка_по_щитам!B2747</f>
      </c>
      <c r="C2742" s="20">
        <f>Разбивка_по_щитам!C2747</f>
      </c>
      <c r="D2742" s="20">
        <f>Разбивка_по_щитам!F2747</f>
      </c>
      <c r="E2742" s="20">
        <f>Разбивка_по_щитам!H2747</f>
      </c>
      <c r="F2742" s="20">
        <f>Разбивка_по_щитам!I2747</f>
      </c>
      <c r="G2742" s="20">
        <f>Разбивка_по_щитам!J2747</f>
      </c>
      <c r="H2742" s="20">
        <f>Разбивка_по_щитам!K2747</f>
      </c>
      <c r="I2742" s="20">
        <f>Разбивка_по_щитам!L2747</f>
      </c>
      <c r="J2742" s="20">
        <f>Разбивка_по_щитам!M2747</f>
      </c>
      <c r="K2742" s="20">
        <f>Разбивка_по_щитам!N2747</f>
      </c>
      <c r="L2742" s="20"/>
      <c r="M2742" s="20">
        <f>Разбивка_по_щитам!P2747</f>
      </c>
      <c r="N2742" s="20"/>
    </row>
    <row r="2743" spans="2:14" x14ac:dyDescent="0.25">
      <c r="B2743" s="20">
        <f>Разбивка_по_щитам!B2748</f>
      </c>
      <c r="C2743" s="20">
        <f>Разбивка_по_щитам!C2748</f>
      </c>
      <c r="D2743" s="20">
        <f>Разбивка_по_щитам!F2748</f>
      </c>
      <c r="E2743" s="20">
        <f>Разбивка_по_щитам!H2748</f>
      </c>
      <c r="F2743" s="20">
        <f>Разбивка_по_щитам!I2748</f>
      </c>
      <c r="G2743" s="20">
        <f>Разбивка_по_щитам!J2748</f>
      </c>
      <c r="H2743" s="20">
        <f>Разбивка_по_щитам!K2748</f>
      </c>
      <c r="I2743" s="20">
        <f>Разбивка_по_щитам!L2748</f>
      </c>
      <c r="J2743" s="20">
        <f>Разбивка_по_щитам!M2748</f>
      </c>
      <c r="K2743" s="20">
        <f>Разбивка_по_щитам!N2748</f>
      </c>
      <c r="L2743" s="20"/>
      <c r="M2743" s="20">
        <f>Разбивка_по_щитам!P2748</f>
      </c>
      <c r="N2743" s="20"/>
    </row>
    <row r="2744" spans="2:14" x14ac:dyDescent="0.25">
      <c r="B2744" s="20">
        <f>Разбивка_по_щитам!B2749</f>
      </c>
      <c r="C2744" s="20">
        <f>Разбивка_по_щитам!C2749</f>
      </c>
      <c r="D2744" s="20">
        <f>Разбивка_по_щитам!F2749</f>
      </c>
      <c r="E2744" s="20">
        <f>Разбивка_по_щитам!H2749</f>
      </c>
      <c r="F2744" s="20">
        <f>Разбивка_по_щитам!I2749</f>
      </c>
      <c r="G2744" s="20">
        <f>Разбивка_по_щитам!J2749</f>
      </c>
      <c r="H2744" s="20">
        <f>Разбивка_по_щитам!K2749</f>
      </c>
      <c r="I2744" s="20">
        <f>Разбивка_по_щитам!L2749</f>
      </c>
      <c r="J2744" s="20">
        <f>Разбивка_по_щитам!M2749</f>
      </c>
      <c r="K2744" s="20">
        <f>Разбивка_по_щитам!N2749</f>
      </c>
      <c r="L2744" s="20"/>
      <c r="M2744" s="20">
        <f>Разбивка_по_щитам!P2749</f>
      </c>
      <c r="N2744" s="20"/>
    </row>
    <row r="2745" spans="2:14" x14ac:dyDescent="0.25">
      <c r="B2745" s="20">
        <f>Разбивка_по_щитам!B2750</f>
      </c>
      <c r="C2745" s="20">
        <f>Разбивка_по_щитам!C2750</f>
      </c>
      <c r="D2745" s="20">
        <f>Разбивка_по_щитам!F2750</f>
      </c>
      <c r="E2745" s="20">
        <f>Разбивка_по_щитам!H2750</f>
      </c>
      <c r="F2745" s="20">
        <f>Разбивка_по_щитам!I2750</f>
      </c>
      <c r="G2745" s="20">
        <f>Разбивка_по_щитам!J2750</f>
      </c>
      <c r="H2745" s="20">
        <f>Разбивка_по_щитам!K2750</f>
      </c>
      <c r="I2745" s="20">
        <f>Разбивка_по_щитам!L2750</f>
      </c>
      <c r="J2745" s="20">
        <f>Разбивка_по_щитам!M2750</f>
      </c>
      <c r="K2745" s="20">
        <f>Разбивка_по_щитам!N2750</f>
      </c>
      <c r="L2745" s="20"/>
      <c r="M2745" s="20">
        <f>Разбивка_по_щитам!P2750</f>
      </c>
      <c r="N2745" s="20"/>
    </row>
    <row r="2746" spans="2:14" x14ac:dyDescent="0.25">
      <c r="B2746" s="20">
        <f>Разбивка_по_щитам!B2751</f>
      </c>
      <c r="C2746" s="20">
        <f>Разбивка_по_щитам!C2751</f>
      </c>
      <c r="D2746" s="20">
        <f>Разбивка_по_щитам!F2751</f>
      </c>
      <c r="E2746" s="20">
        <f>Разбивка_по_щитам!H2751</f>
      </c>
      <c r="F2746" s="20">
        <f>Разбивка_по_щитам!I2751</f>
      </c>
      <c r="G2746" s="20">
        <f>Разбивка_по_щитам!J2751</f>
      </c>
      <c r="H2746" s="20">
        <f>Разбивка_по_щитам!K2751</f>
      </c>
      <c r="I2746" s="20">
        <f>Разбивка_по_щитам!L2751</f>
      </c>
      <c r="J2746" s="20">
        <f>Разбивка_по_щитам!M2751</f>
      </c>
      <c r="K2746" s="20">
        <f>Разбивка_по_щитам!N2751</f>
      </c>
      <c r="L2746" s="20"/>
      <c r="M2746" s="20">
        <f>Разбивка_по_щитам!P2751</f>
      </c>
      <c r="N2746" s="20"/>
    </row>
    <row r="2747" spans="2:14" x14ac:dyDescent="0.25">
      <c r="B2747" s="20">
        <f>Разбивка_по_щитам!B2752</f>
      </c>
      <c r="C2747" s="20">
        <f>Разбивка_по_щитам!C2752</f>
      </c>
      <c r="D2747" s="20">
        <f>Разбивка_по_щитам!F2752</f>
      </c>
      <c r="E2747" s="20">
        <f>Разбивка_по_щитам!H2752</f>
      </c>
      <c r="F2747" s="20">
        <f>Разбивка_по_щитам!I2752</f>
      </c>
      <c r="G2747" s="20">
        <f>Разбивка_по_щитам!J2752</f>
      </c>
      <c r="H2747" s="20">
        <f>Разбивка_по_щитам!K2752</f>
      </c>
      <c r="I2747" s="20">
        <f>Разбивка_по_щитам!L2752</f>
      </c>
      <c r="J2747" s="20">
        <f>Разбивка_по_щитам!M2752</f>
      </c>
      <c r="K2747" s="20">
        <f>Разбивка_по_щитам!N2752</f>
      </c>
      <c r="L2747" s="20"/>
      <c r="M2747" s="20">
        <f>Разбивка_по_щитам!P2752</f>
      </c>
      <c r="N2747" s="20"/>
    </row>
    <row r="2748" spans="2:14" x14ac:dyDescent="0.25">
      <c r="B2748" s="20">
        <f>Разбивка_по_щитам!B2753</f>
      </c>
      <c r="C2748" s="20">
        <f>Разбивка_по_щитам!C2753</f>
      </c>
      <c r="D2748" s="20">
        <f>Разбивка_по_щитам!F2753</f>
      </c>
      <c r="E2748" s="20">
        <f>Разбивка_по_щитам!H2753</f>
      </c>
      <c r="F2748" s="20">
        <f>Разбивка_по_щитам!I2753</f>
      </c>
      <c r="G2748" s="20">
        <f>Разбивка_по_щитам!J2753</f>
      </c>
      <c r="H2748" s="20">
        <f>Разбивка_по_щитам!K2753</f>
      </c>
      <c r="I2748" s="20">
        <f>Разбивка_по_щитам!L2753</f>
      </c>
      <c r="J2748" s="20">
        <f>Разбивка_по_щитам!M2753</f>
      </c>
      <c r="K2748" s="20">
        <f>Разбивка_по_щитам!N2753</f>
      </c>
      <c r="L2748" s="20"/>
      <c r="M2748" s="20">
        <f>Разбивка_по_щитам!P2753</f>
      </c>
      <c r="N2748" s="20"/>
    </row>
    <row r="2749" spans="2:14" x14ac:dyDescent="0.25">
      <c r="B2749" s="20">
        <f>Разбивка_по_щитам!B2754</f>
      </c>
      <c r="C2749" s="20">
        <f>Разбивка_по_щитам!C2754</f>
      </c>
      <c r="D2749" s="20">
        <f>Разбивка_по_щитам!F2754</f>
      </c>
      <c r="E2749" s="20">
        <f>Разбивка_по_щитам!H2754</f>
      </c>
      <c r="F2749" s="20">
        <f>Разбивка_по_щитам!I2754</f>
      </c>
      <c r="G2749" s="20">
        <f>Разбивка_по_щитам!J2754</f>
      </c>
      <c r="H2749" s="20">
        <f>Разбивка_по_щитам!K2754</f>
      </c>
      <c r="I2749" s="20">
        <f>Разбивка_по_щитам!L2754</f>
      </c>
      <c r="J2749" s="20">
        <f>Разбивка_по_щитам!M2754</f>
      </c>
      <c r="K2749" s="20">
        <f>Разбивка_по_щитам!N2754</f>
      </c>
      <c r="L2749" s="20"/>
      <c r="M2749" s="20">
        <f>Разбивка_по_щитам!P2754</f>
      </c>
      <c r="N2749" s="20"/>
    </row>
    <row r="2750" spans="2:14" x14ac:dyDescent="0.25">
      <c r="B2750" s="20">
        <f>Разбивка_по_щитам!B2755</f>
      </c>
      <c r="C2750" s="20">
        <f>Разбивка_по_щитам!C2755</f>
      </c>
      <c r="D2750" s="20">
        <f>Разбивка_по_щитам!F2755</f>
      </c>
      <c r="E2750" s="20">
        <f>Разбивка_по_щитам!H2755</f>
      </c>
      <c r="F2750" s="20">
        <f>Разбивка_по_щитам!I2755</f>
      </c>
      <c r="G2750" s="20">
        <f>Разбивка_по_щитам!J2755</f>
      </c>
      <c r="H2750" s="20">
        <f>Разбивка_по_щитам!K2755</f>
      </c>
      <c r="I2750" s="20">
        <f>Разбивка_по_щитам!L2755</f>
      </c>
      <c r="J2750" s="20">
        <f>Разбивка_по_щитам!M2755</f>
      </c>
      <c r="K2750" s="20">
        <f>Разбивка_по_щитам!N2755</f>
      </c>
      <c r="L2750" s="20"/>
      <c r="M2750" s="20">
        <f>Разбивка_по_щитам!P2755</f>
      </c>
      <c r="N2750" s="20"/>
    </row>
    <row r="2751" spans="2:14" x14ac:dyDescent="0.25">
      <c r="B2751" s="20">
        <f>Разбивка_по_щитам!B2756</f>
      </c>
      <c r="C2751" s="20">
        <f>Разбивка_по_щитам!C2756</f>
      </c>
      <c r="D2751" s="20">
        <f>Разбивка_по_щитам!F2756</f>
      </c>
      <c r="E2751" s="20">
        <f>Разбивка_по_щитам!H2756</f>
      </c>
      <c r="F2751" s="20">
        <f>Разбивка_по_щитам!I2756</f>
      </c>
      <c r="G2751" s="20">
        <f>Разбивка_по_щитам!J2756</f>
      </c>
      <c r="H2751" s="20">
        <f>Разбивка_по_щитам!K2756</f>
      </c>
      <c r="I2751" s="20">
        <f>Разбивка_по_щитам!L2756</f>
      </c>
      <c r="J2751" s="20">
        <f>Разбивка_по_щитам!M2756</f>
      </c>
      <c r="K2751" s="20">
        <f>Разбивка_по_щитам!N2756</f>
      </c>
      <c r="L2751" s="20"/>
      <c r="M2751" s="20">
        <f>Разбивка_по_щитам!P2756</f>
      </c>
      <c r="N2751" s="20"/>
    </row>
    <row r="2752" spans="2:14" x14ac:dyDescent="0.25">
      <c r="B2752" s="20">
        <f>Разбивка_по_щитам!B2757</f>
      </c>
      <c r="C2752" s="20">
        <f>Разбивка_по_щитам!C2757</f>
      </c>
      <c r="D2752" s="20">
        <f>Разбивка_по_щитам!F2757</f>
      </c>
      <c r="E2752" s="20">
        <f>Разбивка_по_щитам!H2757</f>
      </c>
      <c r="F2752" s="20">
        <f>Разбивка_по_щитам!I2757</f>
      </c>
      <c r="G2752" s="20">
        <f>Разбивка_по_щитам!J2757</f>
      </c>
      <c r="H2752" s="20">
        <f>Разбивка_по_щитам!K2757</f>
      </c>
      <c r="I2752" s="20">
        <f>Разбивка_по_щитам!L2757</f>
      </c>
      <c r="J2752" s="20">
        <f>Разбивка_по_щитам!M2757</f>
      </c>
      <c r="K2752" s="20">
        <f>Разбивка_по_щитам!N2757</f>
      </c>
      <c r="L2752" s="20"/>
      <c r="M2752" s="20">
        <f>Разбивка_по_щитам!P2757</f>
      </c>
      <c r="N2752" s="20"/>
    </row>
    <row r="2753" spans="2:14" x14ac:dyDescent="0.25">
      <c r="B2753" s="20">
        <f>Разбивка_по_щитам!B2758</f>
      </c>
      <c r="C2753" s="20">
        <f>Разбивка_по_щитам!C2758</f>
      </c>
      <c r="D2753" s="20">
        <f>Разбивка_по_щитам!F2758</f>
      </c>
      <c r="E2753" s="20">
        <f>Разбивка_по_щитам!H2758</f>
      </c>
      <c r="F2753" s="20">
        <f>Разбивка_по_щитам!I2758</f>
      </c>
      <c r="G2753" s="20">
        <f>Разбивка_по_щитам!J2758</f>
      </c>
      <c r="H2753" s="20">
        <f>Разбивка_по_щитам!K2758</f>
      </c>
      <c r="I2753" s="20">
        <f>Разбивка_по_щитам!L2758</f>
      </c>
      <c r="J2753" s="20">
        <f>Разбивка_по_щитам!M2758</f>
      </c>
      <c r="K2753" s="20">
        <f>Разбивка_по_щитам!N2758</f>
      </c>
      <c r="L2753" s="20"/>
      <c r="M2753" s="20">
        <f>Разбивка_по_щитам!P2758</f>
      </c>
      <c r="N2753" s="20"/>
    </row>
    <row r="2754" spans="2:14" x14ac:dyDescent="0.25">
      <c r="B2754" s="20">
        <f>Разбивка_по_щитам!B2759</f>
      </c>
      <c r="C2754" s="20">
        <f>Разбивка_по_щитам!C2759</f>
      </c>
      <c r="D2754" s="20">
        <f>Разбивка_по_щитам!F2759</f>
      </c>
      <c r="E2754" s="20">
        <f>Разбивка_по_щитам!H2759</f>
      </c>
      <c r="F2754" s="20">
        <f>Разбивка_по_щитам!I2759</f>
      </c>
      <c r="G2754" s="20">
        <f>Разбивка_по_щитам!J2759</f>
      </c>
      <c r="H2754" s="20">
        <f>Разбивка_по_щитам!K2759</f>
      </c>
      <c r="I2754" s="20">
        <f>Разбивка_по_щитам!L2759</f>
      </c>
      <c r="J2754" s="20">
        <f>Разбивка_по_щитам!M2759</f>
      </c>
      <c r="K2754" s="20">
        <f>Разбивка_по_щитам!N2759</f>
      </c>
      <c r="L2754" s="20"/>
      <c r="M2754" s="20">
        <f>Разбивка_по_щитам!P2759</f>
      </c>
      <c r="N2754" s="20"/>
    </row>
    <row r="2755" spans="2:14" x14ac:dyDescent="0.25">
      <c r="B2755" s="20">
        <f>Разбивка_по_щитам!B2760</f>
      </c>
      <c r="C2755" s="20">
        <f>Разбивка_по_щитам!C2760</f>
      </c>
      <c r="D2755" s="20">
        <f>Разбивка_по_щитам!F2760</f>
      </c>
      <c r="E2755" s="20">
        <f>Разбивка_по_щитам!H2760</f>
      </c>
      <c r="F2755" s="20">
        <f>Разбивка_по_щитам!I2760</f>
      </c>
      <c r="G2755" s="20">
        <f>Разбивка_по_щитам!J2760</f>
      </c>
      <c r="H2755" s="20">
        <f>Разбивка_по_щитам!K2760</f>
      </c>
      <c r="I2755" s="20">
        <f>Разбивка_по_щитам!L2760</f>
      </c>
      <c r="J2755" s="20">
        <f>Разбивка_по_щитам!M2760</f>
      </c>
      <c r="K2755" s="20">
        <f>Разбивка_по_щитам!N2760</f>
      </c>
      <c r="L2755" s="20"/>
      <c r="M2755" s="20">
        <f>Разбивка_по_щитам!P2760</f>
      </c>
      <c r="N2755" s="20"/>
    </row>
    <row r="2756" spans="2:14" x14ac:dyDescent="0.25">
      <c r="B2756" s="20">
        <f>Разбивка_по_щитам!B2761</f>
      </c>
      <c r="C2756" s="20">
        <f>Разбивка_по_щитам!C2761</f>
      </c>
      <c r="D2756" s="20">
        <f>Разбивка_по_щитам!F2761</f>
      </c>
      <c r="E2756" s="20">
        <f>Разбивка_по_щитам!H2761</f>
      </c>
      <c r="F2756" s="20">
        <f>Разбивка_по_щитам!I2761</f>
      </c>
      <c r="G2756" s="20">
        <f>Разбивка_по_щитам!J2761</f>
      </c>
      <c r="H2756" s="20">
        <f>Разбивка_по_щитам!K2761</f>
      </c>
      <c r="I2756" s="20">
        <f>Разбивка_по_щитам!L2761</f>
      </c>
      <c r="J2756" s="20">
        <f>Разбивка_по_щитам!M2761</f>
      </c>
      <c r="K2756" s="20">
        <f>Разбивка_по_щитам!N2761</f>
      </c>
      <c r="L2756" s="20"/>
      <c r="M2756" s="20">
        <f>Разбивка_по_щитам!P2761</f>
      </c>
      <c r="N2756" s="20"/>
    </row>
    <row r="2757" spans="2:14" x14ac:dyDescent="0.25">
      <c r="B2757" s="20">
        <f>Разбивка_по_щитам!B2762</f>
      </c>
      <c r="C2757" s="20">
        <f>Разбивка_по_щитам!C2762</f>
      </c>
      <c r="D2757" s="20">
        <f>Разбивка_по_щитам!F2762</f>
      </c>
      <c r="E2757" s="20">
        <f>Разбивка_по_щитам!H2762</f>
      </c>
      <c r="F2757" s="20">
        <f>Разбивка_по_щитам!I2762</f>
      </c>
      <c r="G2757" s="20">
        <f>Разбивка_по_щитам!J2762</f>
      </c>
      <c r="H2757" s="20">
        <f>Разбивка_по_щитам!K2762</f>
      </c>
      <c r="I2757" s="20">
        <f>Разбивка_по_щитам!L2762</f>
      </c>
      <c r="J2757" s="20">
        <f>Разбивка_по_щитам!M2762</f>
      </c>
      <c r="K2757" s="20">
        <f>Разбивка_по_щитам!N2762</f>
      </c>
      <c r="L2757" s="20"/>
      <c r="M2757" s="20">
        <f>Разбивка_по_щитам!P2762</f>
      </c>
      <c r="N2757" s="20"/>
    </row>
    <row r="2758" spans="2:14" x14ac:dyDescent="0.25">
      <c r="B2758" s="20">
        <f>Разбивка_по_щитам!B2763</f>
      </c>
      <c r="C2758" s="20">
        <f>Разбивка_по_щитам!C2763</f>
      </c>
      <c r="D2758" s="20">
        <f>Разбивка_по_щитам!F2763</f>
      </c>
      <c r="E2758" s="20">
        <f>Разбивка_по_щитам!H2763</f>
      </c>
      <c r="F2758" s="20">
        <f>Разбивка_по_щитам!I2763</f>
      </c>
      <c r="G2758" s="20">
        <f>Разбивка_по_щитам!J2763</f>
      </c>
      <c r="H2758" s="20">
        <f>Разбивка_по_щитам!K2763</f>
      </c>
      <c r="I2758" s="20">
        <f>Разбивка_по_щитам!L2763</f>
      </c>
      <c r="J2758" s="20">
        <f>Разбивка_по_щитам!M2763</f>
      </c>
      <c r="K2758" s="20">
        <f>Разбивка_по_щитам!N2763</f>
      </c>
      <c r="L2758" s="20"/>
      <c r="M2758" s="20">
        <f>Разбивка_по_щитам!P2763</f>
      </c>
      <c r="N2758" s="20"/>
    </row>
    <row r="2759" spans="2:14" x14ac:dyDescent="0.25">
      <c r="B2759" s="20">
        <f>Разбивка_по_щитам!B2764</f>
      </c>
      <c r="C2759" s="20">
        <f>Разбивка_по_щитам!C2764</f>
      </c>
      <c r="D2759" s="20">
        <f>Разбивка_по_щитам!F2764</f>
      </c>
      <c r="E2759" s="20">
        <f>Разбивка_по_щитам!H2764</f>
      </c>
      <c r="F2759" s="20">
        <f>Разбивка_по_щитам!I2764</f>
      </c>
      <c r="G2759" s="20">
        <f>Разбивка_по_щитам!J2764</f>
      </c>
      <c r="H2759" s="20">
        <f>Разбивка_по_щитам!K2764</f>
      </c>
      <c r="I2759" s="20">
        <f>Разбивка_по_щитам!L2764</f>
      </c>
      <c r="J2759" s="20">
        <f>Разбивка_по_щитам!M2764</f>
      </c>
      <c r="K2759" s="20">
        <f>Разбивка_по_щитам!N2764</f>
      </c>
      <c r="L2759" s="20"/>
      <c r="M2759" s="20">
        <f>Разбивка_по_щитам!P2764</f>
      </c>
      <c r="N2759" s="20"/>
    </row>
    <row r="2760" spans="2:14" x14ac:dyDescent="0.25">
      <c r="B2760" s="20">
        <f>Разбивка_по_щитам!B2765</f>
      </c>
      <c r="C2760" s="20">
        <f>Разбивка_по_щитам!C2765</f>
      </c>
      <c r="D2760" s="20">
        <f>Разбивка_по_щитам!F2765</f>
      </c>
      <c r="E2760" s="20">
        <f>Разбивка_по_щитам!H2765</f>
      </c>
      <c r="F2760" s="20">
        <f>Разбивка_по_щитам!I2765</f>
      </c>
      <c r="G2760" s="20">
        <f>Разбивка_по_щитам!J2765</f>
      </c>
      <c r="H2760" s="20">
        <f>Разбивка_по_щитам!K2765</f>
      </c>
      <c r="I2760" s="20">
        <f>Разбивка_по_щитам!L2765</f>
      </c>
      <c r="J2760" s="20">
        <f>Разбивка_по_щитам!M2765</f>
      </c>
      <c r="K2760" s="20">
        <f>Разбивка_по_щитам!N2765</f>
      </c>
      <c r="L2760" s="20"/>
      <c r="M2760" s="20">
        <f>Разбивка_по_щитам!P2765</f>
      </c>
      <c r="N2760" s="20"/>
    </row>
    <row r="2761" spans="2:14" x14ac:dyDescent="0.25">
      <c r="B2761" s="20">
        <f>Разбивка_по_щитам!B2766</f>
      </c>
      <c r="C2761" s="20">
        <f>Разбивка_по_щитам!C2766</f>
      </c>
      <c r="D2761" s="20">
        <f>Разбивка_по_щитам!F2766</f>
      </c>
      <c r="E2761" s="20">
        <f>Разбивка_по_щитам!H2766</f>
      </c>
      <c r="F2761" s="20">
        <f>Разбивка_по_щитам!I2766</f>
      </c>
      <c r="G2761" s="20">
        <f>Разбивка_по_щитам!J2766</f>
      </c>
      <c r="H2761" s="20">
        <f>Разбивка_по_щитам!K2766</f>
      </c>
      <c r="I2761" s="20">
        <f>Разбивка_по_щитам!L2766</f>
      </c>
      <c r="J2761" s="20">
        <f>Разбивка_по_щитам!M2766</f>
      </c>
      <c r="K2761" s="20">
        <f>Разбивка_по_щитам!N2766</f>
      </c>
      <c r="L2761" s="20"/>
      <c r="M2761" s="20">
        <f>Разбивка_по_щитам!P2766</f>
      </c>
      <c r="N2761" s="20"/>
    </row>
    <row r="2762" spans="2:14" x14ac:dyDescent="0.25">
      <c r="B2762" s="20">
        <f>Разбивка_по_щитам!B2767</f>
      </c>
      <c r="C2762" s="20">
        <f>Разбивка_по_щитам!C2767</f>
      </c>
      <c r="D2762" s="20">
        <f>Разбивка_по_щитам!F2767</f>
      </c>
      <c r="E2762" s="20">
        <f>Разбивка_по_щитам!H2767</f>
      </c>
      <c r="F2762" s="20">
        <f>Разбивка_по_щитам!I2767</f>
      </c>
      <c r="G2762" s="20">
        <f>Разбивка_по_щитам!J2767</f>
      </c>
      <c r="H2762" s="20">
        <f>Разбивка_по_щитам!K2767</f>
      </c>
      <c r="I2762" s="20">
        <f>Разбивка_по_щитам!L2767</f>
      </c>
      <c r="J2762" s="20">
        <f>Разбивка_по_щитам!M2767</f>
      </c>
      <c r="K2762" s="20">
        <f>Разбивка_по_щитам!N2767</f>
      </c>
      <c r="L2762" s="20"/>
      <c r="M2762" s="20">
        <f>Разбивка_по_щитам!P2767</f>
      </c>
      <c r="N2762" s="20"/>
    </row>
    <row r="2763" spans="2:14" x14ac:dyDescent="0.25">
      <c r="B2763" s="20">
        <f>Разбивка_по_щитам!B2768</f>
      </c>
      <c r="C2763" s="20">
        <f>Разбивка_по_щитам!C2768</f>
      </c>
      <c r="D2763" s="20">
        <f>Разбивка_по_щитам!F2768</f>
      </c>
      <c r="E2763" s="20">
        <f>Разбивка_по_щитам!H2768</f>
      </c>
      <c r="F2763" s="20">
        <f>Разбивка_по_щитам!I2768</f>
      </c>
      <c r="G2763" s="20">
        <f>Разбивка_по_щитам!J2768</f>
      </c>
      <c r="H2763" s="20">
        <f>Разбивка_по_щитам!K2768</f>
      </c>
      <c r="I2763" s="20">
        <f>Разбивка_по_щитам!L2768</f>
      </c>
      <c r="J2763" s="20">
        <f>Разбивка_по_щитам!M2768</f>
      </c>
      <c r="K2763" s="20">
        <f>Разбивка_по_щитам!N2768</f>
      </c>
      <c r="L2763" s="20"/>
      <c r="M2763" s="20">
        <f>Разбивка_по_щитам!P2768</f>
      </c>
      <c r="N2763" s="20"/>
    </row>
    <row r="2764" spans="2:14" x14ac:dyDescent="0.25">
      <c r="B2764" s="20">
        <f>Разбивка_по_щитам!B2769</f>
      </c>
      <c r="C2764" s="20">
        <f>Разбивка_по_щитам!C2769</f>
      </c>
      <c r="D2764" s="20">
        <f>Разбивка_по_щитам!F2769</f>
      </c>
      <c r="E2764" s="20">
        <f>Разбивка_по_щитам!H2769</f>
      </c>
      <c r="F2764" s="20">
        <f>Разбивка_по_щитам!I2769</f>
      </c>
      <c r="G2764" s="20">
        <f>Разбивка_по_щитам!J2769</f>
      </c>
      <c r="H2764" s="20">
        <f>Разбивка_по_щитам!K2769</f>
      </c>
      <c r="I2764" s="20">
        <f>Разбивка_по_щитам!L2769</f>
      </c>
      <c r="J2764" s="20">
        <f>Разбивка_по_щитам!M2769</f>
      </c>
      <c r="K2764" s="20">
        <f>Разбивка_по_щитам!N2769</f>
      </c>
      <c r="L2764" s="20"/>
      <c r="M2764" s="20">
        <f>Разбивка_по_щитам!P2769</f>
      </c>
      <c r="N2764" s="20"/>
    </row>
    <row r="2765" spans="2:14" x14ac:dyDescent="0.25">
      <c r="B2765" s="20">
        <f>Разбивка_по_щитам!B2770</f>
      </c>
      <c r="C2765" s="20">
        <f>Разбивка_по_щитам!C2770</f>
      </c>
      <c r="D2765" s="20">
        <f>Разбивка_по_щитам!F2770</f>
      </c>
      <c r="E2765" s="20">
        <f>Разбивка_по_щитам!H2770</f>
      </c>
      <c r="F2765" s="20">
        <f>Разбивка_по_щитам!I2770</f>
      </c>
      <c r="G2765" s="20">
        <f>Разбивка_по_щитам!J2770</f>
      </c>
      <c r="H2765" s="20">
        <f>Разбивка_по_щитам!K2770</f>
      </c>
      <c r="I2765" s="20">
        <f>Разбивка_по_щитам!L2770</f>
      </c>
      <c r="J2765" s="20">
        <f>Разбивка_по_щитам!M2770</f>
      </c>
      <c r="K2765" s="20">
        <f>Разбивка_по_щитам!N2770</f>
      </c>
      <c r="L2765" s="20"/>
      <c r="M2765" s="20">
        <f>Разбивка_по_щитам!P2770</f>
      </c>
      <c r="N2765" s="20"/>
    </row>
    <row r="2766" spans="2:14" x14ac:dyDescent="0.25">
      <c r="B2766" s="20">
        <f>Разбивка_по_щитам!B2771</f>
      </c>
      <c r="C2766" s="20">
        <f>Разбивка_по_щитам!C2771</f>
      </c>
      <c r="D2766" s="20">
        <f>Разбивка_по_щитам!F2771</f>
      </c>
      <c r="E2766" s="20">
        <f>Разбивка_по_щитам!H2771</f>
      </c>
      <c r="F2766" s="20">
        <f>Разбивка_по_щитам!I2771</f>
      </c>
      <c r="G2766" s="20">
        <f>Разбивка_по_щитам!J2771</f>
      </c>
      <c r="H2766" s="20">
        <f>Разбивка_по_щитам!K2771</f>
      </c>
      <c r="I2766" s="20">
        <f>Разбивка_по_щитам!L2771</f>
      </c>
      <c r="J2766" s="20">
        <f>Разбивка_по_щитам!M2771</f>
      </c>
      <c r="K2766" s="20">
        <f>Разбивка_по_щитам!N2771</f>
      </c>
      <c r="L2766" s="20"/>
      <c r="M2766" s="20">
        <f>Разбивка_по_щитам!P2771</f>
      </c>
      <c r="N2766" s="20"/>
    </row>
    <row r="2767" spans="2:14" x14ac:dyDescent="0.25">
      <c r="B2767" s="20">
        <f>Разбивка_по_щитам!B2772</f>
      </c>
      <c r="C2767" s="20">
        <f>Разбивка_по_щитам!C2772</f>
      </c>
      <c r="D2767" s="20">
        <f>Разбивка_по_щитам!F2772</f>
      </c>
      <c r="E2767" s="20">
        <f>Разбивка_по_щитам!H2772</f>
      </c>
      <c r="F2767" s="20">
        <f>Разбивка_по_щитам!I2772</f>
      </c>
      <c r="G2767" s="20">
        <f>Разбивка_по_щитам!J2772</f>
      </c>
      <c r="H2767" s="20">
        <f>Разбивка_по_щитам!K2772</f>
      </c>
      <c r="I2767" s="20">
        <f>Разбивка_по_щитам!L2772</f>
      </c>
      <c r="J2767" s="20">
        <f>Разбивка_по_щитам!M2772</f>
      </c>
      <c r="K2767" s="20">
        <f>Разбивка_по_щитам!N2772</f>
      </c>
      <c r="L2767" s="20"/>
      <c r="M2767" s="20">
        <f>Разбивка_по_щитам!P2772</f>
      </c>
      <c r="N2767" s="20"/>
    </row>
    <row r="2768" spans="2:14" x14ac:dyDescent="0.25">
      <c r="B2768" s="20">
        <f>Разбивка_по_щитам!B2773</f>
      </c>
      <c r="C2768" s="20">
        <f>Разбивка_по_щитам!C2773</f>
      </c>
      <c r="D2768" s="20">
        <f>Разбивка_по_щитам!F2773</f>
      </c>
      <c r="E2768" s="20">
        <f>Разбивка_по_щитам!H2773</f>
      </c>
      <c r="F2768" s="20">
        <f>Разбивка_по_щитам!I2773</f>
      </c>
      <c r="G2768" s="20">
        <f>Разбивка_по_щитам!J2773</f>
      </c>
      <c r="H2768" s="20">
        <f>Разбивка_по_щитам!K2773</f>
      </c>
      <c r="I2768" s="20">
        <f>Разбивка_по_щитам!L2773</f>
      </c>
      <c r="J2768" s="20">
        <f>Разбивка_по_щитам!M2773</f>
      </c>
      <c r="K2768" s="20">
        <f>Разбивка_по_щитам!N2773</f>
      </c>
      <c r="L2768" s="20"/>
      <c r="M2768" s="20">
        <f>Разбивка_по_щитам!P2773</f>
      </c>
      <c r="N2768" s="20"/>
    </row>
    <row r="2769" spans="2:14" x14ac:dyDescent="0.25">
      <c r="B2769" s="20">
        <f>Разбивка_по_щитам!B2774</f>
      </c>
      <c r="C2769" s="20">
        <f>Разбивка_по_щитам!C2774</f>
      </c>
      <c r="D2769" s="20">
        <f>Разбивка_по_щитам!F2774</f>
      </c>
      <c r="E2769" s="20">
        <f>Разбивка_по_щитам!H2774</f>
      </c>
      <c r="F2769" s="20">
        <f>Разбивка_по_щитам!I2774</f>
      </c>
      <c r="G2769" s="20">
        <f>Разбивка_по_щитам!J2774</f>
      </c>
      <c r="H2769" s="20">
        <f>Разбивка_по_щитам!K2774</f>
      </c>
      <c r="I2769" s="20">
        <f>Разбивка_по_щитам!L2774</f>
      </c>
      <c r="J2769" s="20">
        <f>Разбивка_по_щитам!M2774</f>
      </c>
      <c r="K2769" s="20">
        <f>Разбивка_по_щитам!N2774</f>
      </c>
      <c r="L2769" s="20"/>
      <c r="M2769" s="20">
        <f>Разбивка_по_щитам!P2774</f>
      </c>
      <c r="N2769" s="20"/>
    </row>
    <row r="2770" spans="2:14" x14ac:dyDescent="0.25">
      <c r="B2770" s="20">
        <f>Разбивка_по_щитам!B2775</f>
      </c>
      <c r="C2770" s="20">
        <f>Разбивка_по_щитам!C2775</f>
      </c>
      <c r="D2770" s="20">
        <f>Разбивка_по_щитам!F2775</f>
      </c>
      <c r="E2770" s="20">
        <f>Разбивка_по_щитам!H2775</f>
      </c>
      <c r="F2770" s="20">
        <f>Разбивка_по_щитам!I2775</f>
      </c>
      <c r="G2770" s="20">
        <f>Разбивка_по_щитам!J2775</f>
      </c>
      <c r="H2770" s="20">
        <f>Разбивка_по_щитам!K2775</f>
      </c>
      <c r="I2770" s="20">
        <f>Разбивка_по_щитам!L2775</f>
      </c>
      <c r="J2770" s="20">
        <f>Разбивка_по_щитам!M2775</f>
      </c>
      <c r="K2770" s="20">
        <f>Разбивка_по_щитам!N2775</f>
      </c>
      <c r="L2770" s="20"/>
      <c r="M2770" s="20">
        <f>Разбивка_по_щитам!P2775</f>
      </c>
      <c r="N2770" s="20"/>
    </row>
    <row r="2771" spans="2:14" x14ac:dyDescent="0.25">
      <c r="B2771" s="20">
        <f>Разбивка_по_щитам!B2776</f>
      </c>
      <c r="C2771" s="20">
        <f>Разбивка_по_щитам!C2776</f>
      </c>
      <c r="D2771" s="20">
        <f>Разбивка_по_щитам!F2776</f>
      </c>
      <c r="E2771" s="20">
        <f>Разбивка_по_щитам!H2776</f>
      </c>
      <c r="F2771" s="20">
        <f>Разбивка_по_щитам!I2776</f>
      </c>
      <c r="G2771" s="20">
        <f>Разбивка_по_щитам!J2776</f>
      </c>
      <c r="H2771" s="20">
        <f>Разбивка_по_щитам!K2776</f>
      </c>
      <c r="I2771" s="20">
        <f>Разбивка_по_щитам!L2776</f>
      </c>
      <c r="J2771" s="20">
        <f>Разбивка_по_щитам!M2776</f>
      </c>
      <c r="K2771" s="20">
        <f>Разбивка_по_щитам!N2776</f>
      </c>
      <c r="L2771" s="20"/>
      <c r="M2771" s="20">
        <f>Разбивка_по_щитам!P2776</f>
      </c>
      <c r="N2771" s="20"/>
    </row>
    <row r="2772" spans="2:14" x14ac:dyDescent="0.25">
      <c r="B2772" s="20">
        <f>Разбивка_по_щитам!B2777</f>
      </c>
      <c r="C2772" s="20">
        <f>Разбивка_по_щитам!C2777</f>
      </c>
      <c r="D2772" s="20">
        <f>Разбивка_по_щитам!F2777</f>
      </c>
      <c r="E2772" s="20">
        <f>Разбивка_по_щитам!H2777</f>
      </c>
      <c r="F2772" s="20">
        <f>Разбивка_по_щитам!I2777</f>
      </c>
      <c r="G2772" s="20">
        <f>Разбивка_по_щитам!J2777</f>
      </c>
      <c r="H2772" s="20">
        <f>Разбивка_по_щитам!K2777</f>
      </c>
      <c r="I2772" s="20">
        <f>Разбивка_по_щитам!L2777</f>
      </c>
      <c r="J2772" s="20">
        <f>Разбивка_по_щитам!M2777</f>
      </c>
      <c r="K2772" s="20">
        <f>Разбивка_по_щитам!N2777</f>
      </c>
      <c r="L2772" s="20"/>
      <c r="M2772" s="20">
        <f>Разбивка_по_щитам!P2777</f>
      </c>
      <c r="N2772" s="20"/>
    </row>
    <row r="2773" spans="2:14" x14ac:dyDescent="0.25">
      <c r="B2773" s="20">
        <f>Разбивка_по_щитам!B2778</f>
      </c>
      <c r="C2773" s="20">
        <f>Разбивка_по_щитам!C2778</f>
      </c>
      <c r="D2773" s="20">
        <f>Разбивка_по_щитам!F2778</f>
      </c>
      <c r="E2773" s="20">
        <f>Разбивка_по_щитам!H2778</f>
      </c>
      <c r="F2773" s="20">
        <f>Разбивка_по_щитам!I2778</f>
      </c>
      <c r="G2773" s="20">
        <f>Разбивка_по_щитам!J2778</f>
      </c>
      <c r="H2773" s="20">
        <f>Разбивка_по_щитам!K2778</f>
      </c>
      <c r="I2773" s="20">
        <f>Разбивка_по_щитам!L2778</f>
      </c>
      <c r="J2773" s="20">
        <f>Разбивка_по_щитам!M2778</f>
      </c>
      <c r="K2773" s="20">
        <f>Разбивка_по_щитам!N2778</f>
      </c>
      <c r="L2773" s="20"/>
      <c r="M2773" s="20">
        <f>Разбивка_по_щитам!P2778</f>
      </c>
      <c r="N2773" s="20"/>
    </row>
    <row r="2774" spans="2:14" x14ac:dyDescent="0.25">
      <c r="B2774" s="20">
        <f>Разбивка_по_щитам!B2779</f>
      </c>
      <c r="C2774" s="20">
        <f>Разбивка_по_щитам!C2779</f>
      </c>
      <c r="D2774" s="20">
        <f>Разбивка_по_щитам!F2779</f>
      </c>
      <c r="E2774" s="20">
        <f>Разбивка_по_щитам!H2779</f>
      </c>
      <c r="F2774" s="20">
        <f>Разбивка_по_щитам!I2779</f>
      </c>
      <c r="G2774" s="20">
        <f>Разбивка_по_щитам!J2779</f>
      </c>
      <c r="H2774" s="20">
        <f>Разбивка_по_щитам!K2779</f>
      </c>
      <c r="I2774" s="20">
        <f>Разбивка_по_щитам!L2779</f>
      </c>
      <c r="J2774" s="20">
        <f>Разбивка_по_щитам!M2779</f>
      </c>
      <c r="K2774" s="20">
        <f>Разбивка_по_щитам!N2779</f>
      </c>
      <c r="L2774" s="20"/>
      <c r="M2774" s="20">
        <f>Разбивка_по_щитам!P2779</f>
      </c>
      <c r="N2774" s="20"/>
    </row>
    <row r="2775" spans="2:14" x14ac:dyDescent="0.25">
      <c r="B2775" s="20">
        <f>Разбивка_по_щитам!B2780</f>
      </c>
      <c r="C2775" s="20">
        <f>Разбивка_по_щитам!C2780</f>
      </c>
      <c r="D2775" s="20">
        <f>Разбивка_по_щитам!F2780</f>
      </c>
      <c r="E2775" s="20">
        <f>Разбивка_по_щитам!H2780</f>
      </c>
      <c r="F2775" s="20">
        <f>Разбивка_по_щитам!I2780</f>
      </c>
      <c r="G2775" s="20">
        <f>Разбивка_по_щитам!J2780</f>
      </c>
      <c r="H2775" s="20">
        <f>Разбивка_по_щитам!K2780</f>
      </c>
      <c r="I2775" s="20">
        <f>Разбивка_по_щитам!L2780</f>
      </c>
      <c r="J2775" s="20">
        <f>Разбивка_по_щитам!M2780</f>
      </c>
      <c r="K2775" s="20">
        <f>Разбивка_по_щитам!N2780</f>
      </c>
      <c r="L2775" s="20"/>
      <c r="M2775" s="20">
        <f>Разбивка_по_щитам!P2780</f>
      </c>
      <c r="N2775" s="20"/>
    </row>
    <row r="2776" spans="2:14" x14ac:dyDescent="0.25">
      <c r="B2776" s="20">
        <f>Разбивка_по_щитам!B2781</f>
      </c>
      <c r="C2776" s="20">
        <f>Разбивка_по_щитам!C2781</f>
      </c>
      <c r="D2776" s="20">
        <f>Разбивка_по_щитам!F2781</f>
      </c>
      <c r="E2776" s="20">
        <f>Разбивка_по_щитам!H2781</f>
      </c>
      <c r="F2776" s="20">
        <f>Разбивка_по_щитам!I2781</f>
      </c>
      <c r="G2776" s="20">
        <f>Разбивка_по_щитам!J2781</f>
      </c>
      <c r="H2776" s="20">
        <f>Разбивка_по_щитам!K2781</f>
      </c>
      <c r="I2776" s="20">
        <f>Разбивка_по_щитам!L2781</f>
      </c>
      <c r="J2776" s="20">
        <f>Разбивка_по_щитам!M2781</f>
      </c>
      <c r="K2776" s="20">
        <f>Разбивка_по_щитам!N2781</f>
      </c>
      <c r="L2776" s="20"/>
      <c r="M2776" s="20">
        <f>Разбивка_по_щитам!P2781</f>
      </c>
      <c r="N2776" s="20"/>
    </row>
    <row r="2777" spans="2:14" x14ac:dyDescent="0.25">
      <c r="B2777" s="20">
        <f>Разбивка_по_щитам!B2782</f>
      </c>
      <c r="C2777" s="20">
        <f>Разбивка_по_щитам!C2782</f>
      </c>
      <c r="D2777" s="20">
        <f>Разбивка_по_щитам!F2782</f>
      </c>
      <c r="E2777" s="20">
        <f>Разбивка_по_щитам!H2782</f>
      </c>
      <c r="F2777" s="20">
        <f>Разбивка_по_щитам!I2782</f>
      </c>
      <c r="G2777" s="20">
        <f>Разбивка_по_щитам!J2782</f>
      </c>
      <c r="H2777" s="20">
        <f>Разбивка_по_щитам!K2782</f>
      </c>
      <c r="I2777" s="20">
        <f>Разбивка_по_щитам!L2782</f>
      </c>
      <c r="J2777" s="20">
        <f>Разбивка_по_щитам!M2782</f>
      </c>
      <c r="K2777" s="20">
        <f>Разбивка_по_щитам!N2782</f>
      </c>
      <c r="L2777" s="20"/>
      <c r="M2777" s="20">
        <f>Разбивка_по_щитам!P2782</f>
      </c>
      <c r="N2777" s="20"/>
    </row>
    <row r="2778" spans="2:14" x14ac:dyDescent="0.25">
      <c r="B2778" s="20">
        <f>Разбивка_по_щитам!B2783</f>
      </c>
      <c r="C2778" s="20">
        <f>Разбивка_по_щитам!C2783</f>
      </c>
      <c r="D2778" s="20">
        <f>Разбивка_по_щитам!F2783</f>
      </c>
      <c r="E2778" s="20">
        <f>Разбивка_по_щитам!H2783</f>
      </c>
      <c r="F2778" s="20">
        <f>Разбивка_по_щитам!I2783</f>
      </c>
      <c r="G2778" s="20">
        <f>Разбивка_по_щитам!J2783</f>
      </c>
      <c r="H2778" s="20">
        <f>Разбивка_по_щитам!K2783</f>
      </c>
      <c r="I2778" s="20">
        <f>Разбивка_по_щитам!L2783</f>
      </c>
      <c r="J2778" s="20">
        <f>Разбивка_по_щитам!M2783</f>
      </c>
      <c r="K2778" s="20">
        <f>Разбивка_по_щитам!N2783</f>
      </c>
      <c r="L2778" s="20"/>
      <c r="M2778" s="20">
        <f>Разбивка_по_щитам!P2783</f>
      </c>
      <c r="N2778" s="20"/>
    </row>
    <row r="2779" spans="2:14" x14ac:dyDescent="0.25">
      <c r="B2779" s="20">
        <f>Разбивка_по_щитам!B2784</f>
      </c>
      <c r="C2779" s="20">
        <f>Разбивка_по_щитам!C2784</f>
      </c>
      <c r="D2779" s="20">
        <f>Разбивка_по_щитам!F2784</f>
      </c>
      <c r="E2779" s="20">
        <f>Разбивка_по_щитам!H2784</f>
      </c>
      <c r="F2779" s="20">
        <f>Разбивка_по_щитам!I2784</f>
      </c>
      <c r="G2779" s="20">
        <f>Разбивка_по_щитам!J2784</f>
      </c>
      <c r="H2779" s="20">
        <f>Разбивка_по_щитам!K2784</f>
      </c>
      <c r="I2779" s="20">
        <f>Разбивка_по_щитам!L2784</f>
      </c>
      <c r="J2779" s="20">
        <f>Разбивка_по_щитам!M2784</f>
      </c>
      <c r="K2779" s="20">
        <f>Разбивка_по_щитам!N2784</f>
      </c>
      <c r="L2779" s="20"/>
      <c r="M2779" s="20">
        <f>Разбивка_по_щитам!P2784</f>
      </c>
      <c r="N2779" s="20"/>
    </row>
    <row r="2780" spans="2:14" x14ac:dyDescent="0.25">
      <c r="B2780" s="20">
        <f>Разбивка_по_щитам!B2785</f>
      </c>
      <c r="C2780" s="20">
        <f>Разбивка_по_щитам!C2785</f>
      </c>
      <c r="D2780" s="20">
        <f>Разбивка_по_щитам!F2785</f>
      </c>
      <c r="E2780" s="20">
        <f>Разбивка_по_щитам!H2785</f>
      </c>
      <c r="F2780" s="20">
        <f>Разбивка_по_щитам!I2785</f>
      </c>
      <c r="G2780" s="20">
        <f>Разбивка_по_щитам!J2785</f>
      </c>
      <c r="H2780" s="20">
        <f>Разбивка_по_щитам!K2785</f>
      </c>
      <c r="I2780" s="20">
        <f>Разбивка_по_щитам!L2785</f>
      </c>
      <c r="J2780" s="20">
        <f>Разбивка_по_щитам!M2785</f>
      </c>
      <c r="K2780" s="20">
        <f>Разбивка_по_щитам!N2785</f>
      </c>
      <c r="L2780" s="20"/>
      <c r="M2780" s="20">
        <f>Разбивка_по_щитам!P2785</f>
      </c>
      <c r="N2780" s="20"/>
    </row>
    <row r="2781" spans="2:14" x14ac:dyDescent="0.25">
      <c r="B2781" s="20">
        <f>Разбивка_по_щитам!B2786</f>
      </c>
      <c r="C2781" s="20">
        <f>Разбивка_по_щитам!C2786</f>
      </c>
      <c r="D2781" s="20">
        <f>Разбивка_по_щитам!F2786</f>
      </c>
      <c r="E2781" s="20">
        <f>Разбивка_по_щитам!H2786</f>
      </c>
      <c r="F2781" s="20">
        <f>Разбивка_по_щитам!I2786</f>
      </c>
      <c r="G2781" s="20">
        <f>Разбивка_по_щитам!J2786</f>
      </c>
      <c r="H2781" s="20">
        <f>Разбивка_по_щитам!K2786</f>
      </c>
      <c r="I2781" s="20">
        <f>Разбивка_по_щитам!L2786</f>
      </c>
      <c r="J2781" s="20">
        <f>Разбивка_по_щитам!M2786</f>
      </c>
      <c r="K2781" s="20">
        <f>Разбивка_по_щитам!N2786</f>
      </c>
      <c r="L2781" s="20"/>
      <c r="M2781" s="20">
        <f>Разбивка_по_щитам!P2786</f>
      </c>
      <c r="N2781" s="20"/>
    </row>
    <row r="2782" spans="2:14" x14ac:dyDescent="0.25">
      <c r="B2782" s="20">
        <f>Разбивка_по_щитам!B2787</f>
      </c>
      <c r="C2782" s="20">
        <f>Разбивка_по_щитам!C2787</f>
      </c>
      <c r="D2782" s="20">
        <f>Разбивка_по_щитам!F2787</f>
      </c>
      <c r="E2782" s="20">
        <f>Разбивка_по_щитам!H2787</f>
      </c>
      <c r="F2782" s="20">
        <f>Разбивка_по_щитам!I2787</f>
      </c>
      <c r="G2782" s="20">
        <f>Разбивка_по_щитам!J2787</f>
      </c>
      <c r="H2782" s="20">
        <f>Разбивка_по_щитам!K2787</f>
      </c>
      <c r="I2782" s="20">
        <f>Разбивка_по_щитам!L2787</f>
      </c>
      <c r="J2782" s="20">
        <f>Разбивка_по_щитам!M2787</f>
      </c>
      <c r="K2782" s="20">
        <f>Разбивка_по_щитам!N2787</f>
      </c>
      <c r="L2782" s="20"/>
      <c r="M2782" s="20">
        <f>Разбивка_по_щитам!P2787</f>
      </c>
      <c r="N2782" s="20"/>
    </row>
    <row r="2783" spans="2:14" x14ac:dyDescent="0.25">
      <c r="B2783" s="20">
        <f>Разбивка_по_щитам!B2788</f>
      </c>
      <c r="C2783" s="20">
        <f>Разбивка_по_щитам!C2788</f>
      </c>
      <c r="D2783" s="20">
        <f>Разбивка_по_щитам!F2788</f>
      </c>
      <c r="E2783" s="20">
        <f>Разбивка_по_щитам!H2788</f>
      </c>
      <c r="F2783" s="20">
        <f>Разбивка_по_щитам!I2788</f>
      </c>
      <c r="G2783" s="20">
        <f>Разбивка_по_щитам!J2788</f>
      </c>
      <c r="H2783" s="20">
        <f>Разбивка_по_щитам!K2788</f>
      </c>
      <c r="I2783" s="20">
        <f>Разбивка_по_щитам!L2788</f>
      </c>
      <c r="J2783" s="20">
        <f>Разбивка_по_щитам!M2788</f>
      </c>
      <c r="K2783" s="20">
        <f>Разбивка_по_щитам!N2788</f>
      </c>
      <c r="L2783" s="20"/>
      <c r="M2783" s="20">
        <f>Разбивка_по_щитам!P2788</f>
      </c>
      <c r="N2783" s="20"/>
    </row>
    <row r="2784" spans="2:14" x14ac:dyDescent="0.25">
      <c r="B2784" s="20">
        <f>Разбивка_по_щитам!B2789</f>
      </c>
      <c r="C2784" s="20">
        <f>Разбивка_по_щитам!C2789</f>
      </c>
      <c r="D2784" s="20">
        <f>Разбивка_по_щитам!F2789</f>
      </c>
      <c r="E2784" s="20">
        <f>Разбивка_по_щитам!H2789</f>
      </c>
      <c r="F2784" s="20">
        <f>Разбивка_по_щитам!I2789</f>
      </c>
      <c r="G2784" s="20">
        <f>Разбивка_по_щитам!J2789</f>
      </c>
      <c r="H2784" s="20">
        <f>Разбивка_по_щитам!K2789</f>
      </c>
      <c r="I2784" s="20">
        <f>Разбивка_по_щитам!L2789</f>
      </c>
      <c r="J2784" s="20">
        <f>Разбивка_по_щитам!M2789</f>
      </c>
      <c r="K2784" s="20">
        <f>Разбивка_по_щитам!N2789</f>
      </c>
      <c r="L2784" s="20"/>
      <c r="M2784" s="20">
        <f>Разбивка_по_щитам!P2789</f>
      </c>
      <c r="N2784" s="20"/>
    </row>
    <row r="2785" spans="2:14" x14ac:dyDescent="0.25">
      <c r="B2785" s="20">
        <f>Разбивка_по_щитам!B2790</f>
      </c>
      <c r="C2785" s="20">
        <f>Разбивка_по_щитам!C2790</f>
      </c>
      <c r="D2785" s="20">
        <f>Разбивка_по_щитам!F2790</f>
      </c>
      <c r="E2785" s="20">
        <f>Разбивка_по_щитам!H2790</f>
      </c>
      <c r="F2785" s="20">
        <f>Разбивка_по_щитам!I2790</f>
      </c>
      <c r="G2785" s="20">
        <f>Разбивка_по_щитам!J2790</f>
      </c>
      <c r="H2785" s="20">
        <f>Разбивка_по_щитам!K2790</f>
      </c>
      <c r="I2785" s="20">
        <f>Разбивка_по_щитам!L2790</f>
      </c>
      <c r="J2785" s="20">
        <f>Разбивка_по_щитам!M2790</f>
      </c>
      <c r="K2785" s="20">
        <f>Разбивка_по_щитам!N2790</f>
      </c>
      <c r="L2785" s="20"/>
      <c r="M2785" s="20">
        <f>Разбивка_по_щитам!P2790</f>
      </c>
      <c r="N2785" s="20"/>
    </row>
    <row r="2786" spans="2:14" x14ac:dyDescent="0.25">
      <c r="B2786" s="20">
        <f>Разбивка_по_щитам!B2791</f>
      </c>
      <c r="C2786" s="20">
        <f>Разбивка_по_щитам!C2791</f>
      </c>
      <c r="D2786" s="20">
        <f>Разбивка_по_щитам!F2791</f>
      </c>
      <c r="E2786" s="20">
        <f>Разбивка_по_щитам!H2791</f>
      </c>
      <c r="F2786" s="20">
        <f>Разбивка_по_щитам!I2791</f>
      </c>
      <c r="G2786" s="20">
        <f>Разбивка_по_щитам!J2791</f>
      </c>
      <c r="H2786" s="20">
        <f>Разбивка_по_щитам!K2791</f>
      </c>
      <c r="I2786" s="20">
        <f>Разбивка_по_щитам!L2791</f>
      </c>
      <c r="J2786" s="20">
        <f>Разбивка_по_щитам!M2791</f>
      </c>
      <c r="K2786" s="20">
        <f>Разбивка_по_щитам!N2791</f>
      </c>
      <c r="L2786" s="20"/>
      <c r="M2786" s="20">
        <f>Разбивка_по_щитам!P2791</f>
      </c>
      <c r="N2786" s="20"/>
    </row>
    <row r="2787" spans="2:14" x14ac:dyDescent="0.25">
      <c r="B2787" s="20">
        <f>Разбивка_по_щитам!B2792</f>
      </c>
      <c r="C2787" s="20">
        <f>Разбивка_по_щитам!C2792</f>
      </c>
      <c r="D2787" s="20">
        <f>Разбивка_по_щитам!F2792</f>
      </c>
      <c r="E2787" s="20">
        <f>Разбивка_по_щитам!H2792</f>
      </c>
      <c r="F2787" s="20">
        <f>Разбивка_по_щитам!I2792</f>
      </c>
      <c r="G2787" s="20">
        <f>Разбивка_по_щитам!J2792</f>
      </c>
      <c r="H2787" s="20">
        <f>Разбивка_по_щитам!K2792</f>
      </c>
      <c r="I2787" s="20">
        <f>Разбивка_по_щитам!L2792</f>
      </c>
      <c r="J2787" s="20">
        <f>Разбивка_по_щитам!M2792</f>
      </c>
      <c r="K2787" s="20">
        <f>Разбивка_по_щитам!N2792</f>
      </c>
      <c r="L2787" s="20"/>
      <c r="M2787" s="20">
        <f>Разбивка_по_щитам!P2792</f>
      </c>
      <c r="N2787" s="20"/>
    </row>
    <row r="2788" spans="2:14" x14ac:dyDescent="0.25">
      <c r="B2788" s="20">
        <f>Разбивка_по_щитам!B2793</f>
      </c>
      <c r="C2788" s="20">
        <f>Разбивка_по_щитам!C2793</f>
      </c>
      <c r="D2788" s="20">
        <f>Разбивка_по_щитам!F2793</f>
      </c>
      <c r="E2788" s="20">
        <f>Разбивка_по_щитам!H2793</f>
      </c>
      <c r="F2788" s="20">
        <f>Разбивка_по_щитам!I2793</f>
      </c>
      <c r="G2788" s="20">
        <f>Разбивка_по_щитам!J2793</f>
      </c>
      <c r="H2788" s="20">
        <f>Разбивка_по_щитам!K2793</f>
      </c>
      <c r="I2788" s="20">
        <f>Разбивка_по_щитам!L2793</f>
      </c>
      <c r="J2788" s="20">
        <f>Разбивка_по_щитам!M2793</f>
      </c>
      <c r="K2788" s="20">
        <f>Разбивка_по_щитам!N2793</f>
      </c>
      <c r="L2788" s="20"/>
      <c r="M2788" s="20">
        <f>Разбивка_по_щитам!P2793</f>
      </c>
      <c r="N2788" s="20"/>
    </row>
    <row r="2789" spans="2:14" x14ac:dyDescent="0.25">
      <c r="B2789" s="20">
        <f>Разбивка_по_щитам!B2794</f>
      </c>
      <c r="C2789" s="20">
        <f>Разбивка_по_щитам!C2794</f>
      </c>
      <c r="D2789" s="20">
        <f>Разбивка_по_щитам!F2794</f>
      </c>
      <c r="E2789" s="20">
        <f>Разбивка_по_щитам!H2794</f>
      </c>
      <c r="F2789" s="20">
        <f>Разбивка_по_щитам!I2794</f>
      </c>
      <c r="G2789" s="20">
        <f>Разбивка_по_щитам!J2794</f>
      </c>
      <c r="H2789" s="20">
        <f>Разбивка_по_щитам!K2794</f>
      </c>
      <c r="I2789" s="20">
        <f>Разбивка_по_щитам!L2794</f>
      </c>
      <c r="J2789" s="20">
        <f>Разбивка_по_щитам!M2794</f>
      </c>
      <c r="K2789" s="20">
        <f>Разбивка_по_щитам!N2794</f>
      </c>
      <c r="L2789" s="20"/>
      <c r="M2789" s="20">
        <f>Разбивка_по_щитам!P2794</f>
      </c>
      <c r="N2789" s="20"/>
    </row>
    <row r="2790" spans="2:14" x14ac:dyDescent="0.25">
      <c r="B2790" s="20">
        <f>Разбивка_по_щитам!B2795</f>
      </c>
      <c r="C2790" s="20">
        <f>Разбивка_по_щитам!C2795</f>
      </c>
      <c r="D2790" s="20">
        <f>Разбивка_по_щитам!F2795</f>
      </c>
      <c r="E2790" s="20">
        <f>Разбивка_по_щитам!H2795</f>
      </c>
      <c r="F2790" s="20">
        <f>Разбивка_по_щитам!I2795</f>
      </c>
      <c r="G2790" s="20">
        <f>Разбивка_по_щитам!J2795</f>
      </c>
      <c r="H2790" s="20">
        <f>Разбивка_по_щитам!K2795</f>
      </c>
      <c r="I2790" s="20">
        <f>Разбивка_по_щитам!L2795</f>
      </c>
      <c r="J2790" s="20">
        <f>Разбивка_по_щитам!M2795</f>
      </c>
      <c r="K2790" s="20">
        <f>Разбивка_по_щитам!N2795</f>
      </c>
      <c r="L2790" s="20"/>
      <c r="M2790" s="20">
        <f>Разбивка_по_щитам!P2795</f>
      </c>
      <c r="N2790" s="20"/>
    </row>
    <row r="2791" spans="2:14" x14ac:dyDescent="0.25">
      <c r="B2791" s="20">
        <f>Разбивка_по_щитам!B2796</f>
      </c>
      <c r="C2791" s="20">
        <f>Разбивка_по_щитам!C2796</f>
      </c>
      <c r="D2791" s="20">
        <f>Разбивка_по_щитам!F2796</f>
      </c>
      <c r="E2791" s="20">
        <f>Разбивка_по_щитам!H2796</f>
      </c>
      <c r="F2791" s="20">
        <f>Разбивка_по_щитам!I2796</f>
      </c>
      <c r="G2791" s="20">
        <f>Разбивка_по_щитам!J2796</f>
      </c>
      <c r="H2791" s="20">
        <f>Разбивка_по_щитам!K2796</f>
      </c>
      <c r="I2791" s="20">
        <f>Разбивка_по_щитам!L2796</f>
      </c>
      <c r="J2791" s="20">
        <f>Разбивка_по_щитам!M2796</f>
      </c>
      <c r="K2791" s="20">
        <f>Разбивка_по_щитам!N2796</f>
      </c>
      <c r="L2791" s="20"/>
      <c r="M2791" s="20">
        <f>Разбивка_по_щитам!P2796</f>
      </c>
      <c r="N2791" s="20"/>
    </row>
    <row r="2792" spans="2:14" x14ac:dyDescent="0.25">
      <c r="B2792" s="20">
        <f>Разбивка_по_щитам!B2797</f>
      </c>
      <c r="C2792" s="20">
        <f>Разбивка_по_щитам!C2797</f>
      </c>
      <c r="D2792" s="20">
        <f>Разбивка_по_щитам!F2797</f>
      </c>
      <c r="E2792" s="20">
        <f>Разбивка_по_щитам!H2797</f>
      </c>
      <c r="F2792" s="20">
        <f>Разбивка_по_щитам!I2797</f>
      </c>
      <c r="G2792" s="20">
        <f>Разбивка_по_щитам!J2797</f>
      </c>
      <c r="H2792" s="20">
        <f>Разбивка_по_щитам!K2797</f>
      </c>
      <c r="I2792" s="20">
        <f>Разбивка_по_щитам!L2797</f>
      </c>
      <c r="J2792" s="20">
        <f>Разбивка_по_щитам!M2797</f>
      </c>
      <c r="K2792" s="20">
        <f>Разбивка_по_щитам!N2797</f>
      </c>
      <c r="L2792" s="20"/>
      <c r="M2792" s="20">
        <f>Разбивка_по_щитам!P2797</f>
      </c>
      <c r="N2792" s="20"/>
    </row>
    <row r="2793" spans="2:14" x14ac:dyDescent="0.25">
      <c r="B2793" s="20">
        <f>Разбивка_по_щитам!B2798</f>
      </c>
      <c r="C2793" s="20">
        <f>Разбивка_по_щитам!C2798</f>
      </c>
      <c r="D2793" s="20">
        <f>Разбивка_по_щитам!F2798</f>
      </c>
      <c r="E2793" s="20">
        <f>Разбивка_по_щитам!H2798</f>
      </c>
      <c r="F2793" s="20">
        <f>Разбивка_по_щитам!I2798</f>
      </c>
      <c r="G2793" s="20">
        <f>Разбивка_по_щитам!J2798</f>
      </c>
      <c r="H2793" s="20">
        <f>Разбивка_по_щитам!K2798</f>
      </c>
      <c r="I2793" s="20">
        <f>Разбивка_по_щитам!L2798</f>
      </c>
      <c r="J2793" s="20">
        <f>Разбивка_по_щитам!M2798</f>
      </c>
      <c r="K2793" s="20">
        <f>Разбивка_по_щитам!N2798</f>
      </c>
      <c r="L2793" s="20"/>
      <c r="M2793" s="20">
        <f>Разбивка_по_щитам!P2798</f>
      </c>
      <c r="N2793" s="20"/>
    </row>
    <row r="2794" spans="2:14" x14ac:dyDescent="0.25">
      <c r="B2794" s="20">
        <f>Разбивка_по_щитам!B2799</f>
      </c>
      <c r="C2794" s="20">
        <f>Разбивка_по_щитам!C2799</f>
      </c>
      <c r="D2794" s="20">
        <f>Разбивка_по_щитам!F2799</f>
      </c>
      <c r="E2794" s="20">
        <f>Разбивка_по_щитам!H2799</f>
      </c>
      <c r="F2794" s="20">
        <f>Разбивка_по_щитам!I2799</f>
      </c>
      <c r="G2794" s="20">
        <f>Разбивка_по_щитам!J2799</f>
      </c>
      <c r="H2794" s="20">
        <f>Разбивка_по_щитам!K2799</f>
      </c>
      <c r="I2794" s="20">
        <f>Разбивка_по_щитам!L2799</f>
      </c>
      <c r="J2794" s="20">
        <f>Разбивка_по_щитам!M2799</f>
      </c>
      <c r="K2794" s="20">
        <f>Разбивка_по_щитам!N2799</f>
      </c>
      <c r="L2794" s="20"/>
      <c r="M2794" s="20">
        <f>Разбивка_по_щитам!P2799</f>
      </c>
      <c r="N2794" s="20"/>
    </row>
    <row r="2795" spans="2:14" x14ac:dyDescent="0.25">
      <c r="B2795" s="20">
        <f>Разбивка_по_щитам!B2800</f>
      </c>
      <c r="C2795" s="20">
        <f>Разбивка_по_щитам!C2800</f>
      </c>
      <c r="D2795" s="20">
        <f>Разбивка_по_щитам!F2800</f>
      </c>
      <c r="E2795" s="20">
        <f>Разбивка_по_щитам!H2800</f>
      </c>
      <c r="F2795" s="20">
        <f>Разбивка_по_щитам!I2800</f>
      </c>
      <c r="G2795" s="20">
        <f>Разбивка_по_щитам!J2800</f>
      </c>
      <c r="H2795" s="20">
        <f>Разбивка_по_щитам!K2800</f>
      </c>
      <c r="I2795" s="20">
        <f>Разбивка_по_щитам!L2800</f>
      </c>
      <c r="J2795" s="20">
        <f>Разбивка_по_щитам!M2800</f>
      </c>
      <c r="K2795" s="20">
        <f>Разбивка_по_щитам!N2800</f>
      </c>
      <c r="L2795" s="20"/>
      <c r="M2795" s="20">
        <f>Разбивка_по_щитам!P2800</f>
      </c>
      <c r="N2795" s="20"/>
    </row>
    <row r="2796" spans="2:14" x14ac:dyDescent="0.25">
      <c r="B2796" s="20">
        <f>Разбивка_по_щитам!B2801</f>
      </c>
      <c r="C2796" s="20">
        <f>Разбивка_по_щитам!C2801</f>
      </c>
      <c r="D2796" s="20">
        <f>Разбивка_по_щитам!F2801</f>
      </c>
      <c r="E2796" s="20">
        <f>Разбивка_по_щитам!H2801</f>
      </c>
      <c r="F2796" s="20">
        <f>Разбивка_по_щитам!I2801</f>
      </c>
      <c r="G2796" s="20">
        <f>Разбивка_по_щитам!J2801</f>
      </c>
      <c r="H2796" s="20">
        <f>Разбивка_по_щитам!K2801</f>
      </c>
      <c r="I2796" s="20">
        <f>Разбивка_по_щитам!L2801</f>
      </c>
      <c r="J2796" s="20">
        <f>Разбивка_по_щитам!M2801</f>
      </c>
      <c r="K2796" s="20">
        <f>Разбивка_по_щитам!N2801</f>
      </c>
      <c r="L2796" s="20"/>
      <c r="M2796" s="20">
        <f>Разбивка_по_щитам!P2801</f>
      </c>
      <c r="N2796" s="20"/>
    </row>
    <row r="2797" spans="2:14" x14ac:dyDescent="0.25">
      <c r="B2797" s="20">
        <f>Разбивка_по_щитам!B2802</f>
      </c>
      <c r="C2797" s="20">
        <f>Разбивка_по_щитам!C2802</f>
      </c>
      <c r="D2797" s="20">
        <f>Разбивка_по_щитам!F2802</f>
      </c>
      <c r="E2797" s="20">
        <f>Разбивка_по_щитам!H2802</f>
      </c>
      <c r="F2797" s="20">
        <f>Разбивка_по_щитам!I2802</f>
      </c>
      <c r="G2797" s="20">
        <f>Разбивка_по_щитам!J2802</f>
      </c>
      <c r="H2797" s="20">
        <f>Разбивка_по_щитам!K2802</f>
      </c>
      <c r="I2797" s="20">
        <f>Разбивка_по_щитам!L2802</f>
      </c>
      <c r="J2797" s="20">
        <f>Разбивка_по_щитам!M2802</f>
      </c>
      <c r="K2797" s="20">
        <f>Разбивка_по_щитам!N2802</f>
      </c>
      <c r="L2797" s="20"/>
      <c r="M2797" s="20">
        <f>Разбивка_по_щитам!P2802</f>
      </c>
      <c r="N2797" s="20"/>
    </row>
    <row r="2798" spans="2:14" x14ac:dyDescent="0.25">
      <c r="B2798" s="20">
        <f>Разбивка_по_щитам!B2803</f>
      </c>
      <c r="C2798" s="20">
        <f>Разбивка_по_щитам!C2803</f>
      </c>
      <c r="D2798" s="20">
        <f>Разбивка_по_щитам!F2803</f>
      </c>
      <c r="E2798" s="20">
        <f>Разбивка_по_щитам!H2803</f>
      </c>
      <c r="F2798" s="20">
        <f>Разбивка_по_щитам!I2803</f>
      </c>
      <c r="G2798" s="20">
        <f>Разбивка_по_щитам!J2803</f>
      </c>
      <c r="H2798" s="20">
        <f>Разбивка_по_щитам!K2803</f>
      </c>
      <c r="I2798" s="20">
        <f>Разбивка_по_щитам!L2803</f>
      </c>
      <c r="J2798" s="20">
        <f>Разбивка_по_щитам!M2803</f>
      </c>
      <c r="K2798" s="20">
        <f>Разбивка_по_щитам!N2803</f>
      </c>
      <c r="L2798" s="20"/>
      <c r="M2798" s="20">
        <f>Разбивка_по_щитам!P2803</f>
      </c>
      <c r="N2798" s="20"/>
    </row>
    <row r="2799" spans="2:14" x14ac:dyDescent="0.25">
      <c r="B2799" s="20">
        <f>Разбивка_по_щитам!B2804</f>
      </c>
      <c r="C2799" s="20">
        <f>Разбивка_по_щитам!C2804</f>
      </c>
      <c r="D2799" s="20">
        <f>Разбивка_по_щитам!F2804</f>
      </c>
      <c r="E2799" s="20">
        <f>Разбивка_по_щитам!H2804</f>
      </c>
      <c r="F2799" s="20">
        <f>Разбивка_по_щитам!I2804</f>
      </c>
      <c r="G2799" s="20">
        <f>Разбивка_по_щитам!J2804</f>
      </c>
      <c r="H2799" s="20">
        <f>Разбивка_по_щитам!K2804</f>
      </c>
      <c r="I2799" s="20">
        <f>Разбивка_по_щитам!L2804</f>
      </c>
      <c r="J2799" s="20">
        <f>Разбивка_по_щитам!M2804</f>
      </c>
      <c r="K2799" s="20">
        <f>Разбивка_по_щитам!N2804</f>
      </c>
      <c r="L2799" s="20"/>
      <c r="M2799" s="20">
        <f>Разбивка_по_щитам!P2804</f>
      </c>
      <c r="N2799" s="20"/>
    </row>
    <row r="2800" spans="2:14" x14ac:dyDescent="0.25">
      <c r="B2800" s="20">
        <f>Разбивка_по_щитам!B2805</f>
      </c>
      <c r="C2800" s="20">
        <f>Разбивка_по_щитам!C2805</f>
      </c>
      <c r="D2800" s="20">
        <f>Разбивка_по_щитам!F2805</f>
      </c>
      <c r="E2800" s="20">
        <f>Разбивка_по_щитам!H2805</f>
      </c>
      <c r="F2800" s="20">
        <f>Разбивка_по_щитам!I2805</f>
      </c>
      <c r="G2800" s="20">
        <f>Разбивка_по_щитам!J2805</f>
      </c>
      <c r="H2800" s="20">
        <f>Разбивка_по_щитам!K2805</f>
      </c>
      <c r="I2800" s="20">
        <f>Разбивка_по_щитам!L2805</f>
      </c>
      <c r="J2800" s="20">
        <f>Разбивка_по_щитам!M2805</f>
      </c>
      <c r="K2800" s="20">
        <f>Разбивка_по_щитам!N2805</f>
      </c>
      <c r="L2800" s="20"/>
      <c r="M2800" s="20">
        <f>Разбивка_по_щитам!P2805</f>
      </c>
      <c r="N2800" s="20"/>
    </row>
    <row r="2801" spans="2:14" x14ac:dyDescent="0.25">
      <c r="B2801" s="20">
        <f>Разбивка_по_щитам!B2806</f>
      </c>
      <c r="C2801" s="20">
        <f>Разбивка_по_щитам!C2806</f>
      </c>
      <c r="D2801" s="20">
        <f>Разбивка_по_щитам!F2806</f>
      </c>
      <c r="E2801" s="20">
        <f>Разбивка_по_щитам!H2806</f>
      </c>
      <c r="F2801" s="20">
        <f>Разбивка_по_щитам!I2806</f>
      </c>
      <c r="G2801" s="20">
        <f>Разбивка_по_щитам!J2806</f>
      </c>
      <c r="H2801" s="20">
        <f>Разбивка_по_щитам!K2806</f>
      </c>
      <c r="I2801" s="20">
        <f>Разбивка_по_щитам!L2806</f>
      </c>
      <c r="J2801" s="20">
        <f>Разбивка_по_щитам!M2806</f>
      </c>
      <c r="K2801" s="20">
        <f>Разбивка_по_щитам!N2806</f>
      </c>
      <c r="L2801" s="20"/>
      <c r="M2801" s="20">
        <f>Разбивка_по_щитам!P2806</f>
      </c>
      <c r="N2801" s="20"/>
    </row>
    <row r="2802" spans="2:14" x14ac:dyDescent="0.25">
      <c r="B2802" s="20">
        <f>Разбивка_по_щитам!B2807</f>
      </c>
      <c r="C2802" s="20">
        <f>Разбивка_по_щитам!C2807</f>
      </c>
      <c r="D2802" s="20">
        <f>Разбивка_по_щитам!F2807</f>
      </c>
      <c r="E2802" s="20">
        <f>Разбивка_по_щитам!H2807</f>
      </c>
      <c r="F2802" s="20">
        <f>Разбивка_по_щитам!I2807</f>
      </c>
      <c r="G2802" s="20">
        <f>Разбивка_по_щитам!J2807</f>
      </c>
      <c r="H2802" s="20">
        <f>Разбивка_по_щитам!K2807</f>
      </c>
      <c r="I2802" s="20">
        <f>Разбивка_по_щитам!L2807</f>
      </c>
      <c r="J2802" s="20">
        <f>Разбивка_по_щитам!M2807</f>
      </c>
      <c r="K2802" s="20">
        <f>Разбивка_по_щитам!N2807</f>
      </c>
      <c r="L2802" s="20"/>
      <c r="M2802" s="20">
        <f>Разбивка_по_щитам!P2807</f>
      </c>
      <c r="N2802" s="20"/>
    </row>
    <row r="2803" spans="2:14" x14ac:dyDescent="0.25">
      <c r="B2803" s="20">
        <f>Разбивка_по_щитам!B2808</f>
      </c>
      <c r="C2803" s="20">
        <f>Разбивка_по_щитам!C2808</f>
      </c>
      <c r="D2803" s="20">
        <f>Разбивка_по_щитам!F2808</f>
      </c>
      <c r="E2803" s="20">
        <f>Разбивка_по_щитам!H2808</f>
      </c>
      <c r="F2803" s="20">
        <f>Разбивка_по_щитам!I2808</f>
      </c>
      <c r="G2803" s="20">
        <f>Разбивка_по_щитам!J2808</f>
      </c>
      <c r="H2803" s="20">
        <f>Разбивка_по_щитам!K2808</f>
      </c>
      <c r="I2803" s="20">
        <f>Разбивка_по_щитам!L2808</f>
      </c>
      <c r="J2803" s="20">
        <f>Разбивка_по_щитам!M2808</f>
      </c>
      <c r="K2803" s="20">
        <f>Разбивка_по_щитам!N2808</f>
      </c>
      <c r="L2803" s="20"/>
      <c r="M2803" s="20">
        <f>Разбивка_по_щитам!P2808</f>
      </c>
      <c r="N2803" s="20"/>
    </row>
    <row r="2804" spans="2:14" x14ac:dyDescent="0.25">
      <c r="B2804" s="20">
        <f>Разбивка_по_щитам!B2809</f>
      </c>
      <c r="C2804" s="20">
        <f>Разбивка_по_щитам!C2809</f>
      </c>
      <c r="D2804" s="20">
        <f>Разбивка_по_щитам!F2809</f>
      </c>
      <c r="E2804" s="20">
        <f>Разбивка_по_щитам!H2809</f>
      </c>
      <c r="F2804" s="20">
        <f>Разбивка_по_щитам!I2809</f>
      </c>
      <c r="G2804" s="20">
        <f>Разбивка_по_щитам!J2809</f>
      </c>
      <c r="H2804" s="20">
        <f>Разбивка_по_щитам!K2809</f>
      </c>
      <c r="I2804" s="20">
        <f>Разбивка_по_щитам!L2809</f>
      </c>
      <c r="J2804" s="20">
        <f>Разбивка_по_щитам!M2809</f>
      </c>
      <c r="K2804" s="20">
        <f>Разбивка_по_щитам!N2809</f>
      </c>
      <c r="L2804" s="20"/>
      <c r="M2804" s="20">
        <f>Разбивка_по_щитам!P2809</f>
      </c>
      <c r="N2804" s="20"/>
    </row>
    <row r="2805" spans="2:14" x14ac:dyDescent="0.25">
      <c r="B2805" s="20">
        <f>Разбивка_по_щитам!B2810</f>
      </c>
      <c r="C2805" s="20">
        <f>Разбивка_по_щитам!C2810</f>
      </c>
      <c r="D2805" s="20">
        <f>Разбивка_по_щитам!F2810</f>
      </c>
      <c r="E2805" s="20">
        <f>Разбивка_по_щитам!H2810</f>
      </c>
      <c r="F2805" s="20">
        <f>Разбивка_по_щитам!I2810</f>
      </c>
      <c r="G2805" s="20">
        <f>Разбивка_по_щитам!J2810</f>
      </c>
      <c r="H2805" s="20">
        <f>Разбивка_по_щитам!K2810</f>
      </c>
      <c r="I2805" s="20">
        <f>Разбивка_по_щитам!L2810</f>
      </c>
      <c r="J2805" s="20">
        <f>Разбивка_по_щитам!M2810</f>
      </c>
      <c r="K2805" s="20">
        <f>Разбивка_по_щитам!N2810</f>
      </c>
      <c r="L2805" s="20"/>
      <c r="M2805" s="20">
        <f>Разбивка_по_щитам!P2810</f>
      </c>
      <c r="N2805" s="20"/>
    </row>
    <row r="2806" spans="2:14" x14ac:dyDescent="0.25">
      <c r="B2806" s="20">
        <f>Разбивка_по_щитам!B2811</f>
      </c>
      <c r="C2806" s="20">
        <f>Разбивка_по_щитам!C2811</f>
      </c>
      <c r="D2806" s="20">
        <f>Разбивка_по_щитам!F2811</f>
      </c>
      <c r="E2806" s="20">
        <f>Разбивка_по_щитам!H2811</f>
      </c>
      <c r="F2806" s="20">
        <f>Разбивка_по_щитам!I2811</f>
      </c>
      <c r="G2806" s="20">
        <f>Разбивка_по_щитам!J2811</f>
      </c>
      <c r="H2806" s="20">
        <f>Разбивка_по_щитам!K2811</f>
      </c>
      <c r="I2806" s="20">
        <f>Разбивка_по_щитам!L2811</f>
      </c>
      <c r="J2806" s="20">
        <f>Разбивка_по_щитам!M2811</f>
      </c>
      <c r="K2806" s="20">
        <f>Разбивка_по_щитам!N2811</f>
      </c>
      <c r="L2806" s="20"/>
      <c r="M2806" s="20">
        <f>Разбивка_по_щитам!P2811</f>
      </c>
      <c r="N2806" s="20"/>
    </row>
    <row r="2807" spans="2:14" x14ac:dyDescent="0.25">
      <c r="B2807" s="20">
        <f>Разбивка_по_щитам!B2812</f>
      </c>
      <c r="C2807" s="20">
        <f>Разбивка_по_щитам!C2812</f>
      </c>
      <c r="D2807" s="20">
        <f>Разбивка_по_щитам!F2812</f>
      </c>
      <c r="E2807" s="20">
        <f>Разбивка_по_щитам!H2812</f>
      </c>
      <c r="F2807" s="20">
        <f>Разбивка_по_щитам!I2812</f>
      </c>
      <c r="G2807" s="20">
        <f>Разбивка_по_щитам!J2812</f>
      </c>
      <c r="H2807" s="20">
        <f>Разбивка_по_щитам!K2812</f>
      </c>
      <c r="I2807" s="20">
        <f>Разбивка_по_щитам!L2812</f>
      </c>
      <c r="J2807" s="20">
        <f>Разбивка_по_щитам!M2812</f>
      </c>
      <c r="K2807" s="20">
        <f>Разбивка_по_щитам!N2812</f>
      </c>
      <c r="L2807" s="20"/>
      <c r="M2807" s="20">
        <f>Разбивка_по_щитам!P2812</f>
      </c>
      <c r="N2807" s="20"/>
    </row>
    <row r="2808" spans="2:14" x14ac:dyDescent="0.25">
      <c r="B2808" s="20">
        <f>Разбивка_по_щитам!B2813</f>
      </c>
      <c r="C2808" s="20">
        <f>Разбивка_по_щитам!C2813</f>
      </c>
      <c r="D2808" s="20">
        <f>Разбивка_по_щитам!F2813</f>
      </c>
      <c r="E2808" s="20">
        <f>Разбивка_по_щитам!H2813</f>
      </c>
      <c r="F2808" s="20">
        <f>Разбивка_по_щитам!I2813</f>
      </c>
      <c r="G2808" s="20">
        <f>Разбивка_по_щитам!J2813</f>
      </c>
      <c r="H2808" s="20">
        <f>Разбивка_по_щитам!K2813</f>
      </c>
      <c r="I2808" s="20">
        <f>Разбивка_по_щитам!L2813</f>
      </c>
      <c r="J2808" s="20">
        <f>Разбивка_по_щитам!M2813</f>
      </c>
      <c r="K2808" s="20">
        <f>Разбивка_по_щитам!N2813</f>
      </c>
      <c r="L2808" s="20"/>
      <c r="M2808" s="20">
        <f>Разбивка_по_щитам!P2813</f>
      </c>
      <c r="N2808" s="20"/>
    </row>
    <row r="2809" spans="2:14" x14ac:dyDescent="0.25">
      <c r="B2809" s="20">
        <f>Разбивка_по_щитам!B2814</f>
      </c>
      <c r="C2809" s="20">
        <f>Разбивка_по_щитам!C2814</f>
      </c>
      <c r="D2809" s="20">
        <f>Разбивка_по_щитам!F2814</f>
      </c>
      <c r="E2809" s="20">
        <f>Разбивка_по_щитам!H2814</f>
      </c>
      <c r="F2809" s="20">
        <f>Разбивка_по_щитам!I2814</f>
      </c>
      <c r="G2809" s="20">
        <f>Разбивка_по_щитам!J2814</f>
      </c>
      <c r="H2809" s="20">
        <f>Разбивка_по_щитам!K2814</f>
      </c>
      <c r="I2809" s="20">
        <f>Разбивка_по_щитам!L2814</f>
      </c>
      <c r="J2809" s="20">
        <f>Разбивка_по_щитам!M2814</f>
      </c>
      <c r="K2809" s="20">
        <f>Разбивка_по_щитам!N2814</f>
      </c>
      <c r="L2809" s="20"/>
      <c r="M2809" s="20">
        <f>Разбивка_по_щитам!P2814</f>
      </c>
      <c r="N2809" s="20"/>
    </row>
    <row r="2810" spans="2:14" x14ac:dyDescent="0.25">
      <c r="B2810" s="20">
        <f>Разбивка_по_щитам!B2815</f>
      </c>
      <c r="C2810" s="20">
        <f>Разбивка_по_щитам!C2815</f>
      </c>
      <c r="D2810" s="20">
        <f>Разбивка_по_щитам!F2815</f>
      </c>
      <c r="E2810" s="20">
        <f>Разбивка_по_щитам!H2815</f>
      </c>
      <c r="F2810" s="20">
        <f>Разбивка_по_щитам!I2815</f>
      </c>
      <c r="G2810" s="20">
        <f>Разбивка_по_щитам!J2815</f>
      </c>
      <c r="H2810" s="20">
        <f>Разбивка_по_щитам!K2815</f>
      </c>
      <c r="I2810" s="20">
        <f>Разбивка_по_щитам!L2815</f>
      </c>
      <c r="J2810" s="20">
        <f>Разбивка_по_щитам!M2815</f>
      </c>
      <c r="K2810" s="20">
        <f>Разбивка_по_щитам!N2815</f>
      </c>
      <c r="L2810" s="20"/>
      <c r="M2810" s="20">
        <f>Разбивка_по_щитам!P2815</f>
      </c>
      <c r="N2810" s="20"/>
    </row>
    <row r="2811" spans="2:14" x14ac:dyDescent="0.25">
      <c r="B2811" s="20">
        <f>Разбивка_по_щитам!B2816</f>
      </c>
      <c r="C2811" s="20">
        <f>Разбивка_по_щитам!C2816</f>
      </c>
      <c r="D2811" s="20">
        <f>Разбивка_по_щитам!F2816</f>
      </c>
      <c r="E2811" s="20">
        <f>Разбивка_по_щитам!H2816</f>
      </c>
      <c r="F2811" s="20">
        <f>Разбивка_по_щитам!I2816</f>
      </c>
      <c r="G2811" s="20">
        <f>Разбивка_по_щитам!J2816</f>
      </c>
      <c r="H2811" s="20">
        <f>Разбивка_по_щитам!K2816</f>
      </c>
      <c r="I2811" s="20">
        <f>Разбивка_по_щитам!L2816</f>
      </c>
      <c r="J2811" s="20">
        <f>Разбивка_по_щитам!M2816</f>
      </c>
      <c r="K2811" s="20">
        <f>Разбивка_по_щитам!N2816</f>
      </c>
      <c r="L2811" s="20"/>
      <c r="M2811" s="20">
        <f>Разбивка_по_щитам!P2816</f>
      </c>
      <c r="N2811" s="20"/>
    </row>
    <row r="2812" spans="2:14" x14ac:dyDescent="0.25">
      <c r="B2812" s="20">
        <f>Разбивка_по_щитам!B2817</f>
      </c>
      <c r="C2812" s="20">
        <f>Разбивка_по_щитам!C2817</f>
      </c>
      <c r="D2812" s="20">
        <f>Разбивка_по_щитам!F2817</f>
      </c>
      <c r="E2812" s="20">
        <f>Разбивка_по_щитам!H2817</f>
      </c>
      <c r="F2812" s="20">
        <f>Разбивка_по_щитам!I2817</f>
      </c>
      <c r="G2812" s="20">
        <f>Разбивка_по_щитам!J2817</f>
      </c>
      <c r="H2812" s="20">
        <f>Разбивка_по_щитам!K2817</f>
      </c>
      <c r="I2812" s="20">
        <f>Разбивка_по_щитам!L2817</f>
      </c>
      <c r="J2812" s="20">
        <f>Разбивка_по_щитам!M2817</f>
      </c>
      <c r="K2812" s="20">
        <f>Разбивка_по_щитам!N2817</f>
      </c>
      <c r="L2812" s="20"/>
      <c r="M2812" s="20">
        <f>Разбивка_по_щитам!P2817</f>
      </c>
      <c r="N2812" s="20"/>
    </row>
    <row r="2813" spans="2:14" x14ac:dyDescent="0.25">
      <c r="B2813" s="20">
        <f>Разбивка_по_щитам!B2818</f>
      </c>
      <c r="C2813" s="20">
        <f>Разбивка_по_щитам!C2818</f>
      </c>
      <c r="D2813" s="20">
        <f>Разбивка_по_щитам!F2818</f>
      </c>
      <c r="E2813" s="20">
        <f>Разбивка_по_щитам!H2818</f>
      </c>
      <c r="F2813" s="20">
        <f>Разбивка_по_щитам!I2818</f>
      </c>
      <c r="G2813" s="20">
        <f>Разбивка_по_щитам!J2818</f>
      </c>
      <c r="H2813" s="20">
        <f>Разбивка_по_щитам!K2818</f>
      </c>
      <c r="I2813" s="20">
        <f>Разбивка_по_щитам!L2818</f>
      </c>
      <c r="J2813" s="20">
        <f>Разбивка_по_щитам!M2818</f>
      </c>
      <c r="K2813" s="20">
        <f>Разбивка_по_щитам!N2818</f>
      </c>
      <c r="L2813" s="20"/>
      <c r="M2813" s="20">
        <f>Разбивка_по_щитам!P2818</f>
      </c>
      <c r="N2813" s="20"/>
    </row>
    <row r="2814" spans="2:14" x14ac:dyDescent="0.25">
      <c r="B2814" s="20">
        <f>Разбивка_по_щитам!B2819</f>
      </c>
      <c r="C2814" s="20">
        <f>Разбивка_по_щитам!C2819</f>
      </c>
      <c r="D2814" s="20">
        <f>Разбивка_по_щитам!F2819</f>
      </c>
      <c r="E2814" s="20">
        <f>Разбивка_по_щитам!H2819</f>
      </c>
      <c r="F2814" s="20">
        <f>Разбивка_по_щитам!I2819</f>
      </c>
      <c r="G2814" s="20">
        <f>Разбивка_по_щитам!J2819</f>
      </c>
      <c r="H2814" s="20">
        <f>Разбивка_по_щитам!K2819</f>
      </c>
      <c r="I2814" s="20">
        <f>Разбивка_по_щитам!L2819</f>
      </c>
      <c r="J2814" s="20">
        <f>Разбивка_по_щитам!M2819</f>
      </c>
      <c r="K2814" s="20">
        <f>Разбивка_по_щитам!N2819</f>
      </c>
      <c r="L2814" s="20"/>
      <c r="M2814" s="20">
        <f>Разбивка_по_щитам!P2819</f>
      </c>
      <c r="N2814" s="20"/>
    </row>
    <row r="2815" spans="2:14" x14ac:dyDescent="0.25">
      <c r="B2815" s="20">
        <f>Разбивка_по_щитам!B2820</f>
      </c>
      <c r="C2815" s="20">
        <f>Разбивка_по_щитам!C2820</f>
      </c>
      <c r="D2815" s="20">
        <f>Разбивка_по_щитам!F2820</f>
      </c>
      <c r="E2815" s="20">
        <f>Разбивка_по_щитам!H2820</f>
      </c>
      <c r="F2815" s="20">
        <f>Разбивка_по_щитам!I2820</f>
      </c>
      <c r="G2815" s="20">
        <f>Разбивка_по_щитам!J2820</f>
      </c>
      <c r="H2815" s="20">
        <f>Разбивка_по_щитам!K2820</f>
      </c>
      <c r="I2815" s="20">
        <f>Разбивка_по_щитам!L2820</f>
      </c>
      <c r="J2815" s="20">
        <f>Разбивка_по_щитам!M2820</f>
      </c>
      <c r="K2815" s="20">
        <f>Разбивка_по_щитам!N2820</f>
      </c>
      <c r="L2815" s="20"/>
      <c r="M2815" s="20">
        <f>Разбивка_по_щитам!P2820</f>
      </c>
      <c r="N2815" s="20"/>
    </row>
    <row r="2816" spans="2:14" x14ac:dyDescent="0.25">
      <c r="B2816" s="20">
        <f>Разбивка_по_щитам!B2821</f>
      </c>
      <c r="C2816" s="20">
        <f>Разбивка_по_щитам!C2821</f>
      </c>
      <c r="D2816" s="20">
        <f>Разбивка_по_щитам!F2821</f>
      </c>
      <c r="E2816" s="20">
        <f>Разбивка_по_щитам!H2821</f>
      </c>
      <c r="F2816" s="20">
        <f>Разбивка_по_щитам!I2821</f>
      </c>
      <c r="G2816" s="20">
        <f>Разбивка_по_щитам!J2821</f>
      </c>
      <c r="H2816" s="20">
        <f>Разбивка_по_щитам!K2821</f>
      </c>
      <c r="I2816" s="20">
        <f>Разбивка_по_щитам!L2821</f>
      </c>
      <c r="J2816" s="20">
        <f>Разбивка_по_щитам!M2821</f>
      </c>
      <c r="K2816" s="20">
        <f>Разбивка_по_щитам!N2821</f>
      </c>
      <c r="L2816" s="20"/>
      <c r="M2816" s="20">
        <f>Разбивка_по_щитам!P2821</f>
      </c>
      <c r="N2816" s="20"/>
    </row>
    <row r="2817" spans="2:14" x14ac:dyDescent="0.25">
      <c r="B2817" s="20">
        <f>Разбивка_по_щитам!B2822</f>
      </c>
      <c r="C2817" s="20">
        <f>Разбивка_по_щитам!C2822</f>
      </c>
      <c r="D2817" s="20">
        <f>Разбивка_по_щитам!F2822</f>
      </c>
      <c r="E2817" s="20">
        <f>Разбивка_по_щитам!H2822</f>
      </c>
      <c r="F2817" s="20">
        <f>Разбивка_по_щитам!I2822</f>
      </c>
      <c r="G2817" s="20">
        <f>Разбивка_по_щитам!J2822</f>
      </c>
      <c r="H2817" s="20">
        <f>Разбивка_по_щитам!K2822</f>
      </c>
      <c r="I2817" s="20">
        <f>Разбивка_по_щитам!L2822</f>
      </c>
      <c r="J2817" s="20">
        <f>Разбивка_по_щитам!M2822</f>
      </c>
      <c r="K2817" s="20">
        <f>Разбивка_по_щитам!N2822</f>
      </c>
      <c r="L2817" s="20"/>
      <c r="M2817" s="20">
        <f>Разбивка_по_щитам!P2822</f>
      </c>
      <c r="N2817" s="20"/>
    </row>
    <row r="2818" spans="2:14" x14ac:dyDescent="0.25">
      <c r="B2818" s="20">
        <f>Разбивка_по_щитам!B2823</f>
      </c>
      <c r="C2818" s="20">
        <f>Разбивка_по_щитам!C2823</f>
      </c>
      <c r="D2818" s="20">
        <f>Разбивка_по_щитам!F2823</f>
      </c>
      <c r="E2818" s="20">
        <f>Разбивка_по_щитам!H2823</f>
      </c>
      <c r="F2818" s="20">
        <f>Разбивка_по_щитам!I2823</f>
      </c>
      <c r="G2818" s="20">
        <f>Разбивка_по_щитам!J2823</f>
      </c>
      <c r="H2818" s="20">
        <f>Разбивка_по_щитам!K2823</f>
      </c>
      <c r="I2818" s="20">
        <f>Разбивка_по_щитам!L2823</f>
      </c>
      <c r="J2818" s="20">
        <f>Разбивка_по_щитам!M2823</f>
      </c>
      <c r="K2818" s="20">
        <f>Разбивка_по_щитам!N2823</f>
      </c>
      <c r="L2818" s="20"/>
      <c r="M2818" s="20">
        <f>Разбивка_по_щитам!P2823</f>
      </c>
      <c r="N2818" s="20"/>
    </row>
    <row r="2819" spans="2:14" x14ac:dyDescent="0.25">
      <c r="B2819" s="20">
        <f>Разбивка_по_щитам!B2824</f>
      </c>
      <c r="C2819" s="20">
        <f>Разбивка_по_щитам!C2824</f>
      </c>
      <c r="D2819" s="20">
        <f>Разбивка_по_щитам!F2824</f>
      </c>
      <c r="E2819" s="20">
        <f>Разбивка_по_щитам!H2824</f>
      </c>
      <c r="F2819" s="20">
        <f>Разбивка_по_щитам!I2824</f>
      </c>
      <c r="G2819" s="20">
        <f>Разбивка_по_щитам!J2824</f>
      </c>
      <c r="H2819" s="20">
        <f>Разбивка_по_щитам!K2824</f>
      </c>
      <c r="I2819" s="20">
        <f>Разбивка_по_щитам!L2824</f>
      </c>
      <c r="J2819" s="20">
        <f>Разбивка_по_щитам!M2824</f>
      </c>
      <c r="K2819" s="20">
        <f>Разбивка_по_щитам!N2824</f>
      </c>
      <c r="L2819" s="20"/>
      <c r="M2819" s="20">
        <f>Разбивка_по_щитам!P2824</f>
      </c>
      <c r="N2819" s="20"/>
    </row>
    <row r="2820" spans="2:14" x14ac:dyDescent="0.25">
      <c r="B2820" s="20">
        <f>Разбивка_по_щитам!B2825</f>
      </c>
      <c r="C2820" s="20">
        <f>Разбивка_по_щитам!C2825</f>
      </c>
      <c r="D2820" s="20">
        <f>Разбивка_по_щитам!F2825</f>
      </c>
      <c r="E2820" s="20">
        <f>Разбивка_по_щитам!H2825</f>
      </c>
      <c r="F2820" s="20">
        <f>Разбивка_по_щитам!I2825</f>
      </c>
      <c r="G2820" s="20">
        <f>Разбивка_по_щитам!J2825</f>
      </c>
      <c r="H2820" s="20">
        <f>Разбивка_по_щитам!K2825</f>
      </c>
      <c r="I2820" s="20">
        <f>Разбивка_по_щитам!L2825</f>
      </c>
      <c r="J2820" s="20">
        <f>Разбивка_по_щитам!M2825</f>
      </c>
      <c r="K2820" s="20">
        <f>Разбивка_по_щитам!N2825</f>
      </c>
      <c r="L2820" s="20"/>
      <c r="M2820" s="20">
        <f>Разбивка_по_щитам!P2825</f>
      </c>
      <c r="N2820" s="20"/>
    </row>
    <row r="2821" spans="2:14" x14ac:dyDescent="0.25">
      <c r="B2821" s="20">
        <f>Разбивка_по_щитам!B2826</f>
      </c>
      <c r="C2821" s="20">
        <f>Разбивка_по_щитам!C2826</f>
      </c>
      <c r="D2821" s="20">
        <f>Разбивка_по_щитам!F2826</f>
      </c>
      <c r="E2821" s="20">
        <f>Разбивка_по_щитам!H2826</f>
      </c>
      <c r="F2821" s="20">
        <f>Разбивка_по_щитам!I2826</f>
      </c>
      <c r="G2821" s="20">
        <f>Разбивка_по_щитам!J2826</f>
      </c>
      <c r="H2821" s="20">
        <f>Разбивка_по_щитам!K2826</f>
      </c>
      <c r="I2821" s="20">
        <f>Разбивка_по_щитам!L2826</f>
      </c>
      <c r="J2821" s="20">
        <f>Разбивка_по_щитам!M2826</f>
      </c>
      <c r="K2821" s="20">
        <f>Разбивка_по_щитам!N2826</f>
      </c>
      <c r="L2821" s="20"/>
      <c r="M2821" s="20">
        <f>Разбивка_по_щитам!P2826</f>
      </c>
      <c r="N2821" s="20"/>
    </row>
    <row r="2822" spans="2:14" x14ac:dyDescent="0.25">
      <c r="B2822" s="20">
        <f>Разбивка_по_щитам!B2827</f>
      </c>
      <c r="C2822" s="20">
        <f>Разбивка_по_щитам!C2827</f>
      </c>
      <c r="D2822" s="20">
        <f>Разбивка_по_щитам!F2827</f>
      </c>
      <c r="E2822" s="20">
        <f>Разбивка_по_щитам!H2827</f>
      </c>
      <c r="F2822" s="20">
        <f>Разбивка_по_щитам!I2827</f>
      </c>
      <c r="G2822" s="20">
        <f>Разбивка_по_щитам!J2827</f>
      </c>
      <c r="H2822" s="20">
        <f>Разбивка_по_щитам!K2827</f>
      </c>
      <c r="I2822" s="20">
        <f>Разбивка_по_щитам!L2827</f>
      </c>
      <c r="J2822" s="20">
        <f>Разбивка_по_щитам!M2827</f>
      </c>
      <c r="K2822" s="20">
        <f>Разбивка_по_щитам!N2827</f>
      </c>
      <c r="L2822" s="20"/>
      <c r="M2822" s="20">
        <f>Разбивка_по_щитам!P2827</f>
      </c>
      <c r="N2822" s="20"/>
    </row>
    <row r="2823" spans="2:14" x14ac:dyDescent="0.25">
      <c r="B2823" s="20">
        <f>Разбивка_по_щитам!B2828</f>
      </c>
      <c r="C2823" s="20">
        <f>Разбивка_по_щитам!C2828</f>
      </c>
      <c r="D2823" s="20">
        <f>Разбивка_по_щитам!F2828</f>
      </c>
      <c r="E2823" s="20">
        <f>Разбивка_по_щитам!H2828</f>
      </c>
      <c r="F2823" s="20">
        <f>Разбивка_по_щитам!I2828</f>
      </c>
      <c r="G2823" s="20">
        <f>Разбивка_по_щитам!J2828</f>
      </c>
      <c r="H2823" s="20">
        <f>Разбивка_по_щитам!K2828</f>
      </c>
      <c r="I2823" s="20">
        <f>Разбивка_по_щитам!L2828</f>
      </c>
      <c r="J2823" s="20">
        <f>Разбивка_по_щитам!M2828</f>
      </c>
      <c r="K2823" s="20">
        <f>Разбивка_по_щитам!N2828</f>
      </c>
      <c r="L2823" s="20"/>
      <c r="M2823" s="20">
        <f>Разбивка_по_щитам!P2828</f>
      </c>
      <c r="N2823" s="20"/>
    </row>
    <row r="2824" spans="2:14" x14ac:dyDescent="0.25">
      <c r="B2824" s="20">
        <f>Разбивка_по_щитам!B2829</f>
      </c>
      <c r="C2824" s="20">
        <f>Разбивка_по_щитам!C2829</f>
      </c>
      <c r="D2824" s="20">
        <f>Разбивка_по_щитам!F2829</f>
      </c>
      <c r="E2824" s="20">
        <f>Разбивка_по_щитам!H2829</f>
      </c>
      <c r="F2824" s="20">
        <f>Разбивка_по_щитам!I2829</f>
      </c>
      <c r="G2824" s="20">
        <f>Разбивка_по_щитам!J2829</f>
      </c>
      <c r="H2824" s="20">
        <f>Разбивка_по_щитам!K2829</f>
      </c>
      <c r="I2824" s="20">
        <f>Разбивка_по_щитам!L2829</f>
      </c>
      <c r="J2824" s="20">
        <f>Разбивка_по_щитам!M2829</f>
      </c>
      <c r="K2824" s="20">
        <f>Разбивка_по_щитам!N2829</f>
      </c>
      <c r="L2824" s="20"/>
      <c r="M2824" s="20">
        <f>Разбивка_по_щитам!P2829</f>
      </c>
      <c r="N2824" s="20"/>
    </row>
    <row r="2825" spans="2:14" x14ac:dyDescent="0.25">
      <c r="B2825" s="20">
        <f>Разбивка_по_щитам!B2830</f>
      </c>
      <c r="C2825" s="20">
        <f>Разбивка_по_щитам!C2830</f>
      </c>
      <c r="D2825" s="20">
        <f>Разбивка_по_щитам!F2830</f>
      </c>
      <c r="E2825" s="20">
        <f>Разбивка_по_щитам!H2830</f>
      </c>
      <c r="F2825" s="20">
        <f>Разбивка_по_щитам!I2830</f>
      </c>
      <c r="G2825" s="20">
        <f>Разбивка_по_щитам!J2830</f>
      </c>
      <c r="H2825" s="20">
        <f>Разбивка_по_щитам!K2830</f>
      </c>
      <c r="I2825" s="20">
        <f>Разбивка_по_щитам!L2830</f>
      </c>
      <c r="J2825" s="20">
        <f>Разбивка_по_щитам!M2830</f>
      </c>
      <c r="K2825" s="20">
        <f>Разбивка_по_щитам!N2830</f>
      </c>
      <c r="L2825" s="20"/>
      <c r="M2825" s="20">
        <f>Разбивка_по_щитам!P2830</f>
      </c>
      <c r="N2825" s="20"/>
    </row>
    <row r="2826" spans="2:14" x14ac:dyDescent="0.25">
      <c r="B2826" s="20">
        <f>Разбивка_по_щитам!B2831</f>
      </c>
      <c r="C2826" s="20">
        <f>Разбивка_по_щитам!C2831</f>
      </c>
      <c r="D2826" s="20">
        <f>Разбивка_по_щитам!F2831</f>
      </c>
      <c r="E2826" s="20">
        <f>Разбивка_по_щитам!H2831</f>
      </c>
      <c r="F2826" s="20">
        <f>Разбивка_по_щитам!I2831</f>
      </c>
      <c r="G2826" s="20">
        <f>Разбивка_по_щитам!J2831</f>
      </c>
      <c r="H2826" s="20">
        <f>Разбивка_по_щитам!K2831</f>
      </c>
      <c r="I2826" s="20">
        <f>Разбивка_по_щитам!L2831</f>
      </c>
      <c r="J2826" s="20">
        <f>Разбивка_по_щитам!M2831</f>
      </c>
      <c r="K2826" s="20">
        <f>Разбивка_по_щитам!N2831</f>
      </c>
      <c r="L2826" s="20"/>
      <c r="M2826" s="20">
        <f>Разбивка_по_щитам!P2831</f>
      </c>
      <c r="N2826" s="20"/>
    </row>
    <row r="2827" spans="2:14" x14ac:dyDescent="0.25">
      <c r="B2827" s="20">
        <f>Разбивка_по_щитам!B2832</f>
      </c>
      <c r="C2827" s="20">
        <f>Разбивка_по_щитам!C2832</f>
      </c>
      <c r="D2827" s="20">
        <f>Разбивка_по_щитам!F2832</f>
      </c>
      <c r="E2827" s="20">
        <f>Разбивка_по_щитам!H2832</f>
      </c>
      <c r="F2827" s="20">
        <f>Разбивка_по_щитам!I2832</f>
      </c>
      <c r="G2827" s="20">
        <f>Разбивка_по_щитам!J2832</f>
      </c>
      <c r="H2827" s="20">
        <f>Разбивка_по_щитам!K2832</f>
      </c>
      <c r="I2827" s="20">
        <f>Разбивка_по_щитам!L2832</f>
      </c>
      <c r="J2827" s="20">
        <f>Разбивка_по_щитам!M2832</f>
      </c>
      <c r="K2827" s="20">
        <f>Разбивка_по_щитам!N2832</f>
      </c>
      <c r="L2827" s="20"/>
      <c r="M2827" s="20">
        <f>Разбивка_по_щитам!P2832</f>
      </c>
      <c r="N2827" s="20"/>
    </row>
    <row r="2828" spans="2:14" x14ac:dyDescent="0.25">
      <c r="B2828" s="20">
        <f>Разбивка_по_щитам!B2833</f>
      </c>
      <c r="C2828" s="20">
        <f>Разбивка_по_щитам!C2833</f>
      </c>
      <c r="D2828" s="20">
        <f>Разбивка_по_щитам!F2833</f>
      </c>
      <c r="E2828" s="20">
        <f>Разбивка_по_щитам!H2833</f>
      </c>
      <c r="F2828" s="20">
        <f>Разбивка_по_щитам!I2833</f>
      </c>
      <c r="G2828" s="20">
        <f>Разбивка_по_щитам!J2833</f>
      </c>
      <c r="H2828" s="20">
        <f>Разбивка_по_щитам!K2833</f>
      </c>
      <c r="I2828" s="20">
        <f>Разбивка_по_щитам!L2833</f>
      </c>
      <c r="J2828" s="20">
        <f>Разбивка_по_щитам!M2833</f>
      </c>
      <c r="K2828" s="20">
        <f>Разбивка_по_щитам!N2833</f>
      </c>
      <c r="L2828" s="20"/>
      <c r="M2828" s="20">
        <f>Разбивка_по_щитам!P2833</f>
      </c>
      <c r="N2828" s="20"/>
    </row>
    <row r="2829" spans="2:14" x14ac:dyDescent="0.25">
      <c r="B2829" s="20">
        <f>Разбивка_по_щитам!B2834</f>
      </c>
      <c r="C2829" s="20">
        <f>Разбивка_по_щитам!C2834</f>
      </c>
      <c r="D2829" s="20">
        <f>Разбивка_по_щитам!F2834</f>
      </c>
      <c r="E2829" s="20">
        <f>Разбивка_по_щитам!H2834</f>
      </c>
      <c r="F2829" s="20">
        <f>Разбивка_по_щитам!I2834</f>
      </c>
      <c r="G2829" s="20">
        <f>Разбивка_по_щитам!J2834</f>
      </c>
      <c r="H2829" s="20">
        <f>Разбивка_по_щитам!K2834</f>
      </c>
      <c r="I2829" s="20">
        <f>Разбивка_по_щитам!L2834</f>
      </c>
      <c r="J2829" s="20">
        <f>Разбивка_по_щитам!M2834</f>
      </c>
      <c r="K2829" s="20">
        <f>Разбивка_по_щитам!N2834</f>
      </c>
      <c r="L2829" s="20"/>
      <c r="M2829" s="20">
        <f>Разбивка_по_щитам!P2834</f>
      </c>
      <c r="N2829" s="20"/>
    </row>
    <row r="2830" spans="2:14" x14ac:dyDescent="0.25">
      <c r="B2830" s="20">
        <f>Разбивка_по_щитам!B2835</f>
      </c>
      <c r="C2830" s="20">
        <f>Разбивка_по_щитам!C2835</f>
      </c>
      <c r="D2830" s="20">
        <f>Разбивка_по_щитам!F2835</f>
      </c>
      <c r="E2830" s="20">
        <f>Разбивка_по_щитам!H2835</f>
      </c>
      <c r="F2830" s="20">
        <f>Разбивка_по_щитам!I2835</f>
      </c>
      <c r="G2830" s="20">
        <f>Разбивка_по_щитам!J2835</f>
      </c>
      <c r="H2830" s="20">
        <f>Разбивка_по_щитам!K2835</f>
      </c>
      <c r="I2830" s="20">
        <f>Разбивка_по_щитам!L2835</f>
      </c>
      <c r="J2830" s="20">
        <f>Разбивка_по_щитам!M2835</f>
      </c>
      <c r="K2830" s="20">
        <f>Разбивка_по_щитам!N2835</f>
      </c>
      <c r="L2830" s="20"/>
      <c r="M2830" s="20">
        <f>Разбивка_по_щитам!P2835</f>
      </c>
      <c r="N2830" s="20"/>
    </row>
    <row r="2831" spans="2:14" x14ac:dyDescent="0.25">
      <c r="B2831" s="20">
        <f>Разбивка_по_щитам!B2836</f>
      </c>
      <c r="C2831" s="20">
        <f>Разбивка_по_щитам!C2836</f>
      </c>
      <c r="D2831" s="20">
        <f>Разбивка_по_щитам!F2836</f>
      </c>
      <c r="E2831" s="20">
        <f>Разбивка_по_щитам!H2836</f>
      </c>
      <c r="F2831" s="20">
        <f>Разбивка_по_щитам!I2836</f>
      </c>
      <c r="G2831" s="20">
        <f>Разбивка_по_щитам!J2836</f>
      </c>
      <c r="H2831" s="20">
        <f>Разбивка_по_щитам!K2836</f>
      </c>
      <c r="I2831" s="20">
        <f>Разбивка_по_щитам!L2836</f>
      </c>
      <c r="J2831" s="20">
        <f>Разбивка_по_щитам!M2836</f>
      </c>
      <c r="K2831" s="20">
        <f>Разбивка_по_щитам!N2836</f>
      </c>
      <c r="L2831" s="20"/>
      <c r="M2831" s="20">
        <f>Разбивка_по_щитам!P2836</f>
      </c>
      <c r="N2831" s="20"/>
    </row>
    <row r="2832" spans="2:14" x14ac:dyDescent="0.25">
      <c r="B2832" s="20">
        <f>Разбивка_по_щитам!B2837</f>
      </c>
      <c r="C2832" s="20">
        <f>Разбивка_по_щитам!C2837</f>
      </c>
      <c r="D2832" s="20">
        <f>Разбивка_по_щитам!F2837</f>
      </c>
      <c r="E2832" s="20">
        <f>Разбивка_по_щитам!H2837</f>
      </c>
      <c r="F2832" s="20">
        <f>Разбивка_по_щитам!I2837</f>
      </c>
      <c r="G2832" s="20">
        <f>Разбивка_по_щитам!J2837</f>
      </c>
      <c r="H2832" s="20">
        <f>Разбивка_по_щитам!K2837</f>
      </c>
      <c r="I2832" s="20">
        <f>Разбивка_по_щитам!L2837</f>
      </c>
      <c r="J2832" s="20">
        <f>Разбивка_по_щитам!M2837</f>
      </c>
      <c r="K2832" s="20">
        <f>Разбивка_по_щитам!N2837</f>
      </c>
      <c r="L2832" s="20"/>
      <c r="M2832" s="20">
        <f>Разбивка_по_щитам!P2837</f>
      </c>
      <c r="N2832" s="20"/>
    </row>
    <row r="2833" spans="2:14" x14ac:dyDescent="0.25">
      <c r="B2833" s="20">
        <f>Разбивка_по_щитам!B2838</f>
      </c>
      <c r="C2833" s="20">
        <f>Разбивка_по_щитам!C2838</f>
      </c>
      <c r="D2833" s="20">
        <f>Разбивка_по_щитам!F2838</f>
      </c>
      <c r="E2833" s="20">
        <f>Разбивка_по_щитам!H2838</f>
      </c>
      <c r="F2833" s="20">
        <f>Разбивка_по_щитам!I2838</f>
      </c>
      <c r="G2833" s="20">
        <f>Разбивка_по_щитам!J2838</f>
      </c>
      <c r="H2833" s="20">
        <f>Разбивка_по_щитам!K2838</f>
      </c>
      <c r="I2833" s="20">
        <f>Разбивка_по_щитам!L2838</f>
      </c>
      <c r="J2833" s="20">
        <f>Разбивка_по_щитам!M2838</f>
      </c>
      <c r="K2833" s="20">
        <f>Разбивка_по_щитам!N2838</f>
      </c>
      <c r="L2833" s="20"/>
      <c r="M2833" s="20">
        <f>Разбивка_по_щитам!P2838</f>
      </c>
      <c r="N2833" s="20"/>
    </row>
    <row r="2834" spans="2:14" x14ac:dyDescent="0.25">
      <c r="B2834" s="20">
        <f>Разбивка_по_щитам!B2839</f>
      </c>
      <c r="C2834" s="20">
        <f>Разбивка_по_щитам!C2839</f>
      </c>
      <c r="D2834" s="20">
        <f>Разбивка_по_щитам!F2839</f>
      </c>
      <c r="E2834" s="20">
        <f>Разбивка_по_щитам!H2839</f>
      </c>
      <c r="F2834" s="20">
        <f>Разбивка_по_щитам!I2839</f>
      </c>
      <c r="G2834" s="20">
        <f>Разбивка_по_щитам!J2839</f>
      </c>
      <c r="H2834" s="20">
        <f>Разбивка_по_щитам!K2839</f>
      </c>
      <c r="I2834" s="20">
        <f>Разбивка_по_щитам!L2839</f>
      </c>
      <c r="J2834" s="20">
        <f>Разбивка_по_щитам!M2839</f>
      </c>
      <c r="K2834" s="20">
        <f>Разбивка_по_щитам!N2839</f>
      </c>
      <c r="L2834" s="20"/>
      <c r="M2834" s="20">
        <f>Разбивка_по_щитам!P2839</f>
      </c>
      <c r="N2834" s="20"/>
    </row>
    <row r="2835" spans="2:14" x14ac:dyDescent="0.25">
      <c r="B2835" s="20">
        <f>Разбивка_по_щитам!B2840</f>
      </c>
      <c r="C2835" s="20">
        <f>Разбивка_по_щитам!C2840</f>
      </c>
      <c r="D2835" s="20">
        <f>Разбивка_по_щитам!F2840</f>
      </c>
      <c r="E2835" s="20">
        <f>Разбивка_по_щитам!H2840</f>
      </c>
      <c r="F2835" s="20">
        <f>Разбивка_по_щитам!I2840</f>
      </c>
      <c r="G2835" s="20">
        <f>Разбивка_по_щитам!J2840</f>
      </c>
      <c r="H2835" s="20">
        <f>Разбивка_по_щитам!K2840</f>
      </c>
      <c r="I2835" s="20">
        <f>Разбивка_по_щитам!L2840</f>
      </c>
      <c r="J2835" s="20">
        <f>Разбивка_по_щитам!M2840</f>
      </c>
      <c r="K2835" s="20">
        <f>Разбивка_по_щитам!N2840</f>
      </c>
      <c r="L2835" s="20"/>
      <c r="M2835" s="20">
        <f>Разбивка_по_щитам!P2840</f>
      </c>
      <c r="N2835" s="20"/>
    </row>
    <row r="2836" spans="2:14" x14ac:dyDescent="0.25">
      <c r="B2836" s="20">
        <f>Разбивка_по_щитам!B2841</f>
      </c>
      <c r="C2836" s="20">
        <f>Разбивка_по_щитам!C2841</f>
      </c>
      <c r="D2836" s="20">
        <f>Разбивка_по_щитам!F2841</f>
      </c>
      <c r="E2836" s="20">
        <f>Разбивка_по_щитам!H2841</f>
      </c>
      <c r="F2836" s="20">
        <f>Разбивка_по_щитам!I2841</f>
      </c>
      <c r="G2836" s="20">
        <f>Разбивка_по_щитам!J2841</f>
      </c>
      <c r="H2836" s="20">
        <f>Разбивка_по_щитам!K2841</f>
      </c>
      <c r="I2836" s="20">
        <f>Разбивка_по_щитам!L2841</f>
      </c>
      <c r="J2836" s="20">
        <f>Разбивка_по_щитам!M2841</f>
      </c>
      <c r="K2836" s="20">
        <f>Разбивка_по_щитам!N2841</f>
      </c>
      <c r="L2836" s="20"/>
      <c r="M2836" s="20">
        <f>Разбивка_по_щитам!P2841</f>
      </c>
      <c r="N2836" s="20"/>
    </row>
    <row r="2837" spans="2:14" x14ac:dyDescent="0.25">
      <c r="B2837" s="20">
        <f>Разбивка_по_щитам!B2842</f>
      </c>
      <c r="C2837" s="20">
        <f>Разбивка_по_щитам!C2842</f>
      </c>
      <c r="D2837" s="20">
        <f>Разбивка_по_щитам!F2842</f>
      </c>
      <c r="E2837" s="20">
        <f>Разбивка_по_щитам!H2842</f>
      </c>
      <c r="F2837" s="20">
        <f>Разбивка_по_щитам!I2842</f>
      </c>
      <c r="G2837" s="20">
        <f>Разбивка_по_щитам!J2842</f>
      </c>
      <c r="H2837" s="20">
        <f>Разбивка_по_щитам!K2842</f>
      </c>
      <c r="I2837" s="20">
        <f>Разбивка_по_щитам!L2842</f>
      </c>
      <c r="J2837" s="20">
        <f>Разбивка_по_щитам!M2842</f>
      </c>
      <c r="K2837" s="20">
        <f>Разбивка_по_щитам!N2842</f>
      </c>
      <c r="L2837" s="20"/>
      <c r="M2837" s="20">
        <f>Разбивка_по_щитам!P2842</f>
      </c>
      <c r="N2837" s="20"/>
    </row>
    <row r="2838" spans="2:14" x14ac:dyDescent="0.25">
      <c r="B2838" s="20">
        <f>Разбивка_по_щитам!B2843</f>
      </c>
      <c r="C2838" s="20">
        <f>Разбивка_по_щитам!C2843</f>
      </c>
      <c r="D2838" s="20">
        <f>Разбивка_по_щитам!F2843</f>
      </c>
      <c r="E2838" s="20">
        <f>Разбивка_по_щитам!H2843</f>
      </c>
      <c r="F2838" s="20">
        <f>Разбивка_по_щитам!I2843</f>
      </c>
      <c r="G2838" s="20">
        <f>Разбивка_по_щитам!J2843</f>
      </c>
      <c r="H2838" s="20">
        <f>Разбивка_по_щитам!K2843</f>
      </c>
      <c r="I2838" s="20">
        <f>Разбивка_по_щитам!L2843</f>
      </c>
      <c r="J2838" s="20">
        <f>Разбивка_по_щитам!M2843</f>
      </c>
      <c r="K2838" s="20">
        <f>Разбивка_по_щитам!N2843</f>
      </c>
      <c r="L2838" s="20"/>
      <c r="M2838" s="20">
        <f>Разбивка_по_щитам!P2843</f>
      </c>
      <c r="N2838" s="20"/>
    </row>
    <row r="2839" spans="2:14" x14ac:dyDescent="0.25">
      <c r="B2839" s="20">
        <f>Разбивка_по_щитам!B2844</f>
      </c>
      <c r="C2839" s="20">
        <f>Разбивка_по_щитам!C2844</f>
      </c>
      <c r="D2839" s="20">
        <f>Разбивка_по_щитам!F2844</f>
      </c>
      <c r="E2839" s="20">
        <f>Разбивка_по_щитам!H2844</f>
      </c>
      <c r="F2839" s="20">
        <f>Разбивка_по_щитам!I2844</f>
      </c>
      <c r="G2839" s="20">
        <f>Разбивка_по_щитам!J2844</f>
      </c>
      <c r="H2839" s="20">
        <f>Разбивка_по_щитам!K2844</f>
      </c>
      <c r="I2839" s="20">
        <f>Разбивка_по_щитам!L2844</f>
      </c>
      <c r="J2839" s="20">
        <f>Разбивка_по_щитам!M2844</f>
      </c>
      <c r="K2839" s="20">
        <f>Разбивка_по_щитам!N2844</f>
      </c>
      <c r="L2839" s="20"/>
      <c r="M2839" s="20">
        <f>Разбивка_по_щитам!P2844</f>
      </c>
      <c r="N2839" s="20"/>
    </row>
    <row r="2840" spans="2:14" x14ac:dyDescent="0.25">
      <c r="B2840" s="20">
        <f>Разбивка_по_щитам!B2845</f>
      </c>
      <c r="C2840" s="20">
        <f>Разбивка_по_щитам!C2845</f>
      </c>
      <c r="D2840" s="20">
        <f>Разбивка_по_щитам!F2845</f>
      </c>
      <c r="E2840" s="20">
        <f>Разбивка_по_щитам!H2845</f>
      </c>
      <c r="F2840" s="20">
        <f>Разбивка_по_щитам!I2845</f>
      </c>
      <c r="G2840" s="20">
        <f>Разбивка_по_щитам!J2845</f>
      </c>
      <c r="H2840" s="20">
        <f>Разбивка_по_щитам!K2845</f>
      </c>
      <c r="I2840" s="20">
        <f>Разбивка_по_щитам!L2845</f>
      </c>
      <c r="J2840" s="20">
        <f>Разбивка_по_щитам!M2845</f>
      </c>
      <c r="K2840" s="20">
        <f>Разбивка_по_щитам!N2845</f>
      </c>
      <c r="L2840" s="20"/>
      <c r="M2840" s="20">
        <f>Разбивка_по_щитам!P2845</f>
      </c>
      <c r="N2840" s="20"/>
    </row>
    <row r="2841" spans="2:14" x14ac:dyDescent="0.25">
      <c r="B2841" s="20">
        <f>Разбивка_по_щитам!B2846</f>
      </c>
      <c r="C2841" s="20">
        <f>Разбивка_по_щитам!C2846</f>
      </c>
      <c r="D2841" s="20">
        <f>Разбивка_по_щитам!F2846</f>
      </c>
      <c r="E2841" s="20">
        <f>Разбивка_по_щитам!H2846</f>
      </c>
      <c r="F2841" s="20">
        <f>Разбивка_по_щитам!I2846</f>
      </c>
      <c r="G2841" s="20">
        <f>Разбивка_по_щитам!J2846</f>
      </c>
      <c r="H2841" s="20">
        <f>Разбивка_по_щитам!K2846</f>
      </c>
      <c r="I2841" s="20">
        <f>Разбивка_по_щитам!L2846</f>
      </c>
      <c r="J2841" s="20">
        <f>Разбивка_по_щитам!M2846</f>
      </c>
      <c r="K2841" s="20">
        <f>Разбивка_по_щитам!N2846</f>
      </c>
      <c r="L2841" s="20"/>
      <c r="M2841" s="20">
        <f>Разбивка_по_щитам!P2846</f>
      </c>
      <c r="N2841" s="20"/>
    </row>
    <row r="2842" spans="2:14" x14ac:dyDescent="0.25">
      <c r="B2842" s="20">
        <f>Разбивка_по_щитам!B2847</f>
      </c>
      <c r="C2842" s="20">
        <f>Разбивка_по_щитам!C2847</f>
      </c>
      <c r="D2842" s="20">
        <f>Разбивка_по_щитам!F2847</f>
      </c>
      <c r="E2842" s="20">
        <f>Разбивка_по_щитам!H2847</f>
      </c>
      <c r="F2842" s="20">
        <f>Разбивка_по_щитам!I2847</f>
      </c>
      <c r="G2842" s="20">
        <f>Разбивка_по_щитам!J2847</f>
      </c>
      <c r="H2842" s="20">
        <f>Разбивка_по_щитам!K2847</f>
      </c>
      <c r="I2842" s="20">
        <f>Разбивка_по_щитам!L2847</f>
      </c>
      <c r="J2842" s="20">
        <f>Разбивка_по_щитам!M2847</f>
      </c>
      <c r="K2842" s="20">
        <f>Разбивка_по_щитам!N2847</f>
      </c>
      <c r="L2842" s="20"/>
      <c r="M2842" s="20">
        <f>Разбивка_по_щитам!P2847</f>
      </c>
      <c r="N2842" s="20"/>
    </row>
    <row r="2843" spans="2:14" x14ac:dyDescent="0.25">
      <c r="B2843" s="20">
        <f>Разбивка_по_щитам!B2848</f>
      </c>
      <c r="C2843" s="20">
        <f>Разбивка_по_щитам!C2848</f>
      </c>
      <c r="D2843" s="20">
        <f>Разбивка_по_щитам!F2848</f>
      </c>
      <c r="E2843" s="20">
        <f>Разбивка_по_щитам!H2848</f>
      </c>
      <c r="F2843" s="20">
        <f>Разбивка_по_щитам!I2848</f>
      </c>
      <c r="G2843" s="20">
        <f>Разбивка_по_щитам!J2848</f>
      </c>
      <c r="H2843" s="20">
        <f>Разбивка_по_щитам!K2848</f>
      </c>
      <c r="I2843" s="20">
        <f>Разбивка_по_щитам!L2848</f>
      </c>
      <c r="J2843" s="20">
        <f>Разбивка_по_щитам!M2848</f>
      </c>
      <c r="K2843" s="20">
        <f>Разбивка_по_щитам!N2848</f>
      </c>
      <c r="L2843" s="20"/>
      <c r="M2843" s="20">
        <f>Разбивка_по_щитам!P2848</f>
      </c>
      <c r="N2843" s="20"/>
    </row>
    <row r="2844" spans="2:14" x14ac:dyDescent="0.25">
      <c r="B2844" s="20">
        <f>Разбивка_по_щитам!B2849</f>
      </c>
      <c r="C2844" s="20">
        <f>Разбивка_по_щитам!C2849</f>
      </c>
      <c r="D2844" s="20">
        <f>Разбивка_по_щитам!F2849</f>
      </c>
      <c r="E2844" s="20">
        <f>Разбивка_по_щитам!H2849</f>
      </c>
      <c r="F2844" s="20">
        <f>Разбивка_по_щитам!I2849</f>
      </c>
      <c r="G2844" s="20">
        <f>Разбивка_по_щитам!J2849</f>
      </c>
      <c r="H2844" s="20">
        <f>Разбивка_по_щитам!K2849</f>
      </c>
      <c r="I2844" s="20">
        <f>Разбивка_по_щитам!L2849</f>
      </c>
      <c r="J2844" s="20">
        <f>Разбивка_по_щитам!M2849</f>
      </c>
      <c r="K2844" s="20">
        <f>Разбивка_по_щитам!N2849</f>
      </c>
      <c r="L2844" s="20"/>
      <c r="M2844" s="20">
        <f>Разбивка_по_щитам!P2849</f>
      </c>
      <c r="N2844" s="20"/>
    </row>
    <row r="2845" spans="2:14" x14ac:dyDescent="0.25">
      <c r="B2845" s="20">
        <f>Разбивка_по_щитам!B2850</f>
      </c>
      <c r="C2845" s="20">
        <f>Разбивка_по_щитам!C2850</f>
      </c>
      <c r="D2845" s="20">
        <f>Разбивка_по_щитам!F2850</f>
      </c>
      <c r="E2845" s="20">
        <f>Разбивка_по_щитам!H2850</f>
      </c>
      <c r="F2845" s="20">
        <f>Разбивка_по_щитам!I2850</f>
      </c>
      <c r="G2845" s="20">
        <f>Разбивка_по_щитам!J2850</f>
      </c>
      <c r="H2845" s="20">
        <f>Разбивка_по_щитам!K2850</f>
      </c>
      <c r="I2845" s="20">
        <f>Разбивка_по_щитам!L2850</f>
      </c>
      <c r="J2845" s="20">
        <f>Разбивка_по_щитам!M2850</f>
      </c>
      <c r="K2845" s="20">
        <f>Разбивка_по_щитам!N2850</f>
      </c>
      <c r="L2845" s="20"/>
      <c r="M2845" s="20">
        <f>Разбивка_по_щитам!P2850</f>
      </c>
      <c r="N2845" s="20"/>
    </row>
    <row r="2846" spans="2:14" x14ac:dyDescent="0.25">
      <c r="B2846" s="20">
        <f>Разбивка_по_щитам!B2851</f>
      </c>
      <c r="C2846" s="20">
        <f>Разбивка_по_щитам!C2851</f>
      </c>
      <c r="D2846" s="20">
        <f>Разбивка_по_щитам!F2851</f>
      </c>
      <c r="E2846" s="20">
        <f>Разбивка_по_щитам!H2851</f>
      </c>
      <c r="F2846" s="20">
        <f>Разбивка_по_щитам!I2851</f>
      </c>
      <c r="G2846" s="20">
        <f>Разбивка_по_щитам!J2851</f>
      </c>
      <c r="H2846" s="20">
        <f>Разбивка_по_щитам!K2851</f>
      </c>
      <c r="I2846" s="20">
        <f>Разбивка_по_щитам!L2851</f>
      </c>
      <c r="J2846" s="20">
        <f>Разбивка_по_щитам!M2851</f>
      </c>
      <c r="K2846" s="20">
        <f>Разбивка_по_щитам!N2851</f>
      </c>
      <c r="L2846" s="20"/>
      <c r="M2846" s="20">
        <f>Разбивка_по_щитам!P2851</f>
      </c>
      <c r="N2846" s="20"/>
    </row>
    <row r="2847" spans="2:14" x14ac:dyDescent="0.25">
      <c r="B2847" s="20">
        <f>Разбивка_по_щитам!B2852</f>
      </c>
      <c r="C2847" s="20">
        <f>Разбивка_по_щитам!C2852</f>
      </c>
      <c r="D2847" s="20">
        <f>Разбивка_по_щитам!F2852</f>
      </c>
      <c r="E2847" s="20">
        <f>Разбивка_по_щитам!H2852</f>
      </c>
      <c r="F2847" s="20">
        <f>Разбивка_по_щитам!I2852</f>
      </c>
      <c r="G2847" s="20">
        <f>Разбивка_по_щитам!J2852</f>
      </c>
      <c r="H2847" s="20">
        <f>Разбивка_по_щитам!K2852</f>
      </c>
      <c r="I2847" s="20">
        <f>Разбивка_по_щитам!L2852</f>
      </c>
      <c r="J2847" s="20">
        <f>Разбивка_по_щитам!M2852</f>
      </c>
      <c r="K2847" s="20">
        <f>Разбивка_по_щитам!N2852</f>
      </c>
      <c r="L2847" s="20"/>
      <c r="M2847" s="20">
        <f>Разбивка_по_щитам!P2852</f>
      </c>
      <c r="N2847" s="20"/>
    </row>
    <row r="2848" spans="2:14" x14ac:dyDescent="0.25">
      <c r="B2848" s="20">
        <f>Разбивка_по_щитам!B2853</f>
      </c>
      <c r="C2848" s="20">
        <f>Разбивка_по_щитам!C2853</f>
      </c>
      <c r="D2848" s="20">
        <f>Разбивка_по_щитам!F2853</f>
      </c>
      <c r="E2848" s="20">
        <f>Разбивка_по_щитам!H2853</f>
      </c>
      <c r="F2848" s="20">
        <f>Разбивка_по_щитам!I2853</f>
      </c>
      <c r="G2848" s="20">
        <f>Разбивка_по_щитам!J2853</f>
      </c>
      <c r="H2848" s="20">
        <f>Разбивка_по_щитам!K2853</f>
      </c>
      <c r="I2848" s="20">
        <f>Разбивка_по_щитам!L2853</f>
      </c>
      <c r="J2848" s="20">
        <f>Разбивка_по_щитам!M2853</f>
      </c>
      <c r="K2848" s="20">
        <f>Разбивка_по_щитам!N2853</f>
      </c>
      <c r="L2848" s="20"/>
      <c r="M2848" s="20">
        <f>Разбивка_по_щитам!P2853</f>
      </c>
      <c r="N2848" s="20"/>
    </row>
    <row r="2849" spans="2:14" x14ac:dyDescent="0.25">
      <c r="B2849" s="20">
        <f>Разбивка_по_щитам!B2854</f>
      </c>
      <c r="C2849" s="20">
        <f>Разбивка_по_щитам!C2854</f>
      </c>
      <c r="D2849" s="20">
        <f>Разбивка_по_щитам!F2854</f>
      </c>
      <c r="E2849" s="20">
        <f>Разбивка_по_щитам!H2854</f>
      </c>
      <c r="F2849" s="20">
        <f>Разбивка_по_щитам!I2854</f>
      </c>
      <c r="G2849" s="20">
        <f>Разбивка_по_щитам!J2854</f>
      </c>
      <c r="H2849" s="20">
        <f>Разбивка_по_щитам!K2854</f>
      </c>
      <c r="I2849" s="20">
        <f>Разбивка_по_щитам!L2854</f>
      </c>
      <c r="J2849" s="20">
        <f>Разбивка_по_щитам!M2854</f>
      </c>
      <c r="K2849" s="20">
        <f>Разбивка_по_щитам!N2854</f>
      </c>
      <c r="L2849" s="20"/>
      <c r="M2849" s="20">
        <f>Разбивка_по_щитам!P2854</f>
      </c>
      <c r="N2849" s="20"/>
    </row>
    <row r="2850" spans="2:14" x14ac:dyDescent="0.25">
      <c r="B2850" s="20">
        <f>Разбивка_по_щитам!B2855</f>
      </c>
      <c r="C2850" s="20">
        <f>Разбивка_по_щитам!C2855</f>
      </c>
      <c r="D2850" s="20">
        <f>Разбивка_по_щитам!F2855</f>
      </c>
      <c r="E2850" s="20">
        <f>Разбивка_по_щитам!H2855</f>
      </c>
      <c r="F2850" s="20">
        <f>Разбивка_по_щитам!I2855</f>
      </c>
      <c r="G2850" s="20">
        <f>Разбивка_по_щитам!J2855</f>
      </c>
      <c r="H2850" s="20">
        <f>Разбивка_по_щитам!K2855</f>
      </c>
      <c r="I2850" s="20">
        <f>Разбивка_по_щитам!L2855</f>
      </c>
      <c r="J2850" s="20">
        <f>Разбивка_по_щитам!M2855</f>
      </c>
      <c r="K2850" s="20">
        <f>Разбивка_по_щитам!N2855</f>
      </c>
      <c r="L2850" s="20"/>
      <c r="M2850" s="20">
        <f>Разбивка_по_щитам!P2855</f>
      </c>
      <c r="N2850" s="20"/>
    </row>
    <row r="2851" spans="2:14" x14ac:dyDescent="0.25">
      <c r="B2851" s="20">
        <f>Разбивка_по_щитам!B2856</f>
      </c>
      <c r="C2851" s="20">
        <f>Разбивка_по_щитам!C2856</f>
      </c>
      <c r="D2851" s="20">
        <f>Разбивка_по_щитам!F2856</f>
      </c>
      <c r="E2851" s="20">
        <f>Разбивка_по_щитам!H2856</f>
      </c>
      <c r="F2851" s="20">
        <f>Разбивка_по_щитам!I2856</f>
      </c>
      <c r="G2851" s="20">
        <f>Разбивка_по_щитам!J2856</f>
      </c>
      <c r="H2851" s="20">
        <f>Разбивка_по_щитам!K2856</f>
      </c>
      <c r="I2851" s="20">
        <f>Разбивка_по_щитам!L2856</f>
      </c>
      <c r="J2851" s="20">
        <f>Разбивка_по_щитам!M2856</f>
      </c>
      <c r="K2851" s="20">
        <f>Разбивка_по_щитам!N2856</f>
      </c>
      <c r="L2851" s="20"/>
      <c r="M2851" s="20">
        <f>Разбивка_по_щитам!P2856</f>
      </c>
      <c r="N2851" s="20"/>
    </row>
    <row r="2852" spans="2:14" x14ac:dyDescent="0.25">
      <c r="B2852" s="20">
        <f>Разбивка_по_щитам!B2857</f>
      </c>
      <c r="C2852" s="20">
        <f>Разбивка_по_щитам!C2857</f>
      </c>
      <c r="D2852" s="20">
        <f>Разбивка_по_щитам!F2857</f>
      </c>
      <c r="E2852" s="20">
        <f>Разбивка_по_щитам!H2857</f>
      </c>
      <c r="F2852" s="20">
        <f>Разбивка_по_щитам!I2857</f>
      </c>
      <c r="G2852" s="20">
        <f>Разбивка_по_щитам!J2857</f>
      </c>
      <c r="H2852" s="20">
        <f>Разбивка_по_щитам!K2857</f>
      </c>
      <c r="I2852" s="20">
        <f>Разбивка_по_щитам!L2857</f>
      </c>
      <c r="J2852" s="20">
        <f>Разбивка_по_щитам!M2857</f>
      </c>
      <c r="K2852" s="20">
        <f>Разбивка_по_щитам!N2857</f>
      </c>
      <c r="L2852" s="20"/>
      <c r="M2852" s="20">
        <f>Разбивка_по_щитам!P2857</f>
      </c>
      <c r="N2852" s="20"/>
    </row>
    <row r="2853" spans="2:14" x14ac:dyDescent="0.25">
      <c r="B2853" s="20">
        <f>Разбивка_по_щитам!B2858</f>
      </c>
      <c r="C2853" s="20">
        <f>Разбивка_по_щитам!C2858</f>
      </c>
      <c r="D2853" s="20">
        <f>Разбивка_по_щитам!F2858</f>
      </c>
      <c r="E2853" s="20">
        <f>Разбивка_по_щитам!H2858</f>
      </c>
      <c r="F2853" s="20">
        <f>Разбивка_по_щитам!I2858</f>
      </c>
      <c r="G2853" s="20">
        <f>Разбивка_по_щитам!J2858</f>
      </c>
      <c r="H2853" s="20">
        <f>Разбивка_по_щитам!K2858</f>
      </c>
      <c r="I2853" s="20">
        <f>Разбивка_по_щитам!L2858</f>
      </c>
      <c r="J2853" s="20">
        <f>Разбивка_по_щитам!M2858</f>
      </c>
      <c r="K2853" s="20">
        <f>Разбивка_по_щитам!N2858</f>
      </c>
      <c r="L2853" s="20"/>
      <c r="M2853" s="20">
        <f>Разбивка_по_щитам!P2858</f>
      </c>
      <c r="N2853" s="20"/>
    </row>
    <row r="2854" spans="2:14" x14ac:dyDescent="0.25">
      <c r="B2854" s="20">
        <f>Разбивка_по_щитам!B2859</f>
      </c>
      <c r="C2854" s="20">
        <f>Разбивка_по_щитам!C2859</f>
      </c>
      <c r="D2854" s="20">
        <f>Разбивка_по_щитам!F2859</f>
      </c>
      <c r="E2854" s="20">
        <f>Разбивка_по_щитам!H2859</f>
      </c>
      <c r="F2854" s="20">
        <f>Разбивка_по_щитам!I2859</f>
      </c>
      <c r="G2854" s="20">
        <f>Разбивка_по_щитам!J2859</f>
      </c>
      <c r="H2854" s="20">
        <f>Разбивка_по_щитам!K2859</f>
      </c>
      <c r="I2854" s="20">
        <f>Разбивка_по_щитам!L2859</f>
      </c>
      <c r="J2854" s="20">
        <f>Разбивка_по_щитам!M2859</f>
      </c>
      <c r="K2854" s="20">
        <f>Разбивка_по_щитам!N2859</f>
      </c>
      <c r="L2854" s="20"/>
      <c r="M2854" s="20">
        <f>Разбивка_по_щитам!P2859</f>
      </c>
      <c r="N2854" s="20"/>
    </row>
    <row r="2855" spans="2:14" x14ac:dyDescent="0.25">
      <c r="B2855" s="20">
        <f>Разбивка_по_щитам!B2860</f>
      </c>
      <c r="C2855" s="20">
        <f>Разбивка_по_щитам!C2860</f>
      </c>
      <c r="D2855" s="20">
        <f>Разбивка_по_щитам!F2860</f>
      </c>
      <c r="E2855" s="20">
        <f>Разбивка_по_щитам!H2860</f>
      </c>
      <c r="F2855" s="20">
        <f>Разбивка_по_щитам!I2860</f>
      </c>
      <c r="G2855" s="20">
        <f>Разбивка_по_щитам!J2860</f>
      </c>
      <c r="H2855" s="20">
        <f>Разбивка_по_щитам!K2860</f>
      </c>
      <c r="I2855" s="20">
        <f>Разбивка_по_щитам!L2860</f>
      </c>
      <c r="J2855" s="20">
        <f>Разбивка_по_щитам!M2860</f>
      </c>
      <c r="K2855" s="20">
        <f>Разбивка_по_щитам!N2860</f>
      </c>
      <c r="L2855" s="20"/>
      <c r="M2855" s="20">
        <f>Разбивка_по_щитам!P2860</f>
      </c>
      <c r="N2855" s="20"/>
    </row>
    <row r="2856" spans="2:14" x14ac:dyDescent="0.25">
      <c r="B2856" s="20">
        <f>Разбивка_по_щитам!B2861</f>
      </c>
      <c r="C2856" s="20">
        <f>Разбивка_по_щитам!C2861</f>
      </c>
      <c r="D2856" s="20">
        <f>Разбивка_по_щитам!F2861</f>
      </c>
      <c r="E2856" s="20">
        <f>Разбивка_по_щитам!H2861</f>
      </c>
      <c r="F2856" s="20">
        <f>Разбивка_по_щитам!I2861</f>
      </c>
      <c r="G2856" s="20">
        <f>Разбивка_по_щитам!J2861</f>
      </c>
      <c r="H2856" s="20">
        <f>Разбивка_по_щитам!K2861</f>
      </c>
      <c r="I2856" s="20">
        <f>Разбивка_по_щитам!L2861</f>
      </c>
      <c r="J2856" s="20">
        <f>Разбивка_по_щитам!M2861</f>
      </c>
      <c r="K2856" s="20">
        <f>Разбивка_по_щитам!N2861</f>
      </c>
      <c r="L2856" s="20"/>
      <c r="M2856" s="20">
        <f>Разбивка_по_щитам!P2861</f>
      </c>
      <c r="N2856" s="20"/>
    </row>
    <row r="2857" spans="2:14" x14ac:dyDescent="0.25">
      <c r="B2857" s="20">
        <f>Разбивка_по_щитам!B2862</f>
      </c>
      <c r="C2857" s="20">
        <f>Разбивка_по_щитам!C2862</f>
      </c>
      <c r="D2857" s="20">
        <f>Разбивка_по_щитам!F2862</f>
      </c>
      <c r="E2857" s="20">
        <f>Разбивка_по_щитам!H2862</f>
      </c>
      <c r="F2857" s="20">
        <f>Разбивка_по_щитам!I2862</f>
      </c>
      <c r="G2857" s="20">
        <f>Разбивка_по_щитам!J2862</f>
      </c>
      <c r="H2857" s="20">
        <f>Разбивка_по_щитам!K2862</f>
      </c>
      <c r="I2857" s="20">
        <f>Разбивка_по_щитам!L2862</f>
      </c>
      <c r="J2857" s="20">
        <f>Разбивка_по_щитам!M2862</f>
      </c>
      <c r="K2857" s="20">
        <f>Разбивка_по_щитам!N2862</f>
      </c>
      <c r="L2857" s="20"/>
      <c r="M2857" s="20">
        <f>Разбивка_по_щитам!P2862</f>
      </c>
      <c r="N2857" s="20"/>
    </row>
    <row r="2858" spans="2:14" x14ac:dyDescent="0.25">
      <c r="B2858" s="20">
        <f>Разбивка_по_щитам!B2863</f>
      </c>
      <c r="C2858" s="20">
        <f>Разбивка_по_щитам!C2863</f>
      </c>
      <c r="D2858" s="20">
        <f>Разбивка_по_щитам!F2863</f>
      </c>
      <c r="E2858" s="20">
        <f>Разбивка_по_щитам!H2863</f>
      </c>
      <c r="F2858" s="20">
        <f>Разбивка_по_щитам!I2863</f>
      </c>
      <c r="G2858" s="20">
        <f>Разбивка_по_щитам!J2863</f>
      </c>
      <c r="H2858" s="20">
        <f>Разбивка_по_щитам!K2863</f>
      </c>
      <c r="I2858" s="20">
        <f>Разбивка_по_щитам!L2863</f>
      </c>
      <c r="J2858" s="20">
        <f>Разбивка_по_щитам!M2863</f>
      </c>
      <c r="K2858" s="20">
        <f>Разбивка_по_щитам!N2863</f>
      </c>
      <c r="L2858" s="20"/>
      <c r="M2858" s="20">
        <f>Разбивка_по_щитам!P2863</f>
      </c>
      <c r="N2858" s="20"/>
    </row>
    <row r="2859" spans="2:14" x14ac:dyDescent="0.25">
      <c r="B2859" s="20">
        <f>Разбивка_по_щитам!B2864</f>
      </c>
      <c r="C2859" s="20">
        <f>Разбивка_по_щитам!C2864</f>
      </c>
      <c r="D2859" s="20">
        <f>Разбивка_по_щитам!F2864</f>
      </c>
      <c r="E2859" s="20">
        <f>Разбивка_по_щитам!H2864</f>
      </c>
      <c r="F2859" s="20">
        <f>Разбивка_по_щитам!I2864</f>
      </c>
      <c r="G2859" s="20">
        <f>Разбивка_по_щитам!J2864</f>
      </c>
      <c r="H2859" s="20">
        <f>Разбивка_по_щитам!K2864</f>
      </c>
      <c r="I2859" s="20">
        <f>Разбивка_по_щитам!L2864</f>
      </c>
      <c r="J2859" s="20">
        <f>Разбивка_по_щитам!M2864</f>
      </c>
      <c r="K2859" s="20">
        <f>Разбивка_по_щитам!N2864</f>
      </c>
      <c r="L2859" s="20"/>
      <c r="M2859" s="20">
        <f>Разбивка_по_щитам!P2864</f>
      </c>
      <c r="N2859" s="20"/>
    </row>
    <row r="2860" spans="2:14" x14ac:dyDescent="0.25">
      <c r="B2860" s="20">
        <f>Разбивка_по_щитам!B2865</f>
      </c>
      <c r="C2860" s="20">
        <f>Разбивка_по_щитам!C2865</f>
      </c>
      <c r="D2860" s="20">
        <f>Разбивка_по_щитам!F2865</f>
      </c>
      <c r="E2860" s="20">
        <f>Разбивка_по_щитам!H2865</f>
      </c>
      <c r="F2860" s="20">
        <f>Разбивка_по_щитам!I2865</f>
      </c>
      <c r="G2860" s="20">
        <f>Разбивка_по_щитам!J2865</f>
      </c>
      <c r="H2860" s="20">
        <f>Разбивка_по_щитам!K2865</f>
      </c>
      <c r="I2860" s="20">
        <f>Разбивка_по_щитам!L2865</f>
      </c>
      <c r="J2860" s="20">
        <f>Разбивка_по_щитам!M2865</f>
      </c>
      <c r="K2860" s="20">
        <f>Разбивка_по_щитам!N2865</f>
      </c>
      <c r="L2860" s="20"/>
      <c r="M2860" s="20">
        <f>Разбивка_по_щитам!P2865</f>
      </c>
      <c r="N2860" s="20"/>
    </row>
    <row r="2861" spans="2:14" x14ac:dyDescent="0.25">
      <c r="B2861" s="20">
        <f>Разбивка_по_щитам!B2866</f>
      </c>
      <c r="C2861" s="20">
        <f>Разбивка_по_щитам!C2866</f>
      </c>
      <c r="D2861" s="20">
        <f>Разбивка_по_щитам!F2866</f>
      </c>
      <c r="E2861" s="20">
        <f>Разбивка_по_щитам!H2866</f>
      </c>
      <c r="F2861" s="20">
        <f>Разбивка_по_щитам!I2866</f>
      </c>
      <c r="G2861" s="20">
        <f>Разбивка_по_щитам!J2866</f>
      </c>
      <c r="H2861" s="20">
        <f>Разбивка_по_щитам!K2866</f>
      </c>
      <c r="I2861" s="20">
        <f>Разбивка_по_щитам!L2866</f>
      </c>
      <c r="J2861" s="20">
        <f>Разбивка_по_щитам!M2866</f>
      </c>
      <c r="K2861" s="20">
        <f>Разбивка_по_щитам!N2866</f>
      </c>
      <c r="L2861" s="20"/>
      <c r="M2861" s="20">
        <f>Разбивка_по_щитам!P2866</f>
      </c>
      <c r="N2861" s="20"/>
    </row>
    <row r="2862" spans="2:14" x14ac:dyDescent="0.25">
      <c r="B2862" s="20">
        <f>Разбивка_по_щитам!B2867</f>
      </c>
      <c r="C2862" s="20">
        <f>Разбивка_по_щитам!C2867</f>
      </c>
      <c r="D2862" s="20">
        <f>Разбивка_по_щитам!F2867</f>
      </c>
      <c r="E2862" s="20">
        <f>Разбивка_по_щитам!H2867</f>
      </c>
      <c r="F2862" s="20">
        <f>Разбивка_по_щитам!I2867</f>
      </c>
      <c r="G2862" s="20">
        <f>Разбивка_по_щитам!J2867</f>
      </c>
      <c r="H2862" s="20">
        <f>Разбивка_по_щитам!K2867</f>
      </c>
      <c r="I2862" s="20">
        <f>Разбивка_по_щитам!L2867</f>
      </c>
      <c r="J2862" s="20">
        <f>Разбивка_по_щитам!M2867</f>
      </c>
      <c r="K2862" s="20">
        <f>Разбивка_по_щитам!N2867</f>
      </c>
      <c r="L2862" s="20"/>
      <c r="M2862" s="20">
        <f>Разбивка_по_щитам!P2867</f>
      </c>
      <c r="N2862" s="20"/>
    </row>
    <row r="2863" spans="2:14" x14ac:dyDescent="0.25">
      <c r="B2863" s="20">
        <f>Разбивка_по_щитам!B2868</f>
      </c>
      <c r="C2863" s="20">
        <f>Разбивка_по_щитам!C2868</f>
      </c>
      <c r="D2863" s="20">
        <f>Разбивка_по_щитам!F2868</f>
      </c>
      <c r="E2863" s="20">
        <f>Разбивка_по_щитам!H2868</f>
      </c>
      <c r="F2863" s="20">
        <f>Разбивка_по_щитам!I2868</f>
      </c>
      <c r="G2863" s="20">
        <f>Разбивка_по_щитам!J2868</f>
      </c>
      <c r="H2863" s="20">
        <f>Разбивка_по_щитам!K2868</f>
      </c>
      <c r="I2863" s="20">
        <f>Разбивка_по_щитам!L2868</f>
      </c>
      <c r="J2863" s="20">
        <f>Разбивка_по_щитам!M2868</f>
      </c>
      <c r="K2863" s="20">
        <f>Разбивка_по_щитам!N2868</f>
      </c>
      <c r="L2863" s="20"/>
      <c r="M2863" s="20">
        <f>Разбивка_по_щитам!P2868</f>
      </c>
      <c r="N2863" s="20"/>
    </row>
    <row r="2864" spans="2:14" x14ac:dyDescent="0.25">
      <c r="B2864" s="20">
        <f>Разбивка_по_щитам!B2869</f>
      </c>
      <c r="C2864" s="20">
        <f>Разбивка_по_щитам!C2869</f>
      </c>
      <c r="D2864" s="20">
        <f>Разбивка_по_щитам!F2869</f>
      </c>
      <c r="E2864" s="20">
        <f>Разбивка_по_щитам!H2869</f>
      </c>
      <c r="F2864" s="20">
        <f>Разбивка_по_щитам!I2869</f>
      </c>
      <c r="G2864" s="20">
        <f>Разбивка_по_щитам!J2869</f>
      </c>
      <c r="H2864" s="20">
        <f>Разбивка_по_щитам!K2869</f>
      </c>
      <c r="I2864" s="20">
        <f>Разбивка_по_щитам!L2869</f>
      </c>
      <c r="J2864" s="20">
        <f>Разбивка_по_щитам!M2869</f>
      </c>
      <c r="K2864" s="20">
        <f>Разбивка_по_щитам!N2869</f>
      </c>
      <c r="L2864" s="20"/>
      <c r="M2864" s="20">
        <f>Разбивка_по_щитам!P2869</f>
      </c>
      <c r="N2864" s="20"/>
    </row>
    <row r="2865" spans="2:14" x14ac:dyDescent="0.25">
      <c r="B2865" s="20">
        <f>Разбивка_по_щитам!B2870</f>
      </c>
      <c r="C2865" s="20">
        <f>Разбивка_по_щитам!C2870</f>
      </c>
      <c r="D2865" s="20">
        <f>Разбивка_по_щитам!F2870</f>
      </c>
      <c r="E2865" s="20">
        <f>Разбивка_по_щитам!H2870</f>
      </c>
      <c r="F2865" s="20">
        <f>Разбивка_по_щитам!I2870</f>
      </c>
      <c r="G2865" s="20">
        <f>Разбивка_по_щитам!J2870</f>
      </c>
      <c r="H2865" s="20">
        <f>Разбивка_по_щитам!K2870</f>
      </c>
      <c r="I2865" s="20">
        <f>Разбивка_по_щитам!L2870</f>
      </c>
      <c r="J2865" s="20">
        <f>Разбивка_по_щитам!M2870</f>
      </c>
      <c r="K2865" s="20">
        <f>Разбивка_по_щитам!N2870</f>
      </c>
      <c r="L2865" s="20"/>
      <c r="M2865" s="20">
        <f>Разбивка_по_щитам!P2870</f>
      </c>
      <c r="N2865" s="20"/>
    </row>
    <row r="2866" spans="2:14" x14ac:dyDescent="0.25">
      <c r="B2866" s="20">
        <f>Разбивка_по_щитам!B2871</f>
      </c>
      <c r="C2866" s="20">
        <f>Разбивка_по_щитам!C2871</f>
      </c>
      <c r="D2866" s="20">
        <f>Разбивка_по_щитам!F2871</f>
      </c>
      <c r="E2866" s="20">
        <f>Разбивка_по_щитам!H2871</f>
      </c>
      <c r="F2866" s="20">
        <f>Разбивка_по_щитам!I2871</f>
      </c>
      <c r="G2866" s="20">
        <f>Разбивка_по_щитам!J2871</f>
      </c>
      <c r="H2866" s="20">
        <f>Разбивка_по_щитам!K2871</f>
      </c>
      <c r="I2866" s="20">
        <f>Разбивка_по_щитам!L2871</f>
      </c>
      <c r="J2866" s="20">
        <f>Разбивка_по_щитам!M2871</f>
      </c>
      <c r="K2866" s="20">
        <f>Разбивка_по_щитам!N2871</f>
      </c>
      <c r="L2866" s="20"/>
      <c r="M2866" s="20">
        <f>Разбивка_по_щитам!P2871</f>
      </c>
      <c r="N2866" s="20"/>
    </row>
    <row r="2867" spans="2:14" x14ac:dyDescent="0.25">
      <c r="B2867" s="20">
        <f>Разбивка_по_щитам!B2872</f>
      </c>
      <c r="C2867" s="20">
        <f>Разбивка_по_щитам!C2872</f>
      </c>
      <c r="D2867" s="20">
        <f>Разбивка_по_щитам!F2872</f>
      </c>
      <c r="E2867" s="20">
        <f>Разбивка_по_щитам!H2872</f>
      </c>
      <c r="F2867" s="20">
        <f>Разбивка_по_щитам!I2872</f>
      </c>
      <c r="G2867" s="20">
        <f>Разбивка_по_щитам!J2872</f>
      </c>
      <c r="H2867" s="20">
        <f>Разбивка_по_щитам!K2872</f>
      </c>
      <c r="I2867" s="20">
        <f>Разбивка_по_щитам!L2872</f>
      </c>
      <c r="J2867" s="20">
        <f>Разбивка_по_щитам!M2872</f>
      </c>
      <c r="K2867" s="20">
        <f>Разбивка_по_щитам!N2872</f>
      </c>
      <c r="L2867" s="20"/>
      <c r="M2867" s="20">
        <f>Разбивка_по_щитам!P2872</f>
      </c>
      <c r="N2867" s="20"/>
    </row>
    <row r="2868" spans="2:14" x14ac:dyDescent="0.25">
      <c r="B2868" s="20">
        <f>Разбивка_по_щитам!B2873</f>
      </c>
      <c r="C2868" s="20">
        <f>Разбивка_по_щитам!C2873</f>
      </c>
      <c r="D2868" s="20">
        <f>Разбивка_по_щитам!F2873</f>
      </c>
      <c r="E2868" s="20">
        <f>Разбивка_по_щитам!H2873</f>
      </c>
      <c r="F2868" s="20">
        <f>Разбивка_по_щитам!I2873</f>
      </c>
      <c r="G2868" s="20">
        <f>Разбивка_по_щитам!J2873</f>
      </c>
      <c r="H2868" s="20">
        <f>Разбивка_по_щитам!K2873</f>
      </c>
      <c r="I2868" s="20">
        <f>Разбивка_по_щитам!L2873</f>
      </c>
      <c r="J2868" s="20">
        <f>Разбивка_по_щитам!M2873</f>
      </c>
      <c r="K2868" s="20">
        <f>Разбивка_по_щитам!N2873</f>
      </c>
      <c r="L2868" s="20"/>
      <c r="M2868" s="20">
        <f>Разбивка_по_щитам!P2873</f>
      </c>
      <c r="N2868" s="20"/>
    </row>
    <row r="2869" spans="2:14" x14ac:dyDescent="0.25">
      <c r="B2869" s="20">
        <f>Разбивка_по_щитам!B2874</f>
      </c>
      <c r="C2869" s="20">
        <f>Разбивка_по_щитам!C2874</f>
      </c>
      <c r="D2869" s="20">
        <f>Разбивка_по_щитам!F2874</f>
      </c>
      <c r="E2869" s="20">
        <f>Разбивка_по_щитам!H2874</f>
      </c>
      <c r="F2869" s="20">
        <f>Разбивка_по_щитам!I2874</f>
      </c>
      <c r="G2869" s="20">
        <f>Разбивка_по_щитам!J2874</f>
      </c>
      <c r="H2869" s="20">
        <f>Разбивка_по_щитам!K2874</f>
      </c>
      <c r="I2869" s="20">
        <f>Разбивка_по_щитам!L2874</f>
      </c>
      <c r="J2869" s="20">
        <f>Разбивка_по_щитам!M2874</f>
      </c>
      <c r="K2869" s="20">
        <f>Разбивка_по_щитам!N2874</f>
      </c>
      <c r="L2869" s="20"/>
      <c r="M2869" s="20">
        <f>Разбивка_по_щитам!P2874</f>
      </c>
      <c r="N2869" s="20"/>
    </row>
    <row r="2870" spans="2:14" x14ac:dyDescent="0.25">
      <c r="B2870" s="20">
        <f>Разбивка_по_щитам!B2875</f>
      </c>
      <c r="C2870" s="20">
        <f>Разбивка_по_щитам!C2875</f>
      </c>
      <c r="D2870" s="20">
        <f>Разбивка_по_щитам!F2875</f>
      </c>
      <c r="E2870" s="20">
        <f>Разбивка_по_щитам!H2875</f>
      </c>
      <c r="F2870" s="20">
        <f>Разбивка_по_щитам!I2875</f>
      </c>
      <c r="G2870" s="20">
        <f>Разбивка_по_щитам!J2875</f>
      </c>
      <c r="H2870" s="20">
        <f>Разбивка_по_щитам!K2875</f>
      </c>
      <c r="I2870" s="20">
        <f>Разбивка_по_щитам!L2875</f>
      </c>
      <c r="J2870" s="20">
        <f>Разбивка_по_щитам!M2875</f>
      </c>
      <c r="K2870" s="20">
        <f>Разбивка_по_щитам!N2875</f>
      </c>
      <c r="L2870" s="20"/>
      <c r="M2870" s="20">
        <f>Разбивка_по_щитам!P2875</f>
      </c>
      <c r="N2870" s="20"/>
    </row>
    <row r="2871" spans="2:14" x14ac:dyDescent="0.25">
      <c r="B2871" s="20">
        <f>Разбивка_по_щитам!B2876</f>
      </c>
      <c r="C2871" s="20">
        <f>Разбивка_по_щитам!C2876</f>
      </c>
      <c r="D2871" s="20">
        <f>Разбивка_по_щитам!F2876</f>
      </c>
      <c r="E2871" s="20">
        <f>Разбивка_по_щитам!H2876</f>
      </c>
      <c r="F2871" s="20">
        <f>Разбивка_по_щитам!I2876</f>
      </c>
      <c r="G2871" s="20">
        <f>Разбивка_по_щитам!J2876</f>
      </c>
      <c r="H2871" s="20">
        <f>Разбивка_по_щитам!K2876</f>
      </c>
      <c r="I2871" s="20">
        <f>Разбивка_по_щитам!L2876</f>
      </c>
      <c r="J2871" s="20">
        <f>Разбивка_по_щитам!M2876</f>
      </c>
      <c r="K2871" s="20">
        <f>Разбивка_по_щитам!N2876</f>
      </c>
      <c r="L2871" s="20"/>
      <c r="M2871" s="20">
        <f>Разбивка_по_щитам!P2876</f>
      </c>
      <c r="N2871" s="20"/>
    </row>
    <row r="2872" spans="2:14" x14ac:dyDescent="0.25">
      <c r="B2872" s="20">
        <f>Разбивка_по_щитам!B2877</f>
      </c>
      <c r="C2872" s="20">
        <f>Разбивка_по_щитам!C2877</f>
      </c>
      <c r="D2872" s="20">
        <f>Разбивка_по_щитам!F2877</f>
      </c>
      <c r="E2872" s="20">
        <f>Разбивка_по_щитам!H2877</f>
      </c>
      <c r="F2872" s="20">
        <f>Разбивка_по_щитам!I2877</f>
      </c>
      <c r="G2872" s="20">
        <f>Разбивка_по_щитам!J2877</f>
      </c>
      <c r="H2872" s="20">
        <f>Разбивка_по_щитам!K2877</f>
      </c>
      <c r="I2872" s="20">
        <f>Разбивка_по_щитам!L2877</f>
      </c>
      <c r="J2872" s="20">
        <f>Разбивка_по_щитам!M2877</f>
      </c>
      <c r="K2872" s="20">
        <f>Разбивка_по_щитам!N2877</f>
      </c>
      <c r="L2872" s="20"/>
      <c r="M2872" s="20">
        <f>Разбивка_по_щитам!P2877</f>
      </c>
      <c r="N2872" s="20"/>
    </row>
    <row r="2873" spans="2:14" x14ac:dyDescent="0.25">
      <c r="B2873" s="20">
        <f>Разбивка_по_щитам!B2878</f>
      </c>
      <c r="C2873" s="20">
        <f>Разбивка_по_щитам!C2878</f>
      </c>
      <c r="D2873" s="20">
        <f>Разбивка_по_щитам!F2878</f>
      </c>
      <c r="E2873" s="20">
        <f>Разбивка_по_щитам!H2878</f>
      </c>
      <c r="F2873" s="20">
        <f>Разбивка_по_щитам!I2878</f>
      </c>
      <c r="G2873" s="20">
        <f>Разбивка_по_щитам!J2878</f>
      </c>
      <c r="H2873" s="20">
        <f>Разбивка_по_щитам!K2878</f>
      </c>
      <c r="I2873" s="20">
        <f>Разбивка_по_щитам!L2878</f>
      </c>
      <c r="J2873" s="20">
        <f>Разбивка_по_щитам!M2878</f>
      </c>
      <c r="K2873" s="20">
        <f>Разбивка_по_щитам!N2878</f>
      </c>
      <c r="L2873" s="20"/>
      <c r="M2873" s="20">
        <f>Разбивка_по_щитам!P2878</f>
      </c>
      <c r="N2873" s="20"/>
    </row>
    <row r="2874" spans="2:14" x14ac:dyDescent="0.25">
      <c r="B2874" s="20">
        <f>Разбивка_по_щитам!B2879</f>
      </c>
      <c r="C2874" s="20">
        <f>Разбивка_по_щитам!C2879</f>
      </c>
      <c r="D2874" s="20">
        <f>Разбивка_по_щитам!F2879</f>
      </c>
      <c r="E2874" s="20">
        <f>Разбивка_по_щитам!H2879</f>
      </c>
      <c r="F2874" s="20">
        <f>Разбивка_по_щитам!I2879</f>
      </c>
      <c r="G2874" s="20">
        <f>Разбивка_по_щитам!J2879</f>
      </c>
      <c r="H2874" s="20">
        <f>Разбивка_по_щитам!K2879</f>
      </c>
      <c r="I2874" s="20">
        <f>Разбивка_по_щитам!L2879</f>
      </c>
      <c r="J2874" s="20">
        <f>Разбивка_по_щитам!M2879</f>
      </c>
      <c r="K2874" s="20">
        <f>Разбивка_по_щитам!N2879</f>
      </c>
      <c r="L2874" s="20"/>
      <c r="M2874" s="20">
        <f>Разбивка_по_щитам!P2879</f>
      </c>
      <c r="N2874" s="20"/>
    </row>
    <row r="2875" spans="2:14" x14ac:dyDescent="0.25">
      <c r="B2875" s="20">
        <f>Разбивка_по_щитам!B2880</f>
      </c>
      <c r="C2875" s="20">
        <f>Разбивка_по_щитам!C2880</f>
      </c>
      <c r="D2875" s="20">
        <f>Разбивка_по_щитам!F2880</f>
      </c>
      <c r="E2875" s="20">
        <f>Разбивка_по_щитам!H2880</f>
      </c>
      <c r="F2875" s="20">
        <f>Разбивка_по_щитам!I2880</f>
      </c>
      <c r="G2875" s="20">
        <f>Разбивка_по_щитам!J2880</f>
      </c>
      <c r="H2875" s="20">
        <f>Разбивка_по_щитам!K2880</f>
      </c>
      <c r="I2875" s="20">
        <f>Разбивка_по_щитам!L2880</f>
      </c>
      <c r="J2875" s="20">
        <f>Разбивка_по_щитам!M2880</f>
      </c>
      <c r="K2875" s="20">
        <f>Разбивка_по_щитам!N2880</f>
      </c>
      <c r="L2875" s="20"/>
      <c r="M2875" s="20">
        <f>Разбивка_по_щитам!P2880</f>
      </c>
      <c r="N2875" s="20"/>
    </row>
    <row r="2876" spans="2:14" x14ac:dyDescent="0.25">
      <c r="B2876" s="20">
        <f>Разбивка_по_щитам!B2881</f>
      </c>
      <c r="C2876" s="20">
        <f>Разбивка_по_щитам!C2881</f>
      </c>
      <c r="D2876" s="20">
        <f>Разбивка_по_щитам!F2881</f>
      </c>
      <c r="E2876" s="20">
        <f>Разбивка_по_щитам!H2881</f>
      </c>
      <c r="F2876" s="20">
        <f>Разбивка_по_щитам!I2881</f>
      </c>
      <c r="G2876" s="20">
        <f>Разбивка_по_щитам!J2881</f>
      </c>
      <c r="H2876" s="20">
        <f>Разбивка_по_щитам!K2881</f>
      </c>
      <c r="I2876" s="20">
        <f>Разбивка_по_щитам!L2881</f>
      </c>
      <c r="J2876" s="20">
        <f>Разбивка_по_щитам!M2881</f>
      </c>
      <c r="K2876" s="20">
        <f>Разбивка_по_щитам!N2881</f>
      </c>
      <c r="L2876" s="20"/>
      <c r="M2876" s="20">
        <f>Разбивка_по_щитам!P2881</f>
      </c>
      <c r="N2876" s="20"/>
    </row>
    <row r="2877" spans="2:14" x14ac:dyDescent="0.25">
      <c r="B2877" s="20">
        <f>Разбивка_по_щитам!B2882</f>
      </c>
      <c r="C2877" s="20">
        <f>Разбивка_по_щитам!C2882</f>
      </c>
      <c r="D2877" s="20">
        <f>Разбивка_по_щитам!F2882</f>
      </c>
      <c r="E2877" s="20">
        <f>Разбивка_по_щитам!H2882</f>
      </c>
      <c r="F2877" s="20">
        <f>Разбивка_по_щитам!I2882</f>
      </c>
      <c r="G2877" s="20">
        <f>Разбивка_по_щитам!J2882</f>
      </c>
      <c r="H2877" s="20">
        <f>Разбивка_по_щитам!K2882</f>
      </c>
      <c r="I2877" s="20">
        <f>Разбивка_по_щитам!L2882</f>
      </c>
      <c r="J2877" s="20">
        <f>Разбивка_по_щитам!M2882</f>
      </c>
      <c r="K2877" s="20">
        <f>Разбивка_по_щитам!N2882</f>
      </c>
      <c r="L2877" s="20"/>
      <c r="M2877" s="20">
        <f>Разбивка_по_щитам!P2882</f>
      </c>
      <c r="N2877" s="20"/>
    </row>
    <row r="2878" spans="2:14" x14ac:dyDescent="0.25">
      <c r="B2878" s="20">
        <f>Разбивка_по_щитам!B2883</f>
      </c>
      <c r="C2878" s="20">
        <f>Разбивка_по_щитам!C2883</f>
      </c>
      <c r="D2878" s="20">
        <f>Разбивка_по_щитам!F2883</f>
      </c>
      <c r="E2878" s="20">
        <f>Разбивка_по_щитам!H2883</f>
      </c>
      <c r="F2878" s="20">
        <f>Разбивка_по_щитам!I2883</f>
      </c>
      <c r="G2878" s="20">
        <f>Разбивка_по_щитам!J2883</f>
      </c>
      <c r="H2878" s="20">
        <f>Разбивка_по_щитам!K2883</f>
      </c>
      <c r="I2878" s="20">
        <f>Разбивка_по_щитам!L2883</f>
      </c>
      <c r="J2878" s="20">
        <f>Разбивка_по_щитам!M2883</f>
      </c>
      <c r="K2878" s="20">
        <f>Разбивка_по_щитам!N2883</f>
      </c>
      <c r="L2878" s="20"/>
      <c r="M2878" s="20">
        <f>Разбивка_по_щитам!P2883</f>
      </c>
      <c r="N2878" s="20"/>
    </row>
    <row r="2879" spans="2:14" x14ac:dyDescent="0.25">
      <c r="B2879" s="20">
        <f>Разбивка_по_щитам!B2884</f>
      </c>
      <c r="C2879" s="20">
        <f>Разбивка_по_щитам!C2884</f>
      </c>
      <c r="D2879" s="20">
        <f>Разбивка_по_щитам!F2884</f>
      </c>
      <c r="E2879" s="20">
        <f>Разбивка_по_щитам!H2884</f>
      </c>
      <c r="F2879" s="20">
        <f>Разбивка_по_щитам!I2884</f>
      </c>
      <c r="G2879" s="20">
        <f>Разбивка_по_щитам!J2884</f>
      </c>
      <c r="H2879" s="20">
        <f>Разбивка_по_щитам!K2884</f>
      </c>
      <c r="I2879" s="20">
        <f>Разбивка_по_щитам!L2884</f>
      </c>
      <c r="J2879" s="20">
        <f>Разбивка_по_щитам!M2884</f>
      </c>
      <c r="K2879" s="20">
        <f>Разбивка_по_щитам!N2884</f>
      </c>
      <c r="L2879" s="20"/>
      <c r="M2879" s="20">
        <f>Разбивка_по_щитам!P2884</f>
      </c>
      <c r="N2879" s="20"/>
    </row>
    <row r="2880" spans="2:14" x14ac:dyDescent="0.25">
      <c r="B2880" s="20">
        <f>Разбивка_по_щитам!B2885</f>
      </c>
      <c r="C2880" s="20">
        <f>Разбивка_по_щитам!C2885</f>
      </c>
      <c r="D2880" s="20">
        <f>Разбивка_по_щитам!F2885</f>
      </c>
      <c r="E2880" s="20">
        <f>Разбивка_по_щитам!H2885</f>
      </c>
      <c r="F2880" s="20">
        <f>Разбивка_по_щитам!I2885</f>
      </c>
      <c r="G2880" s="20">
        <f>Разбивка_по_щитам!J2885</f>
      </c>
      <c r="H2880" s="20">
        <f>Разбивка_по_щитам!K2885</f>
      </c>
      <c r="I2880" s="20">
        <f>Разбивка_по_щитам!L2885</f>
      </c>
      <c r="J2880" s="20">
        <f>Разбивка_по_щитам!M2885</f>
      </c>
      <c r="K2880" s="20">
        <f>Разбивка_по_щитам!N2885</f>
      </c>
      <c r="L2880" s="20"/>
      <c r="M2880" s="20">
        <f>Разбивка_по_щитам!P2885</f>
      </c>
      <c r="N2880" s="20"/>
    </row>
    <row r="2881" spans="2:14" x14ac:dyDescent="0.25">
      <c r="B2881" s="20">
        <f>Разбивка_по_щитам!B2886</f>
      </c>
      <c r="C2881" s="20">
        <f>Разбивка_по_щитам!C2886</f>
      </c>
      <c r="D2881" s="20">
        <f>Разбивка_по_щитам!F2886</f>
      </c>
      <c r="E2881" s="20">
        <f>Разбивка_по_щитам!H2886</f>
      </c>
      <c r="F2881" s="20">
        <f>Разбивка_по_щитам!I2886</f>
      </c>
      <c r="G2881" s="20">
        <f>Разбивка_по_щитам!J2886</f>
      </c>
      <c r="H2881" s="20">
        <f>Разбивка_по_щитам!K2886</f>
      </c>
      <c r="I2881" s="20">
        <f>Разбивка_по_щитам!L2886</f>
      </c>
      <c r="J2881" s="20">
        <f>Разбивка_по_щитам!M2886</f>
      </c>
      <c r="K2881" s="20">
        <f>Разбивка_по_щитам!N2886</f>
      </c>
      <c r="L2881" s="20"/>
      <c r="M2881" s="20">
        <f>Разбивка_по_щитам!P2886</f>
      </c>
      <c r="N2881" s="20"/>
    </row>
    <row r="2882" spans="2:14" x14ac:dyDescent="0.25">
      <c r="B2882" s="20">
        <f>Разбивка_по_щитам!B2887</f>
      </c>
      <c r="C2882" s="20">
        <f>Разбивка_по_щитам!C2887</f>
      </c>
      <c r="D2882" s="20">
        <f>Разбивка_по_щитам!F2887</f>
      </c>
      <c r="E2882" s="20">
        <f>Разбивка_по_щитам!H2887</f>
      </c>
      <c r="F2882" s="20">
        <f>Разбивка_по_щитам!I2887</f>
      </c>
      <c r="G2882" s="20">
        <f>Разбивка_по_щитам!J2887</f>
      </c>
      <c r="H2882" s="20">
        <f>Разбивка_по_щитам!K2887</f>
      </c>
      <c r="I2882" s="20">
        <f>Разбивка_по_щитам!L2887</f>
      </c>
      <c r="J2882" s="20">
        <f>Разбивка_по_щитам!M2887</f>
      </c>
      <c r="K2882" s="20">
        <f>Разбивка_по_щитам!N2887</f>
      </c>
      <c r="L2882" s="20"/>
      <c r="M2882" s="20">
        <f>Разбивка_по_щитам!P2887</f>
      </c>
      <c r="N2882" s="20"/>
    </row>
    <row r="2883" spans="2:14" x14ac:dyDescent="0.25">
      <c r="B2883" s="20">
        <f>Разбивка_по_щитам!B2888</f>
      </c>
      <c r="C2883" s="20">
        <f>Разбивка_по_щитам!C2888</f>
      </c>
      <c r="D2883" s="20">
        <f>Разбивка_по_щитам!F2888</f>
      </c>
      <c r="E2883" s="20">
        <f>Разбивка_по_щитам!H2888</f>
      </c>
      <c r="F2883" s="20">
        <f>Разбивка_по_щитам!I2888</f>
      </c>
      <c r="G2883" s="20">
        <f>Разбивка_по_щитам!J2888</f>
      </c>
      <c r="H2883" s="20">
        <f>Разбивка_по_щитам!K2888</f>
      </c>
      <c r="I2883" s="20">
        <f>Разбивка_по_щитам!L2888</f>
      </c>
      <c r="J2883" s="20">
        <f>Разбивка_по_щитам!M2888</f>
      </c>
      <c r="K2883" s="20">
        <f>Разбивка_по_щитам!N2888</f>
      </c>
      <c r="L2883" s="20"/>
      <c r="M2883" s="20">
        <f>Разбивка_по_щитам!P2888</f>
      </c>
      <c r="N2883" s="20"/>
    </row>
    <row r="2884" spans="2:14" x14ac:dyDescent="0.25">
      <c r="B2884" s="20">
        <f>Разбивка_по_щитам!B2889</f>
      </c>
      <c r="C2884" s="20">
        <f>Разбивка_по_щитам!C2889</f>
      </c>
      <c r="D2884" s="20">
        <f>Разбивка_по_щитам!F2889</f>
      </c>
      <c r="E2884" s="20">
        <f>Разбивка_по_щитам!H2889</f>
      </c>
      <c r="F2884" s="20">
        <f>Разбивка_по_щитам!I2889</f>
      </c>
      <c r="G2884" s="20">
        <f>Разбивка_по_щитам!J2889</f>
      </c>
      <c r="H2884" s="20">
        <f>Разбивка_по_щитам!K2889</f>
      </c>
      <c r="I2884" s="20">
        <f>Разбивка_по_щитам!L2889</f>
      </c>
      <c r="J2884" s="20">
        <f>Разбивка_по_щитам!M2889</f>
      </c>
      <c r="K2884" s="20">
        <f>Разбивка_по_щитам!N2889</f>
      </c>
      <c r="L2884" s="20"/>
      <c r="M2884" s="20">
        <f>Разбивка_по_щитам!P2889</f>
      </c>
      <c r="N2884" s="20"/>
    </row>
    <row r="2885" spans="2:14" x14ac:dyDescent="0.25">
      <c r="B2885" s="20">
        <f>Разбивка_по_щитам!B2890</f>
      </c>
      <c r="C2885" s="20">
        <f>Разбивка_по_щитам!C2890</f>
      </c>
      <c r="D2885" s="20">
        <f>Разбивка_по_щитам!F2890</f>
      </c>
      <c r="E2885" s="20">
        <f>Разбивка_по_щитам!H2890</f>
      </c>
      <c r="F2885" s="20">
        <f>Разбивка_по_щитам!I2890</f>
      </c>
      <c r="G2885" s="20">
        <f>Разбивка_по_щитам!J2890</f>
      </c>
      <c r="H2885" s="20">
        <f>Разбивка_по_щитам!K2890</f>
      </c>
      <c r="I2885" s="20">
        <f>Разбивка_по_щитам!L2890</f>
      </c>
      <c r="J2885" s="20">
        <f>Разбивка_по_щитам!M2890</f>
      </c>
      <c r="K2885" s="20">
        <f>Разбивка_по_щитам!N2890</f>
      </c>
      <c r="L2885" s="20"/>
      <c r="M2885" s="20">
        <f>Разбивка_по_щитам!P2890</f>
      </c>
      <c r="N2885" s="20"/>
    </row>
    <row r="2886" spans="2:14" x14ac:dyDescent="0.25">
      <c r="B2886" s="20">
        <f>Разбивка_по_щитам!B2891</f>
      </c>
      <c r="C2886" s="20">
        <f>Разбивка_по_щитам!C2891</f>
      </c>
      <c r="D2886" s="20">
        <f>Разбивка_по_щитам!F2891</f>
      </c>
      <c r="E2886" s="20">
        <f>Разбивка_по_щитам!H2891</f>
      </c>
      <c r="F2886" s="20">
        <f>Разбивка_по_щитам!I2891</f>
      </c>
      <c r="G2886" s="20">
        <f>Разбивка_по_щитам!J2891</f>
      </c>
      <c r="H2886" s="20">
        <f>Разбивка_по_щитам!K2891</f>
      </c>
      <c r="I2886" s="20">
        <f>Разбивка_по_щитам!L2891</f>
      </c>
      <c r="J2886" s="20">
        <f>Разбивка_по_щитам!M2891</f>
      </c>
      <c r="K2886" s="20">
        <f>Разбивка_по_щитам!N2891</f>
      </c>
      <c r="L2886" s="20"/>
      <c r="M2886" s="20">
        <f>Разбивка_по_щитам!P2891</f>
      </c>
      <c r="N2886" s="20"/>
    </row>
    <row r="2887" spans="2:14" x14ac:dyDescent="0.25">
      <c r="B2887" s="20">
        <f>Разбивка_по_щитам!B2892</f>
      </c>
      <c r="C2887" s="20">
        <f>Разбивка_по_щитам!C2892</f>
      </c>
      <c r="D2887" s="20">
        <f>Разбивка_по_щитам!F2892</f>
      </c>
      <c r="E2887" s="20">
        <f>Разбивка_по_щитам!H2892</f>
      </c>
      <c r="F2887" s="20">
        <f>Разбивка_по_щитам!I2892</f>
      </c>
      <c r="G2887" s="20">
        <f>Разбивка_по_щитам!J2892</f>
      </c>
      <c r="H2887" s="20">
        <f>Разбивка_по_щитам!K2892</f>
      </c>
      <c r="I2887" s="20">
        <f>Разбивка_по_щитам!L2892</f>
      </c>
      <c r="J2887" s="20">
        <f>Разбивка_по_щитам!M2892</f>
      </c>
      <c r="K2887" s="20">
        <f>Разбивка_по_щитам!N2892</f>
      </c>
      <c r="L2887" s="20"/>
      <c r="M2887" s="20">
        <f>Разбивка_по_щитам!P2892</f>
      </c>
      <c r="N2887" s="20"/>
    </row>
    <row r="2888" spans="2:14" x14ac:dyDescent="0.25">
      <c r="B2888" s="20">
        <f>Разбивка_по_щитам!B2893</f>
      </c>
      <c r="C2888" s="20">
        <f>Разбивка_по_щитам!C2893</f>
      </c>
      <c r="D2888" s="20">
        <f>Разбивка_по_щитам!F2893</f>
      </c>
      <c r="E2888" s="20">
        <f>Разбивка_по_щитам!H2893</f>
      </c>
      <c r="F2888" s="20">
        <f>Разбивка_по_щитам!I2893</f>
      </c>
      <c r="G2888" s="20">
        <f>Разбивка_по_щитам!J2893</f>
      </c>
      <c r="H2888" s="20">
        <f>Разбивка_по_щитам!K2893</f>
      </c>
      <c r="I2888" s="20">
        <f>Разбивка_по_щитам!L2893</f>
      </c>
      <c r="J2888" s="20">
        <f>Разбивка_по_щитам!M2893</f>
      </c>
      <c r="K2888" s="20">
        <f>Разбивка_по_щитам!N2893</f>
      </c>
      <c r="L2888" s="20"/>
      <c r="M2888" s="20">
        <f>Разбивка_по_щитам!P2893</f>
      </c>
      <c r="N2888" s="20"/>
    </row>
    <row r="2889" spans="2:14" x14ac:dyDescent="0.25">
      <c r="B2889" s="20">
        <f>Разбивка_по_щитам!B2894</f>
      </c>
      <c r="C2889" s="20">
        <f>Разбивка_по_щитам!C2894</f>
      </c>
      <c r="D2889" s="20">
        <f>Разбивка_по_щитам!F2894</f>
      </c>
      <c r="E2889" s="20">
        <f>Разбивка_по_щитам!H2894</f>
      </c>
      <c r="F2889" s="20">
        <f>Разбивка_по_щитам!I2894</f>
      </c>
      <c r="G2889" s="20">
        <f>Разбивка_по_щитам!J2894</f>
      </c>
      <c r="H2889" s="20">
        <f>Разбивка_по_щитам!K2894</f>
      </c>
      <c r="I2889" s="20">
        <f>Разбивка_по_щитам!L2894</f>
      </c>
      <c r="J2889" s="20">
        <f>Разбивка_по_щитам!M2894</f>
      </c>
      <c r="K2889" s="20">
        <f>Разбивка_по_щитам!N2894</f>
      </c>
      <c r="L2889" s="20"/>
      <c r="M2889" s="20">
        <f>Разбивка_по_щитам!P2894</f>
      </c>
      <c r="N2889" s="20"/>
    </row>
    <row r="2890" spans="2:14" x14ac:dyDescent="0.25">
      <c r="B2890" s="20">
        <f>Разбивка_по_щитам!B2895</f>
      </c>
      <c r="C2890" s="20">
        <f>Разбивка_по_щитам!C2895</f>
      </c>
      <c r="D2890" s="20">
        <f>Разбивка_по_щитам!F2895</f>
      </c>
      <c r="E2890" s="20">
        <f>Разбивка_по_щитам!H2895</f>
      </c>
      <c r="F2890" s="20">
        <f>Разбивка_по_щитам!I2895</f>
      </c>
      <c r="G2890" s="20">
        <f>Разбивка_по_щитам!J2895</f>
      </c>
      <c r="H2890" s="20">
        <f>Разбивка_по_щитам!K2895</f>
      </c>
      <c r="I2890" s="20">
        <f>Разбивка_по_щитам!L2895</f>
      </c>
      <c r="J2890" s="20">
        <f>Разбивка_по_щитам!M2895</f>
      </c>
      <c r="K2890" s="20">
        <f>Разбивка_по_щитам!N2895</f>
      </c>
      <c r="L2890" s="20"/>
      <c r="M2890" s="20">
        <f>Разбивка_по_щитам!P2895</f>
      </c>
      <c r="N2890" s="20"/>
    </row>
    <row r="2891" spans="2:14" x14ac:dyDescent="0.25">
      <c r="B2891" s="20">
        <f>Разбивка_по_щитам!B2896</f>
      </c>
      <c r="C2891" s="20">
        <f>Разбивка_по_щитам!C2896</f>
      </c>
      <c r="D2891" s="20">
        <f>Разбивка_по_щитам!F2896</f>
      </c>
      <c r="E2891" s="20">
        <f>Разбивка_по_щитам!H2896</f>
      </c>
      <c r="F2891" s="20">
        <f>Разбивка_по_щитам!I2896</f>
      </c>
      <c r="G2891" s="20">
        <f>Разбивка_по_щитам!J2896</f>
      </c>
      <c r="H2891" s="20">
        <f>Разбивка_по_щитам!K2896</f>
      </c>
      <c r="I2891" s="20">
        <f>Разбивка_по_щитам!L2896</f>
      </c>
      <c r="J2891" s="20">
        <f>Разбивка_по_щитам!M2896</f>
      </c>
      <c r="K2891" s="20">
        <f>Разбивка_по_щитам!N2896</f>
      </c>
      <c r="L2891" s="20"/>
      <c r="M2891" s="20">
        <f>Разбивка_по_щитам!P2896</f>
      </c>
      <c r="N2891" s="20"/>
    </row>
    <row r="2892" spans="2:14" x14ac:dyDescent="0.25">
      <c r="B2892" s="20">
        <f>Разбивка_по_щитам!B2897</f>
      </c>
      <c r="C2892" s="20">
        <f>Разбивка_по_щитам!C2897</f>
      </c>
      <c r="D2892" s="20">
        <f>Разбивка_по_щитам!F2897</f>
      </c>
      <c r="E2892" s="20">
        <f>Разбивка_по_щитам!H2897</f>
      </c>
      <c r="F2892" s="20">
        <f>Разбивка_по_щитам!I2897</f>
      </c>
      <c r="G2892" s="20">
        <f>Разбивка_по_щитам!J2897</f>
      </c>
      <c r="H2892" s="20">
        <f>Разбивка_по_щитам!K2897</f>
      </c>
      <c r="I2892" s="20">
        <f>Разбивка_по_щитам!L2897</f>
      </c>
      <c r="J2892" s="20">
        <f>Разбивка_по_щитам!M2897</f>
      </c>
      <c r="K2892" s="20">
        <f>Разбивка_по_щитам!N2897</f>
      </c>
      <c r="L2892" s="20"/>
      <c r="M2892" s="20">
        <f>Разбивка_по_щитам!P2897</f>
      </c>
      <c r="N2892" s="20"/>
    </row>
    <row r="2893" spans="2:14" x14ac:dyDescent="0.25">
      <c r="B2893" s="20">
        <f>Разбивка_по_щитам!B2898</f>
      </c>
      <c r="C2893" s="20">
        <f>Разбивка_по_щитам!C2898</f>
      </c>
      <c r="D2893" s="20">
        <f>Разбивка_по_щитам!F2898</f>
      </c>
      <c r="E2893" s="20">
        <f>Разбивка_по_щитам!H2898</f>
      </c>
      <c r="F2893" s="20">
        <f>Разбивка_по_щитам!I2898</f>
      </c>
      <c r="G2893" s="20">
        <f>Разбивка_по_щитам!J2898</f>
      </c>
      <c r="H2893" s="20">
        <f>Разбивка_по_щитам!K2898</f>
      </c>
      <c r="I2893" s="20">
        <f>Разбивка_по_щитам!L2898</f>
      </c>
      <c r="J2893" s="20">
        <f>Разбивка_по_щитам!M2898</f>
      </c>
      <c r="K2893" s="20">
        <f>Разбивка_по_щитам!N2898</f>
      </c>
      <c r="L2893" s="20"/>
      <c r="M2893" s="20">
        <f>Разбивка_по_щитам!P2898</f>
      </c>
      <c r="N2893" s="20"/>
    </row>
    <row r="2894" spans="2:14" x14ac:dyDescent="0.25">
      <c r="B2894" s="20">
        <f>Разбивка_по_щитам!B2899</f>
      </c>
      <c r="C2894" s="20">
        <f>Разбивка_по_щитам!C2899</f>
      </c>
      <c r="D2894" s="20">
        <f>Разбивка_по_щитам!F2899</f>
      </c>
      <c r="E2894" s="20">
        <f>Разбивка_по_щитам!H2899</f>
      </c>
      <c r="F2894" s="20">
        <f>Разбивка_по_щитам!I2899</f>
      </c>
      <c r="G2894" s="20">
        <f>Разбивка_по_щитам!J2899</f>
      </c>
      <c r="H2894" s="20">
        <f>Разбивка_по_щитам!K2899</f>
      </c>
      <c r="I2894" s="20">
        <f>Разбивка_по_щитам!L2899</f>
      </c>
      <c r="J2894" s="20">
        <f>Разбивка_по_щитам!M2899</f>
      </c>
      <c r="K2894" s="20">
        <f>Разбивка_по_щитам!N2899</f>
      </c>
      <c r="L2894" s="20"/>
      <c r="M2894" s="20">
        <f>Разбивка_по_щитам!P2899</f>
      </c>
      <c r="N2894" s="20"/>
    </row>
    <row r="2895" spans="2:14" x14ac:dyDescent="0.25">
      <c r="B2895" s="20">
        <f>Разбивка_по_щитам!B2900</f>
      </c>
      <c r="C2895" s="20">
        <f>Разбивка_по_щитам!C2900</f>
      </c>
      <c r="D2895" s="20">
        <f>Разбивка_по_щитам!F2900</f>
      </c>
      <c r="E2895" s="20">
        <f>Разбивка_по_щитам!H2900</f>
      </c>
      <c r="F2895" s="20">
        <f>Разбивка_по_щитам!I2900</f>
      </c>
      <c r="G2895" s="20">
        <f>Разбивка_по_щитам!J2900</f>
      </c>
      <c r="H2895" s="20">
        <f>Разбивка_по_щитам!K2900</f>
      </c>
      <c r="I2895" s="20">
        <f>Разбивка_по_щитам!L2900</f>
      </c>
      <c r="J2895" s="20">
        <f>Разбивка_по_щитам!M2900</f>
      </c>
      <c r="K2895" s="20">
        <f>Разбивка_по_щитам!N2900</f>
      </c>
      <c r="L2895" s="20"/>
      <c r="M2895" s="20">
        <f>Разбивка_по_щитам!P2900</f>
      </c>
      <c r="N2895" s="20"/>
    </row>
    <row r="2896" spans="2:14" x14ac:dyDescent="0.25">
      <c r="B2896" s="20">
        <f>Разбивка_по_щитам!B2901</f>
      </c>
      <c r="C2896" s="20">
        <f>Разбивка_по_щитам!C2901</f>
      </c>
      <c r="D2896" s="20">
        <f>Разбивка_по_щитам!F2901</f>
      </c>
      <c r="E2896" s="20">
        <f>Разбивка_по_щитам!H2901</f>
      </c>
      <c r="F2896" s="20">
        <f>Разбивка_по_щитам!I2901</f>
      </c>
      <c r="G2896" s="20">
        <f>Разбивка_по_щитам!J2901</f>
      </c>
      <c r="H2896" s="20">
        <f>Разбивка_по_щитам!K2901</f>
      </c>
      <c r="I2896" s="20">
        <f>Разбивка_по_щитам!L2901</f>
      </c>
      <c r="J2896" s="20">
        <f>Разбивка_по_щитам!M2901</f>
      </c>
      <c r="K2896" s="20">
        <f>Разбивка_по_щитам!N2901</f>
      </c>
      <c r="L2896" s="20"/>
      <c r="M2896" s="20">
        <f>Разбивка_по_щитам!P2901</f>
      </c>
      <c r="N2896" s="20"/>
    </row>
    <row r="2897" spans="2:14" x14ac:dyDescent="0.25">
      <c r="B2897" s="20">
        <f>Разбивка_по_щитам!B2902</f>
      </c>
      <c r="C2897" s="20">
        <f>Разбивка_по_щитам!C2902</f>
      </c>
      <c r="D2897" s="20">
        <f>Разбивка_по_щитам!F2902</f>
      </c>
      <c r="E2897" s="20">
        <f>Разбивка_по_щитам!H2902</f>
      </c>
      <c r="F2897" s="20">
        <f>Разбивка_по_щитам!I2902</f>
      </c>
      <c r="G2897" s="20">
        <f>Разбивка_по_щитам!J2902</f>
      </c>
      <c r="H2897" s="20">
        <f>Разбивка_по_щитам!K2902</f>
      </c>
      <c r="I2897" s="20">
        <f>Разбивка_по_щитам!L2902</f>
      </c>
      <c r="J2897" s="20">
        <f>Разбивка_по_щитам!M2902</f>
      </c>
      <c r="K2897" s="20">
        <f>Разбивка_по_щитам!N2902</f>
      </c>
      <c r="L2897" s="20"/>
      <c r="M2897" s="20">
        <f>Разбивка_по_щитам!P2902</f>
      </c>
      <c r="N2897" s="20"/>
    </row>
    <row r="2898" spans="2:14" x14ac:dyDescent="0.25">
      <c r="B2898" s="20">
        <f>Разбивка_по_щитам!B2903</f>
      </c>
      <c r="C2898" s="20">
        <f>Разбивка_по_щитам!C2903</f>
      </c>
      <c r="D2898" s="20">
        <f>Разбивка_по_щитам!F2903</f>
      </c>
      <c r="E2898" s="20">
        <f>Разбивка_по_щитам!H2903</f>
      </c>
      <c r="F2898" s="20">
        <f>Разбивка_по_щитам!I2903</f>
      </c>
      <c r="G2898" s="20">
        <f>Разбивка_по_щитам!J2903</f>
      </c>
      <c r="H2898" s="20">
        <f>Разбивка_по_щитам!K2903</f>
      </c>
      <c r="I2898" s="20">
        <f>Разбивка_по_щитам!L2903</f>
      </c>
      <c r="J2898" s="20">
        <f>Разбивка_по_щитам!M2903</f>
      </c>
      <c r="K2898" s="20">
        <f>Разбивка_по_щитам!N2903</f>
      </c>
      <c r="L2898" s="20"/>
      <c r="M2898" s="20">
        <f>Разбивка_по_щитам!P2903</f>
      </c>
      <c r="N2898" s="20"/>
    </row>
    <row r="2899" spans="2:14" x14ac:dyDescent="0.25">
      <c r="B2899" s="20">
        <f>Разбивка_по_щитам!B2904</f>
      </c>
      <c r="C2899" s="20">
        <f>Разбивка_по_щитам!C2904</f>
      </c>
      <c r="D2899" s="20">
        <f>Разбивка_по_щитам!F2904</f>
      </c>
      <c r="E2899" s="20">
        <f>Разбивка_по_щитам!H2904</f>
      </c>
      <c r="F2899" s="20">
        <f>Разбивка_по_щитам!I2904</f>
      </c>
      <c r="G2899" s="20">
        <f>Разбивка_по_щитам!J2904</f>
      </c>
      <c r="H2899" s="20">
        <f>Разбивка_по_щитам!K2904</f>
      </c>
      <c r="I2899" s="20">
        <f>Разбивка_по_щитам!L2904</f>
      </c>
      <c r="J2899" s="20">
        <f>Разбивка_по_щитам!M2904</f>
      </c>
      <c r="K2899" s="20">
        <f>Разбивка_по_щитам!N2904</f>
      </c>
      <c r="L2899" s="20"/>
      <c r="M2899" s="20">
        <f>Разбивка_по_щитам!P2904</f>
      </c>
      <c r="N2899" s="20"/>
    </row>
    <row r="2900" spans="2:14" x14ac:dyDescent="0.25">
      <c r="B2900" s="20">
        <f>Разбивка_по_щитам!B2905</f>
      </c>
      <c r="C2900" s="20">
        <f>Разбивка_по_щитам!C2905</f>
      </c>
      <c r="D2900" s="20">
        <f>Разбивка_по_щитам!F2905</f>
      </c>
      <c r="E2900" s="20">
        <f>Разбивка_по_щитам!H2905</f>
      </c>
      <c r="F2900" s="20">
        <f>Разбивка_по_щитам!I2905</f>
      </c>
      <c r="G2900" s="20">
        <f>Разбивка_по_щитам!J2905</f>
      </c>
      <c r="H2900" s="20">
        <f>Разбивка_по_щитам!K2905</f>
      </c>
      <c r="I2900" s="20">
        <f>Разбивка_по_щитам!L2905</f>
      </c>
      <c r="J2900" s="20">
        <f>Разбивка_по_щитам!M2905</f>
      </c>
      <c r="K2900" s="20">
        <f>Разбивка_по_щитам!N2905</f>
      </c>
      <c r="L2900" s="20"/>
      <c r="M2900" s="20">
        <f>Разбивка_по_щитам!P2905</f>
      </c>
      <c r="N2900" s="20"/>
    </row>
    <row r="2901" spans="2:14" x14ac:dyDescent="0.25">
      <c r="B2901" s="20">
        <f>Разбивка_по_щитам!B2906</f>
      </c>
      <c r="C2901" s="20">
        <f>Разбивка_по_щитам!C2906</f>
      </c>
      <c r="D2901" s="20">
        <f>Разбивка_по_щитам!F2906</f>
      </c>
      <c r="E2901" s="20">
        <f>Разбивка_по_щитам!H2906</f>
      </c>
      <c r="F2901" s="20">
        <f>Разбивка_по_щитам!I2906</f>
      </c>
      <c r="G2901" s="20">
        <f>Разбивка_по_щитам!J2906</f>
      </c>
      <c r="H2901" s="20">
        <f>Разбивка_по_щитам!K2906</f>
      </c>
      <c r="I2901" s="20">
        <f>Разбивка_по_щитам!L2906</f>
      </c>
      <c r="J2901" s="20">
        <f>Разбивка_по_щитам!M2906</f>
      </c>
      <c r="K2901" s="20">
        <f>Разбивка_по_щитам!N2906</f>
      </c>
      <c r="L2901" s="20"/>
      <c r="M2901" s="20">
        <f>Разбивка_по_щитам!P2906</f>
      </c>
      <c r="N2901" s="20"/>
    </row>
    <row r="2902" spans="2:14" x14ac:dyDescent="0.25">
      <c r="B2902" s="20">
        <f>Разбивка_по_щитам!B2907</f>
      </c>
      <c r="C2902" s="20">
        <f>Разбивка_по_щитам!C2907</f>
      </c>
      <c r="D2902" s="20">
        <f>Разбивка_по_щитам!F2907</f>
      </c>
      <c r="E2902" s="20">
        <f>Разбивка_по_щитам!H2907</f>
      </c>
      <c r="F2902" s="20">
        <f>Разбивка_по_щитам!I2907</f>
      </c>
      <c r="G2902" s="20">
        <f>Разбивка_по_щитам!J2907</f>
      </c>
      <c r="H2902" s="20">
        <f>Разбивка_по_щитам!K2907</f>
      </c>
      <c r="I2902" s="20">
        <f>Разбивка_по_щитам!L2907</f>
      </c>
      <c r="J2902" s="20">
        <f>Разбивка_по_щитам!M2907</f>
      </c>
      <c r="K2902" s="20">
        <f>Разбивка_по_щитам!N2907</f>
      </c>
      <c r="L2902" s="20"/>
      <c r="M2902" s="20">
        <f>Разбивка_по_щитам!P2907</f>
      </c>
      <c r="N2902" s="20"/>
    </row>
    <row r="2903" spans="2:14" x14ac:dyDescent="0.25">
      <c r="B2903" s="20">
        <f>Разбивка_по_щитам!B2908</f>
      </c>
      <c r="C2903" s="20">
        <f>Разбивка_по_щитам!C2908</f>
      </c>
      <c r="D2903" s="20">
        <f>Разбивка_по_щитам!F2908</f>
      </c>
      <c r="E2903" s="20">
        <f>Разбивка_по_щитам!H2908</f>
      </c>
      <c r="F2903" s="20">
        <f>Разбивка_по_щитам!I2908</f>
      </c>
      <c r="G2903" s="20">
        <f>Разбивка_по_щитам!J2908</f>
      </c>
      <c r="H2903" s="20">
        <f>Разбивка_по_щитам!K2908</f>
      </c>
      <c r="I2903" s="20">
        <f>Разбивка_по_щитам!L2908</f>
      </c>
      <c r="J2903" s="20">
        <f>Разбивка_по_щитам!M2908</f>
      </c>
      <c r="K2903" s="20">
        <f>Разбивка_по_щитам!N2908</f>
      </c>
      <c r="L2903" s="20"/>
      <c r="M2903" s="20">
        <f>Разбивка_по_щитам!P2908</f>
      </c>
      <c r="N2903" s="20"/>
    </row>
    <row r="2904" spans="2:14" x14ac:dyDescent="0.25">
      <c r="B2904" s="20">
        <f>Разбивка_по_щитам!B2909</f>
      </c>
      <c r="C2904" s="20">
        <f>Разбивка_по_щитам!C2909</f>
      </c>
      <c r="D2904" s="20">
        <f>Разбивка_по_щитам!F2909</f>
      </c>
      <c r="E2904" s="20">
        <f>Разбивка_по_щитам!H2909</f>
      </c>
      <c r="F2904" s="20">
        <f>Разбивка_по_щитам!I2909</f>
      </c>
      <c r="G2904" s="20">
        <f>Разбивка_по_щитам!J2909</f>
      </c>
      <c r="H2904" s="20">
        <f>Разбивка_по_щитам!K2909</f>
      </c>
      <c r="I2904" s="20">
        <f>Разбивка_по_щитам!L2909</f>
      </c>
      <c r="J2904" s="20">
        <f>Разбивка_по_щитам!M2909</f>
      </c>
      <c r="K2904" s="20">
        <f>Разбивка_по_щитам!N2909</f>
      </c>
      <c r="L2904" s="20"/>
      <c r="M2904" s="20">
        <f>Разбивка_по_щитам!P2909</f>
      </c>
      <c r="N2904" s="20"/>
    </row>
    <row r="2905" spans="2:14" x14ac:dyDescent="0.25">
      <c r="B2905" s="20">
        <f>Разбивка_по_щитам!B2910</f>
      </c>
      <c r="C2905" s="20">
        <f>Разбивка_по_щитам!C2910</f>
      </c>
      <c r="D2905" s="20">
        <f>Разбивка_по_щитам!F2910</f>
      </c>
      <c r="E2905" s="20">
        <f>Разбивка_по_щитам!H2910</f>
      </c>
      <c r="F2905" s="20">
        <f>Разбивка_по_щитам!I2910</f>
      </c>
      <c r="G2905" s="20">
        <f>Разбивка_по_щитам!J2910</f>
      </c>
      <c r="H2905" s="20">
        <f>Разбивка_по_щитам!K2910</f>
      </c>
      <c r="I2905" s="20">
        <f>Разбивка_по_щитам!L2910</f>
      </c>
      <c r="J2905" s="20">
        <f>Разбивка_по_щитам!M2910</f>
      </c>
      <c r="K2905" s="20">
        <f>Разбивка_по_щитам!N2910</f>
      </c>
      <c r="L2905" s="20"/>
      <c r="M2905" s="20">
        <f>Разбивка_по_щитам!P2910</f>
      </c>
      <c r="N2905" s="20"/>
    </row>
    <row r="2906" spans="2:14" x14ac:dyDescent="0.25">
      <c r="B2906" s="20">
        <f>Разбивка_по_щитам!B2911</f>
      </c>
      <c r="C2906" s="20">
        <f>Разбивка_по_щитам!C2911</f>
      </c>
      <c r="D2906" s="20">
        <f>Разбивка_по_щитам!F2911</f>
      </c>
      <c r="E2906" s="20">
        <f>Разбивка_по_щитам!H2911</f>
      </c>
      <c r="F2906" s="20">
        <f>Разбивка_по_щитам!I2911</f>
      </c>
      <c r="G2906" s="20">
        <f>Разбивка_по_щитам!J2911</f>
      </c>
      <c r="H2906" s="20">
        <f>Разбивка_по_щитам!K2911</f>
      </c>
      <c r="I2906" s="20">
        <f>Разбивка_по_щитам!L2911</f>
      </c>
      <c r="J2906" s="20">
        <f>Разбивка_по_щитам!M2911</f>
      </c>
      <c r="K2906" s="20">
        <f>Разбивка_по_щитам!N2911</f>
      </c>
      <c r="L2906" s="20"/>
      <c r="M2906" s="20">
        <f>Разбивка_по_щитам!P2911</f>
      </c>
      <c r="N2906" s="20"/>
    </row>
    <row r="2907" spans="2:14" x14ac:dyDescent="0.25">
      <c r="B2907" s="20">
        <f>Разбивка_по_щитам!B2912</f>
      </c>
      <c r="C2907" s="20">
        <f>Разбивка_по_щитам!C2912</f>
      </c>
      <c r="D2907" s="20">
        <f>Разбивка_по_щитам!F2912</f>
      </c>
      <c r="E2907" s="20">
        <f>Разбивка_по_щитам!H2912</f>
      </c>
      <c r="F2907" s="20">
        <f>Разбивка_по_щитам!I2912</f>
      </c>
      <c r="G2907" s="20">
        <f>Разбивка_по_щитам!J2912</f>
      </c>
      <c r="H2907" s="20">
        <f>Разбивка_по_щитам!K2912</f>
      </c>
      <c r="I2907" s="20">
        <f>Разбивка_по_щитам!L2912</f>
      </c>
      <c r="J2907" s="20">
        <f>Разбивка_по_щитам!M2912</f>
      </c>
      <c r="K2907" s="20">
        <f>Разбивка_по_щитам!N2912</f>
      </c>
      <c r="L2907" s="20"/>
      <c r="M2907" s="20">
        <f>Разбивка_по_щитам!P2912</f>
      </c>
      <c r="N2907" s="20"/>
    </row>
    <row r="2908" spans="2:14" x14ac:dyDescent="0.25">
      <c r="B2908" s="20">
        <f>Разбивка_по_щитам!B2913</f>
      </c>
      <c r="C2908" s="20">
        <f>Разбивка_по_щитам!C2913</f>
      </c>
      <c r="D2908" s="20">
        <f>Разбивка_по_щитам!F2913</f>
      </c>
      <c r="E2908" s="20">
        <f>Разбивка_по_щитам!H2913</f>
      </c>
      <c r="F2908" s="20">
        <f>Разбивка_по_щитам!I2913</f>
      </c>
      <c r="G2908" s="20">
        <f>Разбивка_по_щитам!J2913</f>
      </c>
      <c r="H2908" s="20">
        <f>Разбивка_по_щитам!K2913</f>
      </c>
      <c r="I2908" s="20">
        <f>Разбивка_по_щитам!L2913</f>
      </c>
      <c r="J2908" s="20">
        <f>Разбивка_по_щитам!M2913</f>
      </c>
      <c r="K2908" s="20">
        <f>Разбивка_по_щитам!N2913</f>
      </c>
      <c r="L2908" s="20"/>
      <c r="M2908" s="20">
        <f>Разбивка_по_щитам!P2913</f>
      </c>
      <c r="N2908" s="20"/>
    </row>
    <row r="2909" spans="2:14" x14ac:dyDescent="0.25">
      <c r="B2909" s="20">
        <f>Разбивка_по_щитам!B2914</f>
      </c>
      <c r="C2909" s="20">
        <f>Разбивка_по_щитам!C2914</f>
      </c>
      <c r="D2909" s="20">
        <f>Разбивка_по_щитам!F2914</f>
      </c>
      <c r="E2909" s="20">
        <f>Разбивка_по_щитам!H2914</f>
      </c>
      <c r="F2909" s="20">
        <f>Разбивка_по_щитам!I2914</f>
      </c>
      <c r="G2909" s="20">
        <f>Разбивка_по_щитам!J2914</f>
      </c>
      <c r="H2909" s="20">
        <f>Разбивка_по_щитам!K2914</f>
      </c>
      <c r="I2909" s="20">
        <f>Разбивка_по_щитам!L2914</f>
      </c>
      <c r="J2909" s="20">
        <f>Разбивка_по_щитам!M2914</f>
      </c>
      <c r="K2909" s="20">
        <f>Разбивка_по_щитам!N2914</f>
      </c>
      <c r="L2909" s="20"/>
      <c r="M2909" s="20">
        <f>Разбивка_по_щитам!P2914</f>
      </c>
      <c r="N2909" s="20"/>
    </row>
    <row r="2910" spans="2:14" x14ac:dyDescent="0.25">
      <c r="B2910" s="20">
        <f>Разбивка_по_щитам!B2915</f>
      </c>
      <c r="C2910" s="20">
        <f>Разбивка_по_щитам!C2915</f>
      </c>
      <c r="D2910" s="20">
        <f>Разбивка_по_щитам!F2915</f>
      </c>
      <c r="E2910" s="20">
        <f>Разбивка_по_щитам!H2915</f>
      </c>
      <c r="F2910" s="20">
        <f>Разбивка_по_щитам!I2915</f>
      </c>
      <c r="G2910" s="20">
        <f>Разбивка_по_щитам!J2915</f>
      </c>
      <c r="H2910" s="20">
        <f>Разбивка_по_щитам!K2915</f>
      </c>
      <c r="I2910" s="20">
        <f>Разбивка_по_щитам!L2915</f>
      </c>
      <c r="J2910" s="20">
        <f>Разбивка_по_щитам!M2915</f>
      </c>
      <c r="K2910" s="20">
        <f>Разбивка_по_щитам!N2915</f>
      </c>
      <c r="L2910" s="20"/>
      <c r="M2910" s="20">
        <f>Разбивка_по_щитам!P2915</f>
      </c>
      <c r="N2910" s="20"/>
    </row>
    <row r="2911" spans="2:14" x14ac:dyDescent="0.25">
      <c r="B2911" s="20">
        <f>Разбивка_по_щитам!B2916</f>
      </c>
      <c r="C2911" s="20">
        <f>Разбивка_по_щитам!C2916</f>
      </c>
      <c r="D2911" s="20">
        <f>Разбивка_по_щитам!F2916</f>
      </c>
      <c r="E2911" s="20">
        <f>Разбивка_по_щитам!H2916</f>
      </c>
      <c r="F2911" s="20">
        <f>Разбивка_по_щитам!I2916</f>
      </c>
      <c r="G2911" s="20">
        <f>Разбивка_по_щитам!J2916</f>
      </c>
      <c r="H2911" s="20">
        <f>Разбивка_по_щитам!K2916</f>
      </c>
      <c r="I2911" s="20">
        <f>Разбивка_по_щитам!L2916</f>
      </c>
      <c r="J2911" s="20">
        <f>Разбивка_по_щитам!M2916</f>
      </c>
      <c r="K2911" s="20">
        <f>Разбивка_по_щитам!N2916</f>
      </c>
      <c r="L2911" s="20"/>
      <c r="M2911" s="20">
        <f>Разбивка_по_щитам!P2916</f>
      </c>
      <c r="N2911" s="20"/>
    </row>
    <row r="2912" spans="2:14" x14ac:dyDescent="0.25">
      <c r="B2912" s="20">
        <f>Разбивка_по_щитам!B2917</f>
      </c>
      <c r="C2912" s="20">
        <f>Разбивка_по_щитам!C2917</f>
      </c>
      <c r="D2912" s="20">
        <f>Разбивка_по_щитам!F2917</f>
      </c>
      <c r="E2912" s="20">
        <f>Разбивка_по_щитам!H2917</f>
      </c>
      <c r="F2912" s="20">
        <f>Разбивка_по_щитам!I2917</f>
      </c>
      <c r="G2912" s="20">
        <f>Разбивка_по_щитам!J2917</f>
      </c>
      <c r="H2912" s="20">
        <f>Разбивка_по_щитам!K2917</f>
      </c>
      <c r="I2912" s="20">
        <f>Разбивка_по_щитам!L2917</f>
      </c>
      <c r="J2912" s="20">
        <f>Разбивка_по_щитам!M2917</f>
      </c>
      <c r="K2912" s="20">
        <f>Разбивка_по_щитам!N2917</f>
      </c>
      <c r="L2912" s="20"/>
      <c r="M2912" s="20">
        <f>Разбивка_по_щитам!P2917</f>
      </c>
      <c r="N2912" s="20"/>
    </row>
    <row r="2913" spans="2:14" x14ac:dyDescent="0.25">
      <c r="B2913" s="20">
        <f>Разбивка_по_щитам!B2918</f>
      </c>
      <c r="C2913" s="20">
        <f>Разбивка_по_щитам!C2918</f>
      </c>
      <c r="D2913" s="20">
        <f>Разбивка_по_щитам!F2918</f>
      </c>
      <c r="E2913" s="20">
        <f>Разбивка_по_щитам!H2918</f>
      </c>
      <c r="F2913" s="20">
        <f>Разбивка_по_щитам!I2918</f>
      </c>
      <c r="G2913" s="20">
        <f>Разбивка_по_щитам!J2918</f>
      </c>
      <c r="H2913" s="20">
        <f>Разбивка_по_щитам!K2918</f>
      </c>
      <c r="I2913" s="20">
        <f>Разбивка_по_щитам!L2918</f>
      </c>
      <c r="J2913" s="20">
        <f>Разбивка_по_щитам!M2918</f>
      </c>
      <c r="K2913" s="20">
        <f>Разбивка_по_щитам!N2918</f>
      </c>
      <c r="L2913" s="20"/>
      <c r="M2913" s="20">
        <f>Разбивка_по_щитам!P2918</f>
      </c>
      <c r="N2913" s="20"/>
    </row>
    <row r="2914" spans="2:14" x14ac:dyDescent="0.25">
      <c r="B2914" s="20">
        <f>Разбивка_по_щитам!B2919</f>
      </c>
      <c r="C2914" s="20">
        <f>Разбивка_по_щитам!C2919</f>
      </c>
      <c r="D2914" s="20">
        <f>Разбивка_по_щитам!F2919</f>
      </c>
      <c r="E2914" s="20">
        <f>Разбивка_по_щитам!H2919</f>
      </c>
      <c r="F2914" s="20">
        <f>Разбивка_по_щитам!I2919</f>
      </c>
      <c r="G2914" s="20">
        <f>Разбивка_по_щитам!J2919</f>
      </c>
      <c r="H2914" s="20">
        <f>Разбивка_по_щитам!K2919</f>
      </c>
      <c r="I2914" s="20">
        <f>Разбивка_по_щитам!L2919</f>
      </c>
      <c r="J2914" s="20">
        <f>Разбивка_по_щитам!M2919</f>
      </c>
      <c r="K2914" s="20">
        <f>Разбивка_по_щитам!N2919</f>
      </c>
      <c r="L2914" s="20"/>
      <c r="M2914" s="20">
        <f>Разбивка_по_щитам!P2919</f>
      </c>
      <c r="N2914" s="20"/>
    </row>
    <row r="2915" spans="2:14" x14ac:dyDescent="0.25">
      <c r="B2915" s="20">
        <f>Разбивка_по_щитам!B2920</f>
      </c>
      <c r="C2915" s="20">
        <f>Разбивка_по_щитам!C2920</f>
      </c>
      <c r="D2915" s="20">
        <f>Разбивка_по_щитам!F2920</f>
      </c>
      <c r="E2915" s="20">
        <f>Разбивка_по_щитам!H2920</f>
      </c>
      <c r="F2915" s="20">
        <f>Разбивка_по_щитам!I2920</f>
      </c>
      <c r="G2915" s="20">
        <f>Разбивка_по_щитам!J2920</f>
      </c>
      <c r="H2915" s="20">
        <f>Разбивка_по_щитам!K2920</f>
      </c>
      <c r="I2915" s="20">
        <f>Разбивка_по_щитам!L2920</f>
      </c>
      <c r="J2915" s="20">
        <f>Разбивка_по_щитам!M2920</f>
      </c>
      <c r="K2915" s="20">
        <f>Разбивка_по_щитам!N2920</f>
      </c>
      <c r="L2915" s="20"/>
      <c r="M2915" s="20">
        <f>Разбивка_по_щитам!P2920</f>
      </c>
      <c r="N2915" s="20"/>
    </row>
    <row r="2916" spans="2:14" x14ac:dyDescent="0.25">
      <c r="B2916" s="20">
        <f>Разбивка_по_щитам!B2921</f>
      </c>
      <c r="C2916" s="20">
        <f>Разбивка_по_щитам!C2921</f>
      </c>
      <c r="D2916" s="20">
        <f>Разбивка_по_щитам!F2921</f>
      </c>
      <c r="E2916" s="20">
        <f>Разбивка_по_щитам!H2921</f>
      </c>
      <c r="F2916" s="20">
        <f>Разбивка_по_щитам!I2921</f>
      </c>
      <c r="G2916" s="20">
        <f>Разбивка_по_щитам!J2921</f>
      </c>
      <c r="H2916" s="20">
        <f>Разбивка_по_щитам!K2921</f>
      </c>
      <c r="I2916" s="20">
        <f>Разбивка_по_щитам!L2921</f>
      </c>
      <c r="J2916" s="20">
        <f>Разбивка_по_щитам!M2921</f>
      </c>
      <c r="K2916" s="20">
        <f>Разбивка_по_щитам!N2921</f>
      </c>
      <c r="L2916" s="20"/>
      <c r="M2916" s="20">
        <f>Разбивка_по_щитам!P2921</f>
      </c>
      <c r="N2916" s="20"/>
    </row>
    <row r="2917" spans="2:14" x14ac:dyDescent="0.25">
      <c r="B2917" s="20">
        <f>Разбивка_по_щитам!B2922</f>
      </c>
      <c r="C2917" s="20">
        <f>Разбивка_по_щитам!C2922</f>
      </c>
      <c r="D2917" s="20">
        <f>Разбивка_по_щитам!F2922</f>
      </c>
      <c r="E2917" s="20">
        <f>Разбивка_по_щитам!H2922</f>
      </c>
      <c r="F2917" s="20">
        <f>Разбивка_по_щитам!I2922</f>
      </c>
      <c r="G2917" s="20">
        <f>Разбивка_по_щитам!J2922</f>
      </c>
      <c r="H2917" s="20">
        <f>Разбивка_по_щитам!K2922</f>
      </c>
      <c r="I2917" s="20">
        <f>Разбивка_по_щитам!L2922</f>
      </c>
      <c r="J2917" s="20">
        <f>Разбивка_по_щитам!M2922</f>
      </c>
      <c r="K2917" s="20">
        <f>Разбивка_по_щитам!N2922</f>
      </c>
      <c r="L2917" s="20"/>
      <c r="M2917" s="20">
        <f>Разбивка_по_щитам!P2922</f>
      </c>
      <c r="N2917" s="20"/>
    </row>
    <row r="2918" spans="2:14" x14ac:dyDescent="0.25">
      <c r="B2918" s="20">
        <f>Разбивка_по_щитам!B2923</f>
      </c>
      <c r="C2918" s="20">
        <f>Разбивка_по_щитам!C2923</f>
      </c>
      <c r="D2918" s="20">
        <f>Разбивка_по_щитам!F2923</f>
      </c>
      <c r="E2918" s="20">
        <f>Разбивка_по_щитам!H2923</f>
      </c>
      <c r="F2918" s="20">
        <f>Разбивка_по_щитам!I2923</f>
      </c>
      <c r="G2918" s="20">
        <f>Разбивка_по_щитам!J2923</f>
      </c>
      <c r="H2918" s="20">
        <f>Разбивка_по_щитам!K2923</f>
      </c>
      <c r="I2918" s="20">
        <f>Разбивка_по_щитам!L2923</f>
      </c>
      <c r="J2918" s="20">
        <f>Разбивка_по_щитам!M2923</f>
      </c>
      <c r="K2918" s="20">
        <f>Разбивка_по_щитам!N2923</f>
      </c>
      <c r="L2918" s="20"/>
      <c r="M2918" s="20">
        <f>Разбивка_по_щитам!P2923</f>
      </c>
      <c r="N2918" s="20"/>
    </row>
    <row r="2919" spans="2:14" x14ac:dyDescent="0.25">
      <c r="B2919" s="20">
        <f>Разбивка_по_щитам!B2924</f>
      </c>
      <c r="C2919" s="20">
        <f>Разбивка_по_щитам!C2924</f>
      </c>
      <c r="D2919" s="20">
        <f>Разбивка_по_щитам!F2924</f>
      </c>
      <c r="E2919" s="20">
        <f>Разбивка_по_щитам!H2924</f>
      </c>
      <c r="F2919" s="20">
        <f>Разбивка_по_щитам!I2924</f>
      </c>
      <c r="G2919" s="20">
        <f>Разбивка_по_щитам!J2924</f>
      </c>
      <c r="H2919" s="20">
        <f>Разбивка_по_щитам!K2924</f>
      </c>
      <c r="I2919" s="20">
        <f>Разбивка_по_щитам!L2924</f>
      </c>
      <c r="J2919" s="20">
        <f>Разбивка_по_щитам!M2924</f>
      </c>
      <c r="K2919" s="20">
        <f>Разбивка_по_щитам!N2924</f>
      </c>
      <c r="L2919" s="20"/>
      <c r="M2919" s="20">
        <f>Разбивка_по_щитам!P2924</f>
      </c>
      <c r="N2919" s="20"/>
    </row>
    <row r="2920" spans="2:14" x14ac:dyDescent="0.25">
      <c r="B2920" s="20">
        <f>Разбивка_по_щитам!B2925</f>
      </c>
      <c r="C2920" s="20">
        <f>Разбивка_по_щитам!C2925</f>
      </c>
      <c r="D2920" s="20">
        <f>Разбивка_по_щитам!F2925</f>
      </c>
      <c r="E2920" s="20">
        <f>Разбивка_по_щитам!H2925</f>
      </c>
      <c r="F2920" s="20">
        <f>Разбивка_по_щитам!I2925</f>
      </c>
      <c r="G2920" s="20">
        <f>Разбивка_по_щитам!J2925</f>
      </c>
      <c r="H2920" s="20">
        <f>Разбивка_по_щитам!K2925</f>
      </c>
      <c r="I2920" s="20">
        <f>Разбивка_по_щитам!L2925</f>
      </c>
      <c r="J2920" s="20">
        <f>Разбивка_по_щитам!M2925</f>
      </c>
      <c r="K2920" s="20">
        <f>Разбивка_по_щитам!N2925</f>
      </c>
      <c r="L2920" s="20"/>
      <c r="M2920" s="20">
        <f>Разбивка_по_щитам!P2925</f>
      </c>
      <c r="N2920" s="20"/>
    </row>
    <row r="2921" spans="2:14" x14ac:dyDescent="0.25">
      <c r="B2921" s="20">
        <f>Разбивка_по_щитам!B2926</f>
      </c>
      <c r="C2921" s="20">
        <f>Разбивка_по_щитам!C2926</f>
      </c>
      <c r="D2921" s="20">
        <f>Разбивка_по_щитам!F2926</f>
      </c>
      <c r="E2921" s="20">
        <f>Разбивка_по_щитам!H2926</f>
      </c>
      <c r="F2921" s="20">
        <f>Разбивка_по_щитам!I2926</f>
      </c>
      <c r="G2921" s="20">
        <f>Разбивка_по_щитам!J2926</f>
      </c>
      <c r="H2921" s="20">
        <f>Разбивка_по_щитам!K2926</f>
      </c>
      <c r="I2921" s="20">
        <f>Разбивка_по_щитам!L2926</f>
      </c>
      <c r="J2921" s="20">
        <f>Разбивка_по_щитам!M2926</f>
      </c>
      <c r="K2921" s="20">
        <f>Разбивка_по_щитам!N2926</f>
      </c>
      <c r="L2921" s="20"/>
      <c r="M2921" s="20">
        <f>Разбивка_по_щитам!P2926</f>
      </c>
      <c r="N2921" s="20"/>
    </row>
    <row r="2922" spans="2:14" x14ac:dyDescent="0.25">
      <c r="B2922" s="20">
        <f>Разбивка_по_щитам!B2927</f>
      </c>
      <c r="C2922" s="20">
        <f>Разбивка_по_щитам!C2927</f>
      </c>
      <c r="D2922" s="20">
        <f>Разбивка_по_щитам!F2927</f>
      </c>
      <c r="E2922" s="20">
        <f>Разбивка_по_щитам!H2927</f>
      </c>
      <c r="F2922" s="20">
        <f>Разбивка_по_щитам!I2927</f>
      </c>
      <c r="G2922" s="20">
        <f>Разбивка_по_щитам!J2927</f>
      </c>
      <c r="H2922" s="20">
        <f>Разбивка_по_щитам!K2927</f>
      </c>
      <c r="I2922" s="20">
        <f>Разбивка_по_щитам!L2927</f>
      </c>
      <c r="J2922" s="20">
        <f>Разбивка_по_щитам!M2927</f>
      </c>
      <c r="K2922" s="20">
        <f>Разбивка_по_щитам!N2927</f>
      </c>
      <c r="L2922" s="20"/>
      <c r="M2922" s="20">
        <f>Разбивка_по_щитам!P2927</f>
      </c>
      <c r="N2922" s="20"/>
    </row>
    <row r="2923" spans="2:14" x14ac:dyDescent="0.25">
      <c r="B2923" s="20">
        <f>Разбивка_по_щитам!B2928</f>
      </c>
      <c r="C2923" s="20">
        <f>Разбивка_по_щитам!C2928</f>
      </c>
      <c r="D2923" s="20">
        <f>Разбивка_по_щитам!F2928</f>
      </c>
      <c r="E2923" s="20">
        <f>Разбивка_по_щитам!H2928</f>
      </c>
      <c r="F2923" s="20">
        <f>Разбивка_по_щитам!I2928</f>
      </c>
      <c r="G2923" s="20">
        <f>Разбивка_по_щитам!J2928</f>
      </c>
      <c r="H2923" s="20">
        <f>Разбивка_по_щитам!K2928</f>
      </c>
      <c r="I2923" s="20">
        <f>Разбивка_по_щитам!L2928</f>
      </c>
      <c r="J2923" s="20">
        <f>Разбивка_по_щитам!M2928</f>
      </c>
      <c r="K2923" s="20">
        <f>Разбивка_по_щитам!N2928</f>
      </c>
      <c r="L2923" s="20"/>
      <c r="M2923" s="20">
        <f>Разбивка_по_щитам!P2928</f>
      </c>
      <c r="N2923" s="20"/>
    </row>
    <row r="2924" spans="2:14" x14ac:dyDescent="0.25">
      <c r="B2924" s="20">
        <f>Разбивка_по_щитам!B2929</f>
      </c>
      <c r="C2924" s="20">
        <f>Разбивка_по_щитам!C2929</f>
      </c>
      <c r="D2924" s="20">
        <f>Разбивка_по_щитам!F2929</f>
      </c>
      <c r="E2924" s="20">
        <f>Разбивка_по_щитам!H2929</f>
      </c>
      <c r="F2924" s="20">
        <f>Разбивка_по_щитам!I2929</f>
      </c>
      <c r="G2924" s="20">
        <f>Разбивка_по_щитам!J2929</f>
      </c>
      <c r="H2924" s="20">
        <f>Разбивка_по_щитам!K2929</f>
      </c>
      <c r="I2924" s="20">
        <f>Разбивка_по_щитам!L2929</f>
      </c>
      <c r="J2924" s="20">
        <f>Разбивка_по_щитам!M2929</f>
      </c>
      <c r="K2924" s="20">
        <f>Разбивка_по_щитам!N2929</f>
      </c>
      <c r="L2924" s="20"/>
      <c r="M2924" s="20">
        <f>Разбивка_по_щитам!P2929</f>
      </c>
      <c r="N2924" s="20"/>
    </row>
    <row r="2925" spans="2:14" x14ac:dyDescent="0.25">
      <c r="B2925" s="20">
        <f>Разбивка_по_щитам!B2930</f>
      </c>
      <c r="C2925" s="20">
        <f>Разбивка_по_щитам!C2930</f>
      </c>
      <c r="D2925" s="20">
        <f>Разбивка_по_щитам!F2930</f>
      </c>
      <c r="E2925" s="20">
        <f>Разбивка_по_щитам!H2930</f>
      </c>
      <c r="F2925" s="20">
        <f>Разбивка_по_щитам!I2930</f>
      </c>
      <c r="G2925" s="20">
        <f>Разбивка_по_щитам!J2930</f>
      </c>
      <c r="H2925" s="20">
        <f>Разбивка_по_щитам!K2930</f>
      </c>
      <c r="I2925" s="20">
        <f>Разбивка_по_щитам!L2930</f>
      </c>
      <c r="J2925" s="20">
        <f>Разбивка_по_щитам!M2930</f>
      </c>
      <c r="K2925" s="20">
        <f>Разбивка_по_щитам!N2930</f>
      </c>
      <c r="L2925" s="20"/>
      <c r="M2925" s="20">
        <f>Разбивка_по_щитам!P2930</f>
      </c>
      <c r="N2925" s="20"/>
    </row>
    <row r="2926" spans="2:14" x14ac:dyDescent="0.25">
      <c r="B2926" s="20">
        <f>Разбивка_по_щитам!B2931</f>
      </c>
      <c r="C2926" s="20">
        <f>Разбивка_по_щитам!C2931</f>
      </c>
      <c r="D2926" s="20">
        <f>Разбивка_по_щитам!F2931</f>
      </c>
      <c r="E2926" s="20">
        <f>Разбивка_по_щитам!H2931</f>
      </c>
      <c r="F2926" s="20">
        <f>Разбивка_по_щитам!I2931</f>
      </c>
      <c r="G2926" s="20">
        <f>Разбивка_по_щитам!J2931</f>
      </c>
      <c r="H2926" s="20">
        <f>Разбивка_по_щитам!K2931</f>
      </c>
      <c r="I2926" s="20">
        <f>Разбивка_по_щитам!L2931</f>
      </c>
      <c r="J2926" s="20">
        <f>Разбивка_по_щитам!M2931</f>
      </c>
      <c r="K2926" s="20">
        <f>Разбивка_по_щитам!N2931</f>
      </c>
      <c r="L2926" s="20"/>
      <c r="M2926" s="20">
        <f>Разбивка_по_щитам!P2931</f>
      </c>
      <c r="N2926" s="20"/>
    </row>
    <row r="2927" spans="2:14" x14ac:dyDescent="0.25">
      <c r="B2927" s="20">
        <f>Разбивка_по_щитам!B2932</f>
      </c>
      <c r="C2927" s="20">
        <f>Разбивка_по_щитам!C2932</f>
      </c>
      <c r="D2927" s="20">
        <f>Разбивка_по_щитам!F2932</f>
      </c>
      <c r="E2927" s="20">
        <f>Разбивка_по_щитам!H2932</f>
      </c>
      <c r="F2927" s="20">
        <f>Разбивка_по_щитам!I2932</f>
      </c>
      <c r="G2927" s="20">
        <f>Разбивка_по_щитам!J2932</f>
      </c>
      <c r="H2927" s="20">
        <f>Разбивка_по_щитам!K2932</f>
      </c>
      <c r="I2927" s="20">
        <f>Разбивка_по_щитам!L2932</f>
      </c>
      <c r="J2927" s="20">
        <f>Разбивка_по_щитам!M2932</f>
      </c>
      <c r="K2927" s="20">
        <f>Разбивка_по_щитам!N2932</f>
      </c>
      <c r="L2927" s="20"/>
      <c r="M2927" s="20">
        <f>Разбивка_по_щитам!P2932</f>
      </c>
      <c r="N2927" s="20"/>
    </row>
    <row r="2928" spans="2:14" x14ac:dyDescent="0.25">
      <c r="B2928" s="20">
        <f>Разбивка_по_щитам!B2933</f>
      </c>
      <c r="C2928" s="20">
        <f>Разбивка_по_щитам!C2933</f>
      </c>
      <c r="D2928" s="20">
        <f>Разбивка_по_щитам!F2933</f>
      </c>
      <c r="E2928" s="20">
        <f>Разбивка_по_щитам!H2933</f>
      </c>
      <c r="F2928" s="20">
        <f>Разбивка_по_щитам!I2933</f>
      </c>
      <c r="G2928" s="20">
        <f>Разбивка_по_щитам!J2933</f>
      </c>
      <c r="H2928" s="20">
        <f>Разбивка_по_щитам!K2933</f>
      </c>
      <c r="I2928" s="20">
        <f>Разбивка_по_щитам!L2933</f>
      </c>
      <c r="J2928" s="20">
        <f>Разбивка_по_щитам!M2933</f>
      </c>
      <c r="K2928" s="20">
        <f>Разбивка_по_щитам!N2933</f>
      </c>
      <c r="L2928" s="20"/>
      <c r="M2928" s="20">
        <f>Разбивка_по_щитам!P2933</f>
      </c>
      <c r="N2928" s="20"/>
    </row>
    <row r="2929" spans="2:14" x14ac:dyDescent="0.25">
      <c r="B2929" s="20">
        <f>Разбивка_по_щитам!B2934</f>
      </c>
      <c r="C2929" s="20">
        <f>Разбивка_по_щитам!C2934</f>
      </c>
      <c r="D2929" s="20">
        <f>Разбивка_по_щитам!F2934</f>
      </c>
      <c r="E2929" s="20">
        <f>Разбивка_по_щитам!H2934</f>
      </c>
      <c r="F2929" s="20">
        <f>Разбивка_по_щитам!I2934</f>
      </c>
      <c r="G2929" s="20">
        <f>Разбивка_по_щитам!J2934</f>
      </c>
      <c r="H2929" s="20">
        <f>Разбивка_по_щитам!K2934</f>
      </c>
      <c r="I2929" s="20">
        <f>Разбивка_по_щитам!L2934</f>
      </c>
      <c r="J2929" s="20">
        <f>Разбивка_по_щитам!M2934</f>
      </c>
      <c r="K2929" s="20">
        <f>Разбивка_по_щитам!N2934</f>
      </c>
      <c r="L2929" s="20"/>
      <c r="M2929" s="20">
        <f>Разбивка_по_щитам!P2934</f>
      </c>
      <c r="N2929" s="20"/>
    </row>
    <row r="2930" spans="2:14" x14ac:dyDescent="0.25">
      <c r="B2930" s="20">
        <f>Разбивка_по_щитам!B2935</f>
      </c>
      <c r="C2930" s="20">
        <f>Разбивка_по_щитам!C2935</f>
      </c>
      <c r="D2930" s="20">
        <f>Разбивка_по_щитам!F2935</f>
      </c>
      <c r="E2930" s="20">
        <f>Разбивка_по_щитам!H2935</f>
      </c>
      <c r="F2930" s="20">
        <f>Разбивка_по_щитам!I2935</f>
      </c>
      <c r="G2930" s="20">
        <f>Разбивка_по_щитам!J2935</f>
      </c>
      <c r="H2930" s="20">
        <f>Разбивка_по_щитам!K2935</f>
      </c>
      <c r="I2930" s="20">
        <f>Разбивка_по_щитам!L2935</f>
      </c>
      <c r="J2930" s="20">
        <f>Разбивка_по_щитам!M2935</f>
      </c>
      <c r="K2930" s="20">
        <f>Разбивка_по_щитам!N2935</f>
      </c>
      <c r="L2930" s="20"/>
      <c r="M2930" s="20">
        <f>Разбивка_по_щитам!P2935</f>
      </c>
      <c r="N2930" s="20"/>
    </row>
    <row r="2931" spans="2:14" x14ac:dyDescent="0.25">
      <c r="B2931" s="20">
        <f>Разбивка_по_щитам!B2936</f>
      </c>
      <c r="C2931" s="20">
        <f>Разбивка_по_щитам!C2936</f>
      </c>
      <c r="D2931" s="20">
        <f>Разбивка_по_щитам!F2936</f>
      </c>
      <c r="E2931" s="20">
        <f>Разбивка_по_щитам!H2936</f>
      </c>
      <c r="F2931" s="20">
        <f>Разбивка_по_щитам!I2936</f>
      </c>
      <c r="G2931" s="20">
        <f>Разбивка_по_щитам!J2936</f>
      </c>
      <c r="H2931" s="20">
        <f>Разбивка_по_щитам!K2936</f>
      </c>
      <c r="I2931" s="20">
        <f>Разбивка_по_щитам!L2936</f>
      </c>
      <c r="J2931" s="20">
        <f>Разбивка_по_щитам!M2936</f>
      </c>
      <c r="K2931" s="20">
        <f>Разбивка_по_щитам!N2936</f>
      </c>
      <c r="L2931" s="20"/>
      <c r="M2931" s="20">
        <f>Разбивка_по_щитам!P2936</f>
      </c>
      <c r="N2931" s="20"/>
    </row>
    <row r="2932" spans="2:14" x14ac:dyDescent="0.25">
      <c r="B2932" s="20">
        <f>Разбивка_по_щитам!B2937</f>
      </c>
      <c r="C2932" s="20">
        <f>Разбивка_по_щитам!C2937</f>
      </c>
      <c r="D2932" s="20">
        <f>Разбивка_по_щитам!F2937</f>
      </c>
      <c r="E2932" s="20">
        <f>Разбивка_по_щитам!H2937</f>
      </c>
      <c r="F2932" s="20">
        <f>Разбивка_по_щитам!I2937</f>
      </c>
      <c r="G2932" s="20">
        <f>Разбивка_по_щитам!J2937</f>
      </c>
      <c r="H2932" s="20">
        <f>Разбивка_по_щитам!K2937</f>
      </c>
      <c r="I2932" s="20">
        <f>Разбивка_по_щитам!L2937</f>
      </c>
      <c r="J2932" s="20">
        <f>Разбивка_по_щитам!M2937</f>
      </c>
      <c r="K2932" s="20">
        <f>Разбивка_по_щитам!N2937</f>
      </c>
      <c r="L2932" s="20"/>
      <c r="M2932" s="20">
        <f>Разбивка_по_щитам!P2937</f>
      </c>
      <c r="N2932" s="20"/>
    </row>
    <row r="2933" spans="2:14" x14ac:dyDescent="0.25">
      <c r="B2933" s="20">
        <f>Разбивка_по_щитам!B2938</f>
      </c>
      <c r="C2933" s="20">
        <f>Разбивка_по_щитам!C2938</f>
      </c>
      <c r="D2933" s="20">
        <f>Разбивка_по_щитам!F2938</f>
      </c>
      <c r="E2933" s="20">
        <f>Разбивка_по_щитам!H2938</f>
      </c>
      <c r="F2933" s="20">
        <f>Разбивка_по_щитам!I2938</f>
      </c>
      <c r="G2933" s="20">
        <f>Разбивка_по_щитам!J2938</f>
      </c>
      <c r="H2933" s="20">
        <f>Разбивка_по_щитам!K2938</f>
      </c>
      <c r="I2933" s="20">
        <f>Разбивка_по_щитам!L2938</f>
      </c>
      <c r="J2933" s="20">
        <f>Разбивка_по_щитам!M2938</f>
      </c>
      <c r="K2933" s="20">
        <f>Разбивка_по_щитам!N2938</f>
      </c>
      <c r="L2933" s="20"/>
      <c r="M2933" s="20">
        <f>Разбивка_по_щитам!P2938</f>
      </c>
      <c r="N2933" s="20"/>
    </row>
    <row r="2934" spans="2:14" x14ac:dyDescent="0.25">
      <c r="B2934" s="20">
        <f>Разбивка_по_щитам!B2939</f>
      </c>
      <c r="C2934" s="20">
        <f>Разбивка_по_щитам!C2939</f>
      </c>
      <c r="D2934" s="20">
        <f>Разбивка_по_щитам!F2939</f>
      </c>
      <c r="E2934" s="20">
        <f>Разбивка_по_щитам!H2939</f>
      </c>
      <c r="F2934" s="20">
        <f>Разбивка_по_щитам!I2939</f>
      </c>
      <c r="G2934" s="20">
        <f>Разбивка_по_щитам!J2939</f>
      </c>
      <c r="H2934" s="20">
        <f>Разбивка_по_щитам!K2939</f>
      </c>
      <c r="I2934" s="20">
        <f>Разбивка_по_щитам!L2939</f>
      </c>
      <c r="J2934" s="20">
        <f>Разбивка_по_щитам!M2939</f>
      </c>
      <c r="K2934" s="20">
        <f>Разбивка_по_щитам!N2939</f>
      </c>
      <c r="L2934" s="20"/>
      <c r="M2934" s="20">
        <f>Разбивка_по_щитам!P2939</f>
      </c>
      <c r="N2934" s="20"/>
    </row>
    <row r="2935" spans="2:14" x14ac:dyDescent="0.25">
      <c r="B2935" s="20">
        <f>Разбивка_по_щитам!B2940</f>
      </c>
      <c r="C2935" s="20">
        <f>Разбивка_по_щитам!C2940</f>
      </c>
      <c r="D2935" s="20">
        <f>Разбивка_по_щитам!F2940</f>
      </c>
      <c r="E2935" s="20">
        <f>Разбивка_по_щитам!H2940</f>
      </c>
      <c r="F2935" s="20">
        <f>Разбивка_по_щитам!I2940</f>
      </c>
      <c r="G2935" s="20">
        <f>Разбивка_по_щитам!J2940</f>
      </c>
      <c r="H2935" s="20">
        <f>Разбивка_по_щитам!K2940</f>
      </c>
      <c r="I2935" s="20">
        <f>Разбивка_по_щитам!L2940</f>
      </c>
      <c r="J2935" s="20">
        <f>Разбивка_по_щитам!M2940</f>
      </c>
      <c r="K2935" s="20">
        <f>Разбивка_по_щитам!N2940</f>
      </c>
      <c r="L2935" s="20"/>
      <c r="M2935" s="20">
        <f>Разбивка_по_щитам!P2940</f>
      </c>
      <c r="N2935" s="20"/>
    </row>
    <row r="2936" spans="2:14" x14ac:dyDescent="0.25">
      <c r="B2936" s="20">
        <f>Разбивка_по_щитам!B2941</f>
      </c>
      <c r="C2936" s="20">
        <f>Разбивка_по_щитам!C2941</f>
      </c>
      <c r="D2936" s="20">
        <f>Разбивка_по_щитам!F2941</f>
      </c>
      <c r="E2936" s="20">
        <f>Разбивка_по_щитам!H2941</f>
      </c>
      <c r="F2936" s="20">
        <f>Разбивка_по_щитам!I2941</f>
      </c>
      <c r="G2936" s="20">
        <f>Разбивка_по_щитам!J2941</f>
      </c>
      <c r="H2936" s="20">
        <f>Разбивка_по_щитам!K2941</f>
      </c>
      <c r="I2936" s="20">
        <f>Разбивка_по_щитам!L2941</f>
      </c>
      <c r="J2936" s="20">
        <f>Разбивка_по_щитам!M2941</f>
      </c>
      <c r="K2936" s="20">
        <f>Разбивка_по_щитам!N2941</f>
      </c>
      <c r="L2936" s="20"/>
      <c r="M2936" s="20">
        <f>Разбивка_по_щитам!P2941</f>
      </c>
      <c r="N2936" s="20"/>
    </row>
    <row r="2937" spans="2:14" x14ac:dyDescent="0.25">
      <c r="B2937" s="20">
        <f>Разбивка_по_щитам!B2942</f>
      </c>
      <c r="C2937" s="20">
        <f>Разбивка_по_щитам!C2942</f>
      </c>
      <c r="D2937" s="20">
        <f>Разбивка_по_щитам!F2942</f>
      </c>
      <c r="E2937" s="20">
        <f>Разбивка_по_щитам!H2942</f>
      </c>
      <c r="F2937" s="20">
        <f>Разбивка_по_щитам!I2942</f>
      </c>
      <c r="G2937" s="20">
        <f>Разбивка_по_щитам!J2942</f>
      </c>
      <c r="H2937" s="20">
        <f>Разбивка_по_щитам!K2942</f>
      </c>
      <c r="I2937" s="20">
        <f>Разбивка_по_щитам!L2942</f>
      </c>
      <c r="J2937" s="20">
        <f>Разбивка_по_щитам!M2942</f>
      </c>
      <c r="K2937" s="20">
        <f>Разбивка_по_щитам!N2942</f>
      </c>
      <c r="L2937" s="20"/>
      <c r="M2937" s="20">
        <f>Разбивка_по_щитам!P2942</f>
      </c>
      <c r="N2937" s="20"/>
    </row>
    <row r="2938" spans="2:14" x14ac:dyDescent="0.25">
      <c r="B2938" s="20">
        <f>Разбивка_по_щитам!B2943</f>
      </c>
      <c r="C2938" s="20">
        <f>Разбивка_по_щитам!C2943</f>
      </c>
      <c r="D2938" s="20">
        <f>Разбивка_по_щитам!F2943</f>
      </c>
      <c r="E2938" s="20">
        <f>Разбивка_по_щитам!H2943</f>
      </c>
      <c r="F2938" s="20">
        <f>Разбивка_по_щитам!I2943</f>
      </c>
      <c r="G2938" s="20">
        <f>Разбивка_по_щитам!J2943</f>
      </c>
      <c r="H2938" s="20">
        <f>Разбивка_по_щитам!K2943</f>
      </c>
      <c r="I2938" s="20">
        <f>Разбивка_по_щитам!L2943</f>
      </c>
      <c r="J2938" s="20">
        <f>Разбивка_по_щитам!M2943</f>
      </c>
      <c r="K2938" s="20">
        <f>Разбивка_по_щитам!N2943</f>
      </c>
      <c r="L2938" s="20"/>
      <c r="M2938" s="20">
        <f>Разбивка_по_щитам!P2943</f>
      </c>
      <c r="N2938" s="20"/>
    </row>
    <row r="2939" spans="2:14" x14ac:dyDescent="0.25">
      <c r="B2939" s="20">
        <f>Разбивка_по_щитам!B2944</f>
      </c>
      <c r="C2939" s="20">
        <f>Разбивка_по_щитам!C2944</f>
      </c>
      <c r="D2939" s="20">
        <f>Разбивка_по_щитам!F2944</f>
      </c>
      <c r="E2939" s="20">
        <f>Разбивка_по_щитам!H2944</f>
      </c>
      <c r="F2939" s="20">
        <f>Разбивка_по_щитам!I2944</f>
      </c>
      <c r="G2939" s="20">
        <f>Разбивка_по_щитам!J2944</f>
      </c>
      <c r="H2939" s="20">
        <f>Разбивка_по_щитам!K2944</f>
      </c>
      <c r="I2939" s="20">
        <f>Разбивка_по_щитам!L2944</f>
      </c>
      <c r="J2939" s="20">
        <f>Разбивка_по_щитам!M2944</f>
      </c>
      <c r="K2939" s="20">
        <f>Разбивка_по_щитам!N2944</f>
      </c>
      <c r="L2939" s="20"/>
      <c r="M2939" s="20">
        <f>Разбивка_по_щитам!P2944</f>
      </c>
      <c r="N2939" s="20"/>
    </row>
    <row r="2940" spans="2:14" x14ac:dyDescent="0.25">
      <c r="B2940" s="20">
        <f>Разбивка_по_щитам!B2945</f>
      </c>
      <c r="C2940" s="20">
        <f>Разбивка_по_щитам!C2945</f>
      </c>
      <c r="D2940" s="20">
        <f>Разбивка_по_щитам!F2945</f>
      </c>
      <c r="E2940" s="20">
        <f>Разбивка_по_щитам!H2945</f>
      </c>
      <c r="F2940" s="20">
        <f>Разбивка_по_щитам!I2945</f>
      </c>
      <c r="G2940" s="20">
        <f>Разбивка_по_щитам!J2945</f>
      </c>
      <c r="H2940" s="20">
        <f>Разбивка_по_щитам!K2945</f>
      </c>
      <c r="I2940" s="20">
        <f>Разбивка_по_щитам!L2945</f>
      </c>
      <c r="J2940" s="20">
        <f>Разбивка_по_щитам!M2945</f>
      </c>
      <c r="K2940" s="20">
        <f>Разбивка_по_щитам!N2945</f>
      </c>
      <c r="L2940" s="20"/>
      <c r="M2940" s="20">
        <f>Разбивка_по_щитам!P2945</f>
      </c>
      <c r="N2940" s="20"/>
    </row>
    <row r="2941" spans="2:14" x14ac:dyDescent="0.25">
      <c r="B2941" s="20">
        <f>Разбивка_по_щитам!B2946</f>
      </c>
      <c r="C2941" s="20">
        <f>Разбивка_по_щитам!C2946</f>
      </c>
      <c r="D2941" s="20">
        <f>Разбивка_по_щитам!F2946</f>
      </c>
      <c r="E2941" s="20">
        <f>Разбивка_по_щитам!H2946</f>
      </c>
      <c r="F2941" s="20">
        <f>Разбивка_по_щитам!I2946</f>
      </c>
      <c r="G2941" s="20">
        <f>Разбивка_по_щитам!J2946</f>
      </c>
      <c r="H2941" s="20">
        <f>Разбивка_по_щитам!K2946</f>
      </c>
      <c r="I2941" s="20">
        <f>Разбивка_по_щитам!L2946</f>
      </c>
      <c r="J2941" s="20">
        <f>Разбивка_по_щитам!M2946</f>
      </c>
      <c r="K2941" s="20">
        <f>Разбивка_по_щитам!N2946</f>
      </c>
      <c r="L2941" s="20"/>
      <c r="M2941" s="20">
        <f>Разбивка_по_щитам!P2946</f>
      </c>
      <c r="N2941" s="20"/>
    </row>
    <row r="2942" spans="2:14" x14ac:dyDescent="0.25">
      <c r="B2942" s="20">
        <f>Разбивка_по_щитам!B2947</f>
      </c>
      <c r="C2942" s="20">
        <f>Разбивка_по_щитам!C2947</f>
      </c>
      <c r="D2942" s="20">
        <f>Разбивка_по_щитам!F2947</f>
      </c>
      <c r="E2942" s="20">
        <f>Разбивка_по_щитам!H2947</f>
      </c>
      <c r="F2942" s="20">
        <f>Разбивка_по_щитам!I2947</f>
      </c>
      <c r="G2942" s="20">
        <f>Разбивка_по_щитам!J2947</f>
      </c>
      <c r="H2942" s="20">
        <f>Разбивка_по_щитам!K2947</f>
      </c>
      <c r="I2942" s="20">
        <f>Разбивка_по_щитам!L2947</f>
      </c>
      <c r="J2942" s="20">
        <f>Разбивка_по_щитам!M2947</f>
      </c>
      <c r="K2942" s="20">
        <f>Разбивка_по_щитам!N2947</f>
      </c>
      <c r="L2942" s="20"/>
      <c r="M2942" s="20">
        <f>Разбивка_по_щитам!P2947</f>
      </c>
      <c r="N2942" s="20"/>
    </row>
    <row r="2943" spans="2:14" x14ac:dyDescent="0.25">
      <c r="B2943" s="20">
        <f>Разбивка_по_щитам!B2948</f>
      </c>
      <c r="C2943" s="20">
        <f>Разбивка_по_щитам!C2948</f>
      </c>
      <c r="D2943" s="20">
        <f>Разбивка_по_щитам!F2948</f>
      </c>
      <c r="E2943" s="20">
        <f>Разбивка_по_щитам!H2948</f>
      </c>
      <c r="F2943" s="20">
        <f>Разбивка_по_щитам!I2948</f>
      </c>
      <c r="G2943" s="20">
        <f>Разбивка_по_щитам!J2948</f>
      </c>
      <c r="H2943" s="20">
        <f>Разбивка_по_щитам!K2948</f>
      </c>
      <c r="I2943" s="20">
        <f>Разбивка_по_щитам!L2948</f>
      </c>
      <c r="J2943" s="20">
        <f>Разбивка_по_щитам!M2948</f>
      </c>
      <c r="K2943" s="20">
        <f>Разбивка_по_щитам!N2948</f>
      </c>
      <c r="L2943" s="20"/>
      <c r="M2943" s="20">
        <f>Разбивка_по_щитам!P2948</f>
      </c>
      <c r="N2943" s="20"/>
    </row>
    <row r="2944" spans="2:14" x14ac:dyDescent="0.25">
      <c r="B2944" s="20">
        <f>Разбивка_по_щитам!B2949</f>
      </c>
      <c r="C2944" s="20">
        <f>Разбивка_по_щитам!C2949</f>
      </c>
      <c r="D2944" s="20">
        <f>Разбивка_по_щитам!F2949</f>
      </c>
      <c r="E2944" s="20">
        <f>Разбивка_по_щитам!H2949</f>
      </c>
      <c r="F2944" s="20">
        <f>Разбивка_по_щитам!I2949</f>
      </c>
      <c r="G2944" s="20">
        <f>Разбивка_по_щитам!J2949</f>
      </c>
      <c r="H2944" s="20">
        <f>Разбивка_по_щитам!K2949</f>
      </c>
      <c r="I2944" s="20">
        <f>Разбивка_по_щитам!L2949</f>
      </c>
      <c r="J2944" s="20">
        <f>Разбивка_по_щитам!M2949</f>
      </c>
      <c r="K2944" s="20">
        <f>Разбивка_по_щитам!N2949</f>
      </c>
      <c r="L2944" s="20"/>
      <c r="M2944" s="20">
        <f>Разбивка_по_щитам!P2949</f>
      </c>
      <c r="N2944" s="20"/>
    </row>
    <row r="2945" spans="2:14" x14ac:dyDescent="0.25">
      <c r="B2945" s="20">
        <f>Разбивка_по_щитам!B2950</f>
      </c>
      <c r="C2945" s="20">
        <f>Разбивка_по_щитам!C2950</f>
      </c>
      <c r="D2945" s="20">
        <f>Разбивка_по_щитам!F2950</f>
      </c>
      <c r="E2945" s="20">
        <f>Разбивка_по_щитам!H2950</f>
      </c>
      <c r="F2945" s="20">
        <f>Разбивка_по_щитам!I2950</f>
      </c>
      <c r="G2945" s="20">
        <f>Разбивка_по_щитам!J2950</f>
      </c>
      <c r="H2945" s="20">
        <f>Разбивка_по_щитам!K2950</f>
      </c>
      <c r="I2945" s="20">
        <f>Разбивка_по_щитам!L2950</f>
      </c>
      <c r="J2945" s="20">
        <f>Разбивка_по_щитам!M2950</f>
      </c>
      <c r="K2945" s="20">
        <f>Разбивка_по_щитам!N2950</f>
      </c>
      <c r="L2945" s="20"/>
      <c r="M2945" s="20">
        <f>Разбивка_по_щитам!P2950</f>
      </c>
      <c r="N2945" s="20"/>
    </row>
    <row r="2946" spans="2:14" x14ac:dyDescent="0.25">
      <c r="B2946" s="20">
        <f>Разбивка_по_щитам!B2951</f>
      </c>
      <c r="C2946" s="20">
        <f>Разбивка_по_щитам!C2951</f>
      </c>
      <c r="D2946" s="20">
        <f>Разбивка_по_щитам!F2951</f>
      </c>
      <c r="E2946" s="20">
        <f>Разбивка_по_щитам!H2951</f>
      </c>
      <c r="F2946" s="20">
        <f>Разбивка_по_щитам!I2951</f>
      </c>
      <c r="G2946" s="20">
        <f>Разбивка_по_щитам!J2951</f>
      </c>
      <c r="H2946" s="20">
        <f>Разбивка_по_щитам!K2951</f>
      </c>
      <c r="I2946" s="20">
        <f>Разбивка_по_щитам!L2951</f>
      </c>
      <c r="J2946" s="20">
        <f>Разбивка_по_щитам!M2951</f>
      </c>
      <c r="K2946" s="20">
        <f>Разбивка_по_щитам!N2951</f>
      </c>
      <c r="L2946" s="20"/>
      <c r="M2946" s="20">
        <f>Разбивка_по_щитам!P2951</f>
      </c>
      <c r="N2946" s="20"/>
    </row>
    <row r="2947" spans="2:14" x14ac:dyDescent="0.25">
      <c r="B2947" s="20">
        <f>Разбивка_по_щитам!B2952</f>
      </c>
      <c r="C2947" s="20">
        <f>Разбивка_по_щитам!C2952</f>
      </c>
      <c r="D2947" s="20">
        <f>Разбивка_по_щитам!F2952</f>
      </c>
      <c r="E2947" s="20">
        <f>Разбивка_по_щитам!H2952</f>
      </c>
      <c r="F2947" s="20">
        <f>Разбивка_по_щитам!I2952</f>
      </c>
      <c r="G2947" s="20">
        <f>Разбивка_по_щитам!J2952</f>
      </c>
      <c r="H2947" s="20">
        <f>Разбивка_по_щитам!K2952</f>
      </c>
      <c r="I2947" s="20">
        <f>Разбивка_по_щитам!L2952</f>
      </c>
      <c r="J2947" s="20">
        <f>Разбивка_по_щитам!M2952</f>
      </c>
      <c r="K2947" s="20">
        <f>Разбивка_по_щитам!N2952</f>
      </c>
      <c r="L2947" s="20"/>
      <c r="M2947" s="20">
        <f>Разбивка_по_щитам!P2952</f>
      </c>
      <c r="N2947" s="20"/>
    </row>
    <row r="2948" spans="2:14" x14ac:dyDescent="0.25">
      <c r="B2948" s="20">
        <f>Разбивка_по_щитам!B2953</f>
      </c>
      <c r="C2948" s="20">
        <f>Разбивка_по_щитам!C2953</f>
      </c>
      <c r="D2948" s="20">
        <f>Разбивка_по_щитам!F2953</f>
      </c>
      <c r="E2948" s="20">
        <f>Разбивка_по_щитам!H2953</f>
      </c>
      <c r="F2948" s="20">
        <f>Разбивка_по_щитам!I2953</f>
      </c>
      <c r="G2948" s="20">
        <f>Разбивка_по_щитам!J2953</f>
      </c>
      <c r="H2948" s="20">
        <f>Разбивка_по_щитам!K2953</f>
      </c>
      <c r="I2948" s="20">
        <f>Разбивка_по_щитам!L2953</f>
      </c>
      <c r="J2948" s="20">
        <f>Разбивка_по_щитам!M2953</f>
      </c>
      <c r="K2948" s="20">
        <f>Разбивка_по_щитам!N2953</f>
      </c>
      <c r="L2948" s="20"/>
      <c r="M2948" s="20">
        <f>Разбивка_по_щитам!P2953</f>
      </c>
      <c r="N2948" s="20"/>
    </row>
    <row r="2949" spans="2:14" x14ac:dyDescent="0.25">
      <c r="B2949" s="20">
        <f>Разбивка_по_щитам!B2954</f>
      </c>
      <c r="C2949" s="20">
        <f>Разбивка_по_щитам!C2954</f>
      </c>
      <c r="D2949" s="20">
        <f>Разбивка_по_щитам!F2954</f>
      </c>
      <c r="E2949" s="20">
        <f>Разбивка_по_щитам!H2954</f>
      </c>
      <c r="F2949" s="20">
        <f>Разбивка_по_щитам!I2954</f>
      </c>
      <c r="G2949" s="20">
        <f>Разбивка_по_щитам!J2954</f>
      </c>
      <c r="H2949" s="20">
        <f>Разбивка_по_щитам!K2954</f>
      </c>
      <c r="I2949" s="20">
        <f>Разбивка_по_щитам!L2954</f>
      </c>
      <c r="J2949" s="20">
        <f>Разбивка_по_щитам!M2954</f>
      </c>
      <c r="K2949" s="20">
        <f>Разбивка_по_щитам!N2954</f>
      </c>
      <c r="L2949" s="20"/>
      <c r="M2949" s="20">
        <f>Разбивка_по_щитам!P2954</f>
      </c>
      <c r="N2949" s="20"/>
    </row>
    <row r="2950" spans="2:14" x14ac:dyDescent="0.25">
      <c r="B2950" s="20">
        <f>Разбивка_по_щитам!B2955</f>
      </c>
      <c r="C2950" s="20">
        <f>Разбивка_по_щитам!C2955</f>
      </c>
      <c r="D2950" s="20">
        <f>Разбивка_по_щитам!F2955</f>
      </c>
      <c r="E2950" s="20">
        <f>Разбивка_по_щитам!H2955</f>
      </c>
      <c r="F2950" s="20">
        <f>Разбивка_по_щитам!I2955</f>
      </c>
      <c r="G2950" s="20">
        <f>Разбивка_по_щитам!J2955</f>
      </c>
      <c r="H2950" s="20">
        <f>Разбивка_по_щитам!K2955</f>
      </c>
      <c r="I2950" s="20">
        <f>Разбивка_по_щитам!L2955</f>
      </c>
      <c r="J2950" s="20">
        <f>Разбивка_по_щитам!M2955</f>
      </c>
      <c r="K2950" s="20">
        <f>Разбивка_по_щитам!N2955</f>
      </c>
      <c r="L2950" s="20"/>
      <c r="M2950" s="20">
        <f>Разбивка_по_щитам!P2955</f>
      </c>
      <c r="N2950" s="20"/>
    </row>
    <row r="2951" spans="2:14" x14ac:dyDescent="0.25">
      <c r="B2951" s="20">
        <f>Разбивка_по_щитам!B2956</f>
      </c>
      <c r="C2951" s="20">
        <f>Разбивка_по_щитам!C2956</f>
      </c>
      <c r="D2951" s="20">
        <f>Разбивка_по_щитам!F2956</f>
      </c>
      <c r="E2951" s="20">
        <f>Разбивка_по_щитам!H2956</f>
      </c>
      <c r="F2951" s="20">
        <f>Разбивка_по_щитам!I2956</f>
      </c>
      <c r="G2951" s="20">
        <f>Разбивка_по_щитам!J2956</f>
      </c>
      <c r="H2951" s="20">
        <f>Разбивка_по_щитам!K2956</f>
      </c>
      <c r="I2951" s="20">
        <f>Разбивка_по_щитам!L2956</f>
      </c>
      <c r="J2951" s="20">
        <f>Разбивка_по_щитам!M2956</f>
      </c>
      <c r="K2951" s="20">
        <f>Разбивка_по_щитам!N2956</f>
      </c>
      <c r="L2951" s="20"/>
      <c r="M2951" s="20">
        <f>Разбивка_по_щитам!P2956</f>
      </c>
      <c r="N2951" s="20"/>
    </row>
    <row r="2952" spans="2:14" x14ac:dyDescent="0.25">
      <c r="B2952" s="20">
        <f>Разбивка_по_щитам!B2957</f>
      </c>
      <c r="C2952" s="20">
        <f>Разбивка_по_щитам!C2957</f>
      </c>
      <c r="D2952" s="20">
        <f>Разбивка_по_щитам!F2957</f>
      </c>
      <c r="E2952" s="20">
        <f>Разбивка_по_щитам!H2957</f>
      </c>
      <c r="F2952" s="20">
        <f>Разбивка_по_щитам!I2957</f>
      </c>
      <c r="G2952" s="20">
        <f>Разбивка_по_щитам!J2957</f>
      </c>
      <c r="H2952" s="20">
        <f>Разбивка_по_щитам!K2957</f>
      </c>
      <c r="I2952" s="20">
        <f>Разбивка_по_щитам!L2957</f>
      </c>
      <c r="J2952" s="20">
        <f>Разбивка_по_щитам!M2957</f>
      </c>
      <c r="K2952" s="20">
        <f>Разбивка_по_щитам!N2957</f>
      </c>
      <c r="L2952" s="20"/>
      <c r="M2952" s="20">
        <f>Разбивка_по_щитам!P2957</f>
      </c>
      <c r="N2952" s="20"/>
    </row>
    <row r="2953" spans="2:14" x14ac:dyDescent="0.25">
      <c r="B2953" s="20">
        <f>Разбивка_по_щитам!B2958</f>
      </c>
      <c r="C2953" s="20">
        <f>Разбивка_по_щитам!C2958</f>
      </c>
      <c r="D2953" s="20">
        <f>Разбивка_по_щитам!F2958</f>
      </c>
      <c r="E2953" s="20">
        <f>Разбивка_по_щитам!H2958</f>
      </c>
      <c r="F2953" s="20">
        <f>Разбивка_по_щитам!I2958</f>
      </c>
      <c r="G2953" s="20">
        <f>Разбивка_по_щитам!J2958</f>
      </c>
      <c r="H2953" s="20">
        <f>Разбивка_по_щитам!K2958</f>
      </c>
      <c r="I2953" s="20">
        <f>Разбивка_по_щитам!L2958</f>
      </c>
      <c r="J2953" s="20">
        <f>Разбивка_по_щитам!M2958</f>
      </c>
      <c r="K2953" s="20">
        <f>Разбивка_по_щитам!N2958</f>
      </c>
      <c r="L2953" s="20"/>
      <c r="M2953" s="20">
        <f>Разбивка_по_щитам!P2958</f>
      </c>
      <c r="N2953" s="20"/>
    </row>
    <row r="2954" spans="2:14" x14ac:dyDescent="0.25">
      <c r="B2954" s="20">
        <f>Разбивка_по_щитам!B2959</f>
      </c>
      <c r="C2954" s="20">
        <f>Разбивка_по_щитам!C2959</f>
      </c>
      <c r="D2954" s="20">
        <f>Разбивка_по_щитам!F2959</f>
      </c>
      <c r="E2954" s="20">
        <f>Разбивка_по_щитам!H2959</f>
      </c>
      <c r="F2954" s="20">
        <f>Разбивка_по_щитам!I2959</f>
      </c>
      <c r="G2954" s="20">
        <f>Разбивка_по_щитам!J2959</f>
      </c>
      <c r="H2954" s="20">
        <f>Разбивка_по_щитам!K2959</f>
      </c>
      <c r="I2954" s="20">
        <f>Разбивка_по_щитам!L2959</f>
      </c>
      <c r="J2954" s="20">
        <f>Разбивка_по_щитам!M2959</f>
      </c>
      <c r="K2954" s="20">
        <f>Разбивка_по_щитам!N2959</f>
      </c>
      <c r="L2954" s="20"/>
      <c r="M2954" s="20">
        <f>Разбивка_по_щитам!P2959</f>
      </c>
      <c r="N2954" s="20"/>
    </row>
    <row r="2955" spans="2:14" x14ac:dyDescent="0.25">
      <c r="B2955" s="20">
        <f>Разбивка_по_щитам!B2960</f>
      </c>
      <c r="C2955" s="20">
        <f>Разбивка_по_щитам!C2960</f>
      </c>
      <c r="D2955" s="20">
        <f>Разбивка_по_щитам!F2960</f>
      </c>
      <c r="E2955" s="20">
        <f>Разбивка_по_щитам!H2960</f>
      </c>
      <c r="F2955" s="20">
        <f>Разбивка_по_щитам!I2960</f>
      </c>
      <c r="G2955" s="20">
        <f>Разбивка_по_щитам!J2960</f>
      </c>
      <c r="H2955" s="20">
        <f>Разбивка_по_щитам!K2960</f>
      </c>
      <c r="I2955" s="20">
        <f>Разбивка_по_щитам!L2960</f>
      </c>
      <c r="J2955" s="20">
        <f>Разбивка_по_щитам!M2960</f>
      </c>
      <c r="K2955" s="20">
        <f>Разбивка_по_щитам!N2960</f>
      </c>
      <c r="L2955" s="20"/>
      <c r="M2955" s="20">
        <f>Разбивка_по_щитам!P2960</f>
      </c>
      <c r="N2955" s="20"/>
    </row>
    <row r="2956" spans="2:14" x14ac:dyDescent="0.25">
      <c r="B2956" s="20">
        <f>Разбивка_по_щитам!B2961</f>
      </c>
      <c r="C2956" s="20">
        <f>Разбивка_по_щитам!C2961</f>
      </c>
      <c r="D2956" s="20">
        <f>Разбивка_по_щитам!F2961</f>
      </c>
      <c r="E2956" s="20">
        <f>Разбивка_по_щитам!H2961</f>
      </c>
      <c r="F2956" s="20">
        <f>Разбивка_по_щитам!I2961</f>
      </c>
      <c r="G2956" s="20">
        <f>Разбивка_по_щитам!J2961</f>
      </c>
      <c r="H2956" s="20">
        <f>Разбивка_по_щитам!K2961</f>
      </c>
      <c r="I2956" s="20">
        <f>Разбивка_по_щитам!L2961</f>
      </c>
      <c r="J2956" s="20">
        <f>Разбивка_по_щитам!M2961</f>
      </c>
      <c r="K2956" s="20">
        <f>Разбивка_по_щитам!N2961</f>
      </c>
      <c r="L2956" s="20"/>
      <c r="M2956" s="20">
        <f>Разбивка_по_щитам!P2961</f>
      </c>
      <c r="N2956" s="20"/>
    </row>
    <row r="2957" spans="2:14" x14ac:dyDescent="0.25">
      <c r="B2957" s="20">
        <f>Разбивка_по_щитам!B2962</f>
      </c>
      <c r="C2957" s="20">
        <f>Разбивка_по_щитам!C2962</f>
      </c>
      <c r="D2957" s="20">
        <f>Разбивка_по_щитам!F2962</f>
      </c>
      <c r="E2957" s="20">
        <f>Разбивка_по_щитам!H2962</f>
      </c>
      <c r="F2957" s="20">
        <f>Разбивка_по_щитам!I2962</f>
      </c>
      <c r="G2957" s="20">
        <f>Разбивка_по_щитам!J2962</f>
      </c>
      <c r="H2957" s="20">
        <f>Разбивка_по_щитам!K2962</f>
      </c>
      <c r="I2957" s="20">
        <f>Разбивка_по_щитам!L2962</f>
      </c>
      <c r="J2957" s="20">
        <f>Разбивка_по_щитам!M2962</f>
      </c>
      <c r="K2957" s="20">
        <f>Разбивка_по_щитам!N2962</f>
      </c>
      <c r="L2957" s="20"/>
      <c r="M2957" s="20">
        <f>Разбивка_по_щитам!P2962</f>
      </c>
      <c r="N2957" s="20"/>
    </row>
    <row r="2958" spans="2:14" x14ac:dyDescent="0.25">
      <c r="B2958" s="20">
        <f>Разбивка_по_щитам!B2963</f>
      </c>
      <c r="C2958" s="20">
        <f>Разбивка_по_щитам!C2963</f>
      </c>
      <c r="D2958" s="20">
        <f>Разбивка_по_щитам!F2963</f>
      </c>
      <c r="E2958" s="20">
        <f>Разбивка_по_щитам!H2963</f>
      </c>
      <c r="F2958" s="20">
        <f>Разбивка_по_щитам!I2963</f>
      </c>
      <c r="G2958" s="20">
        <f>Разбивка_по_щитам!J2963</f>
      </c>
      <c r="H2958" s="20">
        <f>Разбивка_по_щитам!K2963</f>
      </c>
      <c r="I2958" s="20">
        <f>Разбивка_по_щитам!L2963</f>
      </c>
      <c r="J2958" s="20">
        <f>Разбивка_по_щитам!M2963</f>
      </c>
      <c r="K2958" s="20">
        <f>Разбивка_по_щитам!N2963</f>
      </c>
      <c r="L2958" s="20"/>
      <c r="M2958" s="20">
        <f>Разбивка_по_щитам!P2963</f>
      </c>
      <c r="N2958" s="20"/>
    </row>
    <row r="2959" spans="2:14" x14ac:dyDescent="0.25">
      <c r="B2959" s="20">
        <f>Разбивка_по_щитам!B2964</f>
      </c>
      <c r="C2959" s="20">
        <f>Разбивка_по_щитам!C2964</f>
      </c>
      <c r="D2959" s="20">
        <f>Разбивка_по_щитам!F2964</f>
      </c>
      <c r="E2959" s="20">
        <f>Разбивка_по_щитам!H2964</f>
      </c>
      <c r="F2959" s="20">
        <f>Разбивка_по_щитам!I2964</f>
      </c>
      <c r="G2959" s="20">
        <f>Разбивка_по_щитам!J2964</f>
      </c>
      <c r="H2959" s="20">
        <f>Разбивка_по_щитам!K2964</f>
      </c>
      <c r="I2959" s="20">
        <f>Разбивка_по_щитам!L2964</f>
      </c>
      <c r="J2959" s="20">
        <f>Разбивка_по_щитам!M2964</f>
      </c>
      <c r="K2959" s="20">
        <f>Разбивка_по_щитам!N2964</f>
      </c>
      <c r="L2959" s="20"/>
      <c r="M2959" s="20">
        <f>Разбивка_по_щитам!P2964</f>
      </c>
      <c r="N2959" s="20"/>
    </row>
    <row r="2960" spans="2:14" x14ac:dyDescent="0.25">
      <c r="B2960" s="20">
        <f>Разбивка_по_щитам!B2965</f>
      </c>
      <c r="C2960" s="20">
        <f>Разбивка_по_щитам!C2965</f>
      </c>
      <c r="D2960" s="20">
        <f>Разбивка_по_щитам!F2965</f>
      </c>
      <c r="E2960" s="20">
        <f>Разбивка_по_щитам!H2965</f>
      </c>
      <c r="F2960" s="20">
        <f>Разбивка_по_щитам!I2965</f>
      </c>
      <c r="G2960" s="20">
        <f>Разбивка_по_щитам!J2965</f>
      </c>
      <c r="H2960" s="20">
        <f>Разбивка_по_щитам!K2965</f>
      </c>
      <c r="I2960" s="20">
        <f>Разбивка_по_щитам!L2965</f>
      </c>
      <c r="J2960" s="20">
        <f>Разбивка_по_щитам!M2965</f>
      </c>
      <c r="K2960" s="20">
        <f>Разбивка_по_щитам!N2965</f>
      </c>
      <c r="L2960" s="20"/>
      <c r="M2960" s="20">
        <f>Разбивка_по_щитам!P2965</f>
      </c>
      <c r="N2960" s="20"/>
    </row>
    <row r="2961" spans="2:14" x14ac:dyDescent="0.25">
      <c r="B2961" s="20">
        <f>Разбивка_по_щитам!B2966</f>
      </c>
      <c r="C2961" s="20">
        <f>Разбивка_по_щитам!C2966</f>
      </c>
      <c r="D2961" s="20">
        <f>Разбивка_по_щитам!F2966</f>
      </c>
      <c r="E2961" s="20">
        <f>Разбивка_по_щитам!H2966</f>
      </c>
      <c r="F2961" s="20">
        <f>Разбивка_по_щитам!I2966</f>
      </c>
      <c r="G2961" s="20">
        <f>Разбивка_по_щитам!J2966</f>
      </c>
      <c r="H2961" s="20">
        <f>Разбивка_по_щитам!K2966</f>
      </c>
      <c r="I2961" s="20">
        <f>Разбивка_по_щитам!L2966</f>
      </c>
      <c r="J2961" s="20">
        <f>Разбивка_по_щитам!M2966</f>
      </c>
      <c r="K2961" s="20">
        <f>Разбивка_по_щитам!N2966</f>
      </c>
      <c r="L2961" s="20"/>
      <c r="M2961" s="20">
        <f>Разбивка_по_щитам!P2966</f>
      </c>
      <c r="N2961" s="20"/>
    </row>
    <row r="2962" spans="2:14" x14ac:dyDescent="0.25">
      <c r="B2962" s="20">
        <f>Разбивка_по_щитам!B2967</f>
      </c>
      <c r="C2962" s="20">
        <f>Разбивка_по_щитам!C2967</f>
      </c>
      <c r="D2962" s="20">
        <f>Разбивка_по_щитам!F2967</f>
      </c>
      <c r="E2962" s="20">
        <f>Разбивка_по_щитам!H2967</f>
      </c>
      <c r="F2962" s="20">
        <f>Разбивка_по_щитам!I2967</f>
      </c>
      <c r="G2962" s="20">
        <f>Разбивка_по_щитам!J2967</f>
      </c>
      <c r="H2962" s="20">
        <f>Разбивка_по_щитам!K2967</f>
      </c>
      <c r="I2962" s="20">
        <f>Разбивка_по_щитам!L2967</f>
      </c>
      <c r="J2962" s="20">
        <f>Разбивка_по_щитам!M2967</f>
      </c>
      <c r="K2962" s="20">
        <f>Разбивка_по_щитам!N2967</f>
      </c>
      <c r="L2962" s="20"/>
      <c r="M2962" s="20">
        <f>Разбивка_по_щитам!P2967</f>
      </c>
      <c r="N2962" s="20"/>
    </row>
    <row r="2963" spans="2:14" x14ac:dyDescent="0.25">
      <c r="B2963" s="20">
        <f>Разбивка_по_щитам!B2968</f>
      </c>
      <c r="C2963" s="20">
        <f>Разбивка_по_щитам!C2968</f>
      </c>
      <c r="D2963" s="20">
        <f>Разбивка_по_щитам!F2968</f>
      </c>
      <c r="E2963" s="20">
        <f>Разбивка_по_щитам!H2968</f>
      </c>
      <c r="F2963" s="20">
        <f>Разбивка_по_щитам!I2968</f>
      </c>
      <c r="G2963" s="20">
        <f>Разбивка_по_щитам!J2968</f>
      </c>
      <c r="H2963" s="20">
        <f>Разбивка_по_щитам!K2968</f>
      </c>
      <c r="I2963" s="20">
        <f>Разбивка_по_щитам!L2968</f>
      </c>
      <c r="J2963" s="20">
        <f>Разбивка_по_щитам!M2968</f>
      </c>
      <c r="K2963" s="20">
        <f>Разбивка_по_щитам!N2968</f>
      </c>
      <c r="L2963" s="20"/>
      <c r="M2963" s="20">
        <f>Разбивка_по_щитам!P2968</f>
      </c>
      <c r="N2963" s="20"/>
    </row>
    <row r="2964" spans="2:14" x14ac:dyDescent="0.25">
      <c r="B2964" s="20">
        <f>Разбивка_по_щитам!B2969</f>
      </c>
      <c r="C2964" s="20">
        <f>Разбивка_по_щитам!C2969</f>
      </c>
      <c r="D2964" s="20">
        <f>Разбивка_по_щитам!F2969</f>
      </c>
      <c r="E2964" s="20">
        <f>Разбивка_по_щитам!H2969</f>
      </c>
      <c r="F2964" s="20">
        <f>Разбивка_по_щитам!I2969</f>
      </c>
      <c r="G2964" s="20">
        <f>Разбивка_по_щитам!J2969</f>
      </c>
      <c r="H2964" s="20">
        <f>Разбивка_по_щитам!K2969</f>
      </c>
      <c r="I2964" s="20">
        <f>Разбивка_по_щитам!L2969</f>
      </c>
      <c r="J2964" s="20">
        <f>Разбивка_по_щитам!M2969</f>
      </c>
      <c r="K2964" s="20">
        <f>Разбивка_по_щитам!N2969</f>
      </c>
      <c r="L2964" s="20"/>
      <c r="M2964" s="20">
        <f>Разбивка_по_щитам!P2969</f>
      </c>
      <c r="N2964" s="20"/>
    </row>
    <row r="2965" spans="2:14" x14ac:dyDescent="0.25">
      <c r="B2965" s="20">
        <f>Разбивка_по_щитам!B2970</f>
      </c>
      <c r="C2965" s="20">
        <f>Разбивка_по_щитам!C2970</f>
      </c>
      <c r="D2965" s="20">
        <f>Разбивка_по_щитам!F2970</f>
      </c>
      <c r="E2965" s="20">
        <f>Разбивка_по_щитам!H2970</f>
      </c>
      <c r="F2965" s="20">
        <f>Разбивка_по_щитам!I2970</f>
      </c>
      <c r="G2965" s="20">
        <f>Разбивка_по_щитам!J2970</f>
      </c>
      <c r="H2965" s="20">
        <f>Разбивка_по_щитам!K2970</f>
      </c>
      <c r="I2965" s="20">
        <f>Разбивка_по_щитам!L2970</f>
      </c>
      <c r="J2965" s="20">
        <f>Разбивка_по_щитам!M2970</f>
      </c>
      <c r="K2965" s="20">
        <f>Разбивка_по_щитам!N2970</f>
      </c>
      <c r="L2965" s="20"/>
      <c r="M2965" s="20">
        <f>Разбивка_по_щитам!P2970</f>
      </c>
      <c r="N2965" s="20"/>
    </row>
    <row r="2966" spans="2:14" x14ac:dyDescent="0.25">
      <c r="B2966" s="20">
        <f>Разбивка_по_щитам!B2971</f>
      </c>
      <c r="C2966" s="20">
        <f>Разбивка_по_щитам!C2971</f>
      </c>
      <c r="D2966" s="20">
        <f>Разбивка_по_щитам!F2971</f>
      </c>
      <c r="E2966" s="20">
        <f>Разбивка_по_щитам!H2971</f>
      </c>
      <c r="F2966" s="20">
        <f>Разбивка_по_щитам!I2971</f>
      </c>
      <c r="G2966" s="20">
        <f>Разбивка_по_щитам!J2971</f>
      </c>
      <c r="H2966" s="20">
        <f>Разбивка_по_щитам!K2971</f>
      </c>
      <c r="I2966" s="20">
        <f>Разбивка_по_щитам!L2971</f>
      </c>
      <c r="J2966" s="20">
        <f>Разбивка_по_щитам!M2971</f>
      </c>
      <c r="K2966" s="20">
        <f>Разбивка_по_щитам!N2971</f>
      </c>
      <c r="L2966" s="20"/>
      <c r="M2966" s="20">
        <f>Разбивка_по_щитам!P2971</f>
      </c>
      <c r="N2966" s="20"/>
    </row>
    <row r="2967" spans="2:14" x14ac:dyDescent="0.25">
      <c r="B2967" s="20">
        <f>Разбивка_по_щитам!B2972</f>
      </c>
      <c r="C2967" s="20">
        <f>Разбивка_по_щитам!C2972</f>
      </c>
      <c r="D2967" s="20">
        <f>Разбивка_по_щитам!F2972</f>
      </c>
      <c r="E2967" s="20">
        <f>Разбивка_по_щитам!H2972</f>
      </c>
      <c r="F2967" s="20">
        <f>Разбивка_по_щитам!I2972</f>
      </c>
      <c r="G2967" s="20">
        <f>Разбивка_по_щитам!J2972</f>
      </c>
      <c r="H2967" s="20">
        <f>Разбивка_по_щитам!K2972</f>
      </c>
      <c r="I2967" s="20">
        <f>Разбивка_по_щитам!L2972</f>
      </c>
      <c r="J2967" s="20">
        <f>Разбивка_по_щитам!M2972</f>
      </c>
      <c r="K2967" s="20">
        <f>Разбивка_по_щитам!N2972</f>
      </c>
      <c r="L2967" s="20"/>
      <c r="M2967" s="20">
        <f>Разбивка_по_щитам!P2972</f>
      </c>
      <c r="N2967" s="20"/>
    </row>
    <row r="2968" spans="2:14" x14ac:dyDescent="0.25">
      <c r="B2968" s="20">
        <f>Разбивка_по_щитам!B2973</f>
      </c>
      <c r="C2968" s="20">
        <f>Разбивка_по_щитам!C2973</f>
      </c>
      <c r="D2968" s="20">
        <f>Разбивка_по_щитам!F2973</f>
      </c>
      <c r="E2968" s="20">
        <f>Разбивка_по_щитам!H2973</f>
      </c>
      <c r="F2968" s="20">
        <f>Разбивка_по_щитам!I2973</f>
      </c>
      <c r="G2968" s="20">
        <f>Разбивка_по_щитам!J2973</f>
      </c>
      <c r="H2968" s="20">
        <f>Разбивка_по_щитам!K2973</f>
      </c>
      <c r="I2968" s="20">
        <f>Разбивка_по_щитам!L2973</f>
      </c>
      <c r="J2968" s="20">
        <f>Разбивка_по_щитам!M2973</f>
      </c>
      <c r="K2968" s="20">
        <f>Разбивка_по_щитам!N2973</f>
      </c>
      <c r="L2968" s="20"/>
      <c r="M2968" s="20">
        <f>Разбивка_по_щитам!P2973</f>
      </c>
      <c r="N2968" s="20"/>
    </row>
    <row r="2969" spans="2:14" x14ac:dyDescent="0.25">
      <c r="B2969" s="20">
        <f>Разбивка_по_щитам!B2974</f>
      </c>
      <c r="C2969" s="20">
        <f>Разбивка_по_щитам!C2974</f>
      </c>
      <c r="D2969" s="20">
        <f>Разбивка_по_щитам!F2974</f>
      </c>
      <c r="E2969" s="20">
        <f>Разбивка_по_щитам!H2974</f>
      </c>
      <c r="F2969" s="20">
        <f>Разбивка_по_щитам!I2974</f>
      </c>
      <c r="G2969" s="20">
        <f>Разбивка_по_щитам!J2974</f>
      </c>
      <c r="H2969" s="20">
        <f>Разбивка_по_щитам!K2974</f>
      </c>
      <c r="I2969" s="20">
        <f>Разбивка_по_щитам!L2974</f>
      </c>
      <c r="J2969" s="20">
        <f>Разбивка_по_щитам!M2974</f>
      </c>
      <c r="K2969" s="20">
        <f>Разбивка_по_щитам!N2974</f>
      </c>
      <c r="L2969" s="20"/>
      <c r="M2969" s="20">
        <f>Разбивка_по_щитам!P2974</f>
      </c>
      <c r="N2969" s="20"/>
    </row>
    <row r="2970" spans="2:14" x14ac:dyDescent="0.25">
      <c r="B2970" s="20">
        <f>Разбивка_по_щитам!B2975</f>
      </c>
      <c r="C2970" s="20">
        <f>Разбивка_по_щитам!C2975</f>
      </c>
      <c r="D2970" s="20">
        <f>Разбивка_по_щитам!F2975</f>
      </c>
      <c r="E2970" s="20">
        <f>Разбивка_по_щитам!H2975</f>
      </c>
      <c r="F2970" s="20">
        <f>Разбивка_по_щитам!I2975</f>
      </c>
      <c r="G2970" s="20">
        <f>Разбивка_по_щитам!J2975</f>
      </c>
      <c r="H2970" s="20">
        <f>Разбивка_по_щитам!K2975</f>
      </c>
      <c r="I2970" s="20">
        <f>Разбивка_по_щитам!L2975</f>
      </c>
      <c r="J2970" s="20">
        <f>Разбивка_по_щитам!M2975</f>
      </c>
      <c r="K2970" s="20">
        <f>Разбивка_по_щитам!N2975</f>
      </c>
      <c r="L2970" s="20"/>
      <c r="M2970" s="20">
        <f>Разбивка_по_щитам!P2975</f>
      </c>
      <c r="N2970" s="20"/>
    </row>
    <row r="2971" spans="2:14" x14ac:dyDescent="0.25">
      <c r="B2971" s="20">
        <f>Разбивка_по_щитам!B2976</f>
      </c>
      <c r="C2971" s="20">
        <f>Разбивка_по_щитам!C2976</f>
      </c>
      <c r="D2971" s="20">
        <f>Разбивка_по_щитам!F2976</f>
      </c>
      <c r="E2971" s="20">
        <f>Разбивка_по_щитам!H2976</f>
      </c>
      <c r="F2971" s="20">
        <f>Разбивка_по_щитам!I2976</f>
      </c>
      <c r="G2971" s="20">
        <f>Разбивка_по_щитам!J2976</f>
      </c>
      <c r="H2971" s="20">
        <f>Разбивка_по_щитам!K2976</f>
      </c>
      <c r="I2971" s="20">
        <f>Разбивка_по_щитам!L2976</f>
      </c>
      <c r="J2971" s="20">
        <f>Разбивка_по_щитам!M2976</f>
      </c>
      <c r="K2971" s="20">
        <f>Разбивка_по_щитам!N2976</f>
      </c>
      <c r="L2971" s="20"/>
      <c r="M2971" s="20">
        <f>Разбивка_по_щитам!P2976</f>
      </c>
      <c r="N2971" s="20"/>
    </row>
    <row r="2972" spans="2:14" x14ac:dyDescent="0.25">
      <c r="B2972" s="20">
        <f>Разбивка_по_щитам!B2977</f>
      </c>
      <c r="C2972" s="20">
        <f>Разбивка_по_щитам!C2977</f>
      </c>
      <c r="D2972" s="20">
        <f>Разбивка_по_щитам!F2977</f>
      </c>
      <c r="E2972" s="20">
        <f>Разбивка_по_щитам!H2977</f>
      </c>
      <c r="F2972" s="20">
        <f>Разбивка_по_щитам!I2977</f>
      </c>
      <c r="G2972" s="20">
        <f>Разбивка_по_щитам!J2977</f>
      </c>
      <c r="H2972" s="20">
        <f>Разбивка_по_щитам!K2977</f>
      </c>
      <c r="I2972" s="20">
        <f>Разбивка_по_щитам!L2977</f>
      </c>
      <c r="J2972" s="20">
        <f>Разбивка_по_щитам!M2977</f>
      </c>
      <c r="K2972" s="20">
        <f>Разбивка_по_щитам!N2977</f>
      </c>
      <c r="L2972" s="20"/>
      <c r="M2972" s="20">
        <f>Разбивка_по_щитам!P2977</f>
      </c>
      <c r="N2972" s="20"/>
    </row>
    <row r="2973" spans="2:14" x14ac:dyDescent="0.25">
      <c r="B2973" s="20">
        <f>Разбивка_по_щитам!B2978</f>
      </c>
      <c r="C2973" s="20">
        <f>Разбивка_по_щитам!C2978</f>
      </c>
      <c r="D2973" s="20">
        <f>Разбивка_по_щитам!F2978</f>
      </c>
      <c r="E2973" s="20">
        <f>Разбивка_по_щитам!H2978</f>
      </c>
      <c r="F2973" s="20">
        <f>Разбивка_по_щитам!I2978</f>
      </c>
      <c r="G2973" s="20">
        <f>Разбивка_по_щитам!J2978</f>
      </c>
      <c r="H2973" s="20">
        <f>Разбивка_по_щитам!K2978</f>
      </c>
      <c r="I2973" s="20">
        <f>Разбивка_по_щитам!L2978</f>
      </c>
      <c r="J2973" s="20">
        <f>Разбивка_по_щитам!M2978</f>
      </c>
      <c r="K2973" s="20">
        <f>Разбивка_по_щитам!N2978</f>
      </c>
      <c r="L2973" s="20"/>
      <c r="M2973" s="20">
        <f>Разбивка_по_щитам!P2978</f>
      </c>
      <c r="N2973" s="20"/>
    </row>
    <row r="2974" spans="2:14" x14ac:dyDescent="0.25">
      <c r="B2974" s="20">
        <f>Разбивка_по_щитам!B2979</f>
      </c>
      <c r="C2974" s="20">
        <f>Разбивка_по_щитам!C2979</f>
      </c>
      <c r="D2974" s="20">
        <f>Разбивка_по_щитам!F2979</f>
      </c>
      <c r="E2974" s="20">
        <f>Разбивка_по_щитам!H2979</f>
      </c>
      <c r="F2974" s="20">
        <f>Разбивка_по_щитам!I2979</f>
      </c>
      <c r="G2974" s="20">
        <f>Разбивка_по_щитам!J2979</f>
      </c>
      <c r="H2974" s="20">
        <f>Разбивка_по_щитам!K2979</f>
      </c>
      <c r="I2974" s="20">
        <f>Разбивка_по_щитам!L2979</f>
      </c>
      <c r="J2974" s="20">
        <f>Разбивка_по_щитам!M2979</f>
      </c>
      <c r="K2974" s="20">
        <f>Разбивка_по_щитам!N2979</f>
      </c>
      <c r="L2974" s="20"/>
      <c r="M2974" s="20">
        <f>Разбивка_по_щитам!P2979</f>
      </c>
      <c r="N2974" s="20"/>
    </row>
    <row r="2975" spans="2:14" x14ac:dyDescent="0.25">
      <c r="B2975" s="20">
        <f>Разбивка_по_щитам!B2980</f>
      </c>
      <c r="C2975" s="20">
        <f>Разбивка_по_щитам!C2980</f>
      </c>
      <c r="D2975" s="20">
        <f>Разбивка_по_щитам!F2980</f>
      </c>
      <c r="E2975" s="20">
        <f>Разбивка_по_щитам!H2980</f>
      </c>
      <c r="F2975" s="20">
        <f>Разбивка_по_щитам!I2980</f>
      </c>
      <c r="G2975" s="20">
        <f>Разбивка_по_щитам!J2980</f>
      </c>
      <c r="H2975" s="20">
        <f>Разбивка_по_щитам!K2980</f>
      </c>
      <c r="I2975" s="20">
        <f>Разбивка_по_щитам!L2980</f>
      </c>
      <c r="J2975" s="20">
        <f>Разбивка_по_щитам!M2980</f>
      </c>
      <c r="K2975" s="20">
        <f>Разбивка_по_щитам!N2980</f>
      </c>
      <c r="L2975" s="20"/>
      <c r="M2975" s="20">
        <f>Разбивка_по_щитам!P2980</f>
      </c>
      <c r="N2975" s="20"/>
    </row>
    <row r="2976" spans="2:14" x14ac:dyDescent="0.25">
      <c r="B2976" s="20">
        <f>Разбивка_по_щитам!B2981</f>
      </c>
      <c r="C2976" s="20">
        <f>Разбивка_по_щитам!C2981</f>
      </c>
      <c r="D2976" s="20">
        <f>Разбивка_по_щитам!F2981</f>
      </c>
      <c r="E2976" s="20">
        <f>Разбивка_по_щитам!H2981</f>
      </c>
      <c r="F2976" s="20">
        <f>Разбивка_по_щитам!I2981</f>
      </c>
      <c r="G2976" s="20">
        <f>Разбивка_по_щитам!J2981</f>
      </c>
      <c r="H2976" s="20">
        <f>Разбивка_по_щитам!K2981</f>
      </c>
      <c r="I2976" s="20">
        <f>Разбивка_по_щитам!L2981</f>
      </c>
      <c r="J2976" s="20">
        <f>Разбивка_по_щитам!M2981</f>
      </c>
      <c r="K2976" s="20">
        <f>Разбивка_по_щитам!N2981</f>
      </c>
      <c r="L2976" s="20"/>
      <c r="M2976" s="20">
        <f>Разбивка_по_щитам!P2981</f>
      </c>
      <c r="N2976" s="20"/>
    </row>
    <row r="2977" spans="2:14" x14ac:dyDescent="0.25">
      <c r="B2977" s="20">
        <f>Разбивка_по_щитам!B2982</f>
      </c>
      <c r="C2977" s="20">
        <f>Разбивка_по_щитам!C2982</f>
      </c>
      <c r="D2977" s="20">
        <f>Разбивка_по_щитам!F2982</f>
      </c>
      <c r="E2977" s="20">
        <f>Разбивка_по_щитам!H2982</f>
      </c>
      <c r="F2977" s="20">
        <f>Разбивка_по_щитам!I2982</f>
      </c>
      <c r="G2977" s="20">
        <f>Разбивка_по_щитам!J2982</f>
      </c>
      <c r="H2977" s="20">
        <f>Разбивка_по_щитам!K2982</f>
      </c>
      <c r="I2977" s="20">
        <f>Разбивка_по_щитам!L2982</f>
      </c>
      <c r="J2977" s="20">
        <f>Разбивка_по_щитам!M2982</f>
      </c>
      <c r="K2977" s="20">
        <f>Разбивка_по_щитам!N2982</f>
      </c>
      <c r="L2977" s="20"/>
      <c r="M2977" s="20">
        <f>Разбивка_по_щитам!P2982</f>
      </c>
      <c r="N2977" s="20"/>
    </row>
    <row r="2978" spans="2:14" x14ac:dyDescent="0.25">
      <c r="B2978" s="20">
        <f>Разбивка_по_щитам!B2983</f>
      </c>
      <c r="C2978" s="20">
        <f>Разбивка_по_щитам!C2983</f>
      </c>
      <c r="D2978" s="20">
        <f>Разбивка_по_щитам!F2983</f>
      </c>
      <c r="E2978" s="20">
        <f>Разбивка_по_щитам!H2983</f>
      </c>
      <c r="F2978" s="20">
        <f>Разбивка_по_щитам!I2983</f>
      </c>
      <c r="G2978" s="20">
        <f>Разбивка_по_щитам!J2983</f>
      </c>
      <c r="H2978" s="20">
        <f>Разбивка_по_щитам!K2983</f>
      </c>
      <c r="I2978" s="20">
        <f>Разбивка_по_щитам!L2983</f>
      </c>
      <c r="J2978" s="20">
        <f>Разбивка_по_щитам!M2983</f>
      </c>
      <c r="K2978" s="20">
        <f>Разбивка_по_щитам!N2983</f>
      </c>
      <c r="L2978" s="20"/>
      <c r="M2978" s="20">
        <f>Разбивка_по_щитам!P2983</f>
      </c>
      <c r="N2978" s="20"/>
    </row>
    <row r="2979" spans="2:14" x14ac:dyDescent="0.25">
      <c r="B2979" s="20">
        <f>Разбивка_по_щитам!B2984</f>
      </c>
      <c r="C2979" s="20">
        <f>Разбивка_по_щитам!C2984</f>
      </c>
      <c r="D2979" s="20">
        <f>Разбивка_по_щитам!F2984</f>
      </c>
      <c r="E2979" s="20">
        <f>Разбивка_по_щитам!H2984</f>
      </c>
      <c r="F2979" s="20">
        <f>Разбивка_по_щитам!I2984</f>
      </c>
      <c r="G2979" s="20">
        <f>Разбивка_по_щитам!J2984</f>
      </c>
      <c r="H2979" s="20">
        <f>Разбивка_по_щитам!K2984</f>
      </c>
      <c r="I2979" s="20">
        <f>Разбивка_по_щитам!L2984</f>
      </c>
      <c r="J2979" s="20">
        <f>Разбивка_по_щитам!M2984</f>
      </c>
      <c r="K2979" s="20">
        <f>Разбивка_по_щитам!N2984</f>
      </c>
      <c r="L2979" s="20"/>
      <c r="M2979" s="20">
        <f>Разбивка_по_щитам!P2984</f>
      </c>
      <c r="N2979" s="20"/>
    </row>
    <row r="2980" spans="2:14" x14ac:dyDescent="0.25">
      <c r="B2980" s="20">
        <f>Разбивка_по_щитам!B2985</f>
      </c>
      <c r="C2980" s="20">
        <f>Разбивка_по_щитам!C2985</f>
      </c>
      <c r="D2980" s="20">
        <f>Разбивка_по_щитам!F2985</f>
      </c>
      <c r="E2980" s="20">
        <f>Разбивка_по_щитам!H2985</f>
      </c>
      <c r="F2980" s="20">
        <f>Разбивка_по_щитам!I2985</f>
      </c>
      <c r="G2980" s="20">
        <f>Разбивка_по_щитам!J2985</f>
      </c>
      <c r="H2980" s="20">
        <f>Разбивка_по_щитам!K2985</f>
      </c>
      <c r="I2980" s="20">
        <f>Разбивка_по_щитам!L2985</f>
      </c>
      <c r="J2980" s="20">
        <f>Разбивка_по_щитам!M2985</f>
      </c>
      <c r="K2980" s="20">
        <f>Разбивка_по_щитам!N2985</f>
      </c>
      <c r="L2980" s="20"/>
      <c r="M2980" s="20">
        <f>Разбивка_по_щитам!P2985</f>
      </c>
      <c r="N2980" s="20"/>
    </row>
    <row r="2981" spans="2:14" x14ac:dyDescent="0.25">
      <c r="B2981" s="20">
        <f>Разбивка_по_щитам!B2986</f>
      </c>
      <c r="C2981" s="20">
        <f>Разбивка_по_щитам!C2986</f>
      </c>
      <c r="D2981" s="20">
        <f>Разбивка_по_щитам!F2986</f>
      </c>
      <c r="E2981" s="20">
        <f>Разбивка_по_щитам!H2986</f>
      </c>
      <c r="F2981" s="20">
        <f>Разбивка_по_щитам!I2986</f>
      </c>
      <c r="G2981" s="20">
        <f>Разбивка_по_щитам!J2986</f>
      </c>
      <c r="H2981" s="20">
        <f>Разбивка_по_щитам!K2986</f>
      </c>
      <c r="I2981" s="20">
        <f>Разбивка_по_щитам!L2986</f>
      </c>
      <c r="J2981" s="20">
        <f>Разбивка_по_щитам!M2986</f>
      </c>
      <c r="K2981" s="20">
        <f>Разбивка_по_щитам!N2986</f>
      </c>
      <c r="L2981" s="20"/>
      <c r="M2981" s="20">
        <f>Разбивка_по_щитам!P2986</f>
      </c>
      <c r="N2981" s="20"/>
    </row>
    <row r="2982" spans="2:14" x14ac:dyDescent="0.25">
      <c r="B2982" s="20">
        <f>Разбивка_по_щитам!B2987</f>
      </c>
      <c r="C2982" s="20">
        <f>Разбивка_по_щитам!C2987</f>
      </c>
      <c r="D2982" s="20">
        <f>Разбивка_по_щитам!F2987</f>
      </c>
      <c r="E2982" s="20">
        <f>Разбивка_по_щитам!H2987</f>
      </c>
      <c r="F2982" s="20">
        <f>Разбивка_по_щитам!I2987</f>
      </c>
      <c r="G2982" s="20">
        <f>Разбивка_по_щитам!J2987</f>
      </c>
      <c r="H2982" s="20">
        <f>Разбивка_по_щитам!K2987</f>
      </c>
      <c r="I2982" s="20">
        <f>Разбивка_по_щитам!L2987</f>
      </c>
      <c r="J2982" s="20">
        <f>Разбивка_по_щитам!M2987</f>
      </c>
      <c r="K2982" s="20">
        <f>Разбивка_по_щитам!N2987</f>
      </c>
      <c r="L2982" s="20"/>
      <c r="M2982" s="20">
        <f>Разбивка_по_щитам!P2987</f>
      </c>
      <c r="N2982" s="20"/>
    </row>
    <row r="2983" spans="2:14" x14ac:dyDescent="0.25">
      <c r="B2983" s="20">
        <f>Разбивка_по_щитам!B2988</f>
      </c>
      <c r="C2983" s="20">
        <f>Разбивка_по_щитам!C2988</f>
      </c>
      <c r="D2983" s="20">
        <f>Разбивка_по_щитам!F2988</f>
      </c>
      <c r="E2983" s="20">
        <f>Разбивка_по_щитам!H2988</f>
      </c>
      <c r="F2983" s="20">
        <f>Разбивка_по_щитам!I2988</f>
      </c>
      <c r="G2983" s="20">
        <f>Разбивка_по_щитам!J2988</f>
      </c>
      <c r="H2983" s="20">
        <f>Разбивка_по_щитам!K2988</f>
      </c>
      <c r="I2983" s="20">
        <f>Разбивка_по_щитам!L2988</f>
      </c>
      <c r="J2983" s="20">
        <f>Разбивка_по_щитам!M2988</f>
      </c>
      <c r="K2983" s="20">
        <f>Разбивка_по_щитам!N2988</f>
      </c>
      <c r="L2983" s="20"/>
      <c r="M2983" s="20">
        <f>Разбивка_по_щитам!P2988</f>
      </c>
      <c r="N2983" s="20"/>
    </row>
    <row r="2984" spans="2:14" x14ac:dyDescent="0.25">
      <c r="B2984" s="20">
        <f>Разбивка_по_щитам!B2989</f>
      </c>
      <c r="C2984" s="20">
        <f>Разбивка_по_щитам!C2989</f>
      </c>
      <c r="D2984" s="20">
        <f>Разбивка_по_щитам!F2989</f>
      </c>
      <c r="E2984" s="20">
        <f>Разбивка_по_щитам!H2989</f>
      </c>
      <c r="F2984" s="20">
        <f>Разбивка_по_щитам!I2989</f>
      </c>
      <c r="G2984" s="20">
        <f>Разбивка_по_щитам!J2989</f>
      </c>
      <c r="H2984" s="20">
        <f>Разбивка_по_щитам!K2989</f>
      </c>
      <c r="I2984" s="20">
        <f>Разбивка_по_щитам!L2989</f>
      </c>
      <c r="J2984" s="20">
        <f>Разбивка_по_щитам!M2989</f>
      </c>
      <c r="K2984" s="20">
        <f>Разбивка_по_щитам!N2989</f>
      </c>
      <c r="L2984" s="20"/>
      <c r="M2984" s="20">
        <f>Разбивка_по_щитам!P2989</f>
      </c>
      <c r="N2984" s="20"/>
    </row>
    <row r="2985" spans="2:14" x14ac:dyDescent="0.25">
      <c r="B2985" s="20">
        <f>Разбивка_по_щитам!B2990</f>
      </c>
      <c r="C2985" s="20">
        <f>Разбивка_по_щитам!C2990</f>
      </c>
      <c r="D2985" s="20">
        <f>Разбивка_по_щитам!F2990</f>
      </c>
      <c r="E2985" s="20">
        <f>Разбивка_по_щитам!H2990</f>
      </c>
      <c r="F2985" s="20">
        <f>Разбивка_по_щитам!I2990</f>
      </c>
      <c r="G2985" s="20">
        <f>Разбивка_по_щитам!J2990</f>
      </c>
      <c r="H2985" s="20">
        <f>Разбивка_по_щитам!K2990</f>
      </c>
      <c r="I2985" s="20">
        <f>Разбивка_по_щитам!L2990</f>
      </c>
      <c r="J2985" s="20">
        <f>Разбивка_по_щитам!M2990</f>
      </c>
      <c r="K2985" s="20">
        <f>Разбивка_по_щитам!N2990</f>
      </c>
      <c r="L2985" s="20"/>
      <c r="M2985" s="20">
        <f>Разбивка_по_щитам!P2990</f>
      </c>
      <c r="N2985" s="20"/>
    </row>
    <row r="2986" spans="2:14" x14ac:dyDescent="0.25">
      <c r="B2986" s="20">
        <f>Разбивка_по_щитам!B2991</f>
      </c>
      <c r="C2986" s="20">
        <f>Разбивка_по_щитам!C2991</f>
      </c>
      <c r="D2986" s="20">
        <f>Разбивка_по_щитам!F2991</f>
      </c>
      <c r="E2986" s="20">
        <f>Разбивка_по_щитам!H2991</f>
      </c>
      <c r="F2986" s="20">
        <f>Разбивка_по_щитам!I2991</f>
      </c>
      <c r="G2986" s="20">
        <f>Разбивка_по_щитам!J2991</f>
      </c>
      <c r="H2986" s="20">
        <f>Разбивка_по_щитам!K2991</f>
      </c>
      <c r="I2986" s="20">
        <f>Разбивка_по_щитам!L2991</f>
      </c>
      <c r="J2986" s="20">
        <f>Разбивка_по_щитам!M2991</f>
      </c>
      <c r="K2986" s="20">
        <f>Разбивка_по_щитам!N2991</f>
      </c>
      <c r="L2986" s="20"/>
      <c r="M2986" s="20">
        <f>Разбивка_по_щитам!P2991</f>
      </c>
      <c r="N2986" s="20"/>
    </row>
    <row r="2987" spans="2:14" x14ac:dyDescent="0.25">
      <c r="B2987" s="20">
        <f>Разбивка_по_щитам!B2992</f>
      </c>
      <c r="C2987" s="20">
        <f>Разбивка_по_щитам!C2992</f>
      </c>
      <c r="D2987" s="20">
        <f>Разбивка_по_щитам!F2992</f>
      </c>
      <c r="E2987" s="20">
        <f>Разбивка_по_щитам!H2992</f>
      </c>
      <c r="F2987" s="20">
        <f>Разбивка_по_щитам!I2992</f>
      </c>
      <c r="G2987" s="20">
        <f>Разбивка_по_щитам!J2992</f>
      </c>
      <c r="H2987" s="20">
        <f>Разбивка_по_щитам!K2992</f>
      </c>
      <c r="I2987" s="20">
        <f>Разбивка_по_щитам!L2992</f>
      </c>
      <c r="J2987" s="20">
        <f>Разбивка_по_щитам!M2992</f>
      </c>
      <c r="K2987" s="20">
        <f>Разбивка_по_щитам!N2992</f>
      </c>
      <c r="L2987" s="20"/>
      <c r="M2987" s="20">
        <f>Разбивка_по_щитам!P2992</f>
      </c>
      <c r="N2987" s="20"/>
    </row>
    <row r="2988" spans="2:14" x14ac:dyDescent="0.25">
      <c r="B2988" s="20">
        <f>Разбивка_по_щитам!B2993</f>
      </c>
      <c r="C2988" s="20">
        <f>Разбивка_по_щитам!C2993</f>
      </c>
      <c r="D2988" s="20">
        <f>Разбивка_по_щитам!F2993</f>
      </c>
      <c r="E2988" s="20">
        <f>Разбивка_по_щитам!H2993</f>
      </c>
      <c r="F2988" s="20">
        <f>Разбивка_по_щитам!I2993</f>
      </c>
      <c r="G2988" s="20">
        <f>Разбивка_по_щитам!J2993</f>
      </c>
      <c r="H2988" s="20">
        <f>Разбивка_по_щитам!K2993</f>
      </c>
      <c r="I2988" s="20">
        <f>Разбивка_по_щитам!L2993</f>
      </c>
      <c r="J2988" s="20">
        <f>Разбивка_по_щитам!M2993</f>
      </c>
      <c r="K2988" s="20">
        <f>Разбивка_по_щитам!N2993</f>
      </c>
      <c r="L2988" s="20"/>
      <c r="M2988" s="20">
        <f>Разбивка_по_щитам!P2993</f>
      </c>
      <c r="N2988" s="20"/>
    </row>
    <row r="2989" spans="2:14" x14ac:dyDescent="0.25">
      <c r="B2989" s="20">
        <f>Разбивка_по_щитам!B2994</f>
      </c>
      <c r="C2989" s="20">
        <f>Разбивка_по_щитам!C2994</f>
      </c>
      <c r="D2989" s="20">
        <f>Разбивка_по_щитам!F2994</f>
      </c>
      <c r="E2989" s="20">
        <f>Разбивка_по_щитам!H2994</f>
      </c>
      <c r="F2989" s="20">
        <f>Разбивка_по_щитам!I2994</f>
      </c>
      <c r="G2989" s="20">
        <f>Разбивка_по_щитам!J2994</f>
      </c>
      <c r="H2989" s="20">
        <f>Разбивка_по_щитам!K2994</f>
      </c>
      <c r="I2989" s="20">
        <f>Разбивка_по_щитам!L2994</f>
      </c>
      <c r="J2989" s="20">
        <f>Разбивка_по_щитам!M2994</f>
      </c>
      <c r="K2989" s="20">
        <f>Разбивка_по_щитам!N2994</f>
      </c>
      <c r="L2989" s="20"/>
      <c r="M2989" s="20">
        <f>Разбивка_по_щитам!P2994</f>
      </c>
      <c r="N2989" s="20"/>
    </row>
    <row r="2990" spans="2:14" x14ac:dyDescent="0.25">
      <c r="B2990" s="20">
        <f>Разбивка_по_щитам!B2995</f>
      </c>
      <c r="C2990" s="20">
        <f>Разбивка_по_щитам!C2995</f>
      </c>
      <c r="D2990" s="20">
        <f>Разбивка_по_щитам!F2995</f>
      </c>
      <c r="E2990" s="20">
        <f>Разбивка_по_щитам!H2995</f>
      </c>
      <c r="F2990" s="20">
        <f>Разбивка_по_щитам!I2995</f>
      </c>
      <c r="G2990" s="20">
        <f>Разбивка_по_щитам!J2995</f>
      </c>
      <c r="H2990" s="20">
        <f>Разбивка_по_щитам!K2995</f>
      </c>
      <c r="I2990" s="20">
        <f>Разбивка_по_щитам!L2995</f>
      </c>
      <c r="J2990" s="20">
        <f>Разбивка_по_щитам!M2995</f>
      </c>
      <c r="K2990" s="20">
        <f>Разбивка_по_щитам!N2995</f>
      </c>
      <c r="L2990" s="20"/>
      <c r="M2990" s="20">
        <f>Разбивка_по_щитам!P2995</f>
      </c>
      <c r="N2990" s="20"/>
    </row>
    <row r="2991" spans="2:14" x14ac:dyDescent="0.25">
      <c r="B2991" s="20">
        <f>Разбивка_по_щитам!B2996</f>
      </c>
      <c r="C2991" s="20">
        <f>Разбивка_по_щитам!C2996</f>
      </c>
      <c r="D2991" s="20">
        <f>Разбивка_по_щитам!F2996</f>
      </c>
      <c r="E2991" s="20">
        <f>Разбивка_по_щитам!H2996</f>
      </c>
      <c r="F2991" s="20">
        <f>Разбивка_по_щитам!I2996</f>
      </c>
      <c r="G2991" s="20">
        <f>Разбивка_по_щитам!J2996</f>
      </c>
      <c r="H2991" s="20">
        <f>Разбивка_по_щитам!K2996</f>
      </c>
      <c r="I2991" s="20">
        <f>Разбивка_по_щитам!L2996</f>
      </c>
      <c r="J2991" s="20">
        <f>Разбивка_по_щитам!M2996</f>
      </c>
      <c r="K2991" s="20">
        <f>Разбивка_по_щитам!N2996</f>
      </c>
      <c r="L2991" s="20"/>
      <c r="M2991" s="20">
        <f>Разбивка_по_щитам!P2996</f>
      </c>
      <c r="N2991" s="20"/>
    </row>
    <row r="2992" spans="2:14" x14ac:dyDescent="0.25">
      <c r="B2992" s="20">
        <f>Разбивка_по_щитам!B2997</f>
      </c>
      <c r="C2992" s="20">
        <f>Разбивка_по_щитам!C2997</f>
      </c>
      <c r="D2992" s="20">
        <f>Разбивка_по_щитам!F2997</f>
      </c>
      <c r="E2992" s="20">
        <f>Разбивка_по_щитам!H2997</f>
      </c>
      <c r="F2992" s="20">
        <f>Разбивка_по_щитам!I2997</f>
      </c>
      <c r="G2992" s="20">
        <f>Разбивка_по_щитам!J2997</f>
      </c>
      <c r="H2992" s="20">
        <f>Разбивка_по_щитам!K2997</f>
      </c>
      <c r="I2992" s="20">
        <f>Разбивка_по_щитам!L2997</f>
      </c>
      <c r="J2992" s="20">
        <f>Разбивка_по_щитам!M2997</f>
      </c>
      <c r="K2992" s="20">
        <f>Разбивка_по_щитам!N2997</f>
      </c>
      <c r="L2992" s="20"/>
      <c r="M2992" s="20">
        <f>Разбивка_по_щитам!P2997</f>
      </c>
      <c r="N2992" s="20"/>
    </row>
    <row r="2993" spans="2:14" x14ac:dyDescent="0.25">
      <c r="B2993" s="20">
        <f>Разбивка_по_щитам!B2998</f>
      </c>
      <c r="C2993" s="20">
        <f>Разбивка_по_щитам!C2998</f>
      </c>
      <c r="D2993" s="20">
        <f>Разбивка_по_щитам!F2998</f>
      </c>
      <c r="E2993" s="20">
        <f>Разбивка_по_щитам!H2998</f>
      </c>
      <c r="F2993" s="20">
        <f>Разбивка_по_щитам!I2998</f>
      </c>
      <c r="G2993" s="20">
        <f>Разбивка_по_щитам!J2998</f>
      </c>
      <c r="H2993" s="20">
        <f>Разбивка_по_щитам!K2998</f>
      </c>
      <c r="I2993" s="20">
        <f>Разбивка_по_щитам!L2998</f>
      </c>
      <c r="J2993" s="20">
        <f>Разбивка_по_щитам!M2998</f>
      </c>
      <c r="K2993" s="20">
        <f>Разбивка_по_щитам!N2998</f>
      </c>
      <c r="L2993" s="20"/>
      <c r="M2993" s="20">
        <f>Разбивка_по_щитам!P2998</f>
      </c>
      <c r="N2993" s="20"/>
    </row>
    <row r="2994" spans="2:14" x14ac:dyDescent="0.25">
      <c r="B2994" s="20">
        <f>Разбивка_по_щитам!B2999</f>
      </c>
      <c r="C2994" s="20">
        <f>Разбивка_по_щитам!C2999</f>
      </c>
      <c r="D2994" s="20">
        <f>Разбивка_по_щитам!F2999</f>
      </c>
      <c r="E2994" s="20">
        <f>Разбивка_по_щитам!H2999</f>
      </c>
      <c r="F2994" s="20">
        <f>Разбивка_по_щитам!I2999</f>
      </c>
      <c r="G2994" s="20">
        <f>Разбивка_по_щитам!J2999</f>
      </c>
      <c r="H2994" s="20">
        <f>Разбивка_по_щитам!K2999</f>
      </c>
      <c r="I2994" s="20">
        <f>Разбивка_по_щитам!L2999</f>
      </c>
      <c r="J2994" s="20">
        <f>Разбивка_по_щитам!M2999</f>
      </c>
      <c r="K2994" s="20">
        <f>Разбивка_по_щитам!N2999</f>
      </c>
      <c r="L2994" s="20"/>
      <c r="M2994" s="20">
        <f>Разбивка_по_щитам!P2999</f>
      </c>
      <c r="N2994" s="20"/>
    </row>
    <row r="2995" spans="2:14" x14ac:dyDescent="0.25">
      <c r="B2995" s="20">
        <f>Разбивка_по_щитам!B3000</f>
      </c>
      <c r="C2995" s="20">
        <f>Разбивка_по_щитам!C3000</f>
      </c>
      <c r="D2995" s="20">
        <f>Разбивка_по_щитам!F3000</f>
      </c>
      <c r="E2995" s="20">
        <f>Разбивка_по_щитам!H3000</f>
      </c>
      <c r="F2995" s="20">
        <f>Разбивка_по_щитам!I3000</f>
      </c>
      <c r="G2995" s="20">
        <f>Разбивка_по_щитам!J3000</f>
      </c>
      <c r="H2995" s="20">
        <f>Разбивка_по_щитам!K3000</f>
      </c>
      <c r="I2995" s="20">
        <f>Разбивка_по_щитам!L3000</f>
      </c>
      <c r="J2995" s="20">
        <f>Разбивка_по_щитам!M3000</f>
      </c>
      <c r="K2995" s="20">
        <f>Разбивка_по_щитам!N3000</f>
      </c>
      <c r="L2995" s="20"/>
      <c r="M2995" s="20">
        <f>Разбивка_по_щитам!P3000</f>
      </c>
      <c r="N2995" s="20"/>
    </row>
    <row r="2996" spans="2:14" x14ac:dyDescent="0.25">
      <c r="B2996" s="20">
        <f>Разбивка_по_щитам!B3001</f>
      </c>
      <c r="C2996" s="20">
        <f>Разбивка_по_щитам!C3001</f>
      </c>
      <c r="D2996" s="20">
        <f>Разбивка_по_щитам!F3001</f>
      </c>
      <c r="E2996" s="20">
        <f>Разбивка_по_щитам!H3001</f>
      </c>
      <c r="F2996" s="20">
        <f>Разбивка_по_щитам!I3001</f>
      </c>
      <c r="G2996" s="20">
        <f>Разбивка_по_щитам!J3001</f>
      </c>
      <c r="H2996" s="20">
        <f>Разбивка_по_щитам!K3001</f>
      </c>
      <c r="I2996" s="20">
        <f>Разбивка_по_щитам!L3001</f>
      </c>
      <c r="J2996" s="20">
        <f>Разбивка_по_щитам!M3001</f>
      </c>
      <c r="K2996" s="20">
        <f>Разбивка_по_щитам!N3001</f>
      </c>
      <c r="L2996" s="20"/>
      <c r="M2996" s="20">
        <f>Разбивка_по_щитам!P3001</f>
      </c>
      <c r="N2996" s="20"/>
    </row>
    <row r="2997" spans="2:14" x14ac:dyDescent="0.25">
      <c r="B2997" s="20">
        <f>Разбивка_по_щитам!B3002</f>
      </c>
      <c r="C2997" s="20">
        <f>Разбивка_по_щитам!C3002</f>
      </c>
      <c r="D2997" s="20">
        <f>Разбивка_по_щитам!F3002</f>
      </c>
      <c r="E2997" s="20">
        <f>Разбивка_по_щитам!H3002</f>
      </c>
      <c r="F2997" s="20">
        <f>Разбивка_по_щитам!I3002</f>
      </c>
      <c r="G2997" s="20">
        <f>Разбивка_по_щитам!J3002</f>
      </c>
      <c r="H2997" s="20">
        <f>Разбивка_по_щитам!K3002</f>
      </c>
      <c r="I2997" s="20">
        <f>Разбивка_по_щитам!L3002</f>
      </c>
      <c r="J2997" s="20">
        <f>Разбивка_по_щитам!M3002</f>
      </c>
      <c r="K2997" s="20">
        <f>Разбивка_по_щитам!N3002</f>
      </c>
      <c r="L2997" s="20"/>
      <c r="M2997" s="20">
        <f>Разбивка_по_щитам!P3002</f>
      </c>
      <c r="N2997" s="20"/>
    </row>
    <row r="2998" spans="2:14" x14ac:dyDescent="0.25">
      <c r="B2998" s="20">
        <f>Разбивка_по_щитам!B3003</f>
      </c>
      <c r="C2998" s="20">
        <f>Разбивка_по_щитам!C3003</f>
      </c>
      <c r="D2998" s="20">
        <f>Разбивка_по_щитам!F3003</f>
      </c>
      <c r="E2998" s="20">
        <f>Разбивка_по_щитам!H3003</f>
      </c>
      <c r="F2998" s="20">
        <f>Разбивка_по_щитам!I3003</f>
      </c>
      <c r="G2998" s="20">
        <f>Разбивка_по_щитам!J3003</f>
      </c>
      <c r="H2998" s="20">
        <f>Разбивка_по_щитам!K3003</f>
      </c>
      <c r="I2998" s="20">
        <f>Разбивка_по_щитам!L3003</f>
      </c>
      <c r="J2998" s="20">
        <f>Разбивка_по_щитам!M3003</f>
      </c>
      <c r="K2998" s="20">
        <f>Разбивка_по_щитам!N3003</f>
      </c>
      <c r="L2998" s="20"/>
      <c r="M2998" s="20">
        <f>Разбивка_по_щитам!P3003</f>
      </c>
      <c r="N2998" s="20"/>
    </row>
    <row r="2999" spans="2:14" x14ac:dyDescent="0.25">
      <c r="B2999" s="20">
        <f>Разбивка_по_щитам!B3004</f>
      </c>
      <c r="C2999" s="20">
        <f>Разбивка_по_щитам!C3004</f>
      </c>
      <c r="D2999" s="20">
        <f>Разбивка_по_щитам!F3004</f>
      </c>
      <c r="E2999" s="20">
        <f>Разбивка_по_щитам!H3004</f>
      </c>
      <c r="F2999" s="20">
        <f>Разбивка_по_щитам!I3004</f>
      </c>
      <c r="G2999" s="20">
        <f>Разбивка_по_щитам!J3004</f>
      </c>
      <c r="H2999" s="20">
        <f>Разбивка_по_щитам!K3004</f>
      </c>
      <c r="I2999" s="20">
        <f>Разбивка_по_щитам!L3004</f>
      </c>
      <c r="J2999" s="20">
        <f>Разбивка_по_щитам!M3004</f>
      </c>
      <c r="K2999" s="20">
        <f>Разбивка_по_щитам!N3004</f>
      </c>
      <c r="L2999" s="20"/>
      <c r="M2999" s="20">
        <f>Разбивка_по_щитам!P3004</f>
      </c>
      <c r="N2999" s="20"/>
    </row>
    <row r="3000" spans="2:14" x14ac:dyDescent="0.25">
      <c r="B3000" s="20">
        <f>Разбивка_по_щитам!B3005</f>
      </c>
      <c r="C3000" s="20">
        <f>Разбивка_по_щитам!C3005</f>
      </c>
      <c r="D3000" s="20">
        <f>Разбивка_по_щитам!F3005</f>
      </c>
      <c r="E3000" s="20">
        <f>Разбивка_по_щитам!H3005</f>
      </c>
      <c r="F3000" s="20">
        <f>Разбивка_по_щитам!I3005</f>
      </c>
      <c r="G3000" s="20">
        <f>Разбивка_по_щитам!J3005</f>
      </c>
      <c r="H3000" s="20">
        <f>Разбивка_по_щитам!K3005</f>
      </c>
      <c r="I3000" s="20">
        <f>Разбивка_по_щитам!L3005</f>
      </c>
      <c r="J3000" s="20">
        <f>Разбивка_по_щитам!M3005</f>
      </c>
      <c r="K3000" s="20">
        <f>Разбивка_по_щитам!N3005</f>
      </c>
      <c r="L3000" s="20"/>
      <c r="M3000" s="20">
        <f>Разбивка_по_щитам!P3005</f>
      </c>
      <c r="N3000" s="20"/>
    </row>
    <row r="3001" spans="2:14" x14ac:dyDescent="0.25">
      <c r="B3001" s="20">
        <f>Разбивка_по_щитам!B3006</f>
      </c>
      <c r="C3001" s="20">
        <f>Разбивка_по_щитам!C3006</f>
      </c>
      <c r="D3001" s="20">
        <f>Разбивка_по_щитам!F3006</f>
      </c>
      <c r="E3001" s="20">
        <f>Разбивка_по_щитам!H3006</f>
      </c>
      <c r="F3001" s="20">
        <f>Разбивка_по_щитам!I3006</f>
      </c>
      <c r="G3001" s="20">
        <f>Разбивка_по_щитам!J3006</f>
      </c>
      <c r="H3001" s="20">
        <f>Разбивка_по_щитам!K3006</f>
      </c>
      <c r="I3001" s="20">
        <f>Разбивка_по_щитам!L3006</f>
      </c>
      <c r="J3001" s="20">
        <f>Разбивка_по_щитам!M3006</f>
      </c>
      <c r="K3001" s="20">
        <f>Разбивка_по_щитам!N3006</f>
      </c>
      <c r="L3001" s="20"/>
      <c r="M3001" s="20">
        <f>Разбивка_по_щитам!P3006</f>
      </c>
      <c r="N3001" s="20"/>
    </row>
    <row r="3002" spans="2:14" x14ac:dyDescent="0.25">
      <c r="B3002" s="20">
        <f>Разбивка_по_щитам!B3007</f>
      </c>
      <c r="C3002" s="20">
        <f>Разбивка_по_щитам!C3007</f>
      </c>
      <c r="D3002" s="20">
        <f>Разбивка_по_щитам!F3007</f>
      </c>
      <c r="E3002" s="20">
        <f>Разбивка_по_щитам!H3007</f>
      </c>
      <c r="F3002" s="20">
        <f>Разбивка_по_щитам!I3007</f>
      </c>
      <c r="G3002" s="20">
        <f>Разбивка_по_щитам!J3007</f>
      </c>
      <c r="H3002" s="20">
        <f>Разбивка_по_щитам!K3007</f>
      </c>
      <c r="I3002" s="20">
        <f>Разбивка_по_щитам!L3007</f>
      </c>
      <c r="J3002" s="20">
        <f>Разбивка_по_щитам!M3007</f>
      </c>
      <c r="K3002" s="20">
        <f>Разбивка_по_щитам!N3007</f>
      </c>
      <c r="L3002" s="20"/>
      <c r="M3002" s="20">
        <f>Разбивка_по_щитам!P3007</f>
      </c>
      <c r="N3002" s="20"/>
    </row>
    <row r="3003" spans="2:14" x14ac:dyDescent="0.25">
      <c r="B3003" s="20">
        <f>Разбивка_по_щитам!B3008</f>
      </c>
      <c r="C3003" s="20">
        <f>Разбивка_по_щитам!C3008</f>
      </c>
      <c r="D3003" s="20">
        <f>Разбивка_по_щитам!F3008</f>
      </c>
      <c r="E3003" s="20">
        <f>Разбивка_по_щитам!H3008</f>
      </c>
      <c r="F3003" s="20">
        <f>Разбивка_по_щитам!I3008</f>
      </c>
      <c r="G3003" s="20">
        <f>Разбивка_по_щитам!J3008</f>
      </c>
      <c r="H3003" s="20">
        <f>Разбивка_по_щитам!K3008</f>
      </c>
      <c r="I3003" s="20">
        <f>Разбивка_по_щитам!L3008</f>
      </c>
      <c r="J3003" s="20">
        <f>Разбивка_по_щитам!M3008</f>
      </c>
      <c r="K3003" s="20">
        <f>Разбивка_по_щитам!N3008</f>
      </c>
      <c r="L3003" s="20"/>
      <c r="M3003" s="20">
        <f>Разбивка_по_щитам!P3008</f>
      </c>
      <c r="N3003" s="20"/>
    </row>
    <row r="3004" spans="2:14" x14ac:dyDescent="0.25">
      <c r="B3004" s="20">
        <f>Разбивка_по_щитам!B3009</f>
      </c>
      <c r="C3004" s="20">
        <f>Разбивка_по_щитам!C3009</f>
      </c>
      <c r="D3004" s="20">
        <f>Разбивка_по_щитам!F3009</f>
      </c>
      <c r="E3004" s="20">
        <f>Разбивка_по_щитам!H3009</f>
      </c>
      <c r="F3004" s="20">
        <f>Разбивка_по_щитам!I3009</f>
      </c>
      <c r="G3004" s="20">
        <f>Разбивка_по_щитам!J3009</f>
      </c>
      <c r="H3004" s="20">
        <f>Разбивка_по_щитам!K3009</f>
      </c>
      <c r="I3004" s="20">
        <f>Разбивка_по_щитам!L3009</f>
      </c>
      <c r="J3004" s="20">
        <f>Разбивка_по_щитам!M3009</f>
      </c>
      <c r="K3004" s="20">
        <f>Разбивка_по_щитам!N3009</f>
      </c>
      <c r="L3004" s="20"/>
      <c r="M3004" s="20">
        <f>Разбивка_по_щитам!P3009</f>
      </c>
      <c r="N3004" s="20"/>
    </row>
    <row r="3005" spans="2:14" x14ac:dyDescent="0.25">
      <c r="B3005" s="20">
        <f>Разбивка_по_щитам!B3010</f>
      </c>
      <c r="C3005" s="20">
        <f>Разбивка_по_щитам!C3010</f>
      </c>
      <c r="D3005" s="20">
        <f>Разбивка_по_щитам!F3010</f>
      </c>
      <c r="E3005" s="20">
        <f>Разбивка_по_щитам!H3010</f>
      </c>
      <c r="F3005" s="20">
        <f>Разбивка_по_щитам!I3010</f>
      </c>
      <c r="G3005" s="20">
        <f>Разбивка_по_щитам!J3010</f>
      </c>
      <c r="H3005" s="20">
        <f>Разбивка_по_щитам!K3010</f>
      </c>
      <c r="I3005" s="20">
        <f>Разбивка_по_щитам!L3010</f>
      </c>
      <c r="J3005" s="20">
        <f>Разбивка_по_щитам!M3010</f>
      </c>
      <c r="K3005" s="20">
        <f>Разбивка_по_щитам!N3010</f>
      </c>
      <c r="L3005" s="20"/>
      <c r="M3005" s="20">
        <f>Разбивка_по_щитам!P3010</f>
      </c>
      <c r="N3005" s="20"/>
    </row>
    <row r="3006" spans="2:14" x14ac:dyDescent="0.25">
      <c r="B3006" s="20">
        <f>Разбивка_по_щитам!B3011</f>
      </c>
      <c r="C3006" s="20">
        <f>Разбивка_по_щитам!C3011</f>
      </c>
      <c r="D3006" s="20">
        <f>Разбивка_по_щитам!F3011</f>
      </c>
      <c r="E3006" s="20">
        <f>Разбивка_по_щитам!H3011</f>
      </c>
      <c r="F3006" s="20">
        <f>Разбивка_по_щитам!I3011</f>
      </c>
      <c r="G3006" s="20">
        <f>Разбивка_по_щитам!J3011</f>
      </c>
      <c r="H3006" s="20">
        <f>Разбивка_по_щитам!K3011</f>
      </c>
      <c r="I3006" s="20">
        <f>Разбивка_по_щитам!L3011</f>
      </c>
      <c r="J3006" s="20">
        <f>Разбивка_по_щитам!M3011</f>
      </c>
      <c r="K3006" s="20">
        <f>Разбивка_по_щитам!N3011</f>
      </c>
      <c r="L3006" s="20"/>
      <c r="M3006" s="20">
        <f>Разбивка_по_щитам!P3011</f>
      </c>
      <c r="N3006" s="20"/>
    </row>
    <row r="3007" spans="2:14" x14ac:dyDescent="0.25">
      <c r="B3007" s="20">
        <f>Разбивка_по_щитам!B3012</f>
      </c>
      <c r="C3007" s="20">
        <f>Разбивка_по_щитам!C3012</f>
      </c>
      <c r="D3007" s="20">
        <f>Разбивка_по_щитам!F3012</f>
      </c>
      <c r="E3007" s="20">
        <f>Разбивка_по_щитам!H3012</f>
      </c>
      <c r="F3007" s="20">
        <f>Разбивка_по_щитам!I3012</f>
      </c>
      <c r="G3007" s="20">
        <f>Разбивка_по_щитам!J3012</f>
      </c>
      <c r="H3007" s="20">
        <f>Разбивка_по_щитам!K3012</f>
      </c>
      <c r="I3007" s="20">
        <f>Разбивка_по_щитам!L3012</f>
      </c>
      <c r="J3007" s="20">
        <f>Разбивка_по_щитам!M3012</f>
      </c>
      <c r="K3007" s="20">
        <f>Разбивка_по_щитам!N3012</f>
      </c>
      <c r="L3007" s="20"/>
      <c r="M3007" s="20">
        <f>Разбивка_по_щитам!P3012</f>
      </c>
      <c r="N3007" s="20"/>
    </row>
    <row r="3008" spans="2:14" x14ac:dyDescent="0.25">
      <c r="B3008" s="20">
        <f>Разбивка_по_щитам!B3013</f>
      </c>
      <c r="C3008" s="20">
        <f>Разбивка_по_щитам!C3013</f>
      </c>
      <c r="D3008" s="20">
        <f>Разбивка_по_щитам!F3013</f>
      </c>
      <c r="E3008" s="20">
        <f>Разбивка_по_щитам!H3013</f>
      </c>
      <c r="F3008" s="20">
        <f>Разбивка_по_щитам!I3013</f>
      </c>
      <c r="G3008" s="20">
        <f>Разбивка_по_щитам!J3013</f>
      </c>
      <c r="H3008" s="20">
        <f>Разбивка_по_щитам!K3013</f>
      </c>
      <c r="I3008" s="20">
        <f>Разбивка_по_щитам!L3013</f>
      </c>
      <c r="J3008" s="20">
        <f>Разбивка_по_щитам!M3013</f>
      </c>
      <c r="K3008" s="20">
        <f>Разбивка_по_щитам!N3013</f>
      </c>
      <c r="L3008" s="20"/>
      <c r="M3008" s="20">
        <f>Разбивка_по_щитам!P3013</f>
      </c>
      <c r="N3008" s="20"/>
    </row>
    <row r="3009" spans="2:14" x14ac:dyDescent="0.25">
      <c r="B3009" s="20">
        <f>Разбивка_по_щитам!B3014</f>
      </c>
      <c r="C3009" s="20">
        <f>Разбивка_по_щитам!C3014</f>
      </c>
      <c r="D3009" s="20">
        <f>Разбивка_по_щитам!F3014</f>
      </c>
      <c r="E3009" s="20">
        <f>Разбивка_по_щитам!H3014</f>
      </c>
      <c r="F3009" s="20">
        <f>Разбивка_по_щитам!I3014</f>
      </c>
      <c r="G3009" s="20">
        <f>Разбивка_по_щитам!J3014</f>
      </c>
      <c r="H3009" s="20">
        <f>Разбивка_по_щитам!K3014</f>
      </c>
      <c r="I3009" s="20">
        <f>Разбивка_по_щитам!L3014</f>
      </c>
      <c r="J3009" s="20">
        <f>Разбивка_по_щитам!M3014</f>
      </c>
      <c r="K3009" s="20">
        <f>Разбивка_по_щитам!N3014</f>
      </c>
      <c r="L3009" s="20"/>
      <c r="M3009" s="20">
        <f>Разбивка_по_щитам!P3014</f>
      </c>
      <c r="N3009" s="20"/>
    </row>
    <row r="3010" spans="2:14" x14ac:dyDescent="0.25">
      <c r="B3010" s="20">
        <f>Разбивка_по_щитам!B3015</f>
      </c>
      <c r="C3010" s="20">
        <f>Разбивка_по_щитам!C3015</f>
      </c>
      <c r="D3010" s="20">
        <f>Разбивка_по_щитам!F3015</f>
      </c>
      <c r="E3010" s="20">
        <f>Разбивка_по_щитам!H3015</f>
      </c>
      <c r="F3010" s="20">
        <f>Разбивка_по_щитам!I3015</f>
      </c>
      <c r="G3010" s="20">
        <f>Разбивка_по_щитам!J3015</f>
      </c>
      <c r="H3010" s="20">
        <f>Разбивка_по_щитам!K3015</f>
      </c>
      <c r="I3010" s="20">
        <f>Разбивка_по_щитам!L3015</f>
      </c>
      <c r="J3010" s="20">
        <f>Разбивка_по_щитам!M3015</f>
      </c>
      <c r="K3010" s="20">
        <f>Разбивка_по_щитам!N3015</f>
      </c>
      <c r="L3010" s="20"/>
      <c r="M3010" s="20">
        <f>Разбивка_по_щитам!P3015</f>
      </c>
      <c r="N3010" s="20"/>
    </row>
    <row r="3011" spans="2:14" x14ac:dyDescent="0.25">
      <c r="B3011" s="20">
        <f>Разбивка_по_щитам!B3016</f>
      </c>
      <c r="C3011" s="20">
        <f>Разбивка_по_щитам!C3016</f>
      </c>
      <c r="D3011" s="20">
        <f>Разбивка_по_щитам!F3016</f>
      </c>
      <c r="E3011" s="20">
        <f>Разбивка_по_щитам!H3016</f>
      </c>
      <c r="F3011" s="20">
        <f>Разбивка_по_щитам!I3016</f>
      </c>
      <c r="G3011" s="20">
        <f>Разбивка_по_щитам!J3016</f>
      </c>
      <c r="H3011" s="20">
        <f>Разбивка_по_щитам!K3016</f>
      </c>
      <c r="I3011" s="20">
        <f>Разбивка_по_щитам!L3016</f>
      </c>
      <c r="J3011" s="20">
        <f>Разбивка_по_щитам!M3016</f>
      </c>
      <c r="K3011" s="20">
        <f>Разбивка_по_щитам!N3016</f>
      </c>
      <c r="L3011" s="20"/>
      <c r="M3011" s="20">
        <f>Разбивка_по_щитам!P3016</f>
      </c>
      <c r="N3011" s="20"/>
    </row>
    <row r="3012" spans="2:14" x14ac:dyDescent="0.25">
      <c r="B3012" s="20">
        <f>Разбивка_по_щитам!B3017</f>
      </c>
      <c r="C3012" s="20">
        <f>Разбивка_по_щитам!C3017</f>
      </c>
      <c r="D3012" s="20">
        <f>Разбивка_по_щитам!F3017</f>
      </c>
      <c r="E3012" s="20">
        <f>Разбивка_по_щитам!H3017</f>
      </c>
      <c r="F3012" s="20">
        <f>Разбивка_по_щитам!I3017</f>
      </c>
      <c r="G3012" s="20">
        <f>Разбивка_по_щитам!J3017</f>
      </c>
      <c r="H3012" s="20">
        <f>Разбивка_по_щитам!K3017</f>
      </c>
      <c r="I3012" s="20">
        <f>Разбивка_по_щитам!L3017</f>
      </c>
      <c r="J3012" s="20">
        <f>Разбивка_по_щитам!M3017</f>
      </c>
      <c r="K3012" s="20">
        <f>Разбивка_по_щитам!N3017</f>
      </c>
      <c r="L3012" s="20"/>
      <c r="M3012" s="20">
        <f>Разбивка_по_щитам!P3017</f>
      </c>
      <c r="N3012" s="20"/>
    </row>
    <row r="3013" spans="2:14" x14ac:dyDescent="0.25">
      <c r="B3013" s="20">
        <f>Разбивка_по_щитам!B3018</f>
      </c>
      <c r="C3013" s="20">
        <f>Разбивка_по_щитам!C3018</f>
      </c>
      <c r="D3013" s="20">
        <f>Разбивка_по_щитам!F3018</f>
      </c>
      <c r="E3013" s="20">
        <f>Разбивка_по_щитам!H3018</f>
      </c>
      <c r="F3013" s="20">
        <f>Разбивка_по_щитам!I3018</f>
      </c>
      <c r="G3013" s="20">
        <f>Разбивка_по_щитам!J3018</f>
      </c>
      <c r="H3013" s="20">
        <f>Разбивка_по_щитам!K3018</f>
      </c>
      <c r="I3013" s="20">
        <f>Разбивка_по_щитам!L3018</f>
      </c>
      <c r="J3013" s="20">
        <f>Разбивка_по_щитам!M3018</f>
      </c>
      <c r="K3013" s="20">
        <f>Разбивка_по_щитам!N3018</f>
      </c>
      <c r="L3013" s="20"/>
      <c r="M3013" s="20">
        <f>Разбивка_по_щитам!P3018</f>
      </c>
      <c r="N3013" s="20"/>
    </row>
    <row r="3014" spans="2:14" x14ac:dyDescent="0.25">
      <c r="B3014" s="20">
        <f>Разбивка_по_щитам!B3019</f>
      </c>
      <c r="C3014" s="20">
        <f>Разбивка_по_щитам!C3019</f>
      </c>
      <c r="D3014" s="20">
        <f>Разбивка_по_щитам!F3019</f>
      </c>
      <c r="E3014" s="20">
        <f>Разбивка_по_щитам!H3019</f>
      </c>
      <c r="F3014" s="20">
        <f>Разбивка_по_щитам!I3019</f>
      </c>
      <c r="G3014" s="20">
        <f>Разбивка_по_щитам!J3019</f>
      </c>
      <c r="H3014" s="20">
        <f>Разбивка_по_щитам!K3019</f>
      </c>
      <c r="I3014" s="20">
        <f>Разбивка_по_щитам!L3019</f>
      </c>
      <c r="J3014" s="20">
        <f>Разбивка_по_щитам!M3019</f>
      </c>
      <c r="K3014" s="20">
        <f>Разбивка_по_щитам!N3019</f>
      </c>
      <c r="L3014" s="20"/>
      <c r="M3014" s="20">
        <f>Разбивка_по_щитам!P3019</f>
      </c>
      <c r="N3014" s="20"/>
    </row>
    <row r="3015" spans="2:14" x14ac:dyDescent="0.25">
      <c r="B3015" s="20">
        <f>Разбивка_по_щитам!B3020</f>
      </c>
      <c r="C3015" s="20">
        <f>Разбивка_по_щитам!C3020</f>
      </c>
      <c r="D3015" s="20">
        <f>Разбивка_по_щитам!F3020</f>
      </c>
      <c r="E3015" s="20">
        <f>Разбивка_по_щитам!H3020</f>
      </c>
      <c r="F3015" s="20">
        <f>Разбивка_по_щитам!I3020</f>
      </c>
      <c r="G3015" s="20">
        <f>Разбивка_по_щитам!J3020</f>
      </c>
      <c r="H3015" s="20">
        <f>Разбивка_по_щитам!K3020</f>
      </c>
      <c r="I3015" s="20">
        <f>Разбивка_по_щитам!L3020</f>
      </c>
      <c r="J3015" s="20">
        <f>Разбивка_по_щитам!M3020</f>
      </c>
      <c r="K3015" s="20">
        <f>Разбивка_по_щитам!N3020</f>
      </c>
      <c r="L3015" s="20"/>
      <c r="M3015" s="20">
        <f>Разбивка_по_щитам!P3020</f>
      </c>
      <c r="N3015" s="20"/>
    </row>
    <row r="3016" spans="2:14" x14ac:dyDescent="0.25">
      <c r="B3016" s="20">
        <f>Разбивка_по_щитам!B3021</f>
      </c>
      <c r="C3016" s="20">
        <f>Разбивка_по_щитам!C3021</f>
      </c>
      <c r="D3016" s="20">
        <f>Разбивка_по_щитам!F3021</f>
      </c>
      <c r="E3016" s="20">
        <f>Разбивка_по_щитам!H3021</f>
      </c>
      <c r="F3016" s="20">
        <f>Разбивка_по_щитам!I3021</f>
      </c>
      <c r="G3016" s="20">
        <f>Разбивка_по_щитам!J3021</f>
      </c>
      <c r="H3016" s="20">
        <f>Разбивка_по_щитам!K3021</f>
      </c>
      <c r="I3016" s="20">
        <f>Разбивка_по_щитам!L3021</f>
      </c>
      <c r="J3016" s="20">
        <f>Разбивка_по_щитам!M3021</f>
      </c>
      <c r="K3016" s="20">
        <f>Разбивка_по_щитам!N3021</f>
      </c>
      <c r="L3016" s="20"/>
      <c r="M3016" s="20">
        <f>Разбивка_по_щитам!P3021</f>
      </c>
      <c r="N3016" s="20"/>
    </row>
    <row r="3017" spans="2:14" x14ac:dyDescent="0.25">
      <c r="B3017" s="20">
        <f>Разбивка_по_щитам!B3022</f>
      </c>
      <c r="C3017" s="20">
        <f>Разбивка_по_щитам!C3022</f>
      </c>
      <c r="D3017" s="20">
        <f>Разбивка_по_щитам!F3022</f>
      </c>
      <c r="E3017" s="20">
        <f>Разбивка_по_щитам!H3022</f>
      </c>
      <c r="F3017" s="20">
        <f>Разбивка_по_щитам!I3022</f>
      </c>
      <c r="G3017" s="20">
        <f>Разбивка_по_щитам!J3022</f>
      </c>
      <c r="H3017" s="20">
        <f>Разбивка_по_щитам!K3022</f>
      </c>
      <c r="I3017" s="20">
        <f>Разбивка_по_щитам!L3022</f>
      </c>
      <c r="J3017" s="20">
        <f>Разбивка_по_щитам!M3022</f>
      </c>
      <c r="K3017" s="20">
        <f>Разбивка_по_щитам!N3022</f>
      </c>
      <c r="L3017" s="20"/>
      <c r="M3017" s="20">
        <f>Разбивка_по_щитам!P3022</f>
      </c>
      <c r="N3017" s="20"/>
    </row>
    <row r="3018" spans="2:14" x14ac:dyDescent="0.25">
      <c r="B3018" s="20">
        <f>Разбивка_по_щитам!B3023</f>
      </c>
      <c r="C3018" s="20">
        <f>Разбивка_по_щитам!C3023</f>
      </c>
      <c r="D3018" s="20">
        <f>Разбивка_по_щитам!F3023</f>
      </c>
      <c r="E3018" s="20">
        <f>Разбивка_по_щитам!H3023</f>
      </c>
      <c r="F3018" s="20">
        <f>Разбивка_по_щитам!I3023</f>
      </c>
      <c r="G3018" s="20">
        <f>Разбивка_по_щитам!J3023</f>
      </c>
      <c r="H3018" s="20">
        <f>Разбивка_по_щитам!K3023</f>
      </c>
      <c r="I3018" s="20">
        <f>Разбивка_по_щитам!L3023</f>
      </c>
      <c r="J3018" s="20">
        <f>Разбивка_по_щитам!M3023</f>
      </c>
      <c r="K3018" s="20">
        <f>Разбивка_по_щитам!N3023</f>
      </c>
      <c r="L3018" s="20"/>
      <c r="M3018" s="20">
        <f>Разбивка_по_щитам!P3023</f>
      </c>
      <c r="N3018" s="20"/>
    </row>
    <row r="3019" spans="2:14" x14ac:dyDescent="0.25">
      <c r="B3019" s="20">
        <f>Разбивка_по_щитам!B3024</f>
      </c>
      <c r="C3019" s="20">
        <f>Разбивка_по_щитам!C3024</f>
      </c>
      <c r="D3019" s="20">
        <f>Разбивка_по_щитам!F3024</f>
      </c>
      <c r="E3019" s="20">
        <f>Разбивка_по_щитам!H3024</f>
      </c>
      <c r="F3019" s="20">
        <f>Разбивка_по_щитам!I3024</f>
      </c>
      <c r="G3019" s="20">
        <f>Разбивка_по_щитам!J3024</f>
      </c>
      <c r="H3019" s="20">
        <f>Разбивка_по_щитам!K3024</f>
      </c>
      <c r="I3019" s="20">
        <f>Разбивка_по_щитам!L3024</f>
      </c>
      <c r="J3019" s="20">
        <f>Разбивка_по_щитам!M3024</f>
      </c>
      <c r="K3019" s="20">
        <f>Разбивка_по_щитам!N3024</f>
      </c>
      <c r="L3019" s="20"/>
      <c r="M3019" s="20">
        <f>Разбивка_по_щитам!P3024</f>
      </c>
      <c r="N3019" s="20"/>
    </row>
    <row r="3020" spans="2:14" x14ac:dyDescent="0.25">
      <c r="B3020" s="20">
        <f>Разбивка_по_щитам!B3025</f>
      </c>
      <c r="C3020" s="20">
        <f>Разбивка_по_щитам!C3025</f>
      </c>
      <c r="D3020" s="20">
        <f>Разбивка_по_щитам!F3025</f>
      </c>
      <c r="E3020" s="20">
        <f>Разбивка_по_щитам!H3025</f>
      </c>
      <c r="F3020" s="20">
        <f>Разбивка_по_щитам!I3025</f>
      </c>
      <c r="G3020" s="20">
        <f>Разбивка_по_щитам!J3025</f>
      </c>
      <c r="H3020" s="20">
        <f>Разбивка_по_щитам!K3025</f>
      </c>
      <c r="I3020" s="20">
        <f>Разбивка_по_щитам!L3025</f>
      </c>
      <c r="J3020" s="20">
        <f>Разбивка_по_щитам!M3025</f>
      </c>
      <c r="K3020" s="20">
        <f>Разбивка_по_щитам!N3025</f>
      </c>
      <c r="L3020" s="20"/>
      <c r="M3020" s="20">
        <f>Разбивка_по_щитам!P3025</f>
      </c>
      <c r="N3020" s="20"/>
    </row>
    <row r="3021" spans="2:14" x14ac:dyDescent="0.25">
      <c r="B3021" s="20">
        <f>Разбивка_по_щитам!B3026</f>
      </c>
      <c r="C3021" s="20">
        <f>Разбивка_по_щитам!C3026</f>
      </c>
      <c r="D3021" s="20">
        <f>Разбивка_по_щитам!F3026</f>
      </c>
      <c r="E3021" s="20">
        <f>Разбивка_по_щитам!H3026</f>
      </c>
      <c r="F3021" s="20">
        <f>Разбивка_по_щитам!I3026</f>
      </c>
      <c r="G3021" s="20">
        <f>Разбивка_по_щитам!J3026</f>
      </c>
      <c r="H3021" s="20">
        <f>Разбивка_по_щитам!K3026</f>
      </c>
      <c r="I3021" s="20">
        <f>Разбивка_по_щитам!L3026</f>
      </c>
      <c r="J3021" s="20">
        <f>Разбивка_по_щитам!M3026</f>
      </c>
      <c r="K3021" s="20">
        <f>Разбивка_по_щитам!N3026</f>
      </c>
      <c r="L3021" s="20"/>
      <c r="M3021" s="20">
        <f>Разбивка_по_щитам!P3026</f>
      </c>
      <c r="N3021" s="20"/>
    </row>
    <row r="3022" spans="2:14" x14ac:dyDescent="0.25">
      <c r="B3022" s="20">
        <f>Разбивка_по_щитам!B3027</f>
      </c>
      <c r="C3022" s="20">
        <f>Разбивка_по_щитам!C3027</f>
      </c>
      <c r="D3022" s="20">
        <f>Разбивка_по_щитам!F3027</f>
      </c>
      <c r="E3022" s="20">
        <f>Разбивка_по_щитам!H3027</f>
      </c>
      <c r="F3022" s="20">
        <f>Разбивка_по_щитам!I3027</f>
      </c>
      <c r="G3022" s="20">
        <f>Разбивка_по_щитам!J3027</f>
      </c>
      <c r="H3022" s="20">
        <f>Разбивка_по_щитам!K3027</f>
      </c>
      <c r="I3022" s="20">
        <f>Разбивка_по_щитам!L3027</f>
      </c>
      <c r="J3022" s="20">
        <f>Разбивка_по_щитам!M3027</f>
      </c>
      <c r="K3022" s="20">
        <f>Разбивка_по_щитам!N3027</f>
      </c>
      <c r="L3022" s="20"/>
      <c r="M3022" s="20">
        <f>Разбивка_по_щитам!P3027</f>
      </c>
      <c r="N3022" s="20"/>
    </row>
    <row r="3023" spans="2:14" x14ac:dyDescent="0.25">
      <c r="B3023" s="20">
        <f>Разбивка_по_щитам!B3028</f>
      </c>
      <c r="C3023" s="20">
        <f>Разбивка_по_щитам!C3028</f>
      </c>
      <c r="D3023" s="20">
        <f>Разбивка_по_щитам!F3028</f>
      </c>
      <c r="E3023" s="20">
        <f>Разбивка_по_щитам!H3028</f>
      </c>
      <c r="F3023" s="20">
        <f>Разбивка_по_щитам!I3028</f>
      </c>
      <c r="G3023" s="20">
        <f>Разбивка_по_щитам!J3028</f>
      </c>
      <c r="H3023" s="20">
        <f>Разбивка_по_щитам!K3028</f>
      </c>
      <c r="I3023" s="20">
        <f>Разбивка_по_щитам!L3028</f>
      </c>
      <c r="J3023" s="20">
        <f>Разбивка_по_щитам!M3028</f>
      </c>
      <c r="K3023" s="20">
        <f>Разбивка_по_щитам!N3028</f>
      </c>
      <c r="L3023" s="20"/>
      <c r="M3023" s="20">
        <f>Разбивка_по_щитам!P3028</f>
      </c>
      <c r="N3023" s="20"/>
    </row>
    <row r="3024" spans="2:14" x14ac:dyDescent="0.25">
      <c r="B3024" s="20">
        <f>Разбивка_по_щитам!B3029</f>
      </c>
      <c r="C3024" s="20">
        <f>Разбивка_по_щитам!C3029</f>
      </c>
      <c r="D3024" s="20">
        <f>Разбивка_по_щитам!F3029</f>
      </c>
      <c r="E3024" s="20">
        <f>Разбивка_по_щитам!H3029</f>
      </c>
      <c r="F3024" s="20">
        <f>Разбивка_по_щитам!I3029</f>
      </c>
      <c r="G3024" s="20">
        <f>Разбивка_по_щитам!J3029</f>
      </c>
      <c r="H3024" s="20">
        <f>Разбивка_по_щитам!K3029</f>
      </c>
      <c r="I3024" s="20">
        <f>Разбивка_по_щитам!L3029</f>
      </c>
      <c r="J3024" s="20">
        <f>Разбивка_по_щитам!M3029</f>
      </c>
      <c r="K3024" s="20">
        <f>Разбивка_по_щитам!N3029</f>
      </c>
      <c r="L3024" s="20"/>
      <c r="M3024" s="20">
        <f>Разбивка_по_щитам!P3029</f>
      </c>
      <c r="N3024" s="20"/>
    </row>
    <row r="3025" spans="2:14" x14ac:dyDescent="0.25">
      <c r="B3025" s="20">
        <f>Разбивка_по_щитам!B3030</f>
      </c>
      <c r="C3025" s="20">
        <f>Разбивка_по_щитам!C3030</f>
      </c>
      <c r="D3025" s="20">
        <f>Разбивка_по_щитам!F3030</f>
      </c>
      <c r="E3025" s="20">
        <f>Разбивка_по_щитам!H3030</f>
      </c>
      <c r="F3025" s="20">
        <f>Разбивка_по_щитам!I3030</f>
      </c>
      <c r="G3025" s="20">
        <f>Разбивка_по_щитам!J3030</f>
      </c>
      <c r="H3025" s="20">
        <f>Разбивка_по_щитам!K3030</f>
      </c>
      <c r="I3025" s="20">
        <f>Разбивка_по_щитам!L3030</f>
      </c>
      <c r="J3025" s="20">
        <f>Разбивка_по_щитам!M3030</f>
      </c>
      <c r="K3025" s="20">
        <f>Разбивка_по_щитам!N3030</f>
      </c>
      <c r="L3025" s="20"/>
      <c r="M3025" s="20">
        <f>Разбивка_по_щитам!P3030</f>
      </c>
      <c r="N3025" s="20"/>
    </row>
    <row r="3026" spans="2:14" x14ac:dyDescent="0.25">
      <c r="B3026" s="20">
        <f>Разбивка_по_щитам!B3031</f>
      </c>
      <c r="C3026" s="20">
        <f>Разбивка_по_щитам!C3031</f>
      </c>
      <c r="D3026" s="20">
        <f>Разбивка_по_щитам!F3031</f>
      </c>
      <c r="E3026" s="20">
        <f>Разбивка_по_щитам!H3031</f>
      </c>
      <c r="F3026" s="20">
        <f>Разбивка_по_щитам!I3031</f>
      </c>
      <c r="G3026" s="20">
        <f>Разбивка_по_щитам!J3031</f>
      </c>
      <c r="H3026" s="20">
        <f>Разбивка_по_щитам!K3031</f>
      </c>
      <c r="I3026" s="20">
        <f>Разбивка_по_щитам!L3031</f>
      </c>
      <c r="J3026" s="20">
        <f>Разбивка_по_щитам!M3031</f>
      </c>
      <c r="K3026" s="20">
        <f>Разбивка_по_щитам!N3031</f>
      </c>
      <c r="L3026" s="20"/>
      <c r="M3026" s="20">
        <f>Разбивка_по_щитам!P3031</f>
      </c>
      <c r="N3026" s="20"/>
    </row>
    <row r="3027" spans="2:14" x14ac:dyDescent="0.25">
      <c r="B3027" s="20">
        <f>Разбивка_по_щитам!B3032</f>
      </c>
      <c r="C3027" s="20">
        <f>Разбивка_по_щитам!C3032</f>
      </c>
      <c r="D3027" s="20">
        <f>Разбивка_по_щитам!F3032</f>
      </c>
      <c r="E3027" s="20">
        <f>Разбивка_по_щитам!H3032</f>
      </c>
      <c r="F3027" s="20">
        <f>Разбивка_по_щитам!I3032</f>
      </c>
      <c r="G3027" s="20">
        <f>Разбивка_по_щитам!J3032</f>
      </c>
      <c r="H3027" s="20">
        <f>Разбивка_по_щитам!K3032</f>
      </c>
      <c r="I3027" s="20">
        <f>Разбивка_по_щитам!L3032</f>
      </c>
      <c r="J3027" s="20">
        <f>Разбивка_по_щитам!M3032</f>
      </c>
      <c r="K3027" s="20">
        <f>Разбивка_по_щитам!N3032</f>
      </c>
      <c r="L3027" s="20"/>
      <c r="M3027" s="20">
        <f>Разбивка_по_щитам!P3032</f>
      </c>
      <c r="N3027" s="20"/>
    </row>
    <row r="3028" spans="2:14" x14ac:dyDescent="0.25">
      <c r="B3028" s="20">
        <f>Разбивка_по_щитам!B3033</f>
      </c>
      <c r="C3028" s="20">
        <f>Разбивка_по_щитам!C3033</f>
      </c>
      <c r="D3028" s="20">
        <f>Разбивка_по_щитам!F3033</f>
      </c>
      <c r="E3028" s="20">
        <f>Разбивка_по_щитам!H3033</f>
      </c>
      <c r="F3028" s="20">
        <f>Разбивка_по_щитам!I3033</f>
      </c>
      <c r="G3028" s="20">
        <f>Разбивка_по_щитам!J3033</f>
      </c>
      <c r="H3028" s="20">
        <f>Разбивка_по_щитам!K3033</f>
      </c>
      <c r="I3028" s="20">
        <f>Разбивка_по_щитам!L3033</f>
      </c>
      <c r="J3028" s="20">
        <f>Разбивка_по_щитам!M3033</f>
      </c>
      <c r="K3028" s="20">
        <f>Разбивка_по_щитам!N3033</f>
      </c>
      <c r="L3028" s="20"/>
      <c r="M3028" s="20">
        <f>Разбивка_по_щитам!P3033</f>
      </c>
      <c r="N3028" s="20"/>
    </row>
    <row r="3029" spans="2:14" x14ac:dyDescent="0.25">
      <c r="B3029" s="20">
        <f>Разбивка_по_щитам!B3034</f>
      </c>
      <c r="C3029" s="20">
        <f>Разбивка_по_щитам!C3034</f>
      </c>
      <c r="D3029" s="20">
        <f>Разбивка_по_щитам!F3034</f>
      </c>
      <c r="E3029" s="20">
        <f>Разбивка_по_щитам!H3034</f>
      </c>
      <c r="F3029" s="20">
        <f>Разбивка_по_щитам!I3034</f>
      </c>
      <c r="G3029" s="20">
        <f>Разбивка_по_щитам!J3034</f>
      </c>
      <c r="H3029" s="20">
        <f>Разбивка_по_щитам!K3034</f>
      </c>
      <c r="I3029" s="20">
        <f>Разбивка_по_щитам!L3034</f>
      </c>
      <c r="J3029" s="20">
        <f>Разбивка_по_щитам!M3034</f>
      </c>
      <c r="K3029" s="20">
        <f>Разбивка_по_щитам!N3034</f>
      </c>
      <c r="L3029" s="20"/>
      <c r="M3029" s="20">
        <f>Разбивка_по_щитам!P3034</f>
      </c>
      <c r="N3029" s="20"/>
    </row>
    <row r="3030" spans="2:14" x14ac:dyDescent="0.25">
      <c r="B3030" s="20">
        <f>Разбивка_по_щитам!B3035</f>
      </c>
      <c r="C3030" s="20">
        <f>Разбивка_по_щитам!C3035</f>
      </c>
      <c r="D3030" s="20">
        <f>Разбивка_по_щитам!F3035</f>
      </c>
      <c r="E3030" s="20">
        <f>Разбивка_по_щитам!H3035</f>
      </c>
      <c r="F3030" s="20">
        <f>Разбивка_по_щитам!I3035</f>
      </c>
      <c r="G3030" s="20">
        <f>Разбивка_по_щитам!J3035</f>
      </c>
      <c r="H3030" s="20">
        <f>Разбивка_по_щитам!K3035</f>
      </c>
      <c r="I3030" s="20">
        <f>Разбивка_по_щитам!L3035</f>
      </c>
      <c r="J3030" s="20">
        <f>Разбивка_по_щитам!M3035</f>
      </c>
      <c r="K3030" s="20">
        <f>Разбивка_по_щитам!N3035</f>
      </c>
      <c r="L3030" s="20"/>
      <c r="M3030" s="20">
        <f>Разбивка_по_щитам!P3035</f>
      </c>
      <c r="N3030" s="20"/>
    </row>
    <row r="3031" spans="2:14" x14ac:dyDescent="0.25">
      <c r="B3031" s="20">
        <f>Разбивка_по_щитам!B3036</f>
      </c>
      <c r="C3031" s="20">
        <f>Разбивка_по_щитам!C3036</f>
      </c>
      <c r="D3031" s="20">
        <f>Разбивка_по_щитам!F3036</f>
      </c>
      <c r="E3031" s="20">
        <f>Разбивка_по_щитам!H3036</f>
      </c>
      <c r="F3031" s="20">
        <f>Разбивка_по_щитам!I3036</f>
      </c>
      <c r="G3031" s="20">
        <f>Разбивка_по_щитам!J3036</f>
      </c>
      <c r="H3031" s="20">
        <f>Разбивка_по_щитам!K3036</f>
      </c>
      <c r="I3031" s="20">
        <f>Разбивка_по_щитам!L3036</f>
      </c>
      <c r="J3031" s="20">
        <f>Разбивка_по_щитам!M3036</f>
      </c>
      <c r="K3031" s="20">
        <f>Разбивка_по_щитам!N3036</f>
      </c>
      <c r="L3031" s="20"/>
      <c r="M3031" s="20">
        <f>Разбивка_по_щитам!P3036</f>
      </c>
      <c r="N3031" s="20"/>
    </row>
    <row r="3032" spans="2:14" x14ac:dyDescent="0.25">
      <c r="B3032" s="20">
        <f>Разбивка_по_щитам!B3037</f>
      </c>
      <c r="C3032" s="20">
        <f>Разбивка_по_щитам!C3037</f>
      </c>
      <c r="D3032" s="20">
        <f>Разбивка_по_щитам!F3037</f>
      </c>
      <c r="E3032" s="20">
        <f>Разбивка_по_щитам!H3037</f>
      </c>
      <c r="F3032" s="20">
        <f>Разбивка_по_щитам!I3037</f>
      </c>
      <c r="G3032" s="20">
        <f>Разбивка_по_щитам!J3037</f>
      </c>
      <c r="H3032" s="20">
        <f>Разбивка_по_щитам!K3037</f>
      </c>
      <c r="I3032" s="20">
        <f>Разбивка_по_щитам!L3037</f>
      </c>
      <c r="J3032" s="20">
        <f>Разбивка_по_щитам!M3037</f>
      </c>
      <c r="K3032" s="20">
        <f>Разбивка_по_щитам!N3037</f>
      </c>
      <c r="L3032" s="20"/>
      <c r="M3032" s="20">
        <f>Разбивка_по_щитам!P3037</f>
      </c>
      <c r="N3032" s="20"/>
    </row>
    <row r="3033" spans="2:14" x14ac:dyDescent="0.25">
      <c r="B3033" s="20">
        <f>Разбивка_по_щитам!B3038</f>
      </c>
      <c r="C3033" s="20">
        <f>Разбивка_по_щитам!C3038</f>
      </c>
      <c r="D3033" s="20">
        <f>Разбивка_по_щитам!F3038</f>
      </c>
      <c r="E3033" s="20">
        <f>Разбивка_по_щитам!H3038</f>
      </c>
      <c r="F3033" s="20">
        <f>Разбивка_по_щитам!I3038</f>
      </c>
      <c r="G3033" s="20">
        <f>Разбивка_по_щитам!J3038</f>
      </c>
      <c r="H3033" s="20">
        <f>Разбивка_по_щитам!K3038</f>
      </c>
      <c r="I3033" s="20">
        <f>Разбивка_по_щитам!L3038</f>
      </c>
      <c r="J3033" s="20">
        <f>Разбивка_по_щитам!M3038</f>
      </c>
      <c r="K3033" s="20">
        <f>Разбивка_по_щитам!N3038</f>
      </c>
      <c r="L3033" s="20"/>
      <c r="M3033" s="20">
        <f>Разбивка_по_щитам!P3038</f>
      </c>
      <c r="N3033" s="20"/>
    </row>
    <row r="3034" spans="2:14" x14ac:dyDescent="0.25">
      <c r="B3034" s="20">
        <f>Разбивка_по_щитам!B3039</f>
      </c>
      <c r="C3034" s="20">
        <f>Разбивка_по_щитам!C3039</f>
      </c>
      <c r="D3034" s="20">
        <f>Разбивка_по_щитам!F3039</f>
      </c>
      <c r="E3034" s="20">
        <f>Разбивка_по_щитам!H3039</f>
      </c>
      <c r="F3034" s="20">
        <f>Разбивка_по_щитам!I3039</f>
      </c>
      <c r="G3034" s="20">
        <f>Разбивка_по_щитам!J3039</f>
      </c>
      <c r="H3034" s="20">
        <f>Разбивка_по_щитам!K3039</f>
      </c>
      <c r="I3034" s="20">
        <f>Разбивка_по_щитам!L3039</f>
      </c>
      <c r="J3034" s="20">
        <f>Разбивка_по_щитам!M3039</f>
      </c>
      <c r="K3034" s="20">
        <f>Разбивка_по_щитам!N3039</f>
      </c>
      <c r="L3034" s="20"/>
      <c r="M3034" s="20">
        <f>Разбивка_по_щитам!P3039</f>
      </c>
      <c r="N3034" s="20"/>
    </row>
    <row r="3035" spans="2:14" x14ac:dyDescent="0.25">
      <c r="B3035" s="20">
        <f>Разбивка_по_щитам!B3040</f>
      </c>
      <c r="C3035" s="20">
        <f>Разбивка_по_щитам!C3040</f>
      </c>
      <c r="D3035" s="20">
        <f>Разбивка_по_щитам!F3040</f>
      </c>
      <c r="E3035" s="20">
        <f>Разбивка_по_щитам!H3040</f>
      </c>
      <c r="F3035" s="20">
        <f>Разбивка_по_щитам!I3040</f>
      </c>
      <c r="G3035" s="20">
        <f>Разбивка_по_щитам!J3040</f>
      </c>
      <c r="H3035" s="20">
        <f>Разбивка_по_щитам!K3040</f>
      </c>
      <c r="I3035" s="20">
        <f>Разбивка_по_щитам!L3040</f>
      </c>
      <c r="J3035" s="20">
        <f>Разбивка_по_щитам!M3040</f>
      </c>
      <c r="K3035" s="20">
        <f>Разбивка_по_щитам!N3040</f>
      </c>
      <c r="L3035" s="20"/>
      <c r="M3035" s="20">
        <f>Разбивка_по_щитам!P3040</f>
      </c>
      <c r="N3035" s="20"/>
    </row>
    <row r="3036" spans="2:14" x14ac:dyDescent="0.25">
      <c r="B3036" s="20">
        <f>Разбивка_по_щитам!B3041</f>
      </c>
      <c r="C3036" s="20">
        <f>Разбивка_по_щитам!C3041</f>
      </c>
      <c r="D3036" s="20">
        <f>Разбивка_по_щитам!F3041</f>
      </c>
      <c r="E3036" s="20">
        <f>Разбивка_по_щитам!H3041</f>
      </c>
      <c r="F3036" s="20">
        <f>Разбивка_по_щитам!I3041</f>
      </c>
      <c r="G3036" s="20">
        <f>Разбивка_по_щитам!J3041</f>
      </c>
      <c r="H3036" s="20">
        <f>Разбивка_по_щитам!K3041</f>
      </c>
      <c r="I3036" s="20">
        <f>Разбивка_по_щитам!L3041</f>
      </c>
      <c r="J3036" s="20">
        <f>Разбивка_по_щитам!M3041</f>
      </c>
      <c r="K3036" s="20">
        <f>Разбивка_по_щитам!N3041</f>
      </c>
      <c r="L3036" s="20"/>
      <c r="M3036" s="20">
        <f>Разбивка_по_щитам!P3041</f>
      </c>
      <c r="N3036" s="20"/>
    </row>
    <row r="3037" spans="2:14" x14ac:dyDescent="0.25">
      <c r="B3037" s="20">
        <f>Разбивка_по_щитам!B3042</f>
      </c>
      <c r="C3037" s="20">
        <f>Разбивка_по_щитам!C3042</f>
      </c>
      <c r="D3037" s="20">
        <f>Разбивка_по_щитам!F3042</f>
      </c>
      <c r="E3037" s="20">
        <f>Разбивка_по_щитам!H3042</f>
      </c>
      <c r="F3037" s="20">
        <f>Разбивка_по_щитам!I3042</f>
      </c>
      <c r="G3037" s="20">
        <f>Разбивка_по_щитам!J3042</f>
      </c>
      <c r="H3037" s="20">
        <f>Разбивка_по_щитам!K3042</f>
      </c>
      <c r="I3037" s="20">
        <f>Разбивка_по_щитам!L3042</f>
      </c>
      <c r="J3037" s="20">
        <f>Разбивка_по_щитам!M3042</f>
      </c>
      <c r="K3037" s="20">
        <f>Разбивка_по_щитам!N3042</f>
      </c>
      <c r="L3037" s="20"/>
      <c r="M3037" s="20">
        <f>Разбивка_по_щитам!P3042</f>
      </c>
      <c r="N3037" s="20"/>
    </row>
    <row r="3038" spans="2:14" x14ac:dyDescent="0.25">
      <c r="B3038" s="20">
        <f>Разбивка_по_щитам!B3043</f>
      </c>
      <c r="C3038" s="20">
        <f>Разбивка_по_щитам!C3043</f>
      </c>
      <c r="D3038" s="20">
        <f>Разбивка_по_щитам!F3043</f>
      </c>
      <c r="E3038" s="20">
        <f>Разбивка_по_щитам!H3043</f>
      </c>
      <c r="F3038" s="20">
        <f>Разбивка_по_щитам!I3043</f>
      </c>
      <c r="G3038" s="20">
        <f>Разбивка_по_щитам!J3043</f>
      </c>
      <c r="H3038" s="20">
        <f>Разбивка_по_щитам!K3043</f>
      </c>
      <c r="I3038" s="20">
        <f>Разбивка_по_щитам!L3043</f>
      </c>
      <c r="J3038" s="20">
        <f>Разбивка_по_щитам!M3043</f>
      </c>
      <c r="K3038" s="20">
        <f>Разбивка_по_щитам!N3043</f>
      </c>
      <c r="L3038" s="20"/>
      <c r="M3038" s="20">
        <f>Разбивка_по_щитам!P3043</f>
      </c>
      <c r="N3038" s="20"/>
    </row>
    <row r="3039" spans="2:14" x14ac:dyDescent="0.25">
      <c r="B3039" s="20">
        <f>Разбивка_по_щитам!B3044</f>
      </c>
      <c r="C3039" s="20">
        <f>Разбивка_по_щитам!C3044</f>
      </c>
      <c r="D3039" s="20">
        <f>Разбивка_по_щитам!F3044</f>
      </c>
      <c r="E3039" s="20">
        <f>Разбивка_по_щитам!H3044</f>
      </c>
      <c r="F3039" s="20">
        <f>Разбивка_по_щитам!I3044</f>
      </c>
      <c r="G3039" s="20">
        <f>Разбивка_по_щитам!J3044</f>
      </c>
      <c r="H3039" s="20">
        <f>Разбивка_по_щитам!K3044</f>
      </c>
      <c r="I3039" s="20">
        <f>Разбивка_по_щитам!L3044</f>
      </c>
      <c r="J3039" s="20">
        <f>Разбивка_по_щитам!M3044</f>
      </c>
      <c r="K3039" s="20">
        <f>Разбивка_по_щитам!N3044</f>
      </c>
      <c r="L3039" s="20"/>
      <c r="M3039" s="20">
        <f>Разбивка_по_щитам!P3044</f>
      </c>
      <c r="N3039" s="20"/>
    </row>
    <row r="3040" spans="2:14" x14ac:dyDescent="0.25">
      <c r="B3040" s="20">
        <f>Разбивка_по_щитам!B3045</f>
      </c>
      <c r="C3040" s="20">
        <f>Разбивка_по_щитам!C3045</f>
      </c>
      <c r="D3040" s="20">
        <f>Разбивка_по_щитам!F3045</f>
      </c>
      <c r="E3040" s="20">
        <f>Разбивка_по_щитам!H3045</f>
      </c>
      <c r="F3040" s="20">
        <f>Разбивка_по_щитам!I3045</f>
      </c>
      <c r="G3040" s="20">
        <f>Разбивка_по_щитам!J3045</f>
      </c>
      <c r="H3040" s="20">
        <f>Разбивка_по_щитам!K3045</f>
      </c>
      <c r="I3040" s="20">
        <f>Разбивка_по_щитам!L3045</f>
      </c>
      <c r="J3040" s="20">
        <f>Разбивка_по_щитам!M3045</f>
      </c>
      <c r="K3040" s="20">
        <f>Разбивка_по_щитам!N3045</f>
      </c>
      <c r="L3040" s="20"/>
      <c r="M3040" s="20">
        <f>Разбивка_по_щитам!P3045</f>
      </c>
      <c r="N3040" s="20"/>
    </row>
    <row r="3041" spans="2:14" x14ac:dyDescent="0.25">
      <c r="B3041" s="20">
        <f>Разбивка_по_щитам!B3046</f>
      </c>
      <c r="C3041" s="20">
        <f>Разбивка_по_щитам!C3046</f>
      </c>
      <c r="D3041" s="20">
        <f>Разбивка_по_щитам!F3046</f>
      </c>
      <c r="E3041" s="20">
        <f>Разбивка_по_щитам!H3046</f>
      </c>
      <c r="F3041" s="20">
        <f>Разбивка_по_щитам!I3046</f>
      </c>
      <c r="G3041" s="20">
        <f>Разбивка_по_щитам!J3046</f>
      </c>
      <c r="H3041" s="20">
        <f>Разбивка_по_щитам!K3046</f>
      </c>
      <c r="I3041" s="20">
        <f>Разбивка_по_щитам!L3046</f>
      </c>
      <c r="J3041" s="20">
        <f>Разбивка_по_щитам!M3046</f>
      </c>
      <c r="K3041" s="20">
        <f>Разбивка_по_щитам!N3046</f>
      </c>
      <c r="L3041" s="20"/>
      <c r="M3041" s="20">
        <f>Разбивка_по_щитам!P3046</f>
      </c>
      <c r="N3041" s="20"/>
    </row>
    <row r="3042" spans="2:14" x14ac:dyDescent="0.25">
      <c r="B3042" s="20">
        <f>Разбивка_по_щитам!B3047</f>
      </c>
      <c r="C3042" s="20">
        <f>Разбивка_по_щитам!C3047</f>
      </c>
      <c r="D3042" s="20">
        <f>Разбивка_по_щитам!F3047</f>
      </c>
      <c r="E3042" s="20">
        <f>Разбивка_по_щитам!H3047</f>
      </c>
      <c r="F3042" s="20">
        <f>Разбивка_по_щитам!I3047</f>
      </c>
      <c r="G3042" s="20">
        <f>Разбивка_по_щитам!J3047</f>
      </c>
      <c r="H3042" s="20">
        <f>Разбивка_по_щитам!K3047</f>
      </c>
      <c r="I3042" s="20">
        <f>Разбивка_по_щитам!L3047</f>
      </c>
      <c r="J3042" s="20">
        <f>Разбивка_по_щитам!M3047</f>
      </c>
      <c r="K3042" s="20">
        <f>Разбивка_по_щитам!N3047</f>
      </c>
      <c r="L3042" s="20"/>
      <c r="M3042" s="20">
        <f>Разбивка_по_щитам!P3047</f>
      </c>
      <c r="N3042" s="20"/>
    </row>
    <row r="3043" spans="2:14" x14ac:dyDescent="0.25">
      <c r="B3043" s="20">
        <f>Разбивка_по_щитам!B3048</f>
      </c>
      <c r="C3043" s="20">
        <f>Разбивка_по_щитам!C3048</f>
      </c>
      <c r="D3043" s="20">
        <f>Разбивка_по_щитам!F3048</f>
      </c>
      <c r="E3043" s="20">
        <f>Разбивка_по_щитам!H3048</f>
      </c>
      <c r="F3043" s="20">
        <f>Разбивка_по_щитам!I3048</f>
      </c>
      <c r="G3043" s="20">
        <f>Разбивка_по_щитам!J3048</f>
      </c>
      <c r="H3043" s="20">
        <f>Разбивка_по_щитам!K3048</f>
      </c>
      <c r="I3043" s="20">
        <f>Разбивка_по_щитам!L3048</f>
      </c>
      <c r="J3043" s="20">
        <f>Разбивка_по_щитам!M3048</f>
      </c>
      <c r="K3043" s="20">
        <f>Разбивка_по_щитам!N3048</f>
      </c>
      <c r="L3043" s="20"/>
      <c r="M3043" s="20">
        <f>Разбивка_по_щитам!P3048</f>
      </c>
      <c r="N3043" s="20"/>
    </row>
    <row r="3044" spans="2:14" x14ac:dyDescent="0.25">
      <c r="B3044" s="20">
        <f>Разбивка_по_щитам!B3049</f>
      </c>
      <c r="C3044" s="20">
        <f>Разбивка_по_щитам!C3049</f>
      </c>
      <c r="D3044" s="20">
        <f>Разбивка_по_щитам!F3049</f>
      </c>
      <c r="E3044" s="20">
        <f>Разбивка_по_щитам!H3049</f>
      </c>
      <c r="F3044" s="20">
        <f>Разбивка_по_щитам!I3049</f>
      </c>
      <c r="G3044" s="20">
        <f>Разбивка_по_щитам!J3049</f>
      </c>
      <c r="H3044" s="20">
        <f>Разбивка_по_щитам!K3049</f>
      </c>
      <c r="I3044" s="20">
        <f>Разбивка_по_щитам!L3049</f>
      </c>
      <c r="J3044" s="20">
        <f>Разбивка_по_щитам!M3049</f>
      </c>
      <c r="K3044" s="20">
        <f>Разбивка_по_щитам!N3049</f>
      </c>
      <c r="L3044" s="20"/>
      <c r="M3044" s="20">
        <f>Разбивка_по_щитам!P3049</f>
      </c>
      <c r="N3044" s="20"/>
    </row>
    <row r="3045" spans="2:14" x14ac:dyDescent="0.25">
      <c r="B3045" s="20">
        <f>Разбивка_по_щитам!B3050</f>
      </c>
      <c r="C3045" s="20">
        <f>Разбивка_по_щитам!C3050</f>
      </c>
      <c r="D3045" s="20">
        <f>Разбивка_по_щитам!F3050</f>
      </c>
      <c r="E3045" s="20">
        <f>Разбивка_по_щитам!H3050</f>
      </c>
      <c r="F3045" s="20">
        <f>Разбивка_по_щитам!I3050</f>
      </c>
      <c r="G3045" s="20">
        <f>Разбивка_по_щитам!J3050</f>
      </c>
      <c r="H3045" s="20">
        <f>Разбивка_по_щитам!K3050</f>
      </c>
      <c r="I3045" s="20">
        <f>Разбивка_по_щитам!L3050</f>
      </c>
      <c r="J3045" s="20">
        <f>Разбивка_по_щитам!M3050</f>
      </c>
      <c r="K3045" s="20">
        <f>Разбивка_по_щитам!N3050</f>
      </c>
      <c r="L3045" s="20"/>
      <c r="M3045" s="20">
        <f>Разбивка_по_щитам!P3050</f>
      </c>
      <c r="N3045" s="20"/>
    </row>
    <row r="3046" spans="2:14" x14ac:dyDescent="0.25">
      <c r="B3046" s="20">
        <f>Разбивка_по_щитам!B3051</f>
      </c>
      <c r="C3046" s="20">
        <f>Разбивка_по_щитам!C3051</f>
      </c>
      <c r="D3046" s="20">
        <f>Разбивка_по_щитам!F3051</f>
      </c>
      <c r="E3046" s="20">
        <f>Разбивка_по_щитам!H3051</f>
      </c>
      <c r="F3046" s="20">
        <f>Разбивка_по_щитам!I3051</f>
      </c>
      <c r="G3046" s="20">
        <f>Разбивка_по_щитам!J3051</f>
      </c>
      <c r="H3046" s="20">
        <f>Разбивка_по_щитам!K3051</f>
      </c>
      <c r="I3046" s="20">
        <f>Разбивка_по_щитам!L3051</f>
      </c>
      <c r="J3046" s="20">
        <f>Разбивка_по_щитам!M3051</f>
      </c>
      <c r="K3046" s="20">
        <f>Разбивка_по_щитам!N3051</f>
      </c>
      <c r="L3046" s="20"/>
      <c r="M3046" s="20">
        <f>Разбивка_по_щитам!P3051</f>
      </c>
      <c r="N3046" s="20"/>
    </row>
    <row r="3047" spans="2:14" x14ac:dyDescent="0.25">
      <c r="B3047" s="20">
        <f>Разбивка_по_щитам!B3052</f>
      </c>
      <c r="C3047" s="20">
        <f>Разбивка_по_щитам!C3052</f>
      </c>
      <c r="D3047" s="20">
        <f>Разбивка_по_щитам!F3052</f>
      </c>
      <c r="E3047" s="20">
        <f>Разбивка_по_щитам!H3052</f>
      </c>
      <c r="F3047" s="20">
        <f>Разбивка_по_щитам!I3052</f>
      </c>
      <c r="G3047" s="20">
        <f>Разбивка_по_щитам!J3052</f>
      </c>
      <c r="H3047" s="20">
        <f>Разбивка_по_щитам!K3052</f>
      </c>
      <c r="I3047" s="20">
        <f>Разбивка_по_щитам!L3052</f>
      </c>
      <c r="J3047" s="20">
        <f>Разбивка_по_щитам!M3052</f>
      </c>
      <c r="K3047" s="20">
        <f>Разбивка_по_щитам!N3052</f>
      </c>
      <c r="L3047" s="20"/>
      <c r="M3047" s="20">
        <f>Разбивка_по_щитам!P3052</f>
      </c>
      <c r="N3047" s="20"/>
    </row>
    <row r="3048" spans="2:14" x14ac:dyDescent="0.25">
      <c r="B3048" s="20">
        <f>Разбивка_по_щитам!B3053</f>
      </c>
      <c r="C3048" s="20">
        <f>Разбивка_по_щитам!C3053</f>
      </c>
      <c r="D3048" s="20">
        <f>Разбивка_по_щитам!F3053</f>
      </c>
      <c r="E3048" s="20">
        <f>Разбивка_по_щитам!H3053</f>
      </c>
      <c r="F3048" s="20">
        <f>Разбивка_по_щитам!I3053</f>
      </c>
      <c r="G3048" s="20">
        <f>Разбивка_по_щитам!J3053</f>
      </c>
      <c r="H3048" s="20">
        <f>Разбивка_по_щитам!K3053</f>
      </c>
      <c r="I3048" s="20">
        <f>Разбивка_по_щитам!L3053</f>
      </c>
      <c r="J3048" s="20">
        <f>Разбивка_по_щитам!M3053</f>
      </c>
      <c r="K3048" s="20">
        <f>Разбивка_по_щитам!N3053</f>
      </c>
      <c r="L3048" s="20"/>
      <c r="M3048" s="20">
        <f>Разбивка_по_щитам!P3053</f>
      </c>
      <c r="N3048" s="20"/>
    </row>
    <row r="3049" spans="2:14" x14ac:dyDescent="0.25">
      <c r="B3049" s="20">
        <f>Разбивка_по_щитам!B3054</f>
      </c>
      <c r="C3049" s="20">
        <f>Разбивка_по_щитам!C3054</f>
      </c>
      <c r="D3049" s="20">
        <f>Разбивка_по_щитам!F3054</f>
      </c>
      <c r="E3049" s="20">
        <f>Разбивка_по_щитам!H3054</f>
      </c>
      <c r="F3049" s="20">
        <f>Разбивка_по_щитам!I3054</f>
      </c>
      <c r="G3049" s="20">
        <f>Разбивка_по_щитам!J3054</f>
      </c>
      <c r="H3049" s="20">
        <f>Разбивка_по_щитам!K3054</f>
      </c>
      <c r="I3049" s="20">
        <f>Разбивка_по_щитам!L3054</f>
      </c>
      <c r="J3049" s="20">
        <f>Разбивка_по_щитам!M3054</f>
      </c>
      <c r="K3049" s="20">
        <f>Разбивка_по_щитам!N3054</f>
      </c>
      <c r="L3049" s="20"/>
      <c r="M3049" s="20">
        <f>Разбивка_по_щитам!P3054</f>
      </c>
      <c r="N3049" s="20"/>
    </row>
    <row r="3050" spans="2:14" x14ac:dyDescent="0.25">
      <c r="B3050" s="20">
        <f>Разбивка_по_щитам!B3055</f>
      </c>
      <c r="C3050" s="20">
        <f>Разбивка_по_щитам!C3055</f>
      </c>
      <c r="D3050" s="20">
        <f>Разбивка_по_щитам!F3055</f>
      </c>
      <c r="E3050" s="20">
        <f>Разбивка_по_щитам!H3055</f>
      </c>
      <c r="F3050" s="20">
        <f>Разбивка_по_щитам!I3055</f>
      </c>
      <c r="G3050" s="20">
        <f>Разбивка_по_щитам!J3055</f>
      </c>
      <c r="H3050" s="20">
        <f>Разбивка_по_щитам!K3055</f>
      </c>
      <c r="I3050" s="20">
        <f>Разбивка_по_щитам!L3055</f>
      </c>
      <c r="J3050" s="20">
        <f>Разбивка_по_щитам!M3055</f>
      </c>
      <c r="K3050" s="20">
        <f>Разбивка_по_щитам!N3055</f>
      </c>
      <c r="L3050" s="20"/>
      <c r="M3050" s="20">
        <f>Разбивка_по_щитам!P3055</f>
      </c>
      <c r="N3050" s="20"/>
    </row>
    <row r="3051" spans="2:14" x14ac:dyDescent="0.25">
      <c r="B3051" s="20">
        <f>Разбивка_по_щитам!B3056</f>
      </c>
      <c r="C3051" s="20">
        <f>Разбивка_по_щитам!C3056</f>
      </c>
      <c r="D3051" s="20">
        <f>Разбивка_по_щитам!F3056</f>
      </c>
      <c r="E3051" s="20">
        <f>Разбивка_по_щитам!H3056</f>
      </c>
      <c r="F3051" s="20">
        <f>Разбивка_по_щитам!I3056</f>
      </c>
      <c r="G3051" s="20">
        <f>Разбивка_по_щитам!J3056</f>
      </c>
      <c r="H3051" s="20">
        <f>Разбивка_по_щитам!K3056</f>
      </c>
      <c r="I3051" s="20">
        <f>Разбивка_по_щитам!L3056</f>
      </c>
      <c r="J3051" s="20">
        <f>Разбивка_по_щитам!M3056</f>
      </c>
      <c r="K3051" s="20">
        <f>Разбивка_по_щитам!N3056</f>
      </c>
      <c r="L3051" s="20"/>
      <c r="M3051" s="20">
        <f>Разбивка_по_щитам!P3056</f>
      </c>
      <c r="N3051" s="20"/>
    </row>
    <row r="3052" spans="2:14" x14ac:dyDescent="0.25">
      <c r="B3052" s="20">
        <f>Разбивка_по_щитам!B3057</f>
      </c>
      <c r="C3052" s="20">
        <f>Разбивка_по_щитам!C3057</f>
      </c>
      <c r="D3052" s="20">
        <f>Разбивка_по_щитам!F3057</f>
      </c>
      <c r="E3052" s="20">
        <f>Разбивка_по_щитам!H3057</f>
      </c>
      <c r="F3052" s="20">
        <f>Разбивка_по_щитам!I3057</f>
      </c>
      <c r="G3052" s="20">
        <f>Разбивка_по_щитам!J3057</f>
      </c>
      <c r="H3052" s="20">
        <f>Разбивка_по_щитам!K3057</f>
      </c>
      <c r="I3052" s="20">
        <f>Разбивка_по_щитам!L3057</f>
      </c>
      <c r="J3052" s="20">
        <f>Разбивка_по_щитам!M3057</f>
      </c>
      <c r="K3052" s="20">
        <f>Разбивка_по_щитам!N3057</f>
      </c>
      <c r="L3052" s="20"/>
      <c r="M3052" s="20">
        <f>Разбивка_по_щитам!P3057</f>
      </c>
      <c r="N3052" s="20"/>
    </row>
    <row r="3053" spans="2:14" x14ac:dyDescent="0.25">
      <c r="B3053" s="20">
        <f>Разбивка_по_щитам!B3058</f>
      </c>
      <c r="C3053" s="20">
        <f>Разбивка_по_щитам!C3058</f>
      </c>
      <c r="D3053" s="20">
        <f>Разбивка_по_щитам!F3058</f>
      </c>
      <c r="E3053" s="20">
        <f>Разбивка_по_щитам!H3058</f>
      </c>
      <c r="F3053" s="20">
        <f>Разбивка_по_щитам!I3058</f>
      </c>
      <c r="G3053" s="20">
        <f>Разбивка_по_щитам!J3058</f>
      </c>
      <c r="H3053" s="20">
        <f>Разбивка_по_щитам!K3058</f>
      </c>
      <c r="I3053" s="20">
        <f>Разбивка_по_щитам!L3058</f>
      </c>
      <c r="J3053" s="20">
        <f>Разбивка_по_щитам!M3058</f>
      </c>
      <c r="K3053" s="20">
        <f>Разбивка_по_щитам!N3058</f>
      </c>
      <c r="L3053" s="20"/>
      <c r="M3053" s="20">
        <f>Разбивка_по_щитам!P3058</f>
      </c>
      <c r="N3053" s="20"/>
    </row>
    <row r="3054" spans="2:14" x14ac:dyDescent="0.25">
      <c r="B3054" s="20">
        <f>Разбивка_по_щитам!B3059</f>
      </c>
      <c r="C3054" s="20">
        <f>Разбивка_по_щитам!C3059</f>
      </c>
      <c r="D3054" s="20">
        <f>Разбивка_по_щитам!F3059</f>
      </c>
      <c r="E3054" s="20">
        <f>Разбивка_по_щитам!H3059</f>
      </c>
      <c r="F3054" s="20">
        <f>Разбивка_по_щитам!I3059</f>
      </c>
      <c r="G3054" s="20">
        <f>Разбивка_по_щитам!J3059</f>
      </c>
      <c r="H3054" s="20">
        <f>Разбивка_по_щитам!K3059</f>
      </c>
      <c r="I3054" s="20">
        <f>Разбивка_по_щитам!L3059</f>
      </c>
      <c r="J3054" s="20">
        <f>Разбивка_по_щитам!M3059</f>
      </c>
      <c r="K3054" s="20">
        <f>Разбивка_по_щитам!N3059</f>
      </c>
      <c r="L3054" s="20"/>
      <c r="M3054" s="20">
        <f>Разбивка_по_щитам!P3059</f>
      </c>
      <c r="N3054" s="20"/>
    </row>
    <row r="3055" spans="2:14" x14ac:dyDescent="0.25">
      <c r="B3055" s="20">
        <f>Разбивка_по_щитам!B3060</f>
      </c>
      <c r="C3055" s="20">
        <f>Разбивка_по_щитам!C3060</f>
      </c>
      <c r="D3055" s="20">
        <f>Разбивка_по_щитам!F3060</f>
      </c>
      <c r="E3055" s="20">
        <f>Разбивка_по_щитам!H3060</f>
      </c>
      <c r="F3055" s="20">
        <f>Разбивка_по_щитам!I3060</f>
      </c>
      <c r="G3055" s="20">
        <f>Разбивка_по_щитам!J3060</f>
      </c>
      <c r="H3055" s="20">
        <f>Разбивка_по_щитам!K3060</f>
      </c>
      <c r="I3055" s="20">
        <f>Разбивка_по_щитам!L3060</f>
      </c>
      <c r="J3055" s="20">
        <f>Разбивка_по_щитам!M3060</f>
      </c>
      <c r="K3055" s="20">
        <f>Разбивка_по_щитам!N3060</f>
      </c>
      <c r="L3055" s="20"/>
      <c r="M3055" s="20">
        <f>Разбивка_по_щитам!P3060</f>
      </c>
      <c r="N3055" s="20"/>
    </row>
    <row r="3056" spans="2:14" x14ac:dyDescent="0.25">
      <c r="B3056" s="20">
        <f>Разбивка_по_щитам!B3061</f>
      </c>
      <c r="C3056" s="20">
        <f>Разбивка_по_щитам!C3061</f>
      </c>
      <c r="D3056" s="20">
        <f>Разбивка_по_щитам!F3061</f>
      </c>
      <c r="E3056" s="20">
        <f>Разбивка_по_щитам!H3061</f>
      </c>
      <c r="F3056" s="20">
        <f>Разбивка_по_щитам!I3061</f>
      </c>
      <c r="G3056" s="20">
        <f>Разбивка_по_щитам!J3061</f>
      </c>
      <c r="H3056" s="20">
        <f>Разбивка_по_щитам!K3061</f>
      </c>
      <c r="I3056" s="20">
        <f>Разбивка_по_щитам!L3061</f>
      </c>
      <c r="J3056" s="20">
        <f>Разбивка_по_щитам!M3061</f>
      </c>
      <c r="K3056" s="20">
        <f>Разбивка_по_щитам!N3061</f>
      </c>
      <c r="L3056" s="20"/>
      <c r="M3056" s="20">
        <f>Разбивка_по_щитам!P3061</f>
      </c>
      <c r="N3056" s="20"/>
    </row>
    <row r="3057" spans="2:14" x14ac:dyDescent="0.25">
      <c r="B3057" s="20">
        <f>Разбивка_по_щитам!B3062</f>
      </c>
      <c r="C3057" s="20">
        <f>Разбивка_по_щитам!C3062</f>
      </c>
      <c r="D3057" s="20">
        <f>Разбивка_по_щитам!F3062</f>
      </c>
      <c r="E3057" s="20">
        <f>Разбивка_по_щитам!H3062</f>
      </c>
      <c r="F3057" s="20">
        <f>Разбивка_по_щитам!I3062</f>
      </c>
      <c r="G3057" s="20">
        <f>Разбивка_по_щитам!J3062</f>
      </c>
      <c r="H3057" s="20">
        <f>Разбивка_по_щитам!K3062</f>
      </c>
      <c r="I3057" s="20">
        <f>Разбивка_по_щитам!L3062</f>
      </c>
      <c r="J3057" s="20">
        <f>Разбивка_по_щитам!M3062</f>
      </c>
      <c r="K3057" s="20">
        <f>Разбивка_по_щитам!N3062</f>
      </c>
      <c r="L3057" s="20"/>
      <c r="M3057" s="20">
        <f>Разбивка_по_щитам!P3062</f>
      </c>
      <c r="N3057" s="20"/>
    </row>
    <row r="3058" spans="2:14" x14ac:dyDescent="0.25">
      <c r="B3058" s="20">
        <f>Разбивка_по_щитам!B3063</f>
      </c>
      <c r="C3058" s="20">
        <f>Разбивка_по_щитам!C3063</f>
      </c>
      <c r="D3058" s="20">
        <f>Разбивка_по_щитам!F3063</f>
      </c>
      <c r="E3058" s="20">
        <f>Разбивка_по_щитам!H3063</f>
      </c>
      <c r="F3058" s="20">
        <f>Разбивка_по_щитам!I3063</f>
      </c>
      <c r="G3058" s="20">
        <f>Разбивка_по_щитам!J3063</f>
      </c>
      <c r="H3058" s="20">
        <f>Разбивка_по_щитам!K3063</f>
      </c>
      <c r="I3058" s="20">
        <f>Разбивка_по_щитам!L3063</f>
      </c>
      <c r="J3058" s="20">
        <f>Разбивка_по_щитам!M3063</f>
      </c>
      <c r="K3058" s="20">
        <f>Разбивка_по_щитам!N3063</f>
      </c>
      <c r="L3058" s="20"/>
      <c r="M3058" s="20">
        <f>Разбивка_по_щитам!P3063</f>
      </c>
      <c r="N3058" s="20"/>
    </row>
    <row r="3059" spans="2:14" x14ac:dyDescent="0.25">
      <c r="B3059" s="20">
        <f>Разбивка_по_щитам!B3064</f>
      </c>
      <c r="C3059" s="20">
        <f>Разбивка_по_щитам!C3064</f>
      </c>
      <c r="D3059" s="20">
        <f>Разбивка_по_щитам!F3064</f>
      </c>
      <c r="E3059" s="20">
        <f>Разбивка_по_щитам!H3064</f>
      </c>
      <c r="F3059" s="20">
        <f>Разбивка_по_щитам!I3064</f>
      </c>
      <c r="G3059" s="20">
        <f>Разбивка_по_щитам!J3064</f>
      </c>
      <c r="H3059" s="20">
        <f>Разбивка_по_щитам!K3064</f>
      </c>
      <c r="I3059" s="20">
        <f>Разбивка_по_щитам!L3064</f>
      </c>
      <c r="J3059" s="20">
        <f>Разбивка_по_щитам!M3064</f>
      </c>
      <c r="K3059" s="20">
        <f>Разбивка_по_щитам!N3064</f>
      </c>
      <c r="L3059" s="20"/>
      <c r="M3059" s="20">
        <f>Разбивка_по_щитам!P3064</f>
      </c>
      <c r="N3059" s="20"/>
    </row>
    <row r="3060" spans="2:14" x14ac:dyDescent="0.25">
      <c r="B3060" s="20">
        <f>Разбивка_по_щитам!B3065</f>
      </c>
      <c r="C3060" s="20">
        <f>Разбивка_по_щитам!C3065</f>
      </c>
      <c r="D3060" s="20">
        <f>Разбивка_по_щитам!F3065</f>
      </c>
      <c r="E3060" s="20">
        <f>Разбивка_по_щитам!H3065</f>
      </c>
      <c r="F3060" s="20">
        <f>Разбивка_по_щитам!I3065</f>
      </c>
      <c r="G3060" s="20">
        <f>Разбивка_по_щитам!J3065</f>
      </c>
      <c r="H3060" s="20">
        <f>Разбивка_по_щитам!K3065</f>
      </c>
      <c r="I3060" s="20">
        <f>Разбивка_по_щитам!L3065</f>
      </c>
      <c r="J3060" s="20">
        <f>Разбивка_по_щитам!M3065</f>
      </c>
      <c r="K3060" s="20">
        <f>Разбивка_по_щитам!N3065</f>
      </c>
      <c r="L3060" s="20"/>
      <c r="M3060" s="20">
        <f>Разбивка_по_щитам!P3065</f>
      </c>
      <c r="N3060" s="20"/>
    </row>
    <row r="3061" spans="2:14" x14ac:dyDescent="0.25">
      <c r="B3061" s="20">
        <f>Разбивка_по_щитам!B3066</f>
      </c>
      <c r="C3061" s="20">
        <f>Разбивка_по_щитам!C3066</f>
      </c>
      <c r="D3061" s="20">
        <f>Разбивка_по_щитам!F3066</f>
      </c>
      <c r="E3061" s="20">
        <f>Разбивка_по_щитам!H3066</f>
      </c>
      <c r="F3061" s="20">
        <f>Разбивка_по_щитам!I3066</f>
      </c>
      <c r="G3061" s="20">
        <f>Разбивка_по_щитам!J3066</f>
      </c>
      <c r="H3061" s="20">
        <f>Разбивка_по_щитам!K3066</f>
      </c>
      <c r="I3061" s="20">
        <f>Разбивка_по_щитам!L3066</f>
      </c>
      <c r="J3061" s="20">
        <f>Разбивка_по_щитам!M3066</f>
      </c>
      <c r="K3061" s="20">
        <f>Разбивка_по_щитам!N3066</f>
      </c>
      <c r="L3061" s="20"/>
      <c r="M3061" s="20">
        <f>Разбивка_по_щитам!P3066</f>
      </c>
      <c r="N3061" s="20"/>
    </row>
    <row r="3062" spans="2:14" x14ac:dyDescent="0.25">
      <c r="B3062" s="20">
        <f>Разбивка_по_щитам!B3067</f>
      </c>
      <c r="C3062" s="20">
        <f>Разбивка_по_щитам!C3067</f>
      </c>
      <c r="D3062" s="20">
        <f>Разбивка_по_щитам!F3067</f>
      </c>
      <c r="E3062" s="20">
        <f>Разбивка_по_щитам!H3067</f>
      </c>
      <c r="F3062" s="20">
        <f>Разбивка_по_щитам!I3067</f>
      </c>
      <c r="G3062" s="20">
        <f>Разбивка_по_щитам!J3067</f>
      </c>
      <c r="H3062" s="20">
        <f>Разбивка_по_щитам!K3067</f>
      </c>
      <c r="I3062" s="20">
        <f>Разбивка_по_щитам!L3067</f>
      </c>
      <c r="J3062" s="20">
        <f>Разбивка_по_щитам!M3067</f>
      </c>
      <c r="K3062" s="20">
        <f>Разбивка_по_щитам!N3067</f>
      </c>
      <c r="L3062" s="20"/>
      <c r="M3062" s="20">
        <f>Разбивка_по_щитам!P3067</f>
      </c>
      <c r="N3062" s="20"/>
    </row>
    <row r="3063" spans="2:14" x14ac:dyDescent="0.25">
      <c r="B3063" s="20">
        <f>Разбивка_по_щитам!B3068</f>
      </c>
      <c r="C3063" s="20">
        <f>Разбивка_по_щитам!C3068</f>
      </c>
      <c r="D3063" s="20">
        <f>Разбивка_по_щитам!F3068</f>
      </c>
      <c r="E3063" s="20">
        <f>Разбивка_по_щитам!H3068</f>
      </c>
      <c r="F3063" s="20">
        <f>Разбивка_по_щитам!I3068</f>
      </c>
      <c r="G3063" s="20">
        <f>Разбивка_по_щитам!J3068</f>
      </c>
      <c r="H3063" s="20">
        <f>Разбивка_по_щитам!K3068</f>
      </c>
      <c r="I3063" s="20">
        <f>Разбивка_по_щитам!L3068</f>
      </c>
      <c r="J3063" s="20">
        <f>Разбивка_по_щитам!M3068</f>
      </c>
      <c r="K3063" s="20">
        <f>Разбивка_по_щитам!N3068</f>
      </c>
      <c r="L3063" s="20"/>
      <c r="M3063" s="20">
        <f>Разбивка_по_щитам!P3068</f>
      </c>
      <c r="N3063" s="20"/>
    </row>
    <row r="3064" spans="2:14" x14ac:dyDescent="0.25">
      <c r="B3064" s="20">
        <f>Разбивка_по_щитам!B3069</f>
      </c>
      <c r="C3064" s="20">
        <f>Разбивка_по_щитам!C3069</f>
      </c>
      <c r="D3064" s="20">
        <f>Разбивка_по_щитам!F3069</f>
      </c>
      <c r="E3064" s="20">
        <f>Разбивка_по_щитам!H3069</f>
      </c>
      <c r="F3064" s="20">
        <f>Разбивка_по_щитам!I3069</f>
      </c>
      <c r="G3064" s="20">
        <f>Разбивка_по_щитам!J3069</f>
      </c>
      <c r="H3064" s="20">
        <f>Разбивка_по_щитам!K3069</f>
      </c>
      <c r="I3064" s="20">
        <f>Разбивка_по_щитам!L3069</f>
      </c>
      <c r="J3064" s="20">
        <f>Разбивка_по_щитам!M3069</f>
      </c>
      <c r="K3064" s="20">
        <f>Разбивка_по_щитам!N3069</f>
      </c>
      <c r="L3064" s="20"/>
      <c r="M3064" s="20">
        <f>Разбивка_по_щитам!P3069</f>
      </c>
      <c r="N3064" s="20"/>
    </row>
    <row r="3065" spans="2:14" x14ac:dyDescent="0.25">
      <c r="B3065" s="20">
        <f>Разбивка_по_щитам!B3070</f>
      </c>
      <c r="C3065" s="20">
        <f>Разбивка_по_щитам!C3070</f>
      </c>
      <c r="D3065" s="20">
        <f>Разбивка_по_щитам!F3070</f>
      </c>
      <c r="E3065" s="20">
        <f>Разбивка_по_щитам!H3070</f>
      </c>
      <c r="F3065" s="20">
        <f>Разбивка_по_щитам!I3070</f>
      </c>
      <c r="G3065" s="20">
        <f>Разбивка_по_щитам!J3070</f>
      </c>
      <c r="H3065" s="20">
        <f>Разбивка_по_щитам!K3070</f>
      </c>
      <c r="I3065" s="20">
        <f>Разбивка_по_щитам!L3070</f>
      </c>
      <c r="J3065" s="20">
        <f>Разбивка_по_щитам!M3070</f>
      </c>
      <c r="K3065" s="20">
        <f>Разбивка_по_щитам!N3070</f>
      </c>
      <c r="L3065" s="20"/>
      <c r="M3065" s="20">
        <f>Разбивка_по_щитам!P3070</f>
      </c>
      <c r="N3065" s="20"/>
    </row>
    <row r="3066" spans="2:14" x14ac:dyDescent="0.25">
      <c r="B3066" s="20">
        <f>Разбивка_по_щитам!B3071</f>
      </c>
      <c r="C3066" s="20">
        <f>Разбивка_по_щитам!C3071</f>
      </c>
      <c r="D3066" s="20">
        <f>Разбивка_по_щитам!F3071</f>
      </c>
      <c r="E3066" s="20">
        <f>Разбивка_по_щитам!H3071</f>
      </c>
      <c r="F3066" s="20">
        <f>Разбивка_по_щитам!I3071</f>
      </c>
      <c r="G3066" s="20">
        <f>Разбивка_по_щитам!J3071</f>
      </c>
      <c r="H3066" s="20">
        <f>Разбивка_по_щитам!K3071</f>
      </c>
      <c r="I3066" s="20">
        <f>Разбивка_по_щитам!L3071</f>
      </c>
      <c r="J3066" s="20">
        <f>Разбивка_по_щитам!M3071</f>
      </c>
      <c r="K3066" s="20">
        <f>Разбивка_по_щитам!N3071</f>
      </c>
      <c r="L3066" s="20"/>
      <c r="M3066" s="20">
        <f>Разбивка_по_щитам!P3071</f>
      </c>
      <c r="N3066" s="20"/>
    </row>
    <row r="3067" spans="2:14" x14ac:dyDescent="0.25">
      <c r="B3067" s="20">
        <f>Разбивка_по_щитам!B3072</f>
      </c>
      <c r="C3067" s="20">
        <f>Разбивка_по_щитам!C3072</f>
      </c>
      <c r="D3067" s="20">
        <f>Разбивка_по_щитам!F3072</f>
      </c>
      <c r="E3067" s="20">
        <f>Разбивка_по_щитам!H3072</f>
      </c>
      <c r="F3067" s="20">
        <f>Разбивка_по_щитам!I3072</f>
      </c>
      <c r="G3067" s="20">
        <f>Разбивка_по_щитам!J3072</f>
      </c>
      <c r="H3067" s="20">
        <f>Разбивка_по_щитам!K3072</f>
      </c>
      <c r="I3067" s="20">
        <f>Разбивка_по_щитам!L3072</f>
      </c>
      <c r="J3067" s="20">
        <f>Разбивка_по_щитам!M3072</f>
      </c>
      <c r="K3067" s="20">
        <f>Разбивка_по_щитам!N3072</f>
      </c>
      <c r="L3067" s="20"/>
      <c r="M3067" s="20">
        <f>Разбивка_по_щитам!P3072</f>
      </c>
      <c r="N3067" s="20"/>
    </row>
    <row r="3068" spans="2:14" x14ac:dyDescent="0.25">
      <c r="B3068" s="20">
        <f>Разбивка_по_щитам!B3073</f>
      </c>
      <c r="C3068" s="20">
        <f>Разбивка_по_щитам!C3073</f>
      </c>
      <c r="D3068" s="20">
        <f>Разбивка_по_щитам!F3073</f>
      </c>
      <c r="E3068" s="20">
        <f>Разбивка_по_щитам!H3073</f>
      </c>
      <c r="F3068" s="20">
        <f>Разбивка_по_щитам!I3073</f>
      </c>
      <c r="G3068" s="20">
        <f>Разбивка_по_щитам!J3073</f>
      </c>
      <c r="H3068" s="20">
        <f>Разбивка_по_щитам!K3073</f>
      </c>
      <c r="I3068" s="20">
        <f>Разбивка_по_щитам!L3073</f>
      </c>
      <c r="J3068" s="20">
        <f>Разбивка_по_щитам!M3073</f>
      </c>
      <c r="K3068" s="20">
        <f>Разбивка_по_щитам!N3073</f>
      </c>
      <c r="L3068" s="20"/>
      <c r="M3068" s="20">
        <f>Разбивка_по_щитам!P3073</f>
      </c>
      <c r="N3068" s="20"/>
    </row>
    <row r="3069" spans="2:14" x14ac:dyDescent="0.25">
      <c r="B3069" s="20">
        <f>Разбивка_по_щитам!B3074</f>
      </c>
      <c r="C3069" s="20">
        <f>Разбивка_по_щитам!C3074</f>
      </c>
      <c r="D3069" s="20">
        <f>Разбивка_по_щитам!F3074</f>
      </c>
      <c r="E3069" s="20">
        <f>Разбивка_по_щитам!H3074</f>
      </c>
      <c r="F3069" s="20">
        <f>Разбивка_по_щитам!I3074</f>
      </c>
      <c r="G3069" s="20">
        <f>Разбивка_по_щитам!J3074</f>
      </c>
      <c r="H3069" s="20">
        <f>Разбивка_по_щитам!K3074</f>
      </c>
      <c r="I3069" s="20">
        <f>Разбивка_по_щитам!L3074</f>
      </c>
      <c r="J3069" s="20">
        <f>Разбивка_по_щитам!M3074</f>
      </c>
      <c r="K3069" s="20">
        <f>Разбивка_по_щитам!N3074</f>
      </c>
      <c r="L3069" s="20"/>
      <c r="M3069" s="20">
        <f>Разбивка_по_щитам!P3074</f>
      </c>
      <c r="N3069" s="20"/>
    </row>
    <row r="3070" spans="2:14" x14ac:dyDescent="0.25">
      <c r="B3070" s="20">
        <f>Разбивка_по_щитам!B3075</f>
      </c>
      <c r="C3070" s="20">
        <f>Разбивка_по_щитам!C3075</f>
      </c>
      <c r="D3070" s="20">
        <f>Разбивка_по_щитам!F3075</f>
      </c>
      <c r="E3070" s="20">
        <f>Разбивка_по_щитам!H3075</f>
      </c>
      <c r="F3070" s="20">
        <f>Разбивка_по_щитам!I3075</f>
      </c>
      <c r="G3070" s="20">
        <f>Разбивка_по_щитам!J3075</f>
      </c>
      <c r="H3070" s="20">
        <f>Разбивка_по_щитам!K3075</f>
      </c>
      <c r="I3070" s="20">
        <f>Разбивка_по_щитам!L3075</f>
      </c>
      <c r="J3070" s="20">
        <f>Разбивка_по_щитам!M3075</f>
      </c>
      <c r="K3070" s="20">
        <f>Разбивка_по_щитам!N3075</f>
      </c>
      <c r="L3070" s="20"/>
      <c r="M3070" s="20">
        <f>Разбивка_по_щитам!P3075</f>
      </c>
      <c r="N3070" s="20"/>
    </row>
    <row r="3071" spans="2:14" x14ac:dyDescent="0.25">
      <c r="B3071" s="20">
        <f>Разбивка_по_щитам!B3076</f>
      </c>
      <c r="C3071" s="20">
        <f>Разбивка_по_щитам!C3076</f>
      </c>
      <c r="D3071" s="20">
        <f>Разбивка_по_щитам!F3076</f>
      </c>
      <c r="E3071" s="20">
        <f>Разбивка_по_щитам!H3076</f>
      </c>
      <c r="F3071" s="20">
        <f>Разбивка_по_щитам!I3076</f>
      </c>
      <c r="G3071" s="20">
        <f>Разбивка_по_щитам!J3076</f>
      </c>
      <c r="H3071" s="20">
        <f>Разбивка_по_щитам!K3076</f>
      </c>
      <c r="I3071" s="20">
        <f>Разбивка_по_щитам!L3076</f>
      </c>
      <c r="J3071" s="20">
        <f>Разбивка_по_щитам!M3076</f>
      </c>
      <c r="K3071" s="20">
        <f>Разбивка_по_щитам!N3076</f>
      </c>
      <c r="L3071" s="20"/>
      <c r="M3071" s="20">
        <f>Разбивка_по_щитам!P3076</f>
      </c>
      <c r="N3071" s="20"/>
    </row>
    <row r="3072" spans="2:14" x14ac:dyDescent="0.25">
      <c r="B3072" s="20">
        <f>Разбивка_по_щитам!B3077</f>
      </c>
      <c r="C3072" s="20">
        <f>Разбивка_по_щитам!C3077</f>
      </c>
      <c r="D3072" s="20">
        <f>Разбивка_по_щитам!F3077</f>
      </c>
      <c r="E3072" s="20">
        <f>Разбивка_по_щитам!H3077</f>
      </c>
      <c r="F3072" s="20">
        <f>Разбивка_по_щитам!I3077</f>
      </c>
      <c r="G3072" s="20">
        <f>Разбивка_по_щитам!J3077</f>
      </c>
      <c r="H3072" s="20">
        <f>Разбивка_по_щитам!K3077</f>
      </c>
      <c r="I3072" s="20">
        <f>Разбивка_по_щитам!L3077</f>
      </c>
      <c r="J3072" s="20">
        <f>Разбивка_по_щитам!M3077</f>
      </c>
      <c r="K3072" s="20">
        <f>Разбивка_по_щитам!N3077</f>
      </c>
      <c r="L3072" s="20"/>
      <c r="M3072" s="20">
        <f>Разбивка_по_щитам!P3077</f>
      </c>
      <c r="N3072" s="20"/>
    </row>
    <row r="3073" spans="2:14" x14ac:dyDescent="0.25">
      <c r="B3073" s="20">
        <f>Разбивка_по_щитам!B3078</f>
      </c>
      <c r="C3073" s="20">
        <f>Разбивка_по_щитам!C3078</f>
      </c>
      <c r="D3073" s="20">
        <f>Разбивка_по_щитам!F3078</f>
      </c>
      <c r="E3073" s="20">
        <f>Разбивка_по_щитам!H3078</f>
      </c>
      <c r="F3073" s="20">
        <f>Разбивка_по_щитам!I3078</f>
      </c>
      <c r="G3073" s="20">
        <f>Разбивка_по_щитам!J3078</f>
      </c>
      <c r="H3073" s="20">
        <f>Разбивка_по_щитам!K3078</f>
      </c>
      <c r="I3073" s="20">
        <f>Разбивка_по_щитам!L3078</f>
      </c>
      <c r="J3073" s="20">
        <f>Разбивка_по_щитам!M3078</f>
      </c>
      <c r="K3073" s="20">
        <f>Разбивка_по_щитам!N3078</f>
      </c>
      <c r="L3073" s="20"/>
      <c r="M3073" s="20">
        <f>Разбивка_по_щитам!P3078</f>
      </c>
      <c r="N3073" s="20"/>
    </row>
    <row r="3074" spans="2:14" x14ac:dyDescent="0.25">
      <c r="B3074" s="20">
        <f>Разбивка_по_щитам!B3079</f>
      </c>
      <c r="C3074" s="20">
        <f>Разбивка_по_щитам!C3079</f>
      </c>
      <c r="D3074" s="20">
        <f>Разбивка_по_щитам!F3079</f>
      </c>
      <c r="E3074" s="20">
        <f>Разбивка_по_щитам!H3079</f>
      </c>
      <c r="F3074" s="20">
        <f>Разбивка_по_щитам!I3079</f>
      </c>
      <c r="G3074" s="20">
        <f>Разбивка_по_щитам!J3079</f>
      </c>
      <c r="H3074" s="20">
        <f>Разбивка_по_щитам!K3079</f>
      </c>
      <c r="I3074" s="20">
        <f>Разбивка_по_щитам!L3079</f>
      </c>
      <c r="J3074" s="20">
        <f>Разбивка_по_щитам!M3079</f>
      </c>
      <c r="K3074" s="20">
        <f>Разбивка_по_щитам!N3079</f>
      </c>
      <c r="L3074" s="20"/>
      <c r="M3074" s="20">
        <f>Разбивка_по_щитам!P3079</f>
      </c>
      <c r="N3074" s="20"/>
    </row>
    <row r="3075" spans="2:14" x14ac:dyDescent="0.25">
      <c r="B3075" s="20">
        <f>Разбивка_по_щитам!B3080</f>
      </c>
      <c r="C3075" s="20">
        <f>Разбивка_по_щитам!C3080</f>
      </c>
      <c r="D3075" s="20">
        <f>Разбивка_по_щитам!F3080</f>
      </c>
      <c r="E3075" s="20">
        <f>Разбивка_по_щитам!H3080</f>
      </c>
      <c r="F3075" s="20">
        <f>Разбивка_по_щитам!I3080</f>
      </c>
      <c r="G3075" s="20">
        <f>Разбивка_по_щитам!J3080</f>
      </c>
      <c r="H3075" s="20">
        <f>Разбивка_по_щитам!K3080</f>
      </c>
      <c r="I3075" s="20">
        <f>Разбивка_по_щитам!L3080</f>
      </c>
      <c r="J3075" s="20">
        <f>Разбивка_по_щитам!M3080</f>
      </c>
      <c r="K3075" s="20">
        <f>Разбивка_по_щитам!N3080</f>
      </c>
      <c r="L3075" s="20"/>
      <c r="M3075" s="20">
        <f>Разбивка_по_щитам!P3080</f>
      </c>
      <c r="N3075" s="20"/>
    </row>
    <row r="3076" spans="2:14" x14ac:dyDescent="0.25">
      <c r="B3076" s="20">
        <f>Разбивка_по_щитам!B3081</f>
      </c>
      <c r="C3076" s="20">
        <f>Разбивка_по_щитам!C3081</f>
      </c>
      <c r="D3076" s="20">
        <f>Разбивка_по_щитам!F3081</f>
      </c>
      <c r="E3076" s="20">
        <f>Разбивка_по_щитам!H3081</f>
      </c>
      <c r="F3076" s="20">
        <f>Разбивка_по_щитам!I3081</f>
      </c>
      <c r="G3076" s="20">
        <f>Разбивка_по_щитам!J3081</f>
      </c>
      <c r="H3076" s="20">
        <f>Разбивка_по_щитам!K3081</f>
      </c>
      <c r="I3076" s="20">
        <f>Разбивка_по_щитам!L3081</f>
      </c>
      <c r="J3076" s="20">
        <f>Разбивка_по_щитам!M3081</f>
      </c>
      <c r="K3076" s="20">
        <f>Разбивка_по_щитам!N3081</f>
      </c>
      <c r="L3076" s="20"/>
      <c r="M3076" s="20">
        <f>Разбивка_по_щитам!P3081</f>
      </c>
      <c r="N3076" s="20"/>
    </row>
    <row r="3077" spans="2:14" x14ac:dyDescent="0.25">
      <c r="B3077" s="20">
        <f>Разбивка_по_щитам!B3082</f>
      </c>
      <c r="C3077" s="20">
        <f>Разбивка_по_щитам!C3082</f>
      </c>
      <c r="D3077" s="20">
        <f>Разбивка_по_щитам!F3082</f>
      </c>
      <c r="E3077" s="20">
        <f>Разбивка_по_щитам!H3082</f>
      </c>
      <c r="F3077" s="20">
        <f>Разбивка_по_щитам!I3082</f>
      </c>
      <c r="G3077" s="20">
        <f>Разбивка_по_щитам!J3082</f>
      </c>
      <c r="H3077" s="20">
        <f>Разбивка_по_щитам!K3082</f>
      </c>
      <c r="I3077" s="20">
        <f>Разбивка_по_щитам!L3082</f>
      </c>
      <c r="J3077" s="20">
        <f>Разбивка_по_щитам!M3082</f>
      </c>
      <c r="K3077" s="20">
        <f>Разбивка_по_щитам!N3082</f>
      </c>
      <c r="L3077" s="20"/>
      <c r="M3077" s="20">
        <f>Разбивка_по_щитам!P3082</f>
      </c>
      <c r="N3077" s="20"/>
    </row>
    <row r="3078" spans="2:14" x14ac:dyDescent="0.25">
      <c r="B3078" s="20">
        <f>Разбивка_по_щитам!B3083</f>
      </c>
      <c r="C3078" s="20">
        <f>Разбивка_по_щитам!C3083</f>
      </c>
      <c r="D3078" s="20">
        <f>Разбивка_по_щитам!F3083</f>
      </c>
      <c r="E3078" s="20">
        <f>Разбивка_по_щитам!H3083</f>
      </c>
      <c r="F3078" s="20">
        <f>Разбивка_по_щитам!I3083</f>
      </c>
      <c r="G3078" s="20">
        <f>Разбивка_по_щитам!J3083</f>
      </c>
      <c r="H3078" s="20">
        <f>Разбивка_по_щитам!K3083</f>
      </c>
      <c r="I3078" s="20">
        <f>Разбивка_по_щитам!L3083</f>
      </c>
      <c r="J3078" s="20">
        <f>Разбивка_по_щитам!M3083</f>
      </c>
      <c r="K3078" s="20">
        <f>Разбивка_по_щитам!N3083</f>
      </c>
      <c r="L3078" s="20"/>
      <c r="M3078" s="20">
        <f>Разбивка_по_щитам!P3083</f>
      </c>
      <c r="N3078" s="20"/>
    </row>
    <row r="3079" spans="2:14" x14ac:dyDescent="0.25">
      <c r="B3079" s="20">
        <f>Разбивка_по_щитам!B3084</f>
      </c>
      <c r="C3079" s="20">
        <f>Разбивка_по_щитам!C3084</f>
      </c>
      <c r="D3079" s="20">
        <f>Разбивка_по_щитам!F3084</f>
      </c>
      <c r="E3079" s="20">
        <f>Разбивка_по_щитам!H3084</f>
      </c>
      <c r="F3079" s="20">
        <f>Разбивка_по_щитам!I3084</f>
      </c>
      <c r="G3079" s="20">
        <f>Разбивка_по_щитам!J3084</f>
      </c>
      <c r="H3079" s="20">
        <f>Разбивка_по_щитам!K3084</f>
      </c>
      <c r="I3079" s="20">
        <f>Разбивка_по_щитам!L3084</f>
      </c>
      <c r="J3079" s="20">
        <f>Разбивка_по_щитам!M3084</f>
      </c>
      <c r="K3079" s="20">
        <f>Разбивка_по_щитам!N3084</f>
      </c>
      <c r="L3079" s="20"/>
      <c r="M3079" s="20">
        <f>Разбивка_по_щитам!P3084</f>
      </c>
      <c r="N3079" s="20"/>
    </row>
    <row r="3080" spans="2:14" x14ac:dyDescent="0.25">
      <c r="B3080" s="20">
        <f>Разбивка_по_щитам!B3085</f>
      </c>
      <c r="C3080" s="20">
        <f>Разбивка_по_щитам!C3085</f>
      </c>
      <c r="D3080" s="20">
        <f>Разбивка_по_щитам!F3085</f>
      </c>
      <c r="E3080" s="20">
        <f>Разбивка_по_щитам!H3085</f>
      </c>
      <c r="F3080" s="20">
        <f>Разбивка_по_щитам!I3085</f>
      </c>
      <c r="G3080" s="20">
        <f>Разбивка_по_щитам!J3085</f>
      </c>
      <c r="H3080" s="20">
        <f>Разбивка_по_щитам!K3085</f>
      </c>
      <c r="I3080" s="20">
        <f>Разбивка_по_щитам!L3085</f>
      </c>
      <c r="J3080" s="20">
        <f>Разбивка_по_щитам!M3085</f>
      </c>
      <c r="K3080" s="20">
        <f>Разбивка_по_щитам!N3085</f>
      </c>
      <c r="L3080" s="20"/>
      <c r="M3080" s="20">
        <f>Разбивка_по_щитам!P3085</f>
      </c>
      <c r="N3080" s="20"/>
    </row>
    <row r="3081" spans="2:14" x14ac:dyDescent="0.25">
      <c r="B3081" s="20">
        <f>Разбивка_по_щитам!B3086</f>
      </c>
      <c r="C3081" s="20">
        <f>Разбивка_по_щитам!C3086</f>
      </c>
      <c r="D3081" s="20">
        <f>Разбивка_по_щитам!F3086</f>
      </c>
      <c r="E3081" s="20">
        <f>Разбивка_по_щитам!H3086</f>
      </c>
      <c r="F3081" s="20">
        <f>Разбивка_по_щитам!I3086</f>
      </c>
      <c r="G3081" s="20">
        <f>Разбивка_по_щитам!J3086</f>
      </c>
      <c r="H3081" s="20">
        <f>Разбивка_по_щитам!K3086</f>
      </c>
      <c r="I3081" s="20">
        <f>Разбивка_по_щитам!L3086</f>
      </c>
      <c r="J3081" s="20">
        <f>Разбивка_по_щитам!M3086</f>
      </c>
      <c r="K3081" s="20">
        <f>Разбивка_по_щитам!N3086</f>
      </c>
      <c r="L3081" s="20"/>
      <c r="M3081" s="20">
        <f>Разбивка_по_щитам!P3086</f>
      </c>
      <c r="N3081" s="20"/>
    </row>
    <row r="3082" spans="2:14" x14ac:dyDescent="0.25">
      <c r="B3082" s="20">
        <f>Разбивка_по_щитам!B3087</f>
      </c>
      <c r="C3082" s="20">
        <f>Разбивка_по_щитам!C3087</f>
      </c>
      <c r="D3082" s="20">
        <f>Разбивка_по_щитам!F3087</f>
      </c>
      <c r="E3082" s="20">
        <f>Разбивка_по_щитам!H3087</f>
      </c>
      <c r="F3082" s="20">
        <f>Разбивка_по_щитам!I3087</f>
      </c>
      <c r="G3082" s="20">
        <f>Разбивка_по_щитам!J3087</f>
      </c>
      <c r="H3082" s="20">
        <f>Разбивка_по_щитам!K3087</f>
      </c>
      <c r="I3082" s="20">
        <f>Разбивка_по_щитам!L3087</f>
      </c>
      <c r="J3082" s="20">
        <f>Разбивка_по_щитам!M3087</f>
      </c>
      <c r="K3082" s="20">
        <f>Разбивка_по_щитам!N3087</f>
      </c>
      <c r="L3082" s="20"/>
      <c r="M3082" s="20">
        <f>Разбивка_по_щитам!P3087</f>
      </c>
      <c r="N3082" s="20"/>
    </row>
    <row r="3083" spans="2:14" x14ac:dyDescent="0.25">
      <c r="B3083" s="20">
        <f>Разбивка_по_щитам!B3088</f>
      </c>
      <c r="C3083" s="20">
        <f>Разбивка_по_щитам!C3088</f>
      </c>
      <c r="D3083" s="20">
        <f>Разбивка_по_щитам!F3088</f>
      </c>
      <c r="E3083" s="20">
        <f>Разбивка_по_щитам!H3088</f>
      </c>
      <c r="F3083" s="20">
        <f>Разбивка_по_щитам!I3088</f>
      </c>
      <c r="G3083" s="20">
        <f>Разбивка_по_щитам!J3088</f>
      </c>
      <c r="H3083" s="20">
        <f>Разбивка_по_щитам!K3088</f>
      </c>
      <c r="I3083" s="20">
        <f>Разбивка_по_щитам!L3088</f>
      </c>
      <c r="J3083" s="20">
        <f>Разбивка_по_щитам!M3088</f>
      </c>
      <c r="K3083" s="20">
        <f>Разбивка_по_щитам!N3088</f>
      </c>
      <c r="L3083" s="20"/>
      <c r="M3083" s="20">
        <f>Разбивка_по_щитам!P3088</f>
      </c>
      <c r="N3083" s="20"/>
    </row>
    <row r="3084" spans="2:14" x14ac:dyDescent="0.25">
      <c r="B3084" s="20">
        <f>Разбивка_по_щитам!B3089</f>
      </c>
      <c r="C3084" s="20">
        <f>Разбивка_по_щитам!C3089</f>
      </c>
      <c r="D3084" s="20">
        <f>Разбивка_по_щитам!F3089</f>
      </c>
      <c r="E3084" s="20">
        <f>Разбивка_по_щитам!H3089</f>
      </c>
      <c r="F3084" s="20">
        <f>Разбивка_по_щитам!I3089</f>
      </c>
      <c r="G3084" s="20">
        <f>Разбивка_по_щитам!J3089</f>
      </c>
      <c r="H3084" s="20">
        <f>Разбивка_по_щитам!K3089</f>
      </c>
      <c r="I3084" s="20">
        <f>Разбивка_по_щитам!L3089</f>
      </c>
      <c r="J3084" s="20">
        <f>Разбивка_по_щитам!M3089</f>
      </c>
      <c r="K3084" s="20">
        <f>Разбивка_по_щитам!N3089</f>
      </c>
      <c r="L3084" s="20"/>
      <c r="M3084" s="20">
        <f>Разбивка_по_щитам!P3089</f>
      </c>
      <c r="N3084" s="20"/>
    </row>
    <row r="3085" spans="2:14" x14ac:dyDescent="0.25">
      <c r="B3085" s="20">
        <f>Разбивка_по_щитам!B3090</f>
      </c>
      <c r="C3085" s="20">
        <f>Разбивка_по_щитам!C3090</f>
      </c>
      <c r="D3085" s="20">
        <f>Разбивка_по_щитам!F3090</f>
      </c>
      <c r="E3085" s="20">
        <f>Разбивка_по_щитам!H3090</f>
      </c>
      <c r="F3085" s="20">
        <f>Разбивка_по_щитам!I3090</f>
      </c>
      <c r="G3085" s="20">
        <f>Разбивка_по_щитам!J3090</f>
      </c>
      <c r="H3085" s="20">
        <f>Разбивка_по_щитам!K3090</f>
      </c>
      <c r="I3085" s="20">
        <f>Разбивка_по_щитам!L3090</f>
      </c>
      <c r="J3085" s="20">
        <f>Разбивка_по_щитам!M3090</f>
      </c>
      <c r="K3085" s="20">
        <f>Разбивка_по_щитам!N3090</f>
      </c>
      <c r="L3085" s="20"/>
      <c r="M3085" s="20">
        <f>Разбивка_по_щитам!P3090</f>
      </c>
      <c r="N3085" s="20"/>
    </row>
    <row r="3086" spans="2:14" x14ac:dyDescent="0.25">
      <c r="B3086" s="20">
        <f>Разбивка_по_щитам!B3091</f>
      </c>
      <c r="C3086" s="20">
        <f>Разбивка_по_щитам!C3091</f>
      </c>
      <c r="D3086" s="20">
        <f>Разбивка_по_щитам!F3091</f>
      </c>
      <c r="E3086" s="20">
        <f>Разбивка_по_щитам!H3091</f>
      </c>
      <c r="F3086" s="20">
        <f>Разбивка_по_щитам!I3091</f>
      </c>
      <c r="G3086" s="20">
        <f>Разбивка_по_щитам!J3091</f>
      </c>
      <c r="H3086" s="20">
        <f>Разбивка_по_щитам!K3091</f>
      </c>
      <c r="I3086" s="20">
        <f>Разбивка_по_щитам!L3091</f>
      </c>
      <c r="J3086" s="20">
        <f>Разбивка_по_щитам!M3091</f>
      </c>
      <c r="K3086" s="20">
        <f>Разбивка_по_щитам!N3091</f>
      </c>
      <c r="L3086" s="20"/>
      <c r="M3086" s="20">
        <f>Разбивка_по_щитам!P3091</f>
      </c>
      <c r="N3086" s="20"/>
    </row>
    <row r="3087" spans="2:14" x14ac:dyDescent="0.25">
      <c r="B3087" s="20">
        <f>Разбивка_по_щитам!B3092</f>
      </c>
      <c r="C3087" s="20">
        <f>Разбивка_по_щитам!C3092</f>
      </c>
      <c r="D3087" s="20">
        <f>Разбивка_по_щитам!F3092</f>
      </c>
      <c r="E3087" s="20">
        <f>Разбивка_по_щитам!H3092</f>
      </c>
      <c r="F3087" s="20">
        <f>Разбивка_по_щитам!I3092</f>
      </c>
      <c r="G3087" s="20">
        <f>Разбивка_по_щитам!J3092</f>
      </c>
      <c r="H3087" s="20">
        <f>Разбивка_по_щитам!K3092</f>
      </c>
      <c r="I3087" s="20">
        <f>Разбивка_по_щитам!L3092</f>
      </c>
      <c r="J3087" s="20">
        <f>Разбивка_по_щитам!M3092</f>
      </c>
      <c r="K3087" s="20">
        <f>Разбивка_по_щитам!N3092</f>
      </c>
      <c r="L3087" s="20"/>
      <c r="M3087" s="20">
        <f>Разбивка_по_щитам!P3092</f>
      </c>
      <c r="N3087" s="20"/>
    </row>
    <row r="3088" spans="2:14" x14ac:dyDescent="0.25">
      <c r="B3088" s="20">
        <f>Разбивка_по_щитам!B3093</f>
      </c>
      <c r="C3088" s="20">
        <f>Разбивка_по_щитам!C3093</f>
      </c>
      <c r="D3088" s="20">
        <f>Разбивка_по_щитам!F3093</f>
      </c>
      <c r="E3088" s="20">
        <f>Разбивка_по_щитам!H3093</f>
      </c>
      <c r="F3088" s="20">
        <f>Разбивка_по_щитам!I3093</f>
      </c>
      <c r="G3088" s="20">
        <f>Разбивка_по_щитам!J3093</f>
      </c>
      <c r="H3088" s="20">
        <f>Разбивка_по_щитам!K3093</f>
      </c>
      <c r="I3088" s="20">
        <f>Разбивка_по_щитам!L3093</f>
      </c>
      <c r="J3088" s="20">
        <f>Разбивка_по_щитам!M3093</f>
      </c>
      <c r="K3088" s="20">
        <f>Разбивка_по_щитам!N3093</f>
      </c>
      <c r="L3088" s="20"/>
      <c r="M3088" s="20">
        <f>Разбивка_по_щитам!P3093</f>
      </c>
      <c r="N3088" s="20"/>
    </row>
    <row r="3089" spans="2:14" x14ac:dyDescent="0.25">
      <c r="B3089" s="20">
        <f>Разбивка_по_щитам!B3094</f>
      </c>
      <c r="C3089" s="20">
        <f>Разбивка_по_щитам!C3094</f>
      </c>
      <c r="D3089" s="20">
        <f>Разбивка_по_щитам!F3094</f>
      </c>
      <c r="E3089" s="20">
        <f>Разбивка_по_щитам!H3094</f>
      </c>
      <c r="F3089" s="20">
        <f>Разбивка_по_щитам!I3094</f>
      </c>
      <c r="G3089" s="20">
        <f>Разбивка_по_щитам!J3094</f>
      </c>
      <c r="H3089" s="20">
        <f>Разбивка_по_щитам!K3094</f>
      </c>
      <c r="I3089" s="20">
        <f>Разбивка_по_щитам!L3094</f>
      </c>
      <c r="J3089" s="20">
        <f>Разбивка_по_щитам!M3094</f>
      </c>
      <c r="K3089" s="20">
        <f>Разбивка_по_щитам!N3094</f>
      </c>
      <c r="L3089" s="20"/>
      <c r="M3089" s="20">
        <f>Разбивка_по_щитам!P3094</f>
      </c>
      <c r="N3089" s="20"/>
    </row>
    <row r="3090" spans="2:14" x14ac:dyDescent="0.25">
      <c r="B3090" s="20">
        <f>Разбивка_по_щитам!B3095</f>
      </c>
      <c r="C3090" s="20">
        <f>Разбивка_по_щитам!C3095</f>
      </c>
      <c r="D3090" s="20">
        <f>Разбивка_по_щитам!F3095</f>
      </c>
      <c r="E3090" s="20">
        <f>Разбивка_по_щитам!H3095</f>
      </c>
      <c r="F3090" s="20">
        <f>Разбивка_по_щитам!I3095</f>
      </c>
      <c r="G3090" s="20">
        <f>Разбивка_по_щитам!J3095</f>
      </c>
      <c r="H3090" s="20">
        <f>Разбивка_по_щитам!K3095</f>
      </c>
      <c r="I3090" s="20">
        <f>Разбивка_по_щитам!L3095</f>
      </c>
      <c r="J3090" s="20">
        <f>Разбивка_по_щитам!M3095</f>
      </c>
      <c r="K3090" s="20">
        <f>Разбивка_по_щитам!N3095</f>
      </c>
      <c r="L3090" s="20"/>
      <c r="M3090" s="20">
        <f>Разбивка_по_щитам!P3095</f>
      </c>
      <c r="N3090" s="20"/>
    </row>
    <row r="3091" spans="2:14" x14ac:dyDescent="0.25">
      <c r="B3091" s="20">
        <f>Разбивка_по_щитам!B3096</f>
      </c>
      <c r="C3091" s="20">
        <f>Разбивка_по_щитам!C3096</f>
      </c>
      <c r="D3091" s="20">
        <f>Разбивка_по_щитам!F3096</f>
      </c>
      <c r="E3091" s="20">
        <f>Разбивка_по_щитам!H3096</f>
      </c>
      <c r="F3091" s="20">
        <f>Разбивка_по_щитам!I3096</f>
      </c>
      <c r="G3091" s="20">
        <f>Разбивка_по_щитам!J3096</f>
      </c>
      <c r="H3091" s="20">
        <f>Разбивка_по_щитам!K3096</f>
      </c>
      <c r="I3091" s="20">
        <f>Разбивка_по_щитам!L3096</f>
      </c>
      <c r="J3091" s="20">
        <f>Разбивка_по_щитам!M3096</f>
      </c>
      <c r="K3091" s="20">
        <f>Разбивка_по_щитам!N3096</f>
      </c>
      <c r="L3091" s="20"/>
      <c r="M3091" s="20">
        <f>Разбивка_по_щитам!P3096</f>
      </c>
      <c r="N3091" s="20"/>
    </row>
    <row r="3092" spans="2:14" x14ac:dyDescent="0.25">
      <c r="B3092" s="20">
        <f>Разбивка_по_щитам!B3097</f>
      </c>
      <c r="C3092" s="20">
        <f>Разбивка_по_щитам!C3097</f>
      </c>
      <c r="D3092" s="20">
        <f>Разбивка_по_щитам!F3097</f>
      </c>
      <c r="E3092" s="20">
        <f>Разбивка_по_щитам!H3097</f>
      </c>
      <c r="F3092" s="20">
        <f>Разбивка_по_щитам!I3097</f>
      </c>
      <c r="G3092" s="20">
        <f>Разбивка_по_щитам!J3097</f>
      </c>
      <c r="H3092" s="20">
        <f>Разбивка_по_щитам!K3097</f>
      </c>
      <c r="I3092" s="20">
        <f>Разбивка_по_щитам!L3097</f>
      </c>
      <c r="J3092" s="20">
        <f>Разбивка_по_щитам!M3097</f>
      </c>
      <c r="K3092" s="20">
        <f>Разбивка_по_щитам!N3097</f>
      </c>
      <c r="L3092" s="20"/>
      <c r="M3092" s="20">
        <f>Разбивка_по_щитам!P3097</f>
      </c>
      <c r="N3092" s="20"/>
    </row>
    <row r="3093" spans="2:14" x14ac:dyDescent="0.25">
      <c r="B3093" s="20">
        <f>Разбивка_по_щитам!B3098</f>
      </c>
      <c r="C3093" s="20">
        <f>Разбивка_по_щитам!C3098</f>
      </c>
      <c r="D3093" s="20">
        <f>Разбивка_по_щитам!F3098</f>
      </c>
      <c r="E3093" s="20">
        <f>Разбивка_по_щитам!H3098</f>
      </c>
      <c r="F3093" s="20">
        <f>Разбивка_по_щитам!I3098</f>
      </c>
      <c r="G3093" s="20">
        <f>Разбивка_по_щитам!J3098</f>
      </c>
      <c r="H3093" s="20">
        <f>Разбивка_по_щитам!K3098</f>
      </c>
      <c r="I3093" s="20">
        <f>Разбивка_по_щитам!L3098</f>
      </c>
      <c r="J3093" s="20">
        <f>Разбивка_по_щитам!M3098</f>
      </c>
      <c r="K3093" s="20">
        <f>Разбивка_по_щитам!N3098</f>
      </c>
      <c r="L3093" s="20"/>
      <c r="M3093" s="20">
        <f>Разбивка_по_щитам!P3098</f>
      </c>
      <c r="N3093" s="20"/>
    </row>
    <row r="3094" spans="2:14" x14ac:dyDescent="0.25">
      <c r="B3094" s="20">
        <f>Разбивка_по_щитам!B3099</f>
      </c>
      <c r="C3094" s="20">
        <f>Разбивка_по_щитам!C3099</f>
      </c>
      <c r="D3094" s="20">
        <f>Разбивка_по_щитам!F3099</f>
      </c>
      <c r="E3094" s="20">
        <f>Разбивка_по_щитам!H3099</f>
      </c>
      <c r="F3094" s="20">
        <f>Разбивка_по_щитам!I3099</f>
      </c>
      <c r="G3094" s="20">
        <f>Разбивка_по_щитам!J3099</f>
      </c>
      <c r="H3094" s="20">
        <f>Разбивка_по_щитам!K3099</f>
      </c>
      <c r="I3094" s="20">
        <f>Разбивка_по_щитам!L3099</f>
      </c>
      <c r="J3094" s="20">
        <f>Разбивка_по_щитам!M3099</f>
      </c>
      <c r="K3094" s="20">
        <f>Разбивка_по_щитам!N3099</f>
      </c>
      <c r="L3094" s="20"/>
      <c r="M3094" s="20">
        <f>Разбивка_по_щитам!P3099</f>
      </c>
      <c r="N3094" s="20"/>
    </row>
    <row r="3095" spans="2:14" x14ac:dyDescent="0.25">
      <c r="B3095" s="20">
        <f>Разбивка_по_щитам!B3100</f>
      </c>
      <c r="C3095" s="20">
        <f>Разбивка_по_щитам!C3100</f>
      </c>
      <c r="D3095" s="20">
        <f>Разбивка_по_щитам!F3100</f>
      </c>
      <c r="E3095" s="20">
        <f>Разбивка_по_щитам!H3100</f>
      </c>
      <c r="F3095" s="20">
        <f>Разбивка_по_щитам!I3100</f>
      </c>
      <c r="G3095" s="20">
        <f>Разбивка_по_щитам!J3100</f>
      </c>
      <c r="H3095" s="20">
        <f>Разбивка_по_щитам!K3100</f>
      </c>
      <c r="I3095" s="20">
        <f>Разбивка_по_щитам!L3100</f>
      </c>
      <c r="J3095" s="20">
        <f>Разбивка_по_щитам!M3100</f>
      </c>
      <c r="K3095" s="20">
        <f>Разбивка_по_щитам!N3100</f>
      </c>
      <c r="L3095" s="20"/>
      <c r="M3095" s="20">
        <f>Разбивка_по_щитам!P3100</f>
      </c>
      <c r="N3095" s="20"/>
    </row>
    <row r="3096" spans="2:14" x14ac:dyDescent="0.25">
      <c r="B3096" s="20">
        <f>Разбивка_по_щитам!B3101</f>
      </c>
      <c r="C3096" s="20">
        <f>Разбивка_по_щитам!C3101</f>
      </c>
      <c r="D3096" s="20">
        <f>Разбивка_по_щитам!F3101</f>
      </c>
      <c r="E3096" s="20">
        <f>Разбивка_по_щитам!H3101</f>
      </c>
      <c r="F3096" s="20">
        <f>Разбивка_по_щитам!I3101</f>
      </c>
      <c r="G3096" s="20">
        <f>Разбивка_по_щитам!J3101</f>
      </c>
      <c r="H3096" s="20">
        <f>Разбивка_по_щитам!K3101</f>
      </c>
      <c r="I3096" s="20">
        <f>Разбивка_по_щитам!L3101</f>
      </c>
      <c r="J3096" s="20">
        <f>Разбивка_по_щитам!M3101</f>
      </c>
      <c r="K3096" s="20">
        <f>Разбивка_по_щитам!N3101</f>
      </c>
      <c r="L3096" s="20"/>
      <c r="M3096" s="20">
        <f>Разбивка_по_щитам!P3101</f>
      </c>
      <c r="N3096" s="20"/>
    </row>
    <row r="3097" spans="2:14" x14ac:dyDescent="0.25">
      <c r="B3097" s="20">
        <f>Разбивка_по_щитам!B3102</f>
      </c>
      <c r="C3097" s="20">
        <f>Разбивка_по_щитам!C3102</f>
      </c>
      <c r="D3097" s="20">
        <f>Разбивка_по_щитам!F3102</f>
      </c>
      <c r="E3097" s="20">
        <f>Разбивка_по_щитам!H3102</f>
      </c>
      <c r="F3097" s="20">
        <f>Разбивка_по_щитам!I3102</f>
      </c>
      <c r="G3097" s="20">
        <f>Разбивка_по_щитам!J3102</f>
      </c>
      <c r="H3097" s="20">
        <f>Разбивка_по_щитам!K3102</f>
      </c>
      <c r="I3097" s="20">
        <f>Разбивка_по_щитам!L3102</f>
      </c>
      <c r="J3097" s="20">
        <f>Разбивка_по_щитам!M3102</f>
      </c>
      <c r="K3097" s="20">
        <f>Разбивка_по_щитам!N3102</f>
      </c>
      <c r="L3097" s="20"/>
      <c r="M3097" s="20">
        <f>Разбивка_по_щитам!P3102</f>
      </c>
      <c r="N3097" s="20"/>
    </row>
    <row r="3098" spans="2:14" x14ac:dyDescent="0.25">
      <c r="B3098" s="20">
        <f>Разбивка_по_щитам!B3103</f>
      </c>
      <c r="C3098" s="20">
        <f>Разбивка_по_щитам!C3103</f>
      </c>
      <c r="D3098" s="20">
        <f>Разбивка_по_щитам!F3103</f>
      </c>
      <c r="E3098" s="20">
        <f>Разбивка_по_щитам!H3103</f>
      </c>
      <c r="F3098" s="20">
        <f>Разбивка_по_щитам!I3103</f>
      </c>
      <c r="G3098" s="20">
        <f>Разбивка_по_щитам!J3103</f>
      </c>
      <c r="H3098" s="20">
        <f>Разбивка_по_щитам!K3103</f>
      </c>
      <c r="I3098" s="20">
        <f>Разбивка_по_щитам!L3103</f>
      </c>
      <c r="J3098" s="20">
        <f>Разбивка_по_щитам!M3103</f>
      </c>
      <c r="K3098" s="20">
        <f>Разбивка_по_щитам!N3103</f>
      </c>
      <c r="L3098" s="20"/>
      <c r="M3098" s="20">
        <f>Разбивка_по_щитам!P3103</f>
      </c>
      <c r="N3098" s="20"/>
    </row>
    <row r="3099" spans="2:14" x14ac:dyDescent="0.25">
      <c r="B3099" s="20">
        <f>Разбивка_по_щитам!B3104</f>
      </c>
      <c r="C3099" s="20">
        <f>Разбивка_по_щитам!C3104</f>
      </c>
      <c r="D3099" s="20">
        <f>Разбивка_по_щитам!F3104</f>
      </c>
      <c r="E3099" s="20">
        <f>Разбивка_по_щитам!H3104</f>
      </c>
      <c r="F3099" s="20">
        <f>Разбивка_по_щитам!I3104</f>
      </c>
      <c r="G3099" s="20">
        <f>Разбивка_по_щитам!J3104</f>
      </c>
      <c r="H3099" s="20">
        <f>Разбивка_по_щитам!K3104</f>
      </c>
      <c r="I3099" s="20">
        <f>Разбивка_по_щитам!L3104</f>
      </c>
      <c r="J3099" s="20">
        <f>Разбивка_по_щитам!M3104</f>
      </c>
      <c r="K3099" s="20">
        <f>Разбивка_по_щитам!N3104</f>
      </c>
      <c r="L3099" s="20"/>
      <c r="M3099" s="20">
        <f>Разбивка_по_щитам!P3104</f>
      </c>
      <c r="N3099" s="20"/>
    </row>
    <row r="3100" spans="2:14" x14ac:dyDescent="0.25">
      <c r="B3100" s="20">
        <f>Разбивка_по_щитам!B3105</f>
      </c>
      <c r="C3100" s="20">
        <f>Разбивка_по_щитам!C3105</f>
      </c>
      <c r="D3100" s="20">
        <f>Разбивка_по_щитам!F3105</f>
      </c>
      <c r="E3100" s="20">
        <f>Разбивка_по_щитам!H3105</f>
      </c>
      <c r="F3100" s="20">
        <f>Разбивка_по_щитам!I3105</f>
      </c>
      <c r="G3100" s="20">
        <f>Разбивка_по_щитам!J3105</f>
      </c>
      <c r="H3100" s="20">
        <f>Разбивка_по_щитам!K3105</f>
      </c>
      <c r="I3100" s="20">
        <f>Разбивка_по_щитам!L3105</f>
      </c>
      <c r="J3100" s="20">
        <f>Разбивка_по_щитам!M3105</f>
      </c>
      <c r="K3100" s="20">
        <f>Разбивка_по_щитам!N3105</f>
      </c>
      <c r="L3100" s="20"/>
      <c r="M3100" s="20">
        <f>Разбивка_по_щитам!P3105</f>
      </c>
      <c r="N3100" s="20"/>
    </row>
    <row r="3101" spans="2:14" x14ac:dyDescent="0.25">
      <c r="B3101" s="20">
        <f>Разбивка_по_щитам!B3106</f>
      </c>
      <c r="C3101" s="20">
        <f>Разбивка_по_щитам!C3106</f>
      </c>
      <c r="D3101" s="20">
        <f>Разбивка_по_щитам!F3106</f>
      </c>
      <c r="E3101" s="20">
        <f>Разбивка_по_щитам!H3106</f>
      </c>
      <c r="F3101" s="20">
        <f>Разбивка_по_щитам!I3106</f>
      </c>
      <c r="G3101" s="20">
        <f>Разбивка_по_щитам!J3106</f>
      </c>
      <c r="H3101" s="20">
        <f>Разбивка_по_щитам!K3106</f>
      </c>
      <c r="I3101" s="20">
        <f>Разбивка_по_щитам!L3106</f>
      </c>
      <c r="J3101" s="20">
        <f>Разбивка_по_щитам!M3106</f>
      </c>
      <c r="K3101" s="20">
        <f>Разбивка_по_щитам!N3106</f>
      </c>
      <c r="L3101" s="20"/>
      <c r="M3101" s="20">
        <f>Разбивка_по_щитам!P3106</f>
      </c>
      <c r="N3101" s="20"/>
    </row>
    <row r="3102" spans="2:14" x14ac:dyDescent="0.25">
      <c r="B3102" s="20">
        <f>Разбивка_по_щитам!B3107</f>
      </c>
      <c r="C3102" s="20">
        <f>Разбивка_по_щитам!C3107</f>
      </c>
      <c r="D3102" s="20">
        <f>Разбивка_по_щитам!F3107</f>
      </c>
      <c r="E3102" s="20">
        <f>Разбивка_по_щитам!H3107</f>
      </c>
      <c r="F3102" s="20">
        <f>Разбивка_по_щитам!I3107</f>
      </c>
      <c r="G3102" s="20">
        <f>Разбивка_по_щитам!J3107</f>
      </c>
      <c r="H3102" s="20">
        <f>Разбивка_по_щитам!K3107</f>
      </c>
      <c r="I3102" s="20">
        <f>Разбивка_по_щитам!L3107</f>
      </c>
      <c r="J3102" s="20">
        <f>Разбивка_по_щитам!M3107</f>
      </c>
      <c r="K3102" s="20">
        <f>Разбивка_по_щитам!N3107</f>
      </c>
      <c r="L3102" s="20"/>
      <c r="M3102" s="20">
        <f>Разбивка_по_щитам!P3107</f>
      </c>
      <c r="N3102" s="20"/>
    </row>
    <row r="3103" spans="2:14" x14ac:dyDescent="0.25">
      <c r="B3103" s="20">
        <f>Разбивка_по_щитам!B3108</f>
      </c>
      <c r="C3103" s="20">
        <f>Разбивка_по_щитам!C3108</f>
      </c>
      <c r="D3103" s="20">
        <f>Разбивка_по_щитам!F3108</f>
      </c>
      <c r="E3103" s="20">
        <f>Разбивка_по_щитам!H3108</f>
      </c>
      <c r="F3103" s="20">
        <f>Разбивка_по_щитам!I3108</f>
      </c>
      <c r="G3103" s="20">
        <f>Разбивка_по_щитам!J3108</f>
      </c>
      <c r="H3103" s="20">
        <f>Разбивка_по_щитам!K3108</f>
      </c>
      <c r="I3103" s="20">
        <f>Разбивка_по_щитам!L3108</f>
      </c>
      <c r="J3103" s="20">
        <f>Разбивка_по_щитам!M3108</f>
      </c>
      <c r="K3103" s="20">
        <f>Разбивка_по_щитам!N3108</f>
      </c>
      <c r="L3103" s="20"/>
      <c r="M3103" s="20">
        <f>Разбивка_по_щитам!P3108</f>
      </c>
      <c r="N3103" s="20"/>
    </row>
    <row r="3104" spans="2:14" x14ac:dyDescent="0.25">
      <c r="B3104" s="20">
        <f>Разбивка_по_щитам!B3109</f>
      </c>
      <c r="C3104" s="20">
        <f>Разбивка_по_щитам!C3109</f>
      </c>
      <c r="D3104" s="20">
        <f>Разбивка_по_щитам!F3109</f>
      </c>
      <c r="E3104" s="20">
        <f>Разбивка_по_щитам!H3109</f>
      </c>
      <c r="F3104" s="20">
        <f>Разбивка_по_щитам!I3109</f>
      </c>
      <c r="G3104" s="20">
        <f>Разбивка_по_щитам!J3109</f>
      </c>
      <c r="H3104" s="20">
        <f>Разбивка_по_щитам!K3109</f>
      </c>
      <c r="I3104" s="20">
        <f>Разбивка_по_щитам!L3109</f>
      </c>
      <c r="J3104" s="20">
        <f>Разбивка_по_щитам!M3109</f>
      </c>
      <c r="K3104" s="20">
        <f>Разбивка_по_щитам!N3109</f>
      </c>
      <c r="L3104" s="20"/>
      <c r="M3104" s="20">
        <f>Разбивка_по_щитам!P3109</f>
      </c>
      <c r="N3104" s="20"/>
    </row>
    <row r="3105" spans="2:14" x14ac:dyDescent="0.25">
      <c r="B3105" s="20">
        <f>Разбивка_по_щитам!B3110</f>
      </c>
      <c r="C3105" s="20">
        <f>Разбивка_по_щитам!C3110</f>
      </c>
      <c r="D3105" s="20">
        <f>Разбивка_по_щитам!F3110</f>
      </c>
      <c r="E3105" s="20">
        <f>Разбивка_по_щитам!H3110</f>
      </c>
      <c r="F3105" s="20">
        <f>Разбивка_по_щитам!I3110</f>
      </c>
      <c r="G3105" s="20">
        <f>Разбивка_по_щитам!J3110</f>
      </c>
      <c r="H3105" s="20">
        <f>Разбивка_по_щитам!K3110</f>
      </c>
      <c r="I3105" s="20">
        <f>Разбивка_по_щитам!L3110</f>
      </c>
      <c r="J3105" s="20">
        <f>Разбивка_по_щитам!M3110</f>
      </c>
      <c r="K3105" s="20">
        <f>Разбивка_по_щитам!N3110</f>
      </c>
      <c r="L3105" s="20"/>
      <c r="M3105" s="20">
        <f>Разбивка_по_щитам!P3110</f>
      </c>
      <c r="N3105" s="20"/>
    </row>
    <row r="3106" spans="2:14" x14ac:dyDescent="0.25">
      <c r="B3106" s="20">
        <f>Разбивка_по_щитам!B3111</f>
      </c>
      <c r="C3106" s="20">
        <f>Разбивка_по_щитам!C3111</f>
      </c>
      <c r="D3106" s="20">
        <f>Разбивка_по_щитам!F3111</f>
      </c>
      <c r="E3106" s="20">
        <f>Разбивка_по_щитам!H3111</f>
      </c>
      <c r="F3106" s="20">
        <f>Разбивка_по_щитам!I3111</f>
      </c>
      <c r="G3106" s="20">
        <f>Разбивка_по_щитам!J3111</f>
      </c>
      <c r="H3106" s="20">
        <f>Разбивка_по_щитам!K3111</f>
      </c>
      <c r="I3106" s="20">
        <f>Разбивка_по_щитам!L3111</f>
      </c>
      <c r="J3106" s="20">
        <f>Разбивка_по_щитам!M3111</f>
      </c>
      <c r="K3106" s="20">
        <f>Разбивка_по_щитам!N3111</f>
      </c>
      <c r="L3106" s="20"/>
      <c r="M3106" s="20">
        <f>Разбивка_по_щитам!P3111</f>
      </c>
      <c r="N3106" s="20"/>
    </row>
    <row r="3107" spans="2:14" x14ac:dyDescent="0.25">
      <c r="B3107" s="20">
        <f>Разбивка_по_щитам!B3112</f>
      </c>
      <c r="C3107" s="20">
        <f>Разбивка_по_щитам!C3112</f>
      </c>
      <c r="D3107" s="20">
        <f>Разбивка_по_щитам!F3112</f>
      </c>
      <c r="E3107" s="20">
        <f>Разбивка_по_щитам!H3112</f>
      </c>
      <c r="F3107" s="20">
        <f>Разбивка_по_щитам!I3112</f>
      </c>
      <c r="G3107" s="20">
        <f>Разбивка_по_щитам!J3112</f>
      </c>
      <c r="H3107" s="20">
        <f>Разбивка_по_щитам!K3112</f>
      </c>
      <c r="I3107" s="20">
        <f>Разбивка_по_щитам!L3112</f>
      </c>
      <c r="J3107" s="20">
        <f>Разбивка_по_щитам!M3112</f>
      </c>
      <c r="K3107" s="20">
        <f>Разбивка_по_щитам!N3112</f>
      </c>
      <c r="L3107" s="20"/>
      <c r="M3107" s="20">
        <f>Разбивка_по_щитам!P3112</f>
      </c>
      <c r="N3107" s="20"/>
    </row>
    <row r="3108" spans="2:14" x14ac:dyDescent="0.25">
      <c r="B3108" s="20">
        <f>Разбивка_по_щитам!B3113</f>
      </c>
      <c r="C3108" s="20">
        <f>Разбивка_по_щитам!C3113</f>
      </c>
      <c r="D3108" s="20">
        <f>Разбивка_по_щитам!F3113</f>
      </c>
      <c r="E3108" s="20">
        <f>Разбивка_по_щитам!H3113</f>
      </c>
      <c r="F3108" s="20">
        <f>Разбивка_по_щитам!I3113</f>
      </c>
      <c r="G3108" s="20">
        <f>Разбивка_по_щитам!J3113</f>
      </c>
      <c r="H3108" s="20">
        <f>Разбивка_по_щитам!K3113</f>
      </c>
      <c r="I3108" s="20">
        <f>Разбивка_по_щитам!L3113</f>
      </c>
      <c r="J3108" s="20">
        <f>Разбивка_по_щитам!M3113</f>
      </c>
      <c r="K3108" s="20">
        <f>Разбивка_по_щитам!N3113</f>
      </c>
      <c r="L3108" s="20"/>
      <c r="M3108" s="20">
        <f>Разбивка_по_щитам!P3113</f>
      </c>
      <c r="N3108" s="20"/>
    </row>
    <row r="3109" spans="2:14" x14ac:dyDescent="0.25">
      <c r="B3109" s="20">
        <f>Разбивка_по_щитам!B3114</f>
      </c>
      <c r="C3109" s="20">
        <f>Разбивка_по_щитам!C3114</f>
      </c>
      <c r="D3109" s="20">
        <f>Разбивка_по_щитам!F3114</f>
      </c>
      <c r="E3109" s="20">
        <f>Разбивка_по_щитам!H3114</f>
      </c>
      <c r="F3109" s="20">
        <f>Разбивка_по_щитам!I3114</f>
      </c>
      <c r="G3109" s="20">
        <f>Разбивка_по_щитам!J3114</f>
      </c>
      <c r="H3109" s="20">
        <f>Разбивка_по_щитам!K3114</f>
      </c>
      <c r="I3109" s="20">
        <f>Разбивка_по_щитам!L3114</f>
      </c>
      <c r="J3109" s="20">
        <f>Разбивка_по_щитам!M3114</f>
      </c>
      <c r="K3109" s="20">
        <f>Разбивка_по_щитам!N3114</f>
      </c>
      <c r="L3109" s="20"/>
      <c r="M3109" s="20">
        <f>Разбивка_по_щитам!P3114</f>
      </c>
      <c r="N3109" s="20"/>
    </row>
    <row r="3110" spans="2:14" x14ac:dyDescent="0.25">
      <c r="B3110" s="20">
        <f>Разбивка_по_щитам!B3115</f>
      </c>
      <c r="C3110" s="20">
        <f>Разбивка_по_щитам!C3115</f>
      </c>
      <c r="D3110" s="20">
        <f>Разбивка_по_щитам!F3115</f>
      </c>
      <c r="E3110" s="20">
        <f>Разбивка_по_щитам!H3115</f>
      </c>
      <c r="F3110" s="20">
        <f>Разбивка_по_щитам!I3115</f>
      </c>
      <c r="G3110" s="20">
        <f>Разбивка_по_щитам!J3115</f>
      </c>
      <c r="H3110" s="20">
        <f>Разбивка_по_щитам!K3115</f>
      </c>
      <c r="I3110" s="20">
        <f>Разбивка_по_щитам!L3115</f>
      </c>
      <c r="J3110" s="20">
        <f>Разбивка_по_щитам!M3115</f>
      </c>
      <c r="K3110" s="20">
        <f>Разбивка_по_щитам!N3115</f>
      </c>
      <c r="L3110" s="20"/>
      <c r="M3110" s="20">
        <f>Разбивка_по_щитам!P3115</f>
      </c>
      <c r="N3110" s="20"/>
    </row>
    <row r="3111" spans="2:14" x14ac:dyDescent="0.25">
      <c r="B3111" s="20">
        <f>Разбивка_по_щитам!B3116</f>
      </c>
      <c r="C3111" s="20">
        <f>Разбивка_по_щитам!C3116</f>
      </c>
      <c r="D3111" s="20">
        <f>Разбивка_по_щитам!F3116</f>
      </c>
      <c r="E3111" s="20">
        <f>Разбивка_по_щитам!H3116</f>
      </c>
      <c r="F3111" s="20">
        <f>Разбивка_по_щитам!I3116</f>
      </c>
      <c r="G3111" s="20">
        <f>Разбивка_по_щитам!J3116</f>
      </c>
      <c r="H3111" s="20">
        <f>Разбивка_по_щитам!K3116</f>
      </c>
      <c r="I3111" s="20">
        <f>Разбивка_по_щитам!L3116</f>
      </c>
      <c r="J3111" s="20">
        <f>Разбивка_по_щитам!M3116</f>
      </c>
      <c r="K3111" s="20">
        <f>Разбивка_по_щитам!N3116</f>
      </c>
      <c r="L3111" s="20"/>
      <c r="M3111" s="20">
        <f>Разбивка_по_щитам!P3116</f>
      </c>
      <c r="N3111" s="20"/>
    </row>
    <row r="3112" spans="2:14" x14ac:dyDescent="0.25">
      <c r="B3112" s="20">
        <f>Разбивка_по_щитам!B3117</f>
      </c>
      <c r="C3112" s="20">
        <f>Разбивка_по_щитам!C3117</f>
      </c>
      <c r="D3112" s="20">
        <f>Разбивка_по_щитам!F3117</f>
      </c>
      <c r="E3112" s="20">
        <f>Разбивка_по_щитам!H3117</f>
      </c>
      <c r="F3112" s="20">
        <f>Разбивка_по_щитам!I3117</f>
      </c>
      <c r="G3112" s="20">
        <f>Разбивка_по_щитам!J3117</f>
      </c>
      <c r="H3112" s="20">
        <f>Разбивка_по_щитам!K3117</f>
      </c>
      <c r="I3112" s="20">
        <f>Разбивка_по_щитам!L3117</f>
      </c>
      <c r="J3112" s="20">
        <f>Разбивка_по_щитам!M3117</f>
      </c>
      <c r="K3112" s="20">
        <f>Разбивка_по_щитам!N3117</f>
      </c>
      <c r="L3112" s="20"/>
      <c r="M3112" s="20">
        <f>Разбивка_по_щитам!P3117</f>
      </c>
      <c r="N3112" s="20"/>
    </row>
    <row r="3113" spans="2:14" x14ac:dyDescent="0.25">
      <c r="B3113" s="20">
        <f>Разбивка_по_щитам!B3118</f>
      </c>
      <c r="C3113" s="20">
        <f>Разбивка_по_щитам!C3118</f>
      </c>
      <c r="D3113" s="20">
        <f>Разбивка_по_щитам!F3118</f>
      </c>
      <c r="E3113" s="20">
        <f>Разбивка_по_щитам!H3118</f>
      </c>
      <c r="F3113" s="20">
        <f>Разбивка_по_щитам!I3118</f>
      </c>
      <c r="G3113" s="20">
        <f>Разбивка_по_щитам!J3118</f>
      </c>
      <c r="H3113" s="20">
        <f>Разбивка_по_щитам!K3118</f>
      </c>
      <c r="I3113" s="20">
        <f>Разбивка_по_щитам!L3118</f>
      </c>
      <c r="J3113" s="20">
        <f>Разбивка_по_щитам!M3118</f>
      </c>
      <c r="K3113" s="20">
        <f>Разбивка_по_щитам!N3118</f>
      </c>
      <c r="L3113" s="20"/>
      <c r="M3113" s="20">
        <f>Разбивка_по_щитам!P3118</f>
      </c>
      <c r="N3113" s="20"/>
    </row>
    <row r="3114" spans="2:14" x14ac:dyDescent="0.25">
      <c r="B3114" s="20">
        <f>Разбивка_по_щитам!B3119</f>
      </c>
      <c r="C3114" s="20">
        <f>Разбивка_по_щитам!C3119</f>
      </c>
      <c r="D3114" s="20">
        <f>Разбивка_по_щитам!F3119</f>
      </c>
      <c r="E3114" s="20">
        <f>Разбивка_по_щитам!H3119</f>
      </c>
      <c r="F3114" s="20">
        <f>Разбивка_по_щитам!I3119</f>
      </c>
      <c r="G3114" s="20">
        <f>Разбивка_по_щитам!J3119</f>
      </c>
      <c r="H3114" s="20">
        <f>Разбивка_по_щитам!K3119</f>
      </c>
      <c r="I3114" s="20">
        <f>Разбивка_по_щитам!L3119</f>
      </c>
      <c r="J3114" s="20">
        <f>Разбивка_по_щитам!M3119</f>
      </c>
      <c r="K3114" s="20">
        <f>Разбивка_по_щитам!N3119</f>
      </c>
      <c r="L3114" s="20"/>
      <c r="M3114" s="20">
        <f>Разбивка_по_щитам!P3119</f>
      </c>
      <c r="N3114" s="20"/>
    </row>
    <row r="3115" spans="2:14" x14ac:dyDescent="0.25">
      <c r="B3115" s="20">
        <f>Разбивка_по_щитам!B3120</f>
      </c>
      <c r="C3115" s="20">
        <f>Разбивка_по_щитам!C3120</f>
      </c>
      <c r="D3115" s="20">
        <f>Разбивка_по_щитам!F3120</f>
      </c>
      <c r="E3115" s="20">
        <f>Разбивка_по_щитам!H3120</f>
      </c>
      <c r="F3115" s="20">
        <f>Разбивка_по_щитам!I3120</f>
      </c>
      <c r="G3115" s="20">
        <f>Разбивка_по_щитам!J3120</f>
      </c>
      <c r="H3115" s="20">
        <f>Разбивка_по_щитам!K3120</f>
      </c>
      <c r="I3115" s="20">
        <f>Разбивка_по_щитам!L3120</f>
      </c>
      <c r="J3115" s="20">
        <f>Разбивка_по_щитам!M3120</f>
      </c>
      <c r="K3115" s="20">
        <f>Разбивка_по_щитам!N3120</f>
      </c>
      <c r="L3115" s="20"/>
      <c r="M3115" s="20">
        <f>Разбивка_по_щитам!P3120</f>
      </c>
      <c r="N3115" s="20"/>
    </row>
    <row r="3116" spans="2:14" x14ac:dyDescent="0.25">
      <c r="B3116" s="20">
        <f>Разбивка_по_щитам!B3121</f>
      </c>
      <c r="C3116" s="20">
        <f>Разбивка_по_щитам!C3121</f>
      </c>
      <c r="D3116" s="20">
        <f>Разбивка_по_щитам!F3121</f>
      </c>
      <c r="E3116" s="20">
        <f>Разбивка_по_щитам!H3121</f>
      </c>
      <c r="F3116" s="20">
        <f>Разбивка_по_щитам!I3121</f>
      </c>
      <c r="G3116" s="20">
        <f>Разбивка_по_щитам!J3121</f>
      </c>
      <c r="H3116" s="20">
        <f>Разбивка_по_щитам!K3121</f>
      </c>
      <c r="I3116" s="20">
        <f>Разбивка_по_щитам!L3121</f>
      </c>
      <c r="J3116" s="20">
        <f>Разбивка_по_щитам!M3121</f>
      </c>
      <c r="K3116" s="20">
        <f>Разбивка_по_щитам!N3121</f>
      </c>
      <c r="L3116" s="20"/>
      <c r="M3116" s="20">
        <f>Разбивка_по_щитам!P3121</f>
      </c>
      <c r="N3116" s="20"/>
    </row>
    <row r="3117" spans="2:14" x14ac:dyDescent="0.25">
      <c r="B3117" s="20">
        <f>Разбивка_по_щитам!B3122</f>
      </c>
      <c r="C3117" s="20">
        <f>Разбивка_по_щитам!C3122</f>
      </c>
      <c r="D3117" s="20">
        <f>Разбивка_по_щитам!F3122</f>
      </c>
      <c r="E3117" s="20">
        <f>Разбивка_по_щитам!H3122</f>
      </c>
      <c r="F3117" s="20">
        <f>Разбивка_по_щитам!I3122</f>
      </c>
      <c r="G3117" s="20">
        <f>Разбивка_по_щитам!J3122</f>
      </c>
      <c r="H3117" s="20">
        <f>Разбивка_по_щитам!K3122</f>
      </c>
      <c r="I3117" s="20">
        <f>Разбивка_по_щитам!L3122</f>
      </c>
      <c r="J3117" s="20">
        <f>Разбивка_по_щитам!M3122</f>
      </c>
      <c r="K3117" s="20">
        <f>Разбивка_по_щитам!N3122</f>
      </c>
      <c r="L3117" s="20"/>
      <c r="M3117" s="20">
        <f>Разбивка_по_щитам!P3122</f>
      </c>
      <c r="N3117" s="20"/>
    </row>
    <row r="3118" spans="2:14" x14ac:dyDescent="0.25">
      <c r="B3118" s="20">
        <f>Разбивка_по_щитам!B3123</f>
      </c>
      <c r="C3118" s="20">
        <f>Разбивка_по_щитам!C3123</f>
      </c>
      <c r="D3118" s="20">
        <f>Разбивка_по_щитам!F3123</f>
      </c>
      <c r="E3118" s="20">
        <f>Разбивка_по_щитам!H3123</f>
      </c>
      <c r="F3118" s="20">
        <f>Разбивка_по_щитам!I3123</f>
      </c>
      <c r="G3118" s="20">
        <f>Разбивка_по_щитам!J3123</f>
      </c>
      <c r="H3118" s="20">
        <f>Разбивка_по_щитам!K3123</f>
      </c>
      <c r="I3118" s="20">
        <f>Разбивка_по_щитам!L3123</f>
      </c>
      <c r="J3118" s="20">
        <f>Разбивка_по_щитам!M3123</f>
      </c>
      <c r="K3118" s="20">
        <f>Разбивка_по_щитам!N3123</f>
      </c>
      <c r="L3118" s="20"/>
      <c r="M3118" s="20">
        <f>Разбивка_по_щитам!P3123</f>
      </c>
      <c r="N3118" s="20"/>
    </row>
    <row r="3119" spans="2:14" x14ac:dyDescent="0.25">
      <c r="B3119" s="20">
        <f>Разбивка_по_щитам!B3124</f>
      </c>
      <c r="C3119" s="20">
        <f>Разбивка_по_щитам!C3124</f>
      </c>
      <c r="D3119" s="20">
        <f>Разбивка_по_щитам!F3124</f>
      </c>
      <c r="E3119" s="20">
        <f>Разбивка_по_щитам!H3124</f>
      </c>
      <c r="F3119" s="20">
        <f>Разбивка_по_щитам!I3124</f>
      </c>
      <c r="G3119" s="20">
        <f>Разбивка_по_щитам!J3124</f>
      </c>
      <c r="H3119" s="20">
        <f>Разбивка_по_щитам!K3124</f>
      </c>
      <c r="I3119" s="20">
        <f>Разбивка_по_щитам!L3124</f>
      </c>
      <c r="J3119" s="20">
        <f>Разбивка_по_щитам!M3124</f>
      </c>
      <c r="K3119" s="20">
        <f>Разбивка_по_щитам!N3124</f>
      </c>
      <c r="L3119" s="20"/>
      <c r="M3119" s="20">
        <f>Разбивка_по_щитам!P3124</f>
      </c>
      <c r="N3119" s="20"/>
    </row>
    <row r="3120" spans="2:14" x14ac:dyDescent="0.25">
      <c r="B3120" s="20">
        <f>Разбивка_по_щитам!B3125</f>
      </c>
      <c r="C3120" s="20">
        <f>Разбивка_по_щитам!C3125</f>
      </c>
      <c r="D3120" s="20">
        <f>Разбивка_по_щитам!F3125</f>
      </c>
      <c r="E3120" s="20">
        <f>Разбивка_по_щитам!H3125</f>
      </c>
      <c r="F3120" s="20">
        <f>Разбивка_по_щитам!I3125</f>
      </c>
      <c r="G3120" s="20">
        <f>Разбивка_по_щитам!J3125</f>
      </c>
      <c r="H3120" s="20">
        <f>Разбивка_по_щитам!K3125</f>
      </c>
      <c r="I3120" s="20">
        <f>Разбивка_по_щитам!L3125</f>
      </c>
      <c r="J3120" s="20">
        <f>Разбивка_по_щитам!M3125</f>
      </c>
      <c r="K3120" s="20">
        <f>Разбивка_по_щитам!N3125</f>
      </c>
      <c r="L3120" s="20"/>
      <c r="M3120" s="20">
        <f>Разбивка_по_щитам!P3125</f>
      </c>
      <c r="N3120" s="20"/>
    </row>
    <row r="3121" spans="2:14" x14ac:dyDescent="0.25">
      <c r="B3121" s="20">
        <f>Разбивка_по_щитам!B3126</f>
      </c>
      <c r="C3121" s="20">
        <f>Разбивка_по_щитам!C3126</f>
      </c>
      <c r="D3121" s="20">
        <f>Разбивка_по_щитам!F3126</f>
      </c>
      <c r="E3121" s="20">
        <f>Разбивка_по_щитам!H3126</f>
      </c>
      <c r="F3121" s="20">
        <f>Разбивка_по_щитам!I3126</f>
      </c>
      <c r="G3121" s="20">
        <f>Разбивка_по_щитам!J3126</f>
      </c>
      <c r="H3121" s="20">
        <f>Разбивка_по_щитам!K3126</f>
      </c>
      <c r="I3121" s="20">
        <f>Разбивка_по_щитам!L3126</f>
      </c>
      <c r="J3121" s="20">
        <f>Разбивка_по_щитам!M3126</f>
      </c>
      <c r="K3121" s="20">
        <f>Разбивка_по_щитам!N3126</f>
      </c>
      <c r="L3121" s="20"/>
      <c r="M3121" s="20">
        <f>Разбивка_по_щитам!P3126</f>
      </c>
      <c r="N3121" s="20"/>
    </row>
    <row r="3122" spans="2:14" x14ac:dyDescent="0.25">
      <c r="B3122" s="20">
        <f>Разбивка_по_щитам!B3127</f>
      </c>
      <c r="C3122" s="20">
        <f>Разбивка_по_щитам!C3127</f>
      </c>
      <c r="D3122" s="20">
        <f>Разбивка_по_щитам!F3127</f>
      </c>
      <c r="E3122" s="20">
        <f>Разбивка_по_щитам!H3127</f>
      </c>
      <c r="F3122" s="20">
        <f>Разбивка_по_щитам!I3127</f>
      </c>
      <c r="G3122" s="20">
        <f>Разбивка_по_щитам!J3127</f>
      </c>
      <c r="H3122" s="20">
        <f>Разбивка_по_щитам!K3127</f>
      </c>
      <c r="I3122" s="20">
        <f>Разбивка_по_щитам!L3127</f>
      </c>
      <c r="J3122" s="20">
        <f>Разбивка_по_щитам!M3127</f>
      </c>
      <c r="K3122" s="20">
        <f>Разбивка_по_щитам!N3127</f>
      </c>
      <c r="L3122" s="20"/>
      <c r="M3122" s="20">
        <f>Разбивка_по_щитам!P3127</f>
      </c>
      <c r="N3122" s="20"/>
    </row>
    <row r="3123" spans="2:14" x14ac:dyDescent="0.25">
      <c r="B3123" s="20">
        <f>Разбивка_по_щитам!B3128</f>
      </c>
      <c r="C3123" s="20">
        <f>Разбивка_по_щитам!C3128</f>
      </c>
      <c r="D3123" s="20">
        <f>Разбивка_по_щитам!F3128</f>
      </c>
      <c r="E3123" s="20">
        <f>Разбивка_по_щитам!H3128</f>
      </c>
      <c r="F3123" s="20">
        <f>Разбивка_по_щитам!I3128</f>
      </c>
      <c r="G3123" s="20">
        <f>Разбивка_по_щитам!J3128</f>
      </c>
      <c r="H3123" s="20">
        <f>Разбивка_по_щитам!K3128</f>
      </c>
      <c r="I3123" s="20">
        <f>Разбивка_по_щитам!L3128</f>
      </c>
      <c r="J3123" s="20">
        <f>Разбивка_по_щитам!M3128</f>
      </c>
      <c r="K3123" s="20">
        <f>Разбивка_по_щитам!N3128</f>
      </c>
      <c r="L3123" s="20"/>
      <c r="M3123" s="20">
        <f>Разбивка_по_щитам!P3128</f>
      </c>
      <c r="N3123" s="20"/>
    </row>
    <row r="3124" spans="2:14" x14ac:dyDescent="0.25">
      <c r="B3124" s="20">
        <f>Разбивка_по_щитам!B3129</f>
      </c>
      <c r="C3124" s="20">
        <f>Разбивка_по_щитам!C3129</f>
      </c>
      <c r="D3124" s="20">
        <f>Разбивка_по_щитам!F3129</f>
      </c>
      <c r="E3124" s="20">
        <f>Разбивка_по_щитам!H3129</f>
      </c>
      <c r="F3124" s="20">
        <f>Разбивка_по_щитам!I3129</f>
      </c>
      <c r="G3124" s="20">
        <f>Разбивка_по_щитам!J3129</f>
      </c>
      <c r="H3124" s="20">
        <f>Разбивка_по_щитам!K3129</f>
      </c>
      <c r="I3124" s="20">
        <f>Разбивка_по_щитам!L3129</f>
      </c>
      <c r="J3124" s="20">
        <f>Разбивка_по_щитам!M3129</f>
      </c>
      <c r="K3124" s="20">
        <f>Разбивка_по_щитам!N3129</f>
      </c>
      <c r="L3124" s="20"/>
      <c r="M3124" s="20">
        <f>Разбивка_по_щитам!P3129</f>
      </c>
      <c r="N3124" s="20"/>
    </row>
    <row r="3125" spans="2:14" x14ac:dyDescent="0.25">
      <c r="B3125" s="20">
        <f>Разбивка_по_щитам!B3130</f>
      </c>
      <c r="C3125" s="20">
        <f>Разбивка_по_щитам!C3130</f>
      </c>
      <c r="D3125" s="20">
        <f>Разбивка_по_щитам!F3130</f>
      </c>
      <c r="E3125" s="20">
        <f>Разбивка_по_щитам!H3130</f>
      </c>
      <c r="F3125" s="20">
        <f>Разбивка_по_щитам!I3130</f>
      </c>
      <c r="G3125" s="20">
        <f>Разбивка_по_щитам!J3130</f>
      </c>
      <c r="H3125" s="20">
        <f>Разбивка_по_щитам!K3130</f>
      </c>
      <c r="I3125" s="20">
        <f>Разбивка_по_щитам!L3130</f>
      </c>
      <c r="J3125" s="20">
        <f>Разбивка_по_щитам!M3130</f>
      </c>
      <c r="K3125" s="20">
        <f>Разбивка_по_щитам!N3130</f>
      </c>
      <c r="L3125" s="20"/>
      <c r="M3125" s="20">
        <f>Разбивка_по_щитам!P3130</f>
      </c>
      <c r="N3125" s="20"/>
    </row>
    <row r="3126" spans="2:14" x14ac:dyDescent="0.25">
      <c r="B3126" s="20">
        <f>Разбивка_по_щитам!B3131</f>
      </c>
      <c r="C3126" s="20">
        <f>Разбивка_по_щитам!C3131</f>
      </c>
      <c r="D3126" s="20">
        <f>Разбивка_по_щитам!F3131</f>
      </c>
      <c r="E3126" s="20">
        <f>Разбивка_по_щитам!H3131</f>
      </c>
      <c r="F3126" s="20">
        <f>Разбивка_по_щитам!I3131</f>
      </c>
      <c r="G3126" s="20">
        <f>Разбивка_по_щитам!J3131</f>
      </c>
      <c r="H3126" s="20">
        <f>Разбивка_по_щитам!K3131</f>
      </c>
      <c r="I3126" s="20">
        <f>Разбивка_по_щитам!L3131</f>
      </c>
      <c r="J3126" s="20">
        <f>Разбивка_по_щитам!M3131</f>
      </c>
      <c r="K3126" s="20">
        <f>Разбивка_по_щитам!N3131</f>
      </c>
      <c r="L3126" s="20"/>
      <c r="M3126" s="20">
        <f>Разбивка_по_щитам!P3131</f>
      </c>
      <c r="N3126" s="20"/>
    </row>
    <row r="3127" spans="2:14" x14ac:dyDescent="0.25">
      <c r="B3127" s="20">
        <f>Разбивка_по_щитам!B3132</f>
      </c>
      <c r="C3127" s="20">
        <f>Разбивка_по_щитам!C3132</f>
      </c>
      <c r="D3127" s="20">
        <f>Разбивка_по_щитам!F3132</f>
      </c>
      <c r="E3127" s="20">
        <f>Разбивка_по_щитам!H3132</f>
      </c>
      <c r="F3127" s="20">
        <f>Разбивка_по_щитам!I3132</f>
      </c>
      <c r="G3127" s="20">
        <f>Разбивка_по_щитам!J3132</f>
      </c>
      <c r="H3127" s="20">
        <f>Разбивка_по_щитам!K3132</f>
      </c>
      <c r="I3127" s="20">
        <f>Разбивка_по_щитам!L3132</f>
      </c>
      <c r="J3127" s="20">
        <f>Разбивка_по_щитам!M3132</f>
      </c>
      <c r="K3127" s="20">
        <f>Разбивка_по_щитам!N3132</f>
      </c>
      <c r="L3127" s="20"/>
      <c r="M3127" s="20">
        <f>Разбивка_по_щитам!P3132</f>
      </c>
      <c r="N3127" s="20"/>
    </row>
    <row r="3128" spans="2:14" x14ac:dyDescent="0.25">
      <c r="B3128" s="20">
        <f>Разбивка_по_щитам!B3133</f>
      </c>
      <c r="C3128" s="20">
        <f>Разбивка_по_щитам!C3133</f>
      </c>
      <c r="D3128" s="20">
        <f>Разбивка_по_щитам!F3133</f>
      </c>
      <c r="E3128" s="20">
        <f>Разбивка_по_щитам!H3133</f>
      </c>
      <c r="F3128" s="20">
        <f>Разбивка_по_щитам!I3133</f>
      </c>
      <c r="G3128" s="20">
        <f>Разбивка_по_щитам!J3133</f>
      </c>
      <c r="H3128" s="20">
        <f>Разбивка_по_щитам!K3133</f>
      </c>
      <c r="I3128" s="20">
        <f>Разбивка_по_щитам!L3133</f>
      </c>
      <c r="J3128" s="20">
        <f>Разбивка_по_щитам!M3133</f>
      </c>
      <c r="K3128" s="20">
        <f>Разбивка_по_щитам!N3133</f>
      </c>
      <c r="L3128" s="20"/>
      <c r="M3128" s="20">
        <f>Разбивка_по_щитам!P3133</f>
      </c>
      <c r="N3128" s="20"/>
    </row>
    <row r="3129" spans="2:14" x14ac:dyDescent="0.25">
      <c r="B3129" s="20">
        <f>Разбивка_по_щитам!B3134</f>
      </c>
      <c r="C3129" s="20">
        <f>Разбивка_по_щитам!C3134</f>
      </c>
      <c r="D3129" s="20">
        <f>Разбивка_по_щитам!F3134</f>
      </c>
      <c r="E3129" s="20">
        <f>Разбивка_по_щитам!H3134</f>
      </c>
      <c r="F3129" s="20">
        <f>Разбивка_по_щитам!I3134</f>
      </c>
      <c r="G3129" s="20">
        <f>Разбивка_по_щитам!J3134</f>
      </c>
      <c r="H3129" s="20">
        <f>Разбивка_по_щитам!K3134</f>
      </c>
      <c r="I3129" s="20">
        <f>Разбивка_по_щитам!L3134</f>
      </c>
      <c r="J3129" s="20">
        <f>Разбивка_по_щитам!M3134</f>
      </c>
      <c r="K3129" s="20">
        <f>Разбивка_по_щитам!N3134</f>
      </c>
      <c r="L3129" s="20"/>
      <c r="M3129" s="20">
        <f>Разбивка_по_щитам!P3134</f>
      </c>
      <c r="N3129" s="20"/>
    </row>
    <row r="3130" spans="2:14" x14ac:dyDescent="0.25">
      <c r="B3130" s="20">
        <f>Разбивка_по_щитам!B3135</f>
      </c>
      <c r="C3130" s="20">
        <f>Разбивка_по_щитам!C3135</f>
      </c>
      <c r="D3130" s="20">
        <f>Разбивка_по_щитам!F3135</f>
      </c>
      <c r="E3130" s="20">
        <f>Разбивка_по_щитам!H3135</f>
      </c>
      <c r="F3130" s="20">
        <f>Разбивка_по_щитам!I3135</f>
      </c>
      <c r="G3130" s="20">
        <f>Разбивка_по_щитам!J3135</f>
      </c>
      <c r="H3130" s="20">
        <f>Разбивка_по_щитам!K3135</f>
      </c>
      <c r="I3130" s="20">
        <f>Разбивка_по_щитам!L3135</f>
      </c>
      <c r="J3130" s="20">
        <f>Разбивка_по_щитам!M3135</f>
      </c>
      <c r="K3130" s="20">
        <f>Разбивка_по_щитам!N3135</f>
      </c>
      <c r="L3130" s="20"/>
      <c r="M3130" s="20">
        <f>Разбивка_по_щитам!P3135</f>
      </c>
      <c r="N3130" s="20"/>
    </row>
    <row r="3131" spans="2:14" x14ac:dyDescent="0.25">
      <c r="B3131" s="20">
        <f>Разбивка_по_щитам!B3136</f>
      </c>
      <c r="C3131" s="20">
        <f>Разбивка_по_щитам!C3136</f>
      </c>
      <c r="D3131" s="20">
        <f>Разбивка_по_щитам!F3136</f>
      </c>
      <c r="E3131" s="20">
        <f>Разбивка_по_щитам!H3136</f>
      </c>
      <c r="F3131" s="20">
        <f>Разбивка_по_щитам!I3136</f>
      </c>
      <c r="G3131" s="20">
        <f>Разбивка_по_щитам!J3136</f>
      </c>
      <c r="H3131" s="20">
        <f>Разбивка_по_щитам!K3136</f>
      </c>
      <c r="I3131" s="20">
        <f>Разбивка_по_щитам!L3136</f>
      </c>
      <c r="J3131" s="20">
        <f>Разбивка_по_щитам!M3136</f>
      </c>
      <c r="K3131" s="20">
        <f>Разбивка_по_щитам!N3136</f>
      </c>
      <c r="L3131" s="20"/>
      <c r="M3131" s="20">
        <f>Разбивка_по_щитам!P3136</f>
      </c>
      <c r="N3131" s="20"/>
    </row>
    <row r="3132" spans="2:14" x14ac:dyDescent="0.25">
      <c r="B3132" s="20">
        <f>Разбивка_по_щитам!B3137</f>
      </c>
      <c r="C3132" s="20">
        <f>Разбивка_по_щитам!C3137</f>
      </c>
      <c r="D3132" s="20">
        <f>Разбивка_по_щитам!F3137</f>
      </c>
      <c r="E3132" s="20">
        <f>Разбивка_по_щитам!H3137</f>
      </c>
      <c r="F3132" s="20">
        <f>Разбивка_по_щитам!I3137</f>
      </c>
      <c r="G3132" s="20">
        <f>Разбивка_по_щитам!J3137</f>
      </c>
      <c r="H3132" s="20">
        <f>Разбивка_по_щитам!K3137</f>
      </c>
      <c r="I3132" s="20">
        <f>Разбивка_по_щитам!L3137</f>
      </c>
      <c r="J3132" s="20">
        <f>Разбивка_по_щитам!M3137</f>
      </c>
      <c r="K3132" s="20">
        <f>Разбивка_по_щитам!N3137</f>
      </c>
      <c r="L3132" s="20"/>
      <c r="M3132" s="20">
        <f>Разбивка_по_щитам!P3137</f>
      </c>
      <c r="N3132" s="20"/>
    </row>
    <row r="3133" spans="2:14" x14ac:dyDescent="0.25">
      <c r="B3133" s="20">
        <f>Разбивка_по_щитам!B3138</f>
      </c>
      <c r="C3133" s="20">
        <f>Разбивка_по_щитам!C3138</f>
      </c>
      <c r="D3133" s="20">
        <f>Разбивка_по_щитам!F3138</f>
      </c>
      <c r="E3133" s="20">
        <f>Разбивка_по_щитам!H3138</f>
      </c>
      <c r="F3133" s="20">
        <f>Разбивка_по_щитам!I3138</f>
      </c>
      <c r="G3133" s="20">
        <f>Разбивка_по_щитам!J3138</f>
      </c>
      <c r="H3133" s="20">
        <f>Разбивка_по_щитам!K3138</f>
      </c>
      <c r="I3133" s="20">
        <f>Разбивка_по_щитам!L3138</f>
      </c>
      <c r="J3133" s="20">
        <f>Разбивка_по_щитам!M3138</f>
      </c>
      <c r="K3133" s="20">
        <f>Разбивка_по_щитам!N3138</f>
      </c>
      <c r="L3133" s="20"/>
      <c r="M3133" s="20">
        <f>Разбивка_по_щитам!P3138</f>
      </c>
      <c r="N3133" s="20"/>
    </row>
    <row r="3134" spans="2:14" x14ac:dyDescent="0.25">
      <c r="B3134" s="20">
        <f>Разбивка_по_щитам!B3139</f>
      </c>
      <c r="C3134" s="20">
        <f>Разбивка_по_щитам!C3139</f>
      </c>
      <c r="D3134" s="20">
        <f>Разбивка_по_щитам!F3139</f>
      </c>
      <c r="E3134" s="20">
        <f>Разбивка_по_щитам!H3139</f>
      </c>
      <c r="F3134" s="20">
        <f>Разбивка_по_щитам!I3139</f>
      </c>
      <c r="G3134" s="20">
        <f>Разбивка_по_щитам!J3139</f>
      </c>
      <c r="H3134" s="20">
        <f>Разбивка_по_щитам!K3139</f>
      </c>
      <c r="I3134" s="20">
        <f>Разбивка_по_щитам!L3139</f>
      </c>
      <c r="J3134" s="20">
        <f>Разбивка_по_щитам!M3139</f>
      </c>
      <c r="K3134" s="20">
        <f>Разбивка_по_щитам!N3139</f>
      </c>
      <c r="L3134" s="20"/>
      <c r="M3134" s="20">
        <f>Разбивка_по_щитам!P3139</f>
      </c>
      <c r="N3134" s="20"/>
    </row>
    <row r="3135" spans="2:14" x14ac:dyDescent="0.25">
      <c r="B3135" s="20">
        <f>Разбивка_по_щитам!B3140</f>
      </c>
      <c r="C3135" s="20">
        <f>Разбивка_по_щитам!C3140</f>
      </c>
      <c r="D3135" s="20">
        <f>Разбивка_по_щитам!F3140</f>
      </c>
      <c r="E3135" s="20">
        <f>Разбивка_по_щитам!H3140</f>
      </c>
      <c r="F3135" s="20">
        <f>Разбивка_по_щитам!I3140</f>
      </c>
      <c r="G3135" s="20">
        <f>Разбивка_по_щитам!J3140</f>
      </c>
      <c r="H3135" s="20">
        <f>Разбивка_по_щитам!K3140</f>
      </c>
      <c r="I3135" s="20">
        <f>Разбивка_по_щитам!L3140</f>
      </c>
      <c r="J3135" s="20">
        <f>Разбивка_по_щитам!M3140</f>
      </c>
      <c r="K3135" s="20">
        <f>Разбивка_по_щитам!N3140</f>
      </c>
      <c r="L3135" s="20"/>
      <c r="M3135" s="20">
        <f>Разбивка_по_щитам!P3140</f>
      </c>
      <c r="N3135" s="20"/>
    </row>
    <row r="3136" spans="2:14" x14ac:dyDescent="0.25">
      <c r="B3136" s="20">
        <f>Разбивка_по_щитам!B3141</f>
      </c>
      <c r="C3136" s="20">
        <f>Разбивка_по_щитам!C3141</f>
      </c>
      <c r="D3136" s="20">
        <f>Разбивка_по_щитам!F3141</f>
      </c>
      <c r="E3136" s="20">
        <f>Разбивка_по_щитам!H3141</f>
      </c>
      <c r="F3136" s="20">
        <f>Разбивка_по_щитам!I3141</f>
      </c>
      <c r="G3136" s="20">
        <f>Разбивка_по_щитам!J3141</f>
      </c>
      <c r="H3136" s="20">
        <f>Разбивка_по_щитам!K3141</f>
      </c>
      <c r="I3136" s="20">
        <f>Разбивка_по_щитам!L3141</f>
      </c>
      <c r="J3136" s="20">
        <f>Разбивка_по_щитам!M3141</f>
      </c>
      <c r="K3136" s="20">
        <f>Разбивка_по_щитам!N3141</f>
      </c>
      <c r="L3136" s="20"/>
      <c r="M3136" s="20">
        <f>Разбивка_по_щитам!P3141</f>
      </c>
      <c r="N3136" s="20"/>
    </row>
    <row r="3137" spans="2:14" x14ac:dyDescent="0.25">
      <c r="B3137" s="20">
        <f>Разбивка_по_щитам!B3142</f>
      </c>
      <c r="C3137" s="20">
        <f>Разбивка_по_щитам!C3142</f>
      </c>
      <c r="D3137" s="20">
        <f>Разбивка_по_щитам!F3142</f>
      </c>
      <c r="E3137" s="20">
        <f>Разбивка_по_щитам!H3142</f>
      </c>
      <c r="F3137" s="20">
        <f>Разбивка_по_щитам!I3142</f>
      </c>
      <c r="G3137" s="20">
        <f>Разбивка_по_щитам!J3142</f>
      </c>
      <c r="H3137" s="20">
        <f>Разбивка_по_щитам!K3142</f>
      </c>
      <c r="I3137" s="20">
        <f>Разбивка_по_щитам!L3142</f>
      </c>
      <c r="J3137" s="20">
        <f>Разбивка_по_щитам!M3142</f>
      </c>
      <c r="K3137" s="20">
        <f>Разбивка_по_щитам!N3142</f>
      </c>
      <c r="L3137" s="20"/>
      <c r="M3137" s="20">
        <f>Разбивка_по_щитам!P3142</f>
      </c>
      <c r="N3137" s="20"/>
    </row>
    <row r="3138" spans="2:14" x14ac:dyDescent="0.25">
      <c r="B3138" s="20">
        <f>Разбивка_по_щитам!B3143</f>
      </c>
      <c r="C3138" s="20">
        <f>Разбивка_по_щитам!C3143</f>
      </c>
      <c r="D3138" s="20">
        <f>Разбивка_по_щитам!F3143</f>
      </c>
      <c r="E3138" s="20">
        <f>Разбивка_по_щитам!H3143</f>
      </c>
      <c r="F3138" s="20">
        <f>Разбивка_по_щитам!I3143</f>
      </c>
      <c r="G3138" s="20">
        <f>Разбивка_по_щитам!J3143</f>
      </c>
      <c r="H3138" s="20">
        <f>Разбивка_по_щитам!K3143</f>
      </c>
      <c r="I3138" s="20">
        <f>Разбивка_по_щитам!L3143</f>
      </c>
      <c r="J3138" s="20">
        <f>Разбивка_по_щитам!M3143</f>
      </c>
      <c r="K3138" s="20">
        <f>Разбивка_по_щитам!N3143</f>
      </c>
      <c r="L3138" s="20"/>
      <c r="M3138" s="20">
        <f>Разбивка_по_щитам!P3143</f>
      </c>
      <c r="N3138" s="20"/>
    </row>
    <row r="3139" spans="2:14" x14ac:dyDescent="0.25">
      <c r="B3139" s="20">
        <f>Разбивка_по_щитам!B3144</f>
      </c>
      <c r="C3139" s="20">
        <f>Разбивка_по_щитам!C3144</f>
      </c>
      <c r="D3139" s="20">
        <f>Разбивка_по_щитам!F3144</f>
      </c>
      <c r="E3139" s="20">
        <f>Разбивка_по_щитам!H3144</f>
      </c>
      <c r="F3139" s="20">
        <f>Разбивка_по_щитам!I3144</f>
      </c>
      <c r="G3139" s="20">
        <f>Разбивка_по_щитам!J3144</f>
      </c>
      <c r="H3139" s="20">
        <f>Разбивка_по_щитам!K3144</f>
      </c>
      <c r="I3139" s="20">
        <f>Разбивка_по_щитам!L3144</f>
      </c>
      <c r="J3139" s="20">
        <f>Разбивка_по_щитам!M3144</f>
      </c>
      <c r="K3139" s="20">
        <f>Разбивка_по_щитам!N3144</f>
      </c>
      <c r="L3139" s="20"/>
      <c r="M3139" s="20">
        <f>Разбивка_по_щитам!P3144</f>
      </c>
      <c r="N3139" s="20"/>
    </row>
    <row r="3140" spans="2:14" x14ac:dyDescent="0.25">
      <c r="B3140" s="20">
        <f>Разбивка_по_щитам!B3145</f>
      </c>
      <c r="C3140" s="20">
        <f>Разбивка_по_щитам!C3145</f>
      </c>
      <c r="D3140" s="20">
        <f>Разбивка_по_щитам!F3145</f>
      </c>
      <c r="E3140" s="20">
        <f>Разбивка_по_щитам!H3145</f>
      </c>
      <c r="F3140" s="20">
        <f>Разбивка_по_щитам!I3145</f>
      </c>
      <c r="G3140" s="20">
        <f>Разбивка_по_щитам!J3145</f>
      </c>
      <c r="H3140" s="20">
        <f>Разбивка_по_щитам!K3145</f>
      </c>
      <c r="I3140" s="20">
        <f>Разбивка_по_щитам!L3145</f>
      </c>
      <c r="J3140" s="20">
        <f>Разбивка_по_щитам!M3145</f>
      </c>
      <c r="K3140" s="20">
        <f>Разбивка_по_щитам!N3145</f>
      </c>
      <c r="L3140" s="20"/>
      <c r="M3140" s="20">
        <f>Разбивка_по_щитам!P3145</f>
      </c>
      <c r="N3140" s="20"/>
    </row>
    <row r="3141" spans="2:14" x14ac:dyDescent="0.25">
      <c r="B3141" s="20">
        <f>Разбивка_по_щитам!B3146</f>
      </c>
      <c r="C3141" s="20">
        <f>Разбивка_по_щитам!C3146</f>
      </c>
      <c r="D3141" s="20">
        <f>Разбивка_по_щитам!F3146</f>
      </c>
      <c r="E3141" s="20">
        <f>Разбивка_по_щитам!H3146</f>
      </c>
      <c r="F3141" s="20">
        <f>Разбивка_по_щитам!I3146</f>
      </c>
      <c r="G3141" s="20">
        <f>Разбивка_по_щитам!J3146</f>
      </c>
      <c r="H3141" s="20">
        <f>Разбивка_по_щитам!K3146</f>
      </c>
      <c r="I3141" s="20">
        <f>Разбивка_по_щитам!L3146</f>
      </c>
      <c r="J3141" s="20">
        <f>Разбивка_по_щитам!M3146</f>
      </c>
      <c r="K3141" s="20">
        <f>Разбивка_по_щитам!N3146</f>
      </c>
      <c r="L3141" s="20"/>
      <c r="M3141" s="20">
        <f>Разбивка_по_щитам!P3146</f>
      </c>
      <c r="N3141" s="20"/>
    </row>
    <row r="3142" spans="2:14" x14ac:dyDescent="0.25">
      <c r="B3142" s="20">
        <f>Разбивка_по_щитам!B3147</f>
      </c>
      <c r="C3142" s="20">
        <f>Разбивка_по_щитам!C3147</f>
      </c>
      <c r="D3142" s="20">
        <f>Разбивка_по_щитам!F3147</f>
      </c>
      <c r="E3142" s="20">
        <f>Разбивка_по_щитам!H3147</f>
      </c>
      <c r="F3142" s="20">
        <f>Разбивка_по_щитам!I3147</f>
      </c>
      <c r="G3142" s="20">
        <f>Разбивка_по_щитам!J3147</f>
      </c>
      <c r="H3142" s="20">
        <f>Разбивка_по_щитам!K3147</f>
      </c>
      <c r="I3142" s="20">
        <f>Разбивка_по_щитам!L3147</f>
      </c>
      <c r="J3142" s="20">
        <f>Разбивка_по_щитам!M3147</f>
      </c>
      <c r="K3142" s="20">
        <f>Разбивка_по_щитам!N3147</f>
      </c>
      <c r="L3142" s="20"/>
      <c r="M3142" s="20">
        <f>Разбивка_по_щитам!P3147</f>
      </c>
      <c r="N3142" s="20"/>
    </row>
    <row r="3143" spans="2:14" x14ac:dyDescent="0.25">
      <c r="B3143" s="20">
        <f>Разбивка_по_щитам!B3148</f>
      </c>
      <c r="C3143" s="20">
        <f>Разбивка_по_щитам!C3148</f>
      </c>
      <c r="D3143" s="20">
        <f>Разбивка_по_щитам!F3148</f>
      </c>
      <c r="E3143" s="20">
        <f>Разбивка_по_щитам!H3148</f>
      </c>
      <c r="F3143" s="20">
        <f>Разбивка_по_щитам!I3148</f>
      </c>
      <c r="G3143" s="20">
        <f>Разбивка_по_щитам!J3148</f>
      </c>
      <c r="H3143" s="20">
        <f>Разбивка_по_щитам!K3148</f>
      </c>
      <c r="I3143" s="20">
        <f>Разбивка_по_щитам!L3148</f>
      </c>
      <c r="J3143" s="20">
        <f>Разбивка_по_щитам!M3148</f>
      </c>
      <c r="K3143" s="20">
        <f>Разбивка_по_щитам!N3148</f>
      </c>
      <c r="L3143" s="20"/>
      <c r="M3143" s="20">
        <f>Разбивка_по_щитам!P3148</f>
      </c>
      <c r="N3143" s="20"/>
    </row>
    <row r="3144" spans="2:14" x14ac:dyDescent="0.25">
      <c r="B3144" s="20">
        <f>Разбивка_по_щитам!B3149</f>
      </c>
      <c r="C3144" s="20">
        <f>Разбивка_по_щитам!C3149</f>
      </c>
      <c r="D3144" s="20">
        <f>Разбивка_по_щитам!F3149</f>
      </c>
      <c r="E3144" s="20">
        <f>Разбивка_по_щитам!H3149</f>
      </c>
      <c r="F3144" s="20">
        <f>Разбивка_по_щитам!I3149</f>
      </c>
      <c r="G3144" s="20">
        <f>Разбивка_по_щитам!J3149</f>
      </c>
      <c r="H3144" s="20">
        <f>Разбивка_по_щитам!K3149</f>
      </c>
      <c r="I3144" s="20">
        <f>Разбивка_по_щитам!L3149</f>
      </c>
      <c r="J3144" s="20">
        <f>Разбивка_по_щитам!M3149</f>
      </c>
      <c r="K3144" s="20">
        <f>Разбивка_по_щитам!N3149</f>
      </c>
      <c r="L3144" s="20"/>
      <c r="M3144" s="20">
        <f>Разбивка_по_щитам!P3149</f>
      </c>
      <c r="N3144" s="20"/>
    </row>
    <row r="3145" spans="2:14" x14ac:dyDescent="0.25">
      <c r="B3145" s="20">
        <f>Разбивка_по_щитам!B3150</f>
      </c>
      <c r="C3145" s="20">
        <f>Разбивка_по_щитам!C3150</f>
      </c>
      <c r="D3145" s="20">
        <f>Разбивка_по_щитам!F3150</f>
      </c>
      <c r="E3145" s="20">
        <f>Разбивка_по_щитам!H3150</f>
      </c>
      <c r="F3145" s="20">
        <f>Разбивка_по_щитам!I3150</f>
      </c>
      <c r="G3145" s="20">
        <f>Разбивка_по_щитам!J3150</f>
      </c>
      <c r="H3145" s="20">
        <f>Разбивка_по_щитам!K3150</f>
      </c>
      <c r="I3145" s="20">
        <f>Разбивка_по_щитам!L3150</f>
      </c>
      <c r="J3145" s="20">
        <f>Разбивка_по_щитам!M3150</f>
      </c>
      <c r="K3145" s="20">
        <f>Разбивка_по_щитам!N3150</f>
      </c>
      <c r="L3145" s="20"/>
      <c r="M3145" s="20">
        <f>Разбивка_по_щитам!P3150</f>
      </c>
      <c r="N3145" s="20"/>
    </row>
    <row r="3146" spans="2:14" x14ac:dyDescent="0.25">
      <c r="B3146" s="20">
        <f>Разбивка_по_щитам!B3151</f>
      </c>
      <c r="C3146" s="20">
        <f>Разбивка_по_щитам!C3151</f>
      </c>
      <c r="D3146" s="20">
        <f>Разбивка_по_щитам!F3151</f>
      </c>
      <c r="E3146" s="20">
        <f>Разбивка_по_щитам!H3151</f>
      </c>
      <c r="F3146" s="20">
        <f>Разбивка_по_щитам!I3151</f>
      </c>
      <c r="G3146" s="20">
        <f>Разбивка_по_щитам!J3151</f>
      </c>
      <c r="H3146" s="20">
        <f>Разбивка_по_щитам!K3151</f>
      </c>
      <c r="I3146" s="20">
        <f>Разбивка_по_щитам!L3151</f>
      </c>
      <c r="J3146" s="20">
        <f>Разбивка_по_щитам!M3151</f>
      </c>
      <c r="K3146" s="20">
        <f>Разбивка_по_щитам!N3151</f>
      </c>
      <c r="L3146" s="20"/>
      <c r="M3146" s="20">
        <f>Разбивка_по_щитам!P3151</f>
      </c>
      <c r="N3146" s="20"/>
    </row>
    <row r="3147" spans="2:14" x14ac:dyDescent="0.25">
      <c r="B3147" s="20">
        <f>Разбивка_по_щитам!B3152</f>
      </c>
      <c r="C3147" s="20">
        <f>Разбивка_по_щитам!C3152</f>
      </c>
      <c r="D3147" s="20">
        <f>Разбивка_по_щитам!F3152</f>
      </c>
      <c r="E3147" s="20">
        <f>Разбивка_по_щитам!H3152</f>
      </c>
      <c r="F3147" s="20">
        <f>Разбивка_по_щитам!I3152</f>
      </c>
      <c r="G3147" s="20">
        <f>Разбивка_по_щитам!J3152</f>
      </c>
      <c r="H3147" s="20">
        <f>Разбивка_по_щитам!K3152</f>
      </c>
      <c r="I3147" s="20">
        <f>Разбивка_по_щитам!L3152</f>
      </c>
      <c r="J3147" s="20">
        <f>Разбивка_по_щитам!M3152</f>
      </c>
      <c r="K3147" s="20">
        <f>Разбивка_по_щитам!N3152</f>
      </c>
      <c r="L3147" s="20"/>
      <c r="M3147" s="20">
        <f>Разбивка_по_щитам!P3152</f>
      </c>
      <c r="N3147" s="20"/>
    </row>
    <row r="3148" spans="2:14" x14ac:dyDescent="0.25">
      <c r="B3148" s="20">
        <f>Разбивка_по_щитам!B3153</f>
      </c>
      <c r="C3148" s="20">
        <f>Разбивка_по_щитам!C3153</f>
      </c>
      <c r="D3148" s="20">
        <f>Разбивка_по_щитам!F3153</f>
      </c>
      <c r="E3148" s="20">
        <f>Разбивка_по_щитам!H3153</f>
      </c>
      <c r="F3148" s="20">
        <f>Разбивка_по_щитам!I3153</f>
      </c>
      <c r="G3148" s="20">
        <f>Разбивка_по_щитам!J3153</f>
      </c>
      <c r="H3148" s="20">
        <f>Разбивка_по_щитам!K3153</f>
      </c>
      <c r="I3148" s="20">
        <f>Разбивка_по_щитам!L3153</f>
      </c>
      <c r="J3148" s="20">
        <f>Разбивка_по_щитам!M3153</f>
      </c>
      <c r="K3148" s="20">
        <f>Разбивка_по_щитам!N3153</f>
      </c>
      <c r="L3148" s="20"/>
      <c r="M3148" s="20">
        <f>Разбивка_по_щитам!P3153</f>
      </c>
      <c r="N3148" s="20"/>
    </row>
    <row r="3149" spans="2:14" x14ac:dyDescent="0.25">
      <c r="B3149" s="20">
        <f>Разбивка_по_щитам!B3154</f>
      </c>
      <c r="C3149" s="20">
        <f>Разбивка_по_щитам!C3154</f>
      </c>
      <c r="D3149" s="20">
        <f>Разбивка_по_щитам!F3154</f>
      </c>
      <c r="E3149" s="20">
        <f>Разбивка_по_щитам!H3154</f>
      </c>
      <c r="F3149" s="20">
        <f>Разбивка_по_щитам!I3154</f>
      </c>
      <c r="G3149" s="20">
        <f>Разбивка_по_щитам!J3154</f>
      </c>
      <c r="H3149" s="20">
        <f>Разбивка_по_щитам!K3154</f>
      </c>
      <c r="I3149" s="20">
        <f>Разбивка_по_щитам!L3154</f>
      </c>
      <c r="J3149" s="20">
        <f>Разбивка_по_щитам!M3154</f>
      </c>
      <c r="K3149" s="20">
        <f>Разбивка_по_щитам!N3154</f>
      </c>
      <c r="L3149" s="20"/>
      <c r="M3149" s="20">
        <f>Разбивка_по_щитам!P3154</f>
      </c>
      <c r="N3149" s="20"/>
    </row>
    <row r="3150" spans="2:14" x14ac:dyDescent="0.25">
      <c r="B3150" s="20">
        <f>Разбивка_по_щитам!B3155</f>
      </c>
      <c r="C3150" s="20">
        <f>Разбивка_по_щитам!C3155</f>
      </c>
      <c r="D3150" s="20">
        <f>Разбивка_по_щитам!F3155</f>
      </c>
      <c r="E3150" s="20">
        <f>Разбивка_по_щитам!H3155</f>
      </c>
      <c r="F3150" s="20">
        <f>Разбивка_по_щитам!I3155</f>
      </c>
      <c r="G3150" s="20">
        <f>Разбивка_по_щитам!J3155</f>
      </c>
      <c r="H3150" s="20">
        <f>Разбивка_по_щитам!K3155</f>
      </c>
      <c r="I3150" s="20">
        <f>Разбивка_по_щитам!L3155</f>
      </c>
      <c r="J3150" s="20">
        <f>Разбивка_по_щитам!M3155</f>
      </c>
      <c r="K3150" s="20">
        <f>Разбивка_по_щитам!N3155</f>
      </c>
      <c r="L3150" s="20"/>
      <c r="M3150" s="20">
        <f>Разбивка_по_щитам!P3155</f>
      </c>
      <c r="N3150" s="20"/>
    </row>
    <row r="3151" spans="2:14" x14ac:dyDescent="0.25">
      <c r="B3151" s="20">
        <f>Разбивка_по_щитам!B3156</f>
      </c>
      <c r="C3151" s="20">
        <f>Разбивка_по_щитам!C3156</f>
      </c>
      <c r="D3151" s="20">
        <f>Разбивка_по_щитам!F3156</f>
      </c>
      <c r="E3151" s="20">
        <f>Разбивка_по_щитам!H3156</f>
      </c>
      <c r="F3151" s="20">
        <f>Разбивка_по_щитам!I3156</f>
      </c>
      <c r="G3151" s="20">
        <f>Разбивка_по_щитам!J3156</f>
      </c>
      <c r="H3151" s="20">
        <f>Разбивка_по_щитам!K3156</f>
      </c>
      <c r="I3151" s="20">
        <f>Разбивка_по_щитам!L3156</f>
      </c>
      <c r="J3151" s="20">
        <f>Разбивка_по_щитам!M3156</f>
      </c>
      <c r="K3151" s="20">
        <f>Разбивка_по_щитам!N3156</f>
      </c>
      <c r="L3151" s="20"/>
      <c r="M3151" s="20">
        <f>Разбивка_по_щитам!P3156</f>
      </c>
      <c r="N3151" s="20"/>
    </row>
    <row r="3152" spans="2:14" x14ac:dyDescent="0.25">
      <c r="B3152" s="20">
        <f>Разбивка_по_щитам!B3157</f>
      </c>
      <c r="C3152" s="20">
        <f>Разбивка_по_щитам!C3157</f>
      </c>
      <c r="D3152" s="20">
        <f>Разбивка_по_щитам!F3157</f>
      </c>
      <c r="E3152" s="20">
        <f>Разбивка_по_щитам!H3157</f>
      </c>
      <c r="F3152" s="20">
        <f>Разбивка_по_щитам!I3157</f>
      </c>
      <c r="G3152" s="20">
        <f>Разбивка_по_щитам!J3157</f>
      </c>
      <c r="H3152" s="20">
        <f>Разбивка_по_щитам!K3157</f>
      </c>
      <c r="I3152" s="20">
        <f>Разбивка_по_щитам!L3157</f>
      </c>
      <c r="J3152" s="20">
        <f>Разбивка_по_щитам!M3157</f>
      </c>
      <c r="K3152" s="20">
        <f>Разбивка_по_щитам!N3157</f>
      </c>
      <c r="L3152" s="20"/>
      <c r="M3152" s="20">
        <f>Разбивка_по_щитам!P3157</f>
      </c>
      <c r="N3152" s="20"/>
    </row>
    <row r="3153" spans="2:14" x14ac:dyDescent="0.25">
      <c r="B3153" s="20">
        <f>Разбивка_по_щитам!B3158</f>
      </c>
      <c r="C3153" s="20">
        <f>Разбивка_по_щитам!C3158</f>
      </c>
      <c r="D3153" s="20">
        <f>Разбивка_по_щитам!F3158</f>
      </c>
      <c r="E3153" s="20">
        <f>Разбивка_по_щитам!H3158</f>
      </c>
      <c r="F3153" s="20">
        <f>Разбивка_по_щитам!I3158</f>
      </c>
      <c r="G3153" s="20">
        <f>Разбивка_по_щитам!J3158</f>
      </c>
      <c r="H3153" s="20">
        <f>Разбивка_по_щитам!K3158</f>
      </c>
      <c r="I3153" s="20">
        <f>Разбивка_по_щитам!L3158</f>
      </c>
      <c r="J3153" s="20">
        <f>Разбивка_по_щитам!M3158</f>
      </c>
      <c r="K3153" s="20">
        <f>Разбивка_по_щитам!N3158</f>
      </c>
      <c r="L3153" s="20"/>
      <c r="M3153" s="20">
        <f>Разбивка_по_щитам!P3158</f>
      </c>
      <c r="N3153" s="20"/>
    </row>
    <row r="3154" spans="2:14" x14ac:dyDescent="0.25">
      <c r="B3154" s="20">
        <f>Разбивка_по_щитам!B3159</f>
      </c>
      <c r="C3154" s="20">
        <f>Разбивка_по_щитам!C3159</f>
      </c>
      <c r="D3154" s="20">
        <f>Разбивка_по_щитам!F3159</f>
      </c>
      <c r="E3154" s="20">
        <f>Разбивка_по_щитам!H3159</f>
      </c>
      <c r="F3154" s="20">
        <f>Разбивка_по_щитам!I3159</f>
      </c>
      <c r="G3154" s="20">
        <f>Разбивка_по_щитам!J3159</f>
      </c>
      <c r="H3154" s="20">
        <f>Разбивка_по_щитам!K3159</f>
      </c>
      <c r="I3154" s="20">
        <f>Разбивка_по_щитам!L3159</f>
      </c>
      <c r="J3154" s="20">
        <f>Разбивка_по_щитам!M3159</f>
      </c>
      <c r="K3154" s="20">
        <f>Разбивка_по_щитам!N3159</f>
      </c>
      <c r="L3154" s="20"/>
      <c r="M3154" s="20">
        <f>Разбивка_по_щитам!P3159</f>
      </c>
      <c r="N3154" s="20"/>
    </row>
    <row r="3155" spans="2:14" x14ac:dyDescent="0.25">
      <c r="B3155" s="20">
        <f>Разбивка_по_щитам!B3160</f>
      </c>
      <c r="C3155" s="20">
        <f>Разбивка_по_щитам!C3160</f>
      </c>
      <c r="D3155" s="20">
        <f>Разбивка_по_щитам!F3160</f>
      </c>
      <c r="E3155" s="20">
        <f>Разбивка_по_щитам!H3160</f>
      </c>
      <c r="F3155" s="20">
        <f>Разбивка_по_щитам!I3160</f>
      </c>
      <c r="G3155" s="20">
        <f>Разбивка_по_щитам!J3160</f>
      </c>
      <c r="H3155" s="20">
        <f>Разбивка_по_щитам!K3160</f>
      </c>
      <c r="I3155" s="20">
        <f>Разбивка_по_щитам!L3160</f>
      </c>
      <c r="J3155" s="20">
        <f>Разбивка_по_щитам!M3160</f>
      </c>
      <c r="K3155" s="20">
        <f>Разбивка_по_щитам!N3160</f>
      </c>
      <c r="L3155" s="20"/>
      <c r="M3155" s="20">
        <f>Разбивка_по_щитам!P3160</f>
      </c>
      <c r="N3155" s="20"/>
    </row>
    <row r="3156" spans="2:14" x14ac:dyDescent="0.25">
      <c r="B3156" s="20">
        <f>Разбивка_по_щитам!B3161</f>
      </c>
      <c r="C3156" s="20">
        <f>Разбивка_по_щитам!C3161</f>
      </c>
      <c r="D3156" s="20">
        <f>Разбивка_по_щитам!F3161</f>
      </c>
      <c r="E3156" s="20">
        <f>Разбивка_по_щитам!H3161</f>
      </c>
      <c r="F3156" s="20">
        <f>Разбивка_по_щитам!I3161</f>
      </c>
      <c r="G3156" s="20">
        <f>Разбивка_по_щитам!J3161</f>
      </c>
      <c r="H3156" s="20">
        <f>Разбивка_по_щитам!K3161</f>
      </c>
      <c r="I3156" s="20">
        <f>Разбивка_по_щитам!L3161</f>
      </c>
      <c r="J3156" s="20">
        <f>Разбивка_по_щитам!M3161</f>
      </c>
      <c r="K3156" s="20">
        <f>Разбивка_по_щитам!N3161</f>
      </c>
      <c r="L3156" s="20"/>
      <c r="M3156" s="20">
        <f>Разбивка_по_щитам!P3161</f>
      </c>
      <c r="N3156" s="20"/>
    </row>
    <row r="3157" spans="2:14" x14ac:dyDescent="0.25">
      <c r="B3157" s="20">
        <f>Разбивка_по_щитам!B3162</f>
      </c>
      <c r="C3157" s="20">
        <f>Разбивка_по_щитам!C3162</f>
      </c>
      <c r="D3157" s="20">
        <f>Разбивка_по_щитам!F3162</f>
      </c>
      <c r="E3157" s="20">
        <f>Разбивка_по_щитам!H3162</f>
      </c>
      <c r="F3157" s="20">
        <f>Разбивка_по_щитам!I3162</f>
      </c>
      <c r="G3157" s="20">
        <f>Разбивка_по_щитам!J3162</f>
      </c>
      <c r="H3157" s="20">
        <f>Разбивка_по_щитам!K3162</f>
      </c>
      <c r="I3157" s="20">
        <f>Разбивка_по_щитам!L3162</f>
      </c>
      <c r="J3157" s="20">
        <f>Разбивка_по_щитам!M3162</f>
      </c>
      <c r="K3157" s="20">
        <f>Разбивка_по_щитам!N3162</f>
      </c>
      <c r="L3157" s="20"/>
      <c r="M3157" s="20">
        <f>Разбивка_по_щитам!P3162</f>
      </c>
      <c r="N3157" s="20"/>
    </row>
    <row r="3158" spans="2:14" x14ac:dyDescent="0.25">
      <c r="B3158" s="20">
        <f>Разбивка_по_щитам!B3163</f>
      </c>
      <c r="C3158" s="20">
        <f>Разбивка_по_щитам!C3163</f>
      </c>
      <c r="D3158" s="20">
        <f>Разбивка_по_щитам!F3163</f>
      </c>
      <c r="E3158" s="20">
        <f>Разбивка_по_щитам!H3163</f>
      </c>
      <c r="F3158" s="20">
        <f>Разбивка_по_щитам!I3163</f>
      </c>
      <c r="G3158" s="20">
        <f>Разбивка_по_щитам!J3163</f>
      </c>
      <c r="H3158" s="20">
        <f>Разбивка_по_щитам!K3163</f>
      </c>
      <c r="I3158" s="20">
        <f>Разбивка_по_щитам!L3163</f>
      </c>
      <c r="J3158" s="20">
        <f>Разбивка_по_щитам!M3163</f>
      </c>
      <c r="K3158" s="20">
        <f>Разбивка_по_щитам!N3163</f>
      </c>
      <c r="L3158" s="20"/>
      <c r="M3158" s="20">
        <f>Разбивка_по_щитам!P3163</f>
      </c>
      <c r="N3158" s="20"/>
    </row>
    <row r="3159" spans="2:14" x14ac:dyDescent="0.25">
      <c r="B3159" s="20">
        <f>Разбивка_по_щитам!B3164</f>
      </c>
      <c r="C3159" s="20">
        <f>Разбивка_по_щитам!C3164</f>
      </c>
      <c r="D3159" s="20">
        <f>Разбивка_по_щитам!F3164</f>
      </c>
      <c r="E3159" s="20">
        <f>Разбивка_по_щитам!H3164</f>
      </c>
      <c r="F3159" s="20">
        <f>Разбивка_по_щитам!I3164</f>
      </c>
      <c r="G3159" s="20">
        <f>Разбивка_по_щитам!J3164</f>
      </c>
      <c r="H3159" s="20">
        <f>Разбивка_по_щитам!K3164</f>
      </c>
      <c r="I3159" s="20">
        <f>Разбивка_по_щитам!L3164</f>
      </c>
      <c r="J3159" s="20">
        <f>Разбивка_по_щитам!M3164</f>
      </c>
      <c r="K3159" s="20">
        <f>Разбивка_по_щитам!N3164</f>
      </c>
      <c r="L3159" s="20"/>
      <c r="M3159" s="20">
        <f>Разбивка_по_щитам!P3164</f>
      </c>
      <c r="N3159" s="20"/>
    </row>
    <row r="3160" spans="2:14" x14ac:dyDescent="0.25">
      <c r="B3160" s="20">
        <f>Разбивка_по_щитам!B3165</f>
      </c>
      <c r="C3160" s="20">
        <f>Разбивка_по_щитам!C3165</f>
      </c>
      <c r="D3160" s="20">
        <f>Разбивка_по_щитам!F3165</f>
      </c>
      <c r="E3160" s="20">
        <f>Разбивка_по_щитам!H3165</f>
      </c>
      <c r="F3160" s="20">
        <f>Разбивка_по_щитам!I3165</f>
      </c>
      <c r="G3160" s="20">
        <f>Разбивка_по_щитам!J3165</f>
      </c>
      <c r="H3160" s="20">
        <f>Разбивка_по_щитам!K3165</f>
      </c>
      <c r="I3160" s="20">
        <f>Разбивка_по_щитам!L3165</f>
      </c>
      <c r="J3160" s="20">
        <f>Разбивка_по_щитам!M3165</f>
      </c>
      <c r="K3160" s="20">
        <f>Разбивка_по_щитам!N3165</f>
      </c>
      <c r="L3160" s="20"/>
      <c r="M3160" s="20">
        <f>Разбивка_по_щитам!P3165</f>
      </c>
      <c r="N3160" s="20"/>
    </row>
    <row r="3161" spans="2:14" x14ac:dyDescent="0.25">
      <c r="B3161" s="20">
        <f>Разбивка_по_щитам!B3166</f>
      </c>
      <c r="C3161" s="20">
        <f>Разбивка_по_щитам!C3166</f>
      </c>
      <c r="D3161" s="20">
        <f>Разбивка_по_щитам!F3166</f>
      </c>
      <c r="E3161" s="20">
        <f>Разбивка_по_щитам!H3166</f>
      </c>
      <c r="F3161" s="20">
        <f>Разбивка_по_щитам!I3166</f>
      </c>
      <c r="G3161" s="20">
        <f>Разбивка_по_щитам!J3166</f>
      </c>
      <c r="H3161" s="20">
        <f>Разбивка_по_щитам!K3166</f>
      </c>
      <c r="I3161" s="20">
        <f>Разбивка_по_щитам!L3166</f>
      </c>
      <c r="J3161" s="20">
        <f>Разбивка_по_щитам!M3166</f>
      </c>
      <c r="K3161" s="20">
        <f>Разбивка_по_щитам!N3166</f>
      </c>
      <c r="L3161" s="20"/>
      <c r="M3161" s="20">
        <f>Разбивка_по_щитам!P3166</f>
      </c>
      <c r="N3161" s="20"/>
    </row>
    <row r="3162" spans="2:14" x14ac:dyDescent="0.25">
      <c r="B3162" s="20">
        <f>Разбивка_по_щитам!B3167</f>
      </c>
      <c r="C3162" s="20">
        <f>Разбивка_по_щитам!C3167</f>
      </c>
      <c r="D3162" s="20">
        <f>Разбивка_по_щитам!F3167</f>
      </c>
      <c r="E3162" s="20">
        <f>Разбивка_по_щитам!H3167</f>
      </c>
      <c r="F3162" s="20">
        <f>Разбивка_по_щитам!I3167</f>
      </c>
      <c r="G3162" s="20">
        <f>Разбивка_по_щитам!J3167</f>
      </c>
      <c r="H3162" s="20">
        <f>Разбивка_по_щитам!K3167</f>
      </c>
      <c r="I3162" s="20">
        <f>Разбивка_по_щитам!L3167</f>
      </c>
      <c r="J3162" s="20">
        <f>Разбивка_по_щитам!M3167</f>
      </c>
      <c r="K3162" s="20">
        <f>Разбивка_по_щитам!N3167</f>
      </c>
      <c r="L3162" s="20"/>
      <c r="M3162" s="20">
        <f>Разбивка_по_щитам!P3167</f>
      </c>
      <c r="N3162" s="20"/>
    </row>
    <row r="3163" spans="2:14" x14ac:dyDescent="0.25">
      <c r="B3163" s="20">
        <f>Разбивка_по_щитам!B3168</f>
      </c>
      <c r="C3163" s="20">
        <f>Разбивка_по_щитам!C3168</f>
      </c>
      <c r="D3163" s="20">
        <f>Разбивка_по_щитам!F3168</f>
      </c>
      <c r="E3163" s="20">
        <f>Разбивка_по_щитам!H3168</f>
      </c>
      <c r="F3163" s="20">
        <f>Разбивка_по_щитам!I3168</f>
      </c>
      <c r="G3163" s="20">
        <f>Разбивка_по_щитам!J3168</f>
      </c>
      <c r="H3163" s="20">
        <f>Разбивка_по_щитам!K3168</f>
      </c>
      <c r="I3163" s="20">
        <f>Разбивка_по_щитам!L3168</f>
      </c>
      <c r="J3163" s="20">
        <f>Разбивка_по_щитам!M3168</f>
      </c>
      <c r="K3163" s="20">
        <f>Разбивка_по_щитам!N3168</f>
      </c>
      <c r="L3163" s="20"/>
      <c r="M3163" s="20">
        <f>Разбивка_по_щитам!P3168</f>
      </c>
      <c r="N3163" s="20"/>
    </row>
    <row r="3164" spans="2:14" x14ac:dyDescent="0.25">
      <c r="B3164" s="20">
        <f>Разбивка_по_щитам!B3169</f>
      </c>
      <c r="C3164" s="20">
        <f>Разбивка_по_щитам!C3169</f>
      </c>
      <c r="D3164" s="20">
        <f>Разбивка_по_щитам!F3169</f>
      </c>
      <c r="E3164" s="20">
        <f>Разбивка_по_щитам!H3169</f>
      </c>
      <c r="F3164" s="20">
        <f>Разбивка_по_щитам!I3169</f>
      </c>
      <c r="G3164" s="20">
        <f>Разбивка_по_щитам!J3169</f>
      </c>
      <c r="H3164" s="20">
        <f>Разбивка_по_щитам!K3169</f>
      </c>
      <c r="I3164" s="20">
        <f>Разбивка_по_щитам!L3169</f>
      </c>
      <c r="J3164" s="20">
        <f>Разбивка_по_щитам!M3169</f>
      </c>
      <c r="K3164" s="20">
        <f>Разбивка_по_щитам!N3169</f>
      </c>
      <c r="L3164" s="20"/>
      <c r="M3164" s="20">
        <f>Разбивка_по_щитам!P3169</f>
      </c>
      <c r="N3164" s="20"/>
    </row>
    <row r="3165" spans="2:14" x14ac:dyDescent="0.25">
      <c r="B3165" s="20">
        <f>Разбивка_по_щитам!B3170</f>
      </c>
      <c r="C3165" s="20">
        <f>Разбивка_по_щитам!C3170</f>
      </c>
      <c r="D3165" s="20">
        <f>Разбивка_по_щитам!F3170</f>
      </c>
      <c r="E3165" s="20">
        <f>Разбивка_по_щитам!H3170</f>
      </c>
      <c r="F3165" s="20">
        <f>Разбивка_по_щитам!I3170</f>
      </c>
      <c r="G3165" s="20">
        <f>Разбивка_по_щитам!J3170</f>
      </c>
      <c r="H3165" s="20">
        <f>Разбивка_по_щитам!K3170</f>
      </c>
      <c r="I3165" s="20">
        <f>Разбивка_по_щитам!L3170</f>
      </c>
      <c r="J3165" s="20">
        <f>Разбивка_по_щитам!M3170</f>
      </c>
      <c r="K3165" s="20">
        <f>Разбивка_по_щитам!N3170</f>
      </c>
      <c r="L3165" s="20"/>
      <c r="M3165" s="20">
        <f>Разбивка_по_щитам!P3170</f>
      </c>
      <c r="N3165" s="20"/>
    </row>
    <row r="3166" spans="2:14" x14ac:dyDescent="0.25">
      <c r="B3166" s="20">
        <f>Разбивка_по_щитам!B3171</f>
      </c>
      <c r="C3166" s="20">
        <f>Разбивка_по_щитам!C3171</f>
      </c>
      <c r="D3166" s="20">
        <f>Разбивка_по_щитам!F3171</f>
      </c>
      <c r="E3166" s="20">
        <f>Разбивка_по_щитам!H3171</f>
      </c>
      <c r="F3166" s="20">
        <f>Разбивка_по_щитам!I3171</f>
      </c>
      <c r="G3166" s="20">
        <f>Разбивка_по_щитам!J3171</f>
      </c>
      <c r="H3166" s="20">
        <f>Разбивка_по_щитам!K3171</f>
      </c>
      <c r="I3166" s="20">
        <f>Разбивка_по_щитам!L3171</f>
      </c>
      <c r="J3166" s="20">
        <f>Разбивка_по_щитам!M3171</f>
      </c>
      <c r="K3166" s="20">
        <f>Разбивка_по_щитам!N3171</f>
      </c>
      <c r="L3166" s="20"/>
      <c r="M3166" s="20">
        <f>Разбивка_по_щитам!P3171</f>
      </c>
      <c r="N3166" s="20"/>
    </row>
    <row r="3167" spans="2:14" x14ac:dyDescent="0.25">
      <c r="B3167" s="20">
        <f>Разбивка_по_щитам!B3172</f>
      </c>
      <c r="C3167" s="20">
        <f>Разбивка_по_щитам!C3172</f>
      </c>
      <c r="D3167" s="20">
        <f>Разбивка_по_щитам!F3172</f>
      </c>
      <c r="E3167" s="20">
        <f>Разбивка_по_щитам!H3172</f>
      </c>
      <c r="F3167" s="20">
        <f>Разбивка_по_щитам!I3172</f>
      </c>
      <c r="G3167" s="20">
        <f>Разбивка_по_щитам!J3172</f>
      </c>
      <c r="H3167" s="20">
        <f>Разбивка_по_щитам!K3172</f>
      </c>
      <c r="I3167" s="20">
        <f>Разбивка_по_щитам!L3172</f>
      </c>
      <c r="J3167" s="20">
        <f>Разбивка_по_щитам!M3172</f>
      </c>
      <c r="K3167" s="20">
        <f>Разбивка_по_щитам!N3172</f>
      </c>
      <c r="L3167" s="20"/>
      <c r="M3167" s="20">
        <f>Разбивка_по_щитам!P3172</f>
      </c>
      <c r="N3167" s="20"/>
    </row>
    <row r="3168" spans="2:14" x14ac:dyDescent="0.25">
      <c r="B3168" s="20">
        <f>Разбивка_по_щитам!B3173</f>
      </c>
      <c r="C3168" s="20">
        <f>Разбивка_по_щитам!C3173</f>
      </c>
      <c r="D3168" s="20">
        <f>Разбивка_по_щитам!F3173</f>
      </c>
      <c r="E3168" s="20">
        <f>Разбивка_по_щитам!H3173</f>
      </c>
      <c r="F3168" s="20">
        <f>Разбивка_по_щитам!I3173</f>
      </c>
      <c r="G3168" s="20">
        <f>Разбивка_по_щитам!J3173</f>
      </c>
      <c r="H3168" s="20">
        <f>Разбивка_по_щитам!K3173</f>
      </c>
      <c r="I3168" s="20">
        <f>Разбивка_по_щитам!L3173</f>
      </c>
      <c r="J3168" s="20">
        <f>Разбивка_по_щитам!M3173</f>
      </c>
      <c r="K3168" s="20">
        <f>Разбивка_по_щитам!N3173</f>
      </c>
      <c r="L3168" s="20"/>
      <c r="M3168" s="20">
        <f>Разбивка_по_щитам!P3173</f>
      </c>
      <c r="N3168" s="20"/>
    </row>
    <row r="3169" spans="2:14" x14ac:dyDescent="0.25">
      <c r="B3169" s="20">
        <f>Разбивка_по_щитам!B3174</f>
      </c>
      <c r="C3169" s="20">
        <f>Разбивка_по_щитам!C3174</f>
      </c>
      <c r="D3169" s="20">
        <f>Разбивка_по_щитам!F3174</f>
      </c>
      <c r="E3169" s="20">
        <f>Разбивка_по_щитам!H3174</f>
      </c>
      <c r="F3169" s="20">
        <f>Разбивка_по_щитам!I3174</f>
      </c>
      <c r="G3169" s="20">
        <f>Разбивка_по_щитам!J3174</f>
      </c>
      <c r="H3169" s="20">
        <f>Разбивка_по_щитам!K3174</f>
      </c>
      <c r="I3169" s="20">
        <f>Разбивка_по_щитам!L3174</f>
      </c>
      <c r="J3169" s="20">
        <f>Разбивка_по_щитам!M3174</f>
      </c>
      <c r="K3169" s="20">
        <f>Разбивка_по_щитам!N3174</f>
      </c>
      <c r="L3169" s="20"/>
      <c r="M3169" s="20">
        <f>Разбивка_по_щитам!P3174</f>
      </c>
      <c r="N3169" s="20"/>
    </row>
    <row r="3170" spans="2:14" x14ac:dyDescent="0.25">
      <c r="B3170" s="20">
        <f>Разбивка_по_щитам!B3175</f>
      </c>
      <c r="C3170" s="20">
        <f>Разбивка_по_щитам!C3175</f>
      </c>
      <c r="D3170" s="20">
        <f>Разбивка_по_щитам!F3175</f>
      </c>
      <c r="E3170" s="20">
        <f>Разбивка_по_щитам!H3175</f>
      </c>
      <c r="F3170" s="20">
        <f>Разбивка_по_щитам!I3175</f>
      </c>
      <c r="G3170" s="20">
        <f>Разбивка_по_щитам!J3175</f>
      </c>
      <c r="H3170" s="20">
        <f>Разбивка_по_щитам!K3175</f>
      </c>
      <c r="I3170" s="20">
        <f>Разбивка_по_щитам!L3175</f>
      </c>
      <c r="J3170" s="20">
        <f>Разбивка_по_щитам!M3175</f>
      </c>
      <c r="K3170" s="20">
        <f>Разбивка_по_щитам!N3175</f>
      </c>
      <c r="L3170" s="20"/>
      <c r="M3170" s="20">
        <f>Разбивка_по_щитам!P3175</f>
      </c>
      <c r="N3170" s="20"/>
    </row>
    <row r="3171" spans="2:14" x14ac:dyDescent="0.25">
      <c r="B3171" s="20">
        <f>Разбивка_по_щитам!B3176</f>
      </c>
      <c r="C3171" s="20">
        <f>Разбивка_по_щитам!C3176</f>
      </c>
      <c r="D3171" s="20">
        <f>Разбивка_по_щитам!F3176</f>
      </c>
      <c r="E3171" s="20">
        <f>Разбивка_по_щитам!H3176</f>
      </c>
      <c r="F3171" s="20">
        <f>Разбивка_по_щитам!I3176</f>
      </c>
      <c r="G3171" s="20">
        <f>Разбивка_по_щитам!J3176</f>
      </c>
      <c r="H3171" s="20">
        <f>Разбивка_по_щитам!K3176</f>
      </c>
      <c r="I3171" s="20">
        <f>Разбивка_по_щитам!L3176</f>
      </c>
      <c r="J3171" s="20">
        <f>Разбивка_по_щитам!M3176</f>
      </c>
      <c r="K3171" s="20">
        <f>Разбивка_по_щитам!N3176</f>
      </c>
      <c r="L3171" s="20"/>
      <c r="M3171" s="20">
        <f>Разбивка_по_щитам!P3176</f>
      </c>
      <c r="N3171" s="20"/>
    </row>
    <row r="3172" spans="2:14" x14ac:dyDescent="0.25">
      <c r="B3172" s="20">
        <f>Разбивка_по_щитам!B3177</f>
      </c>
      <c r="C3172" s="20">
        <f>Разбивка_по_щитам!C3177</f>
      </c>
      <c r="D3172" s="20">
        <f>Разбивка_по_щитам!F3177</f>
      </c>
      <c r="E3172" s="20">
        <f>Разбивка_по_щитам!H3177</f>
      </c>
      <c r="F3172" s="20">
        <f>Разбивка_по_щитам!I3177</f>
      </c>
      <c r="G3172" s="20">
        <f>Разбивка_по_щитам!J3177</f>
      </c>
      <c r="H3172" s="20">
        <f>Разбивка_по_щитам!K3177</f>
      </c>
      <c r="I3172" s="20">
        <f>Разбивка_по_щитам!L3177</f>
      </c>
      <c r="J3172" s="20">
        <f>Разбивка_по_щитам!M3177</f>
      </c>
      <c r="K3172" s="20">
        <f>Разбивка_по_щитам!N3177</f>
      </c>
      <c r="L3172" s="20"/>
      <c r="M3172" s="20">
        <f>Разбивка_по_щитам!P3177</f>
      </c>
      <c r="N3172" s="20"/>
    </row>
    <row r="3173" spans="2:14" x14ac:dyDescent="0.25">
      <c r="B3173" s="20">
        <f>Разбивка_по_щитам!B3178</f>
      </c>
      <c r="C3173" s="20">
        <f>Разбивка_по_щитам!C3178</f>
      </c>
      <c r="D3173" s="20">
        <f>Разбивка_по_щитам!F3178</f>
      </c>
      <c r="E3173" s="20">
        <f>Разбивка_по_щитам!H3178</f>
      </c>
      <c r="F3173" s="20">
        <f>Разбивка_по_щитам!I3178</f>
      </c>
      <c r="G3173" s="20">
        <f>Разбивка_по_щитам!J3178</f>
      </c>
      <c r="H3173" s="20">
        <f>Разбивка_по_щитам!K3178</f>
      </c>
      <c r="I3173" s="20">
        <f>Разбивка_по_щитам!L3178</f>
      </c>
      <c r="J3173" s="20">
        <f>Разбивка_по_щитам!M3178</f>
      </c>
      <c r="K3173" s="20">
        <f>Разбивка_по_щитам!N3178</f>
      </c>
      <c r="L3173" s="20"/>
      <c r="M3173" s="20">
        <f>Разбивка_по_щитам!P3178</f>
      </c>
      <c r="N3173" s="20"/>
    </row>
    <row r="3174" spans="2:14" x14ac:dyDescent="0.25">
      <c r="B3174" s="20">
        <f>Разбивка_по_щитам!B3179</f>
      </c>
      <c r="C3174" s="20">
        <f>Разбивка_по_щитам!C3179</f>
      </c>
      <c r="D3174" s="20">
        <f>Разбивка_по_щитам!F3179</f>
      </c>
      <c r="E3174" s="20">
        <f>Разбивка_по_щитам!H3179</f>
      </c>
      <c r="F3174" s="20">
        <f>Разбивка_по_щитам!I3179</f>
      </c>
      <c r="G3174" s="20">
        <f>Разбивка_по_щитам!J3179</f>
      </c>
      <c r="H3174" s="20">
        <f>Разбивка_по_щитам!K3179</f>
      </c>
      <c r="I3174" s="20">
        <f>Разбивка_по_щитам!L3179</f>
      </c>
      <c r="J3174" s="20">
        <f>Разбивка_по_щитам!M3179</f>
      </c>
      <c r="K3174" s="20">
        <f>Разбивка_по_щитам!N3179</f>
      </c>
      <c r="L3174" s="20"/>
      <c r="M3174" s="20">
        <f>Разбивка_по_щитам!P3179</f>
      </c>
      <c r="N3174" s="20"/>
    </row>
    <row r="3175" spans="2:14" x14ac:dyDescent="0.25">
      <c r="B3175" s="20">
        <f>Разбивка_по_щитам!B3180</f>
      </c>
      <c r="C3175" s="20">
        <f>Разбивка_по_щитам!C3180</f>
      </c>
      <c r="D3175" s="20">
        <f>Разбивка_по_щитам!F3180</f>
      </c>
      <c r="E3175" s="20">
        <f>Разбивка_по_щитам!H3180</f>
      </c>
      <c r="F3175" s="20">
        <f>Разбивка_по_щитам!I3180</f>
      </c>
      <c r="G3175" s="20">
        <f>Разбивка_по_щитам!J3180</f>
      </c>
      <c r="H3175" s="20">
        <f>Разбивка_по_щитам!K3180</f>
      </c>
      <c r="I3175" s="20">
        <f>Разбивка_по_щитам!L3180</f>
      </c>
      <c r="J3175" s="20">
        <f>Разбивка_по_щитам!M3180</f>
      </c>
      <c r="K3175" s="20">
        <f>Разбивка_по_щитам!N3180</f>
      </c>
      <c r="L3175" s="20"/>
      <c r="M3175" s="20">
        <f>Разбивка_по_щитам!P3180</f>
      </c>
      <c r="N3175" s="20"/>
    </row>
    <row r="3176" spans="2:14" x14ac:dyDescent="0.25">
      <c r="B3176" s="20">
        <f>Разбивка_по_щитам!B3181</f>
      </c>
      <c r="C3176" s="20">
        <f>Разбивка_по_щитам!C3181</f>
      </c>
      <c r="D3176" s="20">
        <f>Разбивка_по_щитам!F3181</f>
      </c>
      <c r="E3176" s="20">
        <f>Разбивка_по_щитам!H3181</f>
      </c>
      <c r="F3176" s="20">
        <f>Разбивка_по_щитам!I3181</f>
      </c>
      <c r="G3176" s="20">
        <f>Разбивка_по_щитам!J3181</f>
      </c>
      <c r="H3176" s="20">
        <f>Разбивка_по_щитам!K3181</f>
      </c>
      <c r="I3176" s="20">
        <f>Разбивка_по_щитам!L3181</f>
      </c>
      <c r="J3176" s="20">
        <f>Разбивка_по_щитам!M3181</f>
      </c>
      <c r="K3176" s="20">
        <f>Разбивка_по_щитам!N3181</f>
      </c>
      <c r="L3176" s="20"/>
      <c r="M3176" s="20">
        <f>Разбивка_по_щитам!P3181</f>
      </c>
      <c r="N3176" s="20"/>
    </row>
    <row r="3177" spans="2:14" x14ac:dyDescent="0.25">
      <c r="B3177" s="20">
        <f>Разбивка_по_щитам!B3182</f>
      </c>
      <c r="C3177" s="20">
        <f>Разбивка_по_щитам!C3182</f>
      </c>
      <c r="D3177" s="20">
        <f>Разбивка_по_щитам!F3182</f>
      </c>
      <c r="E3177" s="20">
        <f>Разбивка_по_щитам!H3182</f>
      </c>
      <c r="F3177" s="20">
        <f>Разбивка_по_щитам!I3182</f>
      </c>
      <c r="G3177" s="20">
        <f>Разбивка_по_щитам!J3182</f>
      </c>
      <c r="H3177" s="20">
        <f>Разбивка_по_щитам!K3182</f>
      </c>
      <c r="I3177" s="20">
        <f>Разбивка_по_щитам!L3182</f>
      </c>
      <c r="J3177" s="20">
        <f>Разбивка_по_щитам!M3182</f>
      </c>
      <c r="K3177" s="20">
        <f>Разбивка_по_щитам!N3182</f>
      </c>
      <c r="L3177" s="20"/>
      <c r="M3177" s="20">
        <f>Разбивка_по_щитам!P3182</f>
      </c>
      <c r="N3177" s="20"/>
    </row>
    <row r="3178" spans="2:14" x14ac:dyDescent="0.25">
      <c r="B3178" s="20">
        <f>Разбивка_по_щитам!B3183</f>
      </c>
      <c r="C3178" s="20">
        <f>Разбивка_по_щитам!C3183</f>
      </c>
      <c r="D3178" s="20">
        <f>Разбивка_по_щитам!F3183</f>
      </c>
      <c r="E3178" s="20">
        <f>Разбивка_по_щитам!H3183</f>
      </c>
      <c r="F3178" s="20">
        <f>Разбивка_по_щитам!I3183</f>
      </c>
      <c r="G3178" s="20">
        <f>Разбивка_по_щитам!J3183</f>
      </c>
      <c r="H3178" s="20">
        <f>Разбивка_по_щитам!K3183</f>
      </c>
      <c r="I3178" s="20">
        <f>Разбивка_по_щитам!L3183</f>
      </c>
      <c r="J3178" s="20">
        <f>Разбивка_по_щитам!M3183</f>
      </c>
      <c r="K3178" s="20">
        <f>Разбивка_по_щитам!N3183</f>
      </c>
      <c r="L3178" s="20"/>
      <c r="M3178" s="20">
        <f>Разбивка_по_щитам!P3183</f>
      </c>
      <c r="N3178" s="20"/>
    </row>
    <row r="3179" spans="2:14" x14ac:dyDescent="0.25">
      <c r="B3179" s="20">
        <f>Разбивка_по_щитам!B3184</f>
      </c>
      <c r="C3179" s="20">
        <f>Разбивка_по_щитам!C3184</f>
      </c>
      <c r="D3179" s="20">
        <f>Разбивка_по_щитам!F3184</f>
      </c>
      <c r="E3179" s="20">
        <f>Разбивка_по_щитам!H3184</f>
      </c>
      <c r="F3179" s="20">
        <f>Разбивка_по_щитам!I3184</f>
      </c>
      <c r="G3179" s="20">
        <f>Разбивка_по_щитам!J3184</f>
      </c>
      <c r="H3179" s="20">
        <f>Разбивка_по_щитам!K3184</f>
      </c>
      <c r="I3179" s="20">
        <f>Разбивка_по_щитам!L3184</f>
      </c>
      <c r="J3179" s="20">
        <f>Разбивка_по_щитам!M3184</f>
      </c>
      <c r="K3179" s="20">
        <f>Разбивка_по_щитам!N3184</f>
      </c>
      <c r="L3179" s="20"/>
      <c r="M3179" s="20">
        <f>Разбивка_по_щитам!P3184</f>
      </c>
      <c r="N3179" s="20"/>
    </row>
    <row r="3180" spans="2:14" x14ac:dyDescent="0.25">
      <c r="B3180" s="20">
        <f>Разбивка_по_щитам!B3185</f>
      </c>
      <c r="C3180" s="20">
        <f>Разбивка_по_щитам!C3185</f>
      </c>
      <c r="D3180" s="20">
        <f>Разбивка_по_щитам!F3185</f>
      </c>
      <c r="E3180" s="20">
        <f>Разбивка_по_щитам!H3185</f>
      </c>
      <c r="F3180" s="20">
        <f>Разбивка_по_щитам!I3185</f>
      </c>
      <c r="G3180" s="20">
        <f>Разбивка_по_щитам!J3185</f>
      </c>
      <c r="H3180" s="20">
        <f>Разбивка_по_щитам!K3185</f>
      </c>
      <c r="I3180" s="20">
        <f>Разбивка_по_щитам!L3185</f>
      </c>
      <c r="J3180" s="20">
        <f>Разбивка_по_щитам!M3185</f>
      </c>
      <c r="K3180" s="20">
        <f>Разбивка_по_щитам!N3185</f>
      </c>
      <c r="L3180" s="20"/>
      <c r="M3180" s="20">
        <f>Разбивка_по_щитам!P3185</f>
      </c>
      <c r="N3180" s="20"/>
    </row>
    <row r="3181" spans="2:14" x14ac:dyDescent="0.25">
      <c r="B3181" s="20">
        <f>Разбивка_по_щитам!B3186</f>
      </c>
      <c r="C3181" s="20">
        <f>Разбивка_по_щитам!C3186</f>
      </c>
      <c r="D3181" s="20">
        <f>Разбивка_по_щитам!F3186</f>
      </c>
      <c r="E3181" s="20">
        <f>Разбивка_по_щитам!H3186</f>
      </c>
      <c r="F3181" s="20">
        <f>Разбивка_по_щитам!I3186</f>
      </c>
      <c r="G3181" s="20">
        <f>Разбивка_по_щитам!J3186</f>
      </c>
      <c r="H3181" s="20">
        <f>Разбивка_по_щитам!K3186</f>
      </c>
      <c r="I3181" s="20">
        <f>Разбивка_по_щитам!L3186</f>
      </c>
      <c r="J3181" s="20">
        <f>Разбивка_по_щитам!M3186</f>
      </c>
      <c r="K3181" s="20">
        <f>Разбивка_по_щитам!N3186</f>
      </c>
      <c r="L3181" s="20"/>
      <c r="M3181" s="20">
        <f>Разбивка_по_щитам!P3186</f>
      </c>
      <c r="N3181" s="20"/>
    </row>
    <row r="3182" spans="2:14" x14ac:dyDescent="0.25">
      <c r="B3182" s="20">
        <f>Разбивка_по_щитам!B3187</f>
      </c>
      <c r="C3182" s="20">
        <f>Разбивка_по_щитам!C3187</f>
      </c>
      <c r="D3182" s="20">
        <f>Разбивка_по_щитам!F3187</f>
      </c>
      <c r="E3182" s="20">
        <f>Разбивка_по_щитам!H3187</f>
      </c>
      <c r="F3182" s="20">
        <f>Разбивка_по_щитам!I3187</f>
      </c>
      <c r="G3182" s="20">
        <f>Разбивка_по_щитам!J3187</f>
      </c>
      <c r="H3182" s="20">
        <f>Разбивка_по_щитам!K3187</f>
      </c>
      <c r="I3182" s="20">
        <f>Разбивка_по_щитам!L3187</f>
      </c>
      <c r="J3182" s="20">
        <f>Разбивка_по_щитам!M3187</f>
      </c>
      <c r="K3182" s="20">
        <f>Разбивка_по_щитам!N3187</f>
      </c>
      <c r="L3182" s="20"/>
      <c r="M3182" s="20">
        <f>Разбивка_по_щитам!P3187</f>
      </c>
      <c r="N3182" s="20"/>
    </row>
    <row r="3183" spans="2:14" x14ac:dyDescent="0.25">
      <c r="B3183" s="20">
        <f>Разбивка_по_щитам!B3188</f>
      </c>
      <c r="C3183" s="20">
        <f>Разбивка_по_щитам!C3188</f>
      </c>
      <c r="D3183" s="20">
        <f>Разбивка_по_щитам!F3188</f>
      </c>
      <c r="E3183" s="20">
        <f>Разбивка_по_щитам!H3188</f>
      </c>
      <c r="F3183" s="20">
        <f>Разбивка_по_щитам!I3188</f>
      </c>
      <c r="G3183" s="20">
        <f>Разбивка_по_щитам!J3188</f>
      </c>
      <c r="H3183" s="20">
        <f>Разбивка_по_щитам!K3188</f>
      </c>
      <c r="I3183" s="20">
        <f>Разбивка_по_щитам!L3188</f>
      </c>
      <c r="J3183" s="20">
        <f>Разбивка_по_щитам!M3188</f>
      </c>
      <c r="K3183" s="20">
        <f>Разбивка_по_щитам!N3188</f>
      </c>
      <c r="L3183" s="20"/>
      <c r="M3183" s="20">
        <f>Разбивка_по_щитам!P3188</f>
      </c>
      <c r="N3183" s="20"/>
    </row>
    <row r="3184" spans="2:14" x14ac:dyDescent="0.25">
      <c r="B3184" s="20">
        <f>Разбивка_по_щитам!B3189</f>
      </c>
      <c r="C3184" s="20">
        <f>Разбивка_по_щитам!C3189</f>
      </c>
      <c r="D3184" s="20">
        <f>Разбивка_по_щитам!F3189</f>
      </c>
      <c r="E3184" s="20">
        <f>Разбивка_по_щитам!H3189</f>
      </c>
      <c r="F3184" s="20">
        <f>Разбивка_по_щитам!I3189</f>
      </c>
      <c r="G3184" s="20">
        <f>Разбивка_по_щитам!J3189</f>
      </c>
      <c r="H3184" s="20">
        <f>Разбивка_по_щитам!K3189</f>
      </c>
      <c r="I3184" s="20">
        <f>Разбивка_по_щитам!L3189</f>
      </c>
      <c r="J3184" s="20">
        <f>Разбивка_по_щитам!M3189</f>
      </c>
      <c r="K3184" s="20">
        <f>Разбивка_по_щитам!N3189</f>
      </c>
      <c r="L3184" s="20"/>
      <c r="M3184" s="20">
        <f>Разбивка_по_щитам!P3189</f>
      </c>
      <c r="N3184" s="20"/>
    </row>
    <row r="3185" spans="2:14" x14ac:dyDescent="0.25">
      <c r="B3185" s="20">
        <f>Разбивка_по_щитам!B3190</f>
      </c>
      <c r="C3185" s="20">
        <f>Разбивка_по_щитам!C3190</f>
      </c>
      <c r="D3185" s="20">
        <f>Разбивка_по_щитам!F3190</f>
      </c>
      <c r="E3185" s="20">
        <f>Разбивка_по_щитам!H3190</f>
      </c>
      <c r="F3185" s="20">
        <f>Разбивка_по_щитам!I3190</f>
      </c>
      <c r="G3185" s="20">
        <f>Разбивка_по_щитам!J3190</f>
      </c>
      <c r="H3185" s="20">
        <f>Разбивка_по_щитам!K3190</f>
      </c>
      <c r="I3185" s="20">
        <f>Разбивка_по_щитам!L3190</f>
      </c>
      <c r="J3185" s="20">
        <f>Разбивка_по_щитам!M3190</f>
      </c>
      <c r="K3185" s="20">
        <f>Разбивка_по_щитам!N3190</f>
      </c>
      <c r="L3185" s="20"/>
      <c r="M3185" s="20">
        <f>Разбивка_по_щитам!P3190</f>
      </c>
      <c r="N3185" s="20"/>
    </row>
    <row r="3186" spans="2:14" x14ac:dyDescent="0.25">
      <c r="B3186" s="20">
        <f>Разбивка_по_щитам!B3191</f>
      </c>
      <c r="C3186" s="20">
        <f>Разбивка_по_щитам!C3191</f>
      </c>
      <c r="D3186" s="20">
        <f>Разбивка_по_щитам!F3191</f>
      </c>
      <c r="E3186" s="20">
        <f>Разбивка_по_щитам!H3191</f>
      </c>
      <c r="F3186" s="20">
        <f>Разбивка_по_щитам!I3191</f>
      </c>
      <c r="G3186" s="20">
        <f>Разбивка_по_щитам!J3191</f>
      </c>
      <c r="H3186" s="20">
        <f>Разбивка_по_щитам!K3191</f>
      </c>
      <c r="I3186" s="20">
        <f>Разбивка_по_щитам!L3191</f>
      </c>
      <c r="J3186" s="20">
        <f>Разбивка_по_щитам!M3191</f>
      </c>
      <c r="K3186" s="20">
        <f>Разбивка_по_щитам!N3191</f>
      </c>
      <c r="L3186" s="20"/>
      <c r="M3186" s="20">
        <f>Разбивка_по_щитам!P3191</f>
      </c>
      <c r="N3186" s="20"/>
    </row>
    <row r="3187" spans="2:14" x14ac:dyDescent="0.25">
      <c r="B3187" s="20">
        <f>Разбивка_по_щитам!B3192</f>
      </c>
      <c r="C3187" s="20">
        <f>Разбивка_по_щитам!C3192</f>
      </c>
      <c r="D3187" s="20">
        <f>Разбивка_по_щитам!F3192</f>
      </c>
      <c r="E3187" s="20">
        <f>Разбивка_по_щитам!H3192</f>
      </c>
      <c r="F3187" s="20">
        <f>Разбивка_по_щитам!I3192</f>
      </c>
      <c r="G3187" s="20">
        <f>Разбивка_по_щитам!J3192</f>
      </c>
      <c r="H3187" s="20">
        <f>Разбивка_по_щитам!K3192</f>
      </c>
      <c r="I3187" s="20">
        <f>Разбивка_по_щитам!L3192</f>
      </c>
      <c r="J3187" s="20">
        <f>Разбивка_по_щитам!M3192</f>
      </c>
      <c r="K3187" s="20">
        <f>Разбивка_по_щитам!N3192</f>
      </c>
      <c r="L3187" s="20"/>
      <c r="M3187" s="20">
        <f>Разбивка_по_щитам!P3192</f>
      </c>
      <c r="N3187" s="20"/>
    </row>
    <row r="3188" spans="2:14" x14ac:dyDescent="0.25">
      <c r="B3188" s="20">
        <f>Разбивка_по_щитам!B3193</f>
      </c>
      <c r="C3188" s="20">
        <f>Разбивка_по_щитам!C3193</f>
      </c>
      <c r="D3188" s="20">
        <f>Разбивка_по_щитам!F3193</f>
      </c>
      <c r="E3188" s="20">
        <f>Разбивка_по_щитам!H3193</f>
      </c>
      <c r="F3188" s="20">
        <f>Разбивка_по_щитам!I3193</f>
      </c>
      <c r="G3188" s="20">
        <f>Разбивка_по_щитам!J3193</f>
      </c>
      <c r="H3188" s="20">
        <f>Разбивка_по_щитам!K3193</f>
      </c>
      <c r="I3188" s="20">
        <f>Разбивка_по_щитам!L3193</f>
      </c>
      <c r="J3188" s="20">
        <f>Разбивка_по_щитам!M3193</f>
      </c>
      <c r="K3188" s="20">
        <f>Разбивка_по_щитам!N3193</f>
      </c>
      <c r="L3188" s="20"/>
      <c r="M3188" s="20">
        <f>Разбивка_по_щитам!P3193</f>
      </c>
      <c r="N3188" s="20"/>
    </row>
    <row r="3189" spans="2:14" x14ac:dyDescent="0.25">
      <c r="B3189" s="20">
        <f>Разбивка_по_щитам!B3194</f>
      </c>
      <c r="C3189" s="20">
        <f>Разбивка_по_щитам!C3194</f>
      </c>
      <c r="D3189" s="20">
        <f>Разбивка_по_щитам!F3194</f>
      </c>
      <c r="E3189" s="20">
        <f>Разбивка_по_щитам!H3194</f>
      </c>
      <c r="F3189" s="20">
        <f>Разбивка_по_щитам!I3194</f>
      </c>
      <c r="G3189" s="20">
        <f>Разбивка_по_щитам!J3194</f>
      </c>
      <c r="H3189" s="20">
        <f>Разбивка_по_щитам!K3194</f>
      </c>
      <c r="I3189" s="20">
        <f>Разбивка_по_щитам!L3194</f>
      </c>
      <c r="J3189" s="20">
        <f>Разбивка_по_щитам!M3194</f>
      </c>
      <c r="K3189" s="20">
        <f>Разбивка_по_щитам!N3194</f>
      </c>
      <c r="L3189" s="20"/>
      <c r="M3189" s="20">
        <f>Разбивка_по_щитам!P3194</f>
      </c>
      <c r="N3189" s="20"/>
    </row>
    <row r="3190" spans="2:14" x14ac:dyDescent="0.25">
      <c r="B3190" s="20">
        <f>Разбивка_по_щитам!B3195</f>
      </c>
      <c r="C3190" s="20">
        <f>Разбивка_по_щитам!C3195</f>
      </c>
      <c r="D3190" s="20">
        <f>Разбивка_по_щитам!F3195</f>
      </c>
      <c r="E3190" s="20">
        <f>Разбивка_по_щитам!H3195</f>
      </c>
      <c r="F3190" s="20">
        <f>Разбивка_по_щитам!I3195</f>
      </c>
      <c r="G3190" s="20">
        <f>Разбивка_по_щитам!J3195</f>
      </c>
      <c r="H3190" s="20">
        <f>Разбивка_по_щитам!K3195</f>
      </c>
      <c r="I3190" s="20">
        <f>Разбивка_по_щитам!L3195</f>
      </c>
      <c r="J3190" s="20">
        <f>Разбивка_по_щитам!M3195</f>
      </c>
      <c r="K3190" s="20">
        <f>Разбивка_по_щитам!N3195</f>
      </c>
      <c r="L3190" s="20"/>
      <c r="M3190" s="20">
        <f>Разбивка_по_щитам!P3195</f>
      </c>
      <c r="N3190" s="20"/>
    </row>
    <row r="3191" spans="2:14" x14ac:dyDescent="0.25">
      <c r="B3191" s="20">
        <f>Разбивка_по_щитам!B3196</f>
      </c>
      <c r="C3191" s="20">
        <f>Разбивка_по_щитам!C3196</f>
      </c>
      <c r="D3191" s="20">
        <f>Разбивка_по_щитам!F3196</f>
      </c>
      <c r="E3191" s="20">
        <f>Разбивка_по_щитам!H3196</f>
      </c>
      <c r="F3191" s="20">
        <f>Разбивка_по_щитам!I3196</f>
      </c>
      <c r="G3191" s="20">
        <f>Разбивка_по_щитам!J3196</f>
      </c>
      <c r="H3191" s="20">
        <f>Разбивка_по_щитам!K3196</f>
      </c>
      <c r="I3191" s="20">
        <f>Разбивка_по_щитам!L3196</f>
      </c>
      <c r="J3191" s="20">
        <f>Разбивка_по_щитам!M3196</f>
      </c>
      <c r="K3191" s="20">
        <f>Разбивка_по_щитам!N3196</f>
      </c>
      <c r="L3191" s="20"/>
      <c r="M3191" s="20">
        <f>Разбивка_по_щитам!P3196</f>
      </c>
      <c r="N3191" s="20"/>
    </row>
    <row r="3192" spans="2:14" x14ac:dyDescent="0.25">
      <c r="B3192" s="20">
        <f>Разбивка_по_щитам!B3197</f>
      </c>
      <c r="C3192" s="20">
        <f>Разбивка_по_щитам!C3197</f>
      </c>
      <c r="D3192" s="20">
        <f>Разбивка_по_щитам!F3197</f>
      </c>
      <c r="E3192" s="20">
        <f>Разбивка_по_щитам!H3197</f>
      </c>
      <c r="F3192" s="20">
        <f>Разбивка_по_щитам!I3197</f>
      </c>
      <c r="G3192" s="20">
        <f>Разбивка_по_щитам!J3197</f>
      </c>
      <c r="H3192" s="20">
        <f>Разбивка_по_щитам!K3197</f>
      </c>
      <c r="I3192" s="20">
        <f>Разбивка_по_щитам!L3197</f>
      </c>
      <c r="J3192" s="20">
        <f>Разбивка_по_щитам!M3197</f>
      </c>
      <c r="K3192" s="20">
        <f>Разбивка_по_щитам!N3197</f>
      </c>
      <c r="L3192" s="20"/>
      <c r="M3192" s="20">
        <f>Разбивка_по_щитам!P3197</f>
      </c>
      <c r="N3192" s="20"/>
    </row>
    <row r="3193" spans="2:14" x14ac:dyDescent="0.25">
      <c r="B3193" s="20">
        <f>Разбивка_по_щитам!B3198</f>
      </c>
      <c r="C3193" s="20">
        <f>Разбивка_по_щитам!C3198</f>
      </c>
      <c r="D3193" s="20">
        <f>Разбивка_по_щитам!F3198</f>
      </c>
      <c r="E3193" s="20">
        <f>Разбивка_по_щитам!H3198</f>
      </c>
      <c r="F3193" s="20">
        <f>Разбивка_по_щитам!I3198</f>
      </c>
      <c r="G3193" s="20">
        <f>Разбивка_по_щитам!J3198</f>
      </c>
      <c r="H3193" s="20">
        <f>Разбивка_по_щитам!K3198</f>
      </c>
      <c r="I3193" s="20">
        <f>Разбивка_по_щитам!L3198</f>
      </c>
      <c r="J3193" s="20">
        <f>Разбивка_по_щитам!M3198</f>
      </c>
      <c r="K3193" s="20">
        <f>Разбивка_по_щитам!N3198</f>
      </c>
      <c r="L3193" s="20"/>
      <c r="M3193" s="20">
        <f>Разбивка_по_щитам!P3198</f>
      </c>
      <c r="N3193" s="20"/>
    </row>
    <row r="3194" spans="2:14" x14ac:dyDescent="0.25">
      <c r="B3194" s="20">
        <f>Разбивка_по_щитам!B3199</f>
      </c>
      <c r="C3194" s="20">
        <f>Разбивка_по_щитам!C3199</f>
      </c>
      <c r="D3194" s="20">
        <f>Разбивка_по_щитам!F3199</f>
      </c>
      <c r="E3194" s="20">
        <f>Разбивка_по_щитам!H3199</f>
      </c>
      <c r="F3194" s="20">
        <f>Разбивка_по_щитам!I3199</f>
      </c>
      <c r="G3194" s="20">
        <f>Разбивка_по_щитам!J3199</f>
      </c>
      <c r="H3194" s="20">
        <f>Разбивка_по_щитам!K3199</f>
      </c>
      <c r="I3194" s="20">
        <f>Разбивка_по_щитам!L3199</f>
      </c>
      <c r="J3194" s="20">
        <f>Разбивка_по_щитам!M3199</f>
      </c>
      <c r="K3194" s="20">
        <f>Разбивка_по_щитам!N3199</f>
      </c>
      <c r="L3194" s="20"/>
      <c r="M3194" s="20">
        <f>Разбивка_по_щитам!P3199</f>
      </c>
      <c r="N3194" s="20"/>
    </row>
    <row r="3195" spans="2:14" x14ac:dyDescent="0.25">
      <c r="B3195" s="20">
        <f>Разбивка_по_щитам!B3200</f>
      </c>
      <c r="C3195" s="20">
        <f>Разбивка_по_щитам!C3200</f>
      </c>
      <c r="D3195" s="20">
        <f>Разбивка_по_щитам!F3200</f>
      </c>
      <c r="E3195" s="20">
        <f>Разбивка_по_щитам!H3200</f>
      </c>
      <c r="F3195" s="20">
        <f>Разбивка_по_щитам!I3200</f>
      </c>
      <c r="G3195" s="20">
        <f>Разбивка_по_щитам!J3200</f>
      </c>
      <c r="H3195" s="20">
        <f>Разбивка_по_щитам!K3200</f>
      </c>
      <c r="I3195" s="20">
        <f>Разбивка_по_щитам!L3200</f>
      </c>
      <c r="J3195" s="20">
        <f>Разбивка_по_щитам!M3200</f>
      </c>
      <c r="K3195" s="20">
        <f>Разбивка_по_щитам!N3200</f>
      </c>
      <c r="L3195" s="20"/>
      <c r="M3195" s="20">
        <f>Разбивка_по_щитам!P3200</f>
      </c>
      <c r="N3195" s="20"/>
    </row>
    <row r="3196" spans="2:14" x14ac:dyDescent="0.25">
      <c r="B3196" s="20">
        <f>Разбивка_по_щитам!B3201</f>
      </c>
      <c r="C3196" s="20">
        <f>Разбивка_по_щитам!C3201</f>
      </c>
      <c r="D3196" s="20">
        <f>Разбивка_по_щитам!F3201</f>
      </c>
      <c r="E3196" s="20">
        <f>Разбивка_по_щитам!H3201</f>
      </c>
      <c r="F3196" s="20">
        <f>Разбивка_по_щитам!I3201</f>
      </c>
      <c r="G3196" s="20">
        <f>Разбивка_по_щитам!J3201</f>
      </c>
      <c r="H3196" s="20">
        <f>Разбивка_по_щитам!K3201</f>
      </c>
      <c r="I3196" s="20">
        <f>Разбивка_по_щитам!L3201</f>
      </c>
      <c r="J3196" s="20">
        <f>Разбивка_по_щитам!M3201</f>
      </c>
      <c r="K3196" s="20">
        <f>Разбивка_по_щитам!N3201</f>
      </c>
      <c r="L3196" s="20"/>
      <c r="M3196" s="20">
        <f>Разбивка_по_щитам!P3201</f>
      </c>
      <c r="N3196" s="20"/>
    </row>
    <row r="3197" spans="2:14" x14ac:dyDescent="0.25">
      <c r="B3197" s="20">
        <f>Разбивка_по_щитам!B3202</f>
      </c>
      <c r="C3197" s="20">
        <f>Разбивка_по_щитам!C3202</f>
      </c>
      <c r="D3197" s="20">
        <f>Разбивка_по_щитам!F3202</f>
      </c>
      <c r="E3197" s="20">
        <f>Разбивка_по_щитам!H3202</f>
      </c>
      <c r="F3197" s="20">
        <f>Разбивка_по_щитам!I3202</f>
      </c>
      <c r="G3197" s="20">
        <f>Разбивка_по_щитам!J3202</f>
      </c>
      <c r="H3197" s="20">
        <f>Разбивка_по_щитам!K3202</f>
      </c>
      <c r="I3197" s="20">
        <f>Разбивка_по_щитам!L3202</f>
      </c>
      <c r="J3197" s="20">
        <f>Разбивка_по_щитам!M3202</f>
      </c>
      <c r="K3197" s="20">
        <f>Разбивка_по_щитам!N3202</f>
      </c>
      <c r="L3197" s="20"/>
      <c r="M3197" s="20">
        <f>Разбивка_по_щитам!P3202</f>
      </c>
      <c r="N3197" s="20"/>
    </row>
    <row r="3198" spans="2:14" x14ac:dyDescent="0.25">
      <c r="B3198" s="20">
        <f>Разбивка_по_щитам!B3203</f>
      </c>
      <c r="C3198" s="20">
        <f>Разбивка_по_щитам!C3203</f>
      </c>
      <c r="D3198" s="20">
        <f>Разбивка_по_щитам!F3203</f>
      </c>
      <c r="E3198" s="20">
        <f>Разбивка_по_щитам!H3203</f>
      </c>
      <c r="F3198" s="20">
        <f>Разбивка_по_щитам!I3203</f>
      </c>
      <c r="G3198" s="20">
        <f>Разбивка_по_щитам!J3203</f>
      </c>
      <c r="H3198" s="20">
        <f>Разбивка_по_щитам!K3203</f>
      </c>
      <c r="I3198" s="20">
        <f>Разбивка_по_щитам!L3203</f>
      </c>
      <c r="J3198" s="20">
        <f>Разбивка_по_щитам!M3203</f>
      </c>
      <c r="K3198" s="20">
        <f>Разбивка_по_щитам!N3203</f>
      </c>
      <c r="L3198" s="20"/>
      <c r="M3198" s="20">
        <f>Разбивка_по_щитам!P3203</f>
      </c>
      <c r="N3198" s="20"/>
    </row>
    <row r="3199" spans="2:14" x14ac:dyDescent="0.25">
      <c r="B3199" s="20">
        <f>Разбивка_по_щитам!B3204</f>
      </c>
      <c r="C3199" s="20">
        <f>Разбивка_по_щитам!C3204</f>
      </c>
      <c r="D3199" s="20">
        <f>Разбивка_по_щитам!F3204</f>
      </c>
      <c r="E3199" s="20">
        <f>Разбивка_по_щитам!H3204</f>
      </c>
      <c r="F3199" s="20">
        <f>Разбивка_по_щитам!I3204</f>
      </c>
      <c r="G3199" s="20">
        <f>Разбивка_по_щитам!J3204</f>
      </c>
      <c r="H3199" s="20">
        <f>Разбивка_по_щитам!K3204</f>
      </c>
      <c r="I3199" s="20">
        <f>Разбивка_по_щитам!L3204</f>
      </c>
      <c r="J3199" s="20">
        <f>Разбивка_по_щитам!M3204</f>
      </c>
      <c r="K3199" s="20">
        <f>Разбивка_по_щитам!N3204</f>
      </c>
      <c r="L3199" s="20"/>
      <c r="M3199" s="20">
        <f>Разбивка_по_щитам!P3204</f>
      </c>
      <c r="N3199" s="20"/>
    </row>
    <row r="3200" spans="2:14" x14ac:dyDescent="0.25">
      <c r="B3200" s="20">
        <f>Разбивка_по_щитам!B3205</f>
      </c>
      <c r="C3200" s="20">
        <f>Разбивка_по_щитам!C3205</f>
      </c>
      <c r="D3200" s="20">
        <f>Разбивка_по_щитам!F3205</f>
      </c>
      <c r="E3200" s="20">
        <f>Разбивка_по_щитам!H3205</f>
      </c>
      <c r="F3200" s="20">
        <f>Разбивка_по_щитам!I3205</f>
      </c>
      <c r="G3200" s="20">
        <f>Разбивка_по_щитам!J3205</f>
      </c>
      <c r="H3200" s="20">
        <f>Разбивка_по_щитам!K3205</f>
      </c>
      <c r="I3200" s="20">
        <f>Разбивка_по_щитам!L3205</f>
      </c>
      <c r="J3200" s="20">
        <f>Разбивка_по_щитам!M3205</f>
      </c>
      <c r="K3200" s="20">
        <f>Разбивка_по_щитам!N3205</f>
      </c>
      <c r="L3200" s="20"/>
      <c r="M3200" s="20">
        <f>Разбивка_по_щитам!P3205</f>
      </c>
      <c r="N3200" s="20"/>
    </row>
    <row r="3201" spans="2:14" x14ac:dyDescent="0.25">
      <c r="B3201" s="20">
        <f>Разбивка_по_щитам!B3206</f>
      </c>
      <c r="C3201" s="20">
        <f>Разбивка_по_щитам!C3206</f>
      </c>
      <c r="D3201" s="20">
        <f>Разбивка_по_щитам!F3206</f>
      </c>
      <c r="E3201" s="20">
        <f>Разбивка_по_щитам!H3206</f>
      </c>
      <c r="F3201" s="20">
        <f>Разбивка_по_щитам!I3206</f>
      </c>
      <c r="G3201" s="20">
        <f>Разбивка_по_щитам!J3206</f>
      </c>
      <c r="H3201" s="20">
        <f>Разбивка_по_щитам!K3206</f>
      </c>
      <c r="I3201" s="20">
        <f>Разбивка_по_щитам!L3206</f>
      </c>
      <c r="J3201" s="20">
        <f>Разбивка_по_щитам!M3206</f>
      </c>
      <c r="K3201" s="20">
        <f>Разбивка_по_щитам!N3206</f>
      </c>
      <c r="L3201" s="20"/>
      <c r="M3201" s="20">
        <f>Разбивка_по_щитам!P3206</f>
      </c>
      <c r="N3201" s="20"/>
    </row>
    <row r="3202" spans="2:14" x14ac:dyDescent="0.25">
      <c r="B3202" s="20">
        <f>Разбивка_по_щитам!B3207</f>
      </c>
      <c r="C3202" s="20">
        <f>Разбивка_по_щитам!C3207</f>
      </c>
      <c r="D3202" s="20">
        <f>Разбивка_по_щитам!F3207</f>
      </c>
      <c r="E3202" s="20">
        <f>Разбивка_по_щитам!H3207</f>
      </c>
      <c r="F3202" s="20">
        <f>Разбивка_по_щитам!I3207</f>
      </c>
      <c r="G3202" s="20">
        <f>Разбивка_по_щитам!J3207</f>
      </c>
      <c r="H3202" s="20">
        <f>Разбивка_по_щитам!K3207</f>
      </c>
      <c r="I3202" s="20">
        <f>Разбивка_по_щитам!L3207</f>
      </c>
      <c r="J3202" s="20">
        <f>Разбивка_по_щитам!M3207</f>
      </c>
      <c r="K3202" s="20">
        <f>Разбивка_по_щитам!N3207</f>
      </c>
      <c r="L3202" s="20"/>
      <c r="M3202" s="20">
        <f>Разбивка_по_щитам!P3207</f>
      </c>
      <c r="N3202" s="20"/>
    </row>
    <row r="3203" spans="2:14" x14ac:dyDescent="0.25">
      <c r="B3203" s="20">
        <f>Разбивка_по_щитам!B3208</f>
      </c>
      <c r="C3203" s="20">
        <f>Разбивка_по_щитам!C3208</f>
      </c>
      <c r="D3203" s="20">
        <f>Разбивка_по_щитам!F3208</f>
      </c>
      <c r="E3203" s="20">
        <f>Разбивка_по_щитам!H3208</f>
      </c>
      <c r="F3203" s="20">
        <f>Разбивка_по_щитам!I3208</f>
      </c>
      <c r="G3203" s="20">
        <f>Разбивка_по_щитам!J3208</f>
      </c>
      <c r="H3203" s="20">
        <f>Разбивка_по_щитам!K3208</f>
      </c>
      <c r="I3203" s="20">
        <f>Разбивка_по_щитам!L3208</f>
      </c>
      <c r="J3203" s="20">
        <f>Разбивка_по_щитам!M3208</f>
      </c>
      <c r="K3203" s="20">
        <f>Разбивка_по_щитам!N3208</f>
      </c>
      <c r="L3203" s="20"/>
      <c r="M3203" s="20">
        <f>Разбивка_по_щитам!P3208</f>
      </c>
      <c r="N3203" s="20"/>
    </row>
    <row r="3204" spans="2:14" x14ac:dyDescent="0.25">
      <c r="B3204" s="20">
        <f>Разбивка_по_щитам!B3209</f>
      </c>
      <c r="C3204" s="20">
        <f>Разбивка_по_щитам!C3209</f>
      </c>
      <c r="D3204" s="20">
        <f>Разбивка_по_щитам!F3209</f>
      </c>
      <c r="E3204" s="20">
        <f>Разбивка_по_щитам!H3209</f>
      </c>
      <c r="F3204" s="20">
        <f>Разбивка_по_щитам!I3209</f>
      </c>
      <c r="G3204" s="20">
        <f>Разбивка_по_щитам!J3209</f>
      </c>
      <c r="H3204" s="20">
        <f>Разбивка_по_щитам!K3209</f>
      </c>
      <c r="I3204" s="20">
        <f>Разбивка_по_щитам!L3209</f>
      </c>
      <c r="J3204" s="20">
        <f>Разбивка_по_щитам!M3209</f>
      </c>
      <c r="K3204" s="20">
        <f>Разбивка_по_щитам!N3209</f>
      </c>
      <c r="L3204" s="20"/>
      <c r="M3204" s="20">
        <f>Разбивка_по_щитам!P3209</f>
      </c>
      <c r="N3204" s="20"/>
    </row>
    <row r="3205" spans="2:14" x14ac:dyDescent="0.25">
      <c r="B3205" s="20">
        <f>Разбивка_по_щитам!B3210</f>
      </c>
      <c r="C3205" s="20">
        <f>Разбивка_по_щитам!C3210</f>
      </c>
      <c r="D3205" s="20">
        <f>Разбивка_по_щитам!F3210</f>
      </c>
      <c r="E3205" s="20">
        <f>Разбивка_по_щитам!H3210</f>
      </c>
      <c r="F3205" s="20">
        <f>Разбивка_по_щитам!I3210</f>
      </c>
      <c r="G3205" s="20">
        <f>Разбивка_по_щитам!J3210</f>
      </c>
      <c r="H3205" s="20">
        <f>Разбивка_по_щитам!K3210</f>
      </c>
      <c r="I3205" s="20">
        <f>Разбивка_по_щитам!L3210</f>
      </c>
      <c r="J3205" s="20">
        <f>Разбивка_по_щитам!M3210</f>
      </c>
      <c r="K3205" s="20">
        <f>Разбивка_по_щитам!N3210</f>
      </c>
      <c r="L3205" s="20"/>
      <c r="M3205" s="20">
        <f>Разбивка_по_щитам!P3210</f>
      </c>
      <c r="N3205" s="20"/>
    </row>
    <row r="3206" spans="2:14" x14ac:dyDescent="0.25">
      <c r="B3206" s="20">
        <f>Разбивка_по_щитам!B3211</f>
      </c>
      <c r="C3206" s="20">
        <f>Разбивка_по_щитам!C3211</f>
      </c>
      <c r="D3206" s="20">
        <f>Разбивка_по_щитам!F3211</f>
      </c>
      <c r="E3206" s="20">
        <f>Разбивка_по_щитам!H3211</f>
      </c>
      <c r="F3206" s="20">
        <f>Разбивка_по_щитам!I3211</f>
      </c>
      <c r="G3206" s="20">
        <f>Разбивка_по_щитам!J3211</f>
      </c>
      <c r="H3206" s="20">
        <f>Разбивка_по_щитам!K3211</f>
      </c>
      <c r="I3206" s="20">
        <f>Разбивка_по_щитам!L3211</f>
      </c>
      <c r="J3206" s="20">
        <f>Разбивка_по_щитам!M3211</f>
      </c>
      <c r="K3206" s="20">
        <f>Разбивка_по_щитам!N3211</f>
      </c>
      <c r="L3206" s="20"/>
      <c r="M3206" s="20">
        <f>Разбивка_по_щитам!P3211</f>
      </c>
      <c r="N3206" s="20"/>
    </row>
    <row r="3207" spans="2:14" x14ac:dyDescent="0.25">
      <c r="B3207" s="20">
        <f>Разбивка_по_щитам!B3212</f>
      </c>
      <c r="C3207" s="20">
        <f>Разбивка_по_щитам!C3212</f>
      </c>
      <c r="D3207" s="20">
        <f>Разбивка_по_щитам!F3212</f>
      </c>
      <c r="E3207" s="20">
        <f>Разбивка_по_щитам!H3212</f>
      </c>
      <c r="F3207" s="20">
        <f>Разбивка_по_щитам!I3212</f>
      </c>
      <c r="G3207" s="20">
        <f>Разбивка_по_щитам!J3212</f>
      </c>
      <c r="H3207" s="20">
        <f>Разбивка_по_щитам!K3212</f>
      </c>
      <c r="I3207" s="20">
        <f>Разбивка_по_щитам!L3212</f>
      </c>
      <c r="J3207" s="20">
        <f>Разбивка_по_щитам!M3212</f>
      </c>
      <c r="K3207" s="20">
        <f>Разбивка_по_щитам!N3212</f>
      </c>
      <c r="L3207" s="20"/>
      <c r="M3207" s="20">
        <f>Разбивка_по_щитам!P3212</f>
      </c>
      <c r="N3207" s="20"/>
    </row>
    <row r="3208" spans="2:14" x14ac:dyDescent="0.25">
      <c r="B3208" s="20">
        <f>Разбивка_по_щитам!B3213</f>
      </c>
      <c r="C3208" s="20">
        <f>Разбивка_по_щитам!C3213</f>
      </c>
      <c r="D3208" s="20">
        <f>Разбивка_по_щитам!F3213</f>
      </c>
      <c r="E3208" s="20">
        <f>Разбивка_по_щитам!H3213</f>
      </c>
      <c r="F3208" s="20">
        <f>Разбивка_по_щитам!I3213</f>
      </c>
      <c r="G3208" s="20">
        <f>Разбивка_по_щитам!J3213</f>
      </c>
      <c r="H3208" s="20">
        <f>Разбивка_по_щитам!K3213</f>
      </c>
      <c r="I3208" s="20">
        <f>Разбивка_по_щитам!L3213</f>
      </c>
      <c r="J3208" s="20">
        <f>Разбивка_по_щитам!M3213</f>
      </c>
      <c r="K3208" s="20">
        <f>Разбивка_по_щитам!N3213</f>
      </c>
      <c r="L3208" s="20"/>
      <c r="M3208" s="20">
        <f>Разбивка_по_щитам!P3213</f>
      </c>
      <c r="N3208" s="20"/>
    </row>
    <row r="3209" spans="2:14" x14ac:dyDescent="0.25">
      <c r="B3209" s="20">
        <f>Разбивка_по_щитам!B3214</f>
      </c>
      <c r="C3209" s="20">
        <f>Разбивка_по_щитам!C3214</f>
      </c>
      <c r="D3209" s="20">
        <f>Разбивка_по_щитам!F3214</f>
      </c>
      <c r="E3209" s="20">
        <f>Разбивка_по_щитам!H3214</f>
      </c>
      <c r="F3209" s="20">
        <f>Разбивка_по_щитам!I3214</f>
      </c>
      <c r="G3209" s="20">
        <f>Разбивка_по_щитам!J3214</f>
      </c>
      <c r="H3209" s="20">
        <f>Разбивка_по_щитам!K3214</f>
      </c>
      <c r="I3209" s="20">
        <f>Разбивка_по_щитам!L3214</f>
      </c>
      <c r="J3209" s="20">
        <f>Разбивка_по_щитам!M3214</f>
      </c>
      <c r="K3209" s="20">
        <f>Разбивка_по_щитам!N3214</f>
      </c>
      <c r="L3209" s="20"/>
      <c r="M3209" s="20">
        <f>Разбивка_по_щитам!P3214</f>
      </c>
      <c r="N3209" s="20"/>
    </row>
    <row r="3210" spans="2:14" x14ac:dyDescent="0.25">
      <c r="B3210" s="20">
        <f>Разбивка_по_щитам!B3215</f>
      </c>
      <c r="C3210" s="20">
        <f>Разбивка_по_щитам!C3215</f>
      </c>
      <c r="D3210" s="20">
        <f>Разбивка_по_щитам!F3215</f>
      </c>
      <c r="E3210" s="20">
        <f>Разбивка_по_щитам!H3215</f>
      </c>
      <c r="F3210" s="20">
        <f>Разбивка_по_щитам!I3215</f>
      </c>
      <c r="G3210" s="20">
        <f>Разбивка_по_щитам!J3215</f>
      </c>
      <c r="H3210" s="20">
        <f>Разбивка_по_щитам!K3215</f>
      </c>
      <c r="I3210" s="20">
        <f>Разбивка_по_щитам!L3215</f>
      </c>
      <c r="J3210" s="20">
        <f>Разбивка_по_щитам!M3215</f>
      </c>
      <c r="K3210" s="20">
        <f>Разбивка_по_щитам!N3215</f>
      </c>
      <c r="L3210" s="20"/>
      <c r="M3210" s="20">
        <f>Разбивка_по_щитам!P3215</f>
      </c>
      <c r="N3210" s="20"/>
    </row>
    <row r="3211" spans="2:14" x14ac:dyDescent="0.25">
      <c r="B3211" s="20">
        <f>Разбивка_по_щитам!B3216</f>
      </c>
      <c r="C3211" s="20">
        <f>Разбивка_по_щитам!C3216</f>
      </c>
      <c r="D3211" s="20">
        <f>Разбивка_по_щитам!F3216</f>
      </c>
      <c r="E3211" s="20">
        <f>Разбивка_по_щитам!H3216</f>
      </c>
      <c r="F3211" s="20">
        <f>Разбивка_по_щитам!I3216</f>
      </c>
      <c r="G3211" s="20">
        <f>Разбивка_по_щитам!J3216</f>
      </c>
      <c r="H3211" s="20">
        <f>Разбивка_по_щитам!K3216</f>
      </c>
      <c r="I3211" s="20">
        <f>Разбивка_по_щитам!L3216</f>
      </c>
      <c r="J3211" s="20">
        <f>Разбивка_по_щитам!M3216</f>
      </c>
      <c r="K3211" s="20">
        <f>Разбивка_по_щитам!N3216</f>
      </c>
      <c r="L3211" s="20"/>
      <c r="M3211" s="20">
        <f>Разбивка_по_щитам!P3216</f>
      </c>
      <c r="N3211" s="20"/>
    </row>
    <row r="3212" spans="2:14" x14ac:dyDescent="0.25">
      <c r="B3212" s="20">
        <f>Разбивка_по_щитам!B3217</f>
      </c>
      <c r="C3212" s="20">
        <f>Разбивка_по_щитам!C3217</f>
      </c>
      <c r="D3212" s="20">
        <f>Разбивка_по_щитам!F3217</f>
      </c>
      <c r="E3212" s="20">
        <f>Разбивка_по_щитам!H3217</f>
      </c>
      <c r="F3212" s="20">
        <f>Разбивка_по_щитам!I3217</f>
      </c>
      <c r="G3212" s="20">
        <f>Разбивка_по_щитам!J3217</f>
      </c>
      <c r="H3212" s="20">
        <f>Разбивка_по_щитам!K3217</f>
      </c>
      <c r="I3212" s="20">
        <f>Разбивка_по_щитам!L3217</f>
      </c>
      <c r="J3212" s="20">
        <f>Разбивка_по_щитам!M3217</f>
      </c>
      <c r="K3212" s="20">
        <f>Разбивка_по_щитам!N3217</f>
      </c>
      <c r="L3212" s="20"/>
      <c r="M3212" s="20">
        <f>Разбивка_по_щитам!P3217</f>
      </c>
      <c r="N3212" s="20"/>
    </row>
    <row r="3213" spans="2:14" x14ac:dyDescent="0.25">
      <c r="B3213" s="20">
        <f>Разбивка_по_щитам!B3218</f>
      </c>
      <c r="C3213" s="20">
        <f>Разбивка_по_щитам!C3218</f>
      </c>
      <c r="D3213" s="20">
        <f>Разбивка_по_щитам!F3218</f>
      </c>
      <c r="E3213" s="20">
        <f>Разбивка_по_щитам!H3218</f>
      </c>
      <c r="F3213" s="20">
        <f>Разбивка_по_щитам!I3218</f>
      </c>
      <c r="G3213" s="20">
        <f>Разбивка_по_щитам!J3218</f>
      </c>
      <c r="H3213" s="20">
        <f>Разбивка_по_щитам!K3218</f>
      </c>
      <c r="I3213" s="20">
        <f>Разбивка_по_щитам!L3218</f>
      </c>
      <c r="J3213" s="20">
        <f>Разбивка_по_щитам!M3218</f>
      </c>
      <c r="K3213" s="20">
        <f>Разбивка_по_щитам!N3218</f>
      </c>
      <c r="L3213" s="20"/>
      <c r="M3213" s="20">
        <f>Разбивка_по_щитам!P3218</f>
      </c>
      <c r="N3213" s="20"/>
    </row>
    <row r="3214" spans="2:14" x14ac:dyDescent="0.25">
      <c r="B3214" s="20">
        <f>Разбивка_по_щитам!B3219</f>
      </c>
      <c r="C3214" s="20">
        <f>Разбивка_по_щитам!C3219</f>
      </c>
      <c r="D3214" s="20">
        <f>Разбивка_по_щитам!F3219</f>
      </c>
      <c r="E3214" s="20">
        <f>Разбивка_по_щитам!H3219</f>
      </c>
      <c r="F3214" s="20">
        <f>Разбивка_по_щитам!I3219</f>
      </c>
      <c r="G3214" s="20">
        <f>Разбивка_по_щитам!J3219</f>
      </c>
      <c r="H3214" s="20">
        <f>Разбивка_по_щитам!K3219</f>
      </c>
      <c r="I3214" s="20">
        <f>Разбивка_по_щитам!L3219</f>
      </c>
      <c r="J3214" s="20">
        <f>Разбивка_по_щитам!M3219</f>
      </c>
      <c r="K3214" s="20">
        <f>Разбивка_по_щитам!N3219</f>
      </c>
      <c r="L3214" s="20"/>
      <c r="M3214" s="20">
        <f>Разбивка_по_щитам!P3219</f>
      </c>
      <c r="N3214" s="20"/>
    </row>
    <row r="3215" spans="2:14" x14ac:dyDescent="0.25">
      <c r="B3215" s="20">
        <f>Разбивка_по_щитам!B3220</f>
      </c>
      <c r="C3215" s="20">
        <f>Разбивка_по_щитам!C3220</f>
      </c>
      <c r="D3215" s="20">
        <f>Разбивка_по_щитам!F3220</f>
      </c>
      <c r="E3215" s="20">
        <f>Разбивка_по_щитам!H3220</f>
      </c>
      <c r="F3215" s="20">
        <f>Разбивка_по_щитам!I3220</f>
      </c>
      <c r="G3215" s="20">
        <f>Разбивка_по_щитам!J3220</f>
      </c>
      <c r="H3215" s="20">
        <f>Разбивка_по_щитам!K3220</f>
      </c>
      <c r="I3215" s="20">
        <f>Разбивка_по_щитам!L3220</f>
      </c>
      <c r="J3215" s="20">
        <f>Разбивка_по_щитам!M3220</f>
      </c>
      <c r="K3215" s="20">
        <f>Разбивка_по_щитам!N3220</f>
      </c>
      <c r="L3215" s="20"/>
      <c r="M3215" s="20">
        <f>Разбивка_по_щитам!P3220</f>
      </c>
      <c r="N3215" s="20"/>
    </row>
    <row r="3216" spans="2:14" x14ac:dyDescent="0.25">
      <c r="B3216" s="20">
        <f>Разбивка_по_щитам!B3221</f>
      </c>
      <c r="C3216" s="20">
        <f>Разбивка_по_щитам!C3221</f>
      </c>
      <c r="D3216" s="20">
        <f>Разбивка_по_щитам!F3221</f>
      </c>
      <c r="E3216" s="20">
        <f>Разбивка_по_щитам!H3221</f>
      </c>
      <c r="F3216" s="20">
        <f>Разбивка_по_щитам!I3221</f>
      </c>
      <c r="G3216" s="20">
        <f>Разбивка_по_щитам!J3221</f>
      </c>
      <c r="H3216" s="20">
        <f>Разбивка_по_щитам!K3221</f>
      </c>
      <c r="I3216" s="20">
        <f>Разбивка_по_щитам!L3221</f>
      </c>
      <c r="J3216" s="20">
        <f>Разбивка_по_щитам!M3221</f>
      </c>
      <c r="K3216" s="20">
        <f>Разбивка_по_щитам!N3221</f>
      </c>
      <c r="L3216" s="20"/>
      <c r="M3216" s="20">
        <f>Разбивка_по_щитам!P3221</f>
      </c>
      <c r="N3216" s="20"/>
    </row>
    <row r="3217" spans="2:14" x14ac:dyDescent="0.25">
      <c r="B3217" s="20">
        <f>Разбивка_по_щитам!B3222</f>
      </c>
      <c r="C3217" s="20">
        <f>Разбивка_по_щитам!C3222</f>
      </c>
      <c r="D3217" s="20">
        <f>Разбивка_по_щитам!F3222</f>
      </c>
      <c r="E3217" s="20">
        <f>Разбивка_по_щитам!H3222</f>
      </c>
      <c r="F3217" s="20">
        <f>Разбивка_по_щитам!I3222</f>
      </c>
      <c r="G3217" s="20">
        <f>Разбивка_по_щитам!J3222</f>
      </c>
      <c r="H3217" s="20">
        <f>Разбивка_по_щитам!K3222</f>
      </c>
      <c r="I3217" s="20">
        <f>Разбивка_по_щитам!L3222</f>
      </c>
      <c r="J3217" s="20">
        <f>Разбивка_по_щитам!M3222</f>
      </c>
      <c r="K3217" s="20">
        <f>Разбивка_по_щитам!N3222</f>
      </c>
      <c r="L3217" s="20"/>
      <c r="M3217" s="20">
        <f>Разбивка_по_щитам!P3222</f>
      </c>
      <c r="N3217" s="20"/>
    </row>
    <row r="3218" spans="2:14" x14ac:dyDescent="0.25">
      <c r="B3218" s="20">
        <f>Разбивка_по_щитам!B3223</f>
      </c>
      <c r="C3218" s="20">
        <f>Разбивка_по_щитам!C3223</f>
      </c>
      <c r="D3218" s="20">
        <f>Разбивка_по_щитам!F3223</f>
      </c>
      <c r="E3218" s="20">
        <f>Разбивка_по_щитам!H3223</f>
      </c>
      <c r="F3218" s="20">
        <f>Разбивка_по_щитам!I3223</f>
      </c>
      <c r="G3218" s="20">
        <f>Разбивка_по_щитам!J3223</f>
      </c>
      <c r="H3218" s="20">
        <f>Разбивка_по_щитам!K3223</f>
      </c>
      <c r="I3218" s="20">
        <f>Разбивка_по_щитам!L3223</f>
      </c>
      <c r="J3218" s="20">
        <f>Разбивка_по_щитам!M3223</f>
      </c>
      <c r="K3218" s="20">
        <f>Разбивка_по_щитам!N3223</f>
      </c>
      <c r="L3218" s="20"/>
      <c r="M3218" s="20">
        <f>Разбивка_по_щитам!P3223</f>
      </c>
      <c r="N3218" s="20"/>
    </row>
    <row r="3219" spans="2:14" x14ac:dyDescent="0.25">
      <c r="B3219" s="20">
        <f>Разбивка_по_щитам!B3224</f>
      </c>
      <c r="C3219" s="20">
        <f>Разбивка_по_щитам!C3224</f>
      </c>
      <c r="D3219" s="20">
        <f>Разбивка_по_щитам!F3224</f>
      </c>
      <c r="E3219" s="20">
        <f>Разбивка_по_щитам!H3224</f>
      </c>
      <c r="F3219" s="20">
        <f>Разбивка_по_щитам!I3224</f>
      </c>
      <c r="G3219" s="20">
        <f>Разбивка_по_щитам!J3224</f>
      </c>
      <c r="H3219" s="20">
        <f>Разбивка_по_щитам!K3224</f>
      </c>
      <c r="I3219" s="20">
        <f>Разбивка_по_щитам!L3224</f>
      </c>
      <c r="J3219" s="20">
        <f>Разбивка_по_щитам!M3224</f>
      </c>
      <c r="K3219" s="20">
        <f>Разбивка_по_щитам!N3224</f>
      </c>
      <c r="L3219" s="20"/>
      <c r="M3219" s="20">
        <f>Разбивка_по_щитам!P3224</f>
      </c>
      <c r="N3219" s="20"/>
    </row>
    <row r="3220" spans="2:14" x14ac:dyDescent="0.25">
      <c r="B3220" s="20">
        <f>Разбивка_по_щитам!B3225</f>
      </c>
      <c r="C3220" s="20">
        <f>Разбивка_по_щитам!C3225</f>
      </c>
      <c r="D3220" s="20">
        <f>Разбивка_по_щитам!F3225</f>
      </c>
      <c r="E3220" s="20">
        <f>Разбивка_по_щитам!H3225</f>
      </c>
      <c r="F3220" s="20">
        <f>Разбивка_по_щитам!I3225</f>
      </c>
      <c r="G3220" s="20">
        <f>Разбивка_по_щитам!J3225</f>
      </c>
      <c r="H3220" s="20">
        <f>Разбивка_по_щитам!K3225</f>
      </c>
      <c r="I3220" s="20">
        <f>Разбивка_по_щитам!L3225</f>
      </c>
      <c r="J3220" s="20">
        <f>Разбивка_по_щитам!M3225</f>
      </c>
      <c r="K3220" s="20">
        <f>Разбивка_по_щитам!N3225</f>
      </c>
      <c r="L3220" s="20"/>
      <c r="M3220" s="20">
        <f>Разбивка_по_щитам!P3225</f>
      </c>
      <c r="N3220" s="20"/>
    </row>
    <row r="3221" spans="2:14" x14ac:dyDescent="0.25">
      <c r="B3221" s="20">
        <f>Разбивка_по_щитам!B3226</f>
      </c>
      <c r="C3221" s="20">
        <f>Разбивка_по_щитам!C3226</f>
      </c>
      <c r="D3221" s="20">
        <f>Разбивка_по_щитам!F3226</f>
      </c>
      <c r="E3221" s="20">
        <f>Разбивка_по_щитам!H3226</f>
      </c>
      <c r="F3221" s="20">
        <f>Разбивка_по_щитам!I3226</f>
      </c>
      <c r="G3221" s="20">
        <f>Разбивка_по_щитам!J3226</f>
      </c>
      <c r="H3221" s="20">
        <f>Разбивка_по_щитам!K3226</f>
      </c>
      <c r="I3221" s="20">
        <f>Разбивка_по_щитам!L3226</f>
      </c>
      <c r="J3221" s="20">
        <f>Разбивка_по_щитам!M3226</f>
      </c>
      <c r="K3221" s="20">
        <f>Разбивка_по_щитам!N3226</f>
      </c>
      <c r="L3221" s="20"/>
      <c r="M3221" s="20">
        <f>Разбивка_по_щитам!P3226</f>
      </c>
      <c r="N3221" s="20"/>
    </row>
    <row r="3222" spans="2:14" x14ac:dyDescent="0.25">
      <c r="B3222" s="20">
        <f>Разбивка_по_щитам!B3227</f>
      </c>
      <c r="C3222" s="20">
        <f>Разбивка_по_щитам!C3227</f>
      </c>
      <c r="D3222" s="20">
        <f>Разбивка_по_щитам!F3227</f>
      </c>
      <c r="E3222" s="20">
        <f>Разбивка_по_щитам!H3227</f>
      </c>
      <c r="F3222" s="20">
        <f>Разбивка_по_щитам!I3227</f>
      </c>
      <c r="G3222" s="20">
        <f>Разбивка_по_щитам!J3227</f>
      </c>
      <c r="H3222" s="20">
        <f>Разбивка_по_щитам!K3227</f>
      </c>
      <c r="I3222" s="20">
        <f>Разбивка_по_щитам!L3227</f>
      </c>
      <c r="J3222" s="20">
        <f>Разбивка_по_щитам!M3227</f>
      </c>
      <c r="K3222" s="20">
        <f>Разбивка_по_щитам!N3227</f>
      </c>
      <c r="L3222" s="20"/>
      <c r="M3222" s="20">
        <f>Разбивка_по_щитам!P3227</f>
      </c>
      <c r="N3222" s="20"/>
    </row>
    <row r="3223" spans="2:14" x14ac:dyDescent="0.25">
      <c r="B3223" s="20">
        <f>Разбивка_по_щитам!B3228</f>
      </c>
      <c r="C3223" s="20">
        <f>Разбивка_по_щитам!C3228</f>
      </c>
      <c r="D3223" s="20">
        <f>Разбивка_по_щитам!F3228</f>
      </c>
      <c r="E3223" s="20">
        <f>Разбивка_по_щитам!H3228</f>
      </c>
      <c r="F3223" s="20">
        <f>Разбивка_по_щитам!I3228</f>
      </c>
      <c r="G3223" s="20">
        <f>Разбивка_по_щитам!J3228</f>
      </c>
      <c r="H3223" s="20">
        <f>Разбивка_по_щитам!K3228</f>
      </c>
      <c r="I3223" s="20">
        <f>Разбивка_по_щитам!L3228</f>
      </c>
      <c r="J3223" s="20">
        <f>Разбивка_по_щитам!M3228</f>
      </c>
      <c r="K3223" s="20">
        <f>Разбивка_по_щитам!N3228</f>
      </c>
      <c r="L3223" s="20"/>
      <c r="M3223" s="20">
        <f>Разбивка_по_щитам!P3228</f>
      </c>
      <c r="N3223" s="20"/>
    </row>
    <row r="3224" spans="2:14" x14ac:dyDescent="0.25">
      <c r="B3224" s="20">
        <f>Разбивка_по_щитам!B3229</f>
      </c>
      <c r="C3224" s="20">
        <f>Разбивка_по_щитам!C3229</f>
      </c>
      <c r="D3224" s="20">
        <f>Разбивка_по_щитам!F3229</f>
      </c>
      <c r="E3224" s="20">
        <f>Разбивка_по_щитам!H3229</f>
      </c>
      <c r="F3224" s="20">
        <f>Разбивка_по_щитам!I3229</f>
      </c>
      <c r="G3224" s="20">
        <f>Разбивка_по_щитам!J3229</f>
      </c>
      <c r="H3224" s="20">
        <f>Разбивка_по_щитам!K3229</f>
      </c>
      <c r="I3224" s="20">
        <f>Разбивка_по_щитам!L3229</f>
      </c>
      <c r="J3224" s="20">
        <f>Разбивка_по_щитам!M3229</f>
      </c>
      <c r="K3224" s="20">
        <f>Разбивка_по_щитам!N3229</f>
      </c>
      <c r="L3224" s="20"/>
      <c r="M3224" s="20">
        <f>Разбивка_по_щитам!P3229</f>
      </c>
      <c r="N3224" s="20"/>
    </row>
    <row r="3225" spans="2:14" x14ac:dyDescent="0.25">
      <c r="B3225" s="20">
        <f>Разбивка_по_щитам!B3230</f>
      </c>
      <c r="C3225" s="20">
        <f>Разбивка_по_щитам!C3230</f>
      </c>
      <c r="D3225" s="20">
        <f>Разбивка_по_щитам!F3230</f>
      </c>
      <c r="E3225" s="20">
        <f>Разбивка_по_щитам!H3230</f>
      </c>
      <c r="F3225" s="20">
        <f>Разбивка_по_щитам!I3230</f>
      </c>
      <c r="G3225" s="20">
        <f>Разбивка_по_щитам!J3230</f>
      </c>
      <c r="H3225" s="20">
        <f>Разбивка_по_щитам!K3230</f>
      </c>
      <c r="I3225" s="20">
        <f>Разбивка_по_щитам!L3230</f>
      </c>
      <c r="J3225" s="20">
        <f>Разбивка_по_щитам!M3230</f>
      </c>
      <c r="K3225" s="20">
        <f>Разбивка_по_щитам!N3230</f>
      </c>
      <c r="L3225" s="20"/>
      <c r="M3225" s="20">
        <f>Разбивка_по_щитам!P3230</f>
      </c>
      <c r="N3225" s="20"/>
    </row>
    <row r="3226" spans="2:14" x14ac:dyDescent="0.25">
      <c r="B3226" s="20">
        <f>Разбивка_по_щитам!B3231</f>
      </c>
      <c r="C3226" s="20">
        <f>Разбивка_по_щитам!C3231</f>
      </c>
      <c r="D3226" s="20">
        <f>Разбивка_по_щитам!F3231</f>
      </c>
      <c r="E3226" s="20">
        <f>Разбивка_по_щитам!H3231</f>
      </c>
      <c r="F3226" s="20">
        <f>Разбивка_по_щитам!I3231</f>
      </c>
      <c r="G3226" s="20">
        <f>Разбивка_по_щитам!J3231</f>
      </c>
      <c r="H3226" s="20">
        <f>Разбивка_по_щитам!K3231</f>
      </c>
      <c r="I3226" s="20">
        <f>Разбивка_по_щитам!L3231</f>
      </c>
      <c r="J3226" s="20">
        <f>Разбивка_по_щитам!M3231</f>
      </c>
      <c r="K3226" s="20">
        <f>Разбивка_по_щитам!N3231</f>
      </c>
      <c r="L3226" s="20"/>
      <c r="M3226" s="20">
        <f>Разбивка_по_щитам!P3231</f>
      </c>
      <c r="N3226" s="20"/>
    </row>
    <row r="3227" spans="2:14" x14ac:dyDescent="0.25">
      <c r="B3227" s="20">
        <f>Разбивка_по_щитам!B3232</f>
      </c>
      <c r="C3227" s="20">
        <f>Разбивка_по_щитам!C3232</f>
      </c>
      <c r="D3227" s="20">
        <f>Разбивка_по_щитам!F3232</f>
      </c>
      <c r="E3227" s="20">
        <f>Разбивка_по_щитам!H3232</f>
      </c>
      <c r="F3227" s="20">
        <f>Разбивка_по_щитам!I3232</f>
      </c>
      <c r="G3227" s="20">
        <f>Разбивка_по_щитам!J3232</f>
      </c>
      <c r="H3227" s="20">
        <f>Разбивка_по_щитам!K3232</f>
      </c>
      <c r="I3227" s="20">
        <f>Разбивка_по_щитам!L3232</f>
      </c>
      <c r="J3227" s="20">
        <f>Разбивка_по_щитам!M3232</f>
      </c>
      <c r="K3227" s="20">
        <f>Разбивка_по_щитам!N3232</f>
      </c>
      <c r="L3227" s="20"/>
      <c r="M3227" s="20">
        <f>Разбивка_по_щитам!P3232</f>
      </c>
      <c r="N3227" s="20"/>
    </row>
    <row r="3228" spans="2:14" x14ac:dyDescent="0.25">
      <c r="B3228" s="20">
        <f>Разбивка_по_щитам!B3233</f>
      </c>
      <c r="C3228" s="20">
        <f>Разбивка_по_щитам!C3233</f>
      </c>
      <c r="D3228" s="20">
        <f>Разбивка_по_щитам!F3233</f>
      </c>
      <c r="E3228" s="20">
        <f>Разбивка_по_щитам!H3233</f>
      </c>
      <c r="F3228" s="20">
        <f>Разбивка_по_щитам!I3233</f>
      </c>
      <c r="G3228" s="20">
        <f>Разбивка_по_щитам!J3233</f>
      </c>
      <c r="H3228" s="20">
        <f>Разбивка_по_щитам!K3233</f>
      </c>
      <c r="I3228" s="20">
        <f>Разбивка_по_щитам!L3233</f>
      </c>
      <c r="J3228" s="20">
        <f>Разбивка_по_щитам!M3233</f>
      </c>
      <c r="K3228" s="20">
        <f>Разбивка_по_щитам!N3233</f>
      </c>
      <c r="L3228" s="20"/>
      <c r="M3228" s="20">
        <f>Разбивка_по_щитам!P3233</f>
      </c>
      <c r="N3228" s="20"/>
    </row>
    <row r="3229" spans="2:14" x14ac:dyDescent="0.25">
      <c r="B3229" s="20">
        <f>Разбивка_по_щитам!B3234</f>
      </c>
      <c r="C3229" s="20">
        <f>Разбивка_по_щитам!C3234</f>
      </c>
      <c r="D3229" s="20">
        <f>Разбивка_по_щитам!F3234</f>
      </c>
      <c r="E3229" s="20">
        <f>Разбивка_по_щитам!H3234</f>
      </c>
      <c r="F3229" s="20">
        <f>Разбивка_по_щитам!I3234</f>
      </c>
      <c r="G3229" s="20">
        <f>Разбивка_по_щитам!J3234</f>
      </c>
      <c r="H3229" s="20">
        <f>Разбивка_по_щитам!K3234</f>
      </c>
      <c r="I3229" s="20">
        <f>Разбивка_по_щитам!L3234</f>
      </c>
      <c r="J3229" s="20">
        <f>Разбивка_по_щитам!M3234</f>
      </c>
      <c r="K3229" s="20">
        <f>Разбивка_по_щитам!N3234</f>
      </c>
      <c r="L3229" s="20"/>
      <c r="M3229" s="20">
        <f>Разбивка_по_щитам!P3234</f>
      </c>
      <c r="N3229" s="20"/>
    </row>
    <row r="3230" spans="2:14" x14ac:dyDescent="0.25">
      <c r="B3230" s="20">
        <f>Разбивка_по_щитам!B3235</f>
      </c>
      <c r="C3230" s="20">
        <f>Разбивка_по_щитам!C3235</f>
      </c>
      <c r="D3230" s="20">
        <f>Разбивка_по_щитам!F3235</f>
      </c>
      <c r="E3230" s="20">
        <f>Разбивка_по_щитам!H3235</f>
      </c>
      <c r="F3230" s="20">
        <f>Разбивка_по_щитам!I3235</f>
      </c>
      <c r="G3230" s="20">
        <f>Разбивка_по_щитам!J3235</f>
      </c>
      <c r="H3230" s="20">
        <f>Разбивка_по_щитам!K3235</f>
      </c>
      <c r="I3230" s="20">
        <f>Разбивка_по_щитам!L3235</f>
      </c>
      <c r="J3230" s="20">
        <f>Разбивка_по_щитам!M3235</f>
      </c>
      <c r="K3230" s="20">
        <f>Разбивка_по_щитам!N3235</f>
      </c>
      <c r="L3230" s="20"/>
      <c r="M3230" s="20">
        <f>Разбивка_по_щитам!P3235</f>
      </c>
      <c r="N3230" s="20"/>
    </row>
    <row r="3231" spans="2:14" x14ac:dyDescent="0.25">
      <c r="B3231" s="20">
        <f>Разбивка_по_щитам!B3236</f>
      </c>
      <c r="C3231" s="20">
        <f>Разбивка_по_щитам!C3236</f>
      </c>
      <c r="D3231" s="20">
        <f>Разбивка_по_щитам!F3236</f>
      </c>
      <c r="E3231" s="20">
        <f>Разбивка_по_щитам!H3236</f>
      </c>
      <c r="F3231" s="20">
        <f>Разбивка_по_щитам!I3236</f>
      </c>
      <c r="G3231" s="20">
        <f>Разбивка_по_щитам!J3236</f>
      </c>
      <c r="H3231" s="20">
        <f>Разбивка_по_щитам!K3236</f>
      </c>
      <c r="I3231" s="20">
        <f>Разбивка_по_щитам!L3236</f>
      </c>
      <c r="J3231" s="20">
        <f>Разбивка_по_щитам!M3236</f>
      </c>
      <c r="K3231" s="20">
        <f>Разбивка_по_щитам!N3236</f>
      </c>
      <c r="L3231" s="20"/>
      <c r="M3231" s="20">
        <f>Разбивка_по_щитам!P3236</f>
      </c>
      <c r="N3231" s="20"/>
    </row>
    <row r="3232" spans="2:14" x14ac:dyDescent="0.25">
      <c r="B3232" s="20">
        <f>Разбивка_по_щитам!B3237</f>
      </c>
      <c r="C3232" s="20">
        <f>Разбивка_по_щитам!C3237</f>
      </c>
      <c r="D3232" s="20">
        <f>Разбивка_по_щитам!F3237</f>
      </c>
      <c r="E3232" s="20">
        <f>Разбивка_по_щитам!H3237</f>
      </c>
      <c r="F3232" s="20">
        <f>Разбивка_по_щитам!I3237</f>
      </c>
      <c r="G3232" s="20">
        <f>Разбивка_по_щитам!J3237</f>
      </c>
      <c r="H3232" s="20">
        <f>Разбивка_по_щитам!K3237</f>
      </c>
      <c r="I3232" s="20">
        <f>Разбивка_по_щитам!L3237</f>
      </c>
      <c r="J3232" s="20">
        <f>Разбивка_по_щитам!M3237</f>
      </c>
      <c r="K3232" s="20">
        <f>Разбивка_по_щитам!N3237</f>
      </c>
      <c r="L3232" s="20"/>
      <c r="M3232" s="20">
        <f>Разбивка_по_щитам!P3237</f>
      </c>
      <c r="N3232" s="20"/>
    </row>
    <row r="3233" spans="2:14" x14ac:dyDescent="0.25">
      <c r="B3233" s="20">
        <f>Разбивка_по_щитам!B3238</f>
      </c>
      <c r="C3233" s="20">
        <f>Разбивка_по_щитам!C3238</f>
      </c>
      <c r="D3233" s="20">
        <f>Разбивка_по_щитам!F3238</f>
      </c>
      <c r="E3233" s="20">
        <f>Разбивка_по_щитам!H3238</f>
      </c>
      <c r="F3233" s="20">
        <f>Разбивка_по_щитам!I3238</f>
      </c>
      <c r="G3233" s="20">
        <f>Разбивка_по_щитам!J3238</f>
      </c>
      <c r="H3233" s="20">
        <f>Разбивка_по_щитам!K3238</f>
      </c>
      <c r="I3233" s="20">
        <f>Разбивка_по_щитам!L3238</f>
      </c>
      <c r="J3233" s="20">
        <f>Разбивка_по_щитам!M3238</f>
      </c>
      <c r="K3233" s="20">
        <f>Разбивка_по_щитам!N3238</f>
      </c>
      <c r="L3233" s="20"/>
      <c r="M3233" s="20">
        <f>Разбивка_по_щитам!P3238</f>
      </c>
      <c r="N3233" s="20"/>
    </row>
    <row r="3234" spans="2:14" x14ac:dyDescent="0.25">
      <c r="B3234" s="20">
        <f>Разбивка_по_щитам!B3239</f>
      </c>
      <c r="C3234" s="20">
        <f>Разбивка_по_щитам!C3239</f>
      </c>
      <c r="D3234" s="20">
        <f>Разбивка_по_щитам!F3239</f>
      </c>
      <c r="E3234" s="20">
        <f>Разбивка_по_щитам!H3239</f>
      </c>
      <c r="F3234" s="20">
        <f>Разбивка_по_щитам!I3239</f>
      </c>
      <c r="G3234" s="20">
        <f>Разбивка_по_щитам!J3239</f>
      </c>
      <c r="H3234" s="20">
        <f>Разбивка_по_щитам!K3239</f>
      </c>
      <c r="I3234" s="20">
        <f>Разбивка_по_щитам!L3239</f>
      </c>
      <c r="J3234" s="20">
        <f>Разбивка_по_щитам!M3239</f>
      </c>
      <c r="K3234" s="20">
        <f>Разбивка_по_щитам!N3239</f>
      </c>
      <c r="L3234" s="20"/>
      <c r="M3234" s="20">
        <f>Разбивка_по_щитам!P3239</f>
      </c>
      <c r="N3234" s="20"/>
    </row>
    <row r="3235" spans="2:14" x14ac:dyDescent="0.25">
      <c r="B3235" s="20">
        <f>Разбивка_по_щитам!B3240</f>
      </c>
      <c r="C3235" s="20">
        <f>Разбивка_по_щитам!C3240</f>
      </c>
      <c r="D3235" s="20">
        <f>Разбивка_по_щитам!F3240</f>
      </c>
      <c r="E3235" s="20">
        <f>Разбивка_по_щитам!H3240</f>
      </c>
      <c r="F3235" s="20">
        <f>Разбивка_по_щитам!I3240</f>
      </c>
      <c r="G3235" s="20">
        <f>Разбивка_по_щитам!J3240</f>
      </c>
      <c r="H3235" s="20">
        <f>Разбивка_по_щитам!K3240</f>
      </c>
      <c r="I3235" s="20">
        <f>Разбивка_по_щитам!L3240</f>
      </c>
      <c r="J3235" s="20">
        <f>Разбивка_по_щитам!M3240</f>
      </c>
      <c r="K3235" s="20">
        <f>Разбивка_по_щитам!N3240</f>
      </c>
      <c r="L3235" s="20"/>
      <c r="M3235" s="20">
        <f>Разбивка_по_щитам!P3240</f>
      </c>
      <c r="N3235" s="20"/>
    </row>
    <row r="3236" spans="2:14" x14ac:dyDescent="0.25">
      <c r="B3236" s="20">
        <f>Разбивка_по_щитам!B3241</f>
      </c>
      <c r="C3236" s="20">
        <f>Разбивка_по_щитам!C3241</f>
      </c>
      <c r="D3236" s="20">
        <f>Разбивка_по_щитам!F3241</f>
      </c>
      <c r="E3236" s="20">
        <f>Разбивка_по_щитам!H3241</f>
      </c>
      <c r="F3236" s="20">
        <f>Разбивка_по_щитам!I3241</f>
      </c>
      <c r="G3236" s="20">
        <f>Разбивка_по_щитам!J3241</f>
      </c>
      <c r="H3236" s="20">
        <f>Разбивка_по_щитам!K3241</f>
      </c>
      <c r="I3236" s="20">
        <f>Разбивка_по_щитам!L3241</f>
      </c>
      <c r="J3236" s="20">
        <f>Разбивка_по_щитам!M3241</f>
      </c>
      <c r="K3236" s="20">
        <f>Разбивка_по_щитам!N3241</f>
      </c>
      <c r="L3236" s="20"/>
      <c r="M3236" s="20">
        <f>Разбивка_по_щитам!P3241</f>
      </c>
      <c r="N3236" s="20"/>
    </row>
    <row r="3237" spans="2:14" x14ac:dyDescent="0.25">
      <c r="B3237" s="20">
        <f>Разбивка_по_щитам!B3242</f>
      </c>
      <c r="C3237" s="20">
        <f>Разбивка_по_щитам!C3242</f>
      </c>
      <c r="D3237" s="20">
        <f>Разбивка_по_щитам!F3242</f>
      </c>
      <c r="E3237" s="20">
        <f>Разбивка_по_щитам!H3242</f>
      </c>
      <c r="F3237" s="20">
        <f>Разбивка_по_щитам!I3242</f>
      </c>
      <c r="G3237" s="20">
        <f>Разбивка_по_щитам!J3242</f>
      </c>
      <c r="H3237" s="20">
        <f>Разбивка_по_щитам!K3242</f>
      </c>
      <c r="I3237" s="20">
        <f>Разбивка_по_щитам!L3242</f>
      </c>
      <c r="J3237" s="20">
        <f>Разбивка_по_щитам!M3242</f>
      </c>
      <c r="K3237" s="20">
        <f>Разбивка_по_щитам!N3242</f>
      </c>
      <c r="L3237" s="20"/>
      <c r="M3237" s="20">
        <f>Разбивка_по_щитам!P3242</f>
      </c>
      <c r="N3237" s="20"/>
    </row>
    <row r="3238" spans="2:14" x14ac:dyDescent="0.25">
      <c r="B3238" s="20">
        <f>Разбивка_по_щитам!B3243</f>
      </c>
      <c r="C3238" s="20">
        <f>Разбивка_по_щитам!C3243</f>
      </c>
      <c r="D3238" s="20">
        <f>Разбивка_по_щитам!F3243</f>
      </c>
      <c r="E3238" s="20">
        <f>Разбивка_по_щитам!H3243</f>
      </c>
      <c r="F3238" s="20">
        <f>Разбивка_по_щитам!I3243</f>
      </c>
      <c r="G3238" s="20">
        <f>Разбивка_по_щитам!J3243</f>
      </c>
      <c r="H3238" s="20">
        <f>Разбивка_по_щитам!K3243</f>
      </c>
      <c r="I3238" s="20">
        <f>Разбивка_по_щитам!L3243</f>
      </c>
      <c r="J3238" s="20">
        <f>Разбивка_по_щитам!M3243</f>
      </c>
      <c r="K3238" s="20">
        <f>Разбивка_по_щитам!N3243</f>
      </c>
      <c r="L3238" s="20"/>
      <c r="M3238" s="20">
        <f>Разбивка_по_щитам!P3243</f>
      </c>
      <c r="N3238" s="20"/>
    </row>
    <row r="3239" spans="2:14" x14ac:dyDescent="0.25">
      <c r="B3239" s="20">
        <f>Разбивка_по_щитам!B3244</f>
      </c>
      <c r="C3239" s="20">
        <f>Разбивка_по_щитам!C3244</f>
      </c>
      <c r="D3239" s="20">
        <f>Разбивка_по_щитам!F3244</f>
      </c>
      <c r="E3239" s="20">
        <f>Разбивка_по_щитам!H3244</f>
      </c>
      <c r="F3239" s="20">
        <f>Разбивка_по_щитам!I3244</f>
      </c>
      <c r="G3239" s="20">
        <f>Разбивка_по_щитам!J3244</f>
      </c>
      <c r="H3239" s="20">
        <f>Разбивка_по_щитам!K3244</f>
      </c>
      <c r="I3239" s="20">
        <f>Разбивка_по_щитам!L3244</f>
      </c>
      <c r="J3239" s="20">
        <f>Разбивка_по_щитам!M3244</f>
      </c>
      <c r="K3239" s="20">
        <f>Разбивка_по_щитам!N3244</f>
      </c>
      <c r="L3239" s="20"/>
      <c r="M3239" s="20">
        <f>Разбивка_по_щитам!P3244</f>
      </c>
      <c r="N3239" s="20"/>
    </row>
    <row r="3240" spans="2:14" x14ac:dyDescent="0.25">
      <c r="B3240" s="20">
        <f>Разбивка_по_щитам!B3245</f>
      </c>
      <c r="C3240" s="20">
        <f>Разбивка_по_щитам!C3245</f>
      </c>
      <c r="D3240" s="20">
        <f>Разбивка_по_щитам!F3245</f>
      </c>
      <c r="E3240" s="20">
        <f>Разбивка_по_щитам!H3245</f>
      </c>
      <c r="F3240" s="20">
        <f>Разбивка_по_щитам!I3245</f>
      </c>
      <c r="G3240" s="20">
        <f>Разбивка_по_щитам!J3245</f>
      </c>
      <c r="H3240" s="20">
        <f>Разбивка_по_щитам!K3245</f>
      </c>
      <c r="I3240" s="20">
        <f>Разбивка_по_щитам!L3245</f>
      </c>
      <c r="J3240" s="20">
        <f>Разбивка_по_щитам!M3245</f>
      </c>
      <c r="K3240" s="20">
        <f>Разбивка_по_щитам!N3245</f>
      </c>
      <c r="L3240" s="20"/>
      <c r="M3240" s="20">
        <f>Разбивка_по_щитам!P3245</f>
      </c>
      <c r="N3240" s="20"/>
    </row>
    <row r="3241" spans="2:14" x14ac:dyDescent="0.25">
      <c r="B3241" s="20">
        <f>Разбивка_по_щитам!B3246</f>
      </c>
      <c r="C3241" s="20">
        <f>Разбивка_по_щитам!C3246</f>
      </c>
      <c r="D3241" s="20">
        <f>Разбивка_по_щитам!F3246</f>
      </c>
      <c r="E3241" s="20">
        <f>Разбивка_по_щитам!H3246</f>
      </c>
      <c r="F3241" s="20">
        <f>Разбивка_по_щитам!I3246</f>
      </c>
      <c r="G3241" s="20">
        <f>Разбивка_по_щитам!J3246</f>
      </c>
      <c r="H3241" s="20">
        <f>Разбивка_по_щитам!K3246</f>
      </c>
      <c r="I3241" s="20">
        <f>Разбивка_по_щитам!L3246</f>
      </c>
      <c r="J3241" s="20">
        <f>Разбивка_по_щитам!M3246</f>
      </c>
      <c r="K3241" s="20">
        <f>Разбивка_по_щитам!N3246</f>
      </c>
      <c r="L3241" s="20"/>
      <c r="M3241" s="20">
        <f>Разбивка_по_щитам!P3246</f>
      </c>
      <c r="N3241" s="20"/>
    </row>
    <row r="3242" spans="2:14" x14ac:dyDescent="0.25">
      <c r="B3242" s="20">
        <f>Разбивка_по_щитам!B3247</f>
      </c>
      <c r="C3242" s="20">
        <f>Разбивка_по_щитам!C3247</f>
      </c>
      <c r="D3242" s="20">
        <f>Разбивка_по_щитам!F3247</f>
      </c>
      <c r="E3242" s="20">
        <f>Разбивка_по_щитам!H3247</f>
      </c>
      <c r="F3242" s="20">
        <f>Разбивка_по_щитам!I3247</f>
      </c>
      <c r="G3242" s="20">
        <f>Разбивка_по_щитам!J3247</f>
      </c>
      <c r="H3242" s="20">
        <f>Разбивка_по_щитам!K3247</f>
      </c>
      <c r="I3242" s="20">
        <f>Разбивка_по_щитам!L3247</f>
      </c>
      <c r="J3242" s="20">
        <f>Разбивка_по_щитам!M3247</f>
      </c>
      <c r="K3242" s="20">
        <f>Разбивка_по_щитам!N3247</f>
      </c>
      <c r="L3242" s="20"/>
      <c r="M3242" s="20">
        <f>Разбивка_по_щитам!P3247</f>
      </c>
      <c r="N3242" s="20"/>
    </row>
    <row r="3243" spans="2:14" x14ac:dyDescent="0.25">
      <c r="B3243" s="20">
        <f>Разбивка_по_щитам!B3248</f>
      </c>
      <c r="C3243" s="20">
        <f>Разбивка_по_щитам!C3248</f>
      </c>
      <c r="D3243" s="20">
        <f>Разбивка_по_щитам!F3248</f>
      </c>
      <c r="E3243" s="20">
        <f>Разбивка_по_щитам!H3248</f>
      </c>
      <c r="F3243" s="20">
        <f>Разбивка_по_щитам!I3248</f>
      </c>
      <c r="G3243" s="20">
        <f>Разбивка_по_щитам!J3248</f>
      </c>
      <c r="H3243" s="20">
        <f>Разбивка_по_щитам!K3248</f>
      </c>
      <c r="I3243" s="20">
        <f>Разбивка_по_щитам!L3248</f>
      </c>
      <c r="J3243" s="20">
        <f>Разбивка_по_щитам!M3248</f>
      </c>
      <c r="K3243" s="20">
        <f>Разбивка_по_щитам!N3248</f>
      </c>
      <c r="L3243" s="20"/>
      <c r="M3243" s="20">
        <f>Разбивка_по_щитам!P3248</f>
      </c>
      <c r="N3243" s="20"/>
    </row>
    <row r="3244" spans="2:14" x14ac:dyDescent="0.25">
      <c r="B3244" s="20">
        <f>Разбивка_по_щитам!B3249</f>
      </c>
      <c r="C3244" s="20">
        <f>Разбивка_по_щитам!C3249</f>
      </c>
      <c r="D3244" s="20">
        <f>Разбивка_по_щитам!F3249</f>
      </c>
      <c r="E3244" s="20">
        <f>Разбивка_по_щитам!H3249</f>
      </c>
      <c r="F3244" s="20">
        <f>Разбивка_по_щитам!I3249</f>
      </c>
      <c r="G3244" s="20">
        <f>Разбивка_по_щитам!J3249</f>
      </c>
      <c r="H3244" s="20">
        <f>Разбивка_по_щитам!K3249</f>
      </c>
      <c r="I3244" s="20">
        <f>Разбивка_по_щитам!L3249</f>
      </c>
      <c r="J3244" s="20">
        <f>Разбивка_по_щитам!M3249</f>
      </c>
      <c r="K3244" s="20">
        <f>Разбивка_по_щитам!N3249</f>
      </c>
      <c r="L3244" s="20"/>
      <c r="M3244" s="20">
        <f>Разбивка_по_щитам!P3249</f>
      </c>
      <c r="N3244" s="20"/>
    </row>
    <row r="3245" spans="2:14" x14ac:dyDescent="0.25">
      <c r="B3245" s="20">
        <f>Разбивка_по_щитам!B3250</f>
      </c>
      <c r="C3245" s="20">
        <f>Разбивка_по_щитам!C3250</f>
      </c>
      <c r="D3245" s="20">
        <f>Разбивка_по_щитам!F3250</f>
      </c>
      <c r="E3245" s="20">
        <f>Разбивка_по_щитам!H3250</f>
      </c>
      <c r="F3245" s="20">
        <f>Разбивка_по_щитам!I3250</f>
      </c>
      <c r="G3245" s="20">
        <f>Разбивка_по_щитам!J3250</f>
      </c>
      <c r="H3245" s="20">
        <f>Разбивка_по_щитам!K3250</f>
      </c>
      <c r="I3245" s="20">
        <f>Разбивка_по_щитам!L3250</f>
      </c>
      <c r="J3245" s="20">
        <f>Разбивка_по_щитам!M3250</f>
      </c>
      <c r="K3245" s="20">
        <f>Разбивка_по_щитам!N3250</f>
      </c>
      <c r="L3245" s="20"/>
      <c r="M3245" s="20">
        <f>Разбивка_по_щитам!P3250</f>
      </c>
      <c r="N3245" s="20"/>
    </row>
    <row r="3246" spans="2:14" x14ac:dyDescent="0.25">
      <c r="B3246" s="20">
        <f>Разбивка_по_щитам!B3251</f>
      </c>
      <c r="C3246" s="20">
        <f>Разбивка_по_щитам!C3251</f>
      </c>
      <c r="D3246" s="20">
        <f>Разбивка_по_щитам!F3251</f>
      </c>
      <c r="E3246" s="20">
        <f>Разбивка_по_щитам!H3251</f>
      </c>
      <c r="F3246" s="20">
        <f>Разбивка_по_щитам!I3251</f>
      </c>
      <c r="G3246" s="20">
        <f>Разбивка_по_щитам!J3251</f>
      </c>
      <c r="H3246" s="20">
        <f>Разбивка_по_щитам!K3251</f>
      </c>
      <c r="I3246" s="20">
        <f>Разбивка_по_щитам!L3251</f>
      </c>
      <c r="J3246" s="20">
        <f>Разбивка_по_щитам!M3251</f>
      </c>
      <c r="K3246" s="20">
        <f>Разбивка_по_щитам!N3251</f>
      </c>
      <c r="L3246" s="20"/>
      <c r="M3246" s="20">
        <f>Разбивка_по_щитам!P3251</f>
      </c>
      <c r="N3246" s="20"/>
    </row>
    <row r="3247" spans="2:14" x14ac:dyDescent="0.25">
      <c r="B3247" s="20">
        <f>Разбивка_по_щитам!B3252</f>
      </c>
      <c r="C3247" s="20">
        <f>Разбивка_по_щитам!C3252</f>
      </c>
      <c r="D3247" s="20">
        <f>Разбивка_по_щитам!F3252</f>
      </c>
      <c r="E3247" s="20">
        <f>Разбивка_по_щитам!H3252</f>
      </c>
      <c r="F3247" s="20">
        <f>Разбивка_по_щитам!I3252</f>
      </c>
      <c r="G3247" s="20">
        <f>Разбивка_по_щитам!J3252</f>
      </c>
      <c r="H3247" s="20">
        <f>Разбивка_по_щитам!K3252</f>
      </c>
      <c r="I3247" s="20">
        <f>Разбивка_по_щитам!L3252</f>
      </c>
      <c r="J3247" s="20">
        <f>Разбивка_по_щитам!M3252</f>
      </c>
      <c r="K3247" s="20">
        <f>Разбивка_по_щитам!N3252</f>
      </c>
      <c r="L3247" s="20"/>
      <c r="M3247" s="20">
        <f>Разбивка_по_щитам!P3252</f>
      </c>
      <c r="N3247" s="20"/>
    </row>
    <row r="3248" spans="2:14" x14ac:dyDescent="0.25">
      <c r="B3248" s="20">
        <f>Разбивка_по_щитам!B3253</f>
      </c>
      <c r="C3248" s="20">
        <f>Разбивка_по_щитам!C3253</f>
      </c>
      <c r="D3248" s="20">
        <f>Разбивка_по_щитам!F3253</f>
      </c>
      <c r="E3248" s="20">
        <f>Разбивка_по_щитам!H3253</f>
      </c>
      <c r="F3248" s="20">
        <f>Разбивка_по_щитам!I3253</f>
      </c>
      <c r="G3248" s="20">
        <f>Разбивка_по_щитам!J3253</f>
      </c>
      <c r="H3248" s="20">
        <f>Разбивка_по_щитам!K3253</f>
      </c>
      <c r="I3248" s="20">
        <f>Разбивка_по_щитам!L3253</f>
      </c>
      <c r="J3248" s="20">
        <f>Разбивка_по_щитам!M3253</f>
      </c>
      <c r="K3248" s="20">
        <f>Разбивка_по_щитам!N3253</f>
      </c>
      <c r="L3248" s="20"/>
      <c r="M3248" s="20">
        <f>Разбивка_по_щитам!P3253</f>
      </c>
      <c r="N3248" s="20"/>
    </row>
    <row r="3249" spans="2:14" x14ac:dyDescent="0.25">
      <c r="B3249" s="20">
        <f>Разбивка_по_щитам!B3254</f>
      </c>
      <c r="C3249" s="20">
        <f>Разбивка_по_щитам!C3254</f>
      </c>
      <c r="D3249" s="20">
        <f>Разбивка_по_щитам!F3254</f>
      </c>
      <c r="E3249" s="20">
        <f>Разбивка_по_щитам!H3254</f>
      </c>
      <c r="F3249" s="20">
        <f>Разбивка_по_щитам!I3254</f>
      </c>
      <c r="G3249" s="20">
        <f>Разбивка_по_щитам!J3254</f>
      </c>
      <c r="H3249" s="20">
        <f>Разбивка_по_щитам!K3254</f>
      </c>
      <c r="I3249" s="20">
        <f>Разбивка_по_щитам!L3254</f>
      </c>
      <c r="J3249" s="20">
        <f>Разбивка_по_щитам!M3254</f>
      </c>
      <c r="K3249" s="20">
        <f>Разбивка_по_щитам!N3254</f>
      </c>
      <c r="L3249" s="20"/>
      <c r="M3249" s="20">
        <f>Разбивка_по_щитам!P3254</f>
      </c>
      <c r="N3249" s="20"/>
    </row>
    <row r="3250" spans="2:14" x14ac:dyDescent="0.25">
      <c r="B3250" s="20">
        <f>Разбивка_по_щитам!B3255</f>
      </c>
      <c r="C3250" s="20">
        <f>Разбивка_по_щитам!C3255</f>
      </c>
      <c r="D3250" s="20">
        <f>Разбивка_по_щитам!F3255</f>
      </c>
      <c r="E3250" s="20">
        <f>Разбивка_по_щитам!H3255</f>
      </c>
      <c r="F3250" s="20">
        <f>Разбивка_по_щитам!I3255</f>
      </c>
      <c r="G3250" s="20">
        <f>Разбивка_по_щитам!J3255</f>
      </c>
      <c r="H3250" s="20">
        <f>Разбивка_по_щитам!K3255</f>
      </c>
      <c r="I3250" s="20">
        <f>Разбивка_по_щитам!L3255</f>
      </c>
      <c r="J3250" s="20">
        <f>Разбивка_по_щитам!M3255</f>
      </c>
      <c r="K3250" s="20">
        <f>Разбивка_по_щитам!N3255</f>
      </c>
      <c r="L3250" s="20"/>
      <c r="M3250" s="20">
        <f>Разбивка_по_щитам!P3255</f>
      </c>
      <c r="N3250" s="20"/>
    </row>
    <row r="3251" spans="2:14" x14ac:dyDescent="0.25">
      <c r="B3251" s="20">
        <f>Разбивка_по_щитам!B3256</f>
      </c>
      <c r="C3251" s="20">
        <f>Разбивка_по_щитам!C3256</f>
      </c>
      <c r="D3251" s="20">
        <f>Разбивка_по_щитам!F3256</f>
      </c>
      <c r="E3251" s="20">
        <f>Разбивка_по_щитам!H3256</f>
      </c>
      <c r="F3251" s="20">
        <f>Разбивка_по_щитам!I3256</f>
      </c>
      <c r="G3251" s="20">
        <f>Разбивка_по_щитам!J3256</f>
      </c>
      <c r="H3251" s="20">
        <f>Разбивка_по_щитам!K3256</f>
      </c>
      <c r="I3251" s="20">
        <f>Разбивка_по_щитам!L3256</f>
      </c>
      <c r="J3251" s="20">
        <f>Разбивка_по_щитам!M3256</f>
      </c>
      <c r="K3251" s="20">
        <f>Разбивка_по_щитам!N3256</f>
      </c>
      <c r="L3251" s="20"/>
      <c r="M3251" s="20">
        <f>Разбивка_по_щитам!P3256</f>
      </c>
      <c r="N3251" s="20"/>
    </row>
    <row r="3252" spans="2:14" x14ac:dyDescent="0.25">
      <c r="B3252" s="20">
        <f>Разбивка_по_щитам!B3257</f>
      </c>
      <c r="C3252" s="20">
        <f>Разбивка_по_щитам!C3257</f>
      </c>
      <c r="D3252" s="20">
        <f>Разбивка_по_щитам!F3257</f>
      </c>
      <c r="E3252" s="20">
        <f>Разбивка_по_щитам!H3257</f>
      </c>
      <c r="F3252" s="20">
        <f>Разбивка_по_щитам!I3257</f>
      </c>
      <c r="G3252" s="20">
        <f>Разбивка_по_щитам!J3257</f>
      </c>
      <c r="H3252" s="20">
        <f>Разбивка_по_щитам!K3257</f>
      </c>
      <c r="I3252" s="20">
        <f>Разбивка_по_щитам!L3257</f>
      </c>
      <c r="J3252" s="20">
        <f>Разбивка_по_щитам!M3257</f>
      </c>
      <c r="K3252" s="20">
        <f>Разбивка_по_щитам!N3257</f>
      </c>
      <c r="L3252" s="20"/>
      <c r="M3252" s="20">
        <f>Разбивка_по_щитам!P3257</f>
      </c>
      <c r="N3252" s="20"/>
    </row>
    <row r="3253" spans="2:14" x14ac:dyDescent="0.25">
      <c r="B3253" s="20">
        <f>Разбивка_по_щитам!B3258</f>
      </c>
      <c r="C3253" s="20">
        <f>Разбивка_по_щитам!C3258</f>
      </c>
      <c r="D3253" s="20">
        <f>Разбивка_по_щитам!F3258</f>
      </c>
      <c r="E3253" s="20">
        <f>Разбивка_по_щитам!H3258</f>
      </c>
      <c r="F3253" s="20">
        <f>Разбивка_по_щитам!I3258</f>
      </c>
      <c r="G3253" s="20">
        <f>Разбивка_по_щитам!J3258</f>
      </c>
      <c r="H3253" s="20">
        <f>Разбивка_по_щитам!K3258</f>
      </c>
      <c r="I3253" s="20">
        <f>Разбивка_по_щитам!L3258</f>
      </c>
      <c r="J3253" s="20">
        <f>Разбивка_по_щитам!M3258</f>
      </c>
      <c r="K3253" s="20">
        <f>Разбивка_по_щитам!N3258</f>
      </c>
      <c r="L3253" s="20"/>
      <c r="M3253" s="20">
        <f>Разбивка_по_щитам!P3258</f>
      </c>
      <c r="N3253" s="20"/>
    </row>
    <row r="3254" spans="2:14" x14ac:dyDescent="0.25">
      <c r="B3254" s="20">
        <f>Разбивка_по_щитам!B3259</f>
      </c>
      <c r="C3254" s="20">
        <f>Разбивка_по_щитам!C3259</f>
      </c>
      <c r="D3254" s="20">
        <f>Разбивка_по_щитам!F3259</f>
      </c>
      <c r="E3254" s="20">
        <f>Разбивка_по_щитам!H3259</f>
      </c>
      <c r="F3254" s="20">
        <f>Разбивка_по_щитам!I3259</f>
      </c>
      <c r="G3254" s="20">
        <f>Разбивка_по_щитам!J3259</f>
      </c>
      <c r="H3254" s="20">
        <f>Разбивка_по_щитам!K3259</f>
      </c>
      <c r="I3254" s="20">
        <f>Разбивка_по_щитам!L3259</f>
      </c>
      <c r="J3254" s="20">
        <f>Разбивка_по_щитам!M3259</f>
      </c>
      <c r="K3254" s="20">
        <f>Разбивка_по_щитам!N3259</f>
      </c>
      <c r="L3254" s="20"/>
      <c r="M3254" s="20">
        <f>Разбивка_по_щитам!P3259</f>
      </c>
      <c r="N3254" s="20"/>
    </row>
    <row r="3255" spans="2:14" x14ac:dyDescent="0.25">
      <c r="B3255" s="20">
        <f>Разбивка_по_щитам!B3260</f>
      </c>
      <c r="C3255" s="20">
        <f>Разбивка_по_щитам!C3260</f>
      </c>
      <c r="D3255" s="20">
        <f>Разбивка_по_щитам!F3260</f>
      </c>
      <c r="E3255" s="20">
        <f>Разбивка_по_щитам!H3260</f>
      </c>
      <c r="F3255" s="20">
        <f>Разбивка_по_щитам!I3260</f>
      </c>
      <c r="G3255" s="20">
        <f>Разбивка_по_щитам!J3260</f>
      </c>
      <c r="H3255" s="20">
        <f>Разбивка_по_щитам!K3260</f>
      </c>
      <c r="I3255" s="20">
        <f>Разбивка_по_щитам!L3260</f>
      </c>
      <c r="J3255" s="20">
        <f>Разбивка_по_щитам!M3260</f>
      </c>
      <c r="K3255" s="20">
        <f>Разбивка_по_щитам!N3260</f>
      </c>
      <c r="L3255" s="20"/>
      <c r="M3255" s="20">
        <f>Разбивка_по_щитам!P3260</f>
      </c>
      <c r="N3255" s="20"/>
    </row>
    <row r="3256" spans="2:14" x14ac:dyDescent="0.25">
      <c r="B3256" s="20">
        <f>Разбивка_по_щитам!B3261</f>
      </c>
      <c r="C3256" s="20">
        <f>Разбивка_по_щитам!C3261</f>
      </c>
      <c r="D3256" s="20">
        <f>Разбивка_по_щитам!F3261</f>
      </c>
      <c r="E3256" s="20">
        <f>Разбивка_по_щитам!H3261</f>
      </c>
      <c r="F3256" s="20">
        <f>Разбивка_по_щитам!I3261</f>
      </c>
      <c r="G3256" s="20">
        <f>Разбивка_по_щитам!J3261</f>
      </c>
      <c r="H3256" s="20">
        <f>Разбивка_по_щитам!K3261</f>
      </c>
      <c r="I3256" s="20">
        <f>Разбивка_по_щитам!L3261</f>
      </c>
      <c r="J3256" s="20">
        <f>Разбивка_по_щитам!M3261</f>
      </c>
      <c r="K3256" s="20">
        <f>Разбивка_по_щитам!N3261</f>
      </c>
      <c r="L3256" s="20"/>
      <c r="M3256" s="20">
        <f>Разбивка_по_щитам!P3261</f>
      </c>
      <c r="N3256" s="20"/>
    </row>
    <row r="3257" spans="2:14" x14ac:dyDescent="0.25">
      <c r="B3257" s="20">
        <f>Разбивка_по_щитам!B3262</f>
      </c>
      <c r="C3257" s="20">
        <f>Разбивка_по_щитам!C3262</f>
      </c>
      <c r="D3257" s="20">
        <f>Разбивка_по_щитам!F3262</f>
      </c>
      <c r="E3257" s="20">
        <f>Разбивка_по_щитам!H3262</f>
      </c>
      <c r="F3257" s="20">
        <f>Разбивка_по_щитам!I3262</f>
      </c>
      <c r="G3257" s="20">
        <f>Разбивка_по_щитам!J3262</f>
      </c>
      <c r="H3257" s="20">
        <f>Разбивка_по_щитам!K3262</f>
      </c>
      <c r="I3257" s="20">
        <f>Разбивка_по_щитам!L3262</f>
      </c>
      <c r="J3257" s="20">
        <f>Разбивка_по_щитам!M3262</f>
      </c>
      <c r="K3257" s="20">
        <f>Разбивка_по_щитам!N3262</f>
      </c>
      <c r="L3257" s="20"/>
      <c r="M3257" s="20">
        <f>Разбивка_по_щитам!P3262</f>
      </c>
      <c r="N3257" s="20"/>
    </row>
    <row r="3258" spans="2:14" x14ac:dyDescent="0.25">
      <c r="B3258" s="20">
        <f>Разбивка_по_щитам!B3263</f>
      </c>
      <c r="C3258" s="20">
        <f>Разбивка_по_щитам!C3263</f>
      </c>
      <c r="D3258" s="20">
        <f>Разбивка_по_щитам!F3263</f>
      </c>
      <c r="E3258" s="20">
        <f>Разбивка_по_щитам!H3263</f>
      </c>
      <c r="F3258" s="20">
        <f>Разбивка_по_щитам!I3263</f>
      </c>
      <c r="G3258" s="20">
        <f>Разбивка_по_щитам!J3263</f>
      </c>
      <c r="H3258" s="20">
        <f>Разбивка_по_щитам!K3263</f>
      </c>
      <c r="I3258" s="20">
        <f>Разбивка_по_щитам!L3263</f>
      </c>
      <c r="J3258" s="20">
        <f>Разбивка_по_щитам!M3263</f>
      </c>
      <c r="K3258" s="20">
        <f>Разбивка_по_щитам!N3263</f>
      </c>
      <c r="L3258" s="20"/>
      <c r="M3258" s="20">
        <f>Разбивка_по_щитам!P3263</f>
      </c>
      <c r="N3258" s="20"/>
    </row>
    <row r="3259" spans="2:14" x14ac:dyDescent="0.25">
      <c r="B3259" s="20">
        <f>Разбивка_по_щитам!B3264</f>
      </c>
      <c r="C3259" s="20">
        <f>Разбивка_по_щитам!C3264</f>
      </c>
      <c r="D3259" s="20">
        <f>Разбивка_по_щитам!F3264</f>
      </c>
      <c r="E3259" s="20">
        <f>Разбивка_по_щитам!H3264</f>
      </c>
      <c r="F3259" s="20">
        <f>Разбивка_по_щитам!I3264</f>
      </c>
      <c r="G3259" s="20">
        <f>Разбивка_по_щитам!J3264</f>
      </c>
      <c r="H3259" s="20">
        <f>Разбивка_по_щитам!K3264</f>
      </c>
      <c r="I3259" s="20">
        <f>Разбивка_по_щитам!L3264</f>
      </c>
      <c r="J3259" s="20">
        <f>Разбивка_по_щитам!M3264</f>
      </c>
      <c r="K3259" s="20">
        <f>Разбивка_по_щитам!N3264</f>
      </c>
      <c r="L3259" s="20"/>
      <c r="M3259" s="20">
        <f>Разбивка_по_щитам!P3264</f>
      </c>
      <c r="N3259" s="20"/>
    </row>
    <row r="3260" spans="2:14" x14ac:dyDescent="0.25">
      <c r="B3260" s="20">
        <f>Разбивка_по_щитам!B3265</f>
      </c>
      <c r="C3260" s="20">
        <f>Разбивка_по_щитам!C3265</f>
      </c>
      <c r="D3260" s="20">
        <f>Разбивка_по_щитам!F3265</f>
      </c>
      <c r="E3260" s="20">
        <f>Разбивка_по_щитам!H3265</f>
      </c>
      <c r="F3260" s="20">
        <f>Разбивка_по_щитам!I3265</f>
      </c>
      <c r="G3260" s="20">
        <f>Разбивка_по_щитам!J3265</f>
      </c>
      <c r="H3260" s="20">
        <f>Разбивка_по_щитам!K3265</f>
      </c>
      <c r="I3260" s="20">
        <f>Разбивка_по_щитам!L3265</f>
      </c>
      <c r="J3260" s="20">
        <f>Разбивка_по_щитам!M3265</f>
      </c>
      <c r="K3260" s="20">
        <f>Разбивка_по_щитам!N3265</f>
      </c>
      <c r="L3260" s="20"/>
      <c r="M3260" s="20">
        <f>Разбивка_по_щитам!P3265</f>
      </c>
      <c r="N3260" s="20"/>
    </row>
    <row r="3261" spans="2:14" x14ac:dyDescent="0.25">
      <c r="B3261" s="20">
        <f>Разбивка_по_щитам!B3266</f>
      </c>
      <c r="C3261" s="20">
        <f>Разбивка_по_щитам!C3266</f>
      </c>
      <c r="D3261" s="20">
        <f>Разбивка_по_щитам!F3266</f>
      </c>
      <c r="E3261" s="20">
        <f>Разбивка_по_щитам!H3266</f>
      </c>
      <c r="F3261" s="20">
        <f>Разбивка_по_щитам!I3266</f>
      </c>
      <c r="G3261" s="20">
        <f>Разбивка_по_щитам!J3266</f>
      </c>
      <c r="H3261" s="20">
        <f>Разбивка_по_щитам!K3266</f>
      </c>
      <c r="I3261" s="20">
        <f>Разбивка_по_щитам!L3266</f>
      </c>
      <c r="J3261" s="20">
        <f>Разбивка_по_щитам!M3266</f>
      </c>
      <c r="K3261" s="20">
        <f>Разбивка_по_щитам!N3266</f>
      </c>
      <c r="L3261" s="20"/>
      <c r="M3261" s="20">
        <f>Разбивка_по_щитам!P3266</f>
      </c>
      <c r="N3261" s="20"/>
    </row>
    <row r="3262" spans="2:14" x14ac:dyDescent="0.25">
      <c r="B3262" s="20">
        <f>Разбивка_по_щитам!B3267</f>
      </c>
      <c r="C3262" s="20">
        <f>Разбивка_по_щитам!C3267</f>
      </c>
      <c r="D3262" s="20">
        <f>Разбивка_по_щитам!F3267</f>
      </c>
      <c r="E3262" s="20">
        <f>Разбивка_по_щитам!H3267</f>
      </c>
      <c r="F3262" s="20">
        <f>Разбивка_по_щитам!I3267</f>
      </c>
      <c r="G3262" s="20">
        <f>Разбивка_по_щитам!J3267</f>
      </c>
      <c r="H3262" s="20">
        <f>Разбивка_по_щитам!K3267</f>
      </c>
      <c r="I3262" s="20">
        <f>Разбивка_по_щитам!L3267</f>
      </c>
      <c r="J3262" s="20">
        <f>Разбивка_по_щитам!M3267</f>
      </c>
      <c r="K3262" s="20">
        <f>Разбивка_по_щитам!N3267</f>
      </c>
      <c r="L3262" s="20"/>
      <c r="M3262" s="20">
        <f>Разбивка_по_щитам!P3267</f>
      </c>
      <c r="N3262" s="20"/>
    </row>
    <row r="3263" spans="2:14" x14ac:dyDescent="0.25">
      <c r="B3263" s="20">
        <f>Разбивка_по_щитам!B3268</f>
      </c>
      <c r="C3263" s="20">
        <f>Разбивка_по_щитам!C3268</f>
      </c>
      <c r="D3263" s="20">
        <f>Разбивка_по_щитам!F3268</f>
      </c>
      <c r="E3263" s="20">
        <f>Разбивка_по_щитам!H3268</f>
      </c>
      <c r="F3263" s="20">
        <f>Разбивка_по_щитам!I3268</f>
      </c>
      <c r="G3263" s="20">
        <f>Разбивка_по_щитам!J3268</f>
      </c>
      <c r="H3263" s="20">
        <f>Разбивка_по_щитам!K3268</f>
      </c>
      <c r="I3263" s="20">
        <f>Разбивка_по_щитам!L3268</f>
      </c>
      <c r="J3263" s="20">
        <f>Разбивка_по_щитам!M3268</f>
      </c>
      <c r="K3263" s="20">
        <f>Разбивка_по_щитам!N3268</f>
      </c>
      <c r="L3263" s="20"/>
      <c r="M3263" s="20">
        <f>Разбивка_по_щитам!P3268</f>
      </c>
      <c r="N3263" s="20"/>
    </row>
    <row r="3264" spans="2:14" x14ac:dyDescent="0.25">
      <c r="B3264" s="20">
        <f>Разбивка_по_щитам!B3269</f>
      </c>
      <c r="C3264" s="20">
        <f>Разбивка_по_щитам!C3269</f>
      </c>
      <c r="D3264" s="20">
        <f>Разбивка_по_щитам!F3269</f>
      </c>
      <c r="E3264" s="20">
        <f>Разбивка_по_щитам!H3269</f>
      </c>
      <c r="F3264" s="20">
        <f>Разбивка_по_щитам!I3269</f>
      </c>
      <c r="G3264" s="20">
        <f>Разбивка_по_щитам!J3269</f>
      </c>
      <c r="H3264" s="20">
        <f>Разбивка_по_щитам!K3269</f>
      </c>
      <c r="I3264" s="20">
        <f>Разбивка_по_щитам!L3269</f>
      </c>
      <c r="J3264" s="20">
        <f>Разбивка_по_щитам!M3269</f>
      </c>
      <c r="K3264" s="20">
        <f>Разбивка_по_щитам!N3269</f>
      </c>
      <c r="L3264" s="20"/>
      <c r="M3264" s="20">
        <f>Разбивка_по_щитам!P3269</f>
      </c>
      <c r="N3264" s="20"/>
    </row>
    <row r="3265" spans="2:14" x14ac:dyDescent="0.25">
      <c r="B3265" s="20">
        <f>Разбивка_по_щитам!B3270</f>
      </c>
      <c r="C3265" s="20">
        <f>Разбивка_по_щитам!C3270</f>
      </c>
      <c r="D3265" s="20">
        <f>Разбивка_по_щитам!F3270</f>
      </c>
      <c r="E3265" s="20">
        <f>Разбивка_по_щитам!H3270</f>
      </c>
      <c r="F3265" s="20">
        <f>Разбивка_по_щитам!I3270</f>
      </c>
      <c r="G3265" s="20">
        <f>Разбивка_по_щитам!J3270</f>
      </c>
      <c r="H3265" s="20">
        <f>Разбивка_по_щитам!K3270</f>
      </c>
      <c r="I3265" s="20">
        <f>Разбивка_по_щитам!L3270</f>
      </c>
      <c r="J3265" s="20">
        <f>Разбивка_по_щитам!M3270</f>
      </c>
      <c r="K3265" s="20">
        <f>Разбивка_по_щитам!N3270</f>
      </c>
      <c r="L3265" s="20"/>
      <c r="M3265" s="20">
        <f>Разбивка_по_щитам!P3270</f>
      </c>
      <c r="N3265" s="20"/>
    </row>
    <row r="3266" spans="2:14" x14ac:dyDescent="0.25">
      <c r="B3266" s="20">
        <f>Разбивка_по_щитам!B3271</f>
      </c>
      <c r="C3266" s="20">
        <f>Разбивка_по_щитам!C3271</f>
      </c>
      <c r="D3266" s="20">
        <f>Разбивка_по_щитам!F3271</f>
      </c>
      <c r="E3266" s="20">
        <f>Разбивка_по_щитам!H3271</f>
      </c>
      <c r="F3266" s="20">
        <f>Разбивка_по_щитам!I3271</f>
      </c>
      <c r="G3266" s="20">
        <f>Разбивка_по_щитам!J3271</f>
      </c>
      <c r="H3266" s="20">
        <f>Разбивка_по_щитам!K3271</f>
      </c>
      <c r="I3266" s="20">
        <f>Разбивка_по_щитам!L3271</f>
      </c>
      <c r="J3266" s="20">
        <f>Разбивка_по_щитам!M3271</f>
      </c>
      <c r="K3266" s="20">
        <f>Разбивка_по_щитам!N3271</f>
      </c>
      <c r="L3266" s="20"/>
      <c r="M3266" s="20">
        <f>Разбивка_по_щитам!P3271</f>
      </c>
      <c r="N3266" s="20"/>
    </row>
    <row r="3267" spans="2:14" x14ac:dyDescent="0.25">
      <c r="B3267" s="20">
        <f>Разбивка_по_щитам!B3272</f>
      </c>
      <c r="C3267" s="20">
        <f>Разбивка_по_щитам!C3272</f>
      </c>
      <c r="D3267" s="20">
        <f>Разбивка_по_щитам!F3272</f>
      </c>
      <c r="E3267" s="20">
        <f>Разбивка_по_щитам!H3272</f>
      </c>
      <c r="F3267" s="20">
        <f>Разбивка_по_щитам!I3272</f>
      </c>
      <c r="G3267" s="20">
        <f>Разбивка_по_щитам!J3272</f>
      </c>
      <c r="H3267" s="20">
        <f>Разбивка_по_щитам!K3272</f>
      </c>
      <c r="I3267" s="20">
        <f>Разбивка_по_щитам!L3272</f>
      </c>
      <c r="J3267" s="20">
        <f>Разбивка_по_щитам!M3272</f>
      </c>
      <c r="K3267" s="20">
        <f>Разбивка_по_щитам!N3272</f>
      </c>
      <c r="L3267" s="20"/>
      <c r="M3267" s="20">
        <f>Разбивка_по_щитам!P3272</f>
      </c>
      <c r="N3267" s="20"/>
    </row>
    <row r="3268" spans="2:14" x14ac:dyDescent="0.25">
      <c r="B3268" s="20">
        <f>Разбивка_по_щитам!B3273</f>
      </c>
      <c r="C3268" s="20">
        <f>Разбивка_по_щитам!C3273</f>
      </c>
      <c r="D3268" s="20">
        <f>Разбивка_по_щитам!F3273</f>
      </c>
      <c r="E3268" s="20">
        <f>Разбивка_по_щитам!H3273</f>
      </c>
      <c r="F3268" s="20">
        <f>Разбивка_по_щитам!I3273</f>
      </c>
      <c r="G3268" s="20">
        <f>Разбивка_по_щитам!J3273</f>
      </c>
      <c r="H3268" s="20">
        <f>Разбивка_по_щитам!K3273</f>
      </c>
      <c r="I3268" s="20">
        <f>Разбивка_по_щитам!L3273</f>
      </c>
      <c r="J3268" s="20">
        <f>Разбивка_по_щитам!M3273</f>
      </c>
      <c r="K3268" s="20">
        <f>Разбивка_по_щитам!N3273</f>
      </c>
      <c r="L3268" s="20"/>
      <c r="M3268" s="20">
        <f>Разбивка_по_щитам!P3273</f>
      </c>
      <c r="N3268" s="20"/>
    </row>
    <row r="3269" spans="2:14" x14ac:dyDescent="0.25">
      <c r="B3269" s="20">
        <f>Разбивка_по_щитам!B3274</f>
      </c>
      <c r="C3269" s="20">
        <f>Разбивка_по_щитам!C3274</f>
      </c>
      <c r="D3269" s="20">
        <f>Разбивка_по_щитам!F3274</f>
      </c>
      <c r="E3269" s="20">
        <f>Разбивка_по_щитам!H3274</f>
      </c>
      <c r="F3269" s="20">
        <f>Разбивка_по_щитам!I3274</f>
      </c>
      <c r="G3269" s="20">
        <f>Разбивка_по_щитам!J3274</f>
      </c>
      <c r="H3269" s="20">
        <f>Разбивка_по_щитам!K3274</f>
      </c>
      <c r="I3269" s="20">
        <f>Разбивка_по_щитам!L3274</f>
      </c>
      <c r="J3269" s="20">
        <f>Разбивка_по_щитам!M3274</f>
      </c>
      <c r="K3269" s="20">
        <f>Разбивка_по_щитам!N3274</f>
      </c>
      <c r="L3269" s="20"/>
      <c r="M3269" s="20">
        <f>Разбивка_по_щитам!P3274</f>
      </c>
      <c r="N3269" s="20"/>
    </row>
    <row r="3270" spans="2:14" x14ac:dyDescent="0.25">
      <c r="B3270" s="20">
        <f>Разбивка_по_щитам!B3275</f>
      </c>
      <c r="C3270" s="20">
        <f>Разбивка_по_щитам!C3275</f>
      </c>
      <c r="D3270" s="20">
        <f>Разбивка_по_щитам!F3275</f>
      </c>
      <c r="E3270" s="20">
        <f>Разбивка_по_щитам!H3275</f>
      </c>
      <c r="F3270" s="20">
        <f>Разбивка_по_щитам!I3275</f>
      </c>
      <c r="G3270" s="20">
        <f>Разбивка_по_щитам!J3275</f>
      </c>
      <c r="H3270" s="20">
        <f>Разбивка_по_щитам!K3275</f>
      </c>
      <c r="I3270" s="20">
        <f>Разбивка_по_щитам!L3275</f>
      </c>
      <c r="J3270" s="20">
        <f>Разбивка_по_щитам!M3275</f>
      </c>
      <c r="K3270" s="20">
        <f>Разбивка_по_щитам!N3275</f>
      </c>
      <c r="L3270" s="20"/>
      <c r="M3270" s="20">
        <f>Разбивка_по_щитам!P3275</f>
      </c>
      <c r="N3270" s="20"/>
    </row>
    <row r="3271" spans="2:14" x14ac:dyDescent="0.25">
      <c r="B3271" s="20">
        <f>Разбивка_по_щитам!B3276</f>
      </c>
      <c r="C3271" s="20">
        <f>Разбивка_по_щитам!C3276</f>
      </c>
      <c r="D3271" s="20">
        <f>Разбивка_по_щитам!F3276</f>
      </c>
      <c r="E3271" s="20">
        <f>Разбивка_по_щитам!H3276</f>
      </c>
      <c r="F3271" s="20">
        <f>Разбивка_по_щитам!I3276</f>
      </c>
      <c r="G3271" s="20">
        <f>Разбивка_по_щитам!J3276</f>
      </c>
      <c r="H3271" s="20">
        <f>Разбивка_по_щитам!K3276</f>
      </c>
      <c r="I3271" s="20">
        <f>Разбивка_по_щитам!L3276</f>
      </c>
      <c r="J3271" s="20">
        <f>Разбивка_по_щитам!M3276</f>
      </c>
      <c r="K3271" s="20">
        <f>Разбивка_по_щитам!N3276</f>
      </c>
      <c r="L3271" s="20"/>
      <c r="M3271" s="20">
        <f>Разбивка_по_щитам!P3276</f>
      </c>
      <c r="N3271" s="20"/>
    </row>
    <row r="3272" spans="2:14" x14ac:dyDescent="0.25">
      <c r="B3272" s="20">
        <f>Разбивка_по_щитам!B3277</f>
      </c>
      <c r="C3272" s="20">
        <f>Разбивка_по_щитам!C3277</f>
      </c>
      <c r="D3272" s="20">
        <f>Разбивка_по_щитам!F3277</f>
      </c>
      <c r="E3272" s="20">
        <f>Разбивка_по_щитам!H3277</f>
      </c>
      <c r="F3272" s="20">
        <f>Разбивка_по_щитам!I3277</f>
      </c>
      <c r="G3272" s="20">
        <f>Разбивка_по_щитам!J3277</f>
      </c>
      <c r="H3272" s="20">
        <f>Разбивка_по_щитам!K3277</f>
      </c>
      <c r="I3272" s="20">
        <f>Разбивка_по_щитам!L3277</f>
      </c>
      <c r="J3272" s="20">
        <f>Разбивка_по_щитам!M3277</f>
      </c>
      <c r="K3272" s="20">
        <f>Разбивка_по_щитам!N3277</f>
      </c>
      <c r="L3272" s="20"/>
      <c r="M3272" s="20">
        <f>Разбивка_по_щитам!P3277</f>
      </c>
      <c r="N3272" s="20"/>
    </row>
    <row r="3273" spans="2:14" x14ac:dyDescent="0.25">
      <c r="B3273" s="20">
        <f>Разбивка_по_щитам!B3278</f>
      </c>
      <c r="C3273" s="20">
        <f>Разбивка_по_щитам!C3278</f>
      </c>
      <c r="D3273" s="20">
        <f>Разбивка_по_щитам!F3278</f>
      </c>
      <c r="E3273" s="20">
        <f>Разбивка_по_щитам!H3278</f>
      </c>
      <c r="F3273" s="20">
        <f>Разбивка_по_щитам!I3278</f>
      </c>
      <c r="G3273" s="20">
        <f>Разбивка_по_щитам!J3278</f>
      </c>
      <c r="H3273" s="20">
        <f>Разбивка_по_щитам!K3278</f>
      </c>
      <c r="I3273" s="20">
        <f>Разбивка_по_щитам!L3278</f>
      </c>
      <c r="J3273" s="20">
        <f>Разбивка_по_щитам!M3278</f>
      </c>
      <c r="K3273" s="20">
        <f>Разбивка_по_щитам!N3278</f>
      </c>
      <c r="L3273" s="20"/>
      <c r="M3273" s="20">
        <f>Разбивка_по_щитам!P3278</f>
      </c>
      <c r="N3273" s="20"/>
    </row>
    <row r="3274" spans="2:14" x14ac:dyDescent="0.25">
      <c r="B3274" s="20">
        <f>Разбивка_по_щитам!B3279</f>
      </c>
      <c r="C3274" s="20">
        <f>Разбивка_по_щитам!C3279</f>
      </c>
      <c r="D3274" s="20">
        <f>Разбивка_по_щитам!F3279</f>
      </c>
      <c r="E3274" s="20">
        <f>Разбивка_по_щитам!H3279</f>
      </c>
      <c r="F3274" s="20">
        <f>Разбивка_по_щитам!I3279</f>
      </c>
      <c r="G3274" s="20">
        <f>Разбивка_по_щитам!J3279</f>
      </c>
      <c r="H3274" s="20">
        <f>Разбивка_по_щитам!K3279</f>
      </c>
      <c r="I3274" s="20">
        <f>Разбивка_по_щитам!L3279</f>
      </c>
      <c r="J3274" s="20">
        <f>Разбивка_по_щитам!M3279</f>
      </c>
      <c r="K3274" s="20">
        <f>Разбивка_по_щитам!N3279</f>
      </c>
      <c r="L3274" s="20"/>
      <c r="M3274" s="20">
        <f>Разбивка_по_щитам!P3279</f>
      </c>
      <c r="N3274" s="20"/>
    </row>
    <row r="3275" spans="2:14" x14ac:dyDescent="0.25">
      <c r="B3275" s="20">
        <f>Разбивка_по_щитам!B3280</f>
      </c>
      <c r="C3275" s="20">
        <f>Разбивка_по_щитам!C3280</f>
      </c>
      <c r="D3275" s="20">
        <f>Разбивка_по_щитам!F3280</f>
      </c>
      <c r="E3275" s="20">
        <f>Разбивка_по_щитам!H3280</f>
      </c>
      <c r="F3275" s="20">
        <f>Разбивка_по_щитам!I3280</f>
      </c>
      <c r="G3275" s="20">
        <f>Разбивка_по_щитам!J3280</f>
      </c>
      <c r="H3275" s="20">
        <f>Разбивка_по_щитам!K3280</f>
      </c>
      <c r="I3275" s="20">
        <f>Разбивка_по_щитам!L3280</f>
      </c>
      <c r="J3275" s="20">
        <f>Разбивка_по_щитам!M3280</f>
      </c>
      <c r="K3275" s="20">
        <f>Разбивка_по_щитам!N3280</f>
      </c>
      <c r="L3275" s="20"/>
      <c r="M3275" s="20">
        <f>Разбивка_по_щитам!P3280</f>
      </c>
      <c r="N3275" s="20"/>
    </row>
    <row r="3276" spans="2:14" x14ac:dyDescent="0.25">
      <c r="B3276" s="20">
        <f>Разбивка_по_щитам!B3281</f>
      </c>
      <c r="C3276" s="20">
        <f>Разбивка_по_щитам!C3281</f>
      </c>
      <c r="D3276" s="20">
        <f>Разбивка_по_щитам!F3281</f>
      </c>
      <c r="E3276" s="20">
        <f>Разбивка_по_щитам!H3281</f>
      </c>
      <c r="F3276" s="20">
        <f>Разбивка_по_щитам!I3281</f>
      </c>
      <c r="G3276" s="20">
        <f>Разбивка_по_щитам!J3281</f>
      </c>
      <c r="H3276" s="20">
        <f>Разбивка_по_щитам!K3281</f>
      </c>
      <c r="I3276" s="20">
        <f>Разбивка_по_щитам!L3281</f>
      </c>
      <c r="J3276" s="20">
        <f>Разбивка_по_щитам!M3281</f>
      </c>
      <c r="K3276" s="20">
        <f>Разбивка_по_щитам!N3281</f>
      </c>
      <c r="L3276" s="20"/>
      <c r="M3276" s="20">
        <f>Разбивка_по_щитам!P3281</f>
      </c>
      <c r="N3276" s="20"/>
    </row>
    <row r="3277" spans="2:14" x14ac:dyDescent="0.25">
      <c r="B3277" s="20">
        <f>Разбивка_по_щитам!B3282</f>
      </c>
      <c r="C3277" s="20">
        <f>Разбивка_по_щитам!C3282</f>
      </c>
      <c r="D3277" s="20">
        <f>Разбивка_по_щитам!F3282</f>
      </c>
      <c r="E3277" s="20">
        <f>Разбивка_по_щитам!H3282</f>
      </c>
      <c r="F3277" s="20">
        <f>Разбивка_по_щитам!I3282</f>
      </c>
      <c r="G3277" s="20">
        <f>Разбивка_по_щитам!J3282</f>
      </c>
      <c r="H3277" s="20">
        <f>Разбивка_по_щитам!K3282</f>
      </c>
      <c r="I3277" s="20">
        <f>Разбивка_по_щитам!L3282</f>
      </c>
      <c r="J3277" s="20">
        <f>Разбивка_по_щитам!M3282</f>
      </c>
      <c r="K3277" s="20">
        <f>Разбивка_по_щитам!N3282</f>
      </c>
      <c r="L3277" s="20"/>
      <c r="M3277" s="20">
        <f>Разбивка_по_щитам!P3282</f>
      </c>
      <c r="N3277" s="20"/>
    </row>
    <row r="3278" spans="2:14" x14ac:dyDescent="0.25">
      <c r="B3278" s="20">
        <f>Разбивка_по_щитам!B3283</f>
      </c>
      <c r="C3278" s="20">
        <f>Разбивка_по_щитам!C3283</f>
      </c>
      <c r="D3278" s="20">
        <f>Разбивка_по_щитам!F3283</f>
      </c>
      <c r="E3278" s="20">
        <f>Разбивка_по_щитам!H3283</f>
      </c>
      <c r="F3278" s="20">
        <f>Разбивка_по_щитам!I3283</f>
      </c>
      <c r="G3278" s="20">
        <f>Разбивка_по_щитам!J3283</f>
      </c>
      <c r="H3278" s="20">
        <f>Разбивка_по_щитам!K3283</f>
      </c>
      <c r="I3278" s="20">
        <f>Разбивка_по_щитам!L3283</f>
      </c>
      <c r="J3278" s="20">
        <f>Разбивка_по_щитам!M3283</f>
      </c>
      <c r="K3278" s="20">
        <f>Разбивка_по_щитам!N3283</f>
      </c>
      <c r="L3278" s="20"/>
      <c r="M3278" s="20">
        <f>Разбивка_по_щитам!P3283</f>
      </c>
      <c r="N3278" s="20"/>
    </row>
    <row r="3279" spans="2:14" x14ac:dyDescent="0.25">
      <c r="B3279" s="20">
        <f>Разбивка_по_щитам!B3284</f>
      </c>
      <c r="C3279" s="20">
        <f>Разбивка_по_щитам!C3284</f>
      </c>
      <c r="D3279" s="20">
        <f>Разбивка_по_щитам!F3284</f>
      </c>
      <c r="E3279" s="20">
        <f>Разбивка_по_щитам!H3284</f>
      </c>
      <c r="F3279" s="20">
        <f>Разбивка_по_щитам!I3284</f>
      </c>
      <c r="G3279" s="20">
        <f>Разбивка_по_щитам!J3284</f>
      </c>
      <c r="H3279" s="20">
        <f>Разбивка_по_щитам!K3284</f>
      </c>
      <c r="I3279" s="20">
        <f>Разбивка_по_щитам!L3284</f>
      </c>
      <c r="J3279" s="20">
        <f>Разбивка_по_щитам!M3284</f>
      </c>
      <c r="K3279" s="20">
        <f>Разбивка_по_щитам!N3284</f>
      </c>
      <c r="L3279" s="20"/>
      <c r="M3279" s="20">
        <f>Разбивка_по_щитам!P3284</f>
      </c>
      <c r="N3279" s="20"/>
    </row>
    <row r="3280" spans="2:14" x14ac:dyDescent="0.25">
      <c r="B3280" s="20">
        <f>Разбивка_по_щитам!B3285</f>
      </c>
      <c r="C3280" s="20">
        <f>Разбивка_по_щитам!C3285</f>
      </c>
      <c r="D3280" s="20">
        <f>Разбивка_по_щитам!F3285</f>
      </c>
      <c r="E3280" s="20">
        <f>Разбивка_по_щитам!H3285</f>
      </c>
      <c r="F3280" s="20">
        <f>Разбивка_по_щитам!I3285</f>
      </c>
      <c r="G3280" s="20">
        <f>Разбивка_по_щитам!J3285</f>
      </c>
      <c r="H3280" s="20">
        <f>Разбивка_по_щитам!K3285</f>
      </c>
      <c r="I3280" s="20">
        <f>Разбивка_по_щитам!L3285</f>
      </c>
      <c r="J3280" s="20">
        <f>Разбивка_по_щитам!M3285</f>
      </c>
      <c r="K3280" s="20">
        <f>Разбивка_по_щитам!N3285</f>
      </c>
      <c r="L3280" s="20"/>
      <c r="M3280" s="20">
        <f>Разбивка_по_щитам!P3285</f>
      </c>
      <c r="N3280" s="20"/>
    </row>
    <row r="3281" spans="2:14" x14ac:dyDescent="0.25">
      <c r="B3281" s="20">
        <f>Разбивка_по_щитам!B3286</f>
      </c>
      <c r="C3281" s="20">
        <f>Разбивка_по_щитам!C3286</f>
      </c>
      <c r="D3281" s="20">
        <f>Разбивка_по_щитам!F3286</f>
      </c>
      <c r="E3281" s="20">
        <f>Разбивка_по_щитам!H3286</f>
      </c>
      <c r="F3281" s="20">
        <f>Разбивка_по_щитам!I3286</f>
      </c>
      <c r="G3281" s="20">
        <f>Разбивка_по_щитам!J3286</f>
      </c>
      <c r="H3281" s="20">
        <f>Разбивка_по_щитам!K3286</f>
      </c>
      <c r="I3281" s="20">
        <f>Разбивка_по_щитам!L3286</f>
      </c>
      <c r="J3281" s="20">
        <f>Разбивка_по_щитам!M3286</f>
      </c>
      <c r="K3281" s="20">
        <f>Разбивка_по_щитам!N3286</f>
      </c>
      <c r="L3281" s="20"/>
      <c r="M3281" s="20">
        <f>Разбивка_по_щитам!P3286</f>
      </c>
      <c r="N3281" s="20"/>
    </row>
    <row r="3282" spans="2:14" x14ac:dyDescent="0.25">
      <c r="B3282" s="20">
        <f>Разбивка_по_щитам!B3287</f>
      </c>
      <c r="C3282" s="20">
        <f>Разбивка_по_щитам!C3287</f>
      </c>
      <c r="D3282" s="20">
        <f>Разбивка_по_щитам!F3287</f>
      </c>
      <c r="E3282" s="20">
        <f>Разбивка_по_щитам!H3287</f>
      </c>
      <c r="F3282" s="20">
        <f>Разбивка_по_щитам!I3287</f>
      </c>
      <c r="G3282" s="20">
        <f>Разбивка_по_щитам!J3287</f>
      </c>
      <c r="H3282" s="20">
        <f>Разбивка_по_щитам!K3287</f>
      </c>
      <c r="I3282" s="20">
        <f>Разбивка_по_щитам!L3287</f>
      </c>
      <c r="J3282" s="20">
        <f>Разбивка_по_щитам!M3287</f>
      </c>
      <c r="K3282" s="20">
        <f>Разбивка_по_щитам!N3287</f>
      </c>
      <c r="L3282" s="20"/>
      <c r="M3282" s="20">
        <f>Разбивка_по_щитам!P3287</f>
      </c>
      <c r="N3282" s="20"/>
    </row>
    <row r="3283" spans="2:14" x14ac:dyDescent="0.25">
      <c r="B3283" s="20">
        <f>Разбивка_по_щитам!B3288</f>
      </c>
      <c r="C3283" s="20">
        <f>Разбивка_по_щитам!C3288</f>
      </c>
      <c r="D3283" s="20">
        <f>Разбивка_по_щитам!F3288</f>
      </c>
      <c r="E3283" s="20">
        <f>Разбивка_по_щитам!H3288</f>
      </c>
      <c r="F3283" s="20">
        <f>Разбивка_по_щитам!I3288</f>
      </c>
      <c r="G3283" s="20">
        <f>Разбивка_по_щитам!J3288</f>
      </c>
      <c r="H3283" s="20">
        <f>Разбивка_по_щитам!K3288</f>
      </c>
      <c r="I3283" s="20">
        <f>Разбивка_по_щитам!L3288</f>
      </c>
      <c r="J3283" s="20">
        <f>Разбивка_по_щитам!M3288</f>
      </c>
      <c r="K3283" s="20">
        <f>Разбивка_по_щитам!N3288</f>
      </c>
      <c r="L3283" s="20"/>
      <c r="M3283" s="20">
        <f>Разбивка_по_щитам!P3288</f>
      </c>
      <c r="N3283" s="20"/>
    </row>
    <row r="3284" spans="2:14" x14ac:dyDescent="0.25">
      <c r="B3284" s="20">
        <f>Разбивка_по_щитам!B3289</f>
      </c>
      <c r="C3284" s="20">
        <f>Разбивка_по_щитам!C3289</f>
      </c>
      <c r="D3284" s="20">
        <f>Разбивка_по_щитам!F3289</f>
      </c>
      <c r="E3284" s="20">
        <f>Разбивка_по_щитам!H3289</f>
      </c>
      <c r="F3284" s="20">
        <f>Разбивка_по_щитам!I3289</f>
      </c>
      <c r="G3284" s="20">
        <f>Разбивка_по_щитам!J3289</f>
      </c>
      <c r="H3284" s="20">
        <f>Разбивка_по_щитам!K3289</f>
      </c>
      <c r="I3284" s="20">
        <f>Разбивка_по_щитам!L3289</f>
      </c>
      <c r="J3284" s="20">
        <f>Разбивка_по_щитам!M3289</f>
      </c>
      <c r="K3284" s="20">
        <f>Разбивка_по_щитам!N3289</f>
      </c>
      <c r="L3284" s="20"/>
      <c r="M3284" s="20">
        <f>Разбивка_по_щитам!P3289</f>
      </c>
      <c r="N3284" s="20"/>
    </row>
    <row r="3285" spans="2:14" x14ac:dyDescent="0.25">
      <c r="B3285" s="20">
        <f>Разбивка_по_щитам!B3290</f>
      </c>
      <c r="C3285" s="20">
        <f>Разбивка_по_щитам!C3290</f>
      </c>
      <c r="D3285" s="20">
        <f>Разбивка_по_щитам!F3290</f>
      </c>
      <c r="E3285" s="20">
        <f>Разбивка_по_щитам!H3290</f>
      </c>
      <c r="F3285" s="20">
        <f>Разбивка_по_щитам!I3290</f>
      </c>
      <c r="G3285" s="20">
        <f>Разбивка_по_щитам!J3290</f>
      </c>
      <c r="H3285" s="20">
        <f>Разбивка_по_щитам!K3290</f>
      </c>
      <c r="I3285" s="20">
        <f>Разбивка_по_щитам!L3290</f>
      </c>
      <c r="J3285" s="20">
        <f>Разбивка_по_щитам!M3290</f>
      </c>
      <c r="K3285" s="20">
        <f>Разбивка_по_щитам!N3290</f>
      </c>
      <c r="L3285" s="20"/>
      <c r="M3285" s="20">
        <f>Разбивка_по_щитам!P3290</f>
      </c>
      <c r="N3285" s="20"/>
    </row>
    <row r="3286" spans="2:14" x14ac:dyDescent="0.25">
      <c r="B3286" s="20">
        <f>Разбивка_по_щитам!B3291</f>
      </c>
      <c r="C3286" s="20">
        <f>Разбивка_по_щитам!C3291</f>
      </c>
      <c r="D3286" s="20">
        <f>Разбивка_по_щитам!F3291</f>
      </c>
      <c r="E3286" s="20">
        <f>Разбивка_по_щитам!H3291</f>
      </c>
      <c r="F3286" s="20">
        <f>Разбивка_по_щитам!I3291</f>
      </c>
      <c r="G3286" s="20">
        <f>Разбивка_по_щитам!J3291</f>
      </c>
      <c r="H3286" s="20">
        <f>Разбивка_по_щитам!K3291</f>
      </c>
      <c r="I3286" s="20">
        <f>Разбивка_по_щитам!L3291</f>
      </c>
      <c r="J3286" s="20">
        <f>Разбивка_по_щитам!M3291</f>
      </c>
      <c r="K3286" s="20">
        <f>Разбивка_по_щитам!N3291</f>
      </c>
      <c r="L3286" s="20"/>
      <c r="M3286" s="20">
        <f>Разбивка_по_щитам!P3291</f>
      </c>
      <c r="N3286" s="20"/>
    </row>
    <row r="3287" spans="2:14" x14ac:dyDescent="0.25">
      <c r="B3287" s="20">
        <f>Разбивка_по_щитам!B3292</f>
      </c>
      <c r="C3287" s="20">
        <f>Разбивка_по_щитам!C3292</f>
      </c>
      <c r="D3287" s="20">
        <f>Разбивка_по_щитам!F3292</f>
      </c>
      <c r="E3287" s="20">
        <f>Разбивка_по_щитам!H3292</f>
      </c>
      <c r="F3287" s="20">
        <f>Разбивка_по_щитам!I3292</f>
      </c>
      <c r="G3287" s="20">
        <f>Разбивка_по_щитам!J3292</f>
      </c>
      <c r="H3287" s="20">
        <f>Разбивка_по_щитам!K3292</f>
      </c>
      <c r="I3287" s="20">
        <f>Разбивка_по_щитам!L3292</f>
      </c>
      <c r="J3287" s="20">
        <f>Разбивка_по_щитам!M3292</f>
      </c>
      <c r="K3287" s="20">
        <f>Разбивка_по_щитам!N3292</f>
      </c>
      <c r="L3287" s="20"/>
      <c r="M3287" s="20">
        <f>Разбивка_по_щитам!P3292</f>
      </c>
      <c r="N3287" s="20"/>
    </row>
    <row r="3288" spans="2:14" x14ac:dyDescent="0.25">
      <c r="B3288" s="20">
        <f>Разбивка_по_щитам!B3293</f>
      </c>
      <c r="C3288" s="20">
        <f>Разбивка_по_щитам!C3293</f>
      </c>
      <c r="D3288" s="20">
        <f>Разбивка_по_щитам!F3293</f>
      </c>
      <c r="E3288" s="20">
        <f>Разбивка_по_щитам!H3293</f>
      </c>
      <c r="F3288" s="20">
        <f>Разбивка_по_щитам!I3293</f>
      </c>
      <c r="G3288" s="20">
        <f>Разбивка_по_щитам!J3293</f>
      </c>
      <c r="H3288" s="20">
        <f>Разбивка_по_щитам!K3293</f>
      </c>
      <c r="I3288" s="20">
        <f>Разбивка_по_щитам!L3293</f>
      </c>
      <c r="J3288" s="20">
        <f>Разбивка_по_щитам!M3293</f>
      </c>
      <c r="K3288" s="20">
        <f>Разбивка_по_щитам!N3293</f>
      </c>
      <c r="L3288" s="20"/>
      <c r="M3288" s="20">
        <f>Разбивка_по_щитам!P3293</f>
      </c>
      <c r="N3288" s="20"/>
    </row>
    <row r="3289" spans="2:14" x14ac:dyDescent="0.25">
      <c r="B3289" s="20">
        <f>Разбивка_по_щитам!B3294</f>
      </c>
      <c r="C3289" s="20">
        <f>Разбивка_по_щитам!C3294</f>
      </c>
      <c r="D3289" s="20">
        <f>Разбивка_по_щитам!F3294</f>
      </c>
      <c r="E3289" s="20">
        <f>Разбивка_по_щитам!H3294</f>
      </c>
      <c r="F3289" s="20">
        <f>Разбивка_по_щитам!I3294</f>
      </c>
      <c r="G3289" s="20">
        <f>Разбивка_по_щитам!J3294</f>
      </c>
      <c r="H3289" s="20">
        <f>Разбивка_по_щитам!K3294</f>
      </c>
      <c r="I3289" s="20">
        <f>Разбивка_по_щитам!L3294</f>
      </c>
      <c r="J3289" s="20">
        <f>Разбивка_по_щитам!M3294</f>
      </c>
      <c r="K3289" s="20">
        <f>Разбивка_по_щитам!N3294</f>
      </c>
      <c r="L3289" s="20"/>
      <c r="M3289" s="20">
        <f>Разбивка_по_щитам!P3294</f>
      </c>
      <c r="N3289" s="20"/>
    </row>
    <row r="3290" spans="2:14" x14ac:dyDescent="0.25">
      <c r="B3290" s="20">
        <f>Разбивка_по_щитам!B3295</f>
      </c>
      <c r="C3290" s="20">
        <f>Разбивка_по_щитам!C3295</f>
      </c>
      <c r="D3290" s="20">
        <f>Разбивка_по_щитам!F3295</f>
      </c>
      <c r="E3290" s="20">
        <f>Разбивка_по_щитам!H3295</f>
      </c>
      <c r="F3290" s="20">
        <f>Разбивка_по_щитам!I3295</f>
      </c>
      <c r="G3290" s="20">
        <f>Разбивка_по_щитам!J3295</f>
      </c>
      <c r="H3290" s="20">
        <f>Разбивка_по_щитам!K3295</f>
      </c>
      <c r="I3290" s="20">
        <f>Разбивка_по_щитам!L3295</f>
      </c>
      <c r="J3290" s="20">
        <f>Разбивка_по_щитам!M3295</f>
      </c>
      <c r="K3290" s="20">
        <f>Разбивка_по_щитам!N3295</f>
      </c>
      <c r="L3290" s="20"/>
      <c r="M3290" s="20">
        <f>Разбивка_по_щитам!P3295</f>
      </c>
      <c r="N3290" s="20"/>
    </row>
    <row r="3291" spans="2:14" x14ac:dyDescent="0.25">
      <c r="B3291" s="20">
        <f>Разбивка_по_щитам!B3296</f>
      </c>
      <c r="C3291" s="20">
        <f>Разбивка_по_щитам!C3296</f>
      </c>
      <c r="D3291" s="20">
        <f>Разбивка_по_щитам!F3296</f>
      </c>
      <c r="E3291" s="20">
        <f>Разбивка_по_щитам!H3296</f>
      </c>
      <c r="F3291" s="20">
        <f>Разбивка_по_щитам!I3296</f>
      </c>
      <c r="G3291" s="20">
        <f>Разбивка_по_щитам!J3296</f>
      </c>
      <c r="H3291" s="20">
        <f>Разбивка_по_щитам!K3296</f>
      </c>
      <c r="I3291" s="20">
        <f>Разбивка_по_щитам!L3296</f>
      </c>
      <c r="J3291" s="20">
        <f>Разбивка_по_щитам!M3296</f>
      </c>
      <c r="K3291" s="20">
        <f>Разбивка_по_щитам!N3296</f>
      </c>
      <c r="L3291" s="20"/>
      <c r="M3291" s="20">
        <f>Разбивка_по_щитам!P3296</f>
      </c>
      <c r="N3291" s="20"/>
    </row>
    <row r="3292" spans="2:14" x14ac:dyDescent="0.25">
      <c r="B3292" s="20">
        <f>Разбивка_по_щитам!B3297</f>
      </c>
      <c r="C3292" s="20">
        <f>Разбивка_по_щитам!C3297</f>
      </c>
      <c r="D3292" s="20">
        <f>Разбивка_по_щитам!F3297</f>
      </c>
      <c r="E3292" s="20">
        <f>Разбивка_по_щитам!H3297</f>
      </c>
      <c r="F3292" s="20">
        <f>Разбивка_по_щитам!I3297</f>
      </c>
      <c r="G3292" s="20">
        <f>Разбивка_по_щитам!J3297</f>
      </c>
      <c r="H3292" s="20">
        <f>Разбивка_по_щитам!K3297</f>
      </c>
      <c r="I3292" s="20">
        <f>Разбивка_по_щитам!L3297</f>
      </c>
      <c r="J3292" s="20">
        <f>Разбивка_по_щитам!M3297</f>
      </c>
      <c r="K3292" s="20">
        <f>Разбивка_по_щитам!N3297</f>
      </c>
      <c r="L3292" s="20"/>
      <c r="M3292" s="20">
        <f>Разбивка_по_щитам!P3297</f>
      </c>
      <c r="N3292" s="20"/>
    </row>
    <row r="3293" spans="2:14" x14ac:dyDescent="0.25">
      <c r="B3293" s="20">
        <f>Разбивка_по_щитам!B3298</f>
      </c>
      <c r="C3293" s="20">
        <f>Разбивка_по_щитам!C3298</f>
      </c>
      <c r="D3293" s="20">
        <f>Разбивка_по_щитам!F3298</f>
      </c>
      <c r="E3293" s="20">
        <f>Разбивка_по_щитам!H3298</f>
      </c>
      <c r="F3293" s="20">
        <f>Разбивка_по_щитам!I3298</f>
      </c>
      <c r="G3293" s="20">
        <f>Разбивка_по_щитам!J3298</f>
      </c>
      <c r="H3293" s="20">
        <f>Разбивка_по_щитам!K3298</f>
      </c>
      <c r="I3293" s="20">
        <f>Разбивка_по_щитам!L3298</f>
      </c>
      <c r="J3293" s="20">
        <f>Разбивка_по_щитам!M3298</f>
      </c>
      <c r="K3293" s="20">
        <f>Разбивка_по_щитам!N3298</f>
      </c>
      <c r="L3293" s="20"/>
      <c r="M3293" s="20">
        <f>Разбивка_по_щитам!P3298</f>
      </c>
      <c r="N3293" s="20"/>
    </row>
    <row r="3294" spans="2:14" x14ac:dyDescent="0.25">
      <c r="B3294" s="20">
        <f>Разбивка_по_щитам!B3299</f>
      </c>
      <c r="C3294" s="20">
        <f>Разбивка_по_щитам!C3299</f>
      </c>
      <c r="D3294" s="20">
        <f>Разбивка_по_щитам!F3299</f>
      </c>
      <c r="E3294" s="20">
        <f>Разбивка_по_щитам!H3299</f>
      </c>
      <c r="F3294" s="20">
        <f>Разбивка_по_щитам!I3299</f>
      </c>
      <c r="G3294" s="20">
        <f>Разбивка_по_щитам!J3299</f>
      </c>
      <c r="H3294" s="20">
        <f>Разбивка_по_щитам!K3299</f>
      </c>
      <c r="I3294" s="20">
        <f>Разбивка_по_щитам!L3299</f>
      </c>
      <c r="J3294" s="20">
        <f>Разбивка_по_щитам!M3299</f>
      </c>
      <c r="K3294" s="20">
        <f>Разбивка_по_щитам!N3299</f>
      </c>
      <c r="L3294" s="20"/>
      <c r="M3294" s="20">
        <f>Разбивка_по_щитам!P3299</f>
      </c>
      <c r="N3294" s="20"/>
    </row>
    <row r="3295" spans="2:14" x14ac:dyDescent="0.25">
      <c r="B3295" s="20">
        <f>Разбивка_по_щитам!B3300</f>
      </c>
      <c r="C3295" s="20">
        <f>Разбивка_по_щитам!C3300</f>
      </c>
      <c r="D3295" s="20">
        <f>Разбивка_по_щитам!F3300</f>
      </c>
      <c r="E3295" s="20">
        <f>Разбивка_по_щитам!H3300</f>
      </c>
      <c r="F3295" s="20">
        <f>Разбивка_по_щитам!I3300</f>
      </c>
      <c r="G3295" s="20">
        <f>Разбивка_по_щитам!J3300</f>
      </c>
      <c r="H3295" s="20">
        <f>Разбивка_по_щитам!K3300</f>
      </c>
      <c r="I3295" s="20">
        <f>Разбивка_по_щитам!L3300</f>
      </c>
      <c r="J3295" s="20">
        <f>Разбивка_по_щитам!M3300</f>
      </c>
      <c r="K3295" s="20">
        <f>Разбивка_по_щитам!N3300</f>
      </c>
      <c r="L3295" s="20"/>
      <c r="M3295" s="20">
        <f>Разбивка_по_щитам!P3300</f>
      </c>
      <c r="N3295" s="20"/>
    </row>
    <row r="3296" spans="2:14" x14ac:dyDescent="0.25">
      <c r="B3296" s="20">
        <f>Разбивка_по_щитам!B3301</f>
      </c>
      <c r="C3296" s="20">
        <f>Разбивка_по_щитам!C3301</f>
      </c>
      <c r="D3296" s="20">
        <f>Разбивка_по_щитам!F3301</f>
      </c>
      <c r="E3296" s="20">
        <f>Разбивка_по_щитам!H3301</f>
      </c>
      <c r="F3296" s="20">
        <f>Разбивка_по_щитам!I3301</f>
      </c>
      <c r="G3296" s="20">
        <f>Разбивка_по_щитам!J3301</f>
      </c>
      <c r="H3296" s="20">
        <f>Разбивка_по_щитам!K3301</f>
      </c>
      <c r="I3296" s="20">
        <f>Разбивка_по_щитам!L3301</f>
      </c>
      <c r="J3296" s="20">
        <f>Разбивка_по_щитам!M3301</f>
      </c>
      <c r="K3296" s="20">
        <f>Разбивка_по_щитам!N3301</f>
      </c>
      <c r="L3296" s="20"/>
      <c r="M3296" s="20">
        <f>Разбивка_по_щитам!P3301</f>
      </c>
      <c r="N3296" s="20"/>
    </row>
    <row r="3297" spans="2:14" x14ac:dyDescent="0.25">
      <c r="B3297" s="20">
        <f>Разбивка_по_щитам!B3302</f>
      </c>
      <c r="C3297" s="20">
        <f>Разбивка_по_щитам!C3302</f>
      </c>
      <c r="D3297" s="20">
        <f>Разбивка_по_щитам!F3302</f>
      </c>
      <c r="E3297" s="20">
        <f>Разбивка_по_щитам!H3302</f>
      </c>
      <c r="F3297" s="20">
        <f>Разбивка_по_щитам!I3302</f>
      </c>
      <c r="G3297" s="20">
        <f>Разбивка_по_щитам!J3302</f>
      </c>
      <c r="H3297" s="20">
        <f>Разбивка_по_щитам!K3302</f>
      </c>
      <c r="I3297" s="20">
        <f>Разбивка_по_щитам!L3302</f>
      </c>
      <c r="J3297" s="20">
        <f>Разбивка_по_щитам!M3302</f>
      </c>
      <c r="K3297" s="20">
        <f>Разбивка_по_щитам!N3302</f>
      </c>
      <c r="L3297" s="20"/>
      <c r="M3297" s="20">
        <f>Разбивка_по_щитам!P3302</f>
      </c>
      <c r="N3297" s="20"/>
    </row>
    <row r="3298" spans="2:14" x14ac:dyDescent="0.25">
      <c r="B3298" s="20">
        <f>Разбивка_по_щитам!B3303</f>
      </c>
      <c r="C3298" s="20">
        <f>Разбивка_по_щитам!C3303</f>
      </c>
      <c r="D3298" s="20">
        <f>Разбивка_по_щитам!F3303</f>
      </c>
      <c r="E3298" s="20">
        <f>Разбивка_по_щитам!H3303</f>
      </c>
      <c r="F3298" s="20">
        <f>Разбивка_по_щитам!I3303</f>
      </c>
      <c r="G3298" s="20">
        <f>Разбивка_по_щитам!J3303</f>
      </c>
      <c r="H3298" s="20">
        <f>Разбивка_по_щитам!K3303</f>
      </c>
      <c r="I3298" s="20">
        <f>Разбивка_по_щитам!L3303</f>
      </c>
      <c r="J3298" s="20">
        <f>Разбивка_по_щитам!M3303</f>
      </c>
      <c r="K3298" s="20">
        <f>Разбивка_по_щитам!N3303</f>
      </c>
      <c r="L3298" s="20"/>
      <c r="M3298" s="20">
        <f>Разбивка_по_щитам!P3303</f>
      </c>
      <c r="N3298" s="20"/>
    </row>
    <row r="3299" spans="2:14" x14ac:dyDescent="0.25">
      <c r="B3299" s="20">
        <f>Разбивка_по_щитам!B3304</f>
      </c>
      <c r="C3299" s="20">
        <f>Разбивка_по_щитам!C3304</f>
      </c>
      <c r="D3299" s="20">
        <f>Разбивка_по_щитам!F3304</f>
      </c>
      <c r="E3299" s="20">
        <f>Разбивка_по_щитам!H3304</f>
      </c>
      <c r="F3299" s="20">
        <f>Разбивка_по_щитам!I3304</f>
      </c>
      <c r="G3299" s="20">
        <f>Разбивка_по_щитам!J3304</f>
      </c>
      <c r="H3299" s="20">
        <f>Разбивка_по_щитам!K3304</f>
      </c>
      <c r="I3299" s="20">
        <f>Разбивка_по_щитам!L3304</f>
      </c>
      <c r="J3299" s="20">
        <f>Разбивка_по_щитам!M3304</f>
      </c>
      <c r="K3299" s="20">
        <f>Разбивка_по_щитам!N3304</f>
      </c>
      <c r="L3299" s="20"/>
      <c r="M3299" s="20">
        <f>Разбивка_по_щитам!P3304</f>
      </c>
      <c r="N3299" s="20"/>
    </row>
    <row r="3300" spans="2:14" x14ac:dyDescent="0.25">
      <c r="B3300" s="20">
        <f>Разбивка_по_щитам!B3305</f>
      </c>
      <c r="C3300" s="20">
        <f>Разбивка_по_щитам!C3305</f>
      </c>
      <c r="D3300" s="20">
        <f>Разбивка_по_щитам!F3305</f>
      </c>
      <c r="E3300" s="20">
        <f>Разбивка_по_щитам!H3305</f>
      </c>
      <c r="F3300" s="20">
        <f>Разбивка_по_щитам!I3305</f>
      </c>
      <c r="G3300" s="20">
        <f>Разбивка_по_щитам!J3305</f>
      </c>
      <c r="H3300" s="20">
        <f>Разбивка_по_щитам!K3305</f>
      </c>
      <c r="I3300" s="20">
        <f>Разбивка_по_щитам!L3305</f>
      </c>
      <c r="J3300" s="20">
        <f>Разбивка_по_щитам!M3305</f>
      </c>
      <c r="K3300" s="20">
        <f>Разбивка_по_щитам!N3305</f>
      </c>
      <c r="L3300" s="20"/>
      <c r="M3300" s="20">
        <f>Разбивка_по_щитам!P3305</f>
      </c>
      <c r="N3300" s="20"/>
    </row>
    <row r="3301" spans="2:14" x14ac:dyDescent="0.25">
      <c r="B3301" s="20">
        <f>Разбивка_по_щитам!B3306</f>
      </c>
      <c r="C3301" s="20">
        <f>Разбивка_по_щитам!C3306</f>
      </c>
      <c r="D3301" s="20">
        <f>Разбивка_по_щитам!F3306</f>
      </c>
      <c r="E3301" s="20">
        <f>Разбивка_по_щитам!H3306</f>
      </c>
      <c r="F3301" s="20">
        <f>Разбивка_по_щитам!I3306</f>
      </c>
      <c r="G3301" s="20">
        <f>Разбивка_по_щитам!J3306</f>
      </c>
      <c r="H3301" s="20">
        <f>Разбивка_по_щитам!K3306</f>
      </c>
      <c r="I3301" s="20">
        <f>Разбивка_по_щитам!L3306</f>
      </c>
      <c r="J3301" s="20">
        <f>Разбивка_по_щитам!M3306</f>
      </c>
      <c r="K3301" s="20">
        <f>Разбивка_по_щитам!N3306</f>
      </c>
      <c r="L3301" s="20"/>
      <c r="M3301" s="20">
        <f>Разбивка_по_щитам!P3306</f>
      </c>
      <c r="N3301" s="20"/>
    </row>
    <row r="3302" spans="2:14" x14ac:dyDescent="0.25">
      <c r="B3302" s="20">
        <f>Разбивка_по_щитам!B3307</f>
      </c>
      <c r="C3302" s="20">
        <f>Разбивка_по_щитам!C3307</f>
      </c>
      <c r="D3302" s="20">
        <f>Разбивка_по_щитам!F3307</f>
      </c>
      <c r="E3302" s="20">
        <f>Разбивка_по_щитам!H3307</f>
      </c>
      <c r="F3302" s="20">
        <f>Разбивка_по_щитам!I3307</f>
      </c>
      <c r="G3302" s="20">
        <f>Разбивка_по_щитам!J3307</f>
      </c>
      <c r="H3302" s="20">
        <f>Разбивка_по_щитам!K3307</f>
      </c>
      <c r="I3302" s="20">
        <f>Разбивка_по_щитам!L3307</f>
      </c>
      <c r="J3302" s="20">
        <f>Разбивка_по_щитам!M3307</f>
      </c>
      <c r="K3302" s="20">
        <f>Разбивка_по_щитам!N3307</f>
      </c>
      <c r="L3302" s="20"/>
      <c r="M3302" s="20">
        <f>Разбивка_по_щитам!P3307</f>
      </c>
      <c r="N3302" s="20"/>
    </row>
    <row r="3303" spans="2:14" x14ac:dyDescent="0.25">
      <c r="B3303" s="20">
        <f>Разбивка_по_щитам!B3308</f>
      </c>
      <c r="C3303" s="20">
        <f>Разбивка_по_щитам!C3308</f>
      </c>
      <c r="D3303" s="20">
        <f>Разбивка_по_щитам!F3308</f>
      </c>
      <c r="E3303" s="20">
        <f>Разбивка_по_щитам!H3308</f>
      </c>
      <c r="F3303" s="20">
        <f>Разбивка_по_щитам!I3308</f>
      </c>
      <c r="G3303" s="20">
        <f>Разбивка_по_щитам!J3308</f>
      </c>
      <c r="H3303" s="20">
        <f>Разбивка_по_щитам!K3308</f>
      </c>
      <c r="I3303" s="20">
        <f>Разбивка_по_щитам!L3308</f>
      </c>
      <c r="J3303" s="20">
        <f>Разбивка_по_щитам!M3308</f>
      </c>
      <c r="K3303" s="20">
        <f>Разбивка_по_щитам!N3308</f>
      </c>
      <c r="L3303" s="20"/>
      <c r="M3303" s="20">
        <f>Разбивка_по_щитам!P3308</f>
      </c>
      <c r="N3303" s="20"/>
    </row>
    <row r="3304" spans="2:14" x14ac:dyDescent="0.25">
      <c r="B3304" s="20">
        <f>Разбивка_по_щитам!B3309</f>
      </c>
      <c r="C3304" s="20">
        <f>Разбивка_по_щитам!C3309</f>
      </c>
      <c r="D3304" s="20">
        <f>Разбивка_по_щитам!F3309</f>
      </c>
      <c r="E3304" s="20">
        <f>Разбивка_по_щитам!H3309</f>
      </c>
      <c r="F3304" s="20">
        <f>Разбивка_по_щитам!I3309</f>
      </c>
      <c r="G3304" s="20">
        <f>Разбивка_по_щитам!J3309</f>
      </c>
      <c r="H3304" s="20">
        <f>Разбивка_по_щитам!K3309</f>
      </c>
      <c r="I3304" s="20">
        <f>Разбивка_по_щитам!L3309</f>
      </c>
      <c r="J3304" s="20">
        <f>Разбивка_по_щитам!M3309</f>
      </c>
      <c r="K3304" s="20">
        <f>Разбивка_по_щитам!N3309</f>
      </c>
      <c r="L3304" s="20"/>
      <c r="M3304" s="20">
        <f>Разбивка_по_щитам!P3309</f>
      </c>
      <c r="N3304" s="20"/>
    </row>
    <row r="3305" spans="2:14" x14ac:dyDescent="0.25">
      <c r="B3305" s="20">
        <f>Разбивка_по_щитам!B3310</f>
      </c>
      <c r="C3305" s="20">
        <f>Разбивка_по_щитам!C3310</f>
      </c>
      <c r="D3305" s="20">
        <f>Разбивка_по_щитам!F3310</f>
      </c>
      <c r="E3305" s="20">
        <f>Разбивка_по_щитам!H3310</f>
      </c>
      <c r="F3305" s="20">
        <f>Разбивка_по_щитам!I3310</f>
      </c>
      <c r="G3305" s="20">
        <f>Разбивка_по_щитам!J3310</f>
      </c>
      <c r="H3305" s="20">
        <f>Разбивка_по_щитам!K3310</f>
      </c>
      <c r="I3305" s="20">
        <f>Разбивка_по_щитам!L3310</f>
      </c>
      <c r="J3305" s="20">
        <f>Разбивка_по_щитам!M3310</f>
      </c>
      <c r="K3305" s="20">
        <f>Разбивка_по_щитам!N3310</f>
      </c>
      <c r="L3305" s="20"/>
      <c r="M3305" s="20">
        <f>Разбивка_по_щитам!P3310</f>
      </c>
      <c r="N3305" s="20"/>
    </row>
    <row r="3306" spans="2:14" x14ac:dyDescent="0.25">
      <c r="B3306" s="20">
        <f>Разбивка_по_щитам!B3311</f>
      </c>
      <c r="C3306" s="20">
        <f>Разбивка_по_щитам!C3311</f>
      </c>
      <c r="D3306" s="20">
        <f>Разбивка_по_щитам!F3311</f>
      </c>
      <c r="E3306" s="20">
        <f>Разбивка_по_щитам!H3311</f>
      </c>
      <c r="F3306" s="20">
        <f>Разбивка_по_щитам!I3311</f>
      </c>
      <c r="G3306" s="20">
        <f>Разбивка_по_щитам!J3311</f>
      </c>
      <c r="H3306" s="20">
        <f>Разбивка_по_щитам!K3311</f>
      </c>
      <c r="I3306" s="20">
        <f>Разбивка_по_щитам!L3311</f>
      </c>
      <c r="J3306" s="20">
        <f>Разбивка_по_щитам!M3311</f>
      </c>
      <c r="K3306" s="20">
        <f>Разбивка_по_щитам!N3311</f>
      </c>
      <c r="L3306" s="20"/>
      <c r="M3306" s="20">
        <f>Разбивка_по_щитам!P3311</f>
      </c>
      <c r="N3306" s="20"/>
    </row>
    <row r="3307" spans="2:14" x14ac:dyDescent="0.25">
      <c r="B3307" s="20">
        <f>Разбивка_по_щитам!B3312</f>
      </c>
      <c r="C3307" s="20">
        <f>Разбивка_по_щитам!C3312</f>
      </c>
      <c r="D3307" s="20">
        <f>Разбивка_по_щитам!F3312</f>
      </c>
      <c r="E3307" s="20">
        <f>Разбивка_по_щитам!H3312</f>
      </c>
      <c r="F3307" s="20">
        <f>Разбивка_по_щитам!I3312</f>
      </c>
      <c r="G3307" s="20">
        <f>Разбивка_по_щитам!J3312</f>
      </c>
      <c r="H3307" s="20">
        <f>Разбивка_по_щитам!K3312</f>
      </c>
      <c r="I3307" s="20">
        <f>Разбивка_по_щитам!L3312</f>
      </c>
      <c r="J3307" s="20">
        <f>Разбивка_по_щитам!M3312</f>
      </c>
      <c r="K3307" s="20">
        <f>Разбивка_по_щитам!N3312</f>
      </c>
      <c r="L3307" s="20"/>
      <c r="M3307" s="20">
        <f>Разбивка_по_щитам!P3312</f>
      </c>
      <c r="N3307" s="20"/>
    </row>
    <row r="3308" spans="2:14" x14ac:dyDescent="0.25">
      <c r="B3308" s="20">
        <f>Разбивка_по_щитам!B3313</f>
      </c>
      <c r="C3308" s="20">
        <f>Разбивка_по_щитам!C3313</f>
      </c>
      <c r="D3308" s="20">
        <f>Разбивка_по_щитам!F3313</f>
      </c>
      <c r="E3308" s="20">
        <f>Разбивка_по_щитам!H3313</f>
      </c>
      <c r="F3308" s="20">
        <f>Разбивка_по_щитам!I3313</f>
      </c>
      <c r="G3308" s="20">
        <f>Разбивка_по_щитам!J3313</f>
      </c>
      <c r="H3308" s="20">
        <f>Разбивка_по_щитам!K3313</f>
      </c>
      <c r="I3308" s="20">
        <f>Разбивка_по_щитам!L3313</f>
      </c>
      <c r="J3308" s="20">
        <f>Разбивка_по_щитам!M3313</f>
      </c>
      <c r="K3308" s="20">
        <f>Разбивка_по_щитам!N3313</f>
      </c>
      <c r="L3308" s="20"/>
      <c r="M3308" s="20">
        <f>Разбивка_по_щитам!P3313</f>
      </c>
      <c r="N3308" s="20"/>
    </row>
    <row r="3309" spans="2:14" x14ac:dyDescent="0.25">
      <c r="B3309" s="20">
        <f>Разбивка_по_щитам!B3314</f>
      </c>
      <c r="C3309" s="20">
        <f>Разбивка_по_щитам!C3314</f>
      </c>
      <c r="D3309" s="20">
        <f>Разбивка_по_щитам!F3314</f>
      </c>
      <c r="E3309" s="20">
        <f>Разбивка_по_щитам!H3314</f>
      </c>
      <c r="F3309" s="20">
        <f>Разбивка_по_щитам!I3314</f>
      </c>
      <c r="G3309" s="20">
        <f>Разбивка_по_щитам!J3314</f>
      </c>
      <c r="H3309" s="20">
        <f>Разбивка_по_щитам!K3314</f>
      </c>
      <c r="I3309" s="20">
        <f>Разбивка_по_щитам!L3314</f>
      </c>
      <c r="J3309" s="20">
        <f>Разбивка_по_щитам!M3314</f>
      </c>
      <c r="K3309" s="20">
        <f>Разбивка_по_щитам!N3314</f>
      </c>
      <c r="L3309" s="20"/>
      <c r="M3309" s="20">
        <f>Разбивка_по_щитам!P3314</f>
      </c>
      <c r="N3309" s="20"/>
    </row>
    <row r="3310" spans="2:14" x14ac:dyDescent="0.25">
      <c r="B3310" s="20">
        <f>Разбивка_по_щитам!B3315</f>
      </c>
      <c r="C3310" s="20">
        <f>Разбивка_по_щитам!C3315</f>
      </c>
      <c r="D3310" s="20">
        <f>Разбивка_по_щитам!F3315</f>
      </c>
      <c r="E3310" s="20">
        <f>Разбивка_по_щитам!H3315</f>
      </c>
      <c r="F3310" s="20">
        <f>Разбивка_по_щитам!I3315</f>
      </c>
      <c r="G3310" s="20">
        <f>Разбивка_по_щитам!J3315</f>
      </c>
      <c r="H3310" s="20">
        <f>Разбивка_по_щитам!K3315</f>
      </c>
      <c r="I3310" s="20">
        <f>Разбивка_по_щитам!L3315</f>
      </c>
      <c r="J3310" s="20">
        <f>Разбивка_по_щитам!M3315</f>
      </c>
      <c r="K3310" s="20">
        <f>Разбивка_по_щитам!N3315</f>
      </c>
      <c r="L3310" s="20"/>
      <c r="M3310" s="20">
        <f>Разбивка_по_щитам!P3315</f>
      </c>
      <c r="N3310" s="20"/>
    </row>
    <row r="3311" spans="2:14" x14ac:dyDescent="0.25">
      <c r="B3311" s="20">
        <f>Разбивка_по_щитам!B3316</f>
      </c>
      <c r="C3311" s="20">
        <f>Разбивка_по_щитам!C3316</f>
      </c>
      <c r="D3311" s="20">
        <f>Разбивка_по_щитам!F3316</f>
      </c>
      <c r="E3311" s="20">
        <f>Разбивка_по_щитам!H3316</f>
      </c>
      <c r="F3311" s="20">
        <f>Разбивка_по_щитам!I3316</f>
      </c>
      <c r="G3311" s="20">
        <f>Разбивка_по_щитам!J3316</f>
      </c>
      <c r="H3311" s="20">
        <f>Разбивка_по_щитам!K3316</f>
      </c>
      <c r="I3311" s="20">
        <f>Разбивка_по_щитам!L3316</f>
      </c>
      <c r="J3311" s="20">
        <f>Разбивка_по_щитам!M3316</f>
      </c>
      <c r="K3311" s="20">
        <f>Разбивка_по_щитам!N3316</f>
      </c>
      <c r="L3311" s="20"/>
      <c r="M3311" s="20">
        <f>Разбивка_по_щитам!P3316</f>
      </c>
      <c r="N3311" s="20"/>
    </row>
    <row r="3312" spans="2:14" x14ac:dyDescent="0.25">
      <c r="B3312" s="20">
        <f>Разбивка_по_щитам!B3317</f>
      </c>
      <c r="C3312" s="20">
        <f>Разбивка_по_щитам!C3317</f>
      </c>
      <c r="D3312" s="20">
        <f>Разбивка_по_щитам!F3317</f>
      </c>
      <c r="E3312" s="20">
        <f>Разбивка_по_щитам!H3317</f>
      </c>
      <c r="F3312" s="20">
        <f>Разбивка_по_щитам!I3317</f>
      </c>
      <c r="G3312" s="20">
        <f>Разбивка_по_щитам!J3317</f>
      </c>
      <c r="H3312" s="20">
        <f>Разбивка_по_щитам!K3317</f>
      </c>
      <c r="I3312" s="20">
        <f>Разбивка_по_щитам!L3317</f>
      </c>
      <c r="J3312" s="20">
        <f>Разбивка_по_щитам!M3317</f>
      </c>
      <c r="K3312" s="20">
        <f>Разбивка_по_щитам!N3317</f>
      </c>
      <c r="L3312" s="20"/>
      <c r="M3312" s="20">
        <f>Разбивка_по_щитам!P3317</f>
      </c>
      <c r="N3312" s="20"/>
    </row>
    <row r="3313" spans="2:14" x14ac:dyDescent="0.25">
      <c r="B3313" s="20">
        <f>Разбивка_по_щитам!B3318</f>
      </c>
      <c r="C3313" s="20">
        <f>Разбивка_по_щитам!C3318</f>
      </c>
      <c r="D3313" s="20">
        <f>Разбивка_по_щитам!F3318</f>
      </c>
      <c r="E3313" s="20">
        <f>Разбивка_по_щитам!H3318</f>
      </c>
      <c r="F3313" s="20">
        <f>Разбивка_по_щитам!I3318</f>
      </c>
      <c r="G3313" s="20">
        <f>Разбивка_по_щитам!J3318</f>
      </c>
      <c r="H3313" s="20">
        <f>Разбивка_по_щитам!K3318</f>
      </c>
      <c r="I3313" s="20">
        <f>Разбивка_по_щитам!L3318</f>
      </c>
      <c r="J3313" s="20">
        <f>Разбивка_по_щитам!M3318</f>
      </c>
      <c r="K3313" s="20">
        <f>Разбивка_по_щитам!N3318</f>
      </c>
      <c r="L3313" s="20"/>
      <c r="M3313" s="20">
        <f>Разбивка_по_щитам!P3318</f>
      </c>
      <c r="N3313" s="20"/>
    </row>
    <row r="3314" spans="2:14" x14ac:dyDescent="0.25">
      <c r="B3314" s="20">
        <f>Разбивка_по_щитам!B3319</f>
      </c>
      <c r="C3314" s="20">
        <f>Разбивка_по_щитам!C3319</f>
      </c>
      <c r="D3314" s="20">
        <f>Разбивка_по_щитам!F3319</f>
      </c>
      <c r="E3314" s="20">
        <f>Разбивка_по_щитам!H3319</f>
      </c>
      <c r="F3314" s="20">
        <f>Разбивка_по_щитам!I3319</f>
      </c>
      <c r="G3314" s="20">
        <f>Разбивка_по_щитам!J3319</f>
      </c>
      <c r="H3314" s="20">
        <f>Разбивка_по_щитам!K3319</f>
      </c>
      <c r="I3314" s="20">
        <f>Разбивка_по_щитам!L3319</f>
      </c>
      <c r="J3314" s="20">
        <f>Разбивка_по_щитам!M3319</f>
      </c>
      <c r="K3314" s="20">
        <f>Разбивка_по_щитам!N3319</f>
      </c>
      <c r="L3314" s="20"/>
      <c r="M3314" s="20">
        <f>Разбивка_по_щитам!P3319</f>
      </c>
      <c r="N3314" s="20"/>
    </row>
    <row r="3315" spans="2:14" x14ac:dyDescent="0.25">
      <c r="B3315" s="20">
        <f>Разбивка_по_щитам!B3320</f>
      </c>
      <c r="C3315" s="20">
        <f>Разбивка_по_щитам!C3320</f>
      </c>
      <c r="D3315" s="20">
        <f>Разбивка_по_щитам!F3320</f>
      </c>
      <c r="E3315" s="20">
        <f>Разбивка_по_щитам!H3320</f>
      </c>
      <c r="F3315" s="20">
        <f>Разбивка_по_щитам!I3320</f>
      </c>
      <c r="G3315" s="20">
        <f>Разбивка_по_щитам!J3320</f>
      </c>
      <c r="H3315" s="20">
        <f>Разбивка_по_щитам!K3320</f>
      </c>
      <c r="I3315" s="20">
        <f>Разбивка_по_щитам!L3320</f>
      </c>
      <c r="J3315" s="20">
        <f>Разбивка_по_щитам!M3320</f>
      </c>
      <c r="K3315" s="20">
        <f>Разбивка_по_щитам!N3320</f>
      </c>
      <c r="L3315" s="20"/>
      <c r="M3315" s="20">
        <f>Разбивка_по_щитам!P3320</f>
      </c>
      <c r="N3315" s="20"/>
    </row>
    <row r="3316" spans="2:14" x14ac:dyDescent="0.25">
      <c r="B3316" s="20">
        <f>Разбивка_по_щитам!B3321</f>
      </c>
      <c r="C3316" s="20">
        <f>Разбивка_по_щитам!C3321</f>
      </c>
      <c r="D3316" s="20">
        <f>Разбивка_по_щитам!F3321</f>
      </c>
      <c r="E3316" s="20">
        <f>Разбивка_по_щитам!H3321</f>
      </c>
      <c r="F3316" s="20">
        <f>Разбивка_по_щитам!I3321</f>
      </c>
      <c r="G3316" s="20">
        <f>Разбивка_по_щитам!J3321</f>
      </c>
      <c r="H3316" s="20">
        <f>Разбивка_по_щитам!K3321</f>
      </c>
      <c r="I3316" s="20">
        <f>Разбивка_по_щитам!L3321</f>
      </c>
      <c r="J3316" s="20">
        <f>Разбивка_по_щитам!M3321</f>
      </c>
      <c r="K3316" s="20">
        <f>Разбивка_по_щитам!N3321</f>
      </c>
      <c r="L3316" s="20"/>
      <c r="M3316" s="20">
        <f>Разбивка_по_щитам!P3321</f>
      </c>
      <c r="N3316" s="20"/>
    </row>
    <row r="3317" spans="2:14" x14ac:dyDescent="0.25">
      <c r="B3317" s="20">
        <f>Разбивка_по_щитам!B3322</f>
      </c>
      <c r="C3317" s="20">
        <f>Разбивка_по_щитам!C3322</f>
      </c>
      <c r="D3317" s="20">
        <f>Разбивка_по_щитам!F3322</f>
      </c>
      <c r="E3317" s="20">
        <f>Разбивка_по_щитам!H3322</f>
      </c>
      <c r="F3317" s="20">
        <f>Разбивка_по_щитам!I3322</f>
      </c>
      <c r="G3317" s="20">
        <f>Разбивка_по_щитам!J3322</f>
      </c>
      <c r="H3317" s="20">
        <f>Разбивка_по_щитам!K3322</f>
      </c>
      <c r="I3317" s="20">
        <f>Разбивка_по_щитам!L3322</f>
      </c>
      <c r="J3317" s="20">
        <f>Разбивка_по_щитам!M3322</f>
      </c>
      <c r="K3317" s="20">
        <f>Разбивка_по_щитам!N3322</f>
      </c>
      <c r="L3317" s="20"/>
      <c r="M3317" s="20">
        <f>Разбивка_по_щитам!P3322</f>
      </c>
      <c r="N3317" s="20"/>
    </row>
    <row r="3318" spans="2:14" x14ac:dyDescent="0.25">
      <c r="B3318" s="20">
        <f>Разбивка_по_щитам!B3323</f>
      </c>
      <c r="C3318" s="20">
        <f>Разбивка_по_щитам!C3323</f>
      </c>
      <c r="D3318" s="20">
        <f>Разбивка_по_щитам!F3323</f>
      </c>
      <c r="E3318" s="20">
        <f>Разбивка_по_щитам!H3323</f>
      </c>
      <c r="F3318" s="20">
        <f>Разбивка_по_щитам!I3323</f>
      </c>
      <c r="G3318" s="20">
        <f>Разбивка_по_щитам!J3323</f>
      </c>
      <c r="H3318" s="20">
        <f>Разбивка_по_щитам!K3323</f>
      </c>
      <c r="I3318" s="20">
        <f>Разбивка_по_щитам!L3323</f>
      </c>
      <c r="J3318" s="20">
        <f>Разбивка_по_щитам!M3323</f>
      </c>
      <c r="K3318" s="20">
        <f>Разбивка_по_щитам!N3323</f>
      </c>
      <c r="L3318" s="20"/>
      <c r="M3318" s="20">
        <f>Разбивка_по_щитам!P3323</f>
      </c>
      <c r="N3318" s="20"/>
    </row>
    <row r="3319" spans="2:14" x14ac:dyDescent="0.25">
      <c r="B3319" s="20">
        <f>Разбивка_по_щитам!B3324</f>
      </c>
      <c r="C3319" s="20">
        <f>Разбивка_по_щитам!C3324</f>
      </c>
      <c r="D3319" s="20">
        <f>Разбивка_по_щитам!F3324</f>
      </c>
      <c r="E3319" s="20">
        <f>Разбивка_по_щитам!H3324</f>
      </c>
      <c r="F3319" s="20">
        <f>Разбивка_по_щитам!I3324</f>
      </c>
      <c r="G3319" s="20">
        <f>Разбивка_по_щитам!J3324</f>
      </c>
      <c r="H3319" s="20">
        <f>Разбивка_по_щитам!K3324</f>
      </c>
      <c r="I3319" s="20">
        <f>Разбивка_по_щитам!L3324</f>
      </c>
      <c r="J3319" s="20">
        <f>Разбивка_по_щитам!M3324</f>
      </c>
      <c r="K3319" s="20">
        <f>Разбивка_по_щитам!N3324</f>
      </c>
      <c r="L3319" s="20"/>
      <c r="M3319" s="20">
        <f>Разбивка_по_щитам!P3324</f>
      </c>
      <c r="N3319" s="20"/>
    </row>
    <row r="3320" spans="2:14" x14ac:dyDescent="0.25">
      <c r="B3320" s="20">
        <f>Разбивка_по_щитам!B3325</f>
      </c>
      <c r="C3320" s="20">
        <f>Разбивка_по_щитам!C3325</f>
      </c>
      <c r="D3320" s="20">
        <f>Разбивка_по_щитам!F3325</f>
      </c>
      <c r="E3320" s="20">
        <f>Разбивка_по_щитам!H3325</f>
      </c>
      <c r="F3320" s="20">
        <f>Разбивка_по_щитам!I3325</f>
      </c>
      <c r="G3320" s="20">
        <f>Разбивка_по_щитам!J3325</f>
      </c>
      <c r="H3320" s="20">
        <f>Разбивка_по_щитам!K3325</f>
      </c>
      <c r="I3320" s="20">
        <f>Разбивка_по_щитам!L3325</f>
      </c>
      <c r="J3320" s="20">
        <f>Разбивка_по_щитам!M3325</f>
      </c>
      <c r="K3320" s="20">
        <f>Разбивка_по_щитам!N3325</f>
      </c>
      <c r="L3320" s="20"/>
      <c r="M3320" s="20">
        <f>Разбивка_по_щитам!P3325</f>
      </c>
      <c r="N3320" s="20"/>
    </row>
    <row r="3321" spans="2:14" x14ac:dyDescent="0.25">
      <c r="B3321" s="20">
        <f>Разбивка_по_щитам!B3326</f>
      </c>
      <c r="C3321" s="20">
        <f>Разбивка_по_щитам!C3326</f>
      </c>
      <c r="D3321" s="20">
        <f>Разбивка_по_щитам!F3326</f>
      </c>
      <c r="E3321" s="20">
        <f>Разбивка_по_щитам!H3326</f>
      </c>
      <c r="F3321" s="20">
        <f>Разбивка_по_щитам!I3326</f>
      </c>
      <c r="G3321" s="20">
        <f>Разбивка_по_щитам!J3326</f>
      </c>
      <c r="H3321" s="20">
        <f>Разбивка_по_щитам!K3326</f>
      </c>
      <c r="I3321" s="20">
        <f>Разбивка_по_щитам!L3326</f>
      </c>
      <c r="J3321" s="20">
        <f>Разбивка_по_щитам!M3326</f>
      </c>
      <c r="K3321" s="20">
        <f>Разбивка_по_щитам!N3326</f>
      </c>
      <c r="L3321" s="20"/>
      <c r="M3321" s="20">
        <f>Разбивка_по_щитам!P3326</f>
      </c>
      <c r="N3321" s="20"/>
    </row>
    <row r="3322" spans="2:14" x14ac:dyDescent="0.25">
      <c r="B3322" s="20">
        <f>Разбивка_по_щитам!B3327</f>
      </c>
      <c r="C3322" s="20">
        <f>Разбивка_по_щитам!C3327</f>
      </c>
      <c r="D3322" s="20">
        <f>Разбивка_по_щитам!F3327</f>
      </c>
      <c r="E3322" s="20">
        <f>Разбивка_по_щитам!H3327</f>
      </c>
      <c r="F3322" s="20">
        <f>Разбивка_по_щитам!I3327</f>
      </c>
      <c r="G3322" s="20">
        <f>Разбивка_по_щитам!J3327</f>
      </c>
      <c r="H3322" s="20">
        <f>Разбивка_по_щитам!K3327</f>
      </c>
      <c r="I3322" s="20">
        <f>Разбивка_по_щитам!L3327</f>
      </c>
      <c r="J3322" s="20">
        <f>Разбивка_по_щитам!M3327</f>
      </c>
      <c r="K3322" s="20">
        <f>Разбивка_по_щитам!N3327</f>
      </c>
      <c r="L3322" s="20"/>
      <c r="M3322" s="20">
        <f>Разбивка_по_щитам!P3327</f>
      </c>
      <c r="N3322" s="20"/>
    </row>
    <row r="3323" spans="2:14" x14ac:dyDescent="0.25">
      <c r="B3323" s="20">
        <f>Разбивка_по_щитам!B3328</f>
      </c>
      <c r="C3323" s="20">
        <f>Разбивка_по_щитам!C3328</f>
      </c>
      <c r="D3323" s="20">
        <f>Разбивка_по_щитам!F3328</f>
      </c>
      <c r="E3323" s="20">
        <f>Разбивка_по_щитам!H3328</f>
      </c>
      <c r="F3323" s="20">
        <f>Разбивка_по_щитам!I3328</f>
      </c>
      <c r="G3323" s="20">
        <f>Разбивка_по_щитам!J3328</f>
      </c>
      <c r="H3323" s="20">
        <f>Разбивка_по_щитам!K3328</f>
      </c>
      <c r="I3323" s="20">
        <f>Разбивка_по_щитам!L3328</f>
      </c>
      <c r="J3323" s="20">
        <f>Разбивка_по_щитам!M3328</f>
      </c>
      <c r="K3323" s="20">
        <f>Разбивка_по_щитам!N3328</f>
      </c>
      <c r="L3323" s="20"/>
      <c r="M3323" s="20">
        <f>Разбивка_по_щитам!P3328</f>
      </c>
      <c r="N3323" s="20"/>
    </row>
    <row r="3324" spans="2:14" x14ac:dyDescent="0.25">
      <c r="B3324" s="20">
        <f>Разбивка_по_щитам!B3329</f>
      </c>
      <c r="C3324" s="20">
        <f>Разбивка_по_щитам!C3329</f>
      </c>
      <c r="D3324" s="20">
        <f>Разбивка_по_щитам!F3329</f>
      </c>
      <c r="E3324" s="20">
        <f>Разбивка_по_щитам!H3329</f>
      </c>
      <c r="F3324" s="20">
        <f>Разбивка_по_щитам!I3329</f>
      </c>
      <c r="G3324" s="20">
        <f>Разбивка_по_щитам!J3329</f>
      </c>
      <c r="H3324" s="20">
        <f>Разбивка_по_щитам!K3329</f>
      </c>
      <c r="I3324" s="20">
        <f>Разбивка_по_щитам!L3329</f>
      </c>
      <c r="J3324" s="20">
        <f>Разбивка_по_щитам!M3329</f>
      </c>
      <c r="K3324" s="20">
        <f>Разбивка_по_щитам!N3329</f>
      </c>
      <c r="L3324" s="20"/>
      <c r="M3324" s="20">
        <f>Разбивка_по_щитам!P3329</f>
      </c>
      <c r="N3324" s="20"/>
    </row>
    <row r="3325" spans="2:14" x14ac:dyDescent="0.25">
      <c r="B3325" s="20">
        <f>Разбивка_по_щитам!B3330</f>
      </c>
      <c r="C3325" s="20">
        <f>Разбивка_по_щитам!C3330</f>
      </c>
      <c r="D3325" s="20">
        <f>Разбивка_по_щитам!F3330</f>
      </c>
      <c r="E3325" s="20">
        <f>Разбивка_по_щитам!H3330</f>
      </c>
      <c r="F3325" s="20">
        <f>Разбивка_по_щитам!I3330</f>
      </c>
      <c r="G3325" s="20">
        <f>Разбивка_по_щитам!J3330</f>
      </c>
      <c r="H3325" s="20">
        <f>Разбивка_по_щитам!K3330</f>
      </c>
      <c r="I3325" s="20">
        <f>Разбивка_по_щитам!L3330</f>
      </c>
      <c r="J3325" s="20">
        <f>Разбивка_по_щитам!M3330</f>
      </c>
      <c r="K3325" s="20">
        <f>Разбивка_по_щитам!N3330</f>
      </c>
      <c r="L3325" s="20"/>
      <c r="M3325" s="20">
        <f>Разбивка_по_щитам!P3330</f>
      </c>
      <c r="N3325" s="20"/>
    </row>
    <row r="3326" spans="2:14" x14ac:dyDescent="0.25">
      <c r="B3326" s="20">
        <f>Разбивка_по_щитам!B3331</f>
      </c>
      <c r="C3326" s="20">
        <f>Разбивка_по_щитам!C3331</f>
      </c>
      <c r="D3326" s="20">
        <f>Разбивка_по_щитам!F3331</f>
      </c>
      <c r="E3326" s="20">
        <f>Разбивка_по_щитам!H3331</f>
      </c>
      <c r="F3326" s="20">
        <f>Разбивка_по_щитам!I3331</f>
      </c>
      <c r="G3326" s="20">
        <f>Разбивка_по_щитам!J3331</f>
      </c>
      <c r="H3326" s="20">
        <f>Разбивка_по_щитам!K3331</f>
      </c>
      <c r="I3326" s="20">
        <f>Разбивка_по_щитам!L3331</f>
      </c>
      <c r="J3326" s="20">
        <f>Разбивка_по_щитам!M3331</f>
      </c>
      <c r="K3326" s="20">
        <f>Разбивка_по_щитам!N3331</f>
      </c>
      <c r="L3326" s="20"/>
      <c r="M3326" s="20">
        <f>Разбивка_по_щитам!P3331</f>
      </c>
      <c r="N3326" s="20"/>
    </row>
    <row r="3327" spans="2:14" x14ac:dyDescent="0.25">
      <c r="B3327" s="20">
        <f>Разбивка_по_щитам!B3332</f>
      </c>
      <c r="C3327" s="20">
        <f>Разбивка_по_щитам!C3332</f>
      </c>
      <c r="D3327" s="20">
        <f>Разбивка_по_щитам!F3332</f>
      </c>
      <c r="E3327" s="20">
        <f>Разбивка_по_щитам!H3332</f>
      </c>
      <c r="F3327" s="20">
        <f>Разбивка_по_щитам!I3332</f>
      </c>
      <c r="G3327" s="20">
        <f>Разбивка_по_щитам!J3332</f>
      </c>
      <c r="H3327" s="20">
        <f>Разбивка_по_щитам!K3332</f>
      </c>
      <c r="I3327" s="20">
        <f>Разбивка_по_щитам!L3332</f>
      </c>
      <c r="J3327" s="20">
        <f>Разбивка_по_щитам!M3332</f>
      </c>
      <c r="K3327" s="20">
        <f>Разбивка_по_щитам!N3332</f>
      </c>
      <c r="L3327" s="20"/>
      <c r="M3327" s="20">
        <f>Разбивка_по_щитам!P3332</f>
      </c>
      <c r="N3327" s="20"/>
    </row>
    <row r="3328" spans="2:14" x14ac:dyDescent="0.25">
      <c r="B3328" s="20">
        <f>Разбивка_по_щитам!B3333</f>
      </c>
      <c r="C3328" s="20">
        <f>Разбивка_по_щитам!C3333</f>
      </c>
      <c r="D3328" s="20">
        <f>Разбивка_по_щитам!F3333</f>
      </c>
      <c r="E3328" s="20">
        <f>Разбивка_по_щитам!H3333</f>
      </c>
      <c r="F3328" s="20">
        <f>Разбивка_по_щитам!I3333</f>
      </c>
      <c r="G3328" s="20">
        <f>Разбивка_по_щитам!J3333</f>
      </c>
      <c r="H3328" s="20">
        <f>Разбивка_по_щитам!K3333</f>
      </c>
      <c r="I3328" s="20">
        <f>Разбивка_по_щитам!L3333</f>
      </c>
      <c r="J3328" s="20">
        <f>Разбивка_по_щитам!M3333</f>
      </c>
      <c r="K3328" s="20">
        <f>Разбивка_по_щитам!N3333</f>
      </c>
      <c r="L3328" s="20"/>
      <c r="M3328" s="20">
        <f>Разбивка_по_щитам!P3333</f>
      </c>
      <c r="N3328" s="20"/>
    </row>
    <row r="3329" spans="2:14" x14ac:dyDescent="0.25">
      <c r="B3329" s="20">
        <f>Разбивка_по_щитам!B3334</f>
      </c>
      <c r="C3329" s="20">
        <f>Разбивка_по_щитам!C3334</f>
      </c>
      <c r="D3329" s="20">
        <f>Разбивка_по_щитам!F3334</f>
      </c>
      <c r="E3329" s="20">
        <f>Разбивка_по_щитам!H3334</f>
      </c>
      <c r="F3329" s="20">
        <f>Разбивка_по_щитам!I3334</f>
      </c>
      <c r="G3329" s="20">
        <f>Разбивка_по_щитам!J3334</f>
      </c>
      <c r="H3329" s="20">
        <f>Разбивка_по_щитам!K3334</f>
      </c>
      <c r="I3329" s="20">
        <f>Разбивка_по_щитам!L3334</f>
      </c>
      <c r="J3329" s="20">
        <f>Разбивка_по_щитам!M3334</f>
      </c>
      <c r="K3329" s="20">
        <f>Разбивка_по_щитам!N3334</f>
      </c>
      <c r="L3329" s="20"/>
      <c r="M3329" s="20">
        <f>Разбивка_по_щитам!P3334</f>
      </c>
      <c r="N3329" s="20"/>
    </row>
    <row r="3330" spans="2:14" x14ac:dyDescent="0.25">
      <c r="B3330" s="20">
        <f>Разбивка_по_щитам!B3335</f>
      </c>
      <c r="C3330" s="20">
        <f>Разбивка_по_щитам!C3335</f>
      </c>
      <c r="D3330" s="20">
        <f>Разбивка_по_щитам!F3335</f>
      </c>
      <c r="E3330" s="20">
        <f>Разбивка_по_щитам!H3335</f>
      </c>
      <c r="F3330" s="20">
        <f>Разбивка_по_щитам!I3335</f>
      </c>
      <c r="G3330" s="20">
        <f>Разбивка_по_щитам!J3335</f>
      </c>
      <c r="H3330" s="20">
        <f>Разбивка_по_щитам!K3335</f>
      </c>
      <c r="I3330" s="20">
        <f>Разбивка_по_щитам!L3335</f>
      </c>
      <c r="J3330" s="20">
        <f>Разбивка_по_щитам!M3335</f>
      </c>
      <c r="K3330" s="20">
        <f>Разбивка_по_щитам!N3335</f>
      </c>
      <c r="L3330" s="20"/>
      <c r="M3330" s="20">
        <f>Разбивка_по_щитам!P3335</f>
      </c>
      <c r="N3330" s="20"/>
    </row>
    <row r="3331" spans="2:14" x14ac:dyDescent="0.25">
      <c r="B3331" s="20">
        <f>Разбивка_по_щитам!B3336</f>
      </c>
      <c r="C3331" s="20">
        <f>Разбивка_по_щитам!C3336</f>
      </c>
      <c r="D3331" s="20">
        <f>Разбивка_по_щитам!F3336</f>
      </c>
      <c r="E3331" s="20">
        <f>Разбивка_по_щитам!H3336</f>
      </c>
      <c r="F3331" s="20">
        <f>Разбивка_по_щитам!I3336</f>
      </c>
      <c r="G3331" s="20">
        <f>Разбивка_по_щитам!J3336</f>
      </c>
      <c r="H3331" s="20">
        <f>Разбивка_по_щитам!K3336</f>
      </c>
      <c r="I3331" s="20">
        <f>Разбивка_по_щитам!L3336</f>
      </c>
      <c r="J3331" s="20">
        <f>Разбивка_по_щитам!M3336</f>
      </c>
      <c r="K3331" s="20">
        <f>Разбивка_по_щитам!N3336</f>
      </c>
      <c r="L3331" s="20"/>
      <c r="M3331" s="20">
        <f>Разбивка_по_щитам!P3336</f>
      </c>
      <c r="N3331" s="20"/>
    </row>
    <row r="3332" spans="2:14" x14ac:dyDescent="0.25">
      <c r="B3332" s="20">
        <f>Разбивка_по_щитам!B3337</f>
      </c>
      <c r="C3332" s="20">
        <f>Разбивка_по_щитам!C3337</f>
      </c>
      <c r="D3332" s="20">
        <f>Разбивка_по_щитам!F3337</f>
      </c>
      <c r="E3332" s="20">
        <f>Разбивка_по_щитам!H3337</f>
      </c>
      <c r="F3332" s="20">
        <f>Разбивка_по_щитам!I3337</f>
      </c>
      <c r="G3332" s="20">
        <f>Разбивка_по_щитам!J3337</f>
      </c>
      <c r="H3332" s="20">
        <f>Разбивка_по_щитам!K3337</f>
      </c>
      <c r="I3332" s="20">
        <f>Разбивка_по_щитам!L3337</f>
      </c>
      <c r="J3332" s="20">
        <f>Разбивка_по_щитам!M3337</f>
      </c>
      <c r="K3332" s="20">
        <f>Разбивка_по_щитам!N3337</f>
      </c>
      <c r="L3332" s="20"/>
      <c r="M3332" s="20">
        <f>Разбивка_по_щитам!P3337</f>
      </c>
      <c r="N3332" s="20"/>
    </row>
    <row r="3333" spans="2:14" x14ac:dyDescent="0.25">
      <c r="B3333" s="20">
        <f>Разбивка_по_щитам!B3338</f>
      </c>
      <c r="C3333" s="20">
        <f>Разбивка_по_щитам!C3338</f>
      </c>
      <c r="D3333" s="20">
        <f>Разбивка_по_щитам!F3338</f>
      </c>
      <c r="E3333" s="20">
        <f>Разбивка_по_щитам!H3338</f>
      </c>
      <c r="F3333" s="20">
        <f>Разбивка_по_щитам!I3338</f>
      </c>
      <c r="G3333" s="20">
        <f>Разбивка_по_щитам!J3338</f>
      </c>
      <c r="H3333" s="20">
        <f>Разбивка_по_щитам!K3338</f>
      </c>
      <c r="I3333" s="20">
        <f>Разбивка_по_щитам!L3338</f>
      </c>
      <c r="J3333" s="20">
        <f>Разбивка_по_щитам!M3338</f>
      </c>
      <c r="K3333" s="20">
        <f>Разбивка_по_щитам!N3338</f>
      </c>
      <c r="L3333" s="20"/>
      <c r="M3333" s="20">
        <f>Разбивка_по_щитам!P3338</f>
      </c>
      <c r="N3333" s="20"/>
    </row>
    <row r="3334" spans="2:14" x14ac:dyDescent="0.25">
      <c r="B3334" s="20">
        <f>Разбивка_по_щитам!B3339</f>
      </c>
      <c r="C3334" s="20">
        <f>Разбивка_по_щитам!C3339</f>
      </c>
      <c r="D3334" s="20">
        <f>Разбивка_по_щитам!F3339</f>
      </c>
      <c r="E3334" s="20">
        <f>Разбивка_по_щитам!H3339</f>
      </c>
      <c r="F3334" s="20">
        <f>Разбивка_по_щитам!I3339</f>
      </c>
      <c r="G3334" s="20">
        <f>Разбивка_по_щитам!J3339</f>
      </c>
      <c r="H3334" s="20">
        <f>Разбивка_по_щитам!K3339</f>
      </c>
      <c r="I3334" s="20">
        <f>Разбивка_по_щитам!L3339</f>
      </c>
      <c r="J3334" s="20">
        <f>Разбивка_по_щитам!M3339</f>
      </c>
      <c r="K3334" s="20">
        <f>Разбивка_по_щитам!N3339</f>
      </c>
      <c r="L3334" s="20"/>
      <c r="M3334" s="20">
        <f>Разбивка_по_щитам!P3339</f>
      </c>
      <c r="N3334" s="20"/>
    </row>
    <row r="3335" spans="2:14" x14ac:dyDescent="0.25">
      <c r="B3335" s="20">
        <f>Разбивка_по_щитам!B3340</f>
      </c>
      <c r="C3335" s="20">
        <f>Разбивка_по_щитам!C3340</f>
      </c>
      <c r="D3335" s="20">
        <f>Разбивка_по_щитам!F3340</f>
      </c>
      <c r="E3335" s="20">
        <f>Разбивка_по_щитам!H3340</f>
      </c>
      <c r="F3335" s="20">
        <f>Разбивка_по_щитам!I3340</f>
      </c>
      <c r="G3335" s="20">
        <f>Разбивка_по_щитам!J3340</f>
      </c>
      <c r="H3335" s="20">
        <f>Разбивка_по_щитам!K3340</f>
      </c>
      <c r="I3335" s="20">
        <f>Разбивка_по_щитам!L3340</f>
      </c>
      <c r="J3335" s="20">
        <f>Разбивка_по_щитам!M3340</f>
      </c>
      <c r="K3335" s="20">
        <f>Разбивка_по_щитам!N3340</f>
      </c>
      <c r="L3335" s="20"/>
      <c r="M3335" s="20">
        <f>Разбивка_по_щитам!P3340</f>
      </c>
      <c r="N3335" s="20"/>
    </row>
    <row r="3336" spans="2:14" x14ac:dyDescent="0.25">
      <c r="B3336" s="20">
        <f>Разбивка_по_щитам!B3341</f>
      </c>
      <c r="C3336" s="20">
        <f>Разбивка_по_щитам!C3341</f>
      </c>
      <c r="D3336" s="20">
        <f>Разбивка_по_щитам!F3341</f>
      </c>
      <c r="E3336" s="20">
        <f>Разбивка_по_щитам!H3341</f>
      </c>
      <c r="F3336" s="20">
        <f>Разбивка_по_щитам!I3341</f>
      </c>
      <c r="G3336" s="20">
        <f>Разбивка_по_щитам!J3341</f>
      </c>
      <c r="H3336" s="20">
        <f>Разбивка_по_щитам!K3341</f>
      </c>
      <c r="I3336" s="20">
        <f>Разбивка_по_щитам!L3341</f>
      </c>
      <c r="J3336" s="20">
        <f>Разбивка_по_щитам!M3341</f>
      </c>
      <c r="K3336" s="20">
        <f>Разбивка_по_щитам!N3341</f>
      </c>
      <c r="L3336" s="20"/>
      <c r="M3336" s="20">
        <f>Разбивка_по_щитам!P3341</f>
      </c>
      <c r="N3336" s="20"/>
    </row>
    <row r="3337" spans="2:14" x14ac:dyDescent="0.25">
      <c r="B3337" s="20">
        <f>Разбивка_по_щитам!B3342</f>
      </c>
      <c r="C3337" s="20">
        <f>Разбивка_по_щитам!C3342</f>
      </c>
      <c r="D3337" s="20">
        <f>Разбивка_по_щитам!F3342</f>
      </c>
      <c r="E3337" s="20">
        <f>Разбивка_по_щитам!H3342</f>
      </c>
      <c r="F3337" s="20">
        <f>Разбивка_по_щитам!I3342</f>
      </c>
      <c r="G3337" s="20">
        <f>Разбивка_по_щитам!J3342</f>
      </c>
      <c r="H3337" s="20">
        <f>Разбивка_по_щитам!K3342</f>
      </c>
      <c r="I3337" s="20">
        <f>Разбивка_по_щитам!L3342</f>
      </c>
      <c r="J3337" s="20">
        <f>Разбивка_по_щитам!M3342</f>
      </c>
      <c r="K3337" s="20">
        <f>Разбивка_по_щитам!N3342</f>
      </c>
      <c r="L3337" s="20"/>
      <c r="M3337" s="20">
        <f>Разбивка_по_щитам!P3342</f>
      </c>
      <c r="N3337" s="20"/>
    </row>
    <row r="3338" spans="2:14" x14ac:dyDescent="0.25">
      <c r="B3338" s="20">
        <f>Разбивка_по_щитам!B3343</f>
      </c>
      <c r="C3338" s="20">
        <f>Разбивка_по_щитам!C3343</f>
      </c>
      <c r="D3338" s="20">
        <f>Разбивка_по_щитам!F3343</f>
      </c>
      <c r="E3338" s="20">
        <f>Разбивка_по_щитам!H3343</f>
      </c>
      <c r="F3338" s="20">
        <f>Разбивка_по_щитам!I3343</f>
      </c>
      <c r="G3338" s="20">
        <f>Разбивка_по_щитам!J3343</f>
      </c>
      <c r="H3338" s="20">
        <f>Разбивка_по_щитам!K3343</f>
      </c>
      <c r="I3338" s="20">
        <f>Разбивка_по_щитам!L3343</f>
      </c>
      <c r="J3338" s="20">
        <f>Разбивка_по_щитам!M3343</f>
      </c>
      <c r="K3338" s="20">
        <f>Разбивка_по_щитам!N3343</f>
      </c>
      <c r="L3338" s="20"/>
      <c r="M3338" s="20">
        <f>Разбивка_по_щитам!P3343</f>
      </c>
      <c r="N3338" s="20"/>
    </row>
    <row r="3339" spans="2:14" x14ac:dyDescent="0.25">
      <c r="B3339" s="20">
        <f>Разбивка_по_щитам!B3344</f>
      </c>
      <c r="C3339" s="20">
        <f>Разбивка_по_щитам!C3344</f>
      </c>
      <c r="D3339" s="20">
        <f>Разбивка_по_щитам!F3344</f>
      </c>
      <c r="E3339" s="20">
        <f>Разбивка_по_щитам!H3344</f>
      </c>
      <c r="F3339" s="20">
        <f>Разбивка_по_щитам!I3344</f>
      </c>
      <c r="G3339" s="20">
        <f>Разбивка_по_щитам!J3344</f>
      </c>
      <c r="H3339" s="20">
        <f>Разбивка_по_щитам!K3344</f>
      </c>
      <c r="I3339" s="20">
        <f>Разбивка_по_щитам!L3344</f>
      </c>
      <c r="J3339" s="20">
        <f>Разбивка_по_щитам!M3344</f>
      </c>
      <c r="K3339" s="20">
        <f>Разбивка_по_щитам!N3344</f>
      </c>
      <c r="L3339" s="20"/>
      <c r="M3339" s="20">
        <f>Разбивка_по_щитам!P3344</f>
      </c>
      <c r="N3339" s="20"/>
    </row>
    <row r="3340" spans="2:14" x14ac:dyDescent="0.25">
      <c r="B3340" s="20">
        <f>Разбивка_по_щитам!B3345</f>
      </c>
      <c r="C3340" s="20">
        <f>Разбивка_по_щитам!C3345</f>
      </c>
      <c r="D3340" s="20">
        <f>Разбивка_по_щитам!F3345</f>
      </c>
      <c r="E3340" s="20">
        <f>Разбивка_по_щитам!H3345</f>
      </c>
      <c r="F3340" s="20">
        <f>Разбивка_по_щитам!I3345</f>
      </c>
      <c r="G3340" s="20">
        <f>Разбивка_по_щитам!J3345</f>
      </c>
      <c r="H3340" s="20">
        <f>Разбивка_по_щитам!K3345</f>
      </c>
      <c r="I3340" s="20">
        <f>Разбивка_по_щитам!L3345</f>
      </c>
      <c r="J3340" s="20">
        <f>Разбивка_по_щитам!M3345</f>
      </c>
      <c r="K3340" s="20">
        <f>Разбивка_по_щитам!N3345</f>
      </c>
      <c r="L3340" s="20"/>
      <c r="M3340" s="20">
        <f>Разбивка_по_щитам!P3345</f>
      </c>
      <c r="N3340" s="20"/>
    </row>
    <row r="3341" spans="2:14" x14ac:dyDescent="0.25">
      <c r="B3341" s="20">
        <f>Разбивка_по_щитам!B3346</f>
      </c>
      <c r="C3341" s="20">
        <f>Разбивка_по_щитам!C3346</f>
      </c>
      <c r="D3341" s="20">
        <f>Разбивка_по_щитам!F3346</f>
      </c>
      <c r="E3341" s="20">
        <f>Разбивка_по_щитам!H3346</f>
      </c>
      <c r="F3341" s="20">
        <f>Разбивка_по_щитам!I3346</f>
      </c>
      <c r="G3341" s="20">
        <f>Разбивка_по_щитам!J3346</f>
      </c>
      <c r="H3341" s="20">
        <f>Разбивка_по_щитам!K3346</f>
      </c>
      <c r="I3341" s="20">
        <f>Разбивка_по_щитам!L3346</f>
      </c>
      <c r="J3341" s="20">
        <f>Разбивка_по_щитам!M3346</f>
      </c>
      <c r="K3341" s="20">
        <f>Разбивка_по_щитам!N3346</f>
      </c>
      <c r="L3341" s="20"/>
      <c r="M3341" s="20">
        <f>Разбивка_по_щитам!P3346</f>
      </c>
      <c r="N3341" s="20"/>
    </row>
    <row r="3342" spans="2:14" x14ac:dyDescent="0.25">
      <c r="B3342" s="20">
        <f>Разбивка_по_щитам!B3347</f>
      </c>
      <c r="C3342" s="20">
        <f>Разбивка_по_щитам!C3347</f>
      </c>
      <c r="D3342" s="20">
        <f>Разбивка_по_щитам!F3347</f>
      </c>
      <c r="E3342" s="20">
        <f>Разбивка_по_щитам!H3347</f>
      </c>
      <c r="F3342" s="20">
        <f>Разбивка_по_щитам!I3347</f>
      </c>
      <c r="G3342" s="20">
        <f>Разбивка_по_щитам!J3347</f>
      </c>
      <c r="H3342" s="20">
        <f>Разбивка_по_щитам!K3347</f>
      </c>
      <c r="I3342" s="20">
        <f>Разбивка_по_щитам!L3347</f>
      </c>
      <c r="J3342" s="20">
        <f>Разбивка_по_щитам!M3347</f>
      </c>
      <c r="K3342" s="20">
        <f>Разбивка_по_щитам!N3347</f>
      </c>
      <c r="L3342" s="20"/>
      <c r="M3342" s="20">
        <f>Разбивка_по_щитам!P3347</f>
      </c>
      <c r="N3342" s="20"/>
    </row>
    <row r="3343" spans="2:14" x14ac:dyDescent="0.25">
      <c r="B3343" s="20">
        <f>Разбивка_по_щитам!B3348</f>
      </c>
      <c r="C3343" s="20">
        <f>Разбивка_по_щитам!C3348</f>
      </c>
      <c r="D3343" s="20">
        <f>Разбивка_по_щитам!F3348</f>
      </c>
      <c r="E3343" s="20">
        <f>Разбивка_по_щитам!H3348</f>
      </c>
      <c r="F3343" s="20">
        <f>Разбивка_по_щитам!I3348</f>
      </c>
      <c r="G3343" s="20">
        <f>Разбивка_по_щитам!J3348</f>
      </c>
      <c r="H3343" s="20">
        <f>Разбивка_по_щитам!K3348</f>
      </c>
      <c r="I3343" s="20">
        <f>Разбивка_по_щитам!L3348</f>
      </c>
      <c r="J3343" s="20">
        <f>Разбивка_по_щитам!M3348</f>
      </c>
      <c r="K3343" s="20">
        <f>Разбивка_по_щитам!N3348</f>
      </c>
      <c r="L3343" s="20"/>
      <c r="M3343" s="20">
        <f>Разбивка_по_щитам!P3348</f>
      </c>
      <c r="N3343" s="20"/>
    </row>
    <row r="3344" spans="2:14" x14ac:dyDescent="0.25">
      <c r="B3344" s="20">
        <f>Разбивка_по_щитам!B3349</f>
      </c>
      <c r="C3344" s="20">
        <f>Разбивка_по_щитам!C3349</f>
      </c>
      <c r="D3344" s="20">
        <f>Разбивка_по_щитам!F3349</f>
      </c>
      <c r="E3344" s="20">
        <f>Разбивка_по_щитам!H3349</f>
      </c>
      <c r="F3344" s="20">
        <f>Разбивка_по_щитам!I3349</f>
      </c>
      <c r="G3344" s="20">
        <f>Разбивка_по_щитам!J3349</f>
      </c>
      <c r="H3344" s="20">
        <f>Разбивка_по_щитам!K3349</f>
      </c>
      <c r="I3344" s="20">
        <f>Разбивка_по_щитам!L3349</f>
      </c>
      <c r="J3344" s="20">
        <f>Разбивка_по_щитам!M3349</f>
      </c>
      <c r="K3344" s="20">
        <f>Разбивка_по_щитам!N3349</f>
      </c>
      <c r="L3344" s="20"/>
      <c r="M3344" s="20">
        <f>Разбивка_по_щитам!P3349</f>
      </c>
      <c r="N3344" s="20"/>
    </row>
    <row r="3345" spans="2:14" x14ac:dyDescent="0.25">
      <c r="B3345" s="20">
        <f>Разбивка_по_щитам!B3350</f>
      </c>
      <c r="C3345" s="20">
        <f>Разбивка_по_щитам!C3350</f>
      </c>
      <c r="D3345" s="20">
        <f>Разбивка_по_щитам!F3350</f>
      </c>
      <c r="E3345" s="20">
        <f>Разбивка_по_щитам!H3350</f>
      </c>
      <c r="F3345" s="20">
        <f>Разбивка_по_щитам!I3350</f>
      </c>
      <c r="G3345" s="20">
        <f>Разбивка_по_щитам!J3350</f>
      </c>
      <c r="H3345" s="20">
        <f>Разбивка_по_щитам!K3350</f>
      </c>
      <c r="I3345" s="20">
        <f>Разбивка_по_щитам!L3350</f>
      </c>
      <c r="J3345" s="20">
        <f>Разбивка_по_щитам!M3350</f>
      </c>
      <c r="K3345" s="20">
        <f>Разбивка_по_щитам!N3350</f>
      </c>
      <c r="L3345" s="20"/>
      <c r="M3345" s="20">
        <f>Разбивка_по_щитам!P3350</f>
      </c>
      <c r="N3345" s="20"/>
    </row>
    <row r="3346" spans="2:14" x14ac:dyDescent="0.25">
      <c r="B3346" s="20">
        <f>Разбивка_по_щитам!B3351</f>
      </c>
      <c r="C3346" s="20">
        <f>Разбивка_по_щитам!C3351</f>
      </c>
      <c r="D3346" s="20">
        <f>Разбивка_по_щитам!F3351</f>
      </c>
      <c r="E3346" s="20">
        <f>Разбивка_по_щитам!H3351</f>
      </c>
      <c r="F3346" s="20">
        <f>Разбивка_по_щитам!I3351</f>
      </c>
      <c r="G3346" s="20">
        <f>Разбивка_по_щитам!J3351</f>
      </c>
      <c r="H3346" s="20">
        <f>Разбивка_по_щитам!K3351</f>
      </c>
      <c r="I3346" s="20">
        <f>Разбивка_по_щитам!L3351</f>
      </c>
      <c r="J3346" s="20">
        <f>Разбивка_по_щитам!M3351</f>
      </c>
      <c r="K3346" s="20">
        <f>Разбивка_по_щитам!N3351</f>
      </c>
      <c r="L3346" s="20"/>
      <c r="M3346" s="20">
        <f>Разбивка_по_щитам!P3351</f>
      </c>
      <c r="N3346" s="20"/>
    </row>
    <row r="3347" spans="2:14" x14ac:dyDescent="0.25">
      <c r="B3347" s="20">
        <f>Разбивка_по_щитам!B3352</f>
      </c>
      <c r="C3347" s="20">
        <f>Разбивка_по_щитам!C3352</f>
      </c>
      <c r="D3347" s="20">
        <f>Разбивка_по_щитам!F3352</f>
      </c>
      <c r="E3347" s="20">
        <f>Разбивка_по_щитам!H3352</f>
      </c>
      <c r="F3347" s="20">
        <f>Разбивка_по_щитам!I3352</f>
      </c>
      <c r="G3347" s="20">
        <f>Разбивка_по_щитам!J3352</f>
      </c>
      <c r="H3347" s="20">
        <f>Разбивка_по_щитам!K3352</f>
      </c>
      <c r="I3347" s="20">
        <f>Разбивка_по_щитам!L3352</f>
      </c>
      <c r="J3347" s="20">
        <f>Разбивка_по_щитам!M3352</f>
      </c>
      <c r="K3347" s="20">
        <f>Разбивка_по_щитам!N3352</f>
      </c>
      <c r="L3347" s="20"/>
      <c r="M3347" s="20">
        <f>Разбивка_по_щитам!P3352</f>
      </c>
      <c r="N3347" s="20"/>
    </row>
    <row r="3348" spans="2:14" x14ac:dyDescent="0.25">
      <c r="B3348" s="20">
        <f>Разбивка_по_щитам!B3353</f>
      </c>
      <c r="C3348" s="20">
        <f>Разбивка_по_щитам!C3353</f>
      </c>
      <c r="D3348" s="20">
        <f>Разбивка_по_щитам!F3353</f>
      </c>
      <c r="E3348" s="20">
        <f>Разбивка_по_щитам!H3353</f>
      </c>
      <c r="F3348" s="20">
        <f>Разбивка_по_щитам!I3353</f>
      </c>
      <c r="G3348" s="20">
        <f>Разбивка_по_щитам!J3353</f>
      </c>
      <c r="H3348" s="20">
        <f>Разбивка_по_щитам!K3353</f>
      </c>
      <c r="I3348" s="20">
        <f>Разбивка_по_щитам!L3353</f>
      </c>
      <c r="J3348" s="20">
        <f>Разбивка_по_щитам!M3353</f>
      </c>
      <c r="K3348" s="20">
        <f>Разбивка_по_щитам!N3353</f>
      </c>
      <c r="L3348" s="20"/>
      <c r="M3348" s="20">
        <f>Разбивка_по_щитам!P3353</f>
      </c>
      <c r="N3348" s="20"/>
    </row>
    <row r="3349" spans="2:14" x14ac:dyDescent="0.25">
      <c r="B3349" s="20">
        <f>Разбивка_по_щитам!B3354</f>
      </c>
      <c r="C3349" s="20">
        <f>Разбивка_по_щитам!C3354</f>
      </c>
      <c r="D3349" s="20">
        <f>Разбивка_по_щитам!F3354</f>
      </c>
      <c r="E3349" s="20">
        <f>Разбивка_по_щитам!H3354</f>
      </c>
      <c r="F3349" s="20">
        <f>Разбивка_по_щитам!I3354</f>
      </c>
      <c r="G3349" s="20">
        <f>Разбивка_по_щитам!J3354</f>
      </c>
      <c r="H3349" s="20">
        <f>Разбивка_по_щитам!K3354</f>
      </c>
      <c r="I3349" s="20">
        <f>Разбивка_по_щитам!L3354</f>
      </c>
      <c r="J3349" s="20">
        <f>Разбивка_по_щитам!M3354</f>
      </c>
      <c r="K3349" s="20">
        <f>Разбивка_по_щитам!N3354</f>
      </c>
      <c r="L3349" s="20"/>
      <c r="M3349" s="20">
        <f>Разбивка_по_щитам!P3354</f>
      </c>
      <c r="N3349" s="20"/>
    </row>
    <row r="3350" spans="2:14" x14ac:dyDescent="0.25">
      <c r="B3350" s="20">
        <f>Разбивка_по_щитам!B3355</f>
      </c>
      <c r="C3350" s="20">
        <f>Разбивка_по_щитам!C3355</f>
      </c>
      <c r="D3350" s="20">
        <f>Разбивка_по_щитам!F3355</f>
      </c>
      <c r="E3350" s="20">
        <f>Разбивка_по_щитам!H3355</f>
      </c>
      <c r="F3350" s="20">
        <f>Разбивка_по_щитам!I3355</f>
      </c>
      <c r="G3350" s="20">
        <f>Разбивка_по_щитам!J3355</f>
      </c>
      <c r="H3350" s="20">
        <f>Разбивка_по_щитам!K3355</f>
      </c>
      <c r="I3350" s="20">
        <f>Разбивка_по_щитам!L3355</f>
      </c>
      <c r="J3350" s="20">
        <f>Разбивка_по_щитам!M3355</f>
      </c>
      <c r="K3350" s="20">
        <f>Разбивка_по_щитам!N3355</f>
      </c>
      <c r="L3350" s="20"/>
      <c r="M3350" s="20">
        <f>Разбивка_по_щитам!P3355</f>
      </c>
      <c r="N3350" s="20"/>
    </row>
    <row r="3351" spans="2:14" x14ac:dyDescent="0.25">
      <c r="B3351" s="20">
        <f>Разбивка_по_щитам!B3356</f>
      </c>
      <c r="C3351" s="20">
        <f>Разбивка_по_щитам!C3356</f>
      </c>
      <c r="D3351" s="20">
        <f>Разбивка_по_щитам!F3356</f>
      </c>
      <c r="E3351" s="20">
        <f>Разбивка_по_щитам!H3356</f>
      </c>
      <c r="F3351" s="20">
        <f>Разбивка_по_щитам!I3356</f>
      </c>
      <c r="G3351" s="20">
        <f>Разбивка_по_щитам!J3356</f>
      </c>
      <c r="H3351" s="20">
        <f>Разбивка_по_щитам!K3356</f>
      </c>
      <c r="I3351" s="20">
        <f>Разбивка_по_щитам!L3356</f>
      </c>
      <c r="J3351" s="20">
        <f>Разбивка_по_щитам!M3356</f>
      </c>
      <c r="K3351" s="20">
        <f>Разбивка_по_щитам!N3356</f>
      </c>
      <c r="L3351" s="20"/>
      <c r="M3351" s="20">
        <f>Разбивка_по_щитам!P3356</f>
      </c>
      <c r="N3351" s="20"/>
    </row>
    <row r="3352" spans="2:14" x14ac:dyDescent="0.25">
      <c r="B3352" s="20">
        <f>Разбивка_по_щитам!B3357</f>
      </c>
      <c r="C3352" s="20">
        <f>Разбивка_по_щитам!C3357</f>
      </c>
      <c r="D3352" s="20">
        <f>Разбивка_по_щитам!F3357</f>
      </c>
      <c r="E3352" s="20">
        <f>Разбивка_по_щитам!H3357</f>
      </c>
      <c r="F3352" s="20">
        <f>Разбивка_по_щитам!I3357</f>
      </c>
      <c r="G3352" s="20">
        <f>Разбивка_по_щитам!J3357</f>
      </c>
      <c r="H3352" s="20">
        <f>Разбивка_по_щитам!K3357</f>
      </c>
      <c r="I3352" s="20">
        <f>Разбивка_по_щитам!L3357</f>
      </c>
      <c r="J3352" s="20">
        <f>Разбивка_по_щитам!M3357</f>
      </c>
      <c r="K3352" s="20">
        <f>Разбивка_по_щитам!N3357</f>
      </c>
      <c r="L3352" s="20"/>
      <c r="M3352" s="20">
        <f>Разбивка_по_щитам!P3357</f>
      </c>
      <c r="N3352" s="20"/>
    </row>
    <row r="3353" spans="2:14" x14ac:dyDescent="0.25">
      <c r="B3353" s="20">
        <f>Разбивка_по_щитам!B3358</f>
      </c>
      <c r="C3353" s="20">
        <f>Разбивка_по_щитам!C3358</f>
      </c>
      <c r="D3353" s="20">
        <f>Разбивка_по_щитам!F3358</f>
      </c>
      <c r="E3353" s="20">
        <f>Разбивка_по_щитам!H3358</f>
      </c>
      <c r="F3353" s="20">
        <f>Разбивка_по_щитам!I3358</f>
      </c>
      <c r="G3353" s="20">
        <f>Разбивка_по_щитам!J3358</f>
      </c>
      <c r="H3353" s="20">
        <f>Разбивка_по_щитам!K3358</f>
      </c>
      <c r="I3353" s="20">
        <f>Разбивка_по_щитам!L3358</f>
      </c>
      <c r="J3353" s="20">
        <f>Разбивка_по_щитам!M3358</f>
      </c>
      <c r="K3353" s="20">
        <f>Разбивка_по_щитам!N3358</f>
      </c>
      <c r="L3353" s="20"/>
      <c r="M3353" s="20">
        <f>Разбивка_по_щитам!P3358</f>
      </c>
      <c r="N3353" s="20"/>
    </row>
    <row r="3354" spans="2:14" x14ac:dyDescent="0.25">
      <c r="B3354" s="20">
        <f>Разбивка_по_щитам!B3359</f>
      </c>
      <c r="C3354" s="20">
        <f>Разбивка_по_щитам!C3359</f>
      </c>
      <c r="D3354" s="20">
        <f>Разбивка_по_щитам!F3359</f>
      </c>
      <c r="E3354" s="20">
        <f>Разбивка_по_щитам!H3359</f>
      </c>
      <c r="F3354" s="20">
        <f>Разбивка_по_щитам!I3359</f>
      </c>
      <c r="G3354" s="20">
        <f>Разбивка_по_щитам!J3359</f>
      </c>
      <c r="H3354" s="20">
        <f>Разбивка_по_щитам!K3359</f>
      </c>
      <c r="I3354" s="20">
        <f>Разбивка_по_щитам!L3359</f>
      </c>
      <c r="J3354" s="20">
        <f>Разбивка_по_щитам!M3359</f>
      </c>
      <c r="K3354" s="20">
        <f>Разбивка_по_щитам!N3359</f>
      </c>
      <c r="L3354" s="20"/>
      <c r="M3354" s="20">
        <f>Разбивка_по_щитам!P3359</f>
      </c>
      <c r="N3354" s="20"/>
    </row>
    <row r="3355" spans="2:14" x14ac:dyDescent="0.25">
      <c r="B3355" s="20">
        <f>Разбивка_по_щитам!B3360</f>
      </c>
      <c r="C3355" s="20">
        <f>Разбивка_по_щитам!C3360</f>
      </c>
      <c r="D3355" s="20">
        <f>Разбивка_по_щитам!F3360</f>
      </c>
      <c r="E3355" s="20">
        <f>Разбивка_по_щитам!H3360</f>
      </c>
      <c r="F3355" s="20">
        <f>Разбивка_по_щитам!I3360</f>
      </c>
      <c r="G3355" s="20">
        <f>Разбивка_по_щитам!J3360</f>
      </c>
      <c r="H3355" s="20">
        <f>Разбивка_по_щитам!K3360</f>
      </c>
      <c r="I3355" s="20">
        <f>Разбивка_по_щитам!L3360</f>
      </c>
      <c r="J3355" s="20">
        <f>Разбивка_по_щитам!M3360</f>
      </c>
      <c r="K3355" s="20">
        <f>Разбивка_по_щитам!N3360</f>
      </c>
      <c r="L3355" s="20"/>
      <c r="M3355" s="20">
        <f>Разбивка_по_щитам!P3360</f>
      </c>
      <c r="N3355" s="20"/>
    </row>
    <row r="3356" spans="2:14" x14ac:dyDescent="0.25">
      <c r="B3356" s="20">
        <f>Разбивка_по_щитам!B3361</f>
      </c>
      <c r="C3356" s="20">
        <f>Разбивка_по_щитам!C3361</f>
      </c>
      <c r="D3356" s="20">
        <f>Разбивка_по_щитам!F3361</f>
      </c>
      <c r="E3356" s="20">
        <f>Разбивка_по_щитам!H3361</f>
      </c>
      <c r="F3356" s="20">
        <f>Разбивка_по_щитам!I3361</f>
      </c>
      <c r="G3356" s="20">
        <f>Разбивка_по_щитам!J3361</f>
      </c>
      <c r="H3356" s="20">
        <f>Разбивка_по_щитам!K3361</f>
      </c>
      <c r="I3356" s="20">
        <f>Разбивка_по_щитам!L3361</f>
      </c>
      <c r="J3356" s="20">
        <f>Разбивка_по_щитам!M3361</f>
      </c>
      <c r="K3356" s="20">
        <f>Разбивка_по_щитам!N3361</f>
      </c>
      <c r="L3356" s="20"/>
      <c r="M3356" s="20">
        <f>Разбивка_по_щитам!P3361</f>
      </c>
      <c r="N3356" s="20"/>
    </row>
    <row r="3357" spans="2:14" x14ac:dyDescent="0.25">
      <c r="B3357" s="20">
        <f>Разбивка_по_щитам!B3362</f>
      </c>
      <c r="C3357" s="20">
        <f>Разбивка_по_щитам!C3362</f>
      </c>
      <c r="D3357" s="20">
        <f>Разбивка_по_щитам!F3362</f>
      </c>
      <c r="E3357" s="20">
        <f>Разбивка_по_щитам!H3362</f>
      </c>
      <c r="F3357" s="20">
        <f>Разбивка_по_щитам!I3362</f>
      </c>
      <c r="G3357" s="20">
        <f>Разбивка_по_щитам!J3362</f>
      </c>
      <c r="H3357" s="20">
        <f>Разбивка_по_щитам!K3362</f>
      </c>
      <c r="I3357" s="20">
        <f>Разбивка_по_щитам!L3362</f>
      </c>
      <c r="J3357" s="20">
        <f>Разбивка_по_щитам!M3362</f>
      </c>
      <c r="K3357" s="20">
        <f>Разбивка_по_щитам!N3362</f>
      </c>
      <c r="L3357" s="20"/>
      <c r="M3357" s="20">
        <f>Разбивка_по_щитам!P3362</f>
      </c>
      <c r="N3357" s="20"/>
    </row>
    <row r="3358" spans="2:14" x14ac:dyDescent="0.25">
      <c r="B3358" s="20">
        <f>Разбивка_по_щитам!B3363</f>
      </c>
      <c r="C3358" s="20">
        <f>Разбивка_по_щитам!C3363</f>
      </c>
      <c r="D3358" s="20">
        <f>Разбивка_по_щитам!F3363</f>
      </c>
      <c r="E3358" s="20">
        <f>Разбивка_по_щитам!H3363</f>
      </c>
      <c r="F3358" s="20">
        <f>Разбивка_по_щитам!I3363</f>
      </c>
      <c r="G3358" s="20">
        <f>Разбивка_по_щитам!J3363</f>
      </c>
      <c r="H3358" s="20">
        <f>Разбивка_по_щитам!K3363</f>
      </c>
      <c r="I3358" s="20">
        <f>Разбивка_по_щитам!L3363</f>
      </c>
      <c r="J3358" s="20">
        <f>Разбивка_по_щитам!M3363</f>
      </c>
      <c r="K3358" s="20">
        <f>Разбивка_по_щитам!N3363</f>
      </c>
      <c r="L3358" s="20"/>
      <c r="M3358" s="20">
        <f>Разбивка_по_щитам!P3363</f>
      </c>
      <c r="N3358" s="20"/>
    </row>
    <row r="3359" spans="2:14" x14ac:dyDescent="0.25">
      <c r="B3359" s="20">
        <f>Разбивка_по_щитам!B3364</f>
      </c>
      <c r="C3359" s="20">
        <f>Разбивка_по_щитам!C3364</f>
      </c>
      <c r="D3359" s="20">
        <f>Разбивка_по_щитам!F3364</f>
      </c>
      <c r="E3359" s="20">
        <f>Разбивка_по_щитам!H3364</f>
      </c>
      <c r="F3359" s="20">
        <f>Разбивка_по_щитам!I3364</f>
      </c>
      <c r="G3359" s="20">
        <f>Разбивка_по_щитам!J3364</f>
      </c>
      <c r="H3359" s="20">
        <f>Разбивка_по_щитам!K3364</f>
      </c>
      <c r="I3359" s="20">
        <f>Разбивка_по_щитам!L3364</f>
      </c>
      <c r="J3359" s="20">
        <f>Разбивка_по_щитам!M3364</f>
      </c>
      <c r="K3359" s="20">
        <f>Разбивка_по_щитам!N3364</f>
      </c>
      <c r="L3359" s="20"/>
      <c r="M3359" s="20">
        <f>Разбивка_по_щитам!P3364</f>
      </c>
      <c r="N3359" s="20"/>
    </row>
    <row r="3360" spans="2:14" x14ac:dyDescent="0.25">
      <c r="B3360" s="20">
        <f>Разбивка_по_щитам!B3365</f>
      </c>
      <c r="C3360" s="20">
        <f>Разбивка_по_щитам!C3365</f>
      </c>
      <c r="D3360" s="20">
        <f>Разбивка_по_щитам!F3365</f>
      </c>
      <c r="E3360" s="20">
        <f>Разбивка_по_щитам!H3365</f>
      </c>
      <c r="F3360" s="20">
        <f>Разбивка_по_щитам!I3365</f>
      </c>
      <c r="G3360" s="20">
        <f>Разбивка_по_щитам!J3365</f>
      </c>
      <c r="H3360" s="20">
        <f>Разбивка_по_щитам!K3365</f>
      </c>
      <c r="I3360" s="20">
        <f>Разбивка_по_щитам!L3365</f>
      </c>
      <c r="J3360" s="20">
        <f>Разбивка_по_щитам!M3365</f>
      </c>
      <c r="K3360" s="20">
        <f>Разбивка_по_щитам!N3365</f>
      </c>
      <c r="L3360" s="20"/>
      <c r="M3360" s="20">
        <f>Разбивка_по_щитам!P3365</f>
      </c>
      <c r="N3360" s="20"/>
    </row>
    <row r="3361" spans="2:14" x14ac:dyDescent="0.25">
      <c r="B3361" s="20">
        <f>Разбивка_по_щитам!B3366</f>
      </c>
      <c r="C3361" s="20">
        <f>Разбивка_по_щитам!C3366</f>
      </c>
      <c r="D3361" s="20">
        <f>Разбивка_по_щитам!F3366</f>
      </c>
      <c r="E3361" s="20">
        <f>Разбивка_по_щитам!H3366</f>
      </c>
      <c r="F3361" s="20">
        <f>Разбивка_по_щитам!I3366</f>
      </c>
      <c r="G3361" s="20">
        <f>Разбивка_по_щитам!J3366</f>
      </c>
      <c r="H3361" s="20">
        <f>Разбивка_по_щитам!K3366</f>
      </c>
      <c r="I3361" s="20">
        <f>Разбивка_по_щитам!L3366</f>
      </c>
      <c r="J3361" s="20">
        <f>Разбивка_по_щитам!M3366</f>
      </c>
      <c r="K3361" s="20">
        <f>Разбивка_по_щитам!N3366</f>
      </c>
      <c r="L3361" s="20"/>
      <c r="M3361" s="20">
        <f>Разбивка_по_щитам!P3366</f>
      </c>
      <c r="N3361" s="20"/>
    </row>
    <row r="3362" spans="2:14" x14ac:dyDescent="0.25">
      <c r="B3362" s="20">
        <f>Разбивка_по_щитам!B3367</f>
      </c>
      <c r="C3362" s="20">
        <f>Разбивка_по_щитам!C3367</f>
      </c>
      <c r="D3362" s="20">
        <f>Разбивка_по_щитам!F3367</f>
      </c>
      <c r="E3362" s="20">
        <f>Разбивка_по_щитам!H3367</f>
      </c>
      <c r="F3362" s="20">
        <f>Разбивка_по_щитам!I3367</f>
      </c>
      <c r="G3362" s="20">
        <f>Разбивка_по_щитам!J3367</f>
      </c>
      <c r="H3362" s="20">
        <f>Разбивка_по_щитам!K3367</f>
      </c>
      <c r="I3362" s="20">
        <f>Разбивка_по_щитам!L3367</f>
      </c>
      <c r="J3362" s="20">
        <f>Разбивка_по_щитам!M3367</f>
      </c>
      <c r="K3362" s="20">
        <f>Разбивка_по_щитам!N3367</f>
      </c>
      <c r="L3362" s="20"/>
      <c r="M3362" s="20">
        <f>Разбивка_по_щитам!P3367</f>
      </c>
      <c r="N3362" s="20"/>
    </row>
    <row r="3363" spans="2:14" x14ac:dyDescent="0.25">
      <c r="B3363" s="20">
        <f>Разбивка_по_щитам!B3368</f>
      </c>
      <c r="C3363" s="20">
        <f>Разбивка_по_щитам!C3368</f>
      </c>
      <c r="D3363" s="20">
        <f>Разбивка_по_щитам!F3368</f>
      </c>
      <c r="E3363" s="20">
        <f>Разбивка_по_щитам!H3368</f>
      </c>
      <c r="F3363" s="20">
        <f>Разбивка_по_щитам!I3368</f>
      </c>
      <c r="G3363" s="20">
        <f>Разбивка_по_щитам!J3368</f>
      </c>
      <c r="H3363" s="20">
        <f>Разбивка_по_щитам!K3368</f>
      </c>
      <c r="I3363" s="20">
        <f>Разбивка_по_щитам!L3368</f>
      </c>
      <c r="J3363" s="20">
        <f>Разбивка_по_щитам!M3368</f>
      </c>
      <c r="K3363" s="20">
        <f>Разбивка_по_щитам!N3368</f>
      </c>
      <c r="L3363" s="20"/>
      <c r="M3363" s="20">
        <f>Разбивка_по_щитам!P3368</f>
      </c>
      <c r="N3363" s="20"/>
    </row>
    <row r="3364" spans="2:14" x14ac:dyDescent="0.25">
      <c r="B3364" s="20">
        <f>Разбивка_по_щитам!B3369</f>
      </c>
      <c r="C3364" s="20">
        <f>Разбивка_по_щитам!C3369</f>
      </c>
      <c r="D3364" s="20">
        <f>Разбивка_по_щитам!F3369</f>
      </c>
      <c r="E3364" s="20">
        <f>Разбивка_по_щитам!H3369</f>
      </c>
      <c r="F3364" s="20">
        <f>Разбивка_по_щитам!I3369</f>
      </c>
      <c r="G3364" s="20">
        <f>Разбивка_по_щитам!J3369</f>
      </c>
      <c r="H3364" s="20">
        <f>Разбивка_по_щитам!K3369</f>
      </c>
      <c r="I3364" s="20">
        <f>Разбивка_по_щитам!L3369</f>
      </c>
      <c r="J3364" s="20">
        <f>Разбивка_по_щитам!M3369</f>
      </c>
      <c r="K3364" s="20">
        <f>Разбивка_по_щитам!N3369</f>
      </c>
      <c r="L3364" s="20"/>
      <c r="M3364" s="20">
        <f>Разбивка_по_щитам!P3369</f>
      </c>
      <c r="N3364" s="20"/>
    </row>
    <row r="3365" spans="2:14" x14ac:dyDescent="0.25">
      <c r="B3365" s="20">
        <f>Разбивка_по_щитам!B3370</f>
      </c>
      <c r="C3365" s="20">
        <f>Разбивка_по_щитам!C3370</f>
      </c>
      <c r="D3365" s="20">
        <f>Разбивка_по_щитам!F3370</f>
      </c>
      <c r="E3365" s="20">
        <f>Разбивка_по_щитам!H3370</f>
      </c>
      <c r="F3365" s="20">
        <f>Разбивка_по_щитам!I3370</f>
      </c>
      <c r="G3365" s="20">
        <f>Разбивка_по_щитам!J3370</f>
      </c>
      <c r="H3365" s="20">
        <f>Разбивка_по_щитам!K3370</f>
      </c>
      <c r="I3365" s="20">
        <f>Разбивка_по_щитам!L3370</f>
      </c>
      <c r="J3365" s="20">
        <f>Разбивка_по_щитам!M3370</f>
      </c>
      <c r="K3365" s="20">
        <f>Разбивка_по_щитам!N3370</f>
      </c>
      <c r="L3365" s="20"/>
      <c r="M3365" s="20">
        <f>Разбивка_по_щитам!P3370</f>
      </c>
      <c r="N3365" s="20"/>
    </row>
    <row r="3366" spans="2:14" x14ac:dyDescent="0.25">
      <c r="B3366" s="20">
        <f>Разбивка_по_щитам!B3371</f>
      </c>
      <c r="C3366" s="20">
        <f>Разбивка_по_щитам!C3371</f>
      </c>
      <c r="D3366" s="20">
        <f>Разбивка_по_щитам!F3371</f>
      </c>
      <c r="E3366" s="20">
        <f>Разбивка_по_щитам!H3371</f>
      </c>
      <c r="F3366" s="20">
        <f>Разбивка_по_щитам!I3371</f>
      </c>
      <c r="G3366" s="20">
        <f>Разбивка_по_щитам!J3371</f>
      </c>
      <c r="H3366" s="20">
        <f>Разбивка_по_щитам!K3371</f>
      </c>
      <c r="I3366" s="20">
        <f>Разбивка_по_щитам!L3371</f>
      </c>
      <c r="J3366" s="20">
        <f>Разбивка_по_щитам!M3371</f>
      </c>
      <c r="K3366" s="20">
        <f>Разбивка_по_щитам!N3371</f>
      </c>
      <c r="L3366" s="20"/>
      <c r="M3366" s="20">
        <f>Разбивка_по_щитам!P3371</f>
      </c>
      <c r="N3366" s="20"/>
    </row>
    <row r="3367" spans="2:14" x14ac:dyDescent="0.25">
      <c r="B3367" s="20">
        <f>Разбивка_по_щитам!B3372</f>
      </c>
      <c r="C3367" s="20">
        <f>Разбивка_по_щитам!C3372</f>
      </c>
      <c r="D3367" s="20">
        <f>Разбивка_по_щитам!F3372</f>
      </c>
      <c r="E3367" s="20">
        <f>Разбивка_по_щитам!H3372</f>
      </c>
      <c r="F3367" s="20">
        <f>Разбивка_по_щитам!I3372</f>
      </c>
      <c r="G3367" s="20">
        <f>Разбивка_по_щитам!J3372</f>
      </c>
      <c r="H3367" s="20">
        <f>Разбивка_по_щитам!K3372</f>
      </c>
      <c r="I3367" s="20">
        <f>Разбивка_по_щитам!L3372</f>
      </c>
      <c r="J3367" s="20">
        <f>Разбивка_по_щитам!M3372</f>
      </c>
      <c r="K3367" s="20">
        <f>Разбивка_по_щитам!N3372</f>
      </c>
      <c r="L3367" s="20"/>
      <c r="M3367" s="20">
        <f>Разбивка_по_щитам!P3372</f>
      </c>
      <c r="N3367" s="20"/>
    </row>
    <row r="3368" spans="2:14" x14ac:dyDescent="0.25">
      <c r="B3368" s="20">
        <f>Разбивка_по_щитам!B3373</f>
      </c>
      <c r="C3368" s="20">
        <f>Разбивка_по_щитам!C3373</f>
      </c>
      <c r="D3368" s="20">
        <f>Разбивка_по_щитам!F3373</f>
      </c>
      <c r="E3368" s="20">
        <f>Разбивка_по_щитам!H3373</f>
      </c>
      <c r="F3368" s="20">
        <f>Разбивка_по_щитам!I3373</f>
      </c>
      <c r="G3368" s="20">
        <f>Разбивка_по_щитам!J3373</f>
      </c>
      <c r="H3368" s="20">
        <f>Разбивка_по_щитам!K3373</f>
      </c>
      <c r="I3368" s="20">
        <f>Разбивка_по_щитам!L3373</f>
      </c>
      <c r="J3368" s="20">
        <f>Разбивка_по_щитам!M3373</f>
      </c>
      <c r="K3368" s="20">
        <f>Разбивка_по_щитам!N3373</f>
      </c>
      <c r="L3368" s="20"/>
      <c r="M3368" s="20">
        <f>Разбивка_по_щитам!P3373</f>
      </c>
      <c r="N3368" s="20"/>
    </row>
    <row r="3369" spans="2:14" x14ac:dyDescent="0.25">
      <c r="B3369" s="20">
        <f>Разбивка_по_щитам!B3374</f>
      </c>
      <c r="C3369" s="20">
        <f>Разбивка_по_щитам!C3374</f>
      </c>
      <c r="D3369" s="20">
        <f>Разбивка_по_щитам!F3374</f>
      </c>
      <c r="E3369" s="20">
        <f>Разбивка_по_щитам!H3374</f>
      </c>
      <c r="F3369" s="20">
        <f>Разбивка_по_щитам!I3374</f>
      </c>
      <c r="G3369" s="20">
        <f>Разбивка_по_щитам!J3374</f>
      </c>
      <c r="H3369" s="20">
        <f>Разбивка_по_щитам!K3374</f>
      </c>
      <c r="I3369" s="20">
        <f>Разбивка_по_щитам!L3374</f>
      </c>
      <c r="J3369" s="20">
        <f>Разбивка_по_щитам!M3374</f>
      </c>
      <c r="K3369" s="20">
        <f>Разбивка_по_щитам!N3374</f>
      </c>
      <c r="L3369" s="20"/>
      <c r="M3369" s="20">
        <f>Разбивка_по_щитам!P3374</f>
      </c>
      <c r="N3369" s="20"/>
    </row>
    <row r="3370" spans="2:14" x14ac:dyDescent="0.25">
      <c r="B3370" s="20">
        <f>Разбивка_по_щитам!B3375</f>
      </c>
      <c r="C3370" s="20">
        <f>Разбивка_по_щитам!C3375</f>
      </c>
      <c r="D3370" s="20">
        <f>Разбивка_по_щитам!F3375</f>
      </c>
      <c r="E3370" s="20">
        <f>Разбивка_по_щитам!H3375</f>
      </c>
      <c r="F3370" s="20">
        <f>Разбивка_по_щитам!I3375</f>
      </c>
      <c r="G3370" s="20">
        <f>Разбивка_по_щитам!J3375</f>
      </c>
      <c r="H3370" s="20">
        <f>Разбивка_по_щитам!K3375</f>
      </c>
      <c r="I3370" s="20">
        <f>Разбивка_по_щитам!L3375</f>
      </c>
      <c r="J3370" s="20">
        <f>Разбивка_по_щитам!M3375</f>
      </c>
      <c r="K3370" s="20">
        <f>Разбивка_по_щитам!N3375</f>
      </c>
      <c r="L3370" s="20"/>
      <c r="M3370" s="20">
        <f>Разбивка_по_щитам!P3375</f>
      </c>
      <c r="N3370" s="20"/>
    </row>
    <row r="3371" spans="2:14" x14ac:dyDescent="0.25">
      <c r="B3371" s="20">
        <f>Разбивка_по_щитам!B3376</f>
      </c>
      <c r="C3371" s="20">
        <f>Разбивка_по_щитам!C3376</f>
      </c>
      <c r="D3371" s="20">
        <f>Разбивка_по_щитам!F3376</f>
      </c>
      <c r="E3371" s="20">
        <f>Разбивка_по_щитам!H3376</f>
      </c>
      <c r="F3371" s="20">
        <f>Разбивка_по_щитам!I3376</f>
      </c>
      <c r="G3371" s="20">
        <f>Разбивка_по_щитам!J3376</f>
      </c>
      <c r="H3371" s="20">
        <f>Разбивка_по_щитам!K3376</f>
      </c>
      <c r="I3371" s="20">
        <f>Разбивка_по_щитам!L3376</f>
      </c>
      <c r="J3371" s="20">
        <f>Разбивка_по_щитам!M3376</f>
      </c>
      <c r="K3371" s="20">
        <f>Разбивка_по_щитам!N3376</f>
      </c>
      <c r="L3371" s="20"/>
      <c r="M3371" s="20">
        <f>Разбивка_по_щитам!P3376</f>
      </c>
      <c r="N3371" s="20"/>
    </row>
    <row r="3372" spans="2:14" x14ac:dyDescent="0.25">
      <c r="B3372" s="20">
        <f>Разбивка_по_щитам!B3377</f>
      </c>
      <c r="C3372" s="20">
        <f>Разбивка_по_щитам!C3377</f>
      </c>
      <c r="D3372" s="20">
        <f>Разбивка_по_щитам!F3377</f>
      </c>
      <c r="E3372" s="20">
        <f>Разбивка_по_щитам!H3377</f>
      </c>
      <c r="F3372" s="20">
        <f>Разбивка_по_щитам!I3377</f>
      </c>
      <c r="G3372" s="20">
        <f>Разбивка_по_щитам!J3377</f>
      </c>
      <c r="H3372" s="20">
        <f>Разбивка_по_щитам!K3377</f>
      </c>
      <c r="I3372" s="20">
        <f>Разбивка_по_щитам!L3377</f>
      </c>
      <c r="J3372" s="20">
        <f>Разбивка_по_щитам!M3377</f>
      </c>
      <c r="K3372" s="20">
        <f>Разбивка_по_щитам!N3377</f>
      </c>
      <c r="L3372" s="20"/>
      <c r="M3372" s="20">
        <f>Разбивка_по_щитам!P3377</f>
      </c>
      <c r="N3372" s="20"/>
    </row>
    <row r="3373" spans="2:14" x14ac:dyDescent="0.25">
      <c r="B3373" s="20">
        <f>Разбивка_по_щитам!B3378</f>
      </c>
      <c r="C3373" s="20">
        <f>Разбивка_по_щитам!C3378</f>
      </c>
      <c r="D3373" s="20">
        <f>Разбивка_по_щитам!F3378</f>
      </c>
      <c r="E3373" s="20">
        <f>Разбивка_по_щитам!H3378</f>
      </c>
      <c r="F3373" s="20">
        <f>Разбивка_по_щитам!I3378</f>
      </c>
      <c r="G3373" s="20">
        <f>Разбивка_по_щитам!J3378</f>
      </c>
      <c r="H3373" s="20">
        <f>Разбивка_по_щитам!K3378</f>
      </c>
      <c r="I3373" s="20">
        <f>Разбивка_по_щитам!L3378</f>
      </c>
      <c r="J3373" s="20">
        <f>Разбивка_по_щитам!M3378</f>
      </c>
      <c r="K3373" s="20">
        <f>Разбивка_по_щитам!N3378</f>
      </c>
      <c r="L3373" s="20"/>
      <c r="M3373" s="20">
        <f>Разбивка_по_щитам!P3378</f>
      </c>
      <c r="N3373" s="20"/>
    </row>
    <row r="3374" spans="2:14" x14ac:dyDescent="0.25">
      <c r="B3374" s="20">
        <f>Разбивка_по_щитам!B3379</f>
      </c>
      <c r="C3374" s="20">
        <f>Разбивка_по_щитам!C3379</f>
      </c>
      <c r="D3374" s="20">
        <f>Разбивка_по_щитам!F3379</f>
      </c>
      <c r="E3374" s="20">
        <f>Разбивка_по_щитам!H3379</f>
      </c>
      <c r="F3374" s="20">
        <f>Разбивка_по_щитам!I3379</f>
      </c>
      <c r="G3374" s="20">
        <f>Разбивка_по_щитам!J3379</f>
      </c>
      <c r="H3374" s="20">
        <f>Разбивка_по_щитам!K3379</f>
      </c>
      <c r="I3374" s="20">
        <f>Разбивка_по_щитам!L3379</f>
      </c>
      <c r="J3374" s="20">
        <f>Разбивка_по_щитам!M3379</f>
      </c>
      <c r="K3374" s="20">
        <f>Разбивка_по_щитам!N3379</f>
      </c>
      <c r="L3374" s="20"/>
      <c r="M3374" s="20">
        <f>Разбивка_по_щитам!P3379</f>
      </c>
      <c r="N3374" s="20"/>
    </row>
    <row r="3375" spans="2:14" x14ac:dyDescent="0.25">
      <c r="B3375" s="20">
        <f>Разбивка_по_щитам!B3380</f>
      </c>
      <c r="C3375" s="20">
        <f>Разбивка_по_щитам!C3380</f>
      </c>
      <c r="D3375" s="20">
        <f>Разбивка_по_щитам!F3380</f>
      </c>
      <c r="E3375" s="20">
        <f>Разбивка_по_щитам!H3380</f>
      </c>
      <c r="F3375" s="20">
        <f>Разбивка_по_щитам!I3380</f>
      </c>
      <c r="G3375" s="20">
        <f>Разбивка_по_щитам!J3380</f>
      </c>
      <c r="H3375" s="20">
        <f>Разбивка_по_щитам!K3380</f>
      </c>
      <c r="I3375" s="20">
        <f>Разбивка_по_щитам!L3380</f>
      </c>
      <c r="J3375" s="20">
        <f>Разбивка_по_щитам!M3380</f>
      </c>
      <c r="K3375" s="20">
        <f>Разбивка_по_щитам!N3380</f>
      </c>
      <c r="L3375" s="20"/>
      <c r="M3375" s="20">
        <f>Разбивка_по_щитам!P3380</f>
      </c>
      <c r="N3375" s="20"/>
    </row>
    <row r="3376" spans="2:14" x14ac:dyDescent="0.25">
      <c r="B3376" s="20">
        <f>Разбивка_по_щитам!B3381</f>
      </c>
      <c r="C3376" s="20">
        <f>Разбивка_по_щитам!C3381</f>
      </c>
      <c r="D3376" s="20">
        <f>Разбивка_по_щитам!F3381</f>
      </c>
      <c r="E3376" s="20">
        <f>Разбивка_по_щитам!H3381</f>
      </c>
      <c r="F3376" s="20">
        <f>Разбивка_по_щитам!I3381</f>
      </c>
      <c r="G3376" s="20">
        <f>Разбивка_по_щитам!J3381</f>
      </c>
      <c r="H3376" s="20">
        <f>Разбивка_по_щитам!K3381</f>
      </c>
      <c r="I3376" s="20">
        <f>Разбивка_по_щитам!L3381</f>
      </c>
      <c r="J3376" s="20">
        <f>Разбивка_по_щитам!M3381</f>
      </c>
      <c r="K3376" s="20">
        <f>Разбивка_по_щитам!N3381</f>
      </c>
      <c r="L3376" s="20"/>
      <c r="M3376" s="20">
        <f>Разбивка_по_щитам!P3381</f>
      </c>
      <c r="N3376" s="20"/>
    </row>
    <row r="3377" spans="2:14" x14ac:dyDescent="0.25">
      <c r="B3377" s="20">
        <f>Разбивка_по_щитам!B3382</f>
      </c>
      <c r="C3377" s="20">
        <f>Разбивка_по_щитам!C3382</f>
      </c>
      <c r="D3377" s="20">
        <f>Разбивка_по_щитам!F3382</f>
      </c>
      <c r="E3377" s="20">
        <f>Разбивка_по_щитам!H3382</f>
      </c>
      <c r="F3377" s="20">
        <f>Разбивка_по_щитам!I3382</f>
      </c>
      <c r="G3377" s="20">
        <f>Разбивка_по_щитам!J3382</f>
      </c>
      <c r="H3377" s="20">
        <f>Разбивка_по_щитам!K3382</f>
      </c>
      <c r="I3377" s="20">
        <f>Разбивка_по_щитам!L3382</f>
      </c>
      <c r="J3377" s="20">
        <f>Разбивка_по_щитам!M3382</f>
      </c>
      <c r="K3377" s="20">
        <f>Разбивка_по_щитам!N3382</f>
      </c>
      <c r="L3377" s="20"/>
      <c r="M3377" s="20">
        <f>Разбивка_по_щитам!P3382</f>
      </c>
      <c r="N3377" s="20"/>
    </row>
    <row r="3378" spans="2:14" x14ac:dyDescent="0.25">
      <c r="B3378" s="20">
        <f>Разбивка_по_щитам!B3383</f>
      </c>
      <c r="C3378" s="20">
        <f>Разбивка_по_щитам!C3383</f>
      </c>
      <c r="D3378" s="20">
        <f>Разбивка_по_щитам!F3383</f>
      </c>
      <c r="E3378" s="20">
        <f>Разбивка_по_щитам!H3383</f>
      </c>
      <c r="F3378" s="20">
        <f>Разбивка_по_щитам!I3383</f>
      </c>
      <c r="G3378" s="20">
        <f>Разбивка_по_щитам!J3383</f>
      </c>
      <c r="H3378" s="20">
        <f>Разбивка_по_щитам!K3383</f>
      </c>
      <c r="I3378" s="20">
        <f>Разбивка_по_щитам!L3383</f>
      </c>
      <c r="J3378" s="20">
        <f>Разбивка_по_щитам!M3383</f>
      </c>
      <c r="K3378" s="20">
        <f>Разбивка_по_щитам!N3383</f>
      </c>
      <c r="L3378" s="20"/>
      <c r="M3378" s="20">
        <f>Разбивка_по_щитам!P3383</f>
      </c>
      <c r="N3378" s="20"/>
    </row>
    <row r="3379" spans="2:14" x14ac:dyDescent="0.25">
      <c r="B3379" s="20">
        <f>Разбивка_по_щитам!B3384</f>
      </c>
      <c r="C3379" s="20">
        <f>Разбивка_по_щитам!C3384</f>
      </c>
      <c r="D3379" s="20">
        <f>Разбивка_по_щитам!F3384</f>
      </c>
      <c r="E3379" s="20">
        <f>Разбивка_по_щитам!H3384</f>
      </c>
      <c r="F3379" s="20">
        <f>Разбивка_по_щитам!I3384</f>
      </c>
      <c r="G3379" s="20">
        <f>Разбивка_по_щитам!J3384</f>
      </c>
      <c r="H3379" s="20">
        <f>Разбивка_по_щитам!K3384</f>
      </c>
      <c r="I3379" s="20">
        <f>Разбивка_по_щитам!L3384</f>
      </c>
      <c r="J3379" s="20">
        <f>Разбивка_по_щитам!M3384</f>
      </c>
      <c r="K3379" s="20">
        <f>Разбивка_по_щитам!N3384</f>
      </c>
      <c r="L3379" s="20"/>
      <c r="M3379" s="20">
        <f>Разбивка_по_щитам!P3384</f>
      </c>
      <c r="N3379" s="20"/>
    </row>
    <row r="3380" spans="2:14" x14ac:dyDescent="0.25">
      <c r="B3380" s="20">
        <f>Разбивка_по_щитам!B3385</f>
      </c>
      <c r="C3380" s="20">
        <f>Разбивка_по_щитам!C3385</f>
      </c>
      <c r="D3380" s="20">
        <f>Разбивка_по_щитам!F3385</f>
      </c>
      <c r="E3380" s="20">
        <f>Разбивка_по_щитам!H3385</f>
      </c>
      <c r="F3380" s="20">
        <f>Разбивка_по_щитам!I3385</f>
      </c>
      <c r="G3380" s="20">
        <f>Разбивка_по_щитам!J3385</f>
      </c>
      <c r="H3380" s="20">
        <f>Разбивка_по_щитам!K3385</f>
      </c>
      <c r="I3380" s="20">
        <f>Разбивка_по_щитам!L3385</f>
      </c>
      <c r="J3380" s="20">
        <f>Разбивка_по_щитам!M3385</f>
      </c>
      <c r="K3380" s="20">
        <f>Разбивка_по_щитам!N3385</f>
      </c>
      <c r="L3380" s="20"/>
      <c r="M3380" s="20">
        <f>Разбивка_по_щитам!P3385</f>
      </c>
      <c r="N3380" s="20"/>
    </row>
    <row r="3381" spans="2:14" x14ac:dyDescent="0.25">
      <c r="B3381" s="20">
        <f>Разбивка_по_щитам!B3386</f>
      </c>
      <c r="C3381" s="20">
        <f>Разбивка_по_щитам!C3386</f>
      </c>
      <c r="D3381" s="20">
        <f>Разбивка_по_щитам!F3386</f>
      </c>
      <c r="E3381" s="20">
        <f>Разбивка_по_щитам!H3386</f>
      </c>
      <c r="F3381" s="20">
        <f>Разбивка_по_щитам!I3386</f>
      </c>
      <c r="G3381" s="20">
        <f>Разбивка_по_щитам!J3386</f>
      </c>
      <c r="H3381" s="20">
        <f>Разбивка_по_щитам!K3386</f>
      </c>
      <c r="I3381" s="20">
        <f>Разбивка_по_щитам!L3386</f>
      </c>
      <c r="J3381" s="20">
        <f>Разбивка_по_щитам!M3386</f>
      </c>
      <c r="K3381" s="20">
        <f>Разбивка_по_щитам!N3386</f>
      </c>
      <c r="L3381" s="20"/>
      <c r="M3381" s="20">
        <f>Разбивка_по_щитам!P3386</f>
      </c>
      <c r="N3381" s="20"/>
    </row>
    <row r="3382" spans="2:14" x14ac:dyDescent="0.25">
      <c r="B3382" s="20">
        <f>Разбивка_по_щитам!B3387</f>
      </c>
      <c r="C3382" s="20">
        <f>Разбивка_по_щитам!C3387</f>
      </c>
      <c r="D3382" s="20">
        <f>Разбивка_по_щитам!F3387</f>
      </c>
      <c r="E3382" s="20">
        <f>Разбивка_по_щитам!H3387</f>
      </c>
      <c r="F3382" s="20">
        <f>Разбивка_по_щитам!I3387</f>
      </c>
      <c r="G3382" s="20">
        <f>Разбивка_по_щитам!J3387</f>
      </c>
      <c r="H3382" s="20">
        <f>Разбивка_по_щитам!K3387</f>
      </c>
      <c r="I3382" s="20">
        <f>Разбивка_по_щитам!L3387</f>
      </c>
      <c r="J3382" s="20">
        <f>Разбивка_по_щитам!M3387</f>
      </c>
      <c r="K3382" s="20">
        <f>Разбивка_по_щитам!N3387</f>
      </c>
      <c r="L3382" s="20"/>
      <c r="M3382" s="20">
        <f>Разбивка_по_щитам!P3387</f>
      </c>
      <c r="N3382" s="20"/>
    </row>
    <row r="3383" spans="2:14" x14ac:dyDescent="0.25">
      <c r="B3383" s="20">
        <f>Разбивка_по_щитам!B3388</f>
      </c>
      <c r="C3383" s="20">
        <f>Разбивка_по_щитам!C3388</f>
      </c>
      <c r="D3383" s="20">
        <f>Разбивка_по_щитам!F3388</f>
      </c>
      <c r="E3383" s="20">
        <f>Разбивка_по_щитам!H3388</f>
      </c>
      <c r="F3383" s="20">
        <f>Разбивка_по_щитам!I3388</f>
      </c>
      <c r="G3383" s="20">
        <f>Разбивка_по_щитам!J3388</f>
      </c>
      <c r="H3383" s="20">
        <f>Разбивка_по_щитам!K3388</f>
      </c>
      <c r="I3383" s="20">
        <f>Разбивка_по_щитам!L3388</f>
      </c>
      <c r="J3383" s="20">
        <f>Разбивка_по_щитам!M3388</f>
      </c>
      <c r="K3383" s="20">
        <f>Разбивка_по_щитам!N3388</f>
      </c>
      <c r="L3383" s="20"/>
      <c r="M3383" s="20">
        <f>Разбивка_по_щитам!P3388</f>
      </c>
      <c r="N3383" s="20"/>
    </row>
    <row r="3384" spans="2:14" x14ac:dyDescent="0.25">
      <c r="B3384" s="20">
        <f>Разбивка_по_щитам!B3389</f>
      </c>
      <c r="C3384" s="20">
        <f>Разбивка_по_щитам!C3389</f>
      </c>
      <c r="D3384" s="20">
        <f>Разбивка_по_щитам!F3389</f>
      </c>
      <c r="E3384" s="20">
        <f>Разбивка_по_щитам!H3389</f>
      </c>
      <c r="F3384" s="20">
        <f>Разбивка_по_щитам!I3389</f>
      </c>
      <c r="G3384" s="20">
        <f>Разбивка_по_щитам!J3389</f>
      </c>
      <c r="H3384" s="20">
        <f>Разбивка_по_щитам!K3389</f>
      </c>
      <c r="I3384" s="20">
        <f>Разбивка_по_щитам!L3389</f>
      </c>
      <c r="J3384" s="20">
        <f>Разбивка_по_щитам!M3389</f>
      </c>
      <c r="K3384" s="20">
        <f>Разбивка_по_щитам!N3389</f>
      </c>
      <c r="L3384" s="20"/>
      <c r="M3384" s="20">
        <f>Разбивка_по_щитам!P3389</f>
      </c>
      <c r="N3384" s="20"/>
    </row>
    <row r="3385" spans="2:14" x14ac:dyDescent="0.25">
      <c r="B3385" s="20">
        <f>Разбивка_по_щитам!B3390</f>
      </c>
      <c r="C3385" s="20">
        <f>Разбивка_по_щитам!C3390</f>
      </c>
      <c r="D3385" s="20">
        <f>Разбивка_по_щитам!F3390</f>
      </c>
      <c r="E3385" s="20">
        <f>Разбивка_по_щитам!H3390</f>
      </c>
      <c r="F3385" s="20">
        <f>Разбивка_по_щитам!I3390</f>
      </c>
      <c r="G3385" s="20">
        <f>Разбивка_по_щитам!J3390</f>
      </c>
      <c r="H3385" s="20">
        <f>Разбивка_по_щитам!K3390</f>
      </c>
      <c r="I3385" s="20">
        <f>Разбивка_по_щитам!L3390</f>
      </c>
      <c r="J3385" s="20">
        <f>Разбивка_по_щитам!M3390</f>
      </c>
      <c r="K3385" s="20">
        <f>Разбивка_по_щитам!N3390</f>
      </c>
      <c r="L3385" s="20"/>
      <c r="M3385" s="20">
        <f>Разбивка_по_щитам!P3390</f>
      </c>
      <c r="N3385" s="20"/>
    </row>
    <row r="3386" spans="2:14" x14ac:dyDescent="0.25">
      <c r="B3386" s="20">
        <f>Разбивка_по_щитам!B3391</f>
      </c>
      <c r="C3386" s="20">
        <f>Разбивка_по_щитам!C3391</f>
      </c>
      <c r="D3386" s="20">
        <f>Разбивка_по_щитам!F3391</f>
      </c>
      <c r="E3386" s="20">
        <f>Разбивка_по_щитам!H3391</f>
      </c>
      <c r="F3386" s="20">
        <f>Разбивка_по_щитам!I3391</f>
      </c>
      <c r="G3386" s="20">
        <f>Разбивка_по_щитам!J3391</f>
      </c>
      <c r="H3386" s="20">
        <f>Разбивка_по_щитам!K3391</f>
      </c>
      <c r="I3386" s="20">
        <f>Разбивка_по_щитам!L3391</f>
      </c>
      <c r="J3386" s="20">
        <f>Разбивка_по_щитам!M3391</f>
      </c>
      <c r="K3386" s="20">
        <f>Разбивка_по_щитам!N3391</f>
      </c>
      <c r="L3386" s="20"/>
      <c r="M3386" s="20">
        <f>Разбивка_по_щитам!P3391</f>
      </c>
      <c r="N3386" s="20"/>
    </row>
    <row r="3387" spans="2:14" x14ac:dyDescent="0.25">
      <c r="B3387" s="20">
        <f>Разбивка_по_щитам!B3392</f>
      </c>
      <c r="C3387" s="20">
        <f>Разбивка_по_щитам!C3392</f>
      </c>
      <c r="D3387" s="20">
        <f>Разбивка_по_щитам!F3392</f>
      </c>
      <c r="E3387" s="20">
        <f>Разбивка_по_щитам!H3392</f>
      </c>
      <c r="F3387" s="20">
        <f>Разбивка_по_щитам!I3392</f>
      </c>
      <c r="G3387" s="20">
        <f>Разбивка_по_щитам!J3392</f>
      </c>
      <c r="H3387" s="20">
        <f>Разбивка_по_щитам!K3392</f>
      </c>
      <c r="I3387" s="20">
        <f>Разбивка_по_щитам!L3392</f>
      </c>
      <c r="J3387" s="20">
        <f>Разбивка_по_щитам!M3392</f>
      </c>
      <c r="K3387" s="20">
        <f>Разбивка_по_щитам!N3392</f>
      </c>
      <c r="L3387" s="20"/>
      <c r="M3387" s="20">
        <f>Разбивка_по_щитам!P3392</f>
      </c>
      <c r="N3387" s="20"/>
    </row>
    <row r="3388" spans="2:14" x14ac:dyDescent="0.25">
      <c r="B3388" s="20">
        <f>Разбивка_по_щитам!B3393</f>
      </c>
      <c r="C3388" s="20">
        <f>Разбивка_по_щитам!C3393</f>
      </c>
      <c r="D3388" s="20">
        <f>Разбивка_по_щитам!F3393</f>
      </c>
      <c r="E3388" s="20">
        <f>Разбивка_по_щитам!H3393</f>
      </c>
      <c r="F3388" s="20">
        <f>Разбивка_по_щитам!I3393</f>
      </c>
      <c r="G3388" s="20">
        <f>Разбивка_по_щитам!J3393</f>
      </c>
      <c r="H3388" s="20">
        <f>Разбивка_по_щитам!K3393</f>
      </c>
      <c r="I3388" s="20">
        <f>Разбивка_по_щитам!L3393</f>
      </c>
      <c r="J3388" s="20">
        <f>Разбивка_по_щитам!M3393</f>
      </c>
      <c r="K3388" s="20">
        <f>Разбивка_по_щитам!N3393</f>
      </c>
      <c r="L3388" s="20"/>
      <c r="M3388" s="20">
        <f>Разбивка_по_щитам!P3393</f>
      </c>
      <c r="N3388" s="20"/>
    </row>
    <row r="3389" spans="2:14" x14ac:dyDescent="0.25">
      <c r="B3389" s="20">
        <f>Разбивка_по_щитам!B3394</f>
      </c>
      <c r="C3389" s="20">
        <f>Разбивка_по_щитам!C3394</f>
      </c>
      <c r="D3389" s="20">
        <f>Разбивка_по_щитам!F3394</f>
      </c>
      <c r="E3389" s="20">
        <f>Разбивка_по_щитам!H3394</f>
      </c>
      <c r="F3389" s="20">
        <f>Разбивка_по_щитам!I3394</f>
      </c>
      <c r="G3389" s="20">
        <f>Разбивка_по_щитам!J3394</f>
      </c>
      <c r="H3389" s="20">
        <f>Разбивка_по_щитам!K3394</f>
      </c>
      <c r="I3389" s="20">
        <f>Разбивка_по_щитам!L3394</f>
      </c>
      <c r="J3389" s="20">
        <f>Разбивка_по_щитам!M3394</f>
      </c>
      <c r="K3389" s="20">
        <f>Разбивка_по_щитам!N3394</f>
      </c>
      <c r="L3389" s="20"/>
      <c r="M3389" s="20">
        <f>Разбивка_по_щитам!P3394</f>
      </c>
      <c r="N3389" s="20"/>
    </row>
    <row r="3390" spans="2:14" x14ac:dyDescent="0.25">
      <c r="B3390" s="20">
        <f>Разбивка_по_щитам!B3395</f>
      </c>
      <c r="C3390" s="20">
        <f>Разбивка_по_щитам!C3395</f>
      </c>
      <c r="D3390" s="20">
        <f>Разбивка_по_щитам!F3395</f>
      </c>
      <c r="E3390" s="20">
        <f>Разбивка_по_щитам!H3395</f>
      </c>
      <c r="F3390" s="20">
        <f>Разбивка_по_щитам!I3395</f>
      </c>
      <c r="G3390" s="20">
        <f>Разбивка_по_щитам!J3395</f>
      </c>
      <c r="H3390" s="20">
        <f>Разбивка_по_щитам!K3395</f>
      </c>
      <c r="I3390" s="20">
        <f>Разбивка_по_щитам!L3395</f>
      </c>
      <c r="J3390" s="20">
        <f>Разбивка_по_щитам!M3395</f>
      </c>
      <c r="K3390" s="20">
        <f>Разбивка_по_щитам!N3395</f>
      </c>
      <c r="L3390" s="20"/>
      <c r="M3390" s="20">
        <f>Разбивка_по_щитам!P3395</f>
      </c>
      <c r="N3390" s="20"/>
    </row>
    <row r="3391" spans="2:14" x14ac:dyDescent="0.25">
      <c r="B3391" s="20">
        <f>Разбивка_по_щитам!B3396</f>
      </c>
      <c r="C3391" s="20">
        <f>Разбивка_по_щитам!C3396</f>
      </c>
      <c r="D3391" s="20">
        <f>Разбивка_по_щитам!F3396</f>
      </c>
      <c r="E3391" s="20">
        <f>Разбивка_по_щитам!H3396</f>
      </c>
      <c r="F3391" s="20">
        <f>Разбивка_по_щитам!I3396</f>
      </c>
      <c r="G3391" s="20">
        <f>Разбивка_по_щитам!J3396</f>
      </c>
      <c r="H3391" s="20">
        <f>Разбивка_по_щитам!K3396</f>
      </c>
      <c r="I3391" s="20">
        <f>Разбивка_по_щитам!L3396</f>
      </c>
      <c r="J3391" s="20">
        <f>Разбивка_по_щитам!M3396</f>
      </c>
      <c r="K3391" s="20">
        <f>Разбивка_по_щитам!N3396</f>
      </c>
      <c r="L3391" s="20"/>
      <c r="M3391" s="20">
        <f>Разбивка_по_щитам!P3396</f>
      </c>
      <c r="N3391" s="20"/>
    </row>
    <row r="3392" spans="2:14" x14ac:dyDescent="0.25">
      <c r="B3392" s="20">
        <f>Разбивка_по_щитам!B3397</f>
      </c>
      <c r="C3392" s="20">
        <f>Разбивка_по_щитам!C3397</f>
      </c>
      <c r="D3392" s="20">
        <f>Разбивка_по_щитам!F3397</f>
      </c>
      <c r="E3392" s="20">
        <f>Разбивка_по_щитам!H3397</f>
      </c>
      <c r="F3392" s="20">
        <f>Разбивка_по_щитам!I3397</f>
      </c>
      <c r="G3392" s="20">
        <f>Разбивка_по_щитам!J3397</f>
      </c>
      <c r="H3392" s="20">
        <f>Разбивка_по_щитам!K3397</f>
      </c>
      <c r="I3392" s="20">
        <f>Разбивка_по_щитам!L3397</f>
      </c>
      <c r="J3392" s="20">
        <f>Разбивка_по_щитам!M3397</f>
      </c>
      <c r="K3392" s="20">
        <f>Разбивка_по_щитам!N3397</f>
      </c>
      <c r="L3392" s="20"/>
      <c r="M3392" s="20">
        <f>Разбивка_по_щитам!P3397</f>
      </c>
      <c r="N3392" s="20"/>
    </row>
    <row r="3393" spans="2:14" x14ac:dyDescent="0.25">
      <c r="B3393" s="20">
        <f>Разбивка_по_щитам!B3398</f>
      </c>
      <c r="C3393" s="20">
        <f>Разбивка_по_щитам!C3398</f>
      </c>
      <c r="D3393" s="20">
        <f>Разбивка_по_щитам!F3398</f>
      </c>
      <c r="E3393" s="20">
        <f>Разбивка_по_щитам!H3398</f>
      </c>
      <c r="F3393" s="20">
        <f>Разбивка_по_щитам!I3398</f>
      </c>
      <c r="G3393" s="20">
        <f>Разбивка_по_щитам!J3398</f>
      </c>
      <c r="H3393" s="20">
        <f>Разбивка_по_щитам!K3398</f>
      </c>
      <c r="I3393" s="20">
        <f>Разбивка_по_щитам!L3398</f>
      </c>
      <c r="J3393" s="20">
        <f>Разбивка_по_щитам!M3398</f>
      </c>
      <c r="K3393" s="20">
        <f>Разбивка_по_щитам!N3398</f>
      </c>
      <c r="L3393" s="20"/>
      <c r="M3393" s="20">
        <f>Разбивка_по_щитам!P3398</f>
      </c>
      <c r="N3393" s="20"/>
    </row>
    <row r="3394" spans="2:14" x14ac:dyDescent="0.25">
      <c r="B3394" s="20">
        <f>Разбивка_по_щитам!B3399</f>
      </c>
      <c r="C3394" s="20">
        <f>Разбивка_по_щитам!C3399</f>
      </c>
      <c r="D3394" s="20">
        <f>Разбивка_по_щитам!F3399</f>
      </c>
      <c r="E3394" s="20">
        <f>Разбивка_по_щитам!H3399</f>
      </c>
      <c r="F3394" s="20">
        <f>Разбивка_по_щитам!I3399</f>
      </c>
      <c r="G3394" s="20">
        <f>Разбивка_по_щитам!J3399</f>
      </c>
      <c r="H3394" s="20">
        <f>Разбивка_по_щитам!K3399</f>
      </c>
      <c r="I3394" s="20">
        <f>Разбивка_по_щитам!L3399</f>
      </c>
      <c r="J3394" s="20">
        <f>Разбивка_по_щитам!M3399</f>
      </c>
      <c r="K3394" s="20">
        <f>Разбивка_по_щитам!N3399</f>
      </c>
      <c r="L3394" s="20"/>
      <c r="M3394" s="20">
        <f>Разбивка_по_щитам!P3399</f>
      </c>
      <c r="N3394" s="20"/>
    </row>
    <row r="3395" spans="2:14" x14ac:dyDescent="0.25">
      <c r="B3395" s="20">
        <f>Разбивка_по_щитам!B3400</f>
      </c>
      <c r="C3395" s="20">
        <f>Разбивка_по_щитам!C3400</f>
      </c>
      <c r="D3395" s="20">
        <f>Разбивка_по_щитам!F3400</f>
      </c>
      <c r="E3395" s="20">
        <f>Разбивка_по_щитам!H3400</f>
      </c>
      <c r="F3395" s="20">
        <f>Разбивка_по_щитам!I3400</f>
      </c>
      <c r="G3395" s="20">
        <f>Разбивка_по_щитам!J3400</f>
      </c>
      <c r="H3395" s="20">
        <f>Разбивка_по_щитам!K3400</f>
      </c>
      <c r="I3395" s="20">
        <f>Разбивка_по_щитам!L3400</f>
      </c>
      <c r="J3395" s="20">
        <f>Разбивка_по_щитам!M3400</f>
      </c>
      <c r="K3395" s="20">
        <f>Разбивка_по_щитам!N3400</f>
      </c>
      <c r="L3395" s="20"/>
      <c r="M3395" s="20">
        <f>Разбивка_по_щитам!P3400</f>
      </c>
      <c r="N3395" s="20"/>
    </row>
    <row r="3396" spans="2:14" x14ac:dyDescent="0.25">
      <c r="B3396" s="20">
        <f>Разбивка_по_щитам!B3401</f>
      </c>
      <c r="C3396" s="20">
        <f>Разбивка_по_щитам!C3401</f>
      </c>
      <c r="D3396" s="20">
        <f>Разбивка_по_щитам!F3401</f>
      </c>
      <c r="E3396" s="20">
        <f>Разбивка_по_щитам!H3401</f>
      </c>
      <c r="F3396" s="20">
        <f>Разбивка_по_щитам!I3401</f>
      </c>
      <c r="G3396" s="20">
        <f>Разбивка_по_щитам!J3401</f>
      </c>
      <c r="H3396" s="20">
        <f>Разбивка_по_щитам!K3401</f>
      </c>
      <c r="I3396" s="20">
        <f>Разбивка_по_щитам!L3401</f>
      </c>
      <c r="J3396" s="20">
        <f>Разбивка_по_щитам!M3401</f>
      </c>
      <c r="K3396" s="20">
        <f>Разбивка_по_щитам!N3401</f>
      </c>
      <c r="L3396" s="20"/>
      <c r="M3396" s="20">
        <f>Разбивка_по_щитам!P3401</f>
      </c>
      <c r="N3396" s="20"/>
    </row>
    <row r="3397" spans="2:14" x14ac:dyDescent="0.25">
      <c r="B3397" s="20">
        <f>Разбивка_по_щитам!B3402</f>
      </c>
      <c r="C3397" s="20">
        <f>Разбивка_по_щитам!C3402</f>
      </c>
      <c r="D3397" s="20">
        <f>Разбивка_по_щитам!F3402</f>
      </c>
      <c r="E3397" s="20">
        <f>Разбивка_по_щитам!H3402</f>
      </c>
      <c r="F3397" s="20">
        <f>Разбивка_по_щитам!I3402</f>
      </c>
      <c r="G3397" s="20">
        <f>Разбивка_по_щитам!J3402</f>
      </c>
      <c r="H3397" s="20">
        <f>Разбивка_по_щитам!K3402</f>
      </c>
      <c r="I3397" s="20">
        <f>Разбивка_по_щитам!L3402</f>
      </c>
      <c r="J3397" s="20">
        <f>Разбивка_по_щитам!M3402</f>
      </c>
      <c r="K3397" s="20">
        <f>Разбивка_по_щитам!N3402</f>
      </c>
      <c r="L3397" s="20"/>
      <c r="M3397" s="20">
        <f>Разбивка_по_щитам!P3402</f>
      </c>
      <c r="N3397" s="20"/>
    </row>
    <row r="3398" spans="2:14" x14ac:dyDescent="0.25">
      <c r="B3398" s="20">
        <f>Разбивка_по_щитам!B3403</f>
      </c>
      <c r="C3398" s="20">
        <f>Разбивка_по_щитам!C3403</f>
      </c>
      <c r="D3398" s="20">
        <f>Разбивка_по_щитам!F3403</f>
      </c>
      <c r="E3398" s="20">
        <f>Разбивка_по_щитам!H3403</f>
      </c>
      <c r="F3398" s="20">
        <f>Разбивка_по_щитам!I3403</f>
      </c>
      <c r="G3398" s="20">
        <f>Разбивка_по_щитам!J3403</f>
      </c>
      <c r="H3398" s="20">
        <f>Разбивка_по_щитам!K3403</f>
      </c>
      <c r="I3398" s="20">
        <f>Разбивка_по_щитам!L3403</f>
      </c>
      <c r="J3398" s="20">
        <f>Разбивка_по_щитам!M3403</f>
      </c>
      <c r="K3398" s="20">
        <f>Разбивка_по_щитам!N3403</f>
      </c>
      <c r="L3398" s="20"/>
      <c r="M3398" s="20">
        <f>Разбивка_по_щитам!P3403</f>
      </c>
      <c r="N3398" s="20"/>
    </row>
    <row r="3399" spans="2:14" x14ac:dyDescent="0.25">
      <c r="B3399" s="20">
        <f>Разбивка_по_щитам!B3404</f>
      </c>
      <c r="C3399" s="20">
        <f>Разбивка_по_щитам!C3404</f>
      </c>
      <c r="D3399" s="20">
        <f>Разбивка_по_щитам!F3404</f>
      </c>
      <c r="E3399" s="20">
        <f>Разбивка_по_щитам!H3404</f>
      </c>
      <c r="F3399" s="20">
        <f>Разбивка_по_щитам!I3404</f>
      </c>
      <c r="G3399" s="20">
        <f>Разбивка_по_щитам!J3404</f>
      </c>
      <c r="H3399" s="20">
        <f>Разбивка_по_щитам!K3404</f>
      </c>
      <c r="I3399" s="20">
        <f>Разбивка_по_щитам!L3404</f>
      </c>
      <c r="J3399" s="20">
        <f>Разбивка_по_щитам!M3404</f>
      </c>
      <c r="K3399" s="20">
        <f>Разбивка_по_щитам!N3404</f>
      </c>
      <c r="L3399" s="20"/>
      <c r="M3399" s="20">
        <f>Разбивка_по_щитам!P3404</f>
      </c>
      <c r="N3399" s="20"/>
    </row>
    <row r="3400" spans="2:14" x14ac:dyDescent="0.25">
      <c r="B3400" s="20">
        <f>Разбивка_по_щитам!B3405</f>
      </c>
      <c r="C3400" s="20">
        <f>Разбивка_по_щитам!C3405</f>
      </c>
      <c r="D3400" s="20">
        <f>Разбивка_по_щитам!F3405</f>
      </c>
      <c r="E3400" s="20">
        <f>Разбивка_по_щитам!H3405</f>
      </c>
      <c r="F3400" s="20">
        <f>Разбивка_по_щитам!I3405</f>
      </c>
      <c r="G3400" s="20">
        <f>Разбивка_по_щитам!J3405</f>
      </c>
      <c r="H3400" s="20">
        <f>Разбивка_по_щитам!K3405</f>
      </c>
      <c r="I3400" s="20">
        <f>Разбивка_по_щитам!L3405</f>
      </c>
      <c r="J3400" s="20">
        <f>Разбивка_по_щитам!M3405</f>
      </c>
      <c r="K3400" s="20">
        <f>Разбивка_по_щитам!N3405</f>
      </c>
      <c r="L3400" s="20"/>
      <c r="M3400" s="20">
        <f>Разбивка_по_щитам!P3405</f>
      </c>
      <c r="N3400" s="20"/>
    </row>
    <row r="3401" spans="2:14" x14ac:dyDescent="0.25">
      <c r="B3401" s="20">
        <f>Разбивка_по_щитам!B3406</f>
      </c>
      <c r="C3401" s="20">
        <f>Разбивка_по_щитам!C3406</f>
      </c>
      <c r="D3401" s="20">
        <f>Разбивка_по_щитам!F3406</f>
      </c>
      <c r="E3401" s="20">
        <f>Разбивка_по_щитам!H3406</f>
      </c>
      <c r="F3401" s="20">
        <f>Разбивка_по_щитам!I3406</f>
      </c>
      <c r="G3401" s="20">
        <f>Разбивка_по_щитам!J3406</f>
      </c>
      <c r="H3401" s="20">
        <f>Разбивка_по_щитам!K3406</f>
      </c>
      <c r="I3401" s="20">
        <f>Разбивка_по_щитам!L3406</f>
      </c>
      <c r="J3401" s="20">
        <f>Разбивка_по_щитам!M3406</f>
      </c>
      <c r="K3401" s="20">
        <f>Разбивка_по_щитам!N3406</f>
      </c>
      <c r="L3401" s="20"/>
      <c r="M3401" s="20">
        <f>Разбивка_по_щитам!P3406</f>
      </c>
      <c r="N3401" s="20"/>
    </row>
    <row r="3402" spans="2:14" x14ac:dyDescent="0.25">
      <c r="B3402" s="20">
        <f>Разбивка_по_щитам!B3407</f>
      </c>
      <c r="C3402" s="20">
        <f>Разбивка_по_щитам!C3407</f>
      </c>
      <c r="D3402" s="20">
        <f>Разбивка_по_щитам!F3407</f>
      </c>
      <c r="E3402" s="20">
        <f>Разбивка_по_щитам!H3407</f>
      </c>
      <c r="F3402" s="20">
        <f>Разбивка_по_щитам!I3407</f>
      </c>
      <c r="G3402" s="20">
        <f>Разбивка_по_щитам!J3407</f>
      </c>
      <c r="H3402" s="20">
        <f>Разбивка_по_щитам!K3407</f>
      </c>
      <c r="I3402" s="20">
        <f>Разбивка_по_щитам!L3407</f>
      </c>
      <c r="J3402" s="20">
        <f>Разбивка_по_щитам!M3407</f>
      </c>
      <c r="K3402" s="20">
        <f>Разбивка_по_щитам!N3407</f>
      </c>
      <c r="L3402" s="20"/>
      <c r="M3402" s="20">
        <f>Разбивка_по_щитам!P3407</f>
      </c>
      <c r="N3402" s="20"/>
    </row>
    <row r="3403" spans="2:14" x14ac:dyDescent="0.25">
      <c r="B3403" s="20">
        <f>Разбивка_по_щитам!B3408</f>
      </c>
      <c r="C3403" s="20">
        <f>Разбивка_по_щитам!C3408</f>
      </c>
      <c r="D3403" s="20">
        <f>Разбивка_по_щитам!F3408</f>
      </c>
      <c r="E3403" s="20">
        <f>Разбивка_по_щитам!H3408</f>
      </c>
      <c r="F3403" s="20">
        <f>Разбивка_по_щитам!I3408</f>
      </c>
      <c r="G3403" s="20">
        <f>Разбивка_по_щитам!J3408</f>
      </c>
      <c r="H3403" s="20">
        <f>Разбивка_по_щитам!K3408</f>
      </c>
      <c r="I3403" s="20">
        <f>Разбивка_по_щитам!L3408</f>
      </c>
      <c r="J3403" s="20">
        <f>Разбивка_по_щитам!M3408</f>
      </c>
      <c r="K3403" s="20">
        <f>Разбивка_по_щитам!N3408</f>
      </c>
      <c r="L3403" s="20"/>
      <c r="M3403" s="20">
        <f>Разбивка_по_щитам!P3408</f>
      </c>
      <c r="N3403" s="20"/>
    </row>
    <row r="3404" spans="2:14" x14ac:dyDescent="0.25">
      <c r="B3404" s="20">
        <f>Разбивка_по_щитам!B3409</f>
      </c>
      <c r="C3404" s="20">
        <f>Разбивка_по_щитам!C3409</f>
      </c>
      <c r="D3404" s="20">
        <f>Разбивка_по_щитам!F3409</f>
      </c>
      <c r="E3404" s="20">
        <f>Разбивка_по_щитам!H3409</f>
      </c>
      <c r="F3404" s="20">
        <f>Разбивка_по_щитам!I3409</f>
      </c>
      <c r="G3404" s="20">
        <f>Разбивка_по_щитам!J3409</f>
      </c>
      <c r="H3404" s="20">
        <f>Разбивка_по_щитам!K3409</f>
      </c>
      <c r="I3404" s="20">
        <f>Разбивка_по_щитам!L3409</f>
      </c>
      <c r="J3404" s="20">
        <f>Разбивка_по_щитам!M3409</f>
      </c>
      <c r="K3404" s="20">
        <f>Разбивка_по_щитам!N3409</f>
      </c>
      <c r="L3404" s="20"/>
      <c r="M3404" s="20">
        <f>Разбивка_по_щитам!P3409</f>
      </c>
      <c r="N3404" s="20"/>
    </row>
    <row r="3405" spans="2:14" x14ac:dyDescent="0.25">
      <c r="B3405" s="20">
        <f>Разбивка_по_щитам!B3410</f>
      </c>
      <c r="C3405" s="20">
        <f>Разбивка_по_щитам!C3410</f>
      </c>
      <c r="D3405" s="20">
        <f>Разбивка_по_щитам!F3410</f>
      </c>
      <c r="E3405" s="20">
        <f>Разбивка_по_щитам!H3410</f>
      </c>
      <c r="F3405" s="20">
        <f>Разбивка_по_щитам!I3410</f>
      </c>
      <c r="G3405" s="20">
        <f>Разбивка_по_щитам!J3410</f>
      </c>
      <c r="H3405" s="20">
        <f>Разбивка_по_щитам!K3410</f>
      </c>
      <c r="I3405" s="20">
        <f>Разбивка_по_щитам!L3410</f>
      </c>
      <c r="J3405" s="20">
        <f>Разбивка_по_щитам!M3410</f>
      </c>
      <c r="K3405" s="20">
        <f>Разбивка_по_щитам!N3410</f>
      </c>
      <c r="L3405" s="20"/>
      <c r="M3405" s="20">
        <f>Разбивка_по_щитам!P3410</f>
      </c>
      <c r="N3405" s="20"/>
    </row>
    <row r="3406" spans="2:14" x14ac:dyDescent="0.25">
      <c r="B3406" s="20">
        <f>Разбивка_по_щитам!B3411</f>
      </c>
      <c r="C3406" s="20">
        <f>Разбивка_по_щитам!C3411</f>
      </c>
      <c r="D3406" s="20">
        <f>Разбивка_по_щитам!F3411</f>
      </c>
      <c r="E3406" s="20">
        <f>Разбивка_по_щитам!H3411</f>
      </c>
      <c r="F3406" s="20">
        <f>Разбивка_по_щитам!I3411</f>
      </c>
      <c r="G3406" s="20">
        <f>Разбивка_по_щитам!J3411</f>
      </c>
      <c r="H3406" s="20">
        <f>Разбивка_по_щитам!K3411</f>
      </c>
      <c r="I3406" s="20">
        <f>Разбивка_по_щитам!L3411</f>
      </c>
      <c r="J3406" s="20">
        <f>Разбивка_по_щитам!M3411</f>
      </c>
      <c r="K3406" s="20">
        <f>Разбивка_по_щитам!N3411</f>
      </c>
      <c r="L3406" s="20"/>
      <c r="M3406" s="20">
        <f>Разбивка_по_щитам!P3411</f>
      </c>
      <c r="N3406" s="20"/>
    </row>
    <row r="3407" spans="2:14" x14ac:dyDescent="0.25">
      <c r="B3407" s="20">
        <f>Разбивка_по_щитам!B3412</f>
      </c>
      <c r="C3407" s="20">
        <f>Разбивка_по_щитам!C3412</f>
      </c>
      <c r="D3407" s="20">
        <f>Разбивка_по_щитам!F3412</f>
      </c>
      <c r="E3407" s="20">
        <f>Разбивка_по_щитам!H3412</f>
      </c>
      <c r="F3407" s="20">
        <f>Разбивка_по_щитам!I3412</f>
      </c>
      <c r="G3407" s="20">
        <f>Разбивка_по_щитам!J3412</f>
      </c>
      <c r="H3407" s="20">
        <f>Разбивка_по_щитам!K3412</f>
      </c>
      <c r="I3407" s="20">
        <f>Разбивка_по_щитам!L3412</f>
      </c>
      <c r="J3407" s="20">
        <f>Разбивка_по_щитам!M3412</f>
      </c>
      <c r="K3407" s="20">
        <f>Разбивка_по_щитам!N3412</f>
      </c>
      <c r="L3407" s="20"/>
      <c r="M3407" s="20">
        <f>Разбивка_по_щитам!P3412</f>
      </c>
      <c r="N3407" s="20"/>
    </row>
    <row r="3408" spans="2:14" x14ac:dyDescent="0.25">
      <c r="B3408" s="20">
        <f>Разбивка_по_щитам!B3413</f>
      </c>
      <c r="C3408" s="20">
        <f>Разбивка_по_щитам!C3413</f>
      </c>
      <c r="D3408" s="20">
        <f>Разбивка_по_щитам!F3413</f>
      </c>
      <c r="E3408" s="20">
        <f>Разбивка_по_щитам!H3413</f>
      </c>
      <c r="F3408" s="20">
        <f>Разбивка_по_щитам!I3413</f>
      </c>
      <c r="G3408" s="20">
        <f>Разбивка_по_щитам!J3413</f>
      </c>
      <c r="H3408" s="20">
        <f>Разбивка_по_щитам!K3413</f>
      </c>
      <c r="I3408" s="20">
        <f>Разбивка_по_щитам!L3413</f>
      </c>
      <c r="J3408" s="20">
        <f>Разбивка_по_щитам!M3413</f>
      </c>
      <c r="K3408" s="20">
        <f>Разбивка_по_щитам!N3413</f>
      </c>
      <c r="L3408" s="20"/>
      <c r="M3408" s="20">
        <f>Разбивка_по_щитам!P3413</f>
      </c>
      <c r="N3408" s="20"/>
    </row>
    <row r="3409" spans="2:14" x14ac:dyDescent="0.25">
      <c r="B3409" s="20">
        <f>Разбивка_по_щитам!B3414</f>
      </c>
      <c r="C3409" s="20">
        <f>Разбивка_по_щитам!C3414</f>
      </c>
      <c r="D3409" s="20">
        <f>Разбивка_по_щитам!F3414</f>
      </c>
      <c r="E3409" s="20">
        <f>Разбивка_по_щитам!H3414</f>
      </c>
      <c r="F3409" s="20">
        <f>Разбивка_по_щитам!I3414</f>
      </c>
      <c r="G3409" s="20">
        <f>Разбивка_по_щитам!J3414</f>
      </c>
      <c r="H3409" s="20">
        <f>Разбивка_по_щитам!K3414</f>
      </c>
      <c r="I3409" s="20">
        <f>Разбивка_по_щитам!L3414</f>
      </c>
      <c r="J3409" s="20">
        <f>Разбивка_по_щитам!M3414</f>
      </c>
      <c r="K3409" s="20">
        <f>Разбивка_по_щитам!N3414</f>
      </c>
      <c r="L3409" s="20"/>
      <c r="M3409" s="20">
        <f>Разбивка_по_щитам!P3414</f>
      </c>
      <c r="N3409" s="20"/>
    </row>
    <row r="3410" spans="2:14" x14ac:dyDescent="0.25">
      <c r="B3410" s="20">
        <f>Разбивка_по_щитам!B3415</f>
      </c>
      <c r="C3410" s="20">
        <f>Разбивка_по_щитам!C3415</f>
      </c>
      <c r="D3410" s="20">
        <f>Разбивка_по_щитам!F3415</f>
      </c>
      <c r="E3410" s="20">
        <f>Разбивка_по_щитам!H3415</f>
      </c>
      <c r="F3410" s="20">
        <f>Разбивка_по_щитам!I3415</f>
      </c>
      <c r="G3410" s="20">
        <f>Разбивка_по_щитам!J3415</f>
      </c>
      <c r="H3410" s="20">
        <f>Разбивка_по_щитам!K3415</f>
      </c>
      <c r="I3410" s="20">
        <f>Разбивка_по_щитам!L3415</f>
      </c>
      <c r="J3410" s="20">
        <f>Разбивка_по_щитам!M3415</f>
      </c>
      <c r="K3410" s="20">
        <f>Разбивка_по_щитам!N3415</f>
      </c>
      <c r="L3410" s="20"/>
      <c r="M3410" s="20">
        <f>Разбивка_по_щитам!P3415</f>
      </c>
      <c r="N3410" s="20"/>
    </row>
    <row r="3411" spans="2:14" x14ac:dyDescent="0.25">
      <c r="B3411" s="20">
        <f>Разбивка_по_щитам!B3416</f>
      </c>
      <c r="C3411" s="20">
        <f>Разбивка_по_щитам!C3416</f>
      </c>
      <c r="D3411" s="20">
        <f>Разбивка_по_щитам!F3416</f>
      </c>
      <c r="E3411" s="20">
        <f>Разбивка_по_щитам!H3416</f>
      </c>
      <c r="F3411" s="20">
        <f>Разбивка_по_щитам!I3416</f>
      </c>
      <c r="G3411" s="20">
        <f>Разбивка_по_щитам!J3416</f>
      </c>
      <c r="H3411" s="20">
        <f>Разбивка_по_щитам!K3416</f>
      </c>
      <c r="I3411" s="20">
        <f>Разбивка_по_щитам!L3416</f>
      </c>
      <c r="J3411" s="20">
        <f>Разбивка_по_щитам!M3416</f>
      </c>
      <c r="K3411" s="20">
        <f>Разбивка_по_щитам!N3416</f>
      </c>
      <c r="L3411" s="20"/>
      <c r="M3411" s="20">
        <f>Разбивка_по_щитам!P3416</f>
      </c>
      <c r="N3411" s="20"/>
    </row>
    <row r="3412" spans="2:14" x14ac:dyDescent="0.25">
      <c r="B3412" s="20">
        <f>Разбивка_по_щитам!B3417</f>
      </c>
      <c r="C3412" s="20">
        <f>Разбивка_по_щитам!C3417</f>
      </c>
      <c r="D3412" s="20">
        <f>Разбивка_по_щитам!F3417</f>
      </c>
      <c r="E3412" s="20">
        <f>Разбивка_по_щитам!H3417</f>
      </c>
      <c r="F3412" s="20">
        <f>Разбивка_по_щитам!I3417</f>
      </c>
      <c r="G3412" s="20">
        <f>Разбивка_по_щитам!J3417</f>
      </c>
      <c r="H3412" s="20">
        <f>Разбивка_по_щитам!K3417</f>
      </c>
      <c r="I3412" s="20">
        <f>Разбивка_по_щитам!L3417</f>
      </c>
      <c r="J3412" s="20">
        <f>Разбивка_по_щитам!M3417</f>
      </c>
      <c r="K3412" s="20">
        <f>Разбивка_по_щитам!N3417</f>
      </c>
      <c r="L3412" s="20"/>
      <c r="M3412" s="20">
        <f>Разбивка_по_щитам!P3417</f>
      </c>
      <c r="N3412" s="20"/>
    </row>
    <row r="3413" spans="2:14" x14ac:dyDescent="0.25">
      <c r="B3413" s="20">
        <f>Разбивка_по_щитам!B3418</f>
      </c>
      <c r="C3413" s="20">
        <f>Разбивка_по_щитам!C3418</f>
      </c>
      <c r="D3413" s="20">
        <f>Разбивка_по_щитам!F3418</f>
      </c>
      <c r="E3413" s="20">
        <f>Разбивка_по_щитам!H3418</f>
      </c>
      <c r="F3413" s="20">
        <f>Разбивка_по_щитам!I3418</f>
      </c>
      <c r="G3413" s="20">
        <f>Разбивка_по_щитам!J3418</f>
      </c>
      <c r="H3413" s="20">
        <f>Разбивка_по_щитам!K3418</f>
      </c>
      <c r="I3413" s="20">
        <f>Разбивка_по_щитам!L3418</f>
      </c>
      <c r="J3413" s="20">
        <f>Разбивка_по_щитам!M3418</f>
      </c>
      <c r="K3413" s="20">
        <f>Разбивка_по_щитам!N3418</f>
      </c>
      <c r="L3413" s="20"/>
      <c r="M3413" s="20">
        <f>Разбивка_по_щитам!P3418</f>
      </c>
      <c r="N3413" s="20"/>
    </row>
    <row r="3414" spans="2:14" x14ac:dyDescent="0.25">
      <c r="B3414" s="20">
        <f>Разбивка_по_щитам!B3419</f>
      </c>
      <c r="C3414" s="20">
        <f>Разбивка_по_щитам!C3419</f>
      </c>
      <c r="D3414" s="20">
        <f>Разбивка_по_щитам!F3419</f>
      </c>
      <c r="E3414" s="20">
        <f>Разбивка_по_щитам!H3419</f>
      </c>
      <c r="F3414" s="20">
        <f>Разбивка_по_щитам!I3419</f>
      </c>
      <c r="G3414" s="20">
        <f>Разбивка_по_щитам!J3419</f>
      </c>
      <c r="H3414" s="20">
        <f>Разбивка_по_щитам!K3419</f>
      </c>
      <c r="I3414" s="20">
        <f>Разбивка_по_щитам!L3419</f>
      </c>
      <c r="J3414" s="20">
        <f>Разбивка_по_щитам!M3419</f>
      </c>
      <c r="K3414" s="20">
        <f>Разбивка_по_щитам!N3419</f>
      </c>
      <c r="L3414" s="20"/>
      <c r="M3414" s="20">
        <f>Разбивка_по_щитам!P3419</f>
      </c>
      <c r="N3414" s="20"/>
    </row>
    <row r="3415" spans="2:14" x14ac:dyDescent="0.25">
      <c r="B3415" s="20">
        <f>Разбивка_по_щитам!B3420</f>
      </c>
      <c r="C3415" s="20">
        <f>Разбивка_по_щитам!C3420</f>
      </c>
      <c r="D3415" s="20">
        <f>Разбивка_по_щитам!F3420</f>
      </c>
      <c r="E3415" s="20">
        <f>Разбивка_по_щитам!H3420</f>
      </c>
      <c r="F3415" s="20">
        <f>Разбивка_по_щитам!I3420</f>
      </c>
      <c r="G3415" s="20">
        <f>Разбивка_по_щитам!J3420</f>
      </c>
      <c r="H3415" s="20">
        <f>Разбивка_по_щитам!K3420</f>
      </c>
      <c r="I3415" s="20">
        <f>Разбивка_по_щитам!L3420</f>
      </c>
      <c r="J3415" s="20">
        <f>Разбивка_по_щитам!M3420</f>
      </c>
      <c r="K3415" s="20">
        <f>Разбивка_по_щитам!N3420</f>
      </c>
      <c r="L3415" s="20"/>
      <c r="M3415" s="20">
        <f>Разбивка_по_щитам!P3420</f>
      </c>
      <c r="N3415" s="20"/>
    </row>
    <row r="3416" spans="2:14" x14ac:dyDescent="0.25">
      <c r="B3416" s="20">
        <f>Разбивка_по_щитам!B3421</f>
      </c>
      <c r="C3416" s="20">
        <f>Разбивка_по_щитам!C3421</f>
      </c>
      <c r="D3416" s="20">
        <f>Разбивка_по_щитам!F3421</f>
      </c>
      <c r="E3416" s="20">
        <f>Разбивка_по_щитам!H3421</f>
      </c>
      <c r="F3416" s="20">
        <f>Разбивка_по_щитам!I3421</f>
      </c>
      <c r="G3416" s="20">
        <f>Разбивка_по_щитам!J3421</f>
      </c>
      <c r="H3416" s="20">
        <f>Разбивка_по_щитам!K3421</f>
      </c>
      <c r="I3416" s="20">
        <f>Разбивка_по_щитам!L3421</f>
      </c>
      <c r="J3416" s="20">
        <f>Разбивка_по_щитам!M3421</f>
      </c>
      <c r="K3416" s="20">
        <f>Разбивка_по_щитам!N3421</f>
      </c>
      <c r="L3416" s="20"/>
      <c r="M3416" s="20">
        <f>Разбивка_по_щитам!P3421</f>
      </c>
      <c r="N3416" s="20"/>
    </row>
    <row r="3417" spans="2:14" x14ac:dyDescent="0.25">
      <c r="B3417" s="20">
        <f>Разбивка_по_щитам!B3422</f>
      </c>
      <c r="C3417" s="20">
        <f>Разбивка_по_щитам!C3422</f>
      </c>
      <c r="D3417" s="20">
        <f>Разбивка_по_щитам!F3422</f>
      </c>
      <c r="E3417" s="20">
        <f>Разбивка_по_щитам!H3422</f>
      </c>
      <c r="F3417" s="20">
        <f>Разбивка_по_щитам!I3422</f>
      </c>
      <c r="G3417" s="20">
        <f>Разбивка_по_щитам!J3422</f>
      </c>
      <c r="H3417" s="20">
        <f>Разбивка_по_щитам!K3422</f>
      </c>
      <c r="I3417" s="20">
        <f>Разбивка_по_щитам!L3422</f>
      </c>
      <c r="J3417" s="20">
        <f>Разбивка_по_щитам!M3422</f>
      </c>
      <c r="K3417" s="20">
        <f>Разбивка_по_щитам!N3422</f>
      </c>
      <c r="L3417" s="20"/>
      <c r="M3417" s="20">
        <f>Разбивка_по_щитам!P3422</f>
      </c>
      <c r="N3417" s="20"/>
    </row>
    <row r="3418" spans="2:14" x14ac:dyDescent="0.25">
      <c r="B3418" s="20">
        <f>Разбивка_по_щитам!B3423</f>
      </c>
      <c r="C3418" s="20">
        <f>Разбивка_по_щитам!C3423</f>
      </c>
      <c r="D3418" s="20">
        <f>Разбивка_по_щитам!F3423</f>
      </c>
      <c r="E3418" s="20">
        <f>Разбивка_по_щитам!H3423</f>
      </c>
      <c r="F3418" s="20">
        <f>Разбивка_по_щитам!I3423</f>
      </c>
      <c r="G3418" s="20">
        <f>Разбивка_по_щитам!J3423</f>
      </c>
      <c r="H3418" s="20">
        <f>Разбивка_по_щитам!K3423</f>
      </c>
      <c r="I3418" s="20">
        <f>Разбивка_по_щитам!L3423</f>
      </c>
      <c r="J3418" s="20">
        <f>Разбивка_по_щитам!M3423</f>
      </c>
      <c r="K3418" s="20">
        <f>Разбивка_по_щитам!N3423</f>
      </c>
      <c r="L3418" s="20"/>
      <c r="M3418" s="20">
        <f>Разбивка_по_щитам!P3423</f>
      </c>
      <c r="N3418" s="20"/>
    </row>
    <row r="3419" spans="2:14" x14ac:dyDescent="0.25">
      <c r="B3419" s="20">
        <f>Разбивка_по_щитам!B3424</f>
      </c>
      <c r="C3419" s="20">
        <f>Разбивка_по_щитам!C3424</f>
      </c>
      <c r="D3419" s="20">
        <f>Разбивка_по_щитам!F3424</f>
      </c>
      <c r="E3419" s="20">
        <f>Разбивка_по_щитам!H3424</f>
      </c>
      <c r="F3419" s="20">
        <f>Разбивка_по_щитам!I3424</f>
      </c>
      <c r="G3419" s="20">
        <f>Разбивка_по_щитам!J3424</f>
      </c>
      <c r="H3419" s="20">
        <f>Разбивка_по_щитам!K3424</f>
      </c>
      <c r="I3419" s="20">
        <f>Разбивка_по_щитам!L3424</f>
      </c>
      <c r="J3419" s="20">
        <f>Разбивка_по_щитам!M3424</f>
      </c>
      <c r="K3419" s="20">
        <f>Разбивка_по_щитам!N3424</f>
      </c>
      <c r="L3419" s="20"/>
      <c r="M3419" s="20">
        <f>Разбивка_по_щитам!P3424</f>
      </c>
      <c r="N3419" s="20"/>
    </row>
    <row r="3420" spans="2:14" x14ac:dyDescent="0.25">
      <c r="B3420" s="20">
        <f>Разбивка_по_щитам!B3425</f>
      </c>
      <c r="C3420" s="20">
        <f>Разбивка_по_щитам!C3425</f>
      </c>
      <c r="D3420" s="20">
        <f>Разбивка_по_щитам!F3425</f>
      </c>
      <c r="E3420" s="20">
        <f>Разбивка_по_щитам!H3425</f>
      </c>
      <c r="F3420" s="20">
        <f>Разбивка_по_щитам!I3425</f>
      </c>
      <c r="G3420" s="20">
        <f>Разбивка_по_щитам!J3425</f>
      </c>
      <c r="H3420" s="20">
        <f>Разбивка_по_щитам!K3425</f>
      </c>
      <c r="I3420" s="20">
        <f>Разбивка_по_щитам!L3425</f>
      </c>
      <c r="J3420" s="20">
        <f>Разбивка_по_щитам!M3425</f>
      </c>
      <c r="K3420" s="20">
        <f>Разбивка_по_щитам!N3425</f>
      </c>
      <c r="L3420" s="20"/>
      <c r="M3420" s="20">
        <f>Разбивка_по_щитам!P3425</f>
      </c>
      <c r="N3420" s="20"/>
    </row>
    <row r="3421" spans="2:14" x14ac:dyDescent="0.25">
      <c r="B3421" s="20">
        <f>Разбивка_по_щитам!B3426</f>
      </c>
      <c r="C3421" s="20">
        <f>Разбивка_по_щитам!C3426</f>
      </c>
      <c r="D3421" s="20">
        <f>Разбивка_по_щитам!F3426</f>
      </c>
      <c r="E3421" s="20">
        <f>Разбивка_по_щитам!H3426</f>
      </c>
      <c r="F3421" s="20">
        <f>Разбивка_по_щитам!I3426</f>
      </c>
      <c r="G3421" s="20">
        <f>Разбивка_по_щитам!J3426</f>
      </c>
      <c r="H3421" s="20">
        <f>Разбивка_по_щитам!K3426</f>
      </c>
      <c r="I3421" s="20">
        <f>Разбивка_по_щитам!L3426</f>
      </c>
      <c r="J3421" s="20">
        <f>Разбивка_по_щитам!M3426</f>
      </c>
      <c r="K3421" s="20">
        <f>Разбивка_по_щитам!N3426</f>
      </c>
      <c r="L3421" s="20"/>
      <c r="M3421" s="20">
        <f>Разбивка_по_щитам!P3426</f>
      </c>
      <c r="N3421" s="20"/>
    </row>
    <row r="3422" spans="2:14" x14ac:dyDescent="0.25">
      <c r="B3422" s="20">
        <f>Разбивка_по_щитам!B3427</f>
      </c>
      <c r="C3422" s="20">
        <f>Разбивка_по_щитам!C3427</f>
      </c>
      <c r="D3422" s="20">
        <f>Разбивка_по_щитам!F3427</f>
      </c>
      <c r="E3422" s="20">
        <f>Разбивка_по_щитам!H3427</f>
      </c>
      <c r="F3422" s="20">
        <f>Разбивка_по_щитам!I3427</f>
      </c>
      <c r="G3422" s="20">
        <f>Разбивка_по_щитам!J3427</f>
      </c>
      <c r="H3422" s="20">
        <f>Разбивка_по_щитам!K3427</f>
      </c>
      <c r="I3422" s="20">
        <f>Разбивка_по_щитам!L3427</f>
      </c>
      <c r="J3422" s="20">
        <f>Разбивка_по_щитам!M3427</f>
      </c>
      <c r="K3422" s="20">
        <f>Разбивка_по_щитам!N3427</f>
      </c>
      <c r="L3422" s="20"/>
      <c r="M3422" s="20">
        <f>Разбивка_по_щитам!P3427</f>
      </c>
      <c r="N3422" s="20"/>
    </row>
    <row r="3423" spans="2:14" x14ac:dyDescent="0.25">
      <c r="B3423" s="20">
        <f>Разбивка_по_щитам!B3428</f>
      </c>
      <c r="C3423" s="20">
        <f>Разбивка_по_щитам!C3428</f>
      </c>
      <c r="D3423" s="20">
        <f>Разбивка_по_щитам!F3428</f>
      </c>
      <c r="E3423" s="20">
        <f>Разбивка_по_щитам!H3428</f>
      </c>
      <c r="F3423" s="20">
        <f>Разбивка_по_щитам!I3428</f>
      </c>
      <c r="G3423" s="20">
        <f>Разбивка_по_щитам!J3428</f>
      </c>
      <c r="H3423" s="20">
        <f>Разбивка_по_щитам!K3428</f>
      </c>
      <c r="I3423" s="20">
        <f>Разбивка_по_щитам!L3428</f>
      </c>
      <c r="J3423" s="20">
        <f>Разбивка_по_щитам!M3428</f>
      </c>
      <c r="K3423" s="20">
        <f>Разбивка_по_щитам!N3428</f>
      </c>
      <c r="L3423" s="20"/>
      <c r="M3423" s="20">
        <f>Разбивка_по_щитам!P3428</f>
      </c>
      <c r="N3423" s="20"/>
    </row>
    <row r="3424" spans="2:14" x14ac:dyDescent="0.25">
      <c r="B3424" s="20">
        <f>Разбивка_по_щитам!B3429</f>
      </c>
      <c r="C3424" s="20">
        <f>Разбивка_по_щитам!C3429</f>
      </c>
      <c r="D3424" s="20">
        <f>Разбивка_по_щитам!F3429</f>
      </c>
      <c r="E3424" s="20">
        <f>Разбивка_по_щитам!H3429</f>
      </c>
      <c r="F3424" s="20">
        <f>Разбивка_по_щитам!I3429</f>
      </c>
      <c r="G3424" s="20">
        <f>Разбивка_по_щитам!J3429</f>
      </c>
      <c r="H3424" s="20">
        <f>Разбивка_по_щитам!K3429</f>
      </c>
      <c r="I3424" s="20">
        <f>Разбивка_по_щитам!L3429</f>
      </c>
      <c r="J3424" s="20">
        <f>Разбивка_по_щитам!M3429</f>
      </c>
      <c r="K3424" s="20">
        <f>Разбивка_по_щитам!N3429</f>
      </c>
      <c r="L3424" s="20"/>
      <c r="M3424" s="20">
        <f>Разбивка_по_щитам!P3429</f>
      </c>
      <c r="N3424" s="20"/>
    </row>
    <row r="3425" spans="2:14" x14ac:dyDescent="0.25">
      <c r="B3425" s="20">
        <f>Разбивка_по_щитам!B3430</f>
      </c>
      <c r="C3425" s="20">
        <f>Разбивка_по_щитам!C3430</f>
      </c>
      <c r="D3425" s="20">
        <f>Разбивка_по_щитам!F3430</f>
      </c>
      <c r="E3425" s="20">
        <f>Разбивка_по_щитам!H3430</f>
      </c>
      <c r="F3425" s="20">
        <f>Разбивка_по_щитам!I3430</f>
      </c>
      <c r="G3425" s="20">
        <f>Разбивка_по_щитам!J3430</f>
      </c>
      <c r="H3425" s="20">
        <f>Разбивка_по_щитам!K3430</f>
      </c>
      <c r="I3425" s="20">
        <f>Разбивка_по_щитам!L3430</f>
      </c>
      <c r="J3425" s="20">
        <f>Разбивка_по_щитам!M3430</f>
      </c>
      <c r="K3425" s="20">
        <f>Разбивка_по_щитам!N3430</f>
      </c>
      <c r="L3425" s="20"/>
      <c r="M3425" s="20">
        <f>Разбивка_по_щитам!P3430</f>
      </c>
      <c r="N3425" s="20"/>
    </row>
    <row r="3426" spans="2:14" x14ac:dyDescent="0.25">
      <c r="B3426" s="20">
        <f>Разбивка_по_щитам!B3431</f>
      </c>
      <c r="C3426" s="20">
        <f>Разбивка_по_щитам!C3431</f>
      </c>
      <c r="D3426" s="20">
        <f>Разбивка_по_щитам!F3431</f>
      </c>
      <c r="E3426" s="20">
        <f>Разбивка_по_щитам!H3431</f>
      </c>
      <c r="F3426" s="20">
        <f>Разбивка_по_щитам!I3431</f>
      </c>
      <c r="G3426" s="20">
        <f>Разбивка_по_щитам!J3431</f>
      </c>
      <c r="H3426" s="20">
        <f>Разбивка_по_щитам!K3431</f>
      </c>
      <c r="I3426" s="20">
        <f>Разбивка_по_щитам!L3431</f>
      </c>
      <c r="J3426" s="20">
        <f>Разбивка_по_щитам!M3431</f>
      </c>
      <c r="K3426" s="20">
        <f>Разбивка_по_щитам!N3431</f>
      </c>
      <c r="L3426" s="20"/>
      <c r="M3426" s="20">
        <f>Разбивка_по_щитам!P3431</f>
      </c>
      <c r="N3426" s="20"/>
    </row>
    <row r="3427" spans="2:14" x14ac:dyDescent="0.25">
      <c r="B3427" s="20">
        <f>Разбивка_по_щитам!B3432</f>
      </c>
      <c r="C3427" s="20">
        <f>Разбивка_по_щитам!C3432</f>
      </c>
      <c r="D3427" s="20">
        <f>Разбивка_по_щитам!F3432</f>
      </c>
      <c r="E3427" s="20">
        <f>Разбивка_по_щитам!H3432</f>
      </c>
      <c r="F3427" s="20">
        <f>Разбивка_по_щитам!I3432</f>
      </c>
      <c r="G3427" s="20">
        <f>Разбивка_по_щитам!J3432</f>
      </c>
      <c r="H3427" s="20">
        <f>Разбивка_по_щитам!K3432</f>
      </c>
      <c r="I3427" s="20">
        <f>Разбивка_по_щитам!L3432</f>
      </c>
      <c r="J3427" s="20">
        <f>Разбивка_по_щитам!M3432</f>
      </c>
      <c r="K3427" s="20">
        <f>Разбивка_по_щитам!N3432</f>
      </c>
      <c r="L3427" s="20"/>
      <c r="M3427" s="20">
        <f>Разбивка_по_щитам!P3432</f>
      </c>
      <c r="N3427" s="20"/>
    </row>
    <row r="3428" spans="2:14" x14ac:dyDescent="0.25">
      <c r="B3428" s="20">
        <f>Разбивка_по_щитам!B3433</f>
      </c>
      <c r="C3428" s="20">
        <f>Разбивка_по_щитам!C3433</f>
      </c>
      <c r="D3428" s="20">
        <f>Разбивка_по_щитам!F3433</f>
      </c>
      <c r="E3428" s="20">
        <f>Разбивка_по_щитам!H3433</f>
      </c>
      <c r="F3428" s="20">
        <f>Разбивка_по_щитам!I3433</f>
      </c>
      <c r="G3428" s="20">
        <f>Разбивка_по_щитам!J3433</f>
      </c>
      <c r="H3428" s="20">
        <f>Разбивка_по_щитам!K3433</f>
      </c>
      <c r="I3428" s="20">
        <f>Разбивка_по_щитам!L3433</f>
      </c>
      <c r="J3428" s="20">
        <f>Разбивка_по_щитам!M3433</f>
      </c>
      <c r="K3428" s="20">
        <f>Разбивка_по_щитам!N3433</f>
      </c>
      <c r="L3428" s="20"/>
      <c r="M3428" s="20">
        <f>Разбивка_по_щитам!P3433</f>
      </c>
      <c r="N3428" s="20"/>
    </row>
    <row r="3429" spans="2:14" x14ac:dyDescent="0.25">
      <c r="B3429" s="20">
        <f>Разбивка_по_щитам!B3434</f>
      </c>
      <c r="C3429" s="20">
        <f>Разбивка_по_щитам!C3434</f>
      </c>
      <c r="D3429" s="20">
        <f>Разбивка_по_щитам!F3434</f>
      </c>
      <c r="E3429" s="20">
        <f>Разбивка_по_щитам!H3434</f>
      </c>
      <c r="F3429" s="20">
        <f>Разбивка_по_щитам!I3434</f>
      </c>
      <c r="G3429" s="20">
        <f>Разбивка_по_щитам!J3434</f>
      </c>
      <c r="H3429" s="20">
        <f>Разбивка_по_щитам!K3434</f>
      </c>
      <c r="I3429" s="20">
        <f>Разбивка_по_щитам!L3434</f>
      </c>
      <c r="J3429" s="20">
        <f>Разбивка_по_щитам!M3434</f>
      </c>
      <c r="K3429" s="20">
        <f>Разбивка_по_щитам!N3434</f>
      </c>
      <c r="L3429" s="20"/>
      <c r="M3429" s="20">
        <f>Разбивка_по_щитам!P3434</f>
      </c>
      <c r="N3429" s="20"/>
    </row>
    <row r="3430" spans="2:14" x14ac:dyDescent="0.25">
      <c r="B3430" s="20">
        <f>Разбивка_по_щитам!B3435</f>
      </c>
      <c r="C3430" s="20">
        <f>Разбивка_по_щитам!C3435</f>
      </c>
      <c r="D3430" s="20">
        <f>Разбивка_по_щитам!F3435</f>
      </c>
      <c r="E3430" s="20">
        <f>Разбивка_по_щитам!H3435</f>
      </c>
      <c r="F3430" s="20">
        <f>Разбивка_по_щитам!I3435</f>
      </c>
      <c r="G3430" s="20">
        <f>Разбивка_по_щитам!J3435</f>
      </c>
      <c r="H3430" s="20">
        <f>Разбивка_по_щитам!K3435</f>
      </c>
      <c r="I3430" s="20">
        <f>Разбивка_по_щитам!L3435</f>
      </c>
      <c r="J3430" s="20">
        <f>Разбивка_по_щитам!M3435</f>
      </c>
      <c r="K3430" s="20">
        <f>Разбивка_по_щитам!N3435</f>
      </c>
      <c r="L3430" s="20"/>
      <c r="M3430" s="20">
        <f>Разбивка_по_щитам!P3435</f>
      </c>
      <c r="N3430" s="20"/>
    </row>
    <row r="3431" spans="2:14" x14ac:dyDescent="0.25">
      <c r="B3431" s="20">
        <f>Разбивка_по_щитам!B3436</f>
      </c>
      <c r="C3431" s="20">
        <f>Разбивка_по_щитам!C3436</f>
      </c>
      <c r="D3431" s="20">
        <f>Разбивка_по_щитам!F3436</f>
      </c>
      <c r="E3431" s="20">
        <f>Разбивка_по_щитам!H3436</f>
      </c>
      <c r="F3431" s="20">
        <f>Разбивка_по_щитам!I3436</f>
      </c>
      <c r="G3431" s="20">
        <f>Разбивка_по_щитам!J3436</f>
      </c>
      <c r="H3431" s="20">
        <f>Разбивка_по_щитам!K3436</f>
      </c>
      <c r="I3431" s="20">
        <f>Разбивка_по_щитам!L3436</f>
      </c>
      <c r="J3431" s="20">
        <f>Разбивка_по_щитам!M3436</f>
      </c>
      <c r="K3431" s="20">
        <f>Разбивка_по_щитам!N3436</f>
      </c>
      <c r="L3431" s="20"/>
      <c r="M3431" s="20">
        <f>Разбивка_по_щитам!P3436</f>
      </c>
      <c r="N3431" s="20"/>
    </row>
    <row r="3432" spans="2:14" x14ac:dyDescent="0.25">
      <c r="B3432" s="20">
        <f>Разбивка_по_щитам!B3437</f>
      </c>
      <c r="C3432" s="20">
        <f>Разбивка_по_щитам!C3437</f>
      </c>
      <c r="D3432" s="20">
        <f>Разбивка_по_щитам!F3437</f>
      </c>
      <c r="E3432" s="20">
        <f>Разбивка_по_щитам!H3437</f>
      </c>
      <c r="F3432" s="20">
        <f>Разбивка_по_щитам!I3437</f>
      </c>
      <c r="G3432" s="20">
        <f>Разбивка_по_щитам!J3437</f>
      </c>
      <c r="H3432" s="20">
        <f>Разбивка_по_щитам!K3437</f>
      </c>
      <c r="I3432" s="20">
        <f>Разбивка_по_щитам!L3437</f>
      </c>
      <c r="J3432" s="20">
        <f>Разбивка_по_щитам!M3437</f>
      </c>
      <c r="K3432" s="20">
        <f>Разбивка_по_щитам!N3437</f>
      </c>
      <c r="L3432" s="20"/>
      <c r="M3432" s="20">
        <f>Разбивка_по_щитам!P3437</f>
      </c>
      <c r="N3432" s="20"/>
    </row>
    <row r="3433" spans="2:14" x14ac:dyDescent="0.25">
      <c r="B3433" s="20">
        <f>Разбивка_по_щитам!B3438</f>
      </c>
      <c r="C3433" s="20">
        <f>Разбивка_по_щитам!C3438</f>
      </c>
      <c r="D3433" s="20">
        <f>Разбивка_по_щитам!F3438</f>
      </c>
      <c r="E3433" s="20">
        <f>Разбивка_по_щитам!H3438</f>
      </c>
      <c r="F3433" s="20">
        <f>Разбивка_по_щитам!I3438</f>
      </c>
      <c r="G3433" s="20">
        <f>Разбивка_по_щитам!J3438</f>
      </c>
      <c r="H3433" s="20">
        <f>Разбивка_по_щитам!K3438</f>
      </c>
      <c r="I3433" s="20">
        <f>Разбивка_по_щитам!L3438</f>
      </c>
      <c r="J3433" s="20">
        <f>Разбивка_по_щитам!M3438</f>
      </c>
      <c r="K3433" s="20">
        <f>Разбивка_по_щитам!N3438</f>
      </c>
      <c r="L3433" s="20"/>
      <c r="M3433" s="20">
        <f>Разбивка_по_щитам!P3438</f>
      </c>
      <c r="N3433" s="20"/>
    </row>
    <row r="3434" spans="2:14" x14ac:dyDescent="0.25">
      <c r="B3434" s="20">
        <f>Разбивка_по_щитам!B3439</f>
      </c>
      <c r="C3434" s="20">
        <f>Разбивка_по_щитам!C3439</f>
      </c>
      <c r="D3434" s="20">
        <f>Разбивка_по_щитам!F3439</f>
      </c>
      <c r="E3434" s="20">
        <f>Разбивка_по_щитам!H3439</f>
      </c>
      <c r="F3434" s="20">
        <f>Разбивка_по_щитам!I3439</f>
      </c>
      <c r="G3434" s="20">
        <f>Разбивка_по_щитам!J3439</f>
      </c>
      <c r="H3434" s="20">
        <f>Разбивка_по_щитам!K3439</f>
      </c>
      <c r="I3434" s="20">
        <f>Разбивка_по_щитам!L3439</f>
      </c>
      <c r="J3434" s="20">
        <f>Разбивка_по_щитам!M3439</f>
      </c>
      <c r="K3434" s="20">
        <f>Разбивка_по_щитам!N3439</f>
      </c>
      <c r="L3434" s="20"/>
      <c r="M3434" s="20">
        <f>Разбивка_по_щитам!P3439</f>
      </c>
      <c r="N3434" s="20"/>
    </row>
    <row r="3435" spans="2:14" x14ac:dyDescent="0.25">
      <c r="B3435" s="20">
        <f>Разбивка_по_щитам!B3440</f>
      </c>
      <c r="C3435" s="20">
        <f>Разбивка_по_щитам!C3440</f>
      </c>
      <c r="D3435" s="20">
        <f>Разбивка_по_щитам!F3440</f>
      </c>
      <c r="E3435" s="20">
        <f>Разбивка_по_щитам!H3440</f>
      </c>
      <c r="F3435" s="20">
        <f>Разбивка_по_щитам!I3440</f>
      </c>
      <c r="G3435" s="20">
        <f>Разбивка_по_щитам!J3440</f>
      </c>
      <c r="H3435" s="20">
        <f>Разбивка_по_щитам!K3440</f>
      </c>
      <c r="I3435" s="20">
        <f>Разбивка_по_щитам!L3440</f>
      </c>
      <c r="J3435" s="20">
        <f>Разбивка_по_щитам!M3440</f>
      </c>
      <c r="K3435" s="20">
        <f>Разбивка_по_щитам!N3440</f>
      </c>
      <c r="L3435" s="20"/>
      <c r="M3435" s="20">
        <f>Разбивка_по_щитам!P3440</f>
      </c>
      <c r="N3435" s="20"/>
    </row>
    <row r="3436" spans="2:14" x14ac:dyDescent="0.25">
      <c r="B3436" s="20">
        <f>Разбивка_по_щитам!B3441</f>
      </c>
      <c r="C3436" s="20">
        <f>Разбивка_по_щитам!C3441</f>
      </c>
      <c r="D3436" s="20">
        <f>Разбивка_по_щитам!F3441</f>
      </c>
      <c r="E3436" s="20">
        <f>Разбивка_по_щитам!H3441</f>
      </c>
      <c r="F3436" s="20">
        <f>Разбивка_по_щитам!I3441</f>
      </c>
      <c r="G3436" s="20">
        <f>Разбивка_по_щитам!J3441</f>
      </c>
      <c r="H3436" s="20">
        <f>Разбивка_по_щитам!K3441</f>
      </c>
      <c r="I3436" s="20">
        <f>Разбивка_по_щитам!L3441</f>
      </c>
      <c r="J3436" s="20">
        <f>Разбивка_по_щитам!M3441</f>
      </c>
      <c r="K3436" s="20">
        <f>Разбивка_по_щитам!N3441</f>
      </c>
      <c r="L3436" s="20"/>
      <c r="M3436" s="20">
        <f>Разбивка_по_щитам!P3441</f>
      </c>
      <c r="N3436" s="20"/>
    </row>
    <row r="3437" spans="2:14" x14ac:dyDescent="0.25">
      <c r="B3437" s="20">
        <f>Разбивка_по_щитам!B3442</f>
      </c>
      <c r="C3437" s="20">
        <f>Разбивка_по_щитам!C3442</f>
      </c>
      <c r="D3437" s="20">
        <f>Разбивка_по_щитам!F3442</f>
      </c>
      <c r="E3437" s="20">
        <f>Разбивка_по_щитам!H3442</f>
      </c>
      <c r="F3437" s="20">
        <f>Разбивка_по_щитам!I3442</f>
      </c>
      <c r="G3437" s="20">
        <f>Разбивка_по_щитам!J3442</f>
      </c>
      <c r="H3437" s="20">
        <f>Разбивка_по_щитам!K3442</f>
      </c>
      <c r="I3437" s="20">
        <f>Разбивка_по_щитам!L3442</f>
      </c>
      <c r="J3437" s="20">
        <f>Разбивка_по_щитам!M3442</f>
      </c>
      <c r="K3437" s="20">
        <f>Разбивка_по_щитам!N3442</f>
      </c>
      <c r="L3437" s="20"/>
      <c r="M3437" s="20">
        <f>Разбивка_по_щитам!P3442</f>
      </c>
      <c r="N3437" s="20"/>
    </row>
    <row r="3438" spans="2:14" x14ac:dyDescent="0.25">
      <c r="B3438" s="20">
        <f>Разбивка_по_щитам!B3443</f>
      </c>
      <c r="C3438" s="20">
        <f>Разбивка_по_щитам!C3443</f>
      </c>
      <c r="D3438" s="20">
        <f>Разбивка_по_щитам!F3443</f>
      </c>
      <c r="E3438" s="20">
        <f>Разбивка_по_щитам!H3443</f>
      </c>
      <c r="F3438" s="20">
        <f>Разбивка_по_щитам!I3443</f>
      </c>
      <c r="G3438" s="20">
        <f>Разбивка_по_щитам!J3443</f>
      </c>
      <c r="H3438" s="20">
        <f>Разбивка_по_щитам!K3443</f>
      </c>
      <c r="I3438" s="20">
        <f>Разбивка_по_щитам!L3443</f>
      </c>
      <c r="J3438" s="20">
        <f>Разбивка_по_щитам!M3443</f>
      </c>
      <c r="K3438" s="20">
        <f>Разбивка_по_щитам!N3443</f>
      </c>
      <c r="L3438" s="20"/>
      <c r="M3438" s="20">
        <f>Разбивка_по_щитам!P3443</f>
      </c>
      <c r="N3438" s="20"/>
    </row>
    <row r="3439" spans="2:14" x14ac:dyDescent="0.25">
      <c r="B3439" s="20">
        <f>Разбивка_по_щитам!B3444</f>
      </c>
      <c r="C3439" s="20">
        <f>Разбивка_по_щитам!C3444</f>
      </c>
      <c r="D3439" s="20">
        <f>Разбивка_по_щитам!F3444</f>
      </c>
      <c r="E3439" s="20">
        <f>Разбивка_по_щитам!H3444</f>
      </c>
      <c r="F3439" s="20">
        <f>Разбивка_по_щитам!I3444</f>
      </c>
      <c r="G3439" s="20">
        <f>Разбивка_по_щитам!J3444</f>
      </c>
      <c r="H3439" s="20">
        <f>Разбивка_по_щитам!K3444</f>
      </c>
      <c r="I3439" s="20">
        <f>Разбивка_по_щитам!L3444</f>
      </c>
      <c r="J3439" s="20">
        <f>Разбивка_по_щитам!M3444</f>
      </c>
      <c r="K3439" s="20">
        <f>Разбивка_по_щитам!N3444</f>
      </c>
      <c r="L3439" s="20"/>
      <c r="M3439" s="20">
        <f>Разбивка_по_щитам!P3444</f>
      </c>
      <c r="N3439" s="20"/>
    </row>
    <row r="3440" spans="2:14" x14ac:dyDescent="0.25">
      <c r="B3440" s="20">
        <f>Разбивка_по_щитам!B3445</f>
      </c>
      <c r="C3440" s="20">
        <f>Разбивка_по_щитам!C3445</f>
      </c>
      <c r="D3440" s="20">
        <f>Разбивка_по_щитам!F3445</f>
      </c>
      <c r="E3440" s="20">
        <f>Разбивка_по_щитам!H3445</f>
      </c>
      <c r="F3440" s="20">
        <f>Разбивка_по_щитам!I3445</f>
      </c>
      <c r="G3440" s="20">
        <f>Разбивка_по_щитам!J3445</f>
      </c>
      <c r="H3440" s="20">
        <f>Разбивка_по_щитам!K3445</f>
      </c>
      <c r="I3440" s="20">
        <f>Разбивка_по_щитам!L3445</f>
      </c>
      <c r="J3440" s="20">
        <f>Разбивка_по_щитам!M3445</f>
      </c>
      <c r="K3440" s="20">
        <f>Разбивка_по_щитам!N3445</f>
      </c>
      <c r="L3440" s="20"/>
      <c r="M3440" s="20">
        <f>Разбивка_по_щитам!P3445</f>
      </c>
      <c r="N3440" s="20"/>
    </row>
    <row r="3441" spans="2:14" x14ac:dyDescent="0.25">
      <c r="B3441" s="20">
        <f>Разбивка_по_щитам!B3446</f>
      </c>
      <c r="C3441" s="20">
        <f>Разбивка_по_щитам!C3446</f>
      </c>
      <c r="D3441" s="20">
        <f>Разбивка_по_щитам!F3446</f>
      </c>
      <c r="E3441" s="20">
        <f>Разбивка_по_щитам!H3446</f>
      </c>
      <c r="F3441" s="20">
        <f>Разбивка_по_щитам!I3446</f>
      </c>
      <c r="G3441" s="20">
        <f>Разбивка_по_щитам!J3446</f>
      </c>
      <c r="H3441" s="20">
        <f>Разбивка_по_щитам!K3446</f>
      </c>
      <c r="I3441" s="20">
        <f>Разбивка_по_щитам!L3446</f>
      </c>
      <c r="J3441" s="20">
        <f>Разбивка_по_щитам!M3446</f>
      </c>
      <c r="K3441" s="20">
        <f>Разбивка_по_щитам!N3446</f>
      </c>
      <c r="L3441" s="20"/>
      <c r="M3441" s="20">
        <f>Разбивка_по_щитам!P3446</f>
      </c>
      <c r="N3441" s="20"/>
    </row>
    <row r="3442" spans="2:14" x14ac:dyDescent="0.25">
      <c r="B3442" s="20">
        <f>Разбивка_по_щитам!B3447</f>
      </c>
      <c r="C3442" s="20">
        <f>Разбивка_по_щитам!C3447</f>
      </c>
      <c r="D3442" s="20">
        <f>Разбивка_по_щитам!F3447</f>
      </c>
      <c r="E3442" s="20">
        <f>Разбивка_по_щитам!H3447</f>
      </c>
      <c r="F3442" s="20">
        <f>Разбивка_по_щитам!I3447</f>
      </c>
      <c r="G3442" s="20">
        <f>Разбивка_по_щитам!J3447</f>
      </c>
      <c r="H3442" s="20">
        <f>Разбивка_по_щитам!K3447</f>
      </c>
      <c r="I3442" s="20">
        <f>Разбивка_по_щитам!L3447</f>
      </c>
      <c r="J3442" s="20">
        <f>Разбивка_по_щитам!M3447</f>
      </c>
      <c r="K3442" s="20">
        <f>Разбивка_по_щитам!N3447</f>
      </c>
      <c r="L3442" s="20"/>
      <c r="M3442" s="20">
        <f>Разбивка_по_щитам!P3447</f>
      </c>
      <c r="N3442" s="20"/>
    </row>
    <row r="3443" spans="2:14" x14ac:dyDescent="0.25">
      <c r="B3443" s="20">
        <f>Разбивка_по_щитам!B3448</f>
      </c>
      <c r="C3443" s="20">
        <f>Разбивка_по_щитам!C3448</f>
      </c>
      <c r="D3443" s="20">
        <f>Разбивка_по_щитам!F3448</f>
      </c>
      <c r="E3443" s="20">
        <f>Разбивка_по_щитам!H3448</f>
      </c>
      <c r="F3443" s="20">
        <f>Разбивка_по_щитам!I3448</f>
      </c>
      <c r="G3443" s="20">
        <f>Разбивка_по_щитам!J3448</f>
      </c>
      <c r="H3443" s="20">
        <f>Разбивка_по_щитам!K3448</f>
      </c>
      <c r="I3443" s="20">
        <f>Разбивка_по_щитам!L3448</f>
      </c>
      <c r="J3443" s="20">
        <f>Разбивка_по_щитам!M3448</f>
      </c>
      <c r="K3443" s="20">
        <f>Разбивка_по_щитам!N3448</f>
      </c>
      <c r="L3443" s="20"/>
      <c r="M3443" s="20">
        <f>Разбивка_по_щитам!P3448</f>
      </c>
      <c r="N3443" s="20"/>
    </row>
    <row r="3444" spans="2:14" x14ac:dyDescent="0.25">
      <c r="B3444" s="20">
        <f>Разбивка_по_щитам!B3449</f>
      </c>
      <c r="C3444" s="20">
        <f>Разбивка_по_щитам!C3449</f>
      </c>
      <c r="D3444" s="20">
        <f>Разбивка_по_щитам!F3449</f>
      </c>
      <c r="E3444" s="20">
        <f>Разбивка_по_щитам!H3449</f>
      </c>
      <c r="F3444" s="20">
        <f>Разбивка_по_щитам!I3449</f>
      </c>
      <c r="G3444" s="20">
        <f>Разбивка_по_щитам!J3449</f>
      </c>
      <c r="H3444" s="20">
        <f>Разбивка_по_щитам!K3449</f>
      </c>
      <c r="I3444" s="20">
        <f>Разбивка_по_щитам!L3449</f>
      </c>
      <c r="J3444" s="20">
        <f>Разбивка_по_щитам!M3449</f>
      </c>
      <c r="K3444" s="20">
        <f>Разбивка_по_щитам!N3449</f>
      </c>
      <c r="L3444" s="20"/>
      <c r="M3444" s="20">
        <f>Разбивка_по_щитам!P3449</f>
      </c>
      <c r="N3444" s="20"/>
    </row>
    <row r="3445" spans="2:14" x14ac:dyDescent="0.25">
      <c r="B3445" s="20">
        <f>Разбивка_по_щитам!B3450</f>
      </c>
      <c r="C3445" s="20">
        <f>Разбивка_по_щитам!C3450</f>
      </c>
      <c r="D3445" s="20">
        <f>Разбивка_по_щитам!F3450</f>
      </c>
      <c r="E3445" s="20">
        <f>Разбивка_по_щитам!H3450</f>
      </c>
      <c r="F3445" s="20">
        <f>Разбивка_по_щитам!I3450</f>
      </c>
      <c r="G3445" s="20">
        <f>Разбивка_по_щитам!J3450</f>
      </c>
      <c r="H3445" s="20">
        <f>Разбивка_по_щитам!K3450</f>
      </c>
      <c r="I3445" s="20">
        <f>Разбивка_по_щитам!L3450</f>
      </c>
      <c r="J3445" s="20">
        <f>Разбивка_по_щитам!M3450</f>
      </c>
      <c r="K3445" s="20">
        <f>Разбивка_по_щитам!N3450</f>
      </c>
      <c r="L3445" s="20"/>
      <c r="M3445" s="20">
        <f>Разбивка_по_щитам!P3450</f>
      </c>
      <c r="N3445" s="20"/>
    </row>
    <row r="3446" spans="2:14" x14ac:dyDescent="0.25">
      <c r="B3446" s="20">
        <f>Разбивка_по_щитам!B3451</f>
      </c>
      <c r="C3446" s="20">
        <f>Разбивка_по_щитам!C3451</f>
      </c>
      <c r="D3446" s="20">
        <f>Разбивка_по_щитам!F3451</f>
      </c>
      <c r="E3446" s="20">
        <f>Разбивка_по_щитам!H3451</f>
      </c>
      <c r="F3446" s="20">
        <f>Разбивка_по_щитам!I3451</f>
      </c>
      <c r="G3446" s="20">
        <f>Разбивка_по_щитам!J3451</f>
      </c>
      <c r="H3446" s="20">
        <f>Разбивка_по_щитам!K3451</f>
      </c>
      <c r="I3446" s="20">
        <f>Разбивка_по_щитам!L3451</f>
      </c>
      <c r="J3446" s="20">
        <f>Разбивка_по_щитам!M3451</f>
      </c>
      <c r="K3446" s="20">
        <f>Разбивка_по_щитам!N3451</f>
      </c>
      <c r="L3446" s="20"/>
      <c r="M3446" s="20">
        <f>Разбивка_по_щитам!P3451</f>
      </c>
      <c r="N3446" s="20"/>
    </row>
    <row r="3447" spans="2:14" x14ac:dyDescent="0.25">
      <c r="B3447" s="20">
        <f>Разбивка_по_щитам!B3452</f>
      </c>
      <c r="C3447" s="20">
        <f>Разбивка_по_щитам!C3452</f>
      </c>
      <c r="D3447" s="20">
        <f>Разбивка_по_щитам!F3452</f>
      </c>
      <c r="E3447" s="20">
        <f>Разбивка_по_щитам!H3452</f>
      </c>
      <c r="F3447" s="20">
        <f>Разбивка_по_щитам!I3452</f>
      </c>
      <c r="G3447" s="20">
        <f>Разбивка_по_щитам!J3452</f>
      </c>
      <c r="H3447" s="20">
        <f>Разбивка_по_щитам!K3452</f>
      </c>
      <c r="I3447" s="20">
        <f>Разбивка_по_щитам!L3452</f>
      </c>
      <c r="J3447" s="20">
        <f>Разбивка_по_щитам!M3452</f>
      </c>
      <c r="K3447" s="20">
        <f>Разбивка_по_щитам!N3452</f>
      </c>
      <c r="L3447" s="20"/>
      <c r="M3447" s="20">
        <f>Разбивка_по_щитам!P3452</f>
      </c>
      <c r="N3447" s="20"/>
    </row>
    <row r="3448" spans="2:14" x14ac:dyDescent="0.25">
      <c r="B3448" s="20">
        <f>Разбивка_по_щитам!B3453</f>
      </c>
      <c r="C3448" s="20">
        <f>Разбивка_по_щитам!C3453</f>
      </c>
      <c r="D3448" s="20">
        <f>Разбивка_по_щитам!F3453</f>
      </c>
      <c r="E3448" s="20">
        <f>Разбивка_по_щитам!H3453</f>
      </c>
      <c r="F3448" s="20">
        <f>Разбивка_по_щитам!I3453</f>
      </c>
      <c r="G3448" s="20">
        <f>Разбивка_по_щитам!J3453</f>
      </c>
      <c r="H3448" s="20">
        <f>Разбивка_по_щитам!K3453</f>
      </c>
      <c r="I3448" s="20">
        <f>Разбивка_по_щитам!L3453</f>
      </c>
      <c r="J3448" s="20">
        <f>Разбивка_по_щитам!M3453</f>
      </c>
      <c r="K3448" s="20">
        <f>Разбивка_по_щитам!N3453</f>
      </c>
      <c r="L3448" s="20"/>
      <c r="M3448" s="20">
        <f>Разбивка_по_щитам!P3453</f>
      </c>
      <c r="N3448" s="20"/>
    </row>
    <row r="3449" spans="2:14" x14ac:dyDescent="0.25">
      <c r="B3449" s="20">
        <f>Разбивка_по_щитам!B3454</f>
      </c>
      <c r="C3449" s="20">
        <f>Разбивка_по_щитам!C3454</f>
      </c>
      <c r="D3449" s="20">
        <f>Разбивка_по_щитам!F3454</f>
      </c>
      <c r="E3449" s="20">
        <f>Разбивка_по_щитам!H3454</f>
      </c>
      <c r="F3449" s="20">
        <f>Разбивка_по_щитам!I3454</f>
      </c>
      <c r="G3449" s="20">
        <f>Разбивка_по_щитам!J3454</f>
      </c>
      <c r="H3449" s="20">
        <f>Разбивка_по_щитам!K3454</f>
      </c>
      <c r="I3449" s="20">
        <f>Разбивка_по_щитам!L3454</f>
      </c>
      <c r="J3449" s="20">
        <f>Разбивка_по_щитам!M3454</f>
      </c>
      <c r="K3449" s="20">
        <f>Разбивка_по_щитам!N3454</f>
      </c>
      <c r="L3449" s="20"/>
      <c r="M3449" s="20">
        <f>Разбивка_по_щитам!P3454</f>
      </c>
      <c r="N3449" s="20"/>
    </row>
    <row r="3450" spans="2:14" x14ac:dyDescent="0.25">
      <c r="B3450" s="20">
        <f>Разбивка_по_щитам!B3455</f>
      </c>
      <c r="C3450" s="20">
        <f>Разбивка_по_щитам!C3455</f>
      </c>
      <c r="D3450" s="20">
        <f>Разбивка_по_щитам!F3455</f>
      </c>
      <c r="E3450" s="20">
        <f>Разбивка_по_щитам!H3455</f>
      </c>
      <c r="F3450" s="20">
        <f>Разбивка_по_щитам!I3455</f>
      </c>
      <c r="G3450" s="20">
        <f>Разбивка_по_щитам!J3455</f>
      </c>
      <c r="H3450" s="20">
        <f>Разбивка_по_щитам!K3455</f>
      </c>
      <c r="I3450" s="20">
        <f>Разбивка_по_щитам!L3455</f>
      </c>
      <c r="J3450" s="20">
        <f>Разбивка_по_щитам!M3455</f>
      </c>
      <c r="K3450" s="20">
        <f>Разбивка_по_щитам!N3455</f>
      </c>
      <c r="L3450" s="20"/>
      <c r="M3450" s="20">
        <f>Разбивка_по_щитам!P3455</f>
      </c>
      <c r="N3450" s="20"/>
    </row>
    <row r="3451" spans="2:14" x14ac:dyDescent="0.25">
      <c r="B3451" s="20">
        <f>Разбивка_по_щитам!B3456</f>
      </c>
      <c r="C3451" s="20">
        <f>Разбивка_по_щитам!C3456</f>
      </c>
      <c r="D3451" s="20">
        <f>Разбивка_по_щитам!F3456</f>
      </c>
      <c r="E3451" s="20">
        <f>Разбивка_по_щитам!H3456</f>
      </c>
      <c r="F3451" s="20">
        <f>Разбивка_по_щитам!I3456</f>
      </c>
      <c r="G3451" s="20">
        <f>Разбивка_по_щитам!J3456</f>
      </c>
      <c r="H3451" s="20">
        <f>Разбивка_по_щитам!K3456</f>
      </c>
      <c r="I3451" s="20">
        <f>Разбивка_по_щитам!L3456</f>
      </c>
      <c r="J3451" s="20">
        <f>Разбивка_по_щитам!M3456</f>
      </c>
      <c r="K3451" s="20">
        <f>Разбивка_по_щитам!N3456</f>
      </c>
      <c r="L3451" s="20"/>
      <c r="M3451" s="20">
        <f>Разбивка_по_щитам!P3456</f>
      </c>
      <c r="N3451" s="20"/>
    </row>
    <row r="3452" spans="2:14" x14ac:dyDescent="0.25">
      <c r="B3452" s="20">
        <f>Разбивка_по_щитам!B3457</f>
      </c>
      <c r="C3452" s="20">
        <f>Разбивка_по_щитам!C3457</f>
      </c>
      <c r="D3452" s="20">
        <f>Разбивка_по_щитам!F3457</f>
      </c>
      <c r="E3452" s="20">
        <f>Разбивка_по_щитам!H3457</f>
      </c>
      <c r="F3452" s="20">
        <f>Разбивка_по_щитам!I3457</f>
      </c>
      <c r="G3452" s="20">
        <f>Разбивка_по_щитам!J3457</f>
      </c>
      <c r="H3452" s="20">
        <f>Разбивка_по_щитам!K3457</f>
      </c>
      <c r="I3452" s="20">
        <f>Разбивка_по_щитам!L3457</f>
      </c>
      <c r="J3452" s="20">
        <f>Разбивка_по_щитам!M3457</f>
      </c>
      <c r="K3452" s="20">
        <f>Разбивка_по_щитам!N3457</f>
      </c>
      <c r="L3452" s="20"/>
      <c r="M3452" s="20">
        <f>Разбивка_по_щитам!P3457</f>
      </c>
      <c r="N3452" s="20"/>
    </row>
    <row r="3453" spans="2:14" x14ac:dyDescent="0.25">
      <c r="B3453" s="20">
        <f>Разбивка_по_щитам!B3458</f>
      </c>
      <c r="C3453" s="20">
        <f>Разбивка_по_щитам!C3458</f>
      </c>
      <c r="D3453" s="20">
        <f>Разбивка_по_щитам!F3458</f>
      </c>
      <c r="E3453" s="20">
        <f>Разбивка_по_щитам!H3458</f>
      </c>
      <c r="F3453" s="20">
        <f>Разбивка_по_щитам!I3458</f>
      </c>
      <c r="G3453" s="20">
        <f>Разбивка_по_щитам!J3458</f>
      </c>
      <c r="H3453" s="20">
        <f>Разбивка_по_щитам!K3458</f>
      </c>
      <c r="I3453" s="20">
        <f>Разбивка_по_щитам!L3458</f>
      </c>
      <c r="J3453" s="20">
        <f>Разбивка_по_щитам!M3458</f>
      </c>
      <c r="K3453" s="20">
        <f>Разбивка_по_щитам!N3458</f>
      </c>
      <c r="L3453" s="20"/>
      <c r="M3453" s="20">
        <f>Разбивка_по_щитам!P3458</f>
      </c>
      <c r="N3453" s="20"/>
    </row>
    <row r="3454" spans="2:14" x14ac:dyDescent="0.25">
      <c r="B3454" s="20">
        <f>Разбивка_по_щитам!B3459</f>
      </c>
      <c r="C3454" s="20">
        <f>Разбивка_по_щитам!C3459</f>
      </c>
      <c r="D3454" s="20">
        <f>Разбивка_по_щитам!F3459</f>
      </c>
      <c r="E3454" s="20">
        <f>Разбивка_по_щитам!H3459</f>
      </c>
      <c r="F3454" s="20">
        <f>Разбивка_по_щитам!I3459</f>
      </c>
      <c r="G3454" s="20">
        <f>Разбивка_по_щитам!J3459</f>
      </c>
      <c r="H3454" s="20">
        <f>Разбивка_по_щитам!K3459</f>
      </c>
      <c r="I3454" s="20">
        <f>Разбивка_по_щитам!L3459</f>
      </c>
      <c r="J3454" s="20">
        <f>Разбивка_по_щитам!M3459</f>
      </c>
      <c r="K3454" s="20">
        <f>Разбивка_по_щитам!N3459</f>
      </c>
      <c r="L3454" s="20"/>
      <c r="M3454" s="20">
        <f>Разбивка_по_щитам!P3459</f>
      </c>
      <c r="N3454" s="20"/>
    </row>
    <row r="3455" spans="2:14" x14ac:dyDescent="0.25">
      <c r="B3455" s="20">
        <f>Разбивка_по_щитам!B3460</f>
      </c>
      <c r="C3455" s="20">
        <f>Разбивка_по_щитам!C3460</f>
      </c>
      <c r="D3455" s="20">
        <f>Разбивка_по_щитам!F3460</f>
      </c>
      <c r="E3455" s="20">
        <f>Разбивка_по_щитам!H3460</f>
      </c>
      <c r="F3455" s="20">
        <f>Разбивка_по_щитам!I3460</f>
      </c>
      <c r="G3455" s="20">
        <f>Разбивка_по_щитам!J3460</f>
      </c>
      <c r="H3455" s="20">
        <f>Разбивка_по_щитам!K3460</f>
      </c>
      <c r="I3455" s="20">
        <f>Разбивка_по_щитам!L3460</f>
      </c>
      <c r="J3455" s="20">
        <f>Разбивка_по_щитам!M3460</f>
      </c>
      <c r="K3455" s="20">
        <f>Разбивка_по_щитам!N3460</f>
      </c>
      <c r="L3455" s="20"/>
      <c r="M3455" s="20">
        <f>Разбивка_по_щитам!P3460</f>
      </c>
      <c r="N3455" s="20"/>
    </row>
    <row r="3456" spans="2:14" x14ac:dyDescent="0.25">
      <c r="B3456" s="20">
        <f>Разбивка_по_щитам!B3461</f>
      </c>
      <c r="C3456" s="20">
        <f>Разбивка_по_щитам!C3461</f>
      </c>
      <c r="D3456" s="20">
        <f>Разбивка_по_щитам!F3461</f>
      </c>
      <c r="E3456" s="20">
        <f>Разбивка_по_щитам!H3461</f>
      </c>
      <c r="F3456" s="20">
        <f>Разбивка_по_щитам!I3461</f>
      </c>
      <c r="G3456" s="20">
        <f>Разбивка_по_щитам!J3461</f>
      </c>
      <c r="H3456" s="20">
        <f>Разбивка_по_щитам!K3461</f>
      </c>
      <c r="I3456" s="20">
        <f>Разбивка_по_щитам!L3461</f>
      </c>
      <c r="J3456" s="20">
        <f>Разбивка_по_щитам!M3461</f>
      </c>
      <c r="K3456" s="20">
        <f>Разбивка_по_щитам!N3461</f>
      </c>
      <c r="L3456" s="20"/>
      <c r="M3456" s="20">
        <f>Разбивка_по_щитам!P3461</f>
      </c>
      <c r="N3456" s="20"/>
    </row>
    <row r="3457" spans="2:14" x14ac:dyDescent="0.25">
      <c r="B3457" s="20">
        <f>Разбивка_по_щитам!B3462</f>
      </c>
      <c r="C3457" s="20">
        <f>Разбивка_по_щитам!C3462</f>
      </c>
      <c r="D3457" s="20">
        <f>Разбивка_по_щитам!F3462</f>
      </c>
      <c r="E3457" s="20">
        <f>Разбивка_по_щитам!H3462</f>
      </c>
      <c r="F3457" s="20">
        <f>Разбивка_по_щитам!I3462</f>
      </c>
      <c r="G3457" s="20">
        <f>Разбивка_по_щитам!J3462</f>
      </c>
      <c r="H3457" s="20">
        <f>Разбивка_по_щитам!K3462</f>
      </c>
      <c r="I3457" s="20">
        <f>Разбивка_по_щитам!L3462</f>
      </c>
      <c r="J3457" s="20">
        <f>Разбивка_по_щитам!M3462</f>
      </c>
      <c r="K3457" s="20">
        <f>Разбивка_по_щитам!N3462</f>
      </c>
      <c r="L3457" s="20"/>
      <c r="M3457" s="20">
        <f>Разбивка_по_щитам!P3462</f>
      </c>
      <c r="N3457" s="20"/>
    </row>
    <row r="3458" spans="2:14" x14ac:dyDescent="0.25">
      <c r="B3458" s="20">
        <f>Разбивка_по_щитам!B3463</f>
      </c>
      <c r="C3458" s="20">
        <f>Разбивка_по_щитам!C3463</f>
      </c>
      <c r="D3458" s="20">
        <f>Разбивка_по_щитам!F3463</f>
      </c>
      <c r="E3458" s="20">
        <f>Разбивка_по_щитам!H3463</f>
      </c>
      <c r="F3458" s="20">
        <f>Разбивка_по_щитам!I3463</f>
      </c>
      <c r="G3458" s="20">
        <f>Разбивка_по_щитам!J3463</f>
      </c>
      <c r="H3458" s="20">
        <f>Разбивка_по_щитам!K3463</f>
      </c>
      <c r="I3458" s="20">
        <f>Разбивка_по_щитам!L3463</f>
      </c>
      <c r="J3458" s="20">
        <f>Разбивка_по_щитам!M3463</f>
      </c>
      <c r="K3458" s="20">
        <f>Разбивка_по_щитам!N3463</f>
      </c>
      <c r="L3458" s="20"/>
      <c r="M3458" s="20">
        <f>Разбивка_по_щитам!P3463</f>
      </c>
      <c r="N3458" s="20"/>
    </row>
    <row r="3459" spans="2:14" x14ac:dyDescent="0.25">
      <c r="B3459" s="20">
        <f>Разбивка_по_щитам!B3464</f>
      </c>
      <c r="C3459" s="20">
        <f>Разбивка_по_щитам!C3464</f>
      </c>
      <c r="D3459" s="20">
        <f>Разбивка_по_щитам!F3464</f>
      </c>
      <c r="E3459" s="20">
        <f>Разбивка_по_щитам!H3464</f>
      </c>
      <c r="F3459" s="20">
        <f>Разбивка_по_щитам!I3464</f>
      </c>
      <c r="G3459" s="20">
        <f>Разбивка_по_щитам!J3464</f>
      </c>
      <c r="H3459" s="20">
        <f>Разбивка_по_щитам!K3464</f>
      </c>
      <c r="I3459" s="20">
        <f>Разбивка_по_щитам!L3464</f>
      </c>
      <c r="J3459" s="20">
        <f>Разбивка_по_щитам!M3464</f>
      </c>
      <c r="K3459" s="20">
        <f>Разбивка_по_щитам!N3464</f>
      </c>
      <c r="L3459" s="20"/>
      <c r="M3459" s="20">
        <f>Разбивка_по_щитам!P3464</f>
      </c>
      <c r="N3459" s="20"/>
    </row>
    <row r="3460" spans="2:14" x14ac:dyDescent="0.25">
      <c r="B3460" s="20">
        <f>Разбивка_по_щитам!B3465</f>
      </c>
      <c r="C3460" s="20">
        <f>Разбивка_по_щитам!C3465</f>
      </c>
      <c r="D3460" s="20">
        <f>Разбивка_по_щитам!F3465</f>
      </c>
      <c r="E3460" s="20">
        <f>Разбивка_по_щитам!H3465</f>
      </c>
      <c r="F3460" s="20">
        <f>Разбивка_по_щитам!I3465</f>
      </c>
      <c r="G3460" s="20">
        <f>Разбивка_по_щитам!J3465</f>
      </c>
      <c r="H3460" s="20">
        <f>Разбивка_по_щитам!K3465</f>
      </c>
      <c r="I3460" s="20">
        <f>Разбивка_по_щитам!L3465</f>
      </c>
      <c r="J3460" s="20">
        <f>Разбивка_по_щитам!M3465</f>
      </c>
      <c r="K3460" s="20">
        <f>Разбивка_по_щитам!N3465</f>
      </c>
      <c r="L3460" s="20"/>
      <c r="M3460" s="20">
        <f>Разбивка_по_щитам!P3465</f>
      </c>
      <c r="N3460" s="20"/>
    </row>
    <row r="3461" spans="2:14" x14ac:dyDescent="0.25">
      <c r="B3461" s="20">
        <f>Разбивка_по_щитам!B3466</f>
      </c>
      <c r="C3461" s="20">
        <f>Разбивка_по_щитам!C3466</f>
      </c>
      <c r="D3461" s="20">
        <f>Разбивка_по_щитам!F3466</f>
      </c>
      <c r="E3461" s="20">
        <f>Разбивка_по_щитам!H3466</f>
      </c>
      <c r="F3461" s="20">
        <f>Разбивка_по_щитам!I3466</f>
      </c>
      <c r="G3461" s="20">
        <f>Разбивка_по_щитам!J3466</f>
      </c>
      <c r="H3461" s="20">
        <f>Разбивка_по_щитам!K3466</f>
      </c>
      <c r="I3461" s="20">
        <f>Разбивка_по_щитам!L3466</f>
      </c>
      <c r="J3461" s="20">
        <f>Разбивка_по_щитам!M3466</f>
      </c>
      <c r="K3461" s="20">
        <f>Разбивка_по_щитам!N3466</f>
      </c>
      <c r="L3461" s="20"/>
      <c r="M3461" s="20">
        <f>Разбивка_по_щитам!P3466</f>
      </c>
      <c r="N3461" s="20"/>
    </row>
    <row r="3462" spans="2:14" x14ac:dyDescent="0.25">
      <c r="B3462" s="20">
        <f>Разбивка_по_щитам!B3467</f>
      </c>
      <c r="C3462" s="20">
        <f>Разбивка_по_щитам!C3467</f>
      </c>
      <c r="D3462" s="20">
        <f>Разбивка_по_щитам!F3467</f>
      </c>
      <c r="E3462" s="20">
        <f>Разбивка_по_щитам!H3467</f>
      </c>
      <c r="F3462" s="20">
        <f>Разбивка_по_щитам!I3467</f>
      </c>
      <c r="G3462" s="20">
        <f>Разбивка_по_щитам!J3467</f>
      </c>
      <c r="H3462" s="20">
        <f>Разбивка_по_щитам!K3467</f>
      </c>
      <c r="I3462" s="20">
        <f>Разбивка_по_щитам!L3467</f>
      </c>
      <c r="J3462" s="20">
        <f>Разбивка_по_щитам!M3467</f>
      </c>
      <c r="K3462" s="20">
        <f>Разбивка_по_щитам!N3467</f>
      </c>
      <c r="L3462" s="20"/>
      <c r="M3462" s="20">
        <f>Разбивка_по_щитам!P3467</f>
      </c>
      <c r="N3462" s="20"/>
    </row>
    <row r="3463" spans="2:14" x14ac:dyDescent="0.25">
      <c r="B3463" s="20">
        <f>Разбивка_по_щитам!B3468</f>
      </c>
      <c r="C3463" s="20">
        <f>Разбивка_по_щитам!C3468</f>
      </c>
      <c r="D3463" s="20">
        <f>Разбивка_по_щитам!F3468</f>
      </c>
      <c r="E3463" s="20">
        <f>Разбивка_по_щитам!H3468</f>
      </c>
      <c r="F3463" s="20">
        <f>Разбивка_по_щитам!I3468</f>
      </c>
      <c r="G3463" s="20">
        <f>Разбивка_по_щитам!J3468</f>
      </c>
      <c r="H3463" s="20">
        <f>Разбивка_по_щитам!K3468</f>
      </c>
      <c r="I3463" s="20">
        <f>Разбивка_по_щитам!L3468</f>
      </c>
      <c r="J3463" s="20">
        <f>Разбивка_по_щитам!M3468</f>
      </c>
      <c r="K3463" s="20">
        <f>Разбивка_по_щитам!N3468</f>
      </c>
      <c r="L3463" s="20"/>
      <c r="M3463" s="20">
        <f>Разбивка_по_щитам!P3468</f>
      </c>
      <c r="N3463" s="20"/>
    </row>
    <row r="3464" spans="2:14" x14ac:dyDescent="0.25">
      <c r="B3464" s="20">
        <f>Разбивка_по_щитам!B3469</f>
      </c>
      <c r="C3464" s="20">
        <f>Разбивка_по_щитам!C3469</f>
      </c>
      <c r="D3464" s="20">
        <f>Разбивка_по_щитам!F3469</f>
      </c>
      <c r="E3464" s="20">
        <f>Разбивка_по_щитам!H3469</f>
      </c>
      <c r="F3464" s="20">
        <f>Разбивка_по_щитам!I3469</f>
      </c>
      <c r="G3464" s="20">
        <f>Разбивка_по_щитам!J3469</f>
      </c>
      <c r="H3464" s="20">
        <f>Разбивка_по_щитам!K3469</f>
      </c>
      <c r="I3464" s="20">
        <f>Разбивка_по_щитам!L3469</f>
      </c>
      <c r="J3464" s="20">
        <f>Разбивка_по_щитам!M3469</f>
      </c>
      <c r="K3464" s="20">
        <f>Разбивка_по_щитам!N3469</f>
      </c>
      <c r="L3464" s="20"/>
      <c r="M3464" s="20">
        <f>Разбивка_по_щитам!P3469</f>
      </c>
      <c r="N3464" s="20"/>
    </row>
    <row r="3465" spans="2:14" x14ac:dyDescent="0.25">
      <c r="B3465" s="20">
        <f>Разбивка_по_щитам!B3470</f>
      </c>
      <c r="C3465" s="20">
        <f>Разбивка_по_щитам!C3470</f>
      </c>
      <c r="D3465" s="20">
        <f>Разбивка_по_щитам!F3470</f>
      </c>
      <c r="E3465" s="20">
        <f>Разбивка_по_щитам!H3470</f>
      </c>
      <c r="F3465" s="20">
        <f>Разбивка_по_щитам!I3470</f>
      </c>
      <c r="G3465" s="20">
        <f>Разбивка_по_щитам!J3470</f>
      </c>
      <c r="H3465" s="20">
        <f>Разбивка_по_щитам!K3470</f>
      </c>
      <c r="I3465" s="20">
        <f>Разбивка_по_щитам!L3470</f>
      </c>
      <c r="J3465" s="20">
        <f>Разбивка_по_щитам!M3470</f>
      </c>
      <c r="K3465" s="20">
        <f>Разбивка_по_щитам!N3470</f>
      </c>
      <c r="L3465" s="20"/>
      <c r="M3465" s="20">
        <f>Разбивка_по_щитам!P3470</f>
      </c>
      <c r="N3465" s="20"/>
    </row>
    <row r="3466" spans="2:14" x14ac:dyDescent="0.25">
      <c r="B3466" s="20">
        <f>Разбивка_по_щитам!B3471</f>
      </c>
      <c r="C3466" s="20">
        <f>Разбивка_по_щитам!C3471</f>
      </c>
      <c r="D3466" s="20">
        <f>Разбивка_по_щитам!F3471</f>
      </c>
      <c r="E3466" s="20">
        <f>Разбивка_по_щитам!H3471</f>
      </c>
      <c r="F3466" s="20">
        <f>Разбивка_по_щитам!I3471</f>
      </c>
      <c r="G3466" s="20">
        <f>Разбивка_по_щитам!J3471</f>
      </c>
      <c r="H3466" s="20">
        <f>Разбивка_по_щитам!K3471</f>
      </c>
      <c r="I3466" s="20">
        <f>Разбивка_по_щитам!L3471</f>
      </c>
      <c r="J3466" s="20">
        <f>Разбивка_по_щитам!M3471</f>
      </c>
      <c r="K3466" s="20">
        <f>Разбивка_по_щитам!N3471</f>
      </c>
      <c r="L3466" s="20"/>
      <c r="M3466" s="20">
        <f>Разбивка_по_щитам!P3471</f>
      </c>
      <c r="N3466" s="20"/>
    </row>
    <row r="3467" spans="2:14" x14ac:dyDescent="0.25">
      <c r="B3467" s="20">
        <f>Разбивка_по_щитам!B3472</f>
      </c>
      <c r="C3467" s="20">
        <f>Разбивка_по_щитам!C3472</f>
      </c>
      <c r="D3467" s="20">
        <f>Разбивка_по_щитам!F3472</f>
      </c>
      <c r="E3467" s="20">
        <f>Разбивка_по_щитам!H3472</f>
      </c>
      <c r="F3467" s="20">
        <f>Разбивка_по_щитам!I3472</f>
      </c>
      <c r="G3467" s="20">
        <f>Разбивка_по_щитам!J3472</f>
      </c>
      <c r="H3467" s="20">
        <f>Разбивка_по_щитам!K3472</f>
      </c>
      <c r="I3467" s="20">
        <f>Разбивка_по_щитам!L3472</f>
      </c>
      <c r="J3467" s="20">
        <f>Разбивка_по_щитам!M3472</f>
      </c>
      <c r="K3467" s="20">
        <f>Разбивка_по_щитам!N3472</f>
      </c>
      <c r="L3467" s="20"/>
      <c r="M3467" s="20">
        <f>Разбивка_по_щитам!P3472</f>
      </c>
      <c r="N3467" s="20"/>
    </row>
    <row r="3468" spans="2:14" x14ac:dyDescent="0.25">
      <c r="B3468" s="20">
        <f>Разбивка_по_щитам!B3473</f>
      </c>
      <c r="C3468" s="20">
        <f>Разбивка_по_щитам!C3473</f>
      </c>
      <c r="D3468" s="20">
        <f>Разбивка_по_щитам!F3473</f>
      </c>
      <c r="E3468" s="20">
        <f>Разбивка_по_щитам!H3473</f>
      </c>
      <c r="F3468" s="20">
        <f>Разбивка_по_щитам!I3473</f>
      </c>
      <c r="G3468" s="20">
        <f>Разбивка_по_щитам!J3473</f>
      </c>
      <c r="H3468" s="20">
        <f>Разбивка_по_щитам!K3473</f>
      </c>
      <c r="I3468" s="20">
        <f>Разбивка_по_щитам!L3473</f>
      </c>
      <c r="J3468" s="20">
        <f>Разбивка_по_щитам!M3473</f>
      </c>
      <c r="K3468" s="20">
        <f>Разбивка_по_щитам!N3473</f>
      </c>
      <c r="L3468" s="20"/>
      <c r="M3468" s="20">
        <f>Разбивка_по_щитам!P3473</f>
      </c>
      <c r="N3468" s="20"/>
    </row>
    <row r="3469" spans="2:14" x14ac:dyDescent="0.25">
      <c r="B3469" s="20">
        <f>Разбивка_по_щитам!B3474</f>
      </c>
      <c r="C3469" s="20">
        <f>Разбивка_по_щитам!C3474</f>
      </c>
      <c r="D3469" s="20">
        <f>Разбивка_по_щитам!F3474</f>
      </c>
      <c r="E3469" s="20">
        <f>Разбивка_по_щитам!H3474</f>
      </c>
      <c r="F3469" s="20">
        <f>Разбивка_по_щитам!I3474</f>
      </c>
      <c r="G3469" s="20">
        <f>Разбивка_по_щитам!J3474</f>
      </c>
      <c r="H3469" s="20">
        <f>Разбивка_по_щитам!K3474</f>
      </c>
      <c r="I3469" s="20">
        <f>Разбивка_по_щитам!L3474</f>
      </c>
      <c r="J3469" s="20">
        <f>Разбивка_по_щитам!M3474</f>
      </c>
      <c r="K3469" s="20">
        <f>Разбивка_по_щитам!N3474</f>
      </c>
      <c r="L3469" s="20"/>
      <c r="M3469" s="20">
        <f>Разбивка_по_щитам!P3474</f>
      </c>
      <c r="N3469" s="20"/>
    </row>
    <row r="3470" spans="2:14" x14ac:dyDescent="0.25">
      <c r="B3470" s="20">
        <f>Разбивка_по_щитам!B3475</f>
      </c>
      <c r="C3470" s="20">
        <f>Разбивка_по_щитам!C3475</f>
      </c>
      <c r="D3470" s="20">
        <f>Разбивка_по_щитам!F3475</f>
      </c>
      <c r="E3470" s="20">
        <f>Разбивка_по_щитам!H3475</f>
      </c>
      <c r="F3470" s="20">
        <f>Разбивка_по_щитам!I3475</f>
      </c>
      <c r="G3470" s="20">
        <f>Разбивка_по_щитам!J3475</f>
      </c>
      <c r="H3470" s="20">
        <f>Разбивка_по_щитам!K3475</f>
      </c>
      <c r="I3470" s="20">
        <f>Разбивка_по_щитам!L3475</f>
      </c>
      <c r="J3470" s="20">
        <f>Разбивка_по_щитам!M3475</f>
      </c>
      <c r="K3470" s="20">
        <f>Разбивка_по_щитам!N3475</f>
      </c>
      <c r="L3470" s="20"/>
      <c r="M3470" s="20">
        <f>Разбивка_по_щитам!P3475</f>
      </c>
      <c r="N3470" s="20"/>
    </row>
    <row r="3471" spans="2:14" x14ac:dyDescent="0.25">
      <c r="B3471" s="20">
        <f>Разбивка_по_щитам!B3476</f>
      </c>
      <c r="C3471" s="20">
        <f>Разбивка_по_щитам!C3476</f>
      </c>
      <c r="D3471" s="20">
        <f>Разбивка_по_щитам!F3476</f>
      </c>
      <c r="E3471" s="20">
        <f>Разбивка_по_щитам!H3476</f>
      </c>
      <c r="F3471" s="20">
        <f>Разбивка_по_щитам!I3476</f>
      </c>
      <c r="G3471" s="20">
        <f>Разбивка_по_щитам!J3476</f>
      </c>
      <c r="H3471" s="20">
        <f>Разбивка_по_щитам!K3476</f>
      </c>
      <c r="I3471" s="20">
        <f>Разбивка_по_щитам!L3476</f>
      </c>
      <c r="J3471" s="20">
        <f>Разбивка_по_щитам!M3476</f>
      </c>
      <c r="K3471" s="20">
        <f>Разбивка_по_щитам!N3476</f>
      </c>
      <c r="L3471" s="20"/>
      <c r="M3471" s="20">
        <f>Разбивка_по_щитам!P3476</f>
      </c>
      <c r="N3471" s="20"/>
    </row>
    <row r="3472" spans="2:14" x14ac:dyDescent="0.25">
      <c r="B3472" s="20">
        <f>Разбивка_по_щитам!B3477</f>
      </c>
      <c r="C3472" s="20">
        <f>Разбивка_по_щитам!C3477</f>
      </c>
      <c r="D3472" s="20">
        <f>Разбивка_по_щитам!F3477</f>
      </c>
      <c r="E3472" s="20">
        <f>Разбивка_по_щитам!H3477</f>
      </c>
      <c r="F3472" s="20">
        <f>Разбивка_по_щитам!I3477</f>
      </c>
      <c r="G3472" s="20">
        <f>Разбивка_по_щитам!J3477</f>
      </c>
      <c r="H3472" s="20">
        <f>Разбивка_по_щитам!K3477</f>
      </c>
      <c r="I3472" s="20">
        <f>Разбивка_по_щитам!L3477</f>
      </c>
      <c r="J3472" s="20">
        <f>Разбивка_по_щитам!M3477</f>
      </c>
      <c r="K3472" s="20">
        <f>Разбивка_по_щитам!N3477</f>
      </c>
      <c r="L3472" s="20"/>
      <c r="M3472" s="20">
        <f>Разбивка_по_щитам!P3477</f>
      </c>
      <c r="N3472" s="20"/>
    </row>
    <row r="3473" spans="2:14" x14ac:dyDescent="0.25">
      <c r="B3473" s="20">
        <f>Разбивка_по_щитам!B3478</f>
      </c>
      <c r="C3473" s="20">
        <f>Разбивка_по_щитам!C3478</f>
      </c>
      <c r="D3473" s="20">
        <f>Разбивка_по_щитам!F3478</f>
      </c>
      <c r="E3473" s="20">
        <f>Разбивка_по_щитам!H3478</f>
      </c>
      <c r="F3473" s="20">
        <f>Разбивка_по_щитам!I3478</f>
      </c>
      <c r="G3473" s="20">
        <f>Разбивка_по_щитам!J3478</f>
      </c>
      <c r="H3473" s="20">
        <f>Разбивка_по_щитам!K3478</f>
      </c>
      <c r="I3473" s="20">
        <f>Разбивка_по_щитам!L3478</f>
      </c>
      <c r="J3473" s="20">
        <f>Разбивка_по_щитам!M3478</f>
      </c>
      <c r="K3473" s="20">
        <f>Разбивка_по_щитам!N3478</f>
      </c>
      <c r="L3473" s="20"/>
      <c r="M3473" s="20">
        <f>Разбивка_по_щитам!P3478</f>
      </c>
      <c r="N3473" s="20"/>
    </row>
    <row r="3474" spans="2:14" x14ac:dyDescent="0.25">
      <c r="B3474" s="20">
        <f>Разбивка_по_щитам!B3479</f>
      </c>
      <c r="C3474" s="20">
        <f>Разбивка_по_щитам!C3479</f>
      </c>
      <c r="D3474" s="20">
        <f>Разбивка_по_щитам!F3479</f>
      </c>
      <c r="E3474" s="20">
        <f>Разбивка_по_щитам!H3479</f>
      </c>
      <c r="F3474" s="20">
        <f>Разбивка_по_щитам!I3479</f>
      </c>
      <c r="G3474" s="20">
        <f>Разбивка_по_щитам!J3479</f>
      </c>
      <c r="H3474" s="20">
        <f>Разбивка_по_щитам!K3479</f>
      </c>
      <c r="I3474" s="20">
        <f>Разбивка_по_щитам!L3479</f>
      </c>
      <c r="J3474" s="20">
        <f>Разбивка_по_щитам!M3479</f>
      </c>
      <c r="K3474" s="20">
        <f>Разбивка_по_щитам!N3479</f>
      </c>
      <c r="L3474" s="20"/>
      <c r="M3474" s="20">
        <f>Разбивка_по_щитам!P3479</f>
      </c>
      <c r="N3474" s="20"/>
    </row>
    <row r="3475" spans="2:14" x14ac:dyDescent="0.25">
      <c r="B3475" s="20">
        <f>Разбивка_по_щитам!B3480</f>
      </c>
      <c r="C3475" s="20">
        <f>Разбивка_по_щитам!C3480</f>
      </c>
      <c r="D3475" s="20">
        <f>Разбивка_по_щитам!F3480</f>
      </c>
      <c r="E3475" s="20">
        <f>Разбивка_по_щитам!H3480</f>
      </c>
      <c r="F3475" s="20">
        <f>Разбивка_по_щитам!I3480</f>
      </c>
      <c r="G3475" s="20">
        <f>Разбивка_по_щитам!J3480</f>
      </c>
      <c r="H3475" s="20">
        <f>Разбивка_по_щитам!K3480</f>
      </c>
      <c r="I3475" s="20">
        <f>Разбивка_по_щитам!L3480</f>
      </c>
      <c r="J3475" s="20">
        <f>Разбивка_по_щитам!M3480</f>
      </c>
      <c r="K3475" s="20">
        <f>Разбивка_по_щитам!N3480</f>
      </c>
      <c r="L3475" s="20"/>
      <c r="M3475" s="20">
        <f>Разбивка_по_щитам!P3480</f>
      </c>
      <c r="N3475" s="20"/>
    </row>
    <row r="3476" spans="2:14" x14ac:dyDescent="0.25">
      <c r="B3476" s="20">
        <f>Разбивка_по_щитам!B3481</f>
      </c>
      <c r="C3476" s="20">
        <f>Разбивка_по_щитам!C3481</f>
      </c>
      <c r="D3476" s="20">
        <f>Разбивка_по_щитам!F3481</f>
      </c>
      <c r="E3476" s="20">
        <f>Разбивка_по_щитам!H3481</f>
      </c>
      <c r="F3476" s="20">
        <f>Разбивка_по_щитам!I3481</f>
      </c>
      <c r="G3476" s="20">
        <f>Разбивка_по_щитам!J3481</f>
      </c>
      <c r="H3476" s="20">
        <f>Разбивка_по_щитам!K3481</f>
      </c>
      <c r="I3476" s="20">
        <f>Разбивка_по_щитам!L3481</f>
      </c>
      <c r="J3476" s="20">
        <f>Разбивка_по_щитам!M3481</f>
      </c>
      <c r="K3476" s="20">
        <f>Разбивка_по_щитам!N3481</f>
      </c>
      <c r="L3476" s="20"/>
      <c r="M3476" s="20">
        <f>Разбивка_по_щитам!P3481</f>
      </c>
      <c r="N3476" s="20"/>
    </row>
    <row r="3477" spans="2:14" x14ac:dyDescent="0.25">
      <c r="B3477" s="20">
        <f>Разбивка_по_щитам!B3482</f>
      </c>
      <c r="C3477" s="20">
        <f>Разбивка_по_щитам!C3482</f>
      </c>
      <c r="D3477" s="20">
        <f>Разбивка_по_щитам!F3482</f>
      </c>
      <c r="E3477" s="20">
        <f>Разбивка_по_щитам!H3482</f>
      </c>
      <c r="F3477" s="20">
        <f>Разбивка_по_щитам!I3482</f>
      </c>
      <c r="G3477" s="20">
        <f>Разбивка_по_щитам!J3482</f>
      </c>
      <c r="H3477" s="20">
        <f>Разбивка_по_щитам!K3482</f>
      </c>
      <c r="I3477" s="20">
        <f>Разбивка_по_щитам!L3482</f>
      </c>
      <c r="J3477" s="20">
        <f>Разбивка_по_щитам!M3482</f>
      </c>
      <c r="K3477" s="20">
        <f>Разбивка_по_щитам!N3482</f>
      </c>
      <c r="L3477" s="20"/>
      <c r="M3477" s="20">
        <f>Разбивка_по_щитам!P3482</f>
      </c>
      <c r="N3477" s="20"/>
    </row>
    <row r="3478" spans="2:14" x14ac:dyDescent="0.25">
      <c r="B3478" s="20">
        <f>Разбивка_по_щитам!B3483</f>
      </c>
      <c r="C3478" s="20">
        <f>Разбивка_по_щитам!C3483</f>
      </c>
      <c r="D3478" s="20">
        <f>Разбивка_по_щитам!F3483</f>
      </c>
      <c r="E3478" s="20">
        <f>Разбивка_по_щитам!H3483</f>
      </c>
      <c r="F3478" s="20">
        <f>Разбивка_по_щитам!I3483</f>
      </c>
      <c r="G3478" s="20">
        <f>Разбивка_по_щитам!J3483</f>
      </c>
      <c r="H3478" s="20">
        <f>Разбивка_по_щитам!K3483</f>
      </c>
      <c r="I3478" s="20">
        <f>Разбивка_по_щитам!L3483</f>
      </c>
      <c r="J3478" s="20">
        <f>Разбивка_по_щитам!M3483</f>
      </c>
      <c r="K3478" s="20">
        <f>Разбивка_по_щитам!N3483</f>
      </c>
      <c r="L3478" s="20"/>
      <c r="M3478" s="20">
        <f>Разбивка_по_щитам!P3483</f>
      </c>
      <c r="N3478" s="20"/>
    </row>
    <row r="3479" spans="2:14" x14ac:dyDescent="0.25">
      <c r="B3479" s="20">
        <f>Разбивка_по_щитам!B3484</f>
      </c>
      <c r="C3479" s="20">
        <f>Разбивка_по_щитам!C3484</f>
      </c>
      <c r="D3479" s="20">
        <f>Разбивка_по_щитам!F3484</f>
      </c>
      <c r="E3479" s="20">
        <f>Разбивка_по_щитам!H3484</f>
      </c>
      <c r="F3479" s="20">
        <f>Разбивка_по_щитам!I3484</f>
      </c>
      <c r="G3479" s="20">
        <f>Разбивка_по_щитам!J3484</f>
      </c>
      <c r="H3479" s="20">
        <f>Разбивка_по_щитам!K3484</f>
      </c>
      <c r="I3479" s="20">
        <f>Разбивка_по_щитам!L3484</f>
      </c>
      <c r="J3479" s="20">
        <f>Разбивка_по_щитам!M3484</f>
      </c>
      <c r="K3479" s="20">
        <f>Разбивка_по_щитам!N3484</f>
      </c>
      <c r="L3479" s="20"/>
      <c r="M3479" s="20">
        <f>Разбивка_по_щитам!P3484</f>
      </c>
      <c r="N3479" s="20"/>
    </row>
    <row r="3480" spans="2:14" x14ac:dyDescent="0.25">
      <c r="B3480" s="20">
        <f>Разбивка_по_щитам!B3485</f>
      </c>
      <c r="C3480" s="20">
        <f>Разбивка_по_щитам!C3485</f>
      </c>
      <c r="D3480" s="20">
        <f>Разбивка_по_щитам!F3485</f>
      </c>
      <c r="E3480" s="20">
        <f>Разбивка_по_щитам!H3485</f>
      </c>
      <c r="F3480" s="20">
        <f>Разбивка_по_щитам!I3485</f>
      </c>
      <c r="G3480" s="20">
        <f>Разбивка_по_щитам!J3485</f>
      </c>
      <c r="H3480" s="20">
        <f>Разбивка_по_щитам!K3485</f>
      </c>
      <c r="I3480" s="20">
        <f>Разбивка_по_щитам!L3485</f>
      </c>
      <c r="J3480" s="20">
        <f>Разбивка_по_щитам!M3485</f>
      </c>
      <c r="K3480" s="20">
        <f>Разбивка_по_щитам!N3485</f>
      </c>
      <c r="L3480" s="20"/>
      <c r="M3480" s="20">
        <f>Разбивка_по_щитам!P3485</f>
      </c>
      <c r="N3480" s="20"/>
    </row>
    <row r="3481" spans="2:14" x14ac:dyDescent="0.25">
      <c r="B3481" s="20">
        <f>Разбивка_по_щитам!B3486</f>
      </c>
      <c r="C3481" s="20">
        <f>Разбивка_по_щитам!C3486</f>
      </c>
      <c r="D3481" s="20">
        <f>Разбивка_по_щитам!F3486</f>
      </c>
      <c r="E3481" s="20">
        <f>Разбивка_по_щитам!H3486</f>
      </c>
      <c r="F3481" s="20">
        <f>Разбивка_по_щитам!I3486</f>
      </c>
      <c r="G3481" s="20">
        <f>Разбивка_по_щитам!J3486</f>
      </c>
      <c r="H3481" s="20">
        <f>Разбивка_по_щитам!K3486</f>
      </c>
      <c r="I3481" s="20">
        <f>Разбивка_по_щитам!L3486</f>
      </c>
      <c r="J3481" s="20">
        <f>Разбивка_по_щитам!M3486</f>
      </c>
      <c r="K3481" s="20">
        <f>Разбивка_по_щитам!N3486</f>
      </c>
      <c r="L3481" s="20"/>
      <c r="M3481" s="20">
        <f>Разбивка_по_щитам!P3486</f>
      </c>
      <c r="N3481" s="20"/>
    </row>
    <row r="3482" spans="2:14" x14ac:dyDescent="0.25">
      <c r="B3482" s="20">
        <f>Разбивка_по_щитам!B3487</f>
      </c>
      <c r="C3482" s="20">
        <f>Разбивка_по_щитам!C3487</f>
      </c>
      <c r="D3482" s="20">
        <f>Разбивка_по_щитам!F3487</f>
      </c>
      <c r="E3482" s="20">
        <f>Разбивка_по_щитам!H3487</f>
      </c>
      <c r="F3482" s="20">
        <f>Разбивка_по_щитам!I3487</f>
      </c>
      <c r="G3482" s="20">
        <f>Разбивка_по_щитам!J3487</f>
      </c>
      <c r="H3482" s="20">
        <f>Разбивка_по_щитам!K3487</f>
      </c>
      <c r="I3482" s="20">
        <f>Разбивка_по_щитам!L3487</f>
      </c>
      <c r="J3482" s="20">
        <f>Разбивка_по_щитам!M3487</f>
      </c>
      <c r="K3482" s="20">
        <f>Разбивка_по_щитам!N3487</f>
      </c>
      <c r="L3482" s="20"/>
      <c r="M3482" s="20">
        <f>Разбивка_по_щитам!P3487</f>
      </c>
      <c r="N3482" s="20"/>
    </row>
    <row r="3483" spans="2:14" x14ac:dyDescent="0.25">
      <c r="B3483" s="20">
        <f>Разбивка_по_щитам!B3488</f>
      </c>
      <c r="C3483" s="20">
        <f>Разбивка_по_щитам!C3488</f>
      </c>
      <c r="D3483" s="20">
        <f>Разбивка_по_щитам!F3488</f>
      </c>
      <c r="E3483" s="20">
        <f>Разбивка_по_щитам!H3488</f>
      </c>
      <c r="F3483" s="20">
        <f>Разбивка_по_щитам!I3488</f>
      </c>
      <c r="G3483" s="20">
        <f>Разбивка_по_щитам!J3488</f>
      </c>
      <c r="H3483" s="20">
        <f>Разбивка_по_щитам!K3488</f>
      </c>
      <c r="I3483" s="20">
        <f>Разбивка_по_щитам!L3488</f>
      </c>
      <c r="J3483" s="20">
        <f>Разбивка_по_щитам!M3488</f>
      </c>
      <c r="K3483" s="20">
        <f>Разбивка_по_щитам!N3488</f>
      </c>
      <c r="L3483" s="20"/>
      <c r="M3483" s="20">
        <f>Разбивка_по_щитам!P3488</f>
      </c>
      <c r="N3483" s="20"/>
    </row>
    <row r="3484" spans="2:14" x14ac:dyDescent="0.25">
      <c r="B3484" s="20">
        <f>Разбивка_по_щитам!B3489</f>
      </c>
      <c r="C3484" s="20">
        <f>Разбивка_по_щитам!C3489</f>
      </c>
      <c r="D3484" s="20">
        <f>Разбивка_по_щитам!F3489</f>
      </c>
      <c r="E3484" s="20">
        <f>Разбивка_по_щитам!H3489</f>
      </c>
      <c r="F3484" s="20">
        <f>Разбивка_по_щитам!I3489</f>
      </c>
      <c r="G3484" s="20">
        <f>Разбивка_по_щитам!J3489</f>
      </c>
      <c r="H3484" s="20">
        <f>Разбивка_по_щитам!K3489</f>
      </c>
      <c r="I3484" s="20">
        <f>Разбивка_по_щитам!L3489</f>
      </c>
      <c r="J3484" s="20">
        <f>Разбивка_по_щитам!M3489</f>
      </c>
      <c r="K3484" s="20">
        <f>Разбивка_по_щитам!N3489</f>
      </c>
      <c r="L3484" s="20"/>
      <c r="M3484" s="20">
        <f>Разбивка_по_щитам!P3489</f>
      </c>
      <c r="N3484" s="20"/>
    </row>
    <row r="3485" spans="2:14" x14ac:dyDescent="0.25">
      <c r="B3485" s="20">
        <f>Разбивка_по_щитам!B3490</f>
      </c>
      <c r="C3485" s="20">
        <f>Разбивка_по_щитам!C3490</f>
      </c>
      <c r="D3485" s="20">
        <f>Разбивка_по_щитам!F3490</f>
      </c>
      <c r="E3485" s="20">
        <f>Разбивка_по_щитам!H3490</f>
      </c>
      <c r="F3485" s="20">
        <f>Разбивка_по_щитам!I3490</f>
      </c>
      <c r="G3485" s="20">
        <f>Разбивка_по_щитам!J3490</f>
      </c>
      <c r="H3485" s="20">
        <f>Разбивка_по_щитам!K3490</f>
      </c>
      <c r="I3485" s="20">
        <f>Разбивка_по_щитам!L3490</f>
      </c>
      <c r="J3485" s="20">
        <f>Разбивка_по_щитам!M3490</f>
      </c>
      <c r="K3485" s="20">
        <f>Разбивка_по_щитам!N3490</f>
      </c>
      <c r="L3485" s="20"/>
      <c r="M3485" s="20">
        <f>Разбивка_по_щитам!P3490</f>
      </c>
      <c r="N3485" s="20"/>
    </row>
    <row r="3486" spans="2:14" x14ac:dyDescent="0.25">
      <c r="B3486" s="20">
        <f>Разбивка_по_щитам!B3491</f>
      </c>
      <c r="C3486" s="20">
        <f>Разбивка_по_щитам!C3491</f>
      </c>
      <c r="D3486" s="20">
        <f>Разбивка_по_щитам!F3491</f>
      </c>
      <c r="E3486" s="20">
        <f>Разбивка_по_щитам!H3491</f>
      </c>
      <c r="F3486" s="20">
        <f>Разбивка_по_щитам!I3491</f>
      </c>
      <c r="G3486" s="20">
        <f>Разбивка_по_щитам!J3491</f>
      </c>
      <c r="H3486" s="20">
        <f>Разбивка_по_щитам!K3491</f>
      </c>
      <c r="I3486" s="20">
        <f>Разбивка_по_щитам!L3491</f>
      </c>
      <c r="J3486" s="20">
        <f>Разбивка_по_щитам!M3491</f>
      </c>
      <c r="K3486" s="20">
        <f>Разбивка_по_щитам!N3491</f>
      </c>
      <c r="L3486" s="20"/>
      <c r="M3486" s="20">
        <f>Разбивка_по_щитам!P3491</f>
      </c>
      <c r="N3486" s="20"/>
    </row>
    <row r="3487" spans="2:14" x14ac:dyDescent="0.25">
      <c r="B3487" s="20">
        <f>Разбивка_по_щитам!B3492</f>
      </c>
      <c r="C3487" s="20">
        <f>Разбивка_по_щитам!C3492</f>
      </c>
      <c r="D3487" s="20">
        <f>Разбивка_по_щитам!F3492</f>
      </c>
      <c r="E3487" s="20">
        <f>Разбивка_по_щитам!H3492</f>
      </c>
      <c r="F3487" s="20">
        <f>Разбивка_по_щитам!I3492</f>
      </c>
      <c r="G3487" s="20">
        <f>Разбивка_по_щитам!J3492</f>
      </c>
      <c r="H3487" s="20">
        <f>Разбивка_по_щитам!K3492</f>
      </c>
      <c r="I3487" s="20">
        <f>Разбивка_по_щитам!L3492</f>
      </c>
      <c r="J3487" s="20">
        <f>Разбивка_по_щитам!M3492</f>
      </c>
      <c r="K3487" s="20">
        <f>Разбивка_по_щитам!N3492</f>
      </c>
      <c r="L3487" s="20"/>
      <c r="M3487" s="20">
        <f>Разбивка_по_щитам!P3492</f>
      </c>
      <c r="N3487" s="20"/>
    </row>
    <row r="3488" spans="2:14" x14ac:dyDescent="0.25">
      <c r="B3488" s="20">
        <f>Разбивка_по_щитам!B3493</f>
      </c>
      <c r="C3488" s="20">
        <f>Разбивка_по_щитам!C3493</f>
      </c>
      <c r="D3488" s="20">
        <f>Разбивка_по_щитам!F3493</f>
      </c>
      <c r="E3488" s="20">
        <f>Разбивка_по_щитам!H3493</f>
      </c>
      <c r="F3488" s="20">
        <f>Разбивка_по_щитам!I3493</f>
      </c>
      <c r="G3488" s="20">
        <f>Разбивка_по_щитам!J3493</f>
      </c>
      <c r="H3488" s="20">
        <f>Разбивка_по_щитам!K3493</f>
      </c>
      <c r="I3488" s="20">
        <f>Разбивка_по_щитам!L3493</f>
      </c>
      <c r="J3488" s="20">
        <f>Разбивка_по_щитам!M3493</f>
      </c>
      <c r="K3488" s="20">
        <f>Разбивка_по_щитам!N3493</f>
      </c>
      <c r="L3488" s="20"/>
      <c r="M3488" s="20">
        <f>Разбивка_по_щитам!P3493</f>
      </c>
      <c r="N3488" s="20"/>
    </row>
    <row r="3489" spans="2:14" x14ac:dyDescent="0.25">
      <c r="B3489" s="20">
        <f>Разбивка_по_щитам!B3494</f>
      </c>
      <c r="C3489" s="20">
        <f>Разбивка_по_щитам!C3494</f>
      </c>
      <c r="D3489" s="20">
        <f>Разбивка_по_щитам!F3494</f>
      </c>
      <c r="E3489" s="20">
        <f>Разбивка_по_щитам!H3494</f>
      </c>
      <c r="F3489" s="20">
        <f>Разбивка_по_щитам!I3494</f>
      </c>
      <c r="G3489" s="20">
        <f>Разбивка_по_щитам!J3494</f>
      </c>
      <c r="H3489" s="20">
        <f>Разбивка_по_щитам!K3494</f>
      </c>
      <c r="I3489" s="20">
        <f>Разбивка_по_щитам!L3494</f>
      </c>
      <c r="J3489" s="20">
        <f>Разбивка_по_щитам!M3494</f>
      </c>
      <c r="K3489" s="20">
        <f>Разбивка_по_щитам!N3494</f>
      </c>
      <c r="L3489" s="20"/>
      <c r="M3489" s="20">
        <f>Разбивка_по_щитам!P3494</f>
      </c>
      <c r="N3489" s="20"/>
    </row>
    <row r="3490" spans="2:14" x14ac:dyDescent="0.25">
      <c r="B3490" s="20">
        <f>Разбивка_по_щитам!B3495</f>
      </c>
      <c r="C3490" s="20">
        <f>Разбивка_по_щитам!C3495</f>
      </c>
      <c r="D3490" s="20">
        <f>Разбивка_по_щитам!F3495</f>
      </c>
      <c r="E3490" s="20">
        <f>Разбивка_по_щитам!H3495</f>
      </c>
      <c r="F3490" s="20">
        <f>Разбивка_по_щитам!I3495</f>
      </c>
      <c r="G3490" s="20">
        <f>Разбивка_по_щитам!J3495</f>
      </c>
      <c r="H3490" s="20">
        <f>Разбивка_по_щитам!K3495</f>
      </c>
      <c r="I3490" s="20">
        <f>Разбивка_по_щитам!L3495</f>
      </c>
      <c r="J3490" s="20">
        <f>Разбивка_по_щитам!M3495</f>
      </c>
      <c r="K3490" s="20">
        <f>Разбивка_по_щитам!N3495</f>
      </c>
      <c r="L3490" s="20"/>
      <c r="M3490" s="20">
        <f>Разбивка_по_щитам!P3495</f>
      </c>
      <c r="N3490" s="20"/>
    </row>
    <row r="3491" spans="2:14" x14ac:dyDescent="0.25">
      <c r="B3491" s="20">
        <f>Разбивка_по_щитам!B3496</f>
      </c>
      <c r="C3491" s="20">
        <f>Разбивка_по_щитам!C3496</f>
      </c>
      <c r="D3491" s="20">
        <f>Разбивка_по_щитам!F3496</f>
      </c>
      <c r="E3491" s="20">
        <f>Разбивка_по_щитам!H3496</f>
      </c>
      <c r="F3491" s="20">
        <f>Разбивка_по_щитам!I3496</f>
      </c>
      <c r="G3491" s="20">
        <f>Разбивка_по_щитам!J3496</f>
      </c>
      <c r="H3491" s="20">
        <f>Разбивка_по_щитам!K3496</f>
      </c>
      <c r="I3491" s="20">
        <f>Разбивка_по_щитам!L3496</f>
      </c>
      <c r="J3491" s="20">
        <f>Разбивка_по_щитам!M3496</f>
      </c>
      <c r="K3491" s="20">
        <f>Разбивка_по_щитам!N3496</f>
      </c>
      <c r="L3491" s="20"/>
      <c r="M3491" s="20">
        <f>Разбивка_по_щитам!P3496</f>
      </c>
      <c r="N3491" s="20"/>
    </row>
    <row r="3492" spans="2:14" x14ac:dyDescent="0.25">
      <c r="B3492" s="20">
        <f>Разбивка_по_щитам!B3497</f>
      </c>
      <c r="C3492" s="20">
        <f>Разбивка_по_щитам!C3497</f>
      </c>
      <c r="D3492" s="20">
        <f>Разбивка_по_щитам!F3497</f>
      </c>
      <c r="E3492" s="20">
        <f>Разбивка_по_щитам!H3497</f>
      </c>
      <c r="F3492" s="20">
        <f>Разбивка_по_щитам!I3497</f>
      </c>
      <c r="G3492" s="20">
        <f>Разбивка_по_щитам!J3497</f>
      </c>
      <c r="H3492" s="20">
        <f>Разбивка_по_щитам!K3497</f>
      </c>
      <c r="I3492" s="20">
        <f>Разбивка_по_щитам!L3497</f>
      </c>
      <c r="J3492" s="20">
        <f>Разбивка_по_щитам!M3497</f>
      </c>
      <c r="K3492" s="20">
        <f>Разбивка_по_щитам!N3497</f>
      </c>
      <c r="L3492" s="20"/>
      <c r="M3492" s="20">
        <f>Разбивка_по_щитам!P3497</f>
      </c>
      <c r="N3492" s="20"/>
    </row>
    <row r="3493" spans="2:14" x14ac:dyDescent="0.25">
      <c r="B3493" s="20">
        <f>Разбивка_по_щитам!B3498</f>
      </c>
      <c r="C3493" s="20">
        <f>Разбивка_по_щитам!C3498</f>
      </c>
      <c r="D3493" s="20">
        <f>Разбивка_по_щитам!F3498</f>
      </c>
      <c r="E3493" s="20">
        <f>Разбивка_по_щитам!H3498</f>
      </c>
      <c r="F3493" s="20">
        <f>Разбивка_по_щитам!I3498</f>
      </c>
      <c r="G3493" s="20">
        <f>Разбивка_по_щитам!J3498</f>
      </c>
      <c r="H3493" s="20">
        <f>Разбивка_по_щитам!K3498</f>
      </c>
      <c r="I3493" s="20">
        <f>Разбивка_по_щитам!L3498</f>
      </c>
      <c r="J3493" s="20">
        <f>Разбивка_по_щитам!M3498</f>
      </c>
      <c r="K3493" s="20">
        <f>Разбивка_по_щитам!N3498</f>
      </c>
      <c r="L3493" s="20"/>
      <c r="M3493" s="20">
        <f>Разбивка_по_щитам!P3498</f>
      </c>
      <c r="N3493" s="20"/>
    </row>
    <row r="3494" spans="2:14" x14ac:dyDescent="0.25">
      <c r="B3494" s="20">
        <f>Разбивка_по_щитам!B3499</f>
      </c>
      <c r="C3494" s="20">
        <f>Разбивка_по_щитам!C3499</f>
      </c>
      <c r="D3494" s="20">
        <f>Разбивка_по_щитам!F3499</f>
      </c>
      <c r="E3494" s="20">
        <f>Разбивка_по_щитам!H3499</f>
      </c>
      <c r="F3494" s="20">
        <f>Разбивка_по_щитам!I3499</f>
      </c>
      <c r="G3494" s="20">
        <f>Разбивка_по_щитам!J3499</f>
      </c>
      <c r="H3494" s="20">
        <f>Разбивка_по_щитам!K3499</f>
      </c>
      <c r="I3494" s="20">
        <f>Разбивка_по_щитам!L3499</f>
      </c>
      <c r="J3494" s="20">
        <f>Разбивка_по_щитам!M3499</f>
      </c>
      <c r="K3494" s="20">
        <f>Разбивка_по_щитам!N3499</f>
      </c>
      <c r="L3494" s="20"/>
      <c r="M3494" s="20">
        <f>Разбивка_по_щитам!P3499</f>
      </c>
      <c r="N3494" s="20"/>
    </row>
    <row r="3495" spans="2:14" x14ac:dyDescent="0.25">
      <c r="B3495" s="20">
        <f>Разбивка_по_щитам!B3500</f>
      </c>
      <c r="C3495" s="20">
        <f>Разбивка_по_щитам!C3500</f>
      </c>
      <c r="D3495" s="20">
        <f>Разбивка_по_щитам!F3500</f>
      </c>
      <c r="E3495" s="20">
        <f>Разбивка_по_щитам!H3500</f>
      </c>
      <c r="F3495" s="20">
        <f>Разбивка_по_щитам!I3500</f>
      </c>
      <c r="G3495" s="20">
        <f>Разбивка_по_щитам!J3500</f>
      </c>
      <c r="H3495" s="20">
        <f>Разбивка_по_щитам!K3500</f>
      </c>
      <c r="I3495" s="20">
        <f>Разбивка_по_щитам!L3500</f>
      </c>
      <c r="J3495" s="20">
        <f>Разбивка_по_щитам!M3500</f>
      </c>
      <c r="K3495" s="20">
        <f>Разбивка_по_щитам!N3500</f>
      </c>
      <c r="L3495" s="20"/>
      <c r="M3495" s="20">
        <f>Разбивка_по_щитам!P3500</f>
      </c>
      <c r="N3495" s="20"/>
    </row>
    <row r="3496" spans="2:14" x14ac:dyDescent="0.25">
      <c r="B3496" s="20">
        <f>Разбивка_по_щитам!B3501</f>
      </c>
      <c r="C3496" s="20">
        <f>Разбивка_по_щитам!C3501</f>
      </c>
      <c r="D3496" s="20">
        <f>Разбивка_по_щитам!F3501</f>
      </c>
      <c r="E3496" s="20">
        <f>Разбивка_по_щитам!H3501</f>
      </c>
      <c r="F3496" s="20">
        <f>Разбивка_по_щитам!I3501</f>
      </c>
      <c r="G3496" s="20">
        <f>Разбивка_по_щитам!J3501</f>
      </c>
      <c r="H3496" s="20">
        <f>Разбивка_по_щитам!K3501</f>
      </c>
      <c r="I3496" s="20">
        <f>Разбивка_по_щитам!L3501</f>
      </c>
      <c r="J3496" s="20">
        <f>Разбивка_по_щитам!M3501</f>
      </c>
      <c r="K3496" s="20">
        <f>Разбивка_по_щитам!N3501</f>
      </c>
      <c r="L3496" s="20"/>
      <c r="M3496" s="20">
        <f>Разбивка_по_щитам!P3501</f>
      </c>
      <c r="N3496" s="20"/>
    </row>
    <row r="3497" spans="2:14" x14ac:dyDescent="0.25">
      <c r="B3497" s="20">
        <f>Разбивка_по_щитам!B3502</f>
      </c>
      <c r="C3497" s="20">
        <f>Разбивка_по_щитам!C3502</f>
      </c>
      <c r="D3497" s="20">
        <f>Разбивка_по_щитам!F3502</f>
      </c>
      <c r="E3497" s="20">
        <f>Разбивка_по_щитам!H3502</f>
      </c>
      <c r="F3497" s="20">
        <f>Разбивка_по_щитам!I3502</f>
      </c>
      <c r="G3497" s="20">
        <f>Разбивка_по_щитам!J3502</f>
      </c>
      <c r="H3497" s="20">
        <f>Разбивка_по_щитам!K3502</f>
      </c>
      <c r="I3497" s="20">
        <f>Разбивка_по_щитам!L3502</f>
      </c>
      <c r="J3497" s="20">
        <f>Разбивка_по_щитам!M3502</f>
      </c>
      <c r="K3497" s="20">
        <f>Разбивка_по_щитам!N3502</f>
      </c>
      <c r="L3497" s="20"/>
      <c r="M3497" s="20">
        <f>Разбивка_по_щитам!P3502</f>
      </c>
      <c r="N3497" s="20"/>
    </row>
    <row r="3498" spans="2:14" x14ac:dyDescent="0.25">
      <c r="B3498" s="20">
        <f>Разбивка_по_щитам!B3503</f>
      </c>
      <c r="C3498" s="20">
        <f>Разбивка_по_щитам!C3503</f>
      </c>
      <c r="D3498" s="20">
        <f>Разбивка_по_щитам!F3503</f>
      </c>
      <c r="E3498" s="20">
        <f>Разбивка_по_щитам!H3503</f>
      </c>
      <c r="F3498" s="20">
        <f>Разбивка_по_щитам!I3503</f>
      </c>
      <c r="G3498" s="20">
        <f>Разбивка_по_щитам!J3503</f>
      </c>
      <c r="H3498" s="20">
        <f>Разбивка_по_щитам!K3503</f>
      </c>
      <c r="I3498" s="20">
        <f>Разбивка_по_щитам!L3503</f>
      </c>
      <c r="J3498" s="20">
        <f>Разбивка_по_щитам!M3503</f>
      </c>
      <c r="K3498" s="20">
        <f>Разбивка_по_щитам!N3503</f>
      </c>
      <c r="L3498" s="20"/>
      <c r="M3498" s="20">
        <f>Разбивка_по_щитам!P3503</f>
      </c>
      <c r="N3498" s="20"/>
    </row>
    <row r="3499" spans="2:14" x14ac:dyDescent="0.25">
      <c r="B3499" s="20">
        <f>Разбивка_по_щитам!B3504</f>
      </c>
      <c r="C3499" s="20">
        <f>Разбивка_по_щитам!C3504</f>
      </c>
      <c r="D3499" s="20">
        <f>Разбивка_по_щитам!F3504</f>
      </c>
      <c r="E3499" s="20">
        <f>Разбивка_по_щитам!H3504</f>
      </c>
      <c r="F3499" s="20">
        <f>Разбивка_по_щитам!I3504</f>
      </c>
      <c r="G3499" s="20">
        <f>Разбивка_по_щитам!J3504</f>
      </c>
      <c r="H3499" s="20">
        <f>Разбивка_по_щитам!K3504</f>
      </c>
      <c r="I3499" s="20">
        <f>Разбивка_по_щитам!L3504</f>
      </c>
      <c r="J3499" s="20">
        <f>Разбивка_по_щитам!M3504</f>
      </c>
      <c r="K3499" s="20">
        <f>Разбивка_по_щитам!N3504</f>
      </c>
      <c r="L3499" s="20"/>
      <c r="M3499" s="20">
        <f>Разбивка_по_щитам!P3504</f>
      </c>
      <c r="N3499" s="20"/>
    </row>
    <row r="3500" spans="2:14" x14ac:dyDescent="0.25">
      <c r="B3500" s="20">
        <f>Разбивка_по_щитам!B3505</f>
      </c>
      <c r="C3500" s="20">
        <f>Разбивка_по_щитам!C3505</f>
      </c>
      <c r="D3500" s="20">
        <f>Разбивка_по_щитам!F3505</f>
      </c>
      <c r="E3500" s="20">
        <f>Разбивка_по_щитам!H3505</f>
      </c>
      <c r="F3500" s="20">
        <f>Разбивка_по_щитам!I3505</f>
      </c>
      <c r="G3500" s="20">
        <f>Разбивка_по_щитам!J3505</f>
      </c>
      <c r="H3500" s="20">
        <f>Разбивка_по_щитам!K3505</f>
      </c>
      <c r="I3500" s="20">
        <f>Разбивка_по_щитам!L3505</f>
      </c>
      <c r="J3500" s="20">
        <f>Разбивка_по_щитам!M3505</f>
      </c>
      <c r="K3500" s="20">
        <f>Разбивка_по_щитам!N3505</f>
      </c>
      <c r="L3500" s="20"/>
      <c r="M3500" s="20">
        <f>Разбивка_по_щитам!P3505</f>
      </c>
      <c r="N3500" s="20"/>
    </row>
    <row r="3501" spans="2:14" x14ac:dyDescent="0.25">
      <c r="B3501" s="20">
        <f>Разбивка_по_щитам!B3506</f>
      </c>
      <c r="C3501" s="20">
        <f>Разбивка_по_щитам!C3506</f>
      </c>
      <c r="D3501" s="20">
        <f>Разбивка_по_щитам!F3506</f>
      </c>
      <c r="E3501" s="20">
        <f>Разбивка_по_щитам!H3506</f>
      </c>
      <c r="F3501" s="20">
        <f>Разбивка_по_щитам!I3506</f>
      </c>
      <c r="G3501" s="20">
        <f>Разбивка_по_щитам!J3506</f>
      </c>
      <c r="H3501" s="20">
        <f>Разбивка_по_щитам!K3506</f>
      </c>
      <c r="I3501" s="20">
        <f>Разбивка_по_щитам!L3506</f>
      </c>
      <c r="J3501" s="20">
        <f>Разбивка_по_щитам!M3506</f>
      </c>
      <c r="K3501" s="20">
        <f>Разбивка_по_щитам!N3506</f>
      </c>
      <c r="L3501" s="20"/>
      <c r="M3501" s="20">
        <f>Разбивка_по_щитам!P3506</f>
      </c>
      <c r="N3501" s="20"/>
    </row>
    <row r="3502" spans="2:14" x14ac:dyDescent="0.25">
      <c r="B3502" s="20">
        <f>Разбивка_по_щитам!B3507</f>
      </c>
      <c r="C3502" s="20">
        <f>Разбивка_по_щитам!C3507</f>
      </c>
      <c r="D3502" s="20">
        <f>Разбивка_по_щитам!F3507</f>
      </c>
      <c r="E3502" s="20">
        <f>Разбивка_по_щитам!H3507</f>
      </c>
      <c r="F3502" s="20">
        <f>Разбивка_по_щитам!I3507</f>
      </c>
      <c r="G3502" s="20">
        <f>Разбивка_по_щитам!J3507</f>
      </c>
      <c r="H3502" s="20">
        <f>Разбивка_по_щитам!K3507</f>
      </c>
      <c r="I3502" s="20">
        <f>Разбивка_по_щитам!L3507</f>
      </c>
      <c r="J3502" s="20">
        <f>Разбивка_по_щитам!M3507</f>
      </c>
      <c r="K3502" s="20">
        <f>Разбивка_по_щитам!N3507</f>
      </c>
      <c r="L3502" s="20"/>
      <c r="M3502" s="20">
        <f>Разбивка_по_щитам!P3507</f>
      </c>
      <c r="N3502" s="20"/>
    </row>
    <row r="3503" spans="2:14" x14ac:dyDescent="0.25">
      <c r="B3503" s="20">
        <f>Разбивка_по_щитам!B3508</f>
      </c>
      <c r="C3503" s="20">
        <f>Разбивка_по_щитам!C3508</f>
      </c>
      <c r="D3503" s="20">
        <f>Разбивка_по_щитам!F3508</f>
      </c>
      <c r="E3503" s="20">
        <f>Разбивка_по_щитам!H3508</f>
      </c>
      <c r="F3503" s="20">
        <f>Разбивка_по_щитам!I3508</f>
      </c>
      <c r="G3503" s="20">
        <f>Разбивка_по_щитам!J3508</f>
      </c>
      <c r="H3503" s="20">
        <f>Разбивка_по_щитам!K3508</f>
      </c>
      <c r="I3503" s="20">
        <f>Разбивка_по_щитам!L3508</f>
      </c>
      <c r="J3503" s="20">
        <f>Разбивка_по_щитам!M3508</f>
      </c>
      <c r="K3503" s="20">
        <f>Разбивка_по_щитам!N3508</f>
      </c>
      <c r="L3503" s="20"/>
      <c r="M3503" s="20">
        <f>Разбивка_по_щитам!P3508</f>
      </c>
      <c r="N3503" s="20"/>
    </row>
    <row r="3504" spans="2:14" x14ac:dyDescent="0.25">
      <c r="B3504" s="20">
        <f>Разбивка_по_щитам!B3509</f>
      </c>
      <c r="C3504" s="20">
        <f>Разбивка_по_щитам!C3509</f>
      </c>
      <c r="D3504" s="20">
        <f>Разбивка_по_щитам!F3509</f>
      </c>
      <c r="E3504" s="20">
        <f>Разбивка_по_щитам!H3509</f>
      </c>
      <c r="F3504" s="20">
        <f>Разбивка_по_щитам!I3509</f>
      </c>
      <c r="G3504" s="20">
        <f>Разбивка_по_щитам!J3509</f>
      </c>
      <c r="H3504" s="20">
        <f>Разбивка_по_щитам!K3509</f>
      </c>
      <c r="I3504" s="20">
        <f>Разбивка_по_щитам!L3509</f>
      </c>
      <c r="J3504" s="20">
        <f>Разбивка_по_щитам!M3509</f>
      </c>
      <c r="K3504" s="20">
        <f>Разбивка_по_щитам!N3509</f>
      </c>
      <c r="L3504" s="20"/>
      <c r="M3504" s="20">
        <f>Разбивка_по_щитам!P3509</f>
      </c>
      <c r="N3504" s="20"/>
    </row>
    <row r="3505" spans="2:14" x14ac:dyDescent="0.25">
      <c r="B3505" s="20">
        <f>Разбивка_по_щитам!B3510</f>
      </c>
      <c r="C3505" s="20">
        <f>Разбивка_по_щитам!C3510</f>
      </c>
      <c r="D3505" s="20">
        <f>Разбивка_по_щитам!F3510</f>
      </c>
      <c r="E3505" s="20">
        <f>Разбивка_по_щитам!H3510</f>
      </c>
      <c r="F3505" s="20">
        <f>Разбивка_по_щитам!I3510</f>
      </c>
      <c r="G3505" s="20">
        <f>Разбивка_по_щитам!J3510</f>
      </c>
      <c r="H3505" s="20">
        <f>Разбивка_по_щитам!K3510</f>
      </c>
      <c r="I3505" s="20">
        <f>Разбивка_по_щитам!L3510</f>
      </c>
      <c r="J3505" s="20">
        <f>Разбивка_по_щитам!M3510</f>
      </c>
      <c r="K3505" s="20">
        <f>Разбивка_по_щитам!N3510</f>
      </c>
      <c r="L3505" s="20"/>
      <c r="M3505" s="20">
        <f>Разбивка_по_щитам!P3510</f>
      </c>
      <c r="N3505" s="20"/>
    </row>
    <row r="3506" spans="2:14" x14ac:dyDescent="0.25">
      <c r="B3506" s="20">
        <f>Разбивка_по_щитам!B3511</f>
      </c>
      <c r="C3506" s="20">
        <f>Разбивка_по_щитам!C3511</f>
      </c>
      <c r="D3506" s="20">
        <f>Разбивка_по_щитам!F3511</f>
      </c>
      <c r="E3506" s="20">
        <f>Разбивка_по_щитам!H3511</f>
      </c>
      <c r="F3506" s="20">
        <f>Разбивка_по_щитам!I3511</f>
      </c>
      <c r="G3506" s="20">
        <f>Разбивка_по_щитам!J3511</f>
      </c>
      <c r="H3506" s="20">
        <f>Разбивка_по_щитам!K3511</f>
      </c>
      <c r="I3506" s="20">
        <f>Разбивка_по_щитам!L3511</f>
      </c>
      <c r="J3506" s="20">
        <f>Разбивка_по_щитам!M3511</f>
      </c>
      <c r="K3506" s="20">
        <f>Разбивка_по_щитам!N3511</f>
      </c>
      <c r="L3506" s="20"/>
      <c r="M3506" s="20">
        <f>Разбивка_по_щитам!P3511</f>
      </c>
      <c r="N3506" s="20"/>
    </row>
    <row r="3507" spans="2:14" x14ac:dyDescent="0.25">
      <c r="B3507" s="20">
        <f>Разбивка_по_щитам!B3512</f>
      </c>
      <c r="C3507" s="20">
        <f>Разбивка_по_щитам!C3512</f>
      </c>
      <c r="D3507" s="20">
        <f>Разбивка_по_щитам!F3512</f>
      </c>
      <c r="E3507" s="20">
        <f>Разбивка_по_щитам!H3512</f>
      </c>
      <c r="F3507" s="20">
        <f>Разбивка_по_щитам!I3512</f>
      </c>
      <c r="G3507" s="20">
        <f>Разбивка_по_щитам!J3512</f>
      </c>
      <c r="H3507" s="20">
        <f>Разбивка_по_щитам!K3512</f>
      </c>
      <c r="I3507" s="20">
        <f>Разбивка_по_щитам!L3512</f>
      </c>
      <c r="J3507" s="20">
        <f>Разбивка_по_щитам!M3512</f>
      </c>
      <c r="K3507" s="20">
        <f>Разбивка_по_щитам!N3512</f>
      </c>
      <c r="L3507" s="20"/>
      <c r="M3507" s="20">
        <f>Разбивка_по_щитам!P3512</f>
      </c>
      <c r="N3507" s="20"/>
    </row>
    <row r="3508" spans="2:14" x14ac:dyDescent="0.25">
      <c r="B3508" s="20">
        <f>Разбивка_по_щитам!B3513</f>
      </c>
      <c r="C3508" s="20">
        <f>Разбивка_по_щитам!C3513</f>
      </c>
      <c r="D3508" s="20">
        <f>Разбивка_по_щитам!F3513</f>
      </c>
      <c r="E3508" s="20">
        <f>Разбивка_по_щитам!H3513</f>
      </c>
      <c r="F3508" s="20">
        <f>Разбивка_по_щитам!I3513</f>
      </c>
      <c r="G3508" s="20">
        <f>Разбивка_по_щитам!J3513</f>
      </c>
      <c r="H3508" s="20">
        <f>Разбивка_по_щитам!K3513</f>
      </c>
      <c r="I3508" s="20">
        <f>Разбивка_по_щитам!L3513</f>
      </c>
      <c r="J3508" s="20">
        <f>Разбивка_по_щитам!M3513</f>
      </c>
      <c r="K3508" s="20">
        <f>Разбивка_по_щитам!N3513</f>
      </c>
      <c r="L3508" s="20"/>
      <c r="M3508" s="20">
        <f>Разбивка_по_щитам!P3513</f>
      </c>
      <c r="N3508" s="20"/>
    </row>
    <row r="3509" spans="2:14" x14ac:dyDescent="0.25">
      <c r="B3509" s="20">
        <f>Разбивка_по_щитам!B3514</f>
      </c>
      <c r="C3509" s="20">
        <f>Разбивка_по_щитам!C3514</f>
      </c>
      <c r="D3509" s="20">
        <f>Разбивка_по_щитам!F3514</f>
      </c>
      <c r="E3509" s="20">
        <f>Разбивка_по_щитам!H3514</f>
      </c>
      <c r="F3509" s="20">
        <f>Разбивка_по_щитам!I3514</f>
      </c>
      <c r="G3509" s="20">
        <f>Разбивка_по_щитам!J3514</f>
      </c>
      <c r="H3509" s="20">
        <f>Разбивка_по_щитам!K3514</f>
      </c>
      <c r="I3509" s="20">
        <f>Разбивка_по_щитам!L3514</f>
      </c>
      <c r="J3509" s="20">
        <f>Разбивка_по_щитам!M3514</f>
      </c>
      <c r="K3509" s="20">
        <f>Разбивка_по_щитам!N3514</f>
      </c>
      <c r="L3509" s="20"/>
      <c r="M3509" s="20">
        <f>Разбивка_по_щитам!P3514</f>
      </c>
      <c r="N3509" s="20"/>
    </row>
    <row r="3510" spans="2:14" x14ac:dyDescent="0.25">
      <c r="B3510" s="20">
        <f>Разбивка_по_щитам!B3515</f>
      </c>
      <c r="C3510" s="20">
        <f>Разбивка_по_щитам!C3515</f>
      </c>
      <c r="D3510" s="20">
        <f>Разбивка_по_щитам!F3515</f>
      </c>
      <c r="E3510" s="20">
        <f>Разбивка_по_щитам!H3515</f>
      </c>
      <c r="F3510" s="20">
        <f>Разбивка_по_щитам!I3515</f>
      </c>
      <c r="G3510" s="20">
        <f>Разбивка_по_щитам!J3515</f>
      </c>
      <c r="H3510" s="20">
        <f>Разбивка_по_щитам!K3515</f>
      </c>
      <c r="I3510" s="20">
        <f>Разбивка_по_щитам!L3515</f>
      </c>
      <c r="J3510" s="20">
        <f>Разбивка_по_щитам!M3515</f>
      </c>
      <c r="K3510" s="20">
        <f>Разбивка_по_щитам!N3515</f>
      </c>
      <c r="L3510" s="20"/>
      <c r="M3510" s="20">
        <f>Разбивка_по_щитам!P3515</f>
      </c>
      <c r="N3510" s="20"/>
    </row>
    <row r="3511" spans="2:14" x14ac:dyDescent="0.25">
      <c r="B3511" s="20">
        <f>Разбивка_по_щитам!B3516</f>
      </c>
      <c r="C3511" s="20">
        <f>Разбивка_по_щитам!C3516</f>
      </c>
      <c r="D3511" s="20">
        <f>Разбивка_по_щитам!F3516</f>
      </c>
      <c r="E3511" s="20">
        <f>Разбивка_по_щитам!H3516</f>
      </c>
      <c r="F3511" s="20">
        <f>Разбивка_по_щитам!I3516</f>
      </c>
      <c r="G3511" s="20">
        <f>Разбивка_по_щитам!J3516</f>
      </c>
      <c r="H3511" s="20">
        <f>Разбивка_по_щитам!K3516</f>
      </c>
      <c r="I3511" s="20">
        <f>Разбивка_по_щитам!L3516</f>
      </c>
      <c r="J3511" s="20">
        <f>Разбивка_по_щитам!M3516</f>
      </c>
      <c r="K3511" s="20">
        <f>Разбивка_по_щитам!N3516</f>
      </c>
      <c r="L3511" s="20"/>
      <c r="M3511" s="20">
        <f>Разбивка_по_щитам!P3516</f>
      </c>
      <c r="N3511" s="20"/>
    </row>
    <row r="3512" spans="2:14" x14ac:dyDescent="0.25">
      <c r="B3512" s="20">
        <f>Разбивка_по_щитам!B3517</f>
      </c>
      <c r="C3512" s="20">
        <f>Разбивка_по_щитам!C3517</f>
      </c>
      <c r="D3512" s="20">
        <f>Разбивка_по_щитам!F3517</f>
      </c>
      <c r="E3512" s="20">
        <f>Разбивка_по_щитам!H3517</f>
      </c>
      <c r="F3512" s="20">
        <f>Разбивка_по_щитам!I3517</f>
      </c>
      <c r="G3512" s="20">
        <f>Разбивка_по_щитам!J3517</f>
      </c>
      <c r="H3512" s="20">
        <f>Разбивка_по_щитам!K3517</f>
      </c>
      <c r="I3512" s="20">
        <f>Разбивка_по_щитам!L3517</f>
      </c>
      <c r="J3512" s="20">
        <f>Разбивка_по_щитам!M3517</f>
      </c>
      <c r="K3512" s="20">
        <f>Разбивка_по_щитам!N3517</f>
      </c>
      <c r="L3512" s="20"/>
      <c r="M3512" s="20">
        <f>Разбивка_по_щитам!P3517</f>
      </c>
      <c r="N3512" s="20"/>
    </row>
    <row r="3513" spans="2:14" x14ac:dyDescent="0.25">
      <c r="B3513" s="20">
        <f>Разбивка_по_щитам!B3518</f>
      </c>
      <c r="C3513" s="20">
        <f>Разбивка_по_щитам!C3518</f>
      </c>
      <c r="D3513" s="20">
        <f>Разбивка_по_щитам!F3518</f>
      </c>
      <c r="E3513" s="20">
        <f>Разбивка_по_щитам!H3518</f>
      </c>
      <c r="F3513" s="20">
        <f>Разбивка_по_щитам!I3518</f>
      </c>
      <c r="G3513" s="20">
        <f>Разбивка_по_щитам!J3518</f>
      </c>
      <c r="H3513" s="20">
        <f>Разбивка_по_щитам!K3518</f>
      </c>
      <c r="I3513" s="20">
        <f>Разбивка_по_щитам!L3518</f>
      </c>
      <c r="J3513" s="20">
        <f>Разбивка_по_щитам!M3518</f>
      </c>
      <c r="K3513" s="20">
        <f>Разбивка_по_щитам!N3518</f>
      </c>
      <c r="L3513" s="20"/>
      <c r="M3513" s="20">
        <f>Разбивка_по_щитам!P3518</f>
      </c>
      <c r="N3513" s="20"/>
    </row>
    <row r="3514" spans="2:14" x14ac:dyDescent="0.25">
      <c r="B3514" s="20">
        <f>Разбивка_по_щитам!B3519</f>
      </c>
      <c r="C3514" s="20">
        <f>Разбивка_по_щитам!C3519</f>
      </c>
      <c r="D3514" s="20">
        <f>Разбивка_по_щитам!F3519</f>
      </c>
      <c r="E3514" s="20">
        <f>Разбивка_по_щитам!H3519</f>
      </c>
      <c r="F3514" s="20">
        <f>Разбивка_по_щитам!I3519</f>
      </c>
      <c r="G3514" s="20">
        <f>Разбивка_по_щитам!J3519</f>
      </c>
      <c r="H3514" s="20">
        <f>Разбивка_по_щитам!K3519</f>
      </c>
      <c r="I3514" s="20">
        <f>Разбивка_по_щитам!L3519</f>
      </c>
      <c r="J3514" s="20">
        <f>Разбивка_по_щитам!M3519</f>
      </c>
      <c r="K3514" s="20">
        <f>Разбивка_по_щитам!N3519</f>
      </c>
      <c r="L3514" s="20"/>
      <c r="M3514" s="20">
        <f>Разбивка_по_щитам!P3519</f>
      </c>
      <c r="N3514" s="20"/>
    </row>
    <row r="3515" spans="2:14" x14ac:dyDescent="0.25">
      <c r="B3515" s="20">
        <f>Разбивка_по_щитам!B3520</f>
      </c>
      <c r="C3515" s="20">
        <f>Разбивка_по_щитам!C3520</f>
      </c>
      <c r="D3515" s="20">
        <f>Разбивка_по_щитам!F3520</f>
      </c>
      <c r="E3515" s="20">
        <f>Разбивка_по_щитам!H3520</f>
      </c>
      <c r="F3515" s="20">
        <f>Разбивка_по_щитам!I3520</f>
      </c>
      <c r="G3515" s="20">
        <f>Разбивка_по_щитам!J3520</f>
      </c>
      <c r="H3515" s="20">
        <f>Разбивка_по_щитам!K3520</f>
      </c>
      <c r="I3515" s="20">
        <f>Разбивка_по_щитам!L3520</f>
      </c>
      <c r="J3515" s="20">
        <f>Разбивка_по_щитам!M3520</f>
      </c>
      <c r="K3515" s="20">
        <f>Разбивка_по_щитам!N3520</f>
      </c>
      <c r="L3515" s="20"/>
      <c r="M3515" s="20">
        <f>Разбивка_по_щитам!P3520</f>
      </c>
      <c r="N3515" s="20"/>
    </row>
    <row r="3516" spans="2:14" x14ac:dyDescent="0.25">
      <c r="B3516" s="20">
        <f>Разбивка_по_щитам!B3521</f>
      </c>
      <c r="C3516" s="20">
        <f>Разбивка_по_щитам!C3521</f>
      </c>
      <c r="D3516" s="20">
        <f>Разбивка_по_щитам!F3521</f>
      </c>
      <c r="E3516" s="20">
        <f>Разбивка_по_щитам!H3521</f>
      </c>
      <c r="F3516" s="20">
        <f>Разбивка_по_щитам!I3521</f>
      </c>
      <c r="G3516" s="20">
        <f>Разбивка_по_щитам!J3521</f>
      </c>
      <c r="H3516" s="20">
        <f>Разбивка_по_щитам!K3521</f>
      </c>
      <c r="I3516" s="20">
        <f>Разбивка_по_щитам!L3521</f>
      </c>
      <c r="J3516" s="20">
        <f>Разбивка_по_щитам!M3521</f>
      </c>
      <c r="K3516" s="20">
        <f>Разбивка_по_щитам!N3521</f>
      </c>
      <c r="L3516" s="20"/>
      <c r="M3516" s="20">
        <f>Разбивка_по_щитам!P3521</f>
      </c>
      <c r="N3516" s="20"/>
    </row>
    <row r="3517" spans="2:14" x14ac:dyDescent="0.25">
      <c r="B3517" s="20">
        <f>Разбивка_по_щитам!B3522</f>
      </c>
      <c r="C3517" s="20">
        <f>Разбивка_по_щитам!C3522</f>
      </c>
      <c r="D3517" s="20">
        <f>Разбивка_по_щитам!F3522</f>
      </c>
      <c r="E3517" s="20">
        <f>Разбивка_по_щитам!H3522</f>
      </c>
      <c r="F3517" s="20">
        <f>Разбивка_по_щитам!I3522</f>
      </c>
      <c r="G3517" s="20">
        <f>Разбивка_по_щитам!J3522</f>
      </c>
      <c r="H3517" s="20">
        <f>Разбивка_по_щитам!K3522</f>
      </c>
      <c r="I3517" s="20">
        <f>Разбивка_по_щитам!L3522</f>
      </c>
      <c r="J3517" s="20">
        <f>Разбивка_по_щитам!M3522</f>
      </c>
      <c r="K3517" s="20">
        <f>Разбивка_по_щитам!N3522</f>
      </c>
      <c r="L3517" s="20"/>
      <c r="M3517" s="20">
        <f>Разбивка_по_щитам!P3522</f>
      </c>
      <c r="N3517" s="20"/>
    </row>
    <row r="3518" spans="2:14" x14ac:dyDescent="0.25">
      <c r="B3518" s="20">
        <f>Разбивка_по_щитам!B3523</f>
      </c>
      <c r="C3518" s="20">
        <f>Разбивка_по_щитам!C3523</f>
      </c>
      <c r="D3518" s="20">
        <f>Разбивка_по_щитам!F3523</f>
      </c>
      <c r="E3518" s="20">
        <f>Разбивка_по_щитам!H3523</f>
      </c>
      <c r="F3518" s="20">
        <f>Разбивка_по_щитам!I3523</f>
      </c>
      <c r="G3518" s="20">
        <f>Разбивка_по_щитам!J3523</f>
      </c>
      <c r="H3518" s="20">
        <f>Разбивка_по_щитам!K3523</f>
      </c>
      <c r="I3518" s="20">
        <f>Разбивка_по_щитам!L3523</f>
      </c>
      <c r="J3518" s="20">
        <f>Разбивка_по_щитам!M3523</f>
      </c>
      <c r="K3518" s="20">
        <f>Разбивка_по_щитам!N3523</f>
      </c>
      <c r="L3518" s="20"/>
      <c r="M3518" s="20">
        <f>Разбивка_по_щитам!P3523</f>
      </c>
      <c r="N3518" s="20"/>
    </row>
    <row r="3519" spans="2:14" x14ac:dyDescent="0.25">
      <c r="B3519" s="20">
        <f>Разбивка_по_щитам!B3524</f>
      </c>
      <c r="C3519" s="20">
        <f>Разбивка_по_щитам!C3524</f>
      </c>
      <c r="D3519" s="20">
        <f>Разбивка_по_щитам!F3524</f>
      </c>
      <c r="E3519" s="20">
        <f>Разбивка_по_щитам!H3524</f>
      </c>
      <c r="F3519" s="20">
        <f>Разбивка_по_щитам!I3524</f>
      </c>
      <c r="G3519" s="20">
        <f>Разбивка_по_щитам!J3524</f>
      </c>
      <c r="H3519" s="20">
        <f>Разбивка_по_щитам!K3524</f>
      </c>
      <c r="I3519" s="20">
        <f>Разбивка_по_щитам!L3524</f>
      </c>
      <c r="J3519" s="20">
        <f>Разбивка_по_щитам!M3524</f>
      </c>
      <c r="K3519" s="20">
        <f>Разбивка_по_щитам!N3524</f>
      </c>
      <c r="L3519" s="20"/>
      <c r="M3519" s="20">
        <f>Разбивка_по_щитам!P3524</f>
      </c>
      <c r="N3519" s="20"/>
    </row>
    <row r="3520" spans="2:14" x14ac:dyDescent="0.25">
      <c r="B3520" s="20">
        <f>Разбивка_по_щитам!B3525</f>
      </c>
      <c r="C3520" s="20">
        <f>Разбивка_по_щитам!C3525</f>
      </c>
      <c r="D3520" s="20">
        <f>Разбивка_по_щитам!F3525</f>
      </c>
      <c r="E3520" s="20">
        <f>Разбивка_по_щитам!H3525</f>
      </c>
      <c r="F3520" s="20">
        <f>Разбивка_по_щитам!I3525</f>
      </c>
      <c r="G3520" s="20">
        <f>Разбивка_по_щитам!J3525</f>
      </c>
      <c r="H3520" s="20">
        <f>Разбивка_по_щитам!K3525</f>
      </c>
      <c r="I3520" s="20">
        <f>Разбивка_по_щитам!L3525</f>
      </c>
      <c r="J3520" s="20">
        <f>Разбивка_по_щитам!M3525</f>
      </c>
      <c r="K3520" s="20">
        <f>Разбивка_по_щитам!N3525</f>
      </c>
      <c r="L3520" s="20"/>
      <c r="M3520" s="20">
        <f>Разбивка_по_щитам!P3525</f>
      </c>
      <c r="N3520" s="20"/>
    </row>
    <row r="3521" spans="2:14" x14ac:dyDescent="0.25">
      <c r="B3521" s="20">
        <f>Разбивка_по_щитам!B3526</f>
      </c>
      <c r="C3521" s="20">
        <f>Разбивка_по_щитам!C3526</f>
      </c>
      <c r="D3521" s="20">
        <f>Разбивка_по_щитам!F3526</f>
      </c>
      <c r="E3521" s="20">
        <f>Разбивка_по_щитам!H3526</f>
      </c>
      <c r="F3521" s="20">
        <f>Разбивка_по_щитам!I3526</f>
      </c>
      <c r="G3521" s="20">
        <f>Разбивка_по_щитам!J3526</f>
      </c>
      <c r="H3521" s="20">
        <f>Разбивка_по_щитам!K3526</f>
      </c>
      <c r="I3521" s="20">
        <f>Разбивка_по_щитам!L3526</f>
      </c>
      <c r="J3521" s="20">
        <f>Разбивка_по_щитам!M3526</f>
      </c>
      <c r="K3521" s="20">
        <f>Разбивка_по_щитам!N3526</f>
      </c>
      <c r="L3521" s="20"/>
      <c r="M3521" s="20">
        <f>Разбивка_по_щитам!P3526</f>
      </c>
      <c r="N3521" s="20"/>
    </row>
    <row r="3522" spans="2:14" x14ac:dyDescent="0.25">
      <c r="B3522" s="20">
        <f>Разбивка_по_щитам!B3527</f>
      </c>
      <c r="C3522" s="20">
        <f>Разбивка_по_щитам!C3527</f>
      </c>
      <c r="D3522" s="20">
        <f>Разбивка_по_щитам!F3527</f>
      </c>
      <c r="E3522" s="20">
        <f>Разбивка_по_щитам!H3527</f>
      </c>
      <c r="F3522" s="20">
        <f>Разбивка_по_щитам!I3527</f>
      </c>
      <c r="G3522" s="20">
        <f>Разбивка_по_щитам!J3527</f>
      </c>
      <c r="H3522" s="20">
        <f>Разбивка_по_щитам!K3527</f>
      </c>
      <c r="I3522" s="20">
        <f>Разбивка_по_щитам!L3527</f>
      </c>
      <c r="J3522" s="20">
        <f>Разбивка_по_щитам!M3527</f>
      </c>
      <c r="K3522" s="20">
        <f>Разбивка_по_щитам!N3527</f>
      </c>
      <c r="L3522" s="20"/>
      <c r="M3522" s="20">
        <f>Разбивка_по_щитам!P3527</f>
      </c>
      <c r="N3522" s="20"/>
    </row>
    <row r="3523" spans="2:14" x14ac:dyDescent="0.25">
      <c r="B3523" s="20">
        <f>Разбивка_по_щитам!B3528</f>
      </c>
      <c r="C3523" s="20">
        <f>Разбивка_по_щитам!C3528</f>
      </c>
      <c r="D3523" s="20">
        <f>Разбивка_по_щитам!F3528</f>
      </c>
      <c r="E3523" s="20">
        <f>Разбивка_по_щитам!H3528</f>
      </c>
      <c r="F3523" s="20">
        <f>Разбивка_по_щитам!I3528</f>
      </c>
      <c r="G3523" s="20">
        <f>Разбивка_по_щитам!J3528</f>
      </c>
      <c r="H3523" s="20">
        <f>Разбивка_по_щитам!K3528</f>
      </c>
      <c r="I3523" s="20">
        <f>Разбивка_по_щитам!L3528</f>
      </c>
      <c r="J3523" s="20">
        <f>Разбивка_по_щитам!M3528</f>
      </c>
      <c r="K3523" s="20">
        <f>Разбивка_по_щитам!N3528</f>
      </c>
      <c r="L3523" s="20"/>
      <c r="M3523" s="20">
        <f>Разбивка_по_щитам!P3528</f>
      </c>
      <c r="N3523" s="20"/>
    </row>
    <row r="3524" spans="2:14" x14ac:dyDescent="0.25">
      <c r="B3524" s="20">
        <f>Разбивка_по_щитам!B3529</f>
      </c>
      <c r="C3524" s="20">
        <f>Разбивка_по_щитам!C3529</f>
      </c>
      <c r="D3524" s="20">
        <f>Разбивка_по_щитам!F3529</f>
      </c>
      <c r="E3524" s="20">
        <f>Разбивка_по_щитам!H3529</f>
      </c>
      <c r="F3524" s="20">
        <f>Разбивка_по_щитам!I3529</f>
      </c>
      <c r="G3524" s="20">
        <f>Разбивка_по_щитам!J3529</f>
      </c>
      <c r="H3524" s="20">
        <f>Разбивка_по_щитам!K3529</f>
      </c>
      <c r="I3524" s="20">
        <f>Разбивка_по_щитам!L3529</f>
      </c>
      <c r="J3524" s="20">
        <f>Разбивка_по_щитам!M3529</f>
      </c>
      <c r="K3524" s="20">
        <f>Разбивка_по_щитам!N3529</f>
      </c>
      <c r="L3524" s="20"/>
      <c r="M3524" s="20">
        <f>Разбивка_по_щитам!P3529</f>
      </c>
      <c r="N3524" s="20"/>
    </row>
    <row r="3525" spans="2:14" x14ac:dyDescent="0.25">
      <c r="B3525" s="20">
        <f>Разбивка_по_щитам!B3530</f>
      </c>
      <c r="C3525" s="20">
        <f>Разбивка_по_щитам!C3530</f>
      </c>
      <c r="D3525" s="20">
        <f>Разбивка_по_щитам!F3530</f>
      </c>
      <c r="E3525" s="20">
        <f>Разбивка_по_щитам!H3530</f>
      </c>
      <c r="F3525" s="20">
        <f>Разбивка_по_щитам!I3530</f>
      </c>
      <c r="G3525" s="20">
        <f>Разбивка_по_щитам!J3530</f>
      </c>
      <c r="H3525" s="20">
        <f>Разбивка_по_щитам!K3530</f>
      </c>
      <c r="I3525" s="20">
        <f>Разбивка_по_щитам!L3530</f>
      </c>
      <c r="J3525" s="20">
        <f>Разбивка_по_щитам!M3530</f>
      </c>
      <c r="K3525" s="20">
        <f>Разбивка_по_щитам!N3530</f>
      </c>
      <c r="L3525" s="20"/>
      <c r="M3525" s="20">
        <f>Разбивка_по_щитам!P3530</f>
      </c>
      <c r="N3525" s="20"/>
    </row>
    <row r="3526" spans="2:14" x14ac:dyDescent="0.25">
      <c r="B3526" s="20">
        <f>Разбивка_по_щитам!B3531</f>
      </c>
      <c r="C3526" s="20">
        <f>Разбивка_по_щитам!C3531</f>
      </c>
      <c r="D3526" s="20">
        <f>Разбивка_по_щитам!F3531</f>
      </c>
      <c r="E3526" s="20">
        <f>Разбивка_по_щитам!H3531</f>
      </c>
      <c r="F3526" s="20">
        <f>Разбивка_по_щитам!I3531</f>
      </c>
      <c r="G3526" s="20">
        <f>Разбивка_по_щитам!J3531</f>
      </c>
      <c r="H3526" s="20">
        <f>Разбивка_по_щитам!K3531</f>
      </c>
      <c r="I3526" s="20">
        <f>Разбивка_по_щитам!L3531</f>
      </c>
      <c r="J3526" s="20">
        <f>Разбивка_по_щитам!M3531</f>
      </c>
      <c r="K3526" s="20">
        <f>Разбивка_по_щитам!N3531</f>
      </c>
      <c r="L3526" s="20"/>
      <c r="M3526" s="20">
        <f>Разбивка_по_щитам!P3531</f>
      </c>
      <c r="N3526" s="20"/>
    </row>
    <row r="3527" spans="2:14" x14ac:dyDescent="0.25">
      <c r="B3527" s="20">
        <f>Разбивка_по_щитам!B3532</f>
      </c>
      <c r="C3527" s="20">
        <f>Разбивка_по_щитам!C3532</f>
      </c>
      <c r="D3527" s="20">
        <f>Разбивка_по_щитам!F3532</f>
      </c>
      <c r="E3527" s="20">
        <f>Разбивка_по_щитам!H3532</f>
      </c>
      <c r="F3527" s="20">
        <f>Разбивка_по_щитам!I3532</f>
      </c>
      <c r="G3527" s="20">
        <f>Разбивка_по_щитам!J3532</f>
      </c>
      <c r="H3527" s="20">
        <f>Разбивка_по_щитам!K3532</f>
      </c>
      <c r="I3527" s="20">
        <f>Разбивка_по_щитам!L3532</f>
      </c>
      <c r="J3527" s="20">
        <f>Разбивка_по_щитам!M3532</f>
      </c>
      <c r="K3527" s="20">
        <f>Разбивка_по_щитам!N3532</f>
      </c>
      <c r="L3527" s="20"/>
      <c r="M3527" s="20">
        <f>Разбивка_по_щитам!P3532</f>
      </c>
      <c r="N3527" s="20"/>
    </row>
    <row r="3528" spans="2:14" x14ac:dyDescent="0.25">
      <c r="B3528" s="20">
        <f>Разбивка_по_щитам!B3533</f>
      </c>
      <c r="C3528" s="20">
        <f>Разбивка_по_щитам!C3533</f>
      </c>
      <c r="D3528" s="20">
        <f>Разбивка_по_щитам!F3533</f>
      </c>
      <c r="E3528" s="20">
        <f>Разбивка_по_щитам!H3533</f>
      </c>
      <c r="F3528" s="20">
        <f>Разбивка_по_щитам!I3533</f>
      </c>
      <c r="G3528" s="20">
        <f>Разбивка_по_щитам!J3533</f>
      </c>
      <c r="H3528" s="20">
        <f>Разбивка_по_щитам!K3533</f>
      </c>
      <c r="I3528" s="20">
        <f>Разбивка_по_щитам!L3533</f>
      </c>
      <c r="J3528" s="20">
        <f>Разбивка_по_щитам!M3533</f>
      </c>
      <c r="K3528" s="20">
        <f>Разбивка_по_щитам!N3533</f>
      </c>
      <c r="L3528" s="20"/>
      <c r="M3528" s="20">
        <f>Разбивка_по_щитам!P3533</f>
      </c>
      <c r="N3528" s="20"/>
    </row>
    <row r="3529" spans="2:14" x14ac:dyDescent="0.25">
      <c r="B3529" s="20">
        <f>Разбивка_по_щитам!B3534</f>
      </c>
      <c r="C3529" s="20">
        <f>Разбивка_по_щитам!C3534</f>
      </c>
      <c r="D3529" s="20">
        <f>Разбивка_по_щитам!F3534</f>
      </c>
      <c r="E3529" s="20">
        <f>Разбивка_по_щитам!H3534</f>
      </c>
      <c r="F3529" s="20">
        <f>Разбивка_по_щитам!I3534</f>
      </c>
      <c r="G3529" s="20">
        <f>Разбивка_по_щитам!J3534</f>
      </c>
      <c r="H3529" s="20">
        <f>Разбивка_по_щитам!K3534</f>
      </c>
      <c r="I3529" s="20">
        <f>Разбивка_по_щитам!L3534</f>
      </c>
      <c r="J3529" s="20">
        <f>Разбивка_по_щитам!M3534</f>
      </c>
      <c r="K3529" s="20">
        <f>Разбивка_по_щитам!N3534</f>
      </c>
      <c r="L3529" s="20"/>
      <c r="M3529" s="20">
        <f>Разбивка_по_щитам!P3534</f>
      </c>
      <c r="N3529" s="20"/>
    </row>
    <row r="3530" spans="2:14" x14ac:dyDescent="0.25">
      <c r="B3530" s="20">
        <f>Разбивка_по_щитам!B3535</f>
      </c>
      <c r="C3530" s="20">
        <f>Разбивка_по_щитам!C3535</f>
      </c>
      <c r="D3530" s="20">
        <f>Разбивка_по_щитам!F3535</f>
      </c>
      <c r="E3530" s="20">
        <f>Разбивка_по_щитам!H3535</f>
      </c>
      <c r="F3530" s="20">
        <f>Разбивка_по_щитам!I3535</f>
      </c>
      <c r="G3530" s="20">
        <f>Разбивка_по_щитам!J3535</f>
      </c>
      <c r="H3530" s="20">
        <f>Разбивка_по_щитам!K3535</f>
      </c>
      <c r="I3530" s="20">
        <f>Разбивка_по_щитам!L3535</f>
      </c>
      <c r="J3530" s="20">
        <f>Разбивка_по_щитам!M3535</f>
      </c>
      <c r="K3530" s="20">
        <f>Разбивка_по_щитам!N3535</f>
      </c>
      <c r="L3530" s="20"/>
      <c r="M3530" s="20">
        <f>Разбивка_по_щитам!P3535</f>
      </c>
      <c r="N3530" s="20"/>
    </row>
    <row r="3531" spans="2:14" x14ac:dyDescent="0.25">
      <c r="B3531" s="20">
        <f>Разбивка_по_щитам!B3536</f>
      </c>
      <c r="C3531" s="20">
        <f>Разбивка_по_щитам!C3536</f>
      </c>
      <c r="D3531" s="20">
        <f>Разбивка_по_щитам!F3536</f>
      </c>
      <c r="E3531" s="20">
        <f>Разбивка_по_щитам!H3536</f>
      </c>
      <c r="F3531" s="20">
        <f>Разбивка_по_щитам!I3536</f>
      </c>
      <c r="G3531" s="20">
        <f>Разбивка_по_щитам!J3536</f>
      </c>
      <c r="H3531" s="20">
        <f>Разбивка_по_щитам!K3536</f>
      </c>
      <c r="I3531" s="20">
        <f>Разбивка_по_щитам!L3536</f>
      </c>
      <c r="J3531" s="20">
        <f>Разбивка_по_щитам!M3536</f>
      </c>
      <c r="K3531" s="20">
        <f>Разбивка_по_щитам!N3536</f>
      </c>
      <c r="L3531" s="20"/>
      <c r="M3531" s="20">
        <f>Разбивка_по_щитам!P3536</f>
      </c>
      <c r="N3531" s="20"/>
    </row>
    <row r="3532" spans="2:14" x14ac:dyDescent="0.25">
      <c r="B3532" s="20">
        <f>Разбивка_по_щитам!B3537</f>
      </c>
      <c r="C3532" s="20">
        <f>Разбивка_по_щитам!C3537</f>
      </c>
      <c r="D3532" s="20">
        <f>Разбивка_по_щитам!F3537</f>
      </c>
      <c r="E3532" s="20">
        <f>Разбивка_по_щитам!H3537</f>
      </c>
      <c r="F3532" s="20">
        <f>Разбивка_по_щитам!I3537</f>
      </c>
      <c r="G3532" s="20">
        <f>Разбивка_по_щитам!J3537</f>
      </c>
      <c r="H3532" s="20">
        <f>Разбивка_по_щитам!K3537</f>
      </c>
      <c r="I3532" s="20">
        <f>Разбивка_по_щитам!L3537</f>
      </c>
      <c r="J3532" s="20">
        <f>Разбивка_по_щитам!M3537</f>
      </c>
      <c r="K3532" s="20">
        <f>Разбивка_по_щитам!N3537</f>
      </c>
      <c r="L3532" s="20"/>
      <c r="M3532" s="20">
        <f>Разбивка_по_щитам!P3537</f>
      </c>
      <c r="N3532" s="20"/>
    </row>
    <row r="3533" spans="2:14" x14ac:dyDescent="0.25">
      <c r="B3533" s="20">
        <f>Разбивка_по_щитам!B3538</f>
      </c>
      <c r="C3533" s="20">
        <f>Разбивка_по_щитам!C3538</f>
      </c>
      <c r="D3533" s="20">
        <f>Разбивка_по_щитам!F3538</f>
      </c>
      <c r="E3533" s="20">
        <f>Разбивка_по_щитам!H3538</f>
      </c>
      <c r="F3533" s="20">
        <f>Разбивка_по_щитам!I3538</f>
      </c>
      <c r="G3533" s="20">
        <f>Разбивка_по_щитам!J3538</f>
      </c>
      <c r="H3533" s="20">
        <f>Разбивка_по_щитам!K3538</f>
      </c>
      <c r="I3533" s="20">
        <f>Разбивка_по_щитам!L3538</f>
      </c>
      <c r="J3533" s="20">
        <f>Разбивка_по_щитам!M3538</f>
      </c>
      <c r="K3533" s="20">
        <f>Разбивка_по_щитам!N3538</f>
      </c>
      <c r="L3533" s="20"/>
      <c r="M3533" s="20">
        <f>Разбивка_по_щитам!P3538</f>
      </c>
      <c r="N3533" s="20"/>
    </row>
    <row r="3534" spans="2:14" x14ac:dyDescent="0.25">
      <c r="B3534" s="20">
        <f>Разбивка_по_щитам!B3539</f>
      </c>
      <c r="C3534" s="20">
        <f>Разбивка_по_щитам!C3539</f>
      </c>
      <c r="D3534" s="20">
        <f>Разбивка_по_щитам!F3539</f>
      </c>
      <c r="E3534" s="20">
        <f>Разбивка_по_щитам!H3539</f>
      </c>
      <c r="F3534" s="20">
        <f>Разбивка_по_щитам!I3539</f>
      </c>
      <c r="G3534" s="20">
        <f>Разбивка_по_щитам!J3539</f>
      </c>
      <c r="H3534" s="20">
        <f>Разбивка_по_щитам!K3539</f>
      </c>
      <c r="I3534" s="20">
        <f>Разбивка_по_щитам!L3539</f>
      </c>
      <c r="J3534" s="20">
        <f>Разбивка_по_щитам!M3539</f>
      </c>
      <c r="K3534" s="20">
        <f>Разбивка_по_щитам!N3539</f>
      </c>
      <c r="L3534" s="20"/>
      <c r="M3534" s="20">
        <f>Разбивка_по_щитам!P3539</f>
      </c>
      <c r="N3534" s="20"/>
    </row>
    <row r="3535" spans="2:14" x14ac:dyDescent="0.25">
      <c r="B3535" s="20">
        <f>Разбивка_по_щитам!B3540</f>
      </c>
      <c r="C3535" s="20">
        <f>Разбивка_по_щитам!C3540</f>
      </c>
      <c r="D3535" s="20">
        <f>Разбивка_по_щитам!F3540</f>
      </c>
      <c r="E3535" s="20">
        <f>Разбивка_по_щитам!H3540</f>
      </c>
      <c r="F3535" s="20">
        <f>Разбивка_по_щитам!I3540</f>
      </c>
      <c r="G3535" s="20">
        <f>Разбивка_по_щитам!J3540</f>
      </c>
      <c r="H3535" s="20">
        <f>Разбивка_по_щитам!K3540</f>
      </c>
      <c r="I3535" s="20">
        <f>Разбивка_по_щитам!L3540</f>
      </c>
      <c r="J3535" s="20">
        <f>Разбивка_по_щитам!M3540</f>
      </c>
      <c r="K3535" s="20">
        <f>Разбивка_по_щитам!N3540</f>
      </c>
      <c r="L3535" s="20"/>
      <c r="M3535" s="20">
        <f>Разбивка_по_щитам!P3540</f>
      </c>
      <c r="N3535" s="20"/>
    </row>
    <row r="3536" spans="2:14" x14ac:dyDescent="0.25">
      <c r="B3536" s="20">
        <f>Разбивка_по_щитам!B3541</f>
      </c>
      <c r="C3536" s="20">
        <f>Разбивка_по_щитам!C3541</f>
      </c>
      <c r="D3536" s="20">
        <f>Разбивка_по_щитам!F3541</f>
      </c>
      <c r="E3536" s="20">
        <f>Разбивка_по_щитам!H3541</f>
      </c>
      <c r="F3536" s="20">
        <f>Разбивка_по_щитам!I3541</f>
      </c>
      <c r="G3536" s="20">
        <f>Разбивка_по_щитам!J3541</f>
      </c>
      <c r="H3536" s="20">
        <f>Разбивка_по_щитам!K3541</f>
      </c>
      <c r="I3536" s="20">
        <f>Разбивка_по_щитам!L3541</f>
      </c>
      <c r="J3536" s="20">
        <f>Разбивка_по_щитам!M3541</f>
      </c>
      <c r="K3536" s="20">
        <f>Разбивка_по_щитам!N3541</f>
      </c>
      <c r="L3536" s="20"/>
      <c r="M3536" s="20">
        <f>Разбивка_по_щитам!P3541</f>
      </c>
      <c r="N3536" s="20"/>
    </row>
    <row r="3537" spans="2:14" x14ac:dyDescent="0.25">
      <c r="B3537" s="20">
        <f>Разбивка_по_щитам!B3542</f>
      </c>
      <c r="C3537" s="20">
        <f>Разбивка_по_щитам!C3542</f>
      </c>
      <c r="D3537" s="20">
        <f>Разбивка_по_щитам!F3542</f>
      </c>
      <c r="E3537" s="20">
        <f>Разбивка_по_щитам!H3542</f>
      </c>
      <c r="F3537" s="20">
        <f>Разбивка_по_щитам!I3542</f>
      </c>
      <c r="G3537" s="20">
        <f>Разбивка_по_щитам!J3542</f>
      </c>
      <c r="H3537" s="20">
        <f>Разбивка_по_щитам!K3542</f>
      </c>
      <c r="I3537" s="20">
        <f>Разбивка_по_щитам!L3542</f>
      </c>
      <c r="J3537" s="20">
        <f>Разбивка_по_щитам!M3542</f>
      </c>
      <c r="K3537" s="20">
        <f>Разбивка_по_щитам!N3542</f>
      </c>
      <c r="L3537" s="20"/>
      <c r="M3537" s="20">
        <f>Разбивка_по_щитам!P3542</f>
      </c>
      <c r="N3537" s="20"/>
    </row>
    <row r="3538" spans="2:14" x14ac:dyDescent="0.25">
      <c r="B3538" s="20">
        <f>Разбивка_по_щитам!B3543</f>
      </c>
      <c r="C3538" s="20">
        <f>Разбивка_по_щитам!C3543</f>
      </c>
      <c r="D3538" s="20">
        <f>Разбивка_по_щитам!F3543</f>
      </c>
      <c r="E3538" s="20">
        <f>Разбивка_по_щитам!H3543</f>
      </c>
      <c r="F3538" s="20">
        <f>Разбивка_по_щитам!I3543</f>
      </c>
      <c r="G3538" s="20">
        <f>Разбивка_по_щитам!J3543</f>
      </c>
      <c r="H3538" s="20">
        <f>Разбивка_по_щитам!K3543</f>
      </c>
      <c r="I3538" s="20">
        <f>Разбивка_по_щитам!L3543</f>
      </c>
      <c r="J3538" s="20">
        <f>Разбивка_по_щитам!M3543</f>
      </c>
      <c r="K3538" s="20">
        <f>Разбивка_по_щитам!N3543</f>
      </c>
      <c r="L3538" s="20"/>
      <c r="M3538" s="20">
        <f>Разбивка_по_щитам!P3543</f>
      </c>
      <c r="N3538" s="20"/>
    </row>
    <row r="3539" spans="2:14" x14ac:dyDescent="0.25">
      <c r="B3539" s="20">
        <f>Разбивка_по_щитам!B3544</f>
      </c>
      <c r="C3539" s="20">
        <f>Разбивка_по_щитам!C3544</f>
      </c>
      <c r="D3539" s="20">
        <f>Разбивка_по_щитам!F3544</f>
      </c>
      <c r="E3539" s="20">
        <f>Разбивка_по_щитам!H3544</f>
      </c>
      <c r="F3539" s="20">
        <f>Разбивка_по_щитам!I3544</f>
      </c>
      <c r="G3539" s="20">
        <f>Разбивка_по_щитам!J3544</f>
      </c>
      <c r="H3539" s="20">
        <f>Разбивка_по_щитам!K3544</f>
      </c>
      <c r="I3539" s="20">
        <f>Разбивка_по_щитам!L3544</f>
      </c>
      <c r="J3539" s="20">
        <f>Разбивка_по_щитам!M3544</f>
      </c>
      <c r="K3539" s="20">
        <f>Разбивка_по_щитам!N3544</f>
      </c>
      <c r="L3539" s="20"/>
      <c r="M3539" s="20">
        <f>Разбивка_по_щитам!P3544</f>
      </c>
      <c r="N3539" s="20"/>
    </row>
    <row r="3540" spans="2:14" x14ac:dyDescent="0.25">
      <c r="B3540" s="20">
        <f>Разбивка_по_щитам!B3545</f>
      </c>
      <c r="C3540" s="20">
        <f>Разбивка_по_щитам!C3545</f>
      </c>
      <c r="D3540" s="20">
        <f>Разбивка_по_щитам!F3545</f>
      </c>
      <c r="E3540" s="20">
        <f>Разбивка_по_щитам!H3545</f>
      </c>
      <c r="F3540" s="20">
        <f>Разбивка_по_щитам!I3545</f>
      </c>
      <c r="G3540" s="20">
        <f>Разбивка_по_щитам!J3545</f>
      </c>
      <c r="H3540" s="20">
        <f>Разбивка_по_щитам!K3545</f>
      </c>
      <c r="I3540" s="20">
        <f>Разбивка_по_щитам!L3545</f>
      </c>
      <c r="J3540" s="20">
        <f>Разбивка_по_щитам!M3545</f>
      </c>
      <c r="K3540" s="20">
        <f>Разбивка_по_щитам!N3545</f>
      </c>
      <c r="L3540" s="20"/>
      <c r="M3540" s="20">
        <f>Разбивка_по_щитам!P3545</f>
      </c>
      <c r="N3540" s="20"/>
    </row>
    <row r="3541" spans="2:14" x14ac:dyDescent="0.25">
      <c r="B3541" s="20">
        <f>Разбивка_по_щитам!B3546</f>
      </c>
      <c r="C3541" s="20">
        <f>Разбивка_по_щитам!C3546</f>
      </c>
      <c r="D3541" s="20">
        <f>Разбивка_по_щитам!F3546</f>
      </c>
      <c r="E3541" s="20">
        <f>Разбивка_по_щитам!H3546</f>
      </c>
      <c r="F3541" s="20">
        <f>Разбивка_по_щитам!I3546</f>
      </c>
      <c r="G3541" s="20">
        <f>Разбивка_по_щитам!J3546</f>
      </c>
      <c r="H3541" s="20">
        <f>Разбивка_по_щитам!K3546</f>
      </c>
      <c r="I3541" s="20">
        <f>Разбивка_по_щитам!L3546</f>
      </c>
      <c r="J3541" s="20">
        <f>Разбивка_по_щитам!M3546</f>
      </c>
      <c r="K3541" s="20">
        <f>Разбивка_по_щитам!N3546</f>
      </c>
      <c r="L3541" s="20"/>
      <c r="M3541" s="20">
        <f>Разбивка_по_щитам!P3546</f>
      </c>
      <c r="N3541" s="20"/>
    </row>
    <row r="3542" spans="2:14" x14ac:dyDescent="0.25">
      <c r="B3542" s="20">
        <f>Разбивка_по_щитам!B3547</f>
      </c>
      <c r="C3542" s="20">
        <f>Разбивка_по_щитам!C3547</f>
      </c>
      <c r="D3542" s="20">
        <f>Разбивка_по_щитам!F3547</f>
      </c>
      <c r="E3542" s="20">
        <f>Разбивка_по_щитам!H3547</f>
      </c>
      <c r="F3542" s="20">
        <f>Разбивка_по_щитам!I3547</f>
      </c>
      <c r="G3542" s="20">
        <f>Разбивка_по_щитам!J3547</f>
      </c>
      <c r="H3542" s="20">
        <f>Разбивка_по_щитам!K3547</f>
      </c>
      <c r="I3542" s="20">
        <f>Разбивка_по_щитам!L3547</f>
      </c>
      <c r="J3542" s="20">
        <f>Разбивка_по_щитам!M3547</f>
      </c>
      <c r="K3542" s="20">
        <f>Разбивка_по_щитам!N3547</f>
      </c>
      <c r="L3542" s="20"/>
      <c r="M3542" s="20">
        <f>Разбивка_по_щитам!P3547</f>
      </c>
      <c r="N3542" s="20"/>
    </row>
    <row r="3543" spans="2:14" x14ac:dyDescent="0.25">
      <c r="B3543" s="20">
        <f>Разбивка_по_щитам!B3548</f>
      </c>
      <c r="C3543" s="20">
        <f>Разбивка_по_щитам!C3548</f>
      </c>
      <c r="D3543" s="20">
        <f>Разбивка_по_щитам!F3548</f>
      </c>
      <c r="E3543" s="20">
        <f>Разбивка_по_щитам!H3548</f>
      </c>
      <c r="F3543" s="20">
        <f>Разбивка_по_щитам!I3548</f>
      </c>
      <c r="G3543" s="20">
        <f>Разбивка_по_щитам!J3548</f>
      </c>
      <c r="H3543" s="20">
        <f>Разбивка_по_щитам!K3548</f>
      </c>
      <c r="I3543" s="20">
        <f>Разбивка_по_щитам!L3548</f>
      </c>
      <c r="J3543" s="20">
        <f>Разбивка_по_щитам!M3548</f>
      </c>
      <c r="K3543" s="20">
        <f>Разбивка_по_щитам!N3548</f>
      </c>
      <c r="L3543" s="20"/>
      <c r="M3543" s="20">
        <f>Разбивка_по_щитам!P3548</f>
      </c>
      <c r="N3543" s="20"/>
    </row>
    <row r="3544" spans="2:14" x14ac:dyDescent="0.25">
      <c r="B3544" s="20">
        <f>Разбивка_по_щитам!B3549</f>
      </c>
      <c r="C3544" s="20">
        <f>Разбивка_по_щитам!C3549</f>
      </c>
      <c r="D3544" s="20">
        <f>Разбивка_по_щитам!F3549</f>
      </c>
      <c r="E3544" s="20">
        <f>Разбивка_по_щитам!H3549</f>
      </c>
      <c r="F3544" s="20">
        <f>Разбивка_по_щитам!I3549</f>
      </c>
      <c r="G3544" s="20">
        <f>Разбивка_по_щитам!J3549</f>
      </c>
      <c r="H3544" s="20">
        <f>Разбивка_по_щитам!K3549</f>
      </c>
      <c r="I3544" s="20">
        <f>Разбивка_по_щитам!L3549</f>
      </c>
      <c r="J3544" s="20">
        <f>Разбивка_по_щитам!M3549</f>
      </c>
      <c r="K3544" s="20">
        <f>Разбивка_по_щитам!N3549</f>
      </c>
      <c r="L3544" s="20"/>
      <c r="M3544" s="20">
        <f>Разбивка_по_щитам!P3549</f>
      </c>
      <c r="N3544" s="20"/>
    </row>
    <row r="3545" spans="2:14" x14ac:dyDescent="0.25">
      <c r="B3545" s="20">
        <f>Разбивка_по_щитам!B3550</f>
      </c>
      <c r="C3545" s="20">
        <f>Разбивка_по_щитам!C3550</f>
      </c>
      <c r="D3545" s="20">
        <f>Разбивка_по_щитам!F3550</f>
      </c>
      <c r="E3545" s="20">
        <f>Разбивка_по_щитам!H3550</f>
      </c>
      <c r="F3545" s="20">
        <f>Разбивка_по_щитам!I3550</f>
      </c>
      <c r="G3545" s="20">
        <f>Разбивка_по_щитам!J3550</f>
      </c>
      <c r="H3545" s="20">
        <f>Разбивка_по_щитам!K3550</f>
      </c>
      <c r="I3545" s="20">
        <f>Разбивка_по_щитам!L3550</f>
      </c>
      <c r="J3545" s="20">
        <f>Разбивка_по_щитам!M3550</f>
      </c>
      <c r="K3545" s="20">
        <f>Разбивка_по_щитам!N3550</f>
      </c>
      <c r="L3545" s="20"/>
      <c r="M3545" s="20">
        <f>Разбивка_по_щитам!P3550</f>
      </c>
      <c r="N3545" s="20"/>
    </row>
    <row r="3546" spans="2:14" x14ac:dyDescent="0.25">
      <c r="B3546" s="20">
        <f>Разбивка_по_щитам!B3551</f>
      </c>
      <c r="C3546" s="20">
        <f>Разбивка_по_щитам!C3551</f>
      </c>
      <c r="D3546" s="20">
        <f>Разбивка_по_щитам!F3551</f>
      </c>
      <c r="E3546" s="20">
        <f>Разбивка_по_щитам!H3551</f>
      </c>
      <c r="F3546" s="20">
        <f>Разбивка_по_щитам!I3551</f>
      </c>
      <c r="G3546" s="20">
        <f>Разбивка_по_щитам!J3551</f>
      </c>
      <c r="H3546" s="20">
        <f>Разбивка_по_щитам!K3551</f>
      </c>
      <c r="I3546" s="20">
        <f>Разбивка_по_щитам!L3551</f>
      </c>
      <c r="J3546" s="20">
        <f>Разбивка_по_щитам!M3551</f>
      </c>
      <c r="K3546" s="20">
        <f>Разбивка_по_щитам!N3551</f>
      </c>
      <c r="L3546" s="20"/>
      <c r="M3546" s="20">
        <f>Разбивка_по_щитам!P3551</f>
      </c>
      <c r="N3546" s="20"/>
    </row>
    <row r="3547" spans="2:14" x14ac:dyDescent="0.25">
      <c r="B3547" s="20">
        <f>Разбивка_по_щитам!B3552</f>
      </c>
      <c r="C3547" s="20">
        <f>Разбивка_по_щитам!C3552</f>
      </c>
      <c r="D3547" s="20">
        <f>Разбивка_по_щитам!F3552</f>
      </c>
      <c r="E3547" s="20">
        <f>Разбивка_по_щитам!H3552</f>
      </c>
      <c r="F3547" s="20">
        <f>Разбивка_по_щитам!I3552</f>
      </c>
      <c r="G3547" s="20">
        <f>Разбивка_по_щитам!J3552</f>
      </c>
      <c r="H3547" s="20">
        <f>Разбивка_по_щитам!K3552</f>
      </c>
      <c r="I3547" s="20">
        <f>Разбивка_по_щитам!L3552</f>
      </c>
      <c r="J3547" s="20">
        <f>Разбивка_по_щитам!M3552</f>
      </c>
      <c r="K3547" s="20">
        <f>Разбивка_по_щитам!N3552</f>
      </c>
      <c r="L3547" s="20"/>
      <c r="M3547" s="20">
        <f>Разбивка_по_щитам!P3552</f>
      </c>
      <c r="N3547" s="20"/>
    </row>
    <row r="3548" spans="2:14" x14ac:dyDescent="0.25">
      <c r="B3548" s="20">
        <f>Разбивка_по_щитам!B3553</f>
      </c>
      <c r="C3548" s="20">
        <f>Разбивка_по_щитам!C3553</f>
      </c>
      <c r="D3548" s="20">
        <f>Разбивка_по_щитам!F3553</f>
      </c>
      <c r="E3548" s="20">
        <f>Разбивка_по_щитам!H3553</f>
      </c>
      <c r="F3548" s="20">
        <f>Разбивка_по_щитам!I3553</f>
      </c>
      <c r="G3548" s="20">
        <f>Разбивка_по_щитам!J3553</f>
      </c>
      <c r="H3548" s="20">
        <f>Разбивка_по_щитам!K3553</f>
      </c>
      <c r="I3548" s="20">
        <f>Разбивка_по_щитам!L3553</f>
      </c>
      <c r="J3548" s="20">
        <f>Разбивка_по_щитам!M3553</f>
      </c>
      <c r="K3548" s="20">
        <f>Разбивка_по_щитам!N3553</f>
      </c>
      <c r="L3548" s="20"/>
      <c r="M3548" s="20">
        <f>Разбивка_по_щитам!P3553</f>
      </c>
      <c r="N3548" s="20"/>
    </row>
    <row r="3549" spans="2:14" x14ac:dyDescent="0.25">
      <c r="B3549" s="20">
        <f>Разбивка_по_щитам!B3554</f>
      </c>
      <c r="C3549" s="20">
        <f>Разбивка_по_щитам!C3554</f>
      </c>
      <c r="D3549" s="20">
        <f>Разбивка_по_щитам!F3554</f>
      </c>
      <c r="E3549" s="20">
        <f>Разбивка_по_щитам!H3554</f>
      </c>
      <c r="F3549" s="20">
        <f>Разбивка_по_щитам!I3554</f>
      </c>
      <c r="G3549" s="20">
        <f>Разбивка_по_щитам!J3554</f>
      </c>
      <c r="H3549" s="20">
        <f>Разбивка_по_щитам!K3554</f>
      </c>
      <c r="I3549" s="20">
        <f>Разбивка_по_щитам!L3554</f>
      </c>
      <c r="J3549" s="20">
        <f>Разбивка_по_щитам!M3554</f>
      </c>
      <c r="K3549" s="20">
        <f>Разбивка_по_щитам!N3554</f>
      </c>
      <c r="L3549" s="20"/>
      <c r="M3549" s="20">
        <f>Разбивка_по_щитам!P3554</f>
      </c>
      <c r="N3549" s="20"/>
    </row>
    <row r="3550" spans="2:14" x14ac:dyDescent="0.25">
      <c r="B3550" s="20">
        <f>Разбивка_по_щитам!B3555</f>
      </c>
      <c r="C3550" s="20">
        <f>Разбивка_по_щитам!C3555</f>
      </c>
      <c r="D3550" s="20">
        <f>Разбивка_по_щитам!F3555</f>
      </c>
      <c r="E3550" s="20">
        <f>Разбивка_по_щитам!H3555</f>
      </c>
      <c r="F3550" s="20">
        <f>Разбивка_по_щитам!I3555</f>
      </c>
      <c r="G3550" s="20">
        <f>Разбивка_по_щитам!J3555</f>
      </c>
      <c r="H3550" s="20">
        <f>Разбивка_по_щитам!K3555</f>
      </c>
      <c r="I3550" s="20">
        <f>Разбивка_по_щитам!L3555</f>
      </c>
      <c r="J3550" s="20">
        <f>Разбивка_по_щитам!M3555</f>
      </c>
      <c r="K3550" s="20">
        <f>Разбивка_по_щитам!N3555</f>
      </c>
      <c r="L3550" s="20"/>
      <c r="M3550" s="20">
        <f>Разбивка_по_щитам!P3555</f>
      </c>
      <c r="N3550" s="20"/>
    </row>
    <row r="3551" spans="2:14" x14ac:dyDescent="0.25">
      <c r="B3551" s="20">
        <f>Разбивка_по_щитам!B3556</f>
      </c>
      <c r="C3551" s="20">
        <f>Разбивка_по_щитам!C3556</f>
      </c>
      <c r="D3551" s="20">
        <f>Разбивка_по_щитам!F3556</f>
      </c>
      <c r="E3551" s="20">
        <f>Разбивка_по_щитам!H3556</f>
      </c>
      <c r="F3551" s="20">
        <f>Разбивка_по_щитам!I3556</f>
      </c>
      <c r="G3551" s="20">
        <f>Разбивка_по_щитам!J3556</f>
      </c>
      <c r="H3551" s="20">
        <f>Разбивка_по_щитам!K3556</f>
      </c>
      <c r="I3551" s="20">
        <f>Разбивка_по_щитам!L3556</f>
      </c>
      <c r="J3551" s="20">
        <f>Разбивка_по_щитам!M3556</f>
      </c>
      <c r="K3551" s="20">
        <f>Разбивка_по_щитам!N3556</f>
      </c>
      <c r="L3551" s="20"/>
      <c r="M3551" s="20">
        <f>Разбивка_по_щитам!P3556</f>
      </c>
      <c r="N3551" s="20"/>
    </row>
    <row r="3552" spans="2:14" x14ac:dyDescent="0.25">
      <c r="B3552" s="20">
        <f>Разбивка_по_щитам!B3557</f>
      </c>
      <c r="C3552" s="20">
        <f>Разбивка_по_щитам!C3557</f>
      </c>
      <c r="D3552" s="20">
        <f>Разбивка_по_щитам!F3557</f>
      </c>
      <c r="E3552" s="20">
        <f>Разбивка_по_щитам!H3557</f>
      </c>
      <c r="F3552" s="20">
        <f>Разбивка_по_щитам!I3557</f>
      </c>
      <c r="G3552" s="20">
        <f>Разбивка_по_щитам!J3557</f>
      </c>
      <c r="H3552" s="20">
        <f>Разбивка_по_щитам!K3557</f>
      </c>
      <c r="I3552" s="20">
        <f>Разбивка_по_щитам!L3557</f>
      </c>
      <c r="J3552" s="20">
        <f>Разбивка_по_щитам!M3557</f>
      </c>
      <c r="K3552" s="20">
        <f>Разбивка_по_щитам!N3557</f>
      </c>
      <c r="L3552" s="20"/>
      <c r="M3552" s="20">
        <f>Разбивка_по_щитам!P3557</f>
      </c>
      <c r="N3552" s="20"/>
    </row>
    <row r="3553" spans="2:14" x14ac:dyDescent="0.25">
      <c r="B3553" s="20">
        <f>Разбивка_по_щитам!B3558</f>
      </c>
      <c r="C3553" s="20">
        <f>Разбивка_по_щитам!C3558</f>
      </c>
      <c r="D3553" s="20">
        <f>Разбивка_по_щитам!F3558</f>
      </c>
      <c r="E3553" s="20">
        <f>Разбивка_по_щитам!H3558</f>
      </c>
      <c r="F3553" s="20">
        <f>Разбивка_по_щитам!I3558</f>
      </c>
      <c r="G3553" s="20">
        <f>Разбивка_по_щитам!J3558</f>
      </c>
      <c r="H3553" s="20">
        <f>Разбивка_по_щитам!K3558</f>
      </c>
      <c r="I3553" s="20">
        <f>Разбивка_по_щитам!L3558</f>
      </c>
      <c r="J3553" s="20">
        <f>Разбивка_по_щитам!M3558</f>
      </c>
      <c r="K3553" s="20">
        <f>Разбивка_по_щитам!N3558</f>
      </c>
      <c r="L3553" s="20"/>
      <c r="M3553" s="20">
        <f>Разбивка_по_щитам!P3558</f>
      </c>
      <c r="N3553" s="20"/>
    </row>
    <row r="3554" spans="2:14" x14ac:dyDescent="0.25">
      <c r="B3554" s="20">
        <f>Разбивка_по_щитам!B3559</f>
      </c>
      <c r="C3554" s="20">
        <f>Разбивка_по_щитам!C3559</f>
      </c>
      <c r="D3554" s="20">
        <f>Разбивка_по_щитам!F3559</f>
      </c>
      <c r="E3554" s="20">
        <f>Разбивка_по_щитам!H3559</f>
      </c>
      <c r="F3554" s="20">
        <f>Разбивка_по_щитам!I3559</f>
      </c>
      <c r="G3554" s="20">
        <f>Разбивка_по_щитам!J3559</f>
      </c>
      <c r="H3554" s="20">
        <f>Разбивка_по_щитам!K3559</f>
      </c>
      <c r="I3554" s="20">
        <f>Разбивка_по_щитам!L3559</f>
      </c>
      <c r="J3554" s="20">
        <f>Разбивка_по_щитам!M3559</f>
      </c>
      <c r="K3554" s="20">
        <f>Разбивка_по_щитам!N3559</f>
      </c>
      <c r="L3554" s="20"/>
      <c r="M3554" s="20">
        <f>Разбивка_по_щитам!P3559</f>
      </c>
      <c r="N3554" s="20"/>
    </row>
    <row r="3555" spans="2:14" x14ac:dyDescent="0.25">
      <c r="B3555" s="20">
        <f>Разбивка_по_щитам!B3560</f>
      </c>
      <c r="C3555" s="20">
        <f>Разбивка_по_щитам!C3560</f>
      </c>
      <c r="D3555" s="20">
        <f>Разбивка_по_щитам!F3560</f>
      </c>
      <c r="E3555" s="20">
        <f>Разбивка_по_щитам!H3560</f>
      </c>
      <c r="F3555" s="20">
        <f>Разбивка_по_щитам!I3560</f>
      </c>
      <c r="G3555" s="20">
        <f>Разбивка_по_щитам!J3560</f>
      </c>
      <c r="H3555" s="20">
        <f>Разбивка_по_щитам!K3560</f>
      </c>
      <c r="I3555" s="20">
        <f>Разбивка_по_щитам!L3560</f>
      </c>
      <c r="J3555" s="20">
        <f>Разбивка_по_щитам!M3560</f>
      </c>
      <c r="K3555" s="20">
        <f>Разбивка_по_щитам!N3560</f>
      </c>
      <c r="L3555" s="20"/>
      <c r="M3555" s="20">
        <f>Разбивка_по_щитам!P3560</f>
      </c>
      <c r="N3555" s="20"/>
    </row>
    <row r="3556" spans="2:14" x14ac:dyDescent="0.25">
      <c r="B3556" s="20">
        <f>Разбивка_по_щитам!B3561</f>
      </c>
      <c r="C3556" s="20">
        <f>Разбивка_по_щитам!C3561</f>
      </c>
      <c r="D3556" s="20">
        <f>Разбивка_по_щитам!F3561</f>
      </c>
      <c r="E3556" s="20">
        <f>Разбивка_по_щитам!H3561</f>
      </c>
      <c r="F3556" s="20">
        <f>Разбивка_по_щитам!I3561</f>
      </c>
      <c r="G3556" s="20">
        <f>Разбивка_по_щитам!J3561</f>
      </c>
      <c r="H3556" s="20">
        <f>Разбивка_по_щитам!K3561</f>
      </c>
      <c r="I3556" s="20">
        <f>Разбивка_по_щитам!L3561</f>
      </c>
      <c r="J3556" s="20">
        <f>Разбивка_по_щитам!M3561</f>
      </c>
      <c r="K3556" s="20">
        <f>Разбивка_по_щитам!N3561</f>
      </c>
      <c r="L3556" s="20"/>
      <c r="M3556" s="20">
        <f>Разбивка_по_щитам!P3561</f>
      </c>
      <c r="N3556" s="20"/>
    </row>
    <row r="3557" spans="2:14" x14ac:dyDescent="0.25">
      <c r="B3557" s="20">
        <f>Разбивка_по_щитам!B3562</f>
      </c>
      <c r="C3557" s="20">
        <f>Разбивка_по_щитам!C3562</f>
      </c>
      <c r="D3557" s="20">
        <f>Разбивка_по_щитам!F3562</f>
      </c>
      <c r="E3557" s="20">
        <f>Разбивка_по_щитам!H3562</f>
      </c>
      <c r="F3557" s="20">
        <f>Разбивка_по_щитам!I3562</f>
      </c>
      <c r="G3557" s="20">
        <f>Разбивка_по_щитам!J3562</f>
      </c>
      <c r="H3557" s="20">
        <f>Разбивка_по_щитам!K3562</f>
      </c>
      <c r="I3557" s="20">
        <f>Разбивка_по_щитам!L3562</f>
      </c>
      <c r="J3557" s="20">
        <f>Разбивка_по_щитам!M3562</f>
      </c>
      <c r="K3557" s="20">
        <f>Разбивка_по_щитам!N3562</f>
      </c>
      <c r="L3557" s="20"/>
      <c r="M3557" s="20">
        <f>Разбивка_по_щитам!P3562</f>
      </c>
      <c r="N3557" s="20"/>
    </row>
    <row r="3558" spans="2:14" x14ac:dyDescent="0.25">
      <c r="B3558" s="20">
        <f>Разбивка_по_щитам!B3563</f>
      </c>
      <c r="C3558" s="20">
        <f>Разбивка_по_щитам!C3563</f>
      </c>
      <c r="D3558" s="20">
        <f>Разбивка_по_щитам!F3563</f>
      </c>
      <c r="E3558" s="20">
        <f>Разбивка_по_щитам!H3563</f>
      </c>
      <c r="F3558" s="20">
        <f>Разбивка_по_щитам!I3563</f>
      </c>
      <c r="G3558" s="20">
        <f>Разбивка_по_щитам!J3563</f>
      </c>
      <c r="H3558" s="20">
        <f>Разбивка_по_щитам!K3563</f>
      </c>
      <c r="I3558" s="20">
        <f>Разбивка_по_щитам!L3563</f>
      </c>
      <c r="J3558" s="20">
        <f>Разбивка_по_щитам!M3563</f>
      </c>
      <c r="K3558" s="20">
        <f>Разбивка_по_щитам!N3563</f>
      </c>
      <c r="L3558" s="20"/>
      <c r="M3558" s="20">
        <f>Разбивка_по_щитам!P3563</f>
      </c>
      <c r="N3558" s="20"/>
    </row>
    <row r="3559" spans="2:14" x14ac:dyDescent="0.25">
      <c r="B3559" s="20">
        <f>Разбивка_по_щитам!B3564</f>
      </c>
      <c r="C3559" s="20">
        <f>Разбивка_по_щитам!C3564</f>
      </c>
      <c r="D3559" s="20">
        <f>Разбивка_по_щитам!F3564</f>
      </c>
      <c r="E3559" s="20">
        <f>Разбивка_по_щитам!H3564</f>
      </c>
      <c r="F3559" s="20">
        <f>Разбивка_по_щитам!I3564</f>
      </c>
      <c r="G3559" s="20">
        <f>Разбивка_по_щитам!J3564</f>
      </c>
      <c r="H3559" s="20">
        <f>Разбивка_по_щитам!K3564</f>
      </c>
      <c r="I3559" s="20">
        <f>Разбивка_по_щитам!L3564</f>
      </c>
      <c r="J3559" s="20">
        <f>Разбивка_по_щитам!M3564</f>
      </c>
      <c r="K3559" s="20">
        <f>Разбивка_по_щитам!N3564</f>
      </c>
      <c r="L3559" s="20"/>
      <c r="M3559" s="20">
        <f>Разбивка_по_щитам!P3564</f>
      </c>
      <c r="N3559" s="20"/>
    </row>
    <row r="3560" spans="2:14" x14ac:dyDescent="0.25">
      <c r="B3560" s="20">
        <f>Разбивка_по_щитам!B3565</f>
      </c>
      <c r="C3560" s="20">
        <f>Разбивка_по_щитам!C3565</f>
      </c>
      <c r="D3560" s="20">
        <f>Разбивка_по_щитам!F3565</f>
      </c>
      <c r="E3560" s="20">
        <f>Разбивка_по_щитам!H3565</f>
      </c>
      <c r="F3560" s="20">
        <f>Разбивка_по_щитам!I3565</f>
      </c>
      <c r="G3560" s="20">
        <f>Разбивка_по_щитам!J3565</f>
      </c>
      <c r="H3560" s="20">
        <f>Разбивка_по_щитам!K3565</f>
      </c>
      <c r="I3560" s="20">
        <f>Разбивка_по_щитам!L3565</f>
      </c>
      <c r="J3560" s="20">
        <f>Разбивка_по_щитам!M3565</f>
      </c>
      <c r="K3560" s="20">
        <f>Разбивка_по_щитам!N3565</f>
      </c>
      <c r="L3560" s="20"/>
      <c r="M3560" s="20">
        <f>Разбивка_по_щитам!P3565</f>
      </c>
      <c r="N3560" s="20"/>
    </row>
    <row r="3561" spans="2:14" x14ac:dyDescent="0.25">
      <c r="B3561" s="20">
        <f>Разбивка_по_щитам!B3566</f>
      </c>
      <c r="C3561" s="20">
        <f>Разбивка_по_щитам!C3566</f>
      </c>
      <c r="D3561" s="20">
        <f>Разбивка_по_щитам!F3566</f>
      </c>
      <c r="E3561" s="20">
        <f>Разбивка_по_щитам!H3566</f>
      </c>
      <c r="F3561" s="20">
        <f>Разбивка_по_щитам!I3566</f>
      </c>
      <c r="G3561" s="20">
        <f>Разбивка_по_щитам!J3566</f>
      </c>
      <c r="H3561" s="20">
        <f>Разбивка_по_щитам!K3566</f>
      </c>
      <c r="I3561" s="20">
        <f>Разбивка_по_щитам!L3566</f>
      </c>
      <c r="J3561" s="20">
        <f>Разбивка_по_щитам!M3566</f>
      </c>
      <c r="K3561" s="20">
        <f>Разбивка_по_щитам!N3566</f>
      </c>
      <c r="L3561" s="20"/>
      <c r="M3561" s="20">
        <f>Разбивка_по_щитам!P3566</f>
      </c>
      <c r="N3561" s="20"/>
    </row>
    <row r="3562" spans="2:14" x14ac:dyDescent="0.25">
      <c r="B3562" s="20">
        <f>Разбивка_по_щитам!B3567</f>
      </c>
      <c r="C3562" s="20">
        <f>Разбивка_по_щитам!C3567</f>
      </c>
      <c r="D3562" s="20">
        <f>Разбивка_по_щитам!F3567</f>
      </c>
      <c r="E3562" s="20">
        <f>Разбивка_по_щитам!H3567</f>
      </c>
      <c r="F3562" s="20">
        <f>Разбивка_по_щитам!I3567</f>
      </c>
      <c r="G3562" s="20">
        <f>Разбивка_по_щитам!J3567</f>
      </c>
      <c r="H3562" s="20">
        <f>Разбивка_по_щитам!K3567</f>
      </c>
      <c r="I3562" s="20">
        <f>Разбивка_по_щитам!L3567</f>
      </c>
      <c r="J3562" s="20">
        <f>Разбивка_по_щитам!M3567</f>
      </c>
      <c r="K3562" s="20">
        <f>Разбивка_по_щитам!N3567</f>
      </c>
      <c r="L3562" s="20"/>
      <c r="M3562" s="20">
        <f>Разбивка_по_щитам!P3567</f>
      </c>
      <c r="N3562" s="20"/>
    </row>
    <row r="3563" spans="2:14" x14ac:dyDescent="0.25">
      <c r="B3563" s="20">
        <f>Разбивка_по_щитам!B3568</f>
      </c>
      <c r="C3563" s="20">
        <f>Разбивка_по_щитам!C3568</f>
      </c>
      <c r="D3563" s="20">
        <f>Разбивка_по_щитам!F3568</f>
      </c>
      <c r="E3563" s="20">
        <f>Разбивка_по_щитам!H3568</f>
      </c>
      <c r="F3563" s="20">
        <f>Разбивка_по_щитам!I3568</f>
      </c>
      <c r="G3563" s="20">
        <f>Разбивка_по_щитам!J3568</f>
      </c>
      <c r="H3563" s="20">
        <f>Разбивка_по_щитам!K3568</f>
      </c>
      <c r="I3563" s="20">
        <f>Разбивка_по_щитам!L3568</f>
      </c>
      <c r="J3563" s="20">
        <f>Разбивка_по_щитам!M3568</f>
      </c>
      <c r="K3563" s="20">
        <f>Разбивка_по_щитам!N3568</f>
      </c>
      <c r="L3563" s="20"/>
      <c r="M3563" s="20">
        <f>Разбивка_по_щитам!P3568</f>
      </c>
      <c r="N3563" s="20"/>
    </row>
    <row r="3564" spans="2:14" x14ac:dyDescent="0.25">
      <c r="B3564" s="20">
        <f>Разбивка_по_щитам!B3569</f>
      </c>
      <c r="C3564" s="20">
        <f>Разбивка_по_щитам!C3569</f>
      </c>
      <c r="D3564" s="20">
        <f>Разбивка_по_щитам!F3569</f>
      </c>
      <c r="E3564" s="20">
        <f>Разбивка_по_щитам!H3569</f>
      </c>
      <c r="F3564" s="20">
        <f>Разбивка_по_щитам!I3569</f>
      </c>
      <c r="G3564" s="20">
        <f>Разбивка_по_щитам!J3569</f>
      </c>
      <c r="H3564" s="20">
        <f>Разбивка_по_щитам!K3569</f>
      </c>
      <c r="I3564" s="20">
        <f>Разбивка_по_щитам!L3569</f>
      </c>
      <c r="J3564" s="20">
        <f>Разбивка_по_щитам!M3569</f>
      </c>
      <c r="K3564" s="20">
        <f>Разбивка_по_щитам!N3569</f>
      </c>
      <c r="L3564" s="20"/>
      <c r="M3564" s="20">
        <f>Разбивка_по_щитам!P3569</f>
      </c>
      <c r="N3564" s="20"/>
    </row>
    <row r="3565" spans="2:14" x14ac:dyDescent="0.25">
      <c r="B3565" s="20">
        <f>Разбивка_по_щитам!B3570</f>
      </c>
      <c r="C3565" s="20">
        <f>Разбивка_по_щитам!C3570</f>
      </c>
      <c r="D3565" s="20">
        <f>Разбивка_по_щитам!F3570</f>
      </c>
      <c r="E3565" s="20">
        <f>Разбивка_по_щитам!H3570</f>
      </c>
      <c r="F3565" s="20">
        <f>Разбивка_по_щитам!I3570</f>
      </c>
      <c r="G3565" s="20">
        <f>Разбивка_по_щитам!J3570</f>
      </c>
      <c r="H3565" s="20">
        <f>Разбивка_по_щитам!K3570</f>
      </c>
      <c r="I3565" s="20">
        <f>Разбивка_по_щитам!L3570</f>
      </c>
      <c r="J3565" s="20">
        <f>Разбивка_по_щитам!M3570</f>
      </c>
      <c r="K3565" s="20">
        <f>Разбивка_по_щитам!N3570</f>
      </c>
      <c r="L3565" s="20"/>
      <c r="M3565" s="20">
        <f>Разбивка_по_щитам!P3570</f>
      </c>
      <c r="N3565" s="20"/>
    </row>
    <row r="3566" spans="2:14" x14ac:dyDescent="0.25">
      <c r="B3566" s="20">
        <f>Разбивка_по_щитам!B3571</f>
      </c>
      <c r="C3566" s="20">
        <f>Разбивка_по_щитам!C3571</f>
      </c>
      <c r="D3566" s="20">
        <f>Разбивка_по_щитам!F3571</f>
      </c>
      <c r="E3566" s="20">
        <f>Разбивка_по_щитам!H3571</f>
      </c>
      <c r="F3566" s="20">
        <f>Разбивка_по_щитам!I3571</f>
      </c>
      <c r="G3566" s="20">
        <f>Разбивка_по_щитам!J3571</f>
      </c>
      <c r="H3566" s="20">
        <f>Разбивка_по_щитам!K3571</f>
      </c>
      <c r="I3566" s="20">
        <f>Разбивка_по_щитам!L3571</f>
      </c>
      <c r="J3566" s="20">
        <f>Разбивка_по_щитам!M3571</f>
      </c>
      <c r="K3566" s="20">
        <f>Разбивка_по_щитам!N3571</f>
      </c>
      <c r="L3566" s="20"/>
      <c r="M3566" s="20">
        <f>Разбивка_по_щитам!P3571</f>
      </c>
      <c r="N3566" s="20"/>
    </row>
    <row r="3567" spans="2:14" x14ac:dyDescent="0.25">
      <c r="B3567" s="20">
        <f>Разбивка_по_щитам!B3572</f>
      </c>
      <c r="C3567" s="20">
        <f>Разбивка_по_щитам!C3572</f>
      </c>
      <c r="D3567" s="20">
        <f>Разбивка_по_щитам!F3572</f>
      </c>
      <c r="E3567" s="20">
        <f>Разбивка_по_щитам!H3572</f>
      </c>
      <c r="F3567" s="20">
        <f>Разбивка_по_щитам!I3572</f>
      </c>
      <c r="G3567" s="20">
        <f>Разбивка_по_щитам!J3572</f>
      </c>
      <c r="H3567" s="20">
        <f>Разбивка_по_щитам!K3572</f>
      </c>
      <c r="I3567" s="20">
        <f>Разбивка_по_щитам!L3572</f>
      </c>
      <c r="J3567" s="20">
        <f>Разбивка_по_щитам!M3572</f>
      </c>
      <c r="K3567" s="20">
        <f>Разбивка_по_щитам!N3572</f>
      </c>
      <c r="L3567" s="20"/>
      <c r="M3567" s="20">
        <f>Разбивка_по_щитам!P3572</f>
      </c>
      <c r="N3567" s="20"/>
    </row>
    <row r="3568" spans="2:14" x14ac:dyDescent="0.25">
      <c r="B3568" s="20">
        <f>Разбивка_по_щитам!B3573</f>
      </c>
      <c r="C3568" s="20">
        <f>Разбивка_по_щитам!C3573</f>
      </c>
      <c r="D3568" s="20">
        <f>Разбивка_по_щитам!F3573</f>
      </c>
      <c r="E3568" s="20">
        <f>Разбивка_по_щитам!H3573</f>
      </c>
      <c r="F3568" s="20">
        <f>Разбивка_по_щитам!I3573</f>
      </c>
      <c r="G3568" s="20">
        <f>Разбивка_по_щитам!J3573</f>
      </c>
      <c r="H3568" s="20">
        <f>Разбивка_по_щитам!K3573</f>
      </c>
      <c r="I3568" s="20">
        <f>Разбивка_по_щитам!L3573</f>
      </c>
      <c r="J3568" s="20">
        <f>Разбивка_по_щитам!M3573</f>
      </c>
      <c r="K3568" s="20">
        <f>Разбивка_по_щитам!N3573</f>
      </c>
      <c r="L3568" s="20"/>
      <c r="M3568" s="20">
        <f>Разбивка_по_щитам!P3573</f>
      </c>
      <c r="N3568" s="20"/>
    </row>
    <row r="3569" spans="2:14" x14ac:dyDescent="0.25">
      <c r="B3569" s="20">
        <f>Разбивка_по_щитам!B3574</f>
      </c>
      <c r="C3569" s="20">
        <f>Разбивка_по_щитам!C3574</f>
      </c>
      <c r="D3569" s="20">
        <f>Разбивка_по_щитам!F3574</f>
      </c>
      <c r="E3569" s="20">
        <f>Разбивка_по_щитам!H3574</f>
      </c>
      <c r="F3569" s="20">
        <f>Разбивка_по_щитам!I3574</f>
      </c>
      <c r="G3569" s="20">
        <f>Разбивка_по_щитам!J3574</f>
      </c>
      <c r="H3569" s="20">
        <f>Разбивка_по_щитам!K3574</f>
      </c>
      <c r="I3569" s="20">
        <f>Разбивка_по_щитам!L3574</f>
      </c>
      <c r="J3569" s="20">
        <f>Разбивка_по_щитам!M3574</f>
      </c>
      <c r="K3569" s="20">
        <f>Разбивка_по_щитам!N3574</f>
      </c>
      <c r="L3569" s="20"/>
      <c r="M3569" s="20">
        <f>Разбивка_по_щитам!P3574</f>
      </c>
      <c r="N3569" s="20"/>
    </row>
    <row r="3570" spans="2:14" x14ac:dyDescent="0.25">
      <c r="B3570" s="20">
        <f>Разбивка_по_щитам!B3575</f>
      </c>
      <c r="C3570" s="20">
        <f>Разбивка_по_щитам!C3575</f>
      </c>
      <c r="D3570" s="20">
        <f>Разбивка_по_щитам!F3575</f>
      </c>
      <c r="E3570" s="20">
        <f>Разбивка_по_щитам!H3575</f>
      </c>
      <c r="F3570" s="20">
        <f>Разбивка_по_щитам!I3575</f>
      </c>
      <c r="G3570" s="20">
        <f>Разбивка_по_щитам!J3575</f>
      </c>
      <c r="H3570" s="20">
        <f>Разбивка_по_щитам!K3575</f>
      </c>
      <c r="I3570" s="20">
        <f>Разбивка_по_щитам!L3575</f>
      </c>
      <c r="J3570" s="20">
        <f>Разбивка_по_щитам!M3575</f>
      </c>
      <c r="K3570" s="20">
        <f>Разбивка_по_щитам!N3575</f>
      </c>
      <c r="L3570" s="20"/>
      <c r="M3570" s="20">
        <f>Разбивка_по_щитам!P3575</f>
      </c>
      <c r="N3570" s="20"/>
    </row>
    <row r="3571" spans="2:14" x14ac:dyDescent="0.25">
      <c r="B3571" s="20">
        <f>Разбивка_по_щитам!B3576</f>
      </c>
      <c r="C3571" s="20">
        <f>Разбивка_по_щитам!C3576</f>
      </c>
      <c r="D3571" s="20">
        <f>Разбивка_по_щитам!F3576</f>
      </c>
      <c r="E3571" s="20">
        <f>Разбивка_по_щитам!H3576</f>
      </c>
      <c r="F3571" s="20">
        <f>Разбивка_по_щитам!I3576</f>
      </c>
      <c r="G3571" s="20">
        <f>Разбивка_по_щитам!J3576</f>
      </c>
      <c r="H3571" s="20">
        <f>Разбивка_по_щитам!K3576</f>
      </c>
      <c r="I3571" s="20">
        <f>Разбивка_по_щитам!L3576</f>
      </c>
      <c r="J3571" s="20">
        <f>Разбивка_по_щитам!M3576</f>
      </c>
      <c r="K3571" s="20">
        <f>Разбивка_по_щитам!N3576</f>
      </c>
      <c r="L3571" s="20"/>
      <c r="M3571" s="20">
        <f>Разбивка_по_щитам!P3576</f>
      </c>
      <c r="N3571" s="20"/>
    </row>
    <row r="3572" spans="2:14" x14ac:dyDescent="0.25">
      <c r="B3572" s="20">
        <f>Разбивка_по_щитам!B3577</f>
      </c>
      <c r="C3572" s="20">
        <f>Разбивка_по_щитам!C3577</f>
      </c>
      <c r="D3572" s="20">
        <f>Разбивка_по_щитам!F3577</f>
      </c>
      <c r="E3572" s="20">
        <f>Разбивка_по_щитам!H3577</f>
      </c>
      <c r="F3572" s="20">
        <f>Разбивка_по_щитам!I3577</f>
      </c>
      <c r="G3572" s="20">
        <f>Разбивка_по_щитам!J3577</f>
      </c>
      <c r="H3572" s="20">
        <f>Разбивка_по_щитам!K3577</f>
      </c>
      <c r="I3572" s="20">
        <f>Разбивка_по_щитам!L3577</f>
      </c>
      <c r="J3572" s="20">
        <f>Разбивка_по_щитам!M3577</f>
      </c>
      <c r="K3572" s="20">
        <f>Разбивка_по_щитам!N3577</f>
      </c>
      <c r="L3572" s="20"/>
      <c r="M3572" s="20">
        <f>Разбивка_по_щитам!P3577</f>
      </c>
      <c r="N3572" s="20"/>
    </row>
    <row r="3573" spans="2:14" x14ac:dyDescent="0.25">
      <c r="B3573" s="20">
        <f>Разбивка_по_щитам!B3578</f>
      </c>
      <c r="C3573" s="20">
        <f>Разбивка_по_щитам!C3578</f>
      </c>
      <c r="D3573" s="20">
        <f>Разбивка_по_щитам!F3578</f>
      </c>
      <c r="E3573" s="20">
        <f>Разбивка_по_щитам!H3578</f>
      </c>
      <c r="F3573" s="20">
        <f>Разбивка_по_щитам!I3578</f>
      </c>
      <c r="G3573" s="20">
        <f>Разбивка_по_щитам!J3578</f>
      </c>
      <c r="H3573" s="20">
        <f>Разбивка_по_щитам!K3578</f>
      </c>
      <c r="I3573" s="20">
        <f>Разбивка_по_щитам!L3578</f>
      </c>
      <c r="J3573" s="20">
        <f>Разбивка_по_щитам!M3578</f>
      </c>
      <c r="K3573" s="20">
        <f>Разбивка_по_щитам!N3578</f>
      </c>
      <c r="L3573" s="20"/>
      <c r="M3573" s="20">
        <f>Разбивка_по_щитам!P3578</f>
      </c>
      <c r="N3573" s="20"/>
    </row>
    <row r="3574" spans="2:14" x14ac:dyDescent="0.25">
      <c r="B3574" s="20">
        <f>Разбивка_по_щитам!B3579</f>
      </c>
      <c r="C3574" s="20">
        <f>Разбивка_по_щитам!C3579</f>
      </c>
      <c r="D3574" s="20">
        <f>Разбивка_по_щитам!F3579</f>
      </c>
      <c r="E3574" s="20">
        <f>Разбивка_по_щитам!H3579</f>
      </c>
      <c r="F3574" s="20">
        <f>Разбивка_по_щитам!I3579</f>
      </c>
      <c r="G3574" s="20">
        <f>Разбивка_по_щитам!J3579</f>
      </c>
      <c r="H3574" s="20">
        <f>Разбивка_по_щитам!K3579</f>
      </c>
      <c r="I3574" s="20">
        <f>Разбивка_по_щитам!L3579</f>
      </c>
      <c r="J3574" s="20">
        <f>Разбивка_по_щитам!M3579</f>
      </c>
      <c r="K3574" s="20">
        <f>Разбивка_по_щитам!N3579</f>
      </c>
      <c r="L3574" s="20"/>
      <c r="M3574" s="20">
        <f>Разбивка_по_щитам!P3579</f>
      </c>
      <c r="N3574" s="20"/>
    </row>
    <row r="3575" spans="2:14" x14ac:dyDescent="0.25">
      <c r="B3575" s="20">
        <f>Разбивка_по_щитам!B3580</f>
      </c>
      <c r="C3575" s="20">
        <f>Разбивка_по_щитам!C3580</f>
      </c>
      <c r="D3575" s="20">
        <f>Разбивка_по_щитам!F3580</f>
      </c>
      <c r="E3575" s="20">
        <f>Разбивка_по_щитам!H3580</f>
      </c>
      <c r="F3575" s="20">
        <f>Разбивка_по_щитам!I3580</f>
      </c>
      <c r="G3575" s="20">
        <f>Разбивка_по_щитам!J3580</f>
      </c>
      <c r="H3575" s="20">
        <f>Разбивка_по_щитам!K3580</f>
      </c>
      <c r="I3575" s="20">
        <f>Разбивка_по_щитам!L3580</f>
      </c>
      <c r="J3575" s="20">
        <f>Разбивка_по_щитам!M3580</f>
      </c>
      <c r="K3575" s="20">
        <f>Разбивка_по_щитам!N3580</f>
      </c>
      <c r="L3575" s="20"/>
      <c r="M3575" s="20">
        <f>Разбивка_по_щитам!P3580</f>
      </c>
      <c r="N3575" s="20"/>
    </row>
    <row r="3576" spans="2:14" x14ac:dyDescent="0.25">
      <c r="B3576" s="20">
        <f>Разбивка_по_щитам!B3581</f>
      </c>
      <c r="C3576" s="20">
        <f>Разбивка_по_щитам!C3581</f>
      </c>
      <c r="D3576" s="20">
        <f>Разбивка_по_щитам!F3581</f>
      </c>
      <c r="E3576" s="20">
        <f>Разбивка_по_щитам!H3581</f>
      </c>
      <c r="F3576" s="20">
        <f>Разбивка_по_щитам!I3581</f>
      </c>
      <c r="G3576" s="20">
        <f>Разбивка_по_щитам!J3581</f>
      </c>
      <c r="H3576" s="20">
        <f>Разбивка_по_щитам!K3581</f>
      </c>
      <c r="I3576" s="20">
        <f>Разбивка_по_щитам!L3581</f>
      </c>
      <c r="J3576" s="20">
        <f>Разбивка_по_щитам!M3581</f>
      </c>
      <c r="K3576" s="20">
        <f>Разбивка_по_щитам!N3581</f>
      </c>
      <c r="L3576" s="20"/>
      <c r="M3576" s="20">
        <f>Разбивка_по_щитам!P3581</f>
      </c>
      <c r="N3576" s="20"/>
    </row>
    <row r="3577" spans="2:14" x14ac:dyDescent="0.25">
      <c r="B3577" s="20">
        <f>Разбивка_по_щитам!B3582</f>
      </c>
      <c r="C3577" s="20">
        <f>Разбивка_по_щитам!C3582</f>
      </c>
      <c r="D3577" s="20">
        <f>Разбивка_по_щитам!F3582</f>
      </c>
      <c r="E3577" s="20">
        <f>Разбивка_по_щитам!H3582</f>
      </c>
      <c r="F3577" s="20">
        <f>Разбивка_по_щитам!I3582</f>
      </c>
      <c r="G3577" s="20">
        <f>Разбивка_по_щитам!J3582</f>
      </c>
      <c r="H3577" s="20">
        <f>Разбивка_по_щитам!K3582</f>
      </c>
      <c r="I3577" s="20">
        <f>Разбивка_по_щитам!L3582</f>
      </c>
      <c r="J3577" s="20">
        <f>Разбивка_по_щитам!M3582</f>
      </c>
      <c r="K3577" s="20">
        <f>Разбивка_по_щитам!N3582</f>
      </c>
      <c r="L3577" s="20"/>
      <c r="M3577" s="20">
        <f>Разбивка_по_щитам!P3582</f>
      </c>
      <c r="N3577" s="20"/>
    </row>
    <row r="3578" spans="2:14" x14ac:dyDescent="0.25">
      <c r="B3578" s="20">
        <f>Разбивка_по_щитам!B3583</f>
      </c>
      <c r="C3578" s="20">
        <f>Разбивка_по_щитам!C3583</f>
      </c>
      <c r="D3578" s="20">
        <f>Разбивка_по_щитам!F3583</f>
      </c>
      <c r="E3578" s="20">
        <f>Разбивка_по_щитам!H3583</f>
      </c>
      <c r="F3578" s="20">
        <f>Разбивка_по_щитам!I3583</f>
      </c>
      <c r="G3578" s="20">
        <f>Разбивка_по_щитам!J3583</f>
      </c>
      <c r="H3578" s="20">
        <f>Разбивка_по_щитам!K3583</f>
      </c>
      <c r="I3578" s="20">
        <f>Разбивка_по_щитам!L3583</f>
      </c>
      <c r="J3578" s="20">
        <f>Разбивка_по_щитам!M3583</f>
      </c>
      <c r="K3578" s="20">
        <f>Разбивка_по_щитам!N3583</f>
      </c>
      <c r="L3578" s="20"/>
      <c r="M3578" s="20">
        <f>Разбивка_по_щитам!P3583</f>
      </c>
      <c r="N3578" s="20"/>
    </row>
    <row r="3579" spans="2:14" x14ac:dyDescent="0.25">
      <c r="B3579" s="20">
        <f>Разбивка_по_щитам!B3584</f>
      </c>
      <c r="C3579" s="20">
        <f>Разбивка_по_щитам!C3584</f>
      </c>
      <c r="D3579" s="20">
        <f>Разбивка_по_щитам!F3584</f>
      </c>
      <c r="E3579" s="20">
        <f>Разбивка_по_щитам!H3584</f>
      </c>
      <c r="F3579" s="20">
        <f>Разбивка_по_щитам!I3584</f>
      </c>
      <c r="G3579" s="20">
        <f>Разбивка_по_щитам!J3584</f>
      </c>
      <c r="H3579" s="20">
        <f>Разбивка_по_щитам!K3584</f>
      </c>
      <c r="I3579" s="20">
        <f>Разбивка_по_щитам!L3584</f>
      </c>
      <c r="J3579" s="20">
        <f>Разбивка_по_щитам!M3584</f>
      </c>
      <c r="K3579" s="20">
        <f>Разбивка_по_щитам!N3584</f>
      </c>
      <c r="L3579" s="20"/>
      <c r="M3579" s="20">
        <f>Разбивка_по_щитам!P3584</f>
      </c>
      <c r="N3579" s="20"/>
    </row>
    <row r="3580" spans="2:14" x14ac:dyDescent="0.25">
      <c r="B3580" s="20">
        <f>Разбивка_по_щитам!B3585</f>
      </c>
      <c r="C3580" s="20">
        <f>Разбивка_по_щитам!C3585</f>
      </c>
      <c r="D3580" s="20">
        <f>Разбивка_по_щитам!F3585</f>
      </c>
      <c r="E3580" s="20">
        <f>Разбивка_по_щитам!H3585</f>
      </c>
      <c r="F3580" s="20">
        <f>Разбивка_по_щитам!I3585</f>
      </c>
      <c r="G3580" s="20">
        <f>Разбивка_по_щитам!J3585</f>
      </c>
      <c r="H3580" s="20">
        <f>Разбивка_по_щитам!K3585</f>
      </c>
      <c r="I3580" s="20">
        <f>Разбивка_по_щитам!L3585</f>
      </c>
      <c r="J3580" s="20">
        <f>Разбивка_по_щитам!M3585</f>
      </c>
      <c r="K3580" s="20">
        <f>Разбивка_по_щитам!N3585</f>
      </c>
      <c r="L3580" s="20"/>
      <c r="M3580" s="20">
        <f>Разбивка_по_щитам!P3585</f>
      </c>
      <c r="N3580" s="20"/>
    </row>
    <row r="3581" spans="2:14" x14ac:dyDescent="0.25">
      <c r="B3581" s="20">
        <f>Разбивка_по_щитам!B3586</f>
      </c>
      <c r="C3581" s="20">
        <f>Разбивка_по_щитам!C3586</f>
      </c>
      <c r="D3581" s="20">
        <f>Разбивка_по_щитам!F3586</f>
      </c>
      <c r="E3581" s="20">
        <f>Разбивка_по_щитам!H3586</f>
      </c>
      <c r="F3581" s="20">
        <f>Разбивка_по_щитам!I3586</f>
      </c>
      <c r="G3581" s="20">
        <f>Разбивка_по_щитам!J3586</f>
      </c>
      <c r="H3581" s="20">
        <f>Разбивка_по_щитам!K3586</f>
      </c>
      <c r="I3581" s="20">
        <f>Разбивка_по_щитам!L3586</f>
      </c>
      <c r="J3581" s="20">
        <f>Разбивка_по_щитам!M3586</f>
      </c>
      <c r="K3581" s="20">
        <f>Разбивка_по_щитам!N3586</f>
      </c>
      <c r="L3581" s="20"/>
      <c r="M3581" s="20">
        <f>Разбивка_по_щитам!P3586</f>
      </c>
      <c r="N3581" s="20"/>
    </row>
    <row r="3582" spans="2:14" x14ac:dyDescent="0.25">
      <c r="B3582" s="20">
        <f>Разбивка_по_щитам!B3587</f>
      </c>
      <c r="C3582" s="20">
        <f>Разбивка_по_щитам!C3587</f>
      </c>
      <c r="D3582" s="20">
        <f>Разбивка_по_щитам!F3587</f>
      </c>
      <c r="E3582" s="20">
        <f>Разбивка_по_щитам!H3587</f>
      </c>
      <c r="F3582" s="20">
        <f>Разбивка_по_щитам!I3587</f>
      </c>
      <c r="G3582" s="20">
        <f>Разбивка_по_щитам!J3587</f>
      </c>
      <c r="H3582" s="20">
        <f>Разбивка_по_щитам!K3587</f>
      </c>
      <c r="I3582" s="20">
        <f>Разбивка_по_щитам!L3587</f>
      </c>
      <c r="J3582" s="20">
        <f>Разбивка_по_щитам!M3587</f>
      </c>
      <c r="K3582" s="20">
        <f>Разбивка_по_щитам!N3587</f>
      </c>
      <c r="L3582" s="20"/>
      <c r="M3582" s="20">
        <f>Разбивка_по_щитам!P3587</f>
      </c>
      <c r="N3582" s="20"/>
    </row>
    <row r="3583" spans="2:14" x14ac:dyDescent="0.25">
      <c r="B3583" s="20">
        <f>Разбивка_по_щитам!B3588</f>
      </c>
      <c r="C3583" s="20">
        <f>Разбивка_по_щитам!C3588</f>
      </c>
      <c r="D3583" s="20">
        <f>Разбивка_по_щитам!F3588</f>
      </c>
      <c r="E3583" s="20">
        <f>Разбивка_по_щитам!H3588</f>
      </c>
      <c r="F3583" s="20">
        <f>Разбивка_по_щитам!I3588</f>
      </c>
      <c r="G3583" s="20">
        <f>Разбивка_по_щитам!J3588</f>
      </c>
      <c r="H3583" s="20">
        <f>Разбивка_по_щитам!K3588</f>
      </c>
      <c r="I3583" s="20">
        <f>Разбивка_по_щитам!L3588</f>
      </c>
      <c r="J3583" s="20">
        <f>Разбивка_по_щитам!M3588</f>
      </c>
      <c r="K3583" s="20">
        <f>Разбивка_по_щитам!N3588</f>
      </c>
      <c r="L3583" s="20"/>
      <c r="M3583" s="20">
        <f>Разбивка_по_щитам!P3588</f>
      </c>
      <c r="N3583" s="20"/>
    </row>
    <row r="3584" spans="2:14" x14ac:dyDescent="0.25">
      <c r="B3584" s="20">
        <f>Разбивка_по_щитам!B3589</f>
      </c>
      <c r="C3584" s="20">
        <f>Разбивка_по_щитам!C3589</f>
      </c>
      <c r="D3584" s="20">
        <f>Разбивка_по_щитам!F3589</f>
      </c>
      <c r="E3584" s="20">
        <f>Разбивка_по_щитам!H3589</f>
      </c>
      <c r="F3584" s="20">
        <f>Разбивка_по_щитам!I3589</f>
      </c>
      <c r="G3584" s="20">
        <f>Разбивка_по_щитам!J3589</f>
      </c>
      <c r="H3584" s="20">
        <f>Разбивка_по_щитам!K3589</f>
      </c>
      <c r="I3584" s="20">
        <f>Разбивка_по_щитам!L3589</f>
      </c>
      <c r="J3584" s="20">
        <f>Разбивка_по_щитам!M3589</f>
      </c>
      <c r="K3584" s="20">
        <f>Разбивка_по_щитам!N3589</f>
      </c>
      <c r="L3584" s="20"/>
      <c r="M3584" s="20">
        <f>Разбивка_по_щитам!P3589</f>
      </c>
      <c r="N3584" s="20"/>
    </row>
    <row r="3585" spans="2:14" x14ac:dyDescent="0.25">
      <c r="B3585" s="20">
        <f>Разбивка_по_щитам!B3590</f>
      </c>
      <c r="C3585" s="20">
        <f>Разбивка_по_щитам!C3590</f>
      </c>
      <c r="D3585" s="20">
        <f>Разбивка_по_щитам!F3590</f>
      </c>
      <c r="E3585" s="20">
        <f>Разбивка_по_щитам!H3590</f>
      </c>
      <c r="F3585" s="20">
        <f>Разбивка_по_щитам!I3590</f>
      </c>
      <c r="G3585" s="20">
        <f>Разбивка_по_щитам!J3590</f>
      </c>
      <c r="H3585" s="20">
        <f>Разбивка_по_щитам!K3590</f>
      </c>
      <c r="I3585" s="20">
        <f>Разбивка_по_щитам!L3590</f>
      </c>
      <c r="J3585" s="20">
        <f>Разбивка_по_щитам!M3590</f>
      </c>
      <c r="K3585" s="20">
        <f>Разбивка_по_щитам!N3590</f>
      </c>
      <c r="L3585" s="20"/>
      <c r="M3585" s="20">
        <f>Разбивка_по_щитам!P3590</f>
      </c>
      <c r="N3585" s="20"/>
    </row>
    <row r="3586" spans="2:14" x14ac:dyDescent="0.25">
      <c r="B3586" s="20">
        <f>Разбивка_по_щитам!B3591</f>
      </c>
      <c r="C3586" s="20">
        <f>Разбивка_по_щитам!C3591</f>
      </c>
      <c r="D3586" s="20">
        <f>Разбивка_по_щитам!F3591</f>
      </c>
      <c r="E3586" s="20">
        <f>Разбивка_по_щитам!H3591</f>
      </c>
      <c r="F3586" s="20">
        <f>Разбивка_по_щитам!I3591</f>
      </c>
      <c r="G3586" s="20">
        <f>Разбивка_по_щитам!J3591</f>
      </c>
      <c r="H3586" s="20">
        <f>Разбивка_по_щитам!K3591</f>
      </c>
      <c r="I3586" s="20">
        <f>Разбивка_по_щитам!L3591</f>
      </c>
      <c r="J3586" s="20">
        <f>Разбивка_по_щитам!M3591</f>
      </c>
      <c r="K3586" s="20">
        <f>Разбивка_по_щитам!N3591</f>
      </c>
      <c r="L3586" s="20"/>
      <c r="M3586" s="20">
        <f>Разбивка_по_щитам!P3591</f>
      </c>
      <c r="N3586" s="20"/>
    </row>
    <row r="3587" spans="2:14" x14ac:dyDescent="0.25">
      <c r="B3587" s="20">
        <f>Разбивка_по_щитам!B3592</f>
      </c>
      <c r="C3587" s="20">
        <f>Разбивка_по_щитам!C3592</f>
      </c>
      <c r="D3587" s="20">
        <f>Разбивка_по_щитам!F3592</f>
      </c>
      <c r="E3587" s="20">
        <f>Разбивка_по_щитам!H3592</f>
      </c>
      <c r="F3587" s="20">
        <f>Разбивка_по_щитам!I3592</f>
      </c>
      <c r="G3587" s="20">
        <f>Разбивка_по_щитам!J3592</f>
      </c>
      <c r="H3587" s="20">
        <f>Разбивка_по_щитам!K3592</f>
      </c>
      <c r="I3587" s="20">
        <f>Разбивка_по_щитам!L3592</f>
      </c>
      <c r="J3587" s="20">
        <f>Разбивка_по_щитам!M3592</f>
      </c>
      <c r="K3587" s="20">
        <f>Разбивка_по_щитам!N3592</f>
      </c>
      <c r="L3587" s="20"/>
      <c r="M3587" s="20">
        <f>Разбивка_по_щитам!P3592</f>
      </c>
      <c r="N3587" s="20"/>
    </row>
    <row r="3588" spans="2:14" x14ac:dyDescent="0.25">
      <c r="B3588" s="20">
        <f>Разбивка_по_щитам!B3593</f>
      </c>
      <c r="C3588" s="20">
        <f>Разбивка_по_щитам!C3593</f>
      </c>
      <c r="D3588" s="20">
        <f>Разбивка_по_щитам!F3593</f>
      </c>
      <c r="E3588" s="20">
        <f>Разбивка_по_щитам!H3593</f>
      </c>
      <c r="F3588" s="20">
        <f>Разбивка_по_щитам!I3593</f>
      </c>
      <c r="G3588" s="20">
        <f>Разбивка_по_щитам!J3593</f>
      </c>
      <c r="H3588" s="20">
        <f>Разбивка_по_щитам!K3593</f>
      </c>
      <c r="I3588" s="20">
        <f>Разбивка_по_щитам!L3593</f>
      </c>
      <c r="J3588" s="20">
        <f>Разбивка_по_щитам!M3593</f>
      </c>
      <c r="K3588" s="20">
        <f>Разбивка_по_щитам!N3593</f>
      </c>
      <c r="L3588" s="20"/>
      <c r="M3588" s="20">
        <f>Разбивка_по_щитам!P3593</f>
      </c>
      <c r="N3588" s="20"/>
    </row>
    <row r="3589" spans="2:14" x14ac:dyDescent="0.25">
      <c r="B3589" s="20">
        <f>Разбивка_по_щитам!B3594</f>
      </c>
      <c r="C3589" s="20">
        <f>Разбивка_по_щитам!C3594</f>
      </c>
      <c r="D3589" s="20">
        <f>Разбивка_по_щитам!F3594</f>
      </c>
      <c r="E3589" s="20">
        <f>Разбивка_по_щитам!H3594</f>
      </c>
      <c r="F3589" s="20">
        <f>Разбивка_по_щитам!I3594</f>
      </c>
      <c r="G3589" s="20">
        <f>Разбивка_по_щитам!J3594</f>
      </c>
      <c r="H3589" s="20">
        <f>Разбивка_по_щитам!K3594</f>
      </c>
      <c r="I3589" s="20">
        <f>Разбивка_по_щитам!L3594</f>
      </c>
      <c r="J3589" s="20">
        <f>Разбивка_по_щитам!M3594</f>
      </c>
      <c r="K3589" s="20">
        <f>Разбивка_по_щитам!N3594</f>
      </c>
      <c r="L3589" s="20"/>
      <c r="M3589" s="20">
        <f>Разбивка_по_щитам!P3594</f>
      </c>
      <c r="N3589" s="20"/>
    </row>
    <row r="3590" spans="2:14" x14ac:dyDescent="0.25">
      <c r="B3590" s="20">
        <f>Разбивка_по_щитам!B3595</f>
      </c>
      <c r="C3590" s="20">
        <f>Разбивка_по_щитам!C3595</f>
      </c>
      <c r="D3590" s="20">
        <f>Разбивка_по_щитам!F3595</f>
      </c>
      <c r="E3590" s="20">
        <f>Разбивка_по_щитам!H3595</f>
      </c>
      <c r="F3590" s="20">
        <f>Разбивка_по_щитам!I3595</f>
      </c>
      <c r="G3590" s="20">
        <f>Разбивка_по_щитам!J3595</f>
      </c>
      <c r="H3590" s="20">
        <f>Разбивка_по_щитам!K3595</f>
      </c>
      <c r="I3590" s="20">
        <f>Разбивка_по_щитам!L3595</f>
      </c>
      <c r="J3590" s="20">
        <f>Разбивка_по_щитам!M3595</f>
      </c>
      <c r="K3590" s="20">
        <f>Разбивка_по_щитам!N3595</f>
      </c>
      <c r="L3590" s="20"/>
      <c r="M3590" s="20">
        <f>Разбивка_по_щитам!P3595</f>
      </c>
      <c r="N3590" s="20"/>
    </row>
    <row r="3591" spans="2:14" x14ac:dyDescent="0.25">
      <c r="B3591" s="20">
        <f>Разбивка_по_щитам!B3596</f>
      </c>
      <c r="C3591" s="20">
        <f>Разбивка_по_щитам!C3596</f>
      </c>
      <c r="D3591" s="20">
        <f>Разбивка_по_щитам!F3596</f>
      </c>
      <c r="E3591" s="20">
        <f>Разбивка_по_щитам!H3596</f>
      </c>
      <c r="F3591" s="20">
        <f>Разбивка_по_щитам!I3596</f>
      </c>
      <c r="G3591" s="20">
        <f>Разбивка_по_щитам!J3596</f>
      </c>
      <c r="H3591" s="20">
        <f>Разбивка_по_щитам!K3596</f>
      </c>
      <c r="I3591" s="20">
        <f>Разбивка_по_щитам!L3596</f>
      </c>
      <c r="J3591" s="20">
        <f>Разбивка_по_щитам!M3596</f>
      </c>
      <c r="K3591" s="20">
        <f>Разбивка_по_щитам!N3596</f>
      </c>
      <c r="L3591" s="20"/>
      <c r="M3591" s="20">
        <f>Разбивка_по_щитам!P3596</f>
      </c>
      <c r="N3591" s="20"/>
    </row>
    <row r="3592" spans="2:14" x14ac:dyDescent="0.25">
      <c r="B3592" s="20">
        <f>Разбивка_по_щитам!B3597</f>
      </c>
      <c r="C3592" s="20">
        <f>Разбивка_по_щитам!C3597</f>
      </c>
      <c r="D3592" s="20">
        <f>Разбивка_по_щитам!F3597</f>
      </c>
      <c r="E3592" s="20">
        <f>Разбивка_по_щитам!H3597</f>
      </c>
      <c r="F3592" s="20">
        <f>Разбивка_по_щитам!I3597</f>
      </c>
      <c r="G3592" s="20">
        <f>Разбивка_по_щитам!J3597</f>
      </c>
      <c r="H3592" s="20">
        <f>Разбивка_по_щитам!K3597</f>
      </c>
      <c r="I3592" s="20">
        <f>Разбивка_по_щитам!L3597</f>
      </c>
      <c r="J3592" s="20">
        <f>Разбивка_по_щитам!M3597</f>
      </c>
      <c r="K3592" s="20">
        <f>Разбивка_по_щитам!N3597</f>
      </c>
      <c r="L3592" s="20"/>
      <c r="M3592" s="20">
        <f>Разбивка_по_щитам!P3597</f>
      </c>
      <c r="N3592" s="20"/>
    </row>
    <row r="3593" spans="2:14" x14ac:dyDescent="0.25">
      <c r="B3593" s="20">
        <f>Разбивка_по_щитам!B3598</f>
      </c>
      <c r="C3593" s="20">
        <f>Разбивка_по_щитам!C3598</f>
      </c>
      <c r="D3593" s="20">
        <f>Разбивка_по_щитам!F3598</f>
      </c>
      <c r="E3593" s="20">
        <f>Разбивка_по_щитам!H3598</f>
      </c>
      <c r="F3593" s="20">
        <f>Разбивка_по_щитам!I3598</f>
      </c>
      <c r="G3593" s="20">
        <f>Разбивка_по_щитам!J3598</f>
      </c>
      <c r="H3593" s="20">
        <f>Разбивка_по_щитам!K3598</f>
      </c>
      <c r="I3593" s="20">
        <f>Разбивка_по_щитам!L3598</f>
      </c>
      <c r="J3593" s="20">
        <f>Разбивка_по_щитам!M3598</f>
      </c>
      <c r="K3593" s="20">
        <f>Разбивка_по_щитам!N3598</f>
      </c>
      <c r="L3593" s="20"/>
      <c r="M3593" s="20">
        <f>Разбивка_по_щитам!P3598</f>
      </c>
      <c r="N3593" s="20"/>
    </row>
    <row r="3594" spans="2:14" x14ac:dyDescent="0.25">
      <c r="B3594" s="20">
        <f>Разбивка_по_щитам!B3599</f>
      </c>
      <c r="C3594" s="20">
        <f>Разбивка_по_щитам!C3599</f>
      </c>
      <c r="D3594" s="20">
        <f>Разбивка_по_щитам!F3599</f>
      </c>
      <c r="E3594" s="20">
        <f>Разбивка_по_щитам!H3599</f>
      </c>
      <c r="F3594" s="20">
        <f>Разбивка_по_щитам!I3599</f>
      </c>
      <c r="G3594" s="20">
        <f>Разбивка_по_щитам!J3599</f>
      </c>
      <c r="H3594" s="20">
        <f>Разбивка_по_щитам!K3599</f>
      </c>
      <c r="I3594" s="20">
        <f>Разбивка_по_щитам!L3599</f>
      </c>
      <c r="J3594" s="20">
        <f>Разбивка_по_щитам!M3599</f>
      </c>
      <c r="K3594" s="20">
        <f>Разбивка_по_щитам!N3599</f>
      </c>
      <c r="L3594" s="20"/>
      <c r="M3594" s="20">
        <f>Разбивка_по_щитам!P3599</f>
      </c>
      <c r="N3594" s="20"/>
    </row>
    <row r="3595" spans="2:14" x14ac:dyDescent="0.25">
      <c r="B3595" s="20">
        <f>Разбивка_по_щитам!B3600</f>
      </c>
      <c r="C3595" s="20">
        <f>Разбивка_по_щитам!C3600</f>
      </c>
      <c r="D3595" s="20">
        <f>Разбивка_по_щитам!F3600</f>
      </c>
      <c r="E3595" s="20">
        <f>Разбивка_по_щитам!H3600</f>
      </c>
      <c r="F3595" s="20">
        <f>Разбивка_по_щитам!I3600</f>
      </c>
      <c r="G3595" s="20">
        <f>Разбивка_по_щитам!J3600</f>
      </c>
      <c r="H3595" s="20">
        <f>Разбивка_по_щитам!K3600</f>
      </c>
      <c r="I3595" s="20">
        <f>Разбивка_по_щитам!L3600</f>
      </c>
      <c r="J3595" s="20">
        <f>Разбивка_по_щитам!M3600</f>
      </c>
      <c r="K3595" s="20">
        <f>Разбивка_по_щитам!N3600</f>
      </c>
      <c r="L3595" s="20"/>
      <c r="M3595" s="20">
        <f>Разбивка_по_щитам!P3600</f>
      </c>
      <c r="N3595" s="20"/>
    </row>
    <row r="3596" spans="2:14" x14ac:dyDescent="0.25">
      <c r="B3596" s="20">
        <f>Разбивка_по_щитам!B3601</f>
      </c>
      <c r="C3596" s="20">
        <f>Разбивка_по_щитам!C3601</f>
      </c>
      <c r="D3596" s="20">
        <f>Разбивка_по_щитам!F3601</f>
      </c>
      <c r="E3596" s="20">
        <f>Разбивка_по_щитам!H3601</f>
      </c>
      <c r="F3596" s="20">
        <f>Разбивка_по_щитам!I3601</f>
      </c>
      <c r="G3596" s="20">
        <f>Разбивка_по_щитам!J3601</f>
      </c>
      <c r="H3596" s="20">
        <f>Разбивка_по_щитам!K3601</f>
      </c>
      <c r="I3596" s="20">
        <f>Разбивка_по_щитам!L3601</f>
      </c>
      <c r="J3596" s="20">
        <f>Разбивка_по_щитам!M3601</f>
      </c>
      <c r="K3596" s="20">
        <f>Разбивка_по_щитам!N3601</f>
      </c>
      <c r="L3596" s="20"/>
      <c r="M3596" s="20">
        <f>Разбивка_по_щитам!P3601</f>
      </c>
      <c r="N3596" s="20"/>
    </row>
    <row r="3597" spans="2:14" x14ac:dyDescent="0.25">
      <c r="B3597" s="20">
        <f>Разбивка_по_щитам!B3602</f>
      </c>
      <c r="C3597" s="20">
        <f>Разбивка_по_щитам!C3602</f>
      </c>
      <c r="D3597" s="20">
        <f>Разбивка_по_щитам!F3602</f>
      </c>
      <c r="E3597" s="20">
        <f>Разбивка_по_щитам!H3602</f>
      </c>
      <c r="F3597" s="20">
        <f>Разбивка_по_щитам!I3602</f>
      </c>
      <c r="G3597" s="20">
        <f>Разбивка_по_щитам!J3602</f>
      </c>
      <c r="H3597" s="20">
        <f>Разбивка_по_щитам!K3602</f>
      </c>
      <c r="I3597" s="20">
        <f>Разбивка_по_щитам!L3602</f>
      </c>
      <c r="J3597" s="20">
        <f>Разбивка_по_щитам!M3602</f>
      </c>
      <c r="K3597" s="20">
        <f>Разбивка_по_щитам!N3602</f>
      </c>
      <c r="L3597" s="20"/>
      <c r="M3597" s="20">
        <f>Разбивка_по_щитам!P3602</f>
      </c>
      <c r="N3597" s="20"/>
    </row>
    <row r="3598" spans="2:14" x14ac:dyDescent="0.25">
      <c r="B3598" s="20">
        <f>Разбивка_по_щитам!B3603</f>
      </c>
      <c r="C3598" s="20">
        <f>Разбивка_по_щитам!C3603</f>
      </c>
      <c r="D3598" s="20">
        <f>Разбивка_по_щитам!F3603</f>
      </c>
      <c r="E3598" s="20">
        <f>Разбивка_по_щитам!H3603</f>
      </c>
      <c r="F3598" s="20">
        <f>Разбивка_по_щитам!I3603</f>
      </c>
      <c r="G3598" s="20">
        <f>Разбивка_по_щитам!J3603</f>
      </c>
      <c r="H3598" s="20">
        <f>Разбивка_по_щитам!K3603</f>
      </c>
      <c r="I3598" s="20">
        <f>Разбивка_по_щитам!L3603</f>
      </c>
      <c r="J3598" s="20">
        <f>Разбивка_по_щитам!M3603</f>
      </c>
      <c r="K3598" s="20">
        <f>Разбивка_по_щитам!N3603</f>
      </c>
      <c r="L3598" s="20"/>
      <c r="M3598" s="20">
        <f>Разбивка_по_щитам!P3603</f>
      </c>
      <c r="N3598" s="20"/>
    </row>
    <row r="3599" spans="2:14" x14ac:dyDescent="0.25">
      <c r="B3599" s="20">
        <f>Разбивка_по_щитам!B3604</f>
      </c>
      <c r="C3599" s="20">
        <f>Разбивка_по_щитам!C3604</f>
      </c>
      <c r="D3599" s="20">
        <f>Разбивка_по_щитам!F3604</f>
      </c>
      <c r="E3599" s="20">
        <f>Разбивка_по_щитам!H3604</f>
      </c>
      <c r="F3599" s="20">
        <f>Разбивка_по_щитам!I3604</f>
      </c>
      <c r="G3599" s="20">
        <f>Разбивка_по_щитам!J3604</f>
      </c>
      <c r="H3599" s="20">
        <f>Разбивка_по_щитам!K3604</f>
      </c>
      <c r="I3599" s="20">
        <f>Разбивка_по_щитам!L3604</f>
      </c>
      <c r="J3599" s="20">
        <f>Разбивка_по_щитам!M3604</f>
      </c>
      <c r="K3599" s="20">
        <f>Разбивка_по_щитам!N3604</f>
      </c>
      <c r="L3599" s="20"/>
      <c r="M3599" s="20">
        <f>Разбивка_по_щитам!P3604</f>
      </c>
      <c r="N3599" s="20"/>
    </row>
    <row r="3600" spans="2:14" x14ac:dyDescent="0.25">
      <c r="B3600" s="20">
        <f>Разбивка_по_щитам!B3605</f>
      </c>
      <c r="C3600" s="20">
        <f>Разбивка_по_щитам!C3605</f>
      </c>
      <c r="D3600" s="20">
        <f>Разбивка_по_щитам!F3605</f>
      </c>
      <c r="E3600" s="20">
        <f>Разбивка_по_щитам!H3605</f>
      </c>
      <c r="F3600" s="20">
        <f>Разбивка_по_щитам!I3605</f>
      </c>
      <c r="G3600" s="20">
        <f>Разбивка_по_щитам!J3605</f>
      </c>
      <c r="H3600" s="20">
        <f>Разбивка_по_щитам!K3605</f>
      </c>
      <c r="I3600" s="20">
        <f>Разбивка_по_щитам!L3605</f>
      </c>
      <c r="J3600" s="20">
        <f>Разбивка_по_щитам!M3605</f>
      </c>
      <c r="K3600" s="20">
        <f>Разбивка_по_щитам!N3605</f>
      </c>
      <c r="L3600" s="20"/>
      <c r="M3600" s="20">
        <f>Разбивка_по_щитам!P3605</f>
      </c>
      <c r="N3600" s="20"/>
    </row>
    <row r="3601" spans="2:14" x14ac:dyDescent="0.25">
      <c r="B3601" s="20">
        <f>Разбивка_по_щитам!B3606</f>
      </c>
      <c r="C3601" s="20">
        <f>Разбивка_по_щитам!C3606</f>
      </c>
      <c r="D3601" s="20">
        <f>Разбивка_по_щитам!F3606</f>
      </c>
      <c r="E3601" s="20">
        <f>Разбивка_по_щитам!H3606</f>
      </c>
      <c r="F3601" s="20">
        <f>Разбивка_по_щитам!I3606</f>
      </c>
      <c r="G3601" s="20">
        <f>Разбивка_по_щитам!J3606</f>
      </c>
      <c r="H3601" s="20">
        <f>Разбивка_по_щитам!K3606</f>
      </c>
      <c r="I3601" s="20">
        <f>Разбивка_по_щитам!L3606</f>
      </c>
      <c r="J3601" s="20">
        <f>Разбивка_по_щитам!M3606</f>
      </c>
      <c r="K3601" s="20">
        <f>Разбивка_по_щитам!N3606</f>
      </c>
      <c r="L3601" s="20"/>
      <c r="M3601" s="20">
        <f>Разбивка_по_щитам!P3606</f>
      </c>
      <c r="N3601" s="20"/>
    </row>
    <row r="3602" spans="2:14" x14ac:dyDescent="0.25">
      <c r="B3602" s="20">
        <f>Разбивка_по_щитам!B3607</f>
      </c>
      <c r="C3602" s="20">
        <f>Разбивка_по_щитам!C3607</f>
      </c>
      <c r="D3602" s="20">
        <f>Разбивка_по_щитам!F3607</f>
      </c>
      <c r="E3602" s="20">
        <f>Разбивка_по_щитам!H3607</f>
      </c>
      <c r="F3602" s="20">
        <f>Разбивка_по_щитам!I3607</f>
      </c>
      <c r="G3602" s="20">
        <f>Разбивка_по_щитам!J3607</f>
      </c>
      <c r="H3602" s="20">
        <f>Разбивка_по_щитам!K3607</f>
      </c>
      <c r="I3602" s="20">
        <f>Разбивка_по_щитам!L3607</f>
      </c>
      <c r="J3602" s="20">
        <f>Разбивка_по_щитам!M3607</f>
      </c>
      <c r="K3602" s="20">
        <f>Разбивка_по_щитам!N3607</f>
      </c>
      <c r="L3602" s="20"/>
      <c r="M3602" s="20">
        <f>Разбивка_по_щитам!P3607</f>
      </c>
      <c r="N3602" s="20"/>
    </row>
    <row r="3603" spans="2:14" x14ac:dyDescent="0.25">
      <c r="B3603" s="20">
        <f>Разбивка_по_щитам!B3608</f>
      </c>
      <c r="C3603" s="20">
        <f>Разбивка_по_щитам!C3608</f>
      </c>
      <c r="D3603" s="20">
        <f>Разбивка_по_щитам!F3608</f>
      </c>
      <c r="E3603" s="20">
        <f>Разбивка_по_щитам!H3608</f>
      </c>
      <c r="F3603" s="20">
        <f>Разбивка_по_щитам!I3608</f>
      </c>
      <c r="G3603" s="20">
        <f>Разбивка_по_щитам!J3608</f>
      </c>
      <c r="H3603" s="20">
        <f>Разбивка_по_щитам!K3608</f>
      </c>
      <c r="I3603" s="20">
        <f>Разбивка_по_щитам!L3608</f>
      </c>
      <c r="J3603" s="20">
        <f>Разбивка_по_щитам!M3608</f>
      </c>
      <c r="K3603" s="20">
        <f>Разбивка_по_щитам!N3608</f>
      </c>
      <c r="L3603" s="20"/>
      <c r="M3603" s="20">
        <f>Разбивка_по_щитам!P3608</f>
      </c>
      <c r="N3603" s="20"/>
    </row>
    <row r="3604" spans="2:14" x14ac:dyDescent="0.25">
      <c r="B3604" s="20">
        <f>Разбивка_по_щитам!B3609</f>
      </c>
      <c r="C3604" s="20">
        <f>Разбивка_по_щитам!C3609</f>
      </c>
      <c r="D3604" s="20">
        <f>Разбивка_по_щитам!F3609</f>
      </c>
      <c r="E3604" s="20">
        <f>Разбивка_по_щитам!H3609</f>
      </c>
      <c r="F3604" s="20">
        <f>Разбивка_по_щитам!I3609</f>
      </c>
      <c r="G3604" s="20">
        <f>Разбивка_по_щитам!J3609</f>
      </c>
      <c r="H3604" s="20">
        <f>Разбивка_по_щитам!K3609</f>
      </c>
      <c r="I3604" s="20">
        <f>Разбивка_по_щитам!L3609</f>
      </c>
      <c r="J3604" s="20">
        <f>Разбивка_по_щитам!M3609</f>
      </c>
      <c r="K3604" s="20">
        <f>Разбивка_по_щитам!N3609</f>
      </c>
      <c r="L3604" s="20"/>
      <c r="M3604" s="20">
        <f>Разбивка_по_щитам!P3609</f>
      </c>
      <c r="N3604" s="20"/>
    </row>
    <row r="3605" spans="2:14" x14ac:dyDescent="0.25">
      <c r="B3605" s="20">
        <f>Разбивка_по_щитам!B3610</f>
      </c>
      <c r="C3605" s="20">
        <f>Разбивка_по_щитам!C3610</f>
      </c>
      <c r="D3605" s="20">
        <f>Разбивка_по_щитам!F3610</f>
      </c>
      <c r="E3605" s="20">
        <f>Разбивка_по_щитам!H3610</f>
      </c>
      <c r="F3605" s="20">
        <f>Разбивка_по_щитам!I3610</f>
      </c>
      <c r="G3605" s="20">
        <f>Разбивка_по_щитам!J3610</f>
      </c>
      <c r="H3605" s="20">
        <f>Разбивка_по_щитам!K3610</f>
      </c>
      <c r="I3605" s="20">
        <f>Разбивка_по_щитам!L3610</f>
      </c>
      <c r="J3605" s="20">
        <f>Разбивка_по_щитам!M3610</f>
      </c>
      <c r="K3605" s="20">
        <f>Разбивка_по_щитам!N3610</f>
      </c>
      <c r="L3605" s="20"/>
      <c r="M3605" s="20">
        <f>Разбивка_по_щитам!P3610</f>
      </c>
      <c r="N3605" s="20"/>
    </row>
    <row r="3606" spans="2:14" x14ac:dyDescent="0.25">
      <c r="B3606" s="20">
        <f>Разбивка_по_щитам!B3611</f>
      </c>
      <c r="C3606" s="20">
        <f>Разбивка_по_щитам!C3611</f>
      </c>
      <c r="D3606" s="20">
        <f>Разбивка_по_щитам!F3611</f>
      </c>
      <c r="E3606" s="20">
        <f>Разбивка_по_щитам!H3611</f>
      </c>
      <c r="F3606" s="20">
        <f>Разбивка_по_щитам!I3611</f>
      </c>
      <c r="G3606" s="20">
        <f>Разбивка_по_щитам!J3611</f>
      </c>
      <c r="H3606" s="20">
        <f>Разбивка_по_щитам!K3611</f>
      </c>
      <c r="I3606" s="20">
        <f>Разбивка_по_щитам!L3611</f>
      </c>
      <c r="J3606" s="20">
        <f>Разбивка_по_щитам!M3611</f>
      </c>
      <c r="K3606" s="20">
        <f>Разбивка_по_щитам!N3611</f>
      </c>
      <c r="L3606" s="20"/>
      <c r="M3606" s="20">
        <f>Разбивка_по_щитам!P3611</f>
      </c>
      <c r="N3606" s="20"/>
    </row>
    <row r="3607" spans="2:14" x14ac:dyDescent="0.25">
      <c r="B3607" s="20">
        <f>Разбивка_по_щитам!B3612</f>
      </c>
      <c r="C3607" s="20">
        <f>Разбивка_по_щитам!C3612</f>
      </c>
      <c r="D3607" s="20">
        <f>Разбивка_по_щитам!F3612</f>
      </c>
      <c r="E3607" s="20">
        <f>Разбивка_по_щитам!H3612</f>
      </c>
      <c r="F3607" s="20">
        <f>Разбивка_по_щитам!I3612</f>
      </c>
      <c r="G3607" s="20">
        <f>Разбивка_по_щитам!J3612</f>
      </c>
      <c r="H3607" s="20">
        <f>Разбивка_по_щитам!K3612</f>
      </c>
      <c r="I3607" s="20">
        <f>Разбивка_по_щитам!L3612</f>
      </c>
      <c r="J3607" s="20">
        <f>Разбивка_по_щитам!M3612</f>
      </c>
      <c r="K3607" s="20">
        <f>Разбивка_по_щитам!N3612</f>
      </c>
      <c r="L3607" s="20"/>
      <c r="M3607" s="20">
        <f>Разбивка_по_щитам!P3612</f>
      </c>
      <c r="N3607" s="20"/>
    </row>
    <row r="3608" spans="2:14" x14ac:dyDescent="0.25">
      <c r="B3608" s="20">
        <f>Разбивка_по_щитам!B3613</f>
      </c>
      <c r="C3608" s="20">
        <f>Разбивка_по_щитам!C3613</f>
      </c>
      <c r="D3608" s="20">
        <f>Разбивка_по_щитам!F3613</f>
      </c>
      <c r="E3608" s="20">
        <f>Разбивка_по_щитам!H3613</f>
      </c>
      <c r="F3608" s="20">
        <f>Разбивка_по_щитам!I3613</f>
      </c>
      <c r="G3608" s="20">
        <f>Разбивка_по_щитам!J3613</f>
      </c>
      <c r="H3608" s="20">
        <f>Разбивка_по_щитам!K3613</f>
      </c>
      <c r="I3608" s="20">
        <f>Разбивка_по_щитам!L3613</f>
      </c>
      <c r="J3608" s="20">
        <f>Разбивка_по_щитам!M3613</f>
      </c>
      <c r="K3608" s="20">
        <f>Разбивка_по_щитам!N3613</f>
      </c>
      <c r="L3608" s="20"/>
      <c r="M3608" s="20">
        <f>Разбивка_по_щитам!P3613</f>
      </c>
      <c r="N3608" s="20"/>
    </row>
    <row r="3609" spans="2:14" x14ac:dyDescent="0.25">
      <c r="B3609" s="20">
        <f>Разбивка_по_щитам!B3614</f>
      </c>
      <c r="C3609" s="20">
        <f>Разбивка_по_щитам!C3614</f>
      </c>
      <c r="D3609" s="20">
        <f>Разбивка_по_щитам!F3614</f>
      </c>
      <c r="E3609" s="20">
        <f>Разбивка_по_щитам!H3614</f>
      </c>
      <c r="F3609" s="20">
        <f>Разбивка_по_щитам!I3614</f>
      </c>
      <c r="G3609" s="20">
        <f>Разбивка_по_щитам!J3614</f>
      </c>
      <c r="H3609" s="20">
        <f>Разбивка_по_щитам!K3614</f>
      </c>
      <c r="I3609" s="20">
        <f>Разбивка_по_щитам!L3614</f>
      </c>
      <c r="J3609" s="20">
        <f>Разбивка_по_щитам!M3614</f>
      </c>
      <c r="K3609" s="20">
        <f>Разбивка_по_щитам!N3614</f>
      </c>
      <c r="L3609" s="20"/>
      <c r="M3609" s="20">
        <f>Разбивка_по_щитам!P3614</f>
      </c>
      <c r="N3609" s="20"/>
    </row>
    <row r="3610" spans="2:14" x14ac:dyDescent="0.25">
      <c r="B3610" s="20">
        <f>Разбивка_по_щитам!B3615</f>
      </c>
      <c r="C3610" s="20">
        <f>Разбивка_по_щитам!C3615</f>
      </c>
      <c r="D3610" s="20">
        <f>Разбивка_по_щитам!F3615</f>
      </c>
      <c r="E3610" s="20">
        <f>Разбивка_по_щитам!H3615</f>
      </c>
      <c r="F3610" s="20">
        <f>Разбивка_по_щитам!I3615</f>
      </c>
      <c r="G3610" s="20">
        <f>Разбивка_по_щитам!J3615</f>
      </c>
      <c r="H3610" s="20">
        <f>Разбивка_по_щитам!K3615</f>
      </c>
      <c r="I3610" s="20">
        <f>Разбивка_по_щитам!L3615</f>
      </c>
      <c r="J3610" s="20">
        <f>Разбивка_по_щитам!M3615</f>
      </c>
      <c r="K3610" s="20">
        <f>Разбивка_по_щитам!N3615</f>
      </c>
      <c r="L3610" s="20"/>
      <c r="M3610" s="20">
        <f>Разбивка_по_щитам!P3615</f>
      </c>
      <c r="N3610" s="20"/>
    </row>
    <row r="3611" spans="2:14" x14ac:dyDescent="0.25">
      <c r="B3611" s="20">
        <f>Разбивка_по_щитам!B3616</f>
      </c>
      <c r="C3611" s="20">
        <f>Разбивка_по_щитам!C3616</f>
      </c>
      <c r="D3611" s="20">
        <f>Разбивка_по_щитам!F3616</f>
      </c>
      <c r="E3611" s="20">
        <f>Разбивка_по_щитам!H3616</f>
      </c>
      <c r="F3611" s="20">
        <f>Разбивка_по_щитам!I3616</f>
      </c>
      <c r="G3611" s="20">
        <f>Разбивка_по_щитам!J3616</f>
      </c>
      <c r="H3611" s="20">
        <f>Разбивка_по_щитам!K3616</f>
      </c>
      <c r="I3611" s="20">
        <f>Разбивка_по_щитам!L3616</f>
      </c>
      <c r="J3611" s="20">
        <f>Разбивка_по_щитам!M3616</f>
      </c>
      <c r="K3611" s="20">
        <f>Разбивка_по_щитам!N3616</f>
      </c>
      <c r="L3611" s="20"/>
      <c r="M3611" s="20">
        <f>Разбивка_по_щитам!P3616</f>
      </c>
      <c r="N3611" s="20"/>
    </row>
    <row r="3612" spans="2:14" x14ac:dyDescent="0.25">
      <c r="B3612" s="20">
        <f>Разбивка_по_щитам!B3617</f>
      </c>
      <c r="C3612" s="20">
        <f>Разбивка_по_щитам!C3617</f>
      </c>
      <c r="D3612" s="20">
        <f>Разбивка_по_щитам!F3617</f>
      </c>
      <c r="E3612" s="20">
        <f>Разбивка_по_щитам!H3617</f>
      </c>
      <c r="F3612" s="20">
        <f>Разбивка_по_щитам!I3617</f>
      </c>
      <c r="G3612" s="20">
        <f>Разбивка_по_щитам!J3617</f>
      </c>
      <c r="H3612" s="20">
        <f>Разбивка_по_щитам!K3617</f>
      </c>
      <c r="I3612" s="20">
        <f>Разбивка_по_щитам!L3617</f>
      </c>
      <c r="J3612" s="20">
        <f>Разбивка_по_щитам!M3617</f>
      </c>
      <c r="K3612" s="20">
        <f>Разбивка_по_щитам!N3617</f>
      </c>
      <c r="L3612" s="20"/>
      <c r="M3612" s="20">
        <f>Разбивка_по_щитам!P3617</f>
      </c>
      <c r="N3612" s="20"/>
    </row>
    <row r="3613" spans="2:14" x14ac:dyDescent="0.25">
      <c r="B3613" s="20">
        <f>Разбивка_по_щитам!B3618</f>
      </c>
      <c r="C3613" s="20">
        <f>Разбивка_по_щитам!C3618</f>
      </c>
      <c r="D3613" s="20">
        <f>Разбивка_по_щитам!F3618</f>
      </c>
      <c r="E3613" s="20">
        <f>Разбивка_по_щитам!H3618</f>
      </c>
      <c r="F3613" s="20">
        <f>Разбивка_по_щитам!I3618</f>
      </c>
      <c r="G3613" s="20">
        <f>Разбивка_по_щитам!J3618</f>
      </c>
      <c r="H3613" s="20">
        <f>Разбивка_по_щитам!K3618</f>
      </c>
      <c r="I3613" s="20">
        <f>Разбивка_по_щитам!L3618</f>
      </c>
      <c r="J3613" s="20">
        <f>Разбивка_по_щитам!M3618</f>
      </c>
      <c r="K3613" s="20">
        <f>Разбивка_по_щитам!N3618</f>
      </c>
      <c r="L3613" s="20"/>
      <c r="M3613" s="20">
        <f>Разбивка_по_щитам!P3618</f>
      </c>
      <c r="N3613" s="20"/>
    </row>
    <row r="3614" spans="2:14" x14ac:dyDescent="0.25">
      <c r="B3614" s="20">
        <f>Разбивка_по_щитам!B3619</f>
      </c>
      <c r="C3614" s="20">
        <f>Разбивка_по_щитам!C3619</f>
      </c>
      <c r="D3614" s="20">
        <f>Разбивка_по_щитам!F3619</f>
      </c>
      <c r="E3614" s="20">
        <f>Разбивка_по_щитам!H3619</f>
      </c>
      <c r="F3614" s="20">
        <f>Разбивка_по_щитам!I3619</f>
      </c>
      <c r="G3614" s="20">
        <f>Разбивка_по_щитам!J3619</f>
      </c>
      <c r="H3614" s="20">
        <f>Разбивка_по_щитам!K3619</f>
      </c>
      <c r="I3614" s="20">
        <f>Разбивка_по_щитам!L3619</f>
      </c>
      <c r="J3614" s="20">
        <f>Разбивка_по_щитам!M3619</f>
      </c>
      <c r="K3614" s="20">
        <f>Разбивка_по_щитам!N3619</f>
      </c>
      <c r="L3614" s="20"/>
      <c r="M3614" s="20">
        <f>Разбивка_по_щитам!P3619</f>
      </c>
      <c r="N3614" s="20"/>
    </row>
    <row r="3615" spans="2:14" x14ac:dyDescent="0.25">
      <c r="B3615" s="20">
        <f>Разбивка_по_щитам!B3620</f>
      </c>
      <c r="C3615" s="20">
        <f>Разбивка_по_щитам!C3620</f>
      </c>
      <c r="D3615" s="20">
        <f>Разбивка_по_щитам!F3620</f>
      </c>
      <c r="E3615" s="20">
        <f>Разбивка_по_щитам!H3620</f>
      </c>
      <c r="F3615" s="20">
        <f>Разбивка_по_щитам!I3620</f>
      </c>
      <c r="G3615" s="20">
        <f>Разбивка_по_щитам!J3620</f>
      </c>
      <c r="H3615" s="20">
        <f>Разбивка_по_щитам!K3620</f>
      </c>
      <c r="I3615" s="20">
        <f>Разбивка_по_щитам!L3620</f>
      </c>
      <c r="J3615" s="20">
        <f>Разбивка_по_щитам!M3620</f>
      </c>
      <c r="K3615" s="20">
        <f>Разбивка_по_щитам!N3620</f>
      </c>
      <c r="L3615" s="20"/>
      <c r="M3615" s="20">
        <f>Разбивка_по_щитам!P3620</f>
      </c>
      <c r="N3615" s="20"/>
    </row>
    <row r="3616" spans="2:14" x14ac:dyDescent="0.25">
      <c r="B3616" s="20">
        <f>Разбивка_по_щитам!B3621</f>
      </c>
      <c r="C3616" s="20">
        <f>Разбивка_по_щитам!C3621</f>
      </c>
      <c r="D3616" s="20">
        <f>Разбивка_по_щитам!F3621</f>
      </c>
      <c r="E3616" s="20">
        <f>Разбивка_по_щитам!H3621</f>
      </c>
      <c r="F3616" s="20">
        <f>Разбивка_по_щитам!I3621</f>
      </c>
      <c r="G3616" s="20">
        <f>Разбивка_по_щитам!J3621</f>
      </c>
      <c r="H3616" s="20">
        <f>Разбивка_по_щитам!K3621</f>
      </c>
      <c r="I3616" s="20">
        <f>Разбивка_по_щитам!L3621</f>
      </c>
      <c r="J3616" s="20">
        <f>Разбивка_по_щитам!M3621</f>
      </c>
      <c r="K3616" s="20">
        <f>Разбивка_по_щитам!N3621</f>
      </c>
      <c r="L3616" s="20"/>
      <c r="M3616" s="20">
        <f>Разбивка_по_щитам!P3621</f>
      </c>
      <c r="N3616" s="20"/>
    </row>
    <row r="3617" spans="2:14" x14ac:dyDescent="0.25">
      <c r="B3617" s="20">
        <f>Разбивка_по_щитам!B3622</f>
      </c>
      <c r="C3617" s="20">
        <f>Разбивка_по_щитам!C3622</f>
      </c>
      <c r="D3617" s="20">
        <f>Разбивка_по_щитам!F3622</f>
      </c>
      <c r="E3617" s="20">
        <f>Разбивка_по_щитам!H3622</f>
      </c>
      <c r="F3617" s="20">
        <f>Разбивка_по_щитам!I3622</f>
      </c>
      <c r="G3617" s="20">
        <f>Разбивка_по_щитам!J3622</f>
      </c>
      <c r="H3617" s="20">
        <f>Разбивка_по_щитам!K3622</f>
      </c>
      <c r="I3617" s="20">
        <f>Разбивка_по_щитам!L3622</f>
      </c>
      <c r="J3617" s="20">
        <f>Разбивка_по_щитам!M3622</f>
      </c>
      <c r="K3617" s="20">
        <f>Разбивка_по_щитам!N3622</f>
      </c>
      <c r="L3617" s="20"/>
      <c r="M3617" s="20">
        <f>Разбивка_по_щитам!P3622</f>
      </c>
      <c r="N3617" s="20"/>
    </row>
    <row r="3618" spans="2:14" x14ac:dyDescent="0.25">
      <c r="B3618" s="20">
        <f>Разбивка_по_щитам!B3623</f>
      </c>
      <c r="C3618" s="20">
        <f>Разбивка_по_щитам!C3623</f>
      </c>
      <c r="D3618" s="20">
        <f>Разбивка_по_щитам!F3623</f>
      </c>
      <c r="E3618" s="20">
        <f>Разбивка_по_щитам!H3623</f>
      </c>
      <c r="F3618" s="20">
        <f>Разбивка_по_щитам!I3623</f>
      </c>
      <c r="G3618" s="20">
        <f>Разбивка_по_щитам!J3623</f>
      </c>
      <c r="H3618" s="20">
        <f>Разбивка_по_щитам!K3623</f>
      </c>
      <c r="I3618" s="20">
        <f>Разбивка_по_щитам!L3623</f>
      </c>
      <c r="J3618" s="20">
        <f>Разбивка_по_щитам!M3623</f>
      </c>
      <c r="K3618" s="20">
        <f>Разбивка_по_щитам!N3623</f>
      </c>
      <c r="L3618" s="20"/>
      <c r="M3618" s="20">
        <f>Разбивка_по_щитам!P3623</f>
      </c>
      <c r="N3618" s="20"/>
    </row>
    <row r="3619" spans="2:14" x14ac:dyDescent="0.25">
      <c r="B3619" s="20">
        <f>Разбивка_по_щитам!B3624</f>
      </c>
      <c r="C3619" s="20">
        <f>Разбивка_по_щитам!C3624</f>
      </c>
      <c r="D3619" s="20">
        <f>Разбивка_по_щитам!F3624</f>
      </c>
      <c r="E3619" s="20">
        <f>Разбивка_по_щитам!H3624</f>
      </c>
      <c r="F3619" s="20">
        <f>Разбивка_по_щитам!I3624</f>
      </c>
      <c r="G3619" s="20">
        <f>Разбивка_по_щитам!J3624</f>
      </c>
      <c r="H3619" s="20">
        <f>Разбивка_по_щитам!K3624</f>
      </c>
      <c r="I3619" s="20">
        <f>Разбивка_по_щитам!L3624</f>
      </c>
      <c r="J3619" s="20">
        <f>Разбивка_по_щитам!M3624</f>
      </c>
      <c r="K3619" s="20">
        <f>Разбивка_по_щитам!N3624</f>
      </c>
      <c r="L3619" s="20"/>
      <c r="M3619" s="20">
        <f>Разбивка_по_щитам!P3624</f>
      </c>
      <c r="N3619" s="20"/>
    </row>
    <row r="3620" spans="2:14" x14ac:dyDescent="0.25">
      <c r="B3620" s="20">
        <f>Разбивка_по_щитам!B3625</f>
      </c>
      <c r="C3620" s="20">
        <f>Разбивка_по_щитам!C3625</f>
      </c>
      <c r="D3620" s="20">
        <f>Разбивка_по_щитам!F3625</f>
      </c>
      <c r="E3620" s="20">
        <f>Разбивка_по_щитам!H3625</f>
      </c>
      <c r="F3620" s="20">
        <f>Разбивка_по_щитам!I3625</f>
      </c>
      <c r="G3620" s="20">
        <f>Разбивка_по_щитам!J3625</f>
      </c>
      <c r="H3620" s="20">
        <f>Разбивка_по_щитам!K3625</f>
      </c>
      <c r="I3620" s="20">
        <f>Разбивка_по_щитам!L3625</f>
      </c>
      <c r="J3620" s="20">
        <f>Разбивка_по_щитам!M3625</f>
      </c>
      <c r="K3620" s="20">
        <f>Разбивка_по_щитам!N3625</f>
      </c>
      <c r="L3620" s="20"/>
      <c r="M3620" s="20">
        <f>Разбивка_по_щитам!P3625</f>
      </c>
      <c r="N3620" s="20"/>
    </row>
    <row r="3621" spans="2:14" x14ac:dyDescent="0.25">
      <c r="B3621" s="20">
        <f>Разбивка_по_щитам!B3626</f>
      </c>
      <c r="C3621" s="20">
        <f>Разбивка_по_щитам!C3626</f>
      </c>
      <c r="D3621" s="20">
        <f>Разбивка_по_щитам!F3626</f>
      </c>
      <c r="E3621" s="20">
        <f>Разбивка_по_щитам!H3626</f>
      </c>
      <c r="F3621" s="20">
        <f>Разбивка_по_щитам!I3626</f>
      </c>
      <c r="G3621" s="20">
        <f>Разбивка_по_щитам!J3626</f>
      </c>
      <c r="H3621" s="20">
        <f>Разбивка_по_щитам!K3626</f>
      </c>
      <c r="I3621" s="20">
        <f>Разбивка_по_щитам!L3626</f>
      </c>
      <c r="J3621" s="20">
        <f>Разбивка_по_щитам!M3626</f>
      </c>
      <c r="K3621" s="20">
        <f>Разбивка_по_щитам!N3626</f>
      </c>
      <c r="L3621" s="20"/>
      <c r="M3621" s="20">
        <f>Разбивка_по_щитам!P3626</f>
      </c>
      <c r="N3621" s="20"/>
    </row>
    <row r="3622" spans="2:14" x14ac:dyDescent="0.25">
      <c r="B3622" s="20">
        <f>Разбивка_по_щитам!B3627</f>
      </c>
      <c r="C3622" s="20">
        <f>Разбивка_по_щитам!C3627</f>
      </c>
      <c r="D3622" s="20">
        <f>Разбивка_по_щитам!F3627</f>
      </c>
      <c r="E3622" s="20">
        <f>Разбивка_по_щитам!H3627</f>
      </c>
      <c r="F3622" s="20">
        <f>Разбивка_по_щитам!I3627</f>
      </c>
      <c r="G3622" s="20">
        <f>Разбивка_по_щитам!J3627</f>
      </c>
      <c r="H3622" s="20">
        <f>Разбивка_по_щитам!K3627</f>
      </c>
      <c r="I3622" s="20">
        <f>Разбивка_по_щитам!L3627</f>
      </c>
      <c r="J3622" s="20">
        <f>Разбивка_по_щитам!M3627</f>
      </c>
      <c r="K3622" s="20">
        <f>Разбивка_по_щитам!N3627</f>
      </c>
      <c r="L3622" s="20"/>
      <c r="M3622" s="20">
        <f>Разбивка_по_щитам!P3627</f>
      </c>
      <c r="N3622" s="20"/>
    </row>
    <row r="3623" spans="2:14" x14ac:dyDescent="0.25">
      <c r="B3623" s="20">
        <f>Разбивка_по_щитам!B3628</f>
      </c>
      <c r="C3623" s="20">
        <f>Разбивка_по_щитам!C3628</f>
      </c>
      <c r="D3623" s="20">
        <f>Разбивка_по_щитам!F3628</f>
      </c>
      <c r="E3623" s="20">
        <f>Разбивка_по_щитам!H3628</f>
      </c>
      <c r="F3623" s="20">
        <f>Разбивка_по_щитам!I3628</f>
      </c>
      <c r="G3623" s="20">
        <f>Разбивка_по_щитам!J3628</f>
      </c>
      <c r="H3623" s="20">
        <f>Разбивка_по_щитам!K3628</f>
      </c>
      <c r="I3623" s="20">
        <f>Разбивка_по_щитам!L3628</f>
      </c>
      <c r="J3623" s="20">
        <f>Разбивка_по_щитам!M3628</f>
      </c>
      <c r="K3623" s="20">
        <f>Разбивка_по_щитам!N3628</f>
      </c>
      <c r="L3623" s="20"/>
      <c r="M3623" s="20">
        <f>Разбивка_по_щитам!P3628</f>
      </c>
      <c r="N3623" s="20"/>
    </row>
    <row r="3624" spans="2:14" x14ac:dyDescent="0.25">
      <c r="B3624" s="20">
        <f>Разбивка_по_щитам!B3629</f>
      </c>
      <c r="C3624" s="20">
        <f>Разбивка_по_щитам!C3629</f>
      </c>
      <c r="D3624" s="20">
        <f>Разбивка_по_щитам!F3629</f>
      </c>
      <c r="E3624" s="20">
        <f>Разбивка_по_щитам!H3629</f>
      </c>
      <c r="F3624" s="20">
        <f>Разбивка_по_щитам!I3629</f>
      </c>
      <c r="G3624" s="20">
        <f>Разбивка_по_щитам!J3629</f>
      </c>
      <c r="H3624" s="20">
        <f>Разбивка_по_щитам!K3629</f>
      </c>
      <c r="I3624" s="20">
        <f>Разбивка_по_щитам!L3629</f>
      </c>
      <c r="J3624" s="20">
        <f>Разбивка_по_щитам!M3629</f>
      </c>
      <c r="K3624" s="20">
        <f>Разбивка_по_щитам!N3629</f>
      </c>
      <c r="L3624" s="20"/>
      <c r="M3624" s="20">
        <f>Разбивка_по_щитам!P3629</f>
      </c>
      <c r="N3624" s="20"/>
    </row>
    <row r="3625" spans="2:14" x14ac:dyDescent="0.25">
      <c r="B3625" s="20">
        <f>Разбивка_по_щитам!B3630</f>
      </c>
      <c r="C3625" s="20">
        <f>Разбивка_по_щитам!C3630</f>
      </c>
      <c r="D3625" s="20">
        <f>Разбивка_по_щитам!F3630</f>
      </c>
      <c r="E3625" s="20">
        <f>Разбивка_по_щитам!H3630</f>
      </c>
      <c r="F3625" s="20">
        <f>Разбивка_по_щитам!I3630</f>
      </c>
      <c r="G3625" s="20">
        <f>Разбивка_по_щитам!J3630</f>
      </c>
      <c r="H3625" s="20">
        <f>Разбивка_по_щитам!K3630</f>
      </c>
      <c r="I3625" s="20">
        <f>Разбивка_по_щитам!L3630</f>
      </c>
      <c r="J3625" s="20">
        <f>Разбивка_по_щитам!M3630</f>
      </c>
      <c r="K3625" s="20">
        <f>Разбивка_по_щитам!N3630</f>
      </c>
      <c r="L3625" s="20"/>
      <c r="M3625" s="20">
        <f>Разбивка_по_щитам!P3630</f>
      </c>
      <c r="N3625" s="20"/>
    </row>
    <row r="3626" spans="2:14" x14ac:dyDescent="0.25">
      <c r="B3626" s="20">
        <f>Разбивка_по_щитам!B3631</f>
      </c>
      <c r="C3626" s="20">
        <f>Разбивка_по_щитам!C3631</f>
      </c>
      <c r="D3626" s="20">
        <f>Разбивка_по_щитам!F3631</f>
      </c>
      <c r="E3626" s="20">
        <f>Разбивка_по_щитам!H3631</f>
      </c>
      <c r="F3626" s="20">
        <f>Разбивка_по_щитам!I3631</f>
      </c>
      <c r="G3626" s="20">
        <f>Разбивка_по_щитам!J3631</f>
      </c>
      <c r="H3626" s="20">
        <f>Разбивка_по_щитам!K3631</f>
      </c>
      <c r="I3626" s="20">
        <f>Разбивка_по_щитам!L3631</f>
      </c>
      <c r="J3626" s="20">
        <f>Разбивка_по_щитам!M3631</f>
      </c>
      <c r="K3626" s="20">
        <f>Разбивка_по_щитам!N3631</f>
      </c>
      <c r="L3626" s="20"/>
      <c r="M3626" s="20">
        <f>Разбивка_по_щитам!P3631</f>
      </c>
      <c r="N3626" s="20"/>
    </row>
    <row r="3627" spans="2:14" x14ac:dyDescent="0.25">
      <c r="B3627" s="20">
        <f>Разбивка_по_щитам!B3632</f>
      </c>
      <c r="C3627" s="20">
        <f>Разбивка_по_щитам!C3632</f>
      </c>
      <c r="D3627" s="20">
        <f>Разбивка_по_щитам!F3632</f>
      </c>
      <c r="E3627" s="20">
        <f>Разбивка_по_щитам!H3632</f>
      </c>
      <c r="F3627" s="20">
        <f>Разбивка_по_щитам!I3632</f>
      </c>
      <c r="G3627" s="20">
        <f>Разбивка_по_щитам!J3632</f>
      </c>
      <c r="H3627" s="20">
        <f>Разбивка_по_щитам!K3632</f>
      </c>
      <c r="I3627" s="20">
        <f>Разбивка_по_щитам!L3632</f>
      </c>
      <c r="J3627" s="20">
        <f>Разбивка_по_щитам!M3632</f>
      </c>
      <c r="K3627" s="20">
        <f>Разбивка_по_щитам!N3632</f>
      </c>
      <c r="L3627" s="20"/>
      <c r="M3627" s="20">
        <f>Разбивка_по_щитам!P3632</f>
      </c>
      <c r="N3627" s="20"/>
    </row>
    <row r="3628" spans="2:14" x14ac:dyDescent="0.25">
      <c r="B3628" s="20">
        <f>Разбивка_по_щитам!B3633</f>
      </c>
      <c r="C3628" s="20">
        <f>Разбивка_по_щитам!C3633</f>
      </c>
      <c r="D3628" s="20">
        <f>Разбивка_по_щитам!F3633</f>
      </c>
      <c r="E3628" s="20">
        <f>Разбивка_по_щитам!H3633</f>
      </c>
      <c r="F3628" s="20">
        <f>Разбивка_по_щитам!I3633</f>
      </c>
      <c r="G3628" s="20">
        <f>Разбивка_по_щитам!J3633</f>
      </c>
      <c r="H3628" s="20">
        <f>Разбивка_по_щитам!K3633</f>
      </c>
      <c r="I3628" s="20">
        <f>Разбивка_по_щитам!L3633</f>
      </c>
      <c r="J3628" s="20">
        <f>Разбивка_по_щитам!M3633</f>
      </c>
      <c r="K3628" s="20">
        <f>Разбивка_по_щитам!N3633</f>
      </c>
      <c r="L3628" s="20"/>
      <c r="M3628" s="20">
        <f>Разбивка_по_щитам!P3633</f>
      </c>
      <c r="N3628" s="20"/>
    </row>
    <row r="3629" spans="2:14" x14ac:dyDescent="0.25">
      <c r="B3629" s="20">
        <f>Разбивка_по_щитам!B3634</f>
      </c>
      <c r="C3629" s="20">
        <f>Разбивка_по_щитам!C3634</f>
      </c>
      <c r="D3629" s="20">
        <f>Разбивка_по_щитам!F3634</f>
      </c>
      <c r="E3629" s="20">
        <f>Разбивка_по_щитам!H3634</f>
      </c>
      <c r="F3629" s="20">
        <f>Разбивка_по_щитам!I3634</f>
      </c>
      <c r="G3629" s="20">
        <f>Разбивка_по_щитам!J3634</f>
      </c>
      <c r="H3629" s="20">
        <f>Разбивка_по_щитам!K3634</f>
      </c>
      <c r="I3629" s="20">
        <f>Разбивка_по_щитам!L3634</f>
      </c>
      <c r="J3629" s="20">
        <f>Разбивка_по_щитам!M3634</f>
      </c>
      <c r="K3629" s="20">
        <f>Разбивка_по_щитам!N3634</f>
      </c>
      <c r="L3629" s="20"/>
      <c r="M3629" s="20">
        <f>Разбивка_по_щитам!P3634</f>
      </c>
      <c r="N3629" s="20"/>
    </row>
    <row r="3630" spans="2:14" x14ac:dyDescent="0.25">
      <c r="B3630" s="20">
        <f>Разбивка_по_щитам!B3635</f>
      </c>
      <c r="C3630" s="20">
        <f>Разбивка_по_щитам!C3635</f>
      </c>
      <c r="D3630" s="20">
        <f>Разбивка_по_щитам!F3635</f>
      </c>
      <c r="E3630" s="20">
        <f>Разбивка_по_щитам!H3635</f>
      </c>
      <c r="F3630" s="20">
        <f>Разбивка_по_щитам!I3635</f>
      </c>
      <c r="G3630" s="20">
        <f>Разбивка_по_щитам!J3635</f>
      </c>
      <c r="H3630" s="20">
        <f>Разбивка_по_щитам!K3635</f>
      </c>
      <c r="I3630" s="20">
        <f>Разбивка_по_щитам!L3635</f>
      </c>
      <c r="J3630" s="20">
        <f>Разбивка_по_щитам!M3635</f>
      </c>
      <c r="K3630" s="20">
        <f>Разбивка_по_щитам!N3635</f>
      </c>
      <c r="L3630" s="20"/>
      <c r="M3630" s="20">
        <f>Разбивка_по_щитам!P3635</f>
      </c>
      <c r="N3630" s="20"/>
    </row>
    <row r="3631" spans="2:14" x14ac:dyDescent="0.25">
      <c r="B3631" s="20">
        <f>Разбивка_по_щитам!B3636</f>
      </c>
      <c r="C3631" s="20">
        <f>Разбивка_по_щитам!C3636</f>
      </c>
      <c r="D3631" s="20">
        <f>Разбивка_по_щитам!F3636</f>
      </c>
      <c r="E3631" s="20">
        <f>Разбивка_по_щитам!H3636</f>
      </c>
      <c r="F3631" s="20">
        <f>Разбивка_по_щитам!I3636</f>
      </c>
      <c r="G3631" s="20">
        <f>Разбивка_по_щитам!J3636</f>
      </c>
      <c r="H3631" s="20">
        <f>Разбивка_по_щитам!K3636</f>
      </c>
      <c r="I3631" s="20">
        <f>Разбивка_по_щитам!L3636</f>
      </c>
      <c r="J3631" s="20">
        <f>Разбивка_по_щитам!M3636</f>
      </c>
      <c r="K3631" s="20">
        <f>Разбивка_по_щитам!N3636</f>
      </c>
      <c r="L3631" s="20"/>
      <c r="M3631" s="20">
        <f>Разбивка_по_щитам!P3636</f>
      </c>
      <c r="N3631" s="20"/>
    </row>
    <row r="3632" spans="2:14" x14ac:dyDescent="0.25">
      <c r="B3632" s="20">
        <f>Разбивка_по_щитам!B3637</f>
      </c>
      <c r="C3632" s="20">
        <f>Разбивка_по_щитам!C3637</f>
      </c>
      <c r="D3632" s="20">
        <f>Разбивка_по_щитам!F3637</f>
      </c>
      <c r="E3632" s="20">
        <f>Разбивка_по_щитам!H3637</f>
      </c>
      <c r="F3632" s="20">
        <f>Разбивка_по_щитам!I3637</f>
      </c>
      <c r="G3632" s="20">
        <f>Разбивка_по_щитам!J3637</f>
      </c>
      <c r="H3632" s="20">
        <f>Разбивка_по_щитам!K3637</f>
      </c>
      <c r="I3632" s="20">
        <f>Разбивка_по_щитам!L3637</f>
      </c>
      <c r="J3632" s="20">
        <f>Разбивка_по_щитам!M3637</f>
      </c>
      <c r="K3632" s="20">
        <f>Разбивка_по_щитам!N3637</f>
      </c>
      <c r="L3632" s="20"/>
      <c r="M3632" s="20">
        <f>Разбивка_по_щитам!P3637</f>
      </c>
      <c r="N3632" s="20"/>
    </row>
    <row r="3633" spans="2:14" x14ac:dyDescent="0.25">
      <c r="B3633" s="20">
        <f>Разбивка_по_щитам!B3638</f>
      </c>
      <c r="C3633" s="20">
        <f>Разбивка_по_щитам!C3638</f>
      </c>
      <c r="D3633" s="20">
        <f>Разбивка_по_щитам!F3638</f>
      </c>
      <c r="E3633" s="20">
        <f>Разбивка_по_щитам!H3638</f>
      </c>
      <c r="F3633" s="20">
        <f>Разбивка_по_щитам!I3638</f>
      </c>
      <c r="G3633" s="20">
        <f>Разбивка_по_щитам!J3638</f>
      </c>
      <c r="H3633" s="20">
        <f>Разбивка_по_щитам!K3638</f>
      </c>
      <c r="I3633" s="20">
        <f>Разбивка_по_щитам!L3638</f>
      </c>
      <c r="J3633" s="20">
        <f>Разбивка_по_щитам!M3638</f>
      </c>
      <c r="K3633" s="20">
        <f>Разбивка_по_щитам!N3638</f>
      </c>
      <c r="L3633" s="20"/>
      <c r="M3633" s="20">
        <f>Разбивка_по_щитам!P3638</f>
      </c>
      <c r="N3633" s="20"/>
    </row>
    <row r="3634" spans="2:14" x14ac:dyDescent="0.25">
      <c r="B3634" s="20">
        <f>Разбивка_по_щитам!B3639</f>
      </c>
      <c r="C3634" s="20">
        <f>Разбивка_по_щитам!C3639</f>
      </c>
      <c r="D3634" s="20">
        <f>Разбивка_по_щитам!F3639</f>
      </c>
      <c r="E3634" s="20">
        <f>Разбивка_по_щитам!H3639</f>
      </c>
      <c r="F3634" s="20">
        <f>Разбивка_по_щитам!I3639</f>
      </c>
      <c r="G3634" s="20">
        <f>Разбивка_по_щитам!J3639</f>
      </c>
      <c r="H3634" s="20">
        <f>Разбивка_по_щитам!K3639</f>
      </c>
      <c r="I3634" s="20">
        <f>Разбивка_по_щитам!L3639</f>
      </c>
      <c r="J3634" s="20">
        <f>Разбивка_по_щитам!M3639</f>
      </c>
      <c r="K3634" s="20">
        <f>Разбивка_по_щитам!N3639</f>
      </c>
      <c r="L3634" s="20"/>
      <c r="M3634" s="20">
        <f>Разбивка_по_щитам!P3639</f>
      </c>
      <c r="N3634" s="20"/>
    </row>
    <row r="3635" spans="2:14" x14ac:dyDescent="0.25">
      <c r="B3635" s="20">
        <f>Разбивка_по_щитам!B3640</f>
      </c>
      <c r="C3635" s="20">
        <f>Разбивка_по_щитам!C3640</f>
      </c>
      <c r="D3635" s="20">
        <f>Разбивка_по_щитам!F3640</f>
      </c>
      <c r="E3635" s="20">
        <f>Разбивка_по_щитам!H3640</f>
      </c>
      <c r="F3635" s="20">
        <f>Разбивка_по_щитам!I3640</f>
      </c>
      <c r="G3635" s="20">
        <f>Разбивка_по_щитам!J3640</f>
      </c>
      <c r="H3635" s="20">
        <f>Разбивка_по_щитам!K3640</f>
      </c>
      <c r="I3635" s="20">
        <f>Разбивка_по_щитам!L3640</f>
      </c>
      <c r="J3635" s="20">
        <f>Разбивка_по_щитам!M3640</f>
      </c>
      <c r="K3635" s="20">
        <f>Разбивка_по_щитам!N3640</f>
      </c>
      <c r="L3635" s="20"/>
      <c r="M3635" s="20">
        <f>Разбивка_по_щитам!P3640</f>
      </c>
      <c r="N3635" s="20"/>
    </row>
    <row r="3636" spans="2:14" x14ac:dyDescent="0.25">
      <c r="B3636" s="20">
        <f>Разбивка_по_щитам!B3641</f>
      </c>
      <c r="C3636" s="20">
        <f>Разбивка_по_щитам!C3641</f>
      </c>
      <c r="D3636" s="20">
        <f>Разбивка_по_щитам!F3641</f>
      </c>
      <c r="E3636" s="20">
        <f>Разбивка_по_щитам!H3641</f>
      </c>
      <c r="F3636" s="20">
        <f>Разбивка_по_щитам!I3641</f>
      </c>
      <c r="G3636" s="20">
        <f>Разбивка_по_щитам!J3641</f>
      </c>
      <c r="H3636" s="20">
        <f>Разбивка_по_щитам!K3641</f>
      </c>
      <c r="I3636" s="20">
        <f>Разбивка_по_щитам!L3641</f>
      </c>
      <c r="J3636" s="20">
        <f>Разбивка_по_щитам!M3641</f>
      </c>
      <c r="K3636" s="20">
        <f>Разбивка_по_щитам!N3641</f>
      </c>
      <c r="L3636" s="20"/>
      <c r="M3636" s="20">
        <f>Разбивка_по_щитам!P3641</f>
      </c>
      <c r="N3636" s="20"/>
    </row>
    <row r="3637" spans="2:14" x14ac:dyDescent="0.25">
      <c r="B3637" s="20">
        <f>Разбивка_по_щитам!B3642</f>
      </c>
      <c r="C3637" s="20">
        <f>Разбивка_по_щитам!C3642</f>
      </c>
      <c r="D3637" s="20">
        <f>Разбивка_по_щитам!F3642</f>
      </c>
      <c r="E3637" s="20">
        <f>Разбивка_по_щитам!H3642</f>
      </c>
      <c r="F3637" s="20">
        <f>Разбивка_по_щитам!I3642</f>
      </c>
      <c r="G3637" s="20">
        <f>Разбивка_по_щитам!J3642</f>
      </c>
      <c r="H3637" s="20">
        <f>Разбивка_по_щитам!K3642</f>
      </c>
      <c r="I3637" s="20">
        <f>Разбивка_по_щитам!L3642</f>
      </c>
      <c r="J3637" s="20">
        <f>Разбивка_по_щитам!M3642</f>
      </c>
      <c r="K3637" s="20">
        <f>Разбивка_по_щитам!N3642</f>
      </c>
      <c r="L3637" s="20"/>
      <c r="M3637" s="20">
        <f>Разбивка_по_щитам!P3642</f>
      </c>
      <c r="N3637" s="20"/>
    </row>
    <row r="3638" spans="2:14" x14ac:dyDescent="0.25">
      <c r="B3638" s="20">
        <f>Разбивка_по_щитам!B3643</f>
      </c>
      <c r="C3638" s="20">
        <f>Разбивка_по_щитам!C3643</f>
      </c>
      <c r="D3638" s="20">
        <f>Разбивка_по_щитам!F3643</f>
      </c>
      <c r="E3638" s="20">
        <f>Разбивка_по_щитам!H3643</f>
      </c>
      <c r="F3638" s="20">
        <f>Разбивка_по_щитам!I3643</f>
      </c>
      <c r="G3638" s="20">
        <f>Разбивка_по_щитам!J3643</f>
      </c>
      <c r="H3638" s="20">
        <f>Разбивка_по_щитам!K3643</f>
      </c>
      <c r="I3638" s="20">
        <f>Разбивка_по_щитам!L3643</f>
      </c>
      <c r="J3638" s="20">
        <f>Разбивка_по_щитам!M3643</f>
      </c>
      <c r="K3638" s="20">
        <f>Разбивка_по_щитам!N3643</f>
      </c>
      <c r="L3638" s="20"/>
      <c r="M3638" s="20">
        <f>Разбивка_по_щитам!P3643</f>
      </c>
      <c r="N3638" s="20"/>
    </row>
    <row r="3639" spans="2:14" x14ac:dyDescent="0.25">
      <c r="B3639" s="20">
        <f>Разбивка_по_щитам!B3644</f>
      </c>
      <c r="C3639" s="20">
        <f>Разбивка_по_щитам!C3644</f>
      </c>
      <c r="D3639" s="20">
        <f>Разбивка_по_щитам!F3644</f>
      </c>
      <c r="E3639" s="20">
        <f>Разбивка_по_щитам!H3644</f>
      </c>
      <c r="F3639" s="20">
        <f>Разбивка_по_щитам!I3644</f>
      </c>
      <c r="G3639" s="20">
        <f>Разбивка_по_щитам!J3644</f>
      </c>
      <c r="H3639" s="20">
        <f>Разбивка_по_щитам!K3644</f>
      </c>
      <c r="I3639" s="20">
        <f>Разбивка_по_щитам!L3644</f>
      </c>
      <c r="J3639" s="20">
        <f>Разбивка_по_щитам!M3644</f>
      </c>
      <c r="K3639" s="20">
        <f>Разбивка_по_щитам!N3644</f>
      </c>
      <c r="L3639" s="20"/>
      <c r="M3639" s="20">
        <f>Разбивка_по_щитам!P3644</f>
      </c>
      <c r="N3639" s="20"/>
    </row>
    <row r="3640" spans="2:14" x14ac:dyDescent="0.25">
      <c r="B3640" s="20">
        <f>Разбивка_по_щитам!B3645</f>
      </c>
      <c r="C3640" s="20">
        <f>Разбивка_по_щитам!C3645</f>
      </c>
      <c r="D3640" s="20">
        <f>Разбивка_по_щитам!F3645</f>
      </c>
      <c r="E3640" s="20">
        <f>Разбивка_по_щитам!H3645</f>
      </c>
      <c r="F3640" s="20">
        <f>Разбивка_по_щитам!I3645</f>
      </c>
      <c r="G3640" s="20">
        <f>Разбивка_по_щитам!J3645</f>
      </c>
      <c r="H3640" s="20">
        <f>Разбивка_по_щитам!K3645</f>
      </c>
      <c r="I3640" s="20">
        <f>Разбивка_по_щитам!L3645</f>
      </c>
      <c r="J3640" s="20">
        <f>Разбивка_по_щитам!M3645</f>
      </c>
      <c r="K3640" s="20">
        <f>Разбивка_по_щитам!N3645</f>
      </c>
      <c r="L3640" s="20"/>
      <c r="M3640" s="20">
        <f>Разбивка_по_щитам!P3645</f>
      </c>
      <c r="N3640" s="20"/>
    </row>
    <row r="3641" spans="2:14" x14ac:dyDescent="0.25">
      <c r="B3641" s="20">
        <f>Разбивка_по_щитам!B3646</f>
      </c>
      <c r="C3641" s="20">
        <f>Разбивка_по_щитам!C3646</f>
      </c>
      <c r="D3641" s="20">
        <f>Разбивка_по_щитам!F3646</f>
      </c>
      <c r="E3641" s="20">
        <f>Разбивка_по_щитам!H3646</f>
      </c>
      <c r="F3641" s="20">
        <f>Разбивка_по_щитам!I3646</f>
      </c>
      <c r="G3641" s="20">
        <f>Разбивка_по_щитам!J3646</f>
      </c>
      <c r="H3641" s="20">
        <f>Разбивка_по_щитам!K3646</f>
      </c>
      <c r="I3641" s="20">
        <f>Разбивка_по_щитам!L3646</f>
      </c>
      <c r="J3641" s="20">
        <f>Разбивка_по_щитам!M3646</f>
      </c>
      <c r="K3641" s="20">
        <f>Разбивка_по_щитам!N3646</f>
      </c>
      <c r="L3641" s="20"/>
      <c r="M3641" s="20">
        <f>Разбивка_по_щитам!P3646</f>
      </c>
      <c r="N3641" s="20"/>
    </row>
    <row r="3642" spans="2:14" x14ac:dyDescent="0.25">
      <c r="B3642" s="20">
        <f>Разбивка_по_щитам!B3647</f>
      </c>
      <c r="C3642" s="20">
        <f>Разбивка_по_щитам!C3647</f>
      </c>
      <c r="D3642" s="20">
        <f>Разбивка_по_щитам!F3647</f>
      </c>
      <c r="E3642" s="20">
        <f>Разбивка_по_щитам!H3647</f>
      </c>
      <c r="F3642" s="20">
        <f>Разбивка_по_щитам!I3647</f>
      </c>
      <c r="G3642" s="20">
        <f>Разбивка_по_щитам!J3647</f>
      </c>
      <c r="H3642" s="20">
        <f>Разбивка_по_щитам!K3647</f>
      </c>
      <c r="I3642" s="20">
        <f>Разбивка_по_щитам!L3647</f>
      </c>
      <c r="J3642" s="20">
        <f>Разбивка_по_щитам!M3647</f>
      </c>
      <c r="K3642" s="20">
        <f>Разбивка_по_щитам!N3647</f>
      </c>
      <c r="L3642" s="20"/>
      <c r="M3642" s="20">
        <f>Разбивка_по_щитам!P3647</f>
      </c>
      <c r="N3642" s="20"/>
    </row>
    <row r="3643" spans="2:14" x14ac:dyDescent="0.25">
      <c r="B3643" s="20">
        <f>Разбивка_по_щитам!B3648</f>
      </c>
      <c r="C3643" s="20">
        <f>Разбивка_по_щитам!C3648</f>
      </c>
      <c r="D3643" s="20">
        <f>Разбивка_по_щитам!F3648</f>
      </c>
      <c r="E3643" s="20">
        <f>Разбивка_по_щитам!H3648</f>
      </c>
      <c r="F3643" s="20">
        <f>Разбивка_по_щитам!I3648</f>
      </c>
      <c r="G3643" s="20">
        <f>Разбивка_по_щитам!J3648</f>
      </c>
      <c r="H3643" s="20">
        <f>Разбивка_по_щитам!K3648</f>
      </c>
      <c r="I3643" s="20">
        <f>Разбивка_по_щитам!L3648</f>
      </c>
      <c r="J3643" s="20">
        <f>Разбивка_по_щитам!M3648</f>
      </c>
      <c r="K3643" s="20">
        <f>Разбивка_по_щитам!N3648</f>
      </c>
      <c r="L3643" s="20"/>
      <c r="M3643" s="20">
        <f>Разбивка_по_щитам!P3648</f>
      </c>
      <c r="N3643" s="20"/>
    </row>
    <row r="3644" spans="2:14" x14ac:dyDescent="0.25">
      <c r="B3644" s="20">
        <f>Разбивка_по_щитам!B3649</f>
      </c>
      <c r="C3644" s="20">
        <f>Разбивка_по_щитам!C3649</f>
      </c>
      <c r="D3644" s="20">
        <f>Разбивка_по_щитам!F3649</f>
      </c>
      <c r="E3644" s="20">
        <f>Разбивка_по_щитам!H3649</f>
      </c>
      <c r="F3644" s="20">
        <f>Разбивка_по_щитам!I3649</f>
      </c>
      <c r="G3644" s="20">
        <f>Разбивка_по_щитам!J3649</f>
      </c>
      <c r="H3644" s="20">
        <f>Разбивка_по_щитам!K3649</f>
      </c>
      <c r="I3644" s="20">
        <f>Разбивка_по_щитам!L3649</f>
      </c>
      <c r="J3644" s="20">
        <f>Разбивка_по_щитам!M3649</f>
      </c>
      <c r="K3644" s="20">
        <f>Разбивка_по_щитам!N3649</f>
      </c>
      <c r="L3644" s="20"/>
      <c r="M3644" s="20">
        <f>Разбивка_по_щитам!P3649</f>
      </c>
      <c r="N3644" s="20"/>
    </row>
    <row r="3645" spans="2:14" x14ac:dyDescent="0.25">
      <c r="B3645" s="20">
        <f>Разбивка_по_щитам!B3650</f>
      </c>
      <c r="C3645" s="20">
        <f>Разбивка_по_щитам!C3650</f>
      </c>
      <c r="D3645" s="20">
        <f>Разбивка_по_щитам!F3650</f>
      </c>
      <c r="E3645" s="20">
        <f>Разбивка_по_щитам!H3650</f>
      </c>
      <c r="F3645" s="20">
        <f>Разбивка_по_щитам!I3650</f>
      </c>
      <c r="G3645" s="20">
        <f>Разбивка_по_щитам!J3650</f>
      </c>
      <c r="H3645" s="20">
        <f>Разбивка_по_щитам!K3650</f>
      </c>
      <c r="I3645" s="20">
        <f>Разбивка_по_щитам!L3650</f>
      </c>
      <c r="J3645" s="20">
        <f>Разбивка_по_щитам!M3650</f>
      </c>
      <c r="K3645" s="20">
        <f>Разбивка_по_щитам!N3650</f>
      </c>
      <c r="L3645" s="20"/>
      <c r="M3645" s="20">
        <f>Разбивка_по_щитам!P3650</f>
      </c>
      <c r="N3645" s="20"/>
    </row>
    <row r="3646" spans="2:14" x14ac:dyDescent="0.25">
      <c r="B3646" s="20">
        <f>Разбивка_по_щитам!B3651</f>
      </c>
      <c r="C3646" s="20">
        <f>Разбивка_по_щитам!C3651</f>
      </c>
      <c r="D3646" s="20">
        <f>Разбивка_по_щитам!F3651</f>
      </c>
      <c r="E3646" s="20">
        <f>Разбивка_по_щитам!H3651</f>
      </c>
      <c r="F3646" s="20">
        <f>Разбивка_по_щитам!I3651</f>
      </c>
      <c r="G3646" s="20">
        <f>Разбивка_по_щитам!J3651</f>
      </c>
      <c r="H3646" s="20">
        <f>Разбивка_по_щитам!K3651</f>
      </c>
      <c r="I3646" s="20">
        <f>Разбивка_по_щитам!L3651</f>
      </c>
      <c r="J3646" s="20">
        <f>Разбивка_по_щитам!M3651</f>
      </c>
      <c r="K3646" s="20">
        <f>Разбивка_по_щитам!N3651</f>
      </c>
      <c r="L3646" s="20"/>
      <c r="M3646" s="20">
        <f>Разбивка_по_щитам!P3651</f>
      </c>
      <c r="N3646" s="20"/>
    </row>
    <row r="3647" spans="2:14" x14ac:dyDescent="0.25">
      <c r="B3647" s="20">
        <f>Разбивка_по_щитам!B3652</f>
      </c>
      <c r="C3647" s="20">
        <f>Разбивка_по_щитам!C3652</f>
      </c>
      <c r="D3647" s="20">
        <f>Разбивка_по_щитам!F3652</f>
      </c>
      <c r="E3647" s="20">
        <f>Разбивка_по_щитам!H3652</f>
      </c>
      <c r="F3647" s="20">
        <f>Разбивка_по_щитам!I3652</f>
      </c>
      <c r="G3647" s="20">
        <f>Разбивка_по_щитам!J3652</f>
      </c>
      <c r="H3647" s="20">
        <f>Разбивка_по_щитам!K3652</f>
      </c>
      <c r="I3647" s="20">
        <f>Разбивка_по_щитам!L3652</f>
      </c>
      <c r="J3647" s="20">
        <f>Разбивка_по_щитам!M3652</f>
      </c>
      <c r="K3647" s="20">
        <f>Разбивка_по_щитам!N3652</f>
      </c>
      <c r="L3647" s="20"/>
      <c r="M3647" s="20">
        <f>Разбивка_по_щитам!P3652</f>
      </c>
      <c r="N3647" s="20"/>
    </row>
    <row r="3648" spans="2:14" x14ac:dyDescent="0.25">
      <c r="B3648" s="20">
        <f>Разбивка_по_щитам!B3653</f>
      </c>
      <c r="C3648" s="20">
        <f>Разбивка_по_щитам!C3653</f>
      </c>
      <c r="D3648" s="20">
        <f>Разбивка_по_щитам!F3653</f>
      </c>
      <c r="E3648" s="20">
        <f>Разбивка_по_щитам!H3653</f>
      </c>
      <c r="F3648" s="20">
        <f>Разбивка_по_щитам!I3653</f>
      </c>
      <c r="G3648" s="20">
        <f>Разбивка_по_щитам!J3653</f>
      </c>
      <c r="H3648" s="20">
        <f>Разбивка_по_щитам!K3653</f>
      </c>
      <c r="I3648" s="20">
        <f>Разбивка_по_щитам!L3653</f>
      </c>
      <c r="J3648" s="20">
        <f>Разбивка_по_щитам!M3653</f>
      </c>
      <c r="K3648" s="20">
        <f>Разбивка_по_щитам!N3653</f>
      </c>
      <c r="L3648" s="20"/>
      <c r="M3648" s="20">
        <f>Разбивка_по_щитам!P3653</f>
      </c>
      <c r="N3648" s="20"/>
    </row>
    <row r="3649" spans="2:14" x14ac:dyDescent="0.25">
      <c r="B3649" s="20">
        <f>Разбивка_по_щитам!B3654</f>
      </c>
      <c r="C3649" s="20">
        <f>Разбивка_по_щитам!C3654</f>
      </c>
      <c r="D3649" s="20">
        <f>Разбивка_по_щитам!F3654</f>
      </c>
      <c r="E3649" s="20">
        <f>Разбивка_по_щитам!H3654</f>
      </c>
      <c r="F3649" s="20">
        <f>Разбивка_по_щитам!I3654</f>
      </c>
      <c r="G3649" s="20">
        <f>Разбивка_по_щитам!J3654</f>
      </c>
      <c r="H3649" s="20">
        <f>Разбивка_по_щитам!K3654</f>
      </c>
      <c r="I3649" s="20">
        <f>Разбивка_по_щитам!L3654</f>
      </c>
      <c r="J3649" s="20">
        <f>Разбивка_по_щитам!M3654</f>
      </c>
      <c r="K3649" s="20">
        <f>Разбивка_по_щитам!N3654</f>
      </c>
      <c r="L3649" s="20"/>
      <c r="M3649" s="20">
        <f>Разбивка_по_щитам!P3654</f>
      </c>
      <c r="N3649" s="20"/>
    </row>
    <row r="3650" spans="2:14" x14ac:dyDescent="0.25">
      <c r="B3650" s="20">
        <f>Разбивка_по_щитам!B3655</f>
      </c>
      <c r="C3650" s="20">
        <f>Разбивка_по_щитам!C3655</f>
      </c>
      <c r="D3650" s="20">
        <f>Разбивка_по_щитам!F3655</f>
      </c>
      <c r="E3650" s="20">
        <f>Разбивка_по_щитам!H3655</f>
      </c>
      <c r="F3650" s="20">
        <f>Разбивка_по_щитам!I3655</f>
      </c>
      <c r="G3650" s="20">
        <f>Разбивка_по_щитам!J3655</f>
      </c>
      <c r="H3650" s="20">
        <f>Разбивка_по_щитам!K3655</f>
      </c>
      <c r="I3650" s="20">
        <f>Разбивка_по_щитам!L3655</f>
      </c>
      <c r="J3650" s="20">
        <f>Разбивка_по_щитам!M3655</f>
      </c>
      <c r="K3650" s="20">
        <f>Разбивка_по_щитам!N3655</f>
      </c>
      <c r="L3650" s="20"/>
      <c r="M3650" s="20">
        <f>Разбивка_по_щитам!P3655</f>
      </c>
      <c r="N3650" s="20"/>
    </row>
    <row r="3651" spans="2:14" x14ac:dyDescent="0.25">
      <c r="B3651" s="20">
        <f>Разбивка_по_щитам!B3656</f>
      </c>
      <c r="C3651" s="20">
        <f>Разбивка_по_щитам!C3656</f>
      </c>
      <c r="D3651" s="20">
        <f>Разбивка_по_щитам!F3656</f>
      </c>
      <c r="E3651" s="20">
        <f>Разбивка_по_щитам!H3656</f>
      </c>
      <c r="F3651" s="20">
        <f>Разбивка_по_щитам!I3656</f>
      </c>
      <c r="G3651" s="20">
        <f>Разбивка_по_щитам!J3656</f>
      </c>
      <c r="H3651" s="20">
        <f>Разбивка_по_щитам!K3656</f>
      </c>
      <c r="I3651" s="20">
        <f>Разбивка_по_щитам!L3656</f>
      </c>
      <c r="J3651" s="20">
        <f>Разбивка_по_щитам!M3656</f>
      </c>
      <c r="K3651" s="20">
        <f>Разбивка_по_щитам!N3656</f>
      </c>
      <c r="L3651" s="20"/>
      <c r="M3651" s="20">
        <f>Разбивка_по_щитам!P3656</f>
      </c>
      <c r="N3651" s="20"/>
    </row>
    <row r="3652" spans="2:14" x14ac:dyDescent="0.25">
      <c r="B3652" s="20">
        <f>Разбивка_по_щитам!B3657</f>
      </c>
      <c r="C3652" s="20">
        <f>Разбивка_по_щитам!C3657</f>
      </c>
      <c r="D3652" s="20">
        <f>Разбивка_по_щитам!F3657</f>
      </c>
      <c r="E3652" s="20">
        <f>Разбивка_по_щитам!H3657</f>
      </c>
      <c r="F3652" s="20">
        <f>Разбивка_по_щитам!I3657</f>
      </c>
      <c r="G3652" s="20">
        <f>Разбивка_по_щитам!J3657</f>
      </c>
      <c r="H3652" s="20">
        <f>Разбивка_по_щитам!K3657</f>
      </c>
      <c r="I3652" s="20">
        <f>Разбивка_по_щитам!L3657</f>
      </c>
      <c r="J3652" s="20">
        <f>Разбивка_по_щитам!M3657</f>
      </c>
      <c r="K3652" s="20">
        <f>Разбивка_по_щитам!N3657</f>
      </c>
      <c r="L3652" s="20"/>
      <c r="M3652" s="20">
        <f>Разбивка_по_щитам!P3657</f>
      </c>
      <c r="N3652" s="20"/>
    </row>
    <row r="3653" spans="2:14" x14ac:dyDescent="0.25">
      <c r="B3653" s="20">
        <f>Разбивка_по_щитам!B3658</f>
      </c>
      <c r="C3653" s="20">
        <f>Разбивка_по_щитам!C3658</f>
      </c>
      <c r="D3653" s="20">
        <f>Разбивка_по_щитам!F3658</f>
      </c>
      <c r="E3653" s="20">
        <f>Разбивка_по_щитам!H3658</f>
      </c>
      <c r="F3653" s="20">
        <f>Разбивка_по_щитам!I3658</f>
      </c>
      <c r="G3653" s="20">
        <f>Разбивка_по_щитам!J3658</f>
      </c>
      <c r="H3653" s="20">
        <f>Разбивка_по_щитам!K3658</f>
      </c>
      <c r="I3653" s="20">
        <f>Разбивка_по_щитам!L3658</f>
      </c>
      <c r="J3653" s="20">
        <f>Разбивка_по_щитам!M3658</f>
      </c>
      <c r="K3653" s="20">
        <f>Разбивка_по_щитам!N3658</f>
      </c>
      <c r="L3653" s="20"/>
      <c r="M3653" s="20">
        <f>Разбивка_по_щитам!P3658</f>
      </c>
      <c r="N3653" s="20"/>
    </row>
    <row r="3654" spans="2:14" x14ac:dyDescent="0.25">
      <c r="B3654" s="20">
        <f>Разбивка_по_щитам!B3659</f>
      </c>
      <c r="C3654" s="20">
        <f>Разбивка_по_щитам!C3659</f>
      </c>
      <c r="D3654" s="20">
        <f>Разбивка_по_щитам!F3659</f>
      </c>
      <c r="E3654" s="20">
        <f>Разбивка_по_щитам!H3659</f>
      </c>
      <c r="F3654" s="20">
        <f>Разбивка_по_щитам!I3659</f>
      </c>
      <c r="G3654" s="20">
        <f>Разбивка_по_щитам!J3659</f>
      </c>
      <c r="H3654" s="20">
        <f>Разбивка_по_щитам!K3659</f>
      </c>
      <c r="I3654" s="20">
        <f>Разбивка_по_щитам!L3659</f>
      </c>
      <c r="J3654" s="20">
        <f>Разбивка_по_щитам!M3659</f>
      </c>
      <c r="K3654" s="20">
        <f>Разбивка_по_щитам!N3659</f>
      </c>
      <c r="L3654" s="20"/>
      <c r="M3654" s="20">
        <f>Разбивка_по_щитам!P3659</f>
      </c>
      <c r="N3654" s="20"/>
    </row>
    <row r="3655" spans="2:14" x14ac:dyDescent="0.25">
      <c r="B3655" s="20">
        <f>Разбивка_по_щитам!B3660</f>
      </c>
      <c r="C3655" s="20">
        <f>Разбивка_по_щитам!C3660</f>
      </c>
      <c r="D3655" s="20">
        <f>Разбивка_по_щитам!F3660</f>
      </c>
      <c r="E3655" s="20">
        <f>Разбивка_по_щитам!H3660</f>
      </c>
      <c r="F3655" s="20">
        <f>Разбивка_по_щитам!I3660</f>
      </c>
      <c r="G3655" s="20">
        <f>Разбивка_по_щитам!J3660</f>
      </c>
      <c r="H3655" s="20">
        <f>Разбивка_по_щитам!K3660</f>
      </c>
      <c r="I3655" s="20">
        <f>Разбивка_по_щитам!L3660</f>
      </c>
      <c r="J3655" s="20">
        <f>Разбивка_по_щитам!M3660</f>
      </c>
      <c r="K3655" s="20">
        <f>Разбивка_по_щитам!N3660</f>
      </c>
      <c r="L3655" s="20"/>
      <c r="M3655" s="20">
        <f>Разбивка_по_щитам!P3660</f>
      </c>
      <c r="N3655" s="20"/>
    </row>
    <row r="3656" spans="2:14" x14ac:dyDescent="0.25">
      <c r="B3656" s="20">
        <f>Разбивка_по_щитам!B3661</f>
      </c>
      <c r="C3656" s="20">
        <f>Разбивка_по_щитам!C3661</f>
      </c>
      <c r="D3656" s="20">
        <f>Разбивка_по_щитам!F3661</f>
      </c>
      <c r="E3656" s="20">
        <f>Разбивка_по_щитам!H3661</f>
      </c>
      <c r="F3656" s="20">
        <f>Разбивка_по_щитам!I3661</f>
      </c>
      <c r="G3656" s="20">
        <f>Разбивка_по_щитам!J3661</f>
      </c>
      <c r="H3656" s="20">
        <f>Разбивка_по_щитам!K3661</f>
      </c>
      <c r="I3656" s="20">
        <f>Разбивка_по_щитам!L3661</f>
      </c>
      <c r="J3656" s="20">
        <f>Разбивка_по_щитам!M3661</f>
      </c>
      <c r="K3656" s="20">
        <f>Разбивка_по_щитам!N3661</f>
      </c>
      <c r="L3656" s="20"/>
      <c r="M3656" s="20">
        <f>Разбивка_по_щитам!P3661</f>
      </c>
      <c r="N3656" s="20"/>
    </row>
    <row r="3657" spans="2:14" x14ac:dyDescent="0.25">
      <c r="B3657" s="20">
        <f>Разбивка_по_щитам!B3662</f>
      </c>
      <c r="C3657" s="20">
        <f>Разбивка_по_щитам!C3662</f>
      </c>
      <c r="D3657" s="20">
        <f>Разбивка_по_щитам!F3662</f>
      </c>
      <c r="E3657" s="20">
        <f>Разбивка_по_щитам!H3662</f>
      </c>
      <c r="F3657" s="20">
        <f>Разбивка_по_щитам!I3662</f>
      </c>
      <c r="G3657" s="20">
        <f>Разбивка_по_щитам!J3662</f>
      </c>
      <c r="H3657" s="20">
        <f>Разбивка_по_щитам!K3662</f>
      </c>
      <c r="I3657" s="20">
        <f>Разбивка_по_щитам!L3662</f>
      </c>
      <c r="J3657" s="20">
        <f>Разбивка_по_щитам!M3662</f>
      </c>
      <c r="K3657" s="20">
        <f>Разбивка_по_щитам!N3662</f>
      </c>
      <c r="L3657" s="20"/>
      <c r="M3657" s="20">
        <f>Разбивка_по_щитам!P3662</f>
      </c>
      <c r="N3657" s="20"/>
    </row>
    <row r="3658" spans="2:14" x14ac:dyDescent="0.25">
      <c r="B3658" s="20">
        <f>Разбивка_по_щитам!B3663</f>
      </c>
      <c r="C3658" s="20">
        <f>Разбивка_по_щитам!C3663</f>
      </c>
      <c r="D3658" s="20">
        <f>Разбивка_по_щитам!F3663</f>
      </c>
      <c r="E3658" s="20">
        <f>Разбивка_по_щитам!H3663</f>
      </c>
      <c r="F3658" s="20">
        <f>Разбивка_по_щитам!I3663</f>
      </c>
      <c r="G3658" s="20">
        <f>Разбивка_по_щитам!J3663</f>
      </c>
      <c r="H3658" s="20">
        <f>Разбивка_по_щитам!K3663</f>
      </c>
      <c r="I3658" s="20">
        <f>Разбивка_по_щитам!L3663</f>
      </c>
      <c r="J3658" s="20">
        <f>Разбивка_по_щитам!M3663</f>
      </c>
      <c r="K3658" s="20">
        <f>Разбивка_по_щитам!N3663</f>
      </c>
      <c r="L3658" s="20"/>
      <c r="M3658" s="20">
        <f>Разбивка_по_щитам!P3663</f>
      </c>
      <c r="N3658" s="20"/>
    </row>
    <row r="3659" spans="2:14" x14ac:dyDescent="0.25">
      <c r="B3659" s="20">
        <f>Разбивка_по_щитам!B3664</f>
      </c>
      <c r="C3659" s="20">
        <f>Разбивка_по_щитам!C3664</f>
      </c>
      <c r="D3659" s="20">
        <f>Разбивка_по_щитам!F3664</f>
      </c>
      <c r="E3659" s="20">
        <f>Разбивка_по_щитам!H3664</f>
      </c>
      <c r="F3659" s="20">
        <f>Разбивка_по_щитам!I3664</f>
      </c>
      <c r="G3659" s="20">
        <f>Разбивка_по_щитам!J3664</f>
      </c>
      <c r="H3659" s="20">
        <f>Разбивка_по_щитам!K3664</f>
      </c>
      <c r="I3659" s="20">
        <f>Разбивка_по_щитам!L3664</f>
      </c>
      <c r="J3659" s="20">
        <f>Разбивка_по_щитам!M3664</f>
      </c>
      <c r="K3659" s="20">
        <f>Разбивка_по_щитам!N3664</f>
      </c>
      <c r="L3659" s="20"/>
      <c r="M3659" s="20">
        <f>Разбивка_по_щитам!P3664</f>
      </c>
      <c r="N3659" s="20"/>
    </row>
    <row r="3660" spans="2:14" x14ac:dyDescent="0.25">
      <c r="B3660" s="20">
        <f>Разбивка_по_щитам!B3665</f>
      </c>
      <c r="C3660" s="20">
        <f>Разбивка_по_щитам!C3665</f>
      </c>
      <c r="D3660" s="20">
        <f>Разбивка_по_щитам!F3665</f>
      </c>
      <c r="E3660" s="20">
        <f>Разбивка_по_щитам!H3665</f>
      </c>
      <c r="F3660" s="20">
        <f>Разбивка_по_щитам!I3665</f>
      </c>
      <c r="G3660" s="20">
        <f>Разбивка_по_щитам!J3665</f>
      </c>
      <c r="H3660" s="20">
        <f>Разбивка_по_щитам!K3665</f>
      </c>
      <c r="I3660" s="20">
        <f>Разбивка_по_щитам!L3665</f>
      </c>
      <c r="J3660" s="20">
        <f>Разбивка_по_щитам!M3665</f>
      </c>
      <c r="K3660" s="20">
        <f>Разбивка_по_щитам!N3665</f>
      </c>
      <c r="L3660" s="20"/>
      <c r="M3660" s="20">
        <f>Разбивка_по_щитам!P3665</f>
      </c>
      <c r="N3660" s="20"/>
    </row>
    <row r="3661" spans="2:14" x14ac:dyDescent="0.25">
      <c r="B3661" s="20">
        <f>Разбивка_по_щитам!B3666</f>
      </c>
      <c r="C3661" s="20">
        <f>Разбивка_по_щитам!C3666</f>
      </c>
      <c r="D3661" s="20">
        <f>Разбивка_по_щитам!F3666</f>
      </c>
      <c r="E3661" s="20">
        <f>Разбивка_по_щитам!H3666</f>
      </c>
      <c r="F3661" s="20">
        <f>Разбивка_по_щитам!I3666</f>
      </c>
      <c r="G3661" s="20">
        <f>Разбивка_по_щитам!J3666</f>
      </c>
      <c r="H3661" s="20">
        <f>Разбивка_по_щитам!K3666</f>
      </c>
      <c r="I3661" s="20">
        <f>Разбивка_по_щитам!L3666</f>
      </c>
      <c r="J3661" s="20">
        <f>Разбивка_по_щитам!M3666</f>
      </c>
      <c r="K3661" s="20">
        <f>Разбивка_по_щитам!N3666</f>
      </c>
      <c r="L3661" s="20"/>
      <c r="M3661" s="20">
        <f>Разбивка_по_щитам!P3666</f>
      </c>
      <c r="N3661" s="20"/>
    </row>
    <row r="3662" spans="2:14" x14ac:dyDescent="0.25">
      <c r="B3662" s="20">
        <f>Разбивка_по_щитам!B3667</f>
      </c>
      <c r="C3662" s="20">
        <f>Разбивка_по_щитам!C3667</f>
      </c>
      <c r="D3662" s="20">
        <f>Разбивка_по_щитам!F3667</f>
      </c>
      <c r="E3662" s="20">
        <f>Разбивка_по_щитам!H3667</f>
      </c>
      <c r="F3662" s="20">
        <f>Разбивка_по_щитам!I3667</f>
      </c>
      <c r="G3662" s="20">
        <f>Разбивка_по_щитам!J3667</f>
      </c>
      <c r="H3662" s="20">
        <f>Разбивка_по_щитам!K3667</f>
      </c>
      <c r="I3662" s="20">
        <f>Разбивка_по_щитам!L3667</f>
      </c>
      <c r="J3662" s="20">
        <f>Разбивка_по_щитам!M3667</f>
      </c>
      <c r="K3662" s="20">
        <f>Разбивка_по_щитам!N3667</f>
      </c>
      <c r="L3662" s="20"/>
      <c r="M3662" s="20">
        <f>Разбивка_по_щитам!P3667</f>
      </c>
      <c r="N3662" s="20"/>
    </row>
    <row r="3663" spans="2:14" x14ac:dyDescent="0.25">
      <c r="B3663" s="20">
        <f>Разбивка_по_щитам!B3668</f>
      </c>
      <c r="C3663" s="20">
        <f>Разбивка_по_щитам!C3668</f>
      </c>
      <c r="D3663" s="20">
        <f>Разбивка_по_щитам!F3668</f>
      </c>
      <c r="E3663" s="20">
        <f>Разбивка_по_щитам!H3668</f>
      </c>
      <c r="F3663" s="20">
        <f>Разбивка_по_щитам!I3668</f>
      </c>
      <c r="G3663" s="20">
        <f>Разбивка_по_щитам!J3668</f>
      </c>
      <c r="H3663" s="20">
        <f>Разбивка_по_щитам!K3668</f>
      </c>
      <c r="I3663" s="20">
        <f>Разбивка_по_щитам!L3668</f>
      </c>
      <c r="J3663" s="20">
        <f>Разбивка_по_щитам!M3668</f>
      </c>
      <c r="K3663" s="20">
        <f>Разбивка_по_щитам!N3668</f>
      </c>
      <c r="L3663" s="20"/>
      <c r="M3663" s="20">
        <f>Разбивка_по_щитам!P3668</f>
      </c>
      <c r="N3663" s="20"/>
    </row>
    <row r="3664" spans="2:14" x14ac:dyDescent="0.25">
      <c r="B3664" s="20">
        <f>Разбивка_по_щитам!B3669</f>
      </c>
      <c r="C3664" s="20">
        <f>Разбивка_по_щитам!C3669</f>
      </c>
      <c r="D3664" s="20">
        <f>Разбивка_по_щитам!F3669</f>
      </c>
      <c r="E3664" s="20">
        <f>Разбивка_по_щитам!H3669</f>
      </c>
      <c r="F3664" s="20">
        <f>Разбивка_по_щитам!I3669</f>
      </c>
      <c r="G3664" s="20">
        <f>Разбивка_по_щитам!J3669</f>
      </c>
      <c r="H3664" s="20">
        <f>Разбивка_по_щитам!K3669</f>
      </c>
      <c r="I3664" s="20">
        <f>Разбивка_по_щитам!L3669</f>
      </c>
      <c r="J3664" s="20">
        <f>Разбивка_по_щитам!M3669</f>
      </c>
      <c r="K3664" s="20">
        <f>Разбивка_по_щитам!N3669</f>
      </c>
      <c r="L3664" s="20"/>
      <c r="M3664" s="20">
        <f>Разбивка_по_щитам!P3669</f>
      </c>
      <c r="N3664" s="20"/>
    </row>
    <row r="3665" spans="2:14" x14ac:dyDescent="0.25">
      <c r="B3665" s="20">
        <f>Разбивка_по_щитам!B3670</f>
      </c>
      <c r="C3665" s="20">
        <f>Разбивка_по_щитам!C3670</f>
      </c>
      <c r="D3665" s="20">
        <f>Разбивка_по_щитам!F3670</f>
      </c>
      <c r="E3665" s="20">
        <f>Разбивка_по_щитам!H3670</f>
      </c>
      <c r="F3665" s="20">
        <f>Разбивка_по_щитам!I3670</f>
      </c>
      <c r="G3665" s="20">
        <f>Разбивка_по_щитам!J3670</f>
      </c>
      <c r="H3665" s="20">
        <f>Разбивка_по_щитам!K3670</f>
      </c>
      <c r="I3665" s="20">
        <f>Разбивка_по_щитам!L3670</f>
      </c>
      <c r="J3665" s="20">
        <f>Разбивка_по_щитам!M3670</f>
      </c>
      <c r="K3665" s="20">
        <f>Разбивка_по_щитам!N3670</f>
      </c>
      <c r="L3665" s="20"/>
      <c r="M3665" s="20">
        <f>Разбивка_по_щитам!P3670</f>
      </c>
      <c r="N3665" s="20"/>
    </row>
    <row r="3666" spans="2:14" x14ac:dyDescent="0.25">
      <c r="B3666" s="20">
        <f>Разбивка_по_щитам!B3671</f>
      </c>
      <c r="C3666" s="20">
        <f>Разбивка_по_щитам!C3671</f>
      </c>
      <c r="D3666" s="20">
        <f>Разбивка_по_щитам!F3671</f>
      </c>
      <c r="E3666" s="20">
        <f>Разбивка_по_щитам!H3671</f>
      </c>
      <c r="F3666" s="20">
        <f>Разбивка_по_щитам!I3671</f>
      </c>
      <c r="G3666" s="20">
        <f>Разбивка_по_щитам!J3671</f>
      </c>
      <c r="H3666" s="20">
        <f>Разбивка_по_щитам!K3671</f>
      </c>
      <c r="I3666" s="20">
        <f>Разбивка_по_щитам!L3671</f>
      </c>
      <c r="J3666" s="20">
        <f>Разбивка_по_щитам!M3671</f>
      </c>
      <c r="K3666" s="20">
        <f>Разбивка_по_щитам!N3671</f>
      </c>
      <c r="L3666" s="20"/>
      <c r="M3666" s="20">
        <f>Разбивка_по_щитам!P3671</f>
      </c>
      <c r="N3666" s="20"/>
    </row>
    <row r="3667" spans="2:14" x14ac:dyDescent="0.25">
      <c r="B3667" s="20">
        <f>Разбивка_по_щитам!B3672</f>
      </c>
      <c r="C3667" s="20">
        <f>Разбивка_по_щитам!C3672</f>
      </c>
      <c r="D3667" s="20">
        <f>Разбивка_по_щитам!F3672</f>
      </c>
      <c r="E3667" s="20">
        <f>Разбивка_по_щитам!H3672</f>
      </c>
      <c r="F3667" s="20">
        <f>Разбивка_по_щитам!I3672</f>
      </c>
      <c r="G3667" s="20">
        <f>Разбивка_по_щитам!J3672</f>
      </c>
      <c r="H3667" s="20">
        <f>Разбивка_по_щитам!K3672</f>
      </c>
      <c r="I3667" s="20">
        <f>Разбивка_по_щитам!L3672</f>
      </c>
      <c r="J3667" s="20">
        <f>Разбивка_по_щитам!M3672</f>
      </c>
      <c r="K3667" s="20">
        <f>Разбивка_по_щитам!N3672</f>
      </c>
      <c r="L3667" s="20"/>
      <c r="M3667" s="20">
        <f>Разбивка_по_щитам!P3672</f>
      </c>
      <c r="N3667" s="20"/>
    </row>
    <row r="3668" spans="2:14" x14ac:dyDescent="0.25">
      <c r="B3668" s="20">
        <f>Разбивка_по_щитам!B3673</f>
      </c>
      <c r="C3668" s="20">
        <f>Разбивка_по_щитам!C3673</f>
      </c>
      <c r="D3668" s="20">
        <f>Разбивка_по_щитам!F3673</f>
      </c>
      <c r="E3668" s="20">
        <f>Разбивка_по_щитам!H3673</f>
      </c>
      <c r="F3668" s="20">
        <f>Разбивка_по_щитам!I3673</f>
      </c>
      <c r="G3668" s="20">
        <f>Разбивка_по_щитам!J3673</f>
      </c>
      <c r="H3668" s="20">
        <f>Разбивка_по_щитам!K3673</f>
      </c>
      <c r="I3668" s="20">
        <f>Разбивка_по_щитам!L3673</f>
      </c>
      <c r="J3668" s="20">
        <f>Разбивка_по_щитам!M3673</f>
      </c>
      <c r="K3668" s="20">
        <f>Разбивка_по_щитам!N3673</f>
      </c>
      <c r="L3668" s="20"/>
      <c r="M3668" s="20">
        <f>Разбивка_по_щитам!P3673</f>
      </c>
      <c r="N3668" s="20"/>
    </row>
    <row r="3669" spans="2:14" x14ac:dyDescent="0.25">
      <c r="B3669" s="20">
        <f>Разбивка_по_щитам!B3674</f>
      </c>
      <c r="C3669" s="20">
        <f>Разбивка_по_щитам!C3674</f>
      </c>
      <c r="D3669" s="20">
        <f>Разбивка_по_щитам!F3674</f>
      </c>
      <c r="E3669" s="20">
        <f>Разбивка_по_щитам!H3674</f>
      </c>
      <c r="F3669" s="20">
        <f>Разбивка_по_щитам!I3674</f>
      </c>
      <c r="G3669" s="20">
        <f>Разбивка_по_щитам!J3674</f>
      </c>
      <c r="H3669" s="20">
        <f>Разбивка_по_щитам!K3674</f>
      </c>
      <c r="I3669" s="20">
        <f>Разбивка_по_щитам!L3674</f>
      </c>
      <c r="J3669" s="20">
        <f>Разбивка_по_щитам!M3674</f>
      </c>
      <c r="K3669" s="20">
        <f>Разбивка_по_щитам!N3674</f>
      </c>
      <c r="L3669" s="20"/>
      <c r="M3669" s="20">
        <f>Разбивка_по_щитам!P3674</f>
      </c>
      <c r="N3669" s="20"/>
    </row>
    <row r="3670" spans="2:14" x14ac:dyDescent="0.25">
      <c r="B3670" s="20">
        <f>Разбивка_по_щитам!B3675</f>
      </c>
      <c r="C3670" s="20">
        <f>Разбивка_по_щитам!C3675</f>
      </c>
      <c r="D3670" s="20">
        <f>Разбивка_по_щитам!F3675</f>
      </c>
      <c r="E3670" s="20">
        <f>Разбивка_по_щитам!H3675</f>
      </c>
      <c r="F3670" s="20">
        <f>Разбивка_по_щитам!I3675</f>
      </c>
      <c r="G3670" s="20">
        <f>Разбивка_по_щитам!J3675</f>
      </c>
      <c r="H3670" s="20">
        <f>Разбивка_по_щитам!K3675</f>
      </c>
      <c r="I3670" s="20">
        <f>Разбивка_по_щитам!L3675</f>
      </c>
      <c r="J3670" s="20">
        <f>Разбивка_по_щитам!M3675</f>
      </c>
      <c r="K3670" s="20">
        <f>Разбивка_по_щитам!N3675</f>
      </c>
      <c r="L3670" s="20"/>
      <c r="M3670" s="20">
        <f>Разбивка_по_щитам!P3675</f>
      </c>
      <c r="N3670" s="20"/>
    </row>
    <row r="3671" spans="2:14" x14ac:dyDescent="0.25">
      <c r="B3671" s="20">
        <f>Разбивка_по_щитам!B3676</f>
      </c>
      <c r="C3671" s="20">
        <f>Разбивка_по_щитам!C3676</f>
      </c>
      <c r="D3671" s="20">
        <f>Разбивка_по_щитам!F3676</f>
      </c>
      <c r="E3671" s="20">
        <f>Разбивка_по_щитам!H3676</f>
      </c>
      <c r="F3671" s="20">
        <f>Разбивка_по_щитам!I3676</f>
      </c>
      <c r="G3671" s="20">
        <f>Разбивка_по_щитам!J3676</f>
      </c>
      <c r="H3671" s="20">
        <f>Разбивка_по_щитам!K3676</f>
      </c>
      <c r="I3671" s="20">
        <f>Разбивка_по_щитам!L3676</f>
      </c>
      <c r="J3671" s="20">
        <f>Разбивка_по_щитам!M3676</f>
      </c>
      <c r="K3671" s="20">
        <f>Разбивка_по_щитам!N3676</f>
      </c>
      <c r="L3671" s="20"/>
      <c r="M3671" s="20">
        <f>Разбивка_по_щитам!P3676</f>
      </c>
      <c r="N3671" s="20"/>
    </row>
    <row r="3672" spans="2:14" x14ac:dyDescent="0.25">
      <c r="B3672" s="20">
        <f>Разбивка_по_щитам!B3677</f>
      </c>
      <c r="C3672" s="20">
        <f>Разбивка_по_щитам!C3677</f>
      </c>
      <c r="D3672" s="20">
        <f>Разбивка_по_щитам!F3677</f>
      </c>
      <c r="E3672" s="20">
        <f>Разбивка_по_щитам!H3677</f>
      </c>
      <c r="F3672" s="20">
        <f>Разбивка_по_щитам!I3677</f>
      </c>
      <c r="G3672" s="20">
        <f>Разбивка_по_щитам!J3677</f>
      </c>
      <c r="H3672" s="20">
        <f>Разбивка_по_щитам!K3677</f>
      </c>
      <c r="I3672" s="20">
        <f>Разбивка_по_щитам!L3677</f>
      </c>
      <c r="J3672" s="20">
        <f>Разбивка_по_щитам!M3677</f>
      </c>
      <c r="K3672" s="20">
        <f>Разбивка_по_щитам!N3677</f>
      </c>
      <c r="L3672" s="20"/>
      <c r="M3672" s="20">
        <f>Разбивка_по_щитам!P3677</f>
      </c>
      <c r="N3672" s="20"/>
    </row>
    <row r="3673" spans="2:14" x14ac:dyDescent="0.25">
      <c r="B3673" s="20">
        <f>Разбивка_по_щитам!B3678</f>
      </c>
      <c r="C3673" s="20">
        <f>Разбивка_по_щитам!C3678</f>
      </c>
      <c r="D3673" s="20">
        <f>Разбивка_по_щитам!F3678</f>
      </c>
      <c r="E3673" s="20">
        <f>Разбивка_по_щитам!H3678</f>
      </c>
      <c r="F3673" s="20">
        <f>Разбивка_по_щитам!I3678</f>
      </c>
      <c r="G3673" s="20">
        <f>Разбивка_по_щитам!J3678</f>
      </c>
      <c r="H3673" s="20">
        <f>Разбивка_по_щитам!K3678</f>
      </c>
      <c r="I3673" s="20">
        <f>Разбивка_по_щитам!L3678</f>
      </c>
      <c r="J3673" s="20">
        <f>Разбивка_по_щитам!M3678</f>
      </c>
      <c r="K3673" s="20">
        <f>Разбивка_по_щитам!N3678</f>
      </c>
      <c r="L3673" s="20"/>
      <c r="M3673" s="20">
        <f>Разбивка_по_щитам!P3678</f>
      </c>
      <c r="N3673" s="20"/>
    </row>
    <row r="3674" spans="2:14" x14ac:dyDescent="0.25">
      <c r="B3674" s="20">
        <f>Разбивка_по_щитам!B3679</f>
      </c>
      <c r="C3674" s="20">
        <f>Разбивка_по_щитам!C3679</f>
      </c>
      <c r="D3674" s="20">
        <f>Разбивка_по_щитам!F3679</f>
      </c>
      <c r="E3674" s="20">
        <f>Разбивка_по_щитам!H3679</f>
      </c>
      <c r="F3674" s="20">
        <f>Разбивка_по_щитам!I3679</f>
      </c>
      <c r="G3674" s="20">
        <f>Разбивка_по_щитам!J3679</f>
      </c>
      <c r="H3674" s="20">
        <f>Разбивка_по_щитам!K3679</f>
      </c>
      <c r="I3674" s="20">
        <f>Разбивка_по_щитам!L3679</f>
      </c>
      <c r="J3674" s="20">
        <f>Разбивка_по_щитам!M3679</f>
      </c>
      <c r="K3674" s="20">
        <f>Разбивка_по_щитам!N3679</f>
      </c>
      <c r="L3674" s="20"/>
      <c r="M3674" s="20">
        <f>Разбивка_по_щитам!P3679</f>
      </c>
      <c r="N3674" s="20"/>
    </row>
    <row r="3675" spans="2:14" x14ac:dyDescent="0.25">
      <c r="B3675" s="20">
        <f>Разбивка_по_щитам!B3680</f>
      </c>
      <c r="C3675" s="20">
        <f>Разбивка_по_щитам!C3680</f>
      </c>
      <c r="D3675" s="20">
        <f>Разбивка_по_щитам!F3680</f>
      </c>
      <c r="E3675" s="20">
        <f>Разбивка_по_щитам!H3680</f>
      </c>
      <c r="F3675" s="20">
        <f>Разбивка_по_щитам!I3680</f>
      </c>
      <c r="G3675" s="20">
        <f>Разбивка_по_щитам!J3680</f>
      </c>
      <c r="H3675" s="20">
        <f>Разбивка_по_щитам!K3680</f>
      </c>
      <c r="I3675" s="20">
        <f>Разбивка_по_щитам!L3680</f>
      </c>
      <c r="J3675" s="20">
        <f>Разбивка_по_щитам!M3680</f>
      </c>
      <c r="K3675" s="20">
        <f>Разбивка_по_щитам!N3680</f>
      </c>
      <c r="L3675" s="20"/>
      <c r="M3675" s="20">
        <f>Разбивка_по_щитам!P3680</f>
      </c>
      <c r="N3675" s="20"/>
    </row>
    <row r="3676" spans="2:14" x14ac:dyDescent="0.25">
      <c r="B3676" s="20">
        <f>Разбивка_по_щитам!B3681</f>
      </c>
      <c r="C3676" s="20">
        <f>Разбивка_по_щитам!C3681</f>
      </c>
      <c r="D3676" s="20">
        <f>Разбивка_по_щитам!F3681</f>
      </c>
      <c r="E3676" s="20">
        <f>Разбивка_по_щитам!H3681</f>
      </c>
      <c r="F3676" s="20">
        <f>Разбивка_по_щитам!I3681</f>
      </c>
      <c r="G3676" s="20">
        <f>Разбивка_по_щитам!J3681</f>
      </c>
      <c r="H3676" s="20">
        <f>Разбивка_по_щитам!K3681</f>
      </c>
      <c r="I3676" s="20">
        <f>Разбивка_по_щитам!L3681</f>
      </c>
      <c r="J3676" s="20">
        <f>Разбивка_по_щитам!M3681</f>
      </c>
      <c r="K3676" s="20">
        <f>Разбивка_по_щитам!N3681</f>
      </c>
      <c r="L3676" s="20"/>
      <c r="M3676" s="20">
        <f>Разбивка_по_щитам!P3681</f>
      </c>
      <c r="N3676" s="20"/>
    </row>
    <row r="3677" spans="2:14" x14ac:dyDescent="0.25">
      <c r="B3677" s="20">
        <f>Разбивка_по_щитам!B3682</f>
      </c>
      <c r="C3677" s="20">
        <f>Разбивка_по_щитам!C3682</f>
      </c>
      <c r="D3677" s="20">
        <f>Разбивка_по_щитам!F3682</f>
      </c>
      <c r="E3677" s="20">
        <f>Разбивка_по_щитам!H3682</f>
      </c>
      <c r="F3677" s="20">
        <f>Разбивка_по_щитам!I3682</f>
      </c>
      <c r="G3677" s="20">
        <f>Разбивка_по_щитам!J3682</f>
      </c>
      <c r="H3677" s="20">
        <f>Разбивка_по_щитам!K3682</f>
      </c>
      <c r="I3677" s="20">
        <f>Разбивка_по_щитам!L3682</f>
      </c>
      <c r="J3677" s="20">
        <f>Разбивка_по_щитам!M3682</f>
      </c>
      <c r="K3677" s="20">
        <f>Разбивка_по_щитам!N3682</f>
      </c>
      <c r="L3677" s="20"/>
      <c r="M3677" s="20">
        <f>Разбивка_по_щитам!P3682</f>
      </c>
      <c r="N3677" s="20"/>
    </row>
    <row r="3678" spans="2:14" x14ac:dyDescent="0.25">
      <c r="B3678" s="20">
        <f>Разбивка_по_щитам!B3683</f>
      </c>
      <c r="C3678" s="20">
        <f>Разбивка_по_щитам!C3683</f>
      </c>
      <c r="D3678" s="20">
        <f>Разбивка_по_щитам!F3683</f>
      </c>
      <c r="E3678" s="20">
        <f>Разбивка_по_щитам!H3683</f>
      </c>
      <c r="F3678" s="20">
        <f>Разбивка_по_щитам!I3683</f>
      </c>
      <c r="G3678" s="20">
        <f>Разбивка_по_щитам!J3683</f>
      </c>
      <c r="H3678" s="20">
        <f>Разбивка_по_щитам!K3683</f>
      </c>
      <c r="I3678" s="20">
        <f>Разбивка_по_щитам!L3683</f>
      </c>
      <c r="J3678" s="20">
        <f>Разбивка_по_щитам!M3683</f>
      </c>
      <c r="K3678" s="20">
        <f>Разбивка_по_щитам!N3683</f>
      </c>
      <c r="L3678" s="20"/>
      <c r="M3678" s="20">
        <f>Разбивка_по_щитам!P3683</f>
      </c>
      <c r="N3678" s="20"/>
    </row>
    <row r="3679" spans="2:14" x14ac:dyDescent="0.25">
      <c r="B3679" s="20">
        <f>Разбивка_по_щитам!B3684</f>
      </c>
      <c r="C3679" s="20">
        <f>Разбивка_по_щитам!C3684</f>
      </c>
      <c r="D3679" s="20">
        <f>Разбивка_по_щитам!F3684</f>
      </c>
      <c r="E3679" s="20">
        <f>Разбивка_по_щитам!H3684</f>
      </c>
      <c r="F3679" s="20">
        <f>Разбивка_по_щитам!I3684</f>
      </c>
      <c r="G3679" s="20">
        <f>Разбивка_по_щитам!J3684</f>
      </c>
      <c r="H3679" s="20">
        <f>Разбивка_по_щитам!K3684</f>
      </c>
      <c r="I3679" s="20">
        <f>Разбивка_по_щитам!L3684</f>
      </c>
      <c r="J3679" s="20">
        <f>Разбивка_по_щитам!M3684</f>
      </c>
      <c r="K3679" s="20">
        <f>Разбивка_по_щитам!N3684</f>
      </c>
      <c r="L3679" s="20"/>
      <c r="M3679" s="20">
        <f>Разбивка_по_щитам!P3684</f>
      </c>
      <c r="N3679" s="20"/>
    </row>
    <row r="3680" spans="2:14" x14ac:dyDescent="0.25">
      <c r="B3680" s="20">
        <f>Разбивка_по_щитам!B3685</f>
      </c>
      <c r="C3680" s="20">
        <f>Разбивка_по_щитам!C3685</f>
      </c>
      <c r="D3680" s="20">
        <f>Разбивка_по_щитам!F3685</f>
      </c>
      <c r="E3680" s="20">
        <f>Разбивка_по_щитам!H3685</f>
      </c>
      <c r="F3680" s="20">
        <f>Разбивка_по_щитам!I3685</f>
      </c>
      <c r="G3680" s="20">
        <f>Разбивка_по_щитам!J3685</f>
      </c>
      <c r="H3680" s="20">
        <f>Разбивка_по_щитам!K3685</f>
      </c>
      <c r="I3680" s="20">
        <f>Разбивка_по_щитам!L3685</f>
      </c>
      <c r="J3680" s="20">
        <f>Разбивка_по_щитам!M3685</f>
      </c>
      <c r="K3680" s="20">
        <f>Разбивка_по_щитам!N3685</f>
      </c>
      <c r="L3680" s="20"/>
      <c r="M3680" s="20">
        <f>Разбивка_по_щитам!P3685</f>
      </c>
      <c r="N3680" s="20"/>
    </row>
    <row r="3681" spans="2:14" x14ac:dyDescent="0.25">
      <c r="B3681" s="20">
        <f>Разбивка_по_щитам!B3686</f>
      </c>
      <c r="C3681" s="20">
        <f>Разбивка_по_щитам!C3686</f>
      </c>
      <c r="D3681" s="20">
        <f>Разбивка_по_щитам!F3686</f>
      </c>
      <c r="E3681" s="20">
        <f>Разбивка_по_щитам!H3686</f>
      </c>
      <c r="F3681" s="20">
        <f>Разбивка_по_щитам!I3686</f>
      </c>
      <c r="G3681" s="20">
        <f>Разбивка_по_щитам!J3686</f>
      </c>
      <c r="H3681" s="20">
        <f>Разбивка_по_щитам!K3686</f>
      </c>
      <c r="I3681" s="20">
        <f>Разбивка_по_щитам!L3686</f>
      </c>
      <c r="J3681" s="20">
        <f>Разбивка_по_щитам!M3686</f>
      </c>
      <c r="K3681" s="20">
        <f>Разбивка_по_щитам!N3686</f>
      </c>
      <c r="L3681" s="20"/>
      <c r="M3681" s="20">
        <f>Разбивка_по_щитам!P3686</f>
      </c>
      <c r="N3681" s="20"/>
    </row>
    <row r="3682" spans="2:14" x14ac:dyDescent="0.25">
      <c r="B3682" s="20">
        <f>Разбивка_по_щитам!B3687</f>
      </c>
      <c r="C3682" s="20">
        <f>Разбивка_по_щитам!C3687</f>
      </c>
      <c r="D3682" s="20">
        <f>Разбивка_по_щитам!F3687</f>
      </c>
      <c r="E3682" s="20">
        <f>Разбивка_по_щитам!H3687</f>
      </c>
      <c r="F3682" s="20">
        <f>Разбивка_по_щитам!I3687</f>
      </c>
      <c r="G3682" s="20">
        <f>Разбивка_по_щитам!J3687</f>
      </c>
      <c r="H3682" s="20">
        <f>Разбивка_по_щитам!K3687</f>
      </c>
      <c r="I3682" s="20">
        <f>Разбивка_по_щитам!L3687</f>
      </c>
      <c r="J3682" s="20">
        <f>Разбивка_по_щитам!M3687</f>
      </c>
      <c r="K3682" s="20">
        <f>Разбивка_по_щитам!N3687</f>
      </c>
      <c r="L3682" s="20"/>
      <c r="M3682" s="20">
        <f>Разбивка_по_щитам!P3687</f>
      </c>
      <c r="N3682" s="20"/>
    </row>
    <row r="3683" spans="2:14" x14ac:dyDescent="0.25">
      <c r="B3683" s="20">
        <f>Разбивка_по_щитам!B3688</f>
      </c>
      <c r="C3683" s="20">
        <f>Разбивка_по_щитам!C3688</f>
      </c>
      <c r="D3683" s="20">
        <f>Разбивка_по_щитам!F3688</f>
      </c>
      <c r="E3683" s="20">
        <f>Разбивка_по_щитам!H3688</f>
      </c>
      <c r="F3683" s="20">
        <f>Разбивка_по_щитам!I3688</f>
      </c>
      <c r="G3683" s="20">
        <f>Разбивка_по_щитам!J3688</f>
      </c>
      <c r="H3683" s="20">
        <f>Разбивка_по_щитам!K3688</f>
      </c>
      <c r="I3683" s="20">
        <f>Разбивка_по_щитам!L3688</f>
      </c>
      <c r="J3683" s="20">
        <f>Разбивка_по_щитам!M3688</f>
      </c>
      <c r="K3683" s="20">
        <f>Разбивка_по_щитам!N3688</f>
      </c>
      <c r="L3683" s="20"/>
      <c r="M3683" s="20">
        <f>Разбивка_по_щитам!P3688</f>
      </c>
      <c r="N3683" s="20"/>
    </row>
    <row r="3684" spans="2:14" x14ac:dyDescent="0.25">
      <c r="B3684" s="20">
        <f>Разбивка_по_щитам!B3689</f>
      </c>
      <c r="C3684" s="20">
        <f>Разбивка_по_щитам!C3689</f>
      </c>
      <c r="D3684" s="20">
        <f>Разбивка_по_щитам!F3689</f>
      </c>
      <c r="E3684" s="20">
        <f>Разбивка_по_щитам!H3689</f>
      </c>
      <c r="F3684" s="20">
        <f>Разбивка_по_щитам!I3689</f>
      </c>
      <c r="G3684" s="20">
        <f>Разбивка_по_щитам!J3689</f>
      </c>
      <c r="H3684" s="20">
        <f>Разбивка_по_щитам!K3689</f>
      </c>
      <c r="I3684" s="20">
        <f>Разбивка_по_щитам!L3689</f>
      </c>
      <c r="J3684" s="20">
        <f>Разбивка_по_щитам!M3689</f>
      </c>
      <c r="K3684" s="20">
        <f>Разбивка_по_щитам!N3689</f>
      </c>
      <c r="L3684" s="20"/>
      <c r="M3684" s="20">
        <f>Разбивка_по_щитам!P3689</f>
      </c>
      <c r="N3684" s="20"/>
    </row>
    <row r="3685" spans="2:14" x14ac:dyDescent="0.25">
      <c r="B3685" s="20">
        <f>Разбивка_по_щитам!B3690</f>
      </c>
      <c r="C3685" s="20">
        <f>Разбивка_по_щитам!C3690</f>
      </c>
      <c r="D3685" s="20">
        <f>Разбивка_по_щитам!F3690</f>
      </c>
      <c r="E3685" s="20">
        <f>Разбивка_по_щитам!H3690</f>
      </c>
      <c r="F3685" s="20">
        <f>Разбивка_по_щитам!I3690</f>
      </c>
      <c r="G3685" s="20">
        <f>Разбивка_по_щитам!J3690</f>
      </c>
      <c r="H3685" s="20">
        <f>Разбивка_по_щитам!K3690</f>
      </c>
      <c r="I3685" s="20">
        <f>Разбивка_по_щитам!L3690</f>
      </c>
      <c r="J3685" s="20">
        <f>Разбивка_по_щитам!M3690</f>
      </c>
      <c r="K3685" s="20">
        <f>Разбивка_по_щитам!N3690</f>
      </c>
      <c r="L3685" s="20"/>
      <c r="M3685" s="20">
        <f>Разбивка_по_щитам!P3690</f>
      </c>
      <c r="N3685" s="20"/>
    </row>
    <row r="3686" spans="2:14" x14ac:dyDescent="0.25">
      <c r="B3686" s="20">
        <f>Разбивка_по_щитам!B3691</f>
      </c>
      <c r="C3686" s="20">
        <f>Разбивка_по_щитам!C3691</f>
      </c>
      <c r="D3686" s="20">
        <f>Разбивка_по_щитам!F3691</f>
      </c>
      <c r="E3686" s="20">
        <f>Разбивка_по_щитам!H3691</f>
      </c>
      <c r="F3686" s="20">
        <f>Разбивка_по_щитам!I3691</f>
      </c>
      <c r="G3686" s="20">
        <f>Разбивка_по_щитам!J3691</f>
      </c>
      <c r="H3686" s="20">
        <f>Разбивка_по_щитам!K3691</f>
      </c>
      <c r="I3686" s="20">
        <f>Разбивка_по_щитам!L3691</f>
      </c>
      <c r="J3686" s="20">
        <f>Разбивка_по_щитам!M3691</f>
      </c>
      <c r="K3686" s="20">
        <f>Разбивка_по_щитам!N3691</f>
      </c>
      <c r="L3686" s="20"/>
      <c r="M3686" s="20">
        <f>Разбивка_по_щитам!P3691</f>
      </c>
      <c r="N3686" s="20"/>
    </row>
    <row r="3687" spans="2:14" x14ac:dyDescent="0.25">
      <c r="B3687" s="20">
        <f>Разбивка_по_щитам!B3692</f>
      </c>
      <c r="C3687" s="20">
        <f>Разбивка_по_щитам!C3692</f>
      </c>
      <c r="D3687" s="20">
        <f>Разбивка_по_щитам!F3692</f>
      </c>
      <c r="E3687" s="20">
        <f>Разбивка_по_щитам!H3692</f>
      </c>
      <c r="F3687" s="20">
        <f>Разбивка_по_щитам!I3692</f>
      </c>
      <c r="G3687" s="20">
        <f>Разбивка_по_щитам!J3692</f>
      </c>
      <c r="H3687" s="20">
        <f>Разбивка_по_щитам!K3692</f>
      </c>
      <c r="I3687" s="20">
        <f>Разбивка_по_щитам!L3692</f>
      </c>
      <c r="J3687" s="20">
        <f>Разбивка_по_щитам!M3692</f>
      </c>
      <c r="K3687" s="20">
        <f>Разбивка_по_щитам!N3692</f>
      </c>
      <c r="L3687" s="20"/>
      <c r="M3687" s="20">
        <f>Разбивка_по_щитам!P3692</f>
      </c>
      <c r="N3687" s="20"/>
    </row>
    <row r="3688" spans="2:14" x14ac:dyDescent="0.25">
      <c r="B3688" s="20">
        <f>Разбивка_по_щитам!B3693</f>
      </c>
      <c r="C3688" s="20">
        <f>Разбивка_по_щитам!C3693</f>
      </c>
      <c r="D3688" s="20">
        <f>Разбивка_по_щитам!F3693</f>
      </c>
      <c r="E3688" s="20">
        <f>Разбивка_по_щитам!H3693</f>
      </c>
      <c r="F3688" s="20">
        <f>Разбивка_по_щитам!I3693</f>
      </c>
      <c r="G3688" s="20">
        <f>Разбивка_по_щитам!J3693</f>
      </c>
      <c r="H3688" s="20">
        <f>Разбивка_по_щитам!K3693</f>
      </c>
      <c r="I3688" s="20">
        <f>Разбивка_по_щитам!L3693</f>
      </c>
      <c r="J3688" s="20">
        <f>Разбивка_по_щитам!M3693</f>
      </c>
      <c r="K3688" s="20">
        <f>Разбивка_по_щитам!N3693</f>
      </c>
      <c r="L3688" s="20"/>
      <c r="M3688" s="20">
        <f>Разбивка_по_щитам!P3693</f>
      </c>
      <c r="N3688" s="20"/>
    </row>
    <row r="3689" spans="2:14" x14ac:dyDescent="0.25">
      <c r="B3689" s="20">
        <f>Разбивка_по_щитам!B3694</f>
      </c>
      <c r="C3689" s="20">
        <f>Разбивка_по_щитам!C3694</f>
      </c>
      <c r="D3689" s="20">
        <f>Разбивка_по_щитам!F3694</f>
      </c>
      <c r="E3689" s="20">
        <f>Разбивка_по_щитам!H3694</f>
      </c>
      <c r="F3689" s="20">
        <f>Разбивка_по_щитам!I3694</f>
      </c>
      <c r="G3689" s="20">
        <f>Разбивка_по_щитам!J3694</f>
      </c>
      <c r="H3689" s="20">
        <f>Разбивка_по_щитам!K3694</f>
      </c>
      <c r="I3689" s="20">
        <f>Разбивка_по_щитам!L3694</f>
      </c>
      <c r="J3689" s="20">
        <f>Разбивка_по_щитам!M3694</f>
      </c>
      <c r="K3689" s="20">
        <f>Разбивка_по_щитам!N3694</f>
      </c>
      <c r="L3689" s="20"/>
      <c r="M3689" s="20">
        <f>Разбивка_по_щитам!P3694</f>
      </c>
      <c r="N3689" s="20"/>
    </row>
    <row r="3690" spans="2:14" x14ac:dyDescent="0.25">
      <c r="B3690" s="20">
        <f>Разбивка_по_щитам!B3695</f>
      </c>
      <c r="C3690" s="20">
        <f>Разбивка_по_щитам!C3695</f>
      </c>
      <c r="D3690" s="20">
        <f>Разбивка_по_щитам!F3695</f>
      </c>
      <c r="E3690" s="20">
        <f>Разбивка_по_щитам!H3695</f>
      </c>
      <c r="F3690" s="20">
        <f>Разбивка_по_щитам!I3695</f>
      </c>
      <c r="G3690" s="20">
        <f>Разбивка_по_щитам!J3695</f>
      </c>
      <c r="H3690" s="20">
        <f>Разбивка_по_щитам!K3695</f>
      </c>
      <c r="I3690" s="20">
        <f>Разбивка_по_щитам!L3695</f>
      </c>
      <c r="J3690" s="20">
        <f>Разбивка_по_щитам!M3695</f>
      </c>
      <c r="K3690" s="20">
        <f>Разбивка_по_щитам!N3695</f>
      </c>
      <c r="L3690" s="20"/>
      <c r="M3690" s="20">
        <f>Разбивка_по_щитам!P3695</f>
      </c>
      <c r="N3690" s="20"/>
    </row>
    <row r="3691" spans="2:14" x14ac:dyDescent="0.25">
      <c r="B3691" s="20">
        <f>Разбивка_по_щитам!B3696</f>
      </c>
      <c r="C3691" s="20">
        <f>Разбивка_по_щитам!C3696</f>
      </c>
      <c r="D3691" s="20">
        <f>Разбивка_по_щитам!F3696</f>
      </c>
      <c r="E3691" s="20">
        <f>Разбивка_по_щитам!H3696</f>
      </c>
      <c r="F3691" s="20">
        <f>Разбивка_по_щитам!I3696</f>
      </c>
      <c r="G3691" s="20">
        <f>Разбивка_по_щитам!J3696</f>
      </c>
      <c r="H3691" s="20">
        <f>Разбивка_по_щитам!K3696</f>
      </c>
      <c r="I3691" s="20">
        <f>Разбивка_по_щитам!L3696</f>
      </c>
      <c r="J3691" s="20">
        <f>Разбивка_по_щитам!M3696</f>
      </c>
      <c r="K3691" s="20">
        <f>Разбивка_по_щитам!N3696</f>
      </c>
      <c r="L3691" s="20"/>
      <c r="M3691" s="20">
        <f>Разбивка_по_щитам!P3696</f>
      </c>
      <c r="N3691" s="20"/>
    </row>
    <row r="3692" spans="2:14" x14ac:dyDescent="0.25">
      <c r="B3692" s="20">
        <f>Разбивка_по_щитам!B3697</f>
      </c>
      <c r="C3692" s="20">
        <f>Разбивка_по_щитам!C3697</f>
      </c>
      <c r="D3692" s="20">
        <f>Разбивка_по_щитам!F3697</f>
      </c>
      <c r="E3692" s="20">
        <f>Разбивка_по_щитам!H3697</f>
      </c>
      <c r="F3692" s="20">
        <f>Разбивка_по_щитам!I3697</f>
      </c>
      <c r="G3692" s="20">
        <f>Разбивка_по_щитам!J3697</f>
      </c>
      <c r="H3692" s="20">
        <f>Разбивка_по_щитам!K3697</f>
      </c>
      <c r="I3692" s="20">
        <f>Разбивка_по_щитам!L3697</f>
      </c>
      <c r="J3692" s="20">
        <f>Разбивка_по_щитам!M3697</f>
      </c>
      <c r="K3692" s="20">
        <f>Разбивка_по_щитам!N3697</f>
      </c>
      <c r="L3692" s="20"/>
      <c r="M3692" s="20">
        <f>Разбивка_по_щитам!P3697</f>
      </c>
      <c r="N3692" s="20"/>
    </row>
    <row r="3693" spans="2:14" x14ac:dyDescent="0.25">
      <c r="B3693" s="20">
        <f>Разбивка_по_щитам!B3698</f>
      </c>
      <c r="C3693" s="20">
        <f>Разбивка_по_щитам!C3698</f>
      </c>
      <c r="D3693" s="20">
        <f>Разбивка_по_щитам!F3698</f>
      </c>
      <c r="E3693" s="20">
        <f>Разбивка_по_щитам!H3698</f>
      </c>
      <c r="F3693" s="20">
        <f>Разбивка_по_щитам!I3698</f>
      </c>
      <c r="G3693" s="20">
        <f>Разбивка_по_щитам!J3698</f>
      </c>
      <c r="H3693" s="20">
        <f>Разбивка_по_щитам!K3698</f>
      </c>
      <c r="I3693" s="20">
        <f>Разбивка_по_щитам!L3698</f>
      </c>
      <c r="J3693" s="20">
        <f>Разбивка_по_щитам!M3698</f>
      </c>
      <c r="K3693" s="20">
        <f>Разбивка_по_щитам!N3698</f>
      </c>
      <c r="L3693" s="20"/>
      <c r="M3693" s="20">
        <f>Разбивка_по_щитам!P3698</f>
      </c>
      <c r="N3693" s="20"/>
    </row>
    <row r="3694" spans="2:14" x14ac:dyDescent="0.25">
      <c r="B3694" s="20">
        <f>Разбивка_по_щитам!B3699</f>
      </c>
      <c r="C3694" s="20">
        <f>Разбивка_по_щитам!C3699</f>
      </c>
      <c r="D3694" s="20">
        <f>Разбивка_по_щитам!F3699</f>
      </c>
      <c r="E3694" s="20">
        <f>Разбивка_по_щитам!H3699</f>
      </c>
      <c r="F3694" s="20">
        <f>Разбивка_по_щитам!I3699</f>
      </c>
      <c r="G3694" s="20">
        <f>Разбивка_по_щитам!J3699</f>
      </c>
      <c r="H3694" s="20">
        <f>Разбивка_по_щитам!K3699</f>
      </c>
      <c r="I3694" s="20">
        <f>Разбивка_по_щитам!L3699</f>
      </c>
      <c r="J3694" s="20">
        <f>Разбивка_по_щитам!M3699</f>
      </c>
      <c r="K3694" s="20">
        <f>Разбивка_по_щитам!N3699</f>
      </c>
      <c r="L3694" s="20"/>
      <c r="M3694" s="20">
        <f>Разбивка_по_щитам!P3699</f>
      </c>
      <c r="N3694" s="20"/>
    </row>
    <row r="3695" spans="2:14" x14ac:dyDescent="0.25">
      <c r="B3695" s="20">
        <f>Разбивка_по_щитам!B3700</f>
      </c>
      <c r="C3695" s="20">
        <f>Разбивка_по_щитам!C3700</f>
      </c>
      <c r="D3695" s="20">
        <f>Разбивка_по_щитам!F3700</f>
      </c>
      <c r="E3695" s="20">
        <f>Разбивка_по_щитам!H3700</f>
      </c>
      <c r="F3695" s="20">
        <f>Разбивка_по_щитам!I3700</f>
      </c>
      <c r="G3695" s="20">
        <f>Разбивка_по_щитам!J3700</f>
      </c>
      <c r="H3695" s="20">
        <f>Разбивка_по_щитам!K3700</f>
      </c>
      <c r="I3695" s="20">
        <f>Разбивка_по_щитам!L3700</f>
      </c>
      <c r="J3695" s="20">
        <f>Разбивка_по_щитам!M3700</f>
      </c>
      <c r="K3695" s="20">
        <f>Разбивка_по_щитам!N3700</f>
      </c>
      <c r="L3695" s="20"/>
      <c r="M3695" s="20">
        <f>Разбивка_по_щитам!P3700</f>
      </c>
      <c r="N3695" s="20"/>
    </row>
    <row r="3696" spans="2:14" x14ac:dyDescent="0.25">
      <c r="B3696" s="20">
        <f>Разбивка_по_щитам!B3701</f>
      </c>
      <c r="C3696" s="20">
        <f>Разбивка_по_щитам!C3701</f>
      </c>
      <c r="D3696" s="20">
        <f>Разбивка_по_щитам!F3701</f>
      </c>
      <c r="E3696" s="20">
        <f>Разбивка_по_щитам!H3701</f>
      </c>
      <c r="F3696" s="20">
        <f>Разбивка_по_щитам!I3701</f>
      </c>
      <c r="G3696" s="20">
        <f>Разбивка_по_щитам!J3701</f>
      </c>
      <c r="H3696" s="20">
        <f>Разбивка_по_щитам!K3701</f>
      </c>
      <c r="I3696" s="20">
        <f>Разбивка_по_щитам!L3701</f>
      </c>
      <c r="J3696" s="20">
        <f>Разбивка_по_щитам!M3701</f>
      </c>
      <c r="K3696" s="20">
        <f>Разбивка_по_щитам!N3701</f>
      </c>
      <c r="L3696" s="20"/>
      <c r="M3696" s="20">
        <f>Разбивка_по_щитам!P3701</f>
      </c>
      <c r="N3696" s="20"/>
    </row>
    <row r="3697" spans="2:14" x14ac:dyDescent="0.25">
      <c r="B3697" s="20">
        <f>Разбивка_по_щитам!B3702</f>
      </c>
      <c r="C3697" s="20">
        <f>Разбивка_по_щитам!C3702</f>
      </c>
      <c r="D3697" s="20">
        <f>Разбивка_по_щитам!F3702</f>
      </c>
      <c r="E3697" s="20">
        <f>Разбивка_по_щитам!H3702</f>
      </c>
      <c r="F3697" s="20">
        <f>Разбивка_по_щитам!I3702</f>
      </c>
      <c r="G3697" s="20">
        <f>Разбивка_по_щитам!J3702</f>
      </c>
      <c r="H3697" s="20">
        <f>Разбивка_по_щитам!K3702</f>
      </c>
      <c r="I3697" s="20">
        <f>Разбивка_по_щитам!L3702</f>
      </c>
      <c r="J3697" s="20">
        <f>Разбивка_по_щитам!M3702</f>
      </c>
      <c r="K3697" s="20">
        <f>Разбивка_по_щитам!N3702</f>
      </c>
      <c r="L3697" s="20"/>
      <c r="M3697" s="20">
        <f>Разбивка_по_щитам!P3702</f>
      </c>
      <c r="N3697" s="20"/>
    </row>
    <row r="3698" spans="2:14" x14ac:dyDescent="0.25">
      <c r="B3698" s="20">
        <f>Разбивка_по_щитам!B3703</f>
      </c>
      <c r="C3698" s="20">
        <f>Разбивка_по_щитам!C3703</f>
      </c>
      <c r="D3698" s="20">
        <f>Разбивка_по_щитам!F3703</f>
      </c>
      <c r="E3698" s="20">
        <f>Разбивка_по_щитам!H3703</f>
      </c>
      <c r="F3698" s="20">
        <f>Разбивка_по_щитам!I3703</f>
      </c>
      <c r="G3698" s="20">
        <f>Разбивка_по_щитам!J3703</f>
      </c>
      <c r="H3698" s="20">
        <f>Разбивка_по_щитам!K3703</f>
      </c>
      <c r="I3698" s="20">
        <f>Разбивка_по_щитам!L3703</f>
      </c>
      <c r="J3698" s="20">
        <f>Разбивка_по_щитам!M3703</f>
      </c>
      <c r="K3698" s="20">
        <f>Разбивка_по_щитам!N3703</f>
      </c>
      <c r="L3698" s="20"/>
      <c r="M3698" s="20">
        <f>Разбивка_по_щитам!P3703</f>
      </c>
      <c r="N3698" s="20"/>
    </row>
    <row r="3699" spans="2:14" x14ac:dyDescent="0.25">
      <c r="B3699" s="20">
        <f>Разбивка_по_щитам!B3704</f>
      </c>
      <c r="C3699" s="20">
        <f>Разбивка_по_щитам!C3704</f>
      </c>
      <c r="D3699" s="20">
        <f>Разбивка_по_щитам!F3704</f>
      </c>
      <c r="E3699" s="20">
        <f>Разбивка_по_щитам!H3704</f>
      </c>
      <c r="F3699" s="20">
        <f>Разбивка_по_щитам!I3704</f>
      </c>
      <c r="G3699" s="20">
        <f>Разбивка_по_щитам!J3704</f>
      </c>
      <c r="H3699" s="20">
        <f>Разбивка_по_щитам!K3704</f>
      </c>
      <c r="I3699" s="20">
        <f>Разбивка_по_щитам!L3704</f>
      </c>
      <c r="J3699" s="20">
        <f>Разбивка_по_щитам!M3704</f>
      </c>
      <c r="K3699" s="20">
        <f>Разбивка_по_щитам!N3704</f>
      </c>
      <c r="L3699" s="20"/>
      <c r="M3699" s="20">
        <f>Разбивка_по_щитам!P3704</f>
      </c>
      <c r="N3699" s="20"/>
    </row>
    <row r="3700" spans="2:14" x14ac:dyDescent="0.25">
      <c r="B3700" s="20">
        <f>Разбивка_по_щитам!B3705</f>
      </c>
      <c r="C3700" s="20">
        <f>Разбивка_по_щитам!C3705</f>
      </c>
      <c r="D3700" s="20">
        <f>Разбивка_по_щитам!F3705</f>
      </c>
      <c r="E3700" s="20">
        <f>Разбивка_по_щитам!H3705</f>
      </c>
      <c r="F3700" s="20">
        <f>Разбивка_по_щитам!I3705</f>
      </c>
      <c r="G3700" s="20">
        <f>Разбивка_по_щитам!J3705</f>
      </c>
      <c r="H3700" s="20">
        <f>Разбивка_по_щитам!K3705</f>
      </c>
      <c r="I3700" s="20">
        <f>Разбивка_по_щитам!L3705</f>
      </c>
      <c r="J3700" s="20">
        <f>Разбивка_по_щитам!M3705</f>
      </c>
      <c r="K3700" s="20">
        <f>Разбивка_по_щитам!N3705</f>
      </c>
      <c r="L3700" s="20"/>
      <c r="M3700" s="20">
        <f>Разбивка_по_щитам!P3705</f>
      </c>
      <c r="N3700" s="20"/>
    </row>
    <row r="3701" spans="2:14" x14ac:dyDescent="0.25">
      <c r="B3701" s="20">
        <f>Разбивка_по_щитам!B3706</f>
      </c>
      <c r="C3701" s="20">
        <f>Разбивка_по_щитам!C3706</f>
      </c>
      <c r="D3701" s="20">
        <f>Разбивка_по_щитам!F3706</f>
      </c>
      <c r="E3701" s="20">
        <f>Разбивка_по_щитам!H3706</f>
      </c>
      <c r="F3701" s="20">
        <f>Разбивка_по_щитам!I3706</f>
      </c>
      <c r="G3701" s="20">
        <f>Разбивка_по_щитам!J3706</f>
      </c>
      <c r="H3701" s="20">
        <f>Разбивка_по_щитам!K3706</f>
      </c>
      <c r="I3701" s="20">
        <f>Разбивка_по_щитам!L3706</f>
      </c>
      <c r="J3701" s="20">
        <f>Разбивка_по_щитам!M3706</f>
      </c>
      <c r="K3701" s="20">
        <f>Разбивка_по_щитам!N3706</f>
      </c>
      <c r="L3701" s="20"/>
      <c r="M3701" s="20">
        <f>Разбивка_по_щитам!P3706</f>
      </c>
      <c r="N3701" s="20"/>
    </row>
    <row r="3702" spans="2:14" x14ac:dyDescent="0.25">
      <c r="B3702" s="20">
        <f>Разбивка_по_щитам!B3707</f>
      </c>
      <c r="C3702" s="20">
        <f>Разбивка_по_щитам!C3707</f>
      </c>
      <c r="D3702" s="20">
        <f>Разбивка_по_щитам!F3707</f>
      </c>
      <c r="E3702" s="20">
        <f>Разбивка_по_щитам!H3707</f>
      </c>
      <c r="F3702" s="20">
        <f>Разбивка_по_щитам!I3707</f>
      </c>
      <c r="G3702" s="20">
        <f>Разбивка_по_щитам!J3707</f>
      </c>
      <c r="H3702" s="20">
        <f>Разбивка_по_щитам!K3707</f>
      </c>
      <c r="I3702" s="20">
        <f>Разбивка_по_щитам!L3707</f>
      </c>
      <c r="J3702" s="20">
        <f>Разбивка_по_щитам!M3707</f>
      </c>
      <c r="K3702" s="20">
        <f>Разбивка_по_щитам!N3707</f>
      </c>
      <c r="L3702" s="20"/>
      <c r="M3702" s="20">
        <f>Разбивка_по_щитам!P3707</f>
      </c>
      <c r="N3702" s="20"/>
    </row>
    <row r="3703" spans="2:14" x14ac:dyDescent="0.25">
      <c r="B3703" s="20">
        <f>Разбивка_по_щитам!B3708</f>
      </c>
      <c r="C3703" s="20">
        <f>Разбивка_по_щитам!C3708</f>
      </c>
      <c r="D3703" s="20">
        <f>Разбивка_по_щитам!F3708</f>
      </c>
      <c r="E3703" s="20">
        <f>Разбивка_по_щитам!H3708</f>
      </c>
      <c r="F3703" s="20">
        <f>Разбивка_по_щитам!I3708</f>
      </c>
      <c r="G3703" s="20">
        <f>Разбивка_по_щитам!J3708</f>
      </c>
      <c r="H3703" s="20">
        <f>Разбивка_по_щитам!K3708</f>
      </c>
      <c r="I3703" s="20">
        <f>Разбивка_по_щитам!L3708</f>
      </c>
      <c r="J3703" s="20">
        <f>Разбивка_по_щитам!M3708</f>
      </c>
      <c r="K3703" s="20">
        <f>Разбивка_по_щитам!N3708</f>
      </c>
      <c r="L3703" s="20"/>
      <c r="M3703" s="20">
        <f>Разбивка_по_щитам!P3708</f>
      </c>
      <c r="N3703" s="20"/>
    </row>
    <row r="3704" spans="2:14" x14ac:dyDescent="0.25">
      <c r="B3704" s="20">
        <f>Разбивка_по_щитам!B3709</f>
      </c>
      <c r="C3704" s="20">
        <f>Разбивка_по_щитам!C3709</f>
      </c>
      <c r="D3704" s="20">
        <f>Разбивка_по_щитам!F3709</f>
      </c>
      <c r="E3704" s="20">
        <f>Разбивка_по_щитам!H3709</f>
      </c>
      <c r="F3704" s="20">
        <f>Разбивка_по_щитам!I3709</f>
      </c>
      <c r="G3704" s="20">
        <f>Разбивка_по_щитам!J3709</f>
      </c>
      <c r="H3704" s="20">
        <f>Разбивка_по_щитам!K3709</f>
      </c>
      <c r="I3704" s="20">
        <f>Разбивка_по_щитам!L3709</f>
      </c>
      <c r="J3704" s="20">
        <f>Разбивка_по_щитам!M3709</f>
      </c>
      <c r="K3704" s="20">
        <f>Разбивка_по_щитам!N3709</f>
      </c>
      <c r="L3704" s="20"/>
      <c r="M3704" s="20">
        <f>Разбивка_по_щитам!P3709</f>
      </c>
      <c r="N3704" s="20"/>
    </row>
    <row r="3705" spans="2:14" x14ac:dyDescent="0.25">
      <c r="B3705" s="20">
        <f>Разбивка_по_щитам!B3710</f>
      </c>
      <c r="C3705" s="20">
        <f>Разбивка_по_щитам!C3710</f>
      </c>
      <c r="D3705" s="20">
        <f>Разбивка_по_щитам!F3710</f>
      </c>
      <c r="E3705" s="20">
        <f>Разбивка_по_щитам!H3710</f>
      </c>
      <c r="F3705" s="20">
        <f>Разбивка_по_щитам!I3710</f>
      </c>
      <c r="G3705" s="20">
        <f>Разбивка_по_щитам!J3710</f>
      </c>
      <c r="H3705" s="20">
        <f>Разбивка_по_щитам!K3710</f>
      </c>
      <c r="I3705" s="20">
        <f>Разбивка_по_щитам!L3710</f>
      </c>
      <c r="J3705" s="20">
        <f>Разбивка_по_щитам!M3710</f>
      </c>
      <c r="K3705" s="20">
        <f>Разбивка_по_щитам!N3710</f>
      </c>
      <c r="L3705" s="20"/>
      <c r="M3705" s="20">
        <f>Разбивка_по_щитам!P3710</f>
      </c>
      <c r="N3705" s="20"/>
    </row>
    <row r="3706" spans="2:14" x14ac:dyDescent="0.25">
      <c r="B3706" s="20">
        <f>Разбивка_по_щитам!B3711</f>
      </c>
      <c r="C3706" s="20">
        <f>Разбивка_по_щитам!C3711</f>
      </c>
      <c r="D3706" s="20">
        <f>Разбивка_по_щитам!F3711</f>
      </c>
      <c r="E3706" s="20">
        <f>Разбивка_по_щитам!H3711</f>
      </c>
      <c r="F3706" s="20">
        <f>Разбивка_по_щитам!I3711</f>
      </c>
      <c r="G3706" s="20">
        <f>Разбивка_по_щитам!J3711</f>
      </c>
      <c r="H3706" s="20">
        <f>Разбивка_по_щитам!K3711</f>
      </c>
      <c r="I3706" s="20">
        <f>Разбивка_по_щитам!L3711</f>
      </c>
      <c r="J3706" s="20">
        <f>Разбивка_по_щитам!M3711</f>
      </c>
      <c r="K3706" s="20">
        <f>Разбивка_по_щитам!N3711</f>
      </c>
      <c r="L3706" s="20"/>
      <c r="M3706" s="20">
        <f>Разбивка_по_щитам!P3711</f>
      </c>
      <c r="N3706" s="20"/>
    </row>
    <row r="3707" spans="2:14" x14ac:dyDescent="0.25">
      <c r="B3707" s="20">
        <f>Разбивка_по_щитам!B3712</f>
      </c>
      <c r="C3707" s="20">
        <f>Разбивка_по_щитам!C3712</f>
      </c>
      <c r="D3707" s="20">
        <f>Разбивка_по_щитам!F3712</f>
      </c>
      <c r="E3707" s="20">
        <f>Разбивка_по_щитам!H3712</f>
      </c>
      <c r="F3707" s="20">
        <f>Разбивка_по_щитам!I3712</f>
      </c>
      <c r="G3707" s="20">
        <f>Разбивка_по_щитам!J3712</f>
      </c>
      <c r="H3707" s="20">
        <f>Разбивка_по_щитам!K3712</f>
      </c>
      <c r="I3707" s="20">
        <f>Разбивка_по_щитам!L3712</f>
      </c>
      <c r="J3707" s="20">
        <f>Разбивка_по_щитам!M3712</f>
      </c>
      <c r="K3707" s="20">
        <f>Разбивка_по_щитам!N3712</f>
      </c>
      <c r="L3707" s="20"/>
      <c r="M3707" s="20">
        <f>Разбивка_по_щитам!P3712</f>
      </c>
      <c r="N3707" s="20"/>
    </row>
    <row r="3708" spans="2:14" x14ac:dyDescent="0.25">
      <c r="B3708" s="20">
        <f>Разбивка_по_щитам!B3713</f>
      </c>
      <c r="C3708" s="20">
        <f>Разбивка_по_щитам!C3713</f>
      </c>
      <c r="D3708" s="20">
        <f>Разбивка_по_щитам!F3713</f>
      </c>
      <c r="E3708" s="20">
        <f>Разбивка_по_щитам!H3713</f>
      </c>
      <c r="F3708" s="20">
        <f>Разбивка_по_щитам!I3713</f>
      </c>
      <c r="G3708" s="20">
        <f>Разбивка_по_щитам!J3713</f>
      </c>
      <c r="H3708" s="20">
        <f>Разбивка_по_щитам!K3713</f>
      </c>
      <c r="I3708" s="20">
        <f>Разбивка_по_щитам!L3713</f>
      </c>
      <c r="J3708" s="20">
        <f>Разбивка_по_щитам!M3713</f>
      </c>
      <c r="K3708" s="20">
        <f>Разбивка_по_щитам!N3713</f>
      </c>
      <c r="L3708" s="20"/>
      <c r="M3708" s="20">
        <f>Разбивка_по_щитам!P3713</f>
      </c>
      <c r="N3708" s="20"/>
    </row>
    <row r="3709" spans="2:14" x14ac:dyDescent="0.25">
      <c r="B3709" s="20">
        <f>Разбивка_по_щитам!B3714</f>
      </c>
      <c r="C3709" s="20">
        <f>Разбивка_по_щитам!C3714</f>
      </c>
      <c r="D3709" s="20">
        <f>Разбивка_по_щитам!F3714</f>
      </c>
      <c r="E3709" s="20">
        <f>Разбивка_по_щитам!H3714</f>
      </c>
      <c r="F3709" s="20">
        <f>Разбивка_по_щитам!I3714</f>
      </c>
      <c r="G3709" s="20">
        <f>Разбивка_по_щитам!J3714</f>
      </c>
      <c r="H3709" s="20">
        <f>Разбивка_по_щитам!K3714</f>
      </c>
      <c r="I3709" s="20">
        <f>Разбивка_по_щитам!L3714</f>
      </c>
      <c r="J3709" s="20">
        <f>Разбивка_по_щитам!M3714</f>
      </c>
      <c r="K3709" s="20">
        <f>Разбивка_по_щитам!N3714</f>
      </c>
      <c r="L3709" s="20"/>
      <c r="M3709" s="20">
        <f>Разбивка_по_щитам!P3714</f>
      </c>
      <c r="N3709" s="20"/>
    </row>
    <row r="3710" spans="2:14" x14ac:dyDescent="0.25">
      <c r="B3710" s="20">
        <f>Разбивка_по_щитам!B3715</f>
      </c>
      <c r="C3710" s="20">
        <f>Разбивка_по_щитам!C3715</f>
      </c>
      <c r="D3710" s="20">
        <f>Разбивка_по_щитам!F3715</f>
      </c>
      <c r="E3710" s="20">
        <f>Разбивка_по_щитам!H3715</f>
      </c>
      <c r="F3710" s="20">
        <f>Разбивка_по_щитам!I3715</f>
      </c>
      <c r="G3710" s="20">
        <f>Разбивка_по_щитам!J3715</f>
      </c>
      <c r="H3710" s="20">
        <f>Разбивка_по_щитам!K3715</f>
      </c>
      <c r="I3710" s="20">
        <f>Разбивка_по_щитам!L3715</f>
      </c>
      <c r="J3710" s="20">
        <f>Разбивка_по_щитам!M3715</f>
      </c>
      <c r="K3710" s="20">
        <f>Разбивка_по_щитам!N3715</f>
      </c>
      <c r="L3710" s="20"/>
      <c r="M3710" s="20">
        <f>Разбивка_по_щитам!P3715</f>
      </c>
      <c r="N3710" s="20"/>
    </row>
    <row r="3711" spans="2:14" x14ac:dyDescent="0.25">
      <c r="B3711" s="20">
        <f>Разбивка_по_щитам!B3716</f>
      </c>
      <c r="C3711" s="20">
        <f>Разбивка_по_щитам!C3716</f>
      </c>
      <c r="D3711" s="20">
        <f>Разбивка_по_щитам!F3716</f>
      </c>
      <c r="E3711" s="20">
        <f>Разбивка_по_щитам!H3716</f>
      </c>
      <c r="F3711" s="20">
        <f>Разбивка_по_щитам!I3716</f>
      </c>
      <c r="G3711" s="20">
        <f>Разбивка_по_щитам!J3716</f>
      </c>
      <c r="H3711" s="20">
        <f>Разбивка_по_щитам!K3716</f>
      </c>
      <c r="I3711" s="20">
        <f>Разбивка_по_щитам!L3716</f>
      </c>
      <c r="J3711" s="20">
        <f>Разбивка_по_щитам!M3716</f>
      </c>
      <c r="K3711" s="20">
        <f>Разбивка_по_щитам!N3716</f>
      </c>
      <c r="L3711" s="20"/>
      <c r="M3711" s="20">
        <f>Разбивка_по_щитам!P3716</f>
      </c>
      <c r="N3711" s="20"/>
    </row>
    <row r="3712" spans="2:14" x14ac:dyDescent="0.25">
      <c r="B3712" s="20">
        <f>Разбивка_по_щитам!B3717</f>
      </c>
      <c r="C3712" s="20">
        <f>Разбивка_по_щитам!C3717</f>
      </c>
      <c r="D3712" s="20">
        <f>Разбивка_по_щитам!F3717</f>
      </c>
      <c r="E3712" s="20">
        <f>Разбивка_по_щитам!H3717</f>
      </c>
      <c r="F3712" s="20">
        <f>Разбивка_по_щитам!I3717</f>
      </c>
      <c r="G3712" s="20">
        <f>Разбивка_по_щитам!J3717</f>
      </c>
      <c r="H3712" s="20">
        <f>Разбивка_по_щитам!K3717</f>
      </c>
      <c r="I3712" s="20">
        <f>Разбивка_по_щитам!L3717</f>
      </c>
      <c r="J3712" s="20">
        <f>Разбивка_по_щитам!M3717</f>
      </c>
      <c r="K3712" s="20">
        <f>Разбивка_по_щитам!N3717</f>
      </c>
      <c r="L3712" s="20"/>
      <c r="M3712" s="20">
        <f>Разбивка_по_щитам!P3717</f>
      </c>
      <c r="N3712" s="20"/>
    </row>
    <row r="3713" spans="2:14" x14ac:dyDescent="0.25">
      <c r="B3713" s="20">
        <f>Разбивка_по_щитам!B3718</f>
      </c>
      <c r="C3713" s="20">
        <f>Разбивка_по_щитам!C3718</f>
      </c>
      <c r="D3713" s="20">
        <f>Разбивка_по_щитам!F3718</f>
      </c>
      <c r="E3713" s="20">
        <f>Разбивка_по_щитам!H3718</f>
      </c>
      <c r="F3713" s="20">
        <f>Разбивка_по_щитам!I3718</f>
      </c>
      <c r="G3713" s="20">
        <f>Разбивка_по_щитам!J3718</f>
      </c>
      <c r="H3713" s="20">
        <f>Разбивка_по_щитам!K3718</f>
      </c>
      <c r="I3713" s="20">
        <f>Разбивка_по_щитам!L3718</f>
      </c>
      <c r="J3713" s="20">
        <f>Разбивка_по_щитам!M3718</f>
      </c>
      <c r="K3713" s="20">
        <f>Разбивка_по_щитам!N3718</f>
      </c>
      <c r="L3713" s="20"/>
      <c r="M3713" s="20">
        <f>Разбивка_по_щитам!P3718</f>
      </c>
      <c r="N3713" s="20"/>
    </row>
    <row r="3714" spans="2:14" x14ac:dyDescent="0.25">
      <c r="B3714" s="20">
        <f>Разбивка_по_щитам!B3719</f>
      </c>
      <c r="C3714" s="20">
        <f>Разбивка_по_щитам!C3719</f>
      </c>
      <c r="D3714" s="20">
        <f>Разбивка_по_щитам!F3719</f>
      </c>
      <c r="E3714" s="20">
        <f>Разбивка_по_щитам!H3719</f>
      </c>
      <c r="F3714" s="20">
        <f>Разбивка_по_щитам!I3719</f>
      </c>
      <c r="G3714" s="20">
        <f>Разбивка_по_щитам!J3719</f>
      </c>
      <c r="H3714" s="20">
        <f>Разбивка_по_щитам!K3719</f>
      </c>
      <c r="I3714" s="20">
        <f>Разбивка_по_щитам!L3719</f>
      </c>
      <c r="J3714" s="20">
        <f>Разбивка_по_щитам!M3719</f>
      </c>
      <c r="K3714" s="20">
        <f>Разбивка_по_щитам!N3719</f>
      </c>
      <c r="L3714" s="20"/>
      <c r="M3714" s="20">
        <f>Разбивка_по_щитам!P3719</f>
      </c>
      <c r="N3714" s="20"/>
    </row>
    <row r="3715" spans="2:14" x14ac:dyDescent="0.25">
      <c r="B3715" s="20">
        <f>Разбивка_по_щитам!B3720</f>
      </c>
      <c r="C3715" s="20">
        <f>Разбивка_по_щитам!C3720</f>
      </c>
      <c r="D3715" s="20">
        <f>Разбивка_по_щитам!F3720</f>
      </c>
      <c r="E3715" s="20">
        <f>Разбивка_по_щитам!H3720</f>
      </c>
      <c r="F3715" s="20">
        <f>Разбивка_по_щитам!I3720</f>
      </c>
      <c r="G3715" s="20">
        <f>Разбивка_по_щитам!J3720</f>
      </c>
      <c r="H3715" s="20">
        <f>Разбивка_по_щитам!K3720</f>
      </c>
      <c r="I3715" s="20">
        <f>Разбивка_по_щитам!L3720</f>
      </c>
      <c r="J3715" s="20">
        <f>Разбивка_по_щитам!M3720</f>
      </c>
      <c r="K3715" s="20">
        <f>Разбивка_по_щитам!N3720</f>
      </c>
      <c r="L3715" s="20"/>
      <c r="M3715" s="20">
        <f>Разбивка_по_щитам!P3720</f>
      </c>
      <c r="N3715" s="20"/>
    </row>
    <row r="3716" spans="2:14" x14ac:dyDescent="0.25">
      <c r="B3716" s="20">
        <f>Разбивка_по_щитам!B3721</f>
      </c>
      <c r="C3716" s="20">
        <f>Разбивка_по_щитам!C3721</f>
      </c>
      <c r="D3716" s="20">
        <f>Разбивка_по_щитам!F3721</f>
      </c>
      <c r="E3716" s="20">
        <f>Разбивка_по_щитам!H3721</f>
      </c>
      <c r="F3716" s="20">
        <f>Разбивка_по_щитам!I3721</f>
      </c>
      <c r="G3716" s="20">
        <f>Разбивка_по_щитам!J3721</f>
      </c>
      <c r="H3716" s="20">
        <f>Разбивка_по_щитам!K3721</f>
      </c>
      <c r="I3716" s="20">
        <f>Разбивка_по_щитам!L3721</f>
      </c>
      <c r="J3716" s="20">
        <f>Разбивка_по_щитам!M3721</f>
      </c>
      <c r="K3716" s="20">
        <f>Разбивка_по_щитам!N3721</f>
      </c>
      <c r="L3716" s="20"/>
      <c r="M3716" s="20">
        <f>Разбивка_по_щитам!P3721</f>
      </c>
      <c r="N3716" s="20"/>
    </row>
    <row r="3717" spans="2:14" x14ac:dyDescent="0.25">
      <c r="B3717" s="20">
        <f>Разбивка_по_щитам!B3722</f>
      </c>
      <c r="C3717" s="20">
        <f>Разбивка_по_щитам!C3722</f>
      </c>
      <c r="D3717" s="20">
        <f>Разбивка_по_щитам!F3722</f>
      </c>
      <c r="E3717" s="20">
        <f>Разбивка_по_щитам!H3722</f>
      </c>
      <c r="F3717" s="20">
        <f>Разбивка_по_щитам!I3722</f>
      </c>
      <c r="G3717" s="20">
        <f>Разбивка_по_щитам!J3722</f>
      </c>
      <c r="H3717" s="20">
        <f>Разбивка_по_щитам!K3722</f>
      </c>
      <c r="I3717" s="20">
        <f>Разбивка_по_щитам!L3722</f>
      </c>
      <c r="J3717" s="20">
        <f>Разбивка_по_щитам!M3722</f>
      </c>
      <c r="K3717" s="20">
        <f>Разбивка_по_щитам!N3722</f>
      </c>
      <c r="L3717" s="20"/>
      <c r="M3717" s="20">
        <f>Разбивка_по_щитам!P3722</f>
      </c>
      <c r="N3717" s="20"/>
    </row>
    <row r="3718" spans="2:14" x14ac:dyDescent="0.25">
      <c r="B3718" s="20">
        <f>Разбивка_по_щитам!B3723</f>
      </c>
      <c r="C3718" s="20">
        <f>Разбивка_по_щитам!C3723</f>
      </c>
      <c r="D3718" s="20">
        <f>Разбивка_по_щитам!F3723</f>
      </c>
      <c r="E3718" s="20">
        <f>Разбивка_по_щитам!H3723</f>
      </c>
      <c r="F3718" s="20">
        <f>Разбивка_по_щитам!I3723</f>
      </c>
      <c r="G3718" s="20">
        <f>Разбивка_по_щитам!J3723</f>
      </c>
      <c r="H3718" s="20">
        <f>Разбивка_по_щитам!K3723</f>
      </c>
      <c r="I3718" s="20">
        <f>Разбивка_по_щитам!L3723</f>
      </c>
      <c r="J3718" s="20">
        <f>Разбивка_по_щитам!M3723</f>
      </c>
      <c r="K3718" s="20">
        <f>Разбивка_по_щитам!N3723</f>
      </c>
      <c r="L3718" s="20"/>
      <c r="M3718" s="20">
        <f>Разбивка_по_щитам!P3723</f>
      </c>
      <c r="N3718" s="20"/>
    </row>
    <row r="3719" spans="2:14" x14ac:dyDescent="0.25">
      <c r="B3719" s="20">
        <f>Разбивка_по_щитам!B3724</f>
      </c>
      <c r="C3719" s="20">
        <f>Разбивка_по_щитам!C3724</f>
      </c>
      <c r="D3719" s="20">
        <f>Разбивка_по_щитам!F3724</f>
      </c>
      <c r="E3719" s="20">
        <f>Разбивка_по_щитам!H3724</f>
      </c>
      <c r="F3719" s="20">
        <f>Разбивка_по_щитам!I3724</f>
      </c>
      <c r="G3719" s="20">
        <f>Разбивка_по_щитам!J3724</f>
      </c>
      <c r="H3719" s="20">
        <f>Разбивка_по_щитам!K3724</f>
      </c>
      <c r="I3719" s="20">
        <f>Разбивка_по_щитам!L3724</f>
      </c>
      <c r="J3719" s="20">
        <f>Разбивка_по_щитам!M3724</f>
      </c>
      <c r="K3719" s="20">
        <f>Разбивка_по_щитам!N3724</f>
      </c>
      <c r="L3719" s="20"/>
      <c r="M3719" s="20">
        <f>Разбивка_по_щитам!P3724</f>
      </c>
      <c r="N3719" s="20"/>
    </row>
    <row r="3720" spans="2:14" x14ac:dyDescent="0.25">
      <c r="B3720" s="20">
        <f>Разбивка_по_щитам!B3725</f>
      </c>
      <c r="C3720" s="20">
        <f>Разбивка_по_щитам!C3725</f>
      </c>
      <c r="D3720" s="20">
        <f>Разбивка_по_щитам!F3725</f>
      </c>
      <c r="E3720" s="20">
        <f>Разбивка_по_щитам!H3725</f>
      </c>
      <c r="F3720" s="20">
        <f>Разбивка_по_щитам!I3725</f>
      </c>
      <c r="G3720" s="20">
        <f>Разбивка_по_щитам!J3725</f>
      </c>
      <c r="H3720" s="20">
        <f>Разбивка_по_щитам!K3725</f>
      </c>
      <c r="I3720" s="20">
        <f>Разбивка_по_щитам!L3725</f>
      </c>
      <c r="J3720" s="20">
        <f>Разбивка_по_щитам!M3725</f>
      </c>
      <c r="K3720" s="20">
        <f>Разбивка_по_щитам!N3725</f>
      </c>
      <c r="L3720" s="20"/>
      <c r="M3720" s="20">
        <f>Разбивка_по_щитам!P3725</f>
      </c>
      <c r="N3720" s="20"/>
    </row>
    <row r="3721" spans="2:14" x14ac:dyDescent="0.25">
      <c r="B3721" s="20">
        <f>Разбивка_по_щитам!B3726</f>
      </c>
      <c r="C3721" s="20">
        <f>Разбивка_по_щитам!C3726</f>
      </c>
      <c r="D3721" s="20">
        <f>Разбивка_по_щитам!F3726</f>
      </c>
      <c r="E3721" s="20">
        <f>Разбивка_по_щитам!H3726</f>
      </c>
      <c r="F3721" s="20">
        <f>Разбивка_по_щитам!I3726</f>
      </c>
      <c r="G3721" s="20">
        <f>Разбивка_по_щитам!J3726</f>
      </c>
      <c r="H3721" s="20">
        <f>Разбивка_по_щитам!K3726</f>
      </c>
      <c r="I3721" s="20">
        <f>Разбивка_по_щитам!L3726</f>
      </c>
      <c r="J3721" s="20">
        <f>Разбивка_по_щитам!M3726</f>
      </c>
      <c r="K3721" s="20">
        <f>Разбивка_по_щитам!N3726</f>
      </c>
      <c r="L3721" s="20"/>
      <c r="M3721" s="20">
        <f>Разбивка_по_щитам!P3726</f>
      </c>
      <c r="N3721" s="20"/>
    </row>
    <row r="3722" spans="2:14" x14ac:dyDescent="0.25">
      <c r="B3722" s="20">
        <f>Разбивка_по_щитам!B3727</f>
      </c>
      <c r="C3722" s="20">
        <f>Разбивка_по_щитам!C3727</f>
      </c>
      <c r="D3722" s="20">
        <f>Разбивка_по_щитам!F3727</f>
      </c>
      <c r="E3722" s="20">
        <f>Разбивка_по_щитам!H3727</f>
      </c>
      <c r="F3722" s="20">
        <f>Разбивка_по_щитам!I3727</f>
      </c>
      <c r="G3722" s="20">
        <f>Разбивка_по_щитам!J3727</f>
      </c>
      <c r="H3722" s="20">
        <f>Разбивка_по_щитам!K3727</f>
      </c>
      <c r="I3722" s="20">
        <f>Разбивка_по_щитам!L3727</f>
      </c>
      <c r="J3722" s="20">
        <f>Разбивка_по_щитам!M3727</f>
      </c>
      <c r="K3722" s="20">
        <f>Разбивка_по_щитам!N3727</f>
      </c>
      <c r="L3722" s="20"/>
      <c r="M3722" s="20">
        <f>Разбивка_по_щитам!P3727</f>
      </c>
      <c r="N3722" s="20"/>
    </row>
    <row r="3723" spans="2:14" x14ac:dyDescent="0.25">
      <c r="B3723" s="20">
        <f>Разбивка_по_щитам!B3728</f>
      </c>
      <c r="C3723" s="20">
        <f>Разбивка_по_щитам!C3728</f>
      </c>
      <c r="D3723" s="20">
        <f>Разбивка_по_щитам!F3728</f>
      </c>
      <c r="E3723" s="20">
        <f>Разбивка_по_щитам!H3728</f>
      </c>
      <c r="F3723" s="20">
        <f>Разбивка_по_щитам!I3728</f>
      </c>
      <c r="G3723" s="20">
        <f>Разбивка_по_щитам!J3728</f>
      </c>
      <c r="H3723" s="20">
        <f>Разбивка_по_щитам!K3728</f>
      </c>
      <c r="I3723" s="20">
        <f>Разбивка_по_щитам!L3728</f>
      </c>
      <c r="J3723" s="20">
        <f>Разбивка_по_щитам!M3728</f>
      </c>
      <c r="K3723" s="20">
        <f>Разбивка_по_щитам!N3728</f>
      </c>
      <c r="L3723" s="20"/>
      <c r="M3723" s="20">
        <f>Разбивка_по_щитам!P3728</f>
      </c>
      <c r="N3723" s="20"/>
    </row>
    <row r="3724" spans="2:14" x14ac:dyDescent="0.25">
      <c r="B3724" s="20">
        <f>Разбивка_по_щитам!B3729</f>
      </c>
      <c r="C3724" s="20">
        <f>Разбивка_по_щитам!C3729</f>
      </c>
      <c r="D3724" s="20">
        <f>Разбивка_по_щитам!F3729</f>
      </c>
      <c r="E3724" s="20">
        <f>Разбивка_по_щитам!H3729</f>
      </c>
      <c r="F3724" s="20">
        <f>Разбивка_по_щитам!I3729</f>
      </c>
      <c r="G3724" s="20">
        <f>Разбивка_по_щитам!J3729</f>
      </c>
      <c r="H3724" s="20">
        <f>Разбивка_по_щитам!K3729</f>
      </c>
      <c r="I3724" s="20">
        <f>Разбивка_по_щитам!L3729</f>
      </c>
      <c r="J3724" s="20">
        <f>Разбивка_по_щитам!M3729</f>
      </c>
      <c r="K3724" s="20">
        <f>Разбивка_по_щитам!N3729</f>
      </c>
      <c r="L3724" s="20"/>
      <c r="M3724" s="20">
        <f>Разбивка_по_щитам!P3729</f>
      </c>
      <c r="N3724" s="20"/>
    </row>
    <row r="3725" spans="2:14" x14ac:dyDescent="0.25">
      <c r="B3725" s="20">
        <f>Разбивка_по_щитам!B3730</f>
      </c>
      <c r="C3725" s="20">
        <f>Разбивка_по_щитам!C3730</f>
      </c>
      <c r="D3725" s="20">
        <f>Разбивка_по_щитам!F3730</f>
      </c>
      <c r="E3725" s="20">
        <f>Разбивка_по_щитам!H3730</f>
      </c>
      <c r="F3725" s="20">
        <f>Разбивка_по_щитам!I3730</f>
      </c>
      <c r="G3725" s="20">
        <f>Разбивка_по_щитам!J3730</f>
      </c>
      <c r="H3725" s="20">
        <f>Разбивка_по_щитам!K3730</f>
      </c>
      <c r="I3725" s="20">
        <f>Разбивка_по_щитам!L3730</f>
      </c>
      <c r="J3725" s="20">
        <f>Разбивка_по_щитам!M3730</f>
      </c>
      <c r="K3725" s="20">
        <f>Разбивка_по_щитам!N3730</f>
      </c>
      <c r="L3725" s="20"/>
      <c r="M3725" s="20">
        <f>Разбивка_по_щитам!P3730</f>
      </c>
      <c r="N3725" s="20"/>
    </row>
    <row r="3726" spans="2:14" x14ac:dyDescent="0.25">
      <c r="B3726" s="20">
        <f>Разбивка_по_щитам!B3731</f>
      </c>
      <c r="C3726" s="20">
        <f>Разбивка_по_щитам!C3731</f>
      </c>
      <c r="D3726" s="20">
        <f>Разбивка_по_щитам!F3731</f>
      </c>
      <c r="E3726" s="20">
        <f>Разбивка_по_щитам!H3731</f>
      </c>
      <c r="F3726" s="20">
        <f>Разбивка_по_щитам!I3731</f>
      </c>
      <c r="G3726" s="20">
        <f>Разбивка_по_щитам!J3731</f>
      </c>
      <c r="H3726" s="20">
        <f>Разбивка_по_щитам!K3731</f>
      </c>
      <c r="I3726" s="20">
        <f>Разбивка_по_щитам!L3731</f>
      </c>
      <c r="J3726" s="20">
        <f>Разбивка_по_щитам!M3731</f>
      </c>
      <c r="K3726" s="20">
        <f>Разбивка_по_щитам!N3731</f>
      </c>
      <c r="L3726" s="20"/>
      <c r="M3726" s="20">
        <f>Разбивка_по_щитам!P3731</f>
      </c>
      <c r="N3726" s="20"/>
    </row>
    <row r="3727" spans="2:14" x14ac:dyDescent="0.25">
      <c r="B3727" s="20">
        <f>Разбивка_по_щитам!B3732</f>
      </c>
      <c r="C3727" s="20">
        <f>Разбивка_по_щитам!C3732</f>
      </c>
      <c r="D3727" s="20">
        <f>Разбивка_по_щитам!F3732</f>
      </c>
      <c r="E3727" s="20">
        <f>Разбивка_по_щитам!H3732</f>
      </c>
      <c r="F3727" s="20">
        <f>Разбивка_по_щитам!I3732</f>
      </c>
      <c r="G3727" s="20">
        <f>Разбивка_по_щитам!J3732</f>
      </c>
      <c r="H3727" s="20">
        <f>Разбивка_по_щитам!K3732</f>
      </c>
      <c r="I3727" s="20">
        <f>Разбивка_по_щитам!L3732</f>
      </c>
      <c r="J3727" s="20">
        <f>Разбивка_по_щитам!M3732</f>
      </c>
      <c r="K3727" s="20">
        <f>Разбивка_по_щитам!N3732</f>
      </c>
      <c r="L3727" s="20"/>
      <c r="M3727" s="20">
        <f>Разбивка_по_щитам!P3732</f>
      </c>
      <c r="N3727" s="20"/>
    </row>
    <row r="3728" spans="2:14" x14ac:dyDescent="0.25">
      <c r="B3728" s="20">
        <f>Разбивка_по_щитам!B3733</f>
      </c>
      <c r="C3728" s="20">
        <f>Разбивка_по_щитам!C3733</f>
      </c>
      <c r="D3728" s="20">
        <f>Разбивка_по_щитам!F3733</f>
      </c>
      <c r="E3728" s="20">
        <f>Разбивка_по_щитам!H3733</f>
      </c>
      <c r="F3728" s="20">
        <f>Разбивка_по_щитам!I3733</f>
      </c>
      <c r="G3728" s="20">
        <f>Разбивка_по_щитам!J3733</f>
      </c>
      <c r="H3728" s="20">
        <f>Разбивка_по_щитам!K3733</f>
      </c>
      <c r="I3728" s="20">
        <f>Разбивка_по_щитам!L3733</f>
      </c>
      <c r="J3728" s="20">
        <f>Разбивка_по_щитам!M3733</f>
      </c>
      <c r="K3728" s="20">
        <f>Разбивка_по_щитам!N3733</f>
      </c>
      <c r="L3728" s="20"/>
      <c r="M3728" s="20">
        <f>Разбивка_по_щитам!P3733</f>
      </c>
      <c r="N3728" s="20"/>
    </row>
    <row r="3729" spans="2:14" x14ac:dyDescent="0.25">
      <c r="B3729" s="20">
        <f>Разбивка_по_щитам!B3734</f>
      </c>
      <c r="C3729" s="20">
        <f>Разбивка_по_щитам!C3734</f>
      </c>
      <c r="D3729" s="20">
        <f>Разбивка_по_щитам!F3734</f>
      </c>
      <c r="E3729" s="20">
        <f>Разбивка_по_щитам!H3734</f>
      </c>
      <c r="F3729" s="20">
        <f>Разбивка_по_щитам!I3734</f>
      </c>
      <c r="G3729" s="20">
        <f>Разбивка_по_щитам!J3734</f>
      </c>
      <c r="H3729" s="20">
        <f>Разбивка_по_щитам!K3734</f>
      </c>
      <c r="I3729" s="20">
        <f>Разбивка_по_щитам!L3734</f>
      </c>
      <c r="J3729" s="20">
        <f>Разбивка_по_щитам!M3734</f>
      </c>
      <c r="K3729" s="20">
        <f>Разбивка_по_щитам!N3734</f>
      </c>
      <c r="L3729" s="20"/>
      <c r="M3729" s="20">
        <f>Разбивка_по_щитам!P3734</f>
      </c>
      <c r="N3729" s="20"/>
    </row>
    <row r="3730" spans="2:14" x14ac:dyDescent="0.25">
      <c r="B3730" s="20">
        <f>Разбивка_по_щитам!B3735</f>
      </c>
      <c r="C3730" s="20">
        <f>Разбивка_по_щитам!C3735</f>
      </c>
      <c r="D3730" s="20">
        <f>Разбивка_по_щитам!F3735</f>
      </c>
      <c r="E3730" s="20">
        <f>Разбивка_по_щитам!H3735</f>
      </c>
      <c r="F3730" s="20">
        <f>Разбивка_по_щитам!I3735</f>
      </c>
      <c r="G3730" s="20">
        <f>Разбивка_по_щитам!J3735</f>
      </c>
      <c r="H3730" s="20">
        <f>Разбивка_по_щитам!K3735</f>
      </c>
      <c r="I3730" s="20">
        <f>Разбивка_по_щитам!L3735</f>
      </c>
      <c r="J3730" s="20">
        <f>Разбивка_по_щитам!M3735</f>
      </c>
      <c r="K3730" s="20">
        <f>Разбивка_по_щитам!N3735</f>
      </c>
      <c r="L3730" s="20"/>
      <c r="M3730" s="20">
        <f>Разбивка_по_щитам!P3735</f>
      </c>
      <c r="N3730" s="20"/>
    </row>
    <row r="3731" spans="2:14" x14ac:dyDescent="0.25">
      <c r="B3731" s="20">
        <f>Разбивка_по_щитам!B3736</f>
      </c>
      <c r="C3731" s="20">
        <f>Разбивка_по_щитам!C3736</f>
      </c>
      <c r="D3731" s="20">
        <f>Разбивка_по_щитам!F3736</f>
      </c>
      <c r="E3731" s="20">
        <f>Разбивка_по_щитам!H3736</f>
      </c>
      <c r="F3731" s="20">
        <f>Разбивка_по_щитам!I3736</f>
      </c>
      <c r="G3731" s="20">
        <f>Разбивка_по_щитам!J3736</f>
      </c>
      <c r="H3731" s="20">
        <f>Разбивка_по_щитам!K3736</f>
      </c>
      <c r="I3731" s="20">
        <f>Разбивка_по_щитам!L3736</f>
      </c>
      <c r="J3731" s="20">
        <f>Разбивка_по_щитам!M3736</f>
      </c>
      <c r="K3731" s="20">
        <f>Разбивка_по_щитам!N3736</f>
      </c>
      <c r="L3731" s="20"/>
      <c r="M3731" s="20">
        <f>Разбивка_по_щитам!P3736</f>
      </c>
      <c r="N3731" s="20"/>
    </row>
    <row r="3732" spans="2:14" x14ac:dyDescent="0.25">
      <c r="B3732" s="20">
        <f>Разбивка_по_щитам!B3737</f>
      </c>
      <c r="C3732" s="20">
        <f>Разбивка_по_щитам!C3737</f>
      </c>
      <c r="D3732" s="20">
        <f>Разбивка_по_щитам!F3737</f>
      </c>
      <c r="E3732" s="20">
        <f>Разбивка_по_щитам!H3737</f>
      </c>
      <c r="F3732" s="20">
        <f>Разбивка_по_щитам!I3737</f>
      </c>
      <c r="G3732" s="20">
        <f>Разбивка_по_щитам!J3737</f>
      </c>
      <c r="H3732" s="20">
        <f>Разбивка_по_щитам!K3737</f>
      </c>
      <c r="I3732" s="20">
        <f>Разбивка_по_щитам!L3737</f>
      </c>
      <c r="J3732" s="20">
        <f>Разбивка_по_щитам!M3737</f>
      </c>
      <c r="K3732" s="20">
        <f>Разбивка_по_щитам!N3737</f>
      </c>
      <c r="L3732" s="20"/>
      <c r="M3732" s="20">
        <f>Разбивка_по_щитам!P3737</f>
      </c>
      <c r="N3732" s="20"/>
    </row>
    <row r="3733" spans="2:14" x14ac:dyDescent="0.25">
      <c r="B3733" s="20">
        <f>Разбивка_по_щитам!B3738</f>
      </c>
      <c r="C3733" s="20">
        <f>Разбивка_по_щитам!C3738</f>
      </c>
      <c r="D3733" s="20">
        <f>Разбивка_по_щитам!F3738</f>
      </c>
      <c r="E3733" s="20">
        <f>Разбивка_по_щитам!H3738</f>
      </c>
      <c r="F3733" s="20">
        <f>Разбивка_по_щитам!I3738</f>
      </c>
      <c r="G3733" s="20">
        <f>Разбивка_по_щитам!J3738</f>
      </c>
      <c r="H3733" s="20">
        <f>Разбивка_по_щитам!K3738</f>
      </c>
      <c r="I3733" s="20">
        <f>Разбивка_по_щитам!L3738</f>
      </c>
      <c r="J3733" s="20">
        <f>Разбивка_по_щитам!M3738</f>
      </c>
      <c r="K3733" s="20">
        <f>Разбивка_по_щитам!N3738</f>
      </c>
      <c r="L3733" s="20"/>
      <c r="M3733" s="20">
        <f>Разбивка_по_щитам!P3738</f>
      </c>
      <c r="N3733" s="20"/>
    </row>
    <row r="3734" spans="2:14" x14ac:dyDescent="0.25">
      <c r="B3734" s="20">
        <f>Разбивка_по_щитам!B3739</f>
      </c>
      <c r="C3734" s="20">
        <f>Разбивка_по_щитам!C3739</f>
      </c>
      <c r="D3734" s="20">
        <f>Разбивка_по_щитам!F3739</f>
      </c>
      <c r="E3734" s="20">
        <f>Разбивка_по_щитам!H3739</f>
      </c>
      <c r="F3734" s="20">
        <f>Разбивка_по_щитам!I3739</f>
      </c>
      <c r="G3734" s="20">
        <f>Разбивка_по_щитам!J3739</f>
      </c>
      <c r="H3734" s="20">
        <f>Разбивка_по_щитам!K3739</f>
      </c>
      <c r="I3734" s="20">
        <f>Разбивка_по_щитам!L3739</f>
      </c>
      <c r="J3734" s="20">
        <f>Разбивка_по_щитам!M3739</f>
      </c>
      <c r="K3734" s="20">
        <f>Разбивка_по_щитам!N3739</f>
      </c>
      <c r="L3734" s="20"/>
      <c r="M3734" s="20">
        <f>Разбивка_по_щитам!P3739</f>
      </c>
      <c r="N3734" s="20"/>
    </row>
    <row r="3735" spans="2:14" x14ac:dyDescent="0.25">
      <c r="B3735" s="20">
        <f>Разбивка_по_щитам!B3740</f>
      </c>
      <c r="C3735" s="20">
        <f>Разбивка_по_щитам!C3740</f>
      </c>
      <c r="D3735" s="20">
        <f>Разбивка_по_щитам!F3740</f>
      </c>
      <c r="E3735" s="20">
        <f>Разбивка_по_щитам!H3740</f>
      </c>
      <c r="F3735" s="20">
        <f>Разбивка_по_щитам!I3740</f>
      </c>
      <c r="G3735" s="20">
        <f>Разбивка_по_щитам!J3740</f>
      </c>
      <c r="H3735" s="20">
        <f>Разбивка_по_щитам!K3740</f>
      </c>
      <c r="I3735" s="20">
        <f>Разбивка_по_щитам!L3740</f>
      </c>
      <c r="J3735" s="20">
        <f>Разбивка_по_щитам!M3740</f>
      </c>
      <c r="K3735" s="20">
        <f>Разбивка_по_щитам!N3740</f>
      </c>
      <c r="L3735" s="20"/>
      <c r="M3735" s="20">
        <f>Разбивка_по_щитам!P3740</f>
      </c>
      <c r="N3735" s="20"/>
    </row>
    <row r="3736" spans="2:14" x14ac:dyDescent="0.25">
      <c r="B3736" s="20">
        <f>Разбивка_по_щитам!B3741</f>
      </c>
      <c r="C3736" s="20">
        <f>Разбивка_по_щитам!C3741</f>
      </c>
      <c r="D3736" s="20">
        <f>Разбивка_по_щитам!F3741</f>
      </c>
      <c r="E3736" s="20">
        <f>Разбивка_по_щитам!H3741</f>
      </c>
      <c r="F3736" s="20">
        <f>Разбивка_по_щитам!I3741</f>
      </c>
      <c r="G3736" s="20">
        <f>Разбивка_по_щитам!J3741</f>
      </c>
      <c r="H3736" s="20">
        <f>Разбивка_по_щитам!K3741</f>
      </c>
      <c r="I3736" s="20">
        <f>Разбивка_по_щитам!L3741</f>
      </c>
      <c r="J3736" s="20">
        <f>Разбивка_по_щитам!M3741</f>
      </c>
      <c r="K3736" s="20">
        <f>Разбивка_по_щитам!N3741</f>
      </c>
      <c r="L3736" s="20"/>
      <c r="M3736" s="20">
        <f>Разбивка_по_щитам!P3741</f>
      </c>
      <c r="N3736" s="20"/>
    </row>
    <row r="3737" spans="2:14" x14ac:dyDescent="0.25">
      <c r="B3737" s="20">
        <f>Разбивка_по_щитам!B3742</f>
      </c>
      <c r="C3737" s="20">
        <f>Разбивка_по_щитам!C3742</f>
      </c>
      <c r="D3737" s="20">
        <f>Разбивка_по_щитам!F3742</f>
      </c>
      <c r="E3737" s="20">
        <f>Разбивка_по_щитам!H3742</f>
      </c>
      <c r="F3737" s="20">
        <f>Разбивка_по_щитам!I3742</f>
      </c>
      <c r="G3737" s="20">
        <f>Разбивка_по_щитам!J3742</f>
      </c>
      <c r="H3737" s="20">
        <f>Разбивка_по_щитам!K3742</f>
      </c>
      <c r="I3737" s="20">
        <f>Разбивка_по_щитам!L3742</f>
      </c>
      <c r="J3737" s="20">
        <f>Разбивка_по_щитам!M3742</f>
      </c>
      <c r="K3737" s="20">
        <f>Разбивка_по_щитам!N3742</f>
      </c>
      <c r="L3737" s="20"/>
      <c r="M3737" s="20">
        <f>Разбивка_по_щитам!P3742</f>
      </c>
      <c r="N3737" s="20"/>
    </row>
    <row r="3738" spans="2:14" x14ac:dyDescent="0.25">
      <c r="B3738" s="20">
        <f>Разбивка_по_щитам!B3743</f>
      </c>
      <c r="C3738" s="20">
        <f>Разбивка_по_щитам!C3743</f>
      </c>
      <c r="D3738" s="20">
        <f>Разбивка_по_щитам!F3743</f>
      </c>
      <c r="E3738" s="20">
        <f>Разбивка_по_щитам!H3743</f>
      </c>
      <c r="F3738" s="20">
        <f>Разбивка_по_щитам!I3743</f>
      </c>
      <c r="G3738" s="20">
        <f>Разбивка_по_щитам!J3743</f>
      </c>
      <c r="H3738" s="20">
        <f>Разбивка_по_щитам!K3743</f>
      </c>
      <c r="I3738" s="20">
        <f>Разбивка_по_щитам!L3743</f>
      </c>
      <c r="J3738" s="20">
        <f>Разбивка_по_щитам!M3743</f>
      </c>
      <c r="K3738" s="20">
        <f>Разбивка_по_щитам!N3743</f>
      </c>
      <c r="L3738" s="20"/>
      <c r="M3738" s="20">
        <f>Разбивка_по_щитам!P3743</f>
      </c>
      <c r="N3738" s="20"/>
    </row>
    <row r="3739" spans="2:14" x14ac:dyDescent="0.25">
      <c r="B3739" s="20">
        <f>Разбивка_по_щитам!B3744</f>
      </c>
      <c r="C3739" s="20">
        <f>Разбивка_по_щитам!C3744</f>
      </c>
      <c r="D3739" s="20">
        <f>Разбивка_по_щитам!F3744</f>
      </c>
      <c r="E3739" s="20">
        <f>Разбивка_по_щитам!H3744</f>
      </c>
      <c r="F3739" s="20">
        <f>Разбивка_по_щитам!I3744</f>
      </c>
      <c r="G3739" s="20">
        <f>Разбивка_по_щитам!J3744</f>
      </c>
      <c r="H3739" s="20">
        <f>Разбивка_по_щитам!K3744</f>
      </c>
      <c r="I3739" s="20">
        <f>Разбивка_по_щитам!L3744</f>
      </c>
      <c r="J3739" s="20">
        <f>Разбивка_по_щитам!M3744</f>
      </c>
      <c r="K3739" s="20">
        <f>Разбивка_по_щитам!N3744</f>
      </c>
      <c r="L3739" s="20"/>
      <c r="M3739" s="20">
        <f>Разбивка_по_щитам!P3744</f>
      </c>
      <c r="N3739" s="20"/>
    </row>
    <row r="3740" spans="2:14" x14ac:dyDescent="0.25">
      <c r="B3740" s="20">
        <f>Разбивка_по_щитам!B3745</f>
      </c>
      <c r="C3740" s="20">
        <f>Разбивка_по_щитам!C3745</f>
      </c>
      <c r="D3740" s="20">
        <f>Разбивка_по_щитам!F3745</f>
      </c>
      <c r="E3740" s="20">
        <f>Разбивка_по_щитам!H3745</f>
      </c>
      <c r="F3740" s="20">
        <f>Разбивка_по_щитам!I3745</f>
      </c>
      <c r="G3740" s="20">
        <f>Разбивка_по_щитам!J3745</f>
      </c>
      <c r="H3740" s="20">
        <f>Разбивка_по_щитам!K3745</f>
      </c>
      <c r="I3740" s="20">
        <f>Разбивка_по_щитам!L3745</f>
      </c>
      <c r="J3740" s="20">
        <f>Разбивка_по_щитам!M3745</f>
      </c>
      <c r="K3740" s="20">
        <f>Разбивка_по_щитам!N3745</f>
      </c>
      <c r="L3740" s="20"/>
      <c r="M3740" s="20">
        <f>Разбивка_по_щитам!P3745</f>
      </c>
      <c r="N3740" s="20"/>
    </row>
    <row r="3741" spans="2:14" x14ac:dyDescent="0.25">
      <c r="B3741" s="20">
        <f>Разбивка_по_щитам!B3746</f>
      </c>
      <c r="C3741" s="20">
        <f>Разбивка_по_щитам!C3746</f>
      </c>
      <c r="D3741" s="20">
        <f>Разбивка_по_щитам!F3746</f>
      </c>
      <c r="E3741" s="20">
        <f>Разбивка_по_щитам!H3746</f>
      </c>
      <c r="F3741" s="20">
        <f>Разбивка_по_щитам!I3746</f>
      </c>
      <c r="G3741" s="20">
        <f>Разбивка_по_щитам!J3746</f>
      </c>
      <c r="H3741" s="20">
        <f>Разбивка_по_щитам!K3746</f>
      </c>
      <c r="I3741" s="20">
        <f>Разбивка_по_щитам!L3746</f>
      </c>
      <c r="J3741" s="20">
        <f>Разбивка_по_щитам!M3746</f>
      </c>
      <c r="K3741" s="20">
        <f>Разбивка_по_щитам!N3746</f>
      </c>
      <c r="L3741" s="20"/>
      <c r="M3741" s="20">
        <f>Разбивка_по_щитам!P3746</f>
      </c>
      <c r="N3741" s="20"/>
    </row>
    <row r="3742" spans="2:14" x14ac:dyDescent="0.25">
      <c r="B3742" s="20">
        <f>Разбивка_по_щитам!B3747</f>
      </c>
      <c r="C3742" s="20">
        <f>Разбивка_по_щитам!C3747</f>
      </c>
      <c r="D3742" s="20">
        <f>Разбивка_по_щитам!F3747</f>
      </c>
      <c r="E3742" s="20">
        <f>Разбивка_по_щитам!H3747</f>
      </c>
      <c r="F3742" s="20">
        <f>Разбивка_по_щитам!I3747</f>
      </c>
      <c r="G3742" s="20">
        <f>Разбивка_по_щитам!J3747</f>
      </c>
      <c r="H3742" s="20">
        <f>Разбивка_по_щитам!K3747</f>
      </c>
      <c r="I3742" s="20">
        <f>Разбивка_по_щитам!L3747</f>
      </c>
      <c r="J3742" s="20">
        <f>Разбивка_по_щитам!M3747</f>
      </c>
      <c r="K3742" s="20">
        <f>Разбивка_по_щитам!N3747</f>
      </c>
      <c r="L3742" s="20"/>
      <c r="M3742" s="20">
        <f>Разбивка_по_щитам!P3747</f>
      </c>
      <c r="N3742" s="20"/>
    </row>
    <row r="3743" spans="2:14" x14ac:dyDescent="0.25">
      <c r="B3743" s="20">
        <f>Разбивка_по_щитам!B3748</f>
      </c>
      <c r="C3743" s="20">
        <f>Разбивка_по_щитам!C3748</f>
      </c>
      <c r="D3743" s="20">
        <f>Разбивка_по_щитам!F3748</f>
      </c>
      <c r="E3743" s="20">
        <f>Разбивка_по_щитам!H3748</f>
      </c>
      <c r="F3743" s="20">
        <f>Разбивка_по_щитам!I3748</f>
      </c>
      <c r="G3743" s="20">
        <f>Разбивка_по_щитам!J3748</f>
      </c>
      <c r="H3743" s="20">
        <f>Разбивка_по_щитам!K3748</f>
      </c>
      <c r="I3743" s="20">
        <f>Разбивка_по_щитам!L3748</f>
      </c>
      <c r="J3743" s="20">
        <f>Разбивка_по_щитам!M3748</f>
      </c>
      <c r="K3743" s="20">
        <f>Разбивка_по_щитам!N3748</f>
      </c>
      <c r="L3743" s="20"/>
      <c r="M3743" s="20">
        <f>Разбивка_по_щитам!P3748</f>
      </c>
      <c r="N3743" s="20"/>
    </row>
    <row r="3744" spans="2:14" x14ac:dyDescent="0.25">
      <c r="B3744" s="20">
        <f>Разбивка_по_щитам!B3749</f>
      </c>
      <c r="C3744" s="20">
        <f>Разбивка_по_щитам!C3749</f>
      </c>
      <c r="D3744" s="20">
        <f>Разбивка_по_щитам!F3749</f>
      </c>
      <c r="E3744" s="20">
        <f>Разбивка_по_щитам!H3749</f>
      </c>
      <c r="F3744" s="20">
        <f>Разбивка_по_щитам!I3749</f>
      </c>
      <c r="G3744" s="20">
        <f>Разбивка_по_щитам!J3749</f>
      </c>
      <c r="H3744" s="20">
        <f>Разбивка_по_щитам!K3749</f>
      </c>
      <c r="I3744" s="20">
        <f>Разбивка_по_щитам!L3749</f>
      </c>
      <c r="J3744" s="20">
        <f>Разбивка_по_щитам!M3749</f>
      </c>
      <c r="K3744" s="20">
        <f>Разбивка_по_щитам!N3749</f>
      </c>
      <c r="L3744" s="20"/>
      <c r="M3744" s="20">
        <f>Разбивка_по_щитам!P3749</f>
      </c>
      <c r="N3744" s="20"/>
    </row>
    <row r="3745" spans="2:14" x14ac:dyDescent="0.25">
      <c r="B3745" s="20">
        <f>Разбивка_по_щитам!B3750</f>
      </c>
      <c r="C3745" s="20">
        <f>Разбивка_по_щитам!C3750</f>
      </c>
      <c r="D3745" s="20">
        <f>Разбивка_по_щитам!F3750</f>
      </c>
      <c r="E3745" s="20">
        <f>Разбивка_по_щитам!H3750</f>
      </c>
      <c r="F3745" s="20">
        <f>Разбивка_по_щитам!I3750</f>
      </c>
      <c r="G3745" s="20">
        <f>Разбивка_по_щитам!J3750</f>
      </c>
      <c r="H3745" s="20">
        <f>Разбивка_по_щитам!K3750</f>
      </c>
      <c r="I3745" s="20">
        <f>Разбивка_по_щитам!L3750</f>
      </c>
      <c r="J3745" s="20">
        <f>Разбивка_по_щитам!M3750</f>
      </c>
      <c r="K3745" s="20">
        <f>Разбивка_по_щитам!N3750</f>
      </c>
      <c r="L3745" s="20"/>
      <c r="M3745" s="20">
        <f>Разбивка_по_щитам!P3750</f>
      </c>
      <c r="N3745" s="20"/>
    </row>
    <row r="3746" spans="2:14" x14ac:dyDescent="0.25">
      <c r="B3746" s="20">
        <f>Разбивка_по_щитам!B3751</f>
      </c>
      <c r="C3746" s="20">
        <f>Разбивка_по_щитам!C3751</f>
      </c>
      <c r="D3746" s="20">
        <f>Разбивка_по_щитам!F3751</f>
      </c>
      <c r="E3746" s="20">
        <f>Разбивка_по_щитам!H3751</f>
      </c>
      <c r="F3746" s="20">
        <f>Разбивка_по_щитам!I3751</f>
      </c>
      <c r="G3746" s="20">
        <f>Разбивка_по_щитам!J3751</f>
      </c>
      <c r="H3746" s="20">
        <f>Разбивка_по_щитам!K3751</f>
      </c>
      <c r="I3746" s="20">
        <f>Разбивка_по_щитам!L3751</f>
      </c>
      <c r="J3746" s="20">
        <f>Разбивка_по_щитам!M3751</f>
      </c>
      <c r="K3746" s="20">
        <f>Разбивка_по_щитам!N3751</f>
      </c>
      <c r="L3746" s="20"/>
      <c r="M3746" s="20">
        <f>Разбивка_по_щитам!P3751</f>
      </c>
      <c r="N3746" s="20"/>
    </row>
    <row r="3747" spans="2:14" x14ac:dyDescent="0.25">
      <c r="B3747" s="20">
        <f>Разбивка_по_щитам!B3752</f>
      </c>
      <c r="C3747" s="20">
        <f>Разбивка_по_щитам!C3752</f>
      </c>
      <c r="D3747" s="20">
        <f>Разбивка_по_щитам!F3752</f>
      </c>
      <c r="E3747" s="20">
        <f>Разбивка_по_щитам!H3752</f>
      </c>
      <c r="F3747" s="20">
        <f>Разбивка_по_щитам!I3752</f>
      </c>
      <c r="G3747" s="20">
        <f>Разбивка_по_щитам!J3752</f>
      </c>
      <c r="H3747" s="20">
        <f>Разбивка_по_щитам!K3752</f>
      </c>
      <c r="I3747" s="20">
        <f>Разбивка_по_щитам!L3752</f>
      </c>
      <c r="J3747" s="20">
        <f>Разбивка_по_щитам!M3752</f>
      </c>
      <c r="K3747" s="20">
        <f>Разбивка_по_щитам!N3752</f>
      </c>
      <c r="L3747" s="20"/>
      <c r="M3747" s="20">
        <f>Разбивка_по_щитам!P3752</f>
      </c>
      <c r="N3747" s="20"/>
    </row>
    <row r="3748" spans="2:14" x14ac:dyDescent="0.25">
      <c r="B3748" s="20">
        <f>Разбивка_по_щитам!B3753</f>
      </c>
      <c r="C3748" s="20">
        <f>Разбивка_по_щитам!C3753</f>
      </c>
      <c r="D3748" s="20">
        <f>Разбивка_по_щитам!F3753</f>
      </c>
      <c r="E3748" s="20">
        <f>Разбивка_по_щитам!H3753</f>
      </c>
      <c r="F3748" s="20">
        <f>Разбивка_по_щитам!I3753</f>
      </c>
      <c r="G3748" s="20">
        <f>Разбивка_по_щитам!J3753</f>
      </c>
      <c r="H3748" s="20">
        <f>Разбивка_по_щитам!K3753</f>
      </c>
      <c r="I3748" s="20">
        <f>Разбивка_по_щитам!L3753</f>
      </c>
      <c r="J3748" s="20">
        <f>Разбивка_по_щитам!M3753</f>
      </c>
      <c r="K3748" s="20">
        <f>Разбивка_по_щитам!N3753</f>
      </c>
      <c r="L3748" s="20"/>
      <c r="M3748" s="20">
        <f>Разбивка_по_щитам!P3753</f>
      </c>
      <c r="N3748" s="20"/>
    </row>
    <row r="3749" spans="2:14" x14ac:dyDescent="0.25">
      <c r="B3749" s="20">
        <f>Разбивка_по_щитам!B3754</f>
      </c>
      <c r="C3749" s="20">
        <f>Разбивка_по_щитам!C3754</f>
      </c>
      <c r="D3749" s="20">
        <f>Разбивка_по_щитам!F3754</f>
      </c>
      <c r="E3749" s="20">
        <f>Разбивка_по_щитам!H3754</f>
      </c>
      <c r="F3749" s="20">
        <f>Разбивка_по_щитам!I3754</f>
      </c>
      <c r="G3749" s="20">
        <f>Разбивка_по_щитам!J3754</f>
      </c>
      <c r="H3749" s="20">
        <f>Разбивка_по_щитам!K3754</f>
      </c>
      <c r="I3749" s="20">
        <f>Разбивка_по_щитам!L3754</f>
      </c>
      <c r="J3749" s="20">
        <f>Разбивка_по_щитам!M3754</f>
      </c>
      <c r="K3749" s="20">
        <f>Разбивка_по_щитам!N3754</f>
      </c>
      <c r="L3749" s="20"/>
      <c r="M3749" s="20">
        <f>Разбивка_по_щитам!P3754</f>
      </c>
      <c r="N3749" s="20"/>
    </row>
    <row r="3750" spans="2:14" x14ac:dyDescent="0.25">
      <c r="B3750" s="20">
        <f>Разбивка_по_щитам!B3755</f>
      </c>
      <c r="C3750" s="20">
        <f>Разбивка_по_щитам!C3755</f>
      </c>
      <c r="D3750" s="20">
        <f>Разбивка_по_щитам!F3755</f>
      </c>
      <c r="E3750" s="20">
        <f>Разбивка_по_щитам!H3755</f>
      </c>
      <c r="F3750" s="20">
        <f>Разбивка_по_щитам!I3755</f>
      </c>
      <c r="G3750" s="20">
        <f>Разбивка_по_щитам!J3755</f>
      </c>
      <c r="H3750" s="20">
        <f>Разбивка_по_щитам!K3755</f>
      </c>
      <c r="I3750" s="20">
        <f>Разбивка_по_щитам!L3755</f>
      </c>
      <c r="J3750" s="20">
        <f>Разбивка_по_щитам!M3755</f>
      </c>
      <c r="K3750" s="20">
        <f>Разбивка_по_щитам!N3755</f>
      </c>
      <c r="L3750" s="20"/>
      <c r="M3750" s="20">
        <f>Разбивка_по_щитам!P3755</f>
      </c>
      <c r="N3750" s="20"/>
    </row>
    <row r="3751" spans="2:14" x14ac:dyDescent="0.25">
      <c r="B3751" s="20">
        <f>Разбивка_по_щитам!B3756</f>
      </c>
      <c r="C3751" s="20">
        <f>Разбивка_по_щитам!C3756</f>
      </c>
      <c r="D3751" s="20">
        <f>Разбивка_по_щитам!F3756</f>
      </c>
      <c r="E3751" s="20">
        <f>Разбивка_по_щитам!H3756</f>
      </c>
      <c r="F3751" s="20">
        <f>Разбивка_по_щитам!I3756</f>
      </c>
      <c r="G3751" s="20">
        <f>Разбивка_по_щитам!J3756</f>
      </c>
      <c r="H3751" s="20">
        <f>Разбивка_по_щитам!K3756</f>
      </c>
      <c r="I3751" s="20">
        <f>Разбивка_по_щитам!L3756</f>
      </c>
      <c r="J3751" s="20">
        <f>Разбивка_по_щитам!M3756</f>
      </c>
      <c r="K3751" s="20">
        <f>Разбивка_по_щитам!N3756</f>
      </c>
      <c r="L3751" s="20"/>
      <c r="M3751" s="20">
        <f>Разбивка_по_щитам!P3756</f>
      </c>
      <c r="N3751" s="20"/>
    </row>
    <row r="3752" spans="2:14" x14ac:dyDescent="0.25">
      <c r="B3752" s="20">
        <f>Разбивка_по_щитам!B3757</f>
      </c>
      <c r="C3752" s="20">
        <f>Разбивка_по_щитам!C3757</f>
      </c>
      <c r="D3752" s="20">
        <f>Разбивка_по_щитам!F3757</f>
      </c>
      <c r="E3752" s="20">
        <f>Разбивка_по_щитам!H3757</f>
      </c>
      <c r="F3752" s="20">
        <f>Разбивка_по_щитам!I3757</f>
      </c>
      <c r="G3752" s="20">
        <f>Разбивка_по_щитам!J3757</f>
      </c>
      <c r="H3752" s="20">
        <f>Разбивка_по_щитам!K3757</f>
      </c>
      <c r="I3752" s="20">
        <f>Разбивка_по_щитам!L3757</f>
      </c>
      <c r="J3752" s="20">
        <f>Разбивка_по_щитам!M3757</f>
      </c>
      <c r="K3752" s="20">
        <f>Разбивка_по_щитам!N3757</f>
      </c>
      <c r="L3752" s="20"/>
      <c r="M3752" s="20">
        <f>Разбивка_по_щитам!P3757</f>
      </c>
      <c r="N3752" s="20"/>
    </row>
    <row r="3753" spans="2:14" x14ac:dyDescent="0.25">
      <c r="B3753" s="20">
        <f>Разбивка_по_щитам!B3758</f>
      </c>
      <c r="C3753" s="20">
        <f>Разбивка_по_щитам!C3758</f>
      </c>
      <c r="D3753" s="20">
        <f>Разбивка_по_щитам!F3758</f>
      </c>
      <c r="E3753" s="20">
        <f>Разбивка_по_щитам!H3758</f>
      </c>
      <c r="F3753" s="20">
        <f>Разбивка_по_щитам!I3758</f>
      </c>
      <c r="G3753" s="20">
        <f>Разбивка_по_щитам!J3758</f>
      </c>
      <c r="H3753" s="20">
        <f>Разбивка_по_щитам!K3758</f>
      </c>
      <c r="I3753" s="20">
        <f>Разбивка_по_щитам!L3758</f>
      </c>
      <c r="J3753" s="20">
        <f>Разбивка_по_щитам!M3758</f>
      </c>
      <c r="K3753" s="20">
        <f>Разбивка_по_щитам!N3758</f>
      </c>
      <c r="L3753" s="20"/>
      <c r="M3753" s="20">
        <f>Разбивка_по_щитам!P3758</f>
      </c>
      <c r="N3753" s="20"/>
    </row>
    <row r="3754" spans="2:14" x14ac:dyDescent="0.25">
      <c r="B3754" s="20">
        <f>Разбивка_по_щитам!B3759</f>
      </c>
      <c r="C3754" s="20">
        <f>Разбивка_по_щитам!C3759</f>
      </c>
      <c r="D3754" s="20">
        <f>Разбивка_по_щитам!F3759</f>
      </c>
      <c r="E3754" s="20">
        <f>Разбивка_по_щитам!H3759</f>
      </c>
      <c r="F3754" s="20">
        <f>Разбивка_по_щитам!I3759</f>
      </c>
      <c r="G3754" s="20">
        <f>Разбивка_по_щитам!J3759</f>
      </c>
      <c r="H3754" s="20">
        <f>Разбивка_по_щитам!K3759</f>
      </c>
      <c r="I3754" s="20">
        <f>Разбивка_по_щитам!L3759</f>
      </c>
      <c r="J3754" s="20">
        <f>Разбивка_по_щитам!M3759</f>
      </c>
      <c r="K3754" s="20">
        <f>Разбивка_по_щитам!N3759</f>
      </c>
      <c r="L3754" s="20"/>
      <c r="M3754" s="20">
        <f>Разбивка_по_щитам!P3759</f>
      </c>
      <c r="N3754" s="20"/>
    </row>
    <row r="3755" spans="2:14" x14ac:dyDescent="0.25">
      <c r="B3755" s="20">
        <f>Разбивка_по_щитам!B3760</f>
      </c>
      <c r="C3755" s="20">
        <f>Разбивка_по_щитам!C3760</f>
      </c>
      <c r="D3755" s="20">
        <f>Разбивка_по_щитам!F3760</f>
      </c>
      <c r="E3755" s="20">
        <f>Разбивка_по_щитам!H3760</f>
      </c>
      <c r="F3755" s="20">
        <f>Разбивка_по_щитам!I3760</f>
      </c>
      <c r="G3755" s="20">
        <f>Разбивка_по_щитам!J3760</f>
      </c>
      <c r="H3755" s="20">
        <f>Разбивка_по_щитам!K3760</f>
      </c>
      <c r="I3755" s="20">
        <f>Разбивка_по_щитам!L3760</f>
      </c>
      <c r="J3755" s="20">
        <f>Разбивка_по_щитам!M3760</f>
      </c>
      <c r="K3755" s="20">
        <f>Разбивка_по_щитам!N3760</f>
      </c>
      <c r="L3755" s="20"/>
      <c r="M3755" s="20">
        <f>Разбивка_по_щитам!P3760</f>
      </c>
      <c r="N3755" s="20"/>
    </row>
    <row r="3756" spans="2:14" x14ac:dyDescent="0.25">
      <c r="B3756" s="20">
        <f>Разбивка_по_щитам!B3761</f>
      </c>
      <c r="C3756" s="20">
        <f>Разбивка_по_щитам!C3761</f>
      </c>
      <c r="D3756" s="20">
        <f>Разбивка_по_щитам!F3761</f>
      </c>
      <c r="E3756" s="20">
        <f>Разбивка_по_щитам!H3761</f>
      </c>
      <c r="F3756" s="20">
        <f>Разбивка_по_щитам!I3761</f>
      </c>
      <c r="G3756" s="20">
        <f>Разбивка_по_щитам!J3761</f>
      </c>
      <c r="H3756" s="20">
        <f>Разбивка_по_щитам!K3761</f>
      </c>
      <c r="I3756" s="20">
        <f>Разбивка_по_щитам!L3761</f>
      </c>
      <c r="J3756" s="20">
        <f>Разбивка_по_щитам!M3761</f>
      </c>
      <c r="K3756" s="20">
        <f>Разбивка_по_щитам!N3761</f>
      </c>
      <c r="L3756" s="20"/>
      <c r="M3756" s="20">
        <f>Разбивка_по_щитам!P3761</f>
      </c>
      <c r="N3756" s="20"/>
    </row>
    <row r="3757" spans="2:14" x14ac:dyDescent="0.25">
      <c r="B3757" s="20">
        <f>Разбивка_по_щитам!B3762</f>
      </c>
      <c r="C3757" s="20">
        <f>Разбивка_по_щитам!C3762</f>
      </c>
      <c r="D3757" s="20">
        <f>Разбивка_по_щитам!F3762</f>
      </c>
      <c r="E3757" s="20">
        <f>Разбивка_по_щитам!H3762</f>
      </c>
      <c r="F3757" s="20">
        <f>Разбивка_по_щитам!I3762</f>
      </c>
      <c r="G3757" s="20">
        <f>Разбивка_по_щитам!J3762</f>
      </c>
      <c r="H3757" s="20">
        <f>Разбивка_по_щитам!K3762</f>
      </c>
      <c r="I3757" s="20">
        <f>Разбивка_по_щитам!L3762</f>
      </c>
      <c r="J3757" s="20">
        <f>Разбивка_по_щитам!M3762</f>
      </c>
      <c r="K3757" s="20">
        <f>Разбивка_по_щитам!N3762</f>
      </c>
      <c r="L3757" s="20"/>
      <c r="M3757" s="20">
        <f>Разбивка_по_щитам!P3762</f>
      </c>
      <c r="N3757" s="20"/>
    </row>
    <row r="3758" spans="2:14" x14ac:dyDescent="0.25">
      <c r="B3758" s="20">
        <f>Разбивка_по_щитам!B3763</f>
      </c>
      <c r="C3758" s="20">
        <f>Разбивка_по_щитам!C3763</f>
      </c>
      <c r="D3758" s="20">
        <f>Разбивка_по_щитам!F3763</f>
      </c>
      <c r="E3758" s="20">
        <f>Разбивка_по_щитам!H3763</f>
      </c>
      <c r="F3758" s="20">
        <f>Разбивка_по_щитам!I3763</f>
      </c>
      <c r="G3758" s="20">
        <f>Разбивка_по_щитам!J3763</f>
      </c>
      <c r="H3758" s="20">
        <f>Разбивка_по_щитам!K3763</f>
      </c>
      <c r="I3758" s="20">
        <f>Разбивка_по_щитам!L3763</f>
      </c>
      <c r="J3758" s="20">
        <f>Разбивка_по_щитам!M3763</f>
      </c>
      <c r="K3758" s="20">
        <f>Разбивка_по_щитам!N3763</f>
      </c>
      <c r="L3758" s="20"/>
      <c r="M3758" s="20">
        <f>Разбивка_по_щитам!P3763</f>
      </c>
      <c r="N3758" s="20"/>
    </row>
    <row r="3759" spans="2:14" x14ac:dyDescent="0.25">
      <c r="B3759" s="20">
        <f>Разбивка_по_щитам!B3764</f>
      </c>
      <c r="C3759" s="20">
        <f>Разбивка_по_щитам!C3764</f>
      </c>
      <c r="D3759" s="20">
        <f>Разбивка_по_щитам!F3764</f>
      </c>
      <c r="E3759" s="20">
        <f>Разбивка_по_щитам!H3764</f>
      </c>
      <c r="F3759" s="20">
        <f>Разбивка_по_щитам!I3764</f>
      </c>
      <c r="G3759" s="20">
        <f>Разбивка_по_щитам!J3764</f>
      </c>
      <c r="H3759" s="20">
        <f>Разбивка_по_щитам!K3764</f>
      </c>
      <c r="I3759" s="20">
        <f>Разбивка_по_щитам!L3764</f>
      </c>
      <c r="J3759" s="20">
        <f>Разбивка_по_щитам!M3764</f>
      </c>
      <c r="K3759" s="20">
        <f>Разбивка_по_щитам!N3764</f>
      </c>
      <c r="L3759" s="20"/>
      <c r="M3759" s="20">
        <f>Разбивка_по_щитам!P3764</f>
      </c>
      <c r="N3759" s="20"/>
    </row>
    <row r="3760" spans="2:14" x14ac:dyDescent="0.25">
      <c r="B3760" s="20">
        <f>Разбивка_по_щитам!B3765</f>
      </c>
      <c r="C3760" s="20">
        <f>Разбивка_по_щитам!C3765</f>
      </c>
      <c r="D3760" s="20">
        <f>Разбивка_по_щитам!F3765</f>
      </c>
      <c r="E3760" s="20">
        <f>Разбивка_по_щитам!H3765</f>
      </c>
      <c r="F3760" s="20">
        <f>Разбивка_по_щитам!I3765</f>
      </c>
      <c r="G3760" s="20">
        <f>Разбивка_по_щитам!J3765</f>
      </c>
      <c r="H3760" s="20">
        <f>Разбивка_по_щитам!K3765</f>
      </c>
      <c r="I3760" s="20">
        <f>Разбивка_по_щитам!L3765</f>
      </c>
      <c r="J3760" s="20">
        <f>Разбивка_по_щитам!M3765</f>
      </c>
      <c r="K3760" s="20">
        <f>Разбивка_по_щитам!N3765</f>
      </c>
      <c r="L3760" s="20"/>
      <c r="M3760" s="20">
        <f>Разбивка_по_щитам!P3765</f>
      </c>
      <c r="N3760" s="20"/>
    </row>
    <row r="3761" spans="2:14" x14ac:dyDescent="0.25">
      <c r="B3761" s="20">
        <f>Разбивка_по_щитам!B3766</f>
      </c>
      <c r="C3761" s="20">
        <f>Разбивка_по_щитам!C3766</f>
      </c>
      <c r="D3761" s="20">
        <f>Разбивка_по_щитам!F3766</f>
      </c>
      <c r="E3761" s="20">
        <f>Разбивка_по_щитам!H3766</f>
      </c>
      <c r="F3761" s="20">
        <f>Разбивка_по_щитам!I3766</f>
      </c>
      <c r="G3761" s="20">
        <f>Разбивка_по_щитам!J3766</f>
      </c>
      <c r="H3761" s="20">
        <f>Разбивка_по_щитам!K3766</f>
      </c>
      <c r="I3761" s="20">
        <f>Разбивка_по_щитам!L3766</f>
      </c>
      <c r="J3761" s="20">
        <f>Разбивка_по_щитам!M3766</f>
      </c>
      <c r="K3761" s="20">
        <f>Разбивка_по_щитам!N3766</f>
      </c>
      <c r="L3761" s="20"/>
      <c r="M3761" s="20">
        <f>Разбивка_по_щитам!P3766</f>
      </c>
      <c r="N3761" s="20"/>
    </row>
    <row r="3762" spans="2:14" x14ac:dyDescent="0.25">
      <c r="B3762" s="20">
        <f>Разбивка_по_щитам!B3767</f>
      </c>
      <c r="C3762" s="20">
        <f>Разбивка_по_щитам!C3767</f>
      </c>
      <c r="D3762" s="20">
        <f>Разбивка_по_щитам!F3767</f>
      </c>
      <c r="E3762" s="20">
        <f>Разбивка_по_щитам!H3767</f>
      </c>
      <c r="F3762" s="20">
        <f>Разбивка_по_щитам!I3767</f>
      </c>
      <c r="G3762" s="20">
        <f>Разбивка_по_щитам!J3767</f>
      </c>
      <c r="H3762" s="20">
        <f>Разбивка_по_щитам!K3767</f>
      </c>
      <c r="I3762" s="20">
        <f>Разбивка_по_щитам!L3767</f>
      </c>
      <c r="J3762" s="20">
        <f>Разбивка_по_щитам!M3767</f>
      </c>
      <c r="K3762" s="20">
        <f>Разбивка_по_щитам!N3767</f>
      </c>
      <c r="L3762" s="20"/>
      <c r="M3762" s="20">
        <f>Разбивка_по_щитам!P3767</f>
      </c>
      <c r="N3762" s="20"/>
    </row>
    <row r="3763" spans="2:14" x14ac:dyDescent="0.25">
      <c r="B3763" s="20">
        <f>Разбивка_по_щитам!B3768</f>
      </c>
      <c r="C3763" s="20">
        <f>Разбивка_по_щитам!C3768</f>
      </c>
      <c r="D3763" s="20">
        <f>Разбивка_по_щитам!F3768</f>
      </c>
      <c r="E3763" s="20">
        <f>Разбивка_по_щитам!H3768</f>
      </c>
      <c r="F3763" s="20">
        <f>Разбивка_по_щитам!I3768</f>
      </c>
      <c r="G3763" s="20">
        <f>Разбивка_по_щитам!J3768</f>
      </c>
      <c r="H3763" s="20">
        <f>Разбивка_по_щитам!K3768</f>
      </c>
      <c r="I3763" s="20">
        <f>Разбивка_по_щитам!L3768</f>
      </c>
      <c r="J3763" s="20">
        <f>Разбивка_по_щитам!M3768</f>
      </c>
      <c r="K3763" s="20">
        <f>Разбивка_по_щитам!N3768</f>
      </c>
      <c r="L3763" s="20"/>
      <c r="M3763" s="20">
        <f>Разбивка_по_щитам!P3768</f>
      </c>
      <c r="N3763" s="20"/>
    </row>
    <row r="3764" spans="2:14" x14ac:dyDescent="0.25">
      <c r="B3764" s="20">
        <f>Разбивка_по_щитам!B3769</f>
      </c>
      <c r="C3764" s="20">
        <f>Разбивка_по_щитам!C3769</f>
      </c>
      <c r="D3764" s="20">
        <f>Разбивка_по_щитам!F3769</f>
      </c>
      <c r="E3764" s="20">
        <f>Разбивка_по_щитам!H3769</f>
      </c>
      <c r="F3764" s="20">
        <f>Разбивка_по_щитам!I3769</f>
      </c>
      <c r="G3764" s="20">
        <f>Разбивка_по_щитам!J3769</f>
      </c>
      <c r="H3764" s="20">
        <f>Разбивка_по_щитам!K3769</f>
      </c>
      <c r="I3764" s="20">
        <f>Разбивка_по_щитам!L3769</f>
      </c>
      <c r="J3764" s="20">
        <f>Разбивка_по_щитам!M3769</f>
      </c>
      <c r="K3764" s="20">
        <f>Разбивка_по_щитам!N3769</f>
      </c>
      <c r="L3764" s="20"/>
      <c r="M3764" s="20">
        <f>Разбивка_по_щитам!P3769</f>
      </c>
      <c r="N3764" s="20"/>
    </row>
    <row r="3765" spans="2:14" x14ac:dyDescent="0.25">
      <c r="B3765" s="20">
        <f>Разбивка_по_щитам!B3770</f>
      </c>
      <c r="C3765" s="20">
        <f>Разбивка_по_щитам!C3770</f>
      </c>
      <c r="D3765" s="20">
        <f>Разбивка_по_щитам!F3770</f>
      </c>
      <c r="E3765" s="20">
        <f>Разбивка_по_щитам!H3770</f>
      </c>
      <c r="F3765" s="20">
        <f>Разбивка_по_щитам!I3770</f>
      </c>
      <c r="G3765" s="20">
        <f>Разбивка_по_щитам!J3770</f>
      </c>
      <c r="H3765" s="20">
        <f>Разбивка_по_щитам!K3770</f>
      </c>
      <c r="I3765" s="20">
        <f>Разбивка_по_щитам!L3770</f>
      </c>
      <c r="J3765" s="20">
        <f>Разбивка_по_щитам!M3770</f>
      </c>
      <c r="K3765" s="20">
        <f>Разбивка_по_щитам!N3770</f>
      </c>
      <c r="L3765" s="20"/>
      <c r="M3765" s="20">
        <f>Разбивка_по_щитам!P3770</f>
      </c>
      <c r="N3765" s="20"/>
    </row>
    <row r="3766" spans="2:14" x14ac:dyDescent="0.25">
      <c r="B3766" s="20">
        <f>Разбивка_по_щитам!B3771</f>
      </c>
      <c r="C3766" s="20">
        <f>Разбивка_по_щитам!C3771</f>
      </c>
      <c r="D3766" s="20">
        <f>Разбивка_по_щитам!F3771</f>
      </c>
      <c r="E3766" s="20">
        <f>Разбивка_по_щитам!H3771</f>
      </c>
      <c r="F3766" s="20">
        <f>Разбивка_по_щитам!I3771</f>
      </c>
      <c r="G3766" s="20">
        <f>Разбивка_по_щитам!J3771</f>
      </c>
      <c r="H3766" s="20">
        <f>Разбивка_по_щитам!K3771</f>
      </c>
      <c r="I3766" s="20">
        <f>Разбивка_по_щитам!L3771</f>
      </c>
      <c r="J3766" s="20">
        <f>Разбивка_по_щитам!M3771</f>
      </c>
      <c r="K3766" s="20">
        <f>Разбивка_по_щитам!N3771</f>
      </c>
      <c r="L3766" s="20"/>
      <c r="M3766" s="20">
        <f>Разбивка_по_щитам!P3771</f>
      </c>
      <c r="N3766" s="20"/>
    </row>
    <row r="3767" spans="2:14" x14ac:dyDescent="0.25">
      <c r="B3767" s="20">
        <f>Разбивка_по_щитам!B3772</f>
      </c>
      <c r="C3767" s="20">
        <f>Разбивка_по_щитам!C3772</f>
      </c>
      <c r="D3767" s="20">
        <f>Разбивка_по_щитам!F3772</f>
      </c>
      <c r="E3767" s="20">
        <f>Разбивка_по_щитам!H3772</f>
      </c>
      <c r="F3767" s="20">
        <f>Разбивка_по_щитам!I3772</f>
      </c>
      <c r="G3767" s="20">
        <f>Разбивка_по_щитам!J3772</f>
      </c>
      <c r="H3767" s="20">
        <f>Разбивка_по_щитам!K3772</f>
      </c>
      <c r="I3767" s="20">
        <f>Разбивка_по_щитам!L3772</f>
      </c>
      <c r="J3767" s="20">
        <f>Разбивка_по_щитам!M3772</f>
      </c>
      <c r="K3767" s="20">
        <f>Разбивка_по_щитам!N3772</f>
      </c>
      <c r="L3767" s="20"/>
      <c r="M3767" s="20">
        <f>Разбивка_по_щитам!P3772</f>
      </c>
      <c r="N3767" s="20"/>
    </row>
    <row r="3768" spans="2:14" x14ac:dyDescent="0.25">
      <c r="B3768" s="20">
        <f>Разбивка_по_щитам!B3773</f>
      </c>
      <c r="C3768" s="20">
        <f>Разбивка_по_щитам!C3773</f>
      </c>
      <c r="D3768" s="20">
        <f>Разбивка_по_щитам!F3773</f>
      </c>
      <c r="E3768" s="20">
        <f>Разбивка_по_щитам!H3773</f>
      </c>
      <c r="F3768" s="20">
        <f>Разбивка_по_щитам!I3773</f>
      </c>
      <c r="G3768" s="20">
        <f>Разбивка_по_щитам!J3773</f>
      </c>
      <c r="H3768" s="20">
        <f>Разбивка_по_щитам!K3773</f>
      </c>
      <c r="I3768" s="20">
        <f>Разбивка_по_щитам!L3773</f>
      </c>
      <c r="J3768" s="20">
        <f>Разбивка_по_щитам!M3773</f>
      </c>
      <c r="K3768" s="20">
        <f>Разбивка_по_щитам!N3773</f>
      </c>
      <c r="L3768" s="20"/>
      <c r="M3768" s="20">
        <f>Разбивка_по_щитам!P3773</f>
      </c>
      <c r="N3768" s="20"/>
    </row>
    <row r="3769" spans="2:14" x14ac:dyDescent="0.25">
      <c r="B3769" s="20">
        <f>Разбивка_по_щитам!B3774</f>
      </c>
      <c r="C3769" s="20">
        <f>Разбивка_по_щитам!C3774</f>
      </c>
      <c r="D3769" s="20">
        <f>Разбивка_по_щитам!F3774</f>
      </c>
      <c r="E3769" s="20">
        <f>Разбивка_по_щитам!H3774</f>
      </c>
      <c r="F3769" s="20">
        <f>Разбивка_по_щитам!I3774</f>
      </c>
      <c r="G3769" s="20">
        <f>Разбивка_по_щитам!J3774</f>
      </c>
      <c r="H3769" s="20">
        <f>Разбивка_по_щитам!K3774</f>
      </c>
      <c r="I3769" s="20">
        <f>Разбивка_по_щитам!L3774</f>
      </c>
      <c r="J3769" s="20">
        <f>Разбивка_по_щитам!M3774</f>
      </c>
      <c r="K3769" s="20">
        <f>Разбивка_по_щитам!N3774</f>
      </c>
      <c r="L3769" s="20"/>
      <c r="M3769" s="20">
        <f>Разбивка_по_щитам!P3774</f>
      </c>
      <c r="N3769" s="20"/>
    </row>
    <row r="3770" spans="2:14" x14ac:dyDescent="0.25">
      <c r="B3770" s="20">
        <f>Разбивка_по_щитам!B3775</f>
      </c>
      <c r="C3770" s="20">
        <f>Разбивка_по_щитам!C3775</f>
      </c>
      <c r="D3770" s="20">
        <f>Разбивка_по_щитам!F3775</f>
      </c>
      <c r="E3770" s="20">
        <f>Разбивка_по_щитам!H3775</f>
      </c>
      <c r="F3770" s="20">
        <f>Разбивка_по_щитам!I3775</f>
      </c>
      <c r="G3770" s="20">
        <f>Разбивка_по_щитам!J3775</f>
      </c>
      <c r="H3770" s="20">
        <f>Разбивка_по_щитам!K3775</f>
      </c>
      <c r="I3770" s="20">
        <f>Разбивка_по_щитам!L3775</f>
      </c>
      <c r="J3770" s="20">
        <f>Разбивка_по_щитам!M3775</f>
      </c>
      <c r="K3770" s="20">
        <f>Разбивка_по_щитам!N3775</f>
      </c>
      <c r="L3770" s="20"/>
      <c r="M3770" s="20">
        <f>Разбивка_по_щитам!P3775</f>
      </c>
      <c r="N3770" s="20"/>
    </row>
    <row r="3771" spans="2:14" x14ac:dyDescent="0.25">
      <c r="B3771" s="20">
        <f>Разбивка_по_щитам!B3776</f>
      </c>
      <c r="C3771" s="20">
        <f>Разбивка_по_щитам!C3776</f>
      </c>
      <c r="D3771" s="20">
        <f>Разбивка_по_щитам!F3776</f>
      </c>
      <c r="E3771" s="20">
        <f>Разбивка_по_щитам!H3776</f>
      </c>
      <c r="F3771" s="20">
        <f>Разбивка_по_щитам!I3776</f>
      </c>
      <c r="G3771" s="20">
        <f>Разбивка_по_щитам!J3776</f>
      </c>
      <c r="H3771" s="20">
        <f>Разбивка_по_щитам!K3776</f>
      </c>
      <c r="I3771" s="20">
        <f>Разбивка_по_щитам!L3776</f>
      </c>
      <c r="J3771" s="20">
        <f>Разбивка_по_щитам!M3776</f>
      </c>
      <c r="K3771" s="20">
        <f>Разбивка_по_щитам!N3776</f>
      </c>
      <c r="L3771" s="20"/>
      <c r="M3771" s="20">
        <f>Разбивка_по_щитам!P3776</f>
      </c>
      <c r="N3771" s="20"/>
    </row>
    <row r="3772" spans="2:14" x14ac:dyDescent="0.25">
      <c r="B3772" s="20">
        <f>Разбивка_по_щитам!B3777</f>
      </c>
      <c r="C3772" s="20">
        <f>Разбивка_по_щитам!C3777</f>
      </c>
      <c r="D3772" s="20">
        <f>Разбивка_по_щитам!F3777</f>
      </c>
      <c r="E3772" s="20">
        <f>Разбивка_по_щитам!H3777</f>
      </c>
      <c r="F3772" s="20">
        <f>Разбивка_по_щитам!I3777</f>
      </c>
      <c r="G3772" s="20">
        <f>Разбивка_по_щитам!J3777</f>
      </c>
      <c r="H3772" s="20">
        <f>Разбивка_по_щитам!K3777</f>
      </c>
      <c r="I3772" s="20">
        <f>Разбивка_по_щитам!L3777</f>
      </c>
      <c r="J3772" s="20">
        <f>Разбивка_по_щитам!M3777</f>
      </c>
      <c r="K3772" s="20">
        <f>Разбивка_по_щитам!N3777</f>
      </c>
      <c r="L3772" s="20"/>
      <c r="M3772" s="20">
        <f>Разбивка_по_щитам!P3777</f>
      </c>
      <c r="N3772" s="20"/>
    </row>
    <row r="3773" spans="2:14" x14ac:dyDescent="0.25">
      <c r="B3773" s="20">
        <f>Разбивка_по_щитам!B3778</f>
      </c>
      <c r="C3773" s="20">
        <f>Разбивка_по_щитам!C3778</f>
      </c>
      <c r="D3773" s="20">
        <f>Разбивка_по_щитам!F3778</f>
      </c>
      <c r="E3773" s="20">
        <f>Разбивка_по_щитам!H3778</f>
      </c>
      <c r="F3773" s="20">
        <f>Разбивка_по_щитам!I3778</f>
      </c>
      <c r="G3773" s="20">
        <f>Разбивка_по_щитам!J3778</f>
      </c>
      <c r="H3773" s="20">
        <f>Разбивка_по_щитам!K3778</f>
      </c>
      <c r="I3773" s="20">
        <f>Разбивка_по_щитам!L3778</f>
      </c>
      <c r="J3773" s="20">
        <f>Разбивка_по_щитам!M3778</f>
      </c>
      <c r="K3773" s="20">
        <f>Разбивка_по_щитам!N3778</f>
      </c>
      <c r="L3773" s="20"/>
      <c r="M3773" s="20">
        <f>Разбивка_по_щитам!P3778</f>
      </c>
      <c r="N3773" s="20"/>
    </row>
    <row r="3774" spans="2:14" x14ac:dyDescent="0.25">
      <c r="B3774" s="20">
        <f>Разбивка_по_щитам!B3779</f>
      </c>
      <c r="C3774" s="20">
        <f>Разбивка_по_щитам!C3779</f>
      </c>
      <c r="D3774" s="20">
        <f>Разбивка_по_щитам!F3779</f>
      </c>
      <c r="E3774" s="20">
        <f>Разбивка_по_щитам!H3779</f>
      </c>
      <c r="F3774" s="20">
        <f>Разбивка_по_щитам!I3779</f>
      </c>
      <c r="G3774" s="20">
        <f>Разбивка_по_щитам!J3779</f>
      </c>
      <c r="H3774" s="20">
        <f>Разбивка_по_щитам!K3779</f>
      </c>
      <c r="I3774" s="20">
        <f>Разбивка_по_щитам!L3779</f>
      </c>
      <c r="J3774" s="20">
        <f>Разбивка_по_щитам!M3779</f>
      </c>
      <c r="K3774" s="20">
        <f>Разбивка_по_щитам!N3779</f>
      </c>
      <c r="L3774" s="20"/>
      <c r="M3774" s="20">
        <f>Разбивка_по_щитам!P3779</f>
      </c>
      <c r="N3774" s="20"/>
    </row>
    <row r="3775" spans="2:14" x14ac:dyDescent="0.25">
      <c r="B3775" s="20">
        <f>Разбивка_по_щитам!B3780</f>
      </c>
      <c r="C3775" s="20">
        <f>Разбивка_по_щитам!C3780</f>
      </c>
      <c r="D3775" s="20">
        <f>Разбивка_по_щитам!F3780</f>
      </c>
      <c r="E3775" s="20">
        <f>Разбивка_по_щитам!H3780</f>
      </c>
      <c r="F3775" s="20">
        <f>Разбивка_по_щитам!I3780</f>
      </c>
      <c r="G3775" s="20">
        <f>Разбивка_по_щитам!J3780</f>
      </c>
      <c r="H3775" s="20">
        <f>Разбивка_по_щитам!K3780</f>
      </c>
      <c r="I3775" s="20">
        <f>Разбивка_по_щитам!L3780</f>
      </c>
      <c r="J3775" s="20">
        <f>Разбивка_по_щитам!M3780</f>
      </c>
      <c r="K3775" s="20">
        <f>Разбивка_по_щитам!N3780</f>
      </c>
      <c r="L3775" s="20"/>
      <c r="M3775" s="20">
        <f>Разбивка_по_щитам!P3780</f>
      </c>
      <c r="N3775" s="20"/>
    </row>
    <row r="3776" spans="2:14" x14ac:dyDescent="0.25">
      <c r="B3776" s="20">
        <f>Разбивка_по_щитам!B3781</f>
      </c>
      <c r="C3776" s="20">
        <f>Разбивка_по_щитам!C3781</f>
      </c>
      <c r="D3776" s="20">
        <f>Разбивка_по_щитам!F3781</f>
      </c>
      <c r="E3776" s="20">
        <f>Разбивка_по_щитам!H3781</f>
      </c>
      <c r="F3776" s="20">
        <f>Разбивка_по_щитам!I3781</f>
      </c>
      <c r="G3776" s="20">
        <f>Разбивка_по_щитам!J3781</f>
      </c>
      <c r="H3776" s="20">
        <f>Разбивка_по_щитам!K3781</f>
      </c>
      <c r="I3776" s="20">
        <f>Разбивка_по_щитам!L3781</f>
      </c>
      <c r="J3776" s="20">
        <f>Разбивка_по_щитам!M3781</f>
      </c>
      <c r="K3776" s="20">
        <f>Разбивка_по_щитам!N3781</f>
      </c>
      <c r="L3776" s="20"/>
      <c r="M3776" s="20">
        <f>Разбивка_по_щитам!P3781</f>
      </c>
      <c r="N3776" s="20"/>
    </row>
    <row r="3777" spans="2:14" x14ac:dyDescent="0.25">
      <c r="B3777" s="20">
        <f>Разбивка_по_щитам!B3782</f>
      </c>
      <c r="C3777" s="20">
        <f>Разбивка_по_щитам!C3782</f>
      </c>
      <c r="D3777" s="20">
        <f>Разбивка_по_щитам!F3782</f>
      </c>
      <c r="E3777" s="20">
        <f>Разбивка_по_щитам!H3782</f>
      </c>
      <c r="F3777" s="20">
        <f>Разбивка_по_щитам!I3782</f>
      </c>
      <c r="G3777" s="20">
        <f>Разбивка_по_щитам!J3782</f>
      </c>
      <c r="H3777" s="20">
        <f>Разбивка_по_щитам!K3782</f>
      </c>
      <c r="I3777" s="20">
        <f>Разбивка_по_щитам!L3782</f>
      </c>
      <c r="J3777" s="20">
        <f>Разбивка_по_щитам!M3782</f>
      </c>
      <c r="K3777" s="20">
        <f>Разбивка_по_щитам!N3782</f>
      </c>
      <c r="L3777" s="20"/>
      <c r="M3777" s="20">
        <f>Разбивка_по_щитам!P3782</f>
      </c>
      <c r="N3777" s="20"/>
    </row>
    <row r="3778" spans="2:14" x14ac:dyDescent="0.25">
      <c r="B3778" s="20">
        <f>Разбивка_по_щитам!B3783</f>
      </c>
      <c r="C3778" s="20">
        <f>Разбивка_по_щитам!C3783</f>
      </c>
      <c r="D3778" s="20">
        <f>Разбивка_по_щитам!F3783</f>
      </c>
      <c r="E3778" s="20">
        <f>Разбивка_по_щитам!H3783</f>
      </c>
      <c r="F3778" s="20">
        <f>Разбивка_по_щитам!I3783</f>
      </c>
      <c r="G3778" s="20">
        <f>Разбивка_по_щитам!J3783</f>
      </c>
      <c r="H3778" s="20">
        <f>Разбивка_по_щитам!K3783</f>
      </c>
      <c r="I3778" s="20">
        <f>Разбивка_по_щитам!L3783</f>
      </c>
      <c r="J3778" s="20">
        <f>Разбивка_по_щитам!M3783</f>
      </c>
      <c r="K3778" s="20">
        <f>Разбивка_по_щитам!N3783</f>
      </c>
      <c r="L3778" s="20"/>
      <c r="M3778" s="20">
        <f>Разбивка_по_щитам!P3783</f>
      </c>
      <c r="N3778" s="20"/>
    </row>
    <row r="3779" spans="2:14" x14ac:dyDescent="0.25">
      <c r="B3779" s="20">
        <f>Разбивка_по_щитам!B3784</f>
      </c>
      <c r="C3779" s="20">
        <f>Разбивка_по_щитам!C3784</f>
      </c>
      <c r="D3779" s="20">
        <f>Разбивка_по_щитам!F3784</f>
      </c>
      <c r="E3779" s="20">
        <f>Разбивка_по_щитам!H3784</f>
      </c>
      <c r="F3779" s="20">
        <f>Разбивка_по_щитам!I3784</f>
      </c>
      <c r="G3779" s="20">
        <f>Разбивка_по_щитам!J3784</f>
      </c>
      <c r="H3779" s="20">
        <f>Разбивка_по_щитам!K3784</f>
      </c>
      <c r="I3779" s="20">
        <f>Разбивка_по_щитам!L3784</f>
      </c>
      <c r="J3779" s="20">
        <f>Разбивка_по_щитам!M3784</f>
      </c>
      <c r="K3779" s="20">
        <f>Разбивка_по_щитам!N3784</f>
      </c>
      <c r="L3779" s="20"/>
      <c r="M3779" s="20">
        <f>Разбивка_по_щитам!P3784</f>
      </c>
      <c r="N3779" s="20"/>
    </row>
    <row r="3780" spans="2:14" x14ac:dyDescent="0.25">
      <c r="B3780" s="20">
        <f>Разбивка_по_щитам!B3785</f>
      </c>
      <c r="C3780" s="20">
        <f>Разбивка_по_щитам!C3785</f>
      </c>
      <c r="D3780" s="20">
        <f>Разбивка_по_щитам!F3785</f>
      </c>
      <c r="E3780" s="20">
        <f>Разбивка_по_щитам!H3785</f>
      </c>
      <c r="F3780" s="20">
        <f>Разбивка_по_щитам!I3785</f>
      </c>
      <c r="G3780" s="20">
        <f>Разбивка_по_щитам!J3785</f>
      </c>
      <c r="H3780" s="20">
        <f>Разбивка_по_щитам!K3785</f>
      </c>
      <c r="I3780" s="20">
        <f>Разбивка_по_щитам!L3785</f>
      </c>
      <c r="J3780" s="20">
        <f>Разбивка_по_щитам!M3785</f>
      </c>
      <c r="K3780" s="20">
        <f>Разбивка_по_щитам!N3785</f>
      </c>
      <c r="L3780" s="20"/>
      <c r="M3780" s="20">
        <f>Разбивка_по_щитам!P3785</f>
      </c>
      <c r="N3780" s="20"/>
    </row>
    <row r="3781" spans="2:14" x14ac:dyDescent="0.25">
      <c r="B3781" s="20">
        <f>Разбивка_по_щитам!B3786</f>
      </c>
      <c r="C3781" s="20">
        <f>Разбивка_по_щитам!C3786</f>
      </c>
      <c r="D3781" s="20">
        <f>Разбивка_по_щитам!F3786</f>
      </c>
      <c r="E3781" s="20">
        <f>Разбивка_по_щитам!H3786</f>
      </c>
      <c r="F3781" s="20">
        <f>Разбивка_по_щитам!I3786</f>
      </c>
      <c r="G3781" s="20">
        <f>Разбивка_по_щитам!J3786</f>
      </c>
      <c r="H3781" s="20">
        <f>Разбивка_по_щитам!K3786</f>
      </c>
      <c r="I3781" s="20">
        <f>Разбивка_по_щитам!L3786</f>
      </c>
      <c r="J3781" s="20">
        <f>Разбивка_по_щитам!M3786</f>
      </c>
      <c r="K3781" s="20">
        <f>Разбивка_по_щитам!N3786</f>
      </c>
      <c r="L3781" s="20"/>
      <c r="M3781" s="20">
        <f>Разбивка_по_щитам!P3786</f>
      </c>
      <c r="N3781" s="20"/>
    </row>
    <row r="3782" spans="2:14" x14ac:dyDescent="0.25">
      <c r="B3782" s="20">
        <f>Разбивка_по_щитам!B3787</f>
      </c>
      <c r="C3782" s="20">
        <f>Разбивка_по_щитам!C3787</f>
      </c>
      <c r="D3782" s="20">
        <f>Разбивка_по_щитам!F3787</f>
      </c>
      <c r="E3782" s="20">
        <f>Разбивка_по_щитам!H3787</f>
      </c>
      <c r="F3782" s="20">
        <f>Разбивка_по_щитам!I3787</f>
      </c>
      <c r="G3782" s="20">
        <f>Разбивка_по_щитам!J3787</f>
      </c>
      <c r="H3782" s="20">
        <f>Разбивка_по_щитам!K3787</f>
      </c>
      <c r="I3782" s="20">
        <f>Разбивка_по_щитам!L3787</f>
      </c>
      <c r="J3782" s="20">
        <f>Разбивка_по_щитам!M3787</f>
      </c>
      <c r="K3782" s="20">
        <f>Разбивка_по_щитам!N3787</f>
      </c>
      <c r="L3782" s="20"/>
      <c r="M3782" s="20">
        <f>Разбивка_по_щитам!P3787</f>
      </c>
      <c r="N3782" s="20"/>
    </row>
    <row r="3783" spans="2:14" x14ac:dyDescent="0.25">
      <c r="B3783" s="20">
        <f>Разбивка_по_щитам!B3788</f>
      </c>
      <c r="C3783" s="20">
        <f>Разбивка_по_щитам!C3788</f>
      </c>
      <c r="D3783" s="20">
        <f>Разбивка_по_щитам!F3788</f>
      </c>
      <c r="E3783" s="20">
        <f>Разбивка_по_щитам!H3788</f>
      </c>
      <c r="F3783" s="20">
        <f>Разбивка_по_щитам!I3788</f>
      </c>
      <c r="G3783" s="20">
        <f>Разбивка_по_щитам!J3788</f>
      </c>
      <c r="H3783" s="20">
        <f>Разбивка_по_щитам!K3788</f>
      </c>
      <c r="I3783" s="20">
        <f>Разбивка_по_щитам!L3788</f>
      </c>
      <c r="J3783" s="20">
        <f>Разбивка_по_щитам!M3788</f>
      </c>
      <c r="K3783" s="20">
        <f>Разбивка_по_щитам!N3788</f>
      </c>
      <c r="L3783" s="20"/>
      <c r="M3783" s="20">
        <f>Разбивка_по_щитам!P3788</f>
      </c>
      <c r="N3783" s="20"/>
    </row>
    <row r="3784" spans="2:14" x14ac:dyDescent="0.25">
      <c r="B3784" s="20">
        <f>Разбивка_по_щитам!B3789</f>
      </c>
      <c r="C3784" s="20">
        <f>Разбивка_по_щитам!C3789</f>
      </c>
      <c r="D3784" s="20">
        <f>Разбивка_по_щитам!F3789</f>
      </c>
      <c r="E3784" s="20">
        <f>Разбивка_по_щитам!H3789</f>
      </c>
      <c r="F3784" s="20">
        <f>Разбивка_по_щитам!I3789</f>
      </c>
      <c r="G3784" s="20">
        <f>Разбивка_по_щитам!J3789</f>
      </c>
      <c r="H3784" s="20">
        <f>Разбивка_по_щитам!K3789</f>
      </c>
      <c r="I3784" s="20">
        <f>Разбивка_по_щитам!L3789</f>
      </c>
      <c r="J3784" s="20">
        <f>Разбивка_по_щитам!M3789</f>
      </c>
      <c r="K3784" s="20">
        <f>Разбивка_по_щитам!N3789</f>
      </c>
      <c r="L3784" s="20"/>
      <c r="M3784" s="20">
        <f>Разбивка_по_щитам!P3789</f>
      </c>
      <c r="N3784" s="20"/>
    </row>
    <row r="3785" spans="2:14" x14ac:dyDescent="0.25">
      <c r="B3785" s="20">
        <f>Разбивка_по_щитам!B3790</f>
      </c>
      <c r="C3785" s="20">
        <f>Разбивка_по_щитам!C3790</f>
      </c>
      <c r="D3785" s="20">
        <f>Разбивка_по_щитам!F3790</f>
      </c>
      <c r="E3785" s="20">
        <f>Разбивка_по_щитам!H3790</f>
      </c>
      <c r="F3785" s="20">
        <f>Разбивка_по_щитам!I3790</f>
      </c>
      <c r="G3785" s="20">
        <f>Разбивка_по_щитам!J3790</f>
      </c>
      <c r="H3785" s="20">
        <f>Разбивка_по_щитам!K3790</f>
      </c>
      <c r="I3785" s="20">
        <f>Разбивка_по_щитам!L3790</f>
      </c>
      <c r="J3785" s="20">
        <f>Разбивка_по_щитам!M3790</f>
      </c>
      <c r="K3785" s="20">
        <f>Разбивка_по_щитам!N3790</f>
      </c>
      <c r="L3785" s="20"/>
      <c r="M3785" s="20">
        <f>Разбивка_по_щитам!P3790</f>
      </c>
      <c r="N3785" s="20"/>
    </row>
    <row r="3786" spans="2:14" x14ac:dyDescent="0.25">
      <c r="B3786" s="20">
        <f>Разбивка_по_щитам!B3791</f>
      </c>
      <c r="C3786" s="20">
        <f>Разбивка_по_щитам!C3791</f>
      </c>
      <c r="D3786" s="20">
        <f>Разбивка_по_щитам!F3791</f>
      </c>
      <c r="E3786" s="20">
        <f>Разбивка_по_щитам!H3791</f>
      </c>
      <c r="F3786" s="20">
        <f>Разбивка_по_щитам!I3791</f>
      </c>
      <c r="G3786" s="20">
        <f>Разбивка_по_щитам!J3791</f>
      </c>
      <c r="H3786" s="20">
        <f>Разбивка_по_щитам!K3791</f>
      </c>
      <c r="I3786" s="20">
        <f>Разбивка_по_щитам!L3791</f>
      </c>
      <c r="J3786" s="20">
        <f>Разбивка_по_щитам!M3791</f>
      </c>
      <c r="K3786" s="20">
        <f>Разбивка_по_щитам!N3791</f>
      </c>
      <c r="L3786" s="20"/>
      <c r="M3786" s="20">
        <f>Разбивка_по_щитам!P3791</f>
      </c>
      <c r="N3786" s="20"/>
    </row>
    <row r="3787" spans="2:14" x14ac:dyDescent="0.25">
      <c r="B3787" s="20">
        <f>Разбивка_по_щитам!B3792</f>
      </c>
      <c r="C3787" s="20">
        <f>Разбивка_по_щитам!C3792</f>
      </c>
      <c r="D3787" s="20">
        <f>Разбивка_по_щитам!F3792</f>
      </c>
      <c r="E3787" s="20">
        <f>Разбивка_по_щитам!H3792</f>
      </c>
      <c r="F3787" s="20">
        <f>Разбивка_по_щитам!I3792</f>
      </c>
      <c r="G3787" s="20">
        <f>Разбивка_по_щитам!J3792</f>
      </c>
      <c r="H3787" s="20">
        <f>Разбивка_по_щитам!K3792</f>
      </c>
      <c r="I3787" s="20">
        <f>Разбивка_по_щитам!L3792</f>
      </c>
      <c r="J3787" s="20">
        <f>Разбивка_по_щитам!M3792</f>
      </c>
      <c r="K3787" s="20">
        <f>Разбивка_по_щитам!N3792</f>
      </c>
      <c r="L3787" s="20"/>
      <c r="M3787" s="20">
        <f>Разбивка_по_щитам!P3792</f>
      </c>
      <c r="N3787" s="20"/>
    </row>
    <row r="3788" spans="2:14" x14ac:dyDescent="0.25">
      <c r="B3788" s="20">
        <f>Разбивка_по_щитам!B3793</f>
      </c>
      <c r="C3788" s="20">
        <f>Разбивка_по_щитам!C3793</f>
      </c>
      <c r="D3788" s="20">
        <f>Разбивка_по_щитам!F3793</f>
      </c>
      <c r="E3788" s="20">
        <f>Разбивка_по_щитам!H3793</f>
      </c>
      <c r="F3788" s="20">
        <f>Разбивка_по_щитам!I3793</f>
      </c>
      <c r="G3788" s="20">
        <f>Разбивка_по_щитам!J3793</f>
      </c>
      <c r="H3788" s="20">
        <f>Разбивка_по_щитам!K3793</f>
      </c>
      <c r="I3788" s="20">
        <f>Разбивка_по_щитам!L3793</f>
      </c>
      <c r="J3788" s="20">
        <f>Разбивка_по_щитам!M3793</f>
      </c>
      <c r="K3788" s="20">
        <f>Разбивка_по_щитам!N3793</f>
      </c>
      <c r="L3788" s="20"/>
      <c r="M3788" s="20">
        <f>Разбивка_по_щитам!P3793</f>
      </c>
      <c r="N3788" s="20"/>
    </row>
    <row r="3789" spans="2:14" x14ac:dyDescent="0.25">
      <c r="B3789" s="20">
        <f>Разбивка_по_щитам!B3794</f>
      </c>
      <c r="C3789" s="20">
        <f>Разбивка_по_щитам!C3794</f>
      </c>
      <c r="D3789" s="20">
        <f>Разбивка_по_щитам!F3794</f>
      </c>
      <c r="E3789" s="20">
        <f>Разбивка_по_щитам!H3794</f>
      </c>
      <c r="F3789" s="20">
        <f>Разбивка_по_щитам!I3794</f>
      </c>
      <c r="G3789" s="20">
        <f>Разбивка_по_щитам!J3794</f>
      </c>
      <c r="H3789" s="20">
        <f>Разбивка_по_щитам!K3794</f>
      </c>
      <c r="I3789" s="20">
        <f>Разбивка_по_щитам!L3794</f>
      </c>
      <c r="J3789" s="20">
        <f>Разбивка_по_щитам!M3794</f>
      </c>
      <c r="K3789" s="20">
        <f>Разбивка_по_щитам!N3794</f>
      </c>
      <c r="L3789" s="20"/>
      <c r="M3789" s="20">
        <f>Разбивка_по_щитам!P3794</f>
      </c>
      <c r="N3789" s="20"/>
    </row>
    <row r="3790" spans="2:14" x14ac:dyDescent="0.25">
      <c r="B3790" s="20">
        <f>Разбивка_по_щитам!B3795</f>
      </c>
      <c r="C3790" s="20">
        <f>Разбивка_по_щитам!C3795</f>
      </c>
      <c r="D3790" s="20">
        <f>Разбивка_по_щитам!F3795</f>
      </c>
      <c r="E3790" s="20">
        <f>Разбивка_по_щитам!H3795</f>
      </c>
      <c r="F3790" s="20">
        <f>Разбивка_по_щитам!I3795</f>
      </c>
      <c r="G3790" s="20">
        <f>Разбивка_по_щитам!J3795</f>
      </c>
      <c r="H3790" s="20">
        <f>Разбивка_по_щитам!K3795</f>
      </c>
      <c r="I3790" s="20">
        <f>Разбивка_по_щитам!L3795</f>
      </c>
      <c r="J3790" s="20">
        <f>Разбивка_по_щитам!M3795</f>
      </c>
      <c r="K3790" s="20">
        <f>Разбивка_по_щитам!N3795</f>
      </c>
      <c r="L3790" s="20"/>
      <c r="M3790" s="20">
        <f>Разбивка_по_щитам!P3795</f>
      </c>
      <c r="N3790" s="20"/>
    </row>
    <row r="3791" spans="2:14" x14ac:dyDescent="0.25">
      <c r="B3791" s="20">
        <f>Разбивка_по_щитам!B3796</f>
      </c>
      <c r="C3791" s="20">
        <f>Разбивка_по_щитам!C3796</f>
      </c>
      <c r="D3791" s="20">
        <f>Разбивка_по_щитам!F3796</f>
      </c>
      <c r="E3791" s="20">
        <f>Разбивка_по_щитам!H3796</f>
      </c>
      <c r="F3791" s="20">
        <f>Разбивка_по_щитам!I3796</f>
      </c>
      <c r="G3791" s="20">
        <f>Разбивка_по_щитам!J3796</f>
      </c>
      <c r="H3791" s="20">
        <f>Разбивка_по_щитам!K3796</f>
      </c>
      <c r="I3791" s="20">
        <f>Разбивка_по_щитам!L3796</f>
      </c>
      <c r="J3791" s="20">
        <f>Разбивка_по_щитам!M3796</f>
      </c>
      <c r="K3791" s="20">
        <f>Разбивка_по_щитам!N3796</f>
      </c>
      <c r="L3791" s="20"/>
      <c r="M3791" s="20">
        <f>Разбивка_по_щитам!P3796</f>
      </c>
      <c r="N3791" s="20"/>
    </row>
    <row r="3792" spans="2:14" x14ac:dyDescent="0.25">
      <c r="B3792" s="20">
        <f>Разбивка_по_щитам!B3797</f>
      </c>
      <c r="C3792" s="20">
        <f>Разбивка_по_щитам!C3797</f>
      </c>
      <c r="D3792" s="20">
        <f>Разбивка_по_щитам!F3797</f>
      </c>
      <c r="E3792" s="20">
        <f>Разбивка_по_щитам!H3797</f>
      </c>
      <c r="F3792" s="20">
        <f>Разбивка_по_щитам!I3797</f>
      </c>
      <c r="G3792" s="20">
        <f>Разбивка_по_щитам!J3797</f>
      </c>
      <c r="H3792" s="20">
        <f>Разбивка_по_щитам!K3797</f>
      </c>
      <c r="I3792" s="20">
        <f>Разбивка_по_щитам!L3797</f>
      </c>
      <c r="J3792" s="20">
        <f>Разбивка_по_щитам!M3797</f>
      </c>
      <c r="K3792" s="20">
        <f>Разбивка_по_щитам!N3797</f>
      </c>
      <c r="L3792" s="20"/>
      <c r="M3792" s="20">
        <f>Разбивка_по_щитам!P3797</f>
      </c>
      <c r="N3792" s="20"/>
    </row>
    <row r="3793" spans="2:14" x14ac:dyDescent="0.25">
      <c r="B3793" s="20">
        <f>Разбивка_по_щитам!B3798</f>
      </c>
      <c r="C3793" s="20">
        <f>Разбивка_по_щитам!C3798</f>
      </c>
      <c r="D3793" s="20">
        <f>Разбивка_по_щитам!F3798</f>
      </c>
      <c r="E3793" s="20">
        <f>Разбивка_по_щитам!H3798</f>
      </c>
      <c r="F3793" s="20">
        <f>Разбивка_по_щитам!I3798</f>
      </c>
      <c r="G3793" s="20">
        <f>Разбивка_по_щитам!J3798</f>
      </c>
      <c r="H3793" s="20">
        <f>Разбивка_по_щитам!K3798</f>
      </c>
      <c r="I3793" s="20">
        <f>Разбивка_по_щитам!L3798</f>
      </c>
      <c r="J3793" s="20">
        <f>Разбивка_по_щитам!M3798</f>
      </c>
      <c r="K3793" s="20">
        <f>Разбивка_по_щитам!N3798</f>
      </c>
      <c r="L3793" s="20"/>
      <c r="M3793" s="20">
        <f>Разбивка_по_щитам!P3798</f>
      </c>
      <c r="N3793" s="20"/>
    </row>
    <row r="3794" spans="2:14" x14ac:dyDescent="0.25">
      <c r="B3794" s="20">
        <f>Разбивка_по_щитам!B3799</f>
      </c>
      <c r="C3794" s="20">
        <f>Разбивка_по_щитам!C3799</f>
      </c>
      <c r="D3794" s="20">
        <f>Разбивка_по_щитам!F3799</f>
      </c>
      <c r="E3794" s="20">
        <f>Разбивка_по_щитам!H3799</f>
      </c>
      <c r="F3794" s="20">
        <f>Разбивка_по_щитам!I3799</f>
      </c>
      <c r="G3794" s="20">
        <f>Разбивка_по_щитам!J3799</f>
      </c>
      <c r="H3794" s="20">
        <f>Разбивка_по_щитам!K3799</f>
      </c>
      <c r="I3794" s="20">
        <f>Разбивка_по_щитам!L3799</f>
      </c>
      <c r="J3794" s="20">
        <f>Разбивка_по_щитам!M3799</f>
      </c>
      <c r="K3794" s="20">
        <f>Разбивка_по_щитам!N3799</f>
      </c>
      <c r="L3794" s="20"/>
      <c r="M3794" s="20">
        <f>Разбивка_по_щитам!P3799</f>
      </c>
      <c r="N3794" s="20"/>
    </row>
    <row r="3795" spans="2:14" x14ac:dyDescent="0.25">
      <c r="B3795" s="20">
        <f>Разбивка_по_щитам!B3800</f>
      </c>
      <c r="C3795" s="20">
        <f>Разбивка_по_щитам!C3800</f>
      </c>
      <c r="D3795" s="20">
        <f>Разбивка_по_щитам!F3800</f>
      </c>
      <c r="E3795" s="20">
        <f>Разбивка_по_щитам!H3800</f>
      </c>
      <c r="F3795" s="20">
        <f>Разбивка_по_щитам!I3800</f>
      </c>
      <c r="G3795" s="20">
        <f>Разбивка_по_щитам!J3800</f>
      </c>
      <c r="H3795" s="20">
        <f>Разбивка_по_щитам!K3800</f>
      </c>
      <c r="I3795" s="20">
        <f>Разбивка_по_щитам!L3800</f>
      </c>
      <c r="J3795" s="20">
        <f>Разбивка_по_щитам!M3800</f>
      </c>
      <c r="K3795" s="20">
        <f>Разбивка_по_щитам!N3800</f>
      </c>
      <c r="L3795" s="20"/>
      <c r="M3795" s="20">
        <f>Разбивка_по_щитам!P3800</f>
      </c>
      <c r="N3795" s="20"/>
    </row>
    <row r="3796" spans="2:14" x14ac:dyDescent="0.25">
      <c r="B3796" s="20">
        <f>Разбивка_по_щитам!B3801</f>
      </c>
      <c r="C3796" s="20">
        <f>Разбивка_по_щитам!C3801</f>
      </c>
      <c r="D3796" s="20">
        <f>Разбивка_по_щитам!F3801</f>
      </c>
      <c r="E3796" s="20">
        <f>Разбивка_по_щитам!H3801</f>
      </c>
      <c r="F3796" s="20">
        <f>Разбивка_по_щитам!I3801</f>
      </c>
      <c r="G3796" s="20">
        <f>Разбивка_по_щитам!J3801</f>
      </c>
      <c r="H3796" s="20">
        <f>Разбивка_по_щитам!K3801</f>
      </c>
      <c r="I3796" s="20">
        <f>Разбивка_по_щитам!L3801</f>
      </c>
      <c r="J3796" s="20">
        <f>Разбивка_по_щитам!M3801</f>
      </c>
      <c r="K3796" s="20">
        <f>Разбивка_по_щитам!N3801</f>
      </c>
      <c r="L3796" s="20"/>
      <c r="M3796" s="20">
        <f>Разбивка_по_щитам!P3801</f>
      </c>
      <c r="N3796" s="20"/>
    </row>
    <row r="3797" spans="2:14" x14ac:dyDescent="0.25">
      <c r="B3797" s="20">
        <f>Разбивка_по_щитам!B3802</f>
      </c>
      <c r="C3797" s="20">
        <f>Разбивка_по_щитам!C3802</f>
      </c>
      <c r="D3797" s="20">
        <f>Разбивка_по_щитам!F3802</f>
      </c>
      <c r="E3797" s="20">
        <f>Разбивка_по_щитам!H3802</f>
      </c>
      <c r="F3797" s="20">
        <f>Разбивка_по_щитам!I3802</f>
      </c>
      <c r="G3797" s="20">
        <f>Разбивка_по_щитам!J3802</f>
      </c>
      <c r="H3797" s="20">
        <f>Разбивка_по_щитам!K3802</f>
      </c>
      <c r="I3797" s="20">
        <f>Разбивка_по_щитам!L3802</f>
      </c>
      <c r="J3797" s="20">
        <f>Разбивка_по_щитам!M3802</f>
      </c>
      <c r="K3797" s="20">
        <f>Разбивка_по_щитам!N3802</f>
      </c>
      <c r="L3797" s="20"/>
      <c r="M3797" s="20">
        <f>Разбивка_по_щитам!P3802</f>
      </c>
      <c r="N3797" s="20"/>
    </row>
    <row r="3798" spans="2:14" x14ac:dyDescent="0.25">
      <c r="B3798" s="20">
        <f>Разбивка_по_щитам!B3803</f>
      </c>
      <c r="C3798" s="20">
        <f>Разбивка_по_щитам!C3803</f>
      </c>
      <c r="D3798" s="20">
        <f>Разбивка_по_щитам!F3803</f>
      </c>
      <c r="E3798" s="20">
        <f>Разбивка_по_щитам!H3803</f>
      </c>
      <c r="F3798" s="20">
        <f>Разбивка_по_щитам!I3803</f>
      </c>
      <c r="G3798" s="20">
        <f>Разбивка_по_щитам!J3803</f>
      </c>
      <c r="H3798" s="20">
        <f>Разбивка_по_щитам!K3803</f>
      </c>
      <c r="I3798" s="20">
        <f>Разбивка_по_щитам!L3803</f>
      </c>
      <c r="J3798" s="20">
        <f>Разбивка_по_щитам!M3803</f>
      </c>
      <c r="K3798" s="20">
        <f>Разбивка_по_щитам!N3803</f>
      </c>
      <c r="L3798" s="20"/>
      <c r="M3798" s="20">
        <f>Разбивка_по_щитам!P3803</f>
      </c>
      <c r="N3798" s="20"/>
    </row>
    <row r="3799" spans="2:14" x14ac:dyDescent="0.25">
      <c r="B3799" s="20">
        <f>Разбивка_по_щитам!B3804</f>
      </c>
      <c r="C3799" s="20">
        <f>Разбивка_по_щитам!C3804</f>
      </c>
      <c r="D3799" s="20">
        <f>Разбивка_по_щитам!F3804</f>
      </c>
      <c r="E3799" s="20">
        <f>Разбивка_по_щитам!H3804</f>
      </c>
      <c r="F3799" s="20">
        <f>Разбивка_по_щитам!I3804</f>
      </c>
      <c r="G3799" s="20">
        <f>Разбивка_по_щитам!J3804</f>
      </c>
      <c r="H3799" s="20">
        <f>Разбивка_по_щитам!K3804</f>
      </c>
      <c r="I3799" s="20">
        <f>Разбивка_по_щитам!L3804</f>
      </c>
      <c r="J3799" s="20">
        <f>Разбивка_по_щитам!M3804</f>
      </c>
      <c r="K3799" s="20">
        <f>Разбивка_по_щитам!N3804</f>
      </c>
      <c r="L3799" s="20"/>
      <c r="M3799" s="20">
        <f>Разбивка_по_щитам!P3804</f>
      </c>
      <c r="N3799" s="20"/>
    </row>
    <row r="3800" spans="2:14" x14ac:dyDescent="0.25">
      <c r="B3800" s="20">
        <f>Разбивка_по_щитам!B3805</f>
      </c>
      <c r="C3800" s="20">
        <f>Разбивка_по_щитам!C3805</f>
      </c>
      <c r="D3800" s="20">
        <f>Разбивка_по_щитам!F3805</f>
      </c>
      <c r="E3800" s="20">
        <f>Разбивка_по_щитам!H3805</f>
      </c>
      <c r="F3800" s="20">
        <f>Разбивка_по_щитам!I3805</f>
      </c>
      <c r="G3800" s="20">
        <f>Разбивка_по_щитам!J3805</f>
      </c>
      <c r="H3800" s="20">
        <f>Разбивка_по_щитам!K3805</f>
      </c>
      <c r="I3800" s="20">
        <f>Разбивка_по_щитам!L3805</f>
      </c>
      <c r="J3800" s="20">
        <f>Разбивка_по_щитам!M3805</f>
      </c>
      <c r="K3800" s="20">
        <f>Разбивка_по_щитам!N3805</f>
      </c>
      <c r="L3800" s="20"/>
      <c r="M3800" s="20">
        <f>Разбивка_по_щитам!P3805</f>
      </c>
      <c r="N3800" s="20"/>
    </row>
    <row r="3801" spans="2:14" x14ac:dyDescent="0.25">
      <c r="B3801" s="20">
        <f>Разбивка_по_щитам!B3806</f>
      </c>
      <c r="C3801" s="20">
        <f>Разбивка_по_щитам!C3806</f>
      </c>
      <c r="D3801" s="20">
        <f>Разбивка_по_щитам!F3806</f>
      </c>
      <c r="E3801" s="20">
        <f>Разбивка_по_щитам!H3806</f>
      </c>
      <c r="F3801" s="20">
        <f>Разбивка_по_щитам!I3806</f>
      </c>
      <c r="G3801" s="20">
        <f>Разбивка_по_щитам!J3806</f>
      </c>
      <c r="H3801" s="20">
        <f>Разбивка_по_щитам!K3806</f>
      </c>
      <c r="I3801" s="20">
        <f>Разбивка_по_щитам!L3806</f>
      </c>
      <c r="J3801" s="20">
        <f>Разбивка_по_щитам!M3806</f>
      </c>
      <c r="K3801" s="20">
        <f>Разбивка_по_щитам!N3806</f>
      </c>
      <c r="L3801" s="20"/>
      <c r="M3801" s="20">
        <f>Разбивка_по_щитам!P3806</f>
      </c>
      <c r="N3801" s="20"/>
    </row>
    <row r="3802" spans="2:14" x14ac:dyDescent="0.25">
      <c r="B3802" s="20">
        <f>Разбивка_по_щитам!B3807</f>
      </c>
      <c r="C3802" s="20">
        <f>Разбивка_по_щитам!C3807</f>
      </c>
      <c r="D3802" s="20">
        <f>Разбивка_по_щитам!F3807</f>
      </c>
      <c r="E3802" s="20">
        <f>Разбивка_по_щитам!H3807</f>
      </c>
      <c r="F3802" s="20">
        <f>Разбивка_по_щитам!I3807</f>
      </c>
      <c r="G3802" s="20">
        <f>Разбивка_по_щитам!J3807</f>
      </c>
      <c r="H3802" s="20">
        <f>Разбивка_по_щитам!K3807</f>
      </c>
      <c r="I3802" s="20">
        <f>Разбивка_по_щитам!L3807</f>
      </c>
      <c r="J3802" s="20">
        <f>Разбивка_по_щитам!M3807</f>
      </c>
      <c r="K3802" s="20">
        <f>Разбивка_по_щитам!N3807</f>
      </c>
      <c r="L3802" s="20"/>
      <c r="M3802" s="20">
        <f>Разбивка_по_щитам!P3807</f>
      </c>
      <c r="N3802" s="20"/>
    </row>
    <row r="3803" spans="2:14" x14ac:dyDescent="0.25">
      <c r="B3803" s="20">
        <f>Разбивка_по_щитам!B3808</f>
      </c>
      <c r="C3803" s="20">
        <f>Разбивка_по_щитам!C3808</f>
      </c>
      <c r="D3803" s="20">
        <f>Разбивка_по_щитам!F3808</f>
      </c>
      <c r="E3803" s="20">
        <f>Разбивка_по_щитам!H3808</f>
      </c>
      <c r="F3803" s="20">
        <f>Разбивка_по_щитам!I3808</f>
      </c>
      <c r="G3803" s="20">
        <f>Разбивка_по_щитам!J3808</f>
      </c>
      <c r="H3803" s="20">
        <f>Разбивка_по_щитам!K3808</f>
      </c>
      <c r="I3803" s="20">
        <f>Разбивка_по_щитам!L3808</f>
      </c>
      <c r="J3803" s="20">
        <f>Разбивка_по_щитам!M3808</f>
      </c>
      <c r="K3803" s="20">
        <f>Разбивка_по_щитам!N3808</f>
      </c>
      <c r="L3803" s="20"/>
      <c r="M3803" s="20">
        <f>Разбивка_по_щитам!P3808</f>
      </c>
      <c r="N3803" s="20"/>
    </row>
    <row r="3804" spans="2:14" x14ac:dyDescent="0.25">
      <c r="B3804" s="20">
        <f>Разбивка_по_щитам!B3809</f>
      </c>
      <c r="C3804" s="20">
        <f>Разбивка_по_щитам!C3809</f>
      </c>
      <c r="D3804" s="20">
        <f>Разбивка_по_щитам!F3809</f>
      </c>
      <c r="E3804" s="20">
        <f>Разбивка_по_щитам!H3809</f>
      </c>
      <c r="F3804" s="20">
        <f>Разбивка_по_щитам!I3809</f>
      </c>
      <c r="G3804" s="20">
        <f>Разбивка_по_щитам!J3809</f>
      </c>
      <c r="H3804" s="20">
        <f>Разбивка_по_щитам!K3809</f>
      </c>
      <c r="I3804" s="20">
        <f>Разбивка_по_щитам!L3809</f>
      </c>
      <c r="J3804" s="20">
        <f>Разбивка_по_щитам!M3809</f>
      </c>
      <c r="K3804" s="20">
        <f>Разбивка_по_щитам!N3809</f>
      </c>
      <c r="L3804" s="20"/>
      <c r="M3804" s="20">
        <f>Разбивка_по_щитам!P3809</f>
      </c>
      <c r="N3804" s="20"/>
    </row>
    <row r="3805" spans="2:14" x14ac:dyDescent="0.25">
      <c r="B3805" s="20">
        <f>Разбивка_по_щитам!B3810</f>
      </c>
      <c r="C3805" s="20">
        <f>Разбивка_по_щитам!C3810</f>
      </c>
      <c r="D3805" s="20">
        <f>Разбивка_по_щитам!F3810</f>
      </c>
      <c r="E3805" s="20">
        <f>Разбивка_по_щитам!H3810</f>
      </c>
      <c r="F3805" s="20">
        <f>Разбивка_по_щитам!I3810</f>
      </c>
      <c r="G3805" s="20">
        <f>Разбивка_по_щитам!J3810</f>
      </c>
      <c r="H3805" s="20">
        <f>Разбивка_по_щитам!K3810</f>
      </c>
      <c r="I3805" s="20">
        <f>Разбивка_по_щитам!L3810</f>
      </c>
      <c r="J3805" s="20">
        <f>Разбивка_по_щитам!M3810</f>
      </c>
      <c r="K3805" s="20">
        <f>Разбивка_по_щитам!N3810</f>
      </c>
      <c r="L3805" s="20"/>
      <c r="M3805" s="20">
        <f>Разбивка_по_щитам!P3810</f>
      </c>
      <c r="N3805" s="20"/>
    </row>
    <row r="3806" spans="2:14" x14ac:dyDescent="0.25">
      <c r="B3806" s="20">
        <f>Разбивка_по_щитам!B3811</f>
      </c>
      <c r="C3806" s="20">
        <f>Разбивка_по_щитам!C3811</f>
      </c>
      <c r="D3806" s="20">
        <f>Разбивка_по_щитам!F3811</f>
      </c>
      <c r="E3806" s="20">
        <f>Разбивка_по_щитам!H3811</f>
      </c>
      <c r="F3806" s="20">
        <f>Разбивка_по_щитам!I3811</f>
      </c>
      <c r="G3806" s="20">
        <f>Разбивка_по_щитам!J3811</f>
      </c>
      <c r="H3806" s="20">
        <f>Разбивка_по_щитам!K3811</f>
      </c>
      <c r="I3806" s="20">
        <f>Разбивка_по_щитам!L3811</f>
      </c>
      <c r="J3806" s="20">
        <f>Разбивка_по_щитам!M3811</f>
      </c>
      <c r="K3806" s="20">
        <f>Разбивка_по_щитам!N3811</f>
      </c>
      <c r="L3806" s="20"/>
      <c r="M3806" s="20">
        <f>Разбивка_по_щитам!P3811</f>
      </c>
      <c r="N3806" s="20"/>
    </row>
    <row r="3807" spans="2:14" x14ac:dyDescent="0.25">
      <c r="B3807" s="20">
        <f>Разбивка_по_щитам!B3812</f>
      </c>
      <c r="C3807" s="20">
        <f>Разбивка_по_щитам!C3812</f>
      </c>
      <c r="D3807" s="20">
        <f>Разбивка_по_щитам!F3812</f>
      </c>
      <c r="E3807" s="20">
        <f>Разбивка_по_щитам!H3812</f>
      </c>
      <c r="F3807" s="20">
        <f>Разбивка_по_щитам!I3812</f>
      </c>
      <c r="G3807" s="20">
        <f>Разбивка_по_щитам!J3812</f>
      </c>
      <c r="H3807" s="20">
        <f>Разбивка_по_щитам!K3812</f>
      </c>
      <c r="I3807" s="20">
        <f>Разбивка_по_щитам!L3812</f>
      </c>
      <c r="J3807" s="20">
        <f>Разбивка_по_щитам!M3812</f>
      </c>
      <c r="K3807" s="20">
        <f>Разбивка_по_щитам!N3812</f>
      </c>
      <c r="L3807" s="20"/>
      <c r="M3807" s="20">
        <f>Разбивка_по_щитам!P3812</f>
      </c>
      <c r="N3807" s="20"/>
    </row>
    <row r="3808" spans="2:14" x14ac:dyDescent="0.25">
      <c r="B3808" s="20">
        <f>Разбивка_по_щитам!B3813</f>
      </c>
      <c r="C3808" s="20">
        <f>Разбивка_по_щитам!C3813</f>
      </c>
      <c r="D3808" s="20">
        <f>Разбивка_по_щитам!F3813</f>
      </c>
      <c r="E3808" s="20">
        <f>Разбивка_по_щитам!H3813</f>
      </c>
      <c r="F3808" s="20">
        <f>Разбивка_по_щитам!I3813</f>
      </c>
      <c r="G3808" s="20">
        <f>Разбивка_по_щитам!J3813</f>
      </c>
      <c r="H3808" s="20">
        <f>Разбивка_по_щитам!K3813</f>
      </c>
      <c r="I3808" s="20">
        <f>Разбивка_по_щитам!L3813</f>
      </c>
      <c r="J3808" s="20">
        <f>Разбивка_по_щитам!M3813</f>
      </c>
      <c r="K3808" s="20">
        <f>Разбивка_по_щитам!N3813</f>
      </c>
      <c r="L3808" s="20"/>
      <c r="M3808" s="20">
        <f>Разбивка_по_щитам!P3813</f>
      </c>
      <c r="N3808" s="20"/>
    </row>
    <row r="3809" spans="2:14" x14ac:dyDescent="0.25">
      <c r="B3809" s="20">
        <f>Разбивка_по_щитам!B3814</f>
      </c>
      <c r="C3809" s="20">
        <f>Разбивка_по_щитам!C3814</f>
      </c>
      <c r="D3809" s="20">
        <f>Разбивка_по_щитам!F3814</f>
      </c>
      <c r="E3809" s="20">
        <f>Разбивка_по_щитам!H3814</f>
      </c>
      <c r="F3809" s="20">
        <f>Разбивка_по_щитам!I3814</f>
      </c>
      <c r="G3809" s="20">
        <f>Разбивка_по_щитам!J3814</f>
      </c>
      <c r="H3809" s="20">
        <f>Разбивка_по_щитам!K3814</f>
      </c>
      <c r="I3809" s="20">
        <f>Разбивка_по_щитам!L3814</f>
      </c>
      <c r="J3809" s="20">
        <f>Разбивка_по_щитам!M3814</f>
      </c>
      <c r="K3809" s="20">
        <f>Разбивка_по_щитам!N3814</f>
      </c>
      <c r="L3809" s="20"/>
      <c r="M3809" s="20">
        <f>Разбивка_по_щитам!P3814</f>
      </c>
      <c r="N3809" s="20"/>
    </row>
    <row r="3810" spans="2:14" x14ac:dyDescent="0.25">
      <c r="B3810" s="20">
        <f>Разбивка_по_щитам!B3815</f>
      </c>
      <c r="C3810" s="20">
        <f>Разбивка_по_щитам!C3815</f>
      </c>
      <c r="D3810" s="20">
        <f>Разбивка_по_щитам!F3815</f>
      </c>
      <c r="E3810" s="20">
        <f>Разбивка_по_щитам!H3815</f>
      </c>
      <c r="F3810" s="20">
        <f>Разбивка_по_щитам!I3815</f>
      </c>
      <c r="G3810" s="20">
        <f>Разбивка_по_щитам!J3815</f>
      </c>
      <c r="H3810" s="20">
        <f>Разбивка_по_щитам!K3815</f>
      </c>
      <c r="I3810" s="20">
        <f>Разбивка_по_щитам!L3815</f>
      </c>
      <c r="J3810" s="20">
        <f>Разбивка_по_щитам!M3815</f>
      </c>
      <c r="K3810" s="20">
        <f>Разбивка_по_щитам!N3815</f>
      </c>
      <c r="L3810" s="20"/>
      <c r="M3810" s="20">
        <f>Разбивка_по_щитам!P3815</f>
      </c>
      <c r="N3810" s="20"/>
    </row>
    <row r="3811" spans="2:14" x14ac:dyDescent="0.25">
      <c r="B3811" s="20">
        <f>Разбивка_по_щитам!B3816</f>
      </c>
      <c r="C3811" s="20">
        <f>Разбивка_по_щитам!C3816</f>
      </c>
      <c r="D3811" s="20">
        <f>Разбивка_по_щитам!F3816</f>
      </c>
      <c r="E3811" s="20">
        <f>Разбивка_по_щитам!H3816</f>
      </c>
      <c r="F3811" s="20">
        <f>Разбивка_по_щитам!I3816</f>
      </c>
      <c r="G3811" s="20">
        <f>Разбивка_по_щитам!J3816</f>
      </c>
      <c r="H3811" s="20">
        <f>Разбивка_по_щитам!K3816</f>
      </c>
      <c r="I3811" s="20">
        <f>Разбивка_по_щитам!L3816</f>
      </c>
      <c r="J3811" s="20">
        <f>Разбивка_по_щитам!M3816</f>
      </c>
      <c r="K3811" s="20">
        <f>Разбивка_по_щитам!N3816</f>
      </c>
      <c r="L3811" s="20"/>
      <c r="M3811" s="20">
        <f>Разбивка_по_щитам!P3816</f>
      </c>
      <c r="N3811" s="20"/>
    </row>
    <row r="3812" spans="2:14" x14ac:dyDescent="0.25">
      <c r="B3812" s="20">
        <f>Разбивка_по_щитам!B3817</f>
      </c>
      <c r="C3812" s="20">
        <f>Разбивка_по_щитам!C3817</f>
      </c>
      <c r="D3812" s="20">
        <f>Разбивка_по_щитам!F3817</f>
      </c>
      <c r="E3812" s="20">
        <f>Разбивка_по_щитам!H3817</f>
      </c>
      <c r="F3812" s="20">
        <f>Разбивка_по_щитам!I3817</f>
      </c>
      <c r="G3812" s="20">
        <f>Разбивка_по_щитам!J3817</f>
      </c>
      <c r="H3812" s="20">
        <f>Разбивка_по_щитам!K3817</f>
      </c>
      <c r="I3812" s="20">
        <f>Разбивка_по_щитам!L3817</f>
      </c>
      <c r="J3812" s="20">
        <f>Разбивка_по_щитам!M3817</f>
      </c>
      <c r="K3812" s="20">
        <f>Разбивка_по_щитам!N3817</f>
      </c>
      <c r="L3812" s="20"/>
      <c r="M3812" s="20">
        <f>Разбивка_по_щитам!P3817</f>
      </c>
      <c r="N3812" s="20"/>
    </row>
    <row r="3813" spans="2:14" x14ac:dyDescent="0.25">
      <c r="B3813" s="20">
        <f>Разбивка_по_щитам!B3818</f>
      </c>
      <c r="C3813" s="20">
        <f>Разбивка_по_щитам!C3818</f>
      </c>
      <c r="D3813" s="20">
        <f>Разбивка_по_щитам!F3818</f>
      </c>
      <c r="E3813" s="20">
        <f>Разбивка_по_щитам!H3818</f>
      </c>
      <c r="F3813" s="20">
        <f>Разбивка_по_щитам!I3818</f>
      </c>
      <c r="G3813" s="20">
        <f>Разбивка_по_щитам!J3818</f>
      </c>
      <c r="H3813" s="20">
        <f>Разбивка_по_щитам!K3818</f>
      </c>
      <c r="I3813" s="20">
        <f>Разбивка_по_щитам!L3818</f>
      </c>
      <c r="J3813" s="20">
        <f>Разбивка_по_щитам!M3818</f>
      </c>
      <c r="K3813" s="20">
        <f>Разбивка_по_щитам!N3818</f>
      </c>
      <c r="L3813" s="20"/>
      <c r="M3813" s="20">
        <f>Разбивка_по_щитам!P3818</f>
      </c>
      <c r="N3813" s="20"/>
    </row>
    <row r="3814" spans="2:14" x14ac:dyDescent="0.25">
      <c r="B3814" s="20">
        <f>Разбивка_по_щитам!B3819</f>
      </c>
      <c r="C3814" s="20">
        <f>Разбивка_по_щитам!C3819</f>
      </c>
      <c r="D3814" s="20">
        <f>Разбивка_по_щитам!F3819</f>
      </c>
      <c r="E3814" s="20">
        <f>Разбивка_по_щитам!H3819</f>
      </c>
      <c r="F3814" s="20">
        <f>Разбивка_по_щитам!I3819</f>
      </c>
      <c r="G3814" s="20">
        <f>Разбивка_по_щитам!J3819</f>
      </c>
      <c r="H3814" s="20">
        <f>Разбивка_по_щитам!K3819</f>
      </c>
      <c r="I3814" s="20">
        <f>Разбивка_по_щитам!L3819</f>
      </c>
      <c r="J3814" s="20">
        <f>Разбивка_по_щитам!M3819</f>
      </c>
      <c r="K3814" s="20">
        <f>Разбивка_по_щитам!N3819</f>
      </c>
      <c r="L3814" s="20"/>
      <c r="M3814" s="20">
        <f>Разбивка_по_щитам!P3819</f>
      </c>
      <c r="N3814" s="20"/>
    </row>
    <row r="3815" spans="2:14" x14ac:dyDescent="0.25">
      <c r="B3815" s="20">
        <f>Разбивка_по_щитам!B3820</f>
      </c>
      <c r="C3815" s="20">
        <f>Разбивка_по_щитам!C3820</f>
      </c>
      <c r="D3815" s="20">
        <f>Разбивка_по_щитам!F3820</f>
      </c>
      <c r="E3815" s="20">
        <f>Разбивка_по_щитам!H3820</f>
      </c>
      <c r="F3815" s="20">
        <f>Разбивка_по_щитам!I3820</f>
      </c>
      <c r="G3815" s="20">
        <f>Разбивка_по_щитам!J3820</f>
      </c>
      <c r="H3815" s="20">
        <f>Разбивка_по_щитам!K3820</f>
      </c>
      <c r="I3815" s="20">
        <f>Разбивка_по_щитам!L3820</f>
      </c>
      <c r="J3815" s="20">
        <f>Разбивка_по_щитам!M3820</f>
      </c>
      <c r="K3815" s="20">
        <f>Разбивка_по_щитам!N3820</f>
      </c>
      <c r="L3815" s="20"/>
      <c r="M3815" s="20">
        <f>Разбивка_по_щитам!P3820</f>
      </c>
      <c r="N3815" s="20"/>
    </row>
    <row r="3816" spans="2:14" x14ac:dyDescent="0.25">
      <c r="B3816" s="20">
        <f>Разбивка_по_щитам!B3821</f>
      </c>
      <c r="C3816" s="20">
        <f>Разбивка_по_щитам!C3821</f>
      </c>
      <c r="D3816" s="20">
        <f>Разбивка_по_щитам!F3821</f>
      </c>
      <c r="E3816" s="20">
        <f>Разбивка_по_щитам!H3821</f>
      </c>
      <c r="F3816" s="20">
        <f>Разбивка_по_щитам!I3821</f>
      </c>
      <c r="G3816" s="20">
        <f>Разбивка_по_щитам!J3821</f>
      </c>
      <c r="H3816" s="20">
        <f>Разбивка_по_щитам!K3821</f>
      </c>
      <c r="I3816" s="20">
        <f>Разбивка_по_щитам!L3821</f>
      </c>
      <c r="J3816" s="20">
        <f>Разбивка_по_щитам!M3821</f>
      </c>
      <c r="K3816" s="20">
        <f>Разбивка_по_щитам!N3821</f>
      </c>
      <c r="L3816" s="20"/>
      <c r="M3816" s="20">
        <f>Разбивка_по_щитам!P3821</f>
      </c>
      <c r="N3816" s="20"/>
    </row>
    <row r="3817" spans="2:14" x14ac:dyDescent="0.25">
      <c r="B3817" s="20">
        <f>Разбивка_по_щитам!B3822</f>
      </c>
      <c r="C3817" s="20">
        <f>Разбивка_по_щитам!C3822</f>
      </c>
      <c r="D3817" s="20">
        <f>Разбивка_по_щитам!F3822</f>
      </c>
      <c r="E3817" s="20">
        <f>Разбивка_по_щитам!H3822</f>
      </c>
      <c r="F3817" s="20">
        <f>Разбивка_по_щитам!I3822</f>
      </c>
      <c r="G3817" s="20">
        <f>Разбивка_по_щитам!J3822</f>
      </c>
      <c r="H3817" s="20">
        <f>Разбивка_по_щитам!K3822</f>
      </c>
      <c r="I3817" s="20">
        <f>Разбивка_по_щитам!L3822</f>
      </c>
      <c r="J3817" s="20">
        <f>Разбивка_по_щитам!M3822</f>
      </c>
      <c r="K3817" s="20">
        <f>Разбивка_по_щитам!N3822</f>
      </c>
      <c r="L3817" s="20"/>
      <c r="M3817" s="20">
        <f>Разбивка_по_щитам!P3822</f>
      </c>
      <c r="N3817" s="20"/>
    </row>
    <row r="3818" spans="2:14" x14ac:dyDescent="0.25">
      <c r="B3818" s="20">
        <f>Разбивка_по_щитам!B3823</f>
      </c>
      <c r="C3818" s="20">
        <f>Разбивка_по_щитам!C3823</f>
      </c>
      <c r="D3818" s="20">
        <f>Разбивка_по_щитам!F3823</f>
      </c>
      <c r="E3818" s="20">
        <f>Разбивка_по_щитам!H3823</f>
      </c>
      <c r="F3818" s="20">
        <f>Разбивка_по_щитам!I3823</f>
      </c>
      <c r="G3818" s="20">
        <f>Разбивка_по_щитам!J3823</f>
      </c>
      <c r="H3818" s="20">
        <f>Разбивка_по_щитам!K3823</f>
      </c>
      <c r="I3818" s="20">
        <f>Разбивка_по_щитам!L3823</f>
      </c>
      <c r="J3818" s="20">
        <f>Разбивка_по_щитам!M3823</f>
      </c>
      <c r="K3818" s="20">
        <f>Разбивка_по_щитам!N3823</f>
      </c>
      <c r="L3818" s="20"/>
      <c r="M3818" s="20">
        <f>Разбивка_по_щитам!P3823</f>
      </c>
      <c r="N3818" s="20"/>
    </row>
    <row r="3819" spans="2:14" x14ac:dyDescent="0.25">
      <c r="B3819" s="20">
        <f>Разбивка_по_щитам!B3824</f>
      </c>
      <c r="C3819" s="20">
        <f>Разбивка_по_щитам!C3824</f>
      </c>
      <c r="D3819" s="20">
        <f>Разбивка_по_щитам!F3824</f>
      </c>
      <c r="E3819" s="20">
        <f>Разбивка_по_щитам!H3824</f>
      </c>
      <c r="F3819" s="20">
        <f>Разбивка_по_щитам!I3824</f>
      </c>
      <c r="G3819" s="20">
        <f>Разбивка_по_щитам!J3824</f>
      </c>
      <c r="H3819" s="20">
        <f>Разбивка_по_щитам!K3824</f>
      </c>
      <c r="I3819" s="20">
        <f>Разбивка_по_щитам!L3824</f>
      </c>
      <c r="J3819" s="20">
        <f>Разбивка_по_щитам!M3824</f>
      </c>
      <c r="K3819" s="20">
        <f>Разбивка_по_щитам!N3824</f>
      </c>
      <c r="L3819" s="20"/>
      <c r="M3819" s="20">
        <f>Разбивка_по_щитам!P3824</f>
      </c>
      <c r="N3819" s="20"/>
    </row>
    <row r="3820" spans="2:14" x14ac:dyDescent="0.25">
      <c r="B3820" s="20">
        <f>Разбивка_по_щитам!B3825</f>
      </c>
      <c r="C3820" s="20">
        <f>Разбивка_по_щитам!C3825</f>
      </c>
      <c r="D3820" s="20">
        <f>Разбивка_по_щитам!F3825</f>
      </c>
      <c r="E3820" s="20">
        <f>Разбивка_по_щитам!H3825</f>
      </c>
      <c r="F3820" s="20">
        <f>Разбивка_по_щитам!I3825</f>
      </c>
      <c r="G3820" s="20">
        <f>Разбивка_по_щитам!J3825</f>
      </c>
      <c r="H3820" s="20">
        <f>Разбивка_по_щитам!K3825</f>
      </c>
      <c r="I3820" s="20">
        <f>Разбивка_по_щитам!L3825</f>
      </c>
      <c r="J3820" s="20">
        <f>Разбивка_по_щитам!M3825</f>
      </c>
      <c r="K3820" s="20">
        <f>Разбивка_по_щитам!N3825</f>
      </c>
      <c r="L3820" s="20"/>
      <c r="M3820" s="20">
        <f>Разбивка_по_щитам!P3825</f>
      </c>
      <c r="N3820" s="20"/>
    </row>
    <row r="3821" spans="2:14" x14ac:dyDescent="0.25">
      <c r="B3821" s="20">
        <f>Разбивка_по_щитам!B3826</f>
      </c>
      <c r="C3821" s="20">
        <f>Разбивка_по_щитам!C3826</f>
      </c>
      <c r="D3821" s="20">
        <f>Разбивка_по_щитам!F3826</f>
      </c>
      <c r="E3821" s="20">
        <f>Разбивка_по_щитам!H3826</f>
      </c>
      <c r="F3821" s="20">
        <f>Разбивка_по_щитам!I3826</f>
      </c>
      <c r="G3821" s="20">
        <f>Разбивка_по_щитам!J3826</f>
      </c>
      <c r="H3821" s="20">
        <f>Разбивка_по_щитам!K3826</f>
      </c>
      <c r="I3821" s="20">
        <f>Разбивка_по_щитам!L3826</f>
      </c>
      <c r="J3821" s="20">
        <f>Разбивка_по_щитам!M3826</f>
      </c>
      <c r="K3821" s="20">
        <f>Разбивка_по_щитам!N3826</f>
      </c>
      <c r="L3821" s="20"/>
      <c r="M3821" s="20">
        <f>Разбивка_по_щитам!P3826</f>
      </c>
      <c r="N3821" s="20"/>
    </row>
    <row r="3822" spans="2:14" x14ac:dyDescent="0.25">
      <c r="B3822" s="20">
        <f>Разбивка_по_щитам!B3827</f>
      </c>
      <c r="C3822" s="20">
        <f>Разбивка_по_щитам!C3827</f>
      </c>
      <c r="D3822" s="20">
        <f>Разбивка_по_щитам!F3827</f>
      </c>
      <c r="E3822" s="20">
        <f>Разбивка_по_щитам!H3827</f>
      </c>
      <c r="F3822" s="20">
        <f>Разбивка_по_щитам!I3827</f>
      </c>
      <c r="G3822" s="20">
        <f>Разбивка_по_щитам!J3827</f>
      </c>
      <c r="H3822" s="20">
        <f>Разбивка_по_щитам!K3827</f>
      </c>
      <c r="I3822" s="20">
        <f>Разбивка_по_щитам!L3827</f>
      </c>
      <c r="J3822" s="20">
        <f>Разбивка_по_щитам!M3827</f>
      </c>
      <c r="K3822" s="20">
        <f>Разбивка_по_щитам!N3827</f>
      </c>
      <c r="L3822" s="20"/>
      <c r="M3822" s="20">
        <f>Разбивка_по_щитам!P3827</f>
      </c>
      <c r="N3822" s="20"/>
    </row>
    <row r="3823" spans="2:14" x14ac:dyDescent="0.25">
      <c r="B3823" s="20">
        <f>Разбивка_по_щитам!B3828</f>
      </c>
      <c r="C3823" s="20">
        <f>Разбивка_по_щитам!C3828</f>
      </c>
      <c r="D3823" s="20">
        <f>Разбивка_по_щитам!F3828</f>
      </c>
      <c r="E3823" s="20">
        <f>Разбивка_по_щитам!H3828</f>
      </c>
      <c r="F3823" s="20">
        <f>Разбивка_по_щитам!I3828</f>
      </c>
      <c r="G3823" s="20">
        <f>Разбивка_по_щитам!J3828</f>
      </c>
      <c r="H3823" s="20">
        <f>Разбивка_по_щитам!K3828</f>
      </c>
      <c r="I3823" s="20">
        <f>Разбивка_по_щитам!L3828</f>
      </c>
      <c r="J3823" s="20">
        <f>Разбивка_по_щитам!M3828</f>
      </c>
      <c r="K3823" s="20">
        <f>Разбивка_по_щитам!N3828</f>
      </c>
      <c r="L3823" s="20"/>
      <c r="M3823" s="20">
        <f>Разбивка_по_щитам!P3828</f>
      </c>
      <c r="N3823" s="20"/>
    </row>
    <row r="3824" spans="2:14" x14ac:dyDescent="0.25">
      <c r="B3824" s="20">
        <f>Разбивка_по_щитам!B3829</f>
      </c>
      <c r="C3824" s="20">
        <f>Разбивка_по_щитам!C3829</f>
      </c>
      <c r="D3824" s="20">
        <f>Разбивка_по_щитам!F3829</f>
      </c>
      <c r="E3824" s="20">
        <f>Разбивка_по_щитам!H3829</f>
      </c>
      <c r="F3824" s="20">
        <f>Разбивка_по_щитам!I3829</f>
      </c>
      <c r="G3824" s="20">
        <f>Разбивка_по_щитам!J3829</f>
      </c>
      <c r="H3824" s="20">
        <f>Разбивка_по_щитам!K3829</f>
      </c>
      <c r="I3824" s="20">
        <f>Разбивка_по_щитам!L3829</f>
      </c>
      <c r="J3824" s="20">
        <f>Разбивка_по_щитам!M3829</f>
      </c>
      <c r="K3824" s="20">
        <f>Разбивка_по_щитам!N3829</f>
      </c>
      <c r="L3824" s="20"/>
      <c r="M3824" s="20">
        <f>Разбивка_по_щитам!P3829</f>
      </c>
      <c r="N3824" s="20"/>
    </row>
    <row r="3825" spans="2:14" x14ac:dyDescent="0.25">
      <c r="B3825" s="20">
        <f>Разбивка_по_щитам!B3830</f>
      </c>
      <c r="C3825" s="20">
        <f>Разбивка_по_щитам!C3830</f>
      </c>
      <c r="D3825" s="20">
        <f>Разбивка_по_щитам!F3830</f>
      </c>
      <c r="E3825" s="20">
        <f>Разбивка_по_щитам!H3830</f>
      </c>
      <c r="F3825" s="20">
        <f>Разбивка_по_щитам!I3830</f>
      </c>
      <c r="G3825" s="20">
        <f>Разбивка_по_щитам!J3830</f>
      </c>
      <c r="H3825" s="20">
        <f>Разбивка_по_щитам!K3830</f>
      </c>
      <c r="I3825" s="20">
        <f>Разбивка_по_щитам!L3830</f>
      </c>
      <c r="J3825" s="20">
        <f>Разбивка_по_щитам!M3830</f>
      </c>
      <c r="K3825" s="20">
        <f>Разбивка_по_щитам!N3830</f>
      </c>
      <c r="L3825" s="20"/>
      <c r="M3825" s="20">
        <f>Разбивка_по_щитам!P3830</f>
      </c>
      <c r="N3825" s="20"/>
    </row>
    <row r="3826" spans="2:14" x14ac:dyDescent="0.25">
      <c r="B3826" s="20">
        <f>Разбивка_по_щитам!B3831</f>
      </c>
      <c r="C3826" s="20">
        <f>Разбивка_по_щитам!C3831</f>
      </c>
      <c r="D3826" s="20">
        <f>Разбивка_по_щитам!F3831</f>
      </c>
      <c r="E3826" s="20">
        <f>Разбивка_по_щитам!H3831</f>
      </c>
      <c r="F3826" s="20">
        <f>Разбивка_по_щитам!I3831</f>
      </c>
      <c r="G3826" s="20">
        <f>Разбивка_по_щитам!J3831</f>
      </c>
      <c r="H3826" s="20">
        <f>Разбивка_по_щитам!K3831</f>
      </c>
      <c r="I3826" s="20">
        <f>Разбивка_по_щитам!L3831</f>
      </c>
      <c r="J3826" s="20">
        <f>Разбивка_по_щитам!M3831</f>
      </c>
      <c r="K3826" s="20">
        <f>Разбивка_по_щитам!N3831</f>
      </c>
      <c r="L3826" s="20"/>
      <c r="M3826" s="20">
        <f>Разбивка_по_щитам!P3831</f>
      </c>
      <c r="N3826" s="20"/>
    </row>
    <row r="3827" spans="2:14" x14ac:dyDescent="0.25">
      <c r="B3827" s="20">
        <f>Разбивка_по_щитам!B3832</f>
      </c>
      <c r="C3827" s="20">
        <f>Разбивка_по_щитам!C3832</f>
      </c>
      <c r="D3827" s="20">
        <f>Разбивка_по_щитам!F3832</f>
      </c>
      <c r="E3827" s="20">
        <f>Разбивка_по_щитам!H3832</f>
      </c>
      <c r="F3827" s="20">
        <f>Разбивка_по_щитам!I3832</f>
      </c>
      <c r="G3827" s="20">
        <f>Разбивка_по_щитам!J3832</f>
      </c>
      <c r="H3827" s="20">
        <f>Разбивка_по_щитам!K3832</f>
      </c>
      <c r="I3827" s="20">
        <f>Разбивка_по_щитам!L3832</f>
      </c>
      <c r="J3827" s="20">
        <f>Разбивка_по_щитам!M3832</f>
      </c>
      <c r="K3827" s="20">
        <f>Разбивка_по_щитам!N3832</f>
      </c>
      <c r="L3827" s="20"/>
      <c r="M3827" s="20">
        <f>Разбивка_по_щитам!P3832</f>
      </c>
      <c r="N3827" s="20"/>
    </row>
    <row r="3828" spans="2:14" x14ac:dyDescent="0.25">
      <c r="B3828" s="20">
        <f>Разбивка_по_щитам!B3833</f>
      </c>
      <c r="C3828" s="20">
        <f>Разбивка_по_щитам!C3833</f>
      </c>
      <c r="D3828" s="20">
        <f>Разбивка_по_щитам!F3833</f>
      </c>
      <c r="E3828" s="20">
        <f>Разбивка_по_щитам!H3833</f>
      </c>
      <c r="F3828" s="20">
        <f>Разбивка_по_щитам!I3833</f>
      </c>
      <c r="G3828" s="20">
        <f>Разбивка_по_щитам!J3833</f>
      </c>
      <c r="H3828" s="20">
        <f>Разбивка_по_щитам!K3833</f>
      </c>
      <c r="I3828" s="20">
        <f>Разбивка_по_щитам!L3833</f>
      </c>
      <c r="J3828" s="20">
        <f>Разбивка_по_щитам!M3833</f>
      </c>
      <c r="K3828" s="20">
        <f>Разбивка_по_щитам!N3833</f>
      </c>
      <c r="L3828" s="20"/>
      <c r="M3828" s="20">
        <f>Разбивка_по_щитам!P3833</f>
      </c>
      <c r="N3828" s="20"/>
    </row>
    <row r="3829" spans="2:14" x14ac:dyDescent="0.25">
      <c r="B3829" s="20">
        <f>Разбивка_по_щитам!B3834</f>
      </c>
      <c r="C3829" s="20">
        <f>Разбивка_по_щитам!C3834</f>
      </c>
      <c r="D3829" s="20">
        <f>Разбивка_по_щитам!F3834</f>
      </c>
      <c r="E3829" s="20">
        <f>Разбивка_по_щитам!H3834</f>
      </c>
      <c r="F3829" s="20">
        <f>Разбивка_по_щитам!I3834</f>
      </c>
      <c r="G3829" s="20">
        <f>Разбивка_по_щитам!J3834</f>
      </c>
      <c r="H3829" s="20">
        <f>Разбивка_по_щитам!K3834</f>
      </c>
      <c r="I3829" s="20">
        <f>Разбивка_по_щитам!L3834</f>
      </c>
      <c r="J3829" s="20">
        <f>Разбивка_по_щитам!M3834</f>
      </c>
      <c r="K3829" s="20">
        <f>Разбивка_по_щитам!N3834</f>
      </c>
      <c r="L3829" s="20"/>
      <c r="M3829" s="20">
        <f>Разбивка_по_щитам!P3834</f>
      </c>
      <c r="N3829" s="20"/>
    </row>
    <row r="3830" spans="2:14" x14ac:dyDescent="0.25">
      <c r="B3830" s="20">
        <f>Разбивка_по_щитам!B3835</f>
      </c>
      <c r="C3830" s="20">
        <f>Разбивка_по_щитам!C3835</f>
      </c>
      <c r="D3830" s="20">
        <f>Разбивка_по_щитам!F3835</f>
      </c>
      <c r="E3830" s="20">
        <f>Разбивка_по_щитам!H3835</f>
      </c>
      <c r="F3830" s="20">
        <f>Разбивка_по_щитам!I3835</f>
      </c>
      <c r="G3830" s="20">
        <f>Разбивка_по_щитам!J3835</f>
      </c>
      <c r="H3830" s="20">
        <f>Разбивка_по_щитам!K3835</f>
      </c>
      <c r="I3830" s="20">
        <f>Разбивка_по_щитам!L3835</f>
      </c>
      <c r="J3830" s="20">
        <f>Разбивка_по_щитам!M3835</f>
      </c>
      <c r="K3830" s="20">
        <f>Разбивка_по_щитам!N3835</f>
      </c>
      <c r="L3830" s="20"/>
      <c r="M3830" s="20">
        <f>Разбивка_по_щитам!P3835</f>
      </c>
      <c r="N3830" s="20"/>
    </row>
    <row r="3831" spans="2:14" x14ac:dyDescent="0.25">
      <c r="B3831" s="20">
        <f>Разбивка_по_щитам!B3836</f>
      </c>
      <c r="C3831" s="20">
        <f>Разбивка_по_щитам!C3836</f>
      </c>
      <c r="D3831" s="20">
        <f>Разбивка_по_щитам!F3836</f>
      </c>
      <c r="E3831" s="20">
        <f>Разбивка_по_щитам!H3836</f>
      </c>
      <c r="F3831" s="20">
        <f>Разбивка_по_щитам!I3836</f>
      </c>
      <c r="G3831" s="20">
        <f>Разбивка_по_щитам!J3836</f>
      </c>
      <c r="H3831" s="20">
        <f>Разбивка_по_щитам!K3836</f>
      </c>
      <c r="I3831" s="20">
        <f>Разбивка_по_щитам!L3836</f>
      </c>
      <c r="J3831" s="20">
        <f>Разбивка_по_щитам!M3836</f>
      </c>
      <c r="K3831" s="20">
        <f>Разбивка_по_щитам!N3836</f>
      </c>
      <c r="L3831" s="20"/>
      <c r="M3831" s="20">
        <f>Разбивка_по_щитам!P3836</f>
      </c>
      <c r="N3831" s="20"/>
    </row>
    <row r="3832" spans="2:14" x14ac:dyDescent="0.25">
      <c r="B3832" s="20">
        <f>Разбивка_по_щитам!B3837</f>
      </c>
      <c r="C3832" s="20">
        <f>Разбивка_по_щитам!C3837</f>
      </c>
      <c r="D3832" s="20">
        <f>Разбивка_по_щитам!F3837</f>
      </c>
      <c r="E3832" s="20">
        <f>Разбивка_по_щитам!H3837</f>
      </c>
      <c r="F3832" s="20">
        <f>Разбивка_по_щитам!I3837</f>
      </c>
      <c r="G3832" s="20">
        <f>Разбивка_по_щитам!J3837</f>
      </c>
      <c r="H3832" s="20">
        <f>Разбивка_по_щитам!K3837</f>
      </c>
      <c r="I3832" s="20">
        <f>Разбивка_по_щитам!L3837</f>
      </c>
      <c r="J3832" s="20">
        <f>Разбивка_по_щитам!M3837</f>
      </c>
      <c r="K3832" s="20">
        <f>Разбивка_по_щитам!N3837</f>
      </c>
      <c r="L3832" s="20"/>
      <c r="M3832" s="20">
        <f>Разбивка_по_щитам!P3837</f>
      </c>
      <c r="N3832" s="20"/>
    </row>
    <row r="3833" spans="2:14" x14ac:dyDescent="0.25">
      <c r="B3833" s="20">
        <f>Разбивка_по_щитам!B3838</f>
      </c>
      <c r="C3833" s="20">
        <f>Разбивка_по_щитам!C3838</f>
      </c>
      <c r="D3833" s="20">
        <f>Разбивка_по_щитам!F3838</f>
      </c>
      <c r="E3833" s="20">
        <f>Разбивка_по_щитам!H3838</f>
      </c>
      <c r="F3833" s="20">
        <f>Разбивка_по_щитам!I3838</f>
      </c>
      <c r="G3833" s="20">
        <f>Разбивка_по_щитам!J3838</f>
      </c>
      <c r="H3833" s="20">
        <f>Разбивка_по_щитам!K3838</f>
      </c>
      <c r="I3833" s="20">
        <f>Разбивка_по_щитам!L3838</f>
      </c>
      <c r="J3833" s="20">
        <f>Разбивка_по_щитам!M3838</f>
      </c>
      <c r="K3833" s="20">
        <f>Разбивка_по_щитам!N3838</f>
      </c>
      <c r="L3833" s="20"/>
      <c r="M3833" s="20">
        <f>Разбивка_по_щитам!P3838</f>
      </c>
      <c r="N3833" s="20"/>
    </row>
    <row r="3834" spans="2:14" x14ac:dyDescent="0.25">
      <c r="B3834" s="20">
        <f>Разбивка_по_щитам!B3839</f>
      </c>
      <c r="C3834" s="20">
        <f>Разбивка_по_щитам!C3839</f>
      </c>
      <c r="D3834" s="20">
        <f>Разбивка_по_щитам!F3839</f>
      </c>
      <c r="E3834" s="20">
        <f>Разбивка_по_щитам!H3839</f>
      </c>
      <c r="F3834" s="20">
        <f>Разбивка_по_щитам!I3839</f>
      </c>
      <c r="G3834" s="20">
        <f>Разбивка_по_щитам!J3839</f>
      </c>
      <c r="H3834" s="20">
        <f>Разбивка_по_щитам!K3839</f>
      </c>
      <c r="I3834" s="20">
        <f>Разбивка_по_щитам!L3839</f>
      </c>
      <c r="J3834" s="20">
        <f>Разбивка_по_щитам!M3839</f>
      </c>
      <c r="K3834" s="20">
        <f>Разбивка_по_щитам!N3839</f>
      </c>
      <c r="L3834" s="20"/>
      <c r="M3834" s="20">
        <f>Разбивка_по_щитам!P3839</f>
      </c>
      <c r="N3834" s="20"/>
    </row>
    <row r="3835" spans="2:14" x14ac:dyDescent="0.25">
      <c r="B3835" s="20">
        <f>Разбивка_по_щитам!B3840</f>
      </c>
      <c r="C3835" s="20">
        <f>Разбивка_по_щитам!C3840</f>
      </c>
      <c r="D3835" s="20">
        <f>Разбивка_по_щитам!F3840</f>
      </c>
      <c r="E3835" s="20">
        <f>Разбивка_по_щитам!H3840</f>
      </c>
      <c r="F3835" s="20">
        <f>Разбивка_по_щитам!I3840</f>
      </c>
      <c r="G3835" s="20">
        <f>Разбивка_по_щитам!J3840</f>
      </c>
      <c r="H3835" s="20">
        <f>Разбивка_по_щитам!K3840</f>
      </c>
      <c r="I3835" s="20">
        <f>Разбивка_по_щитам!L3840</f>
      </c>
      <c r="J3835" s="20">
        <f>Разбивка_по_щитам!M3840</f>
      </c>
      <c r="K3835" s="20">
        <f>Разбивка_по_щитам!N3840</f>
      </c>
      <c r="L3835" s="20"/>
      <c r="M3835" s="20">
        <f>Разбивка_по_щитам!P3840</f>
      </c>
      <c r="N3835" s="20"/>
    </row>
    <row r="3836" spans="2:14" x14ac:dyDescent="0.25">
      <c r="B3836" s="20">
        <f>Разбивка_по_щитам!B3841</f>
      </c>
      <c r="C3836" s="20">
        <f>Разбивка_по_щитам!C3841</f>
      </c>
      <c r="D3836" s="20">
        <f>Разбивка_по_щитам!F3841</f>
      </c>
      <c r="E3836" s="20">
        <f>Разбивка_по_щитам!H3841</f>
      </c>
      <c r="F3836" s="20">
        <f>Разбивка_по_щитам!I3841</f>
      </c>
      <c r="G3836" s="20">
        <f>Разбивка_по_щитам!J3841</f>
      </c>
      <c r="H3836" s="20">
        <f>Разбивка_по_щитам!K3841</f>
      </c>
      <c r="I3836" s="20">
        <f>Разбивка_по_щитам!L3841</f>
      </c>
      <c r="J3836" s="20">
        <f>Разбивка_по_щитам!M3841</f>
      </c>
      <c r="K3836" s="20">
        <f>Разбивка_по_щитам!N3841</f>
      </c>
      <c r="L3836" s="20"/>
      <c r="M3836" s="20">
        <f>Разбивка_по_щитам!P3841</f>
      </c>
      <c r="N3836" s="20"/>
    </row>
    <row r="3837" spans="2:14" x14ac:dyDescent="0.25">
      <c r="B3837" s="20">
        <f>Разбивка_по_щитам!B3842</f>
      </c>
      <c r="C3837" s="20">
        <f>Разбивка_по_щитам!C3842</f>
      </c>
      <c r="D3837" s="20">
        <f>Разбивка_по_щитам!F3842</f>
      </c>
      <c r="E3837" s="20">
        <f>Разбивка_по_щитам!H3842</f>
      </c>
      <c r="F3837" s="20">
        <f>Разбивка_по_щитам!I3842</f>
      </c>
      <c r="G3837" s="20">
        <f>Разбивка_по_щитам!J3842</f>
      </c>
      <c r="H3837" s="20">
        <f>Разбивка_по_щитам!K3842</f>
      </c>
      <c r="I3837" s="20">
        <f>Разбивка_по_щитам!L3842</f>
      </c>
      <c r="J3837" s="20">
        <f>Разбивка_по_щитам!M3842</f>
      </c>
      <c r="K3837" s="20">
        <f>Разбивка_по_щитам!N3842</f>
      </c>
      <c r="L3837" s="20"/>
      <c r="M3837" s="20">
        <f>Разбивка_по_щитам!P3842</f>
      </c>
      <c r="N3837" s="20"/>
    </row>
    <row r="3838" spans="2:14" x14ac:dyDescent="0.25">
      <c r="B3838" s="20">
        <f>Разбивка_по_щитам!B3843</f>
      </c>
      <c r="C3838" s="20">
        <f>Разбивка_по_щитам!C3843</f>
      </c>
      <c r="D3838" s="20">
        <f>Разбивка_по_щитам!F3843</f>
      </c>
      <c r="E3838" s="20">
        <f>Разбивка_по_щитам!H3843</f>
      </c>
      <c r="F3838" s="20">
        <f>Разбивка_по_щитам!I3843</f>
      </c>
      <c r="G3838" s="20">
        <f>Разбивка_по_щитам!J3843</f>
      </c>
      <c r="H3838" s="20">
        <f>Разбивка_по_щитам!K3843</f>
      </c>
      <c r="I3838" s="20">
        <f>Разбивка_по_щитам!L3843</f>
      </c>
      <c r="J3838" s="20">
        <f>Разбивка_по_щитам!M3843</f>
      </c>
      <c r="K3838" s="20">
        <f>Разбивка_по_щитам!N3843</f>
      </c>
      <c r="L3838" s="20"/>
      <c r="M3838" s="20">
        <f>Разбивка_по_щитам!P3843</f>
      </c>
      <c r="N3838" s="20"/>
    </row>
    <row r="3839" spans="2:14" x14ac:dyDescent="0.25">
      <c r="B3839" s="20">
        <f>Разбивка_по_щитам!B3844</f>
      </c>
      <c r="C3839" s="20">
        <f>Разбивка_по_щитам!C3844</f>
      </c>
      <c r="D3839" s="20">
        <f>Разбивка_по_щитам!F3844</f>
      </c>
      <c r="E3839" s="20">
        <f>Разбивка_по_щитам!H3844</f>
      </c>
      <c r="F3839" s="20">
        <f>Разбивка_по_щитам!I3844</f>
      </c>
      <c r="G3839" s="20">
        <f>Разбивка_по_щитам!J3844</f>
      </c>
      <c r="H3839" s="20">
        <f>Разбивка_по_щитам!K3844</f>
      </c>
      <c r="I3839" s="20">
        <f>Разбивка_по_щитам!L3844</f>
      </c>
      <c r="J3839" s="20">
        <f>Разбивка_по_щитам!M3844</f>
      </c>
      <c r="K3839" s="20">
        <f>Разбивка_по_щитам!N3844</f>
      </c>
      <c r="L3839" s="20"/>
      <c r="M3839" s="20">
        <f>Разбивка_по_щитам!P3844</f>
      </c>
      <c r="N3839" s="20"/>
    </row>
    <row r="3840" spans="2:14" x14ac:dyDescent="0.25">
      <c r="B3840" s="20">
        <f>Разбивка_по_щитам!B3845</f>
      </c>
      <c r="C3840" s="20">
        <f>Разбивка_по_щитам!C3845</f>
      </c>
      <c r="D3840" s="20">
        <f>Разбивка_по_щитам!F3845</f>
      </c>
      <c r="E3840" s="20">
        <f>Разбивка_по_щитам!H3845</f>
      </c>
      <c r="F3840" s="20">
        <f>Разбивка_по_щитам!I3845</f>
      </c>
      <c r="G3840" s="20">
        <f>Разбивка_по_щитам!J3845</f>
      </c>
      <c r="H3840" s="20">
        <f>Разбивка_по_щитам!K3845</f>
      </c>
      <c r="I3840" s="20">
        <f>Разбивка_по_щитам!L3845</f>
      </c>
      <c r="J3840" s="20">
        <f>Разбивка_по_щитам!M3845</f>
      </c>
      <c r="K3840" s="20">
        <f>Разбивка_по_щитам!N3845</f>
      </c>
      <c r="L3840" s="20"/>
      <c r="M3840" s="20">
        <f>Разбивка_по_щитам!P3845</f>
      </c>
      <c r="N3840" s="20"/>
    </row>
    <row r="3841" spans="2:14" x14ac:dyDescent="0.25">
      <c r="B3841" s="20">
        <f>Разбивка_по_щитам!B3846</f>
      </c>
      <c r="C3841" s="20">
        <f>Разбивка_по_щитам!C3846</f>
      </c>
      <c r="D3841" s="20">
        <f>Разбивка_по_щитам!F3846</f>
      </c>
      <c r="E3841" s="20">
        <f>Разбивка_по_щитам!H3846</f>
      </c>
      <c r="F3841" s="20">
        <f>Разбивка_по_щитам!I3846</f>
      </c>
      <c r="G3841" s="20">
        <f>Разбивка_по_щитам!J3846</f>
      </c>
      <c r="H3841" s="20">
        <f>Разбивка_по_щитам!K3846</f>
      </c>
      <c r="I3841" s="20">
        <f>Разбивка_по_щитам!L3846</f>
      </c>
      <c r="J3841" s="20">
        <f>Разбивка_по_щитам!M3846</f>
      </c>
      <c r="K3841" s="20">
        <f>Разбивка_по_щитам!N3846</f>
      </c>
      <c r="L3841" s="20"/>
      <c r="M3841" s="20">
        <f>Разбивка_по_щитам!P3846</f>
      </c>
      <c r="N3841" s="20"/>
    </row>
    <row r="3842" spans="2:14" x14ac:dyDescent="0.25">
      <c r="B3842" s="20">
        <f>Разбивка_по_щитам!B3847</f>
      </c>
      <c r="C3842" s="20">
        <f>Разбивка_по_щитам!C3847</f>
      </c>
      <c r="D3842" s="20">
        <f>Разбивка_по_щитам!F3847</f>
      </c>
      <c r="E3842" s="20">
        <f>Разбивка_по_щитам!H3847</f>
      </c>
      <c r="F3842" s="20">
        <f>Разбивка_по_щитам!I3847</f>
      </c>
      <c r="G3842" s="20">
        <f>Разбивка_по_щитам!J3847</f>
      </c>
      <c r="H3842" s="20">
        <f>Разбивка_по_щитам!K3847</f>
      </c>
      <c r="I3842" s="20">
        <f>Разбивка_по_щитам!L3847</f>
      </c>
      <c r="J3842" s="20">
        <f>Разбивка_по_щитам!M3847</f>
      </c>
      <c r="K3842" s="20">
        <f>Разбивка_по_щитам!N3847</f>
      </c>
      <c r="L3842" s="20"/>
      <c r="M3842" s="20">
        <f>Разбивка_по_щитам!P3847</f>
      </c>
      <c r="N3842" s="20"/>
    </row>
    <row r="3843" spans="2:14" x14ac:dyDescent="0.25">
      <c r="B3843" s="20">
        <f>Разбивка_по_щитам!B3848</f>
      </c>
      <c r="C3843" s="20">
        <f>Разбивка_по_щитам!C3848</f>
      </c>
      <c r="D3843" s="20">
        <f>Разбивка_по_щитам!F3848</f>
      </c>
      <c r="E3843" s="20">
        <f>Разбивка_по_щитам!H3848</f>
      </c>
      <c r="F3843" s="20">
        <f>Разбивка_по_щитам!I3848</f>
      </c>
      <c r="G3843" s="20">
        <f>Разбивка_по_щитам!J3848</f>
      </c>
      <c r="H3843" s="20">
        <f>Разбивка_по_щитам!K3848</f>
      </c>
      <c r="I3843" s="20">
        <f>Разбивка_по_щитам!L3848</f>
      </c>
      <c r="J3843" s="20">
        <f>Разбивка_по_щитам!M3848</f>
      </c>
      <c r="K3843" s="20">
        <f>Разбивка_по_щитам!N3848</f>
      </c>
      <c r="L3843" s="20"/>
      <c r="M3843" s="20">
        <f>Разбивка_по_щитам!P3848</f>
      </c>
      <c r="N3843" s="20"/>
    </row>
    <row r="3844" spans="2:14" x14ac:dyDescent="0.25">
      <c r="B3844" s="20">
        <f>Разбивка_по_щитам!B3849</f>
      </c>
      <c r="C3844" s="20">
        <f>Разбивка_по_щитам!C3849</f>
      </c>
      <c r="D3844" s="20">
        <f>Разбивка_по_щитам!F3849</f>
      </c>
      <c r="E3844" s="20">
        <f>Разбивка_по_щитам!H3849</f>
      </c>
      <c r="F3844" s="20">
        <f>Разбивка_по_щитам!I3849</f>
      </c>
      <c r="G3844" s="20">
        <f>Разбивка_по_щитам!J3849</f>
      </c>
      <c r="H3844" s="20">
        <f>Разбивка_по_щитам!K3849</f>
      </c>
      <c r="I3844" s="20">
        <f>Разбивка_по_щитам!L3849</f>
      </c>
      <c r="J3844" s="20">
        <f>Разбивка_по_щитам!M3849</f>
      </c>
      <c r="K3844" s="20">
        <f>Разбивка_по_щитам!N3849</f>
      </c>
      <c r="L3844" s="20"/>
      <c r="M3844" s="20">
        <f>Разбивка_по_щитам!P3849</f>
      </c>
      <c r="N3844" s="20"/>
    </row>
    <row r="3845" spans="2:14" x14ac:dyDescent="0.25">
      <c r="B3845" s="20">
        <f>Разбивка_по_щитам!B3850</f>
      </c>
      <c r="C3845" s="20">
        <f>Разбивка_по_щитам!C3850</f>
      </c>
      <c r="D3845" s="20">
        <f>Разбивка_по_щитам!F3850</f>
      </c>
      <c r="E3845" s="20">
        <f>Разбивка_по_щитам!H3850</f>
      </c>
      <c r="F3845" s="20">
        <f>Разбивка_по_щитам!I3850</f>
      </c>
      <c r="G3845" s="20">
        <f>Разбивка_по_щитам!J3850</f>
      </c>
      <c r="H3845" s="20">
        <f>Разбивка_по_щитам!K3850</f>
      </c>
      <c r="I3845" s="20">
        <f>Разбивка_по_щитам!L3850</f>
      </c>
      <c r="J3845" s="20">
        <f>Разбивка_по_щитам!M3850</f>
      </c>
      <c r="K3845" s="20">
        <f>Разбивка_по_щитам!N3850</f>
      </c>
      <c r="L3845" s="20"/>
      <c r="M3845" s="20">
        <f>Разбивка_по_щитам!P3850</f>
      </c>
      <c r="N3845" s="20"/>
    </row>
    <row r="3846" spans="2:14" x14ac:dyDescent="0.25">
      <c r="B3846" s="20">
        <f>Разбивка_по_щитам!B3851</f>
      </c>
      <c r="C3846" s="20">
        <f>Разбивка_по_щитам!C3851</f>
      </c>
      <c r="D3846" s="20">
        <f>Разбивка_по_щитам!F3851</f>
      </c>
      <c r="E3846" s="20">
        <f>Разбивка_по_щитам!H3851</f>
      </c>
      <c r="F3846" s="20">
        <f>Разбивка_по_щитам!I3851</f>
      </c>
      <c r="G3846" s="20">
        <f>Разбивка_по_щитам!J3851</f>
      </c>
      <c r="H3846" s="20">
        <f>Разбивка_по_щитам!K3851</f>
      </c>
      <c r="I3846" s="20">
        <f>Разбивка_по_щитам!L3851</f>
      </c>
      <c r="J3846" s="20">
        <f>Разбивка_по_щитам!M3851</f>
      </c>
      <c r="K3846" s="20">
        <f>Разбивка_по_щитам!N3851</f>
      </c>
      <c r="L3846" s="20"/>
      <c r="M3846" s="20">
        <f>Разбивка_по_щитам!P3851</f>
      </c>
      <c r="N3846" s="20"/>
    </row>
    <row r="3847" spans="2:14" x14ac:dyDescent="0.25">
      <c r="B3847" s="20">
        <f>Разбивка_по_щитам!B3852</f>
      </c>
      <c r="C3847" s="20">
        <f>Разбивка_по_щитам!C3852</f>
      </c>
      <c r="D3847" s="20">
        <f>Разбивка_по_щитам!F3852</f>
      </c>
      <c r="E3847" s="20">
        <f>Разбивка_по_щитам!H3852</f>
      </c>
      <c r="F3847" s="20">
        <f>Разбивка_по_щитам!I3852</f>
      </c>
      <c r="G3847" s="20">
        <f>Разбивка_по_щитам!J3852</f>
      </c>
      <c r="H3847" s="20">
        <f>Разбивка_по_щитам!K3852</f>
      </c>
      <c r="I3847" s="20">
        <f>Разбивка_по_щитам!L3852</f>
      </c>
      <c r="J3847" s="20">
        <f>Разбивка_по_щитам!M3852</f>
      </c>
      <c r="K3847" s="20">
        <f>Разбивка_по_щитам!N3852</f>
      </c>
      <c r="L3847" s="20"/>
      <c r="M3847" s="20">
        <f>Разбивка_по_щитам!P3852</f>
      </c>
      <c r="N3847" s="20"/>
    </row>
    <row r="3848" spans="2:14" x14ac:dyDescent="0.25">
      <c r="B3848" s="20">
        <f>Разбивка_по_щитам!B3853</f>
      </c>
      <c r="C3848" s="20">
        <f>Разбивка_по_щитам!C3853</f>
      </c>
      <c r="D3848" s="20">
        <f>Разбивка_по_щитам!F3853</f>
      </c>
      <c r="E3848" s="20">
        <f>Разбивка_по_щитам!H3853</f>
      </c>
      <c r="F3848" s="20">
        <f>Разбивка_по_щитам!I3853</f>
      </c>
      <c r="G3848" s="20">
        <f>Разбивка_по_щитам!J3853</f>
      </c>
      <c r="H3848" s="20">
        <f>Разбивка_по_щитам!K3853</f>
      </c>
      <c r="I3848" s="20">
        <f>Разбивка_по_щитам!L3853</f>
      </c>
      <c r="J3848" s="20">
        <f>Разбивка_по_щитам!M3853</f>
      </c>
      <c r="K3848" s="20">
        <f>Разбивка_по_щитам!N3853</f>
      </c>
      <c r="L3848" s="20"/>
      <c r="M3848" s="20">
        <f>Разбивка_по_щитам!P3853</f>
      </c>
      <c r="N3848" s="20"/>
    </row>
    <row r="3849" spans="2:14" x14ac:dyDescent="0.25">
      <c r="B3849" s="20">
        <f>Разбивка_по_щитам!B3854</f>
      </c>
      <c r="C3849" s="20">
        <f>Разбивка_по_щитам!C3854</f>
      </c>
      <c r="D3849" s="20">
        <f>Разбивка_по_щитам!F3854</f>
      </c>
      <c r="E3849" s="20">
        <f>Разбивка_по_щитам!H3854</f>
      </c>
      <c r="F3849" s="20">
        <f>Разбивка_по_щитам!I3854</f>
      </c>
      <c r="G3849" s="20">
        <f>Разбивка_по_щитам!J3854</f>
      </c>
      <c r="H3849" s="20">
        <f>Разбивка_по_щитам!K3854</f>
      </c>
      <c r="I3849" s="20">
        <f>Разбивка_по_щитам!L3854</f>
      </c>
      <c r="J3849" s="20">
        <f>Разбивка_по_щитам!M3854</f>
      </c>
      <c r="K3849" s="20">
        <f>Разбивка_по_щитам!N3854</f>
      </c>
      <c r="L3849" s="20"/>
      <c r="M3849" s="20">
        <f>Разбивка_по_щитам!P3854</f>
      </c>
      <c r="N3849" s="20"/>
    </row>
    <row r="3850" spans="2:14" x14ac:dyDescent="0.25">
      <c r="B3850" s="20">
        <f>Разбивка_по_щитам!B3855</f>
      </c>
      <c r="C3850" s="20">
        <f>Разбивка_по_щитам!C3855</f>
      </c>
      <c r="D3850" s="20">
        <f>Разбивка_по_щитам!F3855</f>
      </c>
      <c r="E3850" s="20">
        <f>Разбивка_по_щитам!H3855</f>
      </c>
      <c r="F3850" s="20">
        <f>Разбивка_по_щитам!I3855</f>
      </c>
      <c r="G3850" s="20">
        <f>Разбивка_по_щитам!J3855</f>
      </c>
      <c r="H3850" s="20">
        <f>Разбивка_по_щитам!K3855</f>
      </c>
      <c r="I3850" s="20">
        <f>Разбивка_по_щитам!L3855</f>
      </c>
      <c r="J3850" s="20">
        <f>Разбивка_по_щитам!M3855</f>
      </c>
      <c r="K3850" s="20">
        <f>Разбивка_по_щитам!N3855</f>
      </c>
      <c r="L3850" s="20"/>
      <c r="M3850" s="20">
        <f>Разбивка_по_щитам!P3855</f>
      </c>
      <c r="N3850" s="20"/>
    </row>
    <row r="3851" spans="2:14" x14ac:dyDescent="0.25">
      <c r="B3851" s="20">
        <f>Разбивка_по_щитам!B3856</f>
      </c>
      <c r="C3851" s="20">
        <f>Разбивка_по_щитам!C3856</f>
      </c>
      <c r="D3851" s="20">
        <f>Разбивка_по_щитам!F3856</f>
      </c>
      <c r="E3851" s="20">
        <f>Разбивка_по_щитам!H3856</f>
      </c>
      <c r="F3851" s="20">
        <f>Разбивка_по_щитам!I3856</f>
      </c>
      <c r="G3851" s="20">
        <f>Разбивка_по_щитам!J3856</f>
      </c>
      <c r="H3851" s="20">
        <f>Разбивка_по_щитам!K3856</f>
      </c>
      <c r="I3851" s="20">
        <f>Разбивка_по_щитам!L3856</f>
      </c>
      <c r="J3851" s="20">
        <f>Разбивка_по_щитам!M3856</f>
      </c>
      <c r="K3851" s="20">
        <f>Разбивка_по_щитам!N3856</f>
      </c>
      <c r="L3851" s="20"/>
      <c r="M3851" s="20">
        <f>Разбивка_по_щитам!P3856</f>
      </c>
      <c r="N3851" s="20"/>
    </row>
    <row r="3852" spans="2:14" x14ac:dyDescent="0.25">
      <c r="B3852" s="20">
        <f>Разбивка_по_щитам!B3857</f>
      </c>
      <c r="C3852" s="20">
        <f>Разбивка_по_щитам!C3857</f>
      </c>
      <c r="D3852" s="20">
        <f>Разбивка_по_щитам!F3857</f>
      </c>
      <c r="E3852" s="20">
        <f>Разбивка_по_щитам!H3857</f>
      </c>
      <c r="F3852" s="20">
        <f>Разбивка_по_щитам!I3857</f>
      </c>
      <c r="G3852" s="20">
        <f>Разбивка_по_щитам!J3857</f>
      </c>
      <c r="H3852" s="20">
        <f>Разбивка_по_щитам!K3857</f>
      </c>
      <c r="I3852" s="20">
        <f>Разбивка_по_щитам!L3857</f>
      </c>
      <c r="J3852" s="20">
        <f>Разбивка_по_щитам!M3857</f>
      </c>
      <c r="K3852" s="20">
        <f>Разбивка_по_щитам!N3857</f>
      </c>
      <c r="L3852" s="20"/>
      <c r="M3852" s="20">
        <f>Разбивка_по_щитам!P3857</f>
      </c>
      <c r="N3852" s="20"/>
    </row>
    <row r="3853" spans="2:14" x14ac:dyDescent="0.25">
      <c r="B3853" s="20">
        <f>Разбивка_по_щитам!B3858</f>
      </c>
      <c r="C3853" s="20">
        <f>Разбивка_по_щитам!C3858</f>
      </c>
      <c r="D3853" s="20">
        <f>Разбивка_по_щитам!F3858</f>
      </c>
      <c r="E3853" s="20">
        <f>Разбивка_по_щитам!H3858</f>
      </c>
      <c r="F3853" s="20">
        <f>Разбивка_по_щитам!I3858</f>
      </c>
      <c r="G3853" s="20">
        <f>Разбивка_по_щитам!J3858</f>
      </c>
      <c r="H3853" s="20">
        <f>Разбивка_по_щитам!K3858</f>
      </c>
      <c r="I3853" s="20">
        <f>Разбивка_по_щитам!L3858</f>
      </c>
      <c r="J3853" s="20">
        <f>Разбивка_по_щитам!M3858</f>
      </c>
      <c r="K3853" s="20">
        <f>Разбивка_по_щитам!N3858</f>
      </c>
      <c r="L3853" s="20"/>
      <c r="M3853" s="20">
        <f>Разбивка_по_щитам!P3858</f>
      </c>
      <c r="N3853" s="20"/>
    </row>
    <row r="3854" spans="2:14" x14ac:dyDescent="0.25">
      <c r="B3854" s="20">
        <f>Разбивка_по_щитам!B3859</f>
      </c>
      <c r="C3854" s="20">
        <f>Разбивка_по_щитам!C3859</f>
      </c>
      <c r="D3854" s="20">
        <f>Разбивка_по_щитам!F3859</f>
      </c>
      <c r="E3854" s="20">
        <f>Разбивка_по_щитам!H3859</f>
      </c>
      <c r="F3854" s="20">
        <f>Разбивка_по_щитам!I3859</f>
      </c>
      <c r="G3854" s="20">
        <f>Разбивка_по_щитам!J3859</f>
      </c>
      <c r="H3854" s="20">
        <f>Разбивка_по_щитам!K3859</f>
      </c>
      <c r="I3854" s="20">
        <f>Разбивка_по_щитам!L3859</f>
      </c>
      <c r="J3854" s="20">
        <f>Разбивка_по_щитам!M3859</f>
      </c>
      <c r="K3854" s="20">
        <f>Разбивка_по_щитам!N3859</f>
      </c>
      <c r="L3854" s="20"/>
      <c r="M3854" s="20">
        <f>Разбивка_по_щитам!P3859</f>
      </c>
      <c r="N3854" s="20"/>
    </row>
    <row r="3855" spans="2:14" x14ac:dyDescent="0.25">
      <c r="B3855" s="20">
        <f>Разбивка_по_щитам!B3860</f>
      </c>
      <c r="C3855" s="20">
        <f>Разбивка_по_щитам!C3860</f>
      </c>
      <c r="D3855" s="20">
        <f>Разбивка_по_щитам!F3860</f>
      </c>
      <c r="E3855" s="20">
        <f>Разбивка_по_щитам!H3860</f>
      </c>
      <c r="F3855" s="20">
        <f>Разбивка_по_щитам!I3860</f>
      </c>
      <c r="G3855" s="20">
        <f>Разбивка_по_щитам!J3860</f>
      </c>
      <c r="H3855" s="20">
        <f>Разбивка_по_щитам!K3860</f>
      </c>
      <c r="I3855" s="20">
        <f>Разбивка_по_щитам!L3860</f>
      </c>
      <c r="J3855" s="20">
        <f>Разбивка_по_щитам!M3860</f>
      </c>
      <c r="K3855" s="20">
        <f>Разбивка_по_щитам!N3860</f>
      </c>
      <c r="L3855" s="20"/>
      <c r="M3855" s="20">
        <f>Разбивка_по_щитам!P3860</f>
      </c>
      <c r="N3855" s="20"/>
    </row>
    <row r="3856" spans="2:14" x14ac:dyDescent="0.25">
      <c r="B3856" s="20">
        <f>Разбивка_по_щитам!B3861</f>
      </c>
      <c r="C3856" s="20">
        <f>Разбивка_по_щитам!C3861</f>
      </c>
      <c r="D3856" s="20">
        <f>Разбивка_по_щитам!F3861</f>
      </c>
      <c r="E3856" s="20">
        <f>Разбивка_по_щитам!H3861</f>
      </c>
      <c r="F3856" s="20">
        <f>Разбивка_по_щитам!I3861</f>
      </c>
      <c r="G3856" s="20">
        <f>Разбивка_по_щитам!J3861</f>
      </c>
      <c r="H3856" s="20">
        <f>Разбивка_по_щитам!K3861</f>
      </c>
      <c r="I3856" s="20">
        <f>Разбивка_по_щитам!L3861</f>
      </c>
      <c r="J3856" s="20">
        <f>Разбивка_по_щитам!M3861</f>
      </c>
      <c r="K3856" s="20">
        <f>Разбивка_по_щитам!N3861</f>
      </c>
      <c r="L3856" s="20"/>
      <c r="M3856" s="20">
        <f>Разбивка_по_щитам!P3861</f>
      </c>
      <c r="N3856" s="20"/>
    </row>
    <row r="3857" spans="2:14" x14ac:dyDescent="0.25">
      <c r="B3857" s="20">
        <f>Разбивка_по_щитам!B3862</f>
      </c>
      <c r="C3857" s="20">
        <f>Разбивка_по_щитам!C3862</f>
      </c>
      <c r="D3857" s="20">
        <f>Разбивка_по_щитам!F3862</f>
      </c>
      <c r="E3857" s="20">
        <f>Разбивка_по_щитам!H3862</f>
      </c>
      <c r="F3857" s="20">
        <f>Разбивка_по_щитам!I3862</f>
      </c>
      <c r="G3857" s="20">
        <f>Разбивка_по_щитам!J3862</f>
      </c>
      <c r="H3857" s="20">
        <f>Разбивка_по_щитам!K3862</f>
      </c>
      <c r="I3857" s="20">
        <f>Разбивка_по_щитам!L3862</f>
      </c>
      <c r="J3857" s="20">
        <f>Разбивка_по_щитам!M3862</f>
      </c>
      <c r="K3857" s="20">
        <f>Разбивка_по_щитам!N3862</f>
      </c>
      <c r="L3857" s="20"/>
      <c r="M3857" s="20">
        <f>Разбивка_по_щитам!P3862</f>
      </c>
      <c r="N3857" s="20"/>
    </row>
    <row r="3858" spans="2:14" x14ac:dyDescent="0.25">
      <c r="B3858" s="20">
        <f>Разбивка_по_щитам!B3863</f>
      </c>
      <c r="C3858" s="20">
        <f>Разбивка_по_щитам!C3863</f>
      </c>
      <c r="D3858" s="20">
        <f>Разбивка_по_щитам!F3863</f>
      </c>
      <c r="E3858" s="20">
        <f>Разбивка_по_щитам!H3863</f>
      </c>
      <c r="F3858" s="20">
        <f>Разбивка_по_щитам!I3863</f>
      </c>
      <c r="G3858" s="20">
        <f>Разбивка_по_щитам!J3863</f>
      </c>
      <c r="H3858" s="20">
        <f>Разбивка_по_щитам!K3863</f>
      </c>
      <c r="I3858" s="20">
        <f>Разбивка_по_щитам!L3863</f>
      </c>
      <c r="J3858" s="20">
        <f>Разбивка_по_щитам!M3863</f>
      </c>
      <c r="K3858" s="20">
        <f>Разбивка_по_щитам!N3863</f>
      </c>
      <c r="L3858" s="20"/>
      <c r="M3858" s="20">
        <f>Разбивка_по_щитам!P3863</f>
      </c>
      <c r="N3858" s="20"/>
    </row>
    <row r="3859" spans="2:14" x14ac:dyDescent="0.25">
      <c r="B3859" s="20">
        <f>Разбивка_по_щитам!B3864</f>
      </c>
      <c r="C3859" s="20">
        <f>Разбивка_по_щитам!C3864</f>
      </c>
      <c r="D3859" s="20">
        <f>Разбивка_по_щитам!F3864</f>
      </c>
      <c r="E3859" s="20">
        <f>Разбивка_по_щитам!H3864</f>
      </c>
      <c r="F3859" s="20">
        <f>Разбивка_по_щитам!I3864</f>
      </c>
      <c r="G3859" s="20">
        <f>Разбивка_по_щитам!J3864</f>
      </c>
      <c r="H3859" s="20">
        <f>Разбивка_по_щитам!K3864</f>
      </c>
      <c r="I3859" s="20">
        <f>Разбивка_по_щитам!L3864</f>
      </c>
      <c r="J3859" s="20">
        <f>Разбивка_по_щитам!M3864</f>
      </c>
      <c r="K3859" s="20">
        <f>Разбивка_по_щитам!N3864</f>
      </c>
      <c r="L3859" s="20"/>
      <c r="M3859" s="20">
        <f>Разбивка_по_щитам!P3864</f>
      </c>
      <c r="N3859" s="20"/>
    </row>
    <row r="3860" spans="2:14" x14ac:dyDescent="0.25">
      <c r="B3860" s="20">
        <f>Разбивка_по_щитам!B3865</f>
      </c>
      <c r="C3860" s="20">
        <f>Разбивка_по_щитам!C3865</f>
      </c>
      <c r="D3860" s="20">
        <f>Разбивка_по_щитам!F3865</f>
      </c>
      <c r="E3860" s="20">
        <f>Разбивка_по_щитам!H3865</f>
      </c>
      <c r="F3860" s="20">
        <f>Разбивка_по_щитам!I3865</f>
      </c>
      <c r="G3860" s="20">
        <f>Разбивка_по_щитам!J3865</f>
      </c>
      <c r="H3860" s="20">
        <f>Разбивка_по_щитам!K3865</f>
      </c>
      <c r="I3860" s="20">
        <f>Разбивка_по_щитам!L3865</f>
      </c>
      <c r="J3860" s="20">
        <f>Разбивка_по_щитам!M3865</f>
      </c>
      <c r="K3860" s="20">
        <f>Разбивка_по_щитам!N3865</f>
      </c>
      <c r="L3860" s="20"/>
      <c r="M3860" s="20">
        <f>Разбивка_по_щитам!P3865</f>
      </c>
      <c r="N3860" s="20"/>
    </row>
    <row r="3861" spans="2:14" x14ac:dyDescent="0.25">
      <c r="B3861" s="20">
        <f>Разбивка_по_щитам!B3866</f>
      </c>
      <c r="C3861" s="20">
        <f>Разбивка_по_щитам!C3866</f>
      </c>
      <c r="D3861" s="20">
        <f>Разбивка_по_щитам!F3866</f>
      </c>
      <c r="E3861" s="20">
        <f>Разбивка_по_щитам!H3866</f>
      </c>
      <c r="F3861" s="20">
        <f>Разбивка_по_щитам!I3866</f>
      </c>
      <c r="G3861" s="20">
        <f>Разбивка_по_щитам!J3866</f>
      </c>
      <c r="H3861" s="20">
        <f>Разбивка_по_щитам!K3866</f>
      </c>
      <c r="I3861" s="20">
        <f>Разбивка_по_щитам!L3866</f>
      </c>
      <c r="J3861" s="20">
        <f>Разбивка_по_щитам!M3866</f>
      </c>
      <c r="K3861" s="20">
        <f>Разбивка_по_щитам!N3866</f>
      </c>
      <c r="L3861" s="20"/>
      <c r="M3861" s="20">
        <f>Разбивка_по_щитам!P3866</f>
      </c>
      <c r="N3861" s="20"/>
    </row>
    <row r="3862" spans="2:14" x14ac:dyDescent="0.25">
      <c r="B3862" s="20">
        <f>Разбивка_по_щитам!B3867</f>
      </c>
      <c r="C3862" s="20">
        <f>Разбивка_по_щитам!C3867</f>
      </c>
      <c r="D3862" s="20">
        <f>Разбивка_по_щитам!F3867</f>
      </c>
      <c r="E3862" s="20">
        <f>Разбивка_по_щитам!H3867</f>
      </c>
      <c r="F3862" s="20">
        <f>Разбивка_по_щитам!I3867</f>
      </c>
      <c r="G3862" s="20">
        <f>Разбивка_по_щитам!J3867</f>
      </c>
      <c r="H3862" s="20">
        <f>Разбивка_по_щитам!K3867</f>
      </c>
      <c r="I3862" s="20">
        <f>Разбивка_по_щитам!L3867</f>
      </c>
      <c r="J3862" s="20">
        <f>Разбивка_по_щитам!M3867</f>
      </c>
      <c r="K3862" s="20">
        <f>Разбивка_по_щитам!N3867</f>
      </c>
      <c r="L3862" s="20"/>
      <c r="M3862" s="20">
        <f>Разбивка_по_щитам!P3867</f>
      </c>
      <c r="N3862" s="20"/>
    </row>
    <row r="3863" spans="2:14" x14ac:dyDescent="0.25">
      <c r="B3863" s="20">
        <f>Разбивка_по_щитам!B3868</f>
      </c>
      <c r="C3863" s="20">
        <f>Разбивка_по_щитам!C3868</f>
      </c>
      <c r="D3863" s="20">
        <f>Разбивка_по_щитам!F3868</f>
      </c>
      <c r="E3863" s="20">
        <f>Разбивка_по_щитам!H3868</f>
      </c>
      <c r="F3863" s="20">
        <f>Разбивка_по_щитам!I3868</f>
      </c>
      <c r="G3863" s="20">
        <f>Разбивка_по_щитам!J3868</f>
      </c>
      <c r="H3863" s="20">
        <f>Разбивка_по_щитам!K3868</f>
      </c>
      <c r="I3863" s="20">
        <f>Разбивка_по_щитам!L3868</f>
      </c>
      <c r="J3863" s="20">
        <f>Разбивка_по_щитам!M3868</f>
      </c>
      <c r="K3863" s="20">
        <f>Разбивка_по_щитам!N3868</f>
      </c>
      <c r="L3863" s="20"/>
      <c r="M3863" s="20">
        <f>Разбивка_по_щитам!P3868</f>
      </c>
      <c r="N3863" s="20"/>
    </row>
    <row r="3864" spans="2:14" x14ac:dyDescent="0.25">
      <c r="B3864" s="20">
        <f>Разбивка_по_щитам!B3869</f>
      </c>
      <c r="C3864" s="20">
        <f>Разбивка_по_щитам!C3869</f>
      </c>
      <c r="D3864" s="20">
        <f>Разбивка_по_щитам!F3869</f>
      </c>
      <c r="E3864" s="20">
        <f>Разбивка_по_щитам!H3869</f>
      </c>
      <c r="F3864" s="20">
        <f>Разбивка_по_щитам!I3869</f>
      </c>
      <c r="G3864" s="20">
        <f>Разбивка_по_щитам!J3869</f>
      </c>
      <c r="H3864" s="20">
        <f>Разбивка_по_щитам!K3869</f>
      </c>
      <c r="I3864" s="20">
        <f>Разбивка_по_щитам!L3869</f>
      </c>
      <c r="J3864" s="20">
        <f>Разбивка_по_щитам!M3869</f>
      </c>
      <c r="K3864" s="20">
        <f>Разбивка_по_щитам!N3869</f>
      </c>
      <c r="L3864" s="20"/>
      <c r="M3864" s="20">
        <f>Разбивка_по_щитам!P3869</f>
      </c>
      <c r="N3864" s="20"/>
    </row>
    <row r="3865" spans="2:14" x14ac:dyDescent="0.25">
      <c r="B3865" s="20">
        <f>Разбивка_по_щитам!B3870</f>
      </c>
      <c r="C3865" s="20">
        <f>Разбивка_по_щитам!C3870</f>
      </c>
      <c r="D3865" s="20">
        <f>Разбивка_по_щитам!F3870</f>
      </c>
      <c r="E3865" s="20">
        <f>Разбивка_по_щитам!H3870</f>
      </c>
      <c r="F3865" s="20">
        <f>Разбивка_по_щитам!I3870</f>
      </c>
      <c r="G3865" s="20">
        <f>Разбивка_по_щитам!J3870</f>
      </c>
      <c r="H3865" s="20">
        <f>Разбивка_по_щитам!K3870</f>
      </c>
      <c r="I3865" s="20">
        <f>Разбивка_по_щитам!L3870</f>
      </c>
      <c r="J3865" s="20">
        <f>Разбивка_по_щитам!M3870</f>
      </c>
      <c r="K3865" s="20">
        <f>Разбивка_по_щитам!N3870</f>
      </c>
      <c r="L3865" s="20"/>
      <c r="M3865" s="20">
        <f>Разбивка_по_щитам!P3870</f>
      </c>
      <c r="N3865" s="20"/>
    </row>
    <row r="3866" spans="2:14" x14ac:dyDescent="0.25">
      <c r="B3866" s="20">
        <f>Разбивка_по_щитам!B3871</f>
      </c>
      <c r="C3866" s="20">
        <f>Разбивка_по_щитам!C3871</f>
      </c>
      <c r="D3866" s="20">
        <f>Разбивка_по_щитам!F3871</f>
      </c>
      <c r="E3866" s="20">
        <f>Разбивка_по_щитам!H3871</f>
      </c>
      <c r="F3866" s="20">
        <f>Разбивка_по_щитам!I3871</f>
      </c>
      <c r="G3866" s="20">
        <f>Разбивка_по_щитам!J3871</f>
      </c>
      <c r="H3866" s="20">
        <f>Разбивка_по_щитам!K3871</f>
      </c>
      <c r="I3866" s="20">
        <f>Разбивка_по_щитам!L3871</f>
      </c>
      <c r="J3866" s="20">
        <f>Разбивка_по_щитам!M3871</f>
      </c>
      <c r="K3866" s="20">
        <f>Разбивка_по_щитам!N3871</f>
      </c>
      <c r="L3866" s="20"/>
      <c r="M3866" s="20">
        <f>Разбивка_по_щитам!P3871</f>
      </c>
      <c r="N3866" s="20"/>
    </row>
    <row r="3867" spans="2:14" x14ac:dyDescent="0.25">
      <c r="B3867" s="20">
        <f>Разбивка_по_щитам!B3872</f>
      </c>
      <c r="C3867" s="20">
        <f>Разбивка_по_щитам!C3872</f>
      </c>
      <c r="D3867" s="20">
        <f>Разбивка_по_щитам!F3872</f>
      </c>
      <c r="E3867" s="20">
        <f>Разбивка_по_щитам!H3872</f>
      </c>
      <c r="F3867" s="20">
        <f>Разбивка_по_щитам!I3872</f>
      </c>
      <c r="G3867" s="20">
        <f>Разбивка_по_щитам!J3872</f>
      </c>
      <c r="H3867" s="20">
        <f>Разбивка_по_щитам!K3872</f>
      </c>
      <c r="I3867" s="20">
        <f>Разбивка_по_щитам!L3872</f>
      </c>
      <c r="J3867" s="20">
        <f>Разбивка_по_щитам!M3872</f>
      </c>
      <c r="K3867" s="20">
        <f>Разбивка_по_щитам!N3872</f>
      </c>
      <c r="L3867" s="20"/>
      <c r="M3867" s="20">
        <f>Разбивка_по_щитам!P3872</f>
      </c>
      <c r="N3867" s="20"/>
    </row>
    <row r="3868" spans="2:14" x14ac:dyDescent="0.25">
      <c r="B3868" s="20">
        <f>Разбивка_по_щитам!B3873</f>
      </c>
      <c r="C3868" s="20">
        <f>Разбивка_по_щитам!C3873</f>
      </c>
      <c r="D3868" s="20">
        <f>Разбивка_по_щитам!F3873</f>
      </c>
      <c r="E3868" s="20">
        <f>Разбивка_по_щитам!H3873</f>
      </c>
      <c r="F3868" s="20">
        <f>Разбивка_по_щитам!I3873</f>
      </c>
      <c r="G3868" s="20">
        <f>Разбивка_по_щитам!J3873</f>
      </c>
      <c r="H3868" s="20">
        <f>Разбивка_по_щитам!K3873</f>
      </c>
      <c r="I3868" s="20">
        <f>Разбивка_по_щитам!L3873</f>
      </c>
      <c r="J3868" s="20">
        <f>Разбивка_по_щитам!M3873</f>
      </c>
      <c r="K3868" s="20">
        <f>Разбивка_по_щитам!N3873</f>
      </c>
      <c r="L3868" s="20"/>
      <c r="M3868" s="20">
        <f>Разбивка_по_щитам!P3873</f>
      </c>
      <c r="N3868" s="20"/>
    </row>
    <row r="3869" spans="2:14" x14ac:dyDescent="0.25">
      <c r="B3869" s="20">
        <f>Разбивка_по_щитам!B3874</f>
      </c>
      <c r="C3869" s="20">
        <f>Разбивка_по_щитам!C3874</f>
      </c>
      <c r="D3869" s="20">
        <f>Разбивка_по_щитам!F3874</f>
      </c>
      <c r="E3869" s="20">
        <f>Разбивка_по_щитам!H3874</f>
      </c>
      <c r="F3869" s="20">
        <f>Разбивка_по_щитам!I3874</f>
      </c>
      <c r="G3869" s="20">
        <f>Разбивка_по_щитам!J3874</f>
      </c>
      <c r="H3869" s="20">
        <f>Разбивка_по_щитам!K3874</f>
      </c>
      <c r="I3869" s="20">
        <f>Разбивка_по_щитам!L3874</f>
      </c>
      <c r="J3869" s="20">
        <f>Разбивка_по_щитам!M3874</f>
      </c>
      <c r="K3869" s="20">
        <f>Разбивка_по_щитам!N3874</f>
      </c>
      <c r="L3869" s="20"/>
      <c r="M3869" s="20">
        <f>Разбивка_по_щитам!P3874</f>
      </c>
      <c r="N3869" s="20"/>
    </row>
    <row r="3870" spans="2:14" x14ac:dyDescent="0.25">
      <c r="B3870" s="20">
        <f>Разбивка_по_щитам!B3875</f>
      </c>
      <c r="C3870" s="20">
        <f>Разбивка_по_щитам!C3875</f>
      </c>
      <c r="D3870" s="20">
        <f>Разбивка_по_щитам!F3875</f>
      </c>
      <c r="E3870" s="20">
        <f>Разбивка_по_щитам!H3875</f>
      </c>
      <c r="F3870" s="20">
        <f>Разбивка_по_щитам!I3875</f>
      </c>
      <c r="G3870" s="20">
        <f>Разбивка_по_щитам!J3875</f>
      </c>
      <c r="H3870" s="20">
        <f>Разбивка_по_щитам!K3875</f>
      </c>
      <c r="I3870" s="20">
        <f>Разбивка_по_щитам!L3875</f>
      </c>
      <c r="J3870" s="20">
        <f>Разбивка_по_щитам!M3875</f>
      </c>
      <c r="K3870" s="20">
        <f>Разбивка_по_щитам!N3875</f>
      </c>
      <c r="L3870" s="20"/>
      <c r="M3870" s="20">
        <f>Разбивка_по_щитам!P3875</f>
      </c>
      <c r="N3870" s="20"/>
    </row>
    <row r="3871" spans="2:14" x14ac:dyDescent="0.25">
      <c r="B3871" s="20">
        <f>Разбивка_по_щитам!B3876</f>
      </c>
      <c r="C3871" s="20">
        <f>Разбивка_по_щитам!C3876</f>
      </c>
      <c r="D3871" s="20">
        <f>Разбивка_по_щитам!F3876</f>
      </c>
      <c r="E3871" s="20">
        <f>Разбивка_по_щитам!H3876</f>
      </c>
      <c r="F3871" s="20">
        <f>Разбивка_по_щитам!I3876</f>
      </c>
      <c r="G3871" s="20">
        <f>Разбивка_по_щитам!J3876</f>
      </c>
      <c r="H3871" s="20">
        <f>Разбивка_по_щитам!K3876</f>
      </c>
      <c r="I3871" s="20">
        <f>Разбивка_по_щитам!L3876</f>
      </c>
      <c r="J3871" s="20">
        <f>Разбивка_по_щитам!M3876</f>
      </c>
      <c r="K3871" s="20">
        <f>Разбивка_по_щитам!N3876</f>
      </c>
      <c r="L3871" s="20"/>
      <c r="M3871" s="20">
        <f>Разбивка_по_щитам!P3876</f>
      </c>
      <c r="N3871" s="20"/>
    </row>
    <row r="3872" spans="2:14" x14ac:dyDescent="0.25">
      <c r="B3872" s="20">
        <f>Разбивка_по_щитам!B3877</f>
      </c>
      <c r="C3872" s="20">
        <f>Разбивка_по_щитам!C3877</f>
      </c>
      <c r="D3872" s="20">
        <f>Разбивка_по_щитам!F3877</f>
      </c>
      <c r="E3872" s="20">
        <f>Разбивка_по_щитам!H3877</f>
      </c>
      <c r="F3872" s="20">
        <f>Разбивка_по_щитам!I3877</f>
      </c>
      <c r="G3872" s="20">
        <f>Разбивка_по_щитам!J3877</f>
      </c>
      <c r="H3872" s="20">
        <f>Разбивка_по_щитам!K3877</f>
      </c>
      <c r="I3872" s="20">
        <f>Разбивка_по_щитам!L3877</f>
      </c>
      <c r="J3872" s="20">
        <f>Разбивка_по_щитам!M3877</f>
      </c>
      <c r="K3872" s="20">
        <f>Разбивка_по_щитам!N3877</f>
      </c>
      <c r="L3872" s="20"/>
      <c r="M3872" s="20">
        <f>Разбивка_по_щитам!P3877</f>
      </c>
      <c r="N3872" s="20"/>
    </row>
    <row r="3873" spans="2:14" x14ac:dyDescent="0.25">
      <c r="B3873" s="20">
        <f>Разбивка_по_щитам!B3878</f>
      </c>
      <c r="C3873" s="20">
        <f>Разбивка_по_щитам!C3878</f>
      </c>
      <c r="D3873" s="20">
        <f>Разбивка_по_щитам!F3878</f>
      </c>
      <c r="E3873" s="20">
        <f>Разбивка_по_щитам!H3878</f>
      </c>
      <c r="F3873" s="20">
        <f>Разбивка_по_щитам!I3878</f>
      </c>
      <c r="G3873" s="20">
        <f>Разбивка_по_щитам!J3878</f>
      </c>
      <c r="H3873" s="20">
        <f>Разбивка_по_щитам!K3878</f>
      </c>
      <c r="I3873" s="20">
        <f>Разбивка_по_щитам!L3878</f>
      </c>
      <c r="J3873" s="20">
        <f>Разбивка_по_щитам!M3878</f>
      </c>
      <c r="K3873" s="20">
        <f>Разбивка_по_щитам!N3878</f>
      </c>
      <c r="L3873" s="20"/>
      <c r="M3873" s="20">
        <f>Разбивка_по_щитам!P3878</f>
      </c>
      <c r="N3873" s="20"/>
    </row>
    <row r="3874" spans="2:14" x14ac:dyDescent="0.25">
      <c r="B3874" s="20">
        <f>Разбивка_по_щитам!B3879</f>
      </c>
      <c r="C3874" s="20">
        <f>Разбивка_по_щитам!C3879</f>
      </c>
      <c r="D3874" s="20">
        <f>Разбивка_по_щитам!F3879</f>
      </c>
      <c r="E3874" s="20">
        <f>Разбивка_по_щитам!H3879</f>
      </c>
      <c r="F3874" s="20">
        <f>Разбивка_по_щитам!I3879</f>
      </c>
      <c r="G3874" s="20">
        <f>Разбивка_по_щитам!J3879</f>
      </c>
      <c r="H3874" s="20">
        <f>Разбивка_по_щитам!K3879</f>
      </c>
      <c r="I3874" s="20">
        <f>Разбивка_по_щитам!L3879</f>
      </c>
      <c r="J3874" s="20">
        <f>Разбивка_по_щитам!M3879</f>
      </c>
      <c r="K3874" s="20">
        <f>Разбивка_по_щитам!N3879</f>
      </c>
      <c r="L3874" s="20"/>
      <c r="M3874" s="20">
        <f>Разбивка_по_щитам!P3879</f>
      </c>
      <c r="N3874" s="20"/>
    </row>
    <row r="3875" spans="2:14" x14ac:dyDescent="0.25">
      <c r="B3875" s="20">
        <f>Разбивка_по_щитам!B3880</f>
      </c>
      <c r="C3875" s="20">
        <f>Разбивка_по_щитам!C3880</f>
      </c>
      <c r="D3875" s="20">
        <f>Разбивка_по_щитам!F3880</f>
      </c>
      <c r="E3875" s="20">
        <f>Разбивка_по_щитам!H3880</f>
      </c>
      <c r="F3875" s="20">
        <f>Разбивка_по_щитам!I3880</f>
      </c>
      <c r="G3875" s="20">
        <f>Разбивка_по_щитам!J3880</f>
      </c>
      <c r="H3875" s="20">
        <f>Разбивка_по_щитам!K3880</f>
      </c>
      <c r="I3875" s="20">
        <f>Разбивка_по_щитам!L3880</f>
      </c>
      <c r="J3875" s="20">
        <f>Разбивка_по_щитам!M3880</f>
      </c>
      <c r="K3875" s="20">
        <f>Разбивка_по_щитам!N3880</f>
      </c>
      <c r="L3875" s="20"/>
      <c r="M3875" s="20">
        <f>Разбивка_по_щитам!P3880</f>
      </c>
      <c r="N3875" s="20"/>
    </row>
    <row r="3876" spans="2:14" x14ac:dyDescent="0.25">
      <c r="B3876" s="20">
        <f>Разбивка_по_щитам!B3881</f>
      </c>
      <c r="C3876" s="20">
        <f>Разбивка_по_щитам!C3881</f>
      </c>
      <c r="D3876" s="20">
        <f>Разбивка_по_щитам!F3881</f>
      </c>
      <c r="E3876" s="20">
        <f>Разбивка_по_щитам!H3881</f>
      </c>
      <c r="F3876" s="20">
        <f>Разбивка_по_щитам!I3881</f>
      </c>
      <c r="G3876" s="20">
        <f>Разбивка_по_щитам!J3881</f>
      </c>
      <c r="H3876" s="20">
        <f>Разбивка_по_щитам!K3881</f>
      </c>
      <c r="I3876" s="20">
        <f>Разбивка_по_щитам!L3881</f>
      </c>
      <c r="J3876" s="20">
        <f>Разбивка_по_щитам!M3881</f>
      </c>
      <c r="K3876" s="20">
        <f>Разбивка_по_щитам!N3881</f>
      </c>
      <c r="L3876" s="20"/>
      <c r="M3876" s="20">
        <f>Разбивка_по_щитам!P3881</f>
      </c>
      <c r="N3876" s="20"/>
    </row>
    <row r="3877" spans="2:14" x14ac:dyDescent="0.25">
      <c r="B3877" s="20">
        <f>Разбивка_по_щитам!B3882</f>
      </c>
      <c r="C3877" s="20">
        <f>Разбивка_по_щитам!C3882</f>
      </c>
      <c r="D3877" s="20">
        <f>Разбивка_по_щитам!F3882</f>
      </c>
      <c r="E3877" s="20">
        <f>Разбивка_по_щитам!H3882</f>
      </c>
      <c r="F3877" s="20">
        <f>Разбивка_по_щитам!I3882</f>
      </c>
      <c r="G3877" s="20">
        <f>Разбивка_по_щитам!J3882</f>
      </c>
      <c r="H3877" s="20">
        <f>Разбивка_по_щитам!K3882</f>
      </c>
      <c r="I3877" s="20">
        <f>Разбивка_по_щитам!L3882</f>
      </c>
      <c r="J3877" s="20">
        <f>Разбивка_по_щитам!M3882</f>
      </c>
      <c r="K3877" s="20">
        <f>Разбивка_по_щитам!N3882</f>
      </c>
      <c r="L3877" s="20"/>
      <c r="M3877" s="20">
        <f>Разбивка_по_щитам!P3882</f>
      </c>
      <c r="N3877" s="20"/>
    </row>
    <row r="3878" spans="2:14" x14ac:dyDescent="0.25">
      <c r="B3878" s="20">
        <f>Разбивка_по_щитам!B3883</f>
      </c>
      <c r="C3878" s="20">
        <f>Разбивка_по_щитам!C3883</f>
      </c>
      <c r="D3878" s="20">
        <f>Разбивка_по_щитам!F3883</f>
      </c>
      <c r="E3878" s="20">
        <f>Разбивка_по_щитам!H3883</f>
      </c>
      <c r="F3878" s="20">
        <f>Разбивка_по_щитам!I3883</f>
      </c>
      <c r="G3878" s="20">
        <f>Разбивка_по_щитам!J3883</f>
      </c>
      <c r="H3878" s="20">
        <f>Разбивка_по_щитам!K3883</f>
      </c>
      <c r="I3878" s="20">
        <f>Разбивка_по_щитам!L3883</f>
      </c>
      <c r="J3878" s="20">
        <f>Разбивка_по_щитам!M3883</f>
      </c>
      <c r="K3878" s="20">
        <f>Разбивка_по_щитам!N3883</f>
      </c>
      <c r="L3878" s="20"/>
      <c r="M3878" s="20">
        <f>Разбивка_по_щитам!P3883</f>
      </c>
      <c r="N3878" s="20"/>
    </row>
    <row r="3879" spans="2:14" x14ac:dyDescent="0.25">
      <c r="B3879" s="20">
        <f>Разбивка_по_щитам!B3884</f>
      </c>
      <c r="C3879" s="20">
        <f>Разбивка_по_щитам!C3884</f>
      </c>
      <c r="D3879" s="20">
        <f>Разбивка_по_щитам!F3884</f>
      </c>
      <c r="E3879" s="20">
        <f>Разбивка_по_щитам!H3884</f>
      </c>
      <c r="F3879" s="20">
        <f>Разбивка_по_щитам!I3884</f>
      </c>
      <c r="G3879" s="20">
        <f>Разбивка_по_щитам!J3884</f>
      </c>
      <c r="H3879" s="20">
        <f>Разбивка_по_щитам!K3884</f>
      </c>
      <c r="I3879" s="20">
        <f>Разбивка_по_щитам!L3884</f>
      </c>
      <c r="J3879" s="20">
        <f>Разбивка_по_щитам!M3884</f>
      </c>
      <c r="K3879" s="20">
        <f>Разбивка_по_щитам!N3884</f>
      </c>
      <c r="L3879" s="20"/>
      <c r="M3879" s="20">
        <f>Разбивка_по_щитам!P3884</f>
      </c>
      <c r="N3879" s="20"/>
    </row>
    <row r="3880" spans="2:14" x14ac:dyDescent="0.25">
      <c r="B3880" s="20">
        <f>Разбивка_по_щитам!B3885</f>
      </c>
      <c r="C3880" s="20">
        <f>Разбивка_по_щитам!C3885</f>
      </c>
      <c r="D3880" s="20">
        <f>Разбивка_по_щитам!F3885</f>
      </c>
      <c r="E3880" s="20">
        <f>Разбивка_по_щитам!H3885</f>
      </c>
      <c r="F3880" s="20">
        <f>Разбивка_по_щитам!I3885</f>
      </c>
      <c r="G3880" s="20">
        <f>Разбивка_по_щитам!J3885</f>
      </c>
      <c r="H3880" s="20">
        <f>Разбивка_по_щитам!K3885</f>
      </c>
      <c r="I3880" s="20">
        <f>Разбивка_по_щитам!L3885</f>
      </c>
      <c r="J3880" s="20">
        <f>Разбивка_по_щитам!M3885</f>
      </c>
      <c r="K3880" s="20">
        <f>Разбивка_по_щитам!N3885</f>
      </c>
      <c r="L3880" s="20"/>
      <c r="M3880" s="20">
        <f>Разбивка_по_щитам!P3885</f>
      </c>
      <c r="N3880" s="20"/>
    </row>
    <row r="3881" spans="2:14" x14ac:dyDescent="0.25">
      <c r="B3881" s="20">
        <f>Разбивка_по_щитам!B3886</f>
      </c>
      <c r="C3881" s="20">
        <f>Разбивка_по_щитам!C3886</f>
      </c>
      <c r="D3881" s="20">
        <f>Разбивка_по_щитам!F3886</f>
      </c>
      <c r="E3881" s="20">
        <f>Разбивка_по_щитам!H3886</f>
      </c>
      <c r="F3881" s="20">
        <f>Разбивка_по_щитам!I3886</f>
      </c>
      <c r="G3881" s="20">
        <f>Разбивка_по_щитам!J3886</f>
      </c>
      <c r="H3881" s="20">
        <f>Разбивка_по_щитам!K3886</f>
      </c>
      <c r="I3881" s="20">
        <f>Разбивка_по_щитам!L3886</f>
      </c>
      <c r="J3881" s="20">
        <f>Разбивка_по_щитам!M3886</f>
      </c>
      <c r="K3881" s="20">
        <f>Разбивка_по_щитам!N3886</f>
      </c>
      <c r="L3881" s="20"/>
      <c r="M3881" s="20">
        <f>Разбивка_по_щитам!P3886</f>
      </c>
      <c r="N3881" s="20"/>
    </row>
    <row r="3882" spans="2:14" x14ac:dyDescent="0.25">
      <c r="B3882" s="20">
        <f>Разбивка_по_щитам!B3887</f>
      </c>
      <c r="C3882" s="20">
        <f>Разбивка_по_щитам!C3887</f>
      </c>
      <c r="D3882" s="20">
        <f>Разбивка_по_щитам!F3887</f>
      </c>
      <c r="E3882" s="20">
        <f>Разбивка_по_щитам!H3887</f>
      </c>
      <c r="F3882" s="20">
        <f>Разбивка_по_щитам!I3887</f>
      </c>
      <c r="G3882" s="20">
        <f>Разбивка_по_щитам!J3887</f>
      </c>
      <c r="H3882" s="20">
        <f>Разбивка_по_щитам!K3887</f>
      </c>
      <c r="I3882" s="20">
        <f>Разбивка_по_щитам!L3887</f>
      </c>
      <c r="J3882" s="20">
        <f>Разбивка_по_щитам!M3887</f>
      </c>
      <c r="K3882" s="20">
        <f>Разбивка_по_щитам!N3887</f>
      </c>
      <c r="L3882" s="20"/>
      <c r="M3882" s="20">
        <f>Разбивка_по_щитам!P3887</f>
      </c>
      <c r="N3882" s="20"/>
    </row>
    <row r="3883" spans="2:14" x14ac:dyDescent="0.25">
      <c r="B3883" s="20">
        <f>Разбивка_по_щитам!B3888</f>
      </c>
      <c r="C3883" s="20">
        <f>Разбивка_по_щитам!C3888</f>
      </c>
      <c r="D3883" s="20">
        <f>Разбивка_по_щитам!F3888</f>
      </c>
      <c r="E3883" s="20">
        <f>Разбивка_по_щитам!H3888</f>
      </c>
      <c r="F3883" s="20">
        <f>Разбивка_по_щитам!I3888</f>
      </c>
      <c r="G3883" s="20">
        <f>Разбивка_по_щитам!J3888</f>
      </c>
      <c r="H3883" s="20">
        <f>Разбивка_по_щитам!K3888</f>
      </c>
      <c r="I3883" s="20">
        <f>Разбивка_по_щитам!L3888</f>
      </c>
      <c r="J3883" s="20">
        <f>Разбивка_по_щитам!M3888</f>
      </c>
      <c r="K3883" s="20">
        <f>Разбивка_по_щитам!N3888</f>
      </c>
      <c r="L3883" s="20"/>
      <c r="M3883" s="20">
        <f>Разбивка_по_щитам!P3888</f>
      </c>
      <c r="N3883" s="20"/>
    </row>
    <row r="3884" spans="2:14" x14ac:dyDescent="0.25">
      <c r="B3884" s="20">
        <f>Разбивка_по_щитам!B3889</f>
      </c>
      <c r="C3884" s="20">
        <f>Разбивка_по_щитам!C3889</f>
      </c>
      <c r="D3884" s="20">
        <f>Разбивка_по_щитам!F3889</f>
      </c>
      <c r="E3884" s="20">
        <f>Разбивка_по_щитам!H3889</f>
      </c>
      <c r="F3884" s="20">
        <f>Разбивка_по_щитам!I3889</f>
      </c>
      <c r="G3884" s="20">
        <f>Разбивка_по_щитам!J3889</f>
      </c>
      <c r="H3884" s="20">
        <f>Разбивка_по_щитам!K3889</f>
      </c>
      <c r="I3884" s="20">
        <f>Разбивка_по_щитам!L3889</f>
      </c>
      <c r="J3884" s="20">
        <f>Разбивка_по_щитам!M3889</f>
      </c>
      <c r="K3884" s="20">
        <f>Разбивка_по_щитам!N3889</f>
      </c>
      <c r="L3884" s="20"/>
      <c r="M3884" s="20">
        <f>Разбивка_по_щитам!P3889</f>
      </c>
      <c r="N3884" s="20"/>
    </row>
    <row r="3885" spans="2:14" x14ac:dyDescent="0.25">
      <c r="B3885" s="20">
        <f>Разбивка_по_щитам!B3890</f>
      </c>
      <c r="C3885" s="20">
        <f>Разбивка_по_щитам!C3890</f>
      </c>
      <c r="D3885" s="20">
        <f>Разбивка_по_щитам!F3890</f>
      </c>
      <c r="E3885" s="20">
        <f>Разбивка_по_щитам!H3890</f>
      </c>
      <c r="F3885" s="20">
        <f>Разбивка_по_щитам!I3890</f>
      </c>
      <c r="G3885" s="20">
        <f>Разбивка_по_щитам!J3890</f>
      </c>
      <c r="H3885" s="20">
        <f>Разбивка_по_щитам!K3890</f>
      </c>
      <c r="I3885" s="20">
        <f>Разбивка_по_щитам!L3890</f>
      </c>
      <c r="J3885" s="20">
        <f>Разбивка_по_щитам!M3890</f>
      </c>
      <c r="K3885" s="20">
        <f>Разбивка_по_щитам!N3890</f>
      </c>
      <c r="L3885" s="20"/>
      <c r="M3885" s="20">
        <f>Разбивка_по_щитам!P3890</f>
      </c>
      <c r="N3885" s="20"/>
    </row>
    <row r="3886" spans="2:14" x14ac:dyDescent="0.25">
      <c r="B3886" s="20">
        <f>Разбивка_по_щитам!B3891</f>
      </c>
      <c r="C3886" s="20">
        <f>Разбивка_по_щитам!C3891</f>
      </c>
      <c r="D3886" s="20">
        <f>Разбивка_по_щитам!F3891</f>
      </c>
      <c r="E3886" s="20">
        <f>Разбивка_по_щитам!H3891</f>
      </c>
      <c r="F3886" s="20">
        <f>Разбивка_по_щитам!I3891</f>
      </c>
      <c r="G3886" s="20">
        <f>Разбивка_по_щитам!J3891</f>
      </c>
      <c r="H3886" s="20">
        <f>Разбивка_по_щитам!K3891</f>
      </c>
      <c r="I3886" s="20">
        <f>Разбивка_по_щитам!L3891</f>
      </c>
      <c r="J3886" s="20">
        <f>Разбивка_по_щитам!M3891</f>
      </c>
      <c r="K3886" s="20">
        <f>Разбивка_по_щитам!N3891</f>
      </c>
      <c r="L3886" s="20"/>
      <c r="M3886" s="20">
        <f>Разбивка_по_щитам!P3891</f>
      </c>
      <c r="N3886" s="20"/>
    </row>
    <row r="3887" spans="2:14" x14ac:dyDescent="0.25">
      <c r="B3887" s="20">
        <f>Разбивка_по_щитам!B3892</f>
      </c>
      <c r="C3887" s="20">
        <f>Разбивка_по_щитам!C3892</f>
      </c>
      <c r="D3887" s="20">
        <f>Разбивка_по_щитам!F3892</f>
      </c>
      <c r="E3887" s="20">
        <f>Разбивка_по_щитам!H3892</f>
      </c>
      <c r="F3887" s="20">
        <f>Разбивка_по_щитам!I3892</f>
      </c>
      <c r="G3887" s="20">
        <f>Разбивка_по_щитам!J3892</f>
      </c>
      <c r="H3887" s="20">
        <f>Разбивка_по_щитам!K3892</f>
      </c>
      <c r="I3887" s="20">
        <f>Разбивка_по_щитам!L3892</f>
      </c>
      <c r="J3887" s="20">
        <f>Разбивка_по_щитам!M3892</f>
      </c>
      <c r="K3887" s="20">
        <f>Разбивка_по_щитам!N3892</f>
      </c>
      <c r="L3887" s="20"/>
      <c r="M3887" s="20">
        <f>Разбивка_по_щитам!P3892</f>
      </c>
      <c r="N3887" s="20"/>
    </row>
    <row r="3888" spans="2:14" x14ac:dyDescent="0.25">
      <c r="B3888" s="20">
        <f>Разбивка_по_щитам!B3893</f>
      </c>
      <c r="C3888" s="20">
        <f>Разбивка_по_щитам!C3893</f>
      </c>
      <c r="D3888" s="20">
        <f>Разбивка_по_щитам!F3893</f>
      </c>
      <c r="E3888" s="20">
        <f>Разбивка_по_щитам!H3893</f>
      </c>
      <c r="F3888" s="20">
        <f>Разбивка_по_щитам!I3893</f>
      </c>
      <c r="G3888" s="20">
        <f>Разбивка_по_щитам!J3893</f>
      </c>
      <c r="H3888" s="20">
        <f>Разбивка_по_щитам!K3893</f>
      </c>
      <c r="I3888" s="20">
        <f>Разбивка_по_щитам!L3893</f>
      </c>
      <c r="J3888" s="20">
        <f>Разбивка_по_щитам!M3893</f>
      </c>
      <c r="K3888" s="20">
        <f>Разбивка_по_щитам!N3893</f>
      </c>
      <c r="L3888" s="20"/>
      <c r="M3888" s="20">
        <f>Разбивка_по_щитам!P3893</f>
      </c>
      <c r="N3888" s="20"/>
    </row>
    <row r="3889" spans="2:14" x14ac:dyDescent="0.25">
      <c r="B3889" s="20">
        <f>Разбивка_по_щитам!B3894</f>
      </c>
      <c r="C3889" s="20">
        <f>Разбивка_по_щитам!C3894</f>
      </c>
      <c r="D3889" s="20">
        <f>Разбивка_по_щитам!F3894</f>
      </c>
      <c r="E3889" s="20">
        <f>Разбивка_по_щитам!H3894</f>
      </c>
      <c r="F3889" s="20">
        <f>Разбивка_по_щитам!I3894</f>
      </c>
      <c r="G3889" s="20">
        <f>Разбивка_по_щитам!J3894</f>
      </c>
      <c r="H3889" s="20">
        <f>Разбивка_по_щитам!K3894</f>
      </c>
      <c r="I3889" s="20">
        <f>Разбивка_по_щитам!L3894</f>
      </c>
      <c r="J3889" s="20">
        <f>Разбивка_по_щитам!M3894</f>
      </c>
      <c r="K3889" s="20">
        <f>Разбивка_по_щитам!N3894</f>
      </c>
      <c r="L3889" s="20"/>
      <c r="M3889" s="20">
        <f>Разбивка_по_щитам!P3894</f>
      </c>
      <c r="N3889" s="20"/>
    </row>
    <row r="3890" spans="2:14" x14ac:dyDescent="0.25">
      <c r="B3890" s="20">
        <f>Разбивка_по_щитам!B3895</f>
      </c>
      <c r="C3890" s="20">
        <f>Разбивка_по_щитам!C3895</f>
      </c>
      <c r="D3890" s="20">
        <f>Разбивка_по_щитам!F3895</f>
      </c>
      <c r="E3890" s="20">
        <f>Разбивка_по_щитам!H3895</f>
      </c>
      <c r="F3890" s="20">
        <f>Разбивка_по_щитам!I3895</f>
      </c>
      <c r="G3890" s="20">
        <f>Разбивка_по_щитам!J3895</f>
      </c>
      <c r="H3890" s="20">
        <f>Разбивка_по_щитам!K3895</f>
      </c>
      <c r="I3890" s="20">
        <f>Разбивка_по_щитам!L3895</f>
      </c>
      <c r="J3890" s="20">
        <f>Разбивка_по_щитам!M3895</f>
      </c>
      <c r="K3890" s="20">
        <f>Разбивка_по_щитам!N3895</f>
      </c>
      <c r="L3890" s="20"/>
      <c r="M3890" s="20">
        <f>Разбивка_по_щитам!P3895</f>
      </c>
      <c r="N3890" s="20"/>
    </row>
    <row r="3891" spans="2:14" x14ac:dyDescent="0.25">
      <c r="B3891" s="20">
        <f>Разбивка_по_щитам!B3896</f>
      </c>
      <c r="C3891" s="20">
        <f>Разбивка_по_щитам!C3896</f>
      </c>
      <c r="D3891" s="20">
        <f>Разбивка_по_щитам!F3896</f>
      </c>
      <c r="E3891" s="20">
        <f>Разбивка_по_щитам!H3896</f>
      </c>
      <c r="F3891" s="20">
        <f>Разбивка_по_щитам!I3896</f>
      </c>
      <c r="G3891" s="20">
        <f>Разбивка_по_щитам!J3896</f>
      </c>
      <c r="H3891" s="20">
        <f>Разбивка_по_щитам!K3896</f>
      </c>
      <c r="I3891" s="20">
        <f>Разбивка_по_щитам!L3896</f>
      </c>
      <c r="J3891" s="20">
        <f>Разбивка_по_щитам!M3896</f>
      </c>
      <c r="K3891" s="20">
        <f>Разбивка_по_щитам!N3896</f>
      </c>
      <c r="L3891" s="20"/>
      <c r="M3891" s="20">
        <f>Разбивка_по_щитам!P3896</f>
      </c>
      <c r="N3891" s="20"/>
    </row>
    <row r="3892" spans="2:14" x14ac:dyDescent="0.25">
      <c r="B3892" s="20">
        <f>Разбивка_по_щитам!B3897</f>
      </c>
      <c r="C3892" s="20">
        <f>Разбивка_по_щитам!C3897</f>
      </c>
      <c r="D3892" s="20">
        <f>Разбивка_по_щитам!F3897</f>
      </c>
      <c r="E3892" s="20">
        <f>Разбивка_по_щитам!H3897</f>
      </c>
      <c r="F3892" s="20">
        <f>Разбивка_по_щитам!I3897</f>
      </c>
      <c r="G3892" s="20">
        <f>Разбивка_по_щитам!J3897</f>
      </c>
      <c r="H3892" s="20">
        <f>Разбивка_по_щитам!K3897</f>
      </c>
      <c r="I3892" s="20">
        <f>Разбивка_по_щитам!L3897</f>
      </c>
      <c r="J3892" s="20">
        <f>Разбивка_по_щитам!M3897</f>
      </c>
      <c r="K3892" s="20">
        <f>Разбивка_по_щитам!N3897</f>
      </c>
      <c r="L3892" s="20"/>
      <c r="M3892" s="20">
        <f>Разбивка_по_щитам!P3897</f>
      </c>
      <c r="N3892" s="20"/>
    </row>
    <row r="3893" spans="2:14" x14ac:dyDescent="0.25">
      <c r="B3893" s="20">
        <f>Разбивка_по_щитам!B3898</f>
      </c>
      <c r="C3893" s="20">
        <f>Разбивка_по_щитам!C3898</f>
      </c>
      <c r="D3893" s="20">
        <f>Разбивка_по_щитам!F3898</f>
      </c>
      <c r="E3893" s="20">
        <f>Разбивка_по_щитам!H3898</f>
      </c>
      <c r="F3893" s="20">
        <f>Разбивка_по_щитам!I3898</f>
      </c>
      <c r="G3893" s="20">
        <f>Разбивка_по_щитам!J3898</f>
      </c>
      <c r="H3893" s="20">
        <f>Разбивка_по_щитам!K3898</f>
      </c>
      <c r="I3893" s="20">
        <f>Разбивка_по_щитам!L3898</f>
      </c>
      <c r="J3893" s="20">
        <f>Разбивка_по_щитам!M3898</f>
      </c>
      <c r="K3893" s="20">
        <f>Разбивка_по_щитам!N3898</f>
      </c>
      <c r="L3893" s="20"/>
      <c r="M3893" s="20">
        <f>Разбивка_по_щитам!P3898</f>
      </c>
      <c r="N3893" s="20"/>
    </row>
    <row r="3894" spans="2:14" x14ac:dyDescent="0.25">
      <c r="B3894" s="20">
        <f>Разбивка_по_щитам!B3899</f>
      </c>
      <c r="C3894" s="20">
        <f>Разбивка_по_щитам!C3899</f>
      </c>
      <c r="D3894" s="20">
        <f>Разбивка_по_щитам!F3899</f>
      </c>
      <c r="E3894" s="20">
        <f>Разбивка_по_щитам!H3899</f>
      </c>
      <c r="F3894" s="20">
        <f>Разбивка_по_щитам!I3899</f>
      </c>
      <c r="G3894" s="20">
        <f>Разбивка_по_щитам!J3899</f>
      </c>
      <c r="H3894" s="20">
        <f>Разбивка_по_щитам!K3899</f>
      </c>
      <c r="I3894" s="20">
        <f>Разбивка_по_щитам!L3899</f>
      </c>
      <c r="J3894" s="20">
        <f>Разбивка_по_щитам!M3899</f>
      </c>
      <c r="K3894" s="20">
        <f>Разбивка_по_щитам!N3899</f>
      </c>
      <c r="L3894" s="20"/>
      <c r="M3894" s="20">
        <f>Разбивка_по_щитам!P3899</f>
      </c>
      <c r="N3894" s="20"/>
    </row>
    <row r="3895" spans="2:14" x14ac:dyDescent="0.25">
      <c r="B3895" s="20">
        <f>Разбивка_по_щитам!B3900</f>
      </c>
      <c r="C3895" s="20">
        <f>Разбивка_по_щитам!C3900</f>
      </c>
      <c r="D3895" s="20">
        <f>Разбивка_по_щитам!F3900</f>
      </c>
      <c r="E3895" s="20">
        <f>Разбивка_по_щитам!H3900</f>
      </c>
      <c r="F3895" s="20">
        <f>Разбивка_по_щитам!I3900</f>
      </c>
      <c r="G3895" s="20">
        <f>Разбивка_по_щитам!J3900</f>
      </c>
      <c r="H3895" s="20">
        <f>Разбивка_по_щитам!K3900</f>
      </c>
      <c r="I3895" s="20">
        <f>Разбивка_по_щитам!L3900</f>
      </c>
      <c r="J3895" s="20">
        <f>Разбивка_по_щитам!M3900</f>
      </c>
      <c r="K3895" s="20">
        <f>Разбивка_по_щитам!N3900</f>
      </c>
      <c r="L3895" s="20"/>
      <c r="M3895" s="20">
        <f>Разбивка_по_щитам!P3900</f>
      </c>
      <c r="N3895" s="20"/>
    </row>
    <row r="3896" spans="2:14" x14ac:dyDescent="0.25">
      <c r="B3896" s="20">
        <f>Разбивка_по_щитам!B3901</f>
      </c>
      <c r="C3896" s="20">
        <f>Разбивка_по_щитам!C3901</f>
      </c>
      <c r="D3896" s="20">
        <f>Разбивка_по_щитам!F3901</f>
      </c>
      <c r="E3896" s="20">
        <f>Разбивка_по_щитам!H3901</f>
      </c>
      <c r="F3896" s="20">
        <f>Разбивка_по_щитам!I3901</f>
      </c>
      <c r="G3896" s="20">
        <f>Разбивка_по_щитам!J3901</f>
      </c>
      <c r="H3896" s="20">
        <f>Разбивка_по_щитам!K3901</f>
      </c>
      <c r="I3896" s="20">
        <f>Разбивка_по_щитам!L3901</f>
      </c>
      <c r="J3896" s="20">
        <f>Разбивка_по_щитам!M3901</f>
      </c>
      <c r="K3896" s="20">
        <f>Разбивка_по_щитам!N3901</f>
      </c>
      <c r="L3896" s="20"/>
      <c r="M3896" s="20">
        <f>Разбивка_по_щитам!P3901</f>
      </c>
      <c r="N3896" s="20"/>
    </row>
    <row r="3897" spans="2:14" x14ac:dyDescent="0.25">
      <c r="B3897" s="20">
        <f>Разбивка_по_щитам!B3902</f>
      </c>
      <c r="C3897" s="20">
        <f>Разбивка_по_щитам!C3902</f>
      </c>
      <c r="D3897" s="20">
        <f>Разбивка_по_щитам!F3902</f>
      </c>
      <c r="E3897" s="20">
        <f>Разбивка_по_щитам!H3902</f>
      </c>
      <c r="F3897" s="20">
        <f>Разбивка_по_щитам!I3902</f>
      </c>
      <c r="G3897" s="20">
        <f>Разбивка_по_щитам!J3902</f>
      </c>
      <c r="H3897" s="20">
        <f>Разбивка_по_щитам!K3902</f>
      </c>
      <c r="I3897" s="20">
        <f>Разбивка_по_щитам!L3902</f>
      </c>
      <c r="J3897" s="20">
        <f>Разбивка_по_щитам!M3902</f>
      </c>
      <c r="K3897" s="20">
        <f>Разбивка_по_щитам!N3902</f>
      </c>
      <c r="L3897" s="20"/>
      <c r="M3897" s="20">
        <f>Разбивка_по_щитам!P3902</f>
      </c>
      <c r="N3897" s="20"/>
    </row>
    <row r="3898" spans="2:14" x14ac:dyDescent="0.25">
      <c r="B3898" s="20">
        <f>Разбивка_по_щитам!B3903</f>
      </c>
      <c r="C3898" s="20">
        <f>Разбивка_по_щитам!C3903</f>
      </c>
      <c r="D3898" s="20">
        <f>Разбивка_по_щитам!F3903</f>
      </c>
      <c r="E3898" s="20">
        <f>Разбивка_по_щитам!H3903</f>
      </c>
      <c r="F3898" s="20">
        <f>Разбивка_по_щитам!I3903</f>
      </c>
      <c r="G3898" s="20">
        <f>Разбивка_по_щитам!J3903</f>
      </c>
      <c r="H3898" s="20">
        <f>Разбивка_по_щитам!K3903</f>
      </c>
      <c r="I3898" s="20">
        <f>Разбивка_по_щитам!L3903</f>
      </c>
      <c r="J3898" s="20">
        <f>Разбивка_по_щитам!M3903</f>
      </c>
      <c r="K3898" s="20">
        <f>Разбивка_по_щитам!N3903</f>
      </c>
      <c r="L3898" s="20"/>
      <c r="M3898" s="20">
        <f>Разбивка_по_щитам!P3903</f>
      </c>
      <c r="N3898" s="20"/>
    </row>
    <row r="3899" spans="2:14" x14ac:dyDescent="0.25">
      <c r="B3899" s="20">
        <f>Разбивка_по_щитам!B3904</f>
      </c>
      <c r="C3899" s="20">
        <f>Разбивка_по_щитам!C3904</f>
      </c>
      <c r="D3899" s="20">
        <f>Разбивка_по_щитам!F3904</f>
      </c>
      <c r="E3899" s="20">
        <f>Разбивка_по_щитам!H3904</f>
      </c>
      <c r="F3899" s="20">
        <f>Разбивка_по_щитам!I3904</f>
      </c>
      <c r="G3899" s="20">
        <f>Разбивка_по_щитам!J3904</f>
      </c>
      <c r="H3899" s="20">
        <f>Разбивка_по_щитам!K3904</f>
      </c>
      <c r="I3899" s="20">
        <f>Разбивка_по_щитам!L3904</f>
      </c>
      <c r="J3899" s="20">
        <f>Разбивка_по_щитам!M3904</f>
      </c>
      <c r="K3899" s="20">
        <f>Разбивка_по_щитам!N3904</f>
      </c>
      <c r="L3899" s="20"/>
      <c r="M3899" s="20">
        <f>Разбивка_по_щитам!P3904</f>
      </c>
      <c r="N3899" s="20"/>
    </row>
    <row r="3900" spans="2:14" x14ac:dyDescent="0.25">
      <c r="B3900" s="20">
        <f>Разбивка_по_щитам!B3905</f>
      </c>
      <c r="C3900" s="20">
        <f>Разбивка_по_щитам!C3905</f>
      </c>
      <c r="D3900" s="20">
        <f>Разбивка_по_щитам!F3905</f>
      </c>
      <c r="E3900" s="20">
        <f>Разбивка_по_щитам!H3905</f>
      </c>
      <c r="F3900" s="20">
        <f>Разбивка_по_щитам!I3905</f>
      </c>
      <c r="G3900" s="20">
        <f>Разбивка_по_щитам!J3905</f>
      </c>
      <c r="H3900" s="20">
        <f>Разбивка_по_щитам!K3905</f>
      </c>
      <c r="I3900" s="20">
        <f>Разбивка_по_щитам!L3905</f>
      </c>
      <c r="J3900" s="20">
        <f>Разбивка_по_щитам!M3905</f>
      </c>
      <c r="K3900" s="20">
        <f>Разбивка_по_щитам!N3905</f>
      </c>
      <c r="L3900" s="20"/>
      <c r="M3900" s="20">
        <f>Разбивка_по_щитам!P3905</f>
      </c>
      <c r="N3900" s="20"/>
    </row>
    <row r="3901" spans="2:14" x14ac:dyDescent="0.25">
      <c r="B3901" s="20">
        <f>Разбивка_по_щитам!B3906</f>
      </c>
      <c r="C3901" s="20">
        <f>Разбивка_по_щитам!C3906</f>
      </c>
      <c r="D3901" s="20">
        <f>Разбивка_по_щитам!F3906</f>
      </c>
      <c r="E3901" s="20">
        <f>Разбивка_по_щитам!H3906</f>
      </c>
      <c r="F3901" s="20">
        <f>Разбивка_по_щитам!I3906</f>
      </c>
      <c r="G3901" s="20">
        <f>Разбивка_по_щитам!J3906</f>
      </c>
      <c r="H3901" s="20">
        <f>Разбивка_по_щитам!K3906</f>
      </c>
      <c r="I3901" s="20">
        <f>Разбивка_по_щитам!L3906</f>
      </c>
      <c r="J3901" s="20">
        <f>Разбивка_по_щитам!M3906</f>
      </c>
      <c r="K3901" s="20">
        <f>Разбивка_по_щитам!N3906</f>
      </c>
      <c r="L3901" s="20"/>
      <c r="M3901" s="20">
        <f>Разбивка_по_щитам!P3906</f>
      </c>
      <c r="N3901" s="20"/>
    </row>
    <row r="3902" spans="2:14" x14ac:dyDescent="0.25">
      <c r="B3902" s="20">
        <f>Разбивка_по_щитам!B3907</f>
      </c>
      <c r="C3902" s="20">
        <f>Разбивка_по_щитам!C3907</f>
      </c>
      <c r="D3902" s="20">
        <f>Разбивка_по_щитам!F3907</f>
      </c>
      <c r="E3902" s="20">
        <f>Разбивка_по_щитам!H3907</f>
      </c>
      <c r="F3902" s="20">
        <f>Разбивка_по_щитам!I3907</f>
      </c>
      <c r="G3902" s="20">
        <f>Разбивка_по_щитам!J3907</f>
      </c>
      <c r="H3902" s="20">
        <f>Разбивка_по_щитам!K3907</f>
      </c>
      <c r="I3902" s="20">
        <f>Разбивка_по_щитам!L3907</f>
      </c>
      <c r="J3902" s="20">
        <f>Разбивка_по_щитам!M3907</f>
      </c>
      <c r="K3902" s="20">
        <f>Разбивка_по_щитам!N3907</f>
      </c>
      <c r="L3902" s="20"/>
      <c r="M3902" s="20">
        <f>Разбивка_по_щитам!P3907</f>
      </c>
      <c r="N3902" s="20"/>
    </row>
    <row r="3903" spans="2:14" x14ac:dyDescent="0.25">
      <c r="B3903" s="20">
        <f>Разбивка_по_щитам!B3908</f>
      </c>
      <c r="C3903" s="20">
        <f>Разбивка_по_щитам!C3908</f>
      </c>
      <c r="D3903" s="20">
        <f>Разбивка_по_щитам!F3908</f>
      </c>
      <c r="E3903" s="20">
        <f>Разбивка_по_щитам!H3908</f>
      </c>
      <c r="F3903" s="20">
        <f>Разбивка_по_щитам!I3908</f>
      </c>
      <c r="G3903" s="20">
        <f>Разбивка_по_щитам!J3908</f>
      </c>
      <c r="H3903" s="20">
        <f>Разбивка_по_щитам!K3908</f>
      </c>
      <c r="I3903" s="20">
        <f>Разбивка_по_щитам!L3908</f>
      </c>
      <c r="J3903" s="20">
        <f>Разбивка_по_щитам!M3908</f>
      </c>
      <c r="K3903" s="20">
        <f>Разбивка_по_щитам!N3908</f>
      </c>
      <c r="L3903" s="20"/>
      <c r="M3903" s="20">
        <f>Разбивка_по_щитам!P3908</f>
      </c>
      <c r="N3903" s="20"/>
    </row>
    <row r="3904" spans="2:14" x14ac:dyDescent="0.25">
      <c r="B3904" s="20">
        <f>Разбивка_по_щитам!B3909</f>
      </c>
      <c r="C3904" s="20">
        <f>Разбивка_по_щитам!C3909</f>
      </c>
      <c r="D3904" s="20">
        <f>Разбивка_по_щитам!F3909</f>
      </c>
      <c r="E3904" s="20">
        <f>Разбивка_по_щитам!H3909</f>
      </c>
      <c r="F3904" s="20">
        <f>Разбивка_по_щитам!I3909</f>
      </c>
      <c r="G3904" s="20">
        <f>Разбивка_по_щитам!J3909</f>
      </c>
      <c r="H3904" s="20">
        <f>Разбивка_по_щитам!K3909</f>
      </c>
      <c r="I3904" s="20">
        <f>Разбивка_по_щитам!L3909</f>
      </c>
      <c r="J3904" s="20">
        <f>Разбивка_по_щитам!M3909</f>
      </c>
      <c r="K3904" s="20">
        <f>Разбивка_по_щитам!N3909</f>
      </c>
      <c r="L3904" s="20"/>
      <c r="M3904" s="20">
        <f>Разбивка_по_щитам!P3909</f>
      </c>
      <c r="N3904" s="20"/>
    </row>
    <row r="3905" spans="2:14" x14ac:dyDescent="0.25">
      <c r="B3905" s="20">
        <f>Разбивка_по_щитам!B3910</f>
      </c>
      <c r="C3905" s="20">
        <f>Разбивка_по_щитам!C3910</f>
      </c>
      <c r="D3905" s="20">
        <f>Разбивка_по_щитам!F3910</f>
      </c>
      <c r="E3905" s="20">
        <f>Разбивка_по_щитам!H3910</f>
      </c>
      <c r="F3905" s="20">
        <f>Разбивка_по_щитам!I3910</f>
      </c>
      <c r="G3905" s="20">
        <f>Разбивка_по_щитам!J3910</f>
      </c>
      <c r="H3905" s="20">
        <f>Разбивка_по_щитам!K3910</f>
      </c>
      <c r="I3905" s="20">
        <f>Разбивка_по_щитам!L3910</f>
      </c>
      <c r="J3905" s="20">
        <f>Разбивка_по_щитам!M3910</f>
      </c>
      <c r="K3905" s="20">
        <f>Разбивка_по_щитам!N3910</f>
      </c>
      <c r="L3905" s="20"/>
      <c r="M3905" s="20">
        <f>Разбивка_по_щитам!P3910</f>
      </c>
      <c r="N3905" s="20"/>
    </row>
    <row r="3906" spans="2:14" x14ac:dyDescent="0.25">
      <c r="B3906" s="20">
        <f>Разбивка_по_щитам!B3911</f>
      </c>
      <c r="C3906" s="20">
        <f>Разбивка_по_щитам!C3911</f>
      </c>
      <c r="D3906" s="20">
        <f>Разбивка_по_щитам!F3911</f>
      </c>
      <c r="E3906" s="20">
        <f>Разбивка_по_щитам!H3911</f>
      </c>
      <c r="F3906" s="20">
        <f>Разбивка_по_щитам!I3911</f>
      </c>
      <c r="G3906" s="20">
        <f>Разбивка_по_щитам!J3911</f>
      </c>
      <c r="H3906" s="20">
        <f>Разбивка_по_щитам!K3911</f>
      </c>
      <c r="I3906" s="20">
        <f>Разбивка_по_щитам!L3911</f>
      </c>
      <c r="J3906" s="20">
        <f>Разбивка_по_щитам!M3911</f>
      </c>
      <c r="K3906" s="20">
        <f>Разбивка_по_щитам!N3911</f>
      </c>
      <c r="L3906" s="20"/>
      <c r="M3906" s="20">
        <f>Разбивка_по_щитам!P3911</f>
      </c>
      <c r="N3906" s="20"/>
    </row>
    <row r="3907" spans="2:14" x14ac:dyDescent="0.25">
      <c r="B3907" s="20">
        <f>Разбивка_по_щитам!B3912</f>
      </c>
      <c r="C3907" s="20">
        <f>Разбивка_по_щитам!C3912</f>
      </c>
      <c r="D3907" s="20">
        <f>Разбивка_по_щитам!F3912</f>
      </c>
      <c r="E3907" s="20">
        <f>Разбивка_по_щитам!H3912</f>
      </c>
      <c r="F3907" s="20">
        <f>Разбивка_по_щитам!I3912</f>
      </c>
      <c r="G3907" s="20">
        <f>Разбивка_по_щитам!J3912</f>
      </c>
      <c r="H3907" s="20">
        <f>Разбивка_по_щитам!K3912</f>
      </c>
      <c r="I3907" s="20">
        <f>Разбивка_по_щитам!L3912</f>
      </c>
      <c r="J3907" s="20">
        <f>Разбивка_по_щитам!M3912</f>
      </c>
      <c r="K3907" s="20">
        <f>Разбивка_по_щитам!N3912</f>
      </c>
      <c r="L3907" s="20"/>
      <c r="M3907" s="20">
        <f>Разбивка_по_щитам!P3912</f>
      </c>
      <c r="N3907" s="20"/>
    </row>
    <row r="3908" spans="2:14" x14ac:dyDescent="0.25">
      <c r="B3908" s="20">
        <f>Разбивка_по_щитам!B3913</f>
      </c>
      <c r="C3908" s="20">
        <f>Разбивка_по_щитам!C3913</f>
      </c>
      <c r="D3908" s="20">
        <f>Разбивка_по_щитам!F3913</f>
      </c>
      <c r="E3908" s="20">
        <f>Разбивка_по_щитам!H3913</f>
      </c>
      <c r="F3908" s="20">
        <f>Разбивка_по_щитам!I3913</f>
      </c>
      <c r="G3908" s="20">
        <f>Разбивка_по_щитам!J3913</f>
      </c>
      <c r="H3908" s="20">
        <f>Разбивка_по_щитам!K3913</f>
      </c>
      <c r="I3908" s="20">
        <f>Разбивка_по_щитам!L3913</f>
      </c>
      <c r="J3908" s="20">
        <f>Разбивка_по_щитам!M3913</f>
      </c>
      <c r="K3908" s="20">
        <f>Разбивка_по_щитам!N3913</f>
      </c>
      <c r="L3908" s="20"/>
      <c r="M3908" s="20">
        <f>Разбивка_по_щитам!P3913</f>
      </c>
      <c r="N3908" s="20"/>
    </row>
    <row r="3909" spans="2:14" x14ac:dyDescent="0.25">
      <c r="B3909" s="20">
        <f>Разбивка_по_щитам!B3914</f>
      </c>
      <c r="C3909" s="20">
        <f>Разбивка_по_щитам!C3914</f>
      </c>
      <c r="D3909" s="20">
        <f>Разбивка_по_щитам!F3914</f>
      </c>
      <c r="E3909" s="20">
        <f>Разбивка_по_щитам!H3914</f>
      </c>
      <c r="F3909" s="20">
        <f>Разбивка_по_щитам!I3914</f>
      </c>
      <c r="G3909" s="20">
        <f>Разбивка_по_щитам!J3914</f>
      </c>
      <c r="H3909" s="20">
        <f>Разбивка_по_щитам!K3914</f>
      </c>
      <c r="I3909" s="20">
        <f>Разбивка_по_щитам!L3914</f>
      </c>
      <c r="J3909" s="20">
        <f>Разбивка_по_щитам!M3914</f>
      </c>
      <c r="K3909" s="20">
        <f>Разбивка_по_щитам!N3914</f>
      </c>
      <c r="L3909" s="20"/>
      <c r="M3909" s="20">
        <f>Разбивка_по_щитам!P3914</f>
      </c>
      <c r="N3909" s="20"/>
    </row>
    <row r="3910" spans="2:14" x14ac:dyDescent="0.25">
      <c r="B3910" s="20">
        <f>Разбивка_по_щитам!B3915</f>
      </c>
      <c r="C3910" s="20">
        <f>Разбивка_по_щитам!C3915</f>
      </c>
      <c r="D3910" s="20">
        <f>Разбивка_по_щитам!F3915</f>
      </c>
      <c r="E3910" s="20">
        <f>Разбивка_по_щитам!H3915</f>
      </c>
      <c r="F3910" s="20">
        <f>Разбивка_по_щитам!I3915</f>
      </c>
      <c r="G3910" s="20">
        <f>Разбивка_по_щитам!J3915</f>
      </c>
      <c r="H3910" s="20">
        <f>Разбивка_по_щитам!K3915</f>
      </c>
      <c r="I3910" s="20">
        <f>Разбивка_по_щитам!L3915</f>
      </c>
      <c r="J3910" s="20">
        <f>Разбивка_по_щитам!M3915</f>
      </c>
      <c r="K3910" s="20">
        <f>Разбивка_по_щитам!N3915</f>
      </c>
      <c r="L3910" s="20"/>
      <c r="M3910" s="20">
        <f>Разбивка_по_щитам!P3915</f>
      </c>
      <c r="N3910" s="20"/>
    </row>
    <row r="3911" spans="2:14" x14ac:dyDescent="0.25">
      <c r="B3911" s="20">
        <f>Разбивка_по_щитам!B3916</f>
      </c>
      <c r="C3911" s="20">
        <f>Разбивка_по_щитам!C3916</f>
      </c>
      <c r="D3911" s="20">
        <f>Разбивка_по_щитам!F3916</f>
      </c>
      <c r="E3911" s="20">
        <f>Разбивка_по_щитам!H3916</f>
      </c>
      <c r="F3911" s="20">
        <f>Разбивка_по_щитам!I3916</f>
      </c>
      <c r="G3911" s="20">
        <f>Разбивка_по_щитам!J3916</f>
      </c>
      <c r="H3911" s="20">
        <f>Разбивка_по_щитам!K3916</f>
      </c>
      <c r="I3911" s="20">
        <f>Разбивка_по_щитам!L3916</f>
      </c>
      <c r="J3911" s="20">
        <f>Разбивка_по_щитам!M3916</f>
      </c>
      <c r="K3911" s="20">
        <f>Разбивка_по_щитам!N3916</f>
      </c>
      <c r="L3911" s="20"/>
      <c r="M3911" s="20">
        <f>Разбивка_по_щитам!P3916</f>
      </c>
      <c r="N3911" s="20"/>
    </row>
    <row r="3912" spans="2:14" x14ac:dyDescent="0.25">
      <c r="B3912" s="20">
        <f>Разбивка_по_щитам!B3917</f>
      </c>
      <c r="C3912" s="20">
        <f>Разбивка_по_щитам!C3917</f>
      </c>
      <c r="D3912" s="20">
        <f>Разбивка_по_щитам!F3917</f>
      </c>
      <c r="E3912" s="20">
        <f>Разбивка_по_щитам!H3917</f>
      </c>
      <c r="F3912" s="20">
        <f>Разбивка_по_щитам!I3917</f>
      </c>
      <c r="G3912" s="20">
        <f>Разбивка_по_щитам!J3917</f>
      </c>
      <c r="H3912" s="20">
        <f>Разбивка_по_щитам!K3917</f>
      </c>
      <c r="I3912" s="20">
        <f>Разбивка_по_щитам!L3917</f>
      </c>
      <c r="J3912" s="20">
        <f>Разбивка_по_щитам!M3917</f>
      </c>
      <c r="K3912" s="20">
        <f>Разбивка_по_щитам!N3917</f>
      </c>
      <c r="L3912" s="20"/>
      <c r="M3912" s="20">
        <f>Разбивка_по_щитам!P3917</f>
      </c>
      <c r="N3912" s="20"/>
    </row>
    <row r="3913" spans="2:14" x14ac:dyDescent="0.25">
      <c r="B3913" s="20">
        <f>Разбивка_по_щитам!B3918</f>
      </c>
      <c r="C3913" s="20">
        <f>Разбивка_по_щитам!C3918</f>
      </c>
      <c r="D3913" s="20">
        <f>Разбивка_по_щитам!F3918</f>
      </c>
      <c r="E3913" s="20">
        <f>Разбивка_по_щитам!H3918</f>
      </c>
      <c r="F3913" s="20">
        <f>Разбивка_по_щитам!I3918</f>
      </c>
      <c r="G3913" s="20">
        <f>Разбивка_по_щитам!J3918</f>
      </c>
      <c r="H3913" s="20">
        <f>Разбивка_по_щитам!K3918</f>
      </c>
      <c r="I3913" s="20">
        <f>Разбивка_по_щитам!L3918</f>
      </c>
      <c r="J3913" s="20">
        <f>Разбивка_по_щитам!M3918</f>
      </c>
      <c r="K3913" s="20">
        <f>Разбивка_по_щитам!N3918</f>
      </c>
      <c r="L3913" s="20"/>
      <c r="M3913" s="20">
        <f>Разбивка_по_щитам!P3918</f>
      </c>
      <c r="N3913" s="20"/>
    </row>
    <row r="3914" spans="2:14" x14ac:dyDescent="0.25">
      <c r="B3914" s="20">
        <f>Разбивка_по_щитам!B3919</f>
      </c>
      <c r="C3914" s="20">
        <f>Разбивка_по_щитам!C3919</f>
      </c>
      <c r="D3914" s="20">
        <f>Разбивка_по_щитам!F3919</f>
      </c>
      <c r="E3914" s="20">
        <f>Разбивка_по_щитам!H3919</f>
      </c>
      <c r="F3914" s="20">
        <f>Разбивка_по_щитам!I3919</f>
      </c>
      <c r="G3914" s="20">
        <f>Разбивка_по_щитам!J3919</f>
      </c>
      <c r="H3914" s="20">
        <f>Разбивка_по_щитам!K3919</f>
      </c>
      <c r="I3914" s="20">
        <f>Разбивка_по_щитам!L3919</f>
      </c>
      <c r="J3914" s="20">
        <f>Разбивка_по_щитам!M3919</f>
      </c>
      <c r="K3914" s="20">
        <f>Разбивка_по_щитам!N3919</f>
      </c>
      <c r="L3914" s="20"/>
      <c r="M3914" s="20">
        <f>Разбивка_по_щитам!P3919</f>
      </c>
      <c r="N3914" s="20"/>
    </row>
    <row r="3915" spans="2:14" x14ac:dyDescent="0.25">
      <c r="B3915" s="20">
        <f>Разбивка_по_щитам!B3920</f>
      </c>
      <c r="C3915" s="20">
        <f>Разбивка_по_щитам!C3920</f>
      </c>
      <c r="D3915" s="20">
        <f>Разбивка_по_щитам!F3920</f>
      </c>
      <c r="E3915" s="20">
        <f>Разбивка_по_щитам!H3920</f>
      </c>
      <c r="F3915" s="20">
        <f>Разбивка_по_щитам!I3920</f>
      </c>
      <c r="G3915" s="20">
        <f>Разбивка_по_щитам!J3920</f>
      </c>
      <c r="H3915" s="20">
        <f>Разбивка_по_щитам!K3920</f>
      </c>
      <c r="I3915" s="20">
        <f>Разбивка_по_щитам!L3920</f>
      </c>
      <c r="J3915" s="20">
        <f>Разбивка_по_щитам!M3920</f>
      </c>
      <c r="K3915" s="20">
        <f>Разбивка_по_щитам!N3920</f>
      </c>
      <c r="L3915" s="20"/>
      <c r="M3915" s="20">
        <f>Разбивка_по_щитам!P3920</f>
      </c>
      <c r="N3915" s="20"/>
    </row>
    <row r="3916" spans="2:14" x14ac:dyDescent="0.25">
      <c r="B3916" s="20">
        <f>Разбивка_по_щитам!B3921</f>
      </c>
      <c r="C3916" s="20">
        <f>Разбивка_по_щитам!C3921</f>
      </c>
      <c r="D3916" s="20">
        <f>Разбивка_по_щитам!F3921</f>
      </c>
      <c r="E3916" s="20">
        <f>Разбивка_по_щитам!H3921</f>
      </c>
      <c r="F3916" s="20">
        <f>Разбивка_по_щитам!I3921</f>
      </c>
      <c r="G3916" s="20">
        <f>Разбивка_по_щитам!J3921</f>
      </c>
      <c r="H3916" s="20">
        <f>Разбивка_по_щитам!K3921</f>
      </c>
      <c r="I3916" s="20">
        <f>Разбивка_по_щитам!L3921</f>
      </c>
      <c r="J3916" s="20">
        <f>Разбивка_по_щитам!M3921</f>
      </c>
      <c r="K3916" s="20">
        <f>Разбивка_по_щитам!N3921</f>
      </c>
      <c r="L3916" s="20"/>
      <c r="M3916" s="20">
        <f>Разбивка_по_щитам!P3921</f>
      </c>
      <c r="N3916" s="20"/>
    </row>
    <row r="3917" spans="2:14" x14ac:dyDescent="0.25">
      <c r="B3917" s="20">
        <f>Разбивка_по_щитам!B3922</f>
      </c>
      <c r="C3917" s="20">
        <f>Разбивка_по_щитам!C3922</f>
      </c>
      <c r="D3917" s="20">
        <f>Разбивка_по_щитам!F3922</f>
      </c>
      <c r="E3917" s="20">
        <f>Разбивка_по_щитам!H3922</f>
      </c>
      <c r="F3917" s="20">
        <f>Разбивка_по_щитам!I3922</f>
      </c>
      <c r="G3917" s="20">
        <f>Разбивка_по_щитам!J3922</f>
      </c>
      <c r="H3917" s="20">
        <f>Разбивка_по_щитам!K3922</f>
      </c>
      <c r="I3917" s="20">
        <f>Разбивка_по_щитам!L3922</f>
      </c>
      <c r="J3917" s="20">
        <f>Разбивка_по_щитам!M3922</f>
      </c>
      <c r="K3917" s="20">
        <f>Разбивка_по_щитам!N3922</f>
      </c>
      <c r="L3917" s="20"/>
      <c r="M3917" s="20">
        <f>Разбивка_по_щитам!P3922</f>
      </c>
      <c r="N3917" s="20"/>
    </row>
    <row r="3918" spans="2:14" x14ac:dyDescent="0.25">
      <c r="B3918" s="20">
        <f>Разбивка_по_щитам!B3923</f>
      </c>
      <c r="C3918" s="20">
        <f>Разбивка_по_щитам!C3923</f>
      </c>
      <c r="D3918" s="20">
        <f>Разбивка_по_щитам!F3923</f>
      </c>
      <c r="E3918" s="20">
        <f>Разбивка_по_щитам!H3923</f>
      </c>
      <c r="F3918" s="20">
        <f>Разбивка_по_щитам!I3923</f>
      </c>
      <c r="G3918" s="20">
        <f>Разбивка_по_щитам!J3923</f>
      </c>
      <c r="H3918" s="20">
        <f>Разбивка_по_щитам!K3923</f>
      </c>
      <c r="I3918" s="20">
        <f>Разбивка_по_щитам!L3923</f>
      </c>
      <c r="J3918" s="20">
        <f>Разбивка_по_щитам!M3923</f>
      </c>
      <c r="K3918" s="20">
        <f>Разбивка_по_щитам!N3923</f>
      </c>
      <c r="L3918" s="20"/>
      <c r="M3918" s="20">
        <f>Разбивка_по_щитам!P3923</f>
      </c>
      <c r="N3918" s="20"/>
    </row>
    <row r="3919" spans="2:14" x14ac:dyDescent="0.25">
      <c r="B3919" s="20">
        <f>Разбивка_по_щитам!B3924</f>
      </c>
      <c r="C3919" s="20">
        <f>Разбивка_по_щитам!C3924</f>
      </c>
      <c r="D3919" s="20">
        <f>Разбивка_по_щитам!F3924</f>
      </c>
      <c r="E3919" s="20">
        <f>Разбивка_по_щитам!H3924</f>
      </c>
      <c r="F3919" s="20">
        <f>Разбивка_по_щитам!I3924</f>
      </c>
      <c r="G3919" s="20">
        <f>Разбивка_по_щитам!J3924</f>
      </c>
      <c r="H3919" s="20">
        <f>Разбивка_по_щитам!K3924</f>
      </c>
      <c r="I3919" s="20">
        <f>Разбивка_по_щитам!L3924</f>
      </c>
      <c r="J3919" s="20">
        <f>Разбивка_по_щитам!M3924</f>
      </c>
      <c r="K3919" s="20">
        <f>Разбивка_по_щитам!N3924</f>
      </c>
      <c r="L3919" s="20"/>
      <c r="M3919" s="20">
        <f>Разбивка_по_щитам!P3924</f>
      </c>
      <c r="N3919" s="20"/>
    </row>
    <row r="3920" spans="2:14" x14ac:dyDescent="0.25">
      <c r="B3920" s="20">
        <f>Разбивка_по_щитам!B3925</f>
      </c>
      <c r="C3920" s="20">
        <f>Разбивка_по_щитам!C3925</f>
      </c>
      <c r="D3920" s="20">
        <f>Разбивка_по_щитам!F3925</f>
      </c>
      <c r="E3920" s="20">
        <f>Разбивка_по_щитам!H3925</f>
      </c>
      <c r="F3920" s="20">
        <f>Разбивка_по_щитам!I3925</f>
      </c>
      <c r="G3920" s="20">
        <f>Разбивка_по_щитам!J3925</f>
      </c>
      <c r="H3920" s="20">
        <f>Разбивка_по_щитам!K3925</f>
      </c>
      <c r="I3920" s="20">
        <f>Разбивка_по_щитам!L3925</f>
      </c>
      <c r="J3920" s="20">
        <f>Разбивка_по_щитам!M3925</f>
      </c>
      <c r="K3920" s="20">
        <f>Разбивка_по_щитам!N3925</f>
      </c>
      <c r="L3920" s="20"/>
      <c r="M3920" s="20">
        <f>Разбивка_по_щитам!P3925</f>
      </c>
      <c r="N3920" s="20"/>
    </row>
    <row r="3921" spans="2:14" x14ac:dyDescent="0.25">
      <c r="B3921" s="20">
        <f>Разбивка_по_щитам!B3926</f>
      </c>
      <c r="C3921" s="20">
        <f>Разбивка_по_щитам!C3926</f>
      </c>
      <c r="D3921" s="20">
        <f>Разбивка_по_щитам!F3926</f>
      </c>
      <c r="E3921" s="20">
        <f>Разбивка_по_щитам!H3926</f>
      </c>
      <c r="F3921" s="20">
        <f>Разбивка_по_щитам!I3926</f>
      </c>
      <c r="G3921" s="20">
        <f>Разбивка_по_щитам!J3926</f>
      </c>
      <c r="H3921" s="20">
        <f>Разбивка_по_щитам!K3926</f>
      </c>
      <c r="I3921" s="20">
        <f>Разбивка_по_щитам!L3926</f>
      </c>
      <c r="J3921" s="20">
        <f>Разбивка_по_щитам!M3926</f>
      </c>
      <c r="K3921" s="20">
        <f>Разбивка_по_щитам!N3926</f>
      </c>
      <c r="L3921" s="20"/>
      <c r="M3921" s="20">
        <f>Разбивка_по_щитам!P3926</f>
      </c>
      <c r="N3921" s="20"/>
    </row>
    <row r="3922" spans="2:14" x14ac:dyDescent="0.25">
      <c r="B3922" s="20">
        <f>Разбивка_по_щитам!B3927</f>
      </c>
      <c r="C3922" s="20">
        <f>Разбивка_по_щитам!C3927</f>
      </c>
      <c r="D3922" s="20">
        <f>Разбивка_по_щитам!F3927</f>
      </c>
      <c r="E3922" s="20">
        <f>Разбивка_по_щитам!H3927</f>
      </c>
      <c r="F3922" s="20">
        <f>Разбивка_по_щитам!I3927</f>
      </c>
      <c r="G3922" s="20">
        <f>Разбивка_по_щитам!J3927</f>
      </c>
      <c r="H3922" s="20">
        <f>Разбивка_по_щитам!K3927</f>
      </c>
      <c r="I3922" s="20">
        <f>Разбивка_по_щитам!L3927</f>
      </c>
      <c r="J3922" s="20">
        <f>Разбивка_по_щитам!M3927</f>
      </c>
      <c r="K3922" s="20">
        <f>Разбивка_по_щитам!N3927</f>
      </c>
      <c r="L3922" s="20"/>
      <c r="M3922" s="20">
        <f>Разбивка_по_щитам!P3927</f>
      </c>
      <c r="N3922" s="20"/>
    </row>
    <row r="3923" spans="2:14" x14ac:dyDescent="0.25">
      <c r="B3923" s="20">
        <f>Разбивка_по_щитам!B3928</f>
      </c>
      <c r="C3923" s="20">
        <f>Разбивка_по_щитам!C3928</f>
      </c>
      <c r="D3923" s="20">
        <f>Разбивка_по_щитам!F3928</f>
      </c>
      <c r="E3923" s="20">
        <f>Разбивка_по_щитам!H3928</f>
      </c>
      <c r="F3923" s="20">
        <f>Разбивка_по_щитам!I3928</f>
      </c>
      <c r="G3923" s="20">
        <f>Разбивка_по_щитам!J3928</f>
      </c>
      <c r="H3923" s="20">
        <f>Разбивка_по_щитам!K3928</f>
      </c>
      <c r="I3923" s="20">
        <f>Разбивка_по_щитам!L3928</f>
      </c>
      <c r="J3923" s="20">
        <f>Разбивка_по_щитам!M3928</f>
      </c>
      <c r="K3923" s="20">
        <f>Разбивка_по_щитам!N3928</f>
      </c>
      <c r="L3923" s="20"/>
      <c r="M3923" s="20">
        <f>Разбивка_по_щитам!P3928</f>
      </c>
      <c r="N3923" s="20"/>
    </row>
    <row r="3924" spans="2:14" x14ac:dyDescent="0.25">
      <c r="B3924" s="20">
        <f>Разбивка_по_щитам!B3929</f>
      </c>
      <c r="C3924" s="20">
        <f>Разбивка_по_щитам!C3929</f>
      </c>
      <c r="D3924" s="20">
        <f>Разбивка_по_щитам!F3929</f>
      </c>
      <c r="E3924" s="20">
        <f>Разбивка_по_щитам!H3929</f>
      </c>
      <c r="F3924" s="20">
        <f>Разбивка_по_щитам!I3929</f>
      </c>
      <c r="G3924" s="20">
        <f>Разбивка_по_щитам!J3929</f>
      </c>
      <c r="H3924" s="20">
        <f>Разбивка_по_щитам!K3929</f>
      </c>
      <c r="I3924" s="20">
        <f>Разбивка_по_щитам!L3929</f>
      </c>
      <c r="J3924" s="20">
        <f>Разбивка_по_щитам!M3929</f>
      </c>
      <c r="K3924" s="20">
        <f>Разбивка_по_щитам!N3929</f>
      </c>
      <c r="L3924" s="20"/>
      <c r="M3924" s="20">
        <f>Разбивка_по_щитам!P3929</f>
      </c>
      <c r="N3924" s="20"/>
    </row>
    <row r="3925" spans="2:14" x14ac:dyDescent="0.25">
      <c r="B3925" s="20">
        <f>Разбивка_по_щитам!B3930</f>
      </c>
      <c r="C3925" s="20">
        <f>Разбивка_по_щитам!C3930</f>
      </c>
      <c r="D3925" s="20">
        <f>Разбивка_по_щитам!F3930</f>
      </c>
      <c r="E3925" s="20">
        <f>Разбивка_по_щитам!H3930</f>
      </c>
      <c r="F3925" s="20">
        <f>Разбивка_по_щитам!I3930</f>
      </c>
      <c r="G3925" s="20">
        <f>Разбивка_по_щитам!J3930</f>
      </c>
      <c r="H3925" s="20">
        <f>Разбивка_по_щитам!K3930</f>
      </c>
      <c r="I3925" s="20">
        <f>Разбивка_по_щитам!L3930</f>
      </c>
      <c r="J3925" s="20">
        <f>Разбивка_по_щитам!M3930</f>
      </c>
      <c r="K3925" s="20">
        <f>Разбивка_по_щитам!N3930</f>
      </c>
      <c r="L3925" s="20"/>
      <c r="M3925" s="20">
        <f>Разбивка_по_щитам!P3930</f>
      </c>
      <c r="N3925" s="20"/>
    </row>
    <row r="3926" spans="2:14" x14ac:dyDescent="0.25">
      <c r="B3926" s="20">
        <f>Разбивка_по_щитам!B3931</f>
      </c>
      <c r="C3926" s="20">
        <f>Разбивка_по_щитам!C3931</f>
      </c>
      <c r="D3926" s="20">
        <f>Разбивка_по_щитам!F3931</f>
      </c>
      <c r="E3926" s="20">
        <f>Разбивка_по_щитам!H3931</f>
      </c>
      <c r="F3926" s="20">
        <f>Разбивка_по_щитам!I3931</f>
      </c>
      <c r="G3926" s="20">
        <f>Разбивка_по_щитам!J3931</f>
      </c>
      <c r="H3926" s="20">
        <f>Разбивка_по_щитам!K3931</f>
      </c>
      <c r="I3926" s="20">
        <f>Разбивка_по_щитам!L3931</f>
      </c>
      <c r="J3926" s="20">
        <f>Разбивка_по_щитам!M3931</f>
      </c>
      <c r="K3926" s="20">
        <f>Разбивка_по_щитам!N3931</f>
      </c>
      <c r="L3926" s="20"/>
      <c r="M3926" s="20">
        <f>Разбивка_по_щитам!P3931</f>
      </c>
      <c r="N3926" s="20"/>
    </row>
    <row r="3927" spans="2:14" x14ac:dyDescent="0.25">
      <c r="B3927" s="20">
        <f>Разбивка_по_щитам!B3932</f>
      </c>
      <c r="C3927" s="20">
        <f>Разбивка_по_щитам!C3932</f>
      </c>
      <c r="D3927" s="20">
        <f>Разбивка_по_щитам!F3932</f>
      </c>
      <c r="E3927" s="20">
        <f>Разбивка_по_щитам!H3932</f>
      </c>
      <c r="F3927" s="20">
        <f>Разбивка_по_щитам!I3932</f>
      </c>
      <c r="G3927" s="20">
        <f>Разбивка_по_щитам!J3932</f>
      </c>
      <c r="H3927" s="20">
        <f>Разбивка_по_щитам!K3932</f>
      </c>
      <c r="I3927" s="20">
        <f>Разбивка_по_щитам!L3932</f>
      </c>
      <c r="J3927" s="20">
        <f>Разбивка_по_щитам!M3932</f>
      </c>
      <c r="K3927" s="20">
        <f>Разбивка_по_щитам!N3932</f>
      </c>
      <c r="L3927" s="20"/>
      <c r="M3927" s="20">
        <f>Разбивка_по_щитам!P3932</f>
      </c>
      <c r="N3927" s="20"/>
    </row>
    <row r="3928" spans="2:14" x14ac:dyDescent="0.25">
      <c r="B3928" s="20">
        <f>Разбивка_по_щитам!B3933</f>
      </c>
      <c r="C3928" s="20">
        <f>Разбивка_по_щитам!C3933</f>
      </c>
      <c r="D3928" s="20">
        <f>Разбивка_по_щитам!F3933</f>
      </c>
      <c r="E3928" s="20">
        <f>Разбивка_по_щитам!H3933</f>
      </c>
      <c r="F3928" s="20">
        <f>Разбивка_по_щитам!I3933</f>
      </c>
      <c r="G3928" s="20">
        <f>Разбивка_по_щитам!J3933</f>
      </c>
      <c r="H3928" s="20">
        <f>Разбивка_по_щитам!K3933</f>
      </c>
      <c r="I3928" s="20">
        <f>Разбивка_по_щитам!L3933</f>
      </c>
      <c r="J3928" s="20">
        <f>Разбивка_по_щитам!M3933</f>
      </c>
      <c r="K3928" s="20">
        <f>Разбивка_по_щитам!N3933</f>
      </c>
      <c r="L3928" s="20"/>
      <c r="M3928" s="20">
        <f>Разбивка_по_щитам!P3933</f>
      </c>
      <c r="N3928" s="20"/>
    </row>
    <row r="3929" spans="2:14" x14ac:dyDescent="0.25">
      <c r="B3929" s="20">
        <f>Разбивка_по_щитам!B3934</f>
      </c>
      <c r="C3929" s="20">
        <f>Разбивка_по_щитам!C3934</f>
      </c>
      <c r="D3929" s="20">
        <f>Разбивка_по_щитам!F3934</f>
      </c>
      <c r="E3929" s="20">
        <f>Разбивка_по_щитам!H3934</f>
      </c>
      <c r="F3929" s="20">
        <f>Разбивка_по_щитам!I3934</f>
      </c>
      <c r="G3929" s="20">
        <f>Разбивка_по_щитам!J3934</f>
      </c>
      <c r="H3929" s="20">
        <f>Разбивка_по_щитам!K3934</f>
      </c>
      <c r="I3929" s="20">
        <f>Разбивка_по_щитам!L3934</f>
      </c>
      <c r="J3929" s="20">
        <f>Разбивка_по_щитам!M3934</f>
      </c>
      <c r="K3929" s="20">
        <f>Разбивка_по_щитам!N3934</f>
      </c>
      <c r="L3929" s="20"/>
      <c r="M3929" s="20">
        <f>Разбивка_по_щитам!P3934</f>
      </c>
      <c r="N3929" s="20"/>
    </row>
    <row r="3930" spans="2:14" x14ac:dyDescent="0.25">
      <c r="B3930" s="20">
        <f>Разбивка_по_щитам!B3935</f>
      </c>
      <c r="C3930" s="20">
        <f>Разбивка_по_щитам!C3935</f>
      </c>
      <c r="D3930" s="20">
        <f>Разбивка_по_щитам!F3935</f>
      </c>
      <c r="E3930" s="20">
        <f>Разбивка_по_щитам!H3935</f>
      </c>
      <c r="F3930" s="20">
        <f>Разбивка_по_щитам!I3935</f>
      </c>
      <c r="G3930" s="20">
        <f>Разбивка_по_щитам!J3935</f>
      </c>
      <c r="H3930" s="20">
        <f>Разбивка_по_щитам!K3935</f>
      </c>
      <c r="I3930" s="20">
        <f>Разбивка_по_щитам!L3935</f>
      </c>
      <c r="J3930" s="20">
        <f>Разбивка_по_щитам!M3935</f>
      </c>
      <c r="K3930" s="20">
        <f>Разбивка_по_щитам!N3935</f>
      </c>
      <c r="L3930" s="20"/>
      <c r="M3930" s="20">
        <f>Разбивка_по_щитам!P3935</f>
      </c>
      <c r="N3930" s="20"/>
    </row>
    <row r="3931" spans="2:14" x14ac:dyDescent="0.25">
      <c r="B3931" s="20">
        <f>Разбивка_по_щитам!B3936</f>
      </c>
      <c r="C3931" s="20">
        <f>Разбивка_по_щитам!C3936</f>
      </c>
      <c r="D3931" s="20">
        <f>Разбивка_по_щитам!F3936</f>
      </c>
      <c r="E3931" s="20">
        <f>Разбивка_по_щитам!H3936</f>
      </c>
      <c r="F3931" s="20">
        <f>Разбивка_по_щитам!I3936</f>
      </c>
      <c r="G3931" s="20">
        <f>Разбивка_по_щитам!J3936</f>
      </c>
      <c r="H3931" s="20">
        <f>Разбивка_по_щитам!K3936</f>
      </c>
      <c r="I3931" s="20">
        <f>Разбивка_по_щитам!L3936</f>
      </c>
      <c r="J3931" s="20">
        <f>Разбивка_по_щитам!M3936</f>
      </c>
      <c r="K3931" s="20">
        <f>Разбивка_по_щитам!N3936</f>
      </c>
      <c r="L3931" s="20"/>
      <c r="M3931" s="20">
        <f>Разбивка_по_щитам!P3936</f>
      </c>
      <c r="N3931" s="20"/>
    </row>
    <row r="3932" spans="2:14" x14ac:dyDescent="0.25">
      <c r="B3932" s="20">
        <f>Разбивка_по_щитам!B3937</f>
      </c>
      <c r="C3932" s="20">
        <f>Разбивка_по_щитам!C3937</f>
      </c>
      <c r="D3932" s="20">
        <f>Разбивка_по_щитам!F3937</f>
      </c>
      <c r="E3932" s="20">
        <f>Разбивка_по_щитам!H3937</f>
      </c>
      <c r="F3932" s="20">
        <f>Разбивка_по_щитам!I3937</f>
      </c>
      <c r="G3932" s="20">
        <f>Разбивка_по_щитам!J3937</f>
      </c>
      <c r="H3932" s="20">
        <f>Разбивка_по_щитам!K3937</f>
      </c>
      <c r="I3932" s="20">
        <f>Разбивка_по_щитам!L3937</f>
      </c>
      <c r="J3932" s="20">
        <f>Разбивка_по_щитам!M3937</f>
      </c>
      <c r="K3932" s="20">
        <f>Разбивка_по_щитам!N3937</f>
      </c>
      <c r="L3932" s="20"/>
      <c r="M3932" s="20">
        <f>Разбивка_по_щитам!P3937</f>
      </c>
      <c r="N3932" s="20"/>
    </row>
    <row r="3933" spans="2:14" x14ac:dyDescent="0.25">
      <c r="B3933" s="20">
        <f>Разбивка_по_щитам!B3938</f>
      </c>
      <c r="C3933" s="20">
        <f>Разбивка_по_щитам!C3938</f>
      </c>
      <c r="D3933" s="20">
        <f>Разбивка_по_щитам!F3938</f>
      </c>
      <c r="E3933" s="20">
        <f>Разбивка_по_щитам!H3938</f>
      </c>
      <c r="F3933" s="20">
        <f>Разбивка_по_щитам!I3938</f>
      </c>
      <c r="G3933" s="20">
        <f>Разбивка_по_щитам!J3938</f>
      </c>
      <c r="H3933" s="20">
        <f>Разбивка_по_щитам!K3938</f>
      </c>
      <c r="I3933" s="20">
        <f>Разбивка_по_щитам!L3938</f>
      </c>
      <c r="J3933" s="20">
        <f>Разбивка_по_щитам!M3938</f>
      </c>
      <c r="K3933" s="20">
        <f>Разбивка_по_щитам!N3938</f>
      </c>
      <c r="L3933" s="20"/>
      <c r="M3933" s="20">
        <f>Разбивка_по_щитам!P3938</f>
      </c>
      <c r="N3933" s="20"/>
    </row>
    <row r="3934" spans="2:14" x14ac:dyDescent="0.25">
      <c r="B3934" s="20">
        <f>Разбивка_по_щитам!B3939</f>
      </c>
      <c r="C3934" s="20">
        <f>Разбивка_по_щитам!C3939</f>
      </c>
      <c r="D3934" s="20">
        <f>Разбивка_по_щитам!F3939</f>
      </c>
      <c r="E3934" s="20">
        <f>Разбивка_по_щитам!H3939</f>
      </c>
      <c r="F3934" s="20">
        <f>Разбивка_по_щитам!I3939</f>
      </c>
      <c r="G3934" s="20">
        <f>Разбивка_по_щитам!J3939</f>
      </c>
      <c r="H3934" s="20">
        <f>Разбивка_по_щитам!K3939</f>
      </c>
      <c r="I3934" s="20">
        <f>Разбивка_по_щитам!L3939</f>
      </c>
      <c r="J3934" s="20">
        <f>Разбивка_по_щитам!M3939</f>
      </c>
      <c r="K3934" s="20">
        <f>Разбивка_по_щитам!N3939</f>
      </c>
      <c r="L3934" s="20"/>
      <c r="M3934" s="20">
        <f>Разбивка_по_щитам!P3939</f>
      </c>
      <c r="N3934" s="20"/>
    </row>
    <row r="3935" spans="2:14" x14ac:dyDescent="0.25">
      <c r="B3935" s="20">
        <f>Разбивка_по_щитам!B3940</f>
      </c>
      <c r="C3935" s="20">
        <f>Разбивка_по_щитам!C3940</f>
      </c>
      <c r="D3935" s="20">
        <f>Разбивка_по_щитам!F3940</f>
      </c>
      <c r="E3935" s="20">
        <f>Разбивка_по_щитам!H3940</f>
      </c>
      <c r="F3935" s="20">
        <f>Разбивка_по_щитам!I3940</f>
      </c>
      <c r="G3935" s="20">
        <f>Разбивка_по_щитам!J3940</f>
      </c>
      <c r="H3935" s="20">
        <f>Разбивка_по_щитам!K3940</f>
      </c>
      <c r="I3935" s="20">
        <f>Разбивка_по_щитам!L3940</f>
      </c>
      <c r="J3935" s="20">
        <f>Разбивка_по_щитам!M3940</f>
      </c>
      <c r="K3935" s="20">
        <f>Разбивка_по_щитам!N3940</f>
      </c>
      <c r="L3935" s="20"/>
      <c r="M3935" s="20">
        <f>Разбивка_по_щитам!P3940</f>
      </c>
      <c r="N3935" s="20"/>
    </row>
    <row r="3936" spans="2:14" x14ac:dyDescent="0.25">
      <c r="B3936" s="20">
        <f>Разбивка_по_щитам!B3941</f>
      </c>
      <c r="C3936" s="20">
        <f>Разбивка_по_щитам!C3941</f>
      </c>
      <c r="D3936" s="20">
        <f>Разбивка_по_щитам!F3941</f>
      </c>
      <c r="E3936" s="20">
        <f>Разбивка_по_щитам!H3941</f>
      </c>
      <c r="F3936" s="20">
        <f>Разбивка_по_щитам!I3941</f>
      </c>
      <c r="G3936" s="20">
        <f>Разбивка_по_щитам!J3941</f>
      </c>
      <c r="H3936" s="20">
        <f>Разбивка_по_щитам!K3941</f>
      </c>
      <c r="I3936" s="20">
        <f>Разбивка_по_щитам!L3941</f>
      </c>
      <c r="J3936" s="20">
        <f>Разбивка_по_щитам!M3941</f>
      </c>
      <c r="K3936" s="20">
        <f>Разбивка_по_щитам!N3941</f>
      </c>
      <c r="L3936" s="20"/>
      <c r="M3936" s="20">
        <f>Разбивка_по_щитам!P3941</f>
      </c>
      <c r="N3936" s="20"/>
    </row>
    <row r="3937" spans="2:14" x14ac:dyDescent="0.25">
      <c r="B3937" s="20">
        <f>Разбивка_по_щитам!B3942</f>
      </c>
      <c r="C3937" s="20">
        <f>Разбивка_по_щитам!C3942</f>
      </c>
      <c r="D3937" s="20">
        <f>Разбивка_по_щитам!F3942</f>
      </c>
      <c r="E3937" s="20">
        <f>Разбивка_по_щитам!H3942</f>
      </c>
      <c r="F3937" s="20">
        <f>Разбивка_по_щитам!I3942</f>
      </c>
      <c r="G3937" s="20">
        <f>Разбивка_по_щитам!J3942</f>
      </c>
      <c r="H3937" s="20">
        <f>Разбивка_по_щитам!K3942</f>
      </c>
      <c r="I3937" s="20">
        <f>Разбивка_по_щитам!L3942</f>
      </c>
      <c r="J3937" s="20">
        <f>Разбивка_по_щитам!M3942</f>
      </c>
      <c r="K3937" s="20">
        <f>Разбивка_по_щитам!N3942</f>
      </c>
      <c r="L3937" s="20"/>
      <c r="M3937" s="20">
        <f>Разбивка_по_щитам!P3942</f>
      </c>
      <c r="N3937" s="20"/>
    </row>
    <row r="3938" spans="2:14" x14ac:dyDescent="0.25">
      <c r="B3938" s="20">
        <f>Разбивка_по_щитам!B3943</f>
      </c>
      <c r="C3938" s="20">
        <f>Разбивка_по_щитам!C3943</f>
      </c>
      <c r="D3938" s="20">
        <f>Разбивка_по_щитам!F3943</f>
      </c>
      <c r="E3938" s="20">
        <f>Разбивка_по_щитам!H3943</f>
      </c>
      <c r="F3938" s="20">
        <f>Разбивка_по_щитам!I3943</f>
      </c>
      <c r="G3938" s="20">
        <f>Разбивка_по_щитам!J3943</f>
      </c>
      <c r="H3938" s="20">
        <f>Разбивка_по_щитам!K3943</f>
      </c>
      <c r="I3938" s="20">
        <f>Разбивка_по_щитам!L3943</f>
      </c>
      <c r="J3938" s="20">
        <f>Разбивка_по_щитам!M3943</f>
      </c>
      <c r="K3938" s="20">
        <f>Разбивка_по_щитам!N3943</f>
      </c>
      <c r="L3938" s="20"/>
      <c r="M3938" s="20">
        <f>Разбивка_по_щитам!P3943</f>
      </c>
      <c r="N3938" s="20"/>
    </row>
    <row r="3939" spans="2:14" x14ac:dyDescent="0.25">
      <c r="B3939" s="20">
        <f>Разбивка_по_щитам!B3944</f>
      </c>
      <c r="C3939" s="20">
        <f>Разбивка_по_щитам!C3944</f>
      </c>
      <c r="D3939" s="20">
        <f>Разбивка_по_щитам!F3944</f>
      </c>
      <c r="E3939" s="20">
        <f>Разбивка_по_щитам!H3944</f>
      </c>
      <c r="F3939" s="20">
        <f>Разбивка_по_щитам!I3944</f>
      </c>
      <c r="G3939" s="20">
        <f>Разбивка_по_щитам!J3944</f>
      </c>
      <c r="H3939" s="20">
        <f>Разбивка_по_щитам!K3944</f>
      </c>
      <c r="I3939" s="20">
        <f>Разбивка_по_щитам!L3944</f>
      </c>
      <c r="J3939" s="20">
        <f>Разбивка_по_щитам!M3944</f>
      </c>
      <c r="K3939" s="20">
        <f>Разбивка_по_щитам!N3944</f>
      </c>
      <c r="L3939" s="20"/>
      <c r="M3939" s="20">
        <f>Разбивка_по_щитам!P3944</f>
      </c>
      <c r="N3939" s="20"/>
    </row>
    <row r="3940" spans="2:14" x14ac:dyDescent="0.25">
      <c r="B3940" s="20">
        <f>Разбивка_по_щитам!B3945</f>
      </c>
      <c r="C3940" s="20">
        <f>Разбивка_по_щитам!C3945</f>
      </c>
      <c r="D3940" s="20">
        <f>Разбивка_по_щитам!F3945</f>
      </c>
      <c r="E3940" s="20">
        <f>Разбивка_по_щитам!H3945</f>
      </c>
      <c r="F3940" s="20">
        <f>Разбивка_по_щитам!I3945</f>
      </c>
      <c r="G3940" s="20">
        <f>Разбивка_по_щитам!J3945</f>
      </c>
      <c r="H3940" s="20">
        <f>Разбивка_по_щитам!K3945</f>
      </c>
      <c r="I3940" s="20">
        <f>Разбивка_по_щитам!L3945</f>
      </c>
      <c r="J3940" s="20">
        <f>Разбивка_по_щитам!M3945</f>
      </c>
      <c r="K3940" s="20">
        <f>Разбивка_по_щитам!N3945</f>
      </c>
      <c r="L3940" s="20"/>
      <c r="M3940" s="20">
        <f>Разбивка_по_щитам!P3945</f>
      </c>
      <c r="N3940" s="20"/>
    </row>
    <row r="3941" spans="2:14" x14ac:dyDescent="0.25">
      <c r="B3941" s="20">
        <f>Разбивка_по_щитам!B3946</f>
      </c>
      <c r="C3941" s="20">
        <f>Разбивка_по_щитам!C3946</f>
      </c>
      <c r="D3941" s="20">
        <f>Разбивка_по_щитам!F3946</f>
      </c>
      <c r="E3941" s="20">
        <f>Разбивка_по_щитам!H3946</f>
      </c>
      <c r="F3941" s="20">
        <f>Разбивка_по_щитам!I3946</f>
      </c>
      <c r="G3941" s="20">
        <f>Разбивка_по_щитам!J3946</f>
      </c>
      <c r="H3941" s="20">
        <f>Разбивка_по_щитам!K3946</f>
      </c>
      <c r="I3941" s="20">
        <f>Разбивка_по_щитам!L3946</f>
      </c>
      <c r="J3941" s="20">
        <f>Разбивка_по_щитам!M3946</f>
      </c>
      <c r="K3941" s="20">
        <f>Разбивка_по_щитам!N3946</f>
      </c>
      <c r="L3941" s="20"/>
      <c r="M3941" s="20">
        <f>Разбивка_по_щитам!P3946</f>
      </c>
      <c r="N3941" s="20"/>
    </row>
    <row r="3942" spans="2:14" x14ac:dyDescent="0.25">
      <c r="B3942" s="20">
        <f>Разбивка_по_щитам!B3947</f>
      </c>
      <c r="C3942" s="20">
        <f>Разбивка_по_щитам!C3947</f>
      </c>
      <c r="D3942" s="20">
        <f>Разбивка_по_щитам!F3947</f>
      </c>
      <c r="E3942" s="20">
        <f>Разбивка_по_щитам!H3947</f>
      </c>
      <c r="F3942" s="20">
        <f>Разбивка_по_щитам!I3947</f>
      </c>
      <c r="G3942" s="20">
        <f>Разбивка_по_щитам!J3947</f>
      </c>
      <c r="H3942" s="20">
        <f>Разбивка_по_щитам!K3947</f>
      </c>
      <c r="I3942" s="20">
        <f>Разбивка_по_щитам!L3947</f>
      </c>
      <c r="J3942" s="20">
        <f>Разбивка_по_щитам!M3947</f>
      </c>
      <c r="K3942" s="20">
        <f>Разбивка_по_щитам!N3947</f>
      </c>
      <c r="L3942" s="20"/>
      <c r="M3942" s="20">
        <f>Разбивка_по_щитам!P3947</f>
      </c>
      <c r="N3942" s="20"/>
    </row>
    <row r="3943" spans="2:14" x14ac:dyDescent="0.25">
      <c r="B3943" s="20">
        <f>Разбивка_по_щитам!B3948</f>
      </c>
      <c r="C3943" s="20">
        <f>Разбивка_по_щитам!C3948</f>
      </c>
      <c r="D3943" s="20">
        <f>Разбивка_по_щитам!F3948</f>
      </c>
      <c r="E3943" s="20">
        <f>Разбивка_по_щитам!H3948</f>
      </c>
      <c r="F3943" s="20">
        <f>Разбивка_по_щитам!I3948</f>
      </c>
      <c r="G3943" s="20">
        <f>Разбивка_по_щитам!J3948</f>
      </c>
      <c r="H3943" s="20">
        <f>Разбивка_по_щитам!K3948</f>
      </c>
      <c r="I3943" s="20">
        <f>Разбивка_по_щитам!L3948</f>
      </c>
      <c r="J3943" s="20">
        <f>Разбивка_по_щитам!M3948</f>
      </c>
      <c r="K3943" s="20">
        <f>Разбивка_по_щитам!N3948</f>
      </c>
      <c r="L3943" s="20"/>
      <c r="M3943" s="20">
        <f>Разбивка_по_щитам!P3948</f>
      </c>
      <c r="N3943" s="20"/>
    </row>
    <row r="3944" spans="2:14" x14ac:dyDescent="0.25">
      <c r="B3944" s="20">
        <f>Разбивка_по_щитам!B3949</f>
      </c>
      <c r="C3944" s="20">
        <f>Разбивка_по_щитам!C3949</f>
      </c>
      <c r="D3944" s="20">
        <f>Разбивка_по_щитам!F3949</f>
      </c>
      <c r="E3944" s="20">
        <f>Разбивка_по_щитам!H3949</f>
      </c>
      <c r="F3944" s="20">
        <f>Разбивка_по_щитам!I3949</f>
      </c>
      <c r="G3944" s="20">
        <f>Разбивка_по_щитам!J3949</f>
      </c>
      <c r="H3944" s="20">
        <f>Разбивка_по_щитам!K3949</f>
      </c>
      <c r="I3944" s="20">
        <f>Разбивка_по_щитам!L3949</f>
      </c>
      <c r="J3944" s="20">
        <f>Разбивка_по_щитам!M3949</f>
      </c>
      <c r="K3944" s="20">
        <f>Разбивка_по_щитам!N3949</f>
      </c>
      <c r="L3944" s="20"/>
      <c r="M3944" s="20">
        <f>Разбивка_по_щитам!P3949</f>
      </c>
      <c r="N3944" s="20"/>
    </row>
    <row r="3945" spans="2:14" x14ac:dyDescent="0.25">
      <c r="B3945" s="20">
        <f>Разбивка_по_щитам!B3950</f>
      </c>
      <c r="C3945" s="20">
        <f>Разбивка_по_щитам!C3950</f>
      </c>
      <c r="D3945" s="20">
        <f>Разбивка_по_щитам!F3950</f>
      </c>
      <c r="E3945" s="20">
        <f>Разбивка_по_щитам!H3950</f>
      </c>
      <c r="F3945" s="20">
        <f>Разбивка_по_щитам!I3950</f>
      </c>
      <c r="G3945" s="20">
        <f>Разбивка_по_щитам!J3950</f>
      </c>
      <c r="H3945" s="20">
        <f>Разбивка_по_щитам!K3950</f>
      </c>
      <c r="I3945" s="20">
        <f>Разбивка_по_щитам!L3950</f>
      </c>
      <c r="J3945" s="20">
        <f>Разбивка_по_щитам!M3950</f>
      </c>
      <c r="K3945" s="20">
        <f>Разбивка_по_щитам!N3950</f>
      </c>
      <c r="L3945" s="20"/>
      <c r="M3945" s="20">
        <f>Разбивка_по_щитам!P3950</f>
      </c>
      <c r="N3945" s="20"/>
    </row>
    <row r="3946" spans="2:14" x14ac:dyDescent="0.25">
      <c r="B3946" s="20">
        <f>Разбивка_по_щитам!B3951</f>
      </c>
      <c r="C3946" s="20">
        <f>Разбивка_по_щитам!C3951</f>
      </c>
      <c r="D3946" s="20">
        <f>Разбивка_по_щитам!F3951</f>
      </c>
      <c r="E3946" s="20">
        <f>Разбивка_по_щитам!H3951</f>
      </c>
      <c r="F3946" s="20">
        <f>Разбивка_по_щитам!I3951</f>
      </c>
      <c r="G3946" s="20">
        <f>Разбивка_по_щитам!J3951</f>
      </c>
      <c r="H3946" s="20">
        <f>Разбивка_по_щитам!K3951</f>
      </c>
      <c r="I3946" s="20">
        <f>Разбивка_по_щитам!L3951</f>
      </c>
      <c r="J3946" s="20">
        <f>Разбивка_по_щитам!M3951</f>
      </c>
      <c r="K3946" s="20">
        <f>Разбивка_по_щитам!N3951</f>
      </c>
      <c r="L3946" s="20"/>
      <c r="M3946" s="20">
        <f>Разбивка_по_щитам!P3951</f>
      </c>
      <c r="N3946" s="20"/>
    </row>
    <row r="3947" spans="2:14" x14ac:dyDescent="0.25">
      <c r="B3947" s="20">
        <f>Разбивка_по_щитам!B3952</f>
      </c>
      <c r="C3947" s="20">
        <f>Разбивка_по_щитам!C3952</f>
      </c>
      <c r="D3947" s="20">
        <f>Разбивка_по_щитам!F3952</f>
      </c>
      <c r="E3947" s="20">
        <f>Разбивка_по_щитам!H3952</f>
      </c>
      <c r="F3947" s="20">
        <f>Разбивка_по_щитам!I3952</f>
      </c>
      <c r="G3947" s="20">
        <f>Разбивка_по_щитам!J3952</f>
      </c>
      <c r="H3947" s="20">
        <f>Разбивка_по_щитам!K3952</f>
      </c>
      <c r="I3947" s="20">
        <f>Разбивка_по_щитам!L3952</f>
      </c>
      <c r="J3947" s="20">
        <f>Разбивка_по_щитам!M3952</f>
      </c>
      <c r="K3947" s="20">
        <f>Разбивка_по_щитам!N3952</f>
      </c>
      <c r="L3947" s="20"/>
      <c r="M3947" s="20">
        <f>Разбивка_по_щитам!P3952</f>
      </c>
      <c r="N3947" s="20"/>
    </row>
    <row r="3948" spans="2:14" x14ac:dyDescent="0.25">
      <c r="B3948" s="20">
        <f>Разбивка_по_щитам!B3953</f>
      </c>
      <c r="C3948" s="20">
        <f>Разбивка_по_щитам!C3953</f>
      </c>
      <c r="D3948" s="20">
        <f>Разбивка_по_щитам!F3953</f>
      </c>
      <c r="E3948" s="20">
        <f>Разбивка_по_щитам!H3953</f>
      </c>
      <c r="F3948" s="20">
        <f>Разбивка_по_щитам!I3953</f>
      </c>
      <c r="G3948" s="20">
        <f>Разбивка_по_щитам!J3953</f>
      </c>
      <c r="H3948" s="20">
        <f>Разбивка_по_щитам!K3953</f>
      </c>
      <c r="I3948" s="20">
        <f>Разбивка_по_щитам!L3953</f>
      </c>
      <c r="J3948" s="20">
        <f>Разбивка_по_щитам!M3953</f>
      </c>
      <c r="K3948" s="20">
        <f>Разбивка_по_щитам!N3953</f>
      </c>
      <c r="L3948" s="20"/>
      <c r="M3948" s="20">
        <f>Разбивка_по_щитам!P3953</f>
      </c>
      <c r="N3948" s="20"/>
    </row>
    <row r="3949" spans="2:14" x14ac:dyDescent="0.25">
      <c r="B3949" s="20">
        <f>Разбивка_по_щитам!B3954</f>
      </c>
      <c r="C3949" s="20">
        <f>Разбивка_по_щитам!C3954</f>
      </c>
      <c r="D3949" s="20">
        <f>Разбивка_по_щитам!F3954</f>
      </c>
      <c r="E3949" s="20">
        <f>Разбивка_по_щитам!H3954</f>
      </c>
      <c r="F3949" s="20">
        <f>Разбивка_по_щитам!I3954</f>
      </c>
      <c r="G3949" s="20">
        <f>Разбивка_по_щитам!J3954</f>
      </c>
      <c r="H3949" s="20">
        <f>Разбивка_по_щитам!K3954</f>
      </c>
      <c r="I3949" s="20">
        <f>Разбивка_по_щитам!L3954</f>
      </c>
      <c r="J3949" s="20">
        <f>Разбивка_по_щитам!M3954</f>
      </c>
      <c r="K3949" s="20">
        <f>Разбивка_по_щитам!N3954</f>
      </c>
      <c r="L3949" s="20"/>
      <c r="M3949" s="20">
        <f>Разбивка_по_щитам!P3954</f>
      </c>
      <c r="N3949" s="20"/>
    </row>
    <row r="3950" spans="2:14" x14ac:dyDescent="0.25">
      <c r="B3950" s="20">
        <f>Разбивка_по_щитам!B3955</f>
      </c>
      <c r="C3950" s="20">
        <f>Разбивка_по_щитам!C3955</f>
      </c>
      <c r="D3950" s="20">
        <f>Разбивка_по_щитам!F3955</f>
      </c>
      <c r="E3950" s="20">
        <f>Разбивка_по_щитам!H3955</f>
      </c>
      <c r="F3950" s="20">
        <f>Разбивка_по_щитам!I3955</f>
      </c>
      <c r="G3950" s="20">
        <f>Разбивка_по_щитам!J3955</f>
      </c>
      <c r="H3950" s="20">
        <f>Разбивка_по_щитам!K3955</f>
      </c>
      <c r="I3950" s="20">
        <f>Разбивка_по_щитам!L3955</f>
      </c>
      <c r="J3950" s="20">
        <f>Разбивка_по_щитам!M3955</f>
      </c>
      <c r="K3950" s="20">
        <f>Разбивка_по_щитам!N3955</f>
      </c>
      <c r="L3950" s="20"/>
      <c r="M3950" s="20">
        <f>Разбивка_по_щитам!P3955</f>
      </c>
      <c r="N3950" s="20"/>
    </row>
    <row r="3951" spans="2:14" x14ac:dyDescent="0.25">
      <c r="B3951" s="20">
        <f>Разбивка_по_щитам!B3956</f>
      </c>
      <c r="C3951" s="20">
        <f>Разбивка_по_щитам!C3956</f>
      </c>
      <c r="D3951" s="20">
        <f>Разбивка_по_щитам!F3956</f>
      </c>
      <c r="E3951" s="20">
        <f>Разбивка_по_щитам!H3956</f>
      </c>
      <c r="F3951" s="20">
        <f>Разбивка_по_щитам!I3956</f>
      </c>
      <c r="G3951" s="20">
        <f>Разбивка_по_щитам!J3956</f>
      </c>
      <c r="H3951" s="20">
        <f>Разбивка_по_щитам!K3956</f>
      </c>
      <c r="I3951" s="20">
        <f>Разбивка_по_щитам!L3956</f>
      </c>
      <c r="J3951" s="20">
        <f>Разбивка_по_щитам!M3956</f>
      </c>
      <c r="K3951" s="20">
        <f>Разбивка_по_щитам!N3956</f>
      </c>
      <c r="L3951" s="20"/>
      <c r="M3951" s="20">
        <f>Разбивка_по_щитам!P3956</f>
      </c>
      <c r="N3951" s="20"/>
    </row>
    <row r="3952" spans="2:14" x14ac:dyDescent="0.25">
      <c r="B3952" s="20">
        <f>Разбивка_по_щитам!B3957</f>
      </c>
      <c r="C3952" s="20">
        <f>Разбивка_по_щитам!C3957</f>
      </c>
      <c r="D3952" s="20">
        <f>Разбивка_по_щитам!F3957</f>
      </c>
      <c r="E3952" s="20">
        <f>Разбивка_по_щитам!H3957</f>
      </c>
      <c r="F3952" s="20">
        <f>Разбивка_по_щитам!I3957</f>
      </c>
      <c r="G3952" s="20">
        <f>Разбивка_по_щитам!J3957</f>
      </c>
      <c r="H3952" s="20">
        <f>Разбивка_по_щитам!K3957</f>
      </c>
      <c r="I3952" s="20">
        <f>Разбивка_по_щитам!L3957</f>
      </c>
      <c r="J3952" s="20">
        <f>Разбивка_по_щитам!M3957</f>
      </c>
      <c r="K3952" s="20">
        <f>Разбивка_по_щитам!N3957</f>
      </c>
      <c r="L3952" s="20"/>
      <c r="M3952" s="20">
        <f>Разбивка_по_щитам!P3957</f>
      </c>
      <c r="N3952" s="20"/>
    </row>
    <row r="3953" spans="2:14" x14ac:dyDescent="0.25">
      <c r="B3953" s="20">
        <f>Разбивка_по_щитам!B3958</f>
      </c>
      <c r="C3953" s="20">
        <f>Разбивка_по_щитам!C3958</f>
      </c>
      <c r="D3953" s="20">
        <f>Разбивка_по_щитам!F3958</f>
      </c>
      <c r="E3953" s="20">
        <f>Разбивка_по_щитам!H3958</f>
      </c>
      <c r="F3953" s="20">
        <f>Разбивка_по_щитам!I3958</f>
      </c>
      <c r="G3953" s="20">
        <f>Разбивка_по_щитам!J3958</f>
      </c>
      <c r="H3953" s="20">
        <f>Разбивка_по_щитам!K3958</f>
      </c>
      <c r="I3953" s="20">
        <f>Разбивка_по_щитам!L3958</f>
      </c>
      <c r="J3953" s="20">
        <f>Разбивка_по_щитам!M3958</f>
      </c>
      <c r="K3953" s="20">
        <f>Разбивка_по_щитам!N3958</f>
      </c>
      <c r="L3953" s="20"/>
      <c r="M3953" s="20">
        <f>Разбивка_по_щитам!P3958</f>
      </c>
      <c r="N3953" s="20"/>
    </row>
    <row r="3954" spans="2:14" x14ac:dyDescent="0.25">
      <c r="B3954" s="20">
        <f>Разбивка_по_щитам!B3959</f>
      </c>
      <c r="C3954" s="20">
        <f>Разбивка_по_щитам!C3959</f>
      </c>
      <c r="D3954" s="20">
        <f>Разбивка_по_щитам!F3959</f>
      </c>
      <c r="E3954" s="20">
        <f>Разбивка_по_щитам!H3959</f>
      </c>
      <c r="F3954" s="20">
        <f>Разбивка_по_щитам!I3959</f>
      </c>
      <c r="G3954" s="20">
        <f>Разбивка_по_щитам!J3959</f>
      </c>
      <c r="H3954" s="20">
        <f>Разбивка_по_щитам!K3959</f>
      </c>
      <c r="I3954" s="20">
        <f>Разбивка_по_щитам!L3959</f>
      </c>
      <c r="J3954" s="20">
        <f>Разбивка_по_щитам!M3959</f>
      </c>
      <c r="K3954" s="20">
        <f>Разбивка_по_щитам!N3959</f>
      </c>
      <c r="L3954" s="20"/>
      <c r="M3954" s="20">
        <f>Разбивка_по_щитам!P3959</f>
      </c>
      <c r="N3954" s="20"/>
    </row>
    <row r="3955" spans="2:14" x14ac:dyDescent="0.25">
      <c r="B3955" s="20">
        <f>Разбивка_по_щитам!B3960</f>
      </c>
      <c r="C3955" s="20">
        <f>Разбивка_по_щитам!C3960</f>
      </c>
      <c r="D3955" s="20">
        <f>Разбивка_по_щитам!F3960</f>
      </c>
      <c r="E3955" s="20">
        <f>Разбивка_по_щитам!H3960</f>
      </c>
      <c r="F3955" s="20">
        <f>Разбивка_по_щитам!I3960</f>
      </c>
      <c r="G3955" s="20">
        <f>Разбивка_по_щитам!J3960</f>
      </c>
      <c r="H3955" s="20">
        <f>Разбивка_по_щитам!K3960</f>
      </c>
      <c r="I3955" s="20">
        <f>Разбивка_по_щитам!L3960</f>
      </c>
      <c r="J3955" s="20">
        <f>Разбивка_по_щитам!M3960</f>
      </c>
      <c r="K3955" s="20">
        <f>Разбивка_по_щитам!N3960</f>
      </c>
      <c r="L3955" s="20"/>
      <c r="M3955" s="20">
        <f>Разбивка_по_щитам!P3960</f>
      </c>
      <c r="N3955" s="20"/>
    </row>
    <row r="3956" spans="2:14" x14ac:dyDescent="0.25">
      <c r="B3956" s="20">
        <f>Разбивка_по_щитам!B3961</f>
      </c>
      <c r="C3956" s="20">
        <f>Разбивка_по_щитам!C3961</f>
      </c>
      <c r="D3956" s="20">
        <f>Разбивка_по_щитам!F3961</f>
      </c>
      <c r="E3956" s="20">
        <f>Разбивка_по_щитам!H3961</f>
      </c>
      <c r="F3956" s="20">
        <f>Разбивка_по_щитам!I3961</f>
      </c>
      <c r="G3956" s="20">
        <f>Разбивка_по_щитам!J3961</f>
      </c>
      <c r="H3956" s="20">
        <f>Разбивка_по_щитам!K3961</f>
      </c>
      <c r="I3956" s="20">
        <f>Разбивка_по_щитам!L3961</f>
      </c>
      <c r="J3956" s="20">
        <f>Разбивка_по_щитам!M3961</f>
      </c>
      <c r="K3956" s="20">
        <f>Разбивка_по_щитам!N3961</f>
      </c>
      <c r="L3956" s="20"/>
      <c r="M3956" s="20">
        <f>Разбивка_по_щитам!P3961</f>
      </c>
      <c r="N3956" s="20"/>
    </row>
    <row r="3957" spans="2:14" x14ac:dyDescent="0.25">
      <c r="B3957" s="20">
        <f>Разбивка_по_щитам!B3962</f>
      </c>
      <c r="C3957" s="20">
        <f>Разбивка_по_щитам!C3962</f>
      </c>
      <c r="D3957" s="20">
        <f>Разбивка_по_щитам!F3962</f>
      </c>
      <c r="E3957" s="20">
        <f>Разбивка_по_щитам!H3962</f>
      </c>
      <c r="F3957" s="20">
        <f>Разбивка_по_щитам!I3962</f>
      </c>
      <c r="G3957" s="20">
        <f>Разбивка_по_щитам!J3962</f>
      </c>
      <c r="H3957" s="20">
        <f>Разбивка_по_щитам!K3962</f>
      </c>
      <c r="I3957" s="20">
        <f>Разбивка_по_щитам!L3962</f>
      </c>
      <c r="J3957" s="20">
        <f>Разбивка_по_щитам!M3962</f>
      </c>
      <c r="K3957" s="20">
        <f>Разбивка_по_щитам!N3962</f>
      </c>
      <c r="L3957" s="20"/>
      <c r="M3957" s="20">
        <f>Разбивка_по_щитам!P3962</f>
      </c>
      <c r="N3957" s="20"/>
    </row>
    <row r="3958" spans="2:14" x14ac:dyDescent="0.25">
      <c r="B3958" s="20">
        <f>Разбивка_по_щитам!B3963</f>
      </c>
      <c r="C3958" s="20">
        <f>Разбивка_по_щитам!C3963</f>
      </c>
      <c r="D3958" s="20">
        <f>Разбивка_по_щитам!F3963</f>
      </c>
      <c r="E3958" s="20">
        <f>Разбивка_по_щитам!H3963</f>
      </c>
      <c r="F3958" s="20">
        <f>Разбивка_по_щитам!I3963</f>
      </c>
      <c r="G3958" s="20">
        <f>Разбивка_по_щитам!J3963</f>
      </c>
      <c r="H3958" s="20">
        <f>Разбивка_по_щитам!K3963</f>
      </c>
      <c r="I3958" s="20">
        <f>Разбивка_по_щитам!L3963</f>
      </c>
      <c r="J3958" s="20">
        <f>Разбивка_по_щитам!M3963</f>
      </c>
      <c r="K3958" s="20">
        <f>Разбивка_по_щитам!N3963</f>
      </c>
      <c r="L3958" s="20"/>
      <c r="M3958" s="20">
        <f>Разбивка_по_щитам!P3963</f>
      </c>
      <c r="N3958" s="20"/>
    </row>
    <row r="3959" spans="2:14" x14ac:dyDescent="0.25">
      <c r="B3959" s="20">
        <f>Разбивка_по_щитам!B3964</f>
      </c>
      <c r="C3959" s="20">
        <f>Разбивка_по_щитам!C3964</f>
      </c>
      <c r="D3959" s="20">
        <f>Разбивка_по_щитам!F3964</f>
      </c>
      <c r="E3959" s="20">
        <f>Разбивка_по_щитам!H3964</f>
      </c>
      <c r="F3959" s="20">
        <f>Разбивка_по_щитам!I3964</f>
      </c>
      <c r="G3959" s="20">
        <f>Разбивка_по_щитам!J3964</f>
      </c>
      <c r="H3959" s="20">
        <f>Разбивка_по_щитам!K3964</f>
      </c>
      <c r="I3959" s="20">
        <f>Разбивка_по_щитам!L3964</f>
      </c>
      <c r="J3959" s="20">
        <f>Разбивка_по_щитам!M3964</f>
      </c>
      <c r="K3959" s="20">
        <f>Разбивка_по_щитам!N3964</f>
      </c>
      <c r="L3959" s="20"/>
      <c r="M3959" s="20">
        <f>Разбивка_по_щитам!P3964</f>
      </c>
      <c r="N3959" s="20"/>
    </row>
    <row r="3960" spans="2:14" x14ac:dyDescent="0.25">
      <c r="B3960" s="20">
        <f>Разбивка_по_щитам!B3965</f>
      </c>
      <c r="C3960" s="20">
        <f>Разбивка_по_щитам!C3965</f>
      </c>
      <c r="D3960" s="20">
        <f>Разбивка_по_щитам!F3965</f>
      </c>
      <c r="E3960" s="20">
        <f>Разбивка_по_щитам!H3965</f>
      </c>
      <c r="F3960" s="20">
        <f>Разбивка_по_щитам!I3965</f>
      </c>
      <c r="G3960" s="20">
        <f>Разбивка_по_щитам!J3965</f>
      </c>
      <c r="H3960" s="20">
        <f>Разбивка_по_щитам!K3965</f>
      </c>
      <c r="I3960" s="20">
        <f>Разбивка_по_щитам!L3965</f>
      </c>
      <c r="J3960" s="20">
        <f>Разбивка_по_щитам!M3965</f>
      </c>
      <c r="K3960" s="20">
        <f>Разбивка_по_щитам!N3965</f>
      </c>
      <c r="L3960" s="20"/>
      <c r="M3960" s="20">
        <f>Разбивка_по_щитам!P3965</f>
      </c>
      <c r="N3960" s="20"/>
    </row>
    <row r="3961" spans="2:14" x14ac:dyDescent="0.25">
      <c r="B3961" s="20">
        <f>Разбивка_по_щитам!B3966</f>
      </c>
      <c r="C3961" s="20">
        <f>Разбивка_по_щитам!C3966</f>
      </c>
      <c r="D3961" s="20">
        <f>Разбивка_по_щитам!F3966</f>
      </c>
      <c r="E3961" s="20">
        <f>Разбивка_по_щитам!H3966</f>
      </c>
      <c r="F3961" s="20">
        <f>Разбивка_по_щитам!I3966</f>
      </c>
      <c r="G3961" s="20">
        <f>Разбивка_по_щитам!J3966</f>
      </c>
      <c r="H3961" s="20">
        <f>Разбивка_по_щитам!K3966</f>
      </c>
      <c r="I3961" s="20">
        <f>Разбивка_по_щитам!L3966</f>
      </c>
      <c r="J3961" s="20">
        <f>Разбивка_по_щитам!M3966</f>
      </c>
      <c r="K3961" s="20">
        <f>Разбивка_по_щитам!N3966</f>
      </c>
      <c r="L3961" s="20"/>
      <c r="M3961" s="20">
        <f>Разбивка_по_щитам!P3966</f>
      </c>
      <c r="N3961" s="20"/>
    </row>
    <row r="3962" spans="2:14" x14ac:dyDescent="0.25">
      <c r="B3962" s="20">
        <f>Разбивка_по_щитам!B3967</f>
      </c>
      <c r="C3962" s="20">
        <f>Разбивка_по_щитам!C3967</f>
      </c>
      <c r="D3962" s="20">
        <f>Разбивка_по_щитам!F3967</f>
      </c>
      <c r="E3962" s="20">
        <f>Разбивка_по_щитам!H3967</f>
      </c>
      <c r="F3962" s="20">
        <f>Разбивка_по_щитам!I3967</f>
      </c>
      <c r="G3962" s="20">
        <f>Разбивка_по_щитам!J3967</f>
      </c>
      <c r="H3962" s="20">
        <f>Разбивка_по_щитам!K3967</f>
      </c>
      <c r="I3962" s="20">
        <f>Разбивка_по_щитам!L3967</f>
      </c>
      <c r="J3962" s="20">
        <f>Разбивка_по_щитам!M3967</f>
      </c>
      <c r="K3962" s="20">
        <f>Разбивка_по_щитам!N3967</f>
      </c>
      <c r="L3962" s="20"/>
      <c r="M3962" s="20">
        <f>Разбивка_по_щитам!P3967</f>
      </c>
      <c r="N3962" s="20"/>
    </row>
    <row r="3963" spans="2:14" x14ac:dyDescent="0.25">
      <c r="B3963" s="20">
        <f>Разбивка_по_щитам!B3968</f>
      </c>
      <c r="C3963" s="20">
        <f>Разбивка_по_щитам!C3968</f>
      </c>
      <c r="D3963" s="20">
        <f>Разбивка_по_щитам!F3968</f>
      </c>
      <c r="E3963" s="20">
        <f>Разбивка_по_щитам!H3968</f>
      </c>
      <c r="F3963" s="20">
        <f>Разбивка_по_щитам!I3968</f>
      </c>
      <c r="G3963" s="20">
        <f>Разбивка_по_щитам!J3968</f>
      </c>
      <c r="H3963" s="20">
        <f>Разбивка_по_щитам!K3968</f>
      </c>
      <c r="I3963" s="20">
        <f>Разбивка_по_щитам!L3968</f>
      </c>
      <c r="J3963" s="20">
        <f>Разбивка_по_щитам!M3968</f>
      </c>
      <c r="K3963" s="20">
        <f>Разбивка_по_щитам!N3968</f>
      </c>
      <c r="L3963" s="20"/>
      <c r="M3963" s="20">
        <f>Разбивка_по_щитам!P3968</f>
      </c>
      <c r="N3963" s="20"/>
    </row>
    <row r="3964" spans="2:14" x14ac:dyDescent="0.25">
      <c r="B3964" s="20">
        <f>Разбивка_по_щитам!B3969</f>
      </c>
      <c r="C3964" s="20">
        <f>Разбивка_по_щитам!C3969</f>
      </c>
      <c r="D3964" s="20">
        <f>Разбивка_по_щитам!F3969</f>
      </c>
      <c r="E3964" s="20">
        <f>Разбивка_по_щитам!H3969</f>
      </c>
      <c r="F3964" s="20">
        <f>Разбивка_по_щитам!I3969</f>
      </c>
      <c r="G3964" s="20">
        <f>Разбивка_по_щитам!J3969</f>
      </c>
      <c r="H3964" s="20">
        <f>Разбивка_по_щитам!K3969</f>
      </c>
      <c r="I3964" s="20">
        <f>Разбивка_по_щитам!L3969</f>
      </c>
      <c r="J3964" s="20">
        <f>Разбивка_по_щитам!M3969</f>
      </c>
      <c r="K3964" s="20">
        <f>Разбивка_по_щитам!N3969</f>
      </c>
      <c r="L3964" s="20"/>
      <c r="M3964" s="20">
        <f>Разбивка_по_щитам!P3969</f>
      </c>
      <c r="N3964" s="20"/>
    </row>
    <row r="3965" spans="2:14" x14ac:dyDescent="0.25">
      <c r="B3965" s="20">
        <f>Разбивка_по_щитам!B3970</f>
      </c>
      <c r="C3965" s="20">
        <f>Разбивка_по_щитам!C3970</f>
      </c>
      <c r="D3965" s="20">
        <f>Разбивка_по_щитам!F3970</f>
      </c>
      <c r="E3965" s="20">
        <f>Разбивка_по_щитам!H3970</f>
      </c>
      <c r="F3965" s="20">
        <f>Разбивка_по_щитам!I3970</f>
      </c>
      <c r="G3965" s="20">
        <f>Разбивка_по_щитам!J3970</f>
      </c>
      <c r="H3965" s="20">
        <f>Разбивка_по_щитам!K3970</f>
      </c>
      <c r="I3965" s="20">
        <f>Разбивка_по_щитам!L3970</f>
      </c>
      <c r="J3965" s="20">
        <f>Разбивка_по_щитам!M3970</f>
      </c>
      <c r="K3965" s="20">
        <f>Разбивка_по_щитам!N3970</f>
      </c>
      <c r="L3965" s="20"/>
      <c r="M3965" s="20">
        <f>Разбивка_по_щитам!P3970</f>
      </c>
      <c r="N3965" s="20"/>
    </row>
    <row r="3966" spans="2:14" x14ac:dyDescent="0.25">
      <c r="B3966" s="20">
        <f>Разбивка_по_щитам!B3971</f>
      </c>
      <c r="C3966" s="20">
        <f>Разбивка_по_щитам!C3971</f>
      </c>
      <c r="D3966" s="20">
        <f>Разбивка_по_щитам!F3971</f>
      </c>
      <c r="E3966" s="20">
        <f>Разбивка_по_щитам!H3971</f>
      </c>
      <c r="F3966" s="20">
        <f>Разбивка_по_щитам!I3971</f>
      </c>
      <c r="G3966" s="20">
        <f>Разбивка_по_щитам!J3971</f>
      </c>
      <c r="H3966" s="20">
        <f>Разбивка_по_щитам!K3971</f>
      </c>
      <c r="I3966" s="20">
        <f>Разбивка_по_щитам!L3971</f>
      </c>
      <c r="J3966" s="20">
        <f>Разбивка_по_щитам!M3971</f>
      </c>
      <c r="K3966" s="20">
        <f>Разбивка_по_щитам!N3971</f>
      </c>
      <c r="L3966" s="20"/>
      <c r="M3966" s="20">
        <f>Разбивка_по_щитам!P3971</f>
      </c>
      <c r="N3966" s="20"/>
    </row>
    <row r="3967" spans="2:14" x14ac:dyDescent="0.25">
      <c r="B3967" s="20">
        <f>Разбивка_по_щитам!B3972</f>
      </c>
      <c r="C3967" s="20">
        <f>Разбивка_по_щитам!C3972</f>
      </c>
      <c r="D3967" s="20">
        <f>Разбивка_по_щитам!F3972</f>
      </c>
      <c r="E3967" s="20">
        <f>Разбивка_по_щитам!H3972</f>
      </c>
      <c r="F3967" s="20">
        <f>Разбивка_по_щитам!I3972</f>
      </c>
      <c r="G3967" s="20">
        <f>Разбивка_по_щитам!J3972</f>
      </c>
      <c r="H3967" s="20">
        <f>Разбивка_по_щитам!K3972</f>
      </c>
      <c r="I3967" s="20">
        <f>Разбивка_по_щитам!L3972</f>
      </c>
      <c r="J3967" s="20">
        <f>Разбивка_по_щитам!M3972</f>
      </c>
      <c r="K3967" s="20">
        <f>Разбивка_по_щитам!N3972</f>
      </c>
      <c r="L3967" s="20"/>
      <c r="M3967" s="20">
        <f>Разбивка_по_щитам!P3972</f>
      </c>
      <c r="N3967" s="20"/>
    </row>
    <row r="3968" spans="2:14" x14ac:dyDescent="0.25">
      <c r="B3968" s="20">
        <f>Разбивка_по_щитам!B3973</f>
      </c>
      <c r="C3968" s="20">
        <f>Разбивка_по_щитам!C3973</f>
      </c>
      <c r="D3968" s="20">
        <f>Разбивка_по_щитам!F3973</f>
      </c>
      <c r="E3968" s="20">
        <f>Разбивка_по_щитам!H3973</f>
      </c>
      <c r="F3968" s="20">
        <f>Разбивка_по_щитам!I3973</f>
      </c>
      <c r="G3968" s="20">
        <f>Разбивка_по_щитам!J3973</f>
      </c>
      <c r="H3968" s="20">
        <f>Разбивка_по_щитам!K3973</f>
      </c>
      <c r="I3968" s="20">
        <f>Разбивка_по_щитам!L3973</f>
      </c>
      <c r="J3968" s="20">
        <f>Разбивка_по_щитам!M3973</f>
      </c>
      <c r="K3968" s="20">
        <f>Разбивка_по_щитам!N3973</f>
      </c>
      <c r="L3968" s="20"/>
      <c r="M3968" s="20">
        <f>Разбивка_по_щитам!P3973</f>
      </c>
      <c r="N3968" s="20"/>
    </row>
    <row r="3969" spans="2:14" x14ac:dyDescent="0.25">
      <c r="B3969" s="20">
        <f>Разбивка_по_щитам!B3974</f>
      </c>
      <c r="C3969" s="20">
        <f>Разбивка_по_щитам!C3974</f>
      </c>
      <c r="D3969" s="20">
        <f>Разбивка_по_щитам!F3974</f>
      </c>
      <c r="E3969" s="20">
        <f>Разбивка_по_щитам!H3974</f>
      </c>
      <c r="F3969" s="20">
        <f>Разбивка_по_щитам!I3974</f>
      </c>
      <c r="G3969" s="20">
        <f>Разбивка_по_щитам!J3974</f>
      </c>
      <c r="H3969" s="20">
        <f>Разбивка_по_щитам!K3974</f>
      </c>
      <c r="I3969" s="20">
        <f>Разбивка_по_щитам!L3974</f>
      </c>
      <c r="J3969" s="20">
        <f>Разбивка_по_щитам!M3974</f>
      </c>
      <c r="K3969" s="20">
        <f>Разбивка_по_щитам!N3974</f>
      </c>
      <c r="L3969" s="20"/>
      <c r="M3969" s="20">
        <f>Разбивка_по_щитам!P3974</f>
      </c>
      <c r="N3969" s="20"/>
    </row>
    <row r="3970" spans="2:14" x14ac:dyDescent="0.25">
      <c r="B3970" s="20">
        <f>Разбивка_по_щитам!B3975</f>
      </c>
      <c r="C3970" s="20">
        <f>Разбивка_по_щитам!C3975</f>
      </c>
      <c r="D3970" s="20">
        <f>Разбивка_по_щитам!F3975</f>
      </c>
      <c r="E3970" s="20">
        <f>Разбивка_по_щитам!H3975</f>
      </c>
      <c r="F3970" s="20">
        <f>Разбивка_по_щитам!I3975</f>
      </c>
      <c r="G3970" s="20">
        <f>Разбивка_по_щитам!J3975</f>
      </c>
      <c r="H3970" s="20">
        <f>Разбивка_по_щитам!K3975</f>
      </c>
      <c r="I3970" s="20">
        <f>Разбивка_по_щитам!L3975</f>
      </c>
      <c r="J3970" s="20">
        <f>Разбивка_по_щитам!M3975</f>
      </c>
      <c r="K3970" s="20">
        <f>Разбивка_по_щитам!N3975</f>
      </c>
      <c r="L3970" s="20"/>
      <c r="M3970" s="20">
        <f>Разбивка_по_щитам!P3975</f>
      </c>
      <c r="N3970" s="20"/>
    </row>
    <row r="3971" spans="2:14" x14ac:dyDescent="0.25">
      <c r="B3971" s="20">
        <f>Разбивка_по_щитам!B3976</f>
      </c>
      <c r="C3971" s="20">
        <f>Разбивка_по_щитам!C3976</f>
      </c>
      <c r="D3971" s="20">
        <f>Разбивка_по_щитам!F3976</f>
      </c>
      <c r="E3971" s="20">
        <f>Разбивка_по_щитам!H3976</f>
      </c>
      <c r="F3971" s="20">
        <f>Разбивка_по_щитам!I3976</f>
      </c>
      <c r="G3971" s="20">
        <f>Разбивка_по_щитам!J3976</f>
      </c>
      <c r="H3971" s="20">
        <f>Разбивка_по_щитам!K3976</f>
      </c>
      <c r="I3971" s="20">
        <f>Разбивка_по_щитам!L3976</f>
      </c>
      <c r="J3971" s="20">
        <f>Разбивка_по_щитам!M3976</f>
      </c>
      <c r="K3971" s="20">
        <f>Разбивка_по_щитам!N3976</f>
      </c>
      <c r="L3971" s="20"/>
      <c r="M3971" s="20">
        <f>Разбивка_по_щитам!P3976</f>
      </c>
      <c r="N3971" s="20"/>
    </row>
    <row r="3972" spans="2:14" x14ac:dyDescent="0.25">
      <c r="B3972" s="20">
        <f>Разбивка_по_щитам!B3977</f>
      </c>
      <c r="C3972" s="20">
        <f>Разбивка_по_щитам!C3977</f>
      </c>
      <c r="D3972" s="20">
        <f>Разбивка_по_щитам!F3977</f>
      </c>
      <c r="E3972" s="20">
        <f>Разбивка_по_щитам!H3977</f>
      </c>
      <c r="F3972" s="20">
        <f>Разбивка_по_щитам!I3977</f>
      </c>
      <c r="G3972" s="20">
        <f>Разбивка_по_щитам!J3977</f>
      </c>
      <c r="H3972" s="20">
        <f>Разбивка_по_щитам!K3977</f>
      </c>
      <c r="I3972" s="20">
        <f>Разбивка_по_щитам!L3977</f>
      </c>
      <c r="J3972" s="20">
        <f>Разбивка_по_щитам!M3977</f>
      </c>
      <c r="K3972" s="20">
        <f>Разбивка_по_щитам!N3977</f>
      </c>
      <c r="L3972" s="20"/>
      <c r="M3972" s="20">
        <f>Разбивка_по_щитам!P3977</f>
      </c>
      <c r="N3972" s="20"/>
    </row>
    <row r="3973" spans="2:14" x14ac:dyDescent="0.25">
      <c r="B3973" s="20">
        <f>Разбивка_по_щитам!B3978</f>
      </c>
      <c r="C3973" s="20">
        <f>Разбивка_по_щитам!C3978</f>
      </c>
      <c r="D3973" s="20">
        <f>Разбивка_по_щитам!F3978</f>
      </c>
      <c r="E3973" s="20">
        <f>Разбивка_по_щитам!H3978</f>
      </c>
      <c r="F3973" s="20">
        <f>Разбивка_по_щитам!I3978</f>
      </c>
      <c r="G3973" s="20">
        <f>Разбивка_по_щитам!J3978</f>
      </c>
      <c r="H3973" s="20">
        <f>Разбивка_по_щитам!K3978</f>
      </c>
      <c r="I3973" s="20">
        <f>Разбивка_по_щитам!L3978</f>
      </c>
      <c r="J3973" s="20">
        <f>Разбивка_по_щитам!M3978</f>
      </c>
      <c r="K3973" s="20">
        <f>Разбивка_по_щитам!N3978</f>
      </c>
      <c r="L3973" s="20"/>
      <c r="M3973" s="20">
        <f>Разбивка_по_щитам!P3978</f>
      </c>
      <c r="N3973" s="20"/>
    </row>
    <row r="3974" spans="2:14" x14ac:dyDescent="0.25">
      <c r="B3974" s="20">
        <f>Разбивка_по_щитам!B3979</f>
      </c>
      <c r="C3974" s="20">
        <f>Разбивка_по_щитам!C3979</f>
      </c>
      <c r="D3974" s="20">
        <f>Разбивка_по_щитам!F3979</f>
      </c>
      <c r="E3974" s="20">
        <f>Разбивка_по_щитам!H3979</f>
      </c>
      <c r="F3974" s="20">
        <f>Разбивка_по_щитам!I3979</f>
      </c>
      <c r="G3974" s="20">
        <f>Разбивка_по_щитам!J3979</f>
      </c>
      <c r="H3974" s="20">
        <f>Разбивка_по_щитам!K3979</f>
      </c>
      <c r="I3974" s="20">
        <f>Разбивка_по_щитам!L3979</f>
      </c>
      <c r="J3974" s="20">
        <f>Разбивка_по_щитам!M3979</f>
      </c>
      <c r="K3974" s="20">
        <f>Разбивка_по_щитам!N3979</f>
      </c>
      <c r="L3974" s="20"/>
      <c r="M3974" s="20">
        <f>Разбивка_по_щитам!P3979</f>
      </c>
      <c r="N3974" s="20"/>
    </row>
    <row r="3975" spans="2:14" x14ac:dyDescent="0.25">
      <c r="B3975" s="20">
        <f>Разбивка_по_щитам!B3980</f>
      </c>
      <c r="C3975" s="20">
        <f>Разбивка_по_щитам!C3980</f>
      </c>
      <c r="D3975" s="20">
        <f>Разбивка_по_щитам!F3980</f>
      </c>
      <c r="E3975" s="20">
        <f>Разбивка_по_щитам!H3980</f>
      </c>
      <c r="F3975" s="20">
        <f>Разбивка_по_щитам!I3980</f>
      </c>
      <c r="G3975" s="20">
        <f>Разбивка_по_щитам!J3980</f>
      </c>
      <c r="H3975" s="20">
        <f>Разбивка_по_щитам!K3980</f>
      </c>
      <c r="I3975" s="20">
        <f>Разбивка_по_щитам!L3980</f>
      </c>
      <c r="J3975" s="20">
        <f>Разбивка_по_щитам!M3980</f>
      </c>
      <c r="K3975" s="20">
        <f>Разбивка_по_щитам!N3980</f>
      </c>
      <c r="L3975" s="20"/>
      <c r="M3975" s="20">
        <f>Разбивка_по_щитам!P3980</f>
      </c>
      <c r="N3975" s="20"/>
    </row>
    <row r="3976" spans="2:14" x14ac:dyDescent="0.25">
      <c r="B3976" s="20">
        <f>Разбивка_по_щитам!B3981</f>
      </c>
      <c r="C3976" s="20">
        <f>Разбивка_по_щитам!C3981</f>
      </c>
      <c r="D3976" s="20">
        <f>Разбивка_по_щитам!F3981</f>
      </c>
      <c r="E3976" s="20">
        <f>Разбивка_по_щитам!H3981</f>
      </c>
      <c r="F3976" s="20">
        <f>Разбивка_по_щитам!I3981</f>
      </c>
      <c r="G3976" s="20">
        <f>Разбивка_по_щитам!J3981</f>
      </c>
      <c r="H3976" s="20">
        <f>Разбивка_по_щитам!K3981</f>
      </c>
      <c r="I3976" s="20">
        <f>Разбивка_по_щитам!L3981</f>
      </c>
      <c r="J3976" s="20">
        <f>Разбивка_по_щитам!M3981</f>
      </c>
      <c r="K3976" s="20">
        <f>Разбивка_по_щитам!N3981</f>
      </c>
      <c r="L3976" s="20"/>
      <c r="M3976" s="20">
        <f>Разбивка_по_щитам!P3981</f>
      </c>
      <c r="N3976" s="20"/>
    </row>
    <row r="3977" spans="2:14" x14ac:dyDescent="0.25">
      <c r="B3977" s="20">
        <f>Разбивка_по_щитам!B3982</f>
      </c>
      <c r="C3977" s="20">
        <f>Разбивка_по_щитам!C3982</f>
      </c>
      <c r="D3977" s="20">
        <f>Разбивка_по_щитам!F3982</f>
      </c>
      <c r="E3977" s="20">
        <f>Разбивка_по_щитам!H3982</f>
      </c>
      <c r="F3977" s="20">
        <f>Разбивка_по_щитам!I3982</f>
      </c>
      <c r="G3977" s="20">
        <f>Разбивка_по_щитам!J3982</f>
      </c>
      <c r="H3977" s="20">
        <f>Разбивка_по_щитам!K3982</f>
      </c>
      <c r="I3977" s="20">
        <f>Разбивка_по_щитам!L3982</f>
      </c>
      <c r="J3977" s="20">
        <f>Разбивка_по_щитам!M3982</f>
      </c>
      <c r="K3977" s="20">
        <f>Разбивка_по_щитам!N3982</f>
      </c>
      <c r="L3977" s="20"/>
      <c r="M3977" s="20">
        <f>Разбивка_по_щитам!P3982</f>
      </c>
      <c r="N3977" s="20"/>
    </row>
    <row r="3978" spans="2:14" x14ac:dyDescent="0.25">
      <c r="B3978" s="20">
        <f>Разбивка_по_щитам!B3983</f>
      </c>
      <c r="C3978" s="20">
        <f>Разбивка_по_щитам!C3983</f>
      </c>
      <c r="D3978" s="20">
        <f>Разбивка_по_щитам!F3983</f>
      </c>
      <c r="E3978" s="20">
        <f>Разбивка_по_щитам!H3983</f>
      </c>
      <c r="F3978" s="20">
        <f>Разбивка_по_щитам!I3983</f>
      </c>
      <c r="G3978" s="20">
        <f>Разбивка_по_щитам!J3983</f>
      </c>
      <c r="H3978" s="20">
        <f>Разбивка_по_щитам!K3983</f>
      </c>
      <c r="I3978" s="20">
        <f>Разбивка_по_щитам!L3983</f>
      </c>
      <c r="J3978" s="20">
        <f>Разбивка_по_щитам!M3983</f>
      </c>
      <c r="K3978" s="20">
        <f>Разбивка_по_щитам!N3983</f>
      </c>
      <c r="L3978" s="20"/>
      <c r="M3978" s="20">
        <f>Разбивка_по_щитам!P3983</f>
      </c>
      <c r="N3978" s="20"/>
    </row>
    <row r="3979" spans="2:14" x14ac:dyDescent="0.25">
      <c r="B3979" s="20">
        <f>Разбивка_по_щитам!B3984</f>
      </c>
      <c r="C3979" s="20">
        <f>Разбивка_по_щитам!C3984</f>
      </c>
      <c r="D3979" s="20">
        <f>Разбивка_по_щитам!F3984</f>
      </c>
      <c r="E3979" s="20">
        <f>Разбивка_по_щитам!H3984</f>
      </c>
      <c r="F3979" s="20">
        <f>Разбивка_по_щитам!I3984</f>
      </c>
      <c r="G3979" s="20">
        <f>Разбивка_по_щитам!J3984</f>
      </c>
      <c r="H3979" s="20">
        <f>Разбивка_по_щитам!K3984</f>
      </c>
      <c r="I3979" s="20">
        <f>Разбивка_по_щитам!L3984</f>
      </c>
      <c r="J3979" s="20">
        <f>Разбивка_по_щитам!M3984</f>
      </c>
      <c r="K3979" s="20">
        <f>Разбивка_по_щитам!N3984</f>
      </c>
      <c r="L3979" s="20"/>
      <c r="M3979" s="20">
        <f>Разбивка_по_щитам!P3984</f>
      </c>
      <c r="N3979" s="20"/>
    </row>
    <row r="3980" spans="2:14" x14ac:dyDescent="0.25">
      <c r="B3980" s="20">
        <f>Разбивка_по_щитам!B3985</f>
      </c>
      <c r="C3980" s="20">
        <f>Разбивка_по_щитам!C3985</f>
      </c>
      <c r="D3980" s="20">
        <f>Разбивка_по_щитам!F3985</f>
      </c>
      <c r="E3980" s="20">
        <f>Разбивка_по_щитам!H3985</f>
      </c>
      <c r="F3980" s="20">
        <f>Разбивка_по_щитам!I3985</f>
      </c>
      <c r="G3980" s="20">
        <f>Разбивка_по_щитам!J3985</f>
      </c>
      <c r="H3980" s="20">
        <f>Разбивка_по_щитам!K3985</f>
      </c>
      <c r="I3980" s="20">
        <f>Разбивка_по_щитам!L3985</f>
      </c>
      <c r="J3980" s="20">
        <f>Разбивка_по_щитам!M3985</f>
      </c>
      <c r="K3980" s="20">
        <f>Разбивка_по_щитам!N3985</f>
      </c>
      <c r="L3980" s="20"/>
      <c r="M3980" s="20">
        <f>Разбивка_по_щитам!P3985</f>
      </c>
      <c r="N3980" s="20"/>
    </row>
    <row r="3981" spans="2:14" x14ac:dyDescent="0.25">
      <c r="B3981" s="20">
        <f>Разбивка_по_щитам!B3986</f>
      </c>
      <c r="C3981" s="20">
        <f>Разбивка_по_щитам!C3986</f>
      </c>
      <c r="D3981" s="20">
        <f>Разбивка_по_щитам!F3986</f>
      </c>
      <c r="E3981" s="20">
        <f>Разбивка_по_щитам!H3986</f>
      </c>
      <c r="F3981" s="20">
        <f>Разбивка_по_щитам!I3986</f>
      </c>
      <c r="G3981" s="20">
        <f>Разбивка_по_щитам!J3986</f>
      </c>
      <c r="H3981" s="20">
        <f>Разбивка_по_щитам!K3986</f>
      </c>
      <c r="I3981" s="20">
        <f>Разбивка_по_щитам!L3986</f>
      </c>
      <c r="J3981" s="20">
        <f>Разбивка_по_щитам!M3986</f>
      </c>
      <c r="K3981" s="20">
        <f>Разбивка_по_щитам!N3986</f>
      </c>
      <c r="L3981" s="20"/>
      <c r="M3981" s="20">
        <f>Разбивка_по_щитам!P3986</f>
      </c>
      <c r="N3981" s="20"/>
    </row>
    <row r="3982" spans="2:14" x14ac:dyDescent="0.25">
      <c r="B3982" s="20">
        <f>Разбивка_по_щитам!B3987</f>
      </c>
      <c r="C3982" s="20">
        <f>Разбивка_по_щитам!C3987</f>
      </c>
      <c r="D3982" s="20">
        <f>Разбивка_по_щитам!F3987</f>
      </c>
      <c r="E3982" s="20">
        <f>Разбивка_по_щитам!H3987</f>
      </c>
      <c r="F3982" s="20">
        <f>Разбивка_по_щитам!I3987</f>
      </c>
      <c r="G3982" s="20">
        <f>Разбивка_по_щитам!J3987</f>
      </c>
      <c r="H3982" s="20">
        <f>Разбивка_по_щитам!K3987</f>
      </c>
      <c r="I3982" s="20">
        <f>Разбивка_по_щитам!L3987</f>
      </c>
      <c r="J3982" s="20">
        <f>Разбивка_по_щитам!M3987</f>
      </c>
      <c r="K3982" s="20">
        <f>Разбивка_по_щитам!N3987</f>
      </c>
      <c r="L3982" s="20"/>
      <c r="M3982" s="20">
        <f>Разбивка_по_щитам!P3987</f>
      </c>
      <c r="N3982" s="20"/>
    </row>
    <row r="3983" spans="2:14" x14ac:dyDescent="0.25">
      <c r="B3983" s="20">
        <f>Разбивка_по_щитам!B3988</f>
      </c>
      <c r="C3983" s="20">
        <f>Разбивка_по_щитам!C3988</f>
      </c>
      <c r="D3983" s="20">
        <f>Разбивка_по_щитам!F3988</f>
      </c>
      <c r="E3983" s="20">
        <f>Разбивка_по_щитам!H3988</f>
      </c>
      <c r="F3983" s="20">
        <f>Разбивка_по_щитам!I3988</f>
      </c>
      <c r="G3983" s="20">
        <f>Разбивка_по_щитам!J3988</f>
      </c>
      <c r="H3983" s="20">
        <f>Разбивка_по_щитам!K3988</f>
      </c>
      <c r="I3983" s="20">
        <f>Разбивка_по_щитам!L3988</f>
      </c>
      <c r="J3983" s="20">
        <f>Разбивка_по_щитам!M3988</f>
      </c>
      <c r="K3983" s="20">
        <f>Разбивка_по_щитам!N3988</f>
      </c>
      <c r="L3983" s="20"/>
      <c r="M3983" s="20">
        <f>Разбивка_по_щитам!P3988</f>
      </c>
      <c r="N3983" s="20"/>
    </row>
    <row r="3984" spans="2:14" x14ac:dyDescent="0.25">
      <c r="B3984" s="20">
        <f>Разбивка_по_щитам!B3989</f>
      </c>
      <c r="C3984" s="20">
        <f>Разбивка_по_щитам!C3989</f>
      </c>
      <c r="D3984" s="20">
        <f>Разбивка_по_щитам!F3989</f>
      </c>
      <c r="E3984" s="20">
        <f>Разбивка_по_щитам!H3989</f>
      </c>
      <c r="F3984" s="20">
        <f>Разбивка_по_щитам!I3989</f>
      </c>
      <c r="G3984" s="20">
        <f>Разбивка_по_щитам!J3989</f>
      </c>
      <c r="H3984" s="20">
        <f>Разбивка_по_щитам!K3989</f>
      </c>
      <c r="I3984" s="20">
        <f>Разбивка_по_щитам!L3989</f>
      </c>
      <c r="J3984" s="20">
        <f>Разбивка_по_щитам!M3989</f>
      </c>
      <c r="K3984" s="20">
        <f>Разбивка_по_щитам!N3989</f>
      </c>
      <c r="L3984" s="20"/>
      <c r="M3984" s="20">
        <f>Разбивка_по_щитам!P3989</f>
      </c>
      <c r="N3984" s="20"/>
    </row>
    <row r="3985" spans="2:14" x14ac:dyDescent="0.25">
      <c r="B3985" s="20">
        <f>Разбивка_по_щитам!B3990</f>
      </c>
      <c r="C3985" s="20">
        <f>Разбивка_по_щитам!C3990</f>
      </c>
      <c r="D3985" s="20">
        <f>Разбивка_по_щитам!F3990</f>
      </c>
      <c r="E3985" s="20">
        <f>Разбивка_по_щитам!H3990</f>
      </c>
      <c r="F3985" s="20">
        <f>Разбивка_по_щитам!I3990</f>
      </c>
      <c r="G3985" s="20">
        <f>Разбивка_по_щитам!J3990</f>
      </c>
      <c r="H3985" s="20">
        <f>Разбивка_по_щитам!K3990</f>
      </c>
      <c r="I3985" s="20">
        <f>Разбивка_по_щитам!L3990</f>
      </c>
      <c r="J3985" s="20">
        <f>Разбивка_по_щитам!M3990</f>
      </c>
      <c r="K3985" s="20">
        <f>Разбивка_по_щитам!N3990</f>
      </c>
      <c r="L3985" s="20"/>
      <c r="M3985" s="20">
        <f>Разбивка_по_щитам!P3990</f>
      </c>
      <c r="N3985" s="20"/>
    </row>
    <row r="3986" spans="2:14" x14ac:dyDescent="0.25">
      <c r="B3986" s="20">
        <f>Разбивка_по_щитам!B3991</f>
      </c>
      <c r="C3986" s="20">
        <f>Разбивка_по_щитам!C3991</f>
      </c>
      <c r="D3986" s="20">
        <f>Разбивка_по_щитам!F3991</f>
      </c>
      <c r="E3986" s="20">
        <f>Разбивка_по_щитам!H3991</f>
      </c>
      <c r="F3986" s="20">
        <f>Разбивка_по_щитам!I3991</f>
      </c>
      <c r="G3986" s="20">
        <f>Разбивка_по_щитам!J3991</f>
      </c>
      <c r="H3986" s="20">
        <f>Разбивка_по_щитам!K3991</f>
      </c>
      <c r="I3986" s="20">
        <f>Разбивка_по_щитам!L3991</f>
      </c>
      <c r="J3986" s="20">
        <f>Разбивка_по_щитам!M3991</f>
      </c>
      <c r="K3986" s="20">
        <f>Разбивка_по_щитам!N3991</f>
      </c>
      <c r="L3986" s="20"/>
      <c r="M3986" s="20">
        <f>Разбивка_по_щитам!P3991</f>
      </c>
      <c r="N3986" s="20"/>
    </row>
    <row r="3987" spans="2:14" x14ac:dyDescent="0.25">
      <c r="B3987" s="20">
        <f>Разбивка_по_щитам!B3992</f>
      </c>
      <c r="C3987" s="20">
        <f>Разбивка_по_щитам!C3992</f>
      </c>
      <c r="D3987" s="20">
        <f>Разбивка_по_щитам!F3992</f>
      </c>
      <c r="E3987" s="20">
        <f>Разбивка_по_щитам!H3992</f>
      </c>
      <c r="F3987" s="20">
        <f>Разбивка_по_щитам!I3992</f>
      </c>
      <c r="G3987" s="20">
        <f>Разбивка_по_щитам!J3992</f>
      </c>
      <c r="H3987" s="20">
        <f>Разбивка_по_щитам!K3992</f>
      </c>
      <c r="I3987" s="20">
        <f>Разбивка_по_щитам!L3992</f>
      </c>
      <c r="J3987" s="20">
        <f>Разбивка_по_щитам!M3992</f>
      </c>
      <c r="K3987" s="20">
        <f>Разбивка_по_щитам!N3992</f>
      </c>
      <c r="L3987" s="20"/>
      <c r="M3987" s="20">
        <f>Разбивка_по_щитам!P3992</f>
      </c>
      <c r="N3987" s="20"/>
    </row>
    <row r="3988" spans="2:14" x14ac:dyDescent="0.25">
      <c r="B3988" s="20">
        <f>Разбивка_по_щитам!B3993</f>
      </c>
      <c r="C3988" s="20">
        <f>Разбивка_по_щитам!C3993</f>
      </c>
      <c r="D3988" s="20">
        <f>Разбивка_по_щитам!F3993</f>
      </c>
      <c r="E3988" s="20">
        <f>Разбивка_по_щитам!H3993</f>
      </c>
      <c r="F3988" s="20">
        <f>Разбивка_по_щитам!I3993</f>
      </c>
      <c r="G3988" s="20">
        <f>Разбивка_по_щитам!J3993</f>
      </c>
      <c r="H3988" s="20">
        <f>Разбивка_по_щитам!K3993</f>
      </c>
      <c r="I3988" s="20">
        <f>Разбивка_по_щитам!L3993</f>
      </c>
      <c r="J3988" s="20">
        <f>Разбивка_по_щитам!M3993</f>
      </c>
      <c r="K3988" s="20">
        <f>Разбивка_по_щитам!N3993</f>
      </c>
      <c r="L3988" s="20"/>
      <c r="M3988" s="20">
        <f>Разбивка_по_щитам!P3993</f>
      </c>
      <c r="N3988" s="20"/>
    </row>
    <row r="3989" spans="2:14" x14ac:dyDescent="0.25">
      <c r="B3989" s="20">
        <f>Разбивка_по_щитам!B3994</f>
      </c>
      <c r="C3989" s="20">
        <f>Разбивка_по_щитам!C3994</f>
      </c>
      <c r="D3989" s="20">
        <f>Разбивка_по_щитам!F3994</f>
      </c>
      <c r="E3989" s="20">
        <f>Разбивка_по_щитам!H3994</f>
      </c>
      <c r="F3989" s="20">
        <f>Разбивка_по_щитам!I3994</f>
      </c>
      <c r="G3989" s="20">
        <f>Разбивка_по_щитам!J3994</f>
      </c>
      <c r="H3989" s="20">
        <f>Разбивка_по_щитам!K3994</f>
      </c>
      <c r="I3989" s="20">
        <f>Разбивка_по_щитам!L3994</f>
      </c>
      <c r="J3989" s="20">
        <f>Разбивка_по_щитам!M3994</f>
      </c>
      <c r="K3989" s="20">
        <f>Разбивка_по_щитам!N3994</f>
      </c>
      <c r="L3989" s="20"/>
      <c r="M3989" s="20">
        <f>Разбивка_по_щитам!P3994</f>
      </c>
      <c r="N3989" s="20"/>
    </row>
    <row r="3990" spans="2:14" x14ac:dyDescent="0.25">
      <c r="B3990" s="20">
        <f>Разбивка_по_щитам!B3995</f>
      </c>
      <c r="C3990" s="20">
        <f>Разбивка_по_щитам!C3995</f>
      </c>
      <c r="D3990" s="20">
        <f>Разбивка_по_щитам!F3995</f>
      </c>
      <c r="E3990" s="20">
        <f>Разбивка_по_щитам!H3995</f>
      </c>
      <c r="F3990" s="20">
        <f>Разбивка_по_щитам!I3995</f>
      </c>
      <c r="G3990" s="20">
        <f>Разбивка_по_щитам!J3995</f>
      </c>
      <c r="H3990" s="20">
        <f>Разбивка_по_щитам!K3995</f>
      </c>
      <c r="I3990" s="20">
        <f>Разбивка_по_щитам!L3995</f>
      </c>
      <c r="J3990" s="20">
        <f>Разбивка_по_щитам!M3995</f>
      </c>
      <c r="K3990" s="20">
        <f>Разбивка_по_щитам!N3995</f>
      </c>
      <c r="L3990" s="20"/>
      <c r="M3990" s="20">
        <f>Разбивка_по_щитам!P3995</f>
      </c>
      <c r="N3990" s="20"/>
    </row>
    <row r="3991" spans="2:14" x14ac:dyDescent="0.25">
      <c r="B3991" s="20">
        <f>Разбивка_по_щитам!B3996</f>
      </c>
      <c r="C3991" s="20">
        <f>Разбивка_по_щитам!C3996</f>
      </c>
      <c r="D3991" s="20">
        <f>Разбивка_по_щитам!F3996</f>
      </c>
      <c r="E3991" s="20">
        <f>Разбивка_по_щитам!H3996</f>
      </c>
      <c r="F3991" s="20">
        <f>Разбивка_по_щитам!I3996</f>
      </c>
      <c r="G3991" s="20">
        <f>Разбивка_по_щитам!J3996</f>
      </c>
      <c r="H3991" s="20">
        <f>Разбивка_по_щитам!K3996</f>
      </c>
      <c r="I3991" s="20">
        <f>Разбивка_по_щитам!L3996</f>
      </c>
      <c r="J3991" s="20">
        <f>Разбивка_по_щитам!M3996</f>
      </c>
      <c r="K3991" s="20">
        <f>Разбивка_по_щитам!N3996</f>
      </c>
      <c r="L3991" s="20"/>
      <c r="M3991" s="20">
        <f>Разбивка_по_щитам!P3996</f>
      </c>
      <c r="N3991" s="20"/>
    </row>
    <row r="3992" spans="2:14" x14ac:dyDescent="0.25">
      <c r="B3992" s="20">
        <f>Разбивка_по_щитам!B3997</f>
      </c>
      <c r="C3992" s="20">
        <f>Разбивка_по_щитам!C3997</f>
      </c>
      <c r="D3992" s="20">
        <f>Разбивка_по_щитам!F3997</f>
      </c>
      <c r="E3992" s="20">
        <f>Разбивка_по_щитам!H3997</f>
      </c>
      <c r="F3992" s="20">
        <f>Разбивка_по_щитам!I3997</f>
      </c>
      <c r="G3992" s="20">
        <f>Разбивка_по_щитам!J3997</f>
      </c>
      <c r="H3992" s="20">
        <f>Разбивка_по_щитам!K3997</f>
      </c>
      <c r="I3992" s="20">
        <f>Разбивка_по_щитам!L3997</f>
      </c>
      <c r="J3992" s="20">
        <f>Разбивка_по_щитам!M3997</f>
      </c>
      <c r="K3992" s="20">
        <f>Разбивка_по_щитам!N3997</f>
      </c>
      <c r="L3992" s="20"/>
      <c r="M3992" s="20">
        <f>Разбивка_по_щитам!P3997</f>
      </c>
      <c r="N3992" s="20"/>
    </row>
    <row r="3993" spans="2:14" x14ac:dyDescent="0.25">
      <c r="B3993" s="20">
        <f>Разбивка_по_щитам!B3998</f>
      </c>
      <c r="C3993" s="20">
        <f>Разбивка_по_щитам!C3998</f>
      </c>
      <c r="D3993" s="20">
        <f>Разбивка_по_щитам!F3998</f>
      </c>
      <c r="E3993" s="20">
        <f>Разбивка_по_щитам!H3998</f>
      </c>
      <c r="F3993" s="20">
        <f>Разбивка_по_щитам!I3998</f>
      </c>
      <c r="G3993" s="20">
        <f>Разбивка_по_щитам!J3998</f>
      </c>
      <c r="H3993" s="20">
        <f>Разбивка_по_щитам!K3998</f>
      </c>
      <c r="I3993" s="20">
        <f>Разбивка_по_щитам!L3998</f>
      </c>
      <c r="J3993" s="20">
        <f>Разбивка_по_щитам!M3998</f>
      </c>
      <c r="K3993" s="20">
        <f>Разбивка_по_щитам!N3998</f>
      </c>
      <c r="L3993" s="20"/>
      <c r="M3993" s="20">
        <f>Разбивка_по_щитам!P3998</f>
      </c>
      <c r="N3993" s="20"/>
    </row>
    <row r="3994" spans="2:14" x14ac:dyDescent="0.25">
      <c r="B3994" s="20">
        <f>Разбивка_по_щитам!B3999</f>
      </c>
      <c r="C3994" s="20">
        <f>Разбивка_по_щитам!C3999</f>
      </c>
      <c r="D3994" s="20">
        <f>Разбивка_по_щитам!F3999</f>
      </c>
      <c r="E3994" s="20">
        <f>Разбивка_по_щитам!H3999</f>
      </c>
      <c r="F3994" s="20">
        <f>Разбивка_по_щитам!I3999</f>
      </c>
      <c r="G3994" s="20">
        <f>Разбивка_по_щитам!J3999</f>
      </c>
      <c r="H3994" s="20">
        <f>Разбивка_по_щитам!K3999</f>
      </c>
      <c r="I3994" s="20">
        <f>Разбивка_по_щитам!L3999</f>
      </c>
      <c r="J3994" s="20">
        <f>Разбивка_по_щитам!M3999</f>
      </c>
      <c r="K3994" s="20">
        <f>Разбивка_по_щитам!N3999</f>
      </c>
      <c r="L3994" s="20"/>
      <c r="M3994" s="20">
        <f>Разбивка_по_щитам!P3999</f>
      </c>
      <c r="N3994" s="20"/>
    </row>
    <row r="3995" spans="2:14" x14ac:dyDescent="0.25">
      <c r="B3995" s="20">
        <f>Разбивка_по_щитам!B4000</f>
      </c>
      <c r="C3995" s="20">
        <f>Разбивка_по_щитам!C4000</f>
      </c>
      <c r="D3995" s="20">
        <f>Разбивка_по_щитам!F4000</f>
      </c>
      <c r="E3995" s="20">
        <f>Разбивка_по_щитам!H4000</f>
      </c>
      <c r="F3995" s="20">
        <f>Разбивка_по_щитам!I4000</f>
      </c>
      <c r="G3995" s="20">
        <f>Разбивка_по_щитам!J4000</f>
      </c>
      <c r="H3995" s="20">
        <f>Разбивка_по_щитам!K4000</f>
      </c>
      <c r="I3995" s="20">
        <f>Разбивка_по_щитам!L4000</f>
      </c>
      <c r="J3995" s="20">
        <f>Разбивка_по_щитам!M4000</f>
      </c>
      <c r="K3995" s="20">
        <f>Разбивка_по_щитам!N4000</f>
      </c>
      <c r="L3995" s="20"/>
      <c r="M3995" s="20">
        <f>Разбивка_по_щитам!P4000</f>
      </c>
      <c r="N3995" s="20"/>
    </row>
    <row r="3996" spans="2:14" x14ac:dyDescent="0.25">
      <c r="B3996" s="20">
        <f>Разбивка_по_щитам!B4001</f>
      </c>
      <c r="C3996" s="20">
        <f>Разбивка_по_щитам!C4001</f>
      </c>
      <c r="D3996" s="20">
        <f>Разбивка_по_щитам!F4001</f>
      </c>
      <c r="E3996" s="20">
        <f>Разбивка_по_щитам!H4001</f>
      </c>
      <c r="F3996" s="20">
        <f>Разбивка_по_щитам!I4001</f>
      </c>
      <c r="G3996" s="20">
        <f>Разбивка_по_щитам!J4001</f>
      </c>
      <c r="H3996" s="20">
        <f>Разбивка_по_щитам!K4001</f>
      </c>
      <c r="I3996" s="20">
        <f>Разбивка_по_щитам!L4001</f>
      </c>
      <c r="J3996" s="20">
        <f>Разбивка_по_щитам!M4001</f>
      </c>
      <c r="K3996" s="20">
        <f>Разбивка_по_щитам!N4001</f>
      </c>
      <c r="L3996" s="20"/>
      <c r="M3996" s="20">
        <f>Разбивка_по_щитам!P4001</f>
      </c>
      <c r="N3996" s="20"/>
    </row>
    <row r="3997" spans="2:14" x14ac:dyDescent="0.25">
      <c r="B3997" s="20">
        <f>Разбивка_по_щитам!B4002</f>
      </c>
      <c r="C3997" s="20">
        <f>Разбивка_по_щитам!C4002</f>
      </c>
      <c r="D3997" s="20">
        <f>Разбивка_по_щитам!F4002</f>
      </c>
      <c r="E3997" s="20">
        <f>Разбивка_по_щитам!H4002</f>
      </c>
      <c r="F3997" s="20">
        <f>Разбивка_по_щитам!I4002</f>
      </c>
      <c r="G3997" s="20">
        <f>Разбивка_по_щитам!J4002</f>
      </c>
      <c r="H3997" s="20">
        <f>Разбивка_по_щитам!K4002</f>
      </c>
      <c r="I3997" s="20">
        <f>Разбивка_по_щитам!L4002</f>
      </c>
      <c r="J3997" s="20">
        <f>Разбивка_по_щитам!M4002</f>
      </c>
      <c r="K3997" s="20">
        <f>Разбивка_по_щитам!N4002</f>
      </c>
      <c r="L3997" s="20"/>
      <c r="M3997" s="20">
        <f>Разбивка_по_щитам!P4002</f>
      </c>
      <c r="N3997" s="20"/>
    </row>
    <row r="3998" spans="2:14" x14ac:dyDescent="0.25">
      <c r="B3998" s="20">
        <f>Разбивка_по_щитам!B4003</f>
      </c>
      <c r="C3998" s="20">
        <f>Разбивка_по_щитам!C4003</f>
      </c>
      <c r="D3998" s="20">
        <f>Разбивка_по_щитам!F4003</f>
      </c>
      <c r="E3998" s="20">
        <f>Разбивка_по_щитам!H4003</f>
      </c>
      <c r="F3998" s="20">
        <f>Разбивка_по_щитам!I4003</f>
      </c>
      <c r="G3998" s="20">
        <f>Разбивка_по_щитам!J4003</f>
      </c>
      <c r="H3998" s="20">
        <f>Разбивка_по_щитам!K4003</f>
      </c>
      <c r="I3998" s="20">
        <f>Разбивка_по_щитам!L4003</f>
      </c>
      <c r="J3998" s="20">
        <f>Разбивка_по_щитам!M4003</f>
      </c>
      <c r="K3998" s="20">
        <f>Разбивка_по_щитам!N4003</f>
      </c>
      <c r="L3998" s="20"/>
      <c r="M3998" s="20">
        <f>Разбивка_по_щитам!P4003</f>
      </c>
      <c r="N3998" s="20"/>
    </row>
    <row r="3999" spans="2:14" x14ac:dyDescent="0.25">
      <c r="B3999" s="20">
        <f>Разбивка_по_щитам!B4004</f>
      </c>
      <c r="C3999" s="20">
        <f>Разбивка_по_щитам!C4004</f>
      </c>
      <c r="D3999" s="20">
        <f>Разбивка_по_щитам!F4004</f>
      </c>
      <c r="E3999" s="20">
        <f>Разбивка_по_щитам!H4004</f>
      </c>
      <c r="F3999" s="20">
        <f>Разбивка_по_щитам!I4004</f>
      </c>
      <c r="G3999" s="20">
        <f>Разбивка_по_щитам!J4004</f>
      </c>
      <c r="H3999" s="20">
        <f>Разбивка_по_щитам!K4004</f>
      </c>
      <c r="I3999" s="20">
        <f>Разбивка_по_щитам!L4004</f>
      </c>
      <c r="J3999" s="20">
        <f>Разбивка_по_щитам!M4004</f>
      </c>
      <c r="K3999" s="20">
        <f>Разбивка_по_щитам!N4004</f>
      </c>
      <c r="L3999" s="20"/>
      <c r="M3999" s="20">
        <f>Разбивка_по_щитам!P4004</f>
      </c>
      <c r="N3999" s="20"/>
    </row>
    <row r="4000" spans="2:14" x14ac:dyDescent="0.25">
      <c r="B4000" s="20">
        <f>Разбивка_по_щитам!B4005</f>
      </c>
      <c r="C4000" s="20">
        <f>Разбивка_по_щитам!C4005</f>
      </c>
      <c r="D4000" s="20">
        <f>Разбивка_по_щитам!F4005</f>
      </c>
      <c r="E4000" s="20">
        <f>Разбивка_по_щитам!H4005</f>
      </c>
      <c r="F4000" s="20">
        <f>Разбивка_по_щитам!I4005</f>
      </c>
      <c r="G4000" s="20">
        <f>Разбивка_по_щитам!J4005</f>
      </c>
      <c r="H4000" s="20">
        <f>Разбивка_по_щитам!K4005</f>
      </c>
      <c r="I4000" s="20">
        <f>Разбивка_по_щитам!L4005</f>
      </c>
      <c r="J4000" s="20">
        <f>Разбивка_по_щитам!M4005</f>
      </c>
      <c r="K4000" s="20">
        <f>Разбивка_по_щитам!N4005</f>
      </c>
      <c r="L4000" s="20"/>
      <c r="M4000" s="20">
        <f>Разбивка_по_щитам!P4005</f>
      </c>
      <c r="N4000" s="20"/>
    </row>
  </sheetData>
  <mergeCells count="6">
    <mergeCell ref="Q20:U20"/>
    <mergeCell ref="Q5:U5"/>
    <mergeCell ref="Q6:U6"/>
    <mergeCell ref="Q12:U12"/>
    <mergeCell ref="Q13:U13"/>
    <mergeCell ref="Q19:U19"/>
  </mergeCells>
  <conditionalFormatting sqref="B2:N4000">
    <cfRule type="expression" dxfId="9747" priority="2">
      <formula>_xlfn.ISFORMULA(B2)=TRUE</formula>
    </cfRule>
  </conditionalFormatting>
  <conditionalFormatting sqref="P2:U4 P5:Q6 P7:U11 P12:Q13 P14:U18 P19:Q20 P21:U255">
    <cfRule type="expression" dxfId="9746" priority="1">
      <formula>_xlfn.ISFORMULA(P2)=TRUE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460DF-5547-4C44-98CC-F4B5A8B0B139}">
  <sheetPr>
    <tabColor rgb="FFA6A6A6"/>
  </sheetPr>
  <dimension ref="B1:AF503"/>
  <sheetViews>
    <sheetView workbookViewId="0"/>
  </sheetViews>
  <sheetFormatPr defaultRowHeight="14.4" x14ac:dyDescent="0.3"/>
  <cols>
    <col min="2" max="2" width="18.109375" customWidth="1"/>
    <col min="3" max="3" width="7" bestFit="1" customWidth="1"/>
    <col min="4" max="4" width="9" bestFit="1" customWidth="1"/>
    <col min="5" max="6" width="6.109375" bestFit="1" customWidth="1"/>
    <col min="8" max="8" width="8.5546875" bestFit="1" customWidth="1"/>
    <col min="10" max="10" width="8.5546875" bestFit="1" customWidth="1"/>
    <col min="11" max="11" width="9.5546875" bestFit="1" customWidth="1"/>
    <col min="13" max="13" width="14.5546875" bestFit="1" customWidth="1"/>
    <col min="17" max="17" width="19.33203125" customWidth="1"/>
    <col min="18" max="18" width="15" customWidth="1"/>
    <col min="20" max="20" width="20.88671875" style="91" bestFit="1" customWidth="1"/>
    <col min="21" max="21" width="19" bestFit="1" customWidth="1"/>
    <col min="22" max="22" width="17.33203125" bestFit="1" customWidth="1"/>
    <col min="23" max="24" width="17.33203125" customWidth="1"/>
    <col min="26" max="26" width="10.88671875" bestFit="1" customWidth="1"/>
    <col min="27" max="27" width="7.88671875" bestFit="1" customWidth="1"/>
    <col min="30" max="30" width="11.33203125" bestFit="1" customWidth="1"/>
    <col min="31" max="31" width="10.88671875" bestFit="1" customWidth="1"/>
  </cols>
  <sheetData>
    <row r="1" spans="2:32" x14ac:dyDescent="0.3">
      <c r="T1" s="91">
        <v>1</v>
      </c>
      <c r="U1">
        <v>2</v>
      </c>
      <c r="V1">
        <v>3</v>
      </c>
      <c r="W1">
        <v>4</v>
      </c>
      <c r="X1">
        <v>5</v>
      </c>
    </row>
    <row r="2" spans="2:32" x14ac:dyDescent="0.3">
      <c r="B2" s="4" t="s">
        <v>285</v>
      </c>
      <c r="C2" s="81"/>
      <c r="D2" s="81"/>
      <c r="E2" s="81"/>
      <c r="F2" s="81"/>
      <c r="M2" s="4" t="s">
        <v>286</v>
      </c>
      <c r="Q2" s="4" t="s">
        <v>314</v>
      </c>
      <c r="Z2" s="4" t="s">
        <v>321</v>
      </c>
      <c r="AA2" t="s">
        <v>322</v>
      </c>
      <c r="AD2" s="4" t="s">
        <v>320</v>
      </c>
      <c r="AE2" t="s">
        <v>323</v>
      </c>
    </row>
    <row r="3" spans="2:32" x14ac:dyDescent="0.3">
      <c r="B3" s="4" t="s">
        <v>1</v>
      </c>
      <c r="C3" s="4" t="s">
        <v>291</v>
      </c>
      <c r="D3" s="4" t="s">
        <v>292</v>
      </c>
      <c r="E3" s="4" t="s">
        <v>293</v>
      </c>
      <c r="F3" s="4" t="s">
        <v>294</v>
      </c>
      <c r="G3" s="4" t="s">
        <v>282</v>
      </c>
      <c r="H3" s="4" t="s">
        <v>288</v>
      </c>
      <c r="I3" s="4" t="s">
        <v>283</v>
      </c>
      <c r="J3" s="4" t="s">
        <v>287</v>
      </c>
      <c r="K3" s="4" t="s">
        <v>284</v>
      </c>
      <c r="M3" s="4" t="s">
        <v>1</v>
      </c>
      <c r="N3" s="4" t="s">
        <v>289</v>
      </c>
      <c r="O3" s="4" t="s">
        <v>290</v>
      </c>
      <c r="Q3" s="4" t="s">
        <v>72</v>
      </c>
      <c r="R3" s="4" t="s">
        <v>315</v>
      </c>
      <c r="S3" s="4" t="s">
        <v>6</v>
      </c>
      <c r="T3" s="4" t="s">
        <v>18</v>
      </c>
      <c r="U3" s="4" t="s">
        <v>316</v>
      </c>
      <c r="V3" s="4" t="s">
        <v>334</v>
      </c>
      <c r="W3" s="4" t="s">
        <v>344</v>
      </c>
      <c r="X3" s="4" t="s">
        <v>345</v>
      </c>
      <c r="Z3" s="4" t="s">
        <v>319</v>
      </c>
      <c r="AA3" s="4" t="s">
        <v>275</v>
      </c>
      <c r="AB3" s="4" t="s">
        <v>318</v>
      </c>
      <c r="AD3" s="4" t="s">
        <v>319</v>
      </c>
      <c r="AE3" s="4" t="s">
        <v>275</v>
      </c>
      <c r="AF3" s="4" t="s">
        <v>318</v>
      </c>
    </row>
    <row r="4" spans="2:32" x14ac:dyDescent="0.3">
      <c r="B4" s="4">
        <v>0.09</v>
      </c>
      <c r="C4" s="4">
        <v>0.37</v>
      </c>
      <c r="D4" s="4">
        <v>1.67</v>
      </c>
      <c r="E4" s="4">
        <f>ROUNDUP(B4/G4/K4/0.22,2)</f>
      </c>
      <c r="F4" s="4">
        <f>ROUNDUP(E4*J4,2)</f>
      </c>
      <c r="G4" s="4">
        <v>0.56999999999999995</v>
      </c>
      <c r="H4" s="4">
        <v>4.5</v>
      </c>
      <c r="I4" s="4">
        <v>0.65</v>
      </c>
      <c r="J4" s="4">
        <v>3.5</v>
      </c>
      <c r="K4" s="4">
        <v>0.85</v>
      </c>
      <c r="M4" s="4">
        <v>0.01</v>
      </c>
      <c r="N4" s="4">
        <v>40</v>
      </c>
      <c r="O4" s="4">
        <v>0.11</v>
      </c>
      <c r="Q4" s="4" t="s">
        <v>21</v>
      </c>
      <c r="R4" s="4">
        <v>1</v>
      </c>
      <c r="S4" s="4">
        <v>1.5</v>
      </c>
      <c r="T4" s="90">
        <f>Q4&amp;" ("&amp;R4&amp;"х"&amp;S4&amp;")"</f>
      </c>
      <c r="U4" s="4">
        <v>5.4</v>
      </c>
      <c r="V4" s="4">
        <f>IF((U4*1.2)&lt;14,14,U4*1.2)</f>
      </c>
      <c r="W4" s="4">
        <f>"Ø"&amp;VLOOKUP(V4,$Z$4:$AA$10,2,TRUE)</f>
      </c>
      <c r="X4" s="4">
        <f>"Ø"&amp;VLOOKUP(V4,$AD$4:$AE$10,2,TRUE)</f>
      </c>
      <c r="Z4" s="4">
        <v>0</v>
      </c>
      <c r="AA4" s="4">
        <v>16</v>
      </c>
      <c r="AB4" s="4">
        <v>16</v>
      </c>
      <c r="AD4" s="4">
        <v>0</v>
      </c>
      <c r="AE4" s="4">
        <v>16</v>
      </c>
      <c r="AF4" s="4">
        <v>16</v>
      </c>
    </row>
    <row r="5" spans="2:32" x14ac:dyDescent="0.3">
      <c r="B5" s="4">
        <v>0.12</v>
      </c>
      <c r="C5" s="4">
        <v>0.49</v>
      </c>
      <c r="D5" s="4">
        <v>2.4500000000000002</v>
      </c>
      <c r="E5" s="4">
        <f t="shared" ref="E5:E16" si="0">ROUNDUP(B5/G5/K5/0.22,2)</f>
      </c>
      <c r="F5" s="4">
        <f t="shared" ref="F5:F16" si="1">ROUNDUP(E5*J5,2)</f>
      </c>
      <c r="G5" s="4">
        <v>0.56999999999999995</v>
      </c>
      <c r="H5" s="4">
        <v>5</v>
      </c>
      <c r="I5" s="4">
        <v>0.66</v>
      </c>
      <c r="J5" s="4">
        <v>3.5</v>
      </c>
      <c r="K5" s="4">
        <v>0.85</v>
      </c>
      <c r="M5" s="4">
        <v>1.2E-2</v>
      </c>
      <c r="N5" s="4">
        <v>40</v>
      </c>
      <c r="O5" s="4">
        <v>0.13</v>
      </c>
      <c r="Q5" s="4" t="s">
        <v>21</v>
      </c>
      <c r="R5" s="4">
        <v>2</v>
      </c>
      <c r="S5" s="4">
        <v>1.5</v>
      </c>
      <c r="T5" s="90">
        <f t="shared" ref="T5:T23" si="2">Q5&amp;" ("&amp;R5&amp;"х"&amp;S5&amp;")"</f>
      </c>
      <c r="U5" s="4">
        <v>9</v>
      </c>
      <c r="V5" s="4">
        <f t="shared" ref="V5:V68" si="3">IF((U5*1.2)&lt;14,14,U5*1.2)</f>
      </c>
      <c r="W5" s="4">
        <f t="shared" ref="W5:W68" si="4">"Ø"&amp;VLOOKUP(V5,$Z$4:$AA$10,2,TRUE)</f>
      </c>
      <c r="X5" s="4">
        <f t="shared" ref="X5:X68" si="5">"Ø"&amp;VLOOKUP(V5,$AD$4:$AE$10,2,TRUE)</f>
      </c>
      <c r="Z5" s="4">
        <v>11.5</v>
      </c>
      <c r="AA5" s="4">
        <v>20</v>
      </c>
      <c r="AB5" s="4">
        <v>20</v>
      </c>
      <c r="AD5" s="4">
        <v>11.3</v>
      </c>
      <c r="AE5" s="4">
        <v>20</v>
      </c>
      <c r="AF5" s="4">
        <v>20</v>
      </c>
    </row>
    <row r="6" spans="2:32" x14ac:dyDescent="0.3">
      <c r="B6" s="4">
        <v>0.18</v>
      </c>
      <c r="C6" s="4">
        <v>0.67</v>
      </c>
      <c r="D6" s="4">
        <v>3.35</v>
      </c>
      <c r="E6" s="4">
        <f t="shared" si="0"/>
      </c>
      <c r="F6" s="4">
        <f t="shared" si="1"/>
      </c>
      <c r="G6" s="4">
        <v>0.6</v>
      </c>
      <c r="H6" s="4">
        <v>5</v>
      </c>
      <c r="I6" s="4">
        <v>0.68</v>
      </c>
      <c r="J6" s="4">
        <v>3.5</v>
      </c>
      <c r="K6" s="4">
        <v>0.87</v>
      </c>
      <c r="M6" s="4">
        <v>1.4999999999999999E-2</v>
      </c>
      <c r="N6" s="4">
        <v>45</v>
      </c>
      <c r="O6" s="4">
        <v>0.16</v>
      </c>
      <c r="Q6" s="4" t="s">
        <v>21</v>
      </c>
      <c r="R6" s="4">
        <v>3</v>
      </c>
      <c r="S6" s="4">
        <v>1.5</v>
      </c>
      <c r="T6" s="90">
        <f t="shared" si="2"/>
      </c>
      <c r="U6" s="4">
        <v>9.4</v>
      </c>
      <c r="V6" s="4">
        <f t="shared" si="3"/>
      </c>
      <c r="W6" s="4">
        <f t="shared" si="4"/>
      </c>
      <c r="X6" s="4">
        <f t="shared" si="5"/>
      </c>
      <c r="Z6" s="4">
        <v>14.9</v>
      </c>
      <c r="AA6" s="4">
        <v>25</v>
      </c>
      <c r="AB6" s="4">
        <v>25</v>
      </c>
      <c r="AD6" s="4">
        <v>14.5</v>
      </c>
      <c r="AE6" s="4">
        <v>25</v>
      </c>
      <c r="AF6" s="4">
        <v>25</v>
      </c>
    </row>
    <row r="7" spans="2:32" x14ac:dyDescent="0.3">
      <c r="B7" s="4">
        <v>0.25</v>
      </c>
      <c r="C7" s="4">
        <v>0.87</v>
      </c>
      <c r="D7" s="4">
        <v>4.3499999999999996</v>
      </c>
      <c r="E7" s="4">
        <f t="shared" si="0"/>
      </c>
      <c r="F7" s="4">
        <f t="shared" si="1"/>
      </c>
      <c r="G7" s="4">
        <v>0.65</v>
      </c>
      <c r="H7" s="4">
        <v>5</v>
      </c>
      <c r="I7" s="4">
        <v>0.67</v>
      </c>
      <c r="J7" s="4">
        <v>3.5</v>
      </c>
      <c r="K7" s="4">
        <v>0.9</v>
      </c>
      <c r="M7" s="4">
        <v>0.02</v>
      </c>
      <c r="N7" s="4">
        <v>45</v>
      </c>
      <c r="O7" s="4">
        <v>0.22</v>
      </c>
      <c r="Q7" s="4" t="s">
        <v>21</v>
      </c>
      <c r="R7" s="4">
        <v>4</v>
      </c>
      <c r="S7" s="4">
        <v>1.5</v>
      </c>
      <c r="T7" s="90">
        <f t="shared" si="2"/>
      </c>
      <c r="U7" s="4">
        <v>10.199999999999999</v>
      </c>
      <c r="V7" s="4">
        <f t="shared" si="3"/>
      </c>
      <c r="W7" s="4">
        <f t="shared" si="4"/>
      </c>
      <c r="X7" s="4">
        <f t="shared" si="5"/>
      </c>
      <c r="Z7" s="4">
        <v>19</v>
      </c>
      <c r="AA7" s="4">
        <v>32</v>
      </c>
      <c r="AB7" s="4">
        <v>32</v>
      </c>
      <c r="AD7" s="4">
        <v>18.7</v>
      </c>
      <c r="AE7" s="4">
        <v>32</v>
      </c>
      <c r="AF7" s="4">
        <v>32</v>
      </c>
    </row>
    <row r="8" spans="2:32" x14ac:dyDescent="0.3">
      <c r="B8" s="4">
        <v>0.37</v>
      </c>
      <c r="C8" s="4">
        <v>1.18</v>
      </c>
      <c r="D8" s="4">
        <v>5.8999999999999995</v>
      </c>
      <c r="E8" s="4">
        <f t="shared" si="0"/>
      </c>
      <c r="F8" s="4">
        <f t="shared" si="1"/>
      </c>
      <c r="G8" s="4">
        <v>0.68</v>
      </c>
      <c r="H8" s="4">
        <v>5</v>
      </c>
      <c r="I8" s="4">
        <v>0.7</v>
      </c>
      <c r="J8" s="4">
        <v>3.5</v>
      </c>
      <c r="K8" s="4">
        <v>0.92</v>
      </c>
      <c r="M8" s="4">
        <v>0.03</v>
      </c>
      <c r="N8" s="4">
        <v>50</v>
      </c>
      <c r="O8" s="4">
        <v>0.31</v>
      </c>
      <c r="Q8" s="4" t="s">
        <v>21</v>
      </c>
      <c r="R8" s="4">
        <v>5</v>
      </c>
      <c r="S8" s="4">
        <v>1.5</v>
      </c>
      <c r="T8" s="90">
        <f t="shared" si="2"/>
      </c>
      <c r="U8" s="4">
        <v>11</v>
      </c>
      <c r="V8" s="4">
        <f t="shared" si="3"/>
      </c>
      <c r="W8" s="4">
        <f t="shared" si="4"/>
      </c>
      <c r="X8" s="4">
        <f t="shared" si="5"/>
      </c>
      <c r="Z8" s="4">
        <v>24.9</v>
      </c>
      <c r="AA8" s="4">
        <v>40</v>
      </c>
      <c r="AB8" s="4">
        <v>40</v>
      </c>
      <c r="AD8" s="4">
        <v>24.3</v>
      </c>
      <c r="AE8" s="4">
        <v>40</v>
      </c>
      <c r="AF8" s="4">
        <v>40</v>
      </c>
    </row>
    <row r="9" spans="2:32" x14ac:dyDescent="0.3">
      <c r="B9" s="4">
        <v>0.55000000000000004</v>
      </c>
      <c r="C9" s="4">
        <v>1.66</v>
      </c>
      <c r="D9" s="4">
        <v>8.2999999999999989</v>
      </c>
      <c r="E9" s="4">
        <f t="shared" si="0"/>
      </c>
      <c r="F9" s="4">
        <f t="shared" si="1"/>
      </c>
      <c r="G9" s="4">
        <v>0.71</v>
      </c>
      <c r="H9" s="4">
        <v>5</v>
      </c>
      <c r="I9" s="4">
        <v>0.71</v>
      </c>
      <c r="J9" s="4">
        <v>3.5</v>
      </c>
      <c r="K9" s="4">
        <v>0.93</v>
      </c>
      <c r="M9" s="4">
        <v>3.5999999999999997E-2</v>
      </c>
      <c r="N9" s="4">
        <v>50</v>
      </c>
      <c r="O9" s="4">
        <v>0.38</v>
      </c>
      <c r="Q9" s="4" t="s">
        <v>21</v>
      </c>
      <c r="R9" s="4">
        <v>1</v>
      </c>
      <c r="S9" s="4">
        <v>2.5</v>
      </c>
      <c r="T9" s="90">
        <f t="shared" si="2"/>
      </c>
      <c r="U9" s="4">
        <v>5.8</v>
      </c>
      <c r="V9" s="4">
        <f t="shared" si="3"/>
      </c>
      <c r="W9" s="4">
        <f t="shared" si="4"/>
      </c>
      <c r="X9" s="4">
        <f t="shared" si="5"/>
      </c>
      <c r="Z9" s="4">
        <v>31.8</v>
      </c>
      <c r="AA9" s="4">
        <v>50</v>
      </c>
      <c r="AB9" s="4">
        <v>50</v>
      </c>
      <c r="AD9" s="4">
        <v>30.7</v>
      </c>
      <c r="AE9" s="4">
        <v>50</v>
      </c>
      <c r="AF9" s="4">
        <v>50</v>
      </c>
    </row>
    <row r="10" spans="2:32" x14ac:dyDescent="0.3">
      <c r="B10" s="4">
        <v>0.75</v>
      </c>
      <c r="C10" s="4">
        <v>2.08</v>
      </c>
      <c r="D10" s="4">
        <v>10.4</v>
      </c>
      <c r="E10" s="4">
        <f t="shared" si="0"/>
      </c>
      <c r="F10" s="4">
        <f t="shared" si="1"/>
      </c>
      <c r="G10" s="4">
        <v>0.73</v>
      </c>
      <c r="H10" s="4">
        <v>5</v>
      </c>
      <c r="I10" s="4">
        <v>0.75</v>
      </c>
      <c r="J10" s="4">
        <v>3.5</v>
      </c>
      <c r="K10" s="4">
        <v>0.94</v>
      </c>
      <c r="M10" s="4">
        <v>0.04</v>
      </c>
      <c r="N10" s="4">
        <v>50</v>
      </c>
      <c r="O10" s="4">
        <v>0.4</v>
      </c>
      <c r="Q10" s="4" t="s">
        <v>21</v>
      </c>
      <c r="R10" s="4">
        <v>2</v>
      </c>
      <c r="S10" s="4">
        <v>2.5</v>
      </c>
      <c r="T10" s="90">
        <f t="shared" si="2"/>
      </c>
      <c r="U10" s="4">
        <v>9.6999999999999993</v>
      </c>
      <c r="V10" s="4">
        <f t="shared" si="3"/>
      </c>
      <c r="W10" s="4">
        <f t="shared" si="4"/>
      </c>
      <c r="X10" s="4">
        <f t="shared" si="5"/>
      </c>
      <c r="Z10" s="4">
        <v>40.200000000000003</v>
      </c>
      <c r="AA10" s="4" t="s">
        <v>346</v>
      </c>
      <c r="AB10" s="4" t="s">
        <v>346</v>
      </c>
      <c r="AD10" s="4">
        <v>38.9</v>
      </c>
      <c r="AE10" s="4" t="s">
        <v>346</v>
      </c>
      <c r="AF10" s="4" t="s">
        <v>346</v>
      </c>
    </row>
    <row r="11" spans="2:32" x14ac:dyDescent="0.3">
      <c r="B11" s="4">
        <v>1.1000000000000001</v>
      </c>
      <c r="C11" s="4">
        <v>2.85</v>
      </c>
      <c r="D11" s="4">
        <v>14.25</v>
      </c>
      <c r="E11" s="4">
        <f t="shared" si="0"/>
      </c>
      <c r="F11" s="4">
        <f t="shared" si="1"/>
      </c>
      <c r="G11" s="4">
        <v>0.76200000000000001</v>
      </c>
      <c r="H11" s="4">
        <v>5</v>
      </c>
      <c r="I11" s="4">
        <v>0.77</v>
      </c>
      <c r="J11" s="4">
        <v>3.5</v>
      </c>
      <c r="K11" s="4">
        <v>0.95</v>
      </c>
      <c r="M11" s="4">
        <v>4.4999999999999998E-2</v>
      </c>
      <c r="N11" s="4">
        <v>50</v>
      </c>
      <c r="O11" s="4">
        <v>0.45</v>
      </c>
      <c r="Q11" s="4" t="s">
        <v>21</v>
      </c>
      <c r="R11" s="4">
        <v>3</v>
      </c>
      <c r="S11" s="4">
        <v>2.5</v>
      </c>
      <c r="T11" s="90">
        <f t="shared" si="2"/>
      </c>
      <c r="U11" s="4">
        <v>10.199999999999999</v>
      </c>
      <c r="V11" s="4">
        <f t="shared" si="3"/>
      </c>
      <c r="W11" s="4">
        <f t="shared" si="4"/>
      </c>
      <c r="X11" s="4">
        <f t="shared" si="5"/>
      </c>
    </row>
    <row r="12" spans="2:32" x14ac:dyDescent="0.3">
      <c r="B12" s="4">
        <v>1.5</v>
      </c>
      <c r="C12" s="4">
        <v>3.63</v>
      </c>
      <c r="D12" s="4">
        <v>19.239999999999998</v>
      </c>
      <c r="E12" s="4">
        <f t="shared" si="0"/>
      </c>
      <c r="F12" s="4">
        <f t="shared" si="1"/>
      </c>
      <c r="G12" s="4">
        <v>0.78500000000000003</v>
      </c>
      <c r="H12" s="4">
        <v>5.3</v>
      </c>
      <c r="I12" s="4">
        <v>0.8</v>
      </c>
      <c r="J12" s="4">
        <v>3.5</v>
      </c>
      <c r="K12" s="4">
        <v>0.95</v>
      </c>
      <c r="M12" s="4">
        <v>0.06</v>
      </c>
      <c r="N12" s="4">
        <v>50</v>
      </c>
      <c r="O12" s="4">
        <v>0.75</v>
      </c>
      <c r="Q12" s="4" t="s">
        <v>21</v>
      </c>
      <c r="R12" s="4">
        <v>4</v>
      </c>
      <c r="S12" s="4">
        <v>2.5</v>
      </c>
      <c r="T12" s="90">
        <f t="shared" si="2"/>
      </c>
      <c r="U12" s="4">
        <v>11.1</v>
      </c>
      <c r="V12" s="4">
        <f t="shared" si="3"/>
      </c>
      <c r="W12" s="4">
        <f t="shared" si="4"/>
      </c>
      <c r="X12" s="4">
        <f t="shared" si="5"/>
      </c>
    </row>
    <row r="13" spans="2:32" x14ac:dyDescent="0.3">
      <c r="B13" s="4">
        <v>2.2000000000000002</v>
      </c>
      <c r="C13" s="4">
        <v>5.29</v>
      </c>
      <c r="D13" s="4">
        <v>31.740000000000002</v>
      </c>
      <c r="E13" s="4">
        <f t="shared" si="0"/>
      </c>
      <c r="F13" s="4">
        <f t="shared" si="1"/>
      </c>
      <c r="G13" s="4">
        <v>0.8</v>
      </c>
      <c r="H13" s="4">
        <v>6</v>
      </c>
      <c r="I13" s="4">
        <v>0.79</v>
      </c>
      <c r="J13" s="4">
        <v>3.5</v>
      </c>
      <c r="K13" s="4">
        <v>0.95</v>
      </c>
      <c r="M13" s="4">
        <v>0.08</v>
      </c>
      <c r="N13" s="4">
        <v>50</v>
      </c>
      <c r="O13" s="4">
        <v>0.81</v>
      </c>
      <c r="Q13" s="4" t="s">
        <v>21</v>
      </c>
      <c r="R13" s="4">
        <v>5</v>
      </c>
      <c r="S13" s="4">
        <v>2.5</v>
      </c>
      <c r="T13" s="90">
        <f t="shared" si="2"/>
      </c>
      <c r="U13" s="4">
        <v>12</v>
      </c>
      <c r="V13" s="4">
        <f t="shared" si="3"/>
      </c>
      <c r="W13" s="4">
        <f t="shared" si="4"/>
      </c>
      <c r="X13" s="4">
        <f t="shared" si="5"/>
      </c>
    </row>
    <row r="14" spans="2:32" x14ac:dyDescent="0.3">
      <c r="B14" s="4">
        <v>3</v>
      </c>
      <c r="C14" s="4">
        <v>6.73</v>
      </c>
      <c r="D14" s="4">
        <v>47.11</v>
      </c>
      <c r="E14" s="4">
        <f t="shared" si="0"/>
      </c>
      <c r="F14" s="4">
        <f t="shared" si="1"/>
      </c>
      <c r="G14" s="4">
        <v>0.82599999999999996</v>
      </c>
      <c r="H14" s="4">
        <v>7</v>
      </c>
      <c r="I14" s="4">
        <v>0.82</v>
      </c>
      <c r="J14" s="4">
        <v>3.5</v>
      </c>
      <c r="K14" s="4">
        <v>0.95</v>
      </c>
      <c r="M14" s="4">
        <v>0.1</v>
      </c>
      <c r="N14" s="4">
        <v>50</v>
      </c>
      <c r="O14" s="4">
        <v>1</v>
      </c>
      <c r="Q14" s="4" t="s">
        <v>21</v>
      </c>
      <c r="R14" s="4">
        <v>1</v>
      </c>
      <c r="S14" s="4">
        <v>4</v>
      </c>
      <c r="T14" s="90">
        <f t="shared" si="2"/>
      </c>
      <c r="U14" s="4">
        <v>6.6</v>
      </c>
      <c r="V14" s="4">
        <f t="shared" si="3"/>
      </c>
      <c r="W14" s="4">
        <f t="shared" si="4"/>
      </c>
      <c r="X14" s="4">
        <f t="shared" si="5"/>
      </c>
    </row>
    <row r="15" spans="2:32" x14ac:dyDescent="0.3">
      <c r="B15" s="4">
        <v>3.7</v>
      </c>
      <c r="C15" s="4">
        <v>8.1199999999999992</v>
      </c>
      <c r="D15" s="4">
        <v>56.839999999999996</v>
      </c>
      <c r="E15" s="4">
        <f t="shared" si="0"/>
      </c>
      <c r="F15" s="4">
        <f t="shared" si="1"/>
      </c>
      <c r="G15" s="4">
        <v>0.83400000000000007</v>
      </c>
      <c r="H15" s="4">
        <v>7</v>
      </c>
      <c r="I15" s="4">
        <v>0.83</v>
      </c>
      <c r="J15" s="4">
        <v>3.5</v>
      </c>
      <c r="K15" s="4">
        <v>0.95</v>
      </c>
      <c r="M15" s="4">
        <v>0.15</v>
      </c>
      <c r="N15" s="4">
        <v>65</v>
      </c>
      <c r="O15" s="4">
        <v>1.6</v>
      </c>
      <c r="Q15" s="4" t="s">
        <v>21</v>
      </c>
      <c r="R15" s="4">
        <v>2</v>
      </c>
      <c r="S15" s="4">
        <v>4</v>
      </c>
      <c r="T15" s="90">
        <f t="shared" si="2"/>
      </c>
      <c r="U15" s="4">
        <v>11.4</v>
      </c>
      <c r="V15" s="4">
        <f t="shared" si="3"/>
      </c>
      <c r="W15" s="4">
        <f t="shared" si="4"/>
      </c>
      <c r="X15" s="4">
        <f t="shared" si="5"/>
      </c>
    </row>
    <row r="16" spans="2:32" x14ac:dyDescent="0.3">
      <c r="B16" s="4">
        <v>4</v>
      </c>
      <c r="C16" s="4">
        <v>8.59</v>
      </c>
      <c r="D16" s="4">
        <v>60.129999999999995</v>
      </c>
      <c r="E16" s="4">
        <f t="shared" si="0"/>
      </c>
      <c r="F16" s="4">
        <f t="shared" si="1"/>
      </c>
      <c r="G16" s="4">
        <v>0.84200000000000008</v>
      </c>
      <c r="H16" s="4">
        <v>7</v>
      </c>
      <c r="I16" s="4">
        <v>0.84</v>
      </c>
      <c r="J16" s="4">
        <v>3.5</v>
      </c>
      <c r="K16" s="4">
        <v>0.95</v>
      </c>
      <c r="M16" s="4">
        <v>0.2</v>
      </c>
      <c r="N16" s="4">
        <v>65</v>
      </c>
      <c r="O16" s="4">
        <v>2</v>
      </c>
      <c r="Q16" s="4" t="s">
        <v>21</v>
      </c>
      <c r="R16" s="4">
        <v>3</v>
      </c>
      <c r="S16" s="4">
        <v>4</v>
      </c>
      <c r="T16" s="90">
        <f t="shared" si="2"/>
      </c>
      <c r="U16" s="4">
        <v>12.1</v>
      </c>
      <c r="V16" s="4">
        <f t="shared" si="3"/>
      </c>
      <c r="W16" s="4">
        <f t="shared" si="4"/>
      </c>
      <c r="X16" s="4">
        <f t="shared" si="5"/>
      </c>
    </row>
    <row r="17" spans="2:24" x14ac:dyDescent="0.3">
      <c r="B17" s="4">
        <v>5.5</v>
      </c>
      <c r="C17" s="4">
        <v>11.34</v>
      </c>
      <c r="D17" s="4">
        <v>79.38</v>
      </c>
      <c r="E17" s="4">
        <f t="shared" ref="E17" si="6">ROUNDUP(B17/G17/K17/0.22,2)</f>
      </c>
      <c r="F17" s="4">
        <f t="shared" ref="F17" si="7">ROUNDUP(E17*J17,2)</f>
      </c>
      <c r="G17" s="4">
        <v>0.85699999999999998</v>
      </c>
      <c r="H17" s="4">
        <v>7</v>
      </c>
      <c r="I17" s="4">
        <v>0.86</v>
      </c>
      <c r="J17" s="4">
        <v>6.5</v>
      </c>
      <c r="K17" s="4">
        <v>0.95</v>
      </c>
      <c r="M17" s="4">
        <v>0.25</v>
      </c>
      <c r="N17" s="4">
        <v>65</v>
      </c>
      <c r="O17" s="4">
        <v>2.6</v>
      </c>
      <c r="Q17" s="4" t="s">
        <v>21</v>
      </c>
      <c r="R17" s="4">
        <v>4</v>
      </c>
      <c r="S17" s="4">
        <v>4</v>
      </c>
      <c r="T17" s="90">
        <f t="shared" si="2"/>
      </c>
      <c r="U17" s="4">
        <v>13.2</v>
      </c>
      <c r="V17" s="4">
        <f t="shared" si="3"/>
      </c>
      <c r="W17" s="4">
        <f t="shared" si="4"/>
      </c>
      <c r="X17" s="4">
        <f t="shared" si="5"/>
      </c>
    </row>
    <row r="18" spans="2:24" x14ac:dyDescent="0.3">
      <c r="B18" s="4">
        <v>7.5</v>
      </c>
      <c r="C18" s="4">
        <v>15.23</v>
      </c>
      <c r="D18" s="4">
        <v>114.26</v>
      </c>
      <c r="E18" s="4"/>
      <c r="F18" s="4"/>
      <c r="G18" s="4">
        <v>0.87</v>
      </c>
      <c r="H18" s="4">
        <v>7.5</v>
      </c>
      <c r="I18" s="4">
        <v>0.86</v>
      </c>
      <c r="J18" s="4"/>
      <c r="K18" s="4"/>
      <c r="M18" s="4">
        <v>0.3</v>
      </c>
      <c r="N18" s="4">
        <v>70</v>
      </c>
      <c r="O18" s="4">
        <v>2.8</v>
      </c>
      <c r="Q18" s="4" t="s">
        <v>21</v>
      </c>
      <c r="R18" s="4">
        <v>5</v>
      </c>
      <c r="S18" s="4">
        <v>4</v>
      </c>
      <c r="T18" s="90">
        <f t="shared" si="2"/>
      </c>
      <c r="U18" s="4">
        <v>14.4</v>
      </c>
      <c r="V18" s="4">
        <f t="shared" si="3"/>
      </c>
      <c r="W18" s="4">
        <f t="shared" si="4"/>
      </c>
      <c r="X18" s="4">
        <f t="shared" si="5"/>
      </c>
    </row>
    <row r="19" spans="2:24" x14ac:dyDescent="0.3">
      <c r="B19" s="4">
        <v>9.1999999999999993</v>
      </c>
      <c r="C19" s="4">
        <v>18.79</v>
      </c>
      <c r="D19" s="4">
        <v>131.53</v>
      </c>
      <c r="E19" s="4"/>
      <c r="F19" s="4"/>
      <c r="G19" s="4">
        <v>0.875</v>
      </c>
      <c r="H19" s="4">
        <v>7</v>
      </c>
      <c r="I19" s="4">
        <v>0.85</v>
      </c>
      <c r="J19" s="4"/>
      <c r="K19" s="4"/>
      <c r="M19" s="4">
        <v>0.4</v>
      </c>
      <c r="N19" s="4">
        <v>70</v>
      </c>
      <c r="O19" s="4">
        <v>3.6</v>
      </c>
      <c r="Q19" s="4" t="s">
        <v>21</v>
      </c>
      <c r="R19" s="4">
        <v>1</v>
      </c>
      <c r="S19" s="4">
        <v>6</v>
      </c>
      <c r="T19" s="90">
        <f t="shared" si="2"/>
      </c>
      <c r="U19" s="4">
        <v>7.1</v>
      </c>
      <c r="V19" s="4">
        <f t="shared" si="3"/>
      </c>
      <c r="W19" s="4">
        <f t="shared" si="4"/>
      </c>
      <c r="X19" s="4">
        <f t="shared" si="5"/>
      </c>
    </row>
    <row r="20" spans="2:24" x14ac:dyDescent="0.3">
      <c r="B20" s="4">
        <v>11</v>
      </c>
      <c r="C20" s="4">
        <v>22.24</v>
      </c>
      <c r="D20" s="4">
        <v>166.79999999999998</v>
      </c>
      <c r="E20" s="4"/>
      <c r="F20" s="4"/>
      <c r="G20" s="4">
        <v>0.88400000000000001</v>
      </c>
      <c r="H20" s="4">
        <v>7.5</v>
      </c>
      <c r="I20" s="4">
        <v>0.85</v>
      </c>
      <c r="J20" s="4"/>
      <c r="K20" s="4"/>
      <c r="Q20" s="4" t="s">
        <v>21</v>
      </c>
      <c r="R20" s="4">
        <v>2</v>
      </c>
      <c r="S20" s="4">
        <v>6</v>
      </c>
      <c r="T20" s="90">
        <f t="shared" si="2"/>
      </c>
      <c r="U20" s="4">
        <v>12.4</v>
      </c>
      <c r="V20" s="4">
        <f t="shared" si="3"/>
      </c>
      <c r="W20" s="4">
        <f t="shared" si="4"/>
      </c>
      <c r="X20" s="4">
        <f t="shared" si="5"/>
      </c>
    </row>
    <row r="21" spans="2:24" x14ac:dyDescent="0.3">
      <c r="B21" s="4">
        <v>15</v>
      </c>
      <c r="C21" s="4">
        <v>29.3</v>
      </c>
      <c r="D21" s="4">
        <v>205.1</v>
      </c>
      <c r="E21" s="4"/>
      <c r="F21" s="4"/>
      <c r="G21" s="4">
        <v>0.89400000000000002</v>
      </c>
      <c r="H21" s="4">
        <v>7</v>
      </c>
      <c r="I21" s="4">
        <v>0.87</v>
      </c>
      <c r="J21" s="4"/>
      <c r="K21" s="4"/>
      <c r="Q21" s="4" t="s">
        <v>21</v>
      </c>
      <c r="R21" s="4">
        <v>3</v>
      </c>
      <c r="S21" s="4">
        <v>6</v>
      </c>
      <c r="T21" s="90">
        <f t="shared" si="2"/>
      </c>
      <c r="U21" s="4">
        <v>13.1</v>
      </c>
      <c r="V21" s="4">
        <f t="shared" si="3"/>
      </c>
      <c r="W21" s="4">
        <f t="shared" si="4"/>
      </c>
      <c r="X21" s="4">
        <f t="shared" si="5"/>
      </c>
    </row>
    <row r="22" spans="2:24" x14ac:dyDescent="0.3">
      <c r="B22" s="4">
        <v>18.5</v>
      </c>
      <c r="C22" s="4">
        <v>35.9</v>
      </c>
      <c r="D22" s="4">
        <v>251.29999999999998</v>
      </c>
      <c r="E22" s="4"/>
      <c r="F22" s="4"/>
      <c r="G22" s="4">
        <v>0.9</v>
      </c>
      <c r="H22" s="4">
        <v>7</v>
      </c>
      <c r="I22" s="4">
        <v>0.87</v>
      </c>
      <c r="J22" s="4"/>
      <c r="K22" s="4"/>
      <c r="Q22" s="4" t="s">
        <v>21</v>
      </c>
      <c r="R22" s="4">
        <v>4</v>
      </c>
      <c r="S22" s="4">
        <v>6</v>
      </c>
      <c r="T22" s="90">
        <f t="shared" si="2"/>
      </c>
      <c r="U22" s="4">
        <v>14.4</v>
      </c>
      <c r="V22" s="4">
        <f t="shared" si="3"/>
      </c>
      <c r="W22" s="4">
        <f t="shared" si="4"/>
      </c>
      <c r="X22" s="4">
        <f t="shared" si="5"/>
      </c>
    </row>
    <row r="23" spans="2:24" x14ac:dyDescent="0.3">
      <c r="B23" s="4">
        <v>22</v>
      </c>
      <c r="C23" s="4">
        <v>42.45</v>
      </c>
      <c r="D23" s="4">
        <v>297.15000000000003</v>
      </c>
      <c r="E23" s="4"/>
      <c r="F23" s="4"/>
      <c r="G23" s="4">
        <v>0.90500000000000003</v>
      </c>
      <c r="H23" s="4">
        <v>7</v>
      </c>
      <c r="I23" s="4">
        <v>0.87</v>
      </c>
      <c r="J23" s="4"/>
      <c r="K23" s="4"/>
      <c r="Q23" s="4" t="s">
        <v>21</v>
      </c>
      <c r="R23" s="4">
        <v>5</v>
      </c>
      <c r="S23" s="4">
        <v>6</v>
      </c>
      <c r="T23" s="90">
        <f t="shared" si="2"/>
      </c>
      <c r="U23" s="4">
        <v>15.7</v>
      </c>
      <c r="V23" s="4">
        <f t="shared" si="3"/>
      </c>
      <c r="W23" s="4">
        <f t="shared" si="4"/>
      </c>
      <c r="X23" s="4">
        <f t="shared" si="5"/>
      </c>
    </row>
    <row r="24" spans="2:24" x14ac:dyDescent="0.3">
      <c r="B24" s="4">
        <v>27</v>
      </c>
      <c r="C24" s="4">
        <v>51.82</v>
      </c>
      <c r="D24" s="4">
        <v>362.74</v>
      </c>
      <c r="E24" s="4"/>
      <c r="F24" s="4"/>
      <c r="G24" s="4">
        <v>0.91</v>
      </c>
      <c r="H24" s="4">
        <v>7</v>
      </c>
      <c r="I24" s="4">
        <v>0.87</v>
      </c>
      <c r="J24" s="4"/>
      <c r="K24" s="4"/>
      <c r="Q24" s="4" t="s">
        <v>237</v>
      </c>
      <c r="R24" s="4">
        <v>1</v>
      </c>
      <c r="S24" s="4">
        <v>1.5</v>
      </c>
      <c r="T24" s="90">
        <f>Q24&amp;" ("&amp;R24&amp;"х"&amp;S24&amp;")"</f>
      </c>
      <c r="U24" s="4">
        <v>7.2</v>
      </c>
      <c r="V24" s="4">
        <f t="shared" si="3"/>
      </c>
      <c r="W24" s="4">
        <f t="shared" si="4"/>
      </c>
      <c r="X24" s="4">
        <f t="shared" si="5"/>
      </c>
    </row>
    <row r="25" spans="2:24" x14ac:dyDescent="0.3">
      <c r="B25" s="4">
        <v>30</v>
      </c>
      <c r="C25" s="4">
        <v>56.03</v>
      </c>
      <c r="D25" s="4">
        <v>392.21000000000004</v>
      </c>
      <c r="E25" s="4"/>
      <c r="F25" s="4"/>
      <c r="G25" s="4">
        <v>0.91400000000000003</v>
      </c>
      <c r="H25" s="4">
        <v>7</v>
      </c>
      <c r="I25" s="4">
        <v>0.89</v>
      </c>
      <c r="J25" s="4"/>
      <c r="K25" s="4"/>
      <c r="Q25" s="4" t="s">
        <v>237</v>
      </c>
      <c r="R25" s="4">
        <v>2</v>
      </c>
      <c r="S25" s="4">
        <v>1.5</v>
      </c>
      <c r="T25" s="90">
        <f t="shared" ref="T25:T43" si="8">Q25&amp;" ("&amp;R25&amp;"х"&amp;S25&amp;")"</f>
      </c>
      <c r="U25" s="4">
        <v>14.1</v>
      </c>
      <c r="V25" s="4">
        <f t="shared" si="3"/>
      </c>
      <c r="W25" s="4">
        <f t="shared" si="4"/>
      </c>
      <c r="X25" s="4">
        <f t="shared" si="5"/>
      </c>
    </row>
    <row r="26" spans="2:24" x14ac:dyDescent="0.3">
      <c r="B26" s="4">
        <v>37</v>
      </c>
      <c r="C26" s="4">
        <v>68.66</v>
      </c>
      <c r="D26" s="4">
        <v>514.94999999999993</v>
      </c>
      <c r="E26" s="4"/>
      <c r="F26" s="4"/>
      <c r="G26" s="4">
        <v>0.92</v>
      </c>
      <c r="H26" s="4">
        <v>7.5</v>
      </c>
      <c r="I26" s="4">
        <v>0.89</v>
      </c>
      <c r="J26" s="4"/>
      <c r="K26" s="4"/>
      <c r="Q26" s="4" t="s">
        <v>237</v>
      </c>
      <c r="R26" s="4">
        <v>3</v>
      </c>
      <c r="S26" s="4">
        <v>1.5</v>
      </c>
      <c r="T26" s="90">
        <f t="shared" si="8"/>
      </c>
      <c r="U26" s="4">
        <v>14.8</v>
      </c>
      <c r="V26" s="4">
        <f t="shared" si="3"/>
      </c>
      <c r="W26" s="4">
        <f t="shared" si="4"/>
      </c>
      <c r="X26" s="4">
        <f t="shared" si="5"/>
      </c>
    </row>
    <row r="27" spans="2:24" x14ac:dyDescent="0.3">
      <c r="B27" s="4">
        <v>45</v>
      </c>
      <c r="C27" s="4">
        <v>83.05</v>
      </c>
      <c r="D27" s="4">
        <v>622.86</v>
      </c>
      <c r="E27" s="4"/>
      <c r="F27" s="4"/>
      <c r="G27" s="4">
        <v>0.92500000000000004</v>
      </c>
      <c r="H27" s="4">
        <v>7.5</v>
      </c>
      <c r="I27" s="4">
        <v>0.89</v>
      </c>
      <c r="J27" s="4"/>
      <c r="K27" s="4"/>
      <c r="Q27" s="4" t="s">
        <v>237</v>
      </c>
      <c r="R27" s="4">
        <v>4</v>
      </c>
      <c r="S27" s="4">
        <v>1.5</v>
      </c>
      <c r="T27" s="90">
        <f t="shared" si="8"/>
      </c>
      <c r="U27" s="4">
        <v>15.9</v>
      </c>
      <c r="V27" s="4">
        <f t="shared" si="3"/>
      </c>
      <c r="W27" s="4">
        <f t="shared" si="4"/>
      </c>
      <c r="X27" s="4">
        <f t="shared" si="5"/>
      </c>
    </row>
    <row r="28" spans="2:24" x14ac:dyDescent="0.3">
      <c r="B28" s="4">
        <v>55</v>
      </c>
      <c r="C28" s="4">
        <v>100.96</v>
      </c>
      <c r="D28" s="4">
        <v>706.71999999999991</v>
      </c>
      <c r="E28" s="4"/>
      <c r="F28" s="4"/>
      <c r="G28" s="4">
        <v>0.93</v>
      </c>
      <c r="H28" s="4">
        <v>7</v>
      </c>
      <c r="I28" s="4">
        <v>0.89</v>
      </c>
      <c r="J28" s="4"/>
      <c r="K28" s="4"/>
      <c r="Q28" s="4" t="s">
        <v>237</v>
      </c>
      <c r="R28" s="4">
        <v>5</v>
      </c>
      <c r="S28" s="4">
        <v>1.5</v>
      </c>
      <c r="T28" s="90">
        <f t="shared" si="8"/>
      </c>
      <c r="U28" s="4">
        <v>17.2</v>
      </c>
      <c r="V28" s="4">
        <f t="shared" si="3"/>
      </c>
      <c r="W28" s="4">
        <f t="shared" si="4"/>
      </c>
      <c r="X28" s="4">
        <f t="shared" si="5"/>
      </c>
    </row>
    <row r="29" spans="2:24" x14ac:dyDescent="0.3">
      <c r="B29" s="4">
        <v>75</v>
      </c>
      <c r="C29" s="4">
        <v>138.35</v>
      </c>
      <c r="D29" s="4">
        <v>1037.6300000000001</v>
      </c>
      <c r="E29" s="4"/>
      <c r="F29" s="4"/>
      <c r="G29" s="4">
        <v>0.93599999999999994</v>
      </c>
      <c r="H29" s="4">
        <v>7.5</v>
      </c>
      <c r="I29" s="4">
        <v>0.88</v>
      </c>
      <c r="J29" s="4"/>
      <c r="K29" s="4"/>
      <c r="Q29" s="4" t="s">
        <v>237</v>
      </c>
      <c r="R29" s="4">
        <v>1</v>
      </c>
      <c r="S29" s="4">
        <v>2.5</v>
      </c>
      <c r="T29" s="90">
        <f t="shared" si="8"/>
      </c>
      <c r="U29" s="4">
        <v>7.6</v>
      </c>
      <c r="V29" s="4">
        <f t="shared" si="3"/>
      </c>
      <c r="W29" s="4">
        <f t="shared" si="4"/>
      </c>
      <c r="X29" s="4">
        <f t="shared" si="5"/>
      </c>
    </row>
    <row r="30" spans="2:24" x14ac:dyDescent="0.3">
      <c r="B30" s="4">
        <v>76</v>
      </c>
      <c r="C30" s="4">
        <v>140.19</v>
      </c>
      <c r="D30" s="4">
        <v>1051.43</v>
      </c>
      <c r="E30" s="4"/>
      <c r="F30" s="4"/>
      <c r="G30" s="4">
        <v>0.93599999999999994</v>
      </c>
      <c r="H30" s="4">
        <v>7.5</v>
      </c>
      <c r="I30" s="4">
        <v>0.88</v>
      </c>
      <c r="J30" s="4"/>
      <c r="K30" s="4"/>
      <c r="Q30" s="4" t="s">
        <v>237</v>
      </c>
      <c r="R30" s="4">
        <v>2</v>
      </c>
      <c r="S30" s="4">
        <v>2.5</v>
      </c>
      <c r="T30" s="90">
        <f t="shared" si="8"/>
      </c>
      <c r="U30" s="4">
        <v>14.9</v>
      </c>
      <c r="V30" s="4">
        <f t="shared" si="3"/>
      </c>
      <c r="W30" s="4">
        <f t="shared" si="4"/>
      </c>
      <c r="X30" s="4">
        <f t="shared" si="5"/>
      </c>
    </row>
    <row r="31" spans="2:24" x14ac:dyDescent="0.3">
      <c r="B31" s="4">
        <v>90</v>
      </c>
      <c r="C31" s="4">
        <v>163.63</v>
      </c>
      <c r="D31" s="4">
        <v>1227.23</v>
      </c>
      <c r="E31" s="4"/>
      <c r="F31" s="4"/>
      <c r="G31" s="4">
        <v>0.93900000000000006</v>
      </c>
      <c r="H31" s="4">
        <v>7.5</v>
      </c>
      <c r="I31" s="4">
        <v>0.89</v>
      </c>
      <c r="J31" s="4"/>
      <c r="K31" s="4"/>
      <c r="Q31" s="4" t="s">
        <v>237</v>
      </c>
      <c r="R31" s="4">
        <v>3</v>
      </c>
      <c r="S31" s="4">
        <v>2.5</v>
      </c>
      <c r="T31" s="90">
        <f t="shared" si="8"/>
      </c>
      <c r="U31" s="4">
        <v>15.6</v>
      </c>
      <c r="V31" s="4">
        <f t="shared" si="3"/>
      </c>
      <c r="W31" s="4">
        <f t="shared" si="4"/>
      </c>
      <c r="X31" s="4">
        <f t="shared" si="5"/>
      </c>
    </row>
    <row r="32" spans="2:24" x14ac:dyDescent="0.3">
      <c r="B32" s="4">
        <v>110</v>
      </c>
      <c r="C32" s="4">
        <v>198.72</v>
      </c>
      <c r="D32" s="4">
        <v>1291.68</v>
      </c>
      <c r="E32" s="4"/>
      <c r="F32" s="4"/>
      <c r="G32" s="4">
        <v>0.94499999999999995</v>
      </c>
      <c r="H32" s="4">
        <v>6.5</v>
      </c>
      <c r="I32" s="4">
        <v>0.89</v>
      </c>
      <c r="J32" s="4"/>
      <c r="K32" s="4"/>
      <c r="Q32" s="4" t="s">
        <v>237</v>
      </c>
      <c r="R32" s="4">
        <v>4</v>
      </c>
      <c r="S32" s="4">
        <v>2.5</v>
      </c>
      <c r="T32" s="90">
        <f t="shared" si="8"/>
      </c>
      <c r="U32" s="4">
        <v>16.8</v>
      </c>
      <c r="V32" s="4">
        <f t="shared" si="3"/>
      </c>
      <c r="W32" s="4">
        <f t="shared" si="4"/>
      </c>
      <c r="X32" s="4">
        <f t="shared" si="5"/>
      </c>
    </row>
    <row r="33" spans="2:24" x14ac:dyDescent="0.3">
      <c r="B33" s="4">
        <v>132</v>
      </c>
      <c r="C33" s="4">
        <v>237.71</v>
      </c>
      <c r="D33" s="4">
        <v>1545.12</v>
      </c>
      <c r="E33" s="4"/>
      <c r="F33" s="4"/>
      <c r="G33" s="4">
        <v>0.94799999999999995</v>
      </c>
      <c r="H33" s="4">
        <v>6.5</v>
      </c>
      <c r="I33" s="4">
        <v>0.89</v>
      </c>
      <c r="J33" s="4"/>
      <c r="K33" s="4"/>
      <c r="Q33" s="4" t="s">
        <v>237</v>
      </c>
      <c r="R33" s="4">
        <v>5</v>
      </c>
      <c r="S33" s="4">
        <v>2.5</v>
      </c>
      <c r="T33" s="90">
        <f t="shared" si="8"/>
      </c>
      <c r="U33" s="4">
        <v>18.2</v>
      </c>
      <c r="V33" s="4">
        <f t="shared" si="3"/>
      </c>
      <c r="W33" s="4">
        <f t="shared" si="4"/>
      </c>
      <c r="X33" s="4">
        <f t="shared" si="5"/>
      </c>
    </row>
    <row r="34" spans="2:24" x14ac:dyDescent="0.3">
      <c r="B34" s="4">
        <v>160</v>
      </c>
      <c r="C34" s="4">
        <v>281.5</v>
      </c>
      <c r="D34" s="4">
        <v>1548.25</v>
      </c>
      <c r="E34" s="4"/>
      <c r="F34" s="4"/>
      <c r="G34" s="4">
        <v>0.94900000000000007</v>
      </c>
      <c r="H34" s="4">
        <v>5.5</v>
      </c>
      <c r="I34" s="4">
        <v>0.91</v>
      </c>
      <c r="J34" s="4"/>
      <c r="K34" s="4"/>
      <c r="Q34" s="4" t="s">
        <v>237</v>
      </c>
      <c r="R34" s="4">
        <v>1</v>
      </c>
      <c r="S34" s="4">
        <v>4</v>
      </c>
      <c r="T34" s="90">
        <f t="shared" si="8"/>
      </c>
      <c r="U34" s="4">
        <v>8.5</v>
      </c>
      <c r="V34" s="4">
        <f t="shared" si="3"/>
      </c>
      <c r="W34" s="4">
        <f t="shared" si="4"/>
      </c>
      <c r="X34" s="4">
        <f t="shared" si="5"/>
      </c>
    </row>
    <row r="35" spans="2:24" x14ac:dyDescent="0.3">
      <c r="B35" s="4">
        <v>200</v>
      </c>
      <c r="C35" s="4">
        <v>348.05</v>
      </c>
      <c r="D35" s="4">
        <v>1914.26</v>
      </c>
      <c r="E35" s="4"/>
      <c r="F35" s="4"/>
      <c r="G35" s="4">
        <v>0.94900000000000007</v>
      </c>
      <c r="H35" s="4">
        <v>5.5</v>
      </c>
      <c r="I35" s="4">
        <v>0.92</v>
      </c>
      <c r="J35" s="4"/>
      <c r="K35" s="4"/>
      <c r="Q35" s="4" t="s">
        <v>237</v>
      </c>
      <c r="R35" s="4">
        <v>2</v>
      </c>
      <c r="S35" s="4">
        <v>4</v>
      </c>
      <c r="T35" s="90">
        <f t="shared" si="8"/>
      </c>
      <c r="U35" s="4">
        <v>16.600000000000001</v>
      </c>
      <c r="V35" s="4">
        <f t="shared" si="3"/>
      </c>
      <c r="W35" s="4">
        <f t="shared" si="4"/>
      </c>
      <c r="X35" s="4">
        <f t="shared" si="5"/>
      </c>
    </row>
    <row r="36" spans="2:24" x14ac:dyDescent="0.3">
      <c r="B36" s="4">
        <v>250</v>
      </c>
      <c r="C36" s="4">
        <v>433.69</v>
      </c>
      <c r="D36" s="4">
        <v>2992.46</v>
      </c>
      <c r="E36" s="4"/>
      <c r="F36" s="4"/>
      <c r="G36" s="4">
        <v>0.95200000000000007</v>
      </c>
      <c r="H36" s="4">
        <v>6.9</v>
      </c>
      <c r="I36" s="4">
        <v>0.92</v>
      </c>
      <c r="J36" s="4"/>
      <c r="K36" s="4"/>
      <c r="Q36" s="4" t="s">
        <v>237</v>
      </c>
      <c r="R36" s="4">
        <v>3</v>
      </c>
      <c r="S36" s="4">
        <v>4</v>
      </c>
      <c r="T36" s="90">
        <f t="shared" si="8"/>
      </c>
      <c r="U36" s="4">
        <v>17.5</v>
      </c>
      <c r="V36" s="4">
        <f t="shared" si="3"/>
      </c>
      <c r="W36" s="4">
        <f t="shared" si="4"/>
      </c>
      <c r="X36" s="4">
        <f t="shared" si="5"/>
      </c>
    </row>
    <row r="37" spans="2:24" x14ac:dyDescent="0.3">
      <c r="B37" s="4">
        <v>315</v>
      </c>
      <c r="C37" s="4">
        <v>546.45000000000005</v>
      </c>
      <c r="D37" s="4">
        <v>3770.51</v>
      </c>
      <c r="E37" s="4"/>
      <c r="F37" s="4"/>
      <c r="G37" s="4">
        <v>0.95200000000000007</v>
      </c>
      <c r="H37" s="4">
        <v>6.9</v>
      </c>
      <c r="I37" s="4">
        <v>0.92</v>
      </c>
      <c r="J37" s="4"/>
      <c r="K37" s="4"/>
      <c r="Q37" s="4" t="s">
        <v>237</v>
      </c>
      <c r="R37" s="4">
        <v>4</v>
      </c>
      <c r="S37" s="4">
        <v>4</v>
      </c>
      <c r="T37" s="90">
        <f t="shared" si="8"/>
      </c>
      <c r="U37" s="4">
        <v>18.899999999999999</v>
      </c>
      <c r="V37" s="4">
        <f t="shared" si="3"/>
      </c>
      <c r="W37" s="4">
        <f t="shared" si="4"/>
      </c>
      <c r="X37" s="4">
        <f t="shared" si="5"/>
      </c>
    </row>
    <row r="38" spans="2:24" x14ac:dyDescent="0.3">
      <c r="Q38" s="4" t="s">
        <v>237</v>
      </c>
      <c r="R38" s="4">
        <v>5</v>
      </c>
      <c r="S38" s="4">
        <v>4</v>
      </c>
      <c r="T38" s="90">
        <f t="shared" si="8"/>
      </c>
      <c r="U38" s="4">
        <v>20.6</v>
      </c>
      <c r="V38" s="4">
        <f t="shared" si="3"/>
      </c>
      <c r="W38" s="4">
        <f t="shared" si="4"/>
      </c>
      <c r="X38" s="4">
        <f t="shared" si="5"/>
      </c>
    </row>
    <row r="39" spans="2:24" x14ac:dyDescent="0.3">
      <c r="Q39" s="4" t="s">
        <v>237</v>
      </c>
      <c r="R39" s="4">
        <v>1</v>
      </c>
      <c r="S39" s="4">
        <v>6</v>
      </c>
      <c r="T39" s="90">
        <f t="shared" si="8"/>
      </c>
      <c r="U39" s="4">
        <v>9.1999999999999993</v>
      </c>
      <c r="V39" s="4">
        <f t="shared" si="3"/>
      </c>
      <c r="W39" s="4">
        <f t="shared" si="4"/>
      </c>
      <c r="X39" s="4">
        <f t="shared" si="5"/>
      </c>
    </row>
    <row r="40" spans="2:24" x14ac:dyDescent="0.3">
      <c r="Q40" s="4" t="s">
        <v>237</v>
      </c>
      <c r="R40" s="4">
        <v>2</v>
      </c>
      <c r="S40" s="4">
        <v>6</v>
      </c>
      <c r="T40" s="90">
        <f t="shared" si="8"/>
      </c>
      <c r="U40" s="4">
        <v>17.600000000000001</v>
      </c>
      <c r="V40" s="4">
        <f t="shared" si="3"/>
      </c>
      <c r="W40" s="4">
        <f t="shared" si="4"/>
      </c>
      <c r="X40" s="4">
        <f t="shared" si="5"/>
      </c>
    </row>
    <row r="41" spans="2:24" x14ac:dyDescent="0.3">
      <c r="Q41" s="4" t="s">
        <v>237</v>
      </c>
      <c r="R41" s="4">
        <v>3</v>
      </c>
      <c r="S41" s="4">
        <v>6</v>
      </c>
      <c r="T41" s="90">
        <f t="shared" si="8"/>
      </c>
      <c r="U41" s="4">
        <v>18.5</v>
      </c>
      <c r="V41" s="4">
        <f t="shared" si="3"/>
      </c>
      <c r="W41" s="4">
        <f t="shared" si="4"/>
      </c>
      <c r="X41" s="4">
        <f t="shared" si="5"/>
      </c>
    </row>
    <row r="42" spans="2:24" x14ac:dyDescent="0.3">
      <c r="Q42" s="4" t="s">
        <v>237</v>
      </c>
      <c r="R42" s="4">
        <v>4</v>
      </c>
      <c r="S42" s="4">
        <v>6</v>
      </c>
      <c r="T42" s="90">
        <f t="shared" si="8"/>
      </c>
      <c r="U42" s="4">
        <v>20.100000000000001</v>
      </c>
      <c r="V42" s="4">
        <f t="shared" si="3"/>
      </c>
      <c r="W42" s="4">
        <f t="shared" si="4"/>
      </c>
      <c r="X42" s="4">
        <f t="shared" si="5"/>
      </c>
    </row>
    <row r="43" spans="2:24" x14ac:dyDescent="0.3">
      <c r="Q43" s="4" t="s">
        <v>237</v>
      </c>
      <c r="R43" s="4">
        <v>5</v>
      </c>
      <c r="S43" s="4">
        <v>6</v>
      </c>
      <c r="T43" s="90">
        <f t="shared" si="8"/>
      </c>
      <c r="U43" s="4">
        <v>21.9</v>
      </c>
      <c r="V43" s="4">
        <f t="shared" si="3"/>
      </c>
      <c r="W43" s="4">
        <f t="shared" si="4"/>
      </c>
      <c r="X43" s="4">
        <f t="shared" si="5"/>
      </c>
    </row>
    <row r="44" spans="2:24" x14ac:dyDescent="0.3">
      <c r="Q44" s="4" t="s">
        <v>219</v>
      </c>
      <c r="R44" s="4">
        <v>1</v>
      </c>
      <c r="S44" s="4">
        <v>1.5</v>
      </c>
      <c r="T44" s="90">
        <f>Q44&amp;" ("&amp;R44&amp;"х"&amp;S44&amp;")"</f>
      </c>
      <c r="U44" s="4">
        <v>5.5</v>
      </c>
      <c r="V44" s="4">
        <f t="shared" si="3"/>
      </c>
      <c r="W44" s="4">
        <f t="shared" si="4"/>
      </c>
      <c r="X44" s="4">
        <f t="shared" si="5"/>
      </c>
    </row>
    <row r="45" spans="2:24" x14ac:dyDescent="0.3">
      <c r="Q45" s="4" t="s">
        <v>219</v>
      </c>
      <c r="R45" s="4">
        <v>2</v>
      </c>
      <c r="S45" s="4">
        <v>1.5</v>
      </c>
      <c r="T45" s="90">
        <f t="shared" ref="T45:T63" si="9">Q45&amp;" ("&amp;R45&amp;"х"&amp;S45&amp;")"</f>
      </c>
      <c r="U45" s="4">
        <v>9</v>
      </c>
      <c r="V45" s="4">
        <f t="shared" si="3"/>
      </c>
      <c r="W45" s="4">
        <f t="shared" si="4"/>
      </c>
      <c r="X45" s="4">
        <f t="shared" si="5"/>
      </c>
    </row>
    <row r="46" spans="2:24" x14ac:dyDescent="0.3">
      <c r="Q46" s="4" t="s">
        <v>219</v>
      </c>
      <c r="R46" s="4">
        <v>3</v>
      </c>
      <c r="S46" s="4">
        <v>1.5</v>
      </c>
      <c r="T46" s="90">
        <f t="shared" si="9"/>
      </c>
      <c r="U46" s="4">
        <v>9.4</v>
      </c>
      <c r="V46" s="4">
        <f t="shared" si="3"/>
      </c>
      <c r="W46" s="4">
        <f t="shared" si="4"/>
      </c>
      <c r="X46" s="4">
        <f t="shared" si="5"/>
      </c>
    </row>
    <row r="47" spans="2:24" x14ac:dyDescent="0.3">
      <c r="Q47" s="4" t="s">
        <v>219</v>
      </c>
      <c r="R47" s="4">
        <v>4</v>
      </c>
      <c r="S47" s="4">
        <v>1.5</v>
      </c>
      <c r="T47" s="90">
        <f t="shared" si="9"/>
      </c>
      <c r="U47" s="4">
        <v>10.1</v>
      </c>
      <c r="V47" s="4">
        <f t="shared" si="3"/>
      </c>
      <c r="W47" s="4">
        <f t="shared" si="4"/>
      </c>
      <c r="X47" s="4">
        <f t="shared" si="5"/>
      </c>
    </row>
    <row r="48" spans="2:24" x14ac:dyDescent="0.3">
      <c r="Q48" s="4" t="s">
        <v>219</v>
      </c>
      <c r="R48" s="4">
        <v>5</v>
      </c>
      <c r="S48" s="4">
        <v>1.5</v>
      </c>
      <c r="T48" s="90">
        <f t="shared" si="9"/>
      </c>
      <c r="U48" s="4">
        <v>10.8</v>
      </c>
      <c r="V48" s="4">
        <f t="shared" si="3"/>
      </c>
      <c r="W48" s="4">
        <f t="shared" si="4"/>
      </c>
      <c r="X48" s="4">
        <f t="shared" si="5"/>
      </c>
    </row>
    <row r="49" spans="17:24" x14ac:dyDescent="0.3">
      <c r="Q49" s="4" t="s">
        <v>219</v>
      </c>
      <c r="R49" s="4">
        <v>1</v>
      </c>
      <c r="S49" s="4">
        <v>2.5</v>
      </c>
      <c r="T49" s="90">
        <f t="shared" si="9"/>
      </c>
      <c r="U49" s="4">
        <v>5.9</v>
      </c>
      <c r="V49" s="4">
        <f t="shared" si="3"/>
      </c>
      <c r="W49" s="4">
        <f t="shared" si="4"/>
      </c>
      <c r="X49" s="4">
        <f t="shared" si="5"/>
      </c>
    </row>
    <row r="50" spans="17:24" x14ac:dyDescent="0.3">
      <c r="Q50" s="4" t="s">
        <v>219</v>
      </c>
      <c r="R50" s="4">
        <v>2</v>
      </c>
      <c r="S50" s="4">
        <v>2.5</v>
      </c>
      <c r="T50" s="90">
        <f t="shared" si="9"/>
      </c>
      <c r="U50" s="4">
        <v>9.6999999999999993</v>
      </c>
      <c r="V50" s="4">
        <f t="shared" si="3"/>
      </c>
      <c r="W50" s="4">
        <f t="shared" si="4"/>
      </c>
      <c r="X50" s="4">
        <f t="shared" si="5"/>
      </c>
    </row>
    <row r="51" spans="17:24" x14ac:dyDescent="0.3">
      <c r="Q51" s="4" t="s">
        <v>219</v>
      </c>
      <c r="R51" s="4">
        <v>3</v>
      </c>
      <c r="S51" s="4">
        <v>2.5</v>
      </c>
      <c r="T51" s="90">
        <f t="shared" si="9"/>
      </c>
      <c r="U51" s="4">
        <v>10.199999999999999</v>
      </c>
      <c r="V51" s="4">
        <f t="shared" si="3"/>
      </c>
      <c r="W51" s="4">
        <f t="shared" si="4"/>
      </c>
      <c r="X51" s="4">
        <f t="shared" si="5"/>
      </c>
    </row>
    <row r="52" spans="17:24" x14ac:dyDescent="0.3">
      <c r="Q52" s="4" t="s">
        <v>219</v>
      </c>
      <c r="R52" s="4">
        <v>4</v>
      </c>
      <c r="S52" s="4">
        <v>2.5</v>
      </c>
      <c r="T52" s="90">
        <f t="shared" si="9"/>
      </c>
      <c r="U52" s="4">
        <v>11</v>
      </c>
      <c r="V52" s="4">
        <f t="shared" si="3"/>
      </c>
      <c r="W52" s="4">
        <f t="shared" si="4"/>
      </c>
      <c r="X52" s="4">
        <f t="shared" si="5"/>
      </c>
    </row>
    <row r="53" spans="17:24" x14ac:dyDescent="0.3">
      <c r="Q53" s="4" t="s">
        <v>219</v>
      </c>
      <c r="R53" s="4">
        <v>5</v>
      </c>
      <c r="S53" s="4">
        <v>2.5</v>
      </c>
      <c r="T53" s="90">
        <f t="shared" si="9"/>
      </c>
      <c r="U53" s="4">
        <v>11.9</v>
      </c>
      <c r="V53" s="4">
        <f t="shared" si="3"/>
      </c>
      <c r="W53" s="4">
        <f t="shared" si="4"/>
      </c>
      <c r="X53" s="4">
        <f t="shared" si="5"/>
      </c>
    </row>
    <row r="54" spans="17:24" x14ac:dyDescent="0.3">
      <c r="Q54" s="4" t="s">
        <v>219</v>
      </c>
      <c r="R54" s="4">
        <v>1</v>
      </c>
      <c r="S54" s="4">
        <v>4</v>
      </c>
      <c r="T54" s="90">
        <f t="shared" si="9"/>
      </c>
      <c r="U54" s="4">
        <v>6.5</v>
      </c>
      <c r="V54" s="4">
        <f t="shared" si="3"/>
      </c>
      <c r="W54" s="4">
        <f t="shared" si="4"/>
      </c>
      <c r="X54" s="4">
        <f t="shared" si="5"/>
      </c>
    </row>
    <row r="55" spans="17:24" x14ac:dyDescent="0.3">
      <c r="Q55" s="4" t="s">
        <v>219</v>
      </c>
      <c r="R55" s="4">
        <v>2</v>
      </c>
      <c r="S55" s="4">
        <v>4</v>
      </c>
      <c r="T55" s="90">
        <f t="shared" si="9"/>
      </c>
      <c r="U55" s="4">
        <v>11.1</v>
      </c>
      <c r="V55" s="4">
        <f t="shared" si="3"/>
      </c>
      <c r="W55" s="4">
        <f t="shared" si="4"/>
      </c>
      <c r="X55" s="4">
        <f t="shared" si="5"/>
      </c>
    </row>
    <row r="56" spans="17:24" x14ac:dyDescent="0.3">
      <c r="Q56" s="4" t="s">
        <v>219</v>
      </c>
      <c r="R56" s="4">
        <v>3</v>
      </c>
      <c r="S56" s="4">
        <v>4</v>
      </c>
      <c r="T56" s="90">
        <f t="shared" si="9"/>
      </c>
      <c r="U56" s="4">
        <v>11.6</v>
      </c>
      <c r="V56" s="4">
        <f t="shared" si="3"/>
      </c>
      <c r="W56" s="4">
        <f t="shared" si="4"/>
      </c>
      <c r="X56" s="4">
        <f t="shared" si="5"/>
      </c>
    </row>
    <row r="57" spans="17:24" x14ac:dyDescent="0.3">
      <c r="Q57" s="4" t="s">
        <v>219</v>
      </c>
      <c r="R57" s="4">
        <v>4</v>
      </c>
      <c r="S57" s="4">
        <v>4</v>
      </c>
      <c r="T57" s="90">
        <f t="shared" si="9"/>
      </c>
      <c r="U57" s="4">
        <v>12.6</v>
      </c>
      <c r="V57" s="4">
        <f t="shared" si="3"/>
      </c>
      <c r="W57" s="4">
        <f t="shared" si="4"/>
      </c>
      <c r="X57" s="4">
        <f t="shared" si="5"/>
      </c>
    </row>
    <row r="58" spans="17:24" x14ac:dyDescent="0.3">
      <c r="Q58" s="4" t="s">
        <v>219</v>
      </c>
      <c r="R58" s="4">
        <v>5</v>
      </c>
      <c r="S58" s="4">
        <v>4</v>
      </c>
      <c r="T58" s="90">
        <f t="shared" si="9"/>
      </c>
      <c r="U58" s="4">
        <v>13.7</v>
      </c>
      <c r="V58" s="4">
        <f t="shared" si="3"/>
      </c>
      <c r="W58" s="4">
        <f t="shared" si="4"/>
      </c>
      <c r="X58" s="4">
        <f t="shared" si="5"/>
      </c>
    </row>
    <row r="59" spans="17:24" x14ac:dyDescent="0.3">
      <c r="Q59" s="4" t="s">
        <v>219</v>
      </c>
      <c r="R59" s="4">
        <v>1</v>
      </c>
      <c r="S59" s="4">
        <v>6</v>
      </c>
      <c r="T59" s="90">
        <f t="shared" si="9"/>
      </c>
      <c r="U59" s="4">
        <v>7</v>
      </c>
      <c r="V59" s="4">
        <f t="shared" si="3"/>
      </c>
      <c r="W59" s="4">
        <f t="shared" si="4"/>
      </c>
      <c r="X59" s="4">
        <f t="shared" si="5"/>
      </c>
    </row>
    <row r="60" spans="17:24" x14ac:dyDescent="0.3">
      <c r="Q60" s="4" t="s">
        <v>219</v>
      </c>
      <c r="R60" s="4">
        <v>2</v>
      </c>
      <c r="S60" s="4">
        <v>6</v>
      </c>
      <c r="T60" s="90">
        <f t="shared" si="9"/>
      </c>
      <c r="U60" s="4">
        <v>12.1</v>
      </c>
      <c r="V60" s="4">
        <f t="shared" si="3"/>
      </c>
      <c r="W60" s="4">
        <f t="shared" si="4"/>
      </c>
      <c r="X60" s="4">
        <f t="shared" si="5"/>
      </c>
    </row>
    <row r="61" spans="17:24" x14ac:dyDescent="0.3">
      <c r="Q61" s="4" t="s">
        <v>219</v>
      </c>
      <c r="R61" s="4">
        <v>3</v>
      </c>
      <c r="S61" s="4">
        <v>6</v>
      </c>
      <c r="T61" s="90">
        <f t="shared" si="9"/>
      </c>
      <c r="U61" s="4">
        <v>12.7</v>
      </c>
      <c r="V61" s="4">
        <f t="shared" si="3"/>
      </c>
      <c r="W61" s="4">
        <f t="shared" si="4"/>
      </c>
      <c r="X61" s="4">
        <f t="shared" si="5"/>
      </c>
    </row>
    <row r="62" spans="17:24" x14ac:dyDescent="0.3">
      <c r="Q62" s="4" t="s">
        <v>219</v>
      </c>
      <c r="R62" s="4">
        <v>4</v>
      </c>
      <c r="S62" s="4">
        <v>6</v>
      </c>
      <c r="T62" s="90">
        <f t="shared" si="9"/>
      </c>
      <c r="U62" s="4">
        <v>13.8</v>
      </c>
      <c r="V62" s="4">
        <f t="shared" si="3"/>
      </c>
      <c r="W62" s="4">
        <f t="shared" si="4"/>
      </c>
      <c r="X62" s="4">
        <f t="shared" si="5"/>
      </c>
    </row>
    <row r="63" spans="17:24" x14ac:dyDescent="0.3">
      <c r="Q63" s="4" t="s">
        <v>219</v>
      </c>
      <c r="R63" s="4">
        <v>5</v>
      </c>
      <c r="S63" s="4">
        <v>6</v>
      </c>
      <c r="T63" s="90">
        <f t="shared" si="9"/>
      </c>
      <c r="U63" s="4">
        <v>15</v>
      </c>
      <c r="V63" s="4">
        <f t="shared" si="3"/>
      </c>
      <c r="W63" s="4">
        <f t="shared" si="4"/>
      </c>
      <c r="X63" s="4">
        <f t="shared" si="5"/>
      </c>
    </row>
    <row r="64" spans="17:24" x14ac:dyDescent="0.3">
      <c r="Q64" s="4" t="s">
        <v>217</v>
      </c>
      <c r="R64" s="4">
        <v>1</v>
      </c>
      <c r="S64" s="4">
        <v>1.5</v>
      </c>
      <c r="T64" s="90">
        <f>Q64&amp;" ("&amp;R64&amp;"х"&amp;S64&amp;")"</f>
      </c>
      <c r="U64" s="4">
        <v>6.5</v>
      </c>
      <c r="V64" s="4">
        <f t="shared" si="3"/>
      </c>
      <c r="W64" s="4">
        <f t="shared" si="4"/>
      </c>
      <c r="X64" s="4">
        <f t="shared" si="5"/>
      </c>
    </row>
    <row r="65" spans="17:24" x14ac:dyDescent="0.3">
      <c r="Q65" s="4" t="s">
        <v>217</v>
      </c>
      <c r="R65" s="4">
        <v>2</v>
      </c>
      <c r="S65" s="4">
        <v>1.5</v>
      </c>
      <c r="T65" s="90">
        <f t="shared" ref="T65:T91" si="10">Q65&amp;" ("&amp;R65&amp;"х"&amp;S65&amp;")"</f>
      </c>
      <c r="U65" s="4">
        <v>10.3</v>
      </c>
      <c r="V65" s="4">
        <f t="shared" si="3"/>
      </c>
      <c r="W65" s="4">
        <f t="shared" si="4"/>
      </c>
      <c r="X65" s="4">
        <f t="shared" si="5"/>
      </c>
    </row>
    <row r="66" spans="17:24" x14ac:dyDescent="0.3">
      <c r="Q66" s="4" t="s">
        <v>217</v>
      </c>
      <c r="R66" s="4">
        <v>3</v>
      </c>
      <c r="S66" s="4">
        <v>1.5</v>
      </c>
      <c r="T66" s="90">
        <f t="shared" si="10"/>
      </c>
      <c r="U66" s="4">
        <v>10.8</v>
      </c>
      <c r="V66" s="4">
        <f t="shared" si="3"/>
      </c>
      <c r="W66" s="4">
        <f t="shared" si="4"/>
      </c>
      <c r="X66" s="4">
        <f t="shared" si="5"/>
      </c>
    </row>
    <row r="67" spans="17:24" x14ac:dyDescent="0.3">
      <c r="Q67" s="4" t="s">
        <v>217</v>
      </c>
      <c r="R67" s="4">
        <v>4</v>
      </c>
      <c r="S67" s="4">
        <v>1.5</v>
      </c>
      <c r="T67" s="90">
        <f t="shared" si="10"/>
      </c>
      <c r="U67" s="4">
        <v>11.7</v>
      </c>
      <c r="V67" s="4">
        <f t="shared" si="3"/>
      </c>
      <c r="W67" s="4">
        <f t="shared" si="4"/>
      </c>
      <c r="X67" s="4">
        <f t="shared" si="5"/>
      </c>
    </row>
    <row r="68" spans="17:24" x14ac:dyDescent="0.3">
      <c r="Q68" s="4" t="s">
        <v>217</v>
      </c>
      <c r="R68" s="4">
        <v>5</v>
      </c>
      <c r="S68" s="4">
        <v>1.5</v>
      </c>
      <c r="T68" s="90">
        <f t="shared" si="10"/>
      </c>
      <c r="U68" s="4">
        <v>13.1</v>
      </c>
      <c r="V68" s="4">
        <f t="shared" si="3"/>
      </c>
      <c r="W68" s="4">
        <f t="shared" si="4"/>
      </c>
      <c r="X68" s="4">
        <f t="shared" si="5"/>
      </c>
    </row>
    <row r="69" spans="17:24" x14ac:dyDescent="0.3">
      <c r="Q69" s="4" t="s">
        <v>217</v>
      </c>
      <c r="R69" s="4">
        <v>1</v>
      </c>
      <c r="S69" s="4">
        <v>2.5</v>
      </c>
      <c r="T69" s="90">
        <f t="shared" si="10"/>
      </c>
      <c r="U69" s="4">
        <v>6.9</v>
      </c>
      <c r="V69" s="4">
        <f t="shared" ref="V69:V132" si="11">IF((U69*1.2)&lt;14,14,U69*1.2)</f>
      </c>
      <c r="W69" s="4">
        <f t="shared" ref="W69:W132" si="12">"Ø"&amp;VLOOKUP(V69,$Z$4:$AA$10,2,TRUE)</f>
      </c>
      <c r="X69" s="4">
        <f t="shared" ref="X69:X132" si="13">"Ø"&amp;VLOOKUP(V69,$AD$4:$AE$10,2,TRUE)</f>
      </c>
    </row>
    <row r="70" spans="17:24" x14ac:dyDescent="0.3">
      <c r="Q70" s="4" t="s">
        <v>217</v>
      </c>
      <c r="R70" s="4">
        <v>2</v>
      </c>
      <c r="S70" s="4">
        <v>2.5</v>
      </c>
      <c r="T70" s="90">
        <f t="shared" si="10"/>
      </c>
      <c r="U70" s="4">
        <v>11.1</v>
      </c>
      <c r="V70" s="4">
        <f t="shared" si="11"/>
      </c>
      <c r="W70" s="4">
        <f t="shared" si="12"/>
      </c>
      <c r="X70" s="4">
        <f t="shared" si="13"/>
      </c>
    </row>
    <row r="71" spans="17:24" x14ac:dyDescent="0.3">
      <c r="Q71" s="4" t="s">
        <v>217</v>
      </c>
      <c r="R71" s="4">
        <v>3</v>
      </c>
      <c r="S71" s="4">
        <v>2.5</v>
      </c>
      <c r="T71" s="90">
        <f t="shared" si="10"/>
      </c>
      <c r="U71" s="4">
        <v>11.6</v>
      </c>
      <c r="V71" s="4">
        <f t="shared" si="11"/>
      </c>
      <c r="W71" s="4">
        <f t="shared" si="12"/>
      </c>
      <c r="X71" s="4">
        <f t="shared" si="13"/>
      </c>
    </row>
    <row r="72" spans="17:24" x14ac:dyDescent="0.3">
      <c r="Q72" s="4" t="s">
        <v>217</v>
      </c>
      <c r="R72" s="4">
        <v>4</v>
      </c>
      <c r="S72" s="4">
        <v>2.5</v>
      </c>
      <c r="T72" s="90">
        <f t="shared" si="10"/>
      </c>
      <c r="U72" s="4">
        <v>12.5</v>
      </c>
      <c r="V72" s="4">
        <f t="shared" si="11"/>
      </c>
      <c r="W72" s="4">
        <f t="shared" si="12"/>
      </c>
      <c r="X72" s="4">
        <f t="shared" si="13"/>
      </c>
    </row>
    <row r="73" spans="17:24" x14ac:dyDescent="0.3">
      <c r="Q73" s="4" t="s">
        <v>217</v>
      </c>
      <c r="R73" s="4">
        <v>5</v>
      </c>
      <c r="S73" s="4">
        <v>2.5</v>
      </c>
      <c r="T73" s="90">
        <f t="shared" si="10"/>
      </c>
      <c r="U73" s="4">
        <v>13.6</v>
      </c>
      <c r="V73" s="4">
        <f t="shared" si="11"/>
      </c>
      <c r="W73" s="4">
        <f t="shared" si="12"/>
      </c>
      <c r="X73" s="4">
        <f t="shared" si="13"/>
      </c>
    </row>
    <row r="74" spans="17:24" x14ac:dyDescent="0.3">
      <c r="Q74" s="4" t="s">
        <v>217</v>
      </c>
      <c r="R74" s="4">
        <v>1</v>
      </c>
      <c r="S74" s="4">
        <v>4</v>
      </c>
      <c r="T74" s="90">
        <f t="shared" si="10"/>
      </c>
      <c r="U74" s="4">
        <v>7.6</v>
      </c>
      <c r="V74" s="4">
        <f t="shared" si="11"/>
      </c>
      <c r="W74" s="4">
        <f t="shared" si="12"/>
      </c>
      <c r="X74" s="4">
        <f t="shared" si="13"/>
      </c>
    </row>
    <row r="75" spans="17:24" x14ac:dyDescent="0.3">
      <c r="Q75" s="4" t="s">
        <v>217</v>
      </c>
      <c r="R75" s="4">
        <v>2</v>
      </c>
      <c r="S75" s="4">
        <v>4</v>
      </c>
      <c r="T75" s="90">
        <f t="shared" si="10"/>
      </c>
      <c r="U75" s="4">
        <v>12.4</v>
      </c>
      <c r="V75" s="4">
        <f t="shared" si="11"/>
      </c>
      <c r="W75" s="4">
        <f t="shared" si="12"/>
      </c>
      <c r="X75" s="4">
        <f t="shared" si="13"/>
      </c>
    </row>
    <row r="76" spans="17:24" x14ac:dyDescent="0.3">
      <c r="Q76" s="4" t="s">
        <v>217</v>
      </c>
      <c r="R76" s="4">
        <v>3</v>
      </c>
      <c r="S76" s="4">
        <v>4</v>
      </c>
      <c r="T76" s="90">
        <f t="shared" si="10"/>
      </c>
      <c r="U76" s="4">
        <v>13.1</v>
      </c>
      <c r="V76" s="4">
        <f t="shared" si="11"/>
      </c>
      <c r="W76" s="4">
        <f t="shared" si="12"/>
      </c>
      <c r="X76" s="4">
        <f t="shared" si="13"/>
      </c>
    </row>
    <row r="77" spans="17:24" x14ac:dyDescent="0.3">
      <c r="Q77" s="4" t="s">
        <v>217</v>
      </c>
      <c r="R77" s="4">
        <v>4</v>
      </c>
      <c r="S77" s="4">
        <v>4</v>
      </c>
      <c r="T77" s="90">
        <f t="shared" si="10"/>
      </c>
      <c r="U77" s="4">
        <v>14.2</v>
      </c>
      <c r="V77" s="4">
        <f t="shared" si="11"/>
      </c>
      <c r="W77" s="4">
        <f t="shared" si="12"/>
      </c>
      <c r="X77" s="4">
        <f t="shared" si="13"/>
      </c>
    </row>
    <row r="78" spans="17:24" x14ac:dyDescent="0.3">
      <c r="Q78" s="4" t="s">
        <v>217</v>
      </c>
      <c r="R78" s="4">
        <v>5</v>
      </c>
      <c r="S78" s="4">
        <v>4</v>
      </c>
      <c r="T78" s="90">
        <f t="shared" si="10"/>
      </c>
      <c r="U78" s="4">
        <v>15.4</v>
      </c>
      <c r="V78" s="4">
        <f t="shared" si="11"/>
      </c>
      <c r="W78" s="4">
        <f t="shared" si="12"/>
      </c>
      <c r="X78" s="4">
        <f t="shared" si="13"/>
      </c>
    </row>
    <row r="79" spans="17:24" x14ac:dyDescent="0.3">
      <c r="Q79" s="4" t="s">
        <v>217</v>
      </c>
      <c r="R79" s="4">
        <v>1</v>
      </c>
      <c r="S79" s="4">
        <v>6</v>
      </c>
      <c r="T79" s="90">
        <f t="shared" si="10"/>
      </c>
      <c r="U79" s="4">
        <v>9</v>
      </c>
      <c r="V79" s="4">
        <f t="shared" si="11"/>
      </c>
      <c r="W79" s="4">
        <f t="shared" si="12"/>
      </c>
      <c r="X79" s="4">
        <f t="shared" si="13"/>
      </c>
    </row>
    <row r="80" spans="17:24" x14ac:dyDescent="0.3">
      <c r="Q80" s="4" t="s">
        <v>217</v>
      </c>
      <c r="R80" s="4">
        <v>2</v>
      </c>
      <c r="S80" s="4">
        <v>6</v>
      </c>
      <c r="T80" s="90">
        <f t="shared" si="10"/>
      </c>
      <c r="U80" s="4">
        <v>14</v>
      </c>
      <c r="V80" s="4">
        <f t="shared" si="11"/>
      </c>
      <c r="W80" s="4">
        <f t="shared" si="12"/>
      </c>
      <c r="X80" s="4">
        <f t="shared" si="13"/>
      </c>
    </row>
    <row r="81" spans="17:24" x14ac:dyDescent="0.3">
      <c r="Q81" s="4" t="s">
        <v>217</v>
      </c>
      <c r="R81" s="4">
        <v>3</v>
      </c>
      <c r="S81" s="4">
        <v>6</v>
      </c>
      <c r="T81" s="90">
        <f t="shared" si="10"/>
      </c>
      <c r="U81" s="4">
        <v>14.8</v>
      </c>
      <c r="V81" s="4">
        <f t="shared" si="11"/>
      </c>
      <c r="W81" s="4">
        <f t="shared" si="12"/>
      </c>
      <c r="X81" s="4">
        <f t="shared" si="13"/>
      </c>
    </row>
    <row r="82" spans="17:24" x14ac:dyDescent="0.3">
      <c r="Q82" s="4" t="s">
        <v>217</v>
      </c>
      <c r="R82" s="4">
        <v>4</v>
      </c>
      <c r="S82" s="4">
        <v>6</v>
      </c>
      <c r="T82" s="90">
        <f t="shared" si="10"/>
      </c>
      <c r="U82" s="4">
        <v>16.100000000000001</v>
      </c>
      <c r="V82" s="4">
        <f t="shared" si="11"/>
      </c>
      <c r="W82" s="4">
        <f t="shared" si="12"/>
      </c>
      <c r="X82" s="4">
        <f t="shared" si="13"/>
      </c>
    </row>
    <row r="83" spans="17:24" x14ac:dyDescent="0.3">
      <c r="Q83" s="4" t="s">
        <v>217</v>
      </c>
      <c r="R83" s="4">
        <v>5</v>
      </c>
      <c r="S83" s="4">
        <v>6</v>
      </c>
      <c r="T83" s="90">
        <f t="shared" si="10"/>
      </c>
      <c r="U83" s="4">
        <v>17.600000000000001</v>
      </c>
      <c r="V83" s="4">
        <f t="shared" si="11"/>
      </c>
      <c r="W83" s="4">
        <f t="shared" si="12"/>
      </c>
      <c r="X83" s="4">
        <f t="shared" si="13"/>
      </c>
    </row>
    <row r="84" spans="17:24" x14ac:dyDescent="0.3">
      <c r="Q84" s="4" t="s">
        <v>213</v>
      </c>
      <c r="R84" s="4">
        <v>1</v>
      </c>
      <c r="S84" s="4">
        <v>0.75</v>
      </c>
      <c r="T84" s="90">
        <f t="shared" si="10"/>
      </c>
      <c r="U84" s="4">
        <v>2.2999999999999998</v>
      </c>
      <c r="V84" s="4">
        <f t="shared" si="11"/>
      </c>
      <c r="W84" s="4">
        <f t="shared" si="12"/>
      </c>
      <c r="X84" s="4">
        <f t="shared" si="13"/>
      </c>
    </row>
    <row r="85" spans="17:24" x14ac:dyDescent="0.3">
      <c r="Q85" s="95" t="s">
        <v>213</v>
      </c>
      <c r="R85" s="4">
        <v>2</v>
      </c>
      <c r="S85" s="4">
        <v>0.75</v>
      </c>
      <c r="T85" s="90">
        <f t="shared" si="10"/>
      </c>
      <c r="U85" s="4">
        <v>7</v>
      </c>
      <c r="V85" s="4">
        <f t="shared" si="11"/>
      </c>
      <c r="W85" s="4">
        <f t="shared" si="12"/>
      </c>
      <c r="X85" s="4">
        <f t="shared" si="13"/>
      </c>
    </row>
    <row r="86" spans="17:24" x14ac:dyDescent="0.3">
      <c r="Q86" s="95" t="s">
        <v>213</v>
      </c>
      <c r="R86" s="4">
        <v>3</v>
      </c>
      <c r="S86" s="4">
        <v>0.75</v>
      </c>
      <c r="T86" s="90">
        <f t="shared" si="10"/>
      </c>
      <c r="U86" s="4">
        <v>7.3</v>
      </c>
      <c r="V86" s="4">
        <f t="shared" si="11"/>
      </c>
      <c r="W86" s="4">
        <f t="shared" si="12"/>
      </c>
      <c r="X86" s="4">
        <f t="shared" si="13"/>
      </c>
    </row>
    <row r="87" spans="17:24" x14ac:dyDescent="0.3">
      <c r="Q87" s="95" t="s">
        <v>213</v>
      </c>
      <c r="R87" s="4">
        <v>4</v>
      </c>
      <c r="S87" s="4">
        <v>0.75</v>
      </c>
      <c r="T87" s="90">
        <f t="shared" si="10"/>
      </c>
      <c r="U87" s="4">
        <v>7.9</v>
      </c>
      <c r="V87" s="4">
        <f t="shared" si="11"/>
      </c>
      <c r="W87" s="4">
        <f t="shared" si="12"/>
      </c>
      <c r="X87" s="4">
        <f t="shared" si="13"/>
      </c>
    </row>
    <row r="88" spans="17:24" x14ac:dyDescent="0.3">
      <c r="Q88" s="95" t="s">
        <v>213</v>
      </c>
      <c r="R88" s="4">
        <v>5</v>
      </c>
      <c r="S88" s="4">
        <v>0.75</v>
      </c>
      <c r="T88" s="90">
        <f t="shared" si="10"/>
      </c>
      <c r="U88" s="4">
        <v>9.1999999999999993</v>
      </c>
      <c r="V88" s="4">
        <f t="shared" si="11"/>
      </c>
      <c r="W88" s="4">
        <f t="shared" si="12"/>
      </c>
      <c r="X88" s="4">
        <f t="shared" si="13"/>
      </c>
    </row>
    <row r="89" spans="17:24" x14ac:dyDescent="0.3">
      <c r="Q89" s="95" t="s">
        <v>213</v>
      </c>
      <c r="R89" s="4">
        <v>6</v>
      </c>
      <c r="S89" s="4">
        <v>0.75</v>
      </c>
      <c r="T89" s="90">
        <f t="shared" si="10"/>
      </c>
      <c r="U89" s="4">
        <v>9.6</v>
      </c>
      <c r="V89" s="4">
        <f t="shared" si="11"/>
      </c>
      <c r="W89" s="4">
        <f t="shared" si="12"/>
      </c>
      <c r="X89" s="4">
        <f t="shared" si="13"/>
      </c>
    </row>
    <row r="90" spans="17:24" x14ac:dyDescent="0.3">
      <c r="Q90" s="95" t="s">
        <v>213</v>
      </c>
      <c r="R90" s="4">
        <v>7</v>
      </c>
      <c r="S90" s="4">
        <v>0.75</v>
      </c>
      <c r="T90" s="90">
        <f t="shared" si="10"/>
      </c>
      <c r="U90" s="4">
        <v>9.9</v>
      </c>
      <c r="V90" s="4">
        <f t="shared" si="11"/>
      </c>
      <c r="W90" s="4">
        <f t="shared" si="12"/>
      </c>
      <c r="X90" s="4">
        <f t="shared" si="13"/>
      </c>
    </row>
    <row r="91" spans="17:24" x14ac:dyDescent="0.3">
      <c r="Q91" s="95" t="s">
        <v>213</v>
      </c>
      <c r="R91" s="4">
        <v>10</v>
      </c>
      <c r="S91" s="4">
        <v>0.75</v>
      </c>
      <c r="T91" s="90">
        <f t="shared" si="10"/>
      </c>
      <c r="U91" s="4">
        <v>11.6</v>
      </c>
      <c r="V91" s="4">
        <f t="shared" si="11"/>
      </c>
      <c r="W91" s="4">
        <f t="shared" si="12"/>
      </c>
      <c r="X91" s="4">
        <f t="shared" si="13"/>
      </c>
    </row>
    <row r="92" spans="17:24" x14ac:dyDescent="0.3">
      <c r="Q92" s="95" t="s">
        <v>213</v>
      </c>
      <c r="R92" s="4">
        <v>14</v>
      </c>
      <c r="S92" s="4">
        <v>0.75</v>
      </c>
      <c r="T92" s="90">
        <f t="shared" ref="T92:T96" si="14">Q92&amp;" ("&amp;R92&amp;"х"&amp;S92&amp;")"</f>
      </c>
      <c r="U92" s="4">
        <v>13.1</v>
      </c>
      <c r="V92" s="4">
        <f t="shared" si="11"/>
      </c>
      <c r="W92" s="4">
        <f t="shared" si="12"/>
      </c>
      <c r="X92" s="4">
        <f t="shared" si="13"/>
      </c>
    </row>
    <row r="93" spans="17:24" x14ac:dyDescent="0.3">
      <c r="Q93" s="95" t="s">
        <v>213</v>
      </c>
      <c r="R93" s="4">
        <v>19</v>
      </c>
      <c r="S93" s="4">
        <v>0.75</v>
      </c>
      <c r="T93" s="90">
        <f t="shared" si="14"/>
      </c>
      <c r="U93" s="4">
        <v>14.5</v>
      </c>
      <c r="V93" s="4">
        <f t="shared" si="11"/>
      </c>
      <c r="W93" s="4">
        <f t="shared" si="12"/>
      </c>
      <c r="X93" s="4">
        <f t="shared" si="13"/>
      </c>
    </row>
    <row r="94" spans="17:24" x14ac:dyDescent="0.3">
      <c r="Q94" s="95" t="s">
        <v>213</v>
      </c>
      <c r="R94" s="4">
        <v>27</v>
      </c>
      <c r="S94" s="4">
        <v>0.75</v>
      </c>
      <c r="T94" s="90">
        <f t="shared" si="14"/>
      </c>
      <c r="U94" s="4">
        <v>17.2</v>
      </c>
      <c r="V94" s="4">
        <f t="shared" si="11"/>
      </c>
      <c r="W94" s="4">
        <f t="shared" si="12"/>
      </c>
      <c r="X94" s="4">
        <f t="shared" si="13"/>
      </c>
    </row>
    <row r="95" spans="17:24" x14ac:dyDescent="0.3">
      <c r="Q95" s="95" t="s">
        <v>213</v>
      </c>
      <c r="R95" s="4">
        <v>37</v>
      </c>
      <c r="S95" s="4">
        <v>0.75</v>
      </c>
      <c r="T95" s="90">
        <f t="shared" si="14"/>
      </c>
      <c r="U95" s="4">
        <v>18.5</v>
      </c>
      <c r="V95" s="4">
        <f t="shared" si="11"/>
      </c>
      <c r="W95" s="4">
        <f t="shared" si="12"/>
      </c>
      <c r="X95" s="4">
        <f t="shared" si="13"/>
      </c>
    </row>
    <row r="96" spans="17:24" x14ac:dyDescent="0.3">
      <c r="Q96" s="95" t="s">
        <v>213</v>
      </c>
      <c r="R96" s="4">
        <v>52</v>
      </c>
      <c r="S96" s="4">
        <v>0.75</v>
      </c>
      <c r="T96" s="90">
        <f t="shared" si="14"/>
      </c>
      <c r="U96" s="4">
        <v>21.6</v>
      </c>
      <c r="V96" s="4">
        <f t="shared" si="11"/>
      </c>
      <c r="W96" s="4">
        <f t="shared" si="12"/>
      </c>
      <c r="X96" s="4">
        <f t="shared" si="13"/>
      </c>
    </row>
    <row r="97" spans="17:24" x14ac:dyDescent="0.3">
      <c r="Q97" s="95" t="s">
        <v>213</v>
      </c>
      <c r="R97" s="4">
        <v>1</v>
      </c>
      <c r="S97" s="4">
        <v>1</v>
      </c>
      <c r="T97" s="90">
        <f t="shared" ref="T97:T101" si="15">Q97&amp;" ("&amp;R97&amp;"х"&amp;S97&amp;")"</f>
      </c>
      <c r="U97" s="4">
        <v>2.8</v>
      </c>
      <c r="V97" s="4">
        <f t="shared" si="11"/>
      </c>
      <c r="W97" s="4">
        <f t="shared" si="12"/>
      </c>
      <c r="X97" s="4">
        <f t="shared" si="13"/>
      </c>
    </row>
    <row r="98" spans="17:24" x14ac:dyDescent="0.3">
      <c r="Q98" s="95" t="s">
        <v>213</v>
      </c>
      <c r="R98" s="4">
        <v>2</v>
      </c>
      <c r="S98" s="4">
        <v>1</v>
      </c>
      <c r="T98" s="90">
        <f t="shared" si="15"/>
      </c>
      <c r="U98" s="4">
        <v>7.3</v>
      </c>
      <c r="V98" s="4">
        <f t="shared" si="11"/>
      </c>
      <c r="W98" s="4">
        <f t="shared" si="12"/>
      </c>
      <c r="X98" s="4">
        <f t="shared" si="13"/>
      </c>
    </row>
    <row r="99" spans="17:24" x14ac:dyDescent="0.3">
      <c r="Q99" s="95" t="s">
        <v>213</v>
      </c>
      <c r="R99" s="4">
        <v>3</v>
      </c>
      <c r="S99" s="4">
        <v>1</v>
      </c>
      <c r="T99" s="90">
        <f t="shared" si="15"/>
      </c>
      <c r="U99" s="4">
        <v>7.7</v>
      </c>
      <c r="V99" s="4">
        <f t="shared" si="11"/>
      </c>
      <c r="W99" s="4">
        <f t="shared" si="12"/>
      </c>
      <c r="X99" s="4">
        <f t="shared" si="13"/>
      </c>
    </row>
    <row r="100" spans="17:24" x14ac:dyDescent="0.3">
      <c r="Q100" s="95" t="s">
        <v>213</v>
      </c>
      <c r="R100" s="4">
        <v>4</v>
      </c>
      <c r="S100" s="4">
        <v>1</v>
      </c>
      <c r="T100" s="90">
        <f t="shared" si="15"/>
      </c>
      <c r="U100" s="4">
        <v>8.3000000000000007</v>
      </c>
      <c r="V100" s="4">
        <f t="shared" si="11"/>
      </c>
      <c r="W100" s="4">
        <f t="shared" si="12"/>
      </c>
      <c r="X100" s="4">
        <f t="shared" si="13"/>
      </c>
    </row>
    <row r="101" spans="17:24" x14ac:dyDescent="0.3">
      <c r="Q101" s="95" t="s">
        <v>213</v>
      </c>
      <c r="R101" s="4">
        <v>5</v>
      </c>
      <c r="S101" s="4">
        <v>1</v>
      </c>
      <c r="T101" s="90">
        <f t="shared" si="15"/>
      </c>
      <c r="U101" s="4">
        <v>9.6</v>
      </c>
      <c r="V101" s="4">
        <f t="shared" si="11"/>
      </c>
      <c r="W101" s="4">
        <f t="shared" si="12"/>
      </c>
      <c r="X101" s="4">
        <f t="shared" si="13"/>
      </c>
    </row>
    <row r="102" spans="17:24" x14ac:dyDescent="0.3">
      <c r="Q102" s="95" t="s">
        <v>213</v>
      </c>
      <c r="R102" s="4">
        <v>7</v>
      </c>
      <c r="S102" s="4">
        <v>1</v>
      </c>
      <c r="T102" s="90">
        <f t="shared" ref="T102:T113" si="16">Q102&amp;" ("&amp;R102&amp;"х"&amp;S102&amp;")"</f>
      </c>
      <c r="U102" s="4">
        <v>10.4</v>
      </c>
      <c r="V102" s="4">
        <f t="shared" si="11"/>
      </c>
      <c r="W102" s="4">
        <f t="shared" si="12"/>
      </c>
      <c r="X102" s="4">
        <f t="shared" si="13"/>
      </c>
    </row>
    <row r="103" spans="17:24" x14ac:dyDescent="0.3">
      <c r="Q103" s="95" t="s">
        <v>213</v>
      </c>
      <c r="R103" s="4">
        <v>10</v>
      </c>
      <c r="S103" s="4">
        <v>1</v>
      </c>
      <c r="T103" s="90">
        <f t="shared" si="16"/>
      </c>
      <c r="U103" s="4">
        <v>12.8</v>
      </c>
      <c r="V103" s="4">
        <f t="shared" si="11"/>
      </c>
      <c r="W103" s="4">
        <f t="shared" si="12"/>
      </c>
      <c r="X103" s="4">
        <f t="shared" si="13"/>
      </c>
    </row>
    <row r="104" spans="17:24" x14ac:dyDescent="0.3">
      <c r="Q104" s="95" t="s">
        <v>213</v>
      </c>
      <c r="R104" s="4">
        <v>14</v>
      </c>
      <c r="S104" s="4">
        <v>1</v>
      </c>
      <c r="T104" s="90">
        <f t="shared" si="16"/>
      </c>
      <c r="U104" s="4">
        <v>13.9</v>
      </c>
      <c r="V104" s="4">
        <f t="shared" si="11"/>
      </c>
      <c r="W104" s="4">
        <f t="shared" si="12"/>
      </c>
      <c r="X104" s="4">
        <f t="shared" si="13"/>
      </c>
    </row>
    <row r="105" spans="17:24" x14ac:dyDescent="0.3">
      <c r="Q105" s="95" t="s">
        <v>213</v>
      </c>
      <c r="R105" s="4">
        <v>19</v>
      </c>
      <c r="S105" s="4">
        <v>1</v>
      </c>
      <c r="T105" s="90">
        <f t="shared" si="16"/>
      </c>
      <c r="U105" s="4">
        <v>14.6</v>
      </c>
      <c r="V105" s="4">
        <f t="shared" si="11"/>
      </c>
      <c r="W105" s="4">
        <f t="shared" si="12"/>
      </c>
      <c r="X105" s="4">
        <f t="shared" si="13"/>
      </c>
    </row>
    <row r="106" spans="17:24" x14ac:dyDescent="0.3">
      <c r="Q106" s="95" t="s">
        <v>213</v>
      </c>
      <c r="R106" s="4">
        <v>27</v>
      </c>
      <c r="S106" s="4">
        <v>1</v>
      </c>
      <c r="T106" s="90">
        <f t="shared" si="16"/>
      </c>
      <c r="U106" s="4">
        <v>17.3</v>
      </c>
      <c r="V106" s="4">
        <f t="shared" si="11"/>
      </c>
      <c r="W106" s="4">
        <f t="shared" si="12"/>
      </c>
      <c r="X106" s="4">
        <f t="shared" si="13"/>
      </c>
    </row>
    <row r="107" spans="17:24" x14ac:dyDescent="0.3">
      <c r="Q107" s="95" t="s">
        <v>213</v>
      </c>
      <c r="R107" s="4">
        <v>37</v>
      </c>
      <c r="S107" s="4">
        <v>1</v>
      </c>
      <c r="T107" s="90">
        <f t="shared" si="16"/>
      </c>
      <c r="U107" s="4">
        <v>19.600000000000001</v>
      </c>
      <c r="V107" s="4">
        <f t="shared" si="11"/>
      </c>
      <c r="W107" s="4">
        <f t="shared" si="12"/>
      </c>
      <c r="X107" s="4">
        <f t="shared" si="13"/>
      </c>
    </row>
    <row r="108" spans="17:24" x14ac:dyDescent="0.3">
      <c r="Q108" s="95" t="s">
        <v>213</v>
      </c>
      <c r="R108" s="4">
        <v>52</v>
      </c>
      <c r="S108" s="4">
        <v>1</v>
      </c>
      <c r="T108" s="90">
        <f t="shared" si="16"/>
      </c>
      <c r="U108" s="4">
        <v>22.9</v>
      </c>
      <c r="V108" s="4">
        <f t="shared" si="11"/>
      </c>
      <c r="W108" s="4">
        <f t="shared" si="12"/>
      </c>
      <c r="X108" s="4">
        <f t="shared" si="13"/>
      </c>
    </row>
    <row r="109" spans="17:24" x14ac:dyDescent="0.3">
      <c r="Q109" s="95" t="s">
        <v>213</v>
      </c>
      <c r="R109" s="4">
        <v>1</v>
      </c>
      <c r="S109" s="4">
        <v>1.5</v>
      </c>
      <c r="T109" s="90">
        <f t="shared" si="16"/>
      </c>
      <c r="U109" s="4">
        <v>5.6</v>
      </c>
      <c r="V109" s="4">
        <f t="shared" si="11"/>
      </c>
      <c r="W109" s="4">
        <f t="shared" si="12"/>
      </c>
      <c r="X109" s="4">
        <f t="shared" si="13"/>
      </c>
    </row>
    <row r="110" spans="17:24" x14ac:dyDescent="0.3">
      <c r="Q110" s="95" t="s">
        <v>213</v>
      </c>
      <c r="R110" s="4">
        <v>2</v>
      </c>
      <c r="S110" s="4">
        <v>1.5</v>
      </c>
      <c r="T110" s="90">
        <f t="shared" si="16"/>
      </c>
      <c r="U110" s="4">
        <v>8.1999999999999993</v>
      </c>
      <c r="V110" s="4">
        <f t="shared" si="11"/>
      </c>
      <c r="W110" s="4">
        <f t="shared" si="12"/>
      </c>
      <c r="X110" s="4">
        <f t="shared" si="13"/>
      </c>
    </row>
    <row r="111" spans="17:24" x14ac:dyDescent="0.3">
      <c r="Q111" s="95" t="s">
        <v>213</v>
      </c>
      <c r="R111" s="4">
        <v>3</v>
      </c>
      <c r="S111" s="4">
        <v>1.5</v>
      </c>
      <c r="T111" s="90">
        <f t="shared" si="16"/>
      </c>
      <c r="U111" s="4">
        <v>9.3000000000000007</v>
      </c>
      <c r="V111" s="4">
        <f t="shared" si="11"/>
      </c>
      <c r="W111" s="4">
        <f t="shared" si="12"/>
      </c>
      <c r="X111" s="4">
        <f t="shared" si="13"/>
      </c>
    </row>
    <row r="112" spans="17:24" x14ac:dyDescent="0.3">
      <c r="Q112" s="95" t="s">
        <v>213</v>
      </c>
      <c r="R112" s="4">
        <v>4</v>
      </c>
      <c r="S112" s="4">
        <v>1.5</v>
      </c>
      <c r="T112" s="90">
        <f t="shared" si="16"/>
      </c>
      <c r="U112" s="4">
        <v>10</v>
      </c>
      <c r="V112" s="4">
        <f t="shared" si="11"/>
      </c>
      <c r="W112" s="4">
        <f t="shared" si="12"/>
      </c>
      <c r="X112" s="4">
        <f t="shared" si="13"/>
      </c>
    </row>
    <row r="113" spans="17:24" x14ac:dyDescent="0.3">
      <c r="Q113" s="95" t="s">
        <v>213</v>
      </c>
      <c r="R113" s="4">
        <v>5</v>
      </c>
      <c r="S113" s="4">
        <v>1.5</v>
      </c>
      <c r="T113" s="90">
        <f t="shared" si="16"/>
      </c>
      <c r="U113" s="4">
        <v>11.2</v>
      </c>
      <c r="V113" s="4">
        <f t="shared" si="11"/>
      </c>
      <c r="W113" s="4">
        <f t="shared" si="12"/>
      </c>
      <c r="X113" s="4">
        <f t="shared" si="13"/>
      </c>
    </row>
    <row r="114" spans="17:24" x14ac:dyDescent="0.3">
      <c r="Q114" s="95" t="s">
        <v>213</v>
      </c>
      <c r="R114" s="4">
        <v>7</v>
      </c>
      <c r="S114" s="4">
        <v>1.5</v>
      </c>
      <c r="T114" s="90">
        <f t="shared" ref="T114:T158" si="17">Q114&amp;" ("&amp;R114&amp;"х"&amp;S114&amp;")"</f>
      </c>
      <c r="U114" s="4">
        <v>11.8</v>
      </c>
      <c r="V114" s="4">
        <f t="shared" si="11"/>
      </c>
      <c r="W114" s="4">
        <f t="shared" si="12"/>
      </c>
      <c r="X114" s="4">
        <f t="shared" si="13"/>
      </c>
    </row>
    <row r="115" spans="17:24" x14ac:dyDescent="0.3">
      <c r="Q115" s="95" t="s">
        <v>213</v>
      </c>
      <c r="R115" s="4">
        <v>10</v>
      </c>
      <c r="S115" s="4">
        <v>1.5</v>
      </c>
      <c r="T115" s="90">
        <f t="shared" si="17"/>
      </c>
      <c r="U115" s="4">
        <v>14.7</v>
      </c>
      <c r="V115" s="4">
        <f t="shared" si="11"/>
      </c>
      <c r="W115" s="4">
        <f t="shared" si="12"/>
      </c>
      <c r="X115" s="4">
        <f t="shared" si="13"/>
      </c>
    </row>
    <row r="116" spans="17:24" x14ac:dyDescent="0.3">
      <c r="Q116" s="95" t="s">
        <v>213</v>
      </c>
      <c r="R116" s="4">
        <v>14</v>
      </c>
      <c r="S116" s="4">
        <v>1.5</v>
      </c>
      <c r="T116" s="90">
        <f t="shared" si="17"/>
      </c>
      <c r="U116" s="4">
        <v>15.9</v>
      </c>
      <c r="V116" s="4">
        <f t="shared" si="11"/>
      </c>
      <c r="W116" s="4">
        <f t="shared" si="12"/>
      </c>
      <c r="X116" s="4">
        <f t="shared" si="13"/>
      </c>
    </row>
    <row r="117" spans="17:24" x14ac:dyDescent="0.3">
      <c r="Q117" s="95" t="s">
        <v>213</v>
      </c>
      <c r="R117" s="4">
        <v>19</v>
      </c>
      <c r="S117" s="4">
        <v>1.5</v>
      </c>
      <c r="T117" s="90">
        <f t="shared" si="17"/>
      </c>
      <c r="U117" s="4">
        <v>17.600000000000001</v>
      </c>
      <c r="V117" s="4">
        <f t="shared" si="11"/>
      </c>
      <c r="W117" s="4">
        <f t="shared" si="12"/>
      </c>
      <c r="X117" s="4">
        <f t="shared" si="13"/>
      </c>
    </row>
    <row r="118" spans="17:24" x14ac:dyDescent="0.3">
      <c r="Q118" s="95" t="s">
        <v>213</v>
      </c>
      <c r="R118" s="4">
        <v>27</v>
      </c>
      <c r="S118" s="4">
        <v>1.5</v>
      </c>
      <c r="T118" s="90">
        <f t="shared" si="17"/>
      </c>
      <c r="U118" s="4">
        <v>21.4</v>
      </c>
      <c r="V118" s="4">
        <f t="shared" si="11"/>
      </c>
      <c r="W118" s="4">
        <f t="shared" si="12"/>
      </c>
      <c r="X118" s="4">
        <f t="shared" si="13"/>
      </c>
    </row>
    <row r="119" spans="17:24" x14ac:dyDescent="0.3">
      <c r="Q119" s="95" t="s">
        <v>213</v>
      </c>
      <c r="R119" s="4">
        <v>37</v>
      </c>
      <c r="S119" s="4">
        <v>1.5</v>
      </c>
      <c r="T119" s="90">
        <f t="shared" si="17"/>
      </c>
      <c r="U119" s="4">
        <v>22.3</v>
      </c>
      <c r="V119" s="4">
        <f t="shared" si="11"/>
      </c>
      <c r="W119" s="4">
        <f t="shared" si="12"/>
      </c>
      <c r="X119" s="4">
        <f t="shared" si="13"/>
      </c>
    </row>
    <row r="120" spans="17:24" x14ac:dyDescent="0.3">
      <c r="Q120" s="95" t="s">
        <v>213</v>
      </c>
      <c r="R120" s="4">
        <v>52</v>
      </c>
      <c r="S120" s="4">
        <v>1.5</v>
      </c>
      <c r="T120" s="90">
        <f t="shared" si="17"/>
      </c>
      <c r="U120" s="4">
        <v>25.3</v>
      </c>
      <c r="V120" s="4">
        <f t="shared" si="11"/>
      </c>
      <c r="W120" s="4">
        <f t="shared" si="12"/>
      </c>
      <c r="X120" s="4">
        <f t="shared" si="13"/>
      </c>
    </row>
    <row r="121" spans="17:24" x14ac:dyDescent="0.3">
      <c r="Q121" s="95" t="s">
        <v>213</v>
      </c>
      <c r="R121" s="4">
        <v>1</v>
      </c>
      <c r="S121" s="4">
        <v>2.5</v>
      </c>
      <c r="T121" s="90">
        <f t="shared" si="17"/>
      </c>
      <c r="U121" s="4">
        <v>6.1</v>
      </c>
      <c r="V121" s="4">
        <f t="shared" si="11"/>
      </c>
      <c r="W121" s="4">
        <f t="shared" si="12"/>
      </c>
      <c r="X121" s="4">
        <f t="shared" si="13"/>
      </c>
    </row>
    <row r="122" spans="17:24" x14ac:dyDescent="0.3">
      <c r="Q122" s="95" t="s">
        <v>213</v>
      </c>
      <c r="R122" s="4">
        <v>2</v>
      </c>
      <c r="S122" s="4">
        <v>2.5</v>
      </c>
      <c r="T122" s="90">
        <f t="shared" si="17"/>
      </c>
      <c r="U122" s="4">
        <v>10.1</v>
      </c>
      <c r="V122" s="4">
        <f t="shared" si="11"/>
      </c>
      <c r="W122" s="4">
        <f t="shared" si="12"/>
      </c>
      <c r="X122" s="4">
        <f t="shared" si="13"/>
      </c>
    </row>
    <row r="123" spans="17:24" x14ac:dyDescent="0.3">
      <c r="Q123" s="95" t="s">
        <v>213</v>
      </c>
      <c r="R123" s="4">
        <v>3</v>
      </c>
      <c r="S123" s="4">
        <v>2.5</v>
      </c>
      <c r="T123" s="90">
        <f t="shared" si="17"/>
      </c>
      <c r="U123" s="4">
        <v>10.6</v>
      </c>
      <c r="V123" s="4">
        <f t="shared" si="11"/>
      </c>
      <c r="W123" s="4">
        <f t="shared" si="12"/>
      </c>
      <c r="X123" s="4">
        <f t="shared" si="13"/>
      </c>
    </row>
    <row r="124" spans="17:24" x14ac:dyDescent="0.3">
      <c r="Q124" s="95" t="s">
        <v>213</v>
      </c>
      <c r="R124" s="4">
        <v>4</v>
      </c>
      <c r="S124" s="4">
        <v>2.5</v>
      </c>
      <c r="T124" s="90">
        <f t="shared" si="17"/>
      </c>
      <c r="U124" s="4">
        <v>11.6</v>
      </c>
      <c r="V124" s="4">
        <f t="shared" si="11"/>
      </c>
      <c r="W124" s="4">
        <f t="shared" si="12"/>
      </c>
      <c r="X124" s="4">
        <f t="shared" si="13"/>
      </c>
    </row>
    <row r="125" spans="17:24" x14ac:dyDescent="0.3">
      <c r="Q125" s="95" t="s">
        <v>213</v>
      </c>
      <c r="R125" s="4">
        <v>5</v>
      </c>
      <c r="S125" s="4">
        <v>2.5</v>
      </c>
      <c r="T125" s="90">
        <f t="shared" si="17"/>
      </c>
      <c r="U125" s="4">
        <v>11</v>
      </c>
      <c r="V125" s="4">
        <f t="shared" si="11"/>
      </c>
      <c r="W125" s="4">
        <f t="shared" si="12"/>
      </c>
      <c r="X125" s="4">
        <f t="shared" si="13"/>
      </c>
    </row>
    <row r="126" spans="17:24" x14ac:dyDescent="0.3">
      <c r="Q126" s="95" t="s">
        <v>213</v>
      </c>
      <c r="R126" s="4">
        <v>7</v>
      </c>
      <c r="S126" s="4">
        <v>2.5</v>
      </c>
      <c r="T126" s="90">
        <f t="shared" si="17"/>
      </c>
      <c r="U126" s="4">
        <v>11.8</v>
      </c>
      <c r="V126" s="4">
        <f t="shared" si="11"/>
      </c>
      <c r="W126" s="4">
        <f t="shared" si="12"/>
      </c>
      <c r="X126" s="4">
        <f t="shared" si="13"/>
      </c>
    </row>
    <row r="127" spans="17:24" x14ac:dyDescent="0.3">
      <c r="Q127" s="95" t="s">
        <v>213</v>
      </c>
      <c r="R127" s="4">
        <v>10</v>
      </c>
      <c r="S127" s="4">
        <v>2.5</v>
      </c>
      <c r="T127" s="90">
        <f t="shared" si="17"/>
      </c>
      <c r="U127" s="4">
        <v>14.8</v>
      </c>
      <c r="V127" s="4">
        <f t="shared" si="11"/>
      </c>
      <c r="W127" s="4">
        <f t="shared" si="12"/>
      </c>
      <c r="X127" s="4">
        <f t="shared" si="13"/>
      </c>
    </row>
    <row r="128" spans="17:24" x14ac:dyDescent="0.3">
      <c r="Q128" s="95" t="s">
        <v>213</v>
      </c>
      <c r="R128" s="4">
        <v>14</v>
      </c>
      <c r="S128" s="4">
        <v>2.5</v>
      </c>
      <c r="T128" s="90">
        <f t="shared" si="17"/>
      </c>
      <c r="U128" s="4">
        <v>16</v>
      </c>
      <c r="V128" s="4">
        <f t="shared" si="11"/>
      </c>
      <c r="W128" s="4">
        <f t="shared" si="12"/>
      </c>
      <c r="X128" s="4">
        <f t="shared" si="13"/>
      </c>
    </row>
    <row r="129" spans="17:24" x14ac:dyDescent="0.3">
      <c r="Q129" s="95" t="s">
        <v>213</v>
      </c>
      <c r="R129" s="4">
        <v>19</v>
      </c>
      <c r="S129" s="4">
        <v>2.5</v>
      </c>
      <c r="T129" s="90">
        <f t="shared" si="17"/>
      </c>
      <c r="U129" s="4">
        <v>17.7</v>
      </c>
      <c r="V129" s="4">
        <f t="shared" si="11"/>
      </c>
      <c r="W129" s="4">
        <f t="shared" si="12"/>
      </c>
      <c r="X129" s="4">
        <f t="shared" si="13"/>
      </c>
    </row>
    <row r="130" spans="17:24" x14ac:dyDescent="0.3">
      <c r="Q130" s="95" t="s">
        <v>213</v>
      </c>
      <c r="R130" s="4">
        <v>27</v>
      </c>
      <c r="S130" s="4">
        <v>2.5</v>
      </c>
      <c r="T130" s="90">
        <f t="shared" si="17"/>
      </c>
      <c r="U130" s="4">
        <v>21.5</v>
      </c>
      <c r="V130" s="4">
        <f t="shared" si="11"/>
      </c>
      <c r="W130" s="4">
        <f t="shared" si="12"/>
      </c>
      <c r="X130" s="4">
        <f t="shared" si="13"/>
      </c>
    </row>
    <row r="131" spans="17:24" x14ac:dyDescent="0.3">
      <c r="Q131" s="95" t="s">
        <v>213</v>
      </c>
      <c r="R131" s="4">
        <v>37</v>
      </c>
      <c r="S131" s="4">
        <v>2.5</v>
      </c>
      <c r="T131" s="90">
        <f t="shared" si="17"/>
      </c>
      <c r="U131" s="4">
        <v>24.4</v>
      </c>
      <c r="V131" s="4">
        <f t="shared" si="11"/>
      </c>
      <c r="W131" s="4">
        <f t="shared" si="12"/>
      </c>
      <c r="X131" s="4">
        <f t="shared" si="13"/>
      </c>
    </row>
    <row r="132" spans="17:24" x14ac:dyDescent="0.3">
      <c r="Q132" s="95" t="s">
        <v>213</v>
      </c>
      <c r="R132" s="4">
        <v>1</v>
      </c>
      <c r="S132" s="4">
        <v>4</v>
      </c>
      <c r="T132" s="90">
        <f t="shared" si="17"/>
      </c>
      <c r="U132" s="4">
        <v>6.8</v>
      </c>
      <c r="V132" s="4">
        <f t="shared" si="11"/>
      </c>
      <c r="W132" s="4">
        <f t="shared" si="12"/>
      </c>
      <c r="X132" s="4">
        <f t="shared" si="13"/>
      </c>
    </row>
    <row r="133" spans="17:24" x14ac:dyDescent="0.3">
      <c r="Q133" s="95" t="s">
        <v>213</v>
      </c>
      <c r="R133" s="4">
        <v>2</v>
      </c>
      <c r="S133" s="4">
        <v>4</v>
      </c>
      <c r="T133" s="90">
        <f t="shared" si="17"/>
      </c>
      <c r="U133" s="4">
        <v>11.1</v>
      </c>
      <c r="V133" s="4">
        <f t="shared" ref="V133:V158" si="18">IF((U133*1.2)&lt;14,14,U133*1.2)</f>
      </c>
      <c r="W133" s="4">
        <f t="shared" ref="W133:W196" si="19">"Ø"&amp;VLOOKUP(V133,$Z$4:$AA$10,2,TRUE)</f>
      </c>
      <c r="X133" s="4">
        <f t="shared" ref="X133:X196" si="20">"Ø"&amp;VLOOKUP(V133,$AD$4:$AE$10,2,TRUE)</f>
      </c>
    </row>
    <row r="134" spans="17:24" x14ac:dyDescent="0.3">
      <c r="Q134" s="95" t="s">
        <v>213</v>
      </c>
      <c r="R134" s="4">
        <v>3</v>
      </c>
      <c r="S134" s="4">
        <v>4</v>
      </c>
      <c r="T134" s="90">
        <f t="shared" si="17"/>
      </c>
      <c r="U134" s="4">
        <v>11.8</v>
      </c>
      <c r="V134" s="4">
        <f t="shared" si="18"/>
      </c>
      <c r="W134" s="4">
        <f t="shared" si="19"/>
      </c>
      <c r="X134" s="4">
        <f t="shared" si="20"/>
      </c>
    </row>
    <row r="135" spans="17:24" x14ac:dyDescent="0.3">
      <c r="Q135" s="95" t="s">
        <v>213</v>
      </c>
      <c r="R135" s="4">
        <v>4</v>
      </c>
      <c r="S135" s="4">
        <v>4</v>
      </c>
      <c r="T135" s="90">
        <f t="shared" si="17"/>
      </c>
      <c r="U135" s="4">
        <v>12.8</v>
      </c>
      <c r="V135" s="4">
        <f t="shared" si="18"/>
      </c>
      <c r="W135" s="4">
        <f t="shared" si="19"/>
      </c>
      <c r="X135" s="4">
        <f t="shared" si="20"/>
      </c>
    </row>
    <row r="136" spans="17:24" x14ac:dyDescent="0.3">
      <c r="Q136" s="95" t="s">
        <v>213</v>
      </c>
      <c r="R136" s="4">
        <v>5</v>
      </c>
      <c r="S136" s="4">
        <v>4</v>
      </c>
      <c r="T136" s="90">
        <f t="shared" si="17"/>
      </c>
      <c r="U136" s="4">
        <v>14</v>
      </c>
      <c r="V136" s="4">
        <f t="shared" si="18"/>
      </c>
      <c r="W136" s="4">
        <f t="shared" si="19"/>
      </c>
      <c r="X136" s="4">
        <f t="shared" si="20"/>
      </c>
    </row>
    <row r="137" spans="17:24" x14ac:dyDescent="0.3">
      <c r="Q137" s="95" t="s">
        <v>213</v>
      </c>
      <c r="R137" s="4">
        <v>7</v>
      </c>
      <c r="S137" s="4">
        <v>4</v>
      </c>
      <c r="T137" s="90">
        <f t="shared" si="17"/>
      </c>
      <c r="U137" s="4">
        <v>15.1</v>
      </c>
      <c r="V137" s="4">
        <f t="shared" si="18"/>
      </c>
      <c r="W137" s="4">
        <f t="shared" si="19"/>
      </c>
      <c r="X137" s="4">
        <f t="shared" si="20"/>
      </c>
    </row>
    <row r="138" spans="17:24" x14ac:dyDescent="0.3">
      <c r="Q138" s="95" t="s">
        <v>213</v>
      </c>
      <c r="R138" s="4">
        <v>10</v>
      </c>
      <c r="S138" s="4">
        <v>4</v>
      </c>
      <c r="T138" s="90">
        <f t="shared" si="17"/>
      </c>
      <c r="U138" s="4">
        <v>17.600000000000001</v>
      </c>
      <c r="V138" s="4">
        <f t="shared" si="18"/>
      </c>
      <c r="W138" s="4">
        <f t="shared" si="19"/>
      </c>
      <c r="X138" s="4">
        <f t="shared" si="20"/>
      </c>
    </row>
    <row r="139" spans="17:24" x14ac:dyDescent="0.3">
      <c r="Q139" s="95" t="s">
        <v>213</v>
      </c>
      <c r="R139" s="4">
        <v>1</v>
      </c>
      <c r="S139" s="4">
        <v>6</v>
      </c>
      <c r="T139" s="90">
        <f t="shared" si="17"/>
      </c>
      <c r="U139" s="4">
        <v>7.3</v>
      </c>
      <c r="V139" s="4">
        <f t="shared" si="18"/>
      </c>
      <c r="W139" s="4">
        <f t="shared" si="19"/>
      </c>
      <c r="X139" s="4">
        <f t="shared" si="20"/>
      </c>
    </row>
    <row r="140" spans="17:24" x14ac:dyDescent="0.3">
      <c r="Q140" s="95" t="s">
        <v>213</v>
      </c>
      <c r="R140" s="4">
        <v>2</v>
      </c>
      <c r="S140" s="4">
        <v>6</v>
      </c>
      <c r="T140" s="90">
        <f t="shared" si="17"/>
      </c>
      <c r="U140" s="4">
        <v>12.3</v>
      </c>
      <c r="V140" s="4">
        <f t="shared" si="18"/>
      </c>
      <c r="W140" s="4">
        <f t="shared" si="19"/>
      </c>
      <c r="X140" s="4">
        <f t="shared" si="20"/>
      </c>
    </row>
    <row r="141" spans="17:24" x14ac:dyDescent="0.3">
      <c r="Q141" s="95" t="s">
        <v>213</v>
      </c>
      <c r="R141" s="4">
        <v>3</v>
      </c>
      <c r="S141" s="4">
        <v>6</v>
      </c>
      <c r="T141" s="90">
        <f t="shared" si="17"/>
      </c>
      <c r="U141" s="4">
        <v>13</v>
      </c>
      <c r="V141" s="4">
        <f t="shared" si="18"/>
      </c>
      <c r="W141" s="4">
        <f t="shared" si="19"/>
      </c>
      <c r="X141" s="4">
        <f t="shared" si="20"/>
      </c>
    </row>
    <row r="142" spans="17:24" x14ac:dyDescent="0.3">
      <c r="Q142" s="95" t="s">
        <v>213</v>
      </c>
      <c r="R142" s="4">
        <v>4</v>
      </c>
      <c r="S142" s="4">
        <v>6</v>
      </c>
      <c r="T142" s="90">
        <f t="shared" si="17"/>
      </c>
      <c r="U142" s="4">
        <v>14.2</v>
      </c>
      <c r="V142" s="4">
        <f t="shared" si="18"/>
      </c>
      <c r="W142" s="4">
        <f t="shared" si="19"/>
      </c>
      <c r="X142" s="4">
        <f t="shared" si="20"/>
      </c>
    </row>
    <row r="143" spans="17:24" x14ac:dyDescent="0.3">
      <c r="Q143" s="95" t="s">
        <v>213</v>
      </c>
      <c r="R143" s="4">
        <v>5</v>
      </c>
      <c r="S143" s="4">
        <v>6</v>
      </c>
      <c r="T143" s="90">
        <f t="shared" si="17"/>
      </c>
      <c r="U143" s="4">
        <v>15.6</v>
      </c>
      <c r="V143" s="4">
        <f t="shared" si="18"/>
      </c>
      <c r="W143" s="4">
        <f t="shared" si="19"/>
      </c>
      <c r="X143" s="4">
        <f t="shared" si="20"/>
      </c>
    </row>
    <row r="144" spans="17:24" x14ac:dyDescent="0.3">
      <c r="Q144" s="4" t="s">
        <v>317</v>
      </c>
      <c r="R144" s="4">
        <v>1</v>
      </c>
      <c r="S144" s="4">
        <v>1.5</v>
      </c>
      <c r="T144" s="90">
        <f t="shared" si="17"/>
      </c>
      <c r="U144" s="4">
        <v>3</v>
      </c>
      <c r="V144" s="4">
        <f t="shared" si="18"/>
      </c>
      <c r="W144" s="4">
        <f t="shared" si="19"/>
      </c>
      <c r="X144" s="4">
        <f t="shared" si="20"/>
      </c>
    </row>
    <row r="145" spans="17:24" x14ac:dyDescent="0.3">
      <c r="Q145" s="4" t="s">
        <v>317</v>
      </c>
      <c r="R145" s="4">
        <v>1</v>
      </c>
      <c r="S145" s="4">
        <v>2.5</v>
      </c>
      <c r="T145" s="90">
        <f t="shared" si="17"/>
      </c>
      <c r="U145" s="4">
        <v>3.6</v>
      </c>
      <c r="V145" s="4">
        <f t="shared" si="18"/>
      </c>
      <c r="W145" s="4">
        <f t="shared" si="19"/>
      </c>
      <c r="X145" s="4">
        <f t="shared" si="20"/>
      </c>
    </row>
    <row r="146" spans="17:24" x14ac:dyDescent="0.3">
      <c r="Q146" s="4" t="s">
        <v>317</v>
      </c>
      <c r="R146" s="4">
        <v>1</v>
      </c>
      <c r="S146" s="4">
        <v>4</v>
      </c>
      <c r="T146" s="90">
        <f t="shared" si="17"/>
      </c>
      <c r="U146" s="4">
        <v>3.9</v>
      </c>
      <c r="V146" s="4">
        <f t="shared" si="18"/>
      </c>
      <c r="W146" s="4">
        <f t="shared" si="19"/>
      </c>
      <c r="X146" s="4">
        <f t="shared" si="20"/>
      </c>
    </row>
    <row r="147" spans="17:24" x14ac:dyDescent="0.3">
      <c r="Q147" s="4" t="s">
        <v>317</v>
      </c>
      <c r="R147" s="4">
        <v>1</v>
      </c>
      <c r="S147" s="4">
        <v>6</v>
      </c>
      <c r="T147" s="90">
        <f t="shared" si="17"/>
      </c>
      <c r="U147" s="4">
        <v>4.7</v>
      </c>
      <c r="V147" s="4">
        <f t="shared" si="18"/>
      </c>
      <c r="W147" s="4">
        <f t="shared" si="19"/>
      </c>
      <c r="X147" s="4">
        <f t="shared" si="20"/>
      </c>
    </row>
    <row r="148" spans="17:24" x14ac:dyDescent="0.3">
      <c r="Q148" s="4" t="s">
        <v>317</v>
      </c>
      <c r="R148" s="4">
        <v>1</v>
      </c>
      <c r="S148" s="4">
        <v>10</v>
      </c>
      <c r="T148" s="90">
        <f t="shared" si="17"/>
      </c>
      <c r="U148" s="4">
        <v>6</v>
      </c>
      <c r="V148" s="4">
        <f t="shared" si="18"/>
      </c>
      <c r="W148" s="4">
        <f t="shared" si="19"/>
      </c>
      <c r="X148" s="4">
        <f t="shared" si="20"/>
      </c>
    </row>
    <row r="149" spans="17:24" x14ac:dyDescent="0.3">
      <c r="Q149" s="4" t="s">
        <v>317</v>
      </c>
      <c r="R149" s="4">
        <v>1</v>
      </c>
      <c r="S149" s="4">
        <v>16</v>
      </c>
      <c r="T149" s="90">
        <f t="shared" si="17"/>
      </c>
      <c r="U149" s="4">
        <v>7.6</v>
      </c>
      <c r="V149" s="4">
        <f t="shared" si="18"/>
      </c>
      <c r="W149" s="4">
        <f t="shared" si="19"/>
      </c>
      <c r="X149" s="4">
        <f t="shared" si="20"/>
      </c>
    </row>
    <row r="150" spans="17:24" x14ac:dyDescent="0.3">
      <c r="Q150" s="4" t="s">
        <v>317</v>
      </c>
      <c r="R150" s="4">
        <v>1</v>
      </c>
      <c r="S150" s="4">
        <v>25</v>
      </c>
      <c r="T150" s="90">
        <f t="shared" si="17"/>
      </c>
      <c r="U150" s="4">
        <v>9.6</v>
      </c>
      <c r="V150" s="4">
        <f t="shared" si="18"/>
      </c>
      <c r="W150" s="4">
        <f t="shared" si="19"/>
      </c>
      <c r="X150" s="4">
        <f t="shared" si="20"/>
      </c>
    </row>
    <row r="151" spans="17:24" x14ac:dyDescent="0.3">
      <c r="Q151" s="4" t="s">
        <v>317</v>
      </c>
      <c r="R151" s="4">
        <v>1</v>
      </c>
      <c r="S151" s="4">
        <v>35</v>
      </c>
      <c r="T151" s="90">
        <f t="shared" si="17"/>
      </c>
      <c r="U151" s="4">
        <v>10.9</v>
      </c>
      <c r="V151" s="4">
        <f t="shared" si="18"/>
      </c>
      <c r="W151" s="4">
        <f t="shared" si="19"/>
      </c>
      <c r="X151" s="4">
        <f t="shared" si="20"/>
      </c>
    </row>
    <row r="152" spans="17:24" x14ac:dyDescent="0.3">
      <c r="Q152" s="4" t="s">
        <v>317</v>
      </c>
      <c r="R152" s="4">
        <v>1</v>
      </c>
      <c r="S152" s="4">
        <v>50</v>
      </c>
      <c r="T152" s="90">
        <f t="shared" si="17"/>
      </c>
      <c r="U152" s="4">
        <v>12.6</v>
      </c>
      <c r="V152" s="4">
        <f t="shared" si="18"/>
      </c>
      <c r="W152" s="4">
        <f t="shared" si="19"/>
      </c>
      <c r="X152" s="4">
        <f t="shared" si="20"/>
      </c>
    </row>
    <row r="153" spans="17:24" x14ac:dyDescent="0.3">
      <c r="Q153" s="4" t="s">
        <v>317</v>
      </c>
      <c r="R153" s="4">
        <v>1</v>
      </c>
      <c r="S153" s="4">
        <v>70</v>
      </c>
      <c r="T153" s="90">
        <f t="shared" si="17"/>
      </c>
      <c r="U153" s="4">
        <v>14.6</v>
      </c>
      <c r="V153" s="4">
        <f t="shared" si="18"/>
      </c>
      <c r="W153" s="4">
        <f t="shared" si="19"/>
      </c>
      <c r="X153" s="4">
        <f t="shared" si="20"/>
      </c>
    </row>
    <row r="154" spans="17:24" x14ac:dyDescent="0.3">
      <c r="Q154" s="4" t="s">
        <v>317</v>
      </c>
      <c r="R154" s="4">
        <v>1</v>
      </c>
      <c r="S154" s="4">
        <v>95</v>
      </c>
      <c r="T154" s="90">
        <f t="shared" si="17"/>
      </c>
      <c r="U154" s="4">
        <v>17.2</v>
      </c>
      <c r="V154" s="4">
        <f t="shared" si="18"/>
      </c>
      <c r="W154" s="4">
        <f t="shared" si="19"/>
      </c>
      <c r="X154" s="4">
        <f t="shared" si="20"/>
      </c>
    </row>
    <row r="155" spans="17:24" x14ac:dyDescent="0.3">
      <c r="Q155" s="4" t="s">
        <v>317</v>
      </c>
      <c r="R155" s="4">
        <v>1</v>
      </c>
      <c r="S155" s="4">
        <v>120</v>
      </c>
      <c r="T155" s="90">
        <f t="shared" si="17"/>
      </c>
      <c r="U155" s="4">
        <v>18.8</v>
      </c>
      <c r="V155" s="4">
        <f t="shared" si="18"/>
      </c>
      <c r="W155" s="4">
        <f t="shared" si="19"/>
      </c>
      <c r="X155" s="4">
        <f t="shared" si="20"/>
      </c>
    </row>
    <row r="156" spans="17:24" x14ac:dyDescent="0.3">
      <c r="Q156" s="4" t="s">
        <v>317</v>
      </c>
      <c r="R156" s="4">
        <v>1</v>
      </c>
      <c r="S156" s="4">
        <v>150</v>
      </c>
      <c r="T156" s="90">
        <f t="shared" si="17"/>
      </c>
      <c r="U156" s="4">
        <v>21</v>
      </c>
      <c r="V156" s="4">
        <f t="shared" si="18"/>
      </c>
      <c r="W156" s="4">
        <f t="shared" si="19"/>
      </c>
      <c r="X156" s="4">
        <f t="shared" si="20"/>
      </c>
    </row>
    <row r="157" spans="17:24" x14ac:dyDescent="0.3">
      <c r="Q157" s="4" t="s">
        <v>317</v>
      </c>
      <c r="R157" s="4">
        <v>1</v>
      </c>
      <c r="S157" s="4">
        <v>185</v>
      </c>
      <c r="T157" s="90">
        <f t="shared" si="17"/>
      </c>
      <c r="U157" s="4">
        <v>23.4</v>
      </c>
      <c r="V157" s="4">
        <f t="shared" si="18"/>
      </c>
      <c r="W157" s="4">
        <f t="shared" si="19"/>
      </c>
      <c r="X157" s="4">
        <f t="shared" si="20"/>
      </c>
    </row>
    <row r="158" spans="17:24" x14ac:dyDescent="0.3">
      <c r="Q158" s="4" t="s">
        <v>317</v>
      </c>
      <c r="R158" s="4">
        <v>1</v>
      </c>
      <c r="S158" s="4">
        <v>240</v>
      </c>
      <c r="T158" s="90">
        <f t="shared" si="17"/>
      </c>
      <c r="U158" s="4">
        <v>27.3</v>
      </c>
      <c r="V158" s="4">
        <f t="shared" si="18"/>
      </c>
      <c r="W158" s="4">
        <f t="shared" si="19"/>
      </c>
      <c r="X158" s="4">
        <f t="shared" si="20"/>
      </c>
    </row>
    <row r="159" spans="17:24" x14ac:dyDescent="0.3">
      <c r="Q159" s="4"/>
      <c r="R159" s="4"/>
      <c r="S159" s="4"/>
      <c r="T159" s="90" t="s">
        <v>379</v>
      </c>
      <c r="U159" s="4">
        <v>4.9000000000000004</v>
      </c>
      <c r="V159" s="4">
        <f t="shared" ref="V159:V196" si="21">U159*1.2</f>
      </c>
      <c r="W159" s="4">
        <f t="shared" si="19"/>
      </c>
      <c r="X159" s="4">
        <f t="shared" si="20"/>
      </c>
    </row>
    <row r="160" spans="17:24" x14ac:dyDescent="0.3">
      <c r="Q160" s="4"/>
      <c r="R160" s="4"/>
      <c r="S160" s="4"/>
      <c r="T160" s="90" t="s">
        <v>358</v>
      </c>
      <c r="U160" s="4">
        <v>7</v>
      </c>
      <c r="V160" s="4">
        <f t="shared" si="21"/>
      </c>
      <c r="W160" s="4">
        <f t="shared" si="19"/>
      </c>
      <c r="X160" s="4">
        <f t="shared" si="20"/>
      </c>
    </row>
    <row r="161" spans="17:24" x14ac:dyDescent="0.3">
      <c r="Q161" s="4"/>
      <c r="R161" s="4"/>
      <c r="S161" s="4"/>
      <c r="T161" s="90" t="s">
        <v>340</v>
      </c>
      <c r="U161" s="4"/>
      <c r="V161" s="4">
        <f t="shared" si="21"/>
      </c>
      <c r="W161" s="4">
        <f t="shared" si="19"/>
      </c>
      <c r="X161" s="4">
        <f t="shared" si="20"/>
      </c>
    </row>
    <row r="162" spans="17:24" x14ac:dyDescent="0.3">
      <c r="Q162" s="4"/>
      <c r="R162" s="4"/>
      <c r="S162" s="4"/>
      <c r="T162" s="90" t="s">
        <v>341</v>
      </c>
      <c r="U162" s="4"/>
      <c r="V162" s="4">
        <f t="shared" si="21"/>
      </c>
      <c r="W162" s="4">
        <f t="shared" si="19"/>
      </c>
      <c r="X162" s="4">
        <f t="shared" si="20"/>
      </c>
    </row>
    <row r="163" spans="17:24" x14ac:dyDescent="0.3">
      <c r="Q163" s="4"/>
      <c r="R163" s="4"/>
      <c r="S163" s="4"/>
      <c r="T163" s="90" t="s">
        <v>360</v>
      </c>
      <c r="U163" s="4"/>
      <c r="V163" s="4">
        <f t="shared" si="21"/>
      </c>
      <c r="W163" s="4">
        <f t="shared" si="19"/>
      </c>
      <c r="X163" s="4">
        <f t="shared" si="20"/>
      </c>
    </row>
    <row r="164" spans="17:24" x14ac:dyDescent="0.3">
      <c r="Q164" s="4" t="s">
        <v>336</v>
      </c>
      <c r="R164" s="4"/>
      <c r="S164" s="4"/>
      <c r="T164" s="90"/>
      <c r="U164" s="4"/>
      <c r="V164" s="4">
        <f t="shared" si="21"/>
      </c>
      <c r="W164" s="4">
        <f t="shared" si="19"/>
      </c>
      <c r="X164" s="4">
        <f t="shared" si="20"/>
      </c>
    </row>
    <row r="165" spans="17:24" x14ac:dyDescent="0.3">
      <c r="Q165" s="4"/>
      <c r="R165" s="4"/>
      <c r="S165" s="4"/>
      <c r="T165" s="90"/>
      <c r="U165" s="4"/>
      <c r="V165" s="4">
        <f t="shared" si="21"/>
      </c>
      <c r="W165" s="4">
        <f t="shared" si="19"/>
      </c>
      <c r="X165" s="4">
        <f t="shared" si="20"/>
      </c>
    </row>
    <row r="166" spans="17:24" x14ac:dyDescent="0.3">
      <c r="Q166" s="4"/>
      <c r="R166" s="4"/>
      <c r="S166" s="4"/>
      <c r="T166" s="90"/>
      <c r="U166" s="4"/>
      <c r="V166" s="4">
        <f t="shared" si="21"/>
      </c>
      <c r="W166" s="4">
        <f t="shared" si="19"/>
      </c>
      <c r="X166" s="4">
        <f t="shared" si="20"/>
      </c>
    </row>
    <row r="167" spans="17:24" x14ac:dyDescent="0.3">
      <c r="Q167" s="4" t="s">
        <v>337</v>
      </c>
      <c r="R167" s="4"/>
      <c r="S167" s="4"/>
      <c r="T167" s="90"/>
      <c r="U167" s="4"/>
      <c r="V167" s="4">
        <f t="shared" si="21"/>
      </c>
      <c r="W167" s="4">
        <f t="shared" si="19"/>
      </c>
      <c r="X167" s="4">
        <f t="shared" si="20"/>
      </c>
    </row>
    <row r="168" spans="17:24" x14ac:dyDescent="0.3">
      <c r="Q168" s="4" t="s">
        <v>339</v>
      </c>
      <c r="R168" s="4"/>
      <c r="S168" s="4"/>
      <c r="T168" s="90"/>
      <c r="U168" s="4"/>
      <c r="V168" s="4">
        <f t="shared" si="21"/>
      </c>
      <c r="W168" s="4">
        <f t="shared" si="19"/>
      </c>
      <c r="X168" s="4">
        <f t="shared" si="20"/>
      </c>
    </row>
    <row r="169" spans="17:24" x14ac:dyDescent="0.3">
      <c r="Q169" s="4"/>
      <c r="R169" s="4"/>
      <c r="S169" s="4"/>
      <c r="T169" s="90"/>
      <c r="U169" s="4"/>
      <c r="V169" s="4">
        <f t="shared" si="21"/>
      </c>
      <c r="W169" s="4">
        <f t="shared" si="19"/>
      </c>
      <c r="X169" s="4">
        <f t="shared" si="20"/>
      </c>
    </row>
    <row r="170" spans="17:24" x14ac:dyDescent="0.3">
      <c r="Q170" s="4"/>
      <c r="R170" s="4"/>
      <c r="S170" s="4"/>
      <c r="T170" s="90" t="s">
        <v>338</v>
      </c>
      <c r="U170" s="4"/>
      <c r="V170" s="4">
        <f t="shared" si="21"/>
      </c>
      <c r="W170" s="4">
        <f t="shared" si="19"/>
      </c>
      <c r="X170" s="4">
        <f t="shared" si="20"/>
      </c>
    </row>
    <row r="171" spans="17:24" x14ac:dyDescent="0.3">
      <c r="Q171" s="4"/>
      <c r="R171" s="4"/>
      <c r="S171" s="4"/>
      <c r="T171" s="90"/>
      <c r="U171" s="4"/>
      <c r="V171" s="4">
        <f t="shared" si="21"/>
      </c>
      <c r="W171" s="4">
        <f t="shared" si="19"/>
      </c>
      <c r="X171" s="4">
        <f t="shared" si="20"/>
      </c>
    </row>
    <row r="172" spans="17:24" x14ac:dyDescent="0.3">
      <c r="Q172" s="4"/>
      <c r="R172" s="4"/>
      <c r="S172" s="4"/>
      <c r="T172" s="90"/>
      <c r="U172" s="95"/>
      <c r="V172" s="95"/>
      <c r="W172" s="95"/>
      <c r="X172" s="95"/>
    </row>
    <row r="173" spans="17:24" x14ac:dyDescent="0.3">
      <c r="Q173" s="4"/>
      <c r="R173" s="4"/>
      <c r="S173" s="4"/>
      <c r="T173" s="90"/>
      <c r="U173" s="4"/>
      <c r="V173" s="4">
        <f t="shared" si="21"/>
      </c>
      <c r="W173" s="4">
        <f t="shared" si="19"/>
      </c>
      <c r="X173" s="4">
        <f t="shared" si="20"/>
      </c>
    </row>
    <row r="174" spans="17:24" x14ac:dyDescent="0.3">
      <c r="Q174" s="4"/>
      <c r="R174" s="4"/>
      <c r="S174" s="4"/>
      <c r="T174" s="90"/>
      <c r="U174" s="4"/>
      <c r="V174" s="4">
        <f t="shared" si="21"/>
      </c>
      <c r="W174" s="4">
        <f t="shared" si="19"/>
      </c>
      <c r="X174" s="4">
        <f t="shared" si="20"/>
      </c>
    </row>
    <row r="175" spans="17:24" x14ac:dyDescent="0.3">
      <c r="Q175" s="4"/>
      <c r="R175" s="4"/>
      <c r="S175" s="4"/>
      <c r="T175" s="90"/>
      <c r="U175" s="4"/>
      <c r="V175" s="4">
        <f t="shared" si="21"/>
      </c>
      <c r="W175" s="4">
        <f t="shared" si="19"/>
      </c>
      <c r="X175" s="4">
        <f t="shared" si="20"/>
      </c>
    </row>
    <row r="176" spans="17:24" x14ac:dyDescent="0.3">
      <c r="Q176" s="4"/>
      <c r="R176" s="4"/>
      <c r="S176" s="4"/>
      <c r="T176" s="90"/>
      <c r="U176" s="4"/>
      <c r="V176" s="4">
        <f t="shared" si="21"/>
      </c>
      <c r="W176" s="4">
        <f t="shared" si="19"/>
      </c>
      <c r="X176" s="4">
        <f t="shared" si="20"/>
      </c>
    </row>
    <row r="177" spans="17:24" x14ac:dyDescent="0.3">
      <c r="Q177" s="4"/>
      <c r="R177" s="4"/>
      <c r="S177" s="4"/>
      <c r="T177" s="90"/>
      <c r="U177" s="4"/>
      <c r="V177" s="4">
        <f t="shared" si="21"/>
      </c>
      <c r="W177" s="4">
        <f t="shared" si="19"/>
      </c>
      <c r="X177" s="4">
        <f t="shared" si="20"/>
      </c>
    </row>
    <row r="178" spans="17:24" x14ac:dyDescent="0.3">
      <c r="Q178" s="4"/>
      <c r="R178" s="4"/>
      <c r="S178" s="4"/>
      <c r="T178" s="90"/>
      <c r="U178" s="4"/>
      <c r="V178" s="4">
        <f t="shared" si="21"/>
      </c>
      <c r="W178" s="4">
        <f t="shared" si="19"/>
      </c>
      <c r="X178" s="4">
        <f t="shared" si="20"/>
      </c>
    </row>
    <row r="179" spans="17:24" x14ac:dyDescent="0.3">
      <c r="Q179" s="4"/>
      <c r="R179" s="4"/>
      <c r="S179" s="4"/>
      <c r="T179" s="90"/>
      <c r="U179" s="4"/>
      <c r="V179" s="4">
        <f t="shared" si="21"/>
      </c>
      <c r="W179" s="4">
        <f t="shared" si="19"/>
      </c>
      <c r="X179" s="4">
        <f t="shared" si="20"/>
      </c>
    </row>
    <row r="180" spans="17:24" x14ac:dyDescent="0.3">
      <c r="Q180" s="4"/>
      <c r="R180" s="4"/>
      <c r="S180" s="4"/>
      <c r="T180" s="90"/>
      <c r="U180" s="4"/>
      <c r="V180" s="4">
        <f t="shared" si="21"/>
      </c>
      <c r="W180" s="4">
        <f t="shared" si="19"/>
      </c>
      <c r="X180" s="4">
        <f t="shared" si="20"/>
      </c>
    </row>
    <row r="181" spans="17:24" x14ac:dyDescent="0.3">
      <c r="Q181" s="4"/>
      <c r="R181" s="4"/>
      <c r="S181" s="4"/>
      <c r="T181" s="90"/>
      <c r="U181" s="4"/>
      <c r="V181" s="4">
        <f t="shared" si="21"/>
      </c>
      <c r="W181" s="4">
        <f t="shared" si="19"/>
      </c>
      <c r="X181" s="4">
        <f t="shared" si="20"/>
      </c>
    </row>
    <row r="182" spans="17:24" x14ac:dyDescent="0.3">
      <c r="Q182" s="4"/>
      <c r="R182" s="4"/>
      <c r="S182" s="4"/>
      <c r="T182" s="90"/>
      <c r="U182" s="4"/>
      <c r="V182" s="4">
        <f t="shared" si="21"/>
      </c>
      <c r="W182" s="4">
        <f t="shared" si="19"/>
      </c>
      <c r="X182" s="4">
        <f t="shared" si="20"/>
      </c>
    </row>
    <row r="183" spans="17:24" x14ac:dyDescent="0.3">
      <c r="Q183" s="4"/>
      <c r="R183" s="4"/>
      <c r="S183" s="4"/>
      <c r="T183" s="90"/>
      <c r="U183" s="4"/>
      <c r="V183" s="4">
        <f t="shared" si="21"/>
      </c>
      <c r="W183" s="4">
        <f t="shared" si="19"/>
      </c>
      <c r="X183" s="4">
        <f t="shared" si="20"/>
      </c>
    </row>
    <row r="184" spans="17:24" x14ac:dyDescent="0.3">
      <c r="Q184" s="4"/>
      <c r="R184" s="4"/>
      <c r="S184" s="4"/>
      <c r="T184" s="90"/>
      <c r="U184" s="4"/>
      <c r="V184" s="4">
        <f t="shared" si="21"/>
      </c>
      <c r="W184" s="4">
        <f t="shared" si="19"/>
      </c>
      <c r="X184" s="4">
        <f t="shared" si="20"/>
      </c>
    </row>
    <row r="185" spans="17:24" x14ac:dyDescent="0.3">
      <c r="Q185" s="4"/>
      <c r="R185" s="4"/>
      <c r="S185" s="4"/>
      <c r="T185" s="90"/>
      <c r="U185" s="4"/>
      <c r="V185" s="4">
        <f t="shared" si="21"/>
      </c>
      <c r="W185" s="4">
        <f t="shared" si="19"/>
      </c>
      <c r="X185" s="4">
        <f t="shared" si="20"/>
      </c>
    </row>
    <row r="186" spans="17:24" x14ac:dyDescent="0.3">
      <c r="Q186" s="4"/>
      <c r="R186" s="4"/>
      <c r="S186" s="4"/>
      <c r="T186" s="90"/>
      <c r="U186" s="4"/>
      <c r="V186" s="4">
        <f t="shared" si="21"/>
      </c>
      <c r="W186" s="4">
        <f t="shared" si="19"/>
      </c>
      <c r="X186" s="4">
        <f t="shared" si="20"/>
      </c>
    </row>
    <row r="187" spans="17:24" x14ac:dyDescent="0.3">
      <c r="Q187" s="4"/>
      <c r="R187" s="4"/>
      <c r="S187" s="4"/>
      <c r="T187" s="90"/>
      <c r="U187" s="4"/>
      <c r="V187" s="4">
        <f t="shared" si="21"/>
      </c>
      <c r="W187" s="4">
        <f t="shared" si="19"/>
      </c>
      <c r="X187" s="4">
        <f t="shared" si="20"/>
      </c>
    </row>
    <row r="188" spans="17:24" x14ac:dyDescent="0.3">
      <c r="Q188" s="4"/>
      <c r="R188" s="4"/>
      <c r="S188" s="4"/>
      <c r="T188" s="90"/>
      <c r="U188" s="4"/>
      <c r="V188" s="4">
        <f t="shared" si="21"/>
      </c>
      <c r="W188" s="4">
        <f t="shared" si="19"/>
      </c>
      <c r="X188" s="4">
        <f t="shared" si="20"/>
      </c>
    </row>
    <row r="189" spans="17:24" x14ac:dyDescent="0.3">
      <c r="Q189" s="4"/>
      <c r="R189" s="4"/>
      <c r="S189" s="4"/>
      <c r="T189" s="90"/>
      <c r="U189" s="4"/>
      <c r="V189" s="4">
        <f t="shared" si="21"/>
      </c>
      <c r="W189" s="4">
        <f t="shared" si="19"/>
      </c>
      <c r="X189" s="4">
        <f t="shared" si="20"/>
      </c>
    </row>
    <row r="190" spans="17:24" x14ac:dyDescent="0.3">
      <c r="Q190" s="4"/>
      <c r="R190" s="4"/>
      <c r="S190" s="4"/>
      <c r="T190" s="90"/>
      <c r="U190" s="4"/>
      <c r="V190" s="4">
        <f t="shared" si="21"/>
      </c>
      <c r="W190" s="4">
        <f t="shared" si="19"/>
      </c>
      <c r="X190" s="4">
        <f t="shared" si="20"/>
      </c>
    </row>
    <row r="191" spans="17:24" x14ac:dyDescent="0.3">
      <c r="Q191" s="4"/>
      <c r="R191" s="4"/>
      <c r="S191" s="4"/>
      <c r="T191" s="90"/>
      <c r="U191" s="4"/>
      <c r="V191" s="4">
        <f t="shared" si="21"/>
      </c>
      <c r="W191" s="4">
        <f t="shared" si="19"/>
      </c>
      <c r="X191" s="4">
        <f t="shared" si="20"/>
      </c>
    </row>
    <row r="192" spans="17:24" x14ac:dyDescent="0.3">
      <c r="Q192" s="4"/>
      <c r="R192" s="4"/>
      <c r="S192" s="4"/>
      <c r="T192" s="90"/>
      <c r="U192" s="4"/>
      <c r="V192" s="4">
        <f t="shared" si="21"/>
      </c>
      <c r="W192" s="4">
        <f t="shared" si="19"/>
      </c>
      <c r="X192" s="4">
        <f t="shared" si="20"/>
      </c>
    </row>
    <row r="193" spans="17:24" x14ac:dyDescent="0.3">
      <c r="Q193" s="4"/>
      <c r="R193" s="4"/>
      <c r="S193" s="4"/>
      <c r="T193" s="90"/>
      <c r="U193" s="4"/>
      <c r="V193" s="4">
        <f t="shared" si="21"/>
      </c>
      <c r="W193" s="4">
        <f t="shared" si="19"/>
      </c>
      <c r="X193" s="4">
        <f t="shared" si="20"/>
      </c>
    </row>
    <row r="194" spans="17:24" x14ac:dyDescent="0.3">
      <c r="Q194" s="4"/>
      <c r="R194" s="4"/>
      <c r="S194" s="4"/>
      <c r="T194" s="90"/>
      <c r="U194" s="4"/>
      <c r="V194" s="4">
        <f t="shared" si="21"/>
      </c>
      <c r="W194" s="4">
        <f t="shared" si="19"/>
      </c>
      <c r="X194" s="4">
        <f t="shared" si="20"/>
      </c>
    </row>
    <row r="195" spans="17:24" x14ac:dyDescent="0.3">
      <c r="Q195" s="4"/>
      <c r="R195" s="4"/>
      <c r="S195" s="4"/>
      <c r="T195" s="90"/>
      <c r="U195" s="4"/>
      <c r="V195" s="4">
        <f t="shared" si="21"/>
      </c>
      <c r="W195" s="4">
        <f t="shared" si="19"/>
      </c>
      <c r="X195" s="4">
        <f t="shared" si="20"/>
      </c>
    </row>
    <row r="196" spans="17:24" x14ac:dyDescent="0.3">
      <c r="Q196" s="4"/>
      <c r="R196" s="4"/>
      <c r="S196" s="4"/>
      <c r="T196" s="90"/>
      <c r="U196" s="4"/>
      <c r="V196" s="4">
        <f t="shared" si="21"/>
      </c>
      <c r="W196" s="4">
        <f t="shared" si="19"/>
      </c>
      <c r="X196" s="4">
        <f t="shared" si="20"/>
      </c>
    </row>
    <row r="197" spans="17:24" x14ac:dyDescent="0.3">
      <c r="Q197" s="4"/>
      <c r="R197" s="4"/>
      <c r="S197" s="4"/>
      <c r="T197" s="90"/>
      <c r="U197" s="4"/>
      <c r="V197" s="4">
        <f t="shared" ref="V197:V260" si="22">U197*1.2</f>
      </c>
      <c r="W197" s="4">
        <f t="shared" ref="W197:W260" si="23">"Ø"&amp;VLOOKUP(V197,$Z$4:$AA$10,2,TRUE)</f>
      </c>
      <c r="X197" s="4">
        <f t="shared" ref="X197:X260" si="24">"Ø"&amp;VLOOKUP(V197,$AD$4:$AE$10,2,TRUE)</f>
      </c>
    </row>
    <row r="198" spans="17:24" x14ac:dyDescent="0.3">
      <c r="Q198" s="4"/>
      <c r="R198" s="4"/>
      <c r="S198" s="4"/>
      <c r="T198" s="90"/>
      <c r="U198" s="4"/>
      <c r="V198" s="4">
        <f t="shared" si="22"/>
      </c>
      <c r="W198" s="4">
        <f t="shared" si="23"/>
      </c>
      <c r="X198" s="4">
        <f t="shared" si="24"/>
      </c>
    </row>
    <row r="199" spans="17:24" x14ac:dyDescent="0.3">
      <c r="Q199" s="4"/>
      <c r="R199" s="4"/>
      <c r="S199" s="4"/>
      <c r="T199" s="90"/>
      <c r="U199" s="4"/>
      <c r="V199" s="4">
        <f t="shared" si="22"/>
      </c>
      <c r="W199" s="4">
        <f t="shared" si="23"/>
      </c>
      <c r="X199" s="4">
        <f t="shared" si="24"/>
      </c>
    </row>
    <row r="200" spans="17:24" x14ac:dyDescent="0.3">
      <c r="Q200" s="4"/>
      <c r="R200" s="4"/>
      <c r="S200" s="4"/>
      <c r="T200" s="90"/>
      <c r="U200" s="4"/>
      <c r="V200" s="4">
        <f t="shared" si="22"/>
      </c>
      <c r="W200" s="4">
        <f t="shared" si="23"/>
      </c>
      <c r="X200" s="4">
        <f t="shared" si="24"/>
      </c>
    </row>
    <row r="201" spans="17:24" x14ac:dyDescent="0.3">
      <c r="Q201" s="4"/>
      <c r="R201" s="4"/>
      <c r="S201" s="4"/>
      <c r="T201" s="90"/>
      <c r="U201" s="4"/>
      <c r="V201" s="4">
        <f t="shared" si="22"/>
      </c>
      <c r="W201" s="4">
        <f t="shared" si="23"/>
      </c>
      <c r="X201" s="4">
        <f t="shared" si="24"/>
      </c>
    </row>
    <row r="202" spans="17:24" x14ac:dyDescent="0.3">
      <c r="Q202" s="4"/>
      <c r="R202" s="4"/>
      <c r="S202" s="4"/>
      <c r="T202" s="90"/>
      <c r="U202" s="4"/>
      <c r="V202" s="4">
        <f t="shared" si="22"/>
      </c>
      <c r="W202" s="4">
        <f t="shared" si="23"/>
      </c>
      <c r="X202" s="4">
        <f t="shared" si="24"/>
      </c>
    </row>
    <row r="203" spans="17:24" x14ac:dyDescent="0.3">
      <c r="Q203" s="4"/>
      <c r="R203" s="4"/>
      <c r="S203" s="4"/>
      <c r="T203" s="90"/>
      <c r="U203" s="4"/>
      <c r="V203" s="4">
        <f t="shared" si="22"/>
      </c>
      <c r="W203" s="4">
        <f t="shared" si="23"/>
      </c>
      <c r="X203" s="4">
        <f t="shared" si="24"/>
      </c>
    </row>
    <row r="204" spans="17:24" x14ac:dyDescent="0.3">
      <c r="Q204" s="4"/>
      <c r="R204" s="4"/>
      <c r="S204" s="4"/>
      <c r="T204" s="90"/>
      <c r="U204" s="4"/>
      <c r="V204" s="4">
        <f t="shared" si="22"/>
      </c>
      <c r="W204" s="4">
        <f t="shared" si="23"/>
      </c>
      <c r="X204" s="4">
        <f t="shared" si="24"/>
      </c>
    </row>
    <row r="205" spans="17:24" x14ac:dyDescent="0.3">
      <c r="Q205" s="4"/>
      <c r="R205" s="4"/>
      <c r="S205" s="4"/>
      <c r="T205" s="90"/>
      <c r="U205" s="4"/>
      <c r="V205" s="4">
        <f t="shared" si="22"/>
      </c>
      <c r="W205" s="4">
        <f t="shared" si="23"/>
      </c>
      <c r="X205" s="4">
        <f t="shared" si="24"/>
      </c>
    </row>
    <row r="206" spans="17:24" x14ac:dyDescent="0.3">
      <c r="Q206" s="4"/>
      <c r="R206" s="4"/>
      <c r="S206" s="4"/>
      <c r="T206" s="90"/>
      <c r="U206" s="4"/>
      <c r="V206" s="4">
        <f t="shared" si="22"/>
      </c>
      <c r="W206" s="4">
        <f t="shared" si="23"/>
      </c>
      <c r="X206" s="4">
        <f t="shared" si="24"/>
      </c>
    </row>
    <row r="207" spans="17:24" x14ac:dyDescent="0.3">
      <c r="Q207" s="4"/>
      <c r="R207" s="4"/>
      <c r="S207" s="4"/>
      <c r="T207" s="90"/>
      <c r="U207" s="4"/>
      <c r="V207" s="4">
        <f t="shared" si="22"/>
      </c>
      <c r="W207" s="4">
        <f t="shared" si="23"/>
      </c>
      <c r="X207" s="4">
        <f t="shared" si="24"/>
      </c>
    </row>
    <row r="208" spans="17:24" x14ac:dyDescent="0.3">
      <c r="Q208" s="4"/>
      <c r="R208" s="4"/>
      <c r="S208" s="4"/>
      <c r="T208" s="90"/>
      <c r="U208" s="4"/>
      <c r="V208" s="4">
        <f t="shared" si="22"/>
      </c>
      <c r="W208" s="4">
        <f t="shared" si="23"/>
      </c>
      <c r="X208" s="4">
        <f t="shared" si="24"/>
      </c>
    </row>
    <row r="209" spans="17:24" x14ac:dyDescent="0.3">
      <c r="Q209" s="4"/>
      <c r="R209" s="4"/>
      <c r="S209" s="4"/>
      <c r="T209" s="90"/>
      <c r="U209" s="4"/>
      <c r="V209" s="4">
        <f t="shared" si="22"/>
      </c>
      <c r="W209" s="4">
        <f t="shared" si="23"/>
      </c>
      <c r="X209" s="4">
        <f t="shared" si="24"/>
      </c>
    </row>
    <row r="210" spans="17:24" x14ac:dyDescent="0.3">
      <c r="Q210" s="4"/>
      <c r="R210" s="4"/>
      <c r="S210" s="4"/>
      <c r="T210" s="90"/>
      <c r="U210" s="4"/>
      <c r="V210" s="4">
        <f t="shared" si="22"/>
      </c>
      <c r="W210" s="4">
        <f t="shared" si="23"/>
      </c>
      <c r="X210" s="4">
        <f t="shared" si="24"/>
      </c>
    </row>
    <row r="211" spans="17:24" x14ac:dyDescent="0.3">
      <c r="Q211" s="4"/>
      <c r="R211" s="4"/>
      <c r="S211" s="4"/>
      <c r="T211" s="90"/>
      <c r="U211" s="4"/>
      <c r="V211" s="4">
        <f t="shared" si="22"/>
      </c>
      <c r="W211" s="4">
        <f t="shared" si="23"/>
      </c>
      <c r="X211" s="4">
        <f t="shared" si="24"/>
      </c>
    </row>
    <row r="212" spans="17:24" x14ac:dyDescent="0.3">
      <c r="Q212" s="4"/>
      <c r="R212" s="4"/>
      <c r="S212" s="4"/>
      <c r="T212" s="90"/>
      <c r="U212" s="4"/>
      <c r="V212" s="4">
        <f t="shared" si="22"/>
      </c>
      <c r="W212" s="4">
        <f t="shared" si="23"/>
      </c>
      <c r="X212" s="4">
        <f t="shared" si="24"/>
      </c>
    </row>
    <row r="213" spans="17:24" x14ac:dyDescent="0.3">
      <c r="Q213" s="4"/>
      <c r="R213" s="4"/>
      <c r="S213" s="4"/>
      <c r="T213" s="90"/>
      <c r="U213" s="4"/>
      <c r="V213" s="4">
        <f t="shared" si="22"/>
      </c>
      <c r="W213" s="4">
        <f t="shared" si="23"/>
      </c>
      <c r="X213" s="4">
        <f t="shared" si="24"/>
      </c>
    </row>
    <row r="214" spans="17:24" x14ac:dyDescent="0.3">
      <c r="Q214" s="4"/>
      <c r="R214" s="4"/>
      <c r="S214" s="4"/>
      <c r="T214" s="90"/>
      <c r="U214" s="4"/>
      <c r="V214" s="4">
        <f t="shared" si="22"/>
      </c>
      <c r="W214" s="4">
        <f t="shared" si="23"/>
      </c>
      <c r="X214" s="4">
        <f t="shared" si="24"/>
      </c>
    </row>
    <row r="215" spans="17:24" x14ac:dyDescent="0.3">
      <c r="Q215" s="4"/>
      <c r="R215" s="4"/>
      <c r="S215" s="4"/>
      <c r="T215" s="90"/>
      <c r="U215" s="4"/>
      <c r="V215" s="4">
        <f t="shared" si="22"/>
      </c>
      <c r="W215" s="4">
        <f t="shared" si="23"/>
      </c>
      <c r="X215" s="4">
        <f t="shared" si="24"/>
      </c>
    </row>
    <row r="216" spans="17:24" x14ac:dyDescent="0.3">
      <c r="Q216" s="4"/>
      <c r="R216" s="4"/>
      <c r="S216" s="4"/>
      <c r="T216" s="90"/>
      <c r="U216" s="4"/>
      <c r="V216" s="4">
        <f t="shared" si="22"/>
      </c>
      <c r="W216" s="4">
        <f t="shared" si="23"/>
      </c>
      <c r="X216" s="4">
        <f t="shared" si="24"/>
      </c>
    </row>
    <row r="217" spans="17:24" x14ac:dyDescent="0.3">
      <c r="Q217" s="4"/>
      <c r="R217" s="4"/>
      <c r="S217" s="4"/>
      <c r="T217" s="90"/>
      <c r="U217" s="4"/>
      <c r="V217" s="4">
        <f t="shared" si="22"/>
      </c>
      <c r="W217" s="4">
        <f t="shared" si="23"/>
      </c>
      <c r="X217" s="4">
        <f t="shared" si="24"/>
      </c>
    </row>
    <row r="218" spans="17:24" x14ac:dyDescent="0.3">
      <c r="Q218" s="4"/>
      <c r="R218" s="4"/>
      <c r="S218" s="4"/>
      <c r="T218" s="90"/>
      <c r="U218" s="4"/>
      <c r="V218" s="4">
        <f t="shared" si="22"/>
      </c>
      <c r="W218" s="4">
        <f t="shared" si="23"/>
      </c>
      <c r="X218" s="4">
        <f t="shared" si="24"/>
      </c>
    </row>
    <row r="219" spans="17:24" x14ac:dyDescent="0.3">
      <c r="Q219" s="4"/>
      <c r="R219" s="4"/>
      <c r="S219" s="4"/>
      <c r="T219" s="90"/>
      <c r="U219" s="4"/>
      <c r="V219" s="4">
        <f t="shared" si="22"/>
      </c>
      <c r="W219" s="4">
        <f t="shared" si="23"/>
      </c>
      <c r="X219" s="4">
        <f t="shared" si="24"/>
      </c>
    </row>
    <row r="220" spans="17:24" x14ac:dyDescent="0.3">
      <c r="Q220" s="4"/>
      <c r="R220" s="4"/>
      <c r="S220" s="4"/>
      <c r="T220" s="90"/>
      <c r="U220" s="4"/>
      <c r="V220" s="4">
        <f t="shared" si="22"/>
      </c>
      <c r="W220" s="4">
        <f t="shared" si="23"/>
      </c>
      <c r="X220" s="4">
        <f t="shared" si="24"/>
      </c>
    </row>
    <row r="221" spans="17:24" x14ac:dyDescent="0.3">
      <c r="Q221" s="4"/>
      <c r="R221" s="4"/>
      <c r="S221" s="4"/>
      <c r="T221" s="90"/>
      <c r="U221" s="4"/>
      <c r="V221" s="4">
        <f t="shared" si="22"/>
      </c>
      <c r="W221" s="4">
        <f t="shared" si="23"/>
      </c>
      <c r="X221" s="4">
        <f t="shared" si="24"/>
      </c>
    </row>
    <row r="222" spans="17:24" x14ac:dyDescent="0.3">
      <c r="Q222" s="4"/>
      <c r="R222" s="4"/>
      <c r="S222" s="4"/>
      <c r="T222" s="90"/>
      <c r="U222" s="4"/>
      <c r="V222" s="4">
        <f t="shared" si="22"/>
      </c>
      <c r="W222" s="4">
        <f t="shared" si="23"/>
      </c>
      <c r="X222" s="4">
        <f t="shared" si="24"/>
      </c>
    </row>
    <row r="223" spans="17:24" x14ac:dyDescent="0.3">
      <c r="Q223" s="4"/>
      <c r="R223" s="4"/>
      <c r="S223" s="4"/>
      <c r="T223" s="90"/>
      <c r="U223" s="4"/>
      <c r="V223" s="4">
        <f t="shared" si="22"/>
      </c>
      <c r="W223" s="4">
        <f t="shared" si="23"/>
      </c>
      <c r="X223" s="4">
        <f t="shared" si="24"/>
      </c>
    </row>
    <row r="224" spans="17:24" x14ac:dyDescent="0.3">
      <c r="Q224" s="4"/>
      <c r="R224" s="4"/>
      <c r="S224" s="4"/>
      <c r="T224" s="90"/>
      <c r="U224" s="4"/>
      <c r="V224" s="4">
        <f t="shared" si="22"/>
      </c>
      <c r="W224" s="4">
        <f t="shared" si="23"/>
      </c>
      <c r="X224" s="4">
        <f t="shared" si="24"/>
      </c>
    </row>
    <row r="225" spans="17:24" x14ac:dyDescent="0.3">
      <c r="Q225" s="4"/>
      <c r="R225" s="4"/>
      <c r="S225" s="4"/>
      <c r="T225" s="90"/>
      <c r="U225" s="4"/>
      <c r="V225" s="4">
        <f t="shared" si="22"/>
      </c>
      <c r="W225" s="4">
        <f t="shared" si="23"/>
      </c>
      <c r="X225" s="4">
        <f t="shared" si="24"/>
      </c>
    </row>
    <row r="226" spans="17:24" x14ac:dyDescent="0.3">
      <c r="Q226" s="4"/>
      <c r="R226" s="4"/>
      <c r="S226" s="4"/>
      <c r="T226" s="90"/>
      <c r="U226" s="4"/>
      <c r="V226" s="4">
        <f t="shared" si="22"/>
      </c>
      <c r="W226" s="4">
        <f t="shared" si="23"/>
      </c>
      <c r="X226" s="4">
        <f t="shared" si="24"/>
      </c>
    </row>
    <row r="227" spans="17:24" x14ac:dyDescent="0.3">
      <c r="Q227" s="4"/>
      <c r="R227" s="4"/>
      <c r="S227" s="4"/>
      <c r="T227" s="90"/>
      <c r="U227" s="4"/>
      <c r="V227" s="4">
        <f t="shared" si="22"/>
      </c>
      <c r="W227" s="4">
        <f t="shared" si="23"/>
      </c>
      <c r="X227" s="4">
        <f t="shared" si="24"/>
      </c>
    </row>
    <row r="228" spans="17:24" x14ac:dyDescent="0.3">
      <c r="Q228" s="4"/>
      <c r="R228" s="4"/>
      <c r="S228" s="4"/>
      <c r="T228" s="90"/>
      <c r="U228" s="4"/>
      <c r="V228" s="4">
        <f t="shared" si="22"/>
      </c>
      <c r="W228" s="4">
        <f t="shared" si="23"/>
      </c>
      <c r="X228" s="4">
        <f t="shared" si="24"/>
      </c>
    </row>
    <row r="229" spans="17:24" x14ac:dyDescent="0.3">
      <c r="Q229" s="4"/>
      <c r="R229" s="4"/>
      <c r="S229" s="4"/>
      <c r="T229" s="90"/>
      <c r="U229" s="4"/>
      <c r="V229" s="4">
        <f t="shared" si="22"/>
      </c>
      <c r="W229" s="4">
        <f t="shared" si="23"/>
      </c>
      <c r="X229" s="4">
        <f t="shared" si="24"/>
      </c>
    </row>
    <row r="230" spans="17:24" x14ac:dyDescent="0.3">
      <c r="Q230" s="4"/>
      <c r="R230" s="4"/>
      <c r="S230" s="4"/>
      <c r="T230" s="90"/>
      <c r="U230" s="4"/>
      <c r="V230" s="4">
        <f t="shared" si="22"/>
      </c>
      <c r="W230" s="4">
        <f t="shared" si="23"/>
      </c>
      <c r="X230" s="4">
        <f t="shared" si="24"/>
      </c>
    </row>
    <row r="231" spans="17:24" x14ac:dyDescent="0.3">
      <c r="Q231" s="4"/>
      <c r="R231" s="4"/>
      <c r="S231" s="4"/>
      <c r="T231" s="90"/>
      <c r="U231" s="4"/>
      <c r="V231" s="4">
        <f t="shared" si="22"/>
      </c>
      <c r="W231" s="4">
        <f t="shared" si="23"/>
      </c>
      <c r="X231" s="4">
        <f t="shared" si="24"/>
      </c>
    </row>
    <row r="232" spans="17:24" x14ac:dyDescent="0.3">
      <c r="Q232" s="4"/>
      <c r="R232" s="4"/>
      <c r="S232" s="4"/>
      <c r="T232" s="90"/>
      <c r="U232" s="4"/>
      <c r="V232" s="4">
        <f t="shared" si="22"/>
      </c>
      <c r="W232" s="4">
        <f t="shared" si="23"/>
      </c>
      <c r="X232" s="4">
        <f t="shared" si="24"/>
      </c>
    </row>
    <row r="233" spans="17:24" x14ac:dyDescent="0.3">
      <c r="Q233" s="4"/>
      <c r="R233" s="4"/>
      <c r="S233" s="4"/>
      <c r="T233" s="90"/>
      <c r="U233" s="4"/>
      <c r="V233" s="4">
        <f t="shared" si="22"/>
      </c>
      <c r="W233" s="4">
        <f t="shared" si="23"/>
      </c>
      <c r="X233" s="4">
        <f t="shared" si="24"/>
      </c>
    </row>
    <row r="234" spans="17:24" x14ac:dyDescent="0.3">
      <c r="Q234" s="4"/>
      <c r="R234" s="4"/>
      <c r="S234" s="4"/>
      <c r="T234" s="90"/>
      <c r="U234" s="4"/>
      <c r="V234" s="4">
        <f t="shared" si="22"/>
      </c>
      <c r="W234" s="4">
        <f t="shared" si="23"/>
      </c>
      <c r="X234" s="4">
        <f t="shared" si="24"/>
      </c>
    </row>
    <row r="235" spans="17:24" x14ac:dyDescent="0.3">
      <c r="Q235" s="4"/>
      <c r="R235" s="4"/>
      <c r="S235" s="4"/>
      <c r="T235" s="90"/>
      <c r="U235" s="4"/>
      <c r="V235" s="4">
        <f t="shared" si="22"/>
      </c>
      <c r="W235" s="4">
        <f t="shared" si="23"/>
      </c>
      <c r="X235" s="4">
        <f t="shared" si="24"/>
      </c>
    </row>
    <row r="236" spans="17:24" x14ac:dyDescent="0.3">
      <c r="Q236" s="4"/>
      <c r="R236" s="4"/>
      <c r="S236" s="4"/>
      <c r="T236" s="90"/>
      <c r="U236" s="4"/>
      <c r="V236" s="4">
        <f t="shared" si="22"/>
      </c>
      <c r="W236" s="4">
        <f t="shared" si="23"/>
      </c>
      <c r="X236" s="4">
        <f t="shared" si="24"/>
      </c>
    </row>
    <row r="237" spans="17:24" x14ac:dyDescent="0.3">
      <c r="Q237" s="4"/>
      <c r="R237" s="4"/>
      <c r="S237" s="4"/>
      <c r="T237" s="90"/>
      <c r="U237" s="4"/>
      <c r="V237" s="4">
        <f t="shared" si="22"/>
      </c>
      <c r="W237" s="4">
        <f t="shared" si="23"/>
      </c>
      <c r="X237" s="4">
        <f t="shared" si="24"/>
      </c>
    </row>
    <row r="238" spans="17:24" x14ac:dyDescent="0.3">
      <c r="Q238" s="4"/>
      <c r="R238" s="4"/>
      <c r="S238" s="4"/>
      <c r="T238" s="90"/>
      <c r="U238" s="4"/>
      <c r="V238" s="4">
        <f t="shared" si="22"/>
      </c>
      <c r="W238" s="4">
        <f t="shared" si="23"/>
      </c>
      <c r="X238" s="4">
        <f t="shared" si="24"/>
      </c>
    </row>
    <row r="239" spans="17:24" x14ac:dyDescent="0.3">
      <c r="Q239" s="4"/>
      <c r="R239" s="4"/>
      <c r="S239" s="4"/>
      <c r="T239" s="90"/>
      <c r="U239" s="4"/>
      <c r="V239" s="4">
        <f t="shared" si="22"/>
      </c>
      <c r="W239" s="4">
        <f t="shared" si="23"/>
      </c>
      <c r="X239" s="4">
        <f t="shared" si="24"/>
      </c>
    </row>
    <row r="240" spans="17:24" x14ac:dyDescent="0.3">
      <c r="Q240" s="4"/>
      <c r="R240" s="4"/>
      <c r="S240" s="4"/>
      <c r="T240" s="90"/>
      <c r="U240" s="4"/>
      <c r="V240" s="4">
        <f t="shared" si="22"/>
      </c>
      <c r="W240" s="4">
        <f t="shared" si="23"/>
      </c>
      <c r="X240" s="4">
        <f t="shared" si="24"/>
      </c>
    </row>
    <row r="241" spans="17:24" x14ac:dyDescent="0.3">
      <c r="Q241" s="4"/>
      <c r="R241" s="4"/>
      <c r="S241" s="4"/>
      <c r="T241" s="90"/>
      <c r="U241" s="4"/>
      <c r="V241" s="4">
        <f t="shared" si="22"/>
      </c>
      <c r="W241" s="4">
        <f t="shared" si="23"/>
      </c>
      <c r="X241" s="4">
        <f t="shared" si="24"/>
      </c>
    </row>
    <row r="242" spans="17:24" x14ac:dyDescent="0.3">
      <c r="Q242" s="4"/>
      <c r="R242" s="4"/>
      <c r="S242" s="4"/>
      <c r="T242" s="90"/>
      <c r="U242" s="4"/>
      <c r="V242" s="4">
        <f t="shared" si="22"/>
      </c>
      <c r="W242" s="4">
        <f t="shared" si="23"/>
      </c>
      <c r="X242" s="4">
        <f t="shared" si="24"/>
      </c>
    </row>
    <row r="243" spans="17:24" x14ac:dyDescent="0.3">
      <c r="Q243" s="4"/>
      <c r="R243" s="4"/>
      <c r="S243" s="4"/>
      <c r="T243" s="90"/>
      <c r="U243" s="4"/>
      <c r="V243" s="4">
        <f t="shared" si="22"/>
      </c>
      <c r="W243" s="4">
        <f t="shared" si="23"/>
      </c>
      <c r="X243" s="4">
        <f t="shared" si="24"/>
      </c>
    </row>
    <row r="244" spans="17:24" x14ac:dyDescent="0.3">
      <c r="Q244" s="4"/>
      <c r="R244" s="4"/>
      <c r="S244" s="4"/>
      <c r="T244" s="90"/>
      <c r="U244" s="4"/>
      <c r="V244" s="4">
        <f t="shared" si="22"/>
      </c>
      <c r="W244" s="4">
        <f t="shared" si="23"/>
      </c>
      <c r="X244" s="4">
        <f t="shared" si="24"/>
      </c>
    </row>
    <row r="245" spans="17:24" x14ac:dyDescent="0.3">
      <c r="Q245" s="4"/>
      <c r="R245" s="4"/>
      <c r="S245" s="4"/>
      <c r="T245" s="90"/>
      <c r="U245" s="4"/>
      <c r="V245" s="4">
        <f t="shared" si="22"/>
      </c>
      <c r="W245" s="4">
        <f t="shared" si="23"/>
      </c>
      <c r="X245" s="4">
        <f t="shared" si="24"/>
      </c>
    </row>
    <row r="246" spans="17:24" x14ac:dyDescent="0.3">
      <c r="Q246" s="4"/>
      <c r="R246" s="4"/>
      <c r="S246" s="4"/>
      <c r="T246" s="90"/>
      <c r="U246" s="4"/>
      <c r="V246" s="4">
        <f t="shared" si="22"/>
      </c>
      <c r="W246" s="4">
        <f t="shared" si="23"/>
      </c>
      <c r="X246" s="4">
        <f t="shared" si="24"/>
      </c>
    </row>
    <row r="247" spans="17:24" x14ac:dyDescent="0.3">
      <c r="Q247" s="4"/>
      <c r="R247" s="4"/>
      <c r="S247" s="4"/>
      <c r="T247" s="90"/>
      <c r="U247" s="4"/>
      <c r="V247" s="4">
        <f t="shared" si="22"/>
      </c>
      <c r="W247" s="4">
        <f t="shared" si="23"/>
      </c>
      <c r="X247" s="4">
        <f t="shared" si="24"/>
      </c>
    </row>
    <row r="248" spans="17:24" x14ac:dyDescent="0.3">
      <c r="Q248" s="4"/>
      <c r="R248" s="4"/>
      <c r="S248" s="4"/>
      <c r="T248" s="90"/>
      <c r="U248" s="4"/>
      <c r="V248" s="4">
        <f t="shared" si="22"/>
      </c>
      <c r="W248" s="4">
        <f t="shared" si="23"/>
      </c>
      <c r="X248" s="4">
        <f t="shared" si="24"/>
      </c>
    </row>
    <row r="249" spans="17:24" x14ac:dyDescent="0.3">
      <c r="Q249" s="4"/>
      <c r="R249" s="4"/>
      <c r="S249" s="4"/>
      <c r="T249" s="90"/>
      <c r="U249" s="4"/>
      <c r="V249" s="4">
        <f t="shared" si="22"/>
      </c>
      <c r="W249" s="4">
        <f t="shared" si="23"/>
      </c>
      <c r="X249" s="4">
        <f t="shared" si="24"/>
      </c>
    </row>
    <row r="250" spans="17:24" x14ac:dyDescent="0.3">
      <c r="Q250" s="4"/>
      <c r="R250" s="4"/>
      <c r="S250" s="4"/>
      <c r="T250" s="90"/>
      <c r="U250" s="4"/>
      <c r="V250" s="4">
        <f t="shared" si="22"/>
      </c>
      <c r="W250" s="4">
        <f t="shared" si="23"/>
      </c>
      <c r="X250" s="4">
        <f t="shared" si="24"/>
      </c>
    </row>
    <row r="251" spans="17:24" x14ac:dyDescent="0.3">
      <c r="Q251" s="4"/>
      <c r="R251" s="4"/>
      <c r="S251" s="4"/>
      <c r="T251" s="90"/>
      <c r="U251" s="4"/>
      <c r="V251" s="4">
        <f t="shared" si="22"/>
      </c>
      <c r="W251" s="4">
        <f t="shared" si="23"/>
      </c>
      <c r="X251" s="4">
        <f t="shared" si="24"/>
      </c>
    </row>
    <row r="252" spans="17:24" x14ac:dyDescent="0.3">
      <c r="Q252" s="4"/>
      <c r="R252" s="4"/>
      <c r="S252" s="4"/>
      <c r="T252" s="90"/>
      <c r="U252" s="4"/>
      <c r="V252" s="4">
        <f t="shared" si="22"/>
      </c>
      <c r="W252" s="4">
        <f t="shared" si="23"/>
      </c>
      <c r="X252" s="4">
        <f t="shared" si="24"/>
      </c>
    </row>
    <row r="253" spans="17:24" x14ac:dyDescent="0.3">
      <c r="Q253" s="4"/>
      <c r="R253" s="4"/>
      <c r="S253" s="4"/>
      <c r="T253" s="90"/>
      <c r="U253" s="4"/>
      <c r="V253" s="4">
        <f t="shared" si="22"/>
      </c>
      <c r="W253" s="4">
        <f t="shared" si="23"/>
      </c>
      <c r="X253" s="4">
        <f t="shared" si="24"/>
      </c>
    </row>
    <row r="254" spans="17:24" x14ac:dyDescent="0.3">
      <c r="Q254" s="4"/>
      <c r="R254" s="4"/>
      <c r="S254" s="4"/>
      <c r="T254" s="90"/>
      <c r="U254" s="4"/>
      <c r="V254" s="4">
        <f t="shared" si="22"/>
      </c>
      <c r="W254" s="4">
        <f t="shared" si="23"/>
      </c>
      <c r="X254" s="4">
        <f t="shared" si="24"/>
      </c>
    </row>
    <row r="255" spans="17:24" x14ac:dyDescent="0.3">
      <c r="Q255" s="4"/>
      <c r="R255" s="4"/>
      <c r="S255" s="4"/>
      <c r="T255" s="90"/>
      <c r="U255" s="4"/>
      <c r="V255" s="4">
        <f t="shared" si="22"/>
      </c>
      <c r="W255" s="4">
        <f t="shared" si="23"/>
      </c>
      <c r="X255" s="4">
        <f t="shared" si="24"/>
      </c>
    </row>
    <row r="256" spans="17:24" x14ac:dyDescent="0.3">
      <c r="Q256" s="4"/>
      <c r="R256" s="4"/>
      <c r="S256" s="4"/>
      <c r="T256" s="90"/>
      <c r="U256" s="4"/>
      <c r="V256" s="4">
        <f t="shared" si="22"/>
      </c>
      <c r="W256" s="4">
        <f t="shared" si="23"/>
      </c>
      <c r="X256" s="4">
        <f t="shared" si="24"/>
      </c>
    </row>
    <row r="257" spans="17:24" x14ac:dyDescent="0.3">
      <c r="Q257" s="4"/>
      <c r="R257" s="4"/>
      <c r="S257" s="4"/>
      <c r="T257" s="90"/>
      <c r="U257" s="4"/>
      <c r="V257" s="4">
        <f t="shared" si="22"/>
      </c>
      <c r="W257" s="4">
        <f t="shared" si="23"/>
      </c>
      <c r="X257" s="4">
        <f t="shared" si="24"/>
      </c>
    </row>
    <row r="258" spans="17:24" x14ac:dyDescent="0.3">
      <c r="Q258" s="4"/>
      <c r="R258" s="4"/>
      <c r="S258" s="4"/>
      <c r="T258" s="90"/>
      <c r="U258" s="4"/>
      <c r="V258" s="4">
        <f t="shared" si="22"/>
      </c>
      <c r="W258" s="4">
        <f t="shared" si="23"/>
      </c>
      <c r="X258" s="4">
        <f t="shared" si="24"/>
      </c>
    </row>
    <row r="259" spans="17:24" x14ac:dyDescent="0.3">
      <c r="Q259" s="4"/>
      <c r="R259" s="4"/>
      <c r="S259" s="4"/>
      <c r="T259" s="90"/>
      <c r="U259" s="4"/>
      <c r="V259" s="4">
        <f t="shared" si="22"/>
      </c>
      <c r="W259" s="4">
        <f t="shared" si="23"/>
      </c>
      <c r="X259" s="4">
        <f t="shared" si="24"/>
      </c>
    </row>
    <row r="260" spans="17:24" x14ac:dyDescent="0.3">
      <c r="Q260" s="4"/>
      <c r="R260" s="4"/>
      <c r="S260" s="4"/>
      <c r="T260" s="90"/>
      <c r="U260" s="4"/>
      <c r="V260" s="4">
        <f t="shared" si="22"/>
      </c>
      <c r="W260" s="4">
        <f t="shared" si="23"/>
      </c>
      <c r="X260" s="4">
        <f t="shared" si="24"/>
      </c>
    </row>
    <row r="261" spans="17:24" x14ac:dyDescent="0.3">
      <c r="Q261" s="4"/>
      <c r="R261" s="4"/>
      <c r="S261" s="4"/>
      <c r="T261" s="90"/>
      <c r="U261" s="4"/>
      <c r="V261" s="4">
        <f t="shared" ref="V261:V324" si="25">U261*1.2</f>
      </c>
      <c r="W261" s="4">
        <f t="shared" ref="W261:W324" si="26">"Ø"&amp;VLOOKUP(V261,$Z$4:$AA$10,2,TRUE)</f>
      </c>
      <c r="X261" s="4">
        <f t="shared" ref="X261:X324" si="27">"Ø"&amp;VLOOKUP(V261,$AD$4:$AE$10,2,TRUE)</f>
      </c>
    </row>
    <row r="262" spans="17:24" x14ac:dyDescent="0.3">
      <c r="Q262" s="4"/>
      <c r="R262" s="4"/>
      <c r="S262" s="4"/>
      <c r="T262" s="90"/>
      <c r="U262" s="4"/>
      <c r="V262" s="4">
        <f t="shared" si="25"/>
      </c>
      <c r="W262" s="4">
        <f t="shared" si="26"/>
      </c>
      <c r="X262" s="4">
        <f t="shared" si="27"/>
      </c>
    </row>
    <row r="263" spans="17:24" x14ac:dyDescent="0.3">
      <c r="Q263" s="4"/>
      <c r="R263" s="4"/>
      <c r="S263" s="4"/>
      <c r="T263" s="90"/>
      <c r="U263" s="4"/>
      <c r="V263" s="4">
        <f t="shared" si="25"/>
      </c>
      <c r="W263" s="4">
        <f t="shared" si="26"/>
      </c>
      <c r="X263" s="4">
        <f t="shared" si="27"/>
      </c>
    </row>
    <row r="264" spans="17:24" x14ac:dyDescent="0.3">
      <c r="Q264" s="4"/>
      <c r="R264" s="4"/>
      <c r="S264" s="4"/>
      <c r="T264" s="90"/>
      <c r="U264" s="4"/>
      <c r="V264" s="4">
        <f t="shared" si="25"/>
      </c>
      <c r="W264" s="4">
        <f t="shared" si="26"/>
      </c>
      <c r="X264" s="4">
        <f t="shared" si="27"/>
      </c>
    </row>
    <row r="265" spans="17:24" x14ac:dyDescent="0.3">
      <c r="Q265" s="4"/>
      <c r="R265" s="4"/>
      <c r="S265" s="4"/>
      <c r="T265" s="90"/>
      <c r="U265" s="4"/>
      <c r="V265" s="4">
        <f t="shared" si="25"/>
      </c>
      <c r="W265" s="4">
        <f t="shared" si="26"/>
      </c>
      <c r="X265" s="4">
        <f t="shared" si="27"/>
      </c>
    </row>
    <row r="266" spans="17:24" x14ac:dyDescent="0.3">
      <c r="Q266" s="4"/>
      <c r="R266" s="4"/>
      <c r="S266" s="4"/>
      <c r="T266" s="90"/>
      <c r="U266" s="4"/>
      <c r="V266" s="4">
        <f t="shared" si="25"/>
      </c>
      <c r="W266" s="4">
        <f t="shared" si="26"/>
      </c>
      <c r="X266" s="4">
        <f t="shared" si="27"/>
      </c>
    </row>
    <row r="267" spans="17:24" x14ac:dyDescent="0.3">
      <c r="Q267" s="4"/>
      <c r="R267" s="4"/>
      <c r="S267" s="4"/>
      <c r="T267" s="90"/>
      <c r="U267" s="4"/>
      <c r="V267" s="4">
        <f t="shared" si="25"/>
      </c>
      <c r="W267" s="4">
        <f t="shared" si="26"/>
      </c>
      <c r="X267" s="4">
        <f t="shared" si="27"/>
      </c>
    </row>
    <row r="268" spans="17:24" x14ac:dyDescent="0.3">
      <c r="Q268" s="4"/>
      <c r="R268" s="4"/>
      <c r="S268" s="4"/>
      <c r="T268" s="90"/>
      <c r="U268" s="4"/>
      <c r="V268" s="4">
        <f t="shared" si="25"/>
      </c>
      <c r="W268" s="4">
        <f t="shared" si="26"/>
      </c>
      <c r="X268" s="4">
        <f t="shared" si="27"/>
      </c>
    </row>
    <row r="269" spans="17:24" x14ac:dyDescent="0.3">
      <c r="Q269" s="4"/>
      <c r="R269" s="4"/>
      <c r="S269" s="4"/>
      <c r="T269" s="90"/>
      <c r="U269" s="4"/>
      <c r="V269" s="4">
        <f t="shared" si="25"/>
      </c>
      <c r="W269" s="4">
        <f t="shared" si="26"/>
      </c>
      <c r="X269" s="4">
        <f t="shared" si="27"/>
      </c>
    </row>
    <row r="270" spans="17:24" x14ac:dyDescent="0.3">
      <c r="Q270" s="4"/>
      <c r="R270" s="4"/>
      <c r="S270" s="4"/>
      <c r="T270" s="90"/>
      <c r="U270" s="4"/>
      <c r="V270" s="4">
        <f t="shared" si="25"/>
      </c>
      <c r="W270" s="4">
        <f t="shared" si="26"/>
      </c>
      <c r="X270" s="4">
        <f t="shared" si="27"/>
      </c>
    </row>
    <row r="271" spans="17:24" x14ac:dyDescent="0.3">
      <c r="Q271" s="4"/>
      <c r="R271" s="4"/>
      <c r="S271" s="4"/>
      <c r="T271" s="90"/>
      <c r="U271" s="4"/>
      <c r="V271" s="4">
        <f t="shared" si="25"/>
      </c>
      <c r="W271" s="4">
        <f t="shared" si="26"/>
      </c>
      <c r="X271" s="4">
        <f t="shared" si="27"/>
      </c>
    </row>
    <row r="272" spans="17:24" x14ac:dyDescent="0.3">
      <c r="Q272" s="4"/>
      <c r="R272" s="4"/>
      <c r="S272" s="4"/>
      <c r="T272" s="90"/>
      <c r="U272" s="4"/>
      <c r="V272" s="4">
        <f t="shared" si="25"/>
      </c>
      <c r="W272" s="4">
        <f t="shared" si="26"/>
      </c>
      <c r="X272" s="4">
        <f t="shared" si="27"/>
      </c>
    </row>
    <row r="273" spans="17:24" x14ac:dyDescent="0.3">
      <c r="Q273" s="4"/>
      <c r="R273" s="4"/>
      <c r="S273" s="4"/>
      <c r="T273" s="90"/>
      <c r="U273" s="4"/>
      <c r="V273" s="4">
        <f t="shared" si="25"/>
      </c>
      <c r="W273" s="4">
        <f t="shared" si="26"/>
      </c>
      <c r="X273" s="4">
        <f t="shared" si="27"/>
      </c>
    </row>
    <row r="274" spans="17:24" x14ac:dyDescent="0.3">
      <c r="Q274" s="4"/>
      <c r="R274" s="4"/>
      <c r="S274" s="4"/>
      <c r="T274" s="90"/>
      <c r="U274" s="4"/>
      <c r="V274" s="4">
        <f t="shared" si="25"/>
      </c>
      <c r="W274" s="4">
        <f t="shared" si="26"/>
      </c>
      <c r="X274" s="4">
        <f t="shared" si="27"/>
      </c>
    </row>
    <row r="275" spans="17:24" x14ac:dyDescent="0.3">
      <c r="Q275" s="4"/>
      <c r="R275" s="4"/>
      <c r="S275" s="4"/>
      <c r="T275" s="90"/>
      <c r="U275" s="4"/>
      <c r="V275" s="4">
        <f t="shared" si="25"/>
      </c>
      <c r="W275" s="4">
        <f t="shared" si="26"/>
      </c>
      <c r="X275" s="4">
        <f t="shared" si="27"/>
      </c>
    </row>
    <row r="276" spans="17:24" x14ac:dyDescent="0.3">
      <c r="Q276" s="4"/>
      <c r="R276" s="4"/>
      <c r="S276" s="4"/>
      <c r="T276" s="90"/>
      <c r="U276" s="4"/>
      <c r="V276" s="4">
        <f t="shared" si="25"/>
      </c>
      <c r="W276" s="4">
        <f t="shared" si="26"/>
      </c>
      <c r="X276" s="4">
        <f t="shared" si="27"/>
      </c>
    </row>
    <row r="277" spans="17:24" x14ac:dyDescent="0.3">
      <c r="Q277" s="4"/>
      <c r="R277" s="4"/>
      <c r="S277" s="4"/>
      <c r="T277" s="90"/>
      <c r="U277" s="4"/>
      <c r="V277" s="4">
        <f t="shared" si="25"/>
      </c>
      <c r="W277" s="4">
        <f t="shared" si="26"/>
      </c>
      <c r="X277" s="4">
        <f t="shared" si="27"/>
      </c>
    </row>
    <row r="278" spans="17:24" x14ac:dyDescent="0.3">
      <c r="Q278" s="4"/>
      <c r="R278" s="4"/>
      <c r="S278" s="4"/>
      <c r="T278" s="90"/>
      <c r="U278" s="4"/>
      <c r="V278" s="4">
        <f t="shared" si="25"/>
      </c>
      <c r="W278" s="4">
        <f t="shared" si="26"/>
      </c>
      <c r="X278" s="4">
        <f t="shared" si="27"/>
      </c>
    </row>
    <row r="279" spans="17:24" x14ac:dyDescent="0.3">
      <c r="Q279" s="4"/>
      <c r="R279" s="4"/>
      <c r="S279" s="4"/>
      <c r="T279" s="90"/>
      <c r="U279" s="4"/>
      <c r="V279" s="4">
        <f t="shared" si="25"/>
      </c>
      <c r="W279" s="4">
        <f t="shared" si="26"/>
      </c>
      <c r="X279" s="4">
        <f t="shared" si="27"/>
      </c>
    </row>
    <row r="280" spans="17:24" x14ac:dyDescent="0.3">
      <c r="Q280" s="4"/>
      <c r="R280" s="4"/>
      <c r="S280" s="4"/>
      <c r="T280" s="90"/>
      <c r="U280" s="4"/>
      <c r="V280" s="4">
        <f t="shared" si="25"/>
      </c>
      <c r="W280" s="4">
        <f t="shared" si="26"/>
      </c>
      <c r="X280" s="4">
        <f t="shared" si="27"/>
      </c>
    </row>
    <row r="281" spans="17:24" x14ac:dyDescent="0.3">
      <c r="Q281" s="4"/>
      <c r="R281" s="4"/>
      <c r="S281" s="4"/>
      <c r="T281" s="90"/>
      <c r="U281" s="4"/>
      <c r="V281" s="4">
        <f t="shared" si="25"/>
      </c>
      <c r="W281" s="4">
        <f t="shared" si="26"/>
      </c>
      <c r="X281" s="4">
        <f t="shared" si="27"/>
      </c>
    </row>
    <row r="282" spans="17:24" x14ac:dyDescent="0.3">
      <c r="Q282" s="4"/>
      <c r="R282" s="4"/>
      <c r="S282" s="4"/>
      <c r="T282" s="90"/>
      <c r="U282" s="4"/>
      <c r="V282" s="4">
        <f t="shared" si="25"/>
      </c>
      <c r="W282" s="4">
        <f t="shared" si="26"/>
      </c>
      <c r="X282" s="4">
        <f t="shared" si="27"/>
      </c>
    </row>
    <row r="283" spans="17:24" x14ac:dyDescent="0.3">
      <c r="Q283" s="4"/>
      <c r="R283" s="4"/>
      <c r="S283" s="4"/>
      <c r="T283" s="90"/>
      <c r="U283" s="4"/>
      <c r="V283" s="4">
        <f t="shared" si="25"/>
      </c>
      <c r="W283" s="4">
        <f t="shared" si="26"/>
      </c>
      <c r="X283" s="4">
        <f t="shared" si="27"/>
      </c>
    </row>
    <row r="284" spans="17:24" x14ac:dyDescent="0.3">
      <c r="Q284" s="4"/>
      <c r="R284" s="4"/>
      <c r="S284" s="4"/>
      <c r="T284" s="90"/>
      <c r="U284" s="4"/>
      <c r="V284" s="4">
        <f t="shared" si="25"/>
      </c>
      <c r="W284" s="4">
        <f t="shared" si="26"/>
      </c>
      <c r="X284" s="4">
        <f t="shared" si="27"/>
      </c>
    </row>
    <row r="285" spans="17:24" x14ac:dyDescent="0.3">
      <c r="Q285" s="4"/>
      <c r="R285" s="4"/>
      <c r="S285" s="4"/>
      <c r="T285" s="90"/>
      <c r="U285" s="4"/>
      <c r="V285" s="4">
        <f t="shared" si="25"/>
      </c>
      <c r="W285" s="4">
        <f t="shared" si="26"/>
      </c>
      <c r="X285" s="4">
        <f t="shared" si="27"/>
      </c>
    </row>
    <row r="286" spans="17:24" x14ac:dyDescent="0.3">
      <c r="Q286" s="4"/>
      <c r="R286" s="4"/>
      <c r="S286" s="4"/>
      <c r="T286" s="90"/>
      <c r="U286" s="4"/>
      <c r="V286" s="4">
        <f t="shared" si="25"/>
      </c>
      <c r="W286" s="4">
        <f t="shared" si="26"/>
      </c>
      <c r="X286" s="4">
        <f t="shared" si="27"/>
      </c>
    </row>
    <row r="287" spans="17:24" x14ac:dyDescent="0.3">
      <c r="Q287" s="4"/>
      <c r="R287" s="4"/>
      <c r="S287" s="4"/>
      <c r="T287" s="90"/>
      <c r="U287" s="4"/>
      <c r="V287" s="4">
        <f t="shared" si="25"/>
      </c>
      <c r="W287" s="4">
        <f t="shared" si="26"/>
      </c>
      <c r="X287" s="4">
        <f t="shared" si="27"/>
      </c>
    </row>
    <row r="288" spans="17:24" x14ac:dyDescent="0.3">
      <c r="Q288" s="4"/>
      <c r="R288" s="4"/>
      <c r="S288" s="4"/>
      <c r="T288" s="90"/>
      <c r="U288" s="4"/>
      <c r="V288" s="4">
        <f t="shared" si="25"/>
      </c>
      <c r="W288" s="4">
        <f t="shared" si="26"/>
      </c>
      <c r="X288" s="4">
        <f t="shared" si="27"/>
      </c>
    </row>
    <row r="289" spans="17:24" x14ac:dyDescent="0.3">
      <c r="Q289" s="4"/>
      <c r="R289" s="4"/>
      <c r="S289" s="4"/>
      <c r="T289" s="90"/>
      <c r="U289" s="4"/>
      <c r="V289" s="4">
        <f t="shared" si="25"/>
      </c>
      <c r="W289" s="4">
        <f t="shared" si="26"/>
      </c>
      <c r="X289" s="4">
        <f t="shared" si="27"/>
      </c>
    </row>
    <row r="290" spans="17:24" x14ac:dyDescent="0.3">
      <c r="Q290" s="4"/>
      <c r="R290" s="4"/>
      <c r="S290" s="4"/>
      <c r="T290" s="90"/>
      <c r="U290" s="4"/>
      <c r="V290" s="4">
        <f t="shared" si="25"/>
      </c>
      <c r="W290" s="4">
        <f t="shared" si="26"/>
      </c>
      <c r="X290" s="4">
        <f t="shared" si="27"/>
      </c>
    </row>
    <row r="291" spans="17:24" x14ac:dyDescent="0.3">
      <c r="Q291" s="4"/>
      <c r="R291" s="4"/>
      <c r="S291" s="4"/>
      <c r="T291" s="90"/>
      <c r="U291" s="4"/>
      <c r="V291" s="4">
        <f t="shared" si="25"/>
      </c>
      <c r="W291" s="4">
        <f t="shared" si="26"/>
      </c>
      <c r="X291" s="4">
        <f t="shared" si="27"/>
      </c>
    </row>
    <row r="292" spans="17:24" x14ac:dyDescent="0.3">
      <c r="Q292" s="4"/>
      <c r="R292" s="4"/>
      <c r="S292" s="4"/>
      <c r="T292" s="90"/>
      <c r="U292" s="4"/>
      <c r="V292" s="4">
        <f t="shared" si="25"/>
      </c>
      <c r="W292" s="4">
        <f t="shared" si="26"/>
      </c>
      <c r="X292" s="4">
        <f t="shared" si="27"/>
      </c>
    </row>
    <row r="293" spans="17:24" x14ac:dyDescent="0.3">
      <c r="Q293" s="4"/>
      <c r="R293" s="4"/>
      <c r="S293" s="4"/>
      <c r="T293" s="90"/>
      <c r="U293" s="4"/>
      <c r="V293" s="4">
        <f t="shared" si="25"/>
      </c>
      <c r="W293" s="4">
        <f t="shared" si="26"/>
      </c>
      <c r="X293" s="4">
        <f t="shared" si="27"/>
      </c>
    </row>
    <row r="294" spans="17:24" x14ac:dyDescent="0.3">
      <c r="Q294" s="4"/>
      <c r="R294" s="4"/>
      <c r="S294" s="4"/>
      <c r="T294" s="90"/>
      <c r="U294" s="4"/>
      <c r="V294" s="4">
        <f t="shared" si="25"/>
      </c>
      <c r="W294" s="4">
        <f t="shared" si="26"/>
      </c>
      <c r="X294" s="4">
        <f t="shared" si="27"/>
      </c>
    </row>
    <row r="295" spans="17:24" x14ac:dyDescent="0.3">
      <c r="Q295" s="4"/>
      <c r="R295" s="4"/>
      <c r="S295" s="4"/>
      <c r="T295" s="90"/>
      <c r="U295" s="4"/>
      <c r="V295" s="4">
        <f t="shared" si="25"/>
      </c>
      <c r="W295" s="4">
        <f t="shared" si="26"/>
      </c>
      <c r="X295" s="4">
        <f t="shared" si="27"/>
      </c>
    </row>
    <row r="296" spans="17:24" x14ac:dyDescent="0.3">
      <c r="Q296" s="4"/>
      <c r="R296" s="4"/>
      <c r="S296" s="4"/>
      <c r="T296" s="90"/>
      <c r="U296" s="4"/>
      <c r="V296" s="4">
        <f t="shared" si="25"/>
      </c>
      <c r="W296" s="4">
        <f t="shared" si="26"/>
      </c>
      <c r="X296" s="4">
        <f t="shared" si="27"/>
      </c>
    </row>
    <row r="297" spans="17:24" x14ac:dyDescent="0.3">
      <c r="Q297" s="4"/>
      <c r="R297" s="4"/>
      <c r="S297" s="4"/>
      <c r="T297" s="90"/>
      <c r="U297" s="4"/>
      <c r="V297" s="4">
        <f t="shared" si="25"/>
      </c>
      <c r="W297" s="4">
        <f t="shared" si="26"/>
      </c>
      <c r="X297" s="4">
        <f t="shared" si="27"/>
      </c>
    </row>
    <row r="298" spans="17:24" x14ac:dyDescent="0.3">
      <c r="Q298" s="4"/>
      <c r="R298" s="4"/>
      <c r="S298" s="4"/>
      <c r="T298" s="90"/>
      <c r="U298" s="4"/>
      <c r="V298" s="4">
        <f t="shared" si="25"/>
      </c>
      <c r="W298" s="4">
        <f t="shared" si="26"/>
      </c>
      <c r="X298" s="4">
        <f t="shared" si="27"/>
      </c>
    </row>
    <row r="299" spans="17:24" x14ac:dyDescent="0.3">
      <c r="Q299" s="4"/>
      <c r="R299" s="4"/>
      <c r="S299" s="4"/>
      <c r="T299" s="90"/>
      <c r="U299" s="4"/>
      <c r="V299" s="4">
        <f t="shared" si="25"/>
      </c>
      <c r="W299" s="4">
        <f t="shared" si="26"/>
      </c>
      <c r="X299" s="4">
        <f t="shared" si="27"/>
      </c>
    </row>
    <row r="300" spans="17:24" x14ac:dyDescent="0.3">
      <c r="Q300" s="4"/>
      <c r="R300" s="4"/>
      <c r="S300" s="4"/>
      <c r="T300" s="90"/>
      <c r="U300" s="4"/>
      <c r="V300" s="4">
        <f t="shared" si="25"/>
      </c>
      <c r="W300" s="4">
        <f t="shared" si="26"/>
      </c>
      <c r="X300" s="4">
        <f t="shared" si="27"/>
      </c>
    </row>
    <row r="301" spans="17:24" x14ac:dyDescent="0.3">
      <c r="Q301" s="4"/>
      <c r="R301" s="4"/>
      <c r="S301" s="4"/>
      <c r="T301" s="90"/>
      <c r="U301" s="4"/>
      <c r="V301" s="4">
        <f t="shared" si="25"/>
      </c>
      <c r="W301" s="4">
        <f t="shared" si="26"/>
      </c>
      <c r="X301" s="4">
        <f t="shared" si="27"/>
      </c>
    </row>
    <row r="302" spans="17:24" x14ac:dyDescent="0.3">
      <c r="Q302" s="4"/>
      <c r="R302" s="4"/>
      <c r="S302" s="4"/>
      <c r="T302" s="90"/>
      <c r="U302" s="4"/>
      <c r="V302" s="4">
        <f t="shared" si="25"/>
      </c>
      <c r="W302" s="4">
        <f t="shared" si="26"/>
      </c>
      <c r="X302" s="4">
        <f t="shared" si="27"/>
      </c>
    </row>
    <row r="303" spans="17:24" x14ac:dyDescent="0.3">
      <c r="Q303" s="4"/>
      <c r="R303" s="4"/>
      <c r="S303" s="4"/>
      <c r="T303" s="90"/>
      <c r="U303" s="4"/>
      <c r="V303" s="4">
        <f t="shared" si="25"/>
      </c>
      <c r="W303" s="4">
        <f t="shared" si="26"/>
      </c>
      <c r="X303" s="4">
        <f t="shared" si="27"/>
      </c>
    </row>
    <row r="304" spans="17:24" x14ac:dyDescent="0.3">
      <c r="Q304" s="4"/>
      <c r="R304" s="4"/>
      <c r="S304" s="4"/>
      <c r="T304" s="90"/>
      <c r="U304" s="4"/>
      <c r="V304" s="4">
        <f t="shared" si="25"/>
      </c>
      <c r="W304" s="4">
        <f t="shared" si="26"/>
      </c>
      <c r="X304" s="4">
        <f t="shared" si="27"/>
      </c>
    </row>
    <row r="305" spans="17:24" x14ac:dyDescent="0.3">
      <c r="Q305" s="4"/>
      <c r="R305" s="4"/>
      <c r="S305" s="4"/>
      <c r="T305" s="90"/>
      <c r="U305" s="4"/>
      <c r="V305" s="4">
        <f t="shared" si="25"/>
      </c>
      <c r="W305" s="4">
        <f t="shared" si="26"/>
      </c>
      <c r="X305" s="4">
        <f t="shared" si="27"/>
      </c>
    </row>
    <row r="306" spans="17:24" x14ac:dyDescent="0.3">
      <c r="Q306" s="4"/>
      <c r="R306" s="4"/>
      <c r="S306" s="4"/>
      <c r="T306" s="90"/>
      <c r="U306" s="4"/>
      <c r="V306" s="4">
        <f t="shared" si="25"/>
      </c>
      <c r="W306" s="4">
        <f t="shared" si="26"/>
      </c>
      <c r="X306" s="4">
        <f t="shared" si="27"/>
      </c>
    </row>
    <row r="307" spans="17:24" x14ac:dyDescent="0.3">
      <c r="Q307" s="4"/>
      <c r="R307" s="4"/>
      <c r="S307" s="4"/>
      <c r="T307" s="90"/>
      <c r="U307" s="4"/>
      <c r="V307" s="4">
        <f t="shared" si="25"/>
      </c>
      <c r="W307" s="4">
        <f t="shared" si="26"/>
      </c>
      <c r="X307" s="4">
        <f t="shared" si="27"/>
      </c>
    </row>
    <row r="308" spans="17:24" x14ac:dyDescent="0.3">
      <c r="Q308" s="4"/>
      <c r="R308" s="4"/>
      <c r="S308" s="4"/>
      <c r="T308" s="90"/>
      <c r="U308" s="4"/>
      <c r="V308" s="4">
        <f t="shared" si="25"/>
      </c>
      <c r="W308" s="4">
        <f t="shared" si="26"/>
      </c>
      <c r="X308" s="4">
        <f t="shared" si="27"/>
      </c>
    </row>
    <row r="309" spans="17:24" x14ac:dyDescent="0.3">
      <c r="Q309" s="4"/>
      <c r="R309" s="4"/>
      <c r="S309" s="4"/>
      <c r="T309" s="90"/>
      <c r="U309" s="4"/>
      <c r="V309" s="4">
        <f t="shared" si="25"/>
      </c>
      <c r="W309" s="4">
        <f t="shared" si="26"/>
      </c>
      <c r="X309" s="4">
        <f t="shared" si="27"/>
      </c>
    </row>
    <row r="310" spans="17:24" x14ac:dyDescent="0.3">
      <c r="Q310" s="4"/>
      <c r="R310" s="4"/>
      <c r="S310" s="4"/>
      <c r="T310" s="90"/>
      <c r="U310" s="4"/>
      <c r="V310" s="4">
        <f t="shared" si="25"/>
      </c>
      <c r="W310" s="4">
        <f t="shared" si="26"/>
      </c>
      <c r="X310" s="4">
        <f t="shared" si="27"/>
      </c>
    </row>
    <row r="311" spans="17:24" x14ac:dyDescent="0.3">
      <c r="Q311" s="4"/>
      <c r="R311" s="4"/>
      <c r="S311" s="4"/>
      <c r="T311" s="90"/>
      <c r="U311" s="4"/>
      <c r="V311" s="4">
        <f t="shared" si="25"/>
      </c>
      <c r="W311" s="4">
        <f t="shared" si="26"/>
      </c>
      <c r="X311" s="4">
        <f t="shared" si="27"/>
      </c>
    </row>
    <row r="312" spans="17:24" x14ac:dyDescent="0.3">
      <c r="Q312" s="4"/>
      <c r="R312" s="4"/>
      <c r="S312" s="4"/>
      <c r="T312" s="90"/>
      <c r="U312" s="4"/>
      <c r="V312" s="4">
        <f t="shared" si="25"/>
      </c>
      <c r="W312" s="4">
        <f t="shared" si="26"/>
      </c>
      <c r="X312" s="4">
        <f t="shared" si="27"/>
      </c>
    </row>
    <row r="313" spans="17:24" x14ac:dyDescent="0.3">
      <c r="Q313" s="4"/>
      <c r="R313" s="4"/>
      <c r="S313" s="4"/>
      <c r="T313" s="90"/>
      <c r="U313" s="4"/>
      <c r="V313" s="4">
        <f t="shared" si="25"/>
      </c>
      <c r="W313" s="4">
        <f t="shared" si="26"/>
      </c>
      <c r="X313" s="4">
        <f t="shared" si="27"/>
      </c>
    </row>
    <row r="314" spans="17:24" x14ac:dyDescent="0.3">
      <c r="Q314" s="4"/>
      <c r="R314" s="4"/>
      <c r="S314" s="4"/>
      <c r="T314" s="90"/>
      <c r="U314" s="4"/>
      <c r="V314" s="4">
        <f t="shared" si="25"/>
      </c>
      <c r="W314" s="4">
        <f t="shared" si="26"/>
      </c>
      <c r="X314" s="4">
        <f t="shared" si="27"/>
      </c>
    </row>
    <row r="315" spans="17:24" x14ac:dyDescent="0.3">
      <c r="Q315" s="4"/>
      <c r="R315" s="4"/>
      <c r="S315" s="4"/>
      <c r="T315" s="90"/>
      <c r="U315" s="4"/>
      <c r="V315" s="4">
        <f t="shared" si="25"/>
      </c>
      <c r="W315" s="4">
        <f t="shared" si="26"/>
      </c>
      <c r="X315" s="4">
        <f t="shared" si="27"/>
      </c>
    </row>
    <row r="316" spans="17:24" x14ac:dyDescent="0.3">
      <c r="Q316" s="4"/>
      <c r="R316" s="4"/>
      <c r="S316" s="4"/>
      <c r="T316" s="90"/>
      <c r="U316" s="4"/>
      <c r="V316" s="4">
        <f t="shared" si="25"/>
      </c>
      <c r="W316" s="4">
        <f t="shared" si="26"/>
      </c>
      <c r="X316" s="4">
        <f t="shared" si="27"/>
      </c>
    </row>
    <row r="317" spans="17:24" x14ac:dyDescent="0.3">
      <c r="Q317" s="4"/>
      <c r="R317" s="4"/>
      <c r="S317" s="4"/>
      <c r="T317" s="90"/>
      <c r="U317" s="4"/>
      <c r="V317" s="4">
        <f t="shared" si="25"/>
      </c>
      <c r="W317" s="4">
        <f t="shared" si="26"/>
      </c>
      <c r="X317" s="4">
        <f t="shared" si="27"/>
      </c>
    </row>
    <row r="318" spans="17:24" x14ac:dyDescent="0.3">
      <c r="Q318" s="4"/>
      <c r="R318" s="4"/>
      <c r="S318" s="4"/>
      <c r="T318" s="90"/>
      <c r="U318" s="4"/>
      <c r="V318" s="4">
        <f t="shared" si="25"/>
      </c>
      <c r="W318" s="4">
        <f t="shared" si="26"/>
      </c>
      <c r="X318" s="4">
        <f t="shared" si="27"/>
      </c>
    </row>
    <row r="319" spans="17:24" x14ac:dyDescent="0.3">
      <c r="Q319" s="4"/>
      <c r="R319" s="4"/>
      <c r="S319" s="4"/>
      <c r="T319" s="90"/>
      <c r="U319" s="4"/>
      <c r="V319" s="4">
        <f t="shared" si="25"/>
      </c>
      <c r="W319" s="4">
        <f t="shared" si="26"/>
      </c>
      <c r="X319" s="4">
        <f t="shared" si="27"/>
      </c>
    </row>
    <row r="320" spans="17:24" x14ac:dyDescent="0.3">
      <c r="Q320" s="4"/>
      <c r="R320" s="4"/>
      <c r="S320" s="4"/>
      <c r="T320" s="90"/>
      <c r="U320" s="4"/>
      <c r="V320" s="4">
        <f t="shared" si="25"/>
      </c>
      <c r="W320" s="4">
        <f t="shared" si="26"/>
      </c>
      <c r="X320" s="4">
        <f t="shared" si="27"/>
      </c>
    </row>
    <row r="321" spans="17:24" x14ac:dyDescent="0.3">
      <c r="Q321" s="4"/>
      <c r="R321" s="4"/>
      <c r="S321" s="4"/>
      <c r="T321" s="90"/>
      <c r="U321" s="4"/>
      <c r="V321" s="4">
        <f t="shared" si="25"/>
      </c>
      <c r="W321" s="4">
        <f t="shared" si="26"/>
      </c>
      <c r="X321" s="4">
        <f t="shared" si="27"/>
      </c>
    </row>
    <row r="322" spans="17:24" x14ac:dyDescent="0.3">
      <c r="Q322" s="4"/>
      <c r="R322" s="4"/>
      <c r="S322" s="4"/>
      <c r="T322" s="90"/>
      <c r="U322" s="4"/>
      <c r="V322" s="4">
        <f t="shared" si="25"/>
      </c>
      <c r="W322" s="4">
        <f t="shared" si="26"/>
      </c>
      <c r="X322" s="4">
        <f t="shared" si="27"/>
      </c>
    </row>
    <row r="323" spans="17:24" x14ac:dyDescent="0.3">
      <c r="Q323" s="4"/>
      <c r="R323" s="4"/>
      <c r="S323" s="4"/>
      <c r="T323" s="90"/>
      <c r="U323" s="4"/>
      <c r="V323" s="4">
        <f t="shared" si="25"/>
      </c>
      <c r="W323" s="4">
        <f t="shared" si="26"/>
      </c>
      <c r="X323" s="4">
        <f t="shared" si="27"/>
      </c>
    </row>
    <row r="324" spans="17:24" x14ac:dyDescent="0.3">
      <c r="Q324" s="4"/>
      <c r="R324" s="4"/>
      <c r="S324" s="4"/>
      <c r="T324" s="90"/>
      <c r="U324" s="4"/>
      <c r="V324" s="4">
        <f t="shared" si="25"/>
      </c>
      <c r="W324" s="4">
        <f t="shared" si="26"/>
      </c>
      <c r="X324" s="4">
        <f t="shared" si="27"/>
      </c>
    </row>
    <row r="325" spans="17:24" x14ac:dyDescent="0.3">
      <c r="Q325" s="4"/>
      <c r="R325" s="4"/>
      <c r="S325" s="4"/>
      <c r="T325" s="90"/>
      <c r="U325" s="4"/>
      <c r="V325" s="4">
        <f t="shared" ref="V325:V388" si="28">U325*1.2</f>
      </c>
      <c r="W325" s="4">
        <f t="shared" ref="W325:W388" si="29">"Ø"&amp;VLOOKUP(V325,$Z$4:$AA$10,2,TRUE)</f>
      </c>
      <c r="X325" s="4">
        <f t="shared" ref="X325:X388" si="30">"Ø"&amp;VLOOKUP(V325,$AD$4:$AE$10,2,TRUE)</f>
      </c>
    </row>
    <row r="326" spans="17:24" x14ac:dyDescent="0.3">
      <c r="Q326" s="4"/>
      <c r="R326" s="4"/>
      <c r="S326" s="4"/>
      <c r="T326" s="90"/>
      <c r="U326" s="4"/>
      <c r="V326" s="4">
        <f t="shared" si="28"/>
      </c>
      <c r="W326" s="4">
        <f t="shared" si="29"/>
      </c>
      <c r="X326" s="4">
        <f t="shared" si="30"/>
      </c>
    </row>
    <row r="327" spans="17:24" x14ac:dyDescent="0.3">
      <c r="Q327" s="4"/>
      <c r="R327" s="4"/>
      <c r="S327" s="4"/>
      <c r="T327" s="90"/>
      <c r="U327" s="4"/>
      <c r="V327" s="4">
        <f t="shared" si="28"/>
      </c>
      <c r="W327" s="4">
        <f t="shared" si="29"/>
      </c>
      <c r="X327" s="4">
        <f t="shared" si="30"/>
      </c>
    </row>
    <row r="328" spans="17:24" x14ac:dyDescent="0.3">
      <c r="Q328" s="4"/>
      <c r="R328" s="4"/>
      <c r="S328" s="4"/>
      <c r="T328" s="90"/>
      <c r="U328" s="4"/>
      <c r="V328" s="4">
        <f t="shared" si="28"/>
      </c>
      <c r="W328" s="4">
        <f t="shared" si="29"/>
      </c>
      <c r="X328" s="4">
        <f t="shared" si="30"/>
      </c>
    </row>
    <row r="329" spans="17:24" x14ac:dyDescent="0.3">
      <c r="Q329" s="4"/>
      <c r="R329" s="4"/>
      <c r="S329" s="4"/>
      <c r="T329" s="90"/>
      <c r="U329" s="4"/>
      <c r="V329" s="4">
        <f t="shared" si="28"/>
      </c>
      <c r="W329" s="4">
        <f t="shared" si="29"/>
      </c>
      <c r="X329" s="4">
        <f t="shared" si="30"/>
      </c>
    </row>
    <row r="330" spans="17:24" x14ac:dyDescent="0.3">
      <c r="Q330" s="4"/>
      <c r="R330" s="4"/>
      <c r="S330" s="4"/>
      <c r="T330" s="90"/>
      <c r="U330" s="4"/>
      <c r="V330" s="4">
        <f t="shared" si="28"/>
      </c>
      <c r="W330" s="4">
        <f t="shared" si="29"/>
      </c>
      <c r="X330" s="4">
        <f t="shared" si="30"/>
      </c>
    </row>
    <row r="331" spans="17:24" x14ac:dyDescent="0.3">
      <c r="Q331" s="4"/>
      <c r="R331" s="4"/>
      <c r="S331" s="4"/>
      <c r="T331" s="90"/>
      <c r="U331" s="4"/>
      <c r="V331" s="4">
        <f t="shared" si="28"/>
      </c>
      <c r="W331" s="4">
        <f t="shared" si="29"/>
      </c>
      <c r="X331" s="4">
        <f t="shared" si="30"/>
      </c>
    </row>
    <row r="332" spans="17:24" x14ac:dyDescent="0.3">
      <c r="Q332" s="4"/>
      <c r="R332" s="4"/>
      <c r="S332" s="4"/>
      <c r="T332" s="90"/>
      <c r="U332" s="4"/>
      <c r="V332" s="4">
        <f t="shared" si="28"/>
      </c>
      <c r="W332" s="4">
        <f t="shared" si="29"/>
      </c>
      <c r="X332" s="4">
        <f t="shared" si="30"/>
      </c>
    </row>
    <row r="333" spans="17:24" x14ac:dyDescent="0.3">
      <c r="Q333" s="4"/>
      <c r="R333" s="4"/>
      <c r="S333" s="4"/>
      <c r="T333" s="90"/>
      <c r="U333" s="4"/>
      <c r="V333" s="4">
        <f t="shared" si="28"/>
      </c>
      <c r="W333" s="4">
        <f t="shared" si="29"/>
      </c>
      <c r="X333" s="4">
        <f t="shared" si="30"/>
      </c>
    </row>
    <row r="334" spans="17:24" x14ac:dyDescent="0.3">
      <c r="Q334" s="4"/>
      <c r="R334" s="4"/>
      <c r="S334" s="4"/>
      <c r="T334" s="90"/>
      <c r="U334" s="4"/>
      <c r="V334" s="4">
        <f t="shared" si="28"/>
      </c>
      <c r="W334" s="4">
        <f t="shared" si="29"/>
      </c>
      <c r="X334" s="4">
        <f t="shared" si="30"/>
      </c>
    </row>
    <row r="335" spans="17:24" x14ac:dyDescent="0.3">
      <c r="Q335" s="4"/>
      <c r="R335" s="4"/>
      <c r="S335" s="4"/>
      <c r="T335" s="90"/>
      <c r="U335" s="4"/>
      <c r="V335" s="4">
        <f t="shared" si="28"/>
      </c>
      <c r="W335" s="4">
        <f t="shared" si="29"/>
      </c>
      <c r="X335" s="4">
        <f t="shared" si="30"/>
      </c>
    </row>
    <row r="336" spans="17:24" x14ac:dyDescent="0.3">
      <c r="Q336" s="4"/>
      <c r="R336" s="4"/>
      <c r="S336" s="4"/>
      <c r="T336" s="90"/>
      <c r="U336" s="4"/>
      <c r="V336" s="4">
        <f t="shared" si="28"/>
      </c>
      <c r="W336" s="4">
        <f t="shared" si="29"/>
      </c>
      <c r="X336" s="4">
        <f t="shared" si="30"/>
      </c>
    </row>
    <row r="337" spans="17:24" x14ac:dyDescent="0.3">
      <c r="Q337" s="4"/>
      <c r="R337" s="4"/>
      <c r="S337" s="4"/>
      <c r="T337" s="90"/>
      <c r="U337" s="4"/>
      <c r="V337" s="4">
        <f t="shared" si="28"/>
      </c>
      <c r="W337" s="4">
        <f t="shared" si="29"/>
      </c>
      <c r="X337" s="4">
        <f t="shared" si="30"/>
      </c>
    </row>
    <row r="338" spans="17:24" x14ac:dyDescent="0.3">
      <c r="Q338" s="4"/>
      <c r="R338" s="4"/>
      <c r="S338" s="4"/>
      <c r="T338" s="90"/>
      <c r="U338" s="4"/>
      <c r="V338" s="4">
        <f t="shared" si="28"/>
      </c>
      <c r="W338" s="4">
        <f t="shared" si="29"/>
      </c>
      <c r="X338" s="4">
        <f t="shared" si="30"/>
      </c>
    </row>
    <row r="339" spans="17:24" x14ac:dyDescent="0.3">
      <c r="Q339" s="4"/>
      <c r="R339" s="4"/>
      <c r="S339" s="4"/>
      <c r="T339" s="90"/>
      <c r="U339" s="4"/>
      <c r="V339" s="4">
        <f t="shared" si="28"/>
      </c>
      <c r="W339" s="4">
        <f t="shared" si="29"/>
      </c>
      <c r="X339" s="4">
        <f t="shared" si="30"/>
      </c>
    </row>
    <row r="340" spans="17:24" x14ac:dyDescent="0.3">
      <c r="Q340" s="4"/>
      <c r="R340" s="4"/>
      <c r="S340" s="4"/>
      <c r="T340" s="90"/>
      <c r="U340" s="4"/>
      <c r="V340" s="4">
        <f t="shared" si="28"/>
      </c>
      <c r="W340" s="4">
        <f t="shared" si="29"/>
      </c>
      <c r="X340" s="4">
        <f t="shared" si="30"/>
      </c>
    </row>
    <row r="341" spans="17:24" x14ac:dyDescent="0.3">
      <c r="Q341" s="4"/>
      <c r="R341" s="4"/>
      <c r="S341" s="4"/>
      <c r="T341" s="90"/>
      <c r="U341" s="4"/>
      <c r="V341" s="4">
        <f t="shared" si="28"/>
      </c>
      <c r="W341" s="4">
        <f t="shared" si="29"/>
      </c>
      <c r="X341" s="4">
        <f t="shared" si="30"/>
      </c>
    </row>
    <row r="342" spans="17:24" x14ac:dyDescent="0.3">
      <c r="Q342" s="4"/>
      <c r="R342" s="4"/>
      <c r="S342" s="4"/>
      <c r="T342" s="90"/>
      <c r="U342" s="4"/>
      <c r="V342" s="4">
        <f t="shared" si="28"/>
      </c>
      <c r="W342" s="4">
        <f t="shared" si="29"/>
      </c>
      <c r="X342" s="4">
        <f t="shared" si="30"/>
      </c>
    </row>
    <row r="343" spans="17:24" x14ac:dyDescent="0.3">
      <c r="Q343" s="4"/>
      <c r="R343" s="4"/>
      <c r="S343" s="4"/>
      <c r="T343" s="90"/>
      <c r="U343" s="4"/>
      <c r="V343" s="4">
        <f t="shared" si="28"/>
      </c>
      <c r="W343" s="4">
        <f t="shared" si="29"/>
      </c>
      <c r="X343" s="4">
        <f t="shared" si="30"/>
      </c>
    </row>
    <row r="344" spans="17:24" x14ac:dyDescent="0.3">
      <c r="Q344" s="4"/>
      <c r="R344" s="4"/>
      <c r="S344" s="4"/>
      <c r="T344" s="90"/>
      <c r="U344" s="4"/>
      <c r="V344" s="4">
        <f t="shared" si="28"/>
      </c>
      <c r="W344" s="4">
        <f t="shared" si="29"/>
      </c>
      <c r="X344" s="4">
        <f t="shared" si="30"/>
      </c>
    </row>
    <row r="345" spans="17:24" x14ac:dyDescent="0.3">
      <c r="Q345" s="4"/>
      <c r="R345" s="4"/>
      <c r="S345" s="4"/>
      <c r="T345" s="90"/>
      <c r="U345" s="4"/>
      <c r="V345" s="4">
        <f t="shared" si="28"/>
      </c>
      <c r="W345" s="4">
        <f t="shared" si="29"/>
      </c>
      <c r="X345" s="4">
        <f t="shared" si="30"/>
      </c>
    </row>
    <row r="346" spans="17:24" x14ac:dyDescent="0.3">
      <c r="Q346" s="4"/>
      <c r="R346" s="4"/>
      <c r="S346" s="4"/>
      <c r="T346" s="90"/>
      <c r="U346" s="4"/>
      <c r="V346" s="4">
        <f t="shared" si="28"/>
      </c>
      <c r="W346" s="4">
        <f t="shared" si="29"/>
      </c>
      <c r="X346" s="4">
        <f t="shared" si="30"/>
      </c>
    </row>
    <row r="347" spans="17:24" x14ac:dyDescent="0.3">
      <c r="Q347" s="4"/>
      <c r="R347" s="4"/>
      <c r="S347" s="4"/>
      <c r="T347" s="90"/>
      <c r="U347" s="4"/>
      <c r="V347" s="4">
        <f t="shared" si="28"/>
      </c>
      <c r="W347" s="4">
        <f t="shared" si="29"/>
      </c>
      <c r="X347" s="4">
        <f t="shared" si="30"/>
      </c>
    </row>
    <row r="348" spans="17:24" x14ac:dyDescent="0.3">
      <c r="Q348" s="4"/>
      <c r="R348" s="4"/>
      <c r="S348" s="4"/>
      <c r="T348" s="90"/>
      <c r="U348" s="4"/>
      <c r="V348" s="4">
        <f t="shared" si="28"/>
      </c>
      <c r="W348" s="4">
        <f t="shared" si="29"/>
      </c>
      <c r="X348" s="4">
        <f t="shared" si="30"/>
      </c>
    </row>
    <row r="349" spans="17:24" x14ac:dyDescent="0.3">
      <c r="Q349" s="4"/>
      <c r="R349" s="4"/>
      <c r="S349" s="4"/>
      <c r="T349" s="90"/>
      <c r="U349" s="4"/>
      <c r="V349" s="4">
        <f t="shared" si="28"/>
      </c>
      <c r="W349" s="4">
        <f t="shared" si="29"/>
      </c>
      <c r="X349" s="4">
        <f t="shared" si="30"/>
      </c>
    </row>
    <row r="350" spans="17:24" x14ac:dyDescent="0.3">
      <c r="Q350" s="4"/>
      <c r="R350" s="4"/>
      <c r="S350" s="4"/>
      <c r="T350" s="90"/>
      <c r="U350" s="4"/>
      <c r="V350" s="4">
        <f t="shared" si="28"/>
      </c>
      <c r="W350" s="4">
        <f t="shared" si="29"/>
      </c>
      <c r="X350" s="4">
        <f t="shared" si="30"/>
      </c>
    </row>
    <row r="351" spans="17:24" x14ac:dyDescent="0.3">
      <c r="Q351" s="4"/>
      <c r="R351" s="4"/>
      <c r="S351" s="4"/>
      <c r="T351" s="90"/>
      <c r="U351" s="4"/>
      <c r="V351" s="4">
        <f t="shared" si="28"/>
      </c>
      <c r="W351" s="4">
        <f t="shared" si="29"/>
      </c>
      <c r="X351" s="4">
        <f t="shared" si="30"/>
      </c>
    </row>
    <row r="352" spans="17:24" x14ac:dyDescent="0.3">
      <c r="Q352" s="4"/>
      <c r="R352" s="4"/>
      <c r="S352" s="4"/>
      <c r="T352" s="90"/>
      <c r="U352" s="4"/>
      <c r="V352" s="4">
        <f t="shared" si="28"/>
      </c>
      <c r="W352" s="4">
        <f t="shared" si="29"/>
      </c>
      <c r="X352" s="4">
        <f t="shared" si="30"/>
      </c>
    </row>
    <row r="353" spans="17:24" x14ac:dyDescent="0.3">
      <c r="Q353" s="4"/>
      <c r="R353" s="4"/>
      <c r="S353" s="4"/>
      <c r="T353" s="90"/>
      <c r="U353" s="4"/>
      <c r="V353" s="4">
        <f t="shared" si="28"/>
      </c>
      <c r="W353" s="4">
        <f t="shared" si="29"/>
      </c>
      <c r="X353" s="4">
        <f t="shared" si="30"/>
      </c>
    </row>
    <row r="354" spans="17:24" x14ac:dyDescent="0.3">
      <c r="Q354" s="4"/>
      <c r="R354" s="4"/>
      <c r="S354" s="4"/>
      <c r="T354" s="90"/>
      <c r="U354" s="4"/>
      <c r="V354" s="4">
        <f t="shared" si="28"/>
      </c>
      <c r="W354" s="4">
        <f t="shared" si="29"/>
      </c>
      <c r="X354" s="4">
        <f t="shared" si="30"/>
      </c>
    </row>
    <row r="355" spans="17:24" x14ac:dyDescent="0.3">
      <c r="Q355" s="4"/>
      <c r="R355" s="4"/>
      <c r="S355" s="4"/>
      <c r="T355" s="90"/>
      <c r="U355" s="4"/>
      <c r="V355" s="4">
        <f t="shared" si="28"/>
      </c>
      <c r="W355" s="4">
        <f t="shared" si="29"/>
      </c>
      <c r="X355" s="4">
        <f t="shared" si="30"/>
      </c>
    </row>
    <row r="356" spans="17:24" x14ac:dyDescent="0.3">
      <c r="Q356" s="4"/>
      <c r="R356" s="4"/>
      <c r="S356" s="4"/>
      <c r="T356" s="90"/>
      <c r="U356" s="4"/>
      <c r="V356" s="4">
        <f t="shared" si="28"/>
      </c>
      <c r="W356" s="4">
        <f t="shared" si="29"/>
      </c>
      <c r="X356" s="4">
        <f t="shared" si="30"/>
      </c>
    </row>
    <row r="357" spans="17:24" x14ac:dyDescent="0.3">
      <c r="Q357" s="4"/>
      <c r="R357" s="4"/>
      <c r="S357" s="4"/>
      <c r="T357" s="90"/>
      <c r="U357" s="4"/>
      <c r="V357" s="4">
        <f t="shared" si="28"/>
      </c>
      <c r="W357" s="4">
        <f t="shared" si="29"/>
      </c>
      <c r="X357" s="4">
        <f t="shared" si="30"/>
      </c>
    </row>
    <row r="358" spans="17:24" x14ac:dyDescent="0.3">
      <c r="Q358" s="4"/>
      <c r="R358" s="4"/>
      <c r="S358" s="4"/>
      <c r="T358" s="90"/>
      <c r="U358" s="4"/>
      <c r="V358" s="4">
        <f t="shared" si="28"/>
      </c>
      <c r="W358" s="4">
        <f t="shared" si="29"/>
      </c>
      <c r="X358" s="4">
        <f t="shared" si="30"/>
      </c>
    </row>
    <row r="359" spans="17:24" x14ac:dyDescent="0.3">
      <c r="Q359" s="4"/>
      <c r="R359" s="4"/>
      <c r="S359" s="4"/>
      <c r="T359" s="90"/>
      <c r="U359" s="4"/>
      <c r="V359" s="4">
        <f t="shared" si="28"/>
      </c>
      <c r="W359" s="4">
        <f t="shared" si="29"/>
      </c>
      <c r="X359" s="4">
        <f t="shared" si="30"/>
      </c>
    </row>
    <row r="360" spans="17:24" x14ac:dyDescent="0.3">
      <c r="Q360" s="4"/>
      <c r="R360" s="4"/>
      <c r="S360" s="4"/>
      <c r="T360" s="90"/>
      <c r="U360" s="4"/>
      <c r="V360" s="4">
        <f t="shared" si="28"/>
      </c>
      <c r="W360" s="4">
        <f t="shared" si="29"/>
      </c>
      <c r="X360" s="4">
        <f t="shared" si="30"/>
      </c>
    </row>
    <row r="361" spans="17:24" x14ac:dyDescent="0.3">
      <c r="Q361" s="4"/>
      <c r="R361" s="4"/>
      <c r="S361" s="4"/>
      <c r="T361" s="90"/>
      <c r="U361" s="4"/>
      <c r="V361" s="4">
        <f t="shared" si="28"/>
      </c>
      <c r="W361" s="4">
        <f t="shared" si="29"/>
      </c>
      <c r="X361" s="4">
        <f t="shared" si="30"/>
      </c>
    </row>
    <row r="362" spans="17:24" x14ac:dyDescent="0.3">
      <c r="Q362" s="4"/>
      <c r="R362" s="4"/>
      <c r="S362" s="4"/>
      <c r="T362" s="90"/>
      <c r="U362" s="4"/>
      <c r="V362" s="4">
        <f t="shared" si="28"/>
      </c>
      <c r="W362" s="4">
        <f t="shared" si="29"/>
      </c>
      <c r="X362" s="4">
        <f t="shared" si="30"/>
      </c>
    </row>
    <row r="363" spans="17:24" x14ac:dyDescent="0.3">
      <c r="Q363" s="4"/>
      <c r="R363" s="4"/>
      <c r="S363" s="4"/>
      <c r="T363" s="90"/>
      <c r="U363" s="4"/>
      <c r="V363" s="4">
        <f t="shared" si="28"/>
      </c>
      <c r="W363" s="4">
        <f t="shared" si="29"/>
      </c>
      <c r="X363" s="4">
        <f t="shared" si="30"/>
      </c>
    </row>
    <row r="364" spans="17:24" x14ac:dyDescent="0.3">
      <c r="Q364" s="4"/>
      <c r="R364" s="4"/>
      <c r="S364" s="4"/>
      <c r="T364" s="90"/>
      <c r="U364" s="4"/>
      <c r="V364" s="4">
        <f t="shared" si="28"/>
      </c>
      <c r="W364" s="4">
        <f t="shared" si="29"/>
      </c>
      <c r="X364" s="4">
        <f t="shared" si="30"/>
      </c>
    </row>
    <row r="365" spans="17:24" x14ac:dyDescent="0.3">
      <c r="Q365" s="4"/>
      <c r="R365" s="4"/>
      <c r="S365" s="4"/>
      <c r="T365" s="90"/>
      <c r="U365" s="4"/>
      <c r="V365" s="4">
        <f t="shared" si="28"/>
      </c>
      <c r="W365" s="4">
        <f t="shared" si="29"/>
      </c>
      <c r="X365" s="4">
        <f t="shared" si="30"/>
      </c>
    </row>
    <row r="366" spans="17:24" x14ac:dyDescent="0.3">
      <c r="Q366" s="4"/>
      <c r="R366" s="4"/>
      <c r="S366" s="4"/>
      <c r="T366" s="90"/>
      <c r="U366" s="4"/>
      <c r="V366" s="4">
        <f t="shared" si="28"/>
      </c>
      <c r="W366" s="4">
        <f t="shared" si="29"/>
      </c>
      <c r="X366" s="4">
        <f t="shared" si="30"/>
      </c>
    </row>
    <row r="367" spans="17:24" x14ac:dyDescent="0.3">
      <c r="Q367" s="4"/>
      <c r="R367" s="4"/>
      <c r="S367" s="4"/>
      <c r="T367" s="90"/>
      <c r="U367" s="4"/>
      <c r="V367" s="4">
        <f t="shared" si="28"/>
      </c>
      <c r="W367" s="4">
        <f t="shared" si="29"/>
      </c>
      <c r="X367" s="4">
        <f t="shared" si="30"/>
      </c>
    </row>
    <row r="368" spans="17:24" x14ac:dyDescent="0.3">
      <c r="Q368" s="4"/>
      <c r="R368" s="4"/>
      <c r="S368" s="4"/>
      <c r="T368" s="90"/>
      <c r="U368" s="4"/>
      <c r="V368" s="4">
        <f t="shared" si="28"/>
      </c>
      <c r="W368" s="4">
        <f t="shared" si="29"/>
      </c>
      <c r="X368" s="4">
        <f t="shared" si="30"/>
      </c>
    </row>
    <row r="369" spans="17:24" x14ac:dyDescent="0.3">
      <c r="Q369" s="4"/>
      <c r="R369" s="4"/>
      <c r="S369" s="4"/>
      <c r="T369" s="90"/>
      <c r="U369" s="4"/>
      <c r="V369" s="4">
        <f t="shared" si="28"/>
      </c>
      <c r="W369" s="4">
        <f t="shared" si="29"/>
      </c>
      <c r="X369" s="4">
        <f t="shared" si="30"/>
      </c>
    </row>
    <row r="370" spans="17:24" x14ac:dyDescent="0.3">
      <c r="Q370" s="4"/>
      <c r="R370" s="4"/>
      <c r="S370" s="4"/>
      <c r="T370" s="90"/>
      <c r="U370" s="4"/>
      <c r="V370" s="4">
        <f t="shared" si="28"/>
      </c>
      <c r="W370" s="4">
        <f t="shared" si="29"/>
      </c>
      <c r="X370" s="4">
        <f t="shared" si="30"/>
      </c>
    </row>
    <row r="371" spans="17:24" x14ac:dyDescent="0.3">
      <c r="Q371" s="4"/>
      <c r="R371" s="4"/>
      <c r="S371" s="4"/>
      <c r="T371" s="90"/>
      <c r="U371" s="4"/>
      <c r="V371" s="4">
        <f t="shared" si="28"/>
      </c>
      <c r="W371" s="4">
        <f t="shared" si="29"/>
      </c>
      <c r="X371" s="4">
        <f t="shared" si="30"/>
      </c>
    </row>
    <row r="372" spans="17:24" x14ac:dyDescent="0.3">
      <c r="Q372" s="4"/>
      <c r="R372" s="4"/>
      <c r="S372" s="4"/>
      <c r="T372" s="90"/>
      <c r="U372" s="4"/>
      <c r="V372" s="4">
        <f t="shared" si="28"/>
      </c>
      <c r="W372" s="4">
        <f t="shared" si="29"/>
      </c>
      <c r="X372" s="4">
        <f t="shared" si="30"/>
      </c>
    </row>
    <row r="373" spans="17:24" x14ac:dyDescent="0.3">
      <c r="Q373" s="4"/>
      <c r="R373" s="4"/>
      <c r="S373" s="4"/>
      <c r="T373" s="90"/>
      <c r="U373" s="4"/>
      <c r="V373" s="4">
        <f t="shared" si="28"/>
      </c>
      <c r="W373" s="4">
        <f t="shared" si="29"/>
      </c>
      <c r="X373" s="4">
        <f t="shared" si="30"/>
      </c>
    </row>
    <row r="374" spans="17:24" x14ac:dyDescent="0.3">
      <c r="Q374" s="4"/>
      <c r="R374" s="4"/>
      <c r="S374" s="4"/>
      <c r="T374" s="90"/>
      <c r="U374" s="4"/>
      <c r="V374" s="4">
        <f t="shared" si="28"/>
      </c>
      <c r="W374" s="4">
        <f t="shared" si="29"/>
      </c>
      <c r="X374" s="4">
        <f t="shared" si="30"/>
      </c>
    </row>
    <row r="375" spans="17:24" x14ac:dyDescent="0.3">
      <c r="Q375" s="4"/>
      <c r="R375" s="4"/>
      <c r="S375" s="4"/>
      <c r="T375" s="90"/>
      <c r="U375" s="4"/>
      <c r="V375" s="4">
        <f t="shared" si="28"/>
      </c>
      <c r="W375" s="4">
        <f t="shared" si="29"/>
      </c>
      <c r="X375" s="4">
        <f t="shared" si="30"/>
      </c>
    </row>
    <row r="376" spans="17:24" x14ac:dyDescent="0.3">
      <c r="Q376" s="4"/>
      <c r="R376" s="4"/>
      <c r="S376" s="4"/>
      <c r="T376" s="90"/>
      <c r="U376" s="4"/>
      <c r="V376" s="4">
        <f t="shared" si="28"/>
      </c>
      <c r="W376" s="4">
        <f t="shared" si="29"/>
      </c>
      <c r="X376" s="4">
        <f t="shared" si="30"/>
      </c>
    </row>
    <row r="377" spans="17:24" x14ac:dyDescent="0.3">
      <c r="Q377" s="4"/>
      <c r="R377" s="4"/>
      <c r="S377" s="4"/>
      <c r="T377" s="90"/>
      <c r="U377" s="4"/>
      <c r="V377" s="4">
        <f t="shared" si="28"/>
      </c>
      <c r="W377" s="4">
        <f t="shared" si="29"/>
      </c>
      <c r="X377" s="4">
        <f t="shared" si="30"/>
      </c>
    </row>
    <row r="378" spans="17:24" x14ac:dyDescent="0.3">
      <c r="Q378" s="4"/>
      <c r="R378" s="4"/>
      <c r="S378" s="4"/>
      <c r="T378" s="90"/>
      <c r="U378" s="4"/>
      <c r="V378" s="4">
        <f t="shared" si="28"/>
      </c>
      <c r="W378" s="4">
        <f t="shared" si="29"/>
      </c>
      <c r="X378" s="4">
        <f t="shared" si="30"/>
      </c>
    </row>
    <row r="379" spans="17:24" x14ac:dyDescent="0.3">
      <c r="Q379" s="4"/>
      <c r="R379" s="4"/>
      <c r="S379" s="4"/>
      <c r="T379" s="90"/>
      <c r="U379" s="4"/>
      <c r="V379" s="4">
        <f t="shared" si="28"/>
      </c>
      <c r="W379" s="4">
        <f t="shared" si="29"/>
      </c>
      <c r="X379" s="4">
        <f t="shared" si="30"/>
      </c>
    </row>
    <row r="380" spans="17:24" x14ac:dyDescent="0.3">
      <c r="Q380" s="4"/>
      <c r="R380" s="4"/>
      <c r="S380" s="4"/>
      <c r="T380" s="90"/>
      <c r="U380" s="4"/>
      <c r="V380" s="4">
        <f t="shared" si="28"/>
      </c>
      <c r="W380" s="4">
        <f t="shared" si="29"/>
      </c>
      <c r="X380" s="4">
        <f t="shared" si="30"/>
      </c>
    </row>
    <row r="381" spans="17:24" x14ac:dyDescent="0.3">
      <c r="Q381" s="4"/>
      <c r="R381" s="4"/>
      <c r="S381" s="4"/>
      <c r="T381" s="90"/>
      <c r="U381" s="4"/>
      <c r="V381" s="4">
        <f t="shared" si="28"/>
      </c>
      <c r="W381" s="4">
        <f t="shared" si="29"/>
      </c>
      <c r="X381" s="4">
        <f t="shared" si="30"/>
      </c>
    </row>
    <row r="382" spans="17:24" x14ac:dyDescent="0.3">
      <c r="Q382" s="4"/>
      <c r="R382" s="4"/>
      <c r="S382" s="4"/>
      <c r="T382" s="90"/>
      <c r="U382" s="4"/>
      <c r="V382" s="4">
        <f t="shared" si="28"/>
      </c>
      <c r="W382" s="4">
        <f t="shared" si="29"/>
      </c>
      <c r="X382" s="4">
        <f t="shared" si="30"/>
      </c>
    </row>
    <row r="383" spans="17:24" x14ac:dyDescent="0.3">
      <c r="Q383" s="4"/>
      <c r="R383" s="4"/>
      <c r="S383" s="4"/>
      <c r="T383" s="90"/>
      <c r="U383" s="4"/>
      <c r="V383" s="4">
        <f t="shared" si="28"/>
      </c>
      <c r="W383" s="4">
        <f t="shared" si="29"/>
      </c>
      <c r="X383" s="4">
        <f t="shared" si="30"/>
      </c>
    </row>
    <row r="384" spans="17:24" x14ac:dyDescent="0.3">
      <c r="Q384" s="4"/>
      <c r="R384" s="4"/>
      <c r="S384" s="4"/>
      <c r="T384" s="90"/>
      <c r="U384" s="4"/>
      <c r="V384" s="4">
        <f t="shared" si="28"/>
      </c>
      <c r="W384" s="4">
        <f t="shared" si="29"/>
      </c>
      <c r="X384" s="4">
        <f t="shared" si="30"/>
      </c>
    </row>
    <row r="385" spans="17:24" x14ac:dyDescent="0.3">
      <c r="Q385" s="4"/>
      <c r="R385" s="4"/>
      <c r="S385" s="4"/>
      <c r="T385" s="90"/>
      <c r="U385" s="4"/>
      <c r="V385" s="4">
        <f t="shared" si="28"/>
      </c>
      <c r="W385" s="4">
        <f t="shared" si="29"/>
      </c>
      <c r="X385" s="4">
        <f t="shared" si="30"/>
      </c>
    </row>
    <row r="386" spans="17:24" x14ac:dyDescent="0.3">
      <c r="Q386" s="4"/>
      <c r="R386" s="4"/>
      <c r="S386" s="4"/>
      <c r="T386" s="90"/>
      <c r="U386" s="4"/>
      <c r="V386" s="4">
        <f t="shared" si="28"/>
      </c>
      <c r="W386" s="4">
        <f t="shared" si="29"/>
      </c>
      <c r="X386" s="4">
        <f t="shared" si="30"/>
      </c>
    </row>
    <row r="387" spans="17:24" x14ac:dyDescent="0.3">
      <c r="Q387" s="4"/>
      <c r="R387" s="4"/>
      <c r="S387" s="4"/>
      <c r="T387" s="90"/>
      <c r="U387" s="4"/>
      <c r="V387" s="4">
        <f t="shared" si="28"/>
      </c>
      <c r="W387" s="4">
        <f t="shared" si="29"/>
      </c>
      <c r="X387" s="4">
        <f t="shared" si="30"/>
      </c>
    </row>
    <row r="388" spans="17:24" x14ac:dyDescent="0.3">
      <c r="Q388" s="4"/>
      <c r="R388" s="4"/>
      <c r="S388" s="4"/>
      <c r="T388" s="90"/>
      <c r="U388" s="4"/>
      <c r="V388" s="4">
        <f t="shared" si="28"/>
      </c>
      <c r="W388" s="4">
        <f t="shared" si="29"/>
      </c>
      <c r="X388" s="4">
        <f t="shared" si="30"/>
      </c>
    </row>
    <row r="389" spans="17:24" x14ac:dyDescent="0.3">
      <c r="Q389" s="4"/>
      <c r="R389" s="4"/>
      <c r="S389" s="4"/>
      <c r="T389" s="90"/>
      <c r="U389" s="4"/>
      <c r="V389" s="4">
        <f t="shared" ref="V389:V452" si="31">U389*1.2</f>
      </c>
      <c r="W389" s="4">
        <f t="shared" ref="W389:W452" si="32">"Ø"&amp;VLOOKUP(V389,$Z$4:$AA$10,2,TRUE)</f>
      </c>
      <c r="X389" s="4">
        <f t="shared" ref="X389:X452" si="33">"Ø"&amp;VLOOKUP(V389,$AD$4:$AE$10,2,TRUE)</f>
      </c>
    </row>
    <row r="390" spans="17:24" x14ac:dyDescent="0.3">
      <c r="Q390" s="4"/>
      <c r="R390" s="4"/>
      <c r="S390" s="4"/>
      <c r="T390" s="90"/>
      <c r="U390" s="4"/>
      <c r="V390" s="4">
        <f t="shared" si="31"/>
      </c>
      <c r="W390" s="4">
        <f t="shared" si="32"/>
      </c>
      <c r="X390" s="4">
        <f t="shared" si="33"/>
      </c>
    </row>
    <row r="391" spans="17:24" x14ac:dyDescent="0.3">
      <c r="Q391" s="4"/>
      <c r="R391" s="4"/>
      <c r="S391" s="4"/>
      <c r="T391" s="90"/>
      <c r="U391" s="4"/>
      <c r="V391" s="4">
        <f t="shared" si="31"/>
      </c>
      <c r="W391" s="4">
        <f t="shared" si="32"/>
      </c>
      <c r="X391" s="4">
        <f t="shared" si="33"/>
      </c>
    </row>
    <row r="392" spans="17:24" x14ac:dyDescent="0.3">
      <c r="Q392" s="4"/>
      <c r="R392" s="4"/>
      <c r="S392" s="4"/>
      <c r="T392" s="90"/>
      <c r="U392" s="4"/>
      <c r="V392" s="4">
        <f t="shared" si="31"/>
      </c>
      <c r="W392" s="4">
        <f t="shared" si="32"/>
      </c>
      <c r="X392" s="4">
        <f t="shared" si="33"/>
      </c>
    </row>
    <row r="393" spans="17:24" x14ac:dyDescent="0.3">
      <c r="Q393" s="4"/>
      <c r="R393" s="4"/>
      <c r="S393" s="4"/>
      <c r="T393" s="90"/>
      <c r="U393" s="4"/>
      <c r="V393" s="4">
        <f t="shared" si="31"/>
      </c>
      <c r="W393" s="4">
        <f t="shared" si="32"/>
      </c>
      <c r="X393" s="4">
        <f t="shared" si="33"/>
      </c>
    </row>
    <row r="394" spans="17:24" x14ac:dyDescent="0.3">
      <c r="Q394" s="4"/>
      <c r="R394" s="4"/>
      <c r="S394" s="4"/>
      <c r="T394" s="90"/>
      <c r="U394" s="4"/>
      <c r="V394" s="4">
        <f t="shared" si="31"/>
      </c>
      <c r="W394" s="4">
        <f t="shared" si="32"/>
      </c>
      <c r="X394" s="4">
        <f t="shared" si="33"/>
      </c>
    </row>
    <row r="395" spans="17:24" x14ac:dyDescent="0.3">
      <c r="Q395" s="4"/>
      <c r="R395" s="4"/>
      <c r="S395" s="4"/>
      <c r="T395" s="90"/>
      <c r="U395" s="4"/>
      <c r="V395" s="4">
        <f t="shared" si="31"/>
      </c>
      <c r="W395" s="4">
        <f t="shared" si="32"/>
      </c>
      <c r="X395" s="4">
        <f t="shared" si="33"/>
      </c>
    </row>
    <row r="396" spans="17:24" x14ac:dyDescent="0.3">
      <c r="Q396" s="4"/>
      <c r="R396" s="4"/>
      <c r="S396" s="4"/>
      <c r="T396" s="90"/>
      <c r="U396" s="4"/>
      <c r="V396" s="4">
        <f t="shared" si="31"/>
      </c>
      <c r="W396" s="4">
        <f t="shared" si="32"/>
      </c>
      <c r="X396" s="4">
        <f t="shared" si="33"/>
      </c>
    </row>
    <row r="397" spans="17:24" x14ac:dyDescent="0.3">
      <c r="Q397" s="4"/>
      <c r="R397" s="4"/>
      <c r="S397" s="4"/>
      <c r="T397" s="90"/>
      <c r="U397" s="4"/>
      <c r="V397" s="4">
        <f t="shared" si="31"/>
      </c>
      <c r="W397" s="4">
        <f t="shared" si="32"/>
      </c>
      <c r="X397" s="4">
        <f t="shared" si="33"/>
      </c>
    </row>
    <row r="398" spans="17:24" x14ac:dyDescent="0.3">
      <c r="Q398" s="4"/>
      <c r="R398" s="4"/>
      <c r="S398" s="4"/>
      <c r="T398" s="90"/>
      <c r="U398" s="4"/>
      <c r="V398" s="4">
        <f t="shared" si="31"/>
      </c>
      <c r="W398" s="4">
        <f t="shared" si="32"/>
      </c>
      <c r="X398" s="4">
        <f t="shared" si="33"/>
      </c>
    </row>
    <row r="399" spans="17:24" x14ac:dyDescent="0.3">
      <c r="Q399" s="4"/>
      <c r="R399" s="4"/>
      <c r="S399" s="4"/>
      <c r="T399" s="90"/>
      <c r="U399" s="4"/>
      <c r="V399" s="4">
        <f t="shared" si="31"/>
      </c>
      <c r="W399" s="4">
        <f t="shared" si="32"/>
      </c>
      <c r="X399" s="4">
        <f t="shared" si="33"/>
      </c>
    </row>
    <row r="400" spans="17:24" x14ac:dyDescent="0.3">
      <c r="Q400" s="4"/>
      <c r="R400" s="4"/>
      <c r="S400" s="4"/>
      <c r="T400" s="90"/>
      <c r="U400" s="4"/>
      <c r="V400" s="4">
        <f t="shared" si="31"/>
      </c>
      <c r="W400" s="4">
        <f t="shared" si="32"/>
      </c>
      <c r="X400" s="4">
        <f t="shared" si="33"/>
      </c>
    </row>
    <row r="401" spans="17:24" x14ac:dyDescent="0.3">
      <c r="Q401" s="4"/>
      <c r="R401" s="4"/>
      <c r="S401" s="4"/>
      <c r="T401" s="90"/>
      <c r="U401" s="4"/>
      <c r="V401" s="4">
        <f t="shared" si="31"/>
      </c>
      <c r="W401" s="4">
        <f t="shared" si="32"/>
      </c>
      <c r="X401" s="4">
        <f t="shared" si="33"/>
      </c>
    </row>
    <row r="402" spans="17:24" x14ac:dyDescent="0.3">
      <c r="Q402" s="4"/>
      <c r="R402" s="4"/>
      <c r="S402" s="4"/>
      <c r="T402" s="90"/>
      <c r="U402" s="4"/>
      <c r="V402" s="4">
        <f t="shared" si="31"/>
      </c>
      <c r="W402" s="4">
        <f t="shared" si="32"/>
      </c>
      <c r="X402" s="4">
        <f t="shared" si="33"/>
      </c>
    </row>
    <row r="403" spans="17:24" x14ac:dyDescent="0.3">
      <c r="Q403" s="4"/>
      <c r="R403" s="4"/>
      <c r="S403" s="4"/>
      <c r="T403" s="90"/>
      <c r="U403" s="4"/>
      <c r="V403" s="4">
        <f t="shared" si="31"/>
      </c>
      <c r="W403" s="4">
        <f t="shared" si="32"/>
      </c>
      <c r="X403" s="4">
        <f t="shared" si="33"/>
      </c>
    </row>
    <row r="404" spans="17:24" x14ac:dyDescent="0.3">
      <c r="Q404" s="4"/>
      <c r="R404" s="4"/>
      <c r="S404" s="4"/>
      <c r="T404" s="90"/>
      <c r="U404" s="4"/>
      <c r="V404" s="4">
        <f t="shared" si="31"/>
      </c>
      <c r="W404" s="4">
        <f t="shared" si="32"/>
      </c>
      <c r="X404" s="4">
        <f t="shared" si="33"/>
      </c>
    </row>
    <row r="405" spans="17:24" x14ac:dyDescent="0.3">
      <c r="Q405" s="4"/>
      <c r="R405" s="4"/>
      <c r="S405" s="4"/>
      <c r="T405" s="90"/>
      <c r="U405" s="4"/>
      <c r="V405" s="4">
        <f t="shared" si="31"/>
      </c>
      <c r="W405" s="4">
        <f t="shared" si="32"/>
      </c>
      <c r="X405" s="4">
        <f t="shared" si="33"/>
      </c>
    </row>
    <row r="406" spans="17:24" x14ac:dyDescent="0.3">
      <c r="Q406" s="4"/>
      <c r="R406" s="4"/>
      <c r="S406" s="4"/>
      <c r="T406" s="90"/>
      <c r="U406" s="4"/>
      <c r="V406" s="4">
        <f t="shared" si="31"/>
      </c>
      <c r="W406" s="4">
        <f t="shared" si="32"/>
      </c>
      <c r="X406" s="4">
        <f t="shared" si="33"/>
      </c>
    </row>
    <row r="407" spans="17:24" x14ac:dyDescent="0.3">
      <c r="Q407" s="4"/>
      <c r="R407" s="4"/>
      <c r="S407" s="4"/>
      <c r="T407" s="90"/>
      <c r="U407" s="4"/>
      <c r="V407" s="4">
        <f t="shared" si="31"/>
      </c>
      <c r="W407" s="4">
        <f t="shared" si="32"/>
      </c>
      <c r="X407" s="4">
        <f t="shared" si="33"/>
      </c>
    </row>
    <row r="408" spans="17:24" x14ac:dyDescent="0.3">
      <c r="Q408" s="4"/>
      <c r="R408" s="4"/>
      <c r="S408" s="4"/>
      <c r="T408" s="90"/>
      <c r="U408" s="4"/>
      <c r="V408" s="4">
        <f t="shared" si="31"/>
      </c>
      <c r="W408" s="4">
        <f t="shared" si="32"/>
      </c>
      <c r="X408" s="4">
        <f t="shared" si="33"/>
      </c>
    </row>
    <row r="409" spans="17:24" x14ac:dyDescent="0.3">
      <c r="Q409" s="4"/>
      <c r="R409" s="4"/>
      <c r="S409" s="4"/>
      <c r="T409" s="90"/>
      <c r="U409" s="4"/>
      <c r="V409" s="4">
        <f t="shared" si="31"/>
      </c>
      <c r="W409" s="4">
        <f t="shared" si="32"/>
      </c>
      <c r="X409" s="4">
        <f t="shared" si="33"/>
      </c>
    </row>
    <row r="410" spans="17:24" x14ac:dyDescent="0.3">
      <c r="Q410" s="4"/>
      <c r="R410" s="4"/>
      <c r="S410" s="4"/>
      <c r="T410" s="90"/>
      <c r="U410" s="4"/>
      <c r="V410" s="4">
        <f t="shared" si="31"/>
      </c>
      <c r="W410" s="4">
        <f t="shared" si="32"/>
      </c>
      <c r="X410" s="4">
        <f t="shared" si="33"/>
      </c>
    </row>
    <row r="411" spans="17:24" x14ac:dyDescent="0.3">
      <c r="Q411" s="4"/>
      <c r="R411" s="4"/>
      <c r="S411" s="4"/>
      <c r="T411" s="90"/>
      <c r="U411" s="4"/>
      <c r="V411" s="4">
        <f t="shared" si="31"/>
      </c>
      <c r="W411" s="4">
        <f t="shared" si="32"/>
      </c>
      <c r="X411" s="4">
        <f t="shared" si="33"/>
      </c>
    </row>
    <row r="412" spans="17:24" x14ac:dyDescent="0.3">
      <c r="Q412" s="4"/>
      <c r="R412" s="4"/>
      <c r="S412" s="4"/>
      <c r="T412" s="90"/>
      <c r="U412" s="4"/>
      <c r="V412" s="4">
        <f t="shared" si="31"/>
      </c>
      <c r="W412" s="4">
        <f t="shared" si="32"/>
      </c>
      <c r="X412" s="4">
        <f t="shared" si="33"/>
      </c>
    </row>
    <row r="413" spans="17:24" x14ac:dyDescent="0.3">
      <c r="Q413" s="4"/>
      <c r="R413" s="4"/>
      <c r="S413" s="4"/>
      <c r="T413" s="90"/>
      <c r="U413" s="4"/>
      <c r="V413" s="4">
        <f t="shared" si="31"/>
      </c>
      <c r="W413" s="4">
        <f t="shared" si="32"/>
      </c>
      <c r="X413" s="4">
        <f t="shared" si="33"/>
      </c>
    </row>
    <row r="414" spans="17:24" x14ac:dyDescent="0.3">
      <c r="Q414" s="4"/>
      <c r="R414" s="4"/>
      <c r="S414" s="4"/>
      <c r="T414" s="90"/>
      <c r="U414" s="4"/>
      <c r="V414" s="4">
        <f t="shared" si="31"/>
      </c>
      <c r="W414" s="4">
        <f t="shared" si="32"/>
      </c>
      <c r="X414" s="4">
        <f t="shared" si="33"/>
      </c>
    </row>
    <row r="415" spans="17:24" x14ac:dyDescent="0.3">
      <c r="Q415" s="4"/>
      <c r="R415" s="4"/>
      <c r="S415" s="4"/>
      <c r="T415" s="90"/>
      <c r="U415" s="4"/>
      <c r="V415" s="4">
        <f t="shared" si="31"/>
      </c>
      <c r="W415" s="4">
        <f t="shared" si="32"/>
      </c>
      <c r="X415" s="4">
        <f t="shared" si="33"/>
      </c>
    </row>
    <row r="416" spans="17:24" x14ac:dyDescent="0.3">
      <c r="Q416" s="4"/>
      <c r="R416" s="4"/>
      <c r="S416" s="4"/>
      <c r="T416" s="90"/>
      <c r="U416" s="4"/>
      <c r="V416" s="4">
        <f t="shared" si="31"/>
      </c>
      <c r="W416" s="4">
        <f t="shared" si="32"/>
      </c>
      <c r="X416" s="4">
        <f t="shared" si="33"/>
      </c>
    </row>
    <row r="417" spans="17:24" x14ac:dyDescent="0.3">
      <c r="Q417" s="4"/>
      <c r="R417" s="4"/>
      <c r="S417" s="4"/>
      <c r="T417" s="90"/>
      <c r="U417" s="4"/>
      <c r="V417" s="4">
        <f t="shared" si="31"/>
      </c>
      <c r="W417" s="4">
        <f t="shared" si="32"/>
      </c>
      <c r="X417" s="4">
        <f t="shared" si="33"/>
      </c>
    </row>
    <row r="418" spans="17:24" x14ac:dyDescent="0.3">
      <c r="Q418" s="4"/>
      <c r="R418" s="4"/>
      <c r="S418" s="4"/>
      <c r="T418" s="90"/>
      <c r="U418" s="4"/>
      <c r="V418" s="4">
        <f t="shared" si="31"/>
      </c>
      <c r="W418" s="4">
        <f t="shared" si="32"/>
      </c>
      <c r="X418" s="4">
        <f t="shared" si="33"/>
      </c>
    </row>
    <row r="419" spans="17:24" x14ac:dyDescent="0.3">
      <c r="Q419" s="4"/>
      <c r="R419" s="4"/>
      <c r="S419" s="4"/>
      <c r="T419" s="90"/>
      <c r="U419" s="4"/>
      <c r="V419" s="4">
        <f t="shared" si="31"/>
      </c>
      <c r="W419" s="4">
        <f t="shared" si="32"/>
      </c>
      <c r="X419" s="4">
        <f t="shared" si="33"/>
      </c>
    </row>
    <row r="420" spans="17:24" x14ac:dyDescent="0.3">
      <c r="Q420" s="4"/>
      <c r="R420" s="4"/>
      <c r="S420" s="4"/>
      <c r="T420" s="90"/>
      <c r="U420" s="4"/>
      <c r="V420" s="4">
        <f t="shared" si="31"/>
      </c>
      <c r="W420" s="4">
        <f t="shared" si="32"/>
      </c>
      <c r="X420" s="4">
        <f t="shared" si="33"/>
      </c>
    </row>
    <row r="421" spans="17:24" x14ac:dyDescent="0.3">
      <c r="Q421" s="4"/>
      <c r="R421" s="4"/>
      <c r="S421" s="4"/>
      <c r="T421" s="90"/>
      <c r="U421" s="4"/>
      <c r="V421" s="4">
        <f t="shared" si="31"/>
      </c>
      <c r="W421" s="4">
        <f t="shared" si="32"/>
      </c>
      <c r="X421" s="4">
        <f t="shared" si="33"/>
      </c>
    </row>
    <row r="422" spans="17:24" x14ac:dyDescent="0.3">
      <c r="Q422" s="4"/>
      <c r="R422" s="4"/>
      <c r="S422" s="4"/>
      <c r="T422" s="90"/>
      <c r="U422" s="4"/>
      <c r="V422" s="4">
        <f t="shared" si="31"/>
      </c>
      <c r="W422" s="4">
        <f t="shared" si="32"/>
      </c>
      <c r="X422" s="4">
        <f t="shared" si="33"/>
      </c>
    </row>
    <row r="423" spans="17:24" x14ac:dyDescent="0.3">
      <c r="Q423" s="4"/>
      <c r="R423" s="4"/>
      <c r="S423" s="4"/>
      <c r="T423" s="90"/>
      <c r="U423" s="4"/>
      <c r="V423" s="4">
        <f t="shared" si="31"/>
      </c>
      <c r="W423" s="4">
        <f t="shared" si="32"/>
      </c>
      <c r="X423" s="4">
        <f t="shared" si="33"/>
      </c>
    </row>
    <row r="424" spans="17:24" x14ac:dyDescent="0.3">
      <c r="Q424" s="4"/>
      <c r="R424" s="4"/>
      <c r="S424" s="4"/>
      <c r="T424" s="90"/>
      <c r="U424" s="4"/>
      <c r="V424" s="4">
        <f t="shared" si="31"/>
      </c>
      <c r="W424" s="4">
        <f t="shared" si="32"/>
      </c>
      <c r="X424" s="4">
        <f t="shared" si="33"/>
      </c>
    </row>
    <row r="425" spans="17:24" x14ac:dyDescent="0.3">
      <c r="Q425" s="4"/>
      <c r="R425" s="4"/>
      <c r="S425" s="4"/>
      <c r="T425" s="90"/>
      <c r="U425" s="4"/>
      <c r="V425" s="4">
        <f t="shared" si="31"/>
      </c>
      <c r="W425" s="4">
        <f t="shared" si="32"/>
      </c>
      <c r="X425" s="4">
        <f t="shared" si="33"/>
      </c>
    </row>
    <row r="426" spans="17:24" x14ac:dyDescent="0.3">
      <c r="Q426" s="4"/>
      <c r="R426" s="4"/>
      <c r="S426" s="4"/>
      <c r="T426" s="90"/>
      <c r="U426" s="4"/>
      <c r="V426" s="4">
        <f t="shared" si="31"/>
      </c>
      <c r="W426" s="4">
        <f t="shared" si="32"/>
      </c>
      <c r="X426" s="4">
        <f t="shared" si="33"/>
      </c>
    </row>
    <row r="427" spans="17:24" x14ac:dyDescent="0.3">
      <c r="Q427" s="4"/>
      <c r="R427" s="4"/>
      <c r="S427" s="4"/>
      <c r="T427" s="90"/>
      <c r="U427" s="4"/>
      <c r="V427" s="4">
        <f t="shared" si="31"/>
      </c>
      <c r="W427" s="4">
        <f t="shared" si="32"/>
      </c>
      <c r="X427" s="4">
        <f t="shared" si="33"/>
      </c>
    </row>
    <row r="428" spans="17:24" x14ac:dyDescent="0.3">
      <c r="Q428" s="4"/>
      <c r="R428" s="4"/>
      <c r="S428" s="4"/>
      <c r="T428" s="90"/>
      <c r="U428" s="4"/>
      <c r="V428" s="4">
        <f t="shared" si="31"/>
      </c>
      <c r="W428" s="4">
        <f t="shared" si="32"/>
      </c>
      <c r="X428" s="4">
        <f t="shared" si="33"/>
      </c>
    </row>
    <row r="429" spans="17:24" x14ac:dyDescent="0.3">
      <c r="Q429" s="4"/>
      <c r="R429" s="4"/>
      <c r="S429" s="4"/>
      <c r="T429" s="90"/>
      <c r="U429" s="4"/>
      <c r="V429" s="4">
        <f t="shared" si="31"/>
      </c>
      <c r="W429" s="4">
        <f t="shared" si="32"/>
      </c>
      <c r="X429" s="4">
        <f t="shared" si="33"/>
      </c>
    </row>
    <row r="430" spans="17:24" x14ac:dyDescent="0.3">
      <c r="Q430" s="4"/>
      <c r="R430" s="4"/>
      <c r="S430" s="4"/>
      <c r="T430" s="90"/>
      <c r="U430" s="4"/>
      <c r="V430" s="4">
        <f t="shared" si="31"/>
      </c>
      <c r="W430" s="4">
        <f t="shared" si="32"/>
      </c>
      <c r="X430" s="4">
        <f t="shared" si="33"/>
      </c>
    </row>
    <row r="431" spans="17:24" x14ac:dyDescent="0.3">
      <c r="Q431" s="4"/>
      <c r="R431" s="4"/>
      <c r="S431" s="4"/>
      <c r="T431" s="90"/>
      <c r="U431" s="4"/>
      <c r="V431" s="4">
        <f t="shared" si="31"/>
      </c>
      <c r="W431" s="4">
        <f t="shared" si="32"/>
      </c>
      <c r="X431" s="4">
        <f t="shared" si="33"/>
      </c>
    </row>
    <row r="432" spans="17:24" x14ac:dyDescent="0.3">
      <c r="Q432" s="4"/>
      <c r="R432" s="4"/>
      <c r="S432" s="4"/>
      <c r="T432" s="90"/>
      <c r="U432" s="4"/>
      <c r="V432" s="4">
        <f t="shared" si="31"/>
      </c>
      <c r="W432" s="4">
        <f t="shared" si="32"/>
      </c>
      <c r="X432" s="4">
        <f t="shared" si="33"/>
      </c>
    </row>
    <row r="433" spans="17:24" x14ac:dyDescent="0.3">
      <c r="Q433" s="4"/>
      <c r="R433" s="4"/>
      <c r="S433" s="4"/>
      <c r="T433" s="90"/>
      <c r="U433" s="4"/>
      <c r="V433" s="4">
        <f t="shared" si="31"/>
      </c>
      <c r="W433" s="4">
        <f t="shared" si="32"/>
      </c>
      <c r="X433" s="4">
        <f t="shared" si="33"/>
      </c>
    </row>
    <row r="434" spans="17:24" x14ac:dyDescent="0.3">
      <c r="Q434" s="4"/>
      <c r="R434" s="4"/>
      <c r="S434" s="4"/>
      <c r="T434" s="90"/>
      <c r="U434" s="4"/>
      <c r="V434" s="4">
        <f t="shared" si="31"/>
      </c>
      <c r="W434" s="4">
        <f t="shared" si="32"/>
      </c>
      <c r="X434" s="4">
        <f t="shared" si="33"/>
      </c>
    </row>
    <row r="435" spans="17:24" x14ac:dyDescent="0.3">
      <c r="Q435" s="4"/>
      <c r="R435" s="4"/>
      <c r="S435" s="4"/>
      <c r="T435" s="90"/>
      <c r="U435" s="4"/>
      <c r="V435" s="4">
        <f t="shared" si="31"/>
      </c>
      <c r="W435" s="4">
        <f t="shared" si="32"/>
      </c>
      <c r="X435" s="4">
        <f t="shared" si="33"/>
      </c>
    </row>
    <row r="436" spans="17:24" x14ac:dyDescent="0.3">
      <c r="Q436" s="4"/>
      <c r="R436" s="4"/>
      <c r="S436" s="4"/>
      <c r="T436" s="90"/>
      <c r="U436" s="4"/>
      <c r="V436" s="4">
        <f t="shared" si="31"/>
      </c>
      <c r="W436" s="4">
        <f t="shared" si="32"/>
      </c>
      <c r="X436" s="4">
        <f t="shared" si="33"/>
      </c>
    </row>
    <row r="437" spans="17:24" x14ac:dyDescent="0.3">
      <c r="Q437" s="4"/>
      <c r="R437" s="4"/>
      <c r="S437" s="4"/>
      <c r="T437" s="90"/>
      <c r="U437" s="4"/>
      <c r="V437" s="4">
        <f t="shared" si="31"/>
      </c>
      <c r="W437" s="4">
        <f t="shared" si="32"/>
      </c>
      <c r="X437" s="4">
        <f t="shared" si="33"/>
      </c>
    </row>
    <row r="438" spans="17:24" x14ac:dyDescent="0.3">
      <c r="Q438" s="4"/>
      <c r="R438" s="4"/>
      <c r="S438" s="4"/>
      <c r="T438" s="90"/>
      <c r="U438" s="4"/>
      <c r="V438" s="4">
        <f t="shared" si="31"/>
      </c>
      <c r="W438" s="4">
        <f t="shared" si="32"/>
      </c>
      <c r="X438" s="4">
        <f t="shared" si="33"/>
      </c>
    </row>
    <row r="439" spans="17:24" x14ac:dyDescent="0.3">
      <c r="Q439" s="4"/>
      <c r="R439" s="4"/>
      <c r="S439" s="4"/>
      <c r="T439" s="90"/>
      <c r="U439" s="4"/>
      <c r="V439" s="4">
        <f t="shared" si="31"/>
      </c>
      <c r="W439" s="4">
        <f t="shared" si="32"/>
      </c>
      <c r="X439" s="4">
        <f t="shared" si="33"/>
      </c>
    </row>
    <row r="440" spans="17:24" x14ac:dyDescent="0.3">
      <c r="Q440" s="4"/>
      <c r="R440" s="4"/>
      <c r="S440" s="4"/>
      <c r="T440" s="90"/>
      <c r="U440" s="4"/>
      <c r="V440" s="4">
        <f t="shared" si="31"/>
      </c>
      <c r="W440" s="4">
        <f t="shared" si="32"/>
      </c>
      <c r="X440" s="4">
        <f t="shared" si="33"/>
      </c>
    </row>
    <row r="441" spans="17:24" x14ac:dyDescent="0.3">
      <c r="Q441" s="4"/>
      <c r="R441" s="4"/>
      <c r="S441" s="4"/>
      <c r="T441" s="90"/>
      <c r="U441" s="4"/>
      <c r="V441" s="4">
        <f t="shared" si="31"/>
      </c>
      <c r="W441" s="4">
        <f t="shared" si="32"/>
      </c>
      <c r="X441" s="4">
        <f t="shared" si="33"/>
      </c>
    </row>
    <row r="442" spans="17:24" x14ac:dyDescent="0.3">
      <c r="Q442" s="4"/>
      <c r="R442" s="4"/>
      <c r="S442" s="4"/>
      <c r="T442" s="90"/>
      <c r="U442" s="4"/>
      <c r="V442" s="4">
        <f t="shared" si="31"/>
      </c>
      <c r="W442" s="4">
        <f t="shared" si="32"/>
      </c>
      <c r="X442" s="4">
        <f t="shared" si="33"/>
      </c>
    </row>
    <row r="443" spans="17:24" x14ac:dyDescent="0.3">
      <c r="Q443" s="4"/>
      <c r="R443" s="4"/>
      <c r="S443" s="4"/>
      <c r="T443" s="90"/>
      <c r="U443" s="4"/>
      <c r="V443" s="4">
        <f t="shared" si="31"/>
      </c>
      <c r="W443" s="4">
        <f t="shared" si="32"/>
      </c>
      <c r="X443" s="4">
        <f t="shared" si="33"/>
      </c>
    </row>
    <row r="444" spans="17:24" x14ac:dyDescent="0.3">
      <c r="Q444" s="4"/>
      <c r="R444" s="4"/>
      <c r="S444" s="4"/>
      <c r="T444" s="90"/>
      <c r="U444" s="4"/>
      <c r="V444" s="4">
        <f t="shared" si="31"/>
      </c>
      <c r="W444" s="4">
        <f t="shared" si="32"/>
      </c>
      <c r="X444" s="4">
        <f t="shared" si="33"/>
      </c>
    </row>
    <row r="445" spans="17:24" x14ac:dyDescent="0.3">
      <c r="Q445" s="4"/>
      <c r="R445" s="4"/>
      <c r="S445" s="4"/>
      <c r="T445" s="90"/>
      <c r="U445" s="4"/>
      <c r="V445" s="4">
        <f t="shared" si="31"/>
      </c>
      <c r="W445" s="4">
        <f t="shared" si="32"/>
      </c>
      <c r="X445" s="4">
        <f t="shared" si="33"/>
      </c>
    </row>
    <row r="446" spans="17:24" x14ac:dyDescent="0.3">
      <c r="Q446" s="4"/>
      <c r="R446" s="4"/>
      <c r="S446" s="4"/>
      <c r="T446" s="90"/>
      <c r="U446" s="4"/>
      <c r="V446" s="4">
        <f t="shared" si="31"/>
      </c>
      <c r="W446" s="4">
        <f t="shared" si="32"/>
      </c>
      <c r="X446" s="4">
        <f t="shared" si="33"/>
      </c>
    </row>
    <row r="447" spans="17:24" x14ac:dyDescent="0.3">
      <c r="Q447" s="4"/>
      <c r="R447" s="4"/>
      <c r="S447" s="4"/>
      <c r="T447" s="90"/>
      <c r="U447" s="4"/>
      <c r="V447" s="4">
        <f t="shared" si="31"/>
      </c>
      <c r="W447" s="4">
        <f t="shared" si="32"/>
      </c>
      <c r="X447" s="4">
        <f t="shared" si="33"/>
      </c>
    </row>
    <row r="448" spans="17:24" x14ac:dyDescent="0.3">
      <c r="Q448" s="4"/>
      <c r="R448" s="4"/>
      <c r="S448" s="4"/>
      <c r="T448" s="90"/>
      <c r="U448" s="4"/>
      <c r="V448" s="4">
        <f t="shared" si="31"/>
      </c>
      <c r="W448" s="4">
        <f t="shared" si="32"/>
      </c>
      <c r="X448" s="4">
        <f t="shared" si="33"/>
      </c>
    </row>
    <row r="449" spans="17:24" x14ac:dyDescent="0.3">
      <c r="Q449" s="4"/>
      <c r="R449" s="4"/>
      <c r="S449" s="4"/>
      <c r="T449" s="90"/>
      <c r="U449" s="4"/>
      <c r="V449" s="4">
        <f t="shared" si="31"/>
      </c>
      <c r="W449" s="4">
        <f t="shared" si="32"/>
      </c>
      <c r="X449" s="4">
        <f t="shared" si="33"/>
      </c>
    </row>
    <row r="450" spans="17:24" x14ac:dyDescent="0.3">
      <c r="Q450" s="4"/>
      <c r="R450" s="4"/>
      <c r="S450" s="4"/>
      <c r="T450" s="90"/>
      <c r="U450" s="4"/>
      <c r="V450" s="4">
        <f t="shared" si="31"/>
      </c>
      <c r="W450" s="4">
        <f t="shared" si="32"/>
      </c>
      <c r="X450" s="4">
        <f t="shared" si="33"/>
      </c>
    </row>
    <row r="451" spans="17:24" x14ac:dyDescent="0.3">
      <c r="Q451" s="4"/>
      <c r="R451" s="4"/>
      <c r="S451" s="4"/>
      <c r="T451" s="90"/>
      <c r="U451" s="4"/>
      <c r="V451" s="4">
        <f t="shared" si="31"/>
      </c>
      <c r="W451" s="4">
        <f t="shared" si="32"/>
      </c>
      <c r="X451" s="4">
        <f t="shared" si="33"/>
      </c>
    </row>
    <row r="452" spans="17:24" x14ac:dyDescent="0.3">
      <c r="Q452" s="4"/>
      <c r="R452" s="4"/>
      <c r="S452" s="4"/>
      <c r="T452" s="90"/>
      <c r="U452" s="4"/>
      <c r="V452" s="4">
        <f t="shared" si="31"/>
      </c>
      <c r="W452" s="4">
        <f t="shared" si="32"/>
      </c>
      <c r="X452" s="4">
        <f t="shared" si="33"/>
      </c>
    </row>
    <row r="453" spans="17:24" x14ac:dyDescent="0.3">
      <c r="Q453" s="4"/>
      <c r="R453" s="4"/>
      <c r="S453" s="4"/>
      <c r="T453" s="90"/>
      <c r="U453" s="4"/>
      <c r="V453" s="4">
        <f t="shared" ref="V453:V503" si="34">U453*1.2</f>
      </c>
      <c r="W453" s="4">
        <f t="shared" ref="W453:W503" si="35">"Ø"&amp;VLOOKUP(V453,$Z$4:$AA$10,2,TRUE)</f>
      </c>
      <c r="X453" s="4">
        <f t="shared" ref="X453:X503" si="36">"Ø"&amp;VLOOKUP(V453,$AD$4:$AE$10,2,TRUE)</f>
      </c>
    </row>
    <row r="454" spans="17:24" x14ac:dyDescent="0.3">
      <c r="Q454" s="4"/>
      <c r="R454" s="4"/>
      <c r="S454" s="4"/>
      <c r="T454" s="90"/>
      <c r="U454" s="4"/>
      <c r="V454" s="4">
        <f t="shared" si="34"/>
      </c>
      <c r="W454" s="4">
        <f t="shared" si="35"/>
      </c>
      <c r="X454" s="4">
        <f t="shared" si="36"/>
      </c>
    </row>
    <row r="455" spans="17:24" x14ac:dyDescent="0.3">
      <c r="Q455" s="4"/>
      <c r="R455" s="4"/>
      <c r="S455" s="4"/>
      <c r="T455" s="90"/>
      <c r="U455" s="4"/>
      <c r="V455" s="4">
        <f t="shared" si="34"/>
      </c>
      <c r="W455" s="4">
        <f t="shared" si="35"/>
      </c>
      <c r="X455" s="4">
        <f t="shared" si="36"/>
      </c>
    </row>
    <row r="456" spans="17:24" x14ac:dyDescent="0.3">
      <c r="Q456" s="4"/>
      <c r="R456" s="4"/>
      <c r="S456" s="4"/>
      <c r="T456" s="90"/>
      <c r="U456" s="4"/>
      <c r="V456" s="4">
        <f t="shared" si="34"/>
      </c>
      <c r="W456" s="4">
        <f t="shared" si="35"/>
      </c>
      <c r="X456" s="4">
        <f t="shared" si="36"/>
      </c>
    </row>
    <row r="457" spans="17:24" x14ac:dyDescent="0.3">
      <c r="Q457" s="4"/>
      <c r="R457" s="4"/>
      <c r="S457" s="4"/>
      <c r="T457" s="90"/>
      <c r="U457" s="4"/>
      <c r="V457" s="4">
        <f t="shared" si="34"/>
      </c>
      <c r="W457" s="4">
        <f t="shared" si="35"/>
      </c>
      <c r="X457" s="4">
        <f t="shared" si="36"/>
      </c>
    </row>
    <row r="458" spans="17:24" x14ac:dyDescent="0.3">
      <c r="Q458" s="4"/>
      <c r="R458" s="4"/>
      <c r="S458" s="4"/>
      <c r="T458" s="90"/>
      <c r="U458" s="4"/>
      <c r="V458" s="4">
        <f t="shared" si="34"/>
      </c>
      <c r="W458" s="4">
        <f t="shared" si="35"/>
      </c>
      <c r="X458" s="4">
        <f t="shared" si="36"/>
      </c>
    </row>
    <row r="459" spans="17:24" x14ac:dyDescent="0.3">
      <c r="Q459" s="4"/>
      <c r="R459" s="4"/>
      <c r="S459" s="4"/>
      <c r="T459" s="90"/>
      <c r="U459" s="4"/>
      <c r="V459" s="4">
        <f t="shared" si="34"/>
      </c>
      <c r="W459" s="4">
        <f t="shared" si="35"/>
      </c>
      <c r="X459" s="4">
        <f t="shared" si="36"/>
      </c>
    </row>
    <row r="460" spans="17:24" x14ac:dyDescent="0.3">
      <c r="Q460" s="4"/>
      <c r="R460" s="4"/>
      <c r="S460" s="4"/>
      <c r="T460" s="90"/>
      <c r="U460" s="4"/>
      <c r="V460" s="4">
        <f t="shared" si="34"/>
      </c>
      <c r="W460" s="4">
        <f t="shared" si="35"/>
      </c>
      <c r="X460" s="4">
        <f t="shared" si="36"/>
      </c>
    </row>
    <row r="461" spans="17:24" x14ac:dyDescent="0.3">
      <c r="Q461" s="4"/>
      <c r="R461" s="4"/>
      <c r="S461" s="4"/>
      <c r="T461" s="90"/>
      <c r="U461" s="4"/>
      <c r="V461" s="4">
        <f t="shared" si="34"/>
      </c>
      <c r="W461" s="4">
        <f t="shared" si="35"/>
      </c>
      <c r="X461" s="4">
        <f t="shared" si="36"/>
      </c>
    </row>
    <row r="462" spans="17:24" x14ac:dyDescent="0.3">
      <c r="Q462" s="4"/>
      <c r="R462" s="4"/>
      <c r="S462" s="4"/>
      <c r="T462" s="90"/>
      <c r="U462" s="4"/>
      <c r="V462" s="4">
        <f t="shared" si="34"/>
      </c>
      <c r="W462" s="4">
        <f t="shared" si="35"/>
      </c>
      <c r="X462" s="4">
        <f t="shared" si="36"/>
      </c>
    </row>
    <row r="463" spans="17:24" x14ac:dyDescent="0.3">
      <c r="Q463" s="4"/>
      <c r="R463" s="4"/>
      <c r="S463" s="4"/>
      <c r="T463" s="90"/>
      <c r="U463" s="4"/>
      <c r="V463" s="4">
        <f t="shared" si="34"/>
      </c>
      <c r="W463" s="4">
        <f t="shared" si="35"/>
      </c>
      <c r="X463" s="4">
        <f t="shared" si="36"/>
      </c>
    </row>
    <row r="464" spans="17:24" x14ac:dyDescent="0.3">
      <c r="Q464" s="4"/>
      <c r="R464" s="4"/>
      <c r="S464" s="4"/>
      <c r="T464" s="90"/>
      <c r="U464" s="4"/>
      <c r="V464" s="4">
        <f t="shared" si="34"/>
      </c>
      <c r="W464" s="4">
        <f t="shared" si="35"/>
      </c>
      <c r="X464" s="4">
        <f t="shared" si="36"/>
      </c>
    </row>
    <row r="465" spans="17:24" x14ac:dyDescent="0.3">
      <c r="Q465" s="4"/>
      <c r="R465" s="4"/>
      <c r="S465" s="4"/>
      <c r="T465" s="90"/>
      <c r="U465" s="4"/>
      <c r="V465" s="4">
        <f t="shared" si="34"/>
      </c>
      <c r="W465" s="4">
        <f t="shared" si="35"/>
      </c>
      <c r="X465" s="4">
        <f t="shared" si="36"/>
      </c>
    </row>
    <row r="466" spans="17:24" x14ac:dyDescent="0.3">
      <c r="Q466" s="4"/>
      <c r="R466" s="4"/>
      <c r="S466" s="4"/>
      <c r="T466" s="90"/>
      <c r="U466" s="4"/>
      <c r="V466" s="4">
        <f t="shared" si="34"/>
      </c>
      <c r="W466" s="4">
        <f t="shared" si="35"/>
      </c>
      <c r="X466" s="4">
        <f t="shared" si="36"/>
      </c>
    </row>
    <row r="467" spans="17:24" x14ac:dyDescent="0.3">
      <c r="Q467" s="4"/>
      <c r="R467" s="4"/>
      <c r="S467" s="4"/>
      <c r="T467" s="90"/>
      <c r="U467" s="4"/>
      <c r="V467" s="4">
        <f t="shared" si="34"/>
      </c>
      <c r="W467" s="4">
        <f t="shared" si="35"/>
      </c>
      <c r="X467" s="4">
        <f t="shared" si="36"/>
      </c>
    </row>
    <row r="468" spans="17:24" x14ac:dyDescent="0.3">
      <c r="Q468" s="4"/>
      <c r="R468" s="4"/>
      <c r="S468" s="4"/>
      <c r="T468" s="90"/>
      <c r="U468" s="4"/>
      <c r="V468" s="4">
        <f t="shared" si="34"/>
      </c>
      <c r="W468" s="4">
        <f t="shared" si="35"/>
      </c>
      <c r="X468" s="4">
        <f t="shared" si="36"/>
      </c>
    </row>
    <row r="469" spans="17:24" x14ac:dyDescent="0.3">
      <c r="Q469" s="4"/>
      <c r="R469" s="4"/>
      <c r="S469" s="4"/>
      <c r="T469" s="90"/>
      <c r="U469" s="4"/>
      <c r="V469" s="4">
        <f t="shared" si="34"/>
      </c>
      <c r="W469" s="4">
        <f t="shared" si="35"/>
      </c>
      <c r="X469" s="4">
        <f t="shared" si="36"/>
      </c>
    </row>
    <row r="470" spans="17:24" x14ac:dyDescent="0.3">
      <c r="Q470" s="4"/>
      <c r="R470" s="4"/>
      <c r="S470" s="4"/>
      <c r="T470" s="90"/>
      <c r="U470" s="4"/>
      <c r="V470" s="4">
        <f t="shared" si="34"/>
      </c>
      <c r="W470" s="4">
        <f t="shared" si="35"/>
      </c>
      <c r="X470" s="4">
        <f t="shared" si="36"/>
      </c>
    </row>
    <row r="471" spans="17:24" x14ac:dyDescent="0.3">
      <c r="Q471" s="4"/>
      <c r="R471" s="4"/>
      <c r="S471" s="4"/>
      <c r="T471" s="90"/>
      <c r="U471" s="4"/>
      <c r="V471" s="4">
        <f t="shared" si="34"/>
      </c>
      <c r="W471" s="4">
        <f t="shared" si="35"/>
      </c>
      <c r="X471" s="4">
        <f t="shared" si="36"/>
      </c>
    </row>
    <row r="472" spans="17:24" x14ac:dyDescent="0.3">
      <c r="Q472" s="4"/>
      <c r="R472" s="4"/>
      <c r="S472" s="4"/>
      <c r="T472" s="90"/>
      <c r="U472" s="4"/>
      <c r="V472" s="4">
        <f t="shared" si="34"/>
      </c>
      <c r="W472" s="4">
        <f t="shared" si="35"/>
      </c>
      <c r="X472" s="4">
        <f t="shared" si="36"/>
      </c>
    </row>
    <row r="473" spans="17:24" x14ac:dyDescent="0.3">
      <c r="Q473" s="4"/>
      <c r="R473" s="4"/>
      <c r="S473" s="4"/>
      <c r="T473" s="90"/>
      <c r="U473" s="4"/>
      <c r="V473" s="4">
        <f t="shared" si="34"/>
      </c>
      <c r="W473" s="4">
        <f t="shared" si="35"/>
      </c>
      <c r="X473" s="4">
        <f t="shared" si="36"/>
      </c>
    </row>
    <row r="474" spans="17:24" x14ac:dyDescent="0.3">
      <c r="Q474" s="4"/>
      <c r="R474" s="4"/>
      <c r="S474" s="4"/>
      <c r="T474" s="90"/>
      <c r="U474" s="4"/>
      <c r="V474" s="4">
        <f t="shared" si="34"/>
      </c>
      <c r="W474" s="4">
        <f t="shared" si="35"/>
      </c>
      <c r="X474" s="4">
        <f t="shared" si="36"/>
      </c>
    </row>
    <row r="475" spans="17:24" x14ac:dyDescent="0.3">
      <c r="Q475" s="4"/>
      <c r="R475" s="4"/>
      <c r="S475" s="4"/>
      <c r="T475" s="90"/>
      <c r="U475" s="4"/>
      <c r="V475" s="4">
        <f t="shared" si="34"/>
      </c>
      <c r="W475" s="4">
        <f t="shared" si="35"/>
      </c>
      <c r="X475" s="4">
        <f t="shared" si="36"/>
      </c>
    </row>
    <row r="476" spans="17:24" x14ac:dyDescent="0.3">
      <c r="Q476" s="4"/>
      <c r="R476" s="4"/>
      <c r="S476" s="4"/>
      <c r="T476" s="90"/>
      <c r="U476" s="4"/>
      <c r="V476" s="4">
        <f t="shared" si="34"/>
      </c>
      <c r="W476" s="4">
        <f t="shared" si="35"/>
      </c>
      <c r="X476" s="4">
        <f t="shared" si="36"/>
      </c>
    </row>
    <row r="477" spans="17:24" x14ac:dyDescent="0.3">
      <c r="Q477" s="4"/>
      <c r="R477" s="4"/>
      <c r="S477" s="4"/>
      <c r="T477" s="90"/>
      <c r="U477" s="4"/>
      <c r="V477" s="4">
        <f t="shared" si="34"/>
      </c>
      <c r="W477" s="4">
        <f t="shared" si="35"/>
      </c>
      <c r="X477" s="4">
        <f t="shared" si="36"/>
      </c>
    </row>
    <row r="478" spans="17:24" x14ac:dyDescent="0.3">
      <c r="Q478" s="4"/>
      <c r="R478" s="4"/>
      <c r="S478" s="4"/>
      <c r="T478" s="90"/>
      <c r="U478" s="4"/>
      <c r="V478" s="4">
        <f t="shared" si="34"/>
      </c>
      <c r="W478" s="4">
        <f t="shared" si="35"/>
      </c>
      <c r="X478" s="4">
        <f t="shared" si="36"/>
      </c>
    </row>
    <row r="479" spans="17:24" x14ac:dyDescent="0.3">
      <c r="Q479" s="4"/>
      <c r="R479" s="4"/>
      <c r="S479" s="4"/>
      <c r="T479" s="90"/>
      <c r="U479" s="4"/>
      <c r="V479" s="4">
        <f t="shared" si="34"/>
      </c>
      <c r="W479" s="4">
        <f t="shared" si="35"/>
      </c>
      <c r="X479" s="4">
        <f t="shared" si="36"/>
      </c>
    </row>
    <row r="480" spans="17:24" x14ac:dyDescent="0.3">
      <c r="Q480" s="4"/>
      <c r="R480" s="4"/>
      <c r="S480" s="4"/>
      <c r="T480" s="90"/>
      <c r="U480" s="4"/>
      <c r="V480" s="4">
        <f t="shared" si="34"/>
      </c>
      <c r="W480" s="4">
        <f t="shared" si="35"/>
      </c>
      <c r="X480" s="4">
        <f t="shared" si="36"/>
      </c>
    </row>
    <row r="481" spans="17:24" x14ac:dyDescent="0.3">
      <c r="Q481" s="4"/>
      <c r="R481" s="4"/>
      <c r="S481" s="4"/>
      <c r="T481" s="90"/>
      <c r="U481" s="4"/>
      <c r="V481" s="4">
        <f t="shared" si="34"/>
      </c>
      <c r="W481" s="4">
        <f t="shared" si="35"/>
      </c>
      <c r="X481" s="4">
        <f t="shared" si="36"/>
      </c>
    </row>
    <row r="482" spans="17:24" x14ac:dyDescent="0.3">
      <c r="Q482" s="4"/>
      <c r="R482" s="4"/>
      <c r="S482" s="4"/>
      <c r="T482" s="90"/>
      <c r="U482" s="4"/>
      <c r="V482" s="4">
        <f t="shared" si="34"/>
      </c>
      <c r="W482" s="4">
        <f t="shared" si="35"/>
      </c>
      <c r="X482" s="4">
        <f t="shared" si="36"/>
      </c>
    </row>
    <row r="483" spans="17:24" x14ac:dyDescent="0.3">
      <c r="Q483" s="4"/>
      <c r="R483" s="4"/>
      <c r="S483" s="4"/>
      <c r="T483" s="90"/>
      <c r="U483" s="4"/>
      <c r="V483" s="4">
        <f t="shared" si="34"/>
      </c>
      <c r="W483" s="4">
        <f t="shared" si="35"/>
      </c>
      <c r="X483" s="4">
        <f t="shared" si="36"/>
      </c>
    </row>
    <row r="484" spans="17:24" x14ac:dyDescent="0.3">
      <c r="Q484" s="4"/>
      <c r="R484" s="4"/>
      <c r="S484" s="4"/>
      <c r="T484" s="90"/>
      <c r="U484" s="4"/>
      <c r="V484" s="4">
        <f t="shared" si="34"/>
      </c>
      <c r="W484" s="4">
        <f t="shared" si="35"/>
      </c>
      <c r="X484" s="4">
        <f t="shared" si="36"/>
      </c>
    </row>
    <row r="485" spans="17:24" x14ac:dyDescent="0.3">
      <c r="Q485" s="4"/>
      <c r="R485" s="4"/>
      <c r="S485" s="4"/>
      <c r="T485" s="90"/>
      <c r="U485" s="4"/>
      <c r="V485" s="4">
        <f t="shared" si="34"/>
      </c>
      <c r="W485" s="4">
        <f t="shared" si="35"/>
      </c>
      <c r="X485" s="4">
        <f t="shared" si="36"/>
      </c>
    </row>
    <row r="486" spans="17:24" x14ac:dyDescent="0.3">
      <c r="Q486" s="4"/>
      <c r="R486" s="4"/>
      <c r="S486" s="4"/>
      <c r="T486" s="90"/>
      <c r="U486" s="4"/>
      <c r="V486" s="4">
        <f t="shared" si="34"/>
      </c>
      <c r="W486" s="4">
        <f t="shared" si="35"/>
      </c>
      <c r="X486" s="4">
        <f t="shared" si="36"/>
      </c>
    </row>
    <row r="487" spans="17:24" x14ac:dyDescent="0.3">
      <c r="Q487" s="4"/>
      <c r="R487" s="4"/>
      <c r="S487" s="4"/>
      <c r="T487" s="90"/>
      <c r="U487" s="4"/>
      <c r="V487" s="4">
        <f t="shared" si="34"/>
      </c>
      <c r="W487" s="4">
        <f t="shared" si="35"/>
      </c>
      <c r="X487" s="4">
        <f t="shared" si="36"/>
      </c>
    </row>
    <row r="488" spans="17:24" x14ac:dyDescent="0.3">
      <c r="Q488" s="4"/>
      <c r="R488" s="4"/>
      <c r="S488" s="4"/>
      <c r="T488" s="90"/>
      <c r="U488" s="4"/>
      <c r="V488" s="4">
        <f t="shared" si="34"/>
      </c>
      <c r="W488" s="4">
        <f t="shared" si="35"/>
      </c>
      <c r="X488" s="4">
        <f t="shared" si="36"/>
      </c>
    </row>
    <row r="489" spans="17:24" x14ac:dyDescent="0.3">
      <c r="Q489" s="4"/>
      <c r="R489" s="4"/>
      <c r="S489" s="4"/>
      <c r="T489" s="90"/>
      <c r="U489" s="4"/>
      <c r="V489" s="4">
        <f t="shared" si="34"/>
      </c>
      <c r="W489" s="4">
        <f t="shared" si="35"/>
      </c>
      <c r="X489" s="4">
        <f t="shared" si="36"/>
      </c>
    </row>
    <row r="490" spans="17:24" x14ac:dyDescent="0.3">
      <c r="Q490" s="4"/>
      <c r="R490" s="4"/>
      <c r="S490" s="4"/>
      <c r="T490" s="90"/>
      <c r="U490" s="4"/>
      <c r="V490" s="4">
        <f t="shared" si="34"/>
      </c>
      <c r="W490" s="4">
        <f t="shared" si="35"/>
      </c>
      <c r="X490" s="4">
        <f t="shared" si="36"/>
      </c>
    </row>
    <row r="491" spans="17:24" x14ac:dyDescent="0.3">
      <c r="Q491" s="4"/>
      <c r="R491" s="4"/>
      <c r="S491" s="4"/>
      <c r="T491" s="90"/>
      <c r="U491" s="4"/>
      <c r="V491" s="4">
        <f t="shared" si="34"/>
      </c>
      <c r="W491" s="4">
        <f t="shared" si="35"/>
      </c>
      <c r="X491" s="4">
        <f t="shared" si="36"/>
      </c>
    </row>
    <row r="492" spans="17:24" x14ac:dyDescent="0.3">
      <c r="Q492" s="4"/>
      <c r="R492" s="4"/>
      <c r="S492" s="4"/>
      <c r="T492" s="90"/>
      <c r="U492" s="4"/>
      <c r="V492" s="4">
        <f t="shared" si="34"/>
      </c>
      <c r="W492" s="4">
        <f t="shared" si="35"/>
      </c>
      <c r="X492" s="4">
        <f t="shared" si="36"/>
      </c>
    </row>
    <row r="493" spans="17:24" x14ac:dyDescent="0.3">
      <c r="Q493" s="4"/>
      <c r="R493" s="4"/>
      <c r="S493" s="4"/>
      <c r="T493" s="90"/>
      <c r="U493" s="4"/>
      <c r="V493" s="4">
        <f t="shared" si="34"/>
      </c>
      <c r="W493" s="4">
        <f t="shared" si="35"/>
      </c>
      <c r="X493" s="4">
        <f t="shared" si="36"/>
      </c>
    </row>
    <row r="494" spans="17:24" x14ac:dyDescent="0.3">
      <c r="Q494" s="4"/>
      <c r="R494" s="4"/>
      <c r="S494" s="4"/>
      <c r="T494" s="90"/>
      <c r="U494" s="4"/>
      <c r="V494" s="4">
        <f t="shared" si="34"/>
      </c>
      <c r="W494" s="4">
        <f t="shared" si="35"/>
      </c>
      <c r="X494" s="4">
        <f t="shared" si="36"/>
      </c>
    </row>
    <row r="495" spans="17:24" x14ac:dyDescent="0.3">
      <c r="Q495" s="4"/>
      <c r="R495" s="4"/>
      <c r="S495" s="4"/>
      <c r="T495" s="90"/>
      <c r="U495" s="4"/>
      <c r="V495" s="4">
        <f t="shared" si="34"/>
      </c>
      <c r="W495" s="4">
        <f t="shared" si="35"/>
      </c>
      <c r="X495" s="4">
        <f t="shared" si="36"/>
      </c>
    </row>
    <row r="496" spans="17:24" x14ac:dyDescent="0.3">
      <c r="Q496" s="4"/>
      <c r="R496" s="4"/>
      <c r="S496" s="4"/>
      <c r="T496" s="90"/>
      <c r="U496" s="4"/>
      <c r="V496" s="4">
        <f t="shared" si="34"/>
      </c>
      <c r="W496" s="4">
        <f t="shared" si="35"/>
      </c>
      <c r="X496" s="4">
        <f t="shared" si="36"/>
      </c>
    </row>
    <row r="497" spans="17:24" x14ac:dyDescent="0.3">
      <c r="Q497" s="4"/>
      <c r="R497" s="4"/>
      <c r="S497" s="4"/>
      <c r="T497" s="90"/>
      <c r="U497" s="4"/>
      <c r="V497" s="4">
        <f t="shared" si="34"/>
      </c>
      <c r="W497" s="4">
        <f t="shared" si="35"/>
      </c>
      <c r="X497" s="4">
        <f t="shared" si="36"/>
      </c>
    </row>
    <row r="498" spans="17:24" x14ac:dyDescent="0.3">
      <c r="Q498" s="4"/>
      <c r="R498" s="4"/>
      <c r="S498" s="4"/>
      <c r="T498" s="90"/>
      <c r="U498" s="4"/>
      <c r="V498" s="4">
        <f t="shared" si="34"/>
      </c>
      <c r="W498" s="4">
        <f t="shared" si="35"/>
      </c>
      <c r="X498" s="4">
        <f t="shared" si="36"/>
      </c>
    </row>
    <row r="499" spans="17:24" x14ac:dyDescent="0.3">
      <c r="Q499" s="4"/>
      <c r="R499" s="4"/>
      <c r="S499" s="4"/>
      <c r="T499" s="90"/>
      <c r="U499" s="4"/>
      <c r="V499" s="4">
        <f t="shared" si="34"/>
      </c>
      <c r="W499" s="4">
        <f t="shared" si="35"/>
      </c>
      <c r="X499" s="4">
        <f t="shared" si="36"/>
      </c>
    </row>
    <row r="500" spans="17:24" x14ac:dyDescent="0.3">
      <c r="Q500" s="4"/>
      <c r="R500" s="4"/>
      <c r="S500" s="4"/>
      <c r="T500" s="90"/>
      <c r="U500" s="4"/>
      <c r="V500" s="4">
        <f t="shared" si="34"/>
      </c>
      <c r="W500" s="4">
        <f t="shared" si="35"/>
      </c>
      <c r="X500" s="4">
        <f t="shared" si="36"/>
      </c>
    </row>
    <row r="501" spans="17:24" x14ac:dyDescent="0.3">
      <c r="Q501" s="4"/>
      <c r="R501" s="4"/>
      <c r="S501" s="4"/>
      <c r="T501" s="90"/>
      <c r="U501" s="4"/>
      <c r="V501" s="4">
        <f t="shared" si="34"/>
      </c>
      <c r="W501" s="4">
        <f t="shared" si="35"/>
      </c>
      <c r="X501" s="4">
        <f t="shared" si="36"/>
      </c>
    </row>
    <row r="502" spans="17:24" x14ac:dyDescent="0.3">
      <c r="Q502" s="4"/>
      <c r="R502" s="4"/>
      <c r="S502" s="4"/>
      <c r="T502" s="90"/>
      <c r="U502" s="4"/>
      <c r="V502" s="4">
        <f t="shared" si="34"/>
      </c>
      <c r="W502" s="4">
        <f t="shared" si="35"/>
      </c>
      <c r="X502" s="4">
        <f t="shared" si="36"/>
      </c>
    </row>
    <row r="503" spans="17:24" x14ac:dyDescent="0.3">
      <c r="Q503" s="4"/>
      <c r="R503" s="4"/>
      <c r="S503" s="4"/>
      <c r="T503" s="90"/>
      <c r="U503" s="4"/>
      <c r="V503" s="4">
        <f t="shared" si="34"/>
      </c>
      <c r="W503" s="4">
        <f t="shared" si="35"/>
      </c>
      <c r="X503" s="4">
        <f t="shared" si="36"/>
      </c>
    </row>
  </sheetData>
  <sortState xmlns:xlrd2="http://schemas.microsoft.com/office/spreadsheetml/2017/richdata2" ref="B4:K38">
    <sortCondition ref="K38"/>
  </sortState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4472C4"/>
    <outlinePr summaryRight="1"/>
  </sheetPr>
  <sheetViews>
    <sheetView workbookViewId="0">
      <pane xSplit="3" ySplit="3" topLeftCell="D4" activePane="bottomRight" state="frozen"/>
    </sheetView>
  </sheetViews>
  <sheetFormatPr defaultRowHeight="15"/>
  <cols>
    <col min="1" max="1" width="13" customWidth="1"/>
    <col min="2" max="2" width="12" customWidth="1"/>
    <col min="3" max="3" width="24" customWidth="1"/>
    <col min="4" max="4" width="8" customWidth="1"/>
    <col min="5" max="5" width="8" customWidth="1"/>
    <col min="6" max="6" width="11" customWidth="1"/>
    <col min="7" max="7" width="56" customWidth="1"/>
    <col min="8" max="8" width="18" customWidth="1"/>
    <col min="9" max="9" width="7" customWidth="1"/>
    <col min="10" max="10" width="8" customWidth="1"/>
    <col min="11" max="11" width="6" customWidth="1"/>
    <col min="12" max="12" width="8" customWidth="1"/>
    <col min="13" max="13" width="7" customWidth="1"/>
    <col min="14" max="14" width="11" customWidth="1"/>
    <col min="15" max="15" width="11" customWidth="1"/>
    <col min="16" max="16" width="11" customWidth="1"/>
    <col min="17" max="17" width="2" customWidth="1"/>
    <col min="18" max="18" width="46" customWidth="1"/>
    <col min="19" max="19" width="22" customWidth="1"/>
    <col min="20" max="20" width="2" customWidth="1"/>
    <col min="21" max="34" width="10" customWidth="1" hidden="1" outlineLevel="1"/>
  </cols>
  <sheetData>
    <row r="1">
      <c r="A1" s="131" t="inlineStr">
        <is>
          <t xml:space="preserve">КАТАЛОГ ОБОРУДОВАНИЯ. Спецификация собирается отсюда: N — посчитано по однолинейке, O — впишите вручную (корпус, провод, запас). Добавляйте строки вниз.</t>
        </is>
      </c>
    </row>
    <row r="2">
      <c r="X2" s="130" t="inlineStr">
        <is>
          <t xml:space="preserve">список автоматов</t>
        </is>
      </c>
      <c r="Z2" s="130" t="inlineStr">
        <is>
          <t xml:space="preserve">список аппаратов</t>
        </is>
      </c>
      <c r="AB2" s="130" t="inlineStr">
        <is>
          <t xml:space="preserve">список модулей</t>
        </is>
      </c>
      <c r="AD2" s="130" t="inlineStr">
        <is>
          <t xml:space="preserve">список произв.</t>
        </is>
      </c>
    </row>
    <row r="3">
      <c r="A3" s="130" t="inlineStr">
        <is>
          <t xml:space="preserve">Категория (раздел)</t>
        </is>
      </c>
      <c r="B3" s="130" t="inlineStr">
        <is>
          <t xml:space="preserve">Производитель</t>
        </is>
      </c>
      <c r="C3" s="130" t="inlineStr">
        <is>
          <t xml:space="preserve">Модель (как в таблице)</t>
        </is>
      </c>
      <c r="D3" s="130" t="inlineStr">
        <is>
          <t xml:space="preserve">Префикс модуля</t>
        </is>
      </c>
      <c r="E3" s="130" t="inlineStr">
        <is>
          <t xml:space="preserve">Каналов</t>
        </is>
      </c>
      <c r="F3" s="130" t="inlineStr">
        <is>
          <t xml:space="preserve">Тип каналов</t>
        </is>
      </c>
      <c r="G3" s="130" t="inlineStr">
        <is>
          <t xml:space="preserve">Наименование для спецификации</t>
        </is>
      </c>
      <c r="H3" s="130" t="inlineStr">
        <is>
          <t xml:space="preserve">Артикул</t>
        </is>
      </c>
      <c r="I3" s="130" t="inlineStr">
        <is>
          <t xml:space="preserve">Полюса</t>
        </is>
      </c>
      <c r="J3" s="130" t="inlineStr">
        <is>
          <t xml:space="preserve">Номинал, А</t>
        </is>
      </c>
      <c r="K3" s="130" t="inlineStr">
        <is>
          <t xml:space="preserve">30 мА</t>
        </is>
      </c>
      <c r="L3" s="130" t="inlineStr">
        <is>
          <t xml:space="preserve">Ширина, мод. DIN</t>
        </is>
      </c>
      <c r="M3" s="130" t="inlineStr">
        <is>
          <t xml:space="preserve">Ед.</t>
        </is>
      </c>
      <c r="N3" s="130" t="inlineStr">
        <is>
          <t xml:space="preserve">По однолинейке (авто)</t>
        </is>
      </c>
      <c r="O3" s="130" t="inlineStr">
        <is>
          <t xml:space="preserve">Вручную / запас (+)</t>
        </is>
      </c>
      <c r="P3" s="130" t="inlineStr">
        <is>
          <t xml:space="preserve">ИТОГО в спецификацию</t>
        </is>
      </c>
      <c r="R3" s="130" t="inlineStr">
        <is>
          <t xml:space="preserve">НАСТРОЙКИ</t>
        </is>
      </c>
      <c r="S3" s="130" t="inlineStr">
        <is>
          <t xml:space="preserve">Значение</t>
        </is>
      </c>
      <c r="U3" s="130" t="inlineStr">
        <is>
          <t xml:space="preserve">обозначение</t>
        </is>
      </c>
      <c r="V3" s="130" t="inlineStr">
        <is>
          <t xml:space="preserve">ключ</t>
        </is>
      </c>
      <c r="W3" s="130" t="inlineStr">
        <is>
          <t xml:space="preserve">№ авт.</t>
        </is>
      </c>
      <c r="X3" s="133" t="inlineStr">
        <is>
          <t xml:space="preserve">авто</t>
        </is>
      </c>
      <c r="Y3" s="130" t="inlineStr">
        <is>
          <t xml:space="preserve">№ апп.</t>
        </is>
      </c>
      <c r="Z3" s="130" t="inlineStr">
        <is>
          <t xml:space="preserve">список аппаратов</t>
        </is>
      </c>
      <c r="AA3" s="130" t="inlineStr">
        <is>
          <t xml:space="preserve">№ мод.</t>
        </is>
      </c>
      <c r="AB3" s="133" t="inlineStr">
        <is>
          <t xml:space="preserve">-</t>
        </is>
      </c>
      <c r="AC3" s="130" t="inlineStr">
        <is>
          <t xml:space="preserve">№ произв.</t>
        </is>
      </c>
      <c r="AD3" s="133" t="inlineStr">
        <is>
          <t xml:space="preserve">(все)</t>
        </is>
      </c>
      <c r="AE3" s="130" t="inlineStr">
        <is>
          <t xml:space="preserve">ключ сортировки</t>
        </is>
      </c>
      <c r="AF3" s="130" t="inlineStr">
        <is>
          <t xml:space="preserve">№ в спецификации</t>
        </is>
      </c>
      <c r="AG3" s="130" t="inlineStr">
        <is>
          <t xml:space="preserve">нет в каталоге</t>
        </is>
      </c>
      <c r="AH3" s="130" t="inlineStr">
        <is>
          <t xml:space="preserve">№</t>
        </is>
      </c>
    </row>
    <row r="4">
      <c r="A4" s="265" t="inlineStr">
        <is>
          <t xml:space="preserve">Автомат</t>
        </is>
      </c>
      <c r="B4" s="265" t="inlineStr">
        <is>
          <t xml:space="preserve">Chint</t>
        </is>
      </c>
      <c r="C4" s="265" t="inlineStr">
        <is>
          <t xml:space="preserve">NB1-63 1P C10</t>
        </is>
      </c>
      <c r="D4" s="265"/>
      <c r="E4" s="265"/>
      <c r="F4" s="265"/>
      <c r="G4" s="265" t="inlineStr">
        <is>
          <t xml:space="preserve">Автоматический выключатель NB1-63 1P 10А 6кА х-ка C (DB)</t>
        </is>
      </c>
      <c r="H4" s="265" t="inlineStr">
        <is>
          <t xml:space="preserve">179614</t>
        </is>
      </c>
      <c r="I4" s="265" t="inlineStr">
        <is>
          <t xml:space="preserve">1P</t>
        </is>
      </c>
      <c r="J4" s="265">
        <v>10</v>
      </c>
      <c r="K4" s="265" t="inlineStr">
        <is>
          <t xml:space="preserve">нет</t>
        </is>
      </c>
      <c r="L4" s="265">
        <v>1</v>
      </c>
      <c r="M4" s="265" t="inlineStr">
        <is>
          <t xml:space="preserve">шт.</t>
        </is>
      </c>
      <c r="N4" s="133">
        <f>IF(OR(A4="Автомат",A4="Дифавтомат"),IF(W4="","",COUNTIF(Однолинейка!$H$3:$H$1000,U4)),IF(A4="Аппарат",IF(C4="","",COUNTIF(Однолинейка!$I$3:$I$1000,C4)+COUNTIF(Однолинейка!$J$3:$J$1000,C4)+COUNTIF(Однолинейка!$K$3:$K$1000,C4)),IF(A4="Модуль",IF(C4="","",COUNTIFS(Однолинейка!$AW$3:$AW$1000,"?*",Однолинейка!$AI$3:$AI$1000,C4)),IF(A4="Клемма",IF(C4="","",IF(C4=$S$7,SUM(Однолинейка!$BW$3:$BW$1000),IF(C4=$S$8,SUM(Однолинейка!$BX$3:$BX$1000),""))),""))))</f>
      </c>
      <c r="O4" s="265"/>
      <c r="P4" s="133">
        <f>IF(COUNT(N4,O4)=0,"",SUM(N4,O4))</f>
      </c>
      <c r="R4" s="133" t="inlineStr">
        <is>
          <t xml:space="preserve">Производитель автоматов</t>
        </is>
      </c>
      <c r="S4" s="265" t="inlineStr">
        <is>
          <t xml:space="preserve">Chint</t>
        </is>
      </c>
      <c r="U4" s="133">
        <f>IF(OR(A4="Автомат",A4="Дифавтомат"),I4&amp;" С"&amp;J4&amp;"А"&amp;IF(K4="да"," 30мА",""),"")</f>
      </c>
      <c r="V4" s="133">
        <f>IF(U4="","",B4&amp;"|"&amp;U4)</f>
      </c>
      <c r="W4" s="133">
        <f>IF(AND(U4&lt;&gt;"",OR($S$4="(все)",B4=$S$4),IF($S$4="(все)",COUNTIF($U$4:U4,U4),COUNTIFS($U$4:U4,U4,$B$4:B4,B4))=1),MAX($W$3:W3)+1,"")</f>
      </c>
      <c r="X4" s="133">
        <f>IFERROR(INDEX($U$4:$U$500,MATCH(ROW()-3,$W$4:$W$500,0)),"")</f>
      </c>
      <c r="Y4" s="133">
        <f>IF(AND(A4="Аппарат",C4&lt;&gt;"",OR($S$5="(все)",B4=$S$5)),MAX($Y$3:Y3)+1,"")</f>
      </c>
      <c r="Z4" s="133">
        <f>IFERROR(INDEX($C$4:$C$500,MATCH(ROW()-3,$Y$4:$Y$500,0)),"")</f>
      </c>
      <c r="AA4" s="133">
        <f>IF(AND(A4="Модуль",C4&lt;&gt;"",OR($S$6="(все)",B4=$S$6)),MAX($AA$3:AA3)+1,"")</f>
      </c>
      <c r="AB4" s="133">
        <f>IFERROR(INDEX($C$4:$C$500,MATCH(ROW()-3,$AA$4:$AA$500,0)),"")</f>
      </c>
      <c r="AC4" s="133">
        <f>IF(OR(B4="",COUNTIF($B$4:B4,B4)&gt;1),"",MAX($AC$3:AC3)+1)</f>
      </c>
      <c r="AD4" s="133">
        <f>IFERROR(INDEX($B$4:$B$500,MATCH(ROW()-3,$AC$4:$AC$500,0)),"")</f>
      </c>
      <c r="AE4" s="133">
        <f>IF(AND(A4&lt;&gt;"",N(P4)&gt;0),IFERROR(MATCH(A4,$R$12:$R$25,0),99)*1000+ROW(),"")</f>
      </c>
      <c r="AF4" s="133">
        <f>IF(AE4="","",COUNTIF($AE$4:$AE$500,"&lt;="&amp;AE4))</f>
      </c>
      <c r="AG4" s="133">
        <f>IF(Спецификация_авто!$L$4="","",IF(IF($S$4="(все)",COUNTIF($U$4:$U$500,Спецификация_авто!$L$4),COUNTIF($V$4:$V$500,$S$4&amp;"|"&amp;Спецификация_авто!$L$4))=0,Спецификация_авто!$L$4,""))</f>
      </c>
      <c r="AH4" s="133">
        <f>IF(AG4="","",COUNTIF($AG$4:AG4,"?*"))</f>
      </c>
    </row>
    <row r="5">
      <c r="A5" s="265" t="inlineStr">
        <is>
          <t xml:space="preserve">Автомат</t>
        </is>
      </c>
      <c r="B5" s="265" t="inlineStr">
        <is>
          <t xml:space="preserve">Chint</t>
        </is>
      </c>
      <c r="C5" s="265" t="inlineStr">
        <is>
          <t xml:space="preserve">NB1-63 1P C16</t>
        </is>
      </c>
      <c r="D5" s="265"/>
      <c r="E5" s="265"/>
      <c r="F5" s="265"/>
      <c r="G5" s="265" t="inlineStr">
        <is>
          <t xml:space="preserve">Автоматический выключатель NB1-63 1P 16А 6кА х-ка C (DB)</t>
        </is>
      </c>
      <c r="H5" s="265" t="inlineStr">
        <is>
          <t xml:space="preserve">179616</t>
        </is>
      </c>
      <c r="I5" s="265" t="inlineStr">
        <is>
          <t xml:space="preserve">1P</t>
        </is>
      </c>
      <c r="J5" s="265">
        <v>16</v>
      </c>
      <c r="K5" s="265" t="inlineStr">
        <is>
          <t xml:space="preserve">нет</t>
        </is>
      </c>
      <c r="L5" s="265">
        <v>1</v>
      </c>
      <c r="M5" s="265" t="inlineStr">
        <is>
          <t xml:space="preserve">шт.</t>
        </is>
      </c>
      <c r="N5" s="133">
        <f>IF(OR(A5="Автомат",A5="Дифавтомат"),IF(W5="","",COUNTIF(Однолинейка!$H$3:$H$1000,U5)),IF(A5="Аппарат",IF(C5="","",COUNTIF(Однолинейка!$I$3:$I$1000,C5)+COUNTIF(Однолинейка!$J$3:$J$1000,C5)+COUNTIF(Однолинейка!$K$3:$K$1000,C5)),IF(A5="Модуль",IF(C5="","",COUNTIFS(Однолинейка!$AW$3:$AW$1000,"?*",Однолинейка!$AI$3:$AI$1000,C5)),IF(A5="Клемма",IF(C5="","",IF(C5=$S$7,SUM(Однолинейка!$BW$3:$BW$1000),IF(C5=$S$8,SUM(Однолинейка!$BX$3:$BX$1000),""))),""))))</f>
      </c>
      <c r="O5" s="265"/>
      <c r="P5" s="133">
        <f>IF(COUNT(N5,O5)=0,"",SUM(N5,O5))</f>
      </c>
      <c r="R5" s="133" t="inlineStr">
        <is>
          <t xml:space="preserve">Производитель аппаратов</t>
        </is>
      </c>
      <c r="S5" s="265" t="inlineStr">
        <is>
          <t xml:space="preserve">(все)</t>
        </is>
      </c>
      <c r="U5" s="133">
        <f>IF(OR(A5="Автомат",A5="Дифавтомат"),I5&amp;" С"&amp;J5&amp;"А"&amp;IF(K5="да"," 30мА",""),"")</f>
      </c>
      <c r="V5" s="133">
        <f>IF(U5="","",B5&amp;"|"&amp;U5)</f>
      </c>
      <c r="W5" s="133">
        <f>IF(AND(U5&lt;&gt;"",OR($S$4="(все)",B5=$S$4),IF($S$4="(все)",COUNTIF($U$4:U5,U5),COUNTIFS($U$4:U5,U5,$B$4:B5,B5))=1),MAX($W$3:W4)+1,"")</f>
      </c>
      <c r="X5" s="133">
        <f>IFERROR(INDEX($U$4:$U$500,MATCH(ROW()-3,$W$4:$W$500,0)),"")</f>
      </c>
      <c r="Y5" s="133">
        <f>IF(AND(A5="Аппарат",C5&lt;&gt;"",OR($S$5="(все)",B5=$S$5)),MAX($Y$3:Y4)+1,"")</f>
      </c>
      <c r="Z5" s="133">
        <f>IFERROR(INDEX($C$4:$C$500,MATCH(ROW()-3,$Y$4:$Y$500,0)),"")</f>
      </c>
      <c r="AA5" s="133">
        <f>IF(AND(A5="Модуль",C5&lt;&gt;"",OR($S$6="(все)",B5=$S$6)),MAX($AA$3:AA4)+1,"")</f>
      </c>
      <c r="AB5" s="133">
        <f>IFERROR(INDEX($C$4:$C$500,MATCH(ROW()-3,$AA$4:$AA$500,0)),"")</f>
      </c>
      <c r="AC5" s="133">
        <f>IF(OR(B5="",COUNTIF($B$4:B5,B5)&gt;1),"",MAX($AC$3:AC4)+1)</f>
      </c>
      <c r="AD5" s="133">
        <f>IFERROR(INDEX($B$4:$B$500,MATCH(ROW()-3,$AC$4:$AC$500,0)),"")</f>
      </c>
      <c r="AE5" s="133">
        <f>IF(AND(A5&lt;&gt;"",N(P5)&gt;0),IFERROR(MATCH(A5,$R$12:$R$25,0),99)*1000+ROW(),"")</f>
      </c>
      <c r="AF5" s="133">
        <f>IF(AE5="","",COUNTIF($AE$4:$AE$500,"&lt;="&amp;AE5))</f>
      </c>
      <c r="AG5" s="133">
        <f>IF(Спецификация_авто!$L$5="","",IF(IF($S$4="(все)",COUNTIF($U$4:$U$500,Спецификация_авто!$L$5),COUNTIF($V$4:$V$500,$S$4&amp;"|"&amp;Спецификация_авто!$L$5))=0,Спецификация_авто!$L$5,""))</f>
      </c>
      <c r="AH5" s="133">
        <f>IF(AG5="","",COUNTIF($AG$4:AG5,"?*"))</f>
      </c>
    </row>
    <row r="6">
      <c r="A6" s="265" t="inlineStr">
        <is>
          <t xml:space="preserve">Автомат</t>
        </is>
      </c>
      <c r="B6" s="265" t="inlineStr">
        <is>
          <t xml:space="preserve">Chint</t>
        </is>
      </c>
      <c r="C6" s="265" t="inlineStr">
        <is>
          <t xml:space="preserve">NB1-63 3P C20</t>
        </is>
      </c>
      <c r="D6" s="265"/>
      <c r="E6" s="265"/>
      <c r="F6" s="265"/>
      <c r="G6" s="265" t="inlineStr">
        <is>
          <t xml:space="preserve">Автоматический выключатель NB1-63 3P 20А 6кА х-ка C (DB)</t>
        </is>
      </c>
      <c r="H6" s="265" t="inlineStr">
        <is>
          <t xml:space="preserve">179702</t>
        </is>
      </c>
      <c r="I6" s="265" t="inlineStr">
        <is>
          <t xml:space="preserve">3P</t>
        </is>
      </c>
      <c r="J6" s="265">
        <v>20</v>
      </c>
      <c r="K6" s="265" t="inlineStr">
        <is>
          <t xml:space="preserve">нет</t>
        </is>
      </c>
      <c r="L6" s="265">
        <v>3</v>
      </c>
      <c r="M6" s="265" t="inlineStr">
        <is>
          <t xml:space="preserve">шт.</t>
        </is>
      </c>
      <c r="N6" s="133">
        <f>IF(OR(A6="Автомат",A6="Дифавтомат"),IF(W6="","",COUNTIF(Однолинейка!$H$3:$H$1000,U6)),IF(A6="Аппарат",IF(C6="","",COUNTIF(Однолинейка!$I$3:$I$1000,C6)+COUNTIF(Однолинейка!$J$3:$J$1000,C6)+COUNTIF(Однолинейка!$K$3:$K$1000,C6)),IF(A6="Модуль",IF(C6="","",COUNTIFS(Однолинейка!$AW$3:$AW$1000,"?*",Однолинейка!$AI$3:$AI$1000,C6)),IF(A6="Клемма",IF(C6="","",IF(C6=$S$7,SUM(Однолинейка!$BW$3:$BW$1000),IF(C6=$S$8,SUM(Однолинейка!$BX$3:$BX$1000),""))),""))))</f>
      </c>
      <c r="O6" s="265"/>
      <c r="P6" s="133">
        <f>IF(COUNT(N6,O6)=0,"",SUM(N6,O6))</f>
      </c>
      <c r="R6" s="133" t="inlineStr">
        <is>
          <t xml:space="preserve">Производитель модулей</t>
        </is>
      </c>
      <c r="S6" s="265" t="inlineStr">
        <is>
          <t xml:space="preserve">(все)</t>
        </is>
      </c>
      <c r="U6" s="133">
        <f>IF(OR(A6="Автомат",A6="Дифавтомат"),I6&amp;" С"&amp;J6&amp;"А"&amp;IF(K6="да"," 30мА",""),"")</f>
      </c>
      <c r="V6" s="133">
        <f>IF(U6="","",B6&amp;"|"&amp;U6)</f>
      </c>
      <c r="W6" s="133">
        <f>IF(AND(U6&lt;&gt;"",OR($S$4="(все)",B6=$S$4),IF($S$4="(все)",COUNTIF($U$4:U6,U6),COUNTIFS($U$4:U6,U6,$B$4:B6,B6))=1),MAX($W$3:W5)+1,"")</f>
      </c>
      <c r="X6" s="133">
        <f>IFERROR(INDEX($U$4:$U$500,MATCH(ROW()-3,$W$4:$W$500,0)),"")</f>
      </c>
      <c r="Y6" s="133">
        <f>IF(AND(A6="Аппарат",C6&lt;&gt;"",OR($S$5="(все)",B6=$S$5)),MAX($Y$3:Y5)+1,"")</f>
      </c>
      <c r="Z6" s="133">
        <f>IFERROR(INDEX($C$4:$C$500,MATCH(ROW()-3,$Y$4:$Y$500,0)),"")</f>
      </c>
      <c r="AA6" s="133">
        <f>IF(AND(A6="Модуль",C6&lt;&gt;"",OR($S$6="(все)",B6=$S$6)),MAX($AA$3:AA5)+1,"")</f>
      </c>
      <c r="AB6" s="133">
        <f>IFERROR(INDEX($C$4:$C$500,MATCH(ROW()-3,$AA$4:$AA$500,0)),"")</f>
      </c>
      <c r="AC6" s="133">
        <f>IF(OR(B6="",COUNTIF($B$4:B6,B6)&gt;1),"",MAX($AC$3:AC5)+1)</f>
      </c>
      <c r="AD6" s="133">
        <f>IFERROR(INDEX($B$4:$B$500,MATCH(ROW()-3,$AC$4:$AC$500,0)),"")</f>
      </c>
      <c r="AE6" s="133">
        <f>IF(AND(A6&lt;&gt;"",N(P6)&gt;0),IFERROR(MATCH(A6,$R$12:$R$25,0),99)*1000+ROW(),"")</f>
      </c>
      <c r="AF6" s="133">
        <f>IF(AE6="","",COUNTIF($AE$4:$AE$500,"&lt;="&amp;AE6))</f>
      </c>
      <c r="AG6" s="133">
        <f>IF(Спецификация_авто!$L$6="","",IF(IF($S$4="(все)",COUNTIF($U$4:$U$500,Спецификация_авто!$L$6),COUNTIF($V$4:$V$500,$S$4&amp;"|"&amp;Спецификация_авто!$L$6))=0,Спецификация_авто!$L$6,""))</f>
      </c>
      <c r="AH6" s="133">
        <f>IF(AG6="","",COUNTIF($AG$4:AG6,"?*"))</f>
      </c>
    </row>
    <row r="7">
      <c r="A7" s="265" t="inlineStr">
        <is>
          <t xml:space="preserve">Автомат</t>
        </is>
      </c>
      <c r="B7" s="265" t="inlineStr">
        <is>
          <t xml:space="preserve">Chint</t>
        </is>
      </c>
      <c r="C7" s="265" t="inlineStr">
        <is>
          <t xml:space="preserve">NB1-63 4P C50</t>
        </is>
      </c>
      <c r="D7" s="265"/>
      <c r="E7" s="265"/>
      <c r="F7" s="265"/>
      <c r="G7" s="265" t="inlineStr">
        <is>
          <t xml:space="preserve">Автоматический выключатель NB1-63 4P 50А 6кА х-ка C (DB)</t>
        </is>
      </c>
      <c r="H7" s="265" t="inlineStr">
        <is>
          <t xml:space="preserve">179750</t>
        </is>
      </c>
      <c r="I7" s="265" t="inlineStr">
        <is>
          <t xml:space="preserve">4P</t>
        </is>
      </c>
      <c r="J7" s="265">
        <v>50</v>
      </c>
      <c r="K7" s="265" t="inlineStr">
        <is>
          <t xml:space="preserve">нет</t>
        </is>
      </c>
      <c r="L7" s="265">
        <v>4</v>
      </c>
      <c r="M7" s="265" t="inlineStr">
        <is>
          <t xml:space="preserve">шт.</t>
        </is>
      </c>
      <c r="N7" s="133">
        <f>IF(OR(A7="Автомат",A7="Дифавтомат"),IF(W7="","",COUNTIF(Однолинейка!$H$3:$H$1000,U7)),IF(A7="Аппарат",IF(C7="","",COUNTIF(Однолинейка!$I$3:$I$1000,C7)+COUNTIF(Однолинейка!$J$3:$J$1000,C7)+COUNTIF(Однолинейка!$K$3:$K$1000,C7)),IF(A7="Модуль",IF(C7="","",COUNTIFS(Однолинейка!$AW$3:$AW$1000,"?*",Однолинейка!$AI$3:$AI$1000,C7)),IF(A7="Клемма",IF(C7="","",IF(C7=$S$7,SUM(Однолинейка!$BW$3:$BW$1000),IF(C7=$S$8,SUM(Однолинейка!$BX$3:$BX$1000),""))),""))))</f>
      </c>
      <c r="O7" s="265"/>
      <c r="P7" s="133">
        <f>IF(COUNT(N7,O7)=0,"",SUM(N7,O7))</f>
      </c>
      <c r="R7" s="133" t="inlineStr">
        <is>
          <t xml:space="preserve">Клемма трёхуровневая (модель)</t>
        </is>
      </c>
      <c r="S7" s="265" t="inlineStr">
        <is>
          <t xml:space="preserve">VPR-2.5-3L-GY</t>
        </is>
      </c>
      <c r="U7" s="133">
        <f>IF(OR(A7="Автомат",A7="Дифавтомат"),I7&amp;" С"&amp;J7&amp;"А"&amp;IF(K7="да"," 30мА",""),"")</f>
      </c>
      <c r="V7" s="133">
        <f>IF(U7="","",B7&amp;"|"&amp;U7)</f>
      </c>
      <c r="W7" s="133">
        <f>IF(AND(U7&lt;&gt;"",OR($S$4="(все)",B7=$S$4),IF($S$4="(все)",COUNTIF($U$4:U7,U7),COUNTIFS($U$4:U7,U7,$B$4:B7,B7))=1),MAX($W$3:W6)+1,"")</f>
      </c>
      <c r="X7" s="133">
        <f>IFERROR(INDEX($U$4:$U$500,MATCH(ROW()-3,$W$4:$W$500,0)),"")</f>
      </c>
      <c r="Y7" s="133">
        <f>IF(AND(A7="Аппарат",C7&lt;&gt;"",OR($S$5="(все)",B7=$S$5)),MAX($Y$3:Y6)+1,"")</f>
      </c>
      <c r="Z7" s="133">
        <f>IFERROR(INDEX($C$4:$C$500,MATCH(ROW()-3,$Y$4:$Y$500,0)),"")</f>
      </c>
      <c r="AA7" s="133">
        <f>IF(AND(A7="Модуль",C7&lt;&gt;"",OR($S$6="(все)",B7=$S$6)),MAX($AA$3:AA6)+1,"")</f>
      </c>
      <c r="AB7" s="133">
        <f>IFERROR(INDEX($C$4:$C$500,MATCH(ROW()-3,$AA$4:$AA$500,0)),"")</f>
      </c>
      <c r="AC7" s="133">
        <f>IF(OR(B7="",COUNTIF($B$4:B7,B7)&gt;1),"",MAX($AC$3:AC6)+1)</f>
      </c>
      <c r="AD7" s="133">
        <f>IFERROR(INDEX($B$4:$B$500,MATCH(ROW()-3,$AC$4:$AC$500,0)),"")</f>
      </c>
      <c r="AE7" s="133">
        <f>IF(AND(A7&lt;&gt;"",N(P7)&gt;0),IFERROR(MATCH(A7,$R$12:$R$25,0),99)*1000+ROW(),"")</f>
      </c>
      <c r="AF7" s="133">
        <f>IF(AE7="","",COUNTIF($AE$4:$AE$500,"&lt;="&amp;AE7))</f>
      </c>
      <c r="AG7" s="133">
        <f>IF(Спецификация_авто!$L$7="","",IF(IF($S$4="(все)",COUNTIF($U$4:$U$500,Спецификация_авто!$L$7),COUNTIF($V$4:$V$500,$S$4&amp;"|"&amp;Спецификация_авто!$L$7))=0,Спецификация_авто!$L$7,""))</f>
      </c>
      <c r="AH7" s="133">
        <f>IF(AG7="","",COUNTIF($AG$4:AG7,"?*"))</f>
      </c>
    </row>
    <row r="8">
      <c r="A8" s="265" t="inlineStr">
        <is>
          <t xml:space="preserve">Автомат</t>
        </is>
      </c>
      <c r="B8" s="265" t="inlineStr">
        <is>
          <t xml:space="preserve">Chint</t>
        </is>
      </c>
      <c r="C8" s="265" t="inlineStr">
        <is>
          <t xml:space="preserve">NXB-125 3P C80</t>
        </is>
      </c>
      <c r="D8" s="265"/>
      <c r="E8" s="265"/>
      <c r="F8" s="265"/>
      <c r="G8" s="265" t="inlineStr">
        <is>
          <t xml:space="preserve">Автоматический выключатель NXB-125 3P C80 10кА х-ка C</t>
        </is>
      </c>
      <c r="H8" s="265" t="inlineStr">
        <is>
          <t xml:space="preserve">816139</t>
        </is>
      </c>
      <c r="I8" s="265" t="inlineStr">
        <is>
          <t xml:space="preserve">3P</t>
        </is>
      </c>
      <c r="J8" s="265">
        <v>80</v>
      </c>
      <c r="K8" s="265" t="inlineStr">
        <is>
          <t xml:space="preserve">нет</t>
        </is>
      </c>
      <c r="L8" s="265">
        <v>4.5</v>
      </c>
      <c r="M8" s="265" t="inlineStr">
        <is>
          <t xml:space="preserve">шт.</t>
        </is>
      </c>
      <c r="N8" s="133">
        <f>IF(OR(A8="Автомат",A8="Дифавтомат"),IF(W8="","",COUNTIF(Однолинейка!$H$3:$H$1000,U8)),IF(A8="Аппарат",IF(C8="","",COUNTIF(Однолинейка!$I$3:$I$1000,C8)+COUNTIF(Однолинейка!$J$3:$J$1000,C8)+COUNTIF(Однолинейка!$K$3:$K$1000,C8)),IF(A8="Модуль",IF(C8="","",COUNTIFS(Однолинейка!$AW$3:$AW$1000,"?*",Однолинейка!$AI$3:$AI$1000,C8)),IF(A8="Клемма",IF(C8="","",IF(C8=$S$7,SUM(Однолинейка!$BW$3:$BW$1000),IF(C8=$S$8,SUM(Однолинейка!$BX$3:$BX$1000),""))),""))))</f>
      </c>
      <c r="O8" s="265"/>
      <c r="P8" s="133">
        <f>IF(COUNT(N8,O8)=0,"",SUM(N8,O8))</f>
      </c>
      <c r="R8" s="133" t="inlineStr">
        <is>
          <t xml:space="preserve">Клемма проходная доп. (модель)</t>
        </is>
      </c>
      <c r="S8" s="265" t="inlineStr">
        <is>
          <t xml:space="preserve">VPR-2.5-QUATTRO-GY</t>
        </is>
      </c>
      <c r="U8" s="133">
        <f>IF(OR(A8="Автомат",A8="Дифавтомат"),I8&amp;" С"&amp;J8&amp;"А"&amp;IF(K8="да"," 30мА",""),"")</f>
      </c>
      <c r="V8" s="133">
        <f>IF(U8="","",B8&amp;"|"&amp;U8)</f>
      </c>
      <c r="W8" s="133">
        <f>IF(AND(U8&lt;&gt;"",OR($S$4="(все)",B8=$S$4),IF($S$4="(все)",COUNTIF($U$4:U8,U8),COUNTIFS($U$4:U8,U8,$B$4:B8,B8))=1),MAX($W$3:W7)+1,"")</f>
      </c>
      <c r="X8" s="133">
        <f>IFERROR(INDEX($U$4:$U$500,MATCH(ROW()-3,$W$4:$W$500,0)),"")</f>
      </c>
      <c r="Y8" s="133">
        <f>IF(AND(A8="Аппарат",C8&lt;&gt;"",OR($S$5="(все)",B8=$S$5)),MAX($Y$3:Y7)+1,"")</f>
      </c>
      <c r="Z8" s="133">
        <f>IFERROR(INDEX($C$4:$C$500,MATCH(ROW()-3,$Y$4:$Y$500,0)),"")</f>
      </c>
      <c r="AA8" s="133">
        <f>IF(AND(A8="Модуль",C8&lt;&gt;"",OR($S$6="(все)",B8=$S$6)),MAX($AA$3:AA7)+1,"")</f>
      </c>
      <c r="AB8" s="133">
        <f>IFERROR(INDEX($C$4:$C$500,MATCH(ROW()-3,$AA$4:$AA$500,0)),"")</f>
      </c>
      <c r="AC8" s="133">
        <f>IF(OR(B8="",COUNTIF($B$4:B8,B8)&gt;1),"",MAX($AC$3:AC7)+1)</f>
      </c>
      <c r="AD8" s="133">
        <f>IFERROR(INDEX($B$4:$B$500,MATCH(ROW()-3,$AC$4:$AC$500,0)),"")</f>
      </c>
      <c r="AE8" s="133">
        <f>IF(AND(A8&lt;&gt;"",N(P8)&gt;0),IFERROR(MATCH(A8,$R$12:$R$25,0),99)*1000+ROW(),"")</f>
      </c>
      <c r="AF8" s="133">
        <f>IF(AE8="","",COUNTIF($AE$4:$AE$500,"&lt;="&amp;AE8))</f>
      </c>
      <c r="AG8" s="133">
        <f>IF(Спецификация_авто!$L$8="","",IF(IF($S$4="(все)",COUNTIF($U$4:$U$500,Спецификация_авто!$L$8),COUNTIF($V$4:$V$500,$S$4&amp;"|"&amp;Спецификация_авто!$L$8))=0,Спецификация_авто!$L$8,""))</f>
      </c>
      <c r="AH8" s="133">
        <f>IF(AG8="","",COUNTIF($AG$4:AG8,"?*"))</f>
      </c>
    </row>
    <row r="9">
      <c r="A9" s="265" t="inlineStr">
        <is>
          <t xml:space="preserve">Дифавтомат</t>
        </is>
      </c>
      <c r="B9" s="265" t="inlineStr">
        <is>
          <t xml:space="preserve">Chint</t>
        </is>
      </c>
      <c r="C9" s="265" t="inlineStr">
        <is>
          <t xml:space="preserve">NB1L 1P+N C16 30мА</t>
        </is>
      </c>
      <c r="D9" s="265"/>
      <c r="E9" s="265"/>
      <c r="F9" s="265"/>
      <c r="G9" s="265" t="inlineStr">
        <is>
          <t xml:space="preserve">Дифавтомат (АВДТ) NB1L 1P+N C16 30мА тип A 6кА</t>
        </is>
      </c>
      <c r="H9" s="265" t="inlineStr">
        <is>
          <t xml:space="preserve">203019</t>
        </is>
      </c>
      <c r="I9" s="265" t="inlineStr">
        <is>
          <t xml:space="preserve">2P</t>
        </is>
      </c>
      <c r="J9" s="265">
        <v>16</v>
      </c>
      <c r="K9" s="265" t="inlineStr">
        <is>
          <t xml:space="preserve">да</t>
        </is>
      </c>
      <c r="L9" s="265">
        <v>2</v>
      </c>
      <c r="M9" s="265" t="inlineStr">
        <is>
          <t xml:space="preserve">шт.</t>
        </is>
      </c>
      <c r="N9" s="133">
        <f>IF(OR(A9="Автомат",A9="Дифавтомат"),IF(W9="","",COUNTIF(Однолинейка!$H$3:$H$1000,U9)),IF(A9="Аппарат",IF(C9="","",COUNTIF(Однолинейка!$I$3:$I$1000,C9)+COUNTIF(Однолинейка!$J$3:$J$1000,C9)+COUNTIF(Однолинейка!$K$3:$K$1000,C9)),IF(A9="Модуль",IF(C9="","",COUNTIFS(Однолинейка!$AW$3:$AW$1000,"?*",Однолинейка!$AI$3:$AI$1000,C9)),IF(A9="Клемма",IF(C9="","",IF(C9=$S$7,SUM(Однолинейка!$BW$3:$BW$1000),IF(C9=$S$8,SUM(Однолинейка!$BX$3:$BX$1000),""))),""))))</f>
      </c>
      <c r="O9" s="265"/>
      <c r="P9" s="133">
        <f>IF(COUNT(N9,O9)=0,"",SUM(N9,O9))</f>
      </c>
      <c r="R9" s="133" t="inlineStr">
        <is>
          <t xml:space="preserve">Трёхуровневых на 4–5-жильную линию, если по коду не задано</t>
        </is>
      </c>
      <c r="S9" s="265">
        <v>1</v>
      </c>
      <c r="U9" s="133">
        <f>IF(OR(A9="Автомат",A9="Дифавтомат"),I9&amp;" С"&amp;J9&amp;"А"&amp;IF(K9="да"," 30мА",""),"")</f>
      </c>
      <c r="V9" s="133">
        <f>IF(U9="","",B9&amp;"|"&amp;U9)</f>
      </c>
      <c r="W9" s="133">
        <f>IF(AND(U9&lt;&gt;"",OR($S$4="(все)",B9=$S$4),IF($S$4="(все)",COUNTIF($U$4:U9,U9),COUNTIFS($U$4:U9,U9,$B$4:B9,B9))=1),MAX($W$3:W8)+1,"")</f>
      </c>
      <c r="X9" s="133">
        <f>IFERROR(INDEX($U$4:$U$500,MATCH(ROW()-3,$W$4:$W$500,0)),"")</f>
      </c>
      <c r="Y9" s="133">
        <f>IF(AND(A9="Аппарат",C9&lt;&gt;"",OR($S$5="(все)",B9=$S$5)),MAX($Y$3:Y8)+1,"")</f>
      </c>
      <c r="Z9" s="133">
        <f>IFERROR(INDEX($C$4:$C$500,MATCH(ROW()-3,$Y$4:$Y$500,0)),"")</f>
      </c>
      <c r="AA9" s="133">
        <f>IF(AND(A9="Модуль",C9&lt;&gt;"",OR($S$6="(все)",B9=$S$6)),MAX($AA$3:AA8)+1,"")</f>
      </c>
      <c r="AB9" s="133">
        <f>IFERROR(INDEX($C$4:$C$500,MATCH(ROW()-3,$AA$4:$AA$500,0)),"")</f>
      </c>
      <c r="AC9" s="133">
        <f>IF(OR(B9="",COUNTIF($B$4:B9,B9)&gt;1),"",MAX($AC$3:AC8)+1)</f>
      </c>
      <c r="AD9" s="133">
        <f>IFERROR(INDEX($B$4:$B$500,MATCH(ROW()-3,$AC$4:$AC$500,0)),"")</f>
      </c>
      <c r="AE9" s="133">
        <f>IF(AND(A9&lt;&gt;"",N(P9)&gt;0),IFERROR(MATCH(A9,$R$12:$R$25,0),99)*1000+ROW(),"")</f>
      </c>
      <c r="AF9" s="133">
        <f>IF(AE9="","",COUNTIF($AE$4:$AE$500,"&lt;="&amp;AE9))</f>
      </c>
      <c r="AG9" s="133">
        <f>IF(Спецификация_авто!$L$9="","",IF(IF($S$4="(все)",COUNTIF($U$4:$U$500,Спецификация_авто!$L$9),COUNTIF($V$4:$V$500,$S$4&amp;"|"&amp;Спецификация_авто!$L$9))=0,Спецификация_авто!$L$9,""))</f>
      </c>
      <c r="AH9" s="133">
        <f>IF(AG9="","",COUNTIF($AG$4:AG9,"?*"))</f>
      </c>
    </row>
    <row r="10">
      <c r="A10" s="265" t="inlineStr">
        <is>
          <t xml:space="preserve">Дифавтомат</t>
        </is>
      </c>
      <c r="B10" s="265" t="inlineStr">
        <is>
          <t xml:space="preserve">Chint</t>
        </is>
      </c>
      <c r="C10" s="265" t="inlineStr">
        <is>
          <t xml:space="preserve">NB1L 1P+N C20 30мА</t>
        </is>
      </c>
      <c r="D10" s="265"/>
      <c r="E10" s="265"/>
      <c r="F10" s="265"/>
      <c r="G10" s="265" t="inlineStr">
        <is>
          <t xml:space="preserve">Дифавтомат (АВДТ) NB1L 1P+N C20 30мА тип A 6кА</t>
        </is>
      </c>
      <c r="H10" s="265" t="inlineStr">
        <is>
          <t xml:space="preserve">203296</t>
        </is>
      </c>
      <c r="I10" s="265" t="inlineStr">
        <is>
          <t xml:space="preserve">2P</t>
        </is>
      </c>
      <c r="J10" s="265">
        <v>20</v>
      </c>
      <c r="K10" s="265" t="inlineStr">
        <is>
          <t xml:space="preserve">да</t>
        </is>
      </c>
      <c r="L10" s="265">
        <v>2</v>
      </c>
      <c r="M10" s="265" t="inlineStr">
        <is>
          <t xml:space="preserve">шт.</t>
        </is>
      </c>
      <c r="N10" s="133">
        <f>IF(OR(A10="Автомат",A10="Дифавтомат"),IF(W10="","",COUNTIF(Однолинейка!$H$3:$H$1000,U10)),IF(A10="Аппарат",IF(C10="","",COUNTIF(Однолинейка!$I$3:$I$1000,C10)+COUNTIF(Однолинейка!$J$3:$J$1000,C10)+COUNTIF(Однолинейка!$K$3:$K$1000,C10)),IF(A10="Модуль",IF(C10="","",COUNTIFS(Однолинейка!$AW$3:$AW$1000,"?*",Однолинейка!$AI$3:$AI$1000,C10)),IF(A10="Клемма",IF(C10="","",IF(C10=$S$7,SUM(Однолинейка!$BW$3:$BW$1000),IF(C10=$S$8,SUM(Однолинейка!$BX$3:$BX$1000),""))),""))))</f>
      </c>
      <c r="O10" s="265"/>
      <c r="P10" s="133">
        <f>IF(COUNT(N10,O10)=0,"",SUM(N10,O10))</f>
      </c>
      <c r="U10" s="133">
        <f>IF(OR(A10="Автомат",A10="Дифавтомат"),I10&amp;" С"&amp;J10&amp;"А"&amp;IF(K10="да"," 30мА",""),"")</f>
      </c>
      <c r="V10" s="133">
        <f>IF(U10="","",B10&amp;"|"&amp;U10)</f>
      </c>
      <c r="W10" s="133">
        <f>IF(AND(U10&lt;&gt;"",OR($S$4="(все)",B10=$S$4),IF($S$4="(все)",COUNTIF($U$4:U10,U10),COUNTIFS($U$4:U10,U10,$B$4:B10,B10))=1),MAX($W$3:W9)+1,"")</f>
      </c>
      <c r="X10" s="133">
        <f>IFERROR(INDEX($U$4:$U$500,MATCH(ROW()-3,$W$4:$W$500,0)),"")</f>
      </c>
      <c r="Y10" s="133">
        <f>IF(AND(A10="Аппарат",C10&lt;&gt;"",OR($S$5="(все)",B10=$S$5)),MAX($Y$3:Y9)+1,"")</f>
      </c>
      <c r="Z10" s="133">
        <f>IFERROR(INDEX($C$4:$C$500,MATCH(ROW()-3,$Y$4:$Y$500,0)),"")</f>
      </c>
      <c r="AA10" s="133">
        <f>IF(AND(A10="Модуль",C10&lt;&gt;"",OR($S$6="(все)",B10=$S$6)),MAX($AA$3:AA9)+1,"")</f>
      </c>
      <c r="AB10" s="133">
        <f>IFERROR(INDEX($C$4:$C$500,MATCH(ROW()-3,$AA$4:$AA$500,0)),"")</f>
      </c>
      <c r="AC10" s="133">
        <f>IF(OR(B10="",COUNTIF($B$4:B10,B10)&gt;1),"",MAX($AC$3:AC9)+1)</f>
      </c>
      <c r="AD10" s="133">
        <f>IFERROR(INDEX($B$4:$B$500,MATCH(ROW()-3,$AC$4:$AC$500,0)),"")</f>
      </c>
      <c r="AE10" s="133">
        <f>IF(AND(A10&lt;&gt;"",N(P10)&gt;0),IFERROR(MATCH(A10,$R$12:$R$25,0),99)*1000+ROW(),"")</f>
      </c>
      <c r="AF10" s="133">
        <f>IF(AE10="","",COUNTIF($AE$4:$AE$500,"&lt;="&amp;AE10))</f>
      </c>
      <c r="AG10" s="133">
        <f>IF(Спецификация_авто!$L$10="","",IF(IF($S$4="(все)",COUNTIF($U$4:$U$500,Спецификация_авто!$L$10),COUNTIF($V$4:$V$500,$S$4&amp;"|"&amp;Спецификация_авто!$L$10))=0,Спецификация_авто!$L$10,""))</f>
      </c>
      <c r="AH10" s="133">
        <f>IF(AG10="","",COUNTIF($AG$4:AG10,"?*"))</f>
      </c>
    </row>
    <row r="11">
      <c r="A11" s="265" t="inlineStr">
        <is>
          <t xml:space="preserve">Дифавтомат</t>
        </is>
      </c>
      <c r="B11" s="265" t="inlineStr">
        <is>
          <t xml:space="preserve">Chint</t>
        </is>
      </c>
      <c r="C11" s="265" t="inlineStr">
        <is>
          <t xml:space="preserve">NB1L 1P+N C32 30мА</t>
        </is>
      </c>
      <c r="D11" s="265"/>
      <c r="E11" s="265"/>
      <c r="F11" s="265"/>
      <c r="G11" s="265" t="inlineStr">
        <is>
          <t xml:space="preserve">Дифавтомат (АВДТ) NB1L 1P+N C32 30мА тип A 6кА</t>
        </is>
      </c>
      <c r="H11" s="265" t="inlineStr">
        <is>
          <t xml:space="preserve">982114</t>
        </is>
      </c>
      <c r="I11" s="265" t="inlineStr">
        <is>
          <t xml:space="preserve">2P</t>
        </is>
      </c>
      <c r="J11" s="265">
        <v>32</v>
      </c>
      <c r="K11" s="265" t="inlineStr">
        <is>
          <t xml:space="preserve">да</t>
        </is>
      </c>
      <c r="L11" s="265">
        <v>2</v>
      </c>
      <c r="M11" s="265" t="inlineStr">
        <is>
          <t xml:space="preserve">шт.</t>
        </is>
      </c>
      <c r="N11" s="133">
        <f>IF(OR(A11="Автомат",A11="Дифавтомат"),IF(W11="","",COUNTIF(Однолинейка!$H$3:$H$1000,U11)),IF(A11="Аппарат",IF(C11="","",COUNTIF(Однолинейка!$I$3:$I$1000,C11)+COUNTIF(Однолинейка!$J$3:$J$1000,C11)+COUNTIF(Однолинейка!$K$3:$K$1000,C11)),IF(A11="Модуль",IF(C11="","",COUNTIFS(Однолинейка!$AW$3:$AW$1000,"?*",Однолинейка!$AI$3:$AI$1000,C11)),IF(A11="Клемма",IF(C11="","",IF(C11=$S$7,SUM(Однолинейка!$BW$3:$BW$1000),IF(C11=$S$8,SUM(Однолинейка!$BX$3:$BX$1000),""))),""))))</f>
      </c>
      <c r="O11" s="265"/>
      <c r="P11" s="133">
        <f>IF(COUNT(N11,O11)=0,"",SUM(N11,O11))</f>
      </c>
      <c r="R11" s="130" t="inlineStr">
        <is>
          <t xml:space="preserve">ПОРЯДОК РАЗДЕЛОВ СПЕЦИФИКАЦИИ (можно менять и дописывать)</t>
        </is>
      </c>
      <c r="S11" s="130"/>
      <c r="U11" s="133">
        <f>IF(OR(A11="Автомат",A11="Дифавтомат"),I11&amp;" С"&amp;J11&amp;"А"&amp;IF(K11="да"," 30мА",""),"")</f>
      </c>
      <c r="V11" s="133">
        <f>IF(U11="","",B11&amp;"|"&amp;U11)</f>
      </c>
      <c r="W11" s="133">
        <f>IF(AND(U11&lt;&gt;"",OR($S$4="(все)",B11=$S$4),IF($S$4="(все)",COUNTIF($U$4:U11,U11),COUNTIFS($U$4:U11,U11,$B$4:B11,B11))=1),MAX($W$3:W10)+1,"")</f>
      </c>
      <c r="X11" s="133">
        <f>IFERROR(INDEX($U$4:$U$500,MATCH(ROW()-3,$W$4:$W$500,0)),"")</f>
      </c>
      <c r="Y11" s="133">
        <f>IF(AND(A11="Аппарат",C11&lt;&gt;"",OR($S$5="(все)",B11=$S$5)),MAX($Y$3:Y10)+1,"")</f>
      </c>
      <c r="Z11" s="133">
        <f>IFERROR(INDEX($C$4:$C$500,MATCH(ROW()-3,$Y$4:$Y$500,0)),"")</f>
      </c>
      <c r="AA11" s="133">
        <f>IF(AND(A11="Модуль",C11&lt;&gt;"",OR($S$6="(все)",B11=$S$6)),MAX($AA$3:AA10)+1,"")</f>
      </c>
      <c r="AB11" s="133">
        <f>IFERROR(INDEX($C$4:$C$500,MATCH(ROW()-3,$AA$4:$AA$500,0)),"")</f>
      </c>
      <c r="AC11" s="133">
        <f>IF(OR(B11="",COUNTIF($B$4:B11,B11)&gt;1),"",MAX($AC$3:AC10)+1)</f>
      </c>
      <c r="AD11" s="133">
        <f>IFERROR(INDEX($B$4:$B$500,MATCH(ROW()-3,$AC$4:$AC$500,0)),"")</f>
      </c>
      <c r="AE11" s="133">
        <f>IF(AND(A11&lt;&gt;"",N(P11)&gt;0),IFERROR(MATCH(A11,$R$12:$R$25,0),99)*1000+ROW(),"")</f>
      </c>
      <c r="AF11" s="133">
        <f>IF(AE11="","",COUNTIF($AE$4:$AE$500,"&lt;="&amp;AE11))</f>
      </c>
      <c r="AG11" s="133">
        <f>IF(Спецификация_авто!$L$11="","",IF(IF($S$4="(все)",COUNTIF($U$4:$U$500,Спецификация_авто!$L$11),COUNTIF($V$4:$V$500,$S$4&amp;"|"&amp;Спецификация_авто!$L$11))=0,Спецификация_авто!$L$11,""))</f>
      </c>
      <c r="AH11" s="133">
        <f>IF(AG11="","",COUNTIF($AG$4:AG11,"?*"))</f>
      </c>
    </row>
    <row r="12">
      <c r="A12" s="265" t="inlineStr">
        <is>
          <t xml:space="preserve">Аппарат</t>
        </is>
      </c>
      <c r="B12" s="265" t="inlineStr">
        <is>
          <t xml:space="preserve">Россия</t>
        </is>
      </c>
      <c r="C12" s="265" t="inlineStr">
        <is>
          <t xml:space="preserve">МК-5-1</t>
        </is>
      </c>
      <c r="D12" s="265"/>
      <c r="E12" s="265"/>
      <c r="F12" s="265"/>
      <c r="G12" s="265" t="inlineStr">
        <is>
          <t xml:space="preserve">Модуль защиты контактов MK-5-1</t>
        </is>
      </c>
      <c r="H12" s="265" t="inlineStr">
        <is>
          <t xml:space="preserve">EA06.002.001</t>
        </is>
      </c>
      <c r="I12" s="265"/>
      <c r="J12" s="265"/>
      <c r="K12" s="265"/>
      <c r="L12" s="265">
        <v>1</v>
      </c>
      <c r="M12" s="265" t="inlineStr">
        <is>
          <t xml:space="preserve">шт.</t>
        </is>
      </c>
      <c r="N12" s="133">
        <f>IF(OR(A12="Автомат",A12="Дифавтомат"),IF(W12="","",COUNTIF(Однолинейка!$H$3:$H$1000,U12)),IF(A12="Аппарат",IF(C12="","",COUNTIF(Однолинейка!$I$3:$I$1000,C12)+COUNTIF(Однолинейка!$J$3:$J$1000,C12)+COUNTIF(Однолинейка!$K$3:$K$1000,C12)),IF(A12="Модуль",IF(C12="","",COUNTIFS(Однолинейка!$AW$3:$AW$1000,"?*",Однолинейка!$AI$3:$AI$1000,C12)),IF(A12="Клемма",IF(C12="","",IF(C12=$S$7,SUM(Однолинейка!$BW$3:$BW$1000),IF(C12=$S$8,SUM(Однолинейка!$BX$3:$BX$1000),""))),""))))</f>
      </c>
      <c r="O12" s="265"/>
      <c r="P12" s="133">
        <f>IF(COUNT(N12,O12)=0,"",SUM(N12,O12))</f>
      </c>
      <c r="R12" s="265" t="inlineStr">
        <is>
          <t xml:space="preserve">Корпус</t>
        </is>
      </c>
      <c r="U12" s="133">
        <f>IF(OR(A12="Автомат",A12="Дифавтомат"),I12&amp;" С"&amp;J12&amp;"А"&amp;IF(K12="да"," 30мА",""),"")</f>
      </c>
      <c r="V12" s="133">
        <f>IF(U12="","",B12&amp;"|"&amp;U12)</f>
      </c>
      <c r="W12" s="133">
        <f>IF(AND(U12&lt;&gt;"",OR($S$4="(все)",B12=$S$4),IF($S$4="(все)",COUNTIF($U$4:U12,U12),COUNTIFS($U$4:U12,U12,$B$4:B12,B12))=1),MAX($W$3:W11)+1,"")</f>
      </c>
      <c r="X12" s="133">
        <f>IFERROR(INDEX($U$4:$U$500,MATCH(ROW()-3,$W$4:$W$500,0)),"")</f>
      </c>
      <c r="Y12" s="133">
        <f>IF(AND(A12="Аппарат",C12&lt;&gt;"",OR($S$5="(все)",B12=$S$5)),MAX($Y$3:Y11)+1,"")</f>
      </c>
      <c r="Z12" s="133">
        <f>IFERROR(INDEX($C$4:$C$500,MATCH(ROW()-3,$Y$4:$Y$500,0)),"")</f>
      </c>
      <c r="AA12" s="133">
        <f>IF(AND(A12="Модуль",C12&lt;&gt;"",OR($S$6="(все)",B12=$S$6)),MAX($AA$3:AA11)+1,"")</f>
      </c>
      <c r="AB12" s="133">
        <f>IFERROR(INDEX($C$4:$C$500,MATCH(ROW()-3,$AA$4:$AA$500,0)),"")</f>
      </c>
      <c r="AC12" s="133">
        <f>IF(OR(B12="",COUNTIF($B$4:B12,B12)&gt;1),"",MAX($AC$3:AC11)+1)</f>
      </c>
      <c r="AD12" s="133">
        <f>IFERROR(INDEX($B$4:$B$500,MATCH(ROW()-3,$AC$4:$AC$500,0)),"")</f>
      </c>
      <c r="AE12" s="133">
        <f>IF(AND(A12&lt;&gt;"",N(P12)&gt;0),IFERROR(MATCH(A12,$R$12:$R$25,0),99)*1000+ROW(),"")</f>
      </c>
      <c r="AF12" s="133">
        <f>IF(AE12="","",COUNTIF($AE$4:$AE$500,"&lt;="&amp;AE12))</f>
      </c>
      <c r="AG12" s="133">
        <f>IF(Спецификация_авто!$L$12="","",IF(IF($S$4="(все)",COUNTIF($U$4:$U$500,Спецификация_авто!$L$12),COUNTIF($V$4:$V$500,$S$4&amp;"|"&amp;Спецификация_авто!$L$12))=0,Спецификация_авто!$L$12,""))</f>
      </c>
      <c r="AH12" s="133">
        <f>IF(AG12="","",COUNTIF($AG$4:AG12,"?*"))</f>
      </c>
    </row>
    <row r="13">
      <c r="A13" s="265" t="inlineStr">
        <is>
          <t xml:space="preserve">Аппарат</t>
        </is>
      </c>
      <c r="B13" s="265" t="inlineStr">
        <is>
          <t xml:space="preserve">Chint</t>
        </is>
      </c>
      <c r="C13" s="265" t="inlineStr">
        <is>
          <t xml:space="preserve">КМ NCH8-63/40</t>
        </is>
      </c>
      <c r="D13" s="265"/>
      <c r="E13" s="265"/>
      <c r="F13" s="265"/>
      <c r="G13" s="265" t="inlineStr">
        <is>
          <t xml:space="preserve">Контактор модульный NCH8-63/40 63А 4НО AC220/230В</t>
        </is>
      </c>
      <c r="H13" s="265" t="inlineStr">
        <is>
          <t xml:space="preserve">256101</t>
        </is>
      </c>
      <c r="I13" s="265"/>
      <c r="J13" s="265"/>
      <c r="K13" s="265"/>
      <c r="L13" s="265">
        <v>3</v>
      </c>
      <c r="M13" s="265" t="inlineStr">
        <is>
          <t xml:space="preserve">шт.</t>
        </is>
      </c>
      <c r="N13" s="133">
        <f>IF(OR(A13="Автомат",A13="Дифавтомат"),IF(W13="","",COUNTIF(Однолинейка!$H$3:$H$1000,U13)),IF(A13="Аппарат",IF(C13="","",COUNTIF(Однолинейка!$I$3:$I$1000,C13)+COUNTIF(Однолинейка!$J$3:$J$1000,C13)+COUNTIF(Однолинейка!$K$3:$K$1000,C13)),IF(A13="Модуль",IF(C13="","",COUNTIFS(Однолинейка!$AW$3:$AW$1000,"?*",Однолинейка!$AI$3:$AI$1000,C13)),IF(A13="Клемма",IF(C13="","",IF(C13=$S$7,SUM(Однолинейка!$BW$3:$BW$1000),IF(C13=$S$8,SUM(Однолинейка!$BX$3:$BX$1000),""))),""))))</f>
      </c>
      <c r="O13" s="265"/>
      <c r="P13" s="133">
        <f>IF(COUNT(N13,O13)=0,"",SUM(N13,O13))</f>
      </c>
      <c r="R13" s="265" t="inlineStr">
        <is>
          <t xml:space="preserve">Автомат</t>
        </is>
      </c>
      <c r="U13" s="133">
        <f>IF(OR(A13="Автомат",A13="Дифавтомат"),I13&amp;" С"&amp;J13&amp;"А"&amp;IF(K13="да"," 30мА",""),"")</f>
      </c>
      <c r="V13" s="133">
        <f>IF(U13="","",B13&amp;"|"&amp;U13)</f>
      </c>
      <c r="W13" s="133">
        <f>IF(AND(U13&lt;&gt;"",OR($S$4="(все)",B13=$S$4),IF($S$4="(все)",COUNTIF($U$4:U13,U13),COUNTIFS($U$4:U13,U13,$B$4:B13,B13))=1),MAX($W$3:W12)+1,"")</f>
      </c>
      <c r="X13" s="133">
        <f>IFERROR(INDEX($U$4:$U$500,MATCH(ROW()-3,$W$4:$W$500,0)),"")</f>
      </c>
      <c r="Y13" s="133">
        <f>IF(AND(A13="Аппарат",C13&lt;&gt;"",OR($S$5="(все)",B13=$S$5)),MAX($Y$3:Y12)+1,"")</f>
      </c>
      <c r="Z13" s="133">
        <f>IFERROR(INDEX($C$4:$C$500,MATCH(ROW()-3,$Y$4:$Y$500,0)),"")</f>
      </c>
      <c r="AA13" s="133">
        <f>IF(AND(A13="Модуль",C13&lt;&gt;"",OR($S$6="(все)",B13=$S$6)),MAX($AA$3:AA12)+1,"")</f>
      </c>
      <c r="AB13" s="133">
        <f>IFERROR(INDEX($C$4:$C$500,MATCH(ROW()-3,$AA$4:$AA$500,0)),"")</f>
      </c>
      <c r="AC13" s="133">
        <f>IF(OR(B13="",COUNTIF($B$4:B13,B13)&gt;1),"",MAX($AC$3:AC12)+1)</f>
      </c>
      <c r="AD13" s="133">
        <f>IFERROR(INDEX($B$4:$B$500,MATCH(ROW()-3,$AC$4:$AC$500,0)),"")</f>
      </c>
      <c r="AE13" s="133">
        <f>IF(AND(A13&lt;&gt;"",N(P13)&gt;0),IFERROR(MATCH(A13,$R$12:$R$25,0),99)*1000+ROW(),"")</f>
      </c>
      <c r="AF13" s="133">
        <f>IF(AE13="","",COUNTIF($AE$4:$AE$500,"&lt;="&amp;AE13))</f>
      </c>
      <c r="AG13" s="133">
        <f>IF(Спецификация_авто!$L$13="","",IF(IF($S$4="(все)",COUNTIF($U$4:$U$500,Спецификация_авто!$L$13),COUNTIF($V$4:$V$500,$S$4&amp;"|"&amp;Спецификация_авто!$L$13))=0,Спецификация_авто!$L$13,""))</f>
      </c>
      <c r="AH13" s="133">
        <f>IF(AG13="","",COUNTIF($AG$4:AG13,"?*"))</f>
      </c>
    </row>
    <row r="14">
      <c r="A14" s="265" t="inlineStr">
        <is>
          <t xml:space="preserve">Аппарат</t>
        </is>
      </c>
      <c r="B14" s="265" t="inlineStr">
        <is>
          <t xml:space="preserve">Chint</t>
        </is>
      </c>
      <c r="C14" s="265" t="inlineStr">
        <is>
          <t xml:space="preserve">КМ NCH8-40/40</t>
        </is>
      </c>
      <c r="D14" s="265"/>
      <c r="E14" s="265"/>
      <c r="F14" s="265"/>
      <c r="G14" s="265" t="inlineStr">
        <is>
          <t xml:space="preserve">Контактор модульный NCH8-40/40 40А 4НО AC220/230В</t>
        </is>
      </c>
      <c r="H14" s="265" t="inlineStr">
        <is>
          <t xml:space="preserve">256099</t>
        </is>
      </c>
      <c r="I14" s="265"/>
      <c r="J14" s="265"/>
      <c r="K14" s="265"/>
      <c r="L14" s="265">
        <v>3</v>
      </c>
      <c r="M14" s="265" t="inlineStr">
        <is>
          <t xml:space="preserve">шт.</t>
        </is>
      </c>
      <c r="N14" s="133">
        <f>IF(OR(A14="Автомат",A14="Дифавтомат"),IF(W14="","",COUNTIF(Однолинейка!$H$3:$H$1000,U14)),IF(A14="Аппарат",IF(C14="","",COUNTIF(Однолинейка!$I$3:$I$1000,C14)+COUNTIF(Однолинейка!$J$3:$J$1000,C14)+COUNTIF(Однолинейка!$K$3:$K$1000,C14)),IF(A14="Модуль",IF(C14="","",COUNTIFS(Однолинейка!$AW$3:$AW$1000,"?*",Однолинейка!$AI$3:$AI$1000,C14)),IF(A14="Клемма",IF(C14="","",IF(C14=$S$7,SUM(Однолинейка!$BW$3:$BW$1000),IF(C14=$S$8,SUM(Однолинейка!$BX$3:$BX$1000),""))),""))))</f>
      </c>
      <c r="O14" s="265"/>
      <c r="P14" s="133">
        <f>IF(COUNT(N14,O14)=0,"",SUM(N14,O14))</f>
      </c>
      <c r="R14" s="265" t="inlineStr">
        <is>
          <t xml:space="preserve">Дифавтомат</t>
        </is>
      </c>
      <c r="U14" s="133">
        <f>IF(OR(A14="Автомат",A14="Дифавтомат"),I14&amp;" С"&amp;J14&amp;"А"&amp;IF(K14="да"," 30мА",""),"")</f>
      </c>
      <c r="V14" s="133">
        <f>IF(U14="","",B14&amp;"|"&amp;U14)</f>
      </c>
      <c r="W14" s="133">
        <f>IF(AND(U14&lt;&gt;"",OR($S$4="(все)",B14=$S$4),IF($S$4="(все)",COUNTIF($U$4:U14,U14),COUNTIFS($U$4:U14,U14,$B$4:B14,B14))=1),MAX($W$3:W13)+1,"")</f>
      </c>
      <c r="X14" s="133">
        <f>IFERROR(INDEX($U$4:$U$500,MATCH(ROW()-3,$W$4:$W$500,0)),"")</f>
      </c>
      <c r="Y14" s="133">
        <f>IF(AND(A14="Аппарат",C14&lt;&gt;"",OR($S$5="(все)",B14=$S$5)),MAX($Y$3:Y13)+1,"")</f>
      </c>
      <c r="Z14" s="133">
        <f>IFERROR(INDEX($C$4:$C$500,MATCH(ROW()-3,$Y$4:$Y$500,0)),"")</f>
      </c>
      <c r="AA14" s="133">
        <f>IF(AND(A14="Модуль",C14&lt;&gt;"",OR($S$6="(все)",B14=$S$6)),MAX($AA$3:AA13)+1,"")</f>
      </c>
      <c r="AB14" s="133">
        <f>IFERROR(INDEX($C$4:$C$500,MATCH(ROW()-3,$AA$4:$AA$500,0)),"")</f>
      </c>
      <c r="AC14" s="133">
        <f>IF(OR(B14="",COUNTIF($B$4:B14,B14)&gt;1),"",MAX($AC$3:AC13)+1)</f>
      </c>
      <c r="AD14" s="133">
        <f>IFERROR(INDEX($B$4:$B$500,MATCH(ROW()-3,$AC$4:$AC$500,0)),"")</f>
      </c>
      <c r="AE14" s="133">
        <f>IF(AND(A14&lt;&gt;"",N(P14)&gt;0),IFERROR(MATCH(A14,$R$12:$R$25,0),99)*1000+ROW(),"")</f>
      </c>
      <c r="AF14" s="133">
        <f>IF(AE14="","",COUNTIF($AE$4:$AE$500,"&lt;="&amp;AE14))</f>
      </c>
      <c r="AG14" s="133">
        <f>IF(Спецификация_авто!$L$14="","",IF(IF($S$4="(все)",COUNTIF($U$4:$U$500,Спецификация_авто!$L$14),COUNTIF($V$4:$V$500,$S$4&amp;"|"&amp;Спецификация_авто!$L$14))=0,Спецификация_авто!$L$14,""))</f>
      </c>
      <c r="AH14" s="133">
        <f>IF(AG14="","",COUNTIF($AG$4:AG14,"?*"))</f>
      </c>
    </row>
    <row r="15">
      <c r="A15" s="265" t="inlineStr">
        <is>
          <t xml:space="preserve">Аппарат</t>
        </is>
      </c>
      <c r="B15" s="265" t="inlineStr">
        <is>
          <t xml:space="preserve">Chint</t>
        </is>
      </c>
      <c r="C15" s="265" t="inlineStr">
        <is>
          <t xml:space="preserve">NJVA1-100</t>
        </is>
      </c>
      <c r="D15" s="265"/>
      <c r="E15" s="265"/>
      <c r="F15" s="265"/>
      <c r="G15" s="265" t="inlineStr">
        <is>
          <t xml:space="preserve">Реле контроля напряжения и тока NJVA1-100 3P+N 100А</t>
        </is>
      </c>
      <c r="H15" s="265" t="inlineStr">
        <is>
          <t xml:space="preserve">508572</t>
        </is>
      </c>
      <c r="I15" s="265"/>
      <c r="J15" s="265"/>
      <c r="K15" s="265"/>
      <c r="L15" s="265"/>
      <c r="M15" s="265" t="inlineStr">
        <is>
          <t xml:space="preserve">шт.</t>
        </is>
      </c>
      <c r="N15" s="133">
        <f>IF(OR(A15="Автомат",A15="Дифавтомат"),IF(W15="","",COUNTIF(Однолинейка!$H$3:$H$1000,U15)),IF(A15="Аппарат",IF(C15="","",COUNTIF(Однолинейка!$I$3:$I$1000,C15)+COUNTIF(Однолинейка!$J$3:$J$1000,C15)+COUNTIF(Однолинейка!$K$3:$K$1000,C15)),IF(A15="Модуль",IF(C15="","",COUNTIFS(Однолинейка!$AW$3:$AW$1000,"?*",Однолинейка!$AI$3:$AI$1000,C15)),IF(A15="Клемма",IF(C15="","",IF(C15=$S$7,SUM(Однолинейка!$BW$3:$BW$1000),IF(C15=$S$8,SUM(Однолинейка!$BX$3:$BX$1000),""))),""))))</f>
      </c>
      <c r="O15" s="265"/>
      <c r="P15" s="133">
        <f>IF(COUNT(N15,O15)=0,"",SUM(N15,O15))</f>
      </c>
      <c r="R15" s="265" t="inlineStr">
        <is>
          <t xml:space="preserve">Аппарат</t>
        </is>
      </c>
      <c r="U15" s="133">
        <f>IF(OR(A15="Автомат",A15="Дифавтомат"),I15&amp;" С"&amp;J15&amp;"А"&amp;IF(K15="да"," 30мА",""),"")</f>
      </c>
      <c r="V15" s="133">
        <f>IF(U15="","",B15&amp;"|"&amp;U15)</f>
      </c>
      <c r="W15" s="133">
        <f>IF(AND(U15&lt;&gt;"",OR($S$4="(все)",B15=$S$4),IF($S$4="(все)",COUNTIF($U$4:U15,U15),COUNTIFS($U$4:U15,U15,$B$4:B15,B15))=1),MAX($W$3:W14)+1,"")</f>
      </c>
      <c r="X15" s="133">
        <f>IFERROR(INDEX($U$4:$U$500,MATCH(ROW()-3,$W$4:$W$500,0)),"")</f>
      </c>
      <c r="Y15" s="133">
        <f>IF(AND(A15="Аппарат",C15&lt;&gt;"",OR($S$5="(все)",B15=$S$5)),MAX($Y$3:Y14)+1,"")</f>
      </c>
      <c r="Z15" s="133">
        <f>IFERROR(INDEX($C$4:$C$500,MATCH(ROW()-3,$Y$4:$Y$500,0)),"")</f>
      </c>
      <c r="AA15" s="133">
        <f>IF(AND(A15="Модуль",C15&lt;&gt;"",OR($S$6="(все)",B15=$S$6)),MAX($AA$3:AA14)+1,"")</f>
      </c>
      <c r="AB15" s="133">
        <f>IFERROR(INDEX($C$4:$C$500,MATCH(ROW()-3,$AA$4:$AA$500,0)),"")</f>
      </c>
      <c r="AC15" s="133">
        <f>IF(OR(B15="",COUNTIF($B$4:B15,B15)&gt;1),"",MAX($AC$3:AC14)+1)</f>
      </c>
      <c r="AD15" s="133">
        <f>IFERROR(INDEX($B$4:$B$500,MATCH(ROW()-3,$AC$4:$AC$500,0)),"")</f>
      </c>
      <c r="AE15" s="133">
        <f>IF(AND(A15&lt;&gt;"",N(P15)&gt;0),IFERROR(MATCH(A15,$R$12:$R$25,0),99)*1000+ROW(),"")</f>
      </c>
      <c r="AF15" s="133">
        <f>IF(AE15="","",COUNTIF($AE$4:$AE$500,"&lt;="&amp;AE15))</f>
      </c>
      <c r="AG15" s="133">
        <f>IF(Спецификация_авто!$L$15="","",IF(IF($S$4="(все)",COUNTIF($U$4:$U$500,Спецификация_авто!$L$15),COUNTIF($V$4:$V$500,$S$4&amp;"|"&amp;Спецификация_авто!$L$15))=0,Спецификация_авто!$L$15,""))</f>
      </c>
      <c r="AH15" s="133">
        <f>IF(AG15="","",COUNTIF($AG$4:AG15,"?*"))</f>
      </c>
    </row>
    <row r="16">
      <c r="A16" s="265" t="inlineStr">
        <is>
          <t xml:space="preserve">Аппарат</t>
        </is>
      </c>
      <c r="B16" s="265" t="inlineStr">
        <is>
          <t xml:space="preserve">Chint</t>
        </is>
      </c>
      <c r="C16" s="265" t="inlineStr">
        <is>
          <t xml:space="preserve">NZK1-32 2P</t>
        </is>
      </c>
      <c r="D16" s="265"/>
      <c r="E16" s="265"/>
      <c r="F16" s="265"/>
      <c r="G16" s="265" t="inlineStr">
        <is>
          <t xml:space="preserve">Модульный переключатель NZK1-32 2P 32А 3 положения</t>
        </is>
      </c>
      <c r="H16" s="265" t="inlineStr">
        <is>
          <t xml:space="preserve">643001</t>
        </is>
      </c>
      <c r="I16" s="265"/>
      <c r="J16" s="265"/>
      <c r="K16" s="265"/>
      <c r="L16" s="265"/>
      <c r="M16" s="265" t="inlineStr">
        <is>
          <t xml:space="preserve">шт.</t>
        </is>
      </c>
      <c r="N16" s="133">
        <f>IF(OR(A16="Автомат",A16="Дифавтомат"),IF(W16="","",COUNTIF(Однолинейка!$H$3:$H$1000,U16)),IF(A16="Аппарат",IF(C16="","",COUNTIF(Однолинейка!$I$3:$I$1000,C16)+COUNTIF(Однолинейка!$J$3:$J$1000,C16)+COUNTIF(Однолинейка!$K$3:$K$1000,C16)),IF(A16="Модуль",IF(C16="","",COUNTIFS(Однолинейка!$AW$3:$AW$1000,"?*",Однолинейка!$AI$3:$AI$1000,C16)),IF(A16="Клемма",IF(C16="","",IF(C16=$S$7,SUM(Однолинейка!$BW$3:$BW$1000),IF(C16=$S$8,SUM(Однолинейка!$BX$3:$BX$1000),""))),""))))</f>
      </c>
      <c r="O16" s="265"/>
      <c r="P16" s="133">
        <f>IF(COUNT(N16,O16)=0,"",SUM(N16,O16))</f>
      </c>
      <c r="R16" s="265" t="inlineStr">
        <is>
          <t xml:space="preserve">Модуль</t>
        </is>
      </c>
      <c r="U16" s="133">
        <f>IF(OR(A16="Автомат",A16="Дифавтомат"),I16&amp;" С"&amp;J16&amp;"А"&amp;IF(K16="да"," 30мА",""),"")</f>
      </c>
      <c r="V16" s="133">
        <f>IF(U16="","",B16&amp;"|"&amp;U16)</f>
      </c>
      <c r="W16" s="133">
        <f>IF(AND(U16&lt;&gt;"",OR($S$4="(все)",B16=$S$4),IF($S$4="(все)",COUNTIF($U$4:U16,U16),COUNTIFS($U$4:U16,U16,$B$4:B16,B16))=1),MAX($W$3:W15)+1,"")</f>
      </c>
      <c r="X16" s="133">
        <f>IFERROR(INDEX($U$4:$U$500,MATCH(ROW()-3,$W$4:$W$500,0)),"")</f>
      </c>
      <c r="Y16" s="133">
        <f>IF(AND(A16="Аппарат",C16&lt;&gt;"",OR($S$5="(все)",B16=$S$5)),MAX($Y$3:Y15)+1,"")</f>
      </c>
      <c r="Z16" s="133">
        <f>IFERROR(INDEX($C$4:$C$500,MATCH(ROW()-3,$Y$4:$Y$500,0)),"")</f>
      </c>
      <c r="AA16" s="133">
        <f>IF(AND(A16="Модуль",C16&lt;&gt;"",OR($S$6="(все)",B16=$S$6)),MAX($AA$3:AA15)+1,"")</f>
      </c>
      <c r="AB16" s="133">
        <f>IFERROR(INDEX($C$4:$C$500,MATCH(ROW()-3,$AA$4:$AA$500,0)),"")</f>
      </c>
      <c r="AC16" s="133">
        <f>IF(OR(B16="",COUNTIF($B$4:B16,B16)&gt;1),"",MAX($AC$3:AC15)+1)</f>
      </c>
      <c r="AD16" s="133">
        <f>IFERROR(INDEX($B$4:$B$500,MATCH(ROW()-3,$AC$4:$AC$500,0)),"")</f>
      </c>
      <c r="AE16" s="133">
        <f>IF(AND(A16&lt;&gt;"",N(P16)&gt;0),IFERROR(MATCH(A16,$R$12:$R$25,0),99)*1000+ROW(),"")</f>
      </c>
      <c r="AF16" s="133">
        <f>IF(AE16="","",COUNTIF($AE$4:$AE$500,"&lt;="&amp;AE16))</f>
      </c>
      <c r="AG16" s="133">
        <f>IF(Спецификация_авто!$L$16="","",IF(IF($S$4="(все)",COUNTIF($U$4:$U$500,Спецификация_авто!$L$16),COUNTIF($V$4:$V$500,$S$4&amp;"|"&amp;Спецификация_авто!$L$16))=0,Спецификация_авто!$L$16,""))</f>
      </c>
      <c r="AH16" s="133">
        <f>IF(AG16="","",COUNTIF($AG$4:AG16,"?*"))</f>
      </c>
    </row>
    <row r="17">
      <c r="A17" s="265" t="inlineStr">
        <is>
          <t xml:space="preserve">Аппарат</t>
        </is>
      </c>
      <c r="B17" s="265" t="inlineStr">
        <is>
          <t xml:space="preserve">Arlight</t>
        </is>
      </c>
      <c r="C17" s="265" t="inlineStr">
        <is>
          <t xml:space="preserve">БП 24V 480W</t>
        </is>
      </c>
      <c r="D17" s="265"/>
      <c r="E17" s="265"/>
      <c r="F17" s="265"/>
      <c r="G17" s="265" t="inlineStr">
        <is>
          <t xml:space="preserve">Блок питания ARV-DRP480-PFC-24 (24V, 20A, 480W)</t>
        </is>
      </c>
      <c r="H17" s="265" t="inlineStr">
        <is>
          <t xml:space="preserve">040231</t>
        </is>
      </c>
      <c r="I17" s="265"/>
      <c r="J17" s="265"/>
      <c r="K17" s="265"/>
      <c r="L17" s="265"/>
      <c r="M17" s="265" t="inlineStr">
        <is>
          <t xml:space="preserve">шт.</t>
        </is>
      </c>
      <c r="N17" s="133">
        <f>IF(OR(A17="Автомат",A17="Дифавтомат"),IF(W17="","",COUNTIF(Однолинейка!$H$3:$H$1000,U17)),IF(A17="Аппарат",IF(C17="","",COUNTIF(Однолинейка!$I$3:$I$1000,C17)+COUNTIF(Однолинейка!$J$3:$J$1000,C17)+COUNTIF(Однолинейка!$K$3:$K$1000,C17)),IF(A17="Модуль",IF(C17="","",COUNTIFS(Однолинейка!$AW$3:$AW$1000,"?*",Однолинейка!$AI$3:$AI$1000,C17)),IF(A17="Клемма",IF(C17="","",IF(C17=$S$7,SUM(Однолинейка!$BW$3:$BW$1000),IF(C17=$S$8,SUM(Однолинейка!$BX$3:$BX$1000),""))),""))))</f>
      </c>
      <c r="O17" s="265"/>
      <c r="P17" s="133">
        <f>IF(COUNT(N17,O17)=0,"",SUM(N17,O17))</f>
      </c>
      <c r="R17" s="265" t="inlineStr">
        <is>
          <t xml:space="preserve">Шины</t>
        </is>
      </c>
      <c r="U17" s="133">
        <f>IF(OR(A17="Автомат",A17="Дифавтомат"),I17&amp;" С"&amp;J17&amp;"А"&amp;IF(K17="да"," 30мА",""),"")</f>
      </c>
      <c r="V17" s="133">
        <f>IF(U17="","",B17&amp;"|"&amp;U17)</f>
      </c>
      <c r="W17" s="133">
        <f>IF(AND(U17&lt;&gt;"",OR($S$4="(все)",B17=$S$4),IF($S$4="(все)",COUNTIF($U$4:U17,U17),COUNTIFS($U$4:U17,U17,$B$4:B17,B17))=1),MAX($W$3:W16)+1,"")</f>
      </c>
      <c r="X17" s="133">
        <f>IFERROR(INDEX($U$4:$U$500,MATCH(ROW()-3,$W$4:$W$500,0)),"")</f>
      </c>
      <c r="Y17" s="133">
        <f>IF(AND(A17="Аппарат",C17&lt;&gt;"",OR($S$5="(все)",B17=$S$5)),MAX($Y$3:Y16)+1,"")</f>
      </c>
      <c r="Z17" s="133">
        <f>IFERROR(INDEX($C$4:$C$500,MATCH(ROW()-3,$Y$4:$Y$500,0)),"")</f>
      </c>
      <c r="AA17" s="133">
        <f>IF(AND(A17="Модуль",C17&lt;&gt;"",OR($S$6="(все)",B17=$S$6)),MAX($AA$3:AA16)+1,"")</f>
      </c>
      <c r="AB17" s="133">
        <f>IFERROR(INDEX($C$4:$C$500,MATCH(ROW()-3,$AA$4:$AA$500,0)),"")</f>
      </c>
      <c r="AC17" s="133">
        <f>IF(OR(B17="",COUNTIF($B$4:B17,B17)&gt;1),"",MAX($AC$3:AC16)+1)</f>
      </c>
      <c r="AD17" s="133">
        <f>IFERROR(INDEX($B$4:$B$500,MATCH(ROW()-3,$AC$4:$AC$500,0)),"")</f>
      </c>
      <c r="AE17" s="133">
        <f>IF(AND(A17&lt;&gt;"",N(P17)&gt;0),IFERROR(MATCH(A17,$R$12:$R$25,0),99)*1000+ROW(),"")</f>
      </c>
      <c r="AF17" s="133">
        <f>IF(AE17="","",COUNTIF($AE$4:$AE$500,"&lt;="&amp;AE17))</f>
      </c>
      <c r="AG17" s="133">
        <f>IF(Спецификация_авто!$L$17="","",IF(IF($S$4="(все)",COUNTIF($U$4:$U$500,Спецификация_авто!$L$17),COUNTIF($V$4:$V$500,$S$4&amp;"|"&amp;Спецификация_авто!$L$17))=0,Спецификация_авто!$L$17,""))</f>
      </c>
      <c r="AH17" s="133">
        <f>IF(AG17="","",COUNTIF($AG$4:AG17,"?*"))</f>
      </c>
    </row>
    <row r="18">
      <c r="A18" s="265" t="inlineStr">
        <is>
          <t xml:space="preserve">Аппарат</t>
        </is>
      </c>
      <c r="B18" s="265" t="inlineStr">
        <is>
          <t xml:space="preserve">Arlight</t>
        </is>
      </c>
      <c r="C18" s="265" t="inlineStr">
        <is>
          <t xml:space="preserve">БП 24V 75W</t>
        </is>
      </c>
      <c r="D18" s="265"/>
      <c r="E18" s="265"/>
      <c r="F18" s="265"/>
      <c r="G18" s="265" t="inlineStr">
        <is>
          <t xml:space="preserve">Блок питания ARV-DRP75-24 (24V, 3.15A, 75W)</t>
        </is>
      </c>
      <c r="H18" s="265" t="inlineStr">
        <is>
          <t xml:space="preserve">040232</t>
        </is>
      </c>
      <c r="I18" s="265"/>
      <c r="J18" s="265"/>
      <c r="K18" s="265"/>
      <c r="L18" s="265"/>
      <c r="M18" s="265" t="inlineStr">
        <is>
          <t xml:space="preserve">шт.</t>
        </is>
      </c>
      <c r="N18" s="133">
        <f>IF(OR(A18="Автомат",A18="Дифавтомат"),IF(W18="","",COUNTIF(Однолинейка!$H$3:$H$1000,U18)),IF(A18="Аппарат",IF(C18="","",COUNTIF(Однолинейка!$I$3:$I$1000,C18)+COUNTIF(Однолинейка!$J$3:$J$1000,C18)+COUNTIF(Однолинейка!$K$3:$K$1000,C18)),IF(A18="Модуль",IF(C18="","",COUNTIFS(Однолинейка!$AW$3:$AW$1000,"?*",Однолинейка!$AI$3:$AI$1000,C18)),IF(A18="Клемма",IF(C18="","",IF(C18=$S$7,SUM(Однолинейка!$BW$3:$BW$1000),IF(C18=$S$8,SUM(Однолинейка!$BX$3:$BX$1000),""))),""))))</f>
      </c>
      <c r="O18" s="265"/>
      <c r="P18" s="133">
        <f>IF(COUNT(N18,O18)=0,"",SUM(N18,O18))</f>
      </c>
      <c r="R18" s="265" t="inlineStr">
        <is>
          <t xml:space="preserve">Клемма</t>
        </is>
      </c>
      <c r="U18" s="133">
        <f>IF(OR(A18="Автомат",A18="Дифавтомат"),I18&amp;" С"&amp;J18&amp;"А"&amp;IF(K18="да"," 30мА",""),"")</f>
      </c>
      <c r="V18" s="133">
        <f>IF(U18="","",B18&amp;"|"&amp;U18)</f>
      </c>
      <c r="W18" s="133">
        <f>IF(AND(U18&lt;&gt;"",OR($S$4="(все)",B18=$S$4),IF($S$4="(все)",COUNTIF($U$4:U18,U18),COUNTIFS($U$4:U18,U18,$B$4:B18,B18))=1),MAX($W$3:W17)+1,"")</f>
      </c>
      <c r="X18" s="133">
        <f>IFERROR(INDEX($U$4:$U$500,MATCH(ROW()-3,$W$4:$W$500,0)),"")</f>
      </c>
      <c r="Y18" s="133">
        <f>IF(AND(A18="Аппарат",C18&lt;&gt;"",OR($S$5="(все)",B18=$S$5)),MAX($Y$3:Y17)+1,"")</f>
      </c>
      <c r="Z18" s="133">
        <f>IFERROR(INDEX($C$4:$C$500,MATCH(ROW()-3,$Y$4:$Y$500,0)),"")</f>
      </c>
      <c r="AA18" s="133">
        <f>IF(AND(A18="Модуль",C18&lt;&gt;"",OR($S$6="(все)",B18=$S$6)),MAX($AA$3:AA17)+1,"")</f>
      </c>
      <c r="AB18" s="133">
        <f>IFERROR(INDEX($C$4:$C$500,MATCH(ROW()-3,$AA$4:$AA$500,0)),"")</f>
      </c>
      <c r="AC18" s="133">
        <f>IF(OR(B18="",COUNTIF($B$4:B18,B18)&gt;1),"",MAX($AC$3:AC17)+1)</f>
      </c>
      <c r="AD18" s="133">
        <f>IFERROR(INDEX($B$4:$B$500,MATCH(ROW()-3,$AC$4:$AC$500,0)),"")</f>
      </c>
      <c r="AE18" s="133">
        <f>IF(AND(A18&lt;&gt;"",N(P18)&gt;0),IFERROR(MATCH(A18,$R$12:$R$25,0),99)*1000+ROW(),"")</f>
      </c>
      <c r="AF18" s="133">
        <f>IF(AE18="","",COUNTIF($AE$4:$AE$500,"&lt;="&amp;AE18))</f>
      </c>
      <c r="AG18" s="133">
        <f>IF(Спецификация_авто!$L$18="","",IF(IF($S$4="(все)",COUNTIF($U$4:$U$500,Спецификация_авто!$L$18),COUNTIF($V$4:$V$500,$S$4&amp;"|"&amp;Спецификация_авто!$L$18))=0,Спецификация_авто!$L$18,""))</f>
      </c>
      <c r="AH18" s="133">
        <f>IF(AG18="","",COUNTIF($AG$4:AG18,"?*"))</f>
      </c>
    </row>
    <row r="19">
      <c r="A19" s="265" t="inlineStr">
        <is>
          <t xml:space="preserve">Аппарат</t>
        </is>
      </c>
      <c r="B19" s="265" t="inlineStr">
        <is>
          <t xml:space="preserve">Arlight</t>
        </is>
      </c>
      <c r="C19" s="265" t="inlineStr">
        <is>
          <t xml:space="preserve">БП 12V 135W</t>
        </is>
      </c>
      <c r="D19" s="265"/>
      <c r="E19" s="265"/>
      <c r="F19" s="265"/>
      <c r="G19" s="265" t="inlineStr">
        <is>
          <t xml:space="preserve">Блок питания ARV-DR135-12 (12V, 11.3A, 135W)</t>
        </is>
      </c>
      <c r="H19" s="265" t="inlineStr">
        <is>
          <t xml:space="preserve">035699</t>
        </is>
      </c>
      <c r="I19" s="265"/>
      <c r="J19" s="265"/>
      <c r="K19" s="265"/>
      <c r="L19" s="265"/>
      <c r="M19" s="265" t="inlineStr">
        <is>
          <t xml:space="preserve">шт.</t>
        </is>
      </c>
      <c r="N19" s="133">
        <f>IF(OR(A19="Автомат",A19="Дифавтомат"),IF(W19="","",COUNTIF(Однолинейка!$H$3:$H$1000,U19)),IF(A19="Аппарат",IF(C19="","",COUNTIF(Однолинейка!$I$3:$I$1000,C19)+COUNTIF(Однолинейка!$J$3:$J$1000,C19)+COUNTIF(Однолинейка!$K$3:$K$1000,C19)),IF(A19="Модуль",IF(C19="","",COUNTIFS(Однолинейка!$AW$3:$AW$1000,"?*",Однолинейка!$AI$3:$AI$1000,C19)),IF(A19="Клемма",IF(C19="","",IF(C19=$S$7,SUM(Однолинейка!$BW$3:$BW$1000),IF(C19=$S$8,SUM(Однолинейка!$BX$3:$BX$1000),""))),""))))</f>
      </c>
      <c r="O19" s="265"/>
      <c r="P19" s="133">
        <f>IF(COUNT(N19,O19)=0,"",SUM(N19,O19))</f>
      </c>
      <c r="R19" s="265" t="inlineStr">
        <is>
          <t xml:space="preserve">Провод</t>
        </is>
      </c>
      <c r="U19" s="133">
        <f>IF(OR(A19="Автомат",A19="Дифавтомат"),I19&amp;" С"&amp;J19&amp;"А"&amp;IF(K19="да"," 30мА",""),"")</f>
      </c>
      <c r="V19" s="133">
        <f>IF(U19="","",B19&amp;"|"&amp;U19)</f>
      </c>
      <c r="W19" s="133">
        <f>IF(AND(U19&lt;&gt;"",OR($S$4="(все)",B19=$S$4),IF($S$4="(все)",COUNTIF($U$4:U19,U19),COUNTIFS($U$4:U19,U19,$B$4:B19,B19))=1),MAX($W$3:W18)+1,"")</f>
      </c>
      <c r="X19" s="133">
        <f>IFERROR(INDEX($U$4:$U$500,MATCH(ROW()-3,$W$4:$W$500,0)),"")</f>
      </c>
      <c r="Y19" s="133">
        <f>IF(AND(A19="Аппарат",C19&lt;&gt;"",OR($S$5="(все)",B19=$S$5)),MAX($Y$3:Y18)+1,"")</f>
      </c>
      <c r="Z19" s="133">
        <f>IFERROR(INDEX($C$4:$C$500,MATCH(ROW()-3,$Y$4:$Y$500,0)),"")</f>
      </c>
      <c r="AA19" s="133">
        <f>IF(AND(A19="Модуль",C19&lt;&gt;"",OR($S$6="(все)",B19=$S$6)),MAX($AA$3:AA18)+1,"")</f>
      </c>
      <c r="AB19" s="133">
        <f>IFERROR(INDEX($C$4:$C$500,MATCH(ROW()-3,$AA$4:$AA$500,0)),"")</f>
      </c>
      <c r="AC19" s="133">
        <f>IF(OR(B19="",COUNTIF($B$4:B19,B19)&gt;1),"",MAX($AC$3:AC18)+1)</f>
      </c>
      <c r="AD19" s="133">
        <f>IFERROR(INDEX($B$4:$B$500,MATCH(ROW()-3,$AC$4:$AC$500,0)),"")</f>
      </c>
      <c r="AE19" s="133">
        <f>IF(AND(A19&lt;&gt;"",N(P19)&gt;0),IFERROR(MATCH(A19,$R$12:$R$25,0),99)*1000+ROW(),"")</f>
      </c>
      <c r="AF19" s="133">
        <f>IF(AE19="","",COUNTIF($AE$4:$AE$500,"&lt;="&amp;AE19))</f>
      </c>
      <c r="AG19" s="133">
        <f>IF(Спецификация_авто!$L$19="","",IF(IF($S$4="(все)",COUNTIF($U$4:$U$500,Спецификация_авто!$L$19),COUNTIF($V$4:$V$500,$S$4&amp;"|"&amp;Спецификация_авто!$L$19))=0,Спецификация_авто!$L$19,""))</f>
      </c>
      <c r="AH19" s="133">
        <f>IF(AG19="","",COUNTIF($AG$4:AG19,"?*"))</f>
      </c>
    </row>
    <row r="20">
      <c r="A20" s="265" t="inlineStr">
        <is>
          <t xml:space="preserve">Аппарат</t>
        </is>
      </c>
      <c r="B20" s="265" t="inlineStr">
        <is>
          <t xml:space="preserve">Arlight</t>
        </is>
      </c>
      <c r="C20" s="265" t="inlineStr">
        <is>
          <t xml:space="preserve">БП 12V 15W</t>
        </is>
      </c>
      <c r="D20" s="265"/>
      <c r="E20" s="265"/>
      <c r="F20" s="265"/>
      <c r="G20" s="265" t="inlineStr">
        <is>
          <t xml:space="preserve">Блок питания ARV-DR15-12 (12V, 1.25A, 15W)</t>
        </is>
      </c>
      <c r="H20" s="265" t="inlineStr">
        <is>
          <t xml:space="preserve">034670</t>
        </is>
      </c>
      <c r="I20" s="265"/>
      <c r="J20" s="265"/>
      <c r="K20" s="265"/>
      <c r="L20" s="265"/>
      <c r="M20" s="265" t="inlineStr">
        <is>
          <t xml:space="preserve">шт.</t>
        </is>
      </c>
      <c r="N20" s="133">
        <f>IF(OR(A20="Автомат",A20="Дифавтомат"),IF(W20="","",COUNTIF(Однолинейка!$H$3:$H$1000,U20)),IF(A20="Аппарат",IF(C20="","",COUNTIF(Однолинейка!$I$3:$I$1000,C20)+COUNTIF(Однолинейка!$J$3:$J$1000,C20)+COUNTIF(Однолинейка!$K$3:$K$1000,C20)),IF(A20="Модуль",IF(C20="","",COUNTIFS(Однолинейка!$AW$3:$AW$1000,"?*",Однолинейка!$AI$3:$AI$1000,C20)),IF(A20="Клемма",IF(C20="","",IF(C20=$S$7,SUM(Однолинейка!$BW$3:$BW$1000),IF(C20=$S$8,SUM(Однолинейка!$BX$3:$BX$1000),""))),""))))</f>
      </c>
      <c r="O20" s="265"/>
      <c r="P20" s="133">
        <f>IF(COUNT(N20,O20)=0,"",SUM(N20,O20))</f>
      </c>
      <c r="R20" s="265" t="inlineStr">
        <is>
          <t xml:space="preserve">Прочее</t>
        </is>
      </c>
      <c r="U20" s="133">
        <f>IF(OR(A20="Автомат",A20="Дифавтомат"),I20&amp;" С"&amp;J20&amp;"А"&amp;IF(K20="да"," 30мА",""),"")</f>
      </c>
      <c r="V20" s="133">
        <f>IF(U20="","",B20&amp;"|"&amp;U20)</f>
      </c>
      <c r="W20" s="133">
        <f>IF(AND(U20&lt;&gt;"",OR($S$4="(все)",B20=$S$4),IF($S$4="(все)",COUNTIF($U$4:U20,U20),COUNTIFS($U$4:U20,U20,$B$4:B20,B20))=1),MAX($W$3:W19)+1,"")</f>
      </c>
      <c r="X20" s="133">
        <f>IFERROR(INDEX($U$4:$U$500,MATCH(ROW()-3,$W$4:$W$500,0)),"")</f>
      </c>
      <c r="Y20" s="133">
        <f>IF(AND(A20="Аппарат",C20&lt;&gt;"",OR($S$5="(все)",B20=$S$5)),MAX($Y$3:Y19)+1,"")</f>
      </c>
      <c r="Z20" s="133">
        <f>IFERROR(INDEX($C$4:$C$500,MATCH(ROW()-3,$Y$4:$Y$500,0)),"")</f>
      </c>
      <c r="AA20" s="133">
        <f>IF(AND(A20="Модуль",C20&lt;&gt;"",OR($S$6="(все)",B20=$S$6)),MAX($AA$3:AA19)+1,"")</f>
      </c>
      <c r="AB20" s="133">
        <f>IFERROR(INDEX($C$4:$C$500,MATCH(ROW()-3,$AA$4:$AA$500,0)),"")</f>
      </c>
      <c r="AC20" s="133">
        <f>IF(OR(B20="",COUNTIF($B$4:B20,B20)&gt;1),"",MAX($AC$3:AC19)+1)</f>
      </c>
      <c r="AD20" s="133">
        <f>IFERROR(INDEX($B$4:$B$500,MATCH(ROW()-3,$AC$4:$AC$500,0)),"")</f>
      </c>
      <c r="AE20" s="133">
        <f>IF(AND(A20&lt;&gt;"",N(P20)&gt;0),IFERROR(MATCH(A20,$R$12:$R$25,0),99)*1000+ROW(),"")</f>
      </c>
      <c r="AF20" s="133">
        <f>IF(AE20="","",COUNTIF($AE$4:$AE$500,"&lt;="&amp;AE20))</f>
      </c>
      <c r="AG20" s="133">
        <f>IF(Спецификация_авто!$L$20="","",IF(IF($S$4="(все)",COUNTIF($U$4:$U$500,Спецификация_авто!$L$20),COUNTIF($V$4:$V$500,$S$4&amp;"|"&amp;Спецификация_авто!$L$20))=0,Спецификация_авто!$L$20,""))</f>
      </c>
      <c r="AH20" s="133">
        <f>IF(AG20="","",COUNTIF($AG$4:AG20,"?*"))</f>
      </c>
    </row>
    <row r="21">
      <c r="A21" s="265" t="inlineStr">
        <is>
          <t xml:space="preserve">Аппарат</t>
        </is>
      </c>
      <c r="B21" s="265" t="inlineStr">
        <is>
          <t xml:space="preserve">Zennio</t>
        </is>
      </c>
      <c r="C21" s="265" t="inlineStr">
        <is>
          <t xml:space="preserve">ZPSU640</t>
        </is>
      </c>
      <c r="D21" s="265"/>
      <c r="E21" s="265"/>
      <c r="F21" s="265"/>
      <c r="G21" s="265" t="inlineStr">
        <is>
          <t xml:space="preserve">Универсальный источник питания KNX</t>
        </is>
      </c>
      <c r="H21" s="265" t="inlineStr">
        <is>
          <t xml:space="preserve">ZPSU640</t>
        </is>
      </c>
      <c r="I21" s="265"/>
      <c r="J21" s="265"/>
      <c r="K21" s="265"/>
      <c r="L21" s="265"/>
      <c r="M21" s="265" t="inlineStr">
        <is>
          <t xml:space="preserve">шт.</t>
        </is>
      </c>
      <c r="N21" s="133">
        <f>IF(OR(A21="Автомат",A21="Дифавтомат"),IF(W21="","",COUNTIF(Однолинейка!$H$3:$H$1000,U21)),IF(A21="Аппарат",IF(C21="","",COUNTIF(Однолинейка!$I$3:$I$1000,C21)+COUNTIF(Однолинейка!$J$3:$J$1000,C21)+COUNTIF(Однолинейка!$K$3:$K$1000,C21)),IF(A21="Модуль",IF(C21="","",COUNTIFS(Однолинейка!$AW$3:$AW$1000,"?*",Однолинейка!$AI$3:$AI$1000,C21)),IF(A21="Клемма",IF(C21="","",IF(C21=$S$7,SUM(Однолинейка!$BW$3:$BW$1000),IF(C21=$S$8,SUM(Однолинейка!$BX$3:$BX$1000),""))),""))))</f>
      </c>
      <c r="O21" s="265"/>
      <c r="P21" s="133">
        <f>IF(COUNT(N21,O21)=0,"",SUM(N21,O21))</f>
      </c>
      <c r="R21" s="265"/>
      <c r="U21" s="133">
        <f>IF(OR(A21="Автомат",A21="Дифавтомат"),I21&amp;" С"&amp;J21&amp;"А"&amp;IF(K21="да"," 30мА",""),"")</f>
      </c>
      <c r="V21" s="133">
        <f>IF(U21="","",B21&amp;"|"&amp;U21)</f>
      </c>
      <c r="W21" s="133">
        <f>IF(AND(U21&lt;&gt;"",OR($S$4="(все)",B21=$S$4),IF($S$4="(все)",COUNTIF($U$4:U21,U21),COUNTIFS($U$4:U21,U21,$B$4:B21,B21))=1),MAX($W$3:W20)+1,"")</f>
      </c>
      <c r="X21" s="133">
        <f>IFERROR(INDEX($U$4:$U$500,MATCH(ROW()-3,$W$4:$W$500,0)),"")</f>
      </c>
      <c r="Y21" s="133">
        <f>IF(AND(A21="Аппарат",C21&lt;&gt;"",OR($S$5="(все)",B21=$S$5)),MAX($Y$3:Y20)+1,"")</f>
      </c>
      <c r="Z21" s="133">
        <f>IFERROR(INDEX($C$4:$C$500,MATCH(ROW()-3,$Y$4:$Y$500,0)),"")</f>
      </c>
      <c r="AA21" s="133">
        <f>IF(AND(A21="Модуль",C21&lt;&gt;"",OR($S$6="(все)",B21=$S$6)),MAX($AA$3:AA20)+1,"")</f>
      </c>
      <c r="AB21" s="133">
        <f>IFERROR(INDEX($C$4:$C$500,MATCH(ROW()-3,$AA$4:$AA$500,0)),"")</f>
      </c>
      <c r="AC21" s="133">
        <f>IF(OR(B21="",COUNTIF($B$4:B21,B21)&gt;1),"",MAX($AC$3:AC20)+1)</f>
      </c>
      <c r="AD21" s="133">
        <f>IFERROR(INDEX($B$4:$B$500,MATCH(ROW()-3,$AC$4:$AC$500,0)),"")</f>
      </c>
      <c r="AE21" s="133">
        <f>IF(AND(A21&lt;&gt;"",N(P21)&gt;0),IFERROR(MATCH(A21,$R$12:$R$25,0),99)*1000+ROW(),"")</f>
      </c>
      <c r="AF21" s="133">
        <f>IF(AE21="","",COUNTIF($AE$4:$AE$500,"&lt;="&amp;AE21))</f>
      </c>
      <c r="AG21" s="133">
        <f>IF(Спецификация_авто!$L$21="","",IF(IF($S$4="(все)",COUNTIF($U$4:$U$500,Спецификация_авто!$L$21),COUNTIF($V$4:$V$500,$S$4&amp;"|"&amp;Спецификация_авто!$L$21))=0,Спецификация_авто!$L$21,""))</f>
      </c>
      <c r="AH21" s="133">
        <f>IF(AG21="","",COUNTIF($AG$4:AG21,"?*"))</f>
      </c>
    </row>
    <row r="22">
      <c r="A22" s="265" t="inlineStr">
        <is>
          <t xml:space="preserve">Модуль</t>
        </is>
      </c>
      <c r="B22" s="265" t="inlineStr">
        <is>
          <t xml:space="preserve">Zennio</t>
        </is>
      </c>
      <c r="C22" s="265" t="inlineStr">
        <is>
          <t xml:space="preserve">ZIOMB24V2</t>
        </is>
      </c>
      <c r="D22" s="265" t="inlineStr">
        <is>
          <t xml:space="preserve">R</t>
        </is>
      </c>
      <c r="E22" s="265">
        <v>24</v>
      </c>
      <c r="F22" s="265" t="inlineStr">
        <is>
          <t xml:space="preserve">реле</t>
        </is>
      </c>
      <c r="G22" s="265" t="inlineStr">
        <is>
          <t xml:space="preserve">Многофункциональный актуатор KNX</t>
        </is>
      </c>
      <c r="H22" s="265" t="inlineStr">
        <is>
          <t xml:space="preserve">ZIOMB24V2</t>
        </is>
      </c>
      <c r="I22" s="265"/>
      <c r="J22" s="265"/>
      <c r="K22" s="265"/>
      <c r="L22" s="265"/>
      <c r="M22" s="265" t="inlineStr">
        <is>
          <t xml:space="preserve">шт.</t>
        </is>
      </c>
      <c r="N22" s="133">
        <f>IF(OR(A22="Автомат",A22="Дифавтомат"),IF(W22="","",COUNTIF(Однолинейка!$H$3:$H$1000,U22)),IF(A22="Аппарат",IF(C22="","",COUNTIF(Однолинейка!$I$3:$I$1000,C22)+COUNTIF(Однолинейка!$J$3:$J$1000,C22)+COUNTIF(Однолинейка!$K$3:$K$1000,C22)),IF(A22="Модуль",IF(C22="","",COUNTIFS(Однолинейка!$AW$3:$AW$1000,"?*",Однолинейка!$AI$3:$AI$1000,C22)),IF(A22="Клемма",IF(C22="","",IF(C22=$S$7,SUM(Однолинейка!$BW$3:$BW$1000),IF(C22=$S$8,SUM(Однолинейка!$BX$3:$BX$1000),""))),""))))</f>
      </c>
      <c r="O22" s="265"/>
      <c r="P22" s="133">
        <f>IF(COUNT(N22,O22)=0,"",SUM(N22,O22))</f>
      </c>
      <c r="R22" s="265"/>
      <c r="U22" s="133">
        <f>IF(OR(A22="Автомат",A22="Дифавтомат"),I22&amp;" С"&amp;J22&amp;"А"&amp;IF(K22="да"," 30мА",""),"")</f>
      </c>
      <c r="V22" s="133">
        <f>IF(U22="","",B22&amp;"|"&amp;U22)</f>
      </c>
      <c r="W22" s="133">
        <f>IF(AND(U22&lt;&gt;"",OR($S$4="(все)",B22=$S$4),IF($S$4="(все)",COUNTIF($U$4:U22,U22),COUNTIFS($U$4:U22,U22,$B$4:B22,B22))=1),MAX($W$3:W21)+1,"")</f>
      </c>
      <c r="X22" s="133">
        <f>IFERROR(INDEX($U$4:$U$500,MATCH(ROW()-3,$W$4:$W$500,0)),"")</f>
      </c>
      <c r="Y22" s="133">
        <f>IF(AND(A22="Аппарат",C22&lt;&gt;"",OR($S$5="(все)",B22=$S$5)),MAX($Y$3:Y21)+1,"")</f>
      </c>
      <c r="Z22" s="133">
        <f>IFERROR(INDEX($C$4:$C$500,MATCH(ROW()-3,$Y$4:$Y$500,0)),"")</f>
      </c>
      <c r="AA22" s="133">
        <f>IF(AND(A22="Модуль",C22&lt;&gt;"",OR($S$6="(все)",B22=$S$6)),MAX($AA$3:AA21)+1,"")</f>
      </c>
      <c r="AB22" s="133">
        <f>IFERROR(INDEX($C$4:$C$500,MATCH(ROW()-3,$AA$4:$AA$500,0)),"")</f>
      </c>
      <c r="AC22" s="133">
        <f>IF(OR(B22="",COUNTIF($B$4:B22,B22)&gt;1),"",MAX($AC$3:AC21)+1)</f>
      </c>
      <c r="AD22" s="133">
        <f>IFERROR(INDEX($B$4:$B$500,MATCH(ROW()-3,$AC$4:$AC$500,0)),"")</f>
      </c>
      <c r="AE22" s="133">
        <f>IF(AND(A22&lt;&gt;"",N(P22)&gt;0),IFERROR(MATCH(A22,$R$12:$R$25,0),99)*1000+ROW(),"")</f>
      </c>
      <c r="AF22" s="133">
        <f>IF(AE22="","",COUNTIF($AE$4:$AE$500,"&lt;="&amp;AE22))</f>
      </c>
      <c r="AG22" s="133">
        <f>IF(Спецификация_авто!$L$22="","",IF(IF($S$4="(все)",COUNTIF($U$4:$U$500,Спецификация_авто!$L$22),COUNTIF($V$4:$V$500,$S$4&amp;"|"&amp;Спецификация_авто!$L$22))=0,Спецификация_авто!$L$22,""))</f>
      </c>
      <c r="AH22" s="133">
        <f>IF(AG22="","",COUNTIF($AG$4:AG22,"?*"))</f>
      </c>
    </row>
    <row r="23">
      <c r="A23" s="265" t="inlineStr">
        <is>
          <t xml:space="preserve">Модуль</t>
        </is>
      </c>
      <c r="B23" s="265" t="inlineStr">
        <is>
          <t xml:space="preserve">Zennio</t>
        </is>
      </c>
      <c r="C23" s="265" t="inlineStr">
        <is>
          <t xml:space="preserve">ZIO-MB24</t>
        </is>
      </c>
      <c r="D23" s="265" t="inlineStr">
        <is>
          <t xml:space="preserve">R</t>
        </is>
      </c>
      <c r="E23" s="265">
        <v>24</v>
      </c>
      <c r="F23" s="265" t="inlineStr">
        <is>
          <t xml:space="preserve">реле</t>
        </is>
      </c>
      <c r="G23" s="265" t="inlineStr">
        <is>
          <t xml:space="preserve">Многофункциональный актуатор KNX</t>
        </is>
      </c>
      <c r="H23" s="265" t="inlineStr">
        <is>
          <t xml:space="preserve">ZIO-MB24</t>
        </is>
      </c>
      <c r="I23" s="265"/>
      <c r="J23" s="265"/>
      <c r="K23" s="265"/>
      <c r="L23" s="265"/>
      <c r="M23" s="265" t="inlineStr">
        <is>
          <t xml:space="preserve">шт.</t>
        </is>
      </c>
      <c r="N23" s="133">
        <f>IF(OR(A23="Автомат",A23="Дифавтомат"),IF(W23="","",COUNTIF(Однолинейка!$H$3:$H$1000,U23)),IF(A23="Аппарат",IF(C23="","",COUNTIF(Однолинейка!$I$3:$I$1000,C23)+COUNTIF(Однолинейка!$J$3:$J$1000,C23)+COUNTIF(Однолинейка!$K$3:$K$1000,C23)),IF(A23="Модуль",IF(C23="","",COUNTIFS(Однолинейка!$AW$3:$AW$1000,"?*",Однолинейка!$AI$3:$AI$1000,C23)),IF(A23="Клемма",IF(C23="","",IF(C23=$S$7,SUM(Однолинейка!$BW$3:$BW$1000),IF(C23=$S$8,SUM(Однолинейка!$BX$3:$BX$1000),""))),""))))</f>
      </c>
      <c r="O23" s="265"/>
      <c r="P23" s="133">
        <f>IF(COUNT(N23,O23)=0,"",SUM(N23,O23))</f>
      </c>
      <c r="R23" s="265"/>
      <c r="U23" s="133">
        <f>IF(OR(A23="Автомат",A23="Дифавтомат"),I23&amp;" С"&amp;J23&amp;"А"&amp;IF(K23="да"," 30мА",""),"")</f>
      </c>
      <c r="V23" s="133">
        <f>IF(U23="","",B23&amp;"|"&amp;U23)</f>
      </c>
      <c r="W23" s="133">
        <f>IF(AND(U23&lt;&gt;"",OR($S$4="(все)",B23=$S$4),IF($S$4="(все)",COUNTIF($U$4:U23,U23),COUNTIFS($U$4:U23,U23,$B$4:B23,B23))=1),MAX($W$3:W22)+1,"")</f>
      </c>
      <c r="X23" s="133">
        <f>IFERROR(INDEX($U$4:$U$500,MATCH(ROW()-3,$W$4:$W$500,0)),"")</f>
      </c>
      <c r="Y23" s="133">
        <f>IF(AND(A23="Аппарат",C23&lt;&gt;"",OR($S$5="(все)",B23=$S$5)),MAX($Y$3:Y22)+1,"")</f>
      </c>
      <c r="Z23" s="133">
        <f>IFERROR(INDEX($C$4:$C$500,MATCH(ROW()-3,$Y$4:$Y$500,0)),"")</f>
      </c>
      <c r="AA23" s="133">
        <f>IF(AND(A23="Модуль",C23&lt;&gt;"",OR($S$6="(все)",B23=$S$6)),MAX($AA$3:AA22)+1,"")</f>
      </c>
      <c r="AB23" s="133">
        <f>IFERROR(INDEX($C$4:$C$500,MATCH(ROW()-3,$AA$4:$AA$500,0)),"")</f>
      </c>
      <c r="AC23" s="133">
        <f>IF(OR(B23="",COUNTIF($B$4:B23,B23)&gt;1),"",MAX($AC$3:AC22)+1)</f>
      </c>
      <c r="AD23" s="133">
        <f>IFERROR(INDEX($B$4:$B$500,MATCH(ROW()-3,$AC$4:$AC$500,0)),"")</f>
      </c>
      <c r="AE23" s="133">
        <f>IF(AND(A23&lt;&gt;"",N(P23)&gt;0),IFERROR(MATCH(A23,$R$12:$R$25,0),99)*1000+ROW(),"")</f>
      </c>
      <c r="AF23" s="133">
        <f>IF(AE23="","",COUNTIF($AE$4:$AE$500,"&lt;="&amp;AE23))</f>
      </c>
      <c r="AG23" s="133">
        <f>IF(Спецификация_авто!$L$23="","",IF(IF($S$4="(все)",COUNTIF($U$4:$U$500,Спецификация_авто!$L$23),COUNTIF($V$4:$V$500,$S$4&amp;"|"&amp;Спецификация_авто!$L$23))=0,Спецификация_авто!$L$23,""))</f>
      </c>
      <c r="AH23" s="133">
        <f>IF(AG23="","",COUNTIF($AG$4:AG23,"?*"))</f>
      </c>
    </row>
    <row r="24">
      <c r="A24" s="265" t="inlineStr">
        <is>
          <t xml:space="preserve">Модуль</t>
        </is>
      </c>
      <c r="B24" s="265" t="inlineStr">
        <is>
          <t xml:space="preserve">Zennio</t>
        </is>
      </c>
      <c r="C24" s="265" t="inlineStr">
        <is>
          <t xml:space="preserve">ZIOMB16V3</t>
        </is>
      </c>
      <c r="D24" s="265" t="inlineStr">
        <is>
          <t xml:space="preserve">R</t>
        </is>
      </c>
      <c r="E24" s="265">
        <v>16</v>
      </c>
      <c r="F24" s="265" t="inlineStr">
        <is>
          <t xml:space="preserve">реле</t>
        </is>
      </c>
      <c r="G24" s="265" t="inlineStr">
        <is>
          <t xml:space="preserve">Многофункциональный актуатор KNX</t>
        </is>
      </c>
      <c r="H24" s="265" t="inlineStr">
        <is>
          <t xml:space="preserve">ZIOMB16V3</t>
        </is>
      </c>
      <c r="I24" s="265"/>
      <c r="J24" s="265"/>
      <c r="K24" s="265"/>
      <c r="L24" s="265"/>
      <c r="M24" s="265" t="inlineStr">
        <is>
          <t xml:space="preserve">шт.</t>
        </is>
      </c>
      <c r="N24" s="133">
        <f>IF(OR(A24="Автомат",A24="Дифавтомат"),IF(W24="","",COUNTIF(Однолинейка!$H$3:$H$1000,U24)),IF(A24="Аппарат",IF(C24="","",COUNTIF(Однолинейка!$I$3:$I$1000,C24)+COUNTIF(Однолинейка!$J$3:$J$1000,C24)+COUNTIF(Однолинейка!$K$3:$K$1000,C24)),IF(A24="Модуль",IF(C24="","",COUNTIFS(Однолинейка!$AW$3:$AW$1000,"?*",Однолинейка!$AI$3:$AI$1000,C24)),IF(A24="Клемма",IF(C24="","",IF(C24=$S$7,SUM(Однолинейка!$BW$3:$BW$1000),IF(C24=$S$8,SUM(Однолинейка!$BX$3:$BX$1000),""))),""))))</f>
      </c>
      <c r="O24" s="265"/>
      <c r="P24" s="133">
        <f>IF(COUNT(N24,O24)=0,"",SUM(N24,O24))</f>
      </c>
      <c r="R24" s="265"/>
      <c r="U24" s="133">
        <f>IF(OR(A24="Автомат",A24="Дифавтомат"),I24&amp;" С"&amp;J24&amp;"А"&amp;IF(K24="да"," 30мА",""),"")</f>
      </c>
      <c r="V24" s="133">
        <f>IF(U24="","",B24&amp;"|"&amp;U24)</f>
      </c>
      <c r="W24" s="133">
        <f>IF(AND(U24&lt;&gt;"",OR($S$4="(все)",B24=$S$4),IF($S$4="(все)",COUNTIF($U$4:U24,U24),COUNTIFS($U$4:U24,U24,$B$4:B24,B24))=1),MAX($W$3:W23)+1,"")</f>
      </c>
      <c r="X24" s="133">
        <f>IFERROR(INDEX($U$4:$U$500,MATCH(ROW()-3,$W$4:$W$500,0)),"")</f>
      </c>
      <c r="Y24" s="133">
        <f>IF(AND(A24="Аппарат",C24&lt;&gt;"",OR($S$5="(все)",B24=$S$5)),MAX($Y$3:Y23)+1,"")</f>
      </c>
      <c r="Z24" s="133">
        <f>IFERROR(INDEX($C$4:$C$500,MATCH(ROW()-3,$Y$4:$Y$500,0)),"")</f>
      </c>
      <c r="AA24" s="133">
        <f>IF(AND(A24="Модуль",C24&lt;&gt;"",OR($S$6="(все)",B24=$S$6)),MAX($AA$3:AA23)+1,"")</f>
      </c>
      <c r="AB24" s="133">
        <f>IFERROR(INDEX($C$4:$C$500,MATCH(ROW()-3,$AA$4:$AA$500,0)),"")</f>
      </c>
      <c r="AC24" s="133">
        <f>IF(OR(B24="",COUNTIF($B$4:B24,B24)&gt;1),"",MAX($AC$3:AC23)+1)</f>
      </c>
      <c r="AD24" s="133">
        <f>IFERROR(INDEX($B$4:$B$500,MATCH(ROW()-3,$AC$4:$AC$500,0)),"")</f>
      </c>
      <c r="AE24" s="133">
        <f>IF(AND(A24&lt;&gt;"",N(P24)&gt;0),IFERROR(MATCH(A24,$R$12:$R$25,0),99)*1000+ROW(),"")</f>
      </c>
      <c r="AF24" s="133">
        <f>IF(AE24="","",COUNTIF($AE$4:$AE$500,"&lt;="&amp;AE24))</f>
      </c>
      <c r="AG24" s="133">
        <f>IF(Спецификация_авто!$L$27="","",IF(COUNTIF($C$4:$C$500,Спецификация_авто!$L$27)=0,Спецификация_авто!$L$27,""))</f>
      </c>
      <c r="AH24" s="133">
        <f>IF(AG24="","",COUNTIF($AG$4:AG24,"?*"))</f>
      </c>
    </row>
    <row r="25">
      <c r="A25" s="265" t="inlineStr">
        <is>
          <t xml:space="preserve">Модуль</t>
        </is>
      </c>
      <c r="B25" s="265" t="inlineStr">
        <is>
          <t xml:space="preserve">Zennio</t>
        </is>
      </c>
      <c r="C25" s="265" t="inlineStr">
        <is>
          <t xml:space="preserve">ZIOMB8V3</t>
        </is>
      </c>
      <c r="D25" s="265" t="inlineStr">
        <is>
          <t xml:space="preserve">R</t>
        </is>
      </c>
      <c r="E25" s="265">
        <v>8</v>
      </c>
      <c r="F25" s="265" t="inlineStr">
        <is>
          <t xml:space="preserve">реле</t>
        </is>
      </c>
      <c r="G25" s="265" t="inlineStr">
        <is>
          <t xml:space="preserve">Многофункциональный актуатор KNX</t>
        </is>
      </c>
      <c r="H25" s="265" t="inlineStr">
        <is>
          <t xml:space="preserve">ZIOMB8V3</t>
        </is>
      </c>
      <c r="I25" s="265"/>
      <c r="J25" s="265"/>
      <c r="K25" s="265"/>
      <c r="L25" s="265"/>
      <c r="M25" s="265" t="inlineStr">
        <is>
          <t xml:space="preserve">шт.</t>
        </is>
      </c>
      <c r="N25" s="133">
        <f>IF(OR(A25="Автомат",A25="Дифавтомат"),IF(W25="","",COUNTIF(Однолинейка!$H$3:$H$1000,U25)),IF(A25="Аппарат",IF(C25="","",COUNTIF(Однолинейка!$I$3:$I$1000,C25)+COUNTIF(Однолинейка!$J$3:$J$1000,C25)+COUNTIF(Однолинейка!$K$3:$K$1000,C25)),IF(A25="Модуль",IF(C25="","",COUNTIFS(Однолинейка!$AW$3:$AW$1000,"?*",Однолинейка!$AI$3:$AI$1000,C25)),IF(A25="Клемма",IF(C25="","",IF(C25=$S$7,SUM(Однолинейка!$BW$3:$BW$1000),IF(C25=$S$8,SUM(Однолинейка!$BX$3:$BX$1000),""))),""))))</f>
      </c>
      <c r="O25" s="265"/>
      <c r="P25" s="133">
        <f>IF(COUNT(N25,O25)=0,"",SUM(N25,O25))</f>
      </c>
      <c r="R25" s="265"/>
      <c r="U25" s="133">
        <f>IF(OR(A25="Автомат",A25="Дифавтомат"),I25&amp;" С"&amp;J25&amp;"А"&amp;IF(K25="да"," 30мА",""),"")</f>
      </c>
      <c r="V25" s="133">
        <f>IF(U25="","",B25&amp;"|"&amp;U25)</f>
      </c>
      <c r="W25" s="133">
        <f>IF(AND(U25&lt;&gt;"",OR($S$4="(все)",B25=$S$4),IF($S$4="(все)",COUNTIF($U$4:U25,U25),COUNTIFS($U$4:U25,U25,$B$4:B25,B25))=1),MAX($W$3:W24)+1,"")</f>
      </c>
      <c r="X25" s="133">
        <f>IFERROR(INDEX($U$4:$U$500,MATCH(ROW()-3,$W$4:$W$500,0)),"")</f>
      </c>
      <c r="Y25" s="133">
        <f>IF(AND(A25="Аппарат",C25&lt;&gt;"",OR($S$5="(все)",B25=$S$5)),MAX($Y$3:Y24)+1,"")</f>
      </c>
      <c r="Z25" s="133">
        <f>IFERROR(INDEX($C$4:$C$500,MATCH(ROW()-3,$Y$4:$Y$500,0)),"")</f>
      </c>
      <c r="AA25" s="133">
        <f>IF(AND(A25="Модуль",C25&lt;&gt;"",OR($S$6="(все)",B25=$S$6)),MAX($AA$3:AA24)+1,"")</f>
      </c>
      <c r="AB25" s="133">
        <f>IFERROR(INDEX($C$4:$C$500,MATCH(ROW()-3,$AA$4:$AA$500,0)),"")</f>
      </c>
      <c r="AC25" s="133">
        <f>IF(OR(B25="",COUNTIF($B$4:B25,B25)&gt;1),"",MAX($AC$3:AC24)+1)</f>
      </c>
      <c r="AD25" s="133">
        <f>IFERROR(INDEX($B$4:$B$500,MATCH(ROW()-3,$AC$4:$AC$500,0)),"")</f>
      </c>
      <c r="AE25" s="133">
        <f>IF(AND(A25&lt;&gt;"",N(P25)&gt;0),IFERROR(MATCH(A25,$R$12:$R$25,0),99)*1000+ROW(),"")</f>
      </c>
      <c r="AF25" s="133">
        <f>IF(AE25="","",COUNTIF($AE$4:$AE$500,"&lt;="&amp;AE25))</f>
      </c>
      <c r="AG25" s="133">
        <f>IF(Спецификация_авто!$L$28="","",IF(COUNTIF($C$4:$C$500,Спецификация_авто!$L$28)=0,Спецификация_авто!$L$28,""))</f>
      </c>
      <c r="AH25" s="133">
        <f>IF(AG25="","",COUNTIF($AG$4:AG25,"?*"))</f>
      </c>
    </row>
    <row r="26">
      <c r="A26" s="265" t="inlineStr">
        <is>
          <t xml:space="preserve">Модуль</t>
        </is>
      </c>
      <c r="B26" s="265" t="inlineStr">
        <is>
          <t xml:space="preserve">Zennio</t>
        </is>
      </c>
      <c r="C26" s="265" t="inlineStr">
        <is>
          <t xml:space="preserve">ZCL-8HT230</t>
        </is>
      </c>
      <c r="D26" s="265" t="inlineStr">
        <is>
          <t xml:space="preserve">R</t>
        </is>
      </c>
      <c r="E26" s="265">
        <v>8</v>
      </c>
      <c r="F26" s="265" t="inlineStr">
        <is>
          <t xml:space="preserve">клапаны 230В</t>
        </is>
      </c>
      <c r="G26" s="265" t="inlineStr">
        <is>
          <t xml:space="preserve">Актуатор клапанов отопления 230В</t>
        </is>
      </c>
      <c r="H26" s="265" t="inlineStr">
        <is>
          <t xml:space="preserve">ZCL-8HT230</t>
        </is>
      </c>
      <c r="I26" s="265"/>
      <c r="J26" s="265"/>
      <c r="K26" s="265"/>
      <c r="L26" s="265"/>
      <c r="M26" s="265" t="inlineStr">
        <is>
          <t xml:space="preserve">шт.</t>
        </is>
      </c>
      <c r="N26" s="133">
        <f>IF(OR(A26="Автомат",A26="Дифавтомат"),IF(W26="","",COUNTIF(Однолинейка!$H$3:$H$1000,U26)),IF(A26="Аппарат",IF(C26="","",COUNTIF(Однолинейка!$I$3:$I$1000,C26)+COUNTIF(Однолинейка!$J$3:$J$1000,C26)+COUNTIF(Однолинейка!$K$3:$K$1000,C26)),IF(A26="Модуль",IF(C26="","",COUNTIFS(Однолинейка!$AW$3:$AW$1000,"?*",Однолинейка!$AI$3:$AI$1000,C26)),IF(A26="Клемма",IF(C26="","",IF(C26=$S$7,SUM(Однолинейка!$BW$3:$BW$1000),IF(C26=$S$8,SUM(Однолинейка!$BX$3:$BX$1000),""))),""))))</f>
      </c>
      <c r="O26" s="265"/>
      <c r="P26" s="133">
        <f>IF(COUNT(N26,O26)=0,"",SUM(N26,O26))</f>
      </c>
      <c r="U26" s="133">
        <f>IF(OR(A26="Автомат",A26="Дифавтомат"),I26&amp;" С"&amp;J26&amp;"А"&amp;IF(K26="да"," 30мА",""),"")</f>
      </c>
      <c r="V26" s="133">
        <f>IF(U26="","",B26&amp;"|"&amp;U26)</f>
      </c>
      <c r="W26" s="133">
        <f>IF(AND(U26&lt;&gt;"",OR($S$4="(все)",B26=$S$4),IF($S$4="(все)",COUNTIF($U$4:U26,U26),COUNTIFS($U$4:U26,U26,$B$4:B26,B26))=1),MAX($W$3:W25)+1,"")</f>
      </c>
      <c r="X26" s="133">
        <f>IFERROR(INDEX($U$4:$U$500,MATCH(ROW()-3,$W$4:$W$500,0)),"")</f>
      </c>
      <c r="Y26" s="133">
        <f>IF(AND(A26="Аппарат",C26&lt;&gt;"",OR($S$5="(все)",B26=$S$5)),MAX($Y$3:Y25)+1,"")</f>
      </c>
      <c r="Z26" s="133">
        <f>IFERROR(INDEX($C$4:$C$500,MATCH(ROW()-3,$Y$4:$Y$500,0)),"")</f>
      </c>
      <c r="AA26" s="133">
        <f>IF(AND(A26="Модуль",C26&lt;&gt;"",OR($S$6="(все)",B26=$S$6)),MAX($AA$3:AA25)+1,"")</f>
      </c>
      <c r="AB26" s="133">
        <f>IFERROR(INDEX($C$4:$C$500,MATCH(ROW()-3,$AA$4:$AA$500,0)),"")</f>
      </c>
      <c r="AC26" s="133">
        <f>IF(OR(B26="",COUNTIF($B$4:B26,B26)&gt;1),"",MAX($AC$3:AC25)+1)</f>
      </c>
      <c r="AD26" s="133">
        <f>IFERROR(INDEX($B$4:$B$500,MATCH(ROW()-3,$AC$4:$AC$500,0)),"")</f>
      </c>
      <c r="AE26" s="133">
        <f>IF(AND(A26&lt;&gt;"",N(P26)&gt;0),IFERROR(MATCH(A26,$R$12:$R$25,0),99)*1000+ROW(),"")</f>
      </c>
      <c r="AF26" s="133">
        <f>IF(AE26="","",COUNTIF($AE$4:$AE$500,"&lt;="&amp;AE26))</f>
      </c>
      <c r="AG26" s="133">
        <f>IF(Спецификация_авто!$L$29="","",IF(COUNTIF($C$4:$C$500,Спецификация_авто!$L$29)=0,Спецификация_авто!$L$29,""))</f>
      </c>
      <c r="AH26" s="133">
        <f>IF(AG26="","",COUNTIF($AG$4:AG26,"?*"))</f>
      </c>
    </row>
    <row r="27">
      <c r="A27" s="265" t="inlineStr">
        <is>
          <t xml:space="preserve">Модуль</t>
        </is>
      </c>
      <c r="B27" s="265" t="inlineStr">
        <is>
          <t xml:space="preserve">Zennio</t>
        </is>
      </c>
      <c r="C27" s="265" t="inlineStr">
        <is>
          <t xml:space="preserve">ZDINDX4</t>
        </is>
      </c>
      <c r="D27" s="265" t="inlineStr">
        <is>
          <t xml:space="preserve">Di</t>
        </is>
      </c>
      <c r="E27" s="265">
        <v>4</v>
      </c>
      <c r="F27" s="265" t="inlineStr">
        <is>
          <t xml:space="preserve">диммер</t>
        </is>
      </c>
      <c r="G27" s="265" t="inlineStr">
        <is>
          <t xml:space="preserve">Универсальный 4-канальный диммер 220V</t>
        </is>
      </c>
      <c r="H27" s="265" t="inlineStr">
        <is>
          <t xml:space="preserve">ZDINDX4</t>
        </is>
      </c>
      <c r="I27" s="265"/>
      <c r="J27" s="265"/>
      <c r="K27" s="265"/>
      <c r="L27" s="265"/>
      <c r="M27" s="265" t="inlineStr">
        <is>
          <t xml:space="preserve">шт.</t>
        </is>
      </c>
      <c r="N27" s="133">
        <f>IF(OR(A27="Автомат",A27="Дифавтомат"),IF(W27="","",COUNTIF(Однолинейка!$H$3:$H$1000,U27)),IF(A27="Аппарат",IF(C27="","",COUNTIF(Однолинейка!$I$3:$I$1000,C27)+COUNTIF(Однолинейка!$J$3:$J$1000,C27)+COUNTIF(Однолинейка!$K$3:$K$1000,C27)),IF(A27="Модуль",IF(C27="","",COUNTIFS(Однолинейка!$AW$3:$AW$1000,"?*",Однолинейка!$AI$3:$AI$1000,C27)),IF(A27="Клемма",IF(C27="","",IF(C27=$S$7,SUM(Однолинейка!$BW$3:$BW$1000),IF(C27=$S$8,SUM(Однолинейка!$BX$3:$BX$1000),""))),""))))</f>
      </c>
      <c r="O27" s="265"/>
      <c r="P27" s="133">
        <f>IF(COUNT(N27,O27)=0,"",SUM(N27,O27))</f>
      </c>
      <c r="R27" s="130" t="inlineStr">
        <is>
          <t xml:space="preserve">ЕСТЬ В ОДНОЛИНЕЙКЕ, НО НЕТ В КАТАЛОГЕ — добавьте строку:</t>
        </is>
      </c>
      <c r="S27" s="130"/>
      <c r="U27" s="133">
        <f>IF(OR(A27="Автомат",A27="Дифавтомат"),I27&amp;" С"&amp;J27&amp;"А"&amp;IF(K27="да"," 30мА",""),"")</f>
      </c>
      <c r="V27" s="133">
        <f>IF(U27="","",B27&amp;"|"&amp;U27)</f>
      </c>
      <c r="W27" s="133">
        <f>IF(AND(U27&lt;&gt;"",OR($S$4="(все)",B27=$S$4),IF($S$4="(все)",COUNTIF($U$4:U27,U27),COUNTIFS($U$4:U27,U27,$B$4:B27,B27))=1),MAX($W$3:W26)+1,"")</f>
      </c>
      <c r="X27" s="133">
        <f>IFERROR(INDEX($U$4:$U$500,MATCH(ROW()-3,$W$4:$W$500,0)),"")</f>
      </c>
      <c r="Y27" s="133">
        <f>IF(AND(A27="Аппарат",C27&lt;&gt;"",OR($S$5="(все)",B27=$S$5)),MAX($Y$3:Y26)+1,"")</f>
      </c>
      <c r="Z27" s="133">
        <f>IFERROR(INDEX($C$4:$C$500,MATCH(ROW()-3,$Y$4:$Y$500,0)),"")</f>
      </c>
      <c r="AA27" s="133">
        <f>IF(AND(A27="Модуль",C27&lt;&gt;"",OR($S$6="(все)",B27=$S$6)),MAX($AA$3:AA26)+1,"")</f>
      </c>
      <c r="AB27" s="133">
        <f>IFERROR(INDEX($C$4:$C$500,MATCH(ROW()-3,$AA$4:$AA$500,0)),"")</f>
      </c>
      <c r="AC27" s="133">
        <f>IF(OR(B27="",COUNTIF($B$4:B27,B27)&gt;1),"",MAX($AC$3:AC26)+1)</f>
      </c>
      <c r="AD27" s="133">
        <f>IFERROR(INDEX($B$4:$B$500,MATCH(ROW()-3,$AC$4:$AC$500,0)),"")</f>
      </c>
      <c r="AE27" s="133">
        <f>IF(AND(A27&lt;&gt;"",N(P27)&gt;0),IFERROR(MATCH(A27,$R$12:$R$25,0),99)*1000+ROW(),"")</f>
      </c>
      <c r="AF27" s="133">
        <f>IF(AE27="","",COUNTIF($AE$4:$AE$500,"&lt;="&amp;AE27))</f>
      </c>
      <c r="AG27" s="133">
        <f>IF(Спецификация_авто!$L$30="","",IF(COUNTIF($C$4:$C$500,Спецификация_авто!$L$30)=0,Спецификация_авто!$L$30,""))</f>
      </c>
      <c r="AH27" s="133">
        <f>IF(AG27="","",COUNTIF($AG$4:AG27,"?*"))</f>
      </c>
    </row>
    <row r="28">
      <c r="A28" s="265" t="inlineStr">
        <is>
          <t xml:space="preserve">Модуль</t>
        </is>
      </c>
      <c r="B28" s="265" t="inlineStr">
        <is>
          <t xml:space="preserve">Zennio</t>
        </is>
      </c>
      <c r="C28" s="265" t="inlineStr">
        <is>
          <t xml:space="preserve">ZDID64X2</t>
        </is>
      </c>
      <c r="D28" s="265" t="inlineStr">
        <is>
          <t xml:space="preserve">DA</t>
        </is>
      </c>
      <c r="E28" s="265">
        <v>2</v>
      </c>
      <c r="F28" s="265" t="inlineStr">
        <is>
          <t xml:space="preserve">DALI</t>
        </is>
      </c>
      <c r="G28" s="265" t="inlineStr">
        <is>
          <t xml:space="preserve">Интерфейс KNX-DALI</t>
        </is>
      </c>
      <c r="H28" s="265" t="inlineStr">
        <is>
          <t xml:space="preserve">ZDID64X2</t>
        </is>
      </c>
      <c r="I28" s="265"/>
      <c r="J28" s="265"/>
      <c r="K28" s="265"/>
      <c r="L28" s="265"/>
      <c r="M28" s="265" t="inlineStr">
        <is>
          <t xml:space="preserve">шт.</t>
        </is>
      </c>
      <c r="N28" s="133">
        <f>IF(OR(A28="Автомат",A28="Дифавтомат"),IF(W28="","",COUNTIF(Однолинейка!$H$3:$H$1000,U28)),IF(A28="Аппарат",IF(C28="","",COUNTIF(Однолинейка!$I$3:$I$1000,C28)+COUNTIF(Однолинейка!$J$3:$J$1000,C28)+COUNTIF(Однолинейка!$K$3:$K$1000,C28)),IF(A28="Модуль",IF(C28="","",COUNTIFS(Однолинейка!$AW$3:$AW$1000,"?*",Однолинейка!$AI$3:$AI$1000,C28)),IF(A28="Клемма",IF(C28="","",IF(C28=$S$7,SUM(Однолинейка!$BW$3:$BW$1000),IF(C28=$S$8,SUM(Однолинейка!$BX$3:$BX$1000),""))),""))))</f>
      </c>
      <c r="O28" s="265"/>
      <c r="P28" s="133">
        <f>IF(COUNT(N28,O28)=0,"",SUM(N28,O28))</f>
      </c>
      <c r="R28" s="133">
        <f>IFERROR(INDEX($AG$4:$AG$43,MATCH(1,$AH$4:$AH$43,0)),"")</f>
      </c>
      <c r="U28" s="133">
        <f>IF(OR(A28="Автомат",A28="Дифавтомат"),I28&amp;" С"&amp;J28&amp;"А"&amp;IF(K28="да"," 30мА",""),"")</f>
      </c>
      <c r="V28" s="133">
        <f>IF(U28="","",B28&amp;"|"&amp;U28)</f>
      </c>
      <c r="W28" s="133">
        <f>IF(AND(U28&lt;&gt;"",OR($S$4="(все)",B28=$S$4),IF($S$4="(все)",COUNTIF($U$4:U28,U28),COUNTIFS($U$4:U28,U28,$B$4:B28,B28))=1),MAX($W$3:W27)+1,"")</f>
      </c>
      <c r="X28" s="133">
        <f>IFERROR(INDEX($U$4:$U$500,MATCH(ROW()-3,$W$4:$W$500,0)),"")</f>
      </c>
      <c r="Y28" s="133">
        <f>IF(AND(A28="Аппарат",C28&lt;&gt;"",OR($S$5="(все)",B28=$S$5)),MAX($Y$3:Y27)+1,"")</f>
      </c>
      <c r="Z28" s="133">
        <f>IFERROR(INDEX($C$4:$C$500,MATCH(ROW()-3,$Y$4:$Y$500,0)),"")</f>
      </c>
      <c r="AA28" s="133">
        <f>IF(AND(A28="Модуль",C28&lt;&gt;"",OR($S$6="(все)",B28=$S$6)),MAX($AA$3:AA27)+1,"")</f>
      </c>
      <c r="AB28" s="133">
        <f>IFERROR(INDEX($C$4:$C$500,MATCH(ROW()-3,$AA$4:$AA$500,0)),"")</f>
      </c>
      <c r="AC28" s="133">
        <f>IF(OR(B28="",COUNTIF($B$4:B28,B28)&gt;1),"",MAX($AC$3:AC27)+1)</f>
      </c>
      <c r="AD28" s="133">
        <f>IFERROR(INDEX($B$4:$B$500,MATCH(ROW()-3,$AC$4:$AC$500,0)),"")</f>
      </c>
      <c r="AE28" s="133">
        <f>IF(AND(A28&lt;&gt;"",N(P28)&gt;0),IFERROR(MATCH(A28,$R$12:$R$25,0),99)*1000+ROW(),"")</f>
      </c>
      <c r="AF28" s="133">
        <f>IF(AE28="","",COUNTIF($AE$4:$AE$500,"&lt;="&amp;AE28))</f>
      </c>
      <c r="AG28" s="133">
        <f>IF(Спецификация_авто!$L$31="","",IF(COUNTIF($C$4:$C$500,Спецификация_авто!$L$31)=0,Спецификация_авто!$L$31,""))</f>
      </c>
      <c r="AH28" s="133">
        <f>IF(AG28="","",COUNTIF($AG$4:AG28,"?*"))</f>
      </c>
    </row>
    <row r="29">
      <c r="A29" s="265" t="inlineStr">
        <is>
          <t xml:space="preserve">Модуль</t>
        </is>
      </c>
      <c r="B29" s="265" t="inlineStr">
        <is>
          <t xml:space="preserve">Zennio</t>
        </is>
      </c>
      <c r="C29" s="265" t="inlineStr">
        <is>
          <t xml:space="preserve">ZIO-RQUAD8</t>
        </is>
      </c>
      <c r="D29" s="265" t="inlineStr">
        <is>
          <t xml:space="preserve">IN</t>
        </is>
      </c>
      <c r="E29" s="265">
        <v>8</v>
      </c>
      <c r="F29" s="265" t="inlineStr">
        <is>
          <t xml:space="preserve">входы</t>
        </is>
      </c>
      <c r="G29" s="265" t="inlineStr">
        <is>
          <t xml:space="preserve">Модуль входов с 8 аналогово-цифровыми входами</t>
        </is>
      </c>
      <c r="H29" s="265" t="inlineStr">
        <is>
          <t xml:space="preserve">ZIO-RQUAD8</t>
        </is>
      </c>
      <c r="I29" s="265"/>
      <c r="J29" s="265"/>
      <c r="K29" s="265"/>
      <c r="L29" s="265"/>
      <c r="M29" s="265" t="inlineStr">
        <is>
          <t xml:space="preserve">шт.</t>
        </is>
      </c>
      <c r="N29" s="133">
        <f>IF(OR(A29="Автомат",A29="Дифавтомат"),IF(W29="","",COUNTIF(Однолинейка!$H$3:$H$1000,U29)),IF(A29="Аппарат",IF(C29="","",COUNTIF(Однолинейка!$I$3:$I$1000,C29)+COUNTIF(Однолинейка!$J$3:$J$1000,C29)+COUNTIF(Однолинейка!$K$3:$K$1000,C29)),IF(A29="Модуль",IF(C29="","",COUNTIFS(Однолинейка!$AW$3:$AW$1000,"?*",Однолинейка!$AI$3:$AI$1000,C29)),IF(A29="Клемма",IF(C29="","",IF(C29=$S$7,SUM(Однолинейка!$BW$3:$BW$1000),IF(C29=$S$8,SUM(Однолинейка!$BX$3:$BX$1000),""))),""))))</f>
      </c>
      <c r="O29" s="265"/>
      <c r="P29" s="133">
        <f>IF(COUNT(N29,O29)=0,"",SUM(N29,O29))</f>
      </c>
      <c r="R29" s="133">
        <f>IFERROR(INDEX($AG$4:$AG$43,MATCH(2,$AH$4:$AH$43,0)),"")</f>
      </c>
      <c r="U29" s="133">
        <f>IF(OR(A29="Автомат",A29="Дифавтомат"),I29&amp;" С"&amp;J29&amp;"А"&amp;IF(K29="да"," 30мА",""),"")</f>
      </c>
      <c r="V29" s="133">
        <f>IF(U29="","",B29&amp;"|"&amp;U29)</f>
      </c>
      <c r="W29" s="133">
        <f>IF(AND(U29&lt;&gt;"",OR($S$4="(все)",B29=$S$4),IF($S$4="(все)",COUNTIF($U$4:U29,U29),COUNTIFS($U$4:U29,U29,$B$4:B29,B29))=1),MAX($W$3:W28)+1,"")</f>
      </c>
      <c r="X29" s="133">
        <f>IFERROR(INDEX($U$4:$U$500,MATCH(ROW()-3,$W$4:$W$500,0)),"")</f>
      </c>
      <c r="Y29" s="133">
        <f>IF(AND(A29="Аппарат",C29&lt;&gt;"",OR($S$5="(все)",B29=$S$5)),MAX($Y$3:Y28)+1,"")</f>
      </c>
      <c r="Z29" s="133">
        <f>IFERROR(INDEX($C$4:$C$500,MATCH(ROW()-3,$Y$4:$Y$500,0)),"")</f>
      </c>
      <c r="AA29" s="133">
        <f>IF(AND(A29="Модуль",C29&lt;&gt;"",OR($S$6="(все)",B29=$S$6)),MAX($AA$3:AA28)+1,"")</f>
      </c>
      <c r="AB29" s="133">
        <f>IFERROR(INDEX($C$4:$C$500,MATCH(ROW()-3,$AA$4:$AA$500,0)),"")</f>
      </c>
      <c r="AC29" s="133">
        <f>IF(OR(B29="",COUNTIF($B$4:B29,B29)&gt;1),"",MAX($AC$3:AC28)+1)</f>
      </c>
      <c r="AD29" s="133">
        <f>IFERROR(INDEX($B$4:$B$500,MATCH(ROW()-3,$AC$4:$AC$500,0)),"")</f>
      </c>
      <c r="AE29" s="133">
        <f>IF(AND(A29&lt;&gt;"",N(P29)&gt;0),IFERROR(MATCH(A29,$R$12:$R$25,0),99)*1000+ROW(),"")</f>
      </c>
      <c r="AF29" s="133">
        <f>IF(AE29="","",COUNTIF($AE$4:$AE$500,"&lt;="&amp;AE29))</f>
      </c>
      <c r="AG29" s="133">
        <f>IF(Спецификация_авто!$L$32="","",IF(COUNTIF($C$4:$C$500,Спецификация_авто!$L$32)=0,Спецификация_авто!$L$32,""))</f>
      </c>
      <c r="AH29" s="133">
        <f>IF(AG29="","",COUNTIF($AG$4:AG29,"?*"))</f>
      </c>
    </row>
    <row r="30">
      <c r="A30" s="265" t="inlineStr">
        <is>
          <t xml:space="preserve">Модуль</t>
        </is>
      </c>
      <c r="B30" s="265" t="inlineStr">
        <is>
          <t xml:space="preserve">Arlight</t>
        </is>
      </c>
      <c r="C30" s="265" t="inlineStr">
        <is>
          <t xml:space="preserve">SMART-DALI-104</t>
        </is>
      </c>
      <c r="D30" s="265" t="inlineStr">
        <is>
          <t xml:space="preserve">Di</t>
        </is>
      </c>
      <c r="E30" s="265">
        <v>4</v>
      </c>
      <c r="F30" s="265" t="inlineStr">
        <is>
          <t xml:space="preserve">диммер DALI</t>
        </is>
      </c>
      <c r="G30" s="265" t="inlineStr">
        <is>
          <t xml:space="preserve">Диммер SMART-DALI-104-62-ADDR-DIM-DT6-DIN White (12-24V, 4x5A)</t>
        </is>
      </c>
      <c r="H30" s="265" t="inlineStr">
        <is>
          <t xml:space="preserve">028422</t>
        </is>
      </c>
      <c r="I30" s="265"/>
      <c r="J30" s="265"/>
      <c r="K30" s="265"/>
      <c r="L30" s="265"/>
      <c r="M30" s="265" t="inlineStr">
        <is>
          <t xml:space="preserve">шт.</t>
        </is>
      </c>
      <c r="N30" s="133">
        <f>IF(OR(A30="Автомат",A30="Дифавтомат"),IF(W30="","",COUNTIF(Однолинейка!$H$3:$H$1000,U30)),IF(A30="Аппарат",IF(C30="","",COUNTIF(Однолинейка!$I$3:$I$1000,C30)+COUNTIF(Однолинейка!$J$3:$J$1000,C30)+COUNTIF(Однолинейка!$K$3:$K$1000,C30)),IF(A30="Модуль",IF(C30="","",COUNTIFS(Однолинейка!$AW$3:$AW$1000,"?*",Однолинейка!$AI$3:$AI$1000,C30)),IF(A30="Клемма",IF(C30="","",IF(C30=$S$7,SUM(Однолинейка!$BW$3:$BW$1000),IF(C30=$S$8,SUM(Однолинейка!$BX$3:$BX$1000),""))),""))))</f>
      </c>
      <c r="O30" s="265"/>
      <c r="P30" s="133">
        <f>IF(COUNT(N30,O30)=0,"",SUM(N30,O30))</f>
      </c>
      <c r="R30" s="133">
        <f>IFERROR(INDEX($AG$4:$AG$43,MATCH(3,$AH$4:$AH$43,0)),"")</f>
      </c>
      <c r="U30" s="133">
        <f>IF(OR(A30="Автомат",A30="Дифавтомат"),I30&amp;" С"&amp;J30&amp;"А"&amp;IF(K30="да"," 30мА",""),"")</f>
      </c>
      <c r="V30" s="133">
        <f>IF(U30="","",B30&amp;"|"&amp;U30)</f>
      </c>
      <c r="W30" s="133">
        <f>IF(AND(U30&lt;&gt;"",OR($S$4="(все)",B30=$S$4),IF($S$4="(все)",COUNTIF($U$4:U30,U30),COUNTIFS($U$4:U30,U30,$B$4:B30,B30))=1),MAX($W$3:W29)+1,"")</f>
      </c>
      <c r="X30" s="133">
        <f>IFERROR(INDEX($U$4:$U$500,MATCH(ROW()-3,$W$4:$W$500,0)),"")</f>
      </c>
      <c r="Y30" s="133">
        <f>IF(AND(A30="Аппарат",C30&lt;&gt;"",OR($S$5="(все)",B30=$S$5)),MAX($Y$3:Y29)+1,"")</f>
      </c>
      <c r="Z30" s="133">
        <f>IFERROR(INDEX($C$4:$C$500,MATCH(ROW()-3,$Y$4:$Y$500,0)),"")</f>
      </c>
      <c r="AA30" s="133">
        <f>IF(AND(A30="Модуль",C30&lt;&gt;"",OR($S$6="(все)",B30=$S$6)),MAX($AA$3:AA29)+1,"")</f>
      </c>
      <c r="AB30" s="133">
        <f>IFERROR(INDEX($C$4:$C$500,MATCH(ROW()-3,$AA$4:$AA$500,0)),"")</f>
      </c>
      <c r="AC30" s="133">
        <f>IF(OR(B30="",COUNTIF($B$4:B30,B30)&gt;1),"",MAX($AC$3:AC29)+1)</f>
      </c>
      <c r="AD30" s="133">
        <f>IFERROR(INDEX($B$4:$B$500,MATCH(ROW()-3,$AC$4:$AC$500,0)),"")</f>
      </c>
      <c r="AE30" s="133">
        <f>IF(AND(A30&lt;&gt;"",N(P30)&gt;0),IFERROR(MATCH(A30,$R$12:$R$25,0),99)*1000+ROW(),"")</f>
      </c>
      <c r="AF30" s="133">
        <f>IF(AE30="","",COUNTIF($AE$4:$AE$500,"&lt;="&amp;AE30))</f>
      </c>
      <c r="AG30" s="133">
        <f>IF(Спецификация_авто!$L$33="","",IF(COUNTIF($C$4:$C$500,Спецификация_авто!$L$33)=0,Спецификация_авто!$L$33,""))</f>
      </c>
      <c r="AH30" s="133">
        <f>IF(AG30="","",COUNTIF($AG$4:AG30,"?*"))</f>
      </c>
    </row>
    <row r="31">
      <c r="A31" s="265" t="inlineStr">
        <is>
          <t xml:space="preserve">Модуль</t>
        </is>
      </c>
      <c r="B31" s="265" t="inlineStr">
        <is>
          <t xml:space="preserve">—</t>
        </is>
      </c>
      <c r="C31" s="265" t="inlineStr">
        <is>
          <t xml:space="preserve">уточнить-R</t>
        </is>
      </c>
      <c r="D31" s="265" t="inlineStr">
        <is>
          <t xml:space="preserve">R</t>
        </is>
      </c>
      <c r="E31" s="265">
        <v>24</v>
      </c>
      <c r="F31" s="265" t="inlineStr">
        <is>
          <t xml:space="preserve">реле</t>
        </is>
      </c>
      <c r="G31" s="265" t="inlineStr">
        <is>
          <t xml:space="preserve">Модель уточнить</t>
        </is>
      </c>
      <c r="H31" s="265"/>
      <c r="I31" s="265"/>
      <c r="J31" s="265"/>
      <c r="K31" s="265"/>
      <c r="L31" s="265"/>
      <c r="M31" s="265" t="inlineStr">
        <is>
          <t xml:space="preserve">шт.</t>
        </is>
      </c>
      <c r="N31" s="133">
        <f>IF(OR(A31="Автомат",A31="Дифавтомат"),IF(W31="","",COUNTIF(Однолинейка!$H$3:$H$1000,U31)),IF(A31="Аппарат",IF(C31="","",COUNTIF(Однолинейка!$I$3:$I$1000,C31)+COUNTIF(Однолинейка!$J$3:$J$1000,C31)+COUNTIF(Однолинейка!$K$3:$K$1000,C31)),IF(A31="Модуль",IF(C31="","",COUNTIFS(Однолинейка!$AW$3:$AW$1000,"?*",Однолинейка!$AI$3:$AI$1000,C31)),IF(A31="Клемма",IF(C31="","",IF(C31=$S$7,SUM(Однолинейка!$BW$3:$BW$1000),IF(C31=$S$8,SUM(Однолинейка!$BX$3:$BX$1000),""))),""))))</f>
      </c>
      <c r="O31" s="265"/>
      <c r="P31" s="133">
        <f>IF(COUNT(N31,O31)=0,"",SUM(N31,O31))</f>
      </c>
      <c r="R31" s="133">
        <f>IFERROR(INDEX($AG$4:$AG$43,MATCH(4,$AH$4:$AH$43,0)),"")</f>
      </c>
      <c r="U31" s="133">
        <f>IF(OR(A31="Автомат",A31="Дифавтомат"),I31&amp;" С"&amp;J31&amp;"А"&amp;IF(K31="да"," 30мА",""),"")</f>
      </c>
      <c r="V31" s="133">
        <f>IF(U31="","",B31&amp;"|"&amp;U31)</f>
      </c>
      <c r="W31" s="133">
        <f>IF(AND(U31&lt;&gt;"",OR($S$4="(все)",B31=$S$4),IF($S$4="(все)",COUNTIF($U$4:U31,U31),COUNTIFS($U$4:U31,U31,$B$4:B31,B31))=1),MAX($W$3:W30)+1,"")</f>
      </c>
      <c r="X31" s="133">
        <f>IFERROR(INDEX($U$4:$U$500,MATCH(ROW()-3,$W$4:$W$500,0)),"")</f>
      </c>
      <c r="Y31" s="133">
        <f>IF(AND(A31="Аппарат",C31&lt;&gt;"",OR($S$5="(все)",B31=$S$5)),MAX($Y$3:Y30)+1,"")</f>
      </c>
      <c r="Z31" s="133">
        <f>IFERROR(INDEX($C$4:$C$500,MATCH(ROW()-3,$Y$4:$Y$500,0)),"")</f>
      </c>
      <c r="AA31" s="133">
        <f>IF(AND(A31="Модуль",C31&lt;&gt;"",OR($S$6="(все)",B31=$S$6)),MAX($AA$3:AA30)+1,"")</f>
      </c>
      <c r="AB31" s="133">
        <f>IFERROR(INDEX($C$4:$C$500,MATCH(ROW()-3,$AA$4:$AA$500,0)),"")</f>
      </c>
      <c r="AC31" s="133">
        <f>IF(OR(B31="",COUNTIF($B$4:B31,B31)&gt;1),"",MAX($AC$3:AC30)+1)</f>
      </c>
      <c r="AD31" s="133">
        <f>IFERROR(INDEX($B$4:$B$500,MATCH(ROW()-3,$AC$4:$AC$500,0)),"")</f>
      </c>
      <c r="AE31" s="133">
        <f>IF(AND(A31&lt;&gt;"",N(P31)&gt;0),IFERROR(MATCH(A31,$R$12:$R$25,0),99)*1000+ROW(),"")</f>
      </c>
      <c r="AF31" s="133">
        <f>IF(AE31="","",COUNTIF($AE$4:$AE$500,"&lt;="&amp;AE31))</f>
      </c>
      <c r="AG31" s="133">
        <f>IF(Спецификация_авто!$L$34="","",IF(COUNTIF($C$4:$C$500,Спецификация_авто!$L$34)=0,Спецификация_авто!$L$34,""))</f>
      </c>
      <c r="AH31" s="133">
        <f>IF(AG31="","",COUNTIF($AG$4:AG31,"?*"))</f>
      </c>
    </row>
    <row r="32">
      <c r="A32" s="265" t="inlineStr">
        <is>
          <t xml:space="preserve">Модуль</t>
        </is>
      </c>
      <c r="B32" s="265" t="inlineStr">
        <is>
          <t xml:space="preserve">—</t>
        </is>
      </c>
      <c r="C32" s="265" t="inlineStr">
        <is>
          <t xml:space="preserve">уточнить-Z</t>
        </is>
      </c>
      <c r="D32" s="265" t="inlineStr">
        <is>
          <t xml:space="preserve">Z</t>
        </is>
      </c>
      <c r="E32" s="265">
        <v>8</v>
      </c>
      <c r="F32" s="265" t="inlineStr">
        <is>
          <t xml:space="preserve">датчики</t>
        </is>
      </c>
      <c r="G32" s="265" t="inlineStr">
        <is>
          <t xml:space="preserve">Модель уточнить</t>
        </is>
      </c>
      <c r="H32" s="265"/>
      <c r="I32" s="265"/>
      <c r="J32" s="265"/>
      <c r="K32" s="265"/>
      <c r="L32" s="265"/>
      <c r="M32" s="265" t="inlineStr">
        <is>
          <t xml:space="preserve">шт.</t>
        </is>
      </c>
      <c r="N32" s="133">
        <f>IF(OR(A32="Автомат",A32="Дифавтомат"),IF(W32="","",COUNTIF(Однолинейка!$H$3:$H$1000,U32)),IF(A32="Аппарат",IF(C32="","",COUNTIF(Однолинейка!$I$3:$I$1000,C32)+COUNTIF(Однолинейка!$J$3:$J$1000,C32)+COUNTIF(Однолинейка!$K$3:$K$1000,C32)),IF(A32="Модуль",IF(C32="","",COUNTIFS(Однолинейка!$AW$3:$AW$1000,"?*",Однолинейка!$AI$3:$AI$1000,C32)),IF(A32="Клемма",IF(C32="","",IF(C32=$S$7,SUM(Однолинейка!$BW$3:$BW$1000),IF(C32=$S$8,SUM(Однолинейка!$BX$3:$BX$1000),""))),""))))</f>
      </c>
      <c r="O32" s="265"/>
      <c r="P32" s="133">
        <f>IF(COUNT(N32,O32)=0,"",SUM(N32,O32))</f>
      </c>
      <c r="R32" s="133">
        <f>IFERROR(INDEX($AG$4:$AG$43,MATCH(5,$AH$4:$AH$43,0)),"")</f>
      </c>
      <c r="U32" s="133">
        <f>IF(OR(A32="Автомат",A32="Дифавтомат"),I32&amp;" С"&amp;J32&amp;"А"&amp;IF(K32="да"," 30мА",""),"")</f>
      </c>
      <c r="V32" s="133">
        <f>IF(U32="","",B32&amp;"|"&amp;U32)</f>
      </c>
      <c r="W32" s="133">
        <f>IF(AND(U32&lt;&gt;"",OR($S$4="(все)",B32=$S$4),IF($S$4="(все)",COUNTIF($U$4:U32,U32),COUNTIFS($U$4:U32,U32,$B$4:B32,B32))=1),MAX($W$3:W31)+1,"")</f>
      </c>
      <c r="X32" s="133">
        <f>IFERROR(INDEX($U$4:$U$500,MATCH(ROW()-3,$W$4:$W$500,0)),"")</f>
      </c>
      <c r="Y32" s="133">
        <f>IF(AND(A32="Аппарат",C32&lt;&gt;"",OR($S$5="(все)",B32=$S$5)),MAX($Y$3:Y31)+1,"")</f>
      </c>
      <c r="Z32" s="133">
        <f>IFERROR(INDEX($C$4:$C$500,MATCH(ROW()-3,$Y$4:$Y$500,0)),"")</f>
      </c>
      <c r="AA32" s="133">
        <f>IF(AND(A32="Модуль",C32&lt;&gt;"",OR($S$6="(все)",B32=$S$6)),MAX($AA$3:AA31)+1,"")</f>
      </c>
      <c r="AB32" s="133">
        <f>IFERROR(INDEX($C$4:$C$500,MATCH(ROW()-3,$AA$4:$AA$500,0)),"")</f>
      </c>
      <c r="AC32" s="133">
        <f>IF(OR(B32="",COUNTIF($B$4:B32,B32)&gt;1),"",MAX($AC$3:AC31)+1)</f>
      </c>
      <c r="AD32" s="133">
        <f>IFERROR(INDEX($B$4:$B$500,MATCH(ROW()-3,$AC$4:$AC$500,0)),"")</f>
      </c>
      <c r="AE32" s="133">
        <f>IF(AND(A32&lt;&gt;"",N(P32)&gt;0),IFERROR(MATCH(A32,$R$12:$R$25,0),99)*1000+ROW(),"")</f>
      </c>
      <c r="AF32" s="133">
        <f>IF(AE32="","",COUNTIF($AE$4:$AE$500,"&lt;="&amp;AE32))</f>
      </c>
      <c r="AG32" s="133">
        <f>IF(Спецификация_авто!$L$35="","",IF(COUNTIF($C$4:$C$500,Спецификация_авто!$L$35)=0,Спецификация_авто!$L$35,""))</f>
      </c>
      <c r="AH32" s="133">
        <f>IF(AG32="","",COUNTIF($AG$4:AG32,"?*"))</f>
      </c>
    </row>
    <row r="33">
      <c r="A33" s="265" t="inlineStr">
        <is>
          <t xml:space="preserve">Клемма</t>
        </is>
      </c>
      <c r="B33" s="265" t="inlineStr">
        <is>
          <t xml:space="preserve">DKC</t>
        </is>
      </c>
      <c r="C33" s="265" t="inlineStr">
        <is>
          <t xml:space="preserve">VPR-2.5-3L-GY</t>
        </is>
      </c>
      <c r="D33" s="265"/>
      <c r="E33" s="265"/>
      <c r="F33" s="265"/>
      <c r="G33" s="265" t="inlineStr">
        <is>
          <t xml:space="preserve">Клемма трёхуровневая push-in, 6 точек, 2.5 кв.мм</t>
        </is>
      </c>
      <c r="H33" s="265" t="inlineStr">
        <is>
          <t xml:space="preserve">VPR-2.5-3L-GY</t>
        </is>
      </c>
      <c r="I33" s="265"/>
      <c r="J33" s="265"/>
      <c r="K33" s="265"/>
      <c r="L33" s="265"/>
      <c r="M33" s="265" t="inlineStr">
        <is>
          <t xml:space="preserve">шт.</t>
        </is>
      </c>
      <c r="N33" s="133">
        <f>IF(OR(A33="Автомат",A33="Дифавтомат"),IF(W33="","",COUNTIF(Однолинейка!$H$3:$H$1000,U33)),IF(A33="Аппарат",IF(C33="","",COUNTIF(Однолинейка!$I$3:$I$1000,C33)+COUNTIF(Однолинейка!$J$3:$J$1000,C33)+COUNTIF(Однолинейка!$K$3:$K$1000,C33)),IF(A33="Модуль",IF(C33="","",COUNTIFS(Однолинейка!$AW$3:$AW$1000,"?*",Однолинейка!$AI$3:$AI$1000,C33)),IF(A33="Клемма",IF(C33="","",IF(C33=$S$7,SUM(Однолинейка!$BW$3:$BW$1000),IF(C33=$S$8,SUM(Однолинейка!$BX$3:$BX$1000),""))),""))))</f>
      </c>
      <c r="O33" s="265"/>
      <c r="P33" s="133">
        <f>IF(COUNT(N33,O33)=0,"",SUM(N33,O33))</f>
      </c>
      <c r="R33" s="133">
        <f>IFERROR(INDEX($AG$4:$AG$43,MATCH(6,$AH$4:$AH$43,0)),"")</f>
      </c>
      <c r="U33" s="133">
        <f>IF(OR(A33="Автомат",A33="Дифавтомат"),I33&amp;" С"&amp;J33&amp;"А"&amp;IF(K33="да"," 30мА",""),"")</f>
      </c>
      <c r="V33" s="133">
        <f>IF(U33="","",B33&amp;"|"&amp;U33)</f>
      </c>
      <c r="W33" s="133">
        <f>IF(AND(U33&lt;&gt;"",OR($S$4="(все)",B33=$S$4),IF($S$4="(все)",COUNTIF($U$4:U33,U33),COUNTIFS($U$4:U33,U33,$B$4:B33,B33))=1),MAX($W$3:W32)+1,"")</f>
      </c>
      <c r="X33" s="133">
        <f>IFERROR(INDEX($U$4:$U$500,MATCH(ROW()-3,$W$4:$W$500,0)),"")</f>
      </c>
      <c r="Y33" s="133">
        <f>IF(AND(A33="Аппарат",C33&lt;&gt;"",OR($S$5="(все)",B33=$S$5)),MAX($Y$3:Y32)+1,"")</f>
      </c>
      <c r="Z33" s="133">
        <f>IFERROR(INDEX($C$4:$C$500,MATCH(ROW()-3,$Y$4:$Y$500,0)),"")</f>
      </c>
      <c r="AA33" s="133">
        <f>IF(AND(A33="Модуль",C33&lt;&gt;"",OR($S$6="(все)",B33=$S$6)),MAX($AA$3:AA32)+1,"")</f>
      </c>
      <c r="AB33" s="133">
        <f>IFERROR(INDEX($C$4:$C$500,MATCH(ROW()-3,$AA$4:$AA$500,0)),"")</f>
      </c>
      <c r="AC33" s="133">
        <f>IF(OR(B33="",COUNTIF($B$4:B33,B33)&gt;1),"",MAX($AC$3:AC32)+1)</f>
      </c>
      <c r="AD33" s="133">
        <f>IFERROR(INDEX($B$4:$B$500,MATCH(ROW()-3,$AC$4:$AC$500,0)),"")</f>
      </c>
      <c r="AE33" s="133">
        <f>IF(AND(A33&lt;&gt;"",N(P33)&gt;0),IFERROR(MATCH(A33,$R$12:$R$25,0),99)*1000+ROW(),"")</f>
      </c>
      <c r="AF33" s="133">
        <f>IF(AE33="","",COUNTIF($AE$4:$AE$500,"&lt;="&amp;AE33))</f>
      </c>
      <c r="AG33" s="133">
        <f>IF(Спецификация_авто!$L$36="","",IF(COUNTIF($C$4:$C$500,Спецификация_авто!$L$36)=0,Спецификация_авто!$L$36,""))</f>
      </c>
      <c r="AH33" s="133">
        <f>IF(AG33="","",COUNTIF($AG$4:AG33,"?*"))</f>
      </c>
    </row>
    <row r="34">
      <c r="A34" s="265" t="inlineStr">
        <is>
          <t xml:space="preserve">Клемма</t>
        </is>
      </c>
      <c r="B34" s="265" t="inlineStr">
        <is>
          <t xml:space="preserve">DKC</t>
        </is>
      </c>
      <c r="C34" s="265" t="inlineStr">
        <is>
          <t xml:space="preserve">VPR-2.5-QUATTRO-GY</t>
        </is>
      </c>
      <c r="D34" s="265"/>
      <c r="E34" s="265"/>
      <c r="F34" s="265"/>
      <c r="G34" s="265" t="inlineStr">
        <is>
          <t xml:space="preserve">Клемма проходная push-in, 4 точки, 2.5 кв.мм, серая</t>
        </is>
      </c>
      <c r="H34" s="265" t="inlineStr">
        <is>
          <t xml:space="preserve">VPR-2.5-QUATTRO-GY</t>
        </is>
      </c>
      <c r="I34" s="265"/>
      <c r="J34" s="265"/>
      <c r="K34" s="265"/>
      <c r="L34" s="265"/>
      <c r="M34" s="265" t="inlineStr">
        <is>
          <t xml:space="preserve">шт.</t>
        </is>
      </c>
      <c r="N34" s="133">
        <f>IF(OR(A34="Автомат",A34="Дифавтомат"),IF(W34="","",COUNTIF(Однолинейка!$H$3:$H$1000,U34)),IF(A34="Аппарат",IF(C34="","",COUNTIF(Однолинейка!$I$3:$I$1000,C34)+COUNTIF(Однолинейка!$J$3:$J$1000,C34)+COUNTIF(Однолинейка!$K$3:$K$1000,C34)),IF(A34="Модуль",IF(C34="","",COUNTIFS(Однолинейка!$AW$3:$AW$1000,"?*",Однолинейка!$AI$3:$AI$1000,C34)),IF(A34="Клемма",IF(C34="","",IF(C34=$S$7,SUM(Однолинейка!$BW$3:$BW$1000),IF(C34=$S$8,SUM(Однолинейка!$BX$3:$BX$1000),""))),""))))</f>
      </c>
      <c r="O34" s="265"/>
      <c r="P34" s="133">
        <f>IF(COUNT(N34,O34)=0,"",SUM(N34,O34))</f>
      </c>
      <c r="R34" s="133">
        <f>IFERROR(INDEX($AG$4:$AG$43,MATCH(7,$AH$4:$AH$43,0)),"")</f>
      </c>
      <c r="U34" s="133">
        <f>IF(OR(A34="Автомат",A34="Дифавтомат"),I34&amp;" С"&amp;J34&amp;"А"&amp;IF(K34="да"," 30мА",""),"")</f>
      </c>
      <c r="V34" s="133">
        <f>IF(U34="","",B34&amp;"|"&amp;U34)</f>
      </c>
      <c r="W34" s="133">
        <f>IF(AND(U34&lt;&gt;"",OR($S$4="(все)",B34=$S$4),IF($S$4="(все)",COUNTIF($U$4:U34,U34),COUNTIFS($U$4:U34,U34,$B$4:B34,B34))=1),MAX($W$3:W33)+1,"")</f>
      </c>
      <c r="X34" s="133">
        <f>IFERROR(INDEX($U$4:$U$500,MATCH(ROW()-3,$W$4:$W$500,0)),"")</f>
      </c>
      <c r="Y34" s="133">
        <f>IF(AND(A34="Аппарат",C34&lt;&gt;"",OR($S$5="(все)",B34=$S$5)),MAX($Y$3:Y33)+1,"")</f>
      </c>
      <c r="Z34" s="133">
        <f>IFERROR(INDEX($C$4:$C$500,MATCH(ROW()-3,$Y$4:$Y$500,0)),"")</f>
      </c>
      <c r="AA34" s="133">
        <f>IF(AND(A34="Модуль",C34&lt;&gt;"",OR($S$6="(все)",B34=$S$6)),MAX($AA$3:AA33)+1,"")</f>
      </c>
      <c r="AB34" s="133">
        <f>IFERROR(INDEX($C$4:$C$500,MATCH(ROW()-3,$AA$4:$AA$500,0)),"")</f>
      </c>
      <c r="AC34" s="133">
        <f>IF(OR(B34="",COUNTIF($B$4:B34,B34)&gt;1),"",MAX($AC$3:AC33)+1)</f>
      </c>
      <c r="AD34" s="133">
        <f>IFERROR(INDEX($B$4:$B$500,MATCH(ROW()-3,$AC$4:$AC$500,0)),"")</f>
      </c>
      <c r="AE34" s="133">
        <f>IF(AND(A34&lt;&gt;"",N(P34)&gt;0),IFERROR(MATCH(A34,$R$12:$R$25,0),99)*1000+ROW(),"")</f>
      </c>
      <c r="AF34" s="133">
        <f>IF(AE34="","",COUNTIF($AE$4:$AE$500,"&lt;="&amp;AE34))</f>
      </c>
      <c r="AG34" s="133">
        <f>IF(Спецификация_авто!$L$39="","",IF(COUNTIF($C$4:$C$500,Спецификация_авто!$L$39)=0,Спецификация_авто!$L$39,""))</f>
      </c>
      <c r="AH34" s="133">
        <f>IF(AG34="","",COUNTIF($AG$4:AG34,"?*"))</f>
      </c>
    </row>
    <row r="35">
      <c r="A35" s="265" t="inlineStr">
        <is>
          <t xml:space="preserve">Клемма</t>
        </is>
      </c>
      <c r="B35" s="265" t="inlineStr">
        <is>
          <t xml:space="preserve">DKC</t>
        </is>
      </c>
      <c r="C35" s="265" t="inlineStr">
        <is>
          <t xml:space="preserve">D-VPR-2.5-3L</t>
        </is>
      </c>
      <c r="D35" s="265"/>
      <c r="E35" s="265"/>
      <c r="F35" s="265"/>
      <c r="G35" s="265" t="inlineStr">
        <is>
          <t xml:space="preserve">Изолятор торцевой для клеммы VPR-2.5-3L</t>
        </is>
      </c>
      <c r="H35" s="265" t="inlineStr">
        <is>
          <t xml:space="preserve">D-VPR-2.5-3L</t>
        </is>
      </c>
      <c r="I35" s="265"/>
      <c r="J35" s="265"/>
      <c r="K35" s="265"/>
      <c r="L35" s="265"/>
      <c r="M35" s="265" t="inlineStr">
        <is>
          <t xml:space="preserve">шт.</t>
        </is>
      </c>
      <c r="N35" s="133">
        <f>IF(OR(A35="Автомат",A35="Дифавтомат"),IF(W35="","",COUNTIF(Однолинейка!$H$3:$H$1000,U35)),IF(A35="Аппарат",IF(C35="","",COUNTIF(Однолинейка!$I$3:$I$1000,C35)+COUNTIF(Однолинейка!$J$3:$J$1000,C35)+COUNTIF(Однолинейка!$K$3:$K$1000,C35)),IF(A35="Модуль",IF(C35="","",COUNTIFS(Однолинейка!$AW$3:$AW$1000,"?*",Однолинейка!$AI$3:$AI$1000,C35)),IF(A35="Клемма",IF(C35="","",IF(C35=$S$7,SUM(Однолинейка!$BW$3:$BW$1000),IF(C35=$S$8,SUM(Однолинейка!$BX$3:$BX$1000),""))),""))))</f>
      </c>
      <c r="O35" s="265"/>
      <c r="P35" s="133">
        <f>IF(COUNT(N35,O35)=0,"",SUM(N35,O35))</f>
      </c>
      <c r="R35" s="133">
        <f>IFERROR(INDEX($AG$4:$AG$43,MATCH(8,$AH$4:$AH$43,0)),"")</f>
      </c>
      <c r="U35" s="133">
        <f>IF(OR(A35="Автомат",A35="Дифавтомат"),I35&amp;" С"&amp;J35&amp;"А"&amp;IF(K35="да"," 30мА",""),"")</f>
      </c>
      <c r="V35" s="133">
        <f>IF(U35="","",B35&amp;"|"&amp;U35)</f>
      </c>
      <c r="W35" s="133">
        <f>IF(AND(U35&lt;&gt;"",OR($S$4="(все)",B35=$S$4),IF($S$4="(все)",COUNTIF($U$4:U35,U35),COUNTIFS($U$4:U35,U35,$B$4:B35,B35))=1),MAX($W$3:W34)+1,"")</f>
      </c>
      <c r="X35" s="133">
        <f>IFERROR(INDEX($U$4:$U$500,MATCH(ROW()-3,$W$4:$W$500,0)),"")</f>
      </c>
      <c r="Y35" s="133">
        <f>IF(AND(A35="Аппарат",C35&lt;&gt;"",OR($S$5="(все)",B35=$S$5)),MAX($Y$3:Y34)+1,"")</f>
      </c>
      <c r="Z35" s="133">
        <f>IFERROR(INDEX($C$4:$C$500,MATCH(ROW()-3,$Y$4:$Y$500,0)),"")</f>
      </c>
      <c r="AA35" s="133">
        <f>IF(AND(A35="Модуль",C35&lt;&gt;"",OR($S$6="(все)",B35=$S$6)),MAX($AA$3:AA34)+1,"")</f>
      </c>
      <c r="AB35" s="133">
        <f>IFERROR(INDEX($C$4:$C$500,MATCH(ROW()-3,$AA$4:$AA$500,0)),"")</f>
      </c>
      <c r="AC35" s="133">
        <f>IF(OR(B35="",COUNTIF($B$4:B35,B35)&gt;1),"",MAX($AC$3:AC34)+1)</f>
      </c>
      <c r="AD35" s="133">
        <f>IFERROR(INDEX($B$4:$B$500,MATCH(ROW()-3,$AC$4:$AC$500,0)),"")</f>
      </c>
      <c r="AE35" s="133">
        <f>IF(AND(A35&lt;&gt;"",N(P35)&gt;0),IFERROR(MATCH(A35,$R$12:$R$25,0),99)*1000+ROW(),"")</f>
      </c>
      <c r="AF35" s="133">
        <f>IF(AE35="","",COUNTIF($AE$4:$AE$500,"&lt;="&amp;AE35))</f>
      </c>
      <c r="AG35" s="133">
        <f>IF(Спецификация_авто!$L$40="","",IF(COUNTIF($C$4:$C$500,Спецификация_авто!$L$40)=0,Спецификация_авто!$L$40,""))</f>
      </c>
      <c r="AH35" s="133">
        <f>IF(AG35="","",COUNTIF($AG$4:AG35,"?*"))</f>
      </c>
    </row>
    <row r="36">
      <c r="A36" s="265" t="inlineStr">
        <is>
          <t xml:space="preserve">Клемма</t>
        </is>
      </c>
      <c r="B36" s="265" t="inlineStr">
        <is>
          <t xml:space="preserve">DKC</t>
        </is>
      </c>
      <c r="C36" s="265" t="inlineStr">
        <is>
          <t xml:space="preserve">VPR-4-GY</t>
        </is>
      </c>
      <c r="D36" s="265"/>
      <c r="E36" s="265"/>
      <c r="F36" s="265"/>
      <c r="G36" s="265" t="inlineStr">
        <is>
          <t xml:space="preserve">Клемма проходная push-in, 2 точки, 4 кв.мм, серая</t>
        </is>
      </c>
      <c r="H36" s="265" t="inlineStr">
        <is>
          <t xml:space="preserve">VPR-4-GY</t>
        </is>
      </c>
      <c r="I36" s="265"/>
      <c r="J36" s="265"/>
      <c r="K36" s="265"/>
      <c r="L36" s="265"/>
      <c r="M36" s="265" t="inlineStr">
        <is>
          <t xml:space="preserve">шт.</t>
        </is>
      </c>
      <c r="N36" s="133">
        <f>IF(OR(A36="Автомат",A36="Дифавтомат"),IF(W36="","",COUNTIF(Однолинейка!$H$3:$H$1000,U36)),IF(A36="Аппарат",IF(C36="","",COUNTIF(Однолинейка!$I$3:$I$1000,C36)+COUNTIF(Однолинейка!$J$3:$J$1000,C36)+COUNTIF(Однолинейка!$K$3:$K$1000,C36)),IF(A36="Модуль",IF(C36="","",COUNTIFS(Однолинейка!$AW$3:$AW$1000,"?*",Однолинейка!$AI$3:$AI$1000,C36)),IF(A36="Клемма",IF(C36="","",IF(C36=$S$7,SUM(Однолинейка!$BW$3:$BW$1000),IF(C36=$S$8,SUM(Однолинейка!$BX$3:$BX$1000),""))),""))))</f>
      </c>
      <c r="O36" s="265"/>
      <c r="P36" s="133">
        <f>IF(COUNT(N36,O36)=0,"",SUM(N36,O36))</f>
      </c>
      <c r="R36" s="133">
        <f>IFERROR(INDEX($AG$4:$AG$43,MATCH(9,$AH$4:$AH$43,0)),"")</f>
      </c>
      <c r="U36" s="133">
        <f>IF(OR(A36="Автомат",A36="Дифавтомат"),I36&amp;" С"&amp;J36&amp;"А"&amp;IF(K36="да"," 30мА",""),"")</f>
      </c>
      <c r="V36" s="133">
        <f>IF(U36="","",B36&amp;"|"&amp;U36)</f>
      </c>
      <c r="W36" s="133">
        <f>IF(AND(U36&lt;&gt;"",OR($S$4="(все)",B36=$S$4),IF($S$4="(все)",COUNTIF($U$4:U36,U36),COUNTIFS($U$4:U36,U36,$B$4:B36,B36))=1),MAX($W$3:W35)+1,"")</f>
      </c>
      <c r="X36" s="133">
        <f>IFERROR(INDEX($U$4:$U$500,MATCH(ROW()-3,$W$4:$W$500,0)),"")</f>
      </c>
      <c r="Y36" s="133">
        <f>IF(AND(A36="Аппарат",C36&lt;&gt;"",OR($S$5="(все)",B36=$S$5)),MAX($Y$3:Y35)+1,"")</f>
      </c>
      <c r="Z36" s="133">
        <f>IFERROR(INDEX($C$4:$C$500,MATCH(ROW()-3,$Y$4:$Y$500,0)),"")</f>
      </c>
      <c r="AA36" s="133">
        <f>IF(AND(A36="Модуль",C36&lt;&gt;"",OR($S$6="(все)",B36=$S$6)),MAX($AA$3:AA35)+1,"")</f>
      </c>
      <c r="AB36" s="133">
        <f>IFERROR(INDEX($C$4:$C$500,MATCH(ROW()-3,$AA$4:$AA$500,0)),"")</f>
      </c>
      <c r="AC36" s="133">
        <f>IF(OR(B36="",COUNTIF($B$4:B36,B36)&gt;1),"",MAX($AC$3:AC35)+1)</f>
      </c>
      <c r="AD36" s="133">
        <f>IFERROR(INDEX($B$4:$B$500,MATCH(ROW()-3,$AC$4:$AC$500,0)),"")</f>
      </c>
      <c r="AE36" s="133">
        <f>IF(AND(A36&lt;&gt;"",N(P36)&gt;0),IFERROR(MATCH(A36,$R$12:$R$25,0),99)*1000+ROW(),"")</f>
      </c>
      <c r="AF36" s="133">
        <f>IF(AE36="","",COUNTIF($AE$4:$AE$500,"&lt;="&amp;AE36))</f>
      </c>
      <c r="AG36" s="133">
        <f>IF(Спецификация_авто!$L$41="","",IF(COUNTIF($C$4:$C$500,Спецификация_авто!$L$41)=0,Спецификация_авто!$L$41,""))</f>
      </c>
      <c r="AH36" s="133">
        <f>IF(AG36="","",COUNTIF($AG$4:AG36,"?*"))</f>
      </c>
    </row>
    <row r="37">
      <c r="A37" s="265" t="inlineStr">
        <is>
          <t xml:space="preserve">Клемма</t>
        </is>
      </c>
      <c r="B37" s="265" t="inlineStr">
        <is>
          <t xml:space="preserve">DKC</t>
        </is>
      </c>
      <c r="C37" s="265" t="inlineStr">
        <is>
          <t xml:space="preserve">VPR-6-GY</t>
        </is>
      </c>
      <c r="D37" s="265"/>
      <c r="E37" s="265"/>
      <c r="F37" s="265"/>
      <c r="G37" s="265" t="inlineStr">
        <is>
          <t xml:space="preserve">Клемма проходная push-in, 2 точки, 6 кв.мм, серая</t>
        </is>
      </c>
      <c r="H37" s="265" t="inlineStr">
        <is>
          <t xml:space="preserve">VPR-6-GY</t>
        </is>
      </c>
      <c r="I37" s="265"/>
      <c r="J37" s="265"/>
      <c r="K37" s="265"/>
      <c r="L37" s="265"/>
      <c r="M37" s="265" t="inlineStr">
        <is>
          <t xml:space="preserve">шт.</t>
        </is>
      </c>
      <c r="N37" s="133">
        <f>IF(OR(A37="Автомат",A37="Дифавтомат"),IF(W37="","",COUNTIF(Однолинейка!$H$3:$H$1000,U37)),IF(A37="Аппарат",IF(C37="","",COUNTIF(Однолинейка!$I$3:$I$1000,C37)+COUNTIF(Однолинейка!$J$3:$J$1000,C37)+COUNTIF(Однолинейка!$K$3:$K$1000,C37)),IF(A37="Модуль",IF(C37="","",COUNTIFS(Однолинейка!$AW$3:$AW$1000,"?*",Однолинейка!$AI$3:$AI$1000,C37)),IF(A37="Клемма",IF(C37="","",IF(C37=$S$7,SUM(Однолинейка!$BW$3:$BW$1000),IF(C37=$S$8,SUM(Однолинейка!$BX$3:$BX$1000),""))),""))))</f>
      </c>
      <c r="O37" s="265"/>
      <c r="P37" s="133">
        <f>IF(COUNT(N37,O37)=0,"",SUM(N37,O37))</f>
      </c>
      <c r="R37" s="133">
        <f>IFERROR(INDEX($AG$4:$AG$43,MATCH(10,$AH$4:$AH$43,0)),"")</f>
      </c>
      <c r="U37" s="133">
        <f>IF(OR(A37="Автомат",A37="Дифавтомат"),I37&amp;" С"&amp;J37&amp;"А"&amp;IF(K37="да"," 30мА",""),"")</f>
      </c>
      <c r="V37" s="133">
        <f>IF(U37="","",B37&amp;"|"&amp;U37)</f>
      </c>
      <c r="W37" s="133">
        <f>IF(AND(U37&lt;&gt;"",OR($S$4="(все)",B37=$S$4),IF($S$4="(все)",COUNTIF($U$4:U37,U37),COUNTIFS($U$4:U37,U37,$B$4:B37,B37))=1),MAX($W$3:W36)+1,"")</f>
      </c>
      <c r="X37" s="133">
        <f>IFERROR(INDEX($U$4:$U$500,MATCH(ROW()-3,$W$4:$W$500,0)),"")</f>
      </c>
      <c r="Y37" s="133">
        <f>IF(AND(A37="Аппарат",C37&lt;&gt;"",OR($S$5="(все)",B37=$S$5)),MAX($Y$3:Y36)+1,"")</f>
      </c>
      <c r="Z37" s="133">
        <f>IFERROR(INDEX($C$4:$C$500,MATCH(ROW()-3,$Y$4:$Y$500,0)),"")</f>
      </c>
      <c r="AA37" s="133">
        <f>IF(AND(A37="Модуль",C37&lt;&gt;"",OR($S$6="(все)",B37=$S$6)),MAX($AA$3:AA36)+1,"")</f>
      </c>
      <c r="AB37" s="133">
        <f>IFERROR(INDEX($C$4:$C$500,MATCH(ROW()-3,$AA$4:$AA$500,0)),"")</f>
      </c>
      <c r="AC37" s="133">
        <f>IF(OR(B37="",COUNTIF($B$4:B37,B37)&gt;1),"",MAX($AC$3:AC36)+1)</f>
      </c>
      <c r="AD37" s="133">
        <f>IFERROR(INDEX($B$4:$B$500,MATCH(ROW()-3,$AC$4:$AC$500,0)),"")</f>
      </c>
      <c r="AE37" s="133">
        <f>IF(AND(A37&lt;&gt;"",N(P37)&gt;0),IFERROR(MATCH(A37,$R$12:$R$25,0),99)*1000+ROW(),"")</f>
      </c>
      <c r="AF37" s="133">
        <f>IF(AE37="","",COUNTIF($AE$4:$AE$500,"&lt;="&amp;AE37))</f>
      </c>
      <c r="AG37" s="133">
        <f>IF(Спецификация_авто!$L$42="","",IF(COUNTIF($C$4:$C$500,Спецификация_авто!$L$42)=0,Спецификация_авто!$L$42,""))</f>
      </c>
      <c r="AH37" s="133">
        <f>IF(AG37="","",COUNTIF($AG$4:AG37,"?*"))</f>
      </c>
    </row>
    <row r="38">
      <c r="A38" s="265" t="inlineStr">
        <is>
          <t xml:space="preserve">Клемма</t>
        </is>
      </c>
      <c r="B38" s="265" t="inlineStr">
        <is>
          <t xml:space="preserve">DKC</t>
        </is>
      </c>
      <c r="C38" s="265" t="inlineStr">
        <is>
          <t xml:space="preserve">VPR-16-GY</t>
        </is>
      </c>
      <c r="D38" s="265"/>
      <c r="E38" s="265"/>
      <c r="F38" s="265"/>
      <c r="G38" s="265" t="inlineStr">
        <is>
          <t xml:space="preserve">Клемма проходная push-in, 2 точки, 16 кв.мм, серая</t>
        </is>
      </c>
      <c r="H38" s="265" t="inlineStr">
        <is>
          <t xml:space="preserve">VPR-16-GY</t>
        </is>
      </c>
      <c r="I38" s="265"/>
      <c r="J38" s="265"/>
      <c r="K38" s="265"/>
      <c r="L38" s="265"/>
      <c r="M38" s="265" t="inlineStr">
        <is>
          <t xml:space="preserve">шт.</t>
        </is>
      </c>
      <c r="N38" s="133">
        <f>IF(OR(A38="Автомат",A38="Дифавтомат"),IF(W38="","",COUNTIF(Однолинейка!$H$3:$H$1000,U38)),IF(A38="Аппарат",IF(C38="","",COUNTIF(Однолинейка!$I$3:$I$1000,C38)+COUNTIF(Однолинейка!$J$3:$J$1000,C38)+COUNTIF(Однолинейка!$K$3:$K$1000,C38)),IF(A38="Модуль",IF(C38="","",COUNTIFS(Однолинейка!$AW$3:$AW$1000,"?*",Однолинейка!$AI$3:$AI$1000,C38)),IF(A38="Клемма",IF(C38="","",IF(C38=$S$7,SUM(Однолинейка!$BW$3:$BW$1000),IF(C38=$S$8,SUM(Однолинейка!$BX$3:$BX$1000),""))),""))))</f>
      </c>
      <c r="O38" s="265"/>
      <c r="P38" s="133">
        <f>IF(COUNT(N38,O38)=0,"",SUM(N38,O38))</f>
      </c>
      <c r="U38" s="133">
        <f>IF(OR(A38="Автомат",A38="Дифавтомат"),I38&amp;" С"&amp;J38&amp;"А"&amp;IF(K38="да"," 30мА",""),"")</f>
      </c>
      <c r="V38" s="133">
        <f>IF(U38="","",B38&amp;"|"&amp;U38)</f>
      </c>
      <c r="W38" s="133">
        <f>IF(AND(U38&lt;&gt;"",OR($S$4="(все)",B38=$S$4),IF($S$4="(все)",COUNTIF($U$4:U38,U38),COUNTIFS($U$4:U38,U38,$B$4:B38,B38))=1),MAX($W$3:W37)+1,"")</f>
      </c>
      <c r="X38" s="133">
        <f>IFERROR(INDEX($U$4:$U$500,MATCH(ROW()-3,$W$4:$W$500,0)),"")</f>
      </c>
      <c r="Y38" s="133">
        <f>IF(AND(A38="Аппарат",C38&lt;&gt;"",OR($S$5="(все)",B38=$S$5)),MAX($Y$3:Y37)+1,"")</f>
      </c>
      <c r="Z38" s="133">
        <f>IFERROR(INDEX($C$4:$C$500,MATCH(ROW()-3,$Y$4:$Y$500,0)),"")</f>
      </c>
      <c r="AA38" s="133">
        <f>IF(AND(A38="Модуль",C38&lt;&gt;"",OR($S$6="(все)",B38=$S$6)),MAX($AA$3:AA37)+1,"")</f>
      </c>
      <c r="AB38" s="133">
        <f>IFERROR(INDEX($C$4:$C$500,MATCH(ROW()-3,$AA$4:$AA$500,0)),"")</f>
      </c>
      <c r="AC38" s="133">
        <f>IF(OR(B38="",COUNTIF($B$4:B38,B38)&gt;1),"",MAX($AC$3:AC37)+1)</f>
      </c>
      <c r="AD38" s="133">
        <f>IFERROR(INDEX($B$4:$B$500,MATCH(ROW()-3,$AC$4:$AC$500,0)),"")</f>
      </c>
      <c r="AE38" s="133">
        <f>IF(AND(A38&lt;&gt;"",N(P38)&gt;0),IFERROR(MATCH(A38,$R$12:$R$25,0),99)*1000+ROW(),"")</f>
      </c>
      <c r="AF38" s="133">
        <f>IF(AE38="","",COUNTIF($AE$4:$AE$500,"&lt;="&amp;AE38))</f>
      </c>
      <c r="AG38" s="133">
        <f>IF(Спецификация_авто!$L$43="","",IF(COUNTIF($C$4:$C$500,Спецификация_авто!$L$43)=0,Спецификация_авто!$L$43,""))</f>
      </c>
      <c r="AH38" s="133">
        <f>IF(AG38="","",COUNTIF($AG$4:AG38,"?*"))</f>
      </c>
    </row>
    <row r="39">
      <c r="A39" s="265" t="inlineStr">
        <is>
          <t xml:space="preserve">Корпус</t>
        </is>
      </c>
      <c r="B39" s="265" t="inlineStr">
        <is>
          <t xml:space="preserve">DKC</t>
        </is>
      </c>
      <c r="C39" s="265" t="inlineStr">
        <is>
          <t xml:space="preserve">R5NKTB84</t>
        </is>
      </c>
      <c r="D39" s="265"/>
      <c r="E39" s="265"/>
      <c r="F39" s="265"/>
      <c r="G39" s="265" t="inlineStr">
        <is>
          <t xml:space="preserve">Крыша и основание RAL9005 с направляющими для корпусов CQE N, ШхГ 800х400 мм, комплект RAM block</t>
        </is>
      </c>
      <c r="H39" s="265" t="inlineStr">
        <is>
          <t xml:space="preserve">R5NKTB84</t>
        </is>
      </c>
      <c r="I39" s="265"/>
      <c r="J39" s="265"/>
      <c r="K39" s="265"/>
      <c r="L39" s="265"/>
      <c r="M39" s="265" t="inlineStr">
        <is>
          <t xml:space="preserve">Комплект</t>
        </is>
      </c>
      <c r="N39" s="133">
        <f>IF(OR(A39="Автомат",A39="Дифавтомат"),IF(W39="","",COUNTIF(Однолинейка!$H$3:$H$1000,U39)),IF(A39="Аппарат",IF(C39="","",COUNTIF(Однолинейка!$I$3:$I$1000,C39)+COUNTIF(Однолинейка!$J$3:$J$1000,C39)+COUNTIF(Однолинейка!$K$3:$K$1000,C39)),IF(A39="Модуль",IF(C39="","",COUNTIFS(Однолинейка!$AW$3:$AW$1000,"?*",Однолинейка!$AI$3:$AI$1000,C39)),IF(A39="Клемма",IF(C39="","",IF(C39=$S$7,SUM(Однолинейка!$BW$3:$BW$1000),IF(C39=$S$8,SUM(Однолинейка!$BX$3:$BX$1000),""))),""))))</f>
      </c>
      <c r="O39" s="265"/>
      <c r="P39" s="133">
        <f>IF(COUNT(N39,O39)=0,"",SUM(N39,O39))</f>
      </c>
      <c r="U39" s="133">
        <f>IF(OR(A39="Автомат",A39="Дифавтомат"),I39&amp;" С"&amp;J39&amp;"А"&amp;IF(K39="да"," 30мА",""),"")</f>
      </c>
      <c r="V39" s="133">
        <f>IF(U39="","",B39&amp;"|"&amp;U39)</f>
      </c>
      <c r="W39" s="133">
        <f>IF(AND(U39&lt;&gt;"",OR($S$4="(все)",B39=$S$4),IF($S$4="(все)",COUNTIF($U$4:U39,U39),COUNTIFS($U$4:U39,U39,$B$4:B39,B39))=1),MAX($W$3:W38)+1,"")</f>
      </c>
      <c r="X39" s="133">
        <f>IFERROR(INDEX($U$4:$U$500,MATCH(ROW()-3,$W$4:$W$500,0)),"")</f>
      </c>
      <c r="Y39" s="133">
        <f>IF(AND(A39="Аппарат",C39&lt;&gt;"",OR($S$5="(все)",B39=$S$5)),MAX($Y$3:Y38)+1,"")</f>
      </c>
      <c r="Z39" s="133">
        <f>IFERROR(INDEX($C$4:$C$500,MATCH(ROW()-3,$Y$4:$Y$500,0)),"")</f>
      </c>
      <c r="AA39" s="133">
        <f>IF(AND(A39="Модуль",C39&lt;&gt;"",OR($S$6="(все)",B39=$S$6)),MAX($AA$3:AA38)+1,"")</f>
      </c>
      <c r="AB39" s="133">
        <f>IFERROR(INDEX($C$4:$C$500,MATCH(ROW()-3,$AA$4:$AA$500,0)),"")</f>
      </c>
      <c r="AC39" s="133">
        <f>IF(OR(B39="",COUNTIF($B$4:B39,B39)&gt;1),"",MAX($AC$3:AC38)+1)</f>
      </c>
      <c r="AD39" s="133">
        <f>IFERROR(INDEX($B$4:$B$500,MATCH(ROW()-3,$AC$4:$AC$500,0)),"")</f>
      </c>
      <c r="AE39" s="133">
        <f>IF(AND(A39&lt;&gt;"",N(P39)&gt;0),IFERROR(MATCH(A39,$R$12:$R$25,0),99)*1000+ROW(),"")</f>
      </c>
      <c r="AF39" s="133">
        <f>IF(AE39="","",COUNTIF($AE$4:$AE$500,"&lt;="&amp;AE39))</f>
      </c>
      <c r="AG39" s="133">
        <f>IF(Спецификация_авто!$L$44="","",IF(COUNTIF($C$4:$C$500,Спецификация_авто!$L$44)=0,Спецификация_авто!$L$44,""))</f>
      </c>
      <c r="AH39" s="133">
        <f>IF(AG39="","",COUNTIF($AG$4:AG39,"?*"))</f>
      </c>
    </row>
    <row r="40">
      <c r="A40" s="265" t="inlineStr">
        <is>
          <t xml:space="preserve">Корпус</t>
        </is>
      </c>
      <c r="B40" s="265" t="inlineStr">
        <is>
          <t xml:space="preserve">DKC</t>
        </is>
      </c>
      <c r="C40" s="265" t="inlineStr">
        <is>
          <t xml:space="preserve">R5NKMN18</t>
        </is>
      </c>
      <c r="D40" s="265"/>
      <c r="E40" s="265"/>
      <c r="F40" s="265"/>
      <c r="G40" s="265" t="inlineStr">
        <is>
          <t xml:space="preserve">Стойки вертикальные RAL7035 для корпусов CQE N, В=1800 мм, комплект - 4 шт. RAM block</t>
        </is>
      </c>
      <c r="H40" s="265" t="inlineStr">
        <is>
          <t xml:space="preserve">R5NKMN18</t>
        </is>
      </c>
      <c r="I40" s="265"/>
      <c r="J40" s="265"/>
      <c r="K40" s="265"/>
      <c r="L40" s="265"/>
      <c r="M40" s="265" t="inlineStr">
        <is>
          <t xml:space="preserve">Комплект</t>
        </is>
      </c>
      <c r="N40" s="133">
        <f>IF(OR(A40="Автомат",A40="Дифавтомат"),IF(W40="","",COUNTIF(Однолинейка!$H$3:$H$1000,U40)),IF(A40="Аппарат",IF(C40="","",COUNTIF(Однолинейка!$I$3:$I$1000,C40)+COUNTIF(Однолинейка!$J$3:$J$1000,C40)+COUNTIF(Однолинейка!$K$3:$K$1000,C40)),IF(A40="Модуль",IF(C40="","",COUNTIFS(Однолинейка!$AW$3:$AW$1000,"?*",Однолинейка!$AI$3:$AI$1000,C40)),IF(A40="Клемма",IF(C40="","",IF(C40=$S$7,SUM(Однолинейка!$BW$3:$BW$1000),IF(C40=$S$8,SUM(Однолинейка!$BX$3:$BX$1000),""))),""))))</f>
      </c>
      <c r="O40" s="265"/>
      <c r="P40" s="133">
        <f>IF(COUNT(N40,O40)=0,"",SUM(N40,O40))</f>
      </c>
      <c r="U40" s="133">
        <f>IF(OR(A40="Автомат",A40="Дифавтомат"),I40&amp;" С"&amp;J40&amp;"А"&amp;IF(K40="да"," 30мА",""),"")</f>
      </c>
      <c r="V40" s="133">
        <f>IF(U40="","",B40&amp;"|"&amp;U40)</f>
      </c>
      <c r="W40" s="133">
        <f>IF(AND(U40&lt;&gt;"",OR($S$4="(все)",B40=$S$4),IF($S$4="(все)",COUNTIF($U$4:U40,U40),COUNTIFS($U$4:U40,U40,$B$4:B40,B40))=1),MAX($W$3:W39)+1,"")</f>
      </c>
      <c r="X40" s="133">
        <f>IFERROR(INDEX($U$4:$U$500,MATCH(ROW()-3,$W$4:$W$500,0)),"")</f>
      </c>
      <c r="Y40" s="133">
        <f>IF(AND(A40="Аппарат",C40&lt;&gt;"",OR($S$5="(все)",B40=$S$5)),MAX($Y$3:Y39)+1,"")</f>
      </c>
      <c r="Z40" s="133">
        <f>IFERROR(INDEX($C$4:$C$500,MATCH(ROW()-3,$Y$4:$Y$500,0)),"")</f>
      </c>
      <c r="AA40" s="133">
        <f>IF(AND(A40="Модуль",C40&lt;&gt;"",OR($S$6="(все)",B40=$S$6)),MAX($AA$3:AA39)+1,"")</f>
      </c>
      <c r="AB40" s="133">
        <f>IFERROR(INDEX($C$4:$C$500,MATCH(ROW()-3,$AA$4:$AA$500,0)),"")</f>
      </c>
      <c r="AC40" s="133">
        <f>IF(OR(B40="",COUNTIF($B$4:B40,B40)&gt;1),"",MAX($AC$3:AC39)+1)</f>
      </c>
      <c r="AD40" s="133">
        <f>IFERROR(INDEX($B$4:$B$500,MATCH(ROW()-3,$AC$4:$AC$500,0)),"")</f>
      </c>
      <c r="AE40" s="133">
        <f>IF(AND(A40&lt;&gt;"",N(P40)&gt;0),IFERROR(MATCH(A40,$R$12:$R$25,0),99)*1000+ROW(),"")</f>
      </c>
      <c r="AF40" s="133">
        <f>IF(AE40="","",COUNTIF($AE$4:$AE$500,"&lt;="&amp;AE40))</f>
      </c>
      <c r="AG40" s="133">
        <f>IF(Спецификация_авто!$L$45="","",IF(COUNTIF($C$4:$C$500,Спецификация_авто!$L$45)=0,Спецификация_авто!$L$45,""))</f>
      </c>
      <c r="AH40" s="133">
        <f>IF(AG40="","",COUNTIF($AG$4:AG40,"?*"))</f>
      </c>
    </row>
    <row r="41">
      <c r="A41" s="265" t="inlineStr">
        <is>
          <t xml:space="preserve">Корпус</t>
        </is>
      </c>
      <c r="B41" s="265" t="inlineStr">
        <is>
          <t xml:space="preserve">DKC</t>
        </is>
      </c>
      <c r="C41" s="265" t="inlineStr">
        <is>
          <t xml:space="preserve">R5NCPTE1880</t>
        </is>
      </c>
      <c r="D41" s="265"/>
      <c r="E41" s="265"/>
      <c r="F41" s="265"/>
      <c r="G41" s="265" t="inlineStr">
        <is>
          <t xml:space="preserve">Дверь стеклянная для корпусов CQE N, ВхШ 1800x800 мм RAM block</t>
        </is>
      </c>
      <c r="H41" s="265" t="inlineStr">
        <is>
          <t xml:space="preserve">R5NCPTE1880</t>
        </is>
      </c>
      <c r="I41" s="265"/>
      <c r="J41" s="265"/>
      <c r="K41" s="265"/>
      <c r="L41" s="265"/>
      <c r="M41" s="265" t="inlineStr">
        <is>
          <t xml:space="preserve">Комплект</t>
        </is>
      </c>
      <c r="N41" s="133">
        <f>IF(OR(A41="Автомат",A41="Дифавтомат"),IF(W41="","",COUNTIF(Однолинейка!$H$3:$H$1000,U41)),IF(A41="Аппарат",IF(C41="","",COUNTIF(Однолинейка!$I$3:$I$1000,C41)+COUNTIF(Однолинейка!$J$3:$J$1000,C41)+COUNTIF(Однолинейка!$K$3:$K$1000,C41)),IF(A41="Модуль",IF(C41="","",COUNTIFS(Однолинейка!$AW$3:$AW$1000,"?*",Однолинейка!$AI$3:$AI$1000,C41)),IF(A41="Клемма",IF(C41="","",IF(C41=$S$7,SUM(Однолинейка!$BW$3:$BW$1000),IF(C41=$S$8,SUM(Однолинейка!$BX$3:$BX$1000),""))),""))))</f>
      </c>
      <c r="O41" s="265"/>
      <c r="P41" s="133">
        <f>IF(COUNT(N41,O41)=0,"",SUM(N41,O41))</f>
      </c>
      <c r="U41" s="133">
        <f>IF(OR(A41="Автомат",A41="Дифавтомат"),I41&amp;" С"&amp;J41&amp;"А"&amp;IF(K41="да"," 30мА",""),"")</f>
      </c>
      <c r="V41" s="133">
        <f>IF(U41="","",B41&amp;"|"&amp;U41)</f>
      </c>
      <c r="W41" s="133">
        <f>IF(AND(U41&lt;&gt;"",OR($S$4="(все)",B41=$S$4),IF($S$4="(все)",COUNTIF($U$4:U41,U41),COUNTIFS($U$4:U41,U41,$B$4:B41,B41))=1),MAX($W$3:W40)+1,"")</f>
      </c>
      <c r="X41" s="133">
        <f>IFERROR(INDEX($U$4:$U$500,MATCH(ROW()-3,$W$4:$W$500,0)),"")</f>
      </c>
      <c r="Y41" s="133">
        <f>IF(AND(A41="Аппарат",C41&lt;&gt;"",OR($S$5="(все)",B41=$S$5)),MAX($Y$3:Y40)+1,"")</f>
      </c>
      <c r="Z41" s="133">
        <f>IFERROR(INDEX($C$4:$C$500,MATCH(ROW()-3,$Y$4:$Y$500,0)),"")</f>
      </c>
      <c r="AA41" s="133">
        <f>IF(AND(A41="Модуль",C41&lt;&gt;"",OR($S$6="(все)",B41=$S$6)),MAX($AA$3:AA40)+1,"")</f>
      </c>
      <c r="AB41" s="133">
        <f>IFERROR(INDEX($C$4:$C$500,MATCH(ROW()-3,$AA$4:$AA$500,0)),"")</f>
      </c>
      <c r="AC41" s="133">
        <f>IF(OR(B41="",COUNTIF($B$4:B41,B41)&gt;1),"",MAX($AC$3:AC40)+1)</f>
      </c>
      <c r="AD41" s="133">
        <f>IFERROR(INDEX($B$4:$B$500,MATCH(ROW()-3,$AC$4:$AC$500,0)),"")</f>
      </c>
      <c r="AE41" s="133">
        <f>IF(AND(A41&lt;&gt;"",N(P41)&gt;0),IFERROR(MATCH(A41,$R$12:$R$25,0),99)*1000+ROW(),"")</f>
      </c>
      <c r="AF41" s="133">
        <f>IF(AE41="","",COUNTIF($AE$4:$AE$500,"&lt;="&amp;AE41))</f>
      </c>
      <c r="AG41" s="133">
        <f>IF(Спецификация_авто!$L$46="","",IF(COUNTIF($C$4:$C$500,Спецификация_авто!$L$46)=0,Спецификация_авто!$L$46,""))</f>
      </c>
      <c r="AH41" s="133">
        <f>IF(AG41="","",COUNTIF($AG$4:AG41,"?*"))</f>
      </c>
    </row>
    <row r="42">
      <c r="A42" s="265" t="inlineStr">
        <is>
          <t xml:space="preserve">Корпус</t>
        </is>
      </c>
      <c r="B42" s="265" t="inlineStr">
        <is>
          <t xml:space="preserve">DKC</t>
        </is>
      </c>
      <c r="C42" s="265" t="inlineStr">
        <is>
          <t xml:space="preserve">R5NCRE1880</t>
        </is>
      </c>
      <c r="D42" s="265"/>
      <c r="E42" s="265"/>
      <c r="F42" s="265"/>
      <c r="G42" s="265" t="inlineStr">
        <is>
          <t xml:space="preserve">Панель задняя для корпусов CQE N, ВхШ 1800х800 мм RAM block</t>
        </is>
      </c>
      <c r="H42" s="265" t="inlineStr">
        <is>
          <t xml:space="preserve">R5NCRE1880</t>
        </is>
      </c>
      <c r="I42" s="265"/>
      <c r="J42" s="265"/>
      <c r="K42" s="265"/>
      <c r="L42" s="265"/>
      <c r="M42" s="265" t="inlineStr">
        <is>
          <t xml:space="preserve">Комплект</t>
        </is>
      </c>
      <c r="N42" s="133">
        <f>IF(OR(A42="Автомат",A42="Дифавтомат"),IF(W42="","",COUNTIF(Однолинейка!$H$3:$H$1000,U42)),IF(A42="Аппарат",IF(C42="","",COUNTIF(Однолинейка!$I$3:$I$1000,C42)+COUNTIF(Однолинейка!$J$3:$J$1000,C42)+COUNTIF(Однолинейка!$K$3:$K$1000,C42)),IF(A42="Модуль",IF(C42="","",COUNTIFS(Однолинейка!$AW$3:$AW$1000,"?*",Однолинейка!$AI$3:$AI$1000,C42)),IF(A42="Клемма",IF(C42="","",IF(C42=$S$7,SUM(Однолинейка!$BW$3:$BW$1000),IF(C42=$S$8,SUM(Однолинейка!$BX$3:$BX$1000),""))),""))))</f>
      </c>
      <c r="O42" s="265"/>
      <c r="P42" s="133">
        <f>IF(COUNT(N42,O42)=0,"",SUM(N42,O42))</f>
      </c>
      <c r="U42" s="133">
        <f>IF(OR(A42="Автомат",A42="Дифавтомат"),I42&amp;" С"&amp;J42&amp;"А"&amp;IF(K42="да"," 30мА",""),"")</f>
      </c>
      <c r="V42" s="133">
        <f>IF(U42="","",B42&amp;"|"&amp;U42)</f>
      </c>
      <c r="W42" s="133">
        <f>IF(AND(U42&lt;&gt;"",OR($S$4="(все)",B42=$S$4),IF($S$4="(все)",COUNTIF($U$4:U42,U42),COUNTIFS($U$4:U42,U42,$B$4:B42,B42))=1),MAX($W$3:W41)+1,"")</f>
      </c>
      <c r="X42" s="133">
        <f>IFERROR(INDEX($U$4:$U$500,MATCH(ROW()-3,$W$4:$W$500,0)),"")</f>
      </c>
      <c r="Y42" s="133">
        <f>IF(AND(A42="Аппарат",C42&lt;&gt;"",OR($S$5="(все)",B42=$S$5)),MAX($Y$3:Y41)+1,"")</f>
      </c>
      <c r="Z42" s="133">
        <f>IFERROR(INDEX($C$4:$C$500,MATCH(ROW()-3,$Y$4:$Y$500,0)),"")</f>
      </c>
      <c r="AA42" s="133">
        <f>IF(AND(A42="Модуль",C42&lt;&gt;"",OR($S$6="(все)",B42=$S$6)),MAX($AA$3:AA41)+1,"")</f>
      </c>
      <c r="AB42" s="133">
        <f>IFERROR(INDEX($C$4:$C$500,MATCH(ROW()-3,$AA$4:$AA$500,0)),"")</f>
      </c>
      <c r="AC42" s="133">
        <f>IF(OR(B42="",COUNTIF($B$4:B42,B42)&gt;1),"",MAX($AC$3:AC41)+1)</f>
      </c>
      <c r="AD42" s="133">
        <f>IFERROR(INDEX($B$4:$B$500,MATCH(ROW()-3,$AC$4:$AC$500,0)),"")</f>
      </c>
      <c r="AE42" s="133">
        <f>IF(AND(A42&lt;&gt;"",N(P42)&gt;0),IFERROR(MATCH(A42,$R$12:$R$25,0),99)*1000+ROW(),"")</f>
      </c>
      <c r="AF42" s="133">
        <f>IF(AE42="","",COUNTIF($AE$4:$AE$500,"&lt;="&amp;AE42))</f>
      </c>
      <c r="AG42" s="133">
        <f>IF(Спецификация_авто!$L$47="","",IF(COUNTIF($C$4:$C$500,Спецификация_авто!$L$47)=0,Спецификация_авто!$L$47,""))</f>
      </c>
      <c r="AH42" s="133">
        <f>IF(AG42="","",COUNTIF($AG$4:AG42,"?*"))</f>
      </c>
    </row>
    <row r="43">
      <c r="A43" s="265" t="inlineStr">
        <is>
          <t xml:space="preserve">Корпус</t>
        </is>
      </c>
      <c r="B43" s="265" t="inlineStr">
        <is>
          <t xml:space="preserve">DKC</t>
        </is>
      </c>
      <c r="C43" s="265" t="inlineStr">
        <is>
          <t xml:space="preserve">R5NBP02B</t>
        </is>
      </c>
      <c r="D43" s="265"/>
      <c r="E43" s="265"/>
      <c r="F43" s="265"/>
      <c r="G43" s="265" t="inlineStr">
        <is>
          <t xml:space="preserve">Углы цоколя с пластиковыми заглушками для корпусов CQE &amp; CQE N, В=200 мм, RAL9005, комплект - 4 шт. RAM block</t>
        </is>
      </c>
      <c r="H43" s="265" t="inlineStr">
        <is>
          <t xml:space="preserve">R5NBP02B</t>
        </is>
      </c>
      <c r="I43" s="265"/>
      <c r="J43" s="265"/>
      <c r="K43" s="265"/>
      <c r="L43" s="265"/>
      <c r="M43" s="265" t="inlineStr">
        <is>
          <t xml:space="preserve">Комплект</t>
        </is>
      </c>
      <c r="N43" s="133">
        <f>IF(OR(A43="Автомат",A43="Дифавтомат"),IF(W43="","",COUNTIF(Однолинейка!$H$3:$H$1000,U43)),IF(A43="Аппарат",IF(C43="","",COUNTIF(Однолинейка!$I$3:$I$1000,C43)+COUNTIF(Однолинейка!$J$3:$J$1000,C43)+COUNTIF(Однолинейка!$K$3:$K$1000,C43)),IF(A43="Модуль",IF(C43="","",COUNTIFS(Однолинейка!$AW$3:$AW$1000,"?*",Однолинейка!$AI$3:$AI$1000,C43)),IF(A43="Клемма",IF(C43="","",IF(C43=$S$7,SUM(Однолинейка!$BW$3:$BW$1000),IF(C43=$S$8,SUM(Однолинейка!$BX$3:$BX$1000),""))),""))))</f>
      </c>
      <c r="O43" s="265"/>
      <c r="P43" s="133">
        <f>IF(COUNT(N43,O43)=0,"",SUM(N43,O43))</f>
      </c>
      <c r="U43" s="133">
        <f>IF(OR(A43="Автомат",A43="Дифавтомат"),I43&amp;" С"&amp;J43&amp;"А"&amp;IF(K43="да"," 30мА",""),"")</f>
      </c>
      <c r="V43" s="133">
        <f>IF(U43="","",B43&amp;"|"&amp;U43)</f>
      </c>
      <c r="W43" s="133">
        <f>IF(AND(U43&lt;&gt;"",OR($S$4="(все)",B43=$S$4),IF($S$4="(все)",COUNTIF($U$4:U43,U43),COUNTIFS($U$4:U43,U43,$B$4:B43,B43))=1),MAX($W$3:W42)+1,"")</f>
      </c>
      <c r="X43" s="133">
        <f>IFERROR(INDEX($U$4:$U$500,MATCH(ROW()-3,$W$4:$W$500,0)),"")</f>
      </c>
      <c r="Y43" s="133">
        <f>IF(AND(A43="Аппарат",C43&lt;&gt;"",OR($S$5="(все)",B43=$S$5)),MAX($Y$3:Y42)+1,"")</f>
      </c>
      <c r="Z43" s="133">
        <f>IFERROR(INDEX($C$4:$C$500,MATCH(ROW()-3,$Y$4:$Y$500,0)),"")</f>
      </c>
      <c r="AA43" s="133">
        <f>IF(AND(A43="Модуль",C43&lt;&gt;"",OR($S$6="(все)",B43=$S$6)),MAX($AA$3:AA42)+1,"")</f>
      </c>
      <c r="AB43" s="133">
        <f>IFERROR(INDEX($C$4:$C$500,MATCH(ROW()-3,$AA$4:$AA$500,0)),"")</f>
      </c>
      <c r="AC43" s="133">
        <f>IF(OR(B43="",COUNTIF($B$4:B43,B43)&gt;1),"",MAX($AC$3:AC42)+1)</f>
      </c>
      <c r="AD43" s="133">
        <f>IFERROR(INDEX($B$4:$B$500,MATCH(ROW()-3,$AC$4:$AC$500,0)),"")</f>
      </c>
      <c r="AE43" s="133">
        <f>IF(AND(A43&lt;&gt;"",N(P43)&gt;0),IFERROR(MATCH(A43,$R$12:$R$25,0),99)*1000+ROW(),"")</f>
      </c>
      <c r="AF43" s="133">
        <f>IF(AE43="","",COUNTIF($AE$4:$AE$500,"&lt;="&amp;AE43))</f>
      </c>
      <c r="AG43" s="133">
        <f>IF(Спецификация_авто!$L$48="","",IF(COUNTIF($C$4:$C$500,Спецификация_авто!$L$48)=0,Спецификация_авто!$L$48,""))</f>
      </c>
      <c r="AH43" s="133">
        <f>IF(AG43="","",COUNTIF($AG$4:AG43,"?*"))</f>
      </c>
    </row>
    <row r="44">
      <c r="A44" s="265" t="inlineStr">
        <is>
          <t xml:space="preserve">Корпус</t>
        </is>
      </c>
      <c r="B44" s="265" t="inlineStr">
        <is>
          <t xml:space="preserve">DKC</t>
        </is>
      </c>
      <c r="C44" s="265" t="inlineStr">
        <is>
          <t xml:space="preserve">R5NFPB82</t>
        </is>
      </c>
      <c r="D44" s="265"/>
      <c r="E44" s="265"/>
      <c r="F44" s="265"/>
      <c r="G44" s="265" t="inlineStr">
        <is>
          <t xml:space="preserve">Панели цоколя для корпусов CQE &amp; CQE N, ШхГ 800 мм, В=200 мм, RAL9005, комплект - 2 шт. RAM block</t>
        </is>
      </c>
      <c r="H44" s="265" t="inlineStr">
        <is>
          <t xml:space="preserve">R5NFPB82</t>
        </is>
      </c>
      <c r="I44" s="265"/>
      <c r="J44" s="265"/>
      <c r="K44" s="265"/>
      <c r="L44" s="265"/>
      <c r="M44" s="265" t="inlineStr">
        <is>
          <t xml:space="preserve">Комплект</t>
        </is>
      </c>
      <c r="N44" s="133">
        <f>IF(OR(A44="Автомат",A44="Дифавтомат"),IF(W44="","",COUNTIF(Однолинейка!$H$3:$H$1000,U44)),IF(A44="Аппарат",IF(C44="","",COUNTIF(Однолинейка!$I$3:$I$1000,C44)+COUNTIF(Однолинейка!$J$3:$J$1000,C44)+COUNTIF(Однолинейка!$K$3:$K$1000,C44)),IF(A44="Модуль",IF(C44="","",COUNTIFS(Однолинейка!$AW$3:$AW$1000,"?*",Однолинейка!$AI$3:$AI$1000,C44)),IF(A44="Клемма",IF(C44="","",IF(C44=$S$7,SUM(Однолинейка!$BW$3:$BW$1000),IF(C44=$S$8,SUM(Однолинейка!$BX$3:$BX$1000),""))),""))))</f>
      </c>
      <c r="O44" s="265"/>
      <c r="P44" s="133">
        <f>IF(COUNT(N44,O44)=0,"",SUM(N44,O44))</f>
      </c>
      <c r="U44" s="133">
        <f>IF(OR(A44="Автомат",A44="Дифавтомат"),I44&amp;" С"&amp;J44&amp;"А"&amp;IF(K44="да"," 30мА",""),"")</f>
      </c>
      <c r="V44" s="133">
        <f>IF(U44="","",B44&amp;"|"&amp;U44)</f>
      </c>
      <c r="W44" s="133">
        <f>IF(AND(U44&lt;&gt;"",OR($S$4="(все)",B44=$S$4),IF($S$4="(все)",COUNTIF($U$4:U44,U44),COUNTIFS($U$4:U44,U44,$B$4:B44,B44))=1),MAX($W$3:W43)+1,"")</f>
      </c>
      <c r="X44" s="133">
        <f>IFERROR(INDEX($U$4:$U$500,MATCH(ROW()-3,$W$4:$W$500,0)),"")</f>
      </c>
      <c r="Y44" s="133">
        <f>IF(AND(A44="Аппарат",C44&lt;&gt;"",OR($S$5="(все)",B44=$S$5)),MAX($Y$3:Y43)+1,"")</f>
      </c>
      <c r="Z44" s="133">
        <f>IFERROR(INDEX($C$4:$C$500,MATCH(ROW()-3,$Y$4:$Y$500,0)),"")</f>
      </c>
      <c r="AA44" s="133">
        <f>IF(AND(A44="Модуль",C44&lt;&gt;"",OR($S$6="(все)",B44=$S$6)),MAX($AA$3:AA43)+1,"")</f>
      </c>
      <c r="AB44" s="133">
        <f>IFERROR(INDEX($C$4:$C$500,MATCH(ROW()-3,$AA$4:$AA$500,0)),"")</f>
      </c>
      <c r="AC44" s="133">
        <f>IF(OR(B44="",COUNTIF($B$4:B44,B44)&gt;1),"",MAX($AC$3:AC43)+1)</f>
      </c>
      <c r="AD44" s="133">
        <f>IFERROR(INDEX($B$4:$B$500,MATCH(ROW()-3,$AC$4:$AC$500,0)),"")</f>
      </c>
      <c r="AE44" s="133">
        <f>IF(AND(A44&lt;&gt;"",N(P44)&gt;0),IFERROR(MATCH(A44,$R$12:$R$25,0),99)*1000+ROW(),"")</f>
      </c>
      <c r="AF44" s="133">
        <f>IF(AE44="","",COUNTIF($AE$4:$AE$500,"&lt;="&amp;AE44))</f>
      </c>
    </row>
    <row r="45">
      <c r="A45" s="265" t="inlineStr">
        <is>
          <t xml:space="preserve">Корпус</t>
        </is>
      </c>
      <c r="B45" s="265" t="inlineStr">
        <is>
          <t xml:space="preserve">DKC</t>
        </is>
      </c>
      <c r="C45" s="265" t="inlineStr">
        <is>
          <t xml:space="preserve">R5NKFP02</t>
        </is>
      </c>
      <c r="D45" s="265"/>
      <c r="E45" s="265"/>
      <c r="F45" s="265"/>
      <c r="G45" s="265" t="inlineStr">
        <is>
          <t xml:space="preserve">Фиксатор панели цоколя R5NFP, R5NFPB для корпусов CQE &amp; CQE N, комплект - 4 шт. RAM block</t>
        </is>
      </c>
      <c r="H45" s="265" t="inlineStr">
        <is>
          <t xml:space="preserve">R5NKFP02</t>
        </is>
      </c>
      <c r="I45" s="265"/>
      <c r="J45" s="265"/>
      <c r="K45" s="265"/>
      <c r="L45" s="265"/>
      <c r="M45" s="265" t="inlineStr">
        <is>
          <t xml:space="preserve">Комплект</t>
        </is>
      </c>
      <c r="N45" s="133">
        <f>IF(OR(A45="Автомат",A45="Дифавтомат"),IF(W45="","",COUNTIF(Однолинейка!$H$3:$H$1000,U45)),IF(A45="Аппарат",IF(C45="","",COUNTIF(Однолинейка!$I$3:$I$1000,C45)+COUNTIF(Однолинейка!$J$3:$J$1000,C45)+COUNTIF(Однолинейка!$K$3:$K$1000,C45)),IF(A45="Модуль",IF(C45="","",COUNTIFS(Однолинейка!$AW$3:$AW$1000,"?*",Однолинейка!$AI$3:$AI$1000,C45)),IF(A45="Клемма",IF(C45="","",IF(C45=$S$7,SUM(Однолинейка!$BW$3:$BW$1000),IF(C45=$S$8,SUM(Однолинейка!$BX$3:$BX$1000),""))),""))))</f>
      </c>
      <c r="O45" s="265"/>
      <c r="P45" s="133">
        <f>IF(COUNT(N45,O45)=0,"",SUM(N45,O45))</f>
      </c>
      <c r="U45" s="133">
        <f>IF(OR(A45="Автомат",A45="Дифавтомат"),I45&amp;" С"&amp;J45&amp;"А"&amp;IF(K45="да"," 30мА",""),"")</f>
      </c>
      <c r="V45" s="133">
        <f>IF(U45="","",B45&amp;"|"&amp;U45)</f>
      </c>
      <c r="W45" s="133">
        <f>IF(AND(U45&lt;&gt;"",OR($S$4="(все)",B45=$S$4),IF($S$4="(все)",COUNTIF($U$4:U45,U45),COUNTIFS($U$4:U45,U45,$B$4:B45,B45))=1),MAX($W$3:W44)+1,"")</f>
      </c>
      <c r="X45" s="133">
        <f>IFERROR(INDEX($U$4:$U$500,MATCH(ROW()-3,$W$4:$W$500,0)),"")</f>
      </c>
      <c r="Y45" s="133">
        <f>IF(AND(A45="Аппарат",C45&lt;&gt;"",OR($S$5="(все)",B45=$S$5)),MAX($Y$3:Y44)+1,"")</f>
      </c>
      <c r="Z45" s="133">
        <f>IFERROR(INDEX($C$4:$C$500,MATCH(ROW()-3,$Y$4:$Y$500,0)),"")</f>
      </c>
      <c r="AA45" s="133">
        <f>IF(AND(A45="Модуль",C45&lt;&gt;"",OR($S$6="(все)",B45=$S$6)),MAX($AA$3:AA44)+1,"")</f>
      </c>
      <c r="AB45" s="133">
        <f>IFERROR(INDEX($C$4:$C$500,MATCH(ROW()-3,$AA$4:$AA$500,0)),"")</f>
      </c>
      <c r="AC45" s="133">
        <f>IF(OR(B45="",COUNTIF($B$4:B45,B45)&gt;1),"",MAX($AC$3:AC44)+1)</f>
      </c>
      <c r="AD45" s="133">
        <f>IFERROR(INDEX($B$4:$B$500,MATCH(ROW()-3,$AC$4:$AC$500,0)),"")</f>
      </c>
      <c r="AE45" s="133">
        <f>IF(AND(A45&lt;&gt;"",N(P45)&gt;0),IFERROR(MATCH(A45,$R$12:$R$25,0),99)*1000+ROW(),"")</f>
      </c>
      <c r="AF45" s="133">
        <f>IF(AE45="","",COUNTIF($AE$4:$AE$500,"&lt;="&amp;AE45))</f>
      </c>
    </row>
    <row r="46">
      <c r="A46" s="265" t="inlineStr">
        <is>
          <t xml:space="preserve">Корпус</t>
        </is>
      </c>
      <c r="B46" s="265" t="inlineStr">
        <is>
          <t xml:space="preserve">DKC</t>
        </is>
      </c>
      <c r="C46" s="265" t="inlineStr">
        <is>
          <t xml:space="preserve">R5NPDF800</t>
        </is>
      </c>
      <c r="D46" s="265"/>
      <c r="E46" s="265"/>
      <c r="F46" s="265"/>
      <c r="G46" s="265" t="inlineStr">
        <is>
          <t xml:space="preserve">Рейка широкая поперечная для корпусов CQE &amp; CQE N, Ш=800 мм, упаковка - 4 шт. RAM block</t>
        </is>
      </c>
      <c r="H46" s="265" t="inlineStr">
        <is>
          <t xml:space="preserve">R5NPDF800</t>
        </is>
      </c>
      <c r="I46" s="265"/>
      <c r="J46" s="265"/>
      <c r="K46" s="265"/>
      <c r="L46" s="265"/>
      <c r="M46" s="265" t="inlineStr">
        <is>
          <t xml:space="preserve">Упаковка</t>
        </is>
      </c>
      <c r="N46" s="133">
        <f>IF(OR(A46="Автомат",A46="Дифавтомат"),IF(W46="","",COUNTIF(Однолинейка!$H$3:$H$1000,U46)),IF(A46="Аппарат",IF(C46="","",COUNTIF(Однолинейка!$I$3:$I$1000,C46)+COUNTIF(Однолинейка!$J$3:$J$1000,C46)+COUNTIF(Однолинейка!$K$3:$K$1000,C46)),IF(A46="Модуль",IF(C46="","",COUNTIFS(Однолинейка!$AW$3:$AW$1000,"?*",Однолинейка!$AI$3:$AI$1000,C46)),IF(A46="Клемма",IF(C46="","",IF(C46=$S$7,SUM(Однолинейка!$BW$3:$BW$1000),IF(C46=$S$8,SUM(Однолинейка!$BX$3:$BX$1000),""))),""))))</f>
      </c>
      <c r="O46" s="265"/>
      <c r="P46" s="133">
        <f>IF(COUNT(N46,O46)=0,"",SUM(N46,O46))</f>
      </c>
      <c r="U46" s="133">
        <f>IF(OR(A46="Автомат",A46="Дифавтомат"),I46&amp;" С"&amp;J46&amp;"А"&amp;IF(K46="да"," 30мА",""),"")</f>
      </c>
      <c r="V46" s="133">
        <f>IF(U46="","",B46&amp;"|"&amp;U46)</f>
      </c>
      <c r="W46" s="133">
        <f>IF(AND(U46&lt;&gt;"",OR($S$4="(все)",B46=$S$4),IF($S$4="(все)",COUNTIF($U$4:U46,U46),COUNTIFS($U$4:U46,U46,$B$4:B46,B46))=1),MAX($W$3:W45)+1,"")</f>
      </c>
      <c r="X46" s="133">
        <f>IFERROR(INDEX($U$4:$U$500,MATCH(ROW()-3,$W$4:$W$500,0)),"")</f>
      </c>
      <c r="Y46" s="133">
        <f>IF(AND(A46="Аппарат",C46&lt;&gt;"",OR($S$5="(все)",B46=$S$5)),MAX($Y$3:Y45)+1,"")</f>
      </c>
      <c r="Z46" s="133">
        <f>IFERROR(INDEX($C$4:$C$500,MATCH(ROW()-3,$Y$4:$Y$500,0)),"")</f>
      </c>
      <c r="AA46" s="133">
        <f>IF(AND(A46="Модуль",C46&lt;&gt;"",OR($S$6="(все)",B46=$S$6)),MAX($AA$3:AA45)+1,"")</f>
      </c>
      <c r="AB46" s="133">
        <f>IFERROR(INDEX($C$4:$C$500,MATCH(ROW()-3,$AA$4:$AA$500,0)),"")</f>
      </c>
      <c r="AC46" s="133">
        <f>IF(OR(B46="",COUNTIF($B$4:B46,B46)&gt;1),"",MAX($AC$3:AC45)+1)</f>
      </c>
      <c r="AD46" s="133">
        <f>IFERROR(INDEX($B$4:$B$500,MATCH(ROW()-3,$AC$4:$AC$500,0)),"")</f>
      </c>
      <c r="AE46" s="133">
        <f>IF(AND(A46&lt;&gt;"",N(P46)&gt;0),IFERROR(MATCH(A46,$R$12:$R$25,0),99)*1000+ROW(),"")</f>
      </c>
      <c r="AF46" s="133">
        <f>IF(AE46="","",COUNTIF($AE$4:$AE$500,"&lt;="&amp;AE46))</f>
      </c>
    </row>
    <row r="47">
      <c r="A47" s="265" t="inlineStr">
        <is>
          <t xml:space="preserve">Корпус</t>
        </is>
      </c>
      <c r="B47" s="265" t="inlineStr">
        <is>
          <t xml:space="preserve">DKC</t>
        </is>
      </c>
      <c r="C47" s="265" t="inlineStr">
        <is>
          <t xml:space="preserve">R5NPAC800</t>
        </is>
      </c>
      <c r="D47" s="265"/>
      <c r="E47" s="265"/>
      <c r="F47" s="265"/>
      <c r="G47" s="265" t="inlineStr">
        <is>
          <t xml:space="preserve">Рейка для фиксации кабеля для корпусов CQE N, Ш=800 мм, упаковка - 2 шт. RAM block</t>
        </is>
      </c>
      <c r="H47" s="265" t="inlineStr">
        <is>
          <t xml:space="preserve">R5NPAC800</t>
        </is>
      </c>
      <c r="I47" s="265"/>
      <c r="J47" s="265"/>
      <c r="K47" s="265"/>
      <c r="L47" s="265"/>
      <c r="M47" s="265" t="inlineStr">
        <is>
          <t xml:space="preserve">Упаковка</t>
        </is>
      </c>
      <c r="N47" s="133">
        <f>IF(OR(A47="Автомат",A47="Дифавтомат"),IF(W47="","",COUNTIF(Однолинейка!$H$3:$H$1000,U47)),IF(A47="Аппарат",IF(C47="","",COUNTIF(Однолинейка!$I$3:$I$1000,C47)+COUNTIF(Однолинейка!$J$3:$J$1000,C47)+COUNTIF(Однолинейка!$K$3:$K$1000,C47)),IF(A47="Модуль",IF(C47="","",COUNTIFS(Однолинейка!$AW$3:$AW$1000,"?*",Однолинейка!$AI$3:$AI$1000,C47)),IF(A47="Клемма",IF(C47="","",IF(C47=$S$7,SUM(Однолинейка!$BW$3:$BW$1000),IF(C47=$S$8,SUM(Однолинейка!$BX$3:$BX$1000),""))),""))))</f>
      </c>
      <c r="O47" s="265"/>
      <c r="P47" s="133">
        <f>IF(COUNT(N47,O47)=0,"",SUM(N47,O47))</f>
      </c>
      <c r="U47" s="133">
        <f>IF(OR(A47="Автомат",A47="Дифавтомат"),I47&amp;" С"&amp;J47&amp;"А"&amp;IF(K47="да"," 30мА",""),"")</f>
      </c>
      <c r="V47" s="133">
        <f>IF(U47="","",B47&amp;"|"&amp;U47)</f>
      </c>
      <c r="W47" s="133">
        <f>IF(AND(U47&lt;&gt;"",OR($S$4="(все)",B47=$S$4),IF($S$4="(все)",COUNTIF($U$4:U47,U47),COUNTIFS($U$4:U47,U47,$B$4:B47,B47))=1),MAX($W$3:W46)+1,"")</f>
      </c>
      <c r="X47" s="133">
        <f>IFERROR(INDEX($U$4:$U$500,MATCH(ROW()-3,$W$4:$W$500,0)),"")</f>
      </c>
      <c r="Y47" s="133">
        <f>IF(AND(A47="Аппарат",C47&lt;&gt;"",OR($S$5="(все)",B47=$S$5)),MAX($Y$3:Y46)+1,"")</f>
      </c>
      <c r="Z47" s="133">
        <f>IFERROR(INDEX($C$4:$C$500,MATCH(ROW()-3,$Y$4:$Y$500,0)),"")</f>
      </c>
      <c r="AA47" s="133">
        <f>IF(AND(A47="Модуль",C47&lt;&gt;"",OR($S$6="(все)",B47=$S$6)),MAX($AA$3:AA46)+1,"")</f>
      </c>
      <c r="AB47" s="133">
        <f>IFERROR(INDEX($C$4:$C$500,MATCH(ROW()-3,$AA$4:$AA$500,0)),"")</f>
      </c>
      <c r="AC47" s="133">
        <f>IF(OR(B47="",COUNTIF($B$4:B47,B47)&gt;1),"",MAX($AC$3:AC46)+1)</f>
      </c>
      <c r="AD47" s="133">
        <f>IFERROR(INDEX($B$4:$B$500,MATCH(ROW()-3,$AC$4:$AC$500,0)),"")</f>
      </c>
      <c r="AE47" s="133">
        <f>IF(AND(A47&lt;&gt;"",N(P47)&gt;0),IFERROR(MATCH(A47,$R$12:$R$25,0),99)*1000+ROW(),"")</f>
      </c>
      <c r="AF47" s="133">
        <f>IF(AE47="","",COUNTIF($AE$4:$AE$500,"&lt;="&amp;AE47))</f>
      </c>
    </row>
    <row r="48">
      <c r="A48" s="265" t="inlineStr">
        <is>
          <t xml:space="preserve">Корпус</t>
        </is>
      </c>
      <c r="B48" s="265" t="inlineStr">
        <is>
          <t xml:space="preserve">DKC</t>
        </is>
      </c>
      <c r="C48" s="265" t="inlineStr">
        <is>
          <t xml:space="preserve">R5NPDV18</t>
        </is>
      </c>
      <c r="D48" s="265"/>
      <c r="E48" s="265"/>
      <c r="F48" s="265"/>
      <c r="G48" s="265" t="inlineStr">
        <is>
          <t xml:space="preserve">Рейки широкие вертикальные для корпусов CQE N, В=1800 мм, упаковка - 2 шт. RAM block</t>
        </is>
      </c>
      <c r="H48" s="265" t="inlineStr">
        <is>
          <t xml:space="preserve">R5NPDV18</t>
        </is>
      </c>
      <c r="I48" s="265"/>
      <c r="J48" s="265"/>
      <c r="K48" s="265"/>
      <c r="L48" s="265"/>
      <c r="M48" s="265" t="inlineStr">
        <is>
          <t xml:space="preserve">Комплект</t>
        </is>
      </c>
      <c r="N48" s="133">
        <f>IF(OR(A48="Автомат",A48="Дифавтомат"),IF(W48="","",COUNTIF(Однолинейка!$H$3:$H$1000,U48)),IF(A48="Аппарат",IF(C48="","",COUNTIF(Однолинейка!$I$3:$I$1000,C48)+COUNTIF(Однолинейка!$J$3:$J$1000,C48)+COUNTIF(Однолинейка!$K$3:$K$1000,C48)),IF(A48="Модуль",IF(C48="","",COUNTIFS(Однолинейка!$AW$3:$AW$1000,"?*",Однолинейка!$AI$3:$AI$1000,C48)),IF(A48="Клемма",IF(C48="","",IF(C48=$S$7,SUM(Однолинейка!$BW$3:$BW$1000),IF(C48=$S$8,SUM(Однолинейка!$BX$3:$BX$1000),""))),""))))</f>
      </c>
      <c r="O48" s="265"/>
      <c r="P48" s="133">
        <f>IF(COUNT(N48,O48)=0,"",SUM(N48,O48))</f>
      </c>
      <c r="U48" s="133">
        <f>IF(OR(A48="Автомат",A48="Дифавтомат"),I48&amp;" С"&amp;J48&amp;"А"&amp;IF(K48="да"," 30мА",""),"")</f>
      </c>
      <c r="V48" s="133">
        <f>IF(U48="","",B48&amp;"|"&amp;U48)</f>
      </c>
      <c r="W48" s="133">
        <f>IF(AND(U48&lt;&gt;"",OR($S$4="(все)",B48=$S$4),IF($S$4="(все)",COUNTIF($U$4:U48,U48),COUNTIFS($U$4:U48,U48,$B$4:B48,B48))=1),MAX($W$3:W47)+1,"")</f>
      </c>
      <c r="X48" s="133">
        <f>IFERROR(INDEX($U$4:$U$500,MATCH(ROW()-3,$W$4:$W$500,0)),"")</f>
      </c>
      <c r="Y48" s="133">
        <f>IF(AND(A48="Аппарат",C48&lt;&gt;"",OR($S$5="(все)",B48=$S$5)),MAX($Y$3:Y47)+1,"")</f>
      </c>
      <c r="Z48" s="133">
        <f>IFERROR(INDEX($C$4:$C$500,MATCH(ROW()-3,$Y$4:$Y$500,0)),"")</f>
      </c>
      <c r="AA48" s="133">
        <f>IF(AND(A48="Модуль",C48&lt;&gt;"",OR($S$6="(все)",B48=$S$6)),MAX($AA$3:AA47)+1,"")</f>
      </c>
      <c r="AB48" s="133">
        <f>IFERROR(INDEX($C$4:$C$500,MATCH(ROW()-3,$AA$4:$AA$500,0)),"")</f>
      </c>
      <c r="AC48" s="133">
        <f>IF(OR(B48="",COUNTIF($B$4:B48,B48)&gt;1),"",MAX($AC$3:AC47)+1)</f>
      </c>
      <c r="AD48" s="133">
        <f>IFERROR(INDEX($B$4:$B$500,MATCH(ROW()-3,$AC$4:$AC$500,0)),"")</f>
      </c>
      <c r="AE48" s="133">
        <f>IF(AND(A48&lt;&gt;"",N(P48)&gt;0),IFERROR(MATCH(A48,$R$12:$R$25,0),99)*1000+ROW(),"")</f>
      </c>
      <c r="AF48" s="133">
        <f>IF(AE48="","",COUNTIF($AE$4:$AE$500,"&lt;="&amp;AE48))</f>
      </c>
    </row>
    <row r="49">
      <c r="A49" s="265" t="inlineStr">
        <is>
          <t xml:space="preserve">Корпус</t>
        </is>
      </c>
      <c r="B49" s="265" t="inlineStr">
        <is>
          <t xml:space="preserve">DKC</t>
        </is>
      </c>
      <c r="C49" s="265" t="inlineStr">
        <is>
          <t xml:space="preserve">R5ES01</t>
        </is>
      </c>
      <c r="D49" s="265"/>
      <c r="E49" s="265"/>
      <c r="F49" s="265"/>
      <c r="G49" s="265" t="inlineStr">
        <is>
          <t xml:space="preserve">Комплект кабелей заземления CQE RAM block</t>
        </is>
      </c>
      <c r="H49" s="265" t="inlineStr">
        <is>
          <t xml:space="preserve">R5ES01</t>
        </is>
      </c>
      <c r="I49" s="265"/>
      <c r="J49" s="265"/>
      <c r="K49" s="265"/>
      <c r="L49" s="265"/>
      <c r="M49" s="265" t="inlineStr">
        <is>
          <t xml:space="preserve">Комплект</t>
        </is>
      </c>
      <c r="N49" s="133">
        <f>IF(OR(A49="Автомат",A49="Дифавтомат"),IF(W49="","",COUNTIF(Однолинейка!$H$3:$H$1000,U49)),IF(A49="Аппарат",IF(C49="","",COUNTIF(Однолинейка!$I$3:$I$1000,C49)+COUNTIF(Однолинейка!$J$3:$J$1000,C49)+COUNTIF(Однолинейка!$K$3:$K$1000,C49)),IF(A49="Модуль",IF(C49="","",COUNTIFS(Однолинейка!$AW$3:$AW$1000,"?*",Однолинейка!$AI$3:$AI$1000,C49)),IF(A49="Клемма",IF(C49="","",IF(C49=$S$7,SUM(Однолинейка!$BW$3:$BW$1000),IF(C49=$S$8,SUM(Однолинейка!$BX$3:$BX$1000),""))),""))))</f>
      </c>
      <c r="O49" s="265"/>
      <c r="P49" s="133">
        <f>IF(COUNT(N49,O49)=0,"",SUM(N49,O49))</f>
      </c>
      <c r="U49" s="133">
        <f>IF(OR(A49="Автомат",A49="Дифавтомат"),I49&amp;" С"&amp;J49&amp;"А"&amp;IF(K49="да"," 30мА",""),"")</f>
      </c>
      <c r="V49" s="133">
        <f>IF(U49="","",B49&amp;"|"&amp;U49)</f>
      </c>
      <c r="W49" s="133">
        <f>IF(AND(U49&lt;&gt;"",OR($S$4="(все)",B49=$S$4),IF($S$4="(все)",COUNTIF($U$4:U49,U49),COUNTIFS($U$4:U49,U49,$B$4:B49,B49))=1),MAX($W$3:W48)+1,"")</f>
      </c>
      <c r="X49" s="133">
        <f>IFERROR(INDEX($U$4:$U$500,MATCH(ROW()-3,$W$4:$W$500,0)),"")</f>
      </c>
      <c r="Y49" s="133">
        <f>IF(AND(A49="Аппарат",C49&lt;&gt;"",OR($S$5="(все)",B49=$S$5)),MAX($Y$3:Y48)+1,"")</f>
      </c>
      <c r="Z49" s="133">
        <f>IFERROR(INDEX($C$4:$C$500,MATCH(ROW()-3,$Y$4:$Y$500,0)),"")</f>
      </c>
      <c r="AA49" s="133">
        <f>IF(AND(A49="Модуль",C49&lt;&gt;"",OR($S$6="(все)",B49=$S$6)),MAX($AA$3:AA48)+1,"")</f>
      </c>
      <c r="AB49" s="133">
        <f>IFERROR(INDEX($C$4:$C$500,MATCH(ROW()-3,$AA$4:$AA$500,0)),"")</f>
      </c>
      <c r="AC49" s="133">
        <f>IF(OR(B49="",COUNTIF($B$4:B49,B49)&gt;1),"",MAX($AC$3:AC48)+1)</f>
      </c>
      <c r="AD49" s="133">
        <f>IFERROR(INDEX($B$4:$B$500,MATCH(ROW()-3,$AC$4:$AC$500,0)),"")</f>
      </c>
      <c r="AE49" s="133">
        <f>IF(AND(A49&lt;&gt;"",N(P49)&gt;0),IFERROR(MATCH(A49,$R$12:$R$25,0),99)*1000+ROW(),"")</f>
      </c>
      <c r="AF49" s="133">
        <f>IF(AE49="","",COUNTIF($AE$4:$AE$500,"&lt;="&amp;AE49))</f>
      </c>
    </row>
    <row r="50">
      <c r="A50" s="265" t="inlineStr">
        <is>
          <t xml:space="preserve">Корпус</t>
        </is>
      </c>
      <c r="B50" s="265" t="inlineStr">
        <is>
          <t xml:space="preserve">DKC</t>
        </is>
      </c>
      <c r="C50" s="265" t="inlineStr">
        <is>
          <t xml:space="preserve">R5PP01</t>
        </is>
      </c>
      <c r="D50" s="265"/>
      <c r="E50" s="265"/>
      <c r="F50" s="265"/>
      <c r="G50" s="265" t="inlineStr">
        <is>
          <t xml:space="preserve">П-образный профиль для защиты кромок, для дверей и панелей RAM block</t>
        </is>
      </c>
      <c r="H50" s="265" t="inlineStr">
        <is>
          <t xml:space="preserve">R5PP01</t>
        </is>
      </c>
      <c r="I50" s="265"/>
      <c r="J50" s="265"/>
      <c r="K50" s="265"/>
      <c r="L50" s="265"/>
      <c r="M50" s="265" t="inlineStr">
        <is>
          <t xml:space="preserve">Метр</t>
        </is>
      </c>
      <c r="N50" s="133">
        <f>IF(OR(A50="Автомат",A50="Дифавтомат"),IF(W50="","",COUNTIF(Однолинейка!$H$3:$H$1000,U50)),IF(A50="Аппарат",IF(C50="","",COUNTIF(Однолинейка!$I$3:$I$1000,C50)+COUNTIF(Однолинейка!$J$3:$J$1000,C50)+COUNTIF(Однолинейка!$K$3:$K$1000,C50)),IF(A50="Модуль",IF(C50="","",COUNTIFS(Однолинейка!$AW$3:$AW$1000,"?*",Однолинейка!$AI$3:$AI$1000,C50)),IF(A50="Клемма",IF(C50="","",IF(C50=$S$7,SUM(Однолинейка!$BW$3:$BW$1000),IF(C50=$S$8,SUM(Однолинейка!$BX$3:$BX$1000),""))),""))))</f>
      </c>
      <c r="O50" s="265"/>
      <c r="P50" s="133">
        <f>IF(COUNT(N50,O50)=0,"",SUM(N50,O50))</f>
      </c>
      <c r="U50" s="133">
        <f>IF(OR(A50="Автомат",A50="Дифавтомат"),I50&amp;" С"&amp;J50&amp;"А"&amp;IF(K50="да"," 30мА",""),"")</f>
      </c>
      <c r="V50" s="133">
        <f>IF(U50="","",B50&amp;"|"&amp;U50)</f>
      </c>
      <c r="W50" s="133">
        <f>IF(AND(U50&lt;&gt;"",OR($S$4="(все)",B50=$S$4),IF($S$4="(все)",COUNTIF($U$4:U50,U50),COUNTIFS($U$4:U50,U50,$B$4:B50,B50))=1),MAX($W$3:W49)+1,"")</f>
      </c>
      <c r="X50" s="133">
        <f>IFERROR(INDEX($U$4:$U$500,MATCH(ROW()-3,$W$4:$W$500,0)),"")</f>
      </c>
      <c r="Y50" s="133">
        <f>IF(AND(A50="Аппарат",C50&lt;&gt;"",OR($S$5="(все)",B50=$S$5)),MAX($Y$3:Y49)+1,"")</f>
      </c>
      <c r="Z50" s="133">
        <f>IFERROR(INDEX($C$4:$C$500,MATCH(ROW()-3,$Y$4:$Y$500,0)),"")</f>
      </c>
      <c r="AA50" s="133">
        <f>IF(AND(A50="Модуль",C50&lt;&gt;"",OR($S$6="(все)",B50=$S$6)),MAX($AA$3:AA49)+1,"")</f>
      </c>
      <c r="AB50" s="133">
        <f>IFERROR(INDEX($C$4:$C$500,MATCH(ROW()-3,$AA$4:$AA$500,0)),"")</f>
      </c>
      <c r="AC50" s="133">
        <f>IF(OR(B50="",COUNTIF($B$4:B50,B50)&gt;1),"",MAX($AC$3:AC49)+1)</f>
      </c>
      <c r="AD50" s="133">
        <f>IFERROR(INDEX($B$4:$B$500,MATCH(ROW()-3,$AC$4:$AC$500,0)),"")</f>
      </c>
      <c r="AE50" s="133">
        <f>IF(AND(A50&lt;&gt;"",N(P50)&gt;0),IFERROR(MATCH(A50,$R$12:$R$25,0),99)*1000+ROW(),"")</f>
      </c>
      <c r="AF50" s="133">
        <f>IF(AE50="","",COUNTIF($AE$4:$AE$500,"&lt;="&amp;AE50))</f>
      </c>
    </row>
    <row r="51">
      <c r="A51" s="265" t="inlineStr">
        <is>
          <t xml:space="preserve">Корпус</t>
        </is>
      </c>
      <c r="B51" s="265" t="inlineStr">
        <is>
          <t xml:space="preserve">DKC</t>
        </is>
      </c>
      <c r="C51" s="265" t="inlineStr">
        <is>
          <t xml:space="preserve">R5MC131</t>
        </is>
      </c>
      <c r="D51" s="265"/>
      <c r="E51" s="265"/>
      <c r="F51" s="265"/>
      <c r="G51" s="265" t="inlineStr">
        <is>
          <t xml:space="preserve">Концевой выключатель с двумя контактами, нормально открытый + нормально закрытый (NO+NC). С поворотным регулируемым рычажным роликом</t>
        </is>
      </c>
      <c r="H51" s="265" t="inlineStr">
        <is>
          <t xml:space="preserve">R5MC131</t>
        </is>
      </c>
      <c r="I51" s="265"/>
      <c r="J51" s="265"/>
      <c r="K51" s="265"/>
      <c r="L51" s="265"/>
      <c r="M51" s="265" t="inlineStr">
        <is>
          <t xml:space="preserve">шт.</t>
        </is>
      </c>
      <c r="N51" s="133">
        <f>IF(OR(A51="Автомат",A51="Дифавтомат"),IF(W51="","",COUNTIF(Однолинейка!$H$3:$H$1000,U51)),IF(A51="Аппарат",IF(C51="","",COUNTIF(Однолинейка!$I$3:$I$1000,C51)+COUNTIF(Однолинейка!$J$3:$J$1000,C51)+COUNTIF(Однолинейка!$K$3:$K$1000,C51)),IF(A51="Модуль",IF(C51="","",COUNTIFS(Однолинейка!$AW$3:$AW$1000,"?*",Однолинейка!$AI$3:$AI$1000,C51)),IF(A51="Клемма",IF(C51="","",IF(C51=$S$7,SUM(Однолинейка!$BW$3:$BW$1000),IF(C51=$S$8,SUM(Однолинейка!$BX$3:$BX$1000),""))),""))))</f>
      </c>
      <c r="O51" s="265"/>
      <c r="P51" s="133">
        <f>IF(COUNT(N51,O51)=0,"",SUM(N51,O51))</f>
      </c>
      <c r="U51" s="133">
        <f>IF(OR(A51="Автомат",A51="Дифавтомат"),I51&amp;" С"&amp;J51&amp;"А"&amp;IF(K51="да"," 30мА",""),"")</f>
      </c>
      <c r="V51" s="133">
        <f>IF(U51="","",B51&amp;"|"&amp;U51)</f>
      </c>
      <c r="W51" s="133">
        <f>IF(AND(U51&lt;&gt;"",OR($S$4="(все)",B51=$S$4),IF($S$4="(все)",COUNTIF($U$4:U51,U51),COUNTIFS($U$4:U51,U51,$B$4:B51,B51))=1),MAX($W$3:W50)+1,"")</f>
      </c>
      <c r="X51" s="133">
        <f>IFERROR(INDEX($U$4:$U$500,MATCH(ROW()-3,$W$4:$W$500,0)),"")</f>
      </c>
      <c r="Y51" s="133">
        <f>IF(AND(A51="Аппарат",C51&lt;&gt;"",OR($S$5="(все)",B51=$S$5)),MAX($Y$3:Y50)+1,"")</f>
      </c>
      <c r="Z51" s="133">
        <f>IFERROR(INDEX($C$4:$C$500,MATCH(ROW()-3,$Y$4:$Y$500,0)),"")</f>
      </c>
      <c r="AA51" s="133">
        <f>IF(AND(A51="Модуль",C51&lt;&gt;"",OR($S$6="(все)",B51=$S$6)),MAX($AA$3:AA50)+1,"")</f>
      </c>
      <c r="AB51" s="133">
        <f>IFERROR(INDEX($C$4:$C$500,MATCH(ROW()-3,$AA$4:$AA$500,0)),"")</f>
      </c>
      <c r="AC51" s="133">
        <f>IF(OR(B51="",COUNTIF($B$4:B51,B51)&gt;1),"",MAX($AC$3:AC50)+1)</f>
      </c>
      <c r="AD51" s="133">
        <f>IFERROR(INDEX($B$4:$B$500,MATCH(ROW()-3,$AC$4:$AC$500,0)),"")</f>
      </c>
      <c r="AE51" s="133">
        <f>IF(AND(A51&lt;&gt;"",N(P51)&gt;0),IFERROR(MATCH(A51,$R$12:$R$25,0),99)*1000+ROW(),"")</f>
      </c>
      <c r="AF51" s="133">
        <f>IF(AE51="","",COUNTIF($AE$4:$AE$500,"&lt;="&amp;AE51))</f>
      </c>
    </row>
    <row r="52">
      <c r="A52" s="265" t="inlineStr">
        <is>
          <t xml:space="preserve">Корпус</t>
        </is>
      </c>
      <c r="B52" s="265" t="inlineStr">
        <is>
          <t xml:space="preserve">arlight</t>
        </is>
      </c>
      <c r="C52" s="265" t="inlineStr">
        <is>
          <t xml:space="preserve">042031</t>
        </is>
      </c>
      <c r="D52" s="265"/>
      <c r="E52" s="265"/>
      <c r="F52" s="265"/>
      <c r="G52" s="265" t="inlineStr">
        <is>
          <t xml:space="preserve">Светодиодная лента COB-X480-4mm 24V Day4000 (4 W/m, IP20, CSP, 5m) (Arlight, -) 042031</t>
        </is>
      </c>
      <c r="H52" s="265" t="inlineStr">
        <is>
          <t xml:space="preserve">042031</t>
        </is>
      </c>
      <c r="I52" s="265"/>
      <c r="J52" s="265"/>
      <c r="K52" s="265"/>
      <c r="L52" s="265"/>
      <c r="M52" s="265" t="inlineStr">
        <is>
          <t xml:space="preserve">шт.</t>
        </is>
      </c>
      <c r="N52" s="133">
        <f>IF(OR(A52="Автомат",A52="Дифавтомат"),IF(W52="","",COUNTIF(Однолинейка!$H$3:$H$1000,U52)),IF(A52="Аппарат",IF(C52="","",COUNTIF(Однолинейка!$I$3:$I$1000,C52)+COUNTIF(Однолинейка!$J$3:$J$1000,C52)+COUNTIF(Однолинейка!$K$3:$K$1000,C52)),IF(A52="Модуль",IF(C52="","",COUNTIFS(Однолинейка!$AW$3:$AW$1000,"?*",Однолинейка!$AI$3:$AI$1000,C52)),IF(A52="Клемма",IF(C52="","",IF(C52=$S$7,SUM(Однолинейка!$BW$3:$BW$1000),IF(C52=$S$8,SUM(Однолинейка!$BX$3:$BX$1000),""))),""))))</f>
      </c>
      <c r="O52" s="265"/>
      <c r="P52" s="133">
        <f>IF(COUNT(N52,O52)=0,"",SUM(N52,O52))</f>
      </c>
      <c r="U52" s="133">
        <f>IF(OR(A52="Автомат",A52="Дифавтомат"),I52&amp;" С"&amp;J52&amp;"А"&amp;IF(K52="да"," 30мА",""),"")</f>
      </c>
      <c r="V52" s="133">
        <f>IF(U52="","",B52&amp;"|"&amp;U52)</f>
      </c>
      <c r="W52" s="133">
        <f>IF(AND(U52&lt;&gt;"",OR($S$4="(все)",B52=$S$4),IF($S$4="(все)",COUNTIF($U$4:U52,U52),COUNTIFS($U$4:U52,U52,$B$4:B52,B52))=1),MAX($W$3:W51)+1,"")</f>
      </c>
      <c r="X52" s="133">
        <f>IFERROR(INDEX($U$4:$U$500,MATCH(ROW()-3,$W$4:$W$500,0)),"")</f>
      </c>
      <c r="Y52" s="133">
        <f>IF(AND(A52="Аппарат",C52&lt;&gt;"",OR($S$5="(все)",B52=$S$5)),MAX($Y$3:Y51)+1,"")</f>
      </c>
      <c r="Z52" s="133">
        <f>IFERROR(INDEX($C$4:$C$500,MATCH(ROW()-3,$Y$4:$Y$500,0)),"")</f>
      </c>
      <c r="AA52" s="133">
        <f>IF(AND(A52="Модуль",C52&lt;&gt;"",OR($S$6="(все)",B52=$S$6)),MAX($AA$3:AA51)+1,"")</f>
      </c>
      <c r="AB52" s="133">
        <f>IFERROR(INDEX($C$4:$C$500,MATCH(ROW()-3,$AA$4:$AA$500,0)),"")</f>
      </c>
      <c r="AC52" s="133">
        <f>IF(OR(B52="",COUNTIF($B$4:B52,B52)&gt;1),"",MAX($AC$3:AC51)+1)</f>
      </c>
      <c r="AD52" s="133">
        <f>IFERROR(INDEX($B$4:$B$500,MATCH(ROW()-3,$AC$4:$AC$500,0)),"")</f>
      </c>
      <c r="AE52" s="133">
        <f>IF(AND(A52&lt;&gt;"",N(P52)&gt;0),IFERROR(MATCH(A52,$R$12:$R$25,0),99)*1000+ROW(),"")</f>
      </c>
      <c r="AF52" s="133">
        <f>IF(AE52="","",COUNTIF($AE$4:$AE$500,"&lt;="&amp;AE52))</f>
      </c>
    </row>
    <row r="53">
      <c r="A53" s="265" t="inlineStr">
        <is>
          <t xml:space="preserve">Корпус</t>
        </is>
      </c>
      <c r="B53" s="265" t="inlineStr">
        <is>
          <t xml:space="preserve">arlight</t>
        </is>
      </c>
      <c r="C53" s="265" t="inlineStr">
        <is>
          <t xml:space="preserve">044541</t>
        </is>
      </c>
      <c r="D53" s="265"/>
      <c r="E53" s="265"/>
      <c r="F53" s="265"/>
      <c r="G53" s="265" t="inlineStr">
        <is>
          <t xml:space="preserve">Профиль: Arlight MIC-M-2000 ANOD, алюминий, накладной, 2 м</t>
        </is>
      </c>
      <c r="H53" s="265" t="inlineStr">
        <is>
          <t xml:space="preserve">044541</t>
        </is>
      </c>
      <c r="I53" s="265"/>
      <c r="J53" s="265"/>
      <c r="K53" s="265"/>
      <c r="L53" s="265"/>
      <c r="M53" s="265" t="inlineStr">
        <is>
          <t xml:space="preserve">шт.</t>
        </is>
      </c>
      <c r="N53" s="133">
        <f>IF(OR(A53="Автомат",A53="Дифавтомат"),IF(W53="","",COUNTIF(Однолинейка!$H$3:$H$1000,U53)),IF(A53="Аппарат",IF(C53="","",COUNTIF(Однолинейка!$I$3:$I$1000,C53)+COUNTIF(Однолинейка!$J$3:$J$1000,C53)+COUNTIF(Однолинейка!$K$3:$K$1000,C53)),IF(A53="Модуль",IF(C53="","",COUNTIFS(Однолинейка!$AW$3:$AW$1000,"?*",Однолинейка!$AI$3:$AI$1000,C53)),IF(A53="Клемма",IF(C53="","",IF(C53=$S$7,SUM(Однолинейка!$BW$3:$BW$1000),IF(C53=$S$8,SUM(Однолинейка!$BX$3:$BX$1000),""))),""))))</f>
      </c>
      <c r="O53" s="265"/>
      <c r="P53" s="133">
        <f>IF(COUNT(N53,O53)=0,"",SUM(N53,O53))</f>
      </c>
      <c r="U53" s="133">
        <f>IF(OR(A53="Автомат",A53="Дифавтомат"),I53&amp;" С"&amp;J53&amp;"А"&amp;IF(K53="да"," 30мА",""),"")</f>
      </c>
      <c r="V53" s="133">
        <f>IF(U53="","",B53&amp;"|"&amp;U53)</f>
      </c>
      <c r="W53" s="133">
        <f>IF(AND(U53&lt;&gt;"",OR($S$4="(все)",B53=$S$4),IF($S$4="(все)",COUNTIF($U$4:U53,U53),COUNTIFS($U$4:U53,U53,$B$4:B53,B53))=1),MAX($W$3:W52)+1,"")</f>
      </c>
      <c r="X53" s="133">
        <f>IFERROR(INDEX($U$4:$U$500,MATCH(ROW()-3,$W$4:$W$500,0)),"")</f>
      </c>
      <c r="Y53" s="133">
        <f>IF(AND(A53="Аппарат",C53&lt;&gt;"",OR($S$5="(все)",B53=$S$5)),MAX($Y$3:Y52)+1,"")</f>
      </c>
      <c r="Z53" s="133">
        <f>IFERROR(INDEX($C$4:$C$500,MATCH(ROW()-3,$Y$4:$Y$500,0)),"")</f>
      </c>
      <c r="AA53" s="133">
        <f>IF(AND(A53="Модуль",C53&lt;&gt;"",OR($S$6="(все)",B53=$S$6)),MAX($AA$3:AA52)+1,"")</f>
      </c>
      <c r="AB53" s="133">
        <f>IFERROR(INDEX($C$4:$C$500,MATCH(ROW()-3,$AA$4:$AA$500,0)),"")</f>
      </c>
      <c r="AC53" s="133">
        <f>IF(OR(B53="",COUNTIF($B$4:B53,B53)&gt;1),"",MAX($AC$3:AC52)+1)</f>
      </c>
      <c r="AD53" s="133">
        <f>IFERROR(INDEX($B$4:$B$500,MATCH(ROW()-3,$AC$4:$AC$500,0)),"")</f>
      </c>
      <c r="AE53" s="133">
        <f>IF(AND(A53&lt;&gt;"",N(P53)&gt;0),IFERROR(MATCH(A53,$R$12:$R$25,0),99)*1000+ROW(),"")</f>
      </c>
      <c r="AF53" s="133">
        <f>IF(AE53="","",COUNTIF($AE$4:$AE$500,"&lt;="&amp;AE53))</f>
      </c>
    </row>
    <row r="54">
      <c r="A54" s="265" t="inlineStr">
        <is>
          <t xml:space="preserve">Корпус</t>
        </is>
      </c>
      <c r="B54" s="265" t="inlineStr">
        <is>
          <t xml:space="preserve">arlight</t>
        </is>
      </c>
      <c r="C54" s="265" t="inlineStr">
        <is>
          <t xml:space="preserve">012037</t>
        </is>
      </c>
      <c r="D54" s="265"/>
      <c r="E54" s="265"/>
      <c r="F54" s="265"/>
      <c r="G54" s="265" t="inlineStr">
        <is>
          <t xml:space="preserve">Рассеиватель: Arlight Экран матовый для PDS, MIC, 2 м</t>
        </is>
      </c>
      <c r="H54" s="265" t="inlineStr">
        <is>
          <t xml:space="preserve">012037</t>
        </is>
      </c>
      <c r="I54" s="265"/>
      <c r="J54" s="265"/>
      <c r="K54" s="265"/>
      <c r="L54" s="265"/>
      <c r="M54" s="265" t="inlineStr">
        <is>
          <t xml:space="preserve">шт.</t>
        </is>
      </c>
      <c r="N54" s="133">
        <f>IF(OR(A54="Автомат",A54="Дифавтомат"),IF(W54="","",COUNTIF(Однолинейка!$H$3:$H$1000,U54)),IF(A54="Аппарат",IF(C54="","",COUNTIF(Однолинейка!$I$3:$I$1000,C54)+COUNTIF(Однолинейка!$J$3:$J$1000,C54)+COUNTIF(Однолинейка!$K$3:$K$1000,C54)),IF(A54="Модуль",IF(C54="","",COUNTIFS(Однолинейка!$AW$3:$AW$1000,"?*",Однолинейка!$AI$3:$AI$1000,C54)),IF(A54="Клемма",IF(C54="","",IF(C54=$S$7,SUM(Однолинейка!$BW$3:$BW$1000),IF(C54=$S$8,SUM(Однолинейка!$BX$3:$BX$1000),""))),""))))</f>
      </c>
      <c r="O54" s="265"/>
      <c r="P54" s="133">
        <f>IF(COUNT(N54,O54)=0,"",SUM(N54,O54))</f>
      </c>
      <c r="U54" s="133">
        <f>IF(OR(A54="Автомат",A54="Дифавтомат"),I54&amp;" С"&amp;J54&amp;"А"&amp;IF(K54="да"," 30мА",""),"")</f>
      </c>
      <c r="V54" s="133">
        <f>IF(U54="","",B54&amp;"|"&amp;U54)</f>
      </c>
      <c r="W54" s="133">
        <f>IF(AND(U54&lt;&gt;"",OR($S$4="(все)",B54=$S$4),IF($S$4="(все)",COUNTIF($U$4:U54,U54),COUNTIFS($U$4:U54,U54,$B$4:B54,B54))=1),MAX($W$3:W53)+1,"")</f>
      </c>
      <c r="X54" s="133">
        <f>IFERROR(INDEX($U$4:$U$500,MATCH(ROW()-3,$W$4:$W$500,0)),"")</f>
      </c>
      <c r="Y54" s="133">
        <f>IF(AND(A54="Аппарат",C54&lt;&gt;"",OR($S$5="(все)",B54=$S$5)),MAX($Y$3:Y53)+1,"")</f>
      </c>
      <c r="Z54" s="133">
        <f>IFERROR(INDEX($C$4:$C$500,MATCH(ROW()-3,$Y$4:$Y$500,0)),"")</f>
      </c>
      <c r="AA54" s="133">
        <f>IF(AND(A54="Модуль",C54&lt;&gt;"",OR($S$6="(все)",B54=$S$6)),MAX($AA$3:AA53)+1,"")</f>
      </c>
      <c r="AB54" s="133">
        <f>IFERROR(INDEX($C$4:$C$500,MATCH(ROW()-3,$AA$4:$AA$500,0)),"")</f>
      </c>
      <c r="AC54" s="133">
        <f>IF(OR(B54="",COUNTIF($B$4:B54,B54)&gt;1),"",MAX($AC$3:AC53)+1)</f>
      </c>
      <c r="AD54" s="133">
        <f>IFERROR(INDEX($B$4:$B$500,MATCH(ROW()-3,$AC$4:$AC$500,0)),"")</f>
      </c>
      <c r="AE54" s="133">
        <f>IF(AND(A54&lt;&gt;"",N(P54)&gt;0),IFERROR(MATCH(A54,$R$12:$R$25,0),99)*1000+ROW(),"")</f>
      </c>
      <c r="AF54" s="133">
        <f>IF(AE54="","",COUNTIF($AE$4:$AE$500,"&lt;="&amp;AE54))</f>
      </c>
    </row>
    <row r="55">
      <c r="A55" s="265" t="inlineStr">
        <is>
          <t xml:space="preserve">Шины</t>
        </is>
      </c>
      <c r="B55" s="265" t="inlineStr">
        <is>
          <t xml:space="preserve">EKF</t>
        </is>
      </c>
      <c r="C55" s="265" t="inlineStr">
        <is>
          <t xml:space="preserve">sn0-4x15</t>
        </is>
      </c>
      <c r="D55" s="265"/>
      <c r="E55" s="265"/>
      <c r="F55" s="265"/>
      <c r="G55" s="265" t="inlineStr">
        <is>
          <t xml:space="preserve">Шина нулевая в корпусе (4x15)</t>
        </is>
      </c>
      <c r="H55" s="265" t="inlineStr">
        <is>
          <t xml:space="preserve">sn0-4x15</t>
        </is>
      </c>
      <c r="I55" s="265"/>
      <c r="J55" s="265"/>
      <c r="K55" s="265"/>
      <c r="L55" s="265"/>
      <c r="M55" s="265" t="inlineStr">
        <is>
          <t xml:space="preserve">шт.</t>
        </is>
      </c>
      <c r="N55" s="133">
        <f>IF(OR(A55="Автомат",A55="Дифавтомат"),IF(W55="","",COUNTIF(Однолинейка!$H$3:$H$1000,U55)),IF(A55="Аппарат",IF(C55="","",COUNTIF(Однолинейка!$I$3:$I$1000,C55)+COUNTIF(Однолинейка!$J$3:$J$1000,C55)+COUNTIF(Однолинейка!$K$3:$K$1000,C55)),IF(A55="Модуль",IF(C55="","",COUNTIFS(Однолинейка!$AW$3:$AW$1000,"?*",Однолинейка!$AI$3:$AI$1000,C55)),IF(A55="Клемма",IF(C55="","",IF(C55=$S$7,SUM(Однолинейка!$BW$3:$BW$1000),IF(C55=$S$8,SUM(Однолинейка!$BX$3:$BX$1000),""))),""))))</f>
      </c>
      <c r="O55" s="265"/>
      <c r="P55" s="133">
        <f>IF(COUNT(N55,O55)=0,"",SUM(N55,O55))</f>
      </c>
      <c r="U55" s="133">
        <f>IF(OR(A55="Автомат",A55="Дифавтомат"),I55&amp;" С"&amp;J55&amp;"А"&amp;IF(K55="да"," 30мА",""),"")</f>
      </c>
      <c r="V55" s="133">
        <f>IF(U55="","",B55&amp;"|"&amp;U55)</f>
      </c>
      <c r="W55" s="133">
        <f>IF(AND(U55&lt;&gt;"",OR($S$4="(все)",B55=$S$4),IF($S$4="(все)",COUNTIF($U$4:U55,U55),COUNTIFS($U$4:U55,U55,$B$4:B55,B55))=1),MAX($W$3:W54)+1,"")</f>
      </c>
      <c r="X55" s="133">
        <f>IFERROR(INDEX($U$4:$U$500,MATCH(ROW()-3,$W$4:$W$500,0)),"")</f>
      </c>
      <c r="Y55" s="133">
        <f>IF(AND(A55="Аппарат",C55&lt;&gt;"",OR($S$5="(все)",B55=$S$5)),MAX($Y$3:Y54)+1,"")</f>
      </c>
      <c r="Z55" s="133">
        <f>IFERROR(INDEX($C$4:$C$500,MATCH(ROW()-3,$Y$4:$Y$500,0)),"")</f>
      </c>
      <c r="AA55" s="133">
        <f>IF(AND(A55="Модуль",C55&lt;&gt;"",OR($S$6="(все)",B55=$S$6)),MAX($AA$3:AA54)+1,"")</f>
      </c>
      <c r="AB55" s="133">
        <f>IFERROR(INDEX($C$4:$C$500,MATCH(ROW()-3,$AA$4:$AA$500,0)),"")</f>
      </c>
      <c r="AC55" s="133">
        <f>IF(OR(B55="",COUNTIF($B$4:B55,B55)&gt;1),"",MAX($AC$3:AC54)+1)</f>
      </c>
      <c r="AD55" s="133">
        <f>IFERROR(INDEX($B$4:$B$500,MATCH(ROW()-3,$AC$4:$AC$500,0)),"")</f>
      </c>
      <c r="AE55" s="133">
        <f>IF(AND(A55&lt;&gt;"",N(P55)&gt;0),IFERROR(MATCH(A55,$R$12:$R$25,0),99)*1000+ROW(),"")</f>
      </c>
      <c r="AF55" s="133">
        <f>IF(AE55="","",COUNTIF($AE$4:$AE$500,"&lt;="&amp;AE55))</f>
      </c>
    </row>
    <row r="56">
      <c r="A56" s="265" t="inlineStr">
        <is>
          <t xml:space="preserve">Шины</t>
        </is>
      </c>
      <c r="B56" s="265" t="inlineStr">
        <is>
          <t xml:space="preserve">EKF</t>
        </is>
      </c>
      <c r="C56" s="265" t="inlineStr">
        <is>
          <t xml:space="preserve">sn0-4x7</t>
        </is>
      </c>
      <c r="D56" s="265"/>
      <c r="E56" s="265"/>
      <c r="F56" s="265"/>
      <c r="G56" s="265" t="inlineStr">
        <is>
          <t xml:space="preserve">Шина нулевая в корпусе (4x7)</t>
        </is>
      </c>
      <c r="H56" s="265" t="inlineStr">
        <is>
          <t xml:space="preserve">sn0-4x7</t>
        </is>
      </c>
      <c r="I56" s="265"/>
      <c r="J56" s="265"/>
      <c r="K56" s="265"/>
      <c r="L56" s="265"/>
      <c r="M56" s="265" t="inlineStr">
        <is>
          <t xml:space="preserve">шт.</t>
        </is>
      </c>
      <c r="N56" s="133">
        <f>IF(OR(A56="Автомат",A56="Дифавтомат"),IF(W56="","",COUNTIF(Однолинейка!$H$3:$H$1000,U56)),IF(A56="Аппарат",IF(C56="","",COUNTIF(Однолинейка!$I$3:$I$1000,C56)+COUNTIF(Однолинейка!$J$3:$J$1000,C56)+COUNTIF(Однолинейка!$K$3:$K$1000,C56)),IF(A56="Модуль",IF(C56="","",COUNTIFS(Однолинейка!$AW$3:$AW$1000,"?*",Однолинейка!$AI$3:$AI$1000,C56)),IF(A56="Клемма",IF(C56="","",IF(C56=$S$7,SUM(Однолинейка!$BW$3:$BW$1000),IF(C56=$S$8,SUM(Однолинейка!$BX$3:$BX$1000),""))),""))))</f>
      </c>
      <c r="O56" s="265"/>
      <c r="P56" s="133">
        <f>IF(COUNT(N56,O56)=0,"",SUM(N56,O56))</f>
      </c>
      <c r="U56" s="133">
        <f>IF(OR(A56="Автомат",A56="Дифавтомат"),I56&amp;" С"&amp;J56&amp;"А"&amp;IF(K56="да"," 30мА",""),"")</f>
      </c>
      <c r="V56" s="133">
        <f>IF(U56="","",B56&amp;"|"&amp;U56)</f>
      </c>
      <c r="W56" s="133">
        <f>IF(AND(U56&lt;&gt;"",OR($S$4="(все)",B56=$S$4),IF($S$4="(все)",COUNTIF($U$4:U56,U56),COUNTIFS($U$4:U56,U56,$B$4:B56,B56))=1),MAX($W$3:W55)+1,"")</f>
      </c>
      <c r="X56" s="133">
        <f>IFERROR(INDEX($U$4:$U$500,MATCH(ROW()-3,$W$4:$W$500,0)),"")</f>
      </c>
      <c r="Y56" s="133">
        <f>IF(AND(A56="Аппарат",C56&lt;&gt;"",OR($S$5="(все)",B56=$S$5)),MAX($Y$3:Y55)+1,"")</f>
      </c>
      <c r="Z56" s="133">
        <f>IFERROR(INDEX($C$4:$C$500,MATCH(ROW()-3,$Y$4:$Y$500,0)),"")</f>
      </c>
      <c r="AA56" s="133">
        <f>IF(AND(A56="Модуль",C56&lt;&gt;"",OR($S$6="(все)",B56=$S$6)),MAX($AA$3:AA55)+1,"")</f>
      </c>
      <c r="AB56" s="133">
        <f>IFERROR(INDEX($C$4:$C$500,MATCH(ROW()-3,$AA$4:$AA$500,0)),"")</f>
      </c>
      <c r="AC56" s="133">
        <f>IF(OR(B56="",COUNTIF($B$4:B56,B56)&gt;1),"",MAX($AC$3:AC55)+1)</f>
      </c>
      <c r="AD56" s="133">
        <f>IFERROR(INDEX($B$4:$B$500,MATCH(ROW()-3,$AC$4:$AC$500,0)),"")</f>
      </c>
      <c r="AE56" s="133">
        <f>IF(AND(A56&lt;&gt;"",N(P56)&gt;0),IFERROR(MATCH(A56,$R$12:$R$25,0),99)*1000+ROW(),"")</f>
      </c>
      <c r="AF56" s="133">
        <f>IF(AE56="","",COUNTIF($AE$4:$AE$500,"&lt;="&amp;AE56))</f>
      </c>
    </row>
    <row r="57">
      <c r="A57" s="265" t="inlineStr">
        <is>
          <t xml:space="preserve">Клемма</t>
        </is>
      </c>
      <c r="B57" s="265" t="inlineStr">
        <is>
          <t xml:space="preserve">DKC</t>
        </is>
      </c>
      <c r="C57" s="265" t="inlineStr">
        <is>
          <t xml:space="preserve">VPR-4-BU</t>
        </is>
      </c>
      <c r="D57" s="265"/>
      <c r="E57" s="265"/>
      <c r="F57" s="265"/>
      <c r="G57" s="265" t="inlineStr">
        <is>
          <t xml:space="preserve">Клемма проходная, зажим push-in, 2 точки подключения, 4 кв.мм, синяя</t>
        </is>
      </c>
      <c r="H57" s="265" t="inlineStr">
        <is>
          <t xml:space="preserve">VPR-4-BU</t>
        </is>
      </c>
      <c r="I57" s="265"/>
      <c r="J57" s="265"/>
      <c r="K57" s="265"/>
      <c r="L57" s="265"/>
      <c r="M57" s="265" t="inlineStr">
        <is>
          <t xml:space="preserve">шт.</t>
        </is>
      </c>
      <c r="N57" s="133">
        <f>IF(OR(A57="Автомат",A57="Дифавтомат"),IF(W57="","",COUNTIF(Однолинейка!$H$3:$H$1000,U57)),IF(A57="Аппарат",IF(C57="","",COUNTIF(Однолинейка!$I$3:$I$1000,C57)+COUNTIF(Однолинейка!$J$3:$J$1000,C57)+COUNTIF(Однолинейка!$K$3:$K$1000,C57)),IF(A57="Модуль",IF(C57="","",COUNTIFS(Однолинейка!$AW$3:$AW$1000,"?*",Однолинейка!$AI$3:$AI$1000,C57)),IF(A57="Клемма",IF(C57="","",IF(C57=$S$7,SUM(Однолинейка!$BW$3:$BW$1000),IF(C57=$S$8,SUM(Однолинейка!$BX$3:$BX$1000),""))),""))))</f>
      </c>
      <c r="O57" s="265"/>
      <c r="P57" s="133">
        <f>IF(COUNT(N57,O57)=0,"",SUM(N57,O57))</f>
      </c>
      <c r="U57" s="133">
        <f>IF(OR(A57="Автомат",A57="Дифавтомат"),I57&amp;" С"&amp;J57&amp;"А"&amp;IF(K57="да"," 30мА",""),"")</f>
      </c>
      <c r="V57" s="133">
        <f>IF(U57="","",B57&amp;"|"&amp;U57)</f>
      </c>
      <c r="W57" s="133">
        <f>IF(AND(U57&lt;&gt;"",OR($S$4="(все)",B57=$S$4),IF($S$4="(все)",COUNTIF($U$4:U57,U57),COUNTIFS($U$4:U57,U57,$B$4:B57,B57))=1),MAX($W$3:W56)+1,"")</f>
      </c>
      <c r="X57" s="133">
        <f>IFERROR(INDEX($U$4:$U$500,MATCH(ROW()-3,$W$4:$W$500,0)),"")</f>
      </c>
      <c r="Y57" s="133">
        <f>IF(AND(A57="Аппарат",C57&lt;&gt;"",OR($S$5="(все)",B57=$S$5)),MAX($Y$3:Y56)+1,"")</f>
      </c>
      <c r="Z57" s="133">
        <f>IFERROR(INDEX($C$4:$C$500,MATCH(ROW()-3,$Y$4:$Y$500,0)),"")</f>
      </c>
      <c r="AA57" s="133">
        <f>IF(AND(A57="Модуль",C57&lt;&gt;"",OR($S$6="(все)",B57=$S$6)),MAX($AA$3:AA56)+1,"")</f>
      </c>
      <c r="AB57" s="133">
        <f>IFERROR(INDEX($C$4:$C$500,MATCH(ROW()-3,$AA$4:$AA$500,0)),"")</f>
      </c>
      <c r="AC57" s="133">
        <f>IF(OR(B57="",COUNTIF($B$4:B57,B57)&gt;1),"",MAX($AC$3:AC56)+1)</f>
      </c>
      <c r="AD57" s="133">
        <f>IFERROR(INDEX($B$4:$B$500,MATCH(ROW()-3,$AC$4:$AC$500,0)),"")</f>
      </c>
      <c r="AE57" s="133">
        <f>IF(AND(A57&lt;&gt;"",N(P57)&gt;0),IFERROR(MATCH(A57,$R$12:$R$25,0),99)*1000+ROW(),"")</f>
      </c>
      <c r="AF57" s="133">
        <f>IF(AE57="","",COUNTIF($AE$4:$AE$500,"&lt;="&amp;AE57))</f>
      </c>
    </row>
    <row r="58">
      <c r="A58" s="265" t="inlineStr">
        <is>
          <t xml:space="preserve">Клемма</t>
        </is>
      </c>
      <c r="B58" s="265" t="inlineStr">
        <is>
          <t xml:space="preserve">DKC</t>
        </is>
      </c>
      <c r="C58" s="265" t="inlineStr">
        <is>
          <t xml:space="preserve">VPR-4-PE-YG</t>
        </is>
      </c>
      <c r="D58" s="265"/>
      <c r="E58" s="265"/>
      <c r="F58" s="265"/>
      <c r="G58" s="265" t="inlineStr">
        <is>
          <t xml:space="preserve">Клемма заземления, зажим push-in, 2 точки подключения, 4 кв.мм</t>
        </is>
      </c>
      <c r="H58" s="265" t="inlineStr">
        <is>
          <t xml:space="preserve">VPR-4-PE-YG</t>
        </is>
      </c>
      <c r="I58" s="265"/>
      <c r="J58" s="265"/>
      <c r="K58" s="265"/>
      <c r="L58" s="265"/>
      <c r="M58" s="265" t="inlineStr">
        <is>
          <t xml:space="preserve">шт.</t>
        </is>
      </c>
      <c r="N58" s="133">
        <f>IF(OR(A58="Автомат",A58="Дифавтомат"),IF(W58="","",COUNTIF(Однолинейка!$H$3:$H$1000,U58)),IF(A58="Аппарат",IF(C58="","",COUNTIF(Однолинейка!$I$3:$I$1000,C58)+COUNTIF(Однолинейка!$J$3:$J$1000,C58)+COUNTIF(Однолинейка!$K$3:$K$1000,C58)),IF(A58="Модуль",IF(C58="","",COUNTIFS(Однолинейка!$AW$3:$AW$1000,"?*",Однолинейка!$AI$3:$AI$1000,C58)),IF(A58="Клемма",IF(C58="","",IF(C58=$S$7,SUM(Однолинейка!$BW$3:$BW$1000),IF(C58=$S$8,SUM(Однолинейка!$BX$3:$BX$1000),""))),""))))</f>
      </c>
      <c r="O58" s="265"/>
      <c r="P58" s="133">
        <f>IF(COUNT(N58,O58)=0,"",SUM(N58,O58))</f>
      </c>
      <c r="U58" s="133">
        <f>IF(OR(A58="Автомат",A58="Дифавтомат"),I58&amp;" С"&amp;J58&amp;"А"&amp;IF(K58="да"," 30мА",""),"")</f>
      </c>
      <c r="V58" s="133">
        <f>IF(U58="","",B58&amp;"|"&amp;U58)</f>
      </c>
      <c r="W58" s="133">
        <f>IF(AND(U58&lt;&gt;"",OR($S$4="(все)",B58=$S$4),IF($S$4="(все)",COUNTIF($U$4:U58,U58),COUNTIFS($U$4:U58,U58,$B$4:B58,B58))=1),MAX($W$3:W57)+1,"")</f>
      </c>
      <c r="X58" s="133">
        <f>IFERROR(INDEX($U$4:$U$500,MATCH(ROW()-3,$W$4:$W$500,0)),"")</f>
      </c>
      <c r="Y58" s="133">
        <f>IF(AND(A58="Аппарат",C58&lt;&gt;"",OR($S$5="(все)",B58=$S$5)),MAX($Y$3:Y57)+1,"")</f>
      </c>
      <c r="Z58" s="133">
        <f>IFERROR(INDEX($C$4:$C$500,MATCH(ROW()-3,$Y$4:$Y$500,0)),"")</f>
      </c>
      <c r="AA58" s="133">
        <f>IF(AND(A58="Модуль",C58&lt;&gt;"",OR($S$6="(все)",B58=$S$6)),MAX($AA$3:AA57)+1,"")</f>
      </c>
      <c r="AB58" s="133">
        <f>IFERROR(INDEX($C$4:$C$500,MATCH(ROW()-3,$AA$4:$AA$500,0)),"")</f>
      </c>
      <c r="AC58" s="133">
        <f>IF(OR(B58="",COUNTIF($B$4:B58,B58)&gt;1),"",MAX($AC$3:AC57)+1)</f>
      </c>
      <c r="AD58" s="133">
        <f>IFERROR(INDEX($B$4:$B$500,MATCH(ROW()-3,$AC$4:$AC$500,0)),"")</f>
      </c>
      <c r="AE58" s="133">
        <f>IF(AND(A58&lt;&gt;"",N(P58)&gt;0),IFERROR(MATCH(A58,$R$12:$R$25,0),99)*1000+ROW(),"")</f>
      </c>
      <c r="AF58" s="133">
        <f>IF(AE58="","",COUNTIF($AE$4:$AE$500,"&lt;="&amp;AE58))</f>
      </c>
    </row>
    <row r="59">
      <c r="A59" s="265" t="inlineStr">
        <is>
          <t xml:space="preserve">Клемма</t>
        </is>
      </c>
      <c r="B59" s="265" t="inlineStr">
        <is>
          <t xml:space="preserve">DKC</t>
        </is>
      </c>
      <c r="C59" s="265" t="inlineStr">
        <is>
          <t xml:space="preserve">D-VPR-4</t>
        </is>
      </c>
      <c r="D59" s="265"/>
      <c r="E59" s="265"/>
      <c r="F59" s="265"/>
      <c r="G59" s="265" t="inlineStr">
        <is>
          <t xml:space="preserve">Изолятор торцевой для клеммы VPR-4</t>
        </is>
      </c>
      <c r="H59" s="265" t="inlineStr">
        <is>
          <t xml:space="preserve">D-VPR-4</t>
        </is>
      </c>
      <c r="I59" s="265"/>
      <c r="J59" s="265"/>
      <c r="K59" s="265"/>
      <c r="L59" s="265"/>
      <c r="M59" s="265" t="inlineStr">
        <is>
          <t xml:space="preserve">шт.</t>
        </is>
      </c>
      <c r="N59" s="133">
        <f>IF(OR(A59="Автомат",A59="Дифавтомат"),IF(W59="","",COUNTIF(Однолинейка!$H$3:$H$1000,U59)),IF(A59="Аппарат",IF(C59="","",COUNTIF(Однолинейка!$I$3:$I$1000,C59)+COUNTIF(Однолинейка!$J$3:$J$1000,C59)+COUNTIF(Однолинейка!$K$3:$K$1000,C59)),IF(A59="Модуль",IF(C59="","",COUNTIFS(Однолинейка!$AW$3:$AW$1000,"?*",Однолинейка!$AI$3:$AI$1000,C59)),IF(A59="Клемма",IF(C59="","",IF(C59=$S$7,SUM(Однолинейка!$BW$3:$BW$1000),IF(C59=$S$8,SUM(Однолинейка!$BX$3:$BX$1000),""))),""))))</f>
      </c>
      <c r="O59" s="265"/>
      <c r="P59" s="133">
        <f>IF(COUNT(N59,O59)=0,"",SUM(N59,O59))</f>
      </c>
      <c r="U59" s="133">
        <f>IF(OR(A59="Автомат",A59="Дифавтомат"),I59&amp;" С"&amp;J59&amp;"А"&amp;IF(K59="да"," 30мА",""),"")</f>
      </c>
      <c r="V59" s="133">
        <f>IF(U59="","",B59&amp;"|"&amp;U59)</f>
      </c>
      <c r="W59" s="133">
        <f>IF(AND(U59&lt;&gt;"",OR($S$4="(все)",B59=$S$4),IF($S$4="(все)",COUNTIF($U$4:U59,U59),COUNTIFS($U$4:U59,U59,$B$4:B59,B59))=1),MAX($W$3:W58)+1,"")</f>
      </c>
      <c r="X59" s="133">
        <f>IFERROR(INDEX($U$4:$U$500,MATCH(ROW()-3,$W$4:$W$500,0)),"")</f>
      </c>
      <c r="Y59" s="133">
        <f>IF(AND(A59="Аппарат",C59&lt;&gt;"",OR($S$5="(все)",B59=$S$5)),MAX($Y$3:Y58)+1,"")</f>
      </c>
      <c r="Z59" s="133">
        <f>IFERROR(INDEX($C$4:$C$500,MATCH(ROW()-3,$Y$4:$Y$500,0)),"")</f>
      </c>
      <c r="AA59" s="133">
        <f>IF(AND(A59="Модуль",C59&lt;&gt;"",OR($S$6="(все)",B59=$S$6)),MAX($AA$3:AA58)+1,"")</f>
      </c>
      <c r="AB59" s="133">
        <f>IFERROR(INDEX($C$4:$C$500,MATCH(ROW()-3,$AA$4:$AA$500,0)),"")</f>
      </c>
      <c r="AC59" s="133">
        <f>IF(OR(B59="",COUNTIF($B$4:B59,B59)&gt;1),"",MAX($AC$3:AC58)+1)</f>
      </c>
      <c r="AD59" s="133">
        <f>IFERROR(INDEX($B$4:$B$500,MATCH(ROW()-3,$AC$4:$AC$500,0)),"")</f>
      </c>
      <c r="AE59" s="133">
        <f>IF(AND(A59&lt;&gt;"",N(P59)&gt;0),IFERROR(MATCH(A59,$R$12:$R$25,0),99)*1000+ROW(),"")</f>
      </c>
      <c r="AF59" s="133">
        <f>IF(AE59="","",COUNTIF($AE$4:$AE$500,"&lt;="&amp;AE59))</f>
      </c>
    </row>
    <row r="60">
      <c r="A60" s="265" t="inlineStr">
        <is>
          <t xml:space="preserve">Клемма</t>
        </is>
      </c>
      <c r="B60" s="265" t="inlineStr">
        <is>
          <t xml:space="preserve">DKC</t>
        </is>
      </c>
      <c r="C60" s="265" t="inlineStr">
        <is>
          <t xml:space="preserve">VPR-6-BU</t>
        </is>
      </c>
      <c r="D60" s="265"/>
      <c r="E60" s="265"/>
      <c r="F60" s="265"/>
      <c r="G60" s="265" t="inlineStr">
        <is>
          <t xml:space="preserve">Клемма проходная, зажим push-in, 2 точки подключения, 6 кв.мм, синяя</t>
        </is>
      </c>
      <c r="H60" s="265" t="inlineStr">
        <is>
          <t xml:space="preserve">VPR-6-BU</t>
        </is>
      </c>
      <c r="I60" s="265"/>
      <c r="J60" s="265"/>
      <c r="K60" s="265"/>
      <c r="L60" s="265"/>
      <c r="M60" s="265" t="inlineStr">
        <is>
          <t xml:space="preserve">шт.</t>
        </is>
      </c>
      <c r="N60" s="133">
        <f>IF(OR(A60="Автомат",A60="Дифавтомат"),IF(W60="","",COUNTIF(Однолинейка!$H$3:$H$1000,U60)),IF(A60="Аппарат",IF(C60="","",COUNTIF(Однолинейка!$I$3:$I$1000,C60)+COUNTIF(Однолинейка!$J$3:$J$1000,C60)+COUNTIF(Однолинейка!$K$3:$K$1000,C60)),IF(A60="Модуль",IF(C60="","",COUNTIFS(Однолинейка!$AW$3:$AW$1000,"?*",Однолинейка!$AI$3:$AI$1000,C60)),IF(A60="Клемма",IF(C60="","",IF(C60=$S$7,SUM(Однолинейка!$BW$3:$BW$1000),IF(C60=$S$8,SUM(Однолинейка!$BX$3:$BX$1000),""))),""))))</f>
      </c>
      <c r="O60" s="265"/>
      <c r="P60" s="133">
        <f>IF(COUNT(N60,O60)=0,"",SUM(N60,O60))</f>
      </c>
      <c r="U60" s="133">
        <f>IF(OR(A60="Автомат",A60="Дифавтомат"),I60&amp;" С"&amp;J60&amp;"А"&amp;IF(K60="да"," 30мА",""),"")</f>
      </c>
      <c r="V60" s="133">
        <f>IF(U60="","",B60&amp;"|"&amp;U60)</f>
      </c>
      <c r="W60" s="133">
        <f>IF(AND(U60&lt;&gt;"",OR($S$4="(все)",B60=$S$4),IF($S$4="(все)",COUNTIF($U$4:U60,U60),COUNTIFS($U$4:U60,U60,$B$4:B60,B60))=1),MAX($W$3:W59)+1,"")</f>
      </c>
      <c r="X60" s="133">
        <f>IFERROR(INDEX($U$4:$U$500,MATCH(ROW()-3,$W$4:$W$500,0)),"")</f>
      </c>
      <c r="Y60" s="133">
        <f>IF(AND(A60="Аппарат",C60&lt;&gt;"",OR($S$5="(все)",B60=$S$5)),MAX($Y$3:Y59)+1,"")</f>
      </c>
      <c r="Z60" s="133">
        <f>IFERROR(INDEX($C$4:$C$500,MATCH(ROW()-3,$Y$4:$Y$500,0)),"")</f>
      </c>
      <c r="AA60" s="133">
        <f>IF(AND(A60="Модуль",C60&lt;&gt;"",OR($S$6="(все)",B60=$S$6)),MAX($AA$3:AA59)+1,"")</f>
      </c>
      <c r="AB60" s="133">
        <f>IFERROR(INDEX($C$4:$C$500,MATCH(ROW()-3,$AA$4:$AA$500,0)),"")</f>
      </c>
      <c r="AC60" s="133">
        <f>IF(OR(B60="",COUNTIF($B$4:B60,B60)&gt;1),"",MAX($AC$3:AC59)+1)</f>
      </c>
      <c r="AD60" s="133">
        <f>IFERROR(INDEX($B$4:$B$500,MATCH(ROW()-3,$AC$4:$AC$500,0)),"")</f>
      </c>
      <c r="AE60" s="133">
        <f>IF(AND(A60&lt;&gt;"",N(P60)&gt;0),IFERROR(MATCH(A60,$R$12:$R$25,0),99)*1000+ROW(),"")</f>
      </c>
      <c r="AF60" s="133">
        <f>IF(AE60="","",COUNTIF($AE$4:$AE$500,"&lt;="&amp;AE60))</f>
      </c>
    </row>
    <row r="61">
      <c r="A61" s="265" t="inlineStr">
        <is>
          <t xml:space="preserve">Клемма</t>
        </is>
      </c>
      <c r="B61" s="265" t="inlineStr">
        <is>
          <t xml:space="preserve">DKC</t>
        </is>
      </c>
      <c r="C61" s="265" t="inlineStr">
        <is>
          <t xml:space="preserve">VPR-6-PE-YG</t>
        </is>
      </c>
      <c r="D61" s="265"/>
      <c r="E61" s="265"/>
      <c r="F61" s="265"/>
      <c r="G61" s="265" t="inlineStr">
        <is>
          <t xml:space="preserve">Клемма заземления, зажим push-in, 2 точки подключения, 6 кв.мм</t>
        </is>
      </c>
      <c r="H61" s="265" t="inlineStr">
        <is>
          <t xml:space="preserve">VPR-6-PE-YG</t>
        </is>
      </c>
      <c r="I61" s="265"/>
      <c r="J61" s="265"/>
      <c r="K61" s="265"/>
      <c r="L61" s="265"/>
      <c r="M61" s="265" t="inlineStr">
        <is>
          <t xml:space="preserve">шт.</t>
        </is>
      </c>
      <c r="N61" s="133">
        <f>IF(OR(A61="Автомат",A61="Дифавтомат"),IF(W61="","",COUNTIF(Однолинейка!$H$3:$H$1000,U61)),IF(A61="Аппарат",IF(C61="","",COUNTIF(Однолинейка!$I$3:$I$1000,C61)+COUNTIF(Однолинейка!$J$3:$J$1000,C61)+COUNTIF(Однолинейка!$K$3:$K$1000,C61)),IF(A61="Модуль",IF(C61="","",COUNTIFS(Однолинейка!$AW$3:$AW$1000,"?*",Однолинейка!$AI$3:$AI$1000,C61)),IF(A61="Клемма",IF(C61="","",IF(C61=$S$7,SUM(Однолинейка!$BW$3:$BW$1000),IF(C61=$S$8,SUM(Однолинейка!$BX$3:$BX$1000),""))),""))))</f>
      </c>
      <c r="O61" s="265"/>
      <c r="P61" s="133">
        <f>IF(COUNT(N61,O61)=0,"",SUM(N61,O61))</f>
      </c>
      <c r="U61" s="133">
        <f>IF(OR(A61="Автомат",A61="Дифавтомат"),I61&amp;" С"&amp;J61&amp;"А"&amp;IF(K61="да"," 30мА",""),"")</f>
      </c>
      <c r="V61" s="133">
        <f>IF(U61="","",B61&amp;"|"&amp;U61)</f>
      </c>
      <c r="W61" s="133">
        <f>IF(AND(U61&lt;&gt;"",OR($S$4="(все)",B61=$S$4),IF($S$4="(все)",COUNTIF($U$4:U61,U61),COUNTIFS($U$4:U61,U61,$B$4:B61,B61))=1),MAX($W$3:W60)+1,"")</f>
      </c>
      <c r="X61" s="133">
        <f>IFERROR(INDEX($U$4:$U$500,MATCH(ROW()-3,$W$4:$W$500,0)),"")</f>
      </c>
      <c r="Y61" s="133">
        <f>IF(AND(A61="Аппарат",C61&lt;&gt;"",OR($S$5="(все)",B61=$S$5)),MAX($Y$3:Y60)+1,"")</f>
      </c>
      <c r="Z61" s="133">
        <f>IFERROR(INDEX($C$4:$C$500,MATCH(ROW()-3,$Y$4:$Y$500,0)),"")</f>
      </c>
      <c r="AA61" s="133">
        <f>IF(AND(A61="Модуль",C61&lt;&gt;"",OR($S$6="(все)",B61=$S$6)),MAX($AA$3:AA60)+1,"")</f>
      </c>
      <c r="AB61" s="133">
        <f>IFERROR(INDEX($C$4:$C$500,MATCH(ROW()-3,$AA$4:$AA$500,0)),"")</f>
      </c>
      <c r="AC61" s="133">
        <f>IF(OR(B61="",COUNTIF($B$4:B61,B61)&gt;1),"",MAX($AC$3:AC60)+1)</f>
      </c>
      <c r="AD61" s="133">
        <f>IFERROR(INDEX($B$4:$B$500,MATCH(ROW()-3,$AC$4:$AC$500,0)),"")</f>
      </c>
      <c r="AE61" s="133">
        <f>IF(AND(A61&lt;&gt;"",N(P61)&gt;0),IFERROR(MATCH(A61,$R$12:$R$25,0),99)*1000+ROW(),"")</f>
      </c>
      <c r="AF61" s="133">
        <f>IF(AE61="","",COUNTIF($AE$4:$AE$500,"&lt;="&amp;AE61))</f>
      </c>
    </row>
    <row r="62">
      <c r="A62" s="265" t="inlineStr">
        <is>
          <t xml:space="preserve">Клемма</t>
        </is>
      </c>
      <c r="B62" s="265" t="inlineStr">
        <is>
          <t xml:space="preserve">DKC</t>
        </is>
      </c>
      <c r="C62" s="265" t="inlineStr">
        <is>
          <t xml:space="preserve">D-VPR-6</t>
        </is>
      </c>
      <c r="D62" s="265"/>
      <c r="E62" s="265"/>
      <c r="F62" s="265"/>
      <c r="G62" s="265" t="inlineStr">
        <is>
          <t xml:space="preserve">Изолятор торцевой для клеммы VPR-6</t>
        </is>
      </c>
      <c r="H62" s="265" t="inlineStr">
        <is>
          <t xml:space="preserve">D-VPR-6</t>
        </is>
      </c>
      <c r="I62" s="265"/>
      <c r="J62" s="265"/>
      <c r="K62" s="265"/>
      <c r="L62" s="265"/>
      <c r="M62" s="265" t="inlineStr">
        <is>
          <t xml:space="preserve">шт.</t>
        </is>
      </c>
      <c r="N62" s="133">
        <f>IF(OR(A62="Автомат",A62="Дифавтомат"),IF(W62="","",COUNTIF(Однолинейка!$H$3:$H$1000,U62)),IF(A62="Аппарат",IF(C62="","",COUNTIF(Однолинейка!$I$3:$I$1000,C62)+COUNTIF(Однолинейка!$J$3:$J$1000,C62)+COUNTIF(Однолинейка!$K$3:$K$1000,C62)),IF(A62="Модуль",IF(C62="","",COUNTIFS(Однолинейка!$AW$3:$AW$1000,"?*",Однолинейка!$AI$3:$AI$1000,C62)),IF(A62="Клемма",IF(C62="","",IF(C62=$S$7,SUM(Однолинейка!$BW$3:$BW$1000),IF(C62=$S$8,SUM(Однолинейка!$BX$3:$BX$1000),""))),""))))</f>
      </c>
      <c r="O62" s="265"/>
      <c r="P62" s="133">
        <f>IF(COUNT(N62,O62)=0,"",SUM(N62,O62))</f>
      </c>
      <c r="U62" s="133">
        <f>IF(OR(A62="Автомат",A62="Дифавтомат"),I62&amp;" С"&amp;J62&amp;"А"&amp;IF(K62="да"," 30мА",""),"")</f>
      </c>
      <c r="V62" s="133">
        <f>IF(U62="","",B62&amp;"|"&amp;U62)</f>
      </c>
      <c r="W62" s="133">
        <f>IF(AND(U62&lt;&gt;"",OR($S$4="(все)",B62=$S$4),IF($S$4="(все)",COUNTIF($U$4:U62,U62),COUNTIFS($U$4:U62,U62,$B$4:B62,B62))=1),MAX($W$3:W61)+1,"")</f>
      </c>
      <c r="X62" s="133">
        <f>IFERROR(INDEX($U$4:$U$500,MATCH(ROW()-3,$W$4:$W$500,0)),"")</f>
      </c>
      <c r="Y62" s="133">
        <f>IF(AND(A62="Аппарат",C62&lt;&gt;"",OR($S$5="(все)",B62=$S$5)),MAX($Y$3:Y61)+1,"")</f>
      </c>
      <c r="Z62" s="133">
        <f>IFERROR(INDEX($C$4:$C$500,MATCH(ROW()-3,$Y$4:$Y$500,0)),"")</f>
      </c>
      <c r="AA62" s="133">
        <f>IF(AND(A62="Модуль",C62&lt;&gt;"",OR($S$6="(все)",B62=$S$6)),MAX($AA$3:AA61)+1,"")</f>
      </c>
      <c r="AB62" s="133">
        <f>IFERROR(INDEX($C$4:$C$500,MATCH(ROW()-3,$AA$4:$AA$500,0)),"")</f>
      </c>
      <c r="AC62" s="133">
        <f>IF(OR(B62="",COUNTIF($B$4:B62,B62)&gt;1),"",MAX($AC$3:AC61)+1)</f>
      </c>
      <c r="AD62" s="133">
        <f>IFERROR(INDEX($B$4:$B$500,MATCH(ROW()-3,$AC$4:$AC$500,0)),"")</f>
      </c>
      <c r="AE62" s="133">
        <f>IF(AND(A62&lt;&gt;"",N(P62)&gt;0),IFERROR(MATCH(A62,$R$12:$R$25,0),99)*1000+ROW(),"")</f>
      </c>
      <c r="AF62" s="133">
        <f>IF(AE62="","",COUNTIF($AE$4:$AE$500,"&lt;="&amp;AE62))</f>
      </c>
    </row>
    <row r="63">
      <c r="A63" s="265" t="inlineStr">
        <is>
          <t xml:space="preserve">Клемма</t>
        </is>
      </c>
      <c r="B63" s="265" t="inlineStr">
        <is>
          <t xml:space="preserve">DKC</t>
        </is>
      </c>
      <c r="C63" s="265" t="inlineStr">
        <is>
          <t xml:space="preserve">VPR-16-BU</t>
        </is>
      </c>
      <c r="D63" s="265"/>
      <c r="E63" s="265"/>
      <c r="F63" s="265"/>
      <c r="G63" s="265" t="inlineStr">
        <is>
          <t xml:space="preserve">Клемма проходная, зажим push-in, 2 точки подключения, 16 кв.мм, синяя</t>
        </is>
      </c>
      <c r="H63" s="265" t="inlineStr">
        <is>
          <t xml:space="preserve">VPR-16-BU</t>
        </is>
      </c>
      <c r="I63" s="265"/>
      <c r="J63" s="265"/>
      <c r="K63" s="265"/>
      <c r="L63" s="265"/>
      <c r="M63" s="265" t="inlineStr">
        <is>
          <t xml:space="preserve">шт.</t>
        </is>
      </c>
      <c r="N63" s="133">
        <f>IF(OR(A63="Автомат",A63="Дифавтомат"),IF(W63="","",COUNTIF(Однолинейка!$H$3:$H$1000,U63)),IF(A63="Аппарат",IF(C63="","",COUNTIF(Однолинейка!$I$3:$I$1000,C63)+COUNTIF(Однолинейка!$J$3:$J$1000,C63)+COUNTIF(Однолинейка!$K$3:$K$1000,C63)),IF(A63="Модуль",IF(C63="","",COUNTIFS(Однолинейка!$AW$3:$AW$1000,"?*",Однолинейка!$AI$3:$AI$1000,C63)),IF(A63="Клемма",IF(C63="","",IF(C63=$S$7,SUM(Однолинейка!$BW$3:$BW$1000),IF(C63=$S$8,SUM(Однолинейка!$BX$3:$BX$1000),""))),""))))</f>
      </c>
      <c r="O63" s="265"/>
      <c r="P63" s="133">
        <f>IF(COUNT(N63,O63)=0,"",SUM(N63,O63))</f>
      </c>
      <c r="U63" s="133">
        <f>IF(OR(A63="Автомат",A63="Дифавтомат"),I63&amp;" С"&amp;J63&amp;"А"&amp;IF(K63="да"," 30мА",""),"")</f>
      </c>
      <c r="V63" s="133">
        <f>IF(U63="","",B63&amp;"|"&amp;U63)</f>
      </c>
      <c r="W63" s="133">
        <f>IF(AND(U63&lt;&gt;"",OR($S$4="(все)",B63=$S$4),IF($S$4="(все)",COUNTIF($U$4:U63,U63),COUNTIFS($U$4:U63,U63,$B$4:B63,B63))=1),MAX($W$3:W62)+1,"")</f>
      </c>
      <c r="X63" s="133">
        <f>IFERROR(INDEX($U$4:$U$500,MATCH(ROW()-3,$W$4:$W$500,0)),"")</f>
      </c>
      <c r="Y63" s="133">
        <f>IF(AND(A63="Аппарат",C63&lt;&gt;"",OR($S$5="(все)",B63=$S$5)),MAX($Y$3:Y62)+1,"")</f>
      </c>
      <c r="Z63" s="133">
        <f>IFERROR(INDEX($C$4:$C$500,MATCH(ROW()-3,$Y$4:$Y$500,0)),"")</f>
      </c>
      <c r="AA63" s="133">
        <f>IF(AND(A63="Модуль",C63&lt;&gt;"",OR($S$6="(все)",B63=$S$6)),MAX($AA$3:AA62)+1,"")</f>
      </c>
      <c r="AB63" s="133">
        <f>IFERROR(INDEX($C$4:$C$500,MATCH(ROW()-3,$AA$4:$AA$500,0)),"")</f>
      </c>
      <c r="AC63" s="133">
        <f>IF(OR(B63="",COUNTIF($B$4:B63,B63)&gt;1),"",MAX($AC$3:AC62)+1)</f>
      </c>
      <c r="AD63" s="133">
        <f>IFERROR(INDEX($B$4:$B$500,MATCH(ROW()-3,$AC$4:$AC$500,0)),"")</f>
      </c>
      <c r="AE63" s="133">
        <f>IF(AND(A63&lt;&gt;"",N(P63)&gt;0),IFERROR(MATCH(A63,$R$12:$R$25,0),99)*1000+ROW(),"")</f>
      </c>
      <c r="AF63" s="133">
        <f>IF(AE63="","",COUNTIF($AE$4:$AE$500,"&lt;="&amp;AE63))</f>
      </c>
    </row>
    <row r="64">
      <c r="A64" s="265" t="inlineStr">
        <is>
          <t xml:space="preserve">Клемма</t>
        </is>
      </c>
      <c r="B64" s="265" t="inlineStr">
        <is>
          <t xml:space="preserve">DKC</t>
        </is>
      </c>
      <c r="C64" s="265" t="inlineStr">
        <is>
          <t xml:space="preserve">VPR-16-PE-YG</t>
        </is>
      </c>
      <c r="D64" s="265"/>
      <c r="E64" s="265"/>
      <c r="F64" s="265"/>
      <c r="G64" s="265" t="inlineStr">
        <is>
          <t xml:space="preserve">Клемма заземления, зажим push-in, 2 точки подключения, 16 кв.мм</t>
        </is>
      </c>
      <c r="H64" s="265" t="inlineStr">
        <is>
          <t xml:space="preserve">VPR-16-PE-YG</t>
        </is>
      </c>
      <c r="I64" s="265"/>
      <c r="J64" s="265"/>
      <c r="K64" s="265"/>
      <c r="L64" s="265"/>
      <c r="M64" s="265" t="inlineStr">
        <is>
          <t xml:space="preserve">шт.</t>
        </is>
      </c>
      <c r="N64" s="133">
        <f>IF(OR(A64="Автомат",A64="Дифавтомат"),IF(W64="","",COUNTIF(Однолинейка!$H$3:$H$1000,U64)),IF(A64="Аппарат",IF(C64="","",COUNTIF(Однолинейка!$I$3:$I$1000,C64)+COUNTIF(Однолинейка!$J$3:$J$1000,C64)+COUNTIF(Однолинейка!$K$3:$K$1000,C64)),IF(A64="Модуль",IF(C64="","",COUNTIFS(Однолинейка!$AW$3:$AW$1000,"?*",Однолинейка!$AI$3:$AI$1000,C64)),IF(A64="Клемма",IF(C64="","",IF(C64=$S$7,SUM(Однолинейка!$BW$3:$BW$1000),IF(C64=$S$8,SUM(Однолинейка!$BX$3:$BX$1000),""))),""))))</f>
      </c>
      <c r="O64" s="265"/>
      <c r="P64" s="133">
        <f>IF(COUNT(N64,O64)=0,"",SUM(N64,O64))</f>
      </c>
      <c r="U64" s="133">
        <f>IF(OR(A64="Автомат",A64="Дифавтомат"),I64&amp;" С"&amp;J64&amp;"А"&amp;IF(K64="да"," 30мА",""),"")</f>
      </c>
      <c r="V64" s="133">
        <f>IF(U64="","",B64&amp;"|"&amp;U64)</f>
      </c>
      <c r="W64" s="133">
        <f>IF(AND(U64&lt;&gt;"",OR($S$4="(все)",B64=$S$4),IF($S$4="(все)",COUNTIF($U$4:U64,U64),COUNTIFS($U$4:U64,U64,$B$4:B64,B64))=1),MAX($W$3:W63)+1,"")</f>
      </c>
      <c r="X64" s="133">
        <f>IFERROR(INDEX($U$4:$U$500,MATCH(ROW()-3,$W$4:$W$500,0)),"")</f>
      </c>
      <c r="Y64" s="133">
        <f>IF(AND(A64="Аппарат",C64&lt;&gt;"",OR($S$5="(все)",B64=$S$5)),MAX($Y$3:Y63)+1,"")</f>
      </c>
      <c r="Z64" s="133">
        <f>IFERROR(INDEX($C$4:$C$500,MATCH(ROW()-3,$Y$4:$Y$500,0)),"")</f>
      </c>
      <c r="AA64" s="133">
        <f>IF(AND(A64="Модуль",C64&lt;&gt;"",OR($S$6="(все)",B64=$S$6)),MAX($AA$3:AA63)+1,"")</f>
      </c>
      <c r="AB64" s="133">
        <f>IFERROR(INDEX($C$4:$C$500,MATCH(ROW()-3,$AA$4:$AA$500,0)),"")</f>
      </c>
      <c r="AC64" s="133">
        <f>IF(OR(B64="",COUNTIF($B$4:B64,B64)&gt;1),"",MAX($AC$3:AC63)+1)</f>
      </c>
      <c r="AD64" s="133">
        <f>IFERROR(INDEX($B$4:$B$500,MATCH(ROW()-3,$AC$4:$AC$500,0)),"")</f>
      </c>
      <c r="AE64" s="133">
        <f>IF(AND(A64&lt;&gt;"",N(P64)&gt;0),IFERROR(MATCH(A64,$R$12:$R$25,0),99)*1000+ROW(),"")</f>
      </c>
      <c r="AF64" s="133">
        <f>IF(AE64="","",COUNTIF($AE$4:$AE$500,"&lt;="&amp;AE64))</f>
      </c>
    </row>
    <row r="65">
      <c r="A65" s="265" t="inlineStr">
        <is>
          <t xml:space="preserve">Клемма</t>
        </is>
      </c>
      <c r="B65" s="265" t="inlineStr">
        <is>
          <t xml:space="preserve">DKC</t>
        </is>
      </c>
      <c r="C65" s="265" t="inlineStr">
        <is>
          <t xml:space="preserve">D-VPR-16</t>
        </is>
      </c>
      <c r="D65" s="265"/>
      <c r="E65" s="265"/>
      <c r="F65" s="265"/>
      <c r="G65" s="265" t="inlineStr">
        <is>
          <t xml:space="preserve">Изолятор торцевой для клемм VPR-16</t>
        </is>
      </c>
      <c r="H65" s="265" t="inlineStr">
        <is>
          <t xml:space="preserve">D-VPR-16</t>
        </is>
      </c>
      <c r="I65" s="265"/>
      <c r="J65" s="265"/>
      <c r="K65" s="265"/>
      <c r="L65" s="265"/>
      <c r="M65" s="265" t="inlineStr">
        <is>
          <t xml:space="preserve">шт.</t>
        </is>
      </c>
      <c r="N65" s="133">
        <f>IF(OR(A65="Автомат",A65="Дифавтомат"),IF(W65="","",COUNTIF(Однолинейка!$H$3:$H$1000,U65)),IF(A65="Аппарат",IF(C65="","",COUNTIF(Однолинейка!$I$3:$I$1000,C65)+COUNTIF(Однолинейка!$J$3:$J$1000,C65)+COUNTIF(Однолинейка!$K$3:$K$1000,C65)),IF(A65="Модуль",IF(C65="","",COUNTIFS(Однолинейка!$AW$3:$AW$1000,"?*",Однолинейка!$AI$3:$AI$1000,C65)),IF(A65="Клемма",IF(C65="","",IF(C65=$S$7,SUM(Однолинейка!$BW$3:$BW$1000),IF(C65=$S$8,SUM(Однолинейка!$BX$3:$BX$1000),""))),""))))</f>
      </c>
      <c r="O65" s="265"/>
      <c r="P65" s="133">
        <f>IF(COUNT(N65,O65)=0,"",SUM(N65,O65))</f>
      </c>
      <c r="U65" s="133">
        <f>IF(OR(A65="Автомат",A65="Дифавтомат"),I65&amp;" С"&amp;J65&amp;"А"&amp;IF(K65="да"," 30мА",""),"")</f>
      </c>
      <c r="V65" s="133">
        <f>IF(U65="","",B65&amp;"|"&amp;U65)</f>
      </c>
      <c r="W65" s="133">
        <f>IF(AND(U65&lt;&gt;"",OR($S$4="(все)",B65=$S$4),IF($S$4="(все)",COUNTIF($U$4:U65,U65),COUNTIFS($U$4:U65,U65,$B$4:B65,B65))=1),MAX($W$3:W64)+1,"")</f>
      </c>
      <c r="X65" s="133">
        <f>IFERROR(INDEX($U$4:$U$500,MATCH(ROW()-3,$W$4:$W$500,0)),"")</f>
      </c>
      <c r="Y65" s="133">
        <f>IF(AND(A65="Аппарат",C65&lt;&gt;"",OR($S$5="(все)",B65=$S$5)),MAX($Y$3:Y64)+1,"")</f>
      </c>
      <c r="Z65" s="133">
        <f>IFERROR(INDEX($C$4:$C$500,MATCH(ROW()-3,$Y$4:$Y$500,0)),"")</f>
      </c>
      <c r="AA65" s="133">
        <f>IF(AND(A65="Модуль",C65&lt;&gt;"",OR($S$6="(все)",B65=$S$6)),MAX($AA$3:AA64)+1,"")</f>
      </c>
      <c r="AB65" s="133">
        <f>IFERROR(INDEX($C$4:$C$500,MATCH(ROW()-3,$AA$4:$AA$500,0)),"")</f>
      </c>
      <c r="AC65" s="133">
        <f>IF(OR(B65="",COUNTIF($B$4:B65,B65)&gt;1),"",MAX($AC$3:AC64)+1)</f>
      </c>
      <c r="AD65" s="133">
        <f>IFERROR(INDEX($B$4:$B$500,MATCH(ROW()-3,$AC$4:$AC$500,0)),"")</f>
      </c>
      <c r="AE65" s="133">
        <f>IF(AND(A65&lt;&gt;"",N(P65)&gt;0),IFERROR(MATCH(A65,$R$12:$R$25,0),99)*1000+ROW(),"")</f>
      </c>
      <c r="AF65" s="133">
        <f>IF(AE65="","",COUNTIF($AE$4:$AE$500,"&lt;="&amp;AE65))</f>
      </c>
    </row>
    <row r="66">
      <c r="A66" s="265" t="inlineStr">
        <is>
          <t xml:space="preserve">Клемма</t>
        </is>
      </c>
      <c r="B66" s="265" t="inlineStr">
        <is>
          <t xml:space="preserve">DKC</t>
        </is>
      </c>
      <c r="C66" s="265" t="inlineStr">
        <is>
          <t xml:space="preserve">SBF-10-5</t>
        </is>
      </c>
      <c r="D66" s="265"/>
      <c r="E66" s="265"/>
      <c r="F66" s="265"/>
      <c r="G66" s="265" t="inlineStr">
        <is>
          <t xml:space="preserve">Перемычка вставная, для клемм на 2.5 кв.мм, 10-и полюсная</t>
        </is>
      </c>
      <c r="H66" s="265" t="inlineStr">
        <is>
          <t xml:space="preserve">SBF-10-5</t>
        </is>
      </c>
      <c r="I66" s="265"/>
      <c r="J66" s="265"/>
      <c r="K66" s="265"/>
      <c r="L66" s="265"/>
      <c r="M66" s="265" t="inlineStr">
        <is>
          <t xml:space="preserve">шт.</t>
        </is>
      </c>
      <c r="N66" s="133">
        <f>IF(OR(A66="Автомат",A66="Дифавтомат"),IF(W66="","",COUNTIF(Однолинейка!$H$3:$H$1000,U66)),IF(A66="Аппарат",IF(C66="","",COUNTIF(Однолинейка!$I$3:$I$1000,C66)+COUNTIF(Однолинейка!$J$3:$J$1000,C66)+COUNTIF(Однолинейка!$K$3:$K$1000,C66)),IF(A66="Модуль",IF(C66="","",COUNTIFS(Однолинейка!$AW$3:$AW$1000,"?*",Однолинейка!$AI$3:$AI$1000,C66)),IF(A66="Клемма",IF(C66="","",IF(C66=$S$7,SUM(Однолинейка!$BW$3:$BW$1000),IF(C66=$S$8,SUM(Однолинейка!$BX$3:$BX$1000),""))),""))))</f>
      </c>
      <c r="O66" s="265"/>
      <c r="P66" s="133">
        <f>IF(COUNT(N66,O66)=0,"",SUM(N66,O66))</f>
      </c>
      <c r="U66" s="133">
        <f>IF(OR(A66="Автомат",A66="Дифавтомат"),I66&amp;" С"&amp;J66&amp;"А"&amp;IF(K66="да"," 30мА",""),"")</f>
      </c>
      <c r="V66" s="133">
        <f>IF(U66="","",B66&amp;"|"&amp;U66)</f>
      </c>
      <c r="W66" s="133">
        <f>IF(AND(U66&lt;&gt;"",OR($S$4="(все)",B66=$S$4),IF($S$4="(все)",COUNTIF($U$4:U66,U66),COUNTIFS($U$4:U66,U66,$B$4:B66,B66))=1),MAX($W$3:W65)+1,"")</f>
      </c>
      <c r="X66" s="133">
        <f>IFERROR(INDEX($U$4:$U$500,MATCH(ROW()-3,$W$4:$W$500,0)),"")</f>
      </c>
      <c r="Y66" s="133">
        <f>IF(AND(A66="Аппарат",C66&lt;&gt;"",OR($S$5="(все)",B66=$S$5)),MAX($Y$3:Y65)+1,"")</f>
      </c>
      <c r="Z66" s="133">
        <f>IFERROR(INDEX($C$4:$C$500,MATCH(ROW()-3,$Y$4:$Y$500,0)),"")</f>
      </c>
      <c r="AA66" s="133">
        <f>IF(AND(A66="Модуль",C66&lt;&gt;"",OR($S$6="(все)",B66=$S$6)),MAX($AA$3:AA65)+1,"")</f>
      </c>
      <c r="AB66" s="133">
        <f>IFERROR(INDEX($C$4:$C$500,MATCH(ROW()-3,$AA$4:$AA$500,0)),"")</f>
      </c>
      <c r="AC66" s="133">
        <f>IF(OR(B66="",COUNTIF($B$4:B66,B66)&gt;1),"",MAX($AC$3:AC65)+1)</f>
      </c>
      <c r="AD66" s="133">
        <f>IFERROR(INDEX($B$4:$B$500,MATCH(ROW()-3,$AC$4:$AC$500,0)),"")</f>
      </c>
      <c r="AE66" s="133">
        <f>IF(AND(A66&lt;&gt;"",N(P66)&gt;0),IFERROR(MATCH(A66,$R$12:$R$25,0),99)*1000+ROW(),"")</f>
      </c>
      <c r="AF66" s="133">
        <f>IF(AE66="","",COUNTIF($AE$4:$AE$500,"&lt;="&amp;AE66))</f>
      </c>
    </row>
    <row r="67">
      <c r="A67" s="265" t="inlineStr">
        <is>
          <t xml:space="preserve">Клемма</t>
        </is>
      </c>
      <c r="B67" s="265" t="inlineStr">
        <is>
          <t xml:space="preserve">DKC</t>
        </is>
      </c>
      <c r="C67" s="265" t="inlineStr">
        <is>
          <t xml:space="preserve">UK-E</t>
        </is>
      </c>
      <c r="D67" s="265"/>
      <c r="E67" s="265"/>
      <c r="F67" s="265"/>
      <c r="G67" s="265" t="inlineStr">
        <is>
          <t xml:space="preserve">Торцевой фиксатор на рейку 35мм, ширина 9,5 мм</t>
        </is>
      </c>
      <c r="H67" s="265" t="inlineStr">
        <is>
          <t xml:space="preserve">UK-E</t>
        </is>
      </c>
      <c r="I67" s="265"/>
      <c r="J67" s="265"/>
      <c r="K67" s="265"/>
      <c r="L67" s="265"/>
      <c r="M67" s="265" t="inlineStr">
        <is>
          <t xml:space="preserve">шт.</t>
        </is>
      </c>
      <c r="N67" s="133">
        <f>IF(OR(A67="Автомат",A67="Дифавтомат"),IF(W67="","",COUNTIF(Однолинейка!$H$3:$H$1000,U67)),IF(A67="Аппарат",IF(C67="","",COUNTIF(Однолинейка!$I$3:$I$1000,C67)+COUNTIF(Однолинейка!$J$3:$J$1000,C67)+COUNTIF(Однолинейка!$K$3:$K$1000,C67)),IF(A67="Модуль",IF(C67="","",COUNTIFS(Однолинейка!$AW$3:$AW$1000,"?*",Однолинейка!$AI$3:$AI$1000,C67)),IF(A67="Клемма",IF(C67="","",IF(C67=$S$7,SUM(Однолинейка!$BW$3:$BW$1000),IF(C67=$S$8,SUM(Однолинейка!$BX$3:$BX$1000),""))),""))))</f>
      </c>
      <c r="O67" s="265"/>
      <c r="P67" s="133">
        <f>IF(COUNT(N67,O67)=0,"",SUM(N67,O67))</f>
      </c>
      <c r="U67" s="133">
        <f>IF(OR(A67="Автомат",A67="Дифавтомат"),I67&amp;" С"&amp;J67&amp;"А"&amp;IF(K67="да"," 30мА",""),"")</f>
      </c>
      <c r="V67" s="133">
        <f>IF(U67="","",B67&amp;"|"&amp;U67)</f>
      </c>
      <c r="W67" s="133">
        <f>IF(AND(U67&lt;&gt;"",OR($S$4="(все)",B67=$S$4),IF($S$4="(все)",COUNTIF($U$4:U67,U67),COUNTIFS($U$4:U67,U67,$B$4:B67,B67))=1),MAX($W$3:W66)+1,"")</f>
      </c>
      <c r="X67" s="133">
        <f>IFERROR(INDEX($U$4:$U$500,MATCH(ROW()-3,$W$4:$W$500,0)),"")</f>
      </c>
      <c r="Y67" s="133">
        <f>IF(AND(A67="Аппарат",C67&lt;&gt;"",OR($S$5="(все)",B67=$S$5)),MAX($Y$3:Y66)+1,"")</f>
      </c>
      <c r="Z67" s="133">
        <f>IFERROR(INDEX($C$4:$C$500,MATCH(ROW()-3,$Y$4:$Y$500,0)),"")</f>
      </c>
      <c r="AA67" s="133">
        <f>IF(AND(A67="Модуль",C67&lt;&gt;"",OR($S$6="(все)",B67=$S$6)),MAX($AA$3:AA66)+1,"")</f>
      </c>
      <c r="AB67" s="133">
        <f>IFERROR(INDEX($C$4:$C$500,MATCH(ROW()-3,$AA$4:$AA$500,0)),"")</f>
      </c>
      <c r="AC67" s="133">
        <f>IF(OR(B67="",COUNTIF($B$4:B67,B67)&gt;1),"",MAX($AC$3:AC66)+1)</f>
      </c>
      <c r="AD67" s="133">
        <f>IFERROR(INDEX($B$4:$B$500,MATCH(ROW()-3,$AC$4:$AC$500,0)),"")</f>
      </c>
      <c r="AE67" s="133">
        <f>IF(AND(A67&lt;&gt;"",N(P67)&gt;0),IFERROR(MATCH(A67,$R$12:$R$25,0),99)*1000+ROW(),"")</f>
      </c>
      <c r="AF67" s="133">
        <f>IF(AE67="","",COUNTIF($AE$4:$AE$500,"&lt;="&amp;AE67))</f>
      </c>
    </row>
    <row r="68">
      <c r="A68" s="265" t="inlineStr">
        <is>
          <t xml:space="preserve">Провод</t>
        </is>
      </c>
      <c r="B68" s="265" t="inlineStr">
        <is>
          <t xml:space="preserve">РЭК</t>
        </is>
      </c>
      <c r="C68" s="265" t="inlineStr">
        <is>
          <t xml:space="preserve">ПуГВ 1.5</t>
        </is>
      </c>
      <c r="D68" s="265"/>
      <c r="E68" s="265"/>
      <c r="F68" s="265"/>
      <c r="G68" s="265" t="inlineStr">
        <is>
          <t xml:space="preserve">Провод ПуГВ 1,5 кв. мм красный, многопроволочный </t>
        </is>
      </c>
      <c r="H68" s="265" t="inlineStr">
        <is>
          <t xml:space="preserve">ПуГВ 1.5</t>
        </is>
      </c>
      <c r="I68" s="265"/>
      <c r="J68" s="265"/>
      <c r="K68" s="265"/>
      <c r="L68" s="265"/>
      <c r="M68" s="265" t="inlineStr">
        <is>
          <t xml:space="preserve">м.</t>
        </is>
      </c>
      <c r="N68" s="133">
        <f>IF(OR(A68="Автомат",A68="Дифавтомат"),IF(W68="","",COUNTIF(Однолинейка!$H$3:$H$1000,U68)),IF(A68="Аппарат",IF(C68="","",COUNTIF(Однолинейка!$I$3:$I$1000,C68)+COUNTIF(Однолинейка!$J$3:$J$1000,C68)+COUNTIF(Однолинейка!$K$3:$K$1000,C68)),IF(A68="Модуль",IF(C68="","",COUNTIFS(Однолинейка!$AW$3:$AW$1000,"?*",Однолинейка!$AI$3:$AI$1000,C68)),IF(A68="Клемма",IF(C68="","",IF(C68=$S$7,SUM(Однолинейка!$BW$3:$BW$1000),IF(C68=$S$8,SUM(Однолинейка!$BX$3:$BX$1000),""))),""))))</f>
      </c>
      <c r="O68" s="265"/>
      <c r="P68" s="133">
        <f>IF(COUNT(N68,O68)=0,"",SUM(N68,O68))</f>
      </c>
      <c r="U68" s="133">
        <f>IF(OR(A68="Автомат",A68="Дифавтомат"),I68&amp;" С"&amp;J68&amp;"А"&amp;IF(K68="да"," 30мА",""),"")</f>
      </c>
      <c r="V68" s="133">
        <f>IF(U68="","",B68&amp;"|"&amp;U68)</f>
      </c>
      <c r="W68" s="133">
        <f>IF(AND(U68&lt;&gt;"",OR($S$4="(все)",B68=$S$4),IF($S$4="(все)",COUNTIF($U$4:U68,U68),COUNTIFS($U$4:U68,U68,$B$4:B68,B68))=1),MAX($W$3:W67)+1,"")</f>
      </c>
      <c r="X68" s="133">
        <f>IFERROR(INDEX($U$4:$U$500,MATCH(ROW()-3,$W$4:$W$500,0)),"")</f>
      </c>
      <c r="Y68" s="133">
        <f>IF(AND(A68="Аппарат",C68&lt;&gt;"",OR($S$5="(все)",B68=$S$5)),MAX($Y$3:Y67)+1,"")</f>
      </c>
      <c r="Z68" s="133">
        <f>IFERROR(INDEX($C$4:$C$500,MATCH(ROW()-3,$Y$4:$Y$500,0)),"")</f>
      </c>
      <c r="AA68" s="133">
        <f>IF(AND(A68="Модуль",C68&lt;&gt;"",OR($S$6="(все)",B68=$S$6)),MAX($AA$3:AA67)+1,"")</f>
      </c>
      <c r="AB68" s="133">
        <f>IFERROR(INDEX($C$4:$C$500,MATCH(ROW()-3,$AA$4:$AA$500,0)),"")</f>
      </c>
      <c r="AC68" s="133">
        <f>IF(OR(B68="",COUNTIF($B$4:B68,B68)&gt;1),"",MAX($AC$3:AC67)+1)</f>
      </c>
      <c r="AD68" s="133">
        <f>IFERROR(INDEX($B$4:$B$500,MATCH(ROW()-3,$AC$4:$AC$500,0)),"")</f>
      </c>
      <c r="AE68" s="133">
        <f>IF(AND(A68&lt;&gt;"",N(P68)&gt;0),IFERROR(MATCH(A68,$R$12:$R$25,0),99)*1000+ROW(),"")</f>
      </c>
      <c r="AF68" s="133">
        <f>IF(AE68="","",COUNTIF($AE$4:$AE$500,"&lt;="&amp;AE68))</f>
      </c>
    </row>
    <row r="69">
      <c r="A69" s="265" t="inlineStr">
        <is>
          <t xml:space="preserve">Провод</t>
        </is>
      </c>
      <c r="B69" s="265" t="inlineStr">
        <is>
          <t xml:space="preserve">РЭК</t>
        </is>
      </c>
      <c r="C69" s="265" t="inlineStr">
        <is>
          <t xml:space="preserve">ПуГВ 1.5</t>
        </is>
      </c>
      <c r="D69" s="265"/>
      <c r="E69" s="265"/>
      <c r="F69" s="265"/>
      <c r="G69" s="265" t="inlineStr">
        <is>
          <t xml:space="preserve">Провод ПуГВ 1,5 кв. мм белый, многопроволочный</t>
        </is>
      </c>
      <c r="H69" s="265" t="inlineStr">
        <is>
          <t xml:space="preserve">ПуГВ 1.5</t>
        </is>
      </c>
      <c r="I69" s="265"/>
      <c r="J69" s="265"/>
      <c r="K69" s="265"/>
      <c r="L69" s="265"/>
      <c r="M69" s="265" t="inlineStr">
        <is>
          <t xml:space="preserve">м.</t>
        </is>
      </c>
      <c r="N69" s="133">
        <f>IF(OR(A69="Автомат",A69="Дифавтомат"),IF(W69="","",COUNTIF(Однолинейка!$H$3:$H$1000,U69)),IF(A69="Аппарат",IF(C69="","",COUNTIF(Однолинейка!$I$3:$I$1000,C69)+COUNTIF(Однолинейка!$J$3:$J$1000,C69)+COUNTIF(Однолинейка!$K$3:$K$1000,C69)),IF(A69="Модуль",IF(C69="","",COUNTIFS(Однолинейка!$AW$3:$AW$1000,"?*",Однолинейка!$AI$3:$AI$1000,C69)),IF(A69="Клемма",IF(C69="","",IF(C69=$S$7,SUM(Однолинейка!$BW$3:$BW$1000),IF(C69=$S$8,SUM(Однолинейка!$BX$3:$BX$1000),""))),""))))</f>
      </c>
      <c r="O69" s="265"/>
      <c r="P69" s="133">
        <f>IF(COUNT(N69,O69)=0,"",SUM(N69,O69))</f>
      </c>
      <c r="U69" s="133">
        <f>IF(OR(A69="Автомат",A69="Дифавтомат"),I69&amp;" С"&amp;J69&amp;"А"&amp;IF(K69="да"," 30мА",""),"")</f>
      </c>
      <c r="V69" s="133">
        <f>IF(U69="","",B69&amp;"|"&amp;U69)</f>
      </c>
      <c r="W69" s="133">
        <f>IF(AND(U69&lt;&gt;"",OR($S$4="(все)",B69=$S$4),IF($S$4="(все)",COUNTIF($U$4:U69,U69),COUNTIFS($U$4:U69,U69,$B$4:B69,B69))=1),MAX($W$3:W68)+1,"")</f>
      </c>
      <c r="X69" s="133">
        <f>IFERROR(INDEX($U$4:$U$500,MATCH(ROW()-3,$W$4:$W$500,0)),"")</f>
      </c>
      <c r="Y69" s="133">
        <f>IF(AND(A69="Аппарат",C69&lt;&gt;"",OR($S$5="(все)",B69=$S$5)),MAX($Y$3:Y68)+1,"")</f>
      </c>
      <c r="Z69" s="133">
        <f>IFERROR(INDEX($C$4:$C$500,MATCH(ROW()-3,$Y$4:$Y$500,0)),"")</f>
      </c>
      <c r="AA69" s="133">
        <f>IF(AND(A69="Модуль",C69&lt;&gt;"",OR($S$6="(все)",B69=$S$6)),MAX($AA$3:AA68)+1,"")</f>
      </c>
      <c r="AB69" s="133">
        <f>IFERROR(INDEX($C$4:$C$500,MATCH(ROW()-3,$AA$4:$AA$500,0)),"")</f>
      </c>
      <c r="AC69" s="133">
        <f>IF(OR(B69="",COUNTIF($B$4:B69,B69)&gt;1),"",MAX($AC$3:AC68)+1)</f>
      </c>
      <c r="AD69" s="133">
        <f>IFERROR(INDEX($B$4:$B$500,MATCH(ROW()-3,$AC$4:$AC$500,0)),"")</f>
      </c>
      <c r="AE69" s="133">
        <f>IF(AND(A69&lt;&gt;"",N(P69)&gt;0),IFERROR(MATCH(A69,$R$12:$R$25,0),99)*1000+ROW(),"")</f>
      </c>
      <c r="AF69" s="133">
        <f>IF(AE69="","",COUNTIF($AE$4:$AE$500,"&lt;="&amp;AE69))</f>
      </c>
    </row>
    <row r="70">
      <c r="A70" s="265" t="inlineStr">
        <is>
          <t xml:space="preserve">Провод</t>
        </is>
      </c>
      <c r="B70" s="265" t="inlineStr">
        <is>
          <t xml:space="preserve">РЭК</t>
        </is>
      </c>
      <c r="C70" s="265" t="inlineStr">
        <is>
          <t xml:space="preserve">ПуГВ 1.5</t>
        </is>
      </c>
      <c r="D70" s="265"/>
      <c r="E70" s="265"/>
      <c r="F70" s="265"/>
      <c r="G70" s="265" t="inlineStr">
        <is>
          <t xml:space="preserve">Провод ПуГВ 1,5 кв. мм черный, многопроволочный </t>
        </is>
      </c>
      <c r="H70" s="265" t="inlineStr">
        <is>
          <t xml:space="preserve">ПуГВ 1.5</t>
        </is>
      </c>
      <c r="I70" s="265"/>
      <c r="J70" s="265"/>
      <c r="K70" s="265"/>
      <c r="L70" s="265"/>
      <c r="M70" s="265" t="inlineStr">
        <is>
          <t xml:space="preserve">м.</t>
        </is>
      </c>
      <c r="N70" s="133">
        <f>IF(OR(A70="Автомат",A70="Дифавтомат"),IF(W70="","",COUNTIF(Однолинейка!$H$3:$H$1000,U70)),IF(A70="Аппарат",IF(C70="","",COUNTIF(Однолинейка!$I$3:$I$1000,C70)+COUNTIF(Однолинейка!$J$3:$J$1000,C70)+COUNTIF(Однолинейка!$K$3:$K$1000,C70)),IF(A70="Модуль",IF(C70="","",COUNTIFS(Однолинейка!$AW$3:$AW$1000,"?*",Однолинейка!$AI$3:$AI$1000,C70)),IF(A70="Клемма",IF(C70="","",IF(C70=$S$7,SUM(Однолинейка!$BW$3:$BW$1000),IF(C70=$S$8,SUM(Однолинейка!$BX$3:$BX$1000),""))),""))))</f>
      </c>
      <c r="O70" s="265"/>
      <c r="P70" s="133">
        <f>IF(COUNT(N70,O70)=0,"",SUM(N70,O70))</f>
      </c>
      <c r="U70" s="133">
        <f>IF(OR(A70="Автомат",A70="Дифавтомат"),I70&amp;" С"&amp;J70&amp;"А"&amp;IF(K70="да"," 30мА",""),"")</f>
      </c>
      <c r="V70" s="133">
        <f>IF(U70="","",B70&amp;"|"&amp;U70)</f>
      </c>
      <c r="W70" s="133">
        <f>IF(AND(U70&lt;&gt;"",OR($S$4="(все)",B70=$S$4),IF($S$4="(все)",COUNTIF($U$4:U70,U70),COUNTIFS($U$4:U70,U70,$B$4:B70,B70))=1),MAX($W$3:W69)+1,"")</f>
      </c>
      <c r="X70" s="133">
        <f>IFERROR(INDEX($U$4:$U$500,MATCH(ROW()-3,$W$4:$W$500,0)),"")</f>
      </c>
      <c r="Y70" s="133">
        <f>IF(AND(A70="Аппарат",C70&lt;&gt;"",OR($S$5="(все)",B70=$S$5)),MAX($Y$3:Y69)+1,"")</f>
      </c>
      <c r="Z70" s="133">
        <f>IFERROR(INDEX($C$4:$C$500,MATCH(ROW()-3,$Y$4:$Y$500,0)),"")</f>
      </c>
      <c r="AA70" s="133">
        <f>IF(AND(A70="Модуль",C70&lt;&gt;"",OR($S$6="(все)",B70=$S$6)),MAX($AA$3:AA69)+1,"")</f>
      </c>
      <c r="AB70" s="133">
        <f>IFERROR(INDEX($C$4:$C$500,MATCH(ROW()-3,$AA$4:$AA$500,0)),"")</f>
      </c>
      <c r="AC70" s="133">
        <f>IF(OR(B70="",COUNTIF($B$4:B70,B70)&gt;1),"",MAX($AC$3:AC69)+1)</f>
      </c>
      <c r="AD70" s="133">
        <f>IFERROR(INDEX($B$4:$B$500,MATCH(ROW()-3,$AC$4:$AC$500,0)),"")</f>
      </c>
      <c r="AE70" s="133">
        <f>IF(AND(A70&lt;&gt;"",N(P70)&gt;0),IFERROR(MATCH(A70,$R$12:$R$25,0),99)*1000+ROW(),"")</f>
      </c>
      <c r="AF70" s="133">
        <f>IF(AE70="","",COUNTIF($AE$4:$AE$500,"&lt;="&amp;AE70))</f>
      </c>
    </row>
    <row r="71">
      <c r="A71" s="265" t="inlineStr">
        <is>
          <t xml:space="preserve">Провод</t>
        </is>
      </c>
      <c r="B71" s="265" t="inlineStr">
        <is>
          <t xml:space="preserve">РЭК</t>
        </is>
      </c>
      <c r="C71" s="265" t="inlineStr">
        <is>
          <t xml:space="preserve">ПуГВ 1.5</t>
        </is>
      </c>
      <c r="D71" s="265"/>
      <c r="E71" s="265"/>
      <c r="F71" s="265"/>
      <c r="G71" s="265" t="inlineStr">
        <is>
          <t xml:space="preserve">Провод ПуГВ 1,5 кв. мм синий, многопроволочный </t>
        </is>
      </c>
      <c r="H71" s="265" t="inlineStr">
        <is>
          <t xml:space="preserve">ПуГВ 1.5</t>
        </is>
      </c>
      <c r="I71" s="265"/>
      <c r="J71" s="265"/>
      <c r="K71" s="265"/>
      <c r="L71" s="265"/>
      <c r="M71" s="265" t="inlineStr">
        <is>
          <t xml:space="preserve">м.</t>
        </is>
      </c>
      <c r="N71" s="133">
        <f>IF(OR(A71="Автомат",A71="Дифавтомат"),IF(W71="","",COUNTIF(Однолинейка!$H$3:$H$1000,U71)),IF(A71="Аппарат",IF(C71="","",COUNTIF(Однолинейка!$I$3:$I$1000,C71)+COUNTIF(Однолинейка!$J$3:$J$1000,C71)+COUNTIF(Однолинейка!$K$3:$K$1000,C71)),IF(A71="Модуль",IF(C71="","",COUNTIFS(Однолинейка!$AW$3:$AW$1000,"?*",Однолинейка!$AI$3:$AI$1000,C71)),IF(A71="Клемма",IF(C71="","",IF(C71=$S$7,SUM(Однолинейка!$BW$3:$BW$1000),IF(C71=$S$8,SUM(Однолинейка!$BX$3:$BX$1000),""))),""))))</f>
      </c>
      <c r="O71" s="265"/>
      <c r="P71" s="133">
        <f>IF(COUNT(N71,O71)=0,"",SUM(N71,O71))</f>
      </c>
      <c r="U71" s="133">
        <f>IF(OR(A71="Автомат",A71="Дифавтомат"),I71&amp;" С"&amp;J71&amp;"А"&amp;IF(K71="да"," 30мА",""),"")</f>
      </c>
      <c r="V71" s="133">
        <f>IF(U71="","",B71&amp;"|"&amp;U71)</f>
      </c>
      <c r="W71" s="133">
        <f>IF(AND(U71&lt;&gt;"",OR($S$4="(все)",B71=$S$4),IF($S$4="(все)",COUNTIF($U$4:U71,U71),COUNTIFS($U$4:U71,U71,$B$4:B71,B71))=1),MAX($W$3:W70)+1,"")</f>
      </c>
      <c r="X71" s="133">
        <f>IFERROR(INDEX($U$4:$U$500,MATCH(ROW()-3,$W$4:$W$500,0)),"")</f>
      </c>
      <c r="Y71" s="133">
        <f>IF(AND(A71="Аппарат",C71&lt;&gt;"",OR($S$5="(все)",B71=$S$5)),MAX($Y$3:Y70)+1,"")</f>
      </c>
      <c r="Z71" s="133">
        <f>IFERROR(INDEX($C$4:$C$500,MATCH(ROW()-3,$Y$4:$Y$500,0)),"")</f>
      </c>
      <c r="AA71" s="133">
        <f>IF(AND(A71="Модуль",C71&lt;&gt;"",OR($S$6="(все)",B71=$S$6)),MAX($AA$3:AA70)+1,"")</f>
      </c>
      <c r="AB71" s="133">
        <f>IFERROR(INDEX($C$4:$C$500,MATCH(ROW()-3,$AA$4:$AA$500,0)),"")</f>
      </c>
      <c r="AC71" s="133">
        <f>IF(OR(B71="",COUNTIF($B$4:B71,B71)&gt;1),"",MAX($AC$3:AC70)+1)</f>
      </c>
      <c r="AD71" s="133">
        <f>IFERROR(INDEX($B$4:$B$500,MATCH(ROW()-3,$AC$4:$AC$500,0)),"")</f>
      </c>
      <c r="AE71" s="133">
        <f>IF(AND(A71&lt;&gt;"",N(P71)&gt;0),IFERROR(MATCH(A71,$R$12:$R$25,0),99)*1000+ROW(),"")</f>
      </c>
      <c r="AF71" s="133">
        <f>IF(AE71="","",COUNTIF($AE$4:$AE$500,"&lt;="&amp;AE71))</f>
      </c>
    </row>
    <row r="72">
      <c r="A72" s="265" t="inlineStr">
        <is>
          <t xml:space="preserve">Провод</t>
        </is>
      </c>
      <c r="B72" s="265" t="inlineStr">
        <is>
          <t xml:space="preserve">РЭК</t>
        </is>
      </c>
      <c r="C72" s="265" t="inlineStr">
        <is>
          <t xml:space="preserve">ПуГВ 1.5</t>
        </is>
      </c>
      <c r="D72" s="265"/>
      <c r="E72" s="265"/>
      <c r="F72" s="265"/>
      <c r="G72" s="265" t="inlineStr">
        <is>
          <t xml:space="preserve">Провод ПуГВ 1,5 кв. мм Ж/З, многопроволочный </t>
        </is>
      </c>
      <c r="H72" s="265" t="inlineStr">
        <is>
          <t xml:space="preserve">ПуГВ 1.5</t>
        </is>
      </c>
      <c r="I72" s="265"/>
      <c r="J72" s="265"/>
      <c r="K72" s="265"/>
      <c r="L72" s="265"/>
      <c r="M72" s="265" t="inlineStr">
        <is>
          <t xml:space="preserve">м.</t>
        </is>
      </c>
      <c r="N72" s="133">
        <f>IF(OR(A72="Автомат",A72="Дифавтомат"),IF(W72="","",COUNTIF(Однолинейка!$H$3:$H$1000,U72)),IF(A72="Аппарат",IF(C72="","",COUNTIF(Однолинейка!$I$3:$I$1000,C72)+COUNTIF(Однолинейка!$J$3:$J$1000,C72)+COUNTIF(Однолинейка!$K$3:$K$1000,C72)),IF(A72="Модуль",IF(C72="","",COUNTIFS(Однолинейка!$AW$3:$AW$1000,"?*",Однолинейка!$AI$3:$AI$1000,C72)),IF(A72="Клемма",IF(C72="","",IF(C72=$S$7,SUM(Однолинейка!$BW$3:$BW$1000),IF(C72=$S$8,SUM(Однолинейка!$BX$3:$BX$1000),""))),""))))</f>
      </c>
      <c r="O72" s="265"/>
      <c r="P72" s="133">
        <f>IF(COUNT(N72,O72)=0,"",SUM(N72,O72))</f>
      </c>
      <c r="U72" s="133">
        <f>IF(OR(A72="Автомат",A72="Дифавтомат"),I72&amp;" С"&amp;J72&amp;"А"&amp;IF(K72="да"," 30мА",""),"")</f>
      </c>
      <c r="V72" s="133">
        <f>IF(U72="","",B72&amp;"|"&amp;U72)</f>
      </c>
      <c r="W72" s="133">
        <f>IF(AND(U72&lt;&gt;"",OR($S$4="(все)",B72=$S$4),IF($S$4="(все)",COUNTIF($U$4:U72,U72),COUNTIFS($U$4:U72,U72,$B$4:B72,B72))=1),MAX($W$3:W71)+1,"")</f>
      </c>
      <c r="X72" s="133">
        <f>IFERROR(INDEX($U$4:$U$500,MATCH(ROW()-3,$W$4:$W$500,0)),"")</f>
      </c>
      <c r="Y72" s="133">
        <f>IF(AND(A72="Аппарат",C72&lt;&gt;"",OR($S$5="(все)",B72=$S$5)),MAX($Y$3:Y71)+1,"")</f>
      </c>
      <c r="Z72" s="133">
        <f>IFERROR(INDEX($C$4:$C$500,MATCH(ROW()-3,$Y$4:$Y$500,0)),"")</f>
      </c>
      <c r="AA72" s="133">
        <f>IF(AND(A72="Модуль",C72&lt;&gt;"",OR($S$6="(все)",B72=$S$6)),MAX($AA$3:AA71)+1,"")</f>
      </c>
      <c r="AB72" s="133">
        <f>IFERROR(INDEX($C$4:$C$500,MATCH(ROW()-3,$AA$4:$AA$500,0)),"")</f>
      </c>
      <c r="AC72" s="133">
        <f>IF(OR(B72="",COUNTIF($B$4:B72,B72)&gt;1),"",MAX($AC$3:AC71)+1)</f>
      </c>
      <c r="AD72" s="133">
        <f>IFERROR(INDEX($B$4:$B$500,MATCH(ROW()-3,$AC$4:$AC$500,0)),"")</f>
      </c>
      <c r="AE72" s="133">
        <f>IF(AND(A72&lt;&gt;"",N(P72)&gt;0),IFERROR(MATCH(A72,$R$12:$R$25,0),99)*1000+ROW(),"")</f>
      </c>
      <c r="AF72" s="133">
        <f>IF(AE72="","",COUNTIF($AE$4:$AE$500,"&lt;="&amp;AE72))</f>
      </c>
    </row>
    <row r="73">
      <c r="A73" s="265" t="inlineStr">
        <is>
          <t xml:space="preserve">Провод</t>
        </is>
      </c>
      <c r="B73" s="265" t="inlineStr">
        <is>
          <t xml:space="preserve">РЭК</t>
        </is>
      </c>
      <c r="C73" s="265" t="inlineStr">
        <is>
          <t xml:space="preserve">ПуГВ 2.5</t>
        </is>
      </c>
      <c r="D73" s="265"/>
      <c r="E73" s="265"/>
      <c r="F73" s="265"/>
      <c r="G73" s="265" t="inlineStr">
        <is>
          <t xml:space="preserve">Провод ПуГВ 2,5 кв. мм красный, многопроволочный </t>
        </is>
      </c>
      <c r="H73" s="265" t="inlineStr">
        <is>
          <t xml:space="preserve">ПуГВ 2.5</t>
        </is>
      </c>
      <c r="I73" s="265"/>
      <c r="J73" s="265"/>
      <c r="K73" s="265"/>
      <c r="L73" s="265"/>
      <c r="M73" s="265" t="inlineStr">
        <is>
          <t xml:space="preserve">м.</t>
        </is>
      </c>
      <c r="N73" s="133">
        <f>IF(OR(A73="Автомат",A73="Дифавтомат"),IF(W73="","",COUNTIF(Однолинейка!$H$3:$H$1000,U73)),IF(A73="Аппарат",IF(C73="","",COUNTIF(Однолинейка!$I$3:$I$1000,C73)+COUNTIF(Однолинейка!$J$3:$J$1000,C73)+COUNTIF(Однолинейка!$K$3:$K$1000,C73)),IF(A73="Модуль",IF(C73="","",COUNTIFS(Однолинейка!$AW$3:$AW$1000,"?*",Однолинейка!$AI$3:$AI$1000,C73)),IF(A73="Клемма",IF(C73="","",IF(C73=$S$7,SUM(Однолинейка!$BW$3:$BW$1000),IF(C73=$S$8,SUM(Однолинейка!$BX$3:$BX$1000),""))),""))))</f>
      </c>
      <c r="O73" s="265"/>
      <c r="P73" s="133">
        <f>IF(COUNT(N73,O73)=0,"",SUM(N73,O73))</f>
      </c>
      <c r="U73" s="133">
        <f>IF(OR(A73="Автомат",A73="Дифавтомат"),I73&amp;" С"&amp;J73&amp;"А"&amp;IF(K73="да"," 30мА",""),"")</f>
      </c>
      <c r="V73" s="133">
        <f>IF(U73="","",B73&amp;"|"&amp;U73)</f>
      </c>
      <c r="W73" s="133">
        <f>IF(AND(U73&lt;&gt;"",OR($S$4="(все)",B73=$S$4),IF($S$4="(все)",COUNTIF($U$4:U73,U73),COUNTIFS($U$4:U73,U73,$B$4:B73,B73))=1),MAX($W$3:W72)+1,"")</f>
      </c>
      <c r="X73" s="133">
        <f>IFERROR(INDEX($U$4:$U$500,MATCH(ROW()-3,$W$4:$W$500,0)),"")</f>
      </c>
      <c r="Y73" s="133">
        <f>IF(AND(A73="Аппарат",C73&lt;&gt;"",OR($S$5="(все)",B73=$S$5)),MAX($Y$3:Y72)+1,"")</f>
      </c>
      <c r="Z73" s="133">
        <f>IFERROR(INDEX($C$4:$C$500,MATCH(ROW()-3,$Y$4:$Y$500,0)),"")</f>
      </c>
      <c r="AA73" s="133">
        <f>IF(AND(A73="Модуль",C73&lt;&gt;"",OR($S$6="(все)",B73=$S$6)),MAX($AA$3:AA72)+1,"")</f>
      </c>
      <c r="AB73" s="133">
        <f>IFERROR(INDEX($C$4:$C$500,MATCH(ROW()-3,$AA$4:$AA$500,0)),"")</f>
      </c>
      <c r="AC73" s="133">
        <f>IF(OR(B73="",COUNTIF($B$4:B73,B73)&gt;1),"",MAX($AC$3:AC72)+1)</f>
      </c>
      <c r="AD73" s="133">
        <f>IFERROR(INDEX($B$4:$B$500,MATCH(ROW()-3,$AC$4:$AC$500,0)),"")</f>
      </c>
      <c r="AE73" s="133">
        <f>IF(AND(A73&lt;&gt;"",N(P73)&gt;0),IFERROR(MATCH(A73,$R$12:$R$25,0),99)*1000+ROW(),"")</f>
      </c>
      <c r="AF73" s="133">
        <f>IF(AE73="","",COUNTIF($AE$4:$AE$500,"&lt;="&amp;AE73))</f>
      </c>
    </row>
    <row r="74">
      <c r="A74" s="265" t="inlineStr">
        <is>
          <t xml:space="preserve">Провод</t>
        </is>
      </c>
      <c r="B74" s="265" t="inlineStr">
        <is>
          <t xml:space="preserve">РЭК</t>
        </is>
      </c>
      <c r="C74" s="265" t="inlineStr">
        <is>
          <t xml:space="preserve">ПуГВ 2.5</t>
        </is>
      </c>
      <c r="D74" s="265"/>
      <c r="E74" s="265"/>
      <c r="F74" s="265"/>
      <c r="G74" s="265" t="inlineStr">
        <is>
          <t xml:space="preserve">Провод ПуГВ 2,5 кв. мм белый, многопроволочный</t>
        </is>
      </c>
      <c r="H74" s="265" t="inlineStr">
        <is>
          <t xml:space="preserve">ПуГВ 2.5</t>
        </is>
      </c>
      <c r="I74" s="265"/>
      <c r="J74" s="265"/>
      <c r="K74" s="265"/>
      <c r="L74" s="265"/>
      <c r="M74" s="265" t="inlineStr">
        <is>
          <t xml:space="preserve">м.</t>
        </is>
      </c>
      <c r="N74" s="133">
        <f>IF(OR(A74="Автомат",A74="Дифавтомат"),IF(W74="","",COUNTIF(Однолинейка!$H$3:$H$1000,U74)),IF(A74="Аппарат",IF(C74="","",COUNTIF(Однолинейка!$I$3:$I$1000,C74)+COUNTIF(Однолинейка!$J$3:$J$1000,C74)+COUNTIF(Однолинейка!$K$3:$K$1000,C74)),IF(A74="Модуль",IF(C74="","",COUNTIFS(Однолинейка!$AW$3:$AW$1000,"?*",Однолинейка!$AI$3:$AI$1000,C74)),IF(A74="Клемма",IF(C74="","",IF(C74=$S$7,SUM(Однолинейка!$BW$3:$BW$1000),IF(C74=$S$8,SUM(Однолинейка!$BX$3:$BX$1000),""))),""))))</f>
      </c>
      <c r="O74" s="265"/>
      <c r="P74" s="133">
        <f>IF(COUNT(N74,O74)=0,"",SUM(N74,O74))</f>
      </c>
      <c r="U74" s="133">
        <f>IF(OR(A74="Автомат",A74="Дифавтомат"),I74&amp;" С"&amp;J74&amp;"А"&amp;IF(K74="да"," 30мА",""),"")</f>
      </c>
      <c r="V74" s="133">
        <f>IF(U74="","",B74&amp;"|"&amp;U74)</f>
      </c>
      <c r="W74" s="133">
        <f>IF(AND(U74&lt;&gt;"",OR($S$4="(все)",B74=$S$4),IF($S$4="(все)",COUNTIF($U$4:U74,U74),COUNTIFS($U$4:U74,U74,$B$4:B74,B74))=1),MAX($W$3:W73)+1,"")</f>
      </c>
      <c r="X74" s="133">
        <f>IFERROR(INDEX($U$4:$U$500,MATCH(ROW()-3,$W$4:$W$500,0)),"")</f>
      </c>
      <c r="Y74" s="133">
        <f>IF(AND(A74="Аппарат",C74&lt;&gt;"",OR($S$5="(все)",B74=$S$5)),MAX($Y$3:Y73)+1,"")</f>
      </c>
      <c r="Z74" s="133">
        <f>IFERROR(INDEX($C$4:$C$500,MATCH(ROW()-3,$Y$4:$Y$500,0)),"")</f>
      </c>
      <c r="AA74" s="133">
        <f>IF(AND(A74="Модуль",C74&lt;&gt;"",OR($S$6="(все)",B74=$S$6)),MAX($AA$3:AA73)+1,"")</f>
      </c>
      <c r="AB74" s="133">
        <f>IFERROR(INDEX($C$4:$C$500,MATCH(ROW()-3,$AA$4:$AA$500,0)),"")</f>
      </c>
      <c r="AC74" s="133">
        <f>IF(OR(B74="",COUNTIF($B$4:B74,B74)&gt;1),"",MAX($AC$3:AC73)+1)</f>
      </c>
      <c r="AD74" s="133">
        <f>IFERROR(INDEX($B$4:$B$500,MATCH(ROW()-3,$AC$4:$AC$500,0)),"")</f>
      </c>
      <c r="AE74" s="133">
        <f>IF(AND(A74&lt;&gt;"",N(P74)&gt;0),IFERROR(MATCH(A74,$R$12:$R$25,0),99)*1000+ROW(),"")</f>
      </c>
      <c r="AF74" s="133">
        <f>IF(AE74="","",COUNTIF($AE$4:$AE$500,"&lt;="&amp;AE74))</f>
      </c>
    </row>
    <row r="75">
      <c r="A75" s="265" t="inlineStr">
        <is>
          <t xml:space="preserve">Провод</t>
        </is>
      </c>
      <c r="B75" s="265" t="inlineStr">
        <is>
          <t xml:space="preserve">РЭК</t>
        </is>
      </c>
      <c r="C75" s="265" t="inlineStr">
        <is>
          <t xml:space="preserve">ПуГВ 2.5</t>
        </is>
      </c>
      <c r="D75" s="265"/>
      <c r="E75" s="265"/>
      <c r="F75" s="265"/>
      <c r="G75" s="265" t="inlineStr">
        <is>
          <t xml:space="preserve">Провод ПуГВ 2,5 кв. мм черный, многопроволочный </t>
        </is>
      </c>
      <c r="H75" s="265" t="inlineStr">
        <is>
          <t xml:space="preserve">ПуГВ 2.5</t>
        </is>
      </c>
      <c r="I75" s="265"/>
      <c r="J75" s="265"/>
      <c r="K75" s="265"/>
      <c r="L75" s="265"/>
      <c r="M75" s="265" t="inlineStr">
        <is>
          <t xml:space="preserve">м.</t>
        </is>
      </c>
      <c r="N75" s="133">
        <f>IF(OR(A75="Автомат",A75="Дифавтомат"),IF(W75="","",COUNTIF(Однолинейка!$H$3:$H$1000,U75)),IF(A75="Аппарат",IF(C75="","",COUNTIF(Однолинейка!$I$3:$I$1000,C75)+COUNTIF(Однолинейка!$J$3:$J$1000,C75)+COUNTIF(Однолинейка!$K$3:$K$1000,C75)),IF(A75="Модуль",IF(C75="","",COUNTIFS(Однолинейка!$AW$3:$AW$1000,"?*",Однолинейка!$AI$3:$AI$1000,C75)),IF(A75="Клемма",IF(C75="","",IF(C75=$S$7,SUM(Однолинейка!$BW$3:$BW$1000),IF(C75=$S$8,SUM(Однолинейка!$BX$3:$BX$1000),""))),""))))</f>
      </c>
      <c r="O75" s="265"/>
      <c r="P75" s="133">
        <f>IF(COUNT(N75,O75)=0,"",SUM(N75,O75))</f>
      </c>
      <c r="U75" s="133">
        <f>IF(OR(A75="Автомат",A75="Дифавтомат"),I75&amp;" С"&amp;J75&amp;"А"&amp;IF(K75="да"," 30мА",""),"")</f>
      </c>
      <c r="V75" s="133">
        <f>IF(U75="","",B75&amp;"|"&amp;U75)</f>
      </c>
      <c r="W75" s="133">
        <f>IF(AND(U75&lt;&gt;"",OR($S$4="(все)",B75=$S$4),IF($S$4="(все)",COUNTIF($U$4:U75,U75),COUNTIFS($U$4:U75,U75,$B$4:B75,B75))=1),MAX($W$3:W74)+1,"")</f>
      </c>
      <c r="X75" s="133">
        <f>IFERROR(INDEX($U$4:$U$500,MATCH(ROW()-3,$W$4:$W$500,0)),"")</f>
      </c>
      <c r="Y75" s="133">
        <f>IF(AND(A75="Аппарат",C75&lt;&gt;"",OR($S$5="(все)",B75=$S$5)),MAX($Y$3:Y74)+1,"")</f>
      </c>
      <c r="Z75" s="133">
        <f>IFERROR(INDEX($C$4:$C$500,MATCH(ROW()-3,$Y$4:$Y$500,0)),"")</f>
      </c>
      <c r="AA75" s="133">
        <f>IF(AND(A75="Модуль",C75&lt;&gt;"",OR($S$6="(все)",B75=$S$6)),MAX($AA$3:AA74)+1,"")</f>
      </c>
      <c r="AB75" s="133">
        <f>IFERROR(INDEX($C$4:$C$500,MATCH(ROW()-3,$AA$4:$AA$500,0)),"")</f>
      </c>
      <c r="AC75" s="133">
        <f>IF(OR(B75="",COUNTIF($B$4:B75,B75)&gt;1),"",MAX($AC$3:AC74)+1)</f>
      </c>
      <c r="AD75" s="133">
        <f>IFERROR(INDEX($B$4:$B$500,MATCH(ROW()-3,$AC$4:$AC$500,0)),"")</f>
      </c>
      <c r="AE75" s="133">
        <f>IF(AND(A75&lt;&gt;"",N(P75)&gt;0),IFERROR(MATCH(A75,$R$12:$R$25,0),99)*1000+ROW(),"")</f>
      </c>
      <c r="AF75" s="133">
        <f>IF(AE75="","",COUNTIF($AE$4:$AE$500,"&lt;="&amp;AE75))</f>
      </c>
    </row>
    <row r="76">
      <c r="A76" s="265" t="inlineStr">
        <is>
          <t xml:space="preserve">Провод</t>
        </is>
      </c>
      <c r="B76" s="265" t="inlineStr">
        <is>
          <t xml:space="preserve">РЭК</t>
        </is>
      </c>
      <c r="C76" s="265" t="inlineStr">
        <is>
          <t xml:space="preserve">ПуГВ 2.5</t>
        </is>
      </c>
      <c r="D76" s="265"/>
      <c r="E76" s="265"/>
      <c r="F76" s="265"/>
      <c r="G76" s="265" t="inlineStr">
        <is>
          <t xml:space="preserve">Провод ПуГВ 2,5 кв. мм синий, многопроволочный </t>
        </is>
      </c>
      <c r="H76" s="265" t="inlineStr">
        <is>
          <t xml:space="preserve">ПуГВ 2.5</t>
        </is>
      </c>
      <c r="I76" s="265"/>
      <c r="J76" s="265"/>
      <c r="K76" s="265"/>
      <c r="L76" s="265"/>
      <c r="M76" s="265" t="inlineStr">
        <is>
          <t xml:space="preserve">м.</t>
        </is>
      </c>
      <c r="N76" s="133">
        <f>IF(OR(A76="Автомат",A76="Дифавтомат"),IF(W76="","",COUNTIF(Однолинейка!$H$3:$H$1000,U76)),IF(A76="Аппарат",IF(C76="","",COUNTIF(Однолинейка!$I$3:$I$1000,C76)+COUNTIF(Однолинейка!$J$3:$J$1000,C76)+COUNTIF(Однолинейка!$K$3:$K$1000,C76)),IF(A76="Модуль",IF(C76="","",COUNTIFS(Однолинейка!$AW$3:$AW$1000,"?*",Однолинейка!$AI$3:$AI$1000,C76)),IF(A76="Клемма",IF(C76="","",IF(C76=$S$7,SUM(Однолинейка!$BW$3:$BW$1000),IF(C76=$S$8,SUM(Однолинейка!$BX$3:$BX$1000),""))),""))))</f>
      </c>
      <c r="O76" s="265"/>
      <c r="P76" s="133">
        <f>IF(COUNT(N76,O76)=0,"",SUM(N76,O76))</f>
      </c>
      <c r="U76" s="133">
        <f>IF(OR(A76="Автомат",A76="Дифавтомат"),I76&amp;" С"&amp;J76&amp;"А"&amp;IF(K76="да"," 30мА",""),"")</f>
      </c>
      <c r="V76" s="133">
        <f>IF(U76="","",B76&amp;"|"&amp;U76)</f>
      </c>
      <c r="W76" s="133">
        <f>IF(AND(U76&lt;&gt;"",OR($S$4="(все)",B76=$S$4),IF($S$4="(все)",COUNTIF($U$4:U76,U76),COUNTIFS($U$4:U76,U76,$B$4:B76,B76))=1),MAX($W$3:W75)+1,"")</f>
      </c>
      <c r="X76" s="133">
        <f>IFERROR(INDEX($U$4:$U$500,MATCH(ROW()-3,$W$4:$W$500,0)),"")</f>
      </c>
      <c r="Y76" s="133">
        <f>IF(AND(A76="Аппарат",C76&lt;&gt;"",OR($S$5="(все)",B76=$S$5)),MAX($Y$3:Y75)+1,"")</f>
      </c>
      <c r="Z76" s="133">
        <f>IFERROR(INDEX($C$4:$C$500,MATCH(ROW()-3,$Y$4:$Y$500,0)),"")</f>
      </c>
      <c r="AA76" s="133">
        <f>IF(AND(A76="Модуль",C76&lt;&gt;"",OR($S$6="(все)",B76=$S$6)),MAX($AA$3:AA75)+1,"")</f>
      </c>
      <c r="AB76" s="133">
        <f>IFERROR(INDEX($C$4:$C$500,MATCH(ROW()-3,$AA$4:$AA$500,0)),"")</f>
      </c>
      <c r="AC76" s="133">
        <f>IF(OR(B76="",COUNTIF($B$4:B76,B76)&gt;1),"",MAX($AC$3:AC75)+1)</f>
      </c>
      <c r="AD76" s="133">
        <f>IFERROR(INDEX($B$4:$B$500,MATCH(ROW()-3,$AC$4:$AC$500,0)),"")</f>
      </c>
      <c r="AE76" s="133">
        <f>IF(AND(A76&lt;&gt;"",N(P76)&gt;0),IFERROR(MATCH(A76,$R$12:$R$25,0),99)*1000+ROW(),"")</f>
      </c>
      <c r="AF76" s="133">
        <f>IF(AE76="","",COUNTIF($AE$4:$AE$500,"&lt;="&amp;AE76))</f>
      </c>
    </row>
    <row r="77">
      <c r="A77" s="265" t="inlineStr">
        <is>
          <t xml:space="preserve">Провод</t>
        </is>
      </c>
      <c r="B77" s="265" t="inlineStr">
        <is>
          <t xml:space="preserve">РЭК</t>
        </is>
      </c>
      <c r="C77" s="265" t="inlineStr">
        <is>
          <t xml:space="preserve">ПуГВ 2.5</t>
        </is>
      </c>
      <c r="D77" s="265"/>
      <c r="E77" s="265"/>
      <c r="F77" s="265"/>
      <c r="G77" s="265" t="inlineStr">
        <is>
          <t xml:space="preserve">Провод ПуГВ 2,5 кв. мм Ж/З, многопроволочный </t>
        </is>
      </c>
      <c r="H77" s="265" t="inlineStr">
        <is>
          <t xml:space="preserve">ПуГВ 2.5</t>
        </is>
      </c>
      <c r="I77" s="265"/>
      <c r="J77" s="265"/>
      <c r="K77" s="265"/>
      <c r="L77" s="265"/>
      <c r="M77" s="265" t="inlineStr">
        <is>
          <t xml:space="preserve">м.</t>
        </is>
      </c>
      <c r="N77" s="133">
        <f>IF(OR(A77="Автомат",A77="Дифавтомат"),IF(W77="","",COUNTIF(Однолинейка!$H$3:$H$1000,U77)),IF(A77="Аппарат",IF(C77="","",COUNTIF(Однолинейка!$I$3:$I$1000,C77)+COUNTIF(Однолинейка!$J$3:$J$1000,C77)+COUNTIF(Однолинейка!$K$3:$K$1000,C77)),IF(A77="Модуль",IF(C77="","",COUNTIFS(Однолинейка!$AW$3:$AW$1000,"?*",Однолинейка!$AI$3:$AI$1000,C77)),IF(A77="Клемма",IF(C77="","",IF(C77=$S$7,SUM(Однолинейка!$BW$3:$BW$1000),IF(C77=$S$8,SUM(Однолинейка!$BX$3:$BX$1000),""))),""))))</f>
      </c>
      <c r="O77" s="265"/>
      <c r="P77" s="133">
        <f>IF(COUNT(N77,O77)=0,"",SUM(N77,O77))</f>
      </c>
      <c r="U77" s="133">
        <f>IF(OR(A77="Автомат",A77="Дифавтомат"),I77&amp;" С"&amp;J77&amp;"А"&amp;IF(K77="да"," 30мА",""),"")</f>
      </c>
      <c r="V77" s="133">
        <f>IF(U77="","",B77&amp;"|"&amp;U77)</f>
      </c>
      <c r="W77" s="133">
        <f>IF(AND(U77&lt;&gt;"",OR($S$4="(все)",B77=$S$4),IF($S$4="(все)",COUNTIF($U$4:U77,U77),COUNTIFS($U$4:U77,U77,$B$4:B77,B77))=1),MAX($W$3:W76)+1,"")</f>
      </c>
      <c r="X77" s="133">
        <f>IFERROR(INDEX($U$4:$U$500,MATCH(ROW()-3,$W$4:$W$500,0)),"")</f>
      </c>
      <c r="Y77" s="133">
        <f>IF(AND(A77="Аппарат",C77&lt;&gt;"",OR($S$5="(все)",B77=$S$5)),MAX($Y$3:Y76)+1,"")</f>
      </c>
      <c r="Z77" s="133">
        <f>IFERROR(INDEX($C$4:$C$500,MATCH(ROW()-3,$Y$4:$Y$500,0)),"")</f>
      </c>
      <c r="AA77" s="133">
        <f>IF(AND(A77="Модуль",C77&lt;&gt;"",OR($S$6="(все)",B77=$S$6)),MAX($AA$3:AA76)+1,"")</f>
      </c>
      <c r="AB77" s="133">
        <f>IFERROR(INDEX($C$4:$C$500,MATCH(ROW()-3,$AA$4:$AA$500,0)),"")</f>
      </c>
      <c r="AC77" s="133">
        <f>IF(OR(B77="",COUNTIF($B$4:B77,B77)&gt;1),"",MAX($AC$3:AC76)+1)</f>
      </c>
      <c r="AD77" s="133">
        <f>IFERROR(INDEX($B$4:$B$500,MATCH(ROW()-3,$AC$4:$AC$500,0)),"")</f>
      </c>
      <c r="AE77" s="133">
        <f>IF(AND(A77&lt;&gt;"",N(P77)&gt;0),IFERROR(MATCH(A77,$R$12:$R$25,0),99)*1000+ROW(),"")</f>
      </c>
      <c r="AF77" s="133">
        <f>IF(AE77="","",COUNTIF($AE$4:$AE$500,"&lt;="&amp;AE77))</f>
      </c>
    </row>
    <row r="78">
      <c r="A78" s="265" t="inlineStr">
        <is>
          <t xml:space="preserve">Провод</t>
        </is>
      </c>
      <c r="B78" s="265" t="inlineStr">
        <is>
          <t xml:space="preserve">РЭК</t>
        </is>
      </c>
      <c r="C78" s="265" t="inlineStr">
        <is>
          <t xml:space="preserve">ПуГВ 4</t>
        </is>
      </c>
      <c r="D78" s="265"/>
      <c r="E78" s="265"/>
      <c r="F78" s="265"/>
      <c r="G78" s="265" t="inlineStr">
        <is>
          <t xml:space="preserve">Провод ПуГВ 4 кв. мм красный, многопроволочный </t>
        </is>
      </c>
      <c r="H78" s="265" t="inlineStr">
        <is>
          <t xml:space="preserve">ПуГВ 4</t>
        </is>
      </c>
      <c r="I78" s="265"/>
      <c r="J78" s="265"/>
      <c r="K78" s="265"/>
      <c r="L78" s="265"/>
      <c r="M78" s="265" t="inlineStr">
        <is>
          <t xml:space="preserve">м.</t>
        </is>
      </c>
      <c r="N78" s="133">
        <f>IF(OR(A78="Автомат",A78="Дифавтомат"),IF(W78="","",COUNTIF(Однолинейка!$H$3:$H$1000,U78)),IF(A78="Аппарат",IF(C78="","",COUNTIF(Однолинейка!$I$3:$I$1000,C78)+COUNTIF(Однолинейка!$J$3:$J$1000,C78)+COUNTIF(Однолинейка!$K$3:$K$1000,C78)),IF(A78="Модуль",IF(C78="","",COUNTIFS(Однолинейка!$AW$3:$AW$1000,"?*",Однолинейка!$AI$3:$AI$1000,C78)),IF(A78="Клемма",IF(C78="","",IF(C78=$S$7,SUM(Однолинейка!$BW$3:$BW$1000),IF(C78=$S$8,SUM(Однолинейка!$BX$3:$BX$1000),""))),""))))</f>
      </c>
      <c r="O78" s="265"/>
      <c r="P78" s="133">
        <f>IF(COUNT(N78,O78)=0,"",SUM(N78,O78))</f>
      </c>
      <c r="U78" s="133">
        <f>IF(OR(A78="Автомат",A78="Дифавтомат"),I78&amp;" С"&amp;J78&amp;"А"&amp;IF(K78="да"," 30мА",""),"")</f>
      </c>
      <c r="V78" s="133">
        <f>IF(U78="","",B78&amp;"|"&amp;U78)</f>
      </c>
      <c r="W78" s="133">
        <f>IF(AND(U78&lt;&gt;"",OR($S$4="(все)",B78=$S$4),IF($S$4="(все)",COUNTIF($U$4:U78,U78),COUNTIFS($U$4:U78,U78,$B$4:B78,B78))=1),MAX($W$3:W77)+1,"")</f>
      </c>
      <c r="X78" s="133">
        <f>IFERROR(INDEX($U$4:$U$500,MATCH(ROW()-3,$W$4:$W$500,0)),"")</f>
      </c>
      <c r="Y78" s="133">
        <f>IF(AND(A78="Аппарат",C78&lt;&gt;"",OR($S$5="(все)",B78=$S$5)),MAX($Y$3:Y77)+1,"")</f>
      </c>
      <c r="Z78" s="133">
        <f>IFERROR(INDEX($C$4:$C$500,MATCH(ROW()-3,$Y$4:$Y$500,0)),"")</f>
      </c>
      <c r="AA78" s="133">
        <f>IF(AND(A78="Модуль",C78&lt;&gt;"",OR($S$6="(все)",B78=$S$6)),MAX($AA$3:AA77)+1,"")</f>
      </c>
      <c r="AB78" s="133">
        <f>IFERROR(INDEX($C$4:$C$500,MATCH(ROW()-3,$AA$4:$AA$500,0)),"")</f>
      </c>
      <c r="AC78" s="133">
        <f>IF(OR(B78="",COUNTIF($B$4:B78,B78)&gt;1),"",MAX($AC$3:AC77)+1)</f>
      </c>
      <c r="AD78" s="133">
        <f>IFERROR(INDEX($B$4:$B$500,MATCH(ROW()-3,$AC$4:$AC$500,0)),"")</f>
      </c>
      <c r="AE78" s="133">
        <f>IF(AND(A78&lt;&gt;"",N(P78)&gt;0),IFERROR(MATCH(A78,$R$12:$R$25,0),99)*1000+ROW(),"")</f>
      </c>
      <c r="AF78" s="133">
        <f>IF(AE78="","",COUNTIF($AE$4:$AE$500,"&lt;="&amp;AE78))</f>
      </c>
    </row>
    <row r="79">
      <c r="A79" s="265" t="inlineStr">
        <is>
          <t xml:space="preserve">Провод</t>
        </is>
      </c>
      <c r="B79" s="265" t="inlineStr">
        <is>
          <t xml:space="preserve">РЭК</t>
        </is>
      </c>
      <c r="C79" s="265" t="inlineStr">
        <is>
          <t xml:space="preserve">ПуГВ 4</t>
        </is>
      </c>
      <c r="D79" s="265"/>
      <c r="E79" s="265"/>
      <c r="F79" s="265"/>
      <c r="G79" s="265" t="inlineStr">
        <is>
          <t xml:space="preserve">Провод ПуГВ 4 кв. мм белый, многопроволочный</t>
        </is>
      </c>
      <c r="H79" s="265" t="inlineStr">
        <is>
          <t xml:space="preserve">ПуГВ 4</t>
        </is>
      </c>
      <c r="I79" s="265"/>
      <c r="J79" s="265"/>
      <c r="K79" s="265"/>
      <c r="L79" s="265"/>
      <c r="M79" s="265" t="inlineStr">
        <is>
          <t xml:space="preserve">м.</t>
        </is>
      </c>
      <c r="N79" s="133">
        <f>IF(OR(A79="Автомат",A79="Дифавтомат"),IF(W79="","",COUNTIF(Однолинейка!$H$3:$H$1000,U79)),IF(A79="Аппарат",IF(C79="","",COUNTIF(Однолинейка!$I$3:$I$1000,C79)+COUNTIF(Однолинейка!$J$3:$J$1000,C79)+COUNTIF(Однолинейка!$K$3:$K$1000,C79)),IF(A79="Модуль",IF(C79="","",COUNTIFS(Однолинейка!$AW$3:$AW$1000,"?*",Однолинейка!$AI$3:$AI$1000,C79)),IF(A79="Клемма",IF(C79="","",IF(C79=$S$7,SUM(Однолинейка!$BW$3:$BW$1000),IF(C79=$S$8,SUM(Однолинейка!$BX$3:$BX$1000),""))),""))))</f>
      </c>
      <c r="O79" s="265"/>
      <c r="P79" s="133">
        <f>IF(COUNT(N79,O79)=0,"",SUM(N79,O79))</f>
      </c>
      <c r="U79" s="133">
        <f>IF(OR(A79="Автомат",A79="Дифавтомат"),I79&amp;" С"&amp;J79&amp;"А"&amp;IF(K79="да"," 30мА",""),"")</f>
      </c>
      <c r="V79" s="133">
        <f>IF(U79="","",B79&amp;"|"&amp;U79)</f>
      </c>
      <c r="W79" s="133">
        <f>IF(AND(U79&lt;&gt;"",OR($S$4="(все)",B79=$S$4),IF($S$4="(все)",COUNTIF($U$4:U79,U79),COUNTIFS($U$4:U79,U79,$B$4:B79,B79))=1),MAX($W$3:W78)+1,"")</f>
      </c>
      <c r="X79" s="133">
        <f>IFERROR(INDEX($U$4:$U$500,MATCH(ROW()-3,$W$4:$W$500,0)),"")</f>
      </c>
      <c r="Y79" s="133">
        <f>IF(AND(A79="Аппарат",C79&lt;&gt;"",OR($S$5="(все)",B79=$S$5)),MAX($Y$3:Y78)+1,"")</f>
      </c>
      <c r="Z79" s="133">
        <f>IFERROR(INDEX($C$4:$C$500,MATCH(ROW()-3,$Y$4:$Y$500,0)),"")</f>
      </c>
      <c r="AA79" s="133">
        <f>IF(AND(A79="Модуль",C79&lt;&gt;"",OR($S$6="(все)",B79=$S$6)),MAX($AA$3:AA78)+1,"")</f>
      </c>
      <c r="AB79" s="133">
        <f>IFERROR(INDEX($C$4:$C$500,MATCH(ROW()-3,$AA$4:$AA$500,0)),"")</f>
      </c>
      <c r="AC79" s="133">
        <f>IF(OR(B79="",COUNTIF($B$4:B79,B79)&gt;1),"",MAX($AC$3:AC78)+1)</f>
      </c>
      <c r="AD79" s="133">
        <f>IFERROR(INDEX($B$4:$B$500,MATCH(ROW()-3,$AC$4:$AC$500,0)),"")</f>
      </c>
      <c r="AE79" s="133">
        <f>IF(AND(A79&lt;&gt;"",N(P79)&gt;0),IFERROR(MATCH(A79,$R$12:$R$25,0),99)*1000+ROW(),"")</f>
      </c>
      <c r="AF79" s="133">
        <f>IF(AE79="","",COUNTIF($AE$4:$AE$500,"&lt;="&amp;AE79))</f>
      </c>
    </row>
    <row r="80">
      <c r="A80" s="265" t="inlineStr">
        <is>
          <t xml:space="preserve">Провод</t>
        </is>
      </c>
      <c r="B80" s="265" t="inlineStr">
        <is>
          <t xml:space="preserve">РЭК</t>
        </is>
      </c>
      <c r="C80" s="265" t="inlineStr">
        <is>
          <t xml:space="preserve">ПуГВ 4</t>
        </is>
      </c>
      <c r="D80" s="265"/>
      <c r="E80" s="265"/>
      <c r="F80" s="265"/>
      <c r="G80" s="265" t="inlineStr">
        <is>
          <t xml:space="preserve">Провод ПуГВ 4 кв. мм черный, многопроволочный </t>
        </is>
      </c>
      <c r="H80" s="265" t="inlineStr">
        <is>
          <t xml:space="preserve">ПуГВ 4</t>
        </is>
      </c>
      <c r="I80" s="265"/>
      <c r="J80" s="265"/>
      <c r="K80" s="265"/>
      <c r="L80" s="265"/>
      <c r="M80" s="265" t="inlineStr">
        <is>
          <t xml:space="preserve">м.</t>
        </is>
      </c>
      <c r="N80" s="133">
        <f>IF(OR(A80="Автомат",A80="Дифавтомат"),IF(W80="","",COUNTIF(Однолинейка!$H$3:$H$1000,U80)),IF(A80="Аппарат",IF(C80="","",COUNTIF(Однолинейка!$I$3:$I$1000,C80)+COUNTIF(Однолинейка!$J$3:$J$1000,C80)+COUNTIF(Однолинейка!$K$3:$K$1000,C80)),IF(A80="Модуль",IF(C80="","",COUNTIFS(Однолинейка!$AW$3:$AW$1000,"?*",Однолинейка!$AI$3:$AI$1000,C80)),IF(A80="Клемма",IF(C80="","",IF(C80=$S$7,SUM(Однолинейка!$BW$3:$BW$1000),IF(C80=$S$8,SUM(Однолинейка!$BX$3:$BX$1000),""))),""))))</f>
      </c>
      <c r="O80" s="265"/>
      <c r="P80" s="133">
        <f>IF(COUNT(N80,O80)=0,"",SUM(N80,O80))</f>
      </c>
      <c r="U80" s="133">
        <f>IF(OR(A80="Автомат",A80="Дифавтомат"),I80&amp;" С"&amp;J80&amp;"А"&amp;IF(K80="да"," 30мА",""),"")</f>
      </c>
      <c r="V80" s="133">
        <f>IF(U80="","",B80&amp;"|"&amp;U80)</f>
      </c>
      <c r="W80" s="133">
        <f>IF(AND(U80&lt;&gt;"",OR($S$4="(все)",B80=$S$4),IF($S$4="(все)",COUNTIF($U$4:U80,U80),COUNTIFS($U$4:U80,U80,$B$4:B80,B80))=1),MAX($W$3:W79)+1,"")</f>
      </c>
      <c r="X80" s="133">
        <f>IFERROR(INDEX($U$4:$U$500,MATCH(ROW()-3,$W$4:$W$500,0)),"")</f>
      </c>
      <c r="Y80" s="133">
        <f>IF(AND(A80="Аппарат",C80&lt;&gt;"",OR($S$5="(все)",B80=$S$5)),MAX($Y$3:Y79)+1,"")</f>
      </c>
      <c r="Z80" s="133">
        <f>IFERROR(INDEX($C$4:$C$500,MATCH(ROW()-3,$Y$4:$Y$500,0)),"")</f>
      </c>
      <c r="AA80" s="133">
        <f>IF(AND(A80="Модуль",C80&lt;&gt;"",OR($S$6="(все)",B80=$S$6)),MAX($AA$3:AA79)+1,"")</f>
      </c>
      <c r="AB80" s="133">
        <f>IFERROR(INDEX($C$4:$C$500,MATCH(ROW()-3,$AA$4:$AA$500,0)),"")</f>
      </c>
      <c r="AC80" s="133">
        <f>IF(OR(B80="",COUNTIF($B$4:B80,B80)&gt;1),"",MAX($AC$3:AC79)+1)</f>
      </c>
      <c r="AD80" s="133">
        <f>IFERROR(INDEX($B$4:$B$500,MATCH(ROW()-3,$AC$4:$AC$500,0)),"")</f>
      </c>
      <c r="AE80" s="133">
        <f>IF(AND(A80&lt;&gt;"",N(P80)&gt;0),IFERROR(MATCH(A80,$R$12:$R$25,0),99)*1000+ROW(),"")</f>
      </c>
      <c r="AF80" s="133">
        <f>IF(AE80="","",COUNTIF($AE$4:$AE$500,"&lt;="&amp;AE80))</f>
      </c>
    </row>
    <row r="81">
      <c r="A81" s="265" t="inlineStr">
        <is>
          <t xml:space="preserve">Провод</t>
        </is>
      </c>
      <c r="B81" s="265" t="inlineStr">
        <is>
          <t xml:space="preserve">РЭК</t>
        </is>
      </c>
      <c r="C81" s="265" t="inlineStr">
        <is>
          <t xml:space="preserve">ПуГВ 4</t>
        </is>
      </c>
      <c r="D81" s="265"/>
      <c r="E81" s="265"/>
      <c r="F81" s="265"/>
      <c r="G81" s="265" t="inlineStr">
        <is>
          <t xml:space="preserve">Провод ПуГВ 4 кв. мм синий, многопроволочный </t>
        </is>
      </c>
      <c r="H81" s="265" t="inlineStr">
        <is>
          <t xml:space="preserve">ПуГВ 4</t>
        </is>
      </c>
      <c r="I81" s="265"/>
      <c r="J81" s="265"/>
      <c r="K81" s="265"/>
      <c r="L81" s="265"/>
      <c r="M81" s="265" t="inlineStr">
        <is>
          <t xml:space="preserve">м.</t>
        </is>
      </c>
      <c r="N81" s="133">
        <f>IF(OR(A81="Автомат",A81="Дифавтомат"),IF(W81="","",COUNTIF(Однолинейка!$H$3:$H$1000,U81)),IF(A81="Аппарат",IF(C81="","",COUNTIF(Однолинейка!$I$3:$I$1000,C81)+COUNTIF(Однолинейка!$J$3:$J$1000,C81)+COUNTIF(Однолинейка!$K$3:$K$1000,C81)),IF(A81="Модуль",IF(C81="","",COUNTIFS(Однолинейка!$AW$3:$AW$1000,"?*",Однолинейка!$AI$3:$AI$1000,C81)),IF(A81="Клемма",IF(C81="","",IF(C81=$S$7,SUM(Однолинейка!$BW$3:$BW$1000),IF(C81=$S$8,SUM(Однолинейка!$BX$3:$BX$1000),""))),""))))</f>
      </c>
      <c r="O81" s="265"/>
      <c r="P81" s="133">
        <f>IF(COUNT(N81,O81)=0,"",SUM(N81,O81))</f>
      </c>
      <c r="U81" s="133">
        <f>IF(OR(A81="Автомат",A81="Дифавтомат"),I81&amp;" С"&amp;J81&amp;"А"&amp;IF(K81="да"," 30мА",""),"")</f>
      </c>
      <c r="V81" s="133">
        <f>IF(U81="","",B81&amp;"|"&amp;U81)</f>
      </c>
      <c r="W81" s="133">
        <f>IF(AND(U81&lt;&gt;"",OR($S$4="(все)",B81=$S$4),IF($S$4="(все)",COUNTIF($U$4:U81,U81),COUNTIFS($U$4:U81,U81,$B$4:B81,B81))=1),MAX($W$3:W80)+1,"")</f>
      </c>
      <c r="X81" s="133">
        <f>IFERROR(INDEX($U$4:$U$500,MATCH(ROW()-3,$W$4:$W$500,0)),"")</f>
      </c>
      <c r="Y81" s="133">
        <f>IF(AND(A81="Аппарат",C81&lt;&gt;"",OR($S$5="(все)",B81=$S$5)),MAX($Y$3:Y80)+1,"")</f>
      </c>
      <c r="Z81" s="133">
        <f>IFERROR(INDEX($C$4:$C$500,MATCH(ROW()-3,$Y$4:$Y$500,0)),"")</f>
      </c>
      <c r="AA81" s="133">
        <f>IF(AND(A81="Модуль",C81&lt;&gt;"",OR($S$6="(все)",B81=$S$6)),MAX($AA$3:AA80)+1,"")</f>
      </c>
      <c r="AB81" s="133">
        <f>IFERROR(INDEX($C$4:$C$500,MATCH(ROW()-3,$AA$4:$AA$500,0)),"")</f>
      </c>
      <c r="AC81" s="133">
        <f>IF(OR(B81="",COUNTIF($B$4:B81,B81)&gt;1),"",MAX($AC$3:AC80)+1)</f>
      </c>
      <c r="AD81" s="133">
        <f>IFERROR(INDEX($B$4:$B$500,MATCH(ROW()-3,$AC$4:$AC$500,0)),"")</f>
      </c>
      <c r="AE81" s="133">
        <f>IF(AND(A81&lt;&gt;"",N(P81)&gt;0),IFERROR(MATCH(A81,$R$12:$R$25,0),99)*1000+ROW(),"")</f>
      </c>
      <c r="AF81" s="133">
        <f>IF(AE81="","",COUNTIF($AE$4:$AE$500,"&lt;="&amp;AE81))</f>
      </c>
    </row>
    <row r="82">
      <c r="A82" s="265" t="inlineStr">
        <is>
          <t xml:space="preserve">Провод</t>
        </is>
      </c>
      <c r="B82" s="265" t="inlineStr">
        <is>
          <t xml:space="preserve">РЭК</t>
        </is>
      </c>
      <c r="C82" s="265" t="inlineStr">
        <is>
          <t xml:space="preserve">ПуГВ 4</t>
        </is>
      </c>
      <c r="D82" s="265"/>
      <c r="E82" s="265"/>
      <c r="F82" s="265"/>
      <c r="G82" s="265" t="inlineStr">
        <is>
          <t xml:space="preserve">Провод ПуГВ 4 кв. мм Ж/З, многопроволочный </t>
        </is>
      </c>
      <c r="H82" s="265" t="inlineStr">
        <is>
          <t xml:space="preserve">ПуГВ 4</t>
        </is>
      </c>
      <c r="I82" s="265"/>
      <c r="J82" s="265"/>
      <c r="K82" s="265"/>
      <c r="L82" s="265"/>
      <c r="M82" s="265" t="inlineStr">
        <is>
          <t xml:space="preserve">м.</t>
        </is>
      </c>
      <c r="N82" s="133">
        <f>IF(OR(A82="Автомат",A82="Дифавтомат"),IF(W82="","",COUNTIF(Однолинейка!$H$3:$H$1000,U82)),IF(A82="Аппарат",IF(C82="","",COUNTIF(Однолинейка!$I$3:$I$1000,C82)+COUNTIF(Однолинейка!$J$3:$J$1000,C82)+COUNTIF(Однолинейка!$K$3:$K$1000,C82)),IF(A82="Модуль",IF(C82="","",COUNTIFS(Однолинейка!$AW$3:$AW$1000,"?*",Однолинейка!$AI$3:$AI$1000,C82)),IF(A82="Клемма",IF(C82="","",IF(C82=$S$7,SUM(Однолинейка!$BW$3:$BW$1000),IF(C82=$S$8,SUM(Однолинейка!$BX$3:$BX$1000),""))),""))))</f>
      </c>
      <c r="O82" s="265"/>
      <c r="P82" s="133">
        <f>IF(COUNT(N82,O82)=0,"",SUM(N82,O82))</f>
      </c>
      <c r="U82" s="133">
        <f>IF(OR(A82="Автомат",A82="Дифавтомат"),I82&amp;" С"&amp;J82&amp;"А"&amp;IF(K82="да"," 30мА",""),"")</f>
      </c>
      <c r="V82" s="133">
        <f>IF(U82="","",B82&amp;"|"&amp;U82)</f>
      </c>
      <c r="W82" s="133">
        <f>IF(AND(U82&lt;&gt;"",OR($S$4="(все)",B82=$S$4),IF($S$4="(все)",COUNTIF($U$4:U82,U82),COUNTIFS($U$4:U82,U82,$B$4:B82,B82))=1),MAX($W$3:W81)+1,"")</f>
      </c>
      <c r="X82" s="133">
        <f>IFERROR(INDEX($U$4:$U$500,MATCH(ROW()-3,$W$4:$W$500,0)),"")</f>
      </c>
      <c r="Y82" s="133">
        <f>IF(AND(A82="Аппарат",C82&lt;&gt;"",OR($S$5="(все)",B82=$S$5)),MAX($Y$3:Y81)+1,"")</f>
      </c>
      <c r="Z82" s="133">
        <f>IFERROR(INDEX($C$4:$C$500,MATCH(ROW()-3,$Y$4:$Y$500,0)),"")</f>
      </c>
      <c r="AA82" s="133">
        <f>IF(AND(A82="Модуль",C82&lt;&gt;"",OR($S$6="(все)",B82=$S$6)),MAX($AA$3:AA81)+1,"")</f>
      </c>
      <c r="AB82" s="133">
        <f>IFERROR(INDEX($C$4:$C$500,MATCH(ROW()-3,$AA$4:$AA$500,0)),"")</f>
      </c>
      <c r="AC82" s="133">
        <f>IF(OR(B82="",COUNTIF($B$4:B82,B82)&gt;1),"",MAX($AC$3:AC81)+1)</f>
      </c>
      <c r="AD82" s="133">
        <f>IFERROR(INDEX($B$4:$B$500,MATCH(ROW()-3,$AC$4:$AC$500,0)),"")</f>
      </c>
      <c r="AE82" s="133">
        <f>IF(AND(A82&lt;&gt;"",N(P82)&gt;0),IFERROR(MATCH(A82,$R$12:$R$25,0),99)*1000+ROW(),"")</f>
      </c>
      <c r="AF82" s="133">
        <f>IF(AE82="","",COUNTIF($AE$4:$AE$500,"&lt;="&amp;AE82))</f>
      </c>
    </row>
    <row r="83">
      <c r="A83" s="265" t="inlineStr">
        <is>
          <t xml:space="preserve">Провод</t>
        </is>
      </c>
      <c r="B83" s="265" t="inlineStr">
        <is>
          <t xml:space="preserve">РЭК</t>
        </is>
      </c>
      <c r="C83" s="265" t="inlineStr">
        <is>
          <t xml:space="preserve">ПуГВ 16</t>
        </is>
      </c>
      <c r="D83" s="265"/>
      <c r="E83" s="265"/>
      <c r="F83" s="265"/>
      <c r="G83" s="265" t="inlineStr">
        <is>
          <t xml:space="preserve">Провод ПуГВ 16 кв. мм красный, многопроволочный </t>
        </is>
      </c>
      <c r="H83" s="265" t="inlineStr">
        <is>
          <t xml:space="preserve">ПуГВ 16</t>
        </is>
      </c>
      <c r="I83" s="265"/>
      <c r="J83" s="265"/>
      <c r="K83" s="265"/>
      <c r="L83" s="265"/>
      <c r="M83" s="265" t="inlineStr">
        <is>
          <t xml:space="preserve">м.</t>
        </is>
      </c>
      <c r="N83" s="133">
        <f>IF(OR(A83="Автомат",A83="Дифавтомат"),IF(W83="","",COUNTIF(Однолинейка!$H$3:$H$1000,U83)),IF(A83="Аппарат",IF(C83="","",COUNTIF(Однолинейка!$I$3:$I$1000,C83)+COUNTIF(Однолинейка!$J$3:$J$1000,C83)+COUNTIF(Однолинейка!$K$3:$K$1000,C83)),IF(A83="Модуль",IF(C83="","",COUNTIFS(Однолинейка!$AW$3:$AW$1000,"?*",Однолинейка!$AI$3:$AI$1000,C83)),IF(A83="Клемма",IF(C83="","",IF(C83=$S$7,SUM(Однолинейка!$BW$3:$BW$1000),IF(C83=$S$8,SUM(Однолинейка!$BX$3:$BX$1000),""))),""))))</f>
      </c>
      <c r="O83" s="265"/>
      <c r="P83" s="133">
        <f>IF(COUNT(N83,O83)=0,"",SUM(N83,O83))</f>
      </c>
      <c r="U83" s="133">
        <f>IF(OR(A83="Автомат",A83="Дифавтомат"),I83&amp;" С"&amp;J83&amp;"А"&amp;IF(K83="да"," 30мА",""),"")</f>
      </c>
      <c r="V83" s="133">
        <f>IF(U83="","",B83&amp;"|"&amp;U83)</f>
      </c>
      <c r="W83" s="133">
        <f>IF(AND(U83&lt;&gt;"",OR($S$4="(все)",B83=$S$4),IF($S$4="(все)",COUNTIF($U$4:U83,U83),COUNTIFS($U$4:U83,U83,$B$4:B83,B83))=1),MAX($W$3:W82)+1,"")</f>
      </c>
      <c r="X83" s="133">
        <f>IFERROR(INDEX($U$4:$U$500,MATCH(ROW()-3,$W$4:$W$500,0)),"")</f>
      </c>
      <c r="Y83" s="133">
        <f>IF(AND(A83="Аппарат",C83&lt;&gt;"",OR($S$5="(все)",B83=$S$5)),MAX($Y$3:Y82)+1,"")</f>
      </c>
      <c r="Z83" s="133">
        <f>IFERROR(INDEX($C$4:$C$500,MATCH(ROW()-3,$Y$4:$Y$500,0)),"")</f>
      </c>
      <c r="AA83" s="133">
        <f>IF(AND(A83="Модуль",C83&lt;&gt;"",OR($S$6="(все)",B83=$S$6)),MAX($AA$3:AA82)+1,"")</f>
      </c>
      <c r="AB83" s="133">
        <f>IFERROR(INDEX($C$4:$C$500,MATCH(ROW()-3,$AA$4:$AA$500,0)),"")</f>
      </c>
      <c r="AC83" s="133">
        <f>IF(OR(B83="",COUNTIF($B$4:B83,B83)&gt;1),"",MAX($AC$3:AC82)+1)</f>
      </c>
      <c r="AD83" s="133">
        <f>IFERROR(INDEX($B$4:$B$500,MATCH(ROW()-3,$AC$4:$AC$500,0)),"")</f>
      </c>
      <c r="AE83" s="133">
        <f>IF(AND(A83&lt;&gt;"",N(P83)&gt;0),IFERROR(MATCH(A83,$R$12:$R$25,0),99)*1000+ROW(),"")</f>
      </c>
      <c r="AF83" s="133">
        <f>IF(AE83="","",COUNTIF($AE$4:$AE$500,"&lt;="&amp;AE83))</f>
      </c>
    </row>
    <row r="84">
      <c r="A84" s="265" t="inlineStr">
        <is>
          <t xml:space="preserve">Провод</t>
        </is>
      </c>
      <c r="B84" s="265" t="inlineStr">
        <is>
          <t xml:space="preserve">РЭК</t>
        </is>
      </c>
      <c r="C84" s="265" t="inlineStr">
        <is>
          <t xml:space="preserve">ПуГВ 16</t>
        </is>
      </c>
      <c r="D84" s="265"/>
      <c r="E84" s="265"/>
      <c r="F84" s="265"/>
      <c r="G84" s="265" t="inlineStr">
        <is>
          <t xml:space="preserve">Провод ПуГВ 16 кв. мм белый, многопроволочный</t>
        </is>
      </c>
      <c r="H84" s="265" t="inlineStr">
        <is>
          <t xml:space="preserve">ПуГВ 16</t>
        </is>
      </c>
      <c r="I84" s="265"/>
      <c r="J84" s="265"/>
      <c r="K84" s="265"/>
      <c r="L84" s="265"/>
      <c r="M84" s="265" t="inlineStr">
        <is>
          <t xml:space="preserve">м.</t>
        </is>
      </c>
      <c r="N84" s="133">
        <f>IF(OR(A84="Автомат",A84="Дифавтомат"),IF(W84="","",COUNTIF(Однолинейка!$H$3:$H$1000,U84)),IF(A84="Аппарат",IF(C84="","",COUNTIF(Однолинейка!$I$3:$I$1000,C84)+COUNTIF(Однолинейка!$J$3:$J$1000,C84)+COUNTIF(Однолинейка!$K$3:$K$1000,C84)),IF(A84="Модуль",IF(C84="","",COUNTIFS(Однолинейка!$AW$3:$AW$1000,"?*",Однолинейка!$AI$3:$AI$1000,C84)),IF(A84="Клемма",IF(C84="","",IF(C84=$S$7,SUM(Однолинейка!$BW$3:$BW$1000),IF(C84=$S$8,SUM(Однолинейка!$BX$3:$BX$1000),""))),""))))</f>
      </c>
      <c r="O84" s="265"/>
      <c r="P84" s="133">
        <f>IF(COUNT(N84,O84)=0,"",SUM(N84,O84))</f>
      </c>
      <c r="U84" s="133">
        <f>IF(OR(A84="Автомат",A84="Дифавтомат"),I84&amp;" С"&amp;J84&amp;"А"&amp;IF(K84="да"," 30мА",""),"")</f>
      </c>
      <c r="V84" s="133">
        <f>IF(U84="","",B84&amp;"|"&amp;U84)</f>
      </c>
      <c r="W84" s="133">
        <f>IF(AND(U84&lt;&gt;"",OR($S$4="(все)",B84=$S$4),IF($S$4="(все)",COUNTIF($U$4:U84,U84),COUNTIFS($U$4:U84,U84,$B$4:B84,B84))=1),MAX($W$3:W83)+1,"")</f>
      </c>
      <c r="X84" s="133">
        <f>IFERROR(INDEX($U$4:$U$500,MATCH(ROW()-3,$W$4:$W$500,0)),"")</f>
      </c>
      <c r="Y84" s="133">
        <f>IF(AND(A84="Аппарат",C84&lt;&gt;"",OR($S$5="(все)",B84=$S$5)),MAX($Y$3:Y83)+1,"")</f>
      </c>
      <c r="Z84" s="133">
        <f>IFERROR(INDEX($C$4:$C$500,MATCH(ROW()-3,$Y$4:$Y$500,0)),"")</f>
      </c>
      <c r="AA84" s="133">
        <f>IF(AND(A84="Модуль",C84&lt;&gt;"",OR($S$6="(все)",B84=$S$6)),MAX($AA$3:AA83)+1,"")</f>
      </c>
      <c r="AB84" s="133">
        <f>IFERROR(INDEX($C$4:$C$500,MATCH(ROW()-3,$AA$4:$AA$500,0)),"")</f>
      </c>
      <c r="AC84" s="133">
        <f>IF(OR(B84="",COUNTIF($B$4:B84,B84)&gt;1),"",MAX($AC$3:AC83)+1)</f>
      </c>
      <c r="AD84" s="133">
        <f>IFERROR(INDEX($B$4:$B$500,MATCH(ROW()-3,$AC$4:$AC$500,0)),"")</f>
      </c>
      <c r="AE84" s="133">
        <f>IF(AND(A84&lt;&gt;"",N(P84)&gt;0),IFERROR(MATCH(A84,$R$12:$R$25,0),99)*1000+ROW(),"")</f>
      </c>
      <c r="AF84" s="133">
        <f>IF(AE84="","",COUNTIF($AE$4:$AE$500,"&lt;="&amp;AE84))</f>
      </c>
    </row>
    <row r="85">
      <c r="A85" s="265" t="inlineStr">
        <is>
          <t xml:space="preserve">Провод</t>
        </is>
      </c>
      <c r="B85" s="265" t="inlineStr">
        <is>
          <t xml:space="preserve">РЭК</t>
        </is>
      </c>
      <c r="C85" s="265" t="inlineStr">
        <is>
          <t xml:space="preserve">ПуГВ 16</t>
        </is>
      </c>
      <c r="D85" s="265"/>
      <c r="E85" s="265"/>
      <c r="F85" s="265"/>
      <c r="G85" s="265" t="inlineStr">
        <is>
          <t xml:space="preserve">Провод ПуГВ 16 кв. мм черный, многопроволочный </t>
        </is>
      </c>
      <c r="H85" s="265" t="inlineStr">
        <is>
          <t xml:space="preserve">ПуГВ 16</t>
        </is>
      </c>
      <c r="I85" s="265"/>
      <c r="J85" s="265"/>
      <c r="K85" s="265"/>
      <c r="L85" s="265"/>
      <c r="M85" s="265" t="inlineStr">
        <is>
          <t xml:space="preserve">м.</t>
        </is>
      </c>
      <c r="N85" s="133">
        <f>IF(OR(A85="Автомат",A85="Дифавтомат"),IF(W85="","",COUNTIF(Однолинейка!$H$3:$H$1000,U85)),IF(A85="Аппарат",IF(C85="","",COUNTIF(Однолинейка!$I$3:$I$1000,C85)+COUNTIF(Однолинейка!$J$3:$J$1000,C85)+COUNTIF(Однолинейка!$K$3:$K$1000,C85)),IF(A85="Модуль",IF(C85="","",COUNTIFS(Однолинейка!$AW$3:$AW$1000,"?*",Однолинейка!$AI$3:$AI$1000,C85)),IF(A85="Клемма",IF(C85="","",IF(C85=$S$7,SUM(Однолинейка!$BW$3:$BW$1000),IF(C85=$S$8,SUM(Однолинейка!$BX$3:$BX$1000),""))),""))))</f>
      </c>
      <c r="O85" s="265"/>
      <c r="P85" s="133">
        <f>IF(COUNT(N85,O85)=0,"",SUM(N85,O85))</f>
      </c>
      <c r="U85" s="133">
        <f>IF(OR(A85="Автомат",A85="Дифавтомат"),I85&amp;" С"&amp;J85&amp;"А"&amp;IF(K85="да"," 30мА",""),"")</f>
      </c>
      <c r="V85" s="133">
        <f>IF(U85="","",B85&amp;"|"&amp;U85)</f>
      </c>
      <c r="W85" s="133">
        <f>IF(AND(U85&lt;&gt;"",OR($S$4="(все)",B85=$S$4),IF($S$4="(все)",COUNTIF($U$4:U85,U85),COUNTIFS($U$4:U85,U85,$B$4:B85,B85))=1),MAX($W$3:W84)+1,"")</f>
      </c>
      <c r="X85" s="133">
        <f>IFERROR(INDEX($U$4:$U$500,MATCH(ROW()-3,$W$4:$W$500,0)),"")</f>
      </c>
      <c r="Y85" s="133">
        <f>IF(AND(A85="Аппарат",C85&lt;&gt;"",OR($S$5="(все)",B85=$S$5)),MAX($Y$3:Y84)+1,"")</f>
      </c>
      <c r="Z85" s="133">
        <f>IFERROR(INDEX($C$4:$C$500,MATCH(ROW()-3,$Y$4:$Y$500,0)),"")</f>
      </c>
      <c r="AA85" s="133">
        <f>IF(AND(A85="Модуль",C85&lt;&gt;"",OR($S$6="(все)",B85=$S$6)),MAX($AA$3:AA84)+1,"")</f>
      </c>
      <c r="AB85" s="133">
        <f>IFERROR(INDEX($C$4:$C$500,MATCH(ROW()-3,$AA$4:$AA$500,0)),"")</f>
      </c>
      <c r="AC85" s="133">
        <f>IF(OR(B85="",COUNTIF($B$4:B85,B85)&gt;1),"",MAX($AC$3:AC84)+1)</f>
      </c>
      <c r="AD85" s="133">
        <f>IFERROR(INDEX($B$4:$B$500,MATCH(ROW()-3,$AC$4:$AC$500,0)),"")</f>
      </c>
      <c r="AE85" s="133">
        <f>IF(AND(A85&lt;&gt;"",N(P85)&gt;0),IFERROR(MATCH(A85,$R$12:$R$25,0),99)*1000+ROW(),"")</f>
      </c>
      <c r="AF85" s="133">
        <f>IF(AE85="","",COUNTIF($AE$4:$AE$500,"&lt;="&amp;AE85))</f>
      </c>
    </row>
    <row r="86">
      <c r="A86" s="265" t="inlineStr">
        <is>
          <t xml:space="preserve">Провод</t>
        </is>
      </c>
      <c r="B86" s="265" t="inlineStr">
        <is>
          <t xml:space="preserve">РЭК</t>
        </is>
      </c>
      <c r="C86" s="265" t="inlineStr">
        <is>
          <t xml:space="preserve">ПуГВ 16</t>
        </is>
      </c>
      <c r="D86" s="265"/>
      <c r="E86" s="265"/>
      <c r="F86" s="265"/>
      <c r="G86" s="265" t="inlineStr">
        <is>
          <t xml:space="preserve">Провод ПуГВ 16 кв. мм синий, многопроволочный </t>
        </is>
      </c>
      <c r="H86" s="265" t="inlineStr">
        <is>
          <t xml:space="preserve">ПуГВ 16</t>
        </is>
      </c>
      <c r="I86" s="265"/>
      <c r="J86" s="265"/>
      <c r="K86" s="265"/>
      <c r="L86" s="265"/>
      <c r="M86" s="265" t="inlineStr">
        <is>
          <t xml:space="preserve">м.</t>
        </is>
      </c>
      <c r="N86" s="133">
        <f>IF(OR(A86="Автомат",A86="Дифавтомат"),IF(W86="","",COUNTIF(Однолинейка!$H$3:$H$1000,U86)),IF(A86="Аппарат",IF(C86="","",COUNTIF(Однолинейка!$I$3:$I$1000,C86)+COUNTIF(Однолинейка!$J$3:$J$1000,C86)+COUNTIF(Однолинейка!$K$3:$K$1000,C86)),IF(A86="Модуль",IF(C86="","",COUNTIFS(Однолинейка!$AW$3:$AW$1000,"?*",Однолинейка!$AI$3:$AI$1000,C86)),IF(A86="Клемма",IF(C86="","",IF(C86=$S$7,SUM(Однолинейка!$BW$3:$BW$1000),IF(C86=$S$8,SUM(Однолинейка!$BX$3:$BX$1000),""))),""))))</f>
      </c>
      <c r="O86" s="265"/>
      <c r="P86" s="133">
        <f>IF(COUNT(N86,O86)=0,"",SUM(N86,O86))</f>
      </c>
      <c r="U86" s="133">
        <f>IF(OR(A86="Автомат",A86="Дифавтомат"),I86&amp;" С"&amp;J86&amp;"А"&amp;IF(K86="да"," 30мА",""),"")</f>
      </c>
      <c r="V86" s="133">
        <f>IF(U86="","",B86&amp;"|"&amp;U86)</f>
      </c>
      <c r="W86" s="133">
        <f>IF(AND(U86&lt;&gt;"",OR($S$4="(все)",B86=$S$4),IF($S$4="(все)",COUNTIF($U$4:U86,U86),COUNTIFS($U$4:U86,U86,$B$4:B86,B86))=1),MAX($W$3:W85)+1,"")</f>
      </c>
      <c r="X86" s="133">
        <f>IFERROR(INDEX($U$4:$U$500,MATCH(ROW()-3,$W$4:$W$500,0)),"")</f>
      </c>
      <c r="Y86" s="133">
        <f>IF(AND(A86="Аппарат",C86&lt;&gt;"",OR($S$5="(все)",B86=$S$5)),MAX($Y$3:Y85)+1,"")</f>
      </c>
      <c r="Z86" s="133">
        <f>IFERROR(INDEX($C$4:$C$500,MATCH(ROW()-3,$Y$4:$Y$500,0)),"")</f>
      </c>
      <c r="AA86" s="133">
        <f>IF(AND(A86="Модуль",C86&lt;&gt;"",OR($S$6="(все)",B86=$S$6)),MAX($AA$3:AA85)+1,"")</f>
      </c>
      <c r="AB86" s="133">
        <f>IFERROR(INDEX($C$4:$C$500,MATCH(ROW()-3,$AA$4:$AA$500,0)),"")</f>
      </c>
      <c r="AC86" s="133">
        <f>IF(OR(B86="",COUNTIF($B$4:B86,B86)&gt;1),"",MAX($AC$3:AC85)+1)</f>
      </c>
      <c r="AD86" s="133">
        <f>IFERROR(INDEX($B$4:$B$500,MATCH(ROW()-3,$AC$4:$AC$500,0)),"")</f>
      </c>
      <c r="AE86" s="133">
        <f>IF(AND(A86&lt;&gt;"",N(P86)&gt;0),IFERROR(MATCH(A86,$R$12:$R$25,0),99)*1000+ROW(),"")</f>
      </c>
      <c r="AF86" s="133">
        <f>IF(AE86="","",COUNTIF($AE$4:$AE$500,"&lt;="&amp;AE86))</f>
      </c>
    </row>
    <row r="87">
      <c r="A87" s="265" t="inlineStr">
        <is>
          <t xml:space="preserve">Провод</t>
        </is>
      </c>
      <c r="B87" s="265" t="inlineStr">
        <is>
          <t xml:space="preserve">РЭК</t>
        </is>
      </c>
      <c r="C87" s="265" t="inlineStr">
        <is>
          <t xml:space="preserve">ПуГВ 16</t>
        </is>
      </c>
      <c r="D87" s="265"/>
      <c r="E87" s="265"/>
      <c r="F87" s="265"/>
      <c r="G87" s="265" t="inlineStr">
        <is>
          <t xml:space="preserve">Провод ПуГВ 16 кв. мм Ж/З, многопроволочный </t>
        </is>
      </c>
      <c r="H87" s="265" t="inlineStr">
        <is>
          <t xml:space="preserve">ПуГВ 16</t>
        </is>
      </c>
      <c r="I87" s="265"/>
      <c r="J87" s="265"/>
      <c r="K87" s="265"/>
      <c r="L87" s="265"/>
      <c r="M87" s="265" t="inlineStr">
        <is>
          <t xml:space="preserve">м.</t>
        </is>
      </c>
      <c r="N87" s="133">
        <f>IF(OR(A87="Автомат",A87="Дифавтомат"),IF(W87="","",COUNTIF(Однолинейка!$H$3:$H$1000,U87)),IF(A87="Аппарат",IF(C87="","",COUNTIF(Однолинейка!$I$3:$I$1000,C87)+COUNTIF(Однолинейка!$J$3:$J$1000,C87)+COUNTIF(Однолинейка!$K$3:$K$1000,C87)),IF(A87="Модуль",IF(C87="","",COUNTIFS(Однолинейка!$AW$3:$AW$1000,"?*",Однолинейка!$AI$3:$AI$1000,C87)),IF(A87="Клемма",IF(C87="","",IF(C87=$S$7,SUM(Однолинейка!$BW$3:$BW$1000),IF(C87=$S$8,SUM(Однолинейка!$BX$3:$BX$1000),""))),""))))</f>
      </c>
      <c r="O87" s="265"/>
      <c r="P87" s="133">
        <f>IF(COUNT(N87,O87)=0,"",SUM(N87,O87))</f>
      </c>
      <c r="U87" s="133">
        <f>IF(OR(A87="Автомат",A87="Дифавтомат"),I87&amp;" С"&amp;J87&amp;"А"&amp;IF(K87="да"," 30мА",""),"")</f>
      </c>
      <c r="V87" s="133">
        <f>IF(U87="","",B87&amp;"|"&amp;U87)</f>
      </c>
      <c r="W87" s="133">
        <f>IF(AND(U87&lt;&gt;"",OR($S$4="(все)",B87=$S$4),IF($S$4="(все)",COUNTIF($U$4:U87,U87),COUNTIFS($U$4:U87,U87,$B$4:B87,B87))=1),MAX($W$3:W86)+1,"")</f>
      </c>
      <c r="X87" s="133">
        <f>IFERROR(INDEX($U$4:$U$500,MATCH(ROW()-3,$W$4:$W$500,0)),"")</f>
      </c>
      <c r="Y87" s="133">
        <f>IF(AND(A87="Аппарат",C87&lt;&gt;"",OR($S$5="(все)",B87=$S$5)),MAX($Y$3:Y86)+1,"")</f>
      </c>
      <c r="Z87" s="133">
        <f>IFERROR(INDEX($C$4:$C$500,MATCH(ROW()-3,$Y$4:$Y$500,0)),"")</f>
      </c>
      <c r="AA87" s="133">
        <f>IF(AND(A87="Модуль",C87&lt;&gt;"",OR($S$6="(все)",B87=$S$6)),MAX($AA$3:AA86)+1,"")</f>
      </c>
      <c r="AB87" s="133">
        <f>IFERROR(INDEX($C$4:$C$500,MATCH(ROW()-3,$AA$4:$AA$500,0)),"")</f>
      </c>
      <c r="AC87" s="133">
        <f>IF(OR(B87="",COUNTIF($B$4:B87,B87)&gt;1),"",MAX($AC$3:AC86)+1)</f>
      </c>
      <c r="AD87" s="133">
        <f>IFERROR(INDEX($B$4:$B$500,MATCH(ROW()-3,$AC$4:$AC$500,0)),"")</f>
      </c>
      <c r="AE87" s="133">
        <f>IF(AND(A87&lt;&gt;"",N(P87)&gt;0),IFERROR(MATCH(A87,$R$12:$R$25,0),99)*1000+ROW(),"")</f>
      </c>
      <c r="AF87" s="133">
        <f>IF(AE87="","",COUNTIF($AE$4:$AE$500,"&lt;="&amp;AE87))</f>
      </c>
    </row>
    <row r="88">
      <c r="A88" s="265" t="inlineStr">
        <is>
          <t xml:space="preserve">Прочее</t>
        </is>
      </c>
      <c r="B88" s="265" t="inlineStr">
        <is>
          <t xml:space="preserve">КВТ</t>
        </is>
      </c>
      <c r="C88" s="265" t="inlineStr">
        <is>
          <t xml:space="preserve">79441</t>
        </is>
      </c>
      <c r="D88" s="265"/>
      <c r="E88" s="265"/>
      <c r="F88" s="265"/>
      <c r="G88" s="265" t="inlineStr">
        <is>
          <t xml:space="preserve">Наконечник НШВИ 1.5-12 (100шт)</t>
        </is>
      </c>
      <c r="H88" s="265" t="inlineStr">
        <is>
          <t xml:space="preserve">79441</t>
        </is>
      </c>
      <c r="I88" s="265"/>
      <c r="J88" s="265"/>
      <c r="K88" s="265"/>
      <c r="L88" s="265"/>
      <c r="M88" s="265" t="inlineStr">
        <is>
          <t xml:space="preserve">упак.</t>
        </is>
      </c>
      <c r="N88" s="133">
        <f>IF(OR(A88="Автомат",A88="Дифавтомат"),IF(W88="","",COUNTIF(Однолинейка!$H$3:$H$1000,U88)),IF(A88="Аппарат",IF(C88="","",COUNTIF(Однолинейка!$I$3:$I$1000,C88)+COUNTIF(Однолинейка!$J$3:$J$1000,C88)+COUNTIF(Однолинейка!$K$3:$K$1000,C88)),IF(A88="Модуль",IF(C88="","",COUNTIFS(Однолинейка!$AW$3:$AW$1000,"?*",Однолинейка!$AI$3:$AI$1000,C88)),IF(A88="Клемма",IF(C88="","",IF(C88=$S$7,SUM(Однолинейка!$BW$3:$BW$1000),IF(C88=$S$8,SUM(Однолинейка!$BX$3:$BX$1000),""))),""))))</f>
      </c>
      <c r="O88" s="265"/>
      <c r="P88" s="133">
        <f>IF(COUNT(N88,O88)=0,"",SUM(N88,O88))</f>
      </c>
      <c r="U88" s="133">
        <f>IF(OR(A88="Автомат",A88="Дифавтомат"),I88&amp;" С"&amp;J88&amp;"А"&amp;IF(K88="да"," 30мА",""),"")</f>
      </c>
      <c r="V88" s="133">
        <f>IF(U88="","",B88&amp;"|"&amp;U88)</f>
      </c>
      <c r="W88" s="133">
        <f>IF(AND(U88&lt;&gt;"",OR($S$4="(все)",B88=$S$4),IF($S$4="(все)",COUNTIF($U$4:U88,U88),COUNTIFS($U$4:U88,U88,$B$4:B88,B88))=1),MAX($W$3:W87)+1,"")</f>
      </c>
      <c r="X88" s="133">
        <f>IFERROR(INDEX($U$4:$U$500,MATCH(ROW()-3,$W$4:$W$500,0)),"")</f>
      </c>
      <c r="Y88" s="133">
        <f>IF(AND(A88="Аппарат",C88&lt;&gt;"",OR($S$5="(все)",B88=$S$5)),MAX($Y$3:Y87)+1,"")</f>
      </c>
      <c r="Z88" s="133">
        <f>IFERROR(INDEX($C$4:$C$500,MATCH(ROW()-3,$Y$4:$Y$500,0)),"")</f>
      </c>
      <c r="AA88" s="133">
        <f>IF(AND(A88="Модуль",C88&lt;&gt;"",OR($S$6="(все)",B88=$S$6)),MAX($AA$3:AA87)+1,"")</f>
      </c>
      <c r="AB88" s="133">
        <f>IFERROR(INDEX($C$4:$C$500,MATCH(ROW()-3,$AA$4:$AA$500,0)),"")</f>
      </c>
      <c r="AC88" s="133">
        <f>IF(OR(B88="",COUNTIF($B$4:B88,B88)&gt;1),"",MAX($AC$3:AC87)+1)</f>
      </c>
      <c r="AD88" s="133">
        <f>IFERROR(INDEX($B$4:$B$500,MATCH(ROW()-3,$AC$4:$AC$500,0)),"")</f>
      </c>
      <c r="AE88" s="133">
        <f>IF(AND(A88&lt;&gt;"",N(P88)&gt;0),IFERROR(MATCH(A88,$R$12:$R$25,0),99)*1000+ROW(),"")</f>
      </c>
      <c r="AF88" s="133">
        <f>IF(AE88="","",COUNTIF($AE$4:$AE$500,"&lt;="&amp;AE88))</f>
      </c>
    </row>
    <row r="89">
      <c r="A89" s="265" t="inlineStr">
        <is>
          <t xml:space="preserve">Прочее</t>
        </is>
      </c>
      <c r="B89" s="265" t="inlineStr">
        <is>
          <t xml:space="preserve">КВТ</t>
        </is>
      </c>
      <c r="C89" s="265" t="inlineStr">
        <is>
          <t xml:space="preserve">79467</t>
        </is>
      </c>
      <c r="D89" s="265"/>
      <c r="E89" s="265"/>
      <c r="F89" s="265"/>
      <c r="G89" s="265" t="inlineStr">
        <is>
          <t xml:space="preserve">Наконечник НШВИ(2) 1.5-12 (100шт)</t>
        </is>
      </c>
      <c r="H89" s="265" t="inlineStr">
        <is>
          <t xml:space="preserve">79467</t>
        </is>
      </c>
      <c r="I89" s="265"/>
      <c r="J89" s="265"/>
      <c r="K89" s="265"/>
      <c r="L89" s="265"/>
      <c r="M89" s="265" t="inlineStr">
        <is>
          <t xml:space="preserve">упак.</t>
        </is>
      </c>
      <c r="N89" s="133">
        <f>IF(OR(A89="Автомат",A89="Дифавтомат"),IF(W89="","",COUNTIF(Однолинейка!$H$3:$H$1000,U89)),IF(A89="Аппарат",IF(C89="","",COUNTIF(Однолинейка!$I$3:$I$1000,C89)+COUNTIF(Однолинейка!$J$3:$J$1000,C89)+COUNTIF(Однолинейка!$K$3:$K$1000,C89)),IF(A89="Модуль",IF(C89="","",COUNTIFS(Однолинейка!$AW$3:$AW$1000,"?*",Однолинейка!$AI$3:$AI$1000,C89)),IF(A89="Клемма",IF(C89="","",IF(C89=$S$7,SUM(Однолинейка!$BW$3:$BW$1000),IF(C89=$S$8,SUM(Однолинейка!$BX$3:$BX$1000),""))),""))))</f>
      </c>
      <c r="O89" s="265"/>
      <c r="P89" s="133">
        <f>IF(COUNT(N89,O89)=0,"",SUM(N89,O89))</f>
      </c>
      <c r="U89" s="133">
        <f>IF(OR(A89="Автомат",A89="Дифавтомат"),I89&amp;" С"&amp;J89&amp;"А"&amp;IF(K89="да"," 30мА",""),"")</f>
      </c>
      <c r="V89" s="133">
        <f>IF(U89="","",B89&amp;"|"&amp;U89)</f>
      </c>
      <c r="W89" s="133">
        <f>IF(AND(U89&lt;&gt;"",OR($S$4="(все)",B89=$S$4),IF($S$4="(все)",COUNTIF($U$4:U89,U89),COUNTIFS($U$4:U89,U89,$B$4:B89,B89))=1),MAX($W$3:W88)+1,"")</f>
      </c>
      <c r="X89" s="133">
        <f>IFERROR(INDEX($U$4:$U$500,MATCH(ROW()-3,$W$4:$W$500,0)),"")</f>
      </c>
      <c r="Y89" s="133">
        <f>IF(AND(A89="Аппарат",C89&lt;&gt;"",OR($S$5="(все)",B89=$S$5)),MAX($Y$3:Y88)+1,"")</f>
      </c>
      <c r="Z89" s="133">
        <f>IFERROR(INDEX($C$4:$C$500,MATCH(ROW()-3,$Y$4:$Y$500,0)),"")</f>
      </c>
      <c r="AA89" s="133">
        <f>IF(AND(A89="Модуль",C89&lt;&gt;"",OR($S$6="(все)",B89=$S$6)),MAX($AA$3:AA88)+1,"")</f>
      </c>
      <c r="AB89" s="133">
        <f>IFERROR(INDEX($C$4:$C$500,MATCH(ROW()-3,$AA$4:$AA$500,0)),"")</f>
      </c>
      <c r="AC89" s="133">
        <f>IF(OR(B89="",COUNTIF($B$4:B89,B89)&gt;1),"",MAX($AC$3:AC88)+1)</f>
      </c>
      <c r="AD89" s="133">
        <f>IFERROR(INDEX($B$4:$B$500,MATCH(ROW()-3,$AC$4:$AC$500,0)),"")</f>
      </c>
      <c r="AE89" s="133">
        <f>IF(AND(A89&lt;&gt;"",N(P89)&gt;0),IFERROR(MATCH(A89,$R$12:$R$25,0),99)*1000+ROW(),"")</f>
      </c>
      <c r="AF89" s="133">
        <f>IF(AE89="","",COUNTIF($AE$4:$AE$500,"&lt;="&amp;AE89))</f>
      </c>
    </row>
    <row r="90">
      <c r="A90" s="265" t="inlineStr">
        <is>
          <t xml:space="preserve">Прочее</t>
        </is>
      </c>
      <c r="B90" s="265" t="inlineStr">
        <is>
          <t xml:space="preserve">КВТ</t>
        </is>
      </c>
      <c r="C90" s="265" t="inlineStr">
        <is>
          <t xml:space="preserve">79444</t>
        </is>
      </c>
      <c r="D90" s="265"/>
      <c r="E90" s="265"/>
      <c r="F90" s="265"/>
      <c r="G90" s="265" t="inlineStr">
        <is>
          <t xml:space="preserve">Наконечник НШВИ 2.5-12 (100шт)</t>
        </is>
      </c>
      <c r="H90" s="265" t="inlineStr">
        <is>
          <t xml:space="preserve">79444</t>
        </is>
      </c>
      <c r="I90" s="265"/>
      <c r="J90" s="265"/>
      <c r="K90" s="265"/>
      <c r="L90" s="265"/>
      <c r="M90" s="265" t="inlineStr">
        <is>
          <t xml:space="preserve">упак.</t>
        </is>
      </c>
      <c r="N90" s="133">
        <f>IF(OR(A90="Автомат",A90="Дифавтомат"),IF(W90="","",COUNTIF(Однолинейка!$H$3:$H$1000,U90)),IF(A90="Аппарат",IF(C90="","",COUNTIF(Однолинейка!$I$3:$I$1000,C90)+COUNTIF(Однолинейка!$J$3:$J$1000,C90)+COUNTIF(Однолинейка!$K$3:$K$1000,C90)),IF(A90="Модуль",IF(C90="","",COUNTIFS(Однолинейка!$AW$3:$AW$1000,"?*",Однолинейка!$AI$3:$AI$1000,C90)),IF(A90="Клемма",IF(C90="","",IF(C90=$S$7,SUM(Однолинейка!$BW$3:$BW$1000),IF(C90=$S$8,SUM(Однолинейка!$BX$3:$BX$1000),""))),""))))</f>
      </c>
      <c r="O90" s="265"/>
      <c r="P90" s="133">
        <f>IF(COUNT(N90,O90)=0,"",SUM(N90,O90))</f>
      </c>
      <c r="U90" s="133">
        <f>IF(OR(A90="Автомат",A90="Дифавтомат"),I90&amp;" С"&amp;J90&amp;"А"&amp;IF(K90="да"," 30мА",""),"")</f>
      </c>
      <c r="V90" s="133">
        <f>IF(U90="","",B90&amp;"|"&amp;U90)</f>
      </c>
      <c r="W90" s="133">
        <f>IF(AND(U90&lt;&gt;"",OR($S$4="(все)",B90=$S$4),IF($S$4="(все)",COUNTIF($U$4:U90,U90),COUNTIFS($U$4:U90,U90,$B$4:B90,B90))=1),MAX($W$3:W89)+1,"")</f>
      </c>
      <c r="X90" s="133">
        <f>IFERROR(INDEX($U$4:$U$500,MATCH(ROW()-3,$W$4:$W$500,0)),"")</f>
      </c>
      <c r="Y90" s="133">
        <f>IF(AND(A90="Аппарат",C90&lt;&gt;"",OR($S$5="(все)",B90=$S$5)),MAX($Y$3:Y89)+1,"")</f>
      </c>
      <c r="Z90" s="133">
        <f>IFERROR(INDEX($C$4:$C$500,MATCH(ROW()-3,$Y$4:$Y$500,0)),"")</f>
      </c>
      <c r="AA90" s="133">
        <f>IF(AND(A90="Модуль",C90&lt;&gt;"",OR($S$6="(все)",B90=$S$6)),MAX($AA$3:AA89)+1,"")</f>
      </c>
      <c r="AB90" s="133">
        <f>IFERROR(INDEX($C$4:$C$500,MATCH(ROW()-3,$AA$4:$AA$500,0)),"")</f>
      </c>
      <c r="AC90" s="133">
        <f>IF(OR(B90="",COUNTIF($B$4:B90,B90)&gt;1),"",MAX($AC$3:AC89)+1)</f>
      </c>
      <c r="AD90" s="133">
        <f>IFERROR(INDEX($B$4:$B$500,MATCH(ROW()-3,$AC$4:$AC$500,0)),"")</f>
      </c>
      <c r="AE90" s="133">
        <f>IF(AND(A90&lt;&gt;"",N(P90)&gt;0),IFERROR(MATCH(A90,$R$12:$R$25,0),99)*1000+ROW(),"")</f>
      </c>
      <c r="AF90" s="133">
        <f>IF(AE90="","",COUNTIF($AE$4:$AE$500,"&lt;="&amp;AE90))</f>
      </c>
    </row>
    <row r="91">
      <c r="A91" s="265" t="inlineStr">
        <is>
          <t xml:space="preserve">Прочее</t>
        </is>
      </c>
      <c r="B91" s="265" t="inlineStr">
        <is>
          <t xml:space="preserve">КВТ</t>
        </is>
      </c>
      <c r="C91" s="265" t="inlineStr">
        <is>
          <t xml:space="preserve">79469</t>
        </is>
      </c>
      <c r="D91" s="265"/>
      <c r="E91" s="265"/>
      <c r="F91" s="265"/>
      <c r="G91" s="265" t="inlineStr">
        <is>
          <t xml:space="preserve">Наконечник НШВИ(2) 2.5-13 (100шт)</t>
        </is>
      </c>
      <c r="H91" s="265" t="inlineStr">
        <is>
          <t xml:space="preserve">79469</t>
        </is>
      </c>
      <c r="I91" s="265"/>
      <c r="J91" s="265"/>
      <c r="K91" s="265"/>
      <c r="L91" s="265"/>
      <c r="M91" s="265" t="inlineStr">
        <is>
          <t xml:space="preserve">упак.</t>
        </is>
      </c>
      <c r="N91" s="133">
        <f>IF(OR(A91="Автомат",A91="Дифавтомат"),IF(W91="","",COUNTIF(Однолинейка!$H$3:$H$1000,U91)),IF(A91="Аппарат",IF(C91="","",COUNTIF(Однолинейка!$I$3:$I$1000,C91)+COUNTIF(Однолинейка!$J$3:$J$1000,C91)+COUNTIF(Однолинейка!$K$3:$K$1000,C91)),IF(A91="Модуль",IF(C91="","",COUNTIFS(Однолинейка!$AW$3:$AW$1000,"?*",Однолинейка!$AI$3:$AI$1000,C91)),IF(A91="Клемма",IF(C91="","",IF(C91=$S$7,SUM(Однолинейка!$BW$3:$BW$1000),IF(C91=$S$8,SUM(Однолинейка!$BX$3:$BX$1000),""))),""))))</f>
      </c>
      <c r="O91" s="265"/>
      <c r="P91" s="133">
        <f>IF(COUNT(N91,O91)=0,"",SUM(N91,O91))</f>
      </c>
      <c r="U91" s="133">
        <f>IF(OR(A91="Автомат",A91="Дифавтомат"),I91&amp;" С"&amp;J91&amp;"А"&amp;IF(K91="да"," 30мА",""),"")</f>
      </c>
      <c r="V91" s="133">
        <f>IF(U91="","",B91&amp;"|"&amp;U91)</f>
      </c>
      <c r="W91" s="133">
        <f>IF(AND(U91&lt;&gt;"",OR($S$4="(все)",B91=$S$4),IF($S$4="(все)",COUNTIF($U$4:U91,U91),COUNTIFS($U$4:U91,U91,$B$4:B91,B91))=1),MAX($W$3:W90)+1,"")</f>
      </c>
      <c r="X91" s="133">
        <f>IFERROR(INDEX($U$4:$U$500,MATCH(ROW()-3,$W$4:$W$500,0)),"")</f>
      </c>
      <c r="Y91" s="133">
        <f>IF(AND(A91="Аппарат",C91&lt;&gt;"",OR($S$5="(все)",B91=$S$5)),MAX($Y$3:Y90)+1,"")</f>
      </c>
      <c r="Z91" s="133">
        <f>IFERROR(INDEX($C$4:$C$500,MATCH(ROW()-3,$Y$4:$Y$500,0)),"")</f>
      </c>
      <c r="AA91" s="133">
        <f>IF(AND(A91="Модуль",C91&lt;&gt;"",OR($S$6="(все)",B91=$S$6)),MAX($AA$3:AA90)+1,"")</f>
      </c>
      <c r="AB91" s="133">
        <f>IFERROR(INDEX($C$4:$C$500,MATCH(ROW()-3,$AA$4:$AA$500,0)),"")</f>
      </c>
      <c r="AC91" s="133">
        <f>IF(OR(B91="",COUNTIF($B$4:B91,B91)&gt;1),"",MAX($AC$3:AC90)+1)</f>
      </c>
      <c r="AD91" s="133">
        <f>IFERROR(INDEX($B$4:$B$500,MATCH(ROW()-3,$AC$4:$AC$500,0)),"")</f>
      </c>
      <c r="AE91" s="133">
        <f>IF(AND(A91&lt;&gt;"",N(P91)&gt;0),IFERROR(MATCH(A91,$R$12:$R$25,0),99)*1000+ROW(),"")</f>
      </c>
      <c r="AF91" s="133">
        <f>IF(AE91="","",COUNTIF($AE$4:$AE$500,"&lt;="&amp;AE91))</f>
      </c>
    </row>
    <row r="92">
      <c r="A92" s="265" t="inlineStr">
        <is>
          <t xml:space="preserve">Прочее</t>
        </is>
      </c>
      <c r="B92" s="265" t="inlineStr">
        <is>
          <t xml:space="preserve">КВТ</t>
        </is>
      </c>
      <c r="C92" s="265" t="inlineStr">
        <is>
          <t xml:space="preserve">79447</t>
        </is>
      </c>
      <c r="D92" s="265"/>
      <c r="E92" s="265"/>
      <c r="F92" s="265"/>
      <c r="G92" s="265" t="inlineStr">
        <is>
          <t xml:space="preserve">Наконечник НШВИ 4.0–12 (100шт)</t>
        </is>
      </c>
      <c r="H92" s="265" t="inlineStr">
        <is>
          <t xml:space="preserve">79447</t>
        </is>
      </c>
      <c r="I92" s="265"/>
      <c r="J92" s="265"/>
      <c r="K92" s="265"/>
      <c r="L92" s="265"/>
      <c r="M92" s="265" t="inlineStr">
        <is>
          <t xml:space="preserve">упак.</t>
        </is>
      </c>
      <c r="N92" s="133">
        <f>IF(OR(A92="Автомат",A92="Дифавтомат"),IF(W92="","",COUNTIF(Однолинейка!$H$3:$H$1000,U92)),IF(A92="Аппарат",IF(C92="","",COUNTIF(Однолинейка!$I$3:$I$1000,C92)+COUNTIF(Однолинейка!$J$3:$J$1000,C92)+COUNTIF(Однолинейка!$K$3:$K$1000,C92)),IF(A92="Модуль",IF(C92="","",COUNTIFS(Однолинейка!$AW$3:$AW$1000,"?*",Однолинейка!$AI$3:$AI$1000,C92)),IF(A92="Клемма",IF(C92="","",IF(C92=$S$7,SUM(Однолинейка!$BW$3:$BW$1000),IF(C92=$S$8,SUM(Однолинейка!$BX$3:$BX$1000),""))),""))))</f>
      </c>
      <c r="O92" s="265"/>
      <c r="P92" s="133">
        <f>IF(COUNT(N92,O92)=0,"",SUM(N92,O92))</f>
      </c>
      <c r="U92" s="133">
        <f>IF(OR(A92="Автомат",A92="Дифавтомат"),I92&amp;" С"&amp;J92&amp;"А"&amp;IF(K92="да"," 30мА",""),"")</f>
      </c>
      <c r="V92" s="133">
        <f>IF(U92="","",B92&amp;"|"&amp;U92)</f>
      </c>
      <c r="W92" s="133">
        <f>IF(AND(U92&lt;&gt;"",OR($S$4="(все)",B92=$S$4),IF($S$4="(все)",COUNTIF($U$4:U92,U92),COUNTIFS($U$4:U92,U92,$B$4:B92,B92))=1),MAX($W$3:W91)+1,"")</f>
      </c>
      <c r="X92" s="133">
        <f>IFERROR(INDEX($U$4:$U$500,MATCH(ROW()-3,$W$4:$W$500,0)),"")</f>
      </c>
      <c r="Y92" s="133">
        <f>IF(AND(A92="Аппарат",C92&lt;&gt;"",OR($S$5="(все)",B92=$S$5)),MAX($Y$3:Y91)+1,"")</f>
      </c>
      <c r="Z92" s="133">
        <f>IFERROR(INDEX($C$4:$C$500,MATCH(ROW()-3,$Y$4:$Y$500,0)),"")</f>
      </c>
      <c r="AA92" s="133">
        <f>IF(AND(A92="Модуль",C92&lt;&gt;"",OR($S$6="(все)",B92=$S$6)),MAX($AA$3:AA91)+1,"")</f>
      </c>
      <c r="AB92" s="133">
        <f>IFERROR(INDEX($C$4:$C$500,MATCH(ROW()-3,$AA$4:$AA$500,0)),"")</f>
      </c>
      <c r="AC92" s="133">
        <f>IF(OR(B92="",COUNTIF($B$4:B92,B92)&gt;1),"",MAX($AC$3:AC91)+1)</f>
      </c>
      <c r="AD92" s="133">
        <f>IFERROR(INDEX($B$4:$B$500,MATCH(ROW()-3,$AC$4:$AC$500,0)),"")</f>
      </c>
      <c r="AE92" s="133">
        <f>IF(AND(A92&lt;&gt;"",N(P92)&gt;0),IFERROR(MATCH(A92,$R$12:$R$25,0),99)*1000+ROW(),"")</f>
      </c>
      <c r="AF92" s="133">
        <f>IF(AE92="","",COUNTIF($AE$4:$AE$500,"&lt;="&amp;AE92))</f>
      </c>
    </row>
    <row r="93">
      <c r="A93" s="265" t="inlineStr">
        <is>
          <t xml:space="preserve">Прочее</t>
        </is>
      </c>
      <c r="B93" s="265" t="inlineStr">
        <is>
          <t xml:space="preserve">КВТ</t>
        </is>
      </c>
      <c r="C93" s="265" t="inlineStr">
        <is>
          <t xml:space="preserve">79470</t>
        </is>
      </c>
      <c r="D93" s="265"/>
      <c r="E93" s="265"/>
      <c r="F93" s="265"/>
      <c r="G93" s="265" t="inlineStr">
        <is>
          <t xml:space="preserve">Наконечник НШВИ(2) 4.0-12 (100шт)</t>
        </is>
      </c>
      <c r="H93" s="265" t="inlineStr">
        <is>
          <t xml:space="preserve">79470</t>
        </is>
      </c>
      <c r="I93" s="265"/>
      <c r="J93" s="265"/>
      <c r="K93" s="265"/>
      <c r="L93" s="265"/>
      <c r="M93" s="265" t="inlineStr">
        <is>
          <t xml:space="preserve">упак.</t>
        </is>
      </c>
      <c r="N93" s="133">
        <f>IF(OR(A93="Автомат",A93="Дифавтомат"),IF(W93="","",COUNTIF(Однолинейка!$H$3:$H$1000,U93)),IF(A93="Аппарат",IF(C93="","",COUNTIF(Однолинейка!$I$3:$I$1000,C93)+COUNTIF(Однолинейка!$J$3:$J$1000,C93)+COUNTIF(Однолинейка!$K$3:$K$1000,C93)),IF(A93="Модуль",IF(C93="","",COUNTIFS(Однолинейка!$AW$3:$AW$1000,"?*",Однолинейка!$AI$3:$AI$1000,C93)),IF(A93="Клемма",IF(C93="","",IF(C93=$S$7,SUM(Однолинейка!$BW$3:$BW$1000),IF(C93=$S$8,SUM(Однолинейка!$BX$3:$BX$1000),""))),""))))</f>
      </c>
      <c r="O93" s="265"/>
      <c r="P93" s="133">
        <f>IF(COUNT(N93,O93)=0,"",SUM(N93,O93))</f>
      </c>
      <c r="U93" s="133">
        <f>IF(OR(A93="Автомат",A93="Дифавтомат"),I93&amp;" С"&amp;J93&amp;"А"&amp;IF(K93="да"," 30мА",""),"")</f>
      </c>
      <c r="V93" s="133">
        <f>IF(U93="","",B93&amp;"|"&amp;U93)</f>
      </c>
      <c r="W93" s="133">
        <f>IF(AND(U93&lt;&gt;"",OR($S$4="(все)",B93=$S$4),IF($S$4="(все)",COUNTIF($U$4:U93,U93),COUNTIFS($U$4:U93,U93,$B$4:B93,B93))=1),MAX($W$3:W92)+1,"")</f>
      </c>
      <c r="X93" s="133">
        <f>IFERROR(INDEX($U$4:$U$500,MATCH(ROW()-3,$W$4:$W$500,0)),"")</f>
      </c>
      <c r="Y93" s="133">
        <f>IF(AND(A93="Аппарат",C93&lt;&gt;"",OR($S$5="(все)",B93=$S$5)),MAX($Y$3:Y92)+1,"")</f>
      </c>
      <c r="Z93" s="133">
        <f>IFERROR(INDEX($C$4:$C$500,MATCH(ROW()-3,$Y$4:$Y$500,0)),"")</f>
      </c>
      <c r="AA93" s="133">
        <f>IF(AND(A93="Модуль",C93&lt;&gt;"",OR($S$6="(все)",B93=$S$6)),MAX($AA$3:AA92)+1,"")</f>
      </c>
      <c r="AB93" s="133">
        <f>IFERROR(INDEX($C$4:$C$500,MATCH(ROW()-3,$AA$4:$AA$500,0)),"")</f>
      </c>
      <c r="AC93" s="133">
        <f>IF(OR(B93="",COUNTIF($B$4:B93,B93)&gt;1),"",MAX($AC$3:AC92)+1)</f>
      </c>
      <c r="AD93" s="133">
        <f>IFERROR(INDEX($B$4:$B$500,MATCH(ROW()-3,$AC$4:$AC$500,0)),"")</f>
      </c>
      <c r="AE93" s="133">
        <f>IF(AND(A93&lt;&gt;"",N(P93)&gt;0),IFERROR(MATCH(A93,$R$12:$R$25,0),99)*1000+ROW(),"")</f>
      </c>
      <c r="AF93" s="133">
        <f>IF(AE93="","",COUNTIF($AE$4:$AE$500,"&lt;="&amp;AE93))</f>
      </c>
    </row>
    <row r="94">
      <c r="A94" s="265" t="inlineStr">
        <is>
          <t xml:space="preserve">Прочее</t>
        </is>
      </c>
      <c r="B94" s="265" t="inlineStr">
        <is>
          <t xml:space="preserve">КВТ</t>
        </is>
      </c>
      <c r="C94" s="265" t="inlineStr">
        <is>
          <t xml:space="preserve">79452</t>
        </is>
      </c>
      <c r="D94" s="265"/>
      <c r="E94" s="265"/>
      <c r="F94" s="265"/>
      <c r="G94" s="265" t="inlineStr">
        <is>
          <t xml:space="preserve">Наконечник НШВИ 16–12 (100шт)</t>
        </is>
      </c>
      <c r="H94" s="265" t="inlineStr">
        <is>
          <t xml:space="preserve">79452</t>
        </is>
      </c>
      <c r="I94" s="265"/>
      <c r="J94" s="265"/>
      <c r="K94" s="265"/>
      <c r="L94" s="265"/>
      <c r="M94" s="265" t="inlineStr">
        <is>
          <t xml:space="preserve">шт.</t>
        </is>
      </c>
      <c r="N94" s="133">
        <f>IF(OR(A94="Автомат",A94="Дифавтомат"),IF(W94="","",COUNTIF(Однолинейка!$H$3:$H$1000,U94)),IF(A94="Аппарат",IF(C94="","",COUNTIF(Однолинейка!$I$3:$I$1000,C94)+COUNTIF(Однолинейка!$J$3:$J$1000,C94)+COUNTIF(Однолинейка!$K$3:$K$1000,C94)),IF(A94="Модуль",IF(C94="","",COUNTIFS(Однолинейка!$AW$3:$AW$1000,"?*",Однолинейка!$AI$3:$AI$1000,C94)),IF(A94="Клемма",IF(C94="","",IF(C94=$S$7,SUM(Однолинейка!$BW$3:$BW$1000),IF(C94=$S$8,SUM(Однолинейка!$BX$3:$BX$1000),""))),""))))</f>
      </c>
      <c r="O94" s="265"/>
      <c r="P94" s="133">
        <f>IF(COUNT(N94,O94)=0,"",SUM(N94,O94))</f>
      </c>
      <c r="U94" s="133">
        <f>IF(OR(A94="Автомат",A94="Дифавтомат"),I94&amp;" С"&amp;J94&amp;"А"&amp;IF(K94="да"," 30мА",""),"")</f>
      </c>
      <c r="V94" s="133">
        <f>IF(U94="","",B94&amp;"|"&amp;U94)</f>
      </c>
      <c r="W94" s="133">
        <f>IF(AND(U94&lt;&gt;"",OR($S$4="(все)",B94=$S$4),IF($S$4="(все)",COUNTIF($U$4:U94,U94),COUNTIFS($U$4:U94,U94,$B$4:B94,B94))=1),MAX($W$3:W93)+1,"")</f>
      </c>
      <c r="X94" s="133">
        <f>IFERROR(INDEX($U$4:$U$500,MATCH(ROW()-3,$W$4:$W$500,0)),"")</f>
      </c>
      <c r="Y94" s="133">
        <f>IF(AND(A94="Аппарат",C94&lt;&gt;"",OR($S$5="(все)",B94=$S$5)),MAX($Y$3:Y93)+1,"")</f>
      </c>
      <c r="Z94" s="133">
        <f>IFERROR(INDEX($C$4:$C$500,MATCH(ROW()-3,$Y$4:$Y$500,0)),"")</f>
      </c>
      <c r="AA94" s="133">
        <f>IF(AND(A94="Модуль",C94&lt;&gt;"",OR($S$6="(все)",B94=$S$6)),MAX($AA$3:AA93)+1,"")</f>
      </c>
      <c r="AB94" s="133">
        <f>IFERROR(INDEX($C$4:$C$500,MATCH(ROW()-3,$AA$4:$AA$500,0)),"")</f>
      </c>
      <c r="AC94" s="133">
        <f>IF(OR(B94="",COUNTIF($B$4:B94,B94)&gt;1),"",MAX($AC$3:AC93)+1)</f>
      </c>
      <c r="AD94" s="133">
        <f>IFERROR(INDEX($B$4:$B$500,MATCH(ROW()-3,$AC$4:$AC$500,0)),"")</f>
      </c>
      <c r="AE94" s="133">
        <f>IF(AND(A94&lt;&gt;"",N(P94)&gt;0),IFERROR(MATCH(A94,$R$12:$R$25,0),99)*1000+ROW(),"")</f>
      </c>
      <c r="AF94" s="133">
        <f>IF(AE94="","",COUNTIF($AE$4:$AE$500,"&lt;="&amp;AE94))</f>
      </c>
    </row>
    <row r="95">
      <c r="A95" s="265" t="inlineStr">
        <is>
          <t xml:space="preserve">Прочее</t>
        </is>
      </c>
      <c r="B95" s="265" t="inlineStr">
        <is>
          <t xml:space="preserve">КВТ</t>
        </is>
      </c>
      <c r="C95" s="265" t="inlineStr">
        <is>
          <t xml:space="preserve">79473</t>
        </is>
      </c>
      <c r="D95" s="265"/>
      <c r="E95" s="265"/>
      <c r="F95" s="265"/>
      <c r="G95" s="265" t="inlineStr">
        <is>
          <t xml:space="preserve">Наконечник НШВИ(2) 16–14 (100шт)</t>
        </is>
      </c>
      <c r="H95" s="265" t="inlineStr">
        <is>
          <t xml:space="preserve">79473</t>
        </is>
      </c>
      <c r="I95" s="265"/>
      <c r="J95" s="265"/>
      <c r="K95" s="265"/>
      <c r="L95" s="265"/>
      <c r="M95" s="265" t="inlineStr">
        <is>
          <t xml:space="preserve">шт.</t>
        </is>
      </c>
      <c r="N95" s="133">
        <f>IF(OR(A95="Автомат",A95="Дифавтомат"),IF(W95="","",COUNTIF(Однолинейка!$H$3:$H$1000,U95)),IF(A95="Аппарат",IF(C95="","",COUNTIF(Однолинейка!$I$3:$I$1000,C95)+COUNTIF(Однолинейка!$J$3:$J$1000,C95)+COUNTIF(Однолинейка!$K$3:$K$1000,C95)),IF(A95="Модуль",IF(C95="","",COUNTIFS(Однолинейка!$AW$3:$AW$1000,"?*",Однолинейка!$AI$3:$AI$1000,C95)),IF(A95="Клемма",IF(C95="","",IF(C95=$S$7,SUM(Однолинейка!$BW$3:$BW$1000),IF(C95=$S$8,SUM(Однолинейка!$BX$3:$BX$1000),""))),""))))</f>
      </c>
      <c r="O95" s="265"/>
      <c r="P95" s="133">
        <f>IF(COUNT(N95,O95)=0,"",SUM(N95,O95))</f>
      </c>
      <c r="U95" s="133">
        <f>IF(OR(A95="Автомат",A95="Дифавтомат"),I95&amp;" С"&amp;J95&amp;"А"&amp;IF(K95="да"," 30мА",""),"")</f>
      </c>
      <c r="V95" s="133">
        <f>IF(U95="","",B95&amp;"|"&amp;U95)</f>
      </c>
      <c r="W95" s="133">
        <f>IF(AND(U95&lt;&gt;"",OR($S$4="(все)",B95=$S$4),IF($S$4="(все)",COUNTIF($U$4:U95,U95),COUNTIFS($U$4:U95,U95,$B$4:B95,B95))=1),MAX($W$3:W94)+1,"")</f>
      </c>
      <c r="X95" s="133">
        <f>IFERROR(INDEX($U$4:$U$500,MATCH(ROW()-3,$W$4:$W$500,0)),"")</f>
      </c>
      <c r="Y95" s="133">
        <f>IF(AND(A95="Аппарат",C95&lt;&gt;"",OR($S$5="(все)",B95=$S$5)),MAX($Y$3:Y94)+1,"")</f>
      </c>
      <c r="Z95" s="133">
        <f>IFERROR(INDEX($C$4:$C$500,MATCH(ROW()-3,$Y$4:$Y$500,0)),"")</f>
      </c>
      <c r="AA95" s="133">
        <f>IF(AND(A95="Модуль",C95&lt;&gt;"",OR($S$6="(все)",B95=$S$6)),MAX($AA$3:AA94)+1,"")</f>
      </c>
      <c r="AB95" s="133">
        <f>IFERROR(INDEX($C$4:$C$500,MATCH(ROW()-3,$AA$4:$AA$500,0)),"")</f>
      </c>
      <c r="AC95" s="133">
        <f>IF(OR(B95="",COUNTIF($B$4:B95,B95)&gt;1),"",MAX($AC$3:AC94)+1)</f>
      </c>
      <c r="AD95" s="133">
        <f>IFERROR(INDEX($B$4:$B$500,MATCH(ROW()-3,$AC$4:$AC$500,0)),"")</f>
      </c>
      <c r="AE95" s="133">
        <f>IF(AND(A95&lt;&gt;"",N(P95)&gt;0),IFERROR(MATCH(A95,$R$12:$R$25,0),99)*1000+ROW(),"")</f>
      </c>
      <c r="AF95" s="133">
        <f>IF(AE95="","",COUNTIF($AE$4:$AE$500,"&lt;="&amp;AE95))</f>
      </c>
    </row>
    <row r="96">
      <c r="A96" s="265" t="inlineStr">
        <is>
          <t xml:space="preserve">Прочее</t>
        </is>
      </c>
      <c r="B96" s="265" t="inlineStr">
        <is>
          <t xml:space="preserve">Россия</t>
        </is>
      </c>
      <c r="C96" s="265" t="inlineStr">
        <is>
          <t xml:space="preserve">ОСП-1</t>
        </is>
      </c>
      <c r="D96" s="265"/>
      <c r="E96" s="265"/>
      <c r="F96" s="265"/>
      <c r="G96" s="265" t="inlineStr">
        <is>
          <t xml:space="preserve">Огнетушитель порошковый самосрабатывающий</t>
        </is>
      </c>
      <c r="H96" s="265" t="inlineStr">
        <is>
          <t xml:space="preserve">ОСП-1</t>
        </is>
      </c>
      <c r="I96" s="265"/>
      <c r="J96" s="265"/>
      <c r="K96" s="265"/>
      <c r="L96" s="265"/>
      <c r="M96" s="265" t="inlineStr">
        <is>
          <t xml:space="preserve">шт.</t>
        </is>
      </c>
      <c r="N96" s="133">
        <f>IF(OR(A96="Автомат",A96="Дифавтомат"),IF(W96="","",COUNTIF(Однолинейка!$H$3:$H$1000,U96)),IF(A96="Аппарат",IF(C96="","",COUNTIF(Однолинейка!$I$3:$I$1000,C96)+COUNTIF(Однолинейка!$J$3:$J$1000,C96)+COUNTIF(Однолинейка!$K$3:$K$1000,C96)),IF(A96="Модуль",IF(C96="","",COUNTIFS(Однолинейка!$AW$3:$AW$1000,"?*",Однолинейка!$AI$3:$AI$1000,C96)),IF(A96="Клемма",IF(C96="","",IF(C96=$S$7,SUM(Однолинейка!$BW$3:$BW$1000),IF(C96=$S$8,SUM(Однолинейка!$BX$3:$BX$1000),""))),""))))</f>
      </c>
      <c r="O96" s="265"/>
      <c r="P96" s="133">
        <f>IF(COUNT(N96,O96)=0,"",SUM(N96,O96))</f>
      </c>
      <c r="U96" s="133">
        <f>IF(OR(A96="Автомат",A96="Дифавтомат"),I96&amp;" С"&amp;J96&amp;"А"&amp;IF(K96="да"," 30мА",""),"")</f>
      </c>
      <c r="V96" s="133">
        <f>IF(U96="","",B96&amp;"|"&amp;U96)</f>
      </c>
      <c r="W96" s="133">
        <f>IF(AND(U96&lt;&gt;"",OR($S$4="(все)",B96=$S$4),IF($S$4="(все)",COUNTIF($U$4:U96,U96),COUNTIFS($U$4:U96,U96,$B$4:B96,B96))=1),MAX($W$3:W95)+1,"")</f>
      </c>
      <c r="X96" s="133">
        <f>IFERROR(INDEX($U$4:$U$500,MATCH(ROW()-3,$W$4:$W$500,0)),"")</f>
      </c>
      <c r="Y96" s="133">
        <f>IF(AND(A96="Аппарат",C96&lt;&gt;"",OR($S$5="(все)",B96=$S$5)),MAX($Y$3:Y95)+1,"")</f>
      </c>
      <c r="Z96" s="133">
        <f>IFERROR(INDEX($C$4:$C$500,MATCH(ROW()-3,$Y$4:$Y$500,0)),"")</f>
      </c>
      <c r="AA96" s="133">
        <f>IF(AND(A96="Модуль",C96&lt;&gt;"",OR($S$6="(все)",B96=$S$6)),MAX($AA$3:AA95)+1,"")</f>
      </c>
      <c r="AB96" s="133">
        <f>IFERROR(INDEX($C$4:$C$500,MATCH(ROW()-3,$AA$4:$AA$500,0)),"")</f>
      </c>
      <c r="AC96" s="133">
        <f>IF(OR(B96="",COUNTIF($B$4:B96,B96)&gt;1),"",MAX($AC$3:AC95)+1)</f>
      </c>
      <c r="AD96" s="133">
        <f>IFERROR(INDEX($B$4:$B$500,MATCH(ROW()-3,$AC$4:$AC$500,0)),"")</f>
      </c>
      <c r="AE96" s="133">
        <f>IF(AND(A96&lt;&gt;"",N(P96)&gt;0),IFERROR(MATCH(A96,$R$12:$R$25,0),99)*1000+ROW(),"")</f>
      </c>
      <c r="AF96" s="133">
        <f>IF(AE96="","",COUNTIF($AE$4:$AE$500,"&lt;="&amp;AE96))</f>
      </c>
    </row>
    <row r="97">
      <c r="A97" s="265" t="inlineStr">
        <is>
          <t xml:space="preserve">Прочее</t>
        </is>
      </c>
      <c r="B97" s="265" t="inlineStr">
        <is>
          <t xml:space="preserve">DKC</t>
        </is>
      </c>
      <c r="C97" s="265" t="inlineStr">
        <is>
          <t xml:space="preserve">R5MTHNO</t>
        </is>
      </c>
      <c r="D97" s="265"/>
      <c r="E97" s="265"/>
      <c r="F97" s="265"/>
      <c r="G97" s="265" t="inlineStr">
        <is>
          <t xml:space="preserve">Термостат модульный с регулируемым диапазоном температуры -10…+80°C, NO-контакт</t>
        </is>
      </c>
      <c r="H97" s="265" t="inlineStr">
        <is>
          <t xml:space="preserve">R5MTHNO</t>
        </is>
      </c>
      <c r="I97" s="265"/>
      <c r="J97" s="265"/>
      <c r="K97" s="265"/>
      <c r="L97" s="265"/>
      <c r="M97" s="265" t="inlineStr">
        <is>
          <t xml:space="preserve">шт.</t>
        </is>
      </c>
      <c r="N97" s="133">
        <f>IF(OR(A97="Автомат",A97="Дифавтомат"),IF(W97="","",COUNTIF(Однолинейка!$H$3:$H$1000,U97)),IF(A97="Аппарат",IF(C97="","",COUNTIF(Однолинейка!$I$3:$I$1000,C97)+COUNTIF(Однолинейка!$J$3:$J$1000,C97)+COUNTIF(Однолинейка!$K$3:$K$1000,C97)),IF(A97="Модуль",IF(C97="","",COUNTIFS(Однолинейка!$AW$3:$AW$1000,"?*",Однолинейка!$AI$3:$AI$1000,C97)),IF(A97="Клемма",IF(C97="","",IF(C97=$S$7,SUM(Однолинейка!$BW$3:$BW$1000),IF(C97=$S$8,SUM(Однолинейка!$BX$3:$BX$1000),""))),""))))</f>
      </c>
      <c r="O97" s="265"/>
      <c r="P97" s="133">
        <f>IF(COUNT(N97,O97)=0,"",SUM(N97,O97))</f>
      </c>
      <c r="U97" s="133">
        <f>IF(OR(A97="Автомат",A97="Дифавтомат"),I97&amp;" С"&amp;J97&amp;"А"&amp;IF(K97="да"," 30мА",""),"")</f>
      </c>
      <c r="V97" s="133">
        <f>IF(U97="","",B97&amp;"|"&amp;U97)</f>
      </c>
      <c r="W97" s="133">
        <f>IF(AND(U97&lt;&gt;"",OR($S$4="(все)",B97=$S$4),IF($S$4="(все)",COUNTIF($U$4:U97,U97),COUNTIFS($U$4:U97,U97,$B$4:B97,B97))=1),MAX($W$3:W96)+1,"")</f>
      </c>
      <c r="X97" s="133">
        <f>IFERROR(INDEX($U$4:$U$500,MATCH(ROW()-3,$W$4:$W$500,0)),"")</f>
      </c>
      <c r="Y97" s="133">
        <f>IF(AND(A97="Аппарат",C97&lt;&gt;"",OR($S$5="(все)",B97=$S$5)),MAX($Y$3:Y96)+1,"")</f>
      </c>
      <c r="Z97" s="133">
        <f>IFERROR(INDEX($C$4:$C$500,MATCH(ROW()-3,$Y$4:$Y$500,0)),"")</f>
      </c>
      <c r="AA97" s="133">
        <f>IF(AND(A97="Модуль",C97&lt;&gt;"",OR($S$6="(все)",B97=$S$6)),MAX($AA$3:AA96)+1,"")</f>
      </c>
      <c r="AB97" s="133">
        <f>IFERROR(INDEX($C$4:$C$500,MATCH(ROW()-3,$AA$4:$AA$500,0)),"")</f>
      </c>
      <c r="AC97" s="133">
        <f>IF(OR(B97="",COUNTIF($B$4:B97,B97)&gt;1),"",MAX($AC$3:AC96)+1)</f>
      </c>
      <c r="AD97" s="133">
        <f>IFERROR(INDEX($B$4:$B$500,MATCH(ROW()-3,$AC$4:$AC$500,0)),"")</f>
      </c>
      <c r="AE97" s="133">
        <f>IF(AND(A97&lt;&gt;"",N(P97)&gt;0),IFERROR(MATCH(A97,$R$12:$R$25,0),99)*1000+ROW(),"")</f>
      </c>
      <c r="AF97" s="133">
        <f>IF(AE97="","",COUNTIF($AE$4:$AE$500,"&lt;="&amp;AE97))</f>
      </c>
    </row>
    <row r="98">
      <c r="A98" s="265" t="inlineStr">
        <is>
          <t xml:space="preserve">Прочее</t>
        </is>
      </c>
      <c r="B98" s="265" t="inlineStr">
        <is>
          <t xml:space="preserve">DKC</t>
        </is>
      </c>
      <c r="C98" s="265" t="inlineStr">
        <is>
          <t xml:space="preserve">R5RV12230</t>
        </is>
      </c>
      <c r="D98" s="265"/>
      <c r="E98" s="265"/>
      <c r="F98" s="265"/>
      <c r="G98" s="265" t="inlineStr">
        <is>
          <t xml:space="preserve">Вентилятор с фильтром RV 44/46 м3/ч, 230 В, 150x150 мм, IP54</t>
        </is>
      </c>
      <c r="H98" s="265" t="inlineStr">
        <is>
          <t xml:space="preserve">R5RV12230</t>
        </is>
      </c>
      <c r="I98" s="265"/>
      <c r="J98" s="265"/>
      <c r="K98" s="265"/>
      <c r="L98" s="265"/>
      <c r="M98" s="265" t="inlineStr">
        <is>
          <t xml:space="preserve">шт.</t>
        </is>
      </c>
      <c r="N98" s="133">
        <f>IF(OR(A98="Автомат",A98="Дифавтомат"),IF(W98="","",COUNTIF(Однолинейка!$H$3:$H$1000,U98)),IF(A98="Аппарат",IF(C98="","",COUNTIF(Однолинейка!$I$3:$I$1000,C98)+COUNTIF(Однолинейка!$J$3:$J$1000,C98)+COUNTIF(Однолинейка!$K$3:$K$1000,C98)),IF(A98="Модуль",IF(C98="","",COUNTIFS(Однолинейка!$AW$3:$AW$1000,"?*",Однолинейка!$AI$3:$AI$1000,C98)),IF(A98="Клемма",IF(C98="","",IF(C98=$S$7,SUM(Однолинейка!$BW$3:$BW$1000),IF(C98=$S$8,SUM(Однолинейка!$BX$3:$BX$1000),""))),""))))</f>
      </c>
      <c r="O98" s="265"/>
      <c r="P98" s="133">
        <f>IF(COUNT(N98,O98)=0,"",SUM(N98,O98))</f>
      </c>
      <c r="U98" s="133">
        <f>IF(OR(A98="Автомат",A98="Дифавтомат"),I98&amp;" С"&amp;J98&amp;"А"&amp;IF(K98="да"," 30мА",""),"")</f>
      </c>
      <c r="V98" s="133">
        <f>IF(U98="","",B98&amp;"|"&amp;U98)</f>
      </c>
      <c r="W98" s="133">
        <f>IF(AND(U98&lt;&gt;"",OR($S$4="(все)",B98=$S$4),IF($S$4="(все)",COUNTIF($U$4:U98,U98),COUNTIFS($U$4:U98,U98,$B$4:B98,B98))=1),MAX($W$3:W97)+1,"")</f>
      </c>
      <c r="X98" s="133">
        <f>IFERROR(INDEX($U$4:$U$500,MATCH(ROW()-3,$W$4:$W$500,0)),"")</f>
      </c>
      <c r="Y98" s="133">
        <f>IF(AND(A98="Аппарат",C98&lt;&gt;"",OR($S$5="(все)",B98=$S$5)),MAX($Y$3:Y97)+1,"")</f>
      </c>
      <c r="Z98" s="133">
        <f>IFERROR(INDEX($C$4:$C$500,MATCH(ROW()-3,$Y$4:$Y$500,0)),"")</f>
      </c>
      <c r="AA98" s="133">
        <f>IF(AND(A98="Модуль",C98&lt;&gt;"",OR($S$6="(все)",B98=$S$6)),MAX($AA$3:AA97)+1,"")</f>
      </c>
      <c r="AB98" s="133">
        <f>IFERROR(INDEX($C$4:$C$500,MATCH(ROW()-3,$AA$4:$AA$500,0)),"")</f>
      </c>
      <c r="AC98" s="133">
        <f>IF(OR(B98="",COUNTIF($B$4:B98,B98)&gt;1),"",MAX($AC$3:AC97)+1)</f>
      </c>
      <c r="AD98" s="133">
        <f>IFERROR(INDEX($B$4:$B$500,MATCH(ROW()-3,$AC$4:$AC$500,0)),"")</f>
      </c>
      <c r="AE98" s="133">
        <f>IF(AND(A98&lt;&gt;"",N(P98)&gt;0),IFERROR(MATCH(A98,$R$12:$R$25,0),99)*1000+ROW(),"")</f>
      </c>
      <c r="AF98" s="133">
        <f>IF(AE98="","",COUNTIF($AE$4:$AE$500,"&lt;="&amp;AE98))</f>
      </c>
    </row>
    <row r="99">
      <c r="A99" s="265" t="inlineStr">
        <is>
          <t xml:space="preserve">Прочее</t>
        </is>
      </c>
      <c r="B99" s="265" t="inlineStr">
        <is>
          <t xml:space="preserve">DKC</t>
        </is>
      </c>
      <c r="C99" s="265" t="inlineStr">
        <is>
          <t xml:space="preserve">R5RF12</t>
        </is>
      </c>
      <c r="D99" s="265"/>
      <c r="E99" s="265"/>
      <c r="F99" s="265"/>
      <c r="G99" s="265" t="inlineStr">
        <is>
          <t xml:space="preserve">Вентиляционная решетка с фильтром RF 150x150 мм, IP54</t>
        </is>
      </c>
      <c r="H99" s="265" t="inlineStr">
        <is>
          <t xml:space="preserve">R5RF12</t>
        </is>
      </c>
      <c r="I99" s="265"/>
      <c r="J99" s="265"/>
      <c r="K99" s="265"/>
      <c r="L99" s="265"/>
      <c r="M99" s="265" t="inlineStr">
        <is>
          <t xml:space="preserve">шт.</t>
        </is>
      </c>
      <c r="N99" s="133">
        <f>IF(OR(A99="Автомат",A99="Дифавтомат"),IF(W99="","",COUNTIF(Однолинейка!$H$3:$H$1000,U99)),IF(A99="Аппарат",IF(C99="","",COUNTIF(Однолинейка!$I$3:$I$1000,C99)+COUNTIF(Однолинейка!$J$3:$J$1000,C99)+COUNTIF(Однолинейка!$K$3:$K$1000,C99)),IF(A99="Модуль",IF(C99="","",COUNTIFS(Однолинейка!$AW$3:$AW$1000,"?*",Однолинейка!$AI$3:$AI$1000,C99)),IF(A99="Клемма",IF(C99="","",IF(C99=$S$7,SUM(Однолинейка!$BW$3:$BW$1000),IF(C99=$S$8,SUM(Однолинейка!$BX$3:$BX$1000),""))),""))))</f>
      </c>
      <c r="O99" s="265"/>
      <c r="P99" s="133">
        <f>IF(COUNT(N99,O99)=0,"",SUM(N99,O99))</f>
      </c>
      <c r="U99" s="133">
        <f>IF(OR(A99="Автомат",A99="Дифавтомат"),I99&amp;" С"&amp;J99&amp;"А"&amp;IF(K99="да"," 30мА",""),"")</f>
      </c>
      <c r="V99" s="133">
        <f>IF(U99="","",B99&amp;"|"&amp;U99)</f>
      </c>
      <c r="W99" s="133">
        <f>IF(AND(U99&lt;&gt;"",OR($S$4="(все)",B99=$S$4),IF($S$4="(все)",COUNTIF($U$4:U99,U99),COUNTIFS($U$4:U99,U99,$B$4:B99,B99))=1),MAX($W$3:W98)+1,"")</f>
      </c>
      <c r="X99" s="133">
        <f>IFERROR(INDEX($U$4:$U$500,MATCH(ROW()-3,$W$4:$W$500,0)),"")</f>
      </c>
      <c r="Y99" s="133">
        <f>IF(AND(A99="Аппарат",C99&lt;&gt;"",OR($S$5="(все)",B99=$S$5)),MAX($Y$3:Y98)+1,"")</f>
      </c>
      <c r="Z99" s="133">
        <f>IFERROR(INDEX($C$4:$C$500,MATCH(ROW()-3,$Y$4:$Y$500,0)),"")</f>
      </c>
      <c r="AA99" s="133">
        <f>IF(AND(A99="Модуль",C99&lt;&gt;"",OR($S$6="(все)",B99=$S$6)),MAX($AA$3:AA98)+1,"")</f>
      </c>
      <c r="AB99" s="133">
        <f>IFERROR(INDEX($C$4:$C$500,MATCH(ROW()-3,$AA$4:$AA$500,0)),"")</f>
      </c>
      <c r="AC99" s="133">
        <f>IF(OR(B99="",COUNTIF($B$4:B99,B99)&gt;1),"",MAX($AC$3:AC98)+1)</f>
      </c>
      <c r="AD99" s="133">
        <f>IFERROR(INDEX($B$4:$B$500,MATCH(ROW()-3,$AC$4:$AC$500,0)),"")</f>
      </c>
      <c r="AE99" s="133">
        <f>IF(AND(A99&lt;&gt;"",N(P99)&gt;0),IFERROR(MATCH(A99,$R$12:$R$25,0),99)*1000+ROW(),"")</f>
      </c>
      <c r="AF99" s="133">
        <f>IF(AE99="","",COUNTIF($AE$4:$AE$500,"&lt;="&amp;AE99))</f>
      </c>
    </row>
    <row r="100">
      <c r="A100" s="265" t="inlineStr">
        <is>
          <t xml:space="preserve">Прочее</t>
        </is>
      </c>
      <c r="B100" s="265"/>
      <c r="C100" s="265" t="inlineStr">
        <is>
          <t xml:space="preserve">Расходные материалы (наконечни</t>
        </is>
      </c>
      <c r="D100" s="265"/>
      <c r="E100" s="265"/>
      <c r="F100" s="265"/>
      <c r="G100" s="265" t="inlineStr">
        <is>
          <t xml:space="preserve">Расходные материалы (наконечники для кабелей ПуГВ, бирки, термоусадка 4-х цветов (Б,Ч,К,С)стяжки, изолента и т. д.) </t>
        </is>
      </c>
      <c r="H100" s="265"/>
      <c r="I100" s="265"/>
      <c r="J100" s="265"/>
      <c r="K100" s="265"/>
      <c r="L100" s="265"/>
      <c r="M100" s="265" t="inlineStr">
        <is>
          <t xml:space="preserve">комп.</t>
        </is>
      </c>
      <c r="N100" s="133">
        <f>IF(OR(A100="Автомат",A100="Дифавтомат"),IF(W100="","",COUNTIF(Однолинейка!$H$3:$H$1000,U100)),IF(A100="Аппарат",IF(C100="","",COUNTIF(Однолинейка!$I$3:$I$1000,C100)+COUNTIF(Однолинейка!$J$3:$J$1000,C100)+COUNTIF(Однолинейка!$K$3:$K$1000,C100)),IF(A100="Модуль",IF(C100="","",COUNTIFS(Однолинейка!$AW$3:$AW$1000,"?*",Однолинейка!$AI$3:$AI$1000,C100)),IF(A100="Клемма",IF(C100="","",IF(C100=$S$7,SUM(Однолинейка!$BW$3:$BW$1000),IF(C100=$S$8,SUM(Однолинейка!$BX$3:$BX$1000),""))),""))))</f>
      </c>
      <c r="O100" s="265"/>
      <c r="P100" s="133">
        <f>IF(COUNT(N100,O100)=0,"",SUM(N100,O100))</f>
      </c>
      <c r="U100" s="133">
        <f>IF(OR(A100="Автомат",A100="Дифавтомат"),I100&amp;" С"&amp;J100&amp;"А"&amp;IF(K100="да"," 30мА",""),"")</f>
      </c>
      <c r="V100" s="133">
        <f>IF(U100="","",B100&amp;"|"&amp;U100)</f>
      </c>
      <c r="W100" s="133">
        <f>IF(AND(U100&lt;&gt;"",OR($S$4="(все)",B100=$S$4),IF($S$4="(все)",COUNTIF($U$4:U100,U100),COUNTIFS($U$4:U100,U100,$B$4:B100,B100))=1),MAX($W$3:W99)+1,"")</f>
      </c>
      <c r="X100" s="133">
        <f>IFERROR(INDEX($U$4:$U$500,MATCH(ROW()-3,$W$4:$W$500,0)),"")</f>
      </c>
      <c r="Y100" s="133">
        <f>IF(AND(A100="Аппарат",C100&lt;&gt;"",OR($S$5="(все)",B100=$S$5)),MAX($Y$3:Y99)+1,"")</f>
      </c>
      <c r="Z100" s="133">
        <f>IFERROR(INDEX($C$4:$C$500,MATCH(ROW()-3,$Y$4:$Y$500,0)),"")</f>
      </c>
      <c r="AA100" s="133">
        <f>IF(AND(A100="Модуль",C100&lt;&gt;"",OR($S$6="(все)",B100=$S$6)),MAX($AA$3:AA99)+1,"")</f>
      </c>
      <c r="AB100" s="133">
        <f>IFERROR(INDEX($C$4:$C$500,MATCH(ROW()-3,$AA$4:$AA$500,0)),"")</f>
      </c>
      <c r="AC100" s="133">
        <f>IF(OR(B100="",COUNTIF($B$4:B100,B100)&gt;1),"",MAX($AC$3:AC99)+1)</f>
      </c>
      <c r="AD100" s="133">
        <f>IFERROR(INDEX($B$4:$B$500,MATCH(ROW()-3,$AC$4:$AC$500,0)),"")</f>
      </c>
      <c r="AE100" s="133">
        <f>IF(AND(A100&lt;&gt;"",N(P100)&gt;0),IFERROR(MATCH(A100,$R$12:$R$25,0),99)*1000+ROW(),"")</f>
      </c>
      <c r="AF100" s="133">
        <f>IF(AE100="","",COUNTIF($AE$4:$AE$500,"&lt;="&amp;AE100))</f>
      </c>
    </row>
    <row r="101">
      <c r="A101" s="265"/>
      <c r="B101" s="265"/>
      <c r="C101" s="265"/>
      <c r="D101" s="265"/>
      <c r="E101" s="265"/>
      <c r="F101" s="265"/>
      <c r="G101" s="265"/>
      <c r="H101" s="265"/>
      <c r="I101" s="265"/>
      <c r="J101" s="265"/>
      <c r="K101" s="265"/>
      <c r="L101" s="265"/>
      <c r="M101" s="265"/>
      <c r="N101" s="133">
        <f>IF(OR(A101="Автомат",A101="Дифавтомат"),IF(W101="","",COUNTIF(Однолинейка!$H$3:$H$1000,U101)),IF(A101="Аппарат",IF(C101="","",COUNTIF(Однолинейка!$I$3:$I$1000,C101)+COUNTIF(Однолинейка!$J$3:$J$1000,C101)+COUNTIF(Однолинейка!$K$3:$K$1000,C101)),IF(A101="Модуль",IF(C101="","",COUNTIFS(Однолинейка!$AW$3:$AW$1000,"?*",Однолинейка!$AI$3:$AI$1000,C101)),IF(A101="Клемма",IF(C101="","",IF(C101=$S$7,SUM(Однолинейка!$BW$3:$BW$1000),IF(C101=$S$8,SUM(Однолинейка!$BX$3:$BX$1000),""))),""))))</f>
      </c>
      <c r="O101" s="265"/>
      <c r="P101" s="133">
        <f>IF(COUNT(N101,O101)=0,"",SUM(N101,O101))</f>
      </c>
      <c r="U101" s="133">
        <f>IF(OR(A101="Автомат",A101="Дифавтомат"),I101&amp;" С"&amp;J101&amp;"А"&amp;IF(K101="да"," 30мА",""),"")</f>
      </c>
      <c r="V101" s="133">
        <f>IF(U101="","",B101&amp;"|"&amp;U101)</f>
      </c>
      <c r="W101" s="133">
        <f>IF(AND(U101&lt;&gt;"",OR($S$4="(все)",B101=$S$4),IF($S$4="(все)",COUNTIF($U$4:U101,U101),COUNTIFS($U$4:U101,U101,$B$4:B101,B101))=1),MAX($W$3:W100)+1,"")</f>
      </c>
      <c r="X101" s="133">
        <f>IFERROR(INDEX($U$4:$U$500,MATCH(ROW()-3,$W$4:$W$500,0)),"")</f>
      </c>
      <c r="Y101" s="133">
        <f>IF(AND(A101="Аппарат",C101&lt;&gt;"",OR($S$5="(все)",B101=$S$5)),MAX($Y$3:Y100)+1,"")</f>
      </c>
      <c r="Z101" s="133">
        <f>IFERROR(INDEX($C$4:$C$500,MATCH(ROW()-3,$Y$4:$Y$500,0)),"")</f>
      </c>
      <c r="AA101" s="133">
        <f>IF(AND(A101="Модуль",C101&lt;&gt;"",OR($S$6="(все)",B101=$S$6)),MAX($AA$3:AA100)+1,"")</f>
      </c>
      <c r="AB101" s="133">
        <f>IFERROR(INDEX($C$4:$C$500,MATCH(ROW()-3,$AA$4:$AA$500,0)),"")</f>
      </c>
      <c r="AC101" s="133">
        <f>IF(OR(B101="",COUNTIF($B$4:B101,B101)&gt;1),"",MAX($AC$3:AC100)+1)</f>
      </c>
      <c r="AD101" s="133">
        <f>IFERROR(INDEX($B$4:$B$500,MATCH(ROW()-3,$AC$4:$AC$500,0)),"")</f>
      </c>
      <c r="AE101" s="133">
        <f>IF(AND(A101&lt;&gt;"",N(P101)&gt;0),IFERROR(MATCH(A101,$R$12:$R$25,0),99)*1000+ROW(),"")</f>
      </c>
      <c r="AF101" s="133">
        <f>IF(AE101="","",COUNTIF($AE$4:$AE$500,"&lt;="&amp;AE101))</f>
      </c>
    </row>
    <row r="102">
      <c r="A102" s="265"/>
      <c r="B102" s="265"/>
      <c r="C102" s="265"/>
      <c r="D102" s="265"/>
      <c r="E102" s="265"/>
      <c r="F102" s="265"/>
      <c r="G102" s="265"/>
      <c r="H102" s="265"/>
      <c r="I102" s="265"/>
      <c r="J102" s="265"/>
      <c r="K102" s="265"/>
      <c r="L102" s="265"/>
      <c r="M102" s="265"/>
      <c r="N102" s="133">
        <f>IF(OR(A102="Автомат",A102="Дифавтомат"),IF(W102="","",COUNTIF(Однолинейка!$H$3:$H$1000,U102)),IF(A102="Аппарат",IF(C102="","",COUNTIF(Однолинейка!$I$3:$I$1000,C102)+COUNTIF(Однолинейка!$J$3:$J$1000,C102)+COUNTIF(Однолинейка!$K$3:$K$1000,C102)),IF(A102="Модуль",IF(C102="","",COUNTIFS(Однолинейка!$AW$3:$AW$1000,"?*",Однолинейка!$AI$3:$AI$1000,C102)),IF(A102="Клемма",IF(C102="","",IF(C102=$S$7,SUM(Однолинейка!$BW$3:$BW$1000),IF(C102=$S$8,SUM(Однолинейка!$BX$3:$BX$1000),""))),""))))</f>
      </c>
      <c r="O102" s="265"/>
      <c r="P102" s="133">
        <f>IF(COUNT(N102,O102)=0,"",SUM(N102,O102))</f>
      </c>
      <c r="U102" s="133">
        <f>IF(OR(A102="Автомат",A102="Дифавтомат"),I102&amp;" С"&amp;J102&amp;"А"&amp;IF(K102="да"," 30мА",""),"")</f>
      </c>
      <c r="V102" s="133">
        <f>IF(U102="","",B102&amp;"|"&amp;U102)</f>
      </c>
      <c r="W102" s="133">
        <f>IF(AND(U102&lt;&gt;"",OR($S$4="(все)",B102=$S$4),IF($S$4="(все)",COUNTIF($U$4:U102,U102),COUNTIFS($U$4:U102,U102,$B$4:B102,B102))=1),MAX($W$3:W101)+1,"")</f>
      </c>
      <c r="X102" s="133">
        <f>IFERROR(INDEX($U$4:$U$500,MATCH(ROW()-3,$W$4:$W$500,0)),"")</f>
      </c>
      <c r="Y102" s="133">
        <f>IF(AND(A102="Аппарат",C102&lt;&gt;"",OR($S$5="(все)",B102=$S$5)),MAX($Y$3:Y101)+1,"")</f>
      </c>
      <c r="Z102" s="133">
        <f>IFERROR(INDEX($C$4:$C$500,MATCH(ROW()-3,$Y$4:$Y$500,0)),"")</f>
      </c>
      <c r="AA102" s="133">
        <f>IF(AND(A102="Модуль",C102&lt;&gt;"",OR($S$6="(все)",B102=$S$6)),MAX($AA$3:AA101)+1,"")</f>
      </c>
      <c r="AB102" s="133">
        <f>IFERROR(INDEX($C$4:$C$500,MATCH(ROW()-3,$AA$4:$AA$500,0)),"")</f>
      </c>
      <c r="AC102" s="133">
        <f>IF(OR(B102="",COUNTIF($B$4:B102,B102)&gt;1),"",MAX($AC$3:AC101)+1)</f>
      </c>
      <c r="AD102" s="133">
        <f>IFERROR(INDEX($B$4:$B$500,MATCH(ROW()-3,$AC$4:$AC$500,0)),"")</f>
      </c>
      <c r="AE102" s="133">
        <f>IF(AND(A102&lt;&gt;"",N(P102)&gt;0),IFERROR(MATCH(A102,$R$12:$R$25,0),99)*1000+ROW(),"")</f>
      </c>
      <c r="AF102" s="133">
        <f>IF(AE102="","",COUNTIF($AE$4:$AE$500,"&lt;="&amp;AE102))</f>
      </c>
    </row>
    <row r="103">
      <c r="A103" s="265"/>
      <c r="B103" s="265"/>
      <c r="C103" s="265"/>
      <c r="D103" s="265"/>
      <c r="E103" s="265"/>
      <c r="F103" s="265"/>
      <c r="G103" s="265"/>
      <c r="H103" s="265"/>
      <c r="I103" s="265"/>
      <c r="J103" s="265"/>
      <c r="K103" s="265"/>
      <c r="L103" s="265"/>
      <c r="M103" s="265"/>
      <c r="N103" s="133">
        <f>IF(OR(A103="Автомат",A103="Дифавтомат"),IF(W103="","",COUNTIF(Однолинейка!$H$3:$H$1000,U103)),IF(A103="Аппарат",IF(C103="","",COUNTIF(Однолинейка!$I$3:$I$1000,C103)+COUNTIF(Однолинейка!$J$3:$J$1000,C103)+COUNTIF(Однолинейка!$K$3:$K$1000,C103)),IF(A103="Модуль",IF(C103="","",COUNTIFS(Однолинейка!$AW$3:$AW$1000,"?*",Однолинейка!$AI$3:$AI$1000,C103)),IF(A103="Клемма",IF(C103="","",IF(C103=$S$7,SUM(Однолинейка!$BW$3:$BW$1000),IF(C103=$S$8,SUM(Однолинейка!$BX$3:$BX$1000),""))),""))))</f>
      </c>
      <c r="O103" s="265"/>
      <c r="P103" s="133">
        <f>IF(COUNT(N103,O103)=0,"",SUM(N103,O103))</f>
      </c>
      <c r="U103" s="133">
        <f>IF(OR(A103="Автомат",A103="Дифавтомат"),I103&amp;" С"&amp;J103&amp;"А"&amp;IF(K103="да"," 30мА",""),"")</f>
      </c>
      <c r="V103" s="133">
        <f>IF(U103="","",B103&amp;"|"&amp;U103)</f>
      </c>
      <c r="W103" s="133">
        <f>IF(AND(U103&lt;&gt;"",OR($S$4="(все)",B103=$S$4),IF($S$4="(все)",COUNTIF($U$4:U103,U103),COUNTIFS($U$4:U103,U103,$B$4:B103,B103))=1),MAX($W$3:W102)+1,"")</f>
      </c>
      <c r="X103" s="133">
        <f>IFERROR(INDEX($U$4:$U$500,MATCH(ROW()-3,$W$4:$W$500,0)),"")</f>
      </c>
      <c r="Y103" s="133">
        <f>IF(AND(A103="Аппарат",C103&lt;&gt;"",OR($S$5="(все)",B103=$S$5)),MAX($Y$3:Y102)+1,"")</f>
      </c>
      <c r="Z103" s="133">
        <f>IFERROR(INDEX($C$4:$C$500,MATCH(ROW()-3,$Y$4:$Y$500,0)),"")</f>
      </c>
      <c r="AA103" s="133">
        <f>IF(AND(A103="Модуль",C103&lt;&gt;"",OR($S$6="(все)",B103=$S$6)),MAX($AA$3:AA102)+1,"")</f>
      </c>
      <c r="AB103" s="133">
        <f>IFERROR(INDEX($C$4:$C$500,MATCH(ROW()-3,$AA$4:$AA$500,0)),"")</f>
      </c>
      <c r="AC103" s="133">
        <f>IF(OR(B103="",COUNTIF($B$4:B103,B103)&gt;1),"",MAX($AC$3:AC102)+1)</f>
      </c>
      <c r="AD103" s="133">
        <f>IFERROR(INDEX($B$4:$B$500,MATCH(ROW()-3,$AC$4:$AC$500,0)),"")</f>
      </c>
      <c r="AE103" s="133">
        <f>IF(AND(A103&lt;&gt;"",N(P103)&gt;0),IFERROR(MATCH(A103,$R$12:$R$25,0),99)*1000+ROW(),"")</f>
      </c>
      <c r="AF103" s="133">
        <f>IF(AE103="","",COUNTIF($AE$4:$AE$500,"&lt;="&amp;AE103))</f>
      </c>
    </row>
    <row r="104">
      <c r="A104" s="265"/>
      <c r="B104" s="265"/>
      <c r="C104" s="265"/>
      <c r="D104" s="265"/>
      <c r="E104" s="265"/>
      <c r="F104" s="265"/>
      <c r="G104" s="265"/>
      <c r="H104" s="265"/>
      <c r="I104" s="265"/>
      <c r="J104" s="265"/>
      <c r="K104" s="265"/>
      <c r="L104" s="265"/>
      <c r="M104" s="265"/>
      <c r="N104" s="133">
        <f>IF(OR(A104="Автомат",A104="Дифавтомат"),IF(W104="","",COUNTIF(Однолинейка!$H$3:$H$1000,U104)),IF(A104="Аппарат",IF(C104="","",COUNTIF(Однолинейка!$I$3:$I$1000,C104)+COUNTIF(Однолинейка!$J$3:$J$1000,C104)+COUNTIF(Однолинейка!$K$3:$K$1000,C104)),IF(A104="Модуль",IF(C104="","",COUNTIFS(Однолинейка!$AW$3:$AW$1000,"?*",Однолинейка!$AI$3:$AI$1000,C104)),IF(A104="Клемма",IF(C104="","",IF(C104=$S$7,SUM(Однолинейка!$BW$3:$BW$1000),IF(C104=$S$8,SUM(Однолинейка!$BX$3:$BX$1000),""))),""))))</f>
      </c>
      <c r="O104" s="265"/>
      <c r="P104" s="133">
        <f>IF(COUNT(N104,O104)=0,"",SUM(N104,O104))</f>
      </c>
      <c r="U104" s="133">
        <f>IF(OR(A104="Автомат",A104="Дифавтомат"),I104&amp;" С"&amp;J104&amp;"А"&amp;IF(K104="да"," 30мА",""),"")</f>
      </c>
      <c r="V104" s="133">
        <f>IF(U104="","",B104&amp;"|"&amp;U104)</f>
      </c>
      <c r="W104" s="133">
        <f>IF(AND(U104&lt;&gt;"",OR($S$4="(все)",B104=$S$4),IF($S$4="(все)",COUNTIF($U$4:U104,U104),COUNTIFS($U$4:U104,U104,$B$4:B104,B104))=1),MAX($W$3:W103)+1,"")</f>
      </c>
      <c r="X104" s="133">
        <f>IFERROR(INDEX($U$4:$U$500,MATCH(ROW()-3,$W$4:$W$500,0)),"")</f>
      </c>
      <c r="Y104" s="133">
        <f>IF(AND(A104="Аппарат",C104&lt;&gt;"",OR($S$5="(все)",B104=$S$5)),MAX($Y$3:Y103)+1,"")</f>
      </c>
      <c r="Z104" s="133">
        <f>IFERROR(INDEX($C$4:$C$500,MATCH(ROW()-3,$Y$4:$Y$500,0)),"")</f>
      </c>
      <c r="AA104" s="133">
        <f>IF(AND(A104="Модуль",C104&lt;&gt;"",OR($S$6="(все)",B104=$S$6)),MAX($AA$3:AA103)+1,"")</f>
      </c>
      <c r="AB104" s="133">
        <f>IFERROR(INDEX($C$4:$C$500,MATCH(ROW()-3,$AA$4:$AA$500,0)),"")</f>
      </c>
      <c r="AC104" s="133">
        <f>IF(OR(B104="",COUNTIF($B$4:B104,B104)&gt;1),"",MAX($AC$3:AC103)+1)</f>
      </c>
      <c r="AD104" s="133">
        <f>IFERROR(INDEX($B$4:$B$500,MATCH(ROW()-3,$AC$4:$AC$500,0)),"")</f>
      </c>
      <c r="AE104" s="133">
        <f>IF(AND(A104&lt;&gt;"",N(P104)&gt;0),IFERROR(MATCH(A104,$R$12:$R$25,0),99)*1000+ROW(),"")</f>
      </c>
      <c r="AF104" s="133">
        <f>IF(AE104="","",COUNTIF($AE$4:$AE$500,"&lt;="&amp;AE104))</f>
      </c>
    </row>
    <row r="105">
      <c r="A105" s="265"/>
      <c r="B105" s="265"/>
      <c r="C105" s="265"/>
      <c r="D105" s="265"/>
      <c r="E105" s="265"/>
      <c r="F105" s="265"/>
      <c r="G105" s="265"/>
      <c r="H105" s="265"/>
      <c r="I105" s="265"/>
      <c r="J105" s="265"/>
      <c r="K105" s="265"/>
      <c r="L105" s="265"/>
      <c r="M105" s="265"/>
      <c r="N105" s="133">
        <f>IF(OR(A105="Автомат",A105="Дифавтомат"),IF(W105="","",COUNTIF(Однолинейка!$H$3:$H$1000,U105)),IF(A105="Аппарат",IF(C105="","",COUNTIF(Однолинейка!$I$3:$I$1000,C105)+COUNTIF(Однолинейка!$J$3:$J$1000,C105)+COUNTIF(Однолинейка!$K$3:$K$1000,C105)),IF(A105="Модуль",IF(C105="","",COUNTIFS(Однолинейка!$AW$3:$AW$1000,"?*",Однолинейка!$AI$3:$AI$1000,C105)),IF(A105="Клемма",IF(C105="","",IF(C105=$S$7,SUM(Однолинейка!$BW$3:$BW$1000),IF(C105=$S$8,SUM(Однолинейка!$BX$3:$BX$1000),""))),""))))</f>
      </c>
      <c r="O105" s="265"/>
      <c r="P105" s="133">
        <f>IF(COUNT(N105,O105)=0,"",SUM(N105,O105))</f>
      </c>
      <c r="U105" s="133">
        <f>IF(OR(A105="Автомат",A105="Дифавтомат"),I105&amp;" С"&amp;J105&amp;"А"&amp;IF(K105="да"," 30мА",""),"")</f>
      </c>
      <c r="V105" s="133">
        <f>IF(U105="","",B105&amp;"|"&amp;U105)</f>
      </c>
      <c r="W105" s="133">
        <f>IF(AND(U105&lt;&gt;"",OR($S$4="(все)",B105=$S$4),IF($S$4="(все)",COUNTIF($U$4:U105,U105),COUNTIFS($U$4:U105,U105,$B$4:B105,B105))=1),MAX($W$3:W104)+1,"")</f>
      </c>
      <c r="X105" s="133">
        <f>IFERROR(INDEX($U$4:$U$500,MATCH(ROW()-3,$W$4:$W$500,0)),"")</f>
      </c>
      <c r="Y105" s="133">
        <f>IF(AND(A105="Аппарат",C105&lt;&gt;"",OR($S$5="(все)",B105=$S$5)),MAX($Y$3:Y104)+1,"")</f>
      </c>
      <c r="Z105" s="133">
        <f>IFERROR(INDEX($C$4:$C$500,MATCH(ROW()-3,$Y$4:$Y$500,0)),"")</f>
      </c>
      <c r="AA105" s="133">
        <f>IF(AND(A105="Модуль",C105&lt;&gt;"",OR($S$6="(все)",B105=$S$6)),MAX($AA$3:AA104)+1,"")</f>
      </c>
      <c r="AB105" s="133">
        <f>IFERROR(INDEX($C$4:$C$500,MATCH(ROW()-3,$AA$4:$AA$500,0)),"")</f>
      </c>
      <c r="AC105" s="133">
        <f>IF(OR(B105="",COUNTIF($B$4:B105,B105)&gt;1),"",MAX($AC$3:AC104)+1)</f>
      </c>
      <c r="AD105" s="133">
        <f>IFERROR(INDEX($B$4:$B$500,MATCH(ROW()-3,$AC$4:$AC$500,0)),"")</f>
      </c>
      <c r="AE105" s="133">
        <f>IF(AND(A105&lt;&gt;"",N(P105)&gt;0),IFERROR(MATCH(A105,$R$12:$R$25,0),99)*1000+ROW(),"")</f>
      </c>
      <c r="AF105" s="133">
        <f>IF(AE105="","",COUNTIF($AE$4:$AE$500,"&lt;="&amp;AE105))</f>
      </c>
    </row>
    <row r="106">
      <c r="A106" s="265"/>
      <c r="B106" s="265"/>
      <c r="C106" s="265"/>
      <c r="D106" s="265"/>
      <c r="E106" s="265"/>
      <c r="F106" s="265"/>
      <c r="G106" s="265"/>
      <c r="H106" s="265"/>
      <c r="I106" s="265"/>
      <c r="J106" s="265"/>
      <c r="K106" s="265"/>
      <c r="L106" s="265"/>
      <c r="M106" s="265"/>
      <c r="N106" s="133">
        <f>IF(OR(A106="Автомат",A106="Дифавтомат"),IF(W106="","",COUNTIF(Однолинейка!$H$3:$H$1000,U106)),IF(A106="Аппарат",IF(C106="","",COUNTIF(Однолинейка!$I$3:$I$1000,C106)+COUNTIF(Однолинейка!$J$3:$J$1000,C106)+COUNTIF(Однолинейка!$K$3:$K$1000,C106)),IF(A106="Модуль",IF(C106="","",COUNTIFS(Однолинейка!$AW$3:$AW$1000,"?*",Однолинейка!$AI$3:$AI$1000,C106)),IF(A106="Клемма",IF(C106="","",IF(C106=$S$7,SUM(Однолинейка!$BW$3:$BW$1000),IF(C106=$S$8,SUM(Однолинейка!$BX$3:$BX$1000),""))),""))))</f>
      </c>
      <c r="O106" s="265"/>
      <c r="P106" s="133">
        <f>IF(COUNT(N106,O106)=0,"",SUM(N106,O106))</f>
      </c>
      <c r="U106" s="133">
        <f>IF(OR(A106="Автомат",A106="Дифавтомат"),I106&amp;" С"&amp;J106&amp;"А"&amp;IF(K106="да"," 30мА",""),"")</f>
      </c>
      <c r="V106" s="133">
        <f>IF(U106="","",B106&amp;"|"&amp;U106)</f>
      </c>
      <c r="W106" s="133">
        <f>IF(AND(U106&lt;&gt;"",OR($S$4="(все)",B106=$S$4),IF($S$4="(все)",COUNTIF($U$4:U106,U106),COUNTIFS($U$4:U106,U106,$B$4:B106,B106))=1),MAX($W$3:W105)+1,"")</f>
      </c>
      <c r="X106" s="133">
        <f>IFERROR(INDEX($U$4:$U$500,MATCH(ROW()-3,$W$4:$W$500,0)),"")</f>
      </c>
      <c r="Y106" s="133">
        <f>IF(AND(A106="Аппарат",C106&lt;&gt;"",OR($S$5="(все)",B106=$S$5)),MAX($Y$3:Y105)+1,"")</f>
      </c>
      <c r="Z106" s="133">
        <f>IFERROR(INDEX($C$4:$C$500,MATCH(ROW()-3,$Y$4:$Y$500,0)),"")</f>
      </c>
      <c r="AA106" s="133">
        <f>IF(AND(A106="Модуль",C106&lt;&gt;"",OR($S$6="(все)",B106=$S$6)),MAX($AA$3:AA105)+1,"")</f>
      </c>
      <c r="AB106" s="133">
        <f>IFERROR(INDEX($C$4:$C$500,MATCH(ROW()-3,$AA$4:$AA$500,0)),"")</f>
      </c>
      <c r="AC106" s="133">
        <f>IF(OR(B106="",COUNTIF($B$4:B106,B106)&gt;1),"",MAX($AC$3:AC105)+1)</f>
      </c>
      <c r="AD106" s="133">
        <f>IFERROR(INDEX($B$4:$B$500,MATCH(ROW()-3,$AC$4:$AC$500,0)),"")</f>
      </c>
      <c r="AE106" s="133">
        <f>IF(AND(A106&lt;&gt;"",N(P106)&gt;0),IFERROR(MATCH(A106,$R$12:$R$25,0),99)*1000+ROW(),"")</f>
      </c>
      <c r="AF106" s="133">
        <f>IF(AE106="","",COUNTIF($AE$4:$AE$500,"&lt;="&amp;AE106))</f>
      </c>
    </row>
    <row r="107">
      <c r="A107" s="265"/>
      <c r="B107" s="265"/>
      <c r="C107" s="265"/>
      <c r="D107" s="265"/>
      <c r="E107" s="265"/>
      <c r="F107" s="265"/>
      <c r="G107" s="265"/>
      <c r="H107" s="265"/>
      <c r="I107" s="265"/>
      <c r="J107" s="265"/>
      <c r="K107" s="265"/>
      <c r="L107" s="265"/>
      <c r="M107" s="265"/>
      <c r="N107" s="133">
        <f>IF(OR(A107="Автомат",A107="Дифавтомат"),IF(W107="","",COUNTIF(Однолинейка!$H$3:$H$1000,U107)),IF(A107="Аппарат",IF(C107="","",COUNTIF(Однолинейка!$I$3:$I$1000,C107)+COUNTIF(Однолинейка!$J$3:$J$1000,C107)+COUNTIF(Однолинейка!$K$3:$K$1000,C107)),IF(A107="Модуль",IF(C107="","",COUNTIFS(Однолинейка!$AW$3:$AW$1000,"?*",Однолинейка!$AI$3:$AI$1000,C107)),IF(A107="Клемма",IF(C107="","",IF(C107=$S$7,SUM(Однолинейка!$BW$3:$BW$1000),IF(C107=$S$8,SUM(Однолинейка!$BX$3:$BX$1000),""))),""))))</f>
      </c>
      <c r="O107" s="265"/>
      <c r="P107" s="133">
        <f>IF(COUNT(N107,O107)=0,"",SUM(N107,O107))</f>
      </c>
      <c r="U107" s="133">
        <f>IF(OR(A107="Автомат",A107="Дифавтомат"),I107&amp;" С"&amp;J107&amp;"А"&amp;IF(K107="да"," 30мА",""),"")</f>
      </c>
      <c r="V107" s="133">
        <f>IF(U107="","",B107&amp;"|"&amp;U107)</f>
      </c>
      <c r="W107" s="133">
        <f>IF(AND(U107&lt;&gt;"",OR($S$4="(все)",B107=$S$4),IF($S$4="(все)",COUNTIF($U$4:U107,U107),COUNTIFS($U$4:U107,U107,$B$4:B107,B107))=1),MAX($W$3:W106)+1,"")</f>
      </c>
      <c r="X107" s="133">
        <f>IFERROR(INDEX($U$4:$U$500,MATCH(ROW()-3,$W$4:$W$500,0)),"")</f>
      </c>
      <c r="Y107" s="133">
        <f>IF(AND(A107="Аппарат",C107&lt;&gt;"",OR($S$5="(все)",B107=$S$5)),MAX($Y$3:Y106)+1,"")</f>
      </c>
      <c r="Z107" s="133">
        <f>IFERROR(INDEX($C$4:$C$500,MATCH(ROW()-3,$Y$4:$Y$500,0)),"")</f>
      </c>
      <c r="AA107" s="133">
        <f>IF(AND(A107="Модуль",C107&lt;&gt;"",OR($S$6="(все)",B107=$S$6)),MAX($AA$3:AA106)+1,"")</f>
      </c>
      <c r="AB107" s="133">
        <f>IFERROR(INDEX($C$4:$C$500,MATCH(ROW()-3,$AA$4:$AA$500,0)),"")</f>
      </c>
      <c r="AC107" s="133">
        <f>IF(OR(B107="",COUNTIF($B$4:B107,B107)&gt;1),"",MAX($AC$3:AC106)+1)</f>
      </c>
      <c r="AD107" s="133">
        <f>IFERROR(INDEX($B$4:$B$500,MATCH(ROW()-3,$AC$4:$AC$500,0)),"")</f>
      </c>
      <c r="AE107" s="133">
        <f>IF(AND(A107&lt;&gt;"",N(P107)&gt;0),IFERROR(MATCH(A107,$R$12:$R$25,0),99)*1000+ROW(),"")</f>
      </c>
      <c r="AF107" s="133">
        <f>IF(AE107="","",COUNTIF($AE$4:$AE$500,"&lt;="&amp;AE107))</f>
      </c>
    </row>
    <row r="108">
      <c r="A108" s="265"/>
      <c r="B108" s="265"/>
      <c r="C108" s="265"/>
      <c r="D108" s="265"/>
      <c r="E108" s="265"/>
      <c r="F108" s="265"/>
      <c r="G108" s="265"/>
      <c r="H108" s="265"/>
      <c r="I108" s="265"/>
      <c r="J108" s="265"/>
      <c r="K108" s="265"/>
      <c r="L108" s="265"/>
      <c r="M108" s="265"/>
      <c r="N108" s="133">
        <f>IF(OR(A108="Автомат",A108="Дифавтомат"),IF(W108="","",COUNTIF(Однолинейка!$H$3:$H$1000,U108)),IF(A108="Аппарат",IF(C108="","",COUNTIF(Однолинейка!$I$3:$I$1000,C108)+COUNTIF(Однолинейка!$J$3:$J$1000,C108)+COUNTIF(Однолинейка!$K$3:$K$1000,C108)),IF(A108="Модуль",IF(C108="","",COUNTIFS(Однолинейка!$AW$3:$AW$1000,"?*",Однолинейка!$AI$3:$AI$1000,C108)),IF(A108="Клемма",IF(C108="","",IF(C108=$S$7,SUM(Однолинейка!$BW$3:$BW$1000),IF(C108=$S$8,SUM(Однолинейка!$BX$3:$BX$1000),""))),""))))</f>
      </c>
      <c r="O108" s="265"/>
      <c r="P108" s="133">
        <f>IF(COUNT(N108,O108)=0,"",SUM(N108,O108))</f>
      </c>
      <c r="U108" s="133">
        <f>IF(OR(A108="Автомат",A108="Дифавтомат"),I108&amp;" С"&amp;J108&amp;"А"&amp;IF(K108="да"," 30мА",""),"")</f>
      </c>
      <c r="V108" s="133">
        <f>IF(U108="","",B108&amp;"|"&amp;U108)</f>
      </c>
      <c r="W108" s="133">
        <f>IF(AND(U108&lt;&gt;"",OR($S$4="(все)",B108=$S$4),IF($S$4="(все)",COUNTIF($U$4:U108,U108),COUNTIFS($U$4:U108,U108,$B$4:B108,B108))=1),MAX($W$3:W107)+1,"")</f>
      </c>
      <c r="X108" s="133">
        <f>IFERROR(INDEX($U$4:$U$500,MATCH(ROW()-3,$W$4:$W$500,0)),"")</f>
      </c>
      <c r="Y108" s="133">
        <f>IF(AND(A108="Аппарат",C108&lt;&gt;"",OR($S$5="(все)",B108=$S$5)),MAX($Y$3:Y107)+1,"")</f>
      </c>
      <c r="Z108" s="133">
        <f>IFERROR(INDEX($C$4:$C$500,MATCH(ROW()-3,$Y$4:$Y$500,0)),"")</f>
      </c>
      <c r="AA108" s="133">
        <f>IF(AND(A108="Модуль",C108&lt;&gt;"",OR($S$6="(все)",B108=$S$6)),MAX($AA$3:AA107)+1,"")</f>
      </c>
      <c r="AB108" s="133">
        <f>IFERROR(INDEX($C$4:$C$500,MATCH(ROW()-3,$AA$4:$AA$500,0)),"")</f>
      </c>
      <c r="AC108" s="133">
        <f>IF(OR(B108="",COUNTIF($B$4:B108,B108)&gt;1),"",MAX($AC$3:AC107)+1)</f>
      </c>
      <c r="AD108" s="133">
        <f>IFERROR(INDEX($B$4:$B$500,MATCH(ROW()-3,$AC$4:$AC$500,0)),"")</f>
      </c>
      <c r="AE108" s="133">
        <f>IF(AND(A108&lt;&gt;"",N(P108)&gt;0),IFERROR(MATCH(A108,$R$12:$R$25,0),99)*1000+ROW(),"")</f>
      </c>
      <c r="AF108" s="133">
        <f>IF(AE108="","",COUNTIF($AE$4:$AE$500,"&lt;="&amp;AE108))</f>
      </c>
    </row>
    <row r="109">
      <c r="A109" s="265"/>
      <c r="B109" s="265"/>
      <c r="C109" s="265"/>
      <c r="D109" s="265"/>
      <c r="E109" s="265"/>
      <c r="F109" s="265"/>
      <c r="G109" s="265"/>
      <c r="H109" s="265"/>
      <c r="I109" s="265"/>
      <c r="J109" s="265"/>
      <c r="K109" s="265"/>
      <c r="L109" s="265"/>
      <c r="M109" s="265"/>
      <c r="N109" s="133">
        <f>IF(OR(A109="Автомат",A109="Дифавтомат"),IF(W109="","",COUNTIF(Однолинейка!$H$3:$H$1000,U109)),IF(A109="Аппарат",IF(C109="","",COUNTIF(Однолинейка!$I$3:$I$1000,C109)+COUNTIF(Однолинейка!$J$3:$J$1000,C109)+COUNTIF(Однолинейка!$K$3:$K$1000,C109)),IF(A109="Модуль",IF(C109="","",COUNTIFS(Однолинейка!$AW$3:$AW$1000,"?*",Однолинейка!$AI$3:$AI$1000,C109)),IF(A109="Клемма",IF(C109="","",IF(C109=$S$7,SUM(Однолинейка!$BW$3:$BW$1000),IF(C109=$S$8,SUM(Однолинейка!$BX$3:$BX$1000),""))),""))))</f>
      </c>
      <c r="O109" s="265"/>
      <c r="P109" s="133">
        <f>IF(COUNT(N109,O109)=0,"",SUM(N109,O109))</f>
      </c>
      <c r="U109" s="133">
        <f>IF(OR(A109="Автомат",A109="Дифавтомат"),I109&amp;" С"&amp;J109&amp;"А"&amp;IF(K109="да"," 30мА",""),"")</f>
      </c>
      <c r="V109" s="133">
        <f>IF(U109="","",B109&amp;"|"&amp;U109)</f>
      </c>
      <c r="W109" s="133">
        <f>IF(AND(U109&lt;&gt;"",OR($S$4="(все)",B109=$S$4),IF($S$4="(все)",COUNTIF($U$4:U109,U109),COUNTIFS($U$4:U109,U109,$B$4:B109,B109))=1),MAX($W$3:W108)+1,"")</f>
      </c>
      <c r="X109" s="133">
        <f>IFERROR(INDEX($U$4:$U$500,MATCH(ROW()-3,$W$4:$W$500,0)),"")</f>
      </c>
      <c r="Y109" s="133">
        <f>IF(AND(A109="Аппарат",C109&lt;&gt;"",OR($S$5="(все)",B109=$S$5)),MAX($Y$3:Y108)+1,"")</f>
      </c>
      <c r="Z109" s="133">
        <f>IFERROR(INDEX($C$4:$C$500,MATCH(ROW()-3,$Y$4:$Y$500,0)),"")</f>
      </c>
      <c r="AA109" s="133">
        <f>IF(AND(A109="Модуль",C109&lt;&gt;"",OR($S$6="(все)",B109=$S$6)),MAX($AA$3:AA108)+1,"")</f>
      </c>
      <c r="AB109" s="133">
        <f>IFERROR(INDEX($C$4:$C$500,MATCH(ROW()-3,$AA$4:$AA$500,0)),"")</f>
      </c>
      <c r="AC109" s="133">
        <f>IF(OR(B109="",COUNTIF($B$4:B109,B109)&gt;1),"",MAX($AC$3:AC108)+1)</f>
      </c>
      <c r="AD109" s="133">
        <f>IFERROR(INDEX($B$4:$B$500,MATCH(ROW()-3,$AC$4:$AC$500,0)),"")</f>
      </c>
      <c r="AE109" s="133">
        <f>IF(AND(A109&lt;&gt;"",N(P109)&gt;0),IFERROR(MATCH(A109,$R$12:$R$25,0),99)*1000+ROW(),"")</f>
      </c>
      <c r="AF109" s="133">
        <f>IF(AE109="","",COUNTIF($AE$4:$AE$500,"&lt;="&amp;AE109))</f>
      </c>
    </row>
    <row r="110">
      <c r="A110" s="265"/>
      <c r="B110" s="265"/>
      <c r="C110" s="265"/>
      <c r="D110" s="265"/>
      <c r="E110" s="265"/>
      <c r="F110" s="265"/>
      <c r="G110" s="265"/>
      <c r="H110" s="265"/>
      <c r="I110" s="265"/>
      <c r="J110" s="265"/>
      <c r="K110" s="265"/>
      <c r="L110" s="265"/>
      <c r="M110" s="265"/>
      <c r="N110" s="133">
        <f>IF(OR(A110="Автомат",A110="Дифавтомат"),IF(W110="","",COUNTIF(Однолинейка!$H$3:$H$1000,U110)),IF(A110="Аппарат",IF(C110="","",COUNTIF(Однолинейка!$I$3:$I$1000,C110)+COUNTIF(Однолинейка!$J$3:$J$1000,C110)+COUNTIF(Однолинейка!$K$3:$K$1000,C110)),IF(A110="Модуль",IF(C110="","",COUNTIFS(Однолинейка!$AW$3:$AW$1000,"?*",Однолинейка!$AI$3:$AI$1000,C110)),IF(A110="Клемма",IF(C110="","",IF(C110=$S$7,SUM(Однолинейка!$BW$3:$BW$1000),IF(C110=$S$8,SUM(Однолинейка!$BX$3:$BX$1000),""))),""))))</f>
      </c>
      <c r="O110" s="265"/>
      <c r="P110" s="133">
        <f>IF(COUNT(N110,O110)=0,"",SUM(N110,O110))</f>
      </c>
      <c r="U110" s="133">
        <f>IF(OR(A110="Автомат",A110="Дифавтомат"),I110&amp;" С"&amp;J110&amp;"А"&amp;IF(K110="да"," 30мА",""),"")</f>
      </c>
      <c r="V110" s="133">
        <f>IF(U110="","",B110&amp;"|"&amp;U110)</f>
      </c>
      <c r="W110" s="133">
        <f>IF(AND(U110&lt;&gt;"",OR($S$4="(все)",B110=$S$4),IF($S$4="(все)",COUNTIF($U$4:U110,U110),COUNTIFS($U$4:U110,U110,$B$4:B110,B110))=1),MAX($W$3:W109)+1,"")</f>
      </c>
      <c r="X110" s="133">
        <f>IFERROR(INDEX($U$4:$U$500,MATCH(ROW()-3,$W$4:$W$500,0)),"")</f>
      </c>
      <c r="Y110" s="133">
        <f>IF(AND(A110="Аппарат",C110&lt;&gt;"",OR($S$5="(все)",B110=$S$5)),MAX($Y$3:Y109)+1,"")</f>
      </c>
      <c r="Z110" s="133">
        <f>IFERROR(INDEX($C$4:$C$500,MATCH(ROW()-3,$Y$4:$Y$500,0)),"")</f>
      </c>
      <c r="AA110" s="133">
        <f>IF(AND(A110="Модуль",C110&lt;&gt;"",OR($S$6="(все)",B110=$S$6)),MAX($AA$3:AA109)+1,"")</f>
      </c>
      <c r="AB110" s="133">
        <f>IFERROR(INDEX($C$4:$C$500,MATCH(ROW()-3,$AA$4:$AA$500,0)),"")</f>
      </c>
      <c r="AC110" s="133">
        <f>IF(OR(B110="",COUNTIF($B$4:B110,B110)&gt;1),"",MAX($AC$3:AC109)+1)</f>
      </c>
      <c r="AD110" s="133">
        <f>IFERROR(INDEX($B$4:$B$500,MATCH(ROW()-3,$AC$4:$AC$500,0)),"")</f>
      </c>
      <c r="AE110" s="133">
        <f>IF(AND(A110&lt;&gt;"",N(P110)&gt;0),IFERROR(MATCH(A110,$R$12:$R$25,0),99)*1000+ROW(),"")</f>
      </c>
      <c r="AF110" s="133">
        <f>IF(AE110="","",COUNTIF($AE$4:$AE$500,"&lt;="&amp;AE110))</f>
      </c>
    </row>
    <row r="111">
      <c r="A111" s="265"/>
      <c r="B111" s="265"/>
      <c r="C111" s="265"/>
      <c r="D111" s="265"/>
      <c r="E111" s="265"/>
      <c r="F111" s="265"/>
      <c r="G111" s="265"/>
      <c r="H111" s="265"/>
      <c r="I111" s="265"/>
      <c r="J111" s="265"/>
      <c r="K111" s="265"/>
      <c r="L111" s="265"/>
      <c r="M111" s="265"/>
      <c r="N111" s="133">
        <f>IF(OR(A111="Автомат",A111="Дифавтомат"),IF(W111="","",COUNTIF(Однолинейка!$H$3:$H$1000,U111)),IF(A111="Аппарат",IF(C111="","",COUNTIF(Однолинейка!$I$3:$I$1000,C111)+COUNTIF(Однолинейка!$J$3:$J$1000,C111)+COUNTIF(Однолинейка!$K$3:$K$1000,C111)),IF(A111="Модуль",IF(C111="","",COUNTIFS(Однолинейка!$AW$3:$AW$1000,"?*",Однолинейка!$AI$3:$AI$1000,C111)),IF(A111="Клемма",IF(C111="","",IF(C111=$S$7,SUM(Однолинейка!$BW$3:$BW$1000),IF(C111=$S$8,SUM(Однолинейка!$BX$3:$BX$1000),""))),""))))</f>
      </c>
      <c r="O111" s="265"/>
      <c r="P111" s="133">
        <f>IF(COUNT(N111,O111)=0,"",SUM(N111,O111))</f>
      </c>
      <c r="U111" s="133">
        <f>IF(OR(A111="Автомат",A111="Дифавтомат"),I111&amp;" С"&amp;J111&amp;"А"&amp;IF(K111="да"," 30мА",""),"")</f>
      </c>
      <c r="V111" s="133">
        <f>IF(U111="","",B111&amp;"|"&amp;U111)</f>
      </c>
      <c r="W111" s="133">
        <f>IF(AND(U111&lt;&gt;"",OR($S$4="(все)",B111=$S$4),IF($S$4="(все)",COUNTIF($U$4:U111,U111),COUNTIFS($U$4:U111,U111,$B$4:B111,B111))=1),MAX($W$3:W110)+1,"")</f>
      </c>
      <c r="X111" s="133">
        <f>IFERROR(INDEX($U$4:$U$500,MATCH(ROW()-3,$W$4:$W$500,0)),"")</f>
      </c>
      <c r="Y111" s="133">
        <f>IF(AND(A111="Аппарат",C111&lt;&gt;"",OR($S$5="(все)",B111=$S$5)),MAX($Y$3:Y110)+1,"")</f>
      </c>
      <c r="Z111" s="133">
        <f>IFERROR(INDEX($C$4:$C$500,MATCH(ROW()-3,$Y$4:$Y$500,0)),"")</f>
      </c>
      <c r="AA111" s="133">
        <f>IF(AND(A111="Модуль",C111&lt;&gt;"",OR($S$6="(все)",B111=$S$6)),MAX($AA$3:AA110)+1,"")</f>
      </c>
      <c r="AB111" s="133">
        <f>IFERROR(INDEX($C$4:$C$500,MATCH(ROW()-3,$AA$4:$AA$500,0)),"")</f>
      </c>
      <c r="AC111" s="133">
        <f>IF(OR(B111="",COUNTIF($B$4:B111,B111)&gt;1),"",MAX($AC$3:AC110)+1)</f>
      </c>
      <c r="AD111" s="133">
        <f>IFERROR(INDEX($B$4:$B$500,MATCH(ROW()-3,$AC$4:$AC$500,0)),"")</f>
      </c>
      <c r="AE111" s="133">
        <f>IF(AND(A111&lt;&gt;"",N(P111)&gt;0),IFERROR(MATCH(A111,$R$12:$R$25,0),99)*1000+ROW(),"")</f>
      </c>
      <c r="AF111" s="133">
        <f>IF(AE111="","",COUNTIF($AE$4:$AE$500,"&lt;="&amp;AE111))</f>
      </c>
    </row>
    <row r="112">
      <c r="A112" s="265"/>
      <c r="B112" s="265"/>
      <c r="C112" s="265"/>
      <c r="D112" s="265"/>
      <c r="E112" s="265"/>
      <c r="F112" s="265"/>
      <c r="G112" s="265"/>
      <c r="H112" s="265"/>
      <c r="I112" s="265"/>
      <c r="J112" s="265"/>
      <c r="K112" s="265"/>
      <c r="L112" s="265"/>
      <c r="M112" s="265"/>
      <c r="N112" s="133">
        <f>IF(OR(A112="Автомат",A112="Дифавтомат"),IF(W112="","",COUNTIF(Однолинейка!$H$3:$H$1000,U112)),IF(A112="Аппарат",IF(C112="","",COUNTIF(Однолинейка!$I$3:$I$1000,C112)+COUNTIF(Однолинейка!$J$3:$J$1000,C112)+COUNTIF(Однолинейка!$K$3:$K$1000,C112)),IF(A112="Модуль",IF(C112="","",COUNTIFS(Однолинейка!$AW$3:$AW$1000,"?*",Однолинейка!$AI$3:$AI$1000,C112)),IF(A112="Клемма",IF(C112="","",IF(C112=$S$7,SUM(Однолинейка!$BW$3:$BW$1000),IF(C112=$S$8,SUM(Однолинейка!$BX$3:$BX$1000),""))),""))))</f>
      </c>
      <c r="O112" s="265"/>
      <c r="P112" s="133">
        <f>IF(COUNT(N112,O112)=0,"",SUM(N112,O112))</f>
      </c>
      <c r="U112" s="133">
        <f>IF(OR(A112="Автомат",A112="Дифавтомат"),I112&amp;" С"&amp;J112&amp;"А"&amp;IF(K112="да"," 30мА",""),"")</f>
      </c>
      <c r="V112" s="133">
        <f>IF(U112="","",B112&amp;"|"&amp;U112)</f>
      </c>
      <c r="W112" s="133">
        <f>IF(AND(U112&lt;&gt;"",OR($S$4="(все)",B112=$S$4),IF($S$4="(все)",COUNTIF($U$4:U112,U112),COUNTIFS($U$4:U112,U112,$B$4:B112,B112))=1),MAX($W$3:W111)+1,"")</f>
      </c>
      <c r="X112" s="133">
        <f>IFERROR(INDEX($U$4:$U$500,MATCH(ROW()-3,$W$4:$W$500,0)),"")</f>
      </c>
      <c r="Y112" s="133">
        <f>IF(AND(A112="Аппарат",C112&lt;&gt;"",OR($S$5="(все)",B112=$S$5)),MAX($Y$3:Y111)+1,"")</f>
      </c>
      <c r="Z112" s="133">
        <f>IFERROR(INDEX($C$4:$C$500,MATCH(ROW()-3,$Y$4:$Y$500,0)),"")</f>
      </c>
      <c r="AA112" s="133">
        <f>IF(AND(A112="Модуль",C112&lt;&gt;"",OR($S$6="(все)",B112=$S$6)),MAX($AA$3:AA111)+1,"")</f>
      </c>
      <c r="AB112" s="133">
        <f>IFERROR(INDEX($C$4:$C$500,MATCH(ROW()-3,$AA$4:$AA$500,0)),"")</f>
      </c>
      <c r="AC112" s="133">
        <f>IF(OR(B112="",COUNTIF($B$4:B112,B112)&gt;1),"",MAX($AC$3:AC111)+1)</f>
      </c>
      <c r="AD112" s="133">
        <f>IFERROR(INDEX($B$4:$B$500,MATCH(ROW()-3,$AC$4:$AC$500,0)),"")</f>
      </c>
      <c r="AE112" s="133">
        <f>IF(AND(A112&lt;&gt;"",N(P112)&gt;0),IFERROR(MATCH(A112,$R$12:$R$25,0),99)*1000+ROW(),"")</f>
      </c>
      <c r="AF112" s="133">
        <f>IF(AE112="","",COUNTIF($AE$4:$AE$500,"&lt;="&amp;AE112))</f>
      </c>
    </row>
    <row r="113">
      <c r="A113" s="265"/>
      <c r="B113" s="265"/>
      <c r="C113" s="265"/>
      <c r="D113" s="265"/>
      <c r="E113" s="265"/>
      <c r="F113" s="265"/>
      <c r="G113" s="265"/>
      <c r="H113" s="265"/>
      <c r="I113" s="265"/>
      <c r="J113" s="265"/>
      <c r="K113" s="265"/>
      <c r="L113" s="265"/>
      <c r="M113" s="265"/>
      <c r="N113" s="133">
        <f>IF(OR(A113="Автомат",A113="Дифавтомат"),IF(W113="","",COUNTIF(Однолинейка!$H$3:$H$1000,U113)),IF(A113="Аппарат",IF(C113="","",COUNTIF(Однолинейка!$I$3:$I$1000,C113)+COUNTIF(Однолинейка!$J$3:$J$1000,C113)+COUNTIF(Однолинейка!$K$3:$K$1000,C113)),IF(A113="Модуль",IF(C113="","",COUNTIFS(Однолинейка!$AW$3:$AW$1000,"?*",Однолинейка!$AI$3:$AI$1000,C113)),IF(A113="Клемма",IF(C113="","",IF(C113=$S$7,SUM(Однолинейка!$BW$3:$BW$1000),IF(C113=$S$8,SUM(Однолинейка!$BX$3:$BX$1000),""))),""))))</f>
      </c>
      <c r="O113" s="265"/>
      <c r="P113" s="133">
        <f>IF(COUNT(N113,O113)=0,"",SUM(N113,O113))</f>
      </c>
      <c r="U113" s="133">
        <f>IF(OR(A113="Автомат",A113="Дифавтомат"),I113&amp;" С"&amp;J113&amp;"А"&amp;IF(K113="да"," 30мА",""),"")</f>
      </c>
      <c r="V113" s="133">
        <f>IF(U113="","",B113&amp;"|"&amp;U113)</f>
      </c>
      <c r="W113" s="133">
        <f>IF(AND(U113&lt;&gt;"",OR($S$4="(все)",B113=$S$4),IF($S$4="(все)",COUNTIF($U$4:U113,U113),COUNTIFS($U$4:U113,U113,$B$4:B113,B113))=1),MAX($W$3:W112)+1,"")</f>
      </c>
      <c r="X113" s="133">
        <f>IFERROR(INDEX($U$4:$U$500,MATCH(ROW()-3,$W$4:$W$500,0)),"")</f>
      </c>
      <c r="Y113" s="133">
        <f>IF(AND(A113="Аппарат",C113&lt;&gt;"",OR($S$5="(все)",B113=$S$5)),MAX($Y$3:Y112)+1,"")</f>
      </c>
      <c r="Z113" s="133">
        <f>IFERROR(INDEX($C$4:$C$500,MATCH(ROW()-3,$Y$4:$Y$500,0)),"")</f>
      </c>
      <c r="AA113" s="133">
        <f>IF(AND(A113="Модуль",C113&lt;&gt;"",OR($S$6="(все)",B113=$S$6)),MAX($AA$3:AA112)+1,"")</f>
      </c>
      <c r="AB113" s="133">
        <f>IFERROR(INDEX($C$4:$C$500,MATCH(ROW()-3,$AA$4:$AA$500,0)),"")</f>
      </c>
      <c r="AC113" s="133">
        <f>IF(OR(B113="",COUNTIF($B$4:B113,B113)&gt;1),"",MAX($AC$3:AC112)+1)</f>
      </c>
      <c r="AD113" s="133">
        <f>IFERROR(INDEX($B$4:$B$500,MATCH(ROW()-3,$AC$4:$AC$500,0)),"")</f>
      </c>
      <c r="AE113" s="133">
        <f>IF(AND(A113&lt;&gt;"",N(P113)&gt;0),IFERROR(MATCH(A113,$R$12:$R$25,0),99)*1000+ROW(),"")</f>
      </c>
      <c r="AF113" s="133">
        <f>IF(AE113="","",COUNTIF($AE$4:$AE$500,"&lt;="&amp;AE113))</f>
      </c>
    </row>
    <row r="114">
      <c r="A114" s="265"/>
      <c r="B114" s="265"/>
      <c r="C114" s="265"/>
      <c r="D114" s="265"/>
      <c r="E114" s="265"/>
      <c r="F114" s="265"/>
      <c r="G114" s="265"/>
      <c r="H114" s="265"/>
      <c r="I114" s="265"/>
      <c r="J114" s="265"/>
      <c r="K114" s="265"/>
      <c r="L114" s="265"/>
      <c r="M114" s="265"/>
      <c r="N114" s="133">
        <f>IF(OR(A114="Автомат",A114="Дифавтомат"),IF(W114="","",COUNTIF(Однолинейка!$H$3:$H$1000,U114)),IF(A114="Аппарат",IF(C114="","",COUNTIF(Однолинейка!$I$3:$I$1000,C114)+COUNTIF(Однолинейка!$J$3:$J$1000,C114)+COUNTIF(Однолинейка!$K$3:$K$1000,C114)),IF(A114="Модуль",IF(C114="","",COUNTIFS(Однолинейка!$AW$3:$AW$1000,"?*",Однолинейка!$AI$3:$AI$1000,C114)),IF(A114="Клемма",IF(C114="","",IF(C114=$S$7,SUM(Однолинейка!$BW$3:$BW$1000),IF(C114=$S$8,SUM(Однолинейка!$BX$3:$BX$1000),""))),""))))</f>
      </c>
      <c r="O114" s="265"/>
      <c r="P114" s="133">
        <f>IF(COUNT(N114,O114)=0,"",SUM(N114,O114))</f>
      </c>
      <c r="U114" s="133">
        <f>IF(OR(A114="Автомат",A114="Дифавтомат"),I114&amp;" С"&amp;J114&amp;"А"&amp;IF(K114="да"," 30мА",""),"")</f>
      </c>
      <c r="V114" s="133">
        <f>IF(U114="","",B114&amp;"|"&amp;U114)</f>
      </c>
      <c r="W114" s="133">
        <f>IF(AND(U114&lt;&gt;"",OR($S$4="(все)",B114=$S$4),IF($S$4="(все)",COUNTIF($U$4:U114,U114),COUNTIFS($U$4:U114,U114,$B$4:B114,B114))=1),MAX($W$3:W113)+1,"")</f>
      </c>
      <c r="X114" s="133">
        <f>IFERROR(INDEX($U$4:$U$500,MATCH(ROW()-3,$W$4:$W$500,0)),"")</f>
      </c>
      <c r="Y114" s="133">
        <f>IF(AND(A114="Аппарат",C114&lt;&gt;"",OR($S$5="(все)",B114=$S$5)),MAX($Y$3:Y113)+1,"")</f>
      </c>
      <c r="Z114" s="133">
        <f>IFERROR(INDEX($C$4:$C$500,MATCH(ROW()-3,$Y$4:$Y$500,0)),"")</f>
      </c>
      <c r="AA114" s="133">
        <f>IF(AND(A114="Модуль",C114&lt;&gt;"",OR($S$6="(все)",B114=$S$6)),MAX($AA$3:AA113)+1,"")</f>
      </c>
      <c r="AB114" s="133">
        <f>IFERROR(INDEX($C$4:$C$500,MATCH(ROW()-3,$AA$4:$AA$500,0)),"")</f>
      </c>
      <c r="AC114" s="133">
        <f>IF(OR(B114="",COUNTIF($B$4:B114,B114)&gt;1),"",MAX($AC$3:AC113)+1)</f>
      </c>
      <c r="AD114" s="133">
        <f>IFERROR(INDEX($B$4:$B$500,MATCH(ROW()-3,$AC$4:$AC$500,0)),"")</f>
      </c>
      <c r="AE114" s="133">
        <f>IF(AND(A114&lt;&gt;"",N(P114)&gt;0),IFERROR(MATCH(A114,$R$12:$R$25,0),99)*1000+ROW(),"")</f>
      </c>
      <c r="AF114" s="133">
        <f>IF(AE114="","",COUNTIF($AE$4:$AE$500,"&lt;="&amp;AE114))</f>
      </c>
    </row>
    <row r="115">
      <c r="A115" s="265"/>
      <c r="B115" s="265"/>
      <c r="C115" s="265"/>
      <c r="D115" s="265"/>
      <c r="E115" s="265"/>
      <c r="F115" s="265"/>
      <c r="G115" s="265"/>
      <c r="H115" s="265"/>
      <c r="I115" s="265"/>
      <c r="J115" s="265"/>
      <c r="K115" s="265"/>
      <c r="L115" s="265"/>
      <c r="M115" s="265"/>
      <c r="N115" s="133">
        <f>IF(OR(A115="Автомат",A115="Дифавтомат"),IF(W115="","",COUNTIF(Однолинейка!$H$3:$H$1000,U115)),IF(A115="Аппарат",IF(C115="","",COUNTIF(Однолинейка!$I$3:$I$1000,C115)+COUNTIF(Однолинейка!$J$3:$J$1000,C115)+COUNTIF(Однолинейка!$K$3:$K$1000,C115)),IF(A115="Модуль",IF(C115="","",COUNTIFS(Однолинейка!$AW$3:$AW$1000,"?*",Однолинейка!$AI$3:$AI$1000,C115)),IF(A115="Клемма",IF(C115="","",IF(C115=$S$7,SUM(Однолинейка!$BW$3:$BW$1000),IF(C115=$S$8,SUM(Однолинейка!$BX$3:$BX$1000),""))),""))))</f>
      </c>
      <c r="O115" s="265"/>
      <c r="P115" s="133">
        <f>IF(COUNT(N115,O115)=0,"",SUM(N115,O115))</f>
      </c>
      <c r="U115" s="133">
        <f>IF(OR(A115="Автомат",A115="Дифавтомат"),I115&amp;" С"&amp;J115&amp;"А"&amp;IF(K115="да"," 30мА",""),"")</f>
      </c>
      <c r="V115" s="133">
        <f>IF(U115="","",B115&amp;"|"&amp;U115)</f>
      </c>
      <c r="W115" s="133">
        <f>IF(AND(U115&lt;&gt;"",OR($S$4="(все)",B115=$S$4),IF($S$4="(все)",COUNTIF($U$4:U115,U115),COUNTIFS($U$4:U115,U115,$B$4:B115,B115))=1),MAX($W$3:W114)+1,"")</f>
      </c>
      <c r="X115" s="133">
        <f>IFERROR(INDEX($U$4:$U$500,MATCH(ROW()-3,$W$4:$W$500,0)),"")</f>
      </c>
      <c r="Y115" s="133">
        <f>IF(AND(A115="Аппарат",C115&lt;&gt;"",OR($S$5="(все)",B115=$S$5)),MAX($Y$3:Y114)+1,"")</f>
      </c>
      <c r="Z115" s="133">
        <f>IFERROR(INDEX($C$4:$C$500,MATCH(ROW()-3,$Y$4:$Y$500,0)),"")</f>
      </c>
      <c r="AA115" s="133">
        <f>IF(AND(A115="Модуль",C115&lt;&gt;"",OR($S$6="(все)",B115=$S$6)),MAX($AA$3:AA114)+1,"")</f>
      </c>
      <c r="AB115" s="133">
        <f>IFERROR(INDEX($C$4:$C$500,MATCH(ROW()-3,$AA$4:$AA$500,0)),"")</f>
      </c>
      <c r="AC115" s="133">
        <f>IF(OR(B115="",COUNTIF($B$4:B115,B115)&gt;1),"",MAX($AC$3:AC114)+1)</f>
      </c>
      <c r="AD115" s="133">
        <f>IFERROR(INDEX($B$4:$B$500,MATCH(ROW()-3,$AC$4:$AC$500,0)),"")</f>
      </c>
      <c r="AE115" s="133">
        <f>IF(AND(A115&lt;&gt;"",N(P115)&gt;0),IFERROR(MATCH(A115,$R$12:$R$25,0),99)*1000+ROW(),"")</f>
      </c>
      <c r="AF115" s="133">
        <f>IF(AE115="","",COUNTIF($AE$4:$AE$500,"&lt;="&amp;AE115))</f>
      </c>
    </row>
    <row r="116">
      <c r="A116" s="265"/>
      <c r="B116" s="265"/>
      <c r="C116" s="265"/>
      <c r="D116" s="265"/>
      <c r="E116" s="265"/>
      <c r="F116" s="265"/>
      <c r="G116" s="265"/>
      <c r="H116" s="265"/>
      <c r="I116" s="265"/>
      <c r="J116" s="265"/>
      <c r="K116" s="265"/>
      <c r="L116" s="265"/>
      <c r="M116" s="265"/>
      <c r="N116" s="133">
        <f>IF(OR(A116="Автомат",A116="Дифавтомат"),IF(W116="","",COUNTIF(Однолинейка!$H$3:$H$1000,U116)),IF(A116="Аппарат",IF(C116="","",COUNTIF(Однолинейка!$I$3:$I$1000,C116)+COUNTIF(Однолинейка!$J$3:$J$1000,C116)+COUNTIF(Однолинейка!$K$3:$K$1000,C116)),IF(A116="Модуль",IF(C116="","",COUNTIFS(Однолинейка!$AW$3:$AW$1000,"?*",Однолинейка!$AI$3:$AI$1000,C116)),IF(A116="Клемма",IF(C116="","",IF(C116=$S$7,SUM(Однолинейка!$BW$3:$BW$1000),IF(C116=$S$8,SUM(Однолинейка!$BX$3:$BX$1000),""))),""))))</f>
      </c>
      <c r="O116" s="265"/>
      <c r="P116" s="133">
        <f>IF(COUNT(N116,O116)=0,"",SUM(N116,O116))</f>
      </c>
      <c r="U116" s="133">
        <f>IF(OR(A116="Автомат",A116="Дифавтомат"),I116&amp;" С"&amp;J116&amp;"А"&amp;IF(K116="да"," 30мА",""),"")</f>
      </c>
      <c r="V116" s="133">
        <f>IF(U116="","",B116&amp;"|"&amp;U116)</f>
      </c>
      <c r="W116" s="133">
        <f>IF(AND(U116&lt;&gt;"",OR($S$4="(все)",B116=$S$4),IF($S$4="(все)",COUNTIF($U$4:U116,U116),COUNTIFS($U$4:U116,U116,$B$4:B116,B116))=1),MAX($W$3:W115)+1,"")</f>
      </c>
      <c r="X116" s="133">
        <f>IFERROR(INDEX($U$4:$U$500,MATCH(ROW()-3,$W$4:$W$500,0)),"")</f>
      </c>
      <c r="Y116" s="133">
        <f>IF(AND(A116="Аппарат",C116&lt;&gt;"",OR($S$5="(все)",B116=$S$5)),MAX($Y$3:Y115)+1,"")</f>
      </c>
      <c r="Z116" s="133">
        <f>IFERROR(INDEX($C$4:$C$500,MATCH(ROW()-3,$Y$4:$Y$500,0)),"")</f>
      </c>
      <c r="AA116" s="133">
        <f>IF(AND(A116="Модуль",C116&lt;&gt;"",OR($S$6="(все)",B116=$S$6)),MAX($AA$3:AA115)+1,"")</f>
      </c>
      <c r="AB116" s="133">
        <f>IFERROR(INDEX($C$4:$C$500,MATCH(ROW()-3,$AA$4:$AA$500,0)),"")</f>
      </c>
      <c r="AC116" s="133">
        <f>IF(OR(B116="",COUNTIF($B$4:B116,B116)&gt;1),"",MAX($AC$3:AC115)+1)</f>
      </c>
      <c r="AD116" s="133">
        <f>IFERROR(INDEX($B$4:$B$500,MATCH(ROW()-3,$AC$4:$AC$500,0)),"")</f>
      </c>
      <c r="AE116" s="133">
        <f>IF(AND(A116&lt;&gt;"",N(P116)&gt;0),IFERROR(MATCH(A116,$R$12:$R$25,0),99)*1000+ROW(),"")</f>
      </c>
      <c r="AF116" s="133">
        <f>IF(AE116="","",COUNTIF($AE$4:$AE$500,"&lt;="&amp;AE116))</f>
      </c>
    </row>
    <row r="117">
      <c r="A117" s="265"/>
      <c r="B117" s="265"/>
      <c r="C117" s="265"/>
      <c r="D117" s="265"/>
      <c r="E117" s="265"/>
      <c r="F117" s="265"/>
      <c r="G117" s="265"/>
      <c r="H117" s="265"/>
      <c r="I117" s="265"/>
      <c r="J117" s="265"/>
      <c r="K117" s="265"/>
      <c r="L117" s="265"/>
      <c r="M117" s="265"/>
      <c r="N117" s="133">
        <f>IF(OR(A117="Автомат",A117="Дифавтомат"),IF(W117="","",COUNTIF(Однолинейка!$H$3:$H$1000,U117)),IF(A117="Аппарат",IF(C117="","",COUNTIF(Однолинейка!$I$3:$I$1000,C117)+COUNTIF(Однолинейка!$J$3:$J$1000,C117)+COUNTIF(Однолинейка!$K$3:$K$1000,C117)),IF(A117="Модуль",IF(C117="","",COUNTIFS(Однолинейка!$AW$3:$AW$1000,"?*",Однолинейка!$AI$3:$AI$1000,C117)),IF(A117="Клемма",IF(C117="","",IF(C117=$S$7,SUM(Однолинейка!$BW$3:$BW$1000),IF(C117=$S$8,SUM(Однолинейка!$BX$3:$BX$1000),""))),""))))</f>
      </c>
      <c r="O117" s="265"/>
      <c r="P117" s="133">
        <f>IF(COUNT(N117,O117)=0,"",SUM(N117,O117))</f>
      </c>
      <c r="U117" s="133">
        <f>IF(OR(A117="Автомат",A117="Дифавтомат"),I117&amp;" С"&amp;J117&amp;"А"&amp;IF(K117="да"," 30мА",""),"")</f>
      </c>
      <c r="V117" s="133">
        <f>IF(U117="","",B117&amp;"|"&amp;U117)</f>
      </c>
      <c r="W117" s="133">
        <f>IF(AND(U117&lt;&gt;"",OR($S$4="(все)",B117=$S$4),IF($S$4="(все)",COUNTIF($U$4:U117,U117),COUNTIFS($U$4:U117,U117,$B$4:B117,B117))=1),MAX($W$3:W116)+1,"")</f>
      </c>
      <c r="X117" s="133">
        <f>IFERROR(INDEX($U$4:$U$500,MATCH(ROW()-3,$W$4:$W$500,0)),"")</f>
      </c>
      <c r="Y117" s="133">
        <f>IF(AND(A117="Аппарат",C117&lt;&gt;"",OR($S$5="(все)",B117=$S$5)),MAX($Y$3:Y116)+1,"")</f>
      </c>
      <c r="Z117" s="133">
        <f>IFERROR(INDEX($C$4:$C$500,MATCH(ROW()-3,$Y$4:$Y$500,0)),"")</f>
      </c>
      <c r="AA117" s="133">
        <f>IF(AND(A117="Модуль",C117&lt;&gt;"",OR($S$6="(все)",B117=$S$6)),MAX($AA$3:AA116)+1,"")</f>
      </c>
      <c r="AB117" s="133">
        <f>IFERROR(INDEX($C$4:$C$500,MATCH(ROW()-3,$AA$4:$AA$500,0)),"")</f>
      </c>
      <c r="AC117" s="133">
        <f>IF(OR(B117="",COUNTIF($B$4:B117,B117)&gt;1),"",MAX($AC$3:AC116)+1)</f>
      </c>
      <c r="AD117" s="133">
        <f>IFERROR(INDEX($B$4:$B$500,MATCH(ROW()-3,$AC$4:$AC$500,0)),"")</f>
      </c>
      <c r="AE117" s="133">
        <f>IF(AND(A117&lt;&gt;"",N(P117)&gt;0),IFERROR(MATCH(A117,$R$12:$R$25,0),99)*1000+ROW(),"")</f>
      </c>
      <c r="AF117" s="133">
        <f>IF(AE117="","",COUNTIF($AE$4:$AE$500,"&lt;="&amp;AE117))</f>
      </c>
    </row>
    <row r="118">
      <c r="A118" s="265"/>
      <c r="B118" s="265"/>
      <c r="C118" s="265"/>
      <c r="D118" s="265"/>
      <c r="E118" s="265"/>
      <c r="F118" s="265"/>
      <c r="G118" s="265"/>
      <c r="H118" s="265"/>
      <c r="I118" s="265"/>
      <c r="J118" s="265"/>
      <c r="K118" s="265"/>
      <c r="L118" s="265"/>
      <c r="M118" s="265"/>
      <c r="N118" s="133">
        <f>IF(OR(A118="Автомат",A118="Дифавтомат"),IF(W118="","",COUNTIF(Однолинейка!$H$3:$H$1000,U118)),IF(A118="Аппарат",IF(C118="","",COUNTIF(Однолинейка!$I$3:$I$1000,C118)+COUNTIF(Однолинейка!$J$3:$J$1000,C118)+COUNTIF(Однолинейка!$K$3:$K$1000,C118)),IF(A118="Модуль",IF(C118="","",COUNTIFS(Однолинейка!$AW$3:$AW$1000,"?*",Однолинейка!$AI$3:$AI$1000,C118)),IF(A118="Клемма",IF(C118="","",IF(C118=$S$7,SUM(Однолинейка!$BW$3:$BW$1000),IF(C118=$S$8,SUM(Однолинейка!$BX$3:$BX$1000),""))),""))))</f>
      </c>
      <c r="O118" s="265"/>
      <c r="P118" s="133">
        <f>IF(COUNT(N118,O118)=0,"",SUM(N118,O118))</f>
      </c>
      <c r="U118" s="133">
        <f>IF(OR(A118="Автомат",A118="Дифавтомат"),I118&amp;" С"&amp;J118&amp;"А"&amp;IF(K118="да"," 30мА",""),"")</f>
      </c>
      <c r="V118" s="133">
        <f>IF(U118="","",B118&amp;"|"&amp;U118)</f>
      </c>
      <c r="W118" s="133">
        <f>IF(AND(U118&lt;&gt;"",OR($S$4="(все)",B118=$S$4),IF($S$4="(все)",COUNTIF($U$4:U118,U118),COUNTIFS($U$4:U118,U118,$B$4:B118,B118))=1),MAX($W$3:W117)+1,"")</f>
      </c>
      <c r="X118" s="133">
        <f>IFERROR(INDEX($U$4:$U$500,MATCH(ROW()-3,$W$4:$W$500,0)),"")</f>
      </c>
      <c r="Y118" s="133">
        <f>IF(AND(A118="Аппарат",C118&lt;&gt;"",OR($S$5="(все)",B118=$S$5)),MAX($Y$3:Y117)+1,"")</f>
      </c>
      <c r="Z118" s="133">
        <f>IFERROR(INDEX($C$4:$C$500,MATCH(ROW()-3,$Y$4:$Y$500,0)),"")</f>
      </c>
      <c r="AA118" s="133">
        <f>IF(AND(A118="Модуль",C118&lt;&gt;"",OR($S$6="(все)",B118=$S$6)),MAX($AA$3:AA117)+1,"")</f>
      </c>
      <c r="AB118" s="133">
        <f>IFERROR(INDEX($C$4:$C$500,MATCH(ROW()-3,$AA$4:$AA$500,0)),"")</f>
      </c>
      <c r="AC118" s="133">
        <f>IF(OR(B118="",COUNTIF($B$4:B118,B118)&gt;1),"",MAX($AC$3:AC117)+1)</f>
      </c>
      <c r="AD118" s="133">
        <f>IFERROR(INDEX($B$4:$B$500,MATCH(ROW()-3,$AC$4:$AC$500,0)),"")</f>
      </c>
      <c r="AE118" s="133">
        <f>IF(AND(A118&lt;&gt;"",N(P118)&gt;0),IFERROR(MATCH(A118,$R$12:$R$25,0),99)*1000+ROW(),"")</f>
      </c>
      <c r="AF118" s="133">
        <f>IF(AE118="","",COUNTIF($AE$4:$AE$500,"&lt;="&amp;AE118))</f>
      </c>
    </row>
    <row r="119">
      <c r="A119" s="265"/>
      <c r="B119" s="265"/>
      <c r="C119" s="265"/>
      <c r="D119" s="265"/>
      <c r="E119" s="265"/>
      <c r="F119" s="265"/>
      <c r="G119" s="265"/>
      <c r="H119" s="265"/>
      <c r="I119" s="265"/>
      <c r="J119" s="265"/>
      <c r="K119" s="265"/>
      <c r="L119" s="265"/>
      <c r="M119" s="265"/>
      <c r="N119" s="133">
        <f>IF(OR(A119="Автомат",A119="Дифавтомат"),IF(W119="","",COUNTIF(Однолинейка!$H$3:$H$1000,U119)),IF(A119="Аппарат",IF(C119="","",COUNTIF(Однолинейка!$I$3:$I$1000,C119)+COUNTIF(Однолинейка!$J$3:$J$1000,C119)+COUNTIF(Однолинейка!$K$3:$K$1000,C119)),IF(A119="Модуль",IF(C119="","",COUNTIFS(Однолинейка!$AW$3:$AW$1000,"?*",Однолинейка!$AI$3:$AI$1000,C119)),IF(A119="Клемма",IF(C119="","",IF(C119=$S$7,SUM(Однолинейка!$BW$3:$BW$1000),IF(C119=$S$8,SUM(Однолинейка!$BX$3:$BX$1000),""))),""))))</f>
      </c>
      <c r="O119" s="265"/>
      <c r="P119" s="133">
        <f>IF(COUNT(N119,O119)=0,"",SUM(N119,O119))</f>
      </c>
      <c r="U119" s="133">
        <f>IF(OR(A119="Автомат",A119="Дифавтомат"),I119&amp;" С"&amp;J119&amp;"А"&amp;IF(K119="да"," 30мА",""),"")</f>
      </c>
      <c r="V119" s="133">
        <f>IF(U119="","",B119&amp;"|"&amp;U119)</f>
      </c>
      <c r="W119" s="133">
        <f>IF(AND(U119&lt;&gt;"",OR($S$4="(все)",B119=$S$4),IF($S$4="(все)",COUNTIF($U$4:U119,U119),COUNTIFS($U$4:U119,U119,$B$4:B119,B119))=1),MAX($W$3:W118)+1,"")</f>
      </c>
      <c r="X119" s="133">
        <f>IFERROR(INDEX($U$4:$U$500,MATCH(ROW()-3,$W$4:$W$500,0)),"")</f>
      </c>
      <c r="Y119" s="133">
        <f>IF(AND(A119="Аппарат",C119&lt;&gt;"",OR($S$5="(все)",B119=$S$5)),MAX($Y$3:Y118)+1,"")</f>
      </c>
      <c r="Z119" s="133">
        <f>IFERROR(INDEX($C$4:$C$500,MATCH(ROW()-3,$Y$4:$Y$500,0)),"")</f>
      </c>
      <c r="AA119" s="133">
        <f>IF(AND(A119="Модуль",C119&lt;&gt;"",OR($S$6="(все)",B119=$S$6)),MAX($AA$3:AA118)+1,"")</f>
      </c>
      <c r="AB119" s="133">
        <f>IFERROR(INDEX($C$4:$C$500,MATCH(ROW()-3,$AA$4:$AA$500,0)),"")</f>
      </c>
      <c r="AC119" s="133">
        <f>IF(OR(B119="",COUNTIF($B$4:B119,B119)&gt;1),"",MAX($AC$3:AC118)+1)</f>
      </c>
      <c r="AD119" s="133">
        <f>IFERROR(INDEX($B$4:$B$500,MATCH(ROW()-3,$AC$4:$AC$500,0)),"")</f>
      </c>
      <c r="AE119" s="133">
        <f>IF(AND(A119&lt;&gt;"",N(P119)&gt;0),IFERROR(MATCH(A119,$R$12:$R$25,0),99)*1000+ROW(),"")</f>
      </c>
      <c r="AF119" s="133">
        <f>IF(AE119="","",COUNTIF($AE$4:$AE$500,"&lt;="&amp;AE119))</f>
      </c>
    </row>
    <row r="120">
      <c r="A120" s="265"/>
      <c r="B120" s="265"/>
      <c r="C120" s="265"/>
      <c r="D120" s="265"/>
      <c r="E120" s="265"/>
      <c r="F120" s="265"/>
      <c r="G120" s="265"/>
      <c r="H120" s="265"/>
      <c r="I120" s="265"/>
      <c r="J120" s="265"/>
      <c r="K120" s="265"/>
      <c r="L120" s="265"/>
      <c r="M120" s="265"/>
      <c r="N120" s="133">
        <f>IF(OR(A120="Автомат",A120="Дифавтомат"),IF(W120="","",COUNTIF(Однолинейка!$H$3:$H$1000,U120)),IF(A120="Аппарат",IF(C120="","",COUNTIF(Однолинейка!$I$3:$I$1000,C120)+COUNTIF(Однолинейка!$J$3:$J$1000,C120)+COUNTIF(Однолинейка!$K$3:$K$1000,C120)),IF(A120="Модуль",IF(C120="","",COUNTIFS(Однолинейка!$AW$3:$AW$1000,"?*",Однолинейка!$AI$3:$AI$1000,C120)),IF(A120="Клемма",IF(C120="","",IF(C120=$S$7,SUM(Однолинейка!$BW$3:$BW$1000),IF(C120=$S$8,SUM(Однолинейка!$BX$3:$BX$1000),""))),""))))</f>
      </c>
      <c r="O120" s="265"/>
      <c r="P120" s="133">
        <f>IF(COUNT(N120,O120)=0,"",SUM(N120,O120))</f>
      </c>
      <c r="U120" s="133">
        <f>IF(OR(A120="Автомат",A120="Дифавтомат"),I120&amp;" С"&amp;J120&amp;"А"&amp;IF(K120="да"," 30мА",""),"")</f>
      </c>
      <c r="V120" s="133">
        <f>IF(U120="","",B120&amp;"|"&amp;U120)</f>
      </c>
      <c r="W120" s="133">
        <f>IF(AND(U120&lt;&gt;"",OR($S$4="(все)",B120=$S$4),IF($S$4="(все)",COUNTIF($U$4:U120,U120),COUNTIFS($U$4:U120,U120,$B$4:B120,B120))=1),MAX($W$3:W119)+1,"")</f>
      </c>
      <c r="X120" s="133">
        <f>IFERROR(INDEX($U$4:$U$500,MATCH(ROW()-3,$W$4:$W$500,0)),"")</f>
      </c>
      <c r="Y120" s="133">
        <f>IF(AND(A120="Аппарат",C120&lt;&gt;"",OR($S$5="(все)",B120=$S$5)),MAX($Y$3:Y119)+1,"")</f>
      </c>
      <c r="Z120" s="133">
        <f>IFERROR(INDEX($C$4:$C$500,MATCH(ROW()-3,$Y$4:$Y$500,0)),"")</f>
      </c>
      <c r="AA120" s="133">
        <f>IF(AND(A120="Модуль",C120&lt;&gt;"",OR($S$6="(все)",B120=$S$6)),MAX($AA$3:AA119)+1,"")</f>
      </c>
      <c r="AB120" s="133">
        <f>IFERROR(INDEX($C$4:$C$500,MATCH(ROW()-3,$AA$4:$AA$500,0)),"")</f>
      </c>
      <c r="AC120" s="133">
        <f>IF(OR(B120="",COUNTIF($B$4:B120,B120)&gt;1),"",MAX($AC$3:AC119)+1)</f>
      </c>
      <c r="AD120" s="133">
        <f>IFERROR(INDEX($B$4:$B$500,MATCH(ROW()-3,$AC$4:$AC$500,0)),"")</f>
      </c>
      <c r="AE120" s="133">
        <f>IF(AND(A120&lt;&gt;"",N(P120)&gt;0),IFERROR(MATCH(A120,$R$12:$R$25,0),99)*1000+ROW(),"")</f>
      </c>
      <c r="AF120" s="133">
        <f>IF(AE120="","",COUNTIF($AE$4:$AE$500,"&lt;="&amp;AE120))</f>
      </c>
    </row>
    <row r="121">
      <c r="A121" s="265"/>
      <c r="B121" s="265"/>
      <c r="C121" s="265"/>
      <c r="D121" s="265"/>
      <c r="E121" s="265"/>
      <c r="F121" s="265"/>
      <c r="G121" s="265"/>
      <c r="H121" s="265"/>
      <c r="I121" s="265"/>
      <c r="J121" s="265"/>
      <c r="K121" s="265"/>
      <c r="L121" s="265"/>
      <c r="M121" s="265"/>
      <c r="N121" s="133">
        <f>IF(OR(A121="Автомат",A121="Дифавтомат"),IF(W121="","",COUNTIF(Однолинейка!$H$3:$H$1000,U121)),IF(A121="Аппарат",IF(C121="","",COUNTIF(Однолинейка!$I$3:$I$1000,C121)+COUNTIF(Однолинейка!$J$3:$J$1000,C121)+COUNTIF(Однолинейка!$K$3:$K$1000,C121)),IF(A121="Модуль",IF(C121="","",COUNTIFS(Однолинейка!$AW$3:$AW$1000,"?*",Однолинейка!$AI$3:$AI$1000,C121)),IF(A121="Клемма",IF(C121="","",IF(C121=$S$7,SUM(Однолинейка!$BW$3:$BW$1000),IF(C121=$S$8,SUM(Однолинейка!$BX$3:$BX$1000),""))),""))))</f>
      </c>
      <c r="O121" s="265"/>
      <c r="P121" s="133">
        <f>IF(COUNT(N121,O121)=0,"",SUM(N121,O121))</f>
      </c>
      <c r="U121" s="133">
        <f>IF(OR(A121="Автомат",A121="Дифавтомат"),I121&amp;" С"&amp;J121&amp;"А"&amp;IF(K121="да"," 30мА",""),"")</f>
      </c>
      <c r="V121" s="133">
        <f>IF(U121="","",B121&amp;"|"&amp;U121)</f>
      </c>
      <c r="W121" s="133">
        <f>IF(AND(U121&lt;&gt;"",OR($S$4="(все)",B121=$S$4),IF($S$4="(все)",COUNTIF($U$4:U121,U121),COUNTIFS($U$4:U121,U121,$B$4:B121,B121))=1),MAX($W$3:W120)+1,"")</f>
      </c>
      <c r="X121" s="133">
        <f>IFERROR(INDEX($U$4:$U$500,MATCH(ROW()-3,$W$4:$W$500,0)),"")</f>
      </c>
      <c r="Y121" s="133">
        <f>IF(AND(A121="Аппарат",C121&lt;&gt;"",OR($S$5="(все)",B121=$S$5)),MAX($Y$3:Y120)+1,"")</f>
      </c>
      <c r="Z121" s="133">
        <f>IFERROR(INDEX($C$4:$C$500,MATCH(ROW()-3,$Y$4:$Y$500,0)),"")</f>
      </c>
      <c r="AA121" s="133">
        <f>IF(AND(A121="Модуль",C121&lt;&gt;"",OR($S$6="(все)",B121=$S$6)),MAX($AA$3:AA120)+1,"")</f>
      </c>
      <c r="AB121" s="133">
        <f>IFERROR(INDEX($C$4:$C$500,MATCH(ROW()-3,$AA$4:$AA$500,0)),"")</f>
      </c>
      <c r="AC121" s="133">
        <f>IF(OR(B121="",COUNTIF($B$4:B121,B121)&gt;1),"",MAX($AC$3:AC120)+1)</f>
      </c>
      <c r="AD121" s="133">
        <f>IFERROR(INDEX($B$4:$B$500,MATCH(ROW()-3,$AC$4:$AC$500,0)),"")</f>
      </c>
      <c r="AE121" s="133">
        <f>IF(AND(A121&lt;&gt;"",N(P121)&gt;0),IFERROR(MATCH(A121,$R$12:$R$25,0),99)*1000+ROW(),"")</f>
      </c>
      <c r="AF121" s="133">
        <f>IF(AE121="","",COUNTIF($AE$4:$AE$500,"&lt;="&amp;AE121))</f>
      </c>
    </row>
    <row r="122">
      <c r="A122" s="265"/>
      <c r="B122" s="265"/>
      <c r="C122" s="265"/>
      <c r="D122" s="265"/>
      <c r="E122" s="265"/>
      <c r="F122" s="265"/>
      <c r="G122" s="265"/>
      <c r="H122" s="265"/>
      <c r="I122" s="265"/>
      <c r="J122" s="265"/>
      <c r="K122" s="265"/>
      <c r="L122" s="265"/>
      <c r="M122" s="265"/>
      <c r="N122" s="133">
        <f>IF(OR(A122="Автомат",A122="Дифавтомат"),IF(W122="","",COUNTIF(Однолинейка!$H$3:$H$1000,U122)),IF(A122="Аппарат",IF(C122="","",COUNTIF(Однолинейка!$I$3:$I$1000,C122)+COUNTIF(Однолинейка!$J$3:$J$1000,C122)+COUNTIF(Однолинейка!$K$3:$K$1000,C122)),IF(A122="Модуль",IF(C122="","",COUNTIFS(Однолинейка!$AW$3:$AW$1000,"?*",Однолинейка!$AI$3:$AI$1000,C122)),IF(A122="Клемма",IF(C122="","",IF(C122=$S$7,SUM(Однолинейка!$BW$3:$BW$1000),IF(C122=$S$8,SUM(Однолинейка!$BX$3:$BX$1000),""))),""))))</f>
      </c>
      <c r="O122" s="265"/>
      <c r="P122" s="133">
        <f>IF(COUNT(N122,O122)=0,"",SUM(N122,O122))</f>
      </c>
      <c r="U122" s="133">
        <f>IF(OR(A122="Автомат",A122="Дифавтомат"),I122&amp;" С"&amp;J122&amp;"А"&amp;IF(K122="да"," 30мА",""),"")</f>
      </c>
      <c r="V122" s="133">
        <f>IF(U122="","",B122&amp;"|"&amp;U122)</f>
      </c>
      <c r="W122" s="133">
        <f>IF(AND(U122&lt;&gt;"",OR($S$4="(все)",B122=$S$4),IF($S$4="(все)",COUNTIF($U$4:U122,U122),COUNTIFS($U$4:U122,U122,$B$4:B122,B122))=1),MAX($W$3:W121)+1,"")</f>
      </c>
      <c r="X122" s="133">
        <f>IFERROR(INDEX($U$4:$U$500,MATCH(ROW()-3,$W$4:$W$500,0)),"")</f>
      </c>
      <c r="Y122" s="133">
        <f>IF(AND(A122="Аппарат",C122&lt;&gt;"",OR($S$5="(все)",B122=$S$5)),MAX($Y$3:Y121)+1,"")</f>
      </c>
      <c r="Z122" s="133">
        <f>IFERROR(INDEX($C$4:$C$500,MATCH(ROW()-3,$Y$4:$Y$500,0)),"")</f>
      </c>
      <c r="AA122" s="133">
        <f>IF(AND(A122="Модуль",C122&lt;&gt;"",OR($S$6="(все)",B122=$S$6)),MAX($AA$3:AA121)+1,"")</f>
      </c>
      <c r="AB122" s="133">
        <f>IFERROR(INDEX($C$4:$C$500,MATCH(ROW()-3,$AA$4:$AA$500,0)),"")</f>
      </c>
      <c r="AC122" s="133">
        <f>IF(OR(B122="",COUNTIF($B$4:B122,B122)&gt;1),"",MAX($AC$3:AC121)+1)</f>
      </c>
      <c r="AD122" s="133">
        <f>IFERROR(INDEX($B$4:$B$500,MATCH(ROW()-3,$AC$4:$AC$500,0)),"")</f>
      </c>
      <c r="AE122" s="133">
        <f>IF(AND(A122&lt;&gt;"",N(P122)&gt;0),IFERROR(MATCH(A122,$R$12:$R$25,0),99)*1000+ROW(),"")</f>
      </c>
      <c r="AF122" s="133">
        <f>IF(AE122="","",COUNTIF($AE$4:$AE$500,"&lt;="&amp;AE122))</f>
      </c>
    </row>
    <row r="123">
      <c r="A123" s="265"/>
      <c r="B123" s="265"/>
      <c r="C123" s="265"/>
      <c r="D123" s="265"/>
      <c r="E123" s="265"/>
      <c r="F123" s="265"/>
      <c r="G123" s="265"/>
      <c r="H123" s="265"/>
      <c r="I123" s="265"/>
      <c r="J123" s="265"/>
      <c r="K123" s="265"/>
      <c r="L123" s="265"/>
      <c r="M123" s="265"/>
      <c r="N123" s="133">
        <f>IF(OR(A123="Автомат",A123="Дифавтомат"),IF(W123="","",COUNTIF(Однолинейка!$H$3:$H$1000,U123)),IF(A123="Аппарат",IF(C123="","",COUNTIF(Однолинейка!$I$3:$I$1000,C123)+COUNTIF(Однолинейка!$J$3:$J$1000,C123)+COUNTIF(Однолинейка!$K$3:$K$1000,C123)),IF(A123="Модуль",IF(C123="","",COUNTIFS(Однолинейка!$AW$3:$AW$1000,"?*",Однолинейка!$AI$3:$AI$1000,C123)),IF(A123="Клемма",IF(C123="","",IF(C123=$S$7,SUM(Однолинейка!$BW$3:$BW$1000),IF(C123=$S$8,SUM(Однолинейка!$BX$3:$BX$1000),""))),""))))</f>
      </c>
      <c r="O123" s="265"/>
      <c r="P123" s="133">
        <f>IF(COUNT(N123,O123)=0,"",SUM(N123,O123))</f>
      </c>
      <c r="U123" s="133">
        <f>IF(OR(A123="Автомат",A123="Дифавтомат"),I123&amp;" С"&amp;J123&amp;"А"&amp;IF(K123="да"," 30мА",""),"")</f>
      </c>
      <c r="V123" s="133">
        <f>IF(U123="","",B123&amp;"|"&amp;U123)</f>
      </c>
      <c r="W123" s="133">
        <f>IF(AND(U123&lt;&gt;"",OR($S$4="(все)",B123=$S$4),IF($S$4="(все)",COUNTIF($U$4:U123,U123),COUNTIFS($U$4:U123,U123,$B$4:B123,B123))=1),MAX($W$3:W122)+1,"")</f>
      </c>
      <c r="X123" s="133">
        <f>IFERROR(INDEX($U$4:$U$500,MATCH(ROW()-3,$W$4:$W$500,0)),"")</f>
      </c>
      <c r="Y123" s="133">
        <f>IF(AND(A123="Аппарат",C123&lt;&gt;"",OR($S$5="(все)",B123=$S$5)),MAX($Y$3:Y122)+1,"")</f>
      </c>
      <c r="Z123" s="133">
        <f>IFERROR(INDEX($C$4:$C$500,MATCH(ROW()-3,$Y$4:$Y$500,0)),"")</f>
      </c>
      <c r="AA123" s="133">
        <f>IF(AND(A123="Модуль",C123&lt;&gt;"",OR($S$6="(все)",B123=$S$6)),MAX($AA$3:AA122)+1,"")</f>
      </c>
      <c r="AB123" s="133">
        <f>IFERROR(INDEX($C$4:$C$500,MATCH(ROW()-3,$AA$4:$AA$500,0)),"")</f>
      </c>
      <c r="AC123" s="133">
        <f>IF(OR(B123="",COUNTIF($B$4:B123,B123)&gt;1),"",MAX($AC$3:AC122)+1)</f>
      </c>
      <c r="AD123" s="133">
        <f>IFERROR(INDEX($B$4:$B$500,MATCH(ROW()-3,$AC$4:$AC$500,0)),"")</f>
      </c>
      <c r="AE123" s="133">
        <f>IF(AND(A123&lt;&gt;"",N(P123)&gt;0),IFERROR(MATCH(A123,$R$12:$R$25,0),99)*1000+ROW(),"")</f>
      </c>
      <c r="AF123" s="133">
        <f>IF(AE123="","",COUNTIF($AE$4:$AE$500,"&lt;="&amp;AE123))</f>
      </c>
    </row>
    <row r="124">
      <c r="A124" s="265"/>
      <c r="B124" s="265"/>
      <c r="C124" s="265"/>
      <c r="D124" s="265"/>
      <c r="E124" s="265"/>
      <c r="F124" s="265"/>
      <c r="G124" s="265"/>
      <c r="H124" s="265"/>
      <c r="I124" s="265"/>
      <c r="J124" s="265"/>
      <c r="K124" s="265"/>
      <c r="L124" s="265"/>
      <c r="M124" s="265"/>
      <c r="N124" s="133">
        <f>IF(OR(A124="Автомат",A124="Дифавтомат"),IF(W124="","",COUNTIF(Однолинейка!$H$3:$H$1000,U124)),IF(A124="Аппарат",IF(C124="","",COUNTIF(Однолинейка!$I$3:$I$1000,C124)+COUNTIF(Однолинейка!$J$3:$J$1000,C124)+COUNTIF(Однолинейка!$K$3:$K$1000,C124)),IF(A124="Модуль",IF(C124="","",COUNTIFS(Однолинейка!$AW$3:$AW$1000,"?*",Однолинейка!$AI$3:$AI$1000,C124)),IF(A124="Клемма",IF(C124="","",IF(C124=$S$7,SUM(Однолинейка!$BW$3:$BW$1000),IF(C124=$S$8,SUM(Однолинейка!$BX$3:$BX$1000),""))),""))))</f>
      </c>
      <c r="O124" s="265"/>
      <c r="P124" s="133">
        <f>IF(COUNT(N124,O124)=0,"",SUM(N124,O124))</f>
      </c>
      <c r="U124" s="133">
        <f>IF(OR(A124="Автомат",A124="Дифавтомат"),I124&amp;" С"&amp;J124&amp;"А"&amp;IF(K124="да"," 30мА",""),"")</f>
      </c>
      <c r="V124" s="133">
        <f>IF(U124="","",B124&amp;"|"&amp;U124)</f>
      </c>
      <c r="W124" s="133">
        <f>IF(AND(U124&lt;&gt;"",OR($S$4="(все)",B124=$S$4),IF($S$4="(все)",COUNTIF($U$4:U124,U124),COUNTIFS($U$4:U124,U124,$B$4:B124,B124))=1),MAX($W$3:W123)+1,"")</f>
      </c>
      <c r="X124" s="133">
        <f>IFERROR(INDEX($U$4:$U$500,MATCH(ROW()-3,$W$4:$W$500,0)),"")</f>
      </c>
      <c r="Y124" s="133">
        <f>IF(AND(A124="Аппарат",C124&lt;&gt;"",OR($S$5="(все)",B124=$S$5)),MAX($Y$3:Y123)+1,"")</f>
      </c>
      <c r="Z124" s="133">
        <f>IFERROR(INDEX($C$4:$C$500,MATCH(ROW()-3,$Y$4:$Y$500,0)),"")</f>
      </c>
      <c r="AA124" s="133">
        <f>IF(AND(A124="Модуль",C124&lt;&gt;"",OR($S$6="(все)",B124=$S$6)),MAX($AA$3:AA123)+1,"")</f>
      </c>
      <c r="AB124" s="133">
        <f>IFERROR(INDEX($C$4:$C$500,MATCH(ROW()-3,$AA$4:$AA$500,0)),"")</f>
      </c>
      <c r="AC124" s="133">
        <f>IF(OR(B124="",COUNTIF($B$4:B124,B124)&gt;1),"",MAX($AC$3:AC123)+1)</f>
      </c>
      <c r="AD124" s="133">
        <f>IFERROR(INDEX($B$4:$B$500,MATCH(ROW()-3,$AC$4:$AC$500,0)),"")</f>
      </c>
      <c r="AE124" s="133">
        <f>IF(AND(A124&lt;&gt;"",N(P124)&gt;0),IFERROR(MATCH(A124,$R$12:$R$25,0),99)*1000+ROW(),"")</f>
      </c>
      <c r="AF124" s="133">
        <f>IF(AE124="","",COUNTIF($AE$4:$AE$500,"&lt;="&amp;AE124))</f>
      </c>
    </row>
    <row r="125">
      <c r="A125" s="265"/>
      <c r="B125" s="265"/>
      <c r="C125" s="265"/>
      <c r="D125" s="265"/>
      <c r="E125" s="265"/>
      <c r="F125" s="265"/>
      <c r="G125" s="265"/>
      <c r="H125" s="265"/>
      <c r="I125" s="265"/>
      <c r="J125" s="265"/>
      <c r="K125" s="265"/>
      <c r="L125" s="265"/>
      <c r="M125" s="265"/>
      <c r="N125" s="133">
        <f>IF(OR(A125="Автомат",A125="Дифавтомат"),IF(W125="","",COUNTIF(Однолинейка!$H$3:$H$1000,U125)),IF(A125="Аппарат",IF(C125="","",COUNTIF(Однолинейка!$I$3:$I$1000,C125)+COUNTIF(Однолинейка!$J$3:$J$1000,C125)+COUNTIF(Однолинейка!$K$3:$K$1000,C125)),IF(A125="Модуль",IF(C125="","",COUNTIFS(Однолинейка!$AW$3:$AW$1000,"?*",Однолинейка!$AI$3:$AI$1000,C125)),IF(A125="Клемма",IF(C125="","",IF(C125=$S$7,SUM(Однолинейка!$BW$3:$BW$1000),IF(C125=$S$8,SUM(Однолинейка!$BX$3:$BX$1000),""))),""))))</f>
      </c>
      <c r="O125" s="265"/>
      <c r="P125" s="133">
        <f>IF(COUNT(N125,O125)=0,"",SUM(N125,O125))</f>
      </c>
      <c r="U125" s="133">
        <f>IF(OR(A125="Автомат",A125="Дифавтомат"),I125&amp;" С"&amp;J125&amp;"А"&amp;IF(K125="да"," 30мА",""),"")</f>
      </c>
      <c r="V125" s="133">
        <f>IF(U125="","",B125&amp;"|"&amp;U125)</f>
      </c>
      <c r="W125" s="133">
        <f>IF(AND(U125&lt;&gt;"",OR($S$4="(все)",B125=$S$4),IF($S$4="(все)",COUNTIF($U$4:U125,U125),COUNTIFS($U$4:U125,U125,$B$4:B125,B125))=1),MAX($W$3:W124)+1,"")</f>
      </c>
      <c r="X125" s="133">
        <f>IFERROR(INDEX($U$4:$U$500,MATCH(ROW()-3,$W$4:$W$500,0)),"")</f>
      </c>
      <c r="Y125" s="133">
        <f>IF(AND(A125="Аппарат",C125&lt;&gt;"",OR($S$5="(все)",B125=$S$5)),MAX($Y$3:Y124)+1,"")</f>
      </c>
      <c r="Z125" s="133">
        <f>IFERROR(INDEX($C$4:$C$500,MATCH(ROW()-3,$Y$4:$Y$500,0)),"")</f>
      </c>
      <c r="AA125" s="133">
        <f>IF(AND(A125="Модуль",C125&lt;&gt;"",OR($S$6="(все)",B125=$S$6)),MAX($AA$3:AA124)+1,"")</f>
      </c>
      <c r="AB125" s="133">
        <f>IFERROR(INDEX($C$4:$C$500,MATCH(ROW()-3,$AA$4:$AA$500,0)),"")</f>
      </c>
      <c r="AC125" s="133">
        <f>IF(OR(B125="",COUNTIF($B$4:B125,B125)&gt;1),"",MAX($AC$3:AC124)+1)</f>
      </c>
      <c r="AD125" s="133">
        <f>IFERROR(INDEX($B$4:$B$500,MATCH(ROW()-3,$AC$4:$AC$500,0)),"")</f>
      </c>
      <c r="AE125" s="133">
        <f>IF(AND(A125&lt;&gt;"",N(P125)&gt;0),IFERROR(MATCH(A125,$R$12:$R$25,0),99)*1000+ROW(),"")</f>
      </c>
      <c r="AF125" s="133">
        <f>IF(AE125="","",COUNTIF($AE$4:$AE$500,"&lt;="&amp;AE125))</f>
      </c>
    </row>
    <row r="126">
      <c r="A126" s="265"/>
      <c r="B126" s="265"/>
      <c r="C126" s="265"/>
      <c r="D126" s="265"/>
      <c r="E126" s="265"/>
      <c r="F126" s="265"/>
      <c r="G126" s="265"/>
      <c r="H126" s="265"/>
      <c r="I126" s="265"/>
      <c r="J126" s="265"/>
      <c r="K126" s="265"/>
      <c r="L126" s="265"/>
      <c r="M126" s="265"/>
      <c r="N126" s="133">
        <f>IF(OR(A126="Автомат",A126="Дифавтомат"),IF(W126="","",COUNTIF(Однолинейка!$H$3:$H$1000,U126)),IF(A126="Аппарат",IF(C126="","",COUNTIF(Однолинейка!$I$3:$I$1000,C126)+COUNTIF(Однолинейка!$J$3:$J$1000,C126)+COUNTIF(Однолинейка!$K$3:$K$1000,C126)),IF(A126="Модуль",IF(C126="","",COUNTIFS(Однолинейка!$AW$3:$AW$1000,"?*",Однолинейка!$AI$3:$AI$1000,C126)),IF(A126="Клемма",IF(C126="","",IF(C126=$S$7,SUM(Однолинейка!$BW$3:$BW$1000),IF(C126=$S$8,SUM(Однолинейка!$BX$3:$BX$1000),""))),""))))</f>
      </c>
      <c r="O126" s="265"/>
      <c r="P126" s="133">
        <f>IF(COUNT(N126,O126)=0,"",SUM(N126,O126))</f>
      </c>
      <c r="U126" s="133">
        <f>IF(OR(A126="Автомат",A126="Дифавтомат"),I126&amp;" С"&amp;J126&amp;"А"&amp;IF(K126="да"," 30мА",""),"")</f>
      </c>
      <c r="V126" s="133">
        <f>IF(U126="","",B126&amp;"|"&amp;U126)</f>
      </c>
      <c r="W126" s="133">
        <f>IF(AND(U126&lt;&gt;"",OR($S$4="(все)",B126=$S$4),IF($S$4="(все)",COUNTIF($U$4:U126,U126),COUNTIFS($U$4:U126,U126,$B$4:B126,B126))=1),MAX($W$3:W125)+1,"")</f>
      </c>
      <c r="X126" s="133">
        <f>IFERROR(INDEX($U$4:$U$500,MATCH(ROW()-3,$W$4:$W$500,0)),"")</f>
      </c>
      <c r="Y126" s="133">
        <f>IF(AND(A126="Аппарат",C126&lt;&gt;"",OR($S$5="(все)",B126=$S$5)),MAX($Y$3:Y125)+1,"")</f>
      </c>
      <c r="Z126" s="133">
        <f>IFERROR(INDEX($C$4:$C$500,MATCH(ROW()-3,$Y$4:$Y$500,0)),"")</f>
      </c>
      <c r="AA126" s="133">
        <f>IF(AND(A126="Модуль",C126&lt;&gt;"",OR($S$6="(все)",B126=$S$6)),MAX($AA$3:AA125)+1,"")</f>
      </c>
      <c r="AB126" s="133">
        <f>IFERROR(INDEX($C$4:$C$500,MATCH(ROW()-3,$AA$4:$AA$500,0)),"")</f>
      </c>
      <c r="AC126" s="133">
        <f>IF(OR(B126="",COUNTIF($B$4:B126,B126)&gt;1),"",MAX($AC$3:AC125)+1)</f>
      </c>
      <c r="AD126" s="133">
        <f>IFERROR(INDEX($B$4:$B$500,MATCH(ROW()-3,$AC$4:$AC$500,0)),"")</f>
      </c>
      <c r="AE126" s="133">
        <f>IF(AND(A126&lt;&gt;"",N(P126)&gt;0),IFERROR(MATCH(A126,$R$12:$R$25,0),99)*1000+ROW(),"")</f>
      </c>
      <c r="AF126" s="133">
        <f>IF(AE126="","",COUNTIF($AE$4:$AE$500,"&lt;="&amp;AE126))</f>
      </c>
    </row>
    <row r="127">
      <c r="A127" s="265"/>
      <c r="B127" s="265"/>
      <c r="C127" s="265"/>
      <c r="D127" s="265"/>
      <c r="E127" s="265"/>
      <c r="F127" s="265"/>
      <c r="G127" s="265"/>
      <c r="H127" s="265"/>
      <c r="I127" s="265"/>
      <c r="J127" s="265"/>
      <c r="K127" s="265"/>
      <c r="L127" s="265"/>
      <c r="M127" s="265"/>
      <c r="N127" s="133">
        <f>IF(OR(A127="Автомат",A127="Дифавтомат"),IF(W127="","",COUNTIF(Однолинейка!$H$3:$H$1000,U127)),IF(A127="Аппарат",IF(C127="","",COUNTIF(Однолинейка!$I$3:$I$1000,C127)+COUNTIF(Однолинейка!$J$3:$J$1000,C127)+COUNTIF(Однолинейка!$K$3:$K$1000,C127)),IF(A127="Модуль",IF(C127="","",COUNTIFS(Однолинейка!$AW$3:$AW$1000,"?*",Однолинейка!$AI$3:$AI$1000,C127)),IF(A127="Клемма",IF(C127="","",IF(C127=$S$7,SUM(Однолинейка!$BW$3:$BW$1000),IF(C127=$S$8,SUM(Однолинейка!$BX$3:$BX$1000),""))),""))))</f>
      </c>
      <c r="O127" s="265"/>
      <c r="P127" s="133">
        <f>IF(COUNT(N127,O127)=0,"",SUM(N127,O127))</f>
      </c>
      <c r="U127" s="133">
        <f>IF(OR(A127="Автомат",A127="Дифавтомат"),I127&amp;" С"&amp;J127&amp;"А"&amp;IF(K127="да"," 30мА",""),"")</f>
      </c>
      <c r="V127" s="133">
        <f>IF(U127="","",B127&amp;"|"&amp;U127)</f>
      </c>
      <c r="W127" s="133">
        <f>IF(AND(U127&lt;&gt;"",OR($S$4="(все)",B127=$S$4),IF($S$4="(все)",COUNTIF($U$4:U127,U127),COUNTIFS($U$4:U127,U127,$B$4:B127,B127))=1),MAX($W$3:W126)+1,"")</f>
      </c>
      <c r="X127" s="133">
        <f>IFERROR(INDEX($U$4:$U$500,MATCH(ROW()-3,$W$4:$W$500,0)),"")</f>
      </c>
      <c r="Y127" s="133">
        <f>IF(AND(A127="Аппарат",C127&lt;&gt;"",OR($S$5="(все)",B127=$S$5)),MAX($Y$3:Y126)+1,"")</f>
      </c>
      <c r="Z127" s="133">
        <f>IFERROR(INDEX($C$4:$C$500,MATCH(ROW()-3,$Y$4:$Y$500,0)),"")</f>
      </c>
      <c r="AA127" s="133">
        <f>IF(AND(A127="Модуль",C127&lt;&gt;"",OR($S$6="(все)",B127=$S$6)),MAX($AA$3:AA126)+1,"")</f>
      </c>
      <c r="AB127" s="133">
        <f>IFERROR(INDEX($C$4:$C$500,MATCH(ROW()-3,$AA$4:$AA$500,0)),"")</f>
      </c>
      <c r="AC127" s="133">
        <f>IF(OR(B127="",COUNTIF($B$4:B127,B127)&gt;1),"",MAX($AC$3:AC126)+1)</f>
      </c>
      <c r="AD127" s="133">
        <f>IFERROR(INDEX($B$4:$B$500,MATCH(ROW()-3,$AC$4:$AC$500,0)),"")</f>
      </c>
      <c r="AE127" s="133">
        <f>IF(AND(A127&lt;&gt;"",N(P127)&gt;0),IFERROR(MATCH(A127,$R$12:$R$25,0),99)*1000+ROW(),"")</f>
      </c>
      <c r="AF127" s="133">
        <f>IF(AE127="","",COUNTIF($AE$4:$AE$500,"&lt;="&amp;AE127))</f>
      </c>
    </row>
    <row r="128">
      <c r="A128" s="265"/>
      <c r="B128" s="265"/>
      <c r="C128" s="265"/>
      <c r="D128" s="265"/>
      <c r="E128" s="265"/>
      <c r="F128" s="265"/>
      <c r="G128" s="265"/>
      <c r="H128" s="265"/>
      <c r="I128" s="265"/>
      <c r="J128" s="265"/>
      <c r="K128" s="265"/>
      <c r="L128" s="265"/>
      <c r="M128" s="265"/>
      <c r="N128" s="133">
        <f>IF(OR(A128="Автомат",A128="Дифавтомат"),IF(W128="","",COUNTIF(Однолинейка!$H$3:$H$1000,U128)),IF(A128="Аппарат",IF(C128="","",COUNTIF(Однолинейка!$I$3:$I$1000,C128)+COUNTIF(Однолинейка!$J$3:$J$1000,C128)+COUNTIF(Однолинейка!$K$3:$K$1000,C128)),IF(A128="Модуль",IF(C128="","",COUNTIFS(Однолинейка!$AW$3:$AW$1000,"?*",Однолинейка!$AI$3:$AI$1000,C128)),IF(A128="Клемма",IF(C128="","",IF(C128=$S$7,SUM(Однолинейка!$BW$3:$BW$1000),IF(C128=$S$8,SUM(Однолинейка!$BX$3:$BX$1000),""))),""))))</f>
      </c>
      <c r="O128" s="265"/>
      <c r="P128" s="133">
        <f>IF(COUNT(N128,O128)=0,"",SUM(N128,O128))</f>
      </c>
      <c r="U128" s="133">
        <f>IF(OR(A128="Автомат",A128="Дифавтомат"),I128&amp;" С"&amp;J128&amp;"А"&amp;IF(K128="да"," 30мА",""),"")</f>
      </c>
      <c r="V128" s="133">
        <f>IF(U128="","",B128&amp;"|"&amp;U128)</f>
      </c>
      <c r="W128" s="133">
        <f>IF(AND(U128&lt;&gt;"",OR($S$4="(все)",B128=$S$4),IF($S$4="(все)",COUNTIF($U$4:U128,U128),COUNTIFS($U$4:U128,U128,$B$4:B128,B128))=1),MAX($W$3:W127)+1,"")</f>
      </c>
      <c r="X128" s="133">
        <f>IFERROR(INDEX($U$4:$U$500,MATCH(ROW()-3,$W$4:$W$500,0)),"")</f>
      </c>
      <c r="Y128" s="133">
        <f>IF(AND(A128="Аппарат",C128&lt;&gt;"",OR($S$5="(все)",B128=$S$5)),MAX($Y$3:Y127)+1,"")</f>
      </c>
      <c r="Z128" s="133">
        <f>IFERROR(INDEX($C$4:$C$500,MATCH(ROW()-3,$Y$4:$Y$500,0)),"")</f>
      </c>
      <c r="AA128" s="133">
        <f>IF(AND(A128="Модуль",C128&lt;&gt;"",OR($S$6="(все)",B128=$S$6)),MAX($AA$3:AA127)+1,"")</f>
      </c>
      <c r="AB128" s="133">
        <f>IFERROR(INDEX($C$4:$C$500,MATCH(ROW()-3,$AA$4:$AA$500,0)),"")</f>
      </c>
      <c r="AC128" s="133">
        <f>IF(OR(B128="",COUNTIF($B$4:B128,B128)&gt;1),"",MAX($AC$3:AC127)+1)</f>
      </c>
      <c r="AD128" s="133">
        <f>IFERROR(INDEX($B$4:$B$500,MATCH(ROW()-3,$AC$4:$AC$500,0)),"")</f>
      </c>
      <c r="AE128" s="133">
        <f>IF(AND(A128&lt;&gt;"",N(P128)&gt;0),IFERROR(MATCH(A128,$R$12:$R$25,0),99)*1000+ROW(),"")</f>
      </c>
      <c r="AF128" s="133">
        <f>IF(AE128="","",COUNTIF($AE$4:$AE$500,"&lt;="&amp;AE128))</f>
      </c>
    </row>
    <row r="129">
      <c r="A129" s="265"/>
      <c r="B129" s="265"/>
      <c r="C129" s="265"/>
      <c r="D129" s="265"/>
      <c r="E129" s="265"/>
      <c r="F129" s="265"/>
      <c r="G129" s="265"/>
      <c r="H129" s="265"/>
      <c r="I129" s="265"/>
      <c r="J129" s="265"/>
      <c r="K129" s="265"/>
      <c r="L129" s="265"/>
      <c r="M129" s="265"/>
      <c r="N129" s="133">
        <f>IF(OR(A129="Автомат",A129="Дифавтомат"),IF(W129="","",COUNTIF(Однолинейка!$H$3:$H$1000,U129)),IF(A129="Аппарат",IF(C129="","",COUNTIF(Однолинейка!$I$3:$I$1000,C129)+COUNTIF(Однолинейка!$J$3:$J$1000,C129)+COUNTIF(Однолинейка!$K$3:$K$1000,C129)),IF(A129="Модуль",IF(C129="","",COUNTIFS(Однолинейка!$AW$3:$AW$1000,"?*",Однолинейка!$AI$3:$AI$1000,C129)),IF(A129="Клемма",IF(C129="","",IF(C129=$S$7,SUM(Однолинейка!$BW$3:$BW$1000),IF(C129=$S$8,SUM(Однолинейка!$BX$3:$BX$1000),""))),""))))</f>
      </c>
      <c r="O129" s="265"/>
      <c r="P129" s="133">
        <f>IF(COUNT(N129,O129)=0,"",SUM(N129,O129))</f>
      </c>
      <c r="U129" s="133">
        <f>IF(OR(A129="Автомат",A129="Дифавтомат"),I129&amp;" С"&amp;J129&amp;"А"&amp;IF(K129="да"," 30мА",""),"")</f>
      </c>
      <c r="V129" s="133">
        <f>IF(U129="","",B129&amp;"|"&amp;U129)</f>
      </c>
      <c r="W129" s="133">
        <f>IF(AND(U129&lt;&gt;"",OR($S$4="(все)",B129=$S$4),IF($S$4="(все)",COUNTIF($U$4:U129,U129),COUNTIFS($U$4:U129,U129,$B$4:B129,B129))=1),MAX($W$3:W128)+1,"")</f>
      </c>
      <c r="X129" s="133">
        <f>IFERROR(INDEX($U$4:$U$500,MATCH(ROW()-3,$W$4:$W$500,0)),"")</f>
      </c>
      <c r="Y129" s="133">
        <f>IF(AND(A129="Аппарат",C129&lt;&gt;"",OR($S$5="(все)",B129=$S$5)),MAX($Y$3:Y128)+1,"")</f>
      </c>
      <c r="Z129" s="133">
        <f>IFERROR(INDEX($C$4:$C$500,MATCH(ROW()-3,$Y$4:$Y$500,0)),"")</f>
      </c>
      <c r="AA129" s="133">
        <f>IF(AND(A129="Модуль",C129&lt;&gt;"",OR($S$6="(все)",B129=$S$6)),MAX($AA$3:AA128)+1,"")</f>
      </c>
      <c r="AB129" s="133">
        <f>IFERROR(INDEX($C$4:$C$500,MATCH(ROW()-3,$AA$4:$AA$500,0)),"")</f>
      </c>
      <c r="AC129" s="133">
        <f>IF(OR(B129="",COUNTIF($B$4:B129,B129)&gt;1),"",MAX($AC$3:AC128)+1)</f>
      </c>
      <c r="AD129" s="133">
        <f>IFERROR(INDEX($B$4:$B$500,MATCH(ROW()-3,$AC$4:$AC$500,0)),"")</f>
      </c>
      <c r="AE129" s="133">
        <f>IF(AND(A129&lt;&gt;"",N(P129)&gt;0),IFERROR(MATCH(A129,$R$12:$R$25,0),99)*1000+ROW(),"")</f>
      </c>
      <c r="AF129" s="133">
        <f>IF(AE129="","",COUNTIF($AE$4:$AE$500,"&lt;="&amp;AE129))</f>
      </c>
    </row>
    <row r="130">
      <c r="A130" s="265"/>
      <c r="B130" s="265"/>
      <c r="C130" s="265"/>
      <c r="D130" s="265"/>
      <c r="E130" s="265"/>
      <c r="F130" s="265"/>
      <c r="G130" s="265"/>
      <c r="H130" s="265"/>
      <c r="I130" s="265"/>
      <c r="J130" s="265"/>
      <c r="K130" s="265"/>
      <c r="L130" s="265"/>
      <c r="M130" s="265"/>
      <c r="N130" s="133">
        <f>IF(OR(A130="Автомат",A130="Дифавтомат"),IF(W130="","",COUNTIF(Однолинейка!$H$3:$H$1000,U130)),IF(A130="Аппарат",IF(C130="","",COUNTIF(Однолинейка!$I$3:$I$1000,C130)+COUNTIF(Однолинейка!$J$3:$J$1000,C130)+COUNTIF(Однолинейка!$K$3:$K$1000,C130)),IF(A130="Модуль",IF(C130="","",COUNTIFS(Однолинейка!$AW$3:$AW$1000,"?*",Однолинейка!$AI$3:$AI$1000,C130)),IF(A130="Клемма",IF(C130="","",IF(C130=$S$7,SUM(Однолинейка!$BW$3:$BW$1000),IF(C130=$S$8,SUM(Однолинейка!$BX$3:$BX$1000),""))),""))))</f>
      </c>
      <c r="O130" s="265"/>
      <c r="P130" s="133">
        <f>IF(COUNT(N130,O130)=0,"",SUM(N130,O130))</f>
      </c>
      <c r="U130" s="133">
        <f>IF(OR(A130="Автомат",A130="Дифавтомат"),I130&amp;" С"&amp;J130&amp;"А"&amp;IF(K130="да"," 30мА",""),"")</f>
      </c>
      <c r="V130" s="133">
        <f>IF(U130="","",B130&amp;"|"&amp;U130)</f>
      </c>
      <c r="W130" s="133">
        <f>IF(AND(U130&lt;&gt;"",OR($S$4="(все)",B130=$S$4),IF($S$4="(все)",COUNTIF($U$4:U130,U130),COUNTIFS($U$4:U130,U130,$B$4:B130,B130))=1),MAX($W$3:W129)+1,"")</f>
      </c>
      <c r="X130" s="133">
        <f>IFERROR(INDEX($U$4:$U$500,MATCH(ROW()-3,$W$4:$W$500,0)),"")</f>
      </c>
      <c r="Y130" s="133">
        <f>IF(AND(A130="Аппарат",C130&lt;&gt;"",OR($S$5="(все)",B130=$S$5)),MAX($Y$3:Y129)+1,"")</f>
      </c>
      <c r="Z130" s="133">
        <f>IFERROR(INDEX($C$4:$C$500,MATCH(ROW()-3,$Y$4:$Y$500,0)),"")</f>
      </c>
      <c r="AA130" s="133">
        <f>IF(AND(A130="Модуль",C130&lt;&gt;"",OR($S$6="(все)",B130=$S$6)),MAX($AA$3:AA129)+1,"")</f>
      </c>
      <c r="AB130" s="133">
        <f>IFERROR(INDEX($C$4:$C$500,MATCH(ROW()-3,$AA$4:$AA$500,0)),"")</f>
      </c>
      <c r="AC130" s="133">
        <f>IF(OR(B130="",COUNTIF($B$4:B130,B130)&gt;1),"",MAX($AC$3:AC129)+1)</f>
      </c>
      <c r="AD130" s="133">
        <f>IFERROR(INDEX($B$4:$B$500,MATCH(ROW()-3,$AC$4:$AC$500,0)),"")</f>
      </c>
      <c r="AE130" s="133">
        <f>IF(AND(A130&lt;&gt;"",N(P130)&gt;0),IFERROR(MATCH(A130,$R$12:$R$25,0),99)*1000+ROW(),"")</f>
      </c>
      <c r="AF130" s="133">
        <f>IF(AE130="","",COUNTIF($AE$4:$AE$500,"&lt;="&amp;AE130))</f>
      </c>
    </row>
    <row r="131">
      <c r="A131" s="265"/>
      <c r="B131" s="265"/>
      <c r="C131" s="265"/>
      <c r="D131" s="265"/>
      <c r="E131" s="265"/>
      <c r="F131" s="265"/>
      <c r="G131" s="265"/>
      <c r="H131" s="265"/>
      <c r="I131" s="265"/>
      <c r="J131" s="265"/>
      <c r="K131" s="265"/>
      <c r="L131" s="265"/>
      <c r="M131" s="265"/>
      <c r="N131" s="133">
        <f>IF(OR(A131="Автомат",A131="Дифавтомат"),IF(W131="","",COUNTIF(Однолинейка!$H$3:$H$1000,U131)),IF(A131="Аппарат",IF(C131="","",COUNTIF(Однолинейка!$I$3:$I$1000,C131)+COUNTIF(Однолинейка!$J$3:$J$1000,C131)+COUNTIF(Однолинейка!$K$3:$K$1000,C131)),IF(A131="Модуль",IF(C131="","",COUNTIFS(Однолинейка!$AW$3:$AW$1000,"?*",Однолинейка!$AI$3:$AI$1000,C131)),IF(A131="Клемма",IF(C131="","",IF(C131=$S$7,SUM(Однолинейка!$BW$3:$BW$1000),IF(C131=$S$8,SUM(Однолинейка!$BX$3:$BX$1000),""))),""))))</f>
      </c>
      <c r="O131" s="265"/>
      <c r="P131" s="133">
        <f>IF(COUNT(N131,O131)=0,"",SUM(N131,O131))</f>
      </c>
      <c r="U131" s="133">
        <f>IF(OR(A131="Автомат",A131="Дифавтомат"),I131&amp;" С"&amp;J131&amp;"А"&amp;IF(K131="да"," 30мА",""),"")</f>
      </c>
      <c r="V131" s="133">
        <f>IF(U131="","",B131&amp;"|"&amp;U131)</f>
      </c>
      <c r="W131" s="133">
        <f>IF(AND(U131&lt;&gt;"",OR($S$4="(все)",B131=$S$4),IF($S$4="(все)",COUNTIF($U$4:U131,U131),COUNTIFS($U$4:U131,U131,$B$4:B131,B131))=1),MAX($W$3:W130)+1,"")</f>
      </c>
      <c r="X131" s="133">
        <f>IFERROR(INDEX($U$4:$U$500,MATCH(ROW()-3,$W$4:$W$500,0)),"")</f>
      </c>
      <c r="Y131" s="133">
        <f>IF(AND(A131="Аппарат",C131&lt;&gt;"",OR($S$5="(все)",B131=$S$5)),MAX($Y$3:Y130)+1,"")</f>
      </c>
      <c r="Z131" s="133">
        <f>IFERROR(INDEX($C$4:$C$500,MATCH(ROW()-3,$Y$4:$Y$500,0)),"")</f>
      </c>
      <c r="AA131" s="133">
        <f>IF(AND(A131="Модуль",C131&lt;&gt;"",OR($S$6="(все)",B131=$S$6)),MAX($AA$3:AA130)+1,"")</f>
      </c>
      <c r="AB131" s="133">
        <f>IFERROR(INDEX($C$4:$C$500,MATCH(ROW()-3,$AA$4:$AA$500,0)),"")</f>
      </c>
      <c r="AC131" s="133">
        <f>IF(OR(B131="",COUNTIF($B$4:B131,B131)&gt;1),"",MAX($AC$3:AC130)+1)</f>
      </c>
      <c r="AD131" s="133">
        <f>IFERROR(INDEX($B$4:$B$500,MATCH(ROW()-3,$AC$4:$AC$500,0)),"")</f>
      </c>
      <c r="AE131" s="133">
        <f>IF(AND(A131&lt;&gt;"",N(P131)&gt;0),IFERROR(MATCH(A131,$R$12:$R$25,0),99)*1000+ROW(),"")</f>
      </c>
      <c r="AF131" s="133">
        <f>IF(AE131="","",COUNTIF($AE$4:$AE$500,"&lt;="&amp;AE131))</f>
      </c>
    </row>
    <row r="132">
      <c r="A132" s="265"/>
      <c r="B132" s="265"/>
      <c r="C132" s="265"/>
      <c r="D132" s="265"/>
      <c r="E132" s="265"/>
      <c r="F132" s="265"/>
      <c r="G132" s="265"/>
      <c r="H132" s="265"/>
      <c r="I132" s="265"/>
      <c r="J132" s="265"/>
      <c r="K132" s="265"/>
      <c r="L132" s="265"/>
      <c r="M132" s="265"/>
      <c r="N132" s="133">
        <f>IF(OR(A132="Автомат",A132="Дифавтомат"),IF(W132="","",COUNTIF(Однолинейка!$H$3:$H$1000,U132)),IF(A132="Аппарат",IF(C132="","",COUNTIF(Однолинейка!$I$3:$I$1000,C132)+COUNTIF(Однолинейка!$J$3:$J$1000,C132)+COUNTIF(Однолинейка!$K$3:$K$1000,C132)),IF(A132="Модуль",IF(C132="","",COUNTIFS(Однолинейка!$AW$3:$AW$1000,"?*",Однолинейка!$AI$3:$AI$1000,C132)),IF(A132="Клемма",IF(C132="","",IF(C132=$S$7,SUM(Однолинейка!$BW$3:$BW$1000),IF(C132=$S$8,SUM(Однолинейка!$BX$3:$BX$1000),""))),""))))</f>
      </c>
      <c r="O132" s="265"/>
      <c r="P132" s="133">
        <f>IF(COUNT(N132,O132)=0,"",SUM(N132,O132))</f>
      </c>
      <c r="U132" s="133">
        <f>IF(OR(A132="Автомат",A132="Дифавтомат"),I132&amp;" С"&amp;J132&amp;"А"&amp;IF(K132="да"," 30мА",""),"")</f>
      </c>
      <c r="V132" s="133">
        <f>IF(U132="","",B132&amp;"|"&amp;U132)</f>
      </c>
      <c r="W132" s="133">
        <f>IF(AND(U132&lt;&gt;"",OR($S$4="(все)",B132=$S$4),IF($S$4="(все)",COUNTIF($U$4:U132,U132),COUNTIFS($U$4:U132,U132,$B$4:B132,B132))=1),MAX($W$3:W131)+1,"")</f>
      </c>
      <c r="X132" s="133">
        <f>IFERROR(INDEX($U$4:$U$500,MATCH(ROW()-3,$W$4:$W$500,0)),"")</f>
      </c>
      <c r="Y132" s="133">
        <f>IF(AND(A132="Аппарат",C132&lt;&gt;"",OR($S$5="(все)",B132=$S$5)),MAX($Y$3:Y131)+1,"")</f>
      </c>
      <c r="Z132" s="133">
        <f>IFERROR(INDEX($C$4:$C$500,MATCH(ROW()-3,$Y$4:$Y$500,0)),"")</f>
      </c>
      <c r="AA132" s="133">
        <f>IF(AND(A132="Модуль",C132&lt;&gt;"",OR($S$6="(все)",B132=$S$6)),MAX($AA$3:AA131)+1,"")</f>
      </c>
      <c r="AB132" s="133">
        <f>IFERROR(INDEX($C$4:$C$500,MATCH(ROW()-3,$AA$4:$AA$500,0)),"")</f>
      </c>
      <c r="AC132" s="133">
        <f>IF(OR(B132="",COUNTIF($B$4:B132,B132)&gt;1),"",MAX($AC$3:AC131)+1)</f>
      </c>
      <c r="AD132" s="133">
        <f>IFERROR(INDEX($B$4:$B$500,MATCH(ROW()-3,$AC$4:$AC$500,0)),"")</f>
      </c>
      <c r="AE132" s="133">
        <f>IF(AND(A132&lt;&gt;"",N(P132)&gt;0),IFERROR(MATCH(A132,$R$12:$R$25,0),99)*1000+ROW(),"")</f>
      </c>
      <c r="AF132" s="133">
        <f>IF(AE132="","",COUNTIF($AE$4:$AE$500,"&lt;="&amp;AE132))</f>
      </c>
    </row>
    <row r="133">
      <c r="A133" s="265"/>
      <c r="B133" s="265"/>
      <c r="C133" s="265"/>
      <c r="D133" s="265"/>
      <c r="E133" s="265"/>
      <c r="F133" s="265"/>
      <c r="G133" s="265"/>
      <c r="H133" s="265"/>
      <c r="I133" s="265"/>
      <c r="J133" s="265"/>
      <c r="K133" s="265"/>
      <c r="L133" s="265"/>
      <c r="M133" s="265"/>
      <c r="N133" s="133">
        <f>IF(OR(A133="Автомат",A133="Дифавтомат"),IF(W133="","",COUNTIF(Однолинейка!$H$3:$H$1000,U133)),IF(A133="Аппарат",IF(C133="","",COUNTIF(Однолинейка!$I$3:$I$1000,C133)+COUNTIF(Однолинейка!$J$3:$J$1000,C133)+COUNTIF(Однолинейка!$K$3:$K$1000,C133)),IF(A133="Модуль",IF(C133="","",COUNTIFS(Однолинейка!$AW$3:$AW$1000,"?*",Однолинейка!$AI$3:$AI$1000,C133)),IF(A133="Клемма",IF(C133="","",IF(C133=$S$7,SUM(Однолинейка!$BW$3:$BW$1000),IF(C133=$S$8,SUM(Однолинейка!$BX$3:$BX$1000),""))),""))))</f>
      </c>
      <c r="O133" s="265"/>
      <c r="P133" s="133">
        <f>IF(COUNT(N133,O133)=0,"",SUM(N133,O133))</f>
      </c>
      <c r="U133" s="133">
        <f>IF(OR(A133="Автомат",A133="Дифавтомат"),I133&amp;" С"&amp;J133&amp;"А"&amp;IF(K133="да"," 30мА",""),"")</f>
      </c>
      <c r="V133" s="133">
        <f>IF(U133="","",B133&amp;"|"&amp;U133)</f>
      </c>
      <c r="W133" s="133">
        <f>IF(AND(U133&lt;&gt;"",OR($S$4="(все)",B133=$S$4),IF($S$4="(все)",COUNTIF($U$4:U133,U133),COUNTIFS($U$4:U133,U133,$B$4:B133,B133))=1),MAX($W$3:W132)+1,"")</f>
      </c>
      <c r="X133" s="133">
        <f>IFERROR(INDEX($U$4:$U$500,MATCH(ROW()-3,$W$4:$W$500,0)),"")</f>
      </c>
      <c r="Y133" s="133">
        <f>IF(AND(A133="Аппарат",C133&lt;&gt;"",OR($S$5="(все)",B133=$S$5)),MAX($Y$3:Y132)+1,"")</f>
      </c>
      <c r="Z133" s="133">
        <f>IFERROR(INDEX($C$4:$C$500,MATCH(ROW()-3,$Y$4:$Y$500,0)),"")</f>
      </c>
      <c r="AA133" s="133">
        <f>IF(AND(A133="Модуль",C133&lt;&gt;"",OR($S$6="(все)",B133=$S$6)),MAX($AA$3:AA132)+1,"")</f>
      </c>
      <c r="AB133" s="133">
        <f>IFERROR(INDEX($C$4:$C$500,MATCH(ROW()-3,$AA$4:$AA$500,0)),"")</f>
      </c>
      <c r="AC133" s="133">
        <f>IF(OR(B133="",COUNTIF($B$4:B133,B133)&gt;1),"",MAX($AC$3:AC132)+1)</f>
      </c>
      <c r="AD133" s="133">
        <f>IFERROR(INDEX($B$4:$B$500,MATCH(ROW()-3,$AC$4:$AC$500,0)),"")</f>
      </c>
      <c r="AE133" s="133">
        <f>IF(AND(A133&lt;&gt;"",N(P133)&gt;0),IFERROR(MATCH(A133,$R$12:$R$25,0),99)*1000+ROW(),"")</f>
      </c>
      <c r="AF133" s="133">
        <f>IF(AE133="","",COUNTIF($AE$4:$AE$500,"&lt;="&amp;AE133))</f>
      </c>
    </row>
    <row r="134">
      <c r="A134" s="265"/>
      <c r="B134" s="265"/>
      <c r="C134" s="265"/>
      <c r="D134" s="265"/>
      <c r="E134" s="265"/>
      <c r="F134" s="265"/>
      <c r="G134" s="265"/>
      <c r="H134" s="265"/>
      <c r="I134" s="265"/>
      <c r="J134" s="265"/>
      <c r="K134" s="265"/>
      <c r="L134" s="265"/>
      <c r="M134" s="265"/>
      <c r="N134" s="133">
        <f>IF(OR(A134="Автомат",A134="Дифавтомат"),IF(W134="","",COUNTIF(Однолинейка!$H$3:$H$1000,U134)),IF(A134="Аппарат",IF(C134="","",COUNTIF(Однолинейка!$I$3:$I$1000,C134)+COUNTIF(Однолинейка!$J$3:$J$1000,C134)+COUNTIF(Однолинейка!$K$3:$K$1000,C134)),IF(A134="Модуль",IF(C134="","",COUNTIFS(Однолинейка!$AW$3:$AW$1000,"?*",Однолинейка!$AI$3:$AI$1000,C134)),IF(A134="Клемма",IF(C134="","",IF(C134=$S$7,SUM(Однолинейка!$BW$3:$BW$1000),IF(C134=$S$8,SUM(Однолинейка!$BX$3:$BX$1000),""))),""))))</f>
      </c>
      <c r="O134" s="265"/>
      <c r="P134" s="133">
        <f>IF(COUNT(N134,O134)=0,"",SUM(N134,O134))</f>
      </c>
      <c r="U134" s="133">
        <f>IF(OR(A134="Автомат",A134="Дифавтомат"),I134&amp;" С"&amp;J134&amp;"А"&amp;IF(K134="да"," 30мА",""),"")</f>
      </c>
      <c r="V134" s="133">
        <f>IF(U134="","",B134&amp;"|"&amp;U134)</f>
      </c>
      <c r="W134" s="133">
        <f>IF(AND(U134&lt;&gt;"",OR($S$4="(все)",B134=$S$4),IF($S$4="(все)",COUNTIF($U$4:U134,U134),COUNTIFS($U$4:U134,U134,$B$4:B134,B134))=1),MAX($W$3:W133)+1,"")</f>
      </c>
      <c r="X134" s="133">
        <f>IFERROR(INDEX($U$4:$U$500,MATCH(ROW()-3,$W$4:$W$500,0)),"")</f>
      </c>
      <c r="Y134" s="133">
        <f>IF(AND(A134="Аппарат",C134&lt;&gt;"",OR($S$5="(все)",B134=$S$5)),MAX($Y$3:Y133)+1,"")</f>
      </c>
      <c r="Z134" s="133">
        <f>IFERROR(INDEX($C$4:$C$500,MATCH(ROW()-3,$Y$4:$Y$500,0)),"")</f>
      </c>
      <c r="AA134" s="133">
        <f>IF(AND(A134="Модуль",C134&lt;&gt;"",OR($S$6="(все)",B134=$S$6)),MAX($AA$3:AA133)+1,"")</f>
      </c>
      <c r="AB134" s="133">
        <f>IFERROR(INDEX($C$4:$C$500,MATCH(ROW()-3,$AA$4:$AA$500,0)),"")</f>
      </c>
      <c r="AC134" s="133">
        <f>IF(OR(B134="",COUNTIF($B$4:B134,B134)&gt;1),"",MAX($AC$3:AC133)+1)</f>
      </c>
      <c r="AD134" s="133">
        <f>IFERROR(INDEX($B$4:$B$500,MATCH(ROW()-3,$AC$4:$AC$500,0)),"")</f>
      </c>
      <c r="AE134" s="133">
        <f>IF(AND(A134&lt;&gt;"",N(P134)&gt;0),IFERROR(MATCH(A134,$R$12:$R$25,0),99)*1000+ROW(),"")</f>
      </c>
      <c r="AF134" s="133">
        <f>IF(AE134="","",COUNTIF($AE$4:$AE$500,"&lt;="&amp;AE134))</f>
      </c>
    </row>
    <row r="135">
      <c r="A135" s="265"/>
      <c r="B135" s="265"/>
      <c r="C135" s="265"/>
      <c r="D135" s="265"/>
      <c r="E135" s="265"/>
      <c r="F135" s="265"/>
      <c r="G135" s="265"/>
      <c r="H135" s="265"/>
      <c r="I135" s="265"/>
      <c r="J135" s="265"/>
      <c r="K135" s="265"/>
      <c r="L135" s="265"/>
      <c r="M135" s="265"/>
      <c r="N135" s="133">
        <f>IF(OR(A135="Автомат",A135="Дифавтомат"),IF(W135="","",COUNTIF(Однолинейка!$H$3:$H$1000,U135)),IF(A135="Аппарат",IF(C135="","",COUNTIF(Однолинейка!$I$3:$I$1000,C135)+COUNTIF(Однолинейка!$J$3:$J$1000,C135)+COUNTIF(Однолинейка!$K$3:$K$1000,C135)),IF(A135="Модуль",IF(C135="","",COUNTIFS(Однолинейка!$AW$3:$AW$1000,"?*",Однолинейка!$AI$3:$AI$1000,C135)),IF(A135="Клемма",IF(C135="","",IF(C135=$S$7,SUM(Однолинейка!$BW$3:$BW$1000),IF(C135=$S$8,SUM(Однолинейка!$BX$3:$BX$1000),""))),""))))</f>
      </c>
      <c r="O135" s="265"/>
      <c r="P135" s="133">
        <f>IF(COUNT(N135,O135)=0,"",SUM(N135,O135))</f>
      </c>
      <c r="U135" s="133">
        <f>IF(OR(A135="Автомат",A135="Дифавтомат"),I135&amp;" С"&amp;J135&amp;"А"&amp;IF(K135="да"," 30мА",""),"")</f>
      </c>
      <c r="V135" s="133">
        <f>IF(U135="","",B135&amp;"|"&amp;U135)</f>
      </c>
      <c r="W135" s="133">
        <f>IF(AND(U135&lt;&gt;"",OR($S$4="(все)",B135=$S$4),IF($S$4="(все)",COUNTIF($U$4:U135,U135),COUNTIFS($U$4:U135,U135,$B$4:B135,B135))=1),MAX($W$3:W134)+1,"")</f>
      </c>
      <c r="X135" s="133">
        <f>IFERROR(INDEX($U$4:$U$500,MATCH(ROW()-3,$W$4:$W$500,0)),"")</f>
      </c>
      <c r="Y135" s="133">
        <f>IF(AND(A135="Аппарат",C135&lt;&gt;"",OR($S$5="(все)",B135=$S$5)),MAX($Y$3:Y134)+1,"")</f>
      </c>
      <c r="Z135" s="133">
        <f>IFERROR(INDEX($C$4:$C$500,MATCH(ROW()-3,$Y$4:$Y$500,0)),"")</f>
      </c>
      <c r="AA135" s="133">
        <f>IF(AND(A135="Модуль",C135&lt;&gt;"",OR($S$6="(все)",B135=$S$6)),MAX($AA$3:AA134)+1,"")</f>
      </c>
      <c r="AB135" s="133">
        <f>IFERROR(INDEX($C$4:$C$500,MATCH(ROW()-3,$AA$4:$AA$500,0)),"")</f>
      </c>
      <c r="AC135" s="133">
        <f>IF(OR(B135="",COUNTIF($B$4:B135,B135)&gt;1),"",MAX($AC$3:AC134)+1)</f>
      </c>
      <c r="AD135" s="133">
        <f>IFERROR(INDEX($B$4:$B$500,MATCH(ROW()-3,$AC$4:$AC$500,0)),"")</f>
      </c>
      <c r="AE135" s="133">
        <f>IF(AND(A135&lt;&gt;"",N(P135)&gt;0),IFERROR(MATCH(A135,$R$12:$R$25,0),99)*1000+ROW(),"")</f>
      </c>
      <c r="AF135" s="133">
        <f>IF(AE135="","",COUNTIF($AE$4:$AE$500,"&lt;="&amp;AE135))</f>
      </c>
    </row>
    <row r="136">
      <c r="A136" s="265"/>
      <c r="B136" s="265"/>
      <c r="C136" s="265"/>
      <c r="D136" s="265"/>
      <c r="E136" s="265"/>
      <c r="F136" s="265"/>
      <c r="G136" s="265"/>
      <c r="H136" s="265"/>
      <c r="I136" s="265"/>
      <c r="J136" s="265"/>
      <c r="K136" s="265"/>
      <c r="L136" s="265"/>
      <c r="M136" s="265"/>
      <c r="N136" s="133">
        <f>IF(OR(A136="Автомат",A136="Дифавтомат"),IF(W136="","",COUNTIF(Однолинейка!$H$3:$H$1000,U136)),IF(A136="Аппарат",IF(C136="","",COUNTIF(Однолинейка!$I$3:$I$1000,C136)+COUNTIF(Однолинейка!$J$3:$J$1000,C136)+COUNTIF(Однолинейка!$K$3:$K$1000,C136)),IF(A136="Модуль",IF(C136="","",COUNTIFS(Однолинейка!$AW$3:$AW$1000,"?*",Однолинейка!$AI$3:$AI$1000,C136)),IF(A136="Клемма",IF(C136="","",IF(C136=$S$7,SUM(Однолинейка!$BW$3:$BW$1000),IF(C136=$S$8,SUM(Однолинейка!$BX$3:$BX$1000),""))),""))))</f>
      </c>
      <c r="O136" s="265"/>
      <c r="P136" s="133">
        <f>IF(COUNT(N136,O136)=0,"",SUM(N136,O136))</f>
      </c>
      <c r="U136" s="133">
        <f>IF(OR(A136="Автомат",A136="Дифавтомат"),I136&amp;" С"&amp;J136&amp;"А"&amp;IF(K136="да"," 30мА",""),"")</f>
      </c>
      <c r="V136" s="133">
        <f>IF(U136="","",B136&amp;"|"&amp;U136)</f>
      </c>
      <c r="W136" s="133">
        <f>IF(AND(U136&lt;&gt;"",OR($S$4="(все)",B136=$S$4),IF($S$4="(все)",COUNTIF($U$4:U136,U136),COUNTIFS($U$4:U136,U136,$B$4:B136,B136))=1),MAX($W$3:W135)+1,"")</f>
      </c>
      <c r="X136" s="133">
        <f>IFERROR(INDEX($U$4:$U$500,MATCH(ROW()-3,$W$4:$W$500,0)),"")</f>
      </c>
      <c r="Y136" s="133">
        <f>IF(AND(A136="Аппарат",C136&lt;&gt;"",OR($S$5="(все)",B136=$S$5)),MAX($Y$3:Y135)+1,"")</f>
      </c>
      <c r="Z136" s="133">
        <f>IFERROR(INDEX($C$4:$C$500,MATCH(ROW()-3,$Y$4:$Y$500,0)),"")</f>
      </c>
      <c r="AA136" s="133">
        <f>IF(AND(A136="Модуль",C136&lt;&gt;"",OR($S$6="(все)",B136=$S$6)),MAX($AA$3:AA135)+1,"")</f>
      </c>
      <c r="AB136" s="133">
        <f>IFERROR(INDEX($C$4:$C$500,MATCH(ROW()-3,$AA$4:$AA$500,0)),"")</f>
      </c>
      <c r="AC136" s="133">
        <f>IF(OR(B136="",COUNTIF($B$4:B136,B136)&gt;1),"",MAX($AC$3:AC135)+1)</f>
      </c>
      <c r="AD136" s="133">
        <f>IFERROR(INDEX($B$4:$B$500,MATCH(ROW()-3,$AC$4:$AC$500,0)),"")</f>
      </c>
      <c r="AE136" s="133">
        <f>IF(AND(A136&lt;&gt;"",N(P136)&gt;0),IFERROR(MATCH(A136,$R$12:$R$25,0),99)*1000+ROW(),"")</f>
      </c>
      <c r="AF136" s="133">
        <f>IF(AE136="","",COUNTIF($AE$4:$AE$500,"&lt;="&amp;AE136))</f>
      </c>
    </row>
    <row r="137">
      <c r="A137" s="265"/>
      <c r="B137" s="265"/>
      <c r="C137" s="265"/>
      <c r="D137" s="265"/>
      <c r="E137" s="265"/>
      <c r="F137" s="265"/>
      <c r="G137" s="265"/>
      <c r="H137" s="265"/>
      <c r="I137" s="265"/>
      <c r="J137" s="265"/>
      <c r="K137" s="265"/>
      <c r="L137" s="265"/>
      <c r="M137" s="265"/>
      <c r="N137" s="133">
        <f>IF(OR(A137="Автомат",A137="Дифавтомат"),IF(W137="","",COUNTIF(Однолинейка!$H$3:$H$1000,U137)),IF(A137="Аппарат",IF(C137="","",COUNTIF(Однолинейка!$I$3:$I$1000,C137)+COUNTIF(Однолинейка!$J$3:$J$1000,C137)+COUNTIF(Однолинейка!$K$3:$K$1000,C137)),IF(A137="Модуль",IF(C137="","",COUNTIFS(Однолинейка!$AW$3:$AW$1000,"?*",Однолинейка!$AI$3:$AI$1000,C137)),IF(A137="Клемма",IF(C137="","",IF(C137=$S$7,SUM(Однолинейка!$BW$3:$BW$1000),IF(C137=$S$8,SUM(Однолинейка!$BX$3:$BX$1000),""))),""))))</f>
      </c>
      <c r="O137" s="265"/>
      <c r="P137" s="133">
        <f>IF(COUNT(N137,O137)=0,"",SUM(N137,O137))</f>
      </c>
      <c r="U137" s="133">
        <f>IF(OR(A137="Автомат",A137="Дифавтомат"),I137&amp;" С"&amp;J137&amp;"А"&amp;IF(K137="да"," 30мА",""),"")</f>
      </c>
      <c r="V137" s="133">
        <f>IF(U137="","",B137&amp;"|"&amp;U137)</f>
      </c>
      <c r="W137" s="133">
        <f>IF(AND(U137&lt;&gt;"",OR($S$4="(все)",B137=$S$4),IF($S$4="(все)",COUNTIF($U$4:U137,U137),COUNTIFS($U$4:U137,U137,$B$4:B137,B137))=1),MAX($W$3:W136)+1,"")</f>
      </c>
      <c r="X137" s="133">
        <f>IFERROR(INDEX($U$4:$U$500,MATCH(ROW()-3,$W$4:$W$500,0)),"")</f>
      </c>
      <c r="Y137" s="133">
        <f>IF(AND(A137="Аппарат",C137&lt;&gt;"",OR($S$5="(все)",B137=$S$5)),MAX($Y$3:Y136)+1,"")</f>
      </c>
      <c r="Z137" s="133">
        <f>IFERROR(INDEX($C$4:$C$500,MATCH(ROW()-3,$Y$4:$Y$500,0)),"")</f>
      </c>
      <c r="AA137" s="133">
        <f>IF(AND(A137="Модуль",C137&lt;&gt;"",OR($S$6="(все)",B137=$S$6)),MAX($AA$3:AA136)+1,"")</f>
      </c>
      <c r="AB137" s="133">
        <f>IFERROR(INDEX($C$4:$C$500,MATCH(ROW()-3,$AA$4:$AA$500,0)),"")</f>
      </c>
      <c r="AC137" s="133">
        <f>IF(OR(B137="",COUNTIF($B$4:B137,B137)&gt;1),"",MAX($AC$3:AC136)+1)</f>
      </c>
      <c r="AD137" s="133">
        <f>IFERROR(INDEX($B$4:$B$500,MATCH(ROW()-3,$AC$4:$AC$500,0)),"")</f>
      </c>
      <c r="AE137" s="133">
        <f>IF(AND(A137&lt;&gt;"",N(P137)&gt;0),IFERROR(MATCH(A137,$R$12:$R$25,0),99)*1000+ROW(),"")</f>
      </c>
      <c r="AF137" s="133">
        <f>IF(AE137="","",COUNTIF($AE$4:$AE$500,"&lt;="&amp;AE137))</f>
      </c>
    </row>
    <row r="138">
      <c r="A138" s="265"/>
      <c r="B138" s="265"/>
      <c r="C138" s="265"/>
      <c r="D138" s="265"/>
      <c r="E138" s="265"/>
      <c r="F138" s="265"/>
      <c r="G138" s="265"/>
      <c r="H138" s="265"/>
      <c r="I138" s="265"/>
      <c r="J138" s="265"/>
      <c r="K138" s="265"/>
      <c r="L138" s="265"/>
      <c r="M138" s="265"/>
      <c r="N138" s="133">
        <f>IF(OR(A138="Автомат",A138="Дифавтомат"),IF(W138="","",COUNTIF(Однолинейка!$H$3:$H$1000,U138)),IF(A138="Аппарат",IF(C138="","",COUNTIF(Однолинейка!$I$3:$I$1000,C138)+COUNTIF(Однолинейка!$J$3:$J$1000,C138)+COUNTIF(Однолинейка!$K$3:$K$1000,C138)),IF(A138="Модуль",IF(C138="","",COUNTIFS(Однолинейка!$AW$3:$AW$1000,"?*",Однолинейка!$AI$3:$AI$1000,C138)),IF(A138="Клемма",IF(C138="","",IF(C138=$S$7,SUM(Однолинейка!$BW$3:$BW$1000),IF(C138=$S$8,SUM(Однолинейка!$BX$3:$BX$1000),""))),""))))</f>
      </c>
      <c r="O138" s="265"/>
      <c r="P138" s="133">
        <f>IF(COUNT(N138,O138)=0,"",SUM(N138,O138))</f>
      </c>
      <c r="U138" s="133">
        <f>IF(OR(A138="Автомат",A138="Дифавтомат"),I138&amp;" С"&amp;J138&amp;"А"&amp;IF(K138="да"," 30мА",""),"")</f>
      </c>
      <c r="V138" s="133">
        <f>IF(U138="","",B138&amp;"|"&amp;U138)</f>
      </c>
      <c r="W138" s="133">
        <f>IF(AND(U138&lt;&gt;"",OR($S$4="(все)",B138=$S$4),IF($S$4="(все)",COUNTIF($U$4:U138,U138),COUNTIFS($U$4:U138,U138,$B$4:B138,B138))=1),MAX($W$3:W137)+1,"")</f>
      </c>
      <c r="X138" s="133">
        <f>IFERROR(INDEX($U$4:$U$500,MATCH(ROW()-3,$W$4:$W$500,0)),"")</f>
      </c>
      <c r="Y138" s="133">
        <f>IF(AND(A138="Аппарат",C138&lt;&gt;"",OR($S$5="(все)",B138=$S$5)),MAX($Y$3:Y137)+1,"")</f>
      </c>
      <c r="Z138" s="133">
        <f>IFERROR(INDEX($C$4:$C$500,MATCH(ROW()-3,$Y$4:$Y$500,0)),"")</f>
      </c>
      <c r="AA138" s="133">
        <f>IF(AND(A138="Модуль",C138&lt;&gt;"",OR($S$6="(все)",B138=$S$6)),MAX($AA$3:AA137)+1,"")</f>
      </c>
      <c r="AB138" s="133">
        <f>IFERROR(INDEX($C$4:$C$500,MATCH(ROW()-3,$AA$4:$AA$500,0)),"")</f>
      </c>
      <c r="AC138" s="133">
        <f>IF(OR(B138="",COUNTIF($B$4:B138,B138)&gt;1),"",MAX($AC$3:AC137)+1)</f>
      </c>
      <c r="AD138" s="133">
        <f>IFERROR(INDEX($B$4:$B$500,MATCH(ROW()-3,$AC$4:$AC$500,0)),"")</f>
      </c>
      <c r="AE138" s="133">
        <f>IF(AND(A138&lt;&gt;"",N(P138)&gt;0),IFERROR(MATCH(A138,$R$12:$R$25,0),99)*1000+ROW(),"")</f>
      </c>
      <c r="AF138" s="133">
        <f>IF(AE138="","",COUNTIF($AE$4:$AE$500,"&lt;="&amp;AE138))</f>
      </c>
    </row>
    <row r="139">
      <c r="A139" s="265"/>
      <c r="B139" s="265"/>
      <c r="C139" s="265"/>
      <c r="D139" s="265"/>
      <c r="E139" s="265"/>
      <c r="F139" s="265"/>
      <c r="G139" s="265"/>
      <c r="H139" s="265"/>
      <c r="I139" s="265"/>
      <c r="J139" s="265"/>
      <c r="K139" s="265"/>
      <c r="L139" s="265"/>
      <c r="M139" s="265"/>
      <c r="N139" s="133">
        <f>IF(OR(A139="Автомат",A139="Дифавтомат"),IF(W139="","",COUNTIF(Однолинейка!$H$3:$H$1000,U139)),IF(A139="Аппарат",IF(C139="","",COUNTIF(Однолинейка!$I$3:$I$1000,C139)+COUNTIF(Однолинейка!$J$3:$J$1000,C139)+COUNTIF(Однолинейка!$K$3:$K$1000,C139)),IF(A139="Модуль",IF(C139="","",COUNTIFS(Однолинейка!$AW$3:$AW$1000,"?*",Однолинейка!$AI$3:$AI$1000,C139)),IF(A139="Клемма",IF(C139="","",IF(C139=$S$7,SUM(Однолинейка!$BW$3:$BW$1000),IF(C139=$S$8,SUM(Однолинейка!$BX$3:$BX$1000),""))),""))))</f>
      </c>
      <c r="O139" s="265"/>
      <c r="P139" s="133">
        <f>IF(COUNT(N139,O139)=0,"",SUM(N139,O139))</f>
      </c>
      <c r="U139" s="133">
        <f>IF(OR(A139="Автомат",A139="Дифавтомат"),I139&amp;" С"&amp;J139&amp;"А"&amp;IF(K139="да"," 30мА",""),"")</f>
      </c>
      <c r="V139" s="133">
        <f>IF(U139="","",B139&amp;"|"&amp;U139)</f>
      </c>
      <c r="W139" s="133">
        <f>IF(AND(U139&lt;&gt;"",OR($S$4="(все)",B139=$S$4),IF($S$4="(все)",COUNTIF($U$4:U139,U139),COUNTIFS($U$4:U139,U139,$B$4:B139,B139))=1),MAX($W$3:W138)+1,"")</f>
      </c>
      <c r="X139" s="133">
        <f>IFERROR(INDEX($U$4:$U$500,MATCH(ROW()-3,$W$4:$W$500,0)),"")</f>
      </c>
      <c r="Y139" s="133">
        <f>IF(AND(A139="Аппарат",C139&lt;&gt;"",OR($S$5="(все)",B139=$S$5)),MAX($Y$3:Y138)+1,"")</f>
      </c>
      <c r="Z139" s="133">
        <f>IFERROR(INDEX($C$4:$C$500,MATCH(ROW()-3,$Y$4:$Y$500,0)),"")</f>
      </c>
      <c r="AA139" s="133">
        <f>IF(AND(A139="Модуль",C139&lt;&gt;"",OR($S$6="(все)",B139=$S$6)),MAX($AA$3:AA138)+1,"")</f>
      </c>
      <c r="AB139" s="133">
        <f>IFERROR(INDEX($C$4:$C$500,MATCH(ROW()-3,$AA$4:$AA$500,0)),"")</f>
      </c>
      <c r="AC139" s="133">
        <f>IF(OR(B139="",COUNTIF($B$4:B139,B139)&gt;1),"",MAX($AC$3:AC138)+1)</f>
      </c>
      <c r="AD139" s="133">
        <f>IFERROR(INDEX($B$4:$B$500,MATCH(ROW()-3,$AC$4:$AC$500,0)),"")</f>
      </c>
      <c r="AE139" s="133">
        <f>IF(AND(A139&lt;&gt;"",N(P139)&gt;0),IFERROR(MATCH(A139,$R$12:$R$25,0),99)*1000+ROW(),"")</f>
      </c>
      <c r="AF139" s="133">
        <f>IF(AE139="","",COUNTIF($AE$4:$AE$500,"&lt;="&amp;AE139))</f>
      </c>
    </row>
    <row r="140">
      <c r="A140" s="265"/>
      <c r="B140" s="265"/>
      <c r="C140" s="265"/>
      <c r="D140" s="265"/>
      <c r="E140" s="265"/>
      <c r="F140" s="265"/>
      <c r="G140" s="265"/>
      <c r="H140" s="265"/>
      <c r="I140" s="265"/>
      <c r="J140" s="265"/>
      <c r="K140" s="265"/>
      <c r="L140" s="265"/>
      <c r="M140" s="265"/>
      <c r="N140" s="133">
        <f>IF(OR(A140="Автомат",A140="Дифавтомат"),IF(W140="","",COUNTIF(Однолинейка!$H$3:$H$1000,U140)),IF(A140="Аппарат",IF(C140="","",COUNTIF(Однолинейка!$I$3:$I$1000,C140)+COUNTIF(Однолинейка!$J$3:$J$1000,C140)+COUNTIF(Однолинейка!$K$3:$K$1000,C140)),IF(A140="Модуль",IF(C140="","",COUNTIFS(Однолинейка!$AW$3:$AW$1000,"?*",Однолинейка!$AI$3:$AI$1000,C140)),IF(A140="Клемма",IF(C140="","",IF(C140=$S$7,SUM(Однолинейка!$BW$3:$BW$1000),IF(C140=$S$8,SUM(Однолинейка!$BX$3:$BX$1000),""))),""))))</f>
      </c>
      <c r="O140" s="265"/>
      <c r="P140" s="133">
        <f>IF(COUNT(N140,O140)=0,"",SUM(N140,O140))</f>
      </c>
      <c r="U140" s="133">
        <f>IF(OR(A140="Автомат",A140="Дифавтомат"),I140&amp;" С"&amp;J140&amp;"А"&amp;IF(K140="да"," 30мА",""),"")</f>
      </c>
      <c r="V140" s="133">
        <f>IF(U140="","",B140&amp;"|"&amp;U140)</f>
      </c>
      <c r="W140" s="133">
        <f>IF(AND(U140&lt;&gt;"",OR($S$4="(все)",B140=$S$4),IF($S$4="(все)",COUNTIF($U$4:U140,U140),COUNTIFS($U$4:U140,U140,$B$4:B140,B140))=1),MAX($W$3:W139)+1,"")</f>
      </c>
      <c r="X140" s="133">
        <f>IFERROR(INDEX($U$4:$U$500,MATCH(ROW()-3,$W$4:$W$500,0)),"")</f>
      </c>
      <c r="Y140" s="133">
        <f>IF(AND(A140="Аппарат",C140&lt;&gt;"",OR($S$5="(все)",B140=$S$5)),MAX($Y$3:Y139)+1,"")</f>
      </c>
      <c r="Z140" s="133">
        <f>IFERROR(INDEX($C$4:$C$500,MATCH(ROW()-3,$Y$4:$Y$500,0)),"")</f>
      </c>
      <c r="AA140" s="133">
        <f>IF(AND(A140="Модуль",C140&lt;&gt;"",OR($S$6="(все)",B140=$S$6)),MAX($AA$3:AA139)+1,"")</f>
      </c>
      <c r="AB140" s="133">
        <f>IFERROR(INDEX($C$4:$C$500,MATCH(ROW()-3,$AA$4:$AA$500,0)),"")</f>
      </c>
      <c r="AC140" s="133">
        <f>IF(OR(B140="",COUNTIF($B$4:B140,B140)&gt;1),"",MAX($AC$3:AC139)+1)</f>
      </c>
      <c r="AD140" s="133">
        <f>IFERROR(INDEX($B$4:$B$500,MATCH(ROW()-3,$AC$4:$AC$500,0)),"")</f>
      </c>
      <c r="AE140" s="133">
        <f>IF(AND(A140&lt;&gt;"",N(P140)&gt;0),IFERROR(MATCH(A140,$R$12:$R$25,0),99)*1000+ROW(),"")</f>
      </c>
      <c r="AF140" s="133">
        <f>IF(AE140="","",COUNTIF($AE$4:$AE$500,"&lt;="&amp;AE140))</f>
      </c>
    </row>
    <row r="141">
      <c r="A141" s="265"/>
      <c r="B141" s="265"/>
      <c r="C141" s="265"/>
      <c r="D141" s="265"/>
      <c r="E141" s="265"/>
      <c r="F141" s="265"/>
      <c r="G141" s="265"/>
      <c r="H141" s="265"/>
      <c r="I141" s="265"/>
      <c r="J141" s="265"/>
      <c r="K141" s="265"/>
      <c r="L141" s="265"/>
      <c r="M141" s="265"/>
      <c r="N141" s="133">
        <f>IF(OR(A141="Автомат",A141="Дифавтомат"),IF(W141="","",COUNTIF(Однолинейка!$H$3:$H$1000,U141)),IF(A141="Аппарат",IF(C141="","",COUNTIF(Однолинейка!$I$3:$I$1000,C141)+COUNTIF(Однолинейка!$J$3:$J$1000,C141)+COUNTIF(Однолинейка!$K$3:$K$1000,C141)),IF(A141="Модуль",IF(C141="","",COUNTIFS(Однолинейка!$AW$3:$AW$1000,"?*",Однолинейка!$AI$3:$AI$1000,C141)),IF(A141="Клемма",IF(C141="","",IF(C141=$S$7,SUM(Однолинейка!$BW$3:$BW$1000),IF(C141=$S$8,SUM(Однолинейка!$BX$3:$BX$1000),""))),""))))</f>
      </c>
      <c r="O141" s="265"/>
      <c r="P141" s="133">
        <f>IF(COUNT(N141,O141)=0,"",SUM(N141,O141))</f>
      </c>
      <c r="U141" s="133">
        <f>IF(OR(A141="Автомат",A141="Дифавтомат"),I141&amp;" С"&amp;J141&amp;"А"&amp;IF(K141="да"," 30мА",""),"")</f>
      </c>
      <c r="V141" s="133">
        <f>IF(U141="","",B141&amp;"|"&amp;U141)</f>
      </c>
      <c r="W141" s="133">
        <f>IF(AND(U141&lt;&gt;"",OR($S$4="(все)",B141=$S$4),IF($S$4="(все)",COUNTIF($U$4:U141,U141),COUNTIFS($U$4:U141,U141,$B$4:B141,B141))=1),MAX($W$3:W140)+1,"")</f>
      </c>
      <c r="X141" s="133">
        <f>IFERROR(INDEX($U$4:$U$500,MATCH(ROW()-3,$W$4:$W$500,0)),"")</f>
      </c>
      <c r="Y141" s="133">
        <f>IF(AND(A141="Аппарат",C141&lt;&gt;"",OR($S$5="(все)",B141=$S$5)),MAX($Y$3:Y140)+1,"")</f>
      </c>
      <c r="Z141" s="133">
        <f>IFERROR(INDEX($C$4:$C$500,MATCH(ROW()-3,$Y$4:$Y$500,0)),"")</f>
      </c>
      <c r="AA141" s="133">
        <f>IF(AND(A141="Модуль",C141&lt;&gt;"",OR($S$6="(все)",B141=$S$6)),MAX($AA$3:AA140)+1,"")</f>
      </c>
      <c r="AB141" s="133">
        <f>IFERROR(INDEX($C$4:$C$500,MATCH(ROW()-3,$AA$4:$AA$500,0)),"")</f>
      </c>
      <c r="AC141" s="133">
        <f>IF(OR(B141="",COUNTIF($B$4:B141,B141)&gt;1),"",MAX($AC$3:AC140)+1)</f>
      </c>
      <c r="AD141" s="133">
        <f>IFERROR(INDEX($B$4:$B$500,MATCH(ROW()-3,$AC$4:$AC$500,0)),"")</f>
      </c>
      <c r="AE141" s="133">
        <f>IF(AND(A141&lt;&gt;"",N(P141)&gt;0),IFERROR(MATCH(A141,$R$12:$R$25,0),99)*1000+ROW(),"")</f>
      </c>
      <c r="AF141" s="133">
        <f>IF(AE141="","",COUNTIF($AE$4:$AE$500,"&lt;="&amp;AE141))</f>
      </c>
    </row>
    <row r="142">
      <c r="A142" s="265"/>
      <c r="B142" s="265"/>
      <c r="C142" s="265"/>
      <c r="D142" s="265"/>
      <c r="E142" s="265"/>
      <c r="F142" s="265"/>
      <c r="G142" s="265"/>
      <c r="H142" s="265"/>
      <c r="I142" s="265"/>
      <c r="J142" s="265"/>
      <c r="K142" s="265"/>
      <c r="L142" s="265"/>
      <c r="M142" s="265"/>
      <c r="N142" s="133">
        <f>IF(OR(A142="Автомат",A142="Дифавтомат"),IF(W142="","",COUNTIF(Однолинейка!$H$3:$H$1000,U142)),IF(A142="Аппарат",IF(C142="","",COUNTIF(Однолинейка!$I$3:$I$1000,C142)+COUNTIF(Однолинейка!$J$3:$J$1000,C142)+COUNTIF(Однолинейка!$K$3:$K$1000,C142)),IF(A142="Модуль",IF(C142="","",COUNTIFS(Однолинейка!$AW$3:$AW$1000,"?*",Однолинейка!$AI$3:$AI$1000,C142)),IF(A142="Клемма",IF(C142="","",IF(C142=$S$7,SUM(Однолинейка!$BW$3:$BW$1000),IF(C142=$S$8,SUM(Однолинейка!$BX$3:$BX$1000),""))),""))))</f>
      </c>
      <c r="O142" s="265"/>
      <c r="P142" s="133">
        <f>IF(COUNT(N142,O142)=0,"",SUM(N142,O142))</f>
      </c>
      <c r="U142" s="133">
        <f>IF(OR(A142="Автомат",A142="Дифавтомат"),I142&amp;" С"&amp;J142&amp;"А"&amp;IF(K142="да"," 30мА",""),"")</f>
      </c>
      <c r="V142" s="133">
        <f>IF(U142="","",B142&amp;"|"&amp;U142)</f>
      </c>
      <c r="W142" s="133">
        <f>IF(AND(U142&lt;&gt;"",OR($S$4="(все)",B142=$S$4),IF($S$4="(все)",COUNTIF($U$4:U142,U142),COUNTIFS($U$4:U142,U142,$B$4:B142,B142))=1),MAX($W$3:W141)+1,"")</f>
      </c>
      <c r="X142" s="133">
        <f>IFERROR(INDEX($U$4:$U$500,MATCH(ROW()-3,$W$4:$W$500,0)),"")</f>
      </c>
      <c r="Y142" s="133">
        <f>IF(AND(A142="Аппарат",C142&lt;&gt;"",OR($S$5="(все)",B142=$S$5)),MAX($Y$3:Y141)+1,"")</f>
      </c>
      <c r="Z142" s="133">
        <f>IFERROR(INDEX($C$4:$C$500,MATCH(ROW()-3,$Y$4:$Y$500,0)),"")</f>
      </c>
      <c r="AA142" s="133">
        <f>IF(AND(A142="Модуль",C142&lt;&gt;"",OR($S$6="(все)",B142=$S$6)),MAX($AA$3:AA141)+1,"")</f>
      </c>
      <c r="AB142" s="133">
        <f>IFERROR(INDEX($C$4:$C$500,MATCH(ROW()-3,$AA$4:$AA$500,0)),"")</f>
      </c>
      <c r="AC142" s="133">
        <f>IF(OR(B142="",COUNTIF($B$4:B142,B142)&gt;1),"",MAX($AC$3:AC141)+1)</f>
      </c>
      <c r="AD142" s="133">
        <f>IFERROR(INDEX($B$4:$B$500,MATCH(ROW()-3,$AC$4:$AC$500,0)),"")</f>
      </c>
      <c r="AE142" s="133">
        <f>IF(AND(A142&lt;&gt;"",N(P142)&gt;0),IFERROR(MATCH(A142,$R$12:$R$25,0),99)*1000+ROW(),"")</f>
      </c>
      <c r="AF142" s="133">
        <f>IF(AE142="","",COUNTIF($AE$4:$AE$500,"&lt;="&amp;AE142))</f>
      </c>
    </row>
    <row r="143">
      <c r="A143" s="265"/>
      <c r="B143" s="265"/>
      <c r="C143" s="265"/>
      <c r="D143" s="265"/>
      <c r="E143" s="265"/>
      <c r="F143" s="265"/>
      <c r="G143" s="265"/>
      <c r="H143" s="265"/>
      <c r="I143" s="265"/>
      <c r="J143" s="265"/>
      <c r="K143" s="265"/>
      <c r="L143" s="265"/>
      <c r="M143" s="265"/>
      <c r="N143" s="133">
        <f>IF(OR(A143="Автомат",A143="Дифавтомат"),IF(W143="","",COUNTIF(Однолинейка!$H$3:$H$1000,U143)),IF(A143="Аппарат",IF(C143="","",COUNTIF(Однолинейка!$I$3:$I$1000,C143)+COUNTIF(Однолинейка!$J$3:$J$1000,C143)+COUNTIF(Однолинейка!$K$3:$K$1000,C143)),IF(A143="Модуль",IF(C143="","",COUNTIFS(Однолинейка!$AW$3:$AW$1000,"?*",Однолинейка!$AI$3:$AI$1000,C143)),IF(A143="Клемма",IF(C143="","",IF(C143=$S$7,SUM(Однолинейка!$BW$3:$BW$1000),IF(C143=$S$8,SUM(Однолинейка!$BX$3:$BX$1000),""))),""))))</f>
      </c>
      <c r="O143" s="265"/>
      <c r="P143" s="133">
        <f>IF(COUNT(N143,O143)=0,"",SUM(N143,O143))</f>
      </c>
      <c r="U143" s="133">
        <f>IF(OR(A143="Автомат",A143="Дифавтомат"),I143&amp;" С"&amp;J143&amp;"А"&amp;IF(K143="да"," 30мА",""),"")</f>
      </c>
      <c r="V143" s="133">
        <f>IF(U143="","",B143&amp;"|"&amp;U143)</f>
      </c>
      <c r="W143" s="133">
        <f>IF(AND(U143&lt;&gt;"",OR($S$4="(все)",B143=$S$4),IF($S$4="(все)",COUNTIF($U$4:U143,U143),COUNTIFS($U$4:U143,U143,$B$4:B143,B143))=1),MAX($W$3:W142)+1,"")</f>
      </c>
      <c r="X143" s="133">
        <f>IFERROR(INDEX($U$4:$U$500,MATCH(ROW()-3,$W$4:$W$500,0)),"")</f>
      </c>
      <c r="Y143" s="133">
        <f>IF(AND(A143="Аппарат",C143&lt;&gt;"",OR($S$5="(все)",B143=$S$5)),MAX($Y$3:Y142)+1,"")</f>
      </c>
      <c r="Z143" s="133">
        <f>IFERROR(INDEX($C$4:$C$500,MATCH(ROW()-3,$Y$4:$Y$500,0)),"")</f>
      </c>
      <c r="AA143" s="133">
        <f>IF(AND(A143="Модуль",C143&lt;&gt;"",OR($S$6="(все)",B143=$S$6)),MAX($AA$3:AA142)+1,"")</f>
      </c>
      <c r="AB143" s="133">
        <f>IFERROR(INDEX($C$4:$C$500,MATCH(ROW()-3,$AA$4:$AA$500,0)),"")</f>
      </c>
      <c r="AC143" s="133">
        <f>IF(OR(B143="",COUNTIF($B$4:B143,B143)&gt;1),"",MAX($AC$3:AC142)+1)</f>
      </c>
      <c r="AD143" s="133">
        <f>IFERROR(INDEX($B$4:$B$500,MATCH(ROW()-3,$AC$4:$AC$500,0)),"")</f>
      </c>
      <c r="AE143" s="133">
        <f>IF(AND(A143&lt;&gt;"",N(P143)&gt;0),IFERROR(MATCH(A143,$R$12:$R$25,0),99)*1000+ROW(),"")</f>
      </c>
      <c r="AF143" s="133">
        <f>IF(AE143="","",COUNTIF($AE$4:$AE$500,"&lt;="&amp;AE143))</f>
      </c>
    </row>
    <row r="144">
      <c r="A144" s="265"/>
      <c r="B144" s="265"/>
      <c r="C144" s="265"/>
      <c r="D144" s="265"/>
      <c r="E144" s="265"/>
      <c r="F144" s="265"/>
      <c r="G144" s="265"/>
      <c r="H144" s="265"/>
      <c r="I144" s="265"/>
      <c r="J144" s="265"/>
      <c r="K144" s="265"/>
      <c r="L144" s="265"/>
      <c r="M144" s="265"/>
      <c r="N144" s="133">
        <f>IF(OR(A144="Автомат",A144="Дифавтомат"),IF(W144="","",COUNTIF(Однолинейка!$H$3:$H$1000,U144)),IF(A144="Аппарат",IF(C144="","",COUNTIF(Однолинейка!$I$3:$I$1000,C144)+COUNTIF(Однолинейка!$J$3:$J$1000,C144)+COUNTIF(Однолинейка!$K$3:$K$1000,C144)),IF(A144="Модуль",IF(C144="","",COUNTIFS(Однолинейка!$AW$3:$AW$1000,"?*",Однолинейка!$AI$3:$AI$1000,C144)),IF(A144="Клемма",IF(C144="","",IF(C144=$S$7,SUM(Однолинейка!$BW$3:$BW$1000),IF(C144=$S$8,SUM(Однолинейка!$BX$3:$BX$1000),""))),""))))</f>
      </c>
      <c r="O144" s="265"/>
      <c r="P144" s="133">
        <f>IF(COUNT(N144,O144)=0,"",SUM(N144,O144))</f>
      </c>
      <c r="U144" s="133">
        <f>IF(OR(A144="Автомат",A144="Дифавтомат"),I144&amp;" С"&amp;J144&amp;"А"&amp;IF(K144="да"," 30мА",""),"")</f>
      </c>
      <c r="V144" s="133">
        <f>IF(U144="","",B144&amp;"|"&amp;U144)</f>
      </c>
      <c r="W144" s="133">
        <f>IF(AND(U144&lt;&gt;"",OR($S$4="(все)",B144=$S$4),IF($S$4="(все)",COUNTIF($U$4:U144,U144),COUNTIFS($U$4:U144,U144,$B$4:B144,B144))=1),MAX($W$3:W143)+1,"")</f>
      </c>
      <c r="X144" s="133">
        <f>IFERROR(INDEX($U$4:$U$500,MATCH(ROW()-3,$W$4:$W$500,0)),"")</f>
      </c>
      <c r="Y144" s="133">
        <f>IF(AND(A144="Аппарат",C144&lt;&gt;"",OR($S$5="(все)",B144=$S$5)),MAX($Y$3:Y143)+1,"")</f>
      </c>
      <c r="Z144" s="133">
        <f>IFERROR(INDEX($C$4:$C$500,MATCH(ROW()-3,$Y$4:$Y$500,0)),"")</f>
      </c>
      <c r="AA144" s="133">
        <f>IF(AND(A144="Модуль",C144&lt;&gt;"",OR($S$6="(все)",B144=$S$6)),MAX($AA$3:AA143)+1,"")</f>
      </c>
      <c r="AB144" s="133">
        <f>IFERROR(INDEX($C$4:$C$500,MATCH(ROW()-3,$AA$4:$AA$500,0)),"")</f>
      </c>
      <c r="AC144" s="133">
        <f>IF(OR(B144="",COUNTIF($B$4:B144,B144)&gt;1),"",MAX($AC$3:AC143)+1)</f>
      </c>
      <c r="AD144" s="133">
        <f>IFERROR(INDEX($B$4:$B$500,MATCH(ROW()-3,$AC$4:$AC$500,0)),"")</f>
      </c>
      <c r="AE144" s="133">
        <f>IF(AND(A144&lt;&gt;"",N(P144)&gt;0),IFERROR(MATCH(A144,$R$12:$R$25,0),99)*1000+ROW(),"")</f>
      </c>
      <c r="AF144" s="133">
        <f>IF(AE144="","",COUNTIF($AE$4:$AE$500,"&lt;="&amp;AE144))</f>
      </c>
    </row>
    <row r="145">
      <c r="A145" s="265"/>
      <c r="B145" s="265"/>
      <c r="C145" s="265"/>
      <c r="D145" s="265"/>
      <c r="E145" s="265"/>
      <c r="F145" s="265"/>
      <c r="G145" s="265"/>
      <c r="H145" s="265"/>
      <c r="I145" s="265"/>
      <c r="J145" s="265"/>
      <c r="K145" s="265"/>
      <c r="L145" s="265"/>
      <c r="M145" s="265"/>
      <c r="N145" s="133">
        <f>IF(OR(A145="Автомат",A145="Дифавтомат"),IF(W145="","",COUNTIF(Однолинейка!$H$3:$H$1000,U145)),IF(A145="Аппарат",IF(C145="","",COUNTIF(Однолинейка!$I$3:$I$1000,C145)+COUNTIF(Однолинейка!$J$3:$J$1000,C145)+COUNTIF(Однолинейка!$K$3:$K$1000,C145)),IF(A145="Модуль",IF(C145="","",COUNTIFS(Однолинейка!$AW$3:$AW$1000,"?*",Однолинейка!$AI$3:$AI$1000,C145)),IF(A145="Клемма",IF(C145="","",IF(C145=$S$7,SUM(Однолинейка!$BW$3:$BW$1000),IF(C145=$S$8,SUM(Однолинейка!$BX$3:$BX$1000),""))),""))))</f>
      </c>
      <c r="O145" s="265"/>
      <c r="P145" s="133">
        <f>IF(COUNT(N145,O145)=0,"",SUM(N145,O145))</f>
      </c>
      <c r="U145" s="133">
        <f>IF(OR(A145="Автомат",A145="Дифавтомат"),I145&amp;" С"&amp;J145&amp;"А"&amp;IF(K145="да"," 30мА",""),"")</f>
      </c>
      <c r="V145" s="133">
        <f>IF(U145="","",B145&amp;"|"&amp;U145)</f>
      </c>
      <c r="W145" s="133">
        <f>IF(AND(U145&lt;&gt;"",OR($S$4="(все)",B145=$S$4),IF($S$4="(все)",COUNTIF($U$4:U145,U145),COUNTIFS($U$4:U145,U145,$B$4:B145,B145))=1),MAX($W$3:W144)+1,"")</f>
      </c>
      <c r="X145" s="133">
        <f>IFERROR(INDEX($U$4:$U$500,MATCH(ROW()-3,$W$4:$W$500,0)),"")</f>
      </c>
      <c r="Y145" s="133">
        <f>IF(AND(A145="Аппарат",C145&lt;&gt;"",OR($S$5="(все)",B145=$S$5)),MAX($Y$3:Y144)+1,"")</f>
      </c>
      <c r="Z145" s="133">
        <f>IFERROR(INDEX($C$4:$C$500,MATCH(ROW()-3,$Y$4:$Y$500,0)),"")</f>
      </c>
      <c r="AA145" s="133">
        <f>IF(AND(A145="Модуль",C145&lt;&gt;"",OR($S$6="(все)",B145=$S$6)),MAX($AA$3:AA144)+1,"")</f>
      </c>
      <c r="AB145" s="133">
        <f>IFERROR(INDEX($C$4:$C$500,MATCH(ROW()-3,$AA$4:$AA$500,0)),"")</f>
      </c>
      <c r="AC145" s="133">
        <f>IF(OR(B145="",COUNTIF($B$4:B145,B145)&gt;1),"",MAX($AC$3:AC144)+1)</f>
      </c>
      <c r="AD145" s="133">
        <f>IFERROR(INDEX($B$4:$B$500,MATCH(ROW()-3,$AC$4:$AC$500,0)),"")</f>
      </c>
      <c r="AE145" s="133">
        <f>IF(AND(A145&lt;&gt;"",N(P145)&gt;0),IFERROR(MATCH(A145,$R$12:$R$25,0),99)*1000+ROW(),"")</f>
      </c>
      <c r="AF145" s="133">
        <f>IF(AE145="","",COUNTIF($AE$4:$AE$500,"&lt;="&amp;AE145))</f>
      </c>
    </row>
    <row r="146">
      <c r="A146" s="265"/>
      <c r="B146" s="265"/>
      <c r="C146" s="265"/>
      <c r="D146" s="265"/>
      <c r="E146" s="265"/>
      <c r="F146" s="265"/>
      <c r="G146" s="265"/>
      <c r="H146" s="265"/>
      <c r="I146" s="265"/>
      <c r="J146" s="265"/>
      <c r="K146" s="265"/>
      <c r="L146" s="265"/>
      <c r="M146" s="265"/>
      <c r="N146" s="133">
        <f>IF(OR(A146="Автомат",A146="Дифавтомат"),IF(W146="","",COUNTIF(Однолинейка!$H$3:$H$1000,U146)),IF(A146="Аппарат",IF(C146="","",COUNTIF(Однолинейка!$I$3:$I$1000,C146)+COUNTIF(Однолинейка!$J$3:$J$1000,C146)+COUNTIF(Однолинейка!$K$3:$K$1000,C146)),IF(A146="Модуль",IF(C146="","",COUNTIFS(Однолинейка!$AW$3:$AW$1000,"?*",Однолинейка!$AI$3:$AI$1000,C146)),IF(A146="Клемма",IF(C146="","",IF(C146=$S$7,SUM(Однолинейка!$BW$3:$BW$1000),IF(C146=$S$8,SUM(Однолинейка!$BX$3:$BX$1000),""))),""))))</f>
      </c>
      <c r="O146" s="265"/>
      <c r="P146" s="133">
        <f>IF(COUNT(N146,O146)=0,"",SUM(N146,O146))</f>
      </c>
      <c r="U146" s="133">
        <f>IF(OR(A146="Автомат",A146="Дифавтомат"),I146&amp;" С"&amp;J146&amp;"А"&amp;IF(K146="да"," 30мА",""),"")</f>
      </c>
      <c r="V146" s="133">
        <f>IF(U146="","",B146&amp;"|"&amp;U146)</f>
      </c>
      <c r="W146" s="133">
        <f>IF(AND(U146&lt;&gt;"",OR($S$4="(все)",B146=$S$4),IF($S$4="(все)",COUNTIF($U$4:U146,U146),COUNTIFS($U$4:U146,U146,$B$4:B146,B146))=1),MAX($W$3:W145)+1,"")</f>
      </c>
      <c r="X146" s="133">
        <f>IFERROR(INDEX($U$4:$U$500,MATCH(ROW()-3,$W$4:$W$500,0)),"")</f>
      </c>
      <c r="Y146" s="133">
        <f>IF(AND(A146="Аппарат",C146&lt;&gt;"",OR($S$5="(все)",B146=$S$5)),MAX($Y$3:Y145)+1,"")</f>
      </c>
      <c r="Z146" s="133">
        <f>IFERROR(INDEX($C$4:$C$500,MATCH(ROW()-3,$Y$4:$Y$500,0)),"")</f>
      </c>
      <c r="AA146" s="133">
        <f>IF(AND(A146="Модуль",C146&lt;&gt;"",OR($S$6="(все)",B146=$S$6)),MAX($AA$3:AA145)+1,"")</f>
      </c>
      <c r="AB146" s="133">
        <f>IFERROR(INDEX($C$4:$C$500,MATCH(ROW()-3,$AA$4:$AA$500,0)),"")</f>
      </c>
      <c r="AC146" s="133">
        <f>IF(OR(B146="",COUNTIF($B$4:B146,B146)&gt;1),"",MAX($AC$3:AC145)+1)</f>
      </c>
      <c r="AD146" s="133">
        <f>IFERROR(INDEX($B$4:$B$500,MATCH(ROW()-3,$AC$4:$AC$500,0)),"")</f>
      </c>
      <c r="AE146" s="133">
        <f>IF(AND(A146&lt;&gt;"",N(P146)&gt;0),IFERROR(MATCH(A146,$R$12:$R$25,0),99)*1000+ROW(),"")</f>
      </c>
      <c r="AF146" s="133">
        <f>IF(AE146="","",COUNTIF($AE$4:$AE$500,"&lt;="&amp;AE146))</f>
      </c>
    </row>
    <row r="147">
      <c r="A147" s="265"/>
      <c r="B147" s="265"/>
      <c r="C147" s="265"/>
      <c r="D147" s="265"/>
      <c r="E147" s="265"/>
      <c r="F147" s="265"/>
      <c r="G147" s="265"/>
      <c r="H147" s="265"/>
      <c r="I147" s="265"/>
      <c r="J147" s="265"/>
      <c r="K147" s="265"/>
      <c r="L147" s="265"/>
      <c r="M147" s="265"/>
      <c r="N147" s="133">
        <f>IF(OR(A147="Автомат",A147="Дифавтомат"),IF(W147="","",COUNTIF(Однолинейка!$H$3:$H$1000,U147)),IF(A147="Аппарат",IF(C147="","",COUNTIF(Однолинейка!$I$3:$I$1000,C147)+COUNTIF(Однолинейка!$J$3:$J$1000,C147)+COUNTIF(Однолинейка!$K$3:$K$1000,C147)),IF(A147="Модуль",IF(C147="","",COUNTIFS(Однолинейка!$AW$3:$AW$1000,"?*",Однолинейка!$AI$3:$AI$1000,C147)),IF(A147="Клемма",IF(C147="","",IF(C147=$S$7,SUM(Однолинейка!$BW$3:$BW$1000),IF(C147=$S$8,SUM(Однолинейка!$BX$3:$BX$1000),""))),""))))</f>
      </c>
      <c r="O147" s="265"/>
      <c r="P147" s="133">
        <f>IF(COUNT(N147,O147)=0,"",SUM(N147,O147))</f>
      </c>
      <c r="U147" s="133">
        <f>IF(OR(A147="Автомат",A147="Дифавтомат"),I147&amp;" С"&amp;J147&amp;"А"&amp;IF(K147="да"," 30мА",""),"")</f>
      </c>
      <c r="V147" s="133">
        <f>IF(U147="","",B147&amp;"|"&amp;U147)</f>
      </c>
      <c r="W147" s="133">
        <f>IF(AND(U147&lt;&gt;"",OR($S$4="(все)",B147=$S$4),IF($S$4="(все)",COUNTIF($U$4:U147,U147),COUNTIFS($U$4:U147,U147,$B$4:B147,B147))=1),MAX($W$3:W146)+1,"")</f>
      </c>
      <c r="X147" s="133">
        <f>IFERROR(INDEX($U$4:$U$500,MATCH(ROW()-3,$W$4:$W$500,0)),"")</f>
      </c>
      <c r="Y147" s="133">
        <f>IF(AND(A147="Аппарат",C147&lt;&gt;"",OR($S$5="(все)",B147=$S$5)),MAX($Y$3:Y146)+1,"")</f>
      </c>
      <c r="Z147" s="133">
        <f>IFERROR(INDEX($C$4:$C$500,MATCH(ROW()-3,$Y$4:$Y$500,0)),"")</f>
      </c>
      <c r="AA147" s="133">
        <f>IF(AND(A147="Модуль",C147&lt;&gt;"",OR($S$6="(все)",B147=$S$6)),MAX($AA$3:AA146)+1,"")</f>
      </c>
      <c r="AB147" s="133">
        <f>IFERROR(INDEX($C$4:$C$500,MATCH(ROW()-3,$AA$4:$AA$500,0)),"")</f>
      </c>
      <c r="AC147" s="133">
        <f>IF(OR(B147="",COUNTIF($B$4:B147,B147)&gt;1),"",MAX($AC$3:AC146)+1)</f>
      </c>
      <c r="AD147" s="133">
        <f>IFERROR(INDEX($B$4:$B$500,MATCH(ROW()-3,$AC$4:$AC$500,0)),"")</f>
      </c>
      <c r="AE147" s="133">
        <f>IF(AND(A147&lt;&gt;"",N(P147)&gt;0),IFERROR(MATCH(A147,$R$12:$R$25,0),99)*1000+ROW(),"")</f>
      </c>
      <c r="AF147" s="133">
        <f>IF(AE147="","",COUNTIF($AE$4:$AE$500,"&lt;="&amp;AE147))</f>
      </c>
    </row>
    <row r="148">
      <c r="A148" s="265"/>
      <c r="B148" s="265"/>
      <c r="C148" s="265"/>
      <c r="D148" s="265"/>
      <c r="E148" s="265"/>
      <c r="F148" s="265"/>
      <c r="G148" s="265"/>
      <c r="H148" s="265"/>
      <c r="I148" s="265"/>
      <c r="J148" s="265"/>
      <c r="K148" s="265"/>
      <c r="L148" s="265"/>
      <c r="M148" s="265"/>
      <c r="N148" s="133">
        <f>IF(OR(A148="Автомат",A148="Дифавтомат"),IF(W148="","",COUNTIF(Однолинейка!$H$3:$H$1000,U148)),IF(A148="Аппарат",IF(C148="","",COUNTIF(Однолинейка!$I$3:$I$1000,C148)+COUNTIF(Однолинейка!$J$3:$J$1000,C148)+COUNTIF(Однолинейка!$K$3:$K$1000,C148)),IF(A148="Модуль",IF(C148="","",COUNTIFS(Однолинейка!$AW$3:$AW$1000,"?*",Однолинейка!$AI$3:$AI$1000,C148)),IF(A148="Клемма",IF(C148="","",IF(C148=$S$7,SUM(Однолинейка!$BW$3:$BW$1000),IF(C148=$S$8,SUM(Однолинейка!$BX$3:$BX$1000),""))),""))))</f>
      </c>
      <c r="O148" s="265"/>
      <c r="P148" s="133">
        <f>IF(COUNT(N148,O148)=0,"",SUM(N148,O148))</f>
      </c>
      <c r="U148" s="133">
        <f>IF(OR(A148="Автомат",A148="Дифавтомат"),I148&amp;" С"&amp;J148&amp;"А"&amp;IF(K148="да"," 30мА",""),"")</f>
      </c>
      <c r="V148" s="133">
        <f>IF(U148="","",B148&amp;"|"&amp;U148)</f>
      </c>
      <c r="W148" s="133">
        <f>IF(AND(U148&lt;&gt;"",OR($S$4="(все)",B148=$S$4),IF($S$4="(все)",COUNTIF($U$4:U148,U148),COUNTIFS($U$4:U148,U148,$B$4:B148,B148))=1),MAX($W$3:W147)+1,"")</f>
      </c>
      <c r="X148" s="133">
        <f>IFERROR(INDEX($U$4:$U$500,MATCH(ROW()-3,$W$4:$W$500,0)),"")</f>
      </c>
      <c r="Y148" s="133">
        <f>IF(AND(A148="Аппарат",C148&lt;&gt;"",OR($S$5="(все)",B148=$S$5)),MAX($Y$3:Y147)+1,"")</f>
      </c>
      <c r="Z148" s="133">
        <f>IFERROR(INDEX($C$4:$C$500,MATCH(ROW()-3,$Y$4:$Y$500,0)),"")</f>
      </c>
      <c r="AA148" s="133">
        <f>IF(AND(A148="Модуль",C148&lt;&gt;"",OR($S$6="(все)",B148=$S$6)),MAX($AA$3:AA147)+1,"")</f>
      </c>
      <c r="AB148" s="133">
        <f>IFERROR(INDEX($C$4:$C$500,MATCH(ROW()-3,$AA$4:$AA$500,0)),"")</f>
      </c>
      <c r="AC148" s="133">
        <f>IF(OR(B148="",COUNTIF($B$4:B148,B148)&gt;1),"",MAX($AC$3:AC147)+1)</f>
      </c>
      <c r="AD148" s="133">
        <f>IFERROR(INDEX($B$4:$B$500,MATCH(ROW()-3,$AC$4:$AC$500,0)),"")</f>
      </c>
      <c r="AE148" s="133">
        <f>IF(AND(A148&lt;&gt;"",N(P148)&gt;0),IFERROR(MATCH(A148,$R$12:$R$25,0),99)*1000+ROW(),"")</f>
      </c>
      <c r="AF148" s="133">
        <f>IF(AE148="","",COUNTIF($AE$4:$AE$500,"&lt;="&amp;AE148))</f>
      </c>
    </row>
    <row r="149">
      <c r="A149" s="265"/>
      <c r="B149" s="265"/>
      <c r="C149" s="265"/>
      <c r="D149" s="265"/>
      <c r="E149" s="265"/>
      <c r="F149" s="265"/>
      <c r="G149" s="265"/>
      <c r="H149" s="265"/>
      <c r="I149" s="265"/>
      <c r="J149" s="265"/>
      <c r="K149" s="265"/>
      <c r="L149" s="265"/>
      <c r="M149" s="265"/>
      <c r="N149" s="133">
        <f>IF(OR(A149="Автомат",A149="Дифавтомат"),IF(W149="","",COUNTIF(Однолинейка!$H$3:$H$1000,U149)),IF(A149="Аппарат",IF(C149="","",COUNTIF(Однолинейка!$I$3:$I$1000,C149)+COUNTIF(Однолинейка!$J$3:$J$1000,C149)+COUNTIF(Однолинейка!$K$3:$K$1000,C149)),IF(A149="Модуль",IF(C149="","",COUNTIFS(Однолинейка!$AW$3:$AW$1000,"?*",Однолинейка!$AI$3:$AI$1000,C149)),IF(A149="Клемма",IF(C149="","",IF(C149=$S$7,SUM(Однолинейка!$BW$3:$BW$1000),IF(C149=$S$8,SUM(Однолинейка!$BX$3:$BX$1000),""))),""))))</f>
      </c>
      <c r="O149" s="265"/>
      <c r="P149" s="133">
        <f>IF(COUNT(N149,O149)=0,"",SUM(N149,O149))</f>
      </c>
      <c r="U149" s="133">
        <f>IF(OR(A149="Автомат",A149="Дифавтомат"),I149&amp;" С"&amp;J149&amp;"А"&amp;IF(K149="да"," 30мА",""),"")</f>
      </c>
      <c r="V149" s="133">
        <f>IF(U149="","",B149&amp;"|"&amp;U149)</f>
      </c>
      <c r="W149" s="133">
        <f>IF(AND(U149&lt;&gt;"",OR($S$4="(все)",B149=$S$4),IF($S$4="(все)",COUNTIF($U$4:U149,U149),COUNTIFS($U$4:U149,U149,$B$4:B149,B149))=1),MAX($W$3:W148)+1,"")</f>
      </c>
      <c r="X149" s="133">
        <f>IFERROR(INDEX($U$4:$U$500,MATCH(ROW()-3,$W$4:$W$500,0)),"")</f>
      </c>
      <c r="Y149" s="133">
        <f>IF(AND(A149="Аппарат",C149&lt;&gt;"",OR($S$5="(все)",B149=$S$5)),MAX($Y$3:Y148)+1,"")</f>
      </c>
      <c r="Z149" s="133">
        <f>IFERROR(INDEX($C$4:$C$500,MATCH(ROW()-3,$Y$4:$Y$500,0)),"")</f>
      </c>
      <c r="AA149" s="133">
        <f>IF(AND(A149="Модуль",C149&lt;&gt;"",OR($S$6="(все)",B149=$S$6)),MAX($AA$3:AA148)+1,"")</f>
      </c>
      <c r="AB149" s="133">
        <f>IFERROR(INDEX($C$4:$C$500,MATCH(ROW()-3,$AA$4:$AA$500,0)),"")</f>
      </c>
      <c r="AC149" s="133">
        <f>IF(OR(B149="",COUNTIF($B$4:B149,B149)&gt;1),"",MAX($AC$3:AC148)+1)</f>
      </c>
      <c r="AD149" s="133">
        <f>IFERROR(INDEX($B$4:$B$500,MATCH(ROW()-3,$AC$4:$AC$500,0)),"")</f>
      </c>
      <c r="AE149" s="133">
        <f>IF(AND(A149&lt;&gt;"",N(P149)&gt;0),IFERROR(MATCH(A149,$R$12:$R$25,0),99)*1000+ROW(),"")</f>
      </c>
      <c r="AF149" s="133">
        <f>IF(AE149="","",COUNTIF($AE$4:$AE$500,"&lt;="&amp;AE149))</f>
      </c>
    </row>
    <row r="150">
      <c r="A150" s="265"/>
      <c r="B150" s="265"/>
      <c r="C150" s="265"/>
      <c r="D150" s="265"/>
      <c r="E150" s="265"/>
      <c r="F150" s="265"/>
      <c r="G150" s="265"/>
      <c r="H150" s="265"/>
      <c r="I150" s="265"/>
      <c r="J150" s="265"/>
      <c r="K150" s="265"/>
      <c r="L150" s="265"/>
      <c r="M150" s="265"/>
      <c r="N150" s="133">
        <f>IF(OR(A150="Автомат",A150="Дифавтомат"),IF(W150="","",COUNTIF(Однолинейка!$H$3:$H$1000,U150)),IF(A150="Аппарат",IF(C150="","",COUNTIF(Однолинейка!$I$3:$I$1000,C150)+COUNTIF(Однолинейка!$J$3:$J$1000,C150)+COUNTIF(Однолинейка!$K$3:$K$1000,C150)),IF(A150="Модуль",IF(C150="","",COUNTIFS(Однолинейка!$AW$3:$AW$1000,"?*",Однолинейка!$AI$3:$AI$1000,C150)),IF(A150="Клемма",IF(C150="","",IF(C150=$S$7,SUM(Однолинейка!$BW$3:$BW$1000),IF(C150=$S$8,SUM(Однолинейка!$BX$3:$BX$1000),""))),""))))</f>
      </c>
      <c r="O150" s="265"/>
      <c r="P150" s="133">
        <f>IF(COUNT(N150,O150)=0,"",SUM(N150,O150))</f>
      </c>
      <c r="U150" s="133">
        <f>IF(OR(A150="Автомат",A150="Дифавтомат"),I150&amp;" С"&amp;J150&amp;"А"&amp;IF(K150="да"," 30мА",""),"")</f>
      </c>
      <c r="V150" s="133">
        <f>IF(U150="","",B150&amp;"|"&amp;U150)</f>
      </c>
      <c r="W150" s="133">
        <f>IF(AND(U150&lt;&gt;"",OR($S$4="(все)",B150=$S$4),IF($S$4="(все)",COUNTIF($U$4:U150,U150),COUNTIFS($U$4:U150,U150,$B$4:B150,B150))=1),MAX($W$3:W149)+1,"")</f>
      </c>
      <c r="X150" s="133">
        <f>IFERROR(INDEX($U$4:$U$500,MATCH(ROW()-3,$W$4:$W$500,0)),"")</f>
      </c>
      <c r="Y150" s="133">
        <f>IF(AND(A150="Аппарат",C150&lt;&gt;"",OR($S$5="(все)",B150=$S$5)),MAX($Y$3:Y149)+1,"")</f>
      </c>
      <c r="Z150" s="133">
        <f>IFERROR(INDEX($C$4:$C$500,MATCH(ROW()-3,$Y$4:$Y$500,0)),"")</f>
      </c>
      <c r="AA150" s="133">
        <f>IF(AND(A150="Модуль",C150&lt;&gt;"",OR($S$6="(все)",B150=$S$6)),MAX($AA$3:AA149)+1,"")</f>
      </c>
      <c r="AB150" s="133">
        <f>IFERROR(INDEX($C$4:$C$500,MATCH(ROW()-3,$AA$4:$AA$500,0)),"")</f>
      </c>
      <c r="AC150" s="133">
        <f>IF(OR(B150="",COUNTIF($B$4:B150,B150)&gt;1),"",MAX($AC$3:AC149)+1)</f>
      </c>
      <c r="AD150" s="133">
        <f>IFERROR(INDEX($B$4:$B$500,MATCH(ROW()-3,$AC$4:$AC$500,0)),"")</f>
      </c>
      <c r="AE150" s="133">
        <f>IF(AND(A150&lt;&gt;"",N(P150)&gt;0),IFERROR(MATCH(A150,$R$12:$R$25,0),99)*1000+ROW(),"")</f>
      </c>
      <c r="AF150" s="133">
        <f>IF(AE150="","",COUNTIF($AE$4:$AE$500,"&lt;="&amp;AE150))</f>
      </c>
    </row>
    <row r="151">
      <c r="A151" s="265"/>
      <c r="B151" s="265"/>
      <c r="C151" s="265"/>
      <c r="D151" s="265"/>
      <c r="E151" s="265"/>
      <c r="F151" s="265"/>
      <c r="G151" s="265"/>
      <c r="H151" s="265"/>
      <c r="I151" s="265"/>
      <c r="J151" s="265"/>
      <c r="K151" s="265"/>
      <c r="L151" s="265"/>
      <c r="M151" s="265"/>
      <c r="N151" s="133">
        <f>IF(OR(A151="Автомат",A151="Дифавтомат"),IF(W151="","",COUNTIF(Однолинейка!$H$3:$H$1000,U151)),IF(A151="Аппарат",IF(C151="","",COUNTIF(Однолинейка!$I$3:$I$1000,C151)+COUNTIF(Однолинейка!$J$3:$J$1000,C151)+COUNTIF(Однолинейка!$K$3:$K$1000,C151)),IF(A151="Модуль",IF(C151="","",COUNTIFS(Однолинейка!$AW$3:$AW$1000,"?*",Однолинейка!$AI$3:$AI$1000,C151)),IF(A151="Клемма",IF(C151="","",IF(C151=$S$7,SUM(Однолинейка!$BW$3:$BW$1000),IF(C151=$S$8,SUM(Однолинейка!$BX$3:$BX$1000),""))),""))))</f>
      </c>
      <c r="O151" s="265"/>
      <c r="P151" s="133">
        <f>IF(COUNT(N151,O151)=0,"",SUM(N151,O151))</f>
      </c>
      <c r="U151" s="133">
        <f>IF(OR(A151="Автомат",A151="Дифавтомат"),I151&amp;" С"&amp;J151&amp;"А"&amp;IF(K151="да"," 30мА",""),"")</f>
      </c>
      <c r="V151" s="133">
        <f>IF(U151="","",B151&amp;"|"&amp;U151)</f>
      </c>
      <c r="W151" s="133">
        <f>IF(AND(U151&lt;&gt;"",OR($S$4="(все)",B151=$S$4),IF($S$4="(все)",COUNTIF($U$4:U151,U151),COUNTIFS($U$4:U151,U151,$B$4:B151,B151))=1),MAX($W$3:W150)+1,"")</f>
      </c>
      <c r="X151" s="133">
        <f>IFERROR(INDEX($U$4:$U$500,MATCH(ROW()-3,$W$4:$W$500,0)),"")</f>
      </c>
      <c r="Y151" s="133">
        <f>IF(AND(A151="Аппарат",C151&lt;&gt;"",OR($S$5="(все)",B151=$S$5)),MAX($Y$3:Y150)+1,"")</f>
      </c>
      <c r="Z151" s="133">
        <f>IFERROR(INDEX($C$4:$C$500,MATCH(ROW()-3,$Y$4:$Y$500,0)),"")</f>
      </c>
      <c r="AA151" s="133">
        <f>IF(AND(A151="Модуль",C151&lt;&gt;"",OR($S$6="(все)",B151=$S$6)),MAX($AA$3:AA150)+1,"")</f>
      </c>
      <c r="AB151" s="133">
        <f>IFERROR(INDEX($C$4:$C$500,MATCH(ROW()-3,$AA$4:$AA$500,0)),"")</f>
      </c>
      <c r="AC151" s="133">
        <f>IF(OR(B151="",COUNTIF($B$4:B151,B151)&gt;1),"",MAX($AC$3:AC150)+1)</f>
      </c>
      <c r="AD151" s="133">
        <f>IFERROR(INDEX($B$4:$B$500,MATCH(ROW()-3,$AC$4:$AC$500,0)),"")</f>
      </c>
      <c r="AE151" s="133">
        <f>IF(AND(A151&lt;&gt;"",N(P151)&gt;0),IFERROR(MATCH(A151,$R$12:$R$25,0),99)*1000+ROW(),"")</f>
      </c>
      <c r="AF151" s="133">
        <f>IF(AE151="","",COUNTIF($AE$4:$AE$500,"&lt;="&amp;AE151))</f>
      </c>
    </row>
    <row r="152">
      <c r="A152" s="265"/>
      <c r="B152" s="265"/>
      <c r="C152" s="265"/>
      <c r="D152" s="265"/>
      <c r="E152" s="265"/>
      <c r="F152" s="265"/>
      <c r="G152" s="265"/>
      <c r="H152" s="265"/>
      <c r="I152" s="265"/>
      <c r="J152" s="265"/>
      <c r="K152" s="265"/>
      <c r="L152" s="265"/>
      <c r="M152" s="265"/>
      <c r="N152" s="133">
        <f>IF(OR(A152="Автомат",A152="Дифавтомат"),IF(W152="","",COUNTIF(Однолинейка!$H$3:$H$1000,U152)),IF(A152="Аппарат",IF(C152="","",COUNTIF(Однолинейка!$I$3:$I$1000,C152)+COUNTIF(Однолинейка!$J$3:$J$1000,C152)+COUNTIF(Однолинейка!$K$3:$K$1000,C152)),IF(A152="Модуль",IF(C152="","",COUNTIFS(Однолинейка!$AW$3:$AW$1000,"?*",Однолинейка!$AI$3:$AI$1000,C152)),IF(A152="Клемма",IF(C152="","",IF(C152=$S$7,SUM(Однолинейка!$BW$3:$BW$1000),IF(C152=$S$8,SUM(Однолинейка!$BX$3:$BX$1000),""))),""))))</f>
      </c>
      <c r="O152" s="265"/>
      <c r="P152" s="133">
        <f>IF(COUNT(N152,O152)=0,"",SUM(N152,O152))</f>
      </c>
      <c r="U152" s="133">
        <f>IF(OR(A152="Автомат",A152="Дифавтомат"),I152&amp;" С"&amp;J152&amp;"А"&amp;IF(K152="да"," 30мА",""),"")</f>
      </c>
      <c r="V152" s="133">
        <f>IF(U152="","",B152&amp;"|"&amp;U152)</f>
      </c>
      <c r="W152" s="133">
        <f>IF(AND(U152&lt;&gt;"",OR($S$4="(все)",B152=$S$4),IF($S$4="(все)",COUNTIF($U$4:U152,U152),COUNTIFS($U$4:U152,U152,$B$4:B152,B152))=1),MAX($W$3:W151)+1,"")</f>
      </c>
      <c r="X152" s="133">
        <f>IFERROR(INDEX($U$4:$U$500,MATCH(ROW()-3,$W$4:$W$500,0)),"")</f>
      </c>
      <c r="Y152" s="133">
        <f>IF(AND(A152="Аппарат",C152&lt;&gt;"",OR($S$5="(все)",B152=$S$5)),MAX($Y$3:Y151)+1,"")</f>
      </c>
      <c r="Z152" s="133">
        <f>IFERROR(INDEX($C$4:$C$500,MATCH(ROW()-3,$Y$4:$Y$500,0)),"")</f>
      </c>
      <c r="AA152" s="133">
        <f>IF(AND(A152="Модуль",C152&lt;&gt;"",OR($S$6="(все)",B152=$S$6)),MAX($AA$3:AA151)+1,"")</f>
      </c>
      <c r="AB152" s="133">
        <f>IFERROR(INDEX($C$4:$C$500,MATCH(ROW()-3,$AA$4:$AA$500,0)),"")</f>
      </c>
      <c r="AC152" s="133">
        <f>IF(OR(B152="",COUNTIF($B$4:B152,B152)&gt;1),"",MAX($AC$3:AC151)+1)</f>
      </c>
      <c r="AD152" s="133">
        <f>IFERROR(INDEX($B$4:$B$500,MATCH(ROW()-3,$AC$4:$AC$500,0)),"")</f>
      </c>
      <c r="AE152" s="133">
        <f>IF(AND(A152&lt;&gt;"",N(P152)&gt;0),IFERROR(MATCH(A152,$R$12:$R$25,0),99)*1000+ROW(),"")</f>
      </c>
      <c r="AF152" s="133">
        <f>IF(AE152="","",COUNTIF($AE$4:$AE$500,"&lt;="&amp;AE152))</f>
      </c>
    </row>
    <row r="153">
      <c r="A153" s="265"/>
      <c r="B153" s="265"/>
      <c r="C153" s="265"/>
      <c r="D153" s="265"/>
      <c r="E153" s="265"/>
      <c r="F153" s="265"/>
      <c r="G153" s="265"/>
      <c r="H153" s="265"/>
      <c r="I153" s="265"/>
      <c r="J153" s="265"/>
      <c r="K153" s="265"/>
      <c r="L153" s="265"/>
      <c r="M153" s="265"/>
      <c r="N153" s="133">
        <f>IF(OR(A153="Автомат",A153="Дифавтомат"),IF(W153="","",COUNTIF(Однолинейка!$H$3:$H$1000,U153)),IF(A153="Аппарат",IF(C153="","",COUNTIF(Однолинейка!$I$3:$I$1000,C153)+COUNTIF(Однолинейка!$J$3:$J$1000,C153)+COUNTIF(Однолинейка!$K$3:$K$1000,C153)),IF(A153="Модуль",IF(C153="","",COUNTIFS(Однолинейка!$AW$3:$AW$1000,"?*",Однолинейка!$AI$3:$AI$1000,C153)),IF(A153="Клемма",IF(C153="","",IF(C153=$S$7,SUM(Однолинейка!$BW$3:$BW$1000),IF(C153=$S$8,SUM(Однолинейка!$BX$3:$BX$1000),""))),""))))</f>
      </c>
      <c r="O153" s="265"/>
      <c r="P153" s="133">
        <f>IF(COUNT(N153,O153)=0,"",SUM(N153,O153))</f>
      </c>
      <c r="U153" s="133">
        <f>IF(OR(A153="Автомат",A153="Дифавтомат"),I153&amp;" С"&amp;J153&amp;"А"&amp;IF(K153="да"," 30мА",""),"")</f>
      </c>
      <c r="V153" s="133">
        <f>IF(U153="","",B153&amp;"|"&amp;U153)</f>
      </c>
      <c r="W153" s="133">
        <f>IF(AND(U153&lt;&gt;"",OR($S$4="(все)",B153=$S$4),IF($S$4="(все)",COUNTIF($U$4:U153,U153),COUNTIFS($U$4:U153,U153,$B$4:B153,B153))=1),MAX($W$3:W152)+1,"")</f>
      </c>
      <c r="X153" s="133">
        <f>IFERROR(INDEX($U$4:$U$500,MATCH(ROW()-3,$W$4:$W$500,0)),"")</f>
      </c>
      <c r="Y153" s="133">
        <f>IF(AND(A153="Аппарат",C153&lt;&gt;"",OR($S$5="(все)",B153=$S$5)),MAX($Y$3:Y152)+1,"")</f>
      </c>
      <c r="Z153" s="133">
        <f>IFERROR(INDEX($C$4:$C$500,MATCH(ROW()-3,$Y$4:$Y$500,0)),"")</f>
      </c>
      <c r="AA153" s="133">
        <f>IF(AND(A153="Модуль",C153&lt;&gt;"",OR($S$6="(все)",B153=$S$6)),MAX($AA$3:AA152)+1,"")</f>
      </c>
      <c r="AB153" s="133">
        <f>IFERROR(INDEX($C$4:$C$500,MATCH(ROW()-3,$AA$4:$AA$500,0)),"")</f>
      </c>
      <c r="AC153" s="133">
        <f>IF(OR(B153="",COUNTIF($B$4:B153,B153)&gt;1),"",MAX($AC$3:AC152)+1)</f>
      </c>
      <c r="AD153" s="133">
        <f>IFERROR(INDEX($B$4:$B$500,MATCH(ROW()-3,$AC$4:$AC$500,0)),"")</f>
      </c>
      <c r="AE153" s="133">
        <f>IF(AND(A153&lt;&gt;"",N(P153)&gt;0),IFERROR(MATCH(A153,$R$12:$R$25,0),99)*1000+ROW(),"")</f>
      </c>
      <c r="AF153" s="133">
        <f>IF(AE153="","",COUNTIF($AE$4:$AE$500,"&lt;="&amp;AE153))</f>
      </c>
    </row>
    <row r="154">
      <c r="A154" s="265"/>
      <c r="B154" s="265"/>
      <c r="C154" s="265"/>
      <c r="D154" s="265"/>
      <c r="E154" s="265"/>
      <c r="F154" s="265"/>
      <c r="G154" s="265"/>
      <c r="H154" s="265"/>
      <c r="I154" s="265"/>
      <c r="J154" s="265"/>
      <c r="K154" s="265"/>
      <c r="L154" s="265"/>
      <c r="M154" s="265"/>
      <c r="N154" s="133">
        <f>IF(OR(A154="Автомат",A154="Дифавтомат"),IF(W154="","",COUNTIF(Однолинейка!$H$3:$H$1000,U154)),IF(A154="Аппарат",IF(C154="","",COUNTIF(Однолинейка!$I$3:$I$1000,C154)+COUNTIF(Однолинейка!$J$3:$J$1000,C154)+COUNTIF(Однолинейка!$K$3:$K$1000,C154)),IF(A154="Модуль",IF(C154="","",COUNTIFS(Однолинейка!$AW$3:$AW$1000,"?*",Однолинейка!$AI$3:$AI$1000,C154)),IF(A154="Клемма",IF(C154="","",IF(C154=$S$7,SUM(Однолинейка!$BW$3:$BW$1000),IF(C154=$S$8,SUM(Однолинейка!$BX$3:$BX$1000),""))),""))))</f>
      </c>
      <c r="O154" s="265"/>
      <c r="P154" s="133">
        <f>IF(COUNT(N154,O154)=0,"",SUM(N154,O154))</f>
      </c>
      <c r="U154" s="133">
        <f>IF(OR(A154="Автомат",A154="Дифавтомат"),I154&amp;" С"&amp;J154&amp;"А"&amp;IF(K154="да"," 30мА",""),"")</f>
      </c>
      <c r="V154" s="133">
        <f>IF(U154="","",B154&amp;"|"&amp;U154)</f>
      </c>
      <c r="W154" s="133">
        <f>IF(AND(U154&lt;&gt;"",OR($S$4="(все)",B154=$S$4),IF($S$4="(все)",COUNTIF($U$4:U154,U154),COUNTIFS($U$4:U154,U154,$B$4:B154,B154))=1),MAX($W$3:W153)+1,"")</f>
      </c>
      <c r="X154" s="133">
        <f>IFERROR(INDEX($U$4:$U$500,MATCH(ROW()-3,$W$4:$W$500,0)),"")</f>
      </c>
      <c r="Y154" s="133">
        <f>IF(AND(A154="Аппарат",C154&lt;&gt;"",OR($S$5="(все)",B154=$S$5)),MAX($Y$3:Y153)+1,"")</f>
      </c>
      <c r="Z154" s="133">
        <f>IFERROR(INDEX($C$4:$C$500,MATCH(ROW()-3,$Y$4:$Y$500,0)),"")</f>
      </c>
      <c r="AA154" s="133">
        <f>IF(AND(A154="Модуль",C154&lt;&gt;"",OR($S$6="(все)",B154=$S$6)),MAX($AA$3:AA153)+1,"")</f>
      </c>
      <c r="AB154" s="133">
        <f>IFERROR(INDEX($C$4:$C$500,MATCH(ROW()-3,$AA$4:$AA$500,0)),"")</f>
      </c>
      <c r="AC154" s="133">
        <f>IF(OR(B154="",COUNTIF($B$4:B154,B154)&gt;1),"",MAX($AC$3:AC153)+1)</f>
      </c>
      <c r="AD154" s="133">
        <f>IFERROR(INDEX($B$4:$B$500,MATCH(ROW()-3,$AC$4:$AC$500,0)),"")</f>
      </c>
      <c r="AE154" s="133">
        <f>IF(AND(A154&lt;&gt;"",N(P154)&gt;0),IFERROR(MATCH(A154,$R$12:$R$25,0),99)*1000+ROW(),"")</f>
      </c>
      <c r="AF154" s="133">
        <f>IF(AE154="","",COUNTIF($AE$4:$AE$500,"&lt;="&amp;AE154))</f>
      </c>
    </row>
    <row r="155">
      <c r="A155" s="265"/>
      <c r="B155" s="265"/>
      <c r="C155" s="265"/>
      <c r="D155" s="265"/>
      <c r="E155" s="265"/>
      <c r="F155" s="265"/>
      <c r="G155" s="265"/>
      <c r="H155" s="265"/>
      <c r="I155" s="265"/>
      <c r="J155" s="265"/>
      <c r="K155" s="265"/>
      <c r="L155" s="265"/>
      <c r="M155" s="265"/>
      <c r="N155" s="133">
        <f>IF(OR(A155="Автомат",A155="Дифавтомат"),IF(W155="","",COUNTIF(Однолинейка!$H$3:$H$1000,U155)),IF(A155="Аппарат",IF(C155="","",COUNTIF(Однолинейка!$I$3:$I$1000,C155)+COUNTIF(Однолинейка!$J$3:$J$1000,C155)+COUNTIF(Однолинейка!$K$3:$K$1000,C155)),IF(A155="Модуль",IF(C155="","",COUNTIFS(Однолинейка!$AW$3:$AW$1000,"?*",Однолинейка!$AI$3:$AI$1000,C155)),IF(A155="Клемма",IF(C155="","",IF(C155=$S$7,SUM(Однолинейка!$BW$3:$BW$1000),IF(C155=$S$8,SUM(Однолинейка!$BX$3:$BX$1000),""))),""))))</f>
      </c>
      <c r="O155" s="265"/>
      <c r="P155" s="133">
        <f>IF(COUNT(N155,O155)=0,"",SUM(N155,O155))</f>
      </c>
      <c r="U155" s="133">
        <f>IF(OR(A155="Автомат",A155="Дифавтомат"),I155&amp;" С"&amp;J155&amp;"А"&amp;IF(K155="да"," 30мА",""),"")</f>
      </c>
      <c r="V155" s="133">
        <f>IF(U155="","",B155&amp;"|"&amp;U155)</f>
      </c>
      <c r="W155" s="133">
        <f>IF(AND(U155&lt;&gt;"",OR($S$4="(все)",B155=$S$4),IF($S$4="(все)",COUNTIF($U$4:U155,U155),COUNTIFS($U$4:U155,U155,$B$4:B155,B155))=1),MAX($W$3:W154)+1,"")</f>
      </c>
      <c r="X155" s="133">
        <f>IFERROR(INDEX($U$4:$U$500,MATCH(ROW()-3,$W$4:$W$500,0)),"")</f>
      </c>
      <c r="Y155" s="133">
        <f>IF(AND(A155="Аппарат",C155&lt;&gt;"",OR($S$5="(все)",B155=$S$5)),MAX($Y$3:Y154)+1,"")</f>
      </c>
      <c r="Z155" s="133">
        <f>IFERROR(INDEX($C$4:$C$500,MATCH(ROW()-3,$Y$4:$Y$500,0)),"")</f>
      </c>
      <c r="AA155" s="133">
        <f>IF(AND(A155="Модуль",C155&lt;&gt;"",OR($S$6="(все)",B155=$S$6)),MAX($AA$3:AA154)+1,"")</f>
      </c>
      <c r="AB155" s="133">
        <f>IFERROR(INDEX($C$4:$C$500,MATCH(ROW()-3,$AA$4:$AA$500,0)),"")</f>
      </c>
      <c r="AC155" s="133">
        <f>IF(OR(B155="",COUNTIF($B$4:B155,B155)&gt;1),"",MAX($AC$3:AC154)+1)</f>
      </c>
      <c r="AD155" s="133">
        <f>IFERROR(INDEX($B$4:$B$500,MATCH(ROW()-3,$AC$4:$AC$500,0)),"")</f>
      </c>
      <c r="AE155" s="133">
        <f>IF(AND(A155&lt;&gt;"",N(P155)&gt;0),IFERROR(MATCH(A155,$R$12:$R$25,0),99)*1000+ROW(),"")</f>
      </c>
      <c r="AF155" s="133">
        <f>IF(AE155="","",COUNTIF($AE$4:$AE$500,"&lt;="&amp;AE155))</f>
      </c>
    </row>
    <row r="156">
      <c r="A156" s="265"/>
      <c r="B156" s="265"/>
      <c r="C156" s="265"/>
      <c r="D156" s="265"/>
      <c r="E156" s="265"/>
      <c r="F156" s="265"/>
      <c r="G156" s="265"/>
      <c r="H156" s="265"/>
      <c r="I156" s="265"/>
      <c r="J156" s="265"/>
      <c r="K156" s="265"/>
      <c r="L156" s="265"/>
      <c r="M156" s="265"/>
      <c r="N156" s="133">
        <f>IF(OR(A156="Автомат",A156="Дифавтомат"),IF(W156="","",COUNTIF(Однолинейка!$H$3:$H$1000,U156)),IF(A156="Аппарат",IF(C156="","",COUNTIF(Однолинейка!$I$3:$I$1000,C156)+COUNTIF(Однолинейка!$J$3:$J$1000,C156)+COUNTIF(Однолинейка!$K$3:$K$1000,C156)),IF(A156="Модуль",IF(C156="","",COUNTIFS(Однолинейка!$AW$3:$AW$1000,"?*",Однолинейка!$AI$3:$AI$1000,C156)),IF(A156="Клемма",IF(C156="","",IF(C156=$S$7,SUM(Однолинейка!$BW$3:$BW$1000),IF(C156=$S$8,SUM(Однолинейка!$BX$3:$BX$1000),""))),""))))</f>
      </c>
      <c r="O156" s="265"/>
      <c r="P156" s="133">
        <f>IF(COUNT(N156,O156)=0,"",SUM(N156,O156))</f>
      </c>
      <c r="U156" s="133">
        <f>IF(OR(A156="Автомат",A156="Дифавтомат"),I156&amp;" С"&amp;J156&amp;"А"&amp;IF(K156="да"," 30мА",""),"")</f>
      </c>
      <c r="V156" s="133">
        <f>IF(U156="","",B156&amp;"|"&amp;U156)</f>
      </c>
      <c r="W156" s="133">
        <f>IF(AND(U156&lt;&gt;"",OR($S$4="(все)",B156=$S$4),IF($S$4="(все)",COUNTIF($U$4:U156,U156),COUNTIFS($U$4:U156,U156,$B$4:B156,B156))=1),MAX($W$3:W155)+1,"")</f>
      </c>
      <c r="X156" s="133">
        <f>IFERROR(INDEX($U$4:$U$500,MATCH(ROW()-3,$W$4:$W$500,0)),"")</f>
      </c>
      <c r="Y156" s="133">
        <f>IF(AND(A156="Аппарат",C156&lt;&gt;"",OR($S$5="(все)",B156=$S$5)),MAX($Y$3:Y155)+1,"")</f>
      </c>
      <c r="Z156" s="133">
        <f>IFERROR(INDEX($C$4:$C$500,MATCH(ROW()-3,$Y$4:$Y$500,0)),"")</f>
      </c>
      <c r="AA156" s="133">
        <f>IF(AND(A156="Модуль",C156&lt;&gt;"",OR($S$6="(все)",B156=$S$6)),MAX($AA$3:AA155)+1,"")</f>
      </c>
      <c r="AB156" s="133">
        <f>IFERROR(INDEX($C$4:$C$500,MATCH(ROW()-3,$AA$4:$AA$500,0)),"")</f>
      </c>
      <c r="AC156" s="133">
        <f>IF(OR(B156="",COUNTIF($B$4:B156,B156)&gt;1),"",MAX($AC$3:AC155)+1)</f>
      </c>
      <c r="AD156" s="133">
        <f>IFERROR(INDEX($B$4:$B$500,MATCH(ROW()-3,$AC$4:$AC$500,0)),"")</f>
      </c>
      <c r="AE156" s="133">
        <f>IF(AND(A156&lt;&gt;"",N(P156)&gt;0),IFERROR(MATCH(A156,$R$12:$R$25,0),99)*1000+ROW(),"")</f>
      </c>
      <c r="AF156" s="133">
        <f>IF(AE156="","",COUNTIF($AE$4:$AE$500,"&lt;="&amp;AE156))</f>
      </c>
    </row>
    <row r="157">
      <c r="A157" s="265"/>
      <c r="B157" s="265"/>
      <c r="C157" s="265"/>
      <c r="D157" s="265"/>
      <c r="E157" s="265"/>
      <c r="F157" s="265"/>
      <c r="G157" s="265"/>
      <c r="H157" s="265"/>
      <c r="I157" s="265"/>
      <c r="J157" s="265"/>
      <c r="K157" s="265"/>
      <c r="L157" s="265"/>
      <c r="M157" s="265"/>
      <c r="N157" s="133">
        <f>IF(OR(A157="Автомат",A157="Дифавтомат"),IF(W157="","",COUNTIF(Однолинейка!$H$3:$H$1000,U157)),IF(A157="Аппарат",IF(C157="","",COUNTIF(Однолинейка!$I$3:$I$1000,C157)+COUNTIF(Однолинейка!$J$3:$J$1000,C157)+COUNTIF(Однолинейка!$K$3:$K$1000,C157)),IF(A157="Модуль",IF(C157="","",COUNTIFS(Однолинейка!$AW$3:$AW$1000,"?*",Однолинейка!$AI$3:$AI$1000,C157)),IF(A157="Клемма",IF(C157="","",IF(C157=$S$7,SUM(Однолинейка!$BW$3:$BW$1000),IF(C157=$S$8,SUM(Однолинейка!$BX$3:$BX$1000),""))),""))))</f>
      </c>
      <c r="O157" s="265"/>
      <c r="P157" s="133">
        <f>IF(COUNT(N157,O157)=0,"",SUM(N157,O157))</f>
      </c>
      <c r="U157" s="133">
        <f>IF(OR(A157="Автомат",A157="Дифавтомат"),I157&amp;" С"&amp;J157&amp;"А"&amp;IF(K157="да"," 30мА",""),"")</f>
      </c>
      <c r="V157" s="133">
        <f>IF(U157="","",B157&amp;"|"&amp;U157)</f>
      </c>
      <c r="W157" s="133">
        <f>IF(AND(U157&lt;&gt;"",OR($S$4="(все)",B157=$S$4),IF($S$4="(все)",COUNTIF($U$4:U157,U157),COUNTIFS($U$4:U157,U157,$B$4:B157,B157))=1),MAX($W$3:W156)+1,"")</f>
      </c>
      <c r="X157" s="133">
        <f>IFERROR(INDEX($U$4:$U$500,MATCH(ROW()-3,$W$4:$W$500,0)),"")</f>
      </c>
      <c r="Y157" s="133">
        <f>IF(AND(A157="Аппарат",C157&lt;&gt;"",OR($S$5="(все)",B157=$S$5)),MAX($Y$3:Y156)+1,"")</f>
      </c>
      <c r="Z157" s="133">
        <f>IFERROR(INDEX($C$4:$C$500,MATCH(ROW()-3,$Y$4:$Y$500,0)),"")</f>
      </c>
      <c r="AA157" s="133">
        <f>IF(AND(A157="Модуль",C157&lt;&gt;"",OR($S$6="(все)",B157=$S$6)),MAX($AA$3:AA156)+1,"")</f>
      </c>
      <c r="AB157" s="133">
        <f>IFERROR(INDEX($C$4:$C$500,MATCH(ROW()-3,$AA$4:$AA$500,0)),"")</f>
      </c>
      <c r="AC157" s="133">
        <f>IF(OR(B157="",COUNTIF($B$4:B157,B157)&gt;1),"",MAX($AC$3:AC156)+1)</f>
      </c>
      <c r="AD157" s="133">
        <f>IFERROR(INDEX($B$4:$B$500,MATCH(ROW()-3,$AC$4:$AC$500,0)),"")</f>
      </c>
      <c r="AE157" s="133">
        <f>IF(AND(A157&lt;&gt;"",N(P157)&gt;0),IFERROR(MATCH(A157,$R$12:$R$25,0),99)*1000+ROW(),"")</f>
      </c>
      <c r="AF157" s="133">
        <f>IF(AE157="","",COUNTIF($AE$4:$AE$500,"&lt;="&amp;AE157))</f>
      </c>
    </row>
    <row r="158">
      <c r="A158" s="265"/>
      <c r="B158" s="265"/>
      <c r="C158" s="265"/>
      <c r="D158" s="265"/>
      <c r="E158" s="265"/>
      <c r="F158" s="265"/>
      <c r="G158" s="265"/>
      <c r="H158" s="265"/>
      <c r="I158" s="265"/>
      <c r="J158" s="265"/>
      <c r="K158" s="265"/>
      <c r="L158" s="265"/>
      <c r="M158" s="265"/>
      <c r="N158" s="133">
        <f>IF(OR(A158="Автомат",A158="Дифавтомат"),IF(W158="","",COUNTIF(Однолинейка!$H$3:$H$1000,U158)),IF(A158="Аппарат",IF(C158="","",COUNTIF(Однолинейка!$I$3:$I$1000,C158)+COUNTIF(Однолинейка!$J$3:$J$1000,C158)+COUNTIF(Однолинейка!$K$3:$K$1000,C158)),IF(A158="Модуль",IF(C158="","",COUNTIFS(Однолинейка!$AW$3:$AW$1000,"?*",Однолинейка!$AI$3:$AI$1000,C158)),IF(A158="Клемма",IF(C158="","",IF(C158=$S$7,SUM(Однолинейка!$BW$3:$BW$1000),IF(C158=$S$8,SUM(Однолинейка!$BX$3:$BX$1000),""))),""))))</f>
      </c>
      <c r="O158" s="265"/>
      <c r="P158" s="133">
        <f>IF(COUNT(N158,O158)=0,"",SUM(N158,O158))</f>
      </c>
      <c r="U158" s="133">
        <f>IF(OR(A158="Автомат",A158="Дифавтомат"),I158&amp;" С"&amp;J158&amp;"А"&amp;IF(K158="да"," 30мА",""),"")</f>
      </c>
      <c r="V158" s="133">
        <f>IF(U158="","",B158&amp;"|"&amp;U158)</f>
      </c>
      <c r="W158" s="133">
        <f>IF(AND(U158&lt;&gt;"",OR($S$4="(все)",B158=$S$4),IF($S$4="(все)",COUNTIF($U$4:U158,U158),COUNTIFS($U$4:U158,U158,$B$4:B158,B158))=1),MAX($W$3:W157)+1,"")</f>
      </c>
      <c r="X158" s="133">
        <f>IFERROR(INDEX($U$4:$U$500,MATCH(ROW()-3,$W$4:$W$500,0)),"")</f>
      </c>
      <c r="Y158" s="133">
        <f>IF(AND(A158="Аппарат",C158&lt;&gt;"",OR($S$5="(все)",B158=$S$5)),MAX($Y$3:Y157)+1,"")</f>
      </c>
      <c r="Z158" s="133">
        <f>IFERROR(INDEX($C$4:$C$500,MATCH(ROW()-3,$Y$4:$Y$500,0)),"")</f>
      </c>
      <c r="AA158" s="133">
        <f>IF(AND(A158="Модуль",C158&lt;&gt;"",OR($S$6="(все)",B158=$S$6)),MAX($AA$3:AA157)+1,"")</f>
      </c>
      <c r="AB158" s="133">
        <f>IFERROR(INDEX($C$4:$C$500,MATCH(ROW()-3,$AA$4:$AA$500,0)),"")</f>
      </c>
      <c r="AC158" s="133">
        <f>IF(OR(B158="",COUNTIF($B$4:B158,B158)&gt;1),"",MAX($AC$3:AC157)+1)</f>
      </c>
      <c r="AD158" s="133">
        <f>IFERROR(INDEX($B$4:$B$500,MATCH(ROW()-3,$AC$4:$AC$500,0)),"")</f>
      </c>
      <c r="AE158" s="133">
        <f>IF(AND(A158&lt;&gt;"",N(P158)&gt;0),IFERROR(MATCH(A158,$R$12:$R$25,0),99)*1000+ROW(),"")</f>
      </c>
      <c r="AF158" s="133">
        <f>IF(AE158="","",COUNTIF($AE$4:$AE$500,"&lt;="&amp;AE158))</f>
      </c>
    </row>
    <row r="159">
      <c r="A159" s="265"/>
      <c r="B159" s="265"/>
      <c r="C159" s="265"/>
      <c r="D159" s="265"/>
      <c r="E159" s="265"/>
      <c r="F159" s="265"/>
      <c r="G159" s="265"/>
      <c r="H159" s="265"/>
      <c r="I159" s="265"/>
      <c r="J159" s="265"/>
      <c r="K159" s="265"/>
      <c r="L159" s="265"/>
      <c r="M159" s="265"/>
      <c r="N159" s="133">
        <f>IF(OR(A159="Автомат",A159="Дифавтомат"),IF(W159="","",COUNTIF(Однолинейка!$H$3:$H$1000,U159)),IF(A159="Аппарат",IF(C159="","",COUNTIF(Однолинейка!$I$3:$I$1000,C159)+COUNTIF(Однолинейка!$J$3:$J$1000,C159)+COUNTIF(Однолинейка!$K$3:$K$1000,C159)),IF(A159="Модуль",IF(C159="","",COUNTIFS(Однолинейка!$AW$3:$AW$1000,"?*",Однолинейка!$AI$3:$AI$1000,C159)),IF(A159="Клемма",IF(C159="","",IF(C159=$S$7,SUM(Однолинейка!$BW$3:$BW$1000),IF(C159=$S$8,SUM(Однолинейка!$BX$3:$BX$1000),""))),""))))</f>
      </c>
      <c r="O159" s="265"/>
      <c r="P159" s="133">
        <f>IF(COUNT(N159,O159)=0,"",SUM(N159,O159))</f>
      </c>
      <c r="U159" s="133">
        <f>IF(OR(A159="Автомат",A159="Дифавтомат"),I159&amp;" С"&amp;J159&amp;"А"&amp;IF(K159="да"," 30мА",""),"")</f>
      </c>
      <c r="V159" s="133">
        <f>IF(U159="","",B159&amp;"|"&amp;U159)</f>
      </c>
      <c r="W159" s="133">
        <f>IF(AND(U159&lt;&gt;"",OR($S$4="(все)",B159=$S$4),IF($S$4="(все)",COUNTIF($U$4:U159,U159),COUNTIFS($U$4:U159,U159,$B$4:B159,B159))=1),MAX($W$3:W158)+1,"")</f>
      </c>
      <c r="X159" s="133">
        <f>IFERROR(INDEX($U$4:$U$500,MATCH(ROW()-3,$W$4:$W$500,0)),"")</f>
      </c>
      <c r="Y159" s="133">
        <f>IF(AND(A159="Аппарат",C159&lt;&gt;"",OR($S$5="(все)",B159=$S$5)),MAX($Y$3:Y158)+1,"")</f>
      </c>
      <c r="Z159" s="133">
        <f>IFERROR(INDEX($C$4:$C$500,MATCH(ROW()-3,$Y$4:$Y$500,0)),"")</f>
      </c>
      <c r="AA159" s="133">
        <f>IF(AND(A159="Модуль",C159&lt;&gt;"",OR($S$6="(все)",B159=$S$6)),MAX($AA$3:AA158)+1,"")</f>
      </c>
      <c r="AB159" s="133">
        <f>IFERROR(INDEX($C$4:$C$500,MATCH(ROW()-3,$AA$4:$AA$500,0)),"")</f>
      </c>
      <c r="AC159" s="133">
        <f>IF(OR(B159="",COUNTIF($B$4:B159,B159)&gt;1),"",MAX($AC$3:AC158)+1)</f>
      </c>
      <c r="AD159" s="133">
        <f>IFERROR(INDEX($B$4:$B$500,MATCH(ROW()-3,$AC$4:$AC$500,0)),"")</f>
      </c>
      <c r="AE159" s="133">
        <f>IF(AND(A159&lt;&gt;"",N(P159)&gt;0),IFERROR(MATCH(A159,$R$12:$R$25,0),99)*1000+ROW(),"")</f>
      </c>
      <c r="AF159" s="133">
        <f>IF(AE159="","",COUNTIF($AE$4:$AE$500,"&lt;="&amp;AE159))</f>
      </c>
    </row>
    <row r="160">
      <c r="A160" s="265"/>
      <c r="B160" s="265"/>
      <c r="C160" s="265"/>
      <c r="D160" s="265"/>
      <c r="E160" s="265"/>
      <c r="F160" s="265"/>
      <c r="G160" s="265"/>
      <c r="H160" s="265"/>
      <c r="I160" s="265"/>
      <c r="J160" s="265"/>
      <c r="K160" s="265"/>
      <c r="L160" s="265"/>
      <c r="M160" s="265"/>
      <c r="N160" s="133">
        <f>IF(OR(A160="Автомат",A160="Дифавтомат"),IF(W160="","",COUNTIF(Однолинейка!$H$3:$H$1000,U160)),IF(A160="Аппарат",IF(C160="","",COUNTIF(Однолинейка!$I$3:$I$1000,C160)+COUNTIF(Однолинейка!$J$3:$J$1000,C160)+COUNTIF(Однолинейка!$K$3:$K$1000,C160)),IF(A160="Модуль",IF(C160="","",COUNTIFS(Однолинейка!$AW$3:$AW$1000,"?*",Однолинейка!$AI$3:$AI$1000,C160)),IF(A160="Клемма",IF(C160="","",IF(C160=$S$7,SUM(Однолинейка!$BW$3:$BW$1000),IF(C160=$S$8,SUM(Однолинейка!$BX$3:$BX$1000),""))),""))))</f>
      </c>
      <c r="O160" s="265"/>
      <c r="P160" s="133">
        <f>IF(COUNT(N160,O160)=0,"",SUM(N160,O160))</f>
      </c>
      <c r="U160" s="133">
        <f>IF(OR(A160="Автомат",A160="Дифавтомат"),I160&amp;" С"&amp;J160&amp;"А"&amp;IF(K160="да"," 30мА",""),"")</f>
      </c>
      <c r="V160" s="133">
        <f>IF(U160="","",B160&amp;"|"&amp;U160)</f>
      </c>
      <c r="W160" s="133">
        <f>IF(AND(U160&lt;&gt;"",OR($S$4="(все)",B160=$S$4),IF($S$4="(все)",COUNTIF($U$4:U160,U160),COUNTIFS($U$4:U160,U160,$B$4:B160,B160))=1),MAX($W$3:W159)+1,"")</f>
      </c>
      <c r="X160" s="133">
        <f>IFERROR(INDEX($U$4:$U$500,MATCH(ROW()-3,$W$4:$W$500,0)),"")</f>
      </c>
      <c r="Y160" s="133">
        <f>IF(AND(A160="Аппарат",C160&lt;&gt;"",OR($S$5="(все)",B160=$S$5)),MAX($Y$3:Y159)+1,"")</f>
      </c>
      <c r="Z160" s="133">
        <f>IFERROR(INDEX($C$4:$C$500,MATCH(ROW()-3,$Y$4:$Y$500,0)),"")</f>
      </c>
      <c r="AA160" s="133">
        <f>IF(AND(A160="Модуль",C160&lt;&gt;"",OR($S$6="(все)",B160=$S$6)),MAX($AA$3:AA159)+1,"")</f>
      </c>
      <c r="AB160" s="133">
        <f>IFERROR(INDEX($C$4:$C$500,MATCH(ROW()-3,$AA$4:$AA$500,0)),"")</f>
      </c>
      <c r="AC160" s="133">
        <f>IF(OR(B160="",COUNTIF($B$4:B160,B160)&gt;1),"",MAX($AC$3:AC159)+1)</f>
      </c>
      <c r="AD160" s="133">
        <f>IFERROR(INDEX($B$4:$B$500,MATCH(ROW()-3,$AC$4:$AC$500,0)),"")</f>
      </c>
      <c r="AE160" s="133">
        <f>IF(AND(A160&lt;&gt;"",N(P160)&gt;0),IFERROR(MATCH(A160,$R$12:$R$25,0),99)*1000+ROW(),"")</f>
      </c>
      <c r="AF160" s="133">
        <f>IF(AE160="","",COUNTIF($AE$4:$AE$500,"&lt;="&amp;AE160))</f>
      </c>
    </row>
    <row r="161">
      <c r="A161" s="265"/>
      <c r="B161" s="265"/>
      <c r="C161" s="265"/>
      <c r="D161" s="265"/>
      <c r="E161" s="265"/>
      <c r="F161" s="265"/>
      <c r="G161" s="265"/>
      <c r="H161" s="265"/>
      <c r="I161" s="265"/>
      <c r="J161" s="265"/>
      <c r="K161" s="265"/>
      <c r="L161" s="265"/>
      <c r="M161" s="265"/>
      <c r="N161" s="133">
        <f>IF(OR(A161="Автомат",A161="Дифавтомат"),IF(W161="","",COUNTIF(Однолинейка!$H$3:$H$1000,U161)),IF(A161="Аппарат",IF(C161="","",COUNTIF(Однолинейка!$I$3:$I$1000,C161)+COUNTIF(Однолинейка!$J$3:$J$1000,C161)+COUNTIF(Однолинейка!$K$3:$K$1000,C161)),IF(A161="Модуль",IF(C161="","",COUNTIFS(Однолинейка!$AW$3:$AW$1000,"?*",Однолинейка!$AI$3:$AI$1000,C161)),IF(A161="Клемма",IF(C161="","",IF(C161=$S$7,SUM(Однолинейка!$BW$3:$BW$1000),IF(C161=$S$8,SUM(Однолинейка!$BX$3:$BX$1000),""))),""))))</f>
      </c>
      <c r="O161" s="265"/>
      <c r="P161" s="133">
        <f>IF(COUNT(N161,O161)=0,"",SUM(N161,O161))</f>
      </c>
      <c r="U161" s="133">
        <f>IF(OR(A161="Автомат",A161="Дифавтомат"),I161&amp;" С"&amp;J161&amp;"А"&amp;IF(K161="да"," 30мА",""),"")</f>
      </c>
      <c r="V161" s="133">
        <f>IF(U161="","",B161&amp;"|"&amp;U161)</f>
      </c>
      <c r="W161" s="133">
        <f>IF(AND(U161&lt;&gt;"",OR($S$4="(все)",B161=$S$4),IF($S$4="(все)",COUNTIF($U$4:U161,U161),COUNTIFS($U$4:U161,U161,$B$4:B161,B161))=1),MAX($W$3:W160)+1,"")</f>
      </c>
      <c r="X161" s="133">
        <f>IFERROR(INDEX($U$4:$U$500,MATCH(ROW()-3,$W$4:$W$500,0)),"")</f>
      </c>
      <c r="Y161" s="133">
        <f>IF(AND(A161="Аппарат",C161&lt;&gt;"",OR($S$5="(все)",B161=$S$5)),MAX($Y$3:Y160)+1,"")</f>
      </c>
      <c r="Z161" s="133">
        <f>IFERROR(INDEX($C$4:$C$500,MATCH(ROW()-3,$Y$4:$Y$500,0)),"")</f>
      </c>
      <c r="AA161" s="133">
        <f>IF(AND(A161="Модуль",C161&lt;&gt;"",OR($S$6="(все)",B161=$S$6)),MAX($AA$3:AA160)+1,"")</f>
      </c>
      <c r="AB161" s="133">
        <f>IFERROR(INDEX($C$4:$C$500,MATCH(ROW()-3,$AA$4:$AA$500,0)),"")</f>
      </c>
      <c r="AC161" s="133">
        <f>IF(OR(B161="",COUNTIF($B$4:B161,B161)&gt;1),"",MAX($AC$3:AC160)+1)</f>
      </c>
      <c r="AD161" s="133">
        <f>IFERROR(INDEX($B$4:$B$500,MATCH(ROW()-3,$AC$4:$AC$500,0)),"")</f>
      </c>
      <c r="AE161" s="133">
        <f>IF(AND(A161&lt;&gt;"",N(P161)&gt;0),IFERROR(MATCH(A161,$R$12:$R$25,0),99)*1000+ROW(),"")</f>
      </c>
      <c r="AF161" s="133">
        <f>IF(AE161="","",COUNTIF($AE$4:$AE$500,"&lt;="&amp;AE161))</f>
      </c>
    </row>
    <row r="162">
      <c r="A162" s="265"/>
      <c r="B162" s="265"/>
      <c r="C162" s="265"/>
      <c r="D162" s="265"/>
      <c r="E162" s="265"/>
      <c r="F162" s="265"/>
      <c r="G162" s="265"/>
      <c r="H162" s="265"/>
      <c r="I162" s="265"/>
      <c r="J162" s="265"/>
      <c r="K162" s="265"/>
      <c r="L162" s="265"/>
      <c r="M162" s="265"/>
      <c r="N162" s="133">
        <f>IF(OR(A162="Автомат",A162="Дифавтомат"),IF(W162="","",COUNTIF(Однолинейка!$H$3:$H$1000,U162)),IF(A162="Аппарат",IF(C162="","",COUNTIF(Однолинейка!$I$3:$I$1000,C162)+COUNTIF(Однолинейка!$J$3:$J$1000,C162)+COUNTIF(Однолинейка!$K$3:$K$1000,C162)),IF(A162="Модуль",IF(C162="","",COUNTIFS(Однолинейка!$AW$3:$AW$1000,"?*",Однолинейка!$AI$3:$AI$1000,C162)),IF(A162="Клемма",IF(C162="","",IF(C162=$S$7,SUM(Однолинейка!$BW$3:$BW$1000),IF(C162=$S$8,SUM(Однолинейка!$BX$3:$BX$1000),""))),""))))</f>
      </c>
      <c r="O162" s="265"/>
      <c r="P162" s="133">
        <f>IF(COUNT(N162,O162)=0,"",SUM(N162,O162))</f>
      </c>
      <c r="U162" s="133">
        <f>IF(OR(A162="Автомат",A162="Дифавтомат"),I162&amp;" С"&amp;J162&amp;"А"&amp;IF(K162="да"," 30мА",""),"")</f>
      </c>
      <c r="V162" s="133">
        <f>IF(U162="","",B162&amp;"|"&amp;U162)</f>
      </c>
      <c r="W162" s="133">
        <f>IF(AND(U162&lt;&gt;"",OR($S$4="(все)",B162=$S$4),IF($S$4="(все)",COUNTIF($U$4:U162,U162),COUNTIFS($U$4:U162,U162,$B$4:B162,B162))=1),MAX($W$3:W161)+1,"")</f>
      </c>
      <c r="X162" s="133">
        <f>IFERROR(INDEX($U$4:$U$500,MATCH(ROW()-3,$W$4:$W$500,0)),"")</f>
      </c>
      <c r="Y162" s="133">
        <f>IF(AND(A162="Аппарат",C162&lt;&gt;"",OR($S$5="(все)",B162=$S$5)),MAX($Y$3:Y161)+1,"")</f>
      </c>
      <c r="Z162" s="133">
        <f>IFERROR(INDEX($C$4:$C$500,MATCH(ROW()-3,$Y$4:$Y$500,0)),"")</f>
      </c>
      <c r="AA162" s="133">
        <f>IF(AND(A162="Модуль",C162&lt;&gt;"",OR($S$6="(все)",B162=$S$6)),MAX($AA$3:AA161)+1,"")</f>
      </c>
      <c r="AB162" s="133">
        <f>IFERROR(INDEX($C$4:$C$500,MATCH(ROW()-3,$AA$4:$AA$500,0)),"")</f>
      </c>
      <c r="AC162" s="133">
        <f>IF(OR(B162="",COUNTIF($B$4:B162,B162)&gt;1),"",MAX($AC$3:AC161)+1)</f>
      </c>
      <c r="AD162" s="133">
        <f>IFERROR(INDEX($B$4:$B$500,MATCH(ROW()-3,$AC$4:$AC$500,0)),"")</f>
      </c>
      <c r="AE162" s="133">
        <f>IF(AND(A162&lt;&gt;"",N(P162)&gt;0),IFERROR(MATCH(A162,$R$12:$R$25,0),99)*1000+ROW(),"")</f>
      </c>
      <c r="AF162" s="133">
        <f>IF(AE162="","",COUNTIF($AE$4:$AE$500,"&lt;="&amp;AE162))</f>
      </c>
    </row>
    <row r="163">
      <c r="A163" s="265"/>
      <c r="B163" s="265"/>
      <c r="C163" s="265"/>
      <c r="D163" s="265"/>
      <c r="E163" s="265"/>
      <c r="F163" s="265"/>
      <c r="G163" s="265"/>
      <c r="H163" s="265"/>
      <c r="I163" s="265"/>
      <c r="J163" s="265"/>
      <c r="K163" s="265"/>
      <c r="L163" s="265"/>
      <c r="M163" s="265"/>
      <c r="N163" s="133">
        <f>IF(OR(A163="Автомат",A163="Дифавтомат"),IF(W163="","",COUNTIF(Однолинейка!$H$3:$H$1000,U163)),IF(A163="Аппарат",IF(C163="","",COUNTIF(Однолинейка!$I$3:$I$1000,C163)+COUNTIF(Однолинейка!$J$3:$J$1000,C163)+COUNTIF(Однолинейка!$K$3:$K$1000,C163)),IF(A163="Модуль",IF(C163="","",COUNTIFS(Однолинейка!$AW$3:$AW$1000,"?*",Однолинейка!$AI$3:$AI$1000,C163)),IF(A163="Клемма",IF(C163="","",IF(C163=$S$7,SUM(Однолинейка!$BW$3:$BW$1000),IF(C163=$S$8,SUM(Однолинейка!$BX$3:$BX$1000),""))),""))))</f>
      </c>
      <c r="O163" s="265"/>
      <c r="P163" s="133">
        <f>IF(COUNT(N163,O163)=0,"",SUM(N163,O163))</f>
      </c>
      <c r="U163" s="133">
        <f>IF(OR(A163="Автомат",A163="Дифавтомат"),I163&amp;" С"&amp;J163&amp;"А"&amp;IF(K163="да"," 30мА",""),"")</f>
      </c>
      <c r="V163" s="133">
        <f>IF(U163="","",B163&amp;"|"&amp;U163)</f>
      </c>
      <c r="W163" s="133">
        <f>IF(AND(U163&lt;&gt;"",OR($S$4="(все)",B163=$S$4),IF($S$4="(все)",COUNTIF($U$4:U163,U163),COUNTIFS($U$4:U163,U163,$B$4:B163,B163))=1),MAX($W$3:W162)+1,"")</f>
      </c>
      <c r="X163" s="133">
        <f>IFERROR(INDEX($U$4:$U$500,MATCH(ROW()-3,$W$4:$W$500,0)),"")</f>
      </c>
      <c r="Y163" s="133">
        <f>IF(AND(A163="Аппарат",C163&lt;&gt;"",OR($S$5="(все)",B163=$S$5)),MAX($Y$3:Y162)+1,"")</f>
      </c>
      <c r="Z163" s="133">
        <f>IFERROR(INDEX($C$4:$C$500,MATCH(ROW()-3,$Y$4:$Y$500,0)),"")</f>
      </c>
      <c r="AA163" s="133">
        <f>IF(AND(A163="Модуль",C163&lt;&gt;"",OR($S$6="(все)",B163=$S$6)),MAX($AA$3:AA162)+1,"")</f>
      </c>
      <c r="AB163" s="133">
        <f>IFERROR(INDEX($C$4:$C$500,MATCH(ROW()-3,$AA$4:$AA$500,0)),"")</f>
      </c>
      <c r="AC163" s="133">
        <f>IF(OR(B163="",COUNTIF($B$4:B163,B163)&gt;1),"",MAX($AC$3:AC162)+1)</f>
      </c>
      <c r="AD163" s="133">
        <f>IFERROR(INDEX($B$4:$B$500,MATCH(ROW()-3,$AC$4:$AC$500,0)),"")</f>
      </c>
      <c r="AE163" s="133">
        <f>IF(AND(A163&lt;&gt;"",N(P163)&gt;0),IFERROR(MATCH(A163,$R$12:$R$25,0),99)*1000+ROW(),"")</f>
      </c>
      <c r="AF163" s="133">
        <f>IF(AE163="","",COUNTIF($AE$4:$AE$500,"&lt;="&amp;AE163))</f>
      </c>
    </row>
    <row r="164">
      <c r="A164" s="265"/>
      <c r="B164" s="265"/>
      <c r="C164" s="265"/>
      <c r="D164" s="265"/>
      <c r="E164" s="265"/>
      <c r="F164" s="265"/>
      <c r="G164" s="265"/>
      <c r="H164" s="265"/>
      <c r="I164" s="265"/>
      <c r="J164" s="265"/>
      <c r="K164" s="265"/>
      <c r="L164" s="265"/>
      <c r="M164" s="265"/>
      <c r="N164" s="133">
        <f>IF(OR(A164="Автомат",A164="Дифавтомат"),IF(W164="","",COUNTIF(Однолинейка!$H$3:$H$1000,U164)),IF(A164="Аппарат",IF(C164="","",COUNTIF(Однолинейка!$I$3:$I$1000,C164)+COUNTIF(Однолинейка!$J$3:$J$1000,C164)+COUNTIF(Однолинейка!$K$3:$K$1000,C164)),IF(A164="Модуль",IF(C164="","",COUNTIFS(Однолинейка!$AW$3:$AW$1000,"?*",Однолинейка!$AI$3:$AI$1000,C164)),IF(A164="Клемма",IF(C164="","",IF(C164=$S$7,SUM(Однолинейка!$BW$3:$BW$1000),IF(C164=$S$8,SUM(Однолинейка!$BX$3:$BX$1000),""))),""))))</f>
      </c>
      <c r="O164" s="265"/>
      <c r="P164" s="133">
        <f>IF(COUNT(N164,O164)=0,"",SUM(N164,O164))</f>
      </c>
      <c r="U164" s="133">
        <f>IF(OR(A164="Автомат",A164="Дифавтомат"),I164&amp;" С"&amp;J164&amp;"А"&amp;IF(K164="да"," 30мА",""),"")</f>
      </c>
      <c r="V164" s="133">
        <f>IF(U164="","",B164&amp;"|"&amp;U164)</f>
      </c>
      <c r="W164" s="133">
        <f>IF(AND(U164&lt;&gt;"",OR($S$4="(все)",B164=$S$4),IF($S$4="(все)",COUNTIF($U$4:U164,U164),COUNTIFS($U$4:U164,U164,$B$4:B164,B164))=1),MAX($W$3:W163)+1,"")</f>
      </c>
      <c r="X164" s="133">
        <f>IFERROR(INDEX($U$4:$U$500,MATCH(ROW()-3,$W$4:$W$500,0)),"")</f>
      </c>
      <c r="Y164" s="133">
        <f>IF(AND(A164="Аппарат",C164&lt;&gt;"",OR($S$5="(все)",B164=$S$5)),MAX($Y$3:Y163)+1,"")</f>
      </c>
      <c r="Z164" s="133">
        <f>IFERROR(INDEX($C$4:$C$500,MATCH(ROW()-3,$Y$4:$Y$500,0)),"")</f>
      </c>
      <c r="AA164" s="133">
        <f>IF(AND(A164="Модуль",C164&lt;&gt;"",OR($S$6="(все)",B164=$S$6)),MAX($AA$3:AA163)+1,"")</f>
      </c>
      <c r="AB164" s="133">
        <f>IFERROR(INDEX($C$4:$C$500,MATCH(ROW()-3,$AA$4:$AA$500,0)),"")</f>
      </c>
      <c r="AC164" s="133">
        <f>IF(OR(B164="",COUNTIF($B$4:B164,B164)&gt;1),"",MAX($AC$3:AC163)+1)</f>
      </c>
      <c r="AD164" s="133">
        <f>IFERROR(INDEX($B$4:$B$500,MATCH(ROW()-3,$AC$4:$AC$500,0)),"")</f>
      </c>
      <c r="AE164" s="133">
        <f>IF(AND(A164&lt;&gt;"",N(P164)&gt;0),IFERROR(MATCH(A164,$R$12:$R$25,0),99)*1000+ROW(),"")</f>
      </c>
      <c r="AF164" s="133">
        <f>IF(AE164="","",COUNTIF($AE$4:$AE$500,"&lt;="&amp;AE164))</f>
      </c>
    </row>
    <row r="165">
      <c r="A165" s="265"/>
      <c r="B165" s="265"/>
      <c r="C165" s="265"/>
      <c r="D165" s="265"/>
      <c r="E165" s="265"/>
      <c r="F165" s="265"/>
      <c r="G165" s="265"/>
      <c r="H165" s="265"/>
      <c r="I165" s="265"/>
      <c r="J165" s="265"/>
      <c r="K165" s="265"/>
      <c r="L165" s="265"/>
      <c r="M165" s="265"/>
      <c r="N165" s="133">
        <f>IF(OR(A165="Автомат",A165="Дифавтомат"),IF(W165="","",COUNTIF(Однолинейка!$H$3:$H$1000,U165)),IF(A165="Аппарат",IF(C165="","",COUNTIF(Однолинейка!$I$3:$I$1000,C165)+COUNTIF(Однолинейка!$J$3:$J$1000,C165)+COUNTIF(Однолинейка!$K$3:$K$1000,C165)),IF(A165="Модуль",IF(C165="","",COUNTIFS(Однолинейка!$AW$3:$AW$1000,"?*",Однолинейка!$AI$3:$AI$1000,C165)),IF(A165="Клемма",IF(C165="","",IF(C165=$S$7,SUM(Однолинейка!$BW$3:$BW$1000),IF(C165=$S$8,SUM(Однолинейка!$BX$3:$BX$1000),""))),""))))</f>
      </c>
      <c r="O165" s="265"/>
      <c r="P165" s="133">
        <f>IF(COUNT(N165,O165)=0,"",SUM(N165,O165))</f>
      </c>
      <c r="U165" s="133">
        <f>IF(OR(A165="Автомат",A165="Дифавтомат"),I165&amp;" С"&amp;J165&amp;"А"&amp;IF(K165="да"," 30мА",""),"")</f>
      </c>
      <c r="V165" s="133">
        <f>IF(U165="","",B165&amp;"|"&amp;U165)</f>
      </c>
      <c r="W165" s="133">
        <f>IF(AND(U165&lt;&gt;"",OR($S$4="(все)",B165=$S$4),IF($S$4="(все)",COUNTIF($U$4:U165,U165),COUNTIFS($U$4:U165,U165,$B$4:B165,B165))=1),MAX($W$3:W164)+1,"")</f>
      </c>
      <c r="X165" s="133">
        <f>IFERROR(INDEX($U$4:$U$500,MATCH(ROW()-3,$W$4:$W$500,0)),"")</f>
      </c>
      <c r="Y165" s="133">
        <f>IF(AND(A165="Аппарат",C165&lt;&gt;"",OR($S$5="(все)",B165=$S$5)),MAX($Y$3:Y164)+1,"")</f>
      </c>
      <c r="Z165" s="133">
        <f>IFERROR(INDEX($C$4:$C$500,MATCH(ROW()-3,$Y$4:$Y$500,0)),"")</f>
      </c>
      <c r="AA165" s="133">
        <f>IF(AND(A165="Модуль",C165&lt;&gt;"",OR($S$6="(все)",B165=$S$6)),MAX($AA$3:AA164)+1,"")</f>
      </c>
      <c r="AB165" s="133">
        <f>IFERROR(INDEX($C$4:$C$500,MATCH(ROW()-3,$AA$4:$AA$500,0)),"")</f>
      </c>
      <c r="AC165" s="133">
        <f>IF(OR(B165="",COUNTIF($B$4:B165,B165)&gt;1),"",MAX($AC$3:AC164)+1)</f>
      </c>
      <c r="AD165" s="133">
        <f>IFERROR(INDEX($B$4:$B$500,MATCH(ROW()-3,$AC$4:$AC$500,0)),"")</f>
      </c>
      <c r="AE165" s="133">
        <f>IF(AND(A165&lt;&gt;"",N(P165)&gt;0),IFERROR(MATCH(A165,$R$12:$R$25,0),99)*1000+ROW(),"")</f>
      </c>
      <c r="AF165" s="133">
        <f>IF(AE165="","",COUNTIF($AE$4:$AE$500,"&lt;="&amp;AE165))</f>
      </c>
    </row>
    <row r="166">
      <c r="A166" s="265"/>
      <c r="B166" s="265"/>
      <c r="C166" s="265"/>
      <c r="D166" s="265"/>
      <c r="E166" s="265"/>
      <c r="F166" s="265"/>
      <c r="G166" s="265"/>
      <c r="H166" s="265"/>
      <c r="I166" s="265"/>
      <c r="J166" s="265"/>
      <c r="K166" s="265"/>
      <c r="L166" s="265"/>
      <c r="M166" s="265"/>
      <c r="N166" s="133">
        <f>IF(OR(A166="Автомат",A166="Дифавтомат"),IF(W166="","",COUNTIF(Однолинейка!$H$3:$H$1000,U166)),IF(A166="Аппарат",IF(C166="","",COUNTIF(Однолинейка!$I$3:$I$1000,C166)+COUNTIF(Однолинейка!$J$3:$J$1000,C166)+COUNTIF(Однолинейка!$K$3:$K$1000,C166)),IF(A166="Модуль",IF(C166="","",COUNTIFS(Однолинейка!$AW$3:$AW$1000,"?*",Однолинейка!$AI$3:$AI$1000,C166)),IF(A166="Клемма",IF(C166="","",IF(C166=$S$7,SUM(Однолинейка!$BW$3:$BW$1000),IF(C166=$S$8,SUM(Однолинейка!$BX$3:$BX$1000),""))),""))))</f>
      </c>
      <c r="O166" s="265"/>
      <c r="P166" s="133">
        <f>IF(COUNT(N166,O166)=0,"",SUM(N166,O166))</f>
      </c>
      <c r="U166" s="133">
        <f>IF(OR(A166="Автомат",A166="Дифавтомат"),I166&amp;" С"&amp;J166&amp;"А"&amp;IF(K166="да"," 30мА",""),"")</f>
      </c>
      <c r="V166" s="133">
        <f>IF(U166="","",B166&amp;"|"&amp;U166)</f>
      </c>
      <c r="W166" s="133">
        <f>IF(AND(U166&lt;&gt;"",OR($S$4="(все)",B166=$S$4),IF($S$4="(все)",COUNTIF($U$4:U166,U166),COUNTIFS($U$4:U166,U166,$B$4:B166,B166))=1),MAX($W$3:W165)+1,"")</f>
      </c>
      <c r="X166" s="133">
        <f>IFERROR(INDEX($U$4:$U$500,MATCH(ROW()-3,$W$4:$W$500,0)),"")</f>
      </c>
      <c r="Y166" s="133">
        <f>IF(AND(A166="Аппарат",C166&lt;&gt;"",OR($S$5="(все)",B166=$S$5)),MAX($Y$3:Y165)+1,"")</f>
      </c>
      <c r="Z166" s="133">
        <f>IFERROR(INDEX($C$4:$C$500,MATCH(ROW()-3,$Y$4:$Y$500,0)),"")</f>
      </c>
      <c r="AA166" s="133">
        <f>IF(AND(A166="Модуль",C166&lt;&gt;"",OR($S$6="(все)",B166=$S$6)),MAX($AA$3:AA165)+1,"")</f>
      </c>
      <c r="AB166" s="133">
        <f>IFERROR(INDEX($C$4:$C$500,MATCH(ROW()-3,$AA$4:$AA$500,0)),"")</f>
      </c>
      <c r="AC166" s="133">
        <f>IF(OR(B166="",COUNTIF($B$4:B166,B166)&gt;1),"",MAX($AC$3:AC165)+1)</f>
      </c>
      <c r="AD166" s="133">
        <f>IFERROR(INDEX($B$4:$B$500,MATCH(ROW()-3,$AC$4:$AC$500,0)),"")</f>
      </c>
      <c r="AE166" s="133">
        <f>IF(AND(A166&lt;&gt;"",N(P166)&gt;0),IFERROR(MATCH(A166,$R$12:$R$25,0),99)*1000+ROW(),"")</f>
      </c>
      <c r="AF166" s="133">
        <f>IF(AE166="","",COUNTIF($AE$4:$AE$500,"&lt;="&amp;AE166))</f>
      </c>
    </row>
    <row r="167">
      <c r="A167" s="265"/>
      <c r="B167" s="265"/>
      <c r="C167" s="265"/>
      <c r="D167" s="265"/>
      <c r="E167" s="265"/>
      <c r="F167" s="265"/>
      <c r="G167" s="265"/>
      <c r="H167" s="265"/>
      <c r="I167" s="265"/>
      <c r="J167" s="265"/>
      <c r="K167" s="265"/>
      <c r="L167" s="265"/>
      <c r="M167" s="265"/>
      <c r="N167" s="133">
        <f>IF(OR(A167="Автомат",A167="Дифавтомат"),IF(W167="","",COUNTIF(Однолинейка!$H$3:$H$1000,U167)),IF(A167="Аппарат",IF(C167="","",COUNTIF(Однолинейка!$I$3:$I$1000,C167)+COUNTIF(Однолинейка!$J$3:$J$1000,C167)+COUNTIF(Однолинейка!$K$3:$K$1000,C167)),IF(A167="Модуль",IF(C167="","",COUNTIFS(Однолинейка!$AW$3:$AW$1000,"?*",Однолинейка!$AI$3:$AI$1000,C167)),IF(A167="Клемма",IF(C167="","",IF(C167=$S$7,SUM(Однолинейка!$BW$3:$BW$1000),IF(C167=$S$8,SUM(Однолинейка!$BX$3:$BX$1000),""))),""))))</f>
      </c>
      <c r="O167" s="265"/>
      <c r="P167" s="133">
        <f>IF(COUNT(N167,O167)=0,"",SUM(N167,O167))</f>
      </c>
      <c r="U167" s="133">
        <f>IF(OR(A167="Автомат",A167="Дифавтомат"),I167&amp;" С"&amp;J167&amp;"А"&amp;IF(K167="да"," 30мА",""),"")</f>
      </c>
      <c r="V167" s="133">
        <f>IF(U167="","",B167&amp;"|"&amp;U167)</f>
      </c>
      <c r="W167" s="133">
        <f>IF(AND(U167&lt;&gt;"",OR($S$4="(все)",B167=$S$4),IF($S$4="(все)",COUNTIF($U$4:U167,U167),COUNTIFS($U$4:U167,U167,$B$4:B167,B167))=1),MAX($W$3:W166)+1,"")</f>
      </c>
      <c r="X167" s="133">
        <f>IFERROR(INDEX($U$4:$U$500,MATCH(ROW()-3,$W$4:$W$500,0)),"")</f>
      </c>
      <c r="Y167" s="133">
        <f>IF(AND(A167="Аппарат",C167&lt;&gt;"",OR($S$5="(все)",B167=$S$5)),MAX($Y$3:Y166)+1,"")</f>
      </c>
      <c r="Z167" s="133">
        <f>IFERROR(INDEX($C$4:$C$500,MATCH(ROW()-3,$Y$4:$Y$500,0)),"")</f>
      </c>
      <c r="AA167" s="133">
        <f>IF(AND(A167="Модуль",C167&lt;&gt;"",OR($S$6="(все)",B167=$S$6)),MAX($AA$3:AA166)+1,"")</f>
      </c>
      <c r="AB167" s="133">
        <f>IFERROR(INDEX($C$4:$C$500,MATCH(ROW()-3,$AA$4:$AA$500,0)),"")</f>
      </c>
      <c r="AC167" s="133">
        <f>IF(OR(B167="",COUNTIF($B$4:B167,B167)&gt;1),"",MAX($AC$3:AC166)+1)</f>
      </c>
      <c r="AD167" s="133">
        <f>IFERROR(INDEX($B$4:$B$500,MATCH(ROW()-3,$AC$4:$AC$500,0)),"")</f>
      </c>
      <c r="AE167" s="133">
        <f>IF(AND(A167&lt;&gt;"",N(P167)&gt;0),IFERROR(MATCH(A167,$R$12:$R$25,0),99)*1000+ROW(),"")</f>
      </c>
      <c r="AF167" s="133">
        <f>IF(AE167="","",COUNTIF($AE$4:$AE$500,"&lt;="&amp;AE167))</f>
      </c>
    </row>
    <row r="168">
      <c r="A168" s="265"/>
      <c r="B168" s="265"/>
      <c r="C168" s="265"/>
      <c r="D168" s="265"/>
      <c r="E168" s="265"/>
      <c r="F168" s="265"/>
      <c r="G168" s="265"/>
      <c r="H168" s="265"/>
      <c r="I168" s="265"/>
      <c r="J168" s="265"/>
      <c r="K168" s="265"/>
      <c r="L168" s="265"/>
      <c r="M168" s="265"/>
      <c r="N168" s="133">
        <f>IF(OR(A168="Автомат",A168="Дифавтомат"),IF(W168="","",COUNTIF(Однолинейка!$H$3:$H$1000,U168)),IF(A168="Аппарат",IF(C168="","",COUNTIF(Однолинейка!$I$3:$I$1000,C168)+COUNTIF(Однолинейка!$J$3:$J$1000,C168)+COUNTIF(Однолинейка!$K$3:$K$1000,C168)),IF(A168="Модуль",IF(C168="","",COUNTIFS(Однолинейка!$AW$3:$AW$1000,"?*",Однолинейка!$AI$3:$AI$1000,C168)),IF(A168="Клемма",IF(C168="","",IF(C168=$S$7,SUM(Однолинейка!$BW$3:$BW$1000),IF(C168=$S$8,SUM(Однолинейка!$BX$3:$BX$1000),""))),""))))</f>
      </c>
      <c r="O168" s="265"/>
      <c r="P168" s="133">
        <f>IF(COUNT(N168,O168)=0,"",SUM(N168,O168))</f>
      </c>
      <c r="U168" s="133">
        <f>IF(OR(A168="Автомат",A168="Дифавтомат"),I168&amp;" С"&amp;J168&amp;"А"&amp;IF(K168="да"," 30мА",""),"")</f>
      </c>
      <c r="V168" s="133">
        <f>IF(U168="","",B168&amp;"|"&amp;U168)</f>
      </c>
      <c r="W168" s="133">
        <f>IF(AND(U168&lt;&gt;"",OR($S$4="(все)",B168=$S$4),IF($S$4="(все)",COUNTIF($U$4:U168,U168),COUNTIFS($U$4:U168,U168,$B$4:B168,B168))=1),MAX($W$3:W167)+1,"")</f>
      </c>
      <c r="X168" s="133">
        <f>IFERROR(INDEX($U$4:$U$500,MATCH(ROW()-3,$W$4:$W$500,0)),"")</f>
      </c>
      <c r="Y168" s="133">
        <f>IF(AND(A168="Аппарат",C168&lt;&gt;"",OR($S$5="(все)",B168=$S$5)),MAX($Y$3:Y167)+1,"")</f>
      </c>
      <c r="Z168" s="133">
        <f>IFERROR(INDEX($C$4:$C$500,MATCH(ROW()-3,$Y$4:$Y$500,0)),"")</f>
      </c>
      <c r="AA168" s="133">
        <f>IF(AND(A168="Модуль",C168&lt;&gt;"",OR($S$6="(все)",B168=$S$6)),MAX($AA$3:AA167)+1,"")</f>
      </c>
      <c r="AB168" s="133">
        <f>IFERROR(INDEX($C$4:$C$500,MATCH(ROW()-3,$AA$4:$AA$500,0)),"")</f>
      </c>
      <c r="AC168" s="133">
        <f>IF(OR(B168="",COUNTIF($B$4:B168,B168)&gt;1),"",MAX($AC$3:AC167)+1)</f>
      </c>
      <c r="AD168" s="133">
        <f>IFERROR(INDEX($B$4:$B$500,MATCH(ROW()-3,$AC$4:$AC$500,0)),"")</f>
      </c>
      <c r="AE168" s="133">
        <f>IF(AND(A168&lt;&gt;"",N(P168)&gt;0),IFERROR(MATCH(A168,$R$12:$R$25,0),99)*1000+ROW(),"")</f>
      </c>
      <c r="AF168" s="133">
        <f>IF(AE168="","",COUNTIF($AE$4:$AE$500,"&lt;="&amp;AE168))</f>
      </c>
    </row>
    <row r="169">
      <c r="A169" s="265"/>
      <c r="B169" s="265"/>
      <c r="C169" s="265"/>
      <c r="D169" s="265"/>
      <c r="E169" s="265"/>
      <c r="F169" s="265"/>
      <c r="G169" s="265"/>
      <c r="H169" s="265"/>
      <c r="I169" s="265"/>
      <c r="J169" s="265"/>
      <c r="K169" s="265"/>
      <c r="L169" s="265"/>
      <c r="M169" s="265"/>
      <c r="N169" s="133">
        <f>IF(OR(A169="Автомат",A169="Дифавтомат"),IF(W169="","",COUNTIF(Однолинейка!$H$3:$H$1000,U169)),IF(A169="Аппарат",IF(C169="","",COUNTIF(Однолинейка!$I$3:$I$1000,C169)+COUNTIF(Однолинейка!$J$3:$J$1000,C169)+COUNTIF(Однолинейка!$K$3:$K$1000,C169)),IF(A169="Модуль",IF(C169="","",COUNTIFS(Однолинейка!$AW$3:$AW$1000,"?*",Однолинейка!$AI$3:$AI$1000,C169)),IF(A169="Клемма",IF(C169="","",IF(C169=$S$7,SUM(Однолинейка!$BW$3:$BW$1000),IF(C169=$S$8,SUM(Однолинейка!$BX$3:$BX$1000),""))),""))))</f>
      </c>
      <c r="O169" s="265"/>
      <c r="P169" s="133">
        <f>IF(COUNT(N169,O169)=0,"",SUM(N169,O169))</f>
      </c>
      <c r="U169" s="133">
        <f>IF(OR(A169="Автомат",A169="Дифавтомат"),I169&amp;" С"&amp;J169&amp;"А"&amp;IF(K169="да"," 30мА",""),"")</f>
      </c>
      <c r="V169" s="133">
        <f>IF(U169="","",B169&amp;"|"&amp;U169)</f>
      </c>
      <c r="W169" s="133">
        <f>IF(AND(U169&lt;&gt;"",OR($S$4="(все)",B169=$S$4),IF($S$4="(все)",COUNTIF($U$4:U169,U169),COUNTIFS($U$4:U169,U169,$B$4:B169,B169))=1),MAX($W$3:W168)+1,"")</f>
      </c>
      <c r="X169" s="133">
        <f>IFERROR(INDEX($U$4:$U$500,MATCH(ROW()-3,$W$4:$W$500,0)),"")</f>
      </c>
      <c r="Y169" s="133">
        <f>IF(AND(A169="Аппарат",C169&lt;&gt;"",OR($S$5="(все)",B169=$S$5)),MAX($Y$3:Y168)+1,"")</f>
      </c>
      <c r="Z169" s="133">
        <f>IFERROR(INDEX($C$4:$C$500,MATCH(ROW()-3,$Y$4:$Y$500,0)),"")</f>
      </c>
      <c r="AA169" s="133">
        <f>IF(AND(A169="Модуль",C169&lt;&gt;"",OR($S$6="(все)",B169=$S$6)),MAX($AA$3:AA168)+1,"")</f>
      </c>
      <c r="AB169" s="133">
        <f>IFERROR(INDEX($C$4:$C$500,MATCH(ROW()-3,$AA$4:$AA$500,0)),"")</f>
      </c>
      <c r="AC169" s="133">
        <f>IF(OR(B169="",COUNTIF($B$4:B169,B169)&gt;1),"",MAX($AC$3:AC168)+1)</f>
      </c>
      <c r="AD169" s="133">
        <f>IFERROR(INDEX($B$4:$B$500,MATCH(ROW()-3,$AC$4:$AC$500,0)),"")</f>
      </c>
      <c r="AE169" s="133">
        <f>IF(AND(A169&lt;&gt;"",N(P169)&gt;0),IFERROR(MATCH(A169,$R$12:$R$25,0),99)*1000+ROW(),"")</f>
      </c>
      <c r="AF169" s="133">
        <f>IF(AE169="","",COUNTIF($AE$4:$AE$500,"&lt;="&amp;AE169))</f>
      </c>
    </row>
    <row r="170">
      <c r="A170" s="265"/>
      <c r="B170" s="265"/>
      <c r="C170" s="265"/>
      <c r="D170" s="265"/>
      <c r="E170" s="265"/>
      <c r="F170" s="265"/>
      <c r="G170" s="265"/>
      <c r="H170" s="265"/>
      <c r="I170" s="265"/>
      <c r="J170" s="265"/>
      <c r="K170" s="265"/>
      <c r="L170" s="265"/>
      <c r="M170" s="265"/>
      <c r="N170" s="133">
        <f>IF(OR(A170="Автомат",A170="Дифавтомат"),IF(W170="","",COUNTIF(Однолинейка!$H$3:$H$1000,U170)),IF(A170="Аппарат",IF(C170="","",COUNTIF(Однолинейка!$I$3:$I$1000,C170)+COUNTIF(Однолинейка!$J$3:$J$1000,C170)+COUNTIF(Однолинейка!$K$3:$K$1000,C170)),IF(A170="Модуль",IF(C170="","",COUNTIFS(Однолинейка!$AW$3:$AW$1000,"?*",Однолинейка!$AI$3:$AI$1000,C170)),IF(A170="Клемма",IF(C170="","",IF(C170=$S$7,SUM(Однолинейка!$BW$3:$BW$1000),IF(C170=$S$8,SUM(Однолинейка!$BX$3:$BX$1000),""))),""))))</f>
      </c>
      <c r="O170" s="265"/>
      <c r="P170" s="133">
        <f>IF(COUNT(N170,O170)=0,"",SUM(N170,O170))</f>
      </c>
      <c r="U170" s="133">
        <f>IF(OR(A170="Автомат",A170="Дифавтомат"),I170&amp;" С"&amp;J170&amp;"А"&amp;IF(K170="да"," 30мА",""),"")</f>
      </c>
      <c r="V170" s="133">
        <f>IF(U170="","",B170&amp;"|"&amp;U170)</f>
      </c>
      <c r="W170" s="133">
        <f>IF(AND(U170&lt;&gt;"",OR($S$4="(все)",B170=$S$4),IF($S$4="(все)",COUNTIF($U$4:U170,U170),COUNTIFS($U$4:U170,U170,$B$4:B170,B170))=1),MAX($W$3:W169)+1,"")</f>
      </c>
      <c r="X170" s="133">
        <f>IFERROR(INDEX($U$4:$U$500,MATCH(ROW()-3,$W$4:$W$500,0)),"")</f>
      </c>
      <c r="Y170" s="133">
        <f>IF(AND(A170="Аппарат",C170&lt;&gt;"",OR($S$5="(все)",B170=$S$5)),MAX($Y$3:Y169)+1,"")</f>
      </c>
      <c r="Z170" s="133">
        <f>IFERROR(INDEX($C$4:$C$500,MATCH(ROW()-3,$Y$4:$Y$500,0)),"")</f>
      </c>
      <c r="AA170" s="133">
        <f>IF(AND(A170="Модуль",C170&lt;&gt;"",OR($S$6="(все)",B170=$S$6)),MAX($AA$3:AA169)+1,"")</f>
      </c>
      <c r="AB170" s="133">
        <f>IFERROR(INDEX($C$4:$C$500,MATCH(ROW()-3,$AA$4:$AA$500,0)),"")</f>
      </c>
      <c r="AC170" s="133">
        <f>IF(OR(B170="",COUNTIF($B$4:B170,B170)&gt;1),"",MAX($AC$3:AC169)+1)</f>
      </c>
      <c r="AD170" s="133">
        <f>IFERROR(INDEX($B$4:$B$500,MATCH(ROW()-3,$AC$4:$AC$500,0)),"")</f>
      </c>
      <c r="AE170" s="133">
        <f>IF(AND(A170&lt;&gt;"",N(P170)&gt;0),IFERROR(MATCH(A170,$R$12:$R$25,0),99)*1000+ROW(),"")</f>
      </c>
      <c r="AF170" s="133">
        <f>IF(AE170="","",COUNTIF($AE$4:$AE$500,"&lt;="&amp;AE170))</f>
      </c>
    </row>
    <row r="171">
      <c r="A171" s="265"/>
      <c r="B171" s="265"/>
      <c r="C171" s="265"/>
      <c r="D171" s="265"/>
      <c r="E171" s="265"/>
      <c r="F171" s="265"/>
      <c r="G171" s="265"/>
      <c r="H171" s="265"/>
      <c r="I171" s="265"/>
      <c r="J171" s="265"/>
      <c r="K171" s="265"/>
      <c r="L171" s="265"/>
      <c r="M171" s="265"/>
      <c r="N171" s="133">
        <f>IF(OR(A171="Автомат",A171="Дифавтомат"),IF(W171="","",COUNTIF(Однолинейка!$H$3:$H$1000,U171)),IF(A171="Аппарат",IF(C171="","",COUNTIF(Однолинейка!$I$3:$I$1000,C171)+COUNTIF(Однолинейка!$J$3:$J$1000,C171)+COUNTIF(Однолинейка!$K$3:$K$1000,C171)),IF(A171="Модуль",IF(C171="","",COUNTIFS(Однолинейка!$AW$3:$AW$1000,"?*",Однолинейка!$AI$3:$AI$1000,C171)),IF(A171="Клемма",IF(C171="","",IF(C171=$S$7,SUM(Однолинейка!$BW$3:$BW$1000),IF(C171=$S$8,SUM(Однолинейка!$BX$3:$BX$1000),""))),""))))</f>
      </c>
      <c r="O171" s="265"/>
      <c r="P171" s="133">
        <f>IF(COUNT(N171,O171)=0,"",SUM(N171,O171))</f>
      </c>
      <c r="U171" s="133">
        <f>IF(OR(A171="Автомат",A171="Дифавтомат"),I171&amp;" С"&amp;J171&amp;"А"&amp;IF(K171="да"," 30мА",""),"")</f>
      </c>
      <c r="V171" s="133">
        <f>IF(U171="","",B171&amp;"|"&amp;U171)</f>
      </c>
      <c r="W171" s="133">
        <f>IF(AND(U171&lt;&gt;"",OR($S$4="(все)",B171=$S$4),IF($S$4="(все)",COUNTIF($U$4:U171,U171),COUNTIFS($U$4:U171,U171,$B$4:B171,B171))=1),MAX($W$3:W170)+1,"")</f>
      </c>
      <c r="X171" s="133">
        <f>IFERROR(INDEX($U$4:$U$500,MATCH(ROW()-3,$W$4:$W$500,0)),"")</f>
      </c>
      <c r="Y171" s="133">
        <f>IF(AND(A171="Аппарат",C171&lt;&gt;"",OR($S$5="(все)",B171=$S$5)),MAX($Y$3:Y170)+1,"")</f>
      </c>
      <c r="Z171" s="133">
        <f>IFERROR(INDEX($C$4:$C$500,MATCH(ROW()-3,$Y$4:$Y$500,0)),"")</f>
      </c>
      <c r="AA171" s="133">
        <f>IF(AND(A171="Модуль",C171&lt;&gt;"",OR($S$6="(все)",B171=$S$6)),MAX($AA$3:AA170)+1,"")</f>
      </c>
      <c r="AB171" s="133">
        <f>IFERROR(INDEX($C$4:$C$500,MATCH(ROW()-3,$AA$4:$AA$500,0)),"")</f>
      </c>
      <c r="AC171" s="133">
        <f>IF(OR(B171="",COUNTIF($B$4:B171,B171)&gt;1),"",MAX($AC$3:AC170)+1)</f>
      </c>
      <c r="AD171" s="133">
        <f>IFERROR(INDEX($B$4:$B$500,MATCH(ROW()-3,$AC$4:$AC$500,0)),"")</f>
      </c>
      <c r="AE171" s="133">
        <f>IF(AND(A171&lt;&gt;"",N(P171)&gt;0),IFERROR(MATCH(A171,$R$12:$R$25,0),99)*1000+ROW(),"")</f>
      </c>
      <c r="AF171" s="133">
        <f>IF(AE171="","",COUNTIF($AE$4:$AE$500,"&lt;="&amp;AE171))</f>
      </c>
    </row>
    <row r="172">
      <c r="A172" s="265"/>
      <c r="B172" s="265"/>
      <c r="C172" s="265"/>
      <c r="D172" s="265"/>
      <c r="E172" s="265"/>
      <c r="F172" s="265"/>
      <c r="G172" s="265"/>
      <c r="H172" s="265"/>
      <c r="I172" s="265"/>
      <c r="J172" s="265"/>
      <c r="K172" s="265"/>
      <c r="L172" s="265"/>
      <c r="M172" s="265"/>
      <c r="N172" s="133">
        <f>IF(OR(A172="Автомат",A172="Дифавтомат"),IF(W172="","",COUNTIF(Однолинейка!$H$3:$H$1000,U172)),IF(A172="Аппарат",IF(C172="","",COUNTIF(Однолинейка!$I$3:$I$1000,C172)+COUNTIF(Однолинейка!$J$3:$J$1000,C172)+COUNTIF(Однолинейка!$K$3:$K$1000,C172)),IF(A172="Модуль",IF(C172="","",COUNTIFS(Однолинейка!$AW$3:$AW$1000,"?*",Однолинейка!$AI$3:$AI$1000,C172)),IF(A172="Клемма",IF(C172="","",IF(C172=$S$7,SUM(Однолинейка!$BW$3:$BW$1000),IF(C172=$S$8,SUM(Однолинейка!$BX$3:$BX$1000),""))),""))))</f>
      </c>
      <c r="O172" s="265"/>
      <c r="P172" s="133">
        <f>IF(COUNT(N172,O172)=0,"",SUM(N172,O172))</f>
      </c>
      <c r="U172" s="133">
        <f>IF(OR(A172="Автомат",A172="Дифавтомат"),I172&amp;" С"&amp;J172&amp;"А"&amp;IF(K172="да"," 30мА",""),"")</f>
      </c>
      <c r="V172" s="133">
        <f>IF(U172="","",B172&amp;"|"&amp;U172)</f>
      </c>
      <c r="W172" s="133">
        <f>IF(AND(U172&lt;&gt;"",OR($S$4="(все)",B172=$S$4),IF($S$4="(все)",COUNTIF($U$4:U172,U172),COUNTIFS($U$4:U172,U172,$B$4:B172,B172))=1),MAX($W$3:W171)+1,"")</f>
      </c>
      <c r="X172" s="133">
        <f>IFERROR(INDEX($U$4:$U$500,MATCH(ROW()-3,$W$4:$W$500,0)),"")</f>
      </c>
      <c r="Y172" s="133">
        <f>IF(AND(A172="Аппарат",C172&lt;&gt;"",OR($S$5="(все)",B172=$S$5)),MAX($Y$3:Y171)+1,"")</f>
      </c>
      <c r="Z172" s="133">
        <f>IFERROR(INDEX($C$4:$C$500,MATCH(ROW()-3,$Y$4:$Y$500,0)),"")</f>
      </c>
      <c r="AA172" s="133">
        <f>IF(AND(A172="Модуль",C172&lt;&gt;"",OR($S$6="(все)",B172=$S$6)),MAX($AA$3:AA171)+1,"")</f>
      </c>
      <c r="AB172" s="133">
        <f>IFERROR(INDEX($C$4:$C$500,MATCH(ROW()-3,$AA$4:$AA$500,0)),"")</f>
      </c>
      <c r="AC172" s="133">
        <f>IF(OR(B172="",COUNTIF($B$4:B172,B172)&gt;1),"",MAX($AC$3:AC171)+1)</f>
      </c>
      <c r="AD172" s="133">
        <f>IFERROR(INDEX($B$4:$B$500,MATCH(ROW()-3,$AC$4:$AC$500,0)),"")</f>
      </c>
      <c r="AE172" s="133">
        <f>IF(AND(A172&lt;&gt;"",N(P172)&gt;0),IFERROR(MATCH(A172,$R$12:$R$25,0),99)*1000+ROW(),"")</f>
      </c>
      <c r="AF172" s="133">
        <f>IF(AE172="","",COUNTIF($AE$4:$AE$500,"&lt;="&amp;AE172))</f>
      </c>
    </row>
    <row r="173">
      <c r="A173" s="265"/>
      <c r="B173" s="265"/>
      <c r="C173" s="265"/>
      <c r="D173" s="265"/>
      <c r="E173" s="265"/>
      <c r="F173" s="265"/>
      <c r="G173" s="265"/>
      <c r="H173" s="265"/>
      <c r="I173" s="265"/>
      <c r="J173" s="265"/>
      <c r="K173" s="265"/>
      <c r="L173" s="265"/>
      <c r="M173" s="265"/>
      <c r="N173" s="133">
        <f>IF(OR(A173="Автомат",A173="Дифавтомат"),IF(W173="","",COUNTIF(Однолинейка!$H$3:$H$1000,U173)),IF(A173="Аппарат",IF(C173="","",COUNTIF(Однолинейка!$I$3:$I$1000,C173)+COUNTIF(Однолинейка!$J$3:$J$1000,C173)+COUNTIF(Однолинейка!$K$3:$K$1000,C173)),IF(A173="Модуль",IF(C173="","",COUNTIFS(Однолинейка!$AW$3:$AW$1000,"?*",Однолинейка!$AI$3:$AI$1000,C173)),IF(A173="Клемма",IF(C173="","",IF(C173=$S$7,SUM(Однолинейка!$BW$3:$BW$1000),IF(C173=$S$8,SUM(Однолинейка!$BX$3:$BX$1000),""))),""))))</f>
      </c>
      <c r="O173" s="265"/>
      <c r="P173" s="133">
        <f>IF(COUNT(N173,O173)=0,"",SUM(N173,O173))</f>
      </c>
      <c r="U173" s="133">
        <f>IF(OR(A173="Автомат",A173="Дифавтомат"),I173&amp;" С"&amp;J173&amp;"А"&amp;IF(K173="да"," 30мА",""),"")</f>
      </c>
      <c r="V173" s="133">
        <f>IF(U173="","",B173&amp;"|"&amp;U173)</f>
      </c>
      <c r="W173" s="133">
        <f>IF(AND(U173&lt;&gt;"",OR($S$4="(все)",B173=$S$4),IF($S$4="(все)",COUNTIF($U$4:U173,U173),COUNTIFS($U$4:U173,U173,$B$4:B173,B173))=1),MAX($W$3:W172)+1,"")</f>
      </c>
      <c r="X173" s="133">
        <f>IFERROR(INDEX($U$4:$U$500,MATCH(ROW()-3,$W$4:$W$500,0)),"")</f>
      </c>
      <c r="Y173" s="133">
        <f>IF(AND(A173="Аппарат",C173&lt;&gt;"",OR($S$5="(все)",B173=$S$5)),MAX($Y$3:Y172)+1,"")</f>
      </c>
      <c r="Z173" s="133">
        <f>IFERROR(INDEX($C$4:$C$500,MATCH(ROW()-3,$Y$4:$Y$500,0)),"")</f>
      </c>
      <c r="AA173" s="133">
        <f>IF(AND(A173="Модуль",C173&lt;&gt;"",OR($S$6="(все)",B173=$S$6)),MAX($AA$3:AA172)+1,"")</f>
      </c>
      <c r="AB173" s="133">
        <f>IFERROR(INDEX($C$4:$C$500,MATCH(ROW()-3,$AA$4:$AA$500,0)),"")</f>
      </c>
      <c r="AC173" s="133">
        <f>IF(OR(B173="",COUNTIF($B$4:B173,B173)&gt;1),"",MAX($AC$3:AC172)+1)</f>
      </c>
      <c r="AD173" s="133">
        <f>IFERROR(INDEX($B$4:$B$500,MATCH(ROW()-3,$AC$4:$AC$500,0)),"")</f>
      </c>
      <c r="AE173" s="133">
        <f>IF(AND(A173&lt;&gt;"",N(P173)&gt;0),IFERROR(MATCH(A173,$R$12:$R$25,0),99)*1000+ROW(),"")</f>
      </c>
      <c r="AF173" s="133">
        <f>IF(AE173="","",COUNTIF($AE$4:$AE$500,"&lt;="&amp;AE173))</f>
      </c>
    </row>
    <row r="174">
      <c r="A174" s="265"/>
      <c r="B174" s="265"/>
      <c r="C174" s="265"/>
      <c r="D174" s="265"/>
      <c r="E174" s="265"/>
      <c r="F174" s="265"/>
      <c r="G174" s="265"/>
      <c r="H174" s="265"/>
      <c r="I174" s="265"/>
      <c r="J174" s="265"/>
      <c r="K174" s="265"/>
      <c r="L174" s="265"/>
      <c r="M174" s="265"/>
      <c r="N174" s="133">
        <f>IF(OR(A174="Автомат",A174="Дифавтомат"),IF(W174="","",COUNTIF(Однолинейка!$H$3:$H$1000,U174)),IF(A174="Аппарат",IF(C174="","",COUNTIF(Однолинейка!$I$3:$I$1000,C174)+COUNTIF(Однолинейка!$J$3:$J$1000,C174)+COUNTIF(Однолинейка!$K$3:$K$1000,C174)),IF(A174="Модуль",IF(C174="","",COUNTIFS(Однолинейка!$AW$3:$AW$1000,"?*",Однолинейка!$AI$3:$AI$1000,C174)),IF(A174="Клемма",IF(C174="","",IF(C174=$S$7,SUM(Однолинейка!$BW$3:$BW$1000),IF(C174=$S$8,SUM(Однолинейка!$BX$3:$BX$1000),""))),""))))</f>
      </c>
      <c r="O174" s="265"/>
      <c r="P174" s="133">
        <f>IF(COUNT(N174,O174)=0,"",SUM(N174,O174))</f>
      </c>
      <c r="U174" s="133">
        <f>IF(OR(A174="Автомат",A174="Дифавтомат"),I174&amp;" С"&amp;J174&amp;"А"&amp;IF(K174="да"," 30мА",""),"")</f>
      </c>
      <c r="V174" s="133">
        <f>IF(U174="","",B174&amp;"|"&amp;U174)</f>
      </c>
      <c r="W174" s="133">
        <f>IF(AND(U174&lt;&gt;"",OR($S$4="(все)",B174=$S$4),IF($S$4="(все)",COUNTIF($U$4:U174,U174),COUNTIFS($U$4:U174,U174,$B$4:B174,B174))=1),MAX($W$3:W173)+1,"")</f>
      </c>
      <c r="X174" s="133">
        <f>IFERROR(INDEX($U$4:$U$500,MATCH(ROW()-3,$W$4:$W$500,0)),"")</f>
      </c>
      <c r="Y174" s="133">
        <f>IF(AND(A174="Аппарат",C174&lt;&gt;"",OR($S$5="(все)",B174=$S$5)),MAX($Y$3:Y173)+1,"")</f>
      </c>
      <c r="Z174" s="133">
        <f>IFERROR(INDEX($C$4:$C$500,MATCH(ROW()-3,$Y$4:$Y$500,0)),"")</f>
      </c>
      <c r="AA174" s="133">
        <f>IF(AND(A174="Модуль",C174&lt;&gt;"",OR($S$6="(все)",B174=$S$6)),MAX($AA$3:AA173)+1,"")</f>
      </c>
      <c r="AB174" s="133">
        <f>IFERROR(INDEX($C$4:$C$500,MATCH(ROW()-3,$AA$4:$AA$500,0)),"")</f>
      </c>
      <c r="AC174" s="133">
        <f>IF(OR(B174="",COUNTIF($B$4:B174,B174)&gt;1),"",MAX($AC$3:AC173)+1)</f>
      </c>
      <c r="AD174" s="133">
        <f>IFERROR(INDEX($B$4:$B$500,MATCH(ROW()-3,$AC$4:$AC$500,0)),"")</f>
      </c>
      <c r="AE174" s="133">
        <f>IF(AND(A174&lt;&gt;"",N(P174)&gt;0),IFERROR(MATCH(A174,$R$12:$R$25,0),99)*1000+ROW(),"")</f>
      </c>
      <c r="AF174" s="133">
        <f>IF(AE174="","",COUNTIF($AE$4:$AE$500,"&lt;="&amp;AE174))</f>
      </c>
    </row>
    <row r="175">
      <c r="A175" s="265"/>
      <c r="B175" s="265"/>
      <c r="C175" s="265"/>
      <c r="D175" s="265"/>
      <c r="E175" s="265"/>
      <c r="F175" s="265"/>
      <c r="G175" s="265"/>
      <c r="H175" s="265"/>
      <c r="I175" s="265"/>
      <c r="J175" s="265"/>
      <c r="K175" s="265"/>
      <c r="L175" s="265"/>
      <c r="M175" s="265"/>
      <c r="N175" s="133">
        <f>IF(OR(A175="Автомат",A175="Дифавтомат"),IF(W175="","",COUNTIF(Однолинейка!$H$3:$H$1000,U175)),IF(A175="Аппарат",IF(C175="","",COUNTIF(Однолинейка!$I$3:$I$1000,C175)+COUNTIF(Однолинейка!$J$3:$J$1000,C175)+COUNTIF(Однолинейка!$K$3:$K$1000,C175)),IF(A175="Модуль",IF(C175="","",COUNTIFS(Однолинейка!$AW$3:$AW$1000,"?*",Однолинейка!$AI$3:$AI$1000,C175)),IF(A175="Клемма",IF(C175="","",IF(C175=$S$7,SUM(Однолинейка!$BW$3:$BW$1000),IF(C175=$S$8,SUM(Однолинейка!$BX$3:$BX$1000),""))),""))))</f>
      </c>
      <c r="O175" s="265"/>
      <c r="P175" s="133">
        <f>IF(COUNT(N175,O175)=0,"",SUM(N175,O175))</f>
      </c>
      <c r="U175" s="133">
        <f>IF(OR(A175="Автомат",A175="Дифавтомат"),I175&amp;" С"&amp;J175&amp;"А"&amp;IF(K175="да"," 30мА",""),"")</f>
      </c>
      <c r="V175" s="133">
        <f>IF(U175="","",B175&amp;"|"&amp;U175)</f>
      </c>
      <c r="W175" s="133">
        <f>IF(AND(U175&lt;&gt;"",OR($S$4="(все)",B175=$S$4),IF($S$4="(все)",COUNTIF($U$4:U175,U175),COUNTIFS($U$4:U175,U175,$B$4:B175,B175))=1),MAX($W$3:W174)+1,"")</f>
      </c>
      <c r="X175" s="133">
        <f>IFERROR(INDEX($U$4:$U$500,MATCH(ROW()-3,$W$4:$W$500,0)),"")</f>
      </c>
      <c r="Y175" s="133">
        <f>IF(AND(A175="Аппарат",C175&lt;&gt;"",OR($S$5="(все)",B175=$S$5)),MAX($Y$3:Y174)+1,"")</f>
      </c>
      <c r="Z175" s="133">
        <f>IFERROR(INDEX($C$4:$C$500,MATCH(ROW()-3,$Y$4:$Y$500,0)),"")</f>
      </c>
      <c r="AA175" s="133">
        <f>IF(AND(A175="Модуль",C175&lt;&gt;"",OR($S$6="(все)",B175=$S$6)),MAX($AA$3:AA174)+1,"")</f>
      </c>
      <c r="AB175" s="133">
        <f>IFERROR(INDEX($C$4:$C$500,MATCH(ROW()-3,$AA$4:$AA$500,0)),"")</f>
      </c>
      <c r="AC175" s="133">
        <f>IF(OR(B175="",COUNTIF($B$4:B175,B175)&gt;1),"",MAX($AC$3:AC174)+1)</f>
      </c>
      <c r="AD175" s="133">
        <f>IFERROR(INDEX($B$4:$B$500,MATCH(ROW()-3,$AC$4:$AC$500,0)),"")</f>
      </c>
      <c r="AE175" s="133">
        <f>IF(AND(A175&lt;&gt;"",N(P175)&gt;0),IFERROR(MATCH(A175,$R$12:$R$25,0),99)*1000+ROW(),"")</f>
      </c>
      <c r="AF175" s="133">
        <f>IF(AE175="","",COUNTIF($AE$4:$AE$500,"&lt;="&amp;AE175))</f>
      </c>
    </row>
    <row r="176">
      <c r="A176" s="265"/>
      <c r="B176" s="265"/>
      <c r="C176" s="265"/>
      <c r="D176" s="265"/>
      <c r="E176" s="265"/>
      <c r="F176" s="265"/>
      <c r="G176" s="265"/>
      <c r="H176" s="265"/>
      <c r="I176" s="265"/>
      <c r="J176" s="265"/>
      <c r="K176" s="265"/>
      <c r="L176" s="265"/>
      <c r="M176" s="265"/>
      <c r="N176" s="133">
        <f>IF(OR(A176="Автомат",A176="Дифавтомат"),IF(W176="","",COUNTIF(Однолинейка!$H$3:$H$1000,U176)),IF(A176="Аппарат",IF(C176="","",COUNTIF(Однолинейка!$I$3:$I$1000,C176)+COUNTIF(Однолинейка!$J$3:$J$1000,C176)+COUNTIF(Однолинейка!$K$3:$K$1000,C176)),IF(A176="Модуль",IF(C176="","",COUNTIFS(Однолинейка!$AW$3:$AW$1000,"?*",Однолинейка!$AI$3:$AI$1000,C176)),IF(A176="Клемма",IF(C176="","",IF(C176=$S$7,SUM(Однолинейка!$BW$3:$BW$1000),IF(C176=$S$8,SUM(Однолинейка!$BX$3:$BX$1000),""))),""))))</f>
      </c>
      <c r="O176" s="265"/>
      <c r="P176" s="133">
        <f>IF(COUNT(N176,O176)=0,"",SUM(N176,O176))</f>
      </c>
      <c r="U176" s="133">
        <f>IF(OR(A176="Автомат",A176="Дифавтомат"),I176&amp;" С"&amp;J176&amp;"А"&amp;IF(K176="да"," 30мА",""),"")</f>
      </c>
      <c r="V176" s="133">
        <f>IF(U176="","",B176&amp;"|"&amp;U176)</f>
      </c>
      <c r="W176" s="133">
        <f>IF(AND(U176&lt;&gt;"",OR($S$4="(все)",B176=$S$4),IF($S$4="(все)",COUNTIF($U$4:U176,U176),COUNTIFS($U$4:U176,U176,$B$4:B176,B176))=1),MAX($W$3:W175)+1,"")</f>
      </c>
      <c r="X176" s="133">
        <f>IFERROR(INDEX($U$4:$U$500,MATCH(ROW()-3,$W$4:$W$500,0)),"")</f>
      </c>
      <c r="Y176" s="133">
        <f>IF(AND(A176="Аппарат",C176&lt;&gt;"",OR($S$5="(все)",B176=$S$5)),MAX($Y$3:Y175)+1,"")</f>
      </c>
      <c r="Z176" s="133">
        <f>IFERROR(INDEX($C$4:$C$500,MATCH(ROW()-3,$Y$4:$Y$500,0)),"")</f>
      </c>
      <c r="AA176" s="133">
        <f>IF(AND(A176="Модуль",C176&lt;&gt;"",OR($S$6="(все)",B176=$S$6)),MAX($AA$3:AA175)+1,"")</f>
      </c>
      <c r="AB176" s="133">
        <f>IFERROR(INDEX($C$4:$C$500,MATCH(ROW()-3,$AA$4:$AA$500,0)),"")</f>
      </c>
      <c r="AC176" s="133">
        <f>IF(OR(B176="",COUNTIF($B$4:B176,B176)&gt;1),"",MAX($AC$3:AC175)+1)</f>
      </c>
      <c r="AD176" s="133">
        <f>IFERROR(INDEX($B$4:$B$500,MATCH(ROW()-3,$AC$4:$AC$500,0)),"")</f>
      </c>
      <c r="AE176" s="133">
        <f>IF(AND(A176&lt;&gt;"",N(P176)&gt;0),IFERROR(MATCH(A176,$R$12:$R$25,0),99)*1000+ROW(),"")</f>
      </c>
      <c r="AF176" s="133">
        <f>IF(AE176="","",COUNTIF($AE$4:$AE$500,"&lt;="&amp;AE176))</f>
      </c>
    </row>
    <row r="177">
      <c r="A177" s="265"/>
      <c r="B177" s="265"/>
      <c r="C177" s="265"/>
      <c r="D177" s="265"/>
      <c r="E177" s="265"/>
      <c r="F177" s="265"/>
      <c r="G177" s="265"/>
      <c r="H177" s="265"/>
      <c r="I177" s="265"/>
      <c r="J177" s="265"/>
      <c r="K177" s="265"/>
      <c r="L177" s="265"/>
      <c r="M177" s="265"/>
      <c r="N177" s="133">
        <f>IF(OR(A177="Автомат",A177="Дифавтомат"),IF(W177="","",COUNTIF(Однолинейка!$H$3:$H$1000,U177)),IF(A177="Аппарат",IF(C177="","",COUNTIF(Однолинейка!$I$3:$I$1000,C177)+COUNTIF(Однолинейка!$J$3:$J$1000,C177)+COUNTIF(Однолинейка!$K$3:$K$1000,C177)),IF(A177="Модуль",IF(C177="","",COUNTIFS(Однолинейка!$AW$3:$AW$1000,"?*",Однолинейка!$AI$3:$AI$1000,C177)),IF(A177="Клемма",IF(C177="","",IF(C177=$S$7,SUM(Однолинейка!$BW$3:$BW$1000),IF(C177=$S$8,SUM(Однолинейка!$BX$3:$BX$1000),""))),""))))</f>
      </c>
      <c r="O177" s="265"/>
      <c r="P177" s="133">
        <f>IF(COUNT(N177,O177)=0,"",SUM(N177,O177))</f>
      </c>
      <c r="U177" s="133">
        <f>IF(OR(A177="Автомат",A177="Дифавтомат"),I177&amp;" С"&amp;J177&amp;"А"&amp;IF(K177="да"," 30мА",""),"")</f>
      </c>
      <c r="V177" s="133">
        <f>IF(U177="","",B177&amp;"|"&amp;U177)</f>
      </c>
      <c r="W177" s="133">
        <f>IF(AND(U177&lt;&gt;"",OR($S$4="(все)",B177=$S$4),IF($S$4="(все)",COUNTIF($U$4:U177,U177),COUNTIFS($U$4:U177,U177,$B$4:B177,B177))=1),MAX($W$3:W176)+1,"")</f>
      </c>
      <c r="X177" s="133">
        <f>IFERROR(INDEX($U$4:$U$500,MATCH(ROW()-3,$W$4:$W$500,0)),"")</f>
      </c>
      <c r="Y177" s="133">
        <f>IF(AND(A177="Аппарат",C177&lt;&gt;"",OR($S$5="(все)",B177=$S$5)),MAX($Y$3:Y176)+1,"")</f>
      </c>
      <c r="Z177" s="133">
        <f>IFERROR(INDEX($C$4:$C$500,MATCH(ROW()-3,$Y$4:$Y$500,0)),"")</f>
      </c>
      <c r="AA177" s="133">
        <f>IF(AND(A177="Модуль",C177&lt;&gt;"",OR($S$6="(все)",B177=$S$6)),MAX($AA$3:AA176)+1,"")</f>
      </c>
      <c r="AB177" s="133">
        <f>IFERROR(INDEX($C$4:$C$500,MATCH(ROW()-3,$AA$4:$AA$500,0)),"")</f>
      </c>
      <c r="AC177" s="133">
        <f>IF(OR(B177="",COUNTIF($B$4:B177,B177)&gt;1),"",MAX($AC$3:AC176)+1)</f>
      </c>
      <c r="AD177" s="133">
        <f>IFERROR(INDEX($B$4:$B$500,MATCH(ROW()-3,$AC$4:$AC$500,0)),"")</f>
      </c>
      <c r="AE177" s="133">
        <f>IF(AND(A177&lt;&gt;"",N(P177)&gt;0),IFERROR(MATCH(A177,$R$12:$R$25,0),99)*1000+ROW(),"")</f>
      </c>
      <c r="AF177" s="133">
        <f>IF(AE177="","",COUNTIF($AE$4:$AE$500,"&lt;="&amp;AE177))</f>
      </c>
    </row>
    <row r="178">
      <c r="A178" s="265"/>
      <c r="B178" s="265"/>
      <c r="C178" s="265"/>
      <c r="D178" s="265"/>
      <c r="E178" s="265"/>
      <c r="F178" s="265"/>
      <c r="G178" s="265"/>
      <c r="H178" s="265"/>
      <c r="I178" s="265"/>
      <c r="J178" s="265"/>
      <c r="K178" s="265"/>
      <c r="L178" s="265"/>
      <c r="M178" s="265"/>
      <c r="N178" s="133">
        <f>IF(OR(A178="Автомат",A178="Дифавтомат"),IF(W178="","",COUNTIF(Однолинейка!$H$3:$H$1000,U178)),IF(A178="Аппарат",IF(C178="","",COUNTIF(Однолинейка!$I$3:$I$1000,C178)+COUNTIF(Однолинейка!$J$3:$J$1000,C178)+COUNTIF(Однолинейка!$K$3:$K$1000,C178)),IF(A178="Модуль",IF(C178="","",COUNTIFS(Однолинейка!$AW$3:$AW$1000,"?*",Однолинейка!$AI$3:$AI$1000,C178)),IF(A178="Клемма",IF(C178="","",IF(C178=$S$7,SUM(Однолинейка!$BW$3:$BW$1000),IF(C178=$S$8,SUM(Однолинейка!$BX$3:$BX$1000),""))),""))))</f>
      </c>
      <c r="O178" s="265"/>
      <c r="P178" s="133">
        <f>IF(COUNT(N178,O178)=0,"",SUM(N178,O178))</f>
      </c>
      <c r="U178" s="133">
        <f>IF(OR(A178="Автомат",A178="Дифавтомат"),I178&amp;" С"&amp;J178&amp;"А"&amp;IF(K178="да"," 30мА",""),"")</f>
      </c>
      <c r="V178" s="133">
        <f>IF(U178="","",B178&amp;"|"&amp;U178)</f>
      </c>
      <c r="W178" s="133">
        <f>IF(AND(U178&lt;&gt;"",OR($S$4="(все)",B178=$S$4),IF($S$4="(все)",COUNTIF($U$4:U178,U178),COUNTIFS($U$4:U178,U178,$B$4:B178,B178))=1),MAX($W$3:W177)+1,"")</f>
      </c>
      <c r="X178" s="133">
        <f>IFERROR(INDEX($U$4:$U$500,MATCH(ROW()-3,$W$4:$W$500,0)),"")</f>
      </c>
      <c r="Y178" s="133">
        <f>IF(AND(A178="Аппарат",C178&lt;&gt;"",OR($S$5="(все)",B178=$S$5)),MAX($Y$3:Y177)+1,"")</f>
      </c>
      <c r="Z178" s="133">
        <f>IFERROR(INDEX($C$4:$C$500,MATCH(ROW()-3,$Y$4:$Y$500,0)),"")</f>
      </c>
      <c r="AA178" s="133">
        <f>IF(AND(A178="Модуль",C178&lt;&gt;"",OR($S$6="(все)",B178=$S$6)),MAX($AA$3:AA177)+1,"")</f>
      </c>
      <c r="AB178" s="133">
        <f>IFERROR(INDEX($C$4:$C$500,MATCH(ROW()-3,$AA$4:$AA$500,0)),"")</f>
      </c>
      <c r="AC178" s="133">
        <f>IF(OR(B178="",COUNTIF($B$4:B178,B178)&gt;1),"",MAX($AC$3:AC177)+1)</f>
      </c>
      <c r="AD178" s="133">
        <f>IFERROR(INDEX($B$4:$B$500,MATCH(ROW()-3,$AC$4:$AC$500,0)),"")</f>
      </c>
      <c r="AE178" s="133">
        <f>IF(AND(A178&lt;&gt;"",N(P178)&gt;0),IFERROR(MATCH(A178,$R$12:$R$25,0),99)*1000+ROW(),"")</f>
      </c>
      <c r="AF178" s="133">
        <f>IF(AE178="","",COUNTIF($AE$4:$AE$500,"&lt;="&amp;AE178))</f>
      </c>
    </row>
    <row r="179">
      <c r="A179" s="265"/>
      <c r="B179" s="265"/>
      <c r="C179" s="265"/>
      <c r="D179" s="265"/>
      <c r="E179" s="265"/>
      <c r="F179" s="265"/>
      <c r="G179" s="265"/>
      <c r="H179" s="265"/>
      <c r="I179" s="265"/>
      <c r="J179" s="265"/>
      <c r="K179" s="265"/>
      <c r="L179" s="265"/>
      <c r="M179" s="265"/>
      <c r="N179" s="133">
        <f>IF(OR(A179="Автомат",A179="Дифавтомат"),IF(W179="","",COUNTIF(Однолинейка!$H$3:$H$1000,U179)),IF(A179="Аппарат",IF(C179="","",COUNTIF(Однолинейка!$I$3:$I$1000,C179)+COUNTIF(Однолинейка!$J$3:$J$1000,C179)+COUNTIF(Однолинейка!$K$3:$K$1000,C179)),IF(A179="Модуль",IF(C179="","",COUNTIFS(Однолинейка!$AW$3:$AW$1000,"?*",Однолинейка!$AI$3:$AI$1000,C179)),IF(A179="Клемма",IF(C179="","",IF(C179=$S$7,SUM(Однолинейка!$BW$3:$BW$1000),IF(C179=$S$8,SUM(Однолинейка!$BX$3:$BX$1000),""))),""))))</f>
      </c>
      <c r="O179" s="265"/>
      <c r="P179" s="133">
        <f>IF(COUNT(N179,O179)=0,"",SUM(N179,O179))</f>
      </c>
      <c r="U179" s="133">
        <f>IF(OR(A179="Автомат",A179="Дифавтомат"),I179&amp;" С"&amp;J179&amp;"А"&amp;IF(K179="да"," 30мА",""),"")</f>
      </c>
      <c r="V179" s="133">
        <f>IF(U179="","",B179&amp;"|"&amp;U179)</f>
      </c>
      <c r="W179" s="133">
        <f>IF(AND(U179&lt;&gt;"",OR($S$4="(все)",B179=$S$4),IF($S$4="(все)",COUNTIF($U$4:U179,U179),COUNTIFS($U$4:U179,U179,$B$4:B179,B179))=1),MAX($W$3:W178)+1,"")</f>
      </c>
      <c r="X179" s="133">
        <f>IFERROR(INDEX($U$4:$U$500,MATCH(ROW()-3,$W$4:$W$500,0)),"")</f>
      </c>
      <c r="Y179" s="133">
        <f>IF(AND(A179="Аппарат",C179&lt;&gt;"",OR($S$5="(все)",B179=$S$5)),MAX($Y$3:Y178)+1,"")</f>
      </c>
      <c r="Z179" s="133">
        <f>IFERROR(INDEX($C$4:$C$500,MATCH(ROW()-3,$Y$4:$Y$500,0)),"")</f>
      </c>
      <c r="AA179" s="133">
        <f>IF(AND(A179="Модуль",C179&lt;&gt;"",OR($S$6="(все)",B179=$S$6)),MAX($AA$3:AA178)+1,"")</f>
      </c>
      <c r="AB179" s="133">
        <f>IFERROR(INDEX($C$4:$C$500,MATCH(ROW()-3,$AA$4:$AA$500,0)),"")</f>
      </c>
      <c r="AC179" s="133">
        <f>IF(OR(B179="",COUNTIF($B$4:B179,B179)&gt;1),"",MAX($AC$3:AC178)+1)</f>
      </c>
      <c r="AD179" s="133">
        <f>IFERROR(INDEX($B$4:$B$500,MATCH(ROW()-3,$AC$4:$AC$500,0)),"")</f>
      </c>
      <c r="AE179" s="133">
        <f>IF(AND(A179&lt;&gt;"",N(P179)&gt;0),IFERROR(MATCH(A179,$R$12:$R$25,0),99)*1000+ROW(),"")</f>
      </c>
      <c r="AF179" s="133">
        <f>IF(AE179="","",COUNTIF($AE$4:$AE$500,"&lt;="&amp;AE179))</f>
      </c>
    </row>
    <row r="180">
      <c r="A180" s="265"/>
      <c r="B180" s="265"/>
      <c r="C180" s="265"/>
      <c r="D180" s="265"/>
      <c r="E180" s="265"/>
      <c r="F180" s="265"/>
      <c r="G180" s="265"/>
      <c r="H180" s="265"/>
      <c r="I180" s="265"/>
      <c r="J180" s="265"/>
      <c r="K180" s="265"/>
      <c r="L180" s="265"/>
      <c r="M180" s="265"/>
      <c r="N180" s="133">
        <f>IF(OR(A180="Автомат",A180="Дифавтомат"),IF(W180="","",COUNTIF(Однолинейка!$H$3:$H$1000,U180)),IF(A180="Аппарат",IF(C180="","",COUNTIF(Однолинейка!$I$3:$I$1000,C180)+COUNTIF(Однолинейка!$J$3:$J$1000,C180)+COUNTIF(Однолинейка!$K$3:$K$1000,C180)),IF(A180="Модуль",IF(C180="","",COUNTIFS(Однолинейка!$AW$3:$AW$1000,"?*",Однолинейка!$AI$3:$AI$1000,C180)),IF(A180="Клемма",IF(C180="","",IF(C180=$S$7,SUM(Однолинейка!$BW$3:$BW$1000),IF(C180=$S$8,SUM(Однолинейка!$BX$3:$BX$1000),""))),""))))</f>
      </c>
      <c r="O180" s="265"/>
      <c r="P180" s="133">
        <f>IF(COUNT(N180,O180)=0,"",SUM(N180,O180))</f>
      </c>
      <c r="U180" s="133">
        <f>IF(OR(A180="Автомат",A180="Дифавтомат"),I180&amp;" С"&amp;J180&amp;"А"&amp;IF(K180="да"," 30мА",""),"")</f>
      </c>
      <c r="V180" s="133">
        <f>IF(U180="","",B180&amp;"|"&amp;U180)</f>
      </c>
      <c r="W180" s="133">
        <f>IF(AND(U180&lt;&gt;"",OR($S$4="(все)",B180=$S$4),IF($S$4="(все)",COUNTIF($U$4:U180,U180),COUNTIFS($U$4:U180,U180,$B$4:B180,B180))=1),MAX($W$3:W179)+1,"")</f>
      </c>
      <c r="X180" s="133">
        <f>IFERROR(INDEX($U$4:$U$500,MATCH(ROW()-3,$W$4:$W$500,0)),"")</f>
      </c>
      <c r="Y180" s="133">
        <f>IF(AND(A180="Аппарат",C180&lt;&gt;"",OR($S$5="(все)",B180=$S$5)),MAX($Y$3:Y179)+1,"")</f>
      </c>
      <c r="Z180" s="133">
        <f>IFERROR(INDEX($C$4:$C$500,MATCH(ROW()-3,$Y$4:$Y$500,0)),"")</f>
      </c>
      <c r="AA180" s="133">
        <f>IF(AND(A180="Модуль",C180&lt;&gt;"",OR($S$6="(все)",B180=$S$6)),MAX($AA$3:AA179)+1,"")</f>
      </c>
      <c r="AB180" s="133">
        <f>IFERROR(INDEX($C$4:$C$500,MATCH(ROW()-3,$AA$4:$AA$500,0)),"")</f>
      </c>
      <c r="AC180" s="133">
        <f>IF(OR(B180="",COUNTIF($B$4:B180,B180)&gt;1),"",MAX($AC$3:AC179)+1)</f>
      </c>
      <c r="AD180" s="133">
        <f>IFERROR(INDEX($B$4:$B$500,MATCH(ROW()-3,$AC$4:$AC$500,0)),"")</f>
      </c>
      <c r="AE180" s="133">
        <f>IF(AND(A180&lt;&gt;"",N(P180)&gt;0),IFERROR(MATCH(A180,$R$12:$R$25,0),99)*1000+ROW(),"")</f>
      </c>
      <c r="AF180" s="133">
        <f>IF(AE180="","",COUNTIF($AE$4:$AE$500,"&lt;="&amp;AE180))</f>
      </c>
    </row>
    <row r="181">
      <c r="A181" s="265"/>
      <c r="B181" s="265"/>
      <c r="C181" s="265"/>
      <c r="D181" s="265"/>
      <c r="E181" s="265"/>
      <c r="F181" s="265"/>
      <c r="G181" s="265"/>
      <c r="H181" s="265"/>
      <c r="I181" s="265"/>
      <c r="J181" s="265"/>
      <c r="K181" s="265"/>
      <c r="L181" s="265"/>
      <c r="M181" s="265"/>
      <c r="N181" s="133">
        <f>IF(OR(A181="Автомат",A181="Дифавтомат"),IF(W181="","",COUNTIF(Однолинейка!$H$3:$H$1000,U181)),IF(A181="Аппарат",IF(C181="","",COUNTIF(Однолинейка!$I$3:$I$1000,C181)+COUNTIF(Однолинейка!$J$3:$J$1000,C181)+COUNTIF(Однолинейка!$K$3:$K$1000,C181)),IF(A181="Модуль",IF(C181="","",COUNTIFS(Однолинейка!$AW$3:$AW$1000,"?*",Однолинейка!$AI$3:$AI$1000,C181)),IF(A181="Клемма",IF(C181="","",IF(C181=$S$7,SUM(Однолинейка!$BW$3:$BW$1000),IF(C181=$S$8,SUM(Однолинейка!$BX$3:$BX$1000),""))),""))))</f>
      </c>
      <c r="O181" s="265"/>
      <c r="P181" s="133">
        <f>IF(COUNT(N181,O181)=0,"",SUM(N181,O181))</f>
      </c>
      <c r="U181" s="133">
        <f>IF(OR(A181="Автомат",A181="Дифавтомат"),I181&amp;" С"&amp;J181&amp;"А"&amp;IF(K181="да"," 30мА",""),"")</f>
      </c>
      <c r="V181" s="133">
        <f>IF(U181="","",B181&amp;"|"&amp;U181)</f>
      </c>
      <c r="W181" s="133">
        <f>IF(AND(U181&lt;&gt;"",OR($S$4="(все)",B181=$S$4),IF($S$4="(все)",COUNTIF($U$4:U181,U181),COUNTIFS($U$4:U181,U181,$B$4:B181,B181))=1),MAX($W$3:W180)+1,"")</f>
      </c>
      <c r="X181" s="133">
        <f>IFERROR(INDEX($U$4:$U$500,MATCH(ROW()-3,$W$4:$W$500,0)),"")</f>
      </c>
      <c r="Y181" s="133">
        <f>IF(AND(A181="Аппарат",C181&lt;&gt;"",OR($S$5="(все)",B181=$S$5)),MAX($Y$3:Y180)+1,"")</f>
      </c>
      <c r="Z181" s="133">
        <f>IFERROR(INDEX($C$4:$C$500,MATCH(ROW()-3,$Y$4:$Y$500,0)),"")</f>
      </c>
      <c r="AA181" s="133">
        <f>IF(AND(A181="Модуль",C181&lt;&gt;"",OR($S$6="(все)",B181=$S$6)),MAX($AA$3:AA180)+1,"")</f>
      </c>
      <c r="AB181" s="133">
        <f>IFERROR(INDEX($C$4:$C$500,MATCH(ROW()-3,$AA$4:$AA$500,0)),"")</f>
      </c>
      <c r="AC181" s="133">
        <f>IF(OR(B181="",COUNTIF($B$4:B181,B181)&gt;1),"",MAX($AC$3:AC180)+1)</f>
      </c>
      <c r="AD181" s="133">
        <f>IFERROR(INDEX($B$4:$B$500,MATCH(ROW()-3,$AC$4:$AC$500,0)),"")</f>
      </c>
      <c r="AE181" s="133">
        <f>IF(AND(A181&lt;&gt;"",N(P181)&gt;0),IFERROR(MATCH(A181,$R$12:$R$25,0),99)*1000+ROW(),"")</f>
      </c>
      <c r="AF181" s="133">
        <f>IF(AE181="","",COUNTIF($AE$4:$AE$500,"&lt;="&amp;AE181))</f>
      </c>
    </row>
    <row r="182">
      <c r="A182" s="265"/>
      <c r="B182" s="265"/>
      <c r="C182" s="265"/>
      <c r="D182" s="265"/>
      <c r="E182" s="265"/>
      <c r="F182" s="265"/>
      <c r="G182" s="265"/>
      <c r="H182" s="265"/>
      <c r="I182" s="265"/>
      <c r="J182" s="265"/>
      <c r="K182" s="265"/>
      <c r="L182" s="265"/>
      <c r="M182" s="265"/>
      <c r="N182" s="133">
        <f>IF(OR(A182="Автомат",A182="Дифавтомат"),IF(W182="","",COUNTIF(Однолинейка!$H$3:$H$1000,U182)),IF(A182="Аппарат",IF(C182="","",COUNTIF(Однолинейка!$I$3:$I$1000,C182)+COUNTIF(Однолинейка!$J$3:$J$1000,C182)+COUNTIF(Однолинейка!$K$3:$K$1000,C182)),IF(A182="Модуль",IF(C182="","",COUNTIFS(Однолинейка!$AW$3:$AW$1000,"?*",Однолинейка!$AI$3:$AI$1000,C182)),IF(A182="Клемма",IF(C182="","",IF(C182=$S$7,SUM(Однолинейка!$BW$3:$BW$1000),IF(C182=$S$8,SUM(Однолинейка!$BX$3:$BX$1000),""))),""))))</f>
      </c>
      <c r="O182" s="265"/>
      <c r="P182" s="133">
        <f>IF(COUNT(N182,O182)=0,"",SUM(N182,O182))</f>
      </c>
      <c r="U182" s="133">
        <f>IF(OR(A182="Автомат",A182="Дифавтомат"),I182&amp;" С"&amp;J182&amp;"А"&amp;IF(K182="да"," 30мА",""),"")</f>
      </c>
      <c r="V182" s="133">
        <f>IF(U182="","",B182&amp;"|"&amp;U182)</f>
      </c>
      <c r="W182" s="133">
        <f>IF(AND(U182&lt;&gt;"",OR($S$4="(все)",B182=$S$4),IF($S$4="(все)",COUNTIF($U$4:U182,U182),COUNTIFS($U$4:U182,U182,$B$4:B182,B182))=1),MAX($W$3:W181)+1,"")</f>
      </c>
      <c r="X182" s="133">
        <f>IFERROR(INDEX($U$4:$U$500,MATCH(ROW()-3,$W$4:$W$500,0)),"")</f>
      </c>
      <c r="Y182" s="133">
        <f>IF(AND(A182="Аппарат",C182&lt;&gt;"",OR($S$5="(все)",B182=$S$5)),MAX($Y$3:Y181)+1,"")</f>
      </c>
      <c r="Z182" s="133">
        <f>IFERROR(INDEX($C$4:$C$500,MATCH(ROW()-3,$Y$4:$Y$500,0)),"")</f>
      </c>
      <c r="AA182" s="133">
        <f>IF(AND(A182="Модуль",C182&lt;&gt;"",OR($S$6="(все)",B182=$S$6)),MAX($AA$3:AA181)+1,"")</f>
      </c>
      <c r="AB182" s="133">
        <f>IFERROR(INDEX($C$4:$C$500,MATCH(ROW()-3,$AA$4:$AA$500,0)),"")</f>
      </c>
      <c r="AC182" s="133">
        <f>IF(OR(B182="",COUNTIF($B$4:B182,B182)&gt;1),"",MAX($AC$3:AC181)+1)</f>
      </c>
      <c r="AD182" s="133">
        <f>IFERROR(INDEX($B$4:$B$500,MATCH(ROW()-3,$AC$4:$AC$500,0)),"")</f>
      </c>
      <c r="AE182" s="133">
        <f>IF(AND(A182&lt;&gt;"",N(P182)&gt;0),IFERROR(MATCH(A182,$R$12:$R$25,0),99)*1000+ROW(),"")</f>
      </c>
      <c r="AF182" s="133">
        <f>IF(AE182="","",COUNTIF($AE$4:$AE$500,"&lt;="&amp;AE182))</f>
      </c>
    </row>
    <row r="183">
      <c r="A183" s="265"/>
      <c r="B183" s="265"/>
      <c r="C183" s="265"/>
      <c r="D183" s="265"/>
      <c r="E183" s="265"/>
      <c r="F183" s="265"/>
      <c r="G183" s="265"/>
      <c r="H183" s="265"/>
      <c r="I183" s="265"/>
      <c r="J183" s="265"/>
      <c r="K183" s="265"/>
      <c r="L183" s="265"/>
      <c r="M183" s="265"/>
      <c r="N183" s="133">
        <f>IF(OR(A183="Автомат",A183="Дифавтомат"),IF(W183="","",COUNTIF(Однолинейка!$H$3:$H$1000,U183)),IF(A183="Аппарат",IF(C183="","",COUNTIF(Однолинейка!$I$3:$I$1000,C183)+COUNTIF(Однолинейка!$J$3:$J$1000,C183)+COUNTIF(Однолинейка!$K$3:$K$1000,C183)),IF(A183="Модуль",IF(C183="","",COUNTIFS(Однолинейка!$AW$3:$AW$1000,"?*",Однолинейка!$AI$3:$AI$1000,C183)),IF(A183="Клемма",IF(C183="","",IF(C183=$S$7,SUM(Однолинейка!$BW$3:$BW$1000),IF(C183=$S$8,SUM(Однолинейка!$BX$3:$BX$1000),""))),""))))</f>
      </c>
      <c r="O183" s="265"/>
      <c r="P183" s="133">
        <f>IF(COUNT(N183,O183)=0,"",SUM(N183,O183))</f>
      </c>
      <c r="U183" s="133">
        <f>IF(OR(A183="Автомат",A183="Дифавтомат"),I183&amp;" С"&amp;J183&amp;"А"&amp;IF(K183="да"," 30мА",""),"")</f>
      </c>
      <c r="V183" s="133">
        <f>IF(U183="","",B183&amp;"|"&amp;U183)</f>
      </c>
      <c r="W183" s="133">
        <f>IF(AND(U183&lt;&gt;"",OR($S$4="(все)",B183=$S$4),IF($S$4="(все)",COUNTIF($U$4:U183,U183),COUNTIFS($U$4:U183,U183,$B$4:B183,B183))=1),MAX($W$3:W182)+1,"")</f>
      </c>
      <c r="X183" s="133">
        <f>IFERROR(INDEX($U$4:$U$500,MATCH(ROW()-3,$W$4:$W$500,0)),"")</f>
      </c>
      <c r="Y183" s="133">
        <f>IF(AND(A183="Аппарат",C183&lt;&gt;"",OR($S$5="(все)",B183=$S$5)),MAX($Y$3:Y182)+1,"")</f>
      </c>
      <c r="Z183" s="133">
        <f>IFERROR(INDEX($C$4:$C$500,MATCH(ROW()-3,$Y$4:$Y$500,0)),"")</f>
      </c>
      <c r="AA183" s="133">
        <f>IF(AND(A183="Модуль",C183&lt;&gt;"",OR($S$6="(все)",B183=$S$6)),MAX($AA$3:AA182)+1,"")</f>
      </c>
      <c r="AB183" s="133">
        <f>IFERROR(INDEX($C$4:$C$500,MATCH(ROW()-3,$AA$4:$AA$500,0)),"")</f>
      </c>
      <c r="AC183" s="133">
        <f>IF(OR(B183="",COUNTIF($B$4:B183,B183)&gt;1),"",MAX($AC$3:AC182)+1)</f>
      </c>
      <c r="AD183" s="133">
        <f>IFERROR(INDEX($B$4:$B$500,MATCH(ROW()-3,$AC$4:$AC$500,0)),"")</f>
      </c>
      <c r="AE183" s="133">
        <f>IF(AND(A183&lt;&gt;"",N(P183)&gt;0),IFERROR(MATCH(A183,$R$12:$R$25,0),99)*1000+ROW(),"")</f>
      </c>
      <c r="AF183" s="133">
        <f>IF(AE183="","",COUNTIF($AE$4:$AE$500,"&lt;="&amp;AE183))</f>
      </c>
    </row>
    <row r="184">
      <c r="A184" s="265"/>
      <c r="B184" s="265"/>
      <c r="C184" s="265"/>
      <c r="D184" s="265"/>
      <c r="E184" s="265"/>
      <c r="F184" s="265"/>
      <c r="G184" s="265"/>
      <c r="H184" s="265"/>
      <c r="I184" s="265"/>
      <c r="J184" s="265"/>
      <c r="K184" s="265"/>
      <c r="L184" s="265"/>
      <c r="M184" s="265"/>
      <c r="N184" s="133">
        <f>IF(OR(A184="Автомат",A184="Дифавтомат"),IF(W184="","",COUNTIF(Однолинейка!$H$3:$H$1000,U184)),IF(A184="Аппарат",IF(C184="","",COUNTIF(Однолинейка!$I$3:$I$1000,C184)+COUNTIF(Однолинейка!$J$3:$J$1000,C184)+COUNTIF(Однолинейка!$K$3:$K$1000,C184)),IF(A184="Модуль",IF(C184="","",COUNTIFS(Однолинейка!$AW$3:$AW$1000,"?*",Однолинейка!$AI$3:$AI$1000,C184)),IF(A184="Клемма",IF(C184="","",IF(C184=$S$7,SUM(Однолинейка!$BW$3:$BW$1000),IF(C184=$S$8,SUM(Однолинейка!$BX$3:$BX$1000),""))),""))))</f>
      </c>
      <c r="O184" s="265"/>
      <c r="P184" s="133">
        <f>IF(COUNT(N184,O184)=0,"",SUM(N184,O184))</f>
      </c>
      <c r="U184" s="133">
        <f>IF(OR(A184="Автомат",A184="Дифавтомат"),I184&amp;" С"&amp;J184&amp;"А"&amp;IF(K184="да"," 30мА",""),"")</f>
      </c>
      <c r="V184" s="133">
        <f>IF(U184="","",B184&amp;"|"&amp;U184)</f>
      </c>
      <c r="W184" s="133">
        <f>IF(AND(U184&lt;&gt;"",OR($S$4="(все)",B184=$S$4),IF($S$4="(все)",COUNTIF($U$4:U184,U184),COUNTIFS($U$4:U184,U184,$B$4:B184,B184))=1),MAX($W$3:W183)+1,"")</f>
      </c>
      <c r="X184" s="133">
        <f>IFERROR(INDEX($U$4:$U$500,MATCH(ROW()-3,$W$4:$W$500,0)),"")</f>
      </c>
      <c r="Y184" s="133">
        <f>IF(AND(A184="Аппарат",C184&lt;&gt;"",OR($S$5="(все)",B184=$S$5)),MAX($Y$3:Y183)+1,"")</f>
      </c>
      <c r="Z184" s="133">
        <f>IFERROR(INDEX($C$4:$C$500,MATCH(ROW()-3,$Y$4:$Y$500,0)),"")</f>
      </c>
      <c r="AA184" s="133">
        <f>IF(AND(A184="Модуль",C184&lt;&gt;"",OR($S$6="(все)",B184=$S$6)),MAX($AA$3:AA183)+1,"")</f>
      </c>
      <c r="AB184" s="133">
        <f>IFERROR(INDEX($C$4:$C$500,MATCH(ROW()-3,$AA$4:$AA$500,0)),"")</f>
      </c>
      <c r="AC184" s="133">
        <f>IF(OR(B184="",COUNTIF($B$4:B184,B184)&gt;1),"",MAX($AC$3:AC183)+1)</f>
      </c>
      <c r="AD184" s="133">
        <f>IFERROR(INDEX($B$4:$B$500,MATCH(ROW()-3,$AC$4:$AC$500,0)),"")</f>
      </c>
      <c r="AE184" s="133">
        <f>IF(AND(A184&lt;&gt;"",N(P184)&gt;0),IFERROR(MATCH(A184,$R$12:$R$25,0),99)*1000+ROW(),"")</f>
      </c>
      <c r="AF184" s="133">
        <f>IF(AE184="","",COUNTIF($AE$4:$AE$500,"&lt;="&amp;AE184))</f>
      </c>
    </row>
    <row r="185">
      <c r="A185" s="265"/>
      <c r="B185" s="265"/>
      <c r="C185" s="265"/>
      <c r="D185" s="265"/>
      <c r="E185" s="265"/>
      <c r="F185" s="265"/>
      <c r="G185" s="265"/>
      <c r="H185" s="265"/>
      <c r="I185" s="265"/>
      <c r="J185" s="265"/>
      <c r="K185" s="265"/>
      <c r="L185" s="265"/>
      <c r="M185" s="265"/>
      <c r="N185" s="133">
        <f>IF(OR(A185="Автомат",A185="Дифавтомат"),IF(W185="","",COUNTIF(Однолинейка!$H$3:$H$1000,U185)),IF(A185="Аппарат",IF(C185="","",COUNTIF(Однолинейка!$I$3:$I$1000,C185)+COUNTIF(Однолинейка!$J$3:$J$1000,C185)+COUNTIF(Однолинейка!$K$3:$K$1000,C185)),IF(A185="Модуль",IF(C185="","",COUNTIFS(Однолинейка!$AW$3:$AW$1000,"?*",Однолинейка!$AI$3:$AI$1000,C185)),IF(A185="Клемма",IF(C185="","",IF(C185=$S$7,SUM(Однолинейка!$BW$3:$BW$1000),IF(C185=$S$8,SUM(Однолинейка!$BX$3:$BX$1000),""))),""))))</f>
      </c>
      <c r="O185" s="265"/>
      <c r="P185" s="133">
        <f>IF(COUNT(N185,O185)=0,"",SUM(N185,O185))</f>
      </c>
      <c r="U185" s="133">
        <f>IF(OR(A185="Автомат",A185="Дифавтомат"),I185&amp;" С"&amp;J185&amp;"А"&amp;IF(K185="да"," 30мА",""),"")</f>
      </c>
      <c r="V185" s="133">
        <f>IF(U185="","",B185&amp;"|"&amp;U185)</f>
      </c>
      <c r="W185" s="133">
        <f>IF(AND(U185&lt;&gt;"",OR($S$4="(все)",B185=$S$4),IF($S$4="(все)",COUNTIF($U$4:U185,U185),COUNTIFS($U$4:U185,U185,$B$4:B185,B185))=1),MAX($W$3:W184)+1,"")</f>
      </c>
      <c r="X185" s="133">
        <f>IFERROR(INDEX($U$4:$U$500,MATCH(ROW()-3,$W$4:$W$500,0)),"")</f>
      </c>
      <c r="Y185" s="133">
        <f>IF(AND(A185="Аппарат",C185&lt;&gt;"",OR($S$5="(все)",B185=$S$5)),MAX($Y$3:Y184)+1,"")</f>
      </c>
      <c r="Z185" s="133">
        <f>IFERROR(INDEX($C$4:$C$500,MATCH(ROW()-3,$Y$4:$Y$500,0)),"")</f>
      </c>
      <c r="AA185" s="133">
        <f>IF(AND(A185="Модуль",C185&lt;&gt;"",OR($S$6="(все)",B185=$S$6)),MAX($AA$3:AA184)+1,"")</f>
      </c>
      <c r="AB185" s="133">
        <f>IFERROR(INDEX($C$4:$C$500,MATCH(ROW()-3,$AA$4:$AA$500,0)),"")</f>
      </c>
      <c r="AC185" s="133">
        <f>IF(OR(B185="",COUNTIF($B$4:B185,B185)&gt;1),"",MAX($AC$3:AC184)+1)</f>
      </c>
      <c r="AD185" s="133">
        <f>IFERROR(INDEX($B$4:$B$500,MATCH(ROW()-3,$AC$4:$AC$500,0)),"")</f>
      </c>
      <c r="AE185" s="133">
        <f>IF(AND(A185&lt;&gt;"",N(P185)&gt;0),IFERROR(MATCH(A185,$R$12:$R$25,0),99)*1000+ROW(),"")</f>
      </c>
      <c r="AF185" s="133">
        <f>IF(AE185="","",COUNTIF($AE$4:$AE$500,"&lt;="&amp;AE185))</f>
      </c>
    </row>
    <row r="186">
      <c r="A186" s="265"/>
      <c r="B186" s="265"/>
      <c r="C186" s="265"/>
      <c r="D186" s="265"/>
      <c r="E186" s="265"/>
      <c r="F186" s="265"/>
      <c r="G186" s="265"/>
      <c r="H186" s="265"/>
      <c r="I186" s="265"/>
      <c r="J186" s="265"/>
      <c r="K186" s="265"/>
      <c r="L186" s="265"/>
      <c r="M186" s="265"/>
      <c r="N186" s="133">
        <f>IF(OR(A186="Автомат",A186="Дифавтомат"),IF(W186="","",COUNTIF(Однолинейка!$H$3:$H$1000,U186)),IF(A186="Аппарат",IF(C186="","",COUNTIF(Однолинейка!$I$3:$I$1000,C186)+COUNTIF(Однолинейка!$J$3:$J$1000,C186)+COUNTIF(Однолинейка!$K$3:$K$1000,C186)),IF(A186="Модуль",IF(C186="","",COUNTIFS(Однолинейка!$AW$3:$AW$1000,"?*",Однолинейка!$AI$3:$AI$1000,C186)),IF(A186="Клемма",IF(C186="","",IF(C186=$S$7,SUM(Однолинейка!$BW$3:$BW$1000),IF(C186=$S$8,SUM(Однолинейка!$BX$3:$BX$1000),""))),""))))</f>
      </c>
      <c r="O186" s="265"/>
      <c r="P186" s="133">
        <f>IF(COUNT(N186,O186)=0,"",SUM(N186,O186))</f>
      </c>
      <c r="U186" s="133">
        <f>IF(OR(A186="Автомат",A186="Дифавтомат"),I186&amp;" С"&amp;J186&amp;"А"&amp;IF(K186="да"," 30мА",""),"")</f>
      </c>
      <c r="V186" s="133">
        <f>IF(U186="","",B186&amp;"|"&amp;U186)</f>
      </c>
      <c r="W186" s="133">
        <f>IF(AND(U186&lt;&gt;"",OR($S$4="(все)",B186=$S$4),IF($S$4="(все)",COUNTIF($U$4:U186,U186),COUNTIFS($U$4:U186,U186,$B$4:B186,B186))=1),MAX($W$3:W185)+1,"")</f>
      </c>
      <c r="X186" s="133">
        <f>IFERROR(INDEX($U$4:$U$500,MATCH(ROW()-3,$W$4:$W$500,0)),"")</f>
      </c>
      <c r="Y186" s="133">
        <f>IF(AND(A186="Аппарат",C186&lt;&gt;"",OR($S$5="(все)",B186=$S$5)),MAX($Y$3:Y185)+1,"")</f>
      </c>
      <c r="Z186" s="133">
        <f>IFERROR(INDEX($C$4:$C$500,MATCH(ROW()-3,$Y$4:$Y$500,0)),"")</f>
      </c>
      <c r="AA186" s="133">
        <f>IF(AND(A186="Модуль",C186&lt;&gt;"",OR($S$6="(все)",B186=$S$6)),MAX($AA$3:AA185)+1,"")</f>
      </c>
      <c r="AB186" s="133">
        <f>IFERROR(INDEX($C$4:$C$500,MATCH(ROW()-3,$AA$4:$AA$500,0)),"")</f>
      </c>
      <c r="AC186" s="133">
        <f>IF(OR(B186="",COUNTIF($B$4:B186,B186)&gt;1),"",MAX($AC$3:AC185)+1)</f>
      </c>
      <c r="AD186" s="133">
        <f>IFERROR(INDEX($B$4:$B$500,MATCH(ROW()-3,$AC$4:$AC$500,0)),"")</f>
      </c>
      <c r="AE186" s="133">
        <f>IF(AND(A186&lt;&gt;"",N(P186)&gt;0),IFERROR(MATCH(A186,$R$12:$R$25,0),99)*1000+ROW(),"")</f>
      </c>
      <c r="AF186" s="133">
        <f>IF(AE186="","",COUNTIF($AE$4:$AE$500,"&lt;="&amp;AE186))</f>
      </c>
    </row>
    <row r="187">
      <c r="A187" s="265"/>
      <c r="B187" s="265"/>
      <c r="C187" s="265"/>
      <c r="D187" s="265"/>
      <c r="E187" s="265"/>
      <c r="F187" s="265"/>
      <c r="G187" s="265"/>
      <c r="H187" s="265"/>
      <c r="I187" s="265"/>
      <c r="J187" s="265"/>
      <c r="K187" s="265"/>
      <c r="L187" s="265"/>
      <c r="M187" s="265"/>
      <c r="N187" s="133">
        <f>IF(OR(A187="Автомат",A187="Дифавтомат"),IF(W187="","",COUNTIF(Однолинейка!$H$3:$H$1000,U187)),IF(A187="Аппарат",IF(C187="","",COUNTIF(Однолинейка!$I$3:$I$1000,C187)+COUNTIF(Однолинейка!$J$3:$J$1000,C187)+COUNTIF(Однолинейка!$K$3:$K$1000,C187)),IF(A187="Модуль",IF(C187="","",COUNTIFS(Однолинейка!$AW$3:$AW$1000,"?*",Однолинейка!$AI$3:$AI$1000,C187)),IF(A187="Клемма",IF(C187="","",IF(C187=$S$7,SUM(Однолинейка!$BW$3:$BW$1000),IF(C187=$S$8,SUM(Однолинейка!$BX$3:$BX$1000),""))),""))))</f>
      </c>
      <c r="O187" s="265"/>
      <c r="P187" s="133">
        <f>IF(COUNT(N187,O187)=0,"",SUM(N187,O187))</f>
      </c>
      <c r="U187" s="133">
        <f>IF(OR(A187="Автомат",A187="Дифавтомат"),I187&amp;" С"&amp;J187&amp;"А"&amp;IF(K187="да"," 30мА",""),"")</f>
      </c>
      <c r="V187" s="133">
        <f>IF(U187="","",B187&amp;"|"&amp;U187)</f>
      </c>
      <c r="W187" s="133">
        <f>IF(AND(U187&lt;&gt;"",OR($S$4="(все)",B187=$S$4),IF($S$4="(все)",COUNTIF($U$4:U187,U187),COUNTIFS($U$4:U187,U187,$B$4:B187,B187))=1),MAX($W$3:W186)+1,"")</f>
      </c>
      <c r="X187" s="133">
        <f>IFERROR(INDEX($U$4:$U$500,MATCH(ROW()-3,$W$4:$W$500,0)),"")</f>
      </c>
      <c r="Y187" s="133">
        <f>IF(AND(A187="Аппарат",C187&lt;&gt;"",OR($S$5="(все)",B187=$S$5)),MAX($Y$3:Y186)+1,"")</f>
      </c>
      <c r="Z187" s="133">
        <f>IFERROR(INDEX($C$4:$C$500,MATCH(ROW()-3,$Y$4:$Y$500,0)),"")</f>
      </c>
      <c r="AA187" s="133">
        <f>IF(AND(A187="Модуль",C187&lt;&gt;"",OR($S$6="(все)",B187=$S$6)),MAX($AA$3:AA186)+1,"")</f>
      </c>
      <c r="AB187" s="133">
        <f>IFERROR(INDEX($C$4:$C$500,MATCH(ROW()-3,$AA$4:$AA$500,0)),"")</f>
      </c>
      <c r="AC187" s="133">
        <f>IF(OR(B187="",COUNTIF($B$4:B187,B187)&gt;1),"",MAX($AC$3:AC186)+1)</f>
      </c>
      <c r="AD187" s="133">
        <f>IFERROR(INDEX($B$4:$B$500,MATCH(ROW()-3,$AC$4:$AC$500,0)),"")</f>
      </c>
      <c r="AE187" s="133">
        <f>IF(AND(A187&lt;&gt;"",N(P187)&gt;0),IFERROR(MATCH(A187,$R$12:$R$25,0),99)*1000+ROW(),"")</f>
      </c>
      <c r="AF187" s="133">
        <f>IF(AE187="","",COUNTIF($AE$4:$AE$500,"&lt;="&amp;AE187))</f>
      </c>
    </row>
    <row r="188">
      <c r="A188" s="265"/>
      <c r="B188" s="265"/>
      <c r="C188" s="265"/>
      <c r="D188" s="265"/>
      <c r="E188" s="265"/>
      <c r="F188" s="265"/>
      <c r="G188" s="265"/>
      <c r="H188" s="265"/>
      <c r="I188" s="265"/>
      <c r="J188" s="265"/>
      <c r="K188" s="265"/>
      <c r="L188" s="265"/>
      <c r="M188" s="265"/>
      <c r="N188" s="133">
        <f>IF(OR(A188="Автомат",A188="Дифавтомат"),IF(W188="","",COUNTIF(Однолинейка!$H$3:$H$1000,U188)),IF(A188="Аппарат",IF(C188="","",COUNTIF(Однолинейка!$I$3:$I$1000,C188)+COUNTIF(Однолинейка!$J$3:$J$1000,C188)+COUNTIF(Однолинейка!$K$3:$K$1000,C188)),IF(A188="Модуль",IF(C188="","",COUNTIFS(Однолинейка!$AW$3:$AW$1000,"?*",Однолинейка!$AI$3:$AI$1000,C188)),IF(A188="Клемма",IF(C188="","",IF(C188=$S$7,SUM(Однолинейка!$BW$3:$BW$1000),IF(C188=$S$8,SUM(Однолинейка!$BX$3:$BX$1000),""))),""))))</f>
      </c>
      <c r="O188" s="265"/>
      <c r="P188" s="133">
        <f>IF(COUNT(N188,O188)=0,"",SUM(N188,O188))</f>
      </c>
      <c r="U188" s="133">
        <f>IF(OR(A188="Автомат",A188="Дифавтомат"),I188&amp;" С"&amp;J188&amp;"А"&amp;IF(K188="да"," 30мА",""),"")</f>
      </c>
      <c r="V188" s="133">
        <f>IF(U188="","",B188&amp;"|"&amp;U188)</f>
      </c>
      <c r="W188" s="133">
        <f>IF(AND(U188&lt;&gt;"",OR($S$4="(все)",B188=$S$4),IF($S$4="(все)",COUNTIF($U$4:U188,U188),COUNTIFS($U$4:U188,U188,$B$4:B188,B188))=1),MAX($W$3:W187)+1,"")</f>
      </c>
      <c r="X188" s="133">
        <f>IFERROR(INDEX($U$4:$U$500,MATCH(ROW()-3,$W$4:$W$500,0)),"")</f>
      </c>
      <c r="Y188" s="133">
        <f>IF(AND(A188="Аппарат",C188&lt;&gt;"",OR($S$5="(все)",B188=$S$5)),MAX($Y$3:Y187)+1,"")</f>
      </c>
      <c r="Z188" s="133">
        <f>IFERROR(INDEX($C$4:$C$500,MATCH(ROW()-3,$Y$4:$Y$500,0)),"")</f>
      </c>
      <c r="AA188" s="133">
        <f>IF(AND(A188="Модуль",C188&lt;&gt;"",OR($S$6="(все)",B188=$S$6)),MAX($AA$3:AA187)+1,"")</f>
      </c>
      <c r="AB188" s="133">
        <f>IFERROR(INDEX($C$4:$C$500,MATCH(ROW()-3,$AA$4:$AA$500,0)),"")</f>
      </c>
      <c r="AC188" s="133">
        <f>IF(OR(B188="",COUNTIF($B$4:B188,B188)&gt;1),"",MAX($AC$3:AC187)+1)</f>
      </c>
      <c r="AD188" s="133">
        <f>IFERROR(INDEX($B$4:$B$500,MATCH(ROW()-3,$AC$4:$AC$500,0)),"")</f>
      </c>
      <c r="AE188" s="133">
        <f>IF(AND(A188&lt;&gt;"",N(P188)&gt;0),IFERROR(MATCH(A188,$R$12:$R$25,0),99)*1000+ROW(),"")</f>
      </c>
      <c r="AF188" s="133">
        <f>IF(AE188="","",COUNTIF($AE$4:$AE$500,"&lt;="&amp;AE188))</f>
      </c>
    </row>
    <row r="189">
      <c r="A189" s="265"/>
      <c r="B189" s="265"/>
      <c r="C189" s="265"/>
      <c r="D189" s="265"/>
      <c r="E189" s="265"/>
      <c r="F189" s="265"/>
      <c r="G189" s="265"/>
      <c r="H189" s="265"/>
      <c r="I189" s="265"/>
      <c r="J189" s="265"/>
      <c r="K189" s="265"/>
      <c r="L189" s="265"/>
      <c r="M189" s="265"/>
      <c r="N189" s="133">
        <f>IF(OR(A189="Автомат",A189="Дифавтомат"),IF(W189="","",COUNTIF(Однолинейка!$H$3:$H$1000,U189)),IF(A189="Аппарат",IF(C189="","",COUNTIF(Однолинейка!$I$3:$I$1000,C189)+COUNTIF(Однолинейка!$J$3:$J$1000,C189)+COUNTIF(Однолинейка!$K$3:$K$1000,C189)),IF(A189="Модуль",IF(C189="","",COUNTIFS(Однолинейка!$AW$3:$AW$1000,"?*",Однолинейка!$AI$3:$AI$1000,C189)),IF(A189="Клемма",IF(C189="","",IF(C189=$S$7,SUM(Однолинейка!$BW$3:$BW$1000),IF(C189=$S$8,SUM(Однолинейка!$BX$3:$BX$1000),""))),""))))</f>
      </c>
      <c r="O189" s="265"/>
      <c r="P189" s="133">
        <f>IF(COUNT(N189,O189)=0,"",SUM(N189,O189))</f>
      </c>
      <c r="U189" s="133">
        <f>IF(OR(A189="Автомат",A189="Дифавтомат"),I189&amp;" С"&amp;J189&amp;"А"&amp;IF(K189="да"," 30мА",""),"")</f>
      </c>
      <c r="V189" s="133">
        <f>IF(U189="","",B189&amp;"|"&amp;U189)</f>
      </c>
      <c r="W189" s="133">
        <f>IF(AND(U189&lt;&gt;"",OR($S$4="(все)",B189=$S$4),IF($S$4="(все)",COUNTIF($U$4:U189,U189),COUNTIFS($U$4:U189,U189,$B$4:B189,B189))=1),MAX($W$3:W188)+1,"")</f>
      </c>
      <c r="X189" s="133">
        <f>IFERROR(INDEX($U$4:$U$500,MATCH(ROW()-3,$W$4:$W$500,0)),"")</f>
      </c>
      <c r="Y189" s="133">
        <f>IF(AND(A189="Аппарат",C189&lt;&gt;"",OR($S$5="(все)",B189=$S$5)),MAX($Y$3:Y188)+1,"")</f>
      </c>
      <c r="Z189" s="133">
        <f>IFERROR(INDEX($C$4:$C$500,MATCH(ROW()-3,$Y$4:$Y$500,0)),"")</f>
      </c>
      <c r="AA189" s="133">
        <f>IF(AND(A189="Модуль",C189&lt;&gt;"",OR($S$6="(все)",B189=$S$6)),MAX($AA$3:AA188)+1,"")</f>
      </c>
      <c r="AB189" s="133">
        <f>IFERROR(INDEX($C$4:$C$500,MATCH(ROW()-3,$AA$4:$AA$500,0)),"")</f>
      </c>
      <c r="AC189" s="133">
        <f>IF(OR(B189="",COUNTIF($B$4:B189,B189)&gt;1),"",MAX($AC$3:AC188)+1)</f>
      </c>
      <c r="AD189" s="133">
        <f>IFERROR(INDEX($B$4:$B$500,MATCH(ROW()-3,$AC$4:$AC$500,0)),"")</f>
      </c>
      <c r="AE189" s="133">
        <f>IF(AND(A189&lt;&gt;"",N(P189)&gt;0),IFERROR(MATCH(A189,$R$12:$R$25,0),99)*1000+ROW(),"")</f>
      </c>
      <c r="AF189" s="133">
        <f>IF(AE189="","",COUNTIF($AE$4:$AE$500,"&lt;="&amp;AE189))</f>
      </c>
    </row>
    <row r="190">
      <c r="A190" s="265"/>
      <c r="B190" s="265"/>
      <c r="C190" s="265"/>
      <c r="D190" s="265"/>
      <c r="E190" s="265"/>
      <c r="F190" s="265"/>
      <c r="G190" s="265"/>
      <c r="H190" s="265"/>
      <c r="I190" s="265"/>
      <c r="J190" s="265"/>
      <c r="K190" s="265"/>
      <c r="L190" s="265"/>
      <c r="M190" s="265"/>
      <c r="N190" s="133">
        <f>IF(OR(A190="Автомат",A190="Дифавтомат"),IF(W190="","",COUNTIF(Однолинейка!$H$3:$H$1000,U190)),IF(A190="Аппарат",IF(C190="","",COUNTIF(Однолинейка!$I$3:$I$1000,C190)+COUNTIF(Однолинейка!$J$3:$J$1000,C190)+COUNTIF(Однолинейка!$K$3:$K$1000,C190)),IF(A190="Модуль",IF(C190="","",COUNTIFS(Однолинейка!$AW$3:$AW$1000,"?*",Однолинейка!$AI$3:$AI$1000,C190)),IF(A190="Клемма",IF(C190="","",IF(C190=$S$7,SUM(Однолинейка!$BW$3:$BW$1000),IF(C190=$S$8,SUM(Однолинейка!$BX$3:$BX$1000),""))),""))))</f>
      </c>
      <c r="O190" s="265"/>
      <c r="P190" s="133">
        <f>IF(COUNT(N190,O190)=0,"",SUM(N190,O190))</f>
      </c>
      <c r="U190" s="133">
        <f>IF(OR(A190="Автомат",A190="Дифавтомат"),I190&amp;" С"&amp;J190&amp;"А"&amp;IF(K190="да"," 30мА",""),"")</f>
      </c>
      <c r="V190" s="133">
        <f>IF(U190="","",B190&amp;"|"&amp;U190)</f>
      </c>
      <c r="W190" s="133">
        <f>IF(AND(U190&lt;&gt;"",OR($S$4="(все)",B190=$S$4),IF($S$4="(все)",COUNTIF($U$4:U190,U190),COUNTIFS($U$4:U190,U190,$B$4:B190,B190))=1),MAX($W$3:W189)+1,"")</f>
      </c>
      <c r="X190" s="133">
        <f>IFERROR(INDEX($U$4:$U$500,MATCH(ROW()-3,$W$4:$W$500,0)),"")</f>
      </c>
      <c r="Y190" s="133">
        <f>IF(AND(A190="Аппарат",C190&lt;&gt;"",OR($S$5="(все)",B190=$S$5)),MAX($Y$3:Y189)+1,"")</f>
      </c>
      <c r="Z190" s="133">
        <f>IFERROR(INDEX($C$4:$C$500,MATCH(ROW()-3,$Y$4:$Y$500,0)),"")</f>
      </c>
      <c r="AA190" s="133">
        <f>IF(AND(A190="Модуль",C190&lt;&gt;"",OR($S$6="(все)",B190=$S$6)),MAX($AA$3:AA189)+1,"")</f>
      </c>
      <c r="AB190" s="133">
        <f>IFERROR(INDEX($C$4:$C$500,MATCH(ROW()-3,$AA$4:$AA$500,0)),"")</f>
      </c>
      <c r="AC190" s="133">
        <f>IF(OR(B190="",COUNTIF($B$4:B190,B190)&gt;1),"",MAX($AC$3:AC189)+1)</f>
      </c>
      <c r="AD190" s="133">
        <f>IFERROR(INDEX($B$4:$B$500,MATCH(ROW()-3,$AC$4:$AC$500,0)),"")</f>
      </c>
      <c r="AE190" s="133">
        <f>IF(AND(A190&lt;&gt;"",N(P190)&gt;0),IFERROR(MATCH(A190,$R$12:$R$25,0),99)*1000+ROW(),"")</f>
      </c>
      <c r="AF190" s="133">
        <f>IF(AE190="","",COUNTIF($AE$4:$AE$500,"&lt;="&amp;AE190))</f>
      </c>
    </row>
    <row r="191">
      <c r="A191" s="265"/>
      <c r="B191" s="265"/>
      <c r="C191" s="265"/>
      <c r="D191" s="265"/>
      <c r="E191" s="265"/>
      <c r="F191" s="265"/>
      <c r="G191" s="265"/>
      <c r="H191" s="265"/>
      <c r="I191" s="265"/>
      <c r="J191" s="265"/>
      <c r="K191" s="265"/>
      <c r="L191" s="265"/>
      <c r="M191" s="265"/>
      <c r="N191" s="133">
        <f>IF(OR(A191="Автомат",A191="Дифавтомат"),IF(W191="","",COUNTIF(Однолинейка!$H$3:$H$1000,U191)),IF(A191="Аппарат",IF(C191="","",COUNTIF(Однолинейка!$I$3:$I$1000,C191)+COUNTIF(Однолинейка!$J$3:$J$1000,C191)+COUNTIF(Однолинейка!$K$3:$K$1000,C191)),IF(A191="Модуль",IF(C191="","",COUNTIFS(Однолинейка!$AW$3:$AW$1000,"?*",Однолинейка!$AI$3:$AI$1000,C191)),IF(A191="Клемма",IF(C191="","",IF(C191=$S$7,SUM(Однолинейка!$BW$3:$BW$1000),IF(C191=$S$8,SUM(Однолинейка!$BX$3:$BX$1000),""))),""))))</f>
      </c>
      <c r="O191" s="265"/>
      <c r="P191" s="133">
        <f>IF(COUNT(N191,O191)=0,"",SUM(N191,O191))</f>
      </c>
      <c r="U191" s="133">
        <f>IF(OR(A191="Автомат",A191="Дифавтомат"),I191&amp;" С"&amp;J191&amp;"А"&amp;IF(K191="да"," 30мА",""),"")</f>
      </c>
      <c r="V191" s="133">
        <f>IF(U191="","",B191&amp;"|"&amp;U191)</f>
      </c>
      <c r="W191" s="133">
        <f>IF(AND(U191&lt;&gt;"",OR($S$4="(все)",B191=$S$4),IF($S$4="(все)",COUNTIF($U$4:U191,U191),COUNTIFS($U$4:U191,U191,$B$4:B191,B191))=1),MAX($W$3:W190)+1,"")</f>
      </c>
      <c r="X191" s="133">
        <f>IFERROR(INDEX($U$4:$U$500,MATCH(ROW()-3,$W$4:$W$500,0)),"")</f>
      </c>
      <c r="Y191" s="133">
        <f>IF(AND(A191="Аппарат",C191&lt;&gt;"",OR($S$5="(все)",B191=$S$5)),MAX($Y$3:Y190)+1,"")</f>
      </c>
      <c r="Z191" s="133">
        <f>IFERROR(INDEX($C$4:$C$500,MATCH(ROW()-3,$Y$4:$Y$500,0)),"")</f>
      </c>
      <c r="AA191" s="133">
        <f>IF(AND(A191="Модуль",C191&lt;&gt;"",OR($S$6="(все)",B191=$S$6)),MAX($AA$3:AA190)+1,"")</f>
      </c>
      <c r="AB191" s="133">
        <f>IFERROR(INDEX($C$4:$C$500,MATCH(ROW()-3,$AA$4:$AA$500,0)),"")</f>
      </c>
      <c r="AC191" s="133">
        <f>IF(OR(B191="",COUNTIF($B$4:B191,B191)&gt;1),"",MAX($AC$3:AC190)+1)</f>
      </c>
      <c r="AD191" s="133">
        <f>IFERROR(INDEX($B$4:$B$500,MATCH(ROW()-3,$AC$4:$AC$500,0)),"")</f>
      </c>
      <c r="AE191" s="133">
        <f>IF(AND(A191&lt;&gt;"",N(P191)&gt;0),IFERROR(MATCH(A191,$R$12:$R$25,0),99)*1000+ROW(),"")</f>
      </c>
      <c r="AF191" s="133">
        <f>IF(AE191="","",COUNTIF($AE$4:$AE$500,"&lt;="&amp;AE191))</f>
      </c>
    </row>
    <row r="192">
      <c r="A192" s="265"/>
      <c r="B192" s="265"/>
      <c r="C192" s="265"/>
      <c r="D192" s="265"/>
      <c r="E192" s="265"/>
      <c r="F192" s="265"/>
      <c r="G192" s="265"/>
      <c r="H192" s="265"/>
      <c r="I192" s="265"/>
      <c r="J192" s="265"/>
      <c r="K192" s="265"/>
      <c r="L192" s="265"/>
      <c r="M192" s="265"/>
      <c r="N192" s="133">
        <f>IF(OR(A192="Автомат",A192="Дифавтомат"),IF(W192="","",COUNTIF(Однолинейка!$H$3:$H$1000,U192)),IF(A192="Аппарат",IF(C192="","",COUNTIF(Однолинейка!$I$3:$I$1000,C192)+COUNTIF(Однолинейка!$J$3:$J$1000,C192)+COUNTIF(Однолинейка!$K$3:$K$1000,C192)),IF(A192="Модуль",IF(C192="","",COUNTIFS(Однолинейка!$AW$3:$AW$1000,"?*",Однолинейка!$AI$3:$AI$1000,C192)),IF(A192="Клемма",IF(C192="","",IF(C192=$S$7,SUM(Однолинейка!$BW$3:$BW$1000),IF(C192=$S$8,SUM(Однолинейка!$BX$3:$BX$1000),""))),""))))</f>
      </c>
      <c r="O192" s="265"/>
      <c r="P192" s="133">
        <f>IF(COUNT(N192,O192)=0,"",SUM(N192,O192))</f>
      </c>
      <c r="U192" s="133">
        <f>IF(OR(A192="Автомат",A192="Дифавтомат"),I192&amp;" С"&amp;J192&amp;"А"&amp;IF(K192="да"," 30мА",""),"")</f>
      </c>
      <c r="V192" s="133">
        <f>IF(U192="","",B192&amp;"|"&amp;U192)</f>
      </c>
      <c r="W192" s="133">
        <f>IF(AND(U192&lt;&gt;"",OR($S$4="(все)",B192=$S$4),IF($S$4="(все)",COUNTIF($U$4:U192,U192),COUNTIFS($U$4:U192,U192,$B$4:B192,B192))=1),MAX($W$3:W191)+1,"")</f>
      </c>
      <c r="X192" s="133">
        <f>IFERROR(INDEX($U$4:$U$500,MATCH(ROW()-3,$W$4:$W$500,0)),"")</f>
      </c>
      <c r="Y192" s="133">
        <f>IF(AND(A192="Аппарат",C192&lt;&gt;"",OR($S$5="(все)",B192=$S$5)),MAX($Y$3:Y191)+1,"")</f>
      </c>
      <c r="Z192" s="133">
        <f>IFERROR(INDEX($C$4:$C$500,MATCH(ROW()-3,$Y$4:$Y$500,0)),"")</f>
      </c>
      <c r="AA192" s="133">
        <f>IF(AND(A192="Модуль",C192&lt;&gt;"",OR($S$6="(все)",B192=$S$6)),MAX($AA$3:AA191)+1,"")</f>
      </c>
      <c r="AB192" s="133">
        <f>IFERROR(INDEX($C$4:$C$500,MATCH(ROW()-3,$AA$4:$AA$500,0)),"")</f>
      </c>
      <c r="AC192" s="133">
        <f>IF(OR(B192="",COUNTIF($B$4:B192,B192)&gt;1),"",MAX($AC$3:AC191)+1)</f>
      </c>
      <c r="AD192" s="133">
        <f>IFERROR(INDEX($B$4:$B$500,MATCH(ROW()-3,$AC$4:$AC$500,0)),"")</f>
      </c>
      <c r="AE192" s="133">
        <f>IF(AND(A192&lt;&gt;"",N(P192)&gt;0),IFERROR(MATCH(A192,$R$12:$R$25,0),99)*1000+ROW(),"")</f>
      </c>
      <c r="AF192" s="133">
        <f>IF(AE192="","",COUNTIF($AE$4:$AE$500,"&lt;="&amp;AE192))</f>
      </c>
    </row>
    <row r="193">
      <c r="A193" s="265"/>
      <c r="B193" s="265"/>
      <c r="C193" s="265"/>
      <c r="D193" s="265"/>
      <c r="E193" s="265"/>
      <c r="F193" s="265"/>
      <c r="G193" s="265"/>
      <c r="H193" s="265"/>
      <c r="I193" s="265"/>
      <c r="J193" s="265"/>
      <c r="K193" s="265"/>
      <c r="L193" s="265"/>
      <c r="M193" s="265"/>
      <c r="N193" s="133">
        <f>IF(OR(A193="Автомат",A193="Дифавтомат"),IF(W193="","",COUNTIF(Однолинейка!$H$3:$H$1000,U193)),IF(A193="Аппарат",IF(C193="","",COUNTIF(Однолинейка!$I$3:$I$1000,C193)+COUNTIF(Однолинейка!$J$3:$J$1000,C193)+COUNTIF(Однолинейка!$K$3:$K$1000,C193)),IF(A193="Модуль",IF(C193="","",COUNTIFS(Однолинейка!$AW$3:$AW$1000,"?*",Однолинейка!$AI$3:$AI$1000,C193)),IF(A193="Клемма",IF(C193="","",IF(C193=$S$7,SUM(Однолинейка!$BW$3:$BW$1000),IF(C193=$S$8,SUM(Однолинейка!$BX$3:$BX$1000),""))),""))))</f>
      </c>
      <c r="O193" s="265"/>
      <c r="P193" s="133">
        <f>IF(COUNT(N193,O193)=0,"",SUM(N193,O193))</f>
      </c>
      <c r="U193" s="133">
        <f>IF(OR(A193="Автомат",A193="Дифавтомат"),I193&amp;" С"&amp;J193&amp;"А"&amp;IF(K193="да"," 30мА",""),"")</f>
      </c>
      <c r="V193" s="133">
        <f>IF(U193="","",B193&amp;"|"&amp;U193)</f>
      </c>
      <c r="W193" s="133">
        <f>IF(AND(U193&lt;&gt;"",OR($S$4="(все)",B193=$S$4),IF($S$4="(все)",COUNTIF($U$4:U193,U193),COUNTIFS($U$4:U193,U193,$B$4:B193,B193))=1),MAX($W$3:W192)+1,"")</f>
      </c>
      <c r="X193" s="133">
        <f>IFERROR(INDEX($U$4:$U$500,MATCH(ROW()-3,$W$4:$W$500,0)),"")</f>
      </c>
      <c r="Y193" s="133">
        <f>IF(AND(A193="Аппарат",C193&lt;&gt;"",OR($S$5="(все)",B193=$S$5)),MAX($Y$3:Y192)+1,"")</f>
      </c>
      <c r="Z193" s="133">
        <f>IFERROR(INDEX($C$4:$C$500,MATCH(ROW()-3,$Y$4:$Y$500,0)),"")</f>
      </c>
      <c r="AA193" s="133">
        <f>IF(AND(A193="Модуль",C193&lt;&gt;"",OR($S$6="(все)",B193=$S$6)),MAX($AA$3:AA192)+1,"")</f>
      </c>
      <c r="AB193" s="133">
        <f>IFERROR(INDEX($C$4:$C$500,MATCH(ROW()-3,$AA$4:$AA$500,0)),"")</f>
      </c>
      <c r="AC193" s="133">
        <f>IF(OR(B193="",COUNTIF($B$4:B193,B193)&gt;1),"",MAX($AC$3:AC192)+1)</f>
      </c>
      <c r="AD193" s="133">
        <f>IFERROR(INDEX($B$4:$B$500,MATCH(ROW()-3,$AC$4:$AC$500,0)),"")</f>
      </c>
      <c r="AE193" s="133">
        <f>IF(AND(A193&lt;&gt;"",N(P193)&gt;0),IFERROR(MATCH(A193,$R$12:$R$25,0),99)*1000+ROW(),"")</f>
      </c>
      <c r="AF193" s="133">
        <f>IF(AE193="","",COUNTIF($AE$4:$AE$500,"&lt;="&amp;AE193))</f>
      </c>
    </row>
    <row r="194">
      <c r="A194" s="265"/>
      <c r="B194" s="265"/>
      <c r="C194" s="265"/>
      <c r="D194" s="265"/>
      <c r="E194" s="265"/>
      <c r="F194" s="265"/>
      <c r="G194" s="265"/>
      <c r="H194" s="265"/>
      <c r="I194" s="265"/>
      <c r="J194" s="265"/>
      <c r="K194" s="265"/>
      <c r="L194" s="265"/>
      <c r="M194" s="265"/>
      <c r="N194" s="133">
        <f>IF(OR(A194="Автомат",A194="Дифавтомат"),IF(W194="","",COUNTIF(Однолинейка!$H$3:$H$1000,U194)),IF(A194="Аппарат",IF(C194="","",COUNTIF(Однолинейка!$I$3:$I$1000,C194)+COUNTIF(Однолинейка!$J$3:$J$1000,C194)+COUNTIF(Однолинейка!$K$3:$K$1000,C194)),IF(A194="Модуль",IF(C194="","",COUNTIFS(Однолинейка!$AW$3:$AW$1000,"?*",Однолинейка!$AI$3:$AI$1000,C194)),IF(A194="Клемма",IF(C194="","",IF(C194=$S$7,SUM(Однолинейка!$BW$3:$BW$1000),IF(C194=$S$8,SUM(Однолинейка!$BX$3:$BX$1000),""))),""))))</f>
      </c>
      <c r="O194" s="265"/>
      <c r="P194" s="133">
        <f>IF(COUNT(N194,O194)=0,"",SUM(N194,O194))</f>
      </c>
      <c r="U194" s="133">
        <f>IF(OR(A194="Автомат",A194="Дифавтомат"),I194&amp;" С"&amp;J194&amp;"А"&amp;IF(K194="да"," 30мА",""),"")</f>
      </c>
      <c r="V194" s="133">
        <f>IF(U194="","",B194&amp;"|"&amp;U194)</f>
      </c>
      <c r="W194" s="133">
        <f>IF(AND(U194&lt;&gt;"",OR($S$4="(все)",B194=$S$4),IF($S$4="(все)",COUNTIF($U$4:U194,U194),COUNTIFS($U$4:U194,U194,$B$4:B194,B194))=1),MAX($W$3:W193)+1,"")</f>
      </c>
      <c r="X194" s="133">
        <f>IFERROR(INDEX($U$4:$U$500,MATCH(ROW()-3,$W$4:$W$500,0)),"")</f>
      </c>
      <c r="Y194" s="133">
        <f>IF(AND(A194="Аппарат",C194&lt;&gt;"",OR($S$5="(все)",B194=$S$5)),MAX($Y$3:Y193)+1,"")</f>
      </c>
      <c r="Z194" s="133">
        <f>IFERROR(INDEX($C$4:$C$500,MATCH(ROW()-3,$Y$4:$Y$500,0)),"")</f>
      </c>
      <c r="AA194" s="133">
        <f>IF(AND(A194="Модуль",C194&lt;&gt;"",OR($S$6="(все)",B194=$S$6)),MAX($AA$3:AA193)+1,"")</f>
      </c>
      <c r="AB194" s="133">
        <f>IFERROR(INDEX($C$4:$C$500,MATCH(ROW()-3,$AA$4:$AA$500,0)),"")</f>
      </c>
      <c r="AC194" s="133">
        <f>IF(OR(B194="",COUNTIF($B$4:B194,B194)&gt;1),"",MAX($AC$3:AC193)+1)</f>
      </c>
      <c r="AD194" s="133">
        <f>IFERROR(INDEX($B$4:$B$500,MATCH(ROW()-3,$AC$4:$AC$500,0)),"")</f>
      </c>
      <c r="AE194" s="133">
        <f>IF(AND(A194&lt;&gt;"",N(P194)&gt;0),IFERROR(MATCH(A194,$R$12:$R$25,0),99)*1000+ROW(),"")</f>
      </c>
      <c r="AF194" s="133">
        <f>IF(AE194="","",COUNTIF($AE$4:$AE$500,"&lt;="&amp;AE194))</f>
      </c>
    </row>
    <row r="195">
      <c r="A195" s="265"/>
      <c r="B195" s="265"/>
      <c r="C195" s="265"/>
      <c r="D195" s="265"/>
      <c r="E195" s="265"/>
      <c r="F195" s="265"/>
      <c r="G195" s="265"/>
      <c r="H195" s="265"/>
      <c r="I195" s="265"/>
      <c r="J195" s="265"/>
      <c r="K195" s="265"/>
      <c r="L195" s="265"/>
      <c r="M195" s="265"/>
      <c r="N195" s="133">
        <f>IF(OR(A195="Автомат",A195="Дифавтомат"),IF(W195="","",COUNTIF(Однолинейка!$H$3:$H$1000,U195)),IF(A195="Аппарат",IF(C195="","",COUNTIF(Однолинейка!$I$3:$I$1000,C195)+COUNTIF(Однолинейка!$J$3:$J$1000,C195)+COUNTIF(Однолинейка!$K$3:$K$1000,C195)),IF(A195="Модуль",IF(C195="","",COUNTIFS(Однолинейка!$AW$3:$AW$1000,"?*",Однолинейка!$AI$3:$AI$1000,C195)),IF(A195="Клемма",IF(C195="","",IF(C195=$S$7,SUM(Однолинейка!$BW$3:$BW$1000),IF(C195=$S$8,SUM(Однолинейка!$BX$3:$BX$1000),""))),""))))</f>
      </c>
      <c r="O195" s="265"/>
      <c r="P195" s="133">
        <f>IF(COUNT(N195,O195)=0,"",SUM(N195,O195))</f>
      </c>
      <c r="U195" s="133">
        <f>IF(OR(A195="Автомат",A195="Дифавтомат"),I195&amp;" С"&amp;J195&amp;"А"&amp;IF(K195="да"," 30мА",""),"")</f>
      </c>
      <c r="V195" s="133">
        <f>IF(U195="","",B195&amp;"|"&amp;U195)</f>
      </c>
      <c r="W195" s="133">
        <f>IF(AND(U195&lt;&gt;"",OR($S$4="(все)",B195=$S$4),IF($S$4="(все)",COUNTIF($U$4:U195,U195),COUNTIFS($U$4:U195,U195,$B$4:B195,B195))=1),MAX($W$3:W194)+1,"")</f>
      </c>
      <c r="X195" s="133">
        <f>IFERROR(INDEX($U$4:$U$500,MATCH(ROW()-3,$W$4:$W$500,0)),"")</f>
      </c>
      <c r="Y195" s="133">
        <f>IF(AND(A195="Аппарат",C195&lt;&gt;"",OR($S$5="(все)",B195=$S$5)),MAX($Y$3:Y194)+1,"")</f>
      </c>
      <c r="Z195" s="133">
        <f>IFERROR(INDEX($C$4:$C$500,MATCH(ROW()-3,$Y$4:$Y$500,0)),"")</f>
      </c>
      <c r="AA195" s="133">
        <f>IF(AND(A195="Модуль",C195&lt;&gt;"",OR($S$6="(все)",B195=$S$6)),MAX($AA$3:AA194)+1,"")</f>
      </c>
      <c r="AB195" s="133">
        <f>IFERROR(INDEX($C$4:$C$500,MATCH(ROW()-3,$AA$4:$AA$500,0)),"")</f>
      </c>
      <c r="AC195" s="133">
        <f>IF(OR(B195="",COUNTIF($B$4:B195,B195)&gt;1),"",MAX($AC$3:AC194)+1)</f>
      </c>
      <c r="AD195" s="133">
        <f>IFERROR(INDEX($B$4:$B$500,MATCH(ROW()-3,$AC$4:$AC$500,0)),"")</f>
      </c>
      <c r="AE195" s="133">
        <f>IF(AND(A195&lt;&gt;"",N(P195)&gt;0),IFERROR(MATCH(A195,$R$12:$R$25,0),99)*1000+ROW(),"")</f>
      </c>
      <c r="AF195" s="133">
        <f>IF(AE195="","",COUNTIF($AE$4:$AE$500,"&lt;="&amp;AE195))</f>
      </c>
    </row>
    <row r="196">
      <c r="A196" s="265"/>
      <c r="B196" s="265"/>
      <c r="C196" s="265"/>
      <c r="D196" s="265"/>
      <c r="E196" s="265"/>
      <c r="F196" s="265"/>
      <c r="G196" s="265"/>
      <c r="H196" s="265"/>
      <c r="I196" s="265"/>
      <c r="J196" s="265"/>
      <c r="K196" s="265"/>
      <c r="L196" s="265"/>
      <c r="M196" s="265"/>
      <c r="N196" s="133">
        <f>IF(OR(A196="Автомат",A196="Дифавтомат"),IF(W196="","",COUNTIF(Однолинейка!$H$3:$H$1000,U196)),IF(A196="Аппарат",IF(C196="","",COUNTIF(Однолинейка!$I$3:$I$1000,C196)+COUNTIF(Однолинейка!$J$3:$J$1000,C196)+COUNTIF(Однолинейка!$K$3:$K$1000,C196)),IF(A196="Модуль",IF(C196="","",COUNTIFS(Однолинейка!$AW$3:$AW$1000,"?*",Однолинейка!$AI$3:$AI$1000,C196)),IF(A196="Клемма",IF(C196="","",IF(C196=$S$7,SUM(Однолинейка!$BW$3:$BW$1000),IF(C196=$S$8,SUM(Однолинейка!$BX$3:$BX$1000),""))),""))))</f>
      </c>
      <c r="O196" s="265"/>
      <c r="P196" s="133">
        <f>IF(COUNT(N196,O196)=0,"",SUM(N196,O196))</f>
      </c>
      <c r="U196" s="133">
        <f>IF(OR(A196="Автомат",A196="Дифавтомат"),I196&amp;" С"&amp;J196&amp;"А"&amp;IF(K196="да"," 30мА",""),"")</f>
      </c>
      <c r="V196" s="133">
        <f>IF(U196="","",B196&amp;"|"&amp;U196)</f>
      </c>
      <c r="W196" s="133">
        <f>IF(AND(U196&lt;&gt;"",OR($S$4="(все)",B196=$S$4),IF($S$4="(все)",COUNTIF($U$4:U196,U196),COUNTIFS($U$4:U196,U196,$B$4:B196,B196))=1),MAX($W$3:W195)+1,"")</f>
      </c>
      <c r="X196" s="133">
        <f>IFERROR(INDEX($U$4:$U$500,MATCH(ROW()-3,$W$4:$W$500,0)),"")</f>
      </c>
      <c r="Y196" s="133">
        <f>IF(AND(A196="Аппарат",C196&lt;&gt;"",OR($S$5="(все)",B196=$S$5)),MAX($Y$3:Y195)+1,"")</f>
      </c>
      <c r="Z196" s="133">
        <f>IFERROR(INDEX($C$4:$C$500,MATCH(ROW()-3,$Y$4:$Y$500,0)),"")</f>
      </c>
      <c r="AA196" s="133">
        <f>IF(AND(A196="Модуль",C196&lt;&gt;"",OR($S$6="(все)",B196=$S$6)),MAX($AA$3:AA195)+1,"")</f>
      </c>
      <c r="AB196" s="133">
        <f>IFERROR(INDEX($C$4:$C$500,MATCH(ROW()-3,$AA$4:$AA$500,0)),"")</f>
      </c>
      <c r="AC196" s="133">
        <f>IF(OR(B196="",COUNTIF($B$4:B196,B196)&gt;1),"",MAX($AC$3:AC195)+1)</f>
      </c>
      <c r="AD196" s="133">
        <f>IFERROR(INDEX($B$4:$B$500,MATCH(ROW()-3,$AC$4:$AC$500,0)),"")</f>
      </c>
      <c r="AE196" s="133">
        <f>IF(AND(A196&lt;&gt;"",N(P196)&gt;0),IFERROR(MATCH(A196,$R$12:$R$25,0),99)*1000+ROW(),"")</f>
      </c>
      <c r="AF196" s="133">
        <f>IF(AE196="","",COUNTIF($AE$4:$AE$500,"&lt;="&amp;AE196))</f>
      </c>
    </row>
    <row r="197">
      <c r="A197" s="265"/>
      <c r="B197" s="265"/>
      <c r="C197" s="265"/>
      <c r="D197" s="265"/>
      <c r="E197" s="265"/>
      <c r="F197" s="265"/>
      <c r="G197" s="265"/>
      <c r="H197" s="265"/>
      <c r="I197" s="265"/>
      <c r="J197" s="265"/>
      <c r="K197" s="265"/>
      <c r="L197" s="265"/>
      <c r="M197" s="265"/>
      <c r="N197" s="133">
        <f>IF(OR(A197="Автомат",A197="Дифавтомат"),IF(W197="","",COUNTIF(Однолинейка!$H$3:$H$1000,U197)),IF(A197="Аппарат",IF(C197="","",COUNTIF(Однолинейка!$I$3:$I$1000,C197)+COUNTIF(Однолинейка!$J$3:$J$1000,C197)+COUNTIF(Однолинейка!$K$3:$K$1000,C197)),IF(A197="Модуль",IF(C197="","",COUNTIFS(Однолинейка!$AW$3:$AW$1000,"?*",Однолинейка!$AI$3:$AI$1000,C197)),IF(A197="Клемма",IF(C197="","",IF(C197=$S$7,SUM(Однолинейка!$BW$3:$BW$1000),IF(C197=$S$8,SUM(Однолинейка!$BX$3:$BX$1000),""))),""))))</f>
      </c>
      <c r="O197" s="265"/>
      <c r="P197" s="133">
        <f>IF(COUNT(N197,O197)=0,"",SUM(N197,O197))</f>
      </c>
      <c r="U197" s="133">
        <f>IF(OR(A197="Автомат",A197="Дифавтомат"),I197&amp;" С"&amp;J197&amp;"А"&amp;IF(K197="да"," 30мА",""),"")</f>
      </c>
      <c r="V197" s="133">
        <f>IF(U197="","",B197&amp;"|"&amp;U197)</f>
      </c>
      <c r="W197" s="133">
        <f>IF(AND(U197&lt;&gt;"",OR($S$4="(все)",B197=$S$4),IF($S$4="(все)",COUNTIF($U$4:U197,U197),COUNTIFS($U$4:U197,U197,$B$4:B197,B197))=1),MAX($W$3:W196)+1,"")</f>
      </c>
      <c r="X197" s="133">
        <f>IFERROR(INDEX($U$4:$U$500,MATCH(ROW()-3,$W$4:$W$500,0)),"")</f>
      </c>
      <c r="Y197" s="133">
        <f>IF(AND(A197="Аппарат",C197&lt;&gt;"",OR($S$5="(все)",B197=$S$5)),MAX($Y$3:Y196)+1,"")</f>
      </c>
      <c r="Z197" s="133">
        <f>IFERROR(INDEX($C$4:$C$500,MATCH(ROW()-3,$Y$4:$Y$500,0)),"")</f>
      </c>
      <c r="AA197" s="133">
        <f>IF(AND(A197="Модуль",C197&lt;&gt;"",OR($S$6="(все)",B197=$S$6)),MAX($AA$3:AA196)+1,"")</f>
      </c>
      <c r="AB197" s="133">
        <f>IFERROR(INDEX($C$4:$C$500,MATCH(ROW()-3,$AA$4:$AA$500,0)),"")</f>
      </c>
      <c r="AC197" s="133">
        <f>IF(OR(B197="",COUNTIF($B$4:B197,B197)&gt;1),"",MAX($AC$3:AC196)+1)</f>
      </c>
      <c r="AD197" s="133">
        <f>IFERROR(INDEX($B$4:$B$500,MATCH(ROW()-3,$AC$4:$AC$500,0)),"")</f>
      </c>
      <c r="AE197" s="133">
        <f>IF(AND(A197&lt;&gt;"",N(P197)&gt;0),IFERROR(MATCH(A197,$R$12:$R$25,0),99)*1000+ROW(),"")</f>
      </c>
      <c r="AF197" s="133">
        <f>IF(AE197="","",COUNTIF($AE$4:$AE$500,"&lt;="&amp;AE197))</f>
      </c>
    </row>
    <row r="198">
      <c r="A198" s="265"/>
      <c r="B198" s="265"/>
      <c r="C198" s="265"/>
      <c r="D198" s="265"/>
      <c r="E198" s="265"/>
      <c r="F198" s="265"/>
      <c r="G198" s="265"/>
      <c r="H198" s="265"/>
      <c r="I198" s="265"/>
      <c r="J198" s="265"/>
      <c r="K198" s="265"/>
      <c r="L198" s="265"/>
      <c r="M198" s="265"/>
      <c r="N198" s="133">
        <f>IF(OR(A198="Автомат",A198="Дифавтомат"),IF(W198="","",COUNTIF(Однолинейка!$H$3:$H$1000,U198)),IF(A198="Аппарат",IF(C198="","",COUNTIF(Однолинейка!$I$3:$I$1000,C198)+COUNTIF(Однолинейка!$J$3:$J$1000,C198)+COUNTIF(Однолинейка!$K$3:$K$1000,C198)),IF(A198="Модуль",IF(C198="","",COUNTIFS(Однолинейка!$AW$3:$AW$1000,"?*",Однолинейка!$AI$3:$AI$1000,C198)),IF(A198="Клемма",IF(C198="","",IF(C198=$S$7,SUM(Однолинейка!$BW$3:$BW$1000),IF(C198=$S$8,SUM(Однолинейка!$BX$3:$BX$1000),""))),""))))</f>
      </c>
      <c r="O198" s="265"/>
      <c r="P198" s="133">
        <f>IF(COUNT(N198,O198)=0,"",SUM(N198,O198))</f>
      </c>
      <c r="U198" s="133">
        <f>IF(OR(A198="Автомат",A198="Дифавтомат"),I198&amp;" С"&amp;J198&amp;"А"&amp;IF(K198="да"," 30мА",""),"")</f>
      </c>
      <c r="V198" s="133">
        <f>IF(U198="","",B198&amp;"|"&amp;U198)</f>
      </c>
      <c r="W198" s="133">
        <f>IF(AND(U198&lt;&gt;"",OR($S$4="(все)",B198=$S$4),IF($S$4="(все)",COUNTIF($U$4:U198,U198),COUNTIFS($U$4:U198,U198,$B$4:B198,B198))=1),MAX($W$3:W197)+1,"")</f>
      </c>
      <c r="X198" s="133">
        <f>IFERROR(INDEX($U$4:$U$500,MATCH(ROW()-3,$W$4:$W$500,0)),"")</f>
      </c>
      <c r="Y198" s="133">
        <f>IF(AND(A198="Аппарат",C198&lt;&gt;"",OR($S$5="(все)",B198=$S$5)),MAX($Y$3:Y197)+1,"")</f>
      </c>
      <c r="Z198" s="133">
        <f>IFERROR(INDEX($C$4:$C$500,MATCH(ROW()-3,$Y$4:$Y$500,0)),"")</f>
      </c>
      <c r="AA198" s="133">
        <f>IF(AND(A198="Модуль",C198&lt;&gt;"",OR($S$6="(все)",B198=$S$6)),MAX($AA$3:AA197)+1,"")</f>
      </c>
      <c r="AB198" s="133">
        <f>IFERROR(INDEX($C$4:$C$500,MATCH(ROW()-3,$AA$4:$AA$500,0)),"")</f>
      </c>
      <c r="AC198" s="133">
        <f>IF(OR(B198="",COUNTIF($B$4:B198,B198)&gt;1),"",MAX($AC$3:AC197)+1)</f>
      </c>
      <c r="AD198" s="133">
        <f>IFERROR(INDEX($B$4:$B$500,MATCH(ROW()-3,$AC$4:$AC$500,0)),"")</f>
      </c>
      <c r="AE198" s="133">
        <f>IF(AND(A198&lt;&gt;"",N(P198)&gt;0),IFERROR(MATCH(A198,$R$12:$R$25,0),99)*1000+ROW(),"")</f>
      </c>
      <c r="AF198" s="133">
        <f>IF(AE198="","",COUNTIF($AE$4:$AE$500,"&lt;="&amp;AE198))</f>
      </c>
    </row>
    <row r="199">
      <c r="A199" s="265"/>
      <c r="B199" s="265"/>
      <c r="C199" s="265"/>
      <c r="D199" s="265"/>
      <c r="E199" s="265"/>
      <c r="F199" s="265"/>
      <c r="G199" s="265"/>
      <c r="H199" s="265"/>
      <c r="I199" s="265"/>
      <c r="J199" s="265"/>
      <c r="K199" s="265"/>
      <c r="L199" s="265"/>
      <c r="M199" s="265"/>
      <c r="N199" s="133">
        <f>IF(OR(A199="Автомат",A199="Дифавтомат"),IF(W199="","",COUNTIF(Однолинейка!$H$3:$H$1000,U199)),IF(A199="Аппарат",IF(C199="","",COUNTIF(Однолинейка!$I$3:$I$1000,C199)+COUNTIF(Однолинейка!$J$3:$J$1000,C199)+COUNTIF(Однолинейка!$K$3:$K$1000,C199)),IF(A199="Модуль",IF(C199="","",COUNTIFS(Однолинейка!$AW$3:$AW$1000,"?*",Однолинейка!$AI$3:$AI$1000,C199)),IF(A199="Клемма",IF(C199="","",IF(C199=$S$7,SUM(Однолинейка!$BW$3:$BW$1000),IF(C199=$S$8,SUM(Однолинейка!$BX$3:$BX$1000),""))),""))))</f>
      </c>
      <c r="O199" s="265"/>
      <c r="P199" s="133">
        <f>IF(COUNT(N199,O199)=0,"",SUM(N199,O199))</f>
      </c>
      <c r="U199" s="133">
        <f>IF(OR(A199="Автомат",A199="Дифавтомат"),I199&amp;" С"&amp;J199&amp;"А"&amp;IF(K199="да"," 30мА",""),"")</f>
      </c>
      <c r="V199" s="133">
        <f>IF(U199="","",B199&amp;"|"&amp;U199)</f>
      </c>
      <c r="W199" s="133">
        <f>IF(AND(U199&lt;&gt;"",OR($S$4="(все)",B199=$S$4),IF($S$4="(все)",COUNTIF($U$4:U199,U199),COUNTIFS($U$4:U199,U199,$B$4:B199,B199))=1),MAX($W$3:W198)+1,"")</f>
      </c>
      <c r="X199" s="133">
        <f>IFERROR(INDEX($U$4:$U$500,MATCH(ROW()-3,$W$4:$W$500,0)),"")</f>
      </c>
      <c r="Y199" s="133">
        <f>IF(AND(A199="Аппарат",C199&lt;&gt;"",OR($S$5="(все)",B199=$S$5)),MAX($Y$3:Y198)+1,"")</f>
      </c>
      <c r="Z199" s="133">
        <f>IFERROR(INDEX($C$4:$C$500,MATCH(ROW()-3,$Y$4:$Y$500,0)),"")</f>
      </c>
      <c r="AA199" s="133">
        <f>IF(AND(A199="Модуль",C199&lt;&gt;"",OR($S$6="(все)",B199=$S$6)),MAX($AA$3:AA198)+1,"")</f>
      </c>
      <c r="AB199" s="133">
        <f>IFERROR(INDEX($C$4:$C$500,MATCH(ROW()-3,$AA$4:$AA$500,0)),"")</f>
      </c>
      <c r="AC199" s="133">
        <f>IF(OR(B199="",COUNTIF($B$4:B199,B199)&gt;1),"",MAX($AC$3:AC198)+1)</f>
      </c>
      <c r="AD199" s="133">
        <f>IFERROR(INDEX($B$4:$B$500,MATCH(ROW()-3,$AC$4:$AC$500,0)),"")</f>
      </c>
      <c r="AE199" s="133">
        <f>IF(AND(A199&lt;&gt;"",N(P199)&gt;0),IFERROR(MATCH(A199,$R$12:$R$25,0),99)*1000+ROW(),"")</f>
      </c>
      <c r="AF199" s="133">
        <f>IF(AE199="","",COUNTIF($AE$4:$AE$500,"&lt;="&amp;AE199))</f>
      </c>
    </row>
    <row r="200">
      <c r="A200" s="265"/>
      <c r="B200" s="265"/>
      <c r="C200" s="265"/>
      <c r="D200" s="265"/>
      <c r="E200" s="265"/>
      <c r="F200" s="265"/>
      <c r="G200" s="265"/>
      <c r="H200" s="265"/>
      <c r="I200" s="265"/>
      <c r="J200" s="265"/>
      <c r="K200" s="265"/>
      <c r="L200" s="265"/>
      <c r="M200" s="265"/>
      <c r="N200" s="133">
        <f>IF(OR(A200="Автомат",A200="Дифавтомат"),IF(W200="","",COUNTIF(Однолинейка!$H$3:$H$1000,U200)),IF(A200="Аппарат",IF(C200="","",COUNTIF(Однолинейка!$I$3:$I$1000,C200)+COUNTIF(Однолинейка!$J$3:$J$1000,C200)+COUNTIF(Однолинейка!$K$3:$K$1000,C200)),IF(A200="Модуль",IF(C200="","",COUNTIFS(Однолинейка!$AW$3:$AW$1000,"?*",Однолинейка!$AI$3:$AI$1000,C200)),IF(A200="Клемма",IF(C200="","",IF(C200=$S$7,SUM(Однолинейка!$BW$3:$BW$1000),IF(C200=$S$8,SUM(Однолинейка!$BX$3:$BX$1000),""))),""))))</f>
      </c>
      <c r="O200" s="265"/>
      <c r="P200" s="133">
        <f>IF(COUNT(N200,O200)=0,"",SUM(N200,O200))</f>
      </c>
      <c r="U200" s="133">
        <f>IF(OR(A200="Автомат",A200="Дифавтомат"),I200&amp;" С"&amp;J200&amp;"А"&amp;IF(K200="да"," 30мА",""),"")</f>
      </c>
      <c r="V200" s="133">
        <f>IF(U200="","",B200&amp;"|"&amp;U200)</f>
      </c>
      <c r="W200" s="133">
        <f>IF(AND(U200&lt;&gt;"",OR($S$4="(все)",B200=$S$4),IF($S$4="(все)",COUNTIF($U$4:U200,U200),COUNTIFS($U$4:U200,U200,$B$4:B200,B200))=1),MAX($W$3:W199)+1,"")</f>
      </c>
      <c r="X200" s="133">
        <f>IFERROR(INDEX($U$4:$U$500,MATCH(ROW()-3,$W$4:$W$500,0)),"")</f>
      </c>
      <c r="Y200" s="133">
        <f>IF(AND(A200="Аппарат",C200&lt;&gt;"",OR($S$5="(все)",B200=$S$5)),MAX($Y$3:Y199)+1,"")</f>
      </c>
      <c r="Z200" s="133">
        <f>IFERROR(INDEX($C$4:$C$500,MATCH(ROW()-3,$Y$4:$Y$500,0)),"")</f>
      </c>
      <c r="AA200" s="133">
        <f>IF(AND(A200="Модуль",C200&lt;&gt;"",OR($S$6="(все)",B200=$S$6)),MAX($AA$3:AA199)+1,"")</f>
      </c>
      <c r="AB200" s="133">
        <f>IFERROR(INDEX($C$4:$C$500,MATCH(ROW()-3,$AA$4:$AA$500,0)),"")</f>
      </c>
      <c r="AC200" s="133">
        <f>IF(OR(B200="",COUNTIF($B$4:B200,B200)&gt;1),"",MAX($AC$3:AC199)+1)</f>
      </c>
      <c r="AD200" s="133">
        <f>IFERROR(INDEX($B$4:$B$500,MATCH(ROW()-3,$AC$4:$AC$500,0)),"")</f>
      </c>
      <c r="AE200" s="133">
        <f>IF(AND(A200&lt;&gt;"",N(P200)&gt;0),IFERROR(MATCH(A200,$R$12:$R$25,0),99)*1000+ROW(),"")</f>
      </c>
      <c r="AF200" s="133">
        <f>IF(AE200="","",COUNTIF($AE$4:$AE$500,"&lt;="&amp;AE200))</f>
      </c>
    </row>
    <row r="201">
      <c r="A201" s="265"/>
      <c r="B201" s="265"/>
      <c r="C201" s="265"/>
      <c r="D201" s="265"/>
      <c r="E201" s="265"/>
      <c r="F201" s="265"/>
      <c r="G201" s="265"/>
      <c r="H201" s="265"/>
      <c r="I201" s="265"/>
      <c r="J201" s="265"/>
      <c r="K201" s="265"/>
      <c r="L201" s="265"/>
      <c r="M201" s="265"/>
      <c r="N201" s="133">
        <f>IF(OR(A201="Автомат",A201="Дифавтомат"),IF(W201="","",COUNTIF(Однолинейка!$H$3:$H$1000,U201)),IF(A201="Аппарат",IF(C201="","",COUNTIF(Однолинейка!$I$3:$I$1000,C201)+COUNTIF(Однолинейка!$J$3:$J$1000,C201)+COUNTIF(Однолинейка!$K$3:$K$1000,C201)),IF(A201="Модуль",IF(C201="","",COUNTIFS(Однолинейка!$AW$3:$AW$1000,"?*",Однолинейка!$AI$3:$AI$1000,C201)),IF(A201="Клемма",IF(C201="","",IF(C201=$S$7,SUM(Однолинейка!$BW$3:$BW$1000),IF(C201=$S$8,SUM(Однолинейка!$BX$3:$BX$1000),""))),""))))</f>
      </c>
      <c r="O201" s="265"/>
      <c r="P201" s="133">
        <f>IF(COUNT(N201,O201)=0,"",SUM(N201,O201))</f>
      </c>
      <c r="U201" s="133">
        <f>IF(OR(A201="Автомат",A201="Дифавтомат"),I201&amp;" С"&amp;J201&amp;"А"&amp;IF(K201="да"," 30мА",""),"")</f>
      </c>
      <c r="V201" s="133">
        <f>IF(U201="","",B201&amp;"|"&amp;U201)</f>
      </c>
      <c r="W201" s="133">
        <f>IF(AND(U201&lt;&gt;"",OR($S$4="(все)",B201=$S$4),IF($S$4="(все)",COUNTIF($U$4:U201,U201),COUNTIFS($U$4:U201,U201,$B$4:B201,B201))=1),MAX($W$3:W200)+1,"")</f>
      </c>
      <c r="X201" s="133">
        <f>IFERROR(INDEX($U$4:$U$500,MATCH(ROW()-3,$W$4:$W$500,0)),"")</f>
      </c>
      <c r="Y201" s="133">
        <f>IF(AND(A201="Аппарат",C201&lt;&gt;"",OR($S$5="(все)",B201=$S$5)),MAX($Y$3:Y200)+1,"")</f>
      </c>
      <c r="Z201" s="133">
        <f>IFERROR(INDEX($C$4:$C$500,MATCH(ROW()-3,$Y$4:$Y$500,0)),"")</f>
      </c>
      <c r="AA201" s="133">
        <f>IF(AND(A201="Модуль",C201&lt;&gt;"",OR($S$6="(все)",B201=$S$6)),MAX($AA$3:AA200)+1,"")</f>
      </c>
      <c r="AB201" s="133">
        <f>IFERROR(INDEX($C$4:$C$500,MATCH(ROW()-3,$AA$4:$AA$500,0)),"")</f>
      </c>
      <c r="AC201" s="133">
        <f>IF(OR(B201="",COUNTIF($B$4:B201,B201)&gt;1),"",MAX($AC$3:AC200)+1)</f>
      </c>
      <c r="AD201" s="133">
        <f>IFERROR(INDEX($B$4:$B$500,MATCH(ROW()-3,$AC$4:$AC$500,0)),"")</f>
      </c>
      <c r="AE201" s="133">
        <f>IF(AND(A201&lt;&gt;"",N(P201)&gt;0),IFERROR(MATCH(A201,$R$12:$R$25,0),99)*1000+ROW(),"")</f>
      </c>
      <c r="AF201" s="133">
        <f>IF(AE201="","",COUNTIF($AE$4:$AE$500,"&lt;="&amp;AE201))</f>
      </c>
    </row>
    <row r="202">
      <c r="A202" s="265"/>
      <c r="B202" s="265"/>
      <c r="C202" s="265"/>
      <c r="D202" s="265"/>
      <c r="E202" s="265"/>
      <c r="F202" s="265"/>
      <c r="G202" s="265"/>
      <c r="H202" s="265"/>
      <c r="I202" s="265"/>
      <c r="J202" s="265"/>
      <c r="K202" s="265"/>
      <c r="L202" s="265"/>
      <c r="M202" s="265"/>
      <c r="N202" s="133">
        <f>IF(OR(A202="Автомат",A202="Дифавтомат"),IF(W202="","",COUNTIF(Однолинейка!$H$3:$H$1000,U202)),IF(A202="Аппарат",IF(C202="","",COUNTIF(Однолинейка!$I$3:$I$1000,C202)+COUNTIF(Однолинейка!$J$3:$J$1000,C202)+COUNTIF(Однолинейка!$K$3:$K$1000,C202)),IF(A202="Модуль",IF(C202="","",COUNTIFS(Однолинейка!$AW$3:$AW$1000,"?*",Однолинейка!$AI$3:$AI$1000,C202)),IF(A202="Клемма",IF(C202="","",IF(C202=$S$7,SUM(Однолинейка!$BW$3:$BW$1000),IF(C202=$S$8,SUM(Однолинейка!$BX$3:$BX$1000),""))),""))))</f>
      </c>
      <c r="O202" s="265"/>
      <c r="P202" s="133">
        <f>IF(COUNT(N202,O202)=0,"",SUM(N202,O202))</f>
      </c>
      <c r="U202" s="133">
        <f>IF(OR(A202="Автомат",A202="Дифавтомат"),I202&amp;" С"&amp;J202&amp;"А"&amp;IF(K202="да"," 30мА",""),"")</f>
      </c>
      <c r="V202" s="133">
        <f>IF(U202="","",B202&amp;"|"&amp;U202)</f>
      </c>
      <c r="W202" s="133">
        <f>IF(AND(U202&lt;&gt;"",OR($S$4="(все)",B202=$S$4),IF($S$4="(все)",COUNTIF($U$4:U202,U202),COUNTIFS($U$4:U202,U202,$B$4:B202,B202))=1),MAX($W$3:W201)+1,"")</f>
      </c>
      <c r="X202" s="133">
        <f>IFERROR(INDEX($U$4:$U$500,MATCH(ROW()-3,$W$4:$W$500,0)),"")</f>
      </c>
      <c r="Y202" s="133">
        <f>IF(AND(A202="Аппарат",C202&lt;&gt;"",OR($S$5="(все)",B202=$S$5)),MAX($Y$3:Y201)+1,"")</f>
      </c>
      <c r="Z202" s="133">
        <f>IFERROR(INDEX($C$4:$C$500,MATCH(ROW()-3,$Y$4:$Y$500,0)),"")</f>
      </c>
      <c r="AA202" s="133">
        <f>IF(AND(A202="Модуль",C202&lt;&gt;"",OR($S$6="(все)",B202=$S$6)),MAX($AA$3:AA201)+1,"")</f>
      </c>
      <c r="AB202" s="133">
        <f>IFERROR(INDEX($C$4:$C$500,MATCH(ROW()-3,$AA$4:$AA$500,0)),"")</f>
      </c>
      <c r="AC202" s="133">
        <f>IF(OR(B202="",COUNTIF($B$4:B202,B202)&gt;1),"",MAX($AC$3:AC201)+1)</f>
      </c>
      <c r="AD202" s="133">
        <f>IFERROR(INDEX($B$4:$B$500,MATCH(ROW()-3,$AC$4:$AC$500,0)),"")</f>
      </c>
      <c r="AE202" s="133">
        <f>IF(AND(A202&lt;&gt;"",N(P202)&gt;0),IFERROR(MATCH(A202,$R$12:$R$25,0),99)*1000+ROW(),"")</f>
      </c>
      <c r="AF202" s="133">
        <f>IF(AE202="","",COUNTIF($AE$4:$AE$500,"&lt;="&amp;AE202))</f>
      </c>
    </row>
    <row r="203">
      <c r="A203" s="265"/>
      <c r="B203" s="265"/>
      <c r="C203" s="265"/>
      <c r="D203" s="265"/>
      <c r="E203" s="265"/>
      <c r="F203" s="265"/>
      <c r="G203" s="265"/>
      <c r="H203" s="265"/>
      <c r="I203" s="265"/>
      <c r="J203" s="265"/>
      <c r="K203" s="265"/>
      <c r="L203" s="265"/>
      <c r="M203" s="265"/>
      <c r="N203" s="133">
        <f>IF(OR(A203="Автомат",A203="Дифавтомат"),IF(W203="","",COUNTIF(Однолинейка!$H$3:$H$1000,U203)),IF(A203="Аппарат",IF(C203="","",COUNTIF(Однолинейка!$I$3:$I$1000,C203)+COUNTIF(Однолинейка!$J$3:$J$1000,C203)+COUNTIF(Однолинейка!$K$3:$K$1000,C203)),IF(A203="Модуль",IF(C203="","",COUNTIFS(Однолинейка!$AW$3:$AW$1000,"?*",Однолинейка!$AI$3:$AI$1000,C203)),IF(A203="Клемма",IF(C203="","",IF(C203=$S$7,SUM(Однолинейка!$BW$3:$BW$1000),IF(C203=$S$8,SUM(Однолинейка!$BX$3:$BX$1000),""))),""))))</f>
      </c>
      <c r="O203" s="265"/>
      <c r="P203" s="133">
        <f>IF(COUNT(N203,O203)=0,"",SUM(N203,O203))</f>
      </c>
      <c r="U203" s="133">
        <f>IF(OR(A203="Автомат",A203="Дифавтомат"),I203&amp;" С"&amp;J203&amp;"А"&amp;IF(K203="да"," 30мА",""),"")</f>
      </c>
      <c r="V203" s="133">
        <f>IF(U203="","",B203&amp;"|"&amp;U203)</f>
      </c>
      <c r="W203" s="133">
        <f>IF(AND(U203&lt;&gt;"",OR($S$4="(все)",B203=$S$4),IF($S$4="(все)",COUNTIF($U$4:U203,U203),COUNTIFS($U$4:U203,U203,$B$4:B203,B203))=1),MAX($W$3:W202)+1,"")</f>
      </c>
      <c r="X203" s="133">
        <f>IFERROR(INDEX($U$4:$U$500,MATCH(ROW()-3,$W$4:$W$500,0)),"")</f>
      </c>
      <c r="Y203" s="133">
        <f>IF(AND(A203="Аппарат",C203&lt;&gt;"",OR($S$5="(все)",B203=$S$5)),MAX($Y$3:Y202)+1,"")</f>
      </c>
      <c r="Z203" s="133">
        <f>IFERROR(INDEX($C$4:$C$500,MATCH(ROW()-3,$Y$4:$Y$500,0)),"")</f>
      </c>
      <c r="AA203" s="133">
        <f>IF(AND(A203="Модуль",C203&lt;&gt;"",OR($S$6="(все)",B203=$S$6)),MAX($AA$3:AA202)+1,"")</f>
      </c>
      <c r="AB203" s="133">
        <f>IFERROR(INDEX($C$4:$C$500,MATCH(ROW()-3,$AA$4:$AA$500,0)),"")</f>
      </c>
      <c r="AC203" s="133">
        <f>IF(OR(B203="",COUNTIF($B$4:B203,B203)&gt;1),"",MAX($AC$3:AC202)+1)</f>
      </c>
      <c r="AD203" s="133">
        <f>IFERROR(INDEX($B$4:$B$500,MATCH(ROW()-3,$AC$4:$AC$500,0)),"")</f>
      </c>
      <c r="AE203" s="133">
        <f>IF(AND(A203&lt;&gt;"",N(P203)&gt;0),IFERROR(MATCH(A203,$R$12:$R$25,0),99)*1000+ROW(),"")</f>
      </c>
      <c r="AF203" s="133">
        <f>IF(AE203="","",COUNTIF($AE$4:$AE$500,"&lt;="&amp;AE203))</f>
      </c>
    </row>
    <row r="204">
      <c r="A204" s="265"/>
      <c r="B204" s="265"/>
      <c r="C204" s="265"/>
      <c r="D204" s="265"/>
      <c r="E204" s="265"/>
      <c r="F204" s="265"/>
      <c r="G204" s="265"/>
      <c r="H204" s="265"/>
      <c r="I204" s="265"/>
      <c r="J204" s="265"/>
      <c r="K204" s="265"/>
      <c r="L204" s="265"/>
      <c r="M204" s="265"/>
      <c r="N204" s="133">
        <f>IF(OR(A204="Автомат",A204="Дифавтомат"),IF(W204="","",COUNTIF(Однолинейка!$H$3:$H$1000,U204)),IF(A204="Аппарат",IF(C204="","",COUNTIF(Однолинейка!$I$3:$I$1000,C204)+COUNTIF(Однолинейка!$J$3:$J$1000,C204)+COUNTIF(Однолинейка!$K$3:$K$1000,C204)),IF(A204="Модуль",IF(C204="","",COUNTIFS(Однолинейка!$AW$3:$AW$1000,"?*",Однолинейка!$AI$3:$AI$1000,C204)),IF(A204="Клемма",IF(C204="","",IF(C204=$S$7,SUM(Однолинейка!$BW$3:$BW$1000),IF(C204=$S$8,SUM(Однолинейка!$BX$3:$BX$1000),""))),""))))</f>
      </c>
      <c r="O204" s="265"/>
      <c r="P204" s="133">
        <f>IF(COUNT(N204,O204)=0,"",SUM(N204,O204))</f>
      </c>
      <c r="U204" s="133">
        <f>IF(OR(A204="Автомат",A204="Дифавтомат"),I204&amp;" С"&amp;J204&amp;"А"&amp;IF(K204="да"," 30мА",""),"")</f>
      </c>
      <c r="V204" s="133">
        <f>IF(U204="","",B204&amp;"|"&amp;U204)</f>
      </c>
      <c r="W204" s="133">
        <f>IF(AND(U204&lt;&gt;"",OR($S$4="(все)",B204=$S$4),IF($S$4="(все)",COUNTIF($U$4:U204,U204),COUNTIFS($U$4:U204,U204,$B$4:B204,B204))=1),MAX($W$3:W203)+1,"")</f>
      </c>
      <c r="X204" s="133">
        <f>IFERROR(INDEX($U$4:$U$500,MATCH(ROW()-3,$W$4:$W$500,0)),"")</f>
      </c>
      <c r="Y204" s="133">
        <f>IF(AND(A204="Аппарат",C204&lt;&gt;"",OR($S$5="(все)",B204=$S$5)),MAX($Y$3:Y203)+1,"")</f>
      </c>
      <c r="Z204" s="133">
        <f>IFERROR(INDEX($C$4:$C$500,MATCH(ROW()-3,$Y$4:$Y$500,0)),"")</f>
      </c>
      <c r="AA204" s="133">
        <f>IF(AND(A204="Модуль",C204&lt;&gt;"",OR($S$6="(все)",B204=$S$6)),MAX($AA$3:AA203)+1,"")</f>
      </c>
      <c r="AB204" s="133">
        <f>IFERROR(INDEX($C$4:$C$500,MATCH(ROW()-3,$AA$4:$AA$500,0)),"")</f>
      </c>
      <c r="AC204" s="133">
        <f>IF(OR(B204="",COUNTIF($B$4:B204,B204)&gt;1),"",MAX($AC$3:AC203)+1)</f>
      </c>
      <c r="AD204" s="133">
        <f>IFERROR(INDEX($B$4:$B$500,MATCH(ROW()-3,$AC$4:$AC$500,0)),"")</f>
      </c>
      <c r="AE204" s="133">
        <f>IF(AND(A204&lt;&gt;"",N(P204)&gt;0),IFERROR(MATCH(A204,$R$12:$R$25,0),99)*1000+ROW(),"")</f>
      </c>
      <c r="AF204" s="133">
        <f>IF(AE204="","",COUNTIF($AE$4:$AE$500,"&lt;="&amp;AE204))</f>
      </c>
    </row>
    <row r="205">
      <c r="A205" s="265"/>
      <c r="B205" s="265"/>
      <c r="C205" s="265"/>
      <c r="D205" s="265"/>
      <c r="E205" s="265"/>
      <c r="F205" s="265"/>
      <c r="G205" s="265"/>
      <c r="H205" s="265"/>
      <c r="I205" s="265"/>
      <c r="J205" s="265"/>
      <c r="K205" s="265"/>
      <c r="L205" s="265"/>
      <c r="M205" s="265"/>
      <c r="N205" s="133">
        <f>IF(OR(A205="Автомат",A205="Дифавтомат"),IF(W205="","",COUNTIF(Однолинейка!$H$3:$H$1000,U205)),IF(A205="Аппарат",IF(C205="","",COUNTIF(Однолинейка!$I$3:$I$1000,C205)+COUNTIF(Однолинейка!$J$3:$J$1000,C205)+COUNTIF(Однолинейка!$K$3:$K$1000,C205)),IF(A205="Модуль",IF(C205="","",COUNTIFS(Однолинейка!$AW$3:$AW$1000,"?*",Однолинейка!$AI$3:$AI$1000,C205)),IF(A205="Клемма",IF(C205="","",IF(C205=$S$7,SUM(Однолинейка!$BW$3:$BW$1000),IF(C205=$S$8,SUM(Однолинейка!$BX$3:$BX$1000),""))),""))))</f>
      </c>
      <c r="O205" s="265"/>
      <c r="P205" s="133">
        <f>IF(COUNT(N205,O205)=0,"",SUM(N205,O205))</f>
      </c>
      <c r="U205" s="133">
        <f>IF(OR(A205="Автомат",A205="Дифавтомат"),I205&amp;" С"&amp;J205&amp;"А"&amp;IF(K205="да"," 30мА",""),"")</f>
      </c>
      <c r="V205" s="133">
        <f>IF(U205="","",B205&amp;"|"&amp;U205)</f>
      </c>
      <c r="W205" s="133">
        <f>IF(AND(U205&lt;&gt;"",OR($S$4="(все)",B205=$S$4),IF($S$4="(все)",COUNTIF($U$4:U205,U205),COUNTIFS($U$4:U205,U205,$B$4:B205,B205))=1),MAX($W$3:W204)+1,"")</f>
      </c>
      <c r="X205" s="133">
        <f>IFERROR(INDEX($U$4:$U$500,MATCH(ROW()-3,$W$4:$W$500,0)),"")</f>
      </c>
      <c r="Y205" s="133">
        <f>IF(AND(A205="Аппарат",C205&lt;&gt;"",OR($S$5="(все)",B205=$S$5)),MAX($Y$3:Y204)+1,"")</f>
      </c>
      <c r="Z205" s="133">
        <f>IFERROR(INDEX($C$4:$C$500,MATCH(ROW()-3,$Y$4:$Y$500,0)),"")</f>
      </c>
      <c r="AA205" s="133">
        <f>IF(AND(A205="Модуль",C205&lt;&gt;"",OR($S$6="(все)",B205=$S$6)),MAX($AA$3:AA204)+1,"")</f>
      </c>
      <c r="AB205" s="133">
        <f>IFERROR(INDEX($C$4:$C$500,MATCH(ROW()-3,$AA$4:$AA$500,0)),"")</f>
      </c>
      <c r="AC205" s="133">
        <f>IF(OR(B205="",COUNTIF($B$4:B205,B205)&gt;1),"",MAX($AC$3:AC204)+1)</f>
      </c>
      <c r="AD205" s="133">
        <f>IFERROR(INDEX($B$4:$B$500,MATCH(ROW()-3,$AC$4:$AC$500,0)),"")</f>
      </c>
      <c r="AE205" s="133">
        <f>IF(AND(A205&lt;&gt;"",N(P205)&gt;0),IFERROR(MATCH(A205,$R$12:$R$25,0),99)*1000+ROW(),"")</f>
      </c>
      <c r="AF205" s="133">
        <f>IF(AE205="","",COUNTIF($AE$4:$AE$500,"&lt;="&amp;AE205))</f>
      </c>
    </row>
    <row r="206">
      <c r="A206" s="265"/>
      <c r="B206" s="265"/>
      <c r="C206" s="265"/>
      <c r="D206" s="265"/>
      <c r="E206" s="265"/>
      <c r="F206" s="265"/>
      <c r="G206" s="265"/>
      <c r="H206" s="265"/>
      <c r="I206" s="265"/>
      <c r="J206" s="265"/>
      <c r="K206" s="265"/>
      <c r="L206" s="265"/>
      <c r="M206" s="265"/>
      <c r="N206" s="133">
        <f>IF(OR(A206="Автомат",A206="Дифавтомат"),IF(W206="","",COUNTIF(Однолинейка!$H$3:$H$1000,U206)),IF(A206="Аппарат",IF(C206="","",COUNTIF(Однолинейка!$I$3:$I$1000,C206)+COUNTIF(Однолинейка!$J$3:$J$1000,C206)+COUNTIF(Однолинейка!$K$3:$K$1000,C206)),IF(A206="Модуль",IF(C206="","",COUNTIFS(Однолинейка!$AW$3:$AW$1000,"?*",Однолинейка!$AI$3:$AI$1000,C206)),IF(A206="Клемма",IF(C206="","",IF(C206=$S$7,SUM(Однолинейка!$BW$3:$BW$1000),IF(C206=$S$8,SUM(Однолинейка!$BX$3:$BX$1000),""))),""))))</f>
      </c>
      <c r="O206" s="265"/>
      <c r="P206" s="133">
        <f>IF(COUNT(N206,O206)=0,"",SUM(N206,O206))</f>
      </c>
      <c r="U206" s="133">
        <f>IF(OR(A206="Автомат",A206="Дифавтомат"),I206&amp;" С"&amp;J206&amp;"А"&amp;IF(K206="да"," 30мА",""),"")</f>
      </c>
      <c r="V206" s="133">
        <f>IF(U206="","",B206&amp;"|"&amp;U206)</f>
      </c>
      <c r="W206" s="133">
        <f>IF(AND(U206&lt;&gt;"",OR($S$4="(все)",B206=$S$4),IF($S$4="(все)",COUNTIF($U$4:U206,U206),COUNTIFS($U$4:U206,U206,$B$4:B206,B206))=1),MAX($W$3:W205)+1,"")</f>
      </c>
      <c r="X206" s="133">
        <f>IFERROR(INDEX($U$4:$U$500,MATCH(ROW()-3,$W$4:$W$500,0)),"")</f>
      </c>
      <c r="Y206" s="133">
        <f>IF(AND(A206="Аппарат",C206&lt;&gt;"",OR($S$5="(все)",B206=$S$5)),MAX($Y$3:Y205)+1,"")</f>
      </c>
      <c r="Z206" s="133">
        <f>IFERROR(INDEX($C$4:$C$500,MATCH(ROW()-3,$Y$4:$Y$500,0)),"")</f>
      </c>
      <c r="AA206" s="133">
        <f>IF(AND(A206="Модуль",C206&lt;&gt;"",OR($S$6="(все)",B206=$S$6)),MAX($AA$3:AA205)+1,"")</f>
      </c>
      <c r="AB206" s="133">
        <f>IFERROR(INDEX($C$4:$C$500,MATCH(ROW()-3,$AA$4:$AA$500,0)),"")</f>
      </c>
      <c r="AC206" s="133">
        <f>IF(OR(B206="",COUNTIF($B$4:B206,B206)&gt;1),"",MAX($AC$3:AC205)+1)</f>
      </c>
      <c r="AD206" s="133">
        <f>IFERROR(INDEX($B$4:$B$500,MATCH(ROW()-3,$AC$4:$AC$500,0)),"")</f>
      </c>
      <c r="AE206" s="133">
        <f>IF(AND(A206&lt;&gt;"",N(P206)&gt;0),IFERROR(MATCH(A206,$R$12:$R$25,0),99)*1000+ROW(),"")</f>
      </c>
      <c r="AF206" s="133">
        <f>IF(AE206="","",COUNTIF($AE$4:$AE$500,"&lt;="&amp;AE206))</f>
      </c>
    </row>
    <row r="207">
      <c r="A207" s="265"/>
      <c r="B207" s="265"/>
      <c r="C207" s="265"/>
      <c r="D207" s="265"/>
      <c r="E207" s="265"/>
      <c r="F207" s="265"/>
      <c r="G207" s="265"/>
      <c r="H207" s="265"/>
      <c r="I207" s="265"/>
      <c r="J207" s="265"/>
      <c r="K207" s="265"/>
      <c r="L207" s="265"/>
      <c r="M207" s="265"/>
      <c r="N207" s="133">
        <f>IF(OR(A207="Автомат",A207="Дифавтомат"),IF(W207="","",COUNTIF(Однолинейка!$H$3:$H$1000,U207)),IF(A207="Аппарат",IF(C207="","",COUNTIF(Однолинейка!$I$3:$I$1000,C207)+COUNTIF(Однолинейка!$J$3:$J$1000,C207)+COUNTIF(Однолинейка!$K$3:$K$1000,C207)),IF(A207="Модуль",IF(C207="","",COUNTIFS(Однолинейка!$AW$3:$AW$1000,"?*",Однолинейка!$AI$3:$AI$1000,C207)),IF(A207="Клемма",IF(C207="","",IF(C207=$S$7,SUM(Однолинейка!$BW$3:$BW$1000),IF(C207=$S$8,SUM(Однолинейка!$BX$3:$BX$1000),""))),""))))</f>
      </c>
      <c r="O207" s="265"/>
      <c r="P207" s="133">
        <f>IF(COUNT(N207,O207)=0,"",SUM(N207,O207))</f>
      </c>
      <c r="U207" s="133">
        <f>IF(OR(A207="Автомат",A207="Дифавтомат"),I207&amp;" С"&amp;J207&amp;"А"&amp;IF(K207="да"," 30мА",""),"")</f>
      </c>
      <c r="V207" s="133">
        <f>IF(U207="","",B207&amp;"|"&amp;U207)</f>
      </c>
      <c r="W207" s="133">
        <f>IF(AND(U207&lt;&gt;"",OR($S$4="(все)",B207=$S$4),IF($S$4="(все)",COUNTIF($U$4:U207,U207),COUNTIFS($U$4:U207,U207,$B$4:B207,B207))=1),MAX($W$3:W206)+1,"")</f>
      </c>
      <c r="X207" s="133">
        <f>IFERROR(INDEX($U$4:$U$500,MATCH(ROW()-3,$W$4:$W$500,0)),"")</f>
      </c>
      <c r="Y207" s="133">
        <f>IF(AND(A207="Аппарат",C207&lt;&gt;"",OR($S$5="(все)",B207=$S$5)),MAX($Y$3:Y206)+1,"")</f>
      </c>
      <c r="Z207" s="133">
        <f>IFERROR(INDEX($C$4:$C$500,MATCH(ROW()-3,$Y$4:$Y$500,0)),"")</f>
      </c>
      <c r="AA207" s="133">
        <f>IF(AND(A207="Модуль",C207&lt;&gt;"",OR($S$6="(все)",B207=$S$6)),MAX($AA$3:AA206)+1,"")</f>
      </c>
      <c r="AB207" s="133">
        <f>IFERROR(INDEX($C$4:$C$500,MATCH(ROW()-3,$AA$4:$AA$500,0)),"")</f>
      </c>
      <c r="AC207" s="133">
        <f>IF(OR(B207="",COUNTIF($B$4:B207,B207)&gt;1),"",MAX($AC$3:AC206)+1)</f>
      </c>
      <c r="AD207" s="133">
        <f>IFERROR(INDEX($B$4:$B$500,MATCH(ROW()-3,$AC$4:$AC$500,0)),"")</f>
      </c>
      <c r="AE207" s="133">
        <f>IF(AND(A207&lt;&gt;"",N(P207)&gt;0),IFERROR(MATCH(A207,$R$12:$R$25,0),99)*1000+ROW(),"")</f>
      </c>
      <c r="AF207" s="133">
        <f>IF(AE207="","",COUNTIF($AE$4:$AE$500,"&lt;="&amp;AE207))</f>
      </c>
    </row>
    <row r="208">
      <c r="A208" s="265"/>
      <c r="B208" s="265"/>
      <c r="C208" s="265"/>
      <c r="D208" s="265"/>
      <c r="E208" s="265"/>
      <c r="F208" s="265"/>
      <c r="G208" s="265"/>
      <c r="H208" s="265"/>
      <c r="I208" s="265"/>
      <c r="J208" s="265"/>
      <c r="K208" s="265"/>
      <c r="L208" s="265"/>
      <c r="M208" s="265"/>
      <c r="N208" s="133">
        <f>IF(OR(A208="Автомат",A208="Дифавтомат"),IF(W208="","",COUNTIF(Однолинейка!$H$3:$H$1000,U208)),IF(A208="Аппарат",IF(C208="","",COUNTIF(Однолинейка!$I$3:$I$1000,C208)+COUNTIF(Однолинейка!$J$3:$J$1000,C208)+COUNTIF(Однолинейка!$K$3:$K$1000,C208)),IF(A208="Модуль",IF(C208="","",COUNTIFS(Однолинейка!$AW$3:$AW$1000,"?*",Однолинейка!$AI$3:$AI$1000,C208)),IF(A208="Клемма",IF(C208="","",IF(C208=$S$7,SUM(Однолинейка!$BW$3:$BW$1000),IF(C208=$S$8,SUM(Однолинейка!$BX$3:$BX$1000),""))),""))))</f>
      </c>
      <c r="O208" s="265"/>
      <c r="P208" s="133">
        <f>IF(COUNT(N208,O208)=0,"",SUM(N208,O208))</f>
      </c>
      <c r="U208" s="133">
        <f>IF(OR(A208="Автомат",A208="Дифавтомат"),I208&amp;" С"&amp;J208&amp;"А"&amp;IF(K208="да"," 30мА",""),"")</f>
      </c>
      <c r="V208" s="133">
        <f>IF(U208="","",B208&amp;"|"&amp;U208)</f>
      </c>
      <c r="W208" s="133">
        <f>IF(AND(U208&lt;&gt;"",OR($S$4="(все)",B208=$S$4),IF($S$4="(все)",COUNTIF($U$4:U208,U208),COUNTIFS($U$4:U208,U208,$B$4:B208,B208))=1),MAX($W$3:W207)+1,"")</f>
      </c>
      <c r="X208" s="133">
        <f>IFERROR(INDEX($U$4:$U$500,MATCH(ROW()-3,$W$4:$W$500,0)),"")</f>
      </c>
      <c r="Y208" s="133">
        <f>IF(AND(A208="Аппарат",C208&lt;&gt;"",OR($S$5="(все)",B208=$S$5)),MAX($Y$3:Y207)+1,"")</f>
      </c>
      <c r="Z208" s="133">
        <f>IFERROR(INDEX($C$4:$C$500,MATCH(ROW()-3,$Y$4:$Y$500,0)),"")</f>
      </c>
      <c r="AA208" s="133">
        <f>IF(AND(A208="Модуль",C208&lt;&gt;"",OR($S$6="(все)",B208=$S$6)),MAX($AA$3:AA207)+1,"")</f>
      </c>
      <c r="AB208" s="133">
        <f>IFERROR(INDEX($C$4:$C$500,MATCH(ROW()-3,$AA$4:$AA$500,0)),"")</f>
      </c>
      <c r="AC208" s="133">
        <f>IF(OR(B208="",COUNTIF($B$4:B208,B208)&gt;1),"",MAX($AC$3:AC207)+1)</f>
      </c>
      <c r="AD208" s="133">
        <f>IFERROR(INDEX($B$4:$B$500,MATCH(ROW()-3,$AC$4:$AC$500,0)),"")</f>
      </c>
      <c r="AE208" s="133">
        <f>IF(AND(A208&lt;&gt;"",N(P208)&gt;0),IFERROR(MATCH(A208,$R$12:$R$25,0),99)*1000+ROW(),"")</f>
      </c>
      <c r="AF208" s="133">
        <f>IF(AE208="","",COUNTIF($AE$4:$AE$500,"&lt;="&amp;AE208))</f>
      </c>
    </row>
    <row r="209">
      <c r="A209" s="265"/>
      <c r="B209" s="265"/>
      <c r="C209" s="265"/>
      <c r="D209" s="265"/>
      <c r="E209" s="265"/>
      <c r="F209" s="265"/>
      <c r="G209" s="265"/>
      <c r="H209" s="265"/>
      <c r="I209" s="265"/>
      <c r="J209" s="265"/>
      <c r="K209" s="265"/>
      <c r="L209" s="265"/>
      <c r="M209" s="265"/>
      <c r="N209" s="133">
        <f>IF(OR(A209="Автомат",A209="Дифавтомат"),IF(W209="","",COUNTIF(Однолинейка!$H$3:$H$1000,U209)),IF(A209="Аппарат",IF(C209="","",COUNTIF(Однолинейка!$I$3:$I$1000,C209)+COUNTIF(Однолинейка!$J$3:$J$1000,C209)+COUNTIF(Однолинейка!$K$3:$K$1000,C209)),IF(A209="Модуль",IF(C209="","",COUNTIFS(Однолинейка!$AW$3:$AW$1000,"?*",Однолинейка!$AI$3:$AI$1000,C209)),IF(A209="Клемма",IF(C209="","",IF(C209=$S$7,SUM(Однолинейка!$BW$3:$BW$1000),IF(C209=$S$8,SUM(Однолинейка!$BX$3:$BX$1000),""))),""))))</f>
      </c>
      <c r="O209" s="265"/>
      <c r="P209" s="133">
        <f>IF(COUNT(N209,O209)=0,"",SUM(N209,O209))</f>
      </c>
      <c r="U209" s="133">
        <f>IF(OR(A209="Автомат",A209="Дифавтомат"),I209&amp;" С"&amp;J209&amp;"А"&amp;IF(K209="да"," 30мА",""),"")</f>
      </c>
      <c r="V209" s="133">
        <f>IF(U209="","",B209&amp;"|"&amp;U209)</f>
      </c>
      <c r="W209" s="133">
        <f>IF(AND(U209&lt;&gt;"",OR($S$4="(все)",B209=$S$4),IF($S$4="(все)",COUNTIF($U$4:U209,U209),COUNTIFS($U$4:U209,U209,$B$4:B209,B209))=1),MAX($W$3:W208)+1,"")</f>
      </c>
      <c r="X209" s="133">
        <f>IFERROR(INDEX($U$4:$U$500,MATCH(ROW()-3,$W$4:$W$500,0)),"")</f>
      </c>
      <c r="Y209" s="133">
        <f>IF(AND(A209="Аппарат",C209&lt;&gt;"",OR($S$5="(все)",B209=$S$5)),MAX($Y$3:Y208)+1,"")</f>
      </c>
      <c r="Z209" s="133">
        <f>IFERROR(INDEX($C$4:$C$500,MATCH(ROW()-3,$Y$4:$Y$500,0)),"")</f>
      </c>
      <c r="AA209" s="133">
        <f>IF(AND(A209="Модуль",C209&lt;&gt;"",OR($S$6="(все)",B209=$S$6)),MAX($AA$3:AA208)+1,"")</f>
      </c>
      <c r="AB209" s="133">
        <f>IFERROR(INDEX($C$4:$C$500,MATCH(ROW()-3,$AA$4:$AA$500,0)),"")</f>
      </c>
      <c r="AC209" s="133">
        <f>IF(OR(B209="",COUNTIF($B$4:B209,B209)&gt;1),"",MAX($AC$3:AC208)+1)</f>
      </c>
      <c r="AD209" s="133">
        <f>IFERROR(INDEX($B$4:$B$500,MATCH(ROW()-3,$AC$4:$AC$500,0)),"")</f>
      </c>
      <c r="AE209" s="133">
        <f>IF(AND(A209&lt;&gt;"",N(P209)&gt;0),IFERROR(MATCH(A209,$R$12:$R$25,0),99)*1000+ROW(),"")</f>
      </c>
      <c r="AF209" s="133">
        <f>IF(AE209="","",COUNTIF($AE$4:$AE$500,"&lt;="&amp;AE209))</f>
      </c>
    </row>
    <row r="210">
      <c r="A210" s="265"/>
      <c r="B210" s="265"/>
      <c r="C210" s="265"/>
      <c r="D210" s="265"/>
      <c r="E210" s="265"/>
      <c r="F210" s="265"/>
      <c r="G210" s="265"/>
      <c r="H210" s="265"/>
      <c r="I210" s="265"/>
      <c r="J210" s="265"/>
      <c r="K210" s="265"/>
      <c r="L210" s="265"/>
      <c r="M210" s="265"/>
      <c r="N210" s="133">
        <f>IF(OR(A210="Автомат",A210="Дифавтомат"),IF(W210="","",COUNTIF(Однолинейка!$H$3:$H$1000,U210)),IF(A210="Аппарат",IF(C210="","",COUNTIF(Однолинейка!$I$3:$I$1000,C210)+COUNTIF(Однолинейка!$J$3:$J$1000,C210)+COUNTIF(Однолинейка!$K$3:$K$1000,C210)),IF(A210="Модуль",IF(C210="","",COUNTIFS(Однолинейка!$AW$3:$AW$1000,"?*",Однолинейка!$AI$3:$AI$1000,C210)),IF(A210="Клемма",IF(C210="","",IF(C210=$S$7,SUM(Однолинейка!$BW$3:$BW$1000),IF(C210=$S$8,SUM(Однолинейка!$BX$3:$BX$1000),""))),""))))</f>
      </c>
      <c r="O210" s="265"/>
      <c r="P210" s="133">
        <f>IF(COUNT(N210,O210)=0,"",SUM(N210,O210))</f>
      </c>
      <c r="U210" s="133">
        <f>IF(OR(A210="Автомат",A210="Дифавтомат"),I210&amp;" С"&amp;J210&amp;"А"&amp;IF(K210="да"," 30мА",""),"")</f>
      </c>
      <c r="V210" s="133">
        <f>IF(U210="","",B210&amp;"|"&amp;U210)</f>
      </c>
      <c r="W210" s="133">
        <f>IF(AND(U210&lt;&gt;"",OR($S$4="(все)",B210=$S$4),IF($S$4="(все)",COUNTIF($U$4:U210,U210),COUNTIFS($U$4:U210,U210,$B$4:B210,B210))=1),MAX($W$3:W209)+1,"")</f>
      </c>
      <c r="X210" s="133">
        <f>IFERROR(INDEX($U$4:$U$500,MATCH(ROW()-3,$W$4:$W$500,0)),"")</f>
      </c>
      <c r="Y210" s="133">
        <f>IF(AND(A210="Аппарат",C210&lt;&gt;"",OR($S$5="(все)",B210=$S$5)),MAX($Y$3:Y209)+1,"")</f>
      </c>
      <c r="Z210" s="133">
        <f>IFERROR(INDEX($C$4:$C$500,MATCH(ROW()-3,$Y$4:$Y$500,0)),"")</f>
      </c>
      <c r="AA210" s="133">
        <f>IF(AND(A210="Модуль",C210&lt;&gt;"",OR($S$6="(все)",B210=$S$6)),MAX($AA$3:AA209)+1,"")</f>
      </c>
      <c r="AB210" s="133">
        <f>IFERROR(INDEX($C$4:$C$500,MATCH(ROW()-3,$AA$4:$AA$500,0)),"")</f>
      </c>
      <c r="AC210" s="133">
        <f>IF(OR(B210="",COUNTIF($B$4:B210,B210)&gt;1),"",MAX($AC$3:AC209)+1)</f>
      </c>
      <c r="AD210" s="133">
        <f>IFERROR(INDEX($B$4:$B$500,MATCH(ROW()-3,$AC$4:$AC$500,0)),"")</f>
      </c>
      <c r="AE210" s="133">
        <f>IF(AND(A210&lt;&gt;"",N(P210)&gt;0),IFERROR(MATCH(A210,$R$12:$R$25,0),99)*1000+ROW(),"")</f>
      </c>
      <c r="AF210" s="133">
        <f>IF(AE210="","",COUNTIF($AE$4:$AE$500,"&lt;="&amp;AE210))</f>
      </c>
    </row>
    <row r="211">
      <c r="A211" s="265"/>
      <c r="B211" s="265"/>
      <c r="C211" s="265"/>
      <c r="D211" s="265"/>
      <c r="E211" s="265"/>
      <c r="F211" s="265"/>
      <c r="G211" s="265"/>
      <c r="H211" s="265"/>
      <c r="I211" s="265"/>
      <c r="J211" s="265"/>
      <c r="K211" s="265"/>
      <c r="L211" s="265"/>
      <c r="M211" s="265"/>
      <c r="N211" s="133">
        <f>IF(OR(A211="Автомат",A211="Дифавтомат"),IF(W211="","",COUNTIF(Однолинейка!$H$3:$H$1000,U211)),IF(A211="Аппарат",IF(C211="","",COUNTIF(Однолинейка!$I$3:$I$1000,C211)+COUNTIF(Однолинейка!$J$3:$J$1000,C211)+COUNTIF(Однолинейка!$K$3:$K$1000,C211)),IF(A211="Модуль",IF(C211="","",COUNTIFS(Однолинейка!$AW$3:$AW$1000,"?*",Однолинейка!$AI$3:$AI$1000,C211)),IF(A211="Клемма",IF(C211="","",IF(C211=$S$7,SUM(Однолинейка!$BW$3:$BW$1000),IF(C211=$S$8,SUM(Однолинейка!$BX$3:$BX$1000),""))),""))))</f>
      </c>
      <c r="O211" s="265"/>
      <c r="P211" s="133">
        <f>IF(COUNT(N211,O211)=0,"",SUM(N211,O211))</f>
      </c>
      <c r="U211" s="133">
        <f>IF(OR(A211="Автомат",A211="Дифавтомат"),I211&amp;" С"&amp;J211&amp;"А"&amp;IF(K211="да"," 30мА",""),"")</f>
      </c>
      <c r="V211" s="133">
        <f>IF(U211="","",B211&amp;"|"&amp;U211)</f>
      </c>
      <c r="W211" s="133">
        <f>IF(AND(U211&lt;&gt;"",OR($S$4="(все)",B211=$S$4),IF($S$4="(все)",COUNTIF($U$4:U211,U211),COUNTIFS($U$4:U211,U211,$B$4:B211,B211))=1),MAX($W$3:W210)+1,"")</f>
      </c>
      <c r="X211" s="133">
        <f>IFERROR(INDEX($U$4:$U$500,MATCH(ROW()-3,$W$4:$W$500,0)),"")</f>
      </c>
      <c r="Y211" s="133">
        <f>IF(AND(A211="Аппарат",C211&lt;&gt;"",OR($S$5="(все)",B211=$S$5)),MAX($Y$3:Y210)+1,"")</f>
      </c>
      <c r="Z211" s="133">
        <f>IFERROR(INDEX($C$4:$C$500,MATCH(ROW()-3,$Y$4:$Y$500,0)),"")</f>
      </c>
      <c r="AA211" s="133">
        <f>IF(AND(A211="Модуль",C211&lt;&gt;"",OR($S$6="(все)",B211=$S$6)),MAX($AA$3:AA210)+1,"")</f>
      </c>
      <c r="AB211" s="133">
        <f>IFERROR(INDEX($C$4:$C$500,MATCH(ROW()-3,$AA$4:$AA$500,0)),"")</f>
      </c>
      <c r="AC211" s="133">
        <f>IF(OR(B211="",COUNTIF($B$4:B211,B211)&gt;1),"",MAX($AC$3:AC210)+1)</f>
      </c>
      <c r="AD211" s="133">
        <f>IFERROR(INDEX($B$4:$B$500,MATCH(ROW()-3,$AC$4:$AC$500,0)),"")</f>
      </c>
      <c r="AE211" s="133">
        <f>IF(AND(A211&lt;&gt;"",N(P211)&gt;0),IFERROR(MATCH(A211,$R$12:$R$25,0),99)*1000+ROW(),"")</f>
      </c>
      <c r="AF211" s="133">
        <f>IF(AE211="","",COUNTIF($AE$4:$AE$500,"&lt;="&amp;AE211))</f>
      </c>
    </row>
    <row r="212">
      <c r="A212" s="265"/>
      <c r="B212" s="265"/>
      <c r="C212" s="265"/>
      <c r="D212" s="265"/>
      <c r="E212" s="265"/>
      <c r="F212" s="265"/>
      <c r="G212" s="265"/>
      <c r="H212" s="265"/>
      <c r="I212" s="265"/>
      <c r="J212" s="265"/>
      <c r="K212" s="265"/>
      <c r="L212" s="265"/>
      <c r="M212" s="265"/>
      <c r="N212" s="133">
        <f>IF(OR(A212="Автомат",A212="Дифавтомат"),IF(W212="","",COUNTIF(Однолинейка!$H$3:$H$1000,U212)),IF(A212="Аппарат",IF(C212="","",COUNTIF(Однолинейка!$I$3:$I$1000,C212)+COUNTIF(Однолинейка!$J$3:$J$1000,C212)+COUNTIF(Однолинейка!$K$3:$K$1000,C212)),IF(A212="Модуль",IF(C212="","",COUNTIFS(Однолинейка!$AW$3:$AW$1000,"?*",Однолинейка!$AI$3:$AI$1000,C212)),IF(A212="Клемма",IF(C212="","",IF(C212=$S$7,SUM(Однолинейка!$BW$3:$BW$1000),IF(C212=$S$8,SUM(Однолинейка!$BX$3:$BX$1000),""))),""))))</f>
      </c>
      <c r="O212" s="265"/>
      <c r="P212" s="133">
        <f>IF(COUNT(N212,O212)=0,"",SUM(N212,O212))</f>
      </c>
      <c r="U212" s="133">
        <f>IF(OR(A212="Автомат",A212="Дифавтомат"),I212&amp;" С"&amp;J212&amp;"А"&amp;IF(K212="да"," 30мА",""),"")</f>
      </c>
      <c r="V212" s="133">
        <f>IF(U212="","",B212&amp;"|"&amp;U212)</f>
      </c>
      <c r="W212" s="133">
        <f>IF(AND(U212&lt;&gt;"",OR($S$4="(все)",B212=$S$4),IF($S$4="(все)",COUNTIF($U$4:U212,U212),COUNTIFS($U$4:U212,U212,$B$4:B212,B212))=1),MAX($W$3:W211)+1,"")</f>
      </c>
      <c r="X212" s="133">
        <f>IFERROR(INDEX($U$4:$U$500,MATCH(ROW()-3,$W$4:$W$500,0)),"")</f>
      </c>
      <c r="Y212" s="133">
        <f>IF(AND(A212="Аппарат",C212&lt;&gt;"",OR($S$5="(все)",B212=$S$5)),MAX($Y$3:Y211)+1,"")</f>
      </c>
      <c r="Z212" s="133">
        <f>IFERROR(INDEX($C$4:$C$500,MATCH(ROW()-3,$Y$4:$Y$500,0)),"")</f>
      </c>
      <c r="AA212" s="133">
        <f>IF(AND(A212="Модуль",C212&lt;&gt;"",OR($S$6="(все)",B212=$S$6)),MAX($AA$3:AA211)+1,"")</f>
      </c>
      <c r="AB212" s="133">
        <f>IFERROR(INDEX($C$4:$C$500,MATCH(ROW()-3,$AA$4:$AA$500,0)),"")</f>
      </c>
      <c r="AC212" s="133">
        <f>IF(OR(B212="",COUNTIF($B$4:B212,B212)&gt;1),"",MAX($AC$3:AC211)+1)</f>
      </c>
      <c r="AD212" s="133">
        <f>IFERROR(INDEX($B$4:$B$500,MATCH(ROW()-3,$AC$4:$AC$500,0)),"")</f>
      </c>
      <c r="AE212" s="133">
        <f>IF(AND(A212&lt;&gt;"",N(P212)&gt;0),IFERROR(MATCH(A212,$R$12:$R$25,0),99)*1000+ROW(),"")</f>
      </c>
      <c r="AF212" s="133">
        <f>IF(AE212="","",COUNTIF($AE$4:$AE$500,"&lt;="&amp;AE212))</f>
      </c>
    </row>
    <row r="213">
      <c r="A213" s="265"/>
      <c r="B213" s="265"/>
      <c r="C213" s="265"/>
      <c r="D213" s="265"/>
      <c r="E213" s="265"/>
      <c r="F213" s="265"/>
      <c r="G213" s="265"/>
      <c r="H213" s="265"/>
      <c r="I213" s="265"/>
      <c r="J213" s="265"/>
      <c r="K213" s="265"/>
      <c r="L213" s="265"/>
      <c r="M213" s="265"/>
      <c r="N213" s="133">
        <f>IF(OR(A213="Автомат",A213="Дифавтомат"),IF(W213="","",COUNTIF(Однолинейка!$H$3:$H$1000,U213)),IF(A213="Аппарат",IF(C213="","",COUNTIF(Однолинейка!$I$3:$I$1000,C213)+COUNTIF(Однолинейка!$J$3:$J$1000,C213)+COUNTIF(Однолинейка!$K$3:$K$1000,C213)),IF(A213="Модуль",IF(C213="","",COUNTIFS(Однолинейка!$AW$3:$AW$1000,"?*",Однолинейка!$AI$3:$AI$1000,C213)),IF(A213="Клемма",IF(C213="","",IF(C213=$S$7,SUM(Однолинейка!$BW$3:$BW$1000),IF(C213=$S$8,SUM(Однолинейка!$BX$3:$BX$1000),""))),""))))</f>
      </c>
      <c r="O213" s="265"/>
      <c r="P213" s="133">
        <f>IF(COUNT(N213,O213)=0,"",SUM(N213,O213))</f>
      </c>
      <c r="U213" s="133">
        <f>IF(OR(A213="Автомат",A213="Дифавтомат"),I213&amp;" С"&amp;J213&amp;"А"&amp;IF(K213="да"," 30мА",""),"")</f>
      </c>
      <c r="V213" s="133">
        <f>IF(U213="","",B213&amp;"|"&amp;U213)</f>
      </c>
      <c r="W213" s="133">
        <f>IF(AND(U213&lt;&gt;"",OR($S$4="(все)",B213=$S$4),IF($S$4="(все)",COUNTIF($U$4:U213,U213),COUNTIFS($U$4:U213,U213,$B$4:B213,B213))=1),MAX($W$3:W212)+1,"")</f>
      </c>
      <c r="X213" s="133">
        <f>IFERROR(INDEX($U$4:$U$500,MATCH(ROW()-3,$W$4:$W$500,0)),"")</f>
      </c>
      <c r="Y213" s="133">
        <f>IF(AND(A213="Аппарат",C213&lt;&gt;"",OR($S$5="(все)",B213=$S$5)),MAX($Y$3:Y212)+1,"")</f>
      </c>
      <c r="Z213" s="133">
        <f>IFERROR(INDEX($C$4:$C$500,MATCH(ROW()-3,$Y$4:$Y$500,0)),"")</f>
      </c>
      <c r="AA213" s="133">
        <f>IF(AND(A213="Модуль",C213&lt;&gt;"",OR($S$6="(все)",B213=$S$6)),MAX($AA$3:AA212)+1,"")</f>
      </c>
      <c r="AB213" s="133">
        <f>IFERROR(INDEX($C$4:$C$500,MATCH(ROW()-3,$AA$4:$AA$500,0)),"")</f>
      </c>
      <c r="AC213" s="133">
        <f>IF(OR(B213="",COUNTIF($B$4:B213,B213)&gt;1),"",MAX($AC$3:AC212)+1)</f>
      </c>
      <c r="AD213" s="133">
        <f>IFERROR(INDEX($B$4:$B$500,MATCH(ROW()-3,$AC$4:$AC$500,0)),"")</f>
      </c>
      <c r="AE213" s="133">
        <f>IF(AND(A213&lt;&gt;"",N(P213)&gt;0),IFERROR(MATCH(A213,$R$12:$R$25,0),99)*1000+ROW(),"")</f>
      </c>
      <c r="AF213" s="133">
        <f>IF(AE213="","",COUNTIF($AE$4:$AE$500,"&lt;="&amp;AE213))</f>
      </c>
    </row>
    <row r="214">
      <c r="A214" s="265"/>
      <c r="B214" s="265"/>
      <c r="C214" s="265"/>
      <c r="D214" s="265"/>
      <c r="E214" s="265"/>
      <c r="F214" s="265"/>
      <c r="G214" s="265"/>
      <c r="H214" s="265"/>
      <c r="I214" s="265"/>
      <c r="J214" s="265"/>
      <c r="K214" s="265"/>
      <c r="L214" s="265"/>
      <c r="M214" s="265"/>
      <c r="N214" s="133">
        <f>IF(OR(A214="Автомат",A214="Дифавтомат"),IF(W214="","",COUNTIF(Однолинейка!$H$3:$H$1000,U214)),IF(A214="Аппарат",IF(C214="","",COUNTIF(Однолинейка!$I$3:$I$1000,C214)+COUNTIF(Однолинейка!$J$3:$J$1000,C214)+COUNTIF(Однолинейка!$K$3:$K$1000,C214)),IF(A214="Модуль",IF(C214="","",COUNTIFS(Однолинейка!$AW$3:$AW$1000,"?*",Однолинейка!$AI$3:$AI$1000,C214)),IF(A214="Клемма",IF(C214="","",IF(C214=$S$7,SUM(Однолинейка!$BW$3:$BW$1000),IF(C214=$S$8,SUM(Однолинейка!$BX$3:$BX$1000),""))),""))))</f>
      </c>
      <c r="O214" s="265"/>
      <c r="P214" s="133">
        <f>IF(COUNT(N214,O214)=0,"",SUM(N214,O214))</f>
      </c>
      <c r="U214" s="133">
        <f>IF(OR(A214="Автомат",A214="Дифавтомат"),I214&amp;" С"&amp;J214&amp;"А"&amp;IF(K214="да"," 30мА",""),"")</f>
      </c>
      <c r="V214" s="133">
        <f>IF(U214="","",B214&amp;"|"&amp;U214)</f>
      </c>
      <c r="W214" s="133">
        <f>IF(AND(U214&lt;&gt;"",OR($S$4="(все)",B214=$S$4),IF($S$4="(все)",COUNTIF($U$4:U214,U214),COUNTIFS($U$4:U214,U214,$B$4:B214,B214))=1),MAX($W$3:W213)+1,"")</f>
      </c>
      <c r="X214" s="133">
        <f>IFERROR(INDEX($U$4:$U$500,MATCH(ROW()-3,$W$4:$W$500,0)),"")</f>
      </c>
      <c r="Y214" s="133">
        <f>IF(AND(A214="Аппарат",C214&lt;&gt;"",OR($S$5="(все)",B214=$S$5)),MAX($Y$3:Y213)+1,"")</f>
      </c>
      <c r="Z214" s="133">
        <f>IFERROR(INDEX($C$4:$C$500,MATCH(ROW()-3,$Y$4:$Y$500,0)),"")</f>
      </c>
      <c r="AA214" s="133">
        <f>IF(AND(A214="Модуль",C214&lt;&gt;"",OR($S$6="(все)",B214=$S$6)),MAX($AA$3:AA213)+1,"")</f>
      </c>
      <c r="AB214" s="133">
        <f>IFERROR(INDEX($C$4:$C$500,MATCH(ROW()-3,$AA$4:$AA$500,0)),"")</f>
      </c>
      <c r="AC214" s="133">
        <f>IF(OR(B214="",COUNTIF($B$4:B214,B214)&gt;1),"",MAX($AC$3:AC213)+1)</f>
      </c>
      <c r="AD214" s="133">
        <f>IFERROR(INDEX($B$4:$B$500,MATCH(ROW()-3,$AC$4:$AC$500,0)),"")</f>
      </c>
      <c r="AE214" s="133">
        <f>IF(AND(A214&lt;&gt;"",N(P214)&gt;0),IFERROR(MATCH(A214,$R$12:$R$25,0),99)*1000+ROW(),"")</f>
      </c>
      <c r="AF214" s="133">
        <f>IF(AE214="","",COUNTIF($AE$4:$AE$500,"&lt;="&amp;AE214))</f>
      </c>
    </row>
    <row r="215">
      <c r="A215" s="265"/>
      <c r="B215" s="265"/>
      <c r="C215" s="265"/>
      <c r="D215" s="265"/>
      <c r="E215" s="265"/>
      <c r="F215" s="265"/>
      <c r="G215" s="265"/>
      <c r="H215" s="265"/>
      <c r="I215" s="265"/>
      <c r="J215" s="265"/>
      <c r="K215" s="265"/>
      <c r="L215" s="265"/>
      <c r="M215" s="265"/>
      <c r="N215" s="133">
        <f>IF(OR(A215="Автомат",A215="Дифавтомат"),IF(W215="","",COUNTIF(Однолинейка!$H$3:$H$1000,U215)),IF(A215="Аппарат",IF(C215="","",COUNTIF(Однолинейка!$I$3:$I$1000,C215)+COUNTIF(Однолинейка!$J$3:$J$1000,C215)+COUNTIF(Однолинейка!$K$3:$K$1000,C215)),IF(A215="Модуль",IF(C215="","",COUNTIFS(Однолинейка!$AW$3:$AW$1000,"?*",Однолинейка!$AI$3:$AI$1000,C215)),IF(A215="Клемма",IF(C215="","",IF(C215=$S$7,SUM(Однолинейка!$BW$3:$BW$1000),IF(C215=$S$8,SUM(Однолинейка!$BX$3:$BX$1000),""))),""))))</f>
      </c>
      <c r="O215" s="265"/>
      <c r="P215" s="133">
        <f>IF(COUNT(N215,O215)=0,"",SUM(N215,O215))</f>
      </c>
      <c r="U215" s="133">
        <f>IF(OR(A215="Автомат",A215="Дифавтомат"),I215&amp;" С"&amp;J215&amp;"А"&amp;IF(K215="да"," 30мА",""),"")</f>
      </c>
      <c r="V215" s="133">
        <f>IF(U215="","",B215&amp;"|"&amp;U215)</f>
      </c>
      <c r="W215" s="133">
        <f>IF(AND(U215&lt;&gt;"",OR($S$4="(все)",B215=$S$4),IF($S$4="(все)",COUNTIF($U$4:U215,U215),COUNTIFS($U$4:U215,U215,$B$4:B215,B215))=1),MAX($W$3:W214)+1,"")</f>
      </c>
      <c r="X215" s="133">
        <f>IFERROR(INDEX($U$4:$U$500,MATCH(ROW()-3,$W$4:$W$500,0)),"")</f>
      </c>
      <c r="Y215" s="133">
        <f>IF(AND(A215="Аппарат",C215&lt;&gt;"",OR($S$5="(все)",B215=$S$5)),MAX($Y$3:Y214)+1,"")</f>
      </c>
      <c r="Z215" s="133">
        <f>IFERROR(INDEX($C$4:$C$500,MATCH(ROW()-3,$Y$4:$Y$500,0)),"")</f>
      </c>
      <c r="AA215" s="133">
        <f>IF(AND(A215="Модуль",C215&lt;&gt;"",OR($S$6="(все)",B215=$S$6)),MAX($AA$3:AA214)+1,"")</f>
      </c>
      <c r="AB215" s="133">
        <f>IFERROR(INDEX($C$4:$C$500,MATCH(ROW()-3,$AA$4:$AA$500,0)),"")</f>
      </c>
      <c r="AC215" s="133">
        <f>IF(OR(B215="",COUNTIF($B$4:B215,B215)&gt;1),"",MAX($AC$3:AC214)+1)</f>
      </c>
      <c r="AD215" s="133">
        <f>IFERROR(INDEX($B$4:$B$500,MATCH(ROW()-3,$AC$4:$AC$500,0)),"")</f>
      </c>
      <c r="AE215" s="133">
        <f>IF(AND(A215&lt;&gt;"",N(P215)&gt;0),IFERROR(MATCH(A215,$R$12:$R$25,0),99)*1000+ROW(),"")</f>
      </c>
      <c r="AF215" s="133">
        <f>IF(AE215="","",COUNTIF($AE$4:$AE$500,"&lt;="&amp;AE215))</f>
      </c>
    </row>
    <row r="216">
      <c r="A216" s="265"/>
      <c r="B216" s="265"/>
      <c r="C216" s="265"/>
      <c r="D216" s="265"/>
      <c r="E216" s="265"/>
      <c r="F216" s="265"/>
      <c r="G216" s="265"/>
      <c r="H216" s="265"/>
      <c r="I216" s="265"/>
      <c r="J216" s="265"/>
      <c r="K216" s="265"/>
      <c r="L216" s="265"/>
      <c r="M216" s="265"/>
      <c r="N216" s="133">
        <f>IF(OR(A216="Автомат",A216="Дифавтомат"),IF(W216="","",COUNTIF(Однолинейка!$H$3:$H$1000,U216)),IF(A216="Аппарат",IF(C216="","",COUNTIF(Однолинейка!$I$3:$I$1000,C216)+COUNTIF(Однолинейка!$J$3:$J$1000,C216)+COUNTIF(Однолинейка!$K$3:$K$1000,C216)),IF(A216="Модуль",IF(C216="","",COUNTIFS(Однолинейка!$AW$3:$AW$1000,"?*",Однолинейка!$AI$3:$AI$1000,C216)),IF(A216="Клемма",IF(C216="","",IF(C216=$S$7,SUM(Однолинейка!$BW$3:$BW$1000),IF(C216=$S$8,SUM(Однолинейка!$BX$3:$BX$1000),""))),""))))</f>
      </c>
      <c r="O216" s="265"/>
      <c r="P216" s="133">
        <f>IF(COUNT(N216,O216)=0,"",SUM(N216,O216))</f>
      </c>
      <c r="U216" s="133">
        <f>IF(OR(A216="Автомат",A216="Дифавтомат"),I216&amp;" С"&amp;J216&amp;"А"&amp;IF(K216="да"," 30мА",""),"")</f>
      </c>
      <c r="V216" s="133">
        <f>IF(U216="","",B216&amp;"|"&amp;U216)</f>
      </c>
      <c r="W216" s="133">
        <f>IF(AND(U216&lt;&gt;"",OR($S$4="(все)",B216=$S$4),IF($S$4="(все)",COUNTIF($U$4:U216,U216),COUNTIFS($U$4:U216,U216,$B$4:B216,B216))=1),MAX($W$3:W215)+1,"")</f>
      </c>
      <c r="X216" s="133">
        <f>IFERROR(INDEX($U$4:$U$500,MATCH(ROW()-3,$W$4:$W$500,0)),"")</f>
      </c>
      <c r="Y216" s="133">
        <f>IF(AND(A216="Аппарат",C216&lt;&gt;"",OR($S$5="(все)",B216=$S$5)),MAX($Y$3:Y215)+1,"")</f>
      </c>
      <c r="Z216" s="133">
        <f>IFERROR(INDEX($C$4:$C$500,MATCH(ROW()-3,$Y$4:$Y$500,0)),"")</f>
      </c>
      <c r="AA216" s="133">
        <f>IF(AND(A216="Модуль",C216&lt;&gt;"",OR($S$6="(все)",B216=$S$6)),MAX($AA$3:AA215)+1,"")</f>
      </c>
      <c r="AB216" s="133">
        <f>IFERROR(INDEX($C$4:$C$500,MATCH(ROW()-3,$AA$4:$AA$500,0)),"")</f>
      </c>
      <c r="AC216" s="133">
        <f>IF(OR(B216="",COUNTIF($B$4:B216,B216)&gt;1),"",MAX($AC$3:AC215)+1)</f>
      </c>
      <c r="AD216" s="133">
        <f>IFERROR(INDEX($B$4:$B$500,MATCH(ROW()-3,$AC$4:$AC$500,0)),"")</f>
      </c>
      <c r="AE216" s="133">
        <f>IF(AND(A216&lt;&gt;"",N(P216)&gt;0),IFERROR(MATCH(A216,$R$12:$R$25,0),99)*1000+ROW(),"")</f>
      </c>
      <c r="AF216" s="133">
        <f>IF(AE216="","",COUNTIF($AE$4:$AE$500,"&lt;="&amp;AE216))</f>
      </c>
    </row>
    <row r="217">
      <c r="A217" s="265"/>
      <c r="B217" s="265"/>
      <c r="C217" s="265"/>
      <c r="D217" s="265"/>
      <c r="E217" s="265"/>
      <c r="F217" s="265"/>
      <c r="G217" s="265"/>
      <c r="H217" s="265"/>
      <c r="I217" s="265"/>
      <c r="J217" s="265"/>
      <c r="K217" s="265"/>
      <c r="L217" s="265"/>
      <c r="M217" s="265"/>
      <c r="N217" s="133">
        <f>IF(OR(A217="Автомат",A217="Дифавтомат"),IF(W217="","",COUNTIF(Однолинейка!$H$3:$H$1000,U217)),IF(A217="Аппарат",IF(C217="","",COUNTIF(Однолинейка!$I$3:$I$1000,C217)+COUNTIF(Однолинейка!$J$3:$J$1000,C217)+COUNTIF(Однолинейка!$K$3:$K$1000,C217)),IF(A217="Модуль",IF(C217="","",COUNTIFS(Однолинейка!$AW$3:$AW$1000,"?*",Однолинейка!$AI$3:$AI$1000,C217)),IF(A217="Клемма",IF(C217="","",IF(C217=$S$7,SUM(Однолинейка!$BW$3:$BW$1000),IF(C217=$S$8,SUM(Однолинейка!$BX$3:$BX$1000),""))),""))))</f>
      </c>
      <c r="O217" s="265"/>
      <c r="P217" s="133">
        <f>IF(COUNT(N217,O217)=0,"",SUM(N217,O217))</f>
      </c>
      <c r="U217" s="133">
        <f>IF(OR(A217="Автомат",A217="Дифавтомат"),I217&amp;" С"&amp;J217&amp;"А"&amp;IF(K217="да"," 30мА",""),"")</f>
      </c>
      <c r="V217" s="133">
        <f>IF(U217="","",B217&amp;"|"&amp;U217)</f>
      </c>
      <c r="W217" s="133">
        <f>IF(AND(U217&lt;&gt;"",OR($S$4="(все)",B217=$S$4),IF($S$4="(все)",COUNTIF($U$4:U217,U217),COUNTIFS($U$4:U217,U217,$B$4:B217,B217))=1),MAX($W$3:W216)+1,"")</f>
      </c>
      <c r="X217" s="133">
        <f>IFERROR(INDEX($U$4:$U$500,MATCH(ROW()-3,$W$4:$W$500,0)),"")</f>
      </c>
      <c r="Y217" s="133">
        <f>IF(AND(A217="Аппарат",C217&lt;&gt;"",OR($S$5="(все)",B217=$S$5)),MAX($Y$3:Y216)+1,"")</f>
      </c>
      <c r="Z217" s="133">
        <f>IFERROR(INDEX($C$4:$C$500,MATCH(ROW()-3,$Y$4:$Y$500,0)),"")</f>
      </c>
      <c r="AA217" s="133">
        <f>IF(AND(A217="Модуль",C217&lt;&gt;"",OR($S$6="(все)",B217=$S$6)),MAX($AA$3:AA216)+1,"")</f>
      </c>
      <c r="AB217" s="133">
        <f>IFERROR(INDEX($C$4:$C$500,MATCH(ROW()-3,$AA$4:$AA$500,0)),"")</f>
      </c>
      <c r="AC217" s="133">
        <f>IF(OR(B217="",COUNTIF($B$4:B217,B217)&gt;1),"",MAX($AC$3:AC216)+1)</f>
      </c>
      <c r="AD217" s="133">
        <f>IFERROR(INDEX($B$4:$B$500,MATCH(ROW()-3,$AC$4:$AC$500,0)),"")</f>
      </c>
      <c r="AE217" s="133">
        <f>IF(AND(A217&lt;&gt;"",N(P217)&gt;0),IFERROR(MATCH(A217,$R$12:$R$25,0),99)*1000+ROW(),"")</f>
      </c>
      <c r="AF217" s="133">
        <f>IF(AE217="","",COUNTIF($AE$4:$AE$500,"&lt;="&amp;AE217))</f>
      </c>
    </row>
    <row r="218">
      <c r="A218" s="265"/>
      <c r="B218" s="265"/>
      <c r="C218" s="265"/>
      <c r="D218" s="265"/>
      <c r="E218" s="265"/>
      <c r="F218" s="265"/>
      <c r="G218" s="265"/>
      <c r="H218" s="265"/>
      <c r="I218" s="265"/>
      <c r="J218" s="265"/>
      <c r="K218" s="265"/>
      <c r="L218" s="265"/>
      <c r="M218" s="265"/>
      <c r="N218" s="133">
        <f>IF(OR(A218="Автомат",A218="Дифавтомат"),IF(W218="","",COUNTIF(Однолинейка!$H$3:$H$1000,U218)),IF(A218="Аппарат",IF(C218="","",COUNTIF(Однолинейка!$I$3:$I$1000,C218)+COUNTIF(Однолинейка!$J$3:$J$1000,C218)+COUNTIF(Однолинейка!$K$3:$K$1000,C218)),IF(A218="Модуль",IF(C218="","",COUNTIFS(Однолинейка!$AW$3:$AW$1000,"?*",Однолинейка!$AI$3:$AI$1000,C218)),IF(A218="Клемма",IF(C218="","",IF(C218=$S$7,SUM(Однолинейка!$BW$3:$BW$1000),IF(C218=$S$8,SUM(Однолинейка!$BX$3:$BX$1000),""))),""))))</f>
      </c>
      <c r="O218" s="265"/>
      <c r="P218" s="133">
        <f>IF(COUNT(N218,O218)=0,"",SUM(N218,O218))</f>
      </c>
      <c r="U218" s="133">
        <f>IF(OR(A218="Автомат",A218="Дифавтомат"),I218&amp;" С"&amp;J218&amp;"А"&amp;IF(K218="да"," 30мА",""),"")</f>
      </c>
      <c r="V218" s="133">
        <f>IF(U218="","",B218&amp;"|"&amp;U218)</f>
      </c>
      <c r="W218" s="133">
        <f>IF(AND(U218&lt;&gt;"",OR($S$4="(все)",B218=$S$4),IF($S$4="(все)",COUNTIF($U$4:U218,U218),COUNTIFS($U$4:U218,U218,$B$4:B218,B218))=1),MAX($W$3:W217)+1,"")</f>
      </c>
      <c r="X218" s="133">
        <f>IFERROR(INDEX($U$4:$U$500,MATCH(ROW()-3,$W$4:$W$500,0)),"")</f>
      </c>
      <c r="Y218" s="133">
        <f>IF(AND(A218="Аппарат",C218&lt;&gt;"",OR($S$5="(все)",B218=$S$5)),MAX($Y$3:Y217)+1,"")</f>
      </c>
      <c r="Z218" s="133">
        <f>IFERROR(INDEX($C$4:$C$500,MATCH(ROW()-3,$Y$4:$Y$500,0)),"")</f>
      </c>
      <c r="AA218" s="133">
        <f>IF(AND(A218="Модуль",C218&lt;&gt;"",OR($S$6="(все)",B218=$S$6)),MAX($AA$3:AA217)+1,"")</f>
      </c>
      <c r="AB218" s="133">
        <f>IFERROR(INDEX($C$4:$C$500,MATCH(ROW()-3,$AA$4:$AA$500,0)),"")</f>
      </c>
      <c r="AC218" s="133">
        <f>IF(OR(B218="",COUNTIF($B$4:B218,B218)&gt;1),"",MAX($AC$3:AC217)+1)</f>
      </c>
      <c r="AD218" s="133">
        <f>IFERROR(INDEX($B$4:$B$500,MATCH(ROW()-3,$AC$4:$AC$500,0)),"")</f>
      </c>
      <c r="AE218" s="133">
        <f>IF(AND(A218&lt;&gt;"",N(P218)&gt;0),IFERROR(MATCH(A218,$R$12:$R$25,0),99)*1000+ROW(),"")</f>
      </c>
      <c r="AF218" s="133">
        <f>IF(AE218="","",COUNTIF($AE$4:$AE$500,"&lt;="&amp;AE218))</f>
      </c>
    </row>
    <row r="219">
      <c r="A219" s="265"/>
      <c r="B219" s="265"/>
      <c r="C219" s="265"/>
      <c r="D219" s="265"/>
      <c r="E219" s="265"/>
      <c r="F219" s="265"/>
      <c r="G219" s="265"/>
      <c r="H219" s="265"/>
      <c r="I219" s="265"/>
      <c r="J219" s="265"/>
      <c r="K219" s="265"/>
      <c r="L219" s="265"/>
      <c r="M219" s="265"/>
      <c r="N219" s="133">
        <f>IF(OR(A219="Автомат",A219="Дифавтомат"),IF(W219="","",COUNTIF(Однолинейка!$H$3:$H$1000,U219)),IF(A219="Аппарат",IF(C219="","",COUNTIF(Однолинейка!$I$3:$I$1000,C219)+COUNTIF(Однолинейка!$J$3:$J$1000,C219)+COUNTIF(Однолинейка!$K$3:$K$1000,C219)),IF(A219="Модуль",IF(C219="","",COUNTIFS(Однолинейка!$AW$3:$AW$1000,"?*",Однолинейка!$AI$3:$AI$1000,C219)),IF(A219="Клемма",IF(C219="","",IF(C219=$S$7,SUM(Однолинейка!$BW$3:$BW$1000),IF(C219=$S$8,SUM(Однолинейка!$BX$3:$BX$1000),""))),""))))</f>
      </c>
      <c r="O219" s="265"/>
      <c r="P219" s="133">
        <f>IF(COUNT(N219,O219)=0,"",SUM(N219,O219))</f>
      </c>
      <c r="U219" s="133">
        <f>IF(OR(A219="Автомат",A219="Дифавтомат"),I219&amp;" С"&amp;J219&amp;"А"&amp;IF(K219="да"," 30мА",""),"")</f>
      </c>
      <c r="V219" s="133">
        <f>IF(U219="","",B219&amp;"|"&amp;U219)</f>
      </c>
      <c r="W219" s="133">
        <f>IF(AND(U219&lt;&gt;"",OR($S$4="(все)",B219=$S$4),IF($S$4="(все)",COUNTIF($U$4:U219,U219),COUNTIFS($U$4:U219,U219,$B$4:B219,B219))=1),MAX($W$3:W218)+1,"")</f>
      </c>
      <c r="X219" s="133">
        <f>IFERROR(INDEX($U$4:$U$500,MATCH(ROW()-3,$W$4:$W$500,0)),"")</f>
      </c>
      <c r="Y219" s="133">
        <f>IF(AND(A219="Аппарат",C219&lt;&gt;"",OR($S$5="(все)",B219=$S$5)),MAX($Y$3:Y218)+1,"")</f>
      </c>
      <c r="Z219" s="133">
        <f>IFERROR(INDEX($C$4:$C$500,MATCH(ROW()-3,$Y$4:$Y$500,0)),"")</f>
      </c>
      <c r="AA219" s="133">
        <f>IF(AND(A219="Модуль",C219&lt;&gt;"",OR($S$6="(все)",B219=$S$6)),MAX($AA$3:AA218)+1,"")</f>
      </c>
      <c r="AB219" s="133">
        <f>IFERROR(INDEX($C$4:$C$500,MATCH(ROW()-3,$AA$4:$AA$500,0)),"")</f>
      </c>
      <c r="AC219" s="133">
        <f>IF(OR(B219="",COUNTIF($B$4:B219,B219)&gt;1),"",MAX($AC$3:AC218)+1)</f>
      </c>
      <c r="AD219" s="133">
        <f>IFERROR(INDEX($B$4:$B$500,MATCH(ROW()-3,$AC$4:$AC$500,0)),"")</f>
      </c>
      <c r="AE219" s="133">
        <f>IF(AND(A219&lt;&gt;"",N(P219)&gt;0),IFERROR(MATCH(A219,$R$12:$R$25,0),99)*1000+ROW(),"")</f>
      </c>
      <c r="AF219" s="133">
        <f>IF(AE219="","",COUNTIF($AE$4:$AE$500,"&lt;="&amp;AE219))</f>
      </c>
    </row>
    <row r="220">
      <c r="A220" s="265"/>
      <c r="B220" s="265"/>
      <c r="C220" s="265"/>
      <c r="D220" s="265"/>
      <c r="E220" s="265"/>
      <c r="F220" s="265"/>
      <c r="G220" s="265"/>
      <c r="H220" s="265"/>
      <c r="I220" s="265"/>
      <c r="J220" s="265"/>
      <c r="K220" s="265"/>
      <c r="L220" s="265"/>
      <c r="M220" s="265"/>
      <c r="N220" s="133">
        <f>IF(OR(A220="Автомат",A220="Дифавтомат"),IF(W220="","",COUNTIF(Однолинейка!$H$3:$H$1000,U220)),IF(A220="Аппарат",IF(C220="","",COUNTIF(Однолинейка!$I$3:$I$1000,C220)+COUNTIF(Однолинейка!$J$3:$J$1000,C220)+COUNTIF(Однолинейка!$K$3:$K$1000,C220)),IF(A220="Модуль",IF(C220="","",COUNTIFS(Однолинейка!$AW$3:$AW$1000,"?*",Однолинейка!$AI$3:$AI$1000,C220)),IF(A220="Клемма",IF(C220="","",IF(C220=$S$7,SUM(Однолинейка!$BW$3:$BW$1000),IF(C220=$S$8,SUM(Однолинейка!$BX$3:$BX$1000),""))),""))))</f>
      </c>
      <c r="O220" s="265"/>
      <c r="P220" s="133">
        <f>IF(COUNT(N220,O220)=0,"",SUM(N220,O220))</f>
      </c>
      <c r="U220" s="133">
        <f>IF(OR(A220="Автомат",A220="Дифавтомат"),I220&amp;" С"&amp;J220&amp;"А"&amp;IF(K220="да"," 30мА",""),"")</f>
      </c>
      <c r="V220" s="133">
        <f>IF(U220="","",B220&amp;"|"&amp;U220)</f>
      </c>
      <c r="W220" s="133">
        <f>IF(AND(U220&lt;&gt;"",OR($S$4="(все)",B220=$S$4),IF($S$4="(все)",COUNTIF($U$4:U220,U220),COUNTIFS($U$4:U220,U220,$B$4:B220,B220))=1),MAX($W$3:W219)+1,"")</f>
      </c>
      <c r="X220" s="133">
        <f>IFERROR(INDEX($U$4:$U$500,MATCH(ROW()-3,$W$4:$W$500,0)),"")</f>
      </c>
      <c r="Y220" s="133">
        <f>IF(AND(A220="Аппарат",C220&lt;&gt;"",OR($S$5="(все)",B220=$S$5)),MAX($Y$3:Y219)+1,"")</f>
      </c>
      <c r="Z220" s="133">
        <f>IFERROR(INDEX($C$4:$C$500,MATCH(ROW()-3,$Y$4:$Y$500,0)),"")</f>
      </c>
      <c r="AA220" s="133">
        <f>IF(AND(A220="Модуль",C220&lt;&gt;"",OR($S$6="(все)",B220=$S$6)),MAX($AA$3:AA219)+1,"")</f>
      </c>
      <c r="AB220" s="133">
        <f>IFERROR(INDEX($C$4:$C$500,MATCH(ROW()-3,$AA$4:$AA$500,0)),"")</f>
      </c>
      <c r="AC220" s="133">
        <f>IF(OR(B220="",COUNTIF($B$4:B220,B220)&gt;1),"",MAX($AC$3:AC219)+1)</f>
      </c>
      <c r="AD220" s="133">
        <f>IFERROR(INDEX($B$4:$B$500,MATCH(ROW()-3,$AC$4:$AC$500,0)),"")</f>
      </c>
      <c r="AE220" s="133">
        <f>IF(AND(A220&lt;&gt;"",N(P220)&gt;0),IFERROR(MATCH(A220,$R$12:$R$25,0),99)*1000+ROW(),"")</f>
      </c>
      <c r="AF220" s="133">
        <f>IF(AE220="","",COUNTIF($AE$4:$AE$500,"&lt;="&amp;AE220))</f>
      </c>
    </row>
    <row r="221">
      <c r="A221" s="265"/>
      <c r="B221" s="265"/>
      <c r="C221" s="265"/>
      <c r="D221" s="265"/>
      <c r="E221" s="265"/>
      <c r="F221" s="265"/>
      <c r="G221" s="265"/>
      <c r="H221" s="265"/>
      <c r="I221" s="265"/>
      <c r="J221" s="265"/>
      <c r="K221" s="265"/>
      <c r="L221" s="265"/>
      <c r="M221" s="265"/>
      <c r="N221" s="133">
        <f>IF(OR(A221="Автомат",A221="Дифавтомат"),IF(W221="","",COUNTIF(Однолинейка!$H$3:$H$1000,U221)),IF(A221="Аппарат",IF(C221="","",COUNTIF(Однолинейка!$I$3:$I$1000,C221)+COUNTIF(Однолинейка!$J$3:$J$1000,C221)+COUNTIF(Однолинейка!$K$3:$K$1000,C221)),IF(A221="Модуль",IF(C221="","",COUNTIFS(Однолинейка!$AW$3:$AW$1000,"?*",Однолинейка!$AI$3:$AI$1000,C221)),IF(A221="Клемма",IF(C221="","",IF(C221=$S$7,SUM(Однолинейка!$BW$3:$BW$1000),IF(C221=$S$8,SUM(Однолинейка!$BX$3:$BX$1000),""))),""))))</f>
      </c>
      <c r="O221" s="265"/>
      <c r="P221" s="133">
        <f>IF(COUNT(N221,O221)=0,"",SUM(N221,O221))</f>
      </c>
      <c r="U221" s="133">
        <f>IF(OR(A221="Автомат",A221="Дифавтомат"),I221&amp;" С"&amp;J221&amp;"А"&amp;IF(K221="да"," 30мА",""),"")</f>
      </c>
      <c r="V221" s="133">
        <f>IF(U221="","",B221&amp;"|"&amp;U221)</f>
      </c>
      <c r="W221" s="133">
        <f>IF(AND(U221&lt;&gt;"",OR($S$4="(все)",B221=$S$4),IF($S$4="(все)",COUNTIF($U$4:U221,U221),COUNTIFS($U$4:U221,U221,$B$4:B221,B221))=1),MAX($W$3:W220)+1,"")</f>
      </c>
      <c r="X221" s="133">
        <f>IFERROR(INDEX($U$4:$U$500,MATCH(ROW()-3,$W$4:$W$500,0)),"")</f>
      </c>
      <c r="Y221" s="133">
        <f>IF(AND(A221="Аппарат",C221&lt;&gt;"",OR($S$5="(все)",B221=$S$5)),MAX($Y$3:Y220)+1,"")</f>
      </c>
      <c r="Z221" s="133">
        <f>IFERROR(INDEX($C$4:$C$500,MATCH(ROW()-3,$Y$4:$Y$500,0)),"")</f>
      </c>
      <c r="AA221" s="133">
        <f>IF(AND(A221="Модуль",C221&lt;&gt;"",OR($S$6="(все)",B221=$S$6)),MAX($AA$3:AA220)+1,"")</f>
      </c>
      <c r="AB221" s="133">
        <f>IFERROR(INDEX($C$4:$C$500,MATCH(ROW()-3,$AA$4:$AA$500,0)),"")</f>
      </c>
      <c r="AC221" s="133">
        <f>IF(OR(B221="",COUNTIF($B$4:B221,B221)&gt;1),"",MAX($AC$3:AC220)+1)</f>
      </c>
      <c r="AD221" s="133">
        <f>IFERROR(INDEX($B$4:$B$500,MATCH(ROW()-3,$AC$4:$AC$500,0)),"")</f>
      </c>
      <c r="AE221" s="133">
        <f>IF(AND(A221&lt;&gt;"",N(P221)&gt;0),IFERROR(MATCH(A221,$R$12:$R$25,0),99)*1000+ROW(),"")</f>
      </c>
      <c r="AF221" s="133">
        <f>IF(AE221="","",COUNTIF($AE$4:$AE$500,"&lt;="&amp;AE221))</f>
      </c>
    </row>
    <row r="222">
      <c r="A222" s="265"/>
      <c r="B222" s="265"/>
      <c r="C222" s="265"/>
      <c r="D222" s="265"/>
      <c r="E222" s="265"/>
      <c r="F222" s="265"/>
      <c r="G222" s="265"/>
      <c r="H222" s="265"/>
      <c r="I222" s="265"/>
      <c r="J222" s="265"/>
      <c r="K222" s="265"/>
      <c r="L222" s="265"/>
      <c r="M222" s="265"/>
      <c r="N222" s="133">
        <f>IF(OR(A222="Автомат",A222="Дифавтомат"),IF(W222="","",COUNTIF(Однолинейка!$H$3:$H$1000,U222)),IF(A222="Аппарат",IF(C222="","",COUNTIF(Однолинейка!$I$3:$I$1000,C222)+COUNTIF(Однолинейка!$J$3:$J$1000,C222)+COUNTIF(Однолинейка!$K$3:$K$1000,C222)),IF(A222="Модуль",IF(C222="","",COUNTIFS(Однолинейка!$AW$3:$AW$1000,"?*",Однолинейка!$AI$3:$AI$1000,C222)),IF(A222="Клемма",IF(C222="","",IF(C222=$S$7,SUM(Однолинейка!$BW$3:$BW$1000),IF(C222=$S$8,SUM(Однолинейка!$BX$3:$BX$1000),""))),""))))</f>
      </c>
      <c r="O222" s="265"/>
      <c r="P222" s="133">
        <f>IF(COUNT(N222,O222)=0,"",SUM(N222,O222))</f>
      </c>
      <c r="U222" s="133">
        <f>IF(OR(A222="Автомат",A222="Дифавтомат"),I222&amp;" С"&amp;J222&amp;"А"&amp;IF(K222="да"," 30мА",""),"")</f>
      </c>
      <c r="V222" s="133">
        <f>IF(U222="","",B222&amp;"|"&amp;U222)</f>
      </c>
      <c r="W222" s="133">
        <f>IF(AND(U222&lt;&gt;"",OR($S$4="(все)",B222=$S$4),IF($S$4="(все)",COUNTIF($U$4:U222,U222),COUNTIFS($U$4:U222,U222,$B$4:B222,B222))=1),MAX($W$3:W221)+1,"")</f>
      </c>
      <c r="X222" s="133">
        <f>IFERROR(INDEX($U$4:$U$500,MATCH(ROW()-3,$W$4:$W$500,0)),"")</f>
      </c>
      <c r="Y222" s="133">
        <f>IF(AND(A222="Аппарат",C222&lt;&gt;"",OR($S$5="(все)",B222=$S$5)),MAX($Y$3:Y221)+1,"")</f>
      </c>
      <c r="Z222" s="133">
        <f>IFERROR(INDEX($C$4:$C$500,MATCH(ROW()-3,$Y$4:$Y$500,0)),"")</f>
      </c>
      <c r="AA222" s="133">
        <f>IF(AND(A222="Модуль",C222&lt;&gt;"",OR($S$6="(все)",B222=$S$6)),MAX($AA$3:AA221)+1,"")</f>
      </c>
      <c r="AB222" s="133">
        <f>IFERROR(INDEX($C$4:$C$500,MATCH(ROW()-3,$AA$4:$AA$500,0)),"")</f>
      </c>
      <c r="AC222" s="133">
        <f>IF(OR(B222="",COUNTIF($B$4:B222,B222)&gt;1),"",MAX($AC$3:AC221)+1)</f>
      </c>
      <c r="AD222" s="133">
        <f>IFERROR(INDEX($B$4:$B$500,MATCH(ROW()-3,$AC$4:$AC$500,0)),"")</f>
      </c>
      <c r="AE222" s="133">
        <f>IF(AND(A222&lt;&gt;"",N(P222)&gt;0),IFERROR(MATCH(A222,$R$12:$R$25,0),99)*1000+ROW(),"")</f>
      </c>
      <c r="AF222" s="133">
        <f>IF(AE222="","",COUNTIF($AE$4:$AE$500,"&lt;="&amp;AE222))</f>
      </c>
    </row>
    <row r="223">
      <c r="A223" s="265"/>
      <c r="B223" s="265"/>
      <c r="C223" s="265"/>
      <c r="D223" s="265"/>
      <c r="E223" s="265"/>
      <c r="F223" s="265"/>
      <c r="G223" s="265"/>
      <c r="H223" s="265"/>
      <c r="I223" s="265"/>
      <c r="J223" s="265"/>
      <c r="K223" s="265"/>
      <c r="L223" s="265"/>
      <c r="M223" s="265"/>
      <c r="N223" s="133">
        <f>IF(OR(A223="Автомат",A223="Дифавтомат"),IF(W223="","",COUNTIF(Однолинейка!$H$3:$H$1000,U223)),IF(A223="Аппарат",IF(C223="","",COUNTIF(Однолинейка!$I$3:$I$1000,C223)+COUNTIF(Однолинейка!$J$3:$J$1000,C223)+COUNTIF(Однолинейка!$K$3:$K$1000,C223)),IF(A223="Модуль",IF(C223="","",COUNTIFS(Однолинейка!$AW$3:$AW$1000,"?*",Однолинейка!$AI$3:$AI$1000,C223)),IF(A223="Клемма",IF(C223="","",IF(C223=$S$7,SUM(Однолинейка!$BW$3:$BW$1000),IF(C223=$S$8,SUM(Однолинейка!$BX$3:$BX$1000),""))),""))))</f>
      </c>
      <c r="O223" s="265"/>
      <c r="P223" s="133">
        <f>IF(COUNT(N223,O223)=0,"",SUM(N223,O223))</f>
      </c>
      <c r="U223" s="133">
        <f>IF(OR(A223="Автомат",A223="Дифавтомат"),I223&amp;" С"&amp;J223&amp;"А"&amp;IF(K223="да"," 30мА",""),"")</f>
      </c>
      <c r="V223" s="133">
        <f>IF(U223="","",B223&amp;"|"&amp;U223)</f>
      </c>
      <c r="W223" s="133">
        <f>IF(AND(U223&lt;&gt;"",OR($S$4="(все)",B223=$S$4),IF($S$4="(все)",COUNTIF($U$4:U223,U223),COUNTIFS($U$4:U223,U223,$B$4:B223,B223))=1),MAX($W$3:W222)+1,"")</f>
      </c>
      <c r="X223" s="133">
        <f>IFERROR(INDEX($U$4:$U$500,MATCH(ROW()-3,$W$4:$W$500,0)),"")</f>
      </c>
      <c r="Y223" s="133">
        <f>IF(AND(A223="Аппарат",C223&lt;&gt;"",OR($S$5="(все)",B223=$S$5)),MAX($Y$3:Y222)+1,"")</f>
      </c>
      <c r="Z223" s="133">
        <f>IFERROR(INDEX($C$4:$C$500,MATCH(ROW()-3,$Y$4:$Y$500,0)),"")</f>
      </c>
      <c r="AA223" s="133">
        <f>IF(AND(A223="Модуль",C223&lt;&gt;"",OR($S$6="(все)",B223=$S$6)),MAX($AA$3:AA222)+1,"")</f>
      </c>
      <c r="AB223" s="133">
        <f>IFERROR(INDEX($C$4:$C$500,MATCH(ROW()-3,$AA$4:$AA$500,0)),"")</f>
      </c>
      <c r="AC223" s="133">
        <f>IF(OR(B223="",COUNTIF($B$4:B223,B223)&gt;1),"",MAX($AC$3:AC222)+1)</f>
      </c>
      <c r="AD223" s="133">
        <f>IFERROR(INDEX($B$4:$B$500,MATCH(ROW()-3,$AC$4:$AC$500,0)),"")</f>
      </c>
      <c r="AE223" s="133">
        <f>IF(AND(A223&lt;&gt;"",N(P223)&gt;0),IFERROR(MATCH(A223,$R$12:$R$25,0),99)*1000+ROW(),"")</f>
      </c>
      <c r="AF223" s="133">
        <f>IF(AE223="","",COUNTIF($AE$4:$AE$500,"&lt;="&amp;AE223))</f>
      </c>
    </row>
    <row r="224">
      <c r="A224" s="265"/>
      <c r="B224" s="265"/>
      <c r="C224" s="265"/>
      <c r="D224" s="265"/>
      <c r="E224" s="265"/>
      <c r="F224" s="265"/>
      <c r="G224" s="265"/>
      <c r="H224" s="265"/>
      <c r="I224" s="265"/>
      <c r="J224" s="265"/>
      <c r="K224" s="265"/>
      <c r="L224" s="265"/>
      <c r="M224" s="265"/>
      <c r="N224" s="133">
        <f>IF(OR(A224="Автомат",A224="Дифавтомат"),IF(W224="","",COUNTIF(Однолинейка!$H$3:$H$1000,U224)),IF(A224="Аппарат",IF(C224="","",COUNTIF(Однолинейка!$I$3:$I$1000,C224)+COUNTIF(Однолинейка!$J$3:$J$1000,C224)+COUNTIF(Однолинейка!$K$3:$K$1000,C224)),IF(A224="Модуль",IF(C224="","",COUNTIFS(Однолинейка!$AW$3:$AW$1000,"?*",Однолинейка!$AI$3:$AI$1000,C224)),IF(A224="Клемма",IF(C224="","",IF(C224=$S$7,SUM(Однолинейка!$BW$3:$BW$1000),IF(C224=$S$8,SUM(Однолинейка!$BX$3:$BX$1000),""))),""))))</f>
      </c>
      <c r="O224" s="265"/>
      <c r="P224" s="133">
        <f>IF(COUNT(N224,O224)=0,"",SUM(N224,O224))</f>
      </c>
      <c r="U224" s="133">
        <f>IF(OR(A224="Автомат",A224="Дифавтомат"),I224&amp;" С"&amp;J224&amp;"А"&amp;IF(K224="да"," 30мА",""),"")</f>
      </c>
      <c r="V224" s="133">
        <f>IF(U224="","",B224&amp;"|"&amp;U224)</f>
      </c>
      <c r="W224" s="133">
        <f>IF(AND(U224&lt;&gt;"",OR($S$4="(все)",B224=$S$4),IF($S$4="(все)",COUNTIF($U$4:U224,U224),COUNTIFS($U$4:U224,U224,$B$4:B224,B224))=1),MAX($W$3:W223)+1,"")</f>
      </c>
      <c r="X224" s="133">
        <f>IFERROR(INDEX($U$4:$U$500,MATCH(ROW()-3,$W$4:$W$500,0)),"")</f>
      </c>
      <c r="Y224" s="133">
        <f>IF(AND(A224="Аппарат",C224&lt;&gt;"",OR($S$5="(все)",B224=$S$5)),MAX($Y$3:Y223)+1,"")</f>
      </c>
      <c r="Z224" s="133">
        <f>IFERROR(INDEX($C$4:$C$500,MATCH(ROW()-3,$Y$4:$Y$500,0)),"")</f>
      </c>
      <c r="AA224" s="133">
        <f>IF(AND(A224="Модуль",C224&lt;&gt;"",OR($S$6="(все)",B224=$S$6)),MAX($AA$3:AA223)+1,"")</f>
      </c>
      <c r="AB224" s="133">
        <f>IFERROR(INDEX($C$4:$C$500,MATCH(ROW()-3,$AA$4:$AA$500,0)),"")</f>
      </c>
      <c r="AC224" s="133">
        <f>IF(OR(B224="",COUNTIF($B$4:B224,B224)&gt;1),"",MAX($AC$3:AC223)+1)</f>
      </c>
      <c r="AD224" s="133">
        <f>IFERROR(INDEX($B$4:$B$500,MATCH(ROW()-3,$AC$4:$AC$500,0)),"")</f>
      </c>
      <c r="AE224" s="133">
        <f>IF(AND(A224&lt;&gt;"",N(P224)&gt;0),IFERROR(MATCH(A224,$R$12:$R$25,0),99)*1000+ROW(),"")</f>
      </c>
      <c r="AF224" s="133">
        <f>IF(AE224="","",COUNTIF($AE$4:$AE$500,"&lt;="&amp;AE224))</f>
      </c>
    </row>
    <row r="225">
      <c r="A225" s="265"/>
      <c r="B225" s="265"/>
      <c r="C225" s="265"/>
      <c r="D225" s="265"/>
      <c r="E225" s="265"/>
      <c r="F225" s="265"/>
      <c r="G225" s="265"/>
      <c r="H225" s="265"/>
      <c r="I225" s="265"/>
      <c r="J225" s="265"/>
      <c r="K225" s="265"/>
      <c r="L225" s="265"/>
      <c r="M225" s="265"/>
      <c r="N225" s="133">
        <f>IF(OR(A225="Автомат",A225="Дифавтомат"),IF(W225="","",COUNTIF(Однолинейка!$H$3:$H$1000,U225)),IF(A225="Аппарат",IF(C225="","",COUNTIF(Однолинейка!$I$3:$I$1000,C225)+COUNTIF(Однолинейка!$J$3:$J$1000,C225)+COUNTIF(Однолинейка!$K$3:$K$1000,C225)),IF(A225="Модуль",IF(C225="","",COUNTIFS(Однолинейка!$AW$3:$AW$1000,"?*",Однолинейка!$AI$3:$AI$1000,C225)),IF(A225="Клемма",IF(C225="","",IF(C225=$S$7,SUM(Однолинейка!$BW$3:$BW$1000),IF(C225=$S$8,SUM(Однолинейка!$BX$3:$BX$1000),""))),""))))</f>
      </c>
      <c r="O225" s="265"/>
      <c r="P225" s="133">
        <f>IF(COUNT(N225,O225)=0,"",SUM(N225,O225))</f>
      </c>
      <c r="U225" s="133">
        <f>IF(OR(A225="Автомат",A225="Дифавтомат"),I225&amp;" С"&amp;J225&amp;"А"&amp;IF(K225="да"," 30мА",""),"")</f>
      </c>
      <c r="V225" s="133">
        <f>IF(U225="","",B225&amp;"|"&amp;U225)</f>
      </c>
      <c r="W225" s="133">
        <f>IF(AND(U225&lt;&gt;"",OR($S$4="(все)",B225=$S$4),IF($S$4="(все)",COUNTIF($U$4:U225,U225),COUNTIFS($U$4:U225,U225,$B$4:B225,B225))=1),MAX($W$3:W224)+1,"")</f>
      </c>
      <c r="X225" s="133">
        <f>IFERROR(INDEX($U$4:$U$500,MATCH(ROW()-3,$W$4:$W$500,0)),"")</f>
      </c>
      <c r="Y225" s="133">
        <f>IF(AND(A225="Аппарат",C225&lt;&gt;"",OR($S$5="(все)",B225=$S$5)),MAX($Y$3:Y224)+1,"")</f>
      </c>
      <c r="Z225" s="133">
        <f>IFERROR(INDEX($C$4:$C$500,MATCH(ROW()-3,$Y$4:$Y$500,0)),"")</f>
      </c>
      <c r="AA225" s="133">
        <f>IF(AND(A225="Модуль",C225&lt;&gt;"",OR($S$6="(все)",B225=$S$6)),MAX($AA$3:AA224)+1,"")</f>
      </c>
      <c r="AB225" s="133">
        <f>IFERROR(INDEX($C$4:$C$500,MATCH(ROW()-3,$AA$4:$AA$500,0)),"")</f>
      </c>
      <c r="AC225" s="133">
        <f>IF(OR(B225="",COUNTIF($B$4:B225,B225)&gt;1),"",MAX($AC$3:AC224)+1)</f>
      </c>
      <c r="AD225" s="133">
        <f>IFERROR(INDEX($B$4:$B$500,MATCH(ROW()-3,$AC$4:$AC$500,0)),"")</f>
      </c>
      <c r="AE225" s="133">
        <f>IF(AND(A225&lt;&gt;"",N(P225)&gt;0),IFERROR(MATCH(A225,$R$12:$R$25,0),99)*1000+ROW(),"")</f>
      </c>
      <c r="AF225" s="133">
        <f>IF(AE225="","",COUNTIF($AE$4:$AE$500,"&lt;="&amp;AE225))</f>
      </c>
    </row>
    <row r="226">
      <c r="A226" s="265"/>
      <c r="B226" s="265"/>
      <c r="C226" s="265"/>
      <c r="D226" s="265"/>
      <c r="E226" s="265"/>
      <c r="F226" s="265"/>
      <c r="G226" s="265"/>
      <c r="H226" s="265"/>
      <c r="I226" s="265"/>
      <c r="J226" s="265"/>
      <c r="K226" s="265"/>
      <c r="L226" s="265"/>
      <c r="M226" s="265"/>
      <c r="N226" s="133">
        <f>IF(OR(A226="Автомат",A226="Дифавтомат"),IF(W226="","",COUNTIF(Однолинейка!$H$3:$H$1000,U226)),IF(A226="Аппарат",IF(C226="","",COUNTIF(Однолинейка!$I$3:$I$1000,C226)+COUNTIF(Однолинейка!$J$3:$J$1000,C226)+COUNTIF(Однолинейка!$K$3:$K$1000,C226)),IF(A226="Модуль",IF(C226="","",COUNTIFS(Однолинейка!$AW$3:$AW$1000,"?*",Однолинейка!$AI$3:$AI$1000,C226)),IF(A226="Клемма",IF(C226="","",IF(C226=$S$7,SUM(Однолинейка!$BW$3:$BW$1000),IF(C226=$S$8,SUM(Однолинейка!$BX$3:$BX$1000),""))),""))))</f>
      </c>
      <c r="O226" s="265"/>
      <c r="P226" s="133">
        <f>IF(COUNT(N226,O226)=0,"",SUM(N226,O226))</f>
      </c>
      <c r="U226" s="133">
        <f>IF(OR(A226="Автомат",A226="Дифавтомат"),I226&amp;" С"&amp;J226&amp;"А"&amp;IF(K226="да"," 30мА",""),"")</f>
      </c>
      <c r="V226" s="133">
        <f>IF(U226="","",B226&amp;"|"&amp;U226)</f>
      </c>
      <c r="W226" s="133">
        <f>IF(AND(U226&lt;&gt;"",OR($S$4="(все)",B226=$S$4),IF($S$4="(все)",COUNTIF($U$4:U226,U226),COUNTIFS($U$4:U226,U226,$B$4:B226,B226))=1),MAX($W$3:W225)+1,"")</f>
      </c>
      <c r="X226" s="133">
        <f>IFERROR(INDEX($U$4:$U$500,MATCH(ROW()-3,$W$4:$W$500,0)),"")</f>
      </c>
      <c r="Y226" s="133">
        <f>IF(AND(A226="Аппарат",C226&lt;&gt;"",OR($S$5="(все)",B226=$S$5)),MAX($Y$3:Y225)+1,"")</f>
      </c>
      <c r="Z226" s="133">
        <f>IFERROR(INDEX($C$4:$C$500,MATCH(ROW()-3,$Y$4:$Y$500,0)),"")</f>
      </c>
      <c r="AA226" s="133">
        <f>IF(AND(A226="Модуль",C226&lt;&gt;"",OR($S$6="(все)",B226=$S$6)),MAX($AA$3:AA225)+1,"")</f>
      </c>
      <c r="AB226" s="133">
        <f>IFERROR(INDEX($C$4:$C$500,MATCH(ROW()-3,$AA$4:$AA$500,0)),"")</f>
      </c>
      <c r="AC226" s="133">
        <f>IF(OR(B226="",COUNTIF($B$4:B226,B226)&gt;1),"",MAX($AC$3:AC225)+1)</f>
      </c>
      <c r="AD226" s="133">
        <f>IFERROR(INDEX($B$4:$B$500,MATCH(ROW()-3,$AC$4:$AC$500,0)),"")</f>
      </c>
      <c r="AE226" s="133">
        <f>IF(AND(A226&lt;&gt;"",N(P226)&gt;0),IFERROR(MATCH(A226,$R$12:$R$25,0),99)*1000+ROW(),"")</f>
      </c>
      <c r="AF226" s="133">
        <f>IF(AE226="","",COUNTIF($AE$4:$AE$500,"&lt;="&amp;AE226))</f>
      </c>
    </row>
    <row r="227">
      <c r="A227" s="265"/>
      <c r="B227" s="265"/>
      <c r="C227" s="265"/>
      <c r="D227" s="265"/>
      <c r="E227" s="265"/>
      <c r="F227" s="265"/>
      <c r="G227" s="265"/>
      <c r="H227" s="265"/>
      <c r="I227" s="265"/>
      <c r="J227" s="265"/>
      <c r="K227" s="265"/>
      <c r="L227" s="265"/>
      <c r="M227" s="265"/>
      <c r="N227" s="133">
        <f>IF(OR(A227="Автомат",A227="Дифавтомат"),IF(W227="","",COUNTIF(Однолинейка!$H$3:$H$1000,U227)),IF(A227="Аппарат",IF(C227="","",COUNTIF(Однолинейка!$I$3:$I$1000,C227)+COUNTIF(Однолинейка!$J$3:$J$1000,C227)+COUNTIF(Однолинейка!$K$3:$K$1000,C227)),IF(A227="Модуль",IF(C227="","",COUNTIFS(Однолинейка!$AW$3:$AW$1000,"?*",Однолинейка!$AI$3:$AI$1000,C227)),IF(A227="Клемма",IF(C227="","",IF(C227=$S$7,SUM(Однолинейка!$BW$3:$BW$1000),IF(C227=$S$8,SUM(Однолинейка!$BX$3:$BX$1000),""))),""))))</f>
      </c>
      <c r="O227" s="265"/>
      <c r="P227" s="133">
        <f>IF(COUNT(N227,O227)=0,"",SUM(N227,O227))</f>
      </c>
      <c r="U227" s="133">
        <f>IF(OR(A227="Автомат",A227="Дифавтомат"),I227&amp;" С"&amp;J227&amp;"А"&amp;IF(K227="да"," 30мА",""),"")</f>
      </c>
      <c r="V227" s="133">
        <f>IF(U227="","",B227&amp;"|"&amp;U227)</f>
      </c>
      <c r="W227" s="133">
        <f>IF(AND(U227&lt;&gt;"",OR($S$4="(все)",B227=$S$4),IF($S$4="(все)",COUNTIF($U$4:U227,U227),COUNTIFS($U$4:U227,U227,$B$4:B227,B227))=1),MAX($W$3:W226)+1,"")</f>
      </c>
      <c r="X227" s="133">
        <f>IFERROR(INDEX($U$4:$U$500,MATCH(ROW()-3,$W$4:$W$500,0)),"")</f>
      </c>
      <c r="Y227" s="133">
        <f>IF(AND(A227="Аппарат",C227&lt;&gt;"",OR($S$5="(все)",B227=$S$5)),MAX($Y$3:Y226)+1,"")</f>
      </c>
      <c r="Z227" s="133">
        <f>IFERROR(INDEX($C$4:$C$500,MATCH(ROW()-3,$Y$4:$Y$500,0)),"")</f>
      </c>
      <c r="AA227" s="133">
        <f>IF(AND(A227="Модуль",C227&lt;&gt;"",OR($S$6="(все)",B227=$S$6)),MAX($AA$3:AA226)+1,"")</f>
      </c>
      <c r="AB227" s="133">
        <f>IFERROR(INDEX($C$4:$C$500,MATCH(ROW()-3,$AA$4:$AA$500,0)),"")</f>
      </c>
      <c r="AC227" s="133">
        <f>IF(OR(B227="",COUNTIF($B$4:B227,B227)&gt;1),"",MAX($AC$3:AC226)+1)</f>
      </c>
      <c r="AD227" s="133">
        <f>IFERROR(INDEX($B$4:$B$500,MATCH(ROW()-3,$AC$4:$AC$500,0)),"")</f>
      </c>
      <c r="AE227" s="133">
        <f>IF(AND(A227&lt;&gt;"",N(P227)&gt;0),IFERROR(MATCH(A227,$R$12:$R$25,0),99)*1000+ROW(),"")</f>
      </c>
      <c r="AF227" s="133">
        <f>IF(AE227="","",COUNTIF($AE$4:$AE$500,"&lt;="&amp;AE227))</f>
      </c>
    </row>
    <row r="228">
      <c r="A228" s="265"/>
      <c r="B228" s="265"/>
      <c r="C228" s="265"/>
      <c r="D228" s="265"/>
      <c r="E228" s="265"/>
      <c r="F228" s="265"/>
      <c r="G228" s="265"/>
      <c r="H228" s="265"/>
      <c r="I228" s="265"/>
      <c r="J228" s="265"/>
      <c r="K228" s="265"/>
      <c r="L228" s="265"/>
      <c r="M228" s="265"/>
      <c r="N228" s="133">
        <f>IF(OR(A228="Автомат",A228="Дифавтомат"),IF(W228="","",COUNTIF(Однолинейка!$H$3:$H$1000,U228)),IF(A228="Аппарат",IF(C228="","",COUNTIF(Однолинейка!$I$3:$I$1000,C228)+COUNTIF(Однолинейка!$J$3:$J$1000,C228)+COUNTIF(Однолинейка!$K$3:$K$1000,C228)),IF(A228="Модуль",IF(C228="","",COUNTIFS(Однолинейка!$AW$3:$AW$1000,"?*",Однолинейка!$AI$3:$AI$1000,C228)),IF(A228="Клемма",IF(C228="","",IF(C228=$S$7,SUM(Однолинейка!$BW$3:$BW$1000),IF(C228=$S$8,SUM(Однолинейка!$BX$3:$BX$1000),""))),""))))</f>
      </c>
      <c r="O228" s="265"/>
      <c r="P228" s="133">
        <f>IF(COUNT(N228,O228)=0,"",SUM(N228,O228))</f>
      </c>
      <c r="U228" s="133">
        <f>IF(OR(A228="Автомат",A228="Дифавтомат"),I228&amp;" С"&amp;J228&amp;"А"&amp;IF(K228="да"," 30мА",""),"")</f>
      </c>
      <c r="V228" s="133">
        <f>IF(U228="","",B228&amp;"|"&amp;U228)</f>
      </c>
      <c r="W228" s="133">
        <f>IF(AND(U228&lt;&gt;"",OR($S$4="(все)",B228=$S$4),IF($S$4="(все)",COUNTIF($U$4:U228,U228),COUNTIFS($U$4:U228,U228,$B$4:B228,B228))=1),MAX($W$3:W227)+1,"")</f>
      </c>
      <c r="X228" s="133">
        <f>IFERROR(INDEX($U$4:$U$500,MATCH(ROW()-3,$W$4:$W$500,0)),"")</f>
      </c>
      <c r="Y228" s="133">
        <f>IF(AND(A228="Аппарат",C228&lt;&gt;"",OR($S$5="(все)",B228=$S$5)),MAX($Y$3:Y227)+1,"")</f>
      </c>
      <c r="Z228" s="133">
        <f>IFERROR(INDEX($C$4:$C$500,MATCH(ROW()-3,$Y$4:$Y$500,0)),"")</f>
      </c>
      <c r="AA228" s="133">
        <f>IF(AND(A228="Модуль",C228&lt;&gt;"",OR($S$6="(все)",B228=$S$6)),MAX($AA$3:AA227)+1,"")</f>
      </c>
      <c r="AB228" s="133">
        <f>IFERROR(INDEX($C$4:$C$500,MATCH(ROW()-3,$AA$4:$AA$500,0)),"")</f>
      </c>
      <c r="AC228" s="133">
        <f>IF(OR(B228="",COUNTIF($B$4:B228,B228)&gt;1),"",MAX($AC$3:AC227)+1)</f>
      </c>
      <c r="AD228" s="133">
        <f>IFERROR(INDEX($B$4:$B$500,MATCH(ROW()-3,$AC$4:$AC$500,0)),"")</f>
      </c>
      <c r="AE228" s="133">
        <f>IF(AND(A228&lt;&gt;"",N(P228)&gt;0),IFERROR(MATCH(A228,$R$12:$R$25,0),99)*1000+ROW(),"")</f>
      </c>
      <c r="AF228" s="133">
        <f>IF(AE228="","",COUNTIF($AE$4:$AE$500,"&lt;="&amp;AE228))</f>
      </c>
    </row>
    <row r="229">
      <c r="A229" s="265"/>
      <c r="B229" s="265"/>
      <c r="C229" s="265"/>
      <c r="D229" s="265"/>
      <c r="E229" s="265"/>
      <c r="F229" s="265"/>
      <c r="G229" s="265"/>
      <c r="H229" s="265"/>
      <c r="I229" s="265"/>
      <c r="J229" s="265"/>
      <c r="K229" s="265"/>
      <c r="L229" s="265"/>
      <c r="M229" s="265"/>
      <c r="N229" s="133">
        <f>IF(OR(A229="Автомат",A229="Дифавтомат"),IF(W229="","",COUNTIF(Однолинейка!$H$3:$H$1000,U229)),IF(A229="Аппарат",IF(C229="","",COUNTIF(Однолинейка!$I$3:$I$1000,C229)+COUNTIF(Однолинейка!$J$3:$J$1000,C229)+COUNTIF(Однолинейка!$K$3:$K$1000,C229)),IF(A229="Модуль",IF(C229="","",COUNTIFS(Однолинейка!$AW$3:$AW$1000,"?*",Однолинейка!$AI$3:$AI$1000,C229)),IF(A229="Клемма",IF(C229="","",IF(C229=$S$7,SUM(Однолинейка!$BW$3:$BW$1000),IF(C229=$S$8,SUM(Однолинейка!$BX$3:$BX$1000),""))),""))))</f>
      </c>
      <c r="O229" s="265"/>
      <c r="P229" s="133">
        <f>IF(COUNT(N229,O229)=0,"",SUM(N229,O229))</f>
      </c>
      <c r="U229" s="133">
        <f>IF(OR(A229="Автомат",A229="Дифавтомат"),I229&amp;" С"&amp;J229&amp;"А"&amp;IF(K229="да"," 30мА",""),"")</f>
      </c>
      <c r="V229" s="133">
        <f>IF(U229="","",B229&amp;"|"&amp;U229)</f>
      </c>
      <c r="W229" s="133">
        <f>IF(AND(U229&lt;&gt;"",OR($S$4="(все)",B229=$S$4),IF($S$4="(все)",COUNTIF($U$4:U229,U229),COUNTIFS($U$4:U229,U229,$B$4:B229,B229))=1),MAX($W$3:W228)+1,"")</f>
      </c>
      <c r="X229" s="133">
        <f>IFERROR(INDEX($U$4:$U$500,MATCH(ROW()-3,$W$4:$W$500,0)),"")</f>
      </c>
      <c r="Y229" s="133">
        <f>IF(AND(A229="Аппарат",C229&lt;&gt;"",OR($S$5="(все)",B229=$S$5)),MAX($Y$3:Y228)+1,"")</f>
      </c>
      <c r="Z229" s="133">
        <f>IFERROR(INDEX($C$4:$C$500,MATCH(ROW()-3,$Y$4:$Y$500,0)),"")</f>
      </c>
      <c r="AA229" s="133">
        <f>IF(AND(A229="Модуль",C229&lt;&gt;"",OR($S$6="(все)",B229=$S$6)),MAX($AA$3:AA228)+1,"")</f>
      </c>
      <c r="AB229" s="133">
        <f>IFERROR(INDEX($C$4:$C$500,MATCH(ROW()-3,$AA$4:$AA$500,0)),"")</f>
      </c>
      <c r="AC229" s="133">
        <f>IF(OR(B229="",COUNTIF($B$4:B229,B229)&gt;1),"",MAX($AC$3:AC228)+1)</f>
      </c>
      <c r="AD229" s="133">
        <f>IFERROR(INDEX($B$4:$B$500,MATCH(ROW()-3,$AC$4:$AC$500,0)),"")</f>
      </c>
      <c r="AE229" s="133">
        <f>IF(AND(A229&lt;&gt;"",N(P229)&gt;0),IFERROR(MATCH(A229,$R$12:$R$25,0),99)*1000+ROW(),"")</f>
      </c>
      <c r="AF229" s="133">
        <f>IF(AE229="","",COUNTIF($AE$4:$AE$500,"&lt;="&amp;AE229))</f>
      </c>
    </row>
    <row r="230">
      <c r="A230" s="265"/>
      <c r="B230" s="265"/>
      <c r="C230" s="265"/>
      <c r="D230" s="265"/>
      <c r="E230" s="265"/>
      <c r="F230" s="265"/>
      <c r="G230" s="265"/>
      <c r="H230" s="265"/>
      <c r="I230" s="265"/>
      <c r="J230" s="265"/>
      <c r="K230" s="265"/>
      <c r="L230" s="265"/>
      <c r="M230" s="265"/>
      <c r="N230" s="133">
        <f>IF(OR(A230="Автомат",A230="Дифавтомат"),IF(W230="","",COUNTIF(Однолинейка!$H$3:$H$1000,U230)),IF(A230="Аппарат",IF(C230="","",COUNTIF(Однолинейка!$I$3:$I$1000,C230)+COUNTIF(Однолинейка!$J$3:$J$1000,C230)+COUNTIF(Однолинейка!$K$3:$K$1000,C230)),IF(A230="Модуль",IF(C230="","",COUNTIFS(Однолинейка!$AW$3:$AW$1000,"?*",Однолинейка!$AI$3:$AI$1000,C230)),IF(A230="Клемма",IF(C230="","",IF(C230=$S$7,SUM(Однолинейка!$BW$3:$BW$1000),IF(C230=$S$8,SUM(Однолинейка!$BX$3:$BX$1000),""))),""))))</f>
      </c>
      <c r="O230" s="265"/>
      <c r="P230" s="133">
        <f>IF(COUNT(N230,O230)=0,"",SUM(N230,O230))</f>
      </c>
      <c r="U230" s="133">
        <f>IF(OR(A230="Автомат",A230="Дифавтомат"),I230&amp;" С"&amp;J230&amp;"А"&amp;IF(K230="да"," 30мА",""),"")</f>
      </c>
      <c r="V230" s="133">
        <f>IF(U230="","",B230&amp;"|"&amp;U230)</f>
      </c>
      <c r="W230" s="133">
        <f>IF(AND(U230&lt;&gt;"",OR($S$4="(все)",B230=$S$4),IF($S$4="(все)",COUNTIF($U$4:U230,U230),COUNTIFS($U$4:U230,U230,$B$4:B230,B230))=1),MAX($W$3:W229)+1,"")</f>
      </c>
      <c r="X230" s="133">
        <f>IFERROR(INDEX($U$4:$U$500,MATCH(ROW()-3,$W$4:$W$500,0)),"")</f>
      </c>
      <c r="Y230" s="133">
        <f>IF(AND(A230="Аппарат",C230&lt;&gt;"",OR($S$5="(все)",B230=$S$5)),MAX($Y$3:Y229)+1,"")</f>
      </c>
      <c r="Z230" s="133">
        <f>IFERROR(INDEX($C$4:$C$500,MATCH(ROW()-3,$Y$4:$Y$500,0)),"")</f>
      </c>
      <c r="AA230" s="133">
        <f>IF(AND(A230="Модуль",C230&lt;&gt;"",OR($S$6="(все)",B230=$S$6)),MAX($AA$3:AA229)+1,"")</f>
      </c>
      <c r="AB230" s="133">
        <f>IFERROR(INDEX($C$4:$C$500,MATCH(ROW()-3,$AA$4:$AA$500,0)),"")</f>
      </c>
      <c r="AC230" s="133">
        <f>IF(OR(B230="",COUNTIF($B$4:B230,B230)&gt;1),"",MAX($AC$3:AC229)+1)</f>
      </c>
      <c r="AD230" s="133">
        <f>IFERROR(INDEX($B$4:$B$500,MATCH(ROW()-3,$AC$4:$AC$500,0)),"")</f>
      </c>
      <c r="AE230" s="133">
        <f>IF(AND(A230&lt;&gt;"",N(P230)&gt;0),IFERROR(MATCH(A230,$R$12:$R$25,0),99)*1000+ROW(),"")</f>
      </c>
      <c r="AF230" s="133">
        <f>IF(AE230="","",COUNTIF($AE$4:$AE$500,"&lt;="&amp;AE230))</f>
      </c>
    </row>
    <row r="231">
      <c r="A231" s="265"/>
      <c r="B231" s="265"/>
      <c r="C231" s="265"/>
      <c r="D231" s="265"/>
      <c r="E231" s="265"/>
      <c r="F231" s="265"/>
      <c r="G231" s="265"/>
      <c r="H231" s="265"/>
      <c r="I231" s="265"/>
      <c r="J231" s="265"/>
      <c r="K231" s="265"/>
      <c r="L231" s="265"/>
      <c r="M231" s="265"/>
      <c r="N231" s="133">
        <f>IF(OR(A231="Автомат",A231="Дифавтомат"),IF(W231="","",COUNTIF(Однолинейка!$H$3:$H$1000,U231)),IF(A231="Аппарат",IF(C231="","",COUNTIF(Однолинейка!$I$3:$I$1000,C231)+COUNTIF(Однолинейка!$J$3:$J$1000,C231)+COUNTIF(Однолинейка!$K$3:$K$1000,C231)),IF(A231="Модуль",IF(C231="","",COUNTIFS(Однолинейка!$AW$3:$AW$1000,"?*",Однолинейка!$AI$3:$AI$1000,C231)),IF(A231="Клемма",IF(C231="","",IF(C231=$S$7,SUM(Однолинейка!$BW$3:$BW$1000),IF(C231=$S$8,SUM(Однолинейка!$BX$3:$BX$1000),""))),""))))</f>
      </c>
      <c r="O231" s="265"/>
      <c r="P231" s="133">
        <f>IF(COUNT(N231,O231)=0,"",SUM(N231,O231))</f>
      </c>
      <c r="U231" s="133">
        <f>IF(OR(A231="Автомат",A231="Дифавтомат"),I231&amp;" С"&amp;J231&amp;"А"&amp;IF(K231="да"," 30мА",""),"")</f>
      </c>
      <c r="V231" s="133">
        <f>IF(U231="","",B231&amp;"|"&amp;U231)</f>
      </c>
      <c r="W231" s="133">
        <f>IF(AND(U231&lt;&gt;"",OR($S$4="(все)",B231=$S$4),IF($S$4="(все)",COUNTIF($U$4:U231,U231),COUNTIFS($U$4:U231,U231,$B$4:B231,B231))=1),MAX($W$3:W230)+1,"")</f>
      </c>
      <c r="X231" s="133">
        <f>IFERROR(INDEX($U$4:$U$500,MATCH(ROW()-3,$W$4:$W$500,0)),"")</f>
      </c>
      <c r="Y231" s="133">
        <f>IF(AND(A231="Аппарат",C231&lt;&gt;"",OR($S$5="(все)",B231=$S$5)),MAX($Y$3:Y230)+1,"")</f>
      </c>
      <c r="Z231" s="133">
        <f>IFERROR(INDEX($C$4:$C$500,MATCH(ROW()-3,$Y$4:$Y$500,0)),"")</f>
      </c>
      <c r="AA231" s="133">
        <f>IF(AND(A231="Модуль",C231&lt;&gt;"",OR($S$6="(все)",B231=$S$6)),MAX($AA$3:AA230)+1,"")</f>
      </c>
      <c r="AB231" s="133">
        <f>IFERROR(INDEX($C$4:$C$500,MATCH(ROW()-3,$AA$4:$AA$500,0)),"")</f>
      </c>
      <c r="AC231" s="133">
        <f>IF(OR(B231="",COUNTIF($B$4:B231,B231)&gt;1),"",MAX($AC$3:AC230)+1)</f>
      </c>
      <c r="AD231" s="133">
        <f>IFERROR(INDEX($B$4:$B$500,MATCH(ROW()-3,$AC$4:$AC$500,0)),"")</f>
      </c>
      <c r="AE231" s="133">
        <f>IF(AND(A231&lt;&gt;"",N(P231)&gt;0),IFERROR(MATCH(A231,$R$12:$R$25,0),99)*1000+ROW(),"")</f>
      </c>
      <c r="AF231" s="133">
        <f>IF(AE231="","",COUNTIF($AE$4:$AE$500,"&lt;="&amp;AE231))</f>
      </c>
    </row>
    <row r="232">
      <c r="A232" s="265"/>
      <c r="B232" s="265"/>
      <c r="C232" s="265"/>
      <c r="D232" s="265"/>
      <c r="E232" s="265"/>
      <c r="F232" s="265"/>
      <c r="G232" s="265"/>
      <c r="H232" s="265"/>
      <c r="I232" s="265"/>
      <c r="J232" s="265"/>
      <c r="K232" s="265"/>
      <c r="L232" s="265"/>
      <c r="M232" s="265"/>
      <c r="N232" s="133">
        <f>IF(OR(A232="Автомат",A232="Дифавтомат"),IF(W232="","",COUNTIF(Однолинейка!$H$3:$H$1000,U232)),IF(A232="Аппарат",IF(C232="","",COUNTIF(Однолинейка!$I$3:$I$1000,C232)+COUNTIF(Однолинейка!$J$3:$J$1000,C232)+COUNTIF(Однолинейка!$K$3:$K$1000,C232)),IF(A232="Модуль",IF(C232="","",COUNTIFS(Однолинейка!$AW$3:$AW$1000,"?*",Однолинейка!$AI$3:$AI$1000,C232)),IF(A232="Клемма",IF(C232="","",IF(C232=$S$7,SUM(Однолинейка!$BW$3:$BW$1000),IF(C232=$S$8,SUM(Однолинейка!$BX$3:$BX$1000),""))),""))))</f>
      </c>
      <c r="O232" s="265"/>
      <c r="P232" s="133">
        <f>IF(COUNT(N232,O232)=0,"",SUM(N232,O232))</f>
      </c>
      <c r="U232" s="133">
        <f>IF(OR(A232="Автомат",A232="Дифавтомат"),I232&amp;" С"&amp;J232&amp;"А"&amp;IF(K232="да"," 30мА",""),"")</f>
      </c>
      <c r="V232" s="133">
        <f>IF(U232="","",B232&amp;"|"&amp;U232)</f>
      </c>
      <c r="W232" s="133">
        <f>IF(AND(U232&lt;&gt;"",OR($S$4="(все)",B232=$S$4),IF($S$4="(все)",COUNTIF($U$4:U232,U232),COUNTIFS($U$4:U232,U232,$B$4:B232,B232))=1),MAX($W$3:W231)+1,"")</f>
      </c>
      <c r="X232" s="133">
        <f>IFERROR(INDEX($U$4:$U$500,MATCH(ROW()-3,$W$4:$W$500,0)),"")</f>
      </c>
      <c r="Y232" s="133">
        <f>IF(AND(A232="Аппарат",C232&lt;&gt;"",OR($S$5="(все)",B232=$S$5)),MAX($Y$3:Y231)+1,"")</f>
      </c>
      <c r="Z232" s="133">
        <f>IFERROR(INDEX($C$4:$C$500,MATCH(ROW()-3,$Y$4:$Y$500,0)),"")</f>
      </c>
      <c r="AA232" s="133">
        <f>IF(AND(A232="Модуль",C232&lt;&gt;"",OR($S$6="(все)",B232=$S$6)),MAX($AA$3:AA231)+1,"")</f>
      </c>
      <c r="AB232" s="133">
        <f>IFERROR(INDEX($C$4:$C$500,MATCH(ROW()-3,$AA$4:$AA$500,0)),"")</f>
      </c>
      <c r="AC232" s="133">
        <f>IF(OR(B232="",COUNTIF($B$4:B232,B232)&gt;1),"",MAX($AC$3:AC231)+1)</f>
      </c>
      <c r="AD232" s="133">
        <f>IFERROR(INDEX($B$4:$B$500,MATCH(ROW()-3,$AC$4:$AC$500,0)),"")</f>
      </c>
      <c r="AE232" s="133">
        <f>IF(AND(A232&lt;&gt;"",N(P232)&gt;0),IFERROR(MATCH(A232,$R$12:$R$25,0),99)*1000+ROW(),"")</f>
      </c>
      <c r="AF232" s="133">
        <f>IF(AE232="","",COUNTIF($AE$4:$AE$500,"&lt;="&amp;AE232))</f>
      </c>
    </row>
    <row r="233">
      <c r="A233" s="265"/>
      <c r="B233" s="265"/>
      <c r="C233" s="265"/>
      <c r="D233" s="265"/>
      <c r="E233" s="265"/>
      <c r="F233" s="265"/>
      <c r="G233" s="265"/>
      <c r="H233" s="265"/>
      <c r="I233" s="265"/>
      <c r="J233" s="265"/>
      <c r="K233" s="265"/>
      <c r="L233" s="265"/>
      <c r="M233" s="265"/>
      <c r="N233" s="133">
        <f>IF(OR(A233="Автомат",A233="Дифавтомат"),IF(W233="","",COUNTIF(Однолинейка!$H$3:$H$1000,U233)),IF(A233="Аппарат",IF(C233="","",COUNTIF(Однолинейка!$I$3:$I$1000,C233)+COUNTIF(Однолинейка!$J$3:$J$1000,C233)+COUNTIF(Однолинейка!$K$3:$K$1000,C233)),IF(A233="Модуль",IF(C233="","",COUNTIFS(Однолинейка!$AW$3:$AW$1000,"?*",Однолинейка!$AI$3:$AI$1000,C233)),IF(A233="Клемма",IF(C233="","",IF(C233=$S$7,SUM(Однолинейка!$BW$3:$BW$1000),IF(C233=$S$8,SUM(Однолинейка!$BX$3:$BX$1000),""))),""))))</f>
      </c>
      <c r="O233" s="265"/>
      <c r="P233" s="133">
        <f>IF(COUNT(N233,O233)=0,"",SUM(N233,O233))</f>
      </c>
      <c r="U233" s="133">
        <f>IF(OR(A233="Автомат",A233="Дифавтомат"),I233&amp;" С"&amp;J233&amp;"А"&amp;IF(K233="да"," 30мА",""),"")</f>
      </c>
      <c r="V233" s="133">
        <f>IF(U233="","",B233&amp;"|"&amp;U233)</f>
      </c>
      <c r="W233" s="133">
        <f>IF(AND(U233&lt;&gt;"",OR($S$4="(все)",B233=$S$4),IF($S$4="(все)",COUNTIF($U$4:U233,U233),COUNTIFS($U$4:U233,U233,$B$4:B233,B233))=1),MAX($W$3:W232)+1,"")</f>
      </c>
      <c r="X233" s="133">
        <f>IFERROR(INDEX($U$4:$U$500,MATCH(ROW()-3,$W$4:$W$500,0)),"")</f>
      </c>
      <c r="Y233" s="133">
        <f>IF(AND(A233="Аппарат",C233&lt;&gt;"",OR($S$5="(все)",B233=$S$5)),MAX($Y$3:Y232)+1,"")</f>
      </c>
      <c r="Z233" s="133">
        <f>IFERROR(INDEX($C$4:$C$500,MATCH(ROW()-3,$Y$4:$Y$500,0)),"")</f>
      </c>
      <c r="AA233" s="133">
        <f>IF(AND(A233="Модуль",C233&lt;&gt;"",OR($S$6="(все)",B233=$S$6)),MAX($AA$3:AA232)+1,"")</f>
      </c>
      <c r="AB233" s="133">
        <f>IFERROR(INDEX($C$4:$C$500,MATCH(ROW()-3,$AA$4:$AA$500,0)),"")</f>
      </c>
      <c r="AC233" s="133">
        <f>IF(OR(B233="",COUNTIF($B$4:B233,B233)&gt;1),"",MAX($AC$3:AC232)+1)</f>
      </c>
      <c r="AD233" s="133">
        <f>IFERROR(INDEX($B$4:$B$500,MATCH(ROW()-3,$AC$4:$AC$500,0)),"")</f>
      </c>
      <c r="AE233" s="133">
        <f>IF(AND(A233&lt;&gt;"",N(P233)&gt;0),IFERROR(MATCH(A233,$R$12:$R$25,0),99)*1000+ROW(),"")</f>
      </c>
      <c r="AF233" s="133">
        <f>IF(AE233="","",COUNTIF($AE$4:$AE$500,"&lt;="&amp;AE233))</f>
      </c>
    </row>
    <row r="234">
      <c r="A234" s="265"/>
      <c r="B234" s="265"/>
      <c r="C234" s="265"/>
      <c r="D234" s="265"/>
      <c r="E234" s="265"/>
      <c r="F234" s="265"/>
      <c r="G234" s="265"/>
      <c r="H234" s="265"/>
      <c r="I234" s="265"/>
      <c r="J234" s="265"/>
      <c r="K234" s="265"/>
      <c r="L234" s="265"/>
      <c r="M234" s="265"/>
      <c r="N234" s="133">
        <f>IF(OR(A234="Автомат",A234="Дифавтомат"),IF(W234="","",COUNTIF(Однолинейка!$H$3:$H$1000,U234)),IF(A234="Аппарат",IF(C234="","",COUNTIF(Однолинейка!$I$3:$I$1000,C234)+COUNTIF(Однолинейка!$J$3:$J$1000,C234)+COUNTIF(Однолинейка!$K$3:$K$1000,C234)),IF(A234="Модуль",IF(C234="","",COUNTIFS(Однолинейка!$AW$3:$AW$1000,"?*",Однолинейка!$AI$3:$AI$1000,C234)),IF(A234="Клемма",IF(C234="","",IF(C234=$S$7,SUM(Однолинейка!$BW$3:$BW$1000),IF(C234=$S$8,SUM(Однолинейка!$BX$3:$BX$1000),""))),""))))</f>
      </c>
      <c r="O234" s="265"/>
      <c r="P234" s="133">
        <f>IF(COUNT(N234,O234)=0,"",SUM(N234,O234))</f>
      </c>
      <c r="U234" s="133">
        <f>IF(OR(A234="Автомат",A234="Дифавтомат"),I234&amp;" С"&amp;J234&amp;"А"&amp;IF(K234="да"," 30мА",""),"")</f>
      </c>
      <c r="V234" s="133">
        <f>IF(U234="","",B234&amp;"|"&amp;U234)</f>
      </c>
      <c r="W234" s="133">
        <f>IF(AND(U234&lt;&gt;"",OR($S$4="(все)",B234=$S$4),IF($S$4="(все)",COUNTIF($U$4:U234,U234),COUNTIFS($U$4:U234,U234,$B$4:B234,B234))=1),MAX($W$3:W233)+1,"")</f>
      </c>
      <c r="X234" s="133">
        <f>IFERROR(INDEX($U$4:$U$500,MATCH(ROW()-3,$W$4:$W$500,0)),"")</f>
      </c>
      <c r="Y234" s="133">
        <f>IF(AND(A234="Аппарат",C234&lt;&gt;"",OR($S$5="(все)",B234=$S$5)),MAX($Y$3:Y233)+1,"")</f>
      </c>
      <c r="Z234" s="133">
        <f>IFERROR(INDEX($C$4:$C$500,MATCH(ROW()-3,$Y$4:$Y$500,0)),"")</f>
      </c>
      <c r="AA234" s="133">
        <f>IF(AND(A234="Модуль",C234&lt;&gt;"",OR($S$6="(все)",B234=$S$6)),MAX($AA$3:AA233)+1,"")</f>
      </c>
      <c r="AB234" s="133">
        <f>IFERROR(INDEX($C$4:$C$500,MATCH(ROW()-3,$AA$4:$AA$500,0)),"")</f>
      </c>
      <c r="AC234" s="133">
        <f>IF(OR(B234="",COUNTIF($B$4:B234,B234)&gt;1),"",MAX($AC$3:AC233)+1)</f>
      </c>
      <c r="AD234" s="133">
        <f>IFERROR(INDEX($B$4:$B$500,MATCH(ROW()-3,$AC$4:$AC$500,0)),"")</f>
      </c>
      <c r="AE234" s="133">
        <f>IF(AND(A234&lt;&gt;"",N(P234)&gt;0),IFERROR(MATCH(A234,$R$12:$R$25,0),99)*1000+ROW(),"")</f>
      </c>
      <c r="AF234" s="133">
        <f>IF(AE234="","",COUNTIF($AE$4:$AE$500,"&lt;="&amp;AE234))</f>
      </c>
    </row>
    <row r="235">
      <c r="A235" s="265"/>
      <c r="B235" s="265"/>
      <c r="C235" s="265"/>
      <c r="D235" s="265"/>
      <c r="E235" s="265"/>
      <c r="F235" s="265"/>
      <c r="G235" s="265"/>
      <c r="H235" s="265"/>
      <c r="I235" s="265"/>
      <c r="J235" s="265"/>
      <c r="K235" s="265"/>
      <c r="L235" s="265"/>
      <c r="M235" s="265"/>
      <c r="N235" s="133">
        <f>IF(OR(A235="Автомат",A235="Дифавтомат"),IF(W235="","",COUNTIF(Однолинейка!$H$3:$H$1000,U235)),IF(A235="Аппарат",IF(C235="","",COUNTIF(Однолинейка!$I$3:$I$1000,C235)+COUNTIF(Однолинейка!$J$3:$J$1000,C235)+COUNTIF(Однолинейка!$K$3:$K$1000,C235)),IF(A235="Модуль",IF(C235="","",COUNTIFS(Однолинейка!$AW$3:$AW$1000,"?*",Однолинейка!$AI$3:$AI$1000,C235)),IF(A235="Клемма",IF(C235="","",IF(C235=$S$7,SUM(Однолинейка!$BW$3:$BW$1000),IF(C235=$S$8,SUM(Однолинейка!$BX$3:$BX$1000),""))),""))))</f>
      </c>
      <c r="O235" s="265"/>
      <c r="P235" s="133">
        <f>IF(COUNT(N235,O235)=0,"",SUM(N235,O235))</f>
      </c>
      <c r="U235" s="133">
        <f>IF(OR(A235="Автомат",A235="Дифавтомат"),I235&amp;" С"&amp;J235&amp;"А"&amp;IF(K235="да"," 30мА",""),"")</f>
      </c>
      <c r="V235" s="133">
        <f>IF(U235="","",B235&amp;"|"&amp;U235)</f>
      </c>
      <c r="W235" s="133">
        <f>IF(AND(U235&lt;&gt;"",OR($S$4="(все)",B235=$S$4),IF($S$4="(все)",COUNTIF($U$4:U235,U235),COUNTIFS($U$4:U235,U235,$B$4:B235,B235))=1),MAX($W$3:W234)+1,"")</f>
      </c>
      <c r="X235" s="133">
        <f>IFERROR(INDEX($U$4:$U$500,MATCH(ROW()-3,$W$4:$W$500,0)),"")</f>
      </c>
      <c r="Y235" s="133">
        <f>IF(AND(A235="Аппарат",C235&lt;&gt;"",OR($S$5="(все)",B235=$S$5)),MAX($Y$3:Y234)+1,"")</f>
      </c>
      <c r="Z235" s="133">
        <f>IFERROR(INDEX($C$4:$C$500,MATCH(ROW()-3,$Y$4:$Y$500,0)),"")</f>
      </c>
      <c r="AA235" s="133">
        <f>IF(AND(A235="Модуль",C235&lt;&gt;"",OR($S$6="(все)",B235=$S$6)),MAX($AA$3:AA234)+1,"")</f>
      </c>
      <c r="AB235" s="133">
        <f>IFERROR(INDEX($C$4:$C$500,MATCH(ROW()-3,$AA$4:$AA$500,0)),"")</f>
      </c>
      <c r="AC235" s="133">
        <f>IF(OR(B235="",COUNTIF($B$4:B235,B235)&gt;1),"",MAX($AC$3:AC234)+1)</f>
      </c>
      <c r="AD235" s="133">
        <f>IFERROR(INDEX($B$4:$B$500,MATCH(ROW()-3,$AC$4:$AC$500,0)),"")</f>
      </c>
      <c r="AE235" s="133">
        <f>IF(AND(A235&lt;&gt;"",N(P235)&gt;0),IFERROR(MATCH(A235,$R$12:$R$25,0),99)*1000+ROW(),"")</f>
      </c>
      <c r="AF235" s="133">
        <f>IF(AE235="","",COUNTIF($AE$4:$AE$500,"&lt;="&amp;AE235))</f>
      </c>
    </row>
    <row r="236">
      <c r="A236" s="265"/>
      <c r="B236" s="265"/>
      <c r="C236" s="265"/>
      <c r="D236" s="265"/>
      <c r="E236" s="265"/>
      <c r="F236" s="265"/>
      <c r="G236" s="265"/>
      <c r="H236" s="265"/>
      <c r="I236" s="265"/>
      <c r="J236" s="265"/>
      <c r="K236" s="265"/>
      <c r="L236" s="265"/>
      <c r="M236" s="265"/>
      <c r="N236" s="133">
        <f>IF(OR(A236="Автомат",A236="Дифавтомат"),IF(W236="","",COUNTIF(Однолинейка!$H$3:$H$1000,U236)),IF(A236="Аппарат",IF(C236="","",COUNTIF(Однолинейка!$I$3:$I$1000,C236)+COUNTIF(Однолинейка!$J$3:$J$1000,C236)+COUNTIF(Однолинейка!$K$3:$K$1000,C236)),IF(A236="Модуль",IF(C236="","",COUNTIFS(Однолинейка!$AW$3:$AW$1000,"?*",Однолинейка!$AI$3:$AI$1000,C236)),IF(A236="Клемма",IF(C236="","",IF(C236=$S$7,SUM(Однолинейка!$BW$3:$BW$1000),IF(C236=$S$8,SUM(Однолинейка!$BX$3:$BX$1000),""))),""))))</f>
      </c>
      <c r="O236" s="265"/>
      <c r="P236" s="133">
        <f>IF(COUNT(N236,O236)=0,"",SUM(N236,O236))</f>
      </c>
      <c r="U236" s="133">
        <f>IF(OR(A236="Автомат",A236="Дифавтомат"),I236&amp;" С"&amp;J236&amp;"А"&amp;IF(K236="да"," 30мА",""),"")</f>
      </c>
      <c r="V236" s="133">
        <f>IF(U236="","",B236&amp;"|"&amp;U236)</f>
      </c>
      <c r="W236" s="133">
        <f>IF(AND(U236&lt;&gt;"",OR($S$4="(все)",B236=$S$4),IF($S$4="(все)",COUNTIF($U$4:U236,U236),COUNTIFS($U$4:U236,U236,$B$4:B236,B236))=1),MAX($W$3:W235)+1,"")</f>
      </c>
      <c r="X236" s="133">
        <f>IFERROR(INDEX($U$4:$U$500,MATCH(ROW()-3,$W$4:$W$500,0)),"")</f>
      </c>
      <c r="Y236" s="133">
        <f>IF(AND(A236="Аппарат",C236&lt;&gt;"",OR($S$5="(все)",B236=$S$5)),MAX($Y$3:Y235)+1,"")</f>
      </c>
      <c r="Z236" s="133">
        <f>IFERROR(INDEX($C$4:$C$500,MATCH(ROW()-3,$Y$4:$Y$500,0)),"")</f>
      </c>
      <c r="AA236" s="133">
        <f>IF(AND(A236="Модуль",C236&lt;&gt;"",OR($S$6="(все)",B236=$S$6)),MAX($AA$3:AA235)+1,"")</f>
      </c>
      <c r="AB236" s="133">
        <f>IFERROR(INDEX($C$4:$C$500,MATCH(ROW()-3,$AA$4:$AA$500,0)),"")</f>
      </c>
      <c r="AC236" s="133">
        <f>IF(OR(B236="",COUNTIF($B$4:B236,B236)&gt;1),"",MAX($AC$3:AC235)+1)</f>
      </c>
      <c r="AD236" s="133">
        <f>IFERROR(INDEX($B$4:$B$500,MATCH(ROW()-3,$AC$4:$AC$500,0)),"")</f>
      </c>
      <c r="AE236" s="133">
        <f>IF(AND(A236&lt;&gt;"",N(P236)&gt;0),IFERROR(MATCH(A236,$R$12:$R$25,0),99)*1000+ROW(),"")</f>
      </c>
      <c r="AF236" s="133">
        <f>IF(AE236="","",COUNTIF($AE$4:$AE$500,"&lt;="&amp;AE236))</f>
      </c>
    </row>
    <row r="237">
      <c r="A237" s="265"/>
      <c r="B237" s="265"/>
      <c r="C237" s="265"/>
      <c r="D237" s="265"/>
      <c r="E237" s="265"/>
      <c r="F237" s="265"/>
      <c r="G237" s="265"/>
      <c r="H237" s="265"/>
      <c r="I237" s="265"/>
      <c r="J237" s="265"/>
      <c r="K237" s="265"/>
      <c r="L237" s="265"/>
      <c r="M237" s="265"/>
      <c r="N237" s="133">
        <f>IF(OR(A237="Автомат",A237="Дифавтомат"),IF(W237="","",COUNTIF(Однолинейка!$H$3:$H$1000,U237)),IF(A237="Аппарат",IF(C237="","",COUNTIF(Однолинейка!$I$3:$I$1000,C237)+COUNTIF(Однолинейка!$J$3:$J$1000,C237)+COUNTIF(Однолинейка!$K$3:$K$1000,C237)),IF(A237="Модуль",IF(C237="","",COUNTIFS(Однолинейка!$AW$3:$AW$1000,"?*",Однолинейка!$AI$3:$AI$1000,C237)),IF(A237="Клемма",IF(C237="","",IF(C237=$S$7,SUM(Однолинейка!$BW$3:$BW$1000),IF(C237=$S$8,SUM(Однолинейка!$BX$3:$BX$1000),""))),""))))</f>
      </c>
      <c r="O237" s="265"/>
      <c r="P237" s="133">
        <f>IF(COUNT(N237,O237)=0,"",SUM(N237,O237))</f>
      </c>
      <c r="U237" s="133">
        <f>IF(OR(A237="Автомат",A237="Дифавтомат"),I237&amp;" С"&amp;J237&amp;"А"&amp;IF(K237="да"," 30мА",""),"")</f>
      </c>
      <c r="V237" s="133">
        <f>IF(U237="","",B237&amp;"|"&amp;U237)</f>
      </c>
      <c r="W237" s="133">
        <f>IF(AND(U237&lt;&gt;"",OR($S$4="(все)",B237=$S$4),IF($S$4="(все)",COUNTIF($U$4:U237,U237),COUNTIFS($U$4:U237,U237,$B$4:B237,B237))=1),MAX($W$3:W236)+1,"")</f>
      </c>
      <c r="X237" s="133">
        <f>IFERROR(INDEX($U$4:$U$500,MATCH(ROW()-3,$W$4:$W$500,0)),"")</f>
      </c>
      <c r="Y237" s="133">
        <f>IF(AND(A237="Аппарат",C237&lt;&gt;"",OR($S$5="(все)",B237=$S$5)),MAX($Y$3:Y236)+1,"")</f>
      </c>
      <c r="Z237" s="133">
        <f>IFERROR(INDEX($C$4:$C$500,MATCH(ROW()-3,$Y$4:$Y$500,0)),"")</f>
      </c>
      <c r="AA237" s="133">
        <f>IF(AND(A237="Модуль",C237&lt;&gt;"",OR($S$6="(все)",B237=$S$6)),MAX($AA$3:AA236)+1,"")</f>
      </c>
      <c r="AB237" s="133">
        <f>IFERROR(INDEX($C$4:$C$500,MATCH(ROW()-3,$AA$4:$AA$500,0)),"")</f>
      </c>
      <c r="AC237" s="133">
        <f>IF(OR(B237="",COUNTIF($B$4:B237,B237)&gt;1),"",MAX($AC$3:AC236)+1)</f>
      </c>
      <c r="AD237" s="133">
        <f>IFERROR(INDEX($B$4:$B$500,MATCH(ROW()-3,$AC$4:$AC$500,0)),"")</f>
      </c>
      <c r="AE237" s="133">
        <f>IF(AND(A237&lt;&gt;"",N(P237)&gt;0),IFERROR(MATCH(A237,$R$12:$R$25,0),99)*1000+ROW(),"")</f>
      </c>
      <c r="AF237" s="133">
        <f>IF(AE237="","",COUNTIF($AE$4:$AE$500,"&lt;="&amp;AE237))</f>
      </c>
    </row>
    <row r="238">
      <c r="A238" s="265"/>
      <c r="B238" s="265"/>
      <c r="C238" s="265"/>
      <c r="D238" s="265"/>
      <c r="E238" s="265"/>
      <c r="F238" s="265"/>
      <c r="G238" s="265"/>
      <c r="H238" s="265"/>
      <c r="I238" s="265"/>
      <c r="J238" s="265"/>
      <c r="K238" s="265"/>
      <c r="L238" s="265"/>
      <c r="M238" s="265"/>
      <c r="N238" s="133">
        <f>IF(OR(A238="Автомат",A238="Дифавтомат"),IF(W238="","",COUNTIF(Однолинейка!$H$3:$H$1000,U238)),IF(A238="Аппарат",IF(C238="","",COUNTIF(Однолинейка!$I$3:$I$1000,C238)+COUNTIF(Однолинейка!$J$3:$J$1000,C238)+COUNTIF(Однолинейка!$K$3:$K$1000,C238)),IF(A238="Модуль",IF(C238="","",COUNTIFS(Однолинейка!$AW$3:$AW$1000,"?*",Однолинейка!$AI$3:$AI$1000,C238)),IF(A238="Клемма",IF(C238="","",IF(C238=$S$7,SUM(Однолинейка!$BW$3:$BW$1000),IF(C238=$S$8,SUM(Однолинейка!$BX$3:$BX$1000),""))),""))))</f>
      </c>
      <c r="O238" s="265"/>
      <c r="P238" s="133">
        <f>IF(COUNT(N238,O238)=0,"",SUM(N238,O238))</f>
      </c>
      <c r="U238" s="133">
        <f>IF(OR(A238="Автомат",A238="Дифавтомат"),I238&amp;" С"&amp;J238&amp;"А"&amp;IF(K238="да"," 30мА",""),"")</f>
      </c>
      <c r="V238" s="133">
        <f>IF(U238="","",B238&amp;"|"&amp;U238)</f>
      </c>
      <c r="W238" s="133">
        <f>IF(AND(U238&lt;&gt;"",OR($S$4="(все)",B238=$S$4),IF($S$4="(все)",COUNTIF($U$4:U238,U238),COUNTIFS($U$4:U238,U238,$B$4:B238,B238))=1),MAX($W$3:W237)+1,"")</f>
      </c>
      <c r="X238" s="133">
        <f>IFERROR(INDEX($U$4:$U$500,MATCH(ROW()-3,$W$4:$W$500,0)),"")</f>
      </c>
      <c r="Y238" s="133">
        <f>IF(AND(A238="Аппарат",C238&lt;&gt;"",OR($S$5="(все)",B238=$S$5)),MAX($Y$3:Y237)+1,"")</f>
      </c>
      <c r="Z238" s="133">
        <f>IFERROR(INDEX($C$4:$C$500,MATCH(ROW()-3,$Y$4:$Y$500,0)),"")</f>
      </c>
      <c r="AA238" s="133">
        <f>IF(AND(A238="Модуль",C238&lt;&gt;"",OR($S$6="(все)",B238=$S$6)),MAX($AA$3:AA237)+1,"")</f>
      </c>
      <c r="AB238" s="133">
        <f>IFERROR(INDEX($C$4:$C$500,MATCH(ROW()-3,$AA$4:$AA$500,0)),"")</f>
      </c>
      <c r="AC238" s="133">
        <f>IF(OR(B238="",COUNTIF($B$4:B238,B238)&gt;1),"",MAX($AC$3:AC237)+1)</f>
      </c>
      <c r="AD238" s="133">
        <f>IFERROR(INDEX($B$4:$B$500,MATCH(ROW()-3,$AC$4:$AC$500,0)),"")</f>
      </c>
      <c r="AE238" s="133">
        <f>IF(AND(A238&lt;&gt;"",N(P238)&gt;0),IFERROR(MATCH(A238,$R$12:$R$25,0),99)*1000+ROW(),"")</f>
      </c>
      <c r="AF238" s="133">
        <f>IF(AE238="","",COUNTIF($AE$4:$AE$500,"&lt;="&amp;AE238))</f>
      </c>
    </row>
    <row r="239">
      <c r="A239" s="265"/>
      <c r="B239" s="265"/>
      <c r="C239" s="265"/>
      <c r="D239" s="265"/>
      <c r="E239" s="265"/>
      <c r="F239" s="265"/>
      <c r="G239" s="265"/>
      <c r="H239" s="265"/>
      <c r="I239" s="265"/>
      <c r="J239" s="265"/>
      <c r="K239" s="265"/>
      <c r="L239" s="265"/>
      <c r="M239" s="265"/>
      <c r="N239" s="133">
        <f>IF(OR(A239="Автомат",A239="Дифавтомат"),IF(W239="","",COUNTIF(Однолинейка!$H$3:$H$1000,U239)),IF(A239="Аппарат",IF(C239="","",COUNTIF(Однолинейка!$I$3:$I$1000,C239)+COUNTIF(Однолинейка!$J$3:$J$1000,C239)+COUNTIF(Однолинейка!$K$3:$K$1000,C239)),IF(A239="Модуль",IF(C239="","",COUNTIFS(Однолинейка!$AW$3:$AW$1000,"?*",Однолинейка!$AI$3:$AI$1000,C239)),IF(A239="Клемма",IF(C239="","",IF(C239=$S$7,SUM(Однолинейка!$BW$3:$BW$1000),IF(C239=$S$8,SUM(Однолинейка!$BX$3:$BX$1000),""))),""))))</f>
      </c>
      <c r="O239" s="265"/>
      <c r="P239" s="133">
        <f>IF(COUNT(N239,O239)=0,"",SUM(N239,O239))</f>
      </c>
      <c r="U239" s="133">
        <f>IF(OR(A239="Автомат",A239="Дифавтомат"),I239&amp;" С"&amp;J239&amp;"А"&amp;IF(K239="да"," 30мА",""),"")</f>
      </c>
      <c r="V239" s="133">
        <f>IF(U239="","",B239&amp;"|"&amp;U239)</f>
      </c>
      <c r="W239" s="133">
        <f>IF(AND(U239&lt;&gt;"",OR($S$4="(все)",B239=$S$4),IF($S$4="(все)",COUNTIF($U$4:U239,U239),COUNTIFS($U$4:U239,U239,$B$4:B239,B239))=1),MAX($W$3:W238)+1,"")</f>
      </c>
      <c r="X239" s="133">
        <f>IFERROR(INDEX($U$4:$U$500,MATCH(ROW()-3,$W$4:$W$500,0)),"")</f>
      </c>
      <c r="Y239" s="133">
        <f>IF(AND(A239="Аппарат",C239&lt;&gt;"",OR($S$5="(все)",B239=$S$5)),MAX($Y$3:Y238)+1,"")</f>
      </c>
      <c r="Z239" s="133">
        <f>IFERROR(INDEX($C$4:$C$500,MATCH(ROW()-3,$Y$4:$Y$500,0)),"")</f>
      </c>
      <c r="AA239" s="133">
        <f>IF(AND(A239="Модуль",C239&lt;&gt;"",OR($S$6="(все)",B239=$S$6)),MAX($AA$3:AA238)+1,"")</f>
      </c>
      <c r="AB239" s="133">
        <f>IFERROR(INDEX($C$4:$C$500,MATCH(ROW()-3,$AA$4:$AA$500,0)),"")</f>
      </c>
      <c r="AC239" s="133">
        <f>IF(OR(B239="",COUNTIF($B$4:B239,B239)&gt;1),"",MAX($AC$3:AC238)+1)</f>
      </c>
      <c r="AD239" s="133">
        <f>IFERROR(INDEX($B$4:$B$500,MATCH(ROW()-3,$AC$4:$AC$500,0)),"")</f>
      </c>
      <c r="AE239" s="133">
        <f>IF(AND(A239&lt;&gt;"",N(P239)&gt;0),IFERROR(MATCH(A239,$R$12:$R$25,0),99)*1000+ROW(),"")</f>
      </c>
      <c r="AF239" s="133">
        <f>IF(AE239="","",COUNTIF($AE$4:$AE$500,"&lt;="&amp;AE239))</f>
      </c>
    </row>
    <row r="240">
      <c r="A240" s="265"/>
      <c r="B240" s="265"/>
      <c r="C240" s="265"/>
      <c r="D240" s="265"/>
      <c r="E240" s="265"/>
      <c r="F240" s="265"/>
      <c r="G240" s="265"/>
      <c r="H240" s="265"/>
      <c r="I240" s="265"/>
      <c r="J240" s="265"/>
      <c r="K240" s="265"/>
      <c r="L240" s="265"/>
      <c r="M240" s="265"/>
      <c r="N240" s="133">
        <f>IF(OR(A240="Автомат",A240="Дифавтомат"),IF(W240="","",COUNTIF(Однолинейка!$H$3:$H$1000,U240)),IF(A240="Аппарат",IF(C240="","",COUNTIF(Однолинейка!$I$3:$I$1000,C240)+COUNTIF(Однолинейка!$J$3:$J$1000,C240)+COUNTIF(Однолинейка!$K$3:$K$1000,C240)),IF(A240="Модуль",IF(C240="","",COUNTIFS(Однолинейка!$AW$3:$AW$1000,"?*",Однолинейка!$AI$3:$AI$1000,C240)),IF(A240="Клемма",IF(C240="","",IF(C240=$S$7,SUM(Однолинейка!$BW$3:$BW$1000),IF(C240=$S$8,SUM(Однолинейка!$BX$3:$BX$1000),""))),""))))</f>
      </c>
      <c r="O240" s="265"/>
      <c r="P240" s="133">
        <f>IF(COUNT(N240,O240)=0,"",SUM(N240,O240))</f>
      </c>
      <c r="U240" s="133">
        <f>IF(OR(A240="Автомат",A240="Дифавтомат"),I240&amp;" С"&amp;J240&amp;"А"&amp;IF(K240="да"," 30мА",""),"")</f>
      </c>
      <c r="V240" s="133">
        <f>IF(U240="","",B240&amp;"|"&amp;U240)</f>
      </c>
      <c r="W240" s="133">
        <f>IF(AND(U240&lt;&gt;"",OR($S$4="(все)",B240=$S$4),IF($S$4="(все)",COUNTIF($U$4:U240,U240),COUNTIFS($U$4:U240,U240,$B$4:B240,B240))=1),MAX($W$3:W239)+1,"")</f>
      </c>
      <c r="X240" s="133">
        <f>IFERROR(INDEX($U$4:$U$500,MATCH(ROW()-3,$W$4:$W$500,0)),"")</f>
      </c>
      <c r="Y240" s="133">
        <f>IF(AND(A240="Аппарат",C240&lt;&gt;"",OR($S$5="(все)",B240=$S$5)),MAX($Y$3:Y239)+1,"")</f>
      </c>
      <c r="Z240" s="133">
        <f>IFERROR(INDEX($C$4:$C$500,MATCH(ROW()-3,$Y$4:$Y$500,0)),"")</f>
      </c>
      <c r="AA240" s="133">
        <f>IF(AND(A240="Модуль",C240&lt;&gt;"",OR($S$6="(все)",B240=$S$6)),MAX($AA$3:AA239)+1,"")</f>
      </c>
      <c r="AB240" s="133">
        <f>IFERROR(INDEX($C$4:$C$500,MATCH(ROW()-3,$AA$4:$AA$500,0)),"")</f>
      </c>
      <c r="AC240" s="133">
        <f>IF(OR(B240="",COUNTIF($B$4:B240,B240)&gt;1),"",MAX($AC$3:AC239)+1)</f>
      </c>
      <c r="AD240" s="133">
        <f>IFERROR(INDEX($B$4:$B$500,MATCH(ROW()-3,$AC$4:$AC$500,0)),"")</f>
      </c>
      <c r="AE240" s="133">
        <f>IF(AND(A240&lt;&gt;"",N(P240)&gt;0),IFERROR(MATCH(A240,$R$12:$R$25,0),99)*1000+ROW(),"")</f>
      </c>
      <c r="AF240" s="133">
        <f>IF(AE240="","",COUNTIF($AE$4:$AE$500,"&lt;="&amp;AE240))</f>
      </c>
    </row>
    <row r="241">
      <c r="A241" s="265"/>
      <c r="B241" s="265"/>
      <c r="C241" s="265"/>
      <c r="D241" s="265"/>
      <c r="E241" s="265"/>
      <c r="F241" s="265"/>
      <c r="G241" s="265"/>
      <c r="H241" s="265"/>
      <c r="I241" s="265"/>
      <c r="J241" s="265"/>
      <c r="K241" s="265"/>
      <c r="L241" s="265"/>
      <c r="M241" s="265"/>
      <c r="N241" s="133">
        <f>IF(OR(A241="Автомат",A241="Дифавтомат"),IF(W241="","",COUNTIF(Однолинейка!$H$3:$H$1000,U241)),IF(A241="Аппарат",IF(C241="","",COUNTIF(Однолинейка!$I$3:$I$1000,C241)+COUNTIF(Однолинейка!$J$3:$J$1000,C241)+COUNTIF(Однолинейка!$K$3:$K$1000,C241)),IF(A241="Модуль",IF(C241="","",COUNTIFS(Однолинейка!$AW$3:$AW$1000,"?*",Однолинейка!$AI$3:$AI$1000,C241)),IF(A241="Клемма",IF(C241="","",IF(C241=$S$7,SUM(Однолинейка!$BW$3:$BW$1000),IF(C241=$S$8,SUM(Однолинейка!$BX$3:$BX$1000),""))),""))))</f>
      </c>
      <c r="O241" s="265"/>
      <c r="P241" s="133">
        <f>IF(COUNT(N241,O241)=0,"",SUM(N241,O241))</f>
      </c>
      <c r="U241" s="133">
        <f>IF(OR(A241="Автомат",A241="Дифавтомат"),I241&amp;" С"&amp;J241&amp;"А"&amp;IF(K241="да"," 30мА",""),"")</f>
      </c>
      <c r="V241" s="133">
        <f>IF(U241="","",B241&amp;"|"&amp;U241)</f>
      </c>
      <c r="W241" s="133">
        <f>IF(AND(U241&lt;&gt;"",OR($S$4="(все)",B241=$S$4),IF($S$4="(все)",COUNTIF($U$4:U241,U241),COUNTIFS($U$4:U241,U241,$B$4:B241,B241))=1),MAX($W$3:W240)+1,"")</f>
      </c>
      <c r="X241" s="133">
        <f>IFERROR(INDEX($U$4:$U$500,MATCH(ROW()-3,$W$4:$W$500,0)),"")</f>
      </c>
      <c r="Y241" s="133">
        <f>IF(AND(A241="Аппарат",C241&lt;&gt;"",OR($S$5="(все)",B241=$S$5)),MAX($Y$3:Y240)+1,"")</f>
      </c>
      <c r="Z241" s="133">
        <f>IFERROR(INDEX($C$4:$C$500,MATCH(ROW()-3,$Y$4:$Y$500,0)),"")</f>
      </c>
      <c r="AA241" s="133">
        <f>IF(AND(A241="Модуль",C241&lt;&gt;"",OR($S$6="(все)",B241=$S$6)),MAX($AA$3:AA240)+1,"")</f>
      </c>
      <c r="AB241" s="133">
        <f>IFERROR(INDEX($C$4:$C$500,MATCH(ROW()-3,$AA$4:$AA$500,0)),"")</f>
      </c>
      <c r="AC241" s="133">
        <f>IF(OR(B241="",COUNTIF($B$4:B241,B241)&gt;1),"",MAX($AC$3:AC240)+1)</f>
      </c>
      <c r="AD241" s="133">
        <f>IFERROR(INDEX($B$4:$B$500,MATCH(ROW()-3,$AC$4:$AC$500,0)),"")</f>
      </c>
      <c r="AE241" s="133">
        <f>IF(AND(A241&lt;&gt;"",N(P241)&gt;0),IFERROR(MATCH(A241,$R$12:$R$25,0),99)*1000+ROW(),"")</f>
      </c>
      <c r="AF241" s="133">
        <f>IF(AE241="","",COUNTIF($AE$4:$AE$500,"&lt;="&amp;AE241))</f>
      </c>
    </row>
    <row r="242">
      <c r="A242" s="265"/>
      <c r="B242" s="265"/>
      <c r="C242" s="265"/>
      <c r="D242" s="265"/>
      <c r="E242" s="265"/>
      <c r="F242" s="265"/>
      <c r="G242" s="265"/>
      <c r="H242" s="265"/>
      <c r="I242" s="265"/>
      <c r="J242" s="265"/>
      <c r="K242" s="265"/>
      <c r="L242" s="265"/>
      <c r="M242" s="265"/>
      <c r="N242" s="133">
        <f>IF(OR(A242="Автомат",A242="Дифавтомат"),IF(W242="","",COUNTIF(Однолинейка!$H$3:$H$1000,U242)),IF(A242="Аппарат",IF(C242="","",COUNTIF(Однолинейка!$I$3:$I$1000,C242)+COUNTIF(Однолинейка!$J$3:$J$1000,C242)+COUNTIF(Однолинейка!$K$3:$K$1000,C242)),IF(A242="Модуль",IF(C242="","",COUNTIFS(Однолинейка!$AW$3:$AW$1000,"?*",Однолинейка!$AI$3:$AI$1000,C242)),IF(A242="Клемма",IF(C242="","",IF(C242=$S$7,SUM(Однолинейка!$BW$3:$BW$1000),IF(C242=$S$8,SUM(Однолинейка!$BX$3:$BX$1000),""))),""))))</f>
      </c>
      <c r="O242" s="265"/>
      <c r="P242" s="133">
        <f>IF(COUNT(N242,O242)=0,"",SUM(N242,O242))</f>
      </c>
      <c r="U242" s="133">
        <f>IF(OR(A242="Автомат",A242="Дифавтомат"),I242&amp;" С"&amp;J242&amp;"А"&amp;IF(K242="да"," 30мА",""),"")</f>
      </c>
      <c r="V242" s="133">
        <f>IF(U242="","",B242&amp;"|"&amp;U242)</f>
      </c>
      <c r="W242" s="133">
        <f>IF(AND(U242&lt;&gt;"",OR($S$4="(все)",B242=$S$4),IF($S$4="(все)",COUNTIF($U$4:U242,U242),COUNTIFS($U$4:U242,U242,$B$4:B242,B242))=1),MAX($W$3:W241)+1,"")</f>
      </c>
      <c r="X242" s="133">
        <f>IFERROR(INDEX($U$4:$U$500,MATCH(ROW()-3,$W$4:$W$500,0)),"")</f>
      </c>
      <c r="Y242" s="133">
        <f>IF(AND(A242="Аппарат",C242&lt;&gt;"",OR($S$5="(все)",B242=$S$5)),MAX($Y$3:Y241)+1,"")</f>
      </c>
      <c r="Z242" s="133">
        <f>IFERROR(INDEX($C$4:$C$500,MATCH(ROW()-3,$Y$4:$Y$500,0)),"")</f>
      </c>
      <c r="AA242" s="133">
        <f>IF(AND(A242="Модуль",C242&lt;&gt;"",OR($S$6="(все)",B242=$S$6)),MAX($AA$3:AA241)+1,"")</f>
      </c>
      <c r="AB242" s="133">
        <f>IFERROR(INDEX($C$4:$C$500,MATCH(ROW()-3,$AA$4:$AA$500,0)),"")</f>
      </c>
      <c r="AC242" s="133">
        <f>IF(OR(B242="",COUNTIF($B$4:B242,B242)&gt;1),"",MAX($AC$3:AC241)+1)</f>
      </c>
      <c r="AD242" s="133">
        <f>IFERROR(INDEX($B$4:$B$500,MATCH(ROW()-3,$AC$4:$AC$500,0)),"")</f>
      </c>
      <c r="AE242" s="133">
        <f>IF(AND(A242&lt;&gt;"",N(P242)&gt;0),IFERROR(MATCH(A242,$R$12:$R$25,0),99)*1000+ROW(),"")</f>
      </c>
      <c r="AF242" s="133">
        <f>IF(AE242="","",COUNTIF($AE$4:$AE$500,"&lt;="&amp;AE242))</f>
      </c>
    </row>
    <row r="243">
      <c r="A243" s="265"/>
      <c r="B243" s="265"/>
      <c r="C243" s="265"/>
      <c r="D243" s="265"/>
      <c r="E243" s="265"/>
      <c r="F243" s="265"/>
      <c r="G243" s="265"/>
      <c r="H243" s="265"/>
      <c r="I243" s="265"/>
      <c r="J243" s="265"/>
      <c r="K243" s="265"/>
      <c r="L243" s="265"/>
      <c r="M243" s="265"/>
      <c r="N243" s="133">
        <f>IF(OR(A243="Автомат",A243="Дифавтомат"),IF(W243="","",COUNTIF(Однолинейка!$H$3:$H$1000,U243)),IF(A243="Аппарат",IF(C243="","",COUNTIF(Однолинейка!$I$3:$I$1000,C243)+COUNTIF(Однолинейка!$J$3:$J$1000,C243)+COUNTIF(Однолинейка!$K$3:$K$1000,C243)),IF(A243="Модуль",IF(C243="","",COUNTIFS(Однолинейка!$AW$3:$AW$1000,"?*",Однолинейка!$AI$3:$AI$1000,C243)),IF(A243="Клемма",IF(C243="","",IF(C243=$S$7,SUM(Однолинейка!$BW$3:$BW$1000),IF(C243=$S$8,SUM(Однолинейка!$BX$3:$BX$1000),""))),""))))</f>
      </c>
      <c r="O243" s="265"/>
      <c r="P243" s="133">
        <f>IF(COUNT(N243,O243)=0,"",SUM(N243,O243))</f>
      </c>
      <c r="U243" s="133">
        <f>IF(OR(A243="Автомат",A243="Дифавтомат"),I243&amp;" С"&amp;J243&amp;"А"&amp;IF(K243="да"," 30мА",""),"")</f>
      </c>
      <c r="V243" s="133">
        <f>IF(U243="","",B243&amp;"|"&amp;U243)</f>
      </c>
      <c r="W243" s="133">
        <f>IF(AND(U243&lt;&gt;"",OR($S$4="(все)",B243=$S$4),IF($S$4="(все)",COUNTIF($U$4:U243,U243),COUNTIFS($U$4:U243,U243,$B$4:B243,B243))=1),MAX($W$3:W242)+1,"")</f>
      </c>
      <c r="X243" s="133">
        <f>IFERROR(INDEX($U$4:$U$500,MATCH(ROW()-3,$W$4:$W$500,0)),"")</f>
      </c>
      <c r="Y243" s="133">
        <f>IF(AND(A243="Аппарат",C243&lt;&gt;"",OR($S$5="(все)",B243=$S$5)),MAX($Y$3:Y242)+1,"")</f>
      </c>
      <c r="Z243" s="133">
        <f>IFERROR(INDEX($C$4:$C$500,MATCH(ROW()-3,$Y$4:$Y$500,0)),"")</f>
      </c>
      <c r="AA243" s="133">
        <f>IF(AND(A243="Модуль",C243&lt;&gt;"",OR($S$6="(все)",B243=$S$6)),MAX($AA$3:AA242)+1,"")</f>
      </c>
      <c r="AB243" s="133">
        <f>IFERROR(INDEX($C$4:$C$500,MATCH(ROW()-3,$AA$4:$AA$500,0)),"")</f>
      </c>
      <c r="AC243" s="133">
        <f>IF(OR(B243="",COUNTIF($B$4:B243,B243)&gt;1),"",MAX($AC$3:AC242)+1)</f>
      </c>
      <c r="AD243" s="133">
        <f>IFERROR(INDEX($B$4:$B$500,MATCH(ROW()-3,$AC$4:$AC$500,0)),"")</f>
      </c>
      <c r="AE243" s="133">
        <f>IF(AND(A243&lt;&gt;"",N(P243)&gt;0),IFERROR(MATCH(A243,$R$12:$R$25,0),99)*1000+ROW(),"")</f>
      </c>
      <c r="AF243" s="133">
        <f>IF(AE243="","",COUNTIF($AE$4:$AE$500,"&lt;="&amp;AE243))</f>
      </c>
    </row>
    <row r="244">
      <c r="A244" s="265"/>
      <c r="B244" s="265"/>
      <c r="C244" s="265"/>
      <c r="D244" s="265"/>
      <c r="E244" s="265"/>
      <c r="F244" s="265"/>
      <c r="G244" s="265"/>
      <c r="H244" s="265"/>
      <c r="I244" s="265"/>
      <c r="J244" s="265"/>
      <c r="K244" s="265"/>
      <c r="L244" s="265"/>
      <c r="M244" s="265"/>
      <c r="N244" s="133">
        <f>IF(OR(A244="Автомат",A244="Дифавтомат"),IF(W244="","",COUNTIF(Однолинейка!$H$3:$H$1000,U244)),IF(A244="Аппарат",IF(C244="","",COUNTIF(Однолинейка!$I$3:$I$1000,C244)+COUNTIF(Однолинейка!$J$3:$J$1000,C244)+COUNTIF(Однолинейка!$K$3:$K$1000,C244)),IF(A244="Модуль",IF(C244="","",COUNTIFS(Однолинейка!$AW$3:$AW$1000,"?*",Однолинейка!$AI$3:$AI$1000,C244)),IF(A244="Клемма",IF(C244="","",IF(C244=$S$7,SUM(Однолинейка!$BW$3:$BW$1000),IF(C244=$S$8,SUM(Однолинейка!$BX$3:$BX$1000),""))),""))))</f>
      </c>
      <c r="O244" s="265"/>
      <c r="P244" s="133">
        <f>IF(COUNT(N244,O244)=0,"",SUM(N244,O244))</f>
      </c>
      <c r="U244" s="133">
        <f>IF(OR(A244="Автомат",A244="Дифавтомат"),I244&amp;" С"&amp;J244&amp;"А"&amp;IF(K244="да"," 30мА",""),"")</f>
      </c>
      <c r="V244" s="133">
        <f>IF(U244="","",B244&amp;"|"&amp;U244)</f>
      </c>
      <c r="W244" s="133">
        <f>IF(AND(U244&lt;&gt;"",OR($S$4="(все)",B244=$S$4),IF($S$4="(все)",COUNTIF($U$4:U244,U244),COUNTIFS($U$4:U244,U244,$B$4:B244,B244))=1),MAX($W$3:W243)+1,"")</f>
      </c>
      <c r="X244" s="133">
        <f>IFERROR(INDEX($U$4:$U$500,MATCH(ROW()-3,$W$4:$W$500,0)),"")</f>
      </c>
      <c r="Y244" s="133">
        <f>IF(AND(A244="Аппарат",C244&lt;&gt;"",OR($S$5="(все)",B244=$S$5)),MAX($Y$3:Y243)+1,"")</f>
      </c>
      <c r="Z244" s="133">
        <f>IFERROR(INDEX($C$4:$C$500,MATCH(ROW()-3,$Y$4:$Y$500,0)),"")</f>
      </c>
      <c r="AA244" s="133">
        <f>IF(AND(A244="Модуль",C244&lt;&gt;"",OR($S$6="(все)",B244=$S$6)),MAX($AA$3:AA243)+1,"")</f>
      </c>
      <c r="AB244" s="133">
        <f>IFERROR(INDEX($C$4:$C$500,MATCH(ROW()-3,$AA$4:$AA$500,0)),"")</f>
      </c>
      <c r="AC244" s="133">
        <f>IF(OR(B244="",COUNTIF($B$4:B244,B244)&gt;1),"",MAX($AC$3:AC243)+1)</f>
      </c>
      <c r="AD244" s="133">
        <f>IFERROR(INDEX($B$4:$B$500,MATCH(ROW()-3,$AC$4:$AC$500,0)),"")</f>
      </c>
      <c r="AE244" s="133">
        <f>IF(AND(A244&lt;&gt;"",N(P244)&gt;0),IFERROR(MATCH(A244,$R$12:$R$25,0),99)*1000+ROW(),"")</f>
      </c>
      <c r="AF244" s="133">
        <f>IF(AE244="","",COUNTIF($AE$4:$AE$500,"&lt;="&amp;AE244))</f>
      </c>
    </row>
    <row r="245">
      <c r="A245" s="265"/>
      <c r="B245" s="265"/>
      <c r="C245" s="265"/>
      <c r="D245" s="265"/>
      <c r="E245" s="265"/>
      <c r="F245" s="265"/>
      <c r="G245" s="265"/>
      <c r="H245" s="265"/>
      <c r="I245" s="265"/>
      <c r="J245" s="265"/>
      <c r="K245" s="265"/>
      <c r="L245" s="265"/>
      <c r="M245" s="265"/>
      <c r="N245" s="133">
        <f>IF(OR(A245="Автомат",A245="Дифавтомат"),IF(W245="","",COUNTIF(Однолинейка!$H$3:$H$1000,U245)),IF(A245="Аппарат",IF(C245="","",COUNTIF(Однолинейка!$I$3:$I$1000,C245)+COUNTIF(Однолинейка!$J$3:$J$1000,C245)+COUNTIF(Однолинейка!$K$3:$K$1000,C245)),IF(A245="Модуль",IF(C245="","",COUNTIFS(Однолинейка!$AW$3:$AW$1000,"?*",Однолинейка!$AI$3:$AI$1000,C245)),IF(A245="Клемма",IF(C245="","",IF(C245=$S$7,SUM(Однолинейка!$BW$3:$BW$1000),IF(C245=$S$8,SUM(Однолинейка!$BX$3:$BX$1000),""))),""))))</f>
      </c>
      <c r="O245" s="265"/>
      <c r="P245" s="133">
        <f>IF(COUNT(N245,O245)=0,"",SUM(N245,O245))</f>
      </c>
      <c r="U245" s="133">
        <f>IF(OR(A245="Автомат",A245="Дифавтомат"),I245&amp;" С"&amp;J245&amp;"А"&amp;IF(K245="да"," 30мА",""),"")</f>
      </c>
      <c r="V245" s="133">
        <f>IF(U245="","",B245&amp;"|"&amp;U245)</f>
      </c>
      <c r="W245" s="133">
        <f>IF(AND(U245&lt;&gt;"",OR($S$4="(все)",B245=$S$4),IF($S$4="(все)",COUNTIF($U$4:U245,U245),COUNTIFS($U$4:U245,U245,$B$4:B245,B245))=1),MAX($W$3:W244)+1,"")</f>
      </c>
      <c r="X245" s="133">
        <f>IFERROR(INDEX($U$4:$U$500,MATCH(ROW()-3,$W$4:$W$500,0)),"")</f>
      </c>
      <c r="Y245" s="133">
        <f>IF(AND(A245="Аппарат",C245&lt;&gt;"",OR($S$5="(все)",B245=$S$5)),MAX($Y$3:Y244)+1,"")</f>
      </c>
      <c r="Z245" s="133">
        <f>IFERROR(INDEX($C$4:$C$500,MATCH(ROW()-3,$Y$4:$Y$500,0)),"")</f>
      </c>
      <c r="AA245" s="133">
        <f>IF(AND(A245="Модуль",C245&lt;&gt;"",OR($S$6="(все)",B245=$S$6)),MAX($AA$3:AA244)+1,"")</f>
      </c>
      <c r="AB245" s="133">
        <f>IFERROR(INDEX($C$4:$C$500,MATCH(ROW()-3,$AA$4:$AA$500,0)),"")</f>
      </c>
      <c r="AC245" s="133">
        <f>IF(OR(B245="",COUNTIF($B$4:B245,B245)&gt;1),"",MAX($AC$3:AC244)+1)</f>
      </c>
      <c r="AD245" s="133">
        <f>IFERROR(INDEX($B$4:$B$500,MATCH(ROW()-3,$AC$4:$AC$500,0)),"")</f>
      </c>
      <c r="AE245" s="133">
        <f>IF(AND(A245&lt;&gt;"",N(P245)&gt;0),IFERROR(MATCH(A245,$R$12:$R$25,0),99)*1000+ROW(),"")</f>
      </c>
      <c r="AF245" s="133">
        <f>IF(AE245="","",COUNTIF($AE$4:$AE$500,"&lt;="&amp;AE245))</f>
      </c>
    </row>
    <row r="246">
      <c r="A246" s="265"/>
      <c r="B246" s="265"/>
      <c r="C246" s="265"/>
      <c r="D246" s="265"/>
      <c r="E246" s="265"/>
      <c r="F246" s="265"/>
      <c r="G246" s="265"/>
      <c r="H246" s="265"/>
      <c r="I246" s="265"/>
      <c r="J246" s="265"/>
      <c r="K246" s="265"/>
      <c r="L246" s="265"/>
      <c r="M246" s="265"/>
      <c r="N246" s="133">
        <f>IF(OR(A246="Автомат",A246="Дифавтомат"),IF(W246="","",COUNTIF(Однолинейка!$H$3:$H$1000,U246)),IF(A246="Аппарат",IF(C246="","",COUNTIF(Однолинейка!$I$3:$I$1000,C246)+COUNTIF(Однолинейка!$J$3:$J$1000,C246)+COUNTIF(Однолинейка!$K$3:$K$1000,C246)),IF(A246="Модуль",IF(C246="","",COUNTIFS(Однолинейка!$AW$3:$AW$1000,"?*",Однолинейка!$AI$3:$AI$1000,C246)),IF(A246="Клемма",IF(C246="","",IF(C246=$S$7,SUM(Однолинейка!$BW$3:$BW$1000),IF(C246=$S$8,SUM(Однолинейка!$BX$3:$BX$1000),""))),""))))</f>
      </c>
      <c r="O246" s="265"/>
      <c r="P246" s="133">
        <f>IF(COUNT(N246,O246)=0,"",SUM(N246,O246))</f>
      </c>
      <c r="U246" s="133">
        <f>IF(OR(A246="Автомат",A246="Дифавтомат"),I246&amp;" С"&amp;J246&amp;"А"&amp;IF(K246="да"," 30мА",""),"")</f>
      </c>
      <c r="V246" s="133">
        <f>IF(U246="","",B246&amp;"|"&amp;U246)</f>
      </c>
      <c r="W246" s="133">
        <f>IF(AND(U246&lt;&gt;"",OR($S$4="(все)",B246=$S$4),IF($S$4="(все)",COUNTIF($U$4:U246,U246),COUNTIFS($U$4:U246,U246,$B$4:B246,B246))=1),MAX($W$3:W245)+1,"")</f>
      </c>
      <c r="X246" s="133">
        <f>IFERROR(INDEX($U$4:$U$500,MATCH(ROW()-3,$W$4:$W$500,0)),"")</f>
      </c>
      <c r="Y246" s="133">
        <f>IF(AND(A246="Аппарат",C246&lt;&gt;"",OR($S$5="(все)",B246=$S$5)),MAX($Y$3:Y245)+1,"")</f>
      </c>
      <c r="Z246" s="133">
        <f>IFERROR(INDEX($C$4:$C$500,MATCH(ROW()-3,$Y$4:$Y$500,0)),"")</f>
      </c>
      <c r="AA246" s="133">
        <f>IF(AND(A246="Модуль",C246&lt;&gt;"",OR($S$6="(все)",B246=$S$6)),MAX($AA$3:AA245)+1,"")</f>
      </c>
      <c r="AB246" s="133">
        <f>IFERROR(INDEX($C$4:$C$500,MATCH(ROW()-3,$AA$4:$AA$500,0)),"")</f>
      </c>
      <c r="AC246" s="133">
        <f>IF(OR(B246="",COUNTIF($B$4:B246,B246)&gt;1),"",MAX($AC$3:AC245)+1)</f>
      </c>
      <c r="AD246" s="133">
        <f>IFERROR(INDEX($B$4:$B$500,MATCH(ROW()-3,$AC$4:$AC$500,0)),"")</f>
      </c>
      <c r="AE246" s="133">
        <f>IF(AND(A246&lt;&gt;"",N(P246)&gt;0),IFERROR(MATCH(A246,$R$12:$R$25,0),99)*1000+ROW(),"")</f>
      </c>
      <c r="AF246" s="133">
        <f>IF(AE246="","",COUNTIF($AE$4:$AE$500,"&lt;="&amp;AE246))</f>
      </c>
    </row>
    <row r="247">
      <c r="A247" s="265"/>
      <c r="B247" s="265"/>
      <c r="C247" s="265"/>
      <c r="D247" s="265"/>
      <c r="E247" s="265"/>
      <c r="F247" s="265"/>
      <c r="G247" s="265"/>
      <c r="H247" s="265"/>
      <c r="I247" s="265"/>
      <c r="J247" s="265"/>
      <c r="K247" s="265"/>
      <c r="L247" s="265"/>
      <c r="M247" s="265"/>
      <c r="N247" s="133">
        <f>IF(OR(A247="Автомат",A247="Дифавтомат"),IF(W247="","",COUNTIF(Однолинейка!$H$3:$H$1000,U247)),IF(A247="Аппарат",IF(C247="","",COUNTIF(Однолинейка!$I$3:$I$1000,C247)+COUNTIF(Однолинейка!$J$3:$J$1000,C247)+COUNTIF(Однолинейка!$K$3:$K$1000,C247)),IF(A247="Модуль",IF(C247="","",COUNTIFS(Однолинейка!$AW$3:$AW$1000,"?*",Однолинейка!$AI$3:$AI$1000,C247)),IF(A247="Клемма",IF(C247="","",IF(C247=$S$7,SUM(Однолинейка!$BW$3:$BW$1000),IF(C247=$S$8,SUM(Однолинейка!$BX$3:$BX$1000),""))),""))))</f>
      </c>
      <c r="O247" s="265"/>
      <c r="P247" s="133">
        <f>IF(COUNT(N247,O247)=0,"",SUM(N247,O247))</f>
      </c>
      <c r="U247" s="133">
        <f>IF(OR(A247="Автомат",A247="Дифавтомат"),I247&amp;" С"&amp;J247&amp;"А"&amp;IF(K247="да"," 30мА",""),"")</f>
      </c>
      <c r="V247" s="133">
        <f>IF(U247="","",B247&amp;"|"&amp;U247)</f>
      </c>
      <c r="W247" s="133">
        <f>IF(AND(U247&lt;&gt;"",OR($S$4="(все)",B247=$S$4),IF($S$4="(все)",COUNTIF($U$4:U247,U247),COUNTIFS($U$4:U247,U247,$B$4:B247,B247))=1),MAX($W$3:W246)+1,"")</f>
      </c>
      <c r="X247" s="133">
        <f>IFERROR(INDEX($U$4:$U$500,MATCH(ROW()-3,$W$4:$W$500,0)),"")</f>
      </c>
      <c r="Y247" s="133">
        <f>IF(AND(A247="Аппарат",C247&lt;&gt;"",OR($S$5="(все)",B247=$S$5)),MAX($Y$3:Y246)+1,"")</f>
      </c>
      <c r="Z247" s="133">
        <f>IFERROR(INDEX($C$4:$C$500,MATCH(ROW()-3,$Y$4:$Y$500,0)),"")</f>
      </c>
      <c r="AA247" s="133">
        <f>IF(AND(A247="Модуль",C247&lt;&gt;"",OR($S$6="(все)",B247=$S$6)),MAX($AA$3:AA246)+1,"")</f>
      </c>
      <c r="AB247" s="133">
        <f>IFERROR(INDEX($C$4:$C$500,MATCH(ROW()-3,$AA$4:$AA$500,0)),"")</f>
      </c>
      <c r="AC247" s="133">
        <f>IF(OR(B247="",COUNTIF($B$4:B247,B247)&gt;1),"",MAX($AC$3:AC246)+1)</f>
      </c>
      <c r="AD247" s="133">
        <f>IFERROR(INDEX($B$4:$B$500,MATCH(ROW()-3,$AC$4:$AC$500,0)),"")</f>
      </c>
      <c r="AE247" s="133">
        <f>IF(AND(A247&lt;&gt;"",N(P247)&gt;0),IFERROR(MATCH(A247,$R$12:$R$25,0),99)*1000+ROW(),"")</f>
      </c>
      <c r="AF247" s="133">
        <f>IF(AE247="","",COUNTIF($AE$4:$AE$500,"&lt;="&amp;AE247))</f>
      </c>
    </row>
    <row r="248">
      <c r="A248" s="265"/>
      <c r="B248" s="265"/>
      <c r="C248" s="265"/>
      <c r="D248" s="265"/>
      <c r="E248" s="265"/>
      <c r="F248" s="265"/>
      <c r="G248" s="265"/>
      <c r="H248" s="265"/>
      <c r="I248" s="265"/>
      <c r="J248" s="265"/>
      <c r="K248" s="265"/>
      <c r="L248" s="265"/>
      <c r="M248" s="265"/>
      <c r="N248" s="133">
        <f>IF(OR(A248="Автомат",A248="Дифавтомат"),IF(W248="","",COUNTIF(Однолинейка!$H$3:$H$1000,U248)),IF(A248="Аппарат",IF(C248="","",COUNTIF(Однолинейка!$I$3:$I$1000,C248)+COUNTIF(Однолинейка!$J$3:$J$1000,C248)+COUNTIF(Однолинейка!$K$3:$K$1000,C248)),IF(A248="Модуль",IF(C248="","",COUNTIFS(Однолинейка!$AW$3:$AW$1000,"?*",Однолинейка!$AI$3:$AI$1000,C248)),IF(A248="Клемма",IF(C248="","",IF(C248=$S$7,SUM(Однолинейка!$BW$3:$BW$1000),IF(C248=$S$8,SUM(Однолинейка!$BX$3:$BX$1000),""))),""))))</f>
      </c>
      <c r="O248" s="265"/>
      <c r="P248" s="133">
        <f>IF(COUNT(N248,O248)=0,"",SUM(N248,O248))</f>
      </c>
      <c r="U248" s="133">
        <f>IF(OR(A248="Автомат",A248="Дифавтомат"),I248&amp;" С"&amp;J248&amp;"А"&amp;IF(K248="да"," 30мА",""),"")</f>
      </c>
      <c r="V248" s="133">
        <f>IF(U248="","",B248&amp;"|"&amp;U248)</f>
      </c>
      <c r="W248" s="133">
        <f>IF(AND(U248&lt;&gt;"",OR($S$4="(все)",B248=$S$4),IF($S$4="(все)",COUNTIF($U$4:U248,U248),COUNTIFS($U$4:U248,U248,$B$4:B248,B248))=1),MAX($W$3:W247)+1,"")</f>
      </c>
      <c r="X248" s="133">
        <f>IFERROR(INDEX($U$4:$U$500,MATCH(ROW()-3,$W$4:$W$500,0)),"")</f>
      </c>
      <c r="Y248" s="133">
        <f>IF(AND(A248="Аппарат",C248&lt;&gt;"",OR($S$5="(все)",B248=$S$5)),MAX($Y$3:Y247)+1,"")</f>
      </c>
      <c r="Z248" s="133">
        <f>IFERROR(INDEX($C$4:$C$500,MATCH(ROW()-3,$Y$4:$Y$500,0)),"")</f>
      </c>
      <c r="AA248" s="133">
        <f>IF(AND(A248="Модуль",C248&lt;&gt;"",OR($S$6="(все)",B248=$S$6)),MAX($AA$3:AA247)+1,"")</f>
      </c>
      <c r="AB248" s="133">
        <f>IFERROR(INDEX($C$4:$C$500,MATCH(ROW()-3,$AA$4:$AA$500,0)),"")</f>
      </c>
      <c r="AC248" s="133">
        <f>IF(OR(B248="",COUNTIF($B$4:B248,B248)&gt;1),"",MAX($AC$3:AC247)+1)</f>
      </c>
      <c r="AD248" s="133">
        <f>IFERROR(INDEX($B$4:$B$500,MATCH(ROW()-3,$AC$4:$AC$500,0)),"")</f>
      </c>
      <c r="AE248" s="133">
        <f>IF(AND(A248&lt;&gt;"",N(P248)&gt;0),IFERROR(MATCH(A248,$R$12:$R$25,0),99)*1000+ROW(),"")</f>
      </c>
      <c r="AF248" s="133">
        <f>IF(AE248="","",COUNTIF($AE$4:$AE$500,"&lt;="&amp;AE248))</f>
      </c>
    </row>
    <row r="249">
      <c r="A249" s="265"/>
      <c r="B249" s="265"/>
      <c r="C249" s="265"/>
      <c r="D249" s="265"/>
      <c r="E249" s="265"/>
      <c r="F249" s="265"/>
      <c r="G249" s="265"/>
      <c r="H249" s="265"/>
      <c r="I249" s="265"/>
      <c r="J249" s="265"/>
      <c r="K249" s="265"/>
      <c r="L249" s="265"/>
      <c r="M249" s="265"/>
      <c r="N249" s="133">
        <f>IF(OR(A249="Автомат",A249="Дифавтомат"),IF(W249="","",COUNTIF(Однолинейка!$H$3:$H$1000,U249)),IF(A249="Аппарат",IF(C249="","",COUNTIF(Однолинейка!$I$3:$I$1000,C249)+COUNTIF(Однолинейка!$J$3:$J$1000,C249)+COUNTIF(Однолинейка!$K$3:$K$1000,C249)),IF(A249="Модуль",IF(C249="","",COUNTIFS(Однолинейка!$AW$3:$AW$1000,"?*",Однолинейка!$AI$3:$AI$1000,C249)),IF(A249="Клемма",IF(C249="","",IF(C249=$S$7,SUM(Однолинейка!$BW$3:$BW$1000),IF(C249=$S$8,SUM(Однолинейка!$BX$3:$BX$1000),""))),""))))</f>
      </c>
      <c r="O249" s="265"/>
      <c r="P249" s="133">
        <f>IF(COUNT(N249,O249)=0,"",SUM(N249,O249))</f>
      </c>
      <c r="U249" s="133">
        <f>IF(OR(A249="Автомат",A249="Дифавтомат"),I249&amp;" С"&amp;J249&amp;"А"&amp;IF(K249="да"," 30мА",""),"")</f>
      </c>
      <c r="V249" s="133">
        <f>IF(U249="","",B249&amp;"|"&amp;U249)</f>
      </c>
      <c r="W249" s="133">
        <f>IF(AND(U249&lt;&gt;"",OR($S$4="(все)",B249=$S$4),IF($S$4="(все)",COUNTIF($U$4:U249,U249),COUNTIFS($U$4:U249,U249,$B$4:B249,B249))=1),MAX($W$3:W248)+1,"")</f>
      </c>
      <c r="X249" s="133">
        <f>IFERROR(INDEX($U$4:$U$500,MATCH(ROW()-3,$W$4:$W$500,0)),"")</f>
      </c>
      <c r="Y249" s="133">
        <f>IF(AND(A249="Аппарат",C249&lt;&gt;"",OR($S$5="(все)",B249=$S$5)),MAX($Y$3:Y248)+1,"")</f>
      </c>
      <c r="Z249" s="133">
        <f>IFERROR(INDEX($C$4:$C$500,MATCH(ROW()-3,$Y$4:$Y$500,0)),"")</f>
      </c>
      <c r="AA249" s="133">
        <f>IF(AND(A249="Модуль",C249&lt;&gt;"",OR($S$6="(все)",B249=$S$6)),MAX($AA$3:AA248)+1,"")</f>
      </c>
      <c r="AB249" s="133">
        <f>IFERROR(INDEX($C$4:$C$500,MATCH(ROW()-3,$AA$4:$AA$500,0)),"")</f>
      </c>
      <c r="AC249" s="133">
        <f>IF(OR(B249="",COUNTIF($B$4:B249,B249)&gt;1),"",MAX($AC$3:AC248)+1)</f>
      </c>
      <c r="AD249" s="133">
        <f>IFERROR(INDEX($B$4:$B$500,MATCH(ROW()-3,$AC$4:$AC$500,0)),"")</f>
      </c>
      <c r="AE249" s="133">
        <f>IF(AND(A249&lt;&gt;"",N(P249)&gt;0),IFERROR(MATCH(A249,$R$12:$R$25,0),99)*1000+ROW(),"")</f>
      </c>
      <c r="AF249" s="133">
        <f>IF(AE249="","",COUNTIF($AE$4:$AE$500,"&lt;="&amp;AE249))</f>
      </c>
    </row>
    <row r="250">
      <c r="A250" s="265"/>
      <c r="B250" s="265"/>
      <c r="C250" s="265"/>
      <c r="D250" s="265"/>
      <c r="E250" s="265"/>
      <c r="F250" s="265"/>
      <c r="G250" s="265"/>
      <c r="H250" s="265"/>
      <c r="I250" s="265"/>
      <c r="J250" s="265"/>
      <c r="K250" s="265"/>
      <c r="L250" s="265"/>
      <c r="M250" s="265"/>
      <c r="N250" s="133">
        <f>IF(OR(A250="Автомат",A250="Дифавтомат"),IF(W250="","",COUNTIF(Однолинейка!$H$3:$H$1000,U250)),IF(A250="Аппарат",IF(C250="","",COUNTIF(Однолинейка!$I$3:$I$1000,C250)+COUNTIF(Однолинейка!$J$3:$J$1000,C250)+COUNTIF(Однолинейка!$K$3:$K$1000,C250)),IF(A250="Модуль",IF(C250="","",COUNTIFS(Однолинейка!$AW$3:$AW$1000,"?*",Однолинейка!$AI$3:$AI$1000,C250)),IF(A250="Клемма",IF(C250="","",IF(C250=$S$7,SUM(Однолинейка!$BW$3:$BW$1000),IF(C250=$S$8,SUM(Однолинейка!$BX$3:$BX$1000),""))),""))))</f>
      </c>
      <c r="O250" s="265"/>
      <c r="P250" s="133">
        <f>IF(COUNT(N250,O250)=0,"",SUM(N250,O250))</f>
      </c>
      <c r="U250" s="133">
        <f>IF(OR(A250="Автомат",A250="Дифавтомат"),I250&amp;" С"&amp;J250&amp;"А"&amp;IF(K250="да"," 30мА",""),"")</f>
      </c>
      <c r="V250" s="133">
        <f>IF(U250="","",B250&amp;"|"&amp;U250)</f>
      </c>
      <c r="W250" s="133">
        <f>IF(AND(U250&lt;&gt;"",OR($S$4="(все)",B250=$S$4),IF($S$4="(все)",COUNTIF($U$4:U250,U250),COUNTIFS($U$4:U250,U250,$B$4:B250,B250))=1),MAX($W$3:W249)+1,"")</f>
      </c>
      <c r="X250" s="133">
        <f>IFERROR(INDEX($U$4:$U$500,MATCH(ROW()-3,$W$4:$W$500,0)),"")</f>
      </c>
      <c r="Y250" s="133">
        <f>IF(AND(A250="Аппарат",C250&lt;&gt;"",OR($S$5="(все)",B250=$S$5)),MAX($Y$3:Y249)+1,"")</f>
      </c>
      <c r="Z250" s="133">
        <f>IFERROR(INDEX($C$4:$C$500,MATCH(ROW()-3,$Y$4:$Y$500,0)),"")</f>
      </c>
      <c r="AA250" s="133">
        <f>IF(AND(A250="Модуль",C250&lt;&gt;"",OR($S$6="(все)",B250=$S$6)),MAX($AA$3:AA249)+1,"")</f>
      </c>
      <c r="AB250" s="133">
        <f>IFERROR(INDEX($C$4:$C$500,MATCH(ROW()-3,$AA$4:$AA$500,0)),"")</f>
      </c>
      <c r="AC250" s="133">
        <f>IF(OR(B250="",COUNTIF($B$4:B250,B250)&gt;1),"",MAX($AC$3:AC249)+1)</f>
      </c>
      <c r="AD250" s="133">
        <f>IFERROR(INDEX($B$4:$B$500,MATCH(ROW()-3,$AC$4:$AC$500,0)),"")</f>
      </c>
      <c r="AE250" s="133">
        <f>IF(AND(A250&lt;&gt;"",N(P250)&gt;0),IFERROR(MATCH(A250,$R$12:$R$25,0),99)*1000+ROW(),"")</f>
      </c>
      <c r="AF250" s="133">
        <f>IF(AE250="","",COUNTIF($AE$4:$AE$500,"&lt;="&amp;AE250))</f>
      </c>
    </row>
    <row r="251">
      <c r="A251" s="265"/>
      <c r="B251" s="265"/>
      <c r="C251" s="265"/>
      <c r="D251" s="265"/>
      <c r="E251" s="265"/>
      <c r="F251" s="265"/>
      <c r="G251" s="265"/>
      <c r="H251" s="265"/>
      <c r="I251" s="265"/>
      <c r="J251" s="265"/>
      <c r="K251" s="265"/>
      <c r="L251" s="265"/>
      <c r="M251" s="265"/>
      <c r="N251" s="133">
        <f>IF(OR(A251="Автомат",A251="Дифавтомат"),IF(W251="","",COUNTIF(Однолинейка!$H$3:$H$1000,U251)),IF(A251="Аппарат",IF(C251="","",COUNTIF(Однолинейка!$I$3:$I$1000,C251)+COUNTIF(Однолинейка!$J$3:$J$1000,C251)+COUNTIF(Однолинейка!$K$3:$K$1000,C251)),IF(A251="Модуль",IF(C251="","",COUNTIFS(Однолинейка!$AW$3:$AW$1000,"?*",Однолинейка!$AI$3:$AI$1000,C251)),IF(A251="Клемма",IF(C251="","",IF(C251=$S$7,SUM(Однолинейка!$BW$3:$BW$1000),IF(C251=$S$8,SUM(Однолинейка!$BX$3:$BX$1000),""))),""))))</f>
      </c>
      <c r="O251" s="265"/>
      <c r="P251" s="133">
        <f>IF(COUNT(N251,O251)=0,"",SUM(N251,O251))</f>
      </c>
      <c r="U251" s="133">
        <f>IF(OR(A251="Автомат",A251="Дифавтомат"),I251&amp;" С"&amp;J251&amp;"А"&amp;IF(K251="да"," 30мА",""),"")</f>
      </c>
      <c r="V251" s="133">
        <f>IF(U251="","",B251&amp;"|"&amp;U251)</f>
      </c>
      <c r="W251" s="133">
        <f>IF(AND(U251&lt;&gt;"",OR($S$4="(все)",B251=$S$4),IF($S$4="(все)",COUNTIF($U$4:U251,U251),COUNTIFS($U$4:U251,U251,$B$4:B251,B251))=1),MAX($W$3:W250)+1,"")</f>
      </c>
      <c r="X251" s="133">
        <f>IFERROR(INDEX($U$4:$U$500,MATCH(ROW()-3,$W$4:$W$500,0)),"")</f>
      </c>
      <c r="Y251" s="133">
        <f>IF(AND(A251="Аппарат",C251&lt;&gt;"",OR($S$5="(все)",B251=$S$5)),MAX($Y$3:Y250)+1,"")</f>
      </c>
      <c r="Z251" s="133">
        <f>IFERROR(INDEX($C$4:$C$500,MATCH(ROW()-3,$Y$4:$Y$500,0)),"")</f>
      </c>
      <c r="AA251" s="133">
        <f>IF(AND(A251="Модуль",C251&lt;&gt;"",OR($S$6="(все)",B251=$S$6)),MAX($AA$3:AA250)+1,"")</f>
      </c>
      <c r="AB251" s="133">
        <f>IFERROR(INDEX($C$4:$C$500,MATCH(ROW()-3,$AA$4:$AA$500,0)),"")</f>
      </c>
      <c r="AC251" s="133">
        <f>IF(OR(B251="",COUNTIF($B$4:B251,B251)&gt;1),"",MAX($AC$3:AC250)+1)</f>
      </c>
      <c r="AD251" s="133">
        <f>IFERROR(INDEX($B$4:$B$500,MATCH(ROW()-3,$AC$4:$AC$500,0)),"")</f>
      </c>
      <c r="AE251" s="133">
        <f>IF(AND(A251&lt;&gt;"",N(P251)&gt;0),IFERROR(MATCH(A251,$R$12:$R$25,0),99)*1000+ROW(),"")</f>
      </c>
      <c r="AF251" s="133">
        <f>IF(AE251="","",COUNTIF($AE$4:$AE$500,"&lt;="&amp;AE251))</f>
      </c>
    </row>
    <row r="252">
      <c r="A252" s="265"/>
      <c r="B252" s="265"/>
      <c r="C252" s="265"/>
      <c r="D252" s="265"/>
      <c r="E252" s="265"/>
      <c r="F252" s="265"/>
      <c r="G252" s="265"/>
      <c r="H252" s="265"/>
      <c r="I252" s="265"/>
      <c r="J252" s="265"/>
      <c r="K252" s="265"/>
      <c r="L252" s="265"/>
      <c r="M252" s="265"/>
      <c r="N252" s="133">
        <f>IF(OR(A252="Автомат",A252="Дифавтомат"),IF(W252="","",COUNTIF(Однолинейка!$H$3:$H$1000,U252)),IF(A252="Аппарат",IF(C252="","",COUNTIF(Однолинейка!$I$3:$I$1000,C252)+COUNTIF(Однолинейка!$J$3:$J$1000,C252)+COUNTIF(Однолинейка!$K$3:$K$1000,C252)),IF(A252="Модуль",IF(C252="","",COUNTIFS(Однолинейка!$AW$3:$AW$1000,"?*",Однолинейка!$AI$3:$AI$1000,C252)),IF(A252="Клемма",IF(C252="","",IF(C252=$S$7,SUM(Однолинейка!$BW$3:$BW$1000),IF(C252=$S$8,SUM(Однолинейка!$BX$3:$BX$1000),""))),""))))</f>
      </c>
      <c r="O252" s="265"/>
      <c r="P252" s="133">
        <f>IF(COUNT(N252,O252)=0,"",SUM(N252,O252))</f>
      </c>
      <c r="U252" s="133">
        <f>IF(OR(A252="Автомат",A252="Дифавтомат"),I252&amp;" С"&amp;J252&amp;"А"&amp;IF(K252="да"," 30мА",""),"")</f>
      </c>
      <c r="V252" s="133">
        <f>IF(U252="","",B252&amp;"|"&amp;U252)</f>
      </c>
      <c r="W252" s="133">
        <f>IF(AND(U252&lt;&gt;"",OR($S$4="(все)",B252=$S$4),IF($S$4="(все)",COUNTIF($U$4:U252,U252),COUNTIFS($U$4:U252,U252,$B$4:B252,B252))=1),MAX($W$3:W251)+1,"")</f>
      </c>
      <c r="X252" s="133">
        <f>IFERROR(INDEX($U$4:$U$500,MATCH(ROW()-3,$W$4:$W$500,0)),"")</f>
      </c>
      <c r="Y252" s="133">
        <f>IF(AND(A252="Аппарат",C252&lt;&gt;"",OR($S$5="(все)",B252=$S$5)),MAX($Y$3:Y251)+1,"")</f>
      </c>
      <c r="Z252" s="133">
        <f>IFERROR(INDEX($C$4:$C$500,MATCH(ROW()-3,$Y$4:$Y$500,0)),"")</f>
      </c>
      <c r="AA252" s="133">
        <f>IF(AND(A252="Модуль",C252&lt;&gt;"",OR($S$6="(все)",B252=$S$6)),MAX($AA$3:AA251)+1,"")</f>
      </c>
      <c r="AB252" s="133">
        <f>IFERROR(INDEX($C$4:$C$500,MATCH(ROW()-3,$AA$4:$AA$500,0)),"")</f>
      </c>
      <c r="AC252" s="133">
        <f>IF(OR(B252="",COUNTIF($B$4:B252,B252)&gt;1),"",MAX($AC$3:AC251)+1)</f>
      </c>
      <c r="AD252" s="133">
        <f>IFERROR(INDEX($B$4:$B$500,MATCH(ROW()-3,$AC$4:$AC$500,0)),"")</f>
      </c>
      <c r="AE252" s="133">
        <f>IF(AND(A252&lt;&gt;"",N(P252)&gt;0),IFERROR(MATCH(A252,$R$12:$R$25,0),99)*1000+ROW(),"")</f>
      </c>
      <c r="AF252" s="133">
        <f>IF(AE252="","",COUNTIF($AE$4:$AE$500,"&lt;="&amp;AE252))</f>
      </c>
    </row>
    <row r="253">
      <c r="A253" s="265"/>
      <c r="B253" s="265"/>
      <c r="C253" s="265"/>
      <c r="D253" s="265"/>
      <c r="E253" s="265"/>
      <c r="F253" s="265"/>
      <c r="G253" s="265"/>
      <c r="H253" s="265"/>
      <c r="I253" s="265"/>
      <c r="J253" s="265"/>
      <c r="K253" s="265"/>
      <c r="L253" s="265"/>
      <c r="M253" s="265"/>
      <c r="N253" s="133">
        <f>IF(OR(A253="Автомат",A253="Дифавтомат"),IF(W253="","",COUNTIF(Однолинейка!$H$3:$H$1000,U253)),IF(A253="Аппарат",IF(C253="","",COUNTIF(Однолинейка!$I$3:$I$1000,C253)+COUNTIF(Однолинейка!$J$3:$J$1000,C253)+COUNTIF(Однолинейка!$K$3:$K$1000,C253)),IF(A253="Модуль",IF(C253="","",COUNTIFS(Однолинейка!$AW$3:$AW$1000,"?*",Однолинейка!$AI$3:$AI$1000,C253)),IF(A253="Клемма",IF(C253="","",IF(C253=$S$7,SUM(Однолинейка!$BW$3:$BW$1000),IF(C253=$S$8,SUM(Однолинейка!$BX$3:$BX$1000),""))),""))))</f>
      </c>
      <c r="O253" s="265"/>
      <c r="P253" s="133">
        <f>IF(COUNT(N253,O253)=0,"",SUM(N253,O253))</f>
      </c>
      <c r="U253" s="133">
        <f>IF(OR(A253="Автомат",A253="Дифавтомат"),I253&amp;" С"&amp;J253&amp;"А"&amp;IF(K253="да"," 30мА",""),"")</f>
      </c>
      <c r="V253" s="133">
        <f>IF(U253="","",B253&amp;"|"&amp;U253)</f>
      </c>
      <c r="W253" s="133">
        <f>IF(AND(U253&lt;&gt;"",OR($S$4="(все)",B253=$S$4),IF($S$4="(все)",COUNTIF($U$4:U253,U253),COUNTIFS($U$4:U253,U253,$B$4:B253,B253))=1),MAX($W$3:W252)+1,"")</f>
      </c>
      <c r="X253" s="133">
        <f>IFERROR(INDEX($U$4:$U$500,MATCH(ROW()-3,$W$4:$W$500,0)),"")</f>
      </c>
      <c r="Y253" s="133">
        <f>IF(AND(A253="Аппарат",C253&lt;&gt;"",OR($S$5="(все)",B253=$S$5)),MAX($Y$3:Y252)+1,"")</f>
      </c>
      <c r="Z253" s="133">
        <f>IFERROR(INDEX($C$4:$C$500,MATCH(ROW()-3,$Y$4:$Y$500,0)),"")</f>
      </c>
      <c r="AA253" s="133">
        <f>IF(AND(A253="Модуль",C253&lt;&gt;"",OR($S$6="(все)",B253=$S$6)),MAX($AA$3:AA252)+1,"")</f>
      </c>
      <c r="AB253" s="133">
        <f>IFERROR(INDEX($C$4:$C$500,MATCH(ROW()-3,$AA$4:$AA$500,0)),"")</f>
      </c>
      <c r="AC253" s="133">
        <f>IF(OR(B253="",COUNTIF($B$4:B253,B253)&gt;1),"",MAX($AC$3:AC252)+1)</f>
      </c>
      <c r="AD253" s="133">
        <f>IFERROR(INDEX($B$4:$B$500,MATCH(ROW()-3,$AC$4:$AC$500,0)),"")</f>
      </c>
      <c r="AE253" s="133">
        <f>IF(AND(A253&lt;&gt;"",N(P253)&gt;0),IFERROR(MATCH(A253,$R$12:$R$25,0),99)*1000+ROW(),"")</f>
      </c>
      <c r="AF253" s="133">
        <f>IF(AE253="","",COUNTIF($AE$4:$AE$500,"&lt;="&amp;AE253))</f>
      </c>
    </row>
    <row r="254">
      <c r="A254" s="265"/>
      <c r="B254" s="265"/>
      <c r="C254" s="265"/>
      <c r="D254" s="265"/>
      <c r="E254" s="265"/>
      <c r="F254" s="265"/>
      <c r="G254" s="265"/>
      <c r="H254" s="265"/>
      <c r="I254" s="265"/>
      <c r="J254" s="265"/>
      <c r="K254" s="265"/>
      <c r="L254" s="265"/>
      <c r="M254" s="265"/>
      <c r="N254" s="133">
        <f>IF(OR(A254="Автомат",A254="Дифавтомат"),IF(W254="","",COUNTIF(Однолинейка!$H$3:$H$1000,U254)),IF(A254="Аппарат",IF(C254="","",COUNTIF(Однолинейка!$I$3:$I$1000,C254)+COUNTIF(Однолинейка!$J$3:$J$1000,C254)+COUNTIF(Однолинейка!$K$3:$K$1000,C254)),IF(A254="Модуль",IF(C254="","",COUNTIFS(Однолинейка!$AW$3:$AW$1000,"?*",Однолинейка!$AI$3:$AI$1000,C254)),IF(A254="Клемма",IF(C254="","",IF(C254=$S$7,SUM(Однолинейка!$BW$3:$BW$1000),IF(C254=$S$8,SUM(Однолинейка!$BX$3:$BX$1000),""))),""))))</f>
      </c>
      <c r="O254" s="265"/>
      <c r="P254" s="133">
        <f>IF(COUNT(N254,O254)=0,"",SUM(N254,O254))</f>
      </c>
      <c r="U254" s="133">
        <f>IF(OR(A254="Автомат",A254="Дифавтомат"),I254&amp;" С"&amp;J254&amp;"А"&amp;IF(K254="да"," 30мА",""),"")</f>
      </c>
      <c r="V254" s="133">
        <f>IF(U254="","",B254&amp;"|"&amp;U254)</f>
      </c>
      <c r="W254" s="133">
        <f>IF(AND(U254&lt;&gt;"",OR($S$4="(все)",B254=$S$4),IF($S$4="(все)",COUNTIF($U$4:U254,U254),COUNTIFS($U$4:U254,U254,$B$4:B254,B254))=1),MAX($W$3:W253)+1,"")</f>
      </c>
      <c r="X254" s="133">
        <f>IFERROR(INDEX($U$4:$U$500,MATCH(ROW()-3,$W$4:$W$500,0)),"")</f>
      </c>
      <c r="Y254" s="133">
        <f>IF(AND(A254="Аппарат",C254&lt;&gt;"",OR($S$5="(все)",B254=$S$5)),MAX($Y$3:Y253)+1,"")</f>
      </c>
      <c r="Z254" s="133">
        <f>IFERROR(INDEX($C$4:$C$500,MATCH(ROW()-3,$Y$4:$Y$500,0)),"")</f>
      </c>
      <c r="AA254" s="133">
        <f>IF(AND(A254="Модуль",C254&lt;&gt;"",OR($S$6="(все)",B254=$S$6)),MAX($AA$3:AA253)+1,"")</f>
      </c>
      <c r="AB254" s="133">
        <f>IFERROR(INDEX($C$4:$C$500,MATCH(ROW()-3,$AA$4:$AA$500,0)),"")</f>
      </c>
      <c r="AC254" s="133">
        <f>IF(OR(B254="",COUNTIF($B$4:B254,B254)&gt;1),"",MAX($AC$3:AC253)+1)</f>
      </c>
      <c r="AD254" s="133">
        <f>IFERROR(INDEX($B$4:$B$500,MATCH(ROW()-3,$AC$4:$AC$500,0)),"")</f>
      </c>
      <c r="AE254" s="133">
        <f>IF(AND(A254&lt;&gt;"",N(P254)&gt;0),IFERROR(MATCH(A254,$R$12:$R$25,0),99)*1000+ROW(),"")</f>
      </c>
      <c r="AF254" s="133">
        <f>IF(AE254="","",COUNTIF($AE$4:$AE$500,"&lt;="&amp;AE254))</f>
      </c>
    </row>
    <row r="255">
      <c r="A255" s="265"/>
      <c r="B255" s="265"/>
      <c r="C255" s="265"/>
      <c r="D255" s="265"/>
      <c r="E255" s="265"/>
      <c r="F255" s="265"/>
      <c r="G255" s="265"/>
      <c r="H255" s="265"/>
      <c r="I255" s="265"/>
      <c r="J255" s="265"/>
      <c r="K255" s="265"/>
      <c r="L255" s="265"/>
      <c r="M255" s="265"/>
      <c r="N255" s="133">
        <f>IF(OR(A255="Автомат",A255="Дифавтомат"),IF(W255="","",COUNTIF(Однолинейка!$H$3:$H$1000,U255)),IF(A255="Аппарат",IF(C255="","",COUNTIF(Однолинейка!$I$3:$I$1000,C255)+COUNTIF(Однолинейка!$J$3:$J$1000,C255)+COUNTIF(Однолинейка!$K$3:$K$1000,C255)),IF(A255="Модуль",IF(C255="","",COUNTIFS(Однолинейка!$AW$3:$AW$1000,"?*",Однолинейка!$AI$3:$AI$1000,C255)),IF(A255="Клемма",IF(C255="","",IF(C255=$S$7,SUM(Однолинейка!$BW$3:$BW$1000),IF(C255=$S$8,SUM(Однолинейка!$BX$3:$BX$1000),""))),""))))</f>
      </c>
      <c r="O255" s="265"/>
      <c r="P255" s="133">
        <f>IF(COUNT(N255,O255)=0,"",SUM(N255,O255))</f>
      </c>
      <c r="U255" s="133">
        <f>IF(OR(A255="Автомат",A255="Дифавтомат"),I255&amp;" С"&amp;J255&amp;"А"&amp;IF(K255="да"," 30мА",""),"")</f>
      </c>
      <c r="V255" s="133">
        <f>IF(U255="","",B255&amp;"|"&amp;U255)</f>
      </c>
      <c r="W255" s="133">
        <f>IF(AND(U255&lt;&gt;"",OR($S$4="(все)",B255=$S$4),IF($S$4="(все)",COUNTIF($U$4:U255,U255),COUNTIFS($U$4:U255,U255,$B$4:B255,B255))=1),MAX($W$3:W254)+1,"")</f>
      </c>
      <c r="X255" s="133">
        <f>IFERROR(INDEX($U$4:$U$500,MATCH(ROW()-3,$W$4:$W$500,0)),"")</f>
      </c>
      <c r="Y255" s="133">
        <f>IF(AND(A255="Аппарат",C255&lt;&gt;"",OR($S$5="(все)",B255=$S$5)),MAX($Y$3:Y254)+1,"")</f>
      </c>
      <c r="Z255" s="133">
        <f>IFERROR(INDEX($C$4:$C$500,MATCH(ROW()-3,$Y$4:$Y$500,0)),"")</f>
      </c>
      <c r="AA255" s="133">
        <f>IF(AND(A255="Модуль",C255&lt;&gt;"",OR($S$6="(все)",B255=$S$6)),MAX($AA$3:AA254)+1,"")</f>
      </c>
      <c r="AB255" s="133">
        <f>IFERROR(INDEX($C$4:$C$500,MATCH(ROW()-3,$AA$4:$AA$500,0)),"")</f>
      </c>
      <c r="AC255" s="133">
        <f>IF(OR(B255="",COUNTIF($B$4:B255,B255)&gt;1),"",MAX($AC$3:AC254)+1)</f>
      </c>
      <c r="AD255" s="133">
        <f>IFERROR(INDEX($B$4:$B$500,MATCH(ROW()-3,$AC$4:$AC$500,0)),"")</f>
      </c>
      <c r="AE255" s="133">
        <f>IF(AND(A255&lt;&gt;"",N(P255)&gt;0),IFERROR(MATCH(A255,$R$12:$R$25,0),99)*1000+ROW(),"")</f>
      </c>
      <c r="AF255" s="133">
        <f>IF(AE255="","",COUNTIF($AE$4:$AE$500,"&lt;="&amp;AE255))</f>
      </c>
    </row>
    <row r="256">
      <c r="A256" s="265"/>
      <c r="B256" s="265"/>
      <c r="C256" s="265"/>
      <c r="D256" s="265"/>
      <c r="E256" s="265"/>
      <c r="F256" s="265"/>
      <c r="G256" s="265"/>
      <c r="H256" s="265"/>
      <c r="I256" s="265"/>
      <c r="J256" s="265"/>
      <c r="K256" s="265"/>
      <c r="L256" s="265"/>
      <c r="M256" s="265"/>
      <c r="N256" s="133">
        <f>IF(OR(A256="Автомат",A256="Дифавтомат"),IF(W256="","",COUNTIF(Однолинейка!$H$3:$H$1000,U256)),IF(A256="Аппарат",IF(C256="","",COUNTIF(Однолинейка!$I$3:$I$1000,C256)+COUNTIF(Однолинейка!$J$3:$J$1000,C256)+COUNTIF(Однолинейка!$K$3:$K$1000,C256)),IF(A256="Модуль",IF(C256="","",COUNTIFS(Однолинейка!$AW$3:$AW$1000,"?*",Однолинейка!$AI$3:$AI$1000,C256)),IF(A256="Клемма",IF(C256="","",IF(C256=$S$7,SUM(Однолинейка!$BW$3:$BW$1000),IF(C256=$S$8,SUM(Однолинейка!$BX$3:$BX$1000),""))),""))))</f>
      </c>
      <c r="O256" s="265"/>
      <c r="P256" s="133">
        <f>IF(COUNT(N256,O256)=0,"",SUM(N256,O256))</f>
      </c>
      <c r="U256" s="133">
        <f>IF(OR(A256="Автомат",A256="Дифавтомат"),I256&amp;" С"&amp;J256&amp;"А"&amp;IF(K256="да"," 30мА",""),"")</f>
      </c>
      <c r="V256" s="133">
        <f>IF(U256="","",B256&amp;"|"&amp;U256)</f>
      </c>
      <c r="W256" s="133">
        <f>IF(AND(U256&lt;&gt;"",OR($S$4="(все)",B256=$S$4),IF($S$4="(все)",COUNTIF($U$4:U256,U256),COUNTIFS($U$4:U256,U256,$B$4:B256,B256))=1),MAX($W$3:W255)+1,"")</f>
      </c>
      <c r="X256" s="133">
        <f>IFERROR(INDEX($U$4:$U$500,MATCH(ROW()-3,$W$4:$W$500,0)),"")</f>
      </c>
      <c r="Y256" s="133">
        <f>IF(AND(A256="Аппарат",C256&lt;&gt;"",OR($S$5="(все)",B256=$S$5)),MAX($Y$3:Y255)+1,"")</f>
      </c>
      <c r="Z256" s="133">
        <f>IFERROR(INDEX($C$4:$C$500,MATCH(ROW()-3,$Y$4:$Y$500,0)),"")</f>
      </c>
      <c r="AA256" s="133">
        <f>IF(AND(A256="Модуль",C256&lt;&gt;"",OR($S$6="(все)",B256=$S$6)),MAX($AA$3:AA255)+1,"")</f>
      </c>
      <c r="AB256" s="133">
        <f>IFERROR(INDEX($C$4:$C$500,MATCH(ROW()-3,$AA$4:$AA$500,0)),"")</f>
      </c>
      <c r="AC256" s="133">
        <f>IF(OR(B256="",COUNTIF($B$4:B256,B256)&gt;1),"",MAX($AC$3:AC255)+1)</f>
      </c>
      <c r="AD256" s="133">
        <f>IFERROR(INDEX($B$4:$B$500,MATCH(ROW()-3,$AC$4:$AC$500,0)),"")</f>
      </c>
      <c r="AE256" s="133">
        <f>IF(AND(A256&lt;&gt;"",N(P256)&gt;0),IFERROR(MATCH(A256,$R$12:$R$25,0),99)*1000+ROW(),"")</f>
      </c>
      <c r="AF256" s="133">
        <f>IF(AE256="","",COUNTIF($AE$4:$AE$500,"&lt;="&amp;AE256))</f>
      </c>
    </row>
    <row r="257">
      <c r="A257" s="265"/>
      <c r="B257" s="265"/>
      <c r="C257" s="265"/>
      <c r="D257" s="265"/>
      <c r="E257" s="265"/>
      <c r="F257" s="265"/>
      <c r="G257" s="265"/>
      <c r="H257" s="265"/>
      <c r="I257" s="265"/>
      <c r="J257" s="265"/>
      <c r="K257" s="265"/>
      <c r="L257" s="265"/>
      <c r="M257" s="265"/>
      <c r="N257" s="133">
        <f>IF(OR(A257="Автомат",A257="Дифавтомат"),IF(W257="","",COUNTIF(Однолинейка!$H$3:$H$1000,U257)),IF(A257="Аппарат",IF(C257="","",COUNTIF(Однолинейка!$I$3:$I$1000,C257)+COUNTIF(Однолинейка!$J$3:$J$1000,C257)+COUNTIF(Однолинейка!$K$3:$K$1000,C257)),IF(A257="Модуль",IF(C257="","",COUNTIFS(Однолинейка!$AW$3:$AW$1000,"?*",Однолинейка!$AI$3:$AI$1000,C257)),IF(A257="Клемма",IF(C257="","",IF(C257=$S$7,SUM(Однолинейка!$BW$3:$BW$1000),IF(C257=$S$8,SUM(Однолинейка!$BX$3:$BX$1000),""))),""))))</f>
      </c>
      <c r="O257" s="265"/>
      <c r="P257" s="133">
        <f>IF(COUNT(N257,O257)=0,"",SUM(N257,O257))</f>
      </c>
      <c r="U257" s="133">
        <f>IF(OR(A257="Автомат",A257="Дифавтомат"),I257&amp;" С"&amp;J257&amp;"А"&amp;IF(K257="да"," 30мА",""),"")</f>
      </c>
      <c r="V257" s="133">
        <f>IF(U257="","",B257&amp;"|"&amp;U257)</f>
      </c>
      <c r="W257" s="133">
        <f>IF(AND(U257&lt;&gt;"",OR($S$4="(все)",B257=$S$4),IF($S$4="(все)",COUNTIF($U$4:U257,U257),COUNTIFS($U$4:U257,U257,$B$4:B257,B257))=1),MAX($W$3:W256)+1,"")</f>
      </c>
      <c r="X257" s="133">
        <f>IFERROR(INDEX($U$4:$U$500,MATCH(ROW()-3,$W$4:$W$500,0)),"")</f>
      </c>
      <c r="Y257" s="133">
        <f>IF(AND(A257="Аппарат",C257&lt;&gt;"",OR($S$5="(все)",B257=$S$5)),MAX($Y$3:Y256)+1,"")</f>
      </c>
      <c r="Z257" s="133">
        <f>IFERROR(INDEX($C$4:$C$500,MATCH(ROW()-3,$Y$4:$Y$500,0)),"")</f>
      </c>
      <c r="AA257" s="133">
        <f>IF(AND(A257="Модуль",C257&lt;&gt;"",OR($S$6="(все)",B257=$S$6)),MAX($AA$3:AA256)+1,"")</f>
      </c>
      <c r="AB257" s="133">
        <f>IFERROR(INDEX($C$4:$C$500,MATCH(ROW()-3,$AA$4:$AA$500,0)),"")</f>
      </c>
      <c r="AC257" s="133">
        <f>IF(OR(B257="",COUNTIF($B$4:B257,B257)&gt;1),"",MAX($AC$3:AC256)+1)</f>
      </c>
      <c r="AD257" s="133">
        <f>IFERROR(INDEX($B$4:$B$500,MATCH(ROW()-3,$AC$4:$AC$500,0)),"")</f>
      </c>
      <c r="AE257" s="133">
        <f>IF(AND(A257&lt;&gt;"",N(P257)&gt;0),IFERROR(MATCH(A257,$R$12:$R$25,0),99)*1000+ROW(),"")</f>
      </c>
      <c r="AF257" s="133">
        <f>IF(AE257="","",COUNTIF($AE$4:$AE$500,"&lt;="&amp;AE257))</f>
      </c>
    </row>
    <row r="258">
      <c r="A258" s="265"/>
      <c r="B258" s="265"/>
      <c r="C258" s="265"/>
      <c r="D258" s="265"/>
      <c r="E258" s="265"/>
      <c r="F258" s="265"/>
      <c r="G258" s="265"/>
      <c r="H258" s="265"/>
      <c r="I258" s="265"/>
      <c r="J258" s="265"/>
      <c r="K258" s="265"/>
      <c r="L258" s="265"/>
      <c r="M258" s="265"/>
      <c r="N258" s="133">
        <f>IF(OR(A258="Автомат",A258="Дифавтомат"),IF(W258="","",COUNTIF(Однолинейка!$H$3:$H$1000,U258)),IF(A258="Аппарат",IF(C258="","",COUNTIF(Однолинейка!$I$3:$I$1000,C258)+COUNTIF(Однолинейка!$J$3:$J$1000,C258)+COUNTIF(Однолинейка!$K$3:$K$1000,C258)),IF(A258="Модуль",IF(C258="","",COUNTIFS(Однолинейка!$AW$3:$AW$1000,"?*",Однолинейка!$AI$3:$AI$1000,C258)),IF(A258="Клемма",IF(C258="","",IF(C258=$S$7,SUM(Однолинейка!$BW$3:$BW$1000),IF(C258=$S$8,SUM(Однолинейка!$BX$3:$BX$1000),""))),""))))</f>
      </c>
      <c r="O258" s="265"/>
      <c r="P258" s="133">
        <f>IF(COUNT(N258,O258)=0,"",SUM(N258,O258))</f>
      </c>
      <c r="U258" s="133">
        <f>IF(OR(A258="Автомат",A258="Дифавтомат"),I258&amp;" С"&amp;J258&amp;"А"&amp;IF(K258="да"," 30мА",""),"")</f>
      </c>
      <c r="V258" s="133">
        <f>IF(U258="","",B258&amp;"|"&amp;U258)</f>
      </c>
      <c r="W258" s="133">
        <f>IF(AND(U258&lt;&gt;"",OR($S$4="(все)",B258=$S$4),IF($S$4="(все)",COUNTIF($U$4:U258,U258),COUNTIFS($U$4:U258,U258,$B$4:B258,B258))=1),MAX($W$3:W257)+1,"")</f>
      </c>
      <c r="X258" s="133">
        <f>IFERROR(INDEX($U$4:$U$500,MATCH(ROW()-3,$W$4:$W$500,0)),"")</f>
      </c>
      <c r="Y258" s="133">
        <f>IF(AND(A258="Аппарат",C258&lt;&gt;"",OR($S$5="(все)",B258=$S$5)),MAX($Y$3:Y257)+1,"")</f>
      </c>
      <c r="Z258" s="133">
        <f>IFERROR(INDEX($C$4:$C$500,MATCH(ROW()-3,$Y$4:$Y$500,0)),"")</f>
      </c>
      <c r="AA258" s="133">
        <f>IF(AND(A258="Модуль",C258&lt;&gt;"",OR($S$6="(все)",B258=$S$6)),MAX($AA$3:AA257)+1,"")</f>
      </c>
      <c r="AB258" s="133">
        <f>IFERROR(INDEX($C$4:$C$500,MATCH(ROW()-3,$AA$4:$AA$500,0)),"")</f>
      </c>
      <c r="AC258" s="133">
        <f>IF(OR(B258="",COUNTIF($B$4:B258,B258)&gt;1),"",MAX($AC$3:AC257)+1)</f>
      </c>
      <c r="AD258" s="133">
        <f>IFERROR(INDEX($B$4:$B$500,MATCH(ROW()-3,$AC$4:$AC$500,0)),"")</f>
      </c>
      <c r="AE258" s="133">
        <f>IF(AND(A258&lt;&gt;"",N(P258)&gt;0),IFERROR(MATCH(A258,$R$12:$R$25,0),99)*1000+ROW(),"")</f>
      </c>
      <c r="AF258" s="133">
        <f>IF(AE258="","",COUNTIF($AE$4:$AE$500,"&lt;="&amp;AE258))</f>
      </c>
    </row>
    <row r="259">
      <c r="A259" s="265"/>
      <c r="B259" s="265"/>
      <c r="C259" s="265"/>
      <c r="D259" s="265"/>
      <c r="E259" s="265"/>
      <c r="F259" s="265"/>
      <c r="G259" s="265"/>
      <c r="H259" s="265"/>
      <c r="I259" s="265"/>
      <c r="J259" s="265"/>
      <c r="K259" s="265"/>
      <c r="L259" s="265"/>
      <c r="M259" s="265"/>
      <c r="N259" s="133">
        <f>IF(OR(A259="Автомат",A259="Дифавтомат"),IF(W259="","",COUNTIF(Однолинейка!$H$3:$H$1000,U259)),IF(A259="Аппарат",IF(C259="","",COUNTIF(Однолинейка!$I$3:$I$1000,C259)+COUNTIF(Однолинейка!$J$3:$J$1000,C259)+COUNTIF(Однолинейка!$K$3:$K$1000,C259)),IF(A259="Модуль",IF(C259="","",COUNTIFS(Однолинейка!$AW$3:$AW$1000,"?*",Однолинейка!$AI$3:$AI$1000,C259)),IF(A259="Клемма",IF(C259="","",IF(C259=$S$7,SUM(Однолинейка!$BW$3:$BW$1000),IF(C259=$S$8,SUM(Однолинейка!$BX$3:$BX$1000),""))),""))))</f>
      </c>
      <c r="O259" s="265"/>
      <c r="P259" s="133">
        <f>IF(COUNT(N259,O259)=0,"",SUM(N259,O259))</f>
      </c>
      <c r="U259" s="133">
        <f>IF(OR(A259="Автомат",A259="Дифавтомат"),I259&amp;" С"&amp;J259&amp;"А"&amp;IF(K259="да"," 30мА",""),"")</f>
      </c>
      <c r="V259" s="133">
        <f>IF(U259="","",B259&amp;"|"&amp;U259)</f>
      </c>
      <c r="W259" s="133">
        <f>IF(AND(U259&lt;&gt;"",OR($S$4="(все)",B259=$S$4),IF($S$4="(все)",COUNTIF($U$4:U259,U259),COUNTIFS($U$4:U259,U259,$B$4:B259,B259))=1),MAX($W$3:W258)+1,"")</f>
      </c>
      <c r="X259" s="133">
        <f>IFERROR(INDEX($U$4:$U$500,MATCH(ROW()-3,$W$4:$W$500,0)),"")</f>
      </c>
      <c r="Y259" s="133">
        <f>IF(AND(A259="Аппарат",C259&lt;&gt;"",OR($S$5="(все)",B259=$S$5)),MAX($Y$3:Y258)+1,"")</f>
      </c>
      <c r="Z259" s="133">
        <f>IFERROR(INDEX($C$4:$C$500,MATCH(ROW()-3,$Y$4:$Y$500,0)),"")</f>
      </c>
      <c r="AA259" s="133">
        <f>IF(AND(A259="Модуль",C259&lt;&gt;"",OR($S$6="(все)",B259=$S$6)),MAX($AA$3:AA258)+1,"")</f>
      </c>
      <c r="AB259" s="133">
        <f>IFERROR(INDEX($C$4:$C$500,MATCH(ROW()-3,$AA$4:$AA$500,0)),"")</f>
      </c>
      <c r="AC259" s="133">
        <f>IF(OR(B259="",COUNTIF($B$4:B259,B259)&gt;1),"",MAX($AC$3:AC258)+1)</f>
      </c>
      <c r="AD259" s="133">
        <f>IFERROR(INDEX($B$4:$B$500,MATCH(ROW()-3,$AC$4:$AC$500,0)),"")</f>
      </c>
      <c r="AE259" s="133">
        <f>IF(AND(A259&lt;&gt;"",N(P259)&gt;0),IFERROR(MATCH(A259,$R$12:$R$25,0),99)*1000+ROW(),"")</f>
      </c>
      <c r="AF259" s="133">
        <f>IF(AE259="","",COUNTIF($AE$4:$AE$500,"&lt;="&amp;AE259))</f>
      </c>
    </row>
    <row r="260">
      <c r="A260" s="265"/>
      <c r="B260" s="265"/>
      <c r="C260" s="265"/>
      <c r="D260" s="265"/>
      <c r="E260" s="265"/>
      <c r="F260" s="265"/>
      <c r="G260" s="265"/>
      <c r="H260" s="265"/>
      <c r="I260" s="265"/>
      <c r="J260" s="265"/>
      <c r="K260" s="265"/>
      <c r="L260" s="265"/>
      <c r="M260" s="265"/>
      <c r="N260" s="133">
        <f>IF(OR(A260="Автомат",A260="Дифавтомат"),IF(W260="","",COUNTIF(Однолинейка!$H$3:$H$1000,U260)),IF(A260="Аппарат",IF(C260="","",COUNTIF(Однолинейка!$I$3:$I$1000,C260)+COUNTIF(Однолинейка!$J$3:$J$1000,C260)+COUNTIF(Однолинейка!$K$3:$K$1000,C260)),IF(A260="Модуль",IF(C260="","",COUNTIFS(Однолинейка!$AW$3:$AW$1000,"?*",Однолинейка!$AI$3:$AI$1000,C260)),IF(A260="Клемма",IF(C260="","",IF(C260=$S$7,SUM(Однолинейка!$BW$3:$BW$1000),IF(C260=$S$8,SUM(Однолинейка!$BX$3:$BX$1000),""))),""))))</f>
      </c>
      <c r="O260" s="265"/>
      <c r="P260" s="133">
        <f>IF(COUNT(N260,O260)=0,"",SUM(N260,O260))</f>
      </c>
      <c r="U260" s="133">
        <f>IF(OR(A260="Автомат",A260="Дифавтомат"),I260&amp;" С"&amp;J260&amp;"А"&amp;IF(K260="да"," 30мА",""),"")</f>
      </c>
      <c r="V260" s="133">
        <f>IF(U260="","",B260&amp;"|"&amp;U260)</f>
      </c>
      <c r="W260" s="133">
        <f>IF(AND(U260&lt;&gt;"",OR($S$4="(все)",B260=$S$4),IF($S$4="(все)",COUNTIF($U$4:U260,U260),COUNTIFS($U$4:U260,U260,$B$4:B260,B260))=1),MAX($W$3:W259)+1,"")</f>
      </c>
      <c r="X260" s="133">
        <f>IFERROR(INDEX($U$4:$U$500,MATCH(ROW()-3,$W$4:$W$500,0)),"")</f>
      </c>
      <c r="Y260" s="133">
        <f>IF(AND(A260="Аппарат",C260&lt;&gt;"",OR($S$5="(все)",B260=$S$5)),MAX($Y$3:Y259)+1,"")</f>
      </c>
      <c r="Z260" s="133">
        <f>IFERROR(INDEX($C$4:$C$500,MATCH(ROW()-3,$Y$4:$Y$500,0)),"")</f>
      </c>
      <c r="AA260" s="133">
        <f>IF(AND(A260="Модуль",C260&lt;&gt;"",OR($S$6="(все)",B260=$S$6)),MAX($AA$3:AA259)+1,"")</f>
      </c>
      <c r="AB260" s="133">
        <f>IFERROR(INDEX($C$4:$C$500,MATCH(ROW()-3,$AA$4:$AA$500,0)),"")</f>
      </c>
      <c r="AC260" s="133">
        <f>IF(OR(B260="",COUNTIF($B$4:B260,B260)&gt;1),"",MAX($AC$3:AC259)+1)</f>
      </c>
      <c r="AD260" s="133">
        <f>IFERROR(INDEX($B$4:$B$500,MATCH(ROW()-3,$AC$4:$AC$500,0)),"")</f>
      </c>
      <c r="AE260" s="133">
        <f>IF(AND(A260&lt;&gt;"",N(P260)&gt;0),IFERROR(MATCH(A260,$R$12:$R$25,0),99)*1000+ROW(),"")</f>
      </c>
      <c r="AF260" s="133">
        <f>IF(AE260="","",COUNTIF($AE$4:$AE$500,"&lt;="&amp;AE260))</f>
      </c>
    </row>
    <row r="261">
      <c r="A261" s="265"/>
      <c r="B261" s="265"/>
      <c r="C261" s="265"/>
      <c r="D261" s="265"/>
      <c r="E261" s="265"/>
      <c r="F261" s="265"/>
      <c r="G261" s="265"/>
      <c r="H261" s="265"/>
      <c r="I261" s="265"/>
      <c r="J261" s="265"/>
      <c r="K261" s="265"/>
      <c r="L261" s="265"/>
      <c r="M261" s="265"/>
      <c r="N261" s="133">
        <f>IF(OR(A261="Автомат",A261="Дифавтомат"),IF(W261="","",COUNTIF(Однолинейка!$H$3:$H$1000,U261)),IF(A261="Аппарат",IF(C261="","",COUNTIF(Однолинейка!$I$3:$I$1000,C261)+COUNTIF(Однолинейка!$J$3:$J$1000,C261)+COUNTIF(Однолинейка!$K$3:$K$1000,C261)),IF(A261="Модуль",IF(C261="","",COUNTIFS(Однолинейка!$AW$3:$AW$1000,"?*",Однолинейка!$AI$3:$AI$1000,C261)),IF(A261="Клемма",IF(C261="","",IF(C261=$S$7,SUM(Однолинейка!$BW$3:$BW$1000),IF(C261=$S$8,SUM(Однолинейка!$BX$3:$BX$1000),""))),""))))</f>
      </c>
      <c r="O261" s="265"/>
      <c r="P261" s="133">
        <f>IF(COUNT(N261,O261)=0,"",SUM(N261,O261))</f>
      </c>
      <c r="U261" s="133">
        <f>IF(OR(A261="Автомат",A261="Дифавтомат"),I261&amp;" С"&amp;J261&amp;"А"&amp;IF(K261="да"," 30мА",""),"")</f>
      </c>
      <c r="V261" s="133">
        <f>IF(U261="","",B261&amp;"|"&amp;U261)</f>
      </c>
      <c r="W261" s="133">
        <f>IF(AND(U261&lt;&gt;"",OR($S$4="(все)",B261=$S$4),IF($S$4="(все)",COUNTIF($U$4:U261,U261),COUNTIFS($U$4:U261,U261,$B$4:B261,B261))=1),MAX($W$3:W260)+1,"")</f>
      </c>
      <c r="X261" s="133">
        <f>IFERROR(INDEX($U$4:$U$500,MATCH(ROW()-3,$W$4:$W$500,0)),"")</f>
      </c>
      <c r="Y261" s="133">
        <f>IF(AND(A261="Аппарат",C261&lt;&gt;"",OR($S$5="(все)",B261=$S$5)),MAX($Y$3:Y260)+1,"")</f>
      </c>
      <c r="Z261" s="133">
        <f>IFERROR(INDEX($C$4:$C$500,MATCH(ROW()-3,$Y$4:$Y$500,0)),"")</f>
      </c>
      <c r="AA261" s="133">
        <f>IF(AND(A261="Модуль",C261&lt;&gt;"",OR($S$6="(все)",B261=$S$6)),MAX($AA$3:AA260)+1,"")</f>
      </c>
      <c r="AB261" s="133">
        <f>IFERROR(INDEX($C$4:$C$500,MATCH(ROW()-3,$AA$4:$AA$500,0)),"")</f>
      </c>
      <c r="AC261" s="133">
        <f>IF(OR(B261="",COUNTIF($B$4:B261,B261)&gt;1),"",MAX($AC$3:AC260)+1)</f>
      </c>
      <c r="AD261" s="133">
        <f>IFERROR(INDEX($B$4:$B$500,MATCH(ROW()-3,$AC$4:$AC$500,0)),"")</f>
      </c>
      <c r="AE261" s="133">
        <f>IF(AND(A261&lt;&gt;"",N(P261)&gt;0),IFERROR(MATCH(A261,$R$12:$R$25,0),99)*1000+ROW(),"")</f>
      </c>
      <c r="AF261" s="133">
        <f>IF(AE261="","",COUNTIF($AE$4:$AE$500,"&lt;="&amp;AE261))</f>
      </c>
    </row>
    <row r="262">
      <c r="A262" s="265"/>
      <c r="B262" s="265"/>
      <c r="C262" s="265"/>
      <c r="D262" s="265"/>
      <c r="E262" s="265"/>
      <c r="F262" s="265"/>
      <c r="G262" s="265"/>
      <c r="H262" s="265"/>
      <c r="I262" s="265"/>
      <c r="J262" s="265"/>
      <c r="K262" s="265"/>
      <c r="L262" s="265"/>
      <c r="M262" s="265"/>
      <c r="N262" s="133">
        <f>IF(OR(A262="Автомат",A262="Дифавтомат"),IF(W262="","",COUNTIF(Однолинейка!$H$3:$H$1000,U262)),IF(A262="Аппарат",IF(C262="","",COUNTIF(Однолинейка!$I$3:$I$1000,C262)+COUNTIF(Однолинейка!$J$3:$J$1000,C262)+COUNTIF(Однолинейка!$K$3:$K$1000,C262)),IF(A262="Модуль",IF(C262="","",COUNTIFS(Однолинейка!$AW$3:$AW$1000,"?*",Однолинейка!$AI$3:$AI$1000,C262)),IF(A262="Клемма",IF(C262="","",IF(C262=$S$7,SUM(Однолинейка!$BW$3:$BW$1000),IF(C262=$S$8,SUM(Однолинейка!$BX$3:$BX$1000),""))),""))))</f>
      </c>
      <c r="O262" s="265"/>
      <c r="P262" s="133">
        <f>IF(COUNT(N262,O262)=0,"",SUM(N262,O262))</f>
      </c>
      <c r="U262" s="133">
        <f>IF(OR(A262="Автомат",A262="Дифавтомат"),I262&amp;" С"&amp;J262&amp;"А"&amp;IF(K262="да"," 30мА",""),"")</f>
      </c>
      <c r="V262" s="133">
        <f>IF(U262="","",B262&amp;"|"&amp;U262)</f>
      </c>
      <c r="W262" s="133">
        <f>IF(AND(U262&lt;&gt;"",OR($S$4="(все)",B262=$S$4),IF($S$4="(все)",COUNTIF($U$4:U262,U262),COUNTIFS($U$4:U262,U262,$B$4:B262,B262))=1),MAX($W$3:W261)+1,"")</f>
      </c>
      <c r="X262" s="133">
        <f>IFERROR(INDEX($U$4:$U$500,MATCH(ROW()-3,$W$4:$W$500,0)),"")</f>
      </c>
      <c r="Y262" s="133">
        <f>IF(AND(A262="Аппарат",C262&lt;&gt;"",OR($S$5="(все)",B262=$S$5)),MAX($Y$3:Y261)+1,"")</f>
      </c>
      <c r="Z262" s="133">
        <f>IFERROR(INDEX($C$4:$C$500,MATCH(ROW()-3,$Y$4:$Y$500,0)),"")</f>
      </c>
      <c r="AA262" s="133">
        <f>IF(AND(A262="Модуль",C262&lt;&gt;"",OR($S$6="(все)",B262=$S$6)),MAX($AA$3:AA261)+1,"")</f>
      </c>
      <c r="AB262" s="133">
        <f>IFERROR(INDEX($C$4:$C$500,MATCH(ROW()-3,$AA$4:$AA$500,0)),"")</f>
      </c>
      <c r="AC262" s="133">
        <f>IF(OR(B262="",COUNTIF($B$4:B262,B262)&gt;1),"",MAX($AC$3:AC261)+1)</f>
      </c>
      <c r="AD262" s="133">
        <f>IFERROR(INDEX($B$4:$B$500,MATCH(ROW()-3,$AC$4:$AC$500,0)),"")</f>
      </c>
      <c r="AE262" s="133">
        <f>IF(AND(A262&lt;&gt;"",N(P262)&gt;0),IFERROR(MATCH(A262,$R$12:$R$25,0),99)*1000+ROW(),"")</f>
      </c>
      <c r="AF262" s="133">
        <f>IF(AE262="","",COUNTIF($AE$4:$AE$500,"&lt;="&amp;AE262))</f>
      </c>
    </row>
    <row r="263">
      <c r="A263" s="265"/>
      <c r="B263" s="265"/>
      <c r="C263" s="265"/>
      <c r="D263" s="265"/>
      <c r="E263" s="265"/>
      <c r="F263" s="265"/>
      <c r="G263" s="265"/>
      <c r="H263" s="265"/>
      <c r="I263" s="265"/>
      <c r="J263" s="265"/>
      <c r="K263" s="265"/>
      <c r="L263" s="265"/>
      <c r="M263" s="265"/>
      <c r="N263" s="133">
        <f>IF(OR(A263="Автомат",A263="Дифавтомат"),IF(W263="","",COUNTIF(Однолинейка!$H$3:$H$1000,U263)),IF(A263="Аппарат",IF(C263="","",COUNTIF(Однолинейка!$I$3:$I$1000,C263)+COUNTIF(Однолинейка!$J$3:$J$1000,C263)+COUNTIF(Однолинейка!$K$3:$K$1000,C263)),IF(A263="Модуль",IF(C263="","",COUNTIFS(Однолинейка!$AW$3:$AW$1000,"?*",Однолинейка!$AI$3:$AI$1000,C263)),IF(A263="Клемма",IF(C263="","",IF(C263=$S$7,SUM(Однолинейка!$BW$3:$BW$1000),IF(C263=$S$8,SUM(Однолинейка!$BX$3:$BX$1000),""))),""))))</f>
      </c>
      <c r="O263" s="265"/>
      <c r="P263" s="133">
        <f>IF(COUNT(N263,O263)=0,"",SUM(N263,O263))</f>
      </c>
      <c r="U263" s="133">
        <f>IF(OR(A263="Автомат",A263="Дифавтомат"),I263&amp;" С"&amp;J263&amp;"А"&amp;IF(K263="да"," 30мА",""),"")</f>
      </c>
      <c r="V263" s="133">
        <f>IF(U263="","",B263&amp;"|"&amp;U263)</f>
      </c>
      <c r="W263" s="133">
        <f>IF(AND(U263&lt;&gt;"",OR($S$4="(все)",B263=$S$4),IF($S$4="(все)",COUNTIF($U$4:U263,U263),COUNTIFS($U$4:U263,U263,$B$4:B263,B263))=1),MAX($W$3:W262)+1,"")</f>
      </c>
      <c r="X263" s="133">
        <f>IFERROR(INDEX($U$4:$U$500,MATCH(ROW()-3,$W$4:$W$500,0)),"")</f>
      </c>
      <c r="Y263" s="133">
        <f>IF(AND(A263="Аппарат",C263&lt;&gt;"",OR($S$5="(все)",B263=$S$5)),MAX($Y$3:Y262)+1,"")</f>
      </c>
      <c r="Z263" s="133">
        <f>IFERROR(INDEX($C$4:$C$500,MATCH(ROW()-3,$Y$4:$Y$500,0)),"")</f>
      </c>
      <c r="AA263" s="133">
        <f>IF(AND(A263="Модуль",C263&lt;&gt;"",OR($S$6="(все)",B263=$S$6)),MAX($AA$3:AA262)+1,"")</f>
      </c>
      <c r="AB263" s="133">
        <f>IFERROR(INDEX($C$4:$C$500,MATCH(ROW()-3,$AA$4:$AA$500,0)),"")</f>
      </c>
      <c r="AC263" s="133">
        <f>IF(OR(B263="",COUNTIF($B$4:B263,B263)&gt;1),"",MAX($AC$3:AC262)+1)</f>
      </c>
      <c r="AD263" s="133">
        <f>IFERROR(INDEX($B$4:$B$500,MATCH(ROW()-3,$AC$4:$AC$500,0)),"")</f>
      </c>
      <c r="AE263" s="133">
        <f>IF(AND(A263&lt;&gt;"",N(P263)&gt;0),IFERROR(MATCH(A263,$R$12:$R$25,0),99)*1000+ROW(),"")</f>
      </c>
      <c r="AF263" s="133">
        <f>IF(AE263="","",COUNTIF($AE$4:$AE$500,"&lt;="&amp;AE263))</f>
      </c>
    </row>
    <row r="264">
      <c r="A264" s="265"/>
      <c r="B264" s="265"/>
      <c r="C264" s="265"/>
      <c r="D264" s="265"/>
      <c r="E264" s="265"/>
      <c r="F264" s="265"/>
      <c r="G264" s="265"/>
      <c r="H264" s="265"/>
      <c r="I264" s="265"/>
      <c r="J264" s="265"/>
      <c r="K264" s="265"/>
      <c r="L264" s="265"/>
      <c r="M264" s="265"/>
      <c r="N264" s="133">
        <f>IF(OR(A264="Автомат",A264="Дифавтомат"),IF(W264="","",COUNTIF(Однолинейка!$H$3:$H$1000,U264)),IF(A264="Аппарат",IF(C264="","",COUNTIF(Однолинейка!$I$3:$I$1000,C264)+COUNTIF(Однолинейка!$J$3:$J$1000,C264)+COUNTIF(Однолинейка!$K$3:$K$1000,C264)),IF(A264="Модуль",IF(C264="","",COUNTIFS(Однолинейка!$AW$3:$AW$1000,"?*",Однолинейка!$AI$3:$AI$1000,C264)),IF(A264="Клемма",IF(C264="","",IF(C264=$S$7,SUM(Однолинейка!$BW$3:$BW$1000),IF(C264=$S$8,SUM(Однолинейка!$BX$3:$BX$1000),""))),""))))</f>
      </c>
      <c r="O264" s="265"/>
      <c r="P264" s="133">
        <f>IF(COUNT(N264,O264)=0,"",SUM(N264,O264))</f>
      </c>
      <c r="U264" s="133">
        <f>IF(OR(A264="Автомат",A264="Дифавтомат"),I264&amp;" С"&amp;J264&amp;"А"&amp;IF(K264="да"," 30мА",""),"")</f>
      </c>
      <c r="V264" s="133">
        <f>IF(U264="","",B264&amp;"|"&amp;U264)</f>
      </c>
      <c r="W264" s="133">
        <f>IF(AND(U264&lt;&gt;"",OR($S$4="(все)",B264=$S$4),IF($S$4="(все)",COUNTIF($U$4:U264,U264),COUNTIFS($U$4:U264,U264,$B$4:B264,B264))=1),MAX($W$3:W263)+1,"")</f>
      </c>
      <c r="X264" s="133">
        <f>IFERROR(INDEX($U$4:$U$500,MATCH(ROW()-3,$W$4:$W$500,0)),"")</f>
      </c>
      <c r="Y264" s="133">
        <f>IF(AND(A264="Аппарат",C264&lt;&gt;"",OR($S$5="(все)",B264=$S$5)),MAX($Y$3:Y263)+1,"")</f>
      </c>
      <c r="Z264" s="133">
        <f>IFERROR(INDEX($C$4:$C$500,MATCH(ROW()-3,$Y$4:$Y$500,0)),"")</f>
      </c>
      <c r="AA264" s="133">
        <f>IF(AND(A264="Модуль",C264&lt;&gt;"",OR($S$6="(все)",B264=$S$6)),MAX($AA$3:AA263)+1,"")</f>
      </c>
      <c r="AB264" s="133">
        <f>IFERROR(INDEX($C$4:$C$500,MATCH(ROW()-3,$AA$4:$AA$500,0)),"")</f>
      </c>
      <c r="AC264" s="133">
        <f>IF(OR(B264="",COUNTIF($B$4:B264,B264)&gt;1),"",MAX($AC$3:AC263)+1)</f>
      </c>
      <c r="AD264" s="133">
        <f>IFERROR(INDEX($B$4:$B$500,MATCH(ROW()-3,$AC$4:$AC$500,0)),"")</f>
      </c>
      <c r="AE264" s="133">
        <f>IF(AND(A264&lt;&gt;"",N(P264)&gt;0),IFERROR(MATCH(A264,$R$12:$R$25,0),99)*1000+ROW(),"")</f>
      </c>
      <c r="AF264" s="133">
        <f>IF(AE264="","",COUNTIF($AE$4:$AE$500,"&lt;="&amp;AE264))</f>
      </c>
    </row>
    <row r="265">
      <c r="A265" s="265"/>
      <c r="B265" s="265"/>
      <c r="C265" s="265"/>
      <c r="D265" s="265"/>
      <c r="E265" s="265"/>
      <c r="F265" s="265"/>
      <c r="G265" s="265"/>
      <c r="H265" s="265"/>
      <c r="I265" s="265"/>
      <c r="J265" s="265"/>
      <c r="K265" s="265"/>
      <c r="L265" s="265"/>
      <c r="M265" s="265"/>
      <c r="N265" s="133">
        <f>IF(OR(A265="Автомат",A265="Дифавтомат"),IF(W265="","",COUNTIF(Однолинейка!$H$3:$H$1000,U265)),IF(A265="Аппарат",IF(C265="","",COUNTIF(Однолинейка!$I$3:$I$1000,C265)+COUNTIF(Однолинейка!$J$3:$J$1000,C265)+COUNTIF(Однолинейка!$K$3:$K$1000,C265)),IF(A265="Модуль",IF(C265="","",COUNTIFS(Однолинейка!$AW$3:$AW$1000,"?*",Однолинейка!$AI$3:$AI$1000,C265)),IF(A265="Клемма",IF(C265="","",IF(C265=$S$7,SUM(Однолинейка!$BW$3:$BW$1000),IF(C265=$S$8,SUM(Однолинейка!$BX$3:$BX$1000),""))),""))))</f>
      </c>
      <c r="O265" s="265"/>
      <c r="P265" s="133">
        <f>IF(COUNT(N265,O265)=0,"",SUM(N265,O265))</f>
      </c>
      <c r="U265" s="133">
        <f>IF(OR(A265="Автомат",A265="Дифавтомат"),I265&amp;" С"&amp;J265&amp;"А"&amp;IF(K265="да"," 30мА",""),"")</f>
      </c>
      <c r="V265" s="133">
        <f>IF(U265="","",B265&amp;"|"&amp;U265)</f>
      </c>
      <c r="W265" s="133">
        <f>IF(AND(U265&lt;&gt;"",OR($S$4="(все)",B265=$S$4),IF($S$4="(все)",COUNTIF($U$4:U265,U265),COUNTIFS($U$4:U265,U265,$B$4:B265,B265))=1),MAX($W$3:W264)+1,"")</f>
      </c>
      <c r="X265" s="133">
        <f>IFERROR(INDEX($U$4:$U$500,MATCH(ROW()-3,$W$4:$W$500,0)),"")</f>
      </c>
      <c r="Y265" s="133">
        <f>IF(AND(A265="Аппарат",C265&lt;&gt;"",OR($S$5="(все)",B265=$S$5)),MAX($Y$3:Y264)+1,"")</f>
      </c>
      <c r="Z265" s="133">
        <f>IFERROR(INDEX($C$4:$C$500,MATCH(ROW()-3,$Y$4:$Y$500,0)),"")</f>
      </c>
      <c r="AA265" s="133">
        <f>IF(AND(A265="Модуль",C265&lt;&gt;"",OR($S$6="(все)",B265=$S$6)),MAX($AA$3:AA264)+1,"")</f>
      </c>
      <c r="AB265" s="133">
        <f>IFERROR(INDEX($C$4:$C$500,MATCH(ROW()-3,$AA$4:$AA$500,0)),"")</f>
      </c>
      <c r="AC265" s="133">
        <f>IF(OR(B265="",COUNTIF($B$4:B265,B265)&gt;1),"",MAX($AC$3:AC264)+1)</f>
      </c>
      <c r="AD265" s="133">
        <f>IFERROR(INDEX($B$4:$B$500,MATCH(ROW()-3,$AC$4:$AC$500,0)),"")</f>
      </c>
      <c r="AE265" s="133">
        <f>IF(AND(A265&lt;&gt;"",N(P265)&gt;0),IFERROR(MATCH(A265,$R$12:$R$25,0),99)*1000+ROW(),"")</f>
      </c>
      <c r="AF265" s="133">
        <f>IF(AE265="","",COUNTIF($AE$4:$AE$500,"&lt;="&amp;AE265))</f>
      </c>
    </row>
    <row r="266">
      <c r="A266" s="265"/>
      <c r="B266" s="265"/>
      <c r="C266" s="265"/>
      <c r="D266" s="265"/>
      <c r="E266" s="265"/>
      <c r="F266" s="265"/>
      <c r="G266" s="265"/>
      <c r="H266" s="265"/>
      <c r="I266" s="265"/>
      <c r="J266" s="265"/>
      <c r="K266" s="265"/>
      <c r="L266" s="265"/>
      <c r="M266" s="265"/>
      <c r="N266" s="133">
        <f>IF(OR(A266="Автомат",A266="Дифавтомат"),IF(W266="","",COUNTIF(Однолинейка!$H$3:$H$1000,U266)),IF(A266="Аппарат",IF(C266="","",COUNTIF(Однолинейка!$I$3:$I$1000,C266)+COUNTIF(Однолинейка!$J$3:$J$1000,C266)+COUNTIF(Однолинейка!$K$3:$K$1000,C266)),IF(A266="Модуль",IF(C266="","",COUNTIFS(Однолинейка!$AW$3:$AW$1000,"?*",Однолинейка!$AI$3:$AI$1000,C266)),IF(A266="Клемма",IF(C266="","",IF(C266=$S$7,SUM(Однолинейка!$BW$3:$BW$1000),IF(C266=$S$8,SUM(Однолинейка!$BX$3:$BX$1000),""))),""))))</f>
      </c>
      <c r="O266" s="265"/>
      <c r="P266" s="133">
        <f>IF(COUNT(N266,O266)=0,"",SUM(N266,O266))</f>
      </c>
      <c r="U266" s="133">
        <f>IF(OR(A266="Автомат",A266="Дифавтомат"),I266&amp;" С"&amp;J266&amp;"А"&amp;IF(K266="да"," 30мА",""),"")</f>
      </c>
      <c r="V266" s="133">
        <f>IF(U266="","",B266&amp;"|"&amp;U266)</f>
      </c>
      <c r="W266" s="133">
        <f>IF(AND(U266&lt;&gt;"",OR($S$4="(все)",B266=$S$4),IF($S$4="(все)",COUNTIF($U$4:U266,U266),COUNTIFS($U$4:U266,U266,$B$4:B266,B266))=1),MAX($W$3:W265)+1,"")</f>
      </c>
      <c r="X266" s="133">
        <f>IFERROR(INDEX($U$4:$U$500,MATCH(ROW()-3,$W$4:$W$500,0)),"")</f>
      </c>
      <c r="Y266" s="133">
        <f>IF(AND(A266="Аппарат",C266&lt;&gt;"",OR($S$5="(все)",B266=$S$5)),MAX($Y$3:Y265)+1,"")</f>
      </c>
      <c r="Z266" s="133">
        <f>IFERROR(INDEX($C$4:$C$500,MATCH(ROW()-3,$Y$4:$Y$500,0)),"")</f>
      </c>
      <c r="AA266" s="133">
        <f>IF(AND(A266="Модуль",C266&lt;&gt;"",OR($S$6="(все)",B266=$S$6)),MAX($AA$3:AA265)+1,"")</f>
      </c>
      <c r="AB266" s="133">
        <f>IFERROR(INDEX($C$4:$C$500,MATCH(ROW()-3,$AA$4:$AA$500,0)),"")</f>
      </c>
      <c r="AC266" s="133">
        <f>IF(OR(B266="",COUNTIF($B$4:B266,B266)&gt;1),"",MAX($AC$3:AC265)+1)</f>
      </c>
      <c r="AD266" s="133">
        <f>IFERROR(INDEX($B$4:$B$500,MATCH(ROW()-3,$AC$4:$AC$500,0)),"")</f>
      </c>
      <c r="AE266" s="133">
        <f>IF(AND(A266&lt;&gt;"",N(P266)&gt;0),IFERROR(MATCH(A266,$R$12:$R$25,0),99)*1000+ROW(),"")</f>
      </c>
      <c r="AF266" s="133">
        <f>IF(AE266="","",COUNTIF($AE$4:$AE$500,"&lt;="&amp;AE266))</f>
      </c>
    </row>
    <row r="267">
      <c r="A267" s="265"/>
      <c r="B267" s="265"/>
      <c r="C267" s="265"/>
      <c r="D267" s="265"/>
      <c r="E267" s="265"/>
      <c r="F267" s="265"/>
      <c r="G267" s="265"/>
      <c r="H267" s="265"/>
      <c r="I267" s="265"/>
      <c r="J267" s="265"/>
      <c r="K267" s="265"/>
      <c r="L267" s="265"/>
      <c r="M267" s="265"/>
      <c r="N267" s="133">
        <f>IF(OR(A267="Автомат",A267="Дифавтомат"),IF(W267="","",COUNTIF(Однолинейка!$H$3:$H$1000,U267)),IF(A267="Аппарат",IF(C267="","",COUNTIF(Однолинейка!$I$3:$I$1000,C267)+COUNTIF(Однолинейка!$J$3:$J$1000,C267)+COUNTIF(Однолинейка!$K$3:$K$1000,C267)),IF(A267="Модуль",IF(C267="","",COUNTIFS(Однолинейка!$AW$3:$AW$1000,"?*",Однолинейка!$AI$3:$AI$1000,C267)),IF(A267="Клемма",IF(C267="","",IF(C267=$S$7,SUM(Однолинейка!$BW$3:$BW$1000),IF(C267=$S$8,SUM(Однолинейка!$BX$3:$BX$1000),""))),""))))</f>
      </c>
      <c r="O267" s="265"/>
      <c r="P267" s="133">
        <f>IF(COUNT(N267,O267)=0,"",SUM(N267,O267))</f>
      </c>
      <c r="U267" s="133">
        <f>IF(OR(A267="Автомат",A267="Дифавтомат"),I267&amp;" С"&amp;J267&amp;"А"&amp;IF(K267="да"," 30мА",""),"")</f>
      </c>
      <c r="V267" s="133">
        <f>IF(U267="","",B267&amp;"|"&amp;U267)</f>
      </c>
      <c r="W267" s="133">
        <f>IF(AND(U267&lt;&gt;"",OR($S$4="(все)",B267=$S$4),IF($S$4="(все)",COUNTIF($U$4:U267,U267),COUNTIFS($U$4:U267,U267,$B$4:B267,B267))=1),MAX($W$3:W266)+1,"")</f>
      </c>
      <c r="X267" s="133">
        <f>IFERROR(INDEX($U$4:$U$500,MATCH(ROW()-3,$W$4:$W$500,0)),"")</f>
      </c>
      <c r="Y267" s="133">
        <f>IF(AND(A267="Аппарат",C267&lt;&gt;"",OR($S$5="(все)",B267=$S$5)),MAX($Y$3:Y266)+1,"")</f>
      </c>
      <c r="Z267" s="133">
        <f>IFERROR(INDEX($C$4:$C$500,MATCH(ROW()-3,$Y$4:$Y$500,0)),"")</f>
      </c>
      <c r="AA267" s="133">
        <f>IF(AND(A267="Модуль",C267&lt;&gt;"",OR($S$6="(все)",B267=$S$6)),MAX($AA$3:AA266)+1,"")</f>
      </c>
      <c r="AB267" s="133">
        <f>IFERROR(INDEX($C$4:$C$500,MATCH(ROW()-3,$AA$4:$AA$500,0)),"")</f>
      </c>
      <c r="AC267" s="133">
        <f>IF(OR(B267="",COUNTIF($B$4:B267,B267)&gt;1),"",MAX($AC$3:AC266)+1)</f>
      </c>
      <c r="AD267" s="133">
        <f>IFERROR(INDEX($B$4:$B$500,MATCH(ROW()-3,$AC$4:$AC$500,0)),"")</f>
      </c>
      <c r="AE267" s="133">
        <f>IF(AND(A267&lt;&gt;"",N(P267)&gt;0),IFERROR(MATCH(A267,$R$12:$R$25,0),99)*1000+ROW(),"")</f>
      </c>
      <c r="AF267" s="133">
        <f>IF(AE267="","",COUNTIF($AE$4:$AE$500,"&lt;="&amp;AE267))</f>
      </c>
    </row>
    <row r="268">
      <c r="A268" s="265"/>
      <c r="B268" s="265"/>
      <c r="C268" s="265"/>
      <c r="D268" s="265"/>
      <c r="E268" s="265"/>
      <c r="F268" s="265"/>
      <c r="G268" s="265"/>
      <c r="H268" s="265"/>
      <c r="I268" s="265"/>
      <c r="J268" s="265"/>
      <c r="K268" s="265"/>
      <c r="L268" s="265"/>
      <c r="M268" s="265"/>
      <c r="N268" s="133">
        <f>IF(OR(A268="Автомат",A268="Дифавтомат"),IF(W268="","",COUNTIF(Однолинейка!$H$3:$H$1000,U268)),IF(A268="Аппарат",IF(C268="","",COUNTIF(Однолинейка!$I$3:$I$1000,C268)+COUNTIF(Однолинейка!$J$3:$J$1000,C268)+COUNTIF(Однолинейка!$K$3:$K$1000,C268)),IF(A268="Модуль",IF(C268="","",COUNTIFS(Однолинейка!$AW$3:$AW$1000,"?*",Однолинейка!$AI$3:$AI$1000,C268)),IF(A268="Клемма",IF(C268="","",IF(C268=$S$7,SUM(Однолинейка!$BW$3:$BW$1000),IF(C268=$S$8,SUM(Однолинейка!$BX$3:$BX$1000),""))),""))))</f>
      </c>
      <c r="O268" s="265"/>
      <c r="P268" s="133">
        <f>IF(COUNT(N268,O268)=0,"",SUM(N268,O268))</f>
      </c>
      <c r="U268" s="133">
        <f>IF(OR(A268="Автомат",A268="Дифавтомат"),I268&amp;" С"&amp;J268&amp;"А"&amp;IF(K268="да"," 30мА",""),"")</f>
      </c>
      <c r="V268" s="133">
        <f>IF(U268="","",B268&amp;"|"&amp;U268)</f>
      </c>
      <c r="W268" s="133">
        <f>IF(AND(U268&lt;&gt;"",OR($S$4="(все)",B268=$S$4),IF($S$4="(все)",COUNTIF($U$4:U268,U268),COUNTIFS($U$4:U268,U268,$B$4:B268,B268))=1),MAX($W$3:W267)+1,"")</f>
      </c>
      <c r="X268" s="133">
        <f>IFERROR(INDEX($U$4:$U$500,MATCH(ROW()-3,$W$4:$W$500,0)),"")</f>
      </c>
      <c r="Y268" s="133">
        <f>IF(AND(A268="Аппарат",C268&lt;&gt;"",OR($S$5="(все)",B268=$S$5)),MAX($Y$3:Y267)+1,"")</f>
      </c>
      <c r="Z268" s="133">
        <f>IFERROR(INDEX($C$4:$C$500,MATCH(ROW()-3,$Y$4:$Y$500,0)),"")</f>
      </c>
      <c r="AA268" s="133">
        <f>IF(AND(A268="Модуль",C268&lt;&gt;"",OR($S$6="(все)",B268=$S$6)),MAX($AA$3:AA267)+1,"")</f>
      </c>
      <c r="AB268" s="133">
        <f>IFERROR(INDEX($C$4:$C$500,MATCH(ROW()-3,$AA$4:$AA$500,0)),"")</f>
      </c>
      <c r="AC268" s="133">
        <f>IF(OR(B268="",COUNTIF($B$4:B268,B268)&gt;1),"",MAX($AC$3:AC267)+1)</f>
      </c>
      <c r="AD268" s="133">
        <f>IFERROR(INDEX($B$4:$B$500,MATCH(ROW()-3,$AC$4:$AC$500,0)),"")</f>
      </c>
      <c r="AE268" s="133">
        <f>IF(AND(A268&lt;&gt;"",N(P268)&gt;0),IFERROR(MATCH(A268,$R$12:$R$25,0),99)*1000+ROW(),"")</f>
      </c>
      <c r="AF268" s="133">
        <f>IF(AE268="","",COUNTIF($AE$4:$AE$500,"&lt;="&amp;AE268))</f>
      </c>
    </row>
    <row r="269">
      <c r="A269" s="265"/>
      <c r="B269" s="265"/>
      <c r="C269" s="265"/>
      <c r="D269" s="265"/>
      <c r="E269" s="265"/>
      <c r="F269" s="265"/>
      <c r="G269" s="265"/>
      <c r="H269" s="265"/>
      <c r="I269" s="265"/>
      <c r="J269" s="265"/>
      <c r="K269" s="265"/>
      <c r="L269" s="265"/>
      <c r="M269" s="265"/>
      <c r="N269" s="133">
        <f>IF(OR(A269="Автомат",A269="Дифавтомат"),IF(W269="","",COUNTIF(Однолинейка!$H$3:$H$1000,U269)),IF(A269="Аппарат",IF(C269="","",COUNTIF(Однолинейка!$I$3:$I$1000,C269)+COUNTIF(Однолинейка!$J$3:$J$1000,C269)+COUNTIF(Однолинейка!$K$3:$K$1000,C269)),IF(A269="Модуль",IF(C269="","",COUNTIFS(Однолинейка!$AW$3:$AW$1000,"?*",Однолинейка!$AI$3:$AI$1000,C269)),IF(A269="Клемма",IF(C269="","",IF(C269=$S$7,SUM(Однолинейка!$BW$3:$BW$1000),IF(C269=$S$8,SUM(Однолинейка!$BX$3:$BX$1000),""))),""))))</f>
      </c>
      <c r="O269" s="265"/>
      <c r="P269" s="133">
        <f>IF(COUNT(N269,O269)=0,"",SUM(N269,O269))</f>
      </c>
      <c r="U269" s="133">
        <f>IF(OR(A269="Автомат",A269="Дифавтомат"),I269&amp;" С"&amp;J269&amp;"А"&amp;IF(K269="да"," 30мА",""),"")</f>
      </c>
      <c r="V269" s="133">
        <f>IF(U269="","",B269&amp;"|"&amp;U269)</f>
      </c>
      <c r="W269" s="133">
        <f>IF(AND(U269&lt;&gt;"",OR($S$4="(все)",B269=$S$4),IF($S$4="(все)",COUNTIF($U$4:U269,U269),COUNTIFS($U$4:U269,U269,$B$4:B269,B269))=1),MAX($W$3:W268)+1,"")</f>
      </c>
      <c r="X269" s="133">
        <f>IFERROR(INDEX($U$4:$U$500,MATCH(ROW()-3,$W$4:$W$500,0)),"")</f>
      </c>
      <c r="Y269" s="133">
        <f>IF(AND(A269="Аппарат",C269&lt;&gt;"",OR($S$5="(все)",B269=$S$5)),MAX($Y$3:Y268)+1,"")</f>
      </c>
      <c r="Z269" s="133">
        <f>IFERROR(INDEX($C$4:$C$500,MATCH(ROW()-3,$Y$4:$Y$500,0)),"")</f>
      </c>
      <c r="AA269" s="133">
        <f>IF(AND(A269="Модуль",C269&lt;&gt;"",OR($S$6="(все)",B269=$S$6)),MAX($AA$3:AA268)+1,"")</f>
      </c>
      <c r="AB269" s="133">
        <f>IFERROR(INDEX($C$4:$C$500,MATCH(ROW()-3,$AA$4:$AA$500,0)),"")</f>
      </c>
      <c r="AC269" s="133">
        <f>IF(OR(B269="",COUNTIF($B$4:B269,B269)&gt;1),"",MAX($AC$3:AC268)+1)</f>
      </c>
      <c r="AD269" s="133">
        <f>IFERROR(INDEX($B$4:$B$500,MATCH(ROW()-3,$AC$4:$AC$500,0)),"")</f>
      </c>
      <c r="AE269" s="133">
        <f>IF(AND(A269&lt;&gt;"",N(P269)&gt;0),IFERROR(MATCH(A269,$R$12:$R$25,0),99)*1000+ROW(),"")</f>
      </c>
      <c r="AF269" s="133">
        <f>IF(AE269="","",COUNTIF($AE$4:$AE$500,"&lt;="&amp;AE269))</f>
      </c>
    </row>
    <row r="270">
      <c r="A270" s="265"/>
      <c r="B270" s="265"/>
      <c r="C270" s="265"/>
      <c r="D270" s="265"/>
      <c r="E270" s="265"/>
      <c r="F270" s="265"/>
      <c r="G270" s="265"/>
      <c r="H270" s="265"/>
      <c r="I270" s="265"/>
      <c r="J270" s="265"/>
      <c r="K270" s="265"/>
      <c r="L270" s="265"/>
      <c r="M270" s="265"/>
      <c r="N270" s="133">
        <f>IF(OR(A270="Автомат",A270="Дифавтомат"),IF(W270="","",COUNTIF(Однолинейка!$H$3:$H$1000,U270)),IF(A270="Аппарат",IF(C270="","",COUNTIF(Однолинейка!$I$3:$I$1000,C270)+COUNTIF(Однолинейка!$J$3:$J$1000,C270)+COUNTIF(Однолинейка!$K$3:$K$1000,C270)),IF(A270="Модуль",IF(C270="","",COUNTIFS(Однолинейка!$AW$3:$AW$1000,"?*",Однолинейка!$AI$3:$AI$1000,C270)),IF(A270="Клемма",IF(C270="","",IF(C270=$S$7,SUM(Однолинейка!$BW$3:$BW$1000),IF(C270=$S$8,SUM(Однолинейка!$BX$3:$BX$1000),""))),""))))</f>
      </c>
      <c r="O270" s="265"/>
      <c r="P270" s="133">
        <f>IF(COUNT(N270,O270)=0,"",SUM(N270,O270))</f>
      </c>
      <c r="U270" s="133">
        <f>IF(OR(A270="Автомат",A270="Дифавтомат"),I270&amp;" С"&amp;J270&amp;"А"&amp;IF(K270="да"," 30мА",""),"")</f>
      </c>
      <c r="V270" s="133">
        <f>IF(U270="","",B270&amp;"|"&amp;U270)</f>
      </c>
      <c r="W270" s="133">
        <f>IF(AND(U270&lt;&gt;"",OR($S$4="(все)",B270=$S$4),IF($S$4="(все)",COUNTIF($U$4:U270,U270),COUNTIFS($U$4:U270,U270,$B$4:B270,B270))=1),MAX($W$3:W269)+1,"")</f>
      </c>
      <c r="X270" s="133">
        <f>IFERROR(INDEX($U$4:$U$500,MATCH(ROW()-3,$W$4:$W$500,0)),"")</f>
      </c>
      <c r="Y270" s="133">
        <f>IF(AND(A270="Аппарат",C270&lt;&gt;"",OR($S$5="(все)",B270=$S$5)),MAX($Y$3:Y269)+1,"")</f>
      </c>
      <c r="Z270" s="133">
        <f>IFERROR(INDEX($C$4:$C$500,MATCH(ROW()-3,$Y$4:$Y$500,0)),"")</f>
      </c>
      <c r="AA270" s="133">
        <f>IF(AND(A270="Модуль",C270&lt;&gt;"",OR($S$6="(все)",B270=$S$6)),MAX($AA$3:AA269)+1,"")</f>
      </c>
      <c r="AB270" s="133">
        <f>IFERROR(INDEX($C$4:$C$500,MATCH(ROW()-3,$AA$4:$AA$500,0)),"")</f>
      </c>
      <c r="AC270" s="133">
        <f>IF(OR(B270="",COUNTIF($B$4:B270,B270)&gt;1),"",MAX($AC$3:AC269)+1)</f>
      </c>
      <c r="AD270" s="133">
        <f>IFERROR(INDEX($B$4:$B$500,MATCH(ROW()-3,$AC$4:$AC$500,0)),"")</f>
      </c>
      <c r="AE270" s="133">
        <f>IF(AND(A270&lt;&gt;"",N(P270)&gt;0),IFERROR(MATCH(A270,$R$12:$R$25,0),99)*1000+ROW(),"")</f>
      </c>
      <c r="AF270" s="133">
        <f>IF(AE270="","",COUNTIF($AE$4:$AE$500,"&lt;="&amp;AE270))</f>
      </c>
    </row>
    <row r="271">
      <c r="A271" s="265"/>
      <c r="B271" s="265"/>
      <c r="C271" s="265"/>
      <c r="D271" s="265"/>
      <c r="E271" s="265"/>
      <c r="F271" s="265"/>
      <c r="G271" s="265"/>
      <c r="H271" s="265"/>
      <c r="I271" s="265"/>
      <c r="J271" s="265"/>
      <c r="K271" s="265"/>
      <c r="L271" s="265"/>
      <c r="M271" s="265"/>
      <c r="N271" s="133">
        <f>IF(OR(A271="Автомат",A271="Дифавтомат"),IF(W271="","",COUNTIF(Однолинейка!$H$3:$H$1000,U271)),IF(A271="Аппарат",IF(C271="","",COUNTIF(Однолинейка!$I$3:$I$1000,C271)+COUNTIF(Однолинейка!$J$3:$J$1000,C271)+COUNTIF(Однолинейка!$K$3:$K$1000,C271)),IF(A271="Модуль",IF(C271="","",COUNTIFS(Однолинейка!$AW$3:$AW$1000,"?*",Однолинейка!$AI$3:$AI$1000,C271)),IF(A271="Клемма",IF(C271="","",IF(C271=$S$7,SUM(Однолинейка!$BW$3:$BW$1000),IF(C271=$S$8,SUM(Однолинейка!$BX$3:$BX$1000),""))),""))))</f>
      </c>
      <c r="O271" s="265"/>
      <c r="P271" s="133">
        <f>IF(COUNT(N271,O271)=0,"",SUM(N271,O271))</f>
      </c>
      <c r="U271" s="133">
        <f>IF(OR(A271="Автомат",A271="Дифавтомат"),I271&amp;" С"&amp;J271&amp;"А"&amp;IF(K271="да"," 30мА",""),"")</f>
      </c>
      <c r="V271" s="133">
        <f>IF(U271="","",B271&amp;"|"&amp;U271)</f>
      </c>
      <c r="W271" s="133">
        <f>IF(AND(U271&lt;&gt;"",OR($S$4="(все)",B271=$S$4),IF($S$4="(все)",COUNTIF($U$4:U271,U271),COUNTIFS($U$4:U271,U271,$B$4:B271,B271))=1),MAX($W$3:W270)+1,"")</f>
      </c>
      <c r="X271" s="133">
        <f>IFERROR(INDEX($U$4:$U$500,MATCH(ROW()-3,$W$4:$W$500,0)),"")</f>
      </c>
      <c r="Y271" s="133">
        <f>IF(AND(A271="Аппарат",C271&lt;&gt;"",OR($S$5="(все)",B271=$S$5)),MAX($Y$3:Y270)+1,"")</f>
      </c>
      <c r="Z271" s="133">
        <f>IFERROR(INDEX($C$4:$C$500,MATCH(ROW()-3,$Y$4:$Y$500,0)),"")</f>
      </c>
      <c r="AA271" s="133">
        <f>IF(AND(A271="Модуль",C271&lt;&gt;"",OR($S$6="(все)",B271=$S$6)),MAX($AA$3:AA270)+1,"")</f>
      </c>
      <c r="AB271" s="133">
        <f>IFERROR(INDEX($C$4:$C$500,MATCH(ROW()-3,$AA$4:$AA$500,0)),"")</f>
      </c>
      <c r="AC271" s="133">
        <f>IF(OR(B271="",COUNTIF($B$4:B271,B271)&gt;1),"",MAX($AC$3:AC270)+1)</f>
      </c>
      <c r="AD271" s="133">
        <f>IFERROR(INDEX($B$4:$B$500,MATCH(ROW()-3,$AC$4:$AC$500,0)),"")</f>
      </c>
      <c r="AE271" s="133">
        <f>IF(AND(A271&lt;&gt;"",N(P271)&gt;0),IFERROR(MATCH(A271,$R$12:$R$25,0),99)*1000+ROW(),"")</f>
      </c>
      <c r="AF271" s="133">
        <f>IF(AE271="","",COUNTIF($AE$4:$AE$500,"&lt;="&amp;AE271))</f>
      </c>
    </row>
    <row r="272">
      <c r="A272" s="265"/>
      <c r="B272" s="265"/>
      <c r="C272" s="265"/>
      <c r="D272" s="265"/>
      <c r="E272" s="265"/>
      <c r="F272" s="265"/>
      <c r="G272" s="265"/>
      <c r="H272" s="265"/>
      <c r="I272" s="265"/>
      <c r="J272" s="265"/>
      <c r="K272" s="265"/>
      <c r="L272" s="265"/>
      <c r="M272" s="265"/>
      <c r="N272" s="133">
        <f>IF(OR(A272="Автомат",A272="Дифавтомат"),IF(W272="","",COUNTIF(Однолинейка!$H$3:$H$1000,U272)),IF(A272="Аппарат",IF(C272="","",COUNTIF(Однолинейка!$I$3:$I$1000,C272)+COUNTIF(Однолинейка!$J$3:$J$1000,C272)+COUNTIF(Однолинейка!$K$3:$K$1000,C272)),IF(A272="Модуль",IF(C272="","",COUNTIFS(Однолинейка!$AW$3:$AW$1000,"?*",Однолинейка!$AI$3:$AI$1000,C272)),IF(A272="Клемма",IF(C272="","",IF(C272=$S$7,SUM(Однолинейка!$BW$3:$BW$1000),IF(C272=$S$8,SUM(Однолинейка!$BX$3:$BX$1000),""))),""))))</f>
      </c>
      <c r="O272" s="265"/>
      <c r="P272" s="133">
        <f>IF(COUNT(N272,O272)=0,"",SUM(N272,O272))</f>
      </c>
      <c r="U272" s="133">
        <f>IF(OR(A272="Автомат",A272="Дифавтомат"),I272&amp;" С"&amp;J272&amp;"А"&amp;IF(K272="да"," 30мА",""),"")</f>
      </c>
      <c r="V272" s="133">
        <f>IF(U272="","",B272&amp;"|"&amp;U272)</f>
      </c>
      <c r="W272" s="133">
        <f>IF(AND(U272&lt;&gt;"",OR($S$4="(все)",B272=$S$4),IF($S$4="(все)",COUNTIF($U$4:U272,U272),COUNTIFS($U$4:U272,U272,$B$4:B272,B272))=1),MAX($W$3:W271)+1,"")</f>
      </c>
      <c r="X272" s="133">
        <f>IFERROR(INDEX($U$4:$U$500,MATCH(ROW()-3,$W$4:$W$500,0)),"")</f>
      </c>
      <c r="Y272" s="133">
        <f>IF(AND(A272="Аппарат",C272&lt;&gt;"",OR($S$5="(все)",B272=$S$5)),MAX($Y$3:Y271)+1,"")</f>
      </c>
      <c r="Z272" s="133">
        <f>IFERROR(INDEX($C$4:$C$500,MATCH(ROW()-3,$Y$4:$Y$500,0)),"")</f>
      </c>
      <c r="AA272" s="133">
        <f>IF(AND(A272="Модуль",C272&lt;&gt;"",OR($S$6="(все)",B272=$S$6)),MAX($AA$3:AA271)+1,"")</f>
      </c>
      <c r="AB272" s="133">
        <f>IFERROR(INDEX($C$4:$C$500,MATCH(ROW()-3,$AA$4:$AA$500,0)),"")</f>
      </c>
      <c r="AC272" s="133">
        <f>IF(OR(B272="",COUNTIF($B$4:B272,B272)&gt;1),"",MAX($AC$3:AC271)+1)</f>
      </c>
      <c r="AD272" s="133">
        <f>IFERROR(INDEX($B$4:$B$500,MATCH(ROW()-3,$AC$4:$AC$500,0)),"")</f>
      </c>
      <c r="AE272" s="133">
        <f>IF(AND(A272&lt;&gt;"",N(P272)&gt;0),IFERROR(MATCH(A272,$R$12:$R$25,0),99)*1000+ROW(),"")</f>
      </c>
      <c r="AF272" s="133">
        <f>IF(AE272="","",COUNTIF($AE$4:$AE$500,"&lt;="&amp;AE272))</f>
      </c>
    </row>
    <row r="273">
      <c r="A273" s="265"/>
      <c r="B273" s="265"/>
      <c r="C273" s="265"/>
      <c r="D273" s="265"/>
      <c r="E273" s="265"/>
      <c r="F273" s="265"/>
      <c r="G273" s="265"/>
      <c r="H273" s="265"/>
      <c r="I273" s="265"/>
      <c r="J273" s="265"/>
      <c r="K273" s="265"/>
      <c r="L273" s="265"/>
      <c r="M273" s="265"/>
      <c r="N273" s="133">
        <f>IF(OR(A273="Автомат",A273="Дифавтомат"),IF(W273="","",COUNTIF(Однолинейка!$H$3:$H$1000,U273)),IF(A273="Аппарат",IF(C273="","",COUNTIF(Однолинейка!$I$3:$I$1000,C273)+COUNTIF(Однолинейка!$J$3:$J$1000,C273)+COUNTIF(Однолинейка!$K$3:$K$1000,C273)),IF(A273="Модуль",IF(C273="","",COUNTIFS(Однолинейка!$AW$3:$AW$1000,"?*",Однолинейка!$AI$3:$AI$1000,C273)),IF(A273="Клемма",IF(C273="","",IF(C273=$S$7,SUM(Однолинейка!$BW$3:$BW$1000),IF(C273=$S$8,SUM(Однолинейка!$BX$3:$BX$1000),""))),""))))</f>
      </c>
      <c r="O273" s="265"/>
      <c r="P273" s="133">
        <f>IF(COUNT(N273,O273)=0,"",SUM(N273,O273))</f>
      </c>
      <c r="U273" s="133">
        <f>IF(OR(A273="Автомат",A273="Дифавтомат"),I273&amp;" С"&amp;J273&amp;"А"&amp;IF(K273="да"," 30мА",""),"")</f>
      </c>
      <c r="V273" s="133">
        <f>IF(U273="","",B273&amp;"|"&amp;U273)</f>
      </c>
      <c r="W273" s="133">
        <f>IF(AND(U273&lt;&gt;"",OR($S$4="(все)",B273=$S$4),IF($S$4="(все)",COUNTIF($U$4:U273,U273),COUNTIFS($U$4:U273,U273,$B$4:B273,B273))=1),MAX($W$3:W272)+1,"")</f>
      </c>
      <c r="X273" s="133">
        <f>IFERROR(INDEX($U$4:$U$500,MATCH(ROW()-3,$W$4:$W$500,0)),"")</f>
      </c>
      <c r="Y273" s="133">
        <f>IF(AND(A273="Аппарат",C273&lt;&gt;"",OR($S$5="(все)",B273=$S$5)),MAX($Y$3:Y272)+1,"")</f>
      </c>
      <c r="Z273" s="133">
        <f>IFERROR(INDEX($C$4:$C$500,MATCH(ROW()-3,$Y$4:$Y$500,0)),"")</f>
      </c>
      <c r="AA273" s="133">
        <f>IF(AND(A273="Модуль",C273&lt;&gt;"",OR($S$6="(все)",B273=$S$6)),MAX($AA$3:AA272)+1,"")</f>
      </c>
      <c r="AB273" s="133">
        <f>IFERROR(INDEX($C$4:$C$500,MATCH(ROW()-3,$AA$4:$AA$500,0)),"")</f>
      </c>
      <c r="AC273" s="133">
        <f>IF(OR(B273="",COUNTIF($B$4:B273,B273)&gt;1),"",MAX($AC$3:AC272)+1)</f>
      </c>
      <c r="AD273" s="133">
        <f>IFERROR(INDEX($B$4:$B$500,MATCH(ROW()-3,$AC$4:$AC$500,0)),"")</f>
      </c>
      <c r="AE273" s="133">
        <f>IF(AND(A273&lt;&gt;"",N(P273)&gt;0),IFERROR(MATCH(A273,$R$12:$R$25,0),99)*1000+ROW(),"")</f>
      </c>
      <c r="AF273" s="133">
        <f>IF(AE273="","",COUNTIF($AE$4:$AE$500,"&lt;="&amp;AE273))</f>
      </c>
    </row>
    <row r="274">
      <c r="A274" s="265"/>
      <c r="B274" s="265"/>
      <c r="C274" s="265"/>
      <c r="D274" s="265"/>
      <c r="E274" s="265"/>
      <c r="F274" s="265"/>
      <c r="G274" s="265"/>
      <c r="H274" s="265"/>
      <c r="I274" s="265"/>
      <c r="J274" s="265"/>
      <c r="K274" s="265"/>
      <c r="L274" s="265"/>
      <c r="M274" s="265"/>
      <c r="N274" s="133">
        <f>IF(OR(A274="Автомат",A274="Дифавтомат"),IF(W274="","",COUNTIF(Однолинейка!$H$3:$H$1000,U274)),IF(A274="Аппарат",IF(C274="","",COUNTIF(Однолинейка!$I$3:$I$1000,C274)+COUNTIF(Однолинейка!$J$3:$J$1000,C274)+COUNTIF(Однолинейка!$K$3:$K$1000,C274)),IF(A274="Модуль",IF(C274="","",COUNTIFS(Однолинейка!$AW$3:$AW$1000,"?*",Однолинейка!$AI$3:$AI$1000,C274)),IF(A274="Клемма",IF(C274="","",IF(C274=$S$7,SUM(Однолинейка!$BW$3:$BW$1000),IF(C274=$S$8,SUM(Однолинейка!$BX$3:$BX$1000),""))),""))))</f>
      </c>
      <c r="O274" s="265"/>
      <c r="P274" s="133">
        <f>IF(COUNT(N274,O274)=0,"",SUM(N274,O274))</f>
      </c>
      <c r="U274" s="133">
        <f>IF(OR(A274="Автомат",A274="Дифавтомат"),I274&amp;" С"&amp;J274&amp;"А"&amp;IF(K274="да"," 30мА",""),"")</f>
      </c>
      <c r="V274" s="133">
        <f>IF(U274="","",B274&amp;"|"&amp;U274)</f>
      </c>
      <c r="W274" s="133">
        <f>IF(AND(U274&lt;&gt;"",OR($S$4="(все)",B274=$S$4),IF($S$4="(все)",COUNTIF($U$4:U274,U274),COUNTIFS($U$4:U274,U274,$B$4:B274,B274))=1),MAX($W$3:W273)+1,"")</f>
      </c>
      <c r="X274" s="133">
        <f>IFERROR(INDEX($U$4:$U$500,MATCH(ROW()-3,$W$4:$W$500,0)),"")</f>
      </c>
      <c r="Y274" s="133">
        <f>IF(AND(A274="Аппарат",C274&lt;&gt;"",OR($S$5="(все)",B274=$S$5)),MAX($Y$3:Y273)+1,"")</f>
      </c>
      <c r="Z274" s="133">
        <f>IFERROR(INDEX($C$4:$C$500,MATCH(ROW()-3,$Y$4:$Y$500,0)),"")</f>
      </c>
      <c r="AA274" s="133">
        <f>IF(AND(A274="Модуль",C274&lt;&gt;"",OR($S$6="(все)",B274=$S$6)),MAX($AA$3:AA273)+1,"")</f>
      </c>
      <c r="AB274" s="133">
        <f>IFERROR(INDEX($C$4:$C$500,MATCH(ROW()-3,$AA$4:$AA$500,0)),"")</f>
      </c>
      <c r="AC274" s="133">
        <f>IF(OR(B274="",COUNTIF($B$4:B274,B274)&gt;1),"",MAX($AC$3:AC273)+1)</f>
      </c>
      <c r="AD274" s="133">
        <f>IFERROR(INDEX($B$4:$B$500,MATCH(ROW()-3,$AC$4:$AC$500,0)),"")</f>
      </c>
      <c r="AE274" s="133">
        <f>IF(AND(A274&lt;&gt;"",N(P274)&gt;0),IFERROR(MATCH(A274,$R$12:$R$25,0),99)*1000+ROW(),"")</f>
      </c>
      <c r="AF274" s="133">
        <f>IF(AE274="","",COUNTIF($AE$4:$AE$500,"&lt;="&amp;AE274))</f>
      </c>
    </row>
    <row r="275">
      <c r="A275" s="265"/>
      <c r="B275" s="265"/>
      <c r="C275" s="265"/>
      <c r="D275" s="265"/>
      <c r="E275" s="265"/>
      <c r="F275" s="265"/>
      <c r="G275" s="265"/>
      <c r="H275" s="265"/>
      <c r="I275" s="265"/>
      <c r="J275" s="265"/>
      <c r="K275" s="265"/>
      <c r="L275" s="265"/>
      <c r="M275" s="265"/>
      <c r="N275" s="133">
        <f>IF(OR(A275="Автомат",A275="Дифавтомат"),IF(W275="","",COUNTIF(Однолинейка!$H$3:$H$1000,U275)),IF(A275="Аппарат",IF(C275="","",COUNTIF(Однолинейка!$I$3:$I$1000,C275)+COUNTIF(Однолинейка!$J$3:$J$1000,C275)+COUNTIF(Однолинейка!$K$3:$K$1000,C275)),IF(A275="Модуль",IF(C275="","",COUNTIFS(Однолинейка!$AW$3:$AW$1000,"?*",Однолинейка!$AI$3:$AI$1000,C275)),IF(A275="Клемма",IF(C275="","",IF(C275=$S$7,SUM(Однолинейка!$BW$3:$BW$1000),IF(C275=$S$8,SUM(Однолинейка!$BX$3:$BX$1000),""))),""))))</f>
      </c>
      <c r="O275" s="265"/>
      <c r="P275" s="133">
        <f>IF(COUNT(N275,O275)=0,"",SUM(N275,O275))</f>
      </c>
      <c r="U275" s="133">
        <f>IF(OR(A275="Автомат",A275="Дифавтомат"),I275&amp;" С"&amp;J275&amp;"А"&amp;IF(K275="да"," 30мА",""),"")</f>
      </c>
      <c r="V275" s="133">
        <f>IF(U275="","",B275&amp;"|"&amp;U275)</f>
      </c>
      <c r="W275" s="133">
        <f>IF(AND(U275&lt;&gt;"",OR($S$4="(все)",B275=$S$4),IF($S$4="(все)",COUNTIF($U$4:U275,U275),COUNTIFS($U$4:U275,U275,$B$4:B275,B275))=1),MAX($W$3:W274)+1,"")</f>
      </c>
      <c r="X275" s="133">
        <f>IFERROR(INDEX($U$4:$U$500,MATCH(ROW()-3,$W$4:$W$500,0)),"")</f>
      </c>
      <c r="Y275" s="133">
        <f>IF(AND(A275="Аппарат",C275&lt;&gt;"",OR($S$5="(все)",B275=$S$5)),MAX($Y$3:Y274)+1,"")</f>
      </c>
      <c r="Z275" s="133">
        <f>IFERROR(INDEX($C$4:$C$500,MATCH(ROW()-3,$Y$4:$Y$500,0)),"")</f>
      </c>
      <c r="AA275" s="133">
        <f>IF(AND(A275="Модуль",C275&lt;&gt;"",OR($S$6="(все)",B275=$S$6)),MAX($AA$3:AA274)+1,"")</f>
      </c>
      <c r="AB275" s="133">
        <f>IFERROR(INDEX($C$4:$C$500,MATCH(ROW()-3,$AA$4:$AA$500,0)),"")</f>
      </c>
      <c r="AC275" s="133">
        <f>IF(OR(B275="",COUNTIF($B$4:B275,B275)&gt;1),"",MAX($AC$3:AC274)+1)</f>
      </c>
      <c r="AD275" s="133">
        <f>IFERROR(INDEX($B$4:$B$500,MATCH(ROW()-3,$AC$4:$AC$500,0)),"")</f>
      </c>
      <c r="AE275" s="133">
        <f>IF(AND(A275&lt;&gt;"",N(P275)&gt;0),IFERROR(MATCH(A275,$R$12:$R$25,0),99)*1000+ROW(),"")</f>
      </c>
      <c r="AF275" s="133">
        <f>IF(AE275="","",COUNTIF($AE$4:$AE$500,"&lt;="&amp;AE275))</f>
      </c>
    </row>
    <row r="276">
      <c r="A276" s="265"/>
      <c r="B276" s="265"/>
      <c r="C276" s="265"/>
      <c r="D276" s="265"/>
      <c r="E276" s="265"/>
      <c r="F276" s="265"/>
      <c r="G276" s="265"/>
      <c r="H276" s="265"/>
      <c r="I276" s="265"/>
      <c r="J276" s="265"/>
      <c r="K276" s="265"/>
      <c r="L276" s="265"/>
      <c r="M276" s="265"/>
      <c r="N276" s="133">
        <f>IF(OR(A276="Автомат",A276="Дифавтомат"),IF(W276="","",COUNTIF(Однолинейка!$H$3:$H$1000,U276)),IF(A276="Аппарат",IF(C276="","",COUNTIF(Однолинейка!$I$3:$I$1000,C276)+COUNTIF(Однолинейка!$J$3:$J$1000,C276)+COUNTIF(Однолинейка!$K$3:$K$1000,C276)),IF(A276="Модуль",IF(C276="","",COUNTIFS(Однолинейка!$AW$3:$AW$1000,"?*",Однолинейка!$AI$3:$AI$1000,C276)),IF(A276="Клемма",IF(C276="","",IF(C276=$S$7,SUM(Однолинейка!$BW$3:$BW$1000),IF(C276=$S$8,SUM(Однолинейка!$BX$3:$BX$1000),""))),""))))</f>
      </c>
      <c r="O276" s="265"/>
      <c r="P276" s="133">
        <f>IF(COUNT(N276,O276)=0,"",SUM(N276,O276))</f>
      </c>
      <c r="U276" s="133">
        <f>IF(OR(A276="Автомат",A276="Дифавтомат"),I276&amp;" С"&amp;J276&amp;"А"&amp;IF(K276="да"," 30мА",""),"")</f>
      </c>
      <c r="V276" s="133">
        <f>IF(U276="","",B276&amp;"|"&amp;U276)</f>
      </c>
      <c r="W276" s="133">
        <f>IF(AND(U276&lt;&gt;"",OR($S$4="(все)",B276=$S$4),IF($S$4="(все)",COUNTIF($U$4:U276,U276),COUNTIFS($U$4:U276,U276,$B$4:B276,B276))=1),MAX($W$3:W275)+1,"")</f>
      </c>
      <c r="X276" s="133">
        <f>IFERROR(INDEX($U$4:$U$500,MATCH(ROW()-3,$W$4:$W$500,0)),"")</f>
      </c>
      <c r="Y276" s="133">
        <f>IF(AND(A276="Аппарат",C276&lt;&gt;"",OR($S$5="(все)",B276=$S$5)),MAX($Y$3:Y275)+1,"")</f>
      </c>
      <c r="Z276" s="133">
        <f>IFERROR(INDEX($C$4:$C$500,MATCH(ROW()-3,$Y$4:$Y$500,0)),"")</f>
      </c>
      <c r="AA276" s="133">
        <f>IF(AND(A276="Модуль",C276&lt;&gt;"",OR($S$6="(все)",B276=$S$6)),MAX($AA$3:AA275)+1,"")</f>
      </c>
      <c r="AB276" s="133">
        <f>IFERROR(INDEX($C$4:$C$500,MATCH(ROW()-3,$AA$4:$AA$500,0)),"")</f>
      </c>
      <c r="AC276" s="133">
        <f>IF(OR(B276="",COUNTIF($B$4:B276,B276)&gt;1),"",MAX($AC$3:AC275)+1)</f>
      </c>
      <c r="AD276" s="133">
        <f>IFERROR(INDEX($B$4:$B$500,MATCH(ROW()-3,$AC$4:$AC$500,0)),"")</f>
      </c>
      <c r="AE276" s="133">
        <f>IF(AND(A276&lt;&gt;"",N(P276)&gt;0),IFERROR(MATCH(A276,$R$12:$R$25,0),99)*1000+ROW(),"")</f>
      </c>
      <c r="AF276" s="133">
        <f>IF(AE276="","",COUNTIF($AE$4:$AE$500,"&lt;="&amp;AE276))</f>
      </c>
    </row>
    <row r="277">
      <c r="A277" s="265"/>
      <c r="B277" s="265"/>
      <c r="C277" s="265"/>
      <c r="D277" s="265"/>
      <c r="E277" s="265"/>
      <c r="F277" s="265"/>
      <c r="G277" s="265"/>
      <c r="H277" s="265"/>
      <c r="I277" s="265"/>
      <c r="J277" s="265"/>
      <c r="K277" s="265"/>
      <c r="L277" s="265"/>
      <c r="M277" s="265"/>
      <c r="N277" s="133">
        <f>IF(OR(A277="Автомат",A277="Дифавтомат"),IF(W277="","",COUNTIF(Однолинейка!$H$3:$H$1000,U277)),IF(A277="Аппарат",IF(C277="","",COUNTIF(Однолинейка!$I$3:$I$1000,C277)+COUNTIF(Однолинейка!$J$3:$J$1000,C277)+COUNTIF(Однолинейка!$K$3:$K$1000,C277)),IF(A277="Модуль",IF(C277="","",COUNTIFS(Однолинейка!$AW$3:$AW$1000,"?*",Однолинейка!$AI$3:$AI$1000,C277)),IF(A277="Клемма",IF(C277="","",IF(C277=$S$7,SUM(Однолинейка!$BW$3:$BW$1000),IF(C277=$S$8,SUM(Однолинейка!$BX$3:$BX$1000),""))),""))))</f>
      </c>
      <c r="O277" s="265"/>
      <c r="P277" s="133">
        <f>IF(COUNT(N277,O277)=0,"",SUM(N277,O277))</f>
      </c>
      <c r="U277" s="133">
        <f>IF(OR(A277="Автомат",A277="Дифавтомат"),I277&amp;" С"&amp;J277&amp;"А"&amp;IF(K277="да"," 30мА",""),"")</f>
      </c>
      <c r="V277" s="133">
        <f>IF(U277="","",B277&amp;"|"&amp;U277)</f>
      </c>
      <c r="W277" s="133">
        <f>IF(AND(U277&lt;&gt;"",OR($S$4="(все)",B277=$S$4),IF($S$4="(все)",COUNTIF($U$4:U277,U277),COUNTIFS($U$4:U277,U277,$B$4:B277,B277))=1),MAX($W$3:W276)+1,"")</f>
      </c>
      <c r="X277" s="133">
        <f>IFERROR(INDEX($U$4:$U$500,MATCH(ROW()-3,$W$4:$W$500,0)),"")</f>
      </c>
      <c r="Y277" s="133">
        <f>IF(AND(A277="Аппарат",C277&lt;&gt;"",OR($S$5="(все)",B277=$S$5)),MAX($Y$3:Y276)+1,"")</f>
      </c>
      <c r="Z277" s="133">
        <f>IFERROR(INDEX($C$4:$C$500,MATCH(ROW()-3,$Y$4:$Y$500,0)),"")</f>
      </c>
      <c r="AA277" s="133">
        <f>IF(AND(A277="Модуль",C277&lt;&gt;"",OR($S$6="(все)",B277=$S$6)),MAX($AA$3:AA276)+1,"")</f>
      </c>
      <c r="AB277" s="133">
        <f>IFERROR(INDEX($C$4:$C$500,MATCH(ROW()-3,$AA$4:$AA$500,0)),"")</f>
      </c>
      <c r="AC277" s="133">
        <f>IF(OR(B277="",COUNTIF($B$4:B277,B277)&gt;1),"",MAX($AC$3:AC276)+1)</f>
      </c>
      <c r="AD277" s="133">
        <f>IFERROR(INDEX($B$4:$B$500,MATCH(ROW()-3,$AC$4:$AC$500,0)),"")</f>
      </c>
      <c r="AE277" s="133">
        <f>IF(AND(A277&lt;&gt;"",N(P277)&gt;0),IFERROR(MATCH(A277,$R$12:$R$25,0),99)*1000+ROW(),"")</f>
      </c>
      <c r="AF277" s="133">
        <f>IF(AE277="","",COUNTIF($AE$4:$AE$500,"&lt;="&amp;AE277))</f>
      </c>
    </row>
    <row r="278">
      <c r="A278" s="265"/>
      <c r="B278" s="265"/>
      <c r="C278" s="265"/>
      <c r="D278" s="265"/>
      <c r="E278" s="265"/>
      <c r="F278" s="265"/>
      <c r="G278" s="265"/>
      <c r="H278" s="265"/>
      <c r="I278" s="265"/>
      <c r="J278" s="265"/>
      <c r="K278" s="265"/>
      <c r="L278" s="265"/>
      <c r="M278" s="265"/>
      <c r="N278" s="133">
        <f>IF(OR(A278="Автомат",A278="Дифавтомат"),IF(W278="","",COUNTIF(Однолинейка!$H$3:$H$1000,U278)),IF(A278="Аппарат",IF(C278="","",COUNTIF(Однолинейка!$I$3:$I$1000,C278)+COUNTIF(Однолинейка!$J$3:$J$1000,C278)+COUNTIF(Однолинейка!$K$3:$K$1000,C278)),IF(A278="Модуль",IF(C278="","",COUNTIFS(Однолинейка!$AW$3:$AW$1000,"?*",Однолинейка!$AI$3:$AI$1000,C278)),IF(A278="Клемма",IF(C278="","",IF(C278=$S$7,SUM(Однолинейка!$BW$3:$BW$1000),IF(C278=$S$8,SUM(Однолинейка!$BX$3:$BX$1000),""))),""))))</f>
      </c>
      <c r="O278" s="265"/>
      <c r="P278" s="133">
        <f>IF(COUNT(N278,O278)=0,"",SUM(N278,O278))</f>
      </c>
      <c r="U278" s="133">
        <f>IF(OR(A278="Автомат",A278="Дифавтомат"),I278&amp;" С"&amp;J278&amp;"А"&amp;IF(K278="да"," 30мА",""),"")</f>
      </c>
      <c r="V278" s="133">
        <f>IF(U278="","",B278&amp;"|"&amp;U278)</f>
      </c>
      <c r="W278" s="133">
        <f>IF(AND(U278&lt;&gt;"",OR($S$4="(все)",B278=$S$4),IF($S$4="(все)",COUNTIF($U$4:U278,U278),COUNTIFS($U$4:U278,U278,$B$4:B278,B278))=1),MAX($W$3:W277)+1,"")</f>
      </c>
      <c r="X278" s="133">
        <f>IFERROR(INDEX($U$4:$U$500,MATCH(ROW()-3,$W$4:$W$500,0)),"")</f>
      </c>
      <c r="Y278" s="133">
        <f>IF(AND(A278="Аппарат",C278&lt;&gt;"",OR($S$5="(все)",B278=$S$5)),MAX($Y$3:Y277)+1,"")</f>
      </c>
      <c r="Z278" s="133">
        <f>IFERROR(INDEX($C$4:$C$500,MATCH(ROW()-3,$Y$4:$Y$500,0)),"")</f>
      </c>
      <c r="AA278" s="133">
        <f>IF(AND(A278="Модуль",C278&lt;&gt;"",OR($S$6="(все)",B278=$S$6)),MAX($AA$3:AA277)+1,"")</f>
      </c>
      <c r="AB278" s="133">
        <f>IFERROR(INDEX($C$4:$C$500,MATCH(ROW()-3,$AA$4:$AA$500,0)),"")</f>
      </c>
      <c r="AC278" s="133">
        <f>IF(OR(B278="",COUNTIF($B$4:B278,B278)&gt;1),"",MAX($AC$3:AC277)+1)</f>
      </c>
      <c r="AD278" s="133">
        <f>IFERROR(INDEX($B$4:$B$500,MATCH(ROW()-3,$AC$4:$AC$500,0)),"")</f>
      </c>
      <c r="AE278" s="133">
        <f>IF(AND(A278&lt;&gt;"",N(P278)&gt;0),IFERROR(MATCH(A278,$R$12:$R$25,0),99)*1000+ROW(),"")</f>
      </c>
      <c r="AF278" s="133">
        <f>IF(AE278="","",COUNTIF($AE$4:$AE$500,"&lt;="&amp;AE278))</f>
      </c>
    </row>
    <row r="279">
      <c r="A279" s="265"/>
      <c r="B279" s="265"/>
      <c r="C279" s="265"/>
      <c r="D279" s="265"/>
      <c r="E279" s="265"/>
      <c r="F279" s="265"/>
      <c r="G279" s="265"/>
      <c r="H279" s="265"/>
      <c r="I279" s="265"/>
      <c r="J279" s="265"/>
      <c r="K279" s="265"/>
      <c r="L279" s="265"/>
      <c r="M279" s="265"/>
      <c r="N279" s="133">
        <f>IF(OR(A279="Автомат",A279="Дифавтомат"),IF(W279="","",COUNTIF(Однолинейка!$H$3:$H$1000,U279)),IF(A279="Аппарат",IF(C279="","",COUNTIF(Однолинейка!$I$3:$I$1000,C279)+COUNTIF(Однолинейка!$J$3:$J$1000,C279)+COUNTIF(Однолинейка!$K$3:$K$1000,C279)),IF(A279="Модуль",IF(C279="","",COUNTIFS(Однолинейка!$AW$3:$AW$1000,"?*",Однолинейка!$AI$3:$AI$1000,C279)),IF(A279="Клемма",IF(C279="","",IF(C279=$S$7,SUM(Однолинейка!$BW$3:$BW$1000),IF(C279=$S$8,SUM(Однолинейка!$BX$3:$BX$1000),""))),""))))</f>
      </c>
      <c r="O279" s="265"/>
      <c r="P279" s="133">
        <f>IF(COUNT(N279,O279)=0,"",SUM(N279,O279))</f>
      </c>
      <c r="U279" s="133">
        <f>IF(OR(A279="Автомат",A279="Дифавтомат"),I279&amp;" С"&amp;J279&amp;"А"&amp;IF(K279="да"," 30мА",""),"")</f>
      </c>
      <c r="V279" s="133">
        <f>IF(U279="","",B279&amp;"|"&amp;U279)</f>
      </c>
      <c r="W279" s="133">
        <f>IF(AND(U279&lt;&gt;"",OR($S$4="(все)",B279=$S$4),IF($S$4="(все)",COUNTIF($U$4:U279,U279),COUNTIFS($U$4:U279,U279,$B$4:B279,B279))=1),MAX($W$3:W278)+1,"")</f>
      </c>
      <c r="X279" s="133">
        <f>IFERROR(INDEX($U$4:$U$500,MATCH(ROW()-3,$W$4:$W$500,0)),"")</f>
      </c>
      <c r="Y279" s="133">
        <f>IF(AND(A279="Аппарат",C279&lt;&gt;"",OR($S$5="(все)",B279=$S$5)),MAX($Y$3:Y278)+1,"")</f>
      </c>
      <c r="Z279" s="133">
        <f>IFERROR(INDEX($C$4:$C$500,MATCH(ROW()-3,$Y$4:$Y$500,0)),"")</f>
      </c>
      <c r="AA279" s="133">
        <f>IF(AND(A279="Модуль",C279&lt;&gt;"",OR($S$6="(все)",B279=$S$6)),MAX($AA$3:AA278)+1,"")</f>
      </c>
      <c r="AB279" s="133">
        <f>IFERROR(INDEX($C$4:$C$500,MATCH(ROW()-3,$AA$4:$AA$500,0)),"")</f>
      </c>
      <c r="AC279" s="133">
        <f>IF(OR(B279="",COUNTIF($B$4:B279,B279)&gt;1),"",MAX($AC$3:AC278)+1)</f>
      </c>
      <c r="AD279" s="133">
        <f>IFERROR(INDEX($B$4:$B$500,MATCH(ROW()-3,$AC$4:$AC$500,0)),"")</f>
      </c>
      <c r="AE279" s="133">
        <f>IF(AND(A279&lt;&gt;"",N(P279)&gt;0),IFERROR(MATCH(A279,$R$12:$R$25,0),99)*1000+ROW(),"")</f>
      </c>
      <c r="AF279" s="133">
        <f>IF(AE279="","",COUNTIF($AE$4:$AE$500,"&lt;="&amp;AE279))</f>
      </c>
    </row>
    <row r="280">
      <c r="A280" s="265"/>
      <c r="B280" s="265"/>
      <c r="C280" s="265"/>
      <c r="D280" s="265"/>
      <c r="E280" s="265"/>
      <c r="F280" s="265"/>
      <c r="G280" s="265"/>
      <c r="H280" s="265"/>
      <c r="I280" s="265"/>
      <c r="J280" s="265"/>
      <c r="K280" s="265"/>
      <c r="L280" s="265"/>
      <c r="M280" s="265"/>
      <c r="N280" s="133">
        <f>IF(OR(A280="Автомат",A280="Дифавтомат"),IF(W280="","",COUNTIF(Однолинейка!$H$3:$H$1000,U280)),IF(A280="Аппарат",IF(C280="","",COUNTIF(Однолинейка!$I$3:$I$1000,C280)+COUNTIF(Однолинейка!$J$3:$J$1000,C280)+COUNTIF(Однолинейка!$K$3:$K$1000,C280)),IF(A280="Модуль",IF(C280="","",COUNTIFS(Однолинейка!$AW$3:$AW$1000,"?*",Однолинейка!$AI$3:$AI$1000,C280)),IF(A280="Клемма",IF(C280="","",IF(C280=$S$7,SUM(Однолинейка!$BW$3:$BW$1000),IF(C280=$S$8,SUM(Однолинейка!$BX$3:$BX$1000),""))),""))))</f>
      </c>
      <c r="O280" s="265"/>
      <c r="P280" s="133">
        <f>IF(COUNT(N280,O280)=0,"",SUM(N280,O280))</f>
      </c>
      <c r="U280" s="133">
        <f>IF(OR(A280="Автомат",A280="Дифавтомат"),I280&amp;" С"&amp;J280&amp;"А"&amp;IF(K280="да"," 30мА",""),"")</f>
      </c>
      <c r="V280" s="133">
        <f>IF(U280="","",B280&amp;"|"&amp;U280)</f>
      </c>
      <c r="W280" s="133">
        <f>IF(AND(U280&lt;&gt;"",OR($S$4="(все)",B280=$S$4),IF($S$4="(все)",COUNTIF($U$4:U280,U280),COUNTIFS($U$4:U280,U280,$B$4:B280,B280))=1),MAX($W$3:W279)+1,"")</f>
      </c>
      <c r="X280" s="133">
        <f>IFERROR(INDEX($U$4:$U$500,MATCH(ROW()-3,$W$4:$W$500,0)),"")</f>
      </c>
      <c r="Y280" s="133">
        <f>IF(AND(A280="Аппарат",C280&lt;&gt;"",OR($S$5="(все)",B280=$S$5)),MAX($Y$3:Y279)+1,"")</f>
      </c>
      <c r="Z280" s="133">
        <f>IFERROR(INDEX($C$4:$C$500,MATCH(ROW()-3,$Y$4:$Y$500,0)),"")</f>
      </c>
      <c r="AA280" s="133">
        <f>IF(AND(A280="Модуль",C280&lt;&gt;"",OR($S$6="(все)",B280=$S$6)),MAX($AA$3:AA279)+1,"")</f>
      </c>
      <c r="AB280" s="133">
        <f>IFERROR(INDEX($C$4:$C$500,MATCH(ROW()-3,$AA$4:$AA$500,0)),"")</f>
      </c>
      <c r="AC280" s="133">
        <f>IF(OR(B280="",COUNTIF($B$4:B280,B280)&gt;1),"",MAX($AC$3:AC279)+1)</f>
      </c>
      <c r="AD280" s="133">
        <f>IFERROR(INDEX($B$4:$B$500,MATCH(ROW()-3,$AC$4:$AC$500,0)),"")</f>
      </c>
      <c r="AE280" s="133">
        <f>IF(AND(A280&lt;&gt;"",N(P280)&gt;0),IFERROR(MATCH(A280,$R$12:$R$25,0),99)*1000+ROW(),"")</f>
      </c>
      <c r="AF280" s="133">
        <f>IF(AE280="","",COUNTIF($AE$4:$AE$500,"&lt;="&amp;AE280))</f>
      </c>
    </row>
    <row r="281">
      <c r="A281" s="265"/>
      <c r="B281" s="265"/>
      <c r="C281" s="265"/>
      <c r="D281" s="265"/>
      <c r="E281" s="265"/>
      <c r="F281" s="265"/>
      <c r="G281" s="265"/>
      <c r="H281" s="265"/>
      <c r="I281" s="265"/>
      <c r="J281" s="265"/>
      <c r="K281" s="265"/>
      <c r="L281" s="265"/>
      <c r="M281" s="265"/>
      <c r="N281" s="133">
        <f>IF(OR(A281="Автомат",A281="Дифавтомат"),IF(W281="","",COUNTIF(Однолинейка!$H$3:$H$1000,U281)),IF(A281="Аппарат",IF(C281="","",COUNTIF(Однолинейка!$I$3:$I$1000,C281)+COUNTIF(Однолинейка!$J$3:$J$1000,C281)+COUNTIF(Однолинейка!$K$3:$K$1000,C281)),IF(A281="Модуль",IF(C281="","",COUNTIFS(Однолинейка!$AW$3:$AW$1000,"?*",Однолинейка!$AI$3:$AI$1000,C281)),IF(A281="Клемма",IF(C281="","",IF(C281=$S$7,SUM(Однолинейка!$BW$3:$BW$1000),IF(C281=$S$8,SUM(Однолинейка!$BX$3:$BX$1000),""))),""))))</f>
      </c>
      <c r="O281" s="265"/>
      <c r="P281" s="133">
        <f>IF(COUNT(N281,O281)=0,"",SUM(N281,O281))</f>
      </c>
      <c r="U281" s="133">
        <f>IF(OR(A281="Автомат",A281="Дифавтомат"),I281&amp;" С"&amp;J281&amp;"А"&amp;IF(K281="да"," 30мА",""),"")</f>
      </c>
      <c r="V281" s="133">
        <f>IF(U281="","",B281&amp;"|"&amp;U281)</f>
      </c>
      <c r="W281" s="133">
        <f>IF(AND(U281&lt;&gt;"",OR($S$4="(все)",B281=$S$4),IF($S$4="(все)",COUNTIF($U$4:U281,U281),COUNTIFS($U$4:U281,U281,$B$4:B281,B281))=1),MAX($W$3:W280)+1,"")</f>
      </c>
      <c r="X281" s="133">
        <f>IFERROR(INDEX($U$4:$U$500,MATCH(ROW()-3,$W$4:$W$500,0)),"")</f>
      </c>
      <c r="Y281" s="133">
        <f>IF(AND(A281="Аппарат",C281&lt;&gt;"",OR($S$5="(все)",B281=$S$5)),MAX($Y$3:Y280)+1,"")</f>
      </c>
      <c r="Z281" s="133">
        <f>IFERROR(INDEX($C$4:$C$500,MATCH(ROW()-3,$Y$4:$Y$500,0)),"")</f>
      </c>
      <c r="AA281" s="133">
        <f>IF(AND(A281="Модуль",C281&lt;&gt;"",OR($S$6="(все)",B281=$S$6)),MAX($AA$3:AA280)+1,"")</f>
      </c>
      <c r="AB281" s="133">
        <f>IFERROR(INDEX($C$4:$C$500,MATCH(ROW()-3,$AA$4:$AA$500,0)),"")</f>
      </c>
      <c r="AC281" s="133">
        <f>IF(OR(B281="",COUNTIF($B$4:B281,B281)&gt;1),"",MAX($AC$3:AC280)+1)</f>
      </c>
      <c r="AD281" s="133">
        <f>IFERROR(INDEX($B$4:$B$500,MATCH(ROW()-3,$AC$4:$AC$500,0)),"")</f>
      </c>
      <c r="AE281" s="133">
        <f>IF(AND(A281&lt;&gt;"",N(P281)&gt;0),IFERROR(MATCH(A281,$R$12:$R$25,0),99)*1000+ROW(),"")</f>
      </c>
      <c r="AF281" s="133">
        <f>IF(AE281="","",COUNTIF($AE$4:$AE$500,"&lt;="&amp;AE281))</f>
      </c>
    </row>
    <row r="282">
      <c r="A282" s="265"/>
      <c r="B282" s="265"/>
      <c r="C282" s="265"/>
      <c r="D282" s="265"/>
      <c r="E282" s="265"/>
      <c r="F282" s="265"/>
      <c r="G282" s="265"/>
      <c r="H282" s="265"/>
      <c r="I282" s="265"/>
      <c r="J282" s="265"/>
      <c r="K282" s="265"/>
      <c r="L282" s="265"/>
      <c r="M282" s="265"/>
      <c r="N282" s="133">
        <f>IF(OR(A282="Автомат",A282="Дифавтомат"),IF(W282="","",COUNTIF(Однолинейка!$H$3:$H$1000,U282)),IF(A282="Аппарат",IF(C282="","",COUNTIF(Однолинейка!$I$3:$I$1000,C282)+COUNTIF(Однолинейка!$J$3:$J$1000,C282)+COUNTIF(Однолинейка!$K$3:$K$1000,C282)),IF(A282="Модуль",IF(C282="","",COUNTIFS(Однолинейка!$AW$3:$AW$1000,"?*",Однолинейка!$AI$3:$AI$1000,C282)),IF(A282="Клемма",IF(C282="","",IF(C282=$S$7,SUM(Однолинейка!$BW$3:$BW$1000),IF(C282=$S$8,SUM(Однолинейка!$BX$3:$BX$1000),""))),""))))</f>
      </c>
      <c r="O282" s="265"/>
      <c r="P282" s="133">
        <f>IF(COUNT(N282,O282)=0,"",SUM(N282,O282))</f>
      </c>
      <c r="U282" s="133">
        <f>IF(OR(A282="Автомат",A282="Дифавтомат"),I282&amp;" С"&amp;J282&amp;"А"&amp;IF(K282="да"," 30мА",""),"")</f>
      </c>
      <c r="V282" s="133">
        <f>IF(U282="","",B282&amp;"|"&amp;U282)</f>
      </c>
      <c r="W282" s="133">
        <f>IF(AND(U282&lt;&gt;"",OR($S$4="(все)",B282=$S$4),IF($S$4="(все)",COUNTIF($U$4:U282,U282),COUNTIFS($U$4:U282,U282,$B$4:B282,B282))=1),MAX($W$3:W281)+1,"")</f>
      </c>
      <c r="X282" s="133">
        <f>IFERROR(INDEX($U$4:$U$500,MATCH(ROW()-3,$W$4:$W$500,0)),"")</f>
      </c>
      <c r="Y282" s="133">
        <f>IF(AND(A282="Аппарат",C282&lt;&gt;"",OR($S$5="(все)",B282=$S$5)),MAX($Y$3:Y281)+1,"")</f>
      </c>
      <c r="Z282" s="133">
        <f>IFERROR(INDEX($C$4:$C$500,MATCH(ROW()-3,$Y$4:$Y$500,0)),"")</f>
      </c>
      <c r="AA282" s="133">
        <f>IF(AND(A282="Модуль",C282&lt;&gt;"",OR($S$6="(все)",B282=$S$6)),MAX($AA$3:AA281)+1,"")</f>
      </c>
      <c r="AB282" s="133">
        <f>IFERROR(INDEX($C$4:$C$500,MATCH(ROW()-3,$AA$4:$AA$500,0)),"")</f>
      </c>
      <c r="AC282" s="133">
        <f>IF(OR(B282="",COUNTIF($B$4:B282,B282)&gt;1),"",MAX($AC$3:AC281)+1)</f>
      </c>
      <c r="AD282" s="133">
        <f>IFERROR(INDEX($B$4:$B$500,MATCH(ROW()-3,$AC$4:$AC$500,0)),"")</f>
      </c>
      <c r="AE282" s="133">
        <f>IF(AND(A282&lt;&gt;"",N(P282)&gt;0),IFERROR(MATCH(A282,$R$12:$R$25,0),99)*1000+ROW(),"")</f>
      </c>
      <c r="AF282" s="133">
        <f>IF(AE282="","",COUNTIF($AE$4:$AE$500,"&lt;="&amp;AE282))</f>
      </c>
    </row>
    <row r="283">
      <c r="A283" s="265"/>
      <c r="B283" s="265"/>
      <c r="C283" s="265"/>
      <c r="D283" s="265"/>
      <c r="E283" s="265"/>
      <c r="F283" s="265"/>
      <c r="G283" s="265"/>
      <c r="H283" s="265"/>
      <c r="I283" s="265"/>
      <c r="J283" s="265"/>
      <c r="K283" s="265"/>
      <c r="L283" s="265"/>
      <c r="M283" s="265"/>
      <c r="N283" s="133">
        <f>IF(OR(A283="Автомат",A283="Дифавтомат"),IF(W283="","",COUNTIF(Однолинейка!$H$3:$H$1000,U283)),IF(A283="Аппарат",IF(C283="","",COUNTIF(Однолинейка!$I$3:$I$1000,C283)+COUNTIF(Однолинейка!$J$3:$J$1000,C283)+COUNTIF(Однолинейка!$K$3:$K$1000,C283)),IF(A283="Модуль",IF(C283="","",COUNTIFS(Однолинейка!$AW$3:$AW$1000,"?*",Однолинейка!$AI$3:$AI$1000,C283)),IF(A283="Клемма",IF(C283="","",IF(C283=$S$7,SUM(Однолинейка!$BW$3:$BW$1000),IF(C283=$S$8,SUM(Однолинейка!$BX$3:$BX$1000),""))),""))))</f>
      </c>
      <c r="O283" s="265"/>
      <c r="P283" s="133">
        <f>IF(COUNT(N283,O283)=0,"",SUM(N283,O283))</f>
      </c>
      <c r="U283" s="133">
        <f>IF(OR(A283="Автомат",A283="Дифавтомат"),I283&amp;" С"&amp;J283&amp;"А"&amp;IF(K283="да"," 30мА",""),"")</f>
      </c>
      <c r="V283" s="133">
        <f>IF(U283="","",B283&amp;"|"&amp;U283)</f>
      </c>
      <c r="W283" s="133">
        <f>IF(AND(U283&lt;&gt;"",OR($S$4="(все)",B283=$S$4),IF($S$4="(все)",COUNTIF($U$4:U283,U283),COUNTIFS($U$4:U283,U283,$B$4:B283,B283))=1),MAX($W$3:W282)+1,"")</f>
      </c>
      <c r="X283" s="133">
        <f>IFERROR(INDEX($U$4:$U$500,MATCH(ROW()-3,$W$4:$W$500,0)),"")</f>
      </c>
      <c r="Y283" s="133">
        <f>IF(AND(A283="Аппарат",C283&lt;&gt;"",OR($S$5="(все)",B283=$S$5)),MAX($Y$3:Y282)+1,"")</f>
      </c>
      <c r="Z283" s="133">
        <f>IFERROR(INDEX($C$4:$C$500,MATCH(ROW()-3,$Y$4:$Y$500,0)),"")</f>
      </c>
      <c r="AA283" s="133">
        <f>IF(AND(A283="Модуль",C283&lt;&gt;"",OR($S$6="(все)",B283=$S$6)),MAX($AA$3:AA282)+1,"")</f>
      </c>
      <c r="AB283" s="133">
        <f>IFERROR(INDEX($C$4:$C$500,MATCH(ROW()-3,$AA$4:$AA$500,0)),"")</f>
      </c>
      <c r="AC283" s="133">
        <f>IF(OR(B283="",COUNTIF($B$4:B283,B283)&gt;1),"",MAX($AC$3:AC282)+1)</f>
      </c>
      <c r="AD283" s="133">
        <f>IFERROR(INDEX($B$4:$B$500,MATCH(ROW()-3,$AC$4:$AC$500,0)),"")</f>
      </c>
      <c r="AE283" s="133">
        <f>IF(AND(A283&lt;&gt;"",N(P283)&gt;0),IFERROR(MATCH(A283,$R$12:$R$25,0),99)*1000+ROW(),"")</f>
      </c>
      <c r="AF283" s="133">
        <f>IF(AE283="","",COUNTIF($AE$4:$AE$500,"&lt;="&amp;AE283))</f>
      </c>
    </row>
    <row r="284">
      <c r="A284" s="265"/>
      <c r="B284" s="265"/>
      <c r="C284" s="265"/>
      <c r="D284" s="265"/>
      <c r="E284" s="265"/>
      <c r="F284" s="265"/>
      <c r="G284" s="265"/>
      <c r="H284" s="265"/>
      <c r="I284" s="265"/>
      <c r="J284" s="265"/>
      <c r="K284" s="265"/>
      <c r="L284" s="265"/>
      <c r="M284" s="265"/>
      <c r="N284" s="133">
        <f>IF(OR(A284="Автомат",A284="Дифавтомат"),IF(W284="","",COUNTIF(Однолинейка!$H$3:$H$1000,U284)),IF(A284="Аппарат",IF(C284="","",COUNTIF(Однолинейка!$I$3:$I$1000,C284)+COUNTIF(Однолинейка!$J$3:$J$1000,C284)+COUNTIF(Однолинейка!$K$3:$K$1000,C284)),IF(A284="Модуль",IF(C284="","",COUNTIFS(Однолинейка!$AW$3:$AW$1000,"?*",Однолинейка!$AI$3:$AI$1000,C284)),IF(A284="Клемма",IF(C284="","",IF(C284=$S$7,SUM(Однолинейка!$BW$3:$BW$1000),IF(C284=$S$8,SUM(Однолинейка!$BX$3:$BX$1000),""))),""))))</f>
      </c>
      <c r="O284" s="265"/>
      <c r="P284" s="133">
        <f>IF(COUNT(N284,O284)=0,"",SUM(N284,O284))</f>
      </c>
      <c r="U284" s="133">
        <f>IF(OR(A284="Автомат",A284="Дифавтомат"),I284&amp;" С"&amp;J284&amp;"А"&amp;IF(K284="да"," 30мА",""),"")</f>
      </c>
      <c r="V284" s="133">
        <f>IF(U284="","",B284&amp;"|"&amp;U284)</f>
      </c>
      <c r="W284" s="133">
        <f>IF(AND(U284&lt;&gt;"",OR($S$4="(все)",B284=$S$4),IF($S$4="(все)",COUNTIF($U$4:U284,U284),COUNTIFS($U$4:U284,U284,$B$4:B284,B284))=1),MAX($W$3:W283)+1,"")</f>
      </c>
      <c r="X284" s="133">
        <f>IFERROR(INDEX($U$4:$U$500,MATCH(ROW()-3,$W$4:$W$500,0)),"")</f>
      </c>
      <c r="Y284" s="133">
        <f>IF(AND(A284="Аппарат",C284&lt;&gt;"",OR($S$5="(все)",B284=$S$5)),MAX($Y$3:Y283)+1,"")</f>
      </c>
      <c r="Z284" s="133">
        <f>IFERROR(INDEX($C$4:$C$500,MATCH(ROW()-3,$Y$4:$Y$500,0)),"")</f>
      </c>
      <c r="AA284" s="133">
        <f>IF(AND(A284="Модуль",C284&lt;&gt;"",OR($S$6="(все)",B284=$S$6)),MAX($AA$3:AA283)+1,"")</f>
      </c>
      <c r="AB284" s="133">
        <f>IFERROR(INDEX($C$4:$C$500,MATCH(ROW()-3,$AA$4:$AA$500,0)),"")</f>
      </c>
      <c r="AC284" s="133">
        <f>IF(OR(B284="",COUNTIF($B$4:B284,B284)&gt;1),"",MAX($AC$3:AC283)+1)</f>
      </c>
      <c r="AD284" s="133">
        <f>IFERROR(INDEX($B$4:$B$500,MATCH(ROW()-3,$AC$4:$AC$500,0)),"")</f>
      </c>
      <c r="AE284" s="133">
        <f>IF(AND(A284&lt;&gt;"",N(P284)&gt;0),IFERROR(MATCH(A284,$R$12:$R$25,0),99)*1000+ROW(),"")</f>
      </c>
      <c r="AF284" s="133">
        <f>IF(AE284="","",COUNTIF($AE$4:$AE$500,"&lt;="&amp;AE284))</f>
      </c>
    </row>
    <row r="285">
      <c r="A285" s="265"/>
      <c r="B285" s="265"/>
      <c r="C285" s="265"/>
      <c r="D285" s="265"/>
      <c r="E285" s="265"/>
      <c r="F285" s="265"/>
      <c r="G285" s="265"/>
      <c r="H285" s="265"/>
      <c r="I285" s="265"/>
      <c r="J285" s="265"/>
      <c r="K285" s="265"/>
      <c r="L285" s="265"/>
      <c r="M285" s="265"/>
      <c r="N285" s="133">
        <f>IF(OR(A285="Автомат",A285="Дифавтомат"),IF(W285="","",COUNTIF(Однолинейка!$H$3:$H$1000,U285)),IF(A285="Аппарат",IF(C285="","",COUNTIF(Однолинейка!$I$3:$I$1000,C285)+COUNTIF(Однолинейка!$J$3:$J$1000,C285)+COUNTIF(Однолинейка!$K$3:$K$1000,C285)),IF(A285="Модуль",IF(C285="","",COUNTIFS(Однолинейка!$AW$3:$AW$1000,"?*",Однолинейка!$AI$3:$AI$1000,C285)),IF(A285="Клемма",IF(C285="","",IF(C285=$S$7,SUM(Однолинейка!$BW$3:$BW$1000),IF(C285=$S$8,SUM(Однолинейка!$BX$3:$BX$1000),""))),""))))</f>
      </c>
      <c r="O285" s="265"/>
      <c r="P285" s="133">
        <f>IF(COUNT(N285,O285)=0,"",SUM(N285,O285))</f>
      </c>
      <c r="U285" s="133">
        <f>IF(OR(A285="Автомат",A285="Дифавтомат"),I285&amp;" С"&amp;J285&amp;"А"&amp;IF(K285="да"," 30мА",""),"")</f>
      </c>
      <c r="V285" s="133">
        <f>IF(U285="","",B285&amp;"|"&amp;U285)</f>
      </c>
      <c r="W285" s="133">
        <f>IF(AND(U285&lt;&gt;"",OR($S$4="(все)",B285=$S$4),IF($S$4="(все)",COUNTIF($U$4:U285,U285),COUNTIFS($U$4:U285,U285,$B$4:B285,B285))=1),MAX($W$3:W284)+1,"")</f>
      </c>
      <c r="X285" s="133">
        <f>IFERROR(INDEX($U$4:$U$500,MATCH(ROW()-3,$W$4:$W$500,0)),"")</f>
      </c>
      <c r="Y285" s="133">
        <f>IF(AND(A285="Аппарат",C285&lt;&gt;"",OR($S$5="(все)",B285=$S$5)),MAX($Y$3:Y284)+1,"")</f>
      </c>
      <c r="Z285" s="133">
        <f>IFERROR(INDEX($C$4:$C$500,MATCH(ROW()-3,$Y$4:$Y$500,0)),"")</f>
      </c>
      <c r="AA285" s="133">
        <f>IF(AND(A285="Модуль",C285&lt;&gt;"",OR($S$6="(все)",B285=$S$6)),MAX($AA$3:AA284)+1,"")</f>
      </c>
      <c r="AB285" s="133">
        <f>IFERROR(INDEX($C$4:$C$500,MATCH(ROW()-3,$AA$4:$AA$500,0)),"")</f>
      </c>
      <c r="AC285" s="133">
        <f>IF(OR(B285="",COUNTIF($B$4:B285,B285)&gt;1),"",MAX($AC$3:AC284)+1)</f>
      </c>
      <c r="AD285" s="133">
        <f>IFERROR(INDEX($B$4:$B$500,MATCH(ROW()-3,$AC$4:$AC$500,0)),"")</f>
      </c>
      <c r="AE285" s="133">
        <f>IF(AND(A285&lt;&gt;"",N(P285)&gt;0),IFERROR(MATCH(A285,$R$12:$R$25,0),99)*1000+ROW(),"")</f>
      </c>
      <c r="AF285" s="133">
        <f>IF(AE285="","",COUNTIF($AE$4:$AE$500,"&lt;="&amp;AE285))</f>
      </c>
    </row>
    <row r="286">
      <c r="A286" s="265"/>
      <c r="B286" s="265"/>
      <c r="C286" s="265"/>
      <c r="D286" s="265"/>
      <c r="E286" s="265"/>
      <c r="F286" s="265"/>
      <c r="G286" s="265"/>
      <c r="H286" s="265"/>
      <c r="I286" s="265"/>
      <c r="J286" s="265"/>
      <c r="K286" s="265"/>
      <c r="L286" s="265"/>
      <c r="M286" s="265"/>
      <c r="N286" s="133">
        <f>IF(OR(A286="Автомат",A286="Дифавтомат"),IF(W286="","",COUNTIF(Однолинейка!$H$3:$H$1000,U286)),IF(A286="Аппарат",IF(C286="","",COUNTIF(Однолинейка!$I$3:$I$1000,C286)+COUNTIF(Однолинейка!$J$3:$J$1000,C286)+COUNTIF(Однолинейка!$K$3:$K$1000,C286)),IF(A286="Модуль",IF(C286="","",COUNTIFS(Однолинейка!$AW$3:$AW$1000,"?*",Однолинейка!$AI$3:$AI$1000,C286)),IF(A286="Клемма",IF(C286="","",IF(C286=$S$7,SUM(Однолинейка!$BW$3:$BW$1000),IF(C286=$S$8,SUM(Однолинейка!$BX$3:$BX$1000),""))),""))))</f>
      </c>
      <c r="O286" s="265"/>
      <c r="P286" s="133">
        <f>IF(COUNT(N286,O286)=0,"",SUM(N286,O286))</f>
      </c>
      <c r="U286" s="133">
        <f>IF(OR(A286="Автомат",A286="Дифавтомат"),I286&amp;" С"&amp;J286&amp;"А"&amp;IF(K286="да"," 30мА",""),"")</f>
      </c>
      <c r="V286" s="133">
        <f>IF(U286="","",B286&amp;"|"&amp;U286)</f>
      </c>
      <c r="W286" s="133">
        <f>IF(AND(U286&lt;&gt;"",OR($S$4="(все)",B286=$S$4),IF($S$4="(все)",COUNTIF($U$4:U286,U286),COUNTIFS($U$4:U286,U286,$B$4:B286,B286))=1),MAX($W$3:W285)+1,"")</f>
      </c>
      <c r="X286" s="133">
        <f>IFERROR(INDEX($U$4:$U$500,MATCH(ROW()-3,$W$4:$W$500,0)),"")</f>
      </c>
      <c r="Y286" s="133">
        <f>IF(AND(A286="Аппарат",C286&lt;&gt;"",OR($S$5="(все)",B286=$S$5)),MAX($Y$3:Y285)+1,"")</f>
      </c>
      <c r="Z286" s="133">
        <f>IFERROR(INDEX($C$4:$C$500,MATCH(ROW()-3,$Y$4:$Y$500,0)),"")</f>
      </c>
      <c r="AA286" s="133">
        <f>IF(AND(A286="Модуль",C286&lt;&gt;"",OR($S$6="(все)",B286=$S$6)),MAX($AA$3:AA285)+1,"")</f>
      </c>
      <c r="AB286" s="133">
        <f>IFERROR(INDEX($C$4:$C$500,MATCH(ROW()-3,$AA$4:$AA$500,0)),"")</f>
      </c>
      <c r="AC286" s="133">
        <f>IF(OR(B286="",COUNTIF($B$4:B286,B286)&gt;1),"",MAX($AC$3:AC285)+1)</f>
      </c>
      <c r="AD286" s="133">
        <f>IFERROR(INDEX($B$4:$B$500,MATCH(ROW()-3,$AC$4:$AC$500,0)),"")</f>
      </c>
      <c r="AE286" s="133">
        <f>IF(AND(A286&lt;&gt;"",N(P286)&gt;0),IFERROR(MATCH(A286,$R$12:$R$25,0),99)*1000+ROW(),"")</f>
      </c>
      <c r="AF286" s="133">
        <f>IF(AE286="","",COUNTIF($AE$4:$AE$500,"&lt;="&amp;AE286))</f>
      </c>
    </row>
    <row r="287">
      <c r="A287" s="265"/>
      <c r="B287" s="265"/>
      <c r="C287" s="265"/>
      <c r="D287" s="265"/>
      <c r="E287" s="265"/>
      <c r="F287" s="265"/>
      <c r="G287" s="265"/>
      <c r="H287" s="265"/>
      <c r="I287" s="265"/>
      <c r="J287" s="265"/>
      <c r="K287" s="265"/>
      <c r="L287" s="265"/>
      <c r="M287" s="265"/>
      <c r="N287" s="133">
        <f>IF(OR(A287="Автомат",A287="Дифавтомат"),IF(W287="","",COUNTIF(Однолинейка!$H$3:$H$1000,U287)),IF(A287="Аппарат",IF(C287="","",COUNTIF(Однолинейка!$I$3:$I$1000,C287)+COUNTIF(Однолинейка!$J$3:$J$1000,C287)+COUNTIF(Однолинейка!$K$3:$K$1000,C287)),IF(A287="Модуль",IF(C287="","",COUNTIFS(Однолинейка!$AW$3:$AW$1000,"?*",Однолинейка!$AI$3:$AI$1000,C287)),IF(A287="Клемма",IF(C287="","",IF(C287=$S$7,SUM(Однолинейка!$BW$3:$BW$1000),IF(C287=$S$8,SUM(Однолинейка!$BX$3:$BX$1000),""))),""))))</f>
      </c>
      <c r="O287" s="265"/>
      <c r="P287" s="133">
        <f>IF(COUNT(N287,O287)=0,"",SUM(N287,O287))</f>
      </c>
      <c r="U287" s="133">
        <f>IF(OR(A287="Автомат",A287="Дифавтомат"),I287&amp;" С"&amp;J287&amp;"А"&amp;IF(K287="да"," 30мА",""),"")</f>
      </c>
      <c r="V287" s="133">
        <f>IF(U287="","",B287&amp;"|"&amp;U287)</f>
      </c>
      <c r="W287" s="133">
        <f>IF(AND(U287&lt;&gt;"",OR($S$4="(все)",B287=$S$4),IF($S$4="(все)",COUNTIF($U$4:U287,U287),COUNTIFS($U$4:U287,U287,$B$4:B287,B287))=1),MAX($W$3:W286)+1,"")</f>
      </c>
      <c r="X287" s="133">
        <f>IFERROR(INDEX($U$4:$U$500,MATCH(ROW()-3,$W$4:$W$500,0)),"")</f>
      </c>
      <c r="Y287" s="133">
        <f>IF(AND(A287="Аппарат",C287&lt;&gt;"",OR($S$5="(все)",B287=$S$5)),MAX($Y$3:Y286)+1,"")</f>
      </c>
      <c r="Z287" s="133">
        <f>IFERROR(INDEX($C$4:$C$500,MATCH(ROW()-3,$Y$4:$Y$500,0)),"")</f>
      </c>
      <c r="AA287" s="133">
        <f>IF(AND(A287="Модуль",C287&lt;&gt;"",OR($S$6="(все)",B287=$S$6)),MAX($AA$3:AA286)+1,"")</f>
      </c>
      <c r="AB287" s="133">
        <f>IFERROR(INDEX($C$4:$C$500,MATCH(ROW()-3,$AA$4:$AA$500,0)),"")</f>
      </c>
      <c r="AC287" s="133">
        <f>IF(OR(B287="",COUNTIF($B$4:B287,B287)&gt;1),"",MAX($AC$3:AC286)+1)</f>
      </c>
      <c r="AD287" s="133">
        <f>IFERROR(INDEX($B$4:$B$500,MATCH(ROW()-3,$AC$4:$AC$500,0)),"")</f>
      </c>
      <c r="AE287" s="133">
        <f>IF(AND(A287&lt;&gt;"",N(P287)&gt;0),IFERROR(MATCH(A287,$R$12:$R$25,0),99)*1000+ROW(),"")</f>
      </c>
      <c r="AF287" s="133">
        <f>IF(AE287="","",COUNTIF($AE$4:$AE$500,"&lt;="&amp;AE287))</f>
      </c>
    </row>
    <row r="288">
      <c r="A288" s="265"/>
      <c r="B288" s="265"/>
      <c r="C288" s="265"/>
      <c r="D288" s="265"/>
      <c r="E288" s="265"/>
      <c r="F288" s="265"/>
      <c r="G288" s="265"/>
      <c r="H288" s="265"/>
      <c r="I288" s="265"/>
      <c r="J288" s="265"/>
      <c r="K288" s="265"/>
      <c r="L288" s="265"/>
      <c r="M288" s="265"/>
      <c r="N288" s="133">
        <f>IF(OR(A288="Автомат",A288="Дифавтомат"),IF(W288="","",COUNTIF(Однолинейка!$H$3:$H$1000,U288)),IF(A288="Аппарат",IF(C288="","",COUNTIF(Однолинейка!$I$3:$I$1000,C288)+COUNTIF(Однолинейка!$J$3:$J$1000,C288)+COUNTIF(Однолинейка!$K$3:$K$1000,C288)),IF(A288="Модуль",IF(C288="","",COUNTIFS(Однолинейка!$AW$3:$AW$1000,"?*",Однолинейка!$AI$3:$AI$1000,C288)),IF(A288="Клемма",IF(C288="","",IF(C288=$S$7,SUM(Однолинейка!$BW$3:$BW$1000),IF(C288=$S$8,SUM(Однолинейка!$BX$3:$BX$1000),""))),""))))</f>
      </c>
      <c r="O288" s="265"/>
      <c r="P288" s="133">
        <f>IF(COUNT(N288,O288)=0,"",SUM(N288,O288))</f>
      </c>
      <c r="U288" s="133">
        <f>IF(OR(A288="Автомат",A288="Дифавтомат"),I288&amp;" С"&amp;J288&amp;"А"&amp;IF(K288="да"," 30мА",""),"")</f>
      </c>
      <c r="V288" s="133">
        <f>IF(U288="","",B288&amp;"|"&amp;U288)</f>
      </c>
      <c r="W288" s="133">
        <f>IF(AND(U288&lt;&gt;"",OR($S$4="(все)",B288=$S$4),IF($S$4="(все)",COUNTIF($U$4:U288,U288),COUNTIFS($U$4:U288,U288,$B$4:B288,B288))=1),MAX($W$3:W287)+1,"")</f>
      </c>
      <c r="X288" s="133">
        <f>IFERROR(INDEX($U$4:$U$500,MATCH(ROW()-3,$W$4:$W$500,0)),"")</f>
      </c>
      <c r="Y288" s="133">
        <f>IF(AND(A288="Аппарат",C288&lt;&gt;"",OR($S$5="(все)",B288=$S$5)),MAX($Y$3:Y287)+1,"")</f>
      </c>
      <c r="Z288" s="133">
        <f>IFERROR(INDEX($C$4:$C$500,MATCH(ROW()-3,$Y$4:$Y$500,0)),"")</f>
      </c>
      <c r="AA288" s="133">
        <f>IF(AND(A288="Модуль",C288&lt;&gt;"",OR($S$6="(все)",B288=$S$6)),MAX($AA$3:AA287)+1,"")</f>
      </c>
      <c r="AB288" s="133">
        <f>IFERROR(INDEX($C$4:$C$500,MATCH(ROW()-3,$AA$4:$AA$500,0)),"")</f>
      </c>
      <c r="AC288" s="133">
        <f>IF(OR(B288="",COUNTIF($B$4:B288,B288)&gt;1),"",MAX($AC$3:AC287)+1)</f>
      </c>
      <c r="AD288" s="133">
        <f>IFERROR(INDEX($B$4:$B$500,MATCH(ROW()-3,$AC$4:$AC$500,0)),"")</f>
      </c>
      <c r="AE288" s="133">
        <f>IF(AND(A288&lt;&gt;"",N(P288)&gt;0),IFERROR(MATCH(A288,$R$12:$R$25,0),99)*1000+ROW(),"")</f>
      </c>
      <c r="AF288" s="133">
        <f>IF(AE288="","",COUNTIF($AE$4:$AE$500,"&lt;="&amp;AE288))</f>
      </c>
    </row>
    <row r="289">
      <c r="A289" s="265"/>
      <c r="B289" s="265"/>
      <c r="C289" s="265"/>
      <c r="D289" s="265"/>
      <c r="E289" s="265"/>
      <c r="F289" s="265"/>
      <c r="G289" s="265"/>
      <c r="H289" s="265"/>
      <c r="I289" s="265"/>
      <c r="J289" s="265"/>
      <c r="K289" s="265"/>
      <c r="L289" s="265"/>
      <c r="M289" s="265"/>
      <c r="N289" s="133">
        <f>IF(OR(A289="Автомат",A289="Дифавтомат"),IF(W289="","",COUNTIF(Однолинейка!$H$3:$H$1000,U289)),IF(A289="Аппарат",IF(C289="","",COUNTIF(Однолинейка!$I$3:$I$1000,C289)+COUNTIF(Однолинейка!$J$3:$J$1000,C289)+COUNTIF(Однолинейка!$K$3:$K$1000,C289)),IF(A289="Модуль",IF(C289="","",COUNTIFS(Однолинейка!$AW$3:$AW$1000,"?*",Однолинейка!$AI$3:$AI$1000,C289)),IF(A289="Клемма",IF(C289="","",IF(C289=$S$7,SUM(Однолинейка!$BW$3:$BW$1000),IF(C289=$S$8,SUM(Однолинейка!$BX$3:$BX$1000),""))),""))))</f>
      </c>
      <c r="O289" s="265"/>
      <c r="P289" s="133">
        <f>IF(COUNT(N289,O289)=0,"",SUM(N289,O289))</f>
      </c>
      <c r="U289" s="133">
        <f>IF(OR(A289="Автомат",A289="Дифавтомат"),I289&amp;" С"&amp;J289&amp;"А"&amp;IF(K289="да"," 30мА",""),"")</f>
      </c>
      <c r="V289" s="133">
        <f>IF(U289="","",B289&amp;"|"&amp;U289)</f>
      </c>
      <c r="W289" s="133">
        <f>IF(AND(U289&lt;&gt;"",OR($S$4="(все)",B289=$S$4),IF($S$4="(все)",COUNTIF($U$4:U289,U289),COUNTIFS($U$4:U289,U289,$B$4:B289,B289))=1),MAX($W$3:W288)+1,"")</f>
      </c>
      <c r="X289" s="133">
        <f>IFERROR(INDEX($U$4:$U$500,MATCH(ROW()-3,$W$4:$W$500,0)),"")</f>
      </c>
      <c r="Y289" s="133">
        <f>IF(AND(A289="Аппарат",C289&lt;&gt;"",OR($S$5="(все)",B289=$S$5)),MAX($Y$3:Y288)+1,"")</f>
      </c>
      <c r="Z289" s="133">
        <f>IFERROR(INDEX($C$4:$C$500,MATCH(ROW()-3,$Y$4:$Y$500,0)),"")</f>
      </c>
      <c r="AA289" s="133">
        <f>IF(AND(A289="Модуль",C289&lt;&gt;"",OR($S$6="(все)",B289=$S$6)),MAX($AA$3:AA288)+1,"")</f>
      </c>
      <c r="AB289" s="133">
        <f>IFERROR(INDEX($C$4:$C$500,MATCH(ROW()-3,$AA$4:$AA$500,0)),"")</f>
      </c>
      <c r="AC289" s="133">
        <f>IF(OR(B289="",COUNTIF($B$4:B289,B289)&gt;1),"",MAX($AC$3:AC288)+1)</f>
      </c>
      <c r="AD289" s="133">
        <f>IFERROR(INDEX($B$4:$B$500,MATCH(ROW()-3,$AC$4:$AC$500,0)),"")</f>
      </c>
      <c r="AE289" s="133">
        <f>IF(AND(A289&lt;&gt;"",N(P289)&gt;0),IFERROR(MATCH(A289,$R$12:$R$25,0),99)*1000+ROW(),"")</f>
      </c>
      <c r="AF289" s="133">
        <f>IF(AE289="","",COUNTIF($AE$4:$AE$500,"&lt;="&amp;AE289))</f>
      </c>
    </row>
    <row r="290">
      <c r="A290" s="265"/>
      <c r="B290" s="265"/>
      <c r="C290" s="265"/>
      <c r="D290" s="265"/>
      <c r="E290" s="265"/>
      <c r="F290" s="265"/>
      <c r="G290" s="265"/>
      <c r="H290" s="265"/>
      <c r="I290" s="265"/>
      <c r="J290" s="265"/>
      <c r="K290" s="265"/>
      <c r="L290" s="265"/>
      <c r="M290" s="265"/>
      <c r="N290" s="133">
        <f>IF(OR(A290="Автомат",A290="Дифавтомат"),IF(W290="","",COUNTIF(Однолинейка!$H$3:$H$1000,U290)),IF(A290="Аппарат",IF(C290="","",COUNTIF(Однолинейка!$I$3:$I$1000,C290)+COUNTIF(Однолинейка!$J$3:$J$1000,C290)+COUNTIF(Однолинейка!$K$3:$K$1000,C290)),IF(A290="Модуль",IF(C290="","",COUNTIFS(Однолинейка!$AW$3:$AW$1000,"?*",Однолинейка!$AI$3:$AI$1000,C290)),IF(A290="Клемма",IF(C290="","",IF(C290=$S$7,SUM(Однолинейка!$BW$3:$BW$1000),IF(C290=$S$8,SUM(Однолинейка!$BX$3:$BX$1000),""))),""))))</f>
      </c>
      <c r="O290" s="265"/>
      <c r="P290" s="133">
        <f>IF(COUNT(N290,O290)=0,"",SUM(N290,O290))</f>
      </c>
      <c r="U290" s="133">
        <f>IF(OR(A290="Автомат",A290="Дифавтомат"),I290&amp;" С"&amp;J290&amp;"А"&amp;IF(K290="да"," 30мА",""),"")</f>
      </c>
      <c r="V290" s="133">
        <f>IF(U290="","",B290&amp;"|"&amp;U290)</f>
      </c>
      <c r="W290" s="133">
        <f>IF(AND(U290&lt;&gt;"",OR($S$4="(все)",B290=$S$4),IF($S$4="(все)",COUNTIF($U$4:U290,U290),COUNTIFS($U$4:U290,U290,$B$4:B290,B290))=1),MAX($W$3:W289)+1,"")</f>
      </c>
      <c r="X290" s="133">
        <f>IFERROR(INDEX($U$4:$U$500,MATCH(ROW()-3,$W$4:$W$500,0)),"")</f>
      </c>
      <c r="Y290" s="133">
        <f>IF(AND(A290="Аппарат",C290&lt;&gt;"",OR($S$5="(все)",B290=$S$5)),MAX($Y$3:Y289)+1,"")</f>
      </c>
      <c r="Z290" s="133">
        <f>IFERROR(INDEX($C$4:$C$500,MATCH(ROW()-3,$Y$4:$Y$500,0)),"")</f>
      </c>
      <c r="AA290" s="133">
        <f>IF(AND(A290="Модуль",C290&lt;&gt;"",OR($S$6="(все)",B290=$S$6)),MAX($AA$3:AA289)+1,"")</f>
      </c>
      <c r="AB290" s="133">
        <f>IFERROR(INDEX($C$4:$C$500,MATCH(ROW()-3,$AA$4:$AA$500,0)),"")</f>
      </c>
      <c r="AC290" s="133">
        <f>IF(OR(B290="",COUNTIF($B$4:B290,B290)&gt;1),"",MAX($AC$3:AC289)+1)</f>
      </c>
      <c r="AD290" s="133">
        <f>IFERROR(INDEX($B$4:$B$500,MATCH(ROW()-3,$AC$4:$AC$500,0)),"")</f>
      </c>
      <c r="AE290" s="133">
        <f>IF(AND(A290&lt;&gt;"",N(P290)&gt;0),IFERROR(MATCH(A290,$R$12:$R$25,0),99)*1000+ROW(),"")</f>
      </c>
      <c r="AF290" s="133">
        <f>IF(AE290="","",COUNTIF($AE$4:$AE$500,"&lt;="&amp;AE290))</f>
      </c>
    </row>
    <row r="291">
      <c r="A291" s="265"/>
      <c r="B291" s="265"/>
      <c r="C291" s="265"/>
      <c r="D291" s="265"/>
      <c r="E291" s="265"/>
      <c r="F291" s="265"/>
      <c r="G291" s="265"/>
      <c r="H291" s="265"/>
      <c r="I291" s="265"/>
      <c r="J291" s="265"/>
      <c r="K291" s="265"/>
      <c r="L291" s="265"/>
      <c r="M291" s="265"/>
      <c r="N291" s="133">
        <f>IF(OR(A291="Автомат",A291="Дифавтомат"),IF(W291="","",COUNTIF(Однолинейка!$H$3:$H$1000,U291)),IF(A291="Аппарат",IF(C291="","",COUNTIF(Однолинейка!$I$3:$I$1000,C291)+COUNTIF(Однолинейка!$J$3:$J$1000,C291)+COUNTIF(Однолинейка!$K$3:$K$1000,C291)),IF(A291="Модуль",IF(C291="","",COUNTIFS(Однолинейка!$AW$3:$AW$1000,"?*",Однолинейка!$AI$3:$AI$1000,C291)),IF(A291="Клемма",IF(C291="","",IF(C291=$S$7,SUM(Однолинейка!$BW$3:$BW$1000),IF(C291=$S$8,SUM(Однолинейка!$BX$3:$BX$1000),""))),""))))</f>
      </c>
      <c r="O291" s="265"/>
      <c r="P291" s="133">
        <f>IF(COUNT(N291,O291)=0,"",SUM(N291,O291))</f>
      </c>
      <c r="U291" s="133">
        <f>IF(OR(A291="Автомат",A291="Дифавтомат"),I291&amp;" С"&amp;J291&amp;"А"&amp;IF(K291="да"," 30мА",""),"")</f>
      </c>
      <c r="V291" s="133">
        <f>IF(U291="","",B291&amp;"|"&amp;U291)</f>
      </c>
      <c r="W291" s="133">
        <f>IF(AND(U291&lt;&gt;"",OR($S$4="(все)",B291=$S$4),IF($S$4="(все)",COUNTIF($U$4:U291,U291),COUNTIFS($U$4:U291,U291,$B$4:B291,B291))=1),MAX($W$3:W290)+1,"")</f>
      </c>
      <c r="X291" s="133">
        <f>IFERROR(INDEX($U$4:$U$500,MATCH(ROW()-3,$W$4:$W$500,0)),"")</f>
      </c>
      <c r="Y291" s="133">
        <f>IF(AND(A291="Аппарат",C291&lt;&gt;"",OR($S$5="(все)",B291=$S$5)),MAX($Y$3:Y290)+1,"")</f>
      </c>
      <c r="Z291" s="133">
        <f>IFERROR(INDEX($C$4:$C$500,MATCH(ROW()-3,$Y$4:$Y$500,0)),"")</f>
      </c>
      <c r="AA291" s="133">
        <f>IF(AND(A291="Модуль",C291&lt;&gt;"",OR($S$6="(все)",B291=$S$6)),MAX($AA$3:AA290)+1,"")</f>
      </c>
      <c r="AB291" s="133">
        <f>IFERROR(INDEX($C$4:$C$500,MATCH(ROW()-3,$AA$4:$AA$500,0)),"")</f>
      </c>
      <c r="AC291" s="133">
        <f>IF(OR(B291="",COUNTIF($B$4:B291,B291)&gt;1),"",MAX($AC$3:AC290)+1)</f>
      </c>
      <c r="AD291" s="133">
        <f>IFERROR(INDEX($B$4:$B$500,MATCH(ROW()-3,$AC$4:$AC$500,0)),"")</f>
      </c>
      <c r="AE291" s="133">
        <f>IF(AND(A291&lt;&gt;"",N(P291)&gt;0),IFERROR(MATCH(A291,$R$12:$R$25,0),99)*1000+ROW(),"")</f>
      </c>
      <c r="AF291" s="133">
        <f>IF(AE291="","",COUNTIF($AE$4:$AE$500,"&lt;="&amp;AE291))</f>
      </c>
    </row>
    <row r="292">
      <c r="A292" s="265"/>
      <c r="B292" s="265"/>
      <c r="C292" s="265"/>
      <c r="D292" s="265"/>
      <c r="E292" s="265"/>
      <c r="F292" s="265"/>
      <c r="G292" s="265"/>
      <c r="H292" s="265"/>
      <c r="I292" s="265"/>
      <c r="J292" s="265"/>
      <c r="K292" s="265"/>
      <c r="L292" s="265"/>
      <c r="M292" s="265"/>
      <c r="N292" s="133">
        <f>IF(OR(A292="Автомат",A292="Дифавтомат"),IF(W292="","",COUNTIF(Однолинейка!$H$3:$H$1000,U292)),IF(A292="Аппарат",IF(C292="","",COUNTIF(Однолинейка!$I$3:$I$1000,C292)+COUNTIF(Однолинейка!$J$3:$J$1000,C292)+COUNTIF(Однолинейка!$K$3:$K$1000,C292)),IF(A292="Модуль",IF(C292="","",COUNTIFS(Однолинейка!$AW$3:$AW$1000,"?*",Однолинейка!$AI$3:$AI$1000,C292)),IF(A292="Клемма",IF(C292="","",IF(C292=$S$7,SUM(Однолинейка!$BW$3:$BW$1000),IF(C292=$S$8,SUM(Однолинейка!$BX$3:$BX$1000),""))),""))))</f>
      </c>
      <c r="O292" s="265"/>
      <c r="P292" s="133">
        <f>IF(COUNT(N292,O292)=0,"",SUM(N292,O292))</f>
      </c>
      <c r="U292" s="133">
        <f>IF(OR(A292="Автомат",A292="Дифавтомат"),I292&amp;" С"&amp;J292&amp;"А"&amp;IF(K292="да"," 30мА",""),"")</f>
      </c>
      <c r="V292" s="133">
        <f>IF(U292="","",B292&amp;"|"&amp;U292)</f>
      </c>
      <c r="W292" s="133">
        <f>IF(AND(U292&lt;&gt;"",OR($S$4="(все)",B292=$S$4),IF($S$4="(все)",COUNTIF($U$4:U292,U292),COUNTIFS($U$4:U292,U292,$B$4:B292,B292))=1),MAX($W$3:W291)+1,"")</f>
      </c>
      <c r="X292" s="133">
        <f>IFERROR(INDEX($U$4:$U$500,MATCH(ROW()-3,$W$4:$W$500,0)),"")</f>
      </c>
      <c r="Y292" s="133">
        <f>IF(AND(A292="Аппарат",C292&lt;&gt;"",OR($S$5="(все)",B292=$S$5)),MAX($Y$3:Y291)+1,"")</f>
      </c>
      <c r="Z292" s="133">
        <f>IFERROR(INDEX($C$4:$C$500,MATCH(ROW()-3,$Y$4:$Y$500,0)),"")</f>
      </c>
      <c r="AA292" s="133">
        <f>IF(AND(A292="Модуль",C292&lt;&gt;"",OR($S$6="(все)",B292=$S$6)),MAX($AA$3:AA291)+1,"")</f>
      </c>
      <c r="AB292" s="133">
        <f>IFERROR(INDEX($C$4:$C$500,MATCH(ROW()-3,$AA$4:$AA$500,0)),"")</f>
      </c>
      <c r="AC292" s="133">
        <f>IF(OR(B292="",COUNTIF($B$4:B292,B292)&gt;1),"",MAX($AC$3:AC291)+1)</f>
      </c>
      <c r="AD292" s="133">
        <f>IFERROR(INDEX($B$4:$B$500,MATCH(ROW()-3,$AC$4:$AC$500,0)),"")</f>
      </c>
      <c r="AE292" s="133">
        <f>IF(AND(A292&lt;&gt;"",N(P292)&gt;0),IFERROR(MATCH(A292,$R$12:$R$25,0),99)*1000+ROW(),"")</f>
      </c>
      <c r="AF292" s="133">
        <f>IF(AE292="","",COUNTIF($AE$4:$AE$500,"&lt;="&amp;AE292))</f>
      </c>
    </row>
    <row r="293">
      <c r="A293" s="265"/>
      <c r="B293" s="265"/>
      <c r="C293" s="265"/>
      <c r="D293" s="265"/>
      <c r="E293" s="265"/>
      <c r="F293" s="265"/>
      <c r="G293" s="265"/>
      <c r="H293" s="265"/>
      <c r="I293" s="265"/>
      <c r="J293" s="265"/>
      <c r="K293" s="265"/>
      <c r="L293" s="265"/>
      <c r="M293" s="265"/>
      <c r="N293" s="133">
        <f>IF(OR(A293="Автомат",A293="Дифавтомат"),IF(W293="","",COUNTIF(Однолинейка!$H$3:$H$1000,U293)),IF(A293="Аппарат",IF(C293="","",COUNTIF(Однолинейка!$I$3:$I$1000,C293)+COUNTIF(Однолинейка!$J$3:$J$1000,C293)+COUNTIF(Однолинейка!$K$3:$K$1000,C293)),IF(A293="Модуль",IF(C293="","",COUNTIFS(Однолинейка!$AW$3:$AW$1000,"?*",Однолинейка!$AI$3:$AI$1000,C293)),IF(A293="Клемма",IF(C293="","",IF(C293=$S$7,SUM(Однолинейка!$BW$3:$BW$1000),IF(C293=$S$8,SUM(Однолинейка!$BX$3:$BX$1000),""))),""))))</f>
      </c>
      <c r="O293" s="265"/>
      <c r="P293" s="133">
        <f>IF(COUNT(N293,O293)=0,"",SUM(N293,O293))</f>
      </c>
      <c r="U293" s="133">
        <f>IF(OR(A293="Автомат",A293="Дифавтомат"),I293&amp;" С"&amp;J293&amp;"А"&amp;IF(K293="да"," 30мА",""),"")</f>
      </c>
      <c r="V293" s="133">
        <f>IF(U293="","",B293&amp;"|"&amp;U293)</f>
      </c>
      <c r="W293" s="133">
        <f>IF(AND(U293&lt;&gt;"",OR($S$4="(все)",B293=$S$4),IF($S$4="(все)",COUNTIF($U$4:U293,U293),COUNTIFS($U$4:U293,U293,$B$4:B293,B293))=1),MAX($W$3:W292)+1,"")</f>
      </c>
      <c r="X293" s="133">
        <f>IFERROR(INDEX($U$4:$U$500,MATCH(ROW()-3,$W$4:$W$500,0)),"")</f>
      </c>
      <c r="Y293" s="133">
        <f>IF(AND(A293="Аппарат",C293&lt;&gt;"",OR($S$5="(все)",B293=$S$5)),MAX($Y$3:Y292)+1,"")</f>
      </c>
      <c r="Z293" s="133">
        <f>IFERROR(INDEX($C$4:$C$500,MATCH(ROW()-3,$Y$4:$Y$500,0)),"")</f>
      </c>
      <c r="AA293" s="133">
        <f>IF(AND(A293="Модуль",C293&lt;&gt;"",OR($S$6="(все)",B293=$S$6)),MAX($AA$3:AA292)+1,"")</f>
      </c>
      <c r="AB293" s="133">
        <f>IFERROR(INDEX($C$4:$C$500,MATCH(ROW()-3,$AA$4:$AA$500,0)),"")</f>
      </c>
      <c r="AC293" s="133">
        <f>IF(OR(B293="",COUNTIF($B$4:B293,B293)&gt;1),"",MAX($AC$3:AC292)+1)</f>
      </c>
      <c r="AD293" s="133">
        <f>IFERROR(INDEX($B$4:$B$500,MATCH(ROW()-3,$AC$4:$AC$500,0)),"")</f>
      </c>
      <c r="AE293" s="133">
        <f>IF(AND(A293&lt;&gt;"",N(P293)&gt;0),IFERROR(MATCH(A293,$R$12:$R$25,0),99)*1000+ROW(),"")</f>
      </c>
      <c r="AF293" s="133">
        <f>IF(AE293="","",COUNTIF($AE$4:$AE$500,"&lt;="&amp;AE293))</f>
      </c>
    </row>
    <row r="294">
      <c r="A294" s="265"/>
      <c r="B294" s="265"/>
      <c r="C294" s="265"/>
      <c r="D294" s="265"/>
      <c r="E294" s="265"/>
      <c r="F294" s="265"/>
      <c r="G294" s="265"/>
      <c r="H294" s="265"/>
      <c r="I294" s="265"/>
      <c r="J294" s="265"/>
      <c r="K294" s="265"/>
      <c r="L294" s="265"/>
      <c r="M294" s="265"/>
      <c r="N294" s="133">
        <f>IF(OR(A294="Автомат",A294="Дифавтомат"),IF(W294="","",COUNTIF(Однолинейка!$H$3:$H$1000,U294)),IF(A294="Аппарат",IF(C294="","",COUNTIF(Однолинейка!$I$3:$I$1000,C294)+COUNTIF(Однолинейка!$J$3:$J$1000,C294)+COUNTIF(Однолинейка!$K$3:$K$1000,C294)),IF(A294="Модуль",IF(C294="","",COUNTIFS(Однолинейка!$AW$3:$AW$1000,"?*",Однолинейка!$AI$3:$AI$1000,C294)),IF(A294="Клемма",IF(C294="","",IF(C294=$S$7,SUM(Однолинейка!$BW$3:$BW$1000),IF(C294=$S$8,SUM(Однолинейка!$BX$3:$BX$1000),""))),""))))</f>
      </c>
      <c r="O294" s="265"/>
      <c r="P294" s="133">
        <f>IF(COUNT(N294,O294)=0,"",SUM(N294,O294))</f>
      </c>
      <c r="U294" s="133">
        <f>IF(OR(A294="Автомат",A294="Дифавтомат"),I294&amp;" С"&amp;J294&amp;"А"&amp;IF(K294="да"," 30мА",""),"")</f>
      </c>
      <c r="V294" s="133">
        <f>IF(U294="","",B294&amp;"|"&amp;U294)</f>
      </c>
      <c r="W294" s="133">
        <f>IF(AND(U294&lt;&gt;"",OR($S$4="(все)",B294=$S$4),IF($S$4="(все)",COUNTIF($U$4:U294,U294),COUNTIFS($U$4:U294,U294,$B$4:B294,B294))=1),MAX($W$3:W293)+1,"")</f>
      </c>
      <c r="X294" s="133">
        <f>IFERROR(INDEX($U$4:$U$500,MATCH(ROW()-3,$W$4:$W$500,0)),"")</f>
      </c>
      <c r="Y294" s="133">
        <f>IF(AND(A294="Аппарат",C294&lt;&gt;"",OR($S$5="(все)",B294=$S$5)),MAX($Y$3:Y293)+1,"")</f>
      </c>
      <c r="Z294" s="133">
        <f>IFERROR(INDEX($C$4:$C$500,MATCH(ROW()-3,$Y$4:$Y$500,0)),"")</f>
      </c>
      <c r="AA294" s="133">
        <f>IF(AND(A294="Модуль",C294&lt;&gt;"",OR($S$6="(все)",B294=$S$6)),MAX($AA$3:AA293)+1,"")</f>
      </c>
      <c r="AB294" s="133">
        <f>IFERROR(INDEX($C$4:$C$500,MATCH(ROW()-3,$AA$4:$AA$500,0)),"")</f>
      </c>
      <c r="AC294" s="133">
        <f>IF(OR(B294="",COUNTIF($B$4:B294,B294)&gt;1),"",MAX($AC$3:AC293)+1)</f>
      </c>
      <c r="AD294" s="133">
        <f>IFERROR(INDEX($B$4:$B$500,MATCH(ROW()-3,$AC$4:$AC$500,0)),"")</f>
      </c>
      <c r="AE294" s="133">
        <f>IF(AND(A294&lt;&gt;"",N(P294)&gt;0),IFERROR(MATCH(A294,$R$12:$R$25,0),99)*1000+ROW(),"")</f>
      </c>
      <c r="AF294" s="133">
        <f>IF(AE294="","",COUNTIF($AE$4:$AE$500,"&lt;="&amp;AE294))</f>
      </c>
    </row>
    <row r="295">
      <c r="A295" s="265"/>
      <c r="B295" s="265"/>
      <c r="C295" s="265"/>
      <c r="D295" s="265"/>
      <c r="E295" s="265"/>
      <c r="F295" s="265"/>
      <c r="G295" s="265"/>
      <c r="H295" s="265"/>
      <c r="I295" s="265"/>
      <c r="J295" s="265"/>
      <c r="K295" s="265"/>
      <c r="L295" s="265"/>
      <c r="M295" s="265"/>
      <c r="N295" s="133">
        <f>IF(OR(A295="Автомат",A295="Дифавтомат"),IF(W295="","",COUNTIF(Однолинейка!$H$3:$H$1000,U295)),IF(A295="Аппарат",IF(C295="","",COUNTIF(Однолинейка!$I$3:$I$1000,C295)+COUNTIF(Однолинейка!$J$3:$J$1000,C295)+COUNTIF(Однолинейка!$K$3:$K$1000,C295)),IF(A295="Модуль",IF(C295="","",COUNTIFS(Однолинейка!$AW$3:$AW$1000,"?*",Однолинейка!$AI$3:$AI$1000,C295)),IF(A295="Клемма",IF(C295="","",IF(C295=$S$7,SUM(Однолинейка!$BW$3:$BW$1000),IF(C295=$S$8,SUM(Однолинейка!$BX$3:$BX$1000),""))),""))))</f>
      </c>
      <c r="O295" s="265"/>
      <c r="P295" s="133">
        <f>IF(COUNT(N295,O295)=0,"",SUM(N295,O295))</f>
      </c>
      <c r="U295" s="133">
        <f>IF(OR(A295="Автомат",A295="Дифавтомат"),I295&amp;" С"&amp;J295&amp;"А"&amp;IF(K295="да"," 30мА",""),"")</f>
      </c>
      <c r="V295" s="133">
        <f>IF(U295="","",B295&amp;"|"&amp;U295)</f>
      </c>
      <c r="W295" s="133">
        <f>IF(AND(U295&lt;&gt;"",OR($S$4="(все)",B295=$S$4),IF($S$4="(все)",COUNTIF($U$4:U295,U295),COUNTIFS($U$4:U295,U295,$B$4:B295,B295))=1),MAX($W$3:W294)+1,"")</f>
      </c>
      <c r="X295" s="133">
        <f>IFERROR(INDEX($U$4:$U$500,MATCH(ROW()-3,$W$4:$W$500,0)),"")</f>
      </c>
      <c r="Y295" s="133">
        <f>IF(AND(A295="Аппарат",C295&lt;&gt;"",OR($S$5="(все)",B295=$S$5)),MAX($Y$3:Y294)+1,"")</f>
      </c>
      <c r="Z295" s="133">
        <f>IFERROR(INDEX($C$4:$C$500,MATCH(ROW()-3,$Y$4:$Y$500,0)),"")</f>
      </c>
      <c r="AA295" s="133">
        <f>IF(AND(A295="Модуль",C295&lt;&gt;"",OR($S$6="(все)",B295=$S$6)),MAX($AA$3:AA294)+1,"")</f>
      </c>
      <c r="AB295" s="133">
        <f>IFERROR(INDEX($C$4:$C$500,MATCH(ROW()-3,$AA$4:$AA$500,0)),"")</f>
      </c>
      <c r="AC295" s="133">
        <f>IF(OR(B295="",COUNTIF($B$4:B295,B295)&gt;1),"",MAX($AC$3:AC294)+1)</f>
      </c>
      <c r="AD295" s="133">
        <f>IFERROR(INDEX($B$4:$B$500,MATCH(ROW()-3,$AC$4:$AC$500,0)),"")</f>
      </c>
      <c r="AE295" s="133">
        <f>IF(AND(A295&lt;&gt;"",N(P295)&gt;0),IFERROR(MATCH(A295,$R$12:$R$25,0),99)*1000+ROW(),"")</f>
      </c>
      <c r="AF295" s="133">
        <f>IF(AE295="","",COUNTIF($AE$4:$AE$500,"&lt;="&amp;AE295))</f>
      </c>
    </row>
    <row r="296">
      <c r="A296" s="265"/>
      <c r="B296" s="265"/>
      <c r="C296" s="265"/>
      <c r="D296" s="265"/>
      <c r="E296" s="265"/>
      <c r="F296" s="265"/>
      <c r="G296" s="265"/>
      <c r="H296" s="265"/>
      <c r="I296" s="265"/>
      <c r="J296" s="265"/>
      <c r="K296" s="265"/>
      <c r="L296" s="265"/>
      <c r="M296" s="265"/>
      <c r="N296" s="133">
        <f>IF(OR(A296="Автомат",A296="Дифавтомат"),IF(W296="","",COUNTIF(Однолинейка!$H$3:$H$1000,U296)),IF(A296="Аппарат",IF(C296="","",COUNTIF(Однолинейка!$I$3:$I$1000,C296)+COUNTIF(Однолинейка!$J$3:$J$1000,C296)+COUNTIF(Однолинейка!$K$3:$K$1000,C296)),IF(A296="Модуль",IF(C296="","",COUNTIFS(Однолинейка!$AW$3:$AW$1000,"?*",Однолинейка!$AI$3:$AI$1000,C296)),IF(A296="Клемма",IF(C296="","",IF(C296=$S$7,SUM(Однолинейка!$BW$3:$BW$1000),IF(C296=$S$8,SUM(Однолинейка!$BX$3:$BX$1000),""))),""))))</f>
      </c>
      <c r="O296" s="265"/>
      <c r="P296" s="133">
        <f>IF(COUNT(N296,O296)=0,"",SUM(N296,O296))</f>
      </c>
      <c r="U296" s="133">
        <f>IF(OR(A296="Автомат",A296="Дифавтомат"),I296&amp;" С"&amp;J296&amp;"А"&amp;IF(K296="да"," 30мА",""),"")</f>
      </c>
      <c r="V296" s="133">
        <f>IF(U296="","",B296&amp;"|"&amp;U296)</f>
      </c>
      <c r="W296" s="133">
        <f>IF(AND(U296&lt;&gt;"",OR($S$4="(все)",B296=$S$4),IF($S$4="(все)",COUNTIF($U$4:U296,U296),COUNTIFS($U$4:U296,U296,$B$4:B296,B296))=1),MAX($W$3:W295)+1,"")</f>
      </c>
      <c r="X296" s="133">
        <f>IFERROR(INDEX($U$4:$U$500,MATCH(ROW()-3,$W$4:$W$500,0)),"")</f>
      </c>
      <c r="Y296" s="133">
        <f>IF(AND(A296="Аппарат",C296&lt;&gt;"",OR($S$5="(все)",B296=$S$5)),MAX($Y$3:Y295)+1,"")</f>
      </c>
      <c r="Z296" s="133">
        <f>IFERROR(INDEX($C$4:$C$500,MATCH(ROW()-3,$Y$4:$Y$500,0)),"")</f>
      </c>
      <c r="AA296" s="133">
        <f>IF(AND(A296="Модуль",C296&lt;&gt;"",OR($S$6="(все)",B296=$S$6)),MAX($AA$3:AA295)+1,"")</f>
      </c>
      <c r="AB296" s="133">
        <f>IFERROR(INDEX($C$4:$C$500,MATCH(ROW()-3,$AA$4:$AA$500,0)),"")</f>
      </c>
      <c r="AC296" s="133">
        <f>IF(OR(B296="",COUNTIF($B$4:B296,B296)&gt;1),"",MAX($AC$3:AC295)+1)</f>
      </c>
      <c r="AD296" s="133">
        <f>IFERROR(INDEX($B$4:$B$500,MATCH(ROW()-3,$AC$4:$AC$500,0)),"")</f>
      </c>
      <c r="AE296" s="133">
        <f>IF(AND(A296&lt;&gt;"",N(P296)&gt;0),IFERROR(MATCH(A296,$R$12:$R$25,0),99)*1000+ROW(),"")</f>
      </c>
      <c r="AF296" s="133">
        <f>IF(AE296="","",COUNTIF($AE$4:$AE$500,"&lt;="&amp;AE296))</f>
      </c>
    </row>
    <row r="297">
      <c r="A297" s="265"/>
      <c r="B297" s="265"/>
      <c r="C297" s="265"/>
      <c r="D297" s="265"/>
      <c r="E297" s="265"/>
      <c r="F297" s="265"/>
      <c r="G297" s="265"/>
      <c r="H297" s="265"/>
      <c r="I297" s="265"/>
      <c r="J297" s="265"/>
      <c r="K297" s="265"/>
      <c r="L297" s="265"/>
      <c r="M297" s="265"/>
      <c r="N297" s="133">
        <f>IF(OR(A297="Автомат",A297="Дифавтомат"),IF(W297="","",COUNTIF(Однолинейка!$H$3:$H$1000,U297)),IF(A297="Аппарат",IF(C297="","",COUNTIF(Однолинейка!$I$3:$I$1000,C297)+COUNTIF(Однолинейка!$J$3:$J$1000,C297)+COUNTIF(Однолинейка!$K$3:$K$1000,C297)),IF(A297="Модуль",IF(C297="","",COUNTIFS(Однолинейка!$AW$3:$AW$1000,"?*",Однолинейка!$AI$3:$AI$1000,C297)),IF(A297="Клемма",IF(C297="","",IF(C297=$S$7,SUM(Однолинейка!$BW$3:$BW$1000),IF(C297=$S$8,SUM(Однолинейка!$BX$3:$BX$1000),""))),""))))</f>
      </c>
      <c r="O297" s="265"/>
      <c r="P297" s="133">
        <f>IF(COUNT(N297,O297)=0,"",SUM(N297,O297))</f>
      </c>
      <c r="U297" s="133">
        <f>IF(OR(A297="Автомат",A297="Дифавтомат"),I297&amp;" С"&amp;J297&amp;"А"&amp;IF(K297="да"," 30мА",""),"")</f>
      </c>
      <c r="V297" s="133">
        <f>IF(U297="","",B297&amp;"|"&amp;U297)</f>
      </c>
      <c r="W297" s="133">
        <f>IF(AND(U297&lt;&gt;"",OR($S$4="(все)",B297=$S$4),IF($S$4="(все)",COUNTIF($U$4:U297,U297),COUNTIFS($U$4:U297,U297,$B$4:B297,B297))=1),MAX($W$3:W296)+1,"")</f>
      </c>
      <c r="X297" s="133">
        <f>IFERROR(INDEX($U$4:$U$500,MATCH(ROW()-3,$W$4:$W$500,0)),"")</f>
      </c>
      <c r="Y297" s="133">
        <f>IF(AND(A297="Аппарат",C297&lt;&gt;"",OR($S$5="(все)",B297=$S$5)),MAX($Y$3:Y296)+1,"")</f>
      </c>
      <c r="Z297" s="133">
        <f>IFERROR(INDEX($C$4:$C$500,MATCH(ROW()-3,$Y$4:$Y$500,0)),"")</f>
      </c>
      <c r="AA297" s="133">
        <f>IF(AND(A297="Модуль",C297&lt;&gt;"",OR($S$6="(все)",B297=$S$6)),MAX($AA$3:AA296)+1,"")</f>
      </c>
      <c r="AB297" s="133">
        <f>IFERROR(INDEX($C$4:$C$500,MATCH(ROW()-3,$AA$4:$AA$500,0)),"")</f>
      </c>
      <c r="AC297" s="133">
        <f>IF(OR(B297="",COUNTIF($B$4:B297,B297)&gt;1),"",MAX($AC$3:AC296)+1)</f>
      </c>
      <c r="AD297" s="133">
        <f>IFERROR(INDEX($B$4:$B$500,MATCH(ROW()-3,$AC$4:$AC$500,0)),"")</f>
      </c>
      <c r="AE297" s="133">
        <f>IF(AND(A297&lt;&gt;"",N(P297)&gt;0),IFERROR(MATCH(A297,$R$12:$R$25,0),99)*1000+ROW(),"")</f>
      </c>
      <c r="AF297" s="133">
        <f>IF(AE297="","",COUNTIF($AE$4:$AE$500,"&lt;="&amp;AE297))</f>
      </c>
    </row>
    <row r="298">
      <c r="A298" s="265"/>
      <c r="B298" s="265"/>
      <c r="C298" s="265"/>
      <c r="D298" s="265"/>
      <c r="E298" s="265"/>
      <c r="F298" s="265"/>
      <c r="G298" s="265"/>
      <c r="H298" s="265"/>
      <c r="I298" s="265"/>
      <c r="J298" s="265"/>
      <c r="K298" s="265"/>
      <c r="L298" s="265"/>
      <c r="M298" s="265"/>
      <c r="N298" s="133">
        <f>IF(OR(A298="Автомат",A298="Дифавтомат"),IF(W298="","",COUNTIF(Однолинейка!$H$3:$H$1000,U298)),IF(A298="Аппарат",IF(C298="","",COUNTIF(Однолинейка!$I$3:$I$1000,C298)+COUNTIF(Однолинейка!$J$3:$J$1000,C298)+COUNTIF(Однолинейка!$K$3:$K$1000,C298)),IF(A298="Модуль",IF(C298="","",COUNTIFS(Однолинейка!$AW$3:$AW$1000,"?*",Однолинейка!$AI$3:$AI$1000,C298)),IF(A298="Клемма",IF(C298="","",IF(C298=$S$7,SUM(Однолинейка!$BW$3:$BW$1000),IF(C298=$S$8,SUM(Однолинейка!$BX$3:$BX$1000),""))),""))))</f>
      </c>
      <c r="O298" s="265"/>
      <c r="P298" s="133">
        <f>IF(COUNT(N298,O298)=0,"",SUM(N298,O298))</f>
      </c>
      <c r="U298" s="133">
        <f>IF(OR(A298="Автомат",A298="Дифавтомат"),I298&amp;" С"&amp;J298&amp;"А"&amp;IF(K298="да"," 30мА",""),"")</f>
      </c>
      <c r="V298" s="133">
        <f>IF(U298="","",B298&amp;"|"&amp;U298)</f>
      </c>
      <c r="W298" s="133">
        <f>IF(AND(U298&lt;&gt;"",OR($S$4="(все)",B298=$S$4),IF($S$4="(все)",COUNTIF($U$4:U298,U298),COUNTIFS($U$4:U298,U298,$B$4:B298,B298))=1),MAX($W$3:W297)+1,"")</f>
      </c>
      <c r="X298" s="133">
        <f>IFERROR(INDEX($U$4:$U$500,MATCH(ROW()-3,$W$4:$W$500,0)),"")</f>
      </c>
      <c r="Y298" s="133">
        <f>IF(AND(A298="Аппарат",C298&lt;&gt;"",OR($S$5="(все)",B298=$S$5)),MAX($Y$3:Y297)+1,"")</f>
      </c>
      <c r="Z298" s="133">
        <f>IFERROR(INDEX($C$4:$C$500,MATCH(ROW()-3,$Y$4:$Y$500,0)),"")</f>
      </c>
      <c r="AA298" s="133">
        <f>IF(AND(A298="Модуль",C298&lt;&gt;"",OR($S$6="(все)",B298=$S$6)),MAX($AA$3:AA297)+1,"")</f>
      </c>
      <c r="AB298" s="133">
        <f>IFERROR(INDEX($C$4:$C$500,MATCH(ROW()-3,$AA$4:$AA$500,0)),"")</f>
      </c>
      <c r="AC298" s="133">
        <f>IF(OR(B298="",COUNTIF($B$4:B298,B298)&gt;1),"",MAX($AC$3:AC297)+1)</f>
      </c>
      <c r="AD298" s="133">
        <f>IFERROR(INDEX($B$4:$B$500,MATCH(ROW()-3,$AC$4:$AC$500,0)),"")</f>
      </c>
      <c r="AE298" s="133">
        <f>IF(AND(A298&lt;&gt;"",N(P298)&gt;0),IFERROR(MATCH(A298,$R$12:$R$25,0),99)*1000+ROW(),"")</f>
      </c>
      <c r="AF298" s="133">
        <f>IF(AE298="","",COUNTIF($AE$4:$AE$500,"&lt;="&amp;AE298))</f>
      </c>
    </row>
    <row r="299">
      <c r="A299" s="265"/>
      <c r="B299" s="265"/>
      <c r="C299" s="265"/>
      <c r="D299" s="265"/>
      <c r="E299" s="265"/>
      <c r="F299" s="265"/>
      <c r="G299" s="265"/>
      <c r="H299" s="265"/>
      <c r="I299" s="265"/>
      <c r="J299" s="265"/>
      <c r="K299" s="265"/>
      <c r="L299" s="265"/>
      <c r="M299" s="265"/>
      <c r="N299" s="133">
        <f>IF(OR(A299="Автомат",A299="Дифавтомат"),IF(W299="","",COUNTIF(Однолинейка!$H$3:$H$1000,U299)),IF(A299="Аппарат",IF(C299="","",COUNTIF(Однолинейка!$I$3:$I$1000,C299)+COUNTIF(Однолинейка!$J$3:$J$1000,C299)+COUNTIF(Однолинейка!$K$3:$K$1000,C299)),IF(A299="Модуль",IF(C299="","",COUNTIFS(Однолинейка!$AW$3:$AW$1000,"?*",Однолинейка!$AI$3:$AI$1000,C299)),IF(A299="Клемма",IF(C299="","",IF(C299=$S$7,SUM(Однолинейка!$BW$3:$BW$1000),IF(C299=$S$8,SUM(Однолинейка!$BX$3:$BX$1000),""))),""))))</f>
      </c>
      <c r="O299" s="265"/>
      <c r="P299" s="133">
        <f>IF(COUNT(N299,O299)=0,"",SUM(N299,O299))</f>
      </c>
      <c r="U299" s="133">
        <f>IF(OR(A299="Автомат",A299="Дифавтомат"),I299&amp;" С"&amp;J299&amp;"А"&amp;IF(K299="да"," 30мА",""),"")</f>
      </c>
      <c r="V299" s="133">
        <f>IF(U299="","",B299&amp;"|"&amp;U299)</f>
      </c>
      <c r="W299" s="133">
        <f>IF(AND(U299&lt;&gt;"",OR($S$4="(все)",B299=$S$4),IF($S$4="(все)",COUNTIF($U$4:U299,U299),COUNTIFS($U$4:U299,U299,$B$4:B299,B299))=1),MAX($W$3:W298)+1,"")</f>
      </c>
      <c r="X299" s="133">
        <f>IFERROR(INDEX($U$4:$U$500,MATCH(ROW()-3,$W$4:$W$500,0)),"")</f>
      </c>
      <c r="Y299" s="133">
        <f>IF(AND(A299="Аппарат",C299&lt;&gt;"",OR($S$5="(все)",B299=$S$5)),MAX($Y$3:Y298)+1,"")</f>
      </c>
      <c r="Z299" s="133">
        <f>IFERROR(INDEX($C$4:$C$500,MATCH(ROW()-3,$Y$4:$Y$500,0)),"")</f>
      </c>
      <c r="AA299" s="133">
        <f>IF(AND(A299="Модуль",C299&lt;&gt;"",OR($S$6="(все)",B299=$S$6)),MAX($AA$3:AA298)+1,"")</f>
      </c>
      <c r="AB299" s="133">
        <f>IFERROR(INDEX($C$4:$C$500,MATCH(ROW()-3,$AA$4:$AA$500,0)),"")</f>
      </c>
      <c r="AC299" s="133">
        <f>IF(OR(B299="",COUNTIF($B$4:B299,B299)&gt;1),"",MAX($AC$3:AC298)+1)</f>
      </c>
      <c r="AD299" s="133">
        <f>IFERROR(INDEX($B$4:$B$500,MATCH(ROW()-3,$AC$4:$AC$500,0)),"")</f>
      </c>
      <c r="AE299" s="133">
        <f>IF(AND(A299&lt;&gt;"",N(P299)&gt;0),IFERROR(MATCH(A299,$R$12:$R$25,0),99)*1000+ROW(),"")</f>
      </c>
      <c r="AF299" s="133">
        <f>IF(AE299="","",COUNTIF($AE$4:$AE$500,"&lt;="&amp;AE299))</f>
      </c>
    </row>
    <row r="300">
      <c r="A300" s="265"/>
      <c r="B300" s="265"/>
      <c r="C300" s="265"/>
      <c r="D300" s="265"/>
      <c r="E300" s="265"/>
      <c r="F300" s="265"/>
      <c r="G300" s="265"/>
      <c r="H300" s="265"/>
      <c r="I300" s="265"/>
      <c r="J300" s="265"/>
      <c r="K300" s="265"/>
      <c r="L300" s="265"/>
      <c r="M300" s="265"/>
      <c r="N300" s="133">
        <f>IF(OR(A300="Автомат",A300="Дифавтомат"),IF(W300="","",COUNTIF(Однолинейка!$H$3:$H$1000,U300)),IF(A300="Аппарат",IF(C300="","",COUNTIF(Однолинейка!$I$3:$I$1000,C300)+COUNTIF(Однолинейка!$J$3:$J$1000,C300)+COUNTIF(Однолинейка!$K$3:$K$1000,C300)),IF(A300="Модуль",IF(C300="","",COUNTIFS(Однолинейка!$AW$3:$AW$1000,"?*",Однолинейка!$AI$3:$AI$1000,C300)),IF(A300="Клемма",IF(C300="","",IF(C300=$S$7,SUM(Однолинейка!$BW$3:$BW$1000),IF(C300=$S$8,SUM(Однолинейка!$BX$3:$BX$1000),""))),""))))</f>
      </c>
      <c r="O300" s="265"/>
      <c r="P300" s="133">
        <f>IF(COUNT(N300,O300)=0,"",SUM(N300,O300))</f>
      </c>
      <c r="U300" s="133">
        <f>IF(OR(A300="Автомат",A300="Дифавтомат"),I300&amp;" С"&amp;J300&amp;"А"&amp;IF(K300="да"," 30мА",""),"")</f>
      </c>
      <c r="V300" s="133">
        <f>IF(U300="","",B300&amp;"|"&amp;U300)</f>
      </c>
      <c r="W300" s="133">
        <f>IF(AND(U300&lt;&gt;"",OR($S$4="(все)",B300=$S$4),IF($S$4="(все)",COUNTIF($U$4:U300,U300),COUNTIFS($U$4:U300,U300,$B$4:B300,B300))=1),MAX($W$3:W299)+1,"")</f>
      </c>
      <c r="X300" s="133">
        <f>IFERROR(INDEX($U$4:$U$500,MATCH(ROW()-3,$W$4:$W$500,0)),"")</f>
      </c>
      <c r="Y300" s="133">
        <f>IF(AND(A300="Аппарат",C300&lt;&gt;"",OR($S$5="(все)",B300=$S$5)),MAX($Y$3:Y299)+1,"")</f>
      </c>
      <c r="Z300" s="133">
        <f>IFERROR(INDEX($C$4:$C$500,MATCH(ROW()-3,$Y$4:$Y$500,0)),"")</f>
      </c>
      <c r="AA300" s="133">
        <f>IF(AND(A300="Модуль",C300&lt;&gt;"",OR($S$6="(все)",B300=$S$6)),MAX($AA$3:AA299)+1,"")</f>
      </c>
      <c r="AB300" s="133">
        <f>IFERROR(INDEX($C$4:$C$500,MATCH(ROW()-3,$AA$4:$AA$500,0)),"")</f>
      </c>
      <c r="AC300" s="133">
        <f>IF(OR(B300="",COUNTIF($B$4:B300,B300)&gt;1),"",MAX($AC$3:AC299)+1)</f>
      </c>
      <c r="AD300" s="133">
        <f>IFERROR(INDEX($B$4:$B$500,MATCH(ROW()-3,$AC$4:$AC$500,0)),"")</f>
      </c>
      <c r="AE300" s="133">
        <f>IF(AND(A300&lt;&gt;"",N(P300)&gt;0),IFERROR(MATCH(A300,$R$12:$R$25,0),99)*1000+ROW(),"")</f>
      </c>
      <c r="AF300" s="133">
        <f>IF(AE300="","",COUNTIF($AE$4:$AE$500,"&lt;="&amp;AE300))</f>
      </c>
    </row>
    <row r="301">
      <c r="A301" s="265"/>
      <c r="B301" s="265"/>
      <c r="C301" s="265"/>
      <c r="D301" s="265"/>
      <c r="E301" s="265"/>
      <c r="F301" s="265"/>
      <c r="G301" s="265"/>
      <c r="H301" s="265"/>
      <c r="I301" s="265"/>
      <c r="J301" s="265"/>
      <c r="K301" s="265"/>
      <c r="L301" s="265"/>
      <c r="M301" s="265"/>
      <c r="N301" s="133">
        <f>IF(OR(A301="Автомат",A301="Дифавтомат"),IF(W301="","",COUNTIF(Однолинейка!$H$3:$H$1000,U301)),IF(A301="Аппарат",IF(C301="","",COUNTIF(Однолинейка!$I$3:$I$1000,C301)+COUNTIF(Однолинейка!$J$3:$J$1000,C301)+COUNTIF(Однолинейка!$K$3:$K$1000,C301)),IF(A301="Модуль",IF(C301="","",COUNTIFS(Однолинейка!$AW$3:$AW$1000,"?*",Однолинейка!$AI$3:$AI$1000,C301)),IF(A301="Клемма",IF(C301="","",IF(C301=$S$7,SUM(Однолинейка!$BW$3:$BW$1000),IF(C301=$S$8,SUM(Однолинейка!$BX$3:$BX$1000),""))),""))))</f>
      </c>
      <c r="O301" s="265"/>
      <c r="P301" s="133">
        <f>IF(COUNT(N301,O301)=0,"",SUM(N301,O301))</f>
      </c>
      <c r="U301" s="133">
        <f>IF(OR(A301="Автомат",A301="Дифавтомат"),I301&amp;" С"&amp;J301&amp;"А"&amp;IF(K301="да"," 30мА",""),"")</f>
      </c>
      <c r="V301" s="133">
        <f>IF(U301="","",B301&amp;"|"&amp;U301)</f>
      </c>
      <c r="W301" s="133">
        <f>IF(AND(U301&lt;&gt;"",OR($S$4="(все)",B301=$S$4),IF($S$4="(все)",COUNTIF($U$4:U301,U301),COUNTIFS($U$4:U301,U301,$B$4:B301,B301))=1),MAX($W$3:W300)+1,"")</f>
      </c>
      <c r="X301" s="133">
        <f>IFERROR(INDEX($U$4:$U$500,MATCH(ROW()-3,$W$4:$W$500,0)),"")</f>
      </c>
      <c r="Y301" s="133">
        <f>IF(AND(A301="Аппарат",C301&lt;&gt;"",OR($S$5="(все)",B301=$S$5)),MAX($Y$3:Y300)+1,"")</f>
      </c>
      <c r="Z301" s="133">
        <f>IFERROR(INDEX($C$4:$C$500,MATCH(ROW()-3,$Y$4:$Y$500,0)),"")</f>
      </c>
      <c r="AA301" s="133">
        <f>IF(AND(A301="Модуль",C301&lt;&gt;"",OR($S$6="(все)",B301=$S$6)),MAX($AA$3:AA300)+1,"")</f>
      </c>
      <c r="AB301" s="133">
        <f>IFERROR(INDEX($C$4:$C$500,MATCH(ROW()-3,$AA$4:$AA$500,0)),"")</f>
      </c>
      <c r="AC301" s="133">
        <f>IF(OR(B301="",COUNTIF($B$4:B301,B301)&gt;1),"",MAX($AC$3:AC300)+1)</f>
      </c>
      <c r="AD301" s="133">
        <f>IFERROR(INDEX($B$4:$B$500,MATCH(ROW()-3,$AC$4:$AC$500,0)),"")</f>
      </c>
      <c r="AE301" s="133">
        <f>IF(AND(A301&lt;&gt;"",N(P301)&gt;0),IFERROR(MATCH(A301,$R$12:$R$25,0),99)*1000+ROW(),"")</f>
      </c>
      <c r="AF301" s="133">
        <f>IF(AE301="","",COUNTIF($AE$4:$AE$500,"&lt;="&amp;AE301))</f>
      </c>
    </row>
    <row r="302">
      <c r="A302" s="265"/>
      <c r="B302" s="265"/>
      <c r="C302" s="265"/>
      <c r="D302" s="265"/>
      <c r="E302" s="265"/>
      <c r="F302" s="265"/>
      <c r="G302" s="265"/>
      <c r="H302" s="265"/>
      <c r="I302" s="265"/>
      <c r="J302" s="265"/>
      <c r="K302" s="265"/>
      <c r="L302" s="265"/>
      <c r="M302" s="265"/>
      <c r="N302" s="133">
        <f>IF(OR(A302="Автомат",A302="Дифавтомат"),IF(W302="","",COUNTIF(Однолинейка!$H$3:$H$1000,U302)),IF(A302="Аппарат",IF(C302="","",COUNTIF(Однолинейка!$I$3:$I$1000,C302)+COUNTIF(Однолинейка!$J$3:$J$1000,C302)+COUNTIF(Однолинейка!$K$3:$K$1000,C302)),IF(A302="Модуль",IF(C302="","",COUNTIFS(Однолинейка!$AW$3:$AW$1000,"?*",Однолинейка!$AI$3:$AI$1000,C302)),IF(A302="Клемма",IF(C302="","",IF(C302=$S$7,SUM(Однолинейка!$BW$3:$BW$1000),IF(C302=$S$8,SUM(Однолинейка!$BX$3:$BX$1000),""))),""))))</f>
      </c>
      <c r="O302" s="265"/>
      <c r="P302" s="133">
        <f>IF(COUNT(N302,O302)=0,"",SUM(N302,O302))</f>
      </c>
      <c r="U302" s="133">
        <f>IF(OR(A302="Автомат",A302="Дифавтомат"),I302&amp;" С"&amp;J302&amp;"А"&amp;IF(K302="да"," 30мА",""),"")</f>
      </c>
      <c r="V302" s="133">
        <f>IF(U302="","",B302&amp;"|"&amp;U302)</f>
      </c>
      <c r="W302" s="133">
        <f>IF(AND(U302&lt;&gt;"",OR($S$4="(все)",B302=$S$4),IF($S$4="(все)",COUNTIF($U$4:U302,U302),COUNTIFS($U$4:U302,U302,$B$4:B302,B302))=1),MAX($W$3:W301)+1,"")</f>
      </c>
      <c r="X302" s="133">
        <f>IFERROR(INDEX($U$4:$U$500,MATCH(ROW()-3,$W$4:$W$500,0)),"")</f>
      </c>
      <c r="Y302" s="133">
        <f>IF(AND(A302="Аппарат",C302&lt;&gt;"",OR($S$5="(все)",B302=$S$5)),MAX($Y$3:Y301)+1,"")</f>
      </c>
      <c r="Z302" s="133">
        <f>IFERROR(INDEX($C$4:$C$500,MATCH(ROW()-3,$Y$4:$Y$500,0)),"")</f>
      </c>
      <c r="AA302" s="133">
        <f>IF(AND(A302="Модуль",C302&lt;&gt;"",OR($S$6="(все)",B302=$S$6)),MAX($AA$3:AA301)+1,"")</f>
      </c>
      <c r="AB302" s="133">
        <f>IFERROR(INDEX($C$4:$C$500,MATCH(ROW()-3,$AA$4:$AA$500,0)),"")</f>
      </c>
      <c r="AC302" s="133">
        <f>IF(OR(B302="",COUNTIF($B$4:B302,B302)&gt;1),"",MAX($AC$3:AC301)+1)</f>
      </c>
      <c r="AD302" s="133">
        <f>IFERROR(INDEX($B$4:$B$500,MATCH(ROW()-3,$AC$4:$AC$500,0)),"")</f>
      </c>
      <c r="AE302" s="133">
        <f>IF(AND(A302&lt;&gt;"",N(P302)&gt;0),IFERROR(MATCH(A302,$R$12:$R$25,0),99)*1000+ROW(),"")</f>
      </c>
      <c r="AF302" s="133">
        <f>IF(AE302="","",COUNTIF($AE$4:$AE$500,"&lt;="&amp;AE302))</f>
      </c>
    </row>
    <row r="303">
      <c r="A303" s="265"/>
      <c r="B303" s="265"/>
      <c r="C303" s="265"/>
      <c r="D303" s="265"/>
      <c r="E303" s="265"/>
      <c r="F303" s="265"/>
      <c r="G303" s="265"/>
      <c r="H303" s="265"/>
      <c r="I303" s="265"/>
      <c r="J303" s="265"/>
      <c r="K303" s="265"/>
      <c r="L303" s="265"/>
      <c r="M303" s="265"/>
      <c r="N303" s="133">
        <f>IF(OR(A303="Автомат",A303="Дифавтомат"),IF(W303="","",COUNTIF(Однолинейка!$H$3:$H$1000,U303)),IF(A303="Аппарат",IF(C303="","",COUNTIF(Однолинейка!$I$3:$I$1000,C303)+COUNTIF(Однолинейка!$J$3:$J$1000,C303)+COUNTIF(Однолинейка!$K$3:$K$1000,C303)),IF(A303="Модуль",IF(C303="","",COUNTIFS(Однолинейка!$AW$3:$AW$1000,"?*",Однолинейка!$AI$3:$AI$1000,C303)),IF(A303="Клемма",IF(C303="","",IF(C303=$S$7,SUM(Однолинейка!$BW$3:$BW$1000),IF(C303=$S$8,SUM(Однолинейка!$BX$3:$BX$1000),""))),""))))</f>
      </c>
      <c r="O303" s="265"/>
      <c r="P303" s="133">
        <f>IF(COUNT(N303,O303)=0,"",SUM(N303,O303))</f>
      </c>
      <c r="U303" s="133">
        <f>IF(OR(A303="Автомат",A303="Дифавтомат"),I303&amp;" С"&amp;J303&amp;"А"&amp;IF(K303="да"," 30мА",""),"")</f>
      </c>
      <c r="V303" s="133">
        <f>IF(U303="","",B303&amp;"|"&amp;U303)</f>
      </c>
      <c r="W303" s="133">
        <f>IF(AND(U303&lt;&gt;"",OR($S$4="(все)",B303=$S$4),IF($S$4="(все)",COUNTIF($U$4:U303,U303),COUNTIFS($U$4:U303,U303,$B$4:B303,B303))=1),MAX($W$3:W302)+1,"")</f>
      </c>
      <c r="X303" s="133">
        <f>IFERROR(INDEX($U$4:$U$500,MATCH(ROW()-3,$W$4:$W$500,0)),"")</f>
      </c>
      <c r="Y303" s="133">
        <f>IF(AND(A303="Аппарат",C303&lt;&gt;"",OR($S$5="(все)",B303=$S$5)),MAX($Y$3:Y302)+1,"")</f>
      </c>
      <c r="Z303" s="133">
        <f>IFERROR(INDEX($C$4:$C$500,MATCH(ROW()-3,$Y$4:$Y$500,0)),"")</f>
      </c>
      <c r="AA303" s="133">
        <f>IF(AND(A303="Модуль",C303&lt;&gt;"",OR($S$6="(все)",B303=$S$6)),MAX($AA$3:AA302)+1,"")</f>
      </c>
      <c r="AB303" s="133">
        <f>IFERROR(INDEX($C$4:$C$500,MATCH(ROW()-3,$AA$4:$AA$500,0)),"")</f>
      </c>
      <c r="AC303" s="133">
        <f>IF(OR(B303="",COUNTIF($B$4:B303,B303)&gt;1),"",MAX($AC$3:AC302)+1)</f>
      </c>
      <c r="AD303" s="133">
        <f>IFERROR(INDEX($B$4:$B$500,MATCH(ROW()-3,$AC$4:$AC$500,0)),"")</f>
      </c>
      <c r="AE303" s="133">
        <f>IF(AND(A303&lt;&gt;"",N(P303)&gt;0),IFERROR(MATCH(A303,$R$12:$R$25,0),99)*1000+ROW(),"")</f>
      </c>
      <c r="AF303" s="133">
        <f>IF(AE303="","",COUNTIF($AE$4:$AE$500,"&lt;="&amp;AE303))</f>
      </c>
    </row>
    <row r="304">
      <c r="A304" s="265"/>
      <c r="B304" s="265"/>
      <c r="C304" s="265"/>
      <c r="D304" s="265"/>
      <c r="E304" s="265"/>
      <c r="F304" s="265"/>
      <c r="G304" s="265"/>
      <c r="H304" s="265"/>
      <c r="I304" s="265"/>
      <c r="J304" s="265"/>
      <c r="K304" s="265"/>
      <c r="L304" s="265"/>
      <c r="M304" s="265"/>
      <c r="N304" s="133">
        <f>IF(OR(A304="Автомат",A304="Дифавтомат"),IF(W304="","",COUNTIF(Однолинейка!$H$3:$H$1000,U304)),IF(A304="Аппарат",IF(C304="","",COUNTIF(Однолинейка!$I$3:$I$1000,C304)+COUNTIF(Однолинейка!$J$3:$J$1000,C304)+COUNTIF(Однолинейка!$K$3:$K$1000,C304)),IF(A304="Модуль",IF(C304="","",COUNTIFS(Однолинейка!$AW$3:$AW$1000,"?*",Однолинейка!$AI$3:$AI$1000,C304)),IF(A304="Клемма",IF(C304="","",IF(C304=$S$7,SUM(Однолинейка!$BW$3:$BW$1000),IF(C304=$S$8,SUM(Однолинейка!$BX$3:$BX$1000),""))),""))))</f>
      </c>
      <c r="O304" s="265"/>
      <c r="P304" s="133">
        <f>IF(COUNT(N304,O304)=0,"",SUM(N304,O304))</f>
      </c>
      <c r="U304" s="133">
        <f>IF(OR(A304="Автомат",A304="Дифавтомат"),I304&amp;" С"&amp;J304&amp;"А"&amp;IF(K304="да"," 30мА",""),"")</f>
      </c>
      <c r="V304" s="133">
        <f>IF(U304="","",B304&amp;"|"&amp;U304)</f>
      </c>
      <c r="W304" s="133">
        <f>IF(AND(U304&lt;&gt;"",OR($S$4="(все)",B304=$S$4),IF($S$4="(все)",COUNTIF($U$4:U304,U304),COUNTIFS($U$4:U304,U304,$B$4:B304,B304))=1),MAX($W$3:W303)+1,"")</f>
      </c>
      <c r="X304" s="133">
        <f>IFERROR(INDEX($U$4:$U$500,MATCH(ROW()-3,$W$4:$W$500,0)),"")</f>
      </c>
      <c r="Y304" s="133">
        <f>IF(AND(A304="Аппарат",C304&lt;&gt;"",OR($S$5="(все)",B304=$S$5)),MAX($Y$3:Y303)+1,"")</f>
      </c>
      <c r="Z304" s="133">
        <f>IFERROR(INDEX($C$4:$C$500,MATCH(ROW()-3,$Y$4:$Y$500,0)),"")</f>
      </c>
      <c r="AA304" s="133">
        <f>IF(AND(A304="Модуль",C304&lt;&gt;"",OR($S$6="(все)",B304=$S$6)),MAX($AA$3:AA303)+1,"")</f>
      </c>
      <c r="AB304" s="133">
        <f>IFERROR(INDEX($C$4:$C$500,MATCH(ROW()-3,$AA$4:$AA$500,0)),"")</f>
      </c>
      <c r="AC304" s="133">
        <f>IF(OR(B304="",COUNTIF($B$4:B304,B304)&gt;1),"",MAX($AC$3:AC303)+1)</f>
      </c>
      <c r="AD304" s="133">
        <f>IFERROR(INDEX($B$4:$B$500,MATCH(ROW()-3,$AC$4:$AC$500,0)),"")</f>
      </c>
      <c r="AE304" s="133">
        <f>IF(AND(A304&lt;&gt;"",N(P304)&gt;0),IFERROR(MATCH(A304,$R$12:$R$25,0),99)*1000+ROW(),"")</f>
      </c>
      <c r="AF304" s="133">
        <f>IF(AE304="","",COUNTIF($AE$4:$AE$500,"&lt;="&amp;AE304))</f>
      </c>
    </row>
    <row r="305">
      <c r="A305" s="265"/>
      <c r="B305" s="265"/>
      <c r="C305" s="265"/>
      <c r="D305" s="265"/>
      <c r="E305" s="265"/>
      <c r="F305" s="265"/>
      <c r="G305" s="265"/>
      <c r="H305" s="265"/>
      <c r="I305" s="265"/>
      <c r="J305" s="265"/>
      <c r="K305" s="265"/>
      <c r="L305" s="265"/>
      <c r="M305" s="265"/>
      <c r="N305" s="133">
        <f>IF(OR(A305="Автомат",A305="Дифавтомат"),IF(W305="","",COUNTIF(Однолинейка!$H$3:$H$1000,U305)),IF(A305="Аппарат",IF(C305="","",COUNTIF(Однолинейка!$I$3:$I$1000,C305)+COUNTIF(Однолинейка!$J$3:$J$1000,C305)+COUNTIF(Однолинейка!$K$3:$K$1000,C305)),IF(A305="Модуль",IF(C305="","",COUNTIFS(Однолинейка!$AW$3:$AW$1000,"?*",Однолинейка!$AI$3:$AI$1000,C305)),IF(A305="Клемма",IF(C305="","",IF(C305=$S$7,SUM(Однолинейка!$BW$3:$BW$1000),IF(C305=$S$8,SUM(Однолинейка!$BX$3:$BX$1000),""))),""))))</f>
      </c>
      <c r="O305" s="265"/>
      <c r="P305" s="133">
        <f>IF(COUNT(N305,O305)=0,"",SUM(N305,O305))</f>
      </c>
      <c r="U305" s="133">
        <f>IF(OR(A305="Автомат",A305="Дифавтомат"),I305&amp;" С"&amp;J305&amp;"А"&amp;IF(K305="да"," 30мА",""),"")</f>
      </c>
      <c r="V305" s="133">
        <f>IF(U305="","",B305&amp;"|"&amp;U305)</f>
      </c>
      <c r="W305" s="133">
        <f>IF(AND(U305&lt;&gt;"",OR($S$4="(все)",B305=$S$4),IF($S$4="(все)",COUNTIF($U$4:U305,U305),COUNTIFS($U$4:U305,U305,$B$4:B305,B305))=1),MAX($W$3:W304)+1,"")</f>
      </c>
      <c r="X305" s="133">
        <f>IFERROR(INDEX($U$4:$U$500,MATCH(ROW()-3,$W$4:$W$500,0)),"")</f>
      </c>
      <c r="Y305" s="133">
        <f>IF(AND(A305="Аппарат",C305&lt;&gt;"",OR($S$5="(все)",B305=$S$5)),MAX($Y$3:Y304)+1,"")</f>
      </c>
      <c r="Z305" s="133">
        <f>IFERROR(INDEX($C$4:$C$500,MATCH(ROW()-3,$Y$4:$Y$500,0)),"")</f>
      </c>
      <c r="AA305" s="133">
        <f>IF(AND(A305="Модуль",C305&lt;&gt;"",OR($S$6="(все)",B305=$S$6)),MAX($AA$3:AA304)+1,"")</f>
      </c>
      <c r="AB305" s="133">
        <f>IFERROR(INDEX($C$4:$C$500,MATCH(ROW()-3,$AA$4:$AA$500,0)),"")</f>
      </c>
      <c r="AC305" s="133">
        <f>IF(OR(B305="",COUNTIF($B$4:B305,B305)&gt;1),"",MAX($AC$3:AC304)+1)</f>
      </c>
      <c r="AD305" s="133">
        <f>IFERROR(INDEX($B$4:$B$500,MATCH(ROW()-3,$AC$4:$AC$500,0)),"")</f>
      </c>
      <c r="AE305" s="133">
        <f>IF(AND(A305&lt;&gt;"",N(P305)&gt;0),IFERROR(MATCH(A305,$R$12:$R$25,0),99)*1000+ROW(),"")</f>
      </c>
      <c r="AF305" s="133">
        <f>IF(AE305="","",COUNTIF($AE$4:$AE$500,"&lt;="&amp;AE305))</f>
      </c>
    </row>
    <row r="306">
      <c r="A306" s="265"/>
      <c r="B306" s="265"/>
      <c r="C306" s="265"/>
      <c r="D306" s="265"/>
      <c r="E306" s="265"/>
      <c r="F306" s="265"/>
      <c r="G306" s="265"/>
      <c r="H306" s="265"/>
      <c r="I306" s="265"/>
      <c r="J306" s="265"/>
      <c r="K306" s="265"/>
      <c r="L306" s="265"/>
      <c r="M306" s="265"/>
      <c r="N306" s="133">
        <f>IF(OR(A306="Автомат",A306="Дифавтомат"),IF(W306="","",COUNTIF(Однолинейка!$H$3:$H$1000,U306)),IF(A306="Аппарат",IF(C306="","",COUNTIF(Однолинейка!$I$3:$I$1000,C306)+COUNTIF(Однолинейка!$J$3:$J$1000,C306)+COUNTIF(Однолинейка!$K$3:$K$1000,C306)),IF(A306="Модуль",IF(C306="","",COUNTIFS(Однолинейка!$AW$3:$AW$1000,"?*",Однолинейка!$AI$3:$AI$1000,C306)),IF(A306="Клемма",IF(C306="","",IF(C306=$S$7,SUM(Однолинейка!$BW$3:$BW$1000),IF(C306=$S$8,SUM(Однолинейка!$BX$3:$BX$1000),""))),""))))</f>
      </c>
      <c r="O306" s="265"/>
      <c r="P306" s="133">
        <f>IF(COUNT(N306,O306)=0,"",SUM(N306,O306))</f>
      </c>
      <c r="U306" s="133">
        <f>IF(OR(A306="Автомат",A306="Дифавтомат"),I306&amp;" С"&amp;J306&amp;"А"&amp;IF(K306="да"," 30мА",""),"")</f>
      </c>
      <c r="V306" s="133">
        <f>IF(U306="","",B306&amp;"|"&amp;U306)</f>
      </c>
      <c r="W306" s="133">
        <f>IF(AND(U306&lt;&gt;"",OR($S$4="(все)",B306=$S$4),IF($S$4="(все)",COUNTIF($U$4:U306,U306),COUNTIFS($U$4:U306,U306,$B$4:B306,B306))=1),MAX($W$3:W305)+1,"")</f>
      </c>
      <c r="X306" s="133">
        <f>IFERROR(INDEX($U$4:$U$500,MATCH(ROW()-3,$W$4:$W$500,0)),"")</f>
      </c>
      <c r="Y306" s="133">
        <f>IF(AND(A306="Аппарат",C306&lt;&gt;"",OR($S$5="(все)",B306=$S$5)),MAX($Y$3:Y305)+1,"")</f>
      </c>
      <c r="Z306" s="133">
        <f>IFERROR(INDEX($C$4:$C$500,MATCH(ROW()-3,$Y$4:$Y$500,0)),"")</f>
      </c>
      <c r="AA306" s="133">
        <f>IF(AND(A306="Модуль",C306&lt;&gt;"",OR($S$6="(все)",B306=$S$6)),MAX($AA$3:AA305)+1,"")</f>
      </c>
      <c r="AB306" s="133">
        <f>IFERROR(INDEX($C$4:$C$500,MATCH(ROW()-3,$AA$4:$AA$500,0)),"")</f>
      </c>
      <c r="AC306" s="133">
        <f>IF(OR(B306="",COUNTIF($B$4:B306,B306)&gt;1),"",MAX($AC$3:AC305)+1)</f>
      </c>
      <c r="AD306" s="133">
        <f>IFERROR(INDEX($B$4:$B$500,MATCH(ROW()-3,$AC$4:$AC$500,0)),"")</f>
      </c>
      <c r="AE306" s="133">
        <f>IF(AND(A306&lt;&gt;"",N(P306)&gt;0),IFERROR(MATCH(A306,$R$12:$R$25,0),99)*1000+ROW(),"")</f>
      </c>
      <c r="AF306" s="133">
        <f>IF(AE306="","",COUNTIF($AE$4:$AE$500,"&lt;="&amp;AE306))</f>
      </c>
    </row>
    <row r="307">
      <c r="A307" s="265"/>
      <c r="B307" s="265"/>
      <c r="C307" s="265"/>
      <c r="D307" s="265"/>
      <c r="E307" s="265"/>
      <c r="F307" s="265"/>
      <c r="G307" s="265"/>
      <c r="H307" s="265"/>
      <c r="I307" s="265"/>
      <c r="J307" s="265"/>
      <c r="K307" s="265"/>
      <c r="L307" s="265"/>
      <c r="M307" s="265"/>
      <c r="N307" s="133">
        <f>IF(OR(A307="Автомат",A307="Дифавтомат"),IF(W307="","",COUNTIF(Однолинейка!$H$3:$H$1000,U307)),IF(A307="Аппарат",IF(C307="","",COUNTIF(Однолинейка!$I$3:$I$1000,C307)+COUNTIF(Однолинейка!$J$3:$J$1000,C307)+COUNTIF(Однолинейка!$K$3:$K$1000,C307)),IF(A307="Модуль",IF(C307="","",COUNTIFS(Однолинейка!$AW$3:$AW$1000,"?*",Однолинейка!$AI$3:$AI$1000,C307)),IF(A307="Клемма",IF(C307="","",IF(C307=$S$7,SUM(Однолинейка!$BW$3:$BW$1000),IF(C307=$S$8,SUM(Однолинейка!$BX$3:$BX$1000),""))),""))))</f>
      </c>
      <c r="O307" s="265"/>
      <c r="P307" s="133">
        <f>IF(COUNT(N307,O307)=0,"",SUM(N307,O307))</f>
      </c>
      <c r="U307" s="133">
        <f>IF(OR(A307="Автомат",A307="Дифавтомат"),I307&amp;" С"&amp;J307&amp;"А"&amp;IF(K307="да"," 30мА",""),"")</f>
      </c>
      <c r="V307" s="133">
        <f>IF(U307="","",B307&amp;"|"&amp;U307)</f>
      </c>
      <c r="W307" s="133">
        <f>IF(AND(U307&lt;&gt;"",OR($S$4="(все)",B307=$S$4),IF($S$4="(все)",COUNTIF($U$4:U307,U307),COUNTIFS($U$4:U307,U307,$B$4:B307,B307))=1),MAX($W$3:W306)+1,"")</f>
      </c>
      <c r="X307" s="133">
        <f>IFERROR(INDEX($U$4:$U$500,MATCH(ROW()-3,$W$4:$W$500,0)),"")</f>
      </c>
      <c r="Y307" s="133">
        <f>IF(AND(A307="Аппарат",C307&lt;&gt;"",OR($S$5="(все)",B307=$S$5)),MAX($Y$3:Y306)+1,"")</f>
      </c>
      <c r="Z307" s="133">
        <f>IFERROR(INDEX($C$4:$C$500,MATCH(ROW()-3,$Y$4:$Y$500,0)),"")</f>
      </c>
      <c r="AA307" s="133">
        <f>IF(AND(A307="Модуль",C307&lt;&gt;"",OR($S$6="(все)",B307=$S$6)),MAX($AA$3:AA306)+1,"")</f>
      </c>
      <c r="AB307" s="133">
        <f>IFERROR(INDEX($C$4:$C$500,MATCH(ROW()-3,$AA$4:$AA$500,0)),"")</f>
      </c>
      <c r="AC307" s="133">
        <f>IF(OR(B307="",COUNTIF($B$4:B307,B307)&gt;1),"",MAX($AC$3:AC306)+1)</f>
      </c>
      <c r="AD307" s="133">
        <f>IFERROR(INDEX($B$4:$B$500,MATCH(ROW()-3,$AC$4:$AC$500,0)),"")</f>
      </c>
      <c r="AE307" s="133">
        <f>IF(AND(A307&lt;&gt;"",N(P307)&gt;0),IFERROR(MATCH(A307,$R$12:$R$25,0),99)*1000+ROW(),"")</f>
      </c>
      <c r="AF307" s="133">
        <f>IF(AE307="","",COUNTIF($AE$4:$AE$500,"&lt;="&amp;AE307))</f>
      </c>
    </row>
    <row r="308">
      <c r="A308" s="265"/>
      <c r="B308" s="265"/>
      <c r="C308" s="265"/>
      <c r="D308" s="265"/>
      <c r="E308" s="265"/>
      <c r="F308" s="265"/>
      <c r="G308" s="265"/>
      <c r="H308" s="265"/>
      <c r="I308" s="265"/>
      <c r="J308" s="265"/>
      <c r="K308" s="265"/>
      <c r="L308" s="265"/>
      <c r="M308" s="265"/>
      <c r="N308" s="133">
        <f>IF(OR(A308="Автомат",A308="Дифавтомат"),IF(W308="","",COUNTIF(Однолинейка!$H$3:$H$1000,U308)),IF(A308="Аппарат",IF(C308="","",COUNTIF(Однолинейка!$I$3:$I$1000,C308)+COUNTIF(Однолинейка!$J$3:$J$1000,C308)+COUNTIF(Однолинейка!$K$3:$K$1000,C308)),IF(A308="Модуль",IF(C308="","",COUNTIFS(Однолинейка!$AW$3:$AW$1000,"?*",Однолинейка!$AI$3:$AI$1000,C308)),IF(A308="Клемма",IF(C308="","",IF(C308=$S$7,SUM(Однолинейка!$BW$3:$BW$1000),IF(C308=$S$8,SUM(Однолинейка!$BX$3:$BX$1000),""))),""))))</f>
      </c>
      <c r="O308" s="265"/>
      <c r="P308" s="133">
        <f>IF(COUNT(N308,O308)=0,"",SUM(N308,O308))</f>
      </c>
      <c r="U308" s="133">
        <f>IF(OR(A308="Автомат",A308="Дифавтомат"),I308&amp;" С"&amp;J308&amp;"А"&amp;IF(K308="да"," 30мА",""),"")</f>
      </c>
      <c r="V308" s="133">
        <f>IF(U308="","",B308&amp;"|"&amp;U308)</f>
      </c>
      <c r="W308" s="133">
        <f>IF(AND(U308&lt;&gt;"",OR($S$4="(все)",B308=$S$4),IF($S$4="(все)",COUNTIF($U$4:U308,U308),COUNTIFS($U$4:U308,U308,$B$4:B308,B308))=1),MAX($W$3:W307)+1,"")</f>
      </c>
      <c r="X308" s="133">
        <f>IFERROR(INDEX($U$4:$U$500,MATCH(ROW()-3,$W$4:$W$500,0)),"")</f>
      </c>
      <c r="Y308" s="133">
        <f>IF(AND(A308="Аппарат",C308&lt;&gt;"",OR($S$5="(все)",B308=$S$5)),MAX($Y$3:Y307)+1,"")</f>
      </c>
      <c r="Z308" s="133">
        <f>IFERROR(INDEX($C$4:$C$500,MATCH(ROW()-3,$Y$4:$Y$500,0)),"")</f>
      </c>
      <c r="AA308" s="133">
        <f>IF(AND(A308="Модуль",C308&lt;&gt;"",OR($S$6="(все)",B308=$S$6)),MAX($AA$3:AA307)+1,"")</f>
      </c>
      <c r="AB308" s="133">
        <f>IFERROR(INDEX($C$4:$C$500,MATCH(ROW()-3,$AA$4:$AA$500,0)),"")</f>
      </c>
      <c r="AC308" s="133">
        <f>IF(OR(B308="",COUNTIF($B$4:B308,B308)&gt;1),"",MAX($AC$3:AC307)+1)</f>
      </c>
      <c r="AD308" s="133">
        <f>IFERROR(INDEX($B$4:$B$500,MATCH(ROW()-3,$AC$4:$AC$500,0)),"")</f>
      </c>
      <c r="AE308" s="133">
        <f>IF(AND(A308&lt;&gt;"",N(P308)&gt;0),IFERROR(MATCH(A308,$R$12:$R$25,0),99)*1000+ROW(),"")</f>
      </c>
      <c r="AF308" s="133">
        <f>IF(AE308="","",COUNTIF($AE$4:$AE$500,"&lt;="&amp;AE308))</f>
      </c>
    </row>
    <row r="309">
      <c r="A309" s="265"/>
      <c r="B309" s="265"/>
      <c r="C309" s="265"/>
      <c r="D309" s="265"/>
      <c r="E309" s="265"/>
      <c r="F309" s="265"/>
      <c r="G309" s="265"/>
      <c r="H309" s="265"/>
      <c r="I309" s="265"/>
      <c r="J309" s="265"/>
      <c r="K309" s="265"/>
      <c r="L309" s="265"/>
      <c r="M309" s="265"/>
      <c r="N309" s="133">
        <f>IF(OR(A309="Автомат",A309="Дифавтомат"),IF(W309="","",COUNTIF(Однолинейка!$H$3:$H$1000,U309)),IF(A309="Аппарат",IF(C309="","",COUNTIF(Однолинейка!$I$3:$I$1000,C309)+COUNTIF(Однолинейка!$J$3:$J$1000,C309)+COUNTIF(Однолинейка!$K$3:$K$1000,C309)),IF(A309="Модуль",IF(C309="","",COUNTIFS(Однолинейка!$AW$3:$AW$1000,"?*",Однолинейка!$AI$3:$AI$1000,C309)),IF(A309="Клемма",IF(C309="","",IF(C309=$S$7,SUM(Однолинейка!$BW$3:$BW$1000),IF(C309=$S$8,SUM(Однолинейка!$BX$3:$BX$1000),""))),""))))</f>
      </c>
      <c r="O309" s="265"/>
      <c r="P309" s="133">
        <f>IF(COUNT(N309,O309)=0,"",SUM(N309,O309))</f>
      </c>
      <c r="U309" s="133">
        <f>IF(OR(A309="Автомат",A309="Дифавтомат"),I309&amp;" С"&amp;J309&amp;"А"&amp;IF(K309="да"," 30мА",""),"")</f>
      </c>
      <c r="V309" s="133">
        <f>IF(U309="","",B309&amp;"|"&amp;U309)</f>
      </c>
      <c r="W309" s="133">
        <f>IF(AND(U309&lt;&gt;"",OR($S$4="(все)",B309=$S$4),IF($S$4="(все)",COUNTIF($U$4:U309,U309),COUNTIFS($U$4:U309,U309,$B$4:B309,B309))=1),MAX($W$3:W308)+1,"")</f>
      </c>
      <c r="X309" s="133">
        <f>IFERROR(INDEX($U$4:$U$500,MATCH(ROW()-3,$W$4:$W$500,0)),"")</f>
      </c>
      <c r="Y309" s="133">
        <f>IF(AND(A309="Аппарат",C309&lt;&gt;"",OR($S$5="(все)",B309=$S$5)),MAX($Y$3:Y308)+1,"")</f>
      </c>
      <c r="Z309" s="133">
        <f>IFERROR(INDEX($C$4:$C$500,MATCH(ROW()-3,$Y$4:$Y$500,0)),"")</f>
      </c>
      <c r="AA309" s="133">
        <f>IF(AND(A309="Модуль",C309&lt;&gt;"",OR($S$6="(все)",B309=$S$6)),MAX($AA$3:AA308)+1,"")</f>
      </c>
      <c r="AB309" s="133">
        <f>IFERROR(INDEX($C$4:$C$500,MATCH(ROW()-3,$AA$4:$AA$500,0)),"")</f>
      </c>
      <c r="AC309" s="133">
        <f>IF(OR(B309="",COUNTIF($B$4:B309,B309)&gt;1),"",MAX($AC$3:AC308)+1)</f>
      </c>
      <c r="AD309" s="133">
        <f>IFERROR(INDEX($B$4:$B$500,MATCH(ROW()-3,$AC$4:$AC$500,0)),"")</f>
      </c>
      <c r="AE309" s="133">
        <f>IF(AND(A309&lt;&gt;"",N(P309)&gt;0),IFERROR(MATCH(A309,$R$12:$R$25,0),99)*1000+ROW(),"")</f>
      </c>
      <c r="AF309" s="133">
        <f>IF(AE309="","",COUNTIF($AE$4:$AE$500,"&lt;="&amp;AE309))</f>
      </c>
    </row>
    <row r="310">
      <c r="A310" s="265"/>
      <c r="B310" s="265"/>
      <c r="C310" s="265"/>
      <c r="D310" s="265"/>
      <c r="E310" s="265"/>
      <c r="F310" s="265"/>
      <c r="G310" s="265"/>
      <c r="H310" s="265"/>
      <c r="I310" s="265"/>
      <c r="J310" s="265"/>
      <c r="K310" s="265"/>
      <c r="L310" s="265"/>
      <c r="M310" s="265"/>
      <c r="N310" s="133">
        <f>IF(OR(A310="Автомат",A310="Дифавтомат"),IF(W310="","",COUNTIF(Однолинейка!$H$3:$H$1000,U310)),IF(A310="Аппарат",IF(C310="","",COUNTIF(Однолинейка!$I$3:$I$1000,C310)+COUNTIF(Однолинейка!$J$3:$J$1000,C310)+COUNTIF(Однолинейка!$K$3:$K$1000,C310)),IF(A310="Модуль",IF(C310="","",COUNTIFS(Однолинейка!$AW$3:$AW$1000,"?*",Однолинейка!$AI$3:$AI$1000,C310)),IF(A310="Клемма",IF(C310="","",IF(C310=$S$7,SUM(Однолинейка!$BW$3:$BW$1000),IF(C310=$S$8,SUM(Однолинейка!$BX$3:$BX$1000),""))),""))))</f>
      </c>
      <c r="O310" s="265"/>
      <c r="P310" s="133">
        <f>IF(COUNT(N310,O310)=0,"",SUM(N310,O310))</f>
      </c>
      <c r="U310" s="133">
        <f>IF(OR(A310="Автомат",A310="Дифавтомат"),I310&amp;" С"&amp;J310&amp;"А"&amp;IF(K310="да"," 30мА",""),"")</f>
      </c>
      <c r="V310" s="133">
        <f>IF(U310="","",B310&amp;"|"&amp;U310)</f>
      </c>
      <c r="W310" s="133">
        <f>IF(AND(U310&lt;&gt;"",OR($S$4="(все)",B310=$S$4),IF($S$4="(все)",COUNTIF($U$4:U310,U310),COUNTIFS($U$4:U310,U310,$B$4:B310,B310))=1),MAX($W$3:W309)+1,"")</f>
      </c>
      <c r="X310" s="133">
        <f>IFERROR(INDEX($U$4:$U$500,MATCH(ROW()-3,$W$4:$W$500,0)),"")</f>
      </c>
      <c r="Y310" s="133">
        <f>IF(AND(A310="Аппарат",C310&lt;&gt;"",OR($S$5="(все)",B310=$S$5)),MAX($Y$3:Y309)+1,"")</f>
      </c>
      <c r="Z310" s="133">
        <f>IFERROR(INDEX($C$4:$C$500,MATCH(ROW()-3,$Y$4:$Y$500,0)),"")</f>
      </c>
      <c r="AA310" s="133">
        <f>IF(AND(A310="Модуль",C310&lt;&gt;"",OR($S$6="(все)",B310=$S$6)),MAX($AA$3:AA309)+1,"")</f>
      </c>
      <c r="AB310" s="133">
        <f>IFERROR(INDEX($C$4:$C$500,MATCH(ROW()-3,$AA$4:$AA$500,0)),"")</f>
      </c>
      <c r="AC310" s="133">
        <f>IF(OR(B310="",COUNTIF($B$4:B310,B310)&gt;1),"",MAX($AC$3:AC309)+1)</f>
      </c>
      <c r="AD310" s="133">
        <f>IFERROR(INDEX($B$4:$B$500,MATCH(ROW()-3,$AC$4:$AC$500,0)),"")</f>
      </c>
      <c r="AE310" s="133">
        <f>IF(AND(A310&lt;&gt;"",N(P310)&gt;0),IFERROR(MATCH(A310,$R$12:$R$25,0),99)*1000+ROW(),"")</f>
      </c>
      <c r="AF310" s="133">
        <f>IF(AE310="","",COUNTIF($AE$4:$AE$500,"&lt;="&amp;AE310))</f>
      </c>
    </row>
    <row r="311">
      <c r="A311" s="265"/>
      <c r="B311" s="265"/>
      <c r="C311" s="265"/>
      <c r="D311" s="265"/>
      <c r="E311" s="265"/>
      <c r="F311" s="265"/>
      <c r="G311" s="265"/>
      <c r="H311" s="265"/>
      <c r="I311" s="265"/>
      <c r="J311" s="265"/>
      <c r="K311" s="265"/>
      <c r="L311" s="265"/>
      <c r="M311" s="265"/>
      <c r="N311" s="133">
        <f>IF(OR(A311="Автомат",A311="Дифавтомат"),IF(W311="","",COUNTIF(Однолинейка!$H$3:$H$1000,U311)),IF(A311="Аппарат",IF(C311="","",COUNTIF(Однолинейка!$I$3:$I$1000,C311)+COUNTIF(Однолинейка!$J$3:$J$1000,C311)+COUNTIF(Однолинейка!$K$3:$K$1000,C311)),IF(A311="Модуль",IF(C311="","",COUNTIFS(Однолинейка!$AW$3:$AW$1000,"?*",Однолинейка!$AI$3:$AI$1000,C311)),IF(A311="Клемма",IF(C311="","",IF(C311=$S$7,SUM(Однолинейка!$BW$3:$BW$1000),IF(C311=$S$8,SUM(Однолинейка!$BX$3:$BX$1000),""))),""))))</f>
      </c>
      <c r="O311" s="265"/>
      <c r="P311" s="133">
        <f>IF(COUNT(N311,O311)=0,"",SUM(N311,O311))</f>
      </c>
      <c r="U311" s="133">
        <f>IF(OR(A311="Автомат",A311="Дифавтомат"),I311&amp;" С"&amp;J311&amp;"А"&amp;IF(K311="да"," 30мА",""),"")</f>
      </c>
      <c r="V311" s="133">
        <f>IF(U311="","",B311&amp;"|"&amp;U311)</f>
      </c>
      <c r="W311" s="133">
        <f>IF(AND(U311&lt;&gt;"",OR($S$4="(все)",B311=$S$4),IF($S$4="(все)",COUNTIF($U$4:U311,U311),COUNTIFS($U$4:U311,U311,$B$4:B311,B311))=1),MAX($W$3:W310)+1,"")</f>
      </c>
      <c r="X311" s="133">
        <f>IFERROR(INDEX($U$4:$U$500,MATCH(ROW()-3,$W$4:$W$500,0)),"")</f>
      </c>
      <c r="Y311" s="133">
        <f>IF(AND(A311="Аппарат",C311&lt;&gt;"",OR($S$5="(все)",B311=$S$5)),MAX($Y$3:Y310)+1,"")</f>
      </c>
      <c r="Z311" s="133">
        <f>IFERROR(INDEX($C$4:$C$500,MATCH(ROW()-3,$Y$4:$Y$500,0)),"")</f>
      </c>
      <c r="AA311" s="133">
        <f>IF(AND(A311="Модуль",C311&lt;&gt;"",OR($S$6="(все)",B311=$S$6)),MAX($AA$3:AA310)+1,"")</f>
      </c>
      <c r="AB311" s="133">
        <f>IFERROR(INDEX($C$4:$C$500,MATCH(ROW()-3,$AA$4:$AA$500,0)),"")</f>
      </c>
      <c r="AC311" s="133">
        <f>IF(OR(B311="",COUNTIF($B$4:B311,B311)&gt;1),"",MAX($AC$3:AC310)+1)</f>
      </c>
      <c r="AD311" s="133">
        <f>IFERROR(INDEX($B$4:$B$500,MATCH(ROW()-3,$AC$4:$AC$500,0)),"")</f>
      </c>
      <c r="AE311" s="133">
        <f>IF(AND(A311&lt;&gt;"",N(P311)&gt;0),IFERROR(MATCH(A311,$R$12:$R$25,0),99)*1000+ROW(),"")</f>
      </c>
      <c r="AF311" s="133">
        <f>IF(AE311="","",COUNTIF($AE$4:$AE$500,"&lt;="&amp;AE311))</f>
      </c>
    </row>
    <row r="312">
      <c r="A312" s="265"/>
      <c r="B312" s="265"/>
      <c r="C312" s="265"/>
      <c r="D312" s="265"/>
      <c r="E312" s="265"/>
      <c r="F312" s="265"/>
      <c r="G312" s="265"/>
      <c r="H312" s="265"/>
      <c r="I312" s="265"/>
      <c r="J312" s="265"/>
      <c r="K312" s="265"/>
      <c r="L312" s="265"/>
      <c r="M312" s="265"/>
      <c r="N312" s="133">
        <f>IF(OR(A312="Автомат",A312="Дифавтомат"),IF(W312="","",COUNTIF(Однолинейка!$H$3:$H$1000,U312)),IF(A312="Аппарат",IF(C312="","",COUNTIF(Однолинейка!$I$3:$I$1000,C312)+COUNTIF(Однолинейка!$J$3:$J$1000,C312)+COUNTIF(Однолинейка!$K$3:$K$1000,C312)),IF(A312="Модуль",IF(C312="","",COUNTIFS(Однолинейка!$AW$3:$AW$1000,"?*",Однолинейка!$AI$3:$AI$1000,C312)),IF(A312="Клемма",IF(C312="","",IF(C312=$S$7,SUM(Однолинейка!$BW$3:$BW$1000),IF(C312=$S$8,SUM(Однолинейка!$BX$3:$BX$1000),""))),""))))</f>
      </c>
      <c r="O312" s="265"/>
      <c r="P312" s="133">
        <f>IF(COUNT(N312,O312)=0,"",SUM(N312,O312))</f>
      </c>
      <c r="U312" s="133">
        <f>IF(OR(A312="Автомат",A312="Дифавтомат"),I312&amp;" С"&amp;J312&amp;"А"&amp;IF(K312="да"," 30мА",""),"")</f>
      </c>
      <c r="V312" s="133">
        <f>IF(U312="","",B312&amp;"|"&amp;U312)</f>
      </c>
      <c r="W312" s="133">
        <f>IF(AND(U312&lt;&gt;"",OR($S$4="(все)",B312=$S$4),IF($S$4="(все)",COUNTIF($U$4:U312,U312),COUNTIFS($U$4:U312,U312,$B$4:B312,B312))=1),MAX($W$3:W311)+1,"")</f>
      </c>
      <c r="X312" s="133">
        <f>IFERROR(INDEX($U$4:$U$500,MATCH(ROW()-3,$W$4:$W$500,0)),"")</f>
      </c>
      <c r="Y312" s="133">
        <f>IF(AND(A312="Аппарат",C312&lt;&gt;"",OR($S$5="(все)",B312=$S$5)),MAX($Y$3:Y311)+1,"")</f>
      </c>
      <c r="Z312" s="133">
        <f>IFERROR(INDEX($C$4:$C$500,MATCH(ROW()-3,$Y$4:$Y$500,0)),"")</f>
      </c>
      <c r="AA312" s="133">
        <f>IF(AND(A312="Модуль",C312&lt;&gt;"",OR($S$6="(все)",B312=$S$6)),MAX($AA$3:AA311)+1,"")</f>
      </c>
      <c r="AB312" s="133">
        <f>IFERROR(INDEX($C$4:$C$500,MATCH(ROW()-3,$AA$4:$AA$500,0)),"")</f>
      </c>
      <c r="AC312" s="133">
        <f>IF(OR(B312="",COUNTIF($B$4:B312,B312)&gt;1),"",MAX($AC$3:AC311)+1)</f>
      </c>
      <c r="AD312" s="133">
        <f>IFERROR(INDEX($B$4:$B$500,MATCH(ROW()-3,$AC$4:$AC$500,0)),"")</f>
      </c>
      <c r="AE312" s="133">
        <f>IF(AND(A312&lt;&gt;"",N(P312)&gt;0),IFERROR(MATCH(A312,$R$12:$R$25,0),99)*1000+ROW(),"")</f>
      </c>
      <c r="AF312" s="133">
        <f>IF(AE312="","",COUNTIF($AE$4:$AE$500,"&lt;="&amp;AE312))</f>
      </c>
    </row>
    <row r="313">
      <c r="A313" s="265"/>
      <c r="B313" s="265"/>
      <c r="C313" s="265"/>
      <c r="D313" s="265"/>
      <c r="E313" s="265"/>
      <c r="F313" s="265"/>
      <c r="G313" s="265"/>
      <c r="H313" s="265"/>
      <c r="I313" s="265"/>
      <c r="J313" s="265"/>
      <c r="K313" s="265"/>
      <c r="L313" s="265"/>
      <c r="M313" s="265"/>
      <c r="N313" s="133">
        <f>IF(OR(A313="Автомат",A313="Дифавтомат"),IF(W313="","",COUNTIF(Однолинейка!$H$3:$H$1000,U313)),IF(A313="Аппарат",IF(C313="","",COUNTIF(Однолинейка!$I$3:$I$1000,C313)+COUNTIF(Однолинейка!$J$3:$J$1000,C313)+COUNTIF(Однолинейка!$K$3:$K$1000,C313)),IF(A313="Модуль",IF(C313="","",COUNTIFS(Однолинейка!$AW$3:$AW$1000,"?*",Однолинейка!$AI$3:$AI$1000,C313)),IF(A313="Клемма",IF(C313="","",IF(C313=$S$7,SUM(Однолинейка!$BW$3:$BW$1000),IF(C313=$S$8,SUM(Однолинейка!$BX$3:$BX$1000),""))),""))))</f>
      </c>
      <c r="O313" s="265"/>
      <c r="P313" s="133">
        <f>IF(COUNT(N313,O313)=0,"",SUM(N313,O313))</f>
      </c>
      <c r="U313" s="133">
        <f>IF(OR(A313="Автомат",A313="Дифавтомат"),I313&amp;" С"&amp;J313&amp;"А"&amp;IF(K313="да"," 30мА",""),"")</f>
      </c>
      <c r="V313" s="133">
        <f>IF(U313="","",B313&amp;"|"&amp;U313)</f>
      </c>
      <c r="W313" s="133">
        <f>IF(AND(U313&lt;&gt;"",OR($S$4="(все)",B313=$S$4),IF($S$4="(все)",COUNTIF($U$4:U313,U313),COUNTIFS($U$4:U313,U313,$B$4:B313,B313))=1),MAX($W$3:W312)+1,"")</f>
      </c>
      <c r="X313" s="133">
        <f>IFERROR(INDEX($U$4:$U$500,MATCH(ROW()-3,$W$4:$W$500,0)),"")</f>
      </c>
      <c r="Y313" s="133">
        <f>IF(AND(A313="Аппарат",C313&lt;&gt;"",OR($S$5="(все)",B313=$S$5)),MAX($Y$3:Y312)+1,"")</f>
      </c>
      <c r="Z313" s="133">
        <f>IFERROR(INDEX($C$4:$C$500,MATCH(ROW()-3,$Y$4:$Y$500,0)),"")</f>
      </c>
      <c r="AA313" s="133">
        <f>IF(AND(A313="Модуль",C313&lt;&gt;"",OR($S$6="(все)",B313=$S$6)),MAX($AA$3:AA312)+1,"")</f>
      </c>
      <c r="AB313" s="133">
        <f>IFERROR(INDEX($C$4:$C$500,MATCH(ROW()-3,$AA$4:$AA$500,0)),"")</f>
      </c>
      <c r="AC313" s="133">
        <f>IF(OR(B313="",COUNTIF($B$4:B313,B313)&gt;1),"",MAX($AC$3:AC312)+1)</f>
      </c>
      <c r="AD313" s="133">
        <f>IFERROR(INDEX($B$4:$B$500,MATCH(ROW()-3,$AC$4:$AC$500,0)),"")</f>
      </c>
      <c r="AE313" s="133">
        <f>IF(AND(A313&lt;&gt;"",N(P313)&gt;0),IFERROR(MATCH(A313,$R$12:$R$25,0),99)*1000+ROW(),"")</f>
      </c>
      <c r="AF313" s="133">
        <f>IF(AE313="","",COUNTIF($AE$4:$AE$500,"&lt;="&amp;AE313))</f>
      </c>
    </row>
    <row r="314">
      <c r="A314" s="265"/>
      <c r="B314" s="265"/>
      <c r="C314" s="265"/>
      <c r="D314" s="265"/>
      <c r="E314" s="265"/>
      <c r="F314" s="265"/>
      <c r="G314" s="265"/>
      <c r="H314" s="265"/>
      <c r="I314" s="265"/>
      <c r="J314" s="265"/>
      <c r="K314" s="265"/>
      <c r="L314" s="265"/>
      <c r="M314" s="265"/>
      <c r="N314" s="133">
        <f>IF(OR(A314="Автомат",A314="Дифавтомат"),IF(W314="","",COUNTIF(Однолинейка!$H$3:$H$1000,U314)),IF(A314="Аппарат",IF(C314="","",COUNTIF(Однолинейка!$I$3:$I$1000,C314)+COUNTIF(Однолинейка!$J$3:$J$1000,C314)+COUNTIF(Однолинейка!$K$3:$K$1000,C314)),IF(A314="Модуль",IF(C314="","",COUNTIFS(Однолинейка!$AW$3:$AW$1000,"?*",Однолинейка!$AI$3:$AI$1000,C314)),IF(A314="Клемма",IF(C314="","",IF(C314=$S$7,SUM(Однолинейка!$BW$3:$BW$1000),IF(C314=$S$8,SUM(Однолинейка!$BX$3:$BX$1000),""))),""))))</f>
      </c>
      <c r="O314" s="265"/>
      <c r="P314" s="133">
        <f>IF(COUNT(N314,O314)=0,"",SUM(N314,O314))</f>
      </c>
      <c r="U314" s="133">
        <f>IF(OR(A314="Автомат",A314="Дифавтомат"),I314&amp;" С"&amp;J314&amp;"А"&amp;IF(K314="да"," 30мА",""),"")</f>
      </c>
      <c r="V314" s="133">
        <f>IF(U314="","",B314&amp;"|"&amp;U314)</f>
      </c>
      <c r="W314" s="133">
        <f>IF(AND(U314&lt;&gt;"",OR($S$4="(все)",B314=$S$4),IF($S$4="(все)",COUNTIF($U$4:U314,U314),COUNTIFS($U$4:U314,U314,$B$4:B314,B314))=1),MAX($W$3:W313)+1,"")</f>
      </c>
      <c r="X314" s="133">
        <f>IFERROR(INDEX($U$4:$U$500,MATCH(ROW()-3,$W$4:$W$500,0)),"")</f>
      </c>
      <c r="Y314" s="133">
        <f>IF(AND(A314="Аппарат",C314&lt;&gt;"",OR($S$5="(все)",B314=$S$5)),MAX($Y$3:Y313)+1,"")</f>
      </c>
      <c r="Z314" s="133">
        <f>IFERROR(INDEX($C$4:$C$500,MATCH(ROW()-3,$Y$4:$Y$500,0)),"")</f>
      </c>
      <c r="AA314" s="133">
        <f>IF(AND(A314="Модуль",C314&lt;&gt;"",OR($S$6="(все)",B314=$S$6)),MAX($AA$3:AA313)+1,"")</f>
      </c>
      <c r="AB314" s="133">
        <f>IFERROR(INDEX($C$4:$C$500,MATCH(ROW()-3,$AA$4:$AA$500,0)),"")</f>
      </c>
      <c r="AC314" s="133">
        <f>IF(OR(B314="",COUNTIF($B$4:B314,B314)&gt;1),"",MAX($AC$3:AC313)+1)</f>
      </c>
      <c r="AD314" s="133">
        <f>IFERROR(INDEX($B$4:$B$500,MATCH(ROW()-3,$AC$4:$AC$500,0)),"")</f>
      </c>
      <c r="AE314" s="133">
        <f>IF(AND(A314&lt;&gt;"",N(P314)&gt;0),IFERROR(MATCH(A314,$R$12:$R$25,0),99)*1000+ROW(),"")</f>
      </c>
      <c r="AF314" s="133">
        <f>IF(AE314="","",COUNTIF($AE$4:$AE$500,"&lt;="&amp;AE314))</f>
      </c>
    </row>
    <row r="315">
      <c r="A315" s="265"/>
      <c r="B315" s="265"/>
      <c r="C315" s="265"/>
      <c r="D315" s="265"/>
      <c r="E315" s="265"/>
      <c r="F315" s="265"/>
      <c r="G315" s="265"/>
      <c r="H315" s="265"/>
      <c r="I315" s="265"/>
      <c r="J315" s="265"/>
      <c r="K315" s="265"/>
      <c r="L315" s="265"/>
      <c r="M315" s="265"/>
      <c r="N315" s="133">
        <f>IF(OR(A315="Автомат",A315="Дифавтомат"),IF(W315="","",COUNTIF(Однолинейка!$H$3:$H$1000,U315)),IF(A315="Аппарат",IF(C315="","",COUNTIF(Однолинейка!$I$3:$I$1000,C315)+COUNTIF(Однолинейка!$J$3:$J$1000,C315)+COUNTIF(Однолинейка!$K$3:$K$1000,C315)),IF(A315="Модуль",IF(C315="","",COUNTIFS(Однолинейка!$AW$3:$AW$1000,"?*",Однолинейка!$AI$3:$AI$1000,C315)),IF(A315="Клемма",IF(C315="","",IF(C315=$S$7,SUM(Однолинейка!$BW$3:$BW$1000),IF(C315=$S$8,SUM(Однолинейка!$BX$3:$BX$1000),""))),""))))</f>
      </c>
      <c r="O315" s="265"/>
      <c r="P315" s="133">
        <f>IF(COUNT(N315,O315)=0,"",SUM(N315,O315))</f>
      </c>
      <c r="U315" s="133">
        <f>IF(OR(A315="Автомат",A315="Дифавтомат"),I315&amp;" С"&amp;J315&amp;"А"&amp;IF(K315="да"," 30мА",""),"")</f>
      </c>
      <c r="V315" s="133">
        <f>IF(U315="","",B315&amp;"|"&amp;U315)</f>
      </c>
      <c r="W315" s="133">
        <f>IF(AND(U315&lt;&gt;"",OR($S$4="(все)",B315=$S$4),IF($S$4="(все)",COUNTIF($U$4:U315,U315),COUNTIFS($U$4:U315,U315,$B$4:B315,B315))=1),MAX($W$3:W314)+1,"")</f>
      </c>
      <c r="X315" s="133">
        <f>IFERROR(INDEX($U$4:$U$500,MATCH(ROW()-3,$W$4:$W$500,0)),"")</f>
      </c>
      <c r="Y315" s="133">
        <f>IF(AND(A315="Аппарат",C315&lt;&gt;"",OR($S$5="(все)",B315=$S$5)),MAX($Y$3:Y314)+1,"")</f>
      </c>
      <c r="Z315" s="133">
        <f>IFERROR(INDEX($C$4:$C$500,MATCH(ROW()-3,$Y$4:$Y$500,0)),"")</f>
      </c>
      <c r="AA315" s="133">
        <f>IF(AND(A315="Модуль",C315&lt;&gt;"",OR($S$6="(все)",B315=$S$6)),MAX($AA$3:AA314)+1,"")</f>
      </c>
      <c r="AB315" s="133">
        <f>IFERROR(INDEX($C$4:$C$500,MATCH(ROW()-3,$AA$4:$AA$500,0)),"")</f>
      </c>
      <c r="AC315" s="133">
        <f>IF(OR(B315="",COUNTIF($B$4:B315,B315)&gt;1),"",MAX($AC$3:AC314)+1)</f>
      </c>
      <c r="AD315" s="133">
        <f>IFERROR(INDEX($B$4:$B$500,MATCH(ROW()-3,$AC$4:$AC$500,0)),"")</f>
      </c>
      <c r="AE315" s="133">
        <f>IF(AND(A315&lt;&gt;"",N(P315)&gt;0),IFERROR(MATCH(A315,$R$12:$R$25,0),99)*1000+ROW(),"")</f>
      </c>
      <c r="AF315" s="133">
        <f>IF(AE315="","",COUNTIF($AE$4:$AE$500,"&lt;="&amp;AE315))</f>
      </c>
    </row>
    <row r="316">
      <c r="A316" s="265"/>
      <c r="B316" s="265"/>
      <c r="C316" s="265"/>
      <c r="D316" s="265"/>
      <c r="E316" s="265"/>
      <c r="F316" s="265"/>
      <c r="G316" s="265"/>
      <c r="H316" s="265"/>
      <c r="I316" s="265"/>
      <c r="J316" s="265"/>
      <c r="K316" s="265"/>
      <c r="L316" s="265"/>
      <c r="M316" s="265"/>
      <c r="N316" s="133">
        <f>IF(OR(A316="Автомат",A316="Дифавтомат"),IF(W316="","",COUNTIF(Однолинейка!$H$3:$H$1000,U316)),IF(A316="Аппарат",IF(C316="","",COUNTIF(Однолинейка!$I$3:$I$1000,C316)+COUNTIF(Однолинейка!$J$3:$J$1000,C316)+COUNTIF(Однолинейка!$K$3:$K$1000,C316)),IF(A316="Модуль",IF(C316="","",COUNTIFS(Однолинейка!$AW$3:$AW$1000,"?*",Однолинейка!$AI$3:$AI$1000,C316)),IF(A316="Клемма",IF(C316="","",IF(C316=$S$7,SUM(Однолинейка!$BW$3:$BW$1000),IF(C316=$S$8,SUM(Однолинейка!$BX$3:$BX$1000),""))),""))))</f>
      </c>
      <c r="O316" s="265"/>
      <c r="P316" s="133">
        <f>IF(COUNT(N316,O316)=0,"",SUM(N316,O316))</f>
      </c>
      <c r="U316" s="133">
        <f>IF(OR(A316="Автомат",A316="Дифавтомат"),I316&amp;" С"&amp;J316&amp;"А"&amp;IF(K316="да"," 30мА",""),"")</f>
      </c>
      <c r="V316" s="133">
        <f>IF(U316="","",B316&amp;"|"&amp;U316)</f>
      </c>
      <c r="W316" s="133">
        <f>IF(AND(U316&lt;&gt;"",OR($S$4="(все)",B316=$S$4),IF($S$4="(все)",COUNTIF($U$4:U316,U316),COUNTIFS($U$4:U316,U316,$B$4:B316,B316))=1),MAX($W$3:W315)+1,"")</f>
      </c>
      <c r="X316" s="133">
        <f>IFERROR(INDEX($U$4:$U$500,MATCH(ROW()-3,$W$4:$W$500,0)),"")</f>
      </c>
      <c r="Y316" s="133">
        <f>IF(AND(A316="Аппарат",C316&lt;&gt;"",OR($S$5="(все)",B316=$S$5)),MAX($Y$3:Y315)+1,"")</f>
      </c>
      <c r="Z316" s="133">
        <f>IFERROR(INDEX($C$4:$C$500,MATCH(ROW()-3,$Y$4:$Y$500,0)),"")</f>
      </c>
      <c r="AA316" s="133">
        <f>IF(AND(A316="Модуль",C316&lt;&gt;"",OR($S$6="(все)",B316=$S$6)),MAX($AA$3:AA315)+1,"")</f>
      </c>
      <c r="AB316" s="133">
        <f>IFERROR(INDEX($C$4:$C$500,MATCH(ROW()-3,$AA$4:$AA$500,0)),"")</f>
      </c>
      <c r="AC316" s="133">
        <f>IF(OR(B316="",COUNTIF($B$4:B316,B316)&gt;1),"",MAX($AC$3:AC315)+1)</f>
      </c>
      <c r="AD316" s="133">
        <f>IFERROR(INDEX($B$4:$B$500,MATCH(ROW()-3,$AC$4:$AC$500,0)),"")</f>
      </c>
      <c r="AE316" s="133">
        <f>IF(AND(A316&lt;&gt;"",N(P316)&gt;0),IFERROR(MATCH(A316,$R$12:$R$25,0),99)*1000+ROW(),"")</f>
      </c>
      <c r="AF316" s="133">
        <f>IF(AE316="","",COUNTIF($AE$4:$AE$500,"&lt;="&amp;AE316))</f>
      </c>
    </row>
    <row r="317">
      <c r="A317" s="265"/>
      <c r="B317" s="265"/>
      <c r="C317" s="265"/>
      <c r="D317" s="265"/>
      <c r="E317" s="265"/>
      <c r="F317" s="265"/>
      <c r="G317" s="265"/>
      <c r="H317" s="265"/>
      <c r="I317" s="265"/>
      <c r="J317" s="265"/>
      <c r="K317" s="265"/>
      <c r="L317" s="265"/>
      <c r="M317" s="265"/>
      <c r="N317" s="133">
        <f>IF(OR(A317="Автомат",A317="Дифавтомат"),IF(W317="","",COUNTIF(Однолинейка!$H$3:$H$1000,U317)),IF(A317="Аппарат",IF(C317="","",COUNTIF(Однолинейка!$I$3:$I$1000,C317)+COUNTIF(Однолинейка!$J$3:$J$1000,C317)+COUNTIF(Однолинейка!$K$3:$K$1000,C317)),IF(A317="Модуль",IF(C317="","",COUNTIFS(Однолинейка!$AW$3:$AW$1000,"?*",Однолинейка!$AI$3:$AI$1000,C317)),IF(A317="Клемма",IF(C317="","",IF(C317=$S$7,SUM(Однолинейка!$BW$3:$BW$1000),IF(C317=$S$8,SUM(Однолинейка!$BX$3:$BX$1000),""))),""))))</f>
      </c>
      <c r="O317" s="265"/>
      <c r="P317" s="133">
        <f>IF(COUNT(N317,O317)=0,"",SUM(N317,O317))</f>
      </c>
      <c r="U317" s="133">
        <f>IF(OR(A317="Автомат",A317="Дифавтомат"),I317&amp;" С"&amp;J317&amp;"А"&amp;IF(K317="да"," 30мА",""),"")</f>
      </c>
      <c r="V317" s="133">
        <f>IF(U317="","",B317&amp;"|"&amp;U317)</f>
      </c>
      <c r="W317" s="133">
        <f>IF(AND(U317&lt;&gt;"",OR($S$4="(все)",B317=$S$4),IF($S$4="(все)",COUNTIF($U$4:U317,U317),COUNTIFS($U$4:U317,U317,$B$4:B317,B317))=1),MAX($W$3:W316)+1,"")</f>
      </c>
      <c r="X317" s="133">
        <f>IFERROR(INDEX($U$4:$U$500,MATCH(ROW()-3,$W$4:$W$500,0)),"")</f>
      </c>
      <c r="Y317" s="133">
        <f>IF(AND(A317="Аппарат",C317&lt;&gt;"",OR($S$5="(все)",B317=$S$5)),MAX($Y$3:Y316)+1,"")</f>
      </c>
      <c r="Z317" s="133">
        <f>IFERROR(INDEX($C$4:$C$500,MATCH(ROW()-3,$Y$4:$Y$500,0)),"")</f>
      </c>
      <c r="AA317" s="133">
        <f>IF(AND(A317="Модуль",C317&lt;&gt;"",OR($S$6="(все)",B317=$S$6)),MAX($AA$3:AA316)+1,"")</f>
      </c>
      <c r="AB317" s="133">
        <f>IFERROR(INDEX($C$4:$C$500,MATCH(ROW()-3,$AA$4:$AA$500,0)),"")</f>
      </c>
      <c r="AC317" s="133">
        <f>IF(OR(B317="",COUNTIF($B$4:B317,B317)&gt;1),"",MAX($AC$3:AC316)+1)</f>
      </c>
      <c r="AD317" s="133">
        <f>IFERROR(INDEX($B$4:$B$500,MATCH(ROW()-3,$AC$4:$AC$500,0)),"")</f>
      </c>
      <c r="AE317" s="133">
        <f>IF(AND(A317&lt;&gt;"",N(P317)&gt;0),IFERROR(MATCH(A317,$R$12:$R$25,0),99)*1000+ROW(),"")</f>
      </c>
      <c r="AF317" s="133">
        <f>IF(AE317="","",COUNTIF($AE$4:$AE$500,"&lt;="&amp;AE317))</f>
      </c>
    </row>
    <row r="318">
      <c r="A318" s="265"/>
      <c r="B318" s="265"/>
      <c r="C318" s="265"/>
      <c r="D318" s="265"/>
      <c r="E318" s="265"/>
      <c r="F318" s="265"/>
      <c r="G318" s="265"/>
      <c r="H318" s="265"/>
      <c r="I318" s="265"/>
      <c r="J318" s="265"/>
      <c r="K318" s="265"/>
      <c r="L318" s="265"/>
      <c r="M318" s="265"/>
      <c r="N318" s="133">
        <f>IF(OR(A318="Автомат",A318="Дифавтомат"),IF(W318="","",COUNTIF(Однолинейка!$H$3:$H$1000,U318)),IF(A318="Аппарат",IF(C318="","",COUNTIF(Однолинейка!$I$3:$I$1000,C318)+COUNTIF(Однолинейка!$J$3:$J$1000,C318)+COUNTIF(Однолинейка!$K$3:$K$1000,C318)),IF(A318="Модуль",IF(C318="","",COUNTIFS(Однолинейка!$AW$3:$AW$1000,"?*",Однолинейка!$AI$3:$AI$1000,C318)),IF(A318="Клемма",IF(C318="","",IF(C318=$S$7,SUM(Однолинейка!$BW$3:$BW$1000),IF(C318=$S$8,SUM(Однолинейка!$BX$3:$BX$1000),""))),""))))</f>
      </c>
      <c r="O318" s="265"/>
      <c r="P318" s="133">
        <f>IF(COUNT(N318,O318)=0,"",SUM(N318,O318))</f>
      </c>
      <c r="U318" s="133">
        <f>IF(OR(A318="Автомат",A318="Дифавтомат"),I318&amp;" С"&amp;J318&amp;"А"&amp;IF(K318="да"," 30мА",""),"")</f>
      </c>
      <c r="V318" s="133">
        <f>IF(U318="","",B318&amp;"|"&amp;U318)</f>
      </c>
      <c r="W318" s="133">
        <f>IF(AND(U318&lt;&gt;"",OR($S$4="(все)",B318=$S$4),IF($S$4="(все)",COUNTIF($U$4:U318,U318),COUNTIFS($U$4:U318,U318,$B$4:B318,B318))=1),MAX($W$3:W317)+1,"")</f>
      </c>
      <c r="X318" s="133">
        <f>IFERROR(INDEX($U$4:$U$500,MATCH(ROW()-3,$W$4:$W$500,0)),"")</f>
      </c>
      <c r="Y318" s="133">
        <f>IF(AND(A318="Аппарат",C318&lt;&gt;"",OR($S$5="(все)",B318=$S$5)),MAX($Y$3:Y317)+1,"")</f>
      </c>
      <c r="Z318" s="133">
        <f>IFERROR(INDEX($C$4:$C$500,MATCH(ROW()-3,$Y$4:$Y$500,0)),"")</f>
      </c>
      <c r="AA318" s="133">
        <f>IF(AND(A318="Модуль",C318&lt;&gt;"",OR($S$6="(все)",B318=$S$6)),MAX($AA$3:AA317)+1,"")</f>
      </c>
      <c r="AB318" s="133">
        <f>IFERROR(INDEX($C$4:$C$500,MATCH(ROW()-3,$AA$4:$AA$500,0)),"")</f>
      </c>
      <c r="AC318" s="133">
        <f>IF(OR(B318="",COUNTIF($B$4:B318,B318)&gt;1),"",MAX($AC$3:AC317)+1)</f>
      </c>
      <c r="AD318" s="133">
        <f>IFERROR(INDEX($B$4:$B$500,MATCH(ROW()-3,$AC$4:$AC$500,0)),"")</f>
      </c>
      <c r="AE318" s="133">
        <f>IF(AND(A318&lt;&gt;"",N(P318)&gt;0),IFERROR(MATCH(A318,$R$12:$R$25,0),99)*1000+ROW(),"")</f>
      </c>
      <c r="AF318" s="133">
        <f>IF(AE318="","",COUNTIF($AE$4:$AE$500,"&lt;="&amp;AE318))</f>
      </c>
    </row>
    <row r="319">
      <c r="A319" s="265"/>
      <c r="B319" s="265"/>
      <c r="C319" s="265"/>
      <c r="D319" s="265"/>
      <c r="E319" s="265"/>
      <c r="F319" s="265"/>
      <c r="G319" s="265"/>
      <c r="H319" s="265"/>
      <c r="I319" s="265"/>
      <c r="J319" s="265"/>
      <c r="K319" s="265"/>
      <c r="L319" s="265"/>
      <c r="M319" s="265"/>
      <c r="N319" s="133">
        <f>IF(OR(A319="Автомат",A319="Дифавтомат"),IF(W319="","",COUNTIF(Однолинейка!$H$3:$H$1000,U319)),IF(A319="Аппарат",IF(C319="","",COUNTIF(Однолинейка!$I$3:$I$1000,C319)+COUNTIF(Однолинейка!$J$3:$J$1000,C319)+COUNTIF(Однолинейка!$K$3:$K$1000,C319)),IF(A319="Модуль",IF(C319="","",COUNTIFS(Однолинейка!$AW$3:$AW$1000,"?*",Однолинейка!$AI$3:$AI$1000,C319)),IF(A319="Клемма",IF(C319="","",IF(C319=$S$7,SUM(Однолинейка!$BW$3:$BW$1000),IF(C319=$S$8,SUM(Однолинейка!$BX$3:$BX$1000),""))),""))))</f>
      </c>
      <c r="O319" s="265"/>
      <c r="P319" s="133">
        <f>IF(COUNT(N319,O319)=0,"",SUM(N319,O319))</f>
      </c>
      <c r="U319" s="133">
        <f>IF(OR(A319="Автомат",A319="Дифавтомат"),I319&amp;" С"&amp;J319&amp;"А"&amp;IF(K319="да"," 30мА",""),"")</f>
      </c>
      <c r="V319" s="133">
        <f>IF(U319="","",B319&amp;"|"&amp;U319)</f>
      </c>
      <c r="W319" s="133">
        <f>IF(AND(U319&lt;&gt;"",OR($S$4="(все)",B319=$S$4),IF($S$4="(все)",COUNTIF($U$4:U319,U319),COUNTIFS($U$4:U319,U319,$B$4:B319,B319))=1),MAX($W$3:W318)+1,"")</f>
      </c>
      <c r="X319" s="133">
        <f>IFERROR(INDEX($U$4:$U$500,MATCH(ROW()-3,$W$4:$W$500,0)),"")</f>
      </c>
      <c r="Y319" s="133">
        <f>IF(AND(A319="Аппарат",C319&lt;&gt;"",OR($S$5="(все)",B319=$S$5)),MAX($Y$3:Y318)+1,"")</f>
      </c>
      <c r="Z319" s="133">
        <f>IFERROR(INDEX($C$4:$C$500,MATCH(ROW()-3,$Y$4:$Y$500,0)),"")</f>
      </c>
      <c r="AA319" s="133">
        <f>IF(AND(A319="Модуль",C319&lt;&gt;"",OR($S$6="(все)",B319=$S$6)),MAX($AA$3:AA318)+1,"")</f>
      </c>
      <c r="AB319" s="133">
        <f>IFERROR(INDEX($C$4:$C$500,MATCH(ROW()-3,$AA$4:$AA$500,0)),"")</f>
      </c>
      <c r="AC319" s="133">
        <f>IF(OR(B319="",COUNTIF($B$4:B319,B319)&gt;1),"",MAX($AC$3:AC318)+1)</f>
      </c>
      <c r="AD319" s="133">
        <f>IFERROR(INDEX($B$4:$B$500,MATCH(ROW()-3,$AC$4:$AC$500,0)),"")</f>
      </c>
      <c r="AE319" s="133">
        <f>IF(AND(A319&lt;&gt;"",N(P319)&gt;0),IFERROR(MATCH(A319,$R$12:$R$25,0),99)*1000+ROW(),"")</f>
      </c>
      <c r="AF319" s="133">
        <f>IF(AE319="","",COUNTIF($AE$4:$AE$500,"&lt;="&amp;AE319))</f>
      </c>
    </row>
    <row r="320">
      <c r="A320" s="265"/>
      <c r="B320" s="265"/>
      <c r="C320" s="265"/>
      <c r="D320" s="265"/>
      <c r="E320" s="265"/>
      <c r="F320" s="265"/>
      <c r="G320" s="265"/>
      <c r="H320" s="265"/>
      <c r="I320" s="265"/>
      <c r="J320" s="265"/>
      <c r="K320" s="265"/>
      <c r="L320" s="265"/>
      <c r="M320" s="265"/>
      <c r="N320" s="133">
        <f>IF(OR(A320="Автомат",A320="Дифавтомат"),IF(W320="","",COUNTIF(Однолинейка!$H$3:$H$1000,U320)),IF(A320="Аппарат",IF(C320="","",COUNTIF(Однолинейка!$I$3:$I$1000,C320)+COUNTIF(Однолинейка!$J$3:$J$1000,C320)+COUNTIF(Однолинейка!$K$3:$K$1000,C320)),IF(A320="Модуль",IF(C320="","",COUNTIFS(Однолинейка!$AW$3:$AW$1000,"?*",Однолинейка!$AI$3:$AI$1000,C320)),IF(A320="Клемма",IF(C320="","",IF(C320=$S$7,SUM(Однолинейка!$BW$3:$BW$1000),IF(C320=$S$8,SUM(Однолинейка!$BX$3:$BX$1000),""))),""))))</f>
      </c>
      <c r="O320" s="265"/>
      <c r="P320" s="133">
        <f>IF(COUNT(N320,O320)=0,"",SUM(N320,O320))</f>
      </c>
      <c r="U320" s="133">
        <f>IF(OR(A320="Автомат",A320="Дифавтомат"),I320&amp;" С"&amp;J320&amp;"А"&amp;IF(K320="да"," 30мА",""),"")</f>
      </c>
      <c r="V320" s="133">
        <f>IF(U320="","",B320&amp;"|"&amp;U320)</f>
      </c>
      <c r="W320" s="133">
        <f>IF(AND(U320&lt;&gt;"",OR($S$4="(все)",B320=$S$4),IF($S$4="(все)",COUNTIF($U$4:U320,U320),COUNTIFS($U$4:U320,U320,$B$4:B320,B320))=1),MAX($W$3:W319)+1,"")</f>
      </c>
      <c r="X320" s="133">
        <f>IFERROR(INDEX($U$4:$U$500,MATCH(ROW()-3,$W$4:$W$500,0)),"")</f>
      </c>
      <c r="Y320" s="133">
        <f>IF(AND(A320="Аппарат",C320&lt;&gt;"",OR($S$5="(все)",B320=$S$5)),MAX($Y$3:Y319)+1,"")</f>
      </c>
      <c r="Z320" s="133">
        <f>IFERROR(INDEX($C$4:$C$500,MATCH(ROW()-3,$Y$4:$Y$500,0)),"")</f>
      </c>
      <c r="AA320" s="133">
        <f>IF(AND(A320="Модуль",C320&lt;&gt;"",OR($S$6="(все)",B320=$S$6)),MAX($AA$3:AA319)+1,"")</f>
      </c>
      <c r="AB320" s="133">
        <f>IFERROR(INDEX($C$4:$C$500,MATCH(ROW()-3,$AA$4:$AA$500,0)),"")</f>
      </c>
      <c r="AC320" s="133">
        <f>IF(OR(B320="",COUNTIF($B$4:B320,B320)&gt;1),"",MAX($AC$3:AC319)+1)</f>
      </c>
      <c r="AD320" s="133">
        <f>IFERROR(INDEX($B$4:$B$500,MATCH(ROW()-3,$AC$4:$AC$500,0)),"")</f>
      </c>
      <c r="AE320" s="133">
        <f>IF(AND(A320&lt;&gt;"",N(P320)&gt;0),IFERROR(MATCH(A320,$R$12:$R$25,0),99)*1000+ROW(),"")</f>
      </c>
      <c r="AF320" s="133">
        <f>IF(AE320="","",COUNTIF($AE$4:$AE$500,"&lt;="&amp;AE320))</f>
      </c>
    </row>
    <row r="321">
      <c r="A321" s="265"/>
      <c r="B321" s="265"/>
      <c r="C321" s="265"/>
      <c r="D321" s="265"/>
      <c r="E321" s="265"/>
      <c r="F321" s="265"/>
      <c r="G321" s="265"/>
      <c r="H321" s="265"/>
      <c r="I321" s="265"/>
      <c r="J321" s="265"/>
      <c r="K321" s="265"/>
      <c r="L321" s="265"/>
      <c r="M321" s="265"/>
      <c r="N321" s="133">
        <f>IF(OR(A321="Автомат",A321="Дифавтомат"),IF(W321="","",COUNTIF(Однолинейка!$H$3:$H$1000,U321)),IF(A321="Аппарат",IF(C321="","",COUNTIF(Однолинейка!$I$3:$I$1000,C321)+COUNTIF(Однолинейка!$J$3:$J$1000,C321)+COUNTIF(Однолинейка!$K$3:$K$1000,C321)),IF(A321="Модуль",IF(C321="","",COUNTIFS(Однолинейка!$AW$3:$AW$1000,"?*",Однолинейка!$AI$3:$AI$1000,C321)),IF(A321="Клемма",IF(C321="","",IF(C321=$S$7,SUM(Однолинейка!$BW$3:$BW$1000),IF(C321=$S$8,SUM(Однолинейка!$BX$3:$BX$1000),""))),""))))</f>
      </c>
      <c r="O321" s="265"/>
      <c r="P321" s="133">
        <f>IF(COUNT(N321,O321)=0,"",SUM(N321,O321))</f>
      </c>
      <c r="U321" s="133">
        <f>IF(OR(A321="Автомат",A321="Дифавтомат"),I321&amp;" С"&amp;J321&amp;"А"&amp;IF(K321="да"," 30мА",""),"")</f>
      </c>
      <c r="V321" s="133">
        <f>IF(U321="","",B321&amp;"|"&amp;U321)</f>
      </c>
      <c r="W321" s="133">
        <f>IF(AND(U321&lt;&gt;"",OR($S$4="(все)",B321=$S$4),IF($S$4="(все)",COUNTIF($U$4:U321,U321),COUNTIFS($U$4:U321,U321,$B$4:B321,B321))=1),MAX($W$3:W320)+1,"")</f>
      </c>
      <c r="X321" s="133">
        <f>IFERROR(INDEX($U$4:$U$500,MATCH(ROW()-3,$W$4:$W$500,0)),"")</f>
      </c>
      <c r="Y321" s="133">
        <f>IF(AND(A321="Аппарат",C321&lt;&gt;"",OR($S$5="(все)",B321=$S$5)),MAX($Y$3:Y320)+1,"")</f>
      </c>
      <c r="Z321" s="133">
        <f>IFERROR(INDEX($C$4:$C$500,MATCH(ROW()-3,$Y$4:$Y$500,0)),"")</f>
      </c>
      <c r="AA321" s="133">
        <f>IF(AND(A321="Модуль",C321&lt;&gt;"",OR($S$6="(все)",B321=$S$6)),MAX($AA$3:AA320)+1,"")</f>
      </c>
      <c r="AB321" s="133">
        <f>IFERROR(INDEX($C$4:$C$500,MATCH(ROW()-3,$AA$4:$AA$500,0)),"")</f>
      </c>
      <c r="AC321" s="133">
        <f>IF(OR(B321="",COUNTIF($B$4:B321,B321)&gt;1),"",MAX($AC$3:AC320)+1)</f>
      </c>
      <c r="AD321" s="133">
        <f>IFERROR(INDEX($B$4:$B$500,MATCH(ROW()-3,$AC$4:$AC$500,0)),"")</f>
      </c>
      <c r="AE321" s="133">
        <f>IF(AND(A321&lt;&gt;"",N(P321)&gt;0),IFERROR(MATCH(A321,$R$12:$R$25,0),99)*1000+ROW(),"")</f>
      </c>
      <c r="AF321" s="133">
        <f>IF(AE321="","",COUNTIF($AE$4:$AE$500,"&lt;="&amp;AE321))</f>
      </c>
    </row>
    <row r="322">
      <c r="A322" s="265"/>
      <c r="B322" s="265"/>
      <c r="C322" s="265"/>
      <c r="D322" s="265"/>
      <c r="E322" s="265"/>
      <c r="F322" s="265"/>
      <c r="G322" s="265"/>
      <c r="H322" s="265"/>
      <c r="I322" s="265"/>
      <c r="J322" s="265"/>
      <c r="K322" s="265"/>
      <c r="L322" s="265"/>
      <c r="M322" s="265"/>
      <c r="N322" s="133">
        <f>IF(OR(A322="Автомат",A322="Дифавтомат"),IF(W322="","",COUNTIF(Однолинейка!$H$3:$H$1000,U322)),IF(A322="Аппарат",IF(C322="","",COUNTIF(Однолинейка!$I$3:$I$1000,C322)+COUNTIF(Однолинейка!$J$3:$J$1000,C322)+COUNTIF(Однолинейка!$K$3:$K$1000,C322)),IF(A322="Модуль",IF(C322="","",COUNTIFS(Однолинейка!$AW$3:$AW$1000,"?*",Однолинейка!$AI$3:$AI$1000,C322)),IF(A322="Клемма",IF(C322="","",IF(C322=$S$7,SUM(Однолинейка!$BW$3:$BW$1000),IF(C322=$S$8,SUM(Однолинейка!$BX$3:$BX$1000),""))),""))))</f>
      </c>
      <c r="O322" s="265"/>
      <c r="P322" s="133">
        <f>IF(COUNT(N322,O322)=0,"",SUM(N322,O322))</f>
      </c>
      <c r="U322" s="133">
        <f>IF(OR(A322="Автомат",A322="Дифавтомат"),I322&amp;" С"&amp;J322&amp;"А"&amp;IF(K322="да"," 30мА",""),"")</f>
      </c>
      <c r="V322" s="133">
        <f>IF(U322="","",B322&amp;"|"&amp;U322)</f>
      </c>
      <c r="W322" s="133">
        <f>IF(AND(U322&lt;&gt;"",OR($S$4="(все)",B322=$S$4),IF($S$4="(все)",COUNTIF($U$4:U322,U322),COUNTIFS($U$4:U322,U322,$B$4:B322,B322))=1),MAX($W$3:W321)+1,"")</f>
      </c>
      <c r="X322" s="133">
        <f>IFERROR(INDEX($U$4:$U$500,MATCH(ROW()-3,$W$4:$W$500,0)),"")</f>
      </c>
      <c r="Y322" s="133">
        <f>IF(AND(A322="Аппарат",C322&lt;&gt;"",OR($S$5="(все)",B322=$S$5)),MAX($Y$3:Y321)+1,"")</f>
      </c>
      <c r="Z322" s="133">
        <f>IFERROR(INDEX($C$4:$C$500,MATCH(ROW()-3,$Y$4:$Y$500,0)),"")</f>
      </c>
      <c r="AA322" s="133">
        <f>IF(AND(A322="Модуль",C322&lt;&gt;"",OR($S$6="(все)",B322=$S$6)),MAX($AA$3:AA321)+1,"")</f>
      </c>
      <c r="AB322" s="133">
        <f>IFERROR(INDEX($C$4:$C$500,MATCH(ROW()-3,$AA$4:$AA$500,0)),"")</f>
      </c>
      <c r="AC322" s="133">
        <f>IF(OR(B322="",COUNTIF($B$4:B322,B322)&gt;1),"",MAX($AC$3:AC321)+1)</f>
      </c>
      <c r="AD322" s="133">
        <f>IFERROR(INDEX($B$4:$B$500,MATCH(ROW()-3,$AC$4:$AC$500,0)),"")</f>
      </c>
      <c r="AE322" s="133">
        <f>IF(AND(A322&lt;&gt;"",N(P322)&gt;0),IFERROR(MATCH(A322,$R$12:$R$25,0),99)*1000+ROW(),"")</f>
      </c>
      <c r="AF322" s="133">
        <f>IF(AE322="","",COUNTIF($AE$4:$AE$500,"&lt;="&amp;AE322))</f>
      </c>
    </row>
    <row r="323">
      <c r="A323" s="265"/>
      <c r="B323" s="265"/>
      <c r="C323" s="265"/>
      <c r="D323" s="265"/>
      <c r="E323" s="265"/>
      <c r="F323" s="265"/>
      <c r="G323" s="265"/>
      <c r="H323" s="265"/>
      <c r="I323" s="265"/>
      <c r="J323" s="265"/>
      <c r="K323" s="265"/>
      <c r="L323" s="265"/>
      <c r="M323" s="265"/>
      <c r="N323" s="133">
        <f>IF(OR(A323="Автомат",A323="Дифавтомат"),IF(W323="","",COUNTIF(Однолинейка!$H$3:$H$1000,U323)),IF(A323="Аппарат",IF(C323="","",COUNTIF(Однолинейка!$I$3:$I$1000,C323)+COUNTIF(Однолинейка!$J$3:$J$1000,C323)+COUNTIF(Однолинейка!$K$3:$K$1000,C323)),IF(A323="Модуль",IF(C323="","",COUNTIFS(Однолинейка!$AW$3:$AW$1000,"?*",Однолинейка!$AI$3:$AI$1000,C323)),IF(A323="Клемма",IF(C323="","",IF(C323=$S$7,SUM(Однолинейка!$BW$3:$BW$1000),IF(C323=$S$8,SUM(Однолинейка!$BX$3:$BX$1000),""))),""))))</f>
      </c>
      <c r="O323" s="265"/>
      <c r="P323" s="133">
        <f>IF(COUNT(N323,O323)=0,"",SUM(N323,O323))</f>
      </c>
      <c r="U323" s="133">
        <f>IF(OR(A323="Автомат",A323="Дифавтомат"),I323&amp;" С"&amp;J323&amp;"А"&amp;IF(K323="да"," 30мА",""),"")</f>
      </c>
      <c r="V323" s="133">
        <f>IF(U323="","",B323&amp;"|"&amp;U323)</f>
      </c>
      <c r="W323" s="133">
        <f>IF(AND(U323&lt;&gt;"",OR($S$4="(все)",B323=$S$4),IF($S$4="(все)",COUNTIF($U$4:U323,U323),COUNTIFS($U$4:U323,U323,$B$4:B323,B323))=1),MAX($W$3:W322)+1,"")</f>
      </c>
      <c r="X323" s="133">
        <f>IFERROR(INDEX($U$4:$U$500,MATCH(ROW()-3,$W$4:$W$500,0)),"")</f>
      </c>
      <c r="Y323" s="133">
        <f>IF(AND(A323="Аппарат",C323&lt;&gt;"",OR($S$5="(все)",B323=$S$5)),MAX($Y$3:Y322)+1,"")</f>
      </c>
      <c r="Z323" s="133">
        <f>IFERROR(INDEX($C$4:$C$500,MATCH(ROW()-3,$Y$4:$Y$500,0)),"")</f>
      </c>
      <c r="AA323" s="133">
        <f>IF(AND(A323="Модуль",C323&lt;&gt;"",OR($S$6="(все)",B323=$S$6)),MAX($AA$3:AA322)+1,"")</f>
      </c>
      <c r="AB323" s="133">
        <f>IFERROR(INDEX($C$4:$C$500,MATCH(ROW()-3,$AA$4:$AA$500,0)),"")</f>
      </c>
      <c r="AC323" s="133">
        <f>IF(OR(B323="",COUNTIF($B$4:B323,B323)&gt;1),"",MAX($AC$3:AC322)+1)</f>
      </c>
      <c r="AD323" s="133">
        <f>IFERROR(INDEX($B$4:$B$500,MATCH(ROW()-3,$AC$4:$AC$500,0)),"")</f>
      </c>
      <c r="AE323" s="133">
        <f>IF(AND(A323&lt;&gt;"",N(P323)&gt;0),IFERROR(MATCH(A323,$R$12:$R$25,0),99)*1000+ROW(),"")</f>
      </c>
      <c r="AF323" s="133">
        <f>IF(AE323="","",COUNTIF($AE$4:$AE$500,"&lt;="&amp;AE323))</f>
      </c>
    </row>
    <row r="324">
      <c r="A324" s="265"/>
      <c r="B324" s="265"/>
      <c r="C324" s="265"/>
      <c r="D324" s="265"/>
      <c r="E324" s="265"/>
      <c r="F324" s="265"/>
      <c r="G324" s="265"/>
      <c r="H324" s="265"/>
      <c r="I324" s="265"/>
      <c r="J324" s="265"/>
      <c r="K324" s="265"/>
      <c r="L324" s="265"/>
      <c r="M324" s="265"/>
      <c r="N324" s="133">
        <f>IF(OR(A324="Автомат",A324="Дифавтомат"),IF(W324="","",COUNTIF(Однолинейка!$H$3:$H$1000,U324)),IF(A324="Аппарат",IF(C324="","",COUNTIF(Однолинейка!$I$3:$I$1000,C324)+COUNTIF(Однолинейка!$J$3:$J$1000,C324)+COUNTIF(Однолинейка!$K$3:$K$1000,C324)),IF(A324="Модуль",IF(C324="","",COUNTIFS(Однолинейка!$AW$3:$AW$1000,"?*",Однолинейка!$AI$3:$AI$1000,C324)),IF(A324="Клемма",IF(C324="","",IF(C324=$S$7,SUM(Однолинейка!$BW$3:$BW$1000),IF(C324=$S$8,SUM(Однолинейка!$BX$3:$BX$1000),""))),""))))</f>
      </c>
      <c r="O324" s="265"/>
      <c r="P324" s="133">
        <f>IF(COUNT(N324,O324)=0,"",SUM(N324,O324))</f>
      </c>
      <c r="U324" s="133">
        <f>IF(OR(A324="Автомат",A324="Дифавтомат"),I324&amp;" С"&amp;J324&amp;"А"&amp;IF(K324="да"," 30мА",""),"")</f>
      </c>
      <c r="V324" s="133">
        <f>IF(U324="","",B324&amp;"|"&amp;U324)</f>
      </c>
      <c r="W324" s="133">
        <f>IF(AND(U324&lt;&gt;"",OR($S$4="(все)",B324=$S$4),IF($S$4="(все)",COUNTIF($U$4:U324,U324),COUNTIFS($U$4:U324,U324,$B$4:B324,B324))=1),MAX($W$3:W323)+1,"")</f>
      </c>
      <c r="X324" s="133">
        <f>IFERROR(INDEX($U$4:$U$500,MATCH(ROW()-3,$W$4:$W$500,0)),"")</f>
      </c>
      <c r="Y324" s="133">
        <f>IF(AND(A324="Аппарат",C324&lt;&gt;"",OR($S$5="(все)",B324=$S$5)),MAX($Y$3:Y323)+1,"")</f>
      </c>
      <c r="Z324" s="133">
        <f>IFERROR(INDEX($C$4:$C$500,MATCH(ROW()-3,$Y$4:$Y$500,0)),"")</f>
      </c>
      <c r="AA324" s="133">
        <f>IF(AND(A324="Модуль",C324&lt;&gt;"",OR($S$6="(все)",B324=$S$6)),MAX($AA$3:AA323)+1,"")</f>
      </c>
      <c r="AB324" s="133">
        <f>IFERROR(INDEX($C$4:$C$500,MATCH(ROW()-3,$AA$4:$AA$500,0)),"")</f>
      </c>
      <c r="AC324" s="133">
        <f>IF(OR(B324="",COUNTIF($B$4:B324,B324)&gt;1),"",MAX($AC$3:AC323)+1)</f>
      </c>
      <c r="AD324" s="133">
        <f>IFERROR(INDEX($B$4:$B$500,MATCH(ROW()-3,$AC$4:$AC$500,0)),"")</f>
      </c>
      <c r="AE324" s="133">
        <f>IF(AND(A324&lt;&gt;"",N(P324)&gt;0),IFERROR(MATCH(A324,$R$12:$R$25,0),99)*1000+ROW(),"")</f>
      </c>
      <c r="AF324" s="133">
        <f>IF(AE324="","",COUNTIF($AE$4:$AE$500,"&lt;="&amp;AE324))</f>
      </c>
    </row>
    <row r="325">
      <c r="A325" s="265"/>
      <c r="B325" s="265"/>
      <c r="C325" s="265"/>
      <c r="D325" s="265"/>
      <c r="E325" s="265"/>
      <c r="F325" s="265"/>
      <c r="G325" s="265"/>
      <c r="H325" s="265"/>
      <c r="I325" s="265"/>
      <c r="J325" s="265"/>
      <c r="K325" s="265"/>
      <c r="L325" s="265"/>
      <c r="M325" s="265"/>
      <c r="N325" s="133">
        <f>IF(OR(A325="Автомат",A325="Дифавтомат"),IF(W325="","",COUNTIF(Однолинейка!$H$3:$H$1000,U325)),IF(A325="Аппарат",IF(C325="","",COUNTIF(Однолинейка!$I$3:$I$1000,C325)+COUNTIF(Однолинейка!$J$3:$J$1000,C325)+COUNTIF(Однолинейка!$K$3:$K$1000,C325)),IF(A325="Модуль",IF(C325="","",COUNTIFS(Однолинейка!$AW$3:$AW$1000,"?*",Однолинейка!$AI$3:$AI$1000,C325)),IF(A325="Клемма",IF(C325="","",IF(C325=$S$7,SUM(Однолинейка!$BW$3:$BW$1000),IF(C325=$S$8,SUM(Однолинейка!$BX$3:$BX$1000),""))),""))))</f>
      </c>
      <c r="O325" s="265"/>
      <c r="P325" s="133">
        <f>IF(COUNT(N325,O325)=0,"",SUM(N325,O325))</f>
      </c>
      <c r="U325" s="133">
        <f>IF(OR(A325="Автомат",A325="Дифавтомат"),I325&amp;" С"&amp;J325&amp;"А"&amp;IF(K325="да"," 30мА",""),"")</f>
      </c>
      <c r="V325" s="133">
        <f>IF(U325="","",B325&amp;"|"&amp;U325)</f>
      </c>
      <c r="W325" s="133">
        <f>IF(AND(U325&lt;&gt;"",OR($S$4="(все)",B325=$S$4),IF($S$4="(все)",COUNTIF($U$4:U325,U325),COUNTIFS($U$4:U325,U325,$B$4:B325,B325))=1),MAX($W$3:W324)+1,"")</f>
      </c>
      <c r="X325" s="133">
        <f>IFERROR(INDEX($U$4:$U$500,MATCH(ROW()-3,$W$4:$W$500,0)),"")</f>
      </c>
      <c r="Y325" s="133">
        <f>IF(AND(A325="Аппарат",C325&lt;&gt;"",OR($S$5="(все)",B325=$S$5)),MAX($Y$3:Y324)+1,"")</f>
      </c>
      <c r="Z325" s="133">
        <f>IFERROR(INDEX($C$4:$C$500,MATCH(ROW()-3,$Y$4:$Y$500,0)),"")</f>
      </c>
      <c r="AA325" s="133">
        <f>IF(AND(A325="Модуль",C325&lt;&gt;"",OR($S$6="(все)",B325=$S$6)),MAX($AA$3:AA324)+1,"")</f>
      </c>
      <c r="AB325" s="133">
        <f>IFERROR(INDEX($C$4:$C$500,MATCH(ROW()-3,$AA$4:$AA$500,0)),"")</f>
      </c>
      <c r="AC325" s="133">
        <f>IF(OR(B325="",COUNTIF($B$4:B325,B325)&gt;1),"",MAX($AC$3:AC324)+1)</f>
      </c>
      <c r="AD325" s="133">
        <f>IFERROR(INDEX($B$4:$B$500,MATCH(ROW()-3,$AC$4:$AC$500,0)),"")</f>
      </c>
      <c r="AE325" s="133">
        <f>IF(AND(A325&lt;&gt;"",N(P325)&gt;0),IFERROR(MATCH(A325,$R$12:$R$25,0),99)*1000+ROW(),"")</f>
      </c>
      <c r="AF325" s="133">
        <f>IF(AE325="","",COUNTIF($AE$4:$AE$500,"&lt;="&amp;AE325))</f>
      </c>
    </row>
    <row r="326">
      <c r="A326" s="265"/>
      <c r="B326" s="265"/>
      <c r="C326" s="265"/>
      <c r="D326" s="265"/>
      <c r="E326" s="265"/>
      <c r="F326" s="265"/>
      <c r="G326" s="265"/>
      <c r="H326" s="265"/>
      <c r="I326" s="265"/>
      <c r="J326" s="265"/>
      <c r="K326" s="265"/>
      <c r="L326" s="265"/>
      <c r="M326" s="265"/>
      <c r="N326" s="133">
        <f>IF(OR(A326="Автомат",A326="Дифавтомат"),IF(W326="","",COUNTIF(Однолинейка!$H$3:$H$1000,U326)),IF(A326="Аппарат",IF(C326="","",COUNTIF(Однолинейка!$I$3:$I$1000,C326)+COUNTIF(Однолинейка!$J$3:$J$1000,C326)+COUNTIF(Однолинейка!$K$3:$K$1000,C326)),IF(A326="Модуль",IF(C326="","",COUNTIFS(Однолинейка!$AW$3:$AW$1000,"?*",Однолинейка!$AI$3:$AI$1000,C326)),IF(A326="Клемма",IF(C326="","",IF(C326=$S$7,SUM(Однолинейка!$BW$3:$BW$1000),IF(C326=$S$8,SUM(Однолинейка!$BX$3:$BX$1000),""))),""))))</f>
      </c>
      <c r="O326" s="265"/>
      <c r="P326" s="133">
        <f>IF(COUNT(N326,O326)=0,"",SUM(N326,O326))</f>
      </c>
      <c r="U326" s="133">
        <f>IF(OR(A326="Автомат",A326="Дифавтомат"),I326&amp;" С"&amp;J326&amp;"А"&amp;IF(K326="да"," 30мА",""),"")</f>
      </c>
      <c r="V326" s="133">
        <f>IF(U326="","",B326&amp;"|"&amp;U326)</f>
      </c>
      <c r="W326" s="133">
        <f>IF(AND(U326&lt;&gt;"",OR($S$4="(все)",B326=$S$4),IF($S$4="(все)",COUNTIF($U$4:U326,U326),COUNTIFS($U$4:U326,U326,$B$4:B326,B326))=1),MAX($W$3:W325)+1,"")</f>
      </c>
      <c r="X326" s="133">
        <f>IFERROR(INDEX($U$4:$U$500,MATCH(ROW()-3,$W$4:$W$500,0)),"")</f>
      </c>
      <c r="Y326" s="133">
        <f>IF(AND(A326="Аппарат",C326&lt;&gt;"",OR($S$5="(все)",B326=$S$5)),MAX($Y$3:Y325)+1,"")</f>
      </c>
      <c r="Z326" s="133">
        <f>IFERROR(INDEX($C$4:$C$500,MATCH(ROW()-3,$Y$4:$Y$500,0)),"")</f>
      </c>
      <c r="AA326" s="133">
        <f>IF(AND(A326="Модуль",C326&lt;&gt;"",OR($S$6="(все)",B326=$S$6)),MAX($AA$3:AA325)+1,"")</f>
      </c>
      <c r="AB326" s="133">
        <f>IFERROR(INDEX($C$4:$C$500,MATCH(ROW()-3,$AA$4:$AA$500,0)),"")</f>
      </c>
      <c r="AC326" s="133">
        <f>IF(OR(B326="",COUNTIF($B$4:B326,B326)&gt;1),"",MAX($AC$3:AC325)+1)</f>
      </c>
      <c r="AD326" s="133">
        <f>IFERROR(INDEX($B$4:$B$500,MATCH(ROW()-3,$AC$4:$AC$500,0)),"")</f>
      </c>
      <c r="AE326" s="133">
        <f>IF(AND(A326&lt;&gt;"",N(P326)&gt;0),IFERROR(MATCH(A326,$R$12:$R$25,0),99)*1000+ROW(),"")</f>
      </c>
      <c r="AF326" s="133">
        <f>IF(AE326="","",COUNTIF($AE$4:$AE$500,"&lt;="&amp;AE326))</f>
      </c>
    </row>
    <row r="327">
      <c r="A327" s="265"/>
      <c r="B327" s="265"/>
      <c r="C327" s="265"/>
      <c r="D327" s="265"/>
      <c r="E327" s="265"/>
      <c r="F327" s="265"/>
      <c r="G327" s="265"/>
      <c r="H327" s="265"/>
      <c r="I327" s="265"/>
      <c r="J327" s="265"/>
      <c r="K327" s="265"/>
      <c r="L327" s="265"/>
      <c r="M327" s="265"/>
      <c r="N327" s="133">
        <f>IF(OR(A327="Автомат",A327="Дифавтомат"),IF(W327="","",COUNTIF(Однолинейка!$H$3:$H$1000,U327)),IF(A327="Аппарат",IF(C327="","",COUNTIF(Однолинейка!$I$3:$I$1000,C327)+COUNTIF(Однолинейка!$J$3:$J$1000,C327)+COUNTIF(Однолинейка!$K$3:$K$1000,C327)),IF(A327="Модуль",IF(C327="","",COUNTIFS(Однолинейка!$AW$3:$AW$1000,"?*",Однолинейка!$AI$3:$AI$1000,C327)),IF(A327="Клемма",IF(C327="","",IF(C327=$S$7,SUM(Однолинейка!$BW$3:$BW$1000),IF(C327=$S$8,SUM(Однолинейка!$BX$3:$BX$1000),""))),""))))</f>
      </c>
      <c r="O327" s="265"/>
      <c r="P327" s="133">
        <f>IF(COUNT(N327,O327)=0,"",SUM(N327,O327))</f>
      </c>
      <c r="U327" s="133">
        <f>IF(OR(A327="Автомат",A327="Дифавтомат"),I327&amp;" С"&amp;J327&amp;"А"&amp;IF(K327="да"," 30мА",""),"")</f>
      </c>
      <c r="V327" s="133">
        <f>IF(U327="","",B327&amp;"|"&amp;U327)</f>
      </c>
      <c r="W327" s="133">
        <f>IF(AND(U327&lt;&gt;"",OR($S$4="(все)",B327=$S$4),IF($S$4="(все)",COUNTIF($U$4:U327,U327),COUNTIFS($U$4:U327,U327,$B$4:B327,B327))=1),MAX($W$3:W326)+1,"")</f>
      </c>
      <c r="X327" s="133">
        <f>IFERROR(INDEX($U$4:$U$500,MATCH(ROW()-3,$W$4:$W$500,0)),"")</f>
      </c>
      <c r="Y327" s="133">
        <f>IF(AND(A327="Аппарат",C327&lt;&gt;"",OR($S$5="(все)",B327=$S$5)),MAX($Y$3:Y326)+1,"")</f>
      </c>
      <c r="Z327" s="133">
        <f>IFERROR(INDEX($C$4:$C$500,MATCH(ROW()-3,$Y$4:$Y$500,0)),"")</f>
      </c>
      <c r="AA327" s="133">
        <f>IF(AND(A327="Модуль",C327&lt;&gt;"",OR($S$6="(все)",B327=$S$6)),MAX($AA$3:AA326)+1,"")</f>
      </c>
      <c r="AB327" s="133">
        <f>IFERROR(INDEX($C$4:$C$500,MATCH(ROW()-3,$AA$4:$AA$500,0)),"")</f>
      </c>
      <c r="AC327" s="133">
        <f>IF(OR(B327="",COUNTIF($B$4:B327,B327)&gt;1),"",MAX($AC$3:AC326)+1)</f>
      </c>
      <c r="AD327" s="133">
        <f>IFERROR(INDEX($B$4:$B$500,MATCH(ROW()-3,$AC$4:$AC$500,0)),"")</f>
      </c>
      <c r="AE327" s="133">
        <f>IF(AND(A327&lt;&gt;"",N(P327)&gt;0),IFERROR(MATCH(A327,$R$12:$R$25,0),99)*1000+ROW(),"")</f>
      </c>
      <c r="AF327" s="133">
        <f>IF(AE327="","",COUNTIF($AE$4:$AE$500,"&lt;="&amp;AE327))</f>
      </c>
    </row>
    <row r="328">
      <c r="A328" s="265"/>
      <c r="B328" s="265"/>
      <c r="C328" s="265"/>
      <c r="D328" s="265"/>
      <c r="E328" s="265"/>
      <c r="F328" s="265"/>
      <c r="G328" s="265"/>
      <c r="H328" s="265"/>
      <c r="I328" s="265"/>
      <c r="J328" s="265"/>
      <c r="K328" s="265"/>
      <c r="L328" s="265"/>
      <c r="M328" s="265"/>
      <c r="N328" s="133">
        <f>IF(OR(A328="Автомат",A328="Дифавтомат"),IF(W328="","",COUNTIF(Однолинейка!$H$3:$H$1000,U328)),IF(A328="Аппарат",IF(C328="","",COUNTIF(Однолинейка!$I$3:$I$1000,C328)+COUNTIF(Однолинейка!$J$3:$J$1000,C328)+COUNTIF(Однолинейка!$K$3:$K$1000,C328)),IF(A328="Модуль",IF(C328="","",COUNTIFS(Однолинейка!$AW$3:$AW$1000,"?*",Однолинейка!$AI$3:$AI$1000,C328)),IF(A328="Клемма",IF(C328="","",IF(C328=$S$7,SUM(Однолинейка!$BW$3:$BW$1000),IF(C328=$S$8,SUM(Однолинейка!$BX$3:$BX$1000),""))),""))))</f>
      </c>
      <c r="O328" s="265"/>
      <c r="P328" s="133">
        <f>IF(COUNT(N328,O328)=0,"",SUM(N328,O328))</f>
      </c>
      <c r="U328" s="133">
        <f>IF(OR(A328="Автомат",A328="Дифавтомат"),I328&amp;" С"&amp;J328&amp;"А"&amp;IF(K328="да"," 30мА",""),"")</f>
      </c>
      <c r="V328" s="133">
        <f>IF(U328="","",B328&amp;"|"&amp;U328)</f>
      </c>
      <c r="W328" s="133">
        <f>IF(AND(U328&lt;&gt;"",OR($S$4="(все)",B328=$S$4),IF($S$4="(все)",COUNTIF($U$4:U328,U328),COUNTIFS($U$4:U328,U328,$B$4:B328,B328))=1),MAX($W$3:W327)+1,"")</f>
      </c>
      <c r="X328" s="133">
        <f>IFERROR(INDEX($U$4:$U$500,MATCH(ROW()-3,$W$4:$W$500,0)),"")</f>
      </c>
      <c r="Y328" s="133">
        <f>IF(AND(A328="Аппарат",C328&lt;&gt;"",OR($S$5="(все)",B328=$S$5)),MAX($Y$3:Y327)+1,"")</f>
      </c>
      <c r="Z328" s="133">
        <f>IFERROR(INDEX($C$4:$C$500,MATCH(ROW()-3,$Y$4:$Y$500,0)),"")</f>
      </c>
      <c r="AA328" s="133">
        <f>IF(AND(A328="Модуль",C328&lt;&gt;"",OR($S$6="(все)",B328=$S$6)),MAX($AA$3:AA327)+1,"")</f>
      </c>
      <c r="AB328" s="133">
        <f>IFERROR(INDEX($C$4:$C$500,MATCH(ROW()-3,$AA$4:$AA$500,0)),"")</f>
      </c>
      <c r="AC328" s="133">
        <f>IF(OR(B328="",COUNTIF($B$4:B328,B328)&gt;1),"",MAX($AC$3:AC327)+1)</f>
      </c>
      <c r="AD328" s="133">
        <f>IFERROR(INDEX($B$4:$B$500,MATCH(ROW()-3,$AC$4:$AC$500,0)),"")</f>
      </c>
      <c r="AE328" s="133">
        <f>IF(AND(A328&lt;&gt;"",N(P328)&gt;0),IFERROR(MATCH(A328,$R$12:$R$25,0),99)*1000+ROW(),"")</f>
      </c>
      <c r="AF328" s="133">
        <f>IF(AE328="","",COUNTIF($AE$4:$AE$500,"&lt;="&amp;AE328))</f>
      </c>
    </row>
    <row r="329">
      <c r="A329" s="265"/>
      <c r="B329" s="265"/>
      <c r="C329" s="265"/>
      <c r="D329" s="265"/>
      <c r="E329" s="265"/>
      <c r="F329" s="265"/>
      <c r="G329" s="265"/>
      <c r="H329" s="265"/>
      <c r="I329" s="265"/>
      <c r="J329" s="265"/>
      <c r="K329" s="265"/>
      <c r="L329" s="265"/>
      <c r="M329" s="265"/>
      <c r="N329" s="133">
        <f>IF(OR(A329="Автомат",A329="Дифавтомат"),IF(W329="","",COUNTIF(Однолинейка!$H$3:$H$1000,U329)),IF(A329="Аппарат",IF(C329="","",COUNTIF(Однолинейка!$I$3:$I$1000,C329)+COUNTIF(Однолинейка!$J$3:$J$1000,C329)+COUNTIF(Однолинейка!$K$3:$K$1000,C329)),IF(A329="Модуль",IF(C329="","",COUNTIFS(Однолинейка!$AW$3:$AW$1000,"?*",Однолинейка!$AI$3:$AI$1000,C329)),IF(A329="Клемма",IF(C329="","",IF(C329=$S$7,SUM(Однолинейка!$BW$3:$BW$1000),IF(C329=$S$8,SUM(Однолинейка!$BX$3:$BX$1000),""))),""))))</f>
      </c>
      <c r="O329" s="265"/>
      <c r="P329" s="133">
        <f>IF(COUNT(N329,O329)=0,"",SUM(N329,O329))</f>
      </c>
      <c r="U329" s="133">
        <f>IF(OR(A329="Автомат",A329="Дифавтомат"),I329&amp;" С"&amp;J329&amp;"А"&amp;IF(K329="да"," 30мА",""),"")</f>
      </c>
      <c r="V329" s="133">
        <f>IF(U329="","",B329&amp;"|"&amp;U329)</f>
      </c>
      <c r="W329" s="133">
        <f>IF(AND(U329&lt;&gt;"",OR($S$4="(все)",B329=$S$4),IF($S$4="(все)",COUNTIF($U$4:U329,U329),COUNTIFS($U$4:U329,U329,$B$4:B329,B329))=1),MAX($W$3:W328)+1,"")</f>
      </c>
      <c r="X329" s="133">
        <f>IFERROR(INDEX($U$4:$U$500,MATCH(ROW()-3,$W$4:$W$500,0)),"")</f>
      </c>
      <c r="Y329" s="133">
        <f>IF(AND(A329="Аппарат",C329&lt;&gt;"",OR($S$5="(все)",B329=$S$5)),MAX($Y$3:Y328)+1,"")</f>
      </c>
      <c r="Z329" s="133">
        <f>IFERROR(INDEX($C$4:$C$500,MATCH(ROW()-3,$Y$4:$Y$500,0)),"")</f>
      </c>
      <c r="AA329" s="133">
        <f>IF(AND(A329="Модуль",C329&lt;&gt;"",OR($S$6="(все)",B329=$S$6)),MAX($AA$3:AA328)+1,"")</f>
      </c>
      <c r="AB329" s="133">
        <f>IFERROR(INDEX($C$4:$C$500,MATCH(ROW()-3,$AA$4:$AA$500,0)),"")</f>
      </c>
      <c r="AC329" s="133">
        <f>IF(OR(B329="",COUNTIF($B$4:B329,B329)&gt;1),"",MAX($AC$3:AC328)+1)</f>
      </c>
      <c r="AD329" s="133">
        <f>IFERROR(INDEX($B$4:$B$500,MATCH(ROW()-3,$AC$4:$AC$500,0)),"")</f>
      </c>
      <c r="AE329" s="133">
        <f>IF(AND(A329&lt;&gt;"",N(P329)&gt;0),IFERROR(MATCH(A329,$R$12:$R$25,0),99)*1000+ROW(),"")</f>
      </c>
      <c r="AF329" s="133">
        <f>IF(AE329="","",COUNTIF($AE$4:$AE$500,"&lt;="&amp;AE329))</f>
      </c>
    </row>
    <row r="330">
      <c r="A330" s="265"/>
      <c r="B330" s="265"/>
      <c r="C330" s="265"/>
      <c r="D330" s="265"/>
      <c r="E330" s="265"/>
      <c r="F330" s="265"/>
      <c r="G330" s="265"/>
      <c r="H330" s="265"/>
      <c r="I330" s="265"/>
      <c r="J330" s="265"/>
      <c r="K330" s="265"/>
      <c r="L330" s="265"/>
      <c r="M330" s="265"/>
      <c r="N330" s="133">
        <f>IF(OR(A330="Автомат",A330="Дифавтомат"),IF(W330="","",COUNTIF(Однолинейка!$H$3:$H$1000,U330)),IF(A330="Аппарат",IF(C330="","",COUNTIF(Однолинейка!$I$3:$I$1000,C330)+COUNTIF(Однолинейка!$J$3:$J$1000,C330)+COUNTIF(Однолинейка!$K$3:$K$1000,C330)),IF(A330="Модуль",IF(C330="","",COUNTIFS(Однолинейка!$AW$3:$AW$1000,"?*",Однолинейка!$AI$3:$AI$1000,C330)),IF(A330="Клемма",IF(C330="","",IF(C330=$S$7,SUM(Однолинейка!$BW$3:$BW$1000),IF(C330=$S$8,SUM(Однолинейка!$BX$3:$BX$1000),""))),""))))</f>
      </c>
      <c r="O330" s="265"/>
      <c r="P330" s="133">
        <f>IF(COUNT(N330,O330)=0,"",SUM(N330,O330))</f>
      </c>
      <c r="U330" s="133">
        <f>IF(OR(A330="Автомат",A330="Дифавтомат"),I330&amp;" С"&amp;J330&amp;"А"&amp;IF(K330="да"," 30мА",""),"")</f>
      </c>
      <c r="V330" s="133">
        <f>IF(U330="","",B330&amp;"|"&amp;U330)</f>
      </c>
      <c r="W330" s="133">
        <f>IF(AND(U330&lt;&gt;"",OR($S$4="(все)",B330=$S$4),IF($S$4="(все)",COUNTIF($U$4:U330,U330),COUNTIFS($U$4:U330,U330,$B$4:B330,B330))=1),MAX($W$3:W329)+1,"")</f>
      </c>
      <c r="X330" s="133">
        <f>IFERROR(INDEX($U$4:$U$500,MATCH(ROW()-3,$W$4:$W$500,0)),"")</f>
      </c>
      <c r="Y330" s="133">
        <f>IF(AND(A330="Аппарат",C330&lt;&gt;"",OR($S$5="(все)",B330=$S$5)),MAX($Y$3:Y329)+1,"")</f>
      </c>
      <c r="Z330" s="133">
        <f>IFERROR(INDEX($C$4:$C$500,MATCH(ROW()-3,$Y$4:$Y$500,0)),"")</f>
      </c>
      <c r="AA330" s="133">
        <f>IF(AND(A330="Модуль",C330&lt;&gt;"",OR($S$6="(все)",B330=$S$6)),MAX($AA$3:AA329)+1,"")</f>
      </c>
      <c r="AB330" s="133">
        <f>IFERROR(INDEX($C$4:$C$500,MATCH(ROW()-3,$AA$4:$AA$500,0)),"")</f>
      </c>
      <c r="AC330" s="133">
        <f>IF(OR(B330="",COUNTIF($B$4:B330,B330)&gt;1),"",MAX($AC$3:AC329)+1)</f>
      </c>
      <c r="AD330" s="133">
        <f>IFERROR(INDEX($B$4:$B$500,MATCH(ROW()-3,$AC$4:$AC$500,0)),"")</f>
      </c>
      <c r="AE330" s="133">
        <f>IF(AND(A330&lt;&gt;"",N(P330)&gt;0),IFERROR(MATCH(A330,$R$12:$R$25,0),99)*1000+ROW(),"")</f>
      </c>
      <c r="AF330" s="133">
        <f>IF(AE330="","",COUNTIF($AE$4:$AE$500,"&lt;="&amp;AE330))</f>
      </c>
    </row>
    <row r="331">
      <c r="A331" s="265"/>
      <c r="B331" s="265"/>
      <c r="C331" s="265"/>
      <c r="D331" s="265"/>
      <c r="E331" s="265"/>
      <c r="F331" s="265"/>
      <c r="G331" s="265"/>
      <c r="H331" s="265"/>
      <c r="I331" s="265"/>
      <c r="J331" s="265"/>
      <c r="K331" s="265"/>
      <c r="L331" s="265"/>
      <c r="M331" s="265"/>
      <c r="N331" s="133">
        <f>IF(OR(A331="Автомат",A331="Дифавтомат"),IF(W331="","",COUNTIF(Однолинейка!$H$3:$H$1000,U331)),IF(A331="Аппарат",IF(C331="","",COUNTIF(Однолинейка!$I$3:$I$1000,C331)+COUNTIF(Однолинейка!$J$3:$J$1000,C331)+COUNTIF(Однолинейка!$K$3:$K$1000,C331)),IF(A331="Модуль",IF(C331="","",COUNTIFS(Однолинейка!$AW$3:$AW$1000,"?*",Однолинейка!$AI$3:$AI$1000,C331)),IF(A331="Клемма",IF(C331="","",IF(C331=$S$7,SUM(Однолинейка!$BW$3:$BW$1000),IF(C331=$S$8,SUM(Однолинейка!$BX$3:$BX$1000),""))),""))))</f>
      </c>
      <c r="O331" s="265"/>
      <c r="P331" s="133">
        <f>IF(COUNT(N331,O331)=0,"",SUM(N331,O331))</f>
      </c>
      <c r="U331" s="133">
        <f>IF(OR(A331="Автомат",A331="Дифавтомат"),I331&amp;" С"&amp;J331&amp;"А"&amp;IF(K331="да"," 30мА",""),"")</f>
      </c>
      <c r="V331" s="133">
        <f>IF(U331="","",B331&amp;"|"&amp;U331)</f>
      </c>
      <c r="W331" s="133">
        <f>IF(AND(U331&lt;&gt;"",OR($S$4="(все)",B331=$S$4),IF($S$4="(все)",COUNTIF($U$4:U331,U331),COUNTIFS($U$4:U331,U331,$B$4:B331,B331))=1),MAX($W$3:W330)+1,"")</f>
      </c>
      <c r="X331" s="133">
        <f>IFERROR(INDEX($U$4:$U$500,MATCH(ROW()-3,$W$4:$W$500,0)),"")</f>
      </c>
      <c r="Y331" s="133">
        <f>IF(AND(A331="Аппарат",C331&lt;&gt;"",OR($S$5="(все)",B331=$S$5)),MAX($Y$3:Y330)+1,"")</f>
      </c>
      <c r="Z331" s="133">
        <f>IFERROR(INDEX($C$4:$C$500,MATCH(ROW()-3,$Y$4:$Y$500,0)),"")</f>
      </c>
      <c r="AA331" s="133">
        <f>IF(AND(A331="Модуль",C331&lt;&gt;"",OR($S$6="(все)",B331=$S$6)),MAX($AA$3:AA330)+1,"")</f>
      </c>
      <c r="AB331" s="133">
        <f>IFERROR(INDEX($C$4:$C$500,MATCH(ROW()-3,$AA$4:$AA$500,0)),"")</f>
      </c>
      <c r="AC331" s="133">
        <f>IF(OR(B331="",COUNTIF($B$4:B331,B331)&gt;1),"",MAX($AC$3:AC330)+1)</f>
      </c>
      <c r="AD331" s="133">
        <f>IFERROR(INDEX($B$4:$B$500,MATCH(ROW()-3,$AC$4:$AC$500,0)),"")</f>
      </c>
      <c r="AE331" s="133">
        <f>IF(AND(A331&lt;&gt;"",N(P331)&gt;0),IFERROR(MATCH(A331,$R$12:$R$25,0),99)*1000+ROW(),"")</f>
      </c>
      <c r="AF331" s="133">
        <f>IF(AE331="","",COUNTIF($AE$4:$AE$500,"&lt;="&amp;AE331))</f>
      </c>
    </row>
    <row r="332">
      <c r="A332" s="265"/>
      <c r="B332" s="265"/>
      <c r="C332" s="265"/>
      <c r="D332" s="265"/>
      <c r="E332" s="265"/>
      <c r="F332" s="265"/>
      <c r="G332" s="265"/>
      <c r="H332" s="265"/>
      <c r="I332" s="265"/>
      <c r="J332" s="265"/>
      <c r="K332" s="265"/>
      <c r="L332" s="265"/>
      <c r="M332" s="265"/>
      <c r="N332" s="133">
        <f>IF(OR(A332="Автомат",A332="Дифавтомат"),IF(W332="","",COUNTIF(Однолинейка!$H$3:$H$1000,U332)),IF(A332="Аппарат",IF(C332="","",COUNTIF(Однолинейка!$I$3:$I$1000,C332)+COUNTIF(Однолинейка!$J$3:$J$1000,C332)+COUNTIF(Однолинейка!$K$3:$K$1000,C332)),IF(A332="Модуль",IF(C332="","",COUNTIFS(Однолинейка!$AW$3:$AW$1000,"?*",Однолинейка!$AI$3:$AI$1000,C332)),IF(A332="Клемма",IF(C332="","",IF(C332=$S$7,SUM(Однолинейка!$BW$3:$BW$1000),IF(C332=$S$8,SUM(Однолинейка!$BX$3:$BX$1000),""))),""))))</f>
      </c>
      <c r="O332" s="265"/>
      <c r="P332" s="133">
        <f>IF(COUNT(N332,O332)=0,"",SUM(N332,O332))</f>
      </c>
      <c r="U332" s="133">
        <f>IF(OR(A332="Автомат",A332="Дифавтомат"),I332&amp;" С"&amp;J332&amp;"А"&amp;IF(K332="да"," 30мА",""),"")</f>
      </c>
      <c r="V332" s="133">
        <f>IF(U332="","",B332&amp;"|"&amp;U332)</f>
      </c>
      <c r="W332" s="133">
        <f>IF(AND(U332&lt;&gt;"",OR($S$4="(все)",B332=$S$4),IF($S$4="(все)",COUNTIF($U$4:U332,U332),COUNTIFS($U$4:U332,U332,$B$4:B332,B332))=1),MAX($W$3:W331)+1,"")</f>
      </c>
      <c r="X332" s="133">
        <f>IFERROR(INDEX($U$4:$U$500,MATCH(ROW()-3,$W$4:$W$500,0)),"")</f>
      </c>
      <c r="Y332" s="133">
        <f>IF(AND(A332="Аппарат",C332&lt;&gt;"",OR($S$5="(все)",B332=$S$5)),MAX($Y$3:Y331)+1,"")</f>
      </c>
      <c r="Z332" s="133">
        <f>IFERROR(INDEX($C$4:$C$500,MATCH(ROW()-3,$Y$4:$Y$500,0)),"")</f>
      </c>
      <c r="AA332" s="133">
        <f>IF(AND(A332="Модуль",C332&lt;&gt;"",OR($S$6="(все)",B332=$S$6)),MAX($AA$3:AA331)+1,"")</f>
      </c>
      <c r="AB332" s="133">
        <f>IFERROR(INDEX($C$4:$C$500,MATCH(ROW()-3,$AA$4:$AA$500,0)),"")</f>
      </c>
      <c r="AC332" s="133">
        <f>IF(OR(B332="",COUNTIF($B$4:B332,B332)&gt;1),"",MAX($AC$3:AC331)+1)</f>
      </c>
      <c r="AD332" s="133">
        <f>IFERROR(INDEX($B$4:$B$500,MATCH(ROW()-3,$AC$4:$AC$500,0)),"")</f>
      </c>
      <c r="AE332" s="133">
        <f>IF(AND(A332&lt;&gt;"",N(P332)&gt;0),IFERROR(MATCH(A332,$R$12:$R$25,0),99)*1000+ROW(),"")</f>
      </c>
      <c r="AF332" s="133">
        <f>IF(AE332="","",COUNTIF($AE$4:$AE$500,"&lt;="&amp;AE332))</f>
      </c>
    </row>
    <row r="333">
      <c r="A333" s="265"/>
      <c r="B333" s="265"/>
      <c r="C333" s="265"/>
      <c r="D333" s="265"/>
      <c r="E333" s="265"/>
      <c r="F333" s="265"/>
      <c r="G333" s="265"/>
      <c r="H333" s="265"/>
      <c r="I333" s="265"/>
      <c r="J333" s="265"/>
      <c r="K333" s="265"/>
      <c r="L333" s="265"/>
      <c r="M333" s="265"/>
      <c r="N333" s="133">
        <f>IF(OR(A333="Автомат",A333="Дифавтомат"),IF(W333="","",COUNTIF(Однолинейка!$H$3:$H$1000,U333)),IF(A333="Аппарат",IF(C333="","",COUNTIF(Однолинейка!$I$3:$I$1000,C333)+COUNTIF(Однолинейка!$J$3:$J$1000,C333)+COUNTIF(Однолинейка!$K$3:$K$1000,C333)),IF(A333="Модуль",IF(C333="","",COUNTIFS(Однолинейка!$AW$3:$AW$1000,"?*",Однолинейка!$AI$3:$AI$1000,C333)),IF(A333="Клемма",IF(C333="","",IF(C333=$S$7,SUM(Однолинейка!$BW$3:$BW$1000),IF(C333=$S$8,SUM(Однолинейка!$BX$3:$BX$1000),""))),""))))</f>
      </c>
      <c r="O333" s="265"/>
      <c r="P333" s="133">
        <f>IF(COUNT(N333,O333)=0,"",SUM(N333,O333))</f>
      </c>
      <c r="U333" s="133">
        <f>IF(OR(A333="Автомат",A333="Дифавтомат"),I333&amp;" С"&amp;J333&amp;"А"&amp;IF(K333="да"," 30мА",""),"")</f>
      </c>
      <c r="V333" s="133">
        <f>IF(U333="","",B333&amp;"|"&amp;U333)</f>
      </c>
      <c r="W333" s="133">
        <f>IF(AND(U333&lt;&gt;"",OR($S$4="(все)",B333=$S$4),IF($S$4="(все)",COUNTIF($U$4:U333,U333),COUNTIFS($U$4:U333,U333,$B$4:B333,B333))=1),MAX($W$3:W332)+1,"")</f>
      </c>
      <c r="X333" s="133">
        <f>IFERROR(INDEX($U$4:$U$500,MATCH(ROW()-3,$W$4:$W$500,0)),"")</f>
      </c>
      <c r="Y333" s="133">
        <f>IF(AND(A333="Аппарат",C333&lt;&gt;"",OR($S$5="(все)",B333=$S$5)),MAX($Y$3:Y332)+1,"")</f>
      </c>
      <c r="Z333" s="133">
        <f>IFERROR(INDEX($C$4:$C$500,MATCH(ROW()-3,$Y$4:$Y$500,0)),"")</f>
      </c>
      <c r="AA333" s="133">
        <f>IF(AND(A333="Модуль",C333&lt;&gt;"",OR($S$6="(все)",B333=$S$6)),MAX($AA$3:AA332)+1,"")</f>
      </c>
      <c r="AB333" s="133">
        <f>IFERROR(INDEX($C$4:$C$500,MATCH(ROW()-3,$AA$4:$AA$500,0)),"")</f>
      </c>
      <c r="AC333" s="133">
        <f>IF(OR(B333="",COUNTIF($B$4:B333,B333)&gt;1),"",MAX($AC$3:AC332)+1)</f>
      </c>
      <c r="AD333" s="133">
        <f>IFERROR(INDEX($B$4:$B$500,MATCH(ROW()-3,$AC$4:$AC$500,0)),"")</f>
      </c>
      <c r="AE333" s="133">
        <f>IF(AND(A333&lt;&gt;"",N(P333)&gt;0),IFERROR(MATCH(A333,$R$12:$R$25,0),99)*1000+ROW(),"")</f>
      </c>
      <c r="AF333" s="133">
        <f>IF(AE333="","",COUNTIF($AE$4:$AE$500,"&lt;="&amp;AE333))</f>
      </c>
    </row>
    <row r="334">
      <c r="A334" s="265"/>
      <c r="B334" s="265"/>
      <c r="C334" s="265"/>
      <c r="D334" s="265"/>
      <c r="E334" s="265"/>
      <c r="F334" s="265"/>
      <c r="G334" s="265"/>
      <c r="H334" s="265"/>
      <c r="I334" s="265"/>
      <c r="J334" s="265"/>
      <c r="K334" s="265"/>
      <c r="L334" s="265"/>
      <c r="M334" s="265"/>
      <c r="N334" s="133">
        <f>IF(OR(A334="Автомат",A334="Дифавтомат"),IF(W334="","",COUNTIF(Однолинейка!$H$3:$H$1000,U334)),IF(A334="Аппарат",IF(C334="","",COUNTIF(Однолинейка!$I$3:$I$1000,C334)+COUNTIF(Однолинейка!$J$3:$J$1000,C334)+COUNTIF(Однолинейка!$K$3:$K$1000,C334)),IF(A334="Модуль",IF(C334="","",COUNTIFS(Однолинейка!$AW$3:$AW$1000,"?*",Однолинейка!$AI$3:$AI$1000,C334)),IF(A334="Клемма",IF(C334="","",IF(C334=$S$7,SUM(Однолинейка!$BW$3:$BW$1000),IF(C334=$S$8,SUM(Однолинейка!$BX$3:$BX$1000),""))),""))))</f>
      </c>
      <c r="O334" s="265"/>
      <c r="P334" s="133">
        <f>IF(COUNT(N334,O334)=0,"",SUM(N334,O334))</f>
      </c>
      <c r="U334" s="133">
        <f>IF(OR(A334="Автомат",A334="Дифавтомат"),I334&amp;" С"&amp;J334&amp;"А"&amp;IF(K334="да"," 30мА",""),"")</f>
      </c>
      <c r="V334" s="133">
        <f>IF(U334="","",B334&amp;"|"&amp;U334)</f>
      </c>
      <c r="W334" s="133">
        <f>IF(AND(U334&lt;&gt;"",OR($S$4="(все)",B334=$S$4),IF($S$4="(все)",COUNTIF($U$4:U334,U334),COUNTIFS($U$4:U334,U334,$B$4:B334,B334))=1),MAX($W$3:W333)+1,"")</f>
      </c>
      <c r="X334" s="133">
        <f>IFERROR(INDEX($U$4:$U$500,MATCH(ROW()-3,$W$4:$W$500,0)),"")</f>
      </c>
      <c r="Y334" s="133">
        <f>IF(AND(A334="Аппарат",C334&lt;&gt;"",OR($S$5="(все)",B334=$S$5)),MAX($Y$3:Y333)+1,"")</f>
      </c>
      <c r="Z334" s="133">
        <f>IFERROR(INDEX($C$4:$C$500,MATCH(ROW()-3,$Y$4:$Y$500,0)),"")</f>
      </c>
      <c r="AA334" s="133">
        <f>IF(AND(A334="Модуль",C334&lt;&gt;"",OR($S$6="(все)",B334=$S$6)),MAX($AA$3:AA333)+1,"")</f>
      </c>
      <c r="AB334" s="133">
        <f>IFERROR(INDEX($C$4:$C$500,MATCH(ROW()-3,$AA$4:$AA$500,0)),"")</f>
      </c>
      <c r="AC334" s="133">
        <f>IF(OR(B334="",COUNTIF($B$4:B334,B334)&gt;1),"",MAX($AC$3:AC333)+1)</f>
      </c>
      <c r="AD334" s="133">
        <f>IFERROR(INDEX($B$4:$B$500,MATCH(ROW()-3,$AC$4:$AC$500,0)),"")</f>
      </c>
      <c r="AE334" s="133">
        <f>IF(AND(A334&lt;&gt;"",N(P334)&gt;0),IFERROR(MATCH(A334,$R$12:$R$25,0),99)*1000+ROW(),"")</f>
      </c>
      <c r="AF334" s="133">
        <f>IF(AE334="","",COUNTIF($AE$4:$AE$500,"&lt;="&amp;AE334))</f>
      </c>
    </row>
    <row r="335">
      <c r="A335" s="265"/>
      <c r="B335" s="265"/>
      <c r="C335" s="265"/>
      <c r="D335" s="265"/>
      <c r="E335" s="265"/>
      <c r="F335" s="265"/>
      <c r="G335" s="265"/>
      <c r="H335" s="265"/>
      <c r="I335" s="265"/>
      <c r="J335" s="265"/>
      <c r="K335" s="265"/>
      <c r="L335" s="265"/>
      <c r="M335" s="265"/>
      <c r="N335" s="133">
        <f>IF(OR(A335="Автомат",A335="Дифавтомат"),IF(W335="","",COUNTIF(Однолинейка!$H$3:$H$1000,U335)),IF(A335="Аппарат",IF(C335="","",COUNTIF(Однолинейка!$I$3:$I$1000,C335)+COUNTIF(Однолинейка!$J$3:$J$1000,C335)+COUNTIF(Однолинейка!$K$3:$K$1000,C335)),IF(A335="Модуль",IF(C335="","",COUNTIFS(Однолинейка!$AW$3:$AW$1000,"?*",Однолинейка!$AI$3:$AI$1000,C335)),IF(A335="Клемма",IF(C335="","",IF(C335=$S$7,SUM(Однолинейка!$BW$3:$BW$1000),IF(C335=$S$8,SUM(Однолинейка!$BX$3:$BX$1000),""))),""))))</f>
      </c>
      <c r="O335" s="265"/>
      <c r="P335" s="133">
        <f>IF(COUNT(N335,O335)=0,"",SUM(N335,O335))</f>
      </c>
      <c r="U335" s="133">
        <f>IF(OR(A335="Автомат",A335="Дифавтомат"),I335&amp;" С"&amp;J335&amp;"А"&amp;IF(K335="да"," 30мА",""),"")</f>
      </c>
      <c r="V335" s="133">
        <f>IF(U335="","",B335&amp;"|"&amp;U335)</f>
      </c>
      <c r="W335" s="133">
        <f>IF(AND(U335&lt;&gt;"",OR($S$4="(все)",B335=$S$4),IF($S$4="(все)",COUNTIF($U$4:U335,U335),COUNTIFS($U$4:U335,U335,$B$4:B335,B335))=1),MAX($W$3:W334)+1,"")</f>
      </c>
      <c r="X335" s="133">
        <f>IFERROR(INDEX($U$4:$U$500,MATCH(ROW()-3,$W$4:$W$500,0)),"")</f>
      </c>
      <c r="Y335" s="133">
        <f>IF(AND(A335="Аппарат",C335&lt;&gt;"",OR($S$5="(все)",B335=$S$5)),MAX($Y$3:Y334)+1,"")</f>
      </c>
      <c r="Z335" s="133">
        <f>IFERROR(INDEX($C$4:$C$500,MATCH(ROW()-3,$Y$4:$Y$500,0)),"")</f>
      </c>
      <c r="AA335" s="133">
        <f>IF(AND(A335="Модуль",C335&lt;&gt;"",OR($S$6="(все)",B335=$S$6)),MAX($AA$3:AA334)+1,"")</f>
      </c>
      <c r="AB335" s="133">
        <f>IFERROR(INDEX($C$4:$C$500,MATCH(ROW()-3,$AA$4:$AA$500,0)),"")</f>
      </c>
      <c r="AC335" s="133">
        <f>IF(OR(B335="",COUNTIF($B$4:B335,B335)&gt;1),"",MAX($AC$3:AC334)+1)</f>
      </c>
      <c r="AD335" s="133">
        <f>IFERROR(INDEX($B$4:$B$500,MATCH(ROW()-3,$AC$4:$AC$500,0)),"")</f>
      </c>
      <c r="AE335" s="133">
        <f>IF(AND(A335&lt;&gt;"",N(P335)&gt;0),IFERROR(MATCH(A335,$R$12:$R$25,0),99)*1000+ROW(),"")</f>
      </c>
      <c r="AF335" s="133">
        <f>IF(AE335="","",COUNTIF($AE$4:$AE$500,"&lt;="&amp;AE335))</f>
      </c>
    </row>
    <row r="336">
      <c r="A336" s="265"/>
      <c r="B336" s="265"/>
      <c r="C336" s="265"/>
      <c r="D336" s="265"/>
      <c r="E336" s="265"/>
      <c r="F336" s="265"/>
      <c r="G336" s="265"/>
      <c r="H336" s="265"/>
      <c r="I336" s="265"/>
      <c r="J336" s="265"/>
      <c r="K336" s="265"/>
      <c r="L336" s="265"/>
      <c r="M336" s="265"/>
      <c r="N336" s="133">
        <f>IF(OR(A336="Автомат",A336="Дифавтомат"),IF(W336="","",COUNTIF(Однолинейка!$H$3:$H$1000,U336)),IF(A336="Аппарат",IF(C336="","",COUNTIF(Однолинейка!$I$3:$I$1000,C336)+COUNTIF(Однолинейка!$J$3:$J$1000,C336)+COUNTIF(Однолинейка!$K$3:$K$1000,C336)),IF(A336="Модуль",IF(C336="","",COUNTIFS(Однолинейка!$AW$3:$AW$1000,"?*",Однолинейка!$AI$3:$AI$1000,C336)),IF(A336="Клемма",IF(C336="","",IF(C336=$S$7,SUM(Однолинейка!$BW$3:$BW$1000),IF(C336=$S$8,SUM(Однолинейка!$BX$3:$BX$1000),""))),""))))</f>
      </c>
      <c r="O336" s="265"/>
      <c r="P336" s="133">
        <f>IF(COUNT(N336,O336)=0,"",SUM(N336,O336))</f>
      </c>
      <c r="U336" s="133">
        <f>IF(OR(A336="Автомат",A336="Дифавтомат"),I336&amp;" С"&amp;J336&amp;"А"&amp;IF(K336="да"," 30мА",""),"")</f>
      </c>
      <c r="V336" s="133">
        <f>IF(U336="","",B336&amp;"|"&amp;U336)</f>
      </c>
      <c r="W336" s="133">
        <f>IF(AND(U336&lt;&gt;"",OR($S$4="(все)",B336=$S$4),IF($S$4="(все)",COUNTIF($U$4:U336,U336),COUNTIFS($U$4:U336,U336,$B$4:B336,B336))=1),MAX($W$3:W335)+1,"")</f>
      </c>
      <c r="X336" s="133">
        <f>IFERROR(INDEX($U$4:$U$500,MATCH(ROW()-3,$W$4:$W$500,0)),"")</f>
      </c>
      <c r="Y336" s="133">
        <f>IF(AND(A336="Аппарат",C336&lt;&gt;"",OR($S$5="(все)",B336=$S$5)),MAX($Y$3:Y335)+1,"")</f>
      </c>
      <c r="Z336" s="133">
        <f>IFERROR(INDEX($C$4:$C$500,MATCH(ROW()-3,$Y$4:$Y$500,0)),"")</f>
      </c>
      <c r="AA336" s="133">
        <f>IF(AND(A336="Модуль",C336&lt;&gt;"",OR($S$6="(все)",B336=$S$6)),MAX($AA$3:AA335)+1,"")</f>
      </c>
      <c r="AB336" s="133">
        <f>IFERROR(INDEX($C$4:$C$500,MATCH(ROW()-3,$AA$4:$AA$500,0)),"")</f>
      </c>
      <c r="AC336" s="133">
        <f>IF(OR(B336="",COUNTIF($B$4:B336,B336)&gt;1),"",MAX($AC$3:AC335)+1)</f>
      </c>
      <c r="AD336" s="133">
        <f>IFERROR(INDEX($B$4:$B$500,MATCH(ROW()-3,$AC$4:$AC$500,0)),"")</f>
      </c>
      <c r="AE336" s="133">
        <f>IF(AND(A336&lt;&gt;"",N(P336)&gt;0),IFERROR(MATCH(A336,$R$12:$R$25,0),99)*1000+ROW(),"")</f>
      </c>
      <c r="AF336" s="133">
        <f>IF(AE336="","",COUNTIF($AE$4:$AE$500,"&lt;="&amp;AE336))</f>
      </c>
    </row>
    <row r="337">
      <c r="A337" s="265"/>
      <c r="B337" s="265"/>
      <c r="C337" s="265"/>
      <c r="D337" s="265"/>
      <c r="E337" s="265"/>
      <c r="F337" s="265"/>
      <c r="G337" s="265"/>
      <c r="H337" s="265"/>
      <c r="I337" s="265"/>
      <c r="J337" s="265"/>
      <c r="K337" s="265"/>
      <c r="L337" s="265"/>
      <c r="M337" s="265"/>
      <c r="N337" s="133">
        <f>IF(OR(A337="Автомат",A337="Дифавтомат"),IF(W337="","",COUNTIF(Однолинейка!$H$3:$H$1000,U337)),IF(A337="Аппарат",IF(C337="","",COUNTIF(Однолинейка!$I$3:$I$1000,C337)+COUNTIF(Однолинейка!$J$3:$J$1000,C337)+COUNTIF(Однолинейка!$K$3:$K$1000,C337)),IF(A337="Модуль",IF(C337="","",COUNTIFS(Однолинейка!$AW$3:$AW$1000,"?*",Однолинейка!$AI$3:$AI$1000,C337)),IF(A337="Клемма",IF(C337="","",IF(C337=$S$7,SUM(Однолинейка!$BW$3:$BW$1000),IF(C337=$S$8,SUM(Однолинейка!$BX$3:$BX$1000),""))),""))))</f>
      </c>
      <c r="O337" s="265"/>
      <c r="P337" s="133">
        <f>IF(COUNT(N337,O337)=0,"",SUM(N337,O337))</f>
      </c>
      <c r="U337" s="133">
        <f>IF(OR(A337="Автомат",A337="Дифавтомат"),I337&amp;" С"&amp;J337&amp;"А"&amp;IF(K337="да"," 30мА",""),"")</f>
      </c>
      <c r="V337" s="133">
        <f>IF(U337="","",B337&amp;"|"&amp;U337)</f>
      </c>
      <c r="W337" s="133">
        <f>IF(AND(U337&lt;&gt;"",OR($S$4="(все)",B337=$S$4),IF($S$4="(все)",COUNTIF($U$4:U337,U337),COUNTIFS($U$4:U337,U337,$B$4:B337,B337))=1),MAX($W$3:W336)+1,"")</f>
      </c>
      <c r="X337" s="133">
        <f>IFERROR(INDEX($U$4:$U$500,MATCH(ROW()-3,$W$4:$W$500,0)),"")</f>
      </c>
      <c r="Y337" s="133">
        <f>IF(AND(A337="Аппарат",C337&lt;&gt;"",OR($S$5="(все)",B337=$S$5)),MAX($Y$3:Y336)+1,"")</f>
      </c>
      <c r="Z337" s="133">
        <f>IFERROR(INDEX($C$4:$C$500,MATCH(ROW()-3,$Y$4:$Y$500,0)),"")</f>
      </c>
      <c r="AA337" s="133">
        <f>IF(AND(A337="Модуль",C337&lt;&gt;"",OR($S$6="(все)",B337=$S$6)),MAX($AA$3:AA336)+1,"")</f>
      </c>
      <c r="AB337" s="133">
        <f>IFERROR(INDEX($C$4:$C$500,MATCH(ROW()-3,$AA$4:$AA$500,0)),"")</f>
      </c>
      <c r="AC337" s="133">
        <f>IF(OR(B337="",COUNTIF($B$4:B337,B337)&gt;1),"",MAX($AC$3:AC336)+1)</f>
      </c>
      <c r="AD337" s="133">
        <f>IFERROR(INDEX($B$4:$B$500,MATCH(ROW()-3,$AC$4:$AC$500,0)),"")</f>
      </c>
      <c r="AE337" s="133">
        <f>IF(AND(A337&lt;&gt;"",N(P337)&gt;0),IFERROR(MATCH(A337,$R$12:$R$25,0),99)*1000+ROW(),"")</f>
      </c>
      <c r="AF337" s="133">
        <f>IF(AE337="","",COUNTIF($AE$4:$AE$500,"&lt;="&amp;AE337))</f>
      </c>
    </row>
    <row r="338">
      <c r="A338" s="265"/>
      <c r="B338" s="265"/>
      <c r="C338" s="265"/>
      <c r="D338" s="265"/>
      <c r="E338" s="265"/>
      <c r="F338" s="265"/>
      <c r="G338" s="265"/>
      <c r="H338" s="265"/>
      <c r="I338" s="265"/>
      <c r="J338" s="265"/>
      <c r="K338" s="265"/>
      <c r="L338" s="265"/>
      <c r="M338" s="265"/>
      <c r="N338" s="133">
        <f>IF(OR(A338="Автомат",A338="Дифавтомат"),IF(W338="","",COUNTIF(Однолинейка!$H$3:$H$1000,U338)),IF(A338="Аппарат",IF(C338="","",COUNTIF(Однолинейка!$I$3:$I$1000,C338)+COUNTIF(Однолинейка!$J$3:$J$1000,C338)+COUNTIF(Однолинейка!$K$3:$K$1000,C338)),IF(A338="Модуль",IF(C338="","",COUNTIFS(Однолинейка!$AW$3:$AW$1000,"?*",Однолинейка!$AI$3:$AI$1000,C338)),IF(A338="Клемма",IF(C338="","",IF(C338=$S$7,SUM(Однолинейка!$BW$3:$BW$1000),IF(C338=$S$8,SUM(Однолинейка!$BX$3:$BX$1000),""))),""))))</f>
      </c>
      <c r="O338" s="265"/>
      <c r="P338" s="133">
        <f>IF(COUNT(N338,O338)=0,"",SUM(N338,O338))</f>
      </c>
      <c r="U338" s="133">
        <f>IF(OR(A338="Автомат",A338="Дифавтомат"),I338&amp;" С"&amp;J338&amp;"А"&amp;IF(K338="да"," 30мА",""),"")</f>
      </c>
      <c r="V338" s="133">
        <f>IF(U338="","",B338&amp;"|"&amp;U338)</f>
      </c>
      <c r="W338" s="133">
        <f>IF(AND(U338&lt;&gt;"",OR($S$4="(все)",B338=$S$4),IF($S$4="(все)",COUNTIF($U$4:U338,U338),COUNTIFS($U$4:U338,U338,$B$4:B338,B338))=1),MAX($W$3:W337)+1,"")</f>
      </c>
      <c r="X338" s="133">
        <f>IFERROR(INDEX($U$4:$U$500,MATCH(ROW()-3,$W$4:$W$500,0)),"")</f>
      </c>
      <c r="Y338" s="133">
        <f>IF(AND(A338="Аппарат",C338&lt;&gt;"",OR($S$5="(все)",B338=$S$5)),MAX($Y$3:Y337)+1,"")</f>
      </c>
      <c r="Z338" s="133">
        <f>IFERROR(INDEX($C$4:$C$500,MATCH(ROW()-3,$Y$4:$Y$500,0)),"")</f>
      </c>
      <c r="AA338" s="133">
        <f>IF(AND(A338="Модуль",C338&lt;&gt;"",OR($S$6="(все)",B338=$S$6)),MAX($AA$3:AA337)+1,"")</f>
      </c>
      <c r="AB338" s="133">
        <f>IFERROR(INDEX($C$4:$C$500,MATCH(ROW()-3,$AA$4:$AA$500,0)),"")</f>
      </c>
      <c r="AC338" s="133">
        <f>IF(OR(B338="",COUNTIF($B$4:B338,B338)&gt;1),"",MAX($AC$3:AC337)+1)</f>
      </c>
      <c r="AD338" s="133">
        <f>IFERROR(INDEX($B$4:$B$500,MATCH(ROW()-3,$AC$4:$AC$500,0)),"")</f>
      </c>
      <c r="AE338" s="133">
        <f>IF(AND(A338&lt;&gt;"",N(P338)&gt;0),IFERROR(MATCH(A338,$R$12:$R$25,0),99)*1000+ROW(),"")</f>
      </c>
      <c r="AF338" s="133">
        <f>IF(AE338="","",COUNTIF($AE$4:$AE$500,"&lt;="&amp;AE338))</f>
      </c>
    </row>
    <row r="339">
      <c r="A339" s="265"/>
      <c r="B339" s="265"/>
      <c r="C339" s="265"/>
      <c r="D339" s="265"/>
      <c r="E339" s="265"/>
      <c r="F339" s="265"/>
      <c r="G339" s="265"/>
      <c r="H339" s="265"/>
      <c r="I339" s="265"/>
      <c r="J339" s="265"/>
      <c r="K339" s="265"/>
      <c r="L339" s="265"/>
      <c r="M339" s="265"/>
      <c r="N339" s="133">
        <f>IF(OR(A339="Автомат",A339="Дифавтомат"),IF(W339="","",COUNTIF(Однолинейка!$H$3:$H$1000,U339)),IF(A339="Аппарат",IF(C339="","",COUNTIF(Однолинейка!$I$3:$I$1000,C339)+COUNTIF(Однолинейка!$J$3:$J$1000,C339)+COUNTIF(Однолинейка!$K$3:$K$1000,C339)),IF(A339="Модуль",IF(C339="","",COUNTIFS(Однолинейка!$AW$3:$AW$1000,"?*",Однолинейка!$AI$3:$AI$1000,C339)),IF(A339="Клемма",IF(C339="","",IF(C339=$S$7,SUM(Однолинейка!$BW$3:$BW$1000),IF(C339=$S$8,SUM(Однолинейка!$BX$3:$BX$1000),""))),""))))</f>
      </c>
      <c r="O339" s="265"/>
      <c r="P339" s="133">
        <f>IF(COUNT(N339,O339)=0,"",SUM(N339,O339))</f>
      </c>
      <c r="U339" s="133">
        <f>IF(OR(A339="Автомат",A339="Дифавтомат"),I339&amp;" С"&amp;J339&amp;"А"&amp;IF(K339="да"," 30мА",""),"")</f>
      </c>
      <c r="V339" s="133">
        <f>IF(U339="","",B339&amp;"|"&amp;U339)</f>
      </c>
      <c r="W339" s="133">
        <f>IF(AND(U339&lt;&gt;"",OR($S$4="(все)",B339=$S$4),IF($S$4="(все)",COUNTIF($U$4:U339,U339),COUNTIFS($U$4:U339,U339,$B$4:B339,B339))=1),MAX($W$3:W338)+1,"")</f>
      </c>
      <c r="X339" s="133">
        <f>IFERROR(INDEX($U$4:$U$500,MATCH(ROW()-3,$W$4:$W$500,0)),"")</f>
      </c>
      <c r="Y339" s="133">
        <f>IF(AND(A339="Аппарат",C339&lt;&gt;"",OR($S$5="(все)",B339=$S$5)),MAX($Y$3:Y338)+1,"")</f>
      </c>
      <c r="Z339" s="133">
        <f>IFERROR(INDEX($C$4:$C$500,MATCH(ROW()-3,$Y$4:$Y$500,0)),"")</f>
      </c>
      <c r="AA339" s="133">
        <f>IF(AND(A339="Модуль",C339&lt;&gt;"",OR($S$6="(все)",B339=$S$6)),MAX($AA$3:AA338)+1,"")</f>
      </c>
      <c r="AB339" s="133">
        <f>IFERROR(INDEX($C$4:$C$500,MATCH(ROW()-3,$AA$4:$AA$500,0)),"")</f>
      </c>
      <c r="AC339" s="133">
        <f>IF(OR(B339="",COUNTIF($B$4:B339,B339)&gt;1),"",MAX($AC$3:AC338)+1)</f>
      </c>
      <c r="AD339" s="133">
        <f>IFERROR(INDEX($B$4:$B$500,MATCH(ROW()-3,$AC$4:$AC$500,0)),"")</f>
      </c>
      <c r="AE339" s="133">
        <f>IF(AND(A339&lt;&gt;"",N(P339)&gt;0),IFERROR(MATCH(A339,$R$12:$R$25,0),99)*1000+ROW(),"")</f>
      </c>
      <c r="AF339" s="133">
        <f>IF(AE339="","",COUNTIF($AE$4:$AE$500,"&lt;="&amp;AE339))</f>
      </c>
    </row>
    <row r="340">
      <c r="A340" s="265"/>
      <c r="B340" s="265"/>
      <c r="C340" s="265"/>
      <c r="D340" s="265"/>
      <c r="E340" s="265"/>
      <c r="F340" s="265"/>
      <c r="G340" s="265"/>
      <c r="H340" s="265"/>
      <c r="I340" s="265"/>
      <c r="J340" s="265"/>
      <c r="K340" s="265"/>
      <c r="L340" s="265"/>
      <c r="M340" s="265"/>
      <c r="N340" s="133">
        <f>IF(OR(A340="Автомат",A340="Дифавтомат"),IF(W340="","",COUNTIF(Однолинейка!$H$3:$H$1000,U340)),IF(A340="Аппарат",IF(C340="","",COUNTIF(Однолинейка!$I$3:$I$1000,C340)+COUNTIF(Однолинейка!$J$3:$J$1000,C340)+COUNTIF(Однолинейка!$K$3:$K$1000,C340)),IF(A340="Модуль",IF(C340="","",COUNTIFS(Однолинейка!$AW$3:$AW$1000,"?*",Однолинейка!$AI$3:$AI$1000,C340)),IF(A340="Клемма",IF(C340="","",IF(C340=$S$7,SUM(Однолинейка!$BW$3:$BW$1000),IF(C340=$S$8,SUM(Однолинейка!$BX$3:$BX$1000),""))),""))))</f>
      </c>
      <c r="O340" s="265"/>
      <c r="P340" s="133">
        <f>IF(COUNT(N340,O340)=0,"",SUM(N340,O340))</f>
      </c>
      <c r="U340" s="133">
        <f>IF(OR(A340="Автомат",A340="Дифавтомат"),I340&amp;" С"&amp;J340&amp;"А"&amp;IF(K340="да"," 30мА",""),"")</f>
      </c>
      <c r="V340" s="133">
        <f>IF(U340="","",B340&amp;"|"&amp;U340)</f>
      </c>
      <c r="W340" s="133">
        <f>IF(AND(U340&lt;&gt;"",OR($S$4="(все)",B340=$S$4),IF($S$4="(все)",COUNTIF($U$4:U340,U340),COUNTIFS($U$4:U340,U340,$B$4:B340,B340))=1),MAX($W$3:W339)+1,"")</f>
      </c>
      <c r="X340" s="133">
        <f>IFERROR(INDEX($U$4:$U$500,MATCH(ROW()-3,$W$4:$W$500,0)),"")</f>
      </c>
      <c r="Y340" s="133">
        <f>IF(AND(A340="Аппарат",C340&lt;&gt;"",OR($S$5="(все)",B340=$S$5)),MAX($Y$3:Y339)+1,"")</f>
      </c>
      <c r="Z340" s="133">
        <f>IFERROR(INDEX($C$4:$C$500,MATCH(ROW()-3,$Y$4:$Y$500,0)),"")</f>
      </c>
      <c r="AA340" s="133">
        <f>IF(AND(A340="Модуль",C340&lt;&gt;"",OR($S$6="(все)",B340=$S$6)),MAX($AA$3:AA339)+1,"")</f>
      </c>
      <c r="AB340" s="133">
        <f>IFERROR(INDEX($C$4:$C$500,MATCH(ROW()-3,$AA$4:$AA$500,0)),"")</f>
      </c>
      <c r="AC340" s="133">
        <f>IF(OR(B340="",COUNTIF($B$4:B340,B340)&gt;1),"",MAX($AC$3:AC339)+1)</f>
      </c>
      <c r="AD340" s="133">
        <f>IFERROR(INDEX($B$4:$B$500,MATCH(ROW()-3,$AC$4:$AC$500,0)),"")</f>
      </c>
      <c r="AE340" s="133">
        <f>IF(AND(A340&lt;&gt;"",N(P340)&gt;0),IFERROR(MATCH(A340,$R$12:$R$25,0),99)*1000+ROW(),"")</f>
      </c>
      <c r="AF340" s="133">
        <f>IF(AE340="","",COUNTIF($AE$4:$AE$500,"&lt;="&amp;AE340))</f>
      </c>
    </row>
    <row r="341">
      <c r="A341" s="265"/>
      <c r="B341" s="265"/>
      <c r="C341" s="265"/>
      <c r="D341" s="265"/>
      <c r="E341" s="265"/>
      <c r="F341" s="265"/>
      <c r="G341" s="265"/>
      <c r="H341" s="265"/>
      <c r="I341" s="265"/>
      <c r="J341" s="265"/>
      <c r="K341" s="265"/>
      <c r="L341" s="265"/>
      <c r="M341" s="265"/>
      <c r="N341" s="133">
        <f>IF(OR(A341="Автомат",A341="Дифавтомат"),IF(W341="","",COUNTIF(Однолинейка!$H$3:$H$1000,U341)),IF(A341="Аппарат",IF(C341="","",COUNTIF(Однолинейка!$I$3:$I$1000,C341)+COUNTIF(Однолинейка!$J$3:$J$1000,C341)+COUNTIF(Однолинейка!$K$3:$K$1000,C341)),IF(A341="Модуль",IF(C341="","",COUNTIFS(Однолинейка!$AW$3:$AW$1000,"?*",Однолинейка!$AI$3:$AI$1000,C341)),IF(A341="Клемма",IF(C341="","",IF(C341=$S$7,SUM(Однолинейка!$BW$3:$BW$1000),IF(C341=$S$8,SUM(Однолинейка!$BX$3:$BX$1000),""))),""))))</f>
      </c>
      <c r="O341" s="265"/>
      <c r="P341" s="133">
        <f>IF(COUNT(N341,O341)=0,"",SUM(N341,O341))</f>
      </c>
      <c r="U341" s="133">
        <f>IF(OR(A341="Автомат",A341="Дифавтомат"),I341&amp;" С"&amp;J341&amp;"А"&amp;IF(K341="да"," 30мА",""),"")</f>
      </c>
      <c r="V341" s="133">
        <f>IF(U341="","",B341&amp;"|"&amp;U341)</f>
      </c>
      <c r="W341" s="133">
        <f>IF(AND(U341&lt;&gt;"",OR($S$4="(все)",B341=$S$4),IF($S$4="(все)",COUNTIF($U$4:U341,U341),COUNTIFS($U$4:U341,U341,$B$4:B341,B341))=1),MAX($W$3:W340)+1,"")</f>
      </c>
      <c r="X341" s="133">
        <f>IFERROR(INDEX($U$4:$U$500,MATCH(ROW()-3,$W$4:$W$500,0)),"")</f>
      </c>
      <c r="Y341" s="133">
        <f>IF(AND(A341="Аппарат",C341&lt;&gt;"",OR($S$5="(все)",B341=$S$5)),MAX($Y$3:Y340)+1,"")</f>
      </c>
      <c r="Z341" s="133">
        <f>IFERROR(INDEX($C$4:$C$500,MATCH(ROW()-3,$Y$4:$Y$500,0)),"")</f>
      </c>
      <c r="AA341" s="133">
        <f>IF(AND(A341="Модуль",C341&lt;&gt;"",OR($S$6="(все)",B341=$S$6)),MAX($AA$3:AA340)+1,"")</f>
      </c>
      <c r="AB341" s="133">
        <f>IFERROR(INDEX($C$4:$C$500,MATCH(ROW()-3,$AA$4:$AA$500,0)),"")</f>
      </c>
      <c r="AC341" s="133">
        <f>IF(OR(B341="",COUNTIF($B$4:B341,B341)&gt;1),"",MAX($AC$3:AC340)+1)</f>
      </c>
      <c r="AD341" s="133">
        <f>IFERROR(INDEX($B$4:$B$500,MATCH(ROW()-3,$AC$4:$AC$500,0)),"")</f>
      </c>
      <c r="AE341" s="133">
        <f>IF(AND(A341&lt;&gt;"",N(P341)&gt;0),IFERROR(MATCH(A341,$R$12:$R$25,0),99)*1000+ROW(),"")</f>
      </c>
      <c r="AF341" s="133">
        <f>IF(AE341="","",COUNTIF($AE$4:$AE$500,"&lt;="&amp;AE341))</f>
      </c>
    </row>
    <row r="342">
      <c r="A342" s="265"/>
      <c r="B342" s="265"/>
      <c r="C342" s="265"/>
      <c r="D342" s="265"/>
      <c r="E342" s="265"/>
      <c r="F342" s="265"/>
      <c r="G342" s="265"/>
      <c r="H342" s="265"/>
      <c r="I342" s="265"/>
      <c r="J342" s="265"/>
      <c r="K342" s="265"/>
      <c r="L342" s="265"/>
      <c r="M342" s="265"/>
      <c r="N342" s="133">
        <f>IF(OR(A342="Автомат",A342="Дифавтомат"),IF(W342="","",COUNTIF(Однолинейка!$H$3:$H$1000,U342)),IF(A342="Аппарат",IF(C342="","",COUNTIF(Однолинейка!$I$3:$I$1000,C342)+COUNTIF(Однолинейка!$J$3:$J$1000,C342)+COUNTIF(Однолинейка!$K$3:$K$1000,C342)),IF(A342="Модуль",IF(C342="","",COUNTIFS(Однолинейка!$AW$3:$AW$1000,"?*",Однолинейка!$AI$3:$AI$1000,C342)),IF(A342="Клемма",IF(C342="","",IF(C342=$S$7,SUM(Однолинейка!$BW$3:$BW$1000),IF(C342=$S$8,SUM(Однолинейка!$BX$3:$BX$1000),""))),""))))</f>
      </c>
      <c r="O342" s="265"/>
      <c r="P342" s="133">
        <f>IF(COUNT(N342,O342)=0,"",SUM(N342,O342))</f>
      </c>
      <c r="U342" s="133">
        <f>IF(OR(A342="Автомат",A342="Дифавтомат"),I342&amp;" С"&amp;J342&amp;"А"&amp;IF(K342="да"," 30мА",""),"")</f>
      </c>
      <c r="V342" s="133">
        <f>IF(U342="","",B342&amp;"|"&amp;U342)</f>
      </c>
      <c r="W342" s="133">
        <f>IF(AND(U342&lt;&gt;"",OR($S$4="(все)",B342=$S$4),IF($S$4="(все)",COUNTIF($U$4:U342,U342),COUNTIFS($U$4:U342,U342,$B$4:B342,B342))=1),MAX($W$3:W341)+1,"")</f>
      </c>
      <c r="X342" s="133">
        <f>IFERROR(INDEX($U$4:$U$500,MATCH(ROW()-3,$W$4:$W$500,0)),"")</f>
      </c>
      <c r="Y342" s="133">
        <f>IF(AND(A342="Аппарат",C342&lt;&gt;"",OR($S$5="(все)",B342=$S$5)),MAX($Y$3:Y341)+1,"")</f>
      </c>
      <c r="Z342" s="133">
        <f>IFERROR(INDEX($C$4:$C$500,MATCH(ROW()-3,$Y$4:$Y$500,0)),"")</f>
      </c>
      <c r="AA342" s="133">
        <f>IF(AND(A342="Модуль",C342&lt;&gt;"",OR($S$6="(все)",B342=$S$6)),MAX($AA$3:AA341)+1,"")</f>
      </c>
      <c r="AB342" s="133">
        <f>IFERROR(INDEX($C$4:$C$500,MATCH(ROW()-3,$AA$4:$AA$500,0)),"")</f>
      </c>
      <c r="AC342" s="133">
        <f>IF(OR(B342="",COUNTIF($B$4:B342,B342)&gt;1),"",MAX($AC$3:AC341)+1)</f>
      </c>
      <c r="AD342" s="133">
        <f>IFERROR(INDEX($B$4:$B$500,MATCH(ROW()-3,$AC$4:$AC$500,0)),"")</f>
      </c>
      <c r="AE342" s="133">
        <f>IF(AND(A342&lt;&gt;"",N(P342)&gt;0),IFERROR(MATCH(A342,$R$12:$R$25,0),99)*1000+ROW(),"")</f>
      </c>
      <c r="AF342" s="133">
        <f>IF(AE342="","",COUNTIF($AE$4:$AE$500,"&lt;="&amp;AE342))</f>
      </c>
    </row>
    <row r="343">
      <c r="A343" s="265"/>
      <c r="B343" s="265"/>
      <c r="C343" s="265"/>
      <c r="D343" s="265"/>
      <c r="E343" s="265"/>
      <c r="F343" s="265"/>
      <c r="G343" s="265"/>
      <c r="H343" s="265"/>
      <c r="I343" s="265"/>
      <c r="J343" s="265"/>
      <c r="K343" s="265"/>
      <c r="L343" s="265"/>
      <c r="M343" s="265"/>
      <c r="N343" s="133">
        <f>IF(OR(A343="Автомат",A343="Дифавтомат"),IF(W343="","",COUNTIF(Однолинейка!$H$3:$H$1000,U343)),IF(A343="Аппарат",IF(C343="","",COUNTIF(Однолинейка!$I$3:$I$1000,C343)+COUNTIF(Однолинейка!$J$3:$J$1000,C343)+COUNTIF(Однолинейка!$K$3:$K$1000,C343)),IF(A343="Модуль",IF(C343="","",COUNTIFS(Однолинейка!$AW$3:$AW$1000,"?*",Однолинейка!$AI$3:$AI$1000,C343)),IF(A343="Клемма",IF(C343="","",IF(C343=$S$7,SUM(Однолинейка!$BW$3:$BW$1000),IF(C343=$S$8,SUM(Однолинейка!$BX$3:$BX$1000),""))),""))))</f>
      </c>
      <c r="O343" s="265"/>
      <c r="P343" s="133">
        <f>IF(COUNT(N343,O343)=0,"",SUM(N343,O343))</f>
      </c>
      <c r="U343" s="133">
        <f>IF(OR(A343="Автомат",A343="Дифавтомат"),I343&amp;" С"&amp;J343&amp;"А"&amp;IF(K343="да"," 30мА",""),"")</f>
      </c>
      <c r="V343" s="133">
        <f>IF(U343="","",B343&amp;"|"&amp;U343)</f>
      </c>
      <c r="W343" s="133">
        <f>IF(AND(U343&lt;&gt;"",OR($S$4="(все)",B343=$S$4),IF($S$4="(все)",COUNTIF($U$4:U343,U343),COUNTIFS($U$4:U343,U343,$B$4:B343,B343))=1),MAX($W$3:W342)+1,"")</f>
      </c>
      <c r="X343" s="133">
        <f>IFERROR(INDEX($U$4:$U$500,MATCH(ROW()-3,$W$4:$W$500,0)),"")</f>
      </c>
      <c r="Y343" s="133">
        <f>IF(AND(A343="Аппарат",C343&lt;&gt;"",OR($S$5="(все)",B343=$S$5)),MAX($Y$3:Y342)+1,"")</f>
      </c>
      <c r="Z343" s="133">
        <f>IFERROR(INDEX($C$4:$C$500,MATCH(ROW()-3,$Y$4:$Y$500,0)),"")</f>
      </c>
      <c r="AA343" s="133">
        <f>IF(AND(A343="Модуль",C343&lt;&gt;"",OR($S$6="(все)",B343=$S$6)),MAX($AA$3:AA342)+1,"")</f>
      </c>
      <c r="AB343" s="133">
        <f>IFERROR(INDEX($C$4:$C$500,MATCH(ROW()-3,$AA$4:$AA$500,0)),"")</f>
      </c>
      <c r="AC343" s="133">
        <f>IF(OR(B343="",COUNTIF($B$4:B343,B343)&gt;1),"",MAX($AC$3:AC342)+1)</f>
      </c>
      <c r="AD343" s="133">
        <f>IFERROR(INDEX($B$4:$B$500,MATCH(ROW()-3,$AC$4:$AC$500,0)),"")</f>
      </c>
      <c r="AE343" s="133">
        <f>IF(AND(A343&lt;&gt;"",N(P343)&gt;0),IFERROR(MATCH(A343,$R$12:$R$25,0),99)*1000+ROW(),"")</f>
      </c>
      <c r="AF343" s="133">
        <f>IF(AE343="","",COUNTIF($AE$4:$AE$500,"&lt;="&amp;AE343))</f>
      </c>
    </row>
    <row r="344">
      <c r="A344" s="265"/>
      <c r="B344" s="265"/>
      <c r="C344" s="265"/>
      <c r="D344" s="265"/>
      <c r="E344" s="265"/>
      <c r="F344" s="265"/>
      <c r="G344" s="265"/>
      <c r="H344" s="265"/>
      <c r="I344" s="265"/>
      <c r="J344" s="265"/>
      <c r="K344" s="265"/>
      <c r="L344" s="265"/>
      <c r="M344" s="265"/>
      <c r="N344" s="133">
        <f>IF(OR(A344="Автомат",A344="Дифавтомат"),IF(W344="","",COUNTIF(Однолинейка!$H$3:$H$1000,U344)),IF(A344="Аппарат",IF(C344="","",COUNTIF(Однолинейка!$I$3:$I$1000,C344)+COUNTIF(Однолинейка!$J$3:$J$1000,C344)+COUNTIF(Однолинейка!$K$3:$K$1000,C344)),IF(A344="Модуль",IF(C344="","",COUNTIFS(Однолинейка!$AW$3:$AW$1000,"?*",Однолинейка!$AI$3:$AI$1000,C344)),IF(A344="Клемма",IF(C344="","",IF(C344=$S$7,SUM(Однолинейка!$BW$3:$BW$1000),IF(C344=$S$8,SUM(Однолинейка!$BX$3:$BX$1000),""))),""))))</f>
      </c>
      <c r="O344" s="265"/>
      <c r="P344" s="133">
        <f>IF(COUNT(N344,O344)=0,"",SUM(N344,O344))</f>
      </c>
      <c r="U344" s="133">
        <f>IF(OR(A344="Автомат",A344="Дифавтомат"),I344&amp;" С"&amp;J344&amp;"А"&amp;IF(K344="да"," 30мА",""),"")</f>
      </c>
      <c r="V344" s="133">
        <f>IF(U344="","",B344&amp;"|"&amp;U344)</f>
      </c>
      <c r="W344" s="133">
        <f>IF(AND(U344&lt;&gt;"",OR($S$4="(все)",B344=$S$4),IF($S$4="(все)",COUNTIF($U$4:U344,U344),COUNTIFS($U$4:U344,U344,$B$4:B344,B344))=1),MAX($W$3:W343)+1,"")</f>
      </c>
      <c r="X344" s="133">
        <f>IFERROR(INDEX($U$4:$U$500,MATCH(ROW()-3,$W$4:$W$500,0)),"")</f>
      </c>
      <c r="Y344" s="133">
        <f>IF(AND(A344="Аппарат",C344&lt;&gt;"",OR($S$5="(все)",B344=$S$5)),MAX($Y$3:Y343)+1,"")</f>
      </c>
      <c r="Z344" s="133">
        <f>IFERROR(INDEX($C$4:$C$500,MATCH(ROW()-3,$Y$4:$Y$500,0)),"")</f>
      </c>
      <c r="AA344" s="133">
        <f>IF(AND(A344="Модуль",C344&lt;&gt;"",OR($S$6="(все)",B344=$S$6)),MAX($AA$3:AA343)+1,"")</f>
      </c>
      <c r="AB344" s="133">
        <f>IFERROR(INDEX($C$4:$C$500,MATCH(ROW()-3,$AA$4:$AA$500,0)),"")</f>
      </c>
      <c r="AC344" s="133">
        <f>IF(OR(B344="",COUNTIF($B$4:B344,B344)&gt;1),"",MAX($AC$3:AC343)+1)</f>
      </c>
      <c r="AD344" s="133">
        <f>IFERROR(INDEX($B$4:$B$500,MATCH(ROW()-3,$AC$4:$AC$500,0)),"")</f>
      </c>
      <c r="AE344" s="133">
        <f>IF(AND(A344&lt;&gt;"",N(P344)&gt;0),IFERROR(MATCH(A344,$R$12:$R$25,0),99)*1000+ROW(),"")</f>
      </c>
      <c r="AF344" s="133">
        <f>IF(AE344="","",COUNTIF($AE$4:$AE$500,"&lt;="&amp;AE344))</f>
      </c>
    </row>
    <row r="345">
      <c r="A345" s="265"/>
      <c r="B345" s="265"/>
      <c r="C345" s="265"/>
      <c r="D345" s="265"/>
      <c r="E345" s="265"/>
      <c r="F345" s="265"/>
      <c r="G345" s="265"/>
      <c r="H345" s="265"/>
      <c r="I345" s="265"/>
      <c r="J345" s="265"/>
      <c r="K345" s="265"/>
      <c r="L345" s="265"/>
      <c r="M345" s="265"/>
      <c r="N345" s="133">
        <f>IF(OR(A345="Автомат",A345="Дифавтомат"),IF(W345="","",COUNTIF(Однолинейка!$H$3:$H$1000,U345)),IF(A345="Аппарат",IF(C345="","",COUNTIF(Однолинейка!$I$3:$I$1000,C345)+COUNTIF(Однолинейка!$J$3:$J$1000,C345)+COUNTIF(Однолинейка!$K$3:$K$1000,C345)),IF(A345="Модуль",IF(C345="","",COUNTIFS(Однолинейка!$AW$3:$AW$1000,"?*",Однолинейка!$AI$3:$AI$1000,C345)),IF(A345="Клемма",IF(C345="","",IF(C345=$S$7,SUM(Однолинейка!$BW$3:$BW$1000),IF(C345=$S$8,SUM(Однолинейка!$BX$3:$BX$1000),""))),""))))</f>
      </c>
      <c r="O345" s="265"/>
      <c r="P345" s="133">
        <f>IF(COUNT(N345,O345)=0,"",SUM(N345,O345))</f>
      </c>
      <c r="U345" s="133">
        <f>IF(OR(A345="Автомат",A345="Дифавтомат"),I345&amp;" С"&amp;J345&amp;"А"&amp;IF(K345="да"," 30мА",""),"")</f>
      </c>
      <c r="V345" s="133">
        <f>IF(U345="","",B345&amp;"|"&amp;U345)</f>
      </c>
      <c r="W345" s="133">
        <f>IF(AND(U345&lt;&gt;"",OR($S$4="(все)",B345=$S$4),IF($S$4="(все)",COUNTIF($U$4:U345,U345),COUNTIFS($U$4:U345,U345,$B$4:B345,B345))=1),MAX($W$3:W344)+1,"")</f>
      </c>
      <c r="X345" s="133">
        <f>IFERROR(INDEX($U$4:$U$500,MATCH(ROW()-3,$W$4:$W$500,0)),"")</f>
      </c>
      <c r="Y345" s="133">
        <f>IF(AND(A345="Аппарат",C345&lt;&gt;"",OR($S$5="(все)",B345=$S$5)),MAX($Y$3:Y344)+1,"")</f>
      </c>
      <c r="Z345" s="133">
        <f>IFERROR(INDEX($C$4:$C$500,MATCH(ROW()-3,$Y$4:$Y$500,0)),"")</f>
      </c>
      <c r="AA345" s="133">
        <f>IF(AND(A345="Модуль",C345&lt;&gt;"",OR($S$6="(все)",B345=$S$6)),MAX($AA$3:AA344)+1,"")</f>
      </c>
      <c r="AB345" s="133">
        <f>IFERROR(INDEX($C$4:$C$500,MATCH(ROW()-3,$AA$4:$AA$500,0)),"")</f>
      </c>
      <c r="AC345" s="133">
        <f>IF(OR(B345="",COUNTIF($B$4:B345,B345)&gt;1),"",MAX($AC$3:AC344)+1)</f>
      </c>
      <c r="AD345" s="133">
        <f>IFERROR(INDEX($B$4:$B$500,MATCH(ROW()-3,$AC$4:$AC$500,0)),"")</f>
      </c>
      <c r="AE345" s="133">
        <f>IF(AND(A345&lt;&gt;"",N(P345)&gt;0),IFERROR(MATCH(A345,$R$12:$R$25,0),99)*1000+ROW(),"")</f>
      </c>
      <c r="AF345" s="133">
        <f>IF(AE345="","",COUNTIF($AE$4:$AE$500,"&lt;="&amp;AE345))</f>
      </c>
    </row>
    <row r="346">
      <c r="A346" s="265"/>
      <c r="B346" s="265"/>
      <c r="C346" s="265"/>
      <c r="D346" s="265"/>
      <c r="E346" s="265"/>
      <c r="F346" s="265"/>
      <c r="G346" s="265"/>
      <c r="H346" s="265"/>
      <c r="I346" s="265"/>
      <c r="J346" s="265"/>
      <c r="K346" s="265"/>
      <c r="L346" s="265"/>
      <c r="M346" s="265"/>
      <c r="N346" s="133">
        <f>IF(OR(A346="Автомат",A346="Дифавтомат"),IF(W346="","",COUNTIF(Однолинейка!$H$3:$H$1000,U346)),IF(A346="Аппарат",IF(C346="","",COUNTIF(Однолинейка!$I$3:$I$1000,C346)+COUNTIF(Однолинейка!$J$3:$J$1000,C346)+COUNTIF(Однолинейка!$K$3:$K$1000,C346)),IF(A346="Модуль",IF(C346="","",COUNTIFS(Однолинейка!$AW$3:$AW$1000,"?*",Однолинейка!$AI$3:$AI$1000,C346)),IF(A346="Клемма",IF(C346="","",IF(C346=$S$7,SUM(Однолинейка!$BW$3:$BW$1000),IF(C346=$S$8,SUM(Однолинейка!$BX$3:$BX$1000),""))),""))))</f>
      </c>
      <c r="O346" s="265"/>
      <c r="P346" s="133">
        <f>IF(COUNT(N346,O346)=0,"",SUM(N346,O346))</f>
      </c>
      <c r="U346" s="133">
        <f>IF(OR(A346="Автомат",A346="Дифавтомат"),I346&amp;" С"&amp;J346&amp;"А"&amp;IF(K346="да"," 30мА",""),"")</f>
      </c>
      <c r="V346" s="133">
        <f>IF(U346="","",B346&amp;"|"&amp;U346)</f>
      </c>
      <c r="W346" s="133">
        <f>IF(AND(U346&lt;&gt;"",OR($S$4="(все)",B346=$S$4),IF($S$4="(все)",COUNTIF($U$4:U346,U346),COUNTIFS($U$4:U346,U346,$B$4:B346,B346))=1),MAX($W$3:W345)+1,"")</f>
      </c>
      <c r="X346" s="133">
        <f>IFERROR(INDEX($U$4:$U$500,MATCH(ROW()-3,$W$4:$W$500,0)),"")</f>
      </c>
      <c r="Y346" s="133">
        <f>IF(AND(A346="Аппарат",C346&lt;&gt;"",OR($S$5="(все)",B346=$S$5)),MAX($Y$3:Y345)+1,"")</f>
      </c>
      <c r="Z346" s="133">
        <f>IFERROR(INDEX($C$4:$C$500,MATCH(ROW()-3,$Y$4:$Y$500,0)),"")</f>
      </c>
      <c r="AA346" s="133">
        <f>IF(AND(A346="Модуль",C346&lt;&gt;"",OR($S$6="(все)",B346=$S$6)),MAX($AA$3:AA345)+1,"")</f>
      </c>
      <c r="AB346" s="133">
        <f>IFERROR(INDEX($C$4:$C$500,MATCH(ROW()-3,$AA$4:$AA$500,0)),"")</f>
      </c>
      <c r="AC346" s="133">
        <f>IF(OR(B346="",COUNTIF($B$4:B346,B346)&gt;1),"",MAX($AC$3:AC345)+1)</f>
      </c>
      <c r="AD346" s="133">
        <f>IFERROR(INDEX($B$4:$B$500,MATCH(ROW()-3,$AC$4:$AC$500,0)),"")</f>
      </c>
      <c r="AE346" s="133">
        <f>IF(AND(A346&lt;&gt;"",N(P346)&gt;0),IFERROR(MATCH(A346,$R$12:$R$25,0),99)*1000+ROW(),"")</f>
      </c>
      <c r="AF346" s="133">
        <f>IF(AE346="","",COUNTIF($AE$4:$AE$500,"&lt;="&amp;AE346))</f>
      </c>
    </row>
    <row r="347">
      <c r="A347" s="265"/>
      <c r="B347" s="265"/>
      <c r="C347" s="265"/>
      <c r="D347" s="265"/>
      <c r="E347" s="265"/>
      <c r="F347" s="265"/>
      <c r="G347" s="265"/>
      <c r="H347" s="265"/>
      <c r="I347" s="265"/>
      <c r="J347" s="265"/>
      <c r="K347" s="265"/>
      <c r="L347" s="265"/>
      <c r="M347" s="265"/>
      <c r="N347" s="133">
        <f>IF(OR(A347="Автомат",A347="Дифавтомат"),IF(W347="","",COUNTIF(Однолинейка!$H$3:$H$1000,U347)),IF(A347="Аппарат",IF(C347="","",COUNTIF(Однолинейка!$I$3:$I$1000,C347)+COUNTIF(Однолинейка!$J$3:$J$1000,C347)+COUNTIF(Однолинейка!$K$3:$K$1000,C347)),IF(A347="Модуль",IF(C347="","",COUNTIFS(Однолинейка!$AW$3:$AW$1000,"?*",Однолинейка!$AI$3:$AI$1000,C347)),IF(A347="Клемма",IF(C347="","",IF(C347=$S$7,SUM(Однолинейка!$BW$3:$BW$1000),IF(C347=$S$8,SUM(Однолинейка!$BX$3:$BX$1000),""))),""))))</f>
      </c>
      <c r="O347" s="265"/>
      <c r="P347" s="133">
        <f>IF(COUNT(N347,O347)=0,"",SUM(N347,O347))</f>
      </c>
      <c r="U347" s="133">
        <f>IF(OR(A347="Автомат",A347="Дифавтомат"),I347&amp;" С"&amp;J347&amp;"А"&amp;IF(K347="да"," 30мА",""),"")</f>
      </c>
      <c r="V347" s="133">
        <f>IF(U347="","",B347&amp;"|"&amp;U347)</f>
      </c>
      <c r="W347" s="133">
        <f>IF(AND(U347&lt;&gt;"",OR($S$4="(все)",B347=$S$4),IF($S$4="(все)",COUNTIF($U$4:U347,U347),COUNTIFS($U$4:U347,U347,$B$4:B347,B347))=1),MAX($W$3:W346)+1,"")</f>
      </c>
      <c r="X347" s="133">
        <f>IFERROR(INDEX($U$4:$U$500,MATCH(ROW()-3,$W$4:$W$500,0)),"")</f>
      </c>
      <c r="Y347" s="133">
        <f>IF(AND(A347="Аппарат",C347&lt;&gt;"",OR($S$5="(все)",B347=$S$5)),MAX($Y$3:Y346)+1,"")</f>
      </c>
      <c r="Z347" s="133">
        <f>IFERROR(INDEX($C$4:$C$500,MATCH(ROW()-3,$Y$4:$Y$500,0)),"")</f>
      </c>
      <c r="AA347" s="133">
        <f>IF(AND(A347="Модуль",C347&lt;&gt;"",OR($S$6="(все)",B347=$S$6)),MAX($AA$3:AA346)+1,"")</f>
      </c>
      <c r="AB347" s="133">
        <f>IFERROR(INDEX($C$4:$C$500,MATCH(ROW()-3,$AA$4:$AA$500,0)),"")</f>
      </c>
      <c r="AC347" s="133">
        <f>IF(OR(B347="",COUNTIF($B$4:B347,B347)&gt;1),"",MAX($AC$3:AC346)+1)</f>
      </c>
      <c r="AD347" s="133">
        <f>IFERROR(INDEX($B$4:$B$500,MATCH(ROW()-3,$AC$4:$AC$500,0)),"")</f>
      </c>
      <c r="AE347" s="133">
        <f>IF(AND(A347&lt;&gt;"",N(P347)&gt;0),IFERROR(MATCH(A347,$R$12:$R$25,0),99)*1000+ROW(),"")</f>
      </c>
      <c r="AF347" s="133">
        <f>IF(AE347="","",COUNTIF($AE$4:$AE$500,"&lt;="&amp;AE347))</f>
      </c>
    </row>
    <row r="348">
      <c r="A348" s="265"/>
      <c r="B348" s="265"/>
      <c r="C348" s="265"/>
      <c r="D348" s="265"/>
      <c r="E348" s="265"/>
      <c r="F348" s="265"/>
      <c r="G348" s="265"/>
      <c r="H348" s="265"/>
      <c r="I348" s="265"/>
      <c r="J348" s="265"/>
      <c r="K348" s="265"/>
      <c r="L348" s="265"/>
      <c r="M348" s="265"/>
      <c r="N348" s="133">
        <f>IF(OR(A348="Автомат",A348="Дифавтомат"),IF(W348="","",COUNTIF(Однолинейка!$H$3:$H$1000,U348)),IF(A348="Аппарат",IF(C348="","",COUNTIF(Однолинейка!$I$3:$I$1000,C348)+COUNTIF(Однолинейка!$J$3:$J$1000,C348)+COUNTIF(Однолинейка!$K$3:$K$1000,C348)),IF(A348="Модуль",IF(C348="","",COUNTIFS(Однолинейка!$AW$3:$AW$1000,"?*",Однолинейка!$AI$3:$AI$1000,C348)),IF(A348="Клемма",IF(C348="","",IF(C348=$S$7,SUM(Однолинейка!$BW$3:$BW$1000),IF(C348=$S$8,SUM(Однолинейка!$BX$3:$BX$1000),""))),""))))</f>
      </c>
      <c r="O348" s="265"/>
      <c r="P348" s="133">
        <f>IF(COUNT(N348,O348)=0,"",SUM(N348,O348))</f>
      </c>
      <c r="U348" s="133">
        <f>IF(OR(A348="Автомат",A348="Дифавтомат"),I348&amp;" С"&amp;J348&amp;"А"&amp;IF(K348="да"," 30мА",""),"")</f>
      </c>
      <c r="V348" s="133">
        <f>IF(U348="","",B348&amp;"|"&amp;U348)</f>
      </c>
      <c r="W348" s="133">
        <f>IF(AND(U348&lt;&gt;"",OR($S$4="(все)",B348=$S$4),IF($S$4="(все)",COUNTIF($U$4:U348,U348),COUNTIFS($U$4:U348,U348,$B$4:B348,B348))=1),MAX($W$3:W347)+1,"")</f>
      </c>
      <c r="X348" s="133">
        <f>IFERROR(INDEX($U$4:$U$500,MATCH(ROW()-3,$W$4:$W$500,0)),"")</f>
      </c>
      <c r="Y348" s="133">
        <f>IF(AND(A348="Аппарат",C348&lt;&gt;"",OR($S$5="(все)",B348=$S$5)),MAX($Y$3:Y347)+1,"")</f>
      </c>
      <c r="Z348" s="133">
        <f>IFERROR(INDEX($C$4:$C$500,MATCH(ROW()-3,$Y$4:$Y$500,0)),"")</f>
      </c>
      <c r="AA348" s="133">
        <f>IF(AND(A348="Модуль",C348&lt;&gt;"",OR($S$6="(все)",B348=$S$6)),MAX($AA$3:AA347)+1,"")</f>
      </c>
      <c r="AB348" s="133">
        <f>IFERROR(INDEX($C$4:$C$500,MATCH(ROW()-3,$AA$4:$AA$500,0)),"")</f>
      </c>
      <c r="AC348" s="133">
        <f>IF(OR(B348="",COUNTIF($B$4:B348,B348)&gt;1),"",MAX($AC$3:AC347)+1)</f>
      </c>
      <c r="AD348" s="133">
        <f>IFERROR(INDEX($B$4:$B$500,MATCH(ROW()-3,$AC$4:$AC$500,0)),"")</f>
      </c>
      <c r="AE348" s="133">
        <f>IF(AND(A348&lt;&gt;"",N(P348)&gt;0),IFERROR(MATCH(A348,$R$12:$R$25,0),99)*1000+ROW(),"")</f>
      </c>
      <c r="AF348" s="133">
        <f>IF(AE348="","",COUNTIF($AE$4:$AE$500,"&lt;="&amp;AE348))</f>
      </c>
    </row>
    <row r="349">
      <c r="A349" s="265"/>
      <c r="B349" s="265"/>
      <c r="C349" s="265"/>
      <c r="D349" s="265"/>
      <c r="E349" s="265"/>
      <c r="F349" s="265"/>
      <c r="G349" s="265"/>
      <c r="H349" s="265"/>
      <c r="I349" s="265"/>
      <c r="J349" s="265"/>
      <c r="K349" s="265"/>
      <c r="L349" s="265"/>
      <c r="M349" s="265"/>
      <c r="N349" s="133">
        <f>IF(OR(A349="Автомат",A349="Дифавтомат"),IF(W349="","",COUNTIF(Однолинейка!$H$3:$H$1000,U349)),IF(A349="Аппарат",IF(C349="","",COUNTIF(Однолинейка!$I$3:$I$1000,C349)+COUNTIF(Однолинейка!$J$3:$J$1000,C349)+COUNTIF(Однолинейка!$K$3:$K$1000,C349)),IF(A349="Модуль",IF(C349="","",COUNTIFS(Однолинейка!$AW$3:$AW$1000,"?*",Однолинейка!$AI$3:$AI$1000,C349)),IF(A349="Клемма",IF(C349="","",IF(C349=$S$7,SUM(Однолинейка!$BW$3:$BW$1000),IF(C349=$S$8,SUM(Однолинейка!$BX$3:$BX$1000),""))),""))))</f>
      </c>
      <c r="O349" s="265"/>
      <c r="P349" s="133">
        <f>IF(COUNT(N349,O349)=0,"",SUM(N349,O349))</f>
      </c>
      <c r="U349" s="133">
        <f>IF(OR(A349="Автомат",A349="Дифавтомат"),I349&amp;" С"&amp;J349&amp;"А"&amp;IF(K349="да"," 30мА",""),"")</f>
      </c>
      <c r="V349" s="133">
        <f>IF(U349="","",B349&amp;"|"&amp;U349)</f>
      </c>
      <c r="W349" s="133">
        <f>IF(AND(U349&lt;&gt;"",OR($S$4="(все)",B349=$S$4),IF($S$4="(все)",COUNTIF($U$4:U349,U349),COUNTIFS($U$4:U349,U349,$B$4:B349,B349))=1),MAX($W$3:W348)+1,"")</f>
      </c>
      <c r="X349" s="133">
        <f>IFERROR(INDEX($U$4:$U$500,MATCH(ROW()-3,$W$4:$W$500,0)),"")</f>
      </c>
      <c r="Y349" s="133">
        <f>IF(AND(A349="Аппарат",C349&lt;&gt;"",OR($S$5="(все)",B349=$S$5)),MAX($Y$3:Y348)+1,"")</f>
      </c>
      <c r="Z349" s="133">
        <f>IFERROR(INDEX($C$4:$C$500,MATCH(ROW()-3,$Y$4:$Y$500,0)),"")</f>
      </c>
      <c r="AA349" s="133">
        <f>IF(AND(A349="Модуль",C349&lt;&gt;"",OR($S$6="(все)",B349=$S$6)),MAX($AA$3:AA348)+1,"")</f>
      </c>
      <c r="AB349" s="133">
        <f>IFERROR(INDEX($C$4:$C$500,MATCH(ROW()-3,$AA$4:$AA$500,0)),"")</f>
      </c>
      <c r="AC349" s="133">
        <f>IF(OR(B349="",COUNTIF($B$4:B349,B349)&gt;1),"",MAX($AC$3:AC348)+1)</f>
      </c>
      <c r="AD349" s="133">
        <f>IFERROR(INDEX($B$4:$B$500,MATCH(ROW()-3,$AC$4:$AC$500,0)),"")</f>
      </c>
      <c r="AE349" s="133">
        <f>IF(AND(A349&lt;&gt;"",N(P349)&gt;0),IFERROR(MATCH(A349,$R$12:$R$25,0),99)*1000+ROW(),"")</f>
      </c>
      <c r="AF349" s="133">
        <f>IF(AE349="","",COUNTIF($AE$4:$AE$500,"&lt;="&amp;AE349))</f>
      </c>
    </row>
    <row r="350">
      <c r="A350" s="265"/>
      <c r="B350" s="265"/>
      <c r="C350" s="265"/>
      <c r="D350" s="265"/>
      <c r="E350" s="265"/>
      <c r="F350" s="265"/>
      <c r="G350" s="265"/>
      <c r="H350" s="265"/>
      <c r="I350" s="265"/>
      <c r="J350" s="265"/>
      <c r="K350" s="265"/>
      <c r="L350" s="265"/>
      <c r="M350" s="265"/>
      <c r="N350" s="133">
        <f>IF(OR(A350="Автомат",A350="Дифавтомат"),IF(W350="","",COUNTIF(Однолинейка!$H$3:$H$1000,U350)),IF(A350="Аппарат",IF(C350="","",COUNTIF(Однолинейка!$I$3:$I$1000,C350)+COUNTIF(Однолинейка!$J$3:$J$1000,C350)+COUNTIF(Однолинейка!$K$3:$K$1000,C350)),IF(A350="Модуль",IF(C350="","",COUNTIFS(Однолинейка!$AW$3:$AW$1000,"?*",Однолинейка!$AI$3:$AI$1000,C350)),IF(A350="Клемма",IF(C350="","",IF(C350=$S$7,SUM(Однолинейка!$BW$3:$BW$1000),IF(C350=$S$8,SUM(Однолинейка!$BX$3:$BX$1000),""))),""))))</f>
      </c>
      <c r="O350" s="265"/>
      <c r="P350" s="133">
        <f>IF(COUNT(N350,O350)=0,"",SUM(N350,O350))</f>
      </c>
      <c r="U350" s="133">
        <f>IF(OR(A350="Автомат",A350="Дифавтомат"),I350&amp;" С"&amp;J350&amp;"А"&amp;IF(K350="да"," 30мА",""),"")</f>
      </c>
      <c r="V350" s="133">
        <f>IF(U350="","",B350&amp;"|"&amp;U350)</f>
      </c>
      <c r="W350" s="133">
        <f>IF(AND(U350&lt;&gt;"",OR($S$4="(все)",B350=$S$4),IF($S$4="(все)",COUNTIF($U$4:U350,U350),COUNTIFS($U$4:U350,U350,$B$4:B350,B350))=1),MAX($W$3:W349)+1,"")</f>
      </c>
      <c r="X350" s="133">
        <f>IFERROR(INDEX($U$4:$U$500,MATCH(ROW()-3,$W$4:$W$500,0)),"")</f>
      </c>
      <c r="Y350" s="133">
        <f>IF(AND(A350="Аппарат",C350&lt;&gt;"",OR($S$5="(все)",B350=$S$5)),MAX($Y$3:Y349)+1,"")</f>
      </c>
      <c r="Z350" s="133">
        <f>IFERROR(INDEX($C$4:$C$500,MATCH(ROW()-3,$Y$4:$Y$500,0)),"")</f>
      </c>
      <c r="AA350" s="133">
        <f>IF(AND(A350="Модуль",C350&lt;&gt;"",OR($S$6="(все)",B350=$S$6)),MAX($AA$3:AA349)+1,"")</f>
      </c>
      <c r="AB350" s="133">
        <f>IFERROR(INDEX($C$4:$C$500,MATCH(ROW()-3,$AA$4:$AA$500,0)),"")</f>
      </c>
      <c r="AC350" s="133">
        <f>IF(OR(B350="",COUNTIF($B$4:B350,B350)&gt;1),"",MAX($AC$3:AC349)+1)</f>
      </c>
      <c r="AD350" s="133">
        <f>IFERROR(INDEX($B$4:$B$500,MATCH(ROW()-3,$AC$4:$AC$500,0)),"")</f>
      </c>
      <c r="AE350" s="133">
        <f>IF(AND(A350&lt;&gt;"",N(P350)&gt;0),IFERROR(MATCH(A350,$R$12:$R$25,0),99)*1000+ROW(),"")</f>
      </c>
      <c r="AF350" s="133">
        <f>IF(AE350="","",COUNTIF($AE$4:$AE$500,"&lt;="&amp;AE350))</f>
      </c>
    </row>
    <row r="351">
      <c r="A351" s="265"/>
      <c r="B351" s="265"/>
      <c r="C351" s="265"/>
      <c r="D351" s="265"/>
      <c r="E351" s="265"/>
      <c r="F351" s="265"/>
      <c r="G351" s="265"/>
      <c r="H351" s="265"/>
      <c r="I351" s="265"/>
      <c r="J351" s="265"/>
      <c r="K351" s="265"/>
      <c r="L351" s="265"/>
      <c r="M351" s="265"/>
      <c r="N351" s="133">
        <f>IF(OR(A351="Автомат",A351="Дифавтомат"),IF(W351="","",COUNTIF(Однолинейка!$H$3:$H$1000,U351)),IF(A351="Аппарат",IF(C351="","",COUNTIF(Однолинейка!$I$3:$I$1000,C351)+COUNTIF(Однолинейка!$J$3:$J$1000,C351)+COUNTIF(Однолинейка!$K$3:$K$1000,C351)),IF(A351="Модуль",IF(C351="","",COUNTIFS(Однолинейка!$AW$3:$AW$1000,"?*",Однолинейка!$AI$3:$AI$1000,C351)),IF(A351="Клемма",IF(C351="","",IF(C351=$S$7,SUM(Однолинейка!$BW$3:$BW$1000),IF(C351=$S$8,SUM(Однолинейка!$BX$3:$BX$1000),""))),""))))</f>
      </c>
      <c r="O351" s="265"/>
      <c r="P351" s="133">
        <f>IF(COUNT(N351,O351)=0,"",SUM(N351,O351))</f>
      </c>
      <c r="U351" s="133">
        <f>IF(OR(A351="Автомат",A351="Дифавтомат"),I351&amp;" С"&amp;J351&amp;"А"&amp;IF(K351="да"," 30мА",""),"")</f>
      </c>
      <c r="V351" s="133">
        <f>IF(U351="","",B351&amp;"|"&amp;U351)</f>
      </c>
      <c r="W351" s="133">
        <f>IF(AND(U351&lt;&gt;"",OR($S$4="(все)",B351=$S$4),IF($S$4="(все)",COUNTIF($U$4:U351,U351),COUNTIFS($U$4:U351,U351,$B$4:B351,B351))=1),MAX($W$3:W350)+1,"")</f>
      </c>
      <c r="X351" s="133">
        <f>IFERROR(INDEX($U$4:$U$500,MATCH(ROW()-3,$W$4:$W$500,0)),"")</f>
      </c>
      <c r="Y351" s="133">
        <f>IF(AND(A351="Аппарат",C351&lt;&gt;"",OR($S$5="(все)",B351=$S$5)),MAX($Y$3:Y350)+1,"")</f>
      </c>
      <c r="Z351" s="133">
        <f>IFERROR(INDEX($C$4:$C$500,MATCH(ROW()-3,$Y$4:$Y$500,0)),"")</f>
      </c>
      <c r="AA351" s="133">
        <f>IF(AND(A351="Модуль",C351&lt;&gt;"",OR($S$6="(все)",B351=$S$6)),MAX($AA$3:AA350)+1,"")</f>
      </c>
      <c r="AB351" s="133">
        <f>IFERROR(INDEX($C$4:$C$500,MATCH(ROW()-3,$AA$4:$AA$500,0)),"")</f>
      </c>
      <c r="AC351" s="133">
        <f>IF(OR(B351="",COUNTIF($B$4:B351,B351)&gt;1),"",MAX($AC$3:AC350)+1)</f>
      </c>
      <c r="AD351" s="133">
        <f>IFERROR(INDEX($B$4:$B$500,MATCH(ROW()-3,$AC$4:$AC$500,0)),"")</f>
      </c>
      <c r="AE351" s="133">
        <f>IF(AND(A351&lt;&gt;"",N(P351)&gt;0),IFERROR(MATCH(A351,$R$12:$R$25,0),99)*1000+ROW(),"")</f>
      </c>
      <c r="AF351" s="133">
        <f>IF(AE351="","",COUNTIF($AE$4:$AE$500,"&lt;="&amp;AE351))</f>
      </c>
    </row>
    <row r="352">
      <c r="A352" s="265"/>
      <c r="B352" s="265"/>
      <c r="C352" s="265"/>
      <c r="D352" s="265"/>
      <c r="E352" s="265"/>
      <c r="F352" s="265"/>
      <c r="G352" s="265"/>
      <c r="H352" s="265"/>
      <c r="I352" s="265"/>
      <c r="J352" s="265"/>
      <c r="K352" s="265"/>
      <c r="L352" s="265"/>
      <c r="M352" s="265"/>
      <c r="N352" s="133">
        <f>IF(OR(A352="Автомат",A352="Дифавтомат"),IF(W352="","",COUNTIF(Однолинейка!$H$3:$H$1000,U352)),IF(A352="Аппарат",IF(C352="","",COUNTIF(Однолинейка!$I$3:$I$1000,C352)+COUNTIF(Однолинейка!$J$3:$J$1000,C352)+COUNTIF(Однолинейка!$K$3:$K$1000,C352)),IF(A352="Модуль",IF(C352="","",COUNTIFS(Однолинейка!$AW$3:$AW$1000,"?*",Однолинейка!$AI$3:$AI$1000,C352)),IF(A352="Клемма",IF(C352="","",IF(C352=$S$7,SUM(Однолинейка!$BW$3:$BW$1000),IF(C352=$S$8,SUM(Однолинейка!$BX$3:$BX$1000),""))),""))))</f>
      </c>
      <c r="O352" s="265"/>
      <c r="P352" s="133">
        <f>IF(COUNT(N352,O352)=0,"",SUM(N352,O352))</f>
      </c>
      <c r="U352" s="133">
        <f>IF(OR(A352="Автомат",A352="Дифавтомат"),I352&amp;" С"&amp;J352&amp;"А"&amp;IF(K352="да"," 30мА",""),"")</f>
      </c>
      <c r="V352" s="133">
        <f>IF(U352="","",B352&amp;"|"&amp;U352)</f>
      </c>
      <c r="W352" s="133">
        <f>IF(AND(U352&lt;&gt;"",OR($S$4="(все)",B352=$S$4),IF($S$4="(все)",COUNTIF($U$4:U352,U352),COUNTIFS($U$4:U352,U352,$B$4:B352,B352))=1),MAX($W$3:W351)+1,"")</f>
      </c>
      <c r="X352" s="133">
        <f>IFERROR(INDEX($U$4:$U$500,MATCH(ROW()-3,$W$4:$W$500,0)),"")</f>
      </c>
      <c r="Y352" s="133">
        <f>IF(AND(A352="Аппарат",C352&lt;&gt;"",OR($S$5="(все)",B352=$S$5)),MAX($Y$3:Y351)+1,"")</f>
      </c>
      <c r="Z352" s="133">
        <f>IFERROR(INDEX($C$4:$C$500,MATCH(ROW()-3,$Y$4:$Y$500,0)),"")</f>
      </c>
      <c r="AA352" s="133">
        <f>IF(AND(A352="Модуль",C352&lt;&gt;"",OR($S$6="(все)",B352=$S$6)),MAX($AA$3:AA351)+1,"")</f>
      </c>
      <c r="AB352" s="133">
        <f>IFERROR(INDEX($C$4:$C$500,MATCH(ROW()-3,$AA$4:$AA$500,0)),"")</f>
      </c>
      <c r="AC352" s="133">
        <f>IF(OR(B352="",COUNTIF($B$4:B352,B352)&gt;1),"",MAX($AC$3:AC351)+1)</f>
      </c>
      <c r="AD352" s="133">
        <f>IFERROR(INDEX($B$4:$B$500,MATCH(ROW()-3,$AC$4:$AC$500,0)),"")</f>
      </c>
      <c r="AE352" s="133">
        <f>IF(AND(A352&lt;&gt;"",N(P352)&gt;0),IFERROR(MATCH(A352,$R$12:$R$25,0),99)*1000+ROW(),"")</f>
      </c>
      <c r="AF352" s="133">
        <f>IF(AE352="","",COUNTIF($AE$4:$AE$500,"&lt;="&amp;AE352))</f>
      </c>
    </row>
    <row r="353">
      <c r="A353" s="265"/>
      <c r="B353" s="265"/>
      <c r="C353" s="265"/>
      <c r="D353" s="265"/>
      <c r="E353" s="265"/>
      <c r="F353" s="265"/>
      <c r="G353" s="265"/>
      <c r="H353" s="265"/>
      <c r="I353" s="265"/>
      <c r="J353" s="265"/>
      <c r="K353" s="265"/>
      <c r="L353" s="265"/>
      <c r="M353" s="265"/>
      <c r="N353" s="133">
        <f>IF(OR(A353="Автомат",A353="Дифавтомат"),IF(W353="","",COUNTIF(Однолинейка!$H$3:$H$1000,U353)),IF(A353="Аппарат",IF(C353="","",COUNTIF(Однолинейка!$I$3:$I$1000,C353)+COUNTIF(Однолинейка!$J$3:$J$1000,C353)+COUNTIF(Однолинейка!$K$3:$K$1000,C353)),IF(A353="Модуль",IF(C353="","",COUNTIFS(Однолинейка!$AW$3:$AW$1000,"?*",Однолинейка!$AI$3:$AI$1000,C353)),IF(A353="Клемма",IF(C353="","",IF(C353=$S$7,SUM(Однолинейка!$BW$3:$BW$1000),IF(C353=$S$8,SUM(Однолинейка!$BX$3:$BX$1000),""))),""))))</f>
      </c>
      <c r="O353" s="265"/>
      <c r="P353" s="133">
        <f>IF(COUNT(N353,O353)=0,"",SUM(N353,O353))</f>
      </c>
      <c r="U353" s="133">
        <f>IF(OR(A353="Автомат",A353="Дифавтомат"),I353&amp;" С"&amp;J353&amp;"А"&amp;IF(K353="да"," 30мА",""),"")</f>
      </c>
      <c r="V353" s="133">
        <f>IF(U353="","",B353&amp;"|"&amp;U353)</f>
      </c>
      <c r="W353" s="133">
        <f>IF(AND(U353&lt;&gt;"",OR($S$4="(все)",B353=$S$4),IF($S$4="(все)",COUNTIF($U$4:U353,U353),COUNTIFS($U$4:U353,U353,$B$4:B353,B353))=1),MAX($W$3:W352)+1,"")</f>
      </c>
      <c r="X353" s="133">
        <f>IFERROR(INDEX($U$4:$U$500,MATCH(ROW()-3,$W$4:$W$500,0)),"")</f>
      </c>
      <c r="Y353" s="133">
        <f>IF(AND(A353="Аппарат",C353&lt;&gt;"",OR($S$5="(все)",B353=$S$5)),MAX($Y$3:Y352)+1,"")</f>
      </c>
      <c r="Z353" s="133">
        <f>IFERROR(INDEX($C$4:$C$500,MATCH(ROW()-3,$Y$4:$Y$500,0)),"")</f>
      </c>
      <c r="AA353" s="133">
        <f>IF(AND(A353="Модуль",C353&lt;&gt;"",OR($S$6="(все)",B353=$S$6)),MAX($AA$3:AA352)+1,"")</f>
      </c>
      <c r="AB353" s="133">
        <f>IFERROR(INDEX($C$4:$C$500,MATCH(ROW()-3,$AA$4:$AA$500,0)),"")</f>
      </c>
      <c r="AC353" s="133">
        <f>IF(OR(B353="",COUNTIF($B$4:B353,B353)&gt;1),"",MAX($AC$3:AC352)+1)</f>
      </c>
      <c r="AD353" s="133">
        <f>IFERROR(INDEX($B$4:$B$500,MATCH(ROW()-3,$AC$4:$AC$500,0)),"")</f>
      </c>
      <c r="AE353" s="133">
        <f>IF(AND(A353&lt;&gt;"",N(P353)&gt;0),IFERROR(MATCH(A353,$R$12:$R$25,0),99)*1000+ROW(),"")</f>
      </c>
      <c r="AF353" s="133">
        <f>IF(AE353="","",COUNTIF($AE$4:$AE$500,"&lt;="&amp;AE353))</f>
      </c>
    </row>
    <row r="354">
      <c r="A354" s="265"/>
      <c r="B354" s="265"/>
      <c r="C354" s="265"/>
      <c r="D354" s="265"/>
      <c r="E354" s="265"/>
      <c r="F354" s="265"/>
      <c r="G354" s="265"/>
      <c r="H354" s="265"/>
      <c r="I354" s="265"/>
      <c r="J354" s="265"/>
      <c r="K354" s="265"/>
      <c r="L354" s="265"/>
      <c r="M354" s="265"/>
      <c r="N354" s="133">
        <f>IF(OR(A354="Автомат",A354="Дифавтомат"),IF(W354="","",COUNTIF(Однолинейка!$H$3:$H$1000,U354)),IF(A354="Аппарат",IF(C354="","",COUNTIF(Однолинейка!$I$3:$I$1000,C354)+COUNTIF(Однолинейка!$J$3:$J$1000,C354)+COUNTIF(Однолинейка!$K$3:$K$1000,C354)),IF(A354="Модуль",IF(C354="","",COUNTIFS(Однолинейка!$AW$3:$AW$1000,"?*",Однолинейка!$AI$3:$AI$1000,C354)),IF(A354="Клемма",IF(C354="","",IF(C354=$S$7,SUM(Однолинейка!$BW$3:$BW$1000),IF(C354=$S$8,SUM(Однолинейка!$BX$3:$BX$1000),""))),""))))</f>
      </c>
      <c r="O354" s="265"/>
      <c r="P354" s="133">
        <f>IF(COUNT(N354,O354)=0,"",SUM(N354,O354))</f>
      </c>
      <c r="U354" s="133">
        <f>IF(OR(A354="Автомат",A354="Дифавтомат"),I354&amp;" С"&amp;J354&amp;"А"&amp;IF(K354="да"," 30мА",""),"")</f>
      </c>
      <c r="V354" s="133">
        <f>IF(U354="","",B354&amp;"|"&amp;U354)</f>
      </c>
      <c r="W354" s="133">
        <f>IF(AND(U354&lt;&gt;"",OR($S$4="(все)",B354=$S$4),IF($S$4="(все)",COUNTIF($U$4:U354,U354),COUNTIFS($U$4:U354,U354,$B$4:B354,B354))=1),MAX($W$3:W353)+1,"")</f>
      </c>
      <c r="X354" s="133">
        <f>IFERROR(INDEX($U$4:$U$500,MATCH(ROW()-3,$W$4:$W$500,0)),"")</f>
      </c>
      <c r="Y354" s="133">
        <f>IF(AND(A354="Аппарат",C354&lt;&gt;"",OR($S$5="(все)",B354=$S$5)),MAX($Y$3:Y353)+1,"")</f>
      </c>
      <c r="Z354" s="133">
        <f>IFERROR(INDEX($C$4:$C$500,MATCH(ROW()-3,$Y$4:$Y$500,0)),"")</f>
      </c>
      <c r="AA354" s="133">
        <f>IF(AND(A354="Модуль",C354&lt;&gt;"",OR($S$6="(все)",B354=$S$6)),MAX($AA$3:AA353)+1,"")</f>
      </c>
      <c r="AB354" s="133">
        <f>IFERROR(INDEX($C$4:$C$500,MATCH(ROW()-3,$AA$4:$AA$500,0)),"")</f>
      </c>
      <c r="AC354" s="133">
        <f>IF(OR(B354="",COUNTIF($B$4:B354,B354)&gt;1),"",MAX($AC$3:AC353)+1)</f>
      </c>
      <c r="AD354" s="133">
        <f>IFERROR(INDEX($B$4:$B$500,MATCH(ROW()-3,$AC$4:$AC$500,0)),"")</f>
      </c>
      <c r="AE354" s="133">
        <f>IF(AND(A354&lt;&gt;"",N(P354)&gt;0),IFERROR(MATCH(A354,$R$12:$R$25,0),99)*1000+ROW(),"")</f>
      </c>
      <c r="AF354" s="133">
        <f>IF(AE354="","",COUNTIF($AE$4:$AE$500,"&lt;="&amp;AE354))</f>
      </c>
    </row>
    <row r="355">
      <c r="A355" s="265"/>
      <c r="B355" s="265"/>
      <c r="C355" s="265"/>
      <c r="D355" s="265"/>
      <c r="E355" s="265"/>
      <c r="F355" s="265"/>
      <c r="G355" s="265"/>
      <c r="H355" s="265"/>
      <c r="I355" s="265"/>
      <c r="J355" s="265"/>
      <c r="K355" s="265"/>
      <c r="L355" s="265"/>
      <c r="M355" s="265"/>
      <c r="N355" s="133">
        <f>IF(OR(A355="Автомат",A355="Дифавтомат"),IF(W355="","",COUNTIF(Однолинейка!$H$3:$H$1000,U355)),IF(A355="Аппарат",IF(C355="","",COUNTIF(Однолинейка!$I$3:$I$1000,C355)+COUNTIF(Однолинейка!$J$3:$J$1000,C355)+COUNTIF(Однолинейка!$K$3:$K$1000,C355)),IF(A355="Модуль",IF(C355="","",COUNTIFS(Однолинейка!$AW$3:$AW$1000,"?*",Однолинейка!$AI$3:$AI$1000,C355)),IF(A355="Клемма",IF(C355="","",IF(C355=$S$7,SUM(Однолинейка!$BW$3:$BW$1000),IF(C355=$S$8,SUM(Однолинейка!$BX$3:$BX$1000),""))),""))))</f>
      </c>
      <c r="O355" s="265"/>
      <c r="P355" s="133">
        <f>IF(COUNT(N355,O355)=0,"",SUM(N355,O355))</f>
      </c>
      <c r="U355" s="133">
        <f>IF(OR(A355="Автомат",A355="Дифавтомат"),I355&amp;" С"&amp;J355&amp;"А"&amp;IF(K355="да"," 30мА",""),"")</f>
      </c>
      <c r="V355" s="133">
        <f>IF(U355="","",B355&amp;"|"&amp;U355)</f>
      </c>
      <c r="W355" s="133">
        <f>IF(AND(U355&lt;&gt;"",OR($S$4="(все)",B355=$S$4),IF($S$4="(все)",COUNTIF($U$4:U355,U355),COUNTIFS($U$4:U355,U355,$B$4:B355,B355))=1),MAX($W$3:W354)+1,"")</f>
      </c>
      <c r="X355" s="133">
        <f>IFERROR(INDEX($U$4:$U$500,MATCH(ROW()-3,$W$4:$W$500,0)),"")</f>
      </c>
      <c r="Y355" s="133">
        <f>IF(AND(A355="Аппарат",C355&lt;&gt;"",OR($S$5="(все)",B355=$S$5)),MAX($Y$3:Y354)+1,"")</f>
      </c>
      <c r="Z355" s="133">
        <f>IFERROR(INDEX($C$4:$C$500,MATCH(ROW()-3,$Y$4:$Y$500,0)),"")</f>
      </c>
      <c r="AA355" s="133">
        <f>IF(AND(A355="Модуль",C355&lt;&gt;"",OR($S$6="(все)",B355=$S$6)),MAX($AA$3:AA354)+1,"")</f>
      </c>
      <c r="AB355" s="133">
        <f>IFERROR(INDEX($C$4:$C$500,MATCH(ROW()-3,$AA$4:$AA$500,0)),"")</f>
      </c>
      <c r="AC355" s="133">
        <f>IF(OR(B355="",COUNTIF($B$4:B355,B355)&gt;1),"",MAX($AC$3:AC354)+1)</f>
      </c>
      <c r="AD355" s="133">
        <f>IFERROR(INDEX($B$4:$B$500,MATCH(ROW()-3,$AC$4:$AC$500,0)),"")</f>
      </c>
      <c r="AE355" s="133">
        <f>IF(AND(A355&lt;&gt;"",N(P355)&gt;0),IFERROR(MATCH(A355,$R$12:$R$25,0),99)*1000+ROW(),"")</f>
      </c>
      <c r="AF355" s="133">
        <f>IF(AE355="","",COUNTIF($AE$4:$AE$500,"&lt;="&amp;AE355))</f>
      </c>
    </row>
    <row r="356">
      <c r="A356" s="265"/>
      <c r="B356" s="265"/>
      <c r="C356" s="265"/>
      <c r="D356" s="265"/>
      <c r="E356" s="265"/>
      <c r="F356" s="265"/>
      <c r="G356" s="265"/>
      <c r="H356" s="265"/>
      <c r="I356" s="265"/>
      <c r="J356" s="265"/>
      <c r="K356" s="265"/>
      <c r="L356" s="265"/>
      <c r="M356" s="265"/>
      <c r="N356" s="133">
        <f>IF(OR(A356="Автомат",A356="Дифавтомат"),IF(W356="","",COUNTIF(Однолинейка!$H$3:$H$1000,U356)),IF(A356="Аппарат",IF(C356="","",COUNTIF(Однолинейка!$I$3:$I$1000,C356)+COUNTIF(Однолинейка!$J$3:$J$1000,C356)+COUNTIF(Однолинейка!$K$3:$K$1000,C356)),IF(A356="Модуль",IF(C356="","",COUNTIFS(Однолинейка!$AW$3:$AW$1000,"?*",Однолинейка!$AI$3:$AI$1000,C356)),IF(A356="Клемма",IF(C356="","",IF(C356=$S$7,SUM(Однолинейка!$BW$3:$BW$1000),IF(C356=$S$8,SUM(Однолинейка!$BX$3:$BX$1000),""))),""))))</f>
      </c>
      <c r="O356" s="265"/>
      <c r="P356" s="133">
        <f>IF(COUNT(N356,O356)=0,"",SUM(N356,O356))</f>
      </c>
      <c r="U356" s="133">
        <f>IF(OR(A356="Автомат",A356="Дифавтомат"),I356&amp;" С"&amp;J356&amp;"А"&amp;IF(K356="да"," 30мА",""),"")</f>
      </c>
      <c r="V356" s="133">
        <f>IF(U356="","",B356&amp;"|"&amp;U356)</f>
      </c>
      <c r="W356" s="133">
        <f>IF(AND(U356&lt;&gt;"",OR($S$4="(все)",B356=$S$4),IF($S$4="(все)",COUNTIF($U$4:U356,U356),COUNTIFS($U$4:U356,U356,$B$4:B356,B356))=1),MAX($W$3:W355)+1,"")</f>
      </c>
      <c r="X356" s="133">
        <f>IFERROR(INDEX($U$4:$U$500,MATCH(ROW()-3,$W$4:$W$500,0)),"")</f>
      </c>
      <c r="Y356" s="133">
        <f>IF(AND(A356="Аппарат",C356&lt;&gt;"",OR($S$5="(все)",B356=$S$5)),MAX($Y$3:Y355)+1,"")</f>
      </c>
      <c r="Z356" s="133">
        <f>IFERROR(INDEX($C$4:$C$500,MATCH(ROW()-3,$Y$4:$Y$500,0)),"")</f>
      </c>
      <c r="AA356" s="133">
        <f>IF(AND(A356="Модуль",C356&lt;&gt;"",OR($S$6="(все)",B356=$S$6)),MAX($AA$3:AA355)+1,"")</f>
      </c>
      <c r="AB356" s="133">
        <f>IFERROR(INDEX($C$4:$C$500,MATCH(ROW()-3,$AA$4:$AA$500,0)),"")</f>
      </c>
      <c r="AC356" s="133">
        <f>IF(OR(B356="",COUNTIF($B$4:B356,B356)&gt;1),"",MAX($AC$3:AC355)+1)</f>
      </c>
      <c r="AD356" s="133">
        <f>IFERROR(INDEX($B$4:$B$500,MATCH(ROW()-3,$AC$4:$AC$500,0)),"")</f>
      </c>
      <c r="AE356" s="133">
        <f>IF(AND(A356&lt;&gt;"",N(P356)&gt;0),IFERROR(MATCH(A356,$R$12:$R$25,0),99)*1000+ROW(),"")</f>
      </c>
      <c r="AF356" s="133">
        <f>IF(AE356="","",COUNTIF($AE$4:$AE$500,"&lt;="&amp;AE356))</f>
      </c>
    </row>
    <row r="357">
      <c r="A357" s="265"/>
      <c r="B357" s="265"/>
      <c r="C357" s="265"/>
      <c r="D357" s="265"/>
      <c r="E357" s="265"/>
      <c r="F357" s="265"/>
      <c r="G357" s="265"/>
      <c r="H357" s="265"/>
      <c r="I357" s="265"/>
      <c r="J357" s="265"/>
      <c r="K357" s="265"/>
      <c r="L357" s="265"/>
      <c r="M357" s="265"/>
      <c r="N357" s="133">
        <f>IF(OR(A357="Автомат",A357="Дифавтомат"),IF(W357="","",COUNTIF(Однолинейка!$H$3:$H$1000,U357)),IF(A357="Аппарат",IF(C357="","",COUNTIF(Однолинейка!$I$3:$I$1000,C357)+COUNTIF(Однолинейка!$J$3:$J$1000,C357)+COUNTIF(Однолинейка!$K$3:$K$1000,C357)),IF(A357="Модуль",IF(C357="","",COUNTIFS(Однолинейка!$AW$3:$AW$1000,"?*",Однолинейка!$AI$3:$AI$1000,C357)),IF(A357="Клемма",IF(C357="","",IF(C357=$S$7,SUM(Однолинейка!$BW$3:$BW$1000),IF(C357=$S$8,SUM(Однолинейка!$BX$3:$BX$1000),""))),""))))</f>
      </c>
      <c r="O357" s="265"/>
      <c r="P357" s="133">
        <f>IF(COUNT(N357,O357)=0,"",SUM(N357,O357))</f>
      </c>
      <c r="U357" s="133">
        <f>IF(OR(A357="Автомат",A357="Дифавтомат"),I357&amp;" С"&amp;J357&amp;"А"&amp;IF(K357="да"," 30мА",""),"")</f>
      </c>
      <c r="V357" s="133">
        <f>IF(U357="","",B357&amp;"|"&amp;U357)</f>
      </c>
      <c r="W357" s="133">
        <f>IF(AND(U357&lt;&gt;"",OR($S$4="(все)",B357=$S$4),IF($S$4="(все)",COUNTIF($U$4:U357,U357),COUNTIFS($U$4:U357,U357,$B$4:B357,B357))=1),MAX($W$3:W356)+1,"")</f>
      </c>
      <c r="X357" s="133">
        <f>IFERROR(INDEX($U$4:$U$500,MATCH(ROW()-3,$W$4:$W$500,0)),"")</f>
      </c>
      <c r="Y357" s="133">
        <f>IF(AND(A357="Аппарат",C357&lt;&gt;"",OR($S$5="(все)",B357=$S$5)),MAX($Y$3:Y356)+1,"")</f>
      </c>
      <c r="Z357" s="133">
        <f>IFERROR(INDEX($C$4:$C$500,MATCH(ROW()-3,$Y$4:$Y$500,0)),"")</f>
      </c>
      <c r="AA357" s="133">
        <f>IF(AND(A357="Модуль",C357&lt;&gt;"",OR($S$6="(все)",B357=$S$6)),MAX($AA$3:AA356)+1,"")</f>
      </c>
      <c r="AB357" s="133">
        <f>IFERROR(INDEX($C$4:$C$500,MATCH(ROW()-3,$AA$4:$AA$500,0)),"")</f>
      </c>
      <c r="AC357" s="133">
        <f>IF(OR(B357="",COUNTIF($B$4:B357,B357)&gt;1),"",MAX($AC$3:AC356)+1)</f>
      </c>
      <c r="AD357" s="133">
        <f>IFERROR(INDEX($B$4:$B$500,MATCH(ROW()-3,$AC$4:$AC$500,0)),"")</f>
      </c>
      <c r="AE357" s="133">
        <f>IF(AND(A357&lt;&gt;"",N(P357)&gt;0),IFERROR(MATCH(A357,$R$12:$R$25,0),99)*1000+ROW(),"")</f>
      </c>
      <c r="AF357" s="133">
        <f>IF(AE357="","",COUNTIF($AE$4:$AE$500,"&lt;="&amp;AE357))</f>
      </c>
    </row>
    <row r="358">
      <c r="A358" s="265"/>
      <c r="B358" s="265"/>
      <c r="C358" s="265"/>
      <c r="D358" s="265"/>
      <c r="E358" s="265"/>
      <c r="F358" s="265"/>
      <c r="G358" s="265"/>
      <c r="H358" s="265"/>
      <c r="I358" s="265"/>
      <c r="J358" s="265"/>
      <c r="K358" s="265"/>
      <c r="L358" s="265"/>
      <c r="M358" s="265"/>
      <c r="N358" s="133">
        <f>IF(OR(A358="Автомат",A358="Дифавтомат"),IF(W358="","",COUNTIF(Однолинейка!$H$3:$H$1000,U358)),IF(A358="Аппарат",IF(C358="","",COUNTIF(Однолинейка!$I$3:$I$1000,C358)+COUNTIF(Однолинейка!$J$3:$J$1000,C358)+COUNTIF(Однолинейка!$K$3:$K$1000,C358)),IF(A358="Модуль",IF(C358="","",COUNTIFS(Однолинейка!$AW$3:$AW$1000,"?*",Однолинейка!$AI$3:$AI$1000,C358)),IF(A358="Клемма",IF(C358="","",IF(C358=$S$7,SUM(Однолинейка!$BW$3:$BW$1000),IF(C358=$S$8,SUM(Однолинейка!$BX$3:$BX$1000),""))),""))))</f>
      </c>
      <c r="O358" s="265"/>
      <c r="P358" s="133">
        <f>IF(COUNT(N358,O358)=0,"",SUM(N358,O358))</f>
      </c>
      <c r="U358" s="133">
        <f>IF(OR(A358="Автомат",A358="Дифавтомат"),I358&amp;" С"&amp;J358&amp;"А"&amp;IF(K358="да"," 30мА",""),"")</f>
      </c>
      <c r="V358" s="133">
        <f>IF(U358="","",B358&amp;"|"&amp;U358)</f>
      </c>
      <c r="W358" s="133">
        <f>IF(AND(U358&lt;&gt;"",OR($S$4="(все)",B358=$S$4),IF($S$4="(все)",COUNTIF($U$4:U358,U358),COUNTIFS($U$4:U358,U358,$B$4:B358,B358))=1),MAX($W$3:W357)+1,"")</f>
      </c>
      <c r="X358" s="133">
        <f>IFERROR(INDEX($U$4:$U$500,MATCH(ROW()-3,$W$4:$W$500,0)),"")</f>
      </c>
      <c r="Y358" s="133">
        <f>IF(AND(A358="Аппарат",C358&lt;&gt;"",OR($S$5="(все)",B358=$S$5)),MAX($Y$3:Y357)+1,"")</f>
      </c>
      <c r="Z358" s="133">
        <f>IFERROR(INDEX($C$4:$C$500,MATCH(ROW()-3,$Y$4:$Y$500,0)),"")</f>
      </c>
      <c r="AA358" s="133">
        <f>IF(AND(A358="Модуль",C358&lt;&gt;"",OR($S$6="(все)",B358=$S$6)),MAX($AA$3:AA357)+1,"")</f>
      </c>
      <c r="AB358" s="133">
        <f>IFERROR(INDEX($C$4:$C$500,MATCH(ROW()-3,$AA$4:$AA$500,0)),"")</f>
      </c>
      <c r="AC358" s="133">
        <f>IF(OR(B358="",COUNTIF($B$4:B358,B358)&gt;1),"",MAX($AC$3:AC357)+1)</f>
      </c>
      <c r="AD358" s="133">
        <f>IFERROR(INDEX($B$4:$B$500,MATCH(ROW()-3,$AC$4:$AC$500,0)),"")</f>
      </c>
      <c r="AE358" s="133">
        <f>IF(AND(A358&lt;&gt;"",N(P358)&gt;0),IFERROR(MATCH(A358,$R$12:$R$25,0),99)*1000+ROW(),"")</f>
      </c>
      <c r="AF358" s="133">
        <f>IF(AE358="","",COUNTIF($AE$4:$AE$500,"&lt;="&amp;AE358))</f>
      </c>
    </row>
    <row r="359">
      <c r="A359" s="265"/>
      <c r="B359" s="265"/>
      <c r="C359" s="265"/>
      <c r="D359" s="265"/>
      <c r="E359" s="265"/>
      <c r="F359" s="265"/>
      <c r="G359" s="265"/>
      <c r="H359" s="265"/>
      <c r="I359" s="265"/>
      <c r="J359" s="265"/>
      <c r="K359" s="265"/>
      <c r="L359" s="265"/>
      <c r="M359" s="265"/>
      <c r="N359" s="133">
        <f>IF(OR(A359="Автомат",A359="Дифавтомат"),IF(W359="","",COUNTIF(Однолинейка!$H$3:$H$1000,U359)),IF(A359="Аппарат",IF(C359="","",COUNTIF(Однолинейка!$I$3:$I$1000,C359)+COUNTIF(Однолинейка!$J$3:$J$1000,C359)+COUNTIF(Однолинейка!$K$3:$K$1000,C359)),IF(A359="Модуль",IF(C359="","",COUNTIFS(Однолинейка!$AW$3:$AW$1000,"?*",Однолинейка!$AI$3:$AI$1000,C359)),IF(A359="Клемма",IF(C359="","",IF(C359=$S$7,SUM(Однолинейка!$BW$3:$BW$1000),IF(C359=$S$8,SUM(Однолинейка!$BX$3:$BX$1000),""))),""))))</f>
      </c>
      <c r="O359" s="265"/>
      <c r="P359" s="133">
        <f>IF(COUNT(N359,O359)=0,"",SUM(N359,O359))</f>
      </c>
      <c r="U359" s="133">
        <f>IF(OR(A359="Автомат",A359="Дифавтомат"),I359&amp;" С"&amp;J359&amp;"А"&amp;IF(K359="да"," 30мА",""),"")</f>
      </c>
      <c r="V359" s="133">
        <f>IF(U359="","",B359&amp;"|"&amp;U359)</f>
      </c>
      <c r="W359" s="133">
        <f>IF(AND(U359&lt;&gt;"",OR($S$4="(все)",B359=$S$4),IF($S$4="(все)",COUNTIF($U$4:U359,U359),COUNTIFS($U$4:U359,U359,$B$4:B359,B359))=1),MAX($W$3:W358)+1,"")</f>
      </c>
      <c r="X359" s="133">
        <f>IFERROR(INDEX($U$4:$U$500,MATCH(ROW()-3,$W$4:$W$500,0)),"")</f>
      </c>
      <c r="Y359" s="133">
        <f>IF(AND(A359="Аппарат",C359&lt;&gt;"",OR($S$5="(все)",B359=$S$5)),MAX($Y$3:Y358)+1,"")</f>
      </c>
      <c r="Z359" s="133">
        <f>IFERROR(INDEX($C$4:$C$500,MATCH(ROW()-3,$Y$4:$Y$500,0)),"")</f>
      </c>
      <c r="AA359" s="133">
        <f>IF(AND(A359="Модуль",C359&lt;&gt;"",OR($S$6="(все)",B359=$S$6)),MAX($AA$3:AA358)+1,"")</f>
      </c>
      <c r="AB359" s="133">
        <f>IFERROR(INDEX($C$4:$C$500,MATCH(ROW()-3,$AA$4:$AA$500,0)),"")</f>
      </c>
      <c r="AC359" s="133">
        <f>IF(OR(B359="",COUNTIF($B$4:B359,B359)&gt;1),"",MAX($AC$3:AC358)+1)</f>
      </c>
      <c r="AD359" s="133">
        <f>IFERROR(INDEX($B$4:$B$500,MATCH(ROW()-3,$AC$4:$AC$500,0)),"")</f>
      </c>
      <c r="AE359" s="133">
        <f>IF(AND(A359&lt;&gt;"",N(P359)&gt;0),IFERROR(MATCH(A359,$R$12:$R$25,0),99)*1000+ROW(),"")</f>
      </c>
      <c r="AF359" s="133">
        <f>IF(AE359="","",COUNTIF($AE$4:$AE$500,"&lt;="&amp;AE359))</f>
      </c>
    </row>
    <row r="360">
      <c r="A360" s="265"/>
      <c r="B360" s="265"/>
      <c r="C360" s="265"/>
      <c r="D360" s="265"/>
      <c r="E360" s="265"/>
      <c r="F360" s="265"/>
      <c r="G360" s="265"/>
      <c r="H360" s="265"/>
      <c r="I360" s="265"/>
      <c r="J360" s="265"/>
      <c r="K360" s="265"/>
      <c r="L360" s="265"/>
      <c r="M360" s="265"/>
      <c r="N360" s="133">
        <f>IF(OR(A360="Автомат",A360="Дифавтомат"),IF(W360="","",COUNTIF(Однолинейка!$H$3:$H$1000,U360)),IF(A360="Аппарат",IF(C360="","",COUNTIF(Однолинейка!$I$3:$I$1000,C360)+COUNTIF(Однолинейка!$J$3:$J$1000,C360)+COUNTIF(Однолинейка!$K$3:$K$1000,C360)),IF(A360="Модуль",IF(C360="","",COUNTIFS(Однолинейка!$AW$3:$AW$1000,"?*",Однолинейка!$AI$3:$AI$1000,C360)),IF(A360="Клемма",IF(C360="","",IF(C360=$S$7,SUM(Однолинейка!$BW$3:$BW$1000),IF(C360=$S$8,SUM(Однолинейка!$BX$3:$BX$1000),""))),""))))</f>
      </c>
      <c r="O360" s="265"/>
      <c r="P360" s="133">
        <f>IF(COUNT(N360,O360)=0,"",SUM(N360,O360))</f>
      </c>
      <c r="U360" s="133">
        <f>IF(OR(A360="Автомат",A360="Дифавтомат"),I360&amp;" С"&amp;J360&amp;"А"&amp;IF(K360="да"," 30мА",""),"")</f>
      </c>
      <c r="V360" s="133">
        <f>IF(U360="","",B360&amp;"|"&amp;U360)</f>
      </c>
      <c r="W360" s="133">
        <f>IF(AND(U360&lt;&gt;"",OR($S$4="(все)",B360=$S$4),IF($S$4="(все)",COUNTIF($U$4:U360,U360),COUNTIFS($U$4:U360,U360,$B$4:B360,B360))=1),MAX($W$3:W359)+1,"")</f>
      </c>
      <c r="X360" s="133">
        <f>IFERROR(INDEX($U$4:$U$500,MATCH(ROW()-3,$W$4:$W$500,0)),"")</f>
      </c>
      <c r="Y360" s="133">
        <f>IF(AND(A360="Аппарат",C360&lt;&gt;"",OR($S$5="(все)",B360=$S$5)),MAX($Y$3:Y359)+1,"")</f>
      </c>
      <c r="Z360" s="133">
        <f>IFERROR(INDEX($C$4:$C$500,MATCH(ROW()-3,$Y$4:$Y$500,0)),"")</f>
      </c>
      <c r="AA360" s="133">
        <f>IF(AND(A360="Модуль",C360&lt;&gt;"",OR($S$6="(все)",B360=$S$6)),MAX($AA$3:AA359)+1,"")</f>
      </c>
      <c r="AB360" s="133">
        <f>IFERROR(INDEX($C$4:$C$500,MATCH(ROW()-3,$AA$4:$AA$500,0)),"")</f>
      </c>
      <c r="AC360" s="133">
        <f>IF(OR(B360="",COUNTIF($B$4:B360,B360)&gt;1),"",MAX($AC$3:AC359)+1)</f>
      </c>
      <c r="AD360" s="133">
        <f>IFERROR(INDEX($B$4:$B$500,MATCH(ROW()-3,$AC$4:$AC$500,0)),"")</f>
      </c>
      <c r="AE360" s="133">
        <f>IF(AND(A360&lt;&gt;"",N(P360)&gt;0),IFERROR(MATCH(A360,$R$12:$R$25,0),99)*1000+ROW(),"")</f>
      </c>
      <c r="AF360" s="133">
        <f>IF(AE360="","",COUNTIF($AE$4:$AE$500,"&lt;="&amp;AE360))</f>
      </c>
    </row>
    <row r="361">
      <c r="A361" s="265"/>
      <c r="B361" s="265"/>
      <c r="C361" s="265"/>
      <c r="D361" s="265"/>
      <c r="E361" s="265"/>
      <c r="F361" s="265"/>
      <c r="G361" s="265"/>
      <c r="H361" s="265"/>
      <c r="I361" s="265"/>
      <c r="J361" s="265"/>
      <c r="K361" s="265"/>
      <c r="L361" s="265"/>
      <c r="M361" s="265"/>
      <c r="N361" s="133">
        <f>IF(OR(A361="Автомат",A361="Дифавтомат"),IF(W361="","",COUNTIF(Однолинейка!$H$3:$H$1000,U361)),IF(A361="Аппарат",IF(C361="","",COUNTIF(Однолинейка!$I$3:$I$1000,C361)+COUNTIF(Однолинейка!$J$3:$J$1000,C361)+COUNTIF(Однолинейка!$K$3:$K$1000,C361)),IF(A361="Модуль",IF(C361="","",COUNTIFS(Однолинейка!$AW$3:$AW$1000,"?*",Однолинейка!$AI$3:$AI$1000,C361)),IF(A361="Клемма",IF(C361="","",IF(C361=$S$7,SUM(Однолинейка!$BW$3:$BW$1000),IF(C361=$S$8,SUM(Однолинейка!$BX$3:$BX$1000),""))),""))))</f>
      </c>
      <c r="O361" s="265"/>
      <c r="P361" s="133">
        <f>IF(COUNT(N361,O361)=0,"",SUM(N361,O361))</f>
      </c>
      <c r="U361" s="133">
        <f>IF(OR(A361="Автомат",A361="Дифавтомат"),I361&amp;" С"&amp;J361&amp;"А"&amp;IF(K361="да"," 30мА",""),"")</f>
      </c>
      <c r="V361" s="133">
        <f>IF(U361="","",B361&amp;"|"&amp;U361)</f>
      </c>
      <c r="W361" s="133">
        <f>IF(AND(U361&lt;&gt;"",OR($S$4="(все)",B361=$S$4),IF($S$4="(все)",COUNTIF($U$4:U361,U361),COUNTIFS($U$4:U361,U361,$B$4:B361,B361))=1),MAX($W$3:W360)+1,"")</f>
      </c>
      <c r="X361" s="133">
        <f>IFERROR(INDEX($U$4:$U$500,MATCH(ROW()-3,$W$4:$W$500,0)),"")</f>
      </c>
      <c r="Y361" s="133">
        <f>IF(AND(A361="Аппарат",C361&lt;&gt;"",OR($S$5="(все)",B361=$S$5)),MAX($Y$3:Y360)+1,"")</f>
      </c>
      <c r="Z361" s="133">
        <f>IFERROR(INDEX($C$4:$C$500,MATCH(ROW()-3,$Y$4:$Y$500,0)),"")</f>
      </c>
      <c r="AA361" s="133">
        <f>IF(AND(A361="Модуль",C361&lt;&gt;"",OR($S$6="(все)",B361=$S$6)),MAX($AA$3:AA360)+1,"")</f>
      </c>
      <c r="AB361" s="133">
        <f>IFERROR(INDEX($C$4:$C$500,MATCH(ROW()-3,$AA$4:$AA$500,0)),"")</f>
      </c>
      <c r="AC361" s="133">
        <f>IF(OR(B361="",COUNTIF($B$4:B361,B361)&gt;1),"",MAX($AC$3:AC360)+1)</f>
      </c>
      <c r="AD361" s="133">
        <f>IFERROR(INDEX($B$4:$B$500,MATCH(ROW()-3,$AC$4:$AC$500,0)),"")</f>
      </c>
      <c r="AE361" s="133">
        <f>IF(AND(A361&lt;&gt;"",N(P361)&gt;0),IFERROR(MATCH(A361,$R$12:$R$25,0),99)*1000+ROW(),"")</f>
      </c>
      <c r="AF361" s="133">
        <f>IF(AE361="","",COUNTIF($AE$4:$AE$500,"&lt;="&amp;AE361))</f>
      </c>
    </row>
    <row r="362">
      <c r="A362" s="265"/>
      <c r="B362" s="265"/>
      <c r="C362" s="265"/>
      <c r="D362" s="265"/>
      <c r="E362" s="265"/>
      <c r="F362" s="265"/>
      <c r="G362" s="265"/>
      <c r="H362" s="265"/>
      <c r="I362" s="265"/>
      <c r="J362" s="265"/>
      <c r="K362" s="265"/>
      <c r="L362" s="265"/>
      <c r="M362" s="265"/>
      <c r="N362" s="133">
        <f>IF(OR(A362="Автомат",A362="Дифавтомат"),IF(W362="","",COUNTIF(Однолинейка!$H$3:$H$1000,U362)),IF(A362="Аппарат",IF(C362="","",COUNTIF(Однолинейка!$I$3:$I$1000,C362)+COUNTIF(Однолинейка!$J$3:$J$1000,C362)+COUNTIF(Однолинейка!$K$3:$K$1000,C362)),IF(A362="Модуль",IF(C362="","",COUNTIFS(Однолинейка!$AW$3:$AW$1000,"?*",Однолинейка!$AI$3:$AI$1000,C362)),IF(A362="Клемма",IF(C362="","",IF(C362=$S$7,SUM(Однолинейка!$BW$3:$BW$1000),IF(C362=$S$8,SUM(Однолинейка!$BX$3:$BX$1000),""))),""))))</f>
      </c>
      <c r="O362" s="265"/>
      <c r="P362" s="133">
        <f>IF(COUNT(N362,O362)=0,"",SUM(N362,O362))</f>
      </c>
      <c r="U362" s="133">
        <f>IF(OR(A362="Автомат",A362="Дифавтомат"),I362&amp;" С"&amp;J362&amp;"А"&amp;IF(K362="да"," 30мА",""),"")</f>
      </c>
      <c r="V362" s="133">
        <f>IF(U362="","",B362&amp;"|"&amp;U362)</f>
      </c>
      <c r="W362" s="133">
        <f>IF(AND(U362&lt;&gt;"",OR($S$4="(все)",B362=$S$4),IF($S$4="(все)",COUNTIF($U$4:U362,U362),COUNTIFS($U$4:U362,U362,$B$4:B362,B362))=1),MAX($W$3:W361)+1,"")</f>
      </c>
      <c r="X362" s="133">
        <f>IFERROR(INDEX($U$4:$U$500,MATCH(ROW()-3,$W$4:$W$500,0)),"")</f>
      </c>
      <c r="Y362" s="133">
        <f>IF(AND(A362="Аппарат",C362&lt;&gt;"",OR($S$5="(все)",B362=$S$5)),MAX($Y$3:Y361)+1,"")</f>
      </c>
      <c r="Z362" s="133">
        <f>IFERROR(INDEX($C$4:$C$500,MATCH(ROW()-3,$Y$4:$Y$500,0)),"")</f>
      </c>
      <c r="AA362" s="133">
        <f>IF(AND(A362="Модуль",C362&lt;&gt;"",OR($S$6="(все)",B362=$S$6)),MAX($AA$3:AA361)+1,"")</f>
      </c>
      <c r="AB362" s="133">
        <f>IFERROR(INDEX($C$4:$C$500,MATCH(ROW()-3,$AA$4:$AA$500,0)),"")</f>
      </c>
      <c r="AC362" s="133">
        <f>IF(OR(B362="",COUNTIF($B$4:B362,B362)&gt;1),"",MAX($AC$3:AC361)+1)</f>
      </c>
      <c r="AD362" s="133">
        <f>IFERROR(INDEX($B$4:$B$500,MATCH(ROW()-3,$AC$4:$AC$500,0)),"")</f>
      </c>
      <c r="AE362" s="133">
        <f>IF(AND(A362&lt;&gt;"",N(P362)&gt;0),IFERROR(MATCH(A362,$R$12:$R$25,0),99)*1000+ROW(),"")</f>
      </c>
      <c r="AF362" s="133">
        <f>IF(AE362="","",COUNTIF($AE$4:$AE$500,"&lt;="&amp;AE362))</f>
      </c>
    </row>
    <row r="363">
      <c r="A363" s="265"/>
      <c r="B363" s="265"/>
      <c r="C363" s="265"/>
      <c r="D363" s="265"/>
      <c r="E363" s="265"/>
      <c r="F363" s="265"/>
      <c r="G363" s="265"/>
      <c r="H363" s="265"/>
      <c r="I363" s="265"/>
      <c r="J363" s="265"/>
      <c r="K363" s="265"/>
      <c r="L363" s="265"/>
      <c r="M363" s="265"/>
      <c r="N363" s="133">
        <f>IF(OR(A363="Автомат",A363="Дифавтомат"),IF(W363="","",COUNTIF(Однолинейка!$H$3:$H$1000,U363)),IF(A363="Аппарат",IF(C363="","",COUNTIF(Однолинейка!$I$3:$I$1000,C363)+COUNTIF(Однолинейка!$J$3:$J$1000,C363)+COUNTIF(Однолинейка!$K$3:$K$1000,C363)),IF(A363="Модуль",IF(C363="","",COUNTIFS(Однолинейка!$AW$3:$AW$1000,"?*",Однолинейка!$AI$3:$AI$1000,C363)),IF(A363="Клемма",IF(C363="","",IF(C363=$S$7,SUM(Однолинейка!$BW$3:$BW$1000),IF(C363=$S$8,SUM(Однолинейка!$BX$3:$BX$1000),""))),""))))</f>
      </c>
      <c r="O363" s="265"/>
      <c r="P363" s="133">
        <f>IF(COUNT(N363,O363)=0,"",SUM(N363,O363))</f>
      </c>
      <c r="U363" s="133">
        <f>IF(OR(A363="Автомат",A363="Дифавтомат"),I363&amp;" С"&amp;J363&amp;"А"&amp;IF(K363="да"," 30мА",""),"")</f>
      </c>
      <c r="V363" s="133">
        <f>IF(U363="","",B363&amp;"|"&amp;U363)</f>
      </c>
      <c r="W363" s="133">
        <f>IF(AND(U363&lt;&gt;"",OR($S$4="(все)",B363=$S$4),IF($S$4="(все)",COUNTIF($U$4:U363,U363),COUNTIFS($U$4:U363,U363,$B$4:B363,B363))=1),MAX($W$3:W362)+1,"")</f>
      </c>
      <c r="X363" s="133">
        <f>IFERROR(INDEX($U$4:$U$500,MATCH(ROW()-3,$W$4:$W$500,0)),"")</f>
      </c>
      <c r="Y363" s="133">
        <f>IF(AND(A363="Аппарат",C363&lt;&gt;"",OR($S$5="(все)",B363=$S$5)),MAX($Y$3:Y362)+1,"")</f>
      </c>
      <c r="Z363" s="133">
        <f>IFERROR(INDEX($C$4:$C$500,MATCH(ROW()-3,$Y$4:$Y$500,0)),"")</f>
      </c>
      <c r="AA363" s="133">
        <f>IF(AND(A363="Модуль",C363&lt;&gt;"",OR($S$6="(все)",B363=$S$6)),MAX($AA$3:AA362)+1,"")</f>
      </c>
      <c r="AB363" s="133">
        <f>IFERROR(INDEX($C$4:$C$500,MATCH(ROW()-3,$AA$4:$AA$500,0)),"")</f>
      </c>
      <c r="AC363" s="133">
        <f>IF(OR(B363="",COUNTIF($B$4:B363,B363)&gt;1),"",MAX($AC$3:AC362)+1)</f>
      </c>
      <c r="AD363" s="133">
        <f>IFERROR(INDEX($B$4:$B$500,MATCH(ROW()-3,$AC$4:$AC$500,0)),"")</f>
      </c>
      <c r="AE363" s="133">
        <f>IF(AND(A363&lt;&gt;"",N(P363)&gt;0),IFERROR(MATCH(A363,$R$12:$R$25,0),99)*1000+ROW(),"")</f>
      </c>
      <c r="AF363" s="133">
        <f>IF(AE363="","",COUNTIF($AE$4:$AE$500,"&lt;="&amp;AE363))</f>
      </c>
    </row>
    <row r="364">
      <c r="A364" s="265"/>
      <c r="B364" s="265"/>
      <c r="C364" s="265"/>
      <c r="D364" s="265"/>
      <c r="E364" s="265"/>
      <c r="F364" s="265"/>
      <c r="G364" s="265"/>
      <c r="H364" s="265"/>
      <c r="I364" s="265"/>
      <c r="J364" s="265"/>
      <c r="K364" s="265"/>
      <c r="L364" s="265"/>
      <c r="M364" s="265"/>
      <c r="N364" s="133">
        <f>IF(OR(A364="Автомат",A364="Дифавтомат"),IF(W364="","",COUNTIF(Однолинейка!$H$3:$H$1000,U364)),IF(A364="Аппарат",IF(C364="","",COUNTIF(Однолинейка!$I$3:$I$1000,C364)+COUNTIF(Однолинейка!$J$3:$J$1000,C364)+COUNTIF(Однолинейка!$K$3:$K$1000,C364)),IF(A364="Модуль",IF(C364="","",COUNTIFS(Однолинейка!$AW$3:$AW$1000,"?*",Однолинейка!$AI$3:$AI$1000,C364)),IF(A364="Клемма",IF(C364="","",IF(C364=$S$7,SUM(Однолинейка!$BW$3:$BW$1000),IF(C364=$S$8,SUM(Однолинейка!$BX$3:$BX$1000),""))),""))))</f>
      </c>
      <c r="O364" s="265"/>
      <c r="P364" s="133">
        <f>IF(COUNT(N364,O364)=0,"",SUM(N364,O364))</f>
      </c>
      <c r="U364" s="133">
        <f>IF(OR(A364="Автомат",A364="Дифавтомат"),I364&amp;" С"&amp;J364&amp;"А"&amp;IF(K364="да"," 30мА",""),"")</f>
      </c>
      <c r="V364" s="133">
        <f>IF(U364="","",B364&amp;"|"&amp;U364)</f>
      </c>
      <c r="W364" s="133">
        <f>IF(AND(U364&lt;&gt;"",OR($S$4="(все)",B364=$S$4),IF($S$4="(все)",COUNTIF($U$4:U364,U364),COUNTIFS($U$4:U364,U364,$B$4:B364,B364))=1),MAX($W$3:W363)+1,"")</f>
      </c>
      <c r="X364" s="133">
        <f>IFERROR(INDEX($U$4:$U$500,MATCH(ROW()-3,$W$4:$W$500,0)),"")</f>
      </c>
      <c r="Y364" s="133">
        <f>IF(AND(A364="Аппарат",C364&lt;&gt;"",OR($S$5="(все)",B364=$S$5)),MAX($Y$3:Y363)+1,"")</f>
      </c>
      <c r="Z364" s="133">
        <f>IFERROR(INDEX($C$4:$C$500,MATCH(ROW()-3,$Y$4:$Y$500,0)),"")</f>
      </c>
      <c r="AA364" s="133">
        <f>IF(AND(A364="Модуль",C364&lt;&gt;"",OR($S$6="(все)",B364=$S$6)),MAX($AA$3:AA363)+1,"")</f>
      </c>
      <c r="AB364" s="133">
        <f>IFERROR(INDEX($C$4:$C$500,MATCH(ROW()-3,$AA$4:$AA$500,0)),"")</f>
      </c>
      <c r="AC364" s="133">
        <f>IF(OR(B364="",COUNTIF($B$4:B364,B364)&gt;1),"",MAX($AC$3:AC363)+1)</f>
      </c>
      <c r="AD364" s="133">
        <f>IFERROR(INDEX($B$4:$B$500,MATCH(ROW()-3,$AC$4:$AC$500,0)),"")</f>
      </c>
      <c r="AE364" s="133">
        <f>IF(AND(A364&lt;&gt;"",N(P364)&gt;0),IFERROR(MATCH(A364,$R$12:$R$25,0),99)*1000+ROW(),"")</f>
      </c>
      <c r="AF364" s="133">
        <f>IF(AE364="","",COUNTIF($AE$4:$AE$500,"&lt;="&amp;AE364))</f>
      </c>
    </row>
    <row r="365">
      <c r="A365" s="265"/>
      <c r="B365" s="265"/>
      <c r="C365" s="265"/>
      <c r="D365" s="265"/>
      <c r="E365" s="265"/>
      <c r="F365" s="265"/>
      <c r="G365" s="265"/>
      <c r="H365" s="265"/>
      <c r="I365" s="265"/>
      <c r="J365" s="265"/>
      <c r="K365" s="265"/>
      <c r="L365" s="265"/>
      <c r="M365" s="265"/>
      <c r="N365" s="133">
        <f>IF(OR(A365="Автомат",A365="Дифавтомат"),IF(W365="","",COUNTIF(Однолинейка!$H$3:$H$1000,U365)),IF(A365="Аппарат",IF(C365="","",COUNTIF(Однолинейка!$I$3:$I$1000,C365)+COUNTIF(Однолинейка!$J$3:$J$1000,C365)+COUNTIF(Однолинейка!$K$3:$K$1000,C365)),IF(A365="Модуль",IF(C365="","",COUNTIFS(Однолинейка!$AW$3:$AW$1000,"?*",Однолинейка!$AI$3:$AI$1000,C365)),IF(A365="Клемма",IF(C365="","",IF(C365=$S$7,SUM(Однолинейка!$BW$3:$BW$1000),IF(C365=$S$8,SUM(Однолинейка!$BX$3:$BX$1000),""))),""))))</f>
      </c>
      <c r="O365" s="265"/>
      <c r="P365" s="133">
        <f>IF(COUNT(N365,O365)=0,"",SUM(N365,O365))</f>
      </c>
      <c r="U365" s="133">
        <f>IF(OR(A365="Автомат",A365="Дифавтомат"),I365&amp;" С"&amp;J365&amp;"А"&amp;IF(K365="да"," 30мА",""),"")</f>
      </c>
      <c r="V365" s="133">
        <f>IF(U365="","",B365&amp;"|"&amp;U365)</f>
      </c>
      <c r="W365" s="133">
        <f>IF(AND(U365&lt;&gt;"",OR($S$4="(все)",B365=$S$4),IF($S$4="(все)",COUNTIF($U$4:U365,U365),COUNTIFS($U$4:U365,U365,$B$4:B365,B365))=1),MAX($W$3:W364)+1,"")</f>
      </c>
      <c r="X365" s="133">
        <f>IFERROR(INDEX($U$4:$U$500,MATCH(ROW()-3,$W$4:$W$500,0)),"")</f>
      </c>
      <c r="Y365" s="133">
        <f>IF(AND(A365="Аппарат",C365&lt;&gt;"",OR($S$5="(все)",B365=$S$5)),MAX($Y$3:Y364)+1,"")</f>
      </c>
      <c r="Z365" s="133">
        <f>IFERROR(INDEX($C$4:$C$500,MATCH(ROW()-3,$Y$4:$Y$500,0)),"")</f>
      </c>
      <c r="AA365" s="133">
        <f>IF(AND(A365="Модуль",C365&lt;&gt;"",OR($S$6="(все)",B365=$S$6)),MAX($AA$3:AA364)+1,"")</f>
      </c>
      <c r="AB365" s="133">
        <f>IFERROR(INDEX($C$4:$C$500,MATCH(ROW()-3,$AA$4:$AA$500,0)),"")</f>
      </c>
      <c r="AC365" s="133">
        <f>IF(OR(B365="",COUNTIF($B$4:B365,B365)&gt;1),"",MAX($AC$3:AC364)+1)</f>
      </c>
      <c r="AD365" s="133">
        <f>IFERROR(INDEX($B$4:$B$500,MATCH(ROW()-3,$AC$4:$AC$500,0)),"")</f>
      </c>
      <c r="AE365" s="133">
        <f>IF(AND(A365&lt;&gt;"",N(P365)&gt;0),IFERROR(MATCH(A365,$R$12:$R$25,0),99)*1000+ROW(),"")</f>
      </c>
      <c r="AF365" s="133">
        <f>IF(AE365="","",COUNTIF($AE$4:$AE$500,"&lt;="&amp;AE365))</f>
      </c>
    </row>
    <row r="366">
      <c r="A366" s="265"/>
      <c r="B366" s="265"/>
      <c r="C366" s="265"/>
      <c r="D366" s="265"/>
      <c r="E366" s="265"/>
      <c r="F366" s="265"/>
      <c r="G366" s="265"/>
      <c r="H366" s="265"/>
      <c r="I366" s="265"/>
      <c r="J366" s="265"/>
      <c r="K366" s="265"/>
      <c r="L366" s="265"/>
      <c r="M366" s="265"/>
      <c r="N366" s="133">
        <f>IF(OR(A366="Автомат",A366="Дифавтомат"),IF(W366="","",COUNTIF(Однолинейка!$H$3:$H$1000,U366)),IF(A366="Аппарат",IF(C366="","",COUNTIF(Однолинейка!$I$3:$I$1000,C366)+COUNTIF(Однолинейка!$J$3:$J$1000,C366)+COUNTIF(Однолинейка!$K$3:$K$1000,C366)),IF(A366="Модуль",IF(C366="","",COUNTIFS(Однолинейка!$AW$3:$AW$1000,"?*",Однолинейка!$AI$3:$AI$1000,C366)),IF(A366="Клемма",IF(C366="","",IF(C366=$S$7,SUM(Однолинейка!$BW$3:$BW$1000),IF(C366=$S$8,SUM(Однолинейка!$BX$3:$BX$1000),""))),""))))</f>
      </c>
      <c r="O366" s="265"/>
      <c r="P366" s="133">
        <f>IF(COUNT(N366,O366)=0,"",SUM(N366,O366))</f>
      </c>
      <c r="U366" s="133">
        <f>IF(OR(A366="Автомат",A366="Дифавтомат"),I366&amp;" С"&amp;J366&amp;"А"&amp;IF(K366="да"," 30мА",""),"")</f>
      </c>
      <c r="V366" s="133">
        <f>IF(U366="","",B366&amp;"|"&amp;U366)</f>
      </c>
      <c r="W366" s="133">
        <f>IF(AND(U366&lt;&gt;"",OR($S$4="(все)",B366=$S$4),IF($S$4="(все)",COUNTIF($U$4:U366,U366),COUNTIFS($U$4:U366,U366,$B$4:B366,B366))=1),MAX($W$3:W365)+1,"")</f>
      </c>
      <c r="X366" s="133">
        <f>IFERROR(INDEX($U$4:$U$500,MATCH(ROW()-3,$W$4:$W$500,0)),"")</f>
      </c>
      <c r="Y366" s="133">
        <f>IF(AND(A366="Аппарат",C366&lt;&gt;"",OR($S$5="(все)",B366=$S$5)),MAX($Y$3:Y365)+1,"")</f>
      </c>
      <c r="Z366" s="133">
        <f>IFERROR(INDEX($C$4:$C$500,MATCH(ROW()-3,$Y$4:$Y$500,0)),"")</f>
      </c>
      <c r="AA366" s="133">
        <f>IF(AND(A366="Модуль",C366&lt;&gt;"",OR($S$6="(все)",B366=$S$6)),MAX($AA$3:AA365)+1,"")</f>
      </c>
      <c r="AB366" s="133">
        <f>IFERROR(INDEX($C$4:$C$500,MATCH(ROW()-3,$AA$4:$AA$500,0)),"")</f>
      </c>
      <c r="AC366" s="133">
        <f>IF(OR(B366="",COUNTIF($B$4:B366,B366)&gt;1),"",MAX($AC$3:AC365)+1)</f>
      </c>
      <c r="AD366" s="133">
        <f>IFERROR(INDEX($B$4:$B$500,MATCH(ROW()-3,$AC$4:$AC$500,0)),"")</f>
      </c>
      <c r="AE366" s="133">
        <f>IF(AND(A366&lt;&gt;"",N(P366)&gt;0),IFERROR(MATCH(A366,$R$12:$R$25,0),99)*1000+ROW(),"")</f>
      </c>
      <c r="AF366" s="133">
        <f>IF(AE366="","",COUNTIF($AE$4:$AE$500,"&lt;="&amp;AE366))</f>
      </c>
    </row>
    <row r="367">
      <c r="A367" s="265"/>
      <c r="B367" s="265"/>
      <c r="C367" s="265"/>
      <c r="D367" s="265"/>
      <c r="E367" s="265"/>
      <c r="F367" s="265"/>
      <c r="G367" s="265"/>
      <c r="H367" s="265"/>
      <c r="I367" s="265"/>
      <c r="J367" s="265"/>
      <c r="K367" s="265"/>
      <c r="L367" s="265"/>
      <c r="M367" s="265"/>
      <c r="N367" s="133">
        <f>IF(OR(A367="Автомат",A367="Дифавтомат"),IF(W367="","",COUNTIF(Однолинейка!$H$3:$H$1000,U367)),IF(A367="Аппарат",IF(C367="","",COUNTIF(Однолинейка!$I$3:$I$1000,C367)+COUNTIF(Однолинейка!$J$3:$J$1000,C367)+COUNTIF(Однолинейка!$K$3:$K$1000,C367)),IF(A367="Модуль",IF(C367="","",COUNTIFS(Однолинейка!$AW$3:$AW$1000,"?*",Однолинейка!$AI$3:$AI$1000,C367)),IF(A367="Клемма",IF(C367="","",IF(C367=$S$7,SUM(Однолинейка!$BW$3:$BW$1000),IF(C367=$S$8,SUM(Однолинейка!$BX$3:$BX$1000),""))),""))))</f>
      </c>
      <c r="O367" s="265"/>
      <c r="P367" s="133">
        <f>IF(COUNT(N367,O367)=0,"",SUM(N367,O367))</f>
      </c>
      <c r="U367" s="133">
        <f>IF(OR(A367="Автомат",A367="Дифавтомат"),I367&amp;" С"&amp;J367&amp;"А"&amp;IF(K367="да"," 30мА",""),"")</f>
      </c>
      <c r="V367" s="133">
        <f>IF(U367="","",B367&amp;"|"&amp;U367)</f>
      </c>
      <c r="W367" s="133">
        <f>IF(AND(U367&lt;&gt;"",OR($S$4="(все)",B367=$S$4),IF($S$4="(все)",COUNTIF($U$4:U367,U367),COUNTIFS($U$4:U367,U367,$B$4:B367,B367))=1),MAX($W$3:W366)+1,"")</f>
      </c>
      <c r="X367" s="133">
        <f>IFERROR(INDEX($U$4:$U$500,MATCH(ROW()-3,$W$4:$W$500,0)),"")</f>
      </c>
      <c r="Y367" s="133">
        <f>IF(AND(A367="Аппарат",C367&lt;&gt;"",OR($S$5="(все)",B367=$S$5)),MAX($Y$3:Y366)+1,"")</f>
      </c>
      <c r="Z367" s="133">
        <f>IFERROR(INDEX($C$4:$C$500,MATCH(ROW()-3,$Y$4:$Y$500,0)),"")</f>
      </c>
      <c r="AA367" s="133">
        <f>IF(AND(A367="Модуль",C367&lt;&gt;"",OR($S$6="(все)",B367=$S$6)),MAX($AA$3:AA366)+1,"")</f>
      </c>
      <c r="AB367" s="133">
        <f>IFERROR(INDEX($C$4:$C$500,MATCH(ROW()-3,$AA$4:$AA$500,0)),"")</f>
      </c>
      <c r="AC367" s="133">
        <f>IF(OR(B367="",COUNTIF($B$4:B367,B367)&gt;1),"",MAX($AC$3:AC366)+1)</f>
      </c>
      <c r="AD367" s="133">
        <f>IFERROR(INDEX($B$4:$B$500,MATCH(ROW()-3,$AC$4:$AC$500,0)),"")</f>
      </c>
      <c r="AE367" s="133">
        <f>IF(AND(A367&lt;&gt;"",N(P367)&gt;0),IFERROR(MATCH(A367,$R$12:$R$25,0),99)*1000+ROW(),"")</f>
      </c>
      <c r="AF367" s="133">
        <f>IF(AE367="","",COUNTIF($AE$4:$AE$500,"&lt;="&amp;AE367))</f>
      </c>
    </row>
    <row r="368">
      <c r="A368" s="265"/>
      <c r="B368" s="265"/>
      <c r="C368" s="265"/>
      <c r="D368" s="265"/>
      <c r="E368" s="265"/>
      <c r="F368" s="265"/>
      <c r="G368" s="265"/>
      <c r="H368" s="265"/>
      <c r="I368" s="265"/>
      <c r="J368" s="265"/>
      <c r="K368" s="265"/>
      <c r="L368" s="265"/>
      <c r="M368" s="265"/>
      <c r="N368" s="133">
        <f>IF(OR(A368="Автомат",A368="Дифавтомат"),IF(W368="","",COUNTIF(Однолинейка!$H$3:$H$1000,U368)),IF(A368="Аппарат",IF(C368="","",COUNTIF(Однолинейка!$I$3:$I$1000,C368)+COUNTIF(Однолинейка!$J$3:$J$1000,C368)+COUNTIF(Однолинейка!$K$3:$K$1000,C368)),IF(A368="Модуль",IF(C368="","",COUNTIFS(Однолинейка!$AW$3:$AW$1000,"?*",Однолинейка!$AI$3:$AI$1000,C368)),IF(A368="Клемма",IF(C368="","",IF(C368=$S$7,SUM(Однолинейка!$BW$3:$BW$1000),IF(C368=$S$8,SUM(Однолинейка!$BX$3:$BX$1000),""))),""))))</f>
      </c>
      <c r="O368" s="265"/>
      <c r="P368" s="133">
        <f>IF(COUNT(N368,O368)=0,"",SUM(N368,O368))</f>
      </c>
      <c r="U368" s="133">
        <f>IF(OR(A368="Автомат",A368="Дифавтомат"),I368&amp;" С"&amp;J368&amp;"А"&amp;IF(K368="да"," 30мА",""),"")</f>
      </c>
      <c r="V368" s="133">
        <f>IF(U368="","",B368&amp;"|"&amp;U368)</f>
      </c>
      <c r="W368" s="133">
        <f>IF(AND(U368&lt;&gt;"",OR($S$4="(все)",B368=$S$4),IF($S$4="(все)",COUNTIF($U$4:U368,U368),COUNTIFS($U$4:U368,U368,$B$4:B368,B368))=1),MAX($W$3:W367)+1,"")</f>
      </c>
      <c r="X368" s="133">
        <f>IFERROR(INDEX($U$4:$U$500,MATCH(ROW()-3,$W$4:$W$500,0)),"")</f>
      </c>
      <c r="Y368" s="133">
        <f>IF(AND(A368="Аппарат",C368&lt;&gt;"",OR($S$5="(все)",B368=$S$5)),MAX($Y$3:Y367)+1,"")</f>
      </c>
      <c r="Z368" s="133">
        <f>IFERROR(INDEX($C$4:$C$500,MATCH(ROW()-3,$Y$4:$Y$500,0)),"")</f>
      </c>
      <c r="AA368" s="133">
        <f>IF(AND(A368="Модуль",C368&lt;&gt;"",OR($S$6="(все)",B368=$S$6)),MAX($AA$3:AA367)+1,"")</f>
      </c>
      <c r="AB368" s="133">
        <f>IFERROR(INDEX($C$4:$C$500,MATCH(ROW()-3,$AA$4:$AA$500,0)),"")</f>
      </c>
      <c r="AC368" s="133">
        <f>IF(OR(B368="",COUNTIF($B$4:B368,B368)&gt;1),"",MAX($AC$3:AC367)+1)</f>
      </c>
      <c r="AD368" s="133">
        <f>IFERROR(INDEX($B$4:$B$500,MATCH(ROW()-3,$AC$4:$AC$500,0)),"")</f>
      </c>
      <c r="AE368" s="133">
        <f>IF(AND(A368&lt;&gt;"",N(P368)&gt;0),IFERROR(MATCH(A368,$R$12:$R$25,0),99)*1000+ROW(),"")</f>
      </c>
      <c r="AF368" s="133">
        <f>IF(AE368="","",COUNTIF($AE$4:$AE$500,"&lt;="&amp;AE368))</f>
      </c>
    </row>
    <row r="369">
      <c r="A369" s="265"/>
      <c r="B369" s="265"/>
      <c r="C369" s="265"/>
      <c r="D369" s="265"/>
      <c r="E369" s="265"/>
      <c r="F369" s="265"/>
      <c r="G369" s="265"/>
      <c r="H369" s="265"/>
      <c r="I369" s="265"/>
      <c r="J369" s="265"/>
      <c r="K369" s="265"/>
      <c r="L369" s="265"/>
      <c r="M369" s="265"/>
      <c r="N369" s="133">
        <f>IF(OR(A369="Автомат",A369="Дифавтомат"),IF(W369="","",COUNTIF(Однолинейка!$H$3:$H$1000,U369)),IF(A369="Аппарат",IF(C369="","",COUNTIF(Однолинейка!$I$3:$I$1000,C369)+COUNTIF(Однолинейка!$J$3:$J$1000,C369)+COUNTIF(Однолинейка!$K$3:$K$1000,C369)),IF(A369="Модуль",IF(C369="","",COUNTIFS(Однолинейка!$AW$3:$AW$1000,"?*",Однолинейка!$AI$3:$AI$1000,C369)),IF(A369="Клемма",IF(C369="","",IF(C369=$S$7,SUM(Однолинейка!$BW$3:$BW$1000),IF(C369=$S$8,SUM(Однолинейка!$BX$3:$BX$1000),""))),""))))</f>
      </c>
      <c r="O369" s="265"/>
      <c r="P369" s="133">
        <f>IF(COUNT(N369,O369)=0,"",SUM(N369,O369))</f>
      </c>
      <c r="U369" s="133">
        <f>IF(OR(A369="Автомат",A369="Дифавтомат"),I369&amp;" С"&amp;J369&amp;"А"&amp;IF(K369="да"," 30мА",""),"")</f>
      </c>
      <c r="V369" s="133">
        <f>IF(U369="","",B369&amp;"|"&amp;U369)</f>
      </c>
      <c r="W369" s="133">
        <f>IF(AND(U369&lt;&gt;"",OR($S$4="(все)",B369=$S$4),IF($S$4="(все)",COUNTIF($U$4:U369,U369),COUNTIFS($U$4:U369,U369,$B$4:B369,B369))=1),MAX($W$3:W368)+1,"")</f>
      </c>
      <c r="X369" s="133">
        <f>IFERROR(INDEX($U$4:$U$500,MATCH(ROW()-3,$W$4:$W$500,0)),"")</f>
      </c>
      <c r="Y369" s="133">
        <f>IF(AND(A369="Аппарат",C369&lt;&gt;"",OR($S$5="(все)",B369=$S$5)),MAX($Y$3:Y368)+1,"")</f>
      </c>
      <c r="Z369" s="133">
        <f>IFERROR(INDEX($C$4:$C$500,MATCH(ROW()-3,$Y$4:$Y$500,0)),"")</f>
      </c>
      <c r="AA369" s="133">
        <f>IF(AND(A369="Модуль",C369&lt;&gt;"",OR($S$6="(все)",B369=$S$6)),MAX($AA$3:AA368)+1,"")</f>
      </c>
      <c r="AB369" s="133">
        <f>IFERROR(INDEX($C$4:$C$500,MATCH(ROW()-3,$AA$4:$AA$500,0)),"")</f>
      </c>
      <c r="AC369" s="133">
        <f>IF(OR(B369="",COUNTIF($B$4:B369,B369)&gt;1),"",MAX($AC$3:AC368)+1)</f>
      </c>
      <c r="AD369" s="133">
        <f>IFERROR(INDEX($B$4:$B$500,MATCH(ROW()-3,$AC$4:$AC$500,0)),"")</f>
      </c>
      <c r="AE369" s="133">
        <f>IF(AND(A369&lt;&gt;"",N(P369)&gt;0),IFERROR(MATCH(A369,$R$12:$R$25,0),99)*1000+ROW(),"")</f>
      </c>
      <c r="AF369" s="133">
        <f>IF(AE369="","",COUNTIF($AE$4:$AE$500,"&lt;="&amp;AE369))</f>
      </c>
    </row>
    <row r="370">
      <c r="A370" s="265"/>
      <c r="B370" s="265"/>
      <c r="C370" s="265"/>
      <c r="D370" s="265"/>
      <c r="E370" s="265"/>
      <c r="F370" s="265"/>
      <c r="G370" s="265"/>
      <c r="H370" s="265"/>
      <c r="I370" s="265"/>
      <c r="J370" s="265"/>
      <c r="K370" s="265"/>
      <c r="L370" s="265"/>
      <c r="M370" s="265"/>
      <c r="N370" s="133">
        <f>IF(OR(A370="Автомат",A370="Дифавтомат"),IF(W370="","",COUNTIF(Однолинейка!$H$3:$H$1000,U370)),IF(A370="Аппарат",IF(C370="","",COUNTIF(Однолинейка!$I$3:$I$1000,C370)+COUNTIF(Однолинейка!$J$3:$J$1000,C370)+COUNTIF(Однолинейка!$K$3:$K$1000,C370)),IF(A370="Модуль",IF(C370="","",COUNTIFS(Однолинейка!$AW$3:$AW$1000,"?*",Однолинейка!$AI$3:$AI$1000,C370)),IF(A370="Клемма",IF(C370="","",IF(C370=$S$7,SUM(Однолинейка!$BW$3:$BW$1000),IF(C370=$S$8,SUM(Однолинейка!$BX$3:$BX$1000),""))),""))))</f>
      </c>
      <c r="O370" s="265"/>
      <c r="P370" s="133">
        <f>IF(COUNT(N370,O370)=0,"",SUM(N370,O370))</f>
      </c>
      <c r="U370" s="133">
        <f>IF(OR(A370="Автомат",A370="Дифавтомат"),I370&amp;" С"&amp;J370&amp;"А"&amp;IF(K370="да"," 30мА",""),"")</f>
      </c>
      <c r="V370" s="133">
        <f>IF(U370="","",B370&amp;"|"&amp;U370)</f>
      </c>
      <c r="W370" s="133">
        <f>IF(AND(U370&lt;&gt;"",OR($S$4="(все)",B370=$S$4),IF($S$4="(все)",COUNTIF($U$4:U370,U370),COUNTIFS($U$4:U370,U370,$B$4:B370,B370))=1),MAX($W$3:W369)+1,"")</f>
      </c>
      <c r="X370" s="133">
        <f>IFERROR(INDEX($U$4:$U$500,MATCH(ROW()-3,$W$4:$W$500,0)),"")</f>
      </c>
      <c r="Y370" s="133">
        <f>IF(AND(A370="Аппарат",C370&lt;&gt;"",OR($S$5="(все)",B370=$S$5)),MAX($Y$3:Y369)+1,"")</f>
      </c>
      <c r="Z370" s="133">
        <f>IFERROR(INDEX($C$4:$C$500,MATCH(ROW()-3,$Y$4:$Y$500,0)),"")</f>
      </c>
      <c r="AA370" s="133">
        <f>IF(AND(A370="Модуль",C370&lt;&gt;"",OR($S$6="(все)",B370=$S$6)),MAX($AA$3:AA369)+1,"")</f>
      </c>
      <c r="AB370" s="133">
        <f>IFERROR(INDEX($C$4:$C$500,MATCH(ROW()-3,$AA$4:$AA$500,0)),"")</f>
      </c>
      <c r="AC370" s="133">
        <f>IF(OR(B370="",COUNTIF($B$4:B370,B370)&gt;1),"",MAX($AC$3:AC369)+1)</f>
      </c>
      <c r="AD370" s="133">
        <f>IFERROR(INDEX($B$4:$B$500,MATCH(ROW()-3,$AC$4:$AC$500,0)),"")</f>
      </c>
      <c r="AE370" s="133">
        <f>IF(AND(A370&lt;&gt;"",N(P370)&gt;0),IFERROR(MATCH(A370,$R$12:$R$25,0),99)*1000+ROW(),"")</f>
      </c>
      <c r="AF370" s="133">
        <f>IF(AE370="","",COUNTIF($AE$4:$AE$500,"&lt;="&amp;AE370))</f>
      </c>
    </row>
    <row r="371">
      <c r="A371" s="265"/>
      <c r="B371" s="265"/>
      <c r="C371" s="265"/>
      <c r="D371" s="265"/>
      <c r="E371" s="265"/>
      <c r="F371" s="265"/>
      <c r="G371" s="265"/>
      <c r="H371" s="265"/>
      <c r="I371" s="265"/>
      <c r="J371" s="265"/>
      <c r="K371" s="265"/>
      <c r="L371" s="265"/>
      <c r="M371" s="265"/>
      <c r="N371" s="133">
        <f>IF(OR(A371="Автомат",A371="Дифавтомат"),IF(W371="","",COUNTIF(Однолинейка!$H$3:$H$1000,U371)),IF(A371="Аппарат",IF(C371="","",COUNTIF(Однолинейка!$I$3:$I$1000,C371)+COUNTIF(Однолинейка!$J$3:$J$1000,C371)+COUNTIF(Однолинейка!$K$3:$K$1000,C371)),IF(A371="Модуль",IF(C371="","",COUNTIFS(Однолинейка!$AW$3:$AW$1000,"?*",Однолинейка!$AI$3:$AI$1000,C371)),IF(A371="Клемма",IF(C371="","",IF(C371=$S$7,SUM(Однолинейка!$BW$3:$BW$1000),IF(C371=$S$8,SUM(Однолинейка!$BX$3:$BX$1000),""))),""))))</f>
      </c>
      <c r="O371" s="265"/>
      <c r="P371" s="133">
        <f>IF(COUNT(N371,O371)=0,"",SUM(N371,O371))</f>
      </c>
      <c r="U371" s="133">
        <f>IF(OR(A371="Автомат",A371="Дифавтомат"),I371&amp;" С"&amp;J371&amp;"А"&amp;IF(K371="да"," 30мА",""),"")</f>
      </c>
      <c r="V371" s="133">
        <f>IF(U371="","",B371&amp;"|"&amp;U371)</f>
      </c>
      <c r="W371" s="133">
        <f>IF(AND(U371&lt;&gt;"",OR($S$4="(все)",B371=$S$4),IF($S$4="(все)",COUNTIF($U$4:U371,U371),COUNTIFS($U$4:U371,U371,$B$4:B371,B371))=1),MAX($W$3:W370)+1,"")</f>
      </c>
      <c r="X371" s="133">
        <f>IFERROR(INDEX($U$4:$U$500,MATCH(ROW()-3,$W$4:$W$500,0)),"")</f>
      </c>
      <c r="Y371" s="133">
        <f>IF(AND(A371="Аппарат",C371&lt;&gt;"",OR($S$5="(все)",B371=$S$5)),MAX($Y$3:Y370)+1,"")</f>
      </c>
      <c r="Z371" s="133">
        <f>IFERROR(INDEX($C$4:$C$500,MATCH(ROW()-3,$Y$4:$Y$500,0)),"")</f>
      </c>
      <c r="AA371" s="133">
        <f>IF(AND(A371="Модуль",C371&lt;&gt;"",OR($S$6="(все)",B371=$S$6)),MAX($AA$3:AA370)+1,"")</f>
      </c>
      <c r="AB371" s="133">
        <f>IFERROR(INDEX($C$4:$C$500,MATCH(ROW()-3,$AA$4:$AA$500,0)),"")</f>
      </c>
      <c r="AC371" s="133">
        <f>IF(OR(B371="",COUNTIF($B$4:B371,B371)&gt;1),"",MAX($AC$3:AC370)+1)</f>
      </c>
      <c r="AD371" s="133">
        <f>IFERROR(INDEX($B$4:$B$500,MATCH(ROW()-3,$AC$4:$AC$500,0)),"")</f>
      </c>
      <c r="AE371" s="133">
        <f>IF(AND(A371&lt;&gt;"",N(P371)&gt;0),IFERROR(MATCH(A371,$R$12:$R$25,0),99)*1000+ROW(),"")</f>
      </c>
      <c r="AF371" s="133">
        <f>IF(AE371="","",COUNTIF($AE$4:$AE$500,"&lt;="&amp;AE371))</f>
      </c>
    </row>
    <row r="372">
      <c r="A372" s="265"/>
      <c r="B372" s="265"/>
      <c r="C372" s="265"/>
      <c r="D372" s="265"/>
      <c r="E372" s="265"/>
      <c r="F372" s="265"/>
      <c r="G372" s="265"/>
      <c r="H372" s="265"/>
      <c r="I372" s="265"/>
      <c r="J372" s="265"/>
      <c r="K372" s="265"/>
      <c r="L372" s="265"/>
      <c r="M372" s="265"/>
      <c r="N372" s="133">
        <f>IF(OR(A372="Автомат",A372="Дифавтомат"),IF(W372="","",COUNTIF(Однолинейка!$H$3:$H$1000,U372)),IF(A372="Аппарат",IF(C372="","",COUNTIF(Однолинейка!$I$3:$I$1000,C372)+COUNTIF(Однолинейка!$J$3:$J$1000,C372)+COUNTIF(Однолинейка!$K$3:$K$1000,C372)),IF(A372="Модуль",IF(C372="","",COUNTIFS(Однолинейка!$AW$3:$AW$1000,"?*",Однолинейка!$AI$3:$AI$1000,C372)),IF(A372="Клемма",IF(C372="","",IF(C372=$S$7,SUM(Однолинейка!$BW$3:$BW$1000),IF(C372=$S$8,SUM(Однолинейка!$BX$3:$BX$1000),""))),""))))</f>
      </c>
      <c r="O372" s="265"/>
      <c r="P372" s="133">
        <f>IF(COUNT(N372,O372)=0,"",SUM(N372,O372))</f>
      </c>
      <c r="U372" s="133">
        <f>IF(OR(A372="Автомат",A372="Дифавтомат"),I372&amp;" С"&amp;J372&amp;"А"&amp;IF(K372="да"," 30мА",""),"")</f>
      </c>
      <c r="V372" s="133">
        <f>IF(U372="","",B372&amp;"|"&amp;U372)</f>
      </c>
      <c r="W372" s="133">
        <f>IF(AND(U372&lt;&gt;"",OR($S$4="(все)",B372=$S$4),IF($S$4="(все)",COUNTIF($U$4:U372,U372),COUNTIFS($U$4:U372,U372,$B$4:B372,B372))=1),MAX($W$3:W371)+1,"")</f>
      </c>
      <c r="X372" s="133">
        <f>IFERROR(INDEX($U$4:$U$500,MATCH(ROW()-3,$W$4:$W$500,0)),"")</f>
      </c>
      <c r="Y372" s="133">
        <f>IF(AND(A372="Аппарат",C372&lt;&gt;"",OR($S$5="(все)",B372=$S$5)),MAX($Y$3:Y371)+1,"")</f>
      </c>
      <c r="Z372" s="133">
        <f>IFERROR(INDEX($C$4:$C$500,MATCH(ROW()-3,$Y$4:$Y$500,0)),"")</f>
      </c>
      <c r="AA372" s="133">
        <f>IF(AND(A372="Модуль",C372&lt;&gt;"",OR($S$6="(все)",B372=$S$6)),MAX($AA$3:AA371)+1,"")</f>
      </c>
      <c r="AB372" s="133">
        <f>IFERROR(INDEX($C$4:$C$500,MATCH(ROW()-3,$AA$4:$AA$500,0)),"")</f>
      </c>
      <c r="AC372" s="133">
        <f>IF(OR(B372="",COUNTIF($B$4:B372,B372)&gt;1),"",MAX($AC$3:AC371)+1)</f>
      </c>
      <c r="AD372" s="133">
        <f>IFERROR(INDEX($B$4:$B$500,MATCH(ROW()-3,$AC$4:$AC$500,0)),"")</f>
      </c>
      <c r="AE372" s="133">
        <f>IF(AND(A372&lt;&gt;"",N(P372)&gt;0),IFERROR(MATCH(A372,$R$12:$R$25,0),99)*1000+ROW(),"")</f>
      </c>
      <c r="AF372" s="133">
        <f>IF(AE372="","",COUNTIF($AE$4:$AE$500,"&lt;="&amp;AE372))</f>
      </c>
    </row>
    <row r="373">
      <c r="A373" s="265"/>
      <c r="B373" s="265"/>
      <c r="C373" s="265"/>
      <c r="D373" s="265"/>
      <c r="E373" s="265"/>
      <c r="F373" s="265"/>
      <c r="G373" s="265"/>
      <c r="H373" s="265"/>
      <c r="I373" s="265"/>
      <c r="J373" s="265"/>
      <c r="K373" s="265"/>
      <c r="L373" s="265"/>
      <c r="M373" s="265"/>
      <c r="N373" s="133">
        <f>IF(OR(A373="Автомат",A373="Дифавтомат"),IF(W373="","",COUNTIF(Однолинейка!$H$3:$H$1000,U373)),IF(A373="Аппарат",IF(C373="","",COUNTIF(Однолинейка!$I$3:$I$1000,C373)+COUNTIF(Однолинейка!$J$3:$J$1000,C373)+COUNTIF(Однолинейка!$K$3:$K$1000,C373)),IF(A373="Модуль",IF(C373="","",COUNTIFS(Однолинейка!$AW$3:$AW$1000,"?*",Однолинейка!$AI$3:$AI$1000,C373)),IF(A373="Клемма",IF(C373="","",IF(C373=$S$7,SUM(Однолинейка!$BW$3:$BW$1000),IF(C373=$S$8,SUM(Однолинейка!$BX$3:$BX$1000),""))),""))))</f>
      </c>
      <c r="O373" s="265"/>
      <c r="P373" s="133">
        <f>IF(COUNT(N373,O373)=0,"",SUM(N373,O373))</f>
      </c>
      <c r="U373" s="133">
        <f>IF(OR(A373="Автомат",A373="Дифавтомат"),I373&amp;" С"&amp;J373&amp;"А"&amp;IF(K373="да"," 30мА",""),"")</f>
      </c>
      <c r="V373" s="133">
        <f>IF(U373="","",B373&amp;"|"&amp;U373)</f>
      </c>
      <c r="W373" s="133">
        <f>IF(AND(U373&lt;&gt;"",OR($S$4="(все)",B373=$S$4),IF($S$4="(все)",COUNTIF($U$4:U373,U373),COUNTIFS($U$4:U373,U373,$B$4:B373,B373))=1),MAX($W$3:W372)+1,"")</f>
      </c>
      <c r="X373" s="133">
        <f>IFERROR(INDEX($U$4:$U$500,MATCH(ROW()-3,$W$4:$W$500,0)),"")</f>
      </c>
      <c r="Y373" s="133">
        <f>IF(AND(A373="Аппарат",C373&lt;&gt;"",OR($S$5="(все)",B373=$S$5)),MAX($Y$3:Y372)+1,"")</f>
      </c>
      <c r="Z373" s="133">
        <f>IFERROR(INDEX($C$4:$C$500,MATCH(ROW()-3,$Y$4:$Y$500,0)),"")</f>
      </c>
      <c r="AA373" s="133">
        <f>IF(AND(A373="Модуль",C373&lt;&gt;"",OR($S$6="(все)",B373=$S$6)),MAX($AA$3:AA372)+1,"")</f>
      </c>
      <c r="AB373" s="133">
        <f>IFERROR(INDEX($C$4:$C$500,MATCH(ROW()-3,$AA$4:$AA$500,0)),"")</f>
      </c>
      <c r="AC373" s="133">
        <f>IF(OR(B373="",COUNTIF($B$4:B373,B373)&gt;1),"",MAX($AC$3:AC372)+1)</f>
      </c>
      <c r="AD373" s="133">
        <f>IFERROR(INDEX($B$4:$B$500,MATCH(ROW()-3,$AC$4:$AC$500,0)),"")</f>
      </c>
      <c r="AE373" s="133">
        <f>IF(AND(A373&lt;&gt;"",N(P373)&gt;0),IFERROR(MATCH(A373,$R$12:$R$25,0),99)*1000+ROW(),"")</f>
      </c>
      <c r="AF373" s="133">
        <f>IF(AE373="","",COUNTIF($AE$4:$AE$500,"&lt;="&amp;AE373))</f>
      </c>
    </row>
    <row r="374">
      <c r="A374" s="265"/>
      <c r="B374" s="265"/>
      <c r="C374" s="265"/>
      <c r="D374" s="265"/>
      <c r="E374" s="265"/>
      <c r="F374" s="265"/>
      <c r="G374" s="265"/>
      <c r="H374" s="265"/>
      <c r="I374" s="265"/>
      <c r="J374" s="265"/>
      <c r="K374" s="265"/>
      <c r="L374" s="265"/>
      <c r="M374" s="265"/>
      <c r="N374" s="133">
        <f>IF(OR(A374="Автомат",A374="Дифавтомат"),IF(W374="","",COUNTIF(Однолинейка!$H$3:$H$1000,U374)),IF(A374="Аппарат",IF(C374="","",COUNTIF(Однолинейка!$I$3:$I$1000,C374)+COUNTIF(Однолинейка!$J$3:$J$1000,C374)+COUNTIF(Однолинейка!$K$3:$K$1000,C374)),IF(A374="Модуль",IF(C374="","",COUNTIFS(Однолинейка!$AW$3:$AW$1000,"?*",Однолинейка!$AI$3:$AI$1000,C374)),IF(A374="Клемма",IF(C374="","",IF(C374=$S$7,SUM(Однолинейка!$BW$3:$BW$1000),IF(C374=$S$8,SUM(Однолинейка!$BX$3:$BX$1000),""))),""))))</f>
      </c>
      <c r="O374" s="265"/>
      <c r="P374" s="133">
        <f>IF(COUNT(N374,O374)=0,"",SUM(N374,O374))</f>
      </c>
      <c r="U374" s="133">
        <f>IF(OR(A374="Автомат",A374="Дифавтомат"),I374&amp;" С"&amp;J374&amp;"А"&amp;IF(K374="да"," 30мА",""),"")</f>
      </c>
      <c r="V374" s="133">
        <f>IF(U374="","",B374&amp;"|"&amp;U374)</f>
      </c>
      <c r="W374" s="133">
        <f>IF(AND(U374&lt;&gt;"",OR($S$4="(все)",B374=$S$4),IF($S$4="(все)",COUNTIF($U$4:U374,U374),COUNTIFS($U$4:U374,U374,$B$4:B374,B374))=1),MAX($W$3:W373)+1,"")</f>
      </c>
      <c r="X374" s="133">
        <f>IFERROR(INDEX($U$4:$U$500,MATCH(ROW()-3,$W$4:$W$500,0)),"")</f>
      </c>
      <c r="Y374" s="133">
        <f>IF(AND(A374="Аппарат",C374&lt;&gt;"",OR($S$5="(все)",B374=$S$5)),MAX($Y$3:Y373)+1,"")</f>
      </c>
      <c r="Z374" s="133">
        <f>IFERROR(INDEX($C$4:$C$500,MATCH(ROW()-3,$Y$4:$Y$500,0)),"")</f>
      </c>
      <c r="AA374" s="133">
        <f>IF(AND(A374="Модуль",C374&lt;&gt;"",OR($S$6="(все)",B374=$S$6)),MAX($AA$3:AA373)+1,"")</f>
      </c>
      <c r="AB374" s="133">
        <f>IFERROR(INDEX($C$4:$C$500,MATCH(ROW()-3,$AA$4:$AA$500,0)),"")</f>
      </c>
      <c r="AC374" s="133">
        <f>IF(OR(B374="",COUNTIF($B$4:B374,B374)&gt;1),"",MAX($AC$3:AC373)+1)</f>
      </c>
      <c r="AD374" s="133">
        <f>IFERROR(INDEX($B$4:$B$500,MATCH(ROW()-3,$AC$4:$AC$500,0)),"")</f>
      </c>
      <c r="AE374" s="133">
        <f>IF(AND(A374&lt;&gt;"",N(P374)&gt;0),IFERROR(MATCH(A374,$R$12:$R$25,0),99)*1000+ROW(),"")</f>
      </c>
      <c r="AF374" s="133">
        <f>IF(AE374="","",COUNTIF($AE$4:$AE$500,"&lt;="&amp;AE374))</f>
      </c>
    </row>
    <row r="375">
      <c r="A375" s="265"/>
      <c r="B375" s="265"/>
      <c r="C375" s="265"/>
      <c r="D375" s="265"/>
      <c r="E375" s="265"/>
      <c r="F375" s="265"/>
      <c r="G375" s="265"/>
      <c r="H375" s="265"/>
      <c r="I375" s="265"/>
      <c r="J375" s="265"/>
      <c r="K375" s="265"/>
      <c r="L375" s="265"/>
      <c r="M375" s="265"/>
      <c r="N375" s="133">
        <f>IF(OR(A375="Автомат",A375="Дифавтомат"),IF(W375="","",COUNTIF(Однолинейка!$H$3:$H$1000,U375)),IF(A375="Аппарат",IF(C375="","",COUNTIF(Однолинейка!$I$3:$I$1000,C375)+COUNTIF(Однолинейка!$J$3:$J$1000,C375)+COUNTIF(Однолинейка!$K$3:$K$1000,C375)),IF(A375="Модуль",IF(C375="","",COUNTIFS(Однолинейка!$AW$3:$AW$1000,"?*",Однолинейка!$AI$3:$AI$1000,C375)),IF(A375="Клемма",IF(C375="","",IF(C375=$S$7,SUM(Однолинейка!$BW$3:$BW$1000),IF(C375=$S$8,SUM(Однолинейка!$BX$3:$BX$1000),""))),""))))</f>
      </c>
      <c r="O375" s="265"/>
      <c r="P375" s="133">
        <f>IF(COUNT(N375,O375)=0,"",SUM(N375,O375))</f>
      </c>
      <c r="U375" s="133">
        <f>IF(OR(A375="Автомат",A375="Дифавтомат"),I375&amp;" С"&amp;J375&amp;"А"&amp;IF(K375="да"," 30мА",""),"")</f>
      </c>
      <c r="V375" s="133">
        <f>IF(U375="","",B375&amp;"|"&amp;U375)</f>
      </c>
      <c r="W375" s="133">
        <f>IF(AND(U375&lt;&gt;"",OR($S$4="(все)",B375=$S$4),IF($S$4="(все)",COUNTIF($U$4:U375,U375),COUNTIFS($U$4:U375,U375,$B$4:B375,B375))=1),MAX($W$3:W374)+1,"")</f>
      </c>
      <c r="X375" s="133">
        <f>IFERROR(INDEX($U$4:$U$500,MATCH(ROW()-3,$W$4:$W$500,0)),"")</f>
      </c>
      <c r="Y375" s="133">
        <f>IF(AND(A375="Аппарат",C375&lt;&gt;"",OR($S$5="(все)",B375=$S$5)),MAX($Y$3:Y374)+1,"")</f>
      </c>
      <c r="Z375" s="133">
        <f>IFERROR(INDEX($C$4:$C$500,MATCH(ROW()-3,$Y$4:$Y$500,0)),"")</f>
      </c>
      <c r="AA375" s="133">
        <f>IF(AND(A375="Модуль",C375&lt;&gt;"",OR($S$6="(все)",B375=$S$6)),MAX($AA$3:AA374)+1,"")</f>
      </c>
      <c r="AB375" s="133">
        <f>IFERROR(INDEX($C$4:$C$500,MATCH(ROW()-3,$AA$4:$AA$500,0)),"")</f>
      </c>
      <c r="AC375" s="133">
        <f>IF(OR(B375="",COUNTIF($B$4:B375,B375)&gt;1),"",MAX($AC$3:AC374)+1)</f>
      </c>
      <c r="AD375" s="133">
        <f>IFERROR(INDEX($B$4:$B$500,MATCH(ROW()-3,$AC$4:$AC$500,0)),"")</f>
      </c>
      <c r="AE375" s="133">
        <f>IF(AND(A375&lt;&gt;"",N(P375)&gt;0),IFERROR(MATCH(A375,$R$12:$R$25,0),99)*1000+ROW(),"")</f>
      </c>
      <c r="AF375" s="133">
        <f>IF(AE375="","",COUNTIF($AE$4:$AE$500,"&lt;="&amp;AE375))</f>
      </c>
    </row>
    <row r="376">
      <c r="A376" s="265"/>
      <c r="B376" s="265"/>
      <c r="C376" s="265"/>
      <c r="D376" s="265"/>
      <c r="E376" s="265"/>
      <c r="F376" s="265"/>
      <c r="G376" s="265"/>
      <c r="H376" s="265"/>
      <c r="I376" s="265"/>
      <c r="J376" s="265"/>
      <c r="K376" s="265"/>
      <c r="L376" s="265"/>
      <c r="M376" s="265"/>
      <c r="N376" s="133">
        <f>IF(OR(A376="Автомат",A376="Дифавтомат"),IF(W376="","",COUNTIF(Однолинейка!$H$3:$H$1000,U376)),IF(A376="Аппарат",IF(C376="","",COUNTIF(Однолинейка!$I$3:$I$1000,C376)+COUNTIF(Однолинейка!$J$3:$J$1000,C376)+COUNTIF(Однолинейка!$K$3:$K$1000,C376)),IF(A376="Модуль",IF(C376="","",COUNTIFS(Однолинейка!$AW$3:$AW$1000,"?*",Однолинейка!$AI$3:$AI$1000,C376)),IF(A376="Клемма",IF(C376="","",IF(C376=$S$7,SUM(Однолинейка!$BW$3:$BW$1000),IF(C376=$S$8,SUM(Однолинейка!$BX$3:$BX$1000),""))),""))))</f>
      </c>
      <c r="O376" s="265"/>
      <c r="P376" s="133">
        <f>IF(COUNT(N376,O376)=0,"",SUM(N376,O376))</f>
      </c>
      <c r="U376" s="133">
        <f>IF(OR(A376="Автомат",A376="Дифавтомат"),I376&amp;" С"&amp;J376&amp;"А"&amp;IF(K376="да"," 30мА",""),"")</f>
      </c>
      <c r="V376" s="133">
        <f>IF(U376="","",B376&amp;"|"&amp;U376)</f>
      </c>
      <c r="W376" s="133">
        <f>IF(AND(U376&lt;&gt;"",OR($S$4="(все)",B376=$S$4),IF($S$4="(все)",COUNTIF($U$4:U376,U376),COUNTIFS($U$4:U376,U376,$B$4:B376,B376))=1),MAX($W$3:W375)+1,"")</f>
      </c>
      <c r="X376" s="133">
        <f>IFERROR(INDEX($U$4:$U$500,MATCH(ROW()-3,$W$4:$W$500,0)),"")</f>
      </c>
      <c r="Y376" s="133">
        <f>IF(AND(A376="Аппарат",C376&lt;&gt;"",OR($S$5="(все)",B376=$S$5)),MAX($Y$3:Y375)+1,"")</f>
      </c>
      <c r="Z376" s="133">
        <f>IFERROR(INDEX($C$4:$C$500,MATCH(ROW()-3,$Y$4:$Y$500,0)),"")</f>
      </c>
      <c r="AA376" s="133">
        <f>IF(AND(A376="Модуль",C376&lt;&gt;"",OR($S$6="(все)",B376=$S$6)),MAX($AA$3:AA375)+1,"")</f>
      </c>
      <c r="AB376" s="133">
        <f>IFERROR(INDEX($C$4:$C$500,MATCH(ROW()-3,$AA$4:$AA$500,0)),"")</f>
      </c>
      <c r="AC376" s="133">
        <f>IF(OR(B376="",COUNTIF($B$4:B376,B376)&gt;1),"",MAX($AC$3:AC375)+1)</f>
      </c>
      <c r="AD376" s="133">
        <f>IFERROR(INDEX($B$4:$B$500,MATCH(ROW()-3,$AC$4:$AC$500,0)),"")</f>
      </c>
      <c r="AE376" s="133">
        <f>IF(AND(A376&lt;&gt;"",N(P376)&gt;0),IFERROR(MATCH(A376,$R$12:$R$25,0),99)*1000+ROW(),"")</f>
      </c>
      <c r="AF376" s="133">
        <f>IF(AE376="","",COUNTIF($AE$4:$AE$500,"&lt;="&amp;AE376))</f>
      </c>
    </row>
    <row r="377">
      <c r="A377" s="265"/>
      <c r="B377" s="265"/>
      <c r="C377" s="265"/>
      <c r="D377" s="265"/>
      <c r="E377" s="265"/>
      <c r="F377" s="265"/>
      <c r="G377" s="265"/>
      <c r="H377" s="265"/>
      <c r="I377" s="265"/>
      <c r="J377" s="265"/>
      <c r="K377" s="265"/>
      <c r="L377" s="265"/>
      <c r="M377" s="265"/>
      <c r="N377" s="133">
        <f>IF(OR(A377="Автомат",A377="Дифавтомат"),IF(W377="","",COUNTIF(Однолинейка!$H$3:$H$1000,U377)),IF(A377="Аппарат",IF(C377="","",COUNTIF(Однолинейка!$I$3:$I$1000,C377)+COUNTIF(Однолинейка!$J$3:$J$1000,C377)+COUNTIF(Однолинейка!$K$3:$K$1000,C377)),IF(A377="Модуль",IF(C377="","",COUNTIFS(Однолинейка!$AW$3:$AW$1000,"?*",Однолинейка!$AI$3:$AI$1000,C377)),IF(A377="Клемма",IF(C377="","",IF(C377=$S$7,SUM(Однолинейка!$BW$3:$BW$1000),IF(C377=$S$8,SUM(Однолинейка!$BX$3:$BX$1000),""))),""))))</f>
      </c>
      <c r="O377" s="265"/>
      <c r="P377" s="133">
        <f>IF(COUNT(N377,O377)=0,"",SUM(N377,O377))</f>
      </c>
      <c r="U377" s="133">
        <f>IF(OR(A377="Автомат",A377="Дифавтомат"),I377&amp;" С"&amp;J377&amp;"А"&amp;IF(K377="да"," 30мА",""),"")</f>
      </c>
      <c r="V377" s="133">
        <f>IF(U377="","",B377&amp;"|"&amp;U377)</f>
      </c>
      <c r="W377" s="133">
        <f>IF(AND(U377&lt;&gt;"",OR($S$4="(все)",B377=$S$4),IF($S$4="(все)",COUNTIF($U$4:U377,U377),COUNTIFS($U$4:U377,U377,$B$4:B377,B377))=1),MAX($W$3:W376)+1,"")</f>
      </c>
      <c r="X377" s="133">
        <f>IFERROR(INDEX($U$4:$U$500,MATCH(ROW()-3,$W$4:$W$500,0)),"")</f>
      </c>
      <c r="Y377" s="133">
        <f>IF(AND(A377="Аппарат",C377&lt;&gt;"",OR($S$5="(все)",B377=$S$5)),MAX($Y$3:Y376)+1,"")</f>
      </c>
      <c r="Z377" s="133">
        <f>IFERROR(INDEX($C$4:$C$500,MATCH(ROW()-3,$Y$4:$Y$500,0)),"")</f>
      </c>
      <c r="AA377" s="133">
        <f>IF(AND(A377="Модуль",C377&lt;&gt;"",OR($S$6="(все)",B377=$S$6)),MAX($AA$3:AA376)+1,"")</f>
      </c>
      <c r="AB377" s="133">
        <f>IFERROR(INDEX($C$4:$C$500,MATCH(ROW()-3,$AA$4:$AA$500,0)),"")</f>
      </c>
      <c r="AC377" s="133">
        <f>IF(OR(B377="",COUNTIF($B$4:B377,B377)&gt;1),"",MAX($AC$3:AC376)+1)</f>
      </c>
      <c r="AD377" s="133">
        <f>IFERROR(INDEX($B$4:$B$500,MATCH(ROW()-3,$AC$4:$AC$500,0)),"")</f>
      </c>
      <c r="AE377" s="133">
        <f>IF(AND(A377&lt;&gt;"",N(P377)&gt;0),IFERROR(MATCH(A377,$R$12:$R$25,0),99)*1000+ROW(),"")</f>
      </c>
      <c r="AF377" s="133">
        <f>IF(AE377="","",COUNTIF($AE$4:$AE$500,"&lt;="&amp;AE377))</f>
      </c>
    </row>
    <row r="378">
      <c r="A378" s="265"/>
      <c r="B378" s="265"/>
      <c r="C378" s="265"/>
      <c r="D378" s="265"/>
      <c r="E378" s="265"/>
      <c r="F378" s="265"/>
      <c r="G378" s="265"/>
      <c r="H378" s="265"/>
      <c r="I378" s="265"/>
      <c r="J378" s="265"/>
      <c r="K378" s="265"/>
      <c r="L378" s="265"/>
      <c r="M378" s="265"/>
      <c r="N378" s="133">
        <f>IF(OR(A378="Автомат",A378="Дифавтомат"),IF(W378="","",COUNTIF(Однолинейка!$H$3:$H$1000,U378)),IF(A378="Аппарат",IF(C378="","",COUNTIF(Однолинейка!$I$3:$I$1000,C378)+COUNTIF(Однолинейка!$J$3:$J$1000,C378)+COUNTIF(Однолинейка!$K$3:$K$1000,C378)),IF(A378="Модуль",IF(C378="","",COUNTIFS(Однолинейка!$AW$3:$AW$1000,"?*",Однолинейка!$AI$3:$AI$1000,C378)),IF(A378="Клемма",IF(C378="","",IF(C378=$S$7,SUM(Однолинейка!$BW$3:$BW$1000),IF(C378=$S$8,SUM(Однолинейка!$BX$3:$BX$1000),""))),""))))</f>
      </c>
      <c r="O378" s="265"/>
      <c r="P378" s="133">
        <f>IF(COUNT(N378,O378)=0,"",SUM(N378,O378))</f>
      </c>
      <c r="U378" s="133">
        <f>IF(OR(A378="Автомат",A378="Дифавтомат"),I378&amp;" С"&amp;J378&amp;"А"&amp;IF(K378="да"," 30мА",""),"")</f>
      </c>
      <c r="V378" s="133">
        <f>IF(U378="","",B378&amp;"|"&amp;U378)</f>
      </c>
      <c r="W378" s="133">
        <f>IF(AND(U378&lt;&gt;"",OR($S$4="(все)",B378=$S$4),IF($S$4="(все)",COUNTIF($U$4:U378,U378),COUNTIFS($U$4:U378,U378,$B$4:B378,B378))=1),MAX($W$3:W377)+1,"")</f>
      </c>
      <c r="X378" s="133">
        <f>IFERROR(INDEX($U$4:$U$500,MATCH(ROW()-3,$W$4:$W$500,0)),"")</f>
      </c>
      <c r="Y378" s="133">
        <f>IF(AND(A378="Аппарат",C378&lt;&gt;"",OR($S$5="(все)",B378=$S$5)),MAX($Y$3:Y377)+1,"")</f>
      </c>
      <c r="Z378" s="133">
        <f>IFERROR(INDEX($C$4:$C$500,MATCH(ROW()-3,$Y$4:$Y$500,0)),"")</f>
      </c>
      <c r="AA378" s="133">
        <f>IF(AND(A378="Модуль",C378&lt;&gt;"",OR($S$6="(все)",B378=$S$6)),MAX($AA$3:AA377)+1,"")</f>
      </c>
      <c r="AB378" s="133">
        <f>IFERROR(INDEX($C$4:$C$500,MATCH(ROW()-3,$AA$4:$AA$500,0)),"")</f>
      </c>
      <c r="AC378" s="133">
        <f>IF(OR(B378="",COUNTIF($B$4:B378,B378)&gt;1),"",MAX($AC$3:AC377)+1)</f>
      </c>
      <c r="AD378" s="133">
        <f>IFERROR(INDEX($B$4:$B$500,MATCH(ROW()-3,$AC$4:$AC$500,0)),"")</f>
      </c>
      <c r="AE378" s="133">
        <f>IF(AND(A378&lt;&gt;"",N(P378)&gt;0),IFERROR(MATCH(A378,$R$12:$R$25,0),99)*1000+ROW(),"")</f>
      </c>
      <c r="AF378" s="133">
        <f>IF(AE378="","",COUNTIF($AE$4:$AE$500,"&lt;="&amp;AE378))</f>
      </c>
    </row>
    <row r="379">
      <c r="A379" s="265"/>
      <c r="B379" s="265"/>
      <c r="C379" s="265"/>
      <c r="D379" s="265"/>
      <c r="E379" s="265"/>
      <c r="F379" s="265"/>
      <c r="G379" s="265"/>
      <c r="H379" s="265"/>
      <c r="I379" s="265"/>
      <c r="J379" s="265"/>
      <c r="K379" s="265"/>
      <c r="L379" s="265"/>
      <c r="M379" s="265"/>
      <c r="N379" s="133">
        <f>IF(OR(A379="Автомат",A379="Дифавтомат"),IF(W379="","",COUNTIF(Однолинейка!$H$3:$H$1000,U379)),IF(A379="Аппарат",IF(C379="","",COUNTIF(Однолинейка!$I$3:$I$1000,C379)+COUNTIF(Однолинейка!$J$3:$J$1000,C379)+COUNTIF(Однолинейка!$K$3:$K$1000,C379)),IF(A379="Модуль",IF(C379="","",COUNTIFS(Однолинейка!$AW$3:$AW$1000,"?*",Однолинейка!$AI$3:$AI$1000,C379)),IF(A379="Клемма",IF(C379="","",IF(C379=$S$7,SUM(Однолинейка!$BW$3:$BW$1000),IF(C379=$S$8,SUM(Однолинейка!$BX$3:$BX$1000),""))),""))))</f>
      </c>
      <c r="O379" s="265"/>
      <c r="P379" s="133">
        <f>IF(COUNT(N379,O379)=0,"",SUM(N379,O379))</f>
      </c>
      <c r="U379" s="133">
        <f>IF(OR(A379="Автомат",A379="Дифавтомат"),I379&amp;" С"&amp;J379&amp;"А"&amp;IF(K379="да"," 30мА",""),"")</f>
      </c>
      <c r="V379" s="133">
        <f>IF(U379="","",B379&amp;"|"&amp;U379)</f>
      </c>
      <c r="W379" s="133">
        <f>IF(AND(U379&lt;&gt;"",OR($S$4="(все)",B379=$S$4),IF($S$4="(все)",COUNTIF($U$4:U379,U379),COUNTIFS($U$4:U379,U379,$B$4:B379,B379))=1),MAX($W$3:W378)+1,"")</f>
      </c>
      <c r="X379" s="133">
        <f>IFERROR(INDEX($U$4:$U$500,MATCH(ROW()-3,$W$4:$W$500,0)),"")</f>
      </c>
      <c r="Y379" s="133">
        <f>IF(AND(A379="Аппарат",C379&lt;&gt;"",OR($S$5="(все)",B379=$S$5)),MAX($Y$3:Y378)+1,"")</f>
      </c>
      <c r="Z379" s="133">
        <f>IFERROR(INDEX($C$4:$C$500,MATCH(ROW()-3,$Y$4:$Y$500,0)),"")</f>
      </c>
      <c r="AA379" s="133">
        <f>IF(AND(A379="Модуль",C379&lt;&gt;"",OR($S$6="(все)",B379=$S$6)),MAX($AA$3:AA378)+1,"")</f>
      </c>
      <c r="AB379" s="133">
        <f>IFERROR(INDEX($C$4:$C$500,MATCH(ROW()-3,$AA$4:$AA$500,0)),"")</f>
      </c>
      <c r="AC379" s="133">
        <f>IF(OR(B379="",COUNTIF($B$4:B379,B379)&gt;1),"",MAX($AC$3:AC378)+1)</f>
      </c>
      <c r="AD379" s="133">
        <f>IFERROR(INDEX($B$4:$B$500,MATCH(ROW()-3,$AC$4:$AC$500,0)),"")</f>
      </c>
      <c r="AE379" s="133">
        <f>IF(AND(A379&lt;&gt;"",N(P379)&gt;0),IFERROR(MATCH(A379,$R$12:$R$25,0),99)*1000+ROW(),"")</f>
      </c>
      <c r="AF379" s="133">
        <f>IF(AE379="","",COUNTIF($AE$4:$AE$500,"&lt;="&amp;AE379))</f>
      </c>
    </row>
    <row r="380">
      <c r="A380" s="265"/>
      <c r="B380" s="265"/>
      <c r="C380" s="265"/>
      <c r="D380" s="265"/>
      <c r="E380" s="265"/>
      <c r="F380" s="265"/>
      <c r="G380" s="265"/>
      <c r="H380" s="265"/>
      <c r="I380" s="265"/>
      <c r="J380" s="265"/>
      <c r="K380" s="265"/>
      <c r="L380" s="265"/>
      <c r="M380" s="265"/>
      <c r="N380" s="133">
        <f>IF(OR(A380="Автомат",A380="Дифавтомат"),IF(W380="","",COUNTIF(Однолинейка!$H$3:$H$1000,U380)),IF(A380="Аппарат",IF(C380="","",COUNTIF(Однолинейка!$I$3:$I$1000,C380)+COUNTIF(Однолинейка!$J$3:$J$1000,C380)+COUNTIF(Однолинейка!$K$3:$K$1000,C380)),IF(A380="Модуль",IF(C380="","",COUNTIFS(Однолинейка!$AW$3:$AW$1000,"?*",Однолинейка!$AI$3:$AI$1000,C380)),IF(A380="Клемма",IF(C380="","",IF(C380=$S$7,SUM(Однолинейка!$BW$3:$BW$1000),IF(C380=$S$8,SUM(Однолинейка!$BX$3:$BX$1000),""))),""))))</f>
      </c>
      <c r="O380" s="265"/>
      <c r="P380" s="133">
        <f>IF(COUNT(N380,O380)=0,"",SUM(N380,O380))</f>
      </c>
      <c r="U380" s="133">
        <f>IF(OR(A380="Автомат",A380="Дифавтомат"),I380&amp;" С"&amp;J380&amp;"А"&amp;IF(K380="да"," 30мА",""),"")</f>
      </c>
      <c r="V380" s="133">
        <f>IF(U380="","",B380&amp;"|"&amp;U380)</f>
      </c>
      <c r="W380" s="133">
        <f>IF(AND(U380&lt;&gt;"",OR($S$4="(все)",B380=$S$4),IF($S$4="(все)",COUNTIF($U$4:U380,U380),COUNTIFS($U$4:U380,U380,$B$4:B380,B380))=1),MAX($W$3:W379)+1,"")</f>
      </c>
      <c r="X380" s="133">
        <f>IFERROR(INDEX($U$4:$U$500,MATCH(ROW()-3,$W$4:$W$500,0)),"")</f>
      </c>
      <c r="Y380" s="133">
        <f>IF(AND(A380="Аппарат",C380&lt;&gt;"",OR($S$5="(все)",B380=$S$5)),MAX($Y$3:Y379)+1,"")</f>
      </c>
      <c r="Z380" s="133">
        <f>IFERROR(INDEX($C$4:$C$500,MATCH(ROW()-3,$Y$4:$Y$500,0)),"")</f>
      </c>
      <c r="AA380" s="133">
        <f>IF(AND(A380="Модуль",C380&lt;&gt;"",OR($S$6="(все)",B380=$S$6)),MAX($AA$3:AA379)+1,"")</f>
      </c>
      <c r="AB380" s="133">
        <f>IFERROR(INDEX($C$4:$C$500,MATCH(ROW()-3,$AA$4:$AA$500,0)),"")</f>
      </c>
      <c r="AC380" s="133">
        <f>IF(OR(B380="",COUNTIF($B$4:B380,B380)&gt;1),"",MAX($AC$3:AC379)+1)</f>
      </c>
      <c r="AD380" s="133">
        <f>IFERROR(INDEX($B$4:$B$500,MATCH(ROW()-3,$AC$4:$AC$500,0)),"")</f>
      </c>
      <c r="AE380" s="133">
        <f>IF(AND(A380&lt;&gt;"",N(P380)&gt;0),IFERROR(MATCH(A380,$R$12:$R$25,0),99)*1000+ROW(),"")</f>
      </c>
      <c r="AF380" s="133">
        <f>IF(AE380="","",COUNTIF($AE$4:$AE$500,"&lt;="&amp;AE380))</f>
      </c>
    </row>
    <row r="381">
      <c r="A381" s="265"/>
      <c r="B381" s="265"/>
      <c r="C381" s="265"/>
      <c r="D381" s="265"/>
      <c r="E381" s="265"/>
      <c r="F381" s="265"/>
      <c r="G381" s="265"/>
      <c r="H381" s="265"/>
      <c r="I381" s="265"/>
      <c r="J381" s="265"/>
      <c r="K381" s="265"/>
      <c r="L381" s="265"/>
      <c r="M381" s="265"/>
      <c r="N381" s="133">
        <f>IF(OR(A381="Автомат",A381="Дифавтомат"),IF(W381="","",COUNTIF(Однолинейка!$H$3:$H$1000,U381)),IF(A381="Аппарат",IF(C381="","",COUNTIF(Однолинейка!$I$3:$I$1000,C381)+COUNTIF(Однолинейка!$J$3:$J$1000,C381)+COUNTIF(Однолинейка!$K$3:$K$1000,C381)),IF(A381="Модуль",IF(C381="","",COUNTIFS(Однолинейка!$AW$3:$AW$1000,"?*",Однолинейка!$AI$3:$AI$1000,C381)),IF(A381="Клемма",IF(C381="","",IF(C381=$S$7,SUM(Однолинейка!$BW$3:$BW$1000),IF(C381=$S$8,SUM(Однолинейка!$BX$3:$BX$1000),""))),""))))</f>
      </c>
      <c r="O381" s="265"/>
      <c r="P381" s="133">
        <f>IF(COUNT(N381,O381)=0,"",SUM(N381,O381))</f>
      </c>
      <c r="U381" s="133">
        <f>IF(OR(A381="Автомат",A381="Дифавтомат"),I381&amp;" С"&amp;J381&amp;"А"&amp;IF(K381="да"," 30мА",""),"")</f>
      </c>
      <c r="V381" s="133">
        <f>IF(U381="","",B381&amp;"|"&amp;U381)</f>
      </c>
      <c r="W381" s="133">
        <f>IF(AND(U381&lt;&gt;"",OR($S$4="(все)",B381=$S$4),IF($S$4="(все)",COUNTIF($U$4:U381,U381),COUNTIFS($U$4:U381,U381,$B$4:B381,B381))=1),MAX($W$3:W380)+1,"")</f>
      </c>
      <c r="X381" s="133">
        <f>IFERROR(INDEX($U$4:$U$500,MATCH(ROW()-3,$W$4:$W$500,0)),"")</f>
      </c>
      <c r="Y381" s="133">
        <f>IF(AND(A381="Аппарат",C381&lt;&gt;"",OR($S$5="(все)",B381=$S$5)),MAX($Y$3:Y380)+1,"")</f>
      </c>
      <c r="Z381" s="133">
        <f>IFERROR(INDEX($C$4:$C$500,MATCH(ROW()-3,$Y$4:$Y$500,0)),"")</f>
      </c>
      <c r="AA381" s="133">
        <f>IF(AND(A381="Модуль",C381&lt;&gt;"",OR($S$6="(все)",B381=$S$6)),MAX($AA$3:AA380)+1,"")</f>
      </c>
      <c r="AB381" s="133">
        <f>IFERROR(INDEX($C$4:$C$500,MATCH(ROW()-3,$AA$4:$AA$500,0)),"")</f>
      </c>
      <c r="AC381" s="133">
        <f>IF(OR(B381="",COUNTIF($B$4:B381,B381)&gt;1),"",MAX($AC$3:AC380)+1)</f>
      </c>
      <c r="AD381" s="133">
        <f>IFERROR(INDEX($B$4:$B$500,MATCH(ROW()-3,$AC$4:$AC$500,0)),"")</f>
      </c>
      <c r="AE381" s="133">
        <f>IF(AND(A381&lt;&gt;"",N(P381)&gt;0),IFERROR(MATCH(A381,$R$12:$R$25,0),99)*1000+ROW(),"")</f>
      </c>
      <c r="AF381" s="133">
        <f>IF(AE381="","",COUNTIF($AE$4:$AE$500,"&lt;="&amp;AE381))</f>
      </c>
    </row>
    <row r="382">
      <c r="A382" s="265"/>
      <c r="B382" s="265"/>
      <c r="C382" s="265"/>
      <c r="D382" s="265"/>
      <c r="E382" s="265"/>
      <c r="F382" s="265"/>
      <c r="G382" s="265"/>
      <c r="H382" s="265"/>
      <c r="I382" s="265"/>
      <c r="J382" s="265"/>
      <c r="K382" s="265"/>
      <c r="L382" s="265"/>
      <c r="M382" s="265"/>
      <c r="N382" s="133">
        <f>IF(OR(A382="Автомат",A382="Дифавтомат"),IF(W382="","",COUNTIF(Однолинейка!$H$3:$H$1000,U382)),IF(A382="Аппарат",IF(C382="","",COUNTIF(Однолинейка!$I$3:$I$1000,C382)+COUNTIF(Однолинейка!$J$3:$J$1000,C382)+COUNTIF(Однолинейка!$K$3:$K$1000,C382)),IF(A382="Модуль",IF(C382="","",COUNTIFS(Однолинейка!$AW$3:$AW$1000,"?*",Однолинейка!$AI$3:$AI$1000,C382)),IF(A382="Клемма",IF(C382="","",IF(C382=$S$7,SUM(Однолинейка!$BW$3:$BW$1000),IF(C382=$S$8,SUM(Однолинейка!$BX$3:$BX$1000),""))),""))))</f>
      </c>
      <c r="O382" s="265"/>
      <c r="P382" s="133">
        <f>IF(COUNT(N382,O382)=0,"",SUM(N382,O382))</f>
      </c>
      <c r="U382" s="133">
        <f>IF(OR(A382="Автомат",A382="Дифавтомат"),I382&amp;" С"&amp;J382&amp;"А"&amp;IF(K382="да"," 30мА",""),"")</f>
      </c>
      <c r="V382" s="133">
        <f>IF(U382="","",B382&amp;"|"&amp;U382)</f>
      </c>
      <c r="W382" s="133">
        <f>IF(AND(U382&lt;&gt;"",OR($S$4="(все)",B382=$S$4),IF($S$4="(все)",COUNTIF($U$4:U382,U382),COUNTIFS($U$4:U382,U382,$B$4:B382,B382))=1),MAX($W$3:W381)+1,"")</f>
      </c>
      <c r="X382" s="133">
        <f>IFERROR(INDEX($U$4:$U$500,MATCH(ROW()-3,$W$4:$W$500,0)),"")</f>
      </c>
      <c r="Y382" s="133">
        <f>IF(AND(A382="Аппарат",C382&lt;&gt;"",OR($S$5="(все)",B382=$S$5)),MAX($Y$3:Y381)+1,"")</f>
      </c>
      <c r="Z382" s="133">
        <f>IFERROR(INDEX($C$4:$C$500,MATCH(ROW()-3,$Y$4:$Y$500,0)),"")</f>
      </c>
      <c r="AA382" s="133">
        <f>IF(AND(A382="Модуль",C382&lt;&gt;"",OR($S$6="(все)",B382=$S$6)),MAX($AA$3:AA381)+1,"")</f>
      </c>
      <c r="AB382" s="133">
        <f>IFERROR(INDEX($C$4:$C$500,MATCH(ROW()-3,$AA$4:$AA$500,0)),"")</f>
      </c>
      <c r="AC382" s="133">
        <f>IF(OR(B382="",COUNTIF($B$4:B382,B382)&gt;1),"",MAX($AC$3:AC381)+1)</f>
      </c>
      <c r="AD382" s="133">
        <f>IFERROR(INDEX($B$4:$B$500,MATCH(ROW()-3,$AC$4:$AC$500,0)),"")</f>
      </c>
      <c r="AE382" s="133">
        <f>IF(AND(A382&lt;&gt;"",N(P382)&gt;0),IFERROR(MATCH(A382,$R$12:$R$25,0),99)*1000+ROW(),"")</f>
      </c>
      <c r="AF382" s="133">
        <f>IF(AE382="","",COUNTIF($AE$4:$AE$500,"&lt;="&amp;AE382))</f>
      </c>
    </row>
    <row r="383">
      <c r="A383" s="265"/>
      <c r="B383" s="265"/>
      <c r="C383" s="265"/>
      <c r="D383" s="265"/>
      <c r="E383" s="265"/>
      <c r="F383" s="265"/>
      <c r="G383" s="265"/>
      <c r="H383" s="265"/>
      <c r="I383" s="265"/>
      <c r="J383" s="265"/>
      <c r="K383" s="265"/>
      <c r="L383" s="265"/>
      <c r="M383" s="265"/>
      <c r="N383" s="133">
        <f>IF(OR(A383="Автомат",A383="Дифавтомат"),IF(W383="","",COUNTIF(Однолинейка!$H$3:$H$1000,U383)),IF(A383="Аппарат",IF(C383="","",COUNTIF(Однолинейка!$I$3:$I$1000,C383)+COUNTIF(Однолинейка!$J$3:$J$1000,C383)+COUNTIF(Однолинейка!$K$3:$K$1000,C383)),IF(A383="Модуль",IF(C383="","",COUNTIFS(Однолинейка!$AW$3:$AW$1000,"?*",Однолинейка!$AI$3:$AI$1000,C383)),IF(A383="Клемма",IF(C383="","",IF(C383=$S$7,SUM(Однолинейка!$BW$3:$BW$1000),IF(C383=$S$8,SUM(Однолинейка!$BX$3:$BX$1000),""))),""))))</f>
      </c>
      <c r="O383" s="265"/>
      <c r="P383" s="133">
        <f>IF(COUNT(N383,O383)=0,"",SUM(N383,O383))</f>
      </c>
      <c r="U383" s="133">
        <f>IF(OR(A383="Автомат",A383="Дифавтомат"),I383&amp;" С"&amp;J383&amp;"А"&amp;IF(K383="да"," 30мА",""),"")</f>
      </c>
      <c r="V383" s="133">
        <f>IF(U383="","",B383&amp;"|"&amp;U383)</f>
      </c>
      <c r="W383" s="133">
        <f>IF(AND(U383&lt;&gt;"",OR($S$4="(все)",B383=$S$4),IF($S$4="(все)",COUNTIF($U$4:U383,U383),COUNTIFS($U$4:U383,U383,$B$4:B383,B383))=1),MAX($W$3:W382)+1,"")</f>
      </c>
      <c r="X383" s="133">
        <f>IFERROR(INDEX($U$4:$U$500,MATCH(ROW()-3,$W$4:$W$500,0)),"")</f>
      </c>
      <c r="Y383" s="133">
        <f>IF(AND(A383="Аппарат",C383&lt;&gt;"",OR($S$5="(все)",B383=$S$5)),MAX($Y$3:Y382)+1,"")</f>
      </c>
      <c r="Z383" s="133">
        <f>IFERROR(INDEX($C$4:$C$500,MATCH(ROW()-3,$Y$4:$Y$500,0)),"")</f>
      </c>
      <c r="AA383" s="133">
        <f>IF(AND(A383="Модуль",C383&lt;&gt;"",OR($S$6="(все)",B383=$S$6)),MAX($AA$3:AA382)+1,"")</f>
      </c>
      <c r="AB383" s="133">
        <f>IFERROR(INDEX($C$4:$C$500,MATCH(ROW()-3,$AA$4:$AA$500,0)),"")</f>
      </c>
      <c r="AC383" s="133">
        <f>IF(OR(B383="",COUNTIF($B$4:B383,B383)&gt;1),"",MAX($AC$3:AC382)+1)</f>
      </c>
      <c r="AD383" s="133">
        <f>IFERROR(INDEX($B$4:$B$500,MATCH(ROW()-3,$AC$4:$AC$500,0)),"")</f>
      </c>
      <c r="AE383" s="133">
        <f>IF(AND(A383&lt;&gt;"",N(P383)&gt;0),IFERROR(MATCH(A383,$R$12:$R$25,0),99)*1000+ROW(),"")</f>
      </c>
      <c r="AF383" s="133">
        <f>IF(AE383="","",COUNTIF($AE$4:$AE$500,"&lt;="&amp;AE383))</f>
      </c>
    </row>
    <row r="384">
      <c r="A384" s="265"/>
      <c r="B384" s="265"/>
      <c r="C384" s="265"/>
      <c r="D384" s="265"/>
      <c r="E384" s="265"/>
      <c r="F384" s="265"/>
      <c r="G384" s="265"/>
      <c r="H384" s="265"/>
      <c r="I384" s="265"/>
      <c r="J384" s="265"/>
      <c r="K384" s="265"/>
      <c r="L384" s="265"/>
      <c r="M384" s="265"/>
      <c r="N384" s="133">
        <f>IF(OR(A384="Автомат",A384="Дифавтомат"),IF(W384="","",COUNTIF(Однолинейка!$H$3:$H$1000,U384)),IF(A384="Аппарат",IF(C384="","",COUNTIF(Однолинейка!$I$3:$I$1000,C384)+COUNTIF(Однолинейка!$J$3:$J$1000,C384)+COUNTIF(Однолинейка!$K$3:$K$1000,C384)),IF(A384="Модуль",IF(C384="","",COUNTIFS(Однолинейка!$AW$3:$AW$1000,"?*",Однолинейка!$AI$3:$AI$1000,C384)),IF(A384="Клемма",IF(C384="","",IF(C384=$S$7,SUM(Однолинейка!$BW$3:$BW$1000),IF(C384=$S$8,SUM(Однолинейка!$BX$3:$BX$1000),""))),""))))</f>
      </c>
      <c r="O384" s="265"/>
      <c r="P384" s="133">
        <f>IF(COUNT(N384,O384)=0,"",SUM(N384,O384))</f>
      </c>
      <c r="U384" s="133">
        <f>IF(OR(A384="Автомат",A384="Дифавтомат"),I384&amp;" С"&amp;J384&amp;"А"&amp;IF(K384="да"," 30мА",""),"")</f>
      </c>
      <c r="V384" s="133">
        <f>IF(U384="","",B384&amp;"|"&amp;U384)</f>
      </c>
      <c r="W384" s="133">
        <f>IF(AND(U384&lt;&gt;"",OR($S$4="(все)",B384=$S$4),IF($S$4="(все)",COUNTIF($U$4:U384,U384),COUNTIFS($U$4:U384,U384,$B$4:B384,B384))=1),MAX($W$3:W383)+1,"")</f>
      </c>
      <c r="X384" s="133">
        <f>IFERROR(INDEX($U$4:$U$500,MATCH(ROW()-3,$W$4:$W$500,0)),"")</f>
      </c>
      <c r="Y384" s="133">
        <f>IF(AND(A384="Аппарат",C384&lt;&gt;"",OR($S$5="(все)",B384=$S$5)),MAX($Y$3:Y383)+1,"")</f>
      </c>
      <c r="Z384" s="133">
        <f>IFERROR(INDEX($C$4:$C$500,MATCH(ROW()-3,$Y$4:$Y$500,0)),"")</f>
      </c>
      <c r="AA384" s="133">
        <f>IF(AND(A384="Модуль",C384&lt;&gt;"",OR($S$6="(все)",B384=$S$6)),MAX($AA$3:AA383)+1,"")</f>
      </c>
      <c r="AB384" s="133">
        <f>IFERROR(INDEX($C$4:$C$500,MATCH(ROW()-3,$AA$4:$AA$500,0)),"")</f>
      </c>
      <c r="AC384" s="133">
        <f>IF(OR(B384="",COUNTIF($B$4:B384,B384)&gt;1),"",MAX($AC$3:AC383)+1)</f>
      </c>
      <c r="AD384" s="133">
        <f>IFERROR(INDEX($B$4:$B$500,MATCH(ROW()-3,$AC$4:$AC$500,0)),"")</f>
      </c>
      <c r="AE384" s="133">
        <f>IF(AND(A384&lt;&gt;"",N(P384)&gt;0),IFERROR(MATCH(A384,$R$12:$R$25,0),99)*1000+ROW(),"")</f>
      </c>
      <c r="AF384" s="133">
        <f>IF(AE384="","",COUNTIF($AE$4:$AE$500,"&lt;="&amp;AE384))</f>
      </c>
    </row>
    <row r="385">
      <c r="A385" s="265"/>
      <c r="B385" s="265"/>
      <c r="C385" s="265"/>
      <c r="D385" s="265"/>
      <c r="E385" s="265"/>
      <c r="F385" s="265"/>
      <c r="G385" s="265"/>
      <c r="H385" s="265"/>
      <c r="I385" s="265"/>
      <c r="J385" s="265"/>
      <c r="K385" s="265"/>
      <c r="L385" s="265"/>
      <c r="M385" s="265"/>
      <c r="N385" s="133">
        <f>IF(OR(A385="Автомат",A385="Дифавтомат"),IF(W385="","",COUNTIF(Однолинейка!$H$3:$H$1000,U385)),IF(A385="Аппарат",IF(C385="","",COUNTIF(Однолинейка!$I$3:$I$1000,C385)+COUNTIF(Однолинейка!$J$3:$J$1000,C385)+COUNTIF(Однолинейка!$K$3:$K$1000,C385)),IF(A385="Модуль",IF(C385="","",COUNTIFS(Однолинейка!$AW$3:$AW$1000,"?*",Однолинейка!$AI$3:$AI$1000,C385)),IF(A385="Клемма",IF(C385="","",IF(C385=$S$7,SUM(Однолинейка!$BW$3:$BW$1000),IF(C385=$S$8,SUM(Однолинейка!$BX$3:$BX$1000),""))),""))))</f>
      </c>
      <c r="O385" s="265"/>
      <c r="P385" s="133">
        <f>IF(COUNT(N385,O385)=0,"",SUM(N385,O385))</f>
      </c>
      <c r="U385" s="133">
        <f>IF(OR(A385="Автомат",A385="Дифавтомат"),I385&amp;" С"&amp;J385&amp;"А"&amp;IF(K385="да"," 30мА",""),"")</f>
      </c>
      <c r="V385" s="133">
        <f>IF(U385="","",B385&amp;"|"&amp;U385)</f>
      </c>
      <c r="W385" s="133">
        <f>IF(AND(U385&lt;&gt;"",OR($S$4="(все)",B385=$S$4),IF($S$4="(все)",COUNTIF($U$4:U385,U385),COUNTIFS($U$4:U385,U385,$B$4:B385,B385))=1),MAX($W$3:W384)+1,"")</f>
      </c>
      <c r="X385" s="133">
        <f>IFERROR(INDEX($U$4:$U$500,MATCH(ROW()-3,$W$4:$W$500,0)),"")</f>
      </c>
      <c r="Y385" s="133">
        <f>IF(AND(A385="Аппарат",C385&lt;&gt;"",OR($S$5="(все)",B385=$S$5)),MAX($Y$3:Y384)+1,"")</f>
      </c>
      <c r="Z385" s="133">
        <f>IFERROR(INDEX($C$4:$C$500,MATCH(ROW()-3,$Y$4:$Y$500,0)),"")</f>
      </c>
      <c r="AA385" s="133">
        <f>IF(AND(A385="Модуль",C385&lt;&gt;"",OR($S$6="(все)",B385=$S$6)),MAX($AA$3:AA384)+1,"")</f>
      </c>
      <c r="AB385" s="133">
        <f>IFERROR(INDEX($C$4:$C$500,MATCH(ROW()-3,$AA$4:$AA$500,0)),"")</f>
      </c>
      <c r="AC385" s="133">
        <f>IF(OR(B385="",COUNTIF($B$4:B385,B385)&gt;1),"",MAX($AC$3:AC384)+1)</f>
      </c>
      <c r="AD385" s="133">
        <f>IFERROR(INDEX($B$4:$B$500,MATCH(ROW()-3,$AC$4:$AC$500,0)),"")</f>
      </c>
      <c r="AE385" s="133">
        <f>IF(AND(A385&lt;&gt;"",N(P385)&gt;0),IFERROR(MATCH(A385,$R$12:$R$25,0),99)*1000+ROW(),"")</f>
      </c>
      <c r="AF385" s="133">
        <f>IF(AE385="","",COUNTIF($AE$4:$AE$500,"&lt;="&amp;AE385))</f>
      </c>
    </row>
    <row r="386">
      <c r="A386" s="265"/>
      <c r="B386" s="265"/>
      <c r="C386" s="265"/>
      <c r="D386" s="265"/>
      <c r="E386" s="265"/>
      <c r="F386" s="265"/>
      <c r="G386" s="265"/>
      <c r="H386" s="265"/>
      <c r="I386" s="265"/>
      <c r="J386" s="265"/>
      <c r="K386" s="265"/>
      <c r="L386" s="265"/>
      <c r="M386" s="265"/>
      <c r="N386" s="133">
        <f>IF(OR(A386="Автомат",A386="Дифавтомат"),IF(W386="","",COUNTIF(Однолинейка!$H$3:$H$1000,U386)),IF(A386="Аппарат",IF(C386="","",COUNTIF(Однолинейка!$I$3:$I$1000,C386)+COUNTIF(Однолинейка!$J$3:$J$1000,C386)+COUNTIF(Однолинейка!$K$3:$K$1000,C386)),IF(A386="Модуль",IF(C386="","",COUNTIFS(Однолинейка!$AW$3:$AW$1000,"?*",Однолинейка!$AI$3:$AI$1000,C386)),IF(A386="Клемма",IF(C386="","",IF(C386=$S$7,SUM(Однолинейка!$BW$3:$BW$1000),IF(C386=$S$8,SUM(Однолинейка!$BX$3:$BX$1000),""))),""))))</f>
      </c>
      <c r="O386" s="265"/>
      <c r="P386" s="133">
        <f>IF(COUNT(N386,O386)=0,"",SUM(N386,O386))</f>
      </c>
      <c r="U386" s="133">
        <f>IF(OR(A386="Автомат",A386="Дифавтомат"),I386&amp;" С"&amp;J386&amp;"А"&amp;IF(K386="да"," 30мА",""),"")</f>
      </c>
      <c r="V386" s="133">
        <f>IF(U386="","",B386&amp;"|"&amp;U386)</f>
      </c>
      <c r="W386" s="133">
        <f>IF(AND(U386&lt;&gt;"",OR($S$4="(все)",B386=$S$4),IF($S$4="(все)",COUNTIF($U$4:U386,U386),COUNTIFS($U$4:U386,U386,$B$4:B386,B386))=1),MAX($W$3:W385)+1,"")</f>
      </c>
      <c r="X386" s="133">
        <f>IFERROR(INDEX($U$4:$U$500,MATCH(ROW()-3,$W$4:$W$500,0)),"")</f>
      </c>
      <c r="Y386" s="133">
        <f>IF(AND(A386="Аппарат",C386&lt;&gt;"",OR($S$5="(все)",B386=$S$5)),MAX($Y$3:Y385)+1,"")</f>
      </c>
      <c r="Z386" s="133">
        <f>IFERROR(INDEX($C$4:$C$500,MATCH(ROW()-3,$Y$4:$Y$500,0)),"")</f>
      </c>
      <c r="AA386" s="133">
        <f>IF(AND(A386="Модуль",C386&lt;&gt;"",OR($S$6="(все)",B386=$S$6)),MAX($AA$3:AA385)+1,"")</f>
      </c>
      <c r="AB386" s="133">
        <f>IFERROR(INDEX($C$4:$C$500,MATCH(ROW()-3,$AA$4:$AA$500,0)),"")</f>
      </c>
      <c r="AC386" s="133">
        <f>IF(OR(B386="",COUNTIF($B$4:B386,B386)&gt;1),"",MAX($AC$3:AC385)+1)</f>
      </c>
      <c r="AD386" s="133">
        <f>IFERROR(INDEX($B$4:$B$500,MATCH(ROW()-3,$AC$4:$AC$500,0)),"")</f>
      </c>
      <c r="AE386" s="133">
        <f>IF(AND(A386&lt;&gt;"",N(P386)&gt;0),IFERROR(MATCH(A386,$R$12:$R$25,0),99)*1000+ROW(),"")</f>
      </c>
      <c r="AF386" s="133">
        <f>IF(AE386="","",COUNTIF($AE$4:$AE$500,"&lt;="&amp;AE386))</f>
      </c>
    </row>
    <row r="387">
      <c r="A387" s="265"/>
      <c r="B387" s="265"/>
      <c r="C387" s="265"/>
      <c r="D387" s="265"/>
      <c r="E387" s="265"/>
      <c r="F387" s="265"/>
      <c r="G387" s="265"/>
      <c r="H387" s="265"/>
      <c r="I387" s="265"/>
      <c r="J387" s="265"/>
      <c r="K387" s="265"/>
      <c r="L387" s="265"/>
      <c r="M387" s="265"/>
      <c r="N387" s="133">
        <f>IF(OR(A387="Автомат",A387="Дифавтомат"),IF(W387="","",COUNTIF(Однолинейка!$H$3:$H$1000,U387)),IF(A387="Аппарат",IF(C387="","",COUNTIF(Однолинейка!$I$3:$I$1000,C387)+COUNTIF(Однолинейка!$J$3:$J$1000,C387)+COUNTIF(Однолинейка!$K$3:$K$1000,C387)),IF(A387="Модуль",IF(C387="","",COUNTIFS(Однолинейка!$AW$3:$AW$1000,"?*",Однолинейка!$AI$3:$AI$1000,C387)),IF(A387="Клемма",IF(C387="","",IF(C387=$S$7,SUM(Однолинейка!$BW$3:$BW$1000),IF(C387=$S$8,SUM(Однолинейка!$BX$3:$BX$1000),""))),""))))</f>
      </c>
      <c r="O387" s="265"/>
      <c r="P387" s="133">
        <f>IF(COUNT(N387,O387)=0,"",SUM(N387,O387))</f>
      </c>
      <c r="U387" s="133">
        <f>IF(OR(A387="Автомат",A387="Дифавтомат"),I387&amp;" С"&amp;J387&amp;"А"&amp;IF(K387="да"," 30мА",""),"")</f>
      </c>
      <c r="V387" s="133">
        <f>IF(U387="","",B387&amp;"|"&amp;U387)</f>
      </c>
      <c r="W387" s="133">
        <f>IF(AND(U387&lt;&gt;"",OR($S$4="(все)",B387=$S$4),IF($S$4="(все)",COUNTIF($U$4:U387,U387),COUNTIFS($U$4:U387,U387,$B$4:B387,B387))=1),MAX($W$3:W386)+1,"")</f>
      </c>
      <c r="X387" s="133">
        <f>IFERROR(INDEX($U$4:$U$500,MATCH(ROW()-3,$W$4:$W$500,0)),"")</f>
      </c>
      <c r="Y387" s="133">
        <f>IF(AND(A387="Аппарат",C387&lt;&gt;"",OR($S$5="(все)",B387=$S$5)),MAX($Y$3:Y386)+1,"")</f>
      </c>
      <c r="Z387" s="133">
        <f>IFERROR(INDEX($C$4:$C$500,MATCH(ROW()-3,$Y$4:$Y$500,0)),"")</f>
      </c>
      <c r="AA387" s="133">
        <f>IF(AND(A387="Модуль",C387&lt;&gt;"",OR($S$6="(все)",B387=$S$6)),MAX($AA$3:AA386)+1,"")</f>
      </c>
      <c r="AB387" s="133">
        <f>IFERROR(INDEX($C$4:$C$500,MATCH(ROW()-3,$AA$4:$AA$500,0)),"")</f>
      </c>
      <c r="AC387" s="133">
        <f>IF(OR(B387="",COUNTIF($B$4:B387,B387)&gt;1),"",MAX($AC$3:AC386)+1)</f>
      </c>
      <c r="AD387" s="133">
        <f>IFERROR(INDEX($B$4:$B$500,MATCH(ROW()-3,$AC$4:$AC$500,0)),"")</f>
      </c>
      <c r="AE387" s="133">
        <f>IF(AND(A387&lt;&gt;"",N(P387)&gt;0),IFERROR(MATCH(A387,$R$12:$R$25,0),99)*1000+ROW(),"")</f>
      </c>
      <c r="AF387" s="133">
        <f>IF(AE387="","",COUNTIF($AE$4:$AE$500,"&lt;="&amp;AE387))</f>
      </c>
    </row>
    <row r="388">
      <c r="A388" s="265"/>
      <c r="B388" s="265"/>
      <c r="C388" s="265"/>
      <c r="D388" s="265"/>
      <c r="E388" s="265"/>
      <c r="F388" s="265"/>
      <c r="G388" s="265"/>
      <c r="H388" s="265"/>
      <c r="I388" s="265"/>
      <c r="J388" s="265"/>
      <c r="K388" s="265"/>
      <c r="L388" s="265"/>
      <c r="M388" s="265"/>
      <c r="N388" s="133">
        <f>IF(OR(A388="Автомат",A388="Дифавтомат"),IF(W388="","",COUNTIF(Однолинейка!$H$3:$H$1000,U388)),IF(A388="Аппарат",IF(C388="","",COUNTIF(Однолинейка!$I$3:$I$1000,C388)+COUNTIF(Однолинейка!$J$3:$J$1000,C388)+COUNTIF(Однолинейка!$K$3:$K$1000,C388)),IF(A388="Модуль",IF(C388="","",COUNTIFS(Однолинейка!$AW$3:$AW$1000,"?*",Однолинейка!$AI$3:$AI$1000,C388)),IF(A388="Клемма",IF(C388="","",IF(C388=$S$7,SUM(Однолинейка!$BW$3:$BW$1000),IF(C388=$S$8,SUM(Однолинейка!$BX$3:$BX$1000),""))),""))))</f>
      </c>
      <c r="O388" s="265"/>
      <c r="P388" s="133">
        <f>IF(COUNT(N388,O388)=0,"",SUM(N388,O388))</f>
      </c>
      <c r="U388" s="133">
        <f>IF(OR(A388="Автомат",A388="Дифавтомат"),I388&amp;" С"&amp;J388&amp;"А"&amp;IF(K388="да"," 30мА",""),"")</f>
      </c>
      <c r="V388" s="133">
        <f>IF(U388="","",B388&amp;"|"&amp;U388)</f>
      </c>
      <c r="W388" s="133">
        <f>IF(AND(U388&lt;&gt;"",OR($S$4="(все)",B388=$S$4),IF($S$4="(все)",COUNTIF($U$4:U388,U388),COUNTIFS($U$4:U388,U388,$B$4:B388,B388))=1),MAX($W$3:W387)+1,"")</f>
      </c>
      <c r="X388" s="133">
        <f>IFERROR(INDEX($U$4:$U$500,MATCH(ROW()-3,$W$4:$W$500,0)),"")</f>
      </c>
      <c r="Y388" s="133">
        <f>IF(AND(A388="Аппарат",C388&lt;&gt;"",OR($S$5="(все)",B388=$S$5)),MAX($Y$3:Y387)+1,"")</f>
      </c>
      <c r="Z388" s="133">
        <f>IFERROR(INDEX($C$4:$C$500,MATCH(ROW()-3,$Y$4:$Y$500,0)),"")</f>
      </c>
      <c r="AA388" s="133">
        <f>IF(AND(A388="Модуль",C388&lt;&gt;"",OR($S$6="(все)",B388=$S$6)),MAX($AA$3:AA387)+1,"")</f>
      </c>
      <c r="AB388" s="133">
        <f>IFERROR(INDEX($C$4:$C$500,MATCH(ROW()-3,$AA$4:$AA$500,0)),"")</f>
      </c>
      <c r="AC388" s="133">
        <f>IF(OR(B388="",COUNTIF($B$4:B388,B388)&gt;1),"",MAX($AC$3:AC387)+1)</f>
      </c>
      <c r="AD388" s="133">
        <f>IFERROR(INDEX($B$4:$B$500,MATCH(ROW()-3,$AC$4:$AC$500,0)),"")</f>
      </c>
      <c r="AE388" s="133">
        <f>IF(AND(A388&lt;&gt;"",N(P388)&gt;0),IFERROR(MATCH(A388,$R$12:$R$25,0),99)*1000+ROW(),"")</f>
      </c>
      <c r="AF388" s="133">
        <f>IF(AE388="","",COUNTIF($AE$4:$AE$500,"&lt;="&amp;AE388))</f>
      </c>
    </row>
    <row r="389">
      <c r="A389" s="265"/>
      <c r="B389" s="265"/>
      <c r="C389" s="265"/>
      <c r="D389" s="265"/>
      <c r="E389" s="265"/>
      <c r="F389" s="265"/>
      <c r="G389" s="265"/>
      <c r="H389" s="265"/>
      <c r="I389" s="265"/>
      <c r="J389" s="265"/>
      <c r="K389" s="265"/>
      <c r="L389" s="265"/>
      <c r="M389" s="265"/>
      <c r="N389" s="133">
        <f>IF(OR(A389="Автомат",A389="Дифавтомат"),IF(W389="","",COUNTIF(Однолинейка!$H$3:$H$1000,U389)),IF(A389="Аппарат",IF(C389="","",COUNTIF(Однолинейка!$I$3:$I$1000,C389)+COUNTIF(Однолинейка!$J$3:$J$1000,C389)+COUNTIF(Однолинейка!$K$3:$K$1000,C389)),IF(A389="Модуль",IF(C389="","",COUNTIFS(Однолинейка!$AW$3:$AW$1000,"?*",Однолинейка!$AI$3:$AI$1000,C389)),IF(A389="Клемма",IF(C389="","",IF(C389=$S$7,SUM(Однолинейка!$BW$3:$BW$1000),IF(C389=$S$8,SUM(Однолинейка!$BX$3:$BX$1000),""))),""))))</f>
      </c>
      <c r="O389" s="265"/>
      <c r="P389" s="133">
        <f>IF(COUNT(N389,O389)=0,"",SUM(N389,O389))</f>
      </c>
      <c r="U389" s="133">
        <f>IF(OR(A389="Автомат",A389="Дифавтомат"),I389&amp;" С"&amp;J389&amp;"А"&amp;IF(K389="да"," 30мА",""),"")</f>
      </c>
      <c r="V389" s="133">
        <f>IF(U389="","",B389&amp;"|"&amp;U389)</f>
      </c>
      <c r="W389" s="133">
        <f>IF(AND(U389&lt;&gt;"",OR($S$4="(все)",B389=$S$4),IF($S$4="(все)",COUNTIF($U$4:U389,U389),COUNTIFS($U$4:U389,U389,$B$4:B389,B389))=1),MAX($W$3:W388)+1,"")</f>
      </c>
      <c r="X389" s="133">
        <f>IFERROR(INDEX($U$4:$U$500,MATCH(ROW()-3,$W$4:$W$500,0)),"")</f>
      </c>
      <c r="Y389" s="133">
        <f>IF(AND(A389="Аппарат",C389&lt;&gt;"",OR($S$5="(все)",B389=$S$5)),MAX($Y$3:Y388)+1,"")</f>
      </c>
      <c r="Z389" s="133">
        <f>IFERROR(INDEX($C$4:$C$500,MATCH(ROW()-3,$Y$4:$Y$500,0)),"")</f>
      </c>
      <c r="AA389" s="133">
        <f>IF(AND(A389="Модуль",C389&lt;&gt;"",OR($S$6="(все)",B389=$S$6)),MAX($AA$3:AA388)+1,"")</f>
      </c>
      <c r="AB389" s="133">
        <f>IFERROR(INDEX($C$4:$C$500,MATCH(ROW()-3,$AA$4:$AA$500,0)),"")</f>
      </c>
      <c r="AC389" s="133">
        <f>IF(OR(B389="",COUNTIF($B$4:B389,B389)&gt;1),"",MAX($AC$3:AC388)+1)</f>
      </c>
      <c r="AD389" s="133">
        <f>IFERROR(INDEX($B$4:$B$500,MATCH(ROW()-3,$AC$4:$AC$500,0)),"")</f>
      </c>
      <c r="AE389" s="133">
        <f>IF(AND(A389&lt;&gt;"",N(P389)&gt;0),IFERROR(MATCH(A389,$R$12:$R$25,0),99)*1000+ROW(),"")</f>
      </c>
      <c r="AF389" s="133">
        <f>IF(AE389="","",COUNTIF($AE$4:$AE$500,"&lt;="&amp;AE389))</f>
      </c>
    </row>
    <row r="390">
      <c r="A390" s="265"/>
      <c r="B390" s="265"/>
      <c r="C390" s="265"/>
      <c r="D390" s="265"/>
      <c r="E390" s="265"/>
      <c r="F390" s="265"/>
      <c r="G390" s="265"/>
      <c r="H390" s="265"/>
      <c r="I390" s="265"/>
      <c r="J390" s="265"/>
      <c r="K390" s="265"/>
      <c r="L390" s="265"/>
      <c r="M390" s="265"/>
      <c r="N390" s="133">
        <f>IF(OR(A390="Автомат",A390="Дифавтомат"),IF(W390="","",COUNTIF(Однолинейка!$H$3:$H$1000,U390)),IF(A390="Аппарат",IF(C390="","",COUNTIF(Однолинейка!$I$3:$I$1000,C390)+COUNTIF(Однолинейка!$J$3:$J$1000,C390)+COUNTIF(Однолинейка!$K$3:$K$1000,C390)),IF(A390="Модуль",IF(C390="","",COUNTIFS(Однолинейка!$AW$3:$AW$1000,"?*",Однолинейка!$AI$3:$AI$1000,C390)),IF(A390="Клемма",IF(C390="","",IF(C390=$S$7,SUM(Однолинейка!$BW$3:$BW$1000),IF(C390=$S$8,SUM(Однолинейка!$BX$3:$BX$1000),""))),""))))</f>
      </c>
      <c r="O390" s="265"/>
      <c r="P390" s="133">
        <f>IF(COUNT(N390,O390)=0,"",SUM(N390,O390))</f>
      </c>
      <c r="U390" s="133">
        <f>IF(OR(A390="Автомат",A390="Дифавтомат"),I390&amp;" С"&amp;J390&amp;"А"&amp;IF(K390="да"," 30мА",""),"")</f>
      </c>
      <c r="V390" s="133">
        <f>IF(U390="","",B390&amp;"|"&amp;U390)</f>
      </c>
      <c r="W390" s="133">
        <f>IF(AND(U390&lt;&gt;"",OR($S$4="(все)",B390=$S$4),IF($S$4="(все)",COUNTIF($U$4:U390,U390),COUNTIFS($U$4:U390,U390,$B$4:B390,B390))=1),MAX($W$3:W389)+1,"")</f>
      </c>
      <c r="X390" s="133">
        <f>IFERROR(INDEX($U$4:$U$500,MATCH(ROW()-3,$W$4:$W$500,0)),"")</f>
      </c>
      <c r="Y390" s="133">
        <f>IF(AND(A390="Аппарат",C390&lt;&gt;"",OR($S$5="(все)",B390=$S$5)),MAX($Y$3:Y389)+1,"")</f>
      </c>
      <c r="Z390" s="133">
        <f>IFERROR(INDEX($C$4:$C$500,MATCH(ROW()-3,$Y$4:$Y$500,0)),"")</f>
      </c>
      <c r="AA390" s="133">
        <f>IF(AND(A390="Модуль",C390&lt;&gt;"",OR($S$6="(все)",B390=$S$6)),MAX($AA$3:AA389)+1,"")</f>
      </c>
      <c r="AB390" s="133">
        <f>IFERROR(INDEX($C$4:$C$500,MATCH(ROW()-3,$AA$4:$AA$500,0)),"")</f>
      </c>
      <c r="AC390" s="133">
        <f>IF(OR(B390="",COUNTIF($B$4:B390,B390)&gt;1),"",MAX($AC$3:AC389)+1)</f>
      </c>
      <c r="AD390" s="133">
        <f>IFERROR(INDEX($B$4:$B$500,MATCH(ROW()-3,$AC$4:$AC$500,0)),"")</f>
      </c>
      <c r="AE390" s="133">
        <f>IF(AND(A390&lt;&gt;"",N(P390)&gt;0),IFERROR(MATCH(A390,$R$12:$R$25,0),99)*1000+ROW(),"")</f>
      </c>
      <c r="AF390" s="133">
        <f>IF(AE390="","",COUNTIF($AE$4:$AE$500,"&lt;="&amp;AE390))</f>
      </c>
    </row>
    <row r="391">
      <c r="A391" s="265"/>
      <c r="B391" s="265"/>
      <c r="C391" s="265"/>
      <c r="D391" s="265"/>
      <c r="E391" s="265"/>
      <c r="F391" s="265"/>
      <c r="G391" s="265"/>
      <c r="H391" s="265"/>
      <c r="I391" s="265"/>
      <c r="J391" s="265"/>
      <c r="K391" s="265"/>
      <c r="L391" s="265"/>
      <c r="M391" s="265"/>
      <c r="N391" s="133">
        <f>IF(OR(A391="Автомат",A391="Дифавтомат"),IF(W391="","",COUNTIF(Однолинейка!$H$3:$H$1000,U391)),IF(A391="Аппарат",IF(C391="","",COUNTIF(Однолинейка!$I$3:$I$1000,C391)+COUNTIF(Однолинейка!$J$3:$J$1000,C391)+COUNTIF(Однолинейка!$K$3:$K$1000,C391)),IF(A391="Модуль",IF(C391="","",COUNTIFS(Однолинейка!$AW$3:$AW$1000,"?*",Однолинейка!$AI$3:$AI$1000,C391)),IF(A391="Клемма",IF(C391="","",IF(C391=$S$7,SUM(Однолинейка!$BW$3:$BW$1000),IF(C391=$S$8,SUM(Однолинейка!$BX$3:$BX$1000),""))),""))))</f>
      </c>
      <c r="O391" s="265"/>
      <c r="P391" s="133">
        <f>IF(COUNT(N391,O391)=0,"",SUM(N391,O391))</f>
      </c>
      <c r="U391" s="133">
        <f>IF(OR(A391="Автомат",A391="Дифавтомат"),I391&amp;" С"&amp;J391&amp;"А"&amp;IF(K391="да"," 30мА",""),"")</f>
      </c>
      <c r="V391" s="133">
        <f>IF(U391="","",B391&amp;"|"&amp;U391)</f>
      </c>
      <c r="W391" s="133">
        <f>IF(AND(U391&lt;&gt;"",OR($S$4="(все)",B391=$S$4),IF($S$4="(все)",COUNTIF($U$4:U391,U391),COUNTIFS($U$4:U391,U391,$B$4:B391,B391))=1),MAX($W$3:W390)+1,"")</f>
      </c>
      <c r="X391" s="133">
        <f>IFERROR(INDEX($U$4:$U$500,MATCH(ROW()-3,$W$4:$W$500,0)),"")</f>
      </c>
      <c r="Y391" s="133">
        <f>IF(AND(A391="Аппарат",C391&lt;&gt;"",OR($S$5="(все)",B391=$S$5)),MAX($Y$3:Y390)+1,"")</f>
      </c>
      <c r="Z391" s="133">
        <f>IFERROR(INDEX($C$4:$C$500,MATCH(ROW()-3,$Y$4:$Y$500,0)),"")</f>
      </c>
      <c r="AA391" s="133">
        <f>IF(AND(A391="Модуль",C391&lt;&gt;"",OR($S$6="(все)",B391=$S$6)),MAX($AA$3:AA390)+1,"")</f>
      </c>
      <c r="AB391" s="133">
        <f>IFERROR(INDEX($C$4:$C$500,MATCH(ROW()-3,$AA$4:$AA$500,0)),"")</f>
      </c>
      <c r="AC391" s="133">
        <f>IF(OR(B391="",COUNTIF($B$4:B391,B391)&gt;1),"",MAX($AC$3:AC390)+1)</f>
      </c>
      <c r="AD391" s="133">
        <f>IFERROR(INDEX($B$4:$B$500,MATCH(ROW()-3,$AC$4:$AC$500,0)),"")</f>
      </c>
      <c r="AE391" s="133">
        <f>IF(AND(A391&lt;&gt;"",N(P391)&gt;0),IFERROR(MATCH(A391,$R$12:$R$25,0),99)*1000+ROW(),"")</f>
      </c>
      <c r="AF391" s="133">
        <f>IF(AE391="","",COUNTIF($AE$4:$AE$500,"&lt;="&amp;AE391))</f>
      </c>
    </row>
    <row r="392">
      <c r="A392" s="265"/>
      <c r="B392" s="265"/>
      <c r="C392" s="265"/>
      <c r="D392" s="265"/>
      <c r="E392" s="265"/>
      <c r="F392" s="265"/>
      <c r="G392" s="265"/>
      <c r="H392" s="265"/>
      <c r="I392" s="265"/>
      <c r="J392" s="265"/>
      <c r="K392" s="265"/>
      <c r="L392" s="265"/>
      <c r="M392" s="265"/>
      <c r="N392" s="133">
        <f>IF(OR(A392="Автомат",A392="Дифавтомат"),IF(W392="","",COUNTIF(Однолинейка!$H$3:$H$1000,U392)),IF(A392="Аппарат",IF(C392="","",COUNTIF(Однолинейка!$I$3:$I$1000,C392)+COUNTIF(Однолинейка!$J$3:$J$1000,C392)+COUNTIF(Однолинейка!$K$3:$K$1000,C392)),IF(A392="Модуль",IF(C392="","",COUNTIFS(Однолинейка!$AW$3:$AW$1000,"?*",Однолинейка!$AI$3:$AI$1000,C392)),IF(A392="Клемма",IF(C392="","",IF(C392=$S$7,SUM(Однолинейка!$BW$3:$BW$1000),IF(C392=$S$8,SUM(Однолинейка!$BX$3:$BX$1000),""))),""))))</f>
      </c>
      <c r="O392" s="265"/>
      <c r="P392" s="133">
        <f>IF(COUNT(N392,O392)=0,"",SUM(N392,O392))</f>
      </c>
      <c r="U392" s="133">
        <f>IF(OR(A392="Автомат",A392="Дифавтомат"),I392&amp;" С"&amp;J392&amp;"А"&amp;IF(K392="да"," 30мА",""),"")</f>
      </c>
      <c r="V392" s="133">
        <f>IF(U392="","",B392&amp;"|"&amp;U392)</f>
      </c>
      <c r="W392" s="133">
        <f>IF(AND(U392&lt;&gt;"",OR($S$4="(все)",B392=$S$4),IF($S$4="(все)",COUNTIF($U$4:U392,U392),COUNTIFS($U$4:U392,U392,$B$4:B392,B392))=1),MAX($W$3:W391)+1,"")</f>
      </c>
      <c r="X392" s="133">
        <f>IFERROR(INDEX($U$4:$U$500,MATCH(ROW()-3,$W$4:$W$500,0)),"")</f>
      </c>
      <c r="Y392" s="133">
        <f>IF(AND(A392="Аппарат",C392&lt;&gt;"",OR($S$5="(все)",B392=$S$5)),MAX($Y$3:Y391)+1,"")</f>
      </c>
      <c r="Z392" s="133">
        <f>IFERROR(INDEX($C$4:$C$500,MATCH(ROW()-3,$Y$4:$Y$500,0)),"")</f>
      </c>
      <c r="AA392" s="133">
        <f>IF(AND(A392="Модуль",C392&lt;&gt;"",OR($S$6="(все)",B392=$S$6)),MAX($AA$3:AA391)+1,"")</f>
      </c>
      <c r="AB392" s="133">
        <f>IFERROR(INDEX($C$4:$C$500,MATCH(ROW()-3,$AA$4:$AA$500,0)),"")</f>
      </c>
      <c r="AC392" s="133">
        <f>IF(OR(B392="",COUNTIF($B$4:B392,B392)&gt;1),"",MAX($AC$3:AC391)+1)</f>
      </c>
      <c r="AD392" s="133">
        <f>IFERROR(INDEX($B$4:$B$500,MATCH(ROW()-3,$AC$4:$AC$500,0)),"")</f>
      </c>
      <c r="AE392" s="133">
        <f>IF(AND(A392&lt;&gt;"",N(P392)&gt;0),IFERROR(MATCH(A392,$R$12:$R$25,0),99)*1000+ROW(),"")</f>
      </c>
      <c r="AF392" s="133">
        <f>IF(AE392="","",COUNTIF($AE$4:$AE$500,"&lt;="&amp;AE392))</f>
      </c>
    </row>
    <row r="393">
      <c r="A393" s="265"/>
      <c r="B393" s="265"/>
      <c r="C393" s="265"/>
      <c r="D393" s="265"/>
      <c r="E393" s="265"/>
      <c r="F393" s="265"/>
      <c r="G393" s="265"/>
      <c r="H393" s="265"/>
      <c r="I393" s="265"/>
      <c r="J393" s="265"/>
      <c r="K393" s="265"/>
      <c r="L393" s="265"/>
      <c r="M393" s="265"/>
      <c r="N393" s="133">
        <f>IF(OR(A393="Автомат",A393="Дифавтомат"),IF(W393="","",COUNTIF(Однолинейка!$H$3:$H$1000,U393)),IF(A393="Аппарат",IF(C393="","",COUNTIF(Однолинейка!$I$3:$I$1000,C393)+COUNTIF(Однолинейка!$J$3:$J$1000,C393)+COUNTIF(Однолинейка!$K$3:$K$1000,C393)),IF(A393="Модуль",IF(C393="","",COUNTIFS(Однолинейка!$AW$3:$AW$1000,"?*",Однолинейка!$AI$3:$AI$1000,C393)),IF(A393="Клемма",IF(C393="","",IF(C393=$S$7,SUM(Однолинейка!$BW$3:$BW$1000),IF(C393=$S$8,SUM(Однолинейка!$BX$3:$BX$1000),""))),""))))</f>
      </c>
      <c r="O393" s="265"/>
      <c r="P393" s="133">
        <f>IF(COUNT(N393,O393)=0,"",SUM(N393,O393))</f>
      </c>
      <c r="U393" s="133">
        <f>IF(OR(A393="Автомат",A393="Дифавтомат"),I393&amp;" С"&amp;J393&amp;"А"&amp;IF(K393="да"," 30мА",""),"")</f>
      </c>
      <c r="V393" s="133">
        <f>IF(U393="","",B393&amp;"|"&amp;U393)</f>
      </c>
      <c r="W393" s="133">
        <f>IF(AND(U393&lt;&gt;"",OR($S$4="(все)",B393=$S$4),IF($S$4="(все)",COUNTIF($U$4:U393,U393),COUNTIFS($U$4:U393,U393,$B$4:B393,B393))=1),MAX($W$3:W392)+1,"")</f>
      </c>
      <c r="X393" s="133">
        <f>IFERROR(INDEX($U$4:$U$500,MATCH(ROW()-3,$W$4:$W$500,0)),"")</f>
      </c>
      <c r="Y393" s="133">
        <f>IF(AND(A393="Аппарат",C393&lt;&gt;"",OR($S$5="(все)",B393=$S$5)),MAX($Y$3:Y392)+1,"")</f>
      </c>
      <c r="Z393" s="133">
        <f>IFERROR(INDEX($C$4:$C$500,MATCH(ROW()-3,$Y$4:$Y$500,0)),"")</f>
      </c>
      <c r="AA393" s="133">
        <f>IF(AND(A393="Модуль",C393&lt;&gt;"",OR($S$6="(все)",B393=$S$6)),MAX($AA$3:AA392)+1,"")</f>
      </c>
      <c r="AB393" s="133">
        <f>IFERROR(INDEX($C$4:$C$500,MATCH(ROW()-3,$AA$4:$AA$500,0)),"")</f>
      </c>
      <c r="AC393" s="133">
        <f>IF(OR(B393="",COUNTIF($B$4:B393,B393)&gt;1),"",MAX($AC$3:AC392)+1)</f>
      </c>
      <c r="AD393" s="133">
        <f>IFERROR(INDEX($B$4:$B$500,MATCH(ROW()-3,$AC$4:$AC$500,0)),"")</f>
      </c>
      <c r="AE393" s="133">
        <f>IF(AND(A393&lt;&gt;"",N(P393)&gt;0),IFERROR(MATCH(A393,$R$12:$R$25,0),99)*1000+ROW(),"")</f>
      </c>
      <c r="AF393" s="133">
        <f>IF(AE393="","",COUNTIF($AE$4:$AE$500,"&lt;="&amp;AE393))</f>
      </c>
    </row>
    <row r="394">
      <c r="A394" s="265"/>
      <c r="B394" s="265"/>
      <c r="C394" s="265"/>
      <c r="D394" s="265"/>
      <c r="E394" s="265"/>
      <c r="F394" s="265"/>
      <c r="G394" s="265"/>
      <c r="H394" s="265"/>
      <c r="I394" s="265"/>
      <c r="J394" s="265"/>
      <c r="K394" s="265"/>
      <c r="L394" s="265"/>
      <c r="M394" s="265"/>
      <c r="N394" s="133">
        <f>IF(OR(A394="Автомат",A394="Дифавтомат"),IF(W394="","",COUNTIF(Однолинейка!$H$3:$H$1000,U394)),IF(A394="Аппарат",IF(C394="","",COUNTIF(Однолинейка!$I$3:$I$1000,C394)+COUNTIF(Однолинейка!$J$3:$J$1000,C394)+COUNTIF(Однолинейка!$K$3:$K$1000,C394)),IF(A394="Модуль",IF(C394="","",COUNTIFS(Однолинейка!$AW$3:$AW$1000,"?*",Однолинейка!$AI$3:$AI$1000,C394)),IF(A394="Клемма",IF(C394="","",IF(C394=$S$7,SUM(Однолинейка!$BW$3:$BW$1000),IF(C394=$S$8,SUM(Однолинейка!$BX$3:$BX$1000),""))),""))))</f>
      </c>
      <c r="O394" s="265"/>
      <c r="P394" s="133">
        <f>IF(COUNT(N394,O394)=0,"",SUM(N394,O394))</f>
      </c>
      <c r="U394" s="133">
        <f>IF(OR(A394="Автомат",A394="Дифавтомат"),I394&amp;" С"&amp;J394&amp;"А"&amp;IF(K394="да"," 30мА",""),"")</f>
      </c>
      <c r="V394" s="133">
        <f>IF(U394="","",B394&amp;"|"&amp;U394)</f>
      </c>
      <c r="W394" s="133">
        <f>IF(AND(U394&lt;&gt;"",OR($S$4="(все)",B394=$S$4),IF($S$4="(все)",COUNTIF($U$4:U394,U394),COUNTIFS($U$4:U394,U394,$B$4:B394,B394))=1),MAX($W$3:W393)+1,"")</f>
      </c>
      <c r="X394" s="133">
        <f>IFERROR(INDEX($U$4:$U$500,MATCH(ROW()-3,$W$4:$W$500,0)),"")</f>
      </c>
      <c r="Y394" s="133">
        <f>IF(AND(A394="Аппарат",C394&lt;&gt;"",OR($S$5="(все)",B394=$S$5)),MAX($Y$3:Y393)+1,"")</f>
      </c>
      <c r="Z394" s="133">
        <f>IFERROR(INDEX($C$4:$C$500,MATCH(ROW()-3,$Y$4:$Y$500,0)),"")</f>
      </c>
      <c r="AA394" s="133">
        <f>IF(AND(A394="Модуль",C394&lt;&gt;"",OR($S$6="(все)",B394=$S$6)),MAX($AA$3:AA393)+1,"")</f>
      </c>
      <c r="AB394" s="133">
        <f>IFERROR(INDEX($C$4:$C$500,MATCH(ROW()-3,$AA$4:$AA$500,0)),"")</f>
      </c>
      <c r="AC394" s="133">
        <f>IF(OR(B394="",COUNTIF($B$4:B394,B394)&gt;1),"",MAX($AC$3:AC393)+1)</f>
      </c>
      <c r="AD394" s="133">
        <f>IFERROR(INDEX($B$4:$B$500,MATCH(ROW()-3,$AC$4:$AC$500,0)),"")</f>
      </c>
      <c r="AE394" s="133">
        <f>IF(AND(A394&lt;&gt;"",N(P394)&gt;0),IFERROR(MATCH(A394,$R$12:$R$25,0),99)*1000+ROW(),"")</f>
      </c>
      <c r="AF394" s="133">
        <f>IF(AE394="","",COUNTIF($AE$4:$AE$500,"&lt;="&amp;AE394))</f>
      </c>
    </row>
    <row r="395">
      <c r="A395" s="265"/>
      <c r="B395" s="265"/>
      <c r="C395" s="265"/>
      <c r="D395" s="265"/>
      <c r="E395" s="265"/>
      <c r="F395" s="265"/>
      <c r="G395" s="265"/>
      <c r="H395" s="265"/>
      <c r="I395" s="265"/>
      <c r="J395" s="265"/>
      <c r="K395" s="265"/>
      <c r="L395" s="265"/>
      <c r="M395" s="265"/>
      <c r="N395" s="133">
        <f>IF(OR(A395="Автомат",A395="Дифавтомат"),IF(W395="","",COUNTIF(Однолинейка!$H$3:$H$1000,U395)),IF(A395="Аппарат",IF(C395="","",COUNTIF(Однолинейка!$I$3:$I$1000,C395)+COUNTIF(Однолинейка!$J$3:$J$1000,C395)+COUNTIF(Однолинейка!$K$3:$K$1000,C395)),IF(A395="Модуль",IF(C395="","",COUNTIFS(Однолинейка!$AW$3:$AW$1000,"?*",Однолинейка!$AI$3:$AI$1000,C395)),IF(A395="Клемма",IF(C395="","",IF(C395=$S$7,SUM(Однолинейка!$BW$3:$BW$1000),IF(C395=$S$8,SUM(Однолинейка!$BX$3:$BX$1000),""))),""))))</f>
      </c>
      <c r="O395" s="265"/>
      <c r="P395" s="133">
        <f>IF(COUNT(N395,O395)=0,"",SUM(N395,O395))</f>
      </c>
      <c r="U395" s="133">
        <f>IF(OR(A395="Автомат",A395="Дифавтомат"),I395&amp;" С"&amp;J395&amp;"А"&amp;IF(K395="да"," 30мА",""),"")</f>
      </c>
      <c r="V395" s="133">
        <f>IF(U395="","",B395&amp;"|"&amp;U395)</f>
      </c>
      <c r="W395" s="133">
        <f>IF(AND(U395&lt;&gt;"",OR($S$4="(все)",B395=$S$4),IF($S$4="(все)",COUNTIF($U$4:U395,U395),COUNTIFS($U$4:U395,U395,$B$4:B395,B395))=1),MAX($W$3:W394)+1,"")</f>
      </c>
      <c r="X395" s="133">
        <f>IFERROR(INDEX($U$4:$U$500,MATCH(ROW()-3,$W$4:$W$500,0)),"")</f>
      </c>
      <c r="Y395" s="133">
        <f>IF(AND(A395="Аппарат",C395&lt;&gt;"",OR($S$5="(все)",B395=$S$5)),MAX($Y$3:Y394)+1,"")</f>
      </c>
      <c r="Z395" s="133">
        <f>IFERROR(INDEX($C$4:$C$500,MATCH(ROW()-3,$Y$4:$Y$500,0)),"")</f>
      </c>
      <c r="AA395" s="133">
        <f>IF(AND(A395="Модуль",C395&lt;&gt;"",OR($S$6="(все)",B395=$S$6)),MAX($AA$3:AA394)+1,"")</f>
      </c>
      <c r="AB395" s="133">
        <f>IFERROR(INDEX($C$4:$C$500,MATCH(ROW()-3,$AA$4:$AA$500,0)),"")</f>
      </c>
      <c r="AC395" s="133">
        <f>IF(OR(B395="",COUNTIF($B$4:B395,B395)&gt;1),"",MAX($AC$3:AC394)+1)</f>
      </c>
      <c r="AD395" s="133">
        <f>IFERROR(INDEX($B$4:$B$500,MATCH(ROW()-3,$AC$4:$AC$500,0)),"")</f>
      </c>
      <c r="AE395" s="133">
        <f>IF(AND(A395&lt;&gt;"",N(P395)&gt;0),IFERROR(MATCH(A395,$R$12:$R$25,0),99)*1000+ROW(),"")</f>
      </c>
      <c r="AF395" s="133">
        <f>IF(AE395="","",COUNTIF($AE$4:$AE$500,"&lt;="&amp;AE395))</f>
      </c>
    </row>
    <row r="396">
      <c r="A396" s="265"/>
      <c r="B396" s="265"/>
      <c r="C396" s="265"/>
      <c r="D396" s="265"/>
      <c r="E396" s="265"/>
      <c r="F396" s="265"/>
      <c r="G396" s="265"/>
      <c r="H396" s="265"/>
      <c r="I396" s="265"/>
      <c r="J396" s="265"/>
      <c r="K396" s="265"/>
      <c r="L396" s="265"/>
      <c r="M396" s="265"/>
      <c r="N396" s="133">
        <f>IF(OR(A396="Автомат",A396="Дифавтомат"),IF(W396="","",COUNTIF(Однолинейка!$H$3:$H$1000,U396)),IF(A396="Аппарат",IF(C396="","",COUNTIF(Однолинейка!$I$3:$I$1000,C396)+COUNTIF(Однолинейка!$J$3:$J$1000,C396)+COUNTIF(Однолинейка!$K$3:$K$1000,C396)),IF(A396="Модуль",IF(C396="","",COUNTIFS(Однолинейка!$AW$3:$AW$1000,"?*",Однолинейка!$AI$3:$AI$1000,C396)),IF(A396="Клемма",IF(C396="","",IF(C396=$S$7,SUM(Однолинейка!$BW$3:$BW$1000),IF(C396=$S$8,SUM(Однолинейка!$BX$3:$BX$1000),""))),""))))</f>
      </c>
      <c r="O396" s="265"/>
      <c r="P396" s="133">
        <f>IF(COUNT(N396,O396)=0,"",SUM(N396,O396))</f>
      </c>
      <c r="U396" s="133">
        <f>IF(OR(A396="Автомат",A396="Дифавтомат"),I396&amp;" С"&amp;J396&amp;"А"&amp;IF(K396="да"," 30мА",""),"")</f>
      </c>
      <c r="V396" s="133">
        <f>IF(U396="","",B396&amp;"|"&amp;U396)</f>
      </c>
      <c r="W396" s="133">
        <f>IF(AND(U396&lt;&gt;"",OR($S$4="(все)",B396=$S$4),IF($S$4="(все)",COUNTIF($U$4:U396,U396),COUNTIFS($U$4:U396,U396,$B$4:B396,B396))=1),MAX($W$3:W395)+1,"")</f>
      </c>
      <c r="X396" s="133">
        <f>IFERROR(INDEX($U$4:$U$500,MATCH(ROW()-3,$W$4:$W$500,0)),"")</f>
      </c>
      <c r="Y396" s="133">
        <f>IF(AND(A396="Аппарат",C396&lt;&gt;"",OR($S$5="(все)",B396=$S$5)),MAX($Y$3:Y395)+1,"")</f>
      </c>
      <c r="Z396" s="133">
        <f>IFERROR(INDEX($C$4:$C$500,MATCH(ROW()-3,$Y$4:$Y$500,0)),"")</f>
      </c>
      <c r="AA396" s="133">
        <f>IF(AND(A396="Модуль",C396&lt;&gt;"",OR($S$6="(все)",B396=$S$6)),MAX($AA$3:AA395)+1,"")</f>
      </c>
      <c r="AB396" s="133">
        <f>IFERROR(INDEX($C$4:$C$500,MATCH(ROW()-3,$AA$4:$AA$500,0)),"")</f>
      </c>
      <c r="AC396" s="133">
        <f>IF(OR(B396="",COUNTIF($B$4:B396,B396)&gt;1),"",MAX($AC$3:AC395)+1)</f>
      </c>
      <c r="AD396" s="133">
        <f>IFERROR(INDEX($B$4:$B$500,MATCH(ROW()-3,$AC$4:$AC$500,0)),"")</f>
      </c>
      <c r="AE396" s="133">
        <f>IF(AND(A396&lt;&gt;"",N(P396)&gt;0),IFERROR(MATCH(A396,$R$12:$R$25,0),99)*1000+ROW(),"")</f>
      </c>
      <c r="AF396" s="133">
        <f>IF(AE396="","",COUNTIF($AE$4:$AE$500,"&lt;="&amp;AE396))</f>
      </c>
    </row>
    <row r="397">
      <c r="A397" s="265"/>
      <c r="B397" s="265"/>
      <c r="C397" s="265"/>
      <c r="D397" s="265"/>
      <c r="E397" s="265"/>
      <c r="F397" s="265"/>
      <c r="G397" s="265"/>
      <c r="H397" s="265"/>
      <c r="I397" s="265"/>
      <c r="J397" s="265"/>
      <c r="K397" s="265"/>
      <c r="L397" s="265"/>
      <c r="M397" s="265"/>
      <c r="N397" s="133">
        <f>IF(OR(A397="Автомат",A397="Дифавтомат"),IF(W397="","",COUNTIF(Однолинейка!$H$3:$H$1000,U397)),IF(A397="Аппарат",IF(C397="","",COUNTIF(Однолинейка!$I$3:$I$1000,C397)+COUNTIF(Однолинейка!$J$3:$J$1000,C397)+COUNTIF(Однолинейка!$K$3:$K$1000,C397)),IF(A397="Модуль",IF(C397="","",COUNTIFS(Однолинейка!$AW$3:$AW$1000,"?*",Однолинейка!$AI$3:$AI$1000,C397)),IF(A397="Клемма",IF(C397="","",IF(C397=$S$7,SUM(Однолинейка!$BW$3:$BW$1000),IF(C397=$S$8,SUM(Однолинейка!$BX$3:$BX$1000),""))),""))))</f>
      </c>
      <c r="O397" s="265"/>
      <c r="P397" s="133">
        <f>IF(COUNT(N397,O397)=0,"",SUM(N397,O397))</f>
      </c>
      <c r="U397" s="133">
        <f>IF(OR(A397="Автомат",A397="Дифавтомат"),I397&amp;" С"&amp;J397&amp;"А"&amp;IF(K397="да"," 30мА",""),"")</f>
      </c>
      <c r="V397" s="133">
        <f>IF(U397="","",B397&amp;"|"&amp;U397)</f>
      </c>
      <c r="W397" s="133">
        <f>IF(AND(U397&lt;&gt;"",OR($S$4="(все)",B397=$S$4),IF($S$4="(все)",COUNTIF($U$4:U397,U397),COUNTIFS($U$4:U397,U397,$B$4:B397,B397))=1),MAX($W$3:W396)+1,"")</f>
      </c>
      <c r="X397" s="133">
        <f>IFERROR(INDEX($U$4:$U$500,MATCH(ROW()-3,$W$4:$W$500,0)),"")</f>
      </c>
      <c r="Y397" s="133">
        <f>IF(AND(A397="Аппарат",C397&lt;&gt;"",OR($S$5="(все)",B397=$S$5)),MAX($Y$3:Y396)+1,"")</f>
      </c>
      <c r="Z397" s="133">
        <f>IFERROR(INDEX($C$4:$C$500,MATCH(ROW()-3,$Y$4:$Y$500,0)),"")</f>
      </c>
      <c r="AA397" s="133">
        <f>IF(AND(A397="Модуль",C397&lt;&gt;"",OR($S$6="(все)",B397=$S$6)),MAX($AA$3:AA396)+1,"")</f>
      </c>
      <c r="AB397" s="133">
        <f>IFERROR(INDEX($C$4:$C$500,MATCH(ROW()-3,$AA$4:$AA$500,0)),"")</f>
      </c>
      <c r="AC397" s="133">
        <f>IF(OR(B397="",COUNTIF($B$4:B397,B397)&gt;1),"",MAX($AC$3:AC396)+1)</f>
      </c>
      <c r="AD397" s="133">
        <f>IFERROR(INDEX($B$4:$B$500,MATCH(ROW()-3,$AC$4:$AC$500,0)),"")</f>
      </c>
      <c r="AE397" s="133">
        <f>IF(AND(A397&lt;&gt;"",N(P397)&gt;0),IFERROR(MATCH(A397,$R$12:$R$25,0),99)*1000+ROW(),"")</f>
      </c>
      <c r="AF397" s="133">
        <f>IF(AE397="","",COUNTIF($AE$4:$AE$500,"&lt;="&amp;AE397))</f>
      </c>
    </row>
    <row r="398">
      <c r="A398" s="265"/>
      <c r="B398" s="265"/>
      <c r="C398" s="265"/>
      <c r="D398" s="265"/>
      <c r="E398" s="265"/>
      <c r="F398" s="265"/>
      <c r="G398" s="265"/>
      <c r="H398" s="265"/>
      <c r="I398" s="265"/>
      <c r="J398" s="265"/>
      <c r="K398" s="265"/>
      <c r="L398" s="265"/>
      <c r="M398" s="265"/>
      <c r="N398" s="133">
        <f>IF(OR(A398="Автомат",A398="Дифавтомат"),IF(W398="","",COUNTIF(Однолинейка!$H$3:$H$1000,U398)),IF(A398="Аппарат",IF(C398="","",COUNTIF(Однолинейка!$I$3:$I$1000,C398)+COUNTIF(Однолинейка!$J$3:$J$1000,C398)+COUNTIF(Однолинейка!$K$3:$K$1000,C398)),IF(A398="Модуль",IF(C398="","",COUNTIFS(Однолинейка!$AW$3:$AW$1000,"?*",Однолинейка!$AI$3:$AI$1000,C398)),IF(A398="Клемма",IF(C398="","",IF(C398=$S$7,SUM(Однолинейка!$BW$3:$BW$1000),IF(C398=$S$8,SUM(Однолинейка!$BX$3:$BX$1000),""))),""))))</f>
      </c>
      <c r="O398" s="265"/>
      <c r="P398" s="133">
        <f>IF(COUNT(N398,O398)=0,"",SUM(N398,O398))</f>
      </c>
      <c r="U398" s="133">
        <f>IF(OR(A398="Автомат",A398="Дифавтомат"),I398&amp;" С"&amp;J398&amp;"А"&amp;IF(K398="да"," 30мА",""),"")</f>
      </c>
      <c r="V398" s="133">
        <f>IF(U398="","",B398&amp;"|"&amp;U398)</f>
      </c>
      <c r="W398" s="133">
        <f>IF(AND(U398&lt;&gt;"",OR($S$4="(все)",B398=$S$4),IF($S$4="(все)",COUNTIF($U$4:U398,U398),COUNTIFS($U$4:U398,U398,$B$4:B398,B398))=1),MAX($W$3:W397)+1,"")</f>
      </c>
      <c r="X398" s="133">
        <f>IFERROR(INDEX($U$4:$U$500,MATCH(ROW()-3,$W$4:$W$500,0)),"")</f>
      </c>
      <c r="Y398" s="133">
        <f>IF(AND(A398="Аппарат",C398&lt;&gt;"",OR($S$5="(все)",B398=$S$5)),MAX($Y$3:Y397)+1,"")</f>
      </c>
      <c r="Z398" s="133">
        <f>IFERROR(INDEX($C$4:$C$500,MATCH(ROW()-3,$Y$4:$Y$500,0)),"")</f>
      </c>
      <c r="AA398" s="133">
        <f>IF(AND(A398="Модуль",C398&lt;&gt;"",OR($S$6="(все)",B398=$S$6)),MAX($AA$3:AA397)+1,"")</f>
      </c>
      <c r="AB398" s="133">
        <f>IFERROR(INDEX($C$4:$C$500,MATCH(ROW()-3,$AA$4:$AA$500,0)),"")</f>
      </c>
      <c r="AC398" s="133">
        <f>IF(OR(B398="",COUNTIF($B$4:B398,B398)&gt;1),"",MAX($AC$3:AC397)+1)</f>
      </c>
      <c r="AD398" s="133">
        <f>IFERROR(INDEX($B$4:$B$500,MATCH(ROW()-3,$AC$4:$AC$500,0)),"")</f>
      </c>
      <c r="AE398" s="133">
        <f>IF(AND(A398&lt;&gt;"",N(P398)&gt;0),IFERROR(MATCH(A398,$R$12:$R$25,0),99)*1000+ROW(),"")</f>
      </c>
      <c r="AF398" s="133">
        <f>IF(AE398="","",COUNTIF($AE$4:$AE$500,"&lt;="&amp;AE398))</f>
      </c>
    </row>
    <row r="399">
      <c r="A399" s="265"/>
      <c r="B399" s="265"/>
      <c r="C399" s="265"/>
      <c r="D399" s="265"/>
      <c r="E399" s="265"/>
      <c r="F399" s="265"/>
      <c r="G399" s="265"/>
      <c r="H399" s="265"/>
      <c r="I399" s="265"/>
      <c r="J399" s="265"/>
      <c r="K399" s="265"/>
      <c r="L399" s="265"/>
      <c r="M399" s="265"/>
      <c r="N399" s="133">
        <f>IF(OR(A399="Автомат",A399="Дифавтомат"),IF(W399="","",COUNTIF(Однолинейка!$H$3:$H$1000,U399)),IF(A399="Аппарат",IF(C399="","",COUNTIF(Однолинейка!$I$3:$I$1000,C399)+COUNTIF(Однолинейка!$J$3:$J$1000,C399)+COUNTIF(Однолинейка!$K$3:$K$1000,C399)),IF(A399="Модуль",IF(C399="","",COUNTIFS(Однолинейка!$AW$3:$AW$1000,"?*",Однолинейка!$AI$3:$AI$1000,C399)),IF(A399="Клемма",IF(C399="","",IF(C399=$S$7,SUM(Однолинейка!$BW$3:$BW$1000),IF(C399=$S$8,SUM(Однолинейка!$BX$3:$BX$1000),""))),""))))</f>
      </c>
      <c r="O399" s="265"/>
      <c r="P399" s="133">
        <f>IF(COUNT(N399,O399)=0,"",SUM(N399,O399))</f>
      </c>
      <c r="U399" s="133">
        <f>IF(OR(A399="Автомат",A399="Дифавтомат"),I399&amp;" С"&amp;J399&amp;"А"&amp;IF(K399="да"," 30мА",""),"")</f>
      </c>
      <c r="V399" s="133">
        <f>IF(U399="","",B399&amp;"|"&amp;U399)</f>
      </c>
      <c r="W399" s="133">
        <f>IF(AND(U399&lt;&gt;"",OR($S$4="(все)",B399=$S$4),IF($S$4="(все)",COUNTIF($U$4:U399,U399),COUNTIFS($U$4:U399,U399,$B$4:B399,B399))=1),MAX($W$3:W398)+1,"")</f>
      </c>
      <c r="X399" s="133">
        <f>IFERROR(INDEX($U$4:$U$500,MATCH(ROW()-3,$W$4:$W$500,0)),"")</f>
      </c>
      <c r="Y399" s="133">
        <f>IF(AND(A399="Аппарат",C399&lt;&gt;"",OR($S$5="(все)",B399=$S$5)),MAX($Y$3:Y398)+1,"")</f>
      </c>
      <c r="Z399" s="133">
        <f>IFERROR(INDEX($C$4:$C$500,MATCH(ROW()-3,$Y$4:$Y$500,0)),"")</f>
      </c>
      <c r="AA399" s="133">
        <f>IF(AND(A399="Модуль",C399&lt;&gt;"",OR($S$6="(все)",B399=$S$6)),MAX($AA$3:AA398)+1,"")</f>
      </c>
      <c r="AB399" s="133">
        <f>IFERROR(INDEX($C$4:$C$500,MATCH(ROW()-3,$AA$4:$AA$500,0)),"")</f>
      </c>
      <c r="AC399" s="133">
        <f>IF(OR(B399="",COUNTIF($B$4:B399,B399)&gt;1),"",MAX($AC$3:AC398)+1)</f>
      </c>
      <c r="AD399" s="133">
        <f>IFERROR(INDEX($B$4:$B$500,MATCH(ROW()-3,$AC$4:$AC$500,0)),"")</f>
      </c>
      <c r="AE399" s="133">
        <f>IF(AND(A399&lt;&gt;"",N(P399)&gt;0),IFERROR(MATCH(A399,$R$12:$R$25,0),99)*1000+ROW(),"")</f>
      </c>
      <c r="AF399" s="133">
        <f>IF(AE399="","",COUNTIF($AE$4:$AE$500,"&lt;="&amp;AE399))</f>
      </c>
    </row>
    <row r="400">
      <c r="A400" s="265"/>
      <c r="B400" s="265"/>
      <c r="C400" s="265"/>
      <c r="D400" s="265"/>
      <c r="E400" s="265"/>
      <c r="F400" s="265"/>
      <c r="G400" s="265"/>
      <c r="H400" s="265"/>
      <c r="I400" s="265"/>
      <c r="J400" s="265"/>
      <c r="K400" s="265"/>
      <c r="L400" s="265"/>
      <c r="M400" s="265"/>
      <c r="N400" s="133">
        <f>IF(OR(A400="Автомат",A400="Дифавтомат"),IF(W400="","",COUNTIF(Однолинейка!$H$3:$H$1000,U400)),IF(A400="Аппарат",IF(C400="","",COUNTIF(Однолинейка!$I$3:$I$1000,C400)+COUNTIF(Однолинейка!$J$3:$J$1000,C400)+COUNTIF(Однолинейка!$K$3:$K$1000,C400)),IF(A400="Модуль",IF(C400="","",COUNTIFS(Однолинейка!$AW$3:$AW$1000,"?*",Однолинейка!$AI$3:$AI$1000,C400)),IF(A400="Клемма",IF(C400="","",IF(C400=$S$7,SUM(Однолинейка!$BW$3:$BW$1000),IF(C400=$S$8,SUM(Однолинейка!$BX$3:$BX$1000),""))),""))))</f>
      </c>
      <c r="O400" s="265"/>
      <c r="P400" s="133">
        <f>IF(COUNT(N400,O400)=0,"",SUM(N400,O400))</f>
      </c>
      <c r="U400" s="133">
        <f>IF(OR(A400="Автомат",A400="Дифавтомат"),I400&amp;" С"&amp;J400&amp;"А"&amp;IF(K400="да"," 30мА",""),"")</f>
      </c>
      <c r="V400" s="133">
        <f>IF(U400="","",B400&amp;"|"&amp;U400)</f>
      </c>
      <c r="W400" s="133">
        <f>IF(AND(U400&lt;&gt;"",OR($S$4="(все)",B400=$S$4),IF($S$4="(все)",COUNTIF($U$4:U400,U400),COUNTIFS($U$4:U400,U400,$B$4:B400,B400))=1),MAX($W$3:W399)+1,"")</f>
      </c>
      <c r="X400" s="133">
        <f>IFERROR(INDEX($U$4:$U$500,MATCH(ROW()-3,$W$4:$W$500,0)),"")</f>
      </c>
      <c r="Y400" s="133">
        <f>IF(AND(A400="Аппарат",C400&lt;&gt;"",OR($S$5="(все)",B400=$S$5)),MAX($Y$3:Y399)+1,"")</f>
      </c>
      <c r="Z400" s="133">
        <f>IFERROR(INDEX($C$4:$C$500,MATCH(ROW()-3,$Y$4:$Y$500,0)),"")</f>
      </c>
      <c r="AA400" s="133">
        <f>IF(AND(A400="Модуль",C400&lt;&gt;"",OR($S$6="(все)",B400=$S$6)),MAX($AA$3:AA399)+1,"")</f>
      </c>
      <c r="AB400" s="133">
        <f>IFERROR(INDEX($C$4:$C$500,MATCH(ROW()-3,$AA$4:$AA$500,0)),"")</f>
      </c>
      <c r="AC400" s="133">
        <f>IF(OR(B400="",COUNTIF($B$4:B400,B400)&gt;1),"",MAX($AC$3:AC399)+1)</f>
      </c>
      <c r="AD400" s="133">
        <f>IFERROR(INDEX($B$4:$B$500,MATCH(ROW()-3,$AC$4:$AC$500,0)),"")</f>
      </c>
      <c r="AE400" s="133">
        <f>IF(AND(A400&lt;&gt;"",N(P400)&gt;0),IFERROR(MATCH(A400,$R$12:$R$25,0),99)*1000+ROW(),"")</f>
      </c>
      <c r="AF400" s="133">
        <f>IF(AE400="","",COUNTIF($AE$4:$AE$500,"&lt;="&amp;AE400))</f>
      </c>
    </row>
    <row r="401">
      <c r="A401" s="265"/>
      <c r="B401" s="265"/>
      <c r="C401" s="265"/>
      <c r="D401" s="265"/>
      <c r="E401" s="265"/>
      <c r="F401" s="265"/>
      <c r="G401" s="265"/>
      <c r="H401" s="265"/>
      <c r="I401" s="265"/>
      <c r="J401" s="265"/>
      <c r="K401" s="265"/>
      <c r="L401" s="265"/>
      <c r="M401" s="265"/>
      <c r="N401" s="133">
        <f>IF(OR(A401="Автомат",A401="Дифавтомат"),IF(W401="","",COUNTIF(Однолинейка!$H$3:$H$1000,U401)),IF(A401="Аппарат",IF(C401="","",COUNTIF(Однолинейка!$I$3:$I$1000,C401)+COUNTIF(Однолинейка!$J$3:$J$1000,C401)+COUNTIF(Однолинейка!$K$3:$K$1000,C401)),IF(A401="Модуль",IF(C401="","",COUNTIFS(Однолинейка!$AW$3:$AW$1000,"?*",Однолинейка!$AI$3:$AI$1000,C401)),IF(A401="Клемма",IF(C401="","",IF(C401=$S$7,SUM(Однолинейка!$BW$3:$BW$1000),IF(C401=$S$8,SUM(Однолинейка!$BX$3:$BX$1000),""))),""))))</f>
      </c>
      <c r="O401" s="265"/>
      <c r="P401" s="133">
        <f>IF(COUNT(N401,O401)=0,"",SUM(N401,O401))</f>
      </c>
      <c r="U401" s="133">
        <f>IF(OR(A401="Автомат",A401="Дифавтомат"),I401&amp;" С"&amp;J401&amp;"А"&amp;IF(K401="да"," 30мА",""),"")</f>
      </c>
      <c r="V401" s="133">
        <f>IF(U401="","",B401&amp;"|"&amp;U401)</f>
      </c>
      <c r="W401" s="133">
        <f>IF(AND(U401&lt;&gt;"",OR($S$4="(все)",B401=$S$4),IF($S$4="(все)",COUNTIF($U$4:U401,U401),COUNTIFS($U$4:U401,U401,$B$4:B401,B401))=1),MAX($W$3:W400)+1,"")</f>
      </c>
      <c r="X401" s="133">
        <f>IFERROR(INDEX($U$4:$U$500,MATCH(ROW()-3,$W$4:$W$500,0)),"")</f>
      </c>
      <c r="Y401" s="133">
        <f>IF(AND(A401="Аппарат",C401&lt;&gt;"",OR($S$5="(все)",B401=$S$5)),MAX($Y$3:Y400)+1,"")</f>
      </c>
      <c r="Z401" s="133">
        <f>IFERROR(INDEX($C$4:$C$500,MATCH(ROW()-3,$Y$4:$Y$500,0)),"")</f>
      </c>
      <c r="AA401" s="133">
        <f>IF(AND(A401="Модуль",C401&lt;&gt;"",OR($S$6="(все)",B401=$S$6)),MAX($AA$3:AA400)+1,"")</f>
      </c>
      <c r="AB401" s="133">
        <f>IFERROR(INDEX($C$4:$C$500,MATCH(ROW()-3,$AA$4:$AA$500,0)),"")</f>
      </c>
      <c r="AC401" s="133">
        <f>IF(OR(B401="",COUNTIF($B$4:B401,B401)&gt;1),"",MAX($AC$3:AC400)+1)</f>
      </c>
      <c r="AD401" s="133">
        <f>IFERROR(INDEX($B$4:$B$500,MATCH(ROW()-3,$AC$4:$AC$500,0)),"")</f>
      </c>
      <c r="AE401" s="133">
        <f>IF(AND(A401&lt;&gt;"",N(P401)&gt;0),IFERROR(MATCH(A401,$R$12:$R$25,0),99)*1000+ROW(),"")</f>
      </c>
      <c r="AF401" s="133">
        <f>IF(AE401="","",COUNTIF($AE$4:$AE$500,"&lt;="&amp;AE401))</f>
      </c>
    </row>
    <row r="402">
      <c r="A402" s="265"/>
      <c r="B402" s="265"/>
      <c r="C402" s="265"/>
      <c r="D402" s="265"/>
      <c r="E402" s="265"/>
      <c r="F402" s="265"/>
      <c r="G402" s="265"/>
      <c r="H402" s="265"/>
      <c r="I402" s="265"/>
      <c r="J402" s="265"/>
      <c r="K402" s="265"/>
      <c r="L402" s="265"/>
      <c r="M402" s="265"/>
      <c r="N402" s="133">
        <f>IF(OR(A402="Автомат",A402="Дифавтомат"),IF(W402="","",COUNTIF(Однолинейка!$H$3:$H$1000,U402)),IF(A402="Аппарат",IF(C402="","",COUNTIF(Однолинейка!$I$3:$I$1000,C402)+COUNTIF(Однолинейка!$J$3:$J$1000,C402)+COUNTIF(Однолинейка!$K$3:$K$1000,C402)),IF(A402="Модуль",IF(C402="","",COUNTIFS(Однолинейка!$AW$3:$AW$1000,"?*",Однолинейка!$AI$3:$AI$1000,C402)),IF(A402="Клемма",IF(C402="","",IF(C402=$S$7,SUM(Однолинейка!$BW$3:$BW$1000),IF(C402=$S$8,SUM(Однолинейка!$BX$3:$BX$1000),""))),""))))</f>
      </c>
      <c r="O402" s="265"/>
      <c r="P402" s="133">
        <f>IF(COUNT(N402,O402)=0,"",SUM(N402,O402))</f>
      </c>
      <c r="U402" s="133">
        <f>IF(OR(A402="Автомат",A402="Дифавтомат"),I402&amp;" С"&amp;J402&amp;"А"&amp;IF(K402="да"," 30мА",""),"")</f>
      </c>
      <c r="V402" s="133">
        <f>IF(U402="","",B402&amp;"|"&amp;U402)</f>
      </c>
      <c r="W402" s="133">
        <f>IF(AND(U402&lt;&gt;"",OR($S$4="(все)",B402=$S$4),IF($S$4="(все)",COUNTIF($U$4:U402,U402),COUNTIFS($U$4:U402,U402,$B$4:B402,B402))=1),MAX($W$3:W401)+1,"")</f>
      </c>
      <c r="X402" s="133">
        <f>IFERROR(INDEX($U$4:$U$500,MATCH(ROW()-3,$W$4:$W$500,0)),"")</f>
      </c>
      <c r="Y402" s="133">
        <f>IF(AND(A402="Аппарат",C402&lt;&gt;"",OR($S$5="(все)",B402=$S$5)),MAX($Y$3:Y401)+1,"")</f>
      </c>
      <c r="Z402" s="133">
        <f>IFERROR(INDEX($C$4:$C$500,MATCH(ROW()-3,$Y$4:$Y$500,0)),"")</f>
      </c>
      <c r="AA402" s="133">
        <f>IF(AND(A402="Модуль",C402&lt;&gt;"",OR($S$6="(все)",B402=$S$6)),MAX($AA$3:AA401)+1,"")</f>
      </c>
      <c r="AB402" s="133">
        <f>IFERROR(INDEX($C$4:$C$500,MATCH(ROW()-3,$AA$4:$AA$500,0)),"")</f>
      </c>
      <c r="AC402" s="133">
        <f>IF(OR(B402="",COUNTIF($B$4:B402,B402)&gt;1),"",MAX($AC$3:AC401)+1)</f>
      </c>
      <c r="AD402" s="133">
        <f>IFERROR(INDEX($B$4:$B$500,MATCH(ROW()-3,$AC$4:$AC$500,0)),"")</f>
      </c>
      <c r="AE402" s="133">
        <f>IF(AND(A402&lt;&gt;"",N(P402)&gt;0),IFERROR(MATCH(A402,$R$12:$R$25,0),99)*1000+ROW(),"")</f>
      </c>
      <c r="AF402" s="133">
        <f>IF(AE402="","",COUNTIF($AE$4:$AE$500,"&lt;="&amp;AE402))</f>
      </c>
    </row>
    <row r="403">
      <c r="A403" s="265"/>
      <c r="B403" s="265"/>
      <c r="C403" s="265"/>
      <c r="D403" s="265"/>
      <c r="E403" s="265"/>
      <c r="F403" s="265"/>
      <c r="G403" s="265"/>
      <c r="H403" s="265"/>
      <c r="I403" s="265"/>
      <c r="J403" s="265"/>
      <c r="K403" s="265"/>
      <c r="L403" s="265"/>
      <c r="M403" s="265"/>
      <c r="N403" s="133">
        <f>IF(OR(A403="Автомат",A403="Дифавтомат"),IF(W403="","",COUNTIF(Однолинейка!$H$3:$H$1000,U403)),IF(A403="Аппарат",IF(C403="","",COUNTIF(Однолинейка!$I$3:$I$1000,C403)+COUNTIF(Однолинейка!$J$3:$J$1000,C403)+COUNTIF(Однолинейка!$K$3:$K$1000,C403)),IF(A403="Модуль",IF(C403="","",COUNTIFS(Однолинейка!$AW$3:$AW$1000,"?*",Однолинейка!$AI$3:$AI$1000,C403)),IF(A403="Клемма",IF(C403="","",IF(C403=$S$7,SUM(Однолинейка!$BW$3:$BW$1000),IF(C403=$S$8,SUM(Однолинейка!$BX$3:$BX$1000),""))),""))))</f>
      </c>
      <c r="O403" s="265"/>
      <c r="P403" s="133">
        <f>IF(COUNT(N403,O403)=0,"",SUM(N403,O403))</f>
      </c>
      <c r="U403" s="133">
        <f>IF(OR(A403="Автомат",A403="Дифавтомат"),I403&amp;" С"&amp;J403&amp;"А"&amp;IF(K403="да"," 30мА",""),"")</f>
      </c>
      <c r="V403" s="133">
        <f>IF(U403="","",B403&amp;"|"&amp;U403)</f>
      </c>
      <c r="W403" s="133">
        <f>IF(AND(U403&lt;&gt;"",OR($S$4="(все)",B403=$S$4),IF($S$4="(все)",COUNTIF($U$4:U403,U403),COUNTIFS($U$4:U403,U403,$B$4:B403,B403))=1),MAX($W$3:W402)+1,"")</f>
      </c>
      <c r="X403" s="133">
        <f>IFERROR(INDEX($U$4:$U$500,MATCH(ROW()-3,$W$4:$W$500,0)),"")</f>
      </c>
      <c r="Y403" s="133">
        <f>IF(AND(A403="Аппарат",C403&lt;&gt;"",OR($S$5="(все)",B403=$S$5)),MAX($Y$3:Y402)+1,"")</f>
      </c>
      <c r="Z403" s="133">
        <f>IFERROR(INDEX($C$4:$C$500,MATCH(ROW()-3,$Y$4:$Y$500,0)),"")</f>
      </c>
      <c r="AA403" s="133">
        <f>IF(AND(A403="Модуль",C403&lt;&gt;"",OR($S$6="(все)",B403=$S$6)),MAX($AA$3:AA402)+1,"")</f>
      </c>
      <c r="AB403" s="133">
        <f>IFERROR(INDEX($C$4:$C$500,MATCH(ROW()-3,$AA$4:$AA$500,0)),"")</f>
      </c>
      <c r="AC403" s="133">
        <f>IF(OR(B403="",COUNTIF($B$4:B403,B403)&gt;1),"",MAX($AC$3:AC402)+1)</f>
      </c>
      <c r="AD403" s="133">
        <f>IFERROR(INDEX($B$4:$B$500,MATCH(ROW()-3,$AC$4:$AC$500,0)),"")</f>
      </c>
      <c r="AE403" s="133">
        <f>IF(AND(A403&lt;&gt;"",N(P403)&gt;0),IFERROR(MATCH(A403,$R$12:$R$25,0),99)*1000+ROW(),"")</f>
      </c>
      <c r="AF403" s="133">
        <f>IF(AE403="","",COUNTIF($AE$4:$AE$500,"&lt;="&amp;AE403))</f>
      </c>
    </row>
    <row r="404">
      <c r="A404" s="265"/>
      <c r="B404" s="265"/>
      <c r="C404" s="265"/>
      <c r="D404" s="265"/>
      <c r="E404" s="265"/>
      <c r="F404" s="265"/>
      <c r="G404" s="265"/>
      <c r="H404" s="265"/>
      <c r="I404" s="265"/>
      <c r="J404" s="265"/>
      <c r="K404" s="265"/>
      <c r="L404" s="265"/>
      <c r="M404" s="265"/>
      <c r="N404" s="133">
        <f>IF(OR(A404="Автомат",A404="Дифавтомат"),IF(W404="","",COUNTIF(Однолинейка!$H$3:$H$1000,U404)),IF(A404="Аппарат",IF(C404="","",COUNTIF(Однолинейка!$I$3:$I$1000,C404)+COUNTIF(Однолинейка!$J$3:$J$1000,C404)+COUNTIF(Однолинейка!$K$3:$K$1000,C404)),IF(A404="Модуль",IF(C404="","",COUNTIFS(Однолинейка!$AW$3:$AW$1000,"?*",Однолинейка!$AI$3:$AI$1000,C404)),IF(A404="Клемма",IF(C404="","",IF(C404=$S$7,SUM(Однолинейка!$BW$3:$BW$1000),IF(C404=$S$8,SUM(Однолинейка!$BX$3:$BX$1000),""))),""))))</f>
      </c>
      <c r="O404" s="265"/>
      <c r="P404" s="133">
        <f>IF(COUNT(N404,O404)=0,"",SUM(N404,O404))</f>
      </c>
      <c r="U404" s="133">
        <f>IF(OR(A404="Автомат",A404="Дифавтомат"),I404&amp;" С"&amp;J404&amp;"А"&amp;IF(K404="да"," 30мА",""),"")</f>
      </c>
      <c r="V404" s="133">
        <f>IF(U404="","",B404&amp;"|"&amp;U404)</f>
      </c>
      <c r="W404" s="133">
        <f>IF(AND(U404&lt;&gt;"",OR($S$4="(все)",B404=$S$4),IF($S$4="(все)",COUNTIF($U$4:U404,U404),COUNTIFS($U$4:U404,U404,$B$4:B404,B404))=1),MAX($W$3:W403)+1,"")</f>
      </c>
      <c r="X404" s="133">
        <f>IFERROR(INDEX($U$4:$U$500,MATCH(ROW()-3,$W$4:$W$500,0)),"")</f>
      </c>
      <c r="Y404" s="133">
        <f>IF(AND(A404="Аппарат",C404&lt;&gt;"",OR($S$5="(все)",B404=$S$5)),MAX($Y$3:Y403)+1,"")</f>
      </c>
      <c r="Z404" s="133">
        <f>IFERROR(INDEX($C$4:$C$500,MATCH(ROW()-3,$Y$4:$Y$500,0)),"")</f>
      </c>
      <c r="AA404" s="133">
        <f>IF(AND(A404="Модуль",C404&lt;&gt;"",OR($S$6="(все)",B404=$S$6)),MAX($AA$3:AA403)+1,"")</f>
      </c>
      <c r="AB404" s="133">
        <f>IFERROR(INDEX($C$4:$C$500,MATCH(ROW()-3,$AA$4:$AA$500,0)),"")</f>
      </c>
      <c r="AC404" s="133">
        <f>IF(OR(B404="",COUNTIF($B$4:B404,B404)&gt;1),"",MAX($AC$3:AC403)+1)</f>
      </c>
      <c r="AD404" s="133">
        <f>IFERROR(INDEX($B$4:$B$500,MATCH(ROW()-3,$AC$4:$AC$500,0)),"")</f>
      </c>
      <c r="AE404" s="133">
        <f>IF(AND(A404&lt;&gt;"",N(P404)&gt;0),IFERROR(MATCH(A404,$R$12:$R$25,0),99)*1000+ROW(),"")</f>
      </c>
      <c r="AF404" s="133">
        <f>IF(AE404="","",COUNTIF($AE$4:$AE$500,"&lt;="&amp;AE404))</f>
      </c>
    </row>
    <row r="405">
      <c r="A405" s="265"/>
      <c r="B405" s="265"/>
      <c r="C405" s="265"/>
      <c r="D405" s="265"/>
      <c r="E405" s="265"/>
      <c r="F405" s="265"/>
      <c r="G405" s="265"/>
      <c r="H405" s="265"/>
      <c r="I405" s="265"/>
      <c r="J405" s="265"/>
      <c r="K405" s="265"/>
      <c r="L405" s="265"/>
      <c r="M405" s="265"/>
      <c r="N405" s="133">
        <f>IF(OR(A405="Автомат",A405="Дифавтомат"),IF(W405="","",COUNTIF(Однолинейка!$H$3:$H$1000,U405)),IF(A405="Аппарат",IF(C405="","",COUNTIF(Однолинейка!$I$3:$I$1000,C405)+COUNTIF(Однолинейка!$J$3:$J$1000,C405)+COUNTIF(Однолинейка!$K$3:$K$1000,C405)),IF(A405="Модуль",IF(C405="","",COUNTIFS(Однолинейка!$AW$3:$AW$1000,"?*",Однолинейка!$AI$3:$AI$1000,C405)),IF(A405="Клемма",IF(C405="","",IF(C405=$S$7,SUM(Однолинейка!$BW$3:$BW$1000),IF(C405=$S$8,SUM(Однолинейка!$BX$3:$BX$1000),""))),""))))</f>
      </c>
      <c r="O405" s="265"/>
      <c r="P405" s="133">
        <f>IF(COUNT(N405,O405)=0,"",SUM(N405,O405))</f>
      </c>
      <c r="U405" s="133">
        <f>IF(OR(A405="Автомат",A405="Дифавтомат"),I405&amp;" С"&amp;J405&amp;"А"&amp;IF(K405="да"," 30мА",""),"")</f>
      </c>
      <c r="V405" s="133">
        <f>IF(U405="","",B405&amp;"|"&amp;U405)</f>
      </c>
      <c r="W405" s="133">
        <f>IF(AND(U405&lt;&gt;"",OR($S$4="(все)",B405=$S$4),IF($S$4="(все)",COUNTIF($U$4:U405,U405),COUNTIFS($U$4:U405,U405,$B$4:B405,B405))=1),MAX($W$3:W404)+1,"")</f>
      </c>
      <c r="X405" s="133">
        <f>IFERROR(INDEX($U$4:$U$500,MATCH(ROW()-3,$W$4:$W$500,0)),"")</f>
      </c>
      <c r="Y405" s="133">
        <f>IF(AND(A405="Аппарат",C405&lt;&gt;"",OR($S$5="(все)",B405=$S$5)),MAX($Y$3:Y404)+1,"")</f>
      </c>
      <c r="Z405" s="133">
        <f>IFERROR(INDEX($C$4:$C$500,MATCH(ROW()-3,$Y$4:$Y$500,0)),"")</f>
      </c>
      <c r="AA405" s="133">
        <f>IF(AND(A405="Модуль",C405&lt;&gt;"",OR($S$6="(все)",B405=$S$6)),MAX($AA$3:AA404)+1,"")</f>
      </c>
      <c r="AB405" s="133">
        <f>IFERROR(INDEX($C$4:$C$500,MATCH(ROW()-3,$AA$4:$AA$500,0)),"")</f>
      </c>
      <c r="AC405" s="133">
        <f>IF(OR(B405="",COUNTIF($B$4:B405,B405)&gt;1),"",MAX($AC$3:AC404)+1)</f>
      </c>
      <c r="AD405" s="133">
        <f>IFERROR(INDEX($B$4:$B$500,MATCH(ROW()-3,$AC$4:$AC$500,0)),"")</f>
      </c>
      <c r="AE405" s="133">
        <f>IF(AND(A405&lt;&gt;"",N(P405)&gt;0),IFERROR(MATCH(A405,$R$12:$R$25,0),99)*1000+ROW(),"")</f>
      </c>
      <c r="AF405" s="133">
        <f>IF(AE405="","",COUNTIF($AE$4:$AE$500,"&lt;="&amp;AE405))</f>
      </c>
    </row>
    <row r="406">
      <c r="A406" s="265"/>
      <c r="B406" s="265"/>
      <c r="C406" s="265"/>
      <c r="D406" s="265"/>
      <c r="E406" s="265"/>
      <c r="F406" s="265"/>
      <c r="G406" s="265"/>
      <c r="H406" s="265"/>
      <c r="I406" s="265"/>
      <c r="J406" s="265"/>
      <c r="K406" s="265"/>
      <c r="L406" s="265"/>
      <c r="M406" s="265"/>
      <c r="N406" s="133">
        <f>IF(OR(A406="Автомат",A406="Дифавтомат"),IF(W406="","",COUNTIF(Однолинейка!$H$3:$H$1000,U406)),IF(A406="Аппарат",IF(C406="","",COUNTIF(Однолинейка!$I$3:$I$1000,C406)+COUNTIF(Однолинейка!$J$3:$J$1000,C406)+COUNTIF(Однолинейка!$K$3:$K$1000,C406)),IF(A406="Модуль",IF(C406="","",COUNTIFS(Однолинейка!$AW$3:$AW$1000,"?*",Однолинейка!$AI$3:$AI$1000,C406)),IF(A406="Клемма",IF(C406="","",IF(C406=$S$7,SUM(Однолинейка!$BW$3:$BW$1000),IF(C406=$S$8,SUM(Однолинейка!$BX$3:$BX$1000),""))),""))))</f>
      </c>
      <c r="O406" s="265"/>
      <c r="P406" s="133">
        <f>IF(COUNT(N406,O406)=0,"",SUM(N406,O406))</f>
      </c>
      <c r="U406" s="133">
        <f>IF(OR(A406="Автомат",A406="Дифавтомат"),I406&amp;" С"&amp;J406&amp;"А"&amp;IF(K406="да"," 30мА",""),"")</f>
      </c>
      <c r="V406" s="133">
        <f>IF(U406="","",B406&amp;"|"&amp;U406)</f>
      </c>
      <c r="W406" s="133">
        <f>IF(AND(U406&lt;&gt;"",OR($S$4="(все)",B406=$S$4),IF($S$4="(все)",COUNTIF($U$4:U406,U406),COUNTIFS($U$4:U406,U406,$B$4:B406,B406))=1),MAX($W$3:W405)+1,"")</f>
      </c>
      <c r="X406" s="133">
        <f>IFERROR(INDEX($U$4:$U$500,MATCH(ROW()-3,$W$4:$W$500,0)),"")</f>
      </c>
      <c r="Y406" s="133">
        <f>IF(AND(A406="Аппарат",C406&lt;&gt;"",OR($S$5="(все)",B406=$S$5)),MAX($Y$3:Y405)+1,"")</f>
      </c>
      <c r="Z406" s="133">
        <f>IFERROR(INDEX($C$4:$C$500,MATCH(ROW()-3,$Y$4:$Y$500,0)),"")</f>
      </c>
      <c r="AA406" s="133">
        <f>IF(AND(A406="Модуль",C406&lt;&gt;"",OR($S$6="(все)",B406=$S$6)),MAX($AA$3:AA405)+1,"")</f>
      </c>
      <c r="AB406" s="133">
        <f>IFERROR(INDEX($C$4:$C$500,MATCH(ROW()-3,$AA$4:$AA$500,0)),"")</f>
      </c>
      <c r="AC406" s="133">
        <f>IF(OR(B406="",COUNTIF($B$4:B406,B406)&gt;1),"",MAX($AC$3:AC405)+1)</f>
      </c>
      <c r="AD406" s="133">
        <f>IFERROR(INDEX($B$4:$B$500,MATCH(ROW()-3,$AC$4:$AC$500,0)),"")</f>
      </c>
      <c r="AE406" s="133">
        <f>IF(AND(A406&lt;&gt;"",N(P406)&gt;0),IFERROR(MATCH(A406,$R$12:$R$25,0),99)*1000+ROW(),"")</f>
      </c>
      <c r="AF406" s="133">
        <f>IF(AE406="","",COUNTIF($AE$4:$AE$500,"&lt;="&amp;AE406))</f>
      </c>
    </row>
    <row r="407">
      <c r="A407" s="265"/>
      <c r="B407" s="265"/>
      <c r="C407" s="265"/>
      <c r="D407" s="265"/>
      <c r="E407" s="265"/>
      <c r="F407" s="265"/>
      <c r="G407" s="265"/>
      <c r="H407" s="265"/>
      <c r="I407" s="265"/>
      <c r="J407" s="265"/>
      <c r="K407" s="265"/>
      <c r="L407" s="265"/>
      <c r="M407" s="265"/>
      <c r="N407" s="133">
        <f>IF(OR(A407="Автомат",A407="Дифавтомат"),IF(W407="","",COUNTIF(Однолинейка!$H$3:$H$1000,U407)),IF(A407="Аппарат",IF(C407="","",COUNTIF(Однолинейка!$I$3:$I$1000,C407)+COUNTIF(Однолинейка!$J$3:$J$1000,C407)+COUNTIF(Однолинейка!$K$3:$K$1000,C407)),IF(A407="Модуль",IF(C407="","",COUNTIFS(Однолинейка!$AW$3:$AW$1000,"?*",Однолинейка!$AI$3:$AI$1000,C407)),IF(A407="Клемма",IF(C407="","",IF(C407=$S$7,SUM(Однолинейка!$BW$3:$BW$1000),IF(C407=$S$8,SUM(Однолинейка!$BX$3:$BX$1000),""))),""))))</f>
      </c>
      <c r="O407" s="265"/>
      <c r="P407" s="133">
        <f>IF(COUNT(N407,O407)=0,"",SUM(N407,O407))</f>
      </c>
      <c r="U407" s="133">
        <f>IF(OR(A407="Автомат",A407="Дифавтомат"),I407&amp;" С"&amp;J407&amp;"А"&amp;IF(K407="да"," 30мА",""),"")</f>
      </c>
      <c r="V407" s="133">
        <f>IF(U407="","",B407&amp;"|"&amp;U407)</f>
      </c>
      <c r="W407" s="133">
        <f>IF(AND(U407&lt;&gt;"",OR($S$4="(все)",B407=$S$4),IF($S$4="(все)",COUNTIF($U$4:U407,U407),COUNTIFS($U$4:U407,U407,$B$4:B407,B407))=1),MAX($W$3:W406)+1,"")</f>
      </c>
      <c r="X407" s="133">
        <f>IFERROR(INDEX($U$4:$U$500,MATCH(ROW()-3,$W$4:$W$500,0)),"")</f>
      </c>
      <c r="Y407" s="133">
        <f>IF(AND(A407="Аппарат",C407&lt;&gt;"",OR($S$5="(все)",B407=$S$5)),MAX($Y$3:Y406)+1,"")</f>
      </c>
      <c r="Z407" s="133">
        <f>IFERROR(INDEX($C$4:$C$500,MATCH(ROW()-3,$Y$4:$Y$500,0)),"")</f>
      </c>
      <c r="AA407" s="133">
        <f>IF(AND(A407="Модуль",C407&lt;&gt;"",OR($S$6="(все)",B407=$S$6)),MAX($AA$3:AA406)+1,"")</f>
      </c>
      <c r="AB407" s="133">
        <f>IFERROR(INDEX($C$4:$C$500,MATCH(ROW()-3,$AA$4:$AA$500,0)),"")</f>
      </c>
      <c r="AC407" s="133">
        <f>IF(OR(B407="",COUNTIF($B$4:B407,B407)&gt;1),"",MAX($AC$3:AC406)+1)</f>
      </c>
      <c r="AD407" s="133">
        <f>IFERROR(INDEX($B$4:$B$500,MATCH(ROW()-3,$AC$4:$AC$500,0)),"")</f>
      </c>
      <c r="AE407" s="133">
        <f>IF(AND(A407&lt;&gt;"",N(P407)&gt;0),IFERROR(MATCH(A407,$R$12:$R$25,0),99)*1000+ROW(),"")</f>
      </c>
      <c r="AF407" s="133">
        <f>IF(AE407="","",COUNTIF($AE$4:$AE$500,"&lt;="&amp;AE407))</f>
      </c>
    </row>
    <row r="408">
      <c r="A408" s="265"/>
      <c r="B408" s="265"/>
      <c r="C408" s="265"/>
      <c r="D408" s="265"/>
      <c r="E408" s="265"/>
      <c r="F408" s="265"/>
      <c r="G408" s="265"/>
      <c r="H408" s="265"/>
      <c r="I408" s="265"/>
      <c r="J408" s="265"/>
      <c r="K408" s="265"/>
      <c r="L408" s="265"/>
      <c r="M408" s="265"/>
      <c r="N408" s="133">
        <f>IF(OR(A408="Автомат",A408="Дифавтомат"),IF(W408="","",COUNTIF(Однолинейка!$H$3:$H$1000,U408)),IF(A408="Аппарат",IF(C408="","",COUNTIF(Однолинейка!$I$3:$I$1000,C408)+COUNTIF(Однолинейка!$J$3:$J$1000,C408)+COUNTIF(Однолинейка!$K$3:$K$1000,C408)),IF(A408="Модуль",IF(C408="","",COUNTIFS(Однолинейка!$AW$3:$AW$1000,"?*",Однолинейка!$AI$3:$AI$1000,C408)),IF(A408="Клемма",IF(C408="","",IF(C408=$S$7,SUM(Однолинейка!$BW$3:$BW$1000),IF(C408=$S$8,SUM(Однолинейка!$BX$3:$BX$1000),""))),""))))</f>
      </c>
      <c r="O408" s="265"/>
      <c r="P408" s="133">
        <f>IF(COUNT(N408,O408)=0,"",SUM(N408,O408))</f>
      </c>
      <c r="U408" s="133">
        <f>IF(OR(A408="Автомат",A408="Дифавтомат"),I408&amp;" С"&amp;J408&amp;"А"&amp;IF(K408="да"," 30мА",""),"")</f>
      </c>
      <c r="V408" s="133">
        <f>IF(U408="","",B408&amp;"|"&amp;U408)</f>
      </c>
      <c r="W408" s="133">
        <f>IF(AND(U408&lt;&gt;"",OR($S$4="(все)",B408=$S$4),IF($S$4="(все)",COUNTIF($U$4:U408,U408),COUNTIFS($U$4:U408,U408,$B$4:B408,B408))=1),MAX($W$3:W407)+1,"")</f>
      </c>
      <c r="X408" s="133">
        <f>IFERROR(INDEX($U$4:$U$500,MATCH(ROW()-3,$W$4:$W$500,0)),"")</f>
      </c>
      <c r="Y408" s="133">
        <f>IF(AND(A408="Аппарат",C408&lt;&gt;"",OR($S$5="(все)",B408=$S$5)),MAX($Y$3:Y407)+1,"")</f>
      </c>
      <c r="Z408" s="133">
        <f>IFERROR(INDEX($C$4:$C$500,MATCH(ROW()-3,$Y$4:$Y$500,0)),"")</f>
      </c>
      <c r="AA408" s="133">
        <f>IF(AND(A408="Модуль",C408&lt;&gt;"",OR($S$6="(все)",B408=$S$6)),MAX($AA$3:AA407)+1,"")</f>
      </c>
      <c r="AB408" s="133">
        <f>IFERROR(INDEX($C$4:$C$500,MATCH(ROW()-3,$AA$4:$AA$500,0)),"")</f>
      </c>
      <c r="AC408" s="133">
        <f>IF(OR(B408="",COUNTIF($B$4:B408,B408)&gt;1),"",MAX($AC$3:AC407)+1)</f>
      </c>
      <c r="AD408" s="133">
        <f>IFERROR(INDEX($B$4:$B$500,MATCH(ROW()-3,$AC$4:$AC$500,0)),"")</f>
      </c>
      <c r="AE408" s="133">
        <f>IF(AND(A408&lt;&gt;"",N(P408)&gt;0),IFERROR(MATCH(A408,$R$12:$R$25,0),99)*1000+ROW(),"")</f>
      </c>
      <c r="AF408" s="133">
        <f>IF(AE408="","",COUNTIF($AE$4:$AE$500,"&lt;="&amp;AE408))</f>
      </c>
    </row>
    <row r="409">
      <c r="A409" s="265"/>
      <c r="B409" s="265"/>
      <c r="C409" s="265"/>
      <c r="D409" s="265"/>
      <c r="E409" s="265"/>
      <c r="F409" s="265"/>
      <c r="G409" s="265"/>
      <c r="H409" s="265"/>
      <c r="I409" s="265"/>
      <c r="J409" s="265"/>
      <c r="K409" s="265"/>
      <c r="L409" s="265"/>
      <c r="M409" s="265"/>
      <c r="N409" s="133">
        <f>IF(OR(A409="Автомат",A409="Дифавтомат"),IF(W409="","",COUNTIF(Однолинейка!$H$3:$H$1000,U409)),IF(A409="Аппарат",IF(C409="","",COUNTIF(Однолинейка!$I$3:$I$1000,C409)+COUNTIF(Однолинейка!$J$3:$J$1000,C409)+COUNTIF(Однолинейка!$K$3:$K$1000,C409)),IF(A409="Модуль",IF(C409="","",COUNTIFS(Однолинейка!$AW$3:$AW$1000,"?*",Однолинейка!$AI$3:$AI$1000,C409)),IF(A409="Клемма",IF(C409="","",IF(C409=$S$7,SUM(Однолинейка!$BW$3:$BW$1000),IF(C409=$S$8,SUM(Однолинейка!$BX$3:$BX$1000),""))),""))))</f>
      </c>
      <c r="O409" s="265"/>
      <c r="P409" s="133">
        <f>IF(COUNT(N409,O409)=0,"",SUM(N409,O409))</f>
      </c>
      <c r="U409" s="133">
        <f>IF(OR(A409="Автомат",A409="Дифавтомат"),I409&amp;" С"&amp;J409&amp;"А"&amp;IF(K409="да"," 30мА",""),"")</f>
      </c>
      <c r="V409" s="133">
        <f>IF(U409="","",B409&amp;"|"&amp;U409)</f>
      </c>
      <c r="W409" s="133">
        <f>IF(AND(U409&lt;&gt;"",OR($S$4="(все)",B409=$S$4),IF($S$4="(все)",COUNTIF($U$4:U409,U409),COUNTIFS($U$4:U409,U409,$B$4:B409,B409))=1),MAX($W$3:W408)+1,"")</f>
      </c>
      <c r="X409" s="133">
        <f>IFERROR(INDEX($U$4:$U$500,MATCH(ROW()-3,$W$4:$W$500,0)),"")</f>
      </c>
      <c r="Y409" s="133">
        <f>IF(AND(A409="Аппарат",C409&lt;&gt;"",OR($S$5="(все)",B409=$S$5)),MAX($Y$3:Y408)+1,"")</f>
      </c>
      <c r="Z409" s="133">
        <f>IFERROR(INDEX($C$4:$C$500,MATCH(ROW()-3,$Y$4:$Y$500,0)),"")</f>
      </c>
      <c r="AA409" s="133">
        <f>IF(AND(A409="Модуль",C409&lt;&gt;"",OR($S$6="(все)",B409=$S$6)),MAX($AA$3:AA408)+1,"")</f>
      </c>
      <c r="AB409" s="133">
        <f>IFERROR(INDEX($C$4:$C$500,MATCH(ROW()-3,$AA$4:$AA$500,0)),"")</f>
      </c>
      <c r="AC409" s="133">
        <f>IF(OR(B409="",COUNTIF($B$4:B409,B409)&gt;1),"",MAX($AC$3:AC408)+1)</f>
      </c>
      <c r="AD409" s="133">
        <f>IFERROR(INDEX($B$4:$B$500,MATCH(ROW()-3,$AC$4:$AC$500,0)),"")</f>
      </c>
      <c r="AE409" s="133">
        <f>IF(AND(A409&lt;&gt;"",N(P409)&gt;0),IFERROR(MATCH(A409,$R$12:$R$25,0),99)*1000+ROW(),"")</f>
      </c>
      <c r="AF409" s="133">
        <f>IF(AE409="","",COUNTIF($AE$4:$AE$500,"&lt;="&amp;AE409))</f>
      </c>
    </row>
    <row r="410">
      <c r="A410" s="265"/>
      <c r="B410" s="265"/>
      <c r="C410" s="265"/>
      <c r="D410" s="265"/>
      <c r="E410" s="265"/>
      <c r="F410" s="265"/>
      <c r="G410" s="265"/>
      <c r="H410" s="265"/>
      <c r="I410" s="265"/>
      <c r="J410" s="265"/>
      <c r="K410" s="265"/>
      <c r="L410" s="265"/>
      <c r="M410" s="265"/>
      <c r="N410" s="133">
        <f>IF(OR(A410="Автомат",A410="Дифавтомат"),IF(W410="","",COUNTIF(Однолинейка!$H$3:$H$1000,U410)),IF(A410="Аппарат",IF(C410="","",COUNTIF(Однолинейка!$I$3:$I$1000,C410)+COUNTIF(Однолинейка!$J$3:$J$1000,C410)+COUNTIF(Однолинейка!$K$3:$K$1000,C410)),IF(A410="Модуль",IF(C410="","",COUNTIFS(Однолинейка!$AW$3:$AW$1000,"?*",Однолинейка!$AI$3:$AI$1000,C410)),IF(A410="Клемма",IF(C410="","",IF(C410=$S$7,SUM(Однолинейка!$BW$3:$BW$1000),IF(C410=$S$8,SUM(Однолинейка!$BX$3:$BX$1000),""))),""))))</f>
      </c>
      <c r="O410" s="265"/>
      <c r="P410" s="133">
        <f>IF(COUNT(N410,O410)=0,"",SUM(N410,O410))</f>
      </c>
      <c r="U410" s="133">
        <f>IF(OR(A410="Автомат",A410="Дифавтомат"),I410&amp;" С"&amp;J410&amp;"А"&amp;IF(K410="да"," 30мА",""),"")</f>
      </c>
      <c r="V410" s="133">
        <f>IF(U410="","",B410&amp;"|"&amp;U410)</f>
      </c>
      <c r="W410" s="133">
        <f>IF(AND(U410&lt;&gt;"",OR($S$4="(все)",B410=$S$4),IF($S$4="(все)",COUNTIF($U$4:U410,U410),COUNTIFS($U$4:U410,U410,$B$4:B410,B410))=1),MAX($W$3:W409)+1,"")</f>
      </c>
      <c r="X410" s="133">
        <f>IFERROR(INDEX($U$4:$U$500,MATCH(ROW()-3,$W$4:$W$500,0)),"")</f>
      </c>
      <c r="Y410" s="133">
        <f>IF(AND(A410="Аппарат",C410&lt;&gt;"",OR($S$5="(все)",B410=$S$5)),MAX($Y$3:Y409)+1,"")</f>
      </c>
      <c r="Z410" s="133">
        <f>IFERROR(INDEX($C$4:$C$500,MATCH(ROW()-3,$Y$4:$Y$500,0)),"")</f>
      </c>
      <c r="AA410" s="133">
        <f>IF(AND(A410="Модуль",C410&lt;&gt;"",OR($S$6="(все)",B410=$S$6)),MAX($AA$3:AA409)+1,"")</f>
      </c>
      <c r="AB410" s="133">
        <f>IFERROR(INDEX($C$4:$C$500,MATCH(ROW()-3,$AA$4:$AA$500,0)),"")</f>
      </c>
      <c r="AC410" s="133">
        <f>IF(OR(B410="",COUNTIF($B$4:B410,B410)&gt;1),"",MAX($AC$3:AC409)+1)</f>
      </c>
      <c r="AD410" s="133">
        <f>IFERROR(INDEX($B$4:$B$500,MATCH(ROW()-3,$AC$4:$AC$500,0)),"")</f>
      </c>
      <c r="AE410" s="133">
        <f>IF(AND(A410&lt;&gt;"",N(P410)&gt;0),IFERROR(MATCH(A410,$R$12:$R$25,0),99)*1000+ROW(),"")</f>
      </c>
      <c r="AF410" s="133">
        <f>IF(AE410="","",COUNTIF($AE$4:$AE$500,"&lt;="&amp;AE410))</f>
      </c>
    </row>
    <row r="411">
      <c r="A411" s="265"/>
      <c r="B411" s="265"/>
      <c r="C411" s="265"/>
      <c r="D411" s="265"/>
      <c r="E411" s="265"/>
      <c r="F411" s="265"/>
      <c r="G411" s="265"/>
      <c r="H411" s="265"/>
      <c r="I411" s="265"/>
      <c r="J411" s="265"/>
      <c r="K411" s="265"/>
      <c r="L411" s="265"/>
      <c r="M411" s="265"/>
      <c r="N411" s="133">
        <f>IF(OR(A411="Автомат",A411="Дифавтомат"),IF(W411="","",COUNTIF(Однолинейка!$H$3:$H$1000,U411)),IF(A411="Аппарат",IF(C411="","",COUNTIF(Однолинейка!$I$3:$I$1000,C411)+COUNTIF(Однолинейка!$J$3:$J$1000,C411)+COUNTIF(Однолинейка!$K$3:$K$1000,C411)),IF(A411="Модуль",IF(C411="","",COUNTIFS(Однолинейка!$AW$3:$AW$1000,"?*",Однолинейка!$AI$3:$AI$1000,C411)),IF(A411="Клемма",IF(C411="","",IF(C411=$S$7,SUM(Однолинейка!$BW$3:$BW$1000),IF(C411=$S$8,SUM(Однолинейка!$BX$3:$BX$1000),""))),""))))</f>
      </c>
      <c r="O411" s="265"/>
      <c r="P411" s="133">
        <f>IF(COUNT(N411,O411)=0,"",SUM(N411,O411))</f>
      </c>
      <c r="U411" s="133">
        <f>IF(OR(A411="Автомат",A411="Дифавтомат"),I411&amp;" С"&amp;J411&amp;"А"&amp;IF(K411="да"," 30мА",""),"")</f>
      </c>
      <c r="V411" s="133">
        <f>IF(U411="","",B411&amp;"|"&amp;U411)</f>
      </c>
      <c r="W411" s="133">
        <f>IF(AND(U411&lt;&gt;"",OR($S$4="(все)",B411=$S$4),IF($S$4="(все)",COUNTIF($U$4:U411,U411),COUNTIFS($U$4:U411,U411,$B$4:B411,B411))=1),MAX($W$3:W410)+1,"")</f>
      </c>
      <c r="X411" s="133">
        <f>IFERROR(INDEX($U$4:$U$500,MATCH(ROW()-3,$W$4:$W$500,0)),"")</f>
      </c>
      <c r="Y411" s="133">
        <f>IF(AND(A411="Аппарат",C411&lt;&gt;"",OR($S$5="(все)",B411=$S$5)),MAX($Y$3:Y410)+1,"")</f>
      </c>
      <c r="Z411" s="133">
        <f>IFERROR(INDEX($C$4:$C$500,MATCH(ROW()-3,$Y$4:$Y$500,0)),"")</f>
      </c>
      <c r="AA411" s="133">
        <f>IF(AND(A411="Модуль",C411&lt;&gt;"",OR($S$6="(все)",B411=$S$6)),MAX($AA$3:AA410)+1,"")</f>
      </c>
      <c r="AB411" s="133">
        <f>IFERROR(INDEX($C$4:$C$500,MATCH(ROW()-3,$AA$4:$AA$500,0)),"")</f>
      </c>
      <c r="AC411" s="133">
        <f>IF(OR(B411="",COUNTIF($B$4:B411,B411)&gt;1),"",MAX($AC$3:AC410)+1)</f>
      </c>
      <c r="AD411" s="133">
        <f>IFERROR(INDEX($B$4:$B$500,MATCH(ROW()-3,$AC$4:$AC$500,0)),"")</f>
      </c>
      <c r="AE411" s="133">
        <f>IF(AND(A411&lt;&gt;"",N(P411)&gt;0),IFERROR(MATCH(A411,$R$12:$R$25,0),99)*1000+ROW(),"")</f>
      </c>
      <c r="AF411" s="133">
        <f>IF(AE411="","",COUNTIF($AE$4:$AE$500,"&lt;="&amp;AE411))</f>
      </c>
    </row>
    <row r="412">
      <c r="A412" s="265"/>
      <c r="B412" s="265"/>
      <c r="C412" s="265"/>
      <c r="D412" s="265"/>
      <c r="E412" s="265"/>
      <c r="F412" s="265"/>
      <c r="G412" s="265"/>
      <c r="H412" s="265"/>
      <c r="I412" s="265"/>
      <c r="J412" s="265"/>
      <c r="K412" s="265"/>
      <c r="L412" s="265"/>
      <c r="M412" s="265"/>
      <c r="N412" s="133">
        <f>IF(OR(A412="Автомат",A412="Дифавтомат"),IF(W412="","",COUNTIF(Однолинейка!$H$3:$H$1000,U412)),IF(A412="Аппарат",IF(C412="","",COUNTIF(Однолинейка!$I$3:$I$1000,C412)+COUNTIF(Однолинейка!$J$3:$J$1000,C412)+COUNTIF(Однолинейка!$K$3:$K$1000,C412)),IF(A412="Модуль",IF(C412="","",COUNTIFS(Однолинейка!$AW$3:$AW$1000,"?*",Однолинейка!$AI$3:$AI$1000,C412)),IF(A412="Клемма",IF(C412="","",IF(C412=$S$7,SUM(Однолинейка!$BW$3:$BW$1000),IF(C412=$S$8,SUM(Однолинейка!$BX$3:$BX$1000),""))),""))))</f>
      </c>
      <c r="O412" s="265"/>
      <c r="P412" s="133">
        <f>IF(COUNT(N412,O412)=0,"",SUM(N412,O412))</f>
      </c>
      <c r="U412" s="133">
        <f>IF(OR(A412="Автомат",A412="Дифавтомат"),I412&amp;" С"&amp;J412&amp;"А"&amp;IF(K412="да"," 30мА",""),"")</f>
      </c>
      <c r="V412" s="133">
        <f>IF(U412="","",B412&amp;"|"&amp;U412)</f>
      </c>
      <c r="W412" s="133">
        <f>IF(AND(U412&lt;&gt;"",OR($S$4="(все)",B412=$S$4),IF($S$4="(все)",COUNTIF($U$4:U412,U412),COUNTIFS($U$4:U412,U412,$B$4:B412,B412))=1),MAX($W$3:W411)+1,"")</f>
      </c>
      <c r="X412" s="133">
        <f>IFERROR(INDEX($U$4:$U$500,MATCH(ROW()-3,$W$4:$W$500,0)),"")</f>
      </c>
      <c r="Y412" s="133">
        <f>IF(AND(A412="Аппарат",C412&lt;&gt;"",OR($S$5="(все)",B412=$S$5)),MAX($Y$3:Y411)+1,"")</f>
      </c>
      <c r="Z412" s="133">
        <f>IFERROR(INDEX($C$4:$C$500,MATCH(ROW()-3,$Y$4:$Y$500,0)),"")</f>
      </c>
      <c r="AA412" s="133">
        <f>IF(AND(A412="Модуль",C412&lt;&gt;"",OR($S$6="(все)",B412=$S$6)),MAX($AA$3:AA411)+1,"")</f>
      </c>
      <c r="AB412" s="133">
        <f>IFERROR(INDEX($C$4:$C$500,MATCH(ROW()-3,$AA$4:$AA$500,0)),"")</f>
      </c>
      <c r="AC412" s="133">
        <f>IF(OR(B412="",COUNTIF($B$4:B412,B412)&gt;1),"",MAX($AC$3:AC411)+1)</f>
      </c>
      <c r="AD412" s="133">
        <f>IFERROR(INDEX($B$4:$B$500,MATCH(ROW()-3,$AC$4:$AC$500,0)),"")</f>
      </c>
      <c r="AE412" s="133">
        <f>IF(AND(A412&lt;&gt;"",N(P412)&gt;0),IFERROR(MATCH(A412,$R$12:$R$25,0),99)*1000+ROW(),"")</f>
      </c>
      <c r="AF412" s="133">
        <f>IF(AE412="","",COUNTIF($AE$4:$AE$500,"&lt;="&amp;AE412))</f>
      </c>
    </row>
    <row r="413">
      <c r="A413" s="265"/>
      <c r="B413" s="265"/>
      <c r="C413" s="265"/>
      <c r="D413" s="265"/>
      <c r="E413" s="265"/>
      <c r="F413" s="265"/>
      <c r="G413" s="265"/>
      <c r="H413" s="265"/>
      <c r="I413" s="265"/>
      <c r="J413" s="265"/>
      <c r="K413" s="265"/>
      <c r="L413" s="265"/>
      <c r="M413" s="265"/>
      <c r="N413" s="133">
        <f>IF(OR(A413="Автомат",A413="Дифавтомат"),IF(W413="","",COUNTIF(Однолинейка!$H$3:$H$1000,U413)),IF(A413="Аппарат",IF(C413="","",COUNTIF(Однолинейка!$I$3:$I$1000,C413)+COUNTIF(Однолинейка!$J$3:$J$1000,C413)+COUNTIF(Однолинейка!$K$3:$K$1000,C413)),IF(A413="Модуль",IF(C413="","",COUNTIFS(Однолинейка!$AW$3:$AW$1000,"?*",Однолинейка!$AI$3:$AI$1000,C413)),IF(A413="Клемма",IF(C413="","",IF(C413=$S$7,SUM(Однолинейка!$BW$3:$BW$1000),IF(C413=$S$8,SUM(Однолинейка!$BX$3:$BX$1000),""))),""))))</f>
      </c>
      <c r="O413" s="265"/>
      <c r="P413" s="133">
        <f>IF(COUNT(N413,O413)=0,"",SUM(N413,O413))</f>
      </c>
      <c r="U413" s="133">
        <f>IF(OR(A413="Автомат",A413="Дифавтомат"),I413&amp;" С"&amp;J413&amp;"А"&amp;IF(K413="да"," 30мА",""),"")</f>
      </c>
      <c r="V413" s="133">
        <f>IF(U413="","",B413&amp;"|"&amp;U413)</f>
      </c>
      <c r="W413" s="133">
        <f>IF(AND(U413&lt;&gt;"",OR($S$4="(все)",B413=$S$4),IF($S$4="(все)",COUNTIF($U$4:U413,U413),COUNTIFS($U$4:U413,U413,$B$4:B413,B413))=1),MAX($W$3:W412)+1,"")</f>
      </c>
      <c r="X413" s="133">
        <f>IFERROR(INDEX($U$4:$U$500,MATCH(ROW()-3,$W$4:$W$500,0)),"")</f>
      </c>
      <c r="Y413" s="133">
        <f>IF(AND(A413="Аппарат",C413&lt;&gt;"",OR($S$5="(все)",B413=$S$5)),MAX($Y$3:Y412)+1,"")</f>
      </c>
      <c r="Z413" s="133">
        <f>IFERROR(INDEX($C$4:$C$500,MATCH(ROW()-3,$Y$4:$Y$500,0)),"")</f>
      </c>
      <c r="AA413" s="133">
        <f>IF(AND(A413="Модуль",C413&lt;&gt;"",OR($S$6="(все)",B413=$S$6)),MAX($AA$3:AA412)+1,"")</f>
      </c>
      <c r="AB413" s="133">
        <f>IFERROR(INDEX($C$4:$C$500,MATCH(ROW()-3,$AA$4:$AA$500,0)),"")</f>
      </c>
      <c r="AC413" s="133">
        <f>IF(OR(B413="",COUNTIF($B$4:B413,B413)&gt;1),"",MAX($AC$3:AC412)+1)</f>
      </c>
      <c r="AD413" s="133">
        <f>IFERROR(INDEX($B$4:$B$500,MATCH(ROW()-3,$AC$4:$AC$500,0)),"")</f>
      </c>
      <c r="AE413" s="133">
        <f>IF(AND(A413&lt;&gt;"",N(P413)&gt;0),IFERROR(MATCH(A413,$R$12:$R$25,0),99)*1000+ROW(),"")</f>
      </c>
      <c r="AF413" s="133">
        <f>IF(AE413="","",COUNTIF($AE$4:$AE$500,"&lt;="&amp;AE413))</f>
      </c>
    </row>
    <row r="414">
      <c r="A414" s="265"/>
      <c r="B414" s="265"/>
      <c r="C414" s="265"/>
      <c r="D414" s="265"/>
      <c r="E414" s="265"/>
      <c r="F414" s="265"/>
      <c r="G414" s="265"/>
      <c r="H414" s="265"/>
      <c r="I414" s="265"/>
      <c r="J414" s="265"/>
      <c r="K414" s="265"/>
      <c r="L414" s="265"/>
      <c r="M414" s="265"/>
      <c r="N414" s="133">
        <f>IF(OR(A414="Автомат",A414="Дифавтомат"),IF(W414="","",COUNTIF(Однолинейка!$H$3:$H$1000,U414)),IF(A414="Аппарат",IF(C414="","",COUNTIF(Однолинейка!$I$3:$I$1000,C414)+COUNTIF(Однолинейка!$J$3:$J$1000,C414)+COUNTIF(Однолинейка!$K$3:$K$1000,C414)),IF(A414="Модуль",IF(C414="","",COUNTIFS(Однолинейка!$AW$3:$AW$1000,"?*",Однолинейка!$AI$3:$AI$1000,C414)),IF(A414="Клемма",IF(C414="","",IF(C414=$S$7,SUM(Однолинейка!$BW$3:$BW$1000),IF(C414=$S$8,SUM(Однолинейка!$BX$3:$BX$1000),""))),""))))</f>
      </c>
      <c r="O414" s="265"/>
      <c r="P414" s="133">
        <f>IF(COUNT(N414,O414)=0,"",SUM(N414,O414))</f>
      </c>
      <c r="U414" s="133">
        <f>IF(OR(A414="Автомат",A414="Дифавтомат"),I414&amp;" С"&amp;J414&amp;"А"&amp;IF(K414="да"," 30мА",""),"")</f>
      </c>
      <c r="V414" s="133">
        <f>IF(U414="","",B414&amp;"|"&amp;U414)</f>
      </c>
      <c r="W414" s="133">
        <f>IF(AND(U414&lt;&gt;"",OR($S$4="(все)",B414=$S$4),IF($S$4="(все)",COUNTIF($U$4:U414,U414),COUNTIFS($U$4:U414,U414,$B$4:B414,B414))=1),MAX($W$3:W413)+1,"")</f>
      </c>
      <c r="X414" s="133">
        <f>IFERROR(INDEX($U$4:$U$500,MATCH(ROW()-3,$W$4:$W$500,0)),"")</f>
      </c>
      <c r="Y414" s="133">
        <f>IF(AND(A414="Аппарат",C414&lt;&gt;"",OR($S$5="(все)",B414=$S$5)),MAX($Y$3:Y413)+1,"")</f>
      </c>
      <c r="Z414" s="133">
        <f>IFERROR(INDEX($C$4:$C$500,MATCH(ROW()-3,$Y$4:$Y$500,0)),"")</f>
      </c>
      <c r="AA414" s="133">
        <f>IF(AND(A414="Модуль",C414&lt;&gt;"",OR($S$6="(все)",B414=$S$6)),MAX($AA$3:AA413)+1,"")</f>
      </c>
      <c r="AB414" s="133">
        <f>IFERROR(INDEX($C$4:$C$500,MATCH(ROW()-3,$AA$4:$AA$500,0)),"")</f>
      </c>
      <c r="AC414" s="133">
        <f>IF(OR(B414="",COUNTIF($B$4:B414,B414)&gt;1),"",MAX($AC$3:AC413)+1)</f>
      </c>
      <c r="AD414" s="133">
        <f>IFERROR(INDEX($B$4:$B$500,MATCH(ROW()-3,$AC$4:$AC$500,0)),"")</f>
      </c>
      <c r="AE414" s="133">
        <f>IF(AND(A414&lt;&gt;"",N(P414)&gt;0),IFERROR(MATCH(A414,$R$12:$R$25,0),99)*1000+ROW(),"")</f>
      </c>
      <c r="AF414" s="133">
        <f>IF(AE414="","",COUNTIF($AE$4:$AE$500,"&lt;="&amp;AE414))</f>
      </c>
    </row>
    <row r="415">
      <c r="A415" s="265"/>
      <c r="B415" s="265"/>
      <c r="C415" s="265"/>
      <c r="D415" s="265"/>
      <c r="E415" s="265"/>
      <c r="F415" s="265"/>
      <c r="G415" s="265"/>
      <c r="H415" s="265"/>
      <c r="I415" s="265"/>
      <c r="J415" s="265"/>
      <c r="K415" s="265"/>
      <c r="L415" s="265"/>
      <c r="M415" s="265"/>
      <c r="N415" s="133">
        <f>IF(OR(A415="Автомат",A415="Дифавтомат"),IF(W415="","",COUNTIF(Однолинейка!$H$3:$H$1000,U415)),IF(A415="Аппарат",IF(C415="","",COUNTIF(Однолинейка!$I$3:$I$1000,C415)+COUNTIF(Однолинейка!$J$3:$J$1000,C415)+COUNTIF(Однолинейка!$K$3:$K$1000,C415)),IF(A415="Модуль",IF(C415="","",COUNTIFS(Однолинейка!$AW$3:$AW$1000,"?*",Однолинейка!$AI$3:$AI$1000,C415)),IF(A415="Клемма",IF(C415="","",IF(C415=$S$7,SUM(Однолинейка!$BW$3:$BW$1000),IF(C415=$S$8,SUM(Однолинейка!$BX$3:$BX$1000),""))),""))))</f>
      </c>
      <c r="O415" s="265"/>
      <c r="P415" s="133">
        <f>IF(COUNT(N415,O415)=0,"",SUM(N415,O415))</f>
      </c>
      <c r="U415" s="133">
        <f>IF(OR(A415="Автомат",A415="Дифавтомат"),I415&amp;" С"&amp;J415&amp;"А"&amp;IF(K415="да"," 30мА",""),"")</f>
      </c>
      <c r="V415" s="133">
        <f>IF(U415="","",B415&amp;"|"&amp;U415)</f>
      </c>
      <c r="W415" s="133">
        <f>IF(AND(U415&lt;&gt;"",OR($S$4="(все)",B415=$S$4),IF($S$4="(все)",COUNTIF($U$4:U415,U415),COUNTIFS($U$4:U415,U415,$B$4:B415,B415))=1),MAX($W$3:W414)+1,"")</f>
      </c>
      <c r="X415" s="133">
        <f>IFERROR(INDEX($U$4:$U$500,MATCH(ROW()-3,$W$4:$W$500,0)),"")</f>
      </c>
      <c r="Y415" s="133">
        <f>IF(AND(A415="Аппарат",C415&lt;&gt;"",OR($S$5="(все)",B415=$S$5)),MAX($Y$3:Y414)+1,"")</f>
      </c>
      <c r="Z415" s="133">
        <f>IFERROR(INDEX($C$4:$C$500,MATCH(ROW()-3,$Y$4:$Y$500,0)),"")</f>
      </c>
      <c r="AA415" s="133">
        <f>IF(AND(A415="Модуль",C415&lt;&gt;"",OR($S$6="(все)",B415=$S$6)),MAX($AA$3:AA414)+1,"")</f>
      </c>
      <c r="AB415" s="133">
        <f>IFERROR(INDEX($C$4:$C$500,MATCH(ROW()-3,$AA$4:$AA$500,0)),"")</f>
      </c>
      <c r="AC415" s="133">
        <f>IF(OR(B415="",COUNTIF($B$4:B415,B415)&gt;1),"",MAX($AC$3:AC414)+1)</f>
      </c>
      <c r="AD415" s="133">
        <f>IFERROR(INDEX($B$4:$B$500,MATCH(ROW()-3,$AC$4:$AC$500,0)),"")</f>
      </c>
      <c r="AE415" s="133">
        <f>IF(AND(A415&lt;&gt;"",N(P415)&gt;0),IFERROR(MATCH(A415,$R$12:$R$25,0),99)*1000+ROW(),"")</f>
      </c>
      <c r="AF415" s="133">
        <f>IF(AE415="","",COUNTIF($AE$4:$AE$500,"&lt;="&amp;AE415))</f>
      </c>
    </row>
    <row r="416">
      <c r="A416" s="265"/>
      <c r="B416" s="265"/>
      <c r="C416" s="265"/>
      <c r="D416" s="265"/>
      <c r="E416" s="265"/>
      <c r="F416" s="265"/>
      <c r="G416" s="265"/>
      <c r="H416" s="265"/>
      <c r="I416" s="265"/>
      <c r="J416" s="265"/>
      <c r="K416" s="265"/>
      <c r="L416" s="265"/>
      <c r="M416" s="265"/>
      <c r="N416" s="133">
        <f>IF(OR(A416="Автомат",A416="Дифавтомат"),IF(W416="","",COUNTIF(Однолинейка!$H$3:$H$1000,U416)),IF(A416="Аппарат",IF(C416="","",COUNTIF(Однолинейка!$I$3:$I$1000,C416)+COUNTIF(Однолинейка!$J$3:$J$1000,C416)+COUNTIF(Однолинейка!$K$3:$K$1000,C416)),IF(A416="Модуль",IF(C416="","",COUNTIFS(Однолинейка!$AW$3:$AW$1000,"?*",Однолинейка!$AI$3:$AI$1000,C416)),IF(A416="Клемма",IF(C416="","",IF(C416=$S$7,SUM(Однолинейка!$BW$3:$BW$1000),IF(C416=$S$8,SUM(Однолинейка!$BX$3:$BX$1000),""))),""))))</f>
      </c>
      <c r="O416" s="265"/>
      <c r="P416" s="133">
        <f>IF(COUNT(N416,O416)=0,"",SUM(N416,O416))</f>
      </c>
      <c r="U416" s="133">
        <f>IF(OR(A416="Автомат",A416="Дифавтомат"),I416&amp;" С"&amp;J416&amp;"А"&amp;IF(K416="да"," 30мА",""),"")</f>
      </c>
      <c r="V416" s="133">
        <f>IF(U416="","",B416&amp;"|"&amp;U416)</f>
      </c>
      <c r="W416" s="133">
        <f>IF(AND(U416&lt;&gt;"",OR($S$4="(все)",B416=$S$4),IF($S$4="(все)",COUNTIF($U$4:U416,U416),COUNTIFS($U$4:U416,U416,$B$4:B416,B416))=1),MAX($W$3:W415)+1,"")</f>
      </c>
      <c r="X416" s="133">
        <f>IFERROR(INDEX($U$4:$U$500,MATCH(ROW()-3,$W$4:$W$500,0)),"")</f>
      </c>
      <c r="Y416" s="133">
        <f>IF(AND(A416="Аппарат",C416&lt;&gt;"",OR($S$5="(все)",B416=$S$5)),MAX($Y$3:Y415)+1,"")</f>
      </c>
      <c r="Z416" s="133">
        <f>IFERROR(INDEX($C$4:$C$500,MATCH(ROW()-3,$Y$4:$Y$500,0)),"")</f>
      </c>
      <c r="AA416" s="133">
        <f>IF(AND(A416="Модуль",C416&lt;&gt;"",OR($S$6="(все)",B416=$S$6)),MAX($AA$3:AA415)+1,"")</f>
      </c>
      <c r="AB416" s="133">
        <f>IFERROR(INDEX($C$4:$C$500,MATCH(ROW()-3,$AA$4:$AA$500,0)),"")</f>
      </c>
      <c r="AC416" s="133">
        <f>IF(OR(B416="",COUNTIF($B$4:B416,B416)&gt;1),"",MAX($AC$3:AC415)+1)</f>
      </c>
      <c r="AD416" s="133">
        <f>IFERROR(INDEX($B$4:$B$500,MATCH(ROW()-3,$AC$4:$AC$500,0)),"")</f>
      </c>
      <c r="AE416" s="133">
        <f>IF(AND(A416&lt;&gt;"",N(P416)&gt;0),IFERROR(MATCH(A416,$R$12:$R$25,0),99)*1000+ROW(),"")</f>
      </c>
      <c r="AF416" s="133">
        <f>IF(AE416="","",COUNTIF($AE$4:$AE$500,"&lt;="&amp;AE416))</f>
      </c>
    </row>
    <row r="417">
      <c r="A417" s="265"/>
      <c r="B417" s="265"/>
      <c r="C417" s="265"/>
      <c r="D417" s="265"/>
      <c r="E417" s="265"/>
      <c r="F417" s="265"/>
      <c r="G417" s="265"/>
      <c r="H417" s="265"/>
      <c r="I417" s="265"/>
      <c r="J417" s="265"/>
      <c r="K417" s="265"/>
      <c r="L417" s="265"/>
      <c r="M417" s="265"/>
      <c r="N417" s="133">
        <f>IF(OR(A417="Автомат",A417="Дифавтомат"),IF(W417="","",COUNTIF(Однолинейка!$H$3:$H$1000,U417)),IF(A417="Аппарат",IF(C417="","",COUNTIF(Однолинейка!$I$3:$I$1000,C417)+COUNTIF(Однолинейка!$J$3:$J$1000,C417)+COUNTIF(Однолинейка!$K$3:$K$1000,C417)),IF(A417="Модуль",IF(C417="","",COUNTIFS(Однолинейка!$AW$3:$AW$1000,"?*",Однолинейка!$AI$3:$AI$1000,C417)),IF(A417="Клемма",IF(C417="","",IF(C417=$S$7,SUM(Однолинейка!$BW$3:$BW$1000),IF(C417=$S$8,SUM(Однолинейка!$BX$3:$BX$1000),""))),""))))</f>
      </c>
      <c r="O417" s="265"/>
      <c r="P417" s="133">
        <f>IF(COUNT(N417,O417)=0,"",SUM(N417,O417))</f>
      </c>
      <c r="U417" s="133">
        <f>IF(OR(A417="Автомат",A417="Дифавтомат"),I417&amp;" С"&amp;J417&amp;"А"&amp;IF(K417="да"," 30мА",""),"")</f>
      </c>
      <c r="V417" s="133">
        <f>IF(U417="","",B417&amp;"|"&amp;U417)</f>
      </c>
      <c r="W417" s="133">
        <f>IF(AND(U417&lt;&gt;"",OR($S$4="(все)",B417=$S$4),IF($S$4="(все)",COUNTIF($U$4:U417,U417),COUNTIFS($U$4:U417,U417,$B$4:B417,B417))=1),MAX($W$3:W416)+1,"")</f>
      </c>
      <c r="X417" s="133">
        <f>IFERROR(INDEX($U$4:$U$500,MATCH(ROW()-3,$W$4:$W$500,0)),"")</f>
      </c>
      <c r="Y417" s="133">
        <f>IF(AND(A417="Аппарат",C417&lt;&gt;"",OR($S$5="(все)",B417=$S$5)),MAX($Y$3:Y416)+1,"")</f>
      </c>
      <c r="Z417" s="133">
        <f>IFERROR(INDEX($C$4:$C$500,MATCH(ROW()-3,$Y$4:$Y$500,0)),"")</f>
      </c>
      <c r="AA417" s="133">
        <f>IF(AND(A417="Модуль",C417&lt;&gt;"",OR($S$6="(все)",B417=$S$6)),MAX($AA$3:AA416)+1,"")</f>
      </c>
      <c r="AB417" s="133">
        <f>IFERROR(INDEX($C$4:$C$500,MATCH(ROW()-3,$AA$4:$AA$500,0)),"")</f>
      </c>
      <c r="AC417" s="133">
        <f>IF(OR(B417="",COUNTIF($B$4:B417,B417)&gt;1),"",MAX($AC$3:AC416)+1)</f>
      </c>
      <c r="AD417" s="133">
        <f>IFERROR(INDEX($B$4:$B$500,MATCH(ROW()-3,$AC$4:$AC$500,0)),"")</f>
      </c>
      <c r="AE417" s="133">
        <f>IF(AND(A417&lt;&gt;"",N(P417)&gt;0),IFERROR(MATCH(A417,$R$12:$R$25,0),99)*1000+ROW(),"")</f>
      </c>
      <c r="AF417" s="133">
        <f>IF(AE417="","",COUNTIF($AE$4:$AE$500,"&lt;="&amp;AE417))</f>
      </c>
    </row>
    <row r="418">
      <c r="A418" s="265"/>
      <c r="B418" s="265"/>
      <c r="C418" s="265"/>
      <c r="D418" s="265"/>
      <c r="E418" s="265"/>
      <c r="F418" s="265"/>
      <c r="G418" s="265"/>
      <c r="H418" s="265"/>
      <c r="I418" s="265"/>
      <c r="J418" s="265"/>
      <c r="K418" s="265"/>
      <c r="L418" s="265"/>
      <c r="M418" s="265"/>
      <c r="N418" s="133">
        <f>IF(OR(A418="Автомат",A418="Дифавтомат"),IF(W418="","",COUNTIF(Однолинейка!$H$3:$H$1000,U418)),IF(A418="Аппарат",IF(C418="","",COUNTIF(Однолинейка!$I$3:$I$1000,C418)+COUNTIF(Однолинейка!$J$3:$J$1000,C418)+COUNTIF(Однолинейка!$K$3:$K$1000,C418)),IF(A418="Модуль",IF(C418="","",COUNTIFS(Однолинейка!$AW$3:$AW$1000,"?*",Однолинейка!$AI$3:$AI$1000,C418)),IF(A418="Клемма",IF(C418="","",IF(C418=$S$7,SUM(Однолинейка!$BW$3:$BW$1000),IF(C418=$S$8,SUM(Однолинейка!$BX$3:$BX$1000),""))),""))))</f>
      </c>
      <c r="O418" s="265"/>
      <c r="P418" s="133">
        <f>IF(COUNT(N418,O418)=0,"",SUM(N418,O418))</f>
      </c>
      <c r="U418" s="133">
        <f>IF(OR(A418="Автомат",A418="Дифавтомат"),I418&amp;" С"&amp;J418&amp;"А"&amp;IF(K418="да"," 30мА",""),"")</f>
      </c>
      <c r="V418" s="133">
        <f>IF(U418="","",B418&amp;"|"&amp;U418)</f>
      </c>
      <c r="W418" s="133">
        <f>IF(AND(U418&lt;&gt;"",OR($S$4="(все)",B418=$S$4),IF($S$4="(все)",COUNTIF($U$4:U418,U418),COUNTIFS($U$4:U418,U418,$B$4:B418,B418))=1),MAX($W$3:W417)+1,"")</f>
      </c>
      <c r="X418" s="133">
        <f>IFERROR(INDEX($U$4:$U$500,MATCH(ROW()-3,$W$4:$W$500,0)),"")</f>
      </c>
      <c r="Y418" s="133">
        <f>IF(AND(A418="Аппарат",C418&lt;&gt;"",OR($S$5="(все)",B418=$S$5)),MAX($Y$3:Y417)+1,"")</f>
      </c>
      <c r="Z418" s="133">
        <f>IFERROR(INDEX($C$4:$C$500,MATCH(ROW()-3,$Y$4:$Y$500,0)),"")</f>
      </c>
      <c r="AA418" s="133">
        <f>IF(AND(A418="Модуль",C418&lt;&gt;"",OR($S$6="(все)",B418=$S$6)),MAX($AA$3:AA417)+1,"")</f>
      </c>
      <c r="AB418" s="133">
        <f>IFERROR(INDEX($C$4:$C$500,MATCH(ROW()-3,$AA$4:$AA$500,0)),"")</f>
      </c>
      <c r="AC418" s="133">
        <f>IF(OR(B418="",COUNTIF($B$4:B418,B418)&gt;1),"",MAX($AC$3:AC417)+1)</f>
      </c>
      <c r="AD418" s="133">
        <f>IFERROR(INDEX($B$4:$B$500,MATCH(ROW()-3,$AC$4:$AC$500,0)),"")</f>
      </c>
      <c r="AE418" s="133">
        <f>IF(AND(A418&lt;&gt;"",N(P418)&gt;0),IFERROR(MATCH(A418,$R$12:$R$25,0),99)*1000+ROW(),"")</f>
      </c>
      <c r="AF418" s="133">
        <f>IF(AE418="","",COUNTIF($AE$4:$AE$500,"&lt;="&amp;AE418))</f>
      </c>
    </row>
    <row r="419">
      <c r="A419" s="265"/>
      <c r="B419" s="265"/>
      <c r="C419" s="265"/>
      <c r="D419" s="265"/>
      <c r="E419" s="265"/>
      <c r="F419" s="265"/>
      <c r="G419" s="265"/>
      <c r="H419" s="265"/>
      <c r="I419" s="265"/>
      <c r="J419" s="265"/>
      <c r="K419" s="265"/>
      <c r="L419" s="265"/>
      <c r="M419" s="265"/>
      <c r="N419" s="133">
        <f>IF(OR(A419="Автомат",A419="Дифавтомат"),IF(W419="","",COUNTIF(Однолинейка!$H$3:$H$1000,U419)),IF(A419="Аппарат",IF(C419="","",COUNTIF(Однолинейка!$I$3:$I$1000,C419)+COUNTIF(Однолинейка!$J$3:$J$1000,C419)+COUNTIF(Однолинейка!$K$3:$K$1000,C419)),IF(A419="Модуль",IF(C419="","",COUNTIFS(Однолинейка!$AW$3:$AW$1000,"?*",Однолинейка!$AI$3:$AI$1000,C419)),IF(A419="Клемма",IF(C419="","",IF(C419=$S$7,SUM(Однолинейка!$BW$3:$BW$1000),IF(C419=$S$8,SUM(Однолинейка!$BX$3:$BX$1000),""))),""))))</f>
      </c>
      <c r="O419" s="265"/>
      <c r="P419" s="133">
        <f>IF(COUNT(N419,O419)=0,"",SUM(N419,O419))</f>
      </c>
      <c r="U419" s="133">
        <f>IF(OR(A419="Автомат",A419="Дифавтомат"),I419&amp;" С"&amp;J419&amp;"А"&amp;IF(K419="да"," 30мА",""),"")</f>
      </c>
      <c r="V419" s="133">
        <f>IF(U419="","",B419&amp;"|"&amp;U419)</f>
      </c>
      <c r="W419" s="133">
        <f>IF(AND(U419&lt;&gt;"",OR($S$4="(все)",B419=$S$4),IF($S$4="(все)",COUNTIF($U$4:U419,U419),COUNTIFS($U$4:U419,U419,$B$4:B419,B419))=1),MAX($W$3:W418)+1,"")</f>
      </c>
      <c r="X419" s="133">
        <f>IFERROR(INDEX($U$4:$U$500,MATCH(ROW()-3,$W$4:$W$500,0)),"")</f>
      </c>
      <c r="Y419" s="133">
        <f>IF(AND(A419="Аппарат",C419&lt;&gt;"",OR($S$5="(все)",B419=$S$5)),MAX($Y$3:Y418)+1,"")</f>
      </c>
      <c r="Z419" s="133">
        <f>IFERROR(INDEX($C$4:$C$500,MATCH(ROW()-3,$Y$4:$Y$500,0)),"")</f>
      </c>
      <c r="AA419" s="133">
        <f>IF(AND(A419="Модуль",C419&lt;&gt;"",OR($S$6="(все)",B419=$S$6)),MAX($AA$3:AA418)+1,"")</f>
      </c>
      <c r="AB419" s="133">
        <f>IFERROR(INDEX($C$4:$C$500,MATCH(ROW()-3,$AA$4:$AA$500,0)),"")</f>
      </c>
      <c r="AC419" s="133">
        <f>IF(OR(B419="",COUNTIF($B$4:B419,B419)&gt;1),"",MAX($AC$3:AC418)+1)</f>
      </c>
      <c r="AD419" s="133">
        <f>IFERROR(INDEX($B$4:$B$500,MATCH(ROW()-3,$AC$4:$AC$500,0)),"")</f>
      </c>
      <c r="AE419" s="133">
        <f>IF(AND(A419&lt;&gt;"",N(P419)&gt;0),IFERROR(MATCH(A419,$R$12:$R$25,0),99)*1000+ROW(),"")</f>
      </c>
      <c r="AF419" s="133">
        <f>IF(AE419="","",COUNTIF($AE$4:$AE$500,"&lt;="&amp;AE419))</f>
      </c>
    </row>
    <row r="420">
      <c r="A420" s="265"/>
      <c r="B420" s="265"/>
      <c r="C420" s="265"/>
      <c r="D420" s="265"/>
      <c r="E420" s="265"/>
      <c r="F420" s="265"/>
      <c r="G420" s="265"/>
      <c r="H420" s="265"/>
      <c r="I420" s="265"/>
      <c r="J420" s="265"/>
      <c r="K420" s="265"/>
      <c r="L420" s="265"/>
      <c r="M420" s="265"/>
      <c r="N420" s="133">
        <f>IF(OR(A420="Автомат",A420="Дифавтомат"),IF(W420="","",COUNTIF(Однолинейка!$H$3:$H$1000,U420)),IF(A420="Аппарат",IF(C420="","",COUNTIF(Однолинейка!$I$3:$I$1000,C420)+COUNTIF(Однолинейка!$J$3:$J$1000,C420)+COUNTIF(Однолинейка!$K$3:$K$1000,C420)),IF(A420="Модуль",IF(C420="","",COUNTIFS(Однолинейка!$AW$3:$AW$1000,"?*",Однолинейка!$AI$3:$AI$1000,C420)),IF(A420="Клемма",IF(C420="","",IF(C420=$S$7,SUM(Однолинейка!$BW$3:$BW$1000),IF(C420=$S$8,SUM(Однолинейка!$BX$3:$BX$1000),""))),""))))</f>
      </c>
      <c r="O420" s="265"/>
      <c r="P420" s="133">
        <f>IF(COUNT(N420,O420)=0,"",SUM(N420,O420))</f>
      </c>
      <c r="U420" s="133">
        <f>IF(OR(A420="Автомат",A420="Дифавтомат"),I420&amp;" С"&amp;J420&amp;"А"&amp;IF(K420="да"," 30мА",""),"")</f>
      </c>
      <c r="V420" s="133">
        <f>IF(U420="","",B420&amp;"|"&amp;U420)</f>
      </c>
      <c r="W420" s="133">
        <f>IF(AND(U420&lt;&gt;"",OR($S$4="(все)",B420=$S$4),IF($S$4="(все)",COUNTIF($U$4:U420,U420),COUNTIFS($U$4:U420,U420,$B$4:B420,B420))=1),MAX($W$3:W419)+1,"")</f>
      </c>
      <c r="X420" s="133">
        <f>IFERROR(INDEX($U$4:$U$500,MATCH(ROW()-3,$W$4:$W$500,0)),"")</f>
      </c>
      <c r="Y420" s="133">
        <f>IF(AND(A420="Аппарат",C420&lt;&gt;"",OR($S$5="(все)",B420=$S$5)),MAX($Y$3:Y419)+1,"")</f>
      </c>
      <c r="Z420" s="133">
        <f>IFERROR(INDEX($C$4:$C$500,MATCH(ROW()-3,$Y$4:$Y$500,0)),"")</f>
      </c>
      <c r="AA420" s="133">
        <f>IF(AND(A420="Модуль",C420&lt;&gt;"",OR($S$6="(все)",B420=$S$6)),MAX($AA$3:AA419)+1,"")</f>
      </c>
      <c r="AB420" s="133">
        <f>IFERROR(INDEX($C$4:$C$500,MATCH(ROW()-3,$AA$4:$AA$500,0)),"")</f>
      </c>
      <c r="AC420" s="133">
        <f>IF(OR(B420="",COUNTIF($B$4:B420,B420)&gt;1),"",MAX($AC$3:AC419)+1)</f>
      </c>
      <c r="AD420" s="133">
        <f>IFERROR(INDEX($B$4:$B$500,MATCH(ROW()-3,$AC$4:$AC$500,0)),"")</f>
      </c>
      <c r="AE420" s="133">
        <f>IF(AND(A420&lt;&gt;"",N(P420)&gt;0),IFERROR(MATCH(A420,$R$12:$R$25,0),99)*1000+ROW(),"")</f>
      </c>
      <c r="AF420" s="133">
        <f>IF(AE420="","",COUNTIF($AE$4:$AE$500,"&lt;="&amp;AE420))</f>
      </c>
    </row>
    <row r="421">
      <c r="A421" s="265"/>
      <c r="B421" s="265"/>
      <c r="C421" s="265"/>
      <c r="D421" s="265"/>
      <c r="E421" s="265"/>
      <c r="F421" s="265"/>
      <c r="G421" s="265"/>
      <c r="H421" s="265"/>
      <c r="I421" s="265"/>
      <c r="J421" s="265"/>
      <c r="K421" s="265"/>
      <c r="L421" s="265"/>
      <c r="M421" s="265"/>
      <c r="N421" s="133">
        <f>IF(OR(A421="Автомат",A421="Дифавтомат"),IF(W421="","",COUNTIF(Однолинейка!$H$3:$H$1000,U421)),IF(A421="Аппарат",IF(C421="","",COUNTIF(Однолинейка!$I$3:$I$1000,C421)+COUNTIF(Однолинейка!$J$3:$J$1000,C421)+COUNTIF(Однолинейка!$K$3:$K$1000,C421)),IF(A421="Модуль",IF(C421="","",COUNTIFS(Однолинейка!$AW$3:$AW$1000,"?*",Однолинейка!$AI$3:$AI$1000,C421)),IF(A421="Клемма",IF(C421="","",IF(C421=$S$7,SUM(Однолинейка!$BW$3:$BW$1000),IF(C421=$S$8,SUM(Однолинейка!$BX$3:$BX$1000),""))),""))))</f>
      </c>
      <c r="O421" s="265"/>
      <c r="P421" s="133">
        <f>IF(COUNT(N421,O421)=0,"",SUM(N421,O421))</f>
      </c>
      <c r="U421" s="133">
        <f>IF(OR(A421="Автомат",A421="Дифавтомат"),I421&amp;" С"&amp;J421&amp;"А"&amp;IF(K421="да"," 30мА",""),"")</f>
      </c>
      <c r="V421" s="133">
        <f>IF(U421="","",B421&amp;"|"&amp;U421)</f>
      </c>
      <c r="W421" s="133">
        <f>IF(AND(U421&lt;&gt;"",OR($S$4="(все)",B421=$S$4),IF($S$4="(все)",COUNTIF($U$4:U421,U421),COUNTIFS($U$4:U421,U421,$B$4:B421,B421))=1),MAX($W$3:W420)+1,"")</f>
      </c>
      <c r="X421" s="133">
        <f>IFERROR(INDEX($U$4:$U$500,MATCH(ROW()-3,$W$4:$W$500,0)),"")</f>
      </c>
      <c r="Y421" s="133">
        <f>IF(AND(A421="Аппарат",C421&lt;&gt;"",OR($S$5="(все)",B421=$S$5)),MAX($Y$3:Y420)+1,"")</f>
      </c>
      <c r="Z421" s="133">
        <f>IFERROR(INDEX($C$4:$C$500,MATCH(ROW()-3,$Y$4:$Y$500,0)),"")</f>
      </c>
      <c r="AA421" s="133">
        <f>IF(AND(A421="Модуль",C421&lt;&gt;"",OR($S$6="(все)",B421=$S$6)),MAX($AA$3:AA420)+1,"")</f>
      </c>
      <c r="AB421" s="133">
        <f>IFERROR(INDEX($C$4:$C$500,MATCH(ROW()-3,$AA$4:$AA$500,0)),"")</f>
      </c>
      <c r="AC421" s="133">
        <f>IF(OR(B421="",COUNTIF($B$4:B421,B421)&gt;1),"",MAX($AC$3:AC420)+1)</f>
      </c>
      <c r="AD421" s="133">
        <f>IFERROR(INDEX($B$4:$B$500,MATCH(ROW()-3,$AC$4:$AC$500,0)),"")</f>
      </c>
      <c r="AE421" s="133">
        <f>IF(AND(A421&lt;&gt;"",N(P421)&gt;0),IFERROR(MATCH(A421,$R$12:$R$25,0),99)*1000+ROW(),"")</f>
      </c>
      <c r="AF421" s="133">
        <f>IF(AE421="","",COUNTIF($AE$4:$AE$500,"&lt;="&amp;AE421))</f>
      </c>
    </row>
    <row r="422">
      <c r="A422" s="265"/>
      <c r="B422" s="265"/>
      <c r="C422" s="265"/>
      <c r="D422" s="265"/>
      <c r="E422" s="265"/>
      <c r="F422" s="265"/>
      <c r="G422" s="265"/>
      <c r="H422" s="265"/>
      <c r="I422" s="265"/>
      <c r="J422" s="265"/>
      <c r="K422" s="265"/>
      <c r="L422" s="265"/>
      <c r="M422" s="265"/>
      <c r="N422" s="133">
        <f>IF(OR(A422="Автомат",A422="Дифавтомат"),IF(W422="","",COUNTIF(Однолинейка!$H$3:$H$1000,U422)),IF(A422="Аппарат",IF(C422="","",COUNTIF(Однолинейка!$I$3:$I$1000,C422)+COUNTIF(Однолинейка!$J$3:$J$1000,C422)+COUNTIF(Однолинейка!$K$3:$K$1000,C422)),IF(A422="Модуль",IF(C422="","",COUNTIFS(Однолинейка!$AW$3:$AW$1000,"?*",Однолинейка!$AI$3:$AI$1000,C422)),IF(A422="Клемма",IF(C422="","",IF(C422=$S$7,SUM(Однолинейка!$BW$3:$BW$1000),IF(C422=$S$8,SUM(Однолинейка!$BX$3:$BX$1000),""))),""))))</f>
      </c>
      <c r="O422" s="265"/>
      <c r="P422" s="133">
        <f>IF(COUNT(N422,O422)=0,"",SUM(N422,O422))</f>
      </c>
      <c r="U422" s="133">
        <f>IF(OR(A422="Автомат",A422="Дифавтомат"),I422&amp;" С"&amp;J422&amp;"А"&amp;IF(K422="да"," 30мА",""),"")</f>
      </c>
      <c r="V422" s="133">
        <f>IF(U422="","",B422&amp;"|"&amp;U422)</f>
      </c>
      <c r="W422" s="133">
        <f>IF(AND(U422&lt;&gt;"",OR($S$4="(все)",B422=$S$4),IF($S$4="(все)",COUNTIF($U$4:U422,U422),COUNTIFS($U$4:U422,U422,$B$4:B422,B422))=1),MAX($W$3:W421)+1,"")</f>
      </c>
      <c r="X422" s="133">
        <f>IFERROR(INDEX($U$4:$U$500,MATCH(ROW()-3,$W$4:$W$500,0)),"")</f>
      </c>
      <c r="Y422" s="133">
        <f>IF(AND(A422="Аппарат",C422&lt;&gt;"",OR($S$5="(все)",B422=$S$5)),MAX($Y$3:Y421)+1,"")</f>
      </c>
      <c r="Z422" s="133">
        <f>IFERROR(INDEX($C$4:$C$500,MATCH(ROW()-3,$Y$4:$Y$500,0)),"")</f>
      </c>
      <c r="AA422" s="133">
        <f>IF(AND(A422="Модуль",C422&lt;&gt;"",OR($S$6="(все)",B422=$S$6)),MAX($AA$3:AA421)+1,"")</f>
      </c>
      <c r="AB422" s="133">
        <f>IFERROR(INDEX($C$4:$C$500,MATCH(ROW()-3,$AA$4:$AA$500,0)),"")</f>
      </c>
      <c r="AC422" s="133">
        <f>IF(OR(B422="",COUNTIF($B$4:B422,B422)&gt;1),"",MAX($AC$3:AC421)+1)</f>
      </c>
      <c r="AD422" s="133">
        <f>IFERROR(INDEX($B$4:$B$500,MATCH(ROW()-3,$AC$4:$AC$500,0)),"")</f>
      </c>
      <c r="AE422" s="133">
        <f>IF(AND(A422&lt;&gt;"",N(P422)&gt;0),IFERROR(MATCH(A422,$R$12:$R$25,0),99)*1000+ROW(),"")</f>
      </c>
      <c r="AF422" s="133">
        <f>IF(AE422="","",COUNTIF($AE$4:$AE$500,"&lt;="&amp;AE422))</f>
      </c>
    </row>
    <row r="423">
      <c r="A423" s="265"/>
      <c r="B423" s="265"/>
      <c r="C423" s="265"/>
      <c r="D423" s="265"/>
      <c r="E423" s="265"/>
      <c r="F423" s="265"/>
      <c r="G423" s="265"/>
      <c r="H423" s="265"/>
      <c r="I423" s="265"/>
      <c r="J423" s="265"/>
      <c r="K423" s="265"/>
      <c r="L423" s="265"/>
      <c r="M423" s="265"/>
      <c r="N423" s="133">
        <f>IF(OR(A423="Автомат",A423="Дифавтомат"),IF(W423="","",COUNTIF(Однолинейка!$H$3:$H$1000,U423)),IF(A423="Аппарат",IF(C423="","",COUNTIF(Однолинейка!$I$3:$I$1000,C423)+COUNTIF(Однолинейка!$J$3:$J$1000,C423)+COUNTIF(Однолинейка!$K$3:$K$1000,C423)),IF(A423="Модуль",IF(C423="","",COUNTIFS(Однолинейка!$AW$3:$AW$1000,"?*",Однолинейка!$AI$3:$AI$1000,C423)),IF(A423="Клемма",IF(C423="","",IF(C423=$S$7,SUM(Однолинейка!$BW$3:$BW$1000),IF(C423=$S$8,SUM(Однолинейка!$BX$3:$BX$1000),""))),""))))</f>
      </c>
      <c r="O423" s="265"/>
      <c r="P423" s="133">
        <f>IF(COUNT(N423,O423)=0,"",SUM(N423,O423))</f>
      </c>
      <c r="U423" s="133">
        <f>IF(OR(A423="Автомат",A423="Дифавтомат"),I423&amp;" С"&amp;J423&amp;"А"&amp;IF(K423="да"," 30мА",""),"")</f>
      </c>
      <c r="V423" s="133">
        <f>IF(U423="","",B423&amp;"|"&amp;U423)</f>
      </c>
      <c r="W423" s="133">
        <f>IF(AND(U423&lt;&gt;"",OR($S$4="(все)",B423=$S$4),IF($S$4="(все)",COUNTIF($U$4:U423,U423),COUNTIFS($U$4:U423,U423,$B$4:B423,B423))=1),MAX($W$3:W422)+1,"")</f>
      </c>
      <c r="X423" s="133">
        <f>IFERROR(INDEX($U$4:$U$500,MATCH(ROW()-3,$W$4:$W$500,0)),"")</f>
      </c>
      <c r="Y423" s="133">
        <f>IF(AND(A423="Аппарат",C423&lt;&gt;"",OR($S$5="(все)",B423=$S$5)),MAX($Y$3:Y422)+1,"")</f>
      </c>
      <c r="Z423" s="133">
        <f>IFERROR(INDEX($C$4:$C$500,MATCH(ROW()-3,$Y$4:$Y$500,0)),"")</f>
      </c>
      <c r="AA423" s="133">
        <f>IF(AND(A423="Модуль",C423&lt;&gt;"",OR($S$6="(все)",B423=$S$6)),MAX($AA$3:AA422)+1,"")</f>
      </c>
      <c r="AB423" s="133">
        <f>IFERROR(INDEX($C$4:$C$500,MATCH(ROW()-3,$AA$4:$AA$500,0)),"")</f>
      </c>
      <c r="AC423" s="133">
        <f>IF(OR(B423="",COUNTIF($B$4:B423,B423)&gt;1),"",MAX($AC$3:AC422)+1)</f>
      </c>
      <c r="AD423" s="133">
        <f>IFERROR(INDEX($B$4:$B$500,MATCH(ROW()-3,$AC$4:$AC$500,0)),"")</f>
      </c>
      <c r="AE423" s="133">
        <f>IF(AND(A423&lt;&gt;"",N(P423)&gt;0),IFERROR(MATCH(A423,$R$12:$R$25,0),99)*1000+ROW(),"")</f>
      </c>
      <c r="AF423" s="133">
        <f>IF(AE423="","",COUNTIF($AE$4:$AE$500,"&lt;="&amp;AE423))</f>
      </c>
    </row>
    <row r="424">
      <c r="A424" s="265"/>
      <c r="B424" s="265"/>
      <c r="C424" s="265"/>
      <c r="D424" s="265"/>
      <c r="E424" s="265"/>
      <c r="F424" s="265"/>
      <c r="G424" s="265"/>
      <c r="H424" s="265"/>
      <c r="I424" s="265"/>
      <c r="J424" s="265"/>
      <c r="K424" s="265"/>
      <c r="L424" s="265"/>
      <c r="M424" s="265"/>
      <c r="N424" s="133">
        <f>IF(OR(A424="Автомат",A424="Дифавтомат"),IF(W424="","",COUNTIF(Однолинейка!$H$3:$H$1000,U424)),IF(A424="Аппарат",IF(C424="","",COUNTIF(Однолинейка!$I$3:$I$1000,C424)+COUNTIF(Однолинейка!$J$3:$J$1000,C424)+COUNTIF(Однолинейка!$K$3:$K$1000,C424)),IF(A424="Модуль",IF(C424="","",COUNTIFS(Однолинейка!$AW$3:$AW$1000,"?*",Однолинейка!$AI$3:$AI$1000,C424)),IF(A424="Клемма",IF(C424="","",IF(C424=$S$7,SUM(Однолинейка!$BW$3:$BW$1000),IF(C424=$S$8,SUM(Однолинейка!$BX$3:$BX$1000),""))),""))))</f>
      </c>
      <c r="O424" s="265"/>
      <c r="P424" s="133">
        <f>IF(COUNT(N424,O424)=0,"",SUM(N424,O424))</f>
      </c>
      <c r="U424" s="133">
        <f>IF(OR(A424="Автомат",A424="Дифавтомат"),I424&amp;" С"&amp;J424&amp;"А"&amp;IF(K424="да"," 30мА",""),"")</f>
      </c>
      <c r="V424" s="133">
        <f>IF(U424="","",B424&amp;"|"&amp;U424)</f>
      </c>
      <c r="W424" s="133">
        <f>IF(AND(U424&lt;&gt;"",OR($S$4="(все)",B424=$S$4),IF($S$4="(все)",COUNTIF($U$4:U424,U424),COUNTIFS($U$4:U424,U424,$B$4:B424,B424))=1),MAX($W$3:W423)+1,"")</f>
      </c>
      <c r="X424" s="133">
        <f>IFERROR(INDEX($U$4:$U$500,MATCH(ROW()-3,$W$4:$W$500,0)),"")</f>
      </c>
      <c r="Y424" s="133">
        <f>IF(AND(A424="Аппарат",C424&lt;&gt;"",OR($S$5="(все)",B424=$S$5)),MAX($Y$3:Y423)+1,"")</f>
      </c>
      <c r="Z424" s="133">
        <f>IFERROR(INDEX($C$4:$C$500,MATCH(ROW()-3,$Y$4:$Y$500,0)),"")</f>
      </c>
      <c r="AA424" s="133">
        <f>IF(AND(A424="Модуль",C424&lt;&gt;"",OR($S$6="(все)",B424=$S$6)),MAX($AA$3:AA423)+1,"")</f>
      </c>
      <c r="AB424" s="133">
        <f>IFERROR(INDEX($C$4:$C$500,MATCH(ROW()-3,$AA$4:$AA$500,0)),"")</f>
      </c>
      <c r="AC424" s="133">
        <f>IF(OR(B424="",COUNTIF($B$4:B424,B424)&gt;1),"",MAX($AC$3:AC423)+1)</f>
      </c>
      <c r="AD424" s="133">
        <f>IFERROR(INDEX($B$4:$B$500,MATCH(ROW()-3,$AC$4:$AC$500,0)),"")</f>
      </c>
      <c r="AE424" s="133">
        <f>IF(AND(A424&lt;&gt;"",N(P424)&gt;0),IFERROR(MATCH(A424,$R$12:$R$25,0),99)*1000+ROW(),"")</f>
      </c>
      <c r="AF424" s="133">
        <f>IF(AE424="","",COUNTIF($AE$4:$AE$500,"&lt;="&amp;AE424))</f>
      </c>
    </row>
    <row r="425">
      <c r="A425" s="265"/>
      <c r="B425" s="265"/>
      <c r="C425" s="265"/>
      <c r="D425" s="265"/>
      <c r="E425" s="265"/>
      <c r="F425" s="265"/>
      <c r="G425" s="265"/>
      <c r="H425" s="265"/>
      <c r="I425" s="265"/>
      <c r="J425" s="265"/>
      <c r="K425" s="265"/>
      <c r="L425" s="265"/>
      <c r="M425" s="265"/>
      <c r="N425" s="133">
        <f>IF(OR(A425="Автомат",A425="Дифавтомат"),IF(W425="","",COUNTIF(Однолинейка!$H$3:$H$1000,U425)),IF(A425="Аппарат",IF(C425="","",COUNTIF(Однолинейка!$I$3:$I$1000,C425)+COUNTIF(Однолинейка!$J$3:$J$1000,C425)+COUNTIF(Однолинейка!$K$3:$K$1000,C425)),IF(A425="Модуль",IF(C425="","",COUNTIFS(Однолинейка!$AW$3:$AW$1000,"?*",Однолинейка!$AI$3:$AI$1000,C425)),IF(A425="Клемма",IF(C425="","",IF(C425=$S$7,SUM(Однолинейка!$BW$3:$BW$1000),IF(C425=$S$8,SUM(Однолинейка!$BX$3:$BX$1000),""))),""))))</f>
      </c>
      <c r="O425" s="265"/>
      <c r="P425" s="133">
        <f>IF(COUNT(N425,O425)=0,"",SUM(N425,O425))</f>
      </c>
      <c r="U425" s="133">
        <f>IF(OR(A425="Автомат",A425="Дифавтомат"),I425&amp;" С"&amp;J425&amp;"А"&amp;IF(K425="да"," 30мА",""),"")</f>
      </c>
      <c r="V425" s="133">
        <f>IF(U425="","",B425&amp;"|"&amp;U425)</f>
      </c>
      <c r="W425" s="133">
        <f>IF(AND(U425&lt;&gt;"",OR($S$4="(все)",B425=$S$4),IF($S$4="(все)",COUNTIF($U$4:U425,U425),COUNTIFS($U$4:U425,U425,$B$4:B425,B425))=1),MAX($W$3:W424)+1,"")</f>
      </c>
      <c r="X425" s="133">
        <f>IFERROR(INDEX($U$4:$U$500,MATCH(ROW()-3,$W$4:$W$500,0)),"")</f>
      </c>
      <c r="Y425" s="133">
        <f>IF(AND(A425="Аппарат",C425&lt;&gt;"",OR($S$5="(все)",B425=$S$5)),MAX($Y$3:Y424)+1,"")</f>
      </c>
      <c r="Z425" s="133">
        <f>IFERROR(INDEX($C$4:$C$500,MATCH(ROW()-3,$Y$4:$Y$500,0)),"")</f>
      </c>
      <c r="AA425" s="133">
        <f>IF(AND(A425="Модуль",C425&lt;&gt;"",OR($S$6="(все)",B425=$S$6)),MAX($AA$3:AA424)+1,"")</f>
      </c>
      <c r="AB425" s="133">
        <f>IFERROR(INDEX($C$4:$C$500,MATCH(ROW()-3,$AA$4:$AA$500,0)),"")</f>
      </c>
      <c r="AC425" s="133">
        <f>IF(OR(B425="",COUNTIF($B$4:B425,B425)&gt;1),"",MAX($AC$3:AC424)+1)</f>
      </c>
      <c r="AD425" s="133">
        <f>IFERROR(INDEX($B$4:$B$500,MATCH(ROW()-3,$AC$4:$AC$500,0)),"")</f>
      </c>
      <c r="AE425" s="133">
        <f>IF(AND(A425&lt;&gt;"",N(P425)&gt;0),IFERROR(MATCH(A425,$R$12:$R$25,0),99)*1000+ROW(),"")</f>
      </c>
      <c r="AF425" s="133">
        <f>IF(AE425="","",COUNTIF($AE$4:$AE$500,"&lt;="&amp;AE425))</f>
      </c>
    </row>
    <row r="426">
      <c r="A426" s="265"/>
      <c r="B426" s="265"/>
      <c r="C426" s="265"/>
      <c r="D426" s="265"/>
      <c r="E426" s="265"/>
      <c r="F426" s="265"/>
      <c r="G426" s="265"/>
      <c r="H426" s="265"/>
      <c r="I426" s="265"/>
      <c r="J426" s="265"/>
      <c r="K426" s="265"/>
      <c r="L426" s="265"/>
      <c r="M426" s="265"/>
      <c r="N426" s="133">
        <f>IF(OR(A426="Автомат",A426="Дифавтомат"),IF(W426="","",COUNTIF(Однолинейка!$H$3:$H$1000,U426)),IF(A426="Аппарат",IF(C426="","",COUNTIF(Однолинейка!$I$3:$I$1000,C426)+COUNTIF(Однолинейка!$J$3:$J$1000,C426)+COUNTIF(Однолинейка!$K$3:$K$1000,C426)),IF(A426="Модуль",IF(C426="","",COUNTIFS(Однолинейка!$AW$3:$AW$1000,"?*",Однолинейка!$AI$3:$AI$1000,C426)),IF(A426="Клемма",IF(C426="","",IF(C426=$S$7,SUM(Однолинейка!$BW$3:$BW$1000),IF(C426=$S$8,SUM(Однолинейка!$BX$3:$BX$1000),""))),""))))</f>
      </c>
      <c r="O426" s="265"/>
      <c r="P426" s="133">
        <f>IF(COUNT(N426,O426)=0,"",SUM(N426,O426))</f>
      </c>
      <c r="U426" s="133">
        <f>IF(OR(A426="Автомат",A426="Дифавтомат"),I426&amp;" С"&amp;J426&amp;"А"&amp;IF(K426="да"," 30мА",""),"")</f>
      </c>
      <c r="V426" s="133">
        <f>IF(U426="","",B426&amp;"|"&amp;U426)</f>
      </c>
      <c r="W426" s="133">
        <f>IF(AND(U426&lt;&gt;"",OR($S$4="(все)",B426=$S$4),IF($S$4="(все)",COUNTIF($U$4:U426,U426),COUNTIFS($U$4:U426,U426,$B$4:B426,B426))=1),MAX($W$3:W425)+1,"")</f>
      </c>
      <c r="X426" s="133">
        <f>IFERROR(INDEX($U$4:$U$500,MATCH(ROW()-3,$W$4:$W$500,0)),"")</f>
      </c>
      <c r="Y426" s="133">
        <f>IF(AND(A426="Аппарат",C426&lt;&gt;"",OR($S$5="(все)",B426=$S$5)),MAX($Y$3:Y425)+1,"")</f>
      </c>
      <c r="Z426" s="133">
        <f>IFERROR(INDEX($C$4:$C$500,MATCH(ROW()-3,$Y$4:$Y$500,0)),"")</f>
      </c>
      <c r="AA426" s="133">
        <f>IF(AND(A426="Модуль",C426&lt;&gt;"",OR($S$6="(все)",B426=$S$6)),MAX($AA$3:AA425)+1,"")</f>
      </c>
      <c r="AB426" s="133">
        <f>IFERROR(INDEX($C$4:$C$500,MATCH(ROW()-3,$AA$4:$AA$500,0)),"")</f>
      </c>
      <c r="AC426" s="133">
        <f>IF(OR(B426="",COUNTIF($B$4:B426,B426)&gt;1),"",MAX($AC$3:AC425)+1)</f>
      </c>
      <c r="AD426" s="133">
        <f>IFERROR(INDEX($B$4:$B$500,MATCH(ROW()-3,$AC$4:$AC$500,0)),"")</f>
      </c>
      <c r="AE426" s="133">
        <f>IF(AND(A426&lt;&gt;"",N(P426)&gt;0),IFERROR(MATCH(A426,$R$12:$R$25,0),99)*1000+ROW(),"")</f>
      </c>
      <c r="AF426" s="133">
        <f>IF(AE426="","",COUNTIF($AE$4:$AE$500,"&lt;="&amp;AE426))</f>
      </c>
    </row>
    <row r="427">
      <c r="A427" s="265"/>
      <c r="B427" s="265"/>
      <c r="C427" s="265"/>
      <c r="D427" s="265"/>
      <c r="E427" s="265"/>
      <c r="F427" s="265"/>
      <c r="G427" s="265"/>
      <c r="H427" s="265"/>
      <c r="I427" s="265"/>
      <c r="J427" s="265"/>
      <c r="K427" s="265"/>
      <c r="L427" s="265"/>
      <c r="M427" s="265"/>
      <c r="N427" s="133">
        <f>IF(OR(A427="Автомат",A427="Дифавтомат"),IF(W427="","",COUNTIF(Однолинейка!$H$3:$H$1000,U427)),IF(A427="Аппарат",IF(C427="","",COUNTIF(Однолинейка!$I$3:$I$1000,C427)+COUNTIF(Однолинейка!$J$3:$J$1000,C427)+COUNTIF(Однолинейка!$K$3:$K$1000,C427)),IF(A427="Модуль",IF(C427="","",COUNTIFS(Однолинейка!$AW$3:$AW$1000,"?*",Однолинейка!$AI$3:$AI$1000,C427)),IF(A427="Клемма",IF(C427="","",IF(C427=$S$7,SUM(Однолинейка!$BW$3:$BW$1000),IF(C427=$S$8,SUM(Однолинейка!$BX$3:$BX$1000),""))),""))))</f>
      </c>
      <c r="O427" s="265"/>
      <c r="P427" s="133">
        <f>IF(COUNT(N427,O427)=0,"",SUM(N427,O427))</f>
      </c>
      <c r="U427" s="133">
        <f>IF(OR(A427="Автомат",A427="Дифавтомат"),I427&amp;" С"&amp;J427&amp;"А"&amp;IF(K427="да"," 30мА",""),"")</f>
      </c>
      <c r="V427" s="133">
        <f>IF(U427="","",B427&amp;"|"&amp;U427)</f>
      </c>
      <c r="W427" s="133">
        <f>IF(AND(U427&lt;&gt;"",OR($S$4="(все)",B427=$S$4),IF($S$4="(все)",COUNTIF($U$4:U427,U427),COUNTIFS($U$4:U427,U427,$B$4:B427,B427))=1),MAX($W$3:W426)+1,"")</f>
      </c>
      <c r="X427" s="133">
        <f>IFERROR(INDEX($U$4:$U$500,MATCH(ROW()-3,$W$4:$W$500,0)),"")</f>
      </c>
      <c r="Y427" s="133">
        <f>IF(AND(A427="Аппарат",C427&lt;&gt;"",OR($S$5="(все)",B427=$S$5)),MAX($Y$3:Y426)+1,"")</f>
      </c>
      <c r="Z427" s="133">
        <f>IFERROR(INDEX($C$4:$C$500,MATCH(ROW()-3,$Y$4:$Y$500,0)),"")</f>
      </c>
      <c r="AA427" s="133">
        <f>IF(AND(A427="Модуль",C427&lt;&gt;"",OR($S$6="(все)",B427=$S$6)),MAX($AA$3:AA426)+1,"")</f>
      </c>
      <c r="AB427" s="133">
        <f>IFERROR(INDEX($C$4:$C$500,MATCH(ROW()-3,$AA$4:$AA$500,0)),"")</f>
      </c>
      <c r="AC427" s="133">
        <f>IF(OR(B427="",COUNTIF($B$4:B427,B427)&gt;1),"",MAX($AC$3:AC426)+1)</f>
      </c>
      <c r="AD427" s="133">
        <f>IFERROR(INDEX($B$4:$B$500,MATCH(ROW()-3,$AC$4:$AC$500,0)),"")</f>
      </c>
      <c r="AE427" s="133">
        <f>IF(AND(A427&lt;&gt;"",N(P427)&gt;0),IFERROR(MATCH(A427,$R$12:$R$25,0),99)*1000+ROW(),"")</f>
      </c>
      <c r="AF427" s="133">
        <f>IF(AE427="","",COUNTIF($AE$4:$AE$500,"&lt;="&amp;AE427))</f>
      </c>
    </row>
    <row r="428">
      <c r="A428" s="265"/>
      <c r="B428" s="265"/>
      <c r="C428" s="265"/>
      <c r="D428" s="265"/>
      <c r="E428" s="265"/>
      <c r="F428" s="265"/>
      <c r="G428" s="265"/>
      <c r="H428" s="265"/>
      <c r="I428" s="265"/>
      <c r="J428" s="265"/>
      <c r="K428" s="265"/>
      <c r="L428" s="265"/>
      <c r="M428" s="265"/>
      <c r="N428" s="133">
        <f>IF(OR(A428="Автомат",A428="Дифавтомат"),IF(W428="","",COUNTIF(Однолинейка!$H$3:$H$1000,U428)),IF(A428="Аппарат",IF(C428="","",COUNTIF(Однолинейка!$I$3:$I$1000,C428)+COUNTIF(Однолинейка!$J$3:$J$1000,C428)+COUNTIF(Однолинейка!$K$3:$K$1000,C428)),IF(A428="Модуль",IF(C428="","",COUNTIFS(Однолинейка!$AW$3:$AW$1000,"?*",Однолинейка!$AI$3:$AI$1000,C428)),IF(A428="Клемма",IF(C428="","",IF(C428=$S$7,SUM(Однолинейка!$BW$3:$BW$1000),IF(C428=$S$8,SUM(Однолинейка!$BX$3:$BX$1000),""))),""))))</f>
      </c>
      <c r="O428" s="265"/>
      <c r="P428" s="133">
        <f>IF(COUNT(N428,O428)=0,"",SUM(N428,O428))</f>
      </c>
      <c r="U428" s="133">
        <f>IF(OR(A428="Автомат",A428="Дифавтомат"),I428&amp;" С"&amp;J428&amp;"А"&amp;IF(K428="да"," 30мА",""),"")</f>
      </c>
      <c r="V428" s="133">
        <f>IF(U428="","",B428&amp;"|"&amp;U428)</f>
      </c>
      <c r="W428" s="133">
        <f>IF(AND(U428&lt;&gt;"",OR($S$4="(все)",B428=$S$4),IF($S$4="(все)",COUNTIF($U$4:U428,U428),COUNTIFS($U$4:U428,U428,$B$4:B428,B428))=1),MAX($W$3:W427)+1,"")</f>
      </c>
      <c r="X428" s="133">
        <f>IFERROR(INDEX($U$4:$U$500,MATCH(ROW()-3,$W$4:$W$500,0)),"")</f>
      </c>
      <c r="Y428" s="133">
        <f>IF(AND(A428="Аппарат",C428&lt;&gt;"",OR($S$5="(все)",B428=$S$5)),MAX($Y$3:Y427)+1,"")</f>
      </c>
      <c r="Z428" s="133">
        <f>IFERROR(INDEX($C$4:$C$500,MATCH(ROW()-3,$Y$4:$Y$500,0)),"")</f>
      </c>
      <c r="AA428" s="133">
        <f>IF(AND(A428="Модуль",C428&lt;&gt;"",OR($S$6="(все)",B428=$S$6)),MAX($AA$3:AA427)+1,"")</f>
      </c>
      <c r="AB428" s="133">
        <f>IFERROR(INDEX($C$4:$C$500,MATCH(ROW()-3,$AA$4:$AA$500,0)),"")</f>
      </c>
      <c r="AC428" s="133">
        <f>IF(OR(B428="",COUNTIF($B$4:B428,B428)&gt;1),"",MAX($AC$3:AC427)+1)</f>
      </c>
      <c r="AD428" s="133">
        <f>IFERROR(INDEX($B$4:$B$500,MATCH(ROW()-3,$AC$4:$AC$500,0)),"")</f>
      </c>
      <c r="AE428" s="133">
        <f>IF(AND(A428&lt;&gt;"",N(P428)&gt;0),IFERROR(MATCH(A428,$R$12:$R$25,0),99)*1000+ROW(),"")</f>
      </c>
      <c r="AF428" s="133">
        <f>IF(AE428="","",COUNTIF($AE$4:$AE$500,"&lt;="&amp;AE428))</f>
      </c>
    </row>
    <row r="429">
      <c r="A429" s="265"/>
      <c r="B429" s="265"/>
      <c r="C429" s="265"/>
      <c r="D429" s="265"/>
      <c r="E429" s="265"/>
      <c r="F429" s="265"/>
      <c r="G429" s="265"/>
      <c r="H429" s="265"/>
      <c r="I429" s="265"/>
      <c r="J429" s="265"/>
      <c r="K429" s="265"/>
      <c r="L429" s="265"/>
      <c r="M429" s="265"/>
      <c r="N429" s="133">
        <f>IF(OR(A429="Автомат",A429="Дифавтомат"),IF(W429="","",COUNTIF(Однолинейка!$H$3:$H$1000,U429)),IF(A429="Аппарат",IF(C429="","",COUNTIF(Однолинейка!$I$3:$I$1000,C429)+COUNTIF(Однолинейка!$J$3:$J$1000,C429)+COUNTIF(Однолинейка!$K$3:$K$1000,C429)),IF(A429="Модуль",IF(C429="","",COUNTIFS(Однолинейка!$AW$3:$AW$1000,"?*",Однолинейка!$AI$3:$AI$1000,C429)),IF(A429="Клемма",IF(C429="","",IF(C429=$S$7,SUM(Однолинейка!$BW$3:$BW$1000),IF(C429=$S$8,SUM(Однолинейка!$BX$3:$BX$1000),""))),""))))</f>
      </c>
      <c r="O429" s="265"/>
      <c r="P429" s="133">
        <f>IF(COUNT(N429,O429)=0,"",SUM(N429,O429))</f>
      </c>
      <c r="U429" s="133">
        <f>IF(OR(A429="Автомат",A429="Дифавтомат"),I429&amp;" С"&amp;J429&amp;"А"&amp;IF(K429="да"," 30мА",""),"")</f>
      </c>
      <c r="V429" s="133">
        <f>IF(U429="","",B429&amp;"|"&amp;U429)</f>
      </c>
      <c r="W429" s="133">
        <f>IF(AND(U429&lt;&gt;"",OR($S$4="(все)",B429=$S$4),IF($S$4="(все)",COUNTIF($U$4:U429,U429),COUNTIFS($U$4:U429,U429,$B$4:B429,B429))=1),MAX($W$3:W428)+1,"")</f>
      </c>
      <c r="X429" s="133">
        <f>IFERROR(INDEX($U$4:$U$500,MATCH(ROW()-3,$W$4:$W$500,0)),"")</f>
      </c>
      <c r="Y429" s="133">
        <f>IF(AND(A429="Аппарат",C429&lt;&gt;"",OR($S$5="(все)",B429=$S$5)),MAX($Y$3:Y428)+1,"")</f>
      </c>
      <c r="Z429" s="133">
        <f>IFERROR(INDEX($C$4:$C$500,MATCH(ROW()-3,$Y$4:$Y$500,0)),"")</f>
      </c>
      <c r="AA429" s="133">
        <f>IF(AND(A429="Модуль",C429&lt;&gt;"",OR($S$6="(все)",B429=$S$6)),MAX($AA$3:AA428)+1,"")</f>
      </c>
      <c r="AB429" s="133">
        <f>IFERROR(INDEX($C$4:$C$500,MATCH(ROW()-3,$AA$4:$AA$500,0)),"")</f>
      </c>
      <c r="AC429" s="133">
        <f>IF(OR(B429="",COUNTIF($B$4:B429,B429)&gt;1),"",MAX($AC$3:AC428)+1)</f>
      </c>
      <c r="AD429" s="133">
        <f>IFERROR(INDEX($B$4:$B$500,MATCH(ROW()-3,$AC$4:$AC$500,0)),"")</f>
      </c>
      <c r="AE429" s="133">
        <f>IF(AND(A429&lt;&gt;"",N(P429)&gt;0),IFERROR(MATCH(A429,$R$12:$R$25,0),99)*1000+ROW(),"")</f>
      </c>
      <c r="AF429" s="133">
        <f>IF(AE429="","",COUNTIF($AE$4:$AE$500,"&lt;="&amp;AE429))</f>
      </c>
    </row>
    <row r="430">
      <c r="A430" s="265"/>
      <c r="B430" s="265"/>
      <c r="C430" s="265"/>
      <c r="D430" s="265"/>
      <c r="E430" s="265"/>
      <c r="F430" s="265"/>
      <c r="G430" s="265"/>
      <c r="H430" s="265"/>
      <c r="I430" s="265"/>
      <c r="J430" s="265"/>
      <c r="K430" s="265"/>
      <c r="L430" s="265"/>
      <c r="M430" s="265"/>
      <c r="N430" s="133">
        <f>IF(OR(A430="Автомат",A430="Дифавтомат"),IF(W430="","",COUNTIF(Однолинейка!$H$3:$H$1000,U430)),IF(A430="Аппарат",IF(C430="","",COUNTIF(Однолинейка!$I$3:$I$1000,C430)+COUNTIF(Однолинейка!$J$3:$J$1000,C430)+COUNTIF(Однолинейка!$K$3:$K$1000,C430)),IF(A430="Модуль",IF(C430="","",COUNTIFS(Однолинейка!$AW$3:$AW$1000,"?*",Однолинейка!$AI$3:$AI$1000,C430)),IF(A430="Клемма",IF(C430="","",IF(C430=$S$7,SUM(Однолинейка!$BW$3:$BW$1000),IF(C430=$S$8,SUM(Однолинейка!$BX$3:$BX$1000),""))),""))))</f>
      </c>
      <c r="O430" s="265"/>
      <c r="P430" s="133">
        <f>IF(COUNT(N430,O430)=0,"",SUM(N430,O430))</f>
      </c>
      <c r="U430" s="133">
        <f>IF(OR(A430="Автомат",A430="Дифавтомат"),I430&amp;" С"&amp;J430&amp;"А"&amp;IF(K430="да"," 30мА",""),"")</f>
      </c>
      <c r="V430" s="133">
        <f>IF(U430="","",B430&amp;"|"&amp;U430)</f>
      </c>
      <c r="W430" s="133">
        <f>IF(AND(U430&lt;&gt;"",OR($S$4="(все)",B430=$S$4),IF($S$4="(все)",COUNTIF($U$4:U430,U430),COUNTIFS($U$4:U430,U430,$B$4:B430,B430))=1),MAX($W$3:W429)+1,"")</f>
      </c>
      <c r="X430" s="133">
        <f>IFERROR(INDEX($U$4:$U$500,MATCH(ROW()-3,$W$4:$W$500,0)),"")</f>
      </c>
      <c r="Y430" s="133">
        <f>IF(AND(A430="Аппарат",C430&lt;&gt;"",OR($S$5="(все)",B430=$S$5)),MAX($Y$3:Y429)+1,"")</f>
      </c>
      <c r="Z430" s="133">
        <f>IFERROR(INDEX($C$4:$C$500,MATCH(ROW()-3,$Y$4:$Y$500,0)),"")</f>
      </c>
      <c r="AA430" s="133">
        <f>IF(AND(A430="Модуль",C430&lt;&gt;"",OR($S$6="(все)",B430=$S$6)),MAX($AA$3:AA429)+1,"")</f>
      </c>
      <c r="AB430" s="133">
        <f>IFERROR(INDEX($C$4:$C$500,MATCH(ROW()-3,$AA$4:$AA$500,0)),"")</f>
      </c>
      <c r="AC430" s="133">
        <f>IF(OR(B430="",COUNTIF($B$4:B430,B430)&gt;1),"",MAX($AC$3:AC429)+1)</f>
      </c>
      <c r="AD430" s="133">
        <f>IFERROR(INDEX($B$4:$B$500,MATCH(ROW()-3,$AC$4:$AC$500,0)),"")</f>
      </c>
      <c r="AE430" s="133">
        <f>IF(AND(A430&lt;&gt;"",N(P430)&gt;0),IFERROR(MATCH(A430,$R$12:$R$25,0),99)*1000+ROW(),"")</f>
      </c>
      <c r="AF430" s="133">
        <f>IF(AE430="","",COUNTIF($AE$4:$AE$500,"&lt;="&amp;AE430))</f>
      </c>
    </row>
    <row r="431">
      <c r="A431" s="265"/>
      <c r="B431" s="265"/>
      <c r="C431" s="265"/>
      <c r="D431" s="265"/>
      <c r="E431" s="265"/>
      <c r="F431" s="265"/>
      <c r="G431" s="265"/>
      <c r="H431" s="265"/>
      <c r="I431" s="265"/>
      <c r="J431" s="265"/>
      <c r="K431" s="265"/>
      <c r="L431" s="265"/>
      <c r="M431" s="265"/>
      <c r="N431" s="133">
        <f>IF(OR(A431="Автомат",A431="Дифавтомат"),IF(W431="","",COUNTIF(Однолинейка!$H$3:$H$1000,U431)),IF(A431="Аппарат",IF(C431="","",COUNTIF(Однолинейка!$I$3:$I$1000,C431)+COUNTIF(Однолинейка!$J$3:$J$1000,C431)+COUNTIF(Однолинейка!$K$3:$K$1000,C431)),IF(A431="Модуль",IF(C431="","",COUNTIFS(Однолинейка!$AW$3:$AW$1000,"?*",Однолинейка!$AI$3:$AI$1000,C431)),IF(A431="Клемма",IF(C431="","",IF(C431=$S$7,SUM(Однолинейка!$BW$3:$BW$1000),IF(C431=$S$8,SUM(Однолинейка!$BX$3:$BX$1000),""))),""))))</f>
      </c>
      <c r="O431" s="265"/>
      <c r="P431" s="133">
        <f>IF(COUNT(N431,O431)=0,"",SUM(N431,O431))</f>
      </c>
      <c r="U431" s="133">
        <f>IF(OR(A431="Автомат",A431="Дифавтомат"),I431&amp;" С"&amp;J431&amp;"А"&amp;IF(K431="да"," 30мА",""),"")</f>
      </c>
      <c r="V431" s="133">
        <f>IF(U431="","",B431&amp;"|"&amp;U431)</f>
      </c>
      <c r="W431" s="133">
        <f>IF(AND(U431&lt;&gt;"",OR($S$4="(все)",B431=$S$4),IF($S$4="(все)",COUNTIF($U$4:U431,U431),COUNTIFS($U$4:U431,U431,$B$4:B431,B431))=1),MAX($W$3:W430)+1,"")</f>
      </c>
      <c r="X431" s="133">
        <f>IFERROR(INDEX($U$4:$U$500,MATCH(ROW()-3,$W$4:$W$500,0)),"")</f>
      </c>
      <c r="Y431" s="133">
        <f>IF(AND(A431="Аппарат",C431&lt;&gt;"",OR($S$5="(все)",B431=$S$5)),MAX($Y$3:Y430)+1,"")</f>
      </c>
      <c r="Z431" s="133">
        <f>IFERROR(INDEX($C$4:$C$500,MATCH(ROW()-3,$Y$4:$Y$500,0)),"")</f>
      </c>
      <c r="AA431" s="133">
        <f>IF(AND(A431="Модуль",C431&lt;&gt;"",OR($S$6="(все)",B431=$S$6)),MAX($AA$3:AA430)+1,"")</f>
      </c>
      <c r="AB431" s="133">
        <f>IFERROR(INDEX($C$4:$C$500,MATCH(ROW()-3,$AA$4:$AA$500,0)),"")</f>
      </c>
      <c r="AC431" s="133">
        <f>IF(OR(B431="",COUNTIF($B$4:B431,B431)&gt;1),"",MAX($AC$3:AC430)+1)</f>
      </c>
      <c r="AD431" s="133">
        <f>IFERROR(INDEX($B$4:$B$500,MATCH(ROW()-3,$AC$4:$AC$500,0)),"")</f>
      </c>
      <c r="AE431" s="133">
        <f>IF(AND(A431&lt;&gt;"",N(P431)&gt;0),IFERROR(MATCH(A431,$R$12:$R$25,0),99)*1000+ROW(),"")</f>
      </c>
      <c r="AF431" s="133">
        <f>IF(AE431="","",COUNTIF($AE$4:$AE$500,"&lt;="&amp;AE431))</f>
      </c>
    </row>
    <row r="432">
      <c r="A432" s="265"/>
      <c r="B432" s="265"/>
      <c r="C432" s="265"/>
      <c r="D432" s="265"/>
      <c r="E432" s="265"/>
      <c r="F432" s="265"/>
      <c r="G432" s="265"/>
      <c r="H432" s="265"/>
      <c r="I432" s="265"/>
      <c r="J432" s="265"/>
      <c r="K432" s="265"/>
      <c r="L432" s="265"/>
      <c r="M432" s="265"/>
      <c r="N432" s="133">
        <f>IF(OR(A432="Автомат",A432="Дифавтомат"),IF(W432="","",COUNTIF(Однолинейка!$H$3:$H$1000,U432)),IF(A432="Аппарат",IF(C432="","",COUNTIF(Однолинейка!$I$3:$I$1000,C432)+COUNTIF(Однолинейка!$J$3:$J$1000,C432)+COUNTIF(Однолинейка!$K$3:$K$1000,C432)),IF(A432="Модуль",IF(C432="","",COUNTIFS(Однолинейка!$AW$3:$AW$1000,"?*",Однолинейка!$AI$3:$AI$1000,C432)),IF(A432="Клемма",IF(C432="","",IF(C432=$S$7,SUM(Однолинейка!$BW$3:$BW$1000),IF(C432=$S$8,SUM(Однолинейка!$BX$3:$BX$1000),""))),""))))</f>
      </c>
      <c r="O432" s="265"/>
      <c r="P432" s="133">
        <f>IF(COUNT(N432,O432)=0,"",SUM(N432,O432))</f>
      </c>
      <c r="U432" s="133">
        <f>IF(OR(A432="Автомат",A432="Дифавтомат"),I432&amp;" С"&amp;J432&amp;"А"&amp;IF(K432="да"," 30мА",""),"")</f>
      </c>
      <c r="V432" s="133">
        <f>IF(U432="","",B432&amp;"|"&amp;U432)</f>
      </c>
      <c r="W432" s="133">
        <f>IF(AND(U432&lt;&gt;"",OR($S$4="(все)",B432=$S$4),IF($S$4="(все)",COUNTIF($U$4:U432,U432),COUNTIFS($U$4:U432,U432,$B$4:B432,B432))=1),MAX($W$3:W431)+1,"")</f>
      </c>
      <c r="X432" s="133">
        <f>IFERROR(INDEX($U$4:$U$500,MATCH(ROW()-3,$W$4:$W$500,0)),"")</f>
      </c>
      <c r="Y432" s="133">
        <f>IF(AND(A432="Аппарат",C432&lt;&gt;"",OR($S$5="(все)",B432=$S$5)),MAX($Y$3:Y431)+1,"")</f>
      </c>
      <c r="Z432" s="133">
        <f>IFERROR(INDEX($C$4:$C$500,MATCH(ROW()-3,$Y$4:$Y$500,0)),"")</f>
      </c>
      <c r="AA432" s="133">
        <f>IF(AND(A432="Модуль",C432&lt;&gt;"",OR($S$6="(все)",B432=$S$6)),MAX($AA$3:AA431)+1,"")</f>
      </c>
      <c r="AB432" s="133">
        <f>IFERROR(INDEX($C$4:$C$500,MATCH(ROW()-3,$AA$4:$AA$500,0)),"")</f>
      </c>
      <c r="AC432" s="133">
        <f>IF(OR(B432="",COUNTIF($B$4:B432,B432)&gt;1),"",MAX($AC$3:AC431)+1)</f>
      </c>
      <c r="AD432" s="133">
        <f>IFERROR(INDEX($B$4:$B$500,MATCH(ROW()-3,$AC$4:$AC$500,0)),"")</f>
      </c>
      <c r="AE432" s="133">
        <f>IF(AND(A432&lt;&gt;"",N(P432)&gt;0),IFERROR(MATCH(A432,$R$12:$R$25,0),99)*1000+ROW(),"")</f>
      </c>
      <c r="AF432" s="133">
        <f>IF(AE432="","",COUNTIF($AE$4:$AE$500,"&lt;="&amp;AE432))</f>
      </c>
    </row>
    <row r="433">
      <c r="A433" s="265"/>
      <c r="B433" s="265"/>
      <c r="C433" s="265"/>
      <c r="D433" s="265"/>
      <c r="E433" s="265"/>
      <c r="F433" s="265"/>
      <c r="G433" s="265"/>
      <c r="H433" s="265"/>
      <c r="I433" s="265"/>
      <c r="J433" s="265"/>
      <c r="K433" s="265"/>
      <c r="L433" s="265"/>
      <c r="M433" s="265"/>
      <c r="N433" s="133">
        <f>IF(OR(A433="Автомат",A433="Дифавтомат"),IF(W433="","",COUNTIF(Однолинейка!$H$3:$H$1000,U433)),IF(A433="Аппарат",IF(C433="","",COUNTIF(Однолинейка!$I$3:$I$1000,C433)+COUNTIF(Однолинейка!$J$3:$J$1000,C433)+COUNTIF(Однолинейка!$K$3:$K$1000,C433)),IF(A433="Модуль",IF(C433="","",COUNTIFS(Однолинейка!$AW$3:$AW$1000,"?*",Однолинейка!$AI$3:$AI$1000,C433)),IF(A433="Клемма",IF(C433="","",IF(C433=$S$7,SUM(Однолинейка!$BW$3:$BW$1000),IF(C433=$S$8,SUM(Однолинейка!$BX$3:$BX$1000),""))),""))))</f>
      </c>
      <c r="O433" s="265"/>
      <c r="P433" s="133">
        <f>IF(COUNT(N433,O433)=0,"",SUM(N433,O433))</f>
      </c>
      <c r="U433" s="133">
        <f>IF(OR(A433="Автомат",A433="Дифавтомат"),I433&amp;" С"&amp;J433&amp;"А"&amp;IF(K433="да"," 30мА",""),"")</f>
      </c>
      <c r="V433" s="133">
        <f>IF(U433="","",B433&amp;"|"&amp;U433)</f>
      </c>
      <c r="W433" s="133">
        <f>IF(AND(U433&lt;&gt;"",OR($S$4="(все)",B433=$S$4),IF($S$4="(все)",COUNTIF($U$4:U433,U433),COUNTIFS($U$4:U433,U433,$B$4:B433,B433))=1),MAX($W$3:W432)+1,"")</f>
      </c>
      <c r="X433" s="133">
        <f>IFERROR(INDEX($U$4:$U$500,MATCH(ROW()-3,$W$4:$W$500,0)),"")</f>
      </c>
      <c r="Y433" s="133">
        <f>IF(AND(A433="Аппарат",C433&lt;&gt;"",OR($S$5="(все)",B433=$S$5)),MAX($Y$3:Y432)+1,"")</f>
      </c>
      <c r="Z433" s="133">
        <f>IFERROR(INDEX($C$4:$C$500,MATCH(ROW()-3,$Y$4:$Y$500,0)),"")</f>
      </c>
      <c r="AA433" s="133">
        <f>IF(AND(A433="Модуль",C433&lt;&gt;"",OR($S$6="(все)",B433=$S$6)),MAX($AA$3:AA432)+1,"")</f>
      </c>
      <c r="AB433" s="133">
        <f>IFERROR(INDEX($C$4:$C$500,MATCH(ROW()-3,$AA$4:$AA$500,0)),"")</f>
      </c>
      <c r="AC433" s="133">
        <f>IF(OR(B433="",COUNTIF($B$4:B433,B433)&gt;1),"",MAX($AC$3:AC432)+1)</f>
      </c>
      <c r="AD433" s="133">
        <f>IFERROR(INDEX($B$4:$B$500,MATCH(ROW()-3,$AC$4:$AC$500,0)),"")</f>
      </c>
      <c r="AE433" s="133">
        <f>IF(AND(A433&lt;&gt;"",N(P433)&gt;0),IFERROR(MATCH(A433,$R$12:$R$25,0),99)*1000+ROW(),"")</f>
      </c>
      <c r="AF433" s="133">
        <f>IF(AE433="","",COUNTIF($AE$4:$AE$500,"&lt;="&amp;AE433))</f>
      </c>
    </row>
    <row r="434">
      <c r="A434" s="265"/>
      <c r="B434" s="265"/>
      <c r="C434" s="265"/>
      <c r="D434" s="265"/>
      <c r="E434" s="265"/>
      <c r="F434" s="265"/>
      <c r="G434" s="265"/>
      <c r="H434" s="265"/>
      <c r="I434" s="265"/>
      <c r="J434" s="265"/>
      <c r="K434" s="265"/>
      <c r="L434" s="265"/>
      <c r="M434" s="265"/>
      <c r="N434" s="133">
        <f>IF(OR(A434="Автомат",A434="Дифавтомат"),IF(W434="","",COUNTIF(Однолинейка!$H$3:$H$1000,U434)),IF(A434="Аппарат",IF(C434="","",COUNTIF(Однолинейка!$I$3:$I$1000,C434)+COUNTIF(Однолинейка!$J$3:$J$1000,C434)+COUNTIF(Однолинейка!$K$3:$K$1000,C434)),IF(A434="Модуль",IF(C434="","",COUNTIFS(Однолинейка!$AW$3:$AW$1000,"?*",Однолинейка!$AI$3:$AI$1000,C434)),IF(A434="Клемма",IF(C434="","",IF(C434=$S$7,SUM(Однолинейка!$BW$3:$BW$1000),IF(C434=$S$8,SUM(Однолинейка!$BX$3:$BX$1000),""))),""))))</f>
      </c>
      <c r="O434" s="265"/>
      <c r="P434" s="133">
        <f>IF(COUNT(N434,O434)=0,"",SUM(N434,O434))</f>
      </c>
      <c r="U434" s="133">
        <f>IF(OR(A434="Автомат",A434="Дифавтомат"),I434&amp;" С"&amp;J434&amp;"А"&amp;IF(K434="да"," 30мА",""),"")</f>
      </c>
      <c r="V434" s="133">
        <f>IF(U434="","",B434&amp;"|"&amp;U434)</f>
      </c>
      <c r="W434" s="133">
        <f>IF(AND(U434&lt;&gt;"",OR($S$4="(все)",B434=$S$4),IF($S$4="(все)",COUNTIF($U$4:U434,U434),COUNTIFS($U$4:U434,U434,$B$4:B434,B434))=1),MAX($W$3:W433)+1,"")</f>
      </c>
      <c r="X434" s="133">
        <f>IFERROR(INDEX($U$4:$U$500,MATCH(ROW()-3,$W$4:$W$500,0)),"")</f>
      </c>
      <c r="Y434" s="133">
        <f>IF(AND(A434="Аппарат",C434&lt;&gt;"",OR($S$5="(все)",B434=$S$5)),MAX($Y$3:Y433)+1,"")</f>
      </c>
      <c r="Z434" s="133">
        <f>IFERROR(INDEX($C$4:$C$500,MATCH(ROW()-3,$Y$4:$Y$500,0)),"")</f>
      </c>
      <c r="AA434" s="133">
        <f>IF(AND(A434="Модуль",C434&lt;&gt;"",OR($S$6="(все)",B434=$S$6)),MAX($AA$3:AA433)+1,"")</f>
      </c>
      <c r="AB434" s="133">
        <f>IFERROR(INDEX($C$4:$C$500,MATCH(ROW()-3,$AA$4:$AA$500,0)),"")</f>
      </c>
      <c r="AC434" s="133">
        <f>IF(OR(B434="",COUNTIF($B$4:B434,B434)&gt;1),"",MAX($AC$3:AC433)+1)</f>
      </c>
      <c r="AD434" s="133">
        <f>IFERROR(INDEX($B$4:$B$500,MATCH(ROW()-3,$AC$4:$AC$500,0)),"")</f>
      </c>
      <c r="AE434" s="133">
        <f>IF(AND(A434&lt;&gt;"",N(P434)&gt;0),IFERROR(MATCH(A434,$R$12:$R$25,0),99)*1000+ROW(),"")</f>
      </c>
      <c r="AF434" s="133">
        <f>IF(AE434="","",COUNTIF($AE$4:$AE$500,"&lt;="&amp;AE434))</f>
      </c>
    </row>
    <row r="435">
      <c r="A435" s="265"/>
      <c r="B435" s="265"/>
      <c r="C435" s="265"/>
      <c r="D435" s="265"/>
      <c r="E435" s="265"/>
      <c r="F435" s="265"/>
      <c r="G435" s="265"/>
      <c r="H435" s="265"/>
      <c r="I435" s="265"/>
      <c r="J435" s="265"/>
      <c r="K435" s="265"/>
      <c r="L435" s="265"/>
      <c r="M435" s="265"/>
      <c r="N435" s="133">
        <f>IF(OR(A435="Автомат",A435="Дифавтомат"),IF(W435="","",COUNTIF(Однолинейка!$H$3:$H$1000,U435)),IF(A435="Аппарат",IF(C435="","",COUNTIF(Однолинейка!$I$3:$I$1000,C435)+COUNTIF(Однолинейка!$J$3:$J$1000,C435)+COUNTIF(Однолинейка!$K$3:$K$1000,C435)),IF(A435="Модуль",IF(C435="","",COUNTIFS(Однолинейка!$AW$3:$AW$1000,"?*",Однолинейка!$AI$3:$AI$1000,C435)),IF(A435="Клемма",IF(C435="","",IF(C435=$S$7,SUM(Однолинейка!$BW$3:$BW$1000),IF(C435=$S$8,SUM(Однолинейка!$BX$3:$BX$1000),""))),""))))</f>
      </c>
      <c r="O435" s="265"/>
      <c r="P435" s="133">
        <f>IF(COUNT(N435,O435)=0,"",SUM(N435,O435))</f>
      </c>
      <c r="U435" s="133">
        <f>IF(OR(A435="Автомат",A435="Дифавтомат"),I435&amp;" С"&amp;J435&amp;"А"&amp;IF(K435="да"," 30мА",""),"")</f>
      </c>
      <c r="V435" s="133">
        <f>IF(U435="","",B435&amp;"|"&amp;U435)</f>
      </c>
      <c r="W435" s="133">
        <f>IF(AND(U435&lt;&gt;"",OR($S$4="(все)",B435=$S$4),IF($S$4="(все)",COUNTIF($U$4:U435,U435),COUNTIFS($U$4:U435,U435,$B$4:B435,B435))=1),MAX($W$3:W434)+1,"")</f>
      </c>
      <c r="X435" s="133">
        <f>IFERROR(INDEX($U$4:$U$500,MATCH(ROW()-3,$W$4:$W$500,0)),"")</f>
      </c>
      <c r="Y435" s="133">
        <f>IF(AND(A435="Аппарат",C435&lt;&gt;"",OR($S$5="(все)",B435=$S$5)),MAX($Y$3:Y434)+1,"")</f>
      </c>
      <c r="Z435" s="133">
        <f>IFERROR(INDEX($C$4:$C$500,MATCH(ROW()-3,$Y$4:$Y$500,0)),"")</f>
      </c>
      <c r="AA435" s="133">
        <f>IF(AND(A435="Модуль",C435&lt;&gt;"",OR($S$6="(все)",B435=$S$6)),MAX($AA$3:AA434)+1,"")</f>
      </c>
      <c r="AB435" s="133">
        <f>IFERROR(INDEX($C$4:$C$500,MATCH(ROW()-3,$AA$4:$AA$500,0)),"")</f>
      </c>
      <c r="AC435" s="133">
        <f>IF(OR(B435="",COUNTIF($B$4:B435,B435)&gt;1),"",MAX($AC$3:AC434)+1)</f>
      </c>
      <c r="AD435" s="133">
        <f>IFERROR(INDEX($B$4:$B$500,MATCH(ROW()-3,$AC$4:$AC$500,0)),"")</f>
      </c>
      <c r="AE435" s="133">
        <f>IF(AND(A435&lt;&gt;"",N(P435)&gt;0),IFERROR(MATCH(A435,$R$12:$R$25,0),99)*1000+ROW(),"")</f>
      </c>
      <c r="AF435" s="133">
        <f>IF(AE435="","",COUNTIF($AE$4:$AE$500,"&lt;="&amp;AE435))</f>
      </c>
    </row>
    <row r="436">
      <c r="A436" s="265"/>
      <c r="B436" s="265"/>
      <c r="C436" s="265"/>
      <c r="D436" s="265"/>
      <c r="E436" s="265"/>
      <c r="F436" s="265"/>
      <c r="G436" s="265"/>
      <c r="H436" s="265"/>
      <c r="I436" s="265"/>
      <c r="J436" s="265"/>
      <c r="K436" s="265"/>
      <c r="L436" s="265"/>
      <c r="M436" s="265"/>
      <c r="N436" s="133">
        <f>IF(OR(A436="Автомат",A436="Дифавтомат"),IF(W436="","",COUNTIF(Однолинейка!$H$3:$H$1000,U436)),IF(A436="Аппарат",IF(C436="","",COUNTIF(Однолинейка!$I$3:$I$1000,C436)+COUNTIF(Однолинейка!$J$3:$J$1000,C436)+COUNTIF(Однолинейка!$K$3:$K$1000,C436)),IF(A436="Модуль",IF(C436="","",COUNTIFS(Однолинейка!$AW$3:$AW$1000,"?*",Однолинейка!$AI$3:$AI$1000,C436)),IF(A436="Клемма",IF(C436="","",IF(C436=$S$7,SUM(Однолинейка!$BW$3:$BW$1000),IF(C436=$S$8,SUM(Однолинейка!$BX$3:$BX$1000),""))),""))))</f>
      </c>
      <c r="O436" s="265"/>
      <c r="P436" s="133">
        <f>IF(COUNT(N436,O436)=0,"",SUM(N436,O436))</f>
      </c>
      <c r="U436" s="133">
        <f>IF(OR(A436="Автомат",A436="Дифавтомат"),I436&amp;" С"&amp;J436&amp;"А"&amp;IF(K436="да"," 30мА",""),"")</f>
      </c>
      <c r="V436" s="133">
        <f>IF(U436="","",B436&amp;"|"&amp;U436)</f>
      </c>
      <c r="W436" s="133">
        <f>IF(AND(U436&lt;&gt;"",OR($S$4="(все)",B436=$S$4),IF($S$4="(все)",COUNTIF($U$4:U436,U436),COUNTIFS($U$4:U436,U436,$B$4:B436,B436))=1),MAX($W$3:W435)+1,"")</f>
      </c>
      <c r="X436" s="133">
        <f>IFERROR(INDEX($U$4:$U$500,MATCH(ROW()-3,$W$4:$W$500,0)),"")</f>
      </c>
      <c r="Y436" s="133">
        <f>IF(AND(A436="Аппарат",C436&lt;&gt;"",OR($S$5="(все)",B436=$S$5)),MAX($Y$3:Y435)+1,"")</f>
      </c>
      <c r="Z436" s="133">
        <f>IFERROR(INDEX($C$4:$C$500,MATCH(ROW()-3,$Y$4:$Y$500,0)),"")</f>
      </c>
      <c r="AA436" s="133">
        <f>IF(AND(A436="Модуль",C436&lt;&gt;"",OR($S$6="(все)",B436=$S$6)),MAX($AA$3:AA435)+1,"")</f>
      </c>
      <c r="AB436" s="133">
        <f>IFERROR(INDEX($C$4:$C$500,MATCH(ROW()-3,$AA$4:$AA$500,0)),"")</f>
      </c>
      <c r="AC436" s="133">
        <f>IF(OR(B436="",COUNTIF($B$4:B436,B436)&gt;1),"",MAX($AC$3:AC435)+1)</f>
      </c>
      <c r="AD436" s="133">
        <f>IFERROR(INDEX($B$4:$B$500,MATCH(ROW()-3,$AC$4:$AC$500,0)),"")</f>
      </c>
      <c r="AE436" s="133">
        <f>IF(AND(A436&lt;&gt;"",N(P436)&gt;0),IFERROR(MATCH(A436,$R$12:$R$25,0),99)*1000+ROW(),"")</f>
      </c>
      <c r="AF436" s="133">
        <f>IF(AE436="","",COUNTIF($AE$4:$AE$500,"&lt;="&amp;AE436))</f>
      </c>
    </row>
    <row r="437">
      <c r="A437" s="265"/>
      <c r="B437" s="265"/>
      <c r="C437" s="265"/>
      <c r="D437" s="265"/>
      <c r="E437" s="265"/>
      <c r="F437" s="265"/>
      <c r="G437" s="265"/>
      <c r="H437" s="265"/>
      <c r="I437" s="265"/>
      <c r="J437" s="265"/>
      <c r="K437" s="265"/>
      <c r="L437" s="265"/>
      <c r="M437" s="265"/>
      <c r="N437" s="133">
        <f>IF(OR(A437="Автомат",A437="Дифавтомат"),IF(W437="","",COUNTIF(Однолинейка!$H$3:$H$1000,U437)),IF(A437="Аппарат",IF(C437="","",COUNTIF(Однолинейка!$I$3:$I$1000,C437)+COUNTIF(Однолинейка!$J$3:$J$1000,C437)+COUNTIF(Однолинейка!$K$3:$K$1000,C437)),IF(A437="Модуль",IF(C437="","",COUNTIFS(Однолинейка!$AW$3:$AW$1000,"?*",Однолинейка!$AI$3:$AI$1000,C437)),IF(A437="Клемма",IF(C437="","",IF(C437=$S$7,SUM(Однолинейка!$BW$3:$BW$1000),IF(C437=$S$8,SUM(Однолинейка!$BX$3:$BX$1000),""))),""))))</f>
      </c>
      <c r="O437" s="265"/>
      <c r="P437" s="133">
        <f>IF(COUNT(N437,O437)=0,"",SUM(N437,O437))</f>
      </c>
      <c r="U437" s="133">
        <f>IF(OR(A437="Автомат",A437="Дифавтомат"),I437&amp;" С"&amp;J437&amp;"А"&amp;IF(K437="да"," 30мА",""),"")</f>
      </c>
      <c r="V437" s="133">
        <f>IF(U437="","",B437&amp;"|"&amp;U437)</f>
      </c>
      <c r="W437" s="133">
        <f>IF(AND(U437&lt;&gt;"",OR($S$4="(все)",B437=$S$4),IF($S$4="(все)",COUNTIF($U$4:U437,U437),COUNTIFS($U$4:U437,U437,$B$4:B437,B437))=1),MAX($W$3:W436)+1,"")</f>
      </c>
      <c r="X437" s="133">
        <f>IFERROR(INDEX($U$4:$U$500,MATCH(ROW()-3,$W$4:$W$500,0)),"")</f>
      </c>
      <c r="Y437" s="133">
        <f>IF(AND(A437="Аппарат",C437&lt;&gt;"",OR($S$5="(все)",B437=$S$5)),MAX($Y$3:Y436)+1,"")</f>
      </c>
      <c r="Z437" s="133">
        <f>IFERROR(INDEX($C$4:$C$500,MATCH(ROW()-3,$Y$4:$Y$500,0)),"")</f>
      </c>
      <c r="AA437" s="133">
        <f>IF(AND(A437="Модуль",C437&lt;&gt;"",OR($S$6="(все)",B437=$S$6)),MAX($AA$3:AA436)+1,"")</f>
      </c>
      <c r="AB437" s="133">
        <f>IFERROR(INDEX($C$4:$C$500,MATCH(ROW()-3,$AA$4:$AA$500,0)),"")</f>
      </c>
      <c r="AC437" s="133">
        <f>IF(OR(B437="",COUNTIF($B$4:B437,B437)&gt;1),"",MAX($AC$3:AC436)+1)</f>
      </c>
      <c r="AD437" s="133">
        <f>IFERROR(INDEX($B$4:$B$500,MATCH(ROW()-3,$AC$4:$AC$500,0)),"")</f>
      </c>
      <c r="AE437" s="133">
        <f>IF(AND(A437&lt;&gt;"",N(P437)&gt;0),IFERROR(MATCH(A437,$R$12:$R$25,0),99)*1000+ROW(),"")</f>
      </c>
      <c r="AF437" s="133">
        <f>IF(AE437="","",COUNTIF($AE$4:$AE$500,"&lt;="&amp;AE437))</f>
      </c>
    </row>
    <row r="438">
      <c r="A438" s="265"/>
      <c r="B438" s="265"/>
      <c r="C438" s="265"/>
      <c r="D438" s="265"/>
      <c r="E438" s="265"/>
      <c r="F438" s="265"/>
      <c r="G438" s="265"/>
      <c r="H438" s="265"/>
      <c r="I438" s="265"/>
      <c r="J438" s="265"/>
      <c r="K438" s="265"/>
      <c r="L438" s="265"/>
      <c r="M438" s="265"/>
      <c r="N438" s="133">
        <f>IF(OR(A438="Автомат",A438="Дифавтомат"),IF(W438="","",COUNTIF(Однолинейка!$H$3:$H$1000,U438)),IF(A438="Аппарат",IF(C438="","",COUNTIF(Однолинейка!$I$3:$I$1000,C438)+COUNTIF(Однолинейка!$J$3:$J$1000,C438)+COUNTIF(Однолинейка!$K$3:$K$1000,C438)),IF(A438="Модуль",IF(C438="","",COUNTIFS(Однолинейка!$AW$3:$AW$1000,"?*",Однолинейка!$AI$3:$AI$1000,C438)),IF(A438="Клемма",IF(C438="","",IF(C438=$S$7,SUM(Однолинейка!$BW$3:$BW$1000),IF(C438=$S$8,SUM(Однолинейка!$BX$3:$BX$1000),""))),""))))</f>
      </c>
      <c r="O438" s="265"/>
      <c r="P438" s="133">
        <f>IF(COUNT(N438,O438)=0,"",SUM(N438,O438))</f>
      </c>
      <c r="U438" s="133">
        <f>IF(OR(A438="Автомат",A438="Дифавтомат"),I438&amp;" С"&amp;J438&amp;"А"&amp;IF(K438="да"," 30мА",""),"")</f>
      </c>
      <c r="V438" s="133">
        <f>IF(U438="","",B438&amp;"|"&amp;U438)</f>
      </c>
      <c r="W438" s="133">
        <f>IF(AND(U438&lt;&gt;"",OR($S$4="(все)",B438=$S$4),IF($S$4="(все)",COUNTIF($U$4:U438,U438),COUNTIFS($U$4:U438,U438,$B$4:B438,B438))=1),MAX($W$3:W437)+1,"")</f>
      </c>
      <c r="X438" s="133">
        <f>IFERROR(INDEX($U$4:$U$500,MATCH(ROW()-3,$W$4:$W$500,0)),"")</f>
      </c>
      <c r="Y438" s="133">
        <f>IF(AND(A438="Аппарат",C438&lt;&gt;"",OR($S$5="(все)",B438=$S$5)),MAX($Y$3:Y437)+1,"")</f>
      </c>
      <c r="Z438" s="133">
        <f>IFERROR(INDEX($C$4:$C$500,MATCH(ROW()-3,$Y$4:$Y$500,0)),"")</f>
      </c>
      <c r="AA438" s="133">
        <f>IF(AND(A438="Модуль",C438&lt;&gt;"",OR($S$6="(все)",B438=$S$6)),MAX($AA$3:AA437)+1,"")</f>
      </c>
      <c r="AB438" s="133">
        <f>IFERROR(INDEX($C$4:$C$500,MATCH(ROW()-3,$AA$4:$AA$500,0)),"")</f>
      </c>
      <c r="AC438" s="133">
        <f>IF(OR(B438="",COUNTIF($B$4:B438,B438)&gt;1),"",MAX($AC$3:AC437)+1)</f>
      </c>
      <c r="AD438" s="133">
        <f>IFERROR(INDEX($B$4:$B$500,MATCH(ROW()-3,$AC$4:$AC$500,0)),"")</f>
      </c>
      <c r="AE438" s="133">
        <f>IF(AND(A438&lt;&gt;"",N(P438)&gt;0),IFERROR(MATCH(A438,$R$12:$R$25,0),99)*1000+ROW(),"")</f>
      </c>
      <c r="AF438" s="133">
        <f>IF(AE438="","",COUNTIF($AE$4:$AE$500,"&lt;="&amp;AE438))</f>
      </c>
    </row>
    <row r="439">
      <c r="A439" s="265"/>
      <c r="B439" s="265"/>
      <c r="C439" s="265"/>
      <c r="D439" s="265"/>
      <c r="E439" s="265"/>
      <c r="F439" s="265"/>
      <c r="G439" s="265"/>
      <c r="H439" s="265"/>
      <c r="I439" s="265"/>
      <c r="J439" s="265"/>
      <c r="K439" s="265"/>
      <c r="L439" s="265"/>
      <c r="M439" s="265"/>
      <c r="N439" s="133">
        <f>IF(OR(A439="Автомат",A439="Дифавтомат"),IF(W439="","",COUNTIF(Однолинейка!$H$3:$H$1000,U439)),IF(A439="Аппарат",IF(C439="","",COUNTIF(Однолинейка!$I$3:$I$1000,C439)+COUNTIF(Однолинейка!$J$3:$J$1000,C439)+COUNTIF(Однолинейка!$K$3:$K$1000,C439)),IF(A439="Модуль",IF(C439="","",COUNTIFS(Однолинейка!$AW$3:$AW$1000,"?*",Однолинейка!$AI$3:$AI$1000,C439)),IF(A439="Клемма",IF(C439="","",IF(C439=$S$7,SUM(Однолинейка!$BW$3:$BW$1000),IF(C439=$S$8,SUM(Однолинейка!$BX$3:$BX$1000),""))),""))))</f>
      </c>
      <c r="O439" s="265"/>
      <c r="P439" s="133">
        <f>IF(COUNT(N439,O439)=0,"",SUM(N439,O439))</f>
      </c>
      <c r="U439" s="133">
        <f>IF(OR(A439="Автомат",A439="Дифавтомат"),I439&amp;" С"&amp;J439&amp;"А"&amp;IF(K439="да"," 30мА",""),"")</f>
      </c>
      <c r="V439" s="133">
        <f>IF(U439="","",B439&amp;"|"&amp;U439)</f>
      </c>
      <c r="W439" s="133">
        <f>IF(AND(U439&lt;&gt;"",OR($S$4="(все)",B439=$S$4),IF($S$4="(все)",COUNTIF($U$4:U439,U439),COUNTIFS($U$4:U439,U439,$B$4:B439,B439))=1),MAX($W$3:W438)+1,"")</f>
      </c>
      <c r="X439" s="133">
        <f>IFERROR(INDEX($U$4:$U$500,MATCH(ROW()-3,$W$4:$W$500,0)),"")</f>
      </c>
      <c r="Y439" s="133">
        <f>IF(AND(A439="Аппарат",C439&lt;&gt;"",OR($S$5="(все)",B439=$S$5)),MAX($Y$3:Y438)+1,"")</f>
      </c>
      <c r="Z439" s="133">
        <f>IFERROR(INDEX($C$4:$C$500,MATCH(ROW()-3,$Y$4:$Y$500,0)),"")</f>
      </c>
      <c r="AA439" s="133">
        <f>IF(AND(A439="Модуль",C439&lt;&gt;"",OR($S$6="(все)",B439=$S$6)),MAX($AA$3:AA438)+1,"")</f>
      </c>
      <c r="AB439" s="133">
        <f>IFERROR(INDEX($C$4:$C$500,MATCH(ROW()-3,$AA$4:$AA$500,0)),"")</f>
      </c>
      <c r="AC439" s="133">
        <f>IF(OR(B439="",COUNTIF($B$4:B439,B439)&gt;1),"",MAX($AC$3:AC438)+1)</f>
      </c>
      <c r="AD439" s="133">
        <f>IFERROR(INDEX($B$4:$B$500,MATCH(ROW()-3,$AC$4:$AC$500,0)),"")</f>
      </c>
      <c r="AE439" s="133">
        <f>IF(AND(A439&lt;&gt;"",N(P439)&gt;0),IFERROR(MATCH(A439,$R$12:$R$25,0),99)*1000+ROW(),"")</f>
      </c>
      <c r="AF439" s="133">
        <f>IF(AE439="","",COUNTIF($AE$4:$AE$500,"&lt;="&amp;AE439))</f>
      </c>
    </row>
    <row r="440">
      <c r="A440" s="265"/>
      <c r="B440" s="265"/>
      <c r="C440" s="265"/>
      <c r="D440" s="265"/>
      <c r="E440" s="265"/>
      <c r="F440" s="265"/>
      <c r="G440" s="265"/>
      <c r="H440" s="265"/>
      <c r="I440" s="265"/>
      <c r="J440" s="265"/>
      <c r="K440" s="265"/>
      <c r="L440" s="265"/>
      <c r="M440" s="265"/>
      <c r="N440" s="133">
        <f>IF(OR(A440="Автомат",A440="Дифавтомат"),IF(W440="","",COUNTIF(Однолинейка!$H$3:$H$1000,U440)),IF(A440="Аппарат",IF(C440="","",COUNTIF(Однолинейка!$I$3:$I$1000,C440)+COUNTIF(Однолинейка!$J$3:$J$1000,C440)+COUNTIF(Однолинейка!$K$3:$K$1000,C440)),IF(A440="Модуль",IF(C440="","",COUNTIFS(Однолинейка!$AW$3:$AW$1000,"?*",Однолинейка!$AI$3:$AI$1000,C440)),IF(A440="Клемма",IF(C440="","",IF(C440=$S$7,SUM(Однолинейка!$BW$3:$BW$1000),IF(C440=$S$8,SUM(Однолинейка!$BX$3:$BX$1000),""))),""))))</f>
      </c>
      <c r="O440" s="265"/>
      <c r="P440" s="133">
        <f>IF(COUNT(N440,O440)=0,"",SUM(N440,O440))</f>
      </c>
      <c r="U440" s="133">
        <f>IF(OR(A440="Автомат",A440="Дифавтомат"),I440&amp;" С"&amp;J440&amp;"А"&amp;IF(K440="да"," 30мА",""),"")</f>
      </c>
      <c r="V440" s="133">
        <f>IF(U440="","",B440&amp;"|"&amp;U440)</f>
      </c>
      <c r="W440" s="133">
        <f>IF(AND(U440&lt;&gt;"",OR($S$4="(все)",B440=$S$4),IF($S$4="(все)",COUNTIF($U$4:U440,U440),COUNTIFS($U$4:U440,U440,$B$4:B440,B440))=1),MAX($W$3:W439)+1,"")</f>
      </c>
      <c r="X440" s="133">
        <f>IFERROR(INDEX($U$4:$U$500,MATCH(ROW()-3,$W$4:$W$500,0)),"")</f>
      </c>
      <c r="Y440" s="133">
        <f>IF(AND(A440="Аппарат",C440&lt;&gt;"",OR($S$5="(все)",B440=$S$5)),MAX($Y$3:Y439)+1,"")</f>
      </c>
      <c r="Z440" s="133">
        <f>IFERROR(INDEX($C$4:$C$500,MATCH(ROW()-3,$Y$4:$Y$500,0)),"")</f>
      </c>
      <c r="AA440" s="133">
        <f>IF(AND(A440="Модуль",C440&lt;&gt;"",OR($S$6="(все)",B440=$S$6)),MAX($AA$3:AA439)+1,"")</f>
      </c>
      <c r="AB440" s="133">
        <f>IFERROR(INDEX($C$4:$C$500,MATCH(ROW()-3,$AA$4:$AA$500,0)),"")</f>
      </c>
      <c r="AC440" s="133">
        <f>IF(OR(B440="",COUNTIF($B$4:B440,B440)&gt;1),"",MAX($AC$3:AC439)+1)</f>
      </c>
      <c r="AD440" s="133">
        <f>IFERROR(INDEX($B$4:$B$500,MATCH(ROW()-3,$AC$4:$AC$500,0)),"")</f>
      </c>
      <c r="AE440" s="133">
        <f>IF(AND(A440&lt;&gt;"",N(P440)&gt;0),IFERROR(MATCH(A440,$R$12:$R$25,0),99)*1000+ROW(),"")</f>
      </c>
      <c r="AF440" s="133">
        <f>IF(AE440="","",COUNTIF($AE$4:$AE$500,"&lt;="&amp;AE440))</f>
      </c>
    </row>
    <row r="441">
      <c r="A441" s="265"/>
      <c r="B441" s="265"/>
      <c r="C441" s="265"/>
      <c r="D441" s="265"/>
      <c r="E441" s="265"/>
      <c r="F441" s="265"/>
      <c r="G441" s="265"/>
      <c r="H441" s="265"/>
      <c r="I441" s="265"/>
      <c r="J441" s="265"/>
      <c r="K441" s="265"/>
      <c r="L441" s="265"/>
      <c r="M441" s="265"/>
      <c r="N441" s="133">
        <f>IF(OR(A441="Автомат",A441="Дифавтомат"),IF(W441="","",COUNTIF(Однолинейка!$H$3:$H$1000,U441)),IF(A441="Аппарат",IF(C441="","",COUNTIF(Однолинейка!$I$3:$I$1000,C441)+COUNTIF(Однолинейка!$J$3:$J$1000,C441)+COUNTIF(Однолинейка!$K$3:$K$1000,C441)),IF(A441="Модуль",IF(C441="","",COUNTIFS(Однолинейка!$AW$3:$AW$1000,"?*",Однолинейка!$AI$3:$AI$1000,C441)),IF(A441="Клемма",IF(C441="","",IF(C441=$S$7,SUM(Однолинейка!$BW$3:$BW$1000),IF(C441=$S$8,SUM(Однолинейка!$BX$3:$BX$1000),""))),""))))</f>
      </c>
      <c r="O441" s="265"/>
      <c r="P441" s="133">
        <f>IF(COUNT(N441,O441)=0,"",SUM(N441,O441))</f>
      </c>
      <c r="U441" s="133">
        <f>IF(OR(A441="Автомат",A441="Дифавтомат"),I441&amp;" С"&amp;J441&amp;"А"&amp;IF(K441="да"," 30мА",""),"")</f>
      </c>
      <c r="V441" s="133">
        <f>IF(U441="","",B441&amp;"|"&amp;U441)</f>
      </c>
      <c r="W441" s="133">
        <f>IF(AND(U441&lt;&gt;"",OR($S$4="(все)",B441=$S$4),IF($S$4="(все)",COUNTIF($U$4:U441,U441),COUNTIFS($U$4:U441,U441,$B$4:B441,B441))=1),MAX($W$3:W440)+1,"")</f>
      </c>
      <c r="X441" s="133">
        <f>IFERROR(INDEX($U$4:$U$500,MATCH(ROW()-3,$W$4:$W$500,0)),"")</f>
      </c>
      <c r="Y441" s="133">
        <f>IF(AND(A441="Аппарат",C441&lt;&gt;"",OR($S$5="(все)",B441=$S$5)),MAX($Y$3:Y440)+1,"")</f>
      </c>
      <c r="Z441" s="133">
        <f>IFERROR(INDEX($C$4:$C$500,MATCH(ROW()-3,$Y$4:$Y$500,0)),"")</f>
      </c>
      <c r="AA441" s="133">
        <f>IF(AND(A441="Модуль",C441&lt;&gt;"",OR($S$6="(все)",B441=$S$6)),MAX($AA$3:AA440)+1,"")</f>
      </c>
      <c r="AB441" s="133">
        <f>IFERROR(INDEX($C$4:$C$500,MATCH(ROW()-3,$AA$4:$AA$500,0)),"")</f>
      </c>
      <c r="AC441" s="133">
        <f>IF(OR(B441="",COUNTIF($B$4:B441,B441)&gt;1),"",MAX($AC$3:AC440)+1)</f>
      </c>
      <c r="AD441" s="133">
        <f>IFERROR(INDEX($B$4:$B$500,MATCH(ROW()-3,$AC$4:$AC$500,0)),"")</f>
      </c>
      <c r="AE441" s="133">
        <f>IF(AND(A441&lt;&gt;"",N(P441)&gt;0),IFERROR(MATCH(A441,$R$12:$R$25,0),99)*1000+ROW(),"")</f>
      </c>
      <c r="AF441" s="133">
        <f>IF(AE441="","",COUNTIF($AE$4:$AE$500,"&lt;="&amp;AE441))</f>
      </c>
    </row>
    <row r="442">
      <c r="A442" s="265"/>
      <c r="B442" s="265"/>
      <c r="C442" s="265"/>
      <c r="D442" s="265"/>
      <c r="E442" s="265"/>
      <c r="F442" s="265"/>
      <c r="G442" s="265"/>
      <c r="H442" s="265"/>
      <c r="I442" s="265"/>
      <c r="J442" s="265"/>
      <c r="K442" s="265"/>
      <c r="L442" s="265"/>
      <c r="M442" s="265"/>
      <c r="N442" s="133">
        <f>IF(OR(A442="Автомат",A442="Дифавтомат"),IF(W442="","",COUNTIF(Однолинейка!$H$3:$H$1000,U442)),IF(A442="Аппарат",IF(C442="","",COUNTIF(Однолинейка!$I$3:$I$1000,C442)+COUNTIF(Однолинейка!$J$3:$J$1000,C442)+COUNTIF(Однолинейка!$K$3:$K$1000,C442)),IF(A442="Модуль",IF(C442="","",COUNTIFS(Однолинейка!$AW$3:$AW$1000,"?*",Однолинейка!$AI$3:$AI$1000,C442)),IF(A442="Клемма",IF(C442="","",IF(C442=$S$7,SUM(Однолинейка!$BW$3:$BW$1000),IF(C442=$S$8,SUM(Однолинейка!$BX$3:$BX$1000),""))),""))))</f>
      </c>
      <c r="O442" s="265"/>
      <c r="P442" s="133">
        <f>IF(COUNT(N442,O442)=0,"",SUM(N442,O442))</f>
      </c>
      <c r="U442" s="133">
        <f>IF(OR(A442="Автомат",A442="Дифавтомат"),I442&amp;" С"&amp;J442&amp;"А"&amp;IF(K442="да"," 30мА",""),"")</f>
      </c>
      <c r="V442" s="133">
        <f>IF(U442="","",B442&amp;"|"&amp;U442)</f>
      </c>
      <c r="W442" s="133">
        <f>IF(AND(U442&lt;&gt;"",OR($S$4="(все)",B442=$S$4),IF($S$4="(все)",COUNTIF($U$4:U442,U442),COUNTIFS($U$4:U442,U442,$B$4:B442,B442))=1),MAX($W$3:W441)+1,"")</f>
      </c>
      <c r="X442" s="133">
        <f>IFERROR(INDEX($U$4:$U$500,MATCH(ROW()-3,$W$4:$W$500,0)),"")</f>
      </c>
      <c r="Y442" s="133">
        <f>IF(AND(A442="Аппарат",C442&lt;&gt;"",OR($S$5="(все)",B442=$S$5)),MAX($Y$3:Y441)+1,"")</f>
      </c>
      <c r="Z442" s="133">
        <f>IFERROR(INDEX($C$4:$C$500,MATCH(ROW()-3,$Y$4:$Y$500,0)),"")</f>
      </c>
      <c r="AA442" s="133">
        <f>IF(AND(A442="Модуль",C442&lt;&gt;"",OR($S$6="(все)",B442=$S$6)),MAX($AA$3:AA441)+1,"")</f>
      </c>
      <c r="AB442" s="133">
        <f>IFERROR(INDEX($C$4:$C$500,MATCH(ROW()-3,$AA$4:$AA$500,0)),"")</f>
      </c>
      <c r="AC442" s="133">
        <f>IF(OR(B442="",COUNTIF($B$4:B442,B442)&gt;1),"",MAX($AC$3:AC441)+1)</f>
      </c>
      <c r="AD442" s="133">
        <f>IFERROR(INDEX($B$4:$B$500,MATCH(ROW()-3,$AC$4:$AC$500,0)),"")</f>
      </c>
      <c r="AE442" s="133">
        <f>IF(AND(A442&lt;&gt;"",N(P442)&gt;0),IFERROR(MATCH(A442,$R$12:$R$25,0),99)*1000+ROW(),"")</f>
      </c>
      <c r="AF442" s="133">
        <f>IF(AE442="","",COUNTIF($AE$4:$AE$500,"&lt;="&amp;AE442))</f>
      </c>
    </row>
    <row r="443">
      <c r="A443" s="265"/>
      <c r="B443" s="265"/>
      <c r="C443" s="265"/>
      <c r="D443" s="265"/>
      <c r="E443" s="265"/>
      <c r="F443" s="265"/>
      <c r="G443" s="265"/>
      <c r="H443" s="265"/>
      <c r="I443" s="265"/>
      <c r="J443" s="265"/>
      <c r="K443" s="265"/>
      <c r="L443" s="265"/>
      <c r="M443" s="265"/>
      <c r="N443" s="133">
        <f>IF(OR(A443="Автомат",A443="Дифавтомат"),IF(W443="","",COUNTIF(Однолинейка!$H$3:$H$1000,U443)),IF(A443="Аппарат",IF(C443="","",COUNTIF(Однолинейка!$I$3:$I$1000,C443)+COUNTIF(Однолинейка!$J$3:$J$1000,C443)+COUNTIF(Однолинейка!$K$3:$K$1000,C443)),IF(A443="Модуль",IF(C443="","",COUNTIFS(Однолинейка!$AW$3:$AW$1000,"?*",Однолинейка!$AI$3:$AI$1000,C443)),IF(A443="Клемма",IF(C443="","",IF(C443=$S$7,SUM(Однолинейка!$BW$3:$BW$1000),IF(C443=$S$8,SUM(Однолинейка!$BX$3:$BX$1000),""))),""))))</f>
      </c>
      <c r="O443" s="265"/>
      <c r="P443" s="133">
        <f>IF(COUNT(N443,O443)=0,"",SUM(N443,O443))</f>
      </c>
      <c r="U443" s="133">
        <f>IF(OR(A443="Автомат",A443="Дифавтомат"),I443&amp;" С"&amp;J443&amp;"А"&amp;IF(K443="да"," 30мА",""),"")</f>
      </c>
      <c r="V443" s="133">
        <f>IF(U443="","",B443&amp;"|"&amp;U443)</f>
      </c>
      <c r="W443" s="133">
        <f>IF(AND(U443&lt;&gt;"",OR($S$4="(все)",B443=$S$4),IF($S$4="(все)",COUNTIF($U$4:U443,U443),COUNTIFS($U$4:U443,U443,$B$4:B443,B443))=1),MAX($W$3:W442)+1,"")</f>
      </c>
      <c r="X443" s="133">
        <f>IFERROR(INDEX($U$4:$U$500,MATCH(ROW()-3,$W$4:$W$500,0)),"")</f>
      </c>
      <c r="Y443" s="133">
        <f>IF(AND(A443="Аппарат",C443&lt;&gt;"",OR($S$5="(все)",B443=$S$5)),MAX($Y$3:Y442)+1,"")</f>
      </c>
      <c r="Z443" s="133">
        <f>IFERROR(INDEX($C$4:$C$500,MATCH(ROW()-3,$Y$4:$Y$500,0)),"")</f>
      </c>
      <c r="AA443" s="133">
        <f>IF(AND(A443="Модуль",C443&lt;&gt;"",OR($S$6="(все)",B443=$S$6)),MAX($AA$3:AA442)+1,"")</f>
      </c>
      <c r="AB443" s="133">
        <f>IFERROR(INDEX($C$4:$C$500,MATCH(ROW()-3,$AA$4:$AA$500,0)),"")</f>
      </c>
      <c r="AC443" s="133">
        <f>IF(OR(B443="",COUNTIF($B$4:B443,B443)&gt;1),"",MAX($AC$3:AC442)+1)</f>
      </c>
      <c r="AD443" s="133">
        <f>IFERROR(INDEX($B$4:$B$500,MATCH(ROW()-3,$AC$4:$AC$500,0)),"")</f>
      </c>
      <c r="AE443" s="133">
        <f>IF(AND(A443&lt;&gt;"",N(P443)&gt;0),IFERROR(MATCH(A443,$R$12:$R$25,0),99)*1000+ROW(),"")</f>
      </c>
      <c r="AF443" s="133">
        <f>IF(AE443="","",COUNTIF($AE$4:$AE$500,"&lt;="&amp;AE443))</f>
      </c>
    </row>
    <row r="444">
      <c r="A444" s="265"/>
      <c r="B444" s="265"/>
      <c r="C444" s="265"/>
      <c r="D444" s="265"/>
      <c r="E444" s="265"/>
      <c r="F444" s="265"/>
      <c r="G444" s="265"/>
      <c r="H444" s="265"/>
      <c r="I444" s="265"/>
      <c r="J444" s="265"/>
      <c r="K444" s="265"/>
      <c r="L444" s="265"/>
      <c r="M444" s="265"/>
      <c r="N444" s="133">
        <f>IF(OR(A444="Автомат",A444="Дифавтомат"),IF(W444="","",COUNTIF(Однолинейка!$H$3:$H$1000,U444)),IF(A444="Аппарат",IF(C444="","",COUNTIF(Однолинейка!$I$3:$I$1000,C444)+COUNTIF(Однолинейка!$J$3:$J$1000,C444)+COUNTIF(Однолинейка!$K$3:$K$1000,C444)),IF(A444="Модуль",IF(C444="","",COUNTIFS(Однолинейка!$AW$3:$AW$1000,"?*",Однолинейка!$AI$3:$AI$1000,C444)),IF(A444="Клемма",IF(C444="","",IF(C444=$S$7,SUM(Однолинейка!$BW$3:$BW$1000),IF(C444=$S$8,SUM(Однолинейка!$BX$3:$BX$1000),""))),""))))</f>
      </c>
      <c r="O444" s="265"/>
      <c r="P444" s="133">
        <f>IF(COUNT(N444,O444)=0,"",SUM(N444,O444))</f>
      </c>
      <c r="U444" s="133">
        <f>IF(OR(A444="Автомат",A444="Дифавтомат"),I444&amp;" С"&amp;J444&amp;"А"&amp;IF(K444="да"," 30мА",""),"")</f>
      </c>
      <c r="V444" s="133">
        <f>IF(U444="","",B444&amp;"|"&amp;U444)</f>
      </c>
      <c r="W444" s="133">
        <f>IF(AND(U444&lt;&gt;"",OR($S$4="(все)",B444=$S$4),IF($S$4="(все)",COUNTIF($U$4:U444,U444),COUNTIFS($U$4:U444,U444,$B$4:B444,B444))=1),MAX($W$3:W443)+1,"")</f>
      </c>
      <c r="X444" s="133">
        <f>IFERROR(INDEX($U$4:$U$500,MATCH(ROW()-3,$W$4:$W$500,0)),"")</f>
      </c>
      <c r="Y444" s="133">
        <f>IF(AND(A444="Аппарат",C444&lt;&gt;"",OR($S$5="(все)",B444=$S$5)),MAX($Y$3:Y443)+1,"")</f>
      </c>
      <c r="Z444" s="133">
        <f>IFERROR(INDEX($C$4:$C$500,MATCH(ROW()-3,$Y$4:$Y$500,0)),"")</f>
      </c>
      <c r="AA444" s="133">
        <f>IF(AND(A444="Модуль",C444&lt;&gt;"",OR($S$6="(все)",B444=$S$6)),MAX($AA$3:AA443)+1,"")</f>
      </c>
      <c r="AB444" s="133">
        <f>IFERROR(INDEX($C$4:$C$500,MATCH(ROW()-3,$AA$4:$AA$500,0)),"")</f>
      </c>
      <c r="AC444" s="133">
        <f>IF(OR(B444="",COUNTIF($B$4:B444,B444)&gt;1),"",MAX($AC$3:AC443)+1)</f>
      </c>
      <c r="AD444" s="133">
        <f>IFERROR(INDEX($B$4:$B$500,MATCH(ROW()-3,$AC$4:$AC$500,0)),"")</f>
      </c>
      <c r="AE444" s="133">
        <f>IF(AND(A444&lt;&gt;"",N(P444)&gt;0),IFERROR(MATCH(A444,$R$12:$R$25,0),99)*1000+ROW(),"")</f>
      </c>
      <c r="AF444" s="133">
        <f>IF(AE444="","",COUNTIF($AE$4:$AE$500,"&lt;="&amp;AE444))</f>
      </c>
    </row>
    <row r="445">
      <c r="A445" s="265"/>
      <c r="B445" s="265"/>
      <c r="C445" s="265"/>
      <c r="D445" s="265"/>
      <c r="E445" s="265"/>
      <c r="F445" s="265"/>
      <c r="G445" s="265"/>
      <c r="H445" s="265"/>
      <c r="I445" s="265"/>
      <c r="J445" s="265"/>
      <c r="K445" s="265"/>
      <c r="L445" s="265"/>
      <c r="M445" s="265"/>
      <c r="N445" s="133">
        <f>IF(OR(A445="Автомат",A445="Дифавтомат"),IF(W445="","",COUNTIF(Однолинейка!$H$3:$H$1000,U445)),IF(A445="Аппарат",IF(C445="","",COUNTIF(Однолинейка!$I$3:$I$1000,C445)+COUNTIF(Однолинейка!$J$3:$J$1000,C445)+COUNTIF(Однолинейка!$K$3:$K$1000,C445)),IF(A445="Модуль",IF(C445="","",COUNTIFS(Однолинейка!$AW$3:$AW$1000,"?*",Однолинейка!$AI$3:$AI$1000,C445)),IF(A445="Клемма",IF(C445="","",IF(C445=$S$7,SUM(Однолинейка!$BW$3:$BW$1000),IF(C445=$S$8,SUM(Однолинейка!$BX$3:$BX$1000),""))),""))))</f>
      </c>
      <c r="O445" s="265"/>
      <c r="P445" s="133">
        <f>IF(COUNT(N445,O445)=0,"",SUM(N445,O445))</f>
      </c>
      <c r="U445" s="133">
        <f>IF(OR(A445="Автомат",A445="Дифавтомат"),I445&amp;" С"&amp;J445&amp;"А"&amp;IF(K445="да"," 30мА",""),"")</f>
      </c>
      <c r="V445" s="133">
        <f>IF(U445="","",B445&amp;"|"&amp;U445)</f>
      </c>
      <c r="W445" s="133">
        <f>IF(AND(U445&lt;&gt;"",OR($S$4="(все)",B445=$S$4),IF($S$4="(все)",COUNTIF($U$4:U445,U445),COUNTIFS($U$4:U445,U445,$B$4:B445,B445))=1),MAX($W$3:W444)+1,"")</f>
      </c>
      <c r="X445" s="133">
        <f>IFERROR(INDEX($U$4:$U$500,MATCH(ROW()-3,$W$4:$W$500,0)),"")</f>
      </c>
      <c r="Y445" s="133">
        <f>IF(AND(A445="Аппарат",C445&lt;&gt;"",OR($S$5="(все)",B445=$S$5)),MAX($Y$3:Y444)+1,"")</f>
      </c>
      <c r="Z445" s="133">
        <f>IFERROR(INDEX($C$4:$C$500,MATCH(ROW()-3,$Y$4:$Y$500,0)),"")</f>
      </c>
      <c r="AA445" s="133">
        <f>IF(AND(A445="Модуль",C445&lt;&gt;"",OR($S$6="(все)",B445=$S$6)),MAX($AA$3:AA444)+1,"")</f>
      </c>
      <c r="AB445" s="133">
        <f>IFERROR(INDEX($C$4:$C$500,MATCH(ROW()-3,$AA$4:$AA$500,0)),"")</f>
      </c>
      <c r="AC445" s="133">
        <f>IF(OR(B445="",COUNTIF($B$4:B445,B445)&gt;1),"",MAX($AC$3:AC444)+1)</f>
      </c>
      <c r="AD445" s="133">
        <f>IFERROR(INDEX($B$4:$B$500,MATCH(ROW()-3,$AC$4:$AC$500,0)),"")</f>
      </c>
      <c r="AE445" s="133">
        <f>IF(AND(A445&lt;&gt;"",N(P445)&gt;0),IFERROR(MATCH(A445,$R$12:$R$25,0),99)*1000+ROW(),"")</f>
      </c>
      <c r="AF445" s="133">
        <f>IF(AE445="","",COUNTIF($AE$4:$AE$500,"&lt;="&amp;AE445))</f>
      </c>
    </row>
    <row r="446">
      <c r="A446" s="265"/>
      <c r="B446" s="265"/>
      <c r="C446" s="265"/>
      <c r="D446" s="265"/>
      <c r="E446" s="265"/>
      <c r="F446" s="265"/>
      <c r="G446" s="265"/>
      <c r="H446" s="265"/>
      <c r="I446" s="265"/>
      <c r="J446" s="265"/>
      <c r="K446" s="265"/>
      <c r="L446" s="265"/>
      <c r="M446" s="265"/>
      <c r="N446" s="133">
        <f>IF(OR(A446="Автомат",A446="Дифавтомат"),IF(W446="","",COUNTIF(Однолинейка!$H$3:$H$1000,U446)),IF(A446="Аппарат",IF(C446="","",COUNTIF(Однолинейка!$I$3:$I$1000,C446)+COUNTIF(Однолинейка!$J$3:$J$1000,C446)+COUNTIF(Однолинейка!$K$3:$K$1000,C446)),IF(A446="Модуль",IF(C446="","",COUNTIFS(Однолинейка!$AW$3:$AW$1000,"?*",Однолинейка!$AI$3:$AI$1000,C446)),IF(A446="Клемма",IF(C446="","",IF(C446=$S$7,SUM(Однолинейка!$BW$3:$BW$1000),IF(C446=$S$8,SUM(Однолинейка!$BX$3:$BX$1000),""))),""))))</f>
      </c>
      <c r="O446" s="265"/>
      <c r="P446" s="133">
        <f>IF(COUNT(N446,O446)=0,"",SUM(N446,O446))</f>
      </c>
      <c r="U446" s="133">
        <f>IF(OR(A446="Автомат",A446="Дифавтомат"),I446&amp;" С"&amp;J446&amp;"А"&amp;IF(K446="да"," 30мА",""),"")</f>
      </c>
      <c r="V446" s="133">
        <f>IF(U446="","",B446&amp;"|"&amp;U446)</f>
      </c>
      <c r="W446" s="133">
        <f>IF(AND(U446&lt;&gt;"",OR($S$4="(все)",B446=$S$4),IF($S$4="(все)",COUNTIF($U$4:U446,U446),COUNTIFS($U$4:U446,U446,$B$4:B446,B446))=1),MAX($W$3:W445)+1,"")</f>
      </c>
      <c r="X446" s="133">
        <f>IFERROR(INDEX($U$4:$U$500,MATCH(ROW()-3,$W$4:$W$500,0)),"")</f>
      </c>
      <c r="Y446" s="133">
        <f>IF(AND(A446="Аппарат",C446&lt;&gt;"",OR($S$5="(все)",B446=$S$5)),MAX($Y$3:Y445)+1,"")</f>
      </c>
      <c r="Z446" s="133">
        <f>IFERROR(INDEX($C$4:$C$500,MATCH(ROW()-3,$Y$4:$Y$500,0)),"")</f>
      </c>
      <c r="AA446" s="133">
        <f>IF(AND(A446="Модуль",C446&lt;&gt;"",OR($S$6="(все)",B446=$S$6)),MAX($AA$3:AA445)+1,"")</f>
      </c>
      <c r="AB446" s="133">
        <f>IFERROR(INDEX($C$4:$C$500,MATCH(ROW()-3,$AA$4:$AA$500,0)),"")</f>
      </c>
      <c r="AC446" s="133">
        <f>IF(OR(B446="",COUNTIF($B$4:B446,B446)&gt;1),"",MAX($AC$3:AC445)+1)</f>
      </c>
      <c r="AD446" s="133">
        <f>IFERROR(INDEX($B$4:$B$500,MATCH(ROW()-3,$AC$4:$AC$500,0)),"")</f>
      </c>
      <c r="AE446" s="133">
        <f>IF(AND(A446&lt;&gt;"",N(P446)&gt;0),IFERROR(MATCH(A446,$R$12:$R$25,0),99)*1000+ROW(),"")</f>
      </c>
      <c r="AF446" s="133">
        <f>IF(AE446="","",COUNTIF($AE$4:$AE$500,"&lt;="&amp;AE446))</f>
      </c>
    </row>
    <row r="447">
      <c r="A447" s="265"/>
      <c r="B447" s="265"/>
      <c r="C447" s="265"/>
      <c r="D447" s="265"/>
      <c r="E447" s="265"/>
      <c r="F447" s="265"/>
      <c r="G447" s="265"/>
      <c r="H447" s="265"/>
      <c r="I447" s="265"/>
      <c r="J447" s="265"/>
      <c r="K447" s="265"/>
      <c r="L447" s="265"/>
      <c r="M447" s="265"/>
      <c r="N447" s="133">
        <f>IF(OR(A447="Автомат",A447="Дифавтомат"),IF(W447="","",COUNTIF(Однолинейка!$H$3:$H$1000,U447)),IF(A447="Аппарат",IF(C447="","",COUNTIF(Однолинейка!$I$3:$I$1000,C447)+COUNTIF(Однолинейка!$J$3:$J$1000,C447)+COUNTIF(Однолинейка!$K$3:$K$1000,C447)),IF(A447="Модуль",IF(C447="","",COUNTIFS(Однолинейка!$AW$3:$AW$1000,"?*",Однолинейка!$AI$3:$AI$1000,C447)),IF(A447="Клемма",IF(C447="","",IF(C447=$S$7,SUM(Однолинейка!$BW$3:$BW$1000),IF(C447=$S$8,SUM(Однолинейка!$BX$3:$BX$1000),""))),""))))</f>
      </c>
      <c r="O447" s="265"/>
      <c r="P447" s="133">
        <f>IF(COUNT(N447,O447)=0,"",SUM(N447,O447))</f>
      </c>
      <c r="U447" s="133">
        <f>IF(OR(A447="Автомат",A447="Дифавтомат"),I447&amp;" С"&amp;J447&amp;"А"&amp;IF(K447="да"," 30мА",""),"")</f>
      </c>
      <c r="V447" s="133">
        <f>IF(U447="","",B447&amp;"|"&amp;U447)</f>
      </c>
      <c r="W447" s="133">
        <f>IF(AND(U447&lt;&gt;"",OR($S$4="(все)",B447=$S$4),IF($S$4="(все)",COUNTIF($U$4:U447,U447),COUNTIFS($U$4:U447,U447,$B$4:B447,B447))=1),MAX($W$3:W446)+1,"")</f>
      </c>
      <c r="X447" s="133">
        <f>IFERROR(INDEX($U$4:$U$500,MATCH(ROW()-3,$W$4:$W$500,0)),"")</f>
      </c>
      <c r="Y447" s="133">
        <f>IF(AND(A447="Аппарат",C447&lt;&gt;"",OR($S$5="(все)",B447=$S$5)),MAX($Y$3:Y446)+1,"")</f>
      </c>
      <c r="Z447" s="133">
        <f>IFERROR(INDEX($C$4:$C$500,MATCH(ROW()-3,$Y$4:$Y$500,0)),"")</f>
      </c>
      <c r="AA447" s="133">
        <f>IF(AND(A447="Модуль",C447&lt;&gt;"",OR($S$6="(все)",B447=$S$6)),MAX($AA$3:AA446)+1,"")</f>
      </c>
      <c r="AB447" s="133">
        <f>IFERROR(INDEX($C$4:$C$500,MATCH(ROW()-3,$AA$4:$AA$500,0)),"")</f>
      </c>
      <c r="AC447" s="133">
        <f>IF(OR(B447="",COUNTIF($B$4:B447,B447)&gt;1),"",MAX($AC$3:AC446)+1)</f>
      </c>
      <c r="AD447" s="133">
        <f>IFERROR(INDEX($B$4:$B$500,MATCH(ROW()-3,$AC$4:$AC$500,0)),"")</f>
      </c>
      <c r="AE447" s="133">
        <f>IF(AND(A447&lt;&gt;"",N(P447)&gt;0),IFERROR(MATCH(A447,$R$12:$R$25,0),99)*1000+ROW(),"")</f>
      </c>
      <c r="AF447" s="133">
        <f>IF(AE447="","",COUNTIF($AE$4:$AE$500,"&lt;="&amp;AE447))</f>
      </c>
    </row>
    <row r="448">
      <c r="A448" s="265"/>
      <c r="B448" s="265"/>
      <c r="C448" s="265"/>
      <c r="D448" s="265"/>
      <c r="E448" s="265"/>
      <c r="F448" s="265"/>
      <c r="G448" s="265"/>
      <c r="H448" s="265"/>
      <c r="I448" s="265"/>
      <c r="J448" s="265"/>
      <c r="K448" s="265"/>
      <c r="L448" s="265"/>
      <c r="M448" s="265"/>
      <c r="N448" s="133">
        <f>IF(OR(A448="Автомат",A448="Дифавтомат"),IF(W448="","",COUNTIF(Однолинейка!$H$3:$H$1000,U448)),IF(A448="Аппарат",IF(C448="","",COUNTIF(Однолинейка!$I$3:$I$1000,C448)+COUNTIF(Однолинейка!$J$3:$J$1000,C448)+COUNTIF(Однолинейка!$K$3:$K$1000,C448)),IF(A448="Модуль",IF(C448="","",COUNTIFS(Однолинейка!$AW$3:$AW$1000,"?*",Однолинейка!$AI$3:$AI$1000,C448)),IF(A448="Клемма",IF(C448="","",IF(C448=$S$7,SUM(Однолинейка!$BW$3:$BW$1000),IF(C448=$S$8,SUM(Однолинейка!$BX$3:$BX$1000),""))),""))))</f>
      </c>
      <c r="O448" s="265"/>
      <c r="P448" s="133">
        <f>IF(COUNT(N448,O448)=0,"",SUM(N448,O448))</f>
      </c>
      <c r="U448" s="133">
        <f>IF(OR(A448="Автомат",A448="Дифавтомат"),I448&amp;" С"&amp;J448&amp;"А"&amp;IF(K448="да"," 30мА",""),"")</f>
      </c>
      <c r="V448" s="133">
        <f>IF(U448="","",B448&amp;"|"&amp;U448)</f>
      </c>
      <c r="W448" s="133">
        <f>IF(AND(U448&lt;&gt;"",OR($S$4="(все)",B448=$S$4),IF($S$4="(все)",COUNTIF($U$4:U448,U448),COUNTIFS($U$4:U448,U448,$B$4:B448,B448))=1),MAX($W$3:W447)+1,"")</f>
      </c>
      <c r="X448" s="133">
        <f>IFERROR(INDEX($U$4:$U$500,MATCH(ROW()-3,$W$4:$W$500,0)),"")</f>
      </c>
      <c r="Y448" s="133">
        <f>IF(AND(A448="Аппарат",C448&lt;&gt;"",OR($S$5="(все)",B448=$S$5)),MAX($Y$3:Y447)+1,"")</f>
      </c>
      <c r="Z448" s="133">
        <f>IFERROR(INDEX($C$4:$C$500,MATCH(ROW()-3,$Y$4:$Y$500,0)),"")</f>
      </c>
      <c r="AA448" s="133">
        <f>IF(AND(A448="Модуль",C448&lt;&gt;"",OR($S$6="(все)",B448=$S$6)),MAX($AA$3:AA447)+1,"")</f>
      </c>
      <c r="AB448" s="133">
        <f>IFERROR(INDEX($C$4:$C$500,MATCH(ROW()-3,$AA$4:$AA$500,0)),"")</f>
      </c>
      <c r="AC448" s="133">
        <f>IF(OR(B448="",COUNTIF($B$4:B448,B448)&gt;1),"",MAX($AC$3:AC447)+1)</f>
      </c>
      <c r="AD448" s="133">
        <f>IFERROR(INDEX($B$4:$B$500,MATCH(ROW()-3,$AC$4:$AC$500,0)),"")</f>
      </c>
      <c r="AE448" s="133">
        <f>IF(AND(A448&lt;&gt;"",N(P448)&gt;0),IFERROR(MATCH(A448,$R$12:$R$25,0),99)*1000+ROW(),"")</f>
      </c>
      <c r="AF448" s="133">
        <f>IF(AE448="","",COUNTIF($AE$4:$AE$500,"&lt;="&amp;AE448))</f>
      </c>
    </row>
    <row r="449">
      <c r="A449" s="265"/>
      <c r="B449" s="265"/>
      <c r="C449" s="265"/>
      <c r="D449" s="265"/>
      <c r="E449" s="265"/>
      <c r="F449" s="265"/>
      <c r="G449" s="265"/>
      <c r="H449" s="265"/>
      <c r="I449" s="265"/>
      <c r="J449" s="265"/>
      <c r="K449" s="265"/>
      <c r="L449" s="265"/>
      <c r="M449" s="265"/>
      <c r="N449" s="133">
        <f>IF(OR(A449="Автомат",A449="Дифавтомат"),IF(W449="","",COUNTIF(Однолинейка!$H$3:$H$1000,U449)),IF(A449="Аппарат",IF(C449="","",COUNTIF(Однолинейка!$I$3:$I$1000,C449)+COUNTIF(Однолинейка!$J$3:$J$1000,C449)+COUNTIF(Однолинейка!$K$3:$K$1000,C449)),IF(A449="Модуль",IF(C449="","",COUNTIFS(Однолинейка!$AW$3:$AW$1000,"?*",Однолинейка!$AI$3:$AI$1000,C449)),IF(A449="Клемма",IF(C449="","",IF(C449=$S$7,SUM(Однолинейка!$BW$3:$BW$1000),IF(C449=$S$8,SUM(Однолинейка!$BX$3:$BX$1000),""))),""))))</f>
      </c>
      <c r="O449" s="265"/>
      <c r="P449" s="133">
        <f>IF(COUNT(N449,O449)=0,"",SUM(N449,O449))</f>
      </c>
      <c r="U449" s="133">
        <f>IF(OR(A449="Автомат",A449="Дифавтомат"),I449&amp;" С"&amp;J449&amp;"А"&amp;IF(K449="да"," 30мА",""),"")</f>
      </c>
      <c r="V449" s="133">
        <f>IF(U449="","",B449&amp;"|"&amp;U449)</f>
      </c>
      <c r="W449" s="133">
        <f>IF(AND(U449&lt;&gt;"",OR($S$4="(все)",B449=$S$4),IF($S$4="(все)",COUNTIF($U$4:U449,U449),COUNTIFS($U$4:U449,U449,$B$4:B449,B449))=1),MAX($W$3:W448)+1,"")</f>
      </c>
      <c r="X449" s="133">
        <f>IFERROR(INDEX($U$4:$U$500,MATCH(ROW()-3,$W$4:$W$500,0)),"")</f>
      </c>
      <c r="Y449" s="133">
        <f>IF(AND(A449="Аппарат",C449&lt;&gt;"",OR($S$5="(все)",B449=$S$5)),MAX($Y$3:Y448)+1,"")</f>
      </c>
      <c r="Z449" s="133">
        <f>IFERROR(INDEX($C$4:$C$500,MATCH(ROW()-3,$Y$4:$Y$500,0)),"")</f>
      </c>
      <c r="AA449" s="133">
        <f>IF(AND(A449="Модуль",C449&lt;&gt;"",OR($S$6="(все)",B449=$S$6)),MAX($AA$3:AA448)+1,"")</f>
      </c>
      <c r="AB449" s="133">
        <f>IFERROR(INDEX($C$4:$C$500,MATCH(ROW()-3,$AA$4:$AA$500,0)),"")</f>
      </c>
      <c r="AC449" s="133">
        <f>IF(OR(B449="",COUNTIF($B$4:B449,B449)&gt;1),"",MAX($AC$3:AC448)+1)</f>
      </c>
      <c r="AD449" s="133">
        <f>IFERROR(INDEX($B$4:$B$500,MATCH(ROW()-3,$AC$4:$AC$500,0)),"")</f>
      </c>
      <c r="AE449" s="133">
        <f>IF(AND(A449&lt;&gt;"",N(P449)&gt;0),IFERROR(MATCH(A449,$R$12:$R$25,0),99)*1000+ROW(),"")</f>
      </c>
      <c r="AF449" s="133">
        <f>IF(AE449="","",COUNTIF($AE$4:$AE$500,"&lt;="&amp;AE449))</f>
      </c>
    </row>
    <row r="450">
      <c r="A450" s="265"/>
      <c r="B450" s="265"/>
      <c r="C450" s="265"/>
      <c r="D450" s="265"/>
      <c r="E450" s="265"/>
      <c r="F450" s="265"/>
      <c r="G450" s="265"/>
      <c r="H450" s="265"/>
      <c r="I450" s="265"/>
      <c r="J450" s="265"/>
      <c r="K450" s="265"/>
      <c r="L450" s="265"/>
      <c r="M450" s="265"/>
      <c r="N450" s="133">
        <f>IF(OR(A450="Автомат",A450="Дифавтомат"),IF(W450="","",COUNTIF(Однолинейка!$H$3:$H$1000,U450)),IF(A450="Аппарат",IF(C450="","",COUNTIF(Однолинейка!$I$3:$I$1000,C450)+COUNTIF(Однолинейка!$J$3:$J$1000,C450)+COUNTIF(Однолинейка!$K$3:$K$1000,C450)),IF(A450="Модуль",IF(C450="","",COUNTIFS(Однолинейка!$AW$3:$AW$1000,"?*",Однолинейка!$AI$3:$AI$1000,C450)),IF(A450="Клемма",IF(C450="","",IF(C450=$S$7,SUM(Однолинейка!$BW$3:$BW$1000),IF(C450=$S$8,SUM(Однолинейка!$BX$3:$BX$1000),""))),""))))</f>
      </c>
      <c r="O450" s="265"/>
      <c r="P450" s="133">
        <f>IF(COUNT(N450,O450)=0,"",SUM(N450,O450))</f>
      </c>
      <c r="U450" s="133">
        <f>IF(OR(A450="Автомат",A450="Дифавтомат"),I450&amp;" С"&amp;J450&amp;"А"&amp;IF(K450="да"," 30мА",""),"")</f>
      </c>
      <c r="V450" s="133">
        <f>IF(U450="","",B450&amp;"|"&amp;U450)</f>
      </c>
      <c r="W450" s="133">
        <f>IF(AND(U450&lt;&gt;"",OR($S$4="(все)",B450=$S$4),IF($S$4="(все)",COUNTIF($U$4:U450,U450),COUNTIFS($U$4:U450,U450,$B$4:B450,B450))=1),MAX($W$3:W449)+1,"")</f>
      </c>
      <c r="X450" s="133">
        <f>IFERROR(INDEX($U$4:$U$500,MATCH(ROW()-3,$W$4:$W$500,0)),"")</f>
      </c>
      <c r="Y450" s="133">
        <f>IF(AND(A450="Аппарат",C450&lt;&gt;"",OR($S$5="(все)",B450=$S$5)),MAX($Y$3:Y449)+1,"")</f>
      </c>
      <c r="Z450" s="133">
        <f>IFERROR(INDEX($C$4:$C$500,MATCH(ROW()-3,$Y$4:$Y$500,0)),"")</f>
      </c>
      <c r="AA450" s="133">
        <f>IF(AND(A450="Модуль",C450&lt;&gt;"",OR($S$6="(все)",B450=$S$6)),MAX($AA$3:AA449)+1,"")</f>
      </c>
      <c r="AB450" s="133">
        <f>IFERROR(INDEX($C$4:$C$500,MATCH(ROW()-3,$AA$4:$AA$500,0)),"")</f>
      </c>
      <c r="AC450" s="133">
        <f>IF(OR(B450="",COUNTIF($B$4:B450,B450)&gt;1),"",MAX($AC$3:AC449)+1)</f>
      </c>
      <c r="AD450" s="133">
        <f>IFERROR(INDEX($B$4:$B$500,MATCH(ROW()-3,$AC$4:$AC$500,0)),"")</f>
      </c>
      <c r="AE450" s="133">
        <f>IF(AND(A450&lt;&gt;"",N(P450)&gt;0),IFERROR(MATCH(A450,$R$12:$R$25,0),99)*1000+ROW(),"")</f>
      </c>
      <c r="AF450" s="133">
        <f>IF(AE450="","",COUNTIF($AE$4:$AE$500,"&lt;="&amp;AE450))</f>
      </c>
    </row>
    <row r="451">
      <c r="A451" s="265"/>
      <c r="B451" s="265"/>
      <c r="C451" s="265"/>
      <c r="D451" s="265"/>
      <c r="E451" s="265"/>
      <c r="F451" s="265"/>
      <c r="G451" s="265"/>
      <c r="H451" s="265"/>
      <c r="I451" s="265"/>
      <c r="J451" s="265"/>
      <c r="K451" s="265"/>
      <c r="L451" s="265"/>
      <c r="M451" s="265"/>
      <c r="N451" s="133">
        <f>IF(OR(A451="Автомат",A451="Дифавтомат"),IF(W451="","",COUNTIF(Однолинейка!$H$3:$H$1000,U451)),IF(A451="Аппарат",IF(C451="","",COUNTIF(Однолинейка!$I$3:$I$1000,C451)+COUNTIF(Однолинейка!$J$3:$J$1000,C451)+COUNTIF(Однолинейка!$K$3:$K$1000,C451)),IF(A451="Модуль",IF(C451="","",COUNTIFS(Однолинейка!$AW$3:$AW$1000,"?*",Однолинейка!$AI$3:$AI$1000,C451)),IF(A451="Клемма",IF(C451="","",IF(C451=$S$7,SUM(Однолинейка!$BW$3:$BW$1000),IF(C451=$S$8,SUM(Однолинейка!$BX$3:$BX$1000),""))),""))))</f>
      </c>
      <c r="O451" s="265"/>
      <c r="P451" s="133">
        <f>IF(COUNT(N451,O451)=0,"",SUM(N451,O451))</f>
      </c>
      <c r="U451" s="133">
        <f>IF(OR(A451="Автомат",A451="Дифавтомат"),I451&amp;" С"&amp;J451&amp;"А"&amp;IF(K451="да"," 30мА",""),"")</f>
      </c>
      <c r="V451" s="133">
        <f>IF(U451="","",B451&amp;"|"&amp;U451)</f>
      </c>
      <c r="W451" s="133">
        <f>IF(AND(U451&lt;&gt;"",OR($S$4="(все)",B451=$S$4),IF($S$4="(все)",COUNTIF($U$4:U451,U451),COUNTIFS($U$4:U451,U451,$B$4:B451,B451))=1),MAX($W$3:W450)+1,"")</f>
      </c>
      <c r="X451" s="133">
        <f>IFERROR(INDEX($U$4:$U$500,MATCH(ROW()-3,$W$4:$W$500,0)),"")</f>
      </c>
      <c r="Y451" s="133">
        <f>IF(AND(A451="Аппарат",C451&lt;&gt;"",OR($S$5="(все)",B451=$S$5)),MAX($Y$3:Y450)+1,"")</f>
      </c>
      <c r="Z451" s="133">
        <f>IFERROR(INDEX($C$4:$C$500,MATCH(ROW()-3,$Y$4:$Y$500,0)),"")</f>
      </c>
      <c r="AA451" s="133">
        <f>IF(AND(A451="Модуль",C451&lt;&gt;"",OR($S$6="(все)",B451=$S$6)),MAX($AA$3:AA450)+1,"")</f>
      </c>
      <c r="AB451" s="133">
        <f>IFERROR(INDEX($C$4:$C$500,MATCH(ROW()-3,$AA$4:$AA$500,0)),"")</f>
      </c>
      <c r="AC451" s="133">
        <f>IF(OR(B451="",COUNTIF($B$4:B451,B451)&gt;1),"",MAX($AC$3:AC450)+1)</f>
      </c>
      <c r="AD451" s="133">
        <f>IFERROR(INDEX($B$4:$B$500,MATCH(ROW()-3,$AC$4:$AC$500,0)),"")</f>
      </c>
      <c r="AE451" s="133">
        <f>IF(AND(A451&lt;&gt;"",N(P451)&gt;0),IFERROR(MATCH(A451,$R$12:$R$25,0),99)*1000+ROW(),"")</f>
      </c>
      <c r="AF451" s="133">
        <f>IF(AE451="","",COUNTIF($AE$4:$AE$500,"&lt;="&amp;AE451))</f>
      </c>
    </row>
    <row r="452">
      <c r="A452" s="265"/>
      <c r="B452" s="265"/>
      <c r="C452" s="265"/>
      <c r="D452" s="265"/>
      <c r="E452" s="265"/>
      <c r="F452" s="265"/>
      <c r="G452" s="265"/>
      <c r="H452" s="265"/>
      <c r="I452" s="265"/>
      <c r="J452" s="265"/>
      <c r="K452" s="265"/>
      <c r="L452" s="265"/>
      <c r="M452" s="265"/>
      <c r="N452" s="133">
        <f>IF(OR(A452="Автомат",A452="Дифавтомат"),IF(W452="","",COUNTIF(Однолинейка!$H$3:$H$1000,U452)),IF(A452="Аппарат",IF(C452="","",COUNTIF(Однолинейка!$I$3:$I$1000,C452)+COUNTIF(Однолинейка!$J$3:$J$1000,C452)+COUNTIF(Однолинейка!$K$3:$K$1000,C452)),IF(A452="Модуль",IF(C452="","",COUNTIFS(Однолинейка!$AW$3:$AW$1000,"?*",Однолинейка!$AI$3:$AI$1000,C452)),IF(A452="Клемма",IF(C452="","",IF(C452=$S$7,SUM(Однолинейка!$BW$3:$BW$1000),IF(C452=$S$8,SUM(Однолинейка!$BX$3:$BX$1000),""))),""))))</f>
      </c>
      <c r="O452" s="265"/>
      <c r="P452" s="133">
        <f>IF(COUNT(N452,O452)=0,"",SUM(N452,O452))</f>
      </c>
      <c r="U452" s="133">
        <f>IF(OR(A452="Автомат",A452="Дифавтомат"),I452&amp;" С"&amp;J452&amp;"А"&amp;IF(K452="да"," 30мА",""),"")</f>
      </c>
      <c r="V452" s="133">
        <f>IF(U452="","",B452&amp;"|"&amp;U452)</f>
      </c>
      <c r="W452" s="133">
        <f>IF(AND(U452&lt;&gt;"",OR($S$4="(все)",B452=$S$4),IF($S$4="(все)",COUNTIF($U$4:U452,U452),COUNTIFS($U$4:U452,U452,$B$4:B452,B452))=1),MAX($W$3:W451)+1,"")</f>
      </c>
      <c r="X452" s="133">
        <f>IFERROR(INDEX($U$4:$U$500,MATCH(ROW()-3,$W$4:$W$500,0)),"")</f>
      </c>
      <c r="Y452" s="133">
        <f>IF(AND(A452="Аппарат",C452&lt;&gt;"",OR($S$5="(все)",B452=$S$5)),MAX($Y$3:Y451)+1,"")</f>
      </c>
      <c r="Z452" s="133">
        <f>IFERROR(INDEX($C$4:$C$500,MATCH(ROW()-3,$Y$4:$Y$500,0)),"")</f>
      </c>
      <c r="AA452" s="133">
        <f>IF(AND(A452="Модуль",C452&lt;&gt;"",OR($S$6="(все)",B452=$S$6)),MAX($AA$3:AA451)+1,"")</f>
      </c>
      <c r="AB452" s="133">
        <f>IFERROR(INDEX($C$4:$C$500,MATCH(ROW()-3,$AA$4:$AA$500,0)),"")</f>
      </c>
      <c r="AC452" s="133">
        <f>IF(OR(B452="",COUNTIF($B$4:B452,B452)&gt;1),"",MAX($AC$3:AC451)+1)</f>
      </c>
      <c r="AD452" s="133">
        <f>IFERROR(INDEX($B$4:$B$500,MATCH(ROW()-3,$AC$4:$AC$500,0)),"")</f>
      </c>
      <c r="AE452" s="133">
        <f>IF(AND(A452&lt;&gt;"",N(P452)&gt;0),IFERROR(MATCH(A452,$R$12:$R$25,0),99)*1000+ROW(),"")</f>
      </c>
      <c r="AF452" s="133">
        <f>IF(AE452="","",COUNTIF($AE$4:$AE$500,"&lt;="&amp;AE452))</f>
      </c>
    </row>
    <row r="453">
      <c r="A453" s="265"/>
      <c r="B453" s="265"/>
      <c r="C453" s="265"/>
      <c r="D453" s="265"/>
      <c r="E453" s="265"/>
      <c r="F453" s="265"/>
      <c r="G453" s="265"/>
      <c r="H453" s="265"/>
      <c r="I453" s="265"/>
      <c r="J453" s="265"/>
      <c r="K453" s="265"/>
      <c r="L453" s="265"/>
      <c r="M453" s="265"/>
      <c r="N453" s="133">
        <f>IF(OR(A453="Автомат",A453="Дифавтомат"),IF(W453="","",COUNTIF(Однолинейка!$H$3:$H$1000,U453)),IF(A453="Аппарат",IF(C453="","",COUNTIF(Однолинейка!$I$3:$I$1000,C453)+COUNTIF(Однолинейка!$J$3:$J$1000,C453)+COUNTIF(Однолинейка!$K$3:$K$1000,C453)),IF(A453="Модуль",IF(C453="","",COUNTIFS(Однолинейка!$AW$3:$AW$1000,"?*",Однолинейка!$AI$3:$AI$1000,C453)),IF(A453="Клемма",IF(C453="","",IF(C453=$S$7,SUM(Однолинейка!$BW$3:$BW$1000),IF(C453=$S$8,SUM(Однолинейка!$BX$3:$BX$1000),""))),""))))</f>
      </c>
      <c r="O453" s="265"/>
      <c r="P453" s="133">
        <f>IF(COUNT(N453,O453)=0,"",SUM(N453,O453))</f>
      </c>
      <c r="U453" s="133">
        <f>IF(OR(A453="Автомат",A453="Дифавтомат"),I453&amp;" С"&amp;J453&amp;"А"&amp;IF(K453="да"," 30мА",""),"")</f>
      </c>
      <c r="V453" s="133">
        <f>IF(U453="","",B453&amp;"|"&amp;U453)</f>
      </c>
      <c r="W453" s="133">
        <f>IF(AND(U453&lt;&gt;"",OR($S$4="(все)",B453=$S$4),IF($S$4="(все)",COUNTIF($U$4:U453,U453),COUNTIFS($U$4:U453,U453,$B$4:B453,B453))=1),MAX($W$3:W452)+1,"")</f>
      </c>
      <c r="X453" s="133">
        <f>IFERROR(INDEX($U$4:$U$500,MATCH(ROW()-3,$W$4:$W$500,0)),"")</f>
      </c>
      <c r="Y453" s="133">
        <f>IF(AND(A453="Аппарат",C453&lt;&gt;"",OR($S$5="(все)",B453=$S$5)),MAX($Y$3:Y452)+1,"")</f>
      </c>
      <c r="Z453" s="133">
        <f>IFERROR(INDEX($C$4:$C$500,MATCH(ROW()-3,$Y$4:$Y$500,0)),"")</f>
      </c>
      <c r="AA453" s="133">
        <f>IF(AND(A453="Модуль",C453&lt;&gt;"",OR($S$6="(все)",B453=$S$6)),MAX($AA$3:AA452)+1,"")</f>
      </c>
      <c r="AB453" s="133">
        <f>IFERROR(INDEX($C$4:$C$500,MATCH(ROW()-3,$AA$4:$AA$500,0)),"")</f>
      </c>
      <c r="AC453" s="133">
        <f>IF(OR(B453="",COUNTIF($B$4:B453,B453)&gt;1),"",MAX($AC$3:AC452)+1)</f>
      </c>
      <c r="AD453" s="133">
        <f>IFERROR(INDEX($B$4:$B$500,MATCH(ROW()-3,$AC$4:$AC$500,0)),"")</f>
      </c>
      <c r="AE453" s="133">
        <f>IF(AND(A453&lt;&gt;"",N(P453)&gt;0),IFERROR(MATCH(A453,$R$12:$R$25,0),99)*1000+ROW(),"")</f>
      </c>
      <c r="AF453" s="133">
        <f>IF(AE453="","",COUNTIF($AE$4:$AE$500,"&lt;="&amp;AE453))</f>
      </c>
    </row>
    <row r="454">
      <c r="A454" s="265"/>
      <c r="B454" s="265"/>
      <c r="C454" s="265"/>
      <c r="D454" s="265"/>
      <c r="E454" s="265"/>
      <c r="F454" s="265"/>
      <c r="G454" s="265"/>
      <c r="H454" s="265"/>
      <c r="I454" s="265"/>
      <c r="J454" s="265"/>
      <c r="K454" s="265"/>
      <c r="L454" s="265"/>
      <c r="M454" s="265"/>
      <c r="N454" s="133">
        <f>IF(OR(A454="Автомат",A454="Дифавтомат"),IF(W454="","",COUNTIF(Однолинейка!$H$3:$H$1000,U454)),IF(A454="Аппарат",IF(C454="","",COUNTIF(Однолинейка!$I$3:$I$1000,C454)+COUNTIF(Однолинейка!$J$3:$J$1000,C454)+COUNTIF(Однолинейка!$K$3:$K$1000,C454)),IF(A454="Модуль",IF(C454="","",COUNTIFS(Однолинейка!$AW$3:$AW$1000,"?*",Однолинейка!$AI$3:$AI$1000,C454)),IF(A454="Клемма",IF(C454="","",IF(C454=$S$7,SUM(Однолинейка!$BW$3:$BW$1000),IF(C454=$S$8,SUM(Однолинейка!$BX$3:$BX$1000),""))),""))))</f>
      </c>
      <c r="O454" s="265"/>
      <c r="P454" s="133">
        <f>IF(COUNT(N454,O454)=0,"",SUM(N454,O454))</f>
      </c>
      <c r="U454" s="133">
        <f>IF(OR(A454="Автомат",A454="Дифавтомат"),I454&amp;" С"&amp;J454&amp;"А"&amp;IF(K454="да"," 30мА",""),"")</f>
      </c>
      <c r="V454" s="133">
        <f>IF(U454="","",B454&amp;"|"&amp;U454)</f>
      </c>
      <c r="W454" s="133">
        <f>IF(AND(U454&lt;&gt;"",OR($S$4="(все)",B454=$S$4),IF($S$4="(все)",COUNTIF($U$4:U454,U454),COUNTIFS($U$4:U454,U454,$B$4:B454,B454))=1),MAX($W$3:W453)+1,"")</f>
      </c>
      <c r="X454" s="133">
        <f>IFERROR(INDEX($U$4:$U$500,MATCH(ROW()-3,$W$4:$W$500,0)),"")</f>
      </c>
      <c r="Y454" s="133">
        <f>IF(AND(A454="Аппарат",C454&lt;&gt;"",OR($S$5="(все)",B454=$S$5)),MAX($Y$3:Y453)+1,"")</f>
      </c>
      <c r="Z454" s="133">
        <f>IFERROR(INDEX($C$4:$C$500,MATCH(ROW()-3,$Y$4:$Y$500,0)),"")</f>
      </c>
      <c r="AA454" s="133">
        <f>IF(AND(A454="Модуль",C454&lt;&gt;"",OR($S$6="(все)",B454=$S$6)),MAX($AA$3:AA453)+1,"")</f>
      </c>
      <c r="AB454" s="133">
        <f>IFERROR(INDEX($C$4:$C$500,MATCH(ROW()-3,$AA$4:$AA$500,0)),"")</f>
      </c>
      <c r="AC454" s="133">
        <f>IF(OR(B454="",COUNTIF($B$4:B454,B454)&gt;1),"",MAX($AC$3:AC453)+1)</f>
      </c>
      <c r="AD454" s="133">
        <f>IFERROR(INDEX($B$4:$B$500,MATCH(ROW()-3,$AC$4:$AC$500,0)),"")</f>
      </c>
      <c r="AE454" s="133">
        <f>IF(AND(A454&lt;&gt;"",N(P454)&gt;0),IFERROR(MATCH(A454,$R$12:$R$25,0),99)*1000+ROW(),"")</f>
      </c>
      <c r="AF454" s="133">
        <f>IF(AE454="","",COUNTIF($AE$4:$AE$500,"&lt;="&amp;AE454))</f>
      </c>
    </row>
    <row r="455">
      <c r="A455" s="265"/>
      <c r="B455" s="265"/>
      <c r="C455" s="265"/>
      <c r="D455" s="265"/>
      <c r="E455" s="265"/>
      <c r="F455" s="265"/>
      <c r="G455" s="265"/>
      <c r="H455" s="265"/>
      <c r="I455" s="265"/>
      <c r="J455" s="265"/>
      <c r="K455" s="265"/>
      <c r="L455" s="265"/>
      <c r="M455" s="265"/>
      <c r="N455" s="133">
        <f>IF(OR(A455="Автомат",A455="Дифавтомат"),IF(W455="","",COUNTIF(Однолинейка!$H$3:$H$1000,U455)),IF(A455="Аппарат",IF(C455="","",COUNTIF(Однолинейка!$I$3:$I$1000,C455)+COUNTIF(Однолинейка!$J$3:$J$1000,C455)+COUNTIF(Однолинейка!$K$3:$K$1000,C455)),IF(A455="Модуль",IF(C455="","",COUNTIFS(Однолинейка!$AW$3:$AW$1000,"?*",Однолинейка!$AI$3:$AI$1000,C455)),IF(A455="Клемма",IF(C455="","",IF(C455=$S$7,SUM(Однолинейка!$BW$3:$BW$1000),IF(C455=$S$8,SUM(Однолинейка!$BX$3:$BX$1000),""))),""))))</f>
      </c>
      <c r="O455" s="265"/>
      <c r="P455" s="133">
        <f>IF(COUNT(N455,O455)=0,"",SUM(N455,O455))</f>
      </c>
      <c r="U455" s="133">
        <f>IF(OR(A455="Автомат",A455="Дифавтомат"),I455&amp;" С"&amp;J455&amp;"А"&amp;IF(K455="да"," 30мА",""),"")</f>
      </c>
      <c r="V455" s="133">
        <f>IF(U455="","",B455&amp;"|"&amp;U455)</f>
      </c>
      <c r="W455" s="133">
        <f>IF(AND(U455&lt;&gt;"",OR($S$4="(все)",B455=$S$4),IF($S$4="(все)",COUNTIF($U$4:U455,U455),COUNTIFS($U$4:U455,U455,$B$4:B455,B455))=1),MAX($W$3:W454)+1,"")</f>
      </c>
      <c r="X455" s="133">
        <f>IFERROR(INDEX($U$4:$U$500,MATCH(ROW()-3,$W$4:$W$500,0)),"")</f>
      </c>
      <c r="Y455" s="133">
        <f>IF(AND(A455="Аппарат",C455&lt;&gt;"",OR($S$5="(все)",B455=$S$5)),MAX($Y$3:Y454)+1,"")</f>
      </c>
      <c r="Z455" s="133">
        <f>IFERROR(INDEX($C$4:$C$500,MATCH(ROW()-3,$Y$4:$Y$500,0)),"")</f>
      </c>
      <c r="AA455" s="133">
        <f>IF(AND(A455="Модуль",C455&lt;&gt;"",OR($S$6="(все)",B455=$S$6)),MAX($AA$3:AA454)+1,"")</f>
      </c>
      <c r="AB455" s="133">
        <f>IFERROR(INDEX($C$4:$C$500,MATCH(ROW()-3,$AA$4:$AA$500,0)),"")</f>
      </c>
      <c r="AC455" s="133">
        <f>IF(OR(B455="",COUNTIF($B$4:B455,B455)&gt;1),"",MAX($AC$3:AC454)+1)</f>
      </c>
      <c r="AD455" s="133">
        <f>IFERROR(INDEX($B$4:$B$500,MATCH(ROW()-3,$AC$4:$AC$500,0)),"")</f>
      </c>
      <c r="AE455" s="133">
        <f>IF(AND(A455&lt;&gt;"",N(P455)&gt;0),IFERROR(MATCH(A455,$R$12:$R$25,0),99)*1000+ROW(),"")</f>
      </c>
      <c r="AF455" s="133">
        <f>IF(AE455="","",COUNTIF($AE$4:$AE$500,"&lt;="&amp;AE455))</f>
      </c>
    </row>
    <row r="456">
      <c r="A456" s="265"/>
      <c r="B456" s="265"/>
      <c r="C456" s="265"/>
      <c r="D456" s="265"/>
      <c r="E456" s="265"/>
      <c r="F456" s="265"/>
      <c r="G456" s="265"/>
      <c r="H456" s="265"/>
      <c r="I456" s="265"/>
      <c r="J456" s="265"/>
      <c r="K456" s="265"/>
      <c r="L456" s="265"/>
      <c r="M456" s="265"/>
      <c r="N456" s="133">
        <f>IF(OR(A456="Автомат",A456="Дифавтомат"),IF(W456="","",COUNTIF(Однолинейка!$H$3:$H$1000,U456)),IF(A456="Аппарат",IF(C456="","",COUNTIF(Однолинейка!$I$3:$I$1000,C456)+COUNTIF(Однолинейка!$J$3:$J$1000,C456)+COUNTIF(Однолинейка!$K$3:$K$1000,C456)),IF(A456="Модуль",IF(C456="","",COUNTIFS(Однолинейка!$AW$3:$AW$1000,"?*",Однолинейка!$AI$3:$AI$1000,C456)),IF(A456="Клемма",IF(C456="","",IF(C456=$S$7,SUM(Однолинейка!$BW$3:$BW$1000),IF(C456=$S$8,SUM(Однолинейка!$BX$3:$BX$1000),""))),""))))</f>
      </c>
      <c r="O456" s="265"/>
      <c r="P456" s="133">
        <f>IF(COUNT(N456,O456)=0,"",SUM(N456,O456))</f>
      </c>
      <c r="U456" s="133">
        <f>IF(OR(A456="Автомат",A456="Дифавтомат"),I456&amp;" С"&amp;J456&amp;"А"&amp;IF(K456="да"," 30мА",""),"")</f>
      </c>
      <c r="V456" s="133">
        <f>IF(U456="","",B456&amp;"|"&amp;U456)</f>
      </c>
      <c r="W456" s="133">
        <f>IF(AND(U456&lt;&gt;"",OR($S$4="(все)",B456=$S$4),IF($S$4="(все)",COUNTIF($U$4:U456,U456),COUNTIFS($U$4:U456,U456,$B$4:B456,B456))=1),MAX($W$3:W455)+1,"")</f>
      </c>
      <c r="X456" s="133">
        <f>IFERROR(INDEX($U$4:$U$500,MATCH(ROW()-3,$W$4:$W$500,0)),"")</f>
      </c>
      <c r="Y456" s="133">
        <f>IF(AND(A456="Аппарат",C456&lt;&gt;"",OR($S$5="(все)",B456=$S$5)),MAX($Y$3:Y455)+1,"")</f>
      </c>
      <c r="Z456" s="133">
        <f>IFERROR(INDEX($C$4:$C$500,MATCH(ROW()-3,$Y$4:$Y$500,0)),"")</f>
      </c>
      <c r="AA456" s="133">
        <f>IF(AND(A456="Модуль",C456&lt;&gt;"",OR($S$6="(все)",B456=$S$6)),MAX($AA$3:AA455)+1,"")</f>
      </c>
      <c r="AB456" s="133">
        <f>IFERROR(INDEX($C$4:$C$500,MATCH(ROW()-3,$AA$4:$AA$500,0)),"")</f>
      </c>
      <c r="AC456" s="133">
        <f>IF(OR(B456="",COUNTIF($B$4:B456,B456)&gt;1),"",MAX($AC$3:AC455)+1)</f>
      </c>
      <c r="AD456" s="133">
        <f>IFERROR(INDEX($B$4:$B$500,MATCH(ROW()-3,$AC$4:$AC$500,0)),"")</f>
      </c>
      <c r="AE456" s="133">
        <f>IF(AND(A456&lt;&gt;"",N(P456)&gt;0),IFERROR(MATCH(A456,$R$12:$R$25,0),99)*1000+ROW(),"")</f>
      </c>
      <c r="AF456" s="133">
        <f>IF(AE456="","",COUNTIF($AE$4:$AE$500,"&lt;="&amp;AE456))</f>
      </c>
    </row>
    <row r="457">
      <c r="A457" s="265"/>
      <c r="B457" s="265"/>
      <c r="C457" s="265"/>
      <c r="D457" s="265"/>
      <c r="E457" s="265"/>
      <c r="F457" s="265"/>
      <c r="G457" s="265"/>
      <c r="H457" s="265"/>
      <c r="I457" s="265"/>
      <c r="J457" s="265"/>
      <c r="K457" s="265"/>
      <c r="L457" s="265"/>
      <c r="M457" s="265"/>
      <c r="N457" s="133">
        <f>IF(OR(A457="Автомат",A457="Дифавтомат"),IF(W457="","",COUNTIF(Однолинейка!$H$3:$H$1000,U457)),IF(A457="Аппарат",IF(C457="","",COUNTIF(Однолинейка!$I$3:$I$1000,C457)+COUNTIF(Однолинейка!$J$3:$J$1000,C457)+COUNTIF(Однолинейка!$K$3:$K$1000,C457)),IF(A457="Модуль",IF(C457="","",COUNTIFS(Однолинейка!$AW$3:$AW$1000,"?*",Однолинейка!$AI$3:$AI$1000,C457)),IF(A457="Клемма",IF(C457="","",IF(C457=$S$7,SUM(Однолинейка!$BW$3:$BW$1000),IF(C457=$S$8,SUM(Однолинейка!$BX$3:$BX$1000),""))),""))))</f>
      </c>
      <c r="O457" s="265"/>
      <c r="P457" s="133">
        <f>IF(COUNT(N457,O457)=0,"",SUM(N457,O457))</f>
      </c>
      <c r="U457" s="133">
        <f>IF(OR(A457="Автомат",A457="Дифавтомат"),I457&amp;" С"&amp;J457&amp;"А"&amp;IF(K457="да"," 30мА",""),"")</f>
      </c>
      <c r="V457" s="133">
        <f>IF(U457="","",B457&amp;"|"&amp;U457)</f>
      </c>
      <c r="W457" s="133">
        <f>IF(AND(U457&lt;&gt;"",OR($S$4="(все)",B457=$S$4),IF($S$4="(все)",COUNTIF($U$4:U457,U457),COUNTIFS($U$4:U457,U457,$B$4:B457,B457))=1),MAX($W$3:W456)+1,"")</f>
      </c>
      <c r="X457" s="133">
        <f>IFERROR(INDEX($U$4:$U$500,MATCH(ROW()-3,$W$4:$W$500,0)),"")</f>
      </c>
      <c r="Y457" s="133">
        <f>IF(AND(A457="Аппарат",C457&lt;&gt;"",OR($S$5="(все)",B457=$S$5)),MAX($Y$3:Y456)+1,"")</f>
      </c>
      <c r="Z457" s="133">
        <f>IFERROR(INDEX($C$4:$C$500,MATCH(ROW()-3,$Y$4:$Y$500,0)),"")</f>
      </c>
      <c r="AA457" s="133">
        <f>IF(AND(A457="Модуль",C457&lt;&gt;"",OR($S$6="(все)",B457=$S$6)),MAX($AA$3:AA456)+1,"")</f>
      </c>
      <c r="AB457" s="133">
        <f>IFERROR(INDEX($C$4:$C$500,MATCH(ROW()-3,$AA$4:$AA$500,0)),"")</f>
      </c>
      <c r="AC457" s="133">
        <f>IF(OR(B457="",COUNTIF($B$4:B457,B457)&gt;1),"",MAX($AC$3:AC456)+1)</f>
      </c>
      <c r="AD457" s="133">
        <f>IFERROR(INDEX($B$4:$B$500,MATCH(ROW()-3,$AC$4:$AC$500,0)),"")</f>
      </c>
      <c r="AE457" s="133">
        <f>IF(AND(A457&lt;&gt;"",N(P457)&gt;0),IFERROR(MATCH(A457,$R$12:$R$25,0),99)*1000+ROW(),"")</f>
      </c>
      <c r="AF457" s="133">
        <f>IF(AE457="","",COUNTIF($AE$4:$AE$500,"&lt;="&amp;AE457))</f>
      </c>
    </row>
    <row r="458">
      <c r="A458" s="265"/>
      <c r="B458" s="265"/>
      <c r="C458" s="265"/>
      <c r="D458" s="265"/>
      <c r="E458" s="265"/>
      <c r="F458" s="265"/>
      <c r="G458" s="265"/>
      <c r="H458" s="265"/>
      <c r="I458" s="265"/>
      <c r="J458" s="265"/>
      <c r="K458" s="265"/>
      <c r="L458" s="265"/>
      <c r="M458" s="265"/>
      <c r="N458" s="133">
        <f>IF(OR(A458="Автомат",A458="Дифавтомат"),IF(W458="","",COUNTIF(Однолинейка!$H$3:$H$1000,U458)),IF(A458="Аппарат",IF(C458="","",COUNTIF(Однолинейка!$I$3:$I$1000,C458)+COUNTIF(Однолинейка!$J$3:$J$1000,C458)+COUNTIF(Однолинейка!$K$3:$K$1000,C458)),IF(A458="Модуль",IF(C458="","",COUNTIFS(Однолинейка!$AW$3:$AW$1000,"?*",Однолинейка!$AI$3:$AI$1000,C458)),IF(A458="Клемма",IF(C458="","",IF(C458=$S$7,SUM(Однолинейка!$BW$3:$BW$1000),IF(C458=$S$8,SUM(Однолинейка!$BX$3:$BX$1000),""))),""))))</f>
      </c>
      <c r="O458" s="265"/>
      <c r="P458" s="133">
        <f>IF(COUNT(N458,O458)=0,"",SUM(N458,O458))</f>
      </c>
      <c r="U458" s="133">
        <f>IF(OR(A458="Автомат",A458="Дифавтомат"),I458&amp;" С"&amp;J458&amp;"А"&amp;IF(K458="да"," 30мА",""),"")</f>
      </c>
      <c r="V458" s="133">
        <f>IF(U458="","",B458&amp;"|"&amp;U458)</f>
      </c>
      <c r="W458" s="133">
        <f>IF(AND(U458&lt;&gt;"",OR($S$4="(все)",B458=$S$4),IF($S$4="(все)",COUNTIF($U$4:U458,U458),COUNTIFS($U$4:U458,U458,$B$4:B458,B458))=1),MAX($W$3:W457)+1,"")</f>
      </c>
      <c r="X458" s="133">
        <f>IFERROR(INDEX($U$4:$U$500,MATCH(ROW()-3,$W$4:$W$500,0)),"")</f>
      </c>
      <c r="Y458" s="133">
        <f>IF(AND(A458="Аппарат",C458&lt;&gt;"",OR($S$5="(все)",B458=$S$5)),MAX($Y$3:Y457)+1,"")</f>
      </c>
      <c r="Z458" s="133">
        <f>IFERROR(INDEX($C$4:$C$500,MATCH(ROW()-3,$Y$4:$Y$500,0)),"")</f>
      </c>
      <c r="AA458" s="133">
        <f>IF(AND(A458="Модуль",C458&lt;&gt;"",OR($S$6="(все)",B458=$S$6)),MAX($AA$3:AA457)+1,"")</f>
      </c>
      <c r="AB458" s="133">
        <f>IFERROR(INDEX($C$4:$C$500,MATCH(ROW()-3,$AA$4:$AA$500,0)),"")</f>
      </c>
      <c r="AC458" s="133">
        <f>IF(OR(B458="",COUNTIF($B$4:B458,B458)&gt;1),"",MAX($AC$3:AC457)+1)</f>
      </c>
      <c r="AD458" s="133">
        <f>IFERROR(INDEX($B$4:$B$500,MATCH(ROW()-3,$AC$4:$AC$500,0)),"")</f>
      </c>
      <c r="AE458" s="133">
        <f>IF(AND(A458&lt;&gt;"",N(P458)&gt;0),IFERROR(MATCH(A458,$R$12:$R$25,0),99)*1000+ROW(),"")</f>
      </c>
      <c r="AF458" s="133">
        <f>IF(AE458="","",COUNTIF($AE$4:$AE$500,"&lt;="&amp;AE458))</f>
      </c>
    </row>
    <row r="459">
      <c r="A459" s="265"/>
      <c r="B459" s="265"/>
      <c r="C459" s="265"/>
      <c r="D459" s="265"/>
      <c r="E459" s="265"/>
      <c r="F459" s="265"/>
      <c r="G459" s="265"/>
      <c r="H459" s="265"/>
      <c r="I459" s="265"/>
      <c r="J459" s="265"/>
      <c r="K459" s="265"/>
      <c r="L459" s="265"/>
      <c r="M459" s="265"/>
      <c r="N459" s="133">
        <f>IF(OR(A459="Автомат",A459="Дифавтомат"),IF(W459="","",COUNTIF(Однолинейка!$H$3:$H$1000,U459)),IF(A459="Аппарат",IF(C459="","",COUNTIF(Однолинейка!$I$3:$I$1000,C459)+COUNTIF(Однолинейка!$J$3:$J$1000,C459)+COUNTIF(Однолинейка!$K$3:$K$1000,C459)),IF(A459="Модуль",IF(C459="","",COUNTIFS(Однолинейка!$AW$3:$AW$1000,"?*",Однолинейка!$AI$3:$AI$1000,C459)),IF(A459="Клемма",IF(C459="","",IF(C459=$S$7,SUM(Однолинейка!$BW$3:$BW$1000),IF(C459=$S$8,SUM(Однолинейка!$BX$3:$BX$1000),""))),""))))</f>
      </c>
      <c r="O459" s="265"/>
      <c r="P459" s="133">
        <f>IF(COUNT(N459,O459)=0,"",SUM(N459,O459))</f>
      </c>
      <c r="U459" s="133">
        <f>IF(OR(A459="Автомат",A459="Дифавтомат"),I459&amp;" С"&amp;J459&amp;"А"&amp;IF(K459="да"," 30мА",""),"")</f>
      </c>
      <c r="V459" s="133">
        <f>IF(U459="","",B459&amp;"|"&amp;U459)</f>
      </c>
      <c r="W459" s="133">
        <f>IF(AND(U459&lt;&gt;"",OR($S$4="(все)",B459=$S$4),IF($S$4="(все)",COUNTIF($U$4:U459,U459),COUNTIFS($U$4:U459,U459,$B$4:B459,B459))=1),MAX($W$3:W458)+1,"")</f>
      </c>
      <c r="X459" s="133">
        <f>IFERROR(INDEX($U$4:$U$500,MATCH(ROW()-3,$W$4:$W$500,0)),"")</f>
      </c>
      <c r="Y459" s="133">
        <f>IF(AND(A459="Аппарат",C459&lt;&gt;"",OR($S$5="(все)",B459=$S$5)),MAX($Y$3:Y458)+1,"")</f>
      </c>
      <c r="Z459" s="133">
        <f>IFERROR(INDEX($C$4:$C$500,MATCH(ROW()-3,$Y$4:$Y$500,0)),"")</f>
      </c>
      <c r="AA459" s="133">
        <f>IF(AND(A459="Модуль",C459&lt;&gt;"",OR($S$6="(все)",B459=$S$6)),MAX($AA$3:AA458)+1,"")</f>
      </c>
      <c r="AB459" s="133">
        <f>IFERROR(INDEX($C$4:$C$500,MATCH(ROW()-3,$AA$4:$AA$500,0)),"")</f>
      </c>
      <c r="AC459" s="133">
        <f>IF(OR(B459="",COUNTIF($B$4:B459,B459)&gt;1),"",MAX($AC$3:AC458)+1)</f>
      </c>
      <c r="AD459" s="133">
        <f>IFERROR(INDEX($B$4:$B$500,MATCH(ROW()-3,$AC$4:$AC$500,0)),"")</f>
      </c>
      <c r="AE459" s="133">
        <f>IF(AND(A459&lt;&gt;"",N(P459)&gt;0),IFERROR(MATCH(A459,$R$12:$R$25,0),99)*1000+ROW(),"")</f>
      </c>
      <c r="AF459" s="133">
        <f>IF(AE459="","",COUNTIF($AE$4:$AE$500,"&lt;="&amp;AE459))</f>
      </c>
    </row>
    <row r="460">
      <c r="A460" s="265"/>
      <c r="B460" s="265"/>
      <c r="C460" s="265"/>
      <c r="D460" s="265"/>
      <c r="E460" s="265"/>
      <c r="F460" s="265"/>
      <c r="G460" s="265"/>
      <c r="H460" s="265"/>
      <c r="I460" s="265"/>
      <c r="J460" s="265"/>
      <c r="K460" s="265"/>
      <c r="L460" s="265"/>
      <c r="M460" s="265"/>
      <c r="N460" s="133">
        <f>IF(OR(A460="Автомат",A460="Дифавтомат"),IF(W460="","",COUNTIF(Однолинейка!$H$3:$H$1000,U460)),IF(A460="Аппарат",IF(C460="","",COUNTIF(Однолинейка!$I$3:$I$1000,C460)+COUNTIF(Однолинейка!$J$3:$J$1000,C460)+COUNTIF(Однолинейка!$K$3:$K$1000,C460)),IF(A460="Модуль",IF(C460="","",COUNTIFS(Однолинейка!$AW$3:$AW$1000,"?*",Однолинейка!$AI$3:$AI$1000,C460)),IF(A460="Клемма",IF(C460="","",IF(C460=$S$7,SUM(Однолинейка!$BW$3:$BW$1000),IF(C460=$S$8,SUM(Однолинейка!$BX$3:$BX$1000),""))),""))))</f>
      </c>
      <c r="O460" s="265"/>
      <c r="P460" s="133">
        <f>IF(COUNT(N460,O460)=0,"",SUM(N460,O460))</f>
      </c>
      <c r="U460" s="133">
        <f>IF(OR(A460="Автомат",A460="Дифавтомат"),I460&amp;" С"&amp;J460&amp;"А"&amp;IF(K460="да"," 30мА",""),"")</f>
      </c>
      <c r="V460" s="133">
        <f>IF(U460="","",B460&amp;"|"&amp;U460)</f>
      </c>
      <c r="W460" s="133">
        <f>IF(AND(U460&lt;&gt;"",OR($S$4="(все)",B460=$S$4),IF($S$4="(все)",COUNTIF($U$4:U460,U460),COUNTIFS($U$4:U460,U460,$B$4:B460,B460))=1),MAX($W$3:W459)+1,"")</f>
      </c>
      <c r="X460" s="133">
        <f>IFERROR(INDEX($U$4:$U$500,MATCH(ROW()-3,$W$4:$W$500,0)),"")</f>
      </c>
      <c r="Y460" s="133">
        <f>IF(AND(A460="Аппарат",C460&lt;&gt;"",OR($S$5="(все)",B460=$S$5)),MAX($Y$3:Y459)+1,"")</f>
      </c>
      <c r="Z460" s="133">
        <f>IFERROR(INDEX($C$4:$C$500,MATCH(ROW()-3,$Y$4:$Y$500,0)),"")</f>
      </c>
      <c r="AA460" s="133">
        <f>IF(AND(A460="Модуль",C460&lt;&gt;"",OR($S$6="(все)",B460=$S$6)),MAX($AA$3:AA459)+1,"")</f>
      </c>
      <c r="AB460" s="133">
        <f>IFERROR(INDEX($C$4:$C$500,MATCH(ROW()-3,$AA$4:$AA$500,0)),"")</f>
      </c>
      <c r="AC460" s="133">
        <f>IF(OR(B460="",COUNTIF($B$4:B460,B460)&gt;1),"",MAX($AC$3:AC459)+1)</f>
      </c>
      <c r="AD460" s="133">
        <f>IFERROR(INDEX($B$4:$B$500,MATCH(ROW()-3,$AC$4:$AC$500,0)),"")</f>
      </c>
      <c r="AE460" s="133">
        <f>IF(AND(A460&lt;&gt;"",N(P460)&gt;0),IFERROR(MATCH(A460,$R$12:$R$25,0),99)*1000+ROW(),"")</f>
      </c>
      <c r="AF460" s="133">
        <f>IF(AE460="","",COUNTIF($AE$4:$AE$500,"&lt;="&amp;AE460))</f>
      </c>
    </row>
    <row r="461">
      <c r="A461" s="265"/>
      <c r="B461" s="265"/>
      <c r="C461" s="265"/>
      <c r="D461" s="265"/>
      <c r="E461" s="265"/>
      <c r="F461" s="265"/>
      <c r="G461" s="265"/>
      <c r="H461" s="265"/>
      <c r="I461" s="265"/>
      <c r="J461" s="265"/>
      <c r="K461" s="265"/>
      <c r="L461" s="265"/>
      <c r="M461" s="265"/>
      <c r="N461" s="133">
        <f>IF(OR(A461="Автомат",A461="Дифавтомат"),IF(W461="","",COUNTIF(Однолинейка!$H$3:$H$1000,U461)),IF(A461="Аппарат",IF(C461="","",COUNTIF(Однолинейка!$I$3:$I$1000,C461)+COUNTIF(Однолинейка!$J$3:$J$1000,C461)+COUNTIF(Однолинейка!$K$3:$K$1000,C461)),IF(A461="Модуль",IF(C461="","",COUNTIFS(Однолинейка!$AW$3:$AW$1000,"?*",Однолинейка!$AI$3:$AI$1000,C461)),IF(A461="Клемма",IF(C461="","",IF(C461=$S$7,SUM(Однолинейка!$BW$3:$BW$1000),IF(C461=$S$8,SUM(Однолинейка!$BX$3:$BX$1000),""))),""))))</f>
      </c>
      <c r="O461" s="265"/>
      <c r="P461" s="133">
        <f>IF(COUNT(N461,O461)=0,"",SUM(N461,O461))</f>
      </c>
      <c r="U461" s="133">
        <f>IF(OR(A461="Автомат",A461="Дифавтомат"),I461&amp;" С"&amp;J461&amp;"А"&amp;IF(K461="да"," 30мА",""),"")</f>
      </c>
      <c r="V461" s="133">
        <f>IF(U461="","",B461&amp;"|"&amp;U461)</f>
      </c>
      <c r="W461" s="133">
        <f>IF(AND(U461&lt;&gt;"",OR($S$4="(все)",B461=$S$4),IF($S$4="(все)",COUNTIF($U$4:U461,U461),COUNTIFS($U$4:U461,U461,$B$4:B461,B461))=1),MAX($W$3:W460)+1,"")</f>
      </c>
      <c r="X461" s="133">
        <f>IFERROR(INDEX($U$4:$U$500,MATCH(ROW()-3,$W$4:$W$500,0)),"")</f>
      </c>
      <c r="Y461" s="133">
        <f>IF(AND(A461="Аппарат",C461&lt;&gt;"",OR($S$5="(все)",B461=$S$5)),MAX($Y$3:Y460)+1,"")</f>
      </c>
      <c r="Z461" s="133">
        <f>IFERROR(INDEX($C$4:$C$500,MATCH(ROW()-3,$Y$4:$Y$500,0)),"")</f>
      </c>
      <c r="AA461" s="133">
        <f>IF(AND(A461="Модуль",C461&lt;&gt;"",OR($S$6="(все)",B461=$S$6)),MAX($AA$3:AA460)+1,"")</f>
      </c>
      <c r="AB461" s="133">
        <f>IFERROR(INDEX($C$4:$C$500,MATCH(ROW()-3,$AA$4:$AA$500,0)),"")</f>
      </c>
      <c r="AC461" s="133">
        <f>IF(OR(B461="",COUNTIF($B$4:B461,B461)&gt;1),"",MAX($AC$3:AC460)+1)</f>
      </c>
      <c r="AD461" s="133">
        <f>IFERROR(INDEX($B$4:$B$500,MATCH(ROW()-3,$AC$4:$AC$500,0)),"")</f>
      </c>
      <c r="AE461" s="133">
        <f>IF(AND(A461&lt;&gt;"",N(P461)&gt;0),IFERROR(MATCH(A461,$R$12:$R$25,0),99)*1000+ROW(),"")</f>
      </c>
      <c r="AF461" s="133">
        <f>IF(AE461="","",COUNTIF($AE$4:$AE$500,"&lt;="&amp;AE461))</f>
      </c>
    </row>
    <row r="462">
      <c r="A462" s="265"/>
      <c r="B462" s="265"/>
      <c r="C462" s="265"/>
      <c r="D462" s="265"/>
      <c r="E462" s="265"/>
      <c r="F462" s="265"/>
      <c r="G462" s="265"/>
      <c r="H462" s="265"/>
      <c r="I462" s="265"/>
      <c r="J462" s="265"/>
      <c r="K462" s="265"/>
      <c r="L462" s="265"/>
      <c r="M462" s="265"/>
      <c r="N462" s="133">
        <f>IF(OR(A462="Автомат",A462="Дифавтомат"),IF(W462="","",COUNTIF(Однолинейка!$H$3:$H$1000,U462)),IF(A462="Аппарат",IF(C462="","",COUNTIF(Однолинейка!$I$3:$I$1000,C462)+COUNTIF(Однолинейка!$J$3:$J$1000,C462)+COUNTIF(Однолинейка!$K$3:$K$1000,C462)),IF(A462="Модуль",IF(C462="","",COUNTIFS(Однолинейка!$AW$3:$AW$1000,"?*",Однолинейка!$AI$3:$AI$1000,C462)),IF(A462="Клемма",IF(C462="","",IF(C462=$S$7,SUM(Однолинейка!$BW$3:$BW$1000),IF(C462=$S$8,SUM(Однолинейка!$BX$3:$BX$1000),""))),""))))</f>
      </c>
      <c r="O462" s="265"/>
      <c r="P462" s="133">
        <f>IF(COUNT(N462,O462)=0,"",SUM(N462,O462))</f>
      </c>
      <c r="U462" s="133">
        <f>IF(OR(A462="Автомат",A462="Дифавтомат"),I462&amp;" С"&amp;J462&amp;"А"&amp;IF(K462="да"," 30мА",""),"")</f>
      </c>
      <c r="V462" s="133">
        <f>IF(U462="","",B462&amp;"|"&amp;U462)</f>
      </c>
      <c r="W462" s="133">
        <f>IF(AND(U462&lt;&gt;"",OR($S$4="(все)",B462=$S$4),IF($S$4="(все)",COUNTIF($U$4:U462,U462),COUNTIFS($U$4:U462,U462,$B$4:B462,B462))=1),MAX($W$3:W461)+1,"")</f>
      </c>
      <c r="X462" s="133">
        <f>IFERROR(INDEX($U$4:$U$500,MATCH(ROW()-3,$W$4:$W$500,0)),"")</f>
      </c>
      <c r="Y462" s="133">
        <f>IF(AND(A462="Аппарат",C462&lt;&gt;"",OR($S$5="(все)",B462=$S$5)),MAX($Y$3:Y461)+1,"")</f>
      </c>
      <c r="Z462" s="133">
        <f>IFERROR(INDEX($C$4:$C$500,MATCH(ROW()-3,$Y$4:$Y$500,0)),"")</f>
      </c>
      <c r="AA462" s="133">
        <f>IF(AND(A462="Модуль",C462&lt;&gt;"",OR($S$6="(все)",B462=$S$6)),MAX($AA$3:AA461)+1,"")</f>
      </c>
      <c r="AB462" s="133">
        <f>IFERROR(INDEX($C$4:$C$500,MATCH(ROW()-3,$AA$4:$AA$500,0)),"")</f>
      </c>
      <c r="AC462" s="133">
        <f>IF(OR(B462="",COUNTIF($B$4:B462,B462)&gt;1),"",MAX($AC$3:AC461)+1)</f>
      </c>
      <c r="AD462" s="133">
        <f>IFERROR(INDEX($B$4:$B$500,MATCH(ROW()-3,$AC$4:$AC$500,0)),"")</f>
      </c>
      <c r="AE462" s="133">
        <f>IF(AND(A462&lt;&gt;"",N(P462)&gt;0),IFERROR(MATCH(A462,$R$12:$R$25,0),99)*1000+ROW(),"")</f>
      </c>
      <c r="AF462" s="133">
        <f>IF(AE462="","",COUNTIF($AE$4:$AE$500,"&lt;="&amp;AE462))</f>
      </c>
    </row>
    <row r="463">
      <c r="A463" s="265"/>
      <c r="B463" s="265"/>
      <c r="C463" s="265"/>
      <c r="D463" s="265"/>
      <c r="E463" s="265"/>
      <c r="F463" s="265"/>
      <c r="G463" s="265"/>
      <c r="H463" s="265"/>
      <c r="I463" s="265"/>
      <c r="J463" s="265"/>
      <c r="K463" s="265"/>
      <c r="L463" s="265"/>
      <c r="M463" s="265"/>
      <c r="N463" s="133">
        <f>IF(OR(A463="Автомат",A463="Дифавтомат"),IF(W463="","",COUNTIF(Однолинейка!$H$3:$H$1000,U463)),IF(A463="Аппарат",IF(C463="","",COUNTIF(Однолинейка!$I$3:$I$1000,C463)+COUNTIF(Однолинейка!$J$3:$J$1000,C463)+COUNTIF(Однолинейка!$K$3:$K$1000,C463)),IF(A463="Модуль",IF(C463="","",COUNTIFS(Однолинейка!$AW$3:$AW$1000,"?*",Однолинейка!$AI$3:$AI$1000,C463)),IF(A463="Клемма",IF(C463="","",IF(C463=$S$7,SUM(Однолинейка!$BW$3:$BW$1000),IF(C463=$S$8,SUM(Однолинейка!$BX$3:$BX$1000),""))),""))))</f>
      </c>
      <c r="O463" s="265"/>
      <c r="P463" s="133">
        <f>IF(COUNT(N463,O463)=0,"",SUM(N463,O463))</f>
      </c>
      <c r="U463" s="133">
        <f>IF(OR(A463="Автомат",A463="Дифавтомат"),I463&amp;" С"&amp;J463&amp;"А"&amp;IF(K463="да"," 30мА",""),"")</f>
      </c>
      <c r="V463" s="133">
        <f>IF(U463="","",B463&amp;"|"&amp;U463)</f>
      </c>
      <c r="W463" s="133">
        <f>IF(AND(U463&lt;&gt;"",OR($S$4="(все)",B463=$S$4),IF($S$4="(все)",COUNTIF($U$4:U463,U463),COUNTIFS($U$4:U463,U463,$B$4:B463,B463))=1),MAX($W$3:W462)+1,"")</f>
      </c>
      <c r="X463" s="133">
        <f>IFERROR(INDEX($U$4:$U$500,MATCH(ROW()-3,$W$4:$W$500,0)),"")</f>
      </c>
      <c r="Y463" s="133">
        <f>IF(AND(A463="Аппарат",C463&lt;&gt;"",OR($S$5="(все)",B463=$S$5)),MAX($Y$3:Y462)+1,"")</f>
      </c>
      <c r="Z463" s="133">
        <f>IFERROR(INDEX($C$4:$C$500,MATCH(ROW()-3,$Y$4:$Y$500,0)),"")</f>
      </c>
      <c r="AA463" s="133">
        <f>IF(AND(A463="Модуль",C463&lt;&gt;"",OR($S$6="(все)",B463=$S$6)),MAX($AA$3:AA462)+1,"")</f>
      </c>
      <c r="AB463" s="133">
        <f>IFERROR(INDEX($C$4:$C$500,MATCH(ROW()-3,$AA$4:$AA$500,0)),"")</f>
      </c>
      <c r="AC463" s="133">
        <f>IF(OR(B463="",COUNTIF($B$4:B463,B463)&gt;1),"",MAX($AC$3:AC462)+1)</f>
      </c>
      <c r="AD463" s="133">
        <f>IFERROR(INDEX($B$4:$B$500,MATCH(ROW()-3,$AC$4:$AC$500,0)),"")</f>
      </c>
      <c r="AE463" s="133">
        <f>IF(AND(A463&lt;&gt;"",N(P463)&gt;0),IFERROR(MATCH(A463,$R$12:$R$25,0),99)*1000+ROW(),"")</f>
      </c>
      <c r="AF463" s="133">
        <f>IF(AE463="","",COUNTIF($AE$4:$AE$500,"&lt;="&amp;AE463))</f>
      </c>
    </row>
    <row r="464">
      <c r="A464" s="265"/>
      <c r="B464" s="265"/>
      <c r="C464" s="265"/>
      <c r="D464" s="265"/>
      <c r="E464" s="265"/>
      <c r="F464" s="265"/>
      <c r="G464" s="265"/>
      <c r="H464" s="265"/>
      <c r="I464" s="265"/>
      <c r="J464" s="265"/>
      <c r="K464" s="265"/>
      <c r="L464" s="265"/>
      <c r="M464" s="265"/>
      <c r="N464" s="133">
        <f>IF(OR(A464="Автомат",A464="Дифавтомат"),IF(W464="","",COUNTIF(Однолинейка!$H$3:$H$1000,U464)),IF(A464="Аппарат",IF(C464="","",COUNTIF(Однолинейка!$I$3:$I$1000,C464)+COUNTIF(Однолинейка!$J$3:$J$1000,C464)+COUNTIF(Однолинейка!$K$3:$K$1000,C464)),IF(A464="Модуль",IF(C464="","",COUNTIFS(Однолинейка!$AW$3:$AW$1000,"?*",Однолинейка!$AI$3:$AI$1000,C464)),IF(A464="Клемма",IF(C464="","",IF(C464=$S$7,SUM(Однолинейка!$BW$3:$BW$1000),IF(C464=$S$8,SUM(Однолинейка!$BX$3:$BX$1000),""))),""))))</f>
      </c>
      <c r="O464" s="265"/>
      <c r="P464" s="133">
        <f>IF(COUNT(N464,O464)=0,"",SUM(N464,O464))</f>
      </c>
      <c r="U464" s="133">
        <f>IF(OR(A464="Автомат",A464="Дифавтомат"),I464&amp;" С"&amp;J464&amp;"А"&amp;IF(K464="да"," 30мА",""),"")</f>
      </c>
      <c r="V464" s="133">
        <f>IF(U464="","",B464&amp;"|"&amp;U464)</f>
      </c>
      <c r="W464" s="133">
        <f>IF(AND(U464&lt;&gt;"",OR($S$4="(все)",B464=$S$4),IF($S$4="(все)",COUNTIF($U$4:U464,U464),COUNTIFS($U$4:U464,U464,$B$4:B464,B464))=1),MAX($W$3:W463)+1,"")</f>
      </c>
      <c r="X464" s="133">
        <f>IFERROR(INDEX($U$4:$U$500,MATCH(ROW()-3,$W$4:$W$500,0)),"")</f>
      </c>
      <c r="Y464" s="133">
        <f>IF(AND(A464="Аппарат",C464&lt;&gt;"",OR($S$5="(все)",B464=$S$5)),MAX($Y$3:Y463)+1,"")</f>
      </c>
      <c r="Z464" s="133">
        <f>IFERROR(INDEX($C$4:$C$500,MATCH(ROW()-3,$Y$4:$Y$500,0)),"")</f>
      </c>
      <c r="AA464" s="133">
        <f>IF(AND(A464="Модуль",C464&lt;&gt;"",OR($S$6="(все)",B464=$S$6)),MAX($AA$3:AA463)+1,"")</f>
      </c>
      <c r="AB464" s="133">
        <f>IFERROR(INDEX($C$4:$C$500,MATCH(ROW()-3,$AA$4:$AA$500,0)),"")</f>
      </c>
      <c r="AC464" s="133">
        <f>IF(OR(B464="",COUNTIF($B$4:B464,B464)&gt;1),"",MAX($AC$3:AC463)+1)</f>
      </c>
      <c r="AD464" s="133">
        <f>IFERROR(INDEX($B$4:$B$500,MATCH(ROW()-3,$AC$4:$AC$500,0)),"")</f>
      </c>
      <c r="AE464" s="133">
        <f>IF(AND(A464&lt;&gt;"",N(P464)&gt;0),IFERROR(MATCH(A464,$R$12:$R$25,0),99)*1000+ROW(),"")</f>
      </c>
      <c r="AF464" s="133">
        <f>IF(AE464="","",COUNTIF($AE$4:$AE$500,"&lt;="&amp;AE464))</f>
      </c>
    </row>
    <row r="465">
      <c r="A465" s="265"/>
      <c r="B465" s="265"/>
      <c r="C465" s="265"/>
      <c r="D465" s="265"/>
      <c r="E465" s="265"/>
      <c r="F465" s="265"/>
      <c r="G465" s="265"/>
      <c r="H465" s="265"/>
      <c r="I465" s="265"/>
      <c r="J465" s="265"/>
      <c r="K465" s="265"/>
      <c r="L465" s="265"/>
      <c r="M465" s="265"/>
      <c r="N465" s="133">
        <f>IF(OR(A465="Автомат",A465="Дифавтомат"),IF(W465="","",COUNTIF(Однолинейка!$H$3:$H$1000,U465)),IF(A465="Аппарат",IF(C465="","",COUNTIF(Однолинейка!$I$3:$I$1000,C465)+COUNTIF(Однолинейка!$J$3:$J$1000,C465)+COUNTIF(Однолинейка!$K$3:$K$1000,C465)),IF(A465="Модуль",IF(C465="","",COUNTIFS(Однолинейка!$AW$3:$AW$1000,"?*",Однолинейка!$AI$3:$AI$1000,C465)),IF(A465="Клемма",IF(C465="","",IF(C465=$S$7,SUM(Однолинейка!$BW$3:$BW$1000),IF(C465=$S$8,SUM(Однолинейка!$BX$3:$BX$1000),""))),""))))</f>
      </c>
      <c r="O465" s="265"/>
      <c r="P465" s="133">
        <f>IF(COUNT(N465,O465)=0,"",SUM(N465,O465))</f>
      </c>
      <c r="U465" s="133">
        <f>IF(OR(A465="Автомат",A465="Дифавтомат"),I465&amp;" С"&amp;J465&amp;"А"&amp;IF(K465="да"," 30мА",""),"")</f>
      </c>
      <c r="V465" s="133">
        <f>IF(U465="","",B465&amp;"|"&amp;U465)</f>
      </c>
      <c r="W465" s="133">
        <f>IF(AND(U465&lt;&gt;"",OR($S$4="(все)",B465=$S$4),IF($S$4="(все)",COUNTIF($U$4:U465,U465),COUNTIFS($U$4:U465,U465,$B$4:B465,B465))=1),MAX($W$3:W464)+1,"")</f>
      </c>
      <c r="X465" s="133">
        <f>IFERROR(INDEX($U$4:$U$500,MATCH(ROW()-3,$W$4:$W$500,0)),"")</f>
      </c>
      <c r="Y465" s="133">
        <f>IF(AND(A465="Аппарат",C465&lt;&gt;"",OR($S$5="(все)",B465=$S$5)),MAX($Y$3:Y464)+1,"")</f>
      </c>
      <c r="Z465" s="133">
        <f>IFERROR(INDEX($C$4:$C$500,MATCH(ROW()-3,$Y$4:$Y$500,0)),"")</f>
      </c>
      <c r="AA465" s="133">
        <f>IF(AND(A465="Модуль",C465&lt;&gt;"",OR($S$6="(все)",B465=$S$6)),MAX($AA$3:AA464)+1,"")</f>
      </c>
      <c r="AB465" s="133">
        <f>IFERROR(INDEX($C$4:$C$500,MATCH(ROW()-3,$AA$4:$AA$500,0)),"")</f>
      </c>
      <c r="AC465" s="133">
        <f>IF(OR(B465="",COUNTIF($B$4:B465,B465)&gt;1),"",MAX($AC$3:AC464)+1)</f>
      </c>
      <c r="AD465" s="133">
        <f>IFERROR(INDEX($B$4:$B$500,MATCH(ROW()-3,$AC$4:$AC$500,0)),"")</f>
      </c>
      <c r="AE465" s="133">
        <f>IF(AND(A465&lt;&gt;"",N(P465)&gt;0),IFERROR(MATCH(A465,$R$12:$R$25,0),99)*1000+ROW(),"")</f>
      </c>
      <c r="AF465" s="133">
        <f>IF(AE465="","",COUNTIF($AE$4:$AE$500,"&lt;="&amp;AE465))</f>
      </c>
    </row>
    <row r="466">
      <c r="A466" s="265"/>
      <c r="B466" s="265"/>
      <c r="C466" s="265"/>
      <c r="D466" s="265"/>
      <c r="E466" s="265"/>
      <c r="F466" s="265"/>
      <c r="G466" s="265"/>
      <c r="H466" s="265"/>
      <c r="I466" s="265"/>
      <c r="J466" s="265"/>
      <c r="K466" s="265"/>
      <c r="L466" s="265"/>
      <c r="M466" s="265"/>
      <c r="N466" s="133">
        <f>IF(OR(A466="Автомат",A466="Дифавтомат"),IF(W466="","",COUNTIF(Однолинейка!$H$3:$H$1000,U466)),IF(A466="Аппарат",IF(C466="","",COUNTIF(Однолинейка!$I$3:$I$1000,C466)+COUNTIF(Однолинейка!$J$3:$J$1000,C466)+COUNTIF(Однолинейка!$K$3:$K$1000,C466)),IF(A466="Модуль",IF(C466="","",COUNTIFS(Однолинейка!$AW$3:$AW$1000,"?*",Однолинейка!$AI$3:$AI$1000,C466)),IF(A466="Клемма",IF(C466="","",IF(C466=$S$7,SUM(Однолинейка!$BW$3:$BW$1000),IF(C466=$S$8,SUM(Однолинейка!$BX$3:$BX$1000),""))),""))))</f>
      </c>
      <c r="O466" s="265"/>
      <c r="P466" s="133">
        <f>IF(COUNT(N466,O466)=0,"",SUM(N466,O466))</f>
      </c>
      <c r="U466" s="133">
        <f>IF(OR(A466="Автомат",A466="Дифавтомат"),I466&amp;" С"&amp;J466&amp;"А"&amp;IF(K466="да"," 30мА",""),"")</f>
      </c>
      <c r="V466" s="133">
        <f>IF(U466="","",B466&amp;"|"&amp;U466)</f>
      </c>
      <c r="W466" s="133">
        <f>IF(AND(U466&lt;&gt;"",OR($S$4="(все)",B466=$S$4),IF($S$4="(все)",COUNTIF($U$4:U466,U466),COUNTIFS($U$4:U466,U466,$B$4:B466,B466))=1),MAX($W$3:W465)+1,"")</f>
      </c>
      <c r="X466" s="133">
        <f>IFERROR(INDEX($U$4:$U$500,MATCH(ROW()-3,$W$4:$W$500,0)),"")</f>
      </c>
      <c r="Y466" s="133">
        <f>IF(AND(A466="Аппарат",C466&lt;&gt;"",OR($S$5="(все)",B466=$S$5)),MAX($Y$3:Y465)+1,"")</f>
      </c>
      <c r="Z466" s="133">
        <f>IFERROR(INDEX($C$4:$C$500,MATCH(ROW()-3,$Y$4:$Y$500,0)),"")</f>
      </c>
      <c r="AA466" s="133">
        <f>IF(AND(A466="Модуль",C466&lt;&gt;"",OR($S$6="(все)",B466=$S$6)),MAX($AA$3:AA465)+1,"")</f>
      </c>
      <c r="AB466" s="133">
        <f>IFERROR(INDEX($C$4:$C$500,MATCH(ROW()-3,$AA$4:$AA$500,0)),"")</f>
      </c>
      <c r="AC466" s="133">
        <f>IF(OR(B466="",COUNTIF($B$4:B466,B466)&gt;1),"",MAX($AC$3:AC465)+1)</f>
      </c>
      <c r="AD466" s="133">
        <f>IFERROR(INDEX($B$4:$B$500,MATCH(ROW()-3,$AC$4:$AC$500,0)),"")</f>
      </c>
      <c r="AE466" s="133">
        <f>IF(AND(A466&lt;&gt;"",N(P466)&gt;0),IFERROR(MATCH(A466,$R$12:$R$25,0),99)*1000+ROW(),"")</f>
      </c>
      <c r="AF466" s="133">
        <f>IF(AE466="","",COUNTIF($AE$4:$AE$500,"&lt;="&amp;AE466))</f>
      </c>
    </row>
    <row r="467">
      <c r="A467" s="265"/>
      <c r="B467" s="265"/>
      <c r="C467" s="265"/>
      <c r="D467" s="265"/>
      <c r="E467" s="265"/>
      <c r="F467" s="265"/>
      <c r="G467" s="265"/>
      <c r="H467" s="265"/>
      <c r="I467" s="265"/>
      <c r="J467" s="265"/>
      <c r="K467" s="265"/>
      <c r="L467" s="265"/>
      <c r="M467" s="265"/>
      <c r="N467" s="133">
        <f>IF(OR(A467="Автомат",A467="Дифавтомат"),IF(W467="","",COUNTIF(Однолинейка!$H$3:$H$1000,U467)),IF(A467="Аппарат",IF(C467="","",COUNTIF(Однолинейка!$I$3:$I$1000,C467)+COUNTIF(Однолинейка!$J$3:$J$1000,C467)+COUNTIF(Однолинейка!$K$3:$K$1000,C467)),IF(A467="Модуль",IF(C467="","",COUNTIFS(Однолинейка!$AW$3:$AW$1000,"?*",Однолинейка!$AI$3:$AI$1000,C467)),IF(A467="Клемма",IF(C467="","",IF(C467=$S$7,SUM(Однолинейка!$BW$3:$BW$1000),IF(C467=$S$8,SUM(Однолинейка!$BX$3:$BX$1000),""))),""))))</f>
      </c>
      <c r="O467" s="265"/>
      <c r="P467" s="133">
        <f>IF(COUNT(N467,O467)=0,"",SUM(N467,O467))</f>
      </c>
      <c r="U467" s="133">
        <f>IF(OR(A467="Автомат",A467="Дифавтомат"),I467&amp;" С"&amp;J467&amp;"А"&amp;IF(K467="да"," 30мА",""),"")</f>
      </c>
      <c r="V467" s="133">
        <f>IF(U467="","",B467&amp;"|"&amp;U467)</f>
      </c>
      <c r="W467" s="133">
        <f>IF(AND(U467&lt;&gt;"",OR($S$4="(все)",B467=$S$4),IF($S$4="(все)",COUNTIF($U$4:U467,U467),COUNTIFS($U$4:U467,U467,$B$4:B467,B467))=1),MAX($W$3:W466)+1,"")</f>
      </c>
      <c r="X467" s="133">
        <f>IFERROR(INDEX($U$4:$U$500,MATCH(ROW()-3,$W$4:$W$500,0)),"")</f>
      </c>
      <c r="Y467" s="133">
        <f>IF(AND(A467="Аппарат",C467&lt;&gt;"",OR($S$5="(все)",B467=$S$5)),MAX($Y$3:Y466)+1,"")</f>
      </c>
      <c r="Z467" s="133">
        <f>IFERROR(INDEX($C$4:$C$500,MATCH(ROW()-3,$Y$4:$Y$500,0)),"")</f>
      </c>
      <c r="AA467" s="133">
        <f>IF(AND(A467="Модуль",C467&lt;&gt;"",OR($S$6="(все)",B467=$S$6)),MAX($AA$3:AA466)+1,"")</f>
      </c>
      <c r="AB467" s="133">
        <f>IFERROR(INDEX($C$4:$C$500,MATCH(ROW()-3,$AA$4:$AA$500,0)),"")</f>
      </c>
      <c r="AC467" s="133">
        <f>IF(OR(B467="",COUNTIF($B$4:B467,B467)&gt;1),"",MAX($AC$3:AC466)+1)</f>
      </c>
      <c r="AD467" s="133">
        <f>IFERROR(INDEX($B$4:$B$500,MATCH(ROW()-3,$AC$4:$AC$500,0)),"")</f>
      </c>
      <c r="AE467" s="133">
        <f>IF(AND(A467&lt;&gt;"",N(P467)&gt;0),IFERROR(MATCH(A467,$R$12:$R$25,0),99)*1000+ROW(),"")</f>
      </c>
      <c r="AF467" s="133">
        <f>IF(AE467="","",COUNTIF($AE$4:$AE$500,"&lt;="&amp;AE467))</f>
      </c>
    </row>
    <row r="468">
      <c r="A468" s="265"/>
      <c r="B468" s="265"/>
      <c r="C468" s="265"/>
      <c r="D468" s="265"/>
      <c r="E468" s="265"/>
      <c r="F468" s="265"/>
      <c r="G468" s="265"/>
      <c r="H468" s="265"/>
      <c r="I468" s="265"/>
      <c r="J468" s="265"/>
      <c r="K468" s="265"/>
      <c r="L468" s="265"/>
      <c r="M468" s="265"/>
      <c r="N468" s="133">
        <f>IF(OR(A468="Автомат",A468="Дифавтомат"),IF(W468="","",COUNTIF(Однолинейка!$H$3:$H$1000,U468)),IF(A468="Аппарат",IF(C468="","",COUNTIF(Однолинейка!$I$3:$I$1000,C468)+COUNTIF(Однолинейка!$J$3:$J$1000,C468)+COUNTIF(Однолинейка!$K$3:$K$1000,C468)),IF(A468="Модуль",IF(C468="","",COUNTIFS(Однолинейка!$AW$3:$AW$1000,"?*",Однолинейка!$AI$3:$AI$1000,C468)),IF(A468="Клемма",IF(C468="","",IF(C468=$S$7,SUM(Однолинейка!$BW$3:$BW$1000),IF(C468=$S$8,SUM(Однолинейка!$BX$3:$BX$1000),""))),""))))</f>
      </c>
      <c r="O468" s="265"/>
      <c r="P468" s="133">
        <f>IF(COUNT(N468,O468)=0,"",SUM(N468,O468))</f>
      </c>
      <c r="U468" s="133">
        <f>IF(OR(A468="Автомат",A468="Дифавтомат"),I468&amp;" С"&amp;J468&amp;"А"&amp;IF(K468="да"," 30мА",""),"")</f>
      </c>
      <c r="V468" s="133">
        <f>IF(U468="","",B468&amp;"|"&amp;U468)</f>
      </c>
      <c r="W468" s="133">
        <f>IF(AND(U468&lt;&gt;"",OR($S$4="(все)",B468=$S$4),IF($S$4="(все)",COUNTIF($U$4:U468,U468),COUNTIFS($U$4:U468,U468,$B$4:B468,B468))=1),MAX($W$3:W467)+1,"")</f>
      </c>
      <c r="X468" s="133">
        <f>IFERROR(INDEX($U$4:$U$500,MATCH(ROW()-3,$W$4:$W$500,0)),"")</f>
      </c>
      <c r="Y468" s="133">
        <f>IF(AND(A468="Аппарат",C468&lt;&gt;"",OR($S$5="(все)",B468=$S$5)),MAX($Y$3:Y467)+1,"")</f>
      </c>
      <c r="Z468" s="133">
        <f>IFERROR(INDEX($C$4:$C$500,MATCH(ROW()-3,$Y$4:$Y$500,0)),"")</f>
      </c>
      <c r="AA468" s="133">
        <f>IF(AND(A468="Модуль",C468&lt;&gt;"",OR($S$6="(все)",B468=$S$6)),MAX($AA$3:AA467)+1,"")</f>
      </c>
      <c r="AB468" s="133">
        <f>IFERROR(INDEX($C$4:$C$500,MATCH(ROW()-3,$AA$4:$AA$500,0)),"")</f>
      </c>
      <c r="AC468" s="133">
        <f>IF(OR(B468="",COUNTIF($B$4:B468,B468)&gt;1),"",MAX($AC$3:AC467)+1)</f>
      </c>
      <c r="AD468" s="133">
        <f>IFERROR(INDEX($B$4:$B$500,MATCH(ROW()-3,$AC$4:$AC$500,0)),"")</f>
      </c>
      <c r="AE468" s="133">
        <f>IF(AND(A468&lt;&gt;"",N(P468)&gt;0),IFERROR(MATCH(A468,$R$12:$R$25,0),99)*1000+ROW(),"")</f>
      </c>
      <c r="AF468" s="133">
        <f>IF(AE468="","",COUNTIF($AE$4:$AE$500,"&lt;="&amp;AE468))</f>
      </c>
    </row>
    <row r="469">
      <c r="A469" s="265"/>
      <c r="B469" s="265"/>
      <c r="C469" s="265"/>
      <c r="D469" s="265"/>
      <c r="E469" s="265"/>
      <c r="F469" s="265"/>
      <c r="G469" s="265"/>
      <c r="H469" s="265"/>
      <c r="I469" s="265"/>
      <c r="J469" s="265"/>
      <c r="K469" s="265"/>
      <c r="L469" s="265"/>
      <c r="M469" s="265"/>
      <c r="N469" s="133">
        <f>IF(OR(A469="Автомат",A469="Дифавтомат"),IF(W469="","",COUNTIF(Однолинейка!$H$3:$H$1000,U469)),IF(A469="Аппарат",IF(C469="","",COUNTIF(Однолинейка!$I$3:$I$1000,C469)+COUNTIF(Однолинейка!$J$3:$J$1000,C469)+COUNTIF(Однолинейка!$K$3:$K$1000,C469)),IF(A469="Модуль",IF(C469="","",COUNTIFS(Однолинейка!$AW$3:$AW$1000,"?*",Однолинейка!$AI$3:$AI$1000,C469)),IF(A469="Клемма",IF(C469="","",IF(C469=$S$7,SUM(Однолинейка!$BW$3:$BW$1000),IF(C469=$S$8,SUM(Однолинейка!$BX$3:$BX$1000),""))),""))))</f>
      </c>
      <c r="O469" s="265"/>
      <c r="P469" s="133">
        <f>IF(COUNT(N469,O469)=0,"",SUM(N469,O469))</f>
      </c>
      <c r="U469" s="133">
        <f>IF(OR(A469="Автомат",A469="Дифавтомат"),I469&amp;" С"&amp;J469&amp;"А"&amp;IF(K469="да"," 30мА",""),"")</f>
      </c>
      <c r="V469" s="133">
        <f>IF(U469="","",B469&amp;"|"&amp;U469)</f>
      </c>
      <c r="W469" s="133">
        <f>IF(AND(U469&lt;&gt;"",OR($S$4="(все)",B469=$S$4),IF($S$4="(все)",COUNTIF($U$4:U469,U469),COUNTIFS($U$4:U469,U469,$B$4:B469,B469))=1),MAX($W$3:W468)+1,"")</f>
      </c>
      <c r="X469" s="133">
        <f>IFERROR(INDEX($U$4:$U$500,MATCH(ROW()-3,$W$4:$W$500,0)),"")</f>
      </c>
      <c r="Y469" s="133">
        <f>IF(AND(A469="Аппарат",C469&lt;&gt;"",OR($S$5="(все)",B469=$S$5)),MAX($Y$3:Y468)+1,"")</f>
      </c>
      <c r="Z469" s="133">
        <f>IFERROR(INDEX($C$4:$C$500,MATCH(ROW()-3,$Y$4:$Y$500,0)),"")</f>
      </c>
      <c r="AA469" s="133">
        <f>IF(AND(A469="Модуль",C469&lt;&gt;"",OR($S$6="(все)",B469=$S$6)),MAX($AA$3:AA468)+1,"")</f>
      </c>
      <c r="AB469" s="133">
        <f>IFERROR(INDEX($C$4:$C$500,MATCH(ROW()-3,$AA$4:$AA$500,0)),"")</f>
      </c>
      <c r="AC469" s="133">
        <f>IF(OR(B469="",COUNTIF($B$4:B469,B469)&gt;1),"",MAX($AC$3:AC468)+1)</f>
      </c>
      <c r="AD469" s="133">
        <f>IFERROR(INDEX($B$4:$B$500,MATCH(ROW()-3,$AC$4:$AC$500,0)),"")</f>
      </c>
      <c r="AE469" s="133">
        <f>IF(AND(A469&lt;&gt;"",N(P469)&gt;0),IFERROR(MATCH(A469,$R$12:$R$25,0),99)*1000+ROW(),"")</f>
      </c>
      <c r="AF469" s="133">
        <f>IF(AE469="","",COUNTIF($AE$4:$AE$500,"&lt;="&amp;AE469))</f>
      </c>
    </row>
    <row r="470">
      <c r="A470" s="265"/>
      <c r="B470" s="265"/>
      <c r="C470" s="265"/>
      <c r="D470" s="265"/>
      <c r="E470" s="265"/>
      <c r="F470" s="265"/>
      <c r="G470" s="265"/>
      <c r="H470" s="265"/>
      <c r="I470" s="265"/>
      <c r="J470" s="265"/>
      <c r="K470" s="265"/>
      <c r="L470" s="265"/>
      <c r="M470" s="265"/>
      <c r="N470" s="133">
        <f>IF(OR(A470="Автомат",A470="Дифавтомат"),IF(W470="","",COUNTIF(Однолинейка!$H$3:$H$1000,U470)),IF(A470="Аппарат",IF(C470="","",COUNTIF(Однолинейка!$I$3:$I$1000,C470)+COUNTIF(Однолинейка!$J$3:$J$1000,C470)+COUNTIF(Однолинейка!$K$3:$K$1000,C470)),IF(A470="Модуль",IF(C470="","",COUNTIFS(Однолинейка!$AW$3:$AW$1000,"?*",Однолинейка!$AI$3:$AI$1000,C470)),IF(A470="Клемма",IF(C470="","",IF(C470=$S$7,SUM(Однолинейка!$BW$3:$BW$1000),IF(C470=$S$8,SUM(Однолинейка!$BX$3:$BX$1000),""))),""))))</f>
      </c>
      <c r="O470" s="265"/>
      <c r="P470" s="133">
        <f>IF(COUNT(N470,O470)=0,"",SUM(N470,O470))</f>
      </c>
      <c r="U470" s="133">
        <f>IF(OR(A470="Автомат",A470="Дифавтомат"),I470&amp;" С"&amp;J470&amp;"А"&amp;IF(K470="да"," 30мА",""),"")</f>
      </c>
      <c r="V470" s="133">
        <f>IF(U470="","",B470&amp;"|"&amp;U470)</f>
      </c>
      <c r="W470" s="133">
        <f>IF(AND(U470&lt;&gt;"",OR($S$4="(все)",B470=$S$4),IF($S$4="(все)",COUNTIF($U$4:U470,U470),COUNTIFS($U$4:U470,U470,$B$4:B470,B470))=1),MAX($W$3:W469)+1,"")</f>
      </c>
      <c r="X470" s="133">
        <f>IFERROR(INDEX($U$4:$U$500,MATCH(ROW()-3,$W$4:$W$500,0)),"")</f>
      </c>
      <c r="Y470" s="133">
        <f>IF(AND(A470="Аппарат",C470&lt;&gt;"",OR($S$5="(все)",B470=$S$5)),MAX($Y$3:Y469)+1,"")</f>
      </c>
      <c r="Z470" s="133">
        <f>IFERROR(INDEX($C$4:$C$500,MATCH(ROW()-3,$Y$4:$Y$500,0)),"")</f>
      </c>
      <c r="AA470" s="133">
        <f>IF(AND(A470="Модуль",C470&lt;&gt;"",OR($S$6="(все)",B470=$S$6)),MAX($AA$3:AA469)+1,"")</f>
      </c>
      <c r="AB470" s="133">
        <f>IFERROR(INDEX($C$4:$C$500,MATCH(ROW()-3,$AA$4:$AA$500,0)),"")</f>
      </c>
      <c r="AC470" s="133">
        <f>IF(OR(B470="",COUNTIF($B$4:B470,B470)&gt;1),"",MAX($AC$3:AC469)+1)</f>
      </c>
      <c r="AD470" s="133">
        <f>IFERROR(INDEX($B$4:$B$500,MATCH(ROW()-3,$AC$4:$AC$500,0)),"")</f>
      </c>
      <c r="AE470" s="133">
        <f>IF(AND(A470&lt;&gt;"",N(P470)&gt;0),IFERROR(MATCH(A470,$R$12:$R$25,0),99)*1000+ROW(),"")</f>
      </c>
      <c r="AF470" s="133">
        <f>IF(AE470="","",COUNTIF($AE$4:$AE$500,"&lt;="&amp;AE470))</f>
      </c>
    </row>
    <row r="471">
      <c r="A471" s="265"/>
      <c r="B471" s="265"/>
      <c r="C471" s="265"/>
      <c r="D471" s="265"/>
      <c r="E471" s="265"/>
      <c r="F471" s="265"/>
      <c r="G471" s="265"/>
      <c r="H471" s="265"/>
      <c r="I471" s="265"/>
      <c r="J471" s="265"/>
      <c r="K471" s="265"/>
      <c r="L471" s="265"/>
      <c r="M471" s="265"/>
      <c r="N471" s="133">
        <f>IF(OR(A471="Автомат",A471="Дифавтомат"),IF(W471="","",COUNTIF(Однолинейка!$H$3:$H$1000,U471)),IF(A471="Аппарат",IF(C471="","",COUNTIF(Однолинейка!$I$3:$I$1000,C471)+COUNTIF(Однолинейка!$J$3:$J$1000,C471)+COUNTIF(Однолинейка!$K$3:$K$1000,C471)),IF(A471="Модуль",IF(C471="","",COUNTIFS(Однолинейка!$AW$3:$AW$1000,"?*",Однолинейка!$AI$3:$AI$1000,C471)),IF(A471="Клемма",IF(C471="","",IF(C471=$S$7,SUM(Однолинейка!$BW$3:$BW$1000),IF(C471=$S$8,SUM(Однолинейка!$BX$3:$BX$1000),""))),""))))</f>
      </c>
      <c r="O471" s="265"/>
      <c r="P471" s="133">
        <f>IF(COUNT(N471,O471)=0,"",SUM(N471,O471))</f>
      </c>
      <c r="U471" s="133">
        <f>IF(OR(A471="Автомат",A471="Дифавтомат"),I471&amp;" С"&amp;J471&amp;"А"&amp;IF(K471="да"," 30мА",""),"")</f>
      </c>
      <c r="V471" s="133">
        <f>IF(U471="","",B471&amp;"|"&amp;U471)</f>
      </c>
      <c r="W471" s="133">
        <f>IF(AND(U471&lt;&gt;"",OR($S$4="(все)",B471=$S$4),IF($S$4="(все)",COUNTIF($U$4:U471,U471),COUNTIFS($U$4:U471,U471,$B$4:B471,B471))=1),MAX($W$3:W470)+1,"")</f>
      </c>
      <c r="X471" s="133">
        <f>IFERROR(INDEX($U$4:$U$500,MATCH(ROW()-3,$W$4:$W$500,0)),"")</f>
      </c>
      <c r="Y471" s="133">
        <f>IF(AND(A471="Аппарат",C471&lt;&gt;"",OR($S$5="(все)",B471=$S$5)),MAX($Y$3:Y470)+1,"")</f>
      </c>
      <c r="Z471" s="133">
        <f>IFERROR(INDEX($C$4:$C$500,MATCH(ROW()-3,$Y$4:$Y$500,0)),"")</f>
      </c>
      <c r="AA471" s="133">
        <f>IF(AND(A471="Модуль",C471&lt;&gt;"",OR($S$6="(все)",B471=$S$6)),MAX($AA$3:AA470)+1,"")</f>
      </c>
      <c r="AB471" s="133">
        <f>IFERROR(INDEX($C$4:$C$500,MATCH(ROW()-3,$AA$4:$AA$500,0)),"")</f>
      </c>
      <c r="AC471" s="133">
        <f>IF(OR(B471="",COUNTIF($B$4:B471,B471)&gt;1),"",MAX($AC$3:AC470)+1)</f>
      </c>
      <c r="AD471" s="133">
        <f>IFERROR(INDEX($B$4:$B$500,MATCH(ROW()-3,$AC$4:$AC$500,0)),"")</f>
      </c>
      <c r="AE471" s="133">
        <f>IF(AND(A471&lt;&gt;"",N(P471)&gt;0),IFERROR(MATCH(A471,$R$12:$R$25,0),99)*1000+ROW(),"")</f>
      </c>
      <c r="AF471" s="133">
        <f>IF(AE471="","",COUNTIF($AE$4:$AE$500,"&lt;="&amp;AE471))</f>
      </c>
    </row>
    <row r="472">
      <c r="A472" s="265"/>
      <c r="B472" s="265"/>
      <c r="C472" s="265"/>
      <c r="D472" s="265"/>
      <c r="E472" s="265"/>
      <c r="F472" s="265"/>
      <c r="G472" s="265"/>
      <c r="H472" s="265"/>
      <c r="I472" s="265"/>
      <c r="J472" s="265"/>
      <c r="K472" s="265"/>
      <c r="L472" s="265"/>
      <c r="M472" s="265"/>
      <c r="N472" s="133">
        <f>IF(OR(A472="Автомат",A472="Дифавтомат"),IF(W472="","",COUNTIF(Однолинейка!$H$3:$H$1000,U472)),IF(A472="Аппарат",IF(C472="","",COUNTIF(Однолинейка!$I$3:$I$1000,C472)+COUNTIF(Однолинейка!$J$3:$J$1000,C472)+COUNTIF(Однолинейка!$K$3:$K$1000,C472)),IF(A472="Модуль",IF(C472="","",COUNTIFS(Однолинейка!$AW$3:$AW$1000,"?*",Однолинейка!$AI$3:$AI$1000,C472)),IF(A472="Клемма",IF(C472="","",IF(C472=$S$7,SUM(Однолинейка!$BW$3:$BW$1000),IF(C472=$S$8,SUM(Однолинейка!$BX$3:$BX$1000),""))),""))))</f>
      </c>
      <c r="O472" s="265"/>
      <c r="P472" s="133">
        <f>IF(COUNT(N472,O472)=0,"",SUM(N472,O472))</f>
      </c>
      <c r="U472" s="133">
        <f>IF(OR(A472="Автомат",A472="Дифавтомат"),I472&amp;" С"&amp;J472&amp;"А"&amp;IF(K472="да"," 30мА",""),"")</f>
      </c>
      <c r="V472" s="133">
        <f>IF(U472="","",B472&amp;"|"&amp;U472)</f>
      </c>
      <c r="W472" s="133">
        <f>IF(AND(U472&lt;&gt;"",OR($S$4="(все)",B472=$S$4),IF($S$4="(все)",COUNTIF($U$4:U472,U472),COUNTIFS($U$4:U472,U472,$B$4:B472,B472))=1),MAX($W$3:W471)+1,"")</f>
      </c>
      <c r="X472" s="133">
        <f>IFERROR(INDEX($U$4:$U$500,MATCH(ROW()-3,$W$4:$W$500,0)),"")</f>
      </c>
      <c r="Y472" s="133">
        <f>IF(AND(A472="Аппарат",C472&lt;&gt;"",OR($S$5="(все)",B472=$S$5)),MAX($Y$3:Y471)+1,"")</f>
      </c>
      <c r="Z472" s="133">
        <f>IFERROR(INDEX($C$4:$C$500,MATCH(ROW()-3,$Y$4:$Y$500,0)),"")</f>
      </c>
      <c r="AA472" s="133">
        <f>IF(AND(A472="Модуль",C472&lt;&gt;"",OR($S$6="(все)",B472=$S$6)),MAX($AA$3:AA471)+1,"")</f>
      </c>
      <c r="AB472" s="133">
        <f>IFERROR(INDEX($C$4:$C$500,MATCH(ROW()-3,$AA$4:$AA$500,0)),"")</f>
      </c>
      <c r="AC472" s="133">
        <f>IF(OR(B472="",COUNTIF($B$4:B472,B472)&gt;1),"",MAX($AC$3:AC471)+1)</f>
      </c>
      <c r="AD472" s="133">
        <f>IFERROR(INDEX($B$4:$B$500,MATCH(ROW()-3,$AC$4:$AC$500,0)),"")</f>
      </c>
      <c r="AE472" s="133">
        <f>IF(AND(A472&lt;&gt;"",N(P472)&gt;0),IFERROR(MATCH(A472,$R$12:$R$25,0),99)*1000+ROW(),"")</f>
      </c>
      <c r="AF472" s="133">
        <f>IF(AE472="","",COUNTIF($AE$4:$AE$500,"&lt;="&amp;AE472))</f>
      </c>
    </row>
    <row r="473">
      <c r="A473" s="265"/>
      <c r="B473" s="265"/>
      <c r="C473" s="265"/>
      <c r="D473" s="265"/>
      <c r="E473" s="265"/>
      <c r="F473" s="265"/>
      <c r="G473" s="265"/>
      <c r="H473" s="265"/>
      <c r="I473" s="265"/>
      <c r="J473" s="265"/>
      <c r="K473" s="265"/>
      <c r="L473" s="265"/>
      <c r="M473" s="265"/>
      <c r="N473" s="133">
        <f>IF(OR(A473="Автомат",A473="Дифавтомат"),IF(W473="","",COUNTIF(Однолинейка!$H$3:$H$1000,U473)),IF(A473="Аппарат",IF(C473="","",COUNTIF(Однолинейка!$I$3:$I$1000,C473)+COUNTIF(Однолинейка!$J$3:$J$1000,C473)+COUNTIF(Однолинейка!$K$3:$K$1000,C473)),IF(A473="Модуль",IF(C473="","",COUNTIFS(Однолинейка!$AW$3:$AW$1000,"?*",Однолинейка!$AI$3:$AI$1000,C473)),IF(A473="Клемма",IF(C473="","",IF(C473=$S$7,SUM(Однолинейка!$BW$3:$BW$1000),IF(C473=$S$8,SUM(Однолинейка!$BX$3:$BX$1000),""))),""))))</f>
      </c>
      <c r="O473" s="265"/>
      <c r="P473" s="133">
        <f>IF(COUNT(N473,O473)=0,"",SUM(N473,O473))</f>
      </c>
      <c r="U473" s="133">
        <f>IF(OR(A473="Автомат",A473="Дифавтомат"),I473&amp;" С"&amp;J473&amp;"А"&amp;IF(K473="да"," 30мА",""),"")</f>
      </c>
      <c r="V473" s="133">
        <f>IF(U473="","",B473&amp;"|"&amp;U473)</f>
      </c>
      <c r="W473" s="133">
        <f>IF(AND(U473&lt;&gt;"",OR($S$4="(все)",B473=$S$4),IF($S$4="(все)",COUNTIF($U$4:U473,U473),COUNTIFS($U$4:U473,U473,$B$4:B473,B473))=1),MAX($W$3:W472)+1,"")</f>
      </c>
      <c r="X473" s="133">
        <f>IFERROR(INDEX($U$4:$U$500,MATCH(ROW()-3,$W$4:$W$500,0)),"")</f>
      </c>
      <c r="Y473" s="133">
        <f>IF(AND(A473="Аппарат",C473&lt;&gt;"",OR($S$5="(все)",B473=$S$5)),MAX($Y$3:Y472)+1,"")</f>
      </c>
      <c r="Z473" s="133">
        <f>IFERROR(INDEX($C$4:$C$500,MATCH(ROW()-3,$Y$4:$Y$500,0)),"")</f>
      </c>
      <c r="AA473" s="133">
        <f>IF(AND(A473="Модуль",C473&lt;&gt;"",OR($S$6="(все)",B473=$S$6)),MAX($AA$3:AA472)+1,"")</f>
      </c>
      <c r="AB473" s="133">
        <f>IFERROR(INDEX($C$4:$C$500,MATCH(ROW()-3,$AA$4:$AA$500,0)),"")</f>
      </c>
      <c r="AC473" s="133">
        <f>IF(OR(B473="",COUNTIF($B$4:B473,B473)&gt;1),"",MAX($AC$3:AC472)+1)</f>
      </c>
      <c r="AD473" s="133">
        <f>IFERROR(INDEX($B$4:$B$500,MATCH(ROW()-3,$AC$4:$AC$500,0)),"")</f>
      </c>
      <c r="AE473" s="133">
        <f>IF(AND(A473&lt;&gt;"",N(P473)&gt;0),IFERROR(MATCH(A473,$R$12:$R$25,0),99)*1000+ROW(),"")</f>
      </c>
      <c r="AF473" s="133">
        <f>IF(AE473="","",COUNTIF($AE$4:$AE$500,"&lt;="&amp;AE473))</f>
      </c>
    </row>
    <row r="474">
      <c r="A474" s="265"/>
      <c r="B474" s="265"/>
      <c r="C474" s="265"/>
      <c r="D474" s="265"/>
      <c r="E474" s="265"/>
      <c r="F474" s="265"/>
      <c r="G474" s="265"/>
      <c r="H474" s="265"/>
      <c r="I474" s="265"/>
      <c r="J474" s="265"/>
      <c r="K474" s="265"/>
      <c r="L474" s="265"/>
      <c r="M474" s="265"/>
      <c r="N474" s="133">
        <f>IF(OR(A474="Автомат",A474="Дифавтомат"),IF(W474="","",COUNTIF(Однолинейка!$H$3:$H$1000,U474)),IF(A474="Аппарат",IF(C474="","",COUNTIF(Однолинейка!$I$3:$I$1000,C474)+COUNTIF(Однолинейка!$J$3:$J$1000,C474)+COUNTIF(Однолинейка!$K$3:$K$1000,C474)),IF(A474="Модуль",IF(C474="","",COUNTIFS(Однолинейка!$AW$3:$AW$1000,"?*",Однолинейка!$AI$3:$AI$1000,C474)),IF(A474="Клемма",IF(C474="","",IF(C474=$S$7,SUM(Однолинейка!$BW$3:$BW$1000),IF(C474=$S$8,SUM(Однолинейка!$BX$3:$BX$1000),""))),""))))</f>
      </c>
      <c r="O474" s="265"/>
      <c r="P474" s="133">
        <f>IF(COUNT(N474,O474)=0,"",SUM(N474,O474))</f>
      </c>
      <c r="U474" s="133">
        <f>IF(OR(A474="Автомат",A474="Дифавтомат"),I474&amp;" С"&amp;J474&amp;"А"&amp;IF(K474="да"," 30мА",""),"")</f>
      </c>
      <c r="V474" s="133">
        <f>IF(U474="","",B474&amp;"|"&amp;U474)</f>
      </c>
      <c r="W474" s="133">
        <f>IF(AND(U474&lt;&gt;"",OR($S$4="(все)",B474=$S$4),IF($S$4="(все)",COUNTIF($U$4:U474,U474),COUNTIFS($U$4:U474,U474,$B$4:B474,B474))=1),MAX($W$3:W473)+1,"")</f>
      </c>
      <c r="X474" s="133">
        <f>IFERROR(INDEX($U$4:$U$500,MATCH(ROW()-3,$W$4:$W$500,0)),"")</f>
      </c>
      <c r="Y474" s="133">
        <f>IF(AND(A474="Аппарат",C474&lt;&gt;"",OR($S$5="(все)",B474=$S$5)),MAX($Y$3:Y473)+1,"")</f>
      </c>
      <c r="Z474" s="133">
        <f>IFERROR(INDEX($C$4:$C$500,MATCH(ROW()-3,$Y$4:$Y$500,0)),"")</f>
      </c>
      <c r="AA474" s="133">
        <f>IF(AND(A474="Модуль",C474&lt;&gt;"",OR($S$6="(все)",B474=$S$6)),MAX($AA$3:AA473)+1,"")</f>
      </c>
      <c r="AB474" s="133">
        <f>IFERROR(INDEX($C$4:$C$500,MATCH(ROW()-3,$AA$4:$AA$500,0)),"")</f>
      </c>
      <c r="AC474" s="133">
        <f>IF(OR(B474="",COUNTIF($B$4:B474,B474)&gt;1),"",MAX($AC$3:AC473)+1)</f>
      </c>
      <c r="AD474" s="133">
        <f>IFERROR(INDEX($B$4:$B$500,MATCH(ROW()-3,$AC$4:$AC$500,0)),"")</f>
      </c>
      <c r="AE474" s="133">
        <f>IF(AND(A474&lt;&gt;"",N(P474)&gt;0),IFERROR(MATCH(A474,$R$12:$R$25,0),99)*1000+ROW(),"")</f>
      </c>
      <c r="AF474" s="133">
        <f>IF(AE474="","",COUNTIF($AE$4:$AE$500,"&lt;="&amp;AE474))</f>
      </c>
    </row>
    <row r="475">
      <c r="A475" s="265"/>
      <c r="B475" s="265"/>
      <c r="C475" s="265"/>
      <c r="D475" s="265"/>
      <c r="E475" s="265"/>
      <c r="F475" s="265"/>
      <c r="G475" s="265"/>
      <c r="H475" s="265"/>
      <c r="I475" s="265"/>
      <c r="J475" s="265"/>
      <c r="K475" s="265"/>
      <c r="L475" s="265"/>
      <c r="M475" s="265"/>
      <c r="N475" s="133">
        <f>IF(OR(A475="Автомат",A475="Дифавтомат"),IF(W475="","",COUNTIF(Однолинейка!$H$3:$H$1000,U475)),IF(A475="Аппарат",IF(C475="","",COUNTIF(Однолинейка!$I$3:$I$1000,C475)+COUNTIF(Однолинейка!$J$3:$J$1000,C475)+COUNTIF(Однолинейка!$K$3:$K$1000,C475)),IF(A475="Модуль",IF(C475="","",COUNTIFS(Однолинейка!$AW$3:$AW$1000,"?*",Однолинейка!$AI$3:$AI$1000,C475)),IF(A475="Клемма",IF(C475="","",IF(C475=$S$7,SUM(Однолинейка!$BW$3:$BW$1000),IF(C475=$S$8,SUM(Однолинейка!$BX$3:$BX$1000),""))),""))))</f>
      </c>
      <c r="O475" s="265"/>
      <c r="P475" s="133">
        <f>IF(COUNT(N475,O475)=0,"",SUM(N475,O475))</f>
      </c>
      <c r="U475" s="133">
        <f>IF(OR(A475="Автомат",A475="Дифавтомат"),I475&amp;" С"&amp;J475&amp;"А"&amp;IF(K475="да"," 30мА",""),"")</f>
      </c>
      <c r="V475" s="133">
        <f>IF(U475="","",B475&amp;"|"&amp;U475)</f>
      </c>
      <c r="W475" s="133">
        <f>IF(AND(U475&lt;&gt;"",OR($S$4="(все)",B475=$S$4),IF($S$4="(все)",COUNTIF($U$4:U475,U475),COUNTIFS($U$4:U475,U475,$B$4:B475,B475))=1),MAX($W$3:W474)+1,"")</f>
      </c>
      <c r="X475" s="133">
        <f>IFERROR(INDEX($U$4:$U$500,MATCH(ROW()-3,$W$4:$W$500,0)),"")</f>
      </c>
      <c r="Y475" s="133">
        <f>IF(AND(A475="Аппарат",C475&lt;&gt;"",OR($S$5="(все)",B475=$S$5)),MAX($Y$3:Y474)+1,"")</f>
      </c>
      <c r="Z475" s="133">
        <f>IFERROR(INDEX($C$4:$C$500,MATCH(ROW()-3,$Y$4:$Y$500,0)),"")</f>
      </c>
      <c r="AA475" s="133">
        <f>IF(AND(A475="Модуль",C475&lt;&gt;"",OR($S$6="(все)",B475=$S$6)),MAX($AA$3:AA474)+1,"")</f>
      </c>
      <c r="AB475" s="133">
        <f>IFERROR(INDEX($C$4:$C$500,MATCH(ROW()-3,$AA$4:$AA$500,0)),"")</f>
      </c>
      <c r="AC475" s="133">
        <f>IF(OR(B475="",COUNTIF($B$4:B475,B475)&gt;1),"",MAX($AC$3:AC474)+1)</f>
      </c>
      <c r="AD475" s="133">
        <f>IFERROR(INDEX($B$4:$B$500,MATCH(ROW()-3,$AC$4:$AC$500,0)),"")</f>
      </c>
      <c r="AE475" s="133">
        <f>IF(AND(A475&lt;&gt;"",N(P475)&gt;0),IFERROR(MATCH(A475,$R$12:$R$25,0),99)*1000+ROW(),"")</f>
      </c>
      <c r="AF475" s="133">
        <f>IF(AE475="","",COUNTIF($AE$4:$AE$500,"&lt;="&amp;AE475))</f>
      </c>
    </row>
    <row r="476">
      <c r="A476" s="265"/>
      <c r="B476" s="265"/>
      <c r="C476" s="265"/>
      <c r="D476" s="265"/>
      <c r="E476" s="265"/>
      <c r="F476" s="265"/>
      <c r="G476" s="265"/>
      <c r="H476" s="265"/>
      <c r="I476" s="265"/>
      <c r="J476" s="265"/>
      <c r="K476" s="265"/>
      <c r="L476" s="265"/>
      <c r="M476" s="265"/>
      <c r="N476" s="133">
        <f>IF(OR(A476="Автомат",A476="Дифавтомат"),IF(W476="","",COUNTIF(Однолинейка!$H$3:$H$1000,U476)),IF(A476="Аппарат",IF(C476="","",COUNTIF(Однолинейка!$I$3:$I$1000,C476)+COUNTIF(Однолинейка!$J$3:$J$1000,C476)+COUNTIF(Однолинейка!$K$3:$K$1000,C476)),IF(A476="Модуль",IF(C476="","",COUNTIFS(Однолинейка!$AW$3:$AW$1000,"?*",Однолинейка!$AI$3:$AI$1000,C476)),IF(A476="Клемма",IF(C476="","",IF(C476=$S$7,SUM(Однолинейка!$BW$3:$BW$1000),IF(C476=$S$8,SUM(Однолинейка!$BX$3:$BX$1000),""))),""))))</f>
      </c>
      <c r="O476" s="265"/>
      <c r="P476" s="133">
        <f>IF(COUNT(N476,O476)=0,"",SUM(N476,O476))</f>
      </c>
      <c r="U476" s="133">
        <f>IF(OR(A476="Автомат",A476="Дифавтомат"),I476&amp;" С"&amp;J476&amp;"А"&amp;IF(K476="да"," 30мА",""),"")</f>
      </c>
      <c r="V476" s="133">
        <f>IF(U476="","",B476&amp;"|"&amp;U476)</f>
      </c>
      <c r="W476" s="133">
        <f>IF(AND(U476&lt;&gt;"",OR($S$4="(все)",B476=$S$4),IF($S$4="(все)",COUNTIF($U$4:U476,U476),COUNTIFS($U$4:U476,U476,$B$4:B476,B476))=1),MAX($W$3:W475)+1,"")</f>
      </c>
      <c r="X476" s="133">
        <f>IFERROR(INDEX($U$4:$U$500,MATCH(ROW()-3,$W$4:$W$500,0)),"")</f>
      </c>
      <c r="Y476" s="133">
        <f>IF(AND(A476="Аппарат",C476&lt;&gt;"",OR($S$5="(все)",B476=$S$5)),MAX($Y$3:Y475)+1,"")</f>
      </c>
      <c r="Z476" s="133">
        <f>IFERROR(INDEX($C$4:$C$500,MATCH(ROW()-3,$Y$4:$Y$500,0)),"")</f>
      </c>
      <c r="AA476" s="133">
        <f>IF(AND(A476="Модуль",C476&lt;&gt;"",OR($S$6="(все)",B476=$S$6)),MAX($AA$3:AA475)+1,"")</f>
      </c>
      <c r="AB476" s="133">
        <f>IFERROR(INDEX($C$4:$C$500,MATCH(ROW()-3,$AA$4:$AA$500,0)),"")</f>
      </c>
      <c r="AC476" s="133">
        <f>IF(OR(B476="",COUNTIF($B$4:B476,B476)&gt;1),"",MAX($AC$3:AC475)+1)</f>
      </c>
      <c r="AD476" s="133">
        <f>IFERROR(INDEX($B$4:$B$500,MATCH(ROW()-3,$AC$4:$AC$500,0)),"")</f>
      </c>
      <c r="AE476" s="133">
        <f>IF(AND(A476&lt;&gt;"",N(P476)&gt;0),IFERROR(MATCH(A476,$R$12:$R$25,0),99)*1000+ROW(),"")</f>
      </c>
      <c r="AF476" s="133">
        <f>IF(AE476="","",COUNTIF($AE$4:$AE$500,"&lt;="&amp;AE476))</f>
      </c>
    </row>
    <row r="477">
      <c r="A477" s="265"/>
      <c r="B477" s="265"/>
      <c r="C477" s="265"/>
      <c r="D477" s="265"/>
      <c r="E477" s="265"/>
      <c r="F477" s="265"/>
      <c r="G477" s="265"/>
      <c r="H477" s="265"/>
      <c r="I477" s="265"/>
      <c r="J477" s="265"/>
      <c r="K477" s="265"/>
      <c r="L477" s="265"/>
      <c r="M477" s="265"/>
      <c r="N477" s="133">
        <f>IF(OR(A477="Автомат",A477="Дифавтомат"),IF(W477="","",COUNTIF(Однолинейка!$H$3:$H$1000,U477)),IF(A477="Аппарат",IF(C477="","",COUNTIF(Однолинейка!$I$3:$I$1000,C477)+COUNTIF(Однолинейка!$J$3:$J$1000,C477)+COUNTIF(Однолинейка!$K$3:$K$1000,C477)),IF(A477="Модуль",IF(C477="","",COUNTIFS(Однолинейка!$AW$3:$AW$1000,"?*",Однолинейка!$AI$3:$AI$1000,C477)),IF(A477="Клемма",IF(C477="","",IF(C477=$S$7,SUM(Однолинейка!$BW$3:$BW$1000),IF(C477=$S$8,SUM(Однолинейка!$BX$3:$BX$1000),""))),""))))</f>
      </c>
      <c r="O477" s="265"/>
      <c r="P477" s="133">
        <f>IF(COUNT(N477,O477)=0,"",SUM(N477,O477))</f>
      </c>
      <c r="U477" s="133">
        <f>IF(OR(A477="Автомат",A477="Дифавтомат"),I477&amp;" С"&amp;J477&amp;"А"&amp;IF(K477="да"," 30мА",""),"")</f>
      </c>
      <c r="V477" s="133">
        <f>IF(U477="","",B477&amp;"|"&amp;U477)</f>
      </c>
      <c r="W477" s="133">
        <f>IF(AND(U477&lt;&gt;"",OR($S$4="(все)",B477=$S$4),IF($S$4="(все)",COUNTIF($U$4:U477,U477),COUNTIFS($U$4:U477,U477,$B$4:B477,B477))=1),MAX($W$3:W476)+1,"")</f>
      </c>
      <c r="X477" s="133">
        <f>IFERROR(INDEX($U$4:$U$500,MATCH(ROW()-3,$W$4:$W$500,0)),"")</f>
      </c>
      <c r="Y477" s="133">
        <f>IF(AND(A477="Аппарат",C477&lt;&gt;"",OR($S$5="(все)",B477=$S$5)),MAX($Y$3:Y476)+1,"")</f>
      </c>
      <c r="Z477" s="133">
        <f>IFERROR(INDEX($C$4:$C$500,MATCH(ROW()-3,$Y$4:$Y$500,0)),"")</f>
      </c>
      <c r="AA477" s="133">
        <f>IF(AND(A477="Модуль",C477&lt;&gt;"",OR($S$6="(все)",B477=$S$6)),MAX($AA$3:AA476)+1,"")</f>
      </c>
      <c r="AB477" s="133">
        <f>IFERROR(INDEX($C$4:$C$500,MATCH(ROW()-3,$AA$4:$AA$500,0)),"")</f>
      </c>
      <c r="AC477" s="133">
        <f>IF(OR(B477="",COUNTIF($B$4:B477,B477)&gt;1),"",MAX($AC$3:AC476)+1)</f>
      </c>
      <c r="AD477" s="133">
        <f>IFERROR(INDEX($B$4:$B$500,MATCH(ROW()-3,$AC$4:$AC$500,0)),"")</f>
      </c>
      <c r="AE477" s="133">
        <f>IF(AND(A477&lt;&gt;"",N(P477)&gt;0),IFERROR(MATCH(A477,$R$12:$R$25,0),99)*1000+ROW(),"")</f>
      </c>
      <c r="AF477" s="133">
        <f>IF(AE477="","",COUNTIF($AE$4:$AE$500,"&lt;="&amp;AE477))</f>
      </c>
    </row>
    <row r="478">
      <c r="A478" s="265"/>
      <c r="B478" s="265"/>
      <c r="C478" s="265"/>
      <c r="D478" s="265"/>
      <c r="E478" s="265"/>
      <c r="F478" s="265"/>
      <c r="G478" s="265"/>
      <c r="H478" s="265"/>
      <c r="I478" s="265"/>
      <c r="J478" s="265"/>
      <c r="K478" s="265"/>
      <c r="L478" s="265"/>
      <c r="M478" s="265"/>
      <c r="N478" s="133">
        <f>IF(OR(A478="Автомат",A478="Дифавтомат"),IF(W478="","",COUNTIF(Однолинейка!$H$3:$H$1000,U478)),IF(A478="Аппарат",IF(C478="","",COUNTIF(Однолинейка!$I$3:$I$1000,C478)+COUNTIF(Однолинейка!$J$3:$J$1000,C478)+COUNTIF(Однолинейка!$K$3:$K$1000,C478)),IF(A478="Модуль",IF(C478="","",COUNTIFS(Однолинейка!$AW$3:$AW$1000,"?*",Однолинейка!$AI$3:$AI$1000,C478)),IF(A478="Клемма",IF(C478="","",IF(C478=$S$7,SUM(Однолинейка!$BW$3:$BW$1000),IF(C478=$S$8,SUM(Однолинейка!$BX$3:$BX$1000),""))),""))))</f>
      </c>
      <c r="O478" s="265"/>
      <c r="P478" s="133">
        <f>IF(COUNT(N478,O478)=0,"",SUM(N478,O478))</f>
      </c>
      <c r="U478" s="133">
        <f>IF(OR(A478="Автомат",A478="Дифавтомат"),I478&amp;" С"&amp;J478&amp;"А"&amp;IF(K478="да"," 30мА",""),"")</f>
      </c>
      <c r="V478" s="133">
        <f>IF(U478="","",B478&amp;"|"&amp;U478)</f>
      </c>
      <c r="W478" s="133">
        <f>IF(AND(U478&lt;&gt;"",OR($S$4="(все)",B478=$S$4),IF($S$4="(все)",COUNTIF($U$4:U478,U478),COUNTIFS($U$4:U478,U478,$B$4:B478,B478))=1),MAX($W$3:W477)+1,"")</f>
      </c>
      <c r="X478" s="133">
        <f>IFERROR(INDEX($U$4:$U$500,MATCH(ROW()-3,$W$4:$W$500,0)),"")</f>
      </c>
      <c r="Y478" s="133">
        <f>IF(AND(A478="Аппарат",C478&lt;&gt;"",OR($S$5="(все)",B478=$S$5)),MAX($Y$3:Y477)+1,"")</f>
      </c>
      <c r="Z478" s="133">
        <f>IFERROR(INDEX($C$4:$C$500,MATCH(ROW()-3,$Y$4:$Y$500,0)),"")</f>
      </c>
      <c r="AA478" s="133">
        <f>IF(AND(A478="Модуль",C478&lt;&gt;"",OR($S$6="(все)",B478=$S$6)),MAX($AA$3:AA477)+1,"")</f>
      </c>
      <c r="AB478" s="133">
        <f>IFERROR(INDEX($C$4:$C$500,MATCH(ROW()-3,$AA$4:$AA$500,0)),"")</f>
      </c>
      <c r="AC478" s="133">
        <f>IF(OR(B478="",COUNTIF($B$4:B478,B478)&gt;1),"",MAX($AC$3:AC477)+1)</f>
      </c>
      <c r="AD478" s="133">
        <f>IFERROR(INDEX($B$4:$B$500,MATCH(ROW()-3,$AC$4:$AC$500,0)),"")</f>
      </c>
      <c r="AE478" s="133">
        <f>IF(AND(A478&lt;&gt;"",N(P478)&gt;0),IFERROR(MATCH(A478,$R$12:$R$25,0),99)*1000+ROW(),"")</f>
      </c>
      <c r="AF478" s="133">
        <f>IF(AE478="","",COUNTIF($AE$4:$AE$500,"&lt;="&amp;AE478))</f>
      </c>
    </row>
    <row r="479">
      <c r="A479" s="265"/>
      <c r="B479" s="265"/>
      <c r="C479" s="265"/>
      <c r="D479" s="265"/>
      <c r="E479" s="265"/>
      <c r="F479" s="265"/>
      <c r="G479" s="265"/>
      <c r="H479" s="265"/>
      <c r="I479" s="265"/>
      <c r="J479" s="265"/>
      <c r="K479" s="265"/>
      <c r="L479" s="265"/>
      <c r="M479" s="265"/>
      <c r="N479" s="133">
        <f>IF(OR(A479="Автомат",A479="Дифавтомат"),IF(W479="","",COUNTIF(Однолинейка!$H$3:$H$1000,U479)),IF(A479="Аппарат",IF(C479="","",COUNTIF(Однолинейка!$I$3:$I$1000,C479)+COUNTIF(Однолинейка!$J$3:$J$1000,C479)+COUNTIF(Однолинейка!$K$3:$K$1000,C479)),IF(A479="Модуль",IF(C479="","",COUNTIFS(Однолинейка!$AW$3:$AW$1000,"?*",Однолинейка!$AI$3:$AI$1000,C479)),IF(A479="Клемма",IF(C479="","",IF(C479=$S$7,SUM(Однолинейка!$BW$3:$BW$1000),IF(C479=$S$8,SUM(Однолинейка!$BX$3:$BX$1000),""))),""))))</f>
      </c>
      <c r="O479" s="265"/>
      <c r="P479" s="133">
        <f>IF(COUNT(N479,O479)=0,"",SUM(N479,O479))</f>
      </c>
      <c r="U479" s="133">
        <f>IF(OR(A479="Автомат",A479="Дифавтомат"),I479&amp;" С"&amp;J479&amp;"А"&amp;IF(K479="да"," 30мА",""),"")</f>
      </c>
      <c r="V479" s="133">
        <f>IF(U479="","",B479&amp;"|"&amp;U479)</f>
      </c>
      <c r="W479" s="133">
        <f>IF(AND(U479&lt;&gt;"",OR($S$4="(все)",B479=$S$4),IF($S$4="(все)",COUNTIF($U$4:U479,U479),COUNTIFS($U$4:U479,U479,$B$4:B479,B479))=1),MAX($W$3:W478)+1,"")</f>
      </c>
      <c r="X479" s="133">
        <f>IFERROR(INDEX($U$4:$U$500,MATCH(ROW()-3,$W$4:$W$500,0)),"")</f>
      </c>
      <c r="Y479" s="133">
        <f>IF(AND(A479="Аппарат",C479&lt;&gt;"",OR($S$5="(все)",B479=$S$5)),MAX($Y$3:Y478)+1,"")</f>
      </c>
      <c r="Z479" s="133">
        <f>IFERROR(INDEX($C$4:$C$500,MATCH(ROW()-3,$Y$4:$Y$500,0)),"")</f>
      </c>
      <c r="AA479" s="133">
        <f>IF(AND(A479="Модуль",C479&lt;&gt;"",OR($S$6="(все)",B479=$S$6)),MAX($AA$3:AA478)+1,"")</f>
      </c>
      <c r="AB479" s="133">
        <f>IFERROR(INDEX($C$4:$C$500,MATCH(ROW()-3,$AA$4:$AA$500,0)),"")</f>
      </c>
      <c r="AC479" s="133">
        <f>IF(OR(B479="",COUNTIF($B$4:B479,B479)&gt;1),"",MAX($AC$3:AC478)+1)</f>
      </c>
      <c r="AD479" s="133">
        <f>IFERROR(INDEX($B$4:$B$500,MATCH(ROW()-3,$AC$4:$AC$500,0)),"")</f>
      </c>
      <c r="AE479" s="133">
        <f>IF(AND(A479&lt;&gt;"",N(P479)&gt;0),IFERROR(MATCH(A479,$R$12:$R$25,0),99)*1000+ROW(),"")</f>
      </c>
      <c r="AF479" s="133">
        <f>IF(AE479="","",COUNTIF($AE$4:$AE$500,"&lt;="&amp;AE479))</f>
      </c>
    </row>
    <row r="480">
      <c r="A480" s="265"/>
      <c r="B480" s="265"/>
      <c r="C480" s="265"/>
      <c r="D480" s="265"/>
      <c r="E480" s="265"/>
      <c r="F480" s="265"/>
      <c r="G480" s="265"/>
      <c r="H480" s="265"/>
      <c r="I480" s="265"/>
      <c r="J480" s="265"/>
      <c r="K480" s="265"/>
      <c r="L480" s="265"/>
      <c r="M480" s="265"/>
      <c r="N480" s="133">
        <f>IF(OR(A480="Автомат",A480="Дифавтомат"),IF(W480="","",COUNTIF(Однолинейка!$H$3:$H$1000,U480)),IF(A480="Аппарат",IF(C480="","",COUNTIF(Однолинейка!$I$3:$I$1000,C480)+COUNTIF(Однолинейка!$J$3:$J$1000,C480)+COUNTIF(Однолинейка!$K$3:$K$1000,C480)),IF(A480="Модуль",IF(C480="","",COUNTIFS(Однолинейка!$AW$3:$AW$1000,"?*",Однолинейка!$AI$3:$AI$1000,C480)),IF(A480="Клемма",IF(C480="","",IF(C480=$S$7,SUM(Однолинейка!$BW$3:$BW$1000),IF(C480=$S$8,SUM(Однолинейка!$BX$3:$BX$1000),""))),""))))</f>
      </c>
      <c r="O480" s="265"/>
      <c r="P480" s="133">
        <f>IF(COUNT(N480,O480)=0,"",SUM(N480,O480))</f>
      </c>
      <c r="U480" s="133">
        <f>IF(OR(A480="Автомат",A480="Дифавтомат"),I480&amp;" С"&amp;J480&amp;"А"&amp;IF(K480="да"," 30мА",""),"")</f>
      </c>
      <c r="V480" s="133">
        <f>IF(U480="","",B480&amp;"|"&amp;U480)</f>
      </c>
      <c r="W480" s="133">
        <f>IF(AND(U480&lt;&gt;"",OR($S$4="(все)",B480=$S$4),IF($S$4="(все)",COUNTIF($U$4:U480,U480),COUNTIFS($U$4:U480,U480,$B$4:B480,B480))=1),MAX($W$3:W479)+1,"")</f>
      </c>
      <c r="X480" s="133">
        <f>IFERROR(INDEX($U$4:$U$500,MATCH(ROW()-3,$W$4:$W$500,0)),"")</f>
      </c>
      <c r="Y480" s="133">
        <f>IF(AND(A480="Аппарат",C480&lt;&gt;"",OR($S$5="(все)",B480=$S$5)),MAX($Y$3:Y479)+1,"")</f>
      </c>
      <c r="Z480" s="133">
        <f>IFERROR(INDEX($C$4:$C$500,MATCH(ROW()-3,$Y$4:$Y$500,0)),"")</f>
      </c>
      <c r="AA480" s="133">
        <f>IF(AND(A480="Модуль",C480&lt;&gt;"",OR($S$6="(все)",B480=$S$6)),MAX($AA$3:AA479)+1,"")</f>
      </c>
      <c r="AB480" s="133">
        <f>IFERROR(INDEX($C$4:$C$500,MATCH(ROW()-3,$AA$4:$AA$500,0)),"")</f>
      </c>
      <c r="AC480" s="133">
        <f>IF(OR(B480="",COUNTIF($B$4:B480,B480)&gt;1),"",MAX($AC$3:AC479)+1)</f>
      </c>
      <c r="AD480" s="133">
        <f>IFERROR(INDEX($B$4:$B$500,MATCH(ROW()-3,$AC$4:$AC$500,0)),"")</f>
      </c>
      <c r="AE480" s="133">
        <f>IF(AND(A480&lt;&gt;"",N(P480)&gt;0),IFERROR(MATCH(A480,$R$12:$R$25,0),99)*1000+ROW(),"")</f>
      </c>
      <c r="AF480" s="133">
        <f>IF(AE480="","",COUNTIF($AE$4:$AE$500,"&lt;="&amp;AE480))</f>
      </c>
    </row>
    <row r="481">
      <c r="A481" s="265"/>
      <c r="B481" s="265"/>
      <c r="C481" s="265"/>
      <c r="D481" s="265"/>
      <c r="E481" s="265"/>
      <c r="F481" s="265"/>
      <c r="G481" s="265"/>
      <c r="H481" s="265"/>
      <c r="I481" s="265"/>
      <c r="J481" s="265"/>
      <c r="K481" s="265"/>
      <c r="L481" s="265"/>
      <c r="M481" s="265"/>
      <c r="N481" s="133">
        <f>IF(OR(A481="Автомат",A481="Дифавтомат"),IF(W481="","",COUNTIF(Однолинейка!$H$3:$H$1000,U481)),IF(A481="Аппарат",IF(C481="","",COUNTIF(Однолинейка!$I$3:$I$1000,C481)+COUNTIF(Однолинейка!$J$3:$J$1000,C481)+COUNTIF(Однолинейка!$K$3:$K$1000,C481)),IF(A481="Модуль",IF(C481="","",COUNTIFS(Однолинейка!$AW$3:$AW$1000,"?*",Однолинейка!$AI$3:$AI$1000,C481)),IF(A481="Клемма",IF(C481="","",IF(C481=$S$7,SUM(Однолинейка!$BW$3:$BW$1000),IF(C481=$S$8,SUM(Однолинейка!$BX$3:$BX$1000),""))),""))))</f>
      </c>
      <c r="O481" s="265"/>
      <c r="P481" s="133">
        <f>IF(COUNT(N481,O481)=0,"",SUM(N481,O481))</f>
      </c>
      <c r="U481" s="133">
        <f>IF(OR(A481="Автомат",A481="Дифавтомат"),I481&amp;" С"&amp;J481&amp;"А"&amp;IF(K481="да"," 30мА",""),"")</f>
      </c>
      <c r="V481" s="133">
        <f>IF(U481="","",B481&amp;"|"&amp;U481)</f>
      </c>
      <c r="W481" s="133">
        <f>IF(AND(U481&lt;&gt;"",OR($S$4="(все)",B481=$S$4),IF($S$4="(все)",COUNTIF($U$4:U481,U481),COUNTIFS($U$4:U481,U481,$B$4:B481,B481))=1),MAX($W$3:W480)+1,"")</f>
      </c>
      <c r="X481" s="133">
        <f>IFERROR(INDEX($U$4:$U$500,MATCH(ROW()-3,$W$4:$W$500,0)),"")</f>
      </c>
      <c r="Y481" s="133">
        <f>IF(AND(A481="Аппарат",C481&lt;&gt;"",OR($S$5="(все)",B481=$S$5)),MAX($Y$3:Y480)+1,"")</f>
      </c>
      <c r="Z481" s="133">
        <f>IFERROR(INDEX($C$4:$C$500,MATCH(ROW()-3,$Y$4:$Y$500,0)),"")</f>
      </c>
      <c r="AA481" s="133">
        <f>IF(AND(A481="Модуль",C481&lt;&gt;"",OR($S$6="(все)",B481=$S$6)),MAX($AA$3:AA480)+1,"")</f>
      </c>
      <c r="AB481" s="133">
        <f>IFERROR(INDEX($C$4:$C$500,MATCH(ROW()-3,$AA$4:$AA$500,0)),"")</f>
      </c>
      <c r="AC481" s="133">
        <f>IF(OR(B481="",COUNTIF($B$4:B481,B481)&gt;1),"",MAX($AC$3:AC480)+1)</f>
      </c>
      <c r="AD481" s="133">
        <f>IFERROR(INDEX($B$4:$B$500,MATCH(ROW()-3,$AC$4:$AC$500,0)),"")</f>
      </c>
      <c r="AE481" s="133">
        <f>IF(AND(A481&lt;&gt;"",N(P481)&gt;0),IFERROR(MATCH(A481,$R$12:$R$25,0),99)*1000+ROW(),"")</f>
      </c>
      <c r="AF481" s="133">
        <f>IF(AE481="","",COUNTIF($AE$4:$AE$500,"&lt;="&amp;AE481))</f>
      </c>
    </row>
    <row r="482">
      <c r="A482" s="265"/>
      <c r="B482" s="265"/>
      <c r="C482" s="265"/>
      <c r="D482" s="265"/>
      <c r="E482" s="265"/>
      <c r="F482" s="265"/>
      <c r="G482" s="265"/>
      <c r="H482" s="265"/>
      <c r="I482" s="265"/>
      <c r="J482" s="265"/>
      <c r="K482" s="265"/>
      <c r="L482" s="265"/>
      <c r="M482" s="265"/>
      <c r="N482" s="133">
        <f>IF(OR(A482="Автомат",A482="Дифавтомат"),IF(W482="","",COUNTIF(Однолинейка!$H$3:$H$1000,U482)),IF(A482="Аппарат",IF(C482="","",COUNTIF(Однолинейка!$I$3:$I$1000,C482)+COUNTIF(Однолинейка!$J$3:$J$1000,C482)+COUNTIF(Однолинейка!$K$3:$K$1000,C482)),IF(A482="Модуль",IF(C482="","",COUNTIFS(Однолинейка!$AW$3:$AW$1000,"?*",Однолинейка!$AI$3:$AI$1000,C482)),IF(A482="Клемма",IF(C482="","",IF(C482=$S$7,SUM(Однолинейка!$BW$3:$BW$1000),IF(C482=$S$8,SUM(Однолинейка!$BX$3:$BX$1000),""))),""))))</f>
      </c>
      <c r="O482" s="265"/>
      <c r="P482" s="133">
        <f>IF(COUNT(N482,O482)=0,"",SUM(N482,O482))</f>
      </c>
      <c r="U482" s="133">
        <f>IF(OR(A482="Автомат",A482="Дифавтомат"),I482&amp;" С"&amp;J482&amp;"А"&amp;IF(K482="да"," 30мА",""),"")</f>
      </c>
      <c r="V482" s="133">
        <f>IF(U482="","",B482&amp;"|"&amp;U482)</f>
      </c>
      <c r="W482" s="133">
        <f>IF(AND(U482&lt;&gt;"",OR($S$4="(все)",B482=$S$4),IF($S$4="(все)",COUNTIF($U$4:U482,U482),COUNTIFS($U$4:U482,U482,$B$4:B482,B482))=1),MAX($W$3:W481)+1,"")</f>
      </c>
      <c r="X482" s="133">
        <f>IFERROR(INDEX($U$4:$U$500,MATCH(ROW()-3,$W$4:$W$500,0)),"")</f>
      </c>
      <c r="Y482" s="133">
        <f>IF(AND(A482="Аппарат",C482&lt;&gt;"",OR($S$5="(все)",B482=$S$5)),MAX($Y$3:Y481)+1,"")</f>
      </c>
      <c r="Z482" s="133">
        <f>IFERROR(INDEX($C$4:$C$500,MATCH(ROW()-3,$Y$4:$Y$500,0)),"")</f>
      </c>
      <c r="AA482" s="133">
        <f>IF(AND(A482="Модуль",C482&lt;&gt;"",OR($S$6="(все)",B482=$S$6)),MAX($AA$3:AA481)+1,"")</f>
      </c>
      <c r="AB482" s="133">
        <f>IFERROR(INDEX($C$4:$C$500,MATCH(ROW()-3,$AA$4:$AA$500,0)),"")</f>
      </c>
      <c r="AC482" s="133">
        <f>IF(OR(B482="",COUNTIF($B$4:B482,B482)&gt;1),"",MAX($AC$3:AC481)+1)</f>
      </c>
      <c r="AD482" s="133">
        <f>IFERROR(INDEX($B$4:$B$500,MATCH(ROW()-3,$AC$4:$AC$500,0)),"")</f>
      </c>
      <c r="AE482" s="133">
        <f>IF(AND(A482&lt;&gt;"",N(P482)&gt;0),IFERROR(MATCH(A482,$R$12:$R$25,0),99)*1000+ROW(),"")</f>
      </c>
      <c r="AF482" s="133">
        <f>IF(AE482="","",COUNTIF($AE$4:$AE$500,"&lt;="&amp;AE482))</f>
      </c>
    </row>
    <row r="483">
      <c r="A483" s="265"/>
      <c r="B483" s="265"/>
      <c r="C483" s="265"/>
      <c r="D483" s="265"/>
      <c r="E483" s="265"/>
      <c r="F483" s="265"/>
      <c r="G483" s="265"/>
      <c r="H483" s="265"/>
      <c r="I483" s="265"/>
      <c r="J483" s="265"/>
      <c r="K483" s="265"/>
      <c r="L483" s="265"/>
      <c r="M483" s="265"/>
      <c r="N483" s="133">
        <f>IF(OR(A483="Автомат",A483="Дифавтомат"),IF(W483="","",COUNTIF(Однолинейка!$H$3:$H$1000,U483)),IF(A483="Аппарат",IF(C483="","",COUNTIF(Однолинейка!$I$3:$I$1000,C483)+COUNTIF(Однолинейка!$J$3:$J$1000,C483)+COUNTIF(Однолинейка!$K$3:$K$1000,C483)),IF(A483="Модуль",IF(C483="","",COUNTIFS(Однолинейка!$AW$3:$AW$1000,"?*",Однолинейка!$AI$3:$AI$1000,C483)),IF(A483="Клемма",IF(C483="","",IF(C483=$S$7,SUM(Однолинейка!$BW$3:$BW$1000),IF(C483=$S$8,SUM(Однолинейка!$BX$3:$BX$1000),""))),""))))</f>
      </c>
      <c r="O483" s="265"/>
      <c r="P483" s="133">
        <f>IF(COUNT(N483,O483)=0,"",SUM(N483,O483))</f>
      </c>
      <c r="U483" s="133">
        <f>IF(OR(A483="Автомат",A483="Дифавтомат"),I483&amp;" С"&amp;J483&amp;"А"&amp;IF(K483="да"," 30мА",""),"")</f>
      </c>
      <c r="V483" s="133">
        <f>IF(U483="","",B483&amp;"|"&amp;U483)</f>
      </c>
      <c r="W483" s="133">
        <f>IF(AND(U483&lt;&gt;"",OR($S$4="(все)",B483=$S$4),IF($S$4="(все)",COUNTIF($U$4:U483,U483),COUNTIFS($U$4:U483,U483,$B$4:B483,B483))=1),MAX($W$3:W482)+1,"")</f>
      </c>
      <c r="X483" s="133">
        <f>IFERROR(INDEX($U$4:$U$500,MATCH(ROW()-3,$W$4:$W$500,0)),"")</f>
      </c>
      <c r="Y483" s="133">
        <f>IF(AND(A483="Аппарат",C483&lt;&gt;"",OR($S$5="(все)",B483=$S$5)),MAX($Y$3:Y482)+1,"")</f>
      </c>
      <c r="Z483" s="133">
        <f>IFERROR(INDEX($C$4:$C$500,MATCH(ROW()-3,$Y$4:$Y$500,0)),"")</f>
      </c>
      <c r="AA483" s="133">
        <f>IF(AND(A483="Модуль",C483&lt;&gt;"",OR($S$6="(все)",B483=$S$6)),MAX($AA$3:AA482)+1,"")</f>
      </c>
      <c r="AB483" s="133">
        <f>IFERROR(INDEX($C$4:$C$500,MATCH(ROW()-3,$AA$4:$AA$500,0)),"")</f>
      </c>
      <c r="AC483" s="133">
        <f>IF(OR(B483="",COUNTIF($B$4:B483,B483)&gt;1),"",MAX($AC$3:AC482)+1)</f>
      </c>
      <c r="AD483" s="133">
        <f>IFERROR(INDEX($B$4:$B$500,MATCH(ROW()-3,$AC$4:$AC$500,0)),"")</f>
      </c>
      <c r="AE483" s="133">
        <f>IF(AND(A483&lt;&gt;"",N(P483)&gt;0),IFERROR(MATCH(A483,$R$12:$R$25,0),99)*1000+ROW(),"")</f>
      </c>
      <c r="AF483" s="133">
        <f>IF(AE483="","",COUNTIF($AE$4:$AE$500,"&lt;="&amp;AE483))</f>
      </c>
    </row>
    <row r="484">
      <c r="A484" s="265"/>
      <c r="B484" s="265"/>
      <c r="C484" s="265"/>
      <c r="D484" s="265"/>
      <c r="E484" s="265"/>
      <c r="F484" s="265"/>
      <c r="G484" s="265"/>
      <c r="H484" s="265"/>
      <c r="I484" s="265"/>
      <c r="J484" s="265"/>
      <c r="K484" s="265"/>
      <c r="L484" s="265"/>
      <c r="M484" s="265"/>
      <c r="N484" s="133">
        <f>IF(OR(A484="Автомат",A484="Дифавтомат"),IF(W484="","",COUNTIF(Однолинейка!$H$3:$H$1000,U484)),IF(A484="Аппарат",IF(C484="","",COUNTIF(Однолинейка!$I$3:$I$1000,C484)+COUNTIF(Однолинейка!$J$3:$J$1000,C484)+COUNTIF(Однолинейка!$K$3:$K$1000,C484)),IF(A484="Модуль",IF(C484="","",COUNTIFS(Однолинейка!$AW$3:$AW$1000,"?*",Однолинейка!$AI$3:$AI$1000,C484)),IF(A484="Клемма",IF(C484="","",IF(C484=$S$7,SUM(Однолинейка!$BW$3:$BW$1000),IF(C484=$S$8,SUM(Однолинейка!$BX$3:$BX$1000),""))),""))))</f>
      </c>
      <c r="O484" s="265"/>
      <c r="P484" s="133">
        <f>IF(COUNT(N484,O484)=0,"",SUM(N484,O484))</f>
      </c>
      <c r="U484" s="133">
        <f>IF(OR(A484="Автомат",A484="Дифавтомат"),I484&amp;" С"&amp;J484&amp;"А"&amp;IF(K484="да"," 30мА",""),"")</f>
      </c>
      <c r="V484" s="133">
        <f>IF(U484="","",B484&amp;"|"&amp;U484)</f>
      </c>
      <c r="W484" s="133">
        <f>IF(AND(U484&lt;&gt;"",OR($S$4="(все)",B484=$S$4),IF($S$4="(все)",COUNTIF($U$4:U484,U484),COUNTIFS($U$4:U484,U484,$B$4:B484,B484))=1),MAX($W$3:W483)+1,"")</f>
      </c>
      <c r="X484" s="133">
        <f>IFERROR(INDEX($U$4:$U$500,MATCH(ROW()-3,$W$4:$W$500,0)),"")</f>
      </c>
      <c r="Y484" s="133">
        <f>IF(AND(A484="Аппарат",C484&lt;&gt;"",OR($S$5="(все)",B484=$S$5)),MAX($Y$3:Y483)+1,"")</f>
      </c>
      <c r="Z484" s="133">
        <f>IFERROR(INDEX($C$4:$C$500,MATCH(ROW()-3,$Y$4:$Y$500,0)),"")</f>
      </c>
      <c r="AA484" s="133">
        <f>IF(AND(A484="Модуль",C484&lt;&gt;"",OR($S$6="(все)",B484=$S$6)),MAX($AA$3:AA483)+1,"")</f>
      </c>
      <c r="AB484" s="133">
        <f>IFERROR(INDEX($C$4:$C$500,MATCH(ROW()-3,$AA$4:$AA$500,0)),"")</f>
      </c>
      <c r="AC484" s="133">
        <f>IF(OR(B484="",COUNTIF($B$4:B484,B484)&gt;1),"",MAX($AC$3:AC483)+1)</f>
      </c>
      <c r="AD484" s="133">
        <f>IFERROR(INDEX($B$4:$B$500,MATCH(ROW()-3,$AC$4:$AC$500,0)),"")</f>
      </c>
      <c r="AE484" s="133">
        <f>IF(AND(A484&lt;&gt;"",N(P484)&gt;0),IFERROR(MATCH(A484,$R$12:$R$25,0),99)*1000+ROW(),"")</f>
      </c>
      <c r="AF484" s="133">
        <f>IF(AE484="","",COUNTIF($AE$4:$AE$500,"&lt;="&amp;AE484))</f>
      </c>
    </row>
    <row r="485">
      <c r="A485" s="265"/>
      <c r="B485" s="265"/>
      <c r="C485" s="265"/>
      <c r="D485" s="265"/>
      <c r="E485" s="265"/>
      <c r="F485" s="265"/>
      <c r="G485" s="265"/>
      <c r="H485" s="265"/>
      <c r="I485" s="265"/>
      <c r="J485" s="265"/>
      <c r="K485" s="265"/>
      <c r="L485" s="265"/>
      <c r="M485" s="265"/>
      <c r="N485" s="133">
        <f>IF(OR(A485="Автомат",A485="Дифавтомат"),IF(W485="","",COUNTIF(Однолинейка!$H$3:$H$1000,U485)),IF(A485="Аппарат",IF(C485="","",COUNTIF(Однолинейка!$I$3:$I$1000,C485)+COUNTIF(Однолинейка!$J$3:$J$1000,C485)+COUNTIF(Однолинейка!$K$3:$K$1000,C485)),IF(A485="Модуль",IF(C485="","",COUNTIFS(Однолинейка!$AW$3:$AW$1000,"?*",Однолинейка!$AI$3:$AI$1000,C485)),IF(A485="Клемма",IF(C485="","",IF(C485=$S$7,SUM(Однолинейка!$BW$3:$BW$1000),IF(C485=$S$8,SUM(Однолинейка!$BX$3:$BX$1000),""))),""))))</f>
      </c>
      <c r="O485" s="265"/>
      <c r="P485" s="133">
        <f>IF(COUNT(N485,O485)=0,"",SUM(N485,O485))</f>
      </c>
      <c r="U485" s="133">
        <f>IF(OR(A485="Автомат",A485="Дифавтомат"),I485&amp;" С"&amp;J485&amp;"А"&amp;IF(K485="да"," 30мА",""),"")</f>
      </c>
      <c r="V485" s="133">
        <f>IF(U485="","",B485&amp;"|"&amp;U485)</f>
      </c>
      <c r="W485" s="133">
        <f>IF(AND(U485&lt;&gt;"",OR($S$4="(все)",B485=$S$4),IF($S$4="(все)",COUNTIF($U$4:U485,U485),COUNTIFS($U$4:U485,U485,$B$4:B485,B485))=1),MAX($W$3:W484)+1,"")</f>
      </c>
      <c r="X485" s="133">
        <f>IFERROR(INDEX($U$4:$U$500,MATCH(ROW()-3,$W$4:$W$500,0)),"")</f>
      </c>
      <c r="Y485" s="133">
        <f>IF(AND(A485="Аппарат",C485&lt;&gt;"",OR($S$5="(все)",B485=$S$5)),MAX($Y$3:Y484)+1,"")</f>
      </c>
      <c r="Z485" s="133">
        <f>IFERROR(INDEX($C$4:$C$500,MATCH(ROW()-3,$Y$4:$Y$500,0)),"")</f>
      </c>
      <c r="AA485" s="133">
        <f>IF(AND(A485="Модуль",C485&lt;&gt;"",OR($S$6="(все)",B485=$S$6)),MAX($AA$3:AA484)+1,"")</f>
      </c>
      <c r="AB485" s="133">
        <f>IFERROR(INDEX($C$4:$C$500,MATCH(ROW()-3,$AA$4:$AA$500,0)),"")</f>
      </c>
      <c r="AC485" s="133">
        <f>IF(OR(B485="",COUNTIF($B$4:B485,B485)&gt;1),"",MAX($AC$3:AC484)+1)</f>
      </c>
      <c r="AD485" s="133">
        <f>IFERROR(INDEX($B$4:$B$500,MATCH(ROW()-3,$AC$4:$AC$500,0)),"")</f>
      </c>
      <c r="AE485" s="133">
        <f>IF(AND(A485&lt;&gt;"",N(P485)&gt;0),IFERROR(MATCH(A485,$R$12:$R$25,0),99)*1000+ROW(),"")</f>
      </c>
      <c r="AF485" s="133">
        <f>IF(AE485="","",COUNTIF($AE$4:$AE$500,"&lt;="&amp;AE485))</f>
      </c>
    </row>
    <row r="486">
      <c r="A486" s="265"/>
      <c r="B486" s="265"/>
      <c r="C486" s="265"/>
      <c r="D486" s="265"/>
      <c r="E486" s="265"/>
      <c r="F486" s="265"/>
      <c r="G486" s="265"/>
      <c r="H486" s="265"/>
      <c r="I486" s="265"/>
      <c r="J486" s="265"/>
      <c r="K486" s="265"/>
      <c r="L486" s="265"/>
      <c r="M486" s="265"/>
      <c r="N486" s="133">
        <f>IF(OR(A486="Автомат",A486="Дифавтомат"),IF(W486="","",COUNTIF(Однолинейка!$H$3:$H$1000,U486)),IF(A486="Аппарат",IF(C486="","",COUNTIF(Однолинейка!$I$3:$I$1000,C486)+COUNTIF(Однолинейка!$J$3:$J$1000,C486)+COUNTIF(Однолинейка!$K$3:$K$1000,C486)),IF(A486="Модуль",IF(C486="","",COUNTIFS(Однолинейка!$AW$3:$AW$1000,"?*",Однолинейка!$AI$3:$AI$1000,C486)),IF(A486="Клемма",IF(C486="","",IF(C486=$S$7,SUM(Однолинейка!$BW$3:$BW$1000),IF(C486=$S$8,SUM(Однолинейка!$BX$3:$BX$1000),""))),""))))</f>
      </c>
      <c r="O486" s="265"/>
      <c r="P486" s="133">
        <f>IF(COUNT(N486,O486)=0,"",SUM(N486,O486))</f>
      </c>
      <c r="U486" s="133">
        <f>IF(OR(A486="Автомат",A486="Дифавтомат"),I486&amp;" С"&amp;J486&amp;"А"&amp;IF(K486="да"," 30мА",""),"")</f>
      </c>
      <c r="V486" s="133">
        <f>IF(U486="","",B486&amp;"|"&amp;U486)</f>
      </c>
      <c r="W486" s="133">
        <f>IF(AND(U486&lt;&gt;"",OR($S$4="(все)",B486=$S$4),IF($S$4="(все)",COUNTIF($U$4:U486,U486),COUNTIFS($U$4:U486,U486,$B$4:B486,B486))=1),MAX($W$3:W485)+1,"")</f>
      </c>
      <c r="X486" s="133">
        <f>IFERROR(INDEX($U$4:$U$500,MATCH(ROW()-3,$W$4:$W$500,0)),"")</f>
      </c>
      <c r="Y486" s="133">
        <f>IF(AND(A486="Аппарат",C486&lt;&gt;"",OR($S$5="(все)",B486=$S$5)),MAX($Y$3:Y485)+1,"")</f>
      </c>
      <c r="Z486" s="133">
        <f>IFERROR(INDEX($C$4:$C$500,MATCH(ROW()-3,$Y$4:$Y$500,0)),"")</f>
      </c>
      <c r="AA486" s="133">
        <f>IF(AND(A486="Модуль",C486&lt;&gt;"",OR($S$6="(все)",B486=$S$6)),MAX($AA$3:AA485)+1,"")</f>
      </c>
      <c r="AB486" s="133">
        <f>IFERROR(INDEX($C$4:$C$500,MATCH(ROW()-3,$AA$4:$AA$500,0)),"")</f>
      </c>
      <c r="AC486" s="133">
        <f>IF(OR(B486="",COUNTIF($B$4:B486,B486)&gt;1),"",MAX($AC$3:AC485)+1)</f>
      </c>
      <c r="AD486" s="133">
        <f>IFERROR(INDEX($B$4:$B$500,MATCH(ROW()-3,$AC$4:$AC$500,0)),"")</f>
      </c>
      <c r="AE486" s="133">
        <f>IF(AND(A486&lt;&gt;"",N(P486)&gt;0),IFERROR(MATCH(A486,$R$12:$R$25,0),99)*1000+ROW(),"")</f>
      </c>
      <c r="AF486" s="133">
        <f>IF(AE486="","",COUNTIF($AE$4:$AE$500,"&lt;="&amp;AE486))</f>
      </c>
    </row>
    <row r="487">
      <c r="A487" s="265"/>
      <c r="B487" s="265"/>
      <c r="C487" s="265"/>
      <c r="D487" s="265"/>
      <c r="E487" s="265"/>
      <c r="F487" s="265"/>
      <c r="G487" s="265"/>
      <c r="H487" s="265"/>
      <c r="I487" s="265"/>
      <c r="J487" s="265"/>
      <c r="K487" s="265"/>
      <c r="L487" s="265"/>
      <c r="M487" s="265"/>
      <c r="N487" s="133">
        <f>IF(OR(A487="Автомат",A487="Дифавтомат"),IF(W487="","",COUNTIF(Однолинейка!$H$3:$H$1000,U487)),IF(A487="Аппарат",IF(C487="","",COUNTIF(Однолинейка!$I$3:$I$1000,C487)+COUNTIF(Однолинейка!$J$3:$J$1000,C487)+COUNTIF(Однолинейка!$K$3:$K$1000,C487)),IF(A487="Модуль",IF(C487="","",COUNTIFS(Однолинейка!$AW$3:$AW$1000,"?*",Однолинейка!$AI$3:$AI$1000,C487)),IF(A487="Клемма",IF(C487="","",IF(C487=$S$7,SUM(Однолинейка!$BW$3:$BW$1000),IF(C487=$S$8,SUM(Однолинейка!$BX$3:$BX$1000),""))),""))))</f>
      </c>
      <c r="O487" s="265"/>
      <c r="P487" s="133">
        <f>IF(COUNT(N487,O487)=0,"",SUM(N487,O487))</f>
      </c>
      <c r="U487" s="133">
        <f>IF(OR(A487="Автомат",A487="Дифавтомат"),I487&amp;" С"&amp;J487&amp;"А"&amp;IF(K487="да"," 30мА",""),"")</f>
      </c>
      <c r="V487" s="133">
        <f>IF(U487="","",B487&amp;"|"&amp;U487)</f>
      </c>
      <c r="W487" s="133">
        <f>IF(AND(U487&lt;&gt;"",OR($S$4="(все)",B487=$S$4),IF($S$4="(все)",COUNTIF($U$4:U487,U487),COUNTIFS($U$4:U487,U487,$B$4:B487,B487))=1),MAX($W$3:W486)+1,"")</f>
      </c>
      <c r="X487" s="133">
        <f>IFERROR(INDEX($U$4:$U$500,MATCH(ROW()-3,$W$4:$W$500,0)),"")</f>
      </c>
      <c r="Y487" s="133">
        <f>IF(AND(A487="Аппарат",C487&lt;&gt;"",OR($S$5="(все)",B487=$S$5)),MAX($Y$3:Y486)+1,"")</f>
      </c>
      <c r="Z487" s="133">
        <f>IFERROR(INDEX($C$4:$C$500,MATCH(ROW()-3,$Y$4:$Y$500,0)),"")</f>
      </c>
      <c r="AA487" s="133">
        <f>IF(AND(A487="Модуль",C487&lt;&gt;"",OR($S$6="(все)",B487=$S$6)),MAX($AA$3:AA486)+1,"")</f>
      </c>
      <c r="AB487" s="133">
        <f>IFERROR(INDEX($C$4:$C$500,MATCH(ROW()-3,$AA$4:$AA$500,0)),"")</f>
      </c>
      <c r="AC487" s="133">
        <f>IF(OR(B487="",COUNTIF($B$4:B487,B487)&gt;1),"",MAX($AC$3:AC486)+1)</f>
      </c>
      <c r="AD487" s="133">
        <f>IFERROR(INDEX($B$4:$B$500,MATCH(ROW()-3,$AC$4:$AC$500,0)),"")</f>
      </c>
      <c r="AE487" s="133">
        <f>IF(AND(A487&lt;&gt;"",N(P487)&gt;0),IFERROR(MATCH(A487,$R$12:$R$25,0),99)*1000+ROW(),"")</f>
      </c>
      <c r="AF487" s="133">
        <f>IF(AE487="","",COUNTIF($AE$4:$AE$500,"&lt;="&amp;AE487))</f>
      </c>
    </row>
    <row r="488">
      <c r="A488" s="265"/>
      <c r="B488" s="265"/>
      <c r="C488" s="265"/>
      <c r="D488" s="265"/>
      <c r="E488" s="265"/>
      <c r="F488" s="265"/>
      <c r="G488" s="265"/>
      <c r="H488" s="265"/>
      <c r="I488" s="265"/>
      <c r="J488" s="265"/>
      <c r="K488" s="265"/>
      <c r="L488" s="265"/>
      <c r="M488" s="265"/>
      <c r="N488" s="133">
        <f>IF(OR(A488="Автомат",A488="Дифавтомат"),IF(W488="","",COUNTIF(Однолинейка!$H$3:$H$1000,U488)),IF(A488="Аппарат",IF(C488="","",COUNTIF(Однолинейка!$I$3:$I$1000,C488)+COUNTIF(Однолинейка!$J$3:$J$1000,C488)+COUNTIF(Однолинейка!$K$3:$K$1000,C488)),IF(A488="Модуль",IF(C488="","",COUNTIFS(Однолинейка!$AW$3:$AW$1000,"?*",Однолинейка!$AI$3:$AI$1000,C488)),IF(A488="Клемма",IF(C488="","",IF(C488=$S$7,SUM(Однолинейка!$BW$3:$BW$1000),IF(C488=$S$8,SUM(Однолинейка!$BX$3:$BX$1000),""))),""))))</f>
      </c>
      <c r="O488" s="265"/>
      <c r="P488" s="133">
        <f>IF(COUNT(N488,O488)=0,"",SUM(N488,O488))</f>
      </c>
      <c r="U488" s="133">
        <f>IF(OR(A488="Автомат",A488="Дифавтомат"),I488&amp;" С"&amp;J488&amp;"А"&amp;IF(K488="да"," 30мА",""),"")</f>
      </c>
      <c r="V488" s="133">
        <f>IF(U488="","",B488&amp;"|"&amp;U488)</f>
      </c>
      <c r="W488" s="133">
        <f>IF(AND(U488&lt;&gt;"",OR($S$4="(все)",B488=$S$4),IF($S$4="(все)",COUNTIF($U$4:U488,U488),COUNTIFS($U$4:U488,U488,$B$4:B488,B488))=1),MAX($W$3:W487)+1,"")</f>
      </c>
      <c r="X488" s="133">
        <f>IFERROR(INDEX($U$4:$U$500,MATCH(ROW()-3,$W$4:$W$500,0)),"")</f>
      </c>
      <c r="Y488" s="133">
        <f>IF(AND(A488="Аппарат",C488&lt;&gt;"",OR($S$5="(все)",B488=$S$5)),MAX($Y$3:Y487)+1,"")</f>
      </c>
      <c r="Z488" s="133">
        <f>IFERROR(INDEX($C$4:$C$500,MATCH(ROW()-3,$Y$4:$Y$500,0)),"")</f>
      </c>
      <c r="AA488" s="133">
        <f>IF(AND(A488="Модуль",C488&lt;&gt;"",OR($S$6="(все)",B488=$S$6)),MAX($AA$3:AA487)+1,"")</f>
      </c>
      <c r="AB488" s="133">
        <f>IFERROR(INDEX($C$4:$C$500,MATCH(ROW()-3,$AA$4:$AA$500,0)),"")</f>
      </c>
      <c r="AC488" s="133">
        <f>IF(OR(B488="",COUNTIF($B$4:B488,B488)&gt;1),"",MAX($AC$3:AC487)+1)</f>
      </c>
      <c r="AD488" s="133">
        <f>IFERROR(INDEX($B$4:$B$500,MATCH(ROW()-3,$AC$4:$AC$500,0)),"")</f>
      </c>
      <c r="AE488" s="133">
        <f>IF(AND(A488&lt;&gt;"",N(P488)&gt;0),IFERROR(MATCH(A488,$R$12:$R$25,0),99)*1000+ROW(),"")</f>
      </c>
      <c r="AF488" s="133">
        <f>IF(AE488="","",COUNTIF($AE$4:$AE$500,"&lt;="&amp;AE488))</f>
      </c>
    </row>
    <row r="489">
      <c r="A489" s="265"/>
      <c r="B489" s="265"/>
      <c r="C489" s="265"/>
      <c r="D489" s="265"/>
      <c r="E489" s="265"/>
      <c r="F489" s="265"/>
      <c r="G489" s="265"/>
      <c r="H489" s="265"/>
      <c r="I489" s="265"/>
      <c r="J489" s="265"/>
      <c r="K489" s="265"/>
      <c r="L489" s="265"/>
      <c r="M489" s="265"/>
      <c r="N489" s="133">
        <f>IF(OR(A489="Автомат",A489="Дифавтомат"),IF(W489="","",COUNTIF(Однолинейка!$H$3:$H$1000,U489)),IF(A489="Аппарат",IF(C489="","",COUNTIF(Однолинейка!$I$3:$I$1000,C489)+COUNTIF(Однолинейка!$J$3:$J$1000,C489)+COUNTIF(Однолинейка!$K$3:$K$1000,C489)),IF(A489="Модуль",IF(C489="","",COUNTIFS(Однолинейка!$AW$3:$AW$1000,"?*",Однолинейка!$AI$3:$AI$1000,C489)),IF(A489="Клемма",IF(C489="","",IF(C489=$S$7,SUM(Однолинейка!$BW$3:$BW$1000),IF(C489=$S$8,SUM(Однолинейка!$BX$3:$BX$1000),""))),""))))</f>
      </c>
      <c r="O489" s="265"/>
      <c r="P489" s="133">
        <f>IF(COUNT(N489,O489)=0,"",SUM(N489,O489))</f>
      </c>
      <c r="U489" s="133">
        <f>IF(OR(A489="Автомат",A489="Дифавтомат"),I489&amp;" С"&amp;J489&amp;"А"&amp;IF(K489="да"," 30мА",""),"")</f>
      </c>
      <c r="V489" s="133">
        <f>IF(U489="","",B489&amp;"|"&amp;U489)</f>
      </c>
      <c r="W489" s="133">
        <f>IF(AND(U489&lt;&gt;"",OR($S$4="(все)",B489=$S$4),IF($S$4="(все)",COUNTIF($U$4:U489,U489),COUNTIFS($U$4:U489,U489,$B$4:B489,B489))=1),MAX($W$3:W488)+1,"")</f>
      </c>
      <c r="X489" s="133">
        <f>IFERROR(INDEX($U$4:$U$500,MATCH(ROW()-3,$W$4:$W$500,0)),"")</f>
      </c>
      <c r="Y489" s="133">
        <f>IF(AND(A489="Аппарат",C489&lt;&gt;"",OR($S$5="(все)",B489=$S$5)),MAX($Y$3:Y488)+1,"")</f>
      </c>
      <c r="Z489" s="133">
        <f>IFERROR(INDEX($C$4:$C$500,MATCH(ROW()-3,$Y$4:$Y$500,0)),"")</f>
      </c>
      <c r="AA489" s="133">
        <f>IF(AND(A489="Модуль",C489&lt;&gt;"",OR($S$6="(все)",B489=$S$6)),MAX($AA$3:AA488)+1,"")</f>
      </c>
      <c r="AB489" s="133">
        <f>IFERROR(INDEX($C$4:$C$500,MATCH(ROW()-3,$AA$4:$AA$500,0)),"")</f>
      </c>
      <c r="AC489" s="133">
        <f>IF(OR(B489="",COUNTIF($B$4:B489,B489)&gt;1),"",MAX($AC$3:AC488)+1)</f>
      </c>
      <c r="AD489" s="133">
        <f>IFERROR(INDEX($B$4:$B$500,MATCH(ROW()-3,$AC$4:$AC$500,0)),"")</f>
      </c>
      <c r="AE489" s="133">
        <f>IF(AND(A489&lt;&gt;"",N(P489)&gt;0),IFERROR(MATCH(A489,$R$12:$R$25,0),99)*1000+ROW(),"")</f>
      </c>
      <c r="AF489" s="133">
        <f>IF(AE489="","",COUNTIF($AE$4:$AE$500,"&lt;="&amp;AE489))</f>
      </c>
    </row>
    <row r="490">
      <c r="A490" s="265"/>
      <c r="B490" s="265"/>
      <c r="C490" s="265"/>
      <c r="D490" s="265"/>
      <c r="E490" s="265"/>
      <c r="F490" s="265"/>
      <c r="G490" s="265"/>
      <c r="H490" s="265"/>
      <c r="I490" s="265"/>
      <c r="J490" s="265"/>
      <c r="K490" s="265"/>
      <c r="L490" s="265"/>
      <c r="M490" s="265"/>
      <c r="N490" s="133">
        <f>IF(OR(A490="Автомат",A490="Дифавтомат"),IF(W490="","",COUNTIF(Однолинейка!$H$3:$H$1000,U490)),IF(A490="Аппарат",IF(C490="","",COUNTIF(Однолинейка!$I$3:$I$1000,C490)+COUNTIF(Однолинейка!$J$3:$J$1000,C490)+COUNTIF(Однолинейка!$K$3:$K$1000,C490)),IF(A490="Модуль",IF(C490="","",COUNTIFS(Однолинейка!$AW$3:$AW$1000,"?*",Однолинейка!$AI$3:$AI$1000,C490)),IF(A490="Клемма",IF(C490="","",IF(C490=$S$7,SUM(Однолинейка!$BW$3:$BW$1000),IF(C490=$S$8,SUM(Однолинейка!$BX$3:$BX$1000),""))),""))))</f>
      </c>
      <c r="O490" s="265"/>
      <c r="P490" s="133">
        <f>IF(COUNT(N490,O490)=0,"",SUM(N490,O490))</f>
      </c>
      <c r="U490" s="133">
        <f>IF(OR(A490="Автомат",A490="Дифавтомат"),I490&amp;" С"&amp;J490&amp;"А"&amp;IF(K490="да"," 30мА",""),"")</f>
      </c>
      <c r="V490" s="133">
        <f>IF(U490="","",B490&amp;"|"&amp;U490)</f>
      </c>
      <c r="W490" s="133">
        <f>IF(AND(U490&lt;&gt;"",OR($S$4="(все)",B490=$S$4),IF($S$4="(все)",COUNTIF($U$4:U490,U490),COUNTIFS($U$4:U490,U490,$B$4:B490,B490))=1),MAX($W$3:W489)+1,"")</f>
      </c>
      <c r="X490" s="133">
        <f>IFERROR(INDEX($U$4:$U$500,MATCH(ROW()-3,$W$4:$W$500,0)),"")</f>
      </c>
      <c r="Y490" s="133">
        <f>IF(AND(A490="Аппарат",C490&lt;&gt;"",OR($S$5="(все)",B490=$S$5)),MAX($Y$3:Y489)+1,"")</f>
      </c>
      <c r="Z490" s="133">
        <f>IFERROR(INDEX($C$4:$C$500,MATCH(ROW()-3,$Y$4:$Y$500,0)),"")</f>
      </c>
      <c r="AA490" s="133">
        <f>IF(AND(A490="Модуль",C490&lt;&gt;"",OR($S$6="(все)",B490=$S$6)),MAX($AA$3:AA489)+1,"")</f>
      </c>
      <c r="AB490" s="133">
        <f>IFERROR(INDEX($C$4:$C$500,MATCH(ROW()-3,$AA$4:$AA$500,0)),"")</f>
      </c>
      <c r="AC490" s="133">
        <f>IF(OR(B490="",COUNTIF($B$4:B490,B490)&gt;1),"",MAX($AC$3:AC489)+1)</f>
      </c>
      <c r="AD490" s="133">
        <f>IFERROR(INDEX($B$4:$B$500,MATCH(ROW()-3,$AC$4:$AC$500,0)),"")</f>
      </c>
      <c r="AE490" s="133">
        <f>IF(AND(A490&lt;&gt;"",N(P490)&gt;0),IFERROR(MATCH(A490,$R$12:$R$25,0),99)*1000+ROW(),"")</f>
      </c>
      <c r="AF490" s="133">
        <f>IF(AE490="","",COUNTIF($AE$4:$AE$500,"&lt;="&amp;AE490))</f>
      </c>
    </row>
    <row r="491">
      <c r="A491" s="265"/>
      <c r="B491" s="265"/>
      <c r="C491" s="265"/>
      <c r="D491" s="265"/>
      <c r="E491" s="265"/>
      <c r="F491" s="265"/>
      <c r="G491" s="265"/>
      <c r="H491" s="265"/>
      <c r="I491" s="265"/>
      <c r="J491" s="265"/>
      <c r="K491" s="265"/>
      <c r="L491" s="265"/>
      <c r="M491" s="265"/>
      <c r="N491" s="133">
        <f>IF(OR(A491="Автомат",A491="Дифавтомат"),IF(W491="","",COUNTIF(Однолинейка!$H$3:$H$1000,U491)),IF(A491="Аппарат",IF(C491="","",COUNTIF(Однолинейка!$I$3:$I$1000,C491)+COUNTIF(Однолинейка!$J$3:$J$1000,C491)+COUNTIF(Однолинейка!$K$3:$K$1000,C491)),IF(A491="Модуль",IF(C491="","",COUNTIFS(Однолинейка!$AW$3:$AW$1000,"?*",Однолинейка!$AI$3:$AI$1000,C491)),IF(A491="Клемма",IF(C491="","",IF(C491=$S$7,SUM(Однолинейка!$BW$3:$BW$1000),IF(C491=$S$8,SUM(Однолинейка!$BX$3:$BX$1000),""))),""))))</f>
      </c>
      <c r="O491" s="265"/>
      <c r="P491" s="133">
        <f>IF(COUNT(N491,O491)=0,"",SUM(N491,O491))</f>
      </c>
      <c r="U491" s="133">
        <f>IF(OR(A491="Автомат",A491="Дифавтомат"),I491&amp;" С"&amp;J491&amp;"А"&amp;IF(K491="да"," 30мА",""),"")</f>
      </c>
      <c r="V491" s="133">
        <f>IF(U491="","",B491&amp;"|"&amp;U491)</f>
      </c>
      <c r="W491" s="133">
        <f>IF(AND(U491&lt;&gt;"",OR($S$4="(все)",B491=$S$4),IF($S$4="(все)",COUNTIF($U$4:U491,U491),COUNTIFS($U$4:U491,U491,$B$4:B491,B491))=1),MAX($W$3:W490)+1,"")</f>
      </c>
      <c r="X491" s="133">
        <f>IFERROR(INDEX($U$4:$U$500,MATCH(ROW()-3,$W$4:$W$500,0)),"")</f>
      </c>
      <c r="Y491" s="133">
        <f>IF(AND(A491="Аппарат",C491&lt;&gt;"",OR($S$5="(все)",B491=$S$5)),MAX($Y$3:Y490)+1,"")</f>
      </c>
      <c r="Z491" s="133">
        <f>IFERROR(INDEX($C$4:$C$500,MATCH(ROW()-3,$Y$4:$Y$500,0)),"")</f>
      </c>
      <c r="AA491" s="133">
        <f>IF(AND(A491="Модуль",C491&lt;&gt;"",OR($S$6="(все)",B491=$S$6)),MAX($AA$3:AA490)+1,"")</f>
      </c>
      <c r="AB491" s="133">
        <f>IFERROR(INDEX($C$4:$C$500,MATCH(ROW()-3,$AA$4:$AA$500,0)),"")</f>
      </c>
      <c r="AC491" s="133">
        <f>IF(OR(B491="",COUNTIF($B$4:B491,B491)&gt;1),"",MAX($AC$3:AC490)+1)</f>
      </c>
      <c r="AD491" s="133">
        <f>IFERROR(INDEX($B$4:$B$500,MATCH(ROW()-3,$AC$4:$AC$500,0)),"")</f>
      </c>
      <c r="AE491" s="133">
        <f>IF(AND(A491&lt;&gt;"",N(P491)&gt;0),IFERROR(MATCH(A491,$R$12:$R$25,0),99)*1000+ROW(),"")</f>
      </c>
      <c r="AF491" s="133">
        <f>IF(AE491="","",COUNTIF($AE$4:$AE$500,"&lt;="&amp;AE491))</f>
      </c>
    </row>
    <row r="492">
      <c r="A492" s="265"/>
      <c r="B492" s="265"/>
      <c r="C492" s="265"/>
      <c r="D492" s="265"/>
      <c r="E492" s="265"/>
      <c r="F492" s="265"/>
      <c r="G492" s="265"/>
      <c r="H492" s="265"/>
      <c r="I492" s="265"/>
      <c r="J492" s="265"/>
      <c r="K492" s="265"/>
      <c r="L492" s="265"/>
      <c r="M492" s="265"/>
      <c r="N492" s="133">
        <f>IF(OR(A492="Автомат",A492="Дифавтомат"),IF(W492="","",COUNTIF(Однолинейка!$H$3:$H$1000,U492)),IF(A492="Аппарат",IF(C492="","",COUNTIF(Однолинейка!$I$3:$I$1000,C492)+COUNTIF(Однолинейка!$J$3:$J$1000,C492)+COUNTIF(Однолинейка!$K$3:$K$1000,C492)),IF(A492="Модуль",IF(C492="","",COUNTIFS(Однолинейка!$AW$3:$AW$1000,"?*",Однолинейка!$AI$3:$AI$1000,C492)),IF(A492="Клемма",IF(C492="","",IF(C492=$S$7,SUM(Однолинейка!$BW$3:$BW$1000),IF(C492=$S$8,SUM(Однолинейка!$BX$3:$BX$1000),""))),""))))</f>
      </c>
      <c r="O492" s="265"/>
      <c r="P492" s="133">
        <f>IF(COUNT(N492,O492)=0,"",SUM(N492,O492))</f>
      </c>
      <c r="U492" s="133">
        <f>IF(OR(A492="Автомат",A492="Дифавтомат"),I492&amp;" С"&amp;J492&amp;"А"&amp;IF(K492="да"," 30мА",""),"")</f>
      </c>
      <c r="V492" s="133">
        <f>IF(U492="","",B492&amp;"|"&amp;U492)</f>
      </c>
      <c r="W492" s="133">
        <f>IF(AND(U492&lt;&gt;"",OR($S$4="(все)",B492=$S$4),IF($S$4="(все)",COUNTIF($U$4:U492,U492),COUNTIFS($U$4:U492,U492,$B$4:B492,B492))=1),MAX($W$3:W491)+1,"")</f>
      </c>
      <c r="X492" s="133">
        <f>IFERROR(INDEX($U$4:$U$500,MATCH(ROW()-3,$W$4:$W$500,0)),"")</f>
      </c>
      <c r="Y492" s="133">
        <f>IF(AND(A492="Аппарат",C492&lt;&gt;"",OR($S$5="(все)",B492=$S$5)),MAX($Y$3:Y491)+1,"")</f>
      </c>
      <c r="Z492" s="133">
        <f>IFERROR(INDEX($C$4:$C$500,MATCH(ROW()-3,$Y$4:$Y$500,0)),"")</f>
      </c>
      <c r="AA492" s="133">
        <f>IF(AND(A492="Модуль",C492&lt;&gt;"",OR($S$6="(все)",B492=$S$6)),MAX($AA$3:AA491)+1,"")</f>
      </c>
      <c r="AB492" s="133">
        <f>IFERROR(INDEX($C$4:$C$500,MATCH(ROW()-3,$AA$4:$AA$500,0)),"")</f>
      </c>
      <c r="AC492" s="133">
        <f>IF(OR(B492="",COUNTIF($B$4:B492,B492)&gt;1),"",MAX($AC$3:AC491)+1)</f>
      </c>
      <c r="AD492" s="133">
        <f>IFERROR(INDEX($B$4:$B$500,MATCH(ROW()-3,$AC$4:$AC$500,0)),"")</f>
      </c>
      <c r="AE492" s="133">
        <f>IF(AND(A492&lt;&gt;"",N(P492)&gt;0),IFERROR(MATCH(A492,$R$12:$R$25,0),99)*1000+ROW(),"")</f>
      </c>
      <c r="AF492" s="133">
        <f>IF(AE492="","",COUNTIF($AE$4:$AE$500,"&lt;="&amp;AE492))</f>
      </c>
    </row>
    <row r="493">
      <c r="A493" s="265"/>
      <c r="B493" s="265"/>
      <c r="C493" s="265"/>
      <c r="D493" s="265"/>
      <c r="E493" s="265"/>
      <c r="F493" s="265"/>
      <c r="G493" s="265"/>
      <c r="H493" s="265"/>
      <c r="I493" s="265"/>
      <c r="J493" s="265"/>
      <c r="K493" s="265"/>
      <c r="L493" s="265"/>
      <c r="M493" s="265"/>
      <c r="N493" s="133">
        <f>IF(OR(A493="Автомат",A493="Дифавтомат"),IF(W493="","",COUNTIF(Однолинейка!$H$3:$H$1000,U493)),IF(A493="Аппарат",IF(C493="","",COUNTIF(Однолинейка!$I$3:$I$1000,C493)+COUNTIF(Однолинейка!$J$3:$J$1000,C493)+COUNTIF(Однолинейка!$K$3:$K$1000,C493)),IF(A493="Модуль",IF(C493="","",COUNTIFS(Однолинейка!$AW$3:$AW$1000,"?*",Однолинейка!$AI$3:$AI$1000,C493)),IF(A493="Клемма",IF(C493="","",IF(C493=$S$7,SUM(Однолинейка!$BW$3:$BW$1000),IF(C493=$S$8,SUM(Однолинейка!$BX$3:$BX$1000),""))),""))))</f>
      </c>
      <c r="O493" s="265"/>
      <c r="P493" s="133">
        <f>IF(COUNT(N493,O493)=0,"",SUM(N493,O493))</f>
      </c>
      <c r="U493" s="133">
        <f>IF(OR(A493="Автомат",A493="Дифавтомат"),I493&amp;" С"&amp;J493&amp;"А"&amp;IF(K493="да"," 30мА",""),"")</f>
      </c>
      <c r="V493" s="133">
        <f>IF(U493="","",B493&amp;"|"&amp;U493)</f>
      </c>
      <c r="W493" s="133">
        <f>IF(AND(U493&lt;&gt;"",OR($S$4="(все)",B493=$S$4),IF($S$4="(все)",COUNTIF($U$4:U493,U493),COUNTIFS($U$4:U493,U493,$B$4:B493,B493))=1),MAX($W$3:W492)+1,"")</f>
      </c>
      <c r="X493" s="133">
        <f>IFERROR(INDEX($U$4:$U$500,MATCH(ROW()-3,$W$4:$W$500,0)),"")</f>
      </c>
      <c r="Y493" s="133">
        <f>IF(AND(A493="Аппарат",C493&lt;&gt;"",OR($S$5="(все)",B493=$S$5)),MAX($Y$3:Y492)+1,"")</f>
      </c>
      <c r="Z493" s="133">
        <f>IFERROR(INDEX($C$4:$C$500,MATCH(ROW()-3,$Y$4:$Y$500,0)),"")</f>
      </c>
      <c r="AA493" s="133">
        <f>IF(AND(A493="Модуль",C493&lt;&gt;"",OR($S$6="(все)",B493=$S$6)),MAX($AA$3:AA492)+1,"")</f>
      </c>
      <c r="AB493" s="133">
        <f>IFERROR(INDEX($C$4:$C$500,MATCH(ROW()-3,$AA$4:$AA$500,0)),"")</f>
      </c>
      <c r="AC493" s="133">
        <f>IF(OR(B493="",COUNTIF($B$4:B493,B493)&gt;1),"",MAX($AC$3:AC492)+1)</f>
      </c>
      <c r="AD493" s="133">
        <f>IFERROR(INDEX($B$4:$B$500,MATCH(ROW()-3,$AC$4:$AC$500,0)),"")</f>
      </c>
      <c r="AE493" s="133">
        <f>IF(AND(A493&lt;&gt;"",N(P493)&gt;0),IFERROR(MATCH(A493,$R$12:$R$25,0),99)*1000+ROW(),"")</f>
      </c>
      <c r="AF493" s="133">
        <f>IF(AE493="","",COUNTIF($AE$4:$AE$500,"&lt;="&amp;AE493))</f>
      </c>
    </row>
    <row r="494">
      <c r="A494" s="265"/>
      <c r="B494" s="265"/>
      <c r="C494" s="265"/>
      <c r="D494" s="265"/>
      <c r="E494" s="265"/>
      <c r="F494" s="265"/>
      <c r="G494" s="265"/>
      <c r="H494" s="265"/>
      <c r="I494" s="265"/>
      <c r="J494" s="265"/>
      <c r="K494" s="265"/>
      <c r="L494" s="265"/>
      <c r="M494" s="265"/>
      <c r="N494" s="133">
        <f>IF(OR(A494="Автомат",A494="Дифавтомат"),IF(W494="","",COUNTIF(Однолинейка!$H$3:$H$1000,U494)),IF(A494="Аппарат",IF(C494="","",COUNTIF(Однолинейка!$I$3:$I$1000,C494)+COUNTIF(Однолинейка!$J$3:$J$1000,C494)+COUNTIF(Однолинейка!$K$3:$K$1000,C494)),IF(A494="Модуль",IF(C494="","",COUNTIFS(Однолинейка!$AW$3:$AW$1000,"?*",Однолинейка!$AI$3:$AI$1000,C494)),IF(A494="Клемма",IF(C494="","",IF(C494=$S$7,SUM(Однолинейка!$BW$3:$BW$1000),IF(C494=$S$8,SUM(Однолинейка!$BX$3:$BX$1000),""))),""))))</f>
      </c>
      <c r="O494" s="265"/>
      <c r="P494" s="133">
        <f>IF(COUNT(N494,O494)=0,"",SUM(N494,O494))</f>
      </c>
      <c r="U494" s="133">
        <f>IF(OR(A494="Автомат",A494="Дифавтомат"),I494&amp;" С"&amp;J494&amp;"А"&amp;IF(K494="да"," 30мА",""),"")</f>
      </c>
      <c r="V494" s="133">
        <f>IF(U494="","",B494&amp;"|"&amp;U494)</f>
      </c>
      <c r="W494" s="133">
        <f>IF(AND(U494&lt;&gt;"",OR($S$4="(все)",B494=$S$4),IF($S$4="(все)",COUNTIF($U$4:U494,U494),COUNTIFS($U$4:U494,U494,$B$4:B494,B494))=1),MAX($W$3:W493)+1,"")</f>
      </c>
      <c r="X494" s="133">
        <f>IFERROR(INDEX($U$4:$U$500,MATCH(ROW()-3,$W$4:$W$500,0)),"")</f>
      </c>
      <c r="Y494" s="133">
        <f>IF(AND(A494="Аппарат",C494&lt;&gt;"",OR($S$5="(все)",B494=$S$5)),MAX($Y$3:Y493)+1,"")</f>
      </c>
      <c r="Z494" s="133">
        <f>IFERROR(INDEX($C$4:$C$500,MATCH(ROW()-3,$Y$4:$Y$500,0)),"")</f>
      </c>
      <c r="AA494" s="133">
        <f>IF(AND(A494="Модуль",C494&lt;&gt;"",OR($S$6="(все)",B494=$S$6)),MAX($AA$3:AA493)+1,"")</f>
      </c>
      <c r="AB494" s="133">
        <f>IFERROR(INDEX($C$4:$C$500,MATCH(ROW()-3,$AA$4:$AA$500,0)),"")</f>
      </c>
      <c r="AC494" s="133">
        <f>IF(OR(B494="",COUNTIF($B$4:B494,B494)&gt;1),"",MAX($AC$3:AC493)+1)</f>
      </c>
      <c r="AD494" s="133">
        <f>IFERROR(INDEX($B$4:$B$500,MATCH(ROW()-3,$AC$4:$AC$500,0)),"")</f>
      </c>
      <c r="AE494" s="133">
        <f>IF(AND(A494&lt;&gt;"",N(P494)&gt;0),IFERROR(MATCH(A494,$R$12:$R$25,0),99)*1000+ROW(),"")</f>
      </c>
      <c r="AF494" s="133">
        <f>IF(AE494="","",COUNTIF($AE$4:$AE$500,"&lt;="&amp;AE494))</f>
      </c>
    </row>
    <row r="495">
      <c r="A495" s="265"/>
      <c r="B495" s="265"/>
      <c r="C495" s="265"/>
      <c r="D495" s="265"/>
      <c r="E495" s="265"/>
      <c r="F495" s="265"/>
      <c r="G495" s="265"/>
      <c r="H495" s="265"/>
      <c r="I495" s="265"/>
      <c r="J495" s="265"/>
      <c r="K495" s="265"/>
      <c r="L495" s="265"/>
      <c r="M495" s="265"/>
      <c r="N495" s="133">
        <f>IF(OR(A495="Автомат",A495="Дифавтомат"),IF(W495="","",COUNTIF(Однолинейка!$H$3:$H$1000,U495)),IF(A495="Аппарат",IF(C495="","",COUNTIF(Однолинейка!$I$3:$I$1000,C495)+COUNTIF(Однолинейка!$J$3:$J$1000,C495)+COUNTIF(Однолинейка!$K$3:$K$1000,C495)),IF(A495="Модуль",IF(C495="","",COUNTIFS(Однолинейка!$AW$3:$AW$1000,"?*",Однолинейка!$AI$3:$AI$1000,C495)),IF(A495="Клемма",IF(C495="","",IF(C495=$S$7,SUM(Однолинейка!$BW$3:$BW$1000),IF(C495=$S$8,SUM(Однолинейка!$BX$3:$BX$1000),""))),""))))</f>
      </c>
      <c r="O495" s="265"/>
      <c r="P495" s="133">
        <f>IF(COUNT(N495,O495)=0,"",SUM(N495,O495))</f>
      </c>
      <c r="U495" s="133">
        <f>IF(OR(A495="Автомат",A495="Дифавтомат"),I495&amp;" С"&amp;J495&amp;"А"&amp;IF(K495="да"," 30мА",""),"")</f>
      </c>
      <c r="V495" s="133">
        <f>IF(U495="","",B495&amp;"|"&amp;U495)</f>
      </c>
      <c r="W495" s="133">
        <f>IF(AND(U495&lt;&gt;"",OR($S$4="(все)",B495=$S$4),IF($S$4="(все)",COUNTIF($U$4:U495,U495),COUNTIFS($U$4:U495,U495,$B$4:B495,B495))=1),MAX($W$3:W494)+1,"")</f>
      </c>
      <c r="X495" s="133">
        <f>IFERROR(INDEX($U$4:$U$500,MATCH(ROW()-3,$W$4:$W$500,0)),"")</f>
      </c>
      <c r="Y495" s="133">
        <f>IF(AND(A495="Аппарат",C495&lt;&gt;"",OR($S$5="(все)",B495=$S$5)),MAX($Y$3:Y494)+1,"")</f>
      </c>
      <c r="Z495" s="133">
        <f>IFERROR(INDEX($C$4:$C$500,MATCH(ROW()-3,$Y$4:$Y$500,0)),"")</f>
      </c>
      <c r="AA495" s="133">
        <f>IF(AND(A495="Модуль",C495&lt;&gt;"",OR($S$6="(все)",B495=$S$6)),MAX($AA$3:AA494)+1,"")</f>
      </c>
      <c r="AB495" s="133">
        <f>IFERROR(INDEX($C$4:$C$500,MATCH(ROW()-3,$AA$4:$AA$500,0)),"")</f>
      </c>
      <c r="AC495" s="133">
        <f>IF(OR(B495="",COUNTIF($B$4:B495,B495)&gt;1),"",MAX($AC$3:AC494)+1)</f>
      </c>
      <c r="AD495" s="133">
        <f>IFERROR(INDEX($B$4:$B$500,MATCH(ROW()-3,$AC$4:$AC$500,0)),"")</f>
      </c>
      <c r="AE495" s="133">
        <f>IF(AND(A495&lt;&gt;"",N(P495)&gt;0),IFERROR(MATCH(A495,$R$12:$R$25,0),99)*1000+ROW(),"")</f>
      </c>
      <c r="AF495" s="133">
        <f>IF(AE495="","",COUNTIF($AE$4:$AE$500,"&lt;="&amp;AE495))</f>
      </c>
    </row>
    <row r="496">
      <c r="A496" s="265"/>
      <c r="B496" s="265"/>
      <c r="C496" s="265"/>
      <c r="D496" s="265"/>
      <c r="E496" s="265"/>
      <c r="F496" s="265"/>
      <c r="G496" s="265"/>
      <c r="H496" s="265"/>
      <c r="I496" s="265"/>
      <c r="J496" s="265"/>
      <c r="K496" s="265"/>
      <c r="L496" s="265"/>
      <c r="M496" s="265"/>
      <c r="N496" s="133">
        <f>IF(OR(A496="Автомат",A496="Дифавтомат"),IF(W496="","",COUNTIF(Однолинейка!$H$3:$H$1000,U496)),IF(A496="Аппарат",IF(C496="","",COUNTIF(Однолинейка!$I$3:$I$1000,C496)+COUNTIF(Однолинейка!$J$3:$J$1000,C496)+COUNTIF(Однолинейка!$K$3:$K$1000,C496)),IF(A496="Модуль",IF(C496="","",COUNTIFS(Однолинейка!$AW$3:$AW$1000,"?*",Однолинейка!$AI$3:$AI$1000,C496)),IF(A496="Клемма",IF(C496="","",IF(C496=$S$7,SUM(Однолинейка!$BW$3:$BW$1000),IF(C496=$S$8,SUM(Однолинейка!$BX$3:$BX$1000),""))),""))))</f>
      </c>
      <c r="O496" s="265"/>
      <c r="P496" s="133">
        <f>IF(COUNT(N496,O496)=0,"",SUM(N496,O496))</f>
      </c>
      <c r="U496" s="133">
        <f>IF(OR(A496="Автомат",A496="Дифавтомат"),I496&amp;" С"&amp;J496&amp;"А"&amp;IF(K496="да"," 30мА",""),"")</f>
      </c>
      <c r="V496" s="133">
        <f>IF(U496="","",B496&amp;"|"&amp;U496)</f>
      </c>
      <c r="W496" s="133">
        <f>IF(AND(U496&lt;&gt;"",OR($S$4="(все)",B496=$S$4),IF($S$4="(все)",COUNTIF($U$4:U496,U496),COUNTIFS($U$4:U496,U496,$B$4:B496,B496))=1),MAX($W$3:W495)+1,"")</f>
      </c>
      <c r="X496" s="133">
        <f>IFERROR(INDEX($U$4:$U$500,MATCH(ROW()-3,$W$4:$W$500,0)),"")</f>
      </c>
      <c r="Y496" s="133">
        <f>IF(AND(A496="Аппарат",C496&lt;&gt;"",OR($S$5="(все)",B496=$S$5)),MAX($Y$3:Y495)+1,"")</f>
      </c>
      <c r="Z496" s="133">
        <f>IFERROR(INDEX($C$4:$C$500,MATCH(ROW()-3,$Y$4:$Y$500,0)),"")</f>
      </c>
      <c r="AA496" s="133">
        <f>IF(AND(A496="Модуль",C496&lt;&gt;"",OR($S$6="(все)",B496=$S$6)),MAX($AA$3:AA495)+1,"")</f>
      </c>
      <c r="AB496" s="133">
        <f>IFERROR(INDEX($C$4:$C$500,MATCH(ROW()-3,$AA$4:$AA$500,0)),"")</f>
      </c>
      <c r="AC496" s="133">
        <f>IF(OR(B496="",COUNTIF($B$4:B496,B496)&gt;1),"",MAX($AC$3:AC495)+1)</f>
      </c>
      <c r="AD496" s="133">
        <f>IFERROR(INDEX($B$4:$B$500,MATCH(ROW()-3,$AC$4:$AC$500,0)),"")</f>
      </c>
      <c r="AE496" s="133">
        <f>IF(AND(A496&lt;&gt;"",N(P496)&gt;0),IFERROR(MATCH(A496,$R$12:$R$25,0),99)*1000+ROW(),"")</f>
      </c>
      <c r="AF496" s="133">
        <f>IF(AE496="","",COUNTIF($AE$4:$AE$500,"&lt;="&amp;AE496))</f>
      </c>
    </row>
    <row r="497">
      <c r="A497" s="265"/>
      <c r="B497" s="265"/>
      <c r="C497" s="265"/>
      <c r="D497" s="265"/>
      <c r="E497" s="265"/>
      <c r="F497" s="265"/>
      <c r="G497" s="265"/>
      <c r="H497" s="265"/>
      <c r="I497" s="265"/>
      <c r="J497" s="265"/>
      <c r="K497" s="265"/>
      <c r="L497" s="265"/>
      <c r="M497" s="265"/>
      <c r="N497" s="133">
        <f>IF(OR(A497="Автомат",A497="Дифавтомат"),IF(W497="","",COUNTIF(Однолинейка!$H$3:$H$1000,U497)),IF(A497="Аппарат",IF(C497="","",COUNTIF(Однолинейка!$I$3:$I$1000,C497)+COUNTIF(Однолинейка!$J$3:$J$1000,C497)+COUNTIF(Однолинейка!$K$3:$K$1000,C497)),IF(A497="Модуль",IF(C497="","",COUNTIFS(Однолинейка!$AW$3:$AW$1000,"?*",Однолинейка!$AI$3:$AI$1000,C497)),IF(A497="Клемма",IF(C497="","",IF(C497=$S$7,SUM(Однолинейка!$BW$3:$BW$1000),IF(C497=$S$8,SUM(Однолинейка!$BX$3:$BX$1000),""))),""))))</f>
      </c>
      <c r="O497" s="265"/>
      <c r="P497" s="133">
        <f>IF(COUNT(N497,O497)=0,"",SUM(N497,O497))</f>
      </c>
      <c r="U497" s="133">
        <f>IF(OR(A497="Автомат",A497="Дифавтомат"),I497&amp;" С"&amp;J497&amp;"А"&amp;IF(K497="да"," 30мА",""),"")</f>
      </c>
      <c r="V497" s="133">
        <f>IF(U497="","",B497&amp;"|"&amp;U497)</f>
      </c>
      <c r="W497" s="133">
        <f>IF(AND(U497&lt;&gt;"",OR($S$4="(все)",B497=$S$4),IF($S$4="(все)",COUNTIF($U$4:U497,U497),COUNTIFS($U$4:U497,U497,$B$4:B497,B497))=1),MAX($W$3:W496)+1,"")</f>
      </c>
      <c r="X497" s="133">
        <f>IFERROR(INDEX($U$4:$U$500,MATCH(ROW()-3,$W$4:$W$500,0)),"")</f>
      </c>
      <c r="Y497" s="133">
        <f>IF(AND(A497="Аппарат",C497&lt;&gt;"",OR($S$5="(все)",B497=$S$5)),MAX($Y$3:Y496)+1,"")</f>
      </c>
      <c r="Z497" s="133">
        <f>IFERROR(INDEX($C$4:$C$500,MATCH(ROW()-3,$Y$4:$Y$500,0)),"")</f>
      </c>
      <c r="AA497" s="133">
        <f>IF(AND(A497="Модуль",C497&lt;&gt;"",OR($S$6="(все)",B497=$S$6)),MAX($AA$3:AA496)+1,"")</f>
      </c>
      <c r="AB497" s="133">
        <f>IFERROR(INDEX($C$4:$C$500,MATCH(ROW()-3,$AA$4:$AA$500,0)),"")</f>
      </c>
      <c r="AC497" s="133">
        <f>IF(OR(B497="",COUNTIF($B$4:B497,B497)&gt;1),"",MAX($AC$3:AC496)+1)</f>
      </c>
      <c r="AD497" s="133">
        <f>IFERROR(INDEX($B$4:$B$500,MATCH(ROW()-3,$AC$4:$AC$500,0)),"")</f>
      </c>
      <c r="AE497" s="133">
        <f>IF(AND(A497&lt;&gt;"",N(P497)&gt;0),IFERROR(MATCH(A497,$R$12:$R$25,0),99)*1000+ROW(),"")</f>
      </c>
      <c r="AF497" s="133">
        <f>IF(AE497="","",COUNTIF($AE$4:$AE$500,"&lt;="&amp;AE497))</f>
      </c>
    </row>
    <row r="498">
      <c r="A498" s="265"/>
      <c r="B498" s="265"/>
      <c r="C498" s="265"/>
      <c r="D498" s="265"/>
      <c r="E498" s="265"/>
      <c r="F498" s="265"/>
      <c r="G498" s="265"/>
      <c r="H498" s="265"/>
      <c r="I498" s="265"/>
      <c r="J498" s="265"/>
      <c r="K498" s="265"/>
      <c r="L498" s="265"/>
      <c r="M498" s="265"/>
      <c r="N498" s="133">
        <f>IF(OR(A498="Автомат",A498="Дифавтомат"),IF(W498="","",COUNTIF(Однолинейка!$H$3:$H$1000,U498)),IF(A498="Аппарат",IF(C498="","",COUNTIF(Однолинейка!$I$3:$I$1000,C498)+COUNTIF(Однолинейка!$J$3:$J$1000,C498)+COUNTIF(Однолинейка!$K$3:$K$1000,C498)),IF(A498="Модуль",IF(C498="","",COUNTIFS(Однолинейка!$AW$3:$AW$1000,"?*",Однолинейка!$AI$3:$AI$1000,C498)),IF(A498="Клемма",IF(C498="","",IF(C498=$S$7,SUM(Однолинейка!$BW$3:$BW$1000),IF(C498=$S$8,SUM(Однолинейка!$BX$3:$BX$1000),""))),""))))</f>
      </c>
      <c r="O498" s="265"/>
      <c r="P498" s="133">
        <f>IF(COUNT(N498,O498)=0,"",SUM(N498,O498))</f>
      </c>
      <c r="U498" s="133">
        <f>IF(OR(A498="Автомат",A498="Дифавтомат"),I498&amp;" С"&amp;J498&amp;"А"&amp;IF(K498="да"," 30мА",""),"")</f>
      </c>
      <c r="V498" s="133">
        <f>IF(U498="","",B498&amp;"|"&amp;U498)</f>
      </c>
      <c r="W498" s="133">
        <f>IF(AND(U498&lt;&gt;"",OR($S$4="(все)",B498=$S$4),IF($S$4="(все)",COUNTIF($U$4:U498,U498),COUNTIFS($U$4:U498,U498,$B$4:B498,B498))=1),MAX($W$3:W497)+1,"")</f>
      </c>
      <c r="X498" s="133">
        <f>IFERROR(INDEX($U$4:$U$500,MATCH(ROW()-3,$W$4:$W$500,0)),"")</f>
      </c>
      <c r="Y498" s="133">
        <f>IF(AND(A498="Аппарат",C498&lt;&gt;"",OR($S$5="(все)",B498=$S$5)),MAX($Y$3:Y497)+1,"")</f>
      </c>
      <c r="Z498" s="133">
        <f>IFERROR(INDEX($C$4:$C$500,MATCH(ROW()-3,$Y$4:$Y$500,0)),"")</f>
      </c>
      <c r="AA498" s="133">
        <f>IF(AND(A498="Модуль",C498&lt;&gt;"",OR($S$6="(все)",B498=$S$6)),MAX($AA$3:AA497)+1,"")</f>
      </c>
      <c r="AB498" s="133">
        <f>IFERROR(INDEX($C$4:$C$500,MATCH(ROW()-3,$AA$4:$AA$500,0)),"")</f>
      </c>
      <c r="AC498" s="133">
        <f>IF(OR(B498="",COUNTIF($B$4:B498,B498)&gt;1),"",MAX($AC$3:AC497)+1)</f>
      </c>
      <c r="AD498" s="133">
        <f>IFERROR(INDEX($B$4:$B$500,MATCH(ROW()-3,$AC$4:$AC$500,0)),"")</f>
      </c>
      <c r="AE498" s="133">
        <f>IF(AND(A498&lt;&gt;"",N(P498)&gt;0),IFERROR(MATCH(A498,$R$12:$R$25,0),99)*1000+ROW(),"")</f>
      </c>
      <c r="AF498" s="133">
        <f>IF(AE498="","",COUNTIF($AE$4:$AE$500,"&lt;="&amp;AE498))</f>
      </c>
    </row>
    <row r="499">
      <c r="A499" s="265"/>
      <c r="B499" s="265"/>
      <c r="C499" s="265"/>
      <c r="D499" s="265"/>
      <c r="E499" s="265"/>
      <c r="F499" s="265"/>
      <c r="G499" s="265"/>
      <c r="H499" s="265"/>
      <c r="I499" s="265"/>
      <c r="J499" s="265"/>
      <c r="K499" s="265"/>
      <c r="L499" s="265"/>
      <c r="M499" s="265"/>
      <c r="N499" s="133">
        <f>IF(OR(A499="Автомат",A499="Дифавтомат"),IF(W499="","",COUNTIF(Однолинейка!$H$3:$H$1000,U499)),IF(A499="Аппарат",IF(C499="","",COUNTIF(Однолинейка!$I$3:$I$1000,C499)+COUNTIF(Однолинейка!$J$3:$J$1000,C499)+COUNTIF(Однолинейка!$K$3:$K$1000,C499)),IF(A499="Модуль",IF(C499="","",COUNTIFS(Однолинейка!$AW$3:$AW$1000,"?*",Однолинейка!$AI$3:$AI$1000,C499)),IF(A499="Клемма",IF(C499="","",IF(C499=$S$7,SUM(Однолинейка!$BW$3:$BW$1000),IF(C499=$S$8,SUM(Однолинейка!$BX$3:$BX$1000),""))),""))))</f>
      </c>
      <c r="O499" s="265"/>
      <c r="P499" s="133">
        <f>IF(COUNT(N499,O499)=0,"",SUM(N499,O499))</f>
      </c>
      <c r="U499" s="133">
        <f>IF(OR(A499="Автомат",A499="Дифавтомат"),I499&amp;" С"&amp;J499&amp;"А"&amp;IF(K499="да"," 30мА",""),"")</f>
      </c>
      <c r="V499" s="133">
        <f>IF(U499="","",B499&amp;"|"&amp;U499)</f>
      </c>
      <c r="W499" s="133">
        <f>IF(AND(U499&lt;&gt;"",OR($S$4="(все)",B499=$S$4),IF($S$4="(все)",COUNTIF($U$4:U499,U499),COUNTIFS($U$4:U499,U499,$B$4:B499,B499))=1),MAX($W$3:W498)+1,"")</f>
      </c>
      <c r="X499" s="133">
        <f>IFERROR(INDEX($U$4:$U$500,MATCH(ROW()-3,$W$4:$W$500,0)),"")</f>
      </c>
      <c r="Y499" s="133">
        <f>IF(AND(A499="Аппарат",C499&lt;&gt;"",OR($S$5="(все)",B499=$S$5)),MAX($Y$3:Y498)+1,"")</f>
      </c>
      <c r="Z499" s="133">
        <f>IFERROR(INDEX($C$4:$C$500,MATCH(ROW()-3,$Y$4:$Y$500,0)),"")</f>
      </c>
      <c r="AA499" s="133">
        <f>IF(AND(A499="Модуль",C499&lt;&gt;"",OR($S$6="(все)",B499=$S$6)),MAX($AA$3:AA498)+1,"")</f>
      </c>
      <c r="AB499" s="133">
        <f>IFERROR(INDEX($C$4:$C$500,MATCH(ROW()-3,$AA$4:$AA$500,0)),"")</f>
      </c>
      <c r="AC499" s="133">
        <f>IF(OR(B499="",COUNTIF($B$4:B499,B499)&gt;1),"",MAX($AC$3:AC498)+1)</f>
      </c>
      <c r="AD499" s="133">
        <f>IFERROR(INDEX($B$4:$B$500,MATCH(ROW()-3,$AC$4:$AC$500,0)),"")</f>
      </c>
      <c r="AE499" s="133">
        <f>IF(AND(A499&lt;&gt;"",N(P499)&gt;0),IFERROR(MATCH(A499,$R$12:$R$25,0),99)*1000+ROW(),"")</f>
      </c>
      <c r="AF499" s="133">
        <f>IF(AE499="","",COUNTIF($AE$4:$AE$500,"&lt;="&amp;AE499))</f>
      </c>
    </row>
    <row r="500">
      <c r="A500" s="265"/>
      <c r="B500" s="265"/>
      <c r="C500" s="265"/>
      <c r="D500" s="265"/>
      <c r="E500" s="265"/>
      <c r="F500" s="265"/>
      <c r="G500" s="265"/>
      <c r="H500" s="265"/>
      <c r="I500" s="265"/>
      <c r="J500" s="265"/>
      <c r="K500" s="265"/>
      <c r="L500" s="265"/>
      <c r="M500" s="265"/>
      <c r="N500" s="133">
        <f>IF(OR(A500="Автомат",A500="Дифавтомат"),IF(W500="","",COUNTIF(Однолинейка!$H$3:$H$1000,U500)),IF(A500="Аппарат",IF(C500="","",COUNTIF(Однолинейка!$I$3:$I$1000,C500)+COUNTIF(Однолинейка!$J$3:$J$1000,C500)+COUNTIF(Однолинейка!$K$3:$K$1000,C500)),IF(A500="Модуль",IF(C500="","",COUNTIFS(Однолинейка!$AW$3:$AW$1000,"?*",Однолинейка!$AI$3:$AI$1000,C500)),IF(A500="Клемма",IF(C500="","",IF(C500=$S$7,SUM(Однолинейка!$BW$3:$BW$1000),IF(C500=$S$8,SUM(Однолинейка!$BX$3:$BX$1000),""))),""))))</f>
      </c>
      <c r="O500" s="265"/>
      <c r="P500" s="133">
        <f>IF(COUNT(N500,O500)=0,"",SUM(N500,O500))</f>
      </c>
      <c r="U500" s="133">
        <f>IF(OR(A500="Автомат",A500="Дифавтомат"),I500&amp;" С"&amp;J500&amp;"А"&amp;IF(K500="да"," 30мА",""),"")</f>
      </c>
      <c r="V500" s="133">
        <f>IF(U500="","",B500&amp;"|"&amp;U500)</f>
      </c>
      <c r="W500" s="133">
        <f>IF(AND(U500&lt;&gt;"",OR($S$4="(все)",B500=$S$4),IF($S$4="(все)",COUNTIF($U$4:U500,U500),COUNTIFS($U$4:U500,U500,$B$4:B500,B500))=1),MAX($W$3:W499)+1,"")</f>
      </c>
      <c r="X500" s="133">
        <f>IFERROR(INDEX($U$4:$U$500,MATCH(ROW()-3,$W$4:$W$500,0)),"")</f>
      </c>
      <c r="Y500" s="133">
        <f>IF(AND(A500="Аппарат",C500&lt;&gt;"",OR($S$5="(все)",B500=$S$5)),MAX($Y$3:Y499)+1,"")</f>
      </c>
      <c r="Z500" s="133">
        <f>IFERROR(INDEX($C$4:$C$500,MATCH(ROW()-3,$Y$4:$Y$500,0)),"")</f>
      </c>
      <c r="AA500" s="133">
        <f>IF(AND(A500="Модуль",C500&lt;&gt;"",OR($S$6="(все)",B500=$S$6)),MAX($AA$3:AA499)+1,"")</f>
      </c>
      <c r="AB500" s="133">
        <f>IFERROR(INDEX($C$4:$C$500,MATCH(ROW()-3,$AA$4:$AA$500,0)),"")</f>
      </c>
      <c r="AC500" s="133">
        <f>IF(OR(B500="",COUNTIF($B$4:B500,B500)&gt;1),"",MAX($AC$3:AC499)+1)</f>
      </c>
      <c r="AD500" s="133">
        <f>IFERROR(INDEX($B$4:$B$500,MATCH(ROW()-3,$AC$4:$AC$500,0)),"")</f>
      </c>
      <c r="AE500" s="133">
        <f>IF(AND(A500&lt;&gt;"",N(P500)&gt;0),IFERROR(MATCH(A500,$R$12:$R$25,0),99)*1000+ROW(),"")</f>
      </c>
      <c r="AF500" s="133">
        <f>IF(AE500="","",COUNTIF($AE$4:$AE$500,"&lt;="&amp;AE500))</f>
      </c>
    </row>
  </sheetData>
  <autoFilter ref="A3:P500"/>
  <conditionalFormatting sqref="R28:R37">
    <cfRule type="expression" dxfId="9796" priority="1">
      <formula>$R28&lt;&gt;""</formula>
    </cfRule>
  </conditionalFormatting>
  <conditionalFormatting sqref="P4:P500">
    <cfRule type="expression" dxfId="9797" priority="2">
      <formula>N($P4)&gt;0</formula>
    </cfRule>
  </conditionalFormatting>
  <dataValidations count="4">
    <dataValidation type="list" allowBlank="1" showErrorMessage="0" sqref="A4:A500">
      <formula1>$R$12:$R$25</formula1>
    </dataValidation>
    <dataValidation type="list" allowBlank="1" showErrorMessage="0" sqref="K4:K500">
      <formula1>"да,нет"</formula1>
    </dataValidation>
    <dataValidation type="list" allowBlank="1" showErrorMessage="0" sqref="I4:I500">
      <formula1>"1P,2P,3P,4P"</formula1>
    </dataValidation>
    <dataValidation type="list" allowBlank="1" showErrorMessage="0" sqref="S4:S6">
      <formula1>Список_произв</formula1>
    </dataValidation>
  </dataValidations>
  <pageMargins left="0.4" right="0.4" top="0.5" bottom="0.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ED7D31"/>
  </sheetPr>
  <sheetViews>
    <sheetView workbookViewId="0">
      <pane ySplit="2" topLeftCell="A3" activePane="bottomLeft" state="frozen"/>
    </sheetView>
  </sheetViews>
  <sheetFormatPr defaultRowHeight="15"/>
  <cols>
    <col min="1" max="1" width="6" customWidth="1"/>
    <col min="2" max="2" width="8" customWidth="1"/>
    <col min="3" max="3" width="22" customWidth="1"/>
    <col min="4" max="4" width="18" customWidth="1"/>
    <col min="5" max="5" width="44" customWidth="1"/>
    <col min="6" max="6" width="34" customWidth="1"/>
  </cols>
  <sheetData>
    <row r="1">
      <c r="A1" s="131" t="inlineStr">
        <is>
          <t xml:space="preserve">БИРКИ ДЛЯ ПОДКЛЮЧЕНИЯ (считаются сами из листа «Однолинейка»). Печатайте столбцы C и D.</t>
        </is>
      </c>
    </row>
    <row r="2">
      <c r="A2" s="130" t="inlineStr">
        <is>
          <t xml:space="preserve">№</t>
        </is>
      </c>
      <c r="B2" s="130" t="inlineStr">
        <is>
          <t xml:space="preserve">Щит</t>
        </is>
      </c>
      <c r="C2" s="130" t="inlineStr">
        <is>
          <t xml:space="preserve">Бирка автомат/клемма</t>
        </is>
      </c>
      <c r="D2" s="130" t="inlineStr">
        <is>
          <t xml:space="preserve">Бирка кабеля</t>
        </is>
      </c>
      <c r="E2" s="130" t="inlineStr">
        <is>
          <t xml:space="preserve">Наименование</t>
        </is>
      </c>
      <c r="F2" s="130" t="inlineStr">
        <is>
          <t xml:space="preserve">Кабель</t>
        </is>
      </c>
    </row>
    <row r="3">
      <c r="A3" s="133">
        <f>IF(ISNUMBER(MATCH(1,Однолинейка!$BV$1:$BV$1000,0)),1,"")</f>
      </c>
      <c r="B3" s="133">
        <f>IFERROR(INDEX(Однолинейка!$A$1:$A$1000,MATCH(1,Однолинейка!$BV$1:$BV$1000,0)),"")</f>
      </c>
      <c r="C3" s="133">
        <f>IFERROR(INDEX(Однолинейка!$G$1:$G$1000,MATCH(1,Однолинейка!$BV$1:$BV$1000,0))&amp;IF(INDEX(Однолинейка!$P$1:$P$1000,MATCH(1,Однолинейка!$BV$1:$BV$1000,0))="","","/"&amp;INDEX(Однолинейка!$P$1:$P$1000,MATCH(1,Однолинейка!$BV$1:$BV$1000,0))),"")</f>
      </c>
      <c r="D3" s="133">
        <f>IFERROR(INDEX(Однолинейка!$R$1:$R$1000,MATCH(1,Однолинейка!$BV$1:$BV$1000,0)),"")</f>
      </c>
      <c r="E3" s="133">
        <f>IFERROR(INDEX(Однолинейка!$S$1:$S$1000,MATCH(1,Однолинейка!$BV$1:$BV$1000,0)),"")</f>
      </c>
      <c r="F3" s="133">
        <f>IFERROR(INDEX(Однолинейка!$Q$1:$Q$1000,MATCH(1,Однолинейка!$BV$1:$BV$1000,0)),"")</f>
      </c>
    </row>
    <row r="4">
      <c r="A4" s="133">
        <f>IF(ISNUMBER(MATCH(2,Однолинейка!$BV$1:$BV$1000,0)),2,"")</f>
      </c>
      <c r="B4" s="133">
        <f>IFERROR(INDEX(Однолинейка!$A$1:$A$1000,MATCH(2,Однолинейка!$BV$1:$BV$1000,0)),"")</f>
      </c>
      <c r="C4" s="133">
        <f>IFERROR(INDEX(Однолинейка!$G$1:$G$1000,MATCH(2,Однолинейка!$BV$1:$BV$1000,0))&amp;IF(INDEX(Однолинейка!$P$1:$P$1000,MATCH(2,Однолинейка!$BV$1:$BV$1000,0))="","","/"&amp;INDEX(Однолинейка!$P$1:$P$1000,MATCH(2,Однолинейка!$BV$1:$BV$1000,0))),"")</f>
      </c>
      <c r="D4" s="133">
        <f>IFERROR(INDEX(Однолинейка!$R$1:$R$1000,MATCH(2,Однолинейка!$BV$1:$BV$1000,0)),"")</f>
      </c>
      <c r="E4" s="133">
        <f>IFERROR(INDEX(Однолинейка!$S$1:$S$1000,MATCH(2,Однолинейка!$BV$1:$BV$1000,0)),"")</f>
      </c>
      <c r="F4" s="133">
        <f>IFERROR(INDEX(Однолинейка!$Q$1:$Q$1000,MATCH(2,Однолинейка!$BV$1:$BV$1000,0)),"")</f>
      </c>
    </row>
    <row r="5">
      <c r="A5" s="133">
        <f>IF(ISNUMBER(MATCH(3,Однолинейка!$BV$1:$BV$1000,0)),3,"")</f>
      </c>
      <c r="B5" s="133">
        <f>IFERROR(INDEX(Однолинейка!$A$1:$A$1000,MATCH(3,Однолинейка!$BV$1:$BV$1000,0)),"")</f>
      </c>
      <c r="C5" s="133">
        <f>IFERROR(INDEX(Однолинейка!$G$1:$G$1000,MATCH(3,Однолинейка!$BV$1:$BV$1000,0))&amp;IF(INDEX(Однолинейка!$P$1:$P$1000,MATCH(3,Однолинейка!$BV$1:$BV$1000,0))="","","/"&amp;INDEX(Однолинейка!$P$1:$P$1000,MATCH(3,Однолинейка!$BV$1:$BV$1000,0))),"")</f>
      </c>
      <c r="D5" s="133">
        <f>IFERROR(INDEX(Однолинейка!$R$1:$R$1000,MATCH(3,Однолинейка!$BV$1:$BV$1000,0)),"")</f>
      </c>
      <c r="E5" s="133">
        <f>IFERROR(INDEX(Однолинейка!$S$1:$S$1000,MATCH(3,Однолинейка!$BV$1:$BV$1000,0)),"")</f>
      </c>
      <c r="F5" s="133">
        <f>IFERROR(INDEX(Однолинейка!$Q$1:$Q$1000,MATCH(3,Однолинейка!$BV$1:$BV$1000,0)),"")</f>
      </c>
    </row>
    <row r="6">
      <c r="A6" s="133">
        <f>IF(ISNUMBER(MATCH(4,Однолинейка!$BV$1:$BV$1000,0)),4,"")</f>
      </c>
      <c r="B6" s="133">
        <f>IFERROR(INDEX(Однолинейка!$A$1:$A$1000,MATCH(4,Однолинейка!$BV$1:$BV$1000,0)),"")</f>
      </c>
      <c r="C6" s="133">
        <f>IFERROR(INDEX(Однолинейка!$G$1:$G$1000,MATCH(4,Однолинейка!$BV$1:$BV$1000,0))&amp;IF(INDEX(Однолинейка!$P$1:$P$1000,MATCH(4,Однолинейка!$BV$1:$BV$1000,0))="","","/"&amp;INDEX(Однолинейка!$P$1:$P$1000,MATCH(4,Однолинейка!$BV$1:$BV$1000,0))),"")</f>
      </c>
      <c r="D6" s="133">
        <f>IFERROR(INDEX(Однолинейка!$R$1:$R$1000,MATCH(4,Однолинейка!$BV$1:$BV$1000,0)),"")</f>
      </c>
      <c r="E6" s="133">
        <f>IFERROR(INDEX(Однолинейка!$S$1:$S$1000,MATCH(4,Однолинейка!$BV$1:$BV$1000,0)),"")</f>
      </c>
      <c r="F6" s="133">
        <f>IFERROR(INDEX(Однолинейка!$Q$1:$Q$1000,MATCH(4,Однолинейка!$BV$1:$BV$1000,0)),"")</f>
      </c>
    </row>
    <row r="7">
      <c r="A7" s="133">
        <f>IF(ISNUMBER(MATCH(5,Однолинейка!$BV$1:$BV$1000,0)),5,"")</f>
      </c>
      <c r="B7" s="133">
        <f>IFERROR(INDEX(Однолинейка!$A$1:$A$1000,MATCH(5,Однолинейка!$BV$1:$BV$1000,0)),"")</f>
      </c>
      <c r="C7" s="133">
        <f>IFERROR(INDEX(Однолинейка!$G$1:$G$1000,MATCH(5,Однолинейка!$BV$1:$BV$1000,0))&amp;IF(INDEX(Однолинейка!$P$1:$P$1000,MATCH(5,Однолинейка!$BV$1:$BV$1000,0))="","","/"&amp;INDEX(Однолинейка!$P$1:$P$1000,MATCH(5,Однолинейка!$BV$1:$BV$1000,0))),"")</f>
      </c>
      <c r="D7" s="133">
        <f>IFERROR(INDEX(Однолинейка!$R$1:$R$1000,MATCH(5,Однолинейка!$BV$1:$BV$1000,0)),"")</f>
      </c>
      <c r="E7" s="133">
        <f>IFERROR(INDEX(Однолинейка!$S$1:$S$1000,MATCH(5,Однолинейка!$BV$1:$BV$1000,0)),"")</f>
      </c>
      <c r="F7" s="133">
        <f>IFERROR(INDEX(Однолинейка!$Q$1:$Q$1000,MATCH(5,Однолинейка!$BV$1:$BV$1000,0)),"")</f>
      </c>
    </row>
    <row r="8">
      <c r="A8" s="133">
        <f>IF(ISNUMBER(MATCH(6,Однолинейка!$BV$1:$BV$1000,0)),6,"")</f>
      </c>
      <c r="B8" s="133">
        <f>IFERROR(INDEX(Однолинейка!$A$1:$A$1000,MATCH(6,Однолинейка!$BV$1:$BV$1000,0)),"")</f>
      </c>
      <c r="C8" s="133">
        <f>IFERROR(INDEX(Однолинейка!$G$1:$G$1000,MATCH(6,Однолинейка!$BV$1:$BV$1000,0))&amp;IF(INDEX(Однолинейка!$P$1:$P$1000,MATCH(6,Однолинейка!$BV$1:$BV$1000,0))="","","/"&amp;INDEX(Однолинейка!$P$1:$P$1000,MATCH(6,Однолинейка!$BV$1:$BV$1000,0))),"")</f>
      </c>
      <c r="D8" s="133">
        <f>IFERROR(INDEX(Однолинейка!$R$1:$R$1000,MATCH(6,Однолинейка!$BV$1:$BV$1000,0)),"")</f>
      </c>
      <c r="E8" s="133">
        <f>IFERROR(INDEX(Однолинейка!$S$1:$S$1000,MATCH(6,Однолинейка!$BV$1:$BV$1000,0)),"")</f>
      </c>
      <c r="F8" s="133">
        <f>IFERROR(INDEX(Однолинейка!$Q$1:$Q$1000,MATCH(6,Однолинейка!$BV$1:$BV$1000,0)),"")</f>
      </c>
    </row>
    <row r="9">
      <c r="A9" s="133">
        <f>IF(ISNUMBER(MATCH(7,Однолинейка!$BV$1:$BV$1000,0)),7,"")</f>
      </c>
      <c r="B9" s="133">
        <f>IFERROR(INDEX(Однолинейка!$A$1:$A$1000,MATCH(7,Однолинейка!$BV$1:$BV$1000,0)),"")</f>
      </c>
      <c r="C9" s="133">
        <f>IFERROR(INDEX(Однолинейка!$G$1:$G$1000,MATCH(7,Однолинейка!$BV$1:$BV$1000,0))&amp;IF(INDEX(Однолинейка!$P$1:$P$1000,MATCH(7,Однолинейка!$BV$1:$BV$1000,0))="","","/"&amp;INDEX(Однолинейка!$P$1:$P$1000,MATCH(7,Однолинейка!$BV$1:$BV$1000,0))),"")</f>
      </c>
      <c r="D9" s="133">
        <f>IFERROR(INDEX(Однолинейка!$R$1:$R$1000,MATCH(7,Однолинейка!$BV$1:$BV$1000,0)),"")</f>
      </c>
      <c r="E9" s="133">
        <f>IFERROR(INDEX(Однолинейка!$S$1:$S$1000,MATCH(7,Однолинейка!$BV$1:$BV$1000,0)),"")</f>
      </c>
      <c r="F9" s="133">
        <f>IFERROR(INDEX(Однолинейка!$Q$1:$Q$1000,MATCH(7,Однолинейка!$BV$1:$BV$1000,0)),"")</f>
      </c>
    </row>
    <row r="10">
      <c r="A10" s="133">
        <f>IF(ISNUMBER(MATCH(8,Однолинейка!$BV$1:$BV$1000,0)),8,"")</f>
      </c>
      <c r="B10" s="133">
        <f>IFERROR(INDEX(Однолинейка!$A$1:$A$1000,MATCH(8,Однолинейка!$BV$1:$BV$1000,0)),"")</f>
      </c>
      <c r="C10" s="133">
        <f>IFERROR(INDEX(Однолинейка!$G$1:$G$1000,MATCH(8,Однолинейка!$BV$1:$BV$1000,0))&amp;IF(INDEX(Однолинейка!$P$1:$P$1000,MATCH(8,Однолинейка!$BV$1:$BV$1000,0))="","","/"&amp;INDEX(Однолинейка!$P$1:$P$1000,MATCH(8,Однолинейка!$BV$1:$BV$1000,0))),"")</f>
      </c>
      <c r="D10" s="133">
        <f>IFERROR(INDEX(Однолинейка!$R$1:$R$1000,MATCH(8,Однолинейка!$BV$1:$BV$1000,0)),"")</f>
      </c>
      <c r="E10" s="133">
        <f>IFERROR(INDEX(Однолинейка!$S$1:$S$1000,MATCH(8,Однолинейка!$BV$1:$BV$1000,0)),"")</f>
      </c>
      <c r="F10" s="133">
        <f>IFERROR(INDEX(Однолинейка!$Q$1:$Q$1000,MATCH(8,Однолинейка!$BV$1:$BV$1000,0)),"")</f>
      </c>
    </row>
    <row r="11">
      <c r="A11" s="133">
        <f>IF(ISNUMBER(MATCH(9,Однолинейка!$BV$1:$BV$1000,0)),9,"")</f>
      </c>
      <c r="B11" s="133">
        <f>IFERROR(INDEX(Однолинейка!$A$1:$A$1000,MATCH(9,Однолинейка!$BV$1:$BV$1000,0)),"")</f>
      </c>
      <c r="C11" s="133">
        <f>IFERROR(INDEX(Однолинейка!$G$1:$G$1000,MATCH(9,Однолинейка!$BV$1:$BV$1000,0))&amp;IF(INDEX(Однолинейка!$P$1:$P$1000,MATCH(9,Однолинейка!$BV$1:$BV$1000,0))="","","/"&amp;INDEX(Однолинейка!$P$1:$P$1000,MATCH(9,Однолинейка!$BV$1:$BV$1000,0))),"")</f>
      </c>
      <c r="D11" s="133">
        <f>IFERROR(INDEX(Однолинейка!$R$1:$R$1000,MATCH(9,Однолинейка!$BV$1:$BV$1000,0)),"")</f>
      </c>
      <c r="E11" s="133">
        <f>IFERROR(INDEX(Однолинейка!$S$1:$S$1000,MATCH(9,Однолинейка!$BV$1:$BV$1000,0)),"")</f>
      </c>
      <c r="F11" s="133">
        <f>IFERROR(INDEX(Однолинейка!$Q$1:$Q$1000,MATCH(9,Однолинейка!$BV$1:$BV$1000,0)),"")</f>
      </c>
    </row>
    <row r="12">
      <c r="A12" s="133">
        <f>IF(ISNUMBER(MATCH(10,Однолинейка!$BV$1:$BV$1000,0)),10,"")</f>
      </c>
      <c r="B12" s="133">
        <f>IFERROR(INDEX(Однолинейка!$A$1:$A$1000,MATCH(10,Однолинейка!$BV$1:$BV$1000,0)),"")</f>
      </c>
      <c r="C12" s="133">
        <f>IFERROR(INDEX(Однолинейка!$G$1:$G$1000,MATCH(10,Однолинейка!$BV$1:$BV$1000,0))&amp;IF(INDEX(Однолинейка!$P$1:$P$1000,MATCH(10,Однолинейка!$BV$1:$BV$1000,0))="","","/"&amp;INDEX(Однолинейка!$P$1:$P$1000,MATCH(10,Однолинейка!$BV$1:$BV$1000,0))),"")</f>
      </c>
      <c r="D12" s="133">
        <f>IFERROR(INDEX(Однолинейка!$R$1:$R$1000,MATCH(10,Однолинейка!$BV$1:$BV$1000,0)),"")</f>
      </c>
      <c r="E12" s="133">
        <f>IFERROR(INDEX(Однолинейка!$S$1:$S$1000,MATCH(10,Однолинейка!$BV$1:$BV$1000,0)),"")</f>
      </c>
      <c r="F12" s="133">
        <f>IFERROR(INDEX(Однолинейка!$Q$1:$Q$1000,MATCH(10,Однолинейка!$BV$1:$BV$1000,0)),"")</f>
      </c>
    </row>
    <row r="13">
      <c r="A13" s="133">
        <f>IF(ISNUMBER(MATCH(11,Однолинейка!$BV$1:$BV$1000,0)),11,"")</f>
      </c>
      <c r="B13" s="133">
        <f>IFERROR(INDEX(Однолинейка!$A$1:$A$1000,MATCH(11,Однолинейка!$BV$1:$BV$1000,0)),"")</f>
      </c>
      <c r="C13" s="133">
        <f>IFERROR(INDEX(Однолинейка!$G$1:$G$1000,MATCH(11,Однолинейка!$BV$1:$BV$1000,0))&amp;IF(INDEX(Однолинейка!$P$1:$P$1000,MATCH(11,Однолинейка!$BV$1:$BV$1000,0))="","","/"&amp;INDEX(Однолинейка!$P$1:$P$1000,MATCH(11,Однолинейка!$BV$1:$BV$1000,0))),"")</f>
      </c>
      <c r="D13" s="133">
        <f>IFERROR(INDEX(Однолинейка!$R$1:$R$1000,MATCH(11,Однолинейка!$BV$1:$BV$1000,0)),"")</f>
      </c>
      <c r="E13" s="133">
        <f>IFERROR(INDEX(Однолинейка!$S$1:$S$1000,MATCH(11,Однолинейка!$BV$1:$BV$1000,0)),"")</f>
      </c>
      <c r="F13" s="133">
        <f>IFERROR(INDEX(Однолинейка!$Q$1:$Q$1000,MATCH(11,Однолинейка!$BV$1:$BV$1000,0)),"")</f>
      </c>
    </row>
    <row r="14">
      <c r="A14" s="133">
        <f>IF(ISNUMBER(MATCH(12,Однолинейка!$BV$1:$BV$1000,0)),12,"")</f>
      </c>
      <c r="B14" s="133">
        <f>IFERROR(INDEX(Однолинейка!$A$1:$A$1000,MATCH(12,Однолинейка!$BV$1:$BV$1000,0)),"")</f>
      </c>
      <c r="C14" s="133">
        <f>IFERROR(INDEX(Однолинейка!$G$1:$G$1000,MATCH(12,Однолинейка!$BV$1:$BV$1000,0))&amp;IF(INDEX(Однолинейка!$P$1:$P$1000,MATCH(12,Однолинейка!$BV$1:$BV$1000,0))="","","/"&amp;INDEX(Однолинейка!$P$1:$P$1000,MATCH(12,Однолинейка!$BV$1:$BV$1000,0))),"")</f>
      </c>
      <c r="D14" s="133">
        <f>IFERROR(INDEX(Однолинейка!$R$1:$R$1000,MATCH(12,Однолинейка!$BV$1:$BV$1000,0)),"")</f>
      </c>
      <c r="E14" s="133">
        <f>IFERROR(INDEX(Однолинейка!$S$1:$S$1000,MATCH(12,Однолинейка!$BV$1:$BV$1000,0)),"")</f>
      </c>
      <c r="F14" s="133">
        <f>IFERROR(INDEX(Однолинейка!$Q$1:$Q$1000,MATCH(12,Однолинейка!$BV$1:$BV$1000,0)),"")</f>
      </c>
    </row>
    <row r="15">
      <c r="A15" s="133">
        <f>IF(ISNUMBER(MATCH(13,Однолинейка!$BV$1:$BV$1000,0)),13,"")</f>
      </c>
      <c r="B15" s="133">
        <f>IFERROR(INDEX(Однолинейка!$A$1:$A$1000,MATCH(13,Однолинейка!$BV$1:$BV$1000,0)),"")</f>
      </c>
      <c r="C15" s="133">
        <f>IFERROR(INDEX(Однолинейка!$G$1:$G$1000,MATCH(13,Однолинейка!$BV$1:$BV$1000,0))&amp;IF(INDEX(Однолинейка!$P$1:$P$1000,MATCH(13,Однолинейка!$BV$1:$BV$1000,0))="","","/"&amp;INDEX(Однолинейка!$P$1:$P$1000,MATCH(13,Однолинейка!$BV$1:$BV$1000,0))),"")</f>
      </c>
      <c r="D15" s="133">
        <f>IFERROR(INDEX(Однолинейка!$R$1:$R$1000,MATCH(13,Однолинейка!$BV$1:$BV$1000,0)),"")</f>
      </c>
      <c r="E15" s="133">
        <f>IFERROR(INDEX(Однолинейка!$S$1:$S$1000,MATCH(13,Однолинейка!$BV$1:$BV$1000,0)),"")</f>
      </c>
      <c r="F15" s="133">
        <f>IFERROR(INDEX(Однолинейка!$Q$1:$Q$1000,MATCH(13,Однолинейка!$BV$1:$BV$1000,0)),"")</f>
      </c>
    </row>
    <row r="16">
      <c r="A16" s="133">
        <f>IF(ISNUMBER(MATCH(14,Однолинейка!$BV$1:$BV$1000,0)),14,"")</f>
      </c>
      <c r="B16" s="133">
        <f>IFERROR(INDEX(Однолинейка!$A$1:$A$1000,MATCH(14,Однолинейка!$BV$1:$BV$1000,0)),"")</f>
      </c>
      <c r="C16" s="133">
        <f>IFERROR(INDEX(Однолинейка!$G$1:$G$1000,MATCH(14,Однолинейка!$BV$1:$BV$1000,0))&amp;IF(INDEX(Однолинейка!$P$1:$P$1000,MATCH(14,Однолинейка!$BV$1:$BV$1000,0))="","","/"&amp;INDEX(Однолинейка!$P$1:$P$1000,MATCH(14,Однолинейка!$BV$1:$BV$1000,0))),"")</f>
      </c>
      <c r="D16" s="133">
        <f>IFERROR(INDEX(Однолинейка!$R$1:$R$1000,MATCH(14,Однолинейка!$BV$1:$BV$1000,0)),"")</f>
      </c>
      <c r="E16" s="133">
        <f>IFERROR(INDEX(Однолинейка!$S$1:$S$1000,MATCH(14,Однолинейка!$BV$1:$BV$1000,0)),"")</f>
      </c>
      <c r="F16" s="133">
        <f>IFERROR(INDEX(Однолинейка!$Q$1:$Q$1000,MATCH(14,Однолинейка!$BV$1:$BV$1000,0)),"")</f>
      </c>
    </row>
    <row r="17">
      <c r="A17" s="133">
        <f>IF(ISNUMBER(MATCH(15,Однолинейка!$BV$1:$BV$1000,0)),15,"")</f>
      </c>
      <c r="B17" s="133">
        <f>IFERROR(INDEX(Однолинейка!$A$1:$A$1000,MATCH(15,Однолинейка!$BV$1:$BV$1000,0)),"")</f>
      </c>
      <c r="C17" s="133">
        <f>IFERROR(INDEX(Однолинейка!$G$1:$G$1000,MATCH(15,Однолинейка!$BV$1:$BV$1000,0))&amp;IF(INDEX(Однолинейка!$P$1:$P$1000,MATCH(15,Однолинейка!$BV$1:$BV$1000,0))="","","/"&amp;INDEX(Однолинейка!$P$1:$P$1000,MATCH(15,Однолинейка!$BV$1:$BV$1000,0))),"")</f>
      </c>
      <c r="D17" s="133">
        <f>IFERROR(INDEX(Однолинейка!$R$1:$R$1000,MATCH(15,Однолинейка!$BV$1:$BV$1000,0)),"")</f>
      </c>
      <c r="E17" s="133">
        <f>IFERROR(INDEX(Однолинейка!$S$1:$S$1000,MATCH(15,Однолинейка!$BV$1:$BV$1000,0)),"")</f>
      </c>
      <c r="F17" s="133">
        <f>IFERROR(INDEX(Однолинейка!$Q$1:$Q$1000,MATCH(15,Однолинейка!$BV$1:$BV$1000,0)),"")</f>
      </c>
    </row>
    <row r="18">
      <c r="A18" s="133">
        <f>IF(ISNUMBER(MATCH(16,Однолинейка!$BV$1:$BV$1000,0)),16,"")</f>
      </c>
      <c r="B18" s="133">
        <f>IFERROR(INDEX(Однолинейка!$A$1:$A$1000,MATCH(16,Однолинейка!$BV$1:$BV$1000,0)),"")</f>
      </c>
      <c r="C18" s="133">
        <f>IFERROR(INDEX(Однолинейка!$G$1:$G$1000,MATCH(16,Однолинейка!$BV$1:$BV$1000,0))&amp;IF(INDEX(Однолинейка!$P$1:$P$1000,MATCH(16,Однолинейка!$BV$1:$BV$1000,0))="","","/"&amp;INDEX(Однолинейка!$P$1:$P$1000,MATCH(16,Однолинейка!$BV$1:$BV$1000,0))),"")</f>
      </c>
      <c r="D18" s="133">
        <f>IFERROR(INDEX(Однолинейка!$R$1:$R$1000,MATCH(16,Однолинейка!$BV$1:$BV$1000,0)),"")</f>
      </c>
      <c r="E18" s="133">
        <f>IFERROR(INDEX(Однолинейка!$S$1:$S$1000,MATCH(16,Однолинейка!$BV$1:$BV$1000,0)),"")</f>
      </c>
      <c r="F18" s="133">
        <f>IFERROR(INDEX(Однолинейка!$Q$1:$Q$1000,MATCH(16,Однолинейка!$BV$1:$BV$1000,0)),"")</f>
      </c>
    </row>
    <row r="19">
      <c r="A19" s="133">
        <f>IF(ISNUMBER(MATCH(17,Однолинейка!$BV$1:$BV$1000,0)),17,"")</f>
      </c>
      <c r="B19" s="133">
        <f>IFERROR(INDEX(Однолинейка!$A$1:$A$1000,MATCH(17,Однолинейка!$BV$1:$BV$1000,0)),"")</f>
      </c>
      <c r="C19" s="133">
        <f>IFERROR(INDEX(Однолинейка!$G$1:$G$1000,MATCH(17,Однолинейка!$BV$1:$BV$1000,0))&amp;IF(INDEX(Однолинейка!$P$1:$P$1000,MATCH(17,Однолинейка!$BV$1:$BV$1000,0))="","","/"&amp;INDEX(Однолинейка!$P$1:$P$1000,MATCH(17,Однолинейка!$BV$1:$BV$1000,0))),"")</f>
      </c>
      <c r="D19" s="133">
        <f>IFERROR(INDEX(Однолинейка!$R$1:$R$1000,MATCH(17,Однолинейка!$BV$1:$BV$1000,0)),"")</f>
      </c>
      <c r="E19" s="133">
        <f>IFERROR(INDEX(Однолинейка!$S$1:$S$1000,MATCH(17,Однолинейка!$BV$1:$BV$1000,0)),"")</f>
      </c>
      <c r="F19" s="133">
        <f>IFERROR(INDEX(Однолинейка!$Q$1:$Q$1000,MATCH(17,Однолинейка!$BV$1:$BV$1000,0)),"")</f>
      </c>
    </row>
    <row r="20">
      <c r="A20" s="133">
        <f>IF(ISNUMBER(MATCH(18,Однолинейка!$BV$1:$BV$1000,0)),18,"")</f>
      </c>
      <c r="B20" s="133">
        <f>IFERROR(INDEX(Однолинейка!$A$1:$A$1000,MATCH(18,Однолинейка!$BV$1:$BV$1000,0)),"")</f>
      </c>
      <c r="C20" s="133">
        <f>IFERROR(INDEX(Однолинейка!$G$1:$G$1000,MATCH(18,Однолинейка!$BV$1:$BV$1000,0))&amp;IF(INDEX(Однолинейка!$P$1:$P$1000,MATCH(18,Однолинейка!$BV$1:$BV$1000,0))="","","/"&amp;INDEX(Однолинейка!$P$1:$P$1000,MATCH(18,Однолинейка!$BV$1:$BV$1000,0))),"")</f>
      </c>
      <c r="D20" s="133">
        <f>IFERROR(INDEX(Однолинейка!$R$1:$R$1000,MATCH(18,Однолинейка!$BV$1:$BV$1000,0)),"")</f>
      </c>
      <c r="E20" s="133">
        <f>IFERROR(INDEX(Однолинейка!$S$1:$S$1000,MATCH(18,Однолинейка!$BV$1:$BV$1000,0)),"")</f>
      </c>
      <c r="F20" s="133">
        <f>IFERROR(INDEX(Однолинейка!$Q$1:$Q$1000,MATCH(18,Однолинейка!$BV$1:$BV$1000,0)),"")</f>
      </c>
    </row>
    <row r="21">
      <c r="A21" s="133">
        <f>IF(ISNUMBER(MATCH(19,Однолинейка!$BV$1:$BV$1000,0)),19,"")</f>
      </c>
      <c r="B21" s="133">
        <f>IFERROR(INDEX(Однолинейка!$A$1:$A$1000,MATCH(19,Однолинейка!$BV$1:$BV$1000,0)),"")</f>
      </c>
      <c r="C21" s="133">
        <f>IFERROR(INDEX(Однолинейка!$G$1:$G$1000,MATCH(19,Однолинейка!$BV$1:$BV$1000,0))&amp;IF(INDEX(Однолинейка!$P$1:$P$1000,MATCH(19,Однолинейка!$BV$1:$BV$1000,0))="","","/"&amp;INDEX(Однолинейка!$P$1:$P$1000,MATCH(19,Однолинейка!$BV$1:$BV$1000,0))),"")</f>
      </c>
      <c r="D21" s="133">
        <f>IFERROR(INDEX(Однолинейка!$R$1:$R$1000,MATCH(19,Однолинейка!$BV$1:$BV$1000,0)),"")</f>
      </c>
      <c r="E21" s="133">
        <f>IFERROR(INDEX(Однолинейка!$S$1:$S$1000,MATCH(19,Однолинейка!$BV$1:$BV$1000,0)),"")</f>
      </c>
      <c r="F21" s="133">
        <f>IFERROR(INDEX(Однолинейка!$Q$1:$Q$1000,MATCH(19,Однолинейка!$BV$1:$BV$1000,0)),"")</f>
      </c>
    </row>
    <row r="22">
      <c r="A22" s="133">
        <f>IF(ISNUMBER(MATCH(20,Однолинейка!$BV$1:$BV$1000,0)),20,"")</f>
      </c>
      <c r="B22" s="133">
        <f>IFERROR(INDEX(Однолинейка!$A$1:$A$1000,MATCH(20,Однолинейка!$BV$1:$BV$1000,0)),"")</f>
      </c>
      <c r="C22" s="133">
        <f>IFERROR(INDEX(Однолинейка!$G$1:$G$1000,MATCH(20,Однолинейка!$BV$1:$BV$1000,0))&amp;IF(INDEX(Однолинейка!$P$1:$P$1000,MATCH(20,Однолинейка!$BV$1:$BV$1000,0))="","","/"&amp;INDEX(Однолинейка!$P$1:$P$1000,MATCH(20,Однолинейка!$BV$1:$BV$1000,0))),"")</f>
      </c>
      <c r="D22" s="133">
        <f>IFERROR(INDEX(Однолинейка!$R$1:$R$1000,MATCH(20,Однолинейка!$BV$1:$BV$1000,0)),"")</f>
      </c>
      <c r="E22" s="133">
        <f>IFERROR(INDEX(Однолинейка!$S$1:$S$1000,MATCH(20,Однолинейка!$BV$1:$BV$1000,0)),"")</f>
      </c>
      <c r="F22" s="133">
        <f>IFERROR(INDEX(Однолинейка!$Q$1:$Q$1000,MATCH(20,Однолинейка!$BV$1:$BV$1000,0)),"")</f>
      </c>
    </row>
    <row r="23">
      <c r="A23" s="133">
        <f>IF(ISNUMBER(MATCH(21,Однолинейка!$BV$1:$BV$1000,0)),21,"")</f>
      </c>
      <c r="B23" s="133">
        <f>IFERROR(INDEX(Однолинейка!$A$1:$A$1000,MATCH(21,Однолинейка!$BV$1:$BV$1000,0)),"")</f>
      </c>
      <c r="C23" s="133">
        <f>IFERROR(INDEX(Однолинейка!$G$1:$G$1000,MATCH(21,Однолинейка!$BV$1:$BV$1000,0))&amp;IF(INDEX(Однолинейка!$P$1:$P$1000,MATCH(21,Однолинейка!$BV$1:$BV$1000,0))="","","/"&amp;INDEX(Однолинейка!$P$1:$P$1000,MATCH(21,Однолинейка!$BV$1:$BV$1000,0))),"")</f>
      </c>
      <c r="D23" s="133">
        <f>IFERROR(INDEX(Однолинейка!$R$1:$R$1000,MATCH(21,Однолинейка!$BV$1:$BV$1000,0)),"")</f>
      </c>
      <c r="E23" s="133">
        <f>IFERROR(INDEX(Однолинейка!$S$1:$S$1000,MATCH(21,Однолинейка!$BV$1:$BV$1000,0)),"")</f>
      </c>
      <c r="F23" s="133">
        <f>IFERROR(INDEX(Однолинейка!$Q$1:$Q$1000,MATCH(21,Однолинейка!$BV$1:$BV$1000,0)),"")</f>
      </c>
    </row>
    <row r="24">
      <c r="A24" s="133">
        <f>IF(ISNUMBER(MATCH(22,Однолинейка!$BV$1:$BV$1000,0)),22,"")</f>
      </c>
      <c r="B24" s="133">
        <f>IFERROR(INDEX(Однолинейка!$A$1:$A$1000,MATCH(22,Однолинейка!$BV$1:$BV$1000,0)),"")</f>
      </c>
      <c r="C24" s="133">
        <f>IFERROR(INDEX(Однолинейка!$G$1:$G$1000,MATCH(22,Однолинейка!$BV$1:$BV$1000,0))&amp;IF(INDEX(Однолинейка!$P$1:$P$1000,MATCH(22,Однолинейка!$BV$1:$BV$1000,0))="","","/"&amp;INDEX(Однолинейка!$P$1:$P$1000,MATCH(22,Однолинейка!$BV$1:$BV$1000,0))),"")</f>
      </c>
      <c r="D24" s="133">
        <f>IFERROR(INDEX(Однолинейка!$R$1:$R$1000,MATCH(22,Однолинейка!$BV$1:$BV$1000,0)),"")</f>
      </c>
      <c r="E24" s="133">
        <f>IFERROR(INDEX(Однолинейка!$S$1:$S$1000,MATCH(22,Однолинейка!$BV$1:$BV$1000,0)),"")</f>
      </c>
      <c r="F24" s="133">
        <f>IFERROR(INDEX(Однолинейка!$Q$1:$Q$1000,MATCH(22,Однолинейка!$BV$1:$BV$1000,0)),"")</f>
      </c>
    </row>
    <row r="25">
      <c r="A25" s="133">
        <f>IF(ISNUMBER(MATCH(23,Однолинейка!$BV$1:$BV$1000,0)),23,"")</f>
      </c>
      <c r="B25" s="133">
        <f>IFERROR(INDEX(Однолинейка!$A$1:$A$1000,MATCH(23,Однолинейка!$BV$1:$BV$1000,0)),"")</f>
      </c>
      <c r="C25" s="133">
        <f>IFERROR(INDEX(Однолинейка!$G$1:$G$1000,MATCH(23,Однолинейка!$BV$1:$BV$1000,0))&amp;IF(INDEX(Однолинейка!$P$1:$P$1000,MATCH(23,Однолинейка!$BV$1:$BV$1000,0))="","","/"&amp;INDEX(Однолинейка!$P$1:$P$1000,MATCH(23,Однолинейка!$BV$1:$BV$1000,0))),"")</f>
      </c>
      <c r="D25" s="133">
        <f>IFERROR(INDEX(Однолинейка!$R$1:$R$1000,MATCH(23,Однолинейка!$BV$1:$BV$1000,0)),"")</f>
      </c>
      <c r="E25" s="133">
        <f>IFERROR(INDEX(Однолинейка!$S$1:$S$1000,MATCH(23,Однолинейка!$BV$1:$BV$1000,0)),"")</f>
      </c>
      <c r="F25" s="133">
        <f>IFERROR(INDEX(Однолинейка!$Q$1:$Q$1000,MATCH(23,Однолинейка!$BV$1:$BV$1000,0)),"")</f>
      </c>
    </row>
    <row r="26">
      <c r="A26" s="133">
        <f>IF(ISNUMBER(MATCH(24,Однолинейка!$BV$1:$BV$1000,0)),24,"")</f>
      </c>
      <c r="B26" s="133">
        <f>IFERROR(INDEX(Однолинейка!$A$1:$A$1000,MATCH(24,Однолинейка!$BV$1:$BV$1000,0)),"")</f>
      </c>
      <c r="C26" s="133">
        <f>IFERROR(INDEX(Однолинейка!$G$1:$G$1000,MATCH(24,Однолинейка!$BV$1:$BV$1000,0))&amp;IF(INDEX(Однолинейка!$P$1:$P$1000,MATCH(24,Однолинейка!$BV$1:$BV$1000,0))="","","/"&amp;INDEX(Однолинейка!$P$1:$P$1000,MATCH(24,Однолинейка!$BV$1:$BV$1000,0))),"")</f>
      </c>
      <c r="D26" s="133">
        <f>IFERROR(INDEX(Однолинейка!$R$1:$R$1000,MATCH(24,Однолинейка!$BV$1:$BV$1000,0)),"")</f>
      </c>
      <c r="E26" s="133">
        <f>IFERROR(INDEX(Однолинейка!$S$1:$S$1000,MATCH(24,Однолинейка!$BV$1:$BV$1000,0)),"")</f>
      </c>
      <c r="F26" s="133">
        <f>IFERROR(INDEX(Однолинейка!$Q$1:$Q$1000,MATCH(24,Однолинейка!$BV$1:$BV$1000,0)),"")</f>
      </c>
    </row>
    <row r="27">
      <c r="A27" s="133">
        <f>IF(ISNUMBER(MATCH(25,Однолинейка!$BV$1:$BV$1000,0)),25,"")</f>
      </c>
      <c r="B27" s="133">
        <f>IFERROR(INDEX(Однолинейка!$A$1:$A$1000,MATCH(25,Однолинейка!$BV$1:$BV$1000,0)),"")</f>
      </c>
      <c r="C27" s="133">
        <f>IFERROR(INDEX(Однолинейка!$G$1:$G$1000,MATCH(25,Однолинейка!$BV$1:$BV$1000,0))&amp;IF(INDEX(Однолинейка!$P$1:$P$1000,MATCH(25,Однолинейка!$BV$1:$BV$1000,0))="","","/"&amp;INDEX(Однолинейка!$P$1:$P$1000,MATCH(25,Однолинейка!$BV$1:$BV$1000,0))),"")</f>
      </c>
      <c r="D27" s="133">
        <f>IFERROR(INDEX(Однолинейка!$R$1:$R$1000,MATCH(25,Однолинейка!$BV$1:$BV$1000,0)),"")</f>
      </c>
      <c r="E27" s="133">
        <f>IFERROR(INDEX(Однолинейка!$S$1:$S$1000,MATCH(25,Однолинейка!$BV$1:$BV$1000,0)),"")</f>
      </c>
      <c r="F27" s="133">
        <f>IFERROR(INDEX(Однолинейка!$Q$1:$Q$1000,MATCH(25,Однолинейка!$BV$1:$BV$1000,0)),"")</f>
      </c>
    </row>
    <row r="28">
      <c r="A28" s="133">
        <f>IF(ISNUMBER(MATCH(26,Однолинейка!$BV$1:$BV$1000,0)),26,"")</f>
      </c>
      <c r="B28" s="133">
        <f>IFERROR(INDEX(Однолинейка!$A$1:$A$1000,MATCH(26,Однолинейка!$BV$1:$BV$1000,0)),"")</f>
      </c>
      <c r="C28" s="133">
        <f>IFERROR(INDEX(Однолинейка!$G$1:$G$1000,MATCH(26,Однолинейка!$BV$1:$BV$1000,0))&amp;IF(INDEX(Однолинейка!$P$1:$P$1000,MATCH(26,Однолинейка!$BV$1:$BV$1000,0))="","","/"&amp;INDEX(Однолинейка!$P$1:$P$1000,MATCH(26,Однолинейка!$BV$1:$BV$1000,0))),"")</f>
      </c>
      <c r="D28" s="133">
        <f>IFERROR(INDEX(Однолинейка!$R$1:$R$1000,MATCH(26,Однолинейка!$BV$1:$BV$1000,0)),"")</f>
      </c>
      <c r="E28" s="133">
        <f>IFERROR(INDEX(Однолинейка!$S$1:$S$1000,MATCH(26,Однолинейка!$BV$1:$BV$1000,0)),"")</f>
      </c>
      <c r="F28" s="133">
        <f>IFERROR(INDEX(Однолинейка!$Q$1:$Q$1000,MATCH(26,Однолинейка!$BV$1:$BV$1000,0)),"")</f>
      </c>
    </row>
    <row r="29">
      <c r="A29" s="133">
        <f>IF(ISNUMBER(MATCH(27,Однолинейка!$BV$1:$BV$1000,0)),27,"")</f>
      </c>
      <c r="B29" s="133">
        <f>IFERROR(INDEX(Однолинейка!$A$1:$A$1000,MATCH(27,Однолинейка!$BV$1:$BV$1000,0)),"")</f>
      </c>
      <c r="C29" s="133">
        <f>IFERROR(INDEX(Однолинейка!$G$1:$G$1000,MATCH(27,Однолинейка!$BV$1:$BV$1000,0))&amp;IF(INDEX(Однолинейка!$P$1:$P$1000,MATCH(27,Однолинейка!$BV$1:$BV$1000,0))="","","/"&amp;INDEX(Однолинейка!$P$1:$P$1000,MATCH(27,Однолинейка!$BV$1:$BV$1000,0))),"")</f>
      </c>
      <c r="D29" s="133">
        <f>IFERROR(INDEX(Однолинейка!$R$1:$R$1000,MATCH(27,Однолинейка!$BV$1:$BV$1000,0)),"")</f>
      </c>
      <c r="E29" s="133">
        <f>IFERROR(INDEX(Однолинейка!$S$1:$S$1000,MATCH(27,Однолинейка!$BV$1:$BV$1000,0)),"")</f>
      </c>
      <c r="F29" s="133">
        <f>IFERROR(INDEX(Однолинейка!$Q$1:$Q$1000,MATCH(27,Однолинейка!$BV$1:$BV$1000,0)),"")</f>
      </c>
    </row>
    <row r="30">
      <c r="A30" s="133">
        <f>IF(ISNUMBER(MATCH(28,Однолинейка!$BV$1:$BV$1000,0)),28,"")</f>
      </c>
      <c r="B30" s="133">
        <f>IFERROR(INDEX(Однолинейка!$A$1:$A$1000,MATCH(28,Однолинейка!$BV$1:$BV$1000,0)),"")</f>
      </c>
      <c r="C30" s="133">
        <f>IFERROR(INDEX(Однолинейка!$G$1:$G$1000,MATCH(28,Однолинейка!$BV$1:$BV$1000,0))&amp;IF(INDEX(Однолинейка!$P$1:$P$1000,MATCH(28,Однолинейка!$BV$1:$BV$1000,0))="","","/"&amp;INDEX(Однолинейка!$P$1:$P$1000,MATCH(28,Однолинейка!$BV$1:$BV$1000,0))),"")</f>
      </c>
      <c r="D30" s="133">
        <f>IFERROR(INDEX(Однолинейка!$R$1:$R$1000,MATCH(28,Однолинейка!$BV$1:$BV$1000,0)),"")</f>
      </c>
      <c r="E30" s="133">
        <f>IFERROR(INDEX(Однолинейка!$S$1:$S$1000,MATCH(28,Однолинейка!$BV$1:$BV$1000,0)),"")</f>
      </c>
      <c r="F30" s="133">
        <f>IFERROR(INDEX(Однолинейка!$Q$1:$Q$1000,MATCH(28,Однолинейка!$BV$1:$BV$1000,0)),"")</f>
      </c>
    </row>
    <row r="31">
      <c r="A31" s="133">
        <f>IF(ISNUMBER(MATCH(29,Однолинейка!$BV$1:$BV$1000,0)),29,"")</f>
      </c>
      <c r="B31" s="133">
        <f>IFERROR(INDEX(Однолинейка!$A$1:$A$1000,MATCH(29,Однолинейка!$BV$1:$BV$1000,0)),"")</f>
      </c>
      <c r="C31" s="133">
        <f>IFERROR(INDEX(Однолинейка!$G$1:$G$1000,MATCH(29,Однолинейка!$BV$1:$BV$1000,0))&amp;IF(INDEX(Однолинейка!$P$1:$P$1000,MATCH(29,Однолинейка!$BV$1:$BV$1000,0))="","","/"&amp;INDEX(Однолинейка!$P$1:$P$1000,MATCH(29,Однолинейка!$BV$1:$BV$1000,0))),"")</f>
      </c>
      <c r="D31" s="133">
        <f>IFERROR(INDEX(Однолинейка!$R$1:$R$1000,MATCH(29,Однолинейка!$BV$1:$BV$1000,0)),"")</f>
      </c>
      <c r="E31" s="133">
        <f>IFERROR(INDEX(Однолинейка!$S$1:$S$1000,MATCH(29,Однолинейка!$BV$1:$BV$1000,0)),"")</f>
      </c>
      <c r="F31" s="133">
        <f>IFERROR(INDEX(Однолинейка!$Q$1:$Q$1000,MATCH(29,Однолинейка!$BV$1:$BV$1000,0)),"")</f>
      </c>
    </row>
    <row r="32">
      <c r="A32" s="133">
        <f>IF(ISNUMBER(MATCH(30,Однолинейка!$BV$1:$BV$1000,0)),30,"")</f>
      </c>
      <c r="B32" s="133">
        <f>IFERROR(INDEX(Однолинейка!$A$1:$A$1000,MATCH(30,Однолинейка!$BV$1:$BV$1000,0)),"")</f>
      </c>
      <c r="C32" s="133">
        <f>IFERROR(INDEX(Однолинейка!$G$1:$G$1000,MATCH(30,Однолинейка!$BV$1:$BV$1000,0))&amp;IF(INDEX(Однолинейка!$P$1:$P$1000,MATCH(30,Однолинейка!$BV$1:$BV$1000,0))="","","/"&amp;INDEX(Однолинейка!$P$1:$P$1000,MATCH(30,Однолинейка!$BV$1:$BV$1000,0))),"")</f>
      </c>
      <c r="D32" s="133">
        <f>IFERROR(INDEX(Однолинейка!$R$1:$R$1000,MATCH(30,Однолинейка!$BV$1:$BV$1000,0)),"")</f>
      </c>
      <c r="E32" s="133">
        <f>IFERROR(INDEX(Однолинейка!$S$1:$S$1000,MATCH(30,Однолинейка!$BV$1:$BV$1000,0)),"")</f>
      </c>
      <c r="F32" s="133">
        <f>IFERROR(INDEX(Однолинейка!$Q$1:$Q$1000,MATCH(30,Однолинейка!$BV$1:$BV$1000,0)),"")</f>
      </c>
    </row>
    <row r="33">
      <c r="A33" s="133">
        <f>IF(ISNUMBER(MATCH(31,Однолинейка!$BV$1:$BV$1000,0)),31,"")</f>
      </c>
      <c r="B33" s="133">
        <f>IFERROR(INDEX(Однолинейка!$A$1:$A$1000,MATCH(31,Однолинейка!$BV$1:$BV$1000,0)),"")</f>
      </c>
      <c r="C33" s="133">
        <f>IFERROR(INDEX(Однолинейка!$G$1:$G$1000,MATCH(31,Однолинейка!$BV$1:$BV$1000,0))&amp;IF(INDEX(Однолинейка!$P$1:$P$1000,MATCH(31,Однолинейка!$BV$1:$BV$1000,0))="","","/"&amp;INDEX(Однолинейка!$P$1:$P$1000,MATCH(31,Однолинейка!$BV$1:$BV$1000,0))),"")</f>
      </c>
      <c r="D33" s="133">
        <f>IFERROR(INDEX(Однолинейка!$R$1:$R$1000,MATCH(31,Однолинейка!$BV$1:$BV$1000,0)),"")</f>
      </c>
      <c r="E33" s="133">
        <f>IFERROR(INDEX(Однолинейка!$S$1:$S$1000,MATCH(31,Однолинейка!$BV$1:$BV$1000,0)),"")</f>
      </c>
      <c r="F33" s="133">
        <f>IFERROR(INDEX(Однолинейка!$Q$1:$Q$1000,MATCH(31,Однолинейка!$BV$1:$BV$1000,0)),"")</f>
      </c>
    </row>
    <row r="34">
      <c r="A34" s="133">
        <f>IF(ISNUMBER(MATCH(32,Однолинейка!$BV$1:$BV$1000,0)),32,"")</f>
      </c>
      <c r="B34" s="133">
        <f>IFERROR(INDEX(Однолинейка!$A$1:$A$1000,MATCH(32,Однолинейка!$BV$1:$BV$1000,0)),"")</f>
      </c>
      <c r="C34" s="133">
        <f>IFERROR(INDEX(Однолинейка!$G$1:$G$1000,MATCH(32,Однолинейка!$BV$1:$BV$1000,0))&amp;IF(INDEX(Однолинейка!$P$1:$P$1000,MATCH(32,Однолинейка!$BV$1:$BV$1000,0))="","","/"&amp;INDEX(Однолинейка!$P$1:$P$1000,MATCH(32,Однолинейка!$BV$1:$BV$1000,0))),"")</f>
      </c>
      <c r="D34" s="133">
        <f>IFERROR(INDEX(Однолинейка!$R$1:$R$1000,MATCH(32,Однолинейка!$BV$1:$BV$1000,0)),"")</f>
      </c>
      <c r="E34" s="133">
        <f>IFERROR(INDEX(Однолинейка!$S$1:$S$1000,MATCH(32,Однолинейка!$BV$1:$BV$1000,0)),"")</f>
      </c>
      <c r="F34" s="133">
        <f>IFERROR(INDEX(Однолинейка!$Q$1:$Q$1000,MATCH(32,Однолинейка!$BV$1:$BV$1000,0)),"")</f>
      </c>
    </row>
    <row r="35">
      <c r="A35" s="133">
        <f>IF(ISNUMBER(MATCH(33,Однолинейка!$BV$1:$BV$1000,0)),33,"")</f>
      </c>
      <c r="B35" s="133">
        <f>IFERROR(INDEX(Однолинейка!$A$1:$A$1000,MATCH(33,Однолинейка!$BV$1:$BV$1000,0)),"")</f>
      </c>
      <c r="C35" s="133">
        <f>IFERROR(INDEX(Однолинейка!$G$1:$G$1000,MATCH(33,Однолинейка!$BV$1:$BV$1000,0))&amp;IF(INDEX(Однолинейка!$P$1:$P$1000,MATCH(33,Однолинейка!$BV$1:$BV$1000,0))="","","/"&amp;INDEX(Однолинейка!$P$1:$P$1000,MATCH(33,Однолинейка!$BV$1:$BV$1000,0))),"")</f>
      </c>
      <c r="D35" s="133">
        <f>IFERROR(INDEX(Однолинейка!$R$1:$R$1000,MATCH(33,Однолинейка!$BV$1:$BV$1000,0)),"")</f>
      </c>
      <c r="E35" s="133">
        <f>IFERROR(INDEX(Однолинейка!$S$1:$S$1000,MATCH(33,Однолинейка!$BV$1:$BV$1000,0)),"")</f>
      </c>
      <c r="F35" s="133">
        <f>IFERROR(INDEX(Однолинейка!$Q$1:$Q$1000,MATCH(33,Однолинейка!$BV$1:$BV$1000,0)),"")</f>
      </c>
    </row>
    <row r="36">
      <c r="A36" s="133">
        <f>IF(ISNUMBER(MATCH(34,Однолинейка!$BV$1:$BV$1000,0)),34,"")</f>
      </c>
      <c r="B36" s="133">
        <f>IFERROR(INDEX(Однолинейка!$A$1:$A$1000,MATCH(34,Однолинейка!$BV$1:$BV$1000,0)),"")</f>
      </c>
      <c r="C36" s="133">
        <f>IFERROR(INDEX(Однолинейка!$G$1:$G$1000,MATCH(34,Однолинейка!$BV$1:$BV$1000,0))&amp;IF(INDEX(Однолинейка!$P$1:$P$1000,MATCH(34,Однолинейка!$BV$1:$BV$1000,0))="","","/"&amp;INDEX(Однолинейка!$P$1:$P$1000,MATCH(34,Однолинейка!$BV$1:$BV$1000,0))),"")</f>
      </c>
      <c r="D36" s="133">
        <f>IFERROR(INDEX(Однолинейка!$R$1:$R$1000,MATCH(34,Однолинейка!$BV$1:$BV$1000,0)),"")</f>
      </c>
      <c r="E36" s="133">
        <f>IFERROR(INDEX(Однолинейка!$S$1:$S$1000,MATCH(34,Однолинейка!$BV$1:$BV$1000,0)),"")</f>
      </c>
      <c r="F36" s="133">
        <f>IFERROR(INDEX(Однолинейка!$Q$1:$Q$1000,MATCH(34,Однолинейка!$BV$1:$BV$1000,0)),"")</f>
      </c>
    </row>
    <row r="37">
      <c r="A37" s="133">
        <f>IF(ISNUMBER(MATCH(35,Однолинейка!$BV$1:$BV$1000,0)),35,"")</f>
      </c>
      <c r="B37" s="133">
        <f>IFERROR(INDEX(Однолинейка!$A$1:$A$1000,MATCH(35,Однолинейка!$BV$1:$BV$1000,0)),"")</f>
      </c>
      <c r="C37" s="133">
        <f>IFERROR(INDEX(Однолинейка!$G$1:$G$1000,MATCH(35,Однолинейка!$BV$1:$BV$1000,0))&amp;IF(INDEX(Однолинейка!$P$1:$P$1000,MATCH(35,Однолинейка!$BV$1:$BV$1000,0))="","","/"&amp;INDEX(Однолинейка!$P$1:$P$1000,MATCH(35,Однолинейка!$BV$1:$BV$1000,0))),"")</f>
      </c>
      <c r="D37" s="133">
        <f>IFERROR(INDEX(Однолинейка!$R$1:$R$1000,MATCH(35,Однолинейка!$BV$1:$BV$1000,0)),"")</f>
      </c>
      <c r="E37" s="133">
        <f>IFERROR(INDEX(Однолинейка!$S$1:$S$1000,MATCH(35,Однолинейка!$BV$1:$BV$1000,0)),"")</f>
      </c>
      <c r="F37" s="133">
        <f>IFERROR(INDEX(Однолинейка!$Q$1:$Q$1000,MATCH(35,Однолинейка!$BV$1:$BV$1000,0)),"")</f>
      </c>
    </row>
    <row r="38">
      <c r="A38" s="133">
        <f>IF(ISNUMBER(MATCH(36,Однолинейка!$BV$1:$BV$1000,0)),36,"")</f>
      </c>
      <c r="B38" s="133">
        <f>IFERROR(INDEX(Однолинейка!$A$1:$A$1000,MATCH(36,Однолинейка!$BV$1:$BV$1000,0)),"")</f>
      </c>
      <c r="C38" s="133">
        <f>IFERROR(INDEX(Однолинейка!$G$1:$G$1000,MATCH(36,Однолинейка!$BV$1:$BV$1000,0))&amp;IF(INDEX(Однолинейка!$P$1:$P$1000,MATCH(36,Однолинейка!$BV$1:$BV$1000,0))="","","/"&amp;INDEX(Однолинейка!$P$1:$P$1000,MATCH(36,Однолинейка!$BV$1:$BV$1000,0))),"")</f>
      </c>
      <c r="D38" s="133">
        <f>IFERROR(INDEX(Однолинейка!$R$1:$R$1000,MATCH(36,Однолинейка!$BV$1:$BV$1000,0)),"")</f>
      </c>
      <c r="E38" s="133">
        <f>IFERROR(INDEX(Однолинейка!$S$1:$S$1000,MATCH(36,Однолинейка!$BV$1:$BV$1000,0)),"")</f>
      </c>
      <c r="F38" s="133">
        <f>IFERROR(INDEX(Однолинейка!$Q$1:$Q$1000,MATCH(36,Однолинейка!$BV$1:$BV$1000,0)),"")</f>
      </c>
    </row>
    <row r="39">
      <c r="A39" s="133">
        <f>IF(ISNUMBER(MATCH(37,Однолинейка!$BV$1:$BV$1000,0)),37,"")</f>
      </c>
      <c r="B39" s="133">
        <f>IFERROR(INDEX(Однолинейка!$A$1:$A$1000,MATCH(37,Однолинейка!$BV$1:$BV$1000,0)),"")</f>
      </c>
      <c r="C39" s="133">
        <f>IFERROR(INDEX(Однолинейка!$G$1:$G$1000,MATCH(37,Однолинейка!$BV$1:$BV$1000,0))&amp;IF(INDEX(Однолинейка!$P$1:$P$1000,MATCH(37,Однолинейка!$BV$1:$BV$1000,0))="","","/"&amp;INDEX(Однолинейка!$P$1:$P$1000,MATCH(37,Однолинейка!$BV$1:$BV$1000,0))),"")</f>
      </c>
      <c r="D39" s="133">
        <f>IFERROR(INDEX(Однолинейка!$R$1:$R$1000,MATCH(37,Однолинейка!$BV$1:$BV$1000,0)),"")</f>
      </c>
      <c r="E39" s="133">
        <f>IFERROR(INDEX(Однолинейка!$S$1:$S$1000,MATCH(37,Однолинейка!$BV$1:$BV$1000,0)),"")</f>
      </c>
      <c r="F39" s="133">
        <f>IFERROR(INDEX(Однолинейка!$Q$1:$Q$1000,MATCH(37,Однолинейка!$BV$1:$BV$1000,0)),"")</f>
      </c>
    </row>
    <row r="40">
      <c r="A40" s="133">
        <f>IF(ISNUMBER(MATCH(38,Однолинейка!$BV$1:$BV$1000,0)),38,"")</f>
      </c>
      <c r="B40" s="133">
        <f>IFERROR(INDEX(Однолинейка!$A$1:$A$1000,MATCH(38,Однолинейка!$BV$1:$BV$1000,0)),"")</f>
      </c>
      <c r="C40" s="133">
        <f>IFERROR(INDEX(Однолинейка!$G$1:$G$1000,MATCH(38,Однолинейка!$BV$1:$BV$1000,0))&amp;IF(INDEX(Однолинейка!$P$1:$P$1000,MATCH(38,Однолинейка!$BV$1:$BV$1000,0))="","","/"&amp;INDEX(Однолинейка!$P$1:$P$1000,MATCH(38,Однолинейка!$BV$1:$BV$1000,0))),"")</f>
      </c>
      <c r="D40" s="133">
        <f>IFERROR(INDEX(Однолинейка!$R$1:$R$1000,MATCH(38,Однолинейка!$BV$1:$BV$1000,0)),"")</f>
      </c>
      <c r="E40" s="133">
        <f>IFERROR(INDEX(Однолинейка!$S$1:$S$1000,MATCH(38,Однолинейка!$BV$1:$BV$1000,0)),"")</f>
      </c>
      <c r="F40" s="133">
        <f>IFERROR(INDEX(Однолинейка!$Q$1:$Q$1000,MATCH(38,Однолинейка!$BV$1:$BV$1000,0)),"")</f>
      </c>
    </row>
    <row r="41">
      <c r="A41" s="133">
        <f>IF(ISNUMBER(MATCH(39,Однолинейка!$BV$1:$BV$1000,0)),39,"")</f>
      </c>
      <c r="B41" s="133">
        <f>IFERROR(INDEX(Однолинейка!$A$1:$A$1000,MATCH(39,Однолинейка!$BV$1:$BV$1000,0)),"")</f>
      </c>
      <c r="C41" s="133">
        <f>IFERROR(INDEX(Однолинейка!$G$1:$G$1000,MATCH(39,Однолинейка!$BV$1:$BV$1000,0))&amp;IF(INDEX(Однолинейка!$P$1:$P$1000,MATCH(39,Однолинейка!$BV$1:$BV$1000,0))="","","/"&amp;INDEX(Однолинейка!$P$1:$P$1000,MATCH(39,Однолинейка!$BV$1:$BV$1000,0))),"")</f>
      </c>
      <c r="D41" s="133">
        <f>IFERROR(INDEX(Однолинейка!$R$1:$R$1000,MATCH(39,Однолинейка!$BV$1:$BV$1000,0)),"")</f>
      </c>
      <c r="E41" s="133">
        <f>IFERROR(INDEX(Однолинейка!$S$1:$S$1000,MATCH(39,Однолинейка!$BV$1:$BV$1000,0)),"")</f>
      </c>
      <c r="F41" s="133">
        <f>IFERROR(INDEX(Однолинейка!$Q$1:$Q$1000,MATCH(39,Однолинейка!$BV$1:$BV$1000,0)),"")</f>
      </c>
    </row>
    <row r="42">
      <c r="A42" s="133">
        <f>IF(ISNUMBER(MATCH(40,Однолинейка!$BV$1:$BV$1000,0)),40,"")</f>
      </c>
      <c r="B42" s="133">
        <f>IFERROR(INDEX(Однолинейка!$A$1:$A$1000,MATCH(40,Однолинейка!$BV$1:$BV$1000,0)),"")</f>
      </c>
      <c r="C42" s="133">
        <f>IFERROR(INDEX(Однолинейка!$G$1:$G$1000,MATCH(40,Однолинейка!$BV$1:$BV$1000,0))&amp;IF(INDEX(Однолинейка!$P$1:$P$1000,MATCH(40,Однолинейка!$BV$1:$BV$1000,0))="","","/"&amp;INDEX(Однолинейка!$P$1:$P$1000,MATCH(40,Однолинейка!$BV$1:$BV$1000,0))),"")</f>
      </c>
      <c r="D42" s="133">
        <f>IFERROR(INDEX(Однолинейка!$R$1:$R$1000,MATCH(40,Однолинейка!$BV$1:$BV$1000,0)),"")</f>
      </c>
      <c r="E42" s="133">
        <f>IFERROR(INDEX(Однолинейка!$S$1:$S$1000,MATCH(40,Однолинейка!$BV$1:$BV$1000,0)),"")</f>
      </c>
      <c r="F42" s="133">
        <f>IFERROR(INDEX(Однолинейка!$Q$1:$Q$1000,MATCH(40,Однолинейка!$BV$1:$BV$1000,0)),"")</f>
      </c>
    </row>
    <row r="43">
      <c r="A43" s="133">
        <f>IF(ISNUMBER(MATCH(41,Однолинейка!$BV$1:$BV$1000,0)),41,"")</f>
      </c>
      <c r="B43" s="133">
        <f>IFERROR(INDEX(Однолинейка!$A$1:$A$1000,MATCH(41,Однолинейка!$BV$1:$BV$1000,0)),"")</f>
      </c>
      <c r="C43" s="133">
        <f>IFERROR(INDEX(Однолинейка!$G$1:$G$1000,MATCH(41,Однолинейка!$BV$1:$BV$1000,0))&amp;IF(INDEX(Однолинейка!$P$1:$P$1000,MATCH(41,Однолинейка!$BV$1:$BV$1000,0))="","","/"&amp;INDEX(Однолинейка!$P$1:$P$1000,MATCH(41,Однолинейка!$BV$1:$BV$1000,0))),"")</f>
      </c>
      <c r="D43" s="133">
        <f>IFERROR(INDEX(Однолинейка!$R$1:$R$1000,MATCH(41,Однолинейка!$BV$1:$BV$1000,0)),"")</f>
      </c>
      <c r="E43" s="133">
        <f>IFERROR(INDEX(Однолинейка!$S$1:$S$1000,MATCH(41,Однолинейка!$BV$1:$BV$1000,0)),"")</f>
      </c>
      <c r="F43" s="133">
        <f>IFERROR(INDEX(Однолинейка!$Q$1:$Q$1000,MATCH(41,Однолинейка!$BV$1:$BV$1000,0)),"")</f>
      </c>
    </row>
    <row r="44">
      <c r="A44" s="133">
        <f>IF(ISNUMBER(MATCH(42,Однолинейка!$BV$1:$BV$1000,0)),42,"")</f>
      </c>
      <c r="B44" s="133">
        <f>IFERROR(INDEX(Однолинейка!$A$1:$A$1000,MATCH(42,Однолинейка!$BV$1:$BV$1000,0)),"")</f>
      </c>
      <c r="C44" s="133">
        <f>IFERROR(INDEX(Однолинейка!$G$1:$G$1000,MATCH(42,Однолинейка!$BV$1:$BV$1000,0))&amp;IF(INDEX(Однолинейка!$P$1:$P$1000,MATCH(42,Однолинейка!$BV$1:$BV$1000,0))="","","/"&amp;INDEX(Однолинейка!$P$1:$P$1000,MATCH(42,Однолинейка!$BV$1:$BV$1000,0))),"")</f>
      </c>
      <c r="D44" s="133">
        <f>IFERROR(INDEX(Однолинейка!$R$1:$R$1000,MATCH(42,Однолинейка!$BV$1:$BV$1000,0)),"")</f>
      </c>
      <c r="E44" s="133">
        <f>IFERROR(INDEX(Однолинейка!$S$1:$S$1000,MATCH(42,Однолинейка!$BV$1:$BV$1000,0)),"")</f>
      </c>
      <c r="F44" s="133">
        <f>IFERROR(INDEX(Однолинейка!$Q$1:$Q$1000,MATCH(42,Однолинейка!$BV$1:$BV$1000,0)),"")</f>
      </c>
    </row>
    <row r="45">
      <c r="A45" s="133">
        <f>IF(ISNUMBER(MATCH(43,Однолинейка!$BV$1:$BV$1000,0)),43,"")</f>
      </c>
      <c r="B45" s="133">
        <f>IFERROR(INDEX(Однолинейка!$A$1:$A$1000,MATCH(43,Однолинейка!$BV$1:$BV$1000,0)),"")</f>
      </c>
      <c r="C45" s="133">
        <f>IFERROR(INDEX(Однолинейка!$G$1:$G$1000,MATCH(43,Однолинейка!$BV$1:$BV$1000,0))&amp;IF(INDEX(Однолинейка!$P$1:$P$1000,MATCH(43,Однолинейка!$BV$1:$BV$1000,0))="","","/"&amp;INDEX(Однолинейка!$P$1:$P$1000,MATCH(43,Однолинейка!$BV$1:$BV$1000,0))),"")</f>
      </c>
      <c r="D45" s="133">
        <f>IFERROR(INDEX(Однолинейка!$R$1:$R$1000,MATCH(43,Однолинейка!$BV$1:$BV$1000,0)),"")</f>
      </c>
      <c r="E45" s="133">
        <f>IFERROR(INDEX(Однолинейка!$S$1:$S$1000,MATCH(43,Однолинейка!$BV$1:$BV$1000,0)),"")</f>
      </c>
      <c r="F45" s="133">
        <f>IFERROR(INDEX(Однолинейка!$Q$1:$Q$1000,MATCH(43,Однолинейка!$BV$1:$BV$1000,0)),"")</f>
      </c>
    </row>
    <row r="46">
      <c r="A46" s="133">
        <f>IF(ISNUMBER(MATCH(44,Однолинейка!$BV$1:$BV$1000,0)),44,"")</f>
      </c>
      <c r="B46" s="133">
        <f>IFERROR(INDEX(Однолинейка!$A$1:$A$1000,MATCH(44,Однолинейка!$BV$1:$BV$1000,0)),"")</f>
      </c>
      <c r="C46" s="133">
        <f>IFERROR(INDEX(Однолинейка!$G$1:$G$1000,MATCH(44,Однолинейка!$BV$1:$BV$1000,0))&amp;IF(INDEX(Однолинейка!$P$1:$P$1000,MATCH(44,Однолинейка!$BV$1:$BV$1000,0))="","","/"&amp;INDEX(Однолинейка!$P$1:$P$1000,MATCH(44,Однолинейка!$BV$1:$BV$1000,0))),"")</f>
      </c>
      <c r="D46" s="133">
        <f>IFERROR(INDEX(Однолинейка!$R$1:$R$1000,MATCH(44,Однолинейка!$BV$1:$BV$1000,0)),"")</f>
      </c>
      <c r="E46" s="133">
        <f>IFERROR(INDEX(Однолинейка!$S$1:$S$1000,MATCH(44,Однолинейка!$BV$1:$BV$1000,0)),"")</f>
      </c>
      <c r="F46" s="133">
        <f>IFERROR(INDEX(Однолинейка!$Q$1:$Q$1000,MATCH(44,Однолинейка!$BV$1:$BV$1000,0)),"")</f>
      </c>
    </row>
    <row r="47">
      <c r="A47" s="133">
        <f>IF(ISNUMBER(MATCH(45,Однолинейка!$BV$1:$BV$1000,0)),45,"")</f>
      </c>
      <c r="B47" s="133">
        <f>IFERROR(INDEX(Однолинейка!$A$1:$A$1000,MATCH(45,Однолинейка!$BV$1:$BV$1000,0)),"")</f>
      </c>
      <c r="C47" s="133">
        <f>IFERROR(INDEX(Однолинейка!$G$1:$G$1000,MATCH(45,Однолинейка!$BV$1:$BV$1000,0))&amp;IF(INDEX(Однолинейка!$P$1:$P$1000,MATCH(45,Однолинейка!$BV$1:$BV$1000,0))="","","/"&amp;INDEX(Однолинейка!$P$1:$P$1000,MATCH(45,Однолинейка!$BV$1:$BV$1000,0))),"")</f>
      </c>
      <c r="D47" s="133">
        <f>IFERROR(INDEX(Однолинейка!$R$1:$R$1000,MATCH(45,Однолинейка!$BV$1:$BV$1000,0)),"")</f>
      </c>
      <c r="E47" s="133">
        <f>IFERROR(INDEX(Однолинейка!$S$1:$S$1000,MATCH(45,Однолинейка!$BV$1:$BV$1000,0)),"")</f>
      </c>
      <c r="F47" s="133">
        <f>IFERROR(INDEX(Однолинейка!$Q$1:$Q$1000,MATCH(45,Однолинейка!$BV$1:$BV$1000,0)),"")</f>
      </c>
    </row>
    <row r="48">
      <c r="A48" s="133">
        <f>IF(ISNUMBER(MATCH(46,Однолинейка!$BV$1:$BV$1000,0)),46,"")</f>
      </c>
      <c r="B48" s="133">
        <f>IFERROR(INDEX(Однолинейка!$A$1:$A$1000,MATCH(46,Однолинейка!$BV$1:$BV$1000,0)),"")</f>
      </c>
      <c r="C48" s="133">
        <f>IFERROR(INDEX(Однолинейка!$G$1:$G$1000,MATCH(46,Однолинейка!$BV$1:$BV$1000,0))&amp;IF(INDEX(Однолинейка!$P$1:$P$1000,MATCH(46,Однолинейка!$BV$1:$BV$1000,0))="","","/"&amp;INDEX(Однолинейка!$P$1:$P$1000,MATCH(46,Однолинейка!$BV$1:$BV$1000,0))),"")</f>
      </c>
      <c r="D48" s="133">
        <f>IFERROR(INDEX(Однолинейка!$R$1:$R$1000,MATCH(46,Однолинейка!$BV$1:$BV$1000,0)),"")</f>
      </c>
      <c r="E48" s="133">
        <f>IFERROR(INDEX(Однолинейка!$S$1:$S$1000,MATCH(46,Однолинейка!$BV$1:$BV$1000,0)),"")</f>
      </c>
      <c r="F48" s="133">
        <f>IFERROR(INDEX(Однолинейка!$Q$1:$Q$1000,MATCH(46,Однолинейка!$BV$1:$BV$1000,0)),"")</f>
      </c>
    </row>
    <row r="49">
      <c r="A49" s="133">
        <f>IF(ISNUMBER(MATCH(47,Однолинейка!$BV$1:$BV$1000,0)),47,"")</f>
      </c>
      <c r="B49" s="133">
        <f>IFERROR(INDEX(Однолинейка!$A$1:$A$1000,MATCH(47,Однолинейка!$BV$1:$BV$1000,0)),"")</f>
      </c>
      <c r="C49" s="133">
        <f>IFERROR(INDEX(Однолинейка!$G$1:$G$1000,MATCH(47,Однолинейка!$BV$1:$BV$1000,0))&amp;IF(INDEX(Однолинейка!$P$1:$P$1000,MATCH(47,Однолинейка!$BV$1:$BV$1000,0))="","","/"&amp;INDEX(Однолинейка!$P$1:$P$1000,MATCH(47,Однолинейка!$BV$1:$BV$1000,0))),"")</f>
      </c>
      <c r="D49" s="133">
        <f>IFERROR(INDEX(Однолинейка!$R$1:$R$1000,MATCH(47,Однолинейка!$BV$1:$BV$1000,0)),"")</f>
      </c>
      <c r="E49" s="133">
        <f>IFERROR(INDEX(Однолинейка!$S$1:$S$1000,MATCH(47,Однолинейка!$BV$1:$BV$1000,0)),"")</f>
      </c>
      <c r="F49" s="133">
        <f>IFERROR(INDEX(Однолинейка!$Q$1:$Q$1000,MATCH(47,Однолинейка!$BV$1:$BV$1000,0)),"")</f>
      </c>
    </row>
    <row r="50">
      <c r="A50" s="133">
        <f>IF(ISNUMBER(MATCH(48,Однолинейка!$BV$1:$BV$1000,0)),48,"")</f>
      </c>
      <c r="B50" s="133">
        <f>IFERROR(INDEX(Однолинейка!$A$1:$A$1000,MATCH(48,Однолинейка!$BV$1:$BV$1000,0)),"")</f>
      </c>
      <c r="C50" s="133">
        <f>IFERROR(INDEX(Однолинейка!$G$1:$G$1000,MATCH(48,Однолинейка!$BV$1:$BV$1000,0))&amp;IF(INDEX(Однолинейка!$P$1:$P$1000,MATCH(48,Однолинейка!$BV$1:$BV$1000,0))="","","/"&amp;INDEX(Однолинейка!$P$1:$P$1000,MATCH(48,Однолинейка!$BV$1:$BV$1000,0))),"")</f>
      </c>
      <c r="D50" s="133">
        <f>IFERROR(INDEX(Однолинейка!$R$1:$R$1000,MATCH(48,Однолинейка!$BV$1:$BV$1000,0)),"")</f>
      </c>
      <c r="E50" s="133">
        <f>IFERROR(INDEX(Однолинейка!$S$1:$S$1000,MATCH(48,Однолинейка!$BV$1:$BV$1000,0)),"")</f>
      </c>
      <c r="F50" s="133">
        <f>IFERROR(INDEX(Однолинейка!$Q$1:$Q$1000,MATCH(48,Однолинейка!$BV$1:$BV$1000,0)),"")</f>
      </c>
    </row>
    <row r="51">
      <c r="A51" s="133">
        <f>IF(ISNUMBER(MATCH(49,Однолинейка!$BV$1:$BV$1000,0)),49,"")</f>
      </c>
      <c r="B51" s="133">
        <f>IFERROR(INDEX(Однолинейка!$A$1:$A$1000,MATCH(49,Однолинейка!$BV$1:$BV$1000,0)),"")</f>
      </c>
      <c r="C51" s="133">
        <f>IFERROR(INDEX(Однолинейка!$G$1:$G$1000,MATCH(49,Однолинейка!$BV$1:$BV$1000,0))&amp;IF(INDEX(Однолинейка!$P$1:$P$1000,MATCH(49,Однолинейка!$BV$1:$BV$1000,0))="","","/"&amp;INDEX(Однолинейка!$P$1:$P$1000,MATCH(49,Однолинейка!$BV$1:$BV$1000,0))),"")</f>
      </c>
      <c r="D51" s="133">
        <f>IFERROR(INDEX(Однолинейка!$R$1:$R$1000,MATCH(49,Однолинейка!$BV$1:$BV$1000,0)),"")</f>
      </c>
      <c r="E51" s="133">
        <f>IFERROR(INDEX(Однолинейка!$S$1:$S$1000,MATCH(49,Однолинейка!$BV$1:$BV$1000,0)),"")</f>
      </c>
      <c r="F51" s="133">
        <f>IFERROR(INDEX(Однолинейка!$Q$1:$Q$1000,MATCH(49,Однолинейка!$BV$1:$BV$1000,0)),"")</f>
      </c>
    </row>
    <row r="52">
      <c r="A52" s="133">
        <f>IF(ISNUMBER(MATCH(50,Однолинейка!$BV$1:$BV$1000,0)),50,"")</f>
      </c>
      <c r="B52" s="133">
        <f>IFERROR(INDEX(Однолинейка!$A$1:$A$1000,MATCH(50,Однолинейка!$BV$1:$BV$1000,0)),"")</f>
      </c>
      <c r="C52" s="133">
        <f>IFERROR(INDEX(Однолинейка!$G$1:$G$1000,MATCH(50,Однолинейка!$BV$1:$BV$1000,0))&amp;IF(INDEX(Однолинейка!$P$1:$P$1000,MATCH(50,Однолинейка!$BV$1:$BV$1000,0))="","","/"&amp;INDEX(Однолинейка!$P$1:$P$1000,MATCH(50,Однолинейка!$BV$1:$BV$1000,0))),"")</f>
      </c>
      <c r="D52" s="133">
        <f>IFERROR(INDEX(Однолинейка!$R$1:$R$1000,MATCH(50,Однолинейка!$BV$1:$BV$1000,0)),"")</f>
      </c>
      <c r="E52" s="133">
        <f>IFERROR(INDEX(Однолинейка!$S$1:$S$1000,MATCH(50,Однолинейка!$BV$1:$BV$1000,0)),"")</f>
      </c>
      <c r="F52" s="133">
        <f>IFERROR(INDEX(Однолинейка!$Q$1:$Q$1000,MATCH(50,Однолинейка!$BV$1:$BV$1000,0)),"")</f>
      </c>
    </row>
    <row r="53">
      <c r="A53" s="133">
        <f>IF(ISNUMBER(MATCH(51,Однолинейка!$BV$1:$BV$1000,0)),51,"")</f>
      </c>
      <c r="B53" s="133">
        <f>IFERROR(INDEX(Однолинейка!$A$1:$A$1000,MATCH(51,Однолинейка!$BV$1:$BV$1000,0)),"")</f>
      </c>
      <c r="C53" s="133">
        <f>IFERROR(INDEX(Однолинейка!$G$1:$G$1000,MATCH(51,Однолинейка!$BV$1:$BV$1000,0))&amp;IF(INDEX(Однолинейка!$P$1:$P$1000,MATCH(51,Однолинейка!$BV$1:$BV$1000,0))="","","/"&amp;INDEX(Однолинейка!$P$1:$P$1000,MATCH(51,Однолинейка!$BV$1:$BV$1000,0))),"")</f>
      </c>
      <c r="D53" s="133">
        <f>IFERROR(INDEX(Однолинейка!$R$1:$R$1000,MATCH(51,Однолинейка!$BV$1:$BV$1000,0)),"")</f>
      </c>
      <c r="E53" s="133">
        <f>IFERROR(INDEX(Однолинейка!$S$1:$S$1000,MATCH(51,Однолинейка!$BV$1:$BV$1000,0)),"")</f>
      </c>
      <c r="F53" s="133">
        <f>IFERROR(INDEX(Однолинейка!$Q$1:$Q$1000,MATCH(51,Однолинейка!$BV$1:$BV$1000,0)),"")</f>
      </c>
    </row>
    <row r="54">
      <c r="A54" s="133">
        <f>IF(ISNUMBER(MATCH(52,Однолинейка!$BV$1:$BV$1000,0)),52,"")</f>
      </c>
      <c r="B54" s="133">
        <f>IFERROR(INDEX(Однолинейка!$A$1:$A$1000,MATCH(52,Однолинейка!$BV$1:$BV$1000,0)),"")</f>
      </c>
      <c r="C54" s="133">
        <f>IFERROR(INDEX(Однолинейка!$G$1:$G$1000,MATCH(52,Однолинейка!$BV$1:$BV$1000,0))&amp;IF(INDEX(Однолинейка!$P$1:$P$1000,MATCH(52,Однолинейка!$BV$1:$BV$1000,0))="","","/"&amp;INDEX(Однолинейка!$P$1:$P$1000,MATCH(52,Однолинейка!$BV$1:$BV$1000,0))),"")</f>
      </c>
      <c r="D54" s="133">
        <f>IFERROR(INDEX(Однолинейка!$R$1:$R$1000,MATCH(52,Однолинейка!$BV$1:$BV$1000,0)),"")</f>
      </c>
      <c r="E54" s="133">
        <f>IFERROR(INDEX(Однолинейка!$S$1:$S$1000,MATCH(52,Однолинейка!$BV$1:$BV$1000,0)),"")</f>
      </c>
      <c r="F54" s="133">
        <f>IFERROR(INDEX(Однолинейка!$Q$1:$Q$1000,MATCH(52,Однолинейка!$BV$1:$BV$1000,0)),"")</f>
      </c>
    </row>
    <row r="55">
      <c r="A55" s="133">
        <f>IF(ISNUMBER(MATCH(53,Однолинейка!$BV$1:$BV$1000,0)),53,"")</f>
      </c>
      <c r="B55" s="133">
        <f>IFERROR(INDEX(Однолинейка!$A$1:$A$1000,MATCH(53,Однолинейка!$BV$1:$BV$1000,0)),"")</f>
      </c>
      <c r="C55" s="133">
        <f>IFERROR(INDEX(Однолинейка!$G$1:$G$1000,MATCH(53,Однолинейка!$BV$1:$BV$1000,0))&amp;IF(INDEX(Однолинейка!$P$1:$P$1000,MATCH(53,Однолинейка!$BV$1:$BV$1000,0))="","","/"&amp;INDEX(Однолинейка!$P$1:$P$1000,MATCH(53,Однолинейка!$BV$1:$BV$1000,0))),"")</f>
      </c>
      <c r="D55" s="133">
        <f>IFERROR(INDEX(Однолинейка!$R$1:$R$1000,MATCH(53,Однолинейка!$BV$1:$BV$1000,0)),"")</f>
      </c>
      <c r="E55" s="133">
        <f>IFERROR(INDEX(Однолинейка!$S$1:$S$1000,MATCH(53,Однолинейка!$BV$1:$BV$1000,0)),"")</f>
      </c>
      <c r="F55" s="133">
        <f>IFERROR(INDEX(Однолинейка!$Q$1:$Q$1000,MATCH(53,Однолинейка!$BV$1:$BV$1000,0)),"")</f>
      </c>
    </row>
    <row r="56">
      <c r="A56" s="133">
        <f>IF(ISNUMBER(MATCH(54,Однолинейка!$BV$1:$BV$1000,0)),54,"")</f>
      </c>
      <c r="B56" s="133">
        <f>IFERROR(INDEX(Однолинейка!$A$1:$A$1000,MATCH(54,Однолинейка!$BV$1:$BV$1000,0)),"")</f>
      </c>
      <c r="C56" s="133">
        <f>IFERROR(INDEX(Однолинейка!$G$1:$G$1000,MATCH(54,Однолинейка!$BV$1:$BV$1000,0))&amp;IF(INDEX(Однолинейка!$P$1:$P$1000,MATCH(54,Однолинейка!$BV$1:$BV$1000,0))="","","/"&amp;INDEX(Однолинейка!$P$1:$P$1000,MATCH(54,Однолинейка!$BV$1:$BV$1000,0))),"")</f>
      </c>
      <c r="D56" s="133">
        <f>IFERROR(INDEX(Однолинейка!$R$1:$R$1000,MATCH(54,Однолинейка!$BV$1:$BV$1000,0)),"")</f>
      </c>
      <c r="E56" s="133">
        <f>IFERROR(INDEX(Однолинейка!$S$1:$S$1000,MATCH(54,Однолинейка!$BV$1:$BV$1000,0)),"")</f>
      </c>
      <c r="F56" s="133">
        <f>IFERROR(INDEX(Однолинейка!$Q$1:$Q$1000,MATCH(54,Однолинейка!$BV$1:$BV$1000,0)),"")</f>
      </c>
    </row>
    <row r="57">
      <c r="A57" s="133">
        <f>IF(ISNUMBER(MATCH(55,Однолинейка!$BV$1:$BV$1000,0)),55,"")</f>
      </c>
      <c r="B57" s="133">
        <f>IFERROR(INDEX(Однолинейка!$A$1:$A$1000,MATCH(55,Однолинейка!$BV$1:$BV$1000,0)),"")</f>
      </c>
      <c r="C57" s="133">
        <f>IFERROR(INDEX(Однолинейка!$G$1:$G$1000,MATCH(55,Однолинейка!$BV$1:$BV$1000,0))&amp;IF(INDEX(Однолинейка!$P$1:$P$1000,MATCH(55,Однолинейка!$BV$1:$BV$1000,0))="","","/"&amp;INDEX(Однолинейка!$P$1:$P$1000,MATCH(55,Однолинейка!$BV$1:$BV$1000,0))),"")</f>
      </c>
      <c r="D57" s="133">
        <f>IFERROR(INDEX(Однолинейка!$R$1:$R$1000,MATCH(55,Однолинейка!$BV$1:$BV$1000,0)),"")</f>
      </c>
      <c r="E57" s="133">
        <f>IFERROR(INDEX(Однолинейка!$S$1:$S$1000,MATCH(55,Однолинейка!$BV$1:$BV$1000,0)),"")</f>
      </c>
      <c r="F57" s="133">
        <f>IFERROR(INDEX(Однолинейка!$Q$1:$Q$1000,MATCH(55,Однолинейка!$BV$1:$BV$1000,0)),"")</f>
      </c>
    </row>
    <row r="58">
      <c r="A58" s="133">
        <f>IF(ISNUMBER(MATCH(56,Однолинейка!$BV$1:$BV$1000,0)),56,"")</f>
      </c>
      <c r="B58" s="133">
        <f>IFERROR(INDEX(Однолинейка!$A$1:$A$1000,MATCH(56,Однолинейка!$BV$1:$BV$1000,0)),"")</f>
      </c>
      <c r="C58" s="133">
        <f>IFERROR(INDEX(Однолинейка!$G$1:$G$1000,MATCH(56,Однолинейка!$BV$1:$BV$1000,0))&amp;IF(INDEX(Однолинейка!$P$1:$P$1000,MATCH(56,Однолинейка!$BV$1:$BV$1000,0))="","","/"&amp;INDEX(Однолинейка!$P$1:$P$1000,MATCH(56,Однолинейка!$BV$1:$BV$1000,0))),"")</f>
      </c>
      <c r="D58" s="133">
        <f>IFERROR(INDEX(Однолинейка!$R$1:$R$1000,MATCH(56,Однолинейка!$BV$1:$BV$1000,0)),"")</f>
      </c>
      <c r="E58" s="133">
        <f>IFERROR(INDEX(Однолинейка!$S$1:$S$1000,MATCH(56,Однолинейка!$BV$1:$BV$1000,0)),"")</f>
      </c>
      <c r="F58" s="133">
        <f>IFERROR(INDEX(Однолинейка!$Q$1:$Q$1000,MATCH(56,Однолинейка!$BV$1:$BV$1000,0)),"")</f>
      </c>
    </row>
    <row r="59">
      <c r="A59" s="133">
        <f>IF(ISNUMBER(MATCH(57,Однолинейка!$BV$1:$BV$1000,0)),57,"")</f>
      </c>
      <c r="B59" s="133">
        <f>IFERROR(INDEX(Однолинейка!$A$1:$A$1000,MATCH(57,Однолинейка!$BV$1:$BV$1000,0)),"")</f>
      </c>
      <c r="C59" s="133">
        <f>IFERROR(INDEX(Однолинейка!$G$1:$G$1000,MATCH(57,Однолинейка!$BV$1:$BV$1000,0))&amp;IF(INDEX(Однолинейка!$P$1:$P$1000,MATCH(57,Однолинейка!$BV$1:$BV$1000,0))="","","/"&amp;INDEX(Однолинейка!$P$1:$P$1000,MATCH(57,Однолинейка!$BV$1:$BV$1000,0))),"")</f>
      </c>
      <c r="D59" s="133">
        <f>IFERROR(INDEX(Однолинейка!$R$1:$R$1000,MATCH(57,Однолинейка!$BV$1:$BV$1000,0)),"")</f>
      </c>
      <c r="E59" s="133">
        <f>IFERROR(INDEX(Однолинейка!$S$1:$S$1000,MATCH(57,Однолинейка!$BV$1:$BV$1000,0)),"")</f>
      </c>
      <c r="F59" s="133">
        <f>IFERROR(INDEX(Однолинейка!$Q$1:$Q$1000,MATCH(57,Однолинейка!$BV$1:$BV$1000,0)),"")</f>
      </c>
    </row>
    <row r="60">
      <c r="A60" s="133">
        <f>IF(ISNUMBER(MATCH(58,Однолинейка!$BV$1:$BV$1000,0)),58,"")</f>
      </c>
      <c r="B60" s="133">
        <f>IFERROR(INDEX(Однолинейка!$A$1:$A$1000,MATCH(58,Однолинейка!$BV$1:$BV$1000,0)),"")</f>
      </c>
      <c r="C60" s="133">
        <f>IFERROR(INDEX(Однолинейка!$G$1:$G$1000,MATCH(58,Однолинейка!$BV$1:$BV$1000,0))&amp;IF(INDEX(Однолинейка!$P$1:$P$1000,MATCH(58,Однолинейка!$BV$1:$BV$1000,0))="","","/"&amp;INDEX(Однолинейка!$P$1:$P$1000,MATCH(58,Однолинейка!$BV$1:$BV$1000,0))),"")</f>
      </c>
      <c r="D60" s="133">
        <f>IFERROR(INDEX(Однолинейка!$R$1:$R$1000,MATCH(58,Однолинейка!$BV$1:$BV$1000,0)),"")</f>
      </c>
      <c r="E60" s="133">
        <f>IFERROR(INDEX(Однолинейка!$S$1:$S$1000,MATCH(58,Однолинейка!$BV$1:$BV$1000,0)),"")</f>
      </c>
      <c r="F60" s="133">
        <f>IFERROR(INDEX(Однолинейка!$Q$1:$Q$1000,MATCH(58,Однолинейка!$BV$1:$BV$1000,0)),"")</f>
      </c>
    </row>
    <row r="61">
      <c r="A61" s="133">
        <f>IF(ISNUMBER(MATCH(59,Однолинейка!$BV$1:$BV$1000,0)),59,"")</f>
      </c>
      <c r="B61" s="133">
        <f>IFERROR(INDEX(Однолинейка!$A$1:$A$1000,MATCH(59,Однолинейка!$BV$1:$BV$1000,0)),"")</f>
      </c>
      <c r="C61" s="133">
        <f>IFERROR(INDEX(Однолинейка!$G$1:$G$1000,MATCH(59,Однолинейка!$BV$1:$BV$1000,0))&amp;IF(INDEX(Однолинейка!$P$1:$P$1000,MATCH(59,Однолинейка!$BV$1:$BV$1000,0))="","","/"&amp;INDEX(Однолинейка!$P$1:$P$1000,MATCH(59,Однолинейка!$BV$1:$BV$1000,0))),"")</f>
      </c>
      <c r="D61" s="133">
        <f>IFERROR(INDEX(Однолинейка!$R$1:$R$1000,MATCH(59,Однолинейка!$BV$1:$BV$1000,0)),"")</f>
      </c>
      <c r="E61" s="133">
        <f>IFERROR(INDEX(Однолинейка!$S$1:$S$1000,MATCH(59,Однолинейка!$BV$1:$BV$1000,0)),"")</f>
      </c>
      <c r="F61" s="133">
        <f>IFERROR(INDEX(Однолинейка!$Q$1:$Q$1000,MATCH(59,Однолинейка!$BV$1:$BV$1000,0)),"")</f>
      </c>
    </row>
    <row r="62">
      <c r="A62" s="133">
        <f>IF(ISNUMBER(MATCH(60,Однолинейка!$BV$1:$BV$1000,0)),60,"")</f>
      </c>
      <c r="B62" s="133">
        <f>IFERROR(INDEX(Однолинейка!$A$1:$A$1000,MATCH(60,Однолинейка!$BV$1:$BV$1000,0)),"")</f>
      </c>
      <c r="C62" s="133">
        <f>IFERROR(INDEX(Однолинейка!$G$1:$G$1000,MATCH(60,Однолинейка!$BV$1:$BV$1000,0))&amp;IF(INDEX(Однолинейка!$P$1:$P$1000,MATCH(60,Однолинейка!$BV$1:$BV$1000,0))="","","/"&amp;INDEX(Однолинейка!$P$1:$P$1000,MATCH(60,Однолинейка!$BV$1:$BV$1000,0))),"")</f>
      </c>
      <c r="D62" s="133">
        <f>IFERROR(INDEX(Однолинейка!$R$1:$R$1000,MATCH(60,Однолинейка!$BV$1:$BV$1000,0)),"")</f>
      </c>
      <c r="E62" s="133">
        <f>IFERROR(INDEX(Однолинейка!$S$1:$S$1000,MATCH(60,Однолинейка!$BV$1:$BV$1000,0)),"")</f>
      </c>
      <c r="F62" s="133">
        <f>IFERROR(INDEX(Однолинейка!$Q$1:$Q$1000,MATCH(60,Однолинейка!$BV$1:$BV$1000,0)),"")</f>
      </c>
    </row>
    <row r="63">
      <c r="A63" s="133">
        <f>IF(ISNUMBER(MATCH(61,Однолинейка!$BV$1:$BV$1000,0)),61,"")</f>
      </c>
      <c r="B63" s="133">
        <f>IFERROR(INDEX(Однолинейка!$A$1:$A$1000,MATCH(61,Однолинейка!$BV$1:$BV$1000,0)),"")</f>
      </c>
      <c r="C63" s="133">
        <f>IFERROR(INDEX(Однолинейка!$G$1:$G$1000,MATCH(61,Однолинейка!$BV$1:$BV$1000,0))&amp;IF(INDEX(Однолинейка!$P$1:$P$1000,MATCH(61,Однолинейка!$BV$1:$BV$1000,0))="","","/"&amp;INDEX(Однолинейка!$P$1:$P$1000,MATCH(61,Однолинейка!$BV$1:$BV$1000,0))),"")</f>
      </c>
      <c r="D63" s="133">
        <f>IFERROR(INDEX(Однолинейка!$R$1:$R$1000,MATCH(61,Однолинейка!$BV$1:$BV$1000,0)),"")</f>
      </c>
      <c r="E63" s="133">
        <f>IFERROR(INDEX(Однолинейка!$S$1:$S$1000,MATCH(61,Однолинейка!$BV$1:$BV$1000,0)),"")</f>
      </c>
      <c r="F63" s="133">
        <f>IFERROR(INDEX(Однолинейка!$Q$1:$Q$1000,MATCH(61,Однолинейка!$BV$1:$BV$1000,0)),"")</f>
      </c>
    </row>
    <row r="64">
      <c r="A64" s="133">
        <f>IF(ISNUMBER(MATCH(62,Однолинейка!$BV$1:$BV$1000,0)),62,"")</f>
      </c>
      <c r="B64" s="133">
        <f>IFERROR(INDEX(Однолинейка!$A$1:$A$1000,MATCH(62,Однолинейка!$BV$1:$BV$1000,0)),"")</f>
      </c>
      <c r="C64" s="133">
        <f>IFERROR(INDEX(Однолинейка!$G$1:$G$1000,MATCH(62,Однолинейка!$BV$1:$BV$1000,0))&amp;IF(INDEX(Однолинейка!$P$1:$P$1000,MATCH(62,Однолинейка!$BV$1:$BV$1000,0))="","","/"&amp;INDEX(Однолинейка!$P$1:$P$1000,MATCH(62,Однолинейка!$BV$1:$BV$1000,0))),"")</f>
      </c>
      <c r="D64" s="133">
        <f>IFERROR(INDEX(Однолинейка!$R$1:$R$1000,MATCH(62,Однолинейка!$BV$1:$BV$1000,0)),"")</f>
      </c>
      <c r="E64" s="133">
        <f>IFERROR(INDEX(Однолинейка!$S$1:$S$1000,MATCH(62,Однолинейка!$BV$1:$BV$1000,0)),"")</f>
      </c>
      <c r="F64" s="133">
        <f>IFERROR(INDEX(Однолинейка!$Q$1:$Q$1000,MATCH(62,Однолинейка!$BV$1:$BV$1000,0)),"")</f>
      </c>
    </row>
    <row r="65">
      <c r="A65" s="133">
        <f>IF(ISNUMBER(MATCH(63,Однолинейка!$BV$1:$BV$1000,0)),63,"")</f>
      </c>
      <c r="B65" s="133">
        <f>IFERROR(INDEX(Однолинейка!$A$1:$A$1000,MATCH(63,Однолинейка!$BV$1:$BV$1000,0)),"")</f>
      </c>
      <c r="C65" s="133">
        <f>IFERROR(INDEX(Однолинейка!$G$1:$G$1000,MATCH(63,Однолинейка!$BV$1:$BV$1000,0))&amp;IF(INDEX(Однолинейка!$P$1:$P$1000,MATCH(63,Однолинейка!$BV$1:$BV$1000,0))="","","/"&amp;INDEX(Однолинейка!$P$1:$P$1000,MATCH(63,Однолинейка!$BV$1:$BV$1000,0))),"")</f>
      </c>
      <c r="D65" s="133">
        <f>IFERROR(INDEX(Однолинейка!$R$1:$R$1000,MATCH(63,Однолинейка!$BV$1:$BV$1000,0)),"")</f>
      </c>
      <c r="E65" s="133">
        <f>IFERROR(INDEX(Однолинейка!$S$1:$S$1000,MATCH(63,Однолинейка!$BV$1:$BV$1000,0)),"")</f>
      </c>
      <c r="F65" s="133">
        <f>IFERROR(INDEX(Однолинейка!$Q$1:$Q$1000,MATCH(63,Однолинейка!$BV$1:$BV$1000,0)),"")</f>
      </c>
    </row>
    <row r="66">
      <c r="A66" s="133">
        <f>IF(ISNUMBER(MATCH(64,Однолинейка!$BV$1:$BV$1000,0)),64,"")</f>
      </c>
      <c r="B66" s="133">
        <f>IFERROR(INDEX(Однолинейка!$A$1:$A$1000,MATCH(64,Однолинейка!$BV$1:$BV$1000,0)),"")</f>
      </c>
      <c r="C66" s="133">
        <f>IFERROR(INDEX(Однолинейка!$G$1:$G$1000,MATCH(64,Однолинейка!$BV$1:$BV$1000,0))&amp;IF(INDEX(Однолинейка!$P$1:$P$1000,MATCH(64,Однолинейка!$BV$1:$BV$1000,0))="","","/"&amp;INDEX(Однолинейка!$P$1:$P$1000,MATCH(64,Однолинейка!$BV$1:$BV$1000,0))),"")</f>
      </c>
      <c r="D66" s="133">
        <f>IFERROR(INDEX(Однолинейка!$R$1:$R$1000,MATCH(64,Однолинейка!$BV$1:$BV$1000,0)),"")</f>
      </c>
      <c r="E66" s="133">
        <f>IFERROR(INDEX(Однолинейка!$S$1:$S$1000,MATCH(64,Однолинейка!$BV$1:$BV$1000,0)),"")</f>
      </c>
      <c r="F66" s="133">
        <f>IFERROR(INDEX(Однолинейка!$Q$1:$Q$1000,MATCH(64,Однолинейка!$BV$1:$BV$1000,0)),"")</f>
      </c>
    </row>
    <row r="67">
      <c r="A67" s="133">
        <f>IF(ISNUMBER(MATCH(65,Однолинейка!$BV$1:$BV$1000,0)),65,"")</f>
      </c>
      <c r="B67" s="133">
        <f>IFERROR(INDEX(Однолинейка!$A$1:$A$1000,MATCH(65,Однолинейка!$BV$1:$BV$1000,0)),"")</f>
      </c>
      <c r="C67" s="133">
        <f>IFERROR(INDEX(Однолинейка!$G$1:$G$1000,MATCH(65,Однолинейка!$BV$1:$BV$1000,0))&amp;IF(INDEX(Однолинейка!$P$1:$P$1000,MATCH(65,Однолинейка!$BV$1:$BV$1000,0))="","","/"&amp;INDEX(Однолинейка!$P$1:$P$1000,MATCH(65,Однолинейка!$BV$1:$BV$1000,0))),"")</f>
      </c>
      <c r="D67" s="133">
        <f>IFERROR(INDEX(Однолинейка!$R$1:$R$1000,MATCH(65,Однолинейка!$BV$1:$BV$1000,0)),"")</f>
      </c>
      <c r="E67" s="133">
        <f>IFERROR(INDEX(Однолинейка!$S$1:$S$1000,MATCH(65,Однолинейка!$BV$1:$BV$1000,0)),"")</f>
      </c>
      <c r="F67" s="133">
        <f>IFERROR(INDEX(Однолинейка!$Q$1:$Q$1000,MATCH(65,Однолинейка!$BV$1:$BV$1000,0)),"")</f>
      </c>
    </row>
    <row r="68">
      <c r="A68" s="133">
        <f>IF(ISNUMBER(MATCH(66,Однолинейка!$BV$1:$BV$1000,0)),66,"")</f>
      </c>
      <c r="B68" s="133">
        <f>IFERROR(INDEX(Однолинейка!$A$1:$A$1000,MATCH(66,Однолинейка!$BV$1:$BV$1000,0)),"")</f>
      </c>
      <c r="C68" s="133">
        <f>IFERROR(INDEX(Однолинейка!$G$1:$G$1000,MATCH(66,Однолинейка!$BV$1:$BV$1000,0))&amp;IF(INDEX(Однолинейка!$P$1:$P$1000,MATCH(66,Однолинейка!$BV$1:$BV$1000,0))="","","/"&amp;INDEX(Однолинейка!$P$1:$P$1000,MATCH(66,Однолинейка!$BV$1:$BV$1000,0))),"")</f>
      </c>
      <c r="D68" s="133">
        <f>IFERROR(INDEX(Однолинейка!$R$1:$R$1000,MATCH(66,Однолинейка!$BV$1:$BV$1000,0)),"")</f>
      </c>
      <c r="E68" s="133">
        <f>IFERROR(INDEX(Однолинейка!$S$1:$S$1000,MATCH(66,Однолинейка!$BV$1:$BV$1000,0)),"")</f>
      </c>
      <c r="F68" s="133">
        <f>IFERROR(INDEX(Однолинейка!$Q$1:$Q$1000,MATCH(66,Однолинейка!$BV$1:$BV$1000,0)),"")</f>
      </c>
    </row>
    <row r="69">
      <c r="A69" s="133">
        <f>IF(ISNUMBER(MATCH(67,Однолинейка!$BV$1:$BV$1000,0)),67,"")</f>
      </c>
      <c r="B69" s="133">
        <f>IFERROR(INDEX(Однолинейка!$A$1:$A$1000,MATCH(67,Однолинейка!$BV$1:$BV$1000,0)),"")</f>
      </c>
      <c r="C69" s="133">
        <f>IFERROR(INDEX(Однолинейка!$G$1:$G$1000,MATCH(67,Однолинейка!$BV$1:$BV$1000,0))&amp;IF(INDEX(Однолинейка!$P$1:$P$1000,MATCH(67,Однолинейка!$BV$1:$BV$1000,0))="","","/"&amp;INDEX(Однолинейка!$P$1:$P$1000,MATCH(67,Однолинейка!$BV$1:$BV$1000,0))),"")</f>
      </c>
      <c r="D69" s="133">
        <f>IFERROR(INDEX(Однолинейка!$R$1:$R$1000,MATCH(67,Однолинейка!$BV$1:$BV$1000,0)),"")</f>
      </c>
      <c r="E69" s="133">
        <f>IFERROR(INDEX(Однолинейка!$S$1:$S$1000,MATCH(67,Однолинейка!$BV$1:$BV$1000,0)),"")</f>
      </c>
      <c r="F69" s="133">
        <f>IFERROR(INDEX(Однолинейка!$Q$1:$Q$1000,MATCH(67,Однолинейка!$BV$1:$BV$1000,0)),"")</f>
      </c>
    </row>
    <row r="70">
      <c r="A70" s="133">
        <f>IF(ISNUMBER(MATCH(68,Однолинейка!$BV$1:$BV$1000,0)),68,"")</f>
      </c>
      <c r="B70" s="133">
        <f>IFERROR(INDEX(Однолинейка!$A$1:$A$1000,MATCH(68,Однолинейка!$BV$1:$BV$1000,0)),"")</f>
      </c>
      <c r="C70" s="133">
        <f>IFERROR(INDEX(Однолинейка!$G$1:$G$1000,MATCH(68,Однолинейка!$BV$1:$BV$1000,0))&amp;IF(INDEX(Однолинейка!$P$1:$P$1000,MATCH(68,Однолинейка!$BV$1:$BV$1000,0))="","","/"&amp;INDEX(Однолинейка!$P$1:$P$1000,MATCH(68,Однолинейка!$BV$1:$BV$1000,0))),"")</f>
      </c>
      <c r="D70" s="133">
        <f>IFERROR(INDEX(Однолинейка!$R$1:$R$1000,MATCH(68,Однолинейка!$BV$1:$BV$1000,0)),"")</f>
      </c>
      <c r="E70" s="133">
        <f>IFERROR(INDEX(Однолинейка!$S$1:$S$1000,MATCH(68,Однолинейка!$BV$1:$BV$1000,0)),"")</f>
      </c>
      <c r="F70" s="133">
        <f>IFERROR(INDEX(Однолинейка!$Q$1:$Q$1000,MATCH(68,Однолинейка!$BV$1:$BV$1000,0)),"")</f>
      </c>
    </row>
    <row r="71">
      <c r="A71" s="133">
        <f>IF(ISNUMBER(MATCH(69,Однолинейка!$BV$1:$BV$1000,0)),69,"")</f>
      </c>
      <c r="B71" s="133">
        <f>IFERROR(INDEX(Однолинейка!$A$1:$A$1000,MATCH(69,Однолинейка!$BV$1:$BV$1000,0)),"")</f>
      </c>
      <c r="C71" s="133">
        <f>IFERROR(INDEX(Однолинейка!$G$1:$G$1000,MATCH(69,Однолинейка!$BV$1:$BV$1000,0))&amp;IF(INDEX(Однолинейка!$P$1:$P$1000,MATCH(69,Однолинейка!$BV$1:$BV$1000,0))="","","/"&amp;INDEX(Однолинейка!$P$1:$P$1000,MATCH(69,Однолинейка!$BV$1:$BV$1000,0))),"")</f>
      </c>
      <c r="D71" s="133">
        <f>IFERROR(INDEX(Однолинейка!$R$1:$R$1000,MATCH(69,Однолинейка!$BV$1:$BV$1000,0)),"")</f>
      </c>
      <c r="E71" s="133">
        <f>IFERROR(INDEX(Однолинейка!$S$1:$S$1000,MATCH(69,Однолинейка!$BV$1:$BV$1000,0)),"")</f>
      </c>
      <c r="F71" s="133">
        <f>IFERROR(INDEX(Однолинейка!$Q$1:$Q$1000,MATCH(69,Однолинейка!$BV$1:$BV$1000,0)),"")</f>
      </c>
    </row>
    <row r="72">
      <c r="A72" s="133">
        <f>IF(ISNUMBER(MATCH(70,Однолинейка!$BV$1:$BV$1000,0)),70,"")</f>
      </c>
      <c r="B72" s="133">
        <f>IFERROR(INDEX(Однолинейка!$A$1:$A$1000,MATCH(70,Однолинейка!$BV$1:$BV$1000,0)),"")</f>
      </c>
      <c r="C72" s="133">
        <f>IFERROR(INDEX(Однолинейка!$G$1:$G$1000,MATCH(70,Однолинейка!$BV$1:$BV$1000,0))&amp;IF(INDEX(Однолинейка!$P$1:$P$1000,MATCH(70,Однолинейка!$BV$1:$BV$1000,0))="","","/"&amp;INDEX(Однолинейка!$P$1:$P$1000,MATCH(70,Однолинейка!$BV$1:$BV$1000,0))),"")</f>
      </c>
      <c r="D72" s="133">
        <f>IFERROR(INDEX(Однолинейка!$R$1:$R$1000,MATCH(70,Однолинейка!$BV$1:$BV$1000,0)),"")</f>
      </c>
      <c r="E72" s="133">
        <f>IFERROR(INDEX(Однолинейка!$S$1:$S$1000,MATCH(70,Однолинейка!$BV$1:$BV$1000,0)),"")</f>
      </c>
      <c r="F72" s="133">
        <f>IFERROR(INDEX(Однолинейка!$Q$1:$Q$1000,MATCH(70,Однолинейка!$BV$1:$BV$1000,0)),"")</f>
      </c>
    </row>
    <row r="73">
      <c r="A73" s="133">
        <f>IF(ISNUMBER(MATCH(71,Однолинейка!$BV$1:$BV$1000,0)),71,"")</f>
      </c>
      <c r="B73" s="133">
        <f>IFERROR(INDEX(Однолинейка!$A$1:$A$1000,MATCH(71,Однолинейка!$BV$1:$BV$1000,0)),"")</f>
      </c>
      <c r="C73" s="133">
        <f>IFERROR(INDEX(Однолинейка!$G$1:$G$1000,MATCH(71,Однолинейка!$BV$1:$BV$1000,0))&amp;IF(INDEX(Однолинейка!$P$1:$P$1000,MATCH(71,Однолинейка!$BV$1:$BV$1000,0))="","","/"&amp;INDEX(Однолинейка!$P$1:$P$1000,MATCH(71,Однолинейка!$BV$1:$BV$1000,0))),"")</f>
      </c>
      <c r="D73" s="133">
        <f>IFERROR(INDEX(Однолинейка!$R$1:$R$1000,MATCH(71,Однолинейка!$BV$1:$BV$1000,0)),"")</f>
      </c>
      <c r="E73" s="133">
        <f>IFERROR(INDEX(Однолинейка!$S$1:$S$1000,MATCH(71,Однолинейка!$BV$1:$BV$1000,0)),"")</f>
      </c>
      <c r="F73" s="133">
        <f>IFERROR(INDEX(Однолинейка!$Q$1:$Q$1000,MATCH(71,Однолинейка!$BV$1:$BV$1000,0)),"")</f>
      </c>
    </row>
    <row r="74">
      <c r="A74" s="133">
        <f>IF(ISNUMBER(MATCH(72,Однолинейка!$BV$1:$BV$1000,0)),72,"")</f>
      </c>
      <c r="B74" s="133">
        <f>IFERROR(INDEX(Однолинейка!$A$1:$A$1000,MATCH(72,Однолинейка!$BV$1:$BV$1000,0)),"")</f>
      </c>
      <c r="C74" s="133">
        <f>IFERROR(INDEX(Однолинейка!$G$1:$G$1000,MATCH(72,Однолинейка!$BV$1:$BV$1000,0))&amp;IF(INDEX(Однолинейка!$P$1:$P$1000,MATCH(72,Однолинейка!$BV$1:$BV$1000,0))="","","/"&amp;INDEX(Однолинейка!$P$1:$P$1000,MATCH(72,Однолинейка!$BV$1:$BV$1000,0))),"")</f>
      </c>
      <c r="D74" s="133">
        <f>IFERROR(INDEX(Однолинейка!$R$1:$R$1000,MATCH(72,Однолинейка!$BV$1:$BV$1000,0)),"")</f>
      </c>
      <c r="E74" s="133">
        <f>IFERROR(INDEX(Однолинейка!$S$1:$S$1000,MATCH(72,Однолинейка!$BV$1:$BV$1000,0)),"")</f>
      </c>
      <c r="F74" s="133">
        <f>IFERROR(INDEX(Однолинейка!$Q$1:$Q$1000,MATCH(72,Однолинейка!$BV$1:$BV$1000,0)),"")</f>
      </c>
    </row>
    <row r="75">
      <c r="A75" s="133">
        <f>IF(ISNUMBER(MATCH(73,Однолинейка!$BV$1:$BV$1000,0)),73,"")</f>
      </c>
      <c r="B75" s="133">
        <f>IFERROR(INDEX(Однолинейка!$A$1:$A$1000,MATCH(73,Однолинейка!$BV$1:$BV$1000,0)),"")</f>
      </c>
      <c r="C75" s="133">
        <f>IFERROR(INDEX(Однолинейка!$G$1:$G$1000,MATCH(73,Однолинейка!$BV$1:$BV$1000,0))&amp;IF(INDEX(Однолинейка!$P$1:$P$1000,MATCH(73,Однолинейка!$BV$1:$BV$1000,0))="","","/"&amp;INDEX(Однолинейка!$P$1:$P$1000,MATCH(73,Однолинейка!$BV$1:$BV$1000,0))),"")</f>
      </c>
      <c r="D75" s="133">
        <f>IFERROR(INDEX(Однолинейка!$R$1:$R$1000,MATCH(73,Однолинейка!$BV$1:$BV$1000,0)),"")</f>
      </c>
      <c r="E75" s="133">
        <f>IFERROR(INDEX(Однолинейка!$S$1:$S$1000,MATCH(73,Однолинейка!$BV$1:$BV$1000,0)),"")</f>
      </c>
      <c r="F75" s="133">
        <f>IFERROR(INDEX(Однолинейка!$Q$1:$Q$1000,MATCH(73,Однолинейка!$BV$1:$BV$1000,0)),"")</f>
      </c>
    </row>
    <row r="76">
      <c r="A76" s="133">
        <f>IF(ISNUMBER(MATCH(74,Однолинейка!$BV$1:$BV$1000,0)),74,"")</f>
      </c>
      <c r="B76" s="133">
        <f>IFERROR(INDEX(Однолинейка!$A$1:$A$1000,MATCH(74,Однолинейка!$BV$1:$BV$1000,0)),"")</f>
      </c>
      <c r="C76" s="133">
        <f>IFERROR(INDEX(Однолинейка!$G$1:$G$1000,MATCH(74,Однолинейка!$BV$1:$BV$1000,0))&amp;IF(INDEX(Однолинейка!$P$1:$P$1000,MATCH(74,Однолинейка!$BV$1:$BV$1000,0))="","","/"&amp;INDEX(Однолинейка!$P$1:$P$1000,MATCH(74,Однолинейка!$BV$1:$BV$1000,0))),"")</f>
      </c>
      <c r="D76" s="133">
        <f>IFERROR(INDEX(Однолинейка!$R$1:$R$1000,MATCH(74,Однолинейка!$BV$1:$BV$1000,0)),"")</f>
      </c>
      <c r="E76" s="133">
        <f>IFERROR(INDEX(Однолинейка!$S$1:$S$1000,MATCH(74,Однолинейка!$BV$1:$BV$1000,0)),"")</f>
      </c>
      <c r="F76" s="133">
        <f>IFERROR(INDEX(Однолинейка!$Q$1:$Q$1000,MATCH(74,Однолинейка!$BV$1:$BV$1000,0)),"")</f>
      </c>
    </row>
    <row r="77">
      <c r="A77" s="133">
        <f>IF(ISNUMBER(MATCH(75,Однолинейка!$BV$1:$BV$1000,0)),75,"")</f>
      </c>
      <c r="B77" s="133">
        <f>IFERROR(INDEX(Однолинейка!$A$1:$A$1000,MATCH(75,Однолинейка!$BV$1:$BV$1000,0)),"")</f>
      </c>
      <c r="C77" s="133">
        <f>IFERROR(INDEX(Однолинейка!$G$1:$G$1000,MATCH(75,Однолинейка!$BV$1:$BV$1000,0))&amp;IF(INDEX(Однолинейка!$P$1:$P$1000,MATCH(75,Однолинейка!$BV$1:$BV$1000,0))="","","/"&amp;INDEX(Однолинейка!$P$1:$P$1000,MATCH(75,Однолинейка!$BV$1:$BV$1000,0))),"")</f>
      </c>
      <c r="D77" s="133">
        <f>IFERROR(INDEX(Однолинейка!$R$1:$R$1000,MATCH(75,Однолинейка!$BV$1:$BV$1000,0)),"")</f>
      </c>
      <c r="E77" s="133">
        <f>IFERROR(INDEX(Однолинейка!$S$1:$S$1000,MATCH(75,Однолинейка!$BV$1:$BV$1000,0)),"")</f>
      </c>
      <c r="F77" s="133">
        <f>IFERROR(INDEX(Однолинейка!$Q$1:$Q$1000,MATCH(75,Однолинейка!$BV$1:$BV$1000,0)),"")</f>
      </c>
    </row>
    <row r="78">
      <c r="A78" s="133">
        <f>IF(ISNUMBER(MATCH(76,Однолинейка!$BV$1:$BV$1000,0)),76,"")</f>
      </c>
      <c r="B78" s="133">
        <f>IFERROR(INDEX(Однолинейка!$A$1:$A$1000,MATCH(76,Однолинейка!$BV$1:$BV$1000,0)),"")</f>
      </c>
      <c r="C78" s="133">
        <f>IFERROR(INDEX(Однолинейка!$G$1:$G$1000,MATCH(76,Однолинейка!$BV$1:$BV$1000,0))&amp;IF(INDEX(Однолинейка!$P$1:$P$1000,MATCH(76,Однолинейка!$BV$1:$BV$1000,0))="","","/"&amp;INDEX(Однолинейка!$P$1:$P$1000,MATCH(76,Однолинейка!$BV$1:$BV$1000,0))),"")</f>
      </c>
      <c r="D78" s="133">
        <f>IFERROR(INDEX(Однолинейка!$R$1:$R$1000,MATCH(76,Однолинейка!$BV$1:$BV$1000,0)),"")</f>
      </c>
      <c r="E78" s="133">
        <f>IFERROR(INDEX(Однолинейка!$S$1:$S$1000,MATCH(76,Однолинейка!$BV$1:$BV$1000,0)),"")</f>
      </c>
      <c r="F78" s="133">
        <f>IFERROR(INDEX(Однолинейка!$Q$1:$Q$1000,MATCH(76,Однолинейка!$BV$1:$BV$1000,0)),"")</f>
      </c>
    </row>
    <row r="79">
      <c r="A79" s="133">
        <f>IF(ISNUMBER(MATCH(77,Однолинейка!$BV$1:$BV$1000,0)),77,"")</f>
      </c>
      <c r="B79" s="133">
        <f>IFERROR(INDEX(Однолинейка!$A$1:$A$1000,MATCH(77,Однолинейка!$BV$1:$BV$1000,0)),"")</f>
      </c>
      <c r="C79" s="133">
        <f>IFERROR(INDEX(Однолинейка!$G$1:$G$1000,MATCH(77,Однолинейка!$BV$1:$BV$1000,0))&amp;IF(INDEX(Однолинейка!$P$1:$P$1000,MATCH(77,Однолинейка!$BV$1:$BV$1000,0))="","","/"&amp;INDEX(Однолинейка!$P$1:$P$1000,MATCH(77,Однолинейка!$BV$1:$BV$1000,0))),"")</f>
      </c>
      <c r="D79" s="133">
        <f>IFERROR(INDEX(Однолинейка!$R$1:$R$1000,MATCH(77,Однолинейка!$BV$1:$BV$1000,0)),"")</f>
      </c>
      <c r="E79" s="133">
        <f>IFERROR(INDEX(Однолинейка!$S$1:$S$1000,MATCH(77,Однолинейка!$BV$1:$BV$1000,0)),"")</f>
      </c>
      <c r="F79" s="133">
        <f>IFERROR(INDEX(Однолинейка!$Q$1:$Q$1000,MATCH(77,Однолинейка!$BV$1:$BV$1000,0)),"")</f>
      </c>
    </row>
    <row r="80">
      <c r="A80" s="133">
        <f>IF(ISNUMBER(MATCH(78,Однолинейка!$BV$1:$BV$1000,0)),78,"")</f>
      </c>
      <c r="B80" s="133">
        <f>IFERROR(INDEX(Однолинейка!$A$1:$A$1000,MATCH(78,Однолинейка!$BV$1:$BV$1000,0)),"")</f>
      </c>
      <c r="C80" s="133">
        <f>IFERROR(INDEX(Однолинейка!$G$1:$G$1000,MATCH(78,Однолинейка!$BV$1:$BV$1000,0))&amp;IF(INDEX(Однолинейка!$P$1:$P$1000,MATCH(78,Однолинейка!$BV$1:$BV$1000,0))="","","/"&amp;INDEX(Однолинейка!$P$1:$P$1000,MATCH(78,Однолинейка!$BV$1:$BV$1000,0))),"")</f>
      </c>
      <c r="D80" s="133">
        <f>IFERROR(INDEX(Однолинейка!$R$1:$R$1000,MATCH(78,Однолинейка!$BV$1:$BV$1000,0)),"")</f>
      </c>
      <c r="E80" s="133">
        <f>IFERROR(INDEX(Однолинейка!$S$1:$S$1000,MATCH(78,Однолинейка!$BV$1:$BV$1000,0)),"")</f>
      </c>
      <c r="F80" s="133">
        <f>IFERROR(INDEX(Однолинейка!$Q$1:$Q$1000,MATCH(78,Однолинейка!$BV$1:$BV$1000,0)),"")</f>
      </c>
    </row>
    <row r="81">
      <c r="A81" s="133">
        <f>IF(ISNUMBER(MATCH(79,Однолинейка!$BV$1:$BV$1000,0)),79,"")</f>
      </c>
      <c r="B81" s="133">
        <f>IFERROR(INDEX(Однолинейка!$A$1:$A$1000,MATCH(79,Однолинейка!$BV$1:$BV$1000,0)),"")</f>
      </c>
      <c r="C81" s="133">
        <f>IFERROR(INDEX(Однолинейка!$G$1:$G$1000,MATCH(79,Однолинейка!$BV$1:$BV$1000,0))&amp;IF(INDEX(Однолинейка!$P$1:$P$1000,MATCH(79,Однолинейка!$BV$1:$BV$1000,0))="","","/"&amp;INDEX(Однолинейка!$P$1:$P$1000,MATCH(79,Однолинейка!$BV$1:$BV$1000,0))),"")</f>
      </c>
      <c r="D81" s="133">
        <f>IFERROR(INDEX(Однолинейка!$R$1:$R$1000,MATCH(79,Однолинейка!$BV$1:$BV$1000,0)),"")</f>
      </c>
      <c r="E81" s="133">
        <f>IFERROR(INDEX(Однолинейка!$S$1:$S$1000,MATCH(79,Однолинейка!$BV$1:$BV$1000,0)),"")</f>
      </c>
      <c r="F81" s="133">
        <f>IFERROR(INDEX(Однолинейка!$Q$1:$Q$1000,MATCH(79,Однолинейка!$BV$1:$BV$1000,0)),"")</f>
      </c>
    </row>
    <row r="82">
      <c r="A82" s="133">
        <f>IF(ISNUMBER(MATCH(80,Однолинейка!$BV$1:$BV$1000,0)),80,"")</f>
      </c>
      <c r="B82" s="133">
        <f>IFERROR(INDEX(Однолинейка!$A$1:$A$1000,MATCH(80,Однолинейка!$BV$1:$BV$1000,0)),"")</f>
      </c>
      <c r="C82" s="133">
        <f>IFERROR(INDEX(Однолинейка!$G$1:$G$1000,MATCH(80,Однолинейка!$BV$1:$BV$1000,0))&amp;IF(INDEX(Однолинейка!$P$1:$P$1000,MATCH(80,Однолинейка!$BV$1:$BV$1000,0))="","","/"&amp;INDEX(Однолинейка!$P$1:$P$1000,MATCH(80,Однолинейка!$BV$1:$BV$1000,0))),"")</f>
      </c>
      <c r="D82" s="133">
        <f>IFERROR(INDEX(Однолинейка!$R$1:$R$1000,MATCH(80,Однолинейка!$BV$1:$BV$1000,0)),"")</f>
      </c>
      <c r="E82" s="133">
        <f>IFERROR(INDEX(Однолинейка!$S$1:$S$1000,MATCH(80,Однолинейка!$BV$1:$BV$1000,0)),"")</f>
      </c>
      <c r="F82" s="133">
        <f>IFERROR(INDEX(Однолинейка!$Q$1:$Q$1000,MATCH(80,Однолинейка!$BV$1:$BV$1000,0)),"")</f>
      </c>
    </row>
    <row r="83">
      <c r="A83" s="133">
        <f>IF(ISNUMBER(MATCH(81,Однолинейка!$BV$1:$BV$1000,0)),81,"")</f>
      </c>
      <c r="B83" s="133">
        <f>IFERROR(INDEX(Однолинейка!$A$1:$A$1000,MATCH(81,Однолинейка!$BV$1:$BV$1000,0)),"")</f>
      </c>
      <c r="C83" s="133">
        <f>IFERROR(INDEX(Однолинейка!$G$1:$G$1000,MATCH(81,Однолинейка!$BV$1:$BV$1000,0))&amp;IF(INDEX(Однолинейка!$P$1:$P$1000,MATCH(81,Однолинейка!$BV$1:$BV$1000,0))="","","/"&amp;INDEX(Однолинейка!$P$1:$P$1000,MATCH(81,Однолинейка!$BV$1:$BV$1000,0))),"")</f>
      </c>
      <c r="D83" s="133">
        <f>IFERROR(INDEX(Однолинейка!$R$1:$R$1000,MATCH(81,Однолинейка!$BV$1:$BV$1000,0)),"")</f>
      </c>
      <c r="E83" s="133">
        <f>IFERROR(INDEX(Однолинейка!$S$1:$S$1000,MATCH(81,Однолинейка!$BV$1:$BV$1000,0)),"")</f>
      </c>
      <c r="F83" s="133">
        <f>IFERROR(INDEX(Однолинейка!$Q$1:$Q$1000,MATCH(81,Однолинейка!$BV$1:$BV$1000,0)),"")</f>
      </c>
    </row>
    <row r="84">
      <c r="A84" s="133">
        <f>IF(ISNUMBER(MATCH(82,Однолинейка!$BV$1:$BV$1000,0)),82,"")</f>
      </c>
      <c r="B84" s="133">
        <f>IFERROR(INDEX(Однолинейка!$A$1:$A$1000,MATCH(82,Однолинейка!$BV$1:$BV$1000,0)),"")</f>
      </c>
      <c r="C84" s="133">
        <f>IFERROR(INDEX(Однолинейка!$G$1:$G$1000,MATCH(82,Однолинейка!$BV$1:$BV$1000,0))&amp;IF(INDEX(Однолинейка!$P$1:$P$1000,MATCH(82,Однолинейка!$BV$1:$BV$1000,0))="","","/"&amp;INDEX(Однолинейка!$P$1:$P$1000,MATCH(82,Однолинейка!$BV$1:$BV$1000,0))),"")</f>
      </c>
      <c r="D84" s="133">
        <f>IFERROR(INDEX(Однолинейка!$R$1:$R$1000,MATCH(82,Однолинейка!$BV$1:$BV$1000,0)),"")</f>
      </c>
      <c r="E84" s="133">
        <f>IFERROR(INDEX(Однолинейка!$S$1:$S$1000,MATCH(82,Однолинейка!$BV$1:$BV$1000,0)),"")</f>
      </c>
      <c r="F84" s="133">
        <f>IFERROR(INDEX(Однолинейка!$Q$1:$Q$1000,MATCH(82,Однолинейка!$BV$1:$BV$1000,0)),"")</f>
      </c>
    </row>
    <row r="85">
      <c r="A85" s="133">
        <f>IF(ISNUMBER(MATCH(83,Однолинейка!$BV$1:$BV$1000,0)),83,"")</f>
      </c>
      <c r="B85" s="133">
        <f>IFERROR(INDEX(Однолинейка!$A$1:$A$1000,MATCH(83,Однолинейка!$BV$1:$BV$1000,0)),"")</f>
      </c>
      <c r="C85" s="133">
        <f>IFERROR(INDEX(Однолинейка!$G$1:$G$1000,MATCH(83,Однолинейка!$BV$1:$BV$1000,0))&amp;IF(INDEX(Однолинейка!$P$1:$P$1000,MATCH(83,Однолинейка!$BV$1:$BV$1000,0))="","","/"&amp;INDEX(Однолинейка!$P$1:$P$1000,MATCH(83,Однолинейка!$BV$1:$BV$1000,0))),"")</f>
      </c>
      <c r="D85" s="133">
        <f>IFERROR(INDEX(Однолинейка!$R$1:$R$1000,MATCH(83,Однолинейка!$BV$1:$BV$1000,0)),"")</f>
      </c>
      <c r="E85" s="133">
        <f>IFERROR(INDEX(Однолинейка!$S$1:$S$1000,MATCH(83,Однолинейка!$BV$1:$BV$1000,0)),"")</f>
      </c>
      <c r="F85" s="133">
        <f>IFERROR(INDEX(Однолинейка!$Q$1:$Q$1000,MATCH(83,Однолинейка!$BV$1:$BV$1000,0)),"")</f>
      </c>
    </row>
    <row r="86">
      <c r="A86" s="133">
        <f>IF(ISNUMBER(MATCH(84,Однолинейка!$BV$1:$BV$1000,0)),84,"")</f>
      </c>
      <c r="B86" s="133">
        <f>IFERROR(INDEX(Однолинейка!$A$1:$A$1000,MATCH(84,Однолинейка!$BV$1:$BV$1000,0)),"")</f>
      </c>
      <c r="C86" s="133">
        <f>IFERROR(INDEX(Однолинейка!$G$1:$G$1000,MATCH(84,Однолинейка!$BV$1:$BV$1000,0))&amp;IF(INDEX(Однолинейка!$P$1:$P$1000,MATCH(84,Однолинейка!$BV$1:$BV$1000,0))="","","/"&amp;INDEX(Однолинейка!$P$1:$P$1000,MATCH(84,Однолинейка!$BV$1:$BV$1000,0))),"")</f>
      </c>
      <c r="D86" s="133">
        <f>IFERROR(INDEX(Однолинейка!$R$1:$R$1000,MATCH(84,Однолинейка!$BV$1:$BV$1000,0)),"")</f>
      </c>
      <c r="E86" s="133">
        <f>IFERROR(INDEX(Однолинейка!$S$1:$S$1000,MATCH(84,Однолинейка!$BV$1:$BV$1000,0)),"")</f>
      </c>
      <c r="F86" s="133">
        <f>IFERROR(INDEX(Однолинейка!$Q$1:$Q$1000,MATCH(84,Однолинейка!$BV$1:$BV$1000,0)),"")</f>
      </c>
    </row>
    <row r="87">
      <c r="A87" s="133">
        <f>IF(ISNUMBER(MATCH(85,Однолинейка!$BV$1:$BV$1000,0)),85,"")</f>
      </c>
      <c r="B87" s="133">
        <f>IFERROR(INDEX(Однолинейка!$A$1:$A$1000,MATCH(85,Однолинейка!$BV$1:$BV$1000,0)),"")</f>
      </c>
      <c r="C87" s="133">
        <f>IFERROR(INDEX(Однолинейка!$G$1:$G$1000,MATCH(85,Однолинейка!$BV$1:$BV$1000,0))&amp;IF(INDEX(Однолинейка!$P$1:$P$1000,MATCH(85,Однолинейка!$BV$1:$BV$1000,0))="","","/"&amp;INDEX(Однолинейка!$P$1:$P$1000,MATCH(85,Однолинейка!$BV$1:$BV$1000,0))),"")</f>
      </c>
      <c r="D87" s="133">
        <f>IFERROR(INDEX(Однолинейка!$R$1:$R$1000,MATCH(85,Однолинейка!$BV$1:$BV$1000,0)),"")</f>
      </c>
      <c r="E87" s="133">
        <f>IFERROR(INDEX(Однолинейка!$S$1:$S$1000,MATCH(85,Однолинейка!$BV$1:$BV$1000,0)),"")</f>
      </c>
      <c r="F87" s="133">
        <f>IFERROR(INDEX(Однолинейка!$Q$1:$Q$1000,MATCH(85,Однолинейка!$BV$1:$BV$1000,0)),"")</f>
      </c>
    </row>
    <row r="88">
      <c r="A88" s="133">
        <f>IF(ISNUMBER(MATCH(86,Однолинейка!$BV$1:$BV$1000,0)),86,"")</f>
      </c>
      <c r="B88" s="133">
        <f>IFERROR(INDEX(Однолинейка!$A$1:$A$1000,MATCH(86,Однолинейка!$BV$1:$BV$1000,0)),"")</f>
      </c>
      <c r="C88" s="133">
        <f>IFERROR(INDEX(Однолинейка!$G$1:$G$1000,MATCH(86,Однолинейка!$BV$1:$BV$1000,0))&amp;IF(INDEX(Однолинейка!$P$1:$P$1000,MATCH(86,Однолинейка!$BV$1:$BV$1000,0))="","","/"&amp;INDEX(Однолинейка!$P$1:$P$1000,MATCH(86,Однолинейка!$BV$1:$BV$1000,0))),"")</f>
      </c>
      <c r="D88" s="133">
        <f>IFERROR(INDEX(Однолинейка!$R$1:$R$1000,MATCH(86,Однолинейка!$BV$1:$BV$1000,0)),"")</f>
      </c>
      <c r="E88" s="133">
        <f>IFERROR(INDEX(Однолинейка!$S$1:$S$1000,MATCH(86,Однолинейка!$BV$1:$BV$1000,0)),"")</f>
      </c>
      <c r="F88" s="133">
        <f>IFERROR(INDEX(Однолинейка!$Q$1:$Q$1000,MATCH(86,Однолинейка!$BV$1:$BV$1000,0)),"")</f>
      </c>
    </row>
    <row r="89">
      <c r="A89" s="133">
        <f>IF(ISNUMBER(MATCH(87,Однолинейка!$BV$1:$BV$1000,0)),87,"")</f>
      </c>
      <c r="B89" s="133">
        <f>IFERROR(INDEX(Однолинейка!$A$1:$A$1000,MATCH(87,Однолинейка!$BV$1:$BV$1000,0)),"")</f>
      </c>
      <c r="C89" s="133">
        <f>IFERROR(INDEX(Однолинейка!$G$1:$G$1000,MATCH(87,Однолинейка!$BV$1:$BV$1000,0))&amp;IF(INDEX(Однолинейка!$P$1:$P$1000,MATCH(87,Однолинейка!$BV$1:$BV$1000,0))="","","/"&amp;INDEX(Однолинейка!$P$1:$P$1000,MATCH(87,Однолинейка!$BV$1:$BV$1000,0))),"")</f>
      </c>
      <c r="D89" s="133">
        <f>IFERROR(INDEX(Однолинейка!$R$1:$R$1000,MATCH(87,Однолинейка!$BV$1:$BV$1000,0)),"")</f>
      </c>
      <c r="E89" s="133">
        <f>IFERROR(INDEX(Однолинейка!$S$1:$S$1000,MATCH(87,Однолинейка!$BV$1:$BV$1000,0)),"")</f>
      </c>
      <c r="F89" s="133">
        <f>IFERROR(INDEX(Однолинейка!$Q$1:$Q$1000,MATCH(87,Однолинейка!$BV$1:$BV$1000,0)),"")</f>
      </c>
    </row>
    <row r="90">
      <c r="A90" s="133">
        <f>IF(ISNUMBER(MATCH(88,Однолинейка!$BV$1:$BV$1000,0)),88,"")</f>
      </c>
      <c r="B90" s="133">
        <f>IFERROR(INDEX(Однолинейка!$A$1:$A$1000,MATCH(88,Однолинейка!$BV$1:$BV$1000,0)),"")</f>
      </c>
      <c r="C90" s="133">
        <f>IFERROR(INDEX(Однолинейка!$G$1:$G$1000,MATCH(88,Однолинейка!$BV$1:$BV$1000,0))&amp;IF(INDEX(Однолинейка!$P$1:$P$1000,MATCH(88,Однолинейка!$BV$1:$BV$1000,0))="","","/"&amp;INDEX(Однолинейка!$P$1:$P$1000,MATCH(88,Однолинейка!$BV$1:$BV$1000,0))),"")</f>
      </c>
      <c r="D90" s="133">
        <f>IFERROR(INDEX(Однолинейка!$R$1:$R$1000,MATCH(88,Однолинейка!$BV$1:$BV$1000,0)),"")</f>
      </c>
      <c r="E90" s="133">
        <f>IFERROR(INDEX(Однолинейка!$S$1:$S$1000,MATCH(88,Однолинейка!$BV$1:$BV$1000,0)),"")</f>
      </c>
      <c r="F90" s="133">
        <f>IFERROR(INDEX(Однолинейка!$Q$1:$Q$1000,MATCH(88,Однолинейка!$BV$1:$BV$1000,0)),"")</f>
      </c>
    </row>
    <row r="91">
      <c r="A91" s="133">
        <f>IF(ISNUMBER(MATCH(89,Однолинейка!$BV$1:$BV$1000,0)),89,"")</f>
      </c>
      <c r="B91" s="133">
        <f>IFERROR(INDEX(Однолинейка!$A$1:$A$1000,MATCH(89,Однолинейка!$BV$1:$BV$1000,0)),"")</f>
      </c>
      <c r="C91" s="133">
        <f>IFERROR(INDEX(Однолинейка!$G$1:$G$1000,MATCH(89,Однолинейка!$BV$1:$BV$1000,0))&amp;IF(INDEX(Однолинейка!$P$1:$P$1000,MATCH(89,Однолинейка!$BV$1:$BV$1000,0))="","","/"&amp;INDEX(Однолинейка!$P$1:$P$1000,MATCH(89,Однолинейка!$BV$1:$BV$1000,0))),"")</f>
      </c>
      <c r="D91" s="133">
        <f>IFERROR(INDEX(Однолинейка!$R$1:$R$1000,MATCH(89,Однолинейка!$BV$1:$BV$1000,0)),"")</f>
      </c>
      <c r="E91" s="133">
        <f>IFERROR(INDEX(Однолинейка!$S$1:$S$1000,MATCH(89,Однолинейка!$BV$1:$BV$1000,0)),"")</f>
      </c>
      <c r="F91" s="133">
        <f>IFERROR(INDEX(Однолинейка!$Q$1:$Q$1000,MATCH(89,Однолинейка!$BV$1:$BV$1000,0)),"")</f>
      </c>
    </row>
    <row r="92">
      <c r="A92" s="133">
        <f>IF(ISNUMBER(MATCH(90,Однолинейка!$BV$1:$BV$1000,0)),90,"")</f>
      </c>
      <c r="B92" s="133">
        <f>IFERROR(INDEX(Однолинейка!$A$1:$A$1000,MATCH(90,Однолинейка!$BV$1:$BV$1000,0)),"")</f>
      </c>
      <c r="C92" s="133">
        <f>IFERROR(INDEX(Однолинейка!$G$1:$G$1000,MATCH(90,Однолинейка!$BV$1:$BV$1000,0))&amp;IF(INDEX(Однолинейка!$P$1:$P$1000,MATCH(90,Однолинейка!$BV$1:$BV$1000,0))="","","/"&amp;INDEX(Однолинейка!$P$1:$P$1000,MATCH(90,Однолинейка!$BV$1:$BV$1000,0))),"")</f>
      </c>
      <c r="D92" s="133">
        <f>IFERROR(INDEX(Однолинейка!$R$1:$R$1000,MATCH(90,Однолинейка!$BV$1:$BV$1000,0)),"")</f>
      </c>
      <c r="E92" s="133">
        <f>IFERROR(INDEX(Однолинейка!$S$1:$S$1000,MATCH(90,Однолинейка!$BV$1:$BV$1000,0)),"")</f>
      </c>
      <c r="F92" s="133">
        <f>IFERROR(INDEX(Однолинейка!$Q$1:$Q$1000,MATCH(90,Однолинейка!$BV$1:$BV$1000,0)),"")</f>
      </c>
    </row>
    <row r="93">
      <c r="A93" s="133">
        <f>IF(ISNUMBER(MATCH(91,Однолинейка!$BV$1:$BV$1000,0)),91,"")</f>
      </c>
      <c r="B93" s="133">
        <f>IFERROR(INDEX(Однолинейка!$A$1:$A$1000,MATCH(91,Однолинейка!$BV$1:$BV$1000,0)),"")</f>
      </c>
      <c r="C93" s="133">
        <f>IFERROR(INDEX(Однолинейка!$G$1:$G$1000,MATCH(91,Однолинейка!$BV$1:$BV$1000,0))&amp;IF(INDEX(Однолинейка!$P$1:$P$1000,MATCH(91,Однолинейка!$BV$1:$BV$1000,0))="","","/"&amp;INDEX(Однолинейка!$P$1:$P$1000,MATCH(91,Однолинейка!$BV$1:$BV$1000,0))),"")</f>
      </c>
      <c r="D93" s="133">
        <f>IFERROR(INDEX(Однолинейка!$R$1:$R$1000,MATCH(91,Однолинейка!$BV$1:$BV$1000,0)),"")</f>
      </c>
      <c r="E93" s="133">
        <f>IFERROR(INDEX(Однолинейка!$S$1:$S$1000,MATCH(91,Однолинейка!$BV$1:$BV$1000,0)),"")</f>
      </c>
      <c r="F93" s="133">
        <f>IFERROR(INDEX(Однолинейка!$Q$1:$Q$1000,MATCH(91,Однолинейка!$BV$1:$BV$1000,0)),"")</f>
      </c>
    </row>
    <row r="94">
      <c r="A94" s="133">
        <f>IF(ISNUMBER(MATCH(92,Однолинейка!$BV$1:$BV$1000,0)),92,"")</f>
      </c>
      <c r="B94" s="133">
        <f>IFERROR(INDEX(Однолинейка!$A$1:$A$1000,MATCH(92,Однолинейка!$BV$1:$BV$1000,0)),"")</f>
      </c>
      <c r="C94" s="133">
        <f>IFERROR(INDEX(Однолинейка!$G$1:$G$1000,MATCH(92,Однолинейка!$BV$1:$BV$1000,0))&amp;IF(INDEX(Однолинейка!$P$1:$P$1000,MATCH(92,Однолинейка!$BV$1:$BV$1000,0))="","","/"&amp;INDEX(Однолинейка!$P$1:$P$1000,MATCH(92,Однолинейка!$BV$1:$BV$1000,0))),"")</f>
      </c>
      <c r="D94" s="133">
        <f>IFERROR(INDEX(Однолинейка!$R$1:$R$1000,MATCH(92,Однолинейка!$BV$1:$BV$1000,0)),"")</f>
      </c>
      <c r="E94" s="133">
        <f>IFERROR(INDEX(Однолинейка!$S$1:$S$1000,MATCH(92,Однолинейка!$BV$1:$BV$1000,0)),"")</f>
      </c>
      <c r="F94" s="133">
        <f>IFERROR(INDEX(Однолинейка!$Q$1:$Q$1000,MATCH(92,Однолинейка!$BV$1:$BV$1000,0)),"")</f>
      </c>
    </row>
    <row r="95">
      <c r="A95" s="133">
        <f>IF(ISNUMBER(MATCH(93,Однолинейка!$BV$1:$BV$1000,0)),93,"")</f>
      </c>
      <c r="B95" s="133">
        <f>IFERROR(INDEX(Однолинейка!$A$1:$A$1000,MATCH(93,Однолинейка!$BV$1:$BV$1000,0)),"")</f>
      </c>
      <c r="C95" s="133">
        <f>IFERROR(INDEX(Однолинейка!$G$1:$G$1000,MATCH(93,Однолинейка!$BV$1:$BV$1000,0))&amp;IF(INDEX(Однолинейка!$P$1:$P$1000,MATCH(93,Однолинейка!$BV$1:$BV$1000,0))="","","/"&amp;INDEX(Однолинейка!$P$1:$P$1000,MATCH(93,Однолинейка!$BV$1:$BV$1000,0))),"")</f>
      </c>
      <c r="D95" s="133">
        <f>IFERROR(INDEX(Однолинейка!$R$1:$R$1000,MATCH(93,Однолинейка!$BV$1:$BV$1000,0)),"")</f>
      </c>
      <c r="E95" s="133">
        <f>IFERROR(INDEX(Однолинейка!$S$1:$S$1000,MATCH(93,Однолинейка!$BV$1:$BV$1000,0)),"")</f>
      </c>
      <c r="F95" s="133">
        <f>IFERROR(INDEX(Однолинейка!$Q$1:$Q$1000,MATCH(93,Однолинейка!$BV$1:$BV$1000,0)),"")</f>
      </c>
    </row>
    <row r="96">
      <c r="A96" s="133">
        <f>IF(ISNUMBER(MATCH(94,Однолинейка!$BV$1:$BV$1000,0)),94,"")</f>
      </c>
      <c r="B96" s="133">
        <f>IFERROR(INDEX(Однолинейка!$A$1:$A$1000,MATCH(94,Однолинейка!$BV$1:$BV$1000,0)),"")</f>
      </c>
      <c r="C96" s="133">
        <f>IFERROR(INDEX(Однолинейка!$G$1:$G$1000,MATCH(94,Однолинейка!$BV$1:$BV$1000,0))&amp;IF(INDEX(Однолинейка!$P$1:$P$1000,MATCH(94,Однолинейка!$BV$1:$BV$1000,0))="","","/"&amp;INDEX(Однолинейка!$P$1:$P$1000,MATCH(94,Однолинейка!$BV$1:$BV$1000,0))),"")</f>
      </c>
      <c r="D96" s="133">
        <f>IFERROR(INDEX(Однолинейка!$R$1:$R$1000,MATCH(94,Однолинейка!$BV$1:$BV$1000,0)),"")</f>
      </c>
      <c r="E96" s="133">
        <f>IFERROR(INDEX(Однолинейка!$S$1:$S$1000,MATCH(94,Однолинейка!$BV$1:$BV$1000,0)),"")</f>
      </c>
      <c r="F96" s="133">
        <f>IFERROR(INDEX(Однолинейка!$Q$1:$Q$1000,MATCH(94,Однолинейка!$BV$1:$BV$1000,0)),"")</f>
      </c>
    </row>
    <row r="97">
      <c r="A97" s="133">
        <f>IF(ISNUMBER(MATCH(95,Однолинейка!$BV$1:$BV$1000,0)),95,"")</f>
      </c>
      <c r="B97" s="133">
        <f>IFERROR(INDEX(Однолинейка!$A$1:$A$1000,MATCH(95,Однолинейка!$BV$1:$BV$1000,0)),"")</f>
      </c>
      <c r="C97" s="133">
        <f>IFERROR(INDEX(Однолинейка!$G$1:$G$1000,MATCH(95,Однолинейка!$BV$1:$BV$1000,0))&amp;IF(INDEX(Однолинейка!$P$1:$P$1000,MATCH(95,Однолинейка!$BV$1:$BV$1000,0))="","","/"&amp;INDEX(Однолинейка!$P$1:$P$1000,MATCH(95,Однолинейка!$BV$1:$BV$1000,0))),"")</f>
      </c>
      <c r="D97" s="133">
        <f>IFERROR(INDEX(Однолинейка!$R$1:$R$1000,MATCH(95,Однолинейка!$BV$1:$BV$1000,0)),"")</f>
      </c>
      <c r="E97" s="133">
        <f>IFERROR(INDEX(Однолинейка!$S$1:$S$1000,MATCH(95,Однолинейка!$BV$1:$BV$1000,0)),"")</f>
      </c>
      <c r="F97" s="133">
        <f>IFERROR(INDEX(Однолинейка!$Q$1:$Q$1000,MATCH(95,Однолинейка!$BV$1:$BV$1000,0)),"")</f>
      </c>
    </row>
    <row r="98">
      <c r="A98" s="133">
        <f>IF(ISNUMBER(MATCH(96,Однолинейка!$BV$1:$BV$1000,0)),96,"")</f>
      </c>
      <c r="B98" s="133">
        <f>IFERROR(INDEX(Однолинейка!$A$1:$A$1000,MATCH(96,Однолинейка!$BV$1:$BV$1000,0)),"")</f>
      </c>
      <c r="C98" s="133">
        <f>IFERROR(INDEX(Однолинейка!$G$1:$G$1000,MATCH(96,Однолинейка!$BV$1:$BV$1000,0))&amp;IF(INDEX(Однолинейка!$P$1:$P$1000,MATCH(96,Однолинейка!$BV$1:$BV$1000,0))="","","/"&amp;INDEX(Однолинейка!$P$1:$P$1000,MATCH(96,Однолинейка!$BV$1:$BV$1000,0))),"")</f>
      </c>
      <c r="D98" s="133">
        <f>IFERROR(INDEX(Однолинейка!$R$1:$R$1000,MATCH(96,Однолинейка!$BV$1:$BV$1000,0)),"")</f>
      </c>
      <c r="E98" s="133">
        <f>IFERROR(INDEX(Однолинейка!$S$1:$S$1000,MATCH(96,Однолинейка!$BV$1:$BV$1000,0)),"")</f>
      </c>
      <c r="F98" s="133">
        <f>IFERROR(INDEX(Однолинейка!$Q$1:$Q$1000,MATCH(96,Однолинейка!$BV$1:$BV$1000,0)),"")</f>
      </c>
    </row>
    <row r="99">
      <c r="A99" s="133">
        <f>IF(ISNUMBER(MATCH(97,Однолинейка!$BV$1:$BV$1000,0)),97,"")</f>
      </c>
      <c r="B99" s="133">
        <f>IFERROR(INDEX(Однолинейка!$A$1:$A$1000,MATCH(97,Однолинейка!$BV$1:$BV$1000,0)),"")</f>
      </c>
      <c r="C99" s="133">
        <f>IFERROR(INDEX(Однолинейка!$G$1:$G$1000,MATCH(97,Однолинейка!$BV$1:$BV$1000,0))&amp;IF(INDEX(Однолинейка!$P$1:$P$1000,MATCH(97,Однолинейка!$BV$1:$BV$1000,0))="","","/"&amp;INDEX(Однолинейка!$P$1:$P$1000,MATCH(97,Однолинейка!$BV$1:$BV$1000,0))),"")</f>
      </c>
      <c r="D99" s="133">
        <f>IFERROR(INDEX(Однолинейка!$R$1:$R$1000,MATCH(97,Однолинейка!$BV$1:$BV$1000,0)),"")</f>
      </c>
      <c r="E99" s="133">
        <f>IFERROR(INDEX(Однолинейка!$S$1:$S$1000,MATCH(97,Однолинейка!$BV$1:$BV$1000,0)),"")</f>
      </c>
      <c r="F99" s="133">
        <f>IFERROR(INDEX(Однолинейка!$Q$1:$Q$1000,MATCH(97,Однолинейка!$BV$1:$BV$1000,0)),"")</f>
      </c>
    </row>
    <row r="100">
      <c r="A100" s="133">
        <f>IF(ISNUMBER(MATCH(98,Однолинейка!$BV$1:$BV$1000,0)),98,"")</f>
      </c>
      <c r="B100" s="133">
        <f>IFERROR(INDEX(Однолинейка!$A$1:$A$1000,MATCH(98,Однолинейка!$BV$1:$BV$1000,0)),"")</f>
      </c>
      <c r="C100" s="133">
        <f>IFERROR(INDEX(Однолинейка!$G$1:$G$1000,MATCH(98,Однолинейка!$BV$1:$BV$1000,0))&amp;IF(INDEX(Однолинейка!$P$1:$P$1000,MATCH(98,Однолинейка!$BV$1:$BV$1000,0))="","","/"&amp;INDEX(Однолинейка!$P$1:$P$1000,MATCH(98,Однолинейка!$BV$1:$BV$1000,0))),"")</f>
      </c>
      <c r="D100" s="133">
        <f>IFERROR(INDEX(Однолинейка!$R$1:$R$1000,MATCH(98,Однолинейка!$BV$1:$BV$1000,0)),"")</f>
      </c>
      <c r="E100" s="133">
        <f>IFERROR(INDEX(Однолинейка!$S$1:$S$1000,MATCH(98,Однолинейка!$BV$1:$BV$1000,0)),"")</f>
      </c>
      <c r="F100" s="133">
        <f>IFERROR(INDEX(Однолинейка!$Q$1:$Q$1000,MATCH(98,Однолинейка!$BV$1:$BV$1000,0)),"")</f>
      </c>
    </row>
    <row r="101">
      <c r="A101" s="133">
        <f>IF(ISNUMBER(MATCH(99,Однолинейка!$BV$1:$BV$1000,0)),99,"")</f>
      </c>
      <c r="B101" s="133">
        <f>IFERROR(INDEX(Однолинейка!$A$1:$A$1000,MATCH(99,Однолинейка!$BV$1:$BV$1000,0)),"")</f>
      </c>
      <c r="C101" s="133">
        <f>IFERROR(INDEX(Однолинейка!$G$1:$G$1000,MATCH(99,Однолинейка!$BV$1:$BV$1000,0))&amp;IF(INDEX(Однолинейка!$P$1:$P$1000,MATCH(99,Однолинейка!$BV$1:$BV$1000,0))="","","/"&amp;INDEX(Однолинейка!$P$1:$P$1000,MATCH(99,Однолинейка!$BV$1:$BV$1000,0))),"")</f>
      </c>
      <c r="D101" s="133">
        <f>IFERROR(INDEX(Однолинейка!$R$1:$R$1000,MATCH(99,Однолинейка!$BV$1:$BV$1000,0)),"")</f>
      </c>
      <c r="E101" s="133">
        <f>IFERROR(INDEX(Однолинейка!$S$1:$S$1000,MATCH(99,Однолинейка!$BV$1:$BV$1000,0)),"")</f>
      </c>
      <c r="F101" s="133">
        <f>IFERROR(INDEX(Однолинейка!$Q$1:$Q$1000,MATCH(99,Однолинейка!$BV$1:$BV$1000,0)),"")</f>
      </c>
    </row>
    <row r="102">
      <c r="A102" s="133">
        <f>IF(ISNUMBER(MATCH(100,Однолинейка!$BV$1:$BV$1000,0)),100,"")</f>
      </c>
      <c r="B102" s="133">
        <f>IFERROR(INDEX(Однолинейка!$A$1:$A$1000,MATCH(100,Однолинейка!$BV$1:$BV$1000,0)),"")</f>
      </c>
      <c r="C102" s="133">
        <f>IFERROR(INDEX(Однолинейка!$G$1:$G$1000,MATCH(100,Однолинейка!$BV$1:$BV$1000,0))&amp;IF(INDEX(Однолинейка!$P$1:$P$1000,MATCH(100,Однолинейка!$BV$1:$BV$1000,0))="","","/"&amp;INDEX(Однолинейка!$P$1:$P$1000,MATCH(100,Однолинейка!$BV$1:$BV$1000,0))),"")</f>
      </c>
      <c r="D102" s="133">
        <f>IFERROR(INDEX(Однолинейка!$R$1:$R$1000,MATCH(100,Однолинейка!$BV$1:$BV$1000,0)),"")</f>
      </c>
      <c r="E102" s="133">
        <f>IFERROR(INDEX(Однолинейка!$S$1:$S$1000,MATCH(100,Однолинейка!$BV$1:$BV$1000,0)),"")</f>
      </c>
      <c r="F102" s="133">
        <f>IFERROR(INDEX(Однолинейка!$Q$1:$Q$1000,MATCH(100,Однолинейка!$BV$1:$BV$1000,0)),"")</f>
      </c>
    </row>
    <row r="103">
      <c r="A103" s="133">
        <f>IF(ISNUMBER(MATCH(101,Однолинейка!$BV$1:$BV$1000,0)),101,"")</f>
      </c>
      <c r="B103" s="133">
        <f>IFERROR(INDEX(Однолинейка!$A$1:$A$1000,MATCH(101,Однолинейка!$BV$1:$BV$1000,0)),"")</f>
      </c>
      <c r="C103" s="133">
        <f>IFERROR(INDEX(Однолинейка!$G$1:$G$1000,MATCH(101,Однолинейка!$BV$1:$BV$1000,0))&amp;IF(INDEX(Однолинейка!$P$1:$P$1000,MATCH(101,Однолинейка!$BV$1:$BV$1000,0))="","","/"&amp;INDEX(Однолинейка!$P$1:$P$1000,MATCH(101,Однолинейка!$BV$1:$BV$1000,0))),"")</f>
      </c>
      <c r="D103" s="133">
        <f>IFERROR(INDEX(Однолинейка!$R$1:$R$1000,MATCH(101,Однолинейка!$BV$1:$BV$1000,0)),"")</f>
      </c>
      <c r="E103" s="133">
        <f>IFERROR(INDEX(Однолинейка!$S$1:$S$1000,MATCH(101,Однолинейка!$BV$1:$BV$1000,0)),"")</f>
      </c>
      <c r="F103" s="133">
        <f>IFERROR(INDEX(Однолинейка!$Q$1:$Q$1000,MATCH(101,Однолинейка!$BV$1:$BV$1000,0)),"")</f>
      </c>
    </row>
    <row r="104">
      <c r="A104" s="133">
        <f>IF(ISNUMBER(MATCH(102,Однолинейка!$BV$1:$BV$1000,0)),102,"")</f>
      </c>
      <c r="B104" s="133">
        <f>IFERROR(INDEX(Однолинейка!$A$1:$A$1000,MATCH(102,Однолинейка!$BV$1:$BV$1000,0)),"")</f>
      </c>
      <c r="C104" s="133">
        <f>IFERROR(INDEX(Однолинейка!$G$1:$G$1000,MATCH(102,Однолинейка!$BV$1:$BV$1000,0))&amp;IF(INDEX(Однолинейка!$P$1:$P$1000,MATCH(102,Однолинейка!$BV$1:$BV$1000,0))="","","/"&amp;INDEX(Однолинейка!$P$1:$P$1000,MATCH(102,Однолинейка!$BV$1:$BV$1000,0))),"")</f>
      </c>
      <c r="D104" s="133">
        <f>IFERROR(INDEX(Однолинейка!$R$1:$R$1000,MATCH(102,Однолинейка!$BV$1:$BV$1000,0)),"")</f>
      </c>
      <c r="E104" s="133">
        <f>IFERROR(INDEX(Однолинейка!$S$1:$S$1000,MATCH(102,Однолинейка!$BV$1:$BV$1000,0)),"")</f>
      </c>
      <c r="F104" s="133">
        <f>IFERROR(INDEX(Однолинейка!$Q$1:$Q$1000,MATCH(102,Однолинейка!$BV$1:$BV$1000,0)),"")</f>
      </c>
    </row>
    <row r="105">
      <c r="A105" s="133">
        <f>IF(ISNUMBER(MATCH(103,Однолинейка!$BV$1:$BV$1000,0)),103,"")</f>
      </c>
      <c r="B105" s="133">
        <f>IFERROR(INDEX(Однолинейка!$A$1:$A$1000,MATCH(103,Однолинейка!$BV$1:$BV$1000,0)),"")</f>
      </c>
      <c r="C105" s="133">
        <f>IFERROR(INDEX(Однолинейка!$G$1:$G$1000,MATCH(103,Однолинейка!$BV$1:$BV$1000,0))&amp;IF(INDEX(Однолинейка!$P$1:$P$1000,MATCH(103,Однолинейка!$BV$1:$BV$1000,0))="","","/"&amp;INDEX(Однолинейка!$P$1:$P$1000,MATCH(103,Однолинейка!$BV$1:$BV$1000,0))),"")</f>
      </c>
      <c r="D105" s="133">
        <f>IFERROR(INDEX(Однолинейка!$R$1:$R$1000,MATCH(103,Однолинейка!$BV$1:$BV$1000,0)),"")</f>
      </c>
      <c r="E105" s="133">
        <f>IFERROR(INDEX(Однолинейка!$S$1:$S$1000,MATCH(103,Однолинейка!$BV$1:$BV$1000,0)),"")</f>
      </c>
      <c r="F105" s="133">
        <f>IFERROR(INDEX(Однолинейка!$Q$1:$Q$1000,MATCH(103,Однолинейка!$BV$1:$BV$1000,0)),"")</f>
      </c>
    </row>
    <row r="106">
      <c r="A106" s="133">
        <f>IF(ISNUMBER(MATCH(104,Однолинейка!$BV$1:$BV$1000,0)),104,"")</f>
      </c>
      <c r="B106" s="133">
        <f>IFERROR(INDEX(Однолинейка!$A$1:$A$1000,MATCH(104,Однолинейка!$BV$1:$BV$1000,0)),"")</f>
      </c>
      <c r="C106" s="133">
        <f>IFERROR(INDEX(Однолинейка!$G$1:$G$1000,MATCH(104,Однолинейка!$BV$1:$BV$1000,0))&amp;IF(INDEX(Однолинейка!$P$1:$P$1000,MATCH(104,Однолинейка!$BV$1:$BV$1000,0))="","","/"&amp;INDEX(Однолинейка!$P$1:$P$1000,MATCH(104,Однолинейка!$BV$1:$BV$1000,0))),"")</f>
      </c>
      <c r="D106" s="133">
        <f>IFERROR(INDEX(Однолинейка!$R$1:$R$1000,MATCH(104,Однолинейка!$BV$1:$BV$1000,0)),"")</f>
      </c>
      <c r="E106" s="133">
        <f>IFERROR(INDEX(Однолинейка!$S$1:$S$1000,MATCH(104,Однолинейка!$BV$1:$BV$1000,0)),"")</f>
      </c>
      <c r="F106" s="133">
        <f>IFERROR(INDEX(Однолинейка!$Q$1:$Q$1000,MATCH(104,Однолинейка!$BV$1:$BV$1000,0)),"")</f>
      </c>
    </row>
    <row r="107">
      <c r="A107" s="133">
        <f>IF(ISNUMBER(MATCH(105,Однолинейка!$BV$1:$BV$1000,0)),105,"")</f>
      </c>
      <c r="B107" s="133">
        <f>IFERROR(INDEX(Однолинейка!$A$1:$A$1000,MATCH(105,Однолинейка!$BV$1:$BV$1000,0)),"")</f>
      </c>
      <c r="C107" s="133">
        <f>IFERROR(INDEX(Однолинейка!$G$1:$G$1000,MATCH(105,Однолинейка!$BV$1:$BV$1000,0))&amp;IF(INDEX(Однолинейка!$P$1:$P$1000,MATCH(105,Однолинейка!$BV$1:$BV$1000,0))="","","/"&amp;INDEX(Однолинейка!$P$1:$P$1000,MATCH(105,Однолинейка!$BV$1:$BV$1000,0))),"")</f>
      </c>
      <c r="D107" s="133">
        <f>IFERROR(INDEX(Однолинейка!$R$1:$R$1000,MATCH(105,Однолинейка!$BV$1:$BV$1000,0)),"")</f>
      </c>
      <c r="E107" s="133">
        <f>IFERROR(INDEX(Однолинейка!$S$1:$S$1000,MATCH(105,Однолинейка!$BV$1:$BV$1000,0)),"")</f>
      </c>
      <c r="F107" s="133">
        <f>IFERROR(INDEX(Однолинейка!$Q$1:$Q$1000,MATCH(105,Однолинейка!$BV$1:$BV$1000,0)),"")</f>
      </c>
    </row>
    <row r="108">
      <c r="A108" s="133">
        <f>IF(ISNUMBER(MATCH(106,Однолинейка!$BV$1:$BV$1000,0)),106,"")</f>
      </c>
      <c r="B108" s="133">
        <f>IFERROR(INDEX(Однолинейка!$A$1:$A$1000,MATCH(106,Однолинейка!$BV$1:$BV$1000,0)),"")</f>
      </c>
      <c r="C108" s="133">
        <f>IFERROR(INDEX(Однолинейка!$G$1:$G$1000,MATCH(106,Однолинейка!$BV$1:$BV$1000,0))&amp;IF(INDEX(Однолинейка!$P$1:$P$1000,MATCH(106,Однолинейка!$BV$1:$BV$1000,0))="","","/"&amp;INDEX(Однолинейка!$P$1:$P$1000,MATCH(106,Однолинейка!$BV$1:$BV$1000,0))),"")</f>
      </c>
      <c r="D108" s="133">
        <f>IFERROR(INDEX(Однолинейка!$R$1:$R$1000,MATCH(106,Однолинейка!$BV$1:$BV$1000,0)),"")</f>
      </c>
      <c r="E108" s="133">
        <f>IFERROR(INDEX(Однолинейка!$S$1:$S$1000,MATCH(106,Однолинейка!$BV$1:$BV$1000,0)),"")</f>
      </c>
      <c r="F108" s="133">
        <f>IFERROR(INDEX(Однолинейка!$Q$1:$Q$1000,MATCH(106,Однолинейка!$BV$1:$BV$1000,0)),"")</f>
      </c>
    </row>
    <row r="109">
      <c r="A109" s="133">
        <f>IF(ISNUMBER(MATCH(107,Однолинейка!$BV$1:$BV$1000,0)),107,"")</f>
      </c>
      <c r="B109" s="133">
        <f>IFERROR(INDEX(Однолинейка!$A$1:$A$1000,MATCH(107,Однолинейка!$BV$1:$BV$1000,0)),"")</f>
      </c>
      <c r="C109" s="133">
        <f>IFERROR(INDEX(Однолинейка!$G$1:$G$1000,MATCH(107,Однолинейка!$BV$1:$BV$1000,0))&amp;IF(INDEX(Однолинейка!$P$1:$P$1000,MATCH(107,Однолинейка!$BV$1:$BV$1000,0))="","","/"&amp;INDEX(Однолинейка!$P$1:$P$1000,MATCH(107,Однолинейка!$BV$1:$BV$1000,0))),"")</f>
      </c>
      <c r="D109" s="133">
        <f>IFERROR(INDEX(Однолинейка!$R$1:$R$1000,MATCH(107,Однолинейка!$BV$1:$BV$1000,0)),"")</f>
      </c>
      <c r="E109" s="133">
        <f>IFERROR(INDEX(Однолинейка!$S$1:$S$1000,MATCH(107,Однолинейка!$BV$1:$BV$1000,0)),"")</f>
      </c>
      <c r="F109" s="133">
        <f>IFERROR(INDEX(Однолинейка!$Q$1:$Q$1000,MATCH(107,Однолинейка!$BV$1:$BV$1000,0)),"")</f>
      </c>
    </row>
    <row r="110">
      <c r="A110" s="133">
        <f>IF(ISNUMBER(MATCH(108,Однолинейка!$BV$1:$BV$1000,0)),108,"")</f>
      </c>
      <c r="B110" s="133">
        <f>IFERROR(INDEX(Однолинейка!$A$1:$A$1000,MATCH(108,Однолинейка!$BV$1:$BV$1000,0)),"")</f>
      </c>
      <c r="C110" s="133">
        <f>IFERROR(INDEX(Однолинейка!$G$1:$G$1000,MATCH(108,Однолинейка!$BV$1:$BV$1000,0))&amp;IF(INDEX(Однолинейка!$P$1:$P$1000,MATCH(108,Однолинейка!$BV$1:$BV$1000,0))="","","/"&amp;INDEX(Однолинейка!$P$1:$P$1000,MATCH(108,Однолинейка!$BV$1:$BV$1000,0))),"")</f>
      </c>
      <c r="D110" s="133">
        <f>IFERROR(INDEX(Однолинейка!$R$1:$R$1000,MATCH(108,Однолинейка!$BV$1:$BV$1000,0)),"")</f>
      </c>
      <c r="E110" s="133">
        <f>IFERROR(INDEX(Однолинейка!$S$1:$S$1000,MATCH(108,Однолинейка!$BV$1:$BV$1000,0)),"")</f>
      </c>
      <c r="F110" s="133">
        <f>IFERROR(INDEX(Однолинейка!$Q$1:$Q$1000,MATCH(108,Однолинейка!$BV$1:$BV$1000,0)),"")</f>
      </c>
    </row>
    <row r="111">
      <c r="A111" s="133">
        <f>IF(ISNUMBER(MATCH(109,Однолинейка!$BV$1:$BV$1000,0)),109,"")</f>
      </c>
      <c r="B111" s="133">
        <f>IFERROR(INDEX(Однолинейка!$A$1:$A$1000,MATCH(109,Однолинейка!$BV$1:$BV$1000,0)),"")</f>
      </c>
      <c r="C111" s="133">
        <f>IFERROR(INDEX(Однолинейка!$G$1:$G$1000,MATCH(109,Однолинейка!$BV$1:$BV$1000,0))&amp;IF(INDEX(Однолинейка!$P$1:$P$1000,MATCH(109,Однолинейка!$BV$1:$BV$1000,0))="","","/"&amp;INDEX(Однолинейка!$P$1:$P$1000,MATCH(109,Однолинейка!$BV$1:$BV$1000,0))),"")</f>
      </c>
      <c r="D111" s="133">
        <f>IFERROR(INDEX(Однолинейка!$R$1:$R$1000,MATCH(109,Однолинейка!$BV$1:$BV$1000,0)),"")</f>
      </c>
      <c r="E111" s="133">
        <f>IFERROR(INDEX(Однолинейка!$S$1:$S$1000,MATCH(109,Однолинейка!$BV$1:$BV$1000,0)),"")</f>
      </c>
      <c r="F111" s="133">
        <f>IFERROR(INDEX(Однолинейка!$Q$1:$Q$1000,MATCH(109,Однолинейка!$BV$1:$BV$1000,0)),"")</f>
      </c>
    </row>
    <row r="112">
      <c r="A112" s="133">
        <f>IF(ISNUMBER(MATCH(110,Однолинейка!$BV$1:$BV$1000,0)),110,"")</f>
      </c>
      <c r="B112" s="133">
        <f>IFERROR(INDEX(Однолинейка!$A$1:$A$1000,MATCH(110,Однолинейка!$BV$1:$BV$1000,0)),"")</f>
      </c>
      <c r="C112" s="133">
        <f>IFERROR(INDEX(Однолинейка!$G$1:$G$1000,MATCH(110,Однолинейка!$BV$1:$BV$1000,0))&amp;IF(INDEX(Однолинейка!$P$1:$P$1000,MATCH(110,Однолинейка!$BV$1:$BV$1000,0))="","","/"&amp;INDEX(Однолинейка!$P$1:$P$1000,MATCH(110,Однолинейка!$BV$1:$BV$1000,0))),"")</f>
      </c>
      <c r="D112" s="133">
        <f>IFERROR(INDEX(Однолинейка!$R$1:$R$1000,MATCH(110,Однолинейка!$BV$1:$BV$1000,0)),"")</f>
      </c>
      <c r="E112" s="133">
        <f>IFERROR(INDEX(Однолинейка!$S$1:$S$1000,MATCH(110,Однолинейка!$BV$1:$BV$1000,0)),"")</f>
      </c>
      <c r="F112" s="133">
        <f>IFERROR(INDEX(Однолинейка!$Q$1:$Q$1000,MATCH(110,Однолинейка!$BV$1:$BV$1000,0)),"")</f>
      </c>
    </row>
    <row r="113">
      <c r="A113" s="133">
        <f>IF(ISNUMBER(MATCH(111,Однолинейка!$BV$1:$BV$1000,0)),111,"")</f>
      </c>
      <c r="B113" s="133">
        <f>IFERROR(INDEX(Однолинейка!$A$1:$A$1000,MATCH(111,Однолинейка!$BV$1:$BV$1000,0)),"")</f>
      </c>
      <c r="C113" s="133">
        <f>IFERROR(INDEX(Однолинейка!$G$1:$G$1000,MATCH(111,Однолинейка!$BV$1:$BV$1000,0))&amp;IF(INDEX(Однолинейка!$P$1:$P$1000,MATCH(111,Однолинейка!$BV$1:$BV$1000,0))="","","/"&amp;INDEX(Однолинейка!$P$1:$P$1000,MATCH(111,Однолинейка!$BV$1:$BV$1000,0))),"")</f>
      </c>
      <c r="D113" s="133">
        <f>IFERROR(INDEX(Однолинейка!$R$1:$R$1000,MATCH(111,Однолинейка!$BV$1:$BV$1000,0)),"")</f>
      </c>
      <c r="E113" s="133">
        <f>IFERROR(INDEX(Однолинейка!$S$1:$S$1000,MATCH(111,Однолинейка!$BV$1:$BV$1000,0)),"")</f>
      </c>
      <c r="F113" s="133">
        <f>IFERROR(INDEX(Однолинейка!$Q$1:$Q$1000,MATCH(111,Однолинейка!$BV$1:$BV$1000,0)),"")</f>
      </c>
    </row>
    <row r="114">
      <c r="A114" s="133">
        <f>IF(ISNUMBER(MATCH(112,Однолинейка!$BV$1:$BV$1000,0)),112,"")</f>
      </c>
      <c r="B114" s="133">
        <f>IFERROR(INDEX(Однолинейка!$A$1:$A$1000,MATCH(112,Однолинейка!$BV$1:$BV$1000,0)),"")</f>
      </c>
      <c r="C114" s="133">
        <f>IFERROR(INDEX(Однолинейка!$G$1:$G$1000,MATCH(112,Однолинейка!$BV$1:$BV$1000,0))&amp;IF(INDEX(Однолинейка!$P$1:$P$1000,MATCH(112,Однолинейка!$BV$1:$BV$1000,0))="","","/"&amp;INDEX(Однолинейка!$P$1:$P$1000,MATCH(112,Однолинейка!$BV$1:$BV$1000,0))),"")</f>
      </c>
      <c r="D114" s="133">
        <f>IFERROR(INDEX(Однолинейка!$R$1:$R$1000,MATCH(112,Однолинейка!$BV$1:$BV$1000,0)),"")</f>
      </c>
      <c r="E114" s="133">
        <f>IFERROR(INDEX(Однолинейка!$S$1:$S$1000,MATCH(112,Однолинейка!$BV$1:$BV$1000,0)),"")</f>
      </c>
      <c r="F114" s="133">
        <f>IFERROR(INDEX(Однолинейка!$Q$1:$Q$1000,MATCH(112,Однолинейка!$BV$1:$BV$1000,0)),"")</f>
      </c>
    </row>
    <row r="115">
      <c r="A115" s="133">
        <f>IF(ISNUMBER(MATCH(113,Однолинейка!$BV$1:$BV$1000,0)),113,"")</f>
      </c>
      <c r="B115" s="133">
        <f>IFERROR(INDEX(Однолинейка!$A$1:$A$1000,MATCH(113,Однолинейка!$BV$1:$BV$1000,0)),"")</f>
      </c>
      <c r="C115" s="133">
        <f>IFERROR(INDEX(Однолинейка!$G$1:$G$1000,MATCH(113,Однолинейка!$BV$1:$BV$1000,0))&amp;IF(INDEX(Однолинейка!$P$1:$P$1000,MATCH(113,Однолинейка!$BV$1:$BV$1000,0))="","","/"&amp;INDEX(Однолинейка!$P$1:$P$1000,MATCH(113,Однолинейка!$BV$1:$BV$1000,0))),"")</f>
      </c>
      <c r="D115" s="133">
        <f>IFERROR(INDEX(Однолинейка!$R$1:$R$1000,MATCH(113,Однолинейка!$BV$1:$BV$1000,0)),"")</f>
      </c>
      <c r="E115" s="133">
        <f>IFERROR(INDEX(Однолинейка!$S$1:$S$1000,MATCH(113,Однолинейка!$BV$1:$BV$1000,0)),"")</f>
      </c>
      <c r="F115" s="133">
        <f>IFERROR(INDEX(Однолинейка!$Q$1:$Q$1000,MATCH(113,Однолинейка!$BV$1:$BV$1000,0)),"")</f>
      </c>
    </row>
    <row r="116">
      <c r="A116" s="133">
        <f>IF(ISNUMBER(MATCH(114,Однолинейка!$BV$1:$BV$1000,0)),114,"")</f>
      </c>
      <c r="B116" s="133">
        <f>IFERROR(INDEX(Однолинейка!$A$1:$A$1000,MATCH(114,Однолинейка!$BV$1:$BV$1000,0)),"")</f>
      </c>
      <c r="C116" s="133">
        <f>IFERROR(INDEX(Однолинейка!$G$1:$G$1000,MATCH(114,Однолинейка!$BV$1:$BV$1000,0))&amp;IF(INDEX(Однолинейка!$P$1:$P$1000,MATCH(114,Однолинейка!$BV$1:$BV$1000,0))="","","/"&amp;INDEX(Однолинейка!$P$1:$P$1000,MATCH(114,Однолинейка!$BV$1:$BV$1000,0))),"")</f>
      </c>
      <c r="D116" s="133">
        <f>IFERROR(INDEX(Однолинейка!$R$1:$R$1000,MATCH(114,Однолинейка!$BV$1:$BV$1000,0)),"")</f>
      </c>
      <c r="E116" s="133">
        <f>IFERROR(INDEX(Однолинейка!$S$1:$S$1000,MATCH(114,Однолинейка!$BV$1:$BV$1000,0)),"")</f>
      </c>
      <c r="F116" s="133">
        <f>IFERROR(INDEX(Однолинейка!$Q$1:$Q$1000,MATCH(114,Однолинейка!$BV$1:$BV$1000,0)),"")</f>
      </c>
    </row>
    <row r="117">
      <c r="A117" s="133">
        <f>IF(ISNUMBER(MATCH(115,Однолинейка!$BV$1:$BV$1000,0)),115,"")</f>
      </c>
      <c r="B117" s="133">
        <f>IFERROR(INDEX(Однолинейка!$A$1:$A$1000,MATCH(115,Однолинейка!$BV$1:$BV$1000,0)),"")</f>
      </c>
      <c r="C117" s="133">
        <f>IFERROR(INDEX(Однолинейка!$G$1:$G$1000,MATCH(115,Однолинейка!$BV$1:$BV$1000,0))&amp;IF(INDEX(Однолинейка!$P$1:$P$1000,MATCH(115,Однолинейка!$BV$1:$BV$1000,0))="","","/"&amp;INDEX(Однолинейка!$P$1:$P$1000,MATCH(115,Однолинейка!$BV$1:$BV$1000,0))),"")</f>
      </c>
      <c r="D117" s="133">
        <f>IFERROR(INDEX(Однолинейка!$R$1:$R$1000,MATCH(115,Однолинейка!$BV$1:$BV$1000,0)),"")</f>
      </c>
      <c r="E117" s="133">
        <f>IFERROR(INDEX(Однолинейка!$S$1:$S$1000,MATCH(115,Однолинейка!$BV$1:$BV$1000,0)),"")</f>
      </c>
      <c r="F117" s="133">
        <f>IFERROR(INDEX(Однолинейка!$Q$1:$Q$1000,MATCH(115,Однолинейка!$BV$1:$BV$1000,0)),"")</f>
      </c>
    </row>
    <row r="118">
      <c r="A118" s="133">
        <f>IF(ISNUMBER(MATCH(116,Однолинейка!$BV$1:$BV$1000,0)),116,"")</f>
      </c>
      <c r="B118" s="133">
        <f>IFERROR(INDEX(Однолинейка!$A$1:$A$1000,MATCH(116,Однолинейка!$BV$1:$BV$1000,0)),"")</f>
      </c>
      <c r="C118" s="133">
        <f>IFERROR(INDEX(Однолинейка!$G$1:$G$1000,MATCH(116,Однолинейка!$BV$1:$BV$1000,0))&amp;IF(INDEX(Однолинейка!$P$1:$P$1000,MATCH(116,Однолинейка!$BV$1:$BV$1000,0))="","","/"&amp;INDEX(Однолинейка!$P$1:$P$1000,MATCH(116,Однолинейка!$BV$1:$BV$1000,0))),"")</f>
      </c>
      <c r="D118" s="133">
        <f>IFERROR(INDEX(Однолинейка!$R$1:$R$1000,MATCH(116,Однолинейка!$BV$1:$BV$1000,0)),"")</f>
      </c>
      <c r="E118" s="133">
        <f>IFERROR(INDEX(Однолинейка!$S$1:$S$1000,MATCH(116,Однолинейка!$BV$1:$BV$1000,0)),"")</f>
      </c>
      <c r="F118" s="133">
        <f>IFERROR(INDEX(Однолинейка!$Q$1:$Q$1000,MATCH(116,Однолинейка!$BV$1:$BV$1000,0)),"")</f>
      </c>
    </row>
    <row r="119">
      <c r="A119" s="133">
        <f>IF(ISNUMBER(MATCH(117,Однолинейка!$BV$1:$BV$1000,0)),117,"")</f>
      </c>
      <c r="B119" s="133">
        <f>IFERROR(INDEX(Однолинейка!$A$1:$A$1000,MATCH(117,Однолинейка!$BV$1:$BV$1000,0)),"")</f>
      </c>
      <c r="C119" s="133">
        <f>IFERROR(INDEX(Однолинейка!$G$1:$G$1000,MATCH(117,Однолинейка!$BV$1:$BV$1000,0))&amp;IF(INDEX(Однолинейка!$P$1:$P$1000,MATCH(117,Однолинейка!$BV$1:$BV$1000,0))="","","/"&amp;INDEX(Однолинейка!$P$1:$P$1000,MATCH(117,Однолинейка!$BV$1:$BV$1000,0))),"")</f>
      </c>
      <c r="D119" s="133">
        <f>IFERROR(INDEX(Однолинейка!$R$1:$R$1000,MATCH(117,Однолинейка!$BV$1:$BV$1000,0)),"")</f>
      </c>
      <c r="E119" s="133">
        <f>IFERROR(INDEX(Однолинейка!$S$1:$S$1000,MATCH(117,Однолинейка!$BV$1:$BV$1000,0)),"")</f>
      </c>
      <c r="F119" s="133">
        <f>IFERROR(INDEX(Однолинейка!$Q$1:$Q$1000,MATCH(117,Однолинейка!$BV$1:$BV$1000,0)),"")</f>
      </c>
    </row>
    <row r="120">
      <c r="A120" s="133">
        <f>IF(ISNUMBER(MATCH(118,Однолинейка!$BV$1:$BV$1000,0)),118,"")</f>
      </c>
      <c r="B120" s="133">
        <f>IFERROR(INDEX(Однолинейка!$A$1:$A$1000,MATCH(118,Однолинейка!$BV$1:$BV$1000,0)),"")</f>
      </c>
      <c r="C120" s="133">
        <f>IFERROR(INDEX(Однолинейка!$G$1:$G$1000,MATCH(118,Однолинейка!$BV$1:$BV$1000,0))&amp;IF(INDEX(Однолинейка!$P$1:$P$1000,MATCH(118,Однолинейка!$BV$1:$BV$1000,0))="","","/"&amp;INDEX(Однолинейка!$P$1:$P$1000,MATCH(118,Однолинейка!$BV$1:$BV$1000,0))),"")</f>
      </c>
      <c r="D120" s="133">
        <f>IFERROR(INDEX(Однолинейка!$R$1:$R$1000,MATCH(118,Однолинейка!$BV$1:$BV$1000,0)),"")</f>
      </c>
      <c r="E120" s="133">
        <f>IFERROR(INDEX(Однолинейка!$S$1:$S$1000,MATCH(118,Однолинейка!$BV$1:$BV$1000,0)),"")</f>
      </c>
      <c r="F120" s="133">
        <f>IFERROR(INDEX(Однолинейка!$Q$1:$Q$1000,MATCH(118,Однолинейка!$BV$1:$BV$1000,0)),"")</f>
      </c>
    </row>
    <row r="121">
      <c r="A121" s="133">
        <f>IF(ISNUMBER(MATCH(119,Однолинейка!$BV$1:$BV$1000,0)),119,"")</f>
      </c>
      <c r="B121" s="133">
        <f>IFERROR(INDEX(Однолинейка!$A$1:$A$1000,MATCH(119,Однолинейка!$BV$1:$BV$1000,0)),"")</f>
      </c>
      <c r="C121" s="133">
        <f>IFERROR(INDEX(Однолинейка!$G$1:$G$1000,MATCH(119,Однолинейка!$BV$1:$BV$1000,0))&amp;IF(INDEX(Однолинейка!$P$1:$P$1000,MATCH(119,Однолинейка!$BV$1:$BV$1000,0))="","","/"&amp;INDEX(Однолинейка!$P$1:$P$1000,MATCH(119,Однолинейка!$BV$1:$BV$1000,0))),"")</f>
      </c>
      <c r="D121" s="133">
        <f>IFERROR(INDEX(Однолинейка!$R$1:$R$1000,MATCH(119,Однолинейка!$BV$1:$BV$1000,0)),"")</f>
      </c>
      <c r="E121" s="133">
        <f>IFERROR(INDEX(Однолинейка!$S$1:$S$1000,MATCH(119,Однолинейка!$BV$1:$BV$1000,0)),"")</f>
      </c>
      <c r="F121" s="133">
        <f>IFERROR(INDEX(Однолинейка!$Q$1:$Q$1000,MATCH(119,Однолинейка!$BV$1:$BV$1000,0)),"")</f>
      </c>
    </row>
    <row r="122">
      <c r="A122" s="133">
        <f>IF(ISNUMBER(MATCH(120,Однолинейка!$BV$1:$BV$1000,0)),120,"")</f>
      </c>
      <c r="B122" s="133">
        <f>IFERROR(INDEX(Однолинейка!$A$1:$A$1000,MATCH(120,Однолинейка!$BV$1:$BV$1000,0)),"")</f>
      </c>
      <c r="C122" s="133">
        <f>IFERROR(INDEX(Однолинейка!$G$1:$G$1000,MATCH(120,Однолинейка!$BV$1:$BV$1000,0))&amp;IF(INDEX(Однолинейка!$P$1:$P$1000,MATCH(120,Однолинейка!$BV$1:$BV$1000,0))="","","/"&amp;INDEX(Однолинейка!$P$1:$P$1000,MATCH(120,Однолинейка!$BV$1:$BV$1000,0))),"")</f>
      </c>
      <c r="D122" s="133">
        <f>IFERROR(INDEX(Однолинейка!$R$1:$R$1000,MATCH(120,Однолинейка!$BV$1:$BV$1000,0)),"")</f>
      </c>
      <c r="E122" s="133">
        <f>IFERROR(INDEX(Однолинейка!$S$1:$S$1000,MATCH(120,Однолинейка!$BV$1:$BV$1000,0)),"")</f>
      </c>
      <c r="F122" s="133">
        <f>IFERROR(INDEX(Однолинейка!$Q$1:$Q$1000,MATCH(120,Однолинейка!$BV$1:$BV$1000,0)),"")</f>
      </c>
    </row>
    <row r="123">
      <c r="A123" s="133">
        <f>IF(ISNUMBER(MATCH(121,Однолинейка!$BV$1:$BV$1000,0)),121,"")</f>
      </c>
      <c r="B123" s="133">
        <f>IFERROR(INDEX(Однолинейка!$A$1:$A$1000,MATCH(121,Однолинейка!$BV$1:$BV$1000,0)),"")</f>
      </c>
      <c r="C123" s="133">
        <f>IFERROR(INDEX(Однолинейка!$G$1:$G$1000,MATCH(121,Однолинейка!$BV$1:$BV$1000,0))&amp;IF(INDEX(Однолинейка!$P$1:$P$1000,MATCH(121,Однолинейка!$BV$1:$BV$1000,0))="","","/"&amp;INDEX(Однолинейка!$P$1:$P$1000,MATCH(121,Однолинейка!$BV$1:$BV$1000,0))),"")</f>
      </c>
      <c r="D123" s="133">
        <f>IFERROR(INDEX(Однолинейка!$R$1:$R$1000,MATCH(121,Однолинейка!$BV$1:$BV$1000,0)),"")</f>
      </c>
      <c r="E123" s="133">
        <f>IFERROR(INDEX(Однолинейка!$S$1:$S$1000,MATCH(121,Однолинейка!$BV$1:$BV$1000,0)),"")</f>
      </c>
      <c r="F123" s="133">
        <f>IFERROR(INDEX(Однолинейка!$Q$1:$Q$1000,MATCH(121,Однолинейка!$BV$1:$BV$1000,0)),"")</f>
      </c>
    </row>
    <row r="124">
      <c r="A124" s="133">
        <f>IF(ISNUMBER(MATCH(122,Однолинейка!$BV$1:$BV$1000,0)),122,"")</f>
      </c>
      <c r="B124" s="133">
        <f>IFERROR(INDEX(Однолинейка!$A$1:$A$1000,MATCH(122,Однолинейка!$BV$1:$BV$1000,0)),"")</f>
      </c>
      <c r="C124" s="133">
        <f>IFERROR(INDEX(Однолинейка!$G$1:$G$1000,MATCH(122,Однолинейка!$BV$1:$BV$1000,0))&amp;IF(INDEX(Однолинейка!$P$1:$P$1000,MATCH(122,Однолинейка!$BV$1:$BV$1000,0))="","","/"&amp;INDEX(Однолинейка!$P$1:$P$1000,MATCH(122,Однолинейка!$BV$1:$BV$1000,0))),"")</f>
      </c>
      <c r="D124" s="133">
        <f>IFERROR(INDEX(Однолинейка!$R$1:$R$1000,MATCH(122,Однолинейка!$BV$1:$BV$1000,0)),"")</f>
      </c>
      <c r="E124" s="133">
        <f>IFERROR(INDEX(Однолинейка!$S$1:$S$1000,MATCH(122,Однолинейка!$BV$1:$BV$1000,0)),"")</f>
      </c>
      <c r="F124" s="133">
        <f>IFERROR(INDEX(Однолинейка!$Q$1:$Q$1000,MATCH(122,Однолинейка!$BV$1:$BV$1000,0)),"")</f>
      </c>
    </row>
    <row r="125">
      <c r="A125" s="133">
        <f>IF(ISNUMBER(MATCH(123,Однолинейка!$BV$1:$BV$1000,0)),123,"")</f>
      </c>
      <c r="B125" s="133">
        <f>IFERROR(INDEX(Однолинейка!$A$1:$A$1000,MATCH(123,Однолинейка!$BV$1:$BV$1000,0)),"")</f>
      </c>
      <c r="C125" s="133">
        <f>IFERROR(INDEX(Однолинейка!$G$1:$G$1000,MATCH(123,Однолинейка!$BV$1:$BV$1000,0))&amp;IF(INDEX(Однолинейка!$P$1:$P$1000,MATCH(123,Однолинейка!$BV$1:$BV$1000,0))="","","/"&amp;INDEX(Однолинейка!$P$1:$P$1000,MATCH(123,Однолинейка!$BV$1:$BV$1000,0))),"")</f>
      </c>
      <c r="D125" s="133">
        <f>IFERROR(INDEX(Однолинейка!$R$1:$R$1000,MATCH(123,Однолинейка!$BV$1:$BV$1000,0)),"")</f>
      </c>
      <c r="E125" s="133">
        <f>IFERROR(INDEX(Однолинейка!$S$1:$S$1000,MATCH(123,Однолинейка!$BV$1:$BV$1000,0)),"")</f>
      </c>
      <c r="F125" s="133">
        <f>IFERROR(INDEX(Однолинейка!$Q$1:$Q$1000,MATCH(123,Однолинейка!$BV$1:$BV$1000,0)),"")</f>
      </c>
    </row>
    <row r="126">
      <c r="A126" s="133">
        <f>IF(ISNUMBER(MATCH(124,Однолинейка!$BV$1:$BV$1000,0)),124,"")</f>
      </c>
      <c r="B126" s="133">
        <f>IFERROR(INDEX(Однолинейка!$A$1:$A$1000,MATCH(124,Однолинейка!$BV$1:$BV$1000,0)),"")</f>
      </c>
      <c r="C126" s="133">
        <f>IFERROR(INDEX(Однолинейка!$G$1:$G$1000,MATCH(124,Однолинейка!$BV$1:$BV$1000,0))&amp;IF(INDEX(Однолинейка!$P$1:$P$1000,MATCH(124,Однолинейка!$BV$1:$BV$1000,0))="","","/"&amp;INDEX(Однолинейка!$P$1:$P$1000,MATCH(124,Однолинейка!$BV$1:$BV$1000,0))),"")</f>
      </c>
      <c r="D126" s="133">
        <f>IFERROR(INDEX(Однолинейка!$R$1:$R$1000,MATCH(124,Однолинейка!$BV$1:$BV$1000,0)),"")</f>
      </c>
      <c r="E126" s="133">
        <f>IFERROR(INDEX(Однолинейка!$S$1:$S$1000,MATCH(124,Однолинейка!$BV$1:$BV$1000,0)),"")</f>
      </c>
      <c r="F126" s="133">
        <f>IFERROR(INDEX(Однолинейка!$Q$1:$Q$1000,MATCH(124,Однолинейка!$BV$1:$BV$1000,0)),"")</f>
      </c>
    </row>
    <row r="127">
      <c r="A127" s="133">
        <f>IF(ISNUMBER(MATCH(125,Однолинейка!$BV$1:$BV$1000,0)),125,"")</f>
      </c>
      <c r="B127" s="133">
        <f>IFERROR(INDEX(Однолинейка!$A$1:$A$1000,MATCH(125,Однолинейка!$BV$1:$BV$1000,0)),"")</f>
      </c>
      <c r="C127" s="133">
        <f>IFERROR(INDEX(Однолинейка!$G$1:$G$1000,MATCH(125,Однолинейка!$BV$1:$BV$1000,0))&amp;IF(INDEX(Однолинейка!$P$1:$P$1000,MATCH(125,Однолинейка!$BV$1:$BV$1000,0))="","","/"&amp;INDEX(Однолинейка!$P$1:$P$1000,MATCH(125,Однолинейка!$BV$1:$BV$1000,0))),"")</f>
      </c>
      <c r="D127" s="133">
        <f>IFERROR(INDEX(Однолинейка!$R$1:$R$1000,MATCH(125,Однолинейка!$BV$1:$BV$1000,0)),"")</f>
      </c>
      <c r="E127" s="133">
        <f>IFERROR(INDEX(Однолинейка!$S$1:$S$1000,MATCH(125,Однолинейка!$BV$1:$BV$1000,0)),"")</f>
      </c>
      <c r="F127" s="133">
        <f>IFERROR(INDEX(Однолинейка!$Q$1:$Q$1000,MATCH(125,Однолинейка!$BV$1:$BV$1000,0)),"")</f>
      </c>
    </row>
    <row r="128">
      <c r="A128" s="133">
        <f>IF(ISNUMBER(MATCH(126,Однолинейка!$BV$1:$BV$1000,0)),126,"")</f>
      </c>
      <c r="B128" s="133">
        <f>IFERROR(INDEX(Однолинейка!$A$1:$A$1000,MATCH(126,Однолинейка!$BV$1:$BV$1000,0)),"")</f>
      </c>
      <c r="C128" s="133">
        <f>IFERROR(INDEX(Однолинейка!$G$1:$G$1000,MATCH(126,Однолинейка!$BV$1:$BV$1000,0))&amp;IF(INDEX(Однолинейка!$P$1:$P$1000,MATCH(126,Однолинейка!$BV$1:$BV$1000,0))="","","/"&amp;INDEX(Однолинейка!$P$1:$P$1000,MATCH(126,Однолинейка!$BV$1:$BV$1000,0))),"")</f>
      </c>
      <c r="D128" s="133">
        <f>IFERROR(INDEX(Однолинейка!$R$1:$R$1000,MATCH(126,Однолинейка!$BV$1:$BV$1000,0)),"")</f>
      </c>
      <c r="E128" s="133">
        <f>IFERROR(INDEX(Однолинейка!$S$1:$S$1000,MATCH(126,Однолинейка!$BV$1:$BV$1000,0)),"")</f>
      </c>
      <c r="F128" s="133">
        <f>IFERROR(INDEX(Однолинейка!$Q$1:$Q$1000,MATCH(126,Однолинейка!$BV$1:$BV$1000,0)),"")</f>
      </c>
    </row>
    <row r="129">
      <c r="A129" s="133">
        <f>IF(ISNUMBER(MATCH(127,Однолинейка!$BV$1:$BV$1000,0)),127,"")</f>
      </c>
      <c r="B129" s="133">
        <f>IFERROR(INDEX(Однолинейка!$A$1:$A$1000,MATCH(127,Однолинейка!$BV$1:$BV$1000,0)),"")</f>
      </c>
      <c r="C129" s="133">
        <f>IFERROR(INDEX(Однолинейка!$G$1:$G$1000,MATCH(127,Однолинейка!$BV$1:$BV$1000,0))&amp;IF(INDEX(Однолинейка!$P$1:$P$1000,MATCH(127,Однолинейка!$BV$1:$BV$1000,0))="","","/"&amp;INDEX(Однолинейка!$P$1:$P$1000,MATCH(127,Однолинейка!$BV$1:$BV$1000,0))),"")</f>
      </c>
      <c r="D129" s="133">
        <f>IFERROR(INDEX(Однолинейка!$R$1:$R$1000,MATCH(127,Однолинейка!$BV$1:$BV$1000,0)),"")</f>
      </c>
      <c r="E129" s="133">
        <f>IFERROR(INDEX(Однолинейка!$S$1:$S$1000,MATCH(127,Однолинейка!$BV$1:$BV$1000,0)),"")</f>
      </c>
      <c r="F129" s="133">
        <f>IFERROR(INDEX(Однолинейка!$Q$1:$Q$1000,MATCH(127,Однолинейка!$BV$1:$BV$1000,0)),"")</f>
      </c>
    </row>
    <row r="130">
      <c r="A130" s="133">
        <f>IF(ISNUMBER(MATCH(128,Однолинейка!$BV$1:$BV$1000,0)),128,"")</f>
      </c>
      <c r="B130" s="133">
        <f>IFERROR(INDEX(Однолинейка!$A$1:$A$1000,MATCH(128,Однолинейка!$BV$1:$BV$1000,0)),"")</f>
      </c>
      <c r="C130" s="133">
        <f>IFERROR(INDEX(Однолинейка!$G$1:$G$1000,MATCH(128,Однолинейка!$BV$1:$BV$1000,0))&amp;IF(INDEX(Однолинейка!$P$1:$P$1000,MATCH(128,Однолинейка!$BV$1:$BV$1000,0))="","","/"&amp;INDEX(Однолинейка!$P$1:$P$1000,MATCH(128,Однолинейка!$BV$1:$BV$1000,0))),"")</f>
      </c>
      <c r="D130" s="133">
        <f>IFERROR(INDEX(Однолинейка!$R$1:$R$1000,MATCH(128,Однолинейка!$BV$1:$BV$1000,0)),"")</f>
      </c>
      <c r="E130" s="133">
        <f>IFERROR(INDEX(Однолинейка!$S$1:$S$1000,MATCH(128,Однолинейка!$BV$1:$BV$1000,0)),"")</f>
      </c>
      <c r="F130" s="133">
        <f>IFERROR(INDEX(Однолинейка!$Q$1:$Q$1000,MATCH(128,Однолинейка!$BV$1:$BV$1000,0)),"")</f>
      </c>
    </row>
    <row r="131">
      <c r="A131" s="133">
        <f>IF(ISNUMBER(MATCH(129,Однолинейка!$BV$1:$BV$1000,0)),129,"")</f>
      </c>
      <c r="B131" s="133">
        <f>IFERROR(INDEX(Однолинейка!$A$1:$A$1000,MATCH(129,Однолинейка!$BV$1:$BV$1000,0)),"")</f>
      </c>
      <c r="C131" s="133">
        <f>IFERROR(INDEX(Однолинейка!$G$1:$G$1000,MATCH(129,Однолинейка!$BV$1:$BV$1000,0))&amp;IF(INDEX(Однолинейка!$P$1:$P$1000,MATCH(129,Однолинейка!$BV$1:$BV$1000,0))="","","/"&amp;INDEX(Однолинейка!$P$1:$P$1000,MATCH(129,Однолинейка!$BV$1:$BV$1000,0))),"")</f>
      </c>
      <c r="D131" s="133">
        <f>IFERROR(INDEX(Однолинейка!$R$1:$R$1000,MATCH(129,Однолинейка!$BV$1:$BV$1000,0)),"")</f>
      </c>
      <c r="E131" s="133">
        <f>IFERROR(INDEX(Однолинейка!$S$1:$S$1000,MATCH(129,Однолинейка!$BV$1:$BV$1000,0)),"")</f>
      </c>
      <c r="F131" s="133">
        <f>IFERROR(INDEX(Однолинейка!$Q$1:$Q$1000,MATCH(129,Однолинейка!$BV$1:$BV$1000,0)),"")</f>
      </c>
    </row>
    <row r="132">
      <c r="A132" s="133">
        <f>IF(ISNUMBER(MATCH(130,Однолинейка!$BV$1:$BV$1000,0)),130,"")</f>
      </c>
      <c r="B132" s="133">
        <f>IFERROR(INDEX(Однолинейка!$A$1:$A$1000,MATCH(130,Однолинейка!$BV$1:$BV$1000,0)),"")</f>
      </c>
      <c r="C132" s="133">
        <f>IFERROR(INDEX(Однолинейка!$G$1:$G$1000,MATCH(130,Однолинейка!$BV$1:$BV$1000,0))&amp;IF(INDEX(Однолинейка!$P$1:$P$1000,MATCH(130,Однолинейка!$BV$1:$BV$1000,0))="","","/"&amp;INDEX(Однолинейка!$P$1:$P$1000,MATCH(130,Однолинейка!$BV$1:$BV$1000,0))),"")</f>
      </c>
      <c r="D132" s="133">
        <f>IFERROR(INDEX(Однолинейка!$R$1:$R$1000,MATCH(130,Однолинейка!$BV$1:$BV$1000,0)),"")</f>
      </c>
      <c r="E132" s="133">
        <f>IFERROR(INDEX(Однолинейка!$S$1:$S$1000,MATCH(130,Однолинейка!$BV$1:$BV$1000,0)),"")</f>
      </c>
      <c r="F132" s="133">
        <f>IFERROR(INDEX(Однолинейка!$Q$1:$Q$1000,MATCH(130,Однолинейка!$BV$1:$BV$1000,0)),"")</f>
      </c>
    </row>
    <row r="133">
      <c r="A133" s="133">
        <f>IF(ISNUMBER(MATCH(131,Однолинейка!$BV$1:$BV$1000,0)),131,"")</f>
      </c>
      <c r="B133" s="133">
        <f>IFERROR(INDEX(Однолинейка!$A$1:$A$1000,MATCH(131,Однолинейка!$BV$1:$BV$1000,0)),"")</f>
      </c>
      <c r="C133" s="133">
        <f>IFERROR(INDEX(Однолинейка!$G$1:$G$1000,MATCH(131,Однолинейка!$BV$1:$BV$1000,0))&amp;IF(INDEX(Однолинейка!$P$1:$P$1000,MATCH(131,Однолинейка!$BV$1:$BV$1000,0))="","","/"&amp;INDEX(Однолинейка!$P$1:$P$1000,MATCH(131,Однолинейка!$BV$1:$BV$1000,0))),"")</f>
      </c>
      <c r="D133" s="133">
        <f>IFERROR(INDEX(Однолинейка!$R$1:$R$1000,MATCH(131,Однолинейка!$BV$1:$BV$1000,0)),"")</f>
      </c>
      <c r="E133" s="133">
        <f>IFERROR(INDEX(Однолинейка!$S$1:$S$1000,MATCH(131,Однолинейка!$BV$1:$BV$1000,0)),"")</f>
      </c>
      <c r="F133" s="133">
        <f>IFERROR(INDEX(Однолинейка!$Q$1:$Q$1000,MATCH(131,Однолинейка!$BV$1:$BV$1000,0)),"")</f>
      </c>
    </row>
    <row r="134">
      <c r="A134" s="133">
        <f>IF(ISNUMBER(MATCH(132,Однолинейка!$BV$1:$BV$1000,0)),132,"")</f>
      </c>
      <c r="B134" s="133">
        <f>IFERROR(INDEX(Однолинейка!$A$1:$A$1000,MATCH(132,Однолинейка!$BV$1:$BV$1000,0)),"")</f>
      </c>
      <c r="C134" s="133">
        <f>IFERROR(INDEX(Однолинейка!$G$1:$G$1000,MATCH(132,Однолинейка!$BV$1:$BV$1000,0))&amp;IF(INDEX(Однолинейка!$P$1:$P$1000,MATCH(132,Однолинейка!$BV$1:$BV$1000,0))="","","/"&amp;INDEX(Однолинейка!$P$1:$P$1000,MATCH(132,Однолинейка!$BV$1:$BV$1000,0))),"")</f>
      </c>
      <c r="D134" s="133">
        <f>IFERROR(INDEX(Однолинейка!$R$1:$R$1000,MATCH(132,Однолинейка!$BV$1:$BV$1000,0)),"")</f>
      </c>
      <c r="E134" s="133">
        <f>IFERROR(INDEX(Однолинейка!$S$1:$S$1000,MATCH(132,Однолинейка!$BV$1:$BV$1000,0)),"")</f>
      </c>
      <c r="F134" s="133">
        <f>IFERROR(INDEX(Однолинейка!$Q$1:$Q$1000,MATCH(132,Однолинейка!$BV$1:$BV$1000,0)),"")</f>
      </c>
    </row>
    <row r="135">
      <c r="A135" s="133">
        <f>IF(ISNUMBER(MATCH(133,Однолинейка!$BV$1:$BV$1000,0)),133,"")</f>
      </c>
      <c r="B135" s="133">
        <f>IFERROR(INDEX(Однолинейка!$A$1:$A$1000,MATCH(133,Однолинейка!$BV$1:$BV$1000,0)),"")</f>
      </c>
      <c r="C135" s="133">
        <f>IFERROR(INDEX(Однолинейка!$G$1:$G$1000,MATCH(133,Однолинейка!$BV$1:$BV$1000,0))&amp;IF(INDEX(Однолинейка!$P$1:$P$1000,MATCH(133,Однолинейка!$BV$1:$BV$1000,0))="","","/"&amp;INDEX(Однолинейка!$P$1:$P$1000,MATCH(133,Однолинейка!$BV$1:$BV$1000,0))),"")</f>
      </c>
      <c r="D135" s="133">
        <f>IFERROR(INDEX(Однолинейка!$R$1:$R$1000,MATCH(133,Однолинейка!$BV$1:$BV$1000,0)),"")</f>
      </c>
      <c r="E135" s="133">
        <f>IFERROR(INDEX(Однолинейка!$S$1:$S$1000,MATCH(133,Однолинейка!$BV$1:$BV$1000,0)),"")</f>
      </c>
      <c r="F135" s="133">
        <f>IFERROR(INDEX(Однолинейка!$Q$1:$Q$1000,MATCH(133,Однолинейка!$BV$1:$BV$1000,0)),"")</f>
      </c>
    </row>
    <row r="136">
      <c r="A136" s="133">
        <f>IF(ISNUMBER(MATCH(134,Однолинейка!$BV$1:$BV$1000,0)),134,"")</f>
      </c>
      <c r="B136" s="133">
        <f>IFERROR(INDEX(Однолинейка!$A$1:$A$1000,MATCH(134,Однолинейка!$BV$1:$BV$1000,0)),"")</f>
      </c>
      <c r="C136" s="133">
        <f>IFERROR(INDEX(Однолинейка!$G$1:$G$1000,MATCH(134,Однолинейка!$BV$1:$BV$1000,0))&amp;IF(INDEX(Однолинейка!$P$1:$P$1000,MATCH(134,Однолинейка!$BV$1:$BV$1000,0))="","","/"&amp;INDEX(Однолинейка!$P$1:$P$1000,MATCH(134,Однолинейка!$BV$1:$BV$1000,0))),"")</f>
      </c>
      <c r="D136" s="133">
        <f>IFERROR(INDEX(Однолинейка!$R$1:$R$1000,MATCH(134,Однолинейка!$BV$1:$BV$1000,0)),"")</f>
      </c>
      <c r="E136" s="133">
        <f>IFERROR(INDEX(Однолинейка!$S$1:$S$1000,MATCH(134,Однолинейка!$BV$1:$BV$1000,0)),"")</f>
      </c>
      <c r="F136" s="133">
        <f>IFERROR(INDEX(Однолинейка!$Q$1:$Q$1000,MATCH(134,Однолинейка!$BV$1:$BV$1000,0)),"")</f>
      </c>
    </row>
    <row r="137">
      <c r="A137" s="133">
        <f>IF(ISNUMBER(MATCH(135,Однолинейка!$BV$1:$BV$1000,0)),135,"")</f>
      </c>
      <c r="B137" s="133">
        <f>IFERROR(INDEX(Однолинейка!$A$1:$A$1000,MATCH(135,Однолинейка!$BV$1:$BV$1000,0)),"")</f>
      </c>
      <c r="C137" s="133">
        <f>IFERROR(INDEX(Однолинейка!$G$1:$G$1000,MATCH(135,Однолинейка!$BV$1:$BV$1000,0))&amp;IF(INDEX(Однолинейка!$P$1:$P$1000,MATCH(135,Однолинейка!$BV$1:$BV$1000,0))="","","/"&amp;INDEX(Однолинейка!$P$1:$P$1000,MATCH(135,Однолинейка!$BV$1:$BV$1000,0))),"")</f>
      </c>
      <c r="D137" s="133">
        <f>IFERROR(INDEX(Однолинейка!$R$1:$R$1000,MATCH(135,Однолинейка!$BV$1:$BV$1000,0)),"")</f>
      </c>
      <c r="E137" s="133">
        <f>IFERROR(INDEX(Однолинейка!$S$1:$S$1000,MATCH(135,Однолинейка!$BV$1:$BV$1000,0)),"")</f>
      </c>
      <c r="F137" s="133">
        <f>IFERROR(INDEX(Однолинейка!$Q$1:$Q$1000,MATCH(135,Однолинейка!$BV$1:$BV$1000,0)),"")</f>
      </c>
    </row>
    <row r="138">
      <c r="A138" s="133">
        <f>IF(ISNUMBER(MATCH(136,Однолинейка!$BV$1:$BV$1000,0)),136,"")</f>
      </c>
      <c r="B138" s="133">
        <f>IFERROR(INDEX(Однолинейка!$A$1:$A$1000,MATCH(136,Однолинейка!$BV$1:$BV$1000,0)),"")</f>
      </c>
      <c r="C138" s="133">
        <f>IFERROR(INDEX(Однолинейка!$G$1:$G$1000,MATCH(136,Однолинейка!$BV$1:$BV$1000,0))&amp;IF(INDEX(Однолинейка!$P$1:$P$1000,MATCH(136,Однолинейка!$BV$1:$BV$1000,0))="","","/"&amp;INDEX(Однолинейка!$P$1:$P$1000,MATCH(136,Однолинейка!$BV$1:$BV$1000,0))),"")</f>
      </c>
      <c r="D138" s="133">
        <f>IFERROR(INDEX(Однолинейка!$R$1:$R$1000,MATCH(136,Однолинейка!$BV$1:$BV$1000,0)),"")</f>
      </c>
      <c r="E138" s="133">
        <f>IFERROR(INDEX(Однолинейка!$S$1:$S$1000,MATCH(136,Однолинейка!$BV$1:$BV$1000,0)),"")</f>
      </c>
      <c r="F138" s="133">
        <f>IFERROR(INDEX(Однолинейка!$Q$1:$Q$1000,MATCH(136,Однолинейка!$BV$1:$BV$1000,0)),"")</f>
      </c>
    </row>
    <row r="139">
      <c r="A139" s="133">
        <f>IF(ISNUMBER(MATCH(137,Однолинейка!$BV$1:$BV$1000,0)),137,"")</f>
      </c>
      <c r="B139" s="133">
        <f>IFERROR(INDEX(Однолинейка!$A$1:$A$1000,MATCH(137,Однолинейка!$BV$1:$BV$1000,0)),"")</f>
      </c>
      <c r="C139" s="133">
        <f>IFERROR(INDEX(Однолинейка!$G$1:$G$1000,MATCH(137,Однолинейка!$BV$1:$BV$1000,0))&amp;IF(INDEX(Однолинейка!$P$1:$P$1000,MATCH(137,Однолинейка!$BV$1:$BV$1000,0))="","","/"&amp;INDEX(Однолинейка!$P$1:$P$1000,MATCH(137,Однолинейка!$BV$1:$BV$1000,0))),"")</f>
      </c>
      <c r="D139" s="133">
        <f>IFERROR(INDEX(Однолинейка!$R$1:$R$1000,MATCH(137,Однолинейка!$BV$1:$BV$1000,0)),"")</f>
      </c>
      <c r="E139" s="133">
        <f>IFERROR(INDEX(Однолинейка!$S$1:$S$1000,MATCH(137,Однолинейка!$BV$1:$BV$1000,0)),"")</f>
      </c>
      <c r="F139" s="133">
        <f>IFERROR(INDEX(Однолинейка!$Q$1:$Q$1000,MATCH(137,Однолинейка!$BV$1:$BV$1000,0)),"")</f>
      </c>
    </row>
    <row r="140">
      <c r="A140" s="133">
        <f>IF(ISNUMBER(MATCH(138,Однолинейка!$BV$1:$BV$1000,0)),138,"")</f>
      </c>
      <c r="B140" s="133">
        <f>IFERROR(INDEX(Однолинейка!$A$1:$A$1000,MATCH(138,Однолинейка!$BV$1:$BV$1000,0)),"")</f>
      </c>
      <c r="C140" s="133">
        <f>IFERROR(INDEX(Однолинейка!$G$1:$G$1000,MATCH(138,Однолинейка!$BV$1:$BV$1000,0))&amp;IF(INDEX(Однолинейка!$P$1:$P$1000,MATCH(138,Однолинейка!$BV$1:$BV$1000,0))="","","/"&amp;INDEX(Однолинейка!$P$1:$P$1000,MATCH(138,Однолинейка!$BV$1:$BV$1000,0))),"")</f>
      </c>
      <c r="D140" s="133">
        <f>IFERROR(INDEX(Однолинейка!$R$1:$R$1000,MATCH(138,Однолинейка!$BV$1:$BV$1000,0)),"")</f>
      </c>
      <c r="E140" s="133">
        <f>IFERROR(INDEX(Однолинейка!$S$1:$S$1000,MATCH(138,Однолинейка!$BV$1:$BV$1000,0)),"")</f>
      </c>
      <c r="F140" s="133">
        <f>IFERROR(INDEX(Однолинейка!$Q$1:$Q$1000,MATCH(138,Однолинейка!$BV$1:$BV$1000,0)),"")</f>
      </c>
    </row>
    <row r="141">
      <c r="A141" s="133">
        <f>IF(ISNUMBER(MATCH(139,Однолинейка!$BV$1:$BV$1000,0)),139,"")</f>
      </c>
      <c r="B141" s="133">
        <f>IFERROR(INDEX(Однолинейка!$A$1:$A$1000,MATCH(139,Однолинейка!$BV$1:$BV$1000,0)),"")</f>
      </c>
      <c r="C141" s="133">
        <f>IFERROR(INDEX(Однолинейка!$G$1:$G$1000,MATCH(139,Однолинейка!$BV$1:$BV$1000,0))&amp;IF(INDEX(Однолинейка!$P$1:$P$1000,MATCH(139,Однолинейка!$BV$1:$BV$1000,0))="","","/"&amp;INDEX(Однолинейка!$P$1:$P$1000,MATCH(139,Однолинейка!$BV$1:$BV$1000,0))),"")</f>
      </c>
      <c r="D141" s="133">
        <f>IFERROR(INDEX(Однолинейка!$R$1:$R$1000,MATCH(139,Однолинейка!$BV$1:$BV$1000,0)),"")</f>
      </c>
      <c r="E141" s="133">
        <f>IFERROR(INDEX(Однолинейка!$S$1:$S$1000,MATCH(139,Однолинейка!$BV$1:$BV$1000,0)),"")</f>
      </c>
      <c r="F141" s="133">
        <f>IFERROR(INDEX(Однолинейка!$Q$1:$Q$1000,MATCH(139,Однолинейка!$BV$1:$BV$1000,0)),"")</f>
      </c>
    </row>
    <row r="142">
      <c r="A142" s="133">
        <f>IF(ISNUMBER(MATCH(140,Однолинейка!$BV$1:$BV$1000,0)),140,"")</f>
      </c>
      <c r="B142" s="133">
        <f>IFERROR(INDEX(Однолинейка!$A$1:$A$1000,MATCH(140,Однолинейка!$BV$1:$BV$1000,0)),"")</f>
      </c>
      <c r="C142" s="133">
        <f>IFERROR(INDEX(Однолинейка!$G$1:$G$1000,MATCH(140,Однолинейка!$BV$1:$BV$1000,0))&amp;IF(INDEX(Однолинейка!$P$1:$P$1000,MATCH(140,Однолинейка!$BV$1:$BV$1000,0))="","","/"&amp;INDEX(Однолинейка!$P$1:$P$1000,MATCH(140,Однолинейка!$BV$1:$BV$1000,0))),"")</f>
      </c>
      <c r="D142" s="133">
        <f>IFERROR(INDEX(Однолинейка!$R$1:$R$1000,MATCH(140,Однолинейка!$BV$1:$BV$1000,0)),"")</f>
      </c>
      <c r="E142" s="133">
        <f>IFERROR(INDEX(Однолинейка!$S$1:$S$1000,MATCH(140,Однолинейка!$BV$1:$BV$1000,0)),"")</f>
      </c>
      <c r="F142" s="133">
        <f>IFERROR(INDEX(Однолинейка!$Q$1:$Q$1000,MATCH(140,Однолинейка!$BV$1:$BV$1000,0)),"")</f>
      </c>
    </row>
    <row r="143">
      <c r="A143" s="133">
        <f>IF(ISNUMBER(MATCH(141,Однолинейка!$BV$1:$BV$1000,0)),141,"")</f>
      </c>
      <c r="B143" s="133">
        <f>IFERROR(INDEX(Однолинейка!$A$1:$A$1000,MATCH(141,Однолинейка!$BV$1:$BV$1000,0)),"")</f>
      </c>
      <c r="C143" s="133">
        <f>IFERROR(INDEX(Однолинейка!$G$1:$G$1000,MATCH(141,Однолинейка!$BV$1:$BV$1000,0))&amp;IF(INDEX(Однолинейка!$P$1:$P$1000,MATCH(141,Однолинейка!$BV$1:$BV$1000,0))="","","/"&amp;INDEX(Однолинейка!$P$1:$P$1000,MATCH(141,Однолинейка!$BV$1:$BV$1000,0))),"")</f>
      </c>
      <c r="D143" s="133">
        <f>IFERROR(INDEX(Однолинейка!$R$1:$R$1000,MATCH(141,Однолинейка!$BV$1:$BV$1000,0)),"")</f>
      </c>
      <c r="E143" s="133">
        <f>IFERROR(INDEX(Однолинейка!$S$1:$S$1000,MATCH(141,Однолинейка!$BV$1:$BV$1000,0)),"")</f>
      </c>
      <c r="F143" s="133">
        <f>IFERROR(INDEX(Однолинейка!$Q$1:$Q$1000,MATCH(141,Однолинейка!$BV$1:$BV$1000,0)),"")</f>
      </c>
    </row>
    <row r="144">
      <c r="A144" s="133">
        <f>IF(ISNUMBER(MATCH(142,Однолинейка!$BV$1:$BV$1000,0)),142,"")</f>
      </c>
      <c r="B144" s="133">
        <f>IFERROR(INDEX(Однолинейка!$A$1:$A$1000,MATCH(142,Однолинейка!$BV$1:$BV$1000,0)),"")</f>
      </c>
      <c r="C144" s="133">
        <f>IFERROR(INDEX(Однолинейка!$G$1:$G$1000,MATCH(142,Однолинейка!$BV$1:$BV$1000,0))&amp;IF(INDEX(Однолинейка!$P$1:$P$1000,MATCH(142,Однолинейка!$BV$1:$BV$1000,0))="","","/"&amp;INDEX(Однолинейка!$P$1:$P$1000,MATCH(142,Однолинейка!$BV$1:$BV$1000,0))),"")</f>
      </c>
      <c r="D144" s="133">
        <f>IFERROR(INDEX(Однолинейка!$R$1:$R$1000,MATCH(142,Однолинейка!$BV$1:$BV$1000,0)),"")</f>
      </c>
      <c r="E144" s="133">
        <f>IFERROR(INDEX(Однолинейка!$S$1:$S$1000,MATCH(142,Однолинейка!$BV$1:$BV$1000,0)),"")</f>
      </c>
      <c r="F144" s="133">
        <f>IFERROR(INDEX(Однолинейка!$Q$1:$Q$1000,MATCH(142,Однолинейка!$BV$1:$BV$1000,0)),"")</f>
      </c>
    </row>
    <row r="145">
      <c r="A145" s="133">
        <f>IF(ISNUMBER(MATCH(143,Однолинейка!$BV$1:$BV$1000,0)),143,"")</f>
      </c>
      <c r="B145" s="133">
        <f>IFERROR(INDEX(Однолинейка!$A$1:$A$1000,MATCH(143,Однолинейка!$BV$1:$BV$1000,0)),"")</f>
      </c>
      <c r="C145" s="133">
        <f>IFERROR(INDEX(Однолинейка!$G$1:$G$1000,MATCH(143,Однолинейка!$BV$1:$BV$1000,0))&amp;IF(INDEX(Однолинейка!$P$1:$P$1000,MATCH(143,Однолинейка!$BV$1:$BV$1000,0))="","","/"&amp;INDEX(Однолинейка!$P$1:$P$1000,MATCH(143,Однолинейка!$BV$1:$BV$1000,0))),"")</f>
      </c>
      <c r="D145" s="133">
        <f>IFERROR(INDEX(Однолинейка!$R$1:$R$1000,MATCH(143,Однолинейка!$BV$1:$BV$1000,0)),"")</f>
      </c>
      <c r="E145" s="133">
        <f>IFERROR(INDEX(Однолинейка!$S$1:$S$1000,MATCH(143,Однолинейка!$BV$1:$BV$1000,0)),"")</f>
      </c>
      <c r="F145" s="133">
        <f>IFERROR(INDEX(Однолинейка!$Q$1:$Q$1000,MATCH(143,Однолинейка!$BV$1:$BV$1000,0)),"")</f>
      </c>
    </row>
    <row r="146">
      <c r="A146" s="133">
        <f>IF(ISNUMBER(MATCH(144,Однолинейка!$BV$1:$BV$1000,0)),144,"")</f>
      </c>
      <c r="B146" s="133">
        <f>IFERROR(INDEX(Однолинейка!$A$1:$A$1000,MATCH(144,Однолинейка!$BV$1:$BV$1000,0)),"")</f>
      </c>
      <c r="C146" s="133">
        <f>IFERROR(INDEX(Однолинейка!$G$1:$G$1000,MATCH(144,Однолинейка!$BV$1:$BV$1000,0))&amp;IF(INDEX(Однолинейка!$P$1:$P$1000,MATCH(144,Однолинейка!$BV$1:$BV$1000,0))="","","/"&amp;INDEX(Однолинейка!$P$1:$P$1000,MATCH(144,Однолинейка!$BV$1:$BV$1000,0))),"")</f>
      </c>
      <c r="D146" s="133">
        <f>IFERROR(INDEX(Однолинейка!$R$1:$R$1000,MATCH(144,Однолинейка!$BV$1:$BV$1000,0)),"")</f>
      </c>
      <c r="E146" s="133">
        <f>IFERROR(INDEX(Однолинейка!$S$1:$S$1000,MATCH(144,Однолинейка!$BV$1:$BV$1000,0)),"")</f>
      </c>
      <c r="F146" s="133">
        <f>IFERROR(INDEX(Однолинейка!$Q$1:$Q$1000,MATCH(144,Однолинейка!$BV$1:$BV$1000,0)),"")</f>
      </c>
    </row>
    <row r="147">
      <c r="A147" s="133">
        <f>IF(ISNUMBER(MATCH(145,Однолинейка!$BV$1:$BV$1000,0)),145,"")</f>
      </c>
      <c r="B147" s="133">
        <f>IFERROR(INDEX(Однолинейка!$A$1:$A$1000,MATCH(145,Однолинейка!$BV$1:$BV$1000,0)),"")</f>
      </c>
      <c r="C147" s="133">
        <f>IFERROR(INDEX(Однолинейка!$G$1:$G$1000,MATCH(145,Однолинейка!$BV$1:$BV$1000,0))&amp;IF(INDEX(Однолинейка!$P$1:$P$1000,MATCH(145,Однолинейка!$BV$1:$BV$1000,0))="","","/"&amp;INDEX(Однолинейка!$P$1:$P$1000,MATCH(145,Однолинейка!$BV$1:$BV$1000,0))),"")</f>
      </c>
      <c r="D147" s="133">
        <f>IFERROR(INDEX(Однолинейка!$R$1:$R$1000,MATCH(145,Однолинейка!$BV$1:$BV$1000,0)),"")</f>
      </c>
      <c r="E147" s="133">
        <f>IFERROR(INDEX(Однолинейка!$S$1:$S$1000,MATCH(145,Однолинейка!$BV$1:$BV$1000,0)),"")</f>
      </c>
      <c r="F147" s="133">
        <f>IFERROR(INDEX(Однолинейка!$Q$1:$Q$1000,MATCH(145,Однолинейка!$BV$1:$BV$1000,0)),"")</f>
      </c>
    </row>
    <row r="148">
      <c r="A148" s="133">
        <f>IF(ISNUMBER(MATCH(146,Однолинейка!$BV$1:$BV$1000,0)),146,"")</f>
      </c>
      <c r="B148" s="133">
        <f>IFERROR(INDEX(Однолинейка!$A$1:$A$1000,MATCH(146,Однолинейка!$BV$1:$BV$1000,0)),"")</f>
      </c>
      <c r="C148" s="133">
        <f>IFERROR(INDEX(Однолинейка!$G$1:$G$1000,MATCH(146,Однолинейка!$BV$1:$BV$1000,0))&amp;IF(INDEX(Однолинейка!$P$1:$P$1000,MATCH(146,Однолинейка!$BV$1:$BV$1000,0))="","","/"&amp;INDEX(Однолинейка!$P$1:$P$1000,MATCH(146,Однолинейка!$BV$1:$BV$1000,0))),"")</f>
      </c>
      <c r="D148" s="133">
        <f>IFERROR(INDEX(Однолинейка!$R$1:$R$1000,MATCH(146,Однолинейка!$BV$1:$BV$1000,0)),"")</f>
      </c>
      <c r="E148" s="133">
        <f>IFERROR(INDEX(Однолинейка!$S$1:$S$1000,MATCH(146,Однолинейка!$BV$1:$BV$1000,0)),"")</f>
      </c>
      <c r="F148" s="133">
        <f>IFERROR(INDEX(Однолинейка!$Q$1:$Q$1000,MATCH(146,Однолинейка!$BV$1:$BV$1000,0)),"")</f>
      </c>
    </row>
    <row r="149">
      <c r="A149" s="133">
        <f>IF(ISNUMBER(MATCH(147,Однолинейка!$BV$1:$BV$1000,0)),147,"")</f>
      </c>
      <c r="B149" s="133">
        <f>IFERROR(INDEX(Однолинейка!$A$1:$A$1000,MATCH(147,Однолинейка!$BV$1:$BV$1000,0)),"")</f>
      </c>
      <c r="C149" s="133">
        <f>IFERROR(INDEX(Однолинейка!$G$1:$G$1000,MATCH(147,Однолинейка!$BV$1:$BV$1000,0))&amp;IF(INDEX(Однолинейка!$P$1:$P$1000,MATCH(147,Однолинейка!$BV$1:$BV$1000,0))="","","/"&amp;INDEX(Однолинейка!$P$1:$P$1000,MATCH(147,Однолинейка!$BV$1:$BV$1000,0))),"")</f>
      </c>
      <c r="D149" s="133">
        <f>IFERROR(INDEX(Однолинейка!$R$1:$R$1000,MATCH(147,Однолинейка!$BV$1:$BV$1000,0)),"")</f>
      </c>
      <c r="E149" s="133">
        <f>IFERROR(INDEX(Однолинейка!$S$1:$S$1000,MATCH(147,Однолинейка!$BV$1:$BV$1000,0)),"")</f>
      </c>
      <c r="F149" s="133">
        <f>IFERROR(INDEX(Однолинейка!$Q$1:$Q$1000,MATCH(147,Однолинейка!$BV$1:$BV$1000,0)),"")</f>
      </c>
    </row>
    <row r="150">
      <c r="A150" s="133">
        <f>IF(ISNUMBER(MATCH(148,Однолинейка!$BV$1:$BV$1000,0)),148,"")</f>
      </c>
      <c r="B150" s="133">
        <f>IFERROR(INDEX(Однолинейка!$A$1:$A$1000,MATCH(148,Однолинейка!$BV$1:$BV$1000,0)),"")</f>
      </c>
      <c r="C150" s="133">
        <f>IFERROR(INDEX(Однолинейка!$G$1:$G$1000,MATCH(148,Однолинейка!$BV$1:$BV$1000,0))&amp;IF(INDEX(Однолинейка!$P$1:$P$1000,MATCH(148,Однолинейка!$BV$1:$BV$1000,0))="","","/"&amp;INDEX(Однолинейка!$P$1:$P$1000,MATCH(148,Однолинейка!$BV$1:$BV$1000,0))),"")</f>
      </c>
      <c r="D150" s="133">
        <f>IFERROR(INDEX(Однолинейка!$R$1:$R$1000,MATCH(148,Однолинейка!$BV$1:$BV$1000,0)),"")</f>
      </c>
      <c r="E150" s="133">
        <f>IFERROR(INDEX(Однолинейка!$S$1:$S$1000,MATCH(148,Однолинейка!$BV$1:$BV$1000,0)),"")</f>
      </c>
      <c r="F150" s="133">
        <f>IFERROR(INDEX(Однолинейка!$Q$1:$Q$1000,MATCH(148,Однолинейка!$BV$1:$BV$1000,0)),"")</f>
      </c>
    </row>
    <row r="151">
      <c r="A151" s="133">
        <f>IF(ISNUMBER(MATCH(149,Однолинейка!$BV$1:$BV$1000,0)),149,"")</f>
      </c>
      <c r="B151" s="133">
        <f>IFERROR(INDEX(Однолинейка!$A$1:$A$1000,MATCH(149,Однолинейка!$BV$1:$BV$1000,0)),"")</f>
      </c>
      <c r="C151" s="133">
        <f>IFERROR(INDEX(Однолинейка!$G$1:$G$1000,MATCH(149,Однолинейка!$BV$1:$BV$1000,0))&amp;IF(INDEX(Однолинейка!$P$1:$P$1000,MATCH(149,Однолинейка!$BV$1:$BV$1000,0))="","","/"&amp;INDEX(Однолинейка!$P$1:$P$1000,MATCH(149,Однолинейка!$BV$1:$BV$1000,0))),"")</f>
      </c>
      <c r="D151" s="133">
        <f>IFERROR(INDEX(Однолинейка!$R$1:$R$1000,MATCH(149,Однолинейка!$BV$1:$BV$1000,0)),"")</f>
      </c>
      <c r="E151" s="133">
        <f>IFERROR(INDEX(Однолинейка!$S$1:$S$1000,MATCH(149,Однолинейка!$BV$1:$BV$1000,0)),"")</f>
      </c>
      <c r="F151" s="133">
        <f>IFERROR(INDEX(Однолинейка!$Q$1:$Q$1000,MATCH(149,Однолинейка!$BV$1:$BV$1000,0)),"")</f>
      </c>
    </row>
    <row r="152">
      <c r="A152" s="133">
        <f>IF(ISNUMBER(MATCH(150,Однолинейка!$BV$1:$BV$1000,0)),150,"")</f>
      </c>
      <c r="B152" s="133">
        <f>IFERROR(INDEX(Однолинейка!$A$1:$A$1000,MATCH(150,Однолинейка!$BV$1:$BV$1000,0)),"")</f>
      </c>
      <c r="C152" s="133">
        <f>IFERROR(INDEX(Однолинейка!$G$1:$G$1000,MATCH(150,Однолинейка!$BV$1:$BV$1000,0))&amp;IF(INDEX(Однолинейка!$P$1:$P$1000,MATCH(150,Однолинейка!$BV$1:$BV$1000,0))="","","/"&amp;INDEX(Однолинейка!$P$1:$P$1000,MATCH(150,Однолинейка!$BV$1:$BV$1000,0))),"")</f>
      </c>
      <c r="D152" s="133">
        <f>IFERROR(INDEX(Однолинейка!$R$1:$R$1000,MATCH(150,Однолинейка!$BV$1:$BV$1000,0)),"")</f>
      </c>
      <c r="E152" s="133">
        <f>IFERROR(INDEX(Однолинейка!$S$1:$S$1000,MATCH(150,Однолинейка!$BV$1:$BV$1000,0)),"")</f>
      </c>
      <c r="F152" s="133">
        <f>IFERROR(INDEX(Однолинейка!$Q$1:$Q$1000,MATCH(150,Однолинейка!$BV$1:$BV$1000,0)),"")</f>
      </c>
    </row>
    <row r="153">
      <c r="A153" s="133">
        <f>IF(ISNUMBER(MATCH(151,Однолинейка!$BV$1:$BV$1000,0)),151,"")</f>
      </c>
      <c r="B153" s="133">
        <f>IFERROR(INDEX(Однолинейка!$A$1:$A$1000,MATCH(151,Однолинейка!$BV$1:$BV$1000,0)),"")</f>
      </c>
      <c r="C153" s="133">
        <f>IFERROR(INDEX(Однолинейка!$G$1:$G$1000,MATCH(151,Однолинейка!$BV$1:$BV$1000,0))&amp;IF(INDEX(Однолинейка!$P$1:$P$1000,MATCH(151,Однолинейка!$BV$1:$BV$1000,0))="","","/"&amp;INDEX(Однолинейка!$P$1:$P$1000,MATCH(151,Однолинейка!$BV$1:$BV$1000,0))),"")</f>
      </c>
      <c r="D153" s="133">
        <f>IFERROR(INDEX(Однолинейка!$R$1:$R$1000,MATCH(151,Однолинейка!$BV$1:$BV$1000,0)),"")</f>
      </c>
      <c r="E153" s="133">
        <f>IFERROR(INDEX(Однолинейка!$S$1:$S$1000,MATCH(151,Однолинейка!$BV$1:$BV$1000,0)),"")</f>
      </c>
      <c r="F153" s="133">
        <f>IFERROR(INDEX(Однолинейка!$Q$1:$Q$1000,MATCH(151,Однолинейка!$BV$1:$BV$1000,0)),"")</f>
      </c>
    </row>
    <row r="154">
      <c r="A154" s="133">
        <f>IF(ISNUMBER(MATCH(152,Однолинейка!$BV$1:$BV$1000,0)),152,"")</f>
      </c>
      <c r="B154" s="133">
        <f>IFERROR(INDEX(Однолинейка!$A$1:$A$1000,MATCH(152,Однолинейка!$BV$1:$BV$1000,0)),"")</f>
      </c>
      <c r="C154" s="133">
        <f>IFERROR(INDEX(Однолинейка!$G$1:$G$1000,MATCH(152,Однолинейка!$BV$1:$BV$1000,0))&amp;IF(INDEX(Однолинейка!$P$1:$P$1000,MATCH(152,Однолинейка!$BV$1:$BV$1000,0))="","","/"&amp;INDEX(Однолинейка!$P$1:$P$1000,MATCH(152,Однолинейка!$BV$1:$BV$1000,0))),"")</f>
      </c>
      <c r="D154" s="133">
        <f>IFERROR(INDEX(Однолинейка!$R$1:$R$1000,MATCH(152,Однолинейка!$BV$1:$BV$1000,0)),"")</f>
      </c>
      <c r="E154" s="133">
        <f>IFERROR(INDEX(Однолинейка!$S$1:$S$1000,MATCH(152,Однолинейка!$BV$1:$BV$1000,0)),"")</f>
      </c>
      <c r="F154" s="133">
        <f>IFERROR(INDEX(Однолинейка!$Q$1:$Q$1000,MATCH(152,Однолинейка!$BV$1:$BV$1000,0)),"")</f>
      </c>
    </row>
    <row r="155">
      <c r="A155" s="133">
        <f>IF(ISNUMBER(MATCH(153,Однолинейка!$BV$1:$BV$1000,0)),153,"")</f>
      </c>
      <c r="B155" s="133">
        <f>IFERROR(INDEX(Однолинейка!$A$1:$A$1000,MATCH(153,Однолинейка!$BV$1:$BV$1000,0)),"")</f>
      </c>
      <c r="C155" s="133">
        <f>IFERROR(INDEX(Однолинейка!$G$1:$G$1000,MATCH(153,Однолинейка!$BV$1:$BV$1000,0))&amp;IF(INDEX(Однолинейка!$P$1:$P$1000,MATCH(153,Однолинейка!$BV$1:$BV$1000,0))="","","/"&amp;INDEX(Однолинейка!$P$1:$P$1000,MATCH(153,Однолинейка!$BV$1:$BV$1000,0))),"")</f>
      </c>
      <c r="D155" s="133">
        <f>IFERROR(INDEX(Однолинейка!$R$1:$R$1000,MATCH(153,Однолинейка!$BV$1:$BV$1000,0)),"")</f>
      </c>
      <c r="E155" s="133">
        <f>IFERROR(INDEX(Однолинейка!$S$1:$S$1000,MATCH(153,Однолинейка!$BV$1:$BV$1000,0)),"")</f>
      </c>
      <c r="F155" s="133">
        <f>IFERROR(INDEX(Однолинейка!$Q$1:$Q$1000,MATCH(153,Однолинейка!$BV$1:$BV$1000,0)),"")</f>
      </c>
    </row>
    <row r="156">
      <c r="A156" s="133">
        <f>IF(ISNUMBER(MATCH(154,Однолинейка!$BV$1:$BV$1000,0)),154,"")</f>
      </c>
      <c r="B156" s="133">
        <f>IFERROR(INDEX(Однолинейка!$A$1:$A$1000,MATCH(154,Однолинейка!$BV$1:$BV$1000,0)),"")</f>
      </c>
      <c r="C156" s="133">
        <f>IFERROR(INDEX(Однолинейка!$G$1:$G$1000,MATCH(154,Однолинейка!$BV$1:$BV$1000,0))&amp;IF(INDEX(Однолинейка!$P$1:$P$1000,MATCH(154,Однолинейка!$BV$1:$BV$1000,0))="","","/"&amp;INDEX(Однолинейка!$P$1:$P$1000,MATCH(154,Однолинейка!$BV$1:$BV$1000,0))),"")</f>
      </c>
      <c r="D156" s="133">
        <f>IFERROR(INDEX(Однолинейка!$R$1:$R$1000,MATCH(154,Однолинейка!$BV$1:$BV$1000,0)),"")</f>
      </c>
      <c r="E156" s="133">
        <f>IFERROR(INDEX(Однолинейка!$S$1:$S$1000,MATCH(154,Однолинейка!$BV$1:$BV$1000,0)),"")</f>
      </c>
      <c r="F156" s="133">
        <f>IFERROR(INDEX(Однолинейка!$Q$1:$Q$1000,MATCH(154,Однолинейка!$BV$1:$BV$1000,0)),"")</f>
      </c>
    </row>
    <row r="157">
      <c r="A157" s="133">
        <f>IF(ISNUMBER(MATCH(155,Однолинейка!$BV$1:$BV$1000,0)),155,"")</f>
      </c>
      <c r="B157" s="133">
        <f>IFERROR(INDEX(Однолинейка!$A$1:$A$1000,MATCH(155,Однолинейка!$BV$1:$BV$1000,0)),"")</f>
      </c>
      <c r="C157" s="133">
        <f>IFERROR(INDEX(Однолинейка!$G$1:$G$1000,MATCH(155,Однолинейка!$BV$1:$BV$1000,0))&amp;IF(INDEX(Однолинейка!$P$1:$P$1000,MATCH(155,Однолинейка!$BV$1:$BV$1000,0))="","","/"&amp;INDEX(Однолинейка!$P$1:$P$1000,MATCH(155,Однолинейка!$BV$1:$BV$1000,0))),"")</f>
      </c>
      <c r="D157" s="133">
        <f>IFERROR(INDEX(Однолинейка!$R$1:$R$1000,MATCH(155,Однолинейка!$BV$1:$BV$1000,0)),"")</f>
      </c>
      <c r="E157" s="133">
        <f>IFERROR(INDEX(Однолинейка!$S$1:$S$1000,MATCH(155,Однолинейка!$BV$1:$BV$1000,0)),"")</f>
      </c>
      <c r="F157" s="133">
        <f>IFERROR(INDEX(Однолинейка!$Q$1:$Q$1000,MATCH(155,Однолинейка!$BV$1:$BV$1000,0)),"")</f>
      </c>
    </row>
    <row r="158">
      <c r="A158" s="133">
        <f>IF(ISNUMBER(MATCH(156,Однолинейка!$BV$1:$BV$1000,0)),156,"")</f>
      </c>
      <c r="B158" s="133">
        <f>IFERROR(INDEX(Однолинейка!$A$1:$A$1000,MATCH(156,Однолинейка!$BV$1:$BV$1000,0)),"")</f>
      </c>
      <c r="C158" s="133">
        <f>IFERROR(INDEX(Однолинейка!$G$1:$G$1000,MATCH(156,Однолинейка!$BV$1:$BV$1000,0))&amp;IF(INDEX(Однолинейка!$P$1:$P$1000,MATCH(156,Однолинейка!$BV$1:$BV$1000,0))="","","/"&amp;INDEX(Однолинейка!$P$1:$P$1000,MATCH(156,Однолинейка!$BV$1:$BV$1000,0))),"")</f>
      </c>
      <c r="D158" s="133">
        <f>IFERROR(INDEX(Однолинейка!$R$1:$R$1000,MATCH(156,Однолинейка!$BV$1:$BV$1000,0)),"")</f>
      </c>
      <c r="E158" s="133">
        <f>IFERROR(INDEX(Однолинейка!$S$1:$S$1000,MATCH(156,Однолинейка!$BV$1:$BV$1000,0)),"")</f>
      </c>
      <c r="F158" s="133">
        <f>IFERROR(INDEX(Однолинейка!$Q$1:$Q$1000,MATCH(156,Однолинейка!$BV$1:$BV$1000,0)),"")</f>
      </c>
    </row>
    <row r="159">
      <c r="A159" s="133">
        <f>IF(ISNUMBER(MATCH(157,Однолинейка!$BV$1:$BV$1000,0)),157,"")</f>
      </c>
      <c r="B159" s="133">
        <f>IFERROR(INDEX(Однолинейка!$A$1:$A$1000,MATCH(157,Однолинейка!$BV$1:$BV$1000,0)),"")</f>
      </c>
      <c r="C159" s="133">
        <f>IFERROR(INDEX(Однолинейка!$G$1:$G$1000,MATCH(157,Однолинейка!$BV$1:$BV$1000,0))&amp;IF(INDEX(Однолинейка!$P$1:$P$1000,MATCH(157,Однолинейка!$BV$1:$BV$1000,0))="","","/"&amp;INDEX(Однолинейка!$P$1:$P$1000,MATCH(157,Однолинейка!$BV$1:$BV$1000,0))),"")</f>
      </c>
      <c r="D159" s="133">
        <f>IFERROR(INDEX(Однолинейка!$R$1:$R$1000,MATCH(157,Однолинейка!$BV$1:$BV$1000,0)),"")</f>
      </c>
      <c r="E159" s="133">
        <f>IFERROR(INDEX(Однолинейка!$S$1:$S$1000,MATCH(157,Однолинейка!$BV$1:$BV$1000,0)),"")</f>
      </c>
      <c r="F159" s="133">
        <f>IFERROR(INDEX(Однолинейка!$Q$1:$Q$1000,MATCH(157,Однолинейка!$BV$1:$BV$1000,0)),"")</f>
      </c>
    </row>
    <row r="160">
      <c r="A160" s="133">
        <f>IF(ISNUMBER(MATCH(158,Однолинейка!$BV$1:$BV$1000,0)),158,"")</f>
      </c>
      <c r="B160" s="133">
        <f>IFERROR(INDEX(Однолинейка!$A$1:$A$1000,MATCH(158,Однолинейка!$BV$1:$BV$1000,0)),"")</f>
      </c>
      <c r="C160" s="133">
        <f>IFERROR(INDEX(Однолинейка!$G$1:$G$1000,MATCH(158,Однолинейка!$BV$1:$BV$1000,0))&amp;IF(INDEX(Однолинейка!$P$1:$P$1000,MATCH(158,Однолинейка!$BV$1:$BV$1000,0))="","","/"&amp;INDEX(Однолинейка!$P$1:$P$1000,MATCH(158,Однолинейка!$BV$1:$BV$1000,0))),"")</f>
      </c>
      <c r="D160" s="133">
        <f>IFERROR(INDEX(Однолинейка!$R$1:$R$1000,MATCH(158,Однолинейка!$BV$1:$BV$1000,0)),"")</f>
      </c>
      <c r="E160" s="133">
        <f>IFERROR(INDEX(Однолинейка!$S$1:$S$1000,MATCH(158,Однолинейка!$BV$1:$BV$1000,0)),"")</f>
      </c>
      <c r="F160" s="133">
        <f>IFERROR(INDEX(Однолинейка!$Q$1:$Q$1000,MATCH(158,Однолинейка!$BV$1:$BV$1000,0)),"")</f>
      </c>
    </row>
    <row r="161">
      <c r="A161" s="133">
        <f>IF(ISNUMBER(MATCH(159,Однолинейка!$BV$1:$BV$1000,0)),159,"")</f>
      </c>
      <c r="B161" s="133">
        <f>IFERROR(INDEX(Однолинейка!$A$1:$A$1000,MATCH(159,Однолинейка!$BV$1:$BV$1000,0)),"")</f>
      </c>
      <c r="C161" s="133">
        <f>IFERROR(INDEX(Однолинейка!$G$1:$G$1000,MATCH(159,Однолинейка!$BV$1:$BV$1000,0))&amp;IF(INDEX(Однолинейка!$P$1:$P$1000,MATCH(159,Однолинейка!$BV$1:$BV$1000,0))="","","/"&amp;INDEX(Однолинейка!$P$1:$P$1000,MATCH(159,Однолинейка!$BV$1:$BV$1000,0))),"")</f>
      </c>
      <c r="D161" s="133">
        <f>IFERROR(INDEX(Однолинейка!$R$1:$R$1000,MATCH(159,Однолинейка!$BV$1:$BV$1000,0)),"")</f>
      </c>
      <c r="E161" s="133">
        <f>IFERROR(INDEX(Однолинейка!$S$1:$S$1000,MATCH(159,Однолинейка!$BV$1:$BV$1000,0)),"")</f>
      </c>
      <c r="F161" s="133">
        <f>IFERROR(INDEX(Однолинейка!$Q$1:$Q$1000,MATCH(159,Однолинейка!$BV$1:$BV$1000,0)),"")</f>
      </c>
    </row>
    <row r="162">
      <c r="A162" s="133">
        <f>IF(ISNUMBER(MATCH(160,Однолинейка!$BV$1:$BV$1000,0)),160,"")</f>
      </c>
      <c r="B162" s="133">
        <f>IFERROR(INDEX(Однолинейка!$A$1:$A$1000,MATCH(160,Однолинейка!$BV$1:$BV$1000,0)),"")</f>
      </c>
      <c r="C162" s="133">
        <f>IFERROR(INDEX(Однолинейка!$G$1:$G$1000,MATCH(160,Однолинейка!$BV$1:$BV$1000,0))&amp;IF(INDEX(Однолинейка!$P$1:$P$1000,MATCH(160,Однолинейка!$BV$1:$BV$1000,0))="","","/"&amp;INDEX(Однолинейка!$P$1:$P$1000,MATCH(160,Однолинейка!$BV$1:$BV$1000,0))),"")</f>
      </c>
      <c r="D162" s="133">
        <f>IFERROR(INDEX(Однолинейка!$R$1:$R$1000,MATCH(160,Однолинейка!$BV$1:$BV$1000,0)),"")</f>
      </c>
      <c r="E162" s="133">
        <f>IFERROR(INDEX(Однолинейка!$S$1:$S$1000,MATCH(160,Однолинейка!$BV$1:$BV$1000,0)),"")</f>
      </c>
      <c r="F162" s="133">
        <f>IFERROR(INDEX(Однолинейка!$Q$1:$Q$1000,MATCH(160,Однолинейка!$BV$1:$BV$1000,0)),"")</f>
      </c>
    </row>
    <row r="163">
      <c r="A163" s="133">
        <f>IF(ISNUMBER(MATCH(161,Однолинейка!$BV$1:$BV$1000,0)),161,"")</f>
      </c>
      <c r="B163" s="133">
        <f>IFERROR(INDEX(Однолинейка!$A$1:$A$1000,MATCH(161,Однолинейка!$BV$1:$BV$1000,0)),"")</f>
      </c>
      <c r="C163" s="133">
        <f>IFERROR(INDEX(Однолинейка!$G$1:$G$1000,MATCH(161,Однолинейка!$BV$1:$BV$1000,0))&amp;IF(INDEX(Однолинейка!$P$1:$P$1000,MATCH(161,Однолинейка!$BV$1:$BV$1000,0))="","","/"&amp;INDEX(Однолинейка!$P$1:$P$1000,MATCH(161,Однолинейка!$BV$1:$BV$1000,0))),"")</f>
      </c>
      <c r="D163" s="133">
        <f>IFERROR(INDEX(Однолинейка!$R$1:$R$1000,MATCH(161,Однолинейка!$BV$1:$BV$1000,0)),"")</f>
      </c>
      <c r="E163" s="133">
        <f>IFERROR(INDEX(Однолинейка!$S$1:$S$1000,MATCH(161,Однолинейка!$BV$1:$BV$1000,0)),"")</f>
      </c>
      <c r="F163" s="133">
        <f>IFERROR(INDEX(Однолинейка!$Q$1:$Q$1000,MATCH(161,Однолинейка!$BV$1:$BV$1000,0)),"")</f>
      </c>
    </row>
    <row r="164">
      <c r="A164" s="133">
        <f>IF(ISNUMBER(MATCH(162,Однолинейка!$BV$1:$BV$1000,0)),162,"")</f>
      </c>
      <c r="B164" s="133">
        <f>IFERROR(INDEX(Однолинейка!$A$1:$A$1000,MATCH(162,Однолинейка!$BV$1:$BV$1000,0)),"")</f>
      </c>
      <c r="C164" s="133">
        <f>IFERROR(INDEX(Однолинейка!$G$1:$G$1000,MATCH(162,Однолинейка!$BV$1:$BV$1000,0))&amp;IF(INDEX(Однолинейка!$P$1:$P$1000,MATCH(162,Однолинейка!$BV$1:$BV$1000,0))="","","/"&amp;INDEX(Однолинейка!$P$1:$P$1000,MATCH(162,Однолинейка!$BV$1:$BV$1000,0))),"")</f>
      </c>
      <c r="D164" s="133">
        <f>IFERROR(INDEX(Однолинейка!$R$1:$R$1000,MATCH(162,Однолинейка!$BV$1:$BV$1000,0)),"")</f>
      </c>
      <c r="E164" s="133">
        <f>IFERROR(INDEX(Однолинейка!$S$1:$S$1000,MATCH(162,Однолинейка!$BV$1:$BV$1000,0)),"")</f>
      </c>
      <c r="F164" s="133">
        <f>IFERROR(INDEX(Однолинейка!$Q$1:$Q$1000,MATCH(162,Однолинейка!$BV$1:$BV$1000,0)),"")</f>
      </c>
    </row>
    <row r="165">
      <c r="A165" s="133">
        <f>IF(ISNUMBER(MATCH(163,Однолинейка!$BV$1:$BV$1000,0)),163,"")</f>
      </c>
      <c r="B165" s="133">
        <f>IFERROR(INDEX(Однолинейка!$A$1:$A$1000,MATCH(163,Однолинейка!$BV$1:$BV$1000,0)),"")</f>
      </c>
      <c r="C165" s="133">
        <f>IFERROR(INDEX(Однолинейка!$G$1:$G$1000,MATCH(163,Однолинейка!$BV$1:$BV$1000,0))&amp;IF(INDEX(Однолинейка!$P$1:$P$1000,MATCH(163,Однолинейка!$BV$1:$BV$1000,0))="","","/"&amp;INDEX(Однолинейка!$P$1:$P$1000,MATCH(163,Однолинейка!$BV$1:$BV$1000,0))),"")</f>
      </c>
      <c r="D165" s="133">
        <f>IFERROR(INDEX(Однолинейка!$R$1:$R$1000,MATCH(163,Однолинейка!$BV$1:$BV$1000,0)),"")</f>
      </c>
      <c r="E165" s="133">
        <f>IFERROR(INDEX(Однолинейка!$S$1:$S$1000,MATCH(163,Однолинейка!$BV$1:$BV$1000,0)),"")</f>
      </c>
      <c r="F165" s="133">
        <f>IFERROR(INDEX(Однолинейка!$Q$1:$Q$1000,MATCH(163,Однолинейка!$BV$1:$BV$1000,0)),"")</f>
      </c>
    </row>
    <row r="166">
      <c r="A166" s="133">
        <f>IF(ISNUMBER(MATCH(164,Однолинейка!$BV$1:$BV$1000,0)),164,"")</f>
      </c>
      <c r="B166" s="133">
        <f>IFERROR(INDEX(Однолинейка!$A$1:$A$1000,MATCH(164,Однолинейка!$BV$1:$BV$1000,0)),"")</f>
      </c>
      <c r="C166" s="133">
        <f>IFERROR(INDEX(Однолинейка!$G$1:$G$1000,MATCH(164,Однолинейка!$BV$1:$BV$1000,0))&amp;IF(INDEX(Однолинейка!$P$1:$P$1000,MATCH(164,Однолинейка!$BV$1:$BV$1000,0))="","","/"&amp;INDEX(Однолинейка!$P$1:$P$1000,MATCH(164,Однолинейка!$BV$1:$BV$1000,0))),"")</f>
      </c>
      <c r="D166" s="133">
        <f>IFERROR(INDEX(Однолинейка!$R$1:$R$1000,MATCH(164,Однолинейка!$BV$1:$BV$1000,0)),"")</f>
      </c>
      <c r="E166" s="133">
        <f>IFERROR(INDEX(Однолинейка!$S$1:$S$1000,MATCH(164,Однолинейка!$BV$1:$BV$1000,0)),"")</f>
      </c>
      <c r="F166" s="133">
        <f>IFERROR(INDEX(Однолинейка!$Q$1:$Q$1000,MATCH(164,Однолинейка!$BV$1:$BV$1000,0)),"")</f>
      </c>
    </row>
    <row r="167">
      <c r="A167" s="133">
        <f>IF(ISNUMBER(MATCH(165,Однолинейка!$BV$1:$BV$1000,0)),165,"")</f>
      </c>
      <c r="B167" s="133">
        <f>IFERROR(INDEX(Однолинейка!$A$1:$A$1000,MATCH(165,Однолинейка!$BV$1:$BV$1000,0)),"")</f>
      </c>
      <c r="C167" s="133">
        <f>IFERROR(INDEX(Однолинейка!$G$1:$G$1000,MATCH(165,Однолинейка!$BV$1:$BV$1000,0))&amp;IF(INDEX(Однолинейка!$P$1:$P$1000,MATCH(165,Однолинейка!$BV$1:$BV$1000,0))="","","/"&amp;INDEX(Однолинейка!$P$1:$P$1000,MATCH(165,Однолинейка!$BV$1:$BV$1000,0))),"")</f>
      </c>
      <c r="D167" s="133">
        <f>IFERROR(INDEX(Однолинейка!$R$1:$R$1000,MATCH(165,Однолинейка!$BV$1:$BV$1000,0)),"")</f>
      </c>
      <c r="E167" s="133">
        <f>IFERROR(INDEX(Однолинейка!$S$1:$S$1000,MATCH(165,Однолинейка!$BV$1:$BV$1000,0)),"")</f>
      </c>
      <c r="F167" s="133">
        <f>IFERROR(INDEX(Однолинейка!$Q$1:$Q$1000,MATCH(165,Однолинейка!$BV$1:$BV$1000,0)),"")</f>
      </c>
    </row>
    <row r="168">
      <c r="A168" s="133">
        <f>IF(ISNUMBER(MATCH(166,Однолинейка!$BV$1:$BV$1000,0)),166,"")</f>
      </c>
      <c r="B168" s="133">
        <f>IFERROR(INDEX(Однолинейка!$A$1:$A$1000,MATCH(166,Однолинейка!$BV$1:$BV$1000,0)),"")</f>
      </c>
      <c r="C168" s="133">
        <f>IFERROR(INDEX(Однолинейка!$G$1:$G$1000,MATCH(166,Однолинейка!$BV$1:$BV$1000,0))&amp;IF(INDEX(Однолинейка!$P$1:$P$1000,MATCH(166,Однолинейка!$BV$1:$BV$1000,0))="","","/"&amp;INDEX(Однолинейка!$P$1:$P$1000,MATCH(166,Однолинейка!$BV$1:$BV$1000,0))),"")</f>
      </c>
      <c r="D168" s="133">
        <f>IFERROR(INDEX(Однолинейка!$R$1:$R$1000,MATCH(166,Однолинейка!$BV$1:$BV$1000,0)),"")</f>
      </c>
      <c r="E168" s="133">
        <f>IFERROR(INDEX(Однолинейка!$S$1:$S$1000,MATCH(166,Однолинейка!$BV$1:$BV$1000,0)),"")</f>
      </c>
      <c r="F168" s="133">
        <f>IFERROR(INDEX(Однолинейка!$Q$1:$Q$1000,MATCH(166,Однолинейка!$BV$1:$BV$1000,0)),"")</f>
      </c>
    </row>
    <row r="169">
      <c r="A169" s="133">
        <f>IF(ISNUMBER(MATCH(167,Однолинейка!$BV$1:$BV$1000,0)),167,"")</f>
      </c>
      <c r="B169" s="133">
        <f>IFERROR(INDEX(Однолинейка!$A$1:$A$1000,MATCH(167,Однолинейка!$BV$1:$BV$1000,0)),"")</f>
      </c>
      <c r="C169" s="133">
        <f>IFERROR(INDEX(Однолинейка!$G$1:$G$1000,MATCH(167,Однолинейка!$BV$1:$BV$1000,0))&amp;IF(INDEX(Однолинейка!$P$1:$P$1000,MATCH(167,Однолинейка!$BV$1:$BV$1000,0))="","","/"&amp;INDEX(Однолинейка!$P$1:$P$1000,MATCH(167,Однолинейка!$BV$1:$BV$1000,0))),"")</f>
      </c>
      <c r="D169" s="133">
        <f>IFERROR(INDEX(Однолинейка!$R$1:$R$1000,MATCH(167,Однолинейка!$BV$1:$BV$1000,0)),"")</f>
      </c>
      <c r="E169" s="133">
        <f>IFERROR(INDEX(Однолинейка!$S$1:$S$1000,MATCH(167,Однолинейка!$BV$1:$BV$1000,0)),"")</f>
      </c>
      <c r="F169" s="133">
        <f>IFERROR(INDEX(Однолинейка!$Q$1:$Q$1000,MATCH(167,Однолинейка!$BV$1:$BV$1000,0)),"")</f>
      </c>
    </row>
    <row r="170">
      <c r="A170" s="133">
        <f>IF(ISNUMBER(MATCH(168,Однолинейка!$BV$1:$BV$1000,0)),168,"")</f>
      </c>
      <c r="B170" s="133">
        <f>IFERROR(INDEX(Однолинейка!$A$1:$A$1000,MATCH(168,Однолинейка!$BV$1:$BV$1000,0)),"")</f>
      </c>
      <c r="C170" s="133">
        <f>IFERROR(INDEX(Однолинейка!$G$1:$G$1000,MATCH(168,Однолинейка!$BV$1:$BV$1000,0))&amp;IF(INDEX(Однолинейка!$P$1:$P$1000,MATCH(168,Однолинейка!$BV$1:$BV$1000,0))="","","/"&amp;INDEX(Однолинейка!$P$1:$P$1000,MATCH(168,Однолинейка!$BV$1:$BV$1000,0))),"")</f>
      </c>
      <c r="D170" s="133">
        <f>IFERROR(INDEX(Однолинейка!$R$1:$R$1000,MATCH(168,Однолинейка!$BV$1:$BV$1000,0)),"")</f>
      </c>
      <c r="E170" s="133">
        <f>IFERROR(INDEX(Однолинейка!$S$1:$S$1000,MATCH(168,Однолинейка!$BV$1:$BV$1000,0)),"")</f>
      </c>
      <c r="F170" s="133">
        <f>IFERROR(INDEX(Однолинейка!$Q$1:$Q$1000,MATCH(168,Однолинейка!$BV$1:$BV$1000,0)),"")</f>
      </c>
    </row>
    <row r="171">
      <c r="A171" s="133">
        <f>IF(ISNUMBER(MATCH(169,Однолинейка!$BV$1:$BV$1000,0)),169,"")</f>
      </c>
      <c r="B171" s="133">
        <f>IFERROR(INDEX(Однолинейка!$A$1:$A$1000,MATCH(169,Однолинейка!$BV$1:$BV$1000,0)),"")</f>
      </c>
      <c r="C171" s="133">
        <f>IFERROR(INDEX(Однолинейка!$G$1:$G$1000,MATCH(169,Однолинейка!$BV$1:$BV$1000,0))&amp;IF(INDEX(Однолинейка!$P$1:$P$1000,MATCH(169,Однолинейка!$BV$1:$BV$1000,0))="","","/"&amp;INDEX(Однолинейка!$P$1:$P$1000,MATCH(169,Однолинейка!$BV$1:$BV$1000,0))),"")</f>
      </c>
      <c r="D171" s="133">
        <f>IFERROR(INDEX(Однолинейка!$R$1:$R$1000,MATCH(169,Однолинейка!$BV$1:$BV$1000,0)),"")</f>
      </c>
      <c r="E171" s="133">
        <f>IFERROR(INDEX(Однолинейка!$S$1:$S$1000,MATCH(169,Однолинейка!$BV$1:$BV$1000,0)),"")</f>
      </c>
      <c r="F171" s="133">
        <f>IFERROR(INDEX(Однолинейка!$Q$1:$Q$1000,MATCH(169,Однолинейка!$BV$1:$BV$1000,0)),"")</f>
      </c>
    </row>
    <row r="172">
      <c r="A172" s="133">
        <f>IF(ISNUMBER(MATCH(170,Однолинейка!$BV$1:$BV$1000,0)),170,"")</f>
      </c>
      <c r="B172" s="133">
        <f>IFERROR(INDEX(Однолинейка!$A$1:$A$1000,MATCH(170,Однолинейка!$BV$1:$BV$1000,0)),"")</f>
      </c>
      <c r="C172" s="133">
        <f>IFERROR(INDEX(Однолинейка!$G$1:$G$1000,MATCH(170,Однолинейка!$BV$1:$BV$1000,0))&amp;IF(INDEX(Однолинейка!$P$1:$P$1000,MATCH(170,Однолинейка!$BV$1:$BV$1000,0))="","","/"&amp;INDEX(Однолинейка!$P$1:$P$1000,MATCH(170,Однолинейка!$BV$1:$BV$1000,0))),"")</f>
      </c>
      <c r="D172" s="133">
        <f>IFERROR(INDEX(Однолинейка!$R$1:$R$1000,MATCH(170,Однолинейка!$BV$1:$BV$1000,0)),"")</f>
      </c>
      <c r="E172" s="133">
        <f>IFERROR(INDEX(Однолинейка!$S$1:$S$1000,MATCH(170,Однолинейка!$BV$1:$BV$1000,0)),"")</f>
      </c>
      <c r="F172" s="133">
        <f>IFERROR(INDEX(Однолинейка!$Q$1:$Q$1000,MATCH(170,Однолинейка!$BV$1:$BV$1000,0)),"")</f>
      </c>
    </row>
    <row r="173">
      <c r="A173" s="133">
        <f>IF(ISNUMBER(MATCH(171,Однолинейка!$BV$1:$BV$1000,0)),171,"")</f>
      </c>
      <c r="B173" s="133">
        <f>IFERROR(INDEX(Однолинейка!$A$1:$A$1000,MATCH(171,Однолинейка!$BV$1:$BV$1000,0)),"")</f>
      </c>
      <c r="C173" s="133">
        <f>IFERROR(INDEX(Однолинейка!$G$1:$G$1000,MATCH(171,Однолинейка!$BV$1:$BV$1000,0))&amp;IF(INDEX(Однолинейка!$P$1:$P$1000,MATCH(171,Однолинейка!$BV$1:$BV$1000,0))="","","/"&amp;INDEX(Однолинейка!$P$1:$P$1000,MATCH(171,Однолинейка!$BV$1:$BV$1000,0))),"")</f>
      </c>
      <c r="D173" s="133">
        <f>IFERROR(INDEX(Однолинейка!$R$1:$R$1000,MATCH(171,Однолинейка!$BV$1:$BV$1000,0)),"")</f>
      </c>
      <c r="E173" s="133">
        <f>IFERROR(INDEX(Однолинейка!$S$1:$S$1000,MATCH(171,Однолинейка!$BV$1:$BV$1000,0)),"")</f>
      </c>
      <c r="F173" s="133">
        <f>IFERROR(INDEX(Однолинейка!$Q$1:$Q$1000,MATCH(171,Однолинейка!$BV$1:$BV$1000,0)),"")</f>
      </c>
    </row>
    <row r="174">
      <c r="A174" s="133">
        <f>IF(ISNUMBER(MATCH(172,Однолинейка!$BV$1:$BV$1000,0)),172,"")</f>
      </c>
      <c r="B174" s="133">
        <f>IFERROR(INDEX(Однолинейка!$A$1:$A$1000,MATCH(172,Однолинейка!$BV$1:$BV$1000,0)),"")</f>
      </c>
      <c r="C174" s="133">
        <f>IFERROR(INDEX(Однолинейка!$G$1:$G$1000,MATCH(172,Однолинейка!$BV$1:$BV$1000,0))&amp;IF(INDEX(Однолинейка!$P$1:$P$1000,MATCH(172,Однолинейка!$BV$1:$BV$1000,0))="","","/"&amp;INDEX(Однолинейка!$P$1:$P$1000,MATCH(172,Однолинейка!$BV$1:$BV$1000,0))),"")</f>
      </c>
      <c r="D174" s="133">
        <f>IFERROR(INDEX(Однолинейка!$R$1:$R$1000,MATCH(172,Однолинейка!$BV$1:$BV$1000,0)),"")</f>
      </c>
      <c r="E174" s="133">
        <f>IFERROR(INDEX(Однолинейка!$S$1:$S$1000,MATCH(172,Однолинейка!$BV$1:$BV$1000,0)),"")</f>
      </c>
      <c r="F174" s="133">
        <f>IFERROR(INDEX(Однолинейка!$Q$1:$Q$1000,MATCH(172,Однолинейка!$BV$1:$BV$1000,0)),"")</f>
      </c>
    </row>
    <row r="175">
      <c r="A175" s="133">
        <f>IF(ISNUMBER(MATCH(173,Однолинейка!$BV$1:$BV$1000,0)),173,"")</f>
      </c>
      <c r="B175" s="133">
        <f>IFERROR(INDEX(Однолинейка!$A$1:$A$1000,MATCH(173,Однолинейка!$BV$1:$BV$1000,0)),"")</f>
      </c>
      <c r="C175" s="133">
        <f>IFERROR(INDEX(Однолинейка!$G$1:$G$1000,MATCH(173,Однолинейка!$BV$1:$BV$1000,0))&amp;IF(INDEX(Однолинейка!$P$1:$P$1000,MATCH(173,Однолинейка!$BV$1:$BV$1000,0))="","","/"&amp;INDEX(Однолинейка!$P$1:$P$1000,MATCH(173,Однолинейка!$BV$1:$BV$1000,0))),"")</f>
      </c>
      <c r="D175" s="133">
        <f>IFERROR(INDEX(Однолинейка!$R$1:$R$1000,MATCH(173,Однолинейка!$BV$1:$BV$1000,0)),"")</f>
      </c>
      <c r="E175" s="133">
        <f>IFERROR(INDEX(Однолинейка!$S$1:$S$1000,MATCH(173,Однолинейка!$BV$1:$BV$1000,0)),"")</f>
      </c>
      <c r="F175" s="133">
        <f>IFERROR(INDEX(Однолинейка!$Q$1:$Q$1000,MATCH(173,Однолинейка!$BV$1:$BV$1000,0)),"")</f>
      </c>
    </row>
    <row r="176">
      <c r="A176" s="133">
        <f>IF(ISNUMBER(MATCH(174,Однолинейка!$BV$1:$BV$1000,0)),174,"")</f>
      </c>
      <c r="B176" s="133">
        <f>IFERROR(INDEX(Однолинейка!$A$1:$A$1000,MATCH(174,Однолинейка!$BV$1:$BV$1000,0)),"")</f>
      </c>
      <c r="C176" s="133">
        <f>IFERROR(INDEX(Однолинейка!$G$1:$G$1000,MATCH(174,Однолинейка!$BV$1:$BV$1000,0))&amp;IF(INDEX(Однолинейка!$P$1:$P$1000,MATCH(174,Однолинейка!$BV$1:$BV$1000,0))="","","/"&amp;INDEX(Однолинейка!$P$1:$P$1000,MATCH(174,Однолинейка!$BV$1:$BV$1000,0))),"")</f>
      </c>
      <c r="D176" s="133">
        <f>IFERROR(INDEX(Однолинейка!$R$1:$R$1000,MATCH(174,Однолинейка!$BV$1:$BV$1000,0)),"")</f>
      </c>
      <c r="E176" s="133">
        <f>IFERROR(INDEX(Однолинейка!$S$1:$S$1000,MATCH(174,Однолинейка!$BV$1:$BV$1000,0)),"")</f>
      </c>
      <c r="F176" s="133">
        <f>IFERROR(INDEX(Однолинейка!$Q$1:$Q$1000,MATCH(174,Однолинейка!$BV$1:$BV$1000,0)),"")</f>
      </c>
    </row>
    <row r="177">
      <c r="A177" s="133">
        <f>IF(ISNUMBER(MATCH(175,Однолинейка!$BV$1:$BV$1000,0)),175,"")</f>
      </c>
      <c r="B177" s="133">
        <f>IFERROR(INDEX(Однолинейка!$A$1:$A$1000,MATCH(175,Однолинейка!$BV$1:$BV$1000,0)),"")</f>
      </c>
      <c r="C177" s="133">
        <f>IFERROR(INDEX(Однолинейка!$G$1:$G$1000,MATCH(175,Однолинейка!$BV$1:$BV$1000,0))&amp;IF(INDEX(Однолинейка!$P$1:$P$1000,MATCH(175,Однолинейка!$BV$1:$BV$1000,0))="","","/"&amp;INDEX(Однолинейка!$P$1:$P$1000,MATCH(175,Однолинейка!$BV$1:$BV$1000,0))),"")</f>
      </c>
      <c r="D177" s="133">
        <f>IFERROR(INDEX(Однолинейка!$R$1:$R$1000,MATCH(175,Однолинейка!$BV$1:$BV$1000,0)),"")</f>
      </c>
      <c r="E177" s="133">
        <f>IFERROR(INDEX(Однолинейка!$S$1:$S$1000,MATCH(175,Однолинейка!$BV$1:$BV$1000,0)),"")</f>
      </c>
      <c r="F177" s="133">
        <f>IFERROR(INDEX(Однолинейка!$Q$1:$Q$1000,MATCH(175,Однолинейка!$BV$1:$BV$1000,0)),"")</f>
      </c>
    </row>
    <row r="178">
      <c r="A178" s="133">
        <f>IF(ISNUMBER(MATCH(176,Однолинейка!$BV$1:$BV$1000,0)),176,"")</f>
      </c>
      <c r="B178" s="133">
        <f>IFERROR(INDEX(Однолинейка!$A$1:$A$1000,MATCH(176,Однолинейка!$BV$1:$BV$1000,0)),"")</f>
      </c>
      <c r="C178" s="133">
        <f>IFERROR(INDEX(Однолинейка!$G$1:$G$1000,MATCH(176,Однолинейка!$BV$1:$BV$1000,0))&amp;IF(INDEX(Однолинейка!$P$1:$P$1000,MATCH(176,Однолинейка!$BV$1:$BV$1000,0))="","","/"&amp;INDEX(Однолинейка!$P$1:$P$1000,MATCH(176,Однолинейка!$BV$1:$BV$1000,0))),"")</f>
      </c>
      <c r="D178" s="133">
        <f>IFERROR(INDEX(Однолинейка!$R$1:$R$1000,MATCH(176,Однолинейка!$BV$1:$BV$1000,0)),"")</f>
      </c>
      <c r="E178" s="133">
        <f>IFERROR(INDEX(Однолинейка!$S$1:$S$1000,MATCH(176,Однолинейка!$BV$1:$BV$1000,0)),"")</f>
      </c>
      <c r="F178" s="133">
        <f>IFERROR(INDEX(Однолинейка!$Q$1:$Q$1000,MATCH(176,Однолинейка!$BV$1:$BV$1000,0)),"")</f>
      </c>
    </row>
    <row r="179">
      <c r="A179" s="133">
        <f>IF(ISNUMBER(MATCH(177,Однолинейка!$BV$1:$BV$1000,0)),177,"")</f>
      </c>
      <c r="B179" s="133">
        <f>IFERROR(INDEX(Однолинейка!$A$1:$A$1000,MATCH(177,Однолинейка!$BV$1:$BV$1000,0)),"")</f>
      </c>
      <c r="C179" s="133">
        <f>IFERROR(INDEX(Однолинейка!$G$1:$G$1000,MATCH(177,Однолинейка!$BV$1:$BV$1000,0))&amp;IF(INDEX(Однолинейка!$P$1:$P$1000,MATCH(177,Однолинейка!$BV$1:$BV$1000,0))="","","/"&amp;INDEX(Однолинейка!$P$1:$P$1000,MATCH(177,Однолинейка!$BV$1:$BV$1000,0))),"")</f>
      </c>
      <c r="D179" s="133">
        <f>IFERROR(INDEX(Однолинейка!$R$1:$R$1000,MATCH(177,Однолинейка!$BV$1:$BV$1000,0)),"")</f>
      </c>
      <c r="E179" s="133">
        <f>IFERROR(INDEX(Однолинейка!$S$1:$S$1000,MATCH(177,Однолинейка!$BV$1:$BV$1000,0)),"")</f>
      </c>
      <c r="F179" s="133">
        <f>IFERROR(INDEX(Однолинейка!$Q$1:$Q$1000,MATCH(177,Однолинейка!$BV$1:$BV$1000,0)),"")</f>
      </c>
    </row>
    <row r="180">
      <c r="A180" s="133">
        <f>IF(ISNUMBER(MATCH(178,Однолинейка!$BV$1:$BV$1000,0)),178,"")</f>
      </c>
      <c r="B180" s="133">
        <f>IFERROR(INDEX(Однолинейка!$A$1:$A$1000,MATCH(178,Однолинейка!$BV$1:$BV$1000,0)),"")</f>
      </c>
      <c r="C180" s="133">
        <f>IFERROR(INDEX(Однолинейка!$G$1:$G$1000,MATCH(178,Однолинейка!$BV$1:$BV$1000,0))&amp;IF(INDEX(Однолинейка!$P$1:$P$1000,MATCH(178,Однолинейка!$BV$1:$BV$1000,0))="","","/"&amp;INDEX(Однолинейка!$P$1:$P$1000,MATCH(178,Однолинейка!$BV$1:$BV$1000,0))),"")</f>
      </c>
      <c r="D180" s="133">
        <f>IFERROR(INDEX(Однолинейка!$R$1:$R$1000,MATCH(178,Однолинейка!$BV$1:$BV$1000,0)),"")</f>
      </c>
      <c r="E180" s="133">
        <f>IFERROR(INDEX(Однолинейка!$S$1:$S$1000,MATCH(178,Однолинейка!$BV$1:$BV$1000,0)),"")</f>
      </c>
      <c r="F180" s="133">
        <f>IFERROR(INDEX(Однолинейка!$Q$1:$Q$1000,MATCH(178,Однолинейка!$BV$1:$BV$1000,0)),"")</f>
      </c>
    </row>
    <row r="181">
      <c r="A181" s="133">
        <f>IF(ISNUMBER(MATCH(179,Однолинейка!$BV$1:$BV$1000,0)),179,"")</f>
      </c>
      <c r="B181" s="133">
        <f>IFERROR(INDEX(Однолинейка!$A$1:$A$1000,MATCH(179,Однолинейка!$BV$1:$BV$1000,0)),"")</f>
      </c>
      <c r="C181" s="133">
        <f>IFERROR(INDEX(Однолинейка!$G$1:$G$1000,MATCH(179,Однолинейка!$BV$1:$BV$1000,0))&amp;IF(INDEX(Однолинейка!$P$1:$P$1000,MATCH(179,Однолинейка!$BV$1:$BV$1000,0))="","","/"&amp;INDEX(Однолинейка!$P$1:$P$1000,MATCH(179,Однолинейка!$BV$1:$BV$1000,0))),"")</f>
      </c>
      <c r="D181" s="133">
        <f>IFERROR(INDEX(Однолинейка!$R$1:$R$1000,MATCH(179,Однолинейка!$BV$1:$BV$1000,0)),"")</f>
      </c>
      <c r="E181" s="133">
        <f>IFERROR(INDEX(Однолинейка!$S$1:$S$1000,MATCH(179,Однолинейка!$BV$1:$BV$1000,0)),"")</f>
      </c>
      <c r="F181" s="133">
        <f>IFERROR(INDEX(Однолинейка!$Q$1:$Q$1000,MATCH(179,Однолинейка!$BV$1:$BV$1000,0)),"")</f>
      </c>
    </row>
    <row r="182">
      <c r="A182" s="133">
        <f>IF(ISNUMBER(MATCH(180,Однолинейка!$BV$1:$BV$1000,0)),180,"")</f>
      </c>
      <c r="B182" s="133">
        <f>IFERROR(INDEX(Однолинейка!$A$1:$A$1000,MATCH(180,Однолинейка!$BV$1:$BV$1000,0)),"")</f>
      </c>
      <c r="C182" s="133">
        <f>IFERROR(INDEX(Однолинейка!$G$1:$G$1000,MATCH(180,Однолинейка!$BV$1:$BV$1000,0))&amp;IF(INDEX(Однолинейка!$P$1:$P$1000,MATCH(180,Однолинейка!$BV$1:$BV$1000,0))="","","/"&amp;INDEX(Однолинейка!$P$1:$P$1000,MATCH(180,Однолинейка!$BV$1:$BV$1000,0))),"")</f>
      </c>
      <c r="D182" s="133">
        <f>IFERROR(INDEX(Однолинейка!$R$1:$R$1000,MATCH(180,Однолинейка!$BV$1:$BV$1000,0)),"")</f>
      </c>
      <c r="E182" s="133">
        <f>IFERROR(INDEX(Однолинейка!$S$1:$S$1000,MATCH(180,Однолинейка!$BV$1:$BV$1000,0)),"")</f>
      </c>
      <c r="F182" s="133">
        <f>IFERROR(INDEX(Однолинейка!$Q$1:$Q$1000,MATCH(180,Однолинейка!$BV$1:$BV$1000,0)),"")</f>
      </c>
    </row>
    <row r="183">
      <c r="A183" s="133">
        <f>IF(ISNUMBER(MATCH(181,Однолинейка!$BV$1:$BV$1000,0)),181,"")</f>
      </c>
      <c r="B183" s="133">
        <f>IFERROR(INDEX(Однолинейка!$A$1:$A$1000,MATCH(181,Однолинейка!$BV$1:$BV$1000,0)),"")</f>
      </c>
      <c r="C183" s="133">
        <f>IFERROR(INDEX(Однолинейка!$G$1:$G$1000,MATCH(181,Однолинейка!$BV$1:$BV$1000,0))&amp;IF(INDEX(Однолинейка!$P$1:$P$1000,MATCH(181,Однолинейка!$BV$1:$BV$1000,0))="","","/"&amp;INDEX(Однолинейка!$P$1:$P$1000,MATCH(181,Однолинейка!$BV$1:$BV$1000,0))),"")</f>
      </c>
      <c r="D183" s="133">
        <f>IFERROR(INDEX(Однолинейка!$R$1:$R$1000,MATCH(181,Однолинейка!$BV$1:$BV$1000,0)),"")</f>
      </c>
      <c r="E183" s="133">
        <f>IFERROR(INDEX(Однолинейка!$S$1:$S$1000,MATCH(181,Однолинейка!$BV$1:$BV$1000,0)),"")</f>
      </c>
      <c r="F183" s="133">
        <f>IFERROR(INDEX(Однолинейка!$Q$1:$Q$1000,MATCH(181,Однолинейка!$BV$1:$BV$1000,0)),"")</f>
      </c>
    </row>
    <row r="184">
      <c r="A184" s="133">
        <f>IF(ISNUMBER(MATCH(182,Однолинейка!$BV$1:$BV$1000,0)),182,"")</f>
      </c>
      <c r="B184" s="133">
        <f>IFERROR(INDEX(Однолинейка!$A$1:$A$1000,MATCH(182,Однолинейка!$BV$1:$BV$1000,0)),"")</f>
      </c>
      <c r="C184" s="133">
        <f>IFERROR(INDEX(Однолинейка!$G$1:$G$1000,MATCH(182,Однолинейка!$BV$1:$BV$1000,0))&amp;IF(INDEX(Однолинейка!$P$1:$P$1000,MATCH(182,Однолинейка!$BV$1:$BV$1000,0))="","","/"&amp;INDEX(Однолинейка!$P$1:$P$1000,MATCH(182,Однолинейка!$BV$1:$BV$1000,0))),"")</f>
      </c>
      <c r="D184" s="133">
        <f>IFERROR(INDEX(Однолинейка!$R$1:$R$1000,MATCH(182,Однолинейка!$BV$1:$BV$1000,0)),"")</f>
      </c>
      <c r="E184" s="133">
        <f>IFERROR(INDEX(Однолинейка!$S$1:$S$1000,MATCH(182,Однолинейка!$BV$1:$BV$1000,0)),"")</f>
      </c>
      <c r="F184" s="133">
        <f>IFERROR(INDEX(Однолинейка!$Q$1:$Q$1000,MATCH(182,Однолинейка!$BV$1:$BV$1000,0)),"")</f>
      </c>
    </row>
    <row r="185">
      <c r="A185" s="133">
        <f>IF(ISNUMBER(MATCH(183,Однолинейка!$BV$1:$BV$1000,0)),183,"")</f>
      </c>
      <c r="B185" s="133">
        <f>IFERROR(INDEX(Однолинейка!$A$1:$A$1000,MATCH(183,Однолинейка!$BV$1:$BV$1000,0)),"")</f>
      </c>
      <c r="C185" s="133">
        <f>IFERROR(INDEX(Однолинейка!$G$1:$G$1000,MATCH(183,Однолинейка!$BV$1:$BV$1000,0))&amp;IF(INDEX(Однолинейка!$P$1:$P$1000,MATCH(183,Однолинейка!$BV$1:$BV$1000,0))="","","/"&amp;INDEX(Однолинейка!$P$1:$P$1000,MATCH(183,Однолинейка!$BV$1:$BV$1000,0))),"")</f>
      </c>
      <c r="D185" s="133">
        <f>IFERROR(INDEX(Однолинейка!$R$1:$R$1000,MATCH(183,Однолинейка!$BV$1:$BV$1000,0)),"")</f>
      </c>
      <c r="E185" s="133">
        <f>IFERROR(INDEX(Однолинейка!$S$1:$S$1000,MATCH(183,Однолинейка!$BV$1:$BV$1000,0)),"")</f>
      </c>
      <c r="F185" s="133">
        <f>IFERROR(INDEX(Однолинейка!$Q$1:$Q$1000,MATCH(183,Однолинейка!$BV$1:$BV$1000,0)),"")</f>
      </c>
    </row>
    <row r="186">
      <c r="A186" s="133">
        <f>IF(ISNUMBER(MATCH(184,Однолинейка!$BV$1:$BV$1000,0)),184,"")</f>
      </c>
      <c r="B186" s="133">
        <f>IFERROR(INDEX(Однолинейка!$A$1:$A$1000,MATCH(184,Однолинейка!$BV$1:$BV$1000,0)),"")</f>
      </c>
      <c r="C186" s="133">
        <f>IFERROR(INDEX(Однолинейка!$G$1:$G$1000,MATCH(184,Однолинейка!$BV$1:$BV$1000,0))&amp;IF(INDEX(Однолинейка!$P$1:$P$1000,MATCH(184,Однолинейка!$BV$1:$BV$1000,0))="","","/"&amp;INDEX(Однолинейка!$P$1:$P$1000,MATCH(184,Однолинейка!$BV$1:$BV$1000,0))),"")</f>
      </c>
      <c r="D186" s="133">
        <f>IFERROR(INDEX(Однолинейка!$R$1:$R$1000,MATCH(184,Однолинейка!$BV$1:$BV$1000,0)),"")</f>
      </c>
      <c r="E186" s="133">
        <f>IFERROR(INDEX(Однолинейка!$S$1:$S$1000,MATCH(184,Однолинейка!$BV$1:$BV$1000,0)),"")</f>
      </c>
      <c r="F186" s="133">
        <f>IFERROR(INDEX(Однолинейка!$Q$1:$Q$1000,MATCH(184,Однолинейка!$BV$1:$BV$1000,0)),"")</f>
      </c>
    </row>
    <row r="187">
      <c r="A187" s="133">
        <f>IF(ISNUMBER(MATCH(185,Однолинейка!$BV$1:$BV$1000,0)),185,"")</f>
      </c>
      <c r="B187" s="133">
        <f>IFERROR(INDEX(Однолинейка!$A$1:$A$1000,MATCH(185,Однолинейка!$BV$1:$BV$1000,0)),"")</f>
      </c>
      <c r="C187" s="133">
        <f>IFERROR(INDEX(Однолинейка!$G$1:$G$1000,MATCH(185,Однолинейка!$BV$1:$BV$1000,0))&amp;IF(INDEX(Однолинейка!$P$1:$P$1000,MATCH(185,Однолинейка!$BV$1:$BV$1000,0))="","","/"&amp;INDEX(Однолинейка!$P$1:$P$1000,MATCH(185,Однолинейка!$BV$1:$BV$1000,0))),"")</f>
      </c>
      <c r="D187" s="133">
        <f>IFERROR(INDEX(Однолинейка!$R$1:$R$1000,MATCH(185,Однолинейка!$BV$1:$BV$1000,0)),"")</f>
      </c>
      <c r="E187" s="133">
        <f>IFERROR(INDEX(Однолинейка!$S$1:$S$1000,MATCH(185,Однолинейка!$BV$1:$BV$1000,0)),"")</f>
      </c>
      <c r="F187" s="133">
        <f>IFERROR(INDEX(Однолинейка!$Q$1:$Q$1000,MATCH(185,Однолинейка!$BV$1:$BV$1000,0)),"")</f>
      </c>
    </row>
    <row r="188">
      <c r="A188" s="133">
        <f>IF(ISNUMBER(MATCH(186,Однолинейка!$BV$1:$BV$1000,0)),186,"")</f>
      </c>
      <c r="B188" s="133">
        <f>IFERROR(INDEX(Однолинейка!$A$1:$A$1000,MATCH(186,Однолинейка!$BV$1:$BV$1000,0)),"")</f>
      </c>
      <c r="C188" s="133">
        <f>IFERROR(INDEX(Однолинейка!$G$1:$G$1000,MATCH(186,Однолинейка!$BV$1:$BV$1000,0))&amp;IF(INDEX(Однолинейка!$P$1:$P$1000,MATCH(186,Однолинейка!$BV$1:$BV$1000,0))="","","/"&amp;INDEX(Однолинейка!$P$1:$P$1000,MATCH(186,Однолинейка!$BV$1:$BV$1000,0))),"")</f>
      </c>
      <c r="D188" s="133">
        <f>IFERROR(INDEX(Однолинейка!$R$1:$R$1000,MATCH(186,Однолинейка!$BV$1:$BV$1000,0)),"")</f>
      </c>
      <c r="E188" s="133">
        <f>IFERROR(INDEX(Однолинейка!$S$1:$S$1000,MATCH(186,Однолинейка!$BV$1:$BV$1000,0)),"")</f>
      </c>
      <c r="F188" s="133">
        <f>IFERROR(INDEX(Однолинейка!$Q$1:$Q$1000,MATCH(186,Однолинейка!$BV$1:$BV$1000,0)),"")</f>
      </c>
    </row>
    <row r="189">
      <c r="A189" s="133">
        <f>IF(ISNUMBER(MATCH(187,Однолинейка!$BV$1:$BV$1000,0)),187,"")</f>
      </c>
      <c r="B189" s="133">
        <f>IFERROR(INDEX(Однолинейка!$A$1:$A$1000,MATCH(187,Однолинейка!$BV$1:$BV$1000,0)),"")</f>
      </c>
      <c r="C189" s="133">
        <f>IFERROR(INDEX(Однолинейка!$G$1:$G$1000,MATCH(187,Однолинейка!$BV$1:$BV$1000,0))&amp;IF(INDEX(Однолинейка!$P$1:$P$1000,MATCH(187,Однолинейка!$BV$1:$BV$1000,0))="","","/"&amp;INDEX(Однолинейка!$P$1:$P$1000,MATCH(187,Однолинейка!$BV$1:$BV$1000,0))),"")</f>
      </c>
      <c r="D189" s="133">
        <f>IFERROR(INDEX(Однолинейка!$R$1:$R$1000,MATCH(187,Однолинейка!$BV$1:$BV$1000,0)),"")</f>
      </c>
      <c r="E189" s="133">
        <f>IFERROR(INDEX(Однолинейка!$S$1:$S$1000,MATCH(187,Однолинейка!$BV$1:$BV$1000,0)),"")</f>
      </c>
      <c r="F189" s="133">
        <f>IFERROR(INDEX(Однолинейка!$Q$1:$Q$1000,MATCH(187,Однолинейка!$BV$1:$BV$1000,0)),"")</f>
      </c>
    </row>
    <row r="190">
      <c r="A190" s="133">
        <f>IF(ISNUMBER(MATCH(188,Однолинейка!$BV$1:$BV$1000,0)),188,"")</f>
      </c>
      <c r="B190" s="133">
        <f>IFERROR(INDEX(Однолинейка!$A$1:$A$1000,MATCH(188,Однолинейка!$BV$1:$BV$1000,0)),"")</f>
      </c>
      <c r="C190" s="133">
        <f>IFERROR(INDEX(Однолинейка!$G$1:$G$1000,MATCH(188,Однолинейка!$BV$1:$BV$1000,0))&amp;IF(INDEX(Однолинейка!$P$1:$P$1000,MATCH(188,Однолинейка!$BV$1:$BV$1000,0))="","","/"&amp;INDEX(Однолинейка!$P$1:$P$1000,MATCH(188,Однолинейка!$BV$1:$BV$1000,0))),"")</f>
      </c>
      <c r="D190" s="133">
        <f>IFERROR(INDEX(Однолинейка!$R$1:$R$1000,MATCH(188,Однолинейка!$BV$1:$BV$1000,0)),"")</f>
      </c>
      <c r="E190" s="133">
        <f>IFERROR(INDEX(Однолинейка!$S$1:$S$1000,MATCH(188,Однолинейка!$BV$1:$BV$1000,0)),"")</f>
      </c>
      <c r="F190" s="133">
        <f>IFERROR(INDEX(Однолинейка!$Q$1:$Q$1000,MATCH(188,Однолинейка!$BV$1:$BV$1000,0)),"")</f>
      </c>
    </row>
    <row r="191">
      <c r="A191" s="133">
        <f>IF(ISNUMBER(MATCH(189,Однолинейка!$BV$1:$BV$1000,0)),189,"")</f>
      </c>
      <c r="B191" s="133">
        <f>IFERROR(INDEX(Однолинейка!$A$1:$A$1000,MATCH(189,Однолинейка!$BV$1:$BV$1000,0)),"")</f>
      </c>
      <c r="C191" s="133">
        <f>IFERROR(INDEX(Однолинейка!$G$1:$G$1000,MATCH(189,Однолинейка!$BV$1:$BV$1000,0))&amp;IF(INDEX(Однолинейка!$P$1:$P$1000,MATCH(189,Однолинейка!$BV$1:$BV$1000,0))="","","/"&amp;INDEX(Однолинейка!$P$1:$P$1000,MATCH(189,Однолинейка!$BV$1:$BV$1000,0))),"")</f>
      </c>
      <c r="D191" s="133">
        <f>IFERROR(INDEX(Однолинейка!$R$1:$R$1000,MATCH(189,Однолинейка!$BV$1:$BV$1000,0)),"")</f>
      </c>
      <c r="E191" s="133">
        <f>IFERROR(INDEX(Однолинейка!$S$1:$S$1000,MATCH(189,Однолинейка!$BV$1:$BV$1000,0)),"")</f>
      </c>
      <c r="F191" s="133">
        <f>IFERROR(INDEX(Однолинейка!$Q$1:$Q$1000,MATCH(189,Однолинейка!$BV$1:$BV$1000,0)),"")</f>
      </c>
    </row>
    <row r="192">
      <c r="A192" s="133">
        <f>IF(ISNUMBER(MATCH(190,Однолинейка!$BV$1:$BV$1000,0)),190,"")</f>
      </c>
      <c r="B192" s="133">
        <f>IFERROR(INDEX(Однолинейка!$A$1:$A$1000,MATCH(190,Однолинейка!$BV$1:$BV$1000,0)),"")</f>
      </c>
      <c r="C192" s="133">
        <f>IFERROR(INDEX(Однолинейка!$G$1:$G$1000,MATCH(190,Однолинейка!$BV$1:$BV$1000,0))&amp;IF(INDEX(Однолинейка!$P$1:$P$1000,MATCH(190,Однолинейка!$BV$1:$BV$1000,0))="","","/"&amp;INDEX(Однолинейка!$P$1:$P$1000,MATCH(190,Однолинейка!$BV$1:$BV$1000,0))),"")</f>
      </c>
      <c r="D192" s="133">
        <f>IFERROR(INDEX(Однолинейка!$R$1:$R$1000,MATCH(190,Однолинейка!$BV$1:$BV$1000,0)),"")</f>
      </c>
      <c r="E192" s="133">
        <f>IFERROR(INDEX(Однолинейка!$S$1:$S$1000,MATCH(190,Однолинейка!$BV$1:$BV$1000,0)),"")</f>
      </c>
      <c r="F192" s="133">
        <f>IFERROR(INDEX(Однолинейка!$Q$1:$Q$1000,MATCH(190,Однолинейка!$BV$1:$BV$1000,0)),"")</f>
      </c>
    </row>
    <row r="193">
      <c r="A193" s="133">
        <f>IF(ISNUMBER(MATCH(191,Однолинейка!$BV$1:$BV$1000,0)),191,"")</f>
      </c>
      <c r="B193" s="133">
        <f>IFERROR(INDEX(Однолинейка!$A$1:$A$1000,MATCH(191,Однолинейка!$BV$1:$BV$1000,0)),"")</f>
      </c>
      <c r="C193" s="133">
        <f>IFERROR(INDEX(Однолинейка!$G$1:$G$1000,MATCH(191,Однолинейка!$BV$1:$BV$1000,0))&amp;IF(INDEX(Однолинейка!$P$1:$P$1000,MATCH(191,Однолинейка!$BV$1:$BV$1000,0))="","","/"&amp;INDEX(Однолинейка!$P$1:$P$1000,MATCH(191,Однолинейка!$BV$1:$BV$1000,0))),"")</f>
      </c>
      <c r="D193" s="133">
        <f>IFERROR(INDEX(Однолинейка!$R$1:$R$1000,MATCH(191,Однолинейка!$BV$1:$BV$1000,0)),"")</f>
      </c>
      <c r="E193" s="133">
        <f>IFERROR(INDEX(Однолинейка!$S$1:$S$1000,MATCH(191,Однолинейка!$BV$1:$BV$1000,0)),"")</f>
      </c>
      <c r="F193" s="133">
        <f>IFERROR(INDEX(Однолинейка!$Q$1:$Q$1000,MATCH(191,Однолинейка!$BV$1:$BV$1000,0)),"")</f>
      </c>
    </row>
    <row r="194">
      <c r="A194" s="133">
        <f>IF(ISNUMBER(MATCH(192,Однолинейка!$BV$1:$BV$1000,0)),192,"")</f>
      </c>
      <c r="B194" s="133">
        <f>IFERROR(INDEX(Однолинейка!$A$1:$A$1000,MATCH(192,Однолинейка!$BV$1:$BV$1000,0)),"")</f>
      </c>
      <c r="C194" s="133">
        <f>IFERROR(INDEX(Однолинейка!$G$1:$G$1000,MATCH(192,Однолинейка!$BV$1:$BV$1000,0))&amp;IF(INDEX(Однолинейка!$P$1:$P$1000,MATCH(192,Однолинейка!$BV$1:$BV$1000,0))="","","/"&amp;INDEX(Однолинейка!$P$1:$P$1000,MATCH(192,Однолинейка!$BV$1:$BV$1000,0))),"")</f>
      </c>
      <c r="D194" s="133">
        <f>IFERROR(INDEX(Однолинейка!$R$1:$R$1000,MATCH(192,Однолинейка!$BV$1:$BV$1000,0)),"")</f>
      </c>
      <c r="E194" s="133">
        <f>IFERROR(INDEX(Однолинейка!$S$1:$S$1000,MATCH(192,Однолинейка!$BV$1:$BV$1000,0)),"")</f>
      </c>
      <c r="F194" s="133">
        <f>IFERROR(INDEX(Однолинейка!$Q$1:$Q$1000,MATCH(192,Однолинейка!$BV$1:$BV$1000,0)),"")</f>
      </c>
    </row>
    <row r="195">
      <c r="A195" s="133">
        <f>IF(ISNUMBER(MATCH(193,Однолинейка!$BV$1:$BV$1000,0)),193,"")</f>
      </c>
      <c r="B195" s="133">
        <f>IFERROR(INDEX(Однолинейка!$A$1:$A$1000,MATCH(193,Однолинейка!$BV$1:$BV$1000,0)),"")</f>
      </c>
      <c r="C195" s="133">
        <f>IFERROR(INDEX(Однолинейка!$G$1:$G$1000,MATCH(193,Однолинейка!$BV$1:$BV$1000,0))&amp;IF(INDEX(Однолинейка!$P$1:$P$1000,MATCH(193,Однолинейка!$BV$1:$BV$1000,0))="","","/"&amp;INDEX(Однолинейка!$P$1:$P$1000,MATCH(193,Однолинейка!$BV$1:$BV$1000,0))),"")</f>
      </c>
      <c r="D195" s="133">
        <f>IFERROR(INDEX(Однолинейка!$R$1:$R$1000,MATCH(193,Однолинейка!$BV$1:$BV$1000,0)),"")</f>
      </c>
      <c r="E195" s="133">
        <f>IFERROR(INDEX(Однолинейка!$S$1:$S$1000,MATCH(193,Однолинейка!$BV$1:$BV$1000,0)),"")</f>
      </c>
      <c r="F195" s="133">
        <f>IFERROR(INDEX(Однолинейка!$Q$1:$Q$1000,MATCH(193,Однолинейка!$BV$1:$BV$1000,0)),"")</f>
      </c>
    </row>
    <row r="196">
      <c r="A196" s="133">
        <f>IF(ISNUMBER(MATCH(194,Однолинейка!$BV$1:$BV$1000,0)),194,"")</f>
      </c>
      <c r="B196" s="133">
        <f>IFERROR(INDEX(Однолинейка!$A$1:$A$1000,MATCH(194,Однолинейка!$BV$1:$BV$1000,0)),"")</f>
      </c>
      <c r="C196" s="133">
        <f>IFERROR(INDEX(Однолинейка!$G$1:$G$1000,MATCH(194,Однолинейка!$BV$1:$BV$1000,0))&amp;IF(INDEX(Однолинейка!$P$1:$P$1000,MATCH(194,Однолинейка!$BV$1:$BV$1000,0))="","","/"&amp;INDEX(Однолинейка!$P$1:$P$1000,MATCH(194,Однолинейка!$BV$1:$BV$1000,0))),"")</f>
      </c>
      <c r="D196" s="133">
        <f>IFERROR(INDEX(Однолинейка!$R$1:$R$1000,MATCH(194,Однолинейка!$BV$1:$BV$1000,0)),"")</f>
      </c>
      <c r="E196" s="133">
        <f>IFERROR(INDEX(Однолинейка!$S$1:$S$1000,MATCH(194,Однолинейка!$BV$1:$BV$1000,0)),"")</f>
      </c>
      <c r="F196" s="133">
        <f>IFERROR(INDEX(Однолинейка!$Q$1:$Q$1000,MATCH(194,Однолинейка!$BV$1:$BV$1000,0)),"")</f>
      </c>
    </row>
    <row r="197">
      <c r="A197" s="133">
        <f>IF(ISNUMBER(MATCH(195,Однолинейка!$BV$1:$BV$1000,0)),195,"")</f>
      </c>
      <c r="B197" s="133">
        <f>IFERROR(INDEX(Однолинейка!$A$1:$A$1000,MATCH(195,Однолинейка!$BV$1:$BV$1000,0)),"")</f>
      </c>
      <c r="C197" s="133">
        <f>IFERROR(INDEX(Однолинейка!$G$1:$G$1000,MATCH(195,Однолинейка!$BV$1:$BV$1000,0))&amp;IF(INDEX(Однолинейка!$P$1:$P$1000,MATCH(195,Однолинейка!$BV$1:$BV$1000,0))="","","/"&amp;INDEX(Однолинейка!$P$1:$P$1000,MATCH(195,Однолинейка!$BV$1:$BV$1000,0))),"")</f>
      </c>
      <c r="D197" s="133">
        <f>IFERROR(INDEX(Однолинейка!$R$1:$R$1000,MATCH(195,Однолинейка!$BV$1:$BV$1000,0)),"")</f>
      </c>
      <c r="E197" s="133">
        <f>IFERROR(INDEX(Однолинейка!$S$1:$S$1000,MATCH(195,Однолинейка!$BV$1:$BV$1000,0)),"")</f>
      </c>
      <c r="F197" s="133">
        <f>IFERROR(INDEX(Однолинейка!$Q$1:$Q$1000,MATCH(195,Однолинейка!$BV$1:$BV$1000,0)),"")</f>
      </c>
    </row>
    <row r="198">
      <c r="A198" s="133">
        <f>IF(ISNUMBER(MATCH(196,Однолинейка!$BV$1:$BV$1000,0)),196,"")</f>
      </c>
      <c r="B198" s="133">
        <f>IFERROR(INDEX(Однолинейка!$A$1:$A$1000,MATCH(196,Однолинейка!$BV$1:$BV$1000,0)),"")</f>
      </c>
      <c r="C198" s="133">
        <f>IFERROR(INDEX(Однолинейка!$G$1:$G$1000,MATCH(196,Однолинейка!$BV$1:$BV$1000,0))&amp;IF(INDEX(Однолинейка!$P$1:$P$1000,MATCH(196,Однолинейка!$BV$1:$BV$1000,0))="","","/"&amp;INDEX(Однолинейка!$P$1:$P$1000,MATCH(196,Однолинейка!$BV$1:$BV$1000,0))),"")</f>
      </c>
      <c r="D198" s="133">
        <f>IFERROR(INDEX(Однолинейка!$R$1:$R$1000,MATCH(196,Однолинейка!$BV$1:$BV$1000,0)),"")</f>
      </c>
      <c r="E198" s="133">
        <f>IFERROR(INDEX(Однолинейка!$S$1:$S$1000,MATCH(196,Однолинейка!$BV$1:$BV$1000,0)),"")</f>
      </c>
      <c r="F198" s="133">
        <f>IFERROR(INDEX(Однолинейка!$Q$1:$Q$1000,MATCH(196,Однолинейка!$BV$1:$BV$1000,0)),"")</f>
      </c>
    </row>
    <row r="199">
      <c r="A199" s="133">
        <f>IF(ISNUMBER(MATCH(197,Однолинейка!$BV$1:$BV$1000,0)),197,"")</f>
      </c>
      <c r="B199" s="133">
        <f>IFERROR(INDEX(Однолинейка!$A$1:$A$1000,MATCH(197,Однолинейка!$BV$1:$BV$1000,0)),"")</f>
      </c>
      <c r="C199" s="133">
        <f>IFERROR(INDEX(Однолинейка!$G$1:$G$1000,MATCH(197,Однолинейка!$BV$1:$BV$1000,0))&amp;IF(INDEX(Однолинейка!$P$1:$P$1000,MATCH(197,Однолинейка!$BV$1:$BV$1000,0))="","","/"&amp;INDEX(Однолинейка!$P$1:$P$1000,MATCH(197,Однолинейка!$BV$1:$BV$1000,0))),"")</f>
      </c>
      <c r="D199" s="133">
        <f>IFERROR(INDEX(Однолинейка!$R$1:$R$1000,MATCH(197,Однолинейка!$BV$1:$BV$1000,0)),"")</f>
      </c>
      <c r="E199" s="133">
        <f>IFERROR(INDEX(Однолинейка!$S$1:$S$1000,MATCH(197,Однолинейка!$BV$1:$BV$1000,0)),"")</f>
      </c>
      <c r="F199" s="133">
        <f>IFERROR(INDEX(Однолинейка!$Q$1:$Q$1000,MATCH(197,Однолинейка!$BV$1:$BV$1000,0)),"")</f>
      </c>
    </row>
    <row r="200">
      <c r="A200" s="133">
        <f>IF(ISNUMBER(MATCH(198,Однолинейка!$BV$1:$BV$1000,0)),198,"")</f>
      </c>
      <c r="B200" s="133">
        <f>IFERROR(INDEX(Однолинейка!$A$1:$A$1000,MATCH(198,Однолинейка!$BV$1:$BV$1000,0)),"")</f>
      </c>
      <c r="C200" s="133">
        <f>IFERROR(INDEX(Однолинейка!$G$1:$G$1000,MATCH(198,Однолинейка!$BV$1:$BV$1000,0))&amp;IF(INDEX(Однолинейка!$P$1:$P$1000,MATCH(198,Однолинейка!$BV$1:$BV$1000,0))="","","/"&amp;INDEX(Однолинейка!$P$1:$P$1000,MATCH(198,Однолинейка!$BV$1:$BV$1000,0))),"")</f>
      </c>
      <c r="D200" s="133">
        <f>IFERROR(INDEX(Однолинейка!$R$1:$R$1000,MATCH(198,Однолинейка!$BV$1:$BV$1000,0)),"")</f>
      </c>
      <c r="E200" s="133">
        <f>IFERROR(INDEX(Однолинейка!$S$1:$S$1000,MATCH(198,Однолинейка!$BV$1:$BV$1000,0)),"")</f>
      </c>
      <c r="F200" s="133">
        <f>IFERROR(INDEX(Однолинейка!$Q$1:$Q$1000,MATCH(198,Однолинейка!$BV$1:$BV$1000,0)),"")</f>
      </c>
    </row>
    <row r="201">
      <c r="A201" s="133">
        <f>IF(ISNUMBER(MATCH(199,Однолинейка!$BV$1:$BV$1000,0)),199,"")</f>
      </c>
      <c r="B201" s="133">
        <f>IFERROR(INDEX(Однолинейка!$A$1:$A$1000,MATCH(199,Однолинейка!$BV$1:$BV$1000,0)),"")</f>
      </c>
      <c r="C201" s="133">
        <f>IFERROR(INDEX(Однолинейка!$G$1:$G$1000,MATCH(199,Однолинейка!$BV$1:$BV$1000,0))&amp;IF(INDEX(Однолинейка!$P$1:$P$1000,MATCH(199,Однолинейка!$BV$1:$BV$1000,0))="","","/"&amp;INDEX(Однолинейка!$P$1:$P$1000,MATCH(199,Однолинейка!$BV$1:$BV$1000,0))),"")</f>
      </c>
      <c r="D201" s="133">
        <f>IFERROR(INDEX(Однолинейка!$R$1:$R$1000,MATCH(199,Однолинейка!$BV$1:$BV$1000,0)),"")</f>
      </c>
      <c r="E201" s="133">
        <f>IFERROR(INDEX(Однолинейка!$S$1:$S$1000,MATCH(199,Однолинейка!$BV$1:$BV$1000,0)),"")</f>
      </c>
      <c r="F201" s="133">
        <f>IFERROR(INDEX(Однолинейка!$Q$1:$Q$1000,MATCH(199,Однолинейка!$BV$1:$BV$1000,0)),"")</f>
      </c>
    </row>
    <row r="202">
      <c r="A202" s="133">
        <f>IF(ISNUMBER(MATCH(200,Однолинейка!$BV$1:$BV$1000,0)),200,"")</f>
      </c>
      <c r="B202" s="133">
        <f>IFERROR(INDEX(Однолинейка!$A$1:$A$1000,MATCH(200,Однолинейка!$BV$1:$BV$1000,0)),"")</f>
      </c>
      <c r="C202" s="133">
        <f>IFERROR(INDEX(Однолинейка!$G$1:$G$1000,MATCH(200,Однолинейка!$BV$1:$BV$1000,0))&amp;IF(INDEX(Однолинейка!$P$1:$P$1000,MATCH(200,Однолинейка!$BV$1:$BV$1000,0))="","","/"&amp;INDEX(Однолинейка!$P$1:$P$1000,MATCH(200,Однолинейка!$BV$1:$BV$1000,0))),"")</f>
      </c>
      <c r="D202" s="133">
        <f>IFERROR(INDEX(Однолинейка!$R$1:$R$1000,MATCH(200,Однолинейка!$BV$1:$BV$1000,0)),"")</f>
      </c>
      <c r="E202" s="133">
        <f>IFERROR(INDEX(Однолинейка!$S$1:$S$1000,MATCH(200,Однолинейка!$BV$1:$BV$1000,0)),"")</f>
      </c>
      <c r="F202" s="133">
        <f>IFERROR(INDEX(Однолинейка!$Q$1:$Q$1000,MATCH(200,Однолинейка!$BV$1:$BV$1000,0)),"")</f>
      </c>
    </row>
    <row r="203">
      <c r="A203" s="133">
        <f>IF(ISNUMBER(MATCH(201,Однолинейка!$BV$1:$BV$1000,0)),201,"")</f>
      </c>
      <c r="B203" s="133">
        <f>IFERROR(INDEX(Однолинейка!$A$1:$A$1000,MATCH(201,Однолинейка!$BV$1:$BV$1000,0)),"")</f>
      </c>
      <c r="C203" s="133">
        <f>IFERROR(INDEX(Однолинейка!$G$1:$G$1000,MATCH(201,Однолинейка!$BV$1:$BV$1000,0))&amp;IF(INDEX(Однолинейка!$P$1:$P$1000,MATCH(201,Однолинейка!$BV$1:$BV$1000,0))="","","/"&amp;INDEX(Однолинейка!$P$1:$P$1000,MATCH(201,Однолинейка!$BV$1:$BV$1000,0))),"")</f>
      </c>
      <c r="D203" s="133">
        <f>IFERROR(INDEX(Однолинейка!$R$1:$R$1000,MATCH(201,Однолинейка!$BV$1:$BV$1000,0)),"")</f>
      </c>
      <c r="E203" s="133">
        <f>IFERROR(INDEX(Однолинейка!$S$1:$S$1000,MATCH(201,Однолинейка!$BV$1:$BV$1000,0)),"")</f>
      </c>
      <c r="F203" s="133">
        <f>IFERROR(INDEX(Однолинейка!$Q$1:$Q$1000,MATCH(201,Однолинейка!$BV$1:$BV$1000,0)),"")</f>
      </c>
    </row>
    <row r="204">
      <c r="A204" s="133">
        <f>IF(ISNUMBER(MATCH(202,Однолинейка!$BV$1:$BV$1000,0)),202,"")</f>
      </c>
      <c r="B204" s="133">
        <f>IFERROR(INDEX(Однолинейка!$A$1:$A$1000,MATCH(202,Однолинейка!$BV$1:$BV$1000,0)),"")</f>
      </c>
      <c r="C204" s="133">
        <f>IFERROR(INDEX(Однолинейка!$G$1:$G$1000,MATCH(202,Однолинейка!$BV$1:$BV$1000,0))&amp;IF(INDEX(Однолинейка!$P$1:$P$1000,MATCH(202,Однолинейка!$BV$1:$BV$1000,0))="","","/"&amp;INDEX(Однолинейка!$P$1:$P$1000,MATCH(202,Однолинейка!$BV$1:$BV$1000,0))),"")</f>
      </c>
      <c r="D204" s="133">
        <f>IFERROR(INDEX(Однолинейка!$R$1:$R$1000,MATCH(202,Однолинейка!$BV$1:$BV$1000,0)),"")</f>
      </c>
      <c r="E204" s="133">
        <f>IFERROR(INDEX(Однолинейка!$S$1:$S$1000,MATCH(202,Однолинейка!$BV$1:$BV$1000,0)),"")</f>
      </c>
      <c r="F204" s="133">
        <f>IFERROR(INDEX(Однолинейка!$Q$1:$Q$1000,MATCH(202,Однолинейка!$BV$1:$BV$1000,0)),"")</f>
      </c>
    </row>
    <row r="205">
      <c r="A205" s="133">
        <f>IF(ISNUMBER(MATCH(203,Однолинейка!$BV$1:$BV$1000,0)),203,"")</f>
      </c>
      <c r="B205" s="133">
        <f>IFERROR(INDEX(Однолинейка!$A$1:$A$1000,MATCH(203,Однолинейка!$BV$1:$BV$1000,0)),"")</f>
      </c>
      <c r="C205" s="133">
        <f>IFERROR(INDEX(Однолинейка!$G$1:$G$1000,MATCH(203,Однолинейка!$BV$1:$BV$1000,0))&amp;IF(INDEX(Однолинейка!$P$1:$P$1000,MATCH(203,Однолинейка!$BV$1:$BV$1000,0))="","","/"&amp;INDEX(Однолинейка!$P$1:$P$1000,MATCH(203,Однолинейка!$BV$1:$BV$1000,0))),"")</f>
      </c>
      <c r="D205" s="133">
        <f>IFERROR(INDEX(Однолинейка!$R$1:$R$1000,MATCH(203,Однолинейка!$BV$1:$BV$1000,0)),"")</f>
      </c>
      <c r="E205" s="133">
        <f>IFERROR(INDEX(Однолинейка!$S$1:$S$1000,MATCH(203,Однолинейка!$BV$1:$BV$1000,0)),"")</f>
      </c>
      <c r="F205" s="133">
        <f>IFERROR(INDEX(Однолинейка!$Q$1:$Q$1000,MATCH(203,Однолинейка!$BV$1:$BV$1000,0)),"")</f>
      </c>
    </row>
    <row r="206">
      <c r="A206" s="133">
        <f>IF(ISNUMBER(MATCH(204,Однолинейка!$BV$1:$BV$1000,0)),204,"")</f>
      </c>
      <c r="B206" s="133">
        <f>IFERROR(INDEX(Однолинейка!$A$1:$A$1000,MATCH(204,Однолинейка!$BV$1:$BV$1000,0)),"")</f>
      </c>
      <c r="C206" s="133">
        <f>IFERROR(INDEX(Однолинейка!$G$1:$G$1000,MATCH(204,Однолинейка!$BV$1:$BV$1000,0))&amp;IF(INDEX(Однолинейка!$P$1:$P$1000,MATCH(204,Однолинейка!$BV$1:$BV$1000,0))="","","/"&amp;INDEX(Однолинейка!$P$1:$P$1000,MATCH(204,Однолинейка!$BV$1:$BV$1000,0))),"")</f>
      </c>
      <c r="D206" s="133">
        <f>IFERROR(INDEX(Однолинейка!$R$1:$R$1000,MATCH(204,Однолинейка!$BV$1:$BV$1000,0)),"")</f>
      </c>
      <c r="E206" s="133">
        <f>IFERROR(INDEX(Однолинейка!$S$1:$S$1000,MATCH(204,Однолинейка!$BV$1:$BV$1000,0)),"")</f>
      </c>
      <c r="F206" s="133">
        <f>IFERROR(INDEX(Однолинейка!$Q$1:$Q$1000,MATCH(204,Однолинейка!$BV$1:$BV$1000,0)),"")</f>
      </c>
    </row>
    <row r="207">
      <c r="A207" s="133">
        <f>IF(ISNUMBER(MATCH(205,Однолинейка!$BV$1:$BV$1000,0)),205,"")</f>
      </c>
      <c r="B207" s="133">
        <f>IFERROR(INDEX(Однолинейка!$A$1:$A$1000,MATCH(205,Однолинейка!$BV$1:$BV$1000,0)),"")</f>
      </c>
      <c r="C207" s="133">
        <f>IFERROR(INDEX(Однолинейка!$G$1:$G$1000,MATCH(205,Однолинейка!$BV$1:$BV$1000,0))&amp;IF(INDEX(Однолинейка!$P$1:$P$1000,MATCH(205,Однолинейка!$BV$1:$BV$1000,0))="","","/"&amp;INDEX(Однолинейка!$P$1:$P$1000,MATCH(205,Однолинейка!$BV$1:$BV$1000,0))),"")</f>
      </c>
      <c r="D207" s="133">
        <f>IFERROR(INDEX(Однолинейка!$R$1:$R$1000,MATCH(205,Однолинейка!$BV$1:$BV$1000,0)),"")</f>
      </c>
      <c r="E207" s="133">
        <f>IFERROR(INDEX(Однолинейка!$S$1:$S$1000,MATCH(205,Однолинейка!$BV$1:$BV$1000,0)),"")</f>
      </c>
      <c r="F207" s="133">
        <f>IFERROR(INDEX(Однолинейка!$Q$1:$Q$1000,MATCH(205,Однолинейка!$BV$1:$BV$1000,0)),"")</f>
      </c>
    </row>
    <row r="208">
      <c r="A208" s="133">
        <f>IF(ISNUMBER(MATCH(206,Однолинейка!$BV$1:$BV$1000,0)),206,"")</f>
      </c>
      <c r="B208" s="133">
        <f>IFERROR(INDEX(Однолинейка!$A$1:$A$1000,MATCH(206,Однолинейка!$BV$1:$BV$1000,0)),"")</f>
      </c>
      <c r="C208" s="133">
        <f>IFERROR(INDEX(Однолинейка!$G$1:$G$1000,MATCH(206,Однолинейка!$BV$1:$BV$1000,0))&amp;IF(INDEX(Однолинейка!$P$1:$P$1000,MATCH(206,Однолинейка!$BV$1:$BV$1000,0))="","","/"&amp;INDEX(Однолинейка!$P$1:$P$1000,MATCH(206,Однолинейка!$BV$1:$BV$1000,0))),"")</f>
      </c>
      <c r="D208" s="133">
        <f>IFERROR(INDEX(Однолинейка!$R$1:$R$1000,MATCH(206,Однолинейка!$BV$1:$BV$1000,0)),"")</f>
      </c>
      <c r="E208" s="133">
        <f>IFERROR(INDEX(Однолинейка!$S$1:$S$1000,MATCH(206,Однолинейка!$BV$1:$BV$1000,0)),"")</f>
      </c>
      <c r="F208" s="133">
        <f>IFERROR(INDEX(Однолинейка!$Q$1:$Q$1000,MATCH(206,Однолинейка!$BV$1:$BV$1000,0)),"")</f>
      </c>
    </row>
    <row r="209">
      <c r="A209" s="133">
        <f>IF(ISNUMBER(MATCH(207,Однолинейка!$BV$1:$BV$1000,0)),207,"")</f>
      </c>
      <c r="B209" s="133">
        <f>IFERROR(INDEX(Однолинейка!$A$1:$A$1000,MATCH(207,Однолинейка!$BV$1:$BV$1000,0)),"")</f>
      </c>
      <c r="C209" s="133">
        <f>IFERROR(INDEX(Однолинейка!$G$1:$G$1000,MATCH(207,Однолинейка!$BV$1:$BV$1000,0))&amp;IF(INDEX(Однолинейка!$P$1:$P$1000,MATCH(207,Однолинейка!$BV$1:$BV$1000,0))="","","/"&amp;INDEX(Однолинейка!$P$1:$P$1000,MATCH(207,Однолинейка!$BV$1:$BV$1000,0))),"")</f>
      </c>
      <c r="D209" s="133">
        <f>IFERROR(INDEX(Однолинейка!$R$1:$R$1000,MATCH(207,Однолинейка!$BV$1:$BV$1000,0)),"")</f>
      </c>
      <c r="E209" s="133">
        <f>IFERROR(INDEX(Однолинейка!$S$1:$S$1000,MATCH(207,Однолинейка!$BV$1:$BV$1000,0)),"")</f>
      </c>
      <c r="F209" s="133">
        <f>IFERROR(INDEX(Однолинейка!$Q$1:$Q$1000,MATCH(207,Однолинейка!$BV$1:$BV$1000,0)),"")</f>
      </c>
    </row>
    <row r="210">
      <c r="A210" s="133">
        <f>IF(ISNUMBER(MATCH(208,Однолинейка!$BV$1:$BV$1000,0)),208,"")</f>
      </c>
      <c r="B210" s="133">
        <f>IFERROR(INDEX(Однолинейка!$A$1:$A$1000,MATCH(208,Однолинейка!$BV$1:$BV$1000,0)),"")</f>
      </c>
      <c r="C210" s="133">
        <f>IFERROR(INDEX(Однолинейка!$G$1:$G$1000,MATCH(208,Однолинейка!$BV$1:$BV$1000,0))&amp;IF(INDEX(Однолинейка!$P$1:$P$1000,MATCH(208,Однолинейка!$BV$1:$BV$1000,0))="","","/"&amp;INDEX(Однолинейка!$P$1:$P$1000,MATCH(208,Однолинейка!$BV$1:$BV$1000,0))),"")</f>
      </c>
      <c r="D210" s="133">
        <f>IFERROR(INDEX(Однолинейка!$R$1:$R$1000,MATCH(208,Однолинейка!$BV$1:$BV$1000,0)),"")</f>
      </c>
      <c r="E210" s="133">
        <f>IFERROR(INDEX(Однолинейка!$S$1:$S$1000,MATCH(208,Однолинейка!$BV$1:$BV$1000,0)),"")</f>
      </c>
      <c r="F210" s="133">
        <f>IFERROR(INDEX(Однолинейка!$Q$1:$Q$1000,MATCH(208,Однолинейка!$BV$1:$BV$1000,0)),"")</f>
      </c>
    </row>
    <row r="211">
      <c r="A211" s="133">
        <f>IF(ISNUMBER(MATCH(209,Однолинейка!$BV$1:$BV$1000,0)),209,"")</f>
      </c>
      <c r="B211" s="133">
        <f>IFERROR(INDEX(Однолинейка!$A$1:$A$1000,MATCH(209,Однолинейка!$BV$1:$BV$1000,0)),"")</f>
      </c>
      <c r="C211" s="133">
        <f>IFERROR(INDEX(Однолинейка!$G$1:$G$1000,MATCH(209,Однолинейка!$BV$1:$BV$1000,0))&amp;IF(INDEX(Однолинейка!$P$1:$P$1000,MATCH(209,Однолинейка!$BV$1:$BV$1000,0))="","","/"&amp;INDEX(Однолинейка!$P$1:$P$1000,MATCH(209,Однолинейка!$BV$1:$BV$1000,0))),"")</f>
      </c>
      <c r="D211" s="133">
        <f>IFERROR(INDEX(Однолинейка!$R$1:$R$1000,MATCH(209,Однолинейка!$BV$1:$BV$1000,0)),"")</f>
      </c>
      <c r="E211" s="133">
        <f>IFERROR(INDEX(Однолинейка!$S$1:$S$1000,MATCH(209,Однолинейка!$BV$1:$BV$1000,0)),"")</f>
      </c>
      <c r="F211" s="133">
        <f>IFERROR(INDEX(Однолинейка!$Q$1:$Q$1000,MATCH(209,Однолинейка!$BV$1:$BV$1000,0)),"")</f>
      </c>
    </row>
    <row r="212">
      <c r="A212" s="133">
        <f>IF(ISNUMBER(MATCH(210,Однолинейка!$BV$1:$BV$1000,0)),210,"")</f>
      </c>
      <c r="B212" s="133">
        <f>IFERROR(INDEX(Однолинейка!$A$1:$A$1000,MATCH(210,Однолинейка!$BV$1:$BV$1000,0)),"")</f>
      </c>
      <c r="C212" s="133">
        <f>IFERROR(INDEX(Однолинейка!$G$1:$G$1000,MATCH(210,Однолинейка!$BV$1:$BV$1000,0))&amp;IF(INDEX(Однолинейка!$P$1:$P$1000,MATCH(210,Однолинейка!$BV$1:$BV$1000,0))="","","/"&amp;INDEX(Однолинейка!$P$1:$P$1000,MATCH(210,Однолинейка!$BV$1:$BV$1000,0))),"")</f>
      </c>
      <c r="D212" s="133">
        <f>IFERROR(INDEX(Однолинейка!$R$1:$R$1000,MATCH(210,Однолинейка!$BV$1:$BV$1000,0)),"")</f>
      </c>
      <c r="E212" s="133">
        <f>IFERROR(INDEX(Однолинейка!$S$1:$S$1000,MATCH(210,Однолинейка!$BV$1:$BV$1000,0)),"")</f>
      </c>
      <c r="F212" s="133">
        <f>IFERROR(INDEX(Однолинейка!$Q$1:$Q$1000,MATCH(210,Однолинейка!$BV$1:$BV$1000,0)),"")</f>
      </c>
    </row>
    <row r="213">
      <c r="A213" s="133">
        <f>IF(ISNUMBER(MATCH(211,Однолинейка!$BV$1:$BV$1000,0)),211,"")</f>
      </c>
      <c r="B213" s="133">
        <f>IFERROR(INDEX(Однолинейка!$A$1:$A$1000,MATCH(211,Однолинейка!$BV$1:$BV$1000,0)),"")</f>
      </c>
      <c r="C213" s="133">
        <f>IFERROR(INDEX(Однолинейка!$G$1:$G$1000,MATCH(211,Однолинейка!$BV$1:$BV$1000,0))&amp;IF(INDEX(Однолинейка!$P$1:$P$1000,MATCH(211,Однолинейка!$BV$1:$BV$1000,0))="","","/"&amp;INDEX(Однолинейка!$P$1:$P$1000,MATCH(211,Однолинейка!$BV$1:$BV$1000,0))),"")</f>
      </c>
      <c r="D213" s="133">
        <f>IFERROR(INDEX(Однолинейка!$R$1:$R$1000,MATCH(211,Однолинейка!$BV$1:$BV$1000,0)),"")</f>
      </c>
      <c r="E213" s="133">
        <f>IFERROR(INDEX(Однолинейка!$S$1:$S$1000,MATCH(211,Однолинейка!$BV$1:$BV$1000,0)),"")</f>
      </c>
      <c r="F213" s="133">
        <f>IFERROR(INDEX(Однолинейка!$Q$1:$Q$1000,MATCH(211,Однолинейка!$BV$1:$BV$1000,0)),"")</f>
      </c>
    </row>
    <row r="214">
      <c r="A214" s="133">
        <f>IF(ISNUMBER(MATCH(212,Однолинейка!$BV$1:$BV$1000,0)),212,"")</f>
      </c>
      <c r="B214" s="133">
        <f>IFERROR(INDEX(Однолинейка!$A$1:$A$1000,MATCH(212,Однолинейка!$BV$1:$BV$1000,0)),"")</f>
      </c>
      <c r="C214" s="133">
        <f>IFERROR(INDEX(Однолинейка!$G$1:$G$1000,MATCH(212,Однолинейка!$BV$1:$BV$1000,0))&amp;IF(INDEX(Однолинейка!$P$1:$P$1000,MATCH(212,Однолинейка!$BV$1:$BV$1000,0))="","","/"&amp;INDEX(Однолинейка!$P$1:$P$1000,MATCH(212,Однолинейка!$BV$1:$BV$1000,0))),"")</f>
      </c>
      <c r="D214" s="133">
        <f>IFERROR(INDEX(Однолинейка!$R$1:$R$1000,MATCH(212,Однолинейка!$BV$1:$BV$1000,0)),"")</f>
      </c>
      <c r="E214" s="133">
        <f>IFERROR(INDEX(Однолинейка!$S$1:$S$1000,MATCH(212,Однолинейка!$BV$1:$BV$1000,0)),"")</f>
      </c>
      <c r="F214" s="133">
        <f>IFERROR(INDEX(Однолинейка!$Q$1:$Q$1000,MATCH(212,Однолинейка!$BV$1:$BV$1000,0)),"")</f>
      </c>
    </row>
    <row r="215">
      <c r="A215" s="133">
        <f>IF(ISNUMBER(MATCH(213,Однолинейка!$BV$1:$BV$1000,0)),213,"")</f>
      </c>
      <c r="B215" s="133">
        <f>IFERROR(INDEX(Однолинейка!$A$1:$A$1000,MATCH(213,Однолинейка!$BV$1:$BV$1000,0)),"")</f>
      </c>
      <c r="C215" s="133">
        <f>IFERROR(INDEX(Однолинейка!$G$1:$G$1000,MATCH(213,Однолинейка!$BV$1:$BV$1000,0))&amp;IF(INDEX(Однолинейка!$P$1:$P$1000,MATCH(213,Однолинейка!$BV$1:$BV$1000,0))="","","/"&amp;INDEX(Однолинейка!$P$1:$P$1000,MATCH(213,Однолинейка!$BV$1:$BV$1000,0))),"")</f>
      </c>
      <c r="D215" s="133">
        <f>IFERROR(INDEX(Однолинейка!$R$1:$R$1000,MATCH(213,Однолинейка!$BV$1:$BV$1000,0)),"")</f>
      </c>
      <c r="E215" s="133">
        <f>IFERROR(INDEX(Однолинейка!$S$1:$S$1000,MATCH(213,Однолинейка!$BV$1:$BV$1000,0)),"")</f>
      </c>
      <c r="F215" s="133">
        <f>IFERROR(INDEX(Однолинейка!$Q$1:$Q$1000,MATCH(213,Однолинейка!$BV$1:$BV$1000,0)),"")</f>
      </c>
    </row>
    <row r="216">
      <c r="A216" s="133">
        <f>IF(ISNUMBER(MATCH(214,Однолинейка!$BV$1:$BV$1000,0)),214,"")</f>
      </c>
      <c r="B216" s="133">
        <f>IFERROR(INDEX(Однолинейка!$A$1:$A$1000,MATCH(214,Однолинейка!$BV$1:$BV$1000,0)),"")</f>
      </c>
      <c r="C216" s="133">
        <f>IFERROR(INDEX(Однолинейка!$G$1:$G$1000,MATCH(214,Однолинейка!$BV$1:$BV$1000,0))&amp;IF(INDEX(Однолинейка!$P$1:$P$1000,MATCH(214,Однолинейка!$BV$1:$BV$1000,0))="","","/"&amp;INDEX(Однолинейка!$P$1:$P$1000,MATCH(214,Однолинейка!$BV$1:$BV$1000,0))),"")</f>
      </c>
      <c r="D216" s="133">
        <f>IFERROR(INDEX(Однолинейка!$R$1:$R$1000,MATCH(214,Однолинейка!$BV$1:$BV$1000,0)),"")</f>
      </c>
      <c r="E216" s="133">
        <f>IFERROR(INDEX(Однолинейка!$S$1:$S$1000,MATCH(214,Однолинейка!$BV$1:$BV$1000,0)),"")</f>
      </c>
      <c r="F216" s="133">
        <f>IFERROR(INDEX(Однолинейка!$Q$1:$Q$1000,MATCH(214,Однолинейка!$BV$1:$BV$1000,0)),"")</f>
      </c>
    </row>
    <row r="217">
      <c r="A217" s="133">
        <f>IF(ISNUMBER(MATCH(215,Однолинейка!$BV$1:$BV$1000,0)),215,"")</f>
      </c>
      <c r="B217" s="133">
        <f>IFERROR(INDEX(Однолинейка!$A$1:$A$1000,MATCH(215,Однолинейка!$BV$1:$BV$1000,0)),"")</f>
      </c>
      <c r="C217" s="133">
        <f>IFERROR(INDEX(Однолинейка!$G$1:$G$1000,MATCH(215,Однолинейка!$BV$1:$BV$1000,0))&amp;IF(INDEX(Однолинейка!$P$1:$P$1000,MATCH(215,Однолинейка!$BV$1:$BV$1000,0))="","","/"&amp;INDEX(Однолинейка!$P$1:$P$1000,MATCH(215,Однолинейка!$BV$1:$BV$1000,0))),"")</f>
      </c>
      <c r="D217" s="133">
        <f>IFERROR(INDEX(Однолинейка!$R$1:$R$1000,MATCH(215,Однолинейка!$BV$1:$BV$1000,0)),"")</f>
      </c>
      <c r="E217" s="133">
        <f>IFERROR(INDEX(Однолинейка!$S$1:$S$1000,MATCH(215,Однолинейка!$BV$1:$BV$1000,0)),"")</f>
      </c>
      <c r="F217" s="133">
        <f>IFERROR(INDEX(Однолинейка!$Q$1:$Q$1000,MATCH(215,Однолинейка!$BV$1:$BV$1000,0)),"")</f>
      </c>
    </row>
    <row r="218">
      <c r="A218" s="133">
        <f>IF(ISNUMBER(MATCH(216,Однолинейка!$BV$1:$BV$1000,0)),216,"")</f>
      </c>
      <c r="B218" s="133">
        <f>IFERROR(INDEX(Однолинейка!$A$1:$A$1000,MATCH(216,Однолинейка!$BV$1:$BV$1000,0)),"")</f>
      </c>
      <c r="C218" s="133">
        <f>IFERROR(INDEX(Однолинейка!$G$1:$G$1000,MATCH(216,Однолинейка!$BV$1:$BV$1000,0))&amp;IF(INDEX(Однолинейка!$P$1:$P$1000,MATCH(216,Однолинейка!$BV$1:$BV$1000,0))="","","/"&amp;INDEX(Однолинейка!$P$1:$P$1000,MATCH(216,Однолинейка!$BV$1:$BV$1000,0))),"")</f>
      </c>
      <c r="D218" s="133">
        <f>IFERROR(INDEX(Однолинейка!$R$1:$R$1000,MATCH(216,Однолинейка!$BV$1:$BV$1000,0)),"")</f>
      </c>
      <c r="E218" s="133">
        <f>IFERROR(INDEX(Однолинейка!$S$1:$S$1000,MATCH(216,Однолинейка!$BV$1:$BV$1000,0)),"")</f>
      </c>
      <c r="F218" s="133">
        <f>IFERROR(INDEX(Однолинейка!$Q$1:$Q$1000,MATCH(216,Однолинейка!$BV$1:$BV$1000,0)),"")</f>
      </c>
    </row>
    <row r="219">
      <c r="A219" s="133">
        <f>IF(ISNUMBER(MATCH(217,Однолинейка!$BV$1:$BV$1000,0)),217,"")</f>
      </c>
      <c r="B219" s="133">
        <f>IFERROR(INDEX(Однолинейка!$A$1:$A$1000,MATCH(217,Однолинейка!$BV$1:$BV$1000,0)),"")</f>
      </c>
      <c r="C219" s="133">
        <f>IFERROR(INDEX(Однолинейка!$G$1:$G$1000,MATCH(217,Однолинейка!$BV$1:$BV$1000,0))&amp;IF(INDEX(Однолинейка!$P$1:$P$1000,MATCH(217,Однолинейка!$BV$1:$BV$1000,0))="","","/"&amp;INDEX(Однолинейка!$P$1:$P$1000,MATCH(217,Однолинейка!$BV$1:$BV$1000,0))),"")</f>
      </c>
      <c r="D219" s="133">
        <f>IFERROR(INDEX(Однолинейка!$R$1:$R$1000,MATCH(217,Однолинейка!$BV$1:$BV$1000,0)),"")</f>
      </c>
      <c r="E219" s="133">
        <f>IFERROR(INDEX(Однолинейка!$S$1:$S$1000,MATCH(217,Однолинейка!$BV$1:$BV$1000,0)),"")</f>
      </c>
      <c r="F219" s="133">
        <f>IFERROR(INDEX(Однолинейка!$Q$1:$Q$1000,MATCH(217,Однолинейка!$BV$1:$BV$1000,0)),"")</f>
      </c>
    </row>
    <row r="220">
      <c r="A220" s="133">
        <f>IF(ISNUMBER(MATCH(218,Однолинейка!$BV$1:$BV$1000,0)),218,"")</f>
      </c>
      <c r="B220" s="133">
        <f>IFERROR(INDEX(Однолинейка!$A$1:$A$1000,MATCH(218,Однолинейка!$BV$1:$BV$1000,0)),"")</f>
      </c>
      <c r="C220" s="133">
        <f>IFERROR(INDEX(Однолинейка!$G$1:$G$1000,MATCH(218,Однолинейка!$BV$1:$BV$1000,0))&amp;IF(INDEX(Однолинейка!$P$1:$P$1000,MATCH(218,Однолинейка!$BV$1:$BV$1000,0))="","","/"&amp;INDEX(Однолинейка!$P$1:$P$1000,MATCH(218,Однолинейка!$BV$1:$BV$1000,0))),"")</f>
      </c>
      <c r="D220" s="133">
        <f>IFERROR(INDEX(Однолинейка!$R$1:$R$1000,MATCH(218,Однолинейка!$BV$1:$BV$1000,0)),"")</f>
      </c>
      <c r="E220" s="133">
        <f>IFERROR(INDEX(Однолинейка!$S$1:$S$1000,MATCH(218,Однолинейка!$BV$1:$BV$1000,0)),"")</f>
      </c>
      <c r="F220" s="133">
        <f>IFERROR(INDEX(Однолинейка!$Q$1:$Q$1000,MATCH(218,Однолинейка!$BV$1:$BV$1000,0)),"")</f>
      </c>
    </row>
    <row r="221">
      <c r="A221" s="133">
        <f>IF(ISNUMBER(MATCH(219,Однолинейка!$BV$1:$BV$1000,0)),219,"")</f>
      </c>
      <c r="B221" s="133">
        <f>IFERROR(INDEX(Однолинейка!$A$1:$A$1000,MATCH(219,Однолинейка!$BV$1:$BV$1000,0)),"")</f>
      </c>
      <c r="C221" s="133">
        <f>IFERROR(INDEX(Однолинейка!$G$1:$G$1000,MATCH(219,Однолинейка!$BV$1:$BV$1000,0))&amp;IF(INDEX(Однолинейка!$P$1:$P$1000,MATCH(219,Однолинейка!$BV$1:$BV$1000,0))="","","/"&amp;INDEX(Однолинейка!$P$1:$P$1000,MATCH(219,Однолинейка!$BV$1:$BV$1000,0))),"")</f>
      </c>
      <c r="D221" s="133">
        <f>IFERROR(INDEX(Однолинейка!$R$1:$R$1000,MATCH(219,Однолинейка!$BV$1:$BV$1000,0)),"")</f>
      </c>
      <c r="E221" s="133">
        <f>IFERROR(INDEX(Однолинейка!$S$1:$S$1000,MATCH(219,Однолинейка!$BV$1:$BV$1000,0)),"")</f>
      </c>
      <c r="F221" s="133">
        <f>IFERROR(INDEX(Однолинейка!$Q$1:$Q$1000,MATCH(219,Однолинейка!$BV$1:$BV$1000,0)),"")</f>
      </c>
    </row>
    <row r="222">
      <c r="A222" s="133">
        <f>IF(ISNUMBER(MATCH(220,Однолинейка!$BV$1:$BV$1000,0)),220,"")</f>
      </c>
      <c r="B222" s="133">
        <f>IFERROR(INDEX(Однолинейка!$A$1:$A$1000,MATCH(220,Однолинейка!$BV$1:$BV$1000,0)),"")</f>
      </c>
      <c r="C222" s="133">
        <f>IFERROR(INDEX(Однолинейка!$G$1:$G$1000,MATCH(220,Однолинейка!$BV$1:$BV$1000,0))&amp;IF(INDEX(Однолинейка!$P$1:$P$1000,MATCH(220,Однолинейка!$BV$1:$BV$1000,0))="","","/"&amp;INDEX(Однолинейка!$P$1:$P$1000,MATCH(220,Однолинейка!$BV$1:$BV$1000,0))),"")</f>
      </c>
      <c r="D222" s="133">
        <f>IFERROR(INDEX(Однолинейка!$R$1:$R$1000,MATCH(220,Однолинейка!$BV$1:$BV$1000,0)),"")</f>
      </c>
      <c r="E222" s="133">
        <f>IFERROR(INDEX(Однолинейка!$S$1:$S$1000,MATCH(220,Однолинейка!$BV$1:$BV$1000,0)),"")</f>
      </c>
      <c r="F222" s="133">
        <f>IFERROR(INDEX(Однолинейка!$Q$1:$Q$1000,MATCH(220,Однолинейка!$BV$1:$BV$1000,0)),"")</f>
      </c>
    </row>
    <row r="223">
      <c r="A223" s="133">
        <f>IF(ISNUMBER(MATCH(221,Однолинейка!$BV$1:$BV$1000,0)),221,"")</f>
      </c>
      <c r="B223" s="133">
        <f>IFERROR(INDEX(Однолинейка!$A$1:$A$1000,MATCH(221,Однолинейка!$BV$1:$BV$1000,0)),"")</f>
      </c>
      <c r="C223" s="133">
        <f>IFERROR(INDEX(Однолинейка!$G$1:$G$1000,MATCH(221,Однолинейка!$BV$1:$BV$1000,0))&amp;IF(INDEX(Однолинейка!$P$1:$P$1000,MATCH(221,Однолинейка!$BV$1:$BV$1000,0))="","","/"&amp;INDEX(Однолинейка!$P$1:$P$1000,MATCH(221,Однолинейка!$BV$1:$BV$1000,0))),"")</f>
      </c>
      <c r="D223" s="133">
        <f>IFERROR(INDEX(Однолинейка!$R$1:$R$1000,MATCH(221,Однолинейка!$BV$1:$BV$1000,0)),"")</f>
      </c>
      <c r="E223" s="133">
        <f>IFERROR(INDEX(Однолинейка!$S$1:$S$1000,MATCH(221,Однолинейка!$BV$1:$BV$1000,0)),"")</f>
      </c>
      <c r="F223" s="133">
        <f>IFERROR(INDEX(Однолинейка!$Q$1:$Q$1000,MATCH(221,Однолинейка!$BV$1:$BV$1000,0)),"")</f>
      </c>
    </row>
    <row r="224">
      <c r="A224" s="133">
        <f>IF(ISNUMBER(MATCH(222,Однолинейка!$BV$1:$BV$1000,0)),222,"")</f>
      </c>
      <c r="B224" s="133">
        <f>IFERROR(INDEX(Однолинейка!$A$1:$A$1000,MATCH(222,Однолинейка!$BV$1:$BV$1000,0)),"")</f>
      </c>
      <c r="C224" s="133">
        <f>IFERROR(INDEX(Однолинейка!$G$1:$G$1000,MATCH(222,Однолинейка!$BV$1:$BV$1000,0))&amp;IF(INDEX(Однолинейка!$P$1:$P$1000,MATCH(222,Однолинейка!$BV$1:$BV$1000,0))="","","/"&amp;INDEX(Однолинейка!$P$1:$P$1000,MATCH(222,Однолинейка!$BV$1:$BV$1000,0))),"")</f>
      </c>
      <c r="D224" s="133">
        <f>IFERROR(INDEX(Однолинейка!$R$1:$R$1000,MATCH(222,Однолинейка!$BV$1:$BV$1000,0)),"")</f>
      </c>
      <c r="E224" s="133">
        <f>IFERROR(INDEX(Однолинейка!$S$1:$S$1000,MATCH(222,Однолинейка!$BV$1:$BV$1000,0)),"")</f>
      </c>
      <c r="F224" s="133">
        <f>IFERROR(INDEX(Однолинейка!$Q$1:$Q$1000,MATCH(222,Однолинейка!$BV$1:$BV$1000,0)),"")</f>
      </c>
    </row>
    <row r="225">
      <c r="A225" s="133">
        <f>IF(ISNUMBER(MATCH(223,Однолинейка!$BV$1:$BV$1000,0)),223,"")</f>
      </c>
      <c r="B225" s="133">
        <f>IFERROR(INDEX(Однолинейка!$A$1:$A$1000,MATCH(223,Однолинейка!$BV$1:$BV$1000,0)),"")</f>
      </c>
      <c r="C225" s="133">
        <f>IFERROR(INDEX(Однолинейка!$G$1:$G$1000,MATCH(223,Однолинейка!$BV$1:$BV$1000,0))&amp;IF(INDEX(Однолинейка!$P$1:$P$1000,MATCH(223,Однолинейка!$BV$1:$BV$1000,0))="","","/"&amp;INDEX(Однолинейка!$P$1:$P$1000,MATCH(223,Однолинейка!$BV$1:$BV$1000,0))),"")</f>
      </c>
      <c r="D225" s="133">
        <f>IFERROR(INDEX(Однолинейка!$R$1:$R$1000,MATCH(223,Однолинейка!$BV$1:$BV$1000,0)),"")</f>
      </c>
      <c r="E225" s="133">
        <f>IFERROR(INDEX(Однолинейка!$S$1:$S$1000,MATCH(223,Однолинейка!$BV$1:$BV$1000,0)),"")</f>
      </c>
      <c r="F225" s="133">
        <f>IFERROR(INDEX(Однолинейка!$Q$1:$Q$1000,MATCH(223,Однолинейка!$BV$1:$BV$1000,0)),"")</f>
      </c>
    </row>
    <row r="226">
      <c r="A226" s="133">
        <f>IF(ISNUMBER(MATCH(224,Однолинейка!$BV$1:$BV$1000,0)),224,"")</f>
      </c>
      <c r="B226" s="133">
        <f>IFERROR(INDEX(Однолинейка!$A$1:$A$1000,MATCH(224,Однолинейка!$BV$1:$BV$1000,0)),"")</f>
      </c>
      <c r="C226" s="133">
        <f>IFERROR(INDEX(Однолинейка!$G$1:$G$1000,MATCH(224,Однолинейка!$BV$1:$BV$1000,0))&amp;IF(INDEX(Однолинейка!$P$1:$P$1000,MATCH(224,Однолинейка!$BV$1:$BV$1000,0))="","","/"&amp;INDEX(Однолинейка!$P$1:$P$1000,MATCH(224,Однолинейка!$BV$1:$BV$1000,0))),"")</f>
      </c>
      <c r="D226" s="133">
        <f>IFERROR(INDEX(Однолинейка!$R$1:$R$1000,MATCH(224,Однолинейка!$BV$1:$BV$1000,0)),"")</f>
      </c>
      <c r="E226" s="133">
        <f>IFERROR(INDEX(Однолинейка!$S$1:$S$1000,MATCH(224,Однолинейка!$BV$1:$BV$1000,0)),"")</f>
      </c>
      <c r="F226" s="133">
        <f>IFERROR(INDEX(Однолинейка!$Q$1:$Q$1000,MATCH(224,Однолинейка!$BV$1:$BV$1000,0)),"")</f>
      </c>
    </row>
    <row r="227">
      <c r="A227" s="133">
        <f>IF(ISNUMBER(MATCH(225,Однолинейка!$BV$1:$BV$1000,0)),225,"")</f>
      </c>
      <c r="B227" s="133">
        <f>IFERROR(INDEX(Однолинейка!$A$1:$A$1000,MATCH(225,Однолинейка!$BV$1:$BV$1000,0)),"")</f>
      </c>
      <c r="C227" s="133">
        <f>IFERROR(INDEX(Однолинейка!$G$1:$G$1000,MATCH(225,Однолинейка!$BV$1:$BV$1000,0))&amp;IF(INDEX(Однолинейка!$P$1:$P$1000,MATCH(225,Однолинейка!$BV$1:$BV$1000,0))="","","/"&amp;INDEX(Однолинейка!$P$1:$P$1000,MATCH(225,Однолинейка!$BV$1:$BV$1000,0))),"")</f>
      </c>
      <c r="D227" s="133">
        <f>IFERROR(INDEX(Однолинейка!$R$1:$R$1000,MATCH(225,Однолинейка!$BV$1:$BV$1000,0)),"")</f>
      </c>
      <c r="E227" s="133">
        <f>IFERROR(INDEX(Однолинейка!$S$1:$S$1000,MATCH(225,Однолинейка!$BV$1:$BV$1000,0)),"")</f>
      </c>
      <c r="F227" s="133">
        <f>IFERROR(INDEX(Однолинейка!$Q$1:$Q$1000,MATCH(225,Однолинейка!$BV$1:$BV$1000,0)),"")</f>
      </c>
    </row>
    <row r="228">
      <c r="A228" s="133">
        <f>IF(ISNUMBER(MATCH(226,Однолинейка!$BV$1:$BV$1000,0)),226,"")</f>
      </c>
      <c r="B228" s="133">
        <f>IFERROR(INDEX(Однолинейка!$A$1:$A$1000,MATCH(226,Однолинейка!$BV$1:$BV$1000,0)),"")</f>
      </c>
      <c r="C228" s="133">
        <f>IFERROR(INDEX(Однолинейка!$G$1:$G$1000,MATCH(226,Однолинейка!$BV$1:$BV$1000,0))&amp;IF(INDEX(Однолинейка!$P$1:$P$1000,MATCH(226,Однолинейка!$BV$1:$BV$1000,0))="","","/"&amp;INDEX(Однолинейка!$P$1:$P$1000,MATCH(226,Однолинейка!$BV$1:$BV$1000,0))),"")</f>
      </c>
      <c r="D228" s="133">
        <f>IFERROR(INDEX(Однолинейка!$R$1:$R$1000,MATCH(226,Однолинейка!$BV$1:$BV$1000,0)),"")</f>
      </c>
      <c r="E228" s="133">
        <f>IFERROR(INDEX(Однолинейка!$S$1:$S$1000,MATCH(226,Однолинейка!$BV$1:$BV$1000,0)),"")</f>
      </c>
      <c r="F228" s="133">
        <f>IFERROR(INDEX(Однолинейка!$Q$1:$Q$1000,MATCH(226,Однолинейка!$BV$1:$BV$1000,0)),"")</f>
      </c>
    </row>
    <row r="229">
      <c r="A229" s="133">
        <f>IF(ISNUMBER(MATCH(227,Однолинейка!$BV$1:$BV$1000,0)),227,"")</f>
      </c>
      <c r="B229" s="133">
        <f>IFERROR(INDEX(Однолинейка!$A$1:$A$1000,MATCH(227,Однолинейка!$BV$1:$BV$1000,0)),"")</f>
      </c>
      <c r="C229" s="133">
        <f>IFERROR(INDEX(Однолинейка!$G$1:$G$1000,MATCH(227,Однолинейка!$BV$1:$BV$1000,0))&amp;IF(INDEX(Однолинейка!$P$1:$P$1000,MATCH(227,Однолинейка!$BV$1:$BV$1000,0))="","","/"&amp;INDEX(Однолинейка!$P$1:$P$1000,MATCH(227,Однолинейка!$BV$1:$BV$1000,0))),"")</f>
      </c>
      <c r="D229" s="133">
        <f>IFERROR(INDEX(Однолинейка!$R$1:$R$1000,MATCH(227,Однолинейка!$BV$1:$BV$1000,0)),"")</f>
      </c>
      <c r="E229" s="133">
        <f>IFERROR(INDEX(Однолинейка!$S$1:$S$1000,MATCH(227,Однолинейка!$BV$1:$BV$1000,0)),"")</f>
      </c>
      <c r="F229" s="133">
        <f>IFERROR(INDEX(Однолинейка!$Q$1:$Q$1000,MATCH(227,Однолинейка!$BV$1:$BV$1000,0)),"")</f>
      </c>
    </row>
    <row r="230">
      <c r="A230" s="133">
        <f>IF(ISNUMBER(MATCH(228,Однолинейка!$BV$1:$BV$1000,0)),228,"")</f>
      </c>
      <c r="B230" s="133">
        <f>IFERROR(INDEX(Однолинейка!$A$1:$A$1000,MATCH(228,Однолинейка!$BV$1:$BV$1000,0)),"")</f>
      </c>
      <c r="C230" s="133">
        <f>IFERROR(INDEX(Однолинейка!$G$1:$G$1000,MATCH(228,Однолинейка!$BV$1:$BV$1000,0))&amp;IF(INDEX(Однолинейка!$P$1:$P$1000,MATCH(228,Однолинейка!$BV$1:$BV$1000,0))="","","/"&amp;INDEX(Однолинейка!$P$1:$P$1000,MATCH(228,Однолинейка!$BV$1:$BV$1000,0))),"")</f>
      </c>
      <c r="D230" s="133">
        <f>IFERROR(INDEX(Однолинейка!$R$1:$R$1000,MATCH(228,Однолинейка!$BV$1:$BV$1000,0)),"")</f>
      </c>
      <c r="E230" s="133">
        <f>IFERROR(INDEX(Однолинейка!$S$1:$S$1000,MATCH(228,Однолинейка!$BV$1:$BV$1000,0)),"")</f>
      </c>
      <c r="F230" s="133">
        <f>IFERROR(INDEX(Однолинейка!$Q$1:$Q$1000,MATCH(228,Однолинейка!$BV$1:$BV$1000,0)),"")</f>
      </c>
    </row>
    <row r="231">
      <c r="A231" s="133">
        <f>IF(ISNUMBER(MATCH(229,Однолинейка!$BV$1:$BV$1000,0)),229,"")</f>
      </c>
      <c r="B231" s="133">
        <f>IFERROR(INDEX(Однолинейка!$A$1:$A$1000,MATCH(229,Однолинейка!$BV$1:$BV$1000,0)),"")</f>
      </c>
      <c r="C231" s="133">
        <f>IFERROR(INDEX(Однолинейка!$G$1:$G$1000,MATCH(229,Однолинейка!$BV$1:$BV$1000,0))&amp;IF(INDEX(Однолинейка!$P$1:$P$1000,MATCH(229,Однолинейка!$BV$1:$BV$1000,0))="","","/"&amp;INDEX(Однолинейка!$P$1:$P$1000,MATCH(229,Однолинейка!$BV$1:$BV$1000,0))),"")</f>
      </c>
      <c r="D231" s="133">
        <f>IFERROR(INDEX(Однолинейка!$R$1:$R$1000,MATCH(229,Однолинейка!$BV$1:$BV$1000,0)),"")</f>
      </c>
      <c r="E231" s="133">
        <f>IFERROR(INDEX(Однолинейка!$S$1:$S$1000,MATCH(229,Однолинейка!$BV$1:$BV$1000,0)),"")</f>
      </c>
      <c r="F231" s="133">
        <f>IFERROR(INDEX(Однолинейка!$Q$1:$Q$1000,MATCH(229,Однолинейка!$BV$1:$BV$1000,0)),"")</f>
      </c>
    </row>
    <row r="232">
      <c r="A232" s="133">
        <f>IF(ISNUMBER(MATCH(230,Однолинейка!$BV$1:$BV$1000,0)),230,"")</f>
      </c>
      <c r="B232" s="133">
        <f>IFERROR(INDEX(Однолинейка!$A$1:$A$1000,MATCH(230,Однолинейка!$BV$1:$BV$1000,0)),"")</f>
      </c>
      <c r="C232" s="133">
        <f>IFERROR(INDEX(Однолинейка!$G$1:$G$1000,MATCH(230,Однолинейка!$BV$1:$BV$1000,0))&amp;IF(INDEX(Однолинейка!$P$1:$P$1000,MATCH(230,Однолинейка!$BV$1:$BV$1000,0))="","","/"&amp;INDEX(Однолинейка!$P$1:$P$1000,MATCH(230,Однолинейка!$BV$1:$BV$1000,0))),"")</f>
      </c>
      <c r="D232" s="133">
        <f>IFERROR(INDEX(Однолинейка!$R$1:$R$1000,MATCH(230,Однолинейка!$BV$1:$BV$1000,0)),"")</f>
      </c>
      <c r="E232" s="133">
        <f>IFERROR(INDEX(Однолинейка!$S$1:$S$1000,MATCH(230,Однолинейка!$BV$1:$BV$1000,0)),"")</f>
      </c>
      <c r="F232" s="133">
        <f>IFERROR(INDEX(Однолинейка!$Q$1:$Q$1000,MATCH(230,Однолинейка!$BV$1:$BV$1000,0)),"")</f>
      </c>
    </row>
    <row r="233">
      <c r="A233" s="133">
        <f>IF(ISNUMBER(MATCH(231,Однолинейка!$BV$1:$BV$1000,0)),231,"")</f>
      </c>
      <c r="B233" s="133">
        <f>IFERROR(INDEX(Однолинейка!$A$1:$A$1000,MATCH(231,Однолинейка!$BV$1:$BV$1000,0)),"")</f>
      </c>
      <c r="C233" s="133">
        <f>IFERROR(INDEX(Однолинейка!$G$1:$G$1000,MATCH(231,Однолинейка!$BV$1:$BV$1000,0))&amp;IF(INDEX(Однолинейка!$P$1:$P$1000,MATCH(231,Однолинейка!$BV$1:$BV$1000,0))="","","/"&amp;INDEX(Однолинейка!$P$1:$P$1000,MATCH(231,Однолинейка!$BV$1:$BV$1000,0))),"")</f>
      </c>
      <c r="D233" s="133">
        <f>IFERROR(INDEX(Однолинейка!$R$1:$R$1000,MATCH(231,Однолинейка!$BV$1:$BV$1000,0)),"")</f>
      </c>
      <c r="E233" s="133">
        <f>IFERROR(INDEX(Однолинейка!$S$1:$S$1000,MATCH(231,Однолинейка!$BV$1:$BV$1000,0)),"")</f>
      </c>
      <c r="F233" s="133">
        <f>IFERROR(INDEX(Однолинейка!$Q$1:$Q$1000,MATCH(231,Однолинейка!$BV$1:$BV$1000,0)),"")</f>
      </c>
    </row>
    <row r="234">
      <c r="A234" s="133">
        <f>IF(ISNUMBER(MATCH(232,Однолинейка!$BV$1:$BV$1000,0)),232,"")</f>
      </c>
      <c r="B234" s="133">
        <f>IFERROR(INDEX(Однолинейка!$A$1:$A$1000,MATCH(232,Однолинейка!$BV$1:$BV$1000,0)),"")</f>
      </c>
      <c r="C234" s="133">
        <f>IFERROR(INDEX(Однолинейка!$G$1:$G$1000,MATCH(232,Однолинейка!$BV$1:$BV$1000,0))&amp;IF(INDEX(Однолинейка!$P$1:$P$1000,MATCH(232,Однолинейка!$BV$1:$BV$1000,0))="","","/"&amp;INDEX(Однолинейка!$P$1:$P$1000,MATCH(232,Однолинейка!$BV$1:$BV$1000,0))),"")</f>
      </c>
      <c r="D234" s="133">
        <f>IFERROR(INDEX(Однолинейка!$R$1:$R$1000,MATCH(232,Однолинейка!$BV$1:$BV$1000,0)),"")</f>
      </c>
      <c r="E234" s="133">
        <f>IFERROR(INDEX(Однолинейка!$S$1:$S$1000,MATCH(232,Однолинейка!$BV$1:$BV$1000,0)),"")</f>
      </c>
      <c r="F234" s="133">
        <f>IFERROR(INDEX(Однолинейка!$Q$1:$Q$1000,MATCH(232,Однолинейка!$BV$1:$BV$1000,0)),"")</f>
      </c>
    </row>
    <row r="235">
      <c r="A235" s="133">
        <f>IF(ISNUMBER(MATCH(233,Однолинейка!$BV$1:$BV$1000,0)),233,"")</f>
      </c>
      <c r="B235" s="133">
        <f>IFERROR(INDEX(Однолинейка!$A$1:$A$1000,MATCH(233,Однолинейка!$BV$1:$BV$1000,0)),"")</f>
      </c>
      <c r="C235" s="133">
        <f>IFERROR(INDEX(Однолинейка!$G$1:$G$1000,MATCH(233,Однолинейка!$BV$1:$BV$1000,0))&amp;IF(INDEX(Однолинейка!$P$1:$P$1000,MATCH(233,Однолинейка!$BV$1:$BV$1000,0))="","","/"&amp;INDEX(Однолинейка!$P$1:$P$1000,MATCH(233,Однолинейка!$BV$1:$BV$1000,0))),"")</f>
      </c>
      <c r="D235" s="133">
        <f>IFERROR(INDEX(Однолинейка!$R$1:$R$1000,MATCH(233,Однолинейка!$BV$1:$BV$1000,0)),"")</f>
      </c>
      <c r="E235" s="133">
        <f>IFERROR(INDEX(Однолинейка!$S$1:$S$1000,MATCH(233,Однолинейка!$BV$1:$BV$1000,0)),"")</f>
      </c>
      <c r="F235" s="133">
        <f>IFERROR(INDEX(Однолинейка!$Q$1:$Q$1000,MATCH(233,Однолинейка!$BV$1:$BV$1000,0)),"")</f>
      </c>
    </row>
    <row r="236">
      <c r="A236" s="133">
        <f>IF(ISNUMBER(MATCH(234,Однолинейка!$BV$1:$BV$1000,0)),234,"")</f>
      </c>
      <c r="B236" s="133">
        <f>IFERROR(INDEX(Однолинейка!$A$1:$A$1000,MATCH(234,Однолинейка!$BV$1:$BV$1000,0)),"")</f>
      </c>
      <c r="C236" s="133">
        <f>IFERROR(INDEX(Однолинейка!$G$1:$G$1000,MATCH(234,Однолинейка!$BV$1:$BV$1000,0))&amp;IF(INDEX(Однолинейка!$P$1:$P$1000,MATCH(234,Однолинейка!$BV$1:$BV$1000,0))="","","/"&amp;INDEX(Однолинейка!$P$1:$P$1000,MATCH(234,Однолинейка!$BV$1:$BV$1000,0))),"")</f>
      </c>
      <c r="D236" s="133">
        <f>IFERROR(INDEX(Однолинейка!$R$1:$R$1000,MATCH(234,Однолинейка!$BV$1:$BV$1000,0)),"")</f>
      </c>
      <c r="E236" s="133">
        <f>IFERROR(INDEX(Однолинейка!$S$1:$S$1000,MATCH(234,Однолинейка!$BV$1:$BV$1000,0)),"")</f>
      </c>
      <c r="F236" s="133">
        <f>IFERROR(INDEX(Однолинейка!$Q$1:$Q$1000,MATCH(234,Однолинейка!$BV$1:$BV$1000,0)),"")</f>
      </c>
    </row>
    <row r="237">
      <c r="A237" s="133">
        <f>IF(ISNUMBER(MATCH(235,Однолинейка!$BV$1:$BV$1000,0)),235,"")</f>
      </c>
      <c r="B237" s="133">
        <f>IFERROR(INDEX(Однолинейка!$A$1:$A$1000,MATCH(235,Однолинейка!$BV$1:$BV$1000,0)),"")</f>
      </c>
      <c r="C237" s="133">
        <f>IFERROR(INDEX(Однолинейка!$G$1:$G$1000,MATCH(235,Однолинейка!$BV$1:$BV$1000,0))&amp;IF(INDEX(Однолинейка!$P$1:$P$1000,MATCH(235,Однолинейка!$BV$1:$BV$1000,0))="","","/"&amp;INDEX(Однолинейка!$P$1:$P$1000,MATCH(235,Однолинейка!$BV$1:$BV$1000,0))),"")</f>
      </c>
      <c r="D237" s="133">
        <f>IFERROR(INDEX(Однолинейка!$R$1:$R$1000,MATCH(235,Однолинейка!$BV$1:$BV$1000,0)),"")</f>
      </c>
      <c r="E237" s="133">
        <f>IFERROR(INDEX(Однолинейка!$S$1:$S$1000,MATCH(235,Однолинейка!$BV$1:$BV$1000,0)),"")</f>
      </c>
      <c r="F237" s="133">
        <f>IFERROR(INDEX(Однолинейка!$Q$1:$Q$1000,MATCH(235,Однолинейка!$BV$1:$BV$1000,0)),"")</f>
      </c>
    </row>
    <row r="238">
      <c r="A238" s="133">
        <f>IF(ISNUMBER(MATCH(236,Однолинейка!$BV$1:$BV$1000,0)),236,"")</f>
      </c>
      <c r="B238" s="133">
        <f>IFERROR(INDEX(Однолинейка!$A$1:$A$1000,MATCH(236,Однолинейка!$BV$1:$BV$1000,0)),"")</f>
      </c>
      <c r="C238" s="133">
        <f>IFERROR(INDEX(Однолинейка!$G$1:$G$1000,MATCH(236,Однолинейка!$BV$1:$BV$1000,0))&amp;IF(INDEX(Однолинейка!$P$1:$P$1000,MATCH(236,Однолинейка!$BV$1:$BV$1000,0))="","","/"&amp;INDEX(Однолинейка!$P$1:$P$1000,MATCH(236,Однолинейка!$BV$1:$BV$1000,0))),"")</f>
      </c>
      <c r="D238" s="133">
        <f>IFERROR(INDEX(Однолинейка!$R$1:$R$1000,MATCH(236,Однолинейка!$BV$1:$BV$1000,0)),"")</f>
      </c>
      <c r="E238" s="133">
        <f>IFERROR(INDEX(Однолинейка!$S$1:$S$1000,MATCH(236,Однолинейка!$BV$1:$BV$1000,0)),"")</f>
      </c>
      <c r="F238" s="133">
        <f>IFERROR(INDEX(Однолинейка!$Q$1:$Q$1000,MATCH(236,Однолинейка!$BV$1:$BV$1000,0)),"")</f>
      </c>
    </row>
    <row r="239">
      <c r="A239" s="133">
        <f>IF(ISNUMBER(MATCH(237,Однолинейка!$BV$1:$BV$1000,0)),237,"")</f>
      </c>
      <c r="B239" s="133">
        <f>IFERROR(INDEX(Однолинейка!$A$1:$A$1000,MATCH(237,Однолинейка!$BV$1:$BV$1000,0)),"")</f>
      </c>
      <c r="C239" s="133">
        <f>IFERROR(INDEX(Однолинейка!$G$1:$G$1000,MATCH(237,Однолинейка!$BV$1:$BV$1000,0))&amp;IF(INDEX(Однолинейка!$P$1:$P$1000,MATCH(237,Однолинейка!$BV$1:$BV$1000,0))="","","/"&amp;INDEX(Однолинейка!$P$1:$P$1000,MATCH(237,Однолинейка!$BV$1:$BV$1000,0))),"")</f>
      </c>
      <c r="D239" s="133">
        <f>IFERROR(INDEX(Однолинейка!$R$1:$R$1000,MATCH(237,Однолинейка!$BV$1:$BV$1000,0)),"")</f>
      </c>
      <c r="E239" s="133">
        <f>IFERROR(INDEX(Однолинейка!$S$1:$S$1000,MATCH(237,Однолинейка!$BV$1:$BV$1000,0)),"")</f>
      </c>
      <c r="F239" s="133">
        <f>IFERROR(INDEX(Однолинейка!$Q$1:$Q$1000,MATCH(237,Однолинейка!$BV$1:$BV$1000,0)),"")</f>
      </c>
    </row>
    <row r="240">
      <c r="A240" s="133">
        <f>IF(ISNUMBER(MATCH(238,Однолинейка!$BV$1:$BV$1000,0)),238,"")</f>
      </c>
      <c r="B240" s="133">
        <f>IFERROR(INDEX(Однолинейка!$A$1:$A$1000,MATCH(238,Однолинейка!$BV$1:$BV$1000,0)),"")</f>
      </c>
      <c r="C240" s="133">
        <f>IFERROR(INDEX(Однолинейка!$G$1:$G$1000,MATCH(238,Однолинейка!$BV$1:$BV$1000,0))&amp;IF(INDEX(Однолинейка!$P$1:$P$1000,MATCH(238,Однолинейка!$BV$1:$BV$1000,0))="","","/"&amp;INDEX(Однолинейка!$P$1:$P$1000,MATCH(238,Однолинейка!$BV$1:$BV$1000,0))),"")</f>
      </c>
      <c r="D240" s="133">
        <f>IFERROR(INDEX(Однолинейка!$R$1:$R$1000,MATCH(238,Однолинейка!$BV$1:$BV$1000,0)),"")</f>
      </c>
      <c r="E240" s="133">
        <f>IFERROR(INDEX(Однолинейка!$S$1:$S$1000,MATCH(238,Однолинейка!$BV$1:$BV$1000,0)),"")</f>
      </c>
      <c r="F240" s="133">
        <f>IFERROR(INDEX(Однолинейка!$Q$1:$Q$1000,MATCH(238,Однолинейка!$BV$1:$BV$1000,0)),"")</f>
      </c>
    </row>
    <row r="241">
      <c r="A241" s="133">
        <f>IF(ISNUMBER(MATCH(239,Однолинейка!$BV$1:$BV$1000,0)),239,"")</f>
      </c>
      <c r="B241" s="133">
        <f>IFERROR(INDEX(Однолинейка!$A$1:$A$1000,MATCH(239,Однолинейка!$BV$1:$BV$1000,0)),"")</f>
      </c>
      <c r="C241" s="133">
        <f>IFERROR(INDEX(Однолинейка!$G$1:$G$1000,MATCH(239,Однолинейка!$BV$1:$BV$1000,0))&amp;IF(INDEX(Однолинейка!$P$1:$P$1000,MATCH(239,Однолинейка!$BV$1:$BV$1000,0))="","","/"&amp;INDEX(Однолинейка!$P$1:$P$1000,MATCH(239,Однолинейка!$BV$1:$BV$1000,0))),"")</f>
      </c>
      <c r="D241" s="133">
        <f>IFERROR(INDEX(Однолинейка!$R$1:$R$1000,MATCH(239,Однолинейка!$BV$1:$BV$1000,0)),"")</f>
      </c>
      <c r="E241" s="133">
        <f>IFERROR(INDEX(Однолинейка!$S$1:$S$1000,MATCH(239,Однолинейка!$BV$1:$BV$1000,0)),"")</f>
      </c>
      <c r="F241" s="133">
        <f>IFERROR(INDEX(Однолинейка!$Q$1:$Q$1000,MATCH(239,Однолинейка!$BV$1:$BV$1000,0)),"")</f>
      </c>
    </row>
    <row r="242">
      <c r="A242" s="133">
        <f>IF(ISNUMBER(MATCH(240,Однолинейка!$BV$1:$BV$1000,0)),240,"")</f>
      </c>
      <c r="B242" s="133">
        <f>IFERROR(INDEX(Однолинейка!$A$1:$A$1000,MATCH(240,Однолинейка!$BV$1:$BV$1000,0)),"")</f>
      </c>
      <c r="C242" s="133">
        <f>IFERROR(INDEX(Однолинейка!$G$1:$G$1000,MATCH(240,Однолинейка!$BV$1:$BV$1000,0))&amp;IF(INDEX(Однолинейка!$P$1:$P$1000,MATCH(240,Однолинейка!$BV$1:$BV$1000,0))="","","/"&amp;INDEX(Однолинейка!$P$1:$P$1000,MATCH(240,Однолинейка!$BV$1:$BV$1000,0))),"")</f>
      </c>
      <c r="D242" s="133">
        <f>IFERROR(INDEX(Однолинейка!$R$1:$R$1000,MATCH(240,Однолинейка!$BV$1:$BV$1000,0)),"")</f>
      </c>
      <c r="E242" s="133">
        <f>IFERROR(INDEX(Однолинейка!$S$1:$S$1000,MATCH(240,Однолинейка!$BV$1:$BV$1000,0)),"")</f>
      </c>
      <c r="F242" s="133">
        <f>IFERROR(INDEX(Однолинейка!$Q$1:$Q$1000,MATCH(240,Однолинейка!$BV$1:$BV$1000,0)),"")</f>
      </c>
    </row>
    <row r="243">
      <c r="A243" s="133">
        <f>IF(ISNUMBER(MATCH(241,Однолинейка!$BV$1:$BV$1000,0)),241,"")</f>
      </c>
      <c r="B243" s="133">
        <f>IFERROR(INDEX(Однолинейка!$A$1:$A$1000,MATCH(241,Однолинейка!$BV$1:$BV$1000,0)),"")</f>
      </c>
      <c r="C243" s="133">
        <f>IFERROR(INDEX(Однолинейка!$G$1:$G$1000,MATCH(241,Однолинейка!$BV$1:$BV$1000,0))&amp;IF(INDEX(Однолинейка!$P$1:$P$1000,MATCH(241,Однолинейка!$BV$1:$BV$1000,0))="","","/"&amp;INDEX(Однолинейка!$P$1:$P$1000,MATCH(241,Однолинейка!$BV$1:$BV$1000,0))),"")</f>
      </c>
      <c r="D243" s="133">
        <f>IFERROR(INDEX(Однолинейка!$R$1:$R$1000,MATCH(241,Однолинейка!$BV$1:$BV$1000,0)),"")</f>
      </c>
      <c r="E243" s="133">
        <f>IFERROR(INDEX(Однолинейка!$S$1:$S$1000,MATCH(241,Однолинейка!$BV$1:$BV$1000,0)),"")</f>
      </c>
      <c r="F243" s="133">
        <f>IFERROR(INDEX(Однолинейка!$Q$1:$Q$1000,MATCH(241,Однолинейка!$BV$1:$BV$1000,0)),"")</f>
      </c>
    </row>
    <row r="244">
      <c r="A244" s="133">
        <f>IF(ISNUMBER(MATCH(242,Однолинейка!$BV$1:$BV$1000,0)),242,"")</f>
      </c>
      <c r="B244" s="133">
        <f>IFERROR(INDEX(Однолинейка!$A$1:$A$1000,MATCH(242,Однолинейка!$BV$1:$BV$1000,0)),"")</f>
      </c>
      <c r="C244" s="133">
        <f>IFERROR(INDEX(Однолинейка!$G$1:$G$1000,MATCH(242,Однолинейка!$BV$1:$BV$1000,0))&amp;IF(INDEX(Однолинейка!$P$1:$P$1000,MATCH(242,Однолинейка!$BV$1:$BV$1000,0))="","","/"&amp;INDEX(Однолинейка!$P$1:$P$1000,MATCH(242,Однолинейка!$BV$1:$BV$1000,0))),"")</f>
      </c>
      <c r="D244" s="133">
        <f>IFERROR(INDEX(Однолинейка!$R$1:$R$1000,MATCH(242,Однолинейка!$BV$1:$BV$1000,0)),"")</f>
      </c>
      <c r="E244" s="133">
        <f>IFERROR(INDEX(Однолинейка!$S$1:$S$1000,MATCH(242,Однолинейка!$BV$1:$BV$1000,0)),"")</f>
      </c>
      <c r="F244" s="133">
        <f>IFERROR(INDEX(Однолинейка!$Q$1:$Q$1000,MATCH(242,Однолинейка!$BV$1:$BV$1000,0)),"")</f>
      </c>
    </row>
    <row r="245">
      <c r="A245" s="133">
        <f>IF(ISNUMBER(MATCH(243,Однолинейка!$BV$1:$BV$1000,0)),243,"")</f>
      </c>
      <c r="B245" s="133">
        <f>IFERROR(INDEX(Однолинейка!$A$1:$A$1000,MATCH(243,Однолинейка!$BV$1:$BV$1000,0)),"")</f>
      </c>
      <c r="C245" s="133">
        <f>IFERROR(INDEX(Однолинейка!$G$1:$G$1000,MATCH(243,Однолинейка!$BV$1:$BV$1000,0))&amp;IF(INDEX(Однолинейка!$P$1:$P$1000,MATCH(243,Однолинейка!$BV$1:$BV$1000,0))="","","/"&amp;INDEX(Однолинейка!$P$1:$P$1000,MATCH(243,Однолинейка!$BV$1:$BV$1000,0))),"")</f>
      </c>
      <c r="D245" s="133">
        <f>IFERROR(INDEX(Однолинейка!$R$1:$R$1000,MATCH(243,Однолинейка!$BV$1:$BV$1000,0)),"")</f>
      </c>
      <c r="E245" s="133">
        <f>IFERROR(INDEX(Однолинейка!$S$1:$S$1000,MATCH(243,Однолинейка!$BV$1:$BV$1000,0)),"")</f>
      </c>
      <c r="F245" s="133">
        <f>IFERROR(INDEX(Однолинейка!$Q$1:$Q$1000,MATCH(243,Однолинейка!$BV$1:$BV$1000,0)),"")</f>
      </c>
    </row>
    <row r="246">
      <c r="A246" s="133">
        <f>IF(ISNUMBER(MATCH(244,Однолинейка!$BV$1:$BV$1000,0)),244,"")</f>
      </c>
      <c r="B246" s="133">
        <f>IFERROR(INDEX(Однолинейка!$A$1:$A$1000,MATCH(244,Однолинейка!$BV$1:$BV$1000,0)),"")</f>
      </c>
      <c r="C246" s="133">
        <f>IFERROR(INDEX(Однолинейка!$G$1:$G$1000,MATCH(244,Однолинейка!$BV$1:$BV$1000,0))&amp;IF(INDEX(Однолинейка!$P$1:$P$1000,MATCH(244,Однолинейка!$BV$1:$BV$1000,0))="","","/"&amp;INDEX(Однолинейка!$P$1:$P$1000,MATCH(244,Однолинейка!$BV$1:$BV$1000,0))),"")</f>
      </c>
      <c r="D246" s="133">
        <f>IFERROR(INDEX(Однолинейка!$R$1:$R$1000,MATCH(244,Однолинейка!$BV$1:$BV$1000,0)),"")</f>
      </c>
      <c r="E246" s="133">
        <f>IFERROR(INDEX(Однолинейка!$S$1:$S$1000,MATCH(244,Однолинейка!$BV$1:$BV$1000,0)),"")</f>
      </c>
      <c r="F246" s="133">
        <f>IFERROR(INDEX(Однолинейка!$Q$1:$Q$1000,MATCH(244,Однолинейка!$BV$1:$BV$1000,0)),"")</f>
      </c>
    </row>
    <row r="247">
      <c r="A247" s="133">
        <f>IF(ISNUMBER(MATCH(245,Однолинейка!$BV$1:$BV$1000,0)),245,"")</f>
      </c>
      <c r="B247" s="133">
        <f>IFERROR(INDEX(Однолинейка!$A$1:$A$1000,MATCH(245,Однолинейка!$BV$1:$BV$1000,0)),"")</f>
      </c>
      <c r="C247" s="133">
        <f>IFERROR(INDEX(Однолинейка!$G$1:$G$1000,MATCH(245,Однолинейка!$BV$1:$BV$1000,0))&amp;IF(INDEX(Однолинейка!$P$1:$P$1000,MATCH(245,Однолинейка!$BV$1:$BV$1000,0))="","","/"&amp;INDEX(Однолинейка!$P$1:$P$1000,MATCH(245,Однолинейка!$BV$1:$BV$1000,0))),"")</f>
      </c>
      <c r="D247" s="133">
        <f>IFERROR(INDEX(Однолинейка!$R$1:$R$1000,MATCH(245,Однолинейка!$BV$1:$BV$1000,0)),"")</f>
      </c>
      <c r="E247" s="133">
        <f>IFERROR(INDEX(Однолинейка!$S$1:$S$1000,MATCH(245,Однолинейка!$BV$1:$BV$1000,0)),"")</f>
      </c>
      <c r="F247" s="133">
        <f>IFERROR(INDEX(Однолинейка!$Q$1:$Q$1000,MATCH(245,Однолинейка!$BV$1:$BV$1000,0)),"")</f>
      </c>
    </row>
    <row r="248">
      <c r="A248" s="133">
        <f>IF(ISNUMBER(MATCH(246,Однолинейка!$BV$1:$BV$1000,0)),246,"")</f>
      </c>
      <c r="B248" s="133">
        <f>IFERROR(INDEX(Однолинейка!$A$1:$A$1000,MATCH(246,Однолинейка!$BV$1:$BV$1000,0)),"")</f>
      </c>
      <c r="C248" s="133">
        <f>IFERROR(INDEX(Однолинейка!$G$1:$G$1000,MATCH(246,Однолинейка!$BV$1:$BV$1000,0))&amp;IF(INDEX(Однолинейка!$P$1:$P$1000,MATCH(246,Однолинейка!$BV$1:$BV$1000,0))="","","/"&amp;INDEX(Однолинейка!$P$1:$P$1000,MATCH(246,Однолинейка!$BV$1:$BV$1000,0))),"")</f>
      </c>
      <c r="D248" s="133">
        <f>IFERROR(INDEX(Однолинейка!$R$1:$R$1000,MATCH(246,Однолинейка!$BV$1:$BV$1000,0)),"")</f>
      </c>
      <c r="E248" s="133">
        <f>IFERROR(INDEX(Однолинейка!$S$1:$S$1000,MATCH(246,Однолинейка!$BV$1:$BV$1000,0)),"")</f>
      </c>
      <c r="F248" s="133">
        <f>IFERROR(INDEX(Однолинейка!$Q$1:$Q$1000,MATCH(246,Однолинейка!$BV$1:$BV$1000,0)),"")</f>
      </c>
    </row>
    <row r="249">
      <c r="A249" s="133">
        <f>IF(ISNUMBER(MATCH(247,Однолинейка!$BV$1:$BV$1000,0)),247,"")</f>
      </c>
      <c r="B249" s="133">
        <f>IFERROR(INDEX(Однолинейка!$A$1:$A$1000,MATCH(247,Однолинейка!$BV$1:$BV$1000,0)),"")</f>
      </c>
      <c r="C249" s="133">
        <f>IFERROR(INDEX(Однолинейка!$G$1:$G$1000,MATCH(247,Однолинейка!$BV$1:$BV$1000,0))&amp;IF(INDEX(Однолинейка!$P$1:$P$1000,MATCH(247,Однолинейка!$BV$1:$BV$1000,0))="","","/"&amp;INDEX(Однолинейка!$P$1:$P$1000,MATCH(247,Однолинейка!$BV$1:$BV$1000,0))),"")</f>
      </c>
      <c r="D249" s="133">
        <f>IFERROR(INDEX(Однолинейка!$R$1:$R$1000,MATCH(247,Однолинейка!$BV$1:$BV$1000,0)),"")</f>
      </c>
      <c r="E249" s="133">
        <f>IFERROR(INDEX(Однолинейка!$S$1:$S$1000,MATCH(247,Однолинейка!$BV$1:$BV$1000,0)),"")</f>
      </c>
      <c r="F249" s="133">
        <f>IFERROR(INDEX(Однолинейка!$Q$1:$Q$1000,MATCH(247,Однолинейка!$BV$1:$BV$1000,0)),"")</f>
      </c>
    </row>
    <row r="250">
      <c r="A250" s="133">
        <f>IF(ISNUMBER(MATCH(248,Однолинейка!$BV$1:$BV$1000,0)),248,"")</f>
      </c>
      <c r="B250" s="133">
        <f>IFERROR(INDEX(Однолинейка!$A$1:$A$1000,MATCH(248,Однолинейка!$BV$1:$BV$1000,0)),"")</f>
      </c>
      <c r="C250" s="133">
        <f>IFERROR(INDEX(Однолинейка!$G$1:$G$1000,MATCH(248,Однолинейка!$BV$1:$BV$1000,0))&amp;IF(INDEX(Однолинейка!$P$1:$P$1000,MATCH(248,Однолинейка!$BV$1:$BV$1000,0))="","","/"&amp;INDEX(Однолинейка!$P$1:$P$1000,MATCH(248,Однолинейка!$BV$1:$BV$1000,0))),"")</f>
      </c>
      <c r="D250" s="133">
        <f>IFERROR(INDEX(Однолинейка!$R$1:$R$1000,MATCH(248,Однолинейка!$BV$1:$BV$1000,0)),"")</f>
      </c>
      <c r="E250" s="133">
        <f>IFERROR(INDEX(Однолинейка!$S$1:$S$1000,MATCH(248,Однолинейка!$BV$1:$BV$1000,0)),"")</f>
      </c>
      <c r="F250" s="133">
        <f>IFERROR(INDEX(Однолинейка!$Q$1:$Q$1000,MATCH(248,Однолинейка!$BV$1:$BV$1000,0)),"")</f>
      </c>
    </row>
    <row r="251">
      <c r="A251" s="133">
        <f>IF(ISNUMBER(MATCH(249,Однолинейка!$BV$1:$BV$1000,0)),249,"")</f>
      </c>
      <c r="B251" s="133">
        <f>IFERROR(INDEX(Однолинейка!$A$1:$A$1000,MATCH(249,Однолинейка!$BV$1:$BV$1000,0)),"")</f>
      </c>
      <c r="C251" s="133">
        <f>IFERROR(INDEX(Однолинейка!$G$1:$G$1000,MATCH(249,Однолинейка!$BV$1:$BV$1000,0))&amp;IF(INDEX(Однолинейка!$P$1:$P$1000,MATCH(249,Однолинейка!$BV$1:$BV$1000,0))="","","/"&amp;INDEX(Однолинейка!$P$1:$P$1000,MATCH(249,Однолинейка!$BV$1:$BV$1000,0))),"")</f>
      </c>
      <c r="D251" s="133">
        <f>IFERROR(INDEX(Однолинейка!$R$1:$R$1000,MATCH(249,Однолинейка!$BV$1:$BV$1000,0)),"")</f>
      </c>
      <c r="E251" s="133">
        <f>IFERROR(INDEX(Однолинейка!$S$1:$S$1000,MATCH(249,Однолинейка!$BV$1:$BV$1000,0)),"")</f>
      </c>
      <c r="F251" s="133">
        <f>IFERROR(INDEX(Однолинейка!$Q$1:$Q$1000,MATCH(249,Однолинейка!$BV$1:$BV$1000,0)),"")</f>
      </c>
    </row>
    <row r="252">
      <c r="A252" s="133">
        <f>IF(ISNUMBER(MATCH(250,Однолинейка!$BV$1:$BV$1000,0)),250,"")</f>
      </c>
      <c r="B252" s="133">
        <f>IFERROR(INDEX(Однолинейка!$A$1:$A$1000,MATCH(250,Однолинейка!$BV$1:$BV$1000,0)),"")</f>
      </c>
      <c r="C252" s="133">
        <f>IFERROR(INDEX(Однолинейка!$G$1:$G$1000,MATCH(250,Однолинейка!$BV$1:$BV$1000,0))&amp;IF(INDEX(Однолинейка!$P$1:$P$1000,MATCH(250,Однолинейка!$BV$1:$BV$1000,0))="","","/"&amp;INDEX(Однолинейка!$P$1:$P$1000,MATCH(250,Однолинейка!$BV$1:$BV$1000,0))),"")</f>
      </c>
      <c r="D252" s="133">
        <f>IFERROR(INDEX(Однолинейка!$R$1:$R$1000,MATCH(250,Однолинейка!$BV$1:$BV$1000,0)),"")</f>
      </c>
      <c r="E252" s="133">
        <f>IFERROR(INDEX(Однолинейка!$S$1:$S$1000,MATCH(250,Однолинейка!$BV$1:$BV$1000,0)),"")</f>
      </c>
      <c r="F252" s="133">
        <f>IFERROR(INDEX(Однолинейка!$Q$1:$Q$1000,MATCH(250,Однолинейка!$BV$1:$BV$1000,0)),"")</f>
      </c>
    </row>
    <row r="253">
      <c r="A253" s="133">
        <f>IF(ISNUMBER(MATCH(251,Однолинейка!$BV$1:$BV$1000,0)),251,"")</f>
      </c>
      <c r="B253" s="133">
        <f>IFERROR(INDEX(Однолинейка!$A$1:$A$1000,MATCH(251,Однолинейка!$BV$1:$BV$1000,0)),"")</f>
      </c>
      <c r="C253" s="133">
        <f>IFERROR(INDEX(Однолинейка!$G$1:$G$1000,MATCH(251,Однолинейка!$BV$1:$BV$1000,0))&amp;IF(INDEX(Однолинейка!$P$1:$P$1000,MATCH(251,Однолинейка!$BV$1:$BV$1000,0))="","","/"&amp;INDEX(Однолинейка!$P$1:$P$1000,MATCH(251,Однолинейка!$BV$1:$BV$1000,0))),"")</f>
      </c>
      <c r="D253" s="133">
        <f>IFERROR(INDEX(Однолинейка!$R$1:$R$1000,MATCH(251,Однолинейка!$BV$1:$BV$1000,0)),"")</f>
      </c>
      <c r="E253" s="133">
        <f>IFERROR(INDEX(Однолинейка!$S$1:$S$1000,MATCH(251,Однолинейка!$BV$1:$BV$1000,0)),"")</f>
      </c>
      <c r="F253" s="133">
        <f>IFERROR(INDEX(Однолинейка!$Q$1:$Q$1000,MATCH(251,Однолинейка!$BV$1:$BV$1000,0)),"")</f>
      </c>
    </row>
    <row r="254">
      <c r="A254" s="133">
        <f>IF(ISNUMBER(MATCH(252,Однолинейка!$BV$1:$BV$1000,0)),252,"")</f>
      </c>
      <c r="B254" s="133">
        <f>IFERROR(INDEX(Однолинейка!$A$1:$A$1000,MATCH(252,Однолинейка!$BV$1:$BV$1000,0)),"")</f>
      </c>
      <c r="C254" s="133">
        <f>IFERROR(INDEX(Однолинейка!$G$1:$G$1000,MATCH(252,Однолинейка!$BV$1:$BV$1000,0))&amp;IF(INDEX(Однолинейка!$P$1:$P$1000,MATCH(252,Однолинейка!$BV$1:$BV$1000,0))="","","/"&amp;INDEX(Однолинейка!$P$1:$P$1000,MATCH(252,Однолинейка!$BV$1:$BV$1000,0))),"")</f>
      </c>
      <c r="D254" s="133">
        <f>IFERROR(INDEX(Однолинейка!$R$1:$R$1000,MATCH(252,Однолинейка!$BV$1:$BV$1000,0)),"")</f>
      </c>
      <c r="E254" s="133">
        <f>IFERROR(INDEX(Однолинейка!$S$1:$S$1000,MATCH(252,Однолинейка!$BV$1:$BV$1000,0)),"")</f>
      </c>
      <c r="F254" s="133">
        <f>IFERROR(INDEX(Однолинейка!$Q$1:$Q$1000,MATCH(252,Однолинейка!$BV$1:$BV$1000,0)),"")</f>
      </c>
    </row>
    <row r="255">
      <c r="A255" s="133">
        <f>IF(ISNUMBER(MATCH(253,Однолинейка!$BV$1:$BV$1000,0)),253,"")</f>
      </c>
      <c r="B255" s="133">
        <f>IFERROR(INDEX(Однолинейка!$A$1:$A$1000,MATCH(253,Однолинейка!$BV$1:$BV$1000,0)),"")</f>
      </c>
      <c r="C255" s="133">
        <f>IFERROR(INDEX(Однолинейка!$G$1:$G$1000,MATCH(253,Однолинейка!$BV$1:$BV$1000,0))&amp;IF(INDEX(Однолинейка!$P$1:$P$1000,MATCH(253,Однолинейка!$BV$1:$BV$1000,0))="","","/"&amp;INDEX(Однолинейка!$P$1:$P$1000,MATCH(253,Однолинейка!$BV$1:$BV$1000,0))),"")</f>
      </c>
      <c r="D255" s="133">
        <f>IFERROR(INDEX(Однолинейка!$R$1:$R$1000,MATCH(253,Однолинейка!$BV$1:$BV$1000,0)),"")</f>
      </c>
      <c r="E255" s="133">
        <f>IFERROR(INDEX(Однолинейка!$S$1:$S$1000,MATCH(253,Однолинейка!$BV$1:$BV$1000,0)),"")</f>
      </c>
      <c r="F255" s="133">
        <f>IFERROR(INDEX(Однолинейка!$Q$1:$Q$1000,MATCH(253,Однолинейка!$BV$1:$BV$1000,0)),"")</f>
      </c>
    </row>
    <row r="256">
      <c r="A256" s="133">
        <f>IF(ISNUMBER(MATCH(254,Однолинейка!$BV$1:$BV$1000,0)),254,"")</f>
      </c>
      <c r="B256" s="133">
        <f>IFERROR(INDEX(Однолинейка!$A$1:$A$1000,MATCH(254,Однолинейка!$BV$1:$BV$1000,0)),"")</f>
      </c>
      <c r="C256" s="133">
        <f>IFERROR(INDEX(Однолинейка!$G$1:$G$1000,MATCH(254,Однолинейка!$BV$1:$BV$1000,0))&amp;IF(INDEX(Однолинейка!$P$1:$P$1000,MATCH(254,Однолинейка!$BV$1:$BV$1000,0))="","","/"&amp;INDEX(Однолинейка!$P$1:$P$1000,MATCH(254,Однолинейка!$BV$1:$BV$1000,0))),"")</f>
      </c>
      <c r="D256" s="133">
        <f>IFERROR(INDEX(Однолинейка!$R$1:$R$1000,MATCH(254,Однолинейка!$BV$1:$BV$1000,0)),"")</f>
      </c>
      <c r="E256" s="133">
        <f>IFERROR(INDEX(Однолинейка!$S$1:$S$1000,MATCH(254,Однолинейка!$BV$1:$BV$1000,0)),"")</f>
      </c>
      <c r="F256" s="133">
        <f>IFERROR(INDEX(Однолинейка!$Q$1:$Q$1000,MATCH(254,Однолинейка!$BV$1:$BV$1000,0)),"")</f>
      </c>
    </row>
    <row r="257">
      <c r="A257" s="133">
        <f>IF(ISNUMBER(MATCH(255,Однолинейка!$BV$1:$BV$1000,0)),255,"")</f>
      </c>
      <c r="B257" s="133">
        <f>IFERROR(INDEX(Однолинейка!$A$1:$A$1000,MATCH(255,Однолинейка!$BV$1:$BV$1000,0)),"")</f>
      </c>
      <c r="C257" s="133">
        <f>IFERROR(INDEX(Однолинейка!$G$1:$G$1000,MATCH(255,Однолинейка!$BV$1:$BV$1000,0))&amp;IF(INDEX(Однолинейка!$P$1:$P$1000,MATCH(255,Однолинейка!$BV$1:$BV$1000,0))="","","/"&amp;INDEX(Однолинейка!$P$1:$P$1000,MATCH(255,Однолинейка!$BV$1:$BV$1000,0))),"")</f>
      </c>
      <c r="D257" s="133">
        <f>IFERROR(INDEX(Однолинейка!$R$1:$R$1000,MATCH(255,Однолинейка!$BV$1:$BV$1000,0)),"")</f>
      </c>
      <c r="E257" s="133">
        <f>IFERROR(INDEX(Однолинейка!$S$1:$S$1000,MATCH(255,Однолинейка!$BV$1:$BV$1000,0)),"")</f>
      </c>
      <c r="F257" s="133">
        <f>IFERROR(INDEX(Однолинейка!$Q$1:$Q$1000,MATCH(255,Однолинейка!$BV$1:$BV$1000,0)),"")</f>
      </c>
    </row>
    <row r="258">
      <c r="A258" s="133">
        <f>IF(ISNUMBER(MATCH(256,Однолинейка!$BV$1:$BV$1000,0)),256,"")</f>
      </c>
      <c r="B258" s="133">
        <f>IFERROR(INDEX(Однолинейка!$A$1:$A$1000,MATCH(256,Однолинейка!$BV$1:$BV$1000,0)),"")</f>
      </c>
      <c r="C258" s="133">
        <f>IFERROR(INDEX(Однолинейка!$G$1:$G$1000,MATCH(256,Однолинейка!$BV$1:$BV$1000,0))&amp;IF(INDEX(Однолинейка!$P$1:$P$1000,MATCH(256,Однолинейка!$BV$1:$BV$1000,0))="","","/"&amp;INDEX(Однолинейка!$P$1:$P$1000,MATCH(256,Однолинейка!$BV$1:$BV$1000,0))),"")</f>
      </c>
      <c r="D258" s="133">
        <f>IFERROR(INDEX(Однолинейка!$R$1:$R$1000,MATCH(256,Однолинейка!$BV$1:$BV$1000,0)),"")</f>
      </c>
      <c r="E258" s="133">
        <f>IFERROR(INDEX(Однолинейка!$S$1:$S$1000,MATCH(256,Однолинейка!$BV$1:$BV$1000,0)),"")</f>
      </c>
      <c r="F258" s="133">
        <f>IFERROR(INDEX(Однолинейка!$Q$1:$Q$1000,MATCH(256,Однолинейка!$BV$1:$BV$1000,0)),"")</f>
      </c>
    </row>
    <row r="259">
      <c r="A259" s="133">
        <f>IF(ISNUMBER(MATCH(257,Однолинейка!$BV$1:$BV$1000,0)),257,"")</f>
      </c>
      <c r="B259" s="133">
        <f>IFERROR(INDEX(Однолинейка!$A$1:$A$1000,MATCH(257,Однолинейка!$BV$1:$BV$1000,0)),"")</f>
      </c>
      <c r="C259" s="133">
        <f>IFERROR(INDEX(Однолинейка!$G$1:$G$1000,MATCH(257,Однолинейка!$BV$1:$BV$1000,0))&amp;IF(INDEX(Однолинейка!$P$1:$P$1000,MATCH(257,Однолинейка!$BV$1:$BV$1000,0))="","","/"&amp;INDEX(Однолинейка!$P$1:$P$1000,MATCH(257,Однолинейка!$BV$1:$BV$1000,0))),"")</f>
      </c>
      <c r="D259" s="133">
        <f>IFERROR(INDEX(Однолинейка!$R$1:$R$1000,MATCH(257,Однолинейка!$BV$1:$BV$1000,0)),"")</f>
      </c>
      <c r="E259" s="133">
        <f>IFERROR(INDEX(Однолинейка!$S$1:$S$1000,MATCH(257,Однолинейка!$BV$1:$BV$1000,0)),"")</f>
      </c>
      <c r="F259" s="133">
        <f>IFERROR(INDEX(Однолинейка!$Q$1:$Q$1000,MATCH(257,Однолинейка!$BV$1:$BV$1000,0)),"")</f>
      </c>
    </row>
    <row r="260">
      <c r="A260" s="133">
        <f>IF(ISNUMBER(MATCH(258,Однолинейка!$BV$1:$BV$1000,0)),258,"")</f>
      </c>
      <c r="B260" s="133">
        <f>IFERROR(INDEX(Однолинейка!$A$1:$A$1000,MATCH(258,Однолинейка!$BV$1:$BV$1000,0)),"")</f>
      </c>
      <c r="C260" s="133">
        <f>IFERROR(INDEX(Однолинейка!$G$1:$G$1000,MATCH(258,Однолинейка!$BV$1:$BV$1000,0))&amp;IF(INDEX(Однолинейка!$P$1:$P$1000,MATCH(258,Однолинейка!$BV$1:$BV$1000,0))="","","/"&amp;INDEX(Однолинейка!$P$1:$P$1000,MATCH(258,Однолинейка!$BV$1:$BV$1000,0))),"")</f>
      </c>
      <c r="D260" s="133">
        <f>IFERROR(INDEX(Однолинейка!$R$1:$R$1000,MATCH(258,Однолинейка!$BV$1:$BV$1000,0)),"")</f>
      </c>
      <c r="E260" s="133">
        <f>IFERROR(INDEX(Однолинейка!$S$1:$S$1000,MATCH(258,Однолинейка!$BV$1:$BV$1000,0)),"")</f>
      </c>
      <c r="F260" s="133">
        <f>IFERROR(INDEX(Однолинейка!$Q$1:$Q$1000,MATCH(258,Однолинейка!$BV$1:$BV$1000,0)),"")</f>
      </c>
    </row>
    <row r="261">
      <c r="A261" s="133">
        <f>IF(ISNUMBER(MATCH(259,Однолинейка!$BV$1:$BV$1000,0)),259,"")</f>
      </c>
      <c r="B261" s="133">
        <f>IFERROR(INDEX(Однолинейка!$A$1:$A$1000,MATCH(259,Однолинейка!$BV$1:$BV$1000,0)),"")</f>
      </c>
      <c r="C261" s="133">
        <f>IFERROR(INDEX(Однолинейка!$G$1:$G$1000,MATCH(259,Однолинейка!$BV$1:$BV$1000,0))&amp;IF(INDEX(Однолинейка!$P$1:$P$1000,MATCH(259,Однолинейка!$BV$1:$BV$1000,0))="","","/"&amp;INDEX(Однолинейка!$P$1:$P$1000,MATCH(259,Однолинейка!$BV$1:$BV$1000,0))),"")</f>
      </c>
      <c r="D261" s="133">
        <f>IFERROR(INDEX(Однолинейка!$R$1:$R$1000,MATCH(259,Однолинейка!$BV$1:$BV$1000,0)),"")</f>
      </c>
      <c r="E261" s="133">
        <f>IFERROR(INDEX(Однолинейка!$S$1:$S$1000,MATCH(259,Однолинейка!$BV$1:$BV$1000,0)),"")</f>
      </c>
      <c r="F261" s="133">
        <f>IFERROR(INDEX(Однолинейка!$Q$1:$Q$1000,MATCH(259,Однолинейка!$BV$1:$BV$1000,0)),"")</f>
      </c>
    </row>
    <row r="262">
      <c r="A262" s="133">
        <f>IF(ISNUMBER(MATCH(260,Однолинейка!$BV$1:$BV$1000,0)),260,"")</f>
      </c>
      <c r="B262" s="133">
        <f>IFERROR(INDEX(Однолинейка!$A$1:$A$1000,MATCH(260,Однолинейка!$BV$1:$BV$1000,0)),"")</f>
      </c>
      <c r="C262" s="133">
        <f>IFERROR(INDEX(Однолинейка!$G$1:$G$1000,MATCH(260,Однолинейка!$BV$1:$BV$1000,0))&amp;IF(INDEX(Однолинейка!$P$1:$P$1000,MATCH(260,Однолинейка!$BV$1:$BV$1000,0))="","","/"&amp;INDEX(Однолинейка!$P$1:$P$1000,MATCH(260,Однолинейка!$BV$1:$BV$1000,0))),"")</f>
      </c>
      <c r="D262" s="133">
        <f>IFERROR(INDEX(Однолинейка!$R$1:$R$1000,MATCH(260,Однолинейка!$BV$1:$BV$1000,0)),"")</f>
      </c>
      <c r="E262" s="133">
        <f>IFERROR(INDEX(Однолинейка!$S$1:$S$1000,MATCH(260,Однолинейка!$BV$1:$BV$1000,0)),"")</f>
      </c>
      <c r="F262" s="133">
        <f>IFERROR(INDEX(Однолинейка!$Q$1:$Q$1000,MATCH(260,Однолинейка!$BV$1:$BV$1000,0)),"")</f>
      </c>
    </row>
    <row r="263">
      <c r="A263" s="133">
        <f>IF(ISNUMBER(MATCH(261,Однолинейка!$BV$1:$BV$1000,0)),261,"")</f>
      </c>
      <c r="B263" s="133">
        <f>IFERROR(INDEX(Однолинейка!$A$1:$A$1000,MATCH(261,Однолинейка!$BV$1:$BV$1000,0)),"")</f>
      </c>
      <c r="C263" s="133">
        <f>IFERROR(INDEX(Однолинейка!$G$1:$G$1000,MATCH(261,Однолинейка!$BV$1:$BV$1000,0))&amp;IF(INDEX(Однолинейка!$P$1:$P$1000,MATCH(261,Однолинейка!$BV$1:$BV$1000,0))="","","/"&amp;INDEX(Однолинейка!$P$1:$P$1000,MATCH(261,Однолинейка!$BV$1:$BV$1000,0))),"")</f>
      </c>
      <c r="D263" s="133">
        <f>IFERROR(INDEX(Однолинейка!$R$1:$R$1000,MATCH(261,Однолинейка!$BV$1:$BV$1000,0)),"")</f>
      </c>
      <c r="E263" s="133">
        <f>IFERROR(INDEX(Однолинейка!$S$1:$S$1000,MATCH(261,Однолинейка!$BV$1:$BV$1000,0)),"")</f>
      </c>
      <c r="F263" s="133">
        <f>IFERROR(INDEX(Однолинейка!$Q$1:$Q$1000,MATCH(261,Однолинейка!$BV$1:$BV$1000,0)),"")</f>
      </c>
    </row>
    <row r="264">
      <c r="A264" s="133">
        <f>IF(ISNUMBER(MATCH(262,Однолинейка!$BV$1:$BV$1000,0)),262,"")</f>
      </c>
      <c r="B264" s="133">
        <f>IFERROR(INDEX(Однолинейка!$A$1:$A$1000,MATCH(262,Однолинейка!$BV$1:$BV$1000,0)),"")</f>
      </c>
      <c r="C264" s="133">
        <f>IFERROR(INDEX(Однолинейка!$G$1:$G$1000,MATCH(262,Однолинейка!$BV$1:$BV$1000,0))&amp;IF(INDEX(Однолинейка!$P$1:$P$1000,MATCH(262,Однолинейка!$BV$1:$BV$1000,0))="","","/"&amp;INDEX(Однолинейка!$P$1:$P$1000,MATCH(262,Однолинейка!$BV$1:$BV$1000,0))),"")</f>
      </c>
      <c r="D264" s="133">
        <f>IFERROR(INDEX(Однолинейка!$R$1:$R$1000,MATCH(262,Однолинейка!$BV$1:$BV$1000,0)),"")</f>
      </c>
      <c r="E264" s="133">
        <f>IFERROR(INDEX(Однолинейка!$S$1:$S$1000,MATCH(262,Однолинейка!$BV$1:$BV$1000,0)),"")</f>
      </c>
      <c r="F264" s="133">
        <f>IFERROR(INDEX(Однолинейка!$Q$1:$Q$1000,MATCH(262,Однолинейка!$BV$1:$BV$1000,0)),"")</f>
      </c>
    </row>
    <row r="265">
      <c r="A265" s="133">
        <f>IF(ISNUMBER(MATCH(263,Однолинейка!$BV$1:$BV$1000,0)),263,"")</f>
      </c>
      <c r="B265" s="133">
        <f>IFERROR(INDEX(Однолинейка!$A$1:$A$1000,MATCH(263,Однолинейка!$BV$1:$BV$1000,0)),"")</f>
      </c>
      <c r="C265" s="133">
        <f>IFERROR(INDEX(Однолинейка!$G$1:$G$1000,MATCH(263,Однолинейка!$BV$1:$BV$1000,0))&amp;IF(INDEX(Однолинейка!$P$1:$P$1000,MATCH(263,Однолинейка!$BV$1:$BV$1000,0))="","","/"&amp;INDEX(Однолинейка!$P$1:$P$1000,MATCH(263,Однолинейка!$BV$1:$BV$1000,0))),"")</f>
      </c>
      <c r="D265" s="133">
        <f>IFERROR(INDEX(Однолинейка!$R$1:$R$1000,MATCH(263,Однолинейка!$BV$1:$BV$1000,0)),"")</f>
      </c>
      <c r="E265" s="133">
        <f>IFERROR(INDEX(Однолинейка!$S$1:$S$1000,MATCH(263,Однолинейка!$BV$1:$BV$1000,0)),"")</f>
      </c>
      <c r="F265" s="133">
        <f>IFERROR(INDEX(Однолинейка!$Q$1:$Q$1000,MATCH(263,Однолинейка!$BV$1:$BV$1000,0)),"")</f>
      </c>
    </row>
    <row r="266">
      <c r="A266" s="133">
        <f>IF(ISNUMBER(MATCH(264,Однолинейка!$BV$1:$BV$1000,0)),264,"")</f>
      </c>
      <c r="B266" s="133">
        <f>IFERROR(INDEX(Однолинейка!$A$1:$A$1000,MATCH(264,Однолинейка!$BV$1:$BV$1000,0)),"")</f>
      </c>
      <c r="C266" s="133">
        <f>IFERROR(INDEX(Однолинейка!$G$1:$G$1000,MATCH(264,Однолинейка!$BV$1:$BV$1000,0))&amp;IF(INDEX(Однолинейка!$P$1:$P$1000,MATCH(264,Однолинейка!$BV$1:$BV$1000,0))="","","/"&amp;INDEX(Однолинейка!$P$1:$P$1000,MATCH(264,Однолинейка!$BV$1:$BV$1000,0))),"")</f>
      </c>
      <c r="D266" s="133">
        <f>IFERROR(INDEX(Однолинейка!$R$1:$R$1000,MATCH(264,Однолинейка!$BV$1:$BV$1000,0)),"")</f>
      </c>
      <c r="E266" s="133">
        <f>IFERROR(INDEX(Однолинейка!$S$1:$S$1000,MATCH(264,Однолинейка!$BV$1:$BV$1000,0)),"")</f>
      </c>
      <c r="F266" s="133">
        <f>IFERROR(INDEX(Однолинейка!$Q$1:$Q$1000,MATCH(264,Однолинейка!$BV$1:$BV$1000,0)),"")</f>
      </c>
    </row>
    <row r="267">
      <c r="A267" s="133">
        <f>IF(ISNUMBER(MATCH(265,Однолинейка!$BV$1:$BV$1000,0)),265,"")</f>
      </c>
      <c r="B267" s="133">
        <f>IFERROR(INDEX(Однолинейка!$A$1:$A$1000,MATCH(265,Однолинейка!$BV$1:$BV$1000,0)),"")</f>
      </c>
      <c r="C267" s="133">
        <f>IFERROR(INDEX(Однолинейка!$G$1:$G$1000,MATCH(265,Однолинейка!$BV$1:$BV$1000,0))&amp;IF(INDEX(Однолинейка!$P$1:$P$1000,MATCH(265,Однолинейка!$BV$1:$BV$1000,0))="","","/"&amp;INDEX(Однолинейка!$P$1:$P$1000,MATCH(265,Однолинейка!$BV$1:$BV$1000,0))),"")</f>
      </c>
      <c r="D267" s="133">
        <f>IFERROR(INDEX(Однолинейка!$R$1:$R$1000,MATCH(265,Однолинейка!$BV$1:$BV$1000,0)),"")</f>
      </c>
      <c r="E267" s="133">
        <f>IFERROR(INDEX(Однолинейка!$S$1:$S$1000,MATCH(265,Однолинейка!$BV$1:$BV$1000,0)),"")</f>
      </c>
      <c r="F267" s="133">
        <f>IFERROR(INDEX(Однолинейка!$Q$1:$Q$1000,MATCH(265,Однолинейка!$BV$1:$BV$1000,0)),"")</f>
      </c>
    </row>
    <row r="268">
      <c r="A268" s="133">
        <f>IF(ISNUMBER(MATCH(266,Однолинейка!$BV$1:$BV$1000,0)),266,"")</f>
      </c>
      <c r="B268" s="133">
        <f>IFERROR(INDEX(Однолинейка!$A$1:$A$1000,MATCH(266,Однолинейка!$BV$1:$BV$1000,0)),"")</f>
      </c>
      <c r="C268" s="133">
        <f>IFERROR(INDEX(Однолинейка!$G$1:$G$1000,MATCH(266,Однолинейка!$BV$1:$BV$1000,0))&amp;IF(INDEX(Однолинейка!$P$1:$P$1000,MATCH(266,Однолинейка!$BV$1:$BV$1000,0))="","","/"&amp;INDEX(Однолинейка!$P$1:$P$1000,MATCH(266,Однолинейка!$BV$1:$BV$1000,0))),"")</f>
      </c>
      <c r="D268" s="133">
        <f>IFERROR(INDEX(Однолинейка!$R$1:$R$1000,MATCH(266,Однолинейка!$BV$1:$BV$1000,0)),"")</f>
      </c>
      <c r="E268" s="133">
        <f>IFERROR(INDEX(Однолинейка!$S$1:$S$1000,MATCH(266,Однолинейка!$BV$1:$BV$1000,0)),"")</f>
      </c>
      <c r="F268" s="133">
        <f>IFERROR(INDEX(Однолинейка!$Q$1:$Q$1000,MATCH(266,Однолинейка!$BV$1:$BV$1000,0)),"")</f>
      </c>
    </row>
    <row r="269">
      <c r="A269" s="133">
        <f>IF(ISNUMBER(MATCH(267,Однолинейка!$BV$1:$BV$1000,0)),267,"")</f>
      </c>
      <c r="B269" s="133">
        <f>IFERROR(INDEX(Однолинейка!$A$1:$A$1000,MATCH(267,Однолинейка!$BV$1:$BV$1000,0)),"")</f>
      </c>
      <c r="C269" s="133">
        <f>IFERROR(INDEX(Однолинейка!$G$1:$G$1000,MATCH(267,Однолинейка!$BV$1:$BV$1000,0))&amp;IF(INDEX(Однолинейка!$P$1:$P$1000,MATCH(267,Однолинейка!$BV$1:$BV$1000,0))="","","/"&amp;INDEX(Однолинейка!$P$1:$P$1000,MATCH(267,Однолинейка!$BV$1:$BV$1000,0))),"")</f>
      </c>
      <c r="D269" s="133">
        <f>IFERROR(INDEX(Однолинейка!$R$1:$R$1000,MATCH(267,Однолинейка!$BV$1:$BV$1000,0)),"")</f>
      </c>
      <c r="E269" s="133">
        <f>IFERROR(INDEX(Однолинейка!$S$1:$S$1000,MATCH(267,Однолинейка!$BV$1:$BV$1000,0)),"")</f>
      </c>
      <c r="F269" s="133">
        <f>IFERROR(INDEX(Однолинейка!$Q$1:$Q$1000,MATCH(267,Однолинейка!$BV$1:$BV$1000,0)),"")</f>
      </c>
    </row>
    <row r="270">
      <c r="A270" s="133">
        <f>IF(ISNUMBER(MATCH(268,Однолинейка!$BV$1:$BV$1000,0)),268,"")</f>
      </c>
      <c r="B270" s="133">
        <f>IFERROR(INDEX(Однолинейка!$A$1:$A$1000,MATCH(268,Однолинейка!$BV$1:$BV$1000,0)),"")</f>
      </c>
      <c r="C270" s="133">
        <f>IFERROR(INDEX(Однолинейка!$G$1:$G$1000,MATCH(268,Однолинейка!$BV$1:$BV$1000,0))&amp;IF(INDEX(Однолинейка!$P$1:$P$1000,MATCH(268,Однолинейка!$BV$1:$BV$1000,0))="","","/"&amp;INDEX(Однолинейка!$P$1:$P$1000,MATCH(268,Однолинейка!$BV$1:$BV$1000,0))),"")</f>
      </c>
      <c r="D270" s="133">
        <f>IFERROR(INDEX(Однолинейка!$R$1:$R$1000,MATCH(268,Однолинейка!$BV$1:$BV$1000,0)),"")</f>
      </c>
      <c r="E270" s="133">
        <f>IFERROR(INDEX(Однолинейка!$S$1:$S$1000,MATCH(268,Однолинейка!$BV$1:$BV$1000,0)),"")</f>
      </c>
      <c r="F270" s="133">
        <f>IFERROR(INDEX(Однолинейка!$Q$1:$Q$1000,MATCH(268,Однолинейка!$BV$1:$BV$1000,0)),"")</f>
      </c>
    </row>
    <row r="271">
      <c r="A271" s="133">
        <f>IF(ISNUMBER(MATCH(269,Однолинейка!$BV$1:$BV$1000,0)),269,"")</f>
      </c>
      <c r="B271" s="133">
        <f>IFERROR(INDEX(Однолинейка!$A$1:$A$1000,MATCH(269,Однолинейка!$BV$1:$BV$1000,0)),"")</f>
      </c>
      <c r="C271" s="133">
        <f>IFERROR(INDEX(Однолинейка!$G$1:$G$1000,MATCH(269,Однолинейка!$BV$1:$BV$1000,0))&amp;IF(INDEX(Однолинейка!$P$1:$P$1000,MATCH(269,Однолинейка!$BV$1:$BV$1000,0))="","","/"&amp;INDEX(Однолинейка!$P$1:$P$1000,MATCH(269,Однолинейка!$BV$1:$BV$1000,0))),"")</f>
      </c>
      <c r="D271" s="133">
        <f>IFERROR(INDEX(Однолинейка!$R$1:$R$1000,MATCH(269,Однолинейка!$BV$1:$BV$1000,0)),"")</f>
      </c>
      <c r="E271" s="133">
        <f>IFERROR(INDEX(Однолинейка!$S$1:$S$1000,MATCH(269,Однолинейка!$BV$1:$BV$1000,0)),"")</f>
      </c>
      <c r="F271" s="133">
        <f>IFERROR(INDEX(Однолинейка!$Q$1:$Q$1000,MATCH(269,Однолинейка!$BV$1:$BV$1000,0)),"")</f>
      </c>
    </row>
    <row r="272">
      <c r="A272" s="133">
        <f>IF(ISNUMBER(MATCH(270,Однолинейка!$BV$1:$BV$1000,0)),270,"")</f>
      </c>
      <c r="B272" s="133">
        <f>IFERROR(INDEX(Однолинейка!$A$1:$A$1000,MATCH(270,Однолинейка!$BV$1:$BV$1000,0)),"")</f>
      </c>
      <c r="C272" s="133">
        <f>IFERROR(INDEX(Однолинейка!$G$1:$G$1000,MATCH(270,Однолинейка!$BV$1:$BV$1000,0))&amp;IF(INDEX(Однолинейка!$P$1:$P$1000,MATCH(270,Однолинейка!$BV$1:$BV$1000,0))="","","/"&amp;INDEX(Однолинейка!$P$1:$P$1000,MATCH(270,Однолинейка!$BV$1:$BV$1000,0))),"")</f>
      </c>
      <c r="D272" s="133">
        <f>IFERROR(INDEX(Однолинейка!$R$1:$R$1000,MATCH(270,Однолинейка!$BV$1:$BV$1000,0)),"")</f>
      </c>
      <c r="E272" s="133">
        <f>IFERROR(INDEX(Однолинейка!$S$1:$S$1000,MATCH(270,Однолинейка!$BV$1:$BV$1000,0)),"")</f>
      </c>
      <c r="F272" s="133">
        <f>IFERROR(INDEX(Однолинейка!$Q$1:$Q$1000,MATCH(270,Однолинейка!$BV$1:$BV$1000,0)),"")</f>
      </c>
    </row>
    <row r="273">
      <c r="A273" s="133">
        <f>IF(ISNUMBER(MATCH(271,Однолинейка!$BV$1:$BV$1000,0)),271,"")</f>
      </c>
      <c r="B273" s="133">
        <f>IFERROR(INDEX(Однолинейка!$A$1:$A$1000,MATCH(271,Однолинейка!$BV$1:$BV$1000,0)),"")</f>
      </c>
      <c r="C273" s="133">
        <f>IFERROR(INDEX(Однолинейка!$G$1:$G$1000,MATCH(271,Однолинейка!$BV$1:$BV$1000,0))&amp;IF(INDEX(Однолинейка!$P$1:$P$1000,MATCH(271,Однолинейка!$BV$1:$BV$1000,0))="","","/"&amp;INDEX(Однолинейка!$P$1:$P$1000,MATCH(271,Однолинейка!$BV$1:$BV$1000,0))),"")</f>
      </c>
      <c r="D273" s="133">
        <f>IFERROR(INDEX(Однолинейка!$R$1:$R$1000,MATCH(271,Однолинейка!$BV$1:$BV$1000,0)),"")</f>
      </c>
      <c r="E273" s="133">
        <f>IFERROR(INDEX(Однолинейка!$S$1:$S$1000,MATCH(271,Однолинейка!$BV$1:$BV$1000,0)),"")</f>
      </c>
      <c r="F273" s="133">
        <f>IFERROR(INDEX(Однолинейка!$Q$1:$Q$1000,MATCH(271,Однолинейка!$BV$1:$BV$1000,0)),"")</f>
      </c>
    </row>
    <row r="274">
      <c r="A274" s="133">
        <f>IF(ISNUMBER(MATCH(272,Однолинейка!$BV$1:$BV$1000,0)),272,"")</f>
      </c>
      <c r="B274" s="133">
        <f>IFERROR(INDEX(Однолинейка!$A$1:$A$1000,MATCH(272,Однолинейка!$BV$1:$BV$1000,0)),"")</f>
      </c>
      <c r="C274" s="133">
        <f>IFERROR(INDEX(Однолинейка!$G$1:$G$1000,MATCH(272,Однолинейка!$BV$1:$BV$1000,0))&amp;IF(INDEX(Однолинейка!$P$1:$P$1000,MATCH(272,Однолинейка!$BV$1:$BV$1000,0))="","","/"&amp;INDEX(Однолинейка!$P$1:$P$1000,MATCH(272,Однолинейка!$BV$1:$BV$1000,0))),"")</f>
      </c>
      <c r="D274" s="133">
        <f>IFERROR(INDEX(Однолинейка!$R$1:$R$1000,MATCH(272,Однолинейка!$BV$1:$BV$1000,0)),"")</f>
      </c>
      <c r="E274" s="133">
        <f>IFERROR(INDEX(Однолинейка!$S$1:$S$1000,MATCH(272,Однолинейка!$BV$1:$BV$1000,0)),"")</f>
      </c>
      <c r="F274" s="133">
        <f>IFERROR(INDEX(Однолинейка!$Q$1:$Q$1000,MATCH(272,Однолинейка!$BV$1:$BV$1000,0)),"")</f>
      </c>
    </row>
    <row r="275">
      <c r="A275" s="133">
        <f>IF(ISNUMBER(MATCH(273,Однолинейка!$BV$1:$BV$1000,0)),273,"")</f>
      </c>
      <c r="B275" s="133">
        <f>IFERROR(INDEX(Однолинейка!$A$1:$A$1000,MATCH(273,Однолинейка!$BV$1:$BV$1000,0)),"")</f>
      </c>
      <c r="C275" s="133">
        <f>IFERROR(INDEX(Однолинейка!$G$1:$G$1000,MATCH(273,Однолинейка!$BV$1:$BV$1000,0))&amp;IF(INDEX(Однолинейка!$P$1:$P$1000,MATCH(273,Однолинейка!$BV$1:$BV$1000,0))="","","/"&amp;INDEX(Однолинейка!$P$1:$P$1000,MATCH(273,Однолинейка!$BV$1:$BV$1000,0))),"")</f>
      </c>
      <c r="D275" s="133">
        <f>IFERROR(INDEX(Однолинейка!$R$1:$R$1000,MATCH(273,Однолинейка!$BV$1:$BV$1000,0)),"")</f>
      </c>
      <c r="E275" s="133">
        <f>IFERROR(INDEX(Однолинейка!$S$1:$S$1000,MATCH(273,Однолинейка!$BV$1:$BV$1000,0)),"")</f>
      </c>
      <c r="F275" s="133">
        <f>IFERROR(INDEX(Однолинейка!$Q$1:$Q$1000,MATCH(273,Однолинейка!$BV$1:$BV$1000,0)),"")</f>
      </c>
    </row>
    <row r="276">
      <c r="A276" s="133">
        <f>IF(ISNUMBER(MATCH(274,Однолинейка!$BV$1:$BV$1000,0)),274,"")</f>
      </c>
      <c r="B276" s="133">
        <f>IFERROR(INDEX(Однолинейка!$A$1:$A$1000,MATCH(274,Однолинейка!$BV$1:$BV$1000,0)),"")</f>
      </c>
      <c r="C276" s="133">
        <f>IFERROR(INDEX(Однолинейка!$G$1:$G$1000,MATCH(274,Однолинейка!$BV$1:$BV$1000,0))&amp;IF(INDEX(Однолинейка!$P$1:$P$1000,MATCH(274,Однолинейка!$BV$1:$BV$1000,0))="","","/"&amp;INDEX(Однолинейка!$P$1:$P$1000,MATCH(274,Однолинейка!$BV$1:$BV$1000,0))),"")</f>
      </c>
      <c r="D276" s="133">
        <f>IFERROR(INDEX(Однолинейка!$R$1:$R$1000,MATCH(274,Однолинейка!$BV$1:$BV$1000,0)),"")</f>
      </c>
      <c r="E276" s="133">
        <f>IFERROR(INDEX(Однолинейка!$S$1:$S$1000,MATCH(274,Однолинейка!$BV$1:$BV$1000,0)),"")</f>
      </c>
      <c r="F276" s="133">
        <f>IFERROR(INDEX(Однолинейка!$Q$1:$Q$1000,MATCH(274,Однолинейка!$BV$1:$BV$1000,0)),"")</f>
      </c>
    </row>
    <row r="277">
      <c r="A277" s="133">
        <f>IF(ISNUMBER(MATCH(275,Однолинейка!$BV$1:$BV$1000,0)),275,"")</f>
      </c>
      <c r="B277" s="133">
        <f>IFERROR(INDEX(Однолинейка!$A$1:$A$1000,MATCH(275,Однолинейка!$BV$1:$BV$1000,0)),"")</f>
      </c>
      <c r="C277" s="133">
        <f>IFERROR(INDEX(Однолинейка!$G$1:$G$1000,MATCH(275,Однолинейка!$BV$1:$BV$1000,0))&amp;IF(INDEX(Однолинейка!$P$1:$P$1000,MATCH(275,Однолинейка!$BV$1:$BV$1000,0))="","","/"&amp;INDEX(Однолинейка!$P$1:$P$1000,MATCH(275,Однолинейка!$BV$1:$BV$1000,0))),"")</f>
      </c>
      <c r="D277" s="133">
        <f>IFERROR(INDEX(Однолинейка!$R$1:$R$1000,MATCH(275,Однолинейка!$BV$1:$BV$1000,0)),"")</f>
      </c>
      <c r="E277" s="133">
        <f>IFERROR(INDEX(Однолинейка!$S$1:$S$1000,MATCH(275,Однолинейка!$BV$1:$BV$1000,0)),"")</f>
      </c>
      <c r="F277" s="133">
        <f>IFERROR(INDEX(Однолинейка!$Q$1:$Q$1000,MATCH(275,Однолинейка!$BV$1:$BV$1000,0)),"")</f>
      </c>
    </row>
    <row r="278">
      <c r="A278" s="133">
        <f>IF(ISNUMBER(MATCH(276,Однолинейка!$BV$1:$BV$1000,0)),276,"")</f>
      </c>
      <c r="B278" s="133">
        <f>IFERROR(INDEX(Однолинейка!$A$1:$A$1000,MATCH(276,Однолинейка!$BV$1:$BV$1000,0)),"")</f>
      </c>
      <c r="C278" s="133">
        <f>IFERROR(INDEX(Однолинейка!$G$1:$G$1000,MATCH(276,Однолинейка!$BV$1:$BV$1000,0))&amp;IF(INDEX(Однолинейка!$P$1:$P$1000,MATCH(276,Однолинейка!$BV$1:$BV$1000,0))="","","/"&amp;INDEX(Однолинейка!$P$1:$P$1000,MATCH(276,Однолинейка!$BV$1:$BV$1000,0))),"")</f>
      </c>
      <c r="D278" s="133">
        <f>IFERROR(INDEX(Однолинейка!$R$1:$R$1000,MATCH(276,Однолинейка!$BV$1:$BV$1000,0)),"")</f>
      </c>
      <c r="E278" s="133">
        <f>IFERROR(INDEX(Однолинейка!$S$1:$S$1000,MATCH(276,Однолинейка!$BV$1:$BV$1000,0)),"")</f>
      </c>
      <c r="F278" s="133">
        <f>IFERROR(INDEX(Однолинейка!$Q$1:$Q$1000,MATCH(276,Однолинейка!$BV$1:$BV$1000,0)),"")</f>
      </c>
    </row>
    <row r="279">
      <c r="A279" s="133">
        <f>IF(ISNUMBER(MATCH(277,Однолинейка!$BV$1:$BV$1000,0)),277,"")</f>
      </c>
      <c r="B279" s="133">
        <f>IFERROR(INDEX(Однолинейка!$A$1:$A$1000,MATCH(277,Однолинейка!$BV$1:$BV$1000,0)),"")</f>
      </c>
      <c r="C279" s="133">
        <f>IFERROR(INDEX(Однолинейка!$G$1:$G$1000,MATCH(277,Однолинейка!$BV$1:$BV$1000,0))&amp;IF(INDEX(Однолинейка!$P$1:$P$1000,MATCH(277,Однолинейка!$BV$1:$BV$1000,0))="","","/"&amp;INDEX(Однолинейка!$P$1:$P$1000,MATCH(277,Однолинейка!$BV$1:$BV$1000,0))),"")</f>
      </c>
      <c r="D279" s="133">
        <f>IFERROR(INDEX(Однолинейка!$R$1:$R$1000,MATCH(277,Однолинейка!$BV$1:$BV$1000,0)),"")</f>
      </c>
      <c r="E279" s="133">
        <f>IFERROR(INDEX(Однолинейка!$S$1:$S$1000,MATCH(277,Однолинейка!$BV$1:$BV$1000,0)),"")</f>
      </c>
      <c r="F279" s="133">
        <f>IFERROR(INDEX(Однолинейка!$Q$1:$Q$1000,MATCH(277,Однолинейка!$BV$1:$BV$1000,0)),"")</f>
      </c>
    </row>
    <row r="280">
      <c r="A280" s="133">
        <f>IF(ISNUMBER(MATCH(278,Однолинейка!$BV$1:$BV$1000,0)),278,"")</f>
      </c>
      <c r="B280" s="133">
        <f>IFERROR(INDEX(Однолинейка!$A$1:$A$1000,MATCH(278,Однолинейка!$BV$1:$BV$1000,0)),"")</f>
      </c>
      <c r="C280" s="133">
        <f>IFERROR(INDEX(Однолинейка!$G$1:$G$1000,MATCH(278,Однолинейка!$BV$1:$BV$1000,0))&amp;IF(INDEX(Однолинейка!$P$1:$P$1000,MATCH(278,Однолинейка!$BV$1:$BV$1000,0))="","","/"&amp;INDEX(Однолинейка!$P$1:$P$1000,MATCH(278,Однолинейка!$BV$1:$BV$1000,0))),"")</f>
      </c>
      <c r="D280" s="133">
        <f>IFERROR(INDEX(Однолинейка!$R$1:$R$1000,MATCH(278,Однолинейка!$BV$1:$BV$1000,0)),"")</f>
      </c>
      <c r="E280" s="133">
        <f>IFERROR(INDEX(Однолинейка!$S$1:$S$1000,MATCH(278,Однолинейка!$BV$1:$BV$1000,0)),"")</f>
      </c>
      <c r="F280" s="133">
        <f>IFERROR(INDEX(Однолинейка!$Q$1:$Q$1000,MATCH(278,Однолинейка!$BV$1:$BV$1000,0)),"")</f>
      </c>
    </row>
    <row r="281">
      <c r="A281" s="133">
        <f>IF(ISNUMBER(MATCH(279,Однолинейка!$BV$1:$BV$1000,0)),279,"")</f>
      </c>
      <c r="B281" s="133">
        <f>IFERROR(INDEX(Однолинейка!$A$1:$A$1000,MATCH(279,Однолинейка!$BV$1:$BV$1000,0)),"")</f>
      </c>
      <c r="C281" s="133">
        <f>IFERROR(INDEX(Однолинейка!$G$1:$G$1000,MATCH(279,Однолинейка!$BV$1:$BV$1000,0))&amp;IF(INDEX(Однолинейка!$P$1:$P$1000,MATCH(279,Однолинейка!$BV$1:$BV$1000,0))="","","/"&amp;INDEX(Однолинейка!$P$1:$P$1000,MATCH(279,Однолинейка!$BV$1:$BV$1000,0))),"")</f>
      </c>
      <c r="D281" s="133">
        <f>IFERROR(INDEX(Однолинейка!$R$1:$R$1000,MATCH(279,Однолинейка!$BV$1:$BV$1000,0)),"")</f>
      </c>
      <c r="E281" s="133">
        <f>IFERROR(INDEX(Однолинейка!$S$1:$S$1000,MATCH(279,Однолинейка!$BV$1:$BV$1000,0)),"")</f>
      </c>
      <c r="F281" s="133">
        <f>IFERROR(INDEX(Однолинейка!$Q$1:$Q$1000,MATCH(279,Однолинейка!$BV$1:$BV$1000,0)),"")</f>
      </c>
    </row>
    <row r="282">
      <c r="A282" s="133">
        <f>IF(ISNUMBER(MATCH(280,Однолинейка!$BV$1:$BV$1000,0)),280,"")</f>
      </c>
      <c r="B282" s="133">
        <f>IFERROR(INDEX(Однолинейка!$A$1:$A$1000,MATCH(280,Однолинейка!$BV$1:$BV$1000,0)),"")</f>
      </c>
      <c r="C282" s="133">
        <f>IFERROR(INDEX(Однолинейка!$G$1:$G$1000,MATCH(280,Однолинейка!$BV$1:$BV$1000,0))&amp;IF(INDEX(Однолинейка!$P$1:$P$1000,MATCH(280,Однолинейка!$BV$1:$BV$1000,0))="","","/"&amp;INDEX(Однолинейка!$P$1:$P$1000,MATCH(280,Однолинейка!$BV$1:$BV$1000,0))),"")</f>
      </c>
      <c r="D282" s="133">
        <f>IFERROR(INDEX(Однолинейка!$R$1:$R$1000,MATCH(280,Однолинейка!$BV$1:$BV$1000,0)),"")</f>
      </c>
      <c r="E282" s="133">
        <f>IFERROR(INDEX(Однолинейка!$S$1:$S$1000,MATCH(280,Однолинейка!$BV$1:$BV$1000,0)),"")</f>
      </c>
      <c r="F282" s="133">
        <f>IFERROR(INDEX(Однолинейка!$Q$1:$Q$1000,MATCH(280,Однолинейка!$BV$1:$BV$1000,0)),"")</f>
      </c>
    </row>
    <row r="283">
      <c r="A283" s="133">
        <f>IF(ISNUMBER(MATCH(281,Однолинейка!$BV$1:$BV$1000,0)),281,"")</f>
      </c>
      <c r="B283" s="133">
        <f>IFERROR(INDEX(Однолинейка!$A$1:$A$1000,MATCH(281,Однолинейка!$BV$1:$BV$1000,0)),"")</f>
      </c>
      <c r="C283" s="133">
        <f>IFERROR(INDEX(Однолинейка!$G$1:$G$1000,MATCH(281,Однолинейка!$BV$1:$BV$1000,0))&amp;IF(INDEX(Однолинейка!$P$1:$P$1000,MATCH(281,Однолинейка!$BV$1:$BV$1000,0))="","","/"&amp;INDEX(Однолинейка!$P$1:$P$1000,MATCH(281,Однолинейка!$BV$1:$BV$1000,0))),"")</f>
      </c>
      <c r="D283" s="133">
        <f>IFERROR(INDEX(Однолинейка!$R$1:$R$1000,MATCH(281,Однолинейка!$BV$1:$BV$1000,0)),"")</f>
      </c>
      <c r="E283" s="133">
        <f>IFERROR(INDEX(Однолинейка!$S$1:$S$1000,MATCH(281,Однолинейка!$BV$1:$BV$1000,0)),"")</f>
      </c>
      <c r="F283" s="133">
        <f>IFERROR(INDEX(Однолинейка!$Q$1:$Q$1000,MATCH(281,Однолинейка!$BV$1:$BV$1000,0)),"")</f>
      </c>
    </row>
    <row r="284">
      <c r="A284" s="133">
        <f>IF(ISNUMBER(MATCH(282,Однолинейка!$BV$1:$BV$1000,0)),282,"")</f>
      </c>
      <c r="B284" s="133">
        <f>IFERROR(INDEX(Однолинейка!$A$1:$A$1000,MATCH(282,Однолинейка!$BV$1:$BV$1000,0)),"")</f>
      </c>
      <c r="C284" s="133">
        <f>IFERROR(INDEX(Однолинейка!$G$1:$G$1000,MATCH(282,Однолинейка!$BV$1:$BV$1000,0))&amp;IF(INDEX(Однолинейка!$P$1:$P$1000,MATCH(282,Однолинейка!$BV$1:$BV$1000,0))="","","/"&amp;INDEX(Однолинейка!$P$1:$P$1000,MATCH(282,Однолинейка!$BV$1:$BV$1000,0))),"")</f>
      </c>
      <c r="D284" s="133">
        <f>IFERROR(INDEX(Однолинейка!$R$1:$R$1000,MATCH(282,Однолинейка!$BV$1:$BV$1000,0)),"")</f>
      </c>
      <c r="E284" s="133">
        <f>IFERROR(INDEX(Однолинейка!$S$1:$S$1000,MATCH(282,Однолинейка!$BV$1:$BV$1000,0)),"")</f>
      </c>
      <c r="F284" s="133">
        <f>IFERROR(INDEX(Однолинейка!$Q$1:$Q$1000,MATCH(282,Однолинейка!$BV$1:$BV$1000,0)),"")</f>
      </c>
    </row>
    <row r="285">
      <c r="A285" s="133">
        <f>IF(ISNUMBER(MATCH(283,Однолинейка!$BV$1:$BV$1000,0)),283,"")</f>
      </c>
      <c r="B285" s="133">
        <f>IFERROR(INDEX(Однолинейка!$A$1:$A$1000,MATCH(283,Однолинейка!$BV$1:$BV$1000,0)),"")</f>
      </c>
      <c r="C285" s="133">
        <f>IFERROR(INDEX(Однолинейка!$G$1:$G$1000,MATCH(283,Однолинейка!$BV$1:$BV$1000,0))&amp;IF(INDEX(Однолинейка!$P$1:$P$1000,MATCH(283,Однолинейка!$BV$1:$BV$1000,0))="","","/"&amp;INDEX(Однолинейка!$P$1:$P$1000,MATCH(283,Однолинейка!$BV$1:$BV$1000,0))),"")</f>
      </c>
      <c r="D285" s="133">
        <f>IFERROR(INDEX(Однолинейка!$R$1:$R$1000,MATCH(283,Однолинейка!$BV$1:$BV$1000,0)),"")</f>
      </c>
      <c r="E285" s="133">
        <f>IFERROR(INDEX(Однолинейка!$S$1:$S$1000,MATCH(283,Однолинейка!$BV$1:$BV$1000,0)),"")</f>
      </c>
      <c r="F285" s="133">
        <f>IFERROR(INDEX(Однолинейка!$Q$1:$Q$1000,MATCH(283,Однолинейка!$BV$1:$BV$1000,0)),"")</f>
      </c>
    </row>
    <row r="286">
      <c r="A286" s="133">
        <f>IF(ISNUMBER(MATCH(284,Однолинейка!$BV$1:$BV$1000,0)),284,"")</f>
      </c>
      <c r="B286" s="133">
        <f>IFERROR(INDEX(Однолинейка!$A$1:$A$1000,MATCH(284,Однолинейка!$BV$1:$BV$1000,0)),"")</f>
      </c>
      <c r="C286" s="133">
        <f>IFERROR(INDEX(Однолинейка!$G$1:$G$1000,MATCH(284,Однолинейка!$BV$1:$BV$1000,0))&amp;IF(INDEX(Однолинейка!$P$1:$P$1000,MATCH(284,Однолинейка!$BV$1:$BV$1000,0))="","","/"&amp;INDEX(Однолинейка!$P$1:$P$1000,MATCH(284,Однолинейка!$BV$1:$BV$1000,0))),"")</f>
      </c>
      <c r="D286" s="133">
        <f>IFERROR(INDEX(Однолинейка!$R$1:$R$1000,MATCH(284,Однолинейка!$BV$1:$BV$1000,0)),"")</f>
      </c>
      <c r="E286" s="133">
        <f>IFERROR(INDEX(Однолинейка!$S$1:$S$1000,MATCH(284,Однолинейка!$BV$1:$BV$1000,0)),"")</f>
      </c>
      <c r="F286" s="133">
        <f>IFERROR(INDEX(Однолинейка!$Q$1:$Q$1000,MATCH(284,Однолинейка!$BV$1:$BV$1000,0)),"")</f>
      </c>
    </row>
    <row r="287">
      <c r="A287" s="133">
        <f>IF(ISNUMBER(MATCH(285,Однолинейка!$BV$1:$BV$1000,0)),285,"")</f>
      </c>
      <c r="B287" s="133">
        <f>IFERROR(INDEX(Однолинейка!$A$1:$A$1000,MATCH(285,Однолинейка!$BV$1:$BV$1000,0)),"")</f>
      </c>
      <c r="C287" s="133">
        <f>IFERROR(INDEX(Однолинейка!$G$1:$G$1000,MATCH(285,Однолинейка!$BV$1:$BV$1000,0))&amp;IF(INDEX(Однолинейка!$P$1:$P$1000,MATCH(285,Однолинейка!$BV$1:$BV$1000,0))="","","/"&amp;INDEX(Однолинейка!$P$1:$P$1000,MATCH(285,Однолинейка!$BV$1:$BV$1000,0))),"")</f>
      </c>
      <c r="D287" s="133">
        <f>IFERROR(INDEX(Однолинейка!$R$1:$R$1000,MATCH(285,Однолинейка!$BV$1:$BV$1000,0)),"")</f>
      </c>
      <c r="E287" s="133">
        <f>IFERROR(INDEX(Однолинейка!$S$1:$S$1000,MATCH(285,Однолинейка!$BV$1:$BV$1000,0)),"")</f>
      </c>
      <c r="F287" s="133">
        <f>IFERROR(INDEX(Однолинейка!$Q$1:$Q$1000,MATCH(285,Однолинейка!$BV$1:$BV$1000,0)),"")</f>
      </c>
    </row>
    <row r="288">
      <c r="A288" s="133">
        <f>IF(ISNUMBER(MATCH(286,Однолинейка!$BV$1:$BV$1000,0)),286,"")</f>
      </c>
      <c r="B288" s="133">
        <f>IFERROR(INDEX(Однолинейка!$A$1:$A$1000,MATCH(286,Однолинейка!$BV$1:$BV$1000,0)),"")</f>
      </c>
      <c r="C288" s="133">
        <f>IFERROR(INDEX(Однолинейка!$G$1:$G$1000,MATCH(286,Однолинейка!$BV$1:$BV$1000,0))&amp;IF(INDEX(Однолинейка!$P$1:$P$1000,MATCH(286,Однолинейка!$BV$1:$BV$1000,0))="","","/"&amp;INDEX(Однолинейка!$P$1:$P$1000,MATCH(286,Однолинейка!$BV$1:$BV$1000,0))),"")</f>
      </c>
      <c r="D288" s="133">
        <f>IFERROR(INDEX(Однолинейка!$R$1:$R$1000,MATCH(286,Однолинейка!$BV$1:$BV$1000,0)),"")</f>
      </c>
      <c r="E288" s="133">
        <f>IFERROR(INDEX(Однолинейка!$S$1:$S$1000,MATCH(286,Однолинейка!$BV$1:$BV$1000,0)),"")</f>
      </c>
      <c r="F288" s="133">
        <f>IFERROR(INDEX(Однолинейка!$Q$1:$Q$1000,MATCH(286,Однолинейка!$BV$1:$BV$1000,0)),"")</f>
      </c>
    </row>
    <row r="289">
      <c r="A289" s="133">
        <f>IF(ISNUMBER(MATCH(287,Однолинейка!$BV$1:$BV$1000,0)),287,"")</f>
      </c>
      <c r="B289" s="133">
        <f>IFERROR(INDEX(Однолинейка!$A$1:$A$1000,MATCH(287,Однолинейка!$BV$1:$BV$1000,0)),"")</f>
      </c>
      <c r="C289" s="133">
        <f>IFERROR(INDEX(Однолинейка!$G$1:$G$1000,MATCH(287,Однолинейка!$BV$1:$BV$1000,0))&amp;IF(INDEX(Однолинейка!$P$1:$P$1000,MATCH(287,Однолинейка!$BV$1:$BV$1000,0))="","","/"&amp;INDEX(Однолинейка!$P$1:$P$1000,MATCH(287,Однолинейка!$BV$1:$BV$1000,0))),"")</f>
      </c>
      <c r="D289" s="133">
        <f>IFERROR(INDEX(Однолинейка!$R$1:$R$1000,MATCH(287,Однолинейка!$BV$1:$BV$1000,0)),"")</f>
      </c>
      <c r="E289" s="133">
        <f>IFERROR(INDEX(Однолинейка!$S$1:$S$1000,MATCH(287,Однолинейка!$BV$1:$BV$1000,0)),"")</f>
      </c>
      <c r="F289" s="133">
        <f>IFERROR(INDEX(Однолинейка!$Q$1:$Q$1000,MATCH(287,Однолинейка!$BV$1:$BV$1000,0)),"")</f>
      </c>
    </row>
    <row r="290">
      <c r="A290" s="133">
        <f>IF(ISNUMBER(MATCH(288,Однолинейка!$BV$1:$BV$1000,0)),288,"")</f>
      </c>
      <c r="B290" s="133">
        <f>IFERROR(INDEX(Однолинейка!$A$1:$A$1000,MATCH(288,Однолинейка!$BV$1:$BV$1000,0)),"")</f>
      </c>
      <c r="C290" s="133">
        <f>IFERROR(INDEX(Однолинейка!$G$1:$G$1000,MATCH(288,Однолинейка!$BV$1:$BV$1000,0))&amp;IF(INDEX(Однолинейка!$P$1:$P$1000,MATCH(288,Однолинейка!$BV$1:$BV$1000,0))="","","/"&amp;INDEX(Однолинейка!$P$1:$P$1000,MATCH(288,Однолинейка!$BV$1:$BV$1000,0))),"")</f>
      </c>
      <c r="D290" s="133">
        <f>IFERROR(INDEX(Однолинейка!$R$1:$R$1000,MATCH(288,Однолинейка!$BV$1:$BV$1000,0)),"")</f>
      </c>
      <c r="E290" s="133">
        <f>IFERROR(INDEX(Однолинейка!$S$1:$S$1000,MATCH(288,Однолинейка!$BV$1:$BV$1000,0)),"")</f>
      </c>
      <c r="F290" s="133">
        <f>IFERROR(INDEX(Однолинейка!$Q$1:$Q$1000,MATCH(288,Однолинейка!$BV$1:$BV$1000,0)),"")</f>
      </c>
    </row>
    <row r="291">
      <c r="A291" s="133">
        <f>IF(ISNUMBER(MATCH(289,Однолинейка!$BV$1:$BV$1000,0)),289,"")</f>
      </c>
      <c r="B291" s="133">
        <f>IFERROR(INDEX(Однолинейка!$A$1:$A$1000,MATCH(289,Однолинейка!$BV$1:$BV$1000,0)),"")</f>
      </c>
      <c r="C291" s="133">
        <f>IFERROR(INDEX(Однолинейка!$G$1:$G$1000,MATCH(289,Однолинейка!$BV$1:$BV$1000,0))&amp;IF(INDEX(Однолинейка!$P$1:$P$1000,MATCH(289,Однолинейка!$BV$1:$BV$1000,0))="","","/"&amp;INDEX(Однолинейка!$P$1:$P$1000,MATCH(289,Однолинейка!$BV$1:$BV$1000,0))),"")</f>
      </c>
      <c r="D291" s="133">
        <f>IFERROR(INDEX(Однолинейка!$R$1:$R$1000,MATCH(289,Однолинейка!$BV$1:$BV$1000,0)),"")</f>
      </c>
      <c r="E291" s="133">
        <f>IFERROR(INDEX(Однолинейка!$S$1:$S$1000,MATCH(289,Однолинейка!$BV$1:$BV$1000,0)),"")</f>
      </c>
      <c r="F291" s="133">
        <f>IFERROR(INDEX(Однолинейка!$Q$1:$Q$1000,MATCH(289,Однолинейка!$BV$1:$BV$1000,0)),"")</f>
      </c>
    </row>
    <row r="292">
      <c r="A292" s="133">
        <f>IF(ISNUMBER(MATCH(290,Однолинейка!$BV$1:$BV$1000,0)),290,"")</f>
      </c>
      <c r="B292" s="133">
        <f>IFERROR(INDEX(Однолинейка!$A$1:$A$1000,MATCH(290,Однолинейка!$BV$1:$BV$1000,0)),"")</f>
      </c>
      <c r="C292" s="133">
        <f>IFERROR(INDEX(Однолинейка!$G$1:$G$1000,MATCH(290,Однолинейка!$BV$1:$BV$1000,0))&amp;IF(INDEX(Однолинейка!$P$1:$P$1000,MATCH(290,Однолинейка!$BV$1:$BV$1000,0))="","","/"&amp;INDEX(Однолинейка!$P$1:$P$1000,MATCH(290,Однолинейка!$BV$1:$BV$1000,0))),"")</f>
      </c>
      <c r="D292" s="133">
        <f>IFERROR(INDEX(Однолинейка!$R$1:$R$1000,MATCH(290,Однолинейка!$BV$1:$BV$1000,0)),"")</f>
      </c>
      <c r="E292" s="133">
        <f>IFERROR(INDEX(Однолинейка!$S$1:$S$1000,MATCH(290,Однолинейка!$BV$1:$BV$1000,0)),"")</f>
      </c>
      <c r="F292" s="133">
        <f>IFERROR(INDEX(Однолинейка!$Q$1:$Q$1000,MATCH(290,Однолинейка!$BV$1:$BV$1000,0)),"")</f>
      </c>
    </row>
    <row r="293">
      <c r="A293" s="133">
        <f>IF(ISNUMBER(MATCH(291,Однолинейка!$BV$1:$BV$1000,0)),291,"")</f>
      </c>
      <c r="B293" s="133">
        <f>IFERROR(INDEX(Однолинейка!$A$1:$A$1000,MATCH(291,Однолинейка!$BV$1:$BV$1000,0)),"")</f>
      </c>
      <c r="C293" s="133">
        <f>IFERROR(INDEX(Однолинейка!$G$1:$G$1000,MATCH(291,Однолинейка!$BV$1:$BV$1000,0))&amp;IF(INDEX(Однолинейка!$P$1:$P$1000,MATCH(291,Однолинейка!$BV$1:$BV$1000,0))="","","/"&amp;INDEX(Однолинейка!$P$1:$P$1000,MATCH(291,Однолинейка!$BV$1:$BV$1000,0))),"")</f>
      </c>
      <c r="D293" s="133">
        <f>IFERROR(INDEX(Однолинейка!$R$1:$R$1000,MATCH(291,Однолинейка!$BV$1:$BV$1000,0)),"")</f>
      </c>
      <c r="E293" s="133">
        <f>IFERROR(INDEX(Однолинейка!$S$1:$S$1000,MATCH(291,Однолинейка!$BV$1:$BV$1000,0)),"")</f>
      </c>
      <c r="F293" s="133">
        <f>IFERROR(INDEX(Однолинейка!$Q$1:$Q$1000,MATCH(291,Однолинейка!$BV$1:$BV$1000,0)),"")</f>
      </c>
    </row>
    <row r="294">
      <c r="A294" s="133">
        <f>IF(ISNUMBER(MATCH(292,Однолинейка!$BV$1:$BV$1000,0)),292,"")</f>
      </c>
      <c r="B294" s="133">
        <f>IFERROR(INDEX(Однолинейка!$A$1:$A$1000,MATCH(292,Однолинейка!$BV$1:$BV$1000,0)),"")</f>
      </c>
      <c r="C294" s="133">
        <f>IFERROR(INDEX(Однолинейка!$G$1:$G$1000,MATCH(292,Однолинейка!$BV$1:$BV$1000,0))&amp;IF(INDEX(Однолинейка!$P$1:$P$1000,MATCH(292,Однолинейка!$BV$1:$BV$1000,0))="","","/"&amp;INDEX(Однолинейка!$P$1:$P$1000,MATCH(292,Однолинейка!$BV$1:$BV$1000,0))),"")</f>
      </c>
      <c r="D294" s="133">
        <f>IFERROR(INDEX(Однолинейка!$R$1:$R$1000,MATCH(292,Однолинейка!$BV$1:$BV$1000,0)),"")</f>
      </c>
      <c r="E294" s="133">
        <f>IFERROR(INDEX(Однолинейка!$S$1:$S$1000,MATCH(292,Однолинейка!$BV$1:$BV$1000,0)),"")</f>
      </c>
      <c r="F294" s="133">
        <f>IFERROR(INDEX(Однолинейка!$Q$1:$Q$1000,MATCH(292,Однолинейка!$BV$1:$BV$1000,0)),"")</f>
      </c>
    </row>
    <row r="295">
      <c r="A295" s="133">
        <f>IF(ISNUMBER(MATCH(293,Однолинейка!$BV$1:$BV$1000,0)),293,"")</f>
      </c>
      <c r="B295" s="133">
        <f>IFERROR(INDEX(Однолинейка!$A$1:$A$1000,MATCH(293,Однолинейка!$BV$1:$BV$1000,0)),"")</f>
      </c>
      <c r="C295" s="133">
        <f>IFERROR(INDEX(Однолинейка!$G$1:$G$1000,MATCH(293,Однолинейка!$BV$1:$BV$1000,0))&amp;IF(INDEX(Однолинейка!$P$1:$P$1000,MATCH(293,Однолинейка!$BV$1:$BV$1000,0))="","","/"&amp;INDEX(Однолинейка!$P$1:$P$1000,MATCH(293,Однолинейка!$BV$1:$BV$1000,0))),"")</f>
      </c>
      <c r="D295" s="133">
        <f>IFERROR(INDEX(Однолинейка!$R$1:$R$1000,MATCH(293,Однолинейка!$BV$1:$BV$1000,0)),"")</f>
      </c>
      <c r="E295" s="133">
        <f>IFERROR(INDEX(Однолинейка!$S$1:$S$1000,MATCH(293,Однолинейка!$BV$1:$BV$1000,0)),"")</f>
      </c>
      <c r="F295" s="133">
        <f>IFERROR(INDEX(Однолинейка!$Q$1:$Q$1000,MATCH(293,Однолинейка!$BV$1:$BV$1000,0)),"")</f>
      </c>
    </row>
    <row r="296">
      <c r="A296" s="133">
        <f>IF(ISNUMBER(MATCH(294,Однолинейка!$BV$1:$BV$1000,0)),294,"")</f>
      </c>
      <c r="B296" s="133">
        <f>IFERROR(INDEX(Однолинейка!$A$1:$A$1000,MATCH(294,Однолинейка!$BV$1:$BV$1000,0)),"")</f>
      </c>
      <c r="C296" s="133">
        <f>IFERROR(INDEX(Однолинейка!$G$1:$G$1000,MATCH(294,Однолинейка!$BV$1:$BV$1000,0))&amp;IF(INDEX(Однолинейка!$P$1:$P$1000,MATCH(294,Однолинейка!$BV$1:$BV$1000,0))="","","/"&amp;INDEX(Однолинейка!$P$1:$P$1000,MATCH(294,Однолинейка!$BV$1:$BV$1000,0))),"")</f>
      </c>
      <c r="D296" s="133">
        <f>IFERROR(INDEX(Однолинейка!$R$1:$R$1000,MATCH(294,Однолинейка!$BV$1:$BV$1000,0)),"")</f>
      </c>
      <c r="E296" s="133">
        <f>IFERROR(INDEX(Однолинейка!$S$1:$S$1000,MATCH(294,Однолинейка!$BV$1:$BV$1000,0)),"")</f>
      </c>
      <c r="F296" s="133">
        <f>IFERROR(INDEX(Однолинейка!$Q$1:$Q$1000,MATCH(294,Однолинейка!$BV$1:$BV$1000,0)),"")</f>
      </c>
    </row>
    <row r="297">
      <c r="A297" s="133">
        <f>IF(ISNUMBER(MATCH(295,Однолинейка!$BV$1:$BV$1000,0)),295,"")</f>
      </c>
      <c r="B297" s="133">
        <f>IFERROR(INDEX(Однолинейка!$A$1:$A$1000,MATCH(295,Однолинейка!$BV$1:$BV$1000,0)),"")</f>
      </c>
      <c r="C297" s="133">
        <f>IFERROR(INDEX(Однолинейка!$G$1:$G$1000,MATCH(295,Однолинейка!$BV$1:$BV$1000,0))&amp;IF(INDEX(Однолинейка!$P$1:$P$1000,MATCH(295,Однолинейка!$BV$1:$BV$1000,0))="","","/"&amp;INDEX(Однолинейка!$P$1:$P$1000,MATCH(295,Однолинейка!$BV$1:$BV$1000,0))),"")</f>
      </c>
      <c r="D297" s="133">
        <f>IFERROR(INDEX(Однолинейка!$R$1:$R$1000,MATCH(295,Однолинейка!$BV$1:$BV$1000,0)),"")</f>
      </c>
      <c r="E297" s="133">
        <f>IFERROR(INDEX(Однолинейка!$S$1:$S$1000,MATCH(295,Однолинейка!$BV$1:$BV$1000,0)),"")</f>
      </c>
      <c r="F297" s="133">
        <f>IFERROR(INDEX(Однолинейка!$Q$1:$Q$1000,MATCH(295,Однолинейка!$BV$1:$BV$1000,0)),"")</f>
      </c>
    </row>
    <row r="298">
      <c r="A298" s="133">
        <f>IF(ISNUMBER(MATCH(296,Однолинейка!$BV$1:$BV$1000,0)),296,"")</f>
      </c>
      <c r="B298" s="133">
        <f>IFERROR(INDEX(Однолинейка!$A$1:$A$1000,MATCH(296,Однолинейка!$BV$1:$BV$1000,0)),"")</f>
      </c>
      <c r="C298" s="133">
        <f>IFERROR(INDEX(Однолинейка!$G$1:$G$1000,MATCH(296,Однолинейка!$BV$1:$BV$1000,0))&amp;IF(INDEX(Однолинейка!$P$1:$P$1000,MATCH(296,Однолинейка!$BV$1:$BV$1000,0))="","","/"&amp;INDEX(Однолинейка!$P$1:$P$1000,MATCH(296,Однолинейка!$BV$1:$BV$1000,0))),"")</f>
      </c>
      <c r="D298" s="133">
        <f>IFERROR(INDEX(Однолинейка!$R$1:$R$1000,MATCH(296,Однолинейка!$BV$1:$BV$1000,0)),"")</f>
      </c>
      <c r="E298" s="133">
        <f>IFERROR(INDEX(Однолинейка!$S$1:$S$1000,MATCH(296,Однолинейка!$BV$1:$BV$1000,0)),"")</f>
      </c>
      <c r="F298" s="133">
        <f>IFERROR(INDEX(Однолинейка!$Q$1:$Q$1000,MATCH(296,Однолинейка!$BV$1:$BV$1000,0)),"")</f>
      </c>
    </row>
    <row r="299">
      <c r="A299" s="133">
        <f>IF(ISNUMBER(MATCH(297,Однолинейка!$BV$1:$BV$1000,0)),297,"")</f>
      </c>
      <c r="B299" s="133">
        <f>IFERROR(INDEX(Однолинейка!$A$1:$A$1000,MATCH(297,Однолинейка!$BV$1:$BV$1000,0)),"")</f>
      </c>
      <c r="C299" s="133">
        <f>IFERROR(INDEX(Однолинейка!$G$1:$G$1000,MATCH(297,Однолинейка!$BV$1:$BV$1000,0))&amp;IF(INDEX(Однолинейка!$P$1:$P$1000,MATCH(297,Однолинейка!$BV$1:$BV$1000,0))="","","/"&amp;INDEX(Однолинейка!$P$1:$P$1000,MATCH(297,Однолинейка!$BV$1:$BV$1000,0))),"")</f>
      </c>
      <c r="D299" s="133">
        <f>IFERROR(INDEX(Однолинейка!$R$1:$R$1000,MATCH(297,Однолинейка!$BV$1:$BV$1000,0)),"")</f>
      </c>
      <c r="E299" s="133">
        <f>IFERROR(INDEX(Однолинейка!$S$1:$S$1000,MATCH(297,Однолинейка!$BV$1:$BV$1000,0)),"")</f>
      </c>
      <c r="F299" s="133">
        <f>IFERROR(INDEX(Однолинейка!$Q$1:$Q$1000,MATCH(297,Однолинейка!$BV$1:$BV$1000,0)),"")</f>
      </c>
    </row>
    <row r="300">
      <c r="A300" s="133">
        <f>IF(ISNUMBER(MATCH(298,Однолинейка!$BV$1:$BV$1000,0)),298,"")</f>
      </c>
      <c r="B300" s="133">
        <f>IFERROR(INDEX(Однолинейка!$A$1:$A$1000,MATCH(298,Однолинейка!$BV$1:$BV$1000,0)),"")</f>
      </c>
      <c r="C300" s="133">
        <f>IFERROR(INDEX(Однолинейка!$G$1:$G$1000,MATCH(298,Однолинейка!$BV$1:$BV$1000,0))&amp;IF(INDEX(Однолинейка!$P$1:$P$1000,MATCH(298,Однолинейка!$BV$1:$BV$1000,0))="","","/"&amp;INDEX(Однолинейка!$P$1:$P$1000,MATCH(298,Однолинейка!$BV$1:$BV$1000,0))),"")</f>
      </c>
      <c r="D300" s="133">
        <f>IFERROR(INDEX(Однолинейка!$R$1:$R$1000,MATCH(298,Однолинейка!$BV$1:$BV$1000,0)),"")</f>
      </c>
      <c r="E300" s="133">
        <f>IFERROR(INDEX(Однолинейка!$S$1:$S$1000,MATCH(298,Однолинейка!$BV$1:$BV$1000,0)),"")</f>
      </c>
      <c r="F300" s="133">
        <f>IFERROR(INDEX(Однолинейка!$Q$1:$Q$1000,MATCH(298,Однолинейка!$BV$1:$BV$1000,0)),"")</f>
      </c>
    </row>
    <row r="301">
      <c r="A301" s="133">
        <f>IF(ISNUMBER(MATCH(299,Однолинейка!$BV$1:$BV$1000,0)),299,"")</f>
      </c>
      <c r="B301" s="133">
        <f>IFERROR(INDEX(Однолинейка!$A$1:$A$1000,MATCH(299,Однолинейка!$BV$1:$BV$1000,0)),"")</f>
      </c>
      <c r="C301" s="133">
        <f>IFERROR(INDEX(Однолинейка!$G$1:$G$1000,MATCH(299,Однолинейка!$BV$1:$BV$1000,0))&amp;IF(INDEX(Однолинейка!$P$1:$P$1000,MATCH(299,Однолинейка!$BV$1:$BV$1000,0))="","","/"&amp;INDEX(Однолинейка!$P$1:$P$1000,MATCH(299,Однолинейка!$BV$1:$BV$1000,0))),"")</f>
      </c>
      <c r="D301" s="133">
        <f>IFERROR(INDEX(Однолинейка!$R$1:$R$1000,MATCH(299,Однолинейка!$BV$1:$BV$1000,0)),"")</f>
      </c>
      <c r="E301" s="133">
        <f>IFERROR(INDEX(Однолинейка!$S$1:$S$1000,MATCH(299,Однолинейка!$BV$1:$BV$1000,0)),"")</f>
      </c>
      <c r="F301" s="133">
        <f>IFERROR(INDEX(Однолинейка!$Q$1:$Q$1000,MATCH(299,Однолинейка!$BV$1:$BV$1000,0)),"")</f>
      </c>
    </row>
    <row r="302">
      <c r="A302" s="133">
        <f>IF(ISNUMBER(MATCH(300,Однолинейка!$BV$1:$BV$1000,0)),300,"")</f>
      </c>
      <c r="B302" s="133">
        <f>IFERROR(INDEX(Однолинейка!$A$1:$A$1000,MATCH(300,Однолинейка!$BV$1:$BV$1000,0)),"")</f>
      </c>
      <c r="C302" s="133">
        <f>IFERROR(INDEX(Однолинейка!$G$1:$G$1000,MATCH(300,Однолинейка!$BV$1:$BV$1000,0))&amp;IF(INDEX(Однолинейка!$P$1:$P$1000,MATCH(300,Однолинейка!$BV$1:$BV$1000,0))="","","/"&amp;INDEX(Однолинейка!$P$1:$P$1000,MATCH(300,Однолинейка!$BV$1:$BV$1000,0))),"")</f>
      </c>
      <c r="D302" s="133">
        <f>IFERROR(INDEX(Однолинейка!$R$1:$R$1000,MATCH(300,Однолинейка!$BV$1:$BV$1000,0)),"")</f>
      </c>
      <c r="E302" s="133">
        <f>IFERROR(INDEX(Однолинейка!$S$1:$S$1000,MATCH(300,Однолинейка!$BV$1:$BV$1000,0)),"")</f>
      </c>
      <c r="F302" s="133">
        <f>IFERROR(INDEX(Однолинейка!$Q$1:$Q$1000,MATCH(300,Однолинейка!$BV$1:$BV$1000,0)),"")</f>
      </c>
    </row>
    <row r="303">
      <c r="A303" s="133">
        <f>IF(ISNUMBER(MATCH(301,Однолинейка!$BV$1:$BV$1000,0)),301,"")</f>
      </c>
      <c r="B303" s="133">
        <f>IFERROR(INDEX(Однолинейка!$A$1:$A$1000,MATCH(301,Однолинейка!$BV$1:$BV$1000,0)),"")</f>
      </c>
      <c r="C303" s="133">
        <f>IFERROR(INDEX(Однолинейка!$G$1:$G$1000,MATCH(301,Однолинейка!$BV$1:$BV$1000,0))&amp;IF(INDEX(Однолинейка!$P$1:$P$1000,MATCH(301,Однолинейка!$BV$1:$BV$1000,0))="","","/"&amp;INDEX(Однолинейка!$P$1:$P$1000,MATCH(301,Однолинейка!$BV$1:$BV$1000,0))),"")</f>
      </c>
      <c r="D303" s="133">
        <f>IFERROR(INDEX(Однолинейка!$R$1:$R$1000,MATCH(301,Однолинейка!$BV$1:$BV$1000,0)),"")</f>
      </c>
      <c r="E303" s="133">
        <f>IFERROR(INDEX(Однолинейка!$S$1:$S$1000,MATCH(301,Однолинейка!$BV$1:$BV$1000,0)),"")</f>
      </c>
      <c r="F303" s="133">
        <f>IFERROR(INDEX(Однолинейка!$Q$1:$Q$1000,MATCH(301,Однолинейка!$BV$1:$BV$1000,0)),"")</f>
      </c>
    </row>
    <row r="304">
      <c r="A304" s="133">
        <f>IF(ISNUMBER(MATCH(302,Однолинейка!$BV$1:$BV$1000,0)),302,"")</f>
      </c>
      <c r="B304" s="133">
        <f>IFERROR(INDEX(Однолинейка!$A$1:$A$1000,MATCH(302,Однолинейка!$BV$1:$BV$1000,0)),"")</f>
      </c>
      <c r="C304" s="133">
        <f>IFERROR(INDEX(Однолинейка!$G$1:$G$1000,MATCH(302,Однолинейка!$BV$1:$BV$1000,0))&amp;IF(INDEX(Однолинейка!$P$1:$P$1000,MATCH(302,Однолинейка!$BV$1:$BV$1000,0))="","","/"&amp;INDEX(Однолинейка!$P$1:$P$1000,MATCH(302,Однолинейка!$BV$1:$BV$1000,0))),"")</f>
      </c>
      <c r="D304" s="133">
        <f>IFERROR(INDEX(Однолинейка!$R$1:$R$1000,MATCH(302,Однолинейка!$BV$1:$BV$1000,0)),"")</f>
      </c>
      <c r="E304" s="133">
        <f>IFERROR(INDEX(Однолинейка!$S$1:$S$1000,MATCH(302,Однолинейка!$BV$1:$BV$1000,0)),"")</f>
      </c>
      <c r="F304" s="133">
        <f>IFERROR(INDEX(Однолинейка!$Q$1:$Q$1000,MATCH(302,Однолинейка!$BV$1:$BV$1000,0)),"")</f>
      </c>
    </row>
    <row r="305">
      <c r="A305" s="133">
        <f>IF(ISNUMBER(MATCH(303,Однолинейка!$BV$1:$BV$1000,0)),303,"")</f>
      </c>
      <c r="B305" s="133">
        <f>IFERROR(INDEX(Однолинейка!$A$1:$A$1000,MATCH(303,Однолинейка!$BV$1:$BV$1000,0)),"")</f>
      </c>
      <c r="C305" s="133">
        <f>IFERROR(INDEX(Однолинейка!$G$1:$G$1000,MATCH(303,Однолинейка!$BV$1:$BV$1000,0))&amp;IF(INDEX(Однолинейка!$P$1:$P$1000,MATCH(303,Однолинейка!$BV$1:$BV$1000,0))="","","/"&amp;INDEX(Однолинейка!$P$1:$P$1000,MATCH(303,Однолинейка!$BV$1:$BV$1000,0))),"")</f>
      </c>
      <c r="D305" s="133">
        <f>IFERROR(INDEX(Однолинейка!$R$1:$R$1000,MATCH(303,Однолинейка!$BV$1:$BV$1000,0)),"")</f>
      </c>
      <c r="E305" s="133">
        <f>IFERROR(INDEX(Однолинейка!$S$1:$S$1000,MATCH(303,Однолинейка!$BV$1:$BV$1000,0)),"")</f>
      </c>
      <c r="F305" s="133">
        <f>IFERROR(INDEX(Однолинейка!$Q$1:$Q$1000,MATCH(303,Однолинейка!$BV$1:$BV$1000,0)),"")</f>
      </c>
    </row>
    <row r="306">
      <c r="A306" s="133">
        <f>IF(ISNUMBER(MATCH(304,Однолинейка!$BV$1:$BV$1000,0)),304,"")</f>
      </c>
      <c r="B306" s="133">
        <f>IFERROR(INDEX(Однолинейка!$A$1:$A$1000,MATCH(304,Однолинейка!$BV$1:$BV$1000,0)),"")</f>
      </c>
      <c r="C306" s="133">
        <f>IFERROR(INDEX(Однолинейка!$G$1:$G$1000,MATCH(304,Однолинейка!$BV$1:$BV$1000,0))&amp;IF(INDEX(Однолинейка!$P$1:$P$1000,MATCH(304,Однолинейка!$BV$1:$BV$1000,0))="","","/"&amp;INDEX(Однолинейка!$P$1:$P$1000,MATCH(304,Однолинейка!$BV$1:$BV$1000,0))),"")</f>
      </c>
      <c r="D306" s="133">
        <f>IFERROR(INDEX(Однолинейка!$R$1:$R$1000,MATCH(304,Однолинейка!$BV$1:$BV$1000,0)),"")</f>
      </c>
      <c r="E306" s="133">
        <f>IFERROR(INDEX(Однолинейка!$S$1:$S$1000,MATCH(304,Однолинейка!$BV$1:$BV$1000,0)),"")</f>
      </c>
      <c r="F306" s="133">
        <f>IFERROR(INDEX(Однолинейка!$Q$1:$Q$1000,MATCH(304,Однолинейка!$BV$1:$BV$1000,0)),"")</f>
      </c>
    </row>
    <row r="307">
      <c r="A307" s="133">
        <f>IF(ISNUMBER(MATCH(305,Однолинейка!$BV$1:$BV$1000,0)),305,"")</f>
      </c>
      <c r="B307" s="133">
        <f>IFERROR(INDEX(Однолинейка!$A$1:$A$1000,MATCH(305,Однолинейка!$BV$1:$BV$1000,0)),"")</f>
      </c>
      <c r="C307" s="133">
        <f>IFERROR(INDEX(Однолинейка!$G$1:$G$1000,MATCH(305,Однолинейка!$BV$1:$BV$1000,0))&amp;IF(INDEX(Однолинейка!$P$1:$P$1000,MATCH(305,Однолинейка!$BV$1:$BV$1000,0))="","","/"&amp;INDEX(Однолинейка!$P$1:$P$1000,MATCH(305,Однолинейка!$BV$1:$BV$1000,0))),"")</f>
      </c>
      <c r="D307" s="133">
        <f>IFERROR(INDEX(Однолинейка!$R$1:$R$1000,MATCH(305,Однолинейка!$BV$1:$BV$1000,0)),"")</f>
      </c>
      <c r="E307" s="133">
        <f>IFERROR(INDEX(Однолинейка!$S$1:$S$1000,MATCH(305,Однолинейка!$BV$1:$BV$1000,0)),"")</f>
      </c>
      <c r="F307" s="133">
        <f>IFERROR(INDEX(Однолинейка!$Q$1:$Q$1000,MATCH(305,Однолинейка!$BV$1:$BV$1000,0)),"")</f>
      </c>
    </row>
    <row r="308">
      <c r="A308" s="133">
        <f>IF(ISNUMBER(MATCH(306,Однолинейка!$BV$1:$BV$1000,0)),306,"")</f>
      </c>
      <c r="B308" s="133">
        <f>IFERROR(INDEX(Однолинейка!$A$1:$A$1000,MATCH(306,Однолинейка!$BV$1:$BV$1000,0)),"")</f>
      </c>
      <c r="C308" s="133">
        <f>IFERROR(INDEX(Однолинейка!$G$1:$G$1000,MATCH(306,Однолинейка!$BV$1:$BV$1000,0))&amp;IF(INDEX(Однолинейка!$P$1:$P$1000,MATCH(306,Однолинейка!$BV$1:$BV$1000,0))="","","/"&amp;INDEX(Однолинейка!$P$1:$P$1000,MATCH(306,Однолинейка!$BV$1:$BV$1000,0))),"")</f>
      </c>
      <c r="D308" s="133">
        <f>IFERROR(INDEX(Однолинейка!$R$1:$R$1000,MATCH(306,Однолинейка!$BV$1:$BV$1000,0)),"")</f>
      </c>
      <c r="E308" s="133">
        <f>IFERROR(INDEX(Однолинейка!$S$1:$S$1000,MATCH(306,Однолинейка!$BV$1:$BV$1000,0)),"")</f>
      </c>
      <c r="F308" s="133">
        <f>IFERROR(INDEX(Однолинейка!$Q$1:$Q$1000,MATCH(306,Однолинейка!$BV$1:$BV$1000,0)),"")</f>
      </c>
    </row>
    <row r="309">
      <c r="A309" s="133">
        <f>IF(ISNUMBER(MATCH(307,Однолинейка!$BV$1:$BV$1000,0)),307,"")</f>
      </c>
      <c r="B309" s="133">
        <f>IFERROR(INDEX(Однолинейка!$A$1:$A$1000,MATCH(307,Однолинейка!$BV$1:$BV$1000,0)),"")</f>
      </c>
      <c r="C309" s="133">
        <f>IFERROR(INDEX(Однолинейка!$G$1:$G$1000,MATCH(307,Однолинейка!$BV$1:$BV$1000,0))&amp;IF(INDEX(Однолинейка!$P$1:$P$1000,MATCH(307,Однолинейка!$BV$1:$BV$1000,0))="","","/"&amp;INDEX(Однолинейка!$P$1:$P$1000,MATCH(307,Однолинейка!$BV$1:$BV$1000,0))),"")</f>
      </c>
      <c r="D309" s="133">
        <f>IFERROR(INDEX(Однолинейка!$R$1:$R$1000,MATCH(307,Однолинейка!$BV$1:$BV$1000,0)),"")</f>
      </c>
      <c r="E309" s="133">
        <f>IFERROR(INDEX(Однолинейка!$S$1:$S$1000,MATCH(307,Однолинейка!$BV$1:$BV$1000,0)),"")</f>
      </c>
      <c r="F309" s="133">
        <f>IFERROR(INDEX(Однолинейка!$Q$1:$Q$1000,MATCH(307,Однолинейка!$BV$1:$BV$1000,0)),"")</f>
      </c>
    </row>
    <row r="310">
      <c r="A310" s="133">
        <f>IF(ISNUMBER(MATCH(308,Однолинейка!$BV$1:$BV$1000,0)),308,"")</f>
      </c>
      <c r="B310" s="133">
        <f>IFERROR(INDEX(Однолинейка!$A$1:$A$1000,MATCH(308,Однолинейка!$BV$1:$BV$1000,0)),"")</f>
      </c>
      <c r="C310" s="133">
        <f>IFERROR(INDEX(Однолинейка!$G$1:$G$1000,MATCH(308,Однолинейка!$BV$1:$BV$1000,0))&amp;IF(INDEX(Однолинейка!$P$1:$P$1000,MATCH(308,Однолинейка!$BV$1:$BV$1000,0))="","","/"&amp;INDEX(Однолинейка!$P$1:$P$1000,MATCH(308,Однолинейка!$BV$1:$BV$1000,0))),"")</f>
      </c>
      <c r="D310" s="133">
        <f>IFERROR(INDEX(Однолинейка!$R$1:$R$1000,MATCH(308,Однолинейка!$BV$1:$BV$1000,0)),"")</f>
      </c>
      <c r="E310" s="133">
        <f>IFERROR(INDEX(Однолинейка!$S$1:$S$1000,MATCH(308,Однолинейка!$BV$1:$BV$1000,0)),"")</f>
      </c>
      <c r="F310" s="133">
        <f>IFERROR(INDEX(Однолинейка!$Q$1:$Q$1000,MATCH(308,Однолинейка!$BV$1:$BV$1000,0)),"")</f>
      </c>
    </row>
    <row r="311">
      <c r="A311" s="133">
        <f>IF(ISNUMBER(MATCH(309,Однолинейка!$BV$1:$BV$1000,0)),309,"")</f>
      </c>
      <c r="B311" s="133">
        <f>IFERROR(INDEX(Однолинейка!$A$1:$A$1000,MATCH(309,Однолинейка!$BV$1:$BV$1000,0)),"")</f>
      </c>
      <c r="C311" s="133">
        <f>IFERROR(INDEX(Однолинейка!$G$1:$G$1000,MATCH(309,Однолинейка!$BV$1:$BV$1000,0))&amp;IF(INDEX(Однолинейка!$P$1:$P$1000,MATCH(309,Однолинейка!$BV$1:$BV$1000,0))="","","/"&amp;INDEX(Однолинейка!$P$1:$P$1000,MATCH(309,Однолинейка!$BV$1:$BV$1000,0))),"")</f>
      </c>
      <c r="D311" s="133">
        <f>IFERROR(INDEX(Однолинейка!$R$1:$R$1000,MATCH(309,Однолинейка!$BV$1:$BV$1000,0)),"")</f>
      </c>
      <c r="E311" s="133">
        <f>IFERROR(INDEX(Однолинейка!$S$1:$S$1000,MATCH(309,Однолинейка!$BV$1:$BV$1000,0)),"")</f>
      </c>
      <c r="F311" s="133">
        <f>IFERROR(INDEX(Однолинейка!$Q$1:$Q$1000,MATCH(309,Однолинейка!$BV$1:$BV$1000,0)),"")</f>
      </c>
    </row>
    <row r="312">
      <c r="A312" s="133">
        <f>IF(ISNUMBER(MATCH(310,Однолинейка!$BV$1:$BV$1000,0)),310,"")</f>
      </c>
      <c r="B312" s="133">
        <f>IFERROR(INDEX(Однолинейка!$A$1:$A$1000,MATCH(310,Однолинейка!$BV$1:$BV$1000,0)),"")</f>
      </c>
      <c r="C312" s="133">
        <f>IFERROR(INDEX(Однолинейка!$G$1:$G$1000,MATCH(310,Однолинейка!$BV$1:$BV$1000,0))&amp;IF(INDEX(Однолинейка!$P$1:$P$1000,MATCH(310,Однолинейка!$BV$1:$BV$1000,0))="","","/"&amp;INDEX(Однолинейка!$P$1:$P$1000,MATCH(310,Однолинейка!$BV$1:$BV$1000,0))),"")</f>
      </c>
      <c r="D312" s="133">
        <f>IFERROR(INDEX(Однолинейка!$R$1:$R$1000,MATCH(310,Однолинейка!$BV$1:$BV$1000,0)),"")</f>
      </c>
      <c r="E312" s="133">
        <f>IFERROR(INDEX(Однолинейка!$S$1:$S$1000,MATCH(310,Однолинейка!$BV$1:$BV$1000,0)),"")</f>
      </c>
      <c r="F312" s="133">
        <f>IFERROR(INDEX(Однолинейка!$Q$1:$Q$1000,MATCH(310,Однолинейка!$BV$1:$BV$1000,0)),"")</f>
      </c>
    </row>
    <row r="313">
      <c r="A313" s="133">
        <f>IF(ISNUMBER(MATCH(311,Однолинейка!$BV$1:$BV$1000,0)),311,"")</f>
      </c>
      <c r="B313" s="133">
        <f>IFERROR(INDEX(Однолинейка!$A$1:$A$1000,MATCH(311,Однолинейка!$BV$1:$BV$1000,0)),"")</f>
      </c>
      <c r="C313" s="133">
        <f>IFERROR(INDEX(Однолинейка!$G$1:$G$1000,MATCH(311,Однолинейка!$BV$1:$BV$1000,0))&amp;IF(INDEX(Однолинейка!$P$1:$P$1000,MATCH(311,Однолинейка!$BV$1:$BV$1000,0))="","","/"&amp;INDEX(Однолинейка!$P$1:$P$1000,MATCH(311,Однолинейка!$BV$1:$BV$1000,0))),"")</f>
      </c>
      <c r="D313" s="133">
        <f>IFERROR(INDEX(Однолинейка!$R$1:$R$1000,MATCH(311,Однолинейка!$BV$1:$BV$1000,0)),"")</f>
      </c>
      <c r="E313" s="133">
        <f>IFERROR(INDEX(Однолинейка!$S$1:$S$1000,MATCH(311,Однолинейка!$BV$1:$BV$1000,0)),"")</f>
      </c>
      <c r="F313" s="133">
        <f>IFERROR(INDEX(Однолинейка!$Q$1:$Q$1000,MATCH(311,Однолинейка!$BV$1:$BV$1000,0)),"")</f>
      </c>
    </row>
    <row r="314">
      <c r="A314" s="133">
        <f>IF(ISNUMBER(MATCH(312,Однолинейка!$BV$1:$BV$1000,0)),312,"")</f>
      </c>
      <c r="B314" s="133">
        <f>IFERROR(INDEX(Однолинейка!$A$1:$A$1000,MATCH(312,Однолинейка!$BV$1:$BV$1000,0)),"")</f>
      </c>
      <c r="C314" s="133">
        <f>IFERROR(INDEX(Однолинейка!$G$1:$G$1000,MATCH(312,Однолинейка!$BV$1:$BV$1000,0))&amp;IF(INDEX(Однолинейка!$P$1:$P$1000,MATCH(312,Однолинейка!$BV$1:$BV$1000,0))="","","/"&amp;INDEX(Однолинейка!$P$1:$P$1000,MATCH(312,Однолинейка!$BV$1:$BV$1000,0))),"")</f>
      </c>
      <c r="D314" s="133">
        <f>IFERROR(INDEX(Однолинейка!$R$1:$R$1000,MATCH(312,Однолинейка!$BV$1:$BV$1000,0)),"")</f>
      </c>
      <c r="E314" s="133">
        <f>IFERROR(INDEX(Однолинейка!$S$1:$S$1000,MATCH(312,Однолинейка!$BV$1:$BV$1000,0)),"")</f>
      </c>
      <c r="F314" s="133">
        <f>IFERROR(INDEX(Однолинейка!$Q$1:$Q$1000,MATCH(312,Однолинейка!$BV$1:$BV$1000,0)),"")</f>
      </c>
    </row>
    <row r="315">
      <c r="A315" s="133">
        <f>IF(ISNUMBER(MATCH(313,Однолинейка!$BV$1:$BV$1000,0)),313,"")</f>
      </c>
      <c r="B315" s="133">
        <f>IFERROR(INDEX(Однолинейка!$A$1:$A$1000,MATCH(313,Однолинейка!$BV$1:$BV$1000,0)),"")</f>
      </c>
      <c r="C315" s="133">
        <f>IFERROR(INDEX(Однолинейка!$G$1:$G$1000,MATCH(313,Однолинейка!$BV$1:$BV$1000,0))&amp;IF(INDEX(Однолинейка!$P$1:$P$1000,MATCH(313,Однолинейка!$BV$1:$BV$1000,0))="","","/"&amp;INDEX(Однолинейка!$P$1:$P$1000,MATCH(313,Однолинейка!$BV$1:$BV$1000,0))),"")</f>
      </c>
      <c r="D315" s="133">
        <f>IFERROR(INDEX(Однолинейка!$R$1:$R$1000,MATCH(313,Однолинейка!$BV$1:$BV$1000,0)),"")</f>
      </c>
      <c r="E315" s="133">
        <f>IFERROR(INDEX(Однолинейка!$S$1:$S$1000,MATCH(313,Однолинейка!$BV$1:$BV$1000,0)),"")</f>
      </c>
      <c r="F315" s="133">
        <f>IFERROR(INDEX(Однолинейка!$Q$1:$Q$1000,MATCH(313,Однолинейка!$BV$1:$BV$1000,0)),"")</f>
      </c>
    </row>
    <row r="316">
      <c r="A316" s="133">
        <f>IF(ISNUMBER(MATCH(314,Однолинейка!$BV$1:$BV$1000,0)),314,"")</f>
      </c>
      <c r="B316" s="133">
        <f>IFERROR(INDEX(Однолинейка!$A$1:$A$1000,MATCH(314,Однолинейка!$BV$1:$BV$1000,0)),"")</f>
      </c>
      <c r="C316" s="133">
        <f>IFERROR(INDEX(Однолинейка!$G$1:$G$1000,MATCH(314,Однолинейка!$BV$1:$BV$1000,0))&amp;IF(INDEX(Однолинейка!$P$1:$P$1000,MATCH(314,Однолинейка!$BV$1:$BV$1000,0))="","","/"&amp;INDEX(Однолинейка!$P$1:$P$1000,MATCH(314,Однолинейка!$BV$1:$BV$1000,0))),"")</f>
      </c>
      <c r="D316" s="133">
        <f>IFERROR(INDEX(Однолинейка!$R$1:$R$1000,MATCH(314,Однолинейка!$BV$1:$BV$1000,0)),"")</f>
      </c>
      <c r="E316" s="133">
        <f>IFERROR(INDEX(Однолинейка!$S$1:$S$1000,MATCH(314,Однолинейка!$BV$1:$BV$1000,0)),"")</f>
      </c>
      <c r="F316" s="133">
        <f>IFERROR(INDEX(Однолинейка!$Q$1:$Q$1000,MATCH(314,Однолинейка!$BV$1:$BV$1000,0)),"")</f>
      </c>
    </row>
    <row r="317">
      <c r="A317" s="133">
        <f>IF(ISNUMBER(MATCH(315,Однолинейка!$BV$1:$BV$1000,0)),315,"")</f>
      </c>
      <c r="B317" s="133">
        <f>IFERROR(INDEX(Однолинейка!$A$1:$A$1000,MATCH(315,Однолинейка!$BV$1:$BV$1000,0)),"")</f>
      </c>
      <c r="C317" s="133">
        <f>IFERROR(INDEX(Однолинейка!$G$1:$G$1000,MATCH(315,Однолинейка!$BV$1:$BV$1000,0))&amp;IF(INDEX(Однолинейка!$P$1:$P$1000,MATCH(315,Однолинейка!$BV$1:$BV$1000,0))="","","/"&amp;INDEX(Однолинейка!$P$1:$P$1000,MATCH(315,Однолинейка!$BV$1:$BV$1000,0))),"")</f>
      </c>
      <c r="D317" s="133">
        <f>IFERROR(INDEX(Однолинейка!$R$1:$R$1000,MATCH(315,Однолинейка!$BV$1:$BV$1000,0)),"")</f>
      </c>
      <c r="E317" s="133">
        <f>IFERROR(INDEX(Однолинейка!$S$1:$S$1000,MATCH(315,Однолинейка!$BV$1:$BV$1000,0)),"")</f>
      </c>
      <c r="F317" s="133">
        <f>IFERROR(INDEX(Однолинейка!$Q$1:$Q$1000,MATCH(315,Однолинейка!$BV$1:$BV$1000,0)),"")</f>
      </c>
    </row>
    <row r="318">
      <c r="A318" s="133">
        <f>IF(ISNUMBER(MATCH(316,Однолинейка!$BV$1:$BV$1000,0)),316,"")</f>
      </c>
      <c r="B318" s="133">
        <f>IFERROR(INDEX(Однолинейка!$A$1:$A$1000,MATCH(316,Однолинейка!$BV$1:$BV$1000,0)),"")</f>
      </c>
      <c r="C318" s="133">
        <f>IFERROR(INDEX(Однолинейка!$G$1:$G$1000,MATCH(316,Однолинейка!$BV$1:$BV$1000,0))&amp;IF(INDEX(Однолинейка!$P$1:$P$1000,MATCH(316,Однолинейка!$BV$1:$BV$1000,0))="","","/"&amp;INDEX(Однолинейка!$P$1:$P$1000,MATCH(316,Однолинейка!$BV$1:$BV$1000,0))),"")</f>
      </c>
      <c r="D318" s="133">
        <f>IFERROR(INDEX(Однолинейка!$R$1:$R$1000,MATCH(316,Однолинейка!$BV$1:$BV$1000,0)),"")</f>
      </c>
      <c r="E318" s="133">
        <f>IFERROR(INDEX(Однолинейка!$S$1:$S$1000,MATCH(316,Однолинейка!$BV$1:$BV$1000,0)),"")</f>
      </c>
      <c r="F318" s="133">
        <f>IFERROR(INDEX(Однолинейка!$Q$1:$Q$1000,MATCH(316,Однолинейка!$BV$1:$BV$1000,0)),"")</f>
      </c>
    </row>
    <row r="319">
      <c r="A319" s="133">
        <f>IF(ISNUMBER(MATCH(317,Однолинейка!$BV$1:$BV$1000,0)),317,"")</f>
      </c>
      <c r="B319" s="133">
        <f>IFERROR(INDEX(Однолинейка!$A$1:$A$1000,MATCH(317,Однолинейка!$BV$1:$BV$1000,0)),"")</f>
      </c>
      <c r="C319" s="133">
        <f>IFERROR(INDEX(Однолинейка!$G$1:$G$1000,MATCH(317,Однолинейка!$BV$1:$BV$1000,0))&amp;IF(INDEX(Однолинейка!$P$1:$P$1000,MATCH(317,Однолинейка!$BV$1:$BV$1000,0))="","","/"&amp;INDEX(Однолинейка!$P$1:$P$1000,MATCH(317,Однолинейка!$BV$1:$BV$1000,0))),"")</f>
      </c>
      <c r="D319" s="133">
        <f>IFERROR(INDEX(Однолинейка!$R$1:$R$1000,MATCH(317,Однолинейка!$BV$1:$BV$1000,0)),"")</f>
      </c>
      <c r="E319" s="133">
        <f>IFERROR(INDEX(Однолинейка!$S$1:$S$1000,MATCH(317,Однолинейка!$BV$1:$BV$1000,0)),"")</f>
      </c>
      <c r="F319" s="133">
        <f>IFERROR(INDEX(Однолинейка!$Q$1:$Q$1000,MATCH(317,Однолинейка!$BV$1:$BV$1000,0)),"")</f>
      </c>
    </row>
    <row r="320">
      <c r="A320" s="133">
        <f>IF(ISNUMBER(MATCH(318,Однолинейка!$BV$1:$BV$1000,0)),318,"")</f>
      </c>
      <c r="B320" s="133">
        <f>IFERROR(INDEX(Однолинейка!$A$1:$A$1000,MATCH(318,Однолинейка!$BV$1:$BV$1000,0)),"")</f>
      </c>
      <c r="C320" s="133">
        <f>IFERROR(INDEX(Однолинейка!$G$1:$G$1000,MATCH(318,Однолинейка!$BV$1:$BV$1000,0))&amp;IF(INDEX(Однолинейка!$P$1:$P$1000,MATCH(318,Однолинейка!$BV$1:$BV$1000,0))="","","/"&amp;INDEX(Однолинейка!$P$1:$P$1000,MATCH(318,Однолинейка!$BV$1:$BV$1000,0))),"")</f>
      </c>
      <c r="D320" s="133">
        <f>IFERROR(INDEX(Однолинейка!$R$1:$R$1000,MATCH(318,Однолинейка!$BV$1:$BV$1000,0)),"")</f>
      </c>
      <c r="E320" s="133">
        <f>IFERROR(INDEX(Однолинейка!$S$1:$S$1000,MATCH(318,Однолинейка!$BV$1:$BV$1000,0)),"")</f>
      </c>
      <c r="F320" s="133">
        <f>IFERROR(INDEX(Однолинейка!$Q$1:$Q$1000,MATCH(318,Однолинейка!$BV$1:$BV$1000,0)),"")</f>
      </c>
    </row>
    <row r="321">
      <c r="A321" s="133">
        <f>IF(ISNUMBER(MATCH(319,Однолинейка!$BV$1:$BV$1000,0)),319,"")</f>
      </c>
      <c r="B321" s="133">
        <f>IFERROR(INDEX(Однолинейка!$A$1:$A$1000,MATCH(319,Однолинейка!$BV$1:$BV$1000,0)),"")</f>
      </c>
      <c r="C321" s="133">
        <f>IFERROR(INDEX(Однолинейка!$G$1:$G$1000,MATCH(319,Однолинейка!$BV$1:$BV$1000,0))&amp;IF(INDEX(Однолинейка!$P$1:$P$1000,MATCH(319,Однолинейка!$BV$1:$BV$1000,0))="","","/"&amp;INDEX(Однолинейка!$P$1:$P$1000,MATCH(319,Однолинейка!$BV$1:$BV$1000,0))),"")</f>
      </c>
      <c r="D321" s="133">
        <f>IFERROR(INDEX(Однолинейка!$R$1:$R$1000,MATCH(319,Однолинейка!$BV$1:$BV$1000,0)),"")</f>
      </c>
      <c r="E321" s="133">
        <f>IFERROR(INDEX(Однолинейка!$S$1:$S$1000,MATCH(319,Однолинейка!$BV$1:$BV$1000,0)),"")</f>
      </c>
      <c r="F321" s="133">
        <f>IFERROR(INDEX(Однолинейка!$Q$1:$Q$1000,MATCH(319,Однолинейка!$BV$1:$BV$1000,0)),"")</f>
      </c>
    </row>
    <row r="322">
      <c r="A322" s="133">
        <f>IF(ISNUMBER(MATCH(320,Однолинейка!$BV$1:$BV$1000,0)),320,"")</f>
      </c>
      <c r="B322" s="133">
        <f>IFERROR(INDEX(Однолинейка!$A$1:$A$1000,MATCH(320,Однолинейка!$BV$1:$BV$1000,0)),"")</f>
      </c>
      <c r="C322" s="133">
        <f>IFERROR(INDEX(Однолинейка!$G$1:$G$1000,MATCH(320,Однолинейка!$BV$1:$BV$1000,0))&amp;IF(INDEX(Однолинейка!$P$1:$P$1000,MATCH(320,Однолинейка!$BV$1:$BV$1000,0))="","","/"&amp;INDEX(Однолинейка!$P$1:$P$1000,MATCH(320,Однолинейка!$BV$1:$BV$1000,0))),"")</f>
      </c>
      <c r="D322" s="133">
        <f>IFERROR(INDEX(Однолинейка!$R$1:$R$1000,MATCH(320,Однолинейка!$BV$1:$BV$1000,0)),"")</f>
      </c>
      <c r="E322" s="133">
        <f>IFERROR(INDEX(Однолинейка!$S$1:$S$1000,MATCH(320,Однолинейка!$BV$1:$BV$1000,0)),"")</f>
      </c>
      <c r="F322" s="133">
        <f>IFERROR(INDEX(Однолинейка!$Q$1:$Q$1000,MATCH(320,Однолинейка!$BV$1:$BV$1000,0)),"")</f>
      </c>
    </row>
    <row r="323">
      <c r="A323" s="133">
        <f>IF(ISNUMBER(MATCH(321,Однолинейка!$BV$1:$BV$1000,0)),321,"")</f>
      </c>
      <c r="B323" s="133">
        <f>IFERROR(INDEX(Однолинейка!$A$1:$A$1000,MATCH(321,Однолинейка!$BV$1:$BV$1000,0)),"")</f>
      </c>
      <c r="C323" s="133">
        <f>IFERROR(INDEX(Однолинейка!$G$1:$G$1000,MATCH(321,Однолинейка!$BV$1:$BV$1000,0))&amp;IF(INDEX(Однолинейка!$P$1:$P$1000,MATCH(321,Однолинейка!$BV$1:$BV$1000,0))="","","/"&amp;INDEX(Однолинейка!$P$1:$P$1000,MATCH(321,Однолинейка!$BV$1:$BV$1000,0))),"")</f>
      </c>
      <c r="D323" s="133">
        <f>IFERROR(INDEX(Однолинейка!$R$1:$R$1000,MATCH(321,Однолинейка!$BV$1:$BV$1000,0)),"")</f>
      </c>
      <c r="E323" s="133">
        <f>IFERROR(INDEX(Однолинейка!$S$1:$S$1000,MATCH(321,Однолинейка!$BV$1:$BV$1000,0)),"")</f>
      </c>
      <c r="F323" s="133">
        <f>IFERROR(INDEX(Однолинейка!$Q$1:$Q$1000,MATCH(321,Однолинейка!$BV$1:$BV$1000,0)),"")</f>
      </c>
    </row>
    <row r="324">
      <c r="A324" s="133">
        <f>IF(ISNUMBER(MATCH(322,Однолинейка!$BV$1:$BV$1000,0)),322,"")</f>
      </c>
      <c r="B324" s="133">
        <f>IFERROR(INDEX(Однолинейка!$A$1:$A$1000,MATCH(322,Однолинейка!$BV$1:$BV$1000,0)),"")</f>
      </c>
      <c r="C324" s="133">
        <f>IFERROR(INDEX(Однолинейка!$G$1:$G$1000,MATCH(322,Однолинейка!$BV$1:$BV$1000,0))&amp;IF(INDEX(Однолинейка!$P$1:$P$1000,MATCH(322,Однолинейка!$BV$1:$BV$1000,0))="","","/"&amp;INDEX(Однолинейка!$P$1:$P$1000,MATCH(322,Однолинейка!$BV$1:$BV$1000,0))),"")</f>
      </c>
      <c r="D324" s="133">
        <f>IFERROR(INDEX(Однолинейка!$R$1:$R$1000,MATCH(322,Однолинейка!$BV$1:$BV$1000,0)),"")</f>
      </c>
      <c r="E324" s="133">
        <f>IFERROR(INDEX(Однолинейка!$S$1:$S$1000,MATCH(322,Однолинейка!$BV$1:$BV$1000,0)),"")</f>
      </c>
      <c r="F324" s="133">
        <f>IFERROR(INDEX(Однолинейка!$Q$1:$Q$1000,MATCH(322,Однолинейка!$BV$1:$BV$1000,0)),"")</f>
      </c>
    </row>
    <row r="325">
      <c r="A325" s="133">
        <f>IF(ISNUMBER(MATCH(323,Однолинейка!$BV$1:$BV$1000,0)),323,"")</f>
      </c>
      <c r="B325" s="133">
        <f>IFERROR(INDEX(Однолинейка!$A$1:$A$1000,MATCH(323,Однолинейка!$BV$1:$BV$1000,0)),"")</f>
      </c>
      <c r="C325" s="133">
        <f>IFERROR(INDEX(Однолинейка!$G$1:$G$1000,MATCH(323,Однолинейка!$BV$1:$BV$1000,0))&amp;IF(INDEX(Однолинейка!$P$1:$P$1000,MATCH(323,Однолинейка!$BV$1:$BV$1000,0))="","","/"&amp;INDEX(Однолинейка!$P$1:$P$1000,MATCH(323,Однолинейка!$BV$1:$BV$1000,0))),"")</f>
      </c>
      <c r="D325" s="133">
        <f>IFERROR(INDEX(Однолинейка!$R$1:$R$1000,MATCH(323,Однолинейка!$BV$1:$BV$1000,0)),"")</f>
      </c>
      <c r="E325" s="133">
        <f>IFERROR(INDEX(Однолинейка!$S$1:$S$1000,MATCH(323,Однолинейка!$BV$1:$BV$1000,0)),"")</f>
      </c>
      <c r="F325" s="133">
        <f>IFERROR(INDEX(Однолинейка!$Q$1:$Q$1000,MATCH(323,Однолинейка!$BV$1:$BV$1000,0)),"")</f>
      </c>
    </row>
    <row r="326">
      <c r="A326" s="133">
        <f>IF(ISNUMBER(MATCH(324,Однолинейка!$BV$1:$BV$1000,0)),324,"")</f>
      </c>
      <c r="B326" s="133">
        <f>IFERROR(INDEX(Однолинейка!$A$1:$A$1000,MATCH(324,Однолинейка!$BV$1:$BV$1000,0)),"")</f>
      </c>
      <c r="C326" s="133">
        <f>IFERROR(INDEX(Однолинейка!$G$1:$G$1000,MATCH(324,Однолинейка!$BV$1:$BV$1000,0))&amp;IF(INDEX(Однолинейка!$P$1:$P$1000,MATCH(324,Однолинейка!$BV$1:$BV$1000,0))="","","/"&amp;INDEX(Однолинейка!$P$1:$P$1000,MATCH(324,Однолинейка!$BV$1:$BV$1000,0))),"")</f>
      </c>
      <c r="D326" s="133">
        <f>IFERROR(INDEX(Однолинейка!$R$1:$R$1000,MATCH(324,Однолинейка!$BV$1:$BV$1000,0)),"")</f>
      </c>
      <c r="E326" s="133">
        <f>IFERROR(INDEX(Однолинейка!$S$1:$S$1000,MATCH(324,Однолинейка!$BV$1:$BV$1000,0)),"")</f>
      </c>
      <c r="F326" s="133">
        <f>IFERROR(INDEX(Однолинейка!$Q$1:$Q$1000,MATCH(324,Однолинейка!$BV$1:$BV$1000,0)),"")</f>
      </c>
    </row>
    <row r="327">
      <c r="A327" s="133">
        <f>IF(ISNUMBER(MATCH(325,Однолинейка!$BV$1:$BV$1000,0)),325,"")</f>
      </c>
      <c r="B327" s="133">
        <f>IFERROR(INDEX(Однолинейка!$A$1:$A$1000,MATCH(325,Однолинейка!$BV$1:$BV$1000,0)),"")</f>
      </c>
      <c r="C327" s="133">
        <f>IFERROR(INDEX(Однолинейка!$G$1:$G$1000,MATCH(325,Однолинейка!$BV$1:$BV$1000,0))&amp;IF(INDEX(Однолинейка!$P$1:$P$1000,MATCH(325,Однолинейка!$BV$1:$BV$1000,0))="","","/"&amp;INDEX(Однолинейка!$P$1:$P$1000,MATCH(325,Однолинейка!$BV$1:$BV$1000,0))),"")</f>
      </c>
      <c r="D327" s="133">
        <f>IFERROR(INDEX(Однолинейка!$R$1:$R$1000,MATCH(325,Однолинейка!$BV$1:$BV$1000,0)),"")</f>
      </c>
      <c r="E327" s="133">
        <f>IFERROR(INDEX(Однолинейка!$S$1:$S$1000,MATCH(325,Однолинейка!$BV$1:$BV$1000,0)),"")</f>
      </c>
      <c r="F327" s="133">
        <f>IFERROR(INDEX(Однолинейка!$Q$1:$Q$1000,MATCH(325,Однолинейка!$BV$1:$BV$1000,0)),"")</f>
      </c>
    </row>
    <row r="328">
      <c r="A328" s="133">
        <f>IF(ISNUMBER(MATCH(326,Однолинейка!$BV$1:$BV$1000,0)),326,"")</f>
      </c>
      <c r="B328" s="133">
        <f>IFERROR(INDEX(Однолинейка!$A$1:$A$1000,MATCH(326,Однолинейка!$BV$1:$BV$1000,0)),"")</f>
      </c>
      <c r="C328" s="133">
        <f>IFERROR(INDEX(Однолинейка!$G$1:$G$1000,MATCH(326,Однолинейка!$BV$1:$BV$1000,0))&amp;IF(INDEX(Однолинейка!$P$1:$P$1000,MATCH(326,Однолинейка!$BV$1:$BV$1000,0))="","","/"&amp;INDEX(Однолинейка!$P$1:$P$1000,MATCH(326,Однолинейка!$BV$1:$BV$1000,0))),"")</f>
      </c>
      <c r="D328" s="133">
        <f>IFERROR(INDEX(Однолинейка!$R$1:$R$1000,MATCH(326,Однолинейка!$BV$1:$BV$1000,0)),"")</f>
      </c>
      <c r="E328" s="133">
        <f>IFERROR(INDEX(Однолинейка!$S$1:$S$1000,MATCH(326,Однолинейка!$BV$1:$BV$1000,0)),"")</f>
      </c>
      <c r="F328" s="133">
        <f>IFERROR(INDEX(Однолинейка!$Q$1:$Q$1000,MATCH(326,Однолинейка!$BV$1:$BV$1000,0)),"")</f>
      </c>
    </row>
    <row r="329">
      <c r="A329" s="133">
        <f>IF(ISNUMBER(MATCH(327,Однолинейка!$BV$1:$BV$1000,0)),327,"")</f>
      </c>
      <c r="B329" s="133">
        <f>IFERROR(INDEX(Однолинейка!$A$1:$A$1000,MATCH(327,Однолинейка!$BV$1:$BV$1000,0)),"")</f>
      </c>
      <c r="C329" s="133">
        <f>IFERROR(INDEX(Однолинейка!$G$1:$G$1000,MATCH(327,Однолинейка!$BV$1:$BV$1000,0))&amp;IF(INDEX(Однолинейка!$P$1:$P$1000,MATCH(327,Однолинейка!$BV$1:$BV$1000,0))="","","/"&amp;INDEX(Однолинейка!$P$1:$P$1000,MATCH(327,Однолинейка!$BV$1:$BV$1000,0))),"")</f>
      </c>
      <c r="D329" s="133">
        <f>IFERROR(INDEX(Однолинейка!$R$1:$R$1000,MATCH(327,Однолинейка!$BV$1:$BV$1000,0)),"")</f>
      </c>
      <c r="E329" s="133">
        <f>IFERROR(INDEX(Однолинейка!$S$1:$S$1000,MATCH(327,Однолинейка!$BV$1:$BV$1000,0)),"")</f>
      </c>
      <c r="F329" s="133">
        <f>IFERROR(INDEX(Однолинейка!$Q$1:$Q$1000,MATCH(327,Однолинейка!$BV$1:$BV$1000,0)),"")</f>
      </c>
    </row>
    <row r="330">
      <c r="A330" s="133">
        <f>IF(ISNUMBER(MATCH(328,Однолинейка!$BV$1:$BV$1000,0)),328,"")</f>
      </c>
      <c r="B330" s="133">
        <f>IFERROR(INDEX(Однолинейка!$A$1:$A$1000,MATCH(328,Однолинейка!$BV$1:$BV$1000,0)),"")</f>
      </c>
      <c r="C330" s="133">
        <f>IFERROR(INDEX(Однолинейка!$G$1:$G$1000,MATCH(328,Однолинейка!$BV$1:$BV$1000,0))&amp;IF(INDEX(Однолинейка!$P$1:$P$1000,MATCH(328,Однолинейка!$BV$1:$BV$1000,0))="","","/"&amp;INDEX(Однолинейка!$P$1:$P$1000,MATCH(328,Однолинейка!$BV$1:$BV$1000,0))),"")</f>
      </c>
      <c r="D330" s="133">
        <f>IFERROR(INDEX(Однолинейка!$R$1:$R$1000,MATCH(328,Однолинейка!$BV$1:$BV$1000,0)),"")</f>
      </c>
      <c r="E330" s="133">
        <f>IFERROR(INDEX(Однолинейка!$S$1:$S$1000,MATCH(328,Однолинейка!$BV$1:$BV$1000,0)),"")</f>
      </c>
      <c r="F330" s="133">
        <f>IFERROR(INDEX(Однолинейка!$Q$1:$Q$1000,MATCH(328,Однолинейка!$BV$1:$BV$1000,0)),"")</f>
      </c>
    </row>
    <row r="331">
      <c r="A331" s="133">
        <f>IF(ISNUMBER(MATCH(329,Однолинейка!$BV$1:$BV$1000,0)),329,"")</f>
      </c>
      <c r="B331" s="133">
        <f>IFERROR(INDEX(Однолинейка!$A$1:$A$1000,MATCH(329,Однолинейка!$BV$1:$BV$1000,0)),"")</f>
      </c>
      <c r="C331" s="133">
        <f>IFERROR(INDEX(Однолинейка!$G$1:$G$1000,MATCH(329,Однолинейка!$BV$1:$BV$1000,0))&amp;IF(INDEX(Однолинейка!$P$1:$P$1000,MATCH(329,Однолинейка!$BV$1:$BV$1000,0))="","","/"&amp;INDEX(Однолинейка!$P$1:$P$1000,MATCH(329,Однолинейка!$BV$1:$BV$1000,0))),"")</f>
      </c>
      <c r="D331" s="133">
        <f>IFERROR(INDEX(Однолинейка!$R$1:$R$1000,MATCH(329,Однолинейка!$BV$1:$BV$1000,0)),"")</f>
      </c>
      <c r="E331" s="133">
        <f>IFERROR(INDEX(Однолинейка!$S$1:$S$1000,MATCH(329,Однолинейка!$BV$1:$BV$1000,0)),"")</f>
      </c>
      <c r="F331" s="133">
        <f>IFERROR(INDEX(Однолинейка!$Q$1:$Q$1000,MATCH(329,Однолинейка!$BV$1:$BV$1000,0)),"")</f>
      </c>
    </row>
    <row r="332">
      <c r="A332" s="133">
        <f>IF(ISNUMBER(MATCH(330,Однолинейка!$BV$1:$BV$1000,0)),330,"")</f>
      </c>
      <c r="B332" s="133">
        <f>IFERROR(INDEX(Однолинейка!$A$1:$A$1000,MATCH(330,Однолинейка!$BV$1:$BV$1000,0)),"")</f>
      </c>
      <c r="C332" s="133">
        <f>IFERROR(INDEX(Однолинейка!$G$1:$G$1000,MATCH(330,Однолинейка!$BV$1:$BV$1000,0))&amp;IF(INDEX(Однолинейка!$P$1:$P$1000,MATCH(330,Однолинейка!$BV$1:$BV$1000,0))="","","/"&amp;INDEX(Однолинейка!$P$1:$P$1000,MATCH(330,Однолинейка!$BV$1:$BV$1000,0))),"")</f>
      </c>
      <c r="D332" s="133">
        <f>IFERROR(INDEX(Однолинейка!$R$1:$R$1000,MATCH(330,Однолинейка!$BV$1:$BV$1000,0)),"")</f>
      </c>
      <c r="E332" s="133">
        <f>IFERROR(INDEX(Однолинейка!$S$1:$S$1000,MATCH(330,Однолинейка!$BV$1:$BV$1000,0)),"")</f>
      </c>
      <c r="F332" s="133">
        <f>IFERROR(INDEX(Однолинейка!$Q$1:$Q$1000,MATCH(330,Однолинейка!$BV$1:$BV$1000,0)),"")</f>
      </c>
    </row>
    <row r="333">
      <c r="A333" s="133">
        <f>IF(ISNUMBER(MATCH(331,Однолинейка!$BV$1:$BV$1000,0)),331,"")</f>
      </c>
      <c r="B333" s="133">
        <f>IFERROR(INDEX(Однолинейка!$A$1:$A$1000,MATCH(331,Однолинейка!$BV$1:$BV$1000,0)),"")</f>
      </c>
      <c r="C333" s="133">
        <f>IFERROR(INDEX(Однолинейка!$G$1:$G$1000,MATCH(331,Однолинейка!$BV$1:$BV$1000,0))&amp;IF(INDEX(Однолинейка!$P$1:$P$1000,MATCH(331,Однолинейка!$BV$1:$BV$1000,0))="","","/"&amp;INDEX(Однолинейка!$P$1:$P$1000,MATCH(331,Однолинейка!$BV$1:$BV$1000,0))),"")</f>
      </c>
      <c r="D333" s="133">
        <f>IFERROR(INDEX(Однолинейка!$R$1:$R$1000,MATCH(331,Однолинейка!$BV$1:$BV$1000,0)),"")</f>
      </c>
      <c r="E333" s="133">
        <f>IFERROR(INDEX(Однолинейка!$S$1:$S$1000,MATCH(331,Однолинейка!$BV$1:$BV$1000,0)),"")</f>
      </c>
      <c r="F333" s="133">
        <f>IFERROR(INDEX(Однолинейка!$Q$1:$Q$1000,MATCH(331,Однолинейка!$BV$1:$BV$1000,0)),"")</f>
      </c>
    </row>
    <row r="334">
      <c r="A334" s="133">
        <f>IF(ISNUMBER(MATCH(332,Однолинейка!$BV$1:$BV$1000,0)),332,"")</f>
      </c>
      <c r="B334" s="133">
        <f>IFERROR(INDEX(Однолинейка!$A$1:$A$1000,MATCH(332,Однолинейка!$BV$1:$BV$1000,0)),"")</f>
      </c>
      <c r="C334" s="133">
        <f>IFERROR(INDEX(Однолинейка!$G$1:$G$1000,MATCH(332,Однолинейка!$BV$1:$BV$1000,0))&amp;IF(INDEX(Однолинейка!$P$1:$P$1000,MATCH(332,Однолинейка!$BV$1:$BV$1000,0))="","","/"&amp;INDEX(Однолинейка!$P$1:$P$1000,MATCH(332,Однолинейка!$BV$1:$BV$1000,0))),"")</f>
      </c>
      <c r="D334" s="133">
        <f>IFERROR(INDEX(Однолинейка!$R$1:$R$1000,MATCH(332,Однолинейка!$BV$1:$BV$1000,0)),"")</f>
      </c>
      <c r="E334" s="133">
        <f>IFERROR(INDEX(Однолинейка!$S$1:$S$1000,MATCH(332,Однолинейка!$BV$1:$BV$1000,0)),"")</f>
      </c>
      <c r="F334" s="133">
        <f>IFERROR(INDEX(Однолинейка!$Q$1:$Q$1000,MATCH(332,Однолинейка!$BV$1:$BV$1000,0)),"")</f>
      </c>
    </row>
    <row r="335">
      <c r="A335" s="133">
        <f>IF(ISNUMBER(MATCH(333,Однолинейка!$BV$1:$BV$1000,0)),333,"")</f>
      </c>
      <c r="B335" s="133">
        <f>IFERROR(INDEX(Однолинейка!$A$1:$A$1000,MATCH(333,Однолинейка!$BV$1:$BV$1000,0)),"")</f>
      </c>
      <c r="C335" s="133">
        <f>IFERROR(INDEX(Однолинейка!$G$1:$G$1000,MATCH(333,Однолинейка!$BV$1:$BV$1000,0))&amp;IF(INDEX(Однолинейка!$P$1:$P$1000,MATCH(333,Однолинейка!$BV$1:$BV$1000,0))="","","/"&amp;INDEX(Однолинейка!$P$1:$P$1000,MATCH(333,Однолинейка!$BV$1:$BV$1000,0))),"")</f>
      </c>
      <c r="D335" s="133">
        <f>IFERROR(INDEX(Однолинейка!$R$1:$R$1000,MATCH(333,Однолинейка!$BV$1:$BV$1000,0)),"")</f>
      </c>
      <c r="E335" s="133">
        <f>IFERROR(INDEX(Однолинейка!$S$1:$S$1000,MATCH(333,Однолинейка!$BV$1:$BV$1000,0)),"")</f>
      </c>
      <c r="F335" s="133">
        <f>IFERROR(INDEX(Однолинейка!$Q$1:$Q$1000,MATCH(333,Однолинейка!$BV$1:$BV$1000,0)),"")</f>
      </c>
    </row>
    <row r="336">
      <c r="A336" s="133">
        <f>IF(ISNUMBER(MATCH(334,Однолинейка!$BV$1:$BV$1000,0)),334,"")</f>
      </c>
      <c r="B336" s="133">
        <f>IFERROR(INDEX(Однолинейка!$A$1:$A$1000,MATCH(334,Однолинейка!$BV$1:$BV$1000,0)),"")</f>
      </c>
      <c r="C336" s="133">
        <f>IFERROR(INDEX(Однолинейка!$G$1:$G$1000,MATCH(334,Однолинейка!$BV$1:$BV$1000,0))&amp;IF(INDEX(Однолинейка!$P$1:$P$1000,MATCH(334,Однолинейка!$BV$1:$BV$1000,0))="","","/"&amp;INDEX(Однолинейка!$P$1:$P$1000,MATCH(334,Однолинейка!$BV$1:$BV$1000,0))),"")</f>
      </c>
      <c r="D336" s="133">
        <f>IFERROR(INDEX(Однолинейка!$R$1:$R$1000,MATCH(334,Однолинейка!$BV$1:$BV$1000,0)),"")</f>
      </c>
      <c r="E336" s="133">
        <f>IFERROR(INDEX(Однолинейка!$S$1:$S$1000,MATCH(334,Однолинейка!$BV$1:$BV$1000,0)),"")</f>
      </c>
      <c r="F336" s="133">
        <f>IFERROR(INDEX(Однолинейка!$Q$1:$Q$1000,MATCH(334,Однолинейка!$BV$1:$BV$1000,0)),"")</f>
      </c>
    </row>
    <row r="337">
      <c r="A337" s="133">
        <f>IF(ISNUMBER(MATCH(335,Однолинейка!$BV$1:$BV$1000,0)),335,"")</f>
      </c>
      <c r="B337" s="133">
        <f>IFERROR(INDEX(Однолинейка!$A$1:$A$1000,MATCH(335,Однолинейка!$BV$1:$BV$1000,0)),"")</f>
      </c>
      <c r="C337" s="133">
        <f>IFERROR(INDEX(Однолинейка!$G$1:$G$1000,MATCH(335,Однолинейка!$BV$1:$BV$1000,0))&amp;IF(INDEX(Однолинейка!$P$1:$P$1000,MATCH(335,Однолинейка!$BV$1:$BV$1000,0))="","","/"&amp;INDEX(Однолинейка!$P$1:$P$1000,MATCH(335,Однолинейка!$BV$1:$BV$1000,0))),"")</f>
      </c>
      <c r="D337" s="133">
        <f>IFERROR(INDEX(Однолинейка!$R$1:$R$1000,MATCH(335,Однолинейка!$BV$1:$BV$1000,0)),"")</f>
      </c>
      <c r="E337" s="133">
        <f>IFERROR(INDEX(Однолинейка!$S$1:$S$1000,MATCH(335,Однолинейка!$BV$1:$BV$1000,0)),"")</f>
      </c>
      <c r="F337" s="133">
        <f>IFERROR(INDEX(Однолинейка!$Q$1:$Q$1000,MATCH(335,Однолинейка!$BV$1:$BV$1000,0)),"")</f>
      </c>
    </row>
    <row r="338">
      <c r="A338" s="133">
        <f>IF(ISNUMBER(MATCH(336,Однолинейка!$BV$1:$BV$1000,0)),336,"")</f>
      </c>
      <c r="B338" s="133">
        <f>IFERROR(INDEX(Однолинейка!$A$1:$A$1000,MATCH(336,Однолинейка!$BV$1:$BV$1000,0)),"")</f>
      </c>
      <c r="C338" s="133">
        <f>IFERROR(INDEX(Однолинейка!$G$1:$G$1000,MATCH(336,Однолинейка!$BV$1:$BV$1000,0))&amp;IF(INDEX(Однолинейка!$P$1:$P$1000,MATCH(336,Однолинейка!$BV$1:$BV$1000,0))="","","/"&amp;INDEX(Однолинейка!$P$1:$P$1000,MATCH(336,Однолинейка!$BV$1:$BV$1000,0))),"")</f>
      </c>
      <c r="D338" s="133">
        <f>IFERROR(INDEX(Однолинейка!$R$1:$R$1000,MATCH(336,Однолинейка!$BV$1:$BV$1000,0)),"")</f>
      </c>
      <c r="E338" s="133">
        <f>IFERROR(INDEX(Однолинейка!$S$1:$S$1000,MATCH(336,Однолинейка!$BV$1:$BV$1000,0)),"")</f>
      </c>
      <c r="F338" s="133">
        <f>IFERROR(INDEX(Однолинейка!$Q$1:$Q$1000,MATCH(336,Однолинейка!$BV$1:$BV$1000,0)),"")</f>
      </c>
    </row>
    <row r="339">
      <c r="A339" s="133">
        <f>IF(ISNUMBER(MATCH(337,Однолинейка!$BV$1:$BV$1000,0)),337,"")</f>
      </c>
      <c r="B339" s="133">
        <f>IFERROR(INDEX(Однолинейка!$A$1:$A$1000,MATCH(337,Однолинейка!$BV$1:$BV$1000,0)),"")</f>
      </c>
      <c r="C339" s="133">
        <f>IFERROR(INDEX(Однолинейка!$G$1:$G$1000,MATCH(337,Однолинейка!$BV$1:$BV$1000,0))&amp;IF(INDEX(Однолинейка!$P$1:$P$1000,MATCH(337,Однолинейка!$BV$1:$BV$1000,0))="","","/"&amp;INDEX(Однолинейка!$P$1:$P$1000,MATCH(337,Однолинейка!$BV$1:$BV$1000,0))),"")</f>
      </c>
      <c r="D339" s="133">
        <f>IFERROR(INDEX(Однолинейка!$R$1:$R$1000,MATCH(337,Однолинейка!$BV$1:$BV$1000,0)),"")</f>
      </c>
      <c r="E339" s="133">
        <f>IFERROR(INDEX(Однолинейка!$S$1:$S$1000,MATCH(337,Однолинейка!$BV$1:$BV$1000,0)),"")</f>
      </c>
      <c r="F339" s="133">
        <f>IFERROR(INDEX(Однолинейка!$Q$1:$Q$1000,MATCH(337,Однолинейка!$BV$1:$BV$1000,0)),"")</f>
      </c>
    </row>
    <row r="340">
      <c r="A340" s="133">
        <f>IF(ISNUMBER(MATCH(338,Однолинейка!$BV$1:$BV$1000,0)),338,"")</f>
      </c>
      <c r="B340" s="133">
        <f>IFERROR(INDEX(Однолинейка!$A$1:$A$1000,MATCH(338,Однолинейка!$BV$1:$BV$1000,0)),"")</f>
      </c>
      <c r="C340" s="133">
        <f>IFERROR(INDEX(Однолинейка!$G$1:$G$1000,MATCH(338,Однолинейка!$BV$1:$BV$1000,0))&amp;IF(INDEX(Однолинейка!$P$1:$P$1000,MATCH(338,Однолинейка!$BV$1:$BV$1000,0))="","","/"&amp;INDEX(Однолинейка!$P$1:$P$1000,MATCH(338,Однолинейка!$BV$1:$BV$1000,0))),"")</f>
      </c>
      <c r="D340" s="133">
        <f>IFERROR(INDEX(Однолинейка!$R$1:$R$1000,MATCH(338,Однолинейка!$BV$1:$BV$1000,0)),"")</f>
      </c>
      <c r="E340" s="133">
        <f>IFERROR(INDEX(Однолинейка!$S$1:$S$1000,MATCH(338,Однолинейка!$BV$1:$BV$1000,0)),"")</f>
      </c>
      <c r="F340" s="133">
        <f>IFERROR(INDEX(Однолинейка!$Q$1:$Q$1000,MATCH(338,Однолинейка!$BV$1:$BV$1000,0)),"")</f>
      </c>
    </row>
    <row r="341">
      <c r="A341" s="133">
        <f>IF(ISNUMBER(MATCH(339,Однолинейка!$BV$1:$BV$1000,0)),339,"")</f>
      </c>
      <c r="B341" s="133">
        <f>IFERROR(INDEX(Однолинейка!$A$1:$A$1000,MATCH(339,Однолинейка!$BV$1:$BV$1000,0)),"")</f>
      </c>
      <c r="C341" s="133">
        <f>IFERROR(INDEX(Однолинейка!$G$1:$G$1000,MATCH(339,Однолинейка!$BV$1:$BV$1000,0))&amp;IF(INDEX(Однолинейка!$P$1:$P$1000,MATCH(339,Однолинейка!$BV$1:$BV$1000,0))="","","/"&amp;INDEX(Однолинейка!$P$1:$P$1000,MATCH(339,Однолинейка!$BV$1:$BV$1000,0))),"")</f>
      </c>
      <c r="D341" s="133">
        <f>IFERROR(INDEX(Однолинейка!$R$1:$R$1000,MATCH(339,Однолинейка!$BV$1:$BV$1000,0)),"")</f>
      </c>
      <c r="E341" s="133">
        <f>IFERROR(INDEX(Однолинейка!$S$1:$S$1000,MATCH(339,Однолинейка!$BV$1:$BV$1000,0)),"")</f>
      </c>
      <c r="F341" s="133">
        <f>IFERROR(INDEX(Однолинейка!$Q$1:$Q$1000,MATCH(339,Однолинейка!$BV$1:$BV$1000,0)),"")</f>
      </c>
    </row>
    <row r="342">
      <c r="A342" s="133">
        <f>IF(ISNUMBER(MATCH(340,Однолинейка!$BV$1:$BV$1000,0)),340,"")</f>
      </c>
      <c r="B342" s="133">
        <f>IFERROR(INDEX(Однолинейка!$A$1:$A$1000,MATCH(340,Однолинейка!$BV$1:$BV$1000,0)),"")</f>
      </c>
      <c r="C342" s="133">
        <f>IFERROR(INDEX(Однолинейка!$G$1:$G$1000,MATCH(340,Однолинейка!$BV$1:$BV$1000,0))&amp;IF(INDEX(Однолинейка!$P$1:$P$1000,MATCH(340,Однолинейка!$BV$1:$BV$1000,0))="","","/"&amp;INDEX(Однолинейка!$P$1:$P$1000,MATCH(340,Однолинейка!$BV$1:$BV$1000,0))),"")</f>
      </c>
      <c r="D342" s="133">
        <f>IFERROR(INDEX(Однолинейка!$R$1:$R$1000,MATCH(340,Однолинейка!$BV$1:$BV$1000,0)),"")</f>
      </c>
      <c r="E342" s="133">
        <f>IFERROR(INDEX(Однолинейка!$S$1:$S$1000,MATCH(340,Однолинейка!$BV$1:$BV$1000,0)),"")</f>
      </c>
      <c r="F342" s="133">
        <f>IFERROR(INDEX(Однолинейка!$Q$1:$Q$1000,MATCH(340,Однолинейка!$BV$1:$BV$1000,0)),"")</f>
      </c>
    </row>
    <row r="343">
      <c r="A343" s="133">
        <f>IF(ISNUMBER(MATCH(341,Однолинейка!$BV$1:$BV$1000,0)),341,"")</f>
      </c>
      <c r="B343" s="133">
        <f>IFERROR(INDEX(Однолинейка!$A$1:$A$1000,MATCH(341,Однолинейка!$BV$1:$BV$1000,0)),"")</f>
      </c>
      <c r="C343" s="133">
        <f>IFERROR(INDEX(Однолинейка!$G$1:$G$1000,MATCH(341,Однолинейка!$BV$1:$BV$1000,0))&amp;IF(INDEX(Однолинейка!$P$1:$P$1000,MATCH(341,Однолинейка!$BV$1:$BV$1000,0))="","","/"&amp;INDEX(Однолинейка!$P$1:$P$1000,MATCH(341,Однолинейка!$BV$1:$BV$1000,0))),"")</f>
      </c>
      <c r="D343" s="133">
        <f>IFERROR(INDEX(Однолинейка!$R$1:$R$1000,MATCH(341,Однолинейка!$BV$1:$BV$1000,0)),"")</f>
      </c>
      <c r="E343" s="133">
        <f>IFERROR(INDEX(Однолинейка!$S$1:$S$1000,MATCH(341,Однолинейка!$BV$1:$BV$1000,0)),"")</f>
      </c>
      <c r="F343" s="133">
        <f>IFERROR(INDEX(Однолинейка!$Q$1:$Q$1000,MATCH(341,Однолинейка!$BV$1:$BV$1000,0)),"")</f>
      </c>
    </row>
    <row r="344">
      <c r="A344" s="133">
        <f>IF(ISNUMBER(MATCH(342,Однолинейка!$BV$1:$BV$1000,0)),342,"")</f>
      </c>
      <c r="B344" s="133">
        <f>IFERROR(INDEX(Однолинейка!$A$1:$A$1000,MATCH(342,Однолинейка!$BV$1:$BV$1000,0)),"")</f>
      </c>
      <c r="C344" s="133">
        <f>IFERROR(INDEX(Однолинейка!$G$1:$G$1000,MATCH(342,Однолинейка!$BV$1:$BV$1000,0))&amp;IF(INDEX(Однолинейка!$P$1:$P$1000,MATCH(342,Однолинейка!$BV$1:$BV$1000,0))="","","/"&amp;INDEX(Однолинейка!$P$1:$P$1000,MATCH(342,Однолинейка!$BV$1:$BV$1000,0))),"")</f>
      </c>
      <c r="D344" s="133">
        <f>IFERROR(INDEX(Однолинейка!$R$1:$R$1000,MATCH(342,Однолинейка!$BV$1:$BV$1000,0)),"")</f>
      </c>
      <c r="E344" s="133">
        <f>IFERROR(INDEX(Однолинейка!$S$1:$S$1000,MATCH(342,Однолинейка!$BV$1:$BV$1000,0)),"")</f>
      </c>
      <c r="F344" s="133">
        <f>IFERROR(INDEX(Однолинейка!$Q$1:$Q$1000,MATCH(342,Однолинейка!$BV$1:$BV$1000,0)),"")</f>
      </c>
    </row>
    <row r="345">
      <c r="A345" s="133">
        <f>IF(ISNUMBER(MATCH(343,Однолинейка!$BV$1:$BV$1000,0)),343,"")</f>
      </c>
      <c r="B345" s="133">
        <f>IFERROR(INDEX(Однолинейка!$A$1:$A$1000,MATCH(343,Однолинейка!$BV$1:$BV$1000,0)),"")</f>
      </c>
      <c r="C345" s="133">
        <f>IFERROR(INDEX(Однолинейка!$G$1:$G$1000,MATCH(343,Однолинейка!$BV$1:$BV$1000,0))&amp;IF(INDEX(Однолинейка!$P$1:$P$1000,MATCH(343,Однолинейка!$BV$1:$BV$1000,0))="","","/"&amp;INDEX(Однолинейка!$P$1:$P$1000,MATCH(343,Однолинейка!$BV$1:$BV$1000,0))),"")</f>
      </c>
      <c r="D345" s="133">
        <f>IFERROR(INDEX(Однолинейка!$R$1:$R$1000,MATCH(343,Однолинейка!$BV$1:$BV$1000,0)),"")</f>
      </c>
      <c r="E345" s="133">
        <f>IFERROR(INDEX(Однолинейка!$S$1:$S$1000,MATCH(343,Однолинейка!$BV$1:$BV$1000,0)),"")</f>
      </c>
      <c r="F345" s="133">
        <f>IFERROR(INDEX(Однолинейка!$Q$1:$Q$1000,MATCH(343,Однолинейка!$BV$1:$BV$1000,0)),"")</f>
      </c>
    </row>
    <row r="346">
      <c r="A346" s="133">
        <f>IF(ISNUMBER(MATCH(344,Однолинейка!$BV$1:$BV$1000,0)),344,"")</f>
      </c>
      <c r="B346" s="133">
        <f>IFERROR(INDEX(Однолинейка!$A$1:$A$1000,MATCH(344,Однолинейка!$BV$1:$BV$1000,0)),"")</f>
      </c>
      <c r="C346" s="133">
        <f>IFERROR(INDEX(Однолинейка!$G$1:$G$1000,MATCH(344,Однолинейка!$BV$1:$BV$1000,0))&amp;IF(INDEX(Однолинейка!$P$1:$P$1000,MATCH(344,Однолинейка!$BV$1:$BV$1000,0))="","","/"&amp;INDEX(Однолинейка!$P$1:$P$1000,MATCH(344,Однолинейка!$BV$1:$BV$1000,0))),"")</f>
      </c>
      <c r="D346" s="133">
        <f>IFERROR(INDEX(Однолинейка!$R$1:$R$1000,MATCH(344,Однолинейка!$BV$1:$BV$1000,0)),"")</f>
      </c>
      <c r="E346" s="133">
        <f>IFERROR(INDEX(Однолинейка!$S$1:$S$1000,MATCH(344,Однолинейка!$BV$1:$BV$1000,0)),"")</f>
      </c>
      <c r="F346" s="133">
        <f>IFERROR(INDEX(Однолинейка!$Q$1:$Q$1000,MATCH(344,Однолинейка!$BV$1:$BV$1000,0)),"")</f>
      </c>
    </row>
    <row r="347">
      <c r="A347" s="133">
        <f>IF(ISNUMBER(MATCH(345,Однолинейка!$BV$1:$BV$1000,0)),345,"")</f>
      </c>
      <c r="B347" s="133">
        <f>IFERROR(INDEX(Однолинейка!$A$1:$A$1000,MATCH(345,Однолинейка!$BV$1:$BV$1000,0)),"")</f>
      </c>
      <c r="C347" s="133">
        <f>IFERROR(INDEX(Однолинейка!$G$1:$G$1000,MATCH(345,Однолинейка!$BV$1:$BV$1000,0))&amp;IF(INDEX(Однолинейка!$P$1:$P$1000,MATCH(345,Однолинейка!$BV$1:$BV$1000,0))="","","/"&amp;INDEX(Однолинейка!$P$1:$P$1000,MATCH(345,Однолинейка!$BV$1:$BV$1000,0))),"")</f>
      </c>
      <c r="D347" s="133">
        <f>IFERROR(INDEX(Однолинейка!$R$1:$R$1000,MATCH(345,Однолинейка!$BV$1:$BV$1000,0)),"")</f>
      </c>
      <c r="E347" s="133">
        <f>IFERROR(INDEX(Однолинейка!$S$1:$S$1000,MATCH(345,Однолинейка!$BV$1:$BV$1000,0)),"")</f>
      </c>
      <c r="F347" s="133">
        <f>IFERROR(INDEX(Однолинейка!$Q$1:$Q$1000,MATCH(345,Однолинейка!$BV$1:$BV$1000,0)),"")</f>
      </c>
    </row>
    <row r="348">
      <c r="A348" s="133">
        <f>IF(ISNUMBER(MATCH(346,Однолинейка!$BV$1:$BV$1000,0)),346,"")</f>
      </c>
      <c r="B348" s="133">
        <f>IFERROR(INDEX(Однолинейка!$A$1:$A$1000,MATCH(346,Однолинейка!$BV$1:$BV$1000,0)),"")</f>
      </c>
      <c r="C348" s="133">
        <f>IFERROR(INDEX(Однолинейка!$G$1:$G$1000,MATCH(346,Однолинейка!$BV$1:$BV$1000,0))&amp;IF(INDEX(Однолинейка!$P$1:$P$1000,MATCH(346,Однолинейка!$BV$1:$BV$1000,0))="","","/"&amp;INDEX(Однолинейка!$P$1:$P$1000,MATCH(346,Однолинейка!$BV$1:$BV$1000,0))),"")</f>
      </c>
      <c r="D348" s="133">
        <f>IFERROR(INDEX(Однолинейка!$R$1:$R$1000,MATCH(346,Однолинейка!$BV$1:$BV$1000,0)),"")</f>
      </c>
      <c r="E348" s="133">
        <f>IFERROR(INDEX(Однолинейка!$S$1:$S$1000,MATCH(346,Однолинейка!$BV$1:$BV$1000,0)),"")</f>
      </c>
      <c r="F348" s="133">
        <f>IFERROR(INDEX(Однолинейка!$Q$1:$Q$1000,MATCH(346,Однолинейка!$BV$1:$BV$1000,0)),"")</f>
      </c>
    </row>
    <row r="349">
      <c r="A349" s="133">
        <f>IF(ISNUMBER(MATCH(347,Однолинейка!$BV$1:$BV$1000,0)),347,"")</f>
      </c>
      <c r="B349" s="133">
        <f>IFERROR(INDEX(Однолинейка!$A$1:$A$1000,MATCH(347,Однолинейка!$BV$1:$BV$1000,0)),"")</f>
      </c>
      <c r="C349" s="133">
        <f>IFERROR(INDEX(Однолинейка!$G$1:$G$1000,MATCH(347,Однолинейка!$BV$1:$BV$1000,0))&amp;IF(INDEX(Однолинейка!$P$1:$P$1000,MATCH(347,Однолинейка!$BV$1:$BV$1000,0))="","","/"&amp;INDEX(Однолинейка!$P$1:$P$1000,MATCH(347,Однолинейка!$BV$1:$BV$1000,0))),"")</f>
      </c>
      <c r="D349" s="133">
        <f>IFERROR(INDEX(Однолинейка!$R$1:$R$1000,MATCH(347,Однолинейка!$BV$1:$BV$1000,0)),"")</f>
      </c>
      <c r="E349" s="133">
        <f>IFERROR(INDEX(Однолинейка!$S$1:$S$1000,MATCH(347,Однолинейка!$BV$1:$BV$1000,0)),"")</f>
      </c>
      <c r="F349" s="133">
        <f>IFERROR(INDEX(Однолинейка!$Q$1:$Q$1000,MATCH(347,Однолинейка!$BV$1:$BV$1000,0)),"")</f>
      </c>
    </row>
    <row r="350">
      <c r="A350" s="133">
        <f>IF(ISNUMBER(MATCH(348,Однолинейка!$BV$1:$BV$1000,0)),348,"")</f>
      </c>
      <c r="B350" s="133">
        <f>IFERROR(INDEX(Однолинейка!$A$1:$A$1000,MATCH(348,Однолинейка!$BV$1:$BV$1000,0)),"")</f>
      </c>
      <c r="C350" s="133">
        <f>IFERROR(INDEX(Однолинейка!$G$1:$G$1000,MATCH(348,Однолинейка!$BV$1:$BV$1000,0))&amp;IF(INDEX(Однолинейка!$P$1:$P$1000,MATCH(348,Однолинейка!$BV$1:$BV$1000,0))="","","/"&amp;INDEX(Однолинейка!$P$1:$P$1000,MATCH(348,Однолинейка!$BV$1:$BV$1000,0))),"")</f>
      </c>
      <c r="D350" s="133">
        <f>IFERROR(INDEX(Однолинейка!$R$1:$R$1000,MATCH(348,Однолинейка!$BV$1:$BV$1000,0)),"")</f>
      </c>
      <c r="E350" s="133">
        <f>IFERROR(INDEX(Однолинейка!$S$1:$S$1000,MATCH(348,Однолинейка!$BV$1:$BV$1000,0)),"")</f>
      </c>
      <c r="F350" s="133">
        <f>IFERROR(INDEX(Однолинейка!$Q$1:$Q$1000,MATCH(348,Однолинейка!$BV$1:$BV$1000,0)),"")</f>
      </c>
    </row>
    <row r="351">
      <c r="A351" s="133">
        <f>IF(ISNUMBER(MATCH(349,Однолинейка!$BV$1:$BV$1000,0)),349,"")</f>
      </c>
      <c r="B351" s="133">
        <f>IFERROR(INDEX(Однолинейка!$A$1:$A$1000,MATCH(349,Однолинейка!$BV$1:$BV$1000,0)),"")</f>
      </c>
      <c r="C351" s="133">
        <f>IFERROR(INDEX(Однолинейка!$G$1:$G$1000,MATCH(349,Однолинейка!$BV$1:$BV$1000,0))&amp;IF(INDEX(Однолинейка!$P$1:$P$1000,MATCH(349,Однолинейка!$BV$1:$BV$1000,0))="","","/"&amp;INDEX(Однолинейка!$P$1:$P$1000,MATCH(349,Однолинейка!$BV$1:$BV$1000,0))),"")</f>
      </c>
      <c r="D351" s="133">
        <f>IFERROR(INDEX(Однолинейка!$R$1:$R$1000,MATCH(349,Однолинейка!$BV$1:$BV$1000,0)),"")</f>
      </c>
      <c r="E351" s="133">
        <f>IFERROR(INDEX(Однолинейка!$S$1:$S$1000,MATCH(349,Однолинейка!$BV$1:$BV$1000,0)),"")</f>
      </c>
      <c r="F351" s="133">
        <f>IFERROR(INDEX(Однолинейка!$Q$1:$Q$1000,MATCH(349,Однолинейка!$BV$1:$BV$1000,0)),"")</f>
      </c>
    </row>
    <row r="352">
      <c r="A352" s="133">
        <f>IF(ISNUMBER(MATCH(350,Однолинейка!$BV$1:$BV$1000,0)),350,"")</f>
      </c>
      <c r="B352" s="133">
        <f>IFERROR(INDEX(Однолинейка!$A$1:$A$1000,MATCH(350,Однолинейка!$BV$1:$BV$1000,0)),"")</f>
      </c>
      <c r="C352" s="133">
        <f>IFERROR(INDEX(Однолинейка!$G$1:$G$1000,MATCH(350,Однолинейка!$BV$1:$BV$1000,0))&amp;IF(INDEX(Однолинейка!$P$1:$P$1000,MATCH(350,Однолинейка!$BV$1:$BV$1000,0))="","","/"&amp;INDEX(Однолинейка!$P$1:$P$1000,MATCH(350,Однолинейка!$BV$1:$BV$1000,0))),"")</f>
      </c>
      <c r="D352" s="133">
        <f>IFERROR(INDEX(Однолинейка!$R$1:$R$1000,MATCH(350,Однолинейка!$BV$1:$BV$1000,0)),"")</f>
      </c>
      <c r="E352" s="133">
        <f>IFERROR(INDEX(Однолинейка!$S$1:$S$1000,MATCH(350,Однолинейка!$BV$1:$BV$1000,0)),"")</f>
      </c>
      <c r="F352" s="133">
        <f>IFERROR(INDEX(Однолинейка!$Q$1:$Q$1000,MATCH(350,Однолинейка!$BV$1:$BV$1000,0)),"")</f>
      </c>
    </row>
    <row r="353">
      <c r="A353" s="133">
        <f>IF(ISNUMBER(MATCH(351,Однолинейка!$BV$1:$BV$1000,0)),351,"")</f>
      </c>
      <c r="B353" s="133">
        <f>IFERROR(INDEX(Однолинейка!$A$1:$A$1000,MATCH(351,Однолинейка!$BV$1:$BV$1000,0)),"")</f>
      </c>
      <c r="C353" s="133">
        <f>IFERROR(INDEX(Однолинейка!$G$1:$G$1000,MATCH(351,Однолинейка!$BV$1:$BV$1000,0))&amp;IF(INDEX(Однолинейка!$P$1:$P$1000,MATCH(351,Однолинейка!$BV$1:$BV$1000,0))="","","/"&amp;INDEX(Однолинейка!$P$1:$P$1000,MATCH(351,Однолинейка!$BV$1:$BV$1000,0))),"")</f>
      </c>
      <c r="D353" s="133">
        <f>IFERROR(INDEX(Однолинейка!$R$1:$R$1000,MATCH(351,Однолинейка!$BV$1:$BV$1000,0)),"")</f>
      </c>
      <c r="E353" s="133">
        <f>IFERROR(INDEX(Однолинейка!$S$1:$S$1000,MATCH(351,Однолинейка!$BV$1:$BV$1000,0)),"")</f>
      </c>
      <c r="F353" s="133">
        <f>IFERROR(INDEX(Однолинейка!$Q$1:$Q$1000,MATCH(351,Однолинейка!$BV$1:$BV$1000,0)),"")</f>
      </c>
    </row>
    <row r="354">
      <c r="A354" s="133">
        <f>IF(ISNUMBER(MATCH(352,Однолинейка!$BV$1:$BV$1000,0)),352,"")</f>
      </c>
      <c r="B354" s="133">
        <f>IFERROR(INDEX(Однолинейка!$A$1:$A$1000,MATCH(352,Однолинейка!$BV$1:$BV$1000,0)),"")</f>
      </c>
      <c r="C354" s="133">
        <f>IFERROR(INDEX(Однолинейка!$G$1:$G$1000,MATCH(352,Однолинейка!$BV$1:$BV$1000,0))&amp;IF(INDEX(Однолинейка!$P$1:$P$1000,MATCH(352,Однолинейка!$BV$1:$BV$1000,0))="","","/"&amp;INDEX(Однолинейка!$P$1:$P$1000,MATCH(352,Однолинейка!$BV$1:$BV$1000,0))),"")</f>
      </c>
      <c r="D354" s="133">
        <f>IFERROR(INDEX(Однолинейка!$R$1:$R$1000,MATCH(352,Однолинейка!$BV$1:$BV$1000,0)),"")</f>
      </c>
      <c r="E354" s="133">
        <f>IFERROR(INDEX(Однолинейка!$S$1:$S$1000,MATCH(352,Однолинейка!$BV$1:$BV$1000,0)),"")</f>
      </c>
      <c r="F354" s="133">
        <f>IFERROR(INDEX(Однолинейка!$Q$1:$Q$1000,MATCH(352,Однолинейка!$BV$1:$BV$1000,0)),"")</f>
      </c>
    </row>
    <row r="355">
      <c r="A355" s="133">
        <f>IF(ISNUMBER(MATCH(353,Однолинейка!$BV$1:$BV$1000,0)),353,"")</f>
      </c>
      <c r="B355" s="133">
        <f>IFERROR(INDEX(Однолинейка!$A$1:$A$1000,MATCH(353,Однолинейка!$BV$1:$BV$1000,0)),"")</f>
      </c>
      <c r="C355" s="133">
        <f>IFERROR(INDEX(Однолинейка!$G$1:$G$1000,MATCH(353,Однолинейка!$BV$1:$BV$1000,0))&amp;IF(INDEX(Однолинейка!$P$1:$P$1000,MATCH(353,Однолинейка!$BV$1:$BV$1000,0))="","","/"&amp;INDEX(Однолинейка!$P$1:$P$1000,MATCH(353,Однолинейка!$BV$1:$BV$1000,0))),"")</f>
      </c>
      <c r="D355" s="133">
        <f>IFERROR(INDEX(Однолинейка!$R$1:$R$1000,MATCH(353,Однолинейка!$BV$1:$BV$1000,0)),"")</f>
      </c>
      <c r="E355" s="133">
        <f>IFERROR(INDEX(Однолинейка!$S$1:$S$1000,MATCH(353,Однолинейка!$BV$1:$BV$1000,0)),"")</f>
      </c>
      <c r="F355" s="133">
        <f>IFERROR(INDEX(Однолинейка!$Q$1:$Q$1000,MATCH(353,Однолинейка!$BV$1:$BV$1000,0)),"")</f>
      </c>
    </row>
    <row r="356">
      <c r="A356" s="133">
        <f>IF(ISNUMBER(MATCH(354,Однолинейка!$BV$1:$BV$1000,0)),354,"")</f>
      </c>
      <c r="B356" s="133">
        <f>IFERROR(INDEX(Однолинейка!$A$1:$A$1000,MATCH(354,Однолинейка!$BV$1:$BV$1000,0)),"")</f>
      </c>
      <c r="C356" s="133">
        <f>IFERROR(INDEX(Однолинейка!$G$1:$G$1000,MATCH(354,Однолинейка!$BV$1:$BV$1000,0))&amp;IF(INDEX(Однолинейка!$P$1:$P$1000,MATCH(354,Однолинейка!$BV$1:$BV$1000,0))="","","/"&amp;INDEX(Однолинейка!$P$1:$P$1000,MATCH(354,Однолинейка!$BV$1:$BV$1000,0))),"")</f>
      </c>
      <c r="D356" s="133">
        <f>IFERROR(INDEX(Однолинейка!$R$1:$R$1000,MATCH(354,Однолинейка!$BV$1:$BV$1000,0)),"")</f>
      </c>
      <c r="E356" s="133">
        <f>IFERROR(INDEX(Однолинейка!$S$1:$S$1000,MATCH(354,Однолинейка!$BV$1:$BV$1000,0)),"")</f>
      </c>
      <c r="F356" s="133">
        <f>IFERROR(INDEX(Однолинейка!$Q$1:$Q$1000,MATCH(354,Однолинейка!$BV$1:$BV$1000,0)),"")</f>
      </c>
    </row>
    <row r="357">
      <c r="A357" s="133">
        <f>IF(ISNUMBER(MATCH(355,Однолинейка!$BV$1:$BV$1000,0)),355,"")</f>
      </c>
      <c r="B357" s="133">
        <f>IFERROR(INDEX(Однолинейка!$A$1:$A$1000,MATCH(355,Однолинейка!$BV$1:$BV$1000,0)),"")</f>
      </c>
      <c r="C357" s="133">
        <f>IFERROR(INDEX(Однолинейка!$G$1:$G$1000,MATCH(355,Однолинейка!$BV$1:$BV$1000,0))&amp;IF(INDEX(Однолинейка!$P$1:$P$1000,MATCH(355,Однолинейка!$BV$1:$BV$1000,0))="","","/"&amp;INDEX(Однолинейка!$P$1:$P$1000,MATCH(355,Однолинейка!$BV$1:$BV$1000,0))),"")</f>
      </c>
      <c r="D357" s="133">
        <f>IFERROR(INDEX(Однолинейка!$R$1:$R$1000,MATCH(355,Однолинейка!$BV$1:$BV$1000,0)),"")</f>
      </c>
      <c r="E357" s="133">
        <f>IFERROR(INDEX(Однолинейка!$S$1:$S$1000,MATCH(355,Однолинейка!$BV$1:$BV$1000,0)),"")</f>
      </c>
      <c r="F357" s="133">
        <f>IFERROR(INDEX(Однолинейка!$Q$1:$Q$1000,MATCH(355,Однолинейка!$BV$1:$BV$1000,0)),"")</f>
      </c>
    </row>
    <row r="358">
      <c r="A358" s="133">
        <f>IF(ISNUMBER(MATCH(356,Однолинейка!$BV$1:$BV$1000,0)),356,"")</f>
      </c>
      <c r="B358" s="133">
        <f>IFERROR(INDEX(Однолинейка!$A$1:$A$1000,MATCH(356,Однолинейка!$BV$1:$BV$1000,0)),"")</f>
      </c>
      <c r="C358" s="133">
        <f>IFERROR(INDEX(Однолинейка!$G$1:$G$1000,MATCH(356,Однолинейка!$BV$1:$BV$1000,0))&amp;IF(INDEX(Однолинейка!$P$1:$P$1000,MATCH(356,Однолинейка!$BV$1:$BV$1000,0))="","","/"&amp;INDEX(Однолинейка!$P$1:$P$1000,MATCH(356,Однолинейка!$BV$1:$BV$1000,0))),"")</f>
      </c>
      <c r="D358" s="133">
        <f>IFERROR(INDEX(Однолинейка!$R$1:$R$1000,MATCH(356,Однолинейка!$BV$1:$BV$1000,0)),"")</f>
      </c>
      <c r="E358" s="133">
        <f>IFERROR(INDEX(Однолинейка!$S$1:$S$1000,MATCH(356,Однолинейка!$BV$1:$BV$1000,0)),"")</f>
      </c>
      <c r="F358" s="133">
        <f>IFERROR(INDEX(Однолинейка!$Q$1:$Q$1000,MATCH(356,Однолинейка!$BV$1:$BV$1000,0)),"")</f>
      </c>
    </row>
    <row r="359">
      <c r="A359" s="133">
        <f>IF(ISNUMBER(MATCH(357,Однолинейка!$BV$1:$BV$1000,0)),357,"")</f>
      </c>
      <c r="B359" s="133">
        <f>IFERROR(INDEX(Однолинейка!$A$1:$A$1000,MATCH(357,Однолинейка!$BV$1:$BV$1000,0)),"")</f>
      </c>
      <c r="C359" s="133">
        <f>IFERROR(INDEX(Однолинейка!$G$1:$G$1000,MATCH(357,Однолинейка!$BV$1:$BV$1000,0))&amp;IF(INDEX(Однолинейка!$P$1:$P$1000,MATCH(357,Однолинейка!$BV$1:$BV$1000,0))="","","/"&amp;INDEX(Однолинейка!$P$1:$P$1000,MATCH(357,Однолинейка!$BV$1:$BV$1000,0))),"")</f>
      </c>
      <c r="D359" s="133">
        <f>IFERROR(INDEX(Однолинейка!$R$1:$R$1000,MATCH(357,Однолинейка!$BV$1:$BV$1000,0)),"")</f>
      </c>
      <c r="E359" s="133">
        <f>IFERROR(INDEX(Однолинейка!$S$1:$S$1000,MATCH(357,Однолинейка!$BV$1:$BV$1000,0)),"")</f>
      </c>
      <c r="F359" s="133">
        <f>IFERROR(INDEX(Однолинейка!$Q$1:$Q$1000,MATCH(357,Однолинейка!$BV$1:$BV$1000,0)),"")</f>
      </c>
    </row>
    <row r="360">
      <c r="A360" s="133">
        <f>IF(ISNUMBER(MATCH(358,Однолинейка!$BV$1:$BV$1000,0)),358,"")</f>
      </c>
      <c r="B360" s="133">
        <f>IFERROR(INDEX(Однолинейка!$A$1:$A$1000,MATCH(358,Однолинейка!$BV$1:$BV$1000,0)),"")</f>
      </c>
      <c r="C360" s="133">
        <f>IFERROR(INDEX(Однолинейка!$G$1:$G$1000,MATCH(358,Однолинейка!$BV$1:$BV$1000,0))&amp;IF(INDEX(Однолинейка!$P$1:$P$1000,MATCH(358,Однолинейка!$BV$1:$BV$1000,0))="","","/"&amp;INDEX(Однолинейка!$P$1:$P$1000,MATCH(358,Однолинейка!$BV$1:$BV$1000,0))),"")</f>
      </c>
      <c r="D360" s="133">
        <f>IFERROR(INDEX(Однолинейка!$R$1:$R$1000,MATCH(358,Однолинейка!$BV$1:$BV$1000,0)),"")</f>
      </c>
      <c r="E360" s="133">
        <f>IFERROR(INDEX(Однолинейка!$S$1:$S$1000,MATCH(358,Однолинейка!$BV$1:$BV$1000,0)),"")</f>
      </c>
      <c r="F360" s="133">
        <f>IFERROR(INDEX(Однолинейка!$Q$1:$Q$1000,MATCH(358,Однолинейка!$BV$1:$BV$1000,0)),"")</f>
      </c>
    </row>
    <row r="361">
      <c r="A361" s="133">
        <f>IF(ISNUMBER(MATCH(359,Однолинейка!$BV$1:$BV$1000,0)),359,"")</f>
      </c>
      <c r="B361" s="133">
        <f>IFERROR(INDEX(Однолинейка!$A$1:$A$1000,MATCH(359,Однолинейка!$BV$1:$BV$1000,0)),"")</f>
      </c>
      <c r="C361" s="133">
        <f>IFERROR(INDEX(Однолинейка!$G$1:$G$1000,MATCH(359,Однолинейка!$BV$1:$BV$1000,0))&amp;IF(INDEX(Однолинейка!$P$1:$P$1000,MATCH(359,Однолинейка!$BV$1:$BV$1000,0))="","","/"&amp;INDEX(Однолинейка!$P$1:$P$1000,MATCH(359,Однолинейка!$BV$1:$BV$1000,0))),"")</f>
      </c>
      <c r="D361" s="133">
        <f>IFERROR(INDEX(Однолинейка!$R$1:$R$1000,MATCH(359,Однолинейка!$BV$1:$BV$1000,0)),"")</f>
      </c>
      <c r="E361" s="133">
        <f>IFERROR(INDEX(Однолинейка!$S$1:$S$1000,MATCH(359,Однолинейка!$BV$1:$BV$1000,0)),"")</f>
      </c>
      <c r="F361" s="133">
        <f>IFERROR(INDEX(Однолинейка!$Q$1:$Q$1000,MATCH(359,Однолинейка!$BV$1:$BV$1000,0)),"")</f>
      </c>
    </row>
    <row r="362">
      <c r="A362" s="133">
        <f>IF(ISNUMBER(MATCH(360,Однолинейка!$BV$1:$BV$1000,0)),360,"")</f>
      </c>
      <c r="B362" s="133">
        <f>IFERROR(INDEX(Однолинейка!$A$1:$A$1000,MATCH(360,Однолинейка!$BV$1:$BV$1000,0)),"")</f>
      </c>
      <c r="C362" s="133">
        <f>IFERROR(INDEX(Однолинейка!$G$1:$G$1000,MATCH(360,Однолинейка!$BV$1:$BV$1000,0))&amp;IF(INDEX(Однолинейка!$P$1:$P$1000,MATCH(360,Однолинейка!$BV$1:$BV$1000,0))="","","/"&amp;INDEX(Однолинейка!$P$1:$P$1000,MATCH(360,Однолинейка!$BV$1:$BV$1000,0))),"")</f>
      </c>
      <c r="D362" s="133">
        <f>IFERROR(INDEX(Однолинейка!$R$1:$R$1000,MATCH(360,Однолинейка!$BV$1:$BV$1000,0)),"")</f>
      </c>
      <c r="E362" s="133">
        <f>IFERROR(INDEX(Однолинейка!$S$1:$S$1000,MATCH(360,Однолинейка!$BV$1:$BV$1000,0)),"")</f>
      </c>
      <c r="F362" s="133">
        <f>IFERROR(INDEX(Однолинейка!$Q$1:$Q$1000,MATCH(360,Однолинейка!$BV$1:$BV$1000,0)),"")</f>
      </c>
    </row>
    <row r="363">
      <c r="A363" s="133">
        <f>IF(ISNUMBER(MATCH(361,Однолинейка!$BV$1:$BV$1000,0)),361,"")</f>
      </c>
      <c r="B363" s="133">
        <f>IFERROR(INDEX(Однолинейка!$A$1:$A$1000,MATCH(361,Однолинейка!$BV$1:$BV$1000,0)),"")</f>
      </c>
      <c r="C363" s="133">
        <f>IFERROR(INDEX(Однолинейка!$G$1:$G$1000,MATCH(361,Однолинейка!$BV$1:$BV$1000,0))&amp;IF(INDEX(Однолинейка!$P$1:$P$1000,MATCH(361,Однолинейка!$BV$1:$BV$1000,0))="","","/"&amp;INDEX(Однолинейка!$P$1:$P$1000,MATCH(361,Однолинейка!$BV$1:$BV$1000,0))),"")</f>
      </c>
      <c r="D363" s="133">
        <f>IFERROR(INDEX(Однолинейка!$R$1:$R$1000,MATCH(361,Однолинейка!$BV$1:$BV$1000,0)),"")</f>
      </c>
      <c r="E363" s="133">
        <f>IFERROR(INDEX(Однолинейка!$S$1:$S$1000,MATCH(361,Однолинейка!$BV$1:$BV$1000,0)),"")</f>
      </c>
      <c r="F363" s="133">
        <f>IFERROR(INDEX(Однолинейка!$Q$1:$Q$1000,MATCH(361,Однолинейка!$BV$1:$BV$1000,0)),"")</f>
      </c>
    </row>
    <row r="364">
      <c r="A364" s="133">
        <f>IF(ISNUMBER(MATCH(362,Однолинейка!$BV$1:$BV$1000,0)),362,"")</f>
      </c>
      <c r="B364" s="133">
        <f>IFERROR(INDEX(Однолинейка!$A$1:$A$1000,MATCH(362,Однолинейка!$BV$1:$BV$1000,0)),"")</f>
      </c>
      <c r="C364" s="133">
        <f>IFERROR(INDEX(Однолинейка!$G$1:$G$1000,MATCH(362,Однолинейка!$BV$1:$BV$1000,0))&amp;IF(INDEX(Однолинейка!$P$1:$P$1000,MATCH(362,Однолинейка!$BV$1:$BV$1000,0))="","","/"&amp;INDEX(Однолинейка!$P$1:$P$1000,MATCH(362,Однолинейка!$BV$1:$BV$1000,0))),"")</f>
      </c>
      <c r="D364" s="133">
        <f>IFERROR(INDEX(Однолинейка!$R$1:$R$1000,MATCH(362,Однолинейка!$BV$1:$BV$1000,0)),"")</f>
      </c>
      <c r="E364" s="133">
        <f>IFERROR(INDEX(Однолинейка!$S$1:$S$1000,MATCH(362,Однолинейка!$BV$1:$BV$1000,0)),"")</f>
      </c>
      <c r="F364" s="133">
        <f>IFERROR(INDEX(Однолинейка!$Q$1:$Q$1000,MATCH(362,Однолинейка!$BV$1:$BV$1000,0)),"")</f>
      </c>
    </row>
    <row r="365">
      <c r="A365" s="133">
        <f>IF(ISNUMBER(MATCH(363,Однолинейка!$BV$1:$BV$1000,0)),363,"")</f>
      </c>
      <c r="B365" s="133">
        <f>IFERROR(INDEX(Однолинейка!$A$1:$A$1000,MATCH(363,Однолинейка!$BV$1:$BV$1000,0)),"")</f>
      </c>
      <c r="C365" s="133">
        <f>IFERROR(INDEX(Однолинейка!$G$1:$G$1000,MATCH(363,Однолинейка!$BV$1:$BV$1000,0))&amp;IF(INDEX(Однолинейка!$P$1:$P$1000,MATCH(363,Однолинейка!$BV$1:$BV$1000,0))="","","/"&amp;INDEX(Однолинейка!$P$1:$P$1000,MATCH(363,Однолинейка!$BV$1:$BV$1000,0))),"")</f>
      </c>
      <c r="D365" s="133">
        <f>IFERROR(INDEX(Однолинейка!$R$1:$R$1000,MATCH(363,Однолинейка!$BV$1:$BV$1000,0)),"")</f>
      </c>
      <c r="E365" s="133">
        <f>IFERROR(INDEX(Однолинейка!$S$1:$S$1000,MATCH(363,Однолинейка!$BV$1:$BV$1000,0)),"")</f>
      </c>
      <c r="F365" s="133">
        <f>IFERROR(INDEX(Однолинейка!$Q$1:$Q$1000,MATCH(363,Однолинейка!$BV$1:$BV$1000,0)),"")</f>
      </c>
    </row>
    <row r="366">
      <c r="A366" s="133">
        <f>IF(ISNUMBER(MATCH(364,Однолинейка!$BV$1:$BV$1000,0)),364,"")</f>
      </c>
      <c r="B366" s="133">
        <f>IFERROR(INDEX(Однолинейка!$A$1:$A$1000,MATCH(364,Однолинейка!$BV$1:$BV$1000,0)),"")</f>
      </c>
      <c r="C366" s="133">
        <f>IFERROR(INDEX(Однолинейка!$G$1:$G$1000,MATCH(364,Однолинейка!$BV$1:$BV$1000,0))&amp;IF(INDEX(Однолинейка!$P$1:$P$1000,MATCH(364,Однолинейка!$BV$1:$BV$1000,0))="","","/"&amp;INDEX(Однолинейка!$P$1:$P$1000,MATCH(364,Однолинейка!$BV$1:$BV$1000,0))),"")</f>
      </c>
      <c r="D366" s="133">
        <f>IFERROR(INDEX(Однолинейка!$R$1:$R$1000,MATCH(364,Однолинейка!$BV$1:$BV$1000,0)),"")</f>
      </c>
      <c r="E366" s="133">
        <f>IFERROR(INDEX(Однолинейка!$S$1:$S$1000,MATCH(364,Однолинейка!$BV$1:$BV$1000,0)),"")</f>
      </c>
      <c r="F366" s="133">
        <f>IFERROR(INDEX(Однолинейка!$Q$1:$Q$1000,MATCH(364,Однолинейка!$BV$1:$BV$1000,0)),"")</f>
      </c>
    </row>
    <row r="367">
      <c r="A367" s="133">
        <f>IF(ISNUMBER(MATCH(365,Однолинейка!$BV$1:$BV$1000,0)),365,"")</f>
      </c>
      <c r="B367" s="133">
        <f>IFERROR(INDEX(Однолинейка!$A$1:$A$1000,MATCH(365,Однолинейка!$BV$1:$BV$1000,0)),"")</f>
      </c>
      <c r="C367" s="133">
        <f>IFERROR(INDEX(Однолинейка!$G$1:$G$1000,MATCH(365,Однолинейка!$BV$1:$BV$1000,0))&amp;IF(INDEX(Однолинейка!$P$1:$P$1000,MATCH(365,Однолинейка!$BV$1:$BV$1000,0))="","","/"&amp;INDEX(Однолинейка!$P$1:$P$1000,MATCH(365,Однолинейка!$BV$1:$BV$1000,0))),"")</f>
      </c>
      <c r="D367" s="133">
        <f>IFERROR(INDEX(Однолинейка!$R$1:$R$1000,MATCH(365,Однолинейка!$BV$1:$BV$1000,0)),"")</f>
      </c>
      <c r="E367" s="133">
        <f>IFERROR(INDEX(Однолинейка!$S$1:$S$1000,MATCH(365,Однолинейка!$BV$1:$BV$1000,0)),"")</f>
      </c>
      <c r="F367" s="133">
        <f>IFERROR(INDEX(Однолинейка!$Q$1:$Q$1000,MATCH(365,Однолинейка!$BV$1:$BV$1000,0)),"")</f>
      </c>
    </row>
    <row r="368">
      <c r="A368" s="133">
        <f>IF(ISNUMBER(MATCH(366,Однолинейка!$BV$1:$BV$1000,0)),366,"")</f>
      </c>
      <c r="B368" s="133">
        <f>IFERROR(INDEX(Однолинейка!$A$1:$A$1000,MATCH(366,Однолинейка!$BV$1:$BV$1000,0)),"")</f>
      </c>
      <c r="C368" s="133">
        <f>IFERROR(INDEX(Однолинейка!$G$1:$G$1000,MATCH(366,Однолинейка!$BV$1:$BV$1000,0))&amp;IF(INDEX(Однолинейка!$P$1:$P$1000,MATCH(366,Однолинейка!$BV$1:$BV$1000,0))="","","/"&amp;INDEX(Однолинейка!$P$1:$P$1000,MATCH(366,Однолинейка!$BV$1:$BV$1000,0))),"")</f>
      </c>
      <c r="D368" s="133">
        <f>IFERROR(INDEX(Однолинейка!$R$1:$R$1000,MATCH(366,Однолинейка!$BV$1:$BV$1000,0)),"")</f>
      </c>
      <c r="E368" s="133">
        <f>IFERROR(INDEX(Однолинейка!$S$1:$S$1000,MATCH(366,Однолинейка!$BV$1:$BV$1000,0)),"")</f>
      </c>
      <c r="F368" s="133">
        <f>IFERROR(INDEX(Однолинейка!$Q$1:$Q$1000,MATCH(366,Однолинейка!$BV$1:$BV$1000,0)),"")</f>
      </c>
    </row>
    <row r="369">
      <c r="A369" s="133">
        <f>IF(ISNUMBER(MATCH(367,Однолинейка!$BV$1:$BV$1000,0)),367,"")</f>
      </c>
      <c r="B369" s="133">
        <f>IFERROR(INDEX(Однолинейка!$A$1:$A$1000,MATCH(367,Однолинейка!$BV$1:$BV$1000,0)),"")</f>
      </c>
      <c r="C369" s="133">
        <f>IFERROR(INDEX(Однолинейка!$G$1:$G$1000,MATCH(367,Однолинейка!$BV$1:$BV$1000,0))&amp;IF(INDEX(Однолинейка!$P$1:$P$1000,MATCH(367,Однолинейка!$BV$1:$BV$1000,0))="","","/"&amp;INDEX(Однолинейка!$P$1:$P$1000,MATCH(367,Однолинейка!$BV$1:$BV$1000,0))),"")</f>
      </c>
      <c r="D369" s="133">
        <f>IFERROR(INDEX(Однолинейка!$R$1:$R$1000,MATCH(367,Однолинейка!$BV$1:$BV$1000,0)),"")</f>
      </c>
      <c r="E369" s="133">
        <f>IFERROR(INDEX(Однолинейка!$S$1:$S$1000,MATCH(367,Однолинейка!$BV$1:$BV$1000,0)),"")</f>
      </c>
      <c r="F369" s="133">
        <f>IFERROR(INDEX(Однолинейка!$Q$1:$Q$1000,MATCH(367,Однолинейка!$BV$1:$BV$1000,0)),"")</f>
      </c>
    </row>
    <row r="370">
      <c r="A370" s="133">
        <f>IF(ISNUMBER(MATCH(368,Однолинейка!$BV$1:$BV$1000,0)),368,"")</f>
      </c>
      <c r="B370" s="133">
        <f>IFERROR(INDEX(Однолинейка!$A$1:$A$1000,MATCH(368,Однолинейка!$BV$1:$BV$1000,0)),"")</f>
      </c>
      <c r="C370" s="133">
        <f>IFERROR(INDEX(Однолинейка!$G$1:$G$1000,MATCH(368,Однолинейка!$BV$1:$BV$1000,0))&amp;IF(INDEX(Однолинейка!$P$1:$P$1000,MATCH(368,Однолинейка!$BV$1:$BV$1000,0))="","","/"&amp;INDEX(Однолинейка!$P$1:$P$1000,MATCH(368,Однолинейка!$BV$1:$BV$1000,0))),"")</f>
      </c>
      <c r="D370" s="133">
        <f>IFERROR(INDEX(Однолинейка!$R$1:$R$1000,MATCH(368,Однолинейка!$BV$1:$BV$1000,0)),"")</f>
      </c>
      <c r="E370" s="133">
        <f>IFERROR(INDEX(Однолинейка!$S$1:$S$1000,MATCH(368,Однолинейка!$BV$1:$BV$1000,0)),"")</f>
      </c>
      <c r="F370" s="133">
        <f>IFERROR(INDEX(Однолинейка!$Q$1:$Q$1000,MATCH(368,Однолинейка!$BV$1:$BV$1000,0)),"")</f>
      </c>
    </row>
    <row r="371">
      <c r="A371" s="133">
        <f>IF(ISNUMBER(MATCH(369,Однолинейка!$BV$1:$BV$1000,0)),369,"")</f>
      </c>
      <c r="B371" s="133">
        <f>IFERROR(INDEX(Однолинейка!$A$1:$A$1000,MATCH(369,Однолинейка!$BV$1:$BV$1000,0)),"")</f>
      </c>
      <c r="C371" s="133">
        <f>IFERROR(INDEX(Однолинейка!$G$1:$G$1000,MATCH(369,Однолинейка!$BV$1:$BV$1000,0))&amp;IF(INDEX(Однолинейка!$P$1:$P$1000,MATCH(369,Однолинейка!$BV$1:$BV$1000,0))="","","/"&amp;INDEX(Однолинейка!$P$1:$P$1000,MATCH(369,Однолинейка!$BV$1:$BV$1000,0))),"")</f>
      </c>
      <c r="D371" s="133">
        <f>IFERROR(INDEX(Однолинейка!$R$1:$R$1000,MATCH(369,Однолинейка!$BV$1:$BV$1000,0)),"")</f>
      </c>
      <c r="E371" s="133">
        <f>IFERROR(INDEX(Однолинейка!$S$1:$S$1000,MATCH(369,Однолинейка!$BV$1:$BV$1000,0)),"")</f>
      </c>
      <c r="F371" s="133">
        <f>IFERROR(INDEX(Однолинейка!$Q$1:$Q$1000,MATCH(369,Однолинейка!$BV$1:$BV$1000,0)),"")</f>
      </c>
    </row>
    <row r="372">
      <c r="A372" s="133">
        <f>IF(ISNUMBER(MATCH(370,Однолинейка!$BV$1:$BV$1000,0)),370,"")</f>
      </c>
      <c r="B372" s="133">
        <f>IFERROR(INDEX(Однолинейка!$A$1:$A$1000,MATCH(370,Однолинейка!$BV$1:$BV$1000,0)),"")</f>
      </c>
      <c r="C372" s="133">
        <f>IFERROR(INDEX(Однолинейка!$G$1:$G$1000,MATCH(370,Однолинейка!$BV$1:$BV$1000,0))&amp;IF(INDEX(Однолинейка!$P$1:$P$1000,MATCH(370,Однолинейка!$BV$1:$BV$1000,0))="","","/"&amp;INDEX(Однолинейка!$P$1:$P$1000,MATCH(370,Однолинейка!$BV$1:$BV$1000,0))),"")</f>
      </c>
      <c r="D372" s="133">
        <f>IFERROR(INDEX(Однолинейка!$R$1:$R$1000,MATCH(370,Однолинейка!$BV$1:$BV$1000,0)),"")</f>
      </c>
      <c r="E372" s="133">
        <f>IFERROR(INDEX(Однолинейка!$S$1:$S$1000,MATCH(370,Однолинейка!$BV$1:$BV$1000,0)),"")</f>
      </c>
      <c r="F372" s="133">
        <f>IFERROR(INDEX(Однолинейка!$Q$1:$Q$1000,MATCH(370,Однолинейка!$BV$1:$BV$1000,0)),"")</f>
      </c>
    </row>
    <row r="373">
      <c r="A373" s="133">
        <f>IF(ISNUMBER(MATCH(371,Однолинейка!$BV$1:$BV$1000,0)),371,"")</f>
      </c>
      <c r="B373" s="133">
        <f>IFERROR(INDEX(Однолинейка!$A$1:$A$1000,MATCH(371,Однолинейка!$BV$1:$BV$1000,0)),"")</f>
      </c>
      <c r="C373" s="133">
        <f>IFERROR(INDEX(Однолинейка!$G$1:$G$1000,MATCH(371,Однолинейка!$BV$1:$BV$1000,0))&amp;IF(INDEX(Однолинейка!$P$1:$P$1000,MATCH(371,Однолинейка!$BV$1:$BV$1000,0))="","","/"&amp;INDEX(Однолинейка!$P$1:$P$1000,MATCH(371,Однолинейка!$BV$1:$BV$1000,0))),"")</f>
      </c>
      <c r="D373" s="133">
        <f>IFERROR(INDEX(Однолинейка!$R$1:$R$1000,MATCH(371,Однолинейка!$BV$1:$BV$1000,0)),"")</f>
      </c>
      <c r="E373" s="133">
        <f>IFERROR(INDEX(Однолинейка!$S$1:$S$1000,MATCH(371,Однолинейка!$BV$1:$BV$1000,0)),"")</f>
      </c>
      <c r="F373" s="133">
        <f>IFERROR(INDEX(Однолинейка!$Q$1:$Q$1000,MATCH(371,Однолинейка!$BV$1:$BV$1000,0)),"")</f>
      </c>
    </row>
    <row r="374">
      <c r="A374" s="133">
        <f>IF(ISNUMBER(MATCH(372,Однолинейка!$BV$1:$BV$1000,0)),372,"")</f>
      </c>
      <c r="B374" s="133">
        <f>IFERROR(INDEX(Однолинейка!$A$1:$A$1000,MATCH(372,Однолинейка!$BV$1:$BV$1000,0)),"")</f>
      </c>
      <c r="C374" s="133">
        <f>IFERROR(INDEX(Однолинейка!$G$1:$G$1000,MATCH(372,Однолинейка!$BV$1:$BV$1000,0))&amp;IF(INDEX(Однолинейка!$P$1:$P$1000,MATCH(372,Однолинейка!$BV$1:$BV$1000,0))="","","/"&amp;INDEX(Однолинейка!$P$1:$P$1000,MATCH(372,Однолинейка!$BV$1:$BV$1000,0))),"")</f>
      </c>
      <c r="D374" s="133">
        <f>IFERROR(INDEX(Однолинейка!$R$1:$R$1000,MATCH(372,Однолинейка!$BV$1:$BV$1000,0)),"")</f>
      </c>
      <c r="E374" s="133">
        <f>IFERROR(INDEX(Однолинейка!$S$1:$S$1000,MATCH(372,Однолинейка!$BV$1:$BV$1000,0)),"")</f>
      </c>
      <c r="F374" s="133">
        <f>IFERROR(INDEX(Однолинейка!$Q$1:$Q$1000,MATCH(372,Однолинейка!$BV$1:$BV$1000,0)),"")</f>
      </c>
    </row>
    <row r="375">
      <c r="A375" s="133">
        <f>IF(ISNUMBER(MATCH(373,Однолинейка!$BV$1:$BV$1000,0)),373,"")</f>
      </c>
      <c r="B375" s="133">
        <f>IFERROR(INDEX(Однолинейка!$A$1:$A$1000,MATCH(373,Однолинейка!$BV$1:$BV$1000,0)),"")</f>
      </c>
      <c r="C375" s="133">
        <f>IFERROR(INDEX(Однолинейка!$G$1:$G$1000,MATCH(373,Однолинейка!$BV$1:$BV$1000,0))&amp;IF(INDEX(Однолинейка!$P$1:$P$1000,MATCH(373,Однолинейка!$BV$1:$BV$1000,0))="","","/"&amp;INDEX(Однолинейка!$P$1:$P$1000,MATCH(373,Однолинейка!$BV$1:$BV$1000,0))),"")</f>
      </c>
      <c r="D375" s="133">
        <f>IFERROR(INDEX(Однолинейка!$R$1:$R$1000,MATCH(373,Однолинейка!$BV$1:$BV$1000,0)),"")</f>
      </c>
      <c r="E375" s="133">
        <f>IFERROR(INDEX(Однолинейка!$S$1:$S$1000,MATCH(373,Однолинейка!$BV$1:$BV$1000,0)),"")</f>
      </c>
      <c r="F375" s="133">
        <f>IFERROR(INDEX(Однолинейка!$Q$1:$Q$1000,MATCH(373,Однолинейка!$BV$1:$BV$1000,0)),"")</f>
      </c>
    </row>
    <row r="376">
      <c r="A376" s="133">
        <f>IF(ISNUMBER(MATCH(374,Однолинейка!$BV$1:$BV$1000,0)),374,"")</f>
      </c>
      <c r="B376" s="133">
        <f>IFERROR(INDEX(Однолинейка!$A$1:$A$1000,MATCH(374,Однолинейка!$BV$1:$BV$1000,0)),"")</f>
      </c>
      <c r="C376" s="133">
        <f>IFERROR(INDEX(Однолинейка!$G$1:$G$1000,MATCH(374,Однолинейка!$BV$1:$BV$1000,0))&amp;IF(INDEX(Однолинейка!$P$1:$P$1000,MATCH(374,Однолинейка!$BV$1:$BV$1000,0))="","","/"&amp;INDEX(Однолинейка!$P$1:$P$1000,MATCH(374,Однолинейка!$BV$1:$BV$1000,0))),"")</f>
      </c>
      <c r="D376" s="133">
        <f>IFERROR(INDEX(Однолинейка!$R$1:$R$1000,MATCH(374,Однолинейка!$BV$1:$BV$1000,0)),"")</f>
      </c>
      <c r="E376" s="133">
        <f>IFERROR(INDEX(Однолинейка!$S$1:$S$1000,MATCH(374,Однолинейка!$BV$1:$BV$1000,0)),"")</f>
      </c>
      <c r="F376" s="133">
        <f>IFERROR(INDEX(Однолинейка!$Q$1:$Q$1000,MATCH(374,Однолинейка!$BV$1:$BV$1000,0)),"")</f>
      </c>
    </row>
    <row r="377">
      <c r="A377" s="133">
        <f>IF(ISNUMBER(MATCH(375,Однолинейка!$BV$1:$BV$1000,0)),375,"")</f>
      </c>
      <c r="B377" s="133">
        <f>IFERROR(INDEX(Однолинейка!$A$1:$A$1000,MATCH(375,Однолинейка!$BV$1:$BV$1000,0)),"")</f>
      </c>
      <c r="C377" s="133">
        <f>IFERROR(INDEX(Однолинейка!$G$1:$G$1000,MATCH(375,Однолинейка!$BV$1:$BV$1000,0))&amp;IF(INDEX(Однолинейка!$P$1:$P$1000,MATCH(375,Однолинейка!$BV$1:$BV$1000,0))="","","/"&amp;INDEX(Однолинейка!$P$1:$P$1000,MATCH(375,Однолинейка!$BV$1:$BV$1000,0))),"")</f>
      </c>
      <c r="D377" s="133">
        <f>IFERROR(INDEX(Однолинейка!$R$1:$R$1000,MATCH(375,Однолинейка!$BV$1:$BV$1000,0)),"")</f>
      </c>
      <c r="E377" s="133">
        <f>IFERROR(INDEX(Однолинейка!$S$1:$S$1000,MATCH(375,Однолинейка!$BV$1:$BV$1000,0)),"")</f>
      </c>
      <c r="F377" s="133">
        <f>IFERROR(INDEX(Однолинейка!$Q$1:$Q$1000,MATCH(375,Однолинейка!$BV$1:$BV$1000,0)),"")</f>
      </c>
    </row>
    <row r="378">
      <c r="A378" s="133">
        <f>IF(ISNUMBER(MATCH(376,Однолинейка!$BV$1:$BV$1000,0)),376,"")</f>
      </c>
      <c r="B378" s="133">
        <f>IFERROR(INDEX(Однолинейка!$A$1:$A$1000,MATCH(376,Однолинейка!$BV$1:$BV$1000,0)),"")</f>
      </c>
      <c r="C378" s="133">
        <f>IFERROR(INDEX(Однолинейка!$G$1:$G$1000,MATCH(376,Однолинейка!$BV$1:$BV$1000,0))&amp;IF(INDEX(Однолинейка!$P$1:$P$1000,MATCH(376,Однолинейка!$BV$1:$BV$1000,0))="","","/"&amp;INDEX(Однолинейка!$P$1:$P$1000,MATCH(376,Однолинейка!$BV$1:$BV$1000,0))),"")</f>
      </c>
      <c r="D378" s="133">
        <f>IFERROR(INDEX(Однолинейка!$R$1:$R$1000,MATCH(376,Однолинейка!$BV$1:$BV$1000,0)),"")</f>
      </c>
      <c r="E378" s="133">
        <f>IFERROR(INDEX(Однолинейка!$S$1:$S$1000,MATCH(376,Однолинейка!$BV$1:$BV$1000,0)),"")</f>
      </c>
      <c r="F378" s="133">
        <f>IFERROR(INDEX(Однолинейка!$Q$1:$Q$1000,MATCH(376,Однолинейка!$BV$1:$BV$1000,0)),"")</f>
      </c>
    </row>
    <row r="379">
      <c r="A379" s="133">
        <f>IF(ISNUMBER(MATCH(377,Однолинейка!$BV$1:$BV$1000,0)),377,"")</f>
      </c>
      <c r="B379" s="133">
        <f>IFERROR(INDEX(Однолинейка!$A$1:$A$1000,MATCH(377,Однолинейка!$BV$1:$BV$1000,0)),"")</f>
      </c>
      <c r="C379" s="133">
        <f>IFERROR(INDEX(Однолинейка!$G$1:$G$1000,MATCH(377,Однолинейка!$BV$1:$BV$1000,0))&amp;IF(INDEX(Однолинейка!$P$1:$P$1000,MATCH(377,Однолинейка!$BV$1:$BV$1000,0))="","","/"&amp;INDEX(Однолинейка!$P$1:$P$1000,MATCH(377,Однолинейка!$BV$1:$BV$1000,0))),"")</f>
      </c>
      <c r="D379" s="133">
        <f>IFERROR(INDEX(Однолинейка!$R$1:$R$1000,MATCH(377,Однолинейка!$BV$1:$BV$1000,0)),"")</f>
      </c>
      <c r="E379" s="133">
        <f>IFERROR(INDEX(Однолинейка!$S$1:$S$1000,MATCH(377,Однолинейка!$BV$1:$BV$1000,0)),"")</f>
      </c>
      <c r="F379" s="133">
        <f>IFERROR(INDEX(Однолинейка!$Q$1:$Q$1000,MATCH(377,Однолинейка!$BV$1:$BV$1000,0)),"")</f>
      </c>
    </row>
    <row r="380">
      <c r="A380" s="133">
        <f>IF(ISNUMBER(MATCH(378,Однолинейка!$BV$1:$BV$1000,0)),378,"")</f>
      </c>
      <c r="B380" s="133">
        <f>IFERROR(INDEX(Однолинейка!$A$1:$A$1000,MATCH(378,Однолинейка!$BV$1:$BV$1000,0)),"")</f>
      </c>
      <c r="C380" s="133">
        <f>IFERROR(INDEX(Однолинейка!$G$1:$G$1000,MATCH(378,Однолинейка!$BV$1:$BV$1000,0))&amp;IF(INDEX(Однолинейка!$P$1:$P$1000,MATCH(378,Однолинейка!$BV$1:$BV$1000,0))="","","/"&amp;INDEX(Однолинейка!$P$1:$P$1000,MATCH(378,Однолинейка!$BV$1:$BV$1000,0))),"")</f>
      </c>
      <c r="D380" s="133">
        <f>IFERROR(INDEX(Однолинейка!$R$1:$R$1000,MATCH(378,Однолинейка!$BV$1:$BV$1000,0)),"")</f>
      </c>
      <c r="E380" s="133">
        <f>IFERROR(INDEX(Однолинейка!$S$1:$S$1000,MATCH(378,Однолинейка!$BV$1:$BV$1000,0)),"")</f>
      </c>
      <c r="F380" s="133">
        <f>IFERROR(INDEX(Однолинейка!$Q$1:$Q$1000,MATCH(378,Однолинейка!$BV$1:$BV$1000,0)),"")</f>
      </c>
    </row>
    <row r="381">
      <c r="A381" s="133">
        <f>IF(ISNUMBER(MATCH(379,Однолинейка!$BV$1:$BV$1000,0)),379,"")</f>
      </c>
      <c r="B381" s="133">
        <f>IFERROR(INDEX(Однолинейка!$A$1:$A$1000,MATCH(379,Однолинейка!$BV$1:$BV$1000,0)),"")</f>
      </c>
      <c r="C381" s="133">
        <f>IFERROR(INDEX(Однолинейка!$G$1:$G$1000,MATCH(379,Однолинейка!$BV$1:$BV$1000,0))&amp;IF(INDEX(Однолинейка!$P$1:$P$1000,MATCH(379,Однолинейка!$BV$1:$BV$1000,0))="","","/"&amp;INDEX(Однолинейка!$P$1:$P$1000,MATCH(379,Однолинейка!$BV$1:$BV$1000,0))),"")</f>
      </c>
      <c r="D381" s="133">
        <f>IFERROR(INDEX(Однолинейка!$R$1:$R$1000,MATCH(379,Однолинейка!$BV$1:$BV$1000,0)),"")</f>
      </c>
      <c r="E381" s="133">
        <f>IFERROR(INDEX(Однолинейка!$S$1:$S$1000,MATCH(379,Однолинейка!$BV$1:$BV$1000,0)),"")</f>
      </c>
      <c r="F381" s="133">
        <f>IFERROR(INDEX(Однолинейка!$Q$1:$Q$1000,MATCH(379,Однолинейка!$BV$1:$BV$1000,0)),"")</f>
      </c>
    </row>
    <row r="382">
      <c r="A382" s="133">
        <f>IF(ISNUMBER(MATCH(380,Однолинейка!$BV$1:$BV$1000,0)),380,"")</f>
      </c>
      <c r="B382" s="133">
        <f>IFERROR(INDEX(Однолинейка!$A$1:$A$1000,MATCH(380,Однолинейка!$BV$1:$BV$1000,0)),"")</f>
      </c>
      <c r="C382" s="133">
        <f>IFERROR(INDEX(Однолинейка!$G$1:$G$1000,MATCH(380,Однолинейка!$BV$1:$BV$1000,0))&amp;IF(INDEX(Однолинейка!$P$1:$P$1000,MATCH(380,Однолинейка!$BV$1:$BV$1000,0))="","","/"&amp;INDEX(Однолинейка!$P$1:$P$1000,MATCH(380,Однолинейка!$BV$1:$BV$1000,0))),"")</f>
      </c>
      <c r="D382" s="133">
        <f>IFERROR(INDEX(Однолинейка!$R$1:$R$1000,MATCH(380,Однолинейка!$BV$1:$BV$1000,0)),"")</f>
      </c>
      <c r="E382" s="133">
        <f>IFERROR(INDEX(Однолинейка!$S$1:$S$1000,MATCH(380,Однолинейка!$BV$1:$BV$1000,0)),"")</f>
      </c>
      <c r="F382" s="133">
        <f>IFERROR(INDEX(Однолинейка!$Q$1:$Q$1000,MATCH(380,Однолинейка!$BV$1:$BV$1000,0)),"")</f>
      </c>
    </row>
    <row r="383">
      <c r="A383" s="133">
        <f>IF(ISNUMBER(MATCH(381,Однолинейка!$BV$1:$BV$1000,0)),381,"")</f>
      </c>
      <c r="B383" s="133">
        <f>IFERROR(INDEX(Однолинейка!$A$1:$A$1000,MATCH(381,Однолинейка!$BV$1:$BV$1000,0)),"")</f>
      </c>
      <c r="C383" s="133">
        <f>IFERROR(INDEX(Однолинейка!$G$1:$G$1000,MATCH(381,Однолинейка!$BV$1:$BV$1000,0))&amp;IF(INDEX(Однолинейка!$P$1:$P$1000,MATCH(381,Однолинейка!$BV$1:$BV$1000,0))="","","/"&amp;INDEX(Однолинейка!$P$1:$P$1000,MATCH(381,Однолинейка!$BV$1:$BV$1000,0))),"")</f>
      </c>
      <c r="D383" s="133">
        <f>IFERROR(INDEX(Однолинейка!$R$1:$R$1000,MATCH(381,Однолинейка!$BV$1:$BV$1000,0)),"")</f>
      </c>
      <c r="E383" s="133">
        <f>IFERROR(INDEX(Однолинейка!$S$1:$S$1000,MATCH(381,Однолинейка!$BV$1:$BV$1000,0)),"")</f>
      </c>
      <c r="F383" s="133">
        <f>IFERROR(INDEX(Однолинейка!$Q$1:$Q$1000,MATCH(381,Однолинейка!$BV$1:$BV$1000,0)),"")</f>
      </c>
    </row>
    <row r="384">
      <c r="A384" s="133">
        <f>IF(ISNUMBER(MATCH(382,Однолинейка!$BV$1:$BV$1000,0)),382,"")</f>
      </c>
      <c r="B384" s="133">
        <f>IFERROR(INDEX(Однолинейка!$A$1:$A$1000,MATCH(382,Однолинейка!$BV$1:$BV$1000,0)),"")</f>
      </c>
      <c r="C384" s="133">
        <f>IFERROR(INDEX(Однолинейка!$G$1:$G$1000,MATCH(382,Однолинейка!$BV$1:$BV$1000,0))&amp;IF(INDEX(Однолинейка!$P$1:$P$1000,MATCH(382,Однолинейка!$BV$1:$BV$1000,0))="","","/"&amp;INDEX(Однолинейка!$P$1:$P$1000,MATCH(382,Однолинейка!$BV$1:$BV$1000,0))),"")</f>
      </c>
      <c r="D384" s="133">
        <f>IFERROR(INDEX(Однолинейка!$R$1:$R$1000,MATCH(382,Однолинейка!$BV$1:$BV$1000,0)),"")</f>
      </c>
      <c r="E384" s="133">
        <f>IFERROR(INDEX(Однолинейка!$S$1:$S$1000,MATCH(382,Однолинейка!$BV$1:$BV$1000,0)),"")</f>
      </c>
      <c r="F384" s="133">
        <f>IFERROR(INDEX(Однолинейка!$Q$1:$Q$1000,MATCH(382,Однолинейка!$BV$1:$BV$1000,0)),"")</f>
      </c>
    </row>
    <row r="385">
      <c r="A385" s="133">
        <f>IF(ISNUMBER(MATCH(383,Однолинейка!$BV$1:$BV$1000,0)),383,"")</f>
      </c>
      <c r="B385" s="133">
        <f>IFERROR(INDEX(Однолинейка!$A$1:$A$1000,MATCH(383,Однолинейка!$BV$1:$BV$1000,0)),"")</f>
      </c>
      <c r="C385" s="133">
        <f>IFERROR(INDEX(Однолинейка!$G$1:$G$1000,MATCH(383,Однолинейка!$BV$1:$BV$1000,0))&amp;IF(INDEX(Однолинейка!$P$1:$P$1000,MATCH(383,Однолинейка!$BV$1:$BV$1000,0))="","","/"&amp;INDEX(Однолинейка!$P$1:$P$1000,MATCH(383,Однолинейка!$BV$1:$BV$1000,0))),"")</f>
      </c>
      <c r="D385" s="133">
        <f>IFERROR(INDEX(Однолинейка!$R$1:$R$1000,MATCH(383,Однолинейка!$BV$1:$BV$1000,0)),"")</f>
      </c>
      <c r="E385" s="133">
        <f>IFERROR(INDEX(Однолинейка!$S$1:$S$1000,MATCH(383,Однолинейка!$BV$1:$BV$1000,0)),"")</f>
      </c>
      <c r="F385" s="133">
        <f>IFERROR(INDEX(Однолинейка!$Q$1:$Q$1000,MATCH(383,Однолинейка!$BV$1:$BV$1000,0)),"")</f>
      </c>
    </row>
    <row r="386">
      <c r="A386" s="133">
        <f>IF(ISNUMBER(MATCH(384,Однолинейка!$BV$1:$BV$1000,0)),384,"")</f>
      </c>
      <c r="B386" s="133">
        <f>IFERROR(INDEX(Однолинейка!$A$1:$A$1000,MATCH(384,Однолинейка!$BV$1:$BV$1000,0)),"")</f>
      </c>
      <c r="C386" s="133">
        <f>IFERROR(INDEX(Однолинейка!$G$1:$G$1000,MATCH(384,Однолинейка!$BV$1:$BV$1000,0))&amp;IF(INDEX(Однолинейка!$P$1:$P$1000,MATCH(384,Однолинейка!$BV$1:$BV$1000,0))="","","/"&amp;INDEX(Однолинейка!$P$1:$P$1000,MATCH(384,Однолинейка!$BV$1:$BV$1000,0))),"")</f>
      </c>
      <c r="D386" s="133">
        <f>IFERROR(INDEX(Однолинейка!$R$1:$R$1000,MATCH(384,Однолинейка!$BV$1:$BV$1000,0)),"")</f>
      </c>
      <c r="E386" s="133">
        <f>IFERROR(INDEX(Однолинейка!$S$1:$S$1000,MATCH(384,Однолинейка!$BV$1:$BV$1000,0)),"")</f>
      </c>
      <c r="F386" s="133">
        <f>IFERROR(INDEX(Однолинейка!$Q$1:$Q$1000,MATCH(384,Однолинейка!$BV$1:$BV$1000,0)),"")</f>
      </c>
    </row>
    <row r="387">
      <c r="A387" s="133">
        <f>IF(ISNUMBER(MATCH(385,Однолинейка!$BV$1:$BV$1000,0)),385,"")</f>
      </c>
      <c r="B387" s="133">
        <f>IFERROR(INDEX(Однолинейка!$A$1:$A$1000,MATCH(385,Однолинейка!$BV$1:$BV$1000,0)),"")</f>
      </c>
      <c r="C387" s="133">
        <f>IFERROR(INDEX(Однолинейка!$G$1:$G$1000,MATCH(385,Однолинейка!$BV$1:$BV$1000,0))&amp;IF(INDEX(Однолинейка!$P$1:$P$1000,MATCH(385,Однолинейка!$BV$1:$BV$1000,0))="","","/"&amp;INDEX(Однолинейка!$P$1:$P$1000,MATCH(385,Однолинейка!$BV$1:$BV$1000,0))),"")</f>
      </c>
      <c r="D387" s="133">
        <f>IFERROR(INDEX(Однолинейка!$R$1:$R$1000,MATCH(385,Однолинейка!$BV$1:$BV$1000,0)),"")</f>
      </c>
      <c r="E387" s="133">
        <f>IFERROR(INDEX(Однолинейка!$S$1:$S$1000,MATCH(385,Однолинейка!$BV$1:$BV$1000,0)),"")</f>
      </c>
      <c r="F387" s="133">
        <f>IFERROR(INDEX(Однолинейка!$Q$1:$Q$1000,MATCH(385,Однолинейка!$BV$1:$BV$1000,0)),"")</f>
      </c>
    </row>
    <row r="388">
      <c r="A388" s="133">
        <f>IF(ISNUMBER(MATCH(386,Однолинейка!$BV$1:$BV$1000,0)),386,"")</f>
      </c>
      <c r="B388" s="133">
        <f>IFERROR(INDEX(Однолинейка!$A$1:$A$1000,MATCH(386,Однолинейка!$BV$1:$BV$1000,0)),"")</f>
      </c>
      <c r="C388" s="133">
        <f>IFERROR(INDEX(Однолинейка!$G$1:$G$1000,MATCH(386,Однолинейка!$BV$1:$BV$1000,0))&amp;IF(INDEX(Однолинейка!$P$1:$P$1000,MATCH(386,Однолинейка!$BV$1:$BV$1000,0))="","","/"&amp;INDEX(Однолинейка!$P$1:$P$1000,MATCH(386,Однолинейка!$BV$1:$BV$1000,0))),"")</f>
      </c>
      <c r="D388" s="133">
        <f>IFERROR(INDEX(Однолинейка!$R$1:$R$1000,MATCH(386,Однолинейка!$BV$1:$BV$1000,0)),"")</f>
      </c>
      <c r="E388" s="133">
        <f>IFERROR(INDEX(Однолинейка!$S$1:$S$1000,MATCH(386,Однолинейка!$BV$1:$BV$1000,0)),"")</f>
      </c>
      <c r="F388" s="133">
        <f>IFERROR(INDEX(Однолинейка!$Q$1:$Q$1000,MATCH(386,Однолинейка!$BV$1:$BV$1000,0)),"")</f>
      </c>
    </row>
    <row r="389">
      <c r="A389" s="133">
        <f>IF(ISNUMBER(MATCH(387,Однолинейка!$BV$1:$BV$1000,0)),387,"")</f>
      </c>
      <c r="B389" s="133">
        <f>IFERROR(INDEX(Однолинейка!$A$1:$A$1000,MATCH(387,Однолинейка!$BV$1:$BV$1000,0)),"")</f>
      </c>
      <c r="C389" s="133">
        <f>IFERROR(INDEX(Однолинейка!$G$1:$G$1000,MATCH(387,Однолинейка!$BV$1:$BV$1000,0))&amp;IF(INDEX(Однолинейка!$P$1:$P$1000,MATCH(387,Однолинейка!$BV$1:$BV$1000,0))="","","/"&amp;INDEX(Однолинейка!$P$1:$P$1000,MATCH(387,Однолинейка!$BV$1:$BV$1000,0))),"")</f>
      </c>
      <c r="D389" s="133">
        <f>IFERROR(INDEX(Однолинейка!$R$1:$R$1000,MATCH(387,Однолинейка!$BV$1:$BV$1000,0)),"")</f>
      </c>
      <c r="E389" s="133">
        <f>IFERROR(INDEX(Однолинейка!$S$1:$S$1000,MATCH(387,Однолинейка!$BV$1:$BV$1000,0)),"")</f>
      </c>
      <c r="F389" s="133">
        <f>IFERROR(INDEX(Однолинейка!$Q$1:$Q$1000,MATCH(387,Однолинейка!$BV$1:$BV$1000,0)),"")</f>
      </c>
    </row>
    <row r="390">
      <c r="A390" s="133">
        <f>IF(ISNUMBER(MATCH(388,Однолинейка!$BV$1:$BV$1000,0)),388,"")</f>
      </c>
      <c r="B390" s="133">
        <f>IFERROR(INDEX(Однолинейка!$A$1:$A$1000,MATCH(388,Однолинейка!$BV$1:$BV$1000,0)),"")</f>
      </c>
      <c r="C390" s="133">
        <f>IFERROR(INDEX(Однолинейка!$G$1:$G$1000,MATCH(388,Однолинейка!$BV$1:$BV$1000,0))&amp;IF(INDEX(Однолинейка!$P$1:$P$1000,MATCH(388,Однолинейка!$BV$1:$BV$1000,0))="","","/"&amp;INDEX(Однолинейка!$P$1:$P$1000,MATCH(388,Однолинейка!$BV$1:$BV$1000,0))),"")</f>
      </c>
      <c r="D390" s="133">
        <f>IFERROR(INDEX(Однолинейка!$R$1:$R$1000,MATCH(388,Однолинейка!$BV$1:$BV$1000,0)),"")</f>
      </c>
      <c r="E390" s="133">
        <f>IFERROR(INDEX(Однолинейка!$S$1:$S$1000,MATCH(388,Однолинейка!$BV$1:$BV$1000,0)),"")</f>
      </c>
      <c r="F390" s="133">
        <f>IFERROR(INDEX(Однолинейка!$Q$1:$Q$1000,MATCH(388,Однолинейка!$BV$1:$BV$1000,0)),"")</f>
      </c>
    </row>
    <row r="391">
      <c r="A391" s="133">
        <f>IF(ISNUMBER(MATCH(389,Однолинейка!$BV$1:$BV$1000,0)),389,"")</f>
      </c>
      <c r="B391" s="133">
        <f>IFERROR(INDEX(Однолинейка!$A$1:$A$1000,MATCH(389,Однолинейка!$BV$1:$BV$1000,0)),"")</f>
      </c>
      <c r="C391" s="133">
        <f>IFERROR(INDEX(Однолинейка!$G$1:$G$1000,MATCH(389,Однолинейка!$BV$1:$BV$1000,0))&amp;IF(INDEX(Однолинейка!$P$1:$P$1000,MATCH(389,Однолинейка!$BV$1:$BV$1000,0))="","","/"&amp;INDEX(Однолинейка!$P$1:$P$1000,MATCH(389,Однолинейка!$BV$1:$BV$1000,0))),"")</f>
      </c>
      <c r="D391" s="133">
        <f>IFERROR(INDEX(Однолинейка!$R$1:$R$1000,MATCH(389,Однолинейка!$BV$1:$BV$1000,0)),"")</f>
      </c>
      <c r="E391" s="133">
        <f>IFERROR(INDEX(Однолинейка!$S$1:$S$1000,MATCH(389,Однолинейка!$BV$1:$BV$1000,0)),"")</f>
      </c>
      <c r="F391" s="133">
        <f>IFERROR(INDEX(Однолинейка!$Q$1:$Q$1000,MATCH(389,Однолинейка!$BV$1:$BV$1000,0)),"")</f>
      </c>
    </row>
    <row r="392">
      <c r="A392" s="133">
        <f>IF(ISNUMBER(MATCH(390,Однолинейка!$BV$1:$BV$1000,0)),390,"")</f>
      </c>
      <c r="B392" s="133">
        <f>IFERROR(INDEX(Однолинейка!$A$1:$A$1000,MATCH(390,Однолинейка!$BV$1:$BV$1000,0)),"")</f>
      </c>
      <c r="C392" s="133">
        <f>IFERROR(INDEX(Однолинейка!$G$1:$G$1000,MATCH(390,Однолинейка!$BV$1:$BV$1000,0))&amp;IF(INDEX(Однолинейка!$P$1:$P$1000,MATCH(390,Однолинейка!$BV$1:$BV$1000,0))="","","/"&amp;INDEX(Однолинейка!$P$1:$P$1000,MATCH(390,Однолинейка!$BV$1:$BV$1000,0))),"")</f>
      </c>
      <c r="D392" s="133">
        <f>IFERROR(INDEX(Однолинейка!$R$1:$R$1000,MATCH(390,Однолинейка!$BV$1:$BV$1000,0)),"")</f>
      </c>
      <c r="E392" s="133">
        <f>IFERROR(INDEX(Однолинейка!$S$1:$S$1000,MATCH(390,Однолинейка!$BV$1:$BV$1000,0)),"")</f>
      </c>
      <c r="F392" s="133">
        <f>IFERROR(INDEX(Однолинейка!$Q$1:$Q$1000,MATCH(390,Однолинейка!$BV$1:$BV$1000,0)),"")</f>
      </c>
    </row>
    <row r="393">
      <c r="A393" s="133">
        <f>IF(ISNUMBER(MATCH(391,Однолинейка!$BV$1:$BV$1000,0)),391,"")</f>
      </c>
      <c r="B393" s="133">
        <f>IFERROR(INDEX(Однолинейка!$A$1:$A$1000,MATCH(391,Однолинейка!$BV$1:$BV$1000,0)),"")</f>
      </c>
      <c r="C393" s="133">
        <f>IFERROR(INDEX(Однолинейка!$G$1:$G$1000,MATCH(391,Однолинейка!$BV$1:$BV$1000,0))&amp;IF(INDEX(Однолинейка!$P$1:$P$1000,MATCH(391,Однолинейка!$BV$1:$BV$1000,0))="","","/"&amp;INDEX(Однолинейка!$P$1:$P$1000,MATCH(391,Однолинейка!$BV$1:$BV$1000,0))),"")</f>
      </c>
      <c r="D393" s="133">
        <f>IFERROR(INDEX(Однолинейка!$R$1:$R$1000,MATCH(391,Однолинейка!$BV$1:$BV$1000,0)),"")</f>
      </c>
      <c r="E393" s="133">
        <f>IFERROR(INDEX(Однолинейка!$S$1:$S$1000,MATCH(391,Однолинейка!$BV$1:$BV$1000,0)),"")</f>
      </c>
      <c r="F393" s="133">
        <f>IFERROR(INDEX(Однолинейка!$Q$1:$Q$1000,MATCH(391,Однолинейка!$BV$1:$BV$1000,0)),"")</f>
      </c>
    </row>
    <row r="394">
      <c r="A394" s="133">
        <f>IF(ISNUMBER(MATCH(392,Однолинейка!$BV$1:$BV$1000,0)),392,"")</f>
      </c>
      <c r="B394" s="133">
        <f>IFERROR(INDEX(Однолинейка!$A$1:$A$1000,MATCH(392,Однолинейка!$BV$1:$BV$1000,0)),"")</f>
      </c>
      <c r="C394" s="133">
        <f>IFERROR(INDEX(Однолинейка!$G$1:$G$1000,MATCH(392,Однолинейка!$BV$1:$BV$1000,0))&amp;IF(INDEX(Однолинейка!$P$1:$P$1000,MATCH(392,Однолинейка!$BV$1:$BV$1000,0))="","","/"&amp;INDEX(Однолинейка!$P$1:$P$1000,MATCH(392,Однолинейка!$BV$1:$BV$1000,0))),"")</f>
      </c>
      <c r="D394" s="133">
        <f>IFERROR(INDEX(Однолинейка!$R$1:$R$1000,MATCH(392,Однолинейка!$BV$1:$BV$1000,0)),"")</f>
      </c>
      <c r="E394" s="133">
        <f>IFERROR(INDEX(Однолинейка!$S$1:$S$1000,MATCH(392,Однолинейка!$BV$1:$BV$1000,0)),"")</f>
      </c>
      <c r="F394" s="133">
        <f>IFERROR(INDEX(Однолинейка!$Q$1:$Q$1000,MATCH(392,Однолинейка!$BV$1:$BV$1000,0)),"")</f>
      </c>
    </row>
    <row r="395">
      <c r="A395" s="133">
        <f>IF(ISNUMBER(MATCH(393,Однолинейка!$BV$1:$BV$1000,0)),393,"")</f>
      </c>
      <c r="B395" s="133">
        <f>IFERROR(INDEX(Однолинейка!$A$1:$A$1000,MATCH(393,Однолинейка!$BV$1:$BV$1000,0)),"")</f>
      </c>
      <c r="C395" s="133">
        <f>IFERROR(INDEX(Однолинейка!$G$1:$G$1000,MATCH(393,Однолинейка!$BV$1:$BV$1000,0))&amp;IF(INDEX(Однолинейка!$P$1:$P$1000,MATCH(393,Однолинейка!$BV$1:$BV$1000,0))="","","/"&amp;INDEX(Однолинейка!$P$1:$P$1000,MATCH(393,Однолинейка!$BV$1:$BV$1000,0))),"")</f>
      </c>
      <c r="D395" s="133">
        <f>IFERROR(INDEX(Однолинейка!$R$1:$R$1000,MATCH(393,Однолинейка!$BV$1:$BV$1000,0)),"")</f>
      </c>
      <c r="E395" s="133">
        <f>IFERROR(INDEX(Однолинейка!$S$1:$S$1000,MATCH(393,Однолинейка!$BV$1:$BV$1000,0)),"")</f>
      </c>
      <c r="F395" s="133">
        <f>IFERROR(INDEX(Однолинейка!$Q$1:$Q$1000,MATCH(393,Однолинейка!$BV$1:$BV$1000,0)),"")</f>
      </c>
    </row>
    <row r="396">
      <c r="A396" s="133">
        <f>IF(ISNUMBER(MATCH(394,Однолинейка!$BV$1:$BV$1000,0)),394,"")</f>
      </c>
      <c r="B396" s="133">
        <f>IFERROR(INDEX(Однолинейка!$A$1:$A$1000,MATCH(394,Однолинейка!$BV$1:$BV$1000,0)),"")</f>
      </c>
      <c r="C396" s="133">
        <f>IFERROR(INDEX(Однолинейка!$G$1:$G$1000,MATCH(394,Однолинейка!$BV$1:$BV$1000,0))&amp;IF(INDEX(Однолинейка!$P$1:$P$1000,MATCH(394,Однолинейка!$BV$1:$BV$1000,0))="","","/"&amp;INDEX(Однолинейка!$P$1:$P$1000,MATCH(394,Однолинейка!$BV$1:$BV$1000,0))),"")</f>
      </c>
      <c r="D396" s="133">
        <f>IFERROR(INDEX(Однолинейка!$R$1:$R$1000,MATCH(394,Однолинейка!$BV$1:$BV$1000,0)),"")</f>
      </c>
      <c r="E396" s="133">
        <f>IFERROR(INDEX(Однолинейка!$S$1:$S$1000,MATCH(394,Однолинейка!$BV$1:$BV$1000,0)),"")</f>
      </c>
      <c r="F396" s="133">
        <f>IFERROR(INDEX(Однолинейка!$Q$1:$Q$1000,MATCH(394,Однолинейка!$BV$1:$BV$1000,0)),"")</f>
      </c>
    </row>
    <row r="397">
      <c r="A397" s="133">
        <f>IF(ISNUMBER(MATCH(395,Однолинейка!$BV$1:$BV$1000,0)),395,"")</f>
      </c>
      <c r="B397" s="133">
        <f>IFERROR(INDEX(Однолинейка!$A$1:$A$1000,MATCH(395,Однолинейка!$BV$1:$BV$1000,0)),"")</f>
      </c>
      <c r="C397" s="133">
        <f>IFERROR(INDEX(Однолинейка!$G$1:$G$1000,MATCH(395,Однолинейка!$BV$1:$BV$1000,0))&amp;IF(INDEX(Однолинейка!$P$1:$P$1000,MATCH(395,Однолинейка!$BV$1:$BV$1000,0))="","","/"&amp;INDEX(Однолинейка!$P$1:$P$1000,MATCH(395,Однолинейка!$BV$1:$BV$1000,0))),"")</f>
      </c>
      <c r="D397" s="133">
        <f>IFERROR(INDEX(Однолинейка!$R$1:$R$1000,MATCH(395,Однолинейка!$BV$1:$BV$1000,0)),"")</f>
      </c>
      <c r="E397" s="133">
        <f>IFERROR(INDEX(Однолинейка!$S$1:$S$1000,MATCH(395,Однолинейка!$BV$1:$BV$1000,0)),"")</f>
      </c>
      <c r="F397" s="133">
        <f>IFERROR(INDEX(Однолинейка!$Q$1:$Q$1000,MATCH(395,Однолинейка!$BV$1:$BV$1000,0)),"")</f>
      </c>
    </row>
    <row r="398">
      <c r="A398" s="133">
        <f>IF(ISNUMBER(MATCH(396,Однолинейка!$BV$1:$BV$1000,0)),396,"")</f>
      </c>
      <c r="B398" s="133">
        <f>IFERROR(INDEX(Однолинейка!$A$1:$A$1000,MATCH(396,Однолинейка!$BV$1:$BV$1000,0)),"")</f>
      </c>
      <c r="C398" s="133">
        <f>IFERROR(INDEX(Однолинейка!$G$1:$G$1000,MATCH(396,Однолинейка!$BV$1:$BV$1000,0))&amp;IF(INDEX(Однолинейка!$P$1:$P$1000,MATCH(396,Однолинейка!$BV$1:$BV$1000,0))="","","/"&amp;INDEX(Однолинейка!$P$1:$P$1000,MATCH(396,Однолинейка!$BV$1:$BV$1000,0))),"")</f>
      </c>
      <c r="D398" s="133">
        <f>IFERROR(INDEX(Однолинейка!$R$1:$R$1000,MATCH(396,Однолинейка!$BV$1:$BV$1000,0)),"")</f>
      </c>
      <c r="E398" s="133">
        <f>IFERROR(INDEX(Однолинейка!$S$1:$S$1000,MATCH(396,Однолинейка!$BV$1:$BV$1000,0)),"")</f>
      </c>
      <c r="F398" s="133">
        <f>IFERROR(INDEX(Однолинейка!$Q$1:$Q$1000,MATCH(396,Однолинейка!$BV$1:$BV$1000,0)),"")</f>
      </c>
    </row>
    <row r="399">
      <c r="A399" s="133">
        <f>IF(ISNUMBER(MATCH(397,Однолинейка!$BV$1:$BV$1000,0)),397,"")</f>
      </c>
      <c r="B399" s="133">
        <f>IFERROR(INDEX(Однолинейка!$A$1:$A$1000,MATCH(397,Однолинейка!$BV$1:$BV$1000,0)),"")</f>
      </c>
      <c r="C399" s="133">
        <f>IFERROR(INDEX(Однолинейка!$G$1:$G$1000,MATCH(397,Однолинейка!$BV$1:$BV$1000,0))&amp;IF(INDEX(Однолинейка!$P$1:$P$1000,MATCH(397,Однолинейка!$BV$1:$BV$1000,0))="","","/"&amp;INDEX(Однолинейка!$P$1:$P$1000,MATCH(397,Однолинейка!$BV$1:$BV$1000,0))),"")</f>
      </c>
      <c r="D399" s="133">
        <f>IFERROR(INDEX(Однолинейка!$R$1:$R$1000,MATCH(397,Однолинейка!$BV$1:$BV$1000,0)),"")</f>
      </c>
      <c r="E399" s="133">
        <f>IFERROR(INDEX(Однолинейка!$S$1:$S$1000,MATCH(397,Однолинейка!$BV$1:$BV$1000,0)),"")</f>
      </c>
      <c r="F399" s="133">
        <f>IFERROR(INDEX(Однолинейка!$Q$1:$Q$1000,MATCH(397,Однолинейка!$BV$1:$BV$1000,0)),"")</f>
      </c>
    </row>
    <row r="400">
      <c r="A400" s="133">
        <f>IF(ISNUMBER(MATCH(398,Однолинейка!$BV$1:$BV$1000,0)),398,"")</f>
      </c>
      <c r="B400" s="133">
        <f>IFERROR(INDEX(Однолинейка!$A$1:$A$1000,MATCH(398,Однолинейка!$BV$1:$BV$1000,0)),"")</f>
      </c>
      <c r="C400" s="133">
        <f>IFERROR(INDEX(Однолинейка!$G$1:$G$1000,MATCH(398,Однолинейка!$BV$1:$BV$1000,0))&amp;IF(INDEX(Однолинейка!$P$1:$P$1000,MATCH(398,Однолинейка!$BV$1:$BV$1000,0))="","","/"&amp;INDEX(Однолинейка!$P$1:$P$1000,MATCH(398,Однолинейка!$BV$1:$BV$1000,0))),"")</f>
      </c>
      <c r="D400" s="133">
        <f>IFERROR(INDEX(Однолинейка!$R$1:$R$1000,MATCH(398,Однолинейка!$BV$1:$BV$1000,0)),"")</f>
      </c>
      <c r="E400" s="133">
        <f>IFERROR(INDEX(Однолинейка!$S$1:$S$1000,MATCH(398,Однолинейка!$BV$1:$BV$1000,0)),"")</f>
      </c>
      <c r="F400" s="133">
        <f>IFERROR(INDEX(Однолинейка!$Q$1:$Q$1000,MATCH(398,Однолинейка!$BV$1:$BV$1000,0)),"")</f>
      </c>
    </row>
    <row r="401">
      <c r="A401" s="133">
        <f>IF(ISNUMBER(MATCH(399,Однолинейка!$BV$1:$BV$1000,0)),399,"")</f>
      </c>
      <c r="B401" s="133">
        <f>IFERROR(INDEX(Однолинейка!$A$1:$A$1000,MATCH(399,Однолинейка!$BV$1:$BV$1000,0)),"")</f>
      </c>
      <c r="C401" s="133">
        <f>IFERROR(INDEX(Однолинейка!$G$1:$G$1000,MATCH(399,Однолинейка!$BV$1:$BV$1000,0))&amp;IF(INDEX(Однолинейка!$P$1:$P$1000,MATCH(399,Однолинейка!$BV$1:$BV$1000,0))="","","/"&amp;INDEX(Однолинейка!$P$1:$P$1000,MATCH(399,Однолинейка!$BV$1:$BV$1000,0))),"")</f>
      </c>
      <c r="D401" s="133">
        <f>IFERROR(INDEX(Однолинейка!$R$1:$R$1000,MATCH(399,Однолинейка!$BV$1:$BV$1000,0)),"")</f>
      </c>
      <c r="E401" s="133">
        <f>IFERROR(INDEX(Однолинейка!$S$1:$S$1000,MATCH(399,Однолинейка!$BV$1:$BV$1000,0)),"")</f>
      </c>
      <c r="F401" s="133">
        <f>IFERROR(INDEX(Однолинейка!$Q$1:$Q$1000,MATCH(399,Однолинейка!$BV$1:$BV$1000,0)),"")</f>
      </c>
    </row>
    <row r="402">
      <c r="A402" s="133">
        <f>IF(ISNUMBER(MATCH(400,Однолинейка!$BV$1:$BV$1000,0)),400,"")</f>
      </c>
      <c r="B402" s="133">
        <f>IFERROR(INDEX(Однолинейка!$A$1:$A$1000,MATCH(400,Однолинейка!$BV$1:$BV$1000,0)),"")</f>
      </c>
      <c r="C402" s="133">
        <f>IFERROR(INDEX(Однолинейка!$G$1:$G$1000,MATCH(400,Однолинейка!$BV$1:$BV$1000,0))&amp;IF(INDEX(Однолинейка!$P$1:$P$1000,MATCH(400,Однолинейка!$BV$1:$BV$1000,0))="","","/"&amp;INDEX(Однолинейка!$P$1:$P$1000,MATCH(400,Однолинейка!$BV$1:$BV$1000,0))),"")</f>
      </c>
      <c r="D402" s="133">
        <f>IFERROR(INDEX(Однолинейка!$R$1:$R$1000,MATCH(400,Однолинейка!$BV$1:$BV$1000,0)),"")</f>
      </c>
      <c r="E402" s="133">
        <f>IFERROR(INDEX(Однолинейка!$S$1:$S$1000,MATCH(400,Однолинейка!$BV$1:$BV$1000,0)),"")</f>
      </c>
      <c r="F402" s="133">
        <f>IFERROR(INDEX(Однолинейка!$Q$1:$Q$1000,MATCH(400,Однолинейка!$BV$1:$BV$1000,0)),"")</f>
      </c>
    </row>
    <row r="403">
      <c r="A403" s="133">
        <f>IF(ISNUMBER(MATCH(401,Однолинейка!$BV$1:$BV$1000,0)),401,"")</f>
      </c>
      <c r="B403" s="133">
        <f>IFERROR(INDEX(Однолинейка!$A$1:$A$1000,MATCH(401,Однолинейка!$BV$1:$BV$1000,0)),"")</f>
      </c>
      <c r="C403" s="133">
        <f>IFERROR(INDEX(Однолинейка!$G$1:$G$1000,MATCH(401,Однолинейка!$BV$1:$BV$1000,0))&amp;IF(INDEX(Однолинейка!$P$1:$P$1000,MATCH(401,Однолинейка!$BV$1:$BV$1000,0))="","","/"&amp;INDEX(Однолинейка!$P$1:$P$1000,MATCH(401,Однолинейка!$BV$1:$BV$1000,0))),"")</f>
      </c>
      <c r="D403" s="133">
        <f>IFERROR(INDEX(Однолинейка!$R$1:$R$1000,MATCH(401,Однолинейка!$BV$1:$BV$1000,0)),"")</f>
      </c>
      <c r="E403" s="133">
        <f>IFERROR(INDEX(Однолинейка!$S$1:$S$1000,MATCH(401,Однолинейка!$BV$1:$BV$1000,0)),"")</f>
      </c>
      <c r="F403" s="133">
        <f>IFERROR(INDEX(Однолинейка!$Q$1:$Q$1000,MATCH(401,Однолинейка!$BV$1:$BV$1000,0)),"")</f>
      </c>
    </row>
    <row r="404">
      <c r="A404" s="133">
        <f>IF(ISNUMBER(MATCH(402,Однолинейка!$BV$1:$BV$1000,0)),402,"")</f>
      </c>
      <c r="B404" s="133">
        <f>IFERROR(INDEX(Однолинейка!$A$1:$A$1000,MATCH(402,Однолинейка!$BV$1:$BV$1000,0)),"")</f>
      </c>
      <c r="C404" s="133">
        <f>IFERROR(INDEX(Однолинейка!$G$1:$G$1000,MATCH(402,Однолинейка!$BV$1:$BV$1000,0))&amp;IF(INDEX(Однолинейка!$P$1:$P$1000,MATCH(402,Однолинейка!$BV$1:$BV$1000,0))="","","/"&amp;INDEX(Однолинейка!$P$1:$P$1000,MATCH(402,Однолинейка!$BV$1:$BV$1000,0))),"")</f>
      </c>
      <c r="D404" s="133">
        <f>IFERROR(INDEX(Однолинейка!$R$1:$R$1000,MATCH(402,Однолинейка!$BV$1:$BV$1000,0)),"")</f>
      </c>
      <c r="E404" s="133">
        <f>IFERROR(INDEX(Однолинейка!$S$1:$S$1000,MATCH(402,Однолинейка!$BV$1:$BV$1000,0)),"")</f>
      </c>
      <c r="F404" s="133">
        <f>IFERROR(INDEX(Однолинейка!$Q$1:$Q$1000,MATCH(402,Однолинейка!$BV$1:$BV$1000,0)),"")</f>
      </c>
    </row>
    <row r="405">
      <c r="A405" s="133">
        <f>IF(ISNUMBER(MATCH(403,Однолинейка!$BV$1:$BV$1000,0)),403,"")</f>
      </c>
      <c r="B405" s="133">
        <f>IFERROR(INDEX(Однолинейка!$A$1:$A$1000,MATCH(403,Однолинейка!$BV$1:$BV$1000,0)),"")</f>
      </c>
      <c r="C405" s="133">
        <f>IFERROR(INDEX(Однолинейка!$G$1:$G$1000,MATCH(403,Однолинейка!$BV$1:$BV$1000,0))&amp;IF(INDEX(Однолинейка!$P$1:$P$1000,MATCH(403,Однолинейка!$BV$1:$BV$1000,0))="","","/"&amp;INDEX(Однолинейка!$P$1:$P$1000,MATCH(403,Однолинейка!$BV$1:$BV$1000,0))),"")</f>
      </c>
      <c r="D405" s="133">
        <f>IFERROR(INDEX(Однолинейка!$R$1:$R$1000,MATCH(403,Однолинейка!$BV$1:$BV$1000,0)),"")</f>
      </c>
      <c r="E405" s="133">
        <f>IFERROR(INDEX(Однолинейка!$S$1:$S$1000,MATCH(403,Однолинейка!$BV$1:$BV$1000,0)),"")</f>
      </c>
      <c r="F405" s="133">
        <f>IFERROR(INDEX(Однолинейка!$Q$1:$Q$1000,MATCH(403,Однолинейка!$BV$1:$BV$1000,0)),"")</f>
      </c>
    </row>
    <row r="406">
      <c r="A406" s="133">
        <f>IF(ISNUMBER(MATCH(404,Однолинейка!$BV$1:$BV$1000,0)),404,"")</f>
      </c>
      <c r="B406" s="133">
        <f>IFERROR(INDEX(Однолинейка!$A$1:$A$1000,MATCH(404,Однолинейка!$BV$1:$BV$1000,0)),"")</f>
      </c>
      <c r="C406" s="133">
        <f>IFERROR(INDEX(Однолинейка!$G$1:$G$1000,MATCH(404,Однолинейка!$BV$1:$BV$1000,0))&amp;IF(INDEX(Однолинейка!$P$1:$P$1000,MATCH(404,Однолинейка!$BV$1:$BV$1000,0))="","","/"&amp;INDEX(Однолинейка!$P$1:$P$1000,MATCH(404,Однолинейка!$BV$1:$BV$1000,0))),"")</f>
      </c>
      <c r="D406" s="133">
        <f>IFERROR(INDEX(Однолинейка!$R$1:$R$1000,MATCH(404,Однолинейка!$BV$1:$BV$1000,0)),"")</f>
      </c>
      <c r="E406" s="133">
        <f>IFERROR(INDEX(Однолинейка!$S$1:$S$1000,MATCH(404,Однолинейка!$BV$1:$BV$1000,0)),"")</f>
      </c>
      <c r="F406" s="133">
        <f>IFERROR(INDEX(Однолинейка!$Q$1:$Q$1000,MATCH(404,Однолинейка!$BV$1:$BV$1000,0)),"")</f>
      </c>
    </row>
    <row r="407">
      <c r="A407" s="133">
        <f>IF(ISNUMBER(MATCH(405,Однолинейка!$BV$1:$BV$1000,0)),405,"")</f>
      </c>
      <c r="B407" s="133">
        <f>IFERROR(INDEX(Однолинейка!$A$1:$A$1000,MATCH(405,Однолинейка!$BV$1:$BV$1000,0)),"")</f>
      </c>
      <c r="C407" s="133">
        <f>IFERROR(INDEX(Однолинейка!$G$1:$G$1000,MATCH(405,Однолинейка!$BV$1:$BV$1000,0))&amp;IF(INDEX(Однолинейка!$P$1:$P$1000,MATCH(405,Однолинейка!$BV$1:$BV$1000,0))="","","/"&amp;INDEX(Однолинейка!$P$1:$P$1000,MATCH(405,Однолинейка!$BV$1:$BV$1000,0))),"")</f>
      </c>
      <c r="D407" s="133">
        <f>IFERROR(INDEX(Однолинейка!$R$1:$R$1000,MATCH(405,Однолинейка!$BV$1:$BV$1000,0)),"")</f>
      </c>
      <c r="E407" s="133">
        <f>IFERROR(INDEX(Однолинейка!$S$1:$S$1000,MATCH(405,Однолинейка!$BV$1:$BV$1000,0)),"")</f>
      </c>
      <c r="F407" s="133">
        <f>IFERROR(INDEX(Однолинейка!$Q$1:$Q$1000,MATCH(405,Однолинейка!$BV$1:$BV$1000,0)),"")</f>
      </c>
    </row>
    <row r="408">
      <c r="A408" s="133">
        <f>IF(ISNUMBER(MATCH(406,Однолинейка!$BV$1:$BV$1000,0)),406,"")</f>
      </c>
      <c r="B408" s="133">
        <f>IFERROR(INDEX(Однолинейка!$A$1:$A$1000,MATCH(406,Однолинейка!$BV$1:$BV$1000,0)),"")</f>
      </c>
      <c r="C408" s="133">
        <f>IFERROR(INDEX(Однолинейка!$G$1:$G$1000,MATCH(406,Однолинейка!$BV$1:$BV$1000,0))&amp;IF(INDEX(Однолинейка!$P$1:$P$1000,MATCH(406,Однолинейка!$BV$1:$BV$1000,0))="","","/"&amp;INDEX(Однолинейка!$P$1:$P$1000,MATCH(406,Однолинейка!$BV$1:$BV$1000,0))),"")</f>
      </c>
      <c r="D408" s="133">
        <f>IFERROR(INDEX(Однолинейка!$R$1:$R$1000,MATCH(406,Однолинейка!$BV$1:$BV$1000,0)),"")</f>
      </c>
      <c r="E408" s="133">
        <f>IFERROR(INDEX(Однолинейка!$S$1:$S$1000,MATCH(406,Однолинейка!$BV$1:$BV$1000,0)),"")</f>
      </c>
      <c r="F408" s="133">
        <f>IFERROR(INDEX(Однолинейка!$Q$1:$Q$1000,MATCH(406,Однолинейка!$BV$1:$BV$1000,0)),"")</f>
      </c>
    </row>
    <row r="409">
      <c r="A409" s="133">
        <f>IF(ISNUMBER(MATCH(407,Однолинейка!$BV$1:$BV$1000,0)),407,"")</f>
      </c>
      <c r="B409" s="133">
        <f>IFERROR(INDEX(Однолинейка!$A$1:$A$1000,MATCH(407,Однолинейка!$BV$1:$BV$1000,0)),"")</f>
      </c>
      <c r="C409" s="133">
        <f>IFERROR(INDEX(Однолинейка!$G$1:$G$1000,MATCH(407,Однолинейка!$BV$1:$BV$1000,0))&amp;IF(INDEX(Однолинейка!$P$1:$P$1000,MATCH(407,Однолинейка!$BV$1:$BV$1000,0))="","","/"&amp;INDEX(Однолинейка!$P$1:$P$1000,MATCH(407,Однолинейка!$BV$1:$BV$1000,0))),"")</f>
      </c>
      <c r="D409" s="133">
        <f>IFERROR(INDEX(Однолинейка!$R$1:$R$1000,MATCH(407,Однолинейка!$BV$1:$BV$1000,0)),"")</f>
      </c>
      <c r="E409" s="133">
        <f>IFERROR(INDEX(Однолинейка!$S$1:$S$1000,MATCH(407,Однолинейка!$BV$1:$BV$1000,0)),"")</f>
      </c>
      <c r="F409" s="133">
        <f>IFERROR(INDEX(Однолинейка!$Q$1:$Q$1000,MATCH(407,Однолинейка!$BV$1:$BV$1000,0)),"")</f>
      </c>
    </row>
    <row r="410">
      <c r="A410" s="133">
        <f>IF(ISNUMBER(MATCH(408,Однолинейка!$BV$1:$BV$1000,0)),408,"")</f>
      </c>
      <c r="B410" s="133">
        <f>IFERROR(INDEX(Однолинейка!$A$1:$A$1000,MATCH(408,Однолинейка!$BV$1:$BV$1000,0)),"")</f>
      </c>
      <c r="C410" s="133">
        <f>IFERROR(INDEX(Однолинейка!$G$1:$G$1000,MATCH(408,Однолинейка!$BV$1:$BV$1000,0))&amp;IF(INDEX(Однолинейка!$P$1:$P$1000,MATCH(408,Однолинейка!$BV$1:$BV$1000,0))="","","/"&amp;INDEX(Однолинейка!$P$1:$P$1000,MATCH(408,Однолинейка!$BV$1:$BV$1000,0))),"")</f>
      </c>
      <c r="D410" s="133">
        <f>IFERROR(INDEX(Однолинейка!$R$1:$R$1000,MATCH(408,Однолинейка!$BV$1:$BV$1000,0)),"")</f>
      </c>
      <c r="E410" s="133">
        <f>IFERROR(INDEX(Однолинейка!$S$1:$S$1000,MATCH(408,Однолинейка!$BV$1:$BV$1000,0)),"")</f>
      </c>
      <c r="F410" s="133">
        <f>IFERROR(INDEX(Однолинейка!$Q$1:$Q$1000,MATCH(408,Однолинейка!$BV$1:$BV$1000,0)),"")</f>
      </c>
    </row>
    <row r="411">
      <c r="A411" s="133">
        <f>IF(ISNUMBER(MATCH(409,Однолинейка!$BV$1:$BV$1000,0)),409,"")</f>
      </c>
      <c r="B411" s="133">
        <f>IFERROR(INDEX(Однолинейка!$A$1:$A$1000,MATCH(409,Однолинейка!$BV$1:$BV$1000,0)),"")</f>
      </c>
      <c r="C411" s="133">
        <f>IFERROR(INDEX(Однолинейка!$G$1:$G$1000,MATCH(409,Однолинейка!$BV$1:$BV$1000,0))&amp;IF(INDEX(Однолинейка!$P$1:$P$1000,MATCH(409,Однолинейка!$BV$1:$BV$1000,0))="","","/"&amp;INDEX(Однолинейка!$P$1:$P$1000,MATCH(409,Однолинейка!$BV$1:$BV$1000,0))),"")</f>
      </c>
      <c r="D411" s="133">
        <f>IFERROR(INDEX(Однолинейка!$R$1:$R$1000,MATCH(409,Однолинейка!$BV$1:$BV$1000,0)),"")</f>
      </c>
      <c r="E411" s="133">
        <f>IFERROR(INDEX(Однолинейка!$S$1:$S$1000,MATCH(409,Однолинейка!$BV$1:$BV$1000,0)),"")</f>
      </c>
      <c r="F411" s="133">
        <f>IFERROR(INDEX(Однолинейка!$Q$1:$Q$1000,MATCH(409,Однолинейка!$BV$1:$BV$1000,0)),"")</f>
      </c>
    </row>
    <row r="412">
      <c r="A412" s="133">
        <f>IF(ISNUMBER(MATCH(410,Однолинейка!$BV$1:$BV$1000,0)),410,"")</f>
      </c>
      <c r="B412" s="133">
        <f>IFERROR(INDEX(Однолинейка!$A$1:$A$1000,MATCH(410,Однолинейка!$BV$1:$BV$1000,0)),"")</f>
      </c>
      <c r="C412" s="133">
        <f>IFERROR(INDEX(Однолинейка!$G$1:$G$1000,MATCH(410,Однолинейка!$BV$1:$BV$1000,0))&amp;IF(INDEX(Однолинейка!$P$1:$P$1000,MATCH(410,Однолинейка!$BV$1:$BV$1000,0))="","","/"&amp;INDEX(Однолинейка!$P$1:$P$1000,MATCH(410,Однолинейка!$BV$1:$BV$1000,0))),"")</f>
      </c>
      <c r="D412" s="133">
        <f>IFERROR(INDEX(Однолинейка!$R$1:$R$1000,MATCH(410,Однолинейка!$BV$1:$BV$1000,0)),"")</f>
      </c>
      <c r="E412" s="133">
        <f>IFERROR(INDEX(Однолинейка!$S$1:$S$1000,MATCH(410,Однолинейка!$BV$1:$BV$1000,0)),"")</f>
      </c>
      <c r="F412" s="133">
        <f>IFERROR(INDEX(Однолинейка!$Q$1:$Q$1000,MATCH(410,Однолинейка!$BV$1:$BV$1000,0)),"")</f>
      </c>
    </row>
    <row r="413">
      <c r="A413" s="133">
        <f>IF(ISNUMBER(MATCH(411,Однолинейка!$BV$1:$BV$1000,0)),411,"")</f>
      </c>
      <c r="B413" s="133">
        <f>IFERROR(INDEX(Однолинейка!$A$1:$A$1000,MATCH(411,Однолинейка!$BV$1:$BV$1000,0)),"")</f>
      </c>
      <c r="C413" s="133">
        <f>IFERROR(INDEX(Однолинейка!$G$1:$G$1000,MATCH(411,Однолинейка!$BV$1:$BV$1000,0))&amp;IF(INDEX(Однолинейка!$P$1:$P$1000,MATCH(411,Однолинейка!$BV$1:$BV$1000,0))="","","/"&amp;INDEX(Однолинейка!$P$1:$P$1000,MATCH(411,Однолинейка!$BV$1:$BV$1000,0))),"")</f>
      </c>
      <c r="D413" s="133">
        <f>IFERROR(INDEX(Однолинейка!$R$1:$R$1000,MATCH(411,Однолинейка!$BV$1:$BV$1000,0)),"")</f>
      </c>
      <c r="E413" s="133">
        <f>IFERROR(INDEX(Однолинейка!$S$1:$S$1000,MATCH(411,Однолинейка!$BV$1:$BV$1000,0)),"")</f>
      </c>
      <c r="F413" s="133">
        <f>IFERROR(INDEX(Однолинейка!$Q$1:$Q$1000,MATCH(411,Однолинейка!$BV$1:$BV$1000,0)),"")</f>
      </c>
    </row>
    <row r="414">
      <c r="A414" s="133">
        <f>IF(ISNUMBER(MATCH(412,Однолинейка!$BV$1:$BV$1000,0)),412,"")</f>
      </c>
      <c r="B414" s="133">
        <f>IFERROR(INDEX(Однолинейка!$A$1:$A$1000,MATCH(412,Однолинейка!$BV$1:$BV$1000,0)),"")</f>
      </c>
      <c r="C414" s="133">
        <f>IFERROR(INDEX(Однолинейка!$G$1:$G$1000,MATCH(412,Однолинейка!$BV$1:$BV$1000,0))&amp;IF(INDEX(Однолинейка!$P$1:$P$1000,MATCH(412,Однолинейка!$BV$1:$BV$1000,0))="","","/"&amp;INDEX(Однолинейка!$P$1:$P$1000,MATCH(412,Однолинейка!$BV$1:$BV$1000,0))),"")</f>
      </c>
      <c r="D414" s="133">
        <f>IFERROR(INDEX(Однолинейка!$R$1:$R$1000,MATCH(412,Однолинейка!$BV$1:$BV$1000,0)),"")</f>
      </c>
      <c r="E414" s="133">
        <f>IFERROR(INDEX(Однолинейка!$S$1:$S$1000,MATCH(412,Однолинейка!$BV$1:$BV$1000,0)),"")</f>
      </c>
      <c r="F414" s="133">
        <f>IFERROR(INDEX(Однолинейка!$Q$1:$Q$1000,MATCH(412,Однолинейка!$BV$1:$BV$1000,0)),"")</f>
      </c>
    </row>
    <row r="415">
      <c r="A415" s="133">
        <f>IF(ISNUMBER(MATCH(413,Однолинейка!$BV$1:$BV$1000,0)),413,"")</f>
      </c>
      <c r="B415" s="133">
        <f>IFERROR(INDEX(Однолинейка!$A$1:$A$1000,MATCH(413,Однолинейка!$BV$1:$BV$1000,0)),"")</f>
      </c>
      <c r="C415" s="133">
        <f>IFERROR(INDEX(Однолинейка!$G$1:$G$1000,MATCH(413,Однолинейка!$BV$1:$BV$1000,0))&amp;IF(INDEX(Однолинейка!$P$1:$P$1000,MATCH(413,Однолинейка!$BV$1:$BV$1000,0))="","","/"&amp;INDEX(Однолинейка!$P$1:$P$1000,MATCH(413,Однолинейка!$BV$1:$BV$1000,0))),"")</f>
      </c>
      <c r="D415" s="133">
        <f>IFERROR(INDEX(Однолинейка!$R$1:$R$1000,MATCH(413,Однолинейка!$BV$1:$BV$1000,0)),"")</f>
      </c>
      <c r="E415" s="133">
        <f>IFERROR(INDEX(Однолинейка!$S$1:$S$1000,MATCH(413,Однолинейка!$BV$1:$BV$1000,0)),"")</f>
      </c>
      <c r="F415" s="133">
        <f>IFERROR(INDEX(Однолинейка!$Q$1:$Q$1000,MATCH(413,Однолинейка!$BV$1:$BV$1000,0)),"")</f>
      </c>
    </row>
    <row r="416">
      <c r="A416" s="133">
        <f>IF(ISNUMBER(MATCH(414,Однолинейка!$BV$1:$BV$1000,0)),414,"")</f>
      </c>
      <c r="B416" s="133">
        <f>IFERROR(INDEX(Однолинейка!$A$1:$A$1000,MATCH(414,Однолинейка!$BV$1:$BV$1000,0)),"")</f>
      </c>
      <c r="C416" s="133">
        <f>IFERROR(INDEX(Однолинейка!$G$1:$G$1000,MATCH(414,Однолинейка!$BV$1:$BV$1000,0))&amp;IF(INDEX(Однолинейка!$P$1:$P$1000,MATCH(414,Однолинейка!$BV$1:$BV$1000,0))="","","/"&amp;INDEX(Однолинейка!$P$1:$P$1000,MATCH(414,Однолинейка!$BV$1:$BV$1000,0))),"")</f>
      </c>
      <c r="D416" s="133">
        <f>IFERROR(INDEX(Однолинейка!$R$1:$R$1000,MATCH(414,Однолинейка!$BV$1:$BV$1000,0)),"")</f>
      </c>
      <c r="E416" s="133">
        <f>IFERROR(INDEX(Однолинейка!$S$1:$S$1000,MATCH(414,Однолинейка!$BV$1:$BV$1000,0)),"")</f>
      </c>
      <c r="F416" s="133">
        <f>IFERROR(INDEX(Однолинейка!$Q$1:$Q$1000,MATCH(414,Однолинейка!$BV$1:$BV$1000,0)),"")</f>
      </c>
    </row>
    <row r="417">
      <c r="A417" s="133">
        <f>IF(ISNUMBER(MATCH(415,Однолинейка!$BV$1:$BV$1000,0)),415,"")</f>
      </c>
      <c r="B417" s="133">
        <f>IFERROR(INDEX(Однолинейка!$A$1:$A$1000,MATCH(415,Однолинейка!$BV$1:$BV$1000,0)),"")</f>
      </c>
      <c r="C417" s="133">
        <f>IFERROR(INDEX(Однолинейка!$G$1:$G$1000,MATCH(415,Однолинейка!$BV$1:$BV$1000,0))&amp;IF(INDEX(Однолинейка!$P$1:$P$1000,MATCH(415,Однолинейка!$BV$1:$BV$1000,0))="","","/"&amp;INDEX(Однолинейка!$P$1:$P$1000,MATCH(415,Однолинейка!$BV$1:$BV$1000,0))),"")</f>
      </c>
      <c r="D417" s="133">
        <f>IFERROR(INDEX(Однолинейка!$R$1:$R$1000,MATCH(415,Однолинейка!$BV$1:$BV$1000,0)),"")</f>
      </c>
      <c r="E417" s="133">
        <f>IFERROR(INDEX(Однолинейка!$S$1:$S$1000,MATCH(415,Однолинейка!$BV$1:$BV$1000,0)),"")</f>
      </c>
      <c r="F417" s="133">
        <f>IFERROR(INDEX(Однолинейка!$Q$1:$Q$1000,MATCH(415,Однолинейка!$BV$1:$BV$1000,0)),"")</f>
      </c>
    </row>
    <row r="418">
      <c r="A418" s="133">
        <f>IF(ISNUMBER(MATCH(416,Однолинейка!$BV$1:$BV$1000,0)),416,"")</f>
      </c>
      <c r="B418" s="133">
        <f>IFERROR(INDEX(Однолинейка!$A$1:$A$1000,MATCH(416,Однолинейка!$BV$1:$BV$1000,0)),"")</f>
      </c>
      <c r="C418" s="133">
        <f>IFERROR(INDEX(Однолинейка!$G$1:$G$1000,MATCH(416,Однолинейка!$BV$1:$BV$1000,0))&amp;IF(INDEX(Однолинейка!$P$1:$P$1000,MATCH(416,Однолинейка!$BV$1:$BV$1000,0))="","","/"&amp;INDEX(Однолинейка!$P$1:$P$1000,MATCH(416,Однолинейка!$BV$1:$BV$1000,0))),"")</f>
      </c>
      <c r="D418" s="133">
        <f>IFERROR(INDEX(Однолинейка!$R$1:$R$1000,MATCH(416,Однолинейка!$BV$1:$BV$1000,0)),"")</f>
      </c>
      <c r="E418" s="133">
        <f>IFERROR(INDEX(Однолинейка!$S$1:$S$1000,MATCH(416,Однолинейка!$BV$1:$BV$1000,0)),"")</f>
      </c>
      <c r="F418" s="133">
        <f>IFERROR(INDEX(Однолинейка!$Q$1:$Q$1000,MATCH(416,Однолинейка!$BV$1:$BV$1000,0)),"")</f>
      </c>
    </row>
    <row r="419">
      <c r="A419" s="133">
        <f>IF(ISNUMBER(MATCH(417,Однолинейка!$BV$1:$BV$1000,0)),417,"")</f>
      </c>
      <c r="B419" s="133">
        <f>IFERROR(INDEX(Однолинейка!$A$1:$A$1000,MATCH(417,Однолинейка!$BV$1:$BV$1000,0)),"")</f>
      </c>
      <c r="C419" s="133">
        <f>IFERROR(INDEX(Однолинейка!$G$1:$G$1000,MATCH(417,Однолинейка!$BV$1:$BV$1000,0))&amp;IF(INDEX(Однолинейка!$P$1:$P$1000,MATCH(417,Однолинейка!$BV$1:$BV$1000,0))="","","/"&amp;INDEX(Однолинейка!$P$1:$P$1000,MATCH(417,Однолинейка!$BV$1:$BV$1000,0))),"")</f>
      </c>
      <c r="D419" s="133">
        <f>IFERROR(INDEX(Однолинейка!$R$1:$R$1000,MATCH(417,Однолинейка!$BV$1:$BV$1000,0)),"")</f>
      </c>
      <c r="E419" s="133">
        <f>IFERROR(INDEX(Однолинейка!$S$1:$S$1000,MATCH(417,Однолинейка!$BV$1:$BV$1000,0)),"")</f>
      </c>
      <c r="F419" s="133">
        <f>IFERROR(INDEX(Однолинейка!$Q$1:$Q$1000,MATCH(417,Однолинейка!$BV$1:$BV$1000,0)),"")</f>
      </c>
    </row>
    <row r="420">
      <c r="A420" s="133">
        <f>IF(ISNUMBER(MATCH(418,Однолинейка!$BV$1:$BV$1000,0)),418,"")</f>
      </c>
      <c r="B420" s="133">
        <f>IFERROR(INDEX(Однолинейка!$A$1:$A$1000,MATCH(418,Однолинейка!$BV$1:$BV$1000,0)),"")</f>
      </c>
      <c r="C420" s="133">
        <f>IFERROR(INDEX(Однолинейка!$G$1:$G$1000,MATCH(418,Однолинейка!$BV$1:$BV$1000,0))&amp;IF(INDEX(Однолинейка!$P$1:$P$1000,MATCH(418,Однолинейка!$BV$1:$BV$1000,0))="","","/"&amp;INDEX(Однолинейка!$P$1:$P$1000,MATCH(418,Однолинейка!$BV$1:$BV$1000,0))),"")</f>
      </c>
      <c r="D420" s="133">
        <f>IFERROR(INDEX(Однолинейка!$R$1:$R$1000,MATCH(418,Однолинейка!$BV$1:$BV$1000,0)),"")</f>
      </c>
      <c r="E420" s="133">
        <f>IFERROR(INDEX(Однолинейка!$S$1:$S$1000,MATCH(418,Однолинейка!$BV$1:$BV$1000,0)),"")</f>
      </c>
      <c r="F420" s="133">
        <f>IFERROR(INDEX(Однолинейка!$Q$1:$Q$1000,MATCH(418,Однолинейка!$BV$1:$BV$1000,0)),"")</f>
      </c>
    </row>
    <row r="421">
      <c r="A421" s="133">
        <f>IF(ISNUMBER(MATCH(419,Однолинейка!$BV$1:$BV$1000,0)),419,"")</f>
      </c>
      <c r="B421" s="133">
        <f>IFERROR(INDEX(Однолинейка!$A$1:$A$1000,MATCH(419,Однолинейка!$BV$1:$BV$1000,0)),"")</f>
      </c>
      <c r="C421" s="133">
        <f>IFERROR(INDEX(Однолинейка!$G$1:$G$1000,MATCH(419,Однолинейка!$BV$1:$BV$1000,0))&amp;IF(INDEX(Однолинейка!$P$1:$P$1000,MATCH(419,Однолинейка!$BV$1:$BV$1000,0))="","","/"&amp;INDEX(Однолинейка!$P$1:$P$1000,MATCH(419,Однолинейка!$BV$1:$BV$1000,0))),"")</f>
      </c>
      <c r="D421" s="133">
        <f>IFERROR(INDEX(Однолинейка!$R$1:$R$1000,MATCH(419,Однолинейка!$BV$1:$BV$1000,0)),"")</f>
      </c>
      <c r="E421" s="133">
        <f>IFERROR(INDEX(Однолинейка!$S$1:$S$1000,MATCH(419,Однолинейка!$BV$1:$BV$1000,0)),"")</f>
      </c>
      <c r="F421" s="133">
        <f>IFERROR(INDEX(Однолинейка!$Q$1:$Q$1000,MATCH(419,Однолинейка!$BV$1:$BV$1000,0)),"")</f>
      </c>
    </row>
    <row r="422">
      <c r="A422" s="133">
        <f>IF(ISNUMBER(MATCH(420,Однолинейка!$BV$1:$BV$1000,0)),420,"")</f>
      </c>
      <c r="B422" s="133">
        <f>IFERROR(INDEX(Однолинейка!$A$1:$A$1000,MATCH(420,Однолинейка!$BV$1:$BV$1000,0)),"")</f>
      </c>
      <c r="C422" s="133">
        <f>IFERROR(INDEX(Однолинейка!$G$1:$G$1000,MATCH(420,Однолинейка!$BV$1:$BV$1000,0))&amp;IF(INDEX(Однолинейка!$P$1:$P$1000,MATCH(420,Однолинейка!$BV$1:$BV$1000,0))="","","/"&amp;INDEX(Однолинейка!$P$1:$P$1000,MATCH(420,Однолинейка!$BV$1:$BV$1000,0))),"")</f>
      </c>
      <c r="D422" s="133">
        <f>IFERROR(INDEX(Однолинейка!$R$1:$R$1000,MATCH(420,Однолинейка!$BV$1:$BV$1000,0)),"")</f>
      </c>
      <c r="E422" s="133">
        <f>IFERROR(INDEX(Однолинейка!$S$1:$S$1000,MATCH(420,Однолинейка!$BV$1:$BV$1000,0)),"")</f>
      </c>
      <c r="F422" s="133">
        <f>IFERROR(INDEX(Однолинейка!$Q$1:$Q$1000,MATCH(420,Однолинейка!$BV$1:$BV$1000,0)),"")</f>
      </c>
    </row>
    <row r="423">
      <c r="A423" s="133">
        <f>IF(ISNUMBER(MATCH(421,Однолинейка!$BV$1:$BV$1000,0)),421,"")</f>
      </c>
      <c r="B423" s="133">
        <f>IFERROR(INDEX(Однолинейка!$A$1:$A$1000,MATCH(421,Однолинейка!$BV$1:$BV$1000,0)),"")</f>
      </c>
      <c r="C423" s="133">
        <f>IFERROR(INDEX(Однолинейка!$G$1:$G$1000,MATCH(421,Однолинейка!$BV$1:$BV$1000,0))&amp;IF(INDEX(Однолинейка!$P$1:$P$1000,MATCH(421,Однолинейка!$BV$1:$BV$1000,0))="","","/"&amp;INDEX(Однолинейка!$P$1:$P$1000,MATCH(421,Однолинейка!$BV$1:$BV$1000,0))),"")</f>
      </c>
      <c r="D423" s="133">
        <f>IFERROR(INDEX(Однолинейка!$R$1:$R$1000,MATCH(421,Однолинейка!$BV$1:$BV$1000,0)),"")</f>
      </c>
      <c r="E423" s="133">
        <f>IFERROR(INDEX(Однолинейка!$S$1:$S$1000,MATCH(421,Однолинейка!$BV$1:$BV$1000,0)),"")</f>
      </c>
      <c r="F423" s="133">
        <f>IFERROR(INDEX(Однолинейка!$Q$1:$Q$1000,MATCH(421,Однолинейка!$BV$1:$BV$1000,0)),"")</f>
      </c>
    </row>
    <row r="424">
      <c r="A424" s="133">
        <f>IF(ISNUMBER(MATCH(422,Однолинейка!$BV$1:$BV$1000,0)),422,"")</f>
      </c>
      <c r="B424" s="133">
        <f>IFERROR(INDEX(Однолинейка!$A$1:$A$1000,MATCH(422,Однолинейка!$BV$1:$BV$1000,0)),"")</f>
      </c>
      <c r="C424" s="133">
        <f>IFERROR(INDEX(Однолинейка!$G$1:$G$1000,MATCH(422,Однолинейка!$BV$1:$BV$1000,0))&amp;IF(INDEX(Однолинейка!$P$1:$P$1000,MATCH(422,Однолинейка!$BV$1:$BV$1000,0))="","","/"&amp;INDEX(Однолинейка!$P$1:$P$1000,MATCH(422,Однолинейка!$BV$1:$BV$1000,0))),"")</f>
      </c>
      <c r="D424" s="133">
        <f>IFERROR(INDEX(Однолинейка!$R$1:$R$1000,MATCH(422,Однолинейка!$BV$1:$BV$1000,0)),"")</f>
      </c>
      <c r="E424" s="133">
        <f>IFERROR(INDEX(Однолинейка!$S$1:$S$1000,MATCH(422,Однолинейка!$BV$1:$BV$1000,0)),"")</f>
      </c>
      <c r="F424" s="133">
        <f>IFERROR(INDEX(Однолинейка!$Q$1:$Q$1000,MATCH(422,Однолинейка!$BV$1:$BV$1000,0)),"")</f>
      </c>
    </row>
    <row r="425">
      <c r="A425" s="133">
        <f>IF(ISNUMBER(MATCH(423,Однолинейка!$BV$1:$BV$1000,0)),423,"")</f>
      </c>
      <c r="B425" s="133">
        <f>IFERROR(INDEX(Однолинейка!$A$1:$A$1000,MATCH(423,Однолинейка!$BV$1:$BV$1000,0)),"")</f>
      </c>
      <c r="C425" s="133">
        <f>IFERROR(INDEX(Однолинейка!$G$1:$G$1000,MATCH(423,Однолинейка!$BV$1:$BV$1000,0))&amp;IF(INDEX(Однолинейка!$P$1:$P$1000,MATCH(423,Однолинейка!$BV$1:$BV$1000,0))="","","/"&amp;INDEX(Однолинейка!$P$1:$P$1000,MATCH(423,Однолинейка!$BV$1:$BV$1000,0))),"")</f>
      </c>
      <c r="D425" s="133">
        <f>IFERROR(INDEX(Однолинейка!$R$1:$R$1000,MATCH(423,Однолинейка!$BV$1:$BV$1000,0)),"")</f>
      </c>
      <c r="E425" s="133">
        <f>IFERROR(INDEX(Однолинейка!$S$1:$S$1000,MATCH(423,Однолинейка!$BV$1:$BV$1000,0)),"")</f>
      </c>
      <c r="F425" s="133">
        <f>IFERROR(INDEX(Однолинейка!$Q$1:$Q$1000,MATCH(423,Однолинейка!$BV$1:$BV$1000,0)),"")</f>
      </c>
    </row>
    <row r="426">
      <c r="A426" s="133">
        <f>IF(ISNUMBER(MATCH(424,Однолинейка!$BV$1:$BV$1000,0)),424,"")</f>
      </c>
      <c r="B426" s="133">
        <f>IFERROR(INDEX(Однолинейка!$A$1:$A$1000,MATCH(424,Однолинейка!$BV$1:$BV$1000,0)),"")</f>
      </c>
      <c r="C426" s="133">
        <f>IFERROR(INDEX(Однолинейка!$G$1:$G$1000,MATCH(424,Однолинейка!$BV$1:$BV$1000,0))&amp;IF(INDEX(Однолинейка!$P$1:$P$1000,MATCH(424,Однолинейка!$BV$1:$BV$1000,0))="","","/"&amp;INDEX(Однолинейка!$P$1:$P$1000,MATCH(424,Однолинейка!$BV$1:$BV$1000,0))),"")</f>
      </c>
      <c r="D426" s="133">
        <f>IFERROR(INDEX(Однолинейка!$R$1:$R$1000,MATCH(424,Однолинейка!$BV$1:$BV$1000,0)),"")</f>
      </c>
      <c r="E426" s="133">
        <f>IFERROR(INDEX(Однолинейка!$S$1:$S$1000,MATCH(424,Однолинейка!$BV$1:$BV$1000,0)),"")</f>
      </c>
      <c r="F426" s="133">
        <f>IFERROR(INDEX(Однолинейка!$Q$1:$Q$1000,MATCH(424,Однолинейка!$BV$1:$BV$1000,0)),"")</f>
      </c>
    </row>
    <row r="427">
      <c r="A427" s="133">
        <f>IF(ISNUMBER(MATCH(425,Однолинейка!$BV$1:$BV$1000,0)),425,"")</f>
      </c>
      <c r="B427" s="133">
        <f>IFERROR(INDEX(Однолинейка!$A$1:$A$1000,MATCH(425,Однолинейка!$BV$1:$BV$1000,0)),"")</f>
      </c>
      <c r="C427" s="133">
        <f>IFERROR(INDEX(Однолинейка!$G$1:$G$1000,MATCH(425,Однолинейка!$BV$1:$BV$1000,0))&amp;IF(INDEX(Однолинейка!$P$1:$P$1000,MATCH(425,Однолинейка!$BV$1:$BV$1000,0))="","","/"&amp;INDEX(Однолинейка!$P$1:$P$1000,MATCH(425,Однолинейка!$BV$1:$BV$1000,0))),"")</f>
      </c>
      <c r="D427" s="133">
        <f>IFERROR(INDEX(Однолинейка!$R$1:$R$1000,MATCH(425,Однолинейка!$BV$1:$BV$1000,0)),"")</f>
      </c>
      <c r="E427" s="133">
        <f>IFERROR(INDEX(Однолинейка!$S$1:$S$1000,MATCH(425,Однолинейка!$BV$1:$BV$1000,0)),"")</f>
      </c>
      <c r="F427" s="133">
        <f>IFERROR(INDEX(Однолинейка!$Q$1:$Q$1000,MATCH(425,Однолинейка!$BV$1:$BV$1000,0)),"")</f>
      </c>
    </row>
    <row r="428">
      <c r="A428" s="133">
        <f>IF(ISNUMBER(MATCH(426,Однолинейка!$BV$1:$BV$1000,0)),426,"")</f>
      </c>
      <c r="B428" s="133">
        <f>IFERROR(INDEX(Однолинейка!$A$1:$A$1000,MATCH(426,Однолинейка!$BV$1:$BV$1000,0)),"")</f>
      </c>
      <c r="C428" s="133">
        <f>IFERROR(INDEX(Однолинейка!$G$1:$G$1000,MATCH(426,Однолинейка!$BV$1:$BV$1000,0))&amp;IF(INDEX(Однолинейка!$P$1:$P$1000,MATCH(426,Однолинейка!$BV$1:$BV$1000,0))="","","/"&amp;INDEX(Однолинейка!$P$1:$P$1000,MATCH(426,Однолинейка!$BV$1:$BV$1000,0))),"")</f>
      </c>
      <c r="D428" s="133">
        <f>IFERROR(INDEX(Однолинейка!$R$1:$R$1000,MATCH(426,Однолинейка!$BV$1:$BV$1000,0)),"")</f>
      </c>
      <c r="E428" s="133">
        <f>IFERROR(INDEX(Однолинейка!$S$1:$S$1000,MATCH(426,Однолинейка!$BV$1:$BV$1000,0)),"")</f>
      </c>
      <c r="F428" s="133">
        <f>IFERROR(INDEX(Однолинейка!$Q$1:$Q$1000,MATCH(426,Однолинейка!$BV$1:$BV$1000,0)),"")</f>
      </c>
    </row>
    <row r="429">
      <c r="A429" s="133">
        <f>IF(ISNUMBER(MATCH(427,Однолинейка!$BV$1:$BV$1000,0)),427,"")</f>
      </c>
      <c r="B429" s="133">
        <f>IFERROR(INDEX(Однолинейка!$A$1:$A$1000,MATCH(427,Однолинейка!$BV$1:$BV$1000,0)),"")</f>
      </c>
      <c r="C429" s="133">
        <f>IFERROR(INDEX(Однолинейка!$G$1:$G$1000,MATCH(427,Однолинейка!$BV$1:$BV$1000,0))&amp;IF(INDEX(Однолинейка!$P$1:$P$1000,MATCH(427,Однолинейка!$BV$1:$BV$1000,0))="","","/"&amp;INDEX(Однолинейка!$P$1:$P$1000,MATCH(427,Однолинейка!$BV$1:$BV$1000,0))),"")</f>
      </c>
      <c r="D429" s="133">
        <f>IFERROR(INDEX(Однолинейка!$R$1:$R$1000,MATCH(427,Однолинейка!$BV$1:$BV$1000,0)),"")</f>
      </c>
      <c r="E429" s="133">
        <f>IFERROR(INDEX(Однолинейка!$S$1:$S$1000,MATCH(427,Однолинейка!$BV$1:$BV$1000,0)),"")</f>
      </c>
      <c r="F429" s="133">
        <f>IFERROR(INDEX(Однолинейка!$Q$1:$Q$1000,MATCH(427,Однолинейка!$BV$1:$BV$1000,0)),"")</f>
      </c>
    </row>
    <row r="430">
      <c r="A430" s="133">
        <f>IF(ISNUMBER(MATCH(428,Однолинейка!$BV$1:$BV$1000,0)),428,"")</f>
      </c>
      <c r="B430" s="133">
        <f>IFERROR(INDEX(Однолинейка!$A$1:$A$1000,MATCH(428,Однолинейка!$BV$1:$BV$1000,0)),"")</f>
      </c>
      <c r="C430" s="133">
        <f>IFERROR(INDEX(Однолинейка!$G$1:$G$1000,MATCH(428,Однолинейка!$BV$1:$BV$1000,0))&amp;IF(INDEX(Однолинейка!$P$1:$P$1000,MATCH(428,Однолинейка!$BV$1:$BV$1000,0))="","","/"&amp;INDEX(Однолинейка!$P$1:$P$1000,MATCH(428,Однолинейка!$BV$1:$BV$1000,0))),"")</f>
      </c>
      <c r="D430" s="133">
        <f>IFERROR(INDEX(Однолинейка!$R$1:$R$1000,MATCH(428,Однолинейка!$BV$1:$BV$1000,0)),"")</f>
      </c>
      <c r="E430" s="133">
        <f>IFERROR(INDEX(Однолинейка!$S$1:$S$1000,MATCH(428,Однолинейка!$BV$1:$BV$1000,0)),"")</f>
      </c>
      <c r="F430" s="133">
        <f>IFERROR(INDEX(Однолинейка!$Q$1:$Q$1000,MATCH(428,Однолинейка!$BV$1:$BV$1000,0)),"")</f>
      </c>
    </row>
    <row r="431">
      <c r="A431" s="133">
        <f>IF(ISNUMBER(MATCH(429,Однолинейка!$BV$1:$BV$1000,0)),429,"")</f>
      </c>
      <c r="B431" s="133">
        <f>IFERROR(INDEX(Однолинейка!$A$1:$A$1000,MATCH(429,Однолинейка!$BV$1:$BV$1000,0)),"")</f>
      </c>
      <c r="C431" s="133">
        <f>IFERROR(INDEX(Однолинейка!$G$1:$G$1000,MATCH(429,Однолинейка!$BV$1:$BV$1000,0))&amp;IF(INDEX(Однолинейка!$P$1:$P$1000,MATCH(429,Однолинейка!$BV$1:$BV$1000,0))="","","/"&amp;INDEX(Однолинейка!$P$1:$P$1000,MATCH(429,Однолинейка!$BV$1:$BV$1000,0))),"")</f>
      </c>
      <c r="D431" s="133">
        <f>IFERROR(INDEX(Однолинейка!$R$1:$R$1000,MATCH(429,Однолинейка!$BV$1:$BV$1000,0)),"")</f>
      </c>
      <c r="E431" s="133">
        <f>IFERROR(INDEX(Однолинейка!$S$1:$S$1000,MATCH(429,Однолинейка!$BV$1:$BV$1000,0)),"")</f>
      </c>
      <c r="F431" s="133">
        <f>IFERROR(INDEX(Однолинейка!$Q$1:$Q$1000,MATCH(429,Однолинейка!$BV$1:$BV$1000,0)),"")</f>
      </c>
    </row>
    <row r="432">
      <c r="A432" s="133">
        <f>IF(ISNUMBER(MATCH(430,Однолинейка!$BV$1:$BV$1000,0)),430,"")</f>
      </c>
      <c r="B432" s="133">
        <f>IFERROR(INDEX(Однолинейка!$A$1:$A$1000,MATCH(430,Однолинейка!$BV$1:$BV$1000,0)),"")</f>
      </c>
      <c r="C432" s="133">
        <f>IFERROR(INDEX(Однолинейка!$G$1:$G$1000,MATCH(430,Однолинейка!$BV$1:$BV$1000,0))&amp;IF(INDEX(Однолинейка!$P$1:$P$1000,MATCH(430,Однолинейка!$BV$1:$BV$1000,0))="","","/"&amp;INDEX(Однолинейка!$P$1:$P$1000,MATCH(430,Однолинейка!$BV$1:$BV$1000,0))),"")</f>
      </c>
      <c r="D432" s="133">
        <f>IFERROR(INDEX(Однолинейка!$R$1:$R$1000,MATCH(430,Однолинейка!$BV$1:$BV$1000,0)),"")</f>
      </c>
      <c r="E432" s="133">
        <f>IFERROR(INDEX(Однолинейка!$S$1:$S$1000,MATCH(430,Однолинейка!$BV$1:$BV$1000,0)),"")</f>
      </c>
      <c r="F432" s="133">
        <f>IFERROR(INDEX(Однолинейка!$Q$1:$Q$1000,MATCH(430,Однолинейка!$BV$1:$BV$1000,0)),"")</f>
      </c>
    </row>
    <row r="433">
      <c r="A433" s="133">
        <f>IF(ISNUMBER(MATCH(431,Однолинейка!$BV$1:$BV$1000,0)),431,"")</f>
      </c>
      <c r="B433" s="133">
        <f>IFERROR(INDEX(Однолинейка!$A$1:$A$1000,MATCH(431,Однолинейка!$BV$1:$BV$1000,0)),"")</f>
      </c>
      <c r="C433" s="133">
        <f>IFERROR(INDEX(Однолинейка!$G$1:$G$1000,MATCH(431,Однолинейка!$BV$1:$BV$1000,0))&amp;IF(INDEX(Однолинейка!$P$1:$P$1000,MATCH(431,Однолинейка!$BV$1:$BV$1000,0))="","","/"&amp;INDEX(Однолинейка!$P$1:$P$1000,MATCH(431,Однолинейка!$BV$1:$BV$1000,0))),"")</f>
      </c>
      <c r="D433" s="133">
        <f>IFERROR(INDEX(Однолинейка!$R$1:$R$1000,MATCH(431,Однолинейка!$BV$1:$BV$1000,0)),"")</f>
      </c>
      <c r="E433" s="133">
        <f>IFERROR(INDEX(Однолинейка!$S$1:$S$1000,MATCH(431,Однолинейка!$BV$1:$BV$1000,0)),"")</f>
      </c>
      <c r="F433" s="133">
        <f>IFERROR(INDEX(Однолинейка!$Q$1:$Q$1000,MATCH(431,Однолинейка!$BV$1:$BV$1000,0)),"")</f>
      </c>
    </row>
    <row r="434">
      <c r="A434" s="133">
        <f>IF(ISNUMBER(MATCH(432,Однолинейка!$BV$1:$BV$1000,0)),432,"")</f>
      </c>
      <c r="B434" s="133">
        <f>IFERROR(INDEX(Однолинейка!$A$1:$A$1000,MATCH(432,Однолинейка!$BV$1:$BV$1000,0)),"")</f>
      </c>
      <c r="C434" s="133">
        <f>IFERROR(INDEX(Однолинейка!$G$1:$G$1000,MATCH(432,Однолинейка!$BV$1:$BV$1000,0))&amp;IF(INDEX(Однолинейка!$P$1:$P$1000,MATCH(432,Однолинейка!$BV$1:$BV$1000,0))="","","/"&amp;INDEX(Однолинейка!$P$1:$P$1000,MATCH(432,Однолинейка!$BV$1:$BV$1000,0))),"")</f>
      </c>
      <c r="D434" s="133">
        <f>IFERROR(INDEX(Однолинейка!$R$1:$R$1000,MATCH(432,Однолинейка!$BV$1:$BV$1000,0)),"")</f>
      </c>
      <c r="E434" s="133">
        <f>IFERROR(INDEX(Однолинейка!$S$1:$S$1000,MATCH(432,Однолинейка!$BV$1:$BV$1000,0)),"")</f>
      </c>
      <c r="F434" s="133">
        <f>IFERROR(INDEX(Однолинейка!$Q$1:$Q$1000,MATCH(432,Однолинейка!$BV$1:$BV$1000,0)),"")</f>
      </c>
    </row>
    <row r="435">
      <c r="A435" s="133">
        <f>IF(ISNUMBER(MATCH(433,Однолинейка!$BV$1:$BV$1000,0)),433,"")</f>
      </c>
      <c r="B435" s="133">
        <f>IFERROR(INDEX(Однолинейка!$A$1:$A$1000,MATCH(433,Однолинейка!$BV$1:$BV$1000,0)),"")</f>
      </c>
      <c r="C435" s="133">
        <f>IFERROR(INDEX(Однолинейка!$G$1:$G$1000,MATCH(433,Однолинейка!$BV$1:$BV$1000,0))&amp;IF(INDEX(Однолинейка!$P$1:$P$1000,MATCH(433,Однолинейка!$BV$1:$BV$1000,0))="","","/"&amp;INDEX(Однолинейка!$P$1:$P$1000,MATCH(433,Однолинейка!$BV$1:$BV$1000,0))),"")</f>
      </c>
      <c r="D435" s="133">
        <f>IFERROR(INDEX(Однолинейка!$R$1:$R$1000,MATCH(433,Однолинейка!$BV$1:$BV$1000,0)),"")</f>
      </c>
      <c r="E435" s="133">
        <f>IFERROR(INDEX(Однолинейка!$S$1:$S$1000,MATCH(433,Однолинейка!$BV$1:$BV$1000,0)),"")</f>
      </c>
      <c r="F435" s="133">
        <f>IFERROR(INDEX(Однолинейка!$Q$1:$Q$1000,MATCH(433,Однолинейка!$BV$1:$BV$1000,0)),"")</f>
      </c>
    </row>
    <row r="436">
      <c r="A436" s="133">
        <f>IF(ISNUMBER(MATCH(434,Однолинейка!$BV$1:$BV$1000,0)),434,"")</f>
      </c>
      <c r="B436" s="133">
        <f>IFERROR(INDEX(Однолинейка!$A$1:$A$1000,MATCH(434,Однолинейка!$BV$1:$BV$1000,0)),"")</f>
      </c>
      <c r="C436" s="133">
        <f>IFERROR(INDEX(Однолинейка!$G$1:$G$1000,MATCH(434,Однолинейка!$BV$1:$BV$1000,0))&amp;IF(INDEX(Однолинейка!$P$1:$P$1000,MATCH(434,Однолинейка!$BV$1:$BV$1000,0))="","","/"&amp;INDEX(Однолинейка!$P$1:$P$1000,MATCH(434,Однолинейка!$BV$1:$BV$1000,0))),"")</f>
      </c>
      <c r="D436" s="133">
        <f>IFERROR(INDEX(Однолинейка!$R$1:$R$1000,MATCH(434,Однолинейка!$BV$1:$BV$1000,0)),"")</f>
      </c>
      <c r="E436" s="133">
        <f>IFERROR(INDEX(Однолинейка!$S$1:$S$1000,MATCH(434,Однолинейка!$BV$1:$BV$1000,0)),"")</f>
      </c>
      <c r="F436" s="133">
        <f>IFERROR(INDEX(Однолинейка!$Q$1:$Q$1000,MATCH(434,Однолинейка!$BV$1:$BV$1000,0)),"")</f>
      </c>
    </row>
    <row r="437">
      <c r="A437" s="133">
        <f>IF(ISNUMBER(MATCH(435,Однолинейка!$BV$1:$BV$1000,0)),435,"")</f>
      </c>
      <c r="B437" s="133">
        <f>IFERROR(INDEX(Однолинейка!$A$1:$A$1000,MATCH(435,Однолинейка!$BV$1:$BV$1000,0)),"")</f>
      </c>
      <c r="C437" s="133">
        <f>IFERROR(INDEX(Однолинейка!$G$1:$G$1000,MATCH(435,Однолинейка!$BV$1:$BV$1000,0))&amp;IF(INDEX(Однолинейка!$P$1:$P$1000,MATCH(435,Однолинейка!$BV$1:$BV$1000,0))="","","/"&amp;INDEX(Однолинейка!$P$1:$P$1000,MATCH(435,Однолинейка!$BV$1:$BV$1000,0))),"")</f>
      </c>
      <c r="D437" s="133">
        <f>IFERROR(INDEX(Однолинейка!$R$1:$R$1000,MATCH(435,Однолинейка!$BV$1:$BV$1000,0)),"")</f>
      </c>
      <c r="E437" s="133">
        <f>IFERROR(INDEX(Однолинейка!$S$1:$S$1000,MATCH(435,Однолинейка!$BV$1:$BV$1000,0)),"")</f>
      </c>
      <c r="F437" s="133">
        <f>IFERROR(INDEX(Однолинейка!$Q$1:$Q$1000,MATCH(435,Однолинейка!$BV$1:$BV$1000,0)),"")</f>
      </c>
    </row>
    <row r="438">
      <c r="A438" s="133">
        <f>IF(ISNUMBER(MATCH(436,Однолинейка!$BV$1:$BV$1000,0)),436,"")</f>
      </c>
      <c r="B438" s="133">
        <f>IFERROR(INDEX(Однолинейка!$A$1:$A$1000,MATCH(436,Однолинейка!$BV$1:$BV$1000,0)),"")</f>
      </c>
      <c r="C438" s="133">
        <f>IFERROR(INDEX(Однолинейка!$G$1:$G$1000,MATCH(436,Однолинейка!$BV$1:$BV$1000,0))&amp;IF(INDEX(Однолинейка!$P$1:$P$1000,MATCH(436,Однолинейка!$BV$1:$BV$1000,0))="","","/"&amp;INDEX(Однолинейка!$P$1:$P$1000,MATCH(436,Однолинейка!$BV$1:$BV$1000,0))),"")</f>
      </c>
      <c r="D438" s="133">
        <f>IFERROR(INDEX(Однолинейка!$R$1:$R$1000,MATCH(436,Однолинейка!$BV$1:$BV$1000,0)),"")</f>
      </c>
      <c r="E438" s="133">
        <f>IFERROR(INDEX(Однолинейка!$S$1:$S$1000,MATCH(436,Однолинейка!$BV$1:$BV$1000,0)),"")</f>
      </c>
      <c r="F438" s="133">
        <f>IFERROR(INDEX(Однолинейка!$Q$1:$Q$1000,MATCH(436,Однолинейка!$BV$1:$BV$1000,0)),"")</f>
      </c>
    </row>
    <row r="439">
      <c r="A439" s="133">
        <f>IF(ISNUMBER(MATCH(437,Однолинейка!$BV$1:$BV$1000,0)),437,"")</f>
      </c>
      <c r="B439" s="133">
        <f>IFERROR(INDEX(Однолинейка!$A$1:$A$1000,MATCH(437,Однолинейка!$BV$1:$BV$1000,0)),"")</f>
      </c>
      <c r="C439" s="133">
        <f>IFERROR(INDEX(Однолинейка!$G$1:$G$1000,MATCH(437,Однолинейка!$BV$1:$BV$1000,0))&amp;IF(INDEX(Однолинейка!$P$1:$P$1000,MATCH(437,Однолинейка!$BV$1:$BV$1000,0))="","","/"&amp;INDEX(Однолинейка!$P$1:$P$1000,MATCH(437,Однолинейка!$BV$1:$BV$1000,0))),"")</f>
      </c>
      <c r="D439" s="133">
        <f>IFERROR(INDEX(Однолинейка!$R$1:$R$1000,MATCH(437,Однолинейка!$BV$1:$BV$1000,0)),"")</f>
      </c>
      <c r="E439" s="133">
        <f>IFERROR(INDEX(Однолинейка!$S$1:$S$1000,MATCH(437,Однолинейка!$BV$1:$BV$1000,0)),"")</f>
      </c>
      <c r="F439" s="133">
        <f>IFERROR(INDEX(Однолинейка!$Q$1:$Q$1000,MATCH(437,Однолинейка!$BV$1:$BV$1000,0)),"")</f>
      </c>
    </row>
    <row r="440">
      <c r="A440" s="133">
        <f>IF(ISNUMBER(MATCH(438,Однолинейка!$BV$1:$BV$1000,0)),438,"")</f>
      </c>
      <c r="B440" s="133">
        <f>IFERROR(INDEX(Однолинейка!$A$1:$A$1000,MATCH(438,Однолинейка!$BV$1:$BV$1000,0)),"")</f>
      </c>
      <c r="C440" s="133">
        <f>IFERROR(INDEX(Однолинейка!$G$1:$G$1000,MATCH(438,Однолинейка!$BV$1:$BV$1000,0))&amp;IF(INDEX(Однолинейка!$P$1:$P$1000,MATCH(438,Однолинейка!$BV$1:$BV$1000,0))="","","/"&amp;INDEX(Однолинейка!$P$1:$P$1000,MATCH(438,Однолинейка!$BV$1:$BV$1000,0))),"")</f>
      </c>
      <c r="D440" s="133">
        <f>IFERROR(INDEX(Однолинейка!$R$1:$R$1000,MATCH(438,Однолинейка!$BV$1:$BV$1000,0)),"")</f>
      </c>
      <c r="E440" s="133">
        <f>IFERROR(INDEX(Однолинейка!$S$1:$S$1000,MATCH(438,Однолинейка!$BV$1:$BV$1000,0)),"")</f>
      </c>
      <c r="F440" s="133">
        <f>IFERROR(INDEX(Однолинейка!$Q$1:$Q$1000,MATCH(438,Однолинейка!$BV$1:$BV$1000,0)),"")</f>
      </c>
    </row>
    <row r="441">
      <c r="A441" s="133">
        <f>IF(ISNUMBER(MATCH(439,Однолинейка!$BV$1:$BV$1000,0)),439,"")</f>
      </c>
      <c r="B441" s="133">
        <f>IFERROR(INDEX(Однолинейка!$A$1:$A$1000,MATCH(439,Однолинейка!$BV$1:$BV$1000,0)),"")</f>
      </c>
      <c r="C441" s="133">
        <f>IFERROR(INDEX(Однолинейка!$G$1:$G$1000,MATCH(439,Однолинейка!$BV$1:$BV$1000,0))&amp;IF(INDEX(Однолинейка!$P$1:$P$1000,MATCH(439,Однолинейка!$BV$1:$BV$1000,0))="","","/"&amp;INDEX(Однолинейка!$P$1:$P$1000,MATCH(439,Однолинейка!$BV$1:$BV$1000,0))),"")</f>
      </c>
      <c r="D441" s="133">
        <f>IFERROR(INDEX(Однолинейка!$R$1:$R$1000,MATCH(439,Однолинейка!$BV$1:$BV$1000,0)),"")</f>
      </c>
      <c r="E441" s="133">
        <f>IFERROR(INDEX(Однолинейка!$S$1:$S$1000,MATCH(439,Однолинейка!$BV$1:$BV$1000,0)),"")</f>
      </c>
      <c r="F441" s="133">
        <f>IFERROR(INDEX(Однолинейка!$Q$1:$Q$1000,MATCH(439,Однолинейка!$BV$1:$BV$1000,0)),"")</f>
      </c>
    </row>
    <row r="442">
      <c r="A442" s="133">
        <f>IF(ISNUMBER(MATCH(440,Однолинейка!$BV$1:$BV$1000,0)),440,"")</f>
      </c>
      <c r="B442" s="133">
        <f>IFERROR(INDEX(Однолинейка!$A$1:$A$1000,MATCH(440,Однолинейка!$BV$1:$BV$1000,0)),"")</f>
      </c>
      <c r="C442" s="133">
        <f>IFERROR(INDEX(Однолинейка!$G$1:$G$1000,MATCH(440,Однолинейка!$BV$1:$BV$1000,0))&amp;IF(INDEX(Однолинейка!$P$1:$P$1000,MATCH(440,Однолинейка!$BV$1:$BV$1000,0))="","","/"&amp;INDEX(Однолинейка!$P$1:$P$1000,MATCH(440,Однолинейка!$BV$1:$BV$1000,0))),"")</f>
      </c>
      <c r="D442" s="133">
        <f>IFERROR(INDEX(Однолинейка!$R$1:$R$1000,MATCH(440,Однолинейка!$BV$1:$BV$1000,0)),"")</f>
      </c>
      <c r="E442" s="133">
        <f>IFERROR(INDEX(Однолинейка!$S$1:$S$1000,MATCH(440,Однолинейка!$BV$1:$BV$1000,0)),"")</f>
      </c>
      <c r="F442" s="133">
        <f>IFERROR(INDEX(Однолинейка!$Q$1:$Q$1000,MATCH(440,Однолинейка!$BV$1:$BV$1000,0)),"")</f>
      </c>
    </row>
    <row r="443">
      <c r="A443" s="133">
        <f>IF(ISNUMBER(MATCH(441,Однолинейка!$BV$1:$BV$1000,0)),441,"")</f>
      </c>
      <c r="B443" s="133">
        <f>IFERROR(INDEX(Однолинейка!$A$1:$A$1000,MATCH(441,Однолинейка!$BV$1:$BV$1000,0)),"")</f>
      </c>
      <c r="C443" s="133">
        <f>IFERROR(INDEX(Однолинейка!$G$1:$G$1000,MATCH(441,Однолинейка!$BV$1:$BV$1000,0))&amp;IF(INDEX(Однолинейка!$P$1:$P$1000,MATCH(441,Однолинейка!$BV$1:$BV$1000,0))="","","/"&amp;INDEX(Однолинейка!$P$1:$P$1000,MATCH(441,Однолинейка!$BV$1:$BV$1000,0))),"")</f>
      </c>
      <c r="D443" s="133">
        <f>IFERROR(INDEX(Однолинейка!$R$1:$R$1000,MATCH(441,Однолинейка!$BV$1:$BV$1000,0)),"")</f>
      </c>
      <c r="E443" s="133">
        <f>IFERROR(INDEX(Однолинейка!$S$1:$S$1000,MATCH(441,Однолинейка!$BV$1:$BV$1000,0)),"")</f>
      </c>
      <c r="F443" s="133">
        <f>IFERROR(INDEX(Однолинейка!$Q$1:$Q$1000,MATCH(441,Однолинейка!$BV$1:$BV$1000,0)),"")</f>
      </c>
    </row>
    <row r="444">
      <c r="A444" s="133">
        <f>IF(ISNUMBER(MATCH(442,Однолинейка!$BV$1:$BV$1000,0)),442,"")</f>
      </c>
      <c r="B444" s="133">
        <f>IFERROR(INDEX(Однолинейка!$A$1:$A$1000,MATCH(442,Однолинейка!$BV$1:$BV$1000,0)),"")</f>
      </c>
      <c r="C444" s="133">
        <f>IFERROR(INDEX(Однолинейка!$G$1:$G$1000,MATCH(442,Однолинейка!$BV$1:$BV$1000,0))&amp;IF(INDEX(Однолинейка!$P$1:$P$1000,MATCH(442,Однолинейка!$BV$1:$BV$1000,0))="","","/"&amp;INDEX(Однолинейка!$P$1:$P$1000,MATCH(442,Однолинейка!$BV$1:$BV$1000,0))),"")</f>
      </c>
      <c r="D444" s="133">
        <f>IFERROR(INDEX(Однолинейка!$R$1:$R$1000,MATCH(442,Однолинейка!$BV$1:$BV$1000,0)),"")</f>
      </c>
      <c r="E444" s="133">
        <f>IFERROR(INDEX(Однолинейка!$S$1:$S$1000,MATCH(442,Однолинейка!$BV$1:$BV$1000,0)),"")</f>
      </c>
      <c r="F444" s="133">
        <f>IFERROR(INDEX(Однолинейка!$Q$1:$Q$1000,MATCH(442,Однолинейка!$BV$1:$BV$1000,0)),"")</f>
      </c>
    </row>
    <row r="445">
      <c r="A445" s="133">
        <f>IF(ISNUMBER(MATCH(443,Однолинейка!$BV$1:$BV$1000,0)),443,"")</f>
      </c>
      <c r="B445" s="133">
        <f>IFERROR(INDEX(Однолинейка!$A$1:$A$1000,MATCH(443,Однолинейка!$BV$1:$BV$1000,0)),"")</f>
      </c>
      <c r="C445" s="133">
        <f>IFERROR(INDEX(Однолинейка!$G$1:$G$1000,MATCH(443,Однолинейка!$BV$1:$BV$1000,0))&amp;IF(INDEX(Однолинейка!$P$1:$P$1000,MATCH(443,Однолинейка!$BV$1:$BV$1000,0))="","","/"&amp;INDEX(Однолинейка!$P$1:$P$1000,MATCH(443,Однолинейка!$BV$1:$BV$1000,0))),"")</f>
      </c>
      <c r="D445" s="133">
        <f>IFERROR(INDEX(Однолинейка!$R$1:$R$1000,MATCH(443,Однолинейка!$BV$1:$BV$1000,0)),"")</f>
      </c>
      <c r="E445" s="133">
        <f>IFERROR(INDEX(Однолинейка!$S$1:$S$1000,MATCH(443,Однолинейка!$BV$1:$BV$1000,0)),"")</f>
      </c>
      <c r="F445" s="133">
        <f>IFERROR(INDEX(Однолинейка!$Q$1:$Q$1000,MATCH(443,Однолинейка!$BV$1:$BV$1000,0)),"")</f>
      </c>
    </row>
    <row r="446">
      <c r="A446" s="133">
        <f>IF(ISNUMBER(MATCH(444,Однолинейка!$BV$1:$BV$1000,0)),444,"")</f>
      </c>
      <c r="B446" s="133">
        <f>IFERROR(INDEX(Однолинейка!$A$1:$A$1000,MATCH(444,Однолинейка!$BV$1:$BV$1000,0)),"")</f>
      </c>
      <c r="C446" s="133">
        <f>IFERROR(INDEX(Однолинейка!$G$1:$G$1000,MATCH(444,Однолинейка!$BV$1:$BV$1000,0))&amp;IF(INDEX(Однолинейка!$P$1:$P$1000,MATCH(444,Однолинейка!$BV$1:$BV$1000,0))="","","/"&amp;INDEX(Однолинейка!$P$1:$P$1000,MATCH(444,Однолинейка!$BV$1:$BV$1000,0))),"")</f>
      </c>
      <c r="D446" s="133">
        <f>IFERROR(INDEX(Однолинейка!$R$1:$R$1000,MATCH(444,Однолинейка!$BV$1:$BV$1000,0)),"")</f>
      </c>
      <c r="E446" s="133">
        <f>IFERROR(INDEX(Однолинейка!$S$1:$S$1000,MATCH(444,Однолинейка!$BV$1:$BV$1000,0)),"")</f>
      </c>
      <c r="F446" s="133">
        <f>IFERROR(INDEX(Однолинейка!$Q$1:$Q$1000,MATCH(444,Однолинейка!$BV$1:$BV$1000,0)),"")</f>
      </c>
    </row>
    <row r="447">
      <c r="A447" s="133">
        <f>IF(ISNUMBER(MATCH(445,Однолинейка!$BV$1:$BV$1000,0)),445,"")</f>
      </c>
      <c r="B447" s="133">
        <f>IFERROR(INDEX(Однолинейка!$A$1:$A$1000,MATCH(445,Однолинейка!$BV$1:$BV$1000,0)),"")</f>
      </c>
      <c r="C447" s="133">
        <f>IFERROR(INDEX(Однолинейка!$G$1:$G$1000,MATCH(445,Однолинейка!$BV$1:$BV$1000,0))&amp;IF(INDEX(Однолинейка!$P$1:$P$1000,MATCH(445,Однолинейка!$BV$1:$BV$1000,0))="","","/"&amp;INDEX(Однолинейка!$P$1:$P$1000,MATCH(445,Однолинейка!$BV$1:$BV$1000,0))),"")</f>
      </c>
      <c r="D447" s="133">
        <f>IFERROR(INDEX(Однолинейка!$R$1:$R$1000,MATCH(445,Однолинейка!$BV$1:$BV$1000,0)),"")</f>
      </c>
      <c r="E447" s="133">
        <f>IFERROR(INDEX(Однолинейка!$S$1:$S$1000,MATCH(445,Однолинейка!$BV$1:$BV$1000,0)),"")</f>
      </c>
      <c r="F447" s="133">
        <f>IFERROR(INDEX(Однолинейка!$Q$1:$Q$1000,MATCH(445,Однолинейка!$BV$1:$BV$1000,0)),"")</f>
      </c>
    </row>
    <row r="448">
      <c r="A448" s="133">
        <f>IF(ISNUMBER(MATCH(446,Однолинейка!$BV$1:$BV$1000,0)),446,"")</f>
      </c>
      <c r="B448" s="133">
        <f>IFERROR(INDEX(Однолинейка!$A$1:$A$1000,MATCH(446,Однолинейка!$BV$1:$BV$1000,0)),"")</f>
      </c>
      <c r="C448" s="133">
        <f>IFERROR(INDEX(Однолинейка!$G$1:$G$1000,MATCH(446,Однолинейка!$BV$1:$BV$1000,0))&amp;IF(INDEX(Однолинейка!$P$1:$P$1000,MATCH(446,Однолинейка!$BV$1:$BV$1000,0))="","","/"&amp;INDEX(Однолинейка!$P$1:$P$1000,MATCH(446,Однолинейка!$BV$1:$BV$1000,0))),"")</f>
      </c>
      <c r="D448" s="133">
        <f>IFERROR(INDEX(Однолинейка!$R$1:$R$1000,MATCH(446,Однолинейка!$BV$1:$BV$1000,0)),"")</f>
      </c>
      <c r="E448" s="133">
        <f>IFERROR(INDEX(Однолинейка!$S$1:$S$1000,MATCH(446,Однолинейка!$BV$1:$BV$1000,0)),"")</f>
      </c>
      <c r="F448" s="133">
        <f>IFERROR(INDEX(Однолинейка!$Q$1:$Q$1000,MATCH(446,Однолинейка!$BV$1:$BV$1000,0)),"")</f>
      </c>
    </row>
    <row r="449">
      <c r="A449" s="133">
        <f>IF(ISNUMBER(MATCH(447,Однолинейка!$BV$1:$BV$1000,0)),447,"")</f>
      </c>
      <c r="B449" s="133">
        <f>IFERROR(INDEX(Однолинейка!$A$1:$A$1000,MATCH(447,Однолинейка!$BV$1:$BV$1000,0)),"")</f>
      </c>
      <c r="C449" s="133">
        <f>IFERROR(INDEX(Однолинейка!$G$1:$G$1000,MATCH(447,Однолинейка!$BV$1:$BV$1000,0))&amp;IF(INDEX(Однолинейка!$P$1:$P$1000,MATCH(447,Однолинейка!$BV$1:$BV$1000,0))="","","/"&amp;INDEX(Однолинейка!$P$1:$P$1000,MATCH(447,Однолинейка!$BV$1:$BV$1000,0))),"")</f>
      </c>
      <c r="D449" s="133">
        <f>IFERROR(INDEX(Однолинейка!$R$1:$R$1000,MATCH(447,Однолинейка!$BV$1:$BV$1000,0)),"")</f>
      </c>
      <c r="E449" s="133">
        <f>IFERROR(INDEX(Однолинейка!$S$1:$S$1000,MATCH(447,Однолинейка!$BV$1:$BV$1000,0)),"")</f>
      </c>
      <c r="F449" s="133">
        <f>IFERROR(INDEX(Однолинейка!$Q$1:$Q$1000,MATCH(447,Однолинейка!$BV$1:$BV$1000,0)),"")</f>
      </c>
    </row>
    <row r="450">
      <c r="A450" s="133">
        <f>IF(ISNUMBER(MATCH(448,Однолинейка!$BV$1:$BV$1000,0)),448,"")</f>
      </c>
      <c r="B450" s="133">
        <f>IFERROR(INDEX(Однолинейка!$A$1:$A$1000,MATCH(448,Однолинейка!$BV$1:$BV$1000,0)),"")</f>
      </c>
      <c r="C450" s="133">
        <f>IFERROR(INDEX(Однолинейка!$G$1:$G$1000,MATCH(448,Однолинейка!$BV$1:$BV$1000,0))&amp;IF(INDEX(Однолинейка!$P$1:$P$1000,MATCH(448,Однолинейка!$BV$1:$BV$1000,0))="","","/"&amp;INDEX(Однолинейка!$P$1:$P$1000,MATCH(448,Однолинейка!$BV$1:$BV$1000,0))),"")</f>
      </c>
      <c r="D450" s="133">
        <f>IFERROR(INDEX(Однолинейка!$R$1:$R$1000,MATCH(448,Однолинейка!$BV$1:$BV$1000,0)),"")</f>
      </c>
      <c r="E450" s="133">
        <f>IFERROR(INDEX(Однолинейка!$S$1:$S$1000,MATCH(448,Однолинейка!$BV$1:$BV$1000,0)),"")</f>
      </c>
      <c r="F450" s="133">
        <f>IFERROR(INDEX(Однолинейка!$Q$1:$Q$1000,MATCH(448,Однолинейка!$BV$1:$BV$1000,0)),"")</f>
      </c>
    </row>
    <row r="451">
      <c r="A451" s="133">
        <f>IF(ISNUMBER(MATCH(449,Однолинейка!$BV$1:$BV$1000,0)),449,"")</f>
      </c>
      <c r="B451" s="133">
        <f>IFERROR(INDEX(Однолинейка!$A$1:$A$1000,MATCH(449,Однолинейка!$BV$1:$BV$1000,0)),"")</f>
      </c>
      <c r="C451" s="133">
        <f>IFERROR(INDEX(Однолинейка!$G$1:$G$1000,MATCH(449,Однолинейка!$BV$1:$BV$1000,0))&amp;IF(INDEX(Однолинейка!$P$1:$P$1000,MATCH(449,Однолинейка!$BV$1:$BV$1000,0))="","","/"&amp;INDEX(Однолинейка!$P$1:$P$1000,MATCH(449,Однолинейка!$BV$1:$BV$1000,0))),"")</f>
      </c>
      <c r="D451" s="133">
        <f>IFERROR(INDEX(Однолинейка!$R$1:$R$1000,MATCH(449,Однолинейка!$BV$1:$BV$1000,0)),"")</f>
      </c>
      <c r="E451" s="133">
        <f>IFERROR(INDEX(Однолинейка!$S$1:$S$1000,MATCH(449,Однолинейка!$BV$1:$BV$1000,0)),"")</f>
      </c>
      <c r="F451" s="133">
        <f>IFERROR(INDEX(Однолинейка!$Q$1:$Q$1000,MATCH(449,Однолинейка!$BV$1:$BV$1000,0)),"")</f>
      </c>
    </row>
    <row r="452">
      <c r="A452" s="133">
        <f>IF(ISNUMBER(MATCH(450,Однолинейка!$BV$1:$BV$1000,0)),450,"")</f>
      </c>
      <c r="B452" s="133">
        <f>IFERROR(INDEX(Однолинейка!$A$1:$A$1000,MATCH(450,Однолинейка!$BV$1:$BV$1000,0)),"")</f>
      </c>
      <c r="C452" s="133">
        <f>IFERROR(INDEX(Однолинейка!$G$1:$G$1000,MATCH(450,Однолинейка!$BV$1:$BV$1000,0))&amp;IF(INDEX(Однолинейка!$P$1:$P$1000,MATCH(450,Однолинейка!$BV$1:$BV$1000,0))="","","/"&amp;INDEX(Однолинейка!$P$1:$P$1000,MATCH(450,Однолинейка!$BV$1:$BV$1000,0))),"")</f>
      </c>
      <c r="D452" s="133">
        <f>IFERROR(INDEX(Однолинейка!$R$1:$R$1000,MATCH(450,Однолинейка!$BV$1:$BV$1000,0)),"")</f>
      </c>
      <c r="E452" s="133">
        <f>IFERROR(INDEX(Однолинейка!$S$1:$S$1000,MATCH(450,Однолинейка!$BV$1:$BV$1000,0)),"")</f>
      </c>
      <c r="F452" s="133">
        <f>IFERROR(INDEX(Однолинейка!$Q$1:$Q$1000,MATCH(450,Однолинейка!$BV$1:$BV$1000,0)),"")</f>
      </c>
    </row>
    <row r="453">
      <c r="A453" s="133">
        <f>IF(ISNUMBER(MATCH(451,Однолинейка!$BV$1:$BV$1000,0)),451,"")</f>
      </c>
      <c r="B453" s="133">
        <f>IFERROR(INDEX(Однолинейка!$A$1:$A$1000,MATCH(451,Однолинейка!$BV$1:$BV$1000,0)),"")</f>
      </c>
      <c r="C453" s="133">
        <f>IFERROR(INDEX(Однолинейка!$G$1:$G$1000,MATCH(451,Однолинейка!$BV$1:$BV$1000,0))&amp;IF(INDEX(Однолинейка!$P$1:$P$1000,MATCH(451,Однолинейка!$BV$1:$BV$1000,0))="","","/"&amp;INDEX(Однолинейка!$P$1:$P$1000,MATCH(451,Однолинейка!$BV$1:$BV$1000,0))),"")</f>
      </c>
      <c r="D453" s="133">
        <f>IFERROR(INDEX(Однолинейка!$R$1:$R$1000,MATCH(451,Однолинейка!$BV$1:$BV$1000,0)),"")</f>
      </c>
      <c r="E453" s="133">
        <f>IFERROR(INDEX(Однолинейка!$S$1:$S$1000,MATCH(451,Однолинейка!$BV$1:$BV$1000,0)),"")</f>
      </c>
      <c r="F453" s="133">
        <f>IFERROR(INDEX(Однолинейка!$Q$1:$Q$1000,MATCH(451,Однолинейка!$BV$1:$BV$1000,0)),"")</f>
      </c>
    </row>
    <row r="454">
      <c r="A454" s="133">
        <f>IF(ISNUMBER(MATCH(452,Однолинейка!$BV$1:$BV$1000,0)),452,"")</f>
      </c>
      <c r="B454" s="133">
        <f>IFERROR(INDEX(Однолинейка!$A$1:$A$1000,MATCH(452,Однолинейка!$BV$1:$BV$1000,0)),"")</f>
      </c>
      <c r="C454" s="133">
        <f>IFERROR(INDEX(Однолинейка!$G$1:$G$1000,MATCH(452,Однолинейка!$BV$1:$BV$1000,0))&amp;IF(INDEX(Однолинейка!$P$1:$P$1000,MATCH(452,Однолинейка!$BV$1:$BV$1000,0))="","","/"&amp;INDEX(Однолинейка!$P$1:$P$1000,MATCH(452,Однолинейка!$BV$1:$BV$1000,0))),"")</f>
      </c>
      <c r="D454" s="133">
        <f>IFERROR(INDEX(Однолинейка!$R$1:$R$1000,MATCH(452,Однолинейка!$BV$1:$BV$1000,0)),"")</f>
      </c>
      <c r="E454" s="133">
        <f>IFERROR(INDEX(Однолинейка!$S$1:$S$1000,MATCH(452,Однолинейка!$BV$1:$BV$1000,0)),"")</f>
      </c>
      <c r="F454" s="133">
        <f>IFERROR(INDEX(Однолинейка!$Q$1:$Q$1000,MATCH(452,Однолинейка!$BV$1:$BV$1000,0)),"")</f>
      </c>
    </row>
    <row r="455">
      <c r="A455" s="133">
        <f>IF(ISNUMBER(MATCH(453,Однолинейка!$BV$1:$BV$1000,0)),453,"")</f>
      </c>
      <c r="B455" s="133">
        <f>IFERROR(INDEX(Однолинейка!$A$1:$A$1000,MATCH(453,Однолинейка!$BV$1:$BV$1000,0)),"")</f>
      </c>
      <c r="C455" s="133">
        <f>IFERROR(INDEX(Однолинейка!$G$1:$G$1000,MATCH(453,Однолинейка!$BV$1:$BV$1000,0))&amp;IF(INDEX(Однолинейка!$P$1:$P$1000,MATCH(453,Однолинейка!$BV$1:$BV$1000,0))="","","/"&amp;INDEX(Однолинейка!$P$1:$P$1000,MATCH(453,Однолинейка!$BV$1:$BV$1000,0))),"")</f>
      </c>
      <c r="D455" s="133">
        <f>IFERROR(INDEX(Однолинейка!$R$1:$R$1000,MATCH(453,Однолинейка!$BV$1:$BV$1000,0)),"")</f>
      </c>
      <c r="E455" s="133">
        <f>IFERROR(INDEX(Однолинейка!$S$1:$S$1000,MATCH(453,Однолинейка!$BV$1:$BV$1000,0)),"")</f>
      </c>
      <c r="F455" s="133">
        <f>IFERROR(INDEX(Однолинейка!$Q$1:$Q$1000,MATCH(453,Однолинейка!$BV$1:$BV$1000,0)),"")</f>
      </c>
    </row>
    <row r="456">
      <c r="A456" s="133">
        <f>IF(ISNUMBER(MATCH(454,Однолинейка!$BV$1:$BV$1000,0)),454,"")</f>
      </c>
      <c r="B456" s="133">
        <f>IFERROR(INDEX(Однолинейка!$A$1:$A$1000,MATCH(454,Однолинейка!$BV$1:$BV$1000,0)),"")</f>
      </c>
      <c r="C456" s="133">
        <f>IFERROR(INDEX(Однолинейка!$G$1:$G$1000,MATCH(454,Однолинейка!$BV$1:$BV$1000,0))&amp;IF(INDEX(Однолинейка!$P$1:$P$1000,MATCH(454,Однолинейка!$BV$1:$BV$1000,0))="","","/"&amp;INDEX(Однолинейка!$P$1:$P$1000,MATCH(454,Однолинейка!$BV$1:$BV$1000,0))),"")</f>
      </c>
      <c r="D456" s="133">
        <f>IFERROR(INDEX(Однолинейка!$R$1:$R$1000,MATCH(454,Однолинейка!$BV$1:$BV$1000,0)),"")</f>
      </c>
      <c r="E456" s="133">
        <f>IFERROR(INDEX(Однолинейка!$S$1:$S$1000,MATCH(454,Однолинейка!$BV$1:$BV$1000,0)),"")</f>
      </c>
      <c r="F456" s="133">
        <f>IFERROR(INDEX(Однолинейка!$Q$1:$Q$1000,MATCH(454,Однолинейка!$BV$1:$BV$1000,0)),"")</f>
      </c>
    </row>
    <row r="457">
      <c r="A457" s="133">
        <f>IF(ISNUMBER(MATCH(455,Однолинейка!$BV$1:$BV$1000,0)),455,"")</f>
      </c>
      <c r="B457" s="133">
        <f>IFERROR(INDEX(Однолинейка!$A$1:$A$1000,MATCH(455,Однолинейка!$BV$1:$BV$1000,0)),"")</f>
      </c>
      <c r="C457" s="133">
        <f>IFERROR(INDEX(Однолинейка!$G$1:$G$1000,MATCH(455,Однолинейка!$BV$1:$BV$1000,0))&amp;IF(INDEX(Однолинейка!$P$1:$P$1000,MATCH(455,Однолинейка!$BV$1:$BV$1000,0))="","","/"&amp;INDEX(Однолинейка!$P$1:$P$1000,MATCH(455,Однолинейка!$BV$1:$BV$1000,0))),"")</f>
      </c>
      <c r="D457" s="133">
        <f>IFERROR(INDEX(Однолинейка!$R$1:$R$1000,MATCH(455,Однолинейка!$BV$1:$BV$1000,0)),"")</f>
      </c>
      <c r="E457" s="133">
        <f>IFERROR(INDEX(Однолинейка!$S$1:$S$1000,MATCH(455,Однолинейка!$BV$1:$BV$1000,0)),"")</f>
      </c>
      <c r="F457" s="133">
        <f>IFERROR(INDEX(Однолинейка!$Q$1:$Q$1000,MATCH(455,Однолинейка!$BV$1:$BV$1000,0)),"")</f>
      </c>
    </row>
    <row r="458">
      <c r="A458" s="133">
        <f>IF(ISNUMBER(MATCH(456,Однолинейка!$BV$1:$BV$1000,0)),456,"")</f>
      </c>
      <c r="B458" s="133">
        <f>IFERROR(INDEX(Однолинейка!$A$1:$A$1000,MATCH(456,Однолинейка!$BV$1:$BV$1000,0)),"")</f>
      </c>
      <c r="C458" s="133">
        <f>IFERROR(INDEX(Однолинейка!$G$1:$G$1000,MATCH(456,Однолинейка!$BV$1:$BV$1000,0))&amp;IF(INDEX(Однолинейка!$P$1:$P$1000,MATCH(456,Однолинейка!$BV$1:$BV$1000,0))="","","/"&amp;INDEX(Однолинейка!$P$1:$P$1000,MATCH(456,Однолинейка!$BV$1:$BV$1000,0))),"")</f>
      </c>
      <c r="D458" s="133">
        <f>IFERROR(INDEX(Однолинейка!$R$1:$R$1000,MATCH(456,Однолинейка!$BV$1:$BV$1000,0)),"")</f>
      </c>
      <c r="E458" s="133">
        <f>IFERROR(INDEX(Однолинейка!$S$1:$S$1000,MATCH(456,Однолинейка!$BV$1:$BV$1000,0)),"")</f>
      </c>
      <c r="F458" s="133">
        <f>IFERROR(INDEX(Однолинейка!$Q$1:$Q$1000,MATCH(456,Однолинейка!$BV$1:$BV$1000,0)),"")</f>
      </c>
    </row>
    <row r="459">
      <c r="A459" s="133">
        <f>IF(ISNUMBER(MATCH(457,Однолинейка!$BV$1:$BV$1000,0)),457,"")</f>
      </c>
      <c r="B459" s="133">
        <f>IFERROR(INDEX(Однолинейка!$A$1:$A$1000,MATCH(457,Однолинейка!$BV$1:$BV$1000,0)),"")</f>
      </c>
      <c r="C459" s="133">
        <f>IFERROR(INDEX(Однолинейка!$G$1:$G$1000,MATCH(457,Однолинейка!$BV$1:$BV$1000,0))&amp;IF(INDEX(Однолинейка!$P$1:$P$1000,MATCH(457,Однолинейка!$BV$1:$BV$1000,0))="","","/"&amp;INDEX(Однолинейка!$P$1:$P$1000,MATCH(457,Однолинейка!$BV$1:$BV$1000,0))),"")</f>
      </c>
      <c r="D459" s="133">
        <f>IFERROR(INDEX(Однолинейка!$R$1:$R$1000,MATCH(457,Однолинейка!$BV$1:$BV$1000,0)),"")</f>
      </c>
      <c r="E459" s="133">
        <f>IFERROR(INDEX(Однолинейка!$S$1:$S$1000,MATCH(457,Однолинейка!$BV$1:$BV$1000,0)),"")</f>
      </c>
      <c r="F459" s="133">
        <f>IFERROR(INDEX(Однолинейка!$Q$1:$Q$1000,MATCH(457,Однолинейка!$BV$1:$BV$1000,0)),"")</f>
      </c>
    </row>
    <row r="460">
      <c r="A460" s="133">
        <f>IF(ISNUMBER(MATCH(458,Однолинейка!$BV$1:$BV$1000,0)),458,"")</f>
      </c>
      <c r="B460" s="133">
        <f>IFERROR(INDEX(Однолинейка!$A$1:$A$1000,MATCH(458,Однолинейка!$BV$1:$BV$1000,0)),"")</f>
      </c>
      <c r="C460" s="133">
        <f>IFERROR(INDEX(Однолинейка!$G$1:$G$1000,MATCH(458,Однолинейка!$BV$1:$BV$1000,0))&amp;IF(INDEX(Однолинейка!$P$1:$P$1000,MATCH(458,Однолинейка!$BV$1:$BV$1000,0))="","","/"&amp;INDEX(Однолинейка!$P$1:$P$1000,MATCH(458,Однолинейка!$BV$1:$BV$1000,0))),"")</f>
      </c>
      <c r="D460" s="133">
        <f>IFERROR(INDEX(Однолинейка!$R$1:$R$1000,MATCH(458,Однолинейка!$BV$1:$BV$1000,0)),"")</f>
      </c>
      <c r="E460" s="133">
        <f>IFERROR(INDEX(Однолинейка!$S$1:$S$1000,MATCH(458,Однолинейка!$BV$1:$BV$1000,0)),"")</f>
      </c>
      <c r="F460" s="133">
        <f>IFERROR(INDEX(Однолинейка!$Q$1:$Q$1000,MATCH(458,Однолинейка!$BV$1:$BV$1000,0)),"")</f>
      </c>
    </row>
    <row r="461">
      <c r="A461" s="133">
        <f>IF(ISNUMBER(MATCH(459,Однолинейка!$BV$1:$BV$1000,0)),459,"")</f>
      </c>
      <c r="B461" s="133">
        <f>IFERROR(INDEX(Однолинейка!$A$1:$A$1000,MATCH(459,Однолинейка!$BV$1:$BV$1000,0)),"")</f>
      </c>
      <c r="C461" s="133">
        <f>IFERROR(INDEX(Однолинейка!$G$1:$G$1000,MATCH(459,Однолинейка!$BV$1:$BV$1000,0))&amp;IF(INDEX(Однолинейка!$P$1:$P$1000,MATCH(459,Однолинейка!$BV$1:$BV$1000,0))="","","/"&amp;INDEX(Однолинейка!$P$1:$P$1000,MATCH(459,Однолинейка!$BV$1:$BV$1000,0))),"")</f>
      </c>
      <c r="D461" s="133">
        <f>IFERROR(INDEX(Однолинейка!$R$1:$R$1000,MATCH(459,Однолинейка!$BV$1:$BV$1000,0)),"")</f>
      </c>
      <c r="E461" s="133">
        <f>IFERROR(INDEX(Однолинейка!$S$1:$S$1000,MATCH(459,Однолинейка!$BV$1:$BV$1000,0)),"")</f>
      </c>
      <c r="F461" s="133">
        <f>IFERROR(INDEX(Однолинейка!$Q$1:$Q$1000,MATCH(459,Однолинейка!$BV$1:$BV$1000,0)),"")</f>
      </c>
    </row>
    <row r="462">
      <c r="A462" s="133">
        <f>IF(ISNUMBER(MATCH(460,Однолинейка!$BV$1:$BV$1000,0)),460,"")</f>
      </c>
      <c r="B462" s="133">
        <f>IFERROR(INDEX(Однолинейка!$A$1:$A$1000,MATCH(460,Однолинейка!$BV$1:$BV$1000,0)),"")</f>
      </c>
      <c r="C462" s="133">
        <f>IFERROR(INDEX(Однолинейка!$G$1:$G$1000,MATCH(460,Однолинейка!$BV$1:$BV$1000,0))&amp;IF(INDEX(Однолинейка!$P$1:$P$1000,MATCH(460,Однолинейка!$BV$1:$BV$1000,0))="","","/"&amp;INDEX(Однолинейка!$P$1:$P$1000,MATCH(460,Однолинейка!$BV$1:$BV$1000,0))),"")</f>
      </c>
      <c r="D462" s="133">
        <f>IFERROR(INDEX(Однолинейка!$R$1:$R$1000,MATCH(460,Однолинейка!$BV$1:$BV$1000,0)),"")</f>
      </c>
      <c r="E462" s="133">
        <f>IFERROR(INDEX(Однолинейка!$S$1:$S$1000,MATCH(460,Однолинейка!$BV$1:$BV$1000,0)),"")</f>
      </c>
      <c r="F462" s="133">
        <f>IFERROR(INDEX(Однолинейка!$Q$1:$Q$1000,MATCH(460,Однолинейка!$BV$1:$BV$1000,0)),"")</f>
      </c>
    </row>
    <row r="463">
      <c r="A463" s="133">
        <f>IF(ISNUMBER(MATCH(461,Однолинейка!$BV$1:$BV$1000,0)),461,"")</f>
      </c>
      <c r="B463" s="133">
        <f>IFERROR(INDEX(Однолинейка!$A$1:$A$1000,MATCH(461,Однолинейка!$BV$1:$BV$1000,0)),"")</f>
      </c>
      <c r="C463" s="133">
        <f>IFERROR(INDEX(Однолинейка!$G$1:$G$1000,MATCH(461,Однолинейка!$BV$1:$BV$1000,0))&amp;IF(INDEX(Однолинейка!$P$1:$P$1000,MATCH(461,Однолинейка!$BV$1:$BV$1000,0))="","","/"&amp;INDEX(Однолинейка!$P$1:$P$1000,MATCH(461,Однолинейка!$BV$1:$BV$1000,0))),"")</f>
      </c>
      <c r="D463" s="133">
        <f>IFERROR(INDEX(Однолинейка!$R$1:$R$1000,MATCH(461,Однолинейка!$BV$1:$BV$1000,0)),"")</f>
      </c>
      <c r="E463" s="133">
        <f>IFERROR(INDEX(Однолинейка!$S$1:$S$1000,MATCH(461,Однолинейка!$BV$1:$BV$1000,0)),"")</f>
      </c>
      <c r="F463" s="133">
        <f>IFERROR(INDEX(Однолинейка!$Q$1:$Q$1000,MATCH(461,Однолинейка!$BV$1:$BV$1000,0)),"")</f>
      </c>
    </row>
    <row r="464">
      <c r="A464" s="133">
        <f>IF(ISNUMBER(MATCH(462,Однолинейка!$BV$1:$BV$1000,0)),462,"")</f>
      </c>
      <c r="B464" s="133">
        <f>IFERROR(INDEX(Однолинейка!$A$1:$A$1000,MATCH(462,Однолинейка!$BV$1:$BV$1000,0)),"")</f>
      </c>
      <c r="C464" s="133">
        <f>IFERROR(INDEX(Однолинейка!$G$1:$G$1000,MATCH(462,Однолинейка!$BV$1:$BV$1000,0))&amp;IF(INDEX(Однолинейка!$P$1:$P$1000,MATCH(462,Однолинейка!$BV$1:$BV$1000,0))="","","/"&amp;INDEX(Однолинейка!$P$1:$P$1000,MATCH(462,Однолинейка!$BV$1:$BV$1000,0))),"")</f>
      </c>
      <c r="D464" s="133">
        <f>IFERROR(INDEX(Однолинейка!$R$1:$R$1000,MATCH(462,Однолинейка!$BV$1:$BV$1000,0)),"")</f>
      </c>
      <c r="E464" s="133">
        <f>IFERROR(INDEX(Однолинейка!$S$1:$S$1000,MATCH(462,Однолинейка!$BV$1:$BV$1000,0)),"")</f>
      </c>
      <c r="F464" s="133">
        <f>IFERROR(INDEX(Однолинейка!$Q$1:$Q$1000,MATCH(462,Однолинейка!$BV$1:$BV$1000,0)),"")</f>
      </c>
    </row>
    <row r="465">
      <c r="A465" s="133">
        <f>IF(ISNUMBER(MATCH(463,Однолинейка!$BV$1:$BV$1000,0)),463,"")</f>
      </c>
      <c r="B465" s="133">
        <f>IFERROR(INDEX(Однолинейка!$A$1:$A$1000,MATCH(463,Однолинейка!$BV$1:$BV$1000,0)),"")</f>
      </c>
      <c r="C465" s="133">
        <f>IFERROR(INDEX(Однолинейка!$G$1:$G$1000,MATCH(463,Однолинейка!$BV$1:$BV$1000,0))&amp;IF(INDEX(Однолинейка!$P$1:$P$1000,MATCH(463,Однолинейка!$BV$1:$BV$1000,0))="","","/"&amp;INDEX(Однолинейка!$P$1:$P$1000,MATCH(463,Однолинейка!$BV$1:$BV$1000,0))),"")</f>
      </c>
      <c r="D465" s="133">
        <f>IFERROR(INDEX(Однолинейка!$R$1:$R$1000,MATCH(463,Однолинейка!$BV$1:$BV$1000,0)),"")</f>
      </c>
      <c r="E465" s="133">
        <f>IFERROR(INDEX(Однолинейка!$S$1:$S$1000,MATCH(463,Однолинейка!$BV$1:$BV$1000,0)),"")</f>
      </c>
      <c r="F465" s="133">
        <f>IFERROR(INDEX(Однолинейка!$Q$1:$Q$1000,MATCH(463,Однолинейка!$BV$1:$BV$1000,0)),"")</f>
      </c>
    </row>
    <row r="466">
      <c r="A466" s="133">
        <f>IF(ISNUMBER(MATCH(464,Однолинейка!$BV$1:$BV$1000,0)),464,"")</f>
      </c>
      <c r="B466" s="133">
        <f>IFERROR(INDEX(Однолинейка!$A$1:$A$1000,MATCH(464,Однолинейка!$BV$1:$BV$1000,0)),"")</f>
      </c>
      <c r="C466" s="133">
        <f>IFERROR(INDEX(Однолинейка!$G$1:$G$1000,MATCH(464,Однолинейка!$BV$1:$BV$1000,0))&amp;IF(INDEX(Однолинейка!$P$1:$P$1000,MATCH(464,Однолинейка!$BV$1:$BV$1000,0))="","","/"&amp;INDEX(Однолинейка!$P$1:$P$1000,MATCH(464,Однолинейка!$BV$1:$BV$1000,0))),"")</f>
      </c>
      <c r="D466" s="133">
        <f>IFERROR(INDEX(Однолинейка!$R$1:$R$1000,MATCH(464,Однолинейка!$BV$1:$BV$1000,0)),"")</f>
      </c>
      <c r="E466" s="133">
        <f>IFERROR(INDEX(Однолинейка!$S$1:$S$1000,MATCH(464,Однолинейка!$BV$1:$BV$1000,0)),"")</f>
      </c>
      <c r="F466" s="133">
        <f>IFERROR(INDEX(Однолинейка!$Q$1:$Q$1000,MATCH(464,Однолинейка!$BV$1:$BV$1000,0)),"")</f>
      </c>
    </row>
    <row r="467">
      <c r="A467" s="133">
        <f>IF(ISNUMBER(MATCH(465,Однолинейка!$BV$1:$BV$1000,0)),465,"")</f>
      </c>
      <c r="B467" s="133">
        <f>IFERROR(INDEX(Однолинейка!$A$1:$A$1000,MATCH(465,Однолинейка!$BV$1:$BV$1000,0)),"")</f>
      </c>
      <c r="C467" s="133">
        <f>IFERROR(INDEX(Однолинейка!$G$1:$G$1000,MATCH(465,Однолинейка!$BV$1:$BV$1000,0))&amp;IF(INDEX(Однолинейка!$P$1:$P$1000,MATCH(465,Однолинейка!$BV$1:$BV$1000,0))="","","/"&amp;INDEX(Однолинейка!$P$1:$P$1000,MATCH(465,Однолинейка!$BV$1:$BV$1000,0))),"")</f>
      </c>
      <c r="D467" s="133">
        <f>IFERROR(INDEX(Однолинейка!$R$1:$R$1000,MATCH(465,Однолинейка!$BV$1:$BV$1000,0)),"")</f>
      </c>
      <c r="E467" s="133">
        <f>IFERROR(INDEX(Однолинейка!$S$1:$S$1000,MATCH(465,Однолинейка!$BV$1:$BV$1000,0)),"")</f>
      </c>
      <c r="F467" s="133">
        <f>IFERROR(INDEX(Однолинейка!$Q$1:$Q$1000,MATCH(465,Однолинейка!$BV$1:$BV$1000,0)),"")</f>
      </c>
    </row>
    <row r="468">
      <c r="A468" s="133">
        <f>IF(ISNUMBER(MATCH(466,Однолинейка!$BV$1:$BV$1000,0)),466,"")</f>
      </c>
      <c r="B468" s="133">
        <f>IFERROR(INDEX(Однолинейка!$A$1:$A$1000,MATCH(466,Однолинейка!$BV$1:$BV$1000,0)),"")</f>
      </c>
      <c r="C468" s="133">
        <f>IFERROR(INDEX(Однолинейка!$G$1:$G$1000,MATCH(466,Однолинейка!$BV$1:$BV$1000,0))&amp;IF(INDEX(Однолинейка!$P$1:$P$1000,MATCH(466,Однолинейка!$BV$1:$BV$1000,0))="","","/"&amp;INDEX(Однолинейка!$P$1:$P$1000,MATCH(466,Однолинейка!$BV$1:$BV$1000,0))),"")</f>
      </c>
      <c r="D468" s="133">
        <f>IFERROR(INDEX(Однолинейка!$R$1:$R$1000,MATCH(466,Однолинейка!$BV$1:$BV$1000,0)),"")</f>
      </c>
      <c r="E468" s="133">
        <f>IFERROR(INDEX(Однолинейка!$S$1:$S$1000,MATCH(466,Однолинейка!$BV$1:$BV$1000,0)),"")</f>
      </c>
      <c r="F468" s="133">
        <f>IFERROR(INDEX(Однолинейка!$Q$1:$Q$1000,MATCH(466,Однолинейка!$BV$1:$BV$1000,0)),"")</f>
      </c>
    </row>
    <row r="469">
      <c r="A469" s="133">
        <f>IF(ISNUMBER(MATCH(467,Однолинейка!$BV$1:$BV$1000,0)),467,"")</f>
      </c>
      <c r="B469" s="133">
        <f>IFERROR(INDEX(Однолинейка!$A$1:$A$1000,MATCH(467,Однолинейка!$BV$1:$BV$1000,0)),"")</f>
      </c>
      <c r="C469" s="133">
        <f>IFERROR(INDEX(Однолинейка!$G$1:$G$1000,MATCH(467,Однолинейка!$BV$1:$BV$1000,0))&amp;IF(INDEX(Однолинейка!$P$1:$P$1000,MATCH(467,Однолинейка!$BV$1:$BV$1000,0))="","","/"&amp;INDEX(Однолинейка!$P$1:$P$1000,MATCH(467,Однолинейка!$BV$1:$BV$1000,0))),"")</f>
      </c>
      <c r="D469" s="133">
        <f>IFERROR(INDEX(Однолинейка!$R$1:$R$1000,MATCH(467,Однолинейка!$BV$1:$BV$1000,0)),"")</f>
      </c>
      <c r="E469" s="133">
        <f>IFERROR(INDEX(Однолинейка!$S$1:$S$1000,MATCH(467,Однолинейка!$BV$1:$BV$1000,0)),"")</f>
      </c>
      <c r="F469" s="133">
        <f>IFERROR(INDEX(Однолинейка!$Q$1:$Q$1000,MATCH(467,Однолинейка!$BV$1:$BV$1000,0)),"")</f>
      </c>
    </row>
    <row r="470">
      <c r="A470" s="133">
        <f>IF(ISNUMBER(MATCH(468,Однолинейка!$BV$1:$BV$1000,0)),468,"")</f>
      </c>
      <c r="B470" s="133">
        <f>IFERROR(INDEX(Однолинейка!$A$1:$A$1000,MATCH(468,Однолинейка!$BV$1:$BV$1000,0)),"")</f>
      </c>
      <c r="C470" s="133">
        <f>IFERROR(INDEX(Однолинейка!$G$1:$G$1000,MATCH(468,Однолинейка!$BV$1:$BV$1000,0))&amp;IF(INDEX(Однолинейка!$P$1:$P$1000,MATCH(468,Однолинейка!$BV$1:$BV$1000,0))="","","/"&amp;INDEX(Однолинейка!$P$1:$P$1000,MATCH(468,Однолинейка!$BV$1:$BV$1000,0))),"")</f>
      </c>
      <c r="D470" s="133">
        <f>IFERROR(INDEX(Однолинейка!$R$1:$R$1000,MATCH(468,Однолинейка!$BV$1:$BV$1000,0)),"")</f>
      </c>
      <c r="E470" s="133">
        <f>IFERROR(INDEX(Однолинейка!$S$1:$S$1000,MATCH(468,Однолинейка!$BV$1:$BV$1000,0)),"")</f>
      </c>
      <c r="F470" s="133">
        <f>IFERROR(INDEX(Однолинейка!$Q$1:$Q$1000,MATCH(468,Однолинейка!$BV$1:$BV$1000,0)),"")</f>
      </c>
    </row>
    <row r="471">
      <c r="A471" s="133">
        <f>IF(ISNUMBER(MATCH(469,Однолинейка!$BV$1:$BV$1000,0)),469,"")</f>
      </c>
      <c r="B471" s="133">
        <f>IFERROR(INDEX(Однолинейка!$A$1:$A$1000,MATCH(469,Однолинейка!$BV$1:$BV$1000,0)),"")</f>
      </c>
      <c r="C471" s="133">
        <f>IFERROR(INDEX(Однолинейка!$G$1:$G$1000,MATCH(469,Однолинейка!$BV$1:$BV$1000,0))&amp;IF(INDEX(Однолинейка!$P$1:$P$1000,MATCH(469,Однолинейка!$BV$1:$BV$1000,0))="","","/"&amp;INDEX(Однолинейка!$P$1:$P$1000,MATCH(469,Однолинейка!$BV$1:$BV$1000,0))),"")</f>
      </c>
      <c r="D471" s="133">
        <f>IFERROR(INDEX(Однолинейка!$R$1:$R$1000,MATCH(469,Однолинейка!$BV$1:$BV$1000,0)),"")</f>
      </c>
      <c r="E471" s="133">
        <f>IFERROR(INDEX(Однолинейка!$S$1:$S$1000,MATCH(469,Однолинейка!$BV$1:$BV$1000,0)),"")</f>
      </c>
      <c r="F471" s="133">
        <f>IFERROR(INDEX(Однолинейка!$Q$1:$Q$1000,MATCH(469,Однолинейка!$BV$1:$BV$1000,0)),"")</f>
      </c>
    </row>
    <row r="472">
      <c r="A472" s="133">
        <f>IF(ISNUMBER(MATCH(470,Однолинейка!$BV$1:$BV$1000,0)),470,"")</f>
      </c>
      <c r="B472" s="133">
        <f>IFERROR(INDEX(Однолинейка!$A$1:$A$1000,MATCH(470,Однолинейка!$BV$1:$BV$1000,0)),"")</f>
      </c>
      <c r="C472" s="133">
        <f>IFERROR(INDEX(Однолинейка!$G$1:$G$1000,MATCH(470,Однолинейка!$BV$1:$BV$1000,0))&amp;IF(INDEX(Однолинейка!$P$1:$P$1000,MATCH(470,Однолинейка!$BV$1:$BV$1000,0))="","","/"&amp;INDEX(Однолинейка!$P$1:$P$1000,MATCH(470,Однолинейка!$BV$1:$BV$1000,0))),"")</f>
      </c>
      <c r="D472" s="133">
        <f>IFERROR(INDEX(Однолинейка!$R$1:$R$1000,MATCH(470,Однолинейка!$BV$1:$BV$1000,0)),"")</f>
      </c>
      <c r="E472" s="133">
        <f>IFERROR(INDEX(Однолинейка!$S$1:$S$1000,MATCH(470,Однолинейка!$BV$1:$BV$1000,0)),"")</f>
      </c>
      <c r="F472" s="133">
        <f>IFERROR(INDEX(Однолинейка!$Q$1:$Q$1000,MATCH(470,Однолинейка!$BV$1:$BV$1000,0)),"")</f>
      </c>
    </row>
    <row r="473">
      <c r="A473" s="133">
        <f>IF(ISNUMBER(MATCH(471,Однолинейка!$BV$1:$BV$1000,0)),471,"")</f>
      </c>
      <c r="B473" s="133">
        <f>IFERROR(INDEX(Однолинейка!$A$1:$A$1000,MATCH(471,Однолинейка!$BV$1:$BV$1000,0)),"")</f>
      </c>
      <c r="C473" s="133">
        <f>IFERROR(INDEX(Однолинейка!$G$1:$G$1000,MATCH(471,Однолинейка!$BV$1:$BV$1000,0))&amp;IF(INDEX(Однолинейка!$P$1:$P$1000,MATCH(471,Однолинейка!$BV$1:$BV$1000,0))="","","/"&amp;INDEX(Однолинейка!$P$1:$P$1000,MATCH(471,Однолинейка!$BV$1:$BV$1000,0))),"")</f>
      </c>
      <c r="D473" s="133">
        <f>IFERROR(INDEX(Однолинейка!$R$1:$R$1000,MATCH(471,Однолинейка!$BV$1:$BV$1000,0)),"")</f>
      </c>
      <c r="E473" s="133">
        <f>IFERROR(INDEX(Однолинейка!$S$1:$S$1000,MATCH(471,Однолинейка!$BV$1:$BV$1000,0)),"")</f>
      </c>
      <c r="F473" s="133">
        <f>IFERROR(INDEX(Однолинейка!$Q$1:$Q$1000,MATCH(471,Однолинейка!$BV$1:$BV$1000,0)),"")</f>
      </c>
    </row>
    <row r="474">
      <c r="A474" s="133">
        <f>IF(ISNUMBER(MATCH(472,Однолинейка!$BV$1:$BV$1000,0)),472,"")</f>
      </c>
      <c r="B474" s="133">
        <f>IFERROR(INDEX(Однолинейка!$A$1:$A$1000,MATCH(472,Однолинейка!$BV$1:$BV$1000,0)),"")</f>
      </c>
      <c r="C474" s="133">
        <f>IFERROR(INDEX(Однолинейка!$G$1:$G$1000,MATCH(472,Однолинейка!$BV$1:$BV$1000,0))&amp;IF(INDEX(Однолинейка!$P$1:$P$1000,MATCH(472,Однолинейка!$BV$1:$BV$1000,0))="","","/"&amp;INDEX(Однолинейка!$P$1:$P$1000,MATCH(472,Однолинейка!$BV$1:$BV$1000,0))),"")</f>
      </c>
      <c r="D474" s="133">
        <f>IFERROR(INDEX(Однолинейка!$R$1:$R$1000,MATCH(472,Однолинейка!$BV$1:$BV$1000,0)),"")</f>
      </c>
      <c r="E474" s="133">
        <f>IFERROR(INDEX(Однолинейка!$S$1:$S$1000,MATCH(472,Однолинейка!$BV$1:$BV$1000,0)),"")</f>
      </c>
      <c r="F474" s="133">
        <f>IFERROR(INDEX(Однолинейка!$Q$1:$Q$1000,MATCH(472,Однолинейка!$BV$1:$BV$1000,0)),"")</f>
      </c>
    </row>
    <row r="475">
      <c r="A475" s="133">
        <f>IF(ISNUMBER(MATCH(473,Однолинейка!$BV$1:$BV$1000,0)),473,"")</f>
      </c>
      <c r="B475" s="133">
        <f>IFERROR(INDEX(Однолинейка!$A$1:$A$1000,MATCH(473,Однолинейка!$BV$1:$BV$1000,0)),"")</f>
      </c>
      <c r="C475" s="133">
        <f>IFERROR(INDEX(Однолинейка!$G$1:$G$1000,MATCH(473,Однолинейка!$BV$1:$BV$1000,0))&amp;IF(INDEX(Однолинейка!$P$1:$P$1000,MATCH(473,Однолинейка!$BV$1:$BV$1000,0))="","","/"&amp;INDEX(Однолинейка!$P$1:$P$1000,MATCH(473,Однолинейка!$BV$1:$BV$1000,0))),"")</f>
      </c>
      <c r="D475" s="133">
        <f>IFERROR(INDEX(Однолинейка!$R$1:$R$1000,MATCH(473,Однолинейка!$BV$1:$BV$1000,0)),"")</f>
      </c>
      <c r="E475" s="133">
        <f>IFERROR(INDEX(Однолинейка!$S$1:$S$1000,MATCH(473,Однолинейка!$BV$1:$BV$1000,0)),"")</f>
      </c>
      <c r="F475" s="133">
        <f>IFERROR(INDEX(Однолинейка!$Q$1:$Q$1000,MATCH(473,Однолинейка!$BV$1:$BV$1000,0)),"")</f>
      </c>
    </row>
    <row r="476">
      <c r="A476" s="133">
        <f>IF(ISNUMBER(MATCH(474,Однолинейка!$BV$1:$BV$1000,0)),474,"")</f>
      </c>
      <c r="B476" s="133">
        <f>IFERROR(INDEX(Однолинейка!$A$1:$A$1000,MATCH(474,Однолинейка!$BV$1:$BV$1000,0)),"")</f>
      </c>
      <c r="C476" s="133">
        <f>IFERROR(INDEX(Однолинейка!$G$1:$G$1000,MATCH(474,Однолинейка!$BV$1:$BV$1000,0))&amp;IF(INDEX(Однолинейка!$P$1:$P$1000,MATCH(474,Однолинейка!$BV$1:$BV$1000,0))="","","/"&amp;INDEX(Однолинейка!$P$1:$P$1000,MATCH(474,Однолинейка!$BV$1:$BV$1000,0))),"")</f>
      </c>
      <c r="D476" s="133">
        <f>IFERROR(INDEX(Однолинейка!$R$1:$R$1000,MATCH(474,Однолинейка!$BV$1:$BV$1000,0)),"")</f>
      </c>
      <c r="E476" s="133">
        <f>IFERROR(INDEX(Однолинейка!$S$1:$S$1000,MATCH(474,Однолинейка!$BV$1:$BV$1000,0)),"")</f>
      </c>
      <c r="F476" s="133">
        <f>IFERROR(INDEX(Однолинейка!$Q$1:$Q$1000,MATCH(474,Однолинейка!$BV$1:$BV$1000,0)),"")</f>
      </c>
    </row>
    <row r="477">
      <c r="A477" s="133">
        <f>IF(ISNUMBER(MATCH(475,Однолинейка!$BV$1:$BV$1000,0)),475,"")</f>
      </c>
      <c r="B477" s="133">
        <f>IFERROR(INDEX(Однолинейка!$A$1:$A$1000,MATCH(475,Однолинейка!$BV$1:$BV$1000,0)),"")</f>
      </c>
      <c r="C477" s="133">
        <f>IFERROR(INDEX(Однолинейка!$G$1:$G$1000,MATCH(475,Однолинейка!$BV$1:$BV$1000,0))&amp;IF(INDEX(Однолинейка!$P$1:$P$1000,MATCH(475,Однолинейка!$BV$1:$BV$1000,0))="","","/"&amp;INDEX(Однолинейка!$P$1:$P$1000,MATCH(475,Однолинейка!$BV$1:$BV$1000,0))),"")</f>
      </c>
      <c r="D477" s="133">
        <f>IFERROR(INDEX(Однолинейка!$R$1:$R$1000,MATCH(475,Однолинейка!$BV$1:$BV$1000,0)),"")</f>
      </c>
      <c r="E477" s="133">
        <f>IFERROR(INDEX(Однолинейка!$S$1:$S$1000,MATCH(475,Однолинейка!$BV$1:$BV$1000,0)),"")</f>
      </c>
      <c r="F477" s="133">
        <f>IFERROR(INDEX(Однолинейка!$Q$1:$Q$1000,MATCH(475,Однолинейка!$BV$1:$BV$1000,0)),"")</f>
      </c>
    </row>
    <row r="478">
      <c r="A478" s="133">
        <f>IF(ISNUMBER(MATCH(476,Однолинейка!$BV$1:$BV$1000,0)),476,"")</f>
      </c>
      <c r="B478" s="133">
        <f>IFERROR(INDEX(Однолинейка!$A$1:$A$1000,MATCH(476,Однолинейка!$BV$1:$BV$1000,0)),"")</f>
      </c>
      <c r="C478" s="133">
        <f>IFERROR(INDEX(Однолинейка!$G$1:$G$1000,MATCH(476,Однолинейка!$BV$1:$BV$1000,0))&amp;IF(INDEX(Однолинейка!$P$1:$P$1000,MATCH(476,Однолинейка!$BV$1:$BV$1000,0))="","","/"&amp;INDEX(Однолинейка!$P$1:$P$1000,MATCH(476,Однолинейка!$BV$1:$BV$1000,0))),"")</f>
      </c>
      <c r="D478" s="133">
        <f>IFERROR(INDEX(Однолинейка!$R$1:$R$1000,MATCH(476,Однолинейка!$BV$1:$BV$1000,0)),"")</f>
      </c>
      <c r="E478" s="133">
        <f>IFERROR(INDEX(Однолинейка!$S$1:$S$1000,MATCH(476,Однолинейка!$BV$1:$BV$1000,0)),"")</f>
      </c>
      <c r="F478" s="133">
        <f>IFERROR(INDEX(Однолинейка!$Q$1:$Q$1000,MATCH(476,Однолинейка!$BV$1:$BV$1000,0)),"")</f>
      </c>
    </row>
    <row r="479">
      <c r="A479" s="133">
        <f>IF(ISNUMBER(MATCH(477,Однолинейка!$BV$1:$BV$1000,0)),477,"")</f>
      </c>
      <c r="B479" s="133">
        <f>IFERROR(INDEX(Однолинейка!$A$1:$A$1000,MATCH(477,Однолинейка!$BV$1:$BV$1000,0)),"")</f>
      </c>
      <c r="C479" s="133">
        <f>IFERROR(INDEX(Однолинейка!$G$1:$G$1000,MATCH(477,Однолинейка!$BV$1:$BV$1000,0))&amp;IF(INDEX(Однолинейка!$P$1:$P$1000,MATCH(477,Однолинейка!$BV$1:$BV$1000,0))="","","/"&amp;INDEX(Однолинейка!$P$1:$P$1000,MATCH(477,Однолинейка!$BV$1:$BV$1000,0))),"")</f>
      </c>
      <c r="D479" s="133">
        <f>IFERROR(INDEX(Однолинейка!$R$1:$R$1000,MATCH(477,Однолинейка!$BV$1:$BV$1000,0)),"")</f>
      </c>
      <c r="E479" s="133">
        <f>IFERROR(INDEX(Однолинейка!$S$1:$S$1000,MATCH(477,Однолинейка!$BV$1:$BV$1000,0)),"")</f>
      </c>
      <c r="F479" s="133">
        <f>IFERROR(INDEX(Однолинейка!$Q$1:$Q$1000,MATCH(477,Однолинейка!$BV$1:$BV$1000,0)),"")</f>
      </c>
    </row>
    <row r="480">
      <c r="A480" s="133">
        <f>IF(ISNUMBER(MATCH(478,Однолинейка!$BV$1:$BV$1000,0)),478,"")</f>
      </c>
      <c r="B480" s="133">
        <f>IFERROR(INDEX(Однолинейка!$A$1:$A$1000,MATCH(478,Однолинейка!$BV$1:$BV$1000,0)),"")</f>
      </c>
      <c r="C480" s="133">
        <f>IFERROR(INDEX(Однолинейка!$G$1:$G$1000,MATCH(478,Однолинейка!$BV$1:$BV$1000,0))&amp;IF(INDEX(Однолинейка!$P$1:$P$1000,MATCH(478,Однолинейка!$BV$1:$BV$1000,0))="","","/"&amp;INDEX(Однолинейка!$P$1:$P$1000,MATCH(478,Однолинейка!$BV$1:$BV$1000,0))),"")</f>
      </c>
      <c r="D480" s="133">
        <f>IFERROR(INDEX(Однолинейка!$R$1:$R$1000,MATCH(478,Однолинейка!$BV$1:$BV$1000,0)),"")</f>
      </c>
      <c r="E480" s="133">
        <f>IFERROR(INDEX(Однолинейка!$S$1:$S$1000,MATCH(478,Однолинейка!$BV$1:$BV$1000,0)),"")</f>
      </c>
      <c r="F480" s="133">
        <f>IFERROR(INDEX(Однолинейка!$Q$1:$Q$1000,MATCH(478,Однолинейка!$BV$1:$BV$1000,0)),"")</f>
      </c>
    </row>
    <row r="481">
      <c r="A481" s="133">
        <f>IF(ISNUMBER(MATCH(479,Однолинейка!$BV$1:$BV$1000,0)),479,"")</f>
      </c>
      <c r="B481" s="133">
        <f>IFERROR(INDEX(Однолинейка!$A$1:$A$1000,MATCH(479,Однолинейка!$BV$1:$BV$1000,0)),"")</f>
      </c>
      <c r="C481" s="133">
        <f>IFERROR(INDEX(Однолинейка!$G$1:$G$1000,MATCH(479,Однолинейка!$BV$1:$BV$1000,0))&amp;IF(INDEX(Однолинейка!$P$1:$P$1000,MATCH(479,Однолинейка!$BV$1:$BV$1000,0))="","","/"&amp;INDEX(Однолинейка!$P$1:$P$1000,MATCH(479,Однолинейка!$BV$1:$BV$1000,0))),"")</f>
      </c>
      <c r="D481" s="133">
        <f>IFERROR(INDEX(Однолинейка!$R$1:$R$1000,MATCH(479,Однолинейка!$BV$1:$BV$1000,0)),"")</f>
      </c>
      <c r="E481" s="133">
        <f>IFERROR(INDEX(Однолинейка!$S$1:$S$1000,MATCH(479,Однолинейка!$BV$1:$BV$1000,0)),"")</f>
      </c>
      <c r="F481" s="133">
        <f>IFERROR(INDEX(Однолинейка!$Q$1:$Q$1000,MATCH(479,Однолинейка!$BV$1:$BV$1000,0)),"")</f>
      </c>
    </row>
    <row r="482">
      <c r="A482" s="133">
        <f>IF(ISNUMBER(MATCH(480,Однолинейка!$BV$1:$BV$1000,0)),480,"")</f>
      </c>
      <c r="B482" s="133">
        <f>IFERROR(INDEX(Однолинейка!$A$1:$A$1000,MATCH(480,Однолинейка!$BV$1:$BV$1000,0)),"")</f>
      </c>
      <c r="C482" s="133">
        <f>IFERROR(INDEX(Однолинейка!$G$1:$G$1000,MATCH(480,Однолинейка!$BV$1:$BV$1000,0))&amp;IF(INDEX(Однолинейка!$P$1:$P$1000,MATCH(480,Однолинейка!$BV$1:$BV$1000,0))="","","/"&amp;INDEX(Однолинейка!$P$1:$P$1000,MATCH(480,Однолинейка!$BV$1:$BV$1000,0))),"")</f>
      </c>
      <c r="D482" s="133">
        <f>IFERROR(INDEX(Однолинейка!$R$1:$R$1000,MATCH(480,Однолинейка!$BV$1:$BV$1000,0)),"")</f>
      </c>
      <c r="E482" s="133">
        <f>IFERROR(INDEX(Однолинейка!$S$1:$S$1000,MATCH(480,Однолинейка!$BV$1:$BV$1000,0)),"")</f>
      </c>
      <c r="F482" s="133">
        <f>IFERROR(INDEX(Однолинейка!$Q$1:$Q$1000,MATCH(480,Однолинейка!$BV$1:$BV$1000,0)),"")</f>
      </c>
    </row>
    <row r="483">
      <c r="A483" s="133">
        <f>IF(ISNUMBER(MATCH(481,Однолинейка!$BV$1:$BV$1000,0)),481,"")</f>
      </c>
      <c r="B483" s="133">
        <f>IFERROR(INDEX(Однолинейка!$A$1:$A$1000,MATCH(481,Однолинейка!$BV$1:$BV$1000,0)),"")</f>
      </c>
      <c r="C483" s="133">
        <f>IFERROR(INDEX(Однолинейка!$G$1:$G$1000,MATCH(481,Однолинейка!$BV$1:$BV$1000,0))&amp;IF(INDEX(Однолинейка!$P$1:$P$1000,MATCH(481,Однолинейка!$BV$1:$BV$1000,0))="","","/"&amp;INDEX(Однолинейка!$P$1:$P$1000,MATCH(481,Однолинейка!$BV$1:$BV$1000,0))),"")</f>
      </c>
      <c r="D483" s="133">
        <f>IFERROR(INDEX(Однолинейка!$R$1:$R$1000,MATCH(481,Однолинейка!$BV$1:$BV$1000,0)),"")</f>
      </c>
      <c r="E483" s="133">
        <f>IFERROR(INDEX(Однолинейка!$S$1:$S$1000,MATCH(481,Однолинейка!$BV$1:$BV$1000,0)),"")</f>
      </c>
      <c r="F483" s="133">
        <f>IFERROR(INDEX(Однолинейка!$Q$1:$Q$1000,MATCH(481,Однолинейка!$BV$1:$BV$1000,0)),"")</f>
      </c>
    </row>
    <row r="484">
      <c r="A484" s="133">
        <f>IF(ISNUMBER(MATCH(482,Однолинейка!$BV$1:$BV$1000,0)),482,"")</f>
      </c>
      <c r="B484" s="133">
        <f>IFERROR(INDEX(Однолинейка!$A$1:$A$1000,MATCH(482,Однолинейка!$BV$1:$BV$1000,0)),"")</f>
      </c>
      <c r="C484" s="133">
        <f>IFERROR(INDEX(Однолинейка!$G$1:$G$1000,MATCH(482,Однолинейка!$BV$1:$BV$1000,0))&amp;IF(INDEX(Однолинейка!$P$1:$P$1000,MATCH(482,Однолинейка!$BV$1:$BV$1000,0))="","","/"&amp;INDEX(Однолинейка!$P$1:$P$1000,MATCH(482,Однолинейка!$BV$1:$BV$1000,0))),"")</f>
      </c>
      <c r="D484" s="133">
        <f>IFERROR(INDEX(Однолинейка!$R$1:$R$1000,MATCH(482,Однолинейка!$BV$1:$BV$1000,0)),"")</f>
      </c>
      <c r="E484" s="133">
        <f>IFERROR(INDEX(Однолинейка!$S$1:$S$1000,MATCH(482,Однолинейка!$BV$1:$BV$1000,0)),"")</f>
      </c>
      <c r="F484" s="133">
        <f>IFERROR(INDEX(Однолинейка!$Q$1:$Q$1000,MATCH(482,Однолинейка!$BV$1:$BV$1000,0)),"")</f>
      </c>
    </row>
    <row r="485">
      <c r="A485" s="133">
        <f>IF(ISNUMBER(MATCH(483,Однолинейка!$BV$1:$BV$1000,0)),483,"")</f>
      </c>
      <c r="B485" s="133">
        <f>IFERROR(INDEX(Однолинейка!$A$1:$A$1000,MATCH(483,Однолинейка!$BV$1:$BV$1000,0)),"")</f>
      </c>
      <c r="C485" s="133">
        <f>IFERROR(INDEX(Однолинейка!$G$1:$G$1000,MATCH(483,Однолинейка!$BV$1:$BV$1000,0))&amp;IF(INDEX(Однолинейка!$P$1:$P$1000,MATCH(483,Однолинейка!$BV$1:$BV$1000,0))="","","/"&amp;INDEX(Однолинейка!$P$1:$P$1000,MATCH(483,Однолинейка!$BV$1:$BV$1000,0))),"")</f>
      </c>
      <c r="D485" s="133">
        <f>IFERROR(INDEX(Однолинейка!$R$1:$R$1000,MATCH(483,Однолинейка!$BV$1:$BV$1000,0)),"")</f>
      </c>
      <c r="E485" s="133">
        <f>IFERROR(INDEX(Однолинейка!$S$1:$S$1000,MATCH(483,Однолинейка!$BV$1:$BV$1000,0)),"")</f>
      </c>
      <c r="F485" s="133">
        <f>IFERROR(INDEX(Однолинейка!$Q$1:$Q$1000,MATCH(483,Однолинейка!$BV$1:$BV$1000,0)),"")</f>
      </c>
    </row>
    <row r="486">
      <c r="A486" s="133">
        <f>IF(ISNUMBER(MATCH(484,Однолинейка!$BV$1:$BV$1000,0)),484,"")</f>
      </c>
      <c r="B486" s="133">
        <f>IFERROR(INDEX(Однолинейка!$A$1:$A$1000,MATCH(484,Однолинейка!$BV$1:$BV$1000,0)),"")</f>
      </c>
      <c r="C486" s="133">
        <f>IFERROR(INDEX(Однолинейка!$G$1:$G$1000,MATCH(484,Однолинейка!$BV$1:$BV$1000,0))&amp;IF(INDEX(Однолинейка!$P$1:$P$1000,MATCH(484,Однолинейка!$BV$1:$BV$1000,0))="","","/"&amp;INDEX(Однолинейка!$P$1:$P$1000,MATCH(484,Однолинейка!$BV$1:$BV$1000,0))),"")</f>
      </c>
      <c r="D486" s="133">
        <f>IFERROR(INDEX(Однолинейка!$R$1:$R$1000,MATCH(484,Однолинейка!$BV$1:$BV$1000,0)),"")</f>
      </c>
      <c r="E486" s="133">
        <f>IFERROR(INDEX(Однолинейка!$S$1:$S$1000,MATCH(484,Однолинейка!$BV$1:$BV$1000,0)),"")</f>
      </c>
      <c r="F486" s="133">
        <f>IFERROR(INDEX(Однолинейка!$Q$1:$Q$1000,MATCH(484,Однолинейка!$BV$1:$BV$1000,0)),"")</f>
      </c>
    </row>
    <row r="487">
      <c r="A487" s="133">
        <f>IF(ISNUMBER(MATCH(485,Однолинейка!$BV$1:$BV$1000,0)),485,"")</f>
      </c>
      <c r="B487" s="133">
        <f>IFERROR(INDEX(Однолинейка!$A$1:$A$1000,MATCH(485,Однолинейка!$BV$1:$BV$1000,0)),"")</f>
      </c>
      <c r="C487" s="133">
        <f>IFERROR(INDEX(Однолинейка!$G$1:$G$1000,MATCH(485,Однолинейка!$BV$1:$BV$1000,0))&amp;IF(INDEX(Однолинейка!$P$1:$P$1000,MATCH(485,Однолинейка!$BV$1:$BV$1000,0))="","","/"&amp;INDEX(Однолинейка!$P$1:$P$1000,MATCH(485,Однолинейка!$BV$1:$BV$1000,0))),"")</f>
      </c>
      <c r="D487" s="133">
        <f>IFERROR(INDEX(Однолинейка!$R$1:$R$1000,MATCH(485,Однолинейка!$BV$1:$BV$1000,0)),"")</f>
      </c>
      <c r="E487" s="133">
        <f>IFERROR(INDEX(Однолинейка!$S$1:$S$1000,MATCH(485,Однолинейка!$BV$1:$BV$1000,0)),"")</f>
      </c>
      <c r="F487" s="133">
        <f>IFERROR(INDEX(Однолинейка!$Q$1:$Q$1000,MATCH(485,Однолинейка!$BV$1:$BV$1000,0)),"")</f>
      </c>
    </row>
    <row r="488">
      <c r="A488" s="133">
        <f>IF(ISNUMBER(MATCH(486,Однолинейка!$BV$1:$BV$1000,0)),486,"")</f>
      </c>
      <c r="B488" s="133">
        <f>IFERROR(INDEX(Однолинейка!$A$1:$A$1000,MATCH(486,Однолинейка!$BV$1:$BV$1000,0)),"")</f>
      </c>
      <c r="C488" s="133">
        <f>IFERROR(INDEX(Однолинейка!$G$1:$G$1000,MATCH(486,Однолинейка!$BV$1:$BV$1000,0))&amp;IF(INDEX(Однолинейка!$P$1:$P$1000,MATCH(486,Однолинейка!$BV$1:$BV$1000,0))="","","/"&amp;INDEX(Однолинейка!$P$1:$P$1000,MATCH(486,Однолинейка!$BV$1:$BV$1000,0))),"")</f>
      </c>
      <c r="D488" s="133">
        <f>IFERROR(INDEX(Однолинейка!$R$1:$R$1000,MATCH(486,Однолинейка!$BV$1:$BV$1000,0)),"")</f>
      </c>
      <c r="E488" s="133">
        <f>IFERROR(INDEX(Однолинейка!$S$1:$S$1000,MATCH(486,Однолинейка!$BV$1:$BV$1000,0)),"")</f>
      </c>
      <c r="F488" s="133">
        <f>IFERROR(INDEX(Однолинейка!$Q$1:$Q$1000,MATCH(486,Однолинейка!$BV$1:$BV$1000,0)),"")</f>
      </c>
    </row>
    <row r="489">
      <c r="A489" s="133">
        <f>IF(ISNUMBER(MATCH(487,Однолинейка!$BV$1:$BV$1000,0)),487,"")</f>
      </c>
      <c r="B489" s="133">
        <f>IFERROR(INDEX(Однолинейка!$A$1:$A$1000,MATCH(487,Однолинейка!$BV$1:$BV$1000,0)),"")</f>
      </c>
      <c r="C489" s="133">
        <f>IFERROR(INDEX(Однолинейка!$G$1:$G$1000,MATCH(487,Однолинейка!$BV$1:$BV$1000,0))&amp;IF(INDEX(Однолинейка!$P$1:$P$1000,MATCH(487,Однолинейка!$BV$1:$BV$1000,0))="","","/"&amp;INDEX(Однолинейка!$P$1:$P$1000,MATCH(487,Однолинейка!$BV$1:$BV$1000,0))),"")</f>
      </c>
      <c r="D489" s="133">
        <f>IFERROR(INDEX(Однолинейка!$R$1:$R$1000,MATCH(487,Однолинейка!$BV$1:$BV$1000,0)),"")</f>
      </c>
      <c r="E489" s="133">
        <f>IFERROR(INDEX(Однолинейка!$S$1:$S$1000,MATCH(487,Однолинейка!$BV$1:$BV$1000,0)),"")</f>
      </c>
      <c r="F489" s="133">
        <f>IFERROR(INDEX(Однолинейка!$Q$1:$Q$1000,MATCH(487,Однолинейка!$BV$1:$BV$1000,0)),"")</f>
      </c>
    </row>
    <row r="490">
      <c r="A490" s="133">
        <f>IF(ISNUMBER(MATCH(488,Однолинейка!$BV$1:$BV$1000,0)),488,"")</f>
      </c>
      <c r="B490" s="133">
        <f>IFERROR(INDEX(Однолинейка!$A$1:$A$1000,MATCH(488,Однолинейка!$BV$1:$BV$1000,0)),"")</f>
      </c>
      <c r="C490" s="133">
        <f>IFERROR(INDEX(Однолинейка!$G$1:$G$1000,MATCH(488,Однолинейка!$BV$1:$BV$1000,0))&amp;IF(INDEX(Однолинейка!$P$1:$P$1000,MATCH(488,Однолинейка!$BV$1:$BV$1000,0))="","","/"&amp;INDEX(Однолинейка!$P$1:$P$1000,MATCH(488,Однолинейка!$BV$1:$BV$1000,0))),"")</f>
      </c>
      <c r="D490" s="133">
        <f>IFERROR(INDEX(Однолинейка!$R$1:$R$1000,MATCH(488,Однолинейка!$BV$1:$BV$1000,0)),"")</f>
      </c>
      <c r="E490" s="133">
        <f>IFERROR(INDEX(Однолинейка!$S$1:$S$1000,MATCH(488,Однолинейка!$BV$1:$BV$1000,0)),"")</f>
      </c>
      <c r="F490" s="133">
        <f>IFERROR(INDEX(Однолинейка!$Q$1:$Q$1000,MATCH(488,Однолинейка!$BV$1:$BV$1000,0)),"")</f>
      </c>
    </row>
    <row r="491">
      <c r="A491" s="133">
        <f>IF(ISNUMBER(MATCH(489,Однолинейка!$BV$1:$BV$1000,0)),489,"")</f>
      </c>
      <c r="B491" s="133">
        <f>IFERROR(INDEX(Однолинейка!$A$1:$A$1000,MATCH(489,Однолинейка!$BV$1:$BV$1000,0)),"")</f>
      </c>
      <c r="C491" s="133">
        <f>IFERROR(INDEX(Однолинейка!$G$1:$G$1000,MATCH(489,Однолинейка!$BV$1:$BV$1000,0))&amp;IF(INDEX(Однолинейка!$P$1:$P$1000,MATCH(489,Однолинейка!$BV$1:$BV$1000,0))="","","/"&amp;INDEX(Однолинейка!$P$1:$P$1000,MATCH(489,Однолинейка!$BV$1:$BV$1000,0))),"")</f>
      </c>
      <c r="D491" s="133">
        <f>IFERROR(INDEX(Однолинейка!$R$1:$R$1000,MATCH(489,Однолинейка!$BV$1:$BV$1000,0)),"")</f>
      </c>
      <c r="E491" s="133">
        <f>IFERROR(INDEX(Однолинейка!$S$1:$S$1000,MATCH(489,Однолинейка!$BV$1:$BV$1000,0)),"")</f>
      </c>
      <c r="F491" s="133">
        <f>IFERROR(INDEX(Однолинейка!$Q$1:$Q$1000,MATCH(489,Однолинейка!$BV$1:$BV$1000,0)),"")</f>
      </c>
    </row>
    <row r="492">
      <c r="A492" s="133">
        <f>IF(ISNUMBER(MATCH(490,Однолинейка!$BV$1:$BV$1000,0)),490,"")</f>
      </c>
      <c r="B492" s="133">
        <f>IFERROR(INDEX(Однолинейка!$A$1:$A$1000,MATCH(490,Однолинейка!$BV$1:$BV$1000,0)),"")</f>
      </c>
      <c r="C492" s="133">
        <f>IFERROR(INDEX(Однолинейка!$G$1:$G$1000,MATCH(490,Однолинейка!$BV$1:$BV$1000,0))&amp;IF(INDEX(Однолинейка!$P$1:$P$1000,MATCH(490,Однолинейка!$BV$1:$BV$1000,0))="","","/"&amp;INDEX(Однолинейка!$P$1:$P$1000,MATCH(490,Однолинейка!$BV$1:$BV$1000,0))),"")</f>
      </c>
      <c r="D492" s="133">
        <f>IFERROR(INDEX(Однолинейка!$R$1:$R$1000,MATCH(490,Однолинейка!$BV$1:$BV$1000,0)),"")</f>
      </c>
      <c r="E492" s="133">
        <f>IFERROR(INDEX(Однолинейка!$S$1:$S$1000,MATCH(490,Однолинейка!$BV$1:$BV$1000,0)),"")</f>
      </c>
      <c r="F492" s="133">
        <f>IFERROR(INDEX(Однолинейка!$Q$1:$Q$1000,MATCH(490,Однолинейка!$BV$1:$BV$1000,0)),"")</f>
      </c>
    </row>
    <row r="493">
      <c r="A493" s="133">
        <f>IF(ISNUMBER(MATCH(491,Однолинейка!$BV$1:$BV$1000,0)),491,"")</f>
      </c>
      <c r="B493" s="133">
        <f>IFERROR(INDEX(Однолинейка!$A$1:$A$1000,MATCH(491,Однолинейка!$BV$1:$BV$1000,0)),"")</f>
      </c>
      <c r="C493" s="133">
        <f>IFERROR(INDEX(Однолинейка!$G$1:$G$1000,MATCH(491,Однолинейка!$BV$1:$BV$1000,0))&amp;IF(INDEX(Однолинейка!$P$1:$P$1000,MATCH(491,Однолинейка!$BV$1:$BV$1000,0))="","","/"&amp;INDEX(Однолинейка!$P$1:$P$1000,MATCH(491,Однолинейка!$BV$1:$BV$1000,0))),"")</f>
      </c>
      <c r="D493" s="133">
        <f>IFERROR(INDEX(Однолинейка!$R$1:$R$1000,MATCH(491,Однолинейка!$BV$1:$BV$1000,0)),"")</f>
      </c>
      <c r="E493" s="133">
        <f>IFERROR(INDEX(Однолинейка!$S$1:$S$1000,MATCH(491,Однолинейка!$BV$1:$BV$1000,0)),"")</f>
      </c>
      <c r="F493" s="133">
        <f>IFERROR(INDEX(Однолинейка!$Q$1:$Q$1000,MATCH(491,Однолинейка!$BV$1:$BV$1000,0)),"")</f>
      </c>
    </row>
    <row r="494">
      <c r="A494" s="133">
        <f>IF(ISNUMBER(MATCH(492,Однолинейка!$BV$1:$BV$1000,0)),492,"")</f>
      </c>
      <c r="B494" s="133">
        <f>IFERROR(INDEX(Однолинейка!$A$1:$A$1000,MATCH(492,Однолинейка!$BV$1:$BV$1000,0)),"")</f>
      </c>
      <c r="C494" s="133">
        <f>IFERROR(INDEX(Однолинейка!$G$1:$G$1000,MATCH(492,Однолинейка!$BV$1:$BV$1000,0))&amp;IF(INDEX(Однолинейка!$P$1:$P$1000,MATCH(492,Однолинейка!$BV$1:$BV$1000,0))="","","/"&amp;INDEX(Однолинейка!$P$1:$P$1000,MATCH(492,Однолинейка!$BV$1:$BV$1000,0))),"")</f>
      </c>
      <c r="D494" s="133">
        <f>IFERROR(INDEX(Однолинейка!$R$1:$R$1000,MATCH(492,Однолинейка!$BV$1:$BV$1000,0)),"")</f>
      </c>
      <c r="E494" s="133">
        <f>IFERROR(INDEX(Однолинейка!$S$1:$S$1000,MATCH(492,Однолинейка!$BV$1:$BV$1000,0)),"")</f>
      </c>
      <c r="F494" s="133">
        <f>IFERROR(INDEX(Однолинейка!$Q$1:$Q$1000,MATCH(492,Однолинейка!$BV$1:$BV$1000,0)),"")</f>
      </c>
    </row>
    <row r="495">
      <c r="A495" s="133">
        <f>IF(ISNUMBER(MATCH(493,Однолинейка!$BV$1:$BV$1000,0)),493,"")</f>
      </c>
      <c r="B495" s="133">
        <f>IFERROR(INDEX(Однолинейка!$A$1:$A$1000,MATCH(493,Однолинейка!$BV$1:$BV$1000,0)),"")</f>
      </c>
      <c r="C495" s="133">
        <f>IFERROR(INDEX(Однолинейка!$G$1:$G$1000,MATCH(493,Однолинейка!$BV$1:$BV$1000,0))&amp;IF(INDEX(Однолинейка!$P$1:$P$1000,MATCH(493,Однолинейка!$BV$1:$BV$1000,0))="","","/"&amp;INDEX(Однолинейка!$P$1:$P$1000,MATCH(493,Однолинейка!$BV$1:$BV$1000,0))),"")</f>
      </c>
      <c r="D495" s="133">
        <f>IFERROR(INDEX(Однолинейка!$R$1:$R$1000,MATCH(493,Однолинейка!$BV$1:$BV$1000,0)),"")</f>
      </c>
      <c r="E495" s="133">
        <f>IFERROR(INDEX(Однолинейка!$S$1:$S$1000,MATCH(493,Однолинейка!$BV$1:$BV$1000,0)),"")</f>
      </c>
      <c r="F495" s="133">
        <f>IFERROR(INDEX(Однолинейка!$Q$1:$Q$1000,MATCH(493,Однолинейка!$BV$1:$BV$1000,0)),"")</f>
      </c>
    </row>
    <row r="496">
      <c r="A496" s="133">
        <f>IF(ISNUMBER(MATCH(494,Однолинейка!$BV$1:$BV$1000,0)),494,"")</f>
      </c>
      <c r="B496" s="133">
        <f>IFERROR(INDEX(Однолинейка!$A$1:$A$1000,MATCH(494,Однолинейка!$BV$1:$BV$1000,0)),"")</f>
      </c>
      <c r="C496" s="133">
        <f>IFERROR(INDEX(Однолинейка!$G$1:$G$1000,MATCH(494,Однолинейка!$BV$1:$BV$1000,0))&amp;IF(INDEX(Однолинейка!$P$1:$P$1000,MATCH(494,Однолинейка!$BV$1:$BV$1000,0))="","","/"&amp;INDEX(Однолинейка!$P$1:$P$1000,MATCH(494,Однолинейка!$BV$1:$BV$1000,0))),"")</f>
      </c>
      <c r="D496" s="133">
        <f>IFERROR(INDEX(Однолинейка!$R$1:$R$1000,MATCH(494,Однолинейка!$BV$1:$BV$1000,0)),"")</f>
      </c>
      <c r="E496" s="133">
        <f>IFERROR(INDEX(Однолинейка!$S$1:$S$1000,MATCH(494,Однолинейка!$BV$1:$BV$1000,0)),"")</f>
      </c>
      <c r="F496" s="133">
        <f>IFERROR(INDEX(Однолинейка!$Q$1:$Q$1000,MATCH(494,Однолинейка!$BV$1:$BV$1000,0)),"")</f>
      </c>
    </row>
    <row r="497">
      <c r="A497" s="133">
        <f>IF(ISNUMBER(MATCH(495,Однолинейка!$BV$1:$BV$1000,0)),495,"")</f>
      </c>
      <c r="B497" s="133">
        <f>IFERROR(INDEX(Однолинейка!$A$1:$A$1000,MATCH(495,Однолинейка!$BV$1:$BV$1000,0)),"")</f>
      </c>
      <c r="C497" s="133">
        <f>IFERROR(INDEX(Однолинейка!$G$1:$G$1000,MATCH(495,Однолинейка!$BV$1:$BV$1000,0))&amp;IF(INDEX(Однолинейка!$P$1:$P$1000,MATCH(495,Однолинейка!$BV$1:$BV$1000,0))="","","/"&amp;INDEX(Однолинейка!$P$1:$P$1000,MATCH(495,Однолинейка!$BV$1:$BV$1000,0))),"")</f>
      </c>
      <c r="D497" s="133">
        <f>IFERROR(INDEX(Однолинейка!$R$1:$R$1000,MATCH(495,Однолинейка!$BV$1:$BV$1000,0)),"")</f>
      </c>
      <c r="E497" s="133">
        <f>IFERROR(INDEX(Однолинейка!$S$1:$S$1000,MATCH(495,Однолинейка!$BV$1:$BV$1000,0)),"")</f>
      </c>
      <c r="F497" s="133">
        <f>IFERROR(INDEX(Однолинейка!$Q$1:$Q$1000,MATCH(495,Однолинейка!$BV$1:$BV$1000,0)),"")</f>
      </c>
    </row>
    <row r="498">
      <c r="A498" s="133">
        <f>IF(ISNUMBER(MATCH(496,Однолинейка!$BV$1:$BV$1000,0)),496,"")</f>
      </c>
      <c r="B498" s="133">
        <f>IFERROR(INDEX(Однолинейка!$A$1:$A$1000,MATCH(496,Однолинейка!$BV$1:$BV$1000,0)),"")</f>
      </c>
      <c r="C498" s="133">
        <f>IFERROR(INDEX(Однолинейка!$G$1:$G$1000,MATCH(496,Однолинейка!$BV$1:$BV$1000,0))&amp;IF(INDEX(Однолинейка!$P$1:$P$1000,MATCH(496,Однолинейка!$BV$1:$BV$1000,0))="","","/"&amp;INDEX(Однолинейка!$P$1:$P$1000,MATCH(496,Однолинейка!$BV$1:$BV$1000,0))),"")</f>
      </c>
      <c r="D498" s="133">
        <f>IFERROR(INDEX(Однолинейка!$R$1:$R$1000,MATCH(496,Однолинейка!$BV$1:$BV$1000,0)),"")</f>
      </c>
      <c r="E498" s="133">
        <f>IFERROR(INDEX(Однолинейка!$S$1:$S$1000,MATCH(496,Однолинейка!$BV$1:$BV$1000,0)),"")</f>
      </c>
      <c r="F498" s="133">
        <f>IFERROR(INDEX(Однолинейка!$Q$1:$Q$1000,MATCH(496,Однолинейка!$BV$1:$BV$1000,0)),"")</f>
      </c>
    </row>
    <row r="499">
      <c r="A499" s="133">
        <f>IF(ISNUMBER(MATCH(497,Однолинейка!$BV$1:$BV$1000,0)),497,"")</f>
      </c>
      <c r="B499" s="133">
        <f>IFERROR(INDEX(Однолинейка!$A$1:$A$1000,MATCH(497,Однолинейка!$BV$1:$BV$1000,0)),"")</f>
      </c>
      <c r="C499" s="133">
        <f>IFERROR(INDEX(Однолинейка!$G$1:$G$1000,MATCH(497,Однолинейка!$BV$1:$BV$1000,0))&amp;IF(INDEX(Однолинейка!$P$1:$P$1000,MATCH(497,Однолинейка!$BV$1:$BV$1000,0))="","","/"&amp;INDEX(Однолинейка!$P$1:$P$1000,MATCH(497,Однолинейка!$BV$1:$BV$1000,0))),"")</f>
      </c>
      <c r="D499" s="133">
        <f>IFERROR(INDEX(Однолинейка!$R$1:$R$1000,MATCH(497,Однолинейка!$BV$1:$BV$1000,0)),"")</f>
      </c>
      <c r="E499" s="133">
        <f>IFERROR(INDEX(Однолинейка!$S$1:$S$1000,MATCH(497,Однолинейка!$BV$1:$BV$1000,0)),"")</f>
      </c>
      <c r="F499" s="133">
        <f>IFERROR(INDEX(Однолинейка!$Q$1:$Q$1000,MATCH(497,Однолинейка!$BV$1:$BV$1000,0)),"")</f>
      </c>
    </row>
    <row r="500">
      <c r="A500" s="133">
        <f>IF(ISNUMBER(MATCH(498,Однолинейка!$BV$1:$BV$1000,0)),498,"")</f>
      </c>
      <c r="B500" s="133">
        <f>IFERROR(INDEX(Однолинейка!$A$1:$A$1000,MATCH(498,Однолинейка!$BV$1:$BV$1000,0)),"")</f>
      </c>
      <c r="C500" s="133">
        <f>IFERROR(INDEX(Однолинейка!$G$1:$G$1000,MATCH(498,Однолинейка!$BV$1:$BV$1000,0))&amp;IF(INDEX(Однолинейка!$P$1:$P$1000,MATCH(498,Однолинейка!$BV$1:$BV$1000,0))="","","/"&amp;INDEX(Однолинейка!$P$1:$P$1000,MATCH(498,Однолинейка!$BV$1:$BV$1000,0))),"")</f>
      </c>
      <c r="D500" s="133">
        <f>IFERROR(INDEX(Однолинейка!$R$1:$R$1000,MATCH(498,Однолинейка!$BV$1:$BV$1000,0)),"")</f>
      </c>
      <c r="E500" s="133">
        <f>IFERROR(INDEX(Однолинейка!$S$1:$S$1000,MATCH(498,Однолинейка!$BV$1:$BV$1000,0)),"")</f>
      </c>
      <c r="F500" s="133">
        <f>IFERROR(INDEX(Однолинейка!$Q$1:$Q$1000,MATCH(498,Однолинейка!$BV$1:$BV$1000,0)),"")</f>
      </c>
    </row>
    <row r="501">
      <c r="A501" s="133">
        <f>IF(ISNUMBER(MATCH(499,Однолинейка!$BV$1:$BV$1000,0)),499,"")</f>
      </c>
      <c r="B501" s="133">
        <f>IFERROR(INDEX(Однолинейка!$A$1:$A$1000,MATCH(499,Однолинейка!$BV$1:$BV$1000,0)),"")</f>
      </c>
      <c r="C501" s="133">
        <f>IFERROR(INDEX(Однолинейка!$G$1:$G$1000,MATCH(499,Однолинейка!$BV$1:$BV$1000,0))&amp;IF(INDEX(Однолинейка!$P$1:$P$1000,MATCH(499,Однолинейка!$BV$1:$BV$1000,0))="","","/"&amp;INDEX(Однолинейка!$P$1:$P$1000,MATCH(499,Однолинейка!$BV$1:$BV$1000,0))),"")</f>
      </c>
      <c r="D501" s="133">
        <f>IFERROR(INDEX(Однолинейка!$R$1:$R$1000,MATCH(499,Однолинейка!$BV$1:$BV$1000,0)),"")</f>
      </c>
      <c r="E501" s="133">
        <f>IFERROR(INDEX(Однолинейка!$S$1:$S$1000,MATCH(499,Однолинейка!$BV$1:$BV$1000,0)),"")</f>
      </c>
      <c r="F501" s="133">
        <f>IFERROR(INDEX(Однолинейка!$Q$1:$Q$1000,MATCH(499,Однолинейка!$BV$1:$BV$1000,0)),"")</f>
      </c>
    </row>
    <row r="502">
      <c r="A502" s="133">
        <f>IF(ISNUMBER(MATCH(500,Однолинейка!$BV$1:$BV$1000,0)),500,"")</f>
      </c>
      <c r="B502" s="133">
        <f>IFERROR(INDEX(Однолинейка!$A$1:$A$1000,MATCH(500,Однолинейка!$BV$1:$BV$1000,0)),"")</f>
      </c>
      <c r="C502" s="133">
        <f>IFERROR(INDEX(Однолинейка!$G$1:$G$1000,MATCH(500,Однолинейка!$BV$1:$BV$1000,0))&amp;IF(INDEX(Однолинейка!$P$1:$P$1000,MATCH(500,Однолинейка!$BV$1:$BV$1000,0))="","","/"&amp;INDEX(Однолинейка!$P$1:$P$1000,MATCH(500,Однолинейка!$BV$1:$BV$1000,0))),"")</f>
      </c>
      <c r="D502" s="133">
        <f>IFERROR(INDEX(Однолинейка!$R$1:$R$1000,MATCH(500,Однолинейка!$BV$1:$BV$1000,0)),"")</f>
      </c>
      <c r="E502" s="133">
        <f>IFERROR(INDEX(Однолинейка!$S$1:$S$1000,MATCH(500,Однолинейка!$BV$1:$BV$1000,0)),"")</f>
      </c>
      <c r="F502" s="133">
        <f>IFERROR(INDEX(Однолинейка!$Q$1:$Q$1000,MATCH(500,Однолинейка!$BV$1:$BV$1000,0)),"")</f>
      </c>
    </row>
    <row r="503">
      <c r="A503" s="133">
        <f>IF(ISNUMBER(MATCH(501,Однолинейка!$BV$1:$BV$1000,0)),501,"")</f>
      </c>
      <c r="B503" s="133">
        <f>IFERROR(INDEX(Однолинейка!$A$1:$A$1000,MATCH(501,Однолинейка!$BV$1:$BV$1000,0)),"")</f>
      </c>
      <c r="C503" s="133">
        <f>IFERROR(INDEX(Однолинейка!$G$1:$G$1000,MATCH(501,Однолинейка!$BV$1:$BV$1000,0))&amp;IF(INDEX(Однолинейка!$P$1:$P$1000,MATCH(501,Однолинейка!$BV$1:$BV$1000,0))="","","/"&amp;INDEX(Однолинейка!$P$1:$P$1000,MATCH(501,Однолинейка!$BV$1:$BV$1000,0))),"")</f>
      </c>
      <c r="D503" s="133">
        <f>IFERROR(INDEX(Однолинейка!$R$1:$R$1000,MATCH(501,Однолинейка!$BV$1:$BV$1000,0)),"")</f>
      </c>
      <c r="E503" s="133">
        <f>IFERROR(INDEX(Однолинейка!$S$1:$S$1000,MATCH(501,Однолинейка!$BV$1:$BV$1000,0)),"")</f>
      </c>
      <c r="F503" s="133">
        <f>IFERROR(INDEX(Однолинейка!$Q$1:$Q$1000,MATCH(501,Однолинейка!$BV$1:$BV$1000,0)),"")</f>
      </c>
    </row>
    <row r="504">
      <c r="A504" s="133">
        <f>IF(ISNUMBER(MATCH(502,Однолинейка!$BV$1:$BV$1000,0)),502,"")</f>
      </c>
      <c r="B504" s="133">
        <f>IFERROR(INDEX(Однолинейка!$A$1:$A$1000,MATCH(502,Однолинейка!$BV$1:$BV$1000,0)),"")</f>
      </c>
      <c r="C504" s="133">
        <f>IFERROR(INDEX(Однолинейка!$G$1:$G$1000,MATCH(502,Однолинейка!$BV$1:$BV$1000,0))&amp;IF(INDEX(Однолинейка!$P$1:$P$1000,MATCH(502,Однолинейка!$BV$1:$BV$1000,0))="","","/"&amp;INDEX(Однолинейка!$P$1:$P$1000,MATCH(502,Однолинейка!$BV$1:$BV$1000,0))),"")</f>
      </c>
      <c r="D504" s="133">
        <f>IFERROR(INDEX(Однолинейка!$R$1:$R$1000,MATCH(502,Однолинейка!$BV$1:$BV$1000,0)),"")</f>
      </c>
      <c r="E504" s="133">
        <f>IFERROR(INDEX(Однолинейка!$S$1:$S$1000,MATCH(502,Однолинейка!$BV$1:$BV$1000,0)),"")</f>
      </c>
      <c r="F504" s="133">
        <f>IFERROR(INDEX(Однолинейка!$Q$1:$Q$1000,MATCH(502,Однолинейка!$BV$1:$BV$1000,0)),"")</f>
      </c>
    </row>
    <row r="505">
      <c r="A505" s="133">
        <f>IF(ISNUMBER(MATCH(503,Однолинейка!$BV$1:$BV$1000,0)),503,"")</f>
      </c>
      <c r="B505" s="133">
        <f>IFERROR(INDEX(Однолинейка!$A$1:$A$1000,MATCH(503,Однолинейка!$BV$1:$BV$1000,0)),"")</f>
      </c>
      <c r="C505" s="133">
        <f>IFERROR(INDEX(Однолинейка!$G$1:$G$1000,MATCH(503,Однолинейка!$BV$1:$BV$1000,0))&amp;IF(INDEX(Однолинейка!$P$1:$P$1000,MATCH(503,Однолинейка!$BV$1:$BV$1000,0))="","","/"&amp;INDEX(Однолинейка!$P$1:$P$1000,MATCH(503,Однолинейка!$BV$1:$BV$1000,0))),"")</f>
      </c>
      <c r="D505" s="133">
        <f>IFERROR(INDEX(Однолинейка!$R$1:$R$1000,MATCH(503,Однолинейка!$BV$1:$BV$1000,0)),"")</f>
      </c>
      <c r="E505" s="133">
        <f>IFERROR(INDEX(Однолинейка!$S$1:$S$1000,MATCH(503,Однолинейка!$BV$1:$BV$1000,0)),"")</f>
      </c>
      <c r="F505" s="133">
        <f>IFERROR(INDEX(Однолинейка!$Q$1:$Q$1000,MATCH(503,Однолинейка!$BV$1:$BV$1000,0)),"")</f>
      </c>
    </row>
    <row r="506">
      <c r="A506" s="133">
        <f>IF(ISNUMBER(MATCH(504,Однолинейка!$BV$1:$BV$1000,0)),504,"")</f>
      </c>
      <c r="B506" s="133">
        <f>IFERROR(INDEX(Однолинейка!$A$1:$A$1000,MATCH(504,Однолинейка!$BV$1:$BV$1000,0)),"")</f>
      </c>
      <c r="C506" s="133">
        <f>IFERROR(INDEX(Однолинейка!$G$1:$G$1000,MATCH(504,Однолинейка!$BV$1:$BV$1000,0))&amp;IF(INDEX(Однолинейка!$P$1:$P$1000,MATCH(504,Однолинейка!$BV$1:$BV$1000,0))="","","/"&amp;INDEX(Однолинейка!$P$1:$P$1000,MATCH(504,Однолинейка!$BV$1:$BV$1000,0))),"")</f>
      </c>
      <c r="D506" s="133">
        <f>IFERROR(INDEX(Однолинейка!$R$1:$R$1000,MATCH(504,Однолинейка!$BV$1:$BV$1000,0)),"")</f>
      </c>
      <c r="E506" s="133">
        <f>IFERROR(INDEX(Однолинейка!$S$1:$S$1000,MATCH(504,Однолинейка!$BV$1:$BV$1000,0)),"")</f>
      </c>
      <c r="F506" s="133">
        <f>IFERROR(INDEX(Однолинейка!$Q$1:$Q$1000,MATCH(504,Однолинейка!$BV$1:$BV$1000,0)),"")</f>
      </c>
    </row>
    <row r="507">
      <c r="A507" s="133">
        <f>IF(ISNUMBER(MATCH(505,Однолинейка!$BV$1:$BV$1000,0)),505,"")</f>
      </c>
      <c r="B507" s="133">
        <f>IFERROR(INDEX(Однолинейка!$A$1:$A$1000,MATCH(505,Однолинейка!$BV$1:$BV$1000,0)),"")</f>
      </c>
      <c r="C507" s="133">
        <f>IFERROR(INDEX(Однолинейка!$G$1:$G$1000,MATCH(505,Однолинейка!$BV$1:$BV$1000,0))&amp;IF(INDEX(Однолинейка!$P$1:$P$1000,MATCH(505,Однолинейка!$BV$1:$BV$1000,0))="","","/"&amp;INDEX(Однолинейка!$P$1:$P$1000,MATCH(505,Однолинейка!$BV$1:$BV$1000,0))),"")</f>
      </c>
      <c r="D507" s="133">
        <f>IFERROR(INDEX(Однолинейка!$R$1:$R$1000,MATCH(505,Однолинейка!$BV$1:$BV$1000,0)),"")</f>
      </c>
      <c r="E507" s="133">
        <f>IFERROR(INDEX(Однолинейка!$S$1:$S$1000,MATCH(505,Однолинейка!$BV$1:$BV$1000,0)),"")</f>
      </c>
      <c r="F507" s="133">
        <f>IFERROR(INDEX(Однолинейка!$Q$1:$Q$1000,MATCH(505,Однолинейка!$BV$1:$BV$1000,0)),"")</f>
      </c>
    </row>
    <row r="508">
      <c r="A508" s="133">
        <f>IF(ISNUMBER(MATCH(506,Однолинейка!$BV$1:$BV$1000,0)),506,"")</f>
      </c>
      <c r="B508" s="133">
        <f>IFERROR(INDEX(Однолинейка!$A$1:$A$1000,MATCH(506,Однолинейка!$BV$1:$BV$1000,0)),"")</f>
      </c>
      <c r="C508" s="133">
        <f>IFERROR(INDEX(Однолинейка!$G$1:$G$1000,MATCH(506,Однолинейка!$BV$1:$BV$1000,0))&amp;IF(INDEX(Однолинейка!$P$1:$P$1000,MATCH(506,Однолинейка!$BV$1:$BV$1000,0))="","","/"&amp;INDEX(Однолинейка!$P$1:$P$1000,MATCH(506,Однолинейка!$BV$1:$BV$1000,0))),"")</f>
      </c>
      <c r="D508" s="133">
        <f>IFERROR(INDEX(Однолинейка!$R$1:$R$1000,MATCH(506,Однолинейка!$BV$1:$BV$1000,0)),"")</f>
      </c>
      <c r="E508" s="133">
        <f>IFERROR(INDEX(Однолинейка!$S$1:$S$1000,MATCH(506,Однолинейка!$BV$1:$BV$1000,0)),"")</f>
      </c>
      <c r="F508" s="133">
        <f>IFERROR(INDEX(Однолинейка!$Q$1:$Q$1000,MATCH(506,Однолинейка!$BV$1:$BV$1000,0)),"")</f>
      </c>
    </row>
    <row r="509">
      <c r="A509" s="133">
        <f>IF(ISNUMBER(MATCH(507,Однолинейка!$BV$1:$BV$1000,0)),507,"")</f>
      </c>
      <c r="B509" s="133">
        <f>IFERROR(INDEX(Однолинейка!$A$1:$A$1000,MATCH(507,Однолинейка!$BV$1:$BV$1000,0)),"")</f>
      </c>
      <c r="C509" s="133">
        <f>IFERROR(INDEX(Однолинейка!$G$1:$G$1000,MATCH(507,Однолинейка!$BV$1:$BV$1000,0))&amp;IF(INDEX(Однолинейка!$P$1:$P$1000,MATCH(507,Однолинейка!$BV$1:$BV$1000,0))="","","/"&amp;INDEX(Однолинейка!$P$1:$P$1000,MATCH(507,Однолинейка!$BV$1:$BV$1000,0))),"")</f>
      </c>
      <c r="D509" s="133">
        <f>IFERROR(INDEX(Однолинейка!$R$1:$R$1000,MATCH(507,Однолинейка!$BV$1:$BV$1000,0)),"")</f>
      </c>
      <c r="E509" s="133">
        <f>IFERROR(INDEX(Однолинейка!$S$1:$S$1000,MATCH(507,Однолинейка!$BV$1:$BV$1000,0)),"")</f>
      </c>
      <c r="F509" s="133">
        <f>IFERROR(INDEX(Однолинейка!$Q$1:$Q$1000,MATCH(507,Однолинейка!$BV$1:$BV$1000,0)),"")</f>
      </c>
    </row>
    <row r="510">
      <c r="A510" s="133">
        <f>IF(ISNUMBER(MATCH(508,Однолинейка!$BV$1:$BV$1000,0)),508,"")</f>
      </c>
      <c r="B510" s="133">
        <f>IFERROR(INDEX(Однолинейка!$A$1:$A$1000,MATCH(508,Однолинейка!$BV$1:$BV$1000,0)),"")</f>
      </c>
      <c r="C510" s="133">
        <f>IFERROR(INDEX(Однолинейка!$G$1:$G$1000,MATCH(508,Однолинейка!$BV$1:$BV$1000,0))&amp;IF(INDEX(Однолинейка!$P$1:$P$1000,MATCH(508,Однолинейка!$BV$1:$BV$1000,0))="","","/"&amp;INDEX(Однолинейка!$P$1:$P$1000,MATCH(508,Однолинейка!$BV$1:$BV$1000,0))),"")</f>
      </c>
      <c r="D510" s="133">
        <f>IFERROR(INDEX(Однолинейка!$R$1:$R$1000,MATCH(508,Однолинейка!$BV$1:$BV$1000,0)),"")</f>
      </c>
      <c r="E510" s="133">
        <f>IFERROR(INDEX(Однолинейка!$S$1:$S$1000,MATCH(508,Однолинейка!$BV$1:$BV$1000,0)),"")</f>
      </c>
      <c r="F510" s="133">
        <f>IFERROR(INDEX(Однолинейка!$Q$1:$Q$1000,MATCH(508,Однолинейка!$BV$1:$BV$1000,0)),"")</f>
      </c>
    </row>
    <row r="511">
      <c r="A511" s="133">
        <f>IF(ISNUMBER(MATCH(509,Однолинейка!$BV$1:$BV$1000,0)),509,"")</f>
      </c>
      <c r="B511" s="133">
        <f>IFERROR(INDEX(Однолинейка!$A$1:$A$1000,MATCH(509,Однолинейка!$BV$1:$BV$1000,0)),"")</f>
      </c>
      <c r="C511" s="133">
        <f>IFERROR(INDEX(Однолинейка!$G$1:$G$1000,MATCH(509,Однолинейка!$BV$1:$BV$1000,0))&amp;IF(INDEX(Однолинейка!$P$1:$P$1000,MATCH(509,Однолинейка!$BV$1:$BV$1000,0))="","","/"&amp;INDEX(Однолинейка!$P$1:$P$1000,MATCH(509,Однолинейка!$BV$1:$BV$1000,0))),"")</f>
      </c>
      <c r="D511" s="133">
        <f>IFERROR(INDEX(Однолинейка!$R$1:$R$1000,MATCH(509,Однолинейка!$BV$1:$BV$1000,0)),"")</f>
      </c>
      <c r="E511" s="133">
        <f>IFERROR(INDEX(Однолинейка!$S$1:$S$1000,MATCH(509,Однолинейка!$BV$1:$BV$1000,0)),"")</f>
      </c>
      <c r="F511" s="133">
        <f>IFERROR(INDEX(Однолинейка!$Q$1:$Q$1000,MATCH(509,Однолинейка!$BV$1:$BV$1000,0)),"")</f>
      </c>
    </row>
    <row r="512">
      <c r="A512" s="133">
        <f>IF(ISNUMBER(MATCH(510,Однолинейка!$BV$1:$BV$1000,0)),510,"")</f>
      </c>
      <c r="B512" s="133">
        <f>IFERROR(INDEX(Однолинейка!$A$1:$A$1000,MATCH(510,Однолинейка!$BV$1:$BV$1000,0)),"")</f>
      </c>
      <c r="C512" s="133">
        <f>IFERROR(INDEX(Однолинейка!$G$1:$G$1000,MATCH(510,Однолинейка!$BV$1:$BV$1000,0))&amp;IF(INDEX(Однолинейка!$P$1:$P$1000,MATCH(510,Однолинейка!$BV$1:$BV$1000,0))="","","/"&amp;INDEX(Однолинейка!$P$1:$P$1000,MATCH(510,Однолинейка!$BV$1:$BV$1000,0))),"")</f>
      </c>
      <c r="D512" s="133">
        <f>IFERROR(INDEX(Однолинейка!$R$1:$R$1000,MATCH(510,Однолинейка!$BV$1:$BV$1000,0)),"")</f>
      </c>
      <c r="E512" s="133">
        <f>IFERROR(INDEX(Однолинейка!$S$1:$S$1000,MATCH(510,Однолинейка!$BV$1:$BV$1000,0)),"")</f>
      </c>
      <c r="F512" s="133">
        <f>IFERROR(INDEX(Однолинейка!$Q$1:$Q$1000,MATCH(510,Однолинейка!$BV$1:$BV$1000,0)),"")</f>
      </c>
    </row>
    <row r="513">
      <c r="A513" s="133">
        <f>IF(ISNUMBER(MATCH(511,Однолинейка!$BV$1:$BV$1000,0)),511,"")</f>
      </c>
      <c r="B513" s="133">
        <f>IFERROR(INDEX(Однолинейка!$A$1:$A$1000,MATCH(511,Однолинейка!$BV$1:$BV$1000,0)),"")</f>
      </c>
      <c r="C513" s="133">
        <f>IFERROR(INDEX(Однолинейка!$G$1:$G$1000,MATCH(511,Однолинейка!$BV$1:$BV$1000,0))&amp;IF(INDEX(Однолинейка!$P$1:$P$1000,MATCH(511,Однолинейка!$BV$1:$BV$1000,0))="","","/"&amp;INDEX(Однолинейка!$P$1:$P$1000,MATCH(511,Однолинейка!$BV$1:$BV$1000,0))),"")</f>
      </c>
      <c r="D513" s="133">
        <f>IFERROR(INDEX(Однолинейка!$R$1:$R$1000,MATCH(511,Однолинейка!$BV$1:$BV$1000,0)),"")</f>
      </c>
      <c r="E513" s="133">
        <f>IFERROR(INDEX(Однолинейка!$S$1:$S$1000,MATCH(511,Однолинейка!$BV$1:$BV$1000,0)),"")</f>
      </c>
      <c r="F513" s="133">
        <f>IFERROR(INDEX(Однолинейка!$Q$1:$Q$1000,MATCH(511,Однолинейка!$BV$1:$BV$1000,0)),"")</f>
      </c>
    </row>
    <row r="514">
      <c r="A514" s="133">
        <f>IF(ISNUMBER(MATCH(512,Однолинейка!$BV$1:$BV$1000,0)),512,"")</f>
      </c>
      <c r="B514" s="133">
        <f>IFERROR(INDEX(Однолинейка!$A$1:$A$1000,MATCH(512,Однолинейка!$BV$1:$BV$1000,0)),"")</f>
      </c>
      <c r="C514" s="133">
        <f>IFERROR(INDEX(Однолинейка!$G$1:$G$1000,MATCH(512,Однолинейка!$BV$1:$BV$1000,0))&amp;IF(INDEX(Однолинейка!$P$1:$P$1000,MATCH(512,Однолинейка!$BV$1:$BV$1000,0))="","","/"&amp;INDEX(Однолинейка!$P$1:$P$1000,MATCH(512,Однолинейка!$BV$1:$BV$1000,0))),"")</f>
      </c>
      <c r="D514" s="133">
        <f>IFERROR(INDEX(Однолинейка!$R$1:$R$1000,MATCH(512,Однолинейка!$BV$1:$BV$1000,0)),"")</f>
      </c>
      <c r="E514" s="133">
        <f>IFERROR(INDEX(Однолинейка!$S$1:$S$1000,MATCH(512,Однолинейка!$BV$1:$BV$1000,0)),"")</f>
      </c>
      <c r="F514" s="133">
        <f>IFERROR(INDEX(Однолинейка!$Q$1:$Q$1000,MATCH(512,Однолинейка!$BV$1:$BV$1000,0)),"")</f>
      </c>
    </row>
    <row r="515">
      <c r="A515" s="133">
        <f>IF(ISNUMBER(MATCH(513,Однолинейка!$BV$1:$BV$1000,0)),513,"")</f>
      </c>
      <c r="B515" s="133">
        <f>IFERROR(INDEX(Однолинейка!$A$1:$A$1000,MATCH(513,Однолинейка!$BV$1:$BV$1000,0)),"")</f>
      </c>
      <c r="C515" s="133">
        <f>IFERROR(INDEX(Однолинейка!$G$1:$G$1000,MATCH(513,Однолинейка!$BV$1:$BV$1000,0))&amp;IF(INDEX(Однолинейка!$P$1:$P$1000,MATCH(513,Однолинейка!$BV$1:$BV$1000,0))="","","/"&amp;INDEX(Однолинейка!$P$1:$P$1000,MATCH(513,Однолинейка!$BV$1:$BV$1000,0))),"")</f>
      </c>
      <c r="D515" s="133">
        <f>IFERROR(INDEX(Однолинейка!$R$1:$R$1000,MATCH(513,Однолинейка!$BV$1:$BV$1000,0)),"")</f>
      </c>
      <c r="E515" s="133">
        <f>IFERROR(INDEX(Однолинейка!$S$1:$S$1000,MATCH(513,Однолинейка!$BV$1:$BV$1000,0)),"")</f>
      </c>
      <c r="F515" s="133">
        <f>IFERROR(INDEX(Однолинейка!$Q$1:$Q$1000,MATCH(513,Однолинейка!$BV$1:$BV$1000,0)),"")</f>
      </c>
    </row>
    <row r="516">
      <c r="A516" s="133">
        <f>IF(ISNUMBER(MATCH(514,Однолинейка!$BV$1:$BV$1000,0)),514,"")</f>
      </c>
      <c r="B516" s="133">
        <f>IFERROR(INDEX(Однолинейка!$A$1:$A$1000,MATCH(514,Однолинейка!$BV$1:$BV$1000,0)),"")</f>
      </c>
      <c r="C516" s="133">
        <f>IFERROR(INDEX(Однолинейка!$G$1:$G$1000,MATCH(514,Однолинейка!$BV$1:$BV$1000,0))&amp;IF(INDEX(Однолинейка!$P$1:$P$1000,MATCH(514,Однолинейка!$BV$1:$BV$1000,0))="","","/"&amp;INDEX(Однолинейка!$P$1:$P$1000,MATCH(514,Однолинейка!$BV$1:$BV$1000,0))),"")</f>
      </c>
      <c r="D516" s="133">
        <f>IFERROR(INDEX(Однолинейка!$R$1:$R$1000,MATCH(514,Однолинейка!$BV$1:$BV$1000,0)),"")</f>
      </c>
      <c r="E516" s="133">
        <f>IFERROR(INDEX(Однолинейка!$S$1:$S$1000,MATCH(514,Однолинейка!$BV$1:$BV$1000,0)),"")</f>
      </c>
      <c r="F516" s="133">
        <f>IFERROR(INDEX(Однолинейка!$Q$1:$Q$1000,MATCH(514,Однолинейка!$BV$1:$BV$1000,0)),"")</f>
      </c>
    </row>
    <row r="517">
      <c r="A517" s="133">
        <f>IF(ISNUMBER(MATCH(515,Однолинейка!$BV$1:$BV$1000,0)),515,"")</f>
      </c>
      <c r="B517" s="133">
        <f>IFERROR(INDEX(Однолинейка!$A$1:$A$1000,MATCH(515,Однолинейка!$BV$1:$BV$1000,0)),"")</f>
      </c>
      <c r="C517" s="133">
        <f>IFERROR(INDEX(Однолинейка!$G$1:$G$1000,MATCH(515,Однолинейка!$BV$1:$BV$1000,0))&amp;IF(INDEX(Однолинейка!$P$1:$P$1000,MATCH(515,Однолинейка!$BV$1:$BV$1000,0))="","","/"&amp;INDEX(Однолинейка!$P$1:$P$1000,MATCH(515,Однолинейка!$BV$1:$BV$1000,0))),"")</f>
      </c>
      <c r="D517" s="133">
        <f>IFERROR(INDEX(Однолинейка!$R$1:$R$1000,MATCH(515,Однолинейка!$BV$1:$BV$1000,0)),"")</f>
      </c>
      <c r="E517" s="133">
        <f>IFERROR(INDEX(Однолинейка!$S$1:$S$1000,MATCH(515,Однолинейка!$BV$1:$BV$1000,0)),"")</f>
      </c>
      <c r="F517" s="133">
        <f>IFERROR(INDEX(Однолинейка!$Q$1:$Q$1000,MATCH(515,Однолинейка!$BV$1:$BV$1000,0)),"")</f>
      </c>
    </row>
    <row r="518">
      <c r="A518" s="133">
        <f>IF(ISNUMBER(MATCH(516,Однолинейка!$BV$1:$BV$1000,0)),516,"")</f>
      </c>
      <c r="B518" s="133">
        <f>IFERROR(INDEX(Однолинейка!$A$1:$A$1000,MATCH(516,Однолинейка!$BV$1:$BV$1000,0)),"")</f>
      </c>
      <c r="C518" s="133">
        <f>IFERROR(INDEX(Однолинейка!$G$1:$G$1000,MATCH(516,Однолинейка!$BV$1:$BV$1000,0))&amp;IF(INDEX(Однолинейка!$P$1:$P$1000,MATCH(516,Однолинейка!$BV$1:$BV$1000,0))="","","/"&amp;INDEX(Однолинейка!$P$1:$P$1000,MATCH(516,Однолинейка!$BV$1:$BV$1000,0))),"")</f>
      </c>
      <c r="D518" s="133">
        <f>IFERROR(INDEX(Однолинейка!$R$1:$R$1000,MATCH(516,Однолинейка!$BV$1:$BV$1000,0)),"")</f>
      </c>
      <c r="E518" s="133">
        <f>IFERROR(INDEX(Однолинейка!$S$1:$S$1000,MATCH(516,Однолинейка!$BV$1:$BV$1000,0)),"")</f>
      </c>
      <c r="F518" s="133">
        <f>IFERROR(INDEX(Однолинейка!$Q$1:$Q$1000,MATCH(516,Однолинейка!$BV$1:$BV$1000,0)),"")</f>
      </c>
    </row>
    <row r="519">
      <c r="A519" s="133">
        <f>IF(ISNUMBER(MATCH(517,Однолинейка!$BV$1:$BV$1000,0)),517,"")</f>
      </c>
      <c r="B519" s="133">
        <f>IFERROR(INDEX(Однолинейка!$A$1:$A$1000,MATCH(517,Однолинейка!$BV$1:$BV$1000,0)),"")</f>
      </c>
      <c r="C519" s="133">
        <f>IFERROR(INDEX(Однолинейка!$G$1:$G$1000,MATCH(517,Однолинейка!$BV$1:$BV$1000,0))&amp;IF(INDEX(Однолинейка!$P$1:$P$1000,MATCH(517,Однолинейка!$BV$1:$BV$1000,0))="","","/"&amp;INDEX(Однолинейка!$P$1:$P$1000,MATCH(517,Однолинейка!$BV$1:$BV$1000,0))),"")</f>
      </c>
      <c r="D519" s="133">
        <f>IFERROR(INDEX(Однолинейка!$R$1:$R$1000,MATCH(517,Однолинейка!$BV$1:$BV$1000,0)),"")</f>
      </c>
      <c r="E519" s="133">
        <f>IFERROR(INDEX(Однолинейка!$S$1:$S$1000,MATCH(517,Однолинейка!$BV$1:$BV$1000,0)),"")</f>
      </c>
      <c r="F519" s="133">
        <f>IFERROR(INDEX(Однолинейка!$Q$1:$Q$1000,MATCH(517,Однолинейка!$BV$1:$BV$1000,0)),"")</f>
      </c>
    </row>
    <row r="520">
      <c r="A520" s="133">
        <f>IF(ISNUMBER(MATCH(518,Однолинейка!$BV$1:$BV$1000,0)),518,"")</f>
      </c>
      <c r="B520" s="133">
        <f>IFERROR(INDEX(Однолинейка!$A$1:$A$1000,MATCH(518,Однолинейка!$BV$1:$BV$1000,0)),"")</f>
      </c>
      <c r="C520" s="133">
        <f>IFERROR(INDEX(Однолинейка!$G$1:$G$1000,MATCH(518,Однолинейка!$BV$1:$BV$1000,0))&amp;IF(INDEX(Однолинейка!$P$1:$P$1000,MATCH(518,Однолинейка!$BV$1:$BV$1000,0))="","","/"&amp;INDEX(Однолинейка!$P$1:$P$1000,MATCH(518,Однолинейка!$BV$1:$BV$1000,0))),"")</f>
      </c>
      <c r="D520" s="133">
        <f>IFERROR(INDEX(Однолинейка!$R$1:$R$1000,MATCH(518,Однолинейка!$BV$1:$BV$1000,0)),"")</f>
      </c>
      <c r="E520" s="133">
        <f>IFERROR(INDEX(Однолинейка!$S$1:$S$1000,MATCH(518,Однолинейка!$BV$1:$BV$1000,0)),"")</f>
      </c>
      <c r="F520" s="133">
        <f>IFERROR(INDEX(Однолинейка!$Q$1:$Q$1000,MATCH(518,Однолинейка!$BV$1:$BV$1000,0)),"")</f>
      </c>
    </row>
    <row r="521">
      <c r="A521" s="133">
        <f>IF(ISNUMBER(MATCH(519,Однолинейка!$BV$1:$BV$1000,0)),519,"")</f>
      </c>
      <c r="B521" s="133">
        <f>IFERROR(INDEX(Однолинейка!$A$1:$A$1000,MATCH(519,Однолинейка!$BV$1:$BV$1000,0)),"")</f>
      </c>
      <c r="C521" s="133">
        <f>IFERROR(INDEX(Однолинейка!$G$1:$G$1000,MATCH(519,Однолинейка!$BV$1:$BV$1000,0))&amp;IF(INDEX(Однолинейка!$P$1:$P$1000,MATCH(519,Однолинейка!$BV$1:$BV$1000,0))="","","/"&amp;INDEX(Однолинейка!$P$1:$P$1000,MATCH(519,Однолинейка!$BV$1:$BV$1000,0))),"")</f>
      </c>
      <c r="D521" s="133">
        <f>IFERROR(INDEX(Однолинейка!$R$1:$R$1000,MATCH(519,Однолинейка!$BV$1:$BV$1000,0)),"")</f>
      </c>
      <c r="E521" s="133">
        <f>IFERROR(INDEX(Однолинейка!$S$1:$S$1000,MATCH(519,Однолинейка!$BV$1:$BV$1000,0)),"")</f>
      </c>
      <c r="F521" s="133">
        <f>IFERROR(INDEX(Однолинейка!$Q$1:$Q$1000,MATCH(519,Однолинейка!$BV$1:$BV$1000,0)),"")</f>
      </c>
    </row>
    <row r="522">
      <c r="A522" s="133">
        <f>IF(ISNUMBER(MATCH(520,Однолинейка!$BV$1:$BV$1000,0)),520,"")</f>
      </c>
      <c r="B522" s="133">
        <f>IFERROR(INDEX(Однолинейка!$A$1:$A$1000,MATCH(520,Однолинейка!$BV$1:$BV$1000,0)),"")</f>
      </c>
      <c r="C522" s="133">
        <f>IFERROR(INDEX(Однолинейка!$G$1:$G$1000,MATCH(520,Однолинейка!$BV$1:$BV$1000,0))&amp;IF(INDEX(Однолинейка!$P$1:$P$1000,MATCH(520,Однолинейка!$BV$1:$BV$1000,0))="","","/"&amp;INDEX(Однолинейка!$P$1:$P$1000,MATCH(520,Однолинейка!$BV$1:$BV$1000,0))),"")</f>
      </c>
      <c r="D522" s="133">
        <f>IFERROR(INDEX(Однолинейка!$R$1:$R$1000,MATCH(520,Однолинейка!$BV$1:$BV$1000,0)),"")</f>
      </c>
      <c r="E522" s="133">
        <f>IFERROR(INDEX(Однолинейка!$S$1:$S$1000,MATCH(520,Однолинейка!$BV$1:$BV$1000,0)),"")</f>
      </c>
      <c r="F522" s="133">
        <f>IFERROR(INDEX(Однолинейка!$Q$1:$Q$1000,MATCH(520,Однолинейка!$BV$1:$BV$1000,0)),"")</f>
      </c>
    </row>
    <row r="523">
      <c r="A523" s="133">
        <f>IF(ISNUMBER(MATCH(521,Однолинейка!$BV$1:$BV$1000,0)),521,"")</f>
      </c>
      <c r="B523" s="133">
        <f>IFERROR(INDEX(Однолинейка!$A$1:$A$1000,MATCH(521,Однолинейка!$BV$1:$BV$1000,0)),"")</f>
      </c>
      <c r="C523" s="133">
        <f>IFERROR(INDEX(Однолинейка!$G$1:$G$1000,MATCH(521,Однолинейка!$BV$1:$BV$1000,0))&amp;IF(INDEX(Однолинейка!$P$1:$P$1000,MATCH(521,Однолинейка!$BV$1:$BV$1000,0))="","","/"&amp;INDEX(Однолинейка!$P$1:$P$1000,MATCH(521,Однолинейка!$BV$1:$BV$1000,0))),"")</f>
      </c>
      <c r="D523" s="133">
        <f>IFERROR(INDEX(Однолинейка!$R$1:$R$1000,MATCH(521,Однолинейка!$BV$1:$BV$1000,0)),"")</f>
      </c>
      <c r="E523" s="133">
        <f>IFERROR(INDEX(Однолинейка!$S$1:$S$1000,MATCH(521,Однолинейка!$BV$1:$BV$1000,0)),"")</f>
      </c>
      <c r="F523" s="133">
        <f>IFERROR(INDEX(Однолинейка!$Q$1:$Q$1000,MATCH(521,Однолинейка!$BV$1:$BV$1000,0)),"")</f>
      </c>
    </row>
    <row r="524">
      <c r="A524" s="133">
        <f>IF(ISNUMBER(MATCH(522,Однолинейка!$BV$1:$BV$1000,0)),522,"")</f>
      </c>
      <c r="B524" s="133">
        <f>IFERROR(INDEX(Однолинейка!$A$1:$A$1000,MATCH(522,Однолинейка!$BV$1:$BV$1000,0)),"")</f>
      </c>
      <c r="C524" s="133">
        <f>IFERROR(INDEX(Однолинейка!$G$1:$G$1000,MATCH(522,Однолинейка!$BV$1:$BV$1000,0))&amp;IF(INDEX(Однолинейка!$P$1:$P$1000,MATCH(522,Однолинейка!$BV$1:$BV$1000,0))="","","/"&amp;INDEX(Однолинейка!$P$1:$P$1000,MATCH(522,Однолинейка!$BV$1:$BV$1000,0))),"")</f>
      </c>
      <c r="D524" s="133">
        <f>IFERROR(INDEX(Однолинейка!$R$1:$R$1000,MATCH(522,Однолинейка!$BV$1:$BV$1000,0)),"")</f>
      </c>
      <c r="E524" s="133">
        <f>IFERROR(INDEX(Однолинейка!$S$1:$S$1000,MATCH(522,Однолинейка!$BV$1:$BV$1000,0)),"")</f>
      </c>
      <c r="F524" s="133">
        <f>IFERROR(INDEX(Однолинейка!$Q$1:$Q$1000,MATCH(522,Однолинейка!$BV$1:$BV$1000,0)),"")</f>
      </c>
    </row>
    <row r="525">
      <c r="A525" s="133">
        <f>IF(ISNUMBER(MATCH(523,Однолинейка!$BV$1:$BV$1000,0)),523,"")</f>
      </c>
      <c r="B525" s="133">
        <f>IFERROR(INDEX(Однолинейка!$A$1:$A$1000,MATCH(523,Однолинейка!$BV$1:$BV$1000,0)),"")</f>
      </c>
      <c r="C525" s="133">
        <f>IFERROR(INDEX(Однолинейка!$G$1:$G$1000,MATCH(523,Однолинейка!$BV$1:$BV$1000,0))&amp;IF(INDEX(Однолинейка!$P$1:$P$1000,MATCH(523,Однолинейка!$BV$1:$BV$1000,0))="","","/"&amp;INDEX(Однолинейка!$P$1:$P$1000,MATCH(523,Однолинейка!$BV$1:$BV$1000,0))),"")</f>
      </c>
      <c r="D525" s="133">
        <f>IFERROR(INDEX(Однолинейка!$R$1:$R$1000,MATCH(523,Однолинейка!$BV$1:$BV$1000,0)),"")</f>
      </c>
      <c r="E525" s="133">
        <f>IFERROR(INDEX(Однолинейка!$S$1:$S$1000,MATCH(523,Однолинейка!$BV$1:$BV$1000,0)),"")</f>
      </c>
      <c r="F525" s="133">
        <f>IFERROR(INDEX(Однолинейка!$Q$1:$Q$1000,MATCH(523,Однолинейка!$BV$1:$BV$1000,0)),"")</f>
      </c>
    </row>
    <row r="526">
      <c r="A526" s="133">
        <f>IF(ISNUMBER(MATCH(524,Однолинейка!$BV$1:$BV$1000,0)),524,"")</f>
      </c>
      <c r="B526" s="133">
        <f>IFERROR(INDEX(Однолинейка!$A$1:$A$1000,MATCH(524,Однолинейка!$BV$1:$BV$1000,0)),"")</f>
      </c>
      <c r="C526" s="133">
        <f>IFERROR(INDEX(Однолинейка!$G$1:$G$1000,MATCH(524,Однолинейка!$BV$1:$BV$1000,0))&amp;IF(INDEX(Однолинейка!$P$1:$P$1000,MATCH(524,Однолинейка!$BV$1:$BV$1000,0))="","","/"&amp;INDEX(Однолинейка!$P$1:$P$1000,MATCH(524,Однолинейка!$BV$1:$BV$1000,0))),"")</f>
      </c>
      <c r="D526" s="133">
        <f>IFERROR(INDEX(Однолинейка!$R$1:$R$1000,MATCH(524,Однолинейка!$BV$1:$BV$1000,0)),"")</f>
      </c>
      <c r="E526" s="133">
        <f>IFERROR(INDEX(Однолинейка!$S$1:$S$1000,MATCH(524,Однолинейка!$BV$1:$BV$1000,0)),"")</f>
      </c>
      <c r="F526" s="133">
        <f>IFERROR(INDEX(Однолинейка!$Q$1:$Q$1000,MATCH(524,Однолинейка!$BV$1:$BV$1000,0)),"")</f>
      </c>
    </row>
    <row r="527">
      <c r="A527" s="133">
        <f>IF(ISNUMBER(MATCH(525,Однолинейка!$BV$1:$BV$1000,0)),525,"")</f>
      </c>
      <c r="B527" s="133">
        <f>IFERROR(INDEX(Однолинейка!$A$1:$A$1000,MATCH(525,Однолинейка!$BV$1:$BV$1000,0)),"")</f>
      </c>
      <c r="C527" s="133">
        <f>IFERROR(INDEX(Однолинейка!$G$1:$G$1000,MATCH(525,Однолинейка!$BV$1:$BV$1000,0))&amp;IF(INDEX(Однолинейка!$P$1:$P$1000,MATCH(525,Однолинейка!$BV$1:$BV$1000,0))="","","/"&amp;INDEX(Однолинейка!$P$1:$P$1000,MATCH(525,Однолинейка!$BV$1:$BV$1000,0))),"")</f>
      </c>
      <c r="D527" s="133">
        <f>IFERROR(INDEX(Однолинейка!$R$1:$R$1000,MATCH(525,Однолинейка!$BV$1:$BV$1000,0)),"")</f>
      </c>
      <c r="E527" s="133">
        <f>IFERROR(INDEX(Однолинейка!$S$1:$S$1000,MATCH(525,Однолинейка!$BV$1:$BV$1000,0)),"")</f>
      </c>
      <c r="F527" s="133">
        <f>IFERROR(INDEX(Однолинейка!$Q$1:$Q$1000,MATCH(525,Однолинейка!$BV$1:$BV$1000,0)),"")</f>
      </c>
    </row>
    <row r="528">
      <c r="A528" s="133">
        <f>IF(ISNUMBER(MATCH(526,Однолинейка!$BV$1:$BV$1000,0)),526,"")</f>
      </c>
      <c r="B528" s="133">
        <f>IFERROR(INDEX(Однолинейка!$A$1:$A$1000,MATCH(526,Однолинейка!$BV$1:$BV$1000,0)),"")</f>
      </c>
      <c r="C528" s="133">
        <f>IFERROR(INDEX(Однолинейка!$G$1:$G$1000,MATCH(526,Однолинейка!$BV$1:$BV$1000,0))&amp;IF(INDEX(Однолинейка!$P$1:$P$1000,MATCH(526,Однолинейка!$BV$1:$BV$1000,0))="","","/"&amp;INDEX(Однолинейка!$P$1:$P$1000,MATCH(526,Однолинейка!$BV$1:$BV$1000,0))),"")</f>
      </c>
      <c r="D528" s="133">
        <f>IFERROR(INDEX(Однолинейка!$R$1:$R$1000,MATCH(526,Однолинейка!$BV$1:$BV$1000,0)),"")</f>
      </c>
      <c r="E528" s="133">
        <f>IFERROR(INDEX(Однолинейка!$S$1:$S$1000,MATCH(526,Однолинейка!$BV$1:$BV$1000,0)),"")</f>
      </c>
      <c r="F528" s="133">
        <f>IFERROR(INDEX(Однолинейка!$Q$1:$Q$1000,MATCH(526,Однолинейка!$BV$1:$BV$1000,0)),"")</f>
      </c>
    </row>
    <row r="529">
      <c r="A529" s="133">
        <f>IF(ISNUMBER(MATCH(527,Однолинейка!$BV$1:$BV$1000,0)),527,"")</f>
      </c>
      <c r="B529" s="133">
        <f>IFERROR(INDEX(Однолинейка!$A$1:$A$1000,MATCH(527,Однолинейка!$BV$1:$BV$1000,0)),"")</f>
      </c>
      <c r="C529" s="133">
        <f>IFERROR(INDEX(Однолинейка!$G$1:$G$1000,MATCH(527,Однолинейка!$BV$1:$BV$1000,0))&amp;IF(INDEX(Однолинейка!$P$1:$P$1000,MATCH(527,Однолинейка!$BV$1:$BV$1000,0))="","","/"&amp;INDEX(Однолинейка!$P$1:$P$1000,MATCH(527,Однолинейка!$BV$1:$BV$1000,0))),"")</f>
      </c>
      <c r="D529" s="133">
        <f>IFERROR(INDEX(Однолинейка!$R$1:$R$1000,MATCH(527,Однолинейка!$BV$1:$BV$1000,0)),"")</f>
      </c>
      <c r="E529" s="133">
        <f>IFERROR(INDEX(Однолинейка!$S$1:$S$1000,MATCH(527,Однолинейка!$BV$1:$BV$1000,0)),"")</f>
      </c>
      <c r="F529" s="133">
        <f>IFERROR(INDEX(Однолинейка!$Q$1:$Q$1000,MATCH(527,Однолинейка!$BV$1:$BV$1000,0)),"")</f>
      </c>
    </row>
    <row r="530">
      <c r="A530" s="133">
        <f>IF(ISNUMBER(MATCH(528,Однолинейка!$BV$1:$BV$1000,0)),528,"")</f>
      </c>
      <c r="B530" s="133">
        <f>IFERROR(INDEX(Однолинейка!$A$1:$A$1000,MATCH(528,Однолинейка!$BV$1:$BV$1000,0)),"")</f>
      </c>
      <c r="C530" s="133">
        <f>IFERROR(INDEX(Однолинейка!$G$1:$G$1000,MATCH(528,Однолинейка!$BV$1:$BV$1000,0))&amp;IF(INDEX(Однолинейка!$P$1:$P$1000,MATCH(528,Однолинейка!$BV$1:$BV$1000,0))="","","/"&amp;INDEX(Однолинейка!$P$1:$P$1000,MATCH(528,Однолинейка!$BV$1:$BV$1000,0))),"")</f>
      </c>
      <c r="D530" s="133">
        <f>IFERROR(INDEX(Однолинейка!$R$1:$R$1000,MATCH(528,Однолинейка!$BV$1:$BV$1000,0)),"")</f>
      </c>
      <c r="E530" s="133">
        <f>IFERROR(INDEX(Однолинейка!$S$1:$S$1000,MATCH(528,Однолинейка!$BV$1:$BV$1000,0)),"")</f>
      </c>
      <c r="F530" s="133">
        <f>IFERROR(INDEX(Однолинейка!$Q$1:$Q$1000,MATCH(528,Однолинейка!$BV$1:$BV$1000,0)),"")</f>
      </c>
    </row>
    <row r="531">
      <c r="A531" s="133">
        <f>IF(ISNUMBER(MATCH(529,Однолинейка!$BV$1:$BV$1000,0)),529,"")</f>
      </c>
      <c r="B531" s="133">
        <f>IFERROR(INDEX(Однолинейка!$A$1:$A$1000,MATCH(529,Однолинейка!$BV$1:$BV$1000,0)),"")</f>
      </c>
      <c r="C531" s="133">
        <f>IFERROR(INDEX(Однолинейка!$G$1:$G$1000,MATCH(529,Однолинейка!$BV$1:$BV$1000,0))&amp;IF(INDEX(Однолинейка!$P$1:$P$1000,MATCH(529,Однолинейка!$BV$1:$BV$1000,0))="","","/"&amp;INDEX(Однолинейка!$P$1:$P$1000,MATCH(529,Однолинейка!$BV$1:$BV$1000,0))),"")</f>
      </c>
      <c r="D531" s="133">
        <f>IFERROR(INDEX(Однолинейка!$R$1:$R$1000,MATCH(529,Однолинейка!$BV$1:$BV$1000,0)),"")</f>
      </c>
      <c r="E531" s="133">
        <f>IFERROR(INDEX(Однолинейка!$S$1:$S$1000,MATCH(529,Однолинейка!$BV$1:$BV$1000,0)),"")</f>
      </c>
      <c r="F531" s="133">
        <f>IFERROR(INDEX(Однолинейка!$Q$1:$Q$1000,MATCH(529,Однолинейка!$BV$1:$BV$1000,0)),"")</f>
      </c>
    </row>
    <row r="532">
      <c r="A532" s="133">
        <f>IF(ISNUMBER(MATCH(530,Однолинейка!$BV$1:$BV$1000,0)),530,"")</f>
      </c>
      <c r="B532" s="133">
        <f>IFERROR(INDEX(Однолинейка!$A$1:$A$1000,MATCH(530,Однолинейка!$BV$1:$BV$1000,0)),"")</f>
      </c>
      <c r="C532" s="133">
        <f>IFERROR(INDEX(Однолинейка!$G$1:$G$1000,MATCH(530,Однолинейка!$BV$1:$BV$1000,0))&amp;IF(INDEX(Однолинейка!$P$1:$P$1000,MATCH(530,Однолинейка!$BV$1:$BV$1000,0))="","","/"&amp;INDEX(Однолинейка!$P$1:$P$1000,MATCH(530,Однолинейка!$BV$1:$BV$1000,0))),"")</f>
      </c>
      <c r="D532" s="133">
        <f>IFERROR(INDEX(Однолинейка!$R$1:$R$1000,MATCH(530,Однолинейка!$BV$1:$BV$1000,0)),"")</f>
      </c>
      <c r="E532" s="133">
        <f>IFERROR(INDEX(Однолинейка!$S$1:$S$1000,MATCH(530,Однолинейка!$BV$1:$BV$1000,0)),"")</f>
      </c>
      <c r="F532" s="133">
        <f>IFERROR(INDEX(Однолинейка!$Q$1:$Q$1000,MATCH(530,Однолинейка!$BV$1:$BV$1000,0)),"")</f>
      </c>
    </row>
    <row r="533">
      <c r="A533" s="133">
        <f>IF(ISNUMBER(MATCH(531,Однолинейка!$BV$1:$BV$1000,0)),531,"")</f>
      </c>
      <c r="B533" s="133">
        <f>IFERROR(INDEX(Однолинейка!$A$1:$A$1000,MATCH(531,Однолинейка!$BV$1:$BV$1000,0)),"")</f>
      </c>
      <c r="C533" s="133">
        <f>IFERROR(INDEX(Однолинейка!$G$1:$G$1000,MATCH(531,Однолинейка!$BV$1:$BV$1000,0))&amp;IF(INDEX(Однолинейка!$P$1:$P$1000,MATCH(531,Однолинейка!$BV$1:$BV$1000,0))="","","/"&amp;INDEX(Однолинейка!$P$1:$P$1000,MATCH(531,Однолинейка!$BV$1:$BV$1000,0))),"")</f>
      </c>
      <c r="D533" s="133">
        <f>IFERROR(INDEX(Однолинейка!$R$1:$R$1000,MATCH(531,Однолинейка!$BV$1:$BV$1000,0)),"")</f>
      </c>
      <c r="E533" s="133">
        <f>IFERROR(INDEX(Однолинейка!$S$1:$S$1000,MATCH(531,Однолинейка!$BV$1:$BV$1000,0)),"")</f>
      </c>
      <c r="F533" s="133">
        <f>IFERROR(INDEX(Однолинейка!$Q$1:$Q$1000,MATCH(531,Однолинейка!$BV$1:$BV$1000,0)),"")</f>
      </c>
    </row>
    <row r="534">
      <c r="A534" s="133">
        <f>IF(ISNUMBER(MATCH(532,Однолинейка!$BV$1:$BV$1000,0)),532,"")</f>
      </c>
      <c r="B534" s="133">
        <f>IFERROR(INDEX(Однолинейка!$A$1:$A$1000,MATCH(532,Однолинейка!$BV$1:$BV$1000,0)),"")</f>
      </c>
      <c r="C534" s="133">
        <f>IFERROR(INDEX(Однолинейка!$G$1:$G$1000,MATCH(532,Однолинейка!$BV$1:$BV$1000,0))&amp;IF(INDEX(Однолинейка!$P$1:$P$1000,MATCH(532,Однолинейка!$BV$1:$BV$1000,0))="","","/"&amp;INDEX(Однолинейка!$P$1:$P$1000,MATCH(532,Однолинейка!$BV$1:$BV$1000,0))),"")</f>
      </c>
      <c r="D534" s="133">
        <f>IFERROR(INDEX(Однолинейка!$R$1:$R$1000,MATCH(532,Однолинейка!$BV$1:$BV$1000,0)),"")</f>
      </c>
      <c r="E534" s="133">
        <f>IFERROR(INDEX(Однолинейка!$S$1:$S$1000,MATCH(532,Однолинейка!$BV$1:$BV$1000,0)),"")</f>
      </c>
      <c r="F534" s="133">
        <f>IFERROR(INDEX(Однолинейка!$Q$1:$Q$1000,MATCH(532,Однолинейка!$BV$1:$BV$1000,0)),"")</f>
      </c>
    </row>
    <row r="535">
      <c r="A535" s="133">
        <f>IF(ISNUMBER(MATCH(533,Однолинейка!$BV$1:$BV$1000,0)),533,"")</f>
      </c>
      <c r="B535" s="133">
        <f>IFERROR(INDEX(Однолинейка!$A$1:$A$1000,MATCH(533,Однолинейка!$BV$1:$BV$1000,0)),"")</f>
      </c>
      <c r="C535" s="133">
        <f>IFERROR(INDEX(Однолинейка!$G$1:$G$1000,MATCH(533,Однолинейка!$BV$1:$BV$1000,0))&amp;IF(INDEX(Однолинейка!$P$1:$P$1000,MATCH(533,Однолинейка!$BV$1:$BV$1000,0))="","","/"&amp;INDEX(Однолинейка!$P$1:$P$1000,MATCH(533,Однолинейка!$BV$1:$BV$1000,0))),"")</f>
      </c>
      <c r="D535" s="133">
        <f>IFERROR(INDEX(Однолинейка!$R$1:$R$1000,MATCH(533,Однолинейка!$BV$1:$BV$1000,0)),"")</f>
      </c>
      <c r="E535" s="133">
        <f>IFERROR(INDEX(Однолинейка!$S$1:$S$1000,MATCH(533,Однолинейка!$BV$1:$BV$1000,0)),"")</f>
      </c>
      <c r="F535" s="133">
        <f>IFERROR(INDEX(Однолинейка!$Q$1:$Q$1000,MATCH(533,Однолинейка!$BV$1:$BV$1000,0)),"")</f>
      </c>
    </row>
    <row r="536">
      <c r="A536" s="133">
        <f>IF(ISNUMBER(MATCH(534,Однолинейка!$BV$1:$BV$1000,0)),534,"")</f>
      </c>
      <c r="B536" s="133">
        <f>IFERROR(INDEX(Однолинейка!$A$1:$A$1000,MATCH(534,Однолинейка!$BV$1:$BV$1000,0)),"")</f>
      </c>
      <c r="C536" s="133">
        <f>IFERROR(INDEX(Однолинейка!$G$1:$G$1000,MATCH(534,Однолинейка!$BV$1:$BV$1000,0))&amp;IF(INDEX(Однолинейка!$P$1:$P$1000,MATCH(534,Однолинейка!$BV$1:$BV$1000,0))="","","/"&amp;INDEX(Однолинейка!$P$1:$P$1000,MATCH(534,Однолинейка!$BV$1:$BV$1000,0))),"")</f>
      </c>
      <c r="D536" s="133">
        <f>IFERROR(INDEX(Однолинейка!$R$1:$R$1000,MATCH(534,Однолинейка!$BV$1:$BV$1000,0)),"")</f>
      </c>
      <c r="E536" s="133">
        <f>IFERROR(INDEX(Однолинейка!$S$1:$S$1000,MATCH(534,Однолинейка!$BV$1:$BV$1000,0)),"")</f>
      </c>
      <c r="F536" s="133">
        <f>IFERROR(INDEX(Однолинейка!$Q$1:$Q$1000,MATCH(534,Однолинейка!$BV$1:$BV$1000,0)),"")</f>
      </c>
    </row>
    <row r="537">
      <c r="A537" s="133">
        <f>IF(ISNUMBER(MATCH(535,Однолинейка!$BV$1:$BV$1000,0)),535,"")</f>
      </c>
      <c r="B537" s="133">
        <f>IFERROR(INDEX(Однолинейка!$A$1:$A$1000,MATCH(535,Однолинейка!$BV$1:$BV$1000,0)),"")</f>
      </c>
      <c r="C537" s="133">
        <f>IFERROR(INDEX(Однолинейка!$G$1:$G$1000,MATCH(535,Однолинейка!$BV$1:$BV$1000,0))&amp;IF(INDEX(Однолинейка!$P$1:$P$1000,MATCH(535,Однолинейка!$BV$1:$BV$1000,0))="","","/"&amp;INDEX(Однолинейка!$P$1:$P$1000,MATCH(535,Однолинейка!$BV$1:$BV$1000,0))),"")</f>
      </c>
      <c r="D537" s="133">
        <f>IFERROR(INDEX(Однолинейка!$R$1:$R$1000,MATCH(535,Однолинейка!$BV$1:$BV$1000,0)),"")</f>
      </c>
      <c r="E537" s="133">
        <f>IFERROR(INDEX(Однолинейка!$S$1:$S$1000,MATCH(535,Однолинейка!$BV$1:$BV$1000,0)),"")</f>
      </c>
      <c r="F537" s="133">
        <f>IFERROR(INDEX(Однолинейка!$Q$1:$Q$1000,MATCH(535,Однолинейка!$BV$1:$BV$1000,0)),"")</f>
      </c>
    </row>
    <row r="538">
      <c r="A538" s="133">
        <f>IF(ISNUMBER(MATCH(536,Однолинейка!$BV$1:$BV$1000,0)),536,"")</f>
      </c>
      <c r="B538" s="133">
        <f>IFERROR(INDEX(Однолинейка!$A$1:$A$1000,MATCH(536,Однолинейка!$BV$1:$BV$1000,0)),"")</f>
      </c>
      <c r="C538" s="133">
        <f>IFERROR(INDEX(Однолинейка!$G$1:$G$1000,MATCH(536,Однолинейка!$BV$1:$BV$1000,0))&amp;IF(INDEX(Однолинейка!$P$1:$P$1000,MATCH(536,Однолинейка!$BV$1:$BV$1000,0))="","","/"&amp;INDEX(Однолинейка!$P$1:$P$1000,MATCH(536,Однолинейка!$BV$1:$BV$1000,0))),"")</f>
      </c>
      <c r="D538" s="133">
        <f>IFERROR(INDEX(Однолинейка!$R$1:$R$1000,MATCH(536,Однолинейка!$BV$1:$BV$1000,0)),"")</f>
      </c>
      <c r="E538" s="133">
        <f>IFERROR(INDEX(Однолинейка!$S$1:$S$1000,MATCH(536,Однолинейка!$BV$1:$BV$1000,0)),"")</f>
      </c>
      <c r="F538" s="133">
        <f>IFERROR(INDEX(Однолинейка!$Q$1:$Q$1000,MATCH(536,Однолинейка!$BV$1:$BV$1000,0)),"")</f>
      </c>
    </row>
    <row r="539">
      <c r="A539" s="133">
        <f>IF(ISNUMBER(MATCH(537,Однолинейка!$BV$1:$BV$1000,0)),537,"")</f>
      </c>
      <c r="B539" s="133">
        <f>IFERROR(INDEX(Однолинейка!$A$1:$A$1000,MATCH(537,Однолинейка!$BV$1:$BV$1000,0)),"")</f>
      </c>
      <c r="C539" s="133">
        <f>IFERROR(INDEX(Однолинейка!$G$1:$G$1000,MATCH(537,Однолинейка!$BV$1:$BV$1000,0))&amp;IF(INDEX(Однолинейка!$P$1:$P$1000,MATCH(537,Однолинейка!$BV$1:$BV$1000,0))="","","/"&amp;INDEX(Однолинейка!$P$1:$P$1000,MATCH(537,Однолинейка!$BV$1:$BV$1000,0))),"")</f>
      </c>
      <c r="D539" s="133">
        <f>IFERROR(INDEX(Однолинейка!$R$1:$R$1000,MATCH(537,Однолинейка!$BV$1:$BV$1000,0)),"")</f>
      </c>
      <c r="E539" s="133">
        <f>IFERROR(INDEX(Однолинейка!$S$1:$S$1000,MATCH(537,Однолинейка!$BV$1:$BV$1000,0)),"")</f>
      </c>
      <c r="F539" s="133">
        <f>IFERROR(INDEX(Однолинейка!$Q$1:$Q$1000,MATCH(537,Однолинейка!$BV$1:$BV$1000,0)),"")</f>
      </c>
    </row>
    <row r="540">
      <c r="A540" s="133">
        <f>IF(ISNUMBER(MATCH(538,Однолинейка!$BV$1:$BV$1000,0)),538,"")</f>
      </c>
      <c r="B540" s="133">
        <f>IFERROR(INDEX(Однолинейка!$A$1:$A$1000,MATCH(538,Однолинейка!$BV$1:$BV$1000,0)),"")</f>
      </c>
      <c r="C540" s="133">
        <f>IFERROR(INDEX(Однолинейка!$G$1:$G$1000,MATCH(538,Однолинейка!$BV$1:$BV$1000,0))&amp;IF(INDEX(Однолинейка!$P$1:$P$1000,MATCH(538,Однолинейка!$BV$1:$BV$1000,0))="","","/"&amp;INDEX(Однолинейка!$P$1:$P$1000,MATCH(538,Однолинейка!$BV$1:$BV$1000,0))),"")</f>
      </c>
      <c r="D540" s="133">
        <f>IFERROR(INDEX(Однолинейка!$R$1:$R$1000,MATCH(538,Однолинейка!$BV$1:$BV$1000,0)),"")</f>
      </c>
      <c r="E540" s="133">
        <f>IFERROR(INDEX(Однолинейка!$S$1:$S$1000,MATCH(538,Однолинейка!$BV$1:$BV$1000,0)),"")</f>
      </c>
      <c r="F540" s="133">
        <f>IFERROR(INDEX(Однолинейка!$Q$1:$Q$1000,MATCH(538,Однолинейка!$BV$1:$BV$1000,0)),"")</f>
      </c>
    </row>
    <row r="541">
      <c r="A541" s="133">
        <f>IF(ISNUMBER(MATCH(539,Однолинейка!$BV$1:$BV$1000,0)),539,"")</f>
      </c>
      <c r="B541" s="133">
        <f>IFERROR(INDEX(Однолинейка!$A$1:$A$1000,MATCH(539,Однолинейка!$BV$1:$BV$1000,0)),"")</f>
      </c>
      <c r="C541" s="133">
        <f>IFERROR(INDEX(Однолинейка!$G$1:$G$1000,MATCH(539,Однолинейка!$BV$1:$BV$1000,0))&amp;IF(INDEX(Однолинейка!$P$1:$P$1000,MATCH(539,Однолинейка!$BV$1:$BV$1000,0))="","","/"&amp;INDEX(Однолинейка!$P$1:$P$1000,MATCH(539,Однолинейка!$BV$1:$BV$1000,0))),"")</f>
      </c>
      <c r="D541" s="133">
        <f>IFERROR(INDEX(Однолинейка!$R$1:$R$1000,MATCH(539,Однолинейка!$BV$1:$BV$1000,0)),"")</f>
      </c>
      <c r="E541" s="133">
        <f>IFERROR(INDEX(Однолинейка!$S$1:$S$1000,MATCH(539,Однолинейка!$BV$1:$BV$1000,0)),"")</f>
      </c>
      <c r="F541" s="133">
        <f>IFERROR(INDEX(Однолинейка!$Q$1:$Q$1000,MATCH(539,Однолинейка!$BV$1:$BV$1000,0)),"")</f>
      </c>
    </row>
    <row r="542">
      <c r="A542" s="133">
        <f>IF(ISNUMBER(MATCH(540,Однолинейка!$BV$1:$BV$1000,0)),540,"")</f>
      </c>
      <c r="B542" s="133">
        <f>IFERROR(INDEX(Однолинейка!$A$1:$A$1000,MATCH(540,Однолинейка!$BV$1:$BV$1000,0)),"")</f>
      </c>
      <c r="C542" s="133">
        <f>IFERROR(INDEX(Однолинейка!$G$1:$G$1000,MATCH(540,Однолинейка!$BV$1:$BV$1000,0))&amp;IF(INDEX(Однолинейка!$P$1:$P$1000,MATCH(540,Однолинейка!$BV$1:$BV$1000,0))="","","/"&amp;INDEX(Однолинейка!$P$1:$P$1000,MATCH(540,Однолинейка!$BV$1:$BV$1000,0))),"")</f>
      </c>
      <c r="D542" s="133">
        <f>IFERROR(INDEX(Однолинейка!$R$1:$R$1000,MATCH(540,Однолинейка!$BV$1:$BV$1000,0)),"")</f>
      </c>
      <c r="E542" s="133">
        <f>IFERROR(INDEX(Однолинейка!$S$1:$S$1000,MATCH(540,Однолинейка!$BV$1:$BV$1000,0)),"")</f>
      </c>
      <c r="F542" s="133">
        <f>IFERROR(INDEX(Однолинейка!$Q$1:$Q$1000,MATCH(540,Однолинейка!$BV$1:$BV$1000,0)),"")</f>
      </c>
    </row>
    <row r="543">
      <c r="A543" s="133">
        <f>IF(ISNUMBER(MATCH(541,Однолинейка!$BV$1:$BV$1000,0)),541,"")</f>
      </c>
      <c r="B543" s="133">
        <f>IFERROR(INDEX(Однолинейка!$A$1:$A$1000,MATCH(541,Однолинейка!$BV$1:$BV$1000,0)),"")</f>
      </c>
      <c r="C543" s="133">
        <f>IFERROR(INDEX(Однолинейка!$G$1:$G$1000,MATCH(541,Однолинейка!$BV$1:$BV$1000,0))&amp;IF(INDEX(Однолинейка!$P$1:$P$1000,MATCH(541,Однолинейка!$BV$1:$BV$1000,0))="","","/"&amp;INDEX(Однолинейка!$P$1:$P$1000,MATCH(541,Однолинейка!$BV$1:$BV$1000,0))),"")</f>
      </c>
      <c r="D543" s="133">
        <f>IFERROR(INDEX(Однолинейка!$R$1:$R$1000,MATCH(541,Однолинейка!$BV$1:$BV$1000,0)),"")</f>
      </c>
      <c r="E543" s="133">
        <f>IFERROR(INDEX(Однолинейка!$S$1:$S$1000,MATCH(541,Однолинейка!$BV$1:$BV$1000,0)),"")</f>
      </c>
      <c r="F543" s="133">
        <f>IFERROR(INDEX(Однолинейка!$Q$1:$Q$1000,MATCH(541,Однолинейка!$BV$1:$BV$1000,0)),"")</f>
      </c>
    </row>
    <row r="544">
      <c r="A544" s="133">
        <f>IF(ISNUMBER(MATCH(542,Однолинейка!$BV$1:$BV$1000,0)),542,"")</f>
      </c>
      <c r="B544" s="133">
        <f>IFERROR(INDEX(Однолинейка!$A$1:$A$1000,MATCH(542,Однолинейка!$BV$1:$BV$1000,0)),"")</f>
      </c>
      <c r="C544" s="133">
        <f>IFERROR(INDEX(Однолинейка!$G$1:$G$1000,MATCH(542,Однолинейка!$BV$1:$BV$1000,0))&amp;IF(INDEX(Однолинейка!$P$1:$P$1000,MATCH(542,Однолинейка!$BV$1:$BV$1000,0))="","","/"&amp;INDEX(Однолинейка!$P$1:$P$1000,MATCH(542,Однолинейка!$BV$1:$BV$1000,0))),"")</f>
      </c>
      <c r="D544" s="133">
        <f>IFERROR(INDEX(Однолинейка!$R$1:$R$1000,MATCH(542,Однолинейка!$BV$1:$BV$1000,0)),"")</f>
      </c>
      <c r="E544" s="133">
        <f>IFERROR(INDEX(Однолинейка!$S$1:$S$1000,MATCH(542,Однолинейка!$BV$1:$BV$1000,0)),"")</f>
      </c>
      <c r="F544" s="133">
        <f>IFERROR(INDEX(Однолинейка!$Q$1:$Q$1000,MATCH(542,Однолинейка!$BV$1:$BV$1000,0)),"")</f>
      </c>
    </row>
    <row r="545">
      <c r="A545" s="133">
        <f>IF(ISNUMBER(MATCH(543,Однолинейка!$BV$1:$BV$1000,0)),543,"")</f>
      </c>
      <c r="B545" s="133">
        <f>IFERROR(INDEX(Однолинейка!$A$1:$A$1000,MATCH(543,Однолинейка!$BV$1:$BV$1000,0)),"")</f>
      </c>
      <c r="C545" s="133">
        <f>IFERROR(INDEX(Однолинейка!$G$1:$G$1000,MATCH(543,Однолинейка!$BV$1:$BV$1000,0))&amp;IF(INDEX(Однолинейка!$P$1:$P$1000,MATCH(543,Однолинейка!$BV$1:$BV$1000,0))="","","/"&amp;INDEX(Однолинейка!$P$1:$P$1000,MATCH(543,Однолинейка!$BV$1:$BV$1000,0))),"")</f>
      </c>
      <c r="D545" s="133">
        <f>IFERROR(INDEX(Однолинейка!$R$1:$R$1000,MATCH(543,Однолинейка!$BV$1:$BV$1000,0)),"")</f>
      </c>
      <c r="E545" s="133">
        <f>IFERROR(INDEX(Однолинейка!$S$1:$S$1000,MATCH(543,Однолинейка!$BV$1:$BV$1000,0)),"")</f>
      </c>
      <c r="F545" s="133">
        <f>IFERROR(INDEX(Однолинейка!$Q$1:$Q$1000,MATCH(543,Однолинейка!$BV$1:$BV$1000,0)),"")</f>
      </c>
    </row>
    <row r="546">
      <c r="A546" s="133">
        <f>IF(ISNUMBER(MATCH(544,Однолинейка!$BV$1:$BV$1000,0)),544,"")</f>
      </c>
      <c r="B546" s="133">
        <f>IFERROR(INDEX(Однолинейка!$A$1:$A$1000,MATCH(544,Однолинейка!$BV$1:$BV$1000,0)),"")</f>
      </c>
      <c r="C546" s="133">
        <f>IFERROR(INDEX(Однолинейка!$G$1:$G$1000,MATCH(544,Однолинейка!$BV$1:$BV$1000,0))&amp;IF(INDEX(Однолинейка!$P$1:$P$1000,MATCH(544,Однолинейка!$BV$1:$BV$1000,0))="","","/"&amp;INDEX(Однолинейка!$P$1:$P$1000,MATCH(544,Однолинейка!$BV$1:$BV$1000,0))),"")</f>
      </c>
      <c r="D546" s="133">
        <f>IFERROR(INDEX(Однолинейка!$R$1:$R$1000,MATCH(544,Однолинейка!$BV$1:$BV$1000,0)),"")</f>
      </c>
      <c r="E546" s="133">
        <f>IFERROR(INDEX(Однолинейка!$S$1:$S$1000,MATCH(544,Однолинейка!$BV$1:$BV$1000,0)),"")</f>
      </c>
      <c r="F546" s="133">
        <f>IFERROR(INDEX(Однолинейка!$Q$1:$Q$1000,MATCH(544,Однолинейка!$BV$1:$BV$1000,0)),"")</f>
      </c>
    </row>
    <row r="547">
      <c r="A547" s="133">
        <f>IF(ISNUMBER(MATCH(545,Однолинейка!$BV$1:$BV$1000,0)),545,"")</f>
      </c>
      <c r="B547" s="133">
        <f>IFERROR(INDEX(Однолинейка!$A$1:$A$1000,MATCH(545,Однолинейка!$BV$1:$BV$1000,0)),"")</f>
      </c>
      <c r="C547" s="133">
        <f>IFERROR(INDEX(Однолинейка!$G$1:$G$1000,MATCH(545,Однолинейка!$BV$1:$BV$1000,0))&amp;IF(INDEX(Однолинейка!$P$1:$P$1000,MATCH(545,Однолинейка!$BV$1:$BV$1000,0))="","","/"&amp;INDEX(Однолинейка!$P$1:$P$1000,MATCH(545,Однолинейка!$BV$1:$BV$1000,0))),"")</f>
      </c>
      <c r="D547" s="133">
        <f>IFERROR(INDEX(Однолинейка!$R$1:$R$1000,MATCH(545,Однолинейка!$BV$1:$BV$1000,0)),"")</f>
      </c>
      <c r="E547" s="133">
        <f>IFERROR(INDEX(Однолинейка!$S$1:$S$1000,MATCH(545,Однолинейка!$BV$1:$BV$1000,0)),"")</f>
      </c>
      <c r="F547" s="133">
        <f>IFERROR(INDEX(Однолинейка!$Q$1:$Q$1000,MATCH(545,Однолинейка!$BV$1:$BV$1000,0)),"")</f>
      </c>
    </row>
    <row r="548">
      <c r="A548" s="133">
        <f>IF(ISNUMBER(MATCH(546,Однолинейка!$BV$1:$BV$1000,0)),546,"")</f>
      </c>
      <c r="B548" s="133">
        <f>IFERROR(INDEX(Однолинейка!$A$1:$A$1000,MATCH(546,Однолинейка!$BV$1:$BV$1000,0)),"")</f>
      </c>
      <c r="C548" s="133">
        <f>IFERROR(INDEX(Однолинейка!$G$1:$G$1000,MATCH(546,Однолинейка!$BV$1:$BV$1000,0))&amp;IF(INDEX(Однолинейка!$P$1:$P$1000,MATCH(546,Однолинейка!$BV$1:$BV$1000,0))="","","/"&amp;INDEX(Однолинейка!$P$1:$P$1000,MATCH(546,Однолинейка!$BV$1:$BV$1000,0))),"")</f>
      </c>
      <c r="D548" s="133">
        <f>IFERROR(INDEX(Однолинейка!$R$1:$R$1000,MATCH(546,Однолинейка!$BV$1:$BV$1000,0)),"")</f>
      </c>
      <c r="E548" s="133">
        <f>IFERROR(INDEX(Однолинейка!$S$1:$S$1000,MATCH(546,Однолинейка!$BV$1:$BV$1000,0)),"")</f>
      </c>
      <c r="F548" s="133">
        <f>IFERROR(INDEX(Однолинейка!$Q$1:$Q$1000,MATCH(546,Однолинейка!$BV$1:$BV$1000,0)),"")</f>
      </c>
    </row>
    <row r="549">
      <c r="A549" s="133">
        <f>IF(ISNUMBER(MATCH(547,Однолинейка!$BV$1:$BV$1000,0)),547,"")</f>
      </c>
      <c r="B549" s="133">
        <f>IFERROR(INDEX(Однолинейка!$A$1:$A$1000,MATCH(547,Однолинейка!$BV$1:$BV$1000,0)),"")</f>
      </c>
      <c r="C549" s="133">
        <f>IFERROR(INDEX(Однолинейка!$G$1:$G$1000,MATCH(547,Однолинейка!$BV$1:$BV$1000,0))&amp;IF(INDEX(Однолинейка!$P$1:$P$1000,MATCH(547,Однолинейка!$BV$1:$BV$1000,0))="","","/"&amp;INDEX(Однолинейка!$P$1:$P$1000,MATCH(547,Однолинейка!$BV$1:$BV$1000,0))),"")</f>
      </c>
      <c r="D549" s="133">
        <f>IFERROR(INDEX(Однолинейка!$R$1:$R$1000,MATCH(547,Однолинейка!$BV$1:$BV$1000,0)),"")</f>
      </c>
      <c r="E549" s="133">
        <f>IFERROR(INDEX(Однолинейка!$S$1:$S$1000,MATCH(547,Однолинейка!$BV$1:$BV$1000,0)),"")</f>
      </c>
      <c r="F549" s="133">
        <f>IFERROR(INDEX(Однолинейка!$Q$1:$Q$1000,MATCH(547,Однолинейка!$BV$1:$BV$1000,0)),"")</f>
      </c>
    </row>
    <row r="550">
      <c r="A550" s="133">
        <f>IF(ISNUMBER(MATCH(548,Однолинейка!$BV$1:$BV$1000,0)),548,"")</f>
      </c>
      <c r="B550" s="133">
        <f>IFERROR(INDEX(Однолинейка!$A$1:$A$1000,MATCH(548,Однолинейка!$BV$1:$BV$1000,0)),"")</f>
      </c>
      <c r="C550" s="133">
        <f>IFERROR(INDEX(Однолинейка!$G$1:$G$1000,MATCH(548,Однолинейка!$BV$1:$BV$1000,0))&amp;IF(INDEX(Однолинейка!$P$1:$P$1000,MATCH(548,Однолинейка!$BV$1:$BV$1000,0))="","","/"&amp;INDEX(Однолинейка!$P$1:$P$1000,MATCH(548,Однолинейка!$BV$1:$BV$1000,0))),"")</f>
      </c>
      <c r="D550" s="133">
        <f>IFERROR(INDEX(Однолинейка!$R$1:$R$1000,MATCH(548,Однолинейка!$BV$1:$BV$1000,0)),"")</f>
      </c>
      <c r="E550" s="133">
        <f>IFERROR(INDEX(Однолинейка!$S$1:$S$1000,MATCH(548,Однолинейка!$BV$1:$BV$1000,0)),"")</f>
      </c>
      <c r="F550" s="133">
        <f>IFERROR(INDEX(Однолинейка!$Q$1:$Q$1000,MATCH(548,Однолинейка!$BV$1:$BV$1000,0)),"")</f>
      </c>
    </row>
    <row r="551">
      <c r="A551" s="133">
        <f>IF(ISNUMBER(MATCH(549,Однолинейка!$BV$1:$BV$1000,0)),549,"")</f>
      </c>
      <c r="B551" s="133">
        <f>IFERROR(INDEX(Однолинейка!$A$1:$A$1000,MATCH(549,Однолинейка!$BV$1:$BV$1000,0)),"")</f>
      </c>
      <c r="C551" s="133">
        <f>IFERROR(INDEX(Однолинейка!$G$1:$G$1000,MATCH(549,Однолинейка!$BV$1:$BV$1000,0))&amp;IF(INDEX(Однолинейка!$P$1:$P$1000,MATCH(549,Однолинейка!$BV$1:$BV$1000,0))="","","/"&amp;INDEX(Однолинейка!$P$1:$P$1000,MATCH(549,Однолинейка!$BV$1:$BV$1000,0))),"")</f>
      </c>
      <c r="D551" s="133">
        <f>IFERROR(INDEX(Однолинейка!$R$1:$R$1000,MATCH(549,Однолинейка!$BV$1:$BV$1000,0)),"")</f>
      </c>
      <c r="E551" s="133">
        <f>IFERROR(INDEX(Однолинейка!$S$1:$S$1000,MATCH(549,Однолинейка!$BV$1:$BV$1000,0)),"")</f>
      </c>
      <c r="F551" s="133">
        <f>IFERROR(INDEX(Однолинейка!$Q$1:$Q$1000,MATCH(549,Однолинейка!$BV$1:$BV$1000,0)),"")</f>
      </c>
    </row>
    <row r="552">
      <c r="A552" s="133">
        <f>IF(ISNUMBER(MATCH(550,Однолинейка!$BV$1:$BV$1000,0)),550,"")</f>
      </c>
      <c r="B552" s="133">
        <f>IFERROR(INDEX(Однолинейка!$A$1:$A$1000,MATCH(550,Однолинейка!$BV$1:$BV$1000,0)),"")</f>
      </c>
      <c r="C552" s="133">
        <f>IFERROR(INDEX(Однолинейка!$G$1:$G$1000,MATCH(550,Однолинейка!$BV$1:$BV$1000,0))&amp;IF(INDEX(Однолинейка!$P$1:$P$1000,MATCH(550,Однолинейка!$BV$1:$BV$1000,0))="","","/"&amp;INDEX(Однолинейка!$P$1:$P$1000,MATCH(550,Однолинейка!$BV$1:$BV$1000,0))),"")</f>
      </c>
      <c r="D552" s="133">
        <f>IFERROR(INDEX(Однолинейка!$R$1:$R$1000,MATCH(550,Однолинейка!$BV$1:$BV$1000,0)),"")</f>
      </c>
      <c r="E552" s="133">
        <f>IFERROR(INDEX(Однолинейка!$S$1:$S$1000,MATCH(550,Однолинейка!$BV$1:$BV$1000,0)),"")</f>
      </c>
      <c r="F552" s="133">
        <f>IFERROR(INDEX(Однолинейка!$Q$1:$Q$1000,MATCH(550,Однолинейка!$BV$1:$BV$1000,0)),"")</f>
      </c>
    </row>
    <row r="553">
      <c r="A553" s="133">
        <f>IF(ISNUMBER(MATCH(551,Однолинейка!$BV$1:$BV$1000,0)),551,"")</f>
      </c>
      <c r="B553" s="133">
        <f>IFERROR(INDEX(Однолинейка!$A$1:$A$1000,MATCH(551,Однолинейка!$BV$1:$BV$1000,0)),"")</f>
      </c>
      <c r="C553" s="133">
        <f>IFERROR(INDEX(Однолинейка!$G$1:$G$1000,MATCH(551,Однолинейка!$BV$1:$BV$1000,0))&amp;IF(INDEX(Однолинейка!$P$1:$P$1000,MATCH(551,Однолинейка!$BV$1:$BV$1000,0))="","","/"&amp;INDEX(Однолинейка!$P$1:$P$1000,MATCH(551,Однолинейка!$BV$1:$BV$1000,0))),"")</f>
      </c>
      <c r="D553" s="133">
        <f>IFERROR(INDEX(Однолинейка!$R$1:$R$1000,MATCH(551,Однолинейка!$BV$1:$BV$1000,0)),"")</f>
      </c>
      <c r="E553" s="133">
        <f>IFERROR(INDEX(Однолинейка!$S$1:$S$1000,MATCH(551,Однолинейка!$BV$1:$BV$1000,0)),"")</f>
      </c>
      <c r="F553" s="133">
        <f>IFERROR(INDEX(Однолинейка!$Q$1:$Q$1000,MATCH(551,Однолинейка!$BV$1:$BV$1000,0)),"")</f>
      </c>
    </row>
    <row r="554">
      <c r="A554" s="133">
        <f>IF(ISNUMBER(MATCH(552,Однолинейка!$BV$1:$BV$1000,0)),552,"")</f>
      </c>
      <c r="B554" s="133">
        <f>IFERROR(INDEX(Однолинейка!$A$1:$A$1000,MATCH(552,Однолинейка!$BV$1:$BV$1000,0)),"")</f>
      </c>
      <c r="C554" s="133">
        <f>IFERROR(INDEX(Однолинейка!$G$1:$G$1000,MATCH(552,Однолинейка!$BV$1:$BV$1000,0))&amp;IF(INDEX(Однолинейка!$P$1:$P$1000,MATCH(552,Однолинейка!$BV$1:$BV$1000,0))="","","/"&amp;INDEX(Однолинейка!$P$1:$P$1000,MATCH(552,Однолинейка!$BV$1:$BV$1000,0))),"")</f>
      </c>
      <c r="D554" s="133">
        <f>IFERROR(INDEX(Однолинейка!$R$1:$R$1000,MATCH(552,Однолинейка!$BV$1:$BV$1000,0)),"")</f>
      </c>
      <c r="E554" s="133">
        <f>IFERROR(INDEX(Однолинейка!$S$1:$S$1000,MATCH(552,Однолинейка!$BV$1:$BV$1000,0)),"")</f>
      </c>
      <c r="F554" s="133">
        <f>IFERROR(INDEX(Однолинейка!$Q$1:$Q$1000,MATCH(552,Однолинейка!$BV$1:$BV$1000,0)),"")</f>
      </c>
    </row>
    <row r="555">
      <c r="A555" s="133">
        <f>IF(ISNUMBER(MATCH(553,Однолинейка!$BV$1:$BV$1000,0)),553,"")</f>
      </c>
      <c r="B555" s="133">
        <f>IFERROR(INDEX(Однолинейка!$A$1:$A$1000,MATCH(553,Однолинейка!$BV$1:$BV$1000,0)),"")</f>
      </c>
      <c r="C555" s="133">
        <f>IFERROR(INDEX(Однолинейка!$G$1:$G$1000,MATCH(553,Однолинейка!$BV$1:$BV$1000,0))&amp;IF(INDEX(Однолинейка!$P$1:$P$1000,MATCH(553,Однолинейка!$BV$1:$BV$1000,0))="","","/"&amp;INDEX(Однолинейка!$P$1:$P$1000,MATCH(553,Однолинейка!$BV$1:$BV$1000,0))),"")</f>
      </c>
      <c r="D555" s="133">
        <f>IFERROR(INDEX(Однолинейка!$R$1:$R$1000,MATCH(553,Однолинейка!$BV$1:$BV$1000,0)),"")</f>
      </c>
      <c r="E555" s="133">
        <f>IFERROR(INDEX(Однолинейка!$S$1:$S$1000,MATCH(553,Однолинейка!$BV$1:$BV$1000,0)),"")</f>
      </c>
      <c r="F555" s="133">
        <f>IFERROR(INDEX(Однолинейка!$Q$1:$Q$1000,MATCH(553,Однолинейка!$BV$1:$BV$1000,0)),"")</f>
      </c>
    </row>
    <row r="556">
      <c r="A556" s="133">
        <f>IF(ISNUMBER(MATCH(554,Однолинейка!$BV$1:$BV$1000,0)),554,"")</f>
      </c>
      <c r="B556" s="133">
        <f>IFERROR(INDEX(Однолинейка!$A$1:$A$1000,MATCH(554,Однолинейка!$BV$1:$BV$1000,0)),"")</f>
      </c>
      <c r="C556" s="133">
        <f>IFERROR(INDEX(Однолинейка!$G$1:$G$1000,MATCH(554,Однолинейка!$BV$1:$BV$1000,0))&amp;IF(INDEX(Однолинейка!$P$1:$P$1000,MATCH(554,Однолинейка!$BV$1:$BV$1000,0))="","","/"&amp;INDEX(Однолинейка!$P$1:$P$1000,MATCH(554,Однолинейка!$BV$1:$BV$1000,0))),"")</f>
      </c>
      <c r="D556" s="133">
        <f>IFERROR(INDEX(Однолинейка!$R$1:$R$1000,MATCH(554,Однолинейка!$BV$1:$BV$1000,0)),"")</f>
      </c>
      <c r="E556" s="133">
        <f>IFERROR(INDEX(Однолинейка!$S$1:$S$1000,MATCH(554,Однолинейка!$BV$1:$BV$1000,0)),"")</f>
      </c>
      <c r="F556" s="133">
        <f>IFERROR(INDEX(Однолинейка!$Q$1:$Q$1000,MATCH(554,Однолинейка!$BV$1:$BV$1000,0)),"")</f>
      </c>
    </row>
    <row r="557">
      <c r="A557" s="133">
        <f>IF(ISNUMBER(MATCH(555,Однолинейка!$BV$1:$BV$1000,0)),555,"")</f>
      </c>
      <c r="B557" s="133">
        <f>IFERROR(INDEX(Однолинейка!$A$1:$A$1000,MATCH(555,Однолинейка!$BV$1:$BV$1000,0)),"")</f>
      </c>
      <c r="C557" s="133">
        <f>IFERROR(INDEX(Однолинейка!$G$1:$G$1000,MATCH(555,Однолинейка!$BV$1:$BV$1000,0))&amp;IF(INDEX(Однолинейка!$P$1:$P$1000,MATCH(555,Однолинейка!$BV$1:$BV$1000,0))="","","/"&amp;INDEX(Однолинейка!$P$1:$P$1000,MATCH(555,Однолинейка!$BV$1:$BV$1000,0))),"")</f>
      </c>
      <c r="D557" s="133">
        <f>IFERROR(INDEX(Однолинейка!$R$1:$R$1000,MATCH(555,Однолинейка!$BV$1:$BV$1000,0)),"")</f>
      </c>
      <c r="E557" s="133">
        <f>IFERROR(INDEX(Однолинейка!$S$1:$S$1000,MATCH(555,Однолинейка!$BV$1:$BV$1000,0)),"")</f>
      </c>
      <c r="F557" s="133">
        <f>IFERROR(INDEX(Однолинейка!$Q$1:$Q$1000,MATCH(555,Однолинейка!$BV$1:$BV$1000,0)),"")</f>
      </c>
    </row>
    <row r="558">
      <c r="A558" s="133">
        <f>IF(ISNUMBER(MATCH(556,Однолинейка!$BV$1:$BV$1000,0)),556,"")</f>
      </c>
      <c r="B558" s="133">
        <f>IFERROR(INDEX(Однолинейка!$A$1:$A$1000,MATCH(556,Однолинейка!$BV$1:$BV$1000,0)),"")</f>
      </c>
      <c r="C558" s="133">
        <f>IFERROR(INDEX(Однолинейка!$G$1:$G$1000,MATCH(556,Однолинейка!$BV$1:$BV$1000,0))&amp;IF(INDEX(Однолинейка!$P$1:$P$1000,MATCH(556,Однолинейка!$BV$1:$BV$1000,0))="","","/"&amp;INDEX(Однолинейка!$P$1:$P$1000,MATCH(556,Однолинейка!$BV$1:$BV$1000,0))),"")</f>
      </c>
      <c r="D558" s="133">
        <f>IFERROR(INDEX(Однолинейка!$R$1:$R$1000,MATCH(556,Однолинейка!$BV$1:$BV$1000,0)),"")</f>
      </c>
      <c r="E558" s="133">
        <f>IFERROR(INDEX(Однолинейка!$S$1:$S$1000,MATCH(556,Однолинейка!$BV$1:$BV$1000,0)),"")</f>
      </c>
      <c r="F558" s="133">
        <f>IFERROR(INDEX(Однолинейка!$Q$1:$Q$1000,MATCH(556,Однолинейка!$BV$1:$BV$1000,0)),"")</f>
      </c>
    </row>
    <row r="559">
      <c r="A559" s="133">
        <f>IF(ISNUMBER(MATCH(557,Однолинейка!$BV$1:$BV$1000,0)),557,"")</f>
      </c>
      <c r="B559" s="133">
        <f>IFERROR(INDEX(Однолинейка!$A$1:$A$1000,MATCH(557,Однолинейка!$BV$1:$BV$1000,0)),"")</f>
      </c>
      <c r="C559" s="133">
        <f>IFERROR(INDEX(Однолинейка!$G$1:$G$1000,MATCH(557,Однолинейка!$BV$1:$BV$1000,0))&amp;IF(INDEX(Однолинейка!$P$1:$P$1000,MATCH(557,Однолинейка!$BV$1:$BV$1000,0))="","","/"&amp;INDEX(Однолинейка!$P$1:$P$1000,MATCH(557,Однолинейка!$BV$1:$BV$1000,0))),"")</f>
      </c>
      <c r="D559" s="133">
        <f>IFERROR(INDEX(Однолинейка!$R$1:$R$1000,MATCH(557,Однолинейка!$BV$1:$BV$1000,0)),"")</f>
      </c>
      <c r="E559" s="133">
        <f>IFERROR(INDEX(Однолинейка!$S$1:$S$1000,MATCH(557,Однолинейка!$BV$1:$BV$1000,0)),"")</f>
      </c>
      <c r="F559" s="133">
        <f>IFERROR(INDEX(Однолинейка!$Q$1:$Q$1000,MATCH(557,Однолинейка!$BV$1:$BV$1000,0)),"")</f>
      </c>
    </row>
    <row r="560">
      <c r="A560" s="133">
        <f>IF(ISNUMBER(MATCH(558,Однолинейка!$BV$1:$BV$1000,0)),558,"")</f>
      </c>
      <c r="B560" s="133">
        <f>IFERROR(INDEX(Однолинейка!$A$1:$A$1000,MATCH(558,Однолинейка!$BV$1:$BV$1000,0)),"")</f>
      </c>
      <c r="C560" s="133">
        <f>IFERROR(INDEX(Однолинейка!$G$1:$G$1000,MATCH(558,Однолинейка!$BV$1:$BV$1000,0))&amp;IF(INDEX(Однолинейка!$P$1:$P$1000,MATCH(558,Однолинейка!$BV$1:$BV$1000,0))="","","/"&amp;INDEX(Однолинейка!$P$1:$P$1000,MATCH(558,Однолинейка!$BV$1:$BV$1000,0))),"")</f>
      </c>
      <c r="D560" s="133">
        <f>IFERROR(INDEX(Однолинейка!$R$1:$R$1000,MATCH(558,Однолинейка!$BV$1:$BV$1000,0)),"")</f>
      </c>
      <c r="E560" s="133">
        <f>IFERROR(INDEX(Однолинейка!$S$1:$S$1000,MATCH(558,Однолинейка!$BV$1:$BV$1000,0)),"")</f>
      </c>
      <c r="F560" s="133">
        <f>IFERROR(INDEX(Однолинейка!$Q$1:$Q$1000,MATCH(558,Однолинейка!$BV$1:$BV$1000,0)),"")</f>
      </c>
    </row>
    <row r="561">
      <c r="A561" s="133">
        <f>IF(ISNUMBER(MATCH(559,Однолинейка!$BV$1:$BV$1000,0)),559,"")</f>
      </c>
      <c r="B561" s="133">
        <f>IFERROR(INDEX(Однолинейка!$A$1:$A$1000,MATCH(559,Однолинейка!$BV$1:$BV$1000,0)),"")</f>
      </c>
      <c r="C561" s="133">
        <f>IFERROR(INDEX(Однолинейка!$G$1:$G$1000,MATCH(559,Однолинейка!$BV$1:$BV$1000,0))&amp;IF(INDEX(Однолинейка!$P$1:$P$1000,MATCH(559,Однолинейка!$BV$1:$BV$1000,0))="","","/"&amp;INDEX(Однолинейка!$P$1:$P$1000,MATCH(559,Однолинейка!$BV$1:$BV$1000,0))),"")</f>
      </c>
      <c r="D561" s="133">
        <f>IFERROR(INDEX(Однолинейка!$R$1:$R$1000,MATCH(559,Однолинейка!$BV$1:$BV$1000,0)),"")</f>
      </c>
      <c r="E561" s="133">
        <f>IFERROR(INDEX(Однолинейка!$S$1:$S$1000,MATCH(559,Однолинейка!$BV$1:$BV$1000,0)),"")</f>
      </c>
      <c r="F561" s="133">
        <f>IFERROR(INDEX(Однолинейка!$Q$1:$Q$1000,MATCH(559,Однолинейка!$BV$1:$BV$1000,0)),"")</f>
      </c>
    </row>
    <row r="562">
      <c r="A562" s="133">
        <f>IF(ISNUMBER(MATCH(560,Однолинейка!$BV$1:$BV$1000,0)),560,"")</f>
      </c>
      <c r="B562" s="133">
        <f>IFERROR(INDEX(Однолинейка!$A$1:$A$1000,MATCH(560,Однолинейка!$BV$1:$BV$1000,0)),"")</f>
      </c>
      <c r="C562" s="133">
        <f>IFERROR(INDEX(Однолинейка!$G$1:$G$1000,MATCH(560,Однолинейка!$BV$1:$BV$1000,0))&amp;IF(INDEX(Однолинейка!$P$1:$P$1000,MATCH(560,Однолинейка!$BV$1:$BV$1000,0))="","","/"&amp;INDEX(Однолинейка!$P$1:$P$1000,MATCH(560,Однолинейка!$BV$1:$BV$1000,0))),"")</f>
      </c>
      <c r="D562" s="133">
        <f>IFERROR(INDEX(Однолинейка!$R$1:$R$1000,MATCH(560,Однолинейка!$BV$1:$BV$1000,0)),"")</f>
      </c>
      <c r="E562" s="133">
        <f>IFERROR(INDEX(Однолинейка!$S$1:$S$1000,MATCH(560,Однолинейка!$BV$1:$BV$1000,0)),"")</f>
      </c>
      <c r="F562" s="133">
        <f>IFERROR(INDEX(Однолинейка!$Q$1:$Q$1000,MATCH(560,Однолинейка!$BV$1:$BV$1000,0)),"")</f>
      </c>
    </row>
    <row r="563">
      <c r="A563" s="133">
        <f>IF(ISNUMBER(MATCH(561,Однолинейка!$BV$1:$BV$1000,0)),561,"")</f>
      </c>
      <c r="B563" s="133">
        <f>IFERROR(INDEX(Однолинейка!$A$1:$A$1000,MATCH(561,Однолинейка!$BV$1:$BV$1000,0)),"")</f>
      </c>
      <c r="C563" s="133">
        <f>IFERROR(INDEX(Однолинейка!$G$1:$G$1000,MATCH(561,Однолинейка!$BV$1:$BV$1000,0))&amp;IF(INDEX(Однолинейка!$P$1:$P$1000,MATCH(561,Однолинейка!$BV$1:$BV$1000,0))="","","/"&amp;INDEX(Однолинейка!$P$1:$P$1000,MATCH(561,Однолинейка!$BV$1:$BV$1000,0))),"")</f>
      </c>
      <c r="D563" s="133">
        <f>IFERROR(INDEX(Однолинейка!$R$1:$R$1000,MATCH(561,Однолинейка!$BV$1:$BV$1000,0)),"")</f>
      </c>
      <c r="E563" s="133">
        <f>IFERROR(INDEX(Однолинейка!$S$1:$S$1000,MATCH(561,Однолинейка!$BV$1:$BV$1000,0)),"")</f>
      </c>
      <c r="F563" s="133">
        <f>IFERROR(INDEX(Однолинейка!$Q$1:$Q$1000,MATCH(561,Однолинейка!$BV$1:$BV$1000,0)),"")</f>
      </c>
    </row>
    <row r="564">
      <c r="A564" s="133">
        <f>IF(ISNUMBER(MATCH(562,Однолинейка!$BV$1:$BV$1000,0)),562,"")</f>
      </c>
      <c r="B564" s="133">
        <f>IFERROR(INDEX(Однолинейка!$A$1:$A$1000,MATCH(562,Однолинейка!$BV$1:$BV$1000,0)),"")</f>
      </c>
      <c r="C564" s="133">
        <f>IFERROR(INDEX(Однолинейка!$G$1:$G$1000,MATCH(562,Однолинейка!$BV$1:$BV$1000,0))&amp;IF(INDEX(Однолинейка!$P$1:$P$1000,MATCH(562,Однолинейка!$BV$1:$BV$1000,0))="","","/"&amp;INDEX(Однолинейка!$P$1:$P$1000,MATCH(562,Однолинейка!$BV$1:$BV$1000,0))),"")</f>
      </c>
      <c r="D564" s="133">
        <f>IFERROR(INDEX(Однолинейка!$R$1:$R$1000,MATCH(562,Однолинейка!$BV$1:$BV$1000,0)),"")</f>
      </c>
      <c r="E564" s="133">
        <f>IFERROR(INDEX(Однолинейка!$S$1:$S$1000,MATCH(562,Однолинейка!$BV$1:$BV$1000,0)),"")</f>
      </c>
      <c r="F564" s="133">
        <f>IFERROR(INDEX(Однолинейка!$Q$1:$Q$1000,MATCH(562,Однолинейка!$BV$1:$BV$1000,0)),"")</f>
      </c>
    </row>
    <row r="565">
      <c r="A565" s="133">
        <f>IF(ISNUMBER(MATCH(563,Однолинейка!$BV$1:$BV$1000,0)),563,"")</f>
      </c>
      <c r="B565" s="133">
        <f>IFERROR(INDEX(Однолинейка!$A$1:$A$1000,MATCH(563,Однолинейка!$BV$1:$BV$1000,0)),"")</f>
      </c>
      <c r="C565" s="133">
        <f>IFERROR(INDEX(Однолинейка!$G$1:$G$1000,MATCH(563,Однолинейка!$BV$1:$BV$1000,0))&amp;IF(INDEX(Однолинейка!$P$1:$P$1000,MATCH(563,Однолинейка!$BV$1:$BV$1000,0))="","","/"&amp;INDEX(Однолинейка!$P$1:$P$1000,MATCH(563,Однолинейка!$BV$1:$BV$1000,0))),"")</f>
      </c>
      <c r="D565" s="133">
        <f>IFERROR(INDEX(Однолинейка!$R$1:$R$1000,MATCH(563,Однолинейка!$BV$1:$BV$1000,0)),"")</f>
      </c>
      <c r="E565" s="133">
        <f>IFERROR(INDEX(Однолинейка!$S$1:$S$1000,MATCH(563,Однолинейка!$BV$1:$BV$1000,0)),"")</f>
      </c>
      <c r="F565" s="133">
        <f>IFERROR(INDEX(Однолинейка!$Q$1:$Q$1000,MATCH(563,Однолинейка!$BV$1:$BV$1000,0)),"")</f>
      </c>
    </row>
    <row r="566">
      <c r="A566" s="133">
        <f>IF(ISNUMBER(MATCH(564,Однолинейка!$BV$1:$BV$1000,0)),564,"")</f>
      </c>
      <c r="B566" s="133">
        <f>IFERROR(INDEX(Однолинейка!$A$1:$A$1000,MATCH(564,Однолинейка!$BV$1:$BV$1000,0)),"")</f>
      </c>
      <c r="C566" s="133">
        <f>IFERROR(INDEX(Однолинейка!$G$1:$G$1000,MATCH(564,Однолинейка!$BV$1:$BV$1000,0))&amp;IF(INDEX(Однолинейка!$P$1:$P$1000,MATCH(564,Однолинейка!$BV$1:$BV$1000,0))="","","/"&amp;INDEX(Однолинейка!$P$1:$P$1000,MATCH(564,Однолинейка!$BV$1:$BV$1000,0))),"")</f>
      </c>
      <c r="D566" s="133">
        <f>IFERROR(INDEX(Однолинейка!$R$1:$R$1000,MATCH(564,Однолинейка!$BV$1:$BV$1000,0)),"")</f>
      </c>
      <c r="E566" s="133">
        <f>IFERROR(INDEX(Однолинейка!$S$1:$S$1000,MATCH(564,Однолинейка!$BV$1:$BV$1000,0)),"")</f>
      </c>
      <c r="F566" s="133">
        <f>IFERROR(INDEX(Однолинейка!$Q$1:$Q$1000,MATCH(564,Однолинейка!$BV$1:$BV$1000,0)),"")</f>
      </c>
    </row>
    <row r="567">
      <c r="A567" s="133">
        <f>IF(ISNUMBER(MATCH(565,Однолинейка!$BV$1:$BV$1000,0)),565,"")</f>
      </c>
      <c r="B567" s="133">
        <f>IFERROR(INDEX(Однолинейка!$A$1:$A$1000,MATCH(565,Однолинейка!$BV$1:$BV$1000,0)),"")</f>
      </c>
      <c r="C567" s="133">
        <f>IFERROR(INDEX(Однолинейка!$G$1:$G$1000,MATCH(565,Однолинейка!$BV$1:$BV$1000,0))&amp;IF(INDEX(Однолинейка!$P$1:$P$1000,MATCH(565,Однолинейка!$BV$1:$BV$1000,0))="","","/"&amp;INDEX(Однолинейка!$P$1:$P$1000,MATCH(565,Однолинейка!$BV$1:$BV$1000,0))),"")</f>
      </c>
      <c r="D567" s="133">
        <f>IFERROR(INDEX(Однолинейка!$R$1:$R$1000,MATCH(565,Однолинейка!$BV$1:$BV$1000,0)),"")</f>
      </c>
      <c r="E567" s="133">
        <f>IFERROR(INDEX(Однолинейка!$S$1:$S$1000,MATCH(565,Однолинейка!$BV$1:$BV$1000,0)),"")</f>
      </c>
      <c r="F567" s="133">
        <f>IFERROR(INDEX(Однолинейка!$Q$1:$Q$1000,MATCH(565,Однолинейка!$BV$1:$BV$1000,0)),"")</f>
      </c>
    </row>
    <row r="568">
      <c r="A568" s="133">
        <f>IF(ISNUMBER(MATCH(566,Однолинейка!$BV$1:$BV$1000,0)),566,"")</f>
      </c>
      <c r="B568" s="133">
        <f>IFERROR(INDEX(Однолинейка!$A$1:$A$1000,MATCH(566,Однолинейка!$BV$1:$BV$1000,0)),"")</f>
      </c>
      <c r="C568" s="133">
        <f>IFERROR(INDEX(Однолинейка!$G$1:$G$1000,MATCH(566,Однолинейка!$BV$1:$BV$1000,0))&amp;IF(INDEX(Однолинейка!$P$1:$P$1000,MATCH(566,Однолинейка!$BV$1:$BV$1000,0))="","","/"&amp;INDEX(Однолинейка!$P$1:$P$1000,MATCH(566,Однолинейка!$BV$1:$BV$1000,0))),"")</f>
      </c>
      <c r="D568" s="133">
        <f>IFERROR(INDEX(Однолинейка!$R$1:$R$1000,MATCH(566,Однолинейка!$BV$1:$BV$1000,0)),"")</f>
      </c>
      <c r="E568" s="133">
        <f>IFERROR(INDEX(Однолинейка!$S$1:$S$1000,MATCH(566,Однолинейка!$BV$1:$BV$1000,0)),"")</f>
      </c>
      <c r="F568" s="133">
        <f>IFERROR(INDEX(Однолинейка!$Q$1:$Q$1000,MATCH(566,Однолинейка!$BV$1:$BV$1000,0)),"")</f>
      </c>
    </row>
    <row r="569">
      <c r="A569" s="133">
        <f>IF(ISNUMBER(MATCH(567,Однолинейка!$BV$1:$BV$1000,0)),567,"")</f>
      </c>
      <c r="B569" s="133">
        <f>IFERROR(INDEX(Однолинейка!$A$1:$A$1000,MATCH(567,Однолинейка!$BV$1:$BV$1000,0)),"")</f>
      </c>
      <c r="C569" s="133">
        <f>IFERROR(INDEX(Однолинейка!$G$1:$G$1000,MATCH(567,Однолинейка!$BV$1:$BV$1000,0))&amp;IF(INDEX(Однолинейка!$P$1:$P$1000,MATCH(567,Однолинейка!$BV$1:$BV$1000,0))="","","/"&amp;INDEX(Однолинейка!$P$1:$P$1000,MATCH(567,Однолинейка!$BV$1:$BV$1000,0))),"")</f>
      </c>
      <c r="D569" s="133">
        <f>IFERROR(INDEX(Однолинейка!$R$1:$R$1000,MATCH(567,Однолинейка!$BV$1:$BV$1000,0)),"")</f>
      </c>
      <c r="E569" s="133">
        <f>IFERROR(INDEX(Однолинейка!$S$1:$S$1000,MATCH(567,Однолинейка!$BV$1:$BV$1000,0)),"")</f>
      </c>
      <c r="F569" s="133">
        <f>IFERROR(INDEX(Однолинейка!$Q$1:$Q$1000,MATCH(567,Однолинейка!$BV$1:$BV$1000,0)),"")</f>
      </c>
    </row>
    <row r="570">
      <c r="A570" s="133">
        <f>IF(ISNUMBER(MATCH(568,Однолинейка!$BV$1:$BV$1000,0)),568,"")</f>
      </c>
      <c r="B570" s="133">
        <f>IFERROR(INDEX(Однолинейка!$A$1:$A$1000,MATCH(568,Однолинейка!$BV$1:$BV$1000,0)),"")</f>
      </c>
      <c r="C570" s="133">
        <f>IFERROR(INDEX(Однолинейка!$G$1:$G$1000,MATCH(568,Однолинейка!$BV$1:$BV$1000,0))&amp;IF(INDEX(Однолинейка!$P$1:$P$1000,MATCH(568,Однолинейка!$BV$1:$BV$1000,0))="","","/"&amp;INDEX(Однолинейка!$P$1:$P$1000,MATCH(568,Однолинейка!$BV$1:$BV$1000,0))),"")</f>
      </c>
      <c r="D570" s="133">
        <f>IFERROR(INDEX(Однолинейка!$R$1:$R$1000,MATCH(568,Однолинейка!$BV$1:$BV$1000,0)),"")</f>
      </c>
      <c r="E570" s="133">
        <f>IFERROR(INDEX(Однолинейка!$S$1:$S$1000,MATCH(568,Однолинейка!$BV$1:$BV$1000,0)),"")</f>
      </c>
      <c r="F570" s="133">
        <f>IFERROR(INDEX(Однолинейка!$Q$1:$Q$1000,MATCH(568,Однолинейка!$BV$1:$BV$1000,0)),"")</f>
      </c>
    </row>
    <row r="571">
      <c r="A571" s="133">
        <f>IF(ISNUMBER(MATCH(569,Однолинейка!$BV$1:$BV$1000,0)),569,"")</f>
      </c>
      <c r="B571" s="133">
        <f>IFERROR(INDEX(Однолинейка!$A$1:$A$1000,MATCH(569,Однолинейка!$BV$1:$BV$1000,0)),"")</f>
      </c>
      <c r="C571" s="133">
        <f>IFERROR(INDEX(Однолинейка!$G$1:$G$1000,MATCH(569,Однолинейка!$BV$1:$BV$1000,0))&amp;IF(INDEX(Однолинейка!$P$1:$P$1000,MATCH(569,Однолинейка!$BV$1:$BV$1000,0))="","","/"&amp;INDEX(Однолинейка!$P$1:$P$1000,MATCH(569,Однолинейка!$BV$1:$BV$1000,0))),"")</f>
      </c>
      <c r="D571" s="133">
        <f>IFERROR(INDEX(Однолинейка!$R$1:$R$1000,MATCH(569,Однолинейка!$BV$1:$BV$1000,0)),"")</f>
      </c>
      <c r="E571" s="133">
        <f>IFERROR(INDEX(Однолинейка!$S$1:$S$1000,MATCH(569,Однолинейка!$BV$1:$BV$1000,0)),"")</f>
      </c>
      <c r="F571" s="133">
        <f>IFERROR(INDEX(Однолинейка!$Q$1:$Q$1000,MATCH(569,Однолинейка!$BV$1:$BV$1000,0)),"")</f>
      </c>
    </row>
    <row r="572">
      <c r="A572" s="133">
        <f>IF(ISNUMBER(MATCH(570,Однолинейка!$BV$1:$BV$1000,0)),570,"")</f>
      </c>
      <c r="B572" s="133">
        <f>IFERROR(INDEX(Однолинейка!$A$1:$A$1000,MATCH(570,Однолинейка!$BV$1:$BV$1000,0)),"")</f>
      </c>
      <c r="C572" s="133">
        <f>IFERROR(INDEX(Однолинейка!$G$1:$G$1000,MATCH(570,Однолинейка!$BV$1:$BV$1000,0))&amp;IF(INDEX(Однолинейка!$P$1:$P$1000,MATCH(570,Однолинейка!$BV$1:$BV$1000,0))="","","/"&amp;INDEX(Однолинейка!$P$1:$P$1000,MATCH(570,Однолинейка!$BV$1:$BV$1000,0))),"")</f>
      </c>
      <c r="D572" s="133">
        <f>IFERROR(INDEX(Однолинейка!$R$1:$R$1000,MATCH(570,Однолинейка!$BV$1:$BV$1000,0)),"")</f>
      </c>
      <c r="E572" s="133">
        <f>IFERROR(INDEX(Однолинейка!$S$1:$S$1000,MATCH(570,Однолинейка!$BV$1:$BV$1000,0)),"")</f>
      </c>
      <c r="F572" s="133">
        <f>IFERROR(INDEX(Однолинейка!$Q$1:$Q$1000,MATCH(570,Однолинейка!$BV$1:$BV$1000,0)),"")</f>
      </c>
    </row>
    <row r="573">
      <c r="A573" s="133">
        <f>IF(ISNUMBER(MATCH(571,Однолинейка!$BV$1:$BV$1000,0)),571,"")</f>
      </c>
      <c r="B573" s="133">
        <f>IFERROR(INDEX(Однолинейка!$A$1:$A$1000,MATCH(571,Однолинейка!$BV$1:$BV$1000,0)),"")</f>
      </c>
      <c r="C573" s="133">
        <f>IFERROR(INDEX(Однолинейка!$G$1:$G$1000,MATCH(571,Однолинейка!$BV$1:$BV$1000,0))&amp;IF(INDEX(Однолинейка!$P$1:$P$1000,MATCH(571,Однолинейка!$BV$1:$BV$1000,0))="","","/"&amp;INDEX(Однолинейка!$P$1:$P$1000,MATCH(571,Однолинейка!$BV$1:$BV$1000,0))),"")</f>
      </c>
      <c r="D573" s="133">
        <f>IFERROR(INDEX(Однолинейка!$R$1:$R$1000,MATCH(571,Однолинейка!$BV$1:$BV$1000,0)),"")</f>
      </c>
      <c r="E573" s="133">
        <f>IFERROR(INDEX(Однолинейка!$S$1:$S$1000,MATCH(571,Однолинейка!$BV$1:$BV$1000,0)),"")</f>
      </c>
      <c r="F573" s="133">
        <f>IFERROR(INDEX(Однолинейка!$Q$1:$Q$1000,MATCH(571,Однолинейка!$BV$1:$BV$1000,0)),"")</f>
      </c>
    </row>
    <row r="574">
      <c r="A574" s="133">
        <f>IF(ISNUMBER(MATCH(572,Однолинейка!$BV$1:$BV$1000,0)),572,"")</f>
      </c>
      <c r="B574" s="133">
        <f>IFERROR(INDEX(Однолинейка!$A$1:$A$1000,MATCH(572,Однолинейка!$BV$1:$BV$1000,0)),"")</f>
      </c>
      <c r="C574" s="133">
        <f>IFERROR(INDEX(Однолинейка!$G$1:$G$1000,MATCH(572,Однолинейка!$BV$1:$BV$1000,0))&amp;IF(INDEX(Однолинейка!$P$1:$P$1000,MATCH(572,Однолинейка!$BV$1:$BV$1000,0))="","","/"&amp;INDEX(Однолинейка!$P$1:$P$1000,MATCH(572,Однолинейка!$BV$1:$BV$1000,0))),"")</f>
      </c>
      <c r="D574" s="133">
        <f>IFERROR(INDEX(Однолинейка!$R$1:$R$1000,MATCH(572,Однолинейка!$BV$1:$BV$1000,0)),"")</f>
      </c>
      <c r="E574" s="133">
        <f>IFERROR(INDEX(Однолинейка!$S$1:$S$1000,MATCH(572,Однолинейка!$BV$1:$BV$1000,0)),"")</f>
      </c>
      <c r="F574" s="133">
        <f>IFERROR(INDEX(Однолинейка!$Q$1:$Q$1000,MATCH(572,Однолинейка!$BV$1:$BV$1000,0)),"")</f>
      </c>
    </row>
    <row r="575">
      <c r="A575" s="133">
        <f>IF(ISNUMBER(MATCH(573,Однолинейка!$BV$1:$BV$1000,0)),573,"")</f>
      </c>
      <c r="B575" s="133">
        <f>IFERROR(INDEX(Однолинейка!$A$1:$A$1000,MATCH(573,Однолинейка!$BV$1:$BV$1000,0)),"")</f>
      </c>
      <c r="C575" s="133">
        <f>IFERROR(INDEX(Однолинейка!$G$1:$G$1000,MATCH(573,Однолинейка!$BV$1:$BV$1000,0))&amp;IF(INDEX(Однолинейка!$P$1:$P$1000,MATCH(573,Однолинейка!$BV$1:$BV$1000,0))="","","/"&amp;INDEX(Однолинейка!$P$1:$P$1000,MATCH(573,Однолинейка!$BV$1:$BV$1000,0))),"")</f>
      </c>
      <c r="D575" s="133">
        <f>IFERROR(INDEX(Однолинейка!$R$1:$R$1000,MATCH(573,Однолинейка!$BV$1:$BV$1000,0)),"")</f>
      </c>
      <c r="E575" s="133">
        <f>IFERROR(INDEX(Однолинейка!$S$1:$S$1000,MATCH(573,Однолинейка!$BV$1:$BV$1000,0)),"")</f>
      </c>
      <c r="F575" s="133">
        <f>IFERROR(INDEX(Однолинейка!$Q$1:$Q$1000,MATCH(573,Однолинейка!$BV$1:$BV$1000,0)),"")</f>
      </c>
    </row>
    <row r="576">
      <c r="A576" s="133">
        <f>IF(ISNUMBER(MATCH(574,Однолинейка!$BV$1:$BV$1000,0)),574,"")</f>
      </c>
      <c r="B576" s="133">
        <f>IFERROR(INDEX(Однолинейка!$A$1:$A$1000,MATCH(574,Однолинейка!$BV$1:$BV$1000,0)),"")</f>
      </c>
      <c r="C576" s="133">
        <f>IFERROR(INDEX(Однолинейка!$G$1:$G$1000,MATCH(574,Однолинейка!$BV$1:$BV$1000,0))&amp;IF(INDEX(Однолинейка!$P$1:$P$1000,MATCH(574,Однолинейка!$BV$1:$BV$1000,0))="","","/"&amp;INDEX(Однолинейка!$P$1:$P$1000,MATCH(574,Однолинейка!$BV$1:$BV$1000,0))),"")</f>
      </c>
      <c r="D576" s="133">
        <f>IFERROR(INDEX(Однолинейка!$R$1:$R$1000,MATCH(574,Однолинейка!$BV$1:$BV$1000,0)),"")</f>
      </c>
      <c r="E576" s="133">
        <f>IFERROR(INDEX(Однолинейка!$S$1:$S$1000,MATCH(574,Однолинейка!$BV$1:$BV$1000,0)),"")</f>
      </c>
      <c r="F576" s="133">
        <f>IFERROR(INDEX(Однолинейка!$Q$1:$Q$1000,MATCH(574,Однолинейка!$BV$1:$BV$1000,0)),"")</f>
      </c>
    </row>
    <row r="577">
      <c r="A577" s="133">
        <f>IF(ISNUMBER(MATCH(575,Однолинейка!$BV$1:$BV$1000,0)),575,"")</f>
      </c>
      <c r="B577" s="133">
        <f>IFERROR(INDEX(Однолинейка!$A$1:$A$1000,MATCH(575,Однолинейка!$BV$1:$BV$1000,0)),"")</f>
      </c>
      <c r="C577" s="133">
        <f>IFERROR(INDEX(Однолинейка!$G$1:$G$1000,MATCH(575,Однолинейка!$BV$1:$BV$1000,0))&amp;IF(INDEX(Однолинейка!$P$1:$P$1000,MATCH(575,Однолинейка!$BV$1:$BV$1000,0))="","","/"&amp;INDEX(Однолинейка!$P$1:$P$1000,MATCH(575,Однолинейка!$BV$1:$BV$1000,0))),"")</f>
      </c>
      <c r="D577" s="133">
        <f>IFERROR(INDEX(Однолинейка!$R$1:$R$1000,MATCH(575,Однолинейка!$BV$1:$BV$1000,0)),"")</f>
      </c>
      <c r="E577" s="133">
        <f>IFERROR(INDEX(Однолинейка!$S$1:$S$1000,MATCH(575,Однолинейка!$BV$1:$BV$1000,0)),"")</f>
      </c>
      <c r="F577" s="133">
        <f>IFERROR(INDEX(Однолинейка!$Q$1:$Q$1000,MATCH(575,Однолинейка!$BV$1:$BV$1000,0)),"")</f>
      </c>
    </row>
    <row r="578">
      <c r="A578" s="133">
        <f>IF(ISNUMBER(MATCH(576,Однолинейка!$BV$1:$BV$1000,0)),576,"")</f>
      </c>
      <c r="B578" s="133">
        <f>IFERROR(INDEX(Однолинейка!$A$1:$A$1000,MATCH(576,Однолинейка!$BV$1:$BV$1000,0)),"")</f>
      </c>
      <c r="C578" s="133">
        <f>IFERROR(INDEX(Однолинейка!$G$1:$G$1000,MATCH(576,Однолинейка!$BV$1:$BV$1000,0))&amp;IF(INDEX(Однолинейка!$P$1:$P$1000,MATCH(576,Однолинейка!$BV$1:$BV$1000,0))="","","/"&amp;INDEX(Однолинейка!$P$1:$P$1000,MATCH(576,Однолинейка!$BV$1:$BV$1000,0))),"")</f>
      </c>
      <c r="D578" s="133">
        <f>IFERROR(INDEX(Однолинейка!$R$1:$R$1000,MATCH(576,Однолинейка!$BV$1:$BV$1000,0)),"")</f>
      </c>
      <c r="E578" s="133">
        <f>IFERROR(INDEX(Однолинейка!$S$1:$S$1000,MATCH(576,Однолинейка!$BV$1:$BV$1000,0)),"")</f>
      </c>
      <c r="F578" s="133">
        <f>IFERROR(INDEX(Однолинейка!$Q$1:$Q$1000,MATCH(576,Однолинейка!$BV$1:$BV$1000,0)),"")</f>
      </c>
    </row>
    <row r="579">
      <c r="A579" s="133">
        <f>IF(ISNUMBER(MATCH(577,Однолинейка!$BV$1:$BV$1000,0)),577,"")</f>
      </c>
      <c r="B579" s="133">
        <f>IFERROR(INDEX(Однолинейка!$A$1:$A$1000,MATCH(577,Однолинейка!$BV$1:$BV$1000,0)),"")</f>
      </c>
      <c r="C579" s="133">
        <f>IFERROR(INDEX(Однолинейка!$G$1:$G$1000,MATCH(577,Однолинейка!$BV$1:$BV$1000,0))&amp;IF(INDEX(Однолинейка!$P$1:$P$1000,MATCH(577,Однолинейка!$BV$1:$BV$1000,0))="","","/"&amp;INDEX(Однолинейка!$P$1:$P$1000,MATCH(577,Однолинейка!$BV$1:$BV$1000,0))),"")</f>
      </c>
      <c r="D579" s="133">
        <f>IFERROR(INDEX(Однолинейка!$R$1:$R$1000,MATCH(577,Однолинейка!$BV$1:$BV$1000,0)),"")</f>
      </c>
      <c r="E579" s="133">
        <f>IFERROR(INDEX(Однолинейка!$S$1:$S$1000,MATCH(577,Однолинейка!$BV$1:$BV$1000,0)),"")</f>
      </c>
      <c r="F579" s="133">
        <f>IFERROR(INDEX(Однолинейка!$Q$1:$Q$1000,MATCH(577,Однолинейка!$BV$1:$BV$1000,0)),"")</f>
      </c>
    </row>
    <row r="580">
      <c r="A580" s="133">
        <f>IF(ISNUMBER(MATCH(578,Однолинейка!$BV$1:$BV$1000,0)),578,"")</f>
      </c>
      <c r="B580" s="133">
        <f>IFERROR(INDEX(Однолинейка!$A$1:$A$1000,MATCH(578,Однолинейка!$BV$1:$BV$1000,0)),"")</f>
      </c>
      <c r="C580" s="133">
        <f>IFERROR(INDEX(Однолинейка!$G$1:$G$1000,MATCH(578,Однолинейка!$BV$1:$BV$1000,0))&amp;IF(INDEX(Однолинейка!$P$1:$P$1000,MATCH(578,Однолинейка!$BV$1:$BV$1000,0))="","","/"&amp;INDEX(Однолинейка!$P$1:$P$1000,MATCH(578,Однолинейка!$BV$1:$BV$1000,0))),"")</f>
      </c>
      <c r="D580" s="133">
        <f>IFERROR(INDEX(Однолинейка!$R$1:$R$1000,MATCH(578,Однолинейка!$BV$1:$BV$1000,0)),"")</f>
      </c>
      <c r="E580" s="133">
        <f>IFERROR(INDEX(Однолинейка!$S$1:$S$1000,MATCH(578,Однолинейка!$BV$1:$BV$1000,0)),"")</f>
      </c>
      <c r="F580" s="133">
        <f>IFERROR(INDEX(Однолинейка!$Q$1:$Q$1000,MATCH(578,Однолинейка!$BV$1:$BV$1000,0)),"")</f>
      </c>
    </row>
    <row r="581">
      <c r="A581" s="133">
        <f>IF(ISNUMBER(MATCH(579,Однолинейка!$BV$1:$BV$1000,0)),579,"")</f>
      </c>
      <c r="B581" s="133">
        <f>IFERROR(INDEX(Однолинейка!$A$1:$A$1000,MATCH(579,Однолинейка!$BV$1:$BV$1000,0)),"")</f>
      </c>
      <c r="C581" s="133">
        <f>IFERROR(INDEX(Однолинейка!$G$1:$G$1000,MATCH(579,Однолинейка!$BV$1:$BV$1000,0))&amp;IF(INDEX(Однолинейка!$P$1:$P$1000,MATCH(579,Однолинейка!$BV$1:$BV$1000,0))="","","/"&amp;INDEX(Однолинейка!$P$1:$P$1000,MATCH(579,Однолинейка!$BV$1:$BV$1000,0))),"")</f>
      </c>
      <c r="D581" s="133">
        <f>IFERROR(INDEX(Однолинейка!$R$1:$R$1000,MATCH(579,Однолинейка!$BV$1:$BV$1000,0)),"")</f>
      </c>
      <c r="E581" s="133">
        <f>IFERROR(INDEX(Однолинейка!$S$1:$S$1000,MATCH(579,Однолинейка!$BV$1:$BV$1000,0)),"")</f>
      </c>
      <c r="F581" s="133">
        <f>IFERROR(INDEX(Однолинейка!$Q$1:$Q$1000,MATCH(579,Однолинейка!$BV$1:$BV$1000,0)),"")</f>
      </c>
    </row>
    <row r="582">
      <c r="A582" s="133">
        <f>IF(ISNUMBER(MATCH(580,Однолинейка!$BV$1:$BV$1000,0)),580,"")</f>
      </c>
      <c r="B582" s="133">
        <f>IFERROR(INDEX(Однолинейка!$A$1:$A$1000,MATCH(580,Однолинейка!$BV$1:$BV$1000,0)),"")</f>
      </c>
      <c r="C582" s="133">
        <f>IFERROR(INDEX(Однолинейка!$G$1:$G$1000,MATCH(580,Однолинейка!$BV$1:$BV$1000,0))&amp;IF(INDEX(Однолинейка!$P$1:$P$1000,MATCH(580,Однолинейка!$BV$1:$BV$1000,0))="","","/"&amp;INDEX(Однолинейка!$P$1:$P$1000,MATCH(580,Однолинейка!$BV$1:$BV$1000,0))),"")</f>
      </c>
      <c r="D582" s="133">
        <f>IFERROR(INDEX(Однолинейка!$R$1:$R$1000,MATCH(580,Однолинейка!$BV$1:$BV$1000,0)),"")</f>
      </c>
      <c r="E582" s="133">
        <f>IFERROR(INDEX(Однолинейка!$S$1:$S$1000,MATCH(580,Однолинейка!$BV$1:$BV$1000,0)),"")</f>
      </c>
      <c r="F582" s="133">
        <f>IFERROR(INDEX(Однолинейка!$Q$1:$Q$1000,MATCH(580,Однолинейка!$BV$1:$BV$1000,0)),"")</f>
      </c>
    </row>
    <row r="583">
      <c r="A583" s="133">
        <f>IF(ISNUMBER(MATCH(581,Однолинейка!$BV$1:$BV$1000,0)),581,"")</f>
      </c>
      <c r="B583" s="133">
        <f>IFERROR(INDEX(Однолинейка!$A$1:$A$1000,MATCH(581,Однолинейка!$BV$1:$BV$1000,0)),"")</f>
      </c>
      <c r="C583" s="133">
        <f>IFERROR(INDEX(Однолинейка!$G$1:$G$1000,MATCH(581,Однолинейка!$BV$1:$BV$1000,0))&amp;IF(INDEX(Однолинейка!$P$1:$P$1000,MATCH(581,Однолинейка!$BV$1:$BV$1000,0))="","","/"&amp;INDEX(Однолинейка!$P$1:$P$1000,MATCH(581,Однолинейка!$BV$1:$BV$1000,0))),"")</f>
      </c>
      <c r="D583" s="133">
        <f>IFERROR(INDEX(Однолинейка!$R$1:$R$1000,MATCH(581,Однолинейка!$BV$1:$BV$1000,0)),"")</f>
      </c>
      <c r="E583" s="133">
        <f>IFERROR(INDEX(Однолинейка!$S$1:$S$1000,MATCH(581,Однолинейка!$BV$1:$BV$1000,0)),"")</f>
      </c>
      <c r="F583" s="133">
        <f>IFERROR(INDEX(Однолинейка!$Q$1:$Q$1000,MATCH(581,Однолинейка!$BV$1:$BV$1000,0)),"")</f>
      </c>
    </row>
    <row r="584">
      <c r="A584" s="133">
        <f>IF(ISNUMBER(MATCH(582,Однолинейка!$BV$1:$BV$1000,0)),582,"")</f>
      </c>
      <c r="B584" s="133">
        <f>IFERROR(INDEX(Однолинейка!$A$1:$A$1000,MATCH(582,Однолинейка!$BV$1:$BV$1000,0)),"")</f>
      </c>
      <c r="C584" s="133">
        <f>IFERROR(INDEX(Однолинейка!$G$1:$G$1000,MATCH(582,Однолинейка!$BV$1:$BV$1000,0))&amp;IF(INDEX(Однолинейка!$P$1:$P$1000,MATCH(582,Однолинейка!$BV$1:$BV$1000,0))="","","/"&amp;INDEX(Однолинейка!$P$1:$P$1000,MATCH(582,Однолинейка!$BV$1:$BV$1000,0))),"")</f>
      </c>
      <c r="D584" s="133">
        <f>IFERROR(INDEX(Однолинейка!$R$1:$R$1000,MATCH(582,Однолинейка!$BV$1:$BV$1000,0)),"")</f>
      </c>
      <c r="E584" s="133">
        <f>IFERROR(INDEX(Однолинейка!$S$1:$S$1000,MATCH(582,Однолинейка!$BV$1:$BV$1000,0)),"")</f>
      </c>
      <c r="F584" s="133">
        <f>IFERROR(INDEX(Однолинейка!$Q$1:$Q$1000,MATCH(582,Однолинейка!$BV$1:$BV$1000,0)),"")</f>
      </c>
    </row>
    <row r="585">
      <c r="A585" s="133">
        <f>IF(ISNUMBER(MATCH(583,Однолинейка!$BV$1:$BV$1000,0)),583,"")</f>
      </c>
      <c r="B585" s="133">
        <f>IFERROR(INDEX(Однолинейка!$A$1:$A$1000,MATCH(583,Однолинейка!$BV$1:$BV$1000,0)),"")</f>
      </c>
      <c r="C585" s="133">
        <f>IFERROR(INDEX(Однолинейка!$G$1:$G$1000,MATCH(583,Однолинейка!$BV$1:$BV$1000,0))&amp;IF(INDEX(Однолинейка!$P$1:$P$1000,MATCH(583,Однолинейка!$BV$1:$BV$1000,0))="","","/"&amp;INDEX(Однолинейка!$P$1:$P$1000,MATCH(583,Однолинейка!$BV$1:$BV$1000,0))),"")</f>
      </c>
      <c r="D585" s="133">
        <f>IFERROR(INDEX(Однолинейка!$R$1:$R$1000,MATCH(583,Однолинейка!$BV$1:$BV$1000,0)),"")</f>
      </c>
      <c r="E585" s="133">
        <f>IFERROR(INDEX(Однолинейка!$S$1:$S$1000,MATCH(583,Однолинейка!$BV$1:$BV$1000,0)),"")</f>
      </c>
      <c r="F585" s="133">
        <f>IFERROR(INDEX(Однолинейка!$Q$1:$Q$1000,MATCH(583,Однолинейка!$BV$1:$BV$1000,0)),"")</f>
      </c>
    </row>
    <row r="586">
      <c r="A586" s="133">
        <f>IF(ISNUMBER(MATCH(584,Однолинейка!$BV$1:$BV$1000,0)),584,"")</f>
      </c>
      <c r="B586" s="133">
        <f>IFERROR(INDEX(Однолинейка!$A$1:$A$1000,MATCH(584,Однолинейка!$BV$1:$BV$1000,0)),"")</f>
      </c>
      <c r="C586" s="133">
        <f>IFERROR(INDEX(Однолинейка!$G$1:$G$1000,MATCH(584,Однолинейка!$BV$1:$BV$1000,0))&amp;IF(INDEX(Однолинейка!$P$1:$P$1000,MATCH(584,Однолинейка!$BV$1:$BV$1000,0))="","","/"&amp;INDEX(Однолинейка!$P$1:$P$1000,MATCH(584,Однолинейка!$BV$1:$BV$1000,0))),"")</f>
      </c>
      <c r="D586" s="133">
        <f>IFERROR(INDEX(Однолинейка!$R$1:$R$1000,MATCH(584,Однолинейка!$BV$1:$BV$1000,0)),"")</f>
      </c>
      <c r="E586" s="133">
        <f>IFERROR(INDEX(Однолинейка!$S$1:$S$1000,MATCH(584,Однолинейка!$BV$1:$BV$1000,0)),"")</f>
      </c>
      <c r="F586" s="133">
        <f>IFERROR(INDEX(Однолинейка!$Q$1:$Q$1000,MATCH(584,Однолинейка!$BV$1:$BV$1000,0)),"")</f>
      </c>
    </row>
    <row r="587">
      <c r="A587" s="133">
        <f>IF(ISNUMBER(MATCH(585,Однолинейка!$BV$1:$BV$1000,0)),585,"")</f>
      </c>
      <c r="B587" s="133">
        <f>IFERROR(INDEX(Однолинейка!$A$1:$A$1000,MATCH(585,Однолинейка!$BV$1:$BV$1000,0)),"")</f>
      </c>
      <c r="C587" s="133">
        <f>IFERROR(INDEX(Однолинейка!$G$1:$G$1000,MATCH(585,Однолинейка!$BV$1:$BV$1000,0))&amp;IF(INDEX(Однолинейка!$P$1:$P$1000,MATCH(585,Однолинейка!$BV$1:$BV$1000,0))="","","/"&amp;INDEX(Однолинейка!$P$1:$P$1000,MATCH(585,Однолинейка!$BV$1:$BV$1000,0))),"")</f>
      </c>
      <c r="D587" s="133">
        <f>IFERROR(INDEX(Однолинейка!$R$1:$R$1000,MATCH(585,Однолинейка!$BV$1:$BV$1000,0)),"")</f>
      </c>
      <c r="E587" s="133">
        <f>IFERROR(INDEX(Однолинейка!$S$1:$S$1000,MATCH(585,Однолинейка!$BV$1:$BV$1000,0)),"")</f>
      </c>
      <c r="F587" s="133">
        <f>IFERROR(INDEX(Однолинейка!$Q$1:$Q$1000,MATCH(585,Однолинейка!$BV$1:$BV$1000,0)),"")</f>
      </c>
    </row>
    <row r="588">
      <c r="A588" s="133">
        <f>IF(ISNUMBER(MATCH(586,Однолинейка!$BV$1:$BV$1000,0)),586,"")</f>
      </c>
      <c r="B588" s="133">
        <f>IFERROR(INDEX(Однолинейка!$A$1:$A$1000,MATCH(586,Однолинейка!$BV$1:$BV$1000,0)),"")</f>
      </c>
      <c r="C588" s="133">
        <f>IFERROR(INDEX(Однолинейка!$G$1:$G$1000,MATCH(586,Однолинейка!$BV$1:$BV$1000,0))&amp;IF(INDEX(Однолинейка!$P$1:$P$1000,MATCH(586,Однолинейка!$BV$1:$BV$1000,0))="","","/"&amp;INDEX(Однолинейка!$P$1:$P$1000,MATCH(586,Однолинейка!$BV$1:$BV$1000,0))),"")</f>
      </c>
      <c r="D588" s="133">
        <f>IFERROR(INDEX(Однолинейка!$R$1:$R$1000,MATCH(586,Однолинейка!$BV$1:$BV$1000,0)),"")</f>
      </c>
      <c r="E588" s="133">
        <f>IFERROR(INDEX(Однолинейка!$S$1:$S$1000,MATCH(586,Однолинейка!$BV$1:$BV$1000,0)),"")</f>
      </c>
      <c r="F588" s="133">
        <f>IFERROR(INDEX(Однолинейка!$Q$1:$Q$1000,MATCH(586,Однолинейка!$BV$1:$BV$1000,0)),"")</f>
      </c>
    </row>
    <row r="589">
      <c r="A589" s="133">
        <f>IF(ISNUMBER(MATCH(587,Однолинейка!$BV$1:$BV$1000,0)),587,"")</f>
      </c>
      <c r="B589" s="133">
        <f>IFERROR(INDEX(Однолинейка!$A$1:$A$1000,MATCH(587,Однолинейка!$BV$1:$BV$1000,0)),"")</f>
      </c>
      <c r="C589" s="133">
        <f>IFERROR(INDEX(Однолинейка!$G$1:$G$1000,MATCH(587,Однолинейка!$BV$1:$BV$1000,0))&amp;IF(INDEX(Однолинейка!$P$1:$P$1000,MATCH(587,Однолинейка!$BV$1:$BV$1000,0))="","","/"&amp;INDEX(Однолинейка!$P$1:$P$1000,MATCH(587,Однолинейка!$BV$1:$BV$1000,0))),"")</f>
      </c>
      <c r="D589" s="133">
        <f>IFERROR(INDEX(Однолинейка!$R$1:$R$1000,MATCH(587,Однолинейка!$BV$1:$BV$1000,0)),"")</f>
      </c>
      <c r="E589" s="133">
        <f>IFERROR(INDEX(Однолинейка!$S$1:$S$1000,MATCH(587,Однолинейка!$BV$1:$BV$1000,0)),"")</f>
      </c>
      <c r="F589" s="133">
        <f>IFERROR(INDEX(Однолинейка!$Q$1:$Q$1000,MATCH(587,Однолинейка!$BV$1:$BV$1000,0)),"")</f>
      </c>
    </row>
    <row r="590">
      <c r="A590" s="133">
        <f>IF(ISNUMBER(MATCH(588,Однолинейка!$BV$1:$BV$1000,0)),588,"")</f>
      </c>
      <c r="B590" s="133">
        <f>IFERROR(INDEX(Однолинейка!$A$1:$A$1000,MATCH(588,Однолинейка!$BV$1:$BV$1000,0)),"")</f>
      </c>
      <c r="C590" s="133">
        <f>IFERROR(INDEX(Однолинейка!$G$1:$G$1000,MATCH(588,Однолинейка!$BV$1:$BV$1000,0))&amp;IF(INDEX(Однолинейка!$P$1:$P$1000,MATCH(588,Однолинейка!$BV$1:$BV$1000,0))="","","/"&amp;INDEX(Однолинейка!$P$1:$P$1000,MATCH(588,Однолинейка!$BV$1:$BV$1000,0))),"")</f>
      </c>
      <c r="D590" s="133">
        <f>IFERROR(INDEX(Однолинейка!$R$1:$R$1000,MATCH(588,Однолинейка!$BV$1:$BV$1000,0)),"")</f>
      </c>
      <c r="E590" s="133">
        <f>IFERROR(INDEX(Однолинейка!$S$1:$S$1000,MATCH(588,Однолинейка!$BV$1:$BV$1000,0)),"")</f>
      </c>
      <c r="F590" s="133">
        <f>IFERROR(INDEX(Однолинейка!$Q$1:$Q$1000,MATCH(588,Однолинейка!$BV$1:$BV$1000,0)),"")</f>
      </c>
    </row>
    <row r="591">
      <c r="A591" s="133">
        <f>IF(ISNUMBER(MATCH(589,Однолинейка!$BV$1:$BV$1000,0)),589,"")</f>
      </c>
      <c r="B591" s="133">
        <f>IFERROR(INDEX(Однолинейка!$A$1:$A$1000,MATCH(589,Однолинейка!$BV$1:$BV$1000,0)),"")</f>
      </c>
      <c r="C591" s="133">
        <f>IFERROR(INDEX(Однолинейка!$G$1:$G$1000,MATCH(589,Однолинейка!$BV$1:$BV$1000,0))&amp;IF(INDEX(Однолинейка!$P$1:$P$1000,MATCH(589,Однолинейка!$BV$1:$BV$1000,0))="","","/"&amp;INDEX(Однолинейка!$P$1:$P$1000,MATCH(589,Однолинейка!$BV$1:$BV$1000,0))),"")</f>
      </c>
      <c r="D591" s="133">
        <f>IFERROR(INDEX(Однолинейка!$R$1:$R$1000,MATCH(589,Однолинейка!$BV$1:$BV$1000,0)),"")</f>
      </c>
      <c r="E591" s="133">
        <f>IFERROR(INDEX(Однолинейка!$S$1:$S$1000,MATCH(589,Однолинейка!$BV$1:$BV$1000,0)),"")</f>
      </c>
      <c r="F591" s="133">
        <f>IFERROR(INDEX(Однолинейка!$Q$1:$Q$1000,MATCH(589,Однолинейка!$BV$1:$BV$1000,0)),"")</f>
      </c>
    </row>
    <row r="592">
      <c r="A592" s="133">
        <f>IF(ISNUMBER(MATCH(590,Однолинейка!$BV$1:$BV$1000,0)),590,"")</f>
      </c>
      <c r="B592" s="133">
        <f>IFERROR(INDEX(Однолинейка!$A$1:$A$1000,MATCH(590,Однолинейка!$BV$1:$BV$1000,0)),"")</f>
      </c>
      <c r="C592" s="133">
        <f>IFERROR(INDEX(Однолинейка!$G$1:$G$1000,MATCH(590,Однолинейка!$BV$1:$BV$1000,0))&amp;IF(INDEX(Однолинейка!$P$1:$P$1000,MATCH(590,Однолинейка!$BV$1:$BV$1000,0))="","","/"&amp;INDEX(Однолинейка!$P$1:$P$1000,MATCH(590,Однолинейка!$BV$1:$BV$1000,0))),"")</f>
      </c>
      <c r="D592" s="133">
        <f>IFERROR(INDEX(Однолинейка!$R$1:$R$1000,MATCH(590,Однолинейка!$BV$1:$BV$1000,0)),"")</f>
      </c>
      <c r="E592" s="133">
        <f>IFERROR(INDEX(Однолинейка!$S$1:$S$1000,MATCH(590,Однолинейка!$BV$1:$BV$1000,0)),"")</f>
      </c>
      <c r="F592" s="133">
        <f>IFERROR(INDEX(Однолинейка!$Q$1:$Q$1000,MATCH(590,Однолинейка!$BV$1:$BV$1000,0)),"")</f>
      </c>
    </row>
    <row r="593">
      <c r="A593" s="133">
        <f>IF(ISNUMBER(MATCH(591,Однолинейка!$BV$1:$BV$1000,0)),591,"")</f>
      </c>
      <c r="B593" s="133">
        <f>IFERROR(INDEX(Однолинейка!$A$1:$A$1000,MATCH(591,Однолинейка!$BV$1:$BV$1000,0)),"")</f>
      </c>
      <c r="C593" s="133">
        <f>IFERROR(INDEX(Однолинейка!$G$1:$G$1000,MATCH(591,Однолинейка!$BV$1:$BV$1000,0))&amp;IF(INDEX(Однолинейка!$P$1:$P$1000,MATCH(591,Однолинейка!$BV$1:$BV$1000,0))="","","/"&amp;INDEX(Однолинейка!$P$1:$P$1000,MATCH(591,Однолинейка!$BV$1:$BV$1000,0))),"")</f>
      </c>
      <c r="D593" s="133">
        <f>IFERROR(INDEX(Однолинейка!$R$1:$R$1000,MATCH(591,Однолинейка!$BV$1:$BV$1000,0)),"")</f>
      </c>
      <c r="E593" s="133">
        <f>IFERROR(INDEX(Однолинейка!$S$1:$S$1000,MATCH(591,Однолинейка!$BV$1:$BV$1000,0)),"")</f>
      </c>
      <c r="F593" s="133">
        <f>IFERROR(INDEX(Однолинейка!$Q$1:$Q$1000,MATCH(591,Однолинейка!$BV$1:$BV$1000,0)),"")</f>
      </c>
    </row>
    <row r="594">
      <c r="A594" s="133">
        <f>IF(ISNUMBER(MATCH(592,Однолинейка!$BV$1:$BV$1000,0)),592,"")</f>
      </c>
      <c r="B594" s="133">
        <f>IFERROR(INDEX(Однолинейка!$A$1:$A$1000,MATCH(592,Однолинейка!$BV$1:$BV$1000,0)),"")</f>
      </c>
      <c r="C594" s="133">
        <f>IFERROR(INDEX(Однолинейка!$G$1:$G$1000,MATCH(592,Однолинейка!$BV$1:$BV$1000,0))&amp;IF(INDEX(Однолинейка!$P$1:$P$1000,MATCH(592,Однолинейка!$BV$1:$BV$1000,0))="","","/"&amp;INDEX(Однолинейка!$P$1:$P$1000,MATCH(592,Однолинейка!$BV$1:$BV$1000,0))),"")</f>
      </c>
      <c r="D594" s="133">
        <f>IFERROR(INDEX(Однолинейка!$R$1:$R$1000,MATCH(592,Однолинейка!$BV$1:$BV$1000,0)),"")</f>
      </c>
      <c r="E594" s="133">
        <f>IFERROR(INDEX(Однолинейка!$S$1:$S$1000,MATCH(592,Однолинейка!$BV$1:$BV$1000,0)),"")</f>
      </c>
      <c r="F594" s="133">
        <f>IFERROR(INDEX(Однолинейка!$Q$1:$Q$1000,MATCH(592,Однолинейка!$BV$1:$BV$1000,0)),"")</f>
      </c>
    </row>
    <row r="595">
      <c r="A595" s="133">
        <f>IF(ISNUMBER(MATCH(593,Однолинейка!$BV$1:$BV$1000,0)),593,"")</f>
      </c>
      <c r="B595" s="133">
        <f>IFERROR(INDEX(Однолинейка!$A$1:$A$1000,MATCH(593,Однолинейка!$BV$1:$BV$1000,0)),"")</f>
      </c>
      <c r="C595" s="133">
        <f>IFERROR(INDEX(Однолинейка!$G$1:$G$1000,MATCH(593,Однолинейка!$BV$1:$BV$1000,0))&amp;IF(INDEX(Однолинейка!$P$1:$P$1000,MATCH(593,Однолинейка!$BV$1:$BV$1000,0))="","","/"&amp;INDEX(Однолинейка!$P$1:$P$1000,MATCH(593,Однолинейка!$BV$1:$BV$1000,0))),"")</f>
      </c>
      <c r="D595" s="133">
        <f>IFERROR(INDEX(Однолинейка!$R$1:$R$1000,MATCH(593,Однолинейка!$BV$1:$BV$1000,0)),"")</f>
      </c>
      <c r="E595" s="133">
        <f>IFERROR(INDEX(Однолинейка!$S$1:$S$1000,MATCH(593,Однолинейка!$BV$1:$BV$1000,0)),"")</f>
      </c>
      <c r="F595" s="133">
        <f>IFERROR(INDEX(Однолинейка!$Q$1:$Q$1000,MATCH(593,Однолинейка!$BV$1:$BV$1000,0)),"")</f>
      </c>
    </row>
    <row r="596">
      <c r="A596" s="133">
        <f>IF(ISNUMBER(MATCH(594,Однолинейка!$BV$1:$BV$1000,0)),594,"")</f>
      </c>
      <c r="B596" s="133">
        <f>IFERROR(INDEX(Однолинейка!$A$1:$A$1000,MATCH(594,Однолинейка!$BV$1:$BV$1000,0)),"")</f>
      </c>
      <c r="C596" s="133">
        <f>IFERROR(INDEX(Однолинейка!$G$1:$G$1000,MATCH(594,Однолинейка!$BV$1:$BV$1000,0))&amp;IF(INDEX(Однолинейка!$P$1:$P$1000,MATCH(594,Однолинейка!$BV$1:$BV$1000,0))="","","/"&amp;INDEX(Однолинейка!$P$1:$P$1000,MATCH(594,Однолинейка!$BV$1:$BV$1000,0))),"")</f>
      </c>
      <c r="D596" s="133">
        <f>IFERROR(INDEX(Однолинейка!$R$1:$R$1000,MATCH(594,Однолинейка!$BV$1:$BV$1000,0)),"")</f>
      </c>
      <c r="E596" s="133">
        <f>IFERROR(INDEX(Однолинейка!$S$1:$S$1000,MATCH(594,Однолинейка!$BV$1:$BV$1000,0)),"")</f>
      </c>
      <c r="F596" s="133">
        <f>IFERROR(INDEX(Однолинейка!$Q$1:$Q$1000,MATCH(594,Однолинейка!$BV$1:$BV$1000,0)),"")</f>
      </c>
    </row>
    <row r="597">
      <c r="A597" s="133">
        <f>IF(ISNUMBER(MATCH(595,Однолинейка!$BV$1:$BV$1000,0)),595,"")</f>
      </c>
      <c r="B597" s="133">
        <f>IFERROR(INDEX(Однолинейка!$A$1:$A$1000,MATCH(595,Однолинейка!$BV$1:$BV$1000,0)),"")</f>
      </c>
      <c r="C597" s="133">
        <f>IFERROR(INDEX(Однолинейка!$G$1:$G$1000,MATCH(595,Однолинейка!$BV$1:$BV$1000,0))&amp;IF(INDEX(Однолинейка!$P$1:$P$1000,MATCH(595,Однолинейка!$BV$1:$BV$1000,0))="","","/"&amp;INDEX(Однолинейка!$P$1:$P$1000,MATCH(595,Однолинейка!$BV$1:$BV$1000,0))),"")</f>
      </c>
      <c r="D597" s="133">
        <f>IFERROR(INDEX(Однолинейка!$R$1:$R$1000,MATCH(595,Однолинейка!$BV$1:$BV$1000,0)),"")</f>
      </c>
      <c r="E597" s="133">
        <f>IFERROR(INDEX(Однолинейка!$S$1:$S$1000,MATCH(595,Однолинейка!$BV$1:$BV$1000,0)),"")</f>
      </c>
      <c r="F597" s="133">
        <f>IFERROR(INDEX(Однолинейка!$Q$1:$Q$1000,MATCH(595,Однолинейка!$BV$1:$BV$1000,0)),"")</f>
      </c>
    </row>
    <row r="598">
      <c r="A598" s="133">
        <f>IF(ISNUMBER(MATCH(596,Однолинейка!$BV$1:$BV$1000,0)),596,"")</f>
      </c>
      <c r="B598" s="133">
        <f>IFERROR(INDEX(Однолинейка!$A$1:$A$1000,MATCH(596,Однолинейка!$BV$1:$BV$1000,0)),"")</f>
      </c>
      <c r="C598" s="133">
        <f>IFERROR(INDEX(Однолинейка!$G$1:$G$1000,MATCH(596,Однолинейка!$BV$1:$BV$1000,0))&amp;IF(INDEX(Однолинейка!$P$1:$P$1000,MATCH(596,Однолинейка!$BV$1:$BV$1000,0))="","","/"&amp;INDEX(Однолинейка!$P$1:$P$1000,MATCH(596,Однолинейка!$BV$1:$BV$1000,0))),"")</f>
      </c>
      <c r="D598" s="133">
        <f>IFERROR(INDEX(Однолинейка!$R$1:$R$1000,MATCH(596,Однолинейка!$BV$1:$BV$1000,0)),"")</f>
      </c>
      <c r="E598" s="133">
        <f>IFERROR(INDEX(Однолинейка!$S$1:$S$1000,MATCH(596,Однолинейка!$BV$1:$BV$1000,0)),"")</f>
      </c>
      <c r="F598" s="133">
        <f>IFERROR(INDEX(Однолинейка!$Q$1:$Q$1000,MATCH(596,Однолинейка!$BV$1:$BV$1000,0)),"")</f>
      </c>
    </row>
    <row r="599">
      <c r="A599" s="133">
        <f>IF(ISNUMBER(MATCH(597,Однолинейка!$BV$1:$BV$1000,0)),597,"")</f>
      </c>
      <c r="B599" s="133">
        <f>IFERROR(INDEX(Однолинейка!$A$1:$A$1000,MATCH(597,Однолинейка!$BV$1:$BV$1000,0)),"")</f>
      </c>
      <c r="C599" s="133">
        <f>IFERROR(INDEX(Однолинейка!$G$1:$G$1000,MATCH(597,Однолинейка!$BV$1:$BV$1000,0))&amp;IF(INDEX(Однолинейка!$P$1:$P$1000,MATCH(597,Однолинейка!$BV$1:$BV$1000,0))="","","/"&amp;INDEX(Однолинейка!$P$1:$P$1000,MATCH(597,Однолинейка!$BV$1:$BV$1000,0))),"")</f>
      </c>
      <c r="D599" s="133">
        <f>IFERROR(INDEX(Однолинейка!$R$1:$R$1000,MATCH(597,Однолинейка!$BV$1:$BV$1000,0)),"")</f>
      </c>
      <c r="E599" s="133">
        <f>IFERROR(INDEX(Однолинейка!$S$1:$S$1000,MATCH(597,Однолинейка!$BV$1:$BV$1000,0)),"")</f>
      </c>
      <c r="F599" s="133">
        <f>IFERROR(INDEX(Однолинейка!$Q$1:$Q$1000,MATCH(597,Однолинейка!$BV$1:$BV$1000,0)),"")</f>
      </c>
    </row>
    <row r="600">
      <c r="A600" s="133">
        <f>IF(ISNUMBER(MATCH(598,Однолинейка!$BV$1:$BV$1000,0)),598,"")</f>
      </c>
      <c r="B600" s="133">
        <f>IFERROR(INDEX(Однолинейка!$A$1:$A$1000,MATCH(598,Однолинейка!$BV$1:$BV$1000,0)),"")</f>
      </c>
      <c r="C600" s="133">
        <f>IFERROR(INDEX(Однолинейка!$G$1:$G$1000,MATCH(598,Однолинейка!$BV$1:$BV$1000,0))&amp;IF(INDEX(Однолинейка!$P$1:$P$1000,MATCH(598,Однолинейка!$BV$1:$BV$1000,0))="","","/"&amp;INDEX(Однолинейка!$P$1:$P$1000,MATCH(598,Однолинейка!$BV$1:$BV$1000,0))),"")</f>
      </c>
      <c r="D600" s="133">
        <f>IFERROR(INDEX(Однолинейка!$R$1:$R$1000,MATCH(598,Однолинейка!$BV$1:$BV$1000,0)),"")</f>
      </c>
      <c r="E600" s="133">
        <f>IFERROR(INDEX(Однолинейка!$S$1:$S$1000,MATCH(598,Однолинейка!$BV$1:$BV$1000,0)),"")</f>
      </c>
      <c r="F600" s="133">
        <f>IFERROR(INDEX(Однолинейка!$Q$1:$Q$1000,MATCH(598,Однолинейка!$BV$1:$BV$1000,0)),"")</f>
      </c>
    </row>
    <row r="601">
      <c r="A601" s="133">
        <f>IF(ISNUMBER(MATCH(599,Однолинейка!$BV$1:$BV$1000,0)),599,"")</f>
      </c>
      <c r="B601" s="133">
        <f>IFERROR(INDEX(Однолинейка!$A$1:$A$1000,MATCH(599,Однолинейка!$BV$1:$BV$1000,0)),"")</f>
      </c>
      <c r="C601" s="133">
        <f>IFERROR(INDEX(Однолинейка!$G$1:$G$1000,MATCH(599,Однолинейка!$BV$1:$BV$1000,0))&amp;IF(INDEX(Однолинейка!$P$1:$P$1000,MATCH(599,Однолинейка!$BV$1:$BV$1000,0))="","","/"&amp;INDEX(Однолинейка!$P$1:$P$1000,MATCH(599,Однолинейка!$BV$1:$BV$1000,0))),"")</f>
      </c>
      <c r="D601" s="133">
        <f>IFERROR(INDEX(Однолинейка!$R$1:$R$1000,MATCH(599,Однолинейка!$BV$1:$BV$1000,0)),"")</f>
      </c>
      <c r="E601" s="133">
        <f>IFERROR(INDEX(Однолинейка!$S$1:$S$1000,MATCH(599,Однолинейка!$BV$1:$BV$1000,0)),"")</f>
      </c>
      <c r="F601" s="133">
        <f>IFERROR(INDEX(Однолинейка!$Q$1:$Q$1000,MATCH(599,Однолинейка!$BV$1:$BV$1000,0)),"")</f>
      </c>
    </row>
    <row r="602">
      <c r="A602" s="133">
        <f>IF(ISNUMBER(MATCH(600,Однолинейка!$BV$1:$BV$1000,0)),600,"")</f>
      </c>
      <c r="B602" s="133">
        <f>IFERROR(INDEX(Однолинейка!$A$1:$A$1000,MATCH(600,Однолинейка!$BV$1:$BV$1000,0)),"")</f>
      </c>
      <c r="C602" s="133">
        <f>IFERROR(INDEX(Однолинейка!$G$1:$G$1000,MATCH(600,Однолинейка!$BV$1:$BV$1000,0))&amp;IF(INDEX(Однолинейка!$P$1:$P$1000,MATCH(600,Однолинейка!$BV$1:$BV$1000,0))="","","/"&amp;INDEX(Однолинейка!$P$1:$P$1000,MATCH(600,Однолинейка!$BV$1:$BV$1000,0))),"")</f>
      </c>
      <c r="D602" s="133">
        <f>IFERROR(INDEX(Однолинейка!$R$1:$R$1000,MATCH(600,Однолинейка!$BV$1:$BV$1000,0)),"")</f>
      </c>
      <c r="E602" s="133">
        <f>IFERROR(INDEX(Однолинейка!$S$1:$S$1000,MATCH(600,Однолинейка!$BV$1:$BV$1000,0)),"")</f>
      </c>
      <c r="F602" s="133">
        <f>IFERROR(INDEX(Однолинейка!$Q$1:$Q$1000,MATCH(600,Однолинейка!$BV$1:$BV$1000,0)),"")</f>
      </c>
    </row>
  </sheetData>
  <pageMargins left="0.4" right="0.4" top="0.5" bottom="0.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ED7D31"/>
  </sheetPr>
  <dimension ref="A1:J160"/>
  <sheetViews>
    <sheetView topLeftCell="A52" workbookViewId="0">
      <selection activeCell="C11" sqref="C11"/>
    </sheetView>
  </sheetViews>
  <sheetFormatPr defaultRowHeight="14.4" x14ac:dyDescent="0.3"/>
  <cols>
    <col min="2" max="2" width="9.6640625" customWidth="1"/>
    <col min="3" max="3" width="115.88671875" customWidth="1"/>
    <col min="4" max="6" width="20.6640625" customWidth="1"/>
    <col min="7" max="9" width="9.6640625" customWidth="1"/>
    <col min="10" max="10" width="20.6640625" customWidth="1"/>
  </cols>
  <sheetData>
    <row r="1" spans="2:10" ht="15" thickBot="1" x14ac:dyDescent="0.35"/>
    <row r="2" spans="2:10" ht="43.8" thickBot="1" x14ac:dyDescent="0.35">
      <c r="B2" s="28" t="inlineStr">
        <is>
          <t xml:space="preserve">Поз</t>
        </is>
      </c>
      <c r="C2" s="2" t="inlineStr">
        <is>
          <t xml:space="preserve">Наименование и техническая характеристика</t>
        </is>
      </c>
      <c r="D2" s="2" t="inlineStr">
        <is>
          <t xml:space="preserve">Тип, марка, обозначение документа</t>
        </is>
      </c>
      <c r="E2" s="2" t="inlineStr">
        <is>
          <t xml:space="preserve">Код оборудования, изделия, материала</t>
        </is>
      </c>
      <c r="F2" s="2" t="inlineStr">
        <is>
          <t xml:space="preserve">Завод изготовитель</t>
        </is>
      </c>
      <c r="G2" s="2" t="inlineStr">
        <is>
          <t xml:space="preserve">Ед. измерения</t>
        </is>
      </c>
      <c r="H2" s="2" t="inlineStr">
        <is>
          <t xml:space="preserve">Кол-во</t>
        </is>
      </c>
      <c r="I2" s="2" t="inlineStr">
        <is>
          <t xml:space="preserve">Масса</t>
        </is>
      </c>
      <c r="J2" s="29" t="inlineStr">
        <is>
          <t xml:space="preserve">Примечание</t>
        </is>
      </c>
    </row>
    <row r="3" spans="2:10" x14ac:dyDescent="0.3">
      <c r="B3" s="111" t="inlineStr">
        <is>
          <t xml:space="preserve">1</t>
        </is>
      </c>
      <c r="C3" s="109" t="inlineStr">
        <is>
          <t xml:space="preserve">Вводнораспределительное оборудование ЩР</t>
        </is>
      </c>
      <c r="D3" s="27"/>
      <c r="E3" s="27"/>
      <c r="F3" s="27"/>
      <c r="G3" s="27"/>
      <c r="H3" s="27"/>
      <c r="I3" s="27"/>
      <c r="J3" s="27"/>
    </row>
    <row r="4" spans="2:10" x14ac:dyDescent="0.3">
      <c r="B4" s="112"/>
      <c r="C4" s="121"/>
      <c r="D4" s="124"/>
      <c r="E4" s="122"/>
      <c r="F4" s="123"/>
      <c r="G4" s="123"/>
      <c r="H4" s="123"/>
      <c r="I4" s="10"/>
      <c r="J4" s="10"/>
    </row>
    <row r="5" spans="2:10" x14ac:dyDescent="0.3">
      <c r="B5" s="112"/>
      <c r="C5" s="121"/>
      <c r="D5" s="124"/>
      <c r="E5" s="122"/>
      <c r="F5" s="123"/>
      <c r="G5" s="123"/>
      <c r="H5" s="123"/>
      <c r="I5" s="10"/>
      <c r="J5" s="10"/>
    </row>
    <row r="6" spans="2:10" x14ac:dyDescent="0.3">
      <c r="B6" s="112"/>
      <c r="C6" s="121"/>
      <c r="D6" s="124"/>
      <c r="E6" s="122"/>
      <c r="F6" s="123"/>
      <c r="G6" s="123"/>
      <c r="H6" s="123"/>
      <c r="I6" s="10"/>
      <c r="J6" s="10"/>
    </row>
    <row r="7" spans="2:10" x14ac:dyDescent="0.3">
      <c r="B7" s="112"/>
      <c r="C7" s="121"/>
      <c r="D7" s="124"/>
      <c r="E7" s="122"/>
      <c r="F7" s="123"/>
      <c r="G7" s="123"/>
      <c r="H7" s="123"/>
      <c r="I7" s="10"/>
      <c r="J7" s="10"/>
    </row>
    <row r="8" spans="2:10" x14ac:dyDescent="0.3">
      <c r="B8" s="112"/>
      <c r="C8" s="121"/>
      <c r="D8" s="124"/>
      <c r="E8" s="122"/>
      <c r="F8" s="123"/>
      <c r="G8" s="123"/>
      <c r="H8" s="123"/>
      <c r="I8" s="10"/>
      <c r="J8" s="10"/>
    </row>
    <row r="9" spans="2:10" x14ac:dyDescent="0.3">
      <c r="B9" s="112"/>
      <c r="C9" s="121"/>
      <c r="D9" s="124"/>
      <c r="E9" s="122"/>
      <c r="F9" s="123"/>
      <c r="G9" s="123"/>
      <c r="H9" s="123"/>
      <c r="I9" s="10"/>
      <c r="J9" s="10"/>
    </row>
    <row r="10" spans="2:10" x14ac:dyDescent="0.3">
      <c r="B10" s="112"/>
      <c r="C10" s="121"/>
      <c r="D10" s="124"/>
      <c r="E10" s="122"/>
      <c r="F10" s="123"/>
      <c r="G10" s="123"/>
      <c r="H10" s="123"/>
      <c r="I10" s="10"/>
      <c r="J10" s="10"/>
    </row>
    <row r="11" spans="2:10" x14ac:dyDescent="0.3">
      <c r="B11" s="112"/>
      <c r="C11" s="121"/>
      <c r="D11" s="124"/>
      <c r="E11" s="122"/>
      <c r="F11" s="123"/>
      <c r="G11" s="123"/>
      <c r="H11" s="123"/>
      <c r="I11" s="10"/>
      <c r="J11" s="10"/>
    </row>
    <row r="12" spans="2:10" x14ac:dyDescent="0.3">
      <c r="B12" s="112"/>
      <c r="C12" s="121"/>
      <c r="D12" s="124"/>
      <c r="E12" s="122"/>
      <c r="F12" s="123"/>
      <c r="G12" s="123"/>
      <c r="H12" s="123"/>
      <c r="I12" s="10"/>
      <c r="J12" s="10"/>
    </row>
    <row r="13" spans="2:10" x14ac:dyDescent="0.3">
      <c r="B13" s="112"/>
      <c r="C13" s="121"/>
      <c r="D13" s="124"/>
      <c r="E13" s="122"/>
      <c r="F13" s="123"/>
      <c r="G13" s="123"/>
      <c r="H13" s="123"/>
      <c r="I13" s="10"/>
      <c r="J13" s="10"/>
    </row>
    <row r="14" spans="2:10" x14ac:dyDescent="0.3">
      <c r="B14" s="112"/>
      <c r="C14" s="121"/>
      <c r="D14" s="124"/>
      <c r="E14" s="122"/>
      <c r="F14" s="123"/>
      <c r="G14" s="123"/>
      <c r="H14" s="123"/>
      <c r="I14" s="10"/>
      <c r="J14" s="10"/>
    </row>
    <row r="15" spans="2:10" x14ac:dyDescent="0.3">
      <c r="B15" s="112"/>
      <c r="C15" s="121"/>
      <c r="D15" s="124"/>
      <c r="E15" s="122"/>
      <c r="F15" s="123"/>
      <c r="G15" s="123"/>
      <c r="H15" s="123"/>
      <c r="I15" s="10"/>
      <c r="J15" s="10"/>
    </row>
    <row r="16" spans="2:10" ht="18" customHeight="1" x14ac:dyDescent="0.3">
      <c r="B16" s="112"/>
      <c r="C16" s="121"/>
      <c r="D16" s="124"/>
      <c r="E16" s="122"/>
      <c r="F16" s="123"/>
      <c r="G16" s="123"/>
      <c r="H16" s="123"/>
      <c r="I16" s="10"/>
      <c r="J16" s="10"/>
    </row>
    <row r="17" spans="2:10" x14ac:dyDescent="0.3">
      <c r="B17" s="112"/>
      <c r="C17" s="121"/>
      <c r="D17" s="124"/>
      <c r="E17" s="122"/>
      <c r="F17" s="123"/>
      <c r="G17" s="123"/>
      <c r="H17" s="123"/>
      <c r="I17" s="10"/>
      <c r="J17" s="10"/>
    </row>
    <row r="18" spans="2:10" x14ac:dyDescent="0.3">
      <c r="B18" s="112"/>
      <c r="C18" s="121"/>
      <c r="D18" s="124"/>
      <c r="E18" s="122"/>
      <c r="F18" s="123"/>
      <c r="G18" s="123"/>
      <c r="H18" s="123"/>
      <c r="I18" s="10"/>
      <c r="J18" s="10"/>
    </row>
    <row r="19" spans="2:10" x14ac:dyDescent="0.3">
      <c r="B19" s="112"/>
      <c r="C19" s="121"/>
      <c r="D19" s="124"/>
      <c r="E19" s="122"/>
      <c r="F19" s="123"/>
      <c r="G19" s="123"/>
      <c r="H19" s="123"/>
      <c r="I19" s="10"/>
      <c r="J19" s="10"/>
    </row>
    <row r="20" spans="2:10" x14ac:dyDescent="0.3">
      <c r="B20" s="112"/>
      <c r="C20" s="121"/>
      <c r="D20" s="124"/>
      <c r="E20" s="122"/>
      <c r="F20" s="123"/>
      <c r="G20" s="123"/>
      <c r="H20" s="123"/>
      <c r="I20" s="10"/>
      <c r="J20" s="10"/>
    </row>
    <row r="21" spans="2:10" x14ac:dyDescent="0.3">
      <c r="B21" s="112"/>
      <c r="C21" s="121"/>
      <c r="D21" s="124"/>
      <c r="E21" s="122"/>
      <c r="F21" s="123"/>
      <c r="G21" s="123"/>
      <c r="H21" s="123"/>
      <c r="I21" s="10"/>
      <c r="J21" s="10"/>
    </row>
    <row r="22" spans="2:10" x14ac:dyDescent="0.3">
      <c r="B22" s="112"/>
      <c r="C22" s="121"/>
      <c r="D22" s="124"/>
      <c r="E22" s="122"/>
      <c r="F22" s="123"/>
      <c r="G22" s="123"/>
      <c r="H22" s="123"/>
      <c r="I22" s="10"/>
      <c r="J22" s="10"/>
    </row>
    <row r="23" spans="2:10" x14ac:dyDescent="0.3">
      <c r="B23" s="112"/>
      <c r="C23" s="121"/>
      <c r="D23" s="124"/>
      <c r="E23" s="122"/>
      <c r="F23" s="123"/>
      <c r="G23" s="123"/>
      <c r="H23" s="123"/>
      <c r="I23" s="10"/>
      <c r="J23" s="10"/>
    </row>
    <row r="24" spans="2:10" x14ac:dyDescent="0.3">
      <c r="B24" s="112"/>
      <c r="C24" s="121"/>
      <c r="D24" s="124"/>
      <c r="E24" s="122"/>
      <c r="F24" s="123"/>
      <c r="G24" s="123"/>
      <c r="H24" s="123"/>
      <c r="I24" s="10"/>
      <c r="J24" s="10"/>
    </row>
    <row r="25" spans="2:10" x14ac:dyDescent="0.3">
      <c r="B25" s="112"/>
      <c r="C25" s="121"/>
      <c r="D25" s="124"/>
      <c r="E25" s="122"/>
      <c r="F25" s="123"/>
      <c r="G25" s="123"/>
      <c r="H25" s="123"/>
      <c r="I25" s="10"/>
      <c r="J25" s="10"/>
    </row>
    <row r="26" spans="2:10" x14ac:dyDescent="0.3">
      <c r="B26" s="112"/>
      <c r="C26" s="121"/>
      <c r="D26" s="124"/>
      <c r="E26" s="122"/>
      <c r="F26" s="123"/>
      <c r="G26" s="123"/>
      <c r="H26" s="123"/>
      <c r="I26" s="10"/>
      <c r="J26" s="10"/>
    </row>
    <row r="27" spans="2:10" x14ac:dyDescent="0.3">
      <c r="B27" s="112"/>
      <c r="C27" s="121"/>
      <c r="D27" s="124"/>
      <c r="E27" s="122"/>
      <c r="F27" s="123"/>
      <c r="G27" s="123"/>
      <c r="H27" s="123"/>
      <c r="I27" s="10"/>
      <c r="J27" s="10"/>
    </row>
    <row r="28" spans="2:10" x14ac:dyDescent="0.3">
      <c r="B28" s="112"/>
      <c r="C28" s="121"/>
      <c r="D28" s="124"/>
      <c r="E28" s="122"/>
      <c r="F28" s="123"/>
      <c r="G28" s="123"/>
      <c r="H28" s="123"/>
      <c r="I28" s="10"/>
      <c r="J28" s="10"/>
    </row>
    <row r="29" spans="2:10" x14ac:dyDescent="0.3">
      <c r="B29" s="112"/>
      <c r="C29" s="121"/>
      <c r="D29" s="124"/>
      <c r="E29" s="122"/>
      <c r="F29" s="123"/>
      <c r="G29" s="123"/>
      <c r="H29" s="123"/>
      <c r="I29" s="10"/>
      <c r="J29" s="10"/>
    </row>
    <row r="30" spans="2:10" x14ac:dyDescent="0.3">
      <c r="B30" s="112"/>
      <c r="C30" s="121"/>
      <c r="D30" s="124"/>
      <c r="E30" s="122"/>
      <c r="F30" s="123"/>
      <c r="G30" s="123"/>
      <c r="H30" s="123"/>
      <c r="I30" s="10"/>
      <c r="J30" s="10"/>
    </row>
    <row r="31" spans="2:10" x14ac:dyDescent="0.3">
      <c r="B31" s="112"/>
      <c r="C31" s="121"/>
      <c r="D31" s="124"/>
      <c r="E31" s="122"/>
      <c r="F31" s="123"/>
      <c r="G31" s="123"/>
      <c r="H31" s="123"/>
      <c r="I31" s="10"/>
      <c r="J31" s="10"/>
    </row>
    <row r="32" spans="2:10" x14ac:dyDescent="0.3">
      <c r="B32" s="112"/>
      <c r="C32" s="121"/>
      <c r="D32" s="124"/>
      <c r="E32" s="122"/>
      <c r="F32" s="123"/>
      <c r="G32" s="123"/>
      <c r="H32" s="123"/>
      <c r="I32" s="10"/>
      <c r="J32" s="10"/>
    </row>
    <row r="33" spans="2:10" x14ac:dyDescent="0.3">
      <c r="B33" s="112"/>
      <c r="C33" s="121"/>
      <c r="D33" s="124"/>
      <c r="E33" s="122"/>
      <c r="F33" s="123"/>
      <c r="G33" s="123"/>
      <c r="H33" s="123"/>
      <c r="I33" s="10"/>
      <c r="J33" s="10"/>
    </row>
    <row r="34" spans="2:10" x14ac:dyDescent="0.3">
      <c r="B34" s="112"/>
      <c r="C34" s="121"/>
      <c r="D34" s="124"/>
      <c r="E34" s="122"/>
      <c r="F34" s="123"/>
      <c r="G34" s="123"/>
      <c r="H34" s="123"/>
      <c r="I34" s="10"/>
      <c r="J34" s="10"/>
    </row>
    <row r="35" spans="2:10" x14ac:dyDescent="0.3">
      <c r="B35" s="112"/>
      <c r="C35" s="121"/>
      <c r="D35" s="124"/>
      <c r="E35" s="122"/>
      <c r="F35" s="123"/>
      <c r="G35" s="123"/>
      <c r="H35" s="123"/>
      <c r="I35" s="10"/>
      <c r="J35" s="10"/>
    </row>
    <row r="36" spans="2:10" x14ac:dyDescent="0.3">
      <c r="B36" s="112"/>
      <c r="C36" s="121"/>
      <c r="D36" s="124"/>
      <c r="E36" s="122"/>
      <c r="F36" s="123"/>
      <c r="G36" s="123"/>
      <c r="H36" s="123"/>
      <c r="I36" s="10"/>
      <c r="J36" s="10"/>
    </row>
    <row r="37" spans="2:10" x14ac:dyDescent="0.3">
      <c r="B37" s="112"/>
      <c r="C37" s="121"/>
      <c r="D37" s="124"/>
      <c r="E37" s="122"/>
      <c r="F37" s="123"/>
      <c r="G37" s="123"/>
      <c r="H37" s="123"/>
      <c r="I37" s="10"/>
      <c r="J37" s="10"/>
    </row>
    <row r="38" spans="2:10" x14ac:dyDescent="0.3">
      <c r="B38" s="112"/>
      <c r="C38" s="121"/>
      <c r="D38" s="124"/>
      <c r="E38" s="122"/>
      <c r="F38" s="123"/>
      <c r="G38" s="123"/>
      <c r="H38" s="123"/>
      <c r="I38" s="10"/>
      <c r="J38" s="10"/>
    </row>
    <row r="39" spans="2:10" x14ac:dyDescent="0.3">
      <c r="B39" s="112"/>
      <c r="C39" s="121"/>
      <c r="D39" s="124"/>
      <c r="E39" s="122"/>
      <c r="F39" s="123"/>
      <c r="G39" s="123"/>
      <c r="H39" s="123"/>
      <c r="I39" s="10"/>
      <c r="J39" s="10"/>
    </row>
    <row r="40" spans="2:10" x14ac:dyDescent="0.3">
      <c r="B40" s="112"/>
      <c r="C40" s="121"/>
      <c r="D40" s="124"/>
      <c r="E40" s="122"/>
      <c r="F40" s="123"/>
      <c r="G40" s="123"/>
      <c r="H40" s="123"/>
      <c r="I40" s="10"/>
      <c r="J40" s="10"/>
    </row>
    <row r="41" spans="2:10" x14ac:dyDescent="0.3">
      <c r="B41" s="112"/>
      <c r="C41" s="121"/>
      <c r="D41" s="124"/>
      <c r="E41" s="122"/>
      <c r="F41" s="123"/>
      <c r="G41" s="123"/>
      <c r="H41" s="123"/>
      <c r="I41" s="10"/>
      <c r="J41" s="10"/>
    </row>
    <row r="42" spans="2:10" x14ac:dyDescent="0.3">
      <c r="B42" s="112"/>
      <c r="C42" s="121"/>
      <c r="D42" s="124"/>
      <c r="E42" s="122"/>
      <c r="F42" s="123"/>
      <c r="G42" s="123"/>
      <c r="H42" s="123"/>
      <c r="I42" s="10"/>
      <c r="J42" s="10"/>
    </row>
    <row r="43" spans="2:10" x14ac:dyDescent="0.3">
      <c r="B43" s="112"/>
      <c r="C43" s="121"/>
      <c r="D43" s="124"/>
      <c r="E43" s="122"/>
      <c r="F43" s="123"/>
      <c r="G43" s="123"/>
      <c r="H43" s="123"/>
      <c r="I43" s="10"/>
      <c r="J43" s="10"/>
    </row>
    <row r="44" spans="2:10" x14ac:dyDescent="0.3">
      <c r="B44" s="112"/>
      <c r="C44" s="121"/>
      <c r="D44" s="124"/>
      <c r="E44" s="122"/>
      <c r="F44" s="123"/>
      <c r="G44" s="123"/>
      <c r="H44" s="123"/>
      <c r="I44" s="10"/>
      <c r="J44" s="10"/>
    </row>
    <row r="45" spans="2:10" x14ac:dyDescent="0.3">
      <c r="B45" s="112"/>
      <c r="C45" s="121"/>
      <c r="D45" s="124"/>
      <c r="E45" s="122"/>
      <c r="F45" s="123"/>
      <c r="G45" s="123"/>
      <c r="H45" s="123"/>
      <c r="I45" s="10"/>
      <c r="J45" s="10"/>
    </row>
    <row r="46" spans="2:10" x14ac:dyDescent="0.3">
      <c r="B46" s="112"/>
      <c r="C46" s="121"/>
      <c r="D46" s="124"/>
      <c r="E46" s="122"/>
      <c r="F46" s="123"/>
      <c r="G46" s="123"/>
      <c r="H46" s="123"/>
      <c r="I46" s="10"/>
      <c r="J46" s="10"/>
    </row>
    <row r="47" spans="2:10" x14ac:dyDescent="0.3">
      <c r="B47" s="112"/>
      <c r="C47" s="121"/>
      <c r="D47" s="124"/>
      <c r="E47" s="122"/>
      <c r="F47" s="123"/>
      <c r="G47" s="123"/>
      <c r="H47" s="123"/>
      <c r="I47" s="10"/>
      <c r="J47" s="10"/>
    </row>
    <row r="48" spans="2:10" x14ac:dyDescent="0.3">
      <c r="B48" s="112"/>
      <c r="C48" s="121"/>
      <c r="D48" s="124"/>
      <c r="E48" s="122"/>
      <c r="F48" s="123"/>
      <c r="G48" s="123"/>
      <c r="H48" s="123"/>
      <c r="I48" s="10"/>
      <c r="J48" s="10"/>
    </row>
    <row r="49" spans="2:10" x14ac:dyDescent="0.3">
      <c r="B49" s="112"/>
      <c r="C49" s="121"/>
      <c r="D49" s="124"/>
      <c r="E49" s="122"/>
      <c r="F49" s="123"/>
      <c r="G49" s="123"/>
      <c r="H49" s="123"/>
      <c r="I49" s="10"/>
      <c r="J49" s="10"/>
    </row>
    <row r="50" spans="2:10" x14ac:dyDescent="0.3">
      <c r="B50" s="112"/>
      <c r="C50" s="121"/>
      <c r="D50" s="124"/>
      <c r="E50" s="122"/>
      <c r="F50" s="123"/>
      <c r="G50" s="123"/>
      <c r="H50" s="123"/>
      <c r="I50" s="10"/>
      <c r="J50" s="10"/>
    </row>
    <row r="51" spans="2:10" x14ac:dyDescent="0.3">
      <c r="B51" s="112"/>
      <c r="C51" s="121"/>
      <c r="D51" s="124"/>
      <c r="E51" s="122"/>
      <c r="F51" s="123"/>
      <c r="G51" s="123"/>
      <c r="H51" s="123"/>
      <c r="I51" s="10"/>
      <c r="J51" s="10"/>
    </row>
    <row r="52" spans="2:10" x14ac:dyDescent="0.3">
      <c r="B52" s="112"/>
      <c r="C52" s="121"/>
      <c r="D52" s="124"/>
      <c r="E52" s="122"/>
      <c r="F52" s="123"/>
      <c r="G52" s="123"/>
      <c r="H52" s="123"/>
      <c r="I52" s="10"/>
      <c r="J52" s="10"/>
    </row>
    <row r="53" spans="2:10" x14ac:dyDescent="0.3">
      <c r="B53" s="112"/>
      <c r="C53" s="121"/>
      <c r="D53" s="124"/>
      <c r="E53" s="122"/>
      <c r="F53" s="123"/>
      <c r="G53" s="123"/>
      <c r="H53" s="123"/>
      <c r="I53" s="10"/>
      <c r="J53" s="10"/>
    </row>
    <row r="54" spans="2:10" x14ac:dyDescent="0.3">
      <c r="B54" s="112"/>
      <c r="C54" s="121"/>
      <c r="D54" s="124"/>
      <c r="E54" s="122"/>
      <c r="F54" s="123"/>
      <c r="G54" s="123"/>
      <c r="H54" s="123"/>
      <c r="I54" s="10"/>
      <c r="J54" s="10"/>
    </row>
    <row r="55" spans="2:10" x14ac:dyDescent="0.3">
      <c r="B55" s="112"/>
      <c r="C55" s="121"/>
      <c r="D55" s="124"/>
      <c r="E55" s="122"/>
      <c r="F55" s="123"/>
      <c r="G55" s="123"/>
      <c r="H55" s="123"/>
      <c r="I55" s="10"/>
      <c r="J55" s="10"/>
    </row>
    <row r="56" spans="2:10" x14ac:dyDescent="0.3">
      <c r="B56" s="112"/>
      <c r="C56" s="121"/>
      <c r="D56" s="124"/>
      <c r="E56" s="122"/>
      <c r="F56" s="123"/>
      <c r="G56" s="123"/>
      <c r="H56" s="123"/>
      <c r="I56" s="10"/>
      <c r="J56" s="10"/>
    </row>
    <row r="57" spans="2:10" x14ac:dyDescent="0.3">
      <c r="B57" s="112"/>
      <c r="C57" s="121"/>
      <c r="D57" s="124"/>
      <c r="E57" s="122"/>
      <c r="F57" s="123"/>
      <c r="G57" s="123"/>
      <c r="H57" s="123"/>
      <c r="I57" s="10"/>
      <c r="J57" s="10"/>
    </row>
    <row r="58" spans="2:10" x14ac:dyDescent="0.3">
      <c r="B58" s="112"/>
      <c r="C58" s="121"/>
      <c r="D58" s="124"/>
      <c r="E58" s="122"/>
      <c r="F58" s="123"/>
      <c r="G58" s="123"/>
      <c r="H58" s="123"/>
      <c r="I58" s="10"/>
      <c r="J58" s="10"/>
    </row>
    <row r="59" spans="2:10" x14ac:dyDescent="0.3">
      <c r="B59" s="112"/>
      <c r="C59" s="121"/>
      <c r="D59" s="124"/>
      <c r="E59" s="122"/>
      <c r="F59" s="123"/>
      <c r="G59" s="123"/>
      <c r="H59" s="123"/>
      <c r="I59" s="10"/>
      <c r="J59" s="10"/>
    </row>
    <row r="60" spans="2:10" x14ac:dyDescent="0.3">
      <c r="B60" s="112"/>
      <c r="C60" s="121"/>
      <c r="D60" s="124"/>
      <c r="E60" s="122"/>
      <c r="F60" s="123"/>
      <c r="G60" s="123"/>
      <c r="H60" s="123"/>
      <c r="I60" s="10"/>
      <c r="J60" s="10"/>
    </row>
    <row r="61" spans="2:10" x14ac:dyDescent="0.3">
      <c r="B61" s="112"/>
      <c r="C61" s="121"/>
      <c r="D61" s="124"/>
      <c r="E61" s="122"/>
      <c r="F61" s="123"/>
      <c r="G61" s="123"/>
      <c r="H61" s="123"/>
      <c r="I61" s="10"/>
      <c r="J61" s="10"/>
    </row>
    <row r="62" spans="2:10" x14ac:dyDescent="0.3">
      <c r="B62" s="112"/>
      <c r="C62" s="121"/>
      <c r="D62" s="124"/>
      <c r="E62" s="122"/>
      <c r="F62" s="123"/>
      <c r="G62" s="123"/>
      <c r="H62" s="123"/>
      <c r="I62" s="10"/>
      <c r="J62" s="10"/>
    </row>
    <row r="63" spans="2:10" x14ac:dyDescent="0.3">
      <c r="B63" s="112"/>
      <c r="C63" s="121"/>
      <c r="D63" s="124"/>
      <c r="E63" s="122"/>
      <c r="F63" s="123"/>
      <c r="G63" s="123"/>
      <c r="H63" s="123"/>
      <c r="I63" s="10"/>
      <c r="J63" s="10"/>
    </row>
    <row r="64" spans="2:10" x14ac:dyDescent="0.3">
      <c r="B64" s="112"/>
      <c r="C64" s="121"/>
      <c r="D64" s="124"/>
      <c r="E64" s="122"/>
      <c r="F64" s="123"/>
      <c r="G64" s="123"/>
      <c r="H64" s="123"/>
      <c r="I64" s="10"/>
      <c r="J64" s="10"/>
    </row>
    <row r="65" spans="2:10" x14ac:dyDescent="0.3">
      <c r="B65" s="112"/>
      <c r="C65" s="121"/>
      <c r="D65" s="124"/>
      <c r="E65" s="122"/>
      <c r="F65" s="123"/>
      <c r="G65" s="123"/>
      <c r="H65" s="123"/>
      <c r="I65" s="10"/>
      <c r="J65" s="10"/>
    </row>
    <row r="66" spans="2:10" x14ac:dyDescent="0.3">
      <c r="B66" s="112"/>
      <c r="C66" s="121"/>
      <c r="D66" s="124"/>
      <c r="E66" s="122"/>
      <c r="F66" s="123"/>
      <c r="G66" s="123"/>
      <c r="H66" s="123"/>
      <c r="I66" s="10"/>
      <c r="J66" s="10"/>
    </row>
    <row r="67" spans="2:10" x14ac:dyDescent="0.3">
      <c r="B67" s="112"/>
      <c r="C67" s="121"/>
      <c r="D67" s="124"/>
      <c r="E67" s="122"/>
      <c r="F67" s="123"/>
      <c r="G67" s="123"/>
      <c r="H67" s="123"/>
      <c r="I67" s="10"/>
      <c r="J67" s="10"/>
    </row>
    <row r="68" spans="2:10" x14ac:dyDescent="0.3">
      <c r="B68" s="112"/>
      <c r="C68" s="121"/>
      <c r="D68" s="124"/>
      <c r="E68" s="122"/>
      <c r="F68" s="123"/>
      <c r="G68" s="123"/>
      <c r="H68" s="123"/>
      <c r="I68" s="10"/>
      <c r="J68" s="10"/>
    </row>
    <row r="69" spans="2:10" x14ac:dyDescent="0.3">
      <c r="B69" s="112"/>
      <c r="C69" s="121"/>
      <c r="D69" s="124"/>
      <c r="E69" s="122"/>
      <c r="F69" s="123"/>
      <c r="G69" s="123"/>
      <c r="H69" s="123"/>
      <c r="I69" s="10"/>
      <c r="J69" s="10"/>
    </row>
    <row r="70" spans="2:10" x14ac:dyDescent="0.3">
      <c r="B70" s="112"/>
      <c r="C70" s="121"/>
      <c r="D70" s="124"/>
      <c r="E70" s="122"/>
      <c r="F70" s="123"/>
      <c r="G70" s="123"/>
      <c r="H70" s="123"/>
      <c r="I70" s="10"/>
      <c r="J70" s="10"/>
    </row>
    <row r="71" spans="2:10" x14ac:dyDescent="0.3">
      <c r="B71" s="112"/>
      <c r="C71" s="121"/>
      <c r="D71" s="124"/>
      <c r="E71" s="122"/>
      <c r="F71" s="123"/>
      <c r="G71" s="123"/>
      <c r="H71" s="123"/>
      <c r="I71" s="10"/>
      <c r="J71" s="10"/>
    </row>
    <row r="72" spans="2:10" x14ac:dyDescent="0.3">
      <c r="B72" s="112"/>
      <c r="C72" s="121"/>
      <c r="D72" s="124"/>
      <c r="E72" s="122"/>
      <c r="F72" s="123"/>
      <c r="G72" s="123"/>
      <c r="H72" s="123"/>
      <c r="I72" s="10"/>
      <c r="J72" s="10"/>
    </row>
    <row r="73" spans="2:10" x14ac:dyDescent="0.3">
      <c r="B73" s="112"/>
      <c r="C73" s="121"/>
      <c r="D73" s="124"/>
      <c r="E73" s="122"/>
      <c r="F73" s="123"/>
      <c r="G73" s="123"/>
      <c r="H73" s="123"/>
      <c r="I73" s="10"/>
      <c r="J73" s="10"/>
    </row>
    <row r="74" spans="2:10" x14ac:dyDescent="0.3">
      <c r="B74" s="112"/>
      <c r="C74" s="121"/>
      <c r="D74" s="124"/>
      <c r="E74" s="122"/>
      <c r="F74" s="123"/>
      <c r="G74" s="123"/>
      <c r="H74" s="123"/>
      <c r="I74" s="10"/>
      <c r="J74" s="10"/>
    </row>
    <row r="75" spans="2:10" x14ac:dyDescent="0.3">
      <c r="B75" s="112"/>
      <c r="C75" s="121"/>
      <c r="D75" s="124"/>
      <c r="E75" s="122"/>
      <c r="F75" s="123"/>
      <c r="G75" s="123"/>
      <c r="H75" s="123"/>
      <c r="I75" s="10"/>
      <c r="J75" s="10"/>
    </row>
    <row r="76" spans="2:10" x14ac:dyDescent="0.3">
      <c r="B76" s="112"/>
      <c r="C76" s="121"/>
      <c r="D76" s="124"/>
      <c r="E76" s="122"/>
      <c r="F76" s="123"/>
      <c r="G76" s="123"/>
      <c r="H76" s="123"/>
      <c r="I76" s="10"/>
      <c r="J76" s="10"/>
    </row>
    <row r="77" spans="2:10" x14ac:dyDescent="0.3">
      <c r="B77" s="112"/>
      <c r="C77" s="121"/>
      <c r="D77" s="124"/>
      <c r="E77" s="122"/>
      <c r="F77" s="123"/>
      <c r="G77" s="123"/>
      <c r="H77" s="123"/>
      <c r="I77" s="10"/>
      <c r="J77" s="10"/>
    </row>
    <row r="78" spans="2:10" x14ac:dyDescent="0.3">
      <c r="B78" s="112"/>
      <c r="C78" s="121"/>
      <c r="D78" s="124"/>
      <c r="E78" s="122"/>
      <c r="F78" s="123"/>
      <c r="G78" s="123"/>
      <c r="H78" s="123"/>
      <c r="I78" s="10"/>
      <c r="J78" s="10"/>
    </row>
    <row r="79" spans="2:10" x14ac:dyDescent="0.3">
      <c r="B79" s="112"/>
      <c r="C79" s="121"/>
      <c r="D79" s="124"/>
      <c r="E79" s="122"/>
      <c r="F79" s="123"/>
      <c r="G79" s="123"/>
      <c r="H79" s="123"/>
      <c r="I79" s="10"/>
      <c r="J79" s="10"/>
    </row>
    <row r="80" spans="2:10" x14ac:dyDescent="0.3">
      <c r="B80" s="112"/>
      <c r="C80" s="121"/>
      <c r="D80" s="124"/>
      <c r="E80" s="122"/>
      <c r="F80" s="123"/>
      <c r="G80" s="123"/>
      <c r="H80" s="123"/>
      <c r="I80" s="10"/>
      <c r="J80" s="10"/>
    </row>
    <row r="81" spans="2:10" x14ac:dyDescent="0.3">
      <c r="B81" s="112"/>
      <c r="C81" s="121"/>
      <c r="D81" s="124"/>
      <c r="E81" s="122"/>
      <c r="F81" s="123"/>
      <c r="G81" s="123"/>
      <c r="H81" s="123"/>
      <c r="I81" s="10"/>
      <c r="J81" s="10"/>
    </row>
    <row r="82" spans="2:10" x14ac:dyDescent="0.3">
      <c r="B82" s="112"/>
      <c r="C82" s="121"/>
      <c r="D82" s="124"/>
      <c r="E82" s="122"/>
      <c r="F82" s="123"/>
      <c r="G82" s="123"/>
      <c r="H82" s="123"/>
      <c r="I82" s="10"/>
      <c r="J82" s="10"/>
    </row>
    <row r="83" spans="2:10" x14ac:dyDescent="0.3">
      <c r="B83" s="112"/>
      <c r="C83" s="121"/>
      <c r="D83" s="124"/>
      <c r="E83" s="122"/>
      <c r="F83" s="123"/>
      <c r="G83" s="123"/>
      <c r="H83" s="123"/>
      <c r="I83" s="10"/>
      <c r="J83" s="10"/>
    </row>
    <row r="84" spans="2:10" x14ac:dyDescent="0.3">
      <c r="B84" s="112"/>
      <c r="C84" s="121"/>
      <c r="D84" s="124"/>
      <c r="E84" s="122"/>
      <c r="F84" s="123"/>
      <c r="G84" s="123"/>
      <c r="H84" s="123"/>
      <c r="I84" s="10"/>
      <c r="J84" s="10"/>
    </row>
    <row r="85" spans="2:10" x14ac:dyDescent="0.3">
      <c r="B85" s="112"/>
      <c r="C85" s="121"/>
      <c r="D85" s="124"/>
      <c r="E85" s="122"/>
      <c r="F85" s="123"/>
      <c r="G85" s="123"/>
      <c r="H85" s="123"/>
      <c r="I85" s="10"/>
      <c r="J85" s="10"/>
    </row>
    <row r="86" spans="2:10" x14ac:dyDescent="0.3">
      <c r="B86" s="112"/>
      <c r="C86" s="121"/>
      <c r="D86" s="124"/>
      <c r="E86" s="122"/>
      <c r="F86" s="123"/>
      <c r="G86" s="123"/>
      <c r="H86" s="123"/>
      <c r="I86" s="10"/>
      <c r="J86" s="10"/>
    </row>
    <row r="87" spans="2:10" x14ac:dyDescent="0.3">
      <c r="B87" s="112"/>
      <c r="C87" s="121"/>
      <c r="D87" s="124"/>
      <c r="E87" s="122"/>
      <c r="F87" s="123"/>
      <c r="G87" s="123"/>
      <c r="H87" s="123"/>
      <c r="I87" s="10"/>
      <c r="J87" s="10"/>
    </row>
    <row r="88" spans="2:10" x14ac:dyDescent="0.3">
      <c r="B88" s="112"/>
      <c r="C88" s="121"/>
      <c r="D88" s="124"/>
      <c r="E88" s="122"/>
      <c r="F88" s="123"/>
      <c r="G88" s="123"/>
      <c r="H88" s="123"/>
      <c r="I88" s="10"/>
      <c r="J88" s="10"/>
    </row>
    <row r="89" spans="2:10" x14ac:dyDescent="0.3">
      <c r="B89" s="112"/>
      <c r="C89" s="121"/>
      <c r="D89" s="124"/>
      <c r="E89" s="122"/>
      <c r="F89" s="123"/>
      <c r="G89" s="123"/>
      <c r="H89" s="123"/>
      <c r="I89" s="10"/>
      <c r="J89" s="10"/>
    </row>
    <row r="90" spans="2:10" x14ac:dyDescent="0.3">
      <c r="B90" s="112"/>
      <c r="C90" s="121"/>
      <c r="D90" s="124"/>
      <c r="E90" s="122"/>
      <c r="F90" s="123"/>
      <c r="G90" s="123"/>
      <c r="H90" s="123"/>
      <c r="I90" s="10"/>
      <c r="J90" s="10"/>
    </row>
    <row r="91" spans="2:10" x14ac:dyDescent="0.3">
      <c r="B91" s="112"/>
      <c r="C91" s="121"/>
      <c r="D91" s="124"/>
      <c r="E91" s="122"/>
      <c r="F91" s="123"/>
      <c r="G91" s="123"/>
      <c r="H91" s="123"/>
      <c r="I91" s="10"/>
      <c r="J91" s="10"/>
    </row>
    <row r="92" spans="2:10" x14ac:dyDescent="0.3">
      <c r="B92" s="112"/>
      <c r="C92" s="121"/>
      <c r="D92" s="124"/>
      <c r="E92" s="122"/>
      <c r="F92" s="123"/>
      <c r="G92" s="123"/>
      <c r="H92" s="123"/>
      <c r="I92" s="10"/>
      <c r="J92" s="10"/>
    </row>
    <row r="93" spans="2:10" x14ac:dyDescent="0.3">
      <c r="B93" s="112"/>
      <c r="C93" s="121"/>
      <c r="D93" s="124"/>
      <c r="E93" s="122"/>
      <c r="F93" s="123"/>
      <c r="G93" s="123"/>
      <c r="H93" s="123"/>
      <c r="I93" s="10"/>
      <c r="J93" s="10"/>
    </row>
    <row r="94" spans="2:10" x14ac:dyDescent="0.3">
      <c r="B94" s="112"/>
      <c r="C94" s="121"/>
      <c r="D94" s="124"/>
      <c r="E94" s="122"/>
      <c r="F94" s="123"/>
      <c r="G94" s="123"/>
      <c r="H94" s="123"/>
      <c r="I94" s="10"/>
      <c r="J94" s="10"/>
    </row>
    <row r="95">
      <c r="B95" s="112"/>
      <c r="C95" s="121"/>
      <c r="D95" s="124"/>
      <c r="E95" s="122"/>
      <c r="F95" s="123"/>
      <c r="G95" s="123"/>
      <c r="H95" s="123"/>
      <c r="I95" s="10"/>
      <c r="J95" s="10"/>
    </row>
    <row r="96">
      <c r="B96" s="112"/>
      <c r="C96" s="121"/>
      <c r="D96" s="124"/>
      <c r="E96" s="122"/>
      <c r="F96" s="123"/>
      <c r="G96" s="123"/>
      <c r="H96" s="123"/>
      <c r="I96" s="10"/>
      <c r="J96" s="10"/>
    </row>
    <row r="97">
      <c r="B97" s="112"/>
      <c r="C97" s="121"/>
      <c r="D97" s="124"/>
      <c r="E97" s="122"/>
      <c r="F97" s="123"/>
      <c r="G97" s="123"/>
      <c r="H97" s="123"/>
      <c r="I97" s="10"/>
      <c r="J97" s="10"/>
    </row>
    <row r="98">
      <c r="B98" s="112"/>
      <c r="C98" s="121"/>
      <c r="D98" s="124"/>
      <c r="E98" s="122"/>
      <c r="F98" s="123"/>
      <c r="G98" s="123"/>
      <c r="H98" s="123"/>
      <c r="I98" s="10"/>
      <c r="J98" s="10"/>
    </row>
    <row r="99">
      <c r="B99" s="112"/>
      <c r="C99" s="121"/>
      <c r="D99" s="124"/>
      <c r="E99" s="122"/>
      <c r="F99" s="123"/>
      <c r="G99" s="123"/>
      <c r="H99" s="123"/>
      <c r="I99" s="10"/>
      <c r="J99" s="10"/>
    </row>
    <row r="100">
      <c r="B100" s="112"/>
      <c r="C100" s="121"/>
      <c r="D100" s="124"/>
      <c r="E100" s="122"/>
      <c r="F100" s="123"/>
      <c r="G100" s="123"/>
      <c r="H100" s="123"/>
      <c r="I100" s="10"/>
      <c r="J100" s="10"/>
    </row>
    <row r="101">
      <c r="B101" s="112"/>
      <c r="C101" s="121"/>
      <c r="D101" s="124"/>
      <c r="E101" s="122"/>
      <c r="F101" s="123"/>
      <c r="G101" s="123"/>
      <c r="H101" s="123"/>
      <c r="I101" s="10"/>
      <c r="J101" s="10"/>
    </row>
    <row r="102">
      <c r="B102" s="112"/>
      <c r="C102" s="121"/>
      <c r="D102" s="124"/>
      <c r="E102" s="122"/>
      <c r="F102" s="123"/>
      <c r="G102" s="123"/>
      <c r="H102" s="123"/>
      <c r="I102" s="10"/>
      <c r="J102" s="10"/>
    </row>
    <row r="103">
      <c r="B103" s="112"/>
      <c r="C103" s="121"/>
      <c r="D103" s="124"/>
      <c r="E103" s="122"/>
      <c r="F103" s="123"/>
      <c r="G103" s="123"/>
      <c r="H103" s="123"/>
      <c r="I103" s="10"/>
      <c r="J103" s="10"/>
    </row>
    <row r="104">
      <c r="B104" s="112"/>
      <c r="C104" s="121"/>
      <c r="D104" s="124"/>
      <c r="E104" s="122"/>
      <c r="F104" s="123"/>
      <c r="G104" s="123"/>
      <c r="H104" s="123"/>
      <c r="I104" s="10"/>
      <c r="J104" s="10"/>
    </row>
    <row r="105">
      <c r="B105" s="112"/>
      <c r="C105" s="121"/>
      <c r="D105" s="124"/>
      <c r="E105" s="122"/>
      <c r="F105" s="123"/>
      <c r="G105" s="123"/>
      <c r="H105" s="123"/>
      <c r="I105" s="10"/>
      <c r="J105" s="10"/>
    </row>
    <row r="106">
      <c r="B106" s="112"/>
      <c r="C106" s="121"/>
      <c r="D106" s="124"/>
      <c r="E106" s="122"/>
      <c r="F106" s="123"/>
      <c r="G106" s="123"/>
      <c r="H106" s="123"/>
      <c r="I106" s="10"/>
      <c r="J106" s="10"/>
    </row>
    <row r="107">
      <c r="B107" s="112"/>
      <c r="C107" s="121"/>
      <c r="D107" s="124"/>
      <c r="E107" s="122"/>
      <c r="F107" s="123"/>
      <c r="G107" s="123"/>
      <c r="H107" s="123"/>
      <c r="I107" s="10"/>
      <c r="J107" s="10"/>
    </row>
    <row r="108">
      <c r="B108" s="112"/>
      <c r="C108" s="121"/>
      <c r="D108" s="124"/>
      <c r="E108" s="122"/>
      <c r="F108" s="123"/>
      <c r="G108" s="123"/>
      <c r="H108" s="123"/>
      <c r="I108" s="10"/>
      <c r="J108" s="10"/>
    </row>
    <row r="109">
      <c r="B109" s="112"/>
      <c r="C109" s="121"/>
      <c r="D109" s="124"/>
      <c r="E109" s="122"/>
      <c r="F109" s="123"/>
      <c r="G109" s="123"/>
      <c r="H109" s="123"/>
      <c r="I109" s="10"/>
      <c r="J109" s="10"/>
    </row>
    <row r="110">
      <c r="B110" s="112"/>
      <c r="C110" s="121"/>
      <c r="D110" s="124"/>
      <c r="E110" s="122"/>
      <c r="F110" s="123"/>
      <c r="G110" s="123"/>
      <c r="H110" s="123"/>
      <c r="I110" s="10"/>
      <c r="J110" s="10"/>
    </row>
    <row r="111">
      <c r="B111" s="112"/>
      <c r="C111" s="121"/>
      <c r="D111" s="124"/>
      <c r="E111" s="122"/>
      <c r="F111" s="123"/>
      <c r="G111" s="123"/>
      <c r="H111" s="123"/>
      <c r="I111" s="10"/>
      <c r="J111" s="10"/>
    </row>
    <row r="112">
      <c r="B112" s="112"/>
      <c r="C112" s="121"/>
      <c r="D112" s="124"/>
      <c r="E112" s="122"/>
      <c r="F112" s="123"/>
      <c r="G112" s="123"/>
      <c r="H112" s="123"/>
      <c r="I112" s="10"/>
      <c r="J112" s="10"/>
    </row>
    <row r="113">
      <c r="B113" s="112"/>
      <c r="C113" s="121"/>
      <c r="D113" s="124"/>
      <c r="E113" s="122"/>
      <c r="F113" s="123"/>
      <c r="G113" s="123"/>
      <c r="H113" s="123"/>
      <c r="I113" s="10"/>
      <c r="J113" s="10"/>
    </row>
    <row r="114">
      <c r="B114" s="112"/>
      <c r="C114" s="121"/>
      <c r="D114" s="124"/>
      <c r="E114" s="122"/>
      <c r="F114" s="123"/>
      <c r="G114" s="123"/>
      <c r="H114" s="123"/>
      <c r="I114" s="10"/>
      <c r="J114" s="10"/>
    </row>
    <row r="115">
      <c r="B115" s="112"/>
      <c r="C115" s="121"/>
      <c r="D115" s="124"/>
      <c r="E115" s="122"/>
      <c r="F115" s="123"/>
      <c r="G115" s="123"/>
      <c r="H115" s="123"/>
      <c r="I115" s="10"/>
      <c r="J115" s="10"/>
    </row>
    <row r="116">
      <c r="B116" s="112"/>
      <c r="C116" s="121"/>
      <c r="D116" s="124"/>
      <c r="E116" s="122"/>
      <c r="F116" s="123"/>
      <c r="G116" s="123"/>
      <c r="H116" s="123"/>
      <c r="I116" s="10"/>
      <c r="J116" s="10"/>
    </row>
    <row r="117">
      <c r="B117" s="112"/>
      <c r="C117" s="121"/>
      <c r="D117" s="124"/>
      <c r="E117" s="122"/>
      <c r="F117" s="123"/>
      <c r="G117" s="123"/>
      <c r="H117" s="123"/>
      <c r="I117" s="10"/>
      <c r="J117" s="10"/>
    </row>
    <row r="118">
      <c r="B118" s="112"/>
      <c r="C118" s="121"/>
      <c r="D118" s="124"/>
      <c r="E118" s="122"/>
      <c r="F118" s="123"/>
      <c r="G118" s="123"/>
      <c r="H118" s="123"/>
      <c r="I118" s="10"/>
      <c r="J118" s="10"/>
    </row>
    <row r="119">
      <c r="B119" s="112"/>
      <c r="C119" s="121"/>
      <c r="D119" s="124"/>
      <c r="E119" s="122"/>
      <c r="F119" s="123"/>
      <c r="G119" s="123"/>
      <c r="H119" s="123"/>
      <c r="I119" s="10"/>
      <c r="J119" s="10"/>
    </row>
    <row r="120">
      <c r="B120" s="112"/>
      <c r="C120" s="121"/>
      <c r="D120" s="124"/>
      <c r="E120" s="122"/>
      <c r="F120" s="123"/>
      <c r="G120" s="123"/>
      <c r="H120" s="123"/>
      <c r="I120" s="10"/>
      <c r="J120" s="10"/>
    </row>
    <row r="121">
      <c r="B121" s="112"/>
      <c r="C121" s="121"/>
      <c r="D121" s="124"/>
      <c r="E121" s="122"/>
      <c r="F121" s="123"/>
      <c r="G121" s="123"/>
      <c r="H121" s="123"/>
      <c r="I121" s="10"/>
      <c r="J121" s="10"/>
    </row>
    <row r="122">
      <c r="B122" s="112"/>
      <c r="C122" s="121"/>
      <c r="D122" s="124"/>
      <c r="E122" s="122"/>
      <c r="F122" s="123"/>
      <c r="G122" s="123"/>
      <c r="H122" s="123"/>
      <c r="I122" s="10"/>
      <c r="J122" s="10"/>
    </row>
    <row r="123">
      <c r="B123" s="112"/>
      <c r="C123" s="121"/>
      <c r="D123" s="124"/>
      <c r="E123" s="122"/>
      <c r="F123" s="123"/>
      <c r="G123" s="123"/>
      <c r="H123" s="123"/>
      <c r="I123" s="10"/>
      <c r="J123" s="10"/>
    </row>
    <row r="124">
      <c r="B124" s="112"/>
      <c r="C124" s="121"/>
      <c r="D124" s="124"/>
      <c r="E124" s="122"/>
      <c r="F124" s="123"/>
      <c r="G124" s="123"/>
      <c r="H124" s="123"/>
      <c r="I124" s="10"/>
      <c r="J124" s="10"/>
    </row>
    <row r="125">
      <c r="B125" s="112"/>
      <c r="C125" s="121"/>
      <c r="D125" s="124"/>
      <c r="E125" s="122"/>
      <c r="F125" s="123"/>
      <c r="G125" s="123"/>
      <c r="H125" s="123"/>
      <c r="I125" s="10"/>
      <c r="J125" s="10"/>
    </row>
    <row r="126">
      <c r="B126" s="112"/>
      <c r="C126" s="121"/>
      <c r="D126" s="124"/>
      <c r="E126" s="122"/>
      <c r="F126" s="123"/>
      <c r="G126" s="123"/>
      <c r="H126" s="123"/>
      <c r="I126" s="10"/>
      <c r="J126" s="10"/>
    </row>
    <row r="127">
      <c r="B127" s="112"/>
      <c r="C127" s="121"/>
      <c r="D127" s="124"/>
      <c r="E127" s="122"/>
      <c r="F127" s="123"/>
      <c r="G127" s="123"/>
      <c r="H127" s="123"/>
      <c r="I127" s="10"/>
      <c r="J127" s="10"/>
    </row>
    <row r="128">
      <c r="B128" s="112"/>
      <c r="C128" s="121"/>
      <c r="D128" s="124"/>
      <c r="E128" s="122"/>
      <c r="F128" s="123"/>
      <c r="G128" s="123"/>
      <c r="H128" s="123"/>
      <c r="I128" s="10"/>
      <c r="J128" s="10"/>
    </row>
    <row r="129">
      <c r="B129" s="112"/>
      <c r="C129" s="121"/>
      <c r="D129" s="124"/>
      <c r="E129" s="122"/>
      <c r="F129" s="123"/>
      <c r="G129" s="123"/>
      <c r="H129" s="123"/>
      <c r="I129" s="10"/>
      <c r="J129" s="10"/>
    </row>
    <row r="130">
      <c r="B130" s="112"/>
      <c r="C130" s="121"/>
      <c r="D130" s="124"/>
      <c r="E130" s="122"/>
      <c r="F130" s="123"/>
      <c r="G130" s="123"/>
      <c r="H130" s="123"/>
      <c r="I130" s="10"/>
      <c r="J130" s="10"/>
    </row>
    <row r="131">
      <c r="B131" s="112"/>
      <c r="C131" s="121"/>
      <c r="D131" s="124"/>
      <c r="E131" s="122"/>
      <c r="F131" s="123"/>
      <c r="G131" s="123"/>
      <c r="H131" s="123"/>
      <c r="I131" s="10"/>
      <c r="J131" s="10"/>
    </row>
    <row r="132">
      <c r="B132" s="112"/>
      <c r="C132" s="121"/>
      <c r="D132" s="124"/>
      <c r="E132" s="122"/>
      <c r="F132" s="123"/>
      <c r="G132" s="123"/>
      <c r="H132" s="123"/>
      <c r="I132" s="10"/>
      <c r="J132" s="10"/>
    </row>
    <row r="133">
      <c r="B133" s="112"/>
      <c r="C133" s="121"/>
      <c r="D133" s="124"/>
      <c r="E133" s="122"/>
      <c r="F133" s="123"/>
      <c r="G133" s="123"/>
      <c r="H133" s="123"/>
      <c r="I133" s="10"/>
      <c r="J133" s="10"/>
    </row>
    <row r="134">
      <c r="B134" s="112"/>
      <c r="C134" s="121"/>
      <c r="D134" s="124"/>
      <c r="E134" s="122"/>
      <c r="F134" s="123"/>
      <c r="G134" s="123"/>
      <c r="H134" s="123"/>
      <c r="I134" s="10"/>
      <c r="J134" s="10"/>
    </row>
    <row r="135">
      <c r="B135" s="112"/>
      <c r="C135" s="121"/>
      <c r="D135" s="124"/>
      <c r="E135" s="122"/>
      <c r="F135" s="123"/>
      <c r="G135" s="123"/>
      <c r="H135" s="123"/>
      <c r="I135" s="10"/>
      <c r="J135" s="10"/>
    </row>
    <row r="136">
      <c r="B136" s="112"/>
      <c r="C136" s="121"/>
      <c r="D136" s="124"/>
      <c r="E136" s="122"/>
      <c r="F136" s="123"/>
      <c r="G136" s="123"/>
      <c r="H136" s="123"/>
      <c r="I136" s="10"/>
      <c r="J136" s="10"/>
    </row>
    <row r="137">
      <c r="B137" s="112"/>
      <c r="C137" s="121"/>
      <c r="D137" s="124"/>
      <c r="E137" s="122"/>
      <c r="F137" s="123"/>
      <c r="G137" s="123"/>
      <c r="H137" s="123"/>
      <c r="I137" s="10"/>
      <c r="J137" s="10"/>
    </row>
    <row r="138">
      <c r="B138" s="112"/>
      <c r="C138" s="121"/>
      <c r="D138" s="124"/>
      <c r="E138" s="122"/>
      <c r="F138" s="123"/>
      <c r="G138" s="123"/>
      <c r="H138" s="123"/>
      <c r="I138" s="10"/>
      <c r="J138" s="10"/>
    </row>
    <row r="139">
      <c r="B139" s="112"/>
      <c r="C139" s="121"/>
      <c r="D139" s="124"/>
      <c r="E139" s="122"/>
      <c r="F139" s="123"/>
      <c r="G139" s="123"/>
      <c r="H139" s="123"/>
      <c r="I139" s="10"/>
      <c r="J139" s="10"/>
    </row>
    <row r="140">
      <c r="B140" s="112"/>
      <c r="C140" s="121"/>
      <c r="D140" s="124"/>
      <c r="E140" s="122"/>
      <c r="F140" s="123"/>
      <c r="G140" s="123"/>
      <c r="H140" s="123"/>
      <c r="I140" s="10"/>
      <c r="J140" s="10"/>
    </row>
    <row r="141">
      <c r="B141" s="112"/>
      <c r="C141" s="121"/>
      <c r="D141" s="124"/>
      <c r="E141" s="122"/>
      <c r="F141" s="123"/>
      <c r="G141" s="123"/>
      <c r="H141" s="123"/>
      <c r="I141" s="10"/>
      <c r="J141" s="10"/>
    </row>
    <row r="142">
      <c r="B142" s="112"/>
      <c r="C142" s="121"/>
      <c r="D142" s="124"/>
      <c r="E142" s="122"/>
      <c r="F142" s="123"/>
      <c r="G142" s="123"/>
      <c r="H142" s="123"/>
      <c r="I142" s="10"/>
      <c r="J142" s="10"/>
    </row>
    <row r="143">
      <c r="B143" s="112"/>
      <c r="C143" s="121"/>
      <c r="D143" s="124"/>
      <c r="E143" s="122"/>
      <c r="F143" s="123"/>
      <c r="G143" s="123"/>
      <c r="H143" s="123"/>
      <c r="I143" s="10"/>
      <c r="J143" s="10"/>
    </row>
    <row r="144">
      <c r="B144" s="112"/>
      <c r="C144" s="121"/>
      <c r="D144" s="124"/>
      <c r="E144" s="122"/>
      <c r="F144" s="123"/>
      <c r="G144" s="123"/>
      <c r="H144" s="123"/>
      <c r="I144" s="10"/>
      <c r="J144" s="10"/>
    </row>
    <row r="145">
      <c r="B145" s="112"/>
      <c r="C145" s="121"/>
      <c r="D145" s="124"/>
      <c r="E145" s="122"/>
      <c r="F145" s="123"/>
      <c r="G145" s="123"/>
      <c r="H145" s="123"/>
      <c r="I145" s="10"/>
      <c r="J145" s="10"/>
    </row>
    <row r="146">
      <c r="B146" s="112"/>
      <c r="C146" s="121"/>
      <c r="D146" s="124"/>
      <c r="E146" s="122"/>
      <c r="F146" s="123"/>
      <c r="G146" s="123"/>
      <c r="H146" s="123"/>
      <c r="I146" s="10"/>
      <c r="J146" s="10"/>
    </row>
    <row r="147">
      <c r="B147" s="112"/>
      <c r="C147" s="121"/>
      <c r="D147" s="124"/>
      <c r="E147" s="122"/>
      <c r="F147" s="123"/>
      <c r="G147" s="123"/>
      <c r="H147" s="123"/>
      <c r="I147" s="10"/>
      <c r="J147" s="10"/>
    </row>
    <row r="148">
      <c r="B148" s="112"/>
      <c r="C148" s="121"/>
      <c r="D148" s="124"/>
      <c r="E148" s="122"/>
      <c r="F148" s="123"/>
      <c r="G148" s="123"/>
      <c r="H148" s="123"/>
      <c r="I148" s="10"/>
      <c r="J148" s="10"/>
    </row>
    <row r="149">
      <c r="B149" s="112"/>
      <c r="C149" s="121"/>
      <c r="D149" s="124"/>
      <c r="E149" s="122"/>
      <c r="F149" s="123"/>
      <c r="G149" s="123"/>
      <c r="H149" s="123"/>
      <c r="I149" s="10"/>
      <c r="J149" s="10"/>
    </row>
    <row r="150">
      <c r="B150" s="112"/>
      <c r="C150" s="121"/>
      <c r="D150" s="124"/>
      <c r="E150" s="122"/>
      <c r="F150" s="123"/>
      <c r="G150" s="123"/>
      <c r="H150" s="123"/>
      <c r="I150" s="10"/>
      <c r="J150" s="10"/>
    </row>
    <row r="151">
      <c r="B151" s="112"/>
      <c r="C151" s="121"/>
      <c r="D151" s="124"/>
      <c r="E151" s="122"/>
      <c r="F151" s="123"/>
      <c r="G151" s="123"/>
      <c r="H151" s="123"/>
      <c r="I151" s="10"/>
      <c r="J151" s="10"/>
    </row>
    <row r="152">
      <c r="B152" s="112"/>
      <c r="C152" s="121"/>
      <c r="D152" s="124"/>
      <c r="E152" s="122"/>
      <c r="F152" s="123"/>
      <c r="G152" s="123"/>
      <c r="H152" s="123"/>
      <c r="I152" s="10"/>
      <c r="J152" s="10"/>
    </row>
    <row r="153">
      <c r="B153" s="112"/>
      <c r="C153" s="121"/>
      <c r="D153" s="124"/>
      <c r="E153" s="122"/>
      <c r="F153" s="123"/>
      <c r="G153" s="123"/>
      <c r="H153" s="123"/>
      <c r="I153" s="10"/>
      <c r="J153" s="10"/>
    </row>
    <row r="154">
      <c r="B154" s="112"/>
      <c r="C154" s="121"/>
      <c r="D154" s="124"/>
      <c r="E154" s="122"/>
      <c r="F154" s="123"/>
      <c r="G154" s="123"/>
      <c r="H154" s="123"/>
      <c r="I154" s="10"/>
      <c r="J154" s="10"/>
    </row>
    <row r="155">
      <c r="B155" s="112"/>
      <c r="C155" s="121"/>
      <c r="D155" s="124"/>
      <c r="E155" s="122"/>
      <c r="F155" s="123"/>
      <c r="G155" s="123"/>
      <c r="H155" s="123"/>
      <c r="I155" s="10"/>
      <c r="J155" s="10"/>
    </row>
    <row r="156">
      <c r="B156" s="112"/>
      <c r="C156" s="121"/>
      <c r="D156" s="124"/>
      <c r="E156" s="122"/>
      <c r="F156" s="123"/>
      <c r="G156" s="123"/>
      <c r="H156" s="123"/>
      <c r="I156" s="10"/>
      <c r="J156" s="10"/>
    </row>
    <row r="157">
      <c r="B157" s="112"/>
      <c r="C157" s="121"/>
      <c r="D157" s="124"/>
      <c r="E157" s="122"/>
      <c r="F157" s="123"/>
      <c r="G157" s="123"/>
      <c r="H157" s="123"/>
      <c r="I157" s="10"/>
      <c r="J157" s="10"/>
    </row>
    <row r="158">
      <c r="B158" s="112"/>
      <c r="C158" s="121"/>
      <c r="D158" s="124"/>
      <c r="E158" s="122"/>
      <c r="F158" s="123"/>
      <c r="G158" s="123"/>
      <c r="H158" s="123"/>
      <c r="I158" s="10"/>
      <c r="J158" s="10"/>
    </row>
    <row r="159">
      <c r="B159" s="112"/>
      <c r="C159" s="121"/>
      <c r="D159" s="124"/>
      <c r="E159" s="122"/>
      <c r="F159" s="123"/>
      <c r="G159" s="123"/>
      <c r="H159" s="123"/>
      <c r="I159" s="10"/>
      <c r="J159" s="10"/>
    </row>
    <row r="160">
      <c r="B160" s="112"/>
      <c r="C160" s="121"/>
      <c r="D160" s="124"/>
      <c r="E160" s="122"/>
      <c r="F160" s="123"/>
      <c r="G160" s="123"/>
      <c r="H160" s="123"/>
      <c r="I160" s="10"/>
      <c r="J160" s="10"/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Une-com</dc:creator>
  <cp:lastModifiedBy>marat</cp:lastModifiedBy>
  <dcterms:created xsi:type="dcterms:W3CDTF">2015-06-05T18:19:34Z</dcterms:created>
  <dcterms:modified xsi:type="dcterms:W3CDTF">2026-09-27T12:13:39Z</dcterms:modified>
</cp:coreProperties>
</file>